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ASHBOARD_RDM" sheetId="2" state="visible" r:id="rId4"/>
    <sheet name="PAINEL_GESTAO" sheetId="3" state="visible" r:id="rId5"/>
    <sheet name="CAPACIDADE_21H" sheetId="4" state="visible" r:id="rId6"/>
    <sheet name="TOP10_SEMANAS" sheetId="5" state="visible" r:id="rId7"/>
    <sheet name="RESUMO_CASAS" sheetId="6" state="visible" r:id="rId8"/>
    <sheet name="BALANCO_CASAS" sheetId="7" state="visible" r:id="rId9"/>
    <sheet name="BALANCO_DIARIO" sheetId="8" state="visible" r:id="rId10"/>
    <sheet name="GRAFICO_CASAS" sheetId="9" state="visible" r:id="rId11"/>
    <sheet name="RESUMO_TRECHOS" sheetId="10" state="visible" r:id="rId12"/>
    <sheet name="MAPA_CALOR" sheetId="11" state="visible" r:id="rId13"/>
    <sheet name="GRAFICOS" sheetId="12" state="visible" r:id="rId14"/>
    <sheet name="GRAFICO_TRECHOS" sheetId="13" state="visible" r:id="rId15"/>
    <sheet name="BALANCO_CULTURA" sheetId="14" state="visible" r:id="rId16"/>
    <sheet name="BALANCO_PIVO" sheetId="15" state="visible" r:id="rId17"/>
    <sheet name="PLANEJAMENTO_SEMANAL" sheetId="16" state="visible" r:id="rId18"/>
    <sheet name="CADASTRO_PIVOS" sheetId="17" state="visible" r:id="rId19"/>
    <sheet name="CADASTRO_CASAS_BOMBA" sheetId="18" state="visible" r:id="rId20"/>
    <sheet name="CADASTRO_TRECHOS_CANAL" sheetId="19" state="visible" r:id="rId21"/>
    <sheet name="PARAMETROS_CULTURAS" sheetId="20" state="visible" r:id="rId22"/>
    <sheet name="ROTACAO_RDM" sheetId="21" state="visible" r:id="rId23"/>
    <sheet name="CLIMA_ETo_CHUVA" sheetId="22" state="visible" r:id="rId24"/>
    <sheet name="SEMANAS" sheetId="23" state="visible" r:id="rId25"/>
    <sheet name="PARAMETROS_GERAIS" sheetId="24" state="visible" r:id="rId26"/>
    <sheet name="AUX_MATRIZES" sheetId="25" state="visible" r:id="rId27"/>
    <sheet name="MEMORIA_CALCULO" sheetId="26" state="visible" r:id="rId28"/>
    <sheet name="PENDENCIAS_CADASTRO" sheetId="27" state="visible" r:id="rId29"/>
  </sheets>
  <definedNames>
    <definedName function="false" hidden="true" localSheetId="15" name="_xlnm._FilterDatabase" vbProcedure="false">PLANEJAMENTO_SEMANAL!$B$5:$AK$2381</definedName>
    <definedName function="false" hidden="false" name="CENARIO_CLIMA" vbProcedure="false">PARAMETROS_GERAIS!$D$14</definedName>
    <definedName function="false" hidden="false" name="DATA_FIM_SAFRA" vbProcedure="false">PARAMETROS_GERAIS!$D$22</definedName>
    <definedName function="false" hidden="false" name="DATA_INICIO_SAFRA" vbProcedure="false">PARAMETROS_GERAIS!$D$20</definedName>
    <definedName function="false" hidden="false" name="DIAS_POR_SEMANA" vbProcedure="false">PARAMETROS_GERAIS!$D$8</definedName>
    <definedName function="false" hidden="false" name="EFICIENCIA_PADRAO" vbProcedure="false">PARAMETROS_GERAIS!$D$11</definedName>
    <definedName function="false" hidden="false" name="FATOR_CHUVA_UTIL" vbProcedure="false">PARAMETROS_GERAIS!$D$12</definedName>
    <definedName function="false" hidden="false" name="HORAS_CAPTACAO_DIA" vbProcedure="false">PARAMETROS_GERAIS!$D$9</definedName>
    <definedName function="false" hidden="false" name="HORAS_OPERACAO_DIA" vbProcedure="false">PARAMETROS_GERAIS!$D$6</definedName>
    <definedName function="false" hidden="false" name="HORAS_OPERACAO_SEMANA" vbProcedure="false">PARAMETROS_GERAIS!$D$7</definedName>
    <definedName function="false" hidden="false" name="LIMITE_ATENCAO" vbProcedure="false">PARAMETROS_GERAIS!$D$16</definedName>
    <definedName function="false" hidden="false" name="LIMITE_CHUVA_UTIL_DIA" vbProcedure="false">PARAMETROS_GERAIS!$D$13</definedName>
    <definedName function="false" hidden="false" name="LIMITE_CONFORTAVEL" vbProcedure="false">PARAMETROS_GERAIS!$D$15</definedName>
    <definedName function="false" hidden="false" name="LIMITE_CRITICO" vbProcedure="false">PARAMETROS_GERAIS!$D$17</definedName>
    <definedName function="false" hidden="false" name="MM_PARA_M3_HA" vbProcedure="false">PARAMETROS_GERAIS!$D$10</definedName>
    <definedName function="false" hidden="false" name="N_SEMANAS" vbProcedure="false">PARAMETROS_GERAIS!$D$21</definedName>
    <definedName function="false" hidden="false" name="SAFRA" vbProcedure="false">PARAMETROS_GERAIS!$D$23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<sst xmlns="http://schemas.openxmlformats.org/spreadsheetml/2006/main" count="4577" uniqueCount="770">
  <si>
    <t xml:space="preserve">SIMULADOR DE GESTAO DE AGUA DA SAFRA  -  UNIDADE RDM</t>
  </si>
  <si>
    <t xml:space="preserve">Modelo de capacidade hidrica e operacional. Filtrado so para a RDM (inclui a nova casa RM08); Karitel e demais unidades nao entram em nenhum calculo.</t>
  </si>
  <si>
    <t xml:space="preserve">O QUE ESTA PASTA RESPONDE</t>
  </si>
  <si>
    <t xml:space="preserve">-  Onde e quando vai faltar agua na safra, por casa de bomba (PAINEL_GESTAO).</t>
  </si>
  <si>
    <t xml:space="preserve">-  Quanto cada cultura, pivo, casa e trecho demanda, semana a semana.</t>
  </si>
  <si>
    <t xml:space="preserve">-  Se a infraestrutura cabe nas 21 h/dia e onde esta o gargalo.</t>
  </si>
  <si>
    <t xml:space="preserve">-  Quanto a chuva util cobre e quanto sobra para a irrigacao.</t>
  </si>
  <si>
    <t xml:space="preserve">ONDE MEXER (celulas amarelas, texto azul)</t>
  </si>
  <si>
    <t xml:space="preserve">-  PARAMETROS_GERAIS: horas/dia, horas de captacao, eficiencia, fator de chuva util, faixas de alerta.</t>
  </si>
  <si>
    <t xml:space="preserve">-  CADASTRO_PIVOS: area, lamina nominal, vazao de projeto e eficiencia de cada pivo.</t>
  </si>
  <si>
    <t xml:space="preserve">-  CADASTRO_CASAS_BOMBA: vazao operacional de recalque de cada casa.</t>
  </si>
  <si>
    <t xml:space="preserve">-  CADASTRO_TRECHOS_CANAL: capacidade dos trechos e matriz TRECHO x CASA.</t>
  </si>
  <si>
    <t xml:space="preserve">-  PARAMETROS_CULTURAS: curva de Kc por cultura e grupo de ciclo.</t>
  </si>
  <si>
    <t xml:space="preserve">-  ROTACAO_RDM: cultura, cultivar, data de plantio e data final de cada ciclo.</t>
  </si>
  <si>
    <t xml:space="preserve">-  CLIMA_ETo_CHUVA: ETo e chuva, dia a dia.</t>
  </si>
  <si>
    <t xml:space="preserve">ONDE LER O RESULTADO</t>
  </si>
  <si>
    <t xml:space="preserve">-  PAINEL_GESTAO: o coracao - em quais casas e dias vai faltar agua, quanto falta e o que fazer.</t>
  </si>
  <si>
    <t xml:space="preserve">-  BALANCO_DIARIO: o balanco dia a dia do reservatorio que alimenta o painel.</t>
  </si>
  <si>
    <t xml:space="preserve">-  DASHBOARD_RDM: indicadores executivos e a resposta direta sobre as 21 h/dia.</t>
  </si>
  <si>
    <t xml:space="preserve">-  CAPACIDADE_21H, TOP10_SEMANAS: semana a semana e as dez semanas mais criticas.</t>
  </si>
  <si>
    <t xml:space="preserve">-  RESUMO_CASAS, BALANCO_CASAS, RESUMO_TRECHOS, MAPA_CALOR: matrizes e cores.</t>
  </si>
  <si>
    <t xml:space="preserve">-  GRAFICOS, GRAFICO_CASAS, GRAFICO_TRECHOS: as visoes graficas.</t>
  </si>
  <si>
    <t xml:space="preserve">-  BALANCO_CULTURA, BALANCO_PIVO: o fechamento por cultura e por pivo.</t>
  </si>
  <si>
    <t xml:space="preserve">ANTES DE USAR PARA DECIDIR</t>
  </si>
  <si>
    <t xml:space="preserve">-  Leia PENDENCIAS_CADASTRO. ETo, chuva util, eficiencia, vazao das casas e capacidade dos canais ainda sao provisorios.</t>
  </si>
  <si>
    <t xml:space="preserve">-  Com valores provisorios os numeros indicam ordem de grandeza e o comportamento relativo, nao um compromisso operacional.</t>
  </si>
  <si>
    <t xml:space="preserve">Fontes: STC_RDM REV10 (casas, pivos, areas, pocos, reservacao, captacao, lamina) e rotacao bienal 26-28 v.21 (abas Rotacao + Rotacao Milho semente), FAZENDA = RDM, Irrigado.</t>
  </si>
  <si>
    <t xml:space="preserve">DASHBOARD RDM  -  planejamento hidrico da safra</t>
  </si>
  <si>
    <t xml:space="preserve">Todos os numeros abaixo sao formulas. Mude plantio, ETo, chuva, Kc, vazao ou horas e o painel inteiro se refaz.</t>
  </si>
  <si>
    <t xml:space="preserve">Area irrigada cadastrada</t>
  </si>
  <si>
    <t xml:space="preserve">Area irrigada ativa no pico</t>
  </si>
  <si>
    <t xml:space="preserve">Demanda ETc da safra</t>
  </si>
  <si>
    <t xml:space="preserve">ha</t>
  </si>
  <si>
    <t xml:space="preserve">mm</t>
  </si>
  <si>
    <t xml:space="preserve">m3</t>
  </si>
  <si>
    <t xml:space="preserve">Chuva util da safra</t>
  </si>
  <si>
    <t xml:space="preserve">Irrigacao liquida necessaria</t>
  </si>
  <si>
    <t xml:space="preserve">Irrigacao bruta necessaria</t>
  </si>
  <si>
    <t xml:space="preserve">Irrigacao bruta (VOLUME TOTAL DA SAFRA)</t>
  </si>
  <si>
    <t xml:space="preserve">Pico de demanda</t>
  </si>
  <si>
    <t xml:space="preserve">Pico de vazao requerida</t>
  </si>
  <si>
    <t xml:space="preserve">m3/dia</t>
  </si>
  <si>
    <t xml:space="preserve">m3/h</t>
  </si>
  <si>
    <t xml:space="preserve">Capacidade instalada do sistema</t>
  </si>
  <si>
    <t xml:space="preserve">Semana critica</t>
  </si>
  <si>
    <t xml:space="preserve">Data da semana critica</t>
  </si>
  <si>
    <t xml:space="preserve">Casa de bomba mais critica</t>
  </si>
  <si>
    <t xml:space="preserve">semana</t>
  </si>
  <si>
    <t xml:space="preserve">data</t>
  </si>
  <si>
    <t xml:space="preserve">casa</t>
  </si>
  <si>
    <t xml:space="preserve">Trecho de canal mais critico</t>
  </si>
  <si>
    <t xml:space="preserve">Maior utilizacao hidraulica (sistema)</t>
  </si>
  <si>
    <t xml:space="preserve">Maior utilizacao de uma casa de bomba</t>
  </si>
  <si>
    <t xml:space="preserve">Maior utilizacao de um trecho</t>
  </si>
  <si>
    <t xml:space="preserve">trecho</t>
  </si>
  <si>
    <t xml:space="preserve">%</t>
  </si>
  <si>
    <t xml:space="preserve">Maior utilizacao de um pivo</t>
  </si>
  <si>
    <t xml:space="preserve">Semanas inviaveis em 21 h/dia</t>
  </si>
  <si>
    <t xml:space="preserve">Horas totais de irrigacao na safra</t>
  </si>
  <si>
    <t xml:space="preserve">Casas de bomba com captacao insuficiente</t>
  </si>
  <si>
    <t xml:space="preserve">semanas</t>
  </si>
  <si>
    <t xml:space="preserve">h</t>
  </si>
  <si>
    <t xml:space="preserve">de 8</t>
  </si>
  <si>
    <t xml:space="preserve">Volume total faltante na safra</t>
  </si>
  <si>
    <t xml:space="preserve">RESPOSTA DO MODELO</t>
  </si>
  <si>
    <t xml:space="preserve">ATENCAO: enquanto ETo, chuva util, eficiencia, vazao operacional das casas e capacidade dos trechos forem DADO PENDENTE (ver PENDENCIAS_CADASTRO), os numeros sao ordem de grandeza, nao compromisso.</t>
  </si>
  <si>
    <t xml:space="preserve">PAINEL DE GESTAO DE AGUA  -  onde e quando vai faltar</t>
  </si>
  <si>
    <t xml:space="preserve">Diagnostico por casa de bomba, a partir do balanco diario. Em quais casas e dias a captacao nao acompanha o consumo, quanto falta e o que fazer.</t>
  </si>
  <si>
    <t xml:space="preserve">Casa de bomba</t>
  </si>
  <si>
    <t xml:space="preserve">Captacao (m3/dia)</t>
  </si>
  <si>
    <t xml:space="preserve">Consumo de pico (m3/dia)</t>
  </si>
  <si>
    <t xml:space="preserve">Dias com falta de agua</t>
  </si>
  <si>
    <t xml:space="preserve">Primeiro dia de falta</t>
  </si>
  <si>
    <t xml:space="preserve">Ultimo dia de falta</t>
  </si>
  <si>
    <t xml:space="preserve">Volume total faltante (m3)</t>
  </si>
  <si>
    <t xml:space="preserve">Maior falta em um dia (m3)</t>
  </si>
  <si>
    <t xml:space="preserve">Horas extras de captacao no pico (h/dia)</t>
  </si>
  <si>
    <t xml:space="preserve">Vazao adicional necessaria (m3/h)</t>
  </si>
  <si>
    <t xml:space="preserve">Situacao</t>
  </si>
  <si>
    <t xml:space="preserve">Recomendacao</t>
  </si>
  <si>
    <t xml:space="preserve">RESUMO DA RDM</t>
  </si>
  <si>
    <t xml:space="preserve">Casas com falta de agua</t>
  </si>
  <si>
    <t xml:space="preserve">Total de dias-casa com falta</t>
  </si>
  <si>
    <t xml:space="preserve">Volume total faltante na safra (m3)</t>
  </si>
  <si>
    <t xml:space="preserve">Casa mais critica</t>
  </si>
  <si>
    <t xml:space="preserve">Como usar: se uma casa aparece CRITICO, teste mover a data de plantio dos pivos dela (ROTACAO_RDM) para afastar o pico, ou ajuste as horas de captacao (PARAMETROS_GERAIS). Tudo se refaz na hora.</t>
  </si>
  <si>
    <t xml:space="preserve">CAPACIDADE_21H  -  a infraestrutura cabe em 21 horas por dia?</t>
  </si>
  <si>
    <t xml:space="preserve">Uma linha por semana. Demanda x capacidade em HORAS_OPERACAO_DIA x DIAS_POR_SEMANA, nos quatro niveis: pivo, casa de bomba, trecho de canal e sistema RDM.</t>
  </si>
  <si>
    <t xml:space="preserve">Semana</t>
  </si>
  <si>
    <t xml:space="preserve">Data inicial</t>
  </si>
  <si>
    <t xml:space="preserve">Data final</t>
  </si>
  <si>
    <t xml:space="preserve">Volume necessario (m3)</t>
  </si>
  <si>
    <t xml:space="preserve">Capacidade maxima da semana (m3)</t>
  </si>
  <si>
    <t xml:space="preserve">Utilizacao do sistema (%)</t>
  </si>
  <si>
    <t xml:space="preserve">Deficit de volume (m3)</t>
  </si>
  <si>
    <t xml:space="preserve">Deficit de vazao (m3/h)</t>
  </si>
  <si>
    <t xml:space="preserve">Deficit de horas (h)</t>
  </si>
  <si>
    <t xml:space="preserve">Horas adicionais necessarias (h)</t>
  </si>
  <si>
    <t xml:space="preserve">Status do sistema</t>
  </si>
  <si>
    <t xml:space="preserve">Utilizacao max. de pivo (%)</t>
  </si>
  <si>
    <t xml:space="preserve">Pivo mais critico</t>
  </si>
  <si>
    <t xml:space="preserve">Status do pivo</t>
  </si>
  <si>
    <t xml:space="preserve">Utilizacao da casa mais critica (%)</t>
  </si>
  <si>
    <t xml:space="preserve">Status da casa</t>
  </si>
  <si>
    <t xml:space="preserve">Utilizacao do trecho mais critico (%)</t>
  </si>
  <si>
    <t xml:space="preserve">Trecho mais critico</t>
  </si>
  <si>
    <t xml:space="preserve">Status do trecho</t>
  </si>
  <si>
    <t xml:space="preserve">Chave de ordenacao</t>
  </si>
  <si>
    <t xml:space="preserve">TOTAIS DA SAFRA</t>
  </si>
  <si>
    <t xml:space="preserve">Volume necessario na safra (m3)</t>
  </si>
  <si>
    <t xml:space="preserve">Semana de pico de volume</t>
  </si>
  <si>
    <t xml:space="preserve">Volume da semana de pico (m3)</t>
  </si>
  <si>
    <t xml:space="preserve">Maior utilizacao do sistema (%)</t>
  </si>
  <si>
    <t xml:space="preserve">Semanas com utilizacao acima de 100%</t>
  </si>
  <si>
    <t xml:space="preserve">Deficit total de volume na safra (m3)</t>
  </si>
  <si>
    <t xml:space="preserve">TOP 10 SEMANAS CRITICAS DA SAFRA</t>
  </si>
  <si>
    <t xml:space="preserve">Ranking automatico pelo volume de irrigacao necessario na semana.</t>
  </si>
  <si>
    <t xml:space="preserve">Posicao</t>
  </si>
  <si>
    <t xml:space="preserve">ETo (mm)</t>
  </si>
  <si>
    <t xml:space="preserve">ETc (mm)</t>
  </si>
  <si>
    <t xml:space="preserve">Chuva util (mm)</t>
  </si>
  <si>
    <t xml:space="preserve">Area irrigada ativa (ha)</t>
  </si>
  <si>
    <t xml:space="preserve">Vazao media requerida (m3/h)</t>
  </si>
  <si>
    <t xml:space="preserve">A chave de ordenacao soma volume + semana/1.000.000 para desempatar.</t>
  </si>
  <si>
    <t xml:space="preserve">RESUMO POR CASA DE BOMBA  -  matriz CASA x SEMANA</t>
  </si>
  <si>
    <t xml:space="preserve">Escolha o indicador na celula amarela: mm, m3, m3/h, horas ou utilizacao (%).</t>
  </si>
  <si>
    <t xml:space="preserve">Indicador exibido:</t>
  </si>
  <si>
    <t xml:space="preserve">m3 (volume da semana)</t>
  </si>
  <si>
    <t xml:space="preserve">RM01</t>
  </si>
  <si>
    <t xml:space="preserve">RM02</t>
  </si>
  <si>
    <t xml:space="preserve">RM03</t>
  </si>
  <si>
    <t xml:space="preserve">RM04</t>
  </si>
  <si>
    <t xml:space="preserve">RM05</t>
  </si>
  <si>
    <t xml:space="preserve">RM06</t>
  </si>
  <si>
    <t xml:space="preserve">RM07</t>
  </si>
  <si>
    <t xml:space="preserve">RM08</t>
  </si>
  <si>
    <t xml:space="preserve">Cada celula e a demanda da casa naquela semana, somando os pivos ligados a ela (CADASTRO_PIVOS). Para utilizacao com faixas fixas, veja MAPA_CALOR.</t>
  </si>
  <si>
    <t xml:space="preserve">mm (lamina bruta media)</t>
  </si>
  <si>
    <t xml:space="preserve">m3/h (vazao media requerida)</t>
  </si>
  <si>
    <t xml:space="preserve">horas (horas necessarias)</t>
  </si>
  <si>
    <t xml:space="preserve">% (utilizacao da capacidade)</t>
  </si>
  <si>
    <t xml:space="preserve">BALANCO DE AGUA POR CASA DE BOMBA (semanal)</t>
  </si>
  <si>
    <t xml:space="preserve">Por casa: ENTRADA = captacao dos pocos, SAIDA/CONSUMO = demanda dos pivos, e o NIVEL do reservatorio. Premissa igual a original: alimentacao constante, reservatorio comeca cheio.</t>
  </si>
  <si>
    <t xml:space="preserve">ENTRADA - Volume de captacao dos pocos (m3/semana)</t>
  </si>
  <si>
    <t xml:space="preserve">SAIDA / CONSUMO - Demanda dos pivos da casa (m3/semana)</t>
  </si>
  <si>
    <t xml:space="preserve">SALDO da semana = entrada - consumo (m3/semana)</t>
  </si>
  <si>
    <t xml:space="preserve">NIVEL DO RESERVATORIO ao fim da semana (m3) - comeca cheio</t>
  </si>
  <si>
    <t xml:space="preserve">STATUS do abastecimento da casa</t>
  </si>
  <si>
    <t xml:space="preserve">RESUMO DA SAFRA POR CASA DE BOMBA</t>
  </si>
  <si>
    <t xml:space="preserve">Entrada total (m3)</t>
  </si>
  <si>
    <t xml:space="preserve">Consumo total (m3)</t>
  </si>
  <si>
    <t xml:space="preserve">Saldo da safra (m3)</t>
  </si>
  <si>
    <t xml:space="preserve">Capacidade do reservatorio (m3)</t>
  </si>
  <si>
    <t xml:space="preserve">Consumo medio (m3/semana)</t>
  </si>
  <si>
    <t xml:space="preserve">Entrada media (m3/semana)</t>
  </si>
  <si>
    <t xml:space="preserve">Semanas consumindo reserva</t>
  </si>
  <si>
    <t xml:space="preserve">Semanas com reservatorio zerado</t>
  </si>
  <si>
    <t xml:space="preserve">ENTRADA = Volume de captacao/dia (arquivo oficial) x dias por semana. CONSUMO = demanda dos pivos da casa. Nivel comeca cheio, soma o saldo e fica entre zero e a capacidade. Para o detalhe DIARIO (dia exato em que zera), veja BALANCO_DIARIO.</t>
  </si>
  <si>
    <t xml:space="preserve">BALANCO DIARIO DO RESERVATORIO POR CASA DE BOMBA</t>
  </si>
  <si>
    <t xml:space="preserve">Captacao (entrada, 18 h/dia) x consumo dos pivos (saida) x nivel do reservatorio, dia a dia. Reservatorio comeca cheio. Deficit em vermelho = captacao + reserva nao cobriram o consumo daquele dia: FALTA DE AGUA.</t>
  </si>
  <si>
    <t xml:space="preserve">Data</t>
  </si>
  <si>
    <t xml:space="preserve">Sem</t>
  </si>
  <si>
    <t xml:space="preserve">Consumo m3/d</t>
  </si>
  <si>
    <t xml:space="preserve">Nivel m3</t>
  </si>
  <si>
    <t xml:space="preserve">Deficit m3/d</t>
  </si>
  <si>
    <t xml:space="preserve">GRAFICO - Balanco de agua por casa de bomba</t>
  </si>
  <si>
    <t xml:space="preserve">Uma casa por grafico: ENTRADA x CONSUMO x NIVEL do reservatorio, semana a semana.</t>
  </si>
  <si>
    <t xml:space="preserve">RESUMO POR TRECHO DE CANAL  -  matriz TRECHO x SEMANA</t>
  </si>
  <si>
    <t xml:space="preserve">Demanda acumulada a jusante de cada trecho. Deficit positivo = trecho limitante.</t>
  </si>
  <si>
    <t xml:space="preserve">Demanda do trecho (m3/semana)</t>
  </si>
  <si>
    <t xml:space="preserve">Trecho</t>
  </si>
  <si>
    <t xml:space="preserve">TR01</t>
  </si>
  <si>
    <t xml:space="preserve">TR02</t>
  </si>
  <si>
    <t xml:space="preserve">TR03</t>
  </si>
  <si>
    <t xml:space="preserve">TR04</t>
  </si>
  <si>
    <t xml:space="preserve">TR05</t>
  </si>
  <si>
    <t xml:space="preserve">TR06</t>
  </si>
  <si>
    <t xml:space="preserve">TR07</t>
  </si>
  <si>
    <t xml:space="preserve">TR08</t>
  </si>
  <si>
    <t xml:space="preserve">Vazao requerida (m3/h)</t>
  </si>
  <si>
    <t xml:space="preserve">Capacidade disponivel (m3/h)</t>
  </si>
  <si>
    <t xml:space="preserve">Utilizacao (%)</t>
  </si>
  <si>
    <t xml:space="preserve">Deficit de vazao (m3/h)  -  positivo = TRECHO LIMITANTE</t>
  </si>
  <si>
    <t xml:space="preserve">Enquanto a capacidade de cada trecho nao for cadastrada, a capacidade repete a soma das casas atendidas: utilizacao 100% e deficit zero por construcao. Preencha CADASTRO_TRECHOS_CANAL.</t>
  </si>
  <si>
    <t xml:space="preserve">MAPA DE CALOR  -  utilizacao da capacidade hidraulica</t>
  </si>
  <si>
    <t xml:space="preserve">Verde = folga | Amarelo = atencao | Laranja = proximo do limite | Vermelho = excedida. Faixas de PARAMETROS_GERAIS.</t>
  </si>
  <si>
    <t xml:space="preserve">CASA DE BOMBA x SEMANA</t>
  </si>
  <si>
    <t xml:space="preserve">Semana -&gt;</t>
  </si>
  <si>
    <t xml:space="preserve">TRECHO DE CANAL x SEMANA</t>
  </si>
  <si>
    <t xml:space="preserve">Regras em ordem: acima de LIMITE_CRITICO vermelho, LIMITE_ATENCAO laranja, LIMITE_CONFORTAVEL amarelo, o resto verde. Mude os limites em PARAMETROS_GERAIS.</t>
  </si>
  <si>
    <t xml:space="preserve">GRAFICOS DA SAFRA RDM</t>
  </si>
  <si>
    <t xml:space="preserve">Series alimentadas por formulas. Bloco de dados no rodape (linha 60+).</t>
  </si>
  <si>
    <t xml:space="preserve">BLOCO DE DADOS DOS GRAFICOS</t>
  </si>
  <si>
    <t xml:space="preserve">ETo (mm/semana)</t>
  </si>
  <si>
    <t xml:space="preserve">ETc (mm/semana)</t>
  </si>
  <si>
    <t xml:space="preserve">Chuva util (mm/semana)</t>
  </si>
  <si>
    <t xml:space="preserve">Necessidade de irrigacao liquida (mm/semana)</t>
  </si>
  <si>
    <t xml:space="preserve">Lamina bruta de irrigacao (mm/semana)</t>
  </si>
  <si>
    <t xml:space="preserve">Volume total demandado (m3)</t>
  </si>
  <si>
    <t xml:space="preserve">Volume suprido pela chuva util (m3)</t>
  </si>
  <si>
    <t xml:space="preserve">Volume necessario via irrigacao (m3)</t>
  </si>
  <si>
    <t xml:space="preserve">Volume semanal por casa de bomba (m3)</t>
  </si>
  <si>
    <t xml:space="preserve">Trechos: Q requerida x Q disponivel (m3/h)</t>
  </si>
  <si>
    <t xml:space="preserve">TR01 - Q requerida</t>
  </si>
  <si>
    <t xml:space="preserve">TR01 - Q disponivel</t>
  </si>
  <si>
    <t xml:space="preserve">TR02 - Q requerida</t>
  </si>
  <si>
    <t xml:space="preserve">TR02 - Q disponivel</t>
  </si>
  <si>
    <t xml:space="preserve">TR03 - Q requerida</t>
  </si>
  <si>
    <t xml:space="preserve">TR03 - Q disponivel</t>
  </si>
  <si>
    <t xml:space="preserve">TR04 - Q requerida</t>
  </si>
  <si>
    <t xml:space="preserve">TR04 - Q disponivel</t>
  </si>
  <si>
    <t xml:space="preserve">TR05 - Q requerida</t>
  </si>
  <si>
    <t xml:space="preserve">TR05 - Q disponivel</t>
  </si>
  <si>
    <t xml:space="preserve">TR06 - Q requerida</t>
  </si>
  <si>
    <t xml:space="preserve">TR06 - Q disponivel</t>
  </si>
  <si>
    <t xml:space="preserve">TR07 - Q requerida</t>
  </si>
  <si>
    <t xml:space="preserve">TR07 - Q disponivel</t>
  </si>
  <si>
    <t xml:space="preserve">TR08 - Q requerida</t>
  </si>
  <si>
    <t xml:space="preserve">TR08 - Q disponivel</t>
  </si>
  <si>
    <t xml:space="preserve">GRAFICO 4 - Trechos de canal: Q requerida x Q disponivel</t>
  </si>
  <si>
    <t xml:space="preserve">Onde a Q requerida ultrapassa a Q disponivel, o trecho e o gargalo da semana.</t>
  </si>
  <si>
    <t xml:space="preserve">BALANCO DA SAFRA POR CULTURA</t>
  </si>
  <si>
    <t xml:space="preserve">Area plantada acumulada = soma das areas dos ciclos da cultura na safra; um pivo que recebe a cultura em dois ciclos entra duas vezes. Laminas em mm por hectare-ciclo.</t>
  </si>
  <si>
    <t xml:space="preserve">Cultura</t>
  </si>
  <si>
    <t xml:space="preserve">Area plantada acumulada (ha)</t>
  </si>
  <si>
    <t xml:space="preserve">Ciclos na safra</t>
  </si>
  <si>
    <t xml:space="preserve">ETo durante a ocupacao (mm)</t>
  </si>
  <si>
    <t xml:space="preserve">Kc medio ponderado</t>
  </si>
  <si>
    <t xml:space="preserve">ETc acumulada (mm)</t>
  </si>
  <si>
    <t xml:space="preserve">Irrigacao liquida (mm)</t>
  </si>
  <si>
    <t xml:space="preserve">Irrigacao bruta (mm)</t>
  </si>
  <si>
    <t xml:space="preserve">Volume (m3)</t>
  </si>
  <si>
    <t xml:space="preserve">mm irrigados por ha</t>
  </si>
  <si>
    <t xml:space="preserve">Horas de irrigacao (h)</t>
  </si>
  <si>
    <t xml:space="preserve">ALGODAO</t>
  </si>
  <si>
    <t xml:space="preserve">MILHO_GRAO</t>
  </si>
  <si>
    <t xml:space="preserve">MILHO_SEMENTE</t>
  </si>
  <si>
    <t xml:space="preserve">SOJA</t>
  </si>
  <si>
    <t xml:space="preserve">TABACO</t>
  </si>
  <si>
    <t xml:space="preserve">TOTAL RDM</t>
  </si>
  <si>
    <t xml:space="preserve">Soja, algodao e milho semente concentram a demanda da RDM: compare 'Volume (m3)' e 'mm irrigados por ha'.</t>
  </si>
  <si>
    <t xml:space="preserve">BALANCO DA SAFRA POR PIVO</t>
  </si>
  <si>
    <t xml:space="preserve">Responde: quantas horas cada pivo precisa irrigar na safra inteira.</t>
  </si>
  <si>
    <t xml:space="preserve">Pivo</t>
  </si>
  <si>
    <t xml:space="preserve">Trecho de canal</t>
  </si>
  <si>
    <t xml:space="preserve">Area (ha)</t>
  </si>
  <si>
    <t xml:space="preserve">Cultura 1</t>
  </si>
  <si>
    <t xml:space="preserve">Cultura 2</t>
  </si>
  <si>
    <t xml:space="preserve">Cultura 3</t>
  </si>
  <si>
    <t xml:space="preserve">Semanas com cultura</t>
  </si>
  <si>
    <t xml:space="preserve">ETc total (mm)</t>
  </si>
  <si>
    <t xml:space="preserve">Chuva util total (mm)</t>
  </si>
  <si>
    <t xml:space="preserve">Lamina bruta total (mm)</t>
  </si>
  <si>
    <t xml:space="preserve">Volume total (m3)</t>
  </si>
  <si>
    <t xml:space="preserve">Vazao do pivo (m3/h)</t>
  </si>
  <si>
    <t xml:space="preserve">Horas totais de funcionamento (h)</t>
  </si>
  <si>
    <t xml:space="preserve">Utilizacao maxima semanal (%)</t>
  </si>
  <si>
    <t xml:space="preserve">Semana de pico</t>
  </si>
  <si>
    <t xml:space="preserve">Status</t>
  </si>
  <si>
    <t xml:space="preserve">PV 109</t>
  </si>
  <si>
    <t xml:space="preserve">PV 106</t>
  </si>
  <si>
    <t xml:space="preserve">PV 108</t>
  </si>
  <si>
    <t xml:space="preserve">PV 105</t>
  </si>
  <si>
    <t xml:space="preserve">PV 107</t>
  </si>
  <si>
    <t xml:space="preserve">PV 101</t>
  </si>
  <si>
    <t xml:space="preserve">PV 102</t>
  </si>
  <si>
    <t xml:space="preserve">PV 103</t>
  </si>
  <si>
    <t xml:space="preserve">PV 104</t>
  </si>
  <si>
    <t xml:space="preserve">PV 110</t>
  </si>
  <si>
    <t xml:space="preserve">PV 112</t>
  </si>
  <si>
    <t xml:space="preserve">PV 113</t>
  </si>
  <si>
    <t xml:space="preserve">PV 114</t>
  </si>
  <si>
    <t xml:space="preserve">PV 115</t>
  </si>
  <si>
    <t xml:space="preserve">PV 131</t>
  </si>
  <si>
    <t xml:space="preserve">PV 132</t>
  </si>
  <si>
    <t xml:space="preserve">PV 116</t>
  </si>
  <si>
    <t xml:space="preserve">PV 117</t>
  </si>
  <si>
    <t xml:space="preserve">PV 118</t>
  </si>
  <si>
    <t xml:space="preserve">PV 119</t>
  </si>
  <si>
    <t xml:space="preserve">PV 128</t>
  </si>
  <si>
    <t xml:space="preserve">PV 129</t>
  </si>
  <si>
    <t xml:space="preserve">PV 130</t>
  </si>
  <si>
    <t xml:space="preserve">PV 120</t>
  </si>
  <si>
    <t xml:space="preserve">PV 121</t>
  </si>
  <si>
    <t xml:space="preserve">PV 122</t>
  </si>
  <si>
    <t xml:space="preserve">PV 123</t>
  </si>
  <si>
    <t xml:space="preserve">PV 124</t>
  </si>
  <si>
    <t xml:space="preserve">PV 125</t>
  </si>
  <si>
    <t xml:space="preserve">PV 126</t>
  </si>
  <si>
    <t xml:space="preserve">PV 127</t>
  </si>
  <si>
    <t xml:space="preserve">PV 133</t>
  </si>
  <si>
    <t xml:space="preserve">PV 134</t>
  </si>
  <si>
    <t xml:space="preserve">PV 135</t>
  </si>
  <si>
    <t xml:space="preserve">PV 136</t>
  </si>
  <si>
    <t xml:space="preserve">PV 137</t>
  </si>
  <si>
    <t xml:space="preserve">PLANEJAMENTO_SEMANAL  -  motor de calculo (uma linha por SEMANA x PIVO)</t>
  </si>
  <si>
    <t xml:space="preserve">CLIMA -&gt; ETo -&gt; Kc -&gt; ETc -&gt; chuva util -&gt; necessidade liquida -&gt; lamina bruta -&gt; volume -&gt; horas -&gt; utilizacao. Toda a analise da pasta le esta tabela por SOMASES.</t>
  </si>
  <si>
    <t xml:space="preserve">ID do ciclo</t>
  </si>
  <si>
    <t xml:space="preserve">Linha da rotacao</t>
  </si>
  <si>
    <t xml:space="preserve">Cultivar</t>
  </si>
  <si>
    <t xml:space="preserve">Data de plantio</t>
  </si>
  <si>
    <t xml:space="preserve">DAE (dias)</t>
  </si>
  <si>
    <t xml:space="preserve">Fracao do ciclo</t>
  </si>
  <si>
    <t xml:space="preserve">Linha da curva Kc</t>
  </si>
  <si>
    <t xml:space="preserve">Fase / estadio</t>
  </si>
  <si>
    <t xml:space="preserve">Kc</t>
  </si>
  <si>
    <t xml:space="preserve">ETo da semana (mm)</t>
  </si>
  <si>
    <t xml:space="preserve">Chuva estimada (mm)</t>
  </si>
  <si>
    <t xml:space="preserve">Necessidade liquida (mm)</t>
  </si>
  <si>
    <t xml:space="preserve">Eficiencia</t>
  </si>
  <si>
    <t xml:space="preserve">Lamina bruta (mm)</t>
  </si>
  <si>
    <t xml:space="preserve">Horas necessarias</t>
  </si>
  <si>
    <t xml:space="preserve">Horas disponiveis</t>
  </si>
  <si>
    <t xml:space="preserve">Utilizacao do pivo (%)</t>
  </si>
  <si>
    <t xml:space="preserve">Chave semana|utilizacao</t>
  </si>
  <si>
    <t xml:space="preserve">ETc x area (mm.ha)</t>
  </si>
  <si>
    <t xml:space="preserve">Chuva util x area (mm.ha)</t>
  </si>
  <si>
    <t xml:space="preserve">Nec. liquida x area (mm.ha)</t>
  </si>
  <si>
    <t xml:space="preserve">ETo x area (mm.ha)</t>
  </si>
  <si>
    <t xml:space="preserve">Chave pivo|utilizacao</t>
  </si>
  <si>
    <t xml:space="preserve">CADASTRO_PIVOS  -  hidraulica por pivo</t>
  </si>
  <si>
    <t xml:space="preserve">Area e casa de bomba: arquivo oficial RDM (aba Parametros). Lamina nominal: maior lamina praticada por pivo no arquivo oficial (data_Base). Vazao: preencha a coluna de cadastro para sobrepor o calculo.</t>
  </si>
  <si>
    <t xml:space="preserve">Area rotacao (ha)</t>
  </si>
  <si>
    <t xml:space="preserve">Lamina nominal (mm/dia)</t>
  </si>
  <si>
    <t xml:space="preserve">Vazao cadastrada (m3/h)</t>
  </si>
  <si>
    <t xml:space="preserve">Origem da vazao</t>
  </si>
  <si>
    <t xml:space="preserve">Eficiencia de aplicacao</t>
  </si>
  <si>
    <t xml:space="preserve">Horas max/dia</t>
  </si>
  <si>
    <t xml:space="preserve">Horas max/semana</t>
  </si>
  <si>
    <t xml:space="preserve">Observacao</t>
  </si>
  <si>
    <t xml:space="preserve">Lamina nominal = maior lamina/dia no arquivo oficial (85 dias com registro).</t>
  </si>
  <si>
    <t xml:space="preserve">Lamina nominal = maior lamina/dia no arquivo oficial (90 dias com registro).</t>
  </si>
  <si>
    <t xml:space="preserve">Lamina nominal = maior lamina/dia no arquivo oficial (87 dias com registro).</t>
  </si>
  <si>
    <t xml:space="preserve">Lamina nominal = maior lamina/dia no arquivo oficial (118 dias com registro).</t>
  </si>
  <si>
    <t xml:space="preserve">Lamina nominal = maior lamina/dia no arquivo oficial (76 dias com registro).</t>
  </si>
  <si>
    <t xml:space="preserve">Lamina nominal = maior lamina/dia no arquivo oficial (73 dias com registro).</t>
  </si>
  <si>
    <t xml:space="preserve">Lamina nominal = maior lamina/dia no arquivo oficial (111 dias com registro).</t>
  </si>
  <si>
    <t xml:space="preserve">Lamina nominal = maior lamina/dia no arquivo oficial (106 dias com registro).</t>
  </si>
  <si>
    <t xml:space="preserve">Lamina nominal = maior lamina/dia no arquivo oficial (101 dias com registro).</t>
  </si>
  <si>
    <t xml:space="preserve">Lamina nominal = maior lamina/dia no arquivo oficial (82 dias com registro).</t>
  </si>
  <si>
    <t xml:space="preserve">Lamina nominal = maior lamina/dia no arquivo oficial (102 dias com registro).</t>
  </si>
  <si>
    <t xml:space="preserve">Lamina nominal = maior lamina/dia no arquivo oficial (84 dias com registro).</t>
  </si>
  <si>
    <t xml:space="preserve">Lamina nominal = maior lamina/dia no arquivo oficial (92 dias com registro).</t>
  </si>
  <si>
    <t xml:space="preserve">Lamina nominal = maior lamina/dia no arquivo oficial (81 dias com registro).</t>
  </si>
  <si>
    <t xml:space="preserve">Lamina nominal = maior lamina/dia no arquivo oficial (93 dias com registro).</t>
  </si>
  <si>
    <t xml:space="preserve">Lamina nominal = maior lamina/dia no arquivo oficial (88 dias com registro).</t>
  </si>
  <si>
    <t xml:space="preserve">Lamina nominal = maior lamina/dia no arquivo oficial (89 dias com registro).</t>
  </si>
  <si>
    <t xml:space="preserve">Lamina nominal = maior lamina/dia no arquivo oficial (107 dias com registro).</t>
  </si>
  <si>
    <t xml:space="preserve">Lamina nominal = maior lamina/dia no arquivo oficial (112 dias com registro).</t>
  </si>
  <si>
    <t xml:space="preserve">Lamina nominal = maior lamina/dia no arquivo oficial (113 dias com registro).</t>
  </si>
  <si>
    <t xml:space="preserve">Lamina nominal = maior lamina/dia no arquivo oficial (70 dias com registro).</t>
  </si>
  <si>
    <t xml:space="preserve">Lamina nominal = maior lamina/dia no arquivo oficial (122 dias com registro).</t>
  </si>
  <si>
    <t xml:space="preserve">Lamina nominal = maior lamina/dia no arquivo oficial (109 dias com registro).</t>
  </si>
  <si>
    <t xml:space="preserve">Para usar a vazao real de projeto de um pivo, digite-a em 'Vazao cadastrada (m3/h)'. Enquanto vazia, o modelo reproduz a regra do arquivo oficial: Vazao = Area x Lamina nominal x 10 / horas por dia.</t>
  </si>
  <si>
    <t xml:space="preserve">CADASTRO_CASAS_BOMBA</t>
  </si>
  <si>
    <t xml:space="preserve">Volume de captacao e reservacao vem do arquivo oficial RDM (Dashboard). A vazao de captacao (m3/h) e derivada do volume/dia / 18 h. A vazao OPERACIONAL de recalque nao consta: preencha a coluna amarela; vazia, o modelo usa a soma das vazoes dos pivos.</t>
  </si>
  <si>
    <t xml:space="preserve">Pivos atendidos</t>
  </si>
  <si>
    <t xml:space="preserve">Area total atendida (ha)</t>
  </si>
  <si>
    <t xml:space="preserve">Vazao nominal (m3/h)</t>
  </si>
  <si>
    <t xml:space="preserve">Vazao operacional cadastrada (m3/h)</t>
  </si>
  <si>
    <t xml:space="preserve">Vazao operacional usada (m3/h)</t>
  </si>
  <si>
    <t xml:space="preserve">Vazao captacao (m3/h)</t>
  </si>
  <si>
    <t xml:space="preserve">Volume captacao (m3/dia)</t>
  </si>
  <si>
    <t xml:space="preserve">Horas disp./dia</t>
  </si>
  <si>
    <t xml:space="preserve">Horas disp./semana</t>
  </si>
  <si>
    <t xml:space="preserve">Volume max/dia (m3)</t>
  </si>
  <si>
    <t xml:space="preserve">Volume max/semana (m3)</t>
  </si>
  <si>
    <t xml:space="preserve">Reservacao total (m3)</t>
  </si>
  <si>
    <t xml:space="preserve">Captacao do arquivo oficial; vazao = volume/dia / 18 h.</t>
  </si>
  <si>
    <t xml:space="preserve">PV 106, PV 108</t>
  </si>
  <si>
    <t xml:space="preserve">PV 105, PV 107</t>
  </si>
  <si>
    <t xml:space="preserve">PV 101, PV 102, PV 103, PV 104, PV 110</t>
  </si>
  <si>
    <t xml:space="preserve">PV 112, PV 113, PV 114, PV 115, PV 131, PV 132</t>
  </si>
  <si>
    <t xml:space="preserve">PV 116, PV 117, PV 118, PV 119, PV 128, PV 129, PV 130</t>
  </si>
  <si>
    <t xml:space="preserve">PV 120, PV 121, PV 122, PV 123, PV 124, PV 125, PV 126, PV 127, PV 133</t>
  </si>
  <si>
    <t xml:space="preserve">PV 134, PV 135, PV 136, PV 137</t>
  </si>
  <si>
    <t xml:space="preserve">Sem captacao propria: abastecida pela reserva compartilhada (ver topologia no arquivo oficial).</t>
  </si>
  <si>
    <t xml:space="preserve">Volume maximo/semana = Vazao operacional x HORAS_OPERACAO_DIA x DIAS_POR_SEMANA (21 x 7 = 147 h por padrao). RM08 nao tem captacao propria no arquivo oficial - depende da reserva compartilhada.</t>
  </si>
  <si>
    <t xml:space="preserve">CADASTRO_TRECHOS_CANAL  -  topologia hidraulica do canal</t>
  </si>
  <si>
    <t xml:space="preserve">A matriz TRECHO x CASA abaixo define a rede: marque 1 onde o trecho transporta a agua daquela casa. Em canal em serie, um trecho a montante recebe 1 em todas as casas a jusante.</t>
  </si>
  <si>
    <t xml:space="preserve">ID_Trecho</t>
  </si>
  <si>
    <t xml:space="preserve">Nome_Trecho</t>
  </si>
  <si>
    <t xml:space="preserve">Trecho_Inicial</t>
  </si>
  <si>
    <t xml:space="preserve">Trecho_Final</t>
  </si>
  <si>
    <t xml:space="preserve">Casa_Inicial</t>
  </si>
  <si>
    <t xml:space="preserve">Casa_Final</t>
  </si>
  <si>
    <t xml:space="preserve">Casas_Atendidas</t>
  </si>
  <si>
    <t xml:space="preserve">Vazao_Maxima_m3h</t>
  </si>
  <si>
    <t xml:space="preserve">Vazao_Operacional_m3h</t>
  </si>
  <si>
    <t xml:space="preserve">Vazao usada (m3/h)</t>
  </si>
  <si>
    <t xml:space="preserve">Volume_Maximo_Dia_m3</t>
  </si>
  <si>
    <t xml:space="preserve">Volume canal armazenado (m3)</t>
  </si>
  <si>
    <t xml:space="preserve">Trecho 01 (RM01)</t>
  </si>
  <si>
    <t xml:space="preserve">Trecho 02 (RM02)</t>
  </si>
  <si>
    <t xml:space="preserve">Trecho 03 (RM03)</t>
  </si>
  <si>
    <t xml:space="preserve">Trecho 04 (RM04)</t>
  </si>
  <si>
    <t xml:space="preserve">Trecho 05 (RM05)</t>
  </si>
  <si>
    <t xml:space="preserve">Trecho 06 (RM06)</t>
  </si>
  <si>
    <t xml:space="preserve">Trecho 07 (RM07)</t>
  </si>
  <si>
    <t xml:space="preserve">Trecho 08 (RM08)</t>
  </si>
  <si>
    <t xml:space="preserve">MATRIZ DE DEPENDENCIA  TRECHO x CASA DE BOMBA  (1 = o trecho transporta a agua da casa)</t>
  </si>
  <si>
    <t xml:space="preserve">Casas por trecho</t>
  </si>
  <si>
    <t xml:space="preserve">TOPOLOGIA PROVISORIA: matriz em diagonal (1 trecho por casa). O arquivo oficial REV10 traz uma topologia de RESERVA COMPARTILHADA entre casas (GRUPO_PIVOT / poco contribuinte) - use-a para preencher esta matriz quando for modelar o canal em serie.</t>
  </si>
  <si>
    <t xml:space="preserve">PARAMETROS_CULTURAS  -  curva de Kc por cultura e grupo de ciclo</t>
  </si>
  <si>
    <t xml:space="preserve">Kc NAO e constante: curva de 4 fases (inicial, desenvolvimento, media, final) como fracao do ciclo, com interpolacao linear. Fonte: FAO-56 (Irrigation and Drainage Paper 56), Tabelas 11 e 12 - valores de partida, editaveis</t>
  </si>
  <si>
    <t xml:space="preserve">Chave (Cultura|Grupo)</t>
  </si>
  <si>
    <t xml:space="preserve">Grupo de ciclo</t>
  </si>
  <si>
    <t xml:space="preserve">Duracao referencia (dias)</t>
  </si>
  <si>
    <t xml:space="preserve">Fase inicial (fracao)</t>
  </si>
  <si>
    <t xml:space="preserve">Fase desenvolvimento (fracao)</t>
  </si>
  <si>
    <t xml:space="preserve">Fase media (fracao)</t>
  </si>
  <si>
    <t xml:space="preserve">Fase final (fracao)</t>
  </si>
  <si>
    <t xml:space="preserve">Soma das fases</t>
  </si>
  <si>
    <t xml:space="preserve">Kc inicial</t>
  </si>
  <si>
    <t xml:space="preserve">Kc medio (fase media)</t>
  </si>
  <si>
    <t xml:space="preserve">Kc final</t>
  </si>
  <si>
    <t xml:space="preserve">Kc medio ponderado do ciclo</t>
  </si>
  <si>
    <t xml:space="preserve">Consumo potencial (mm/ciclo)</t>
  </si>
  <si>
    <t xml:space="preserve">SOJA|PRECOCE</t>
  </si>
  <si>
    <t xml:space="preserve">PRECOCE</t>
  </si>
  <si>
    <t xml:space="preserve">Curva FAO-56; ajuste livre das fases e dos Kc.</t>
  </si>
  <si>
    <t xml:space="preserve">SOJA|MEDIA</t>
  </si>
  <si>
    <t xml:space="preserve">MEDIA</t>
  </si>
  <si>
    <t xml:space="preserve">SOJA|TARDIA</t>
  </si>
  <si>
    <t xml:space="preserve">TARDIA</t>
  </si>
  <si>
    <t xml:space="preserve">ALGODAO|PRECOCE</t>
  </si>
  <si>
    <t xml:space="preserve">ALGODAO|MEDIA</t>
  </si>
  <si>
    <t xml:space="preserve">ALGODAO|TARDIA</t>
  </si>
  <si>
    <t xml:space="preserve">MILHO_SEMENTE|PADRAO</t>
  </si>
  <si>
    <t xml:space="preserve">PADRAO</t>
  </si>
  <si>
    <t xml:space="preserve">MILHO_GRAO|PADRAO</t>
  </si>
  <si>
    <t xml:space="preserve">TABACO|PADRAO</t>
  </si>
  <si>
    <t xml:space="preserve">GERGELIM|PADRAO</t>
  </si>
  <si>
    <t xml:space="preserve">GERGELIM</t>
  </si>
  <si>
    <t xml:space="preserve">FEIJAO|PADRAO</t>
  </si>
  <si>
    <t xml:space="preserve">FEIJAO</t>
  </si>
  <si>
    <t xml:space="preserve">SORGO|PADRAO</t>
  </si>
  <si>
    <t xml:space="preserve">SORGO</t>
  </si>
  <si>
    <t xml:space="preserve">MILHETO|PADRAO</t>
  </si>
  <si>
    <t xml:space="preserve">MILHETO</t>
  </si>
  <si>
    <t xml:space="preserve">CROTALARIA|PADRAO</t>
  </si>
  <si>
    <t xml:space="preserve">CROTALARIA</t>
  </si>
  <si>
    <t xml:space="preserve">BRACHIARIA|PADRAO</t>
  </si>
  <si>
    <t xml:space="preserve">BRACHIARIA</t>
  </si>
  <si>
    <t xml:space="preserve">MIX COBERTURA|PADRAO</t>
  </si>
  <si>
    <t xml:space="preserve">MIX COBERTURA</t>
  </si>
  <si>
    <t xml:space="preserve">CACAU|PADRAO</t>
  </si>
  <si>
    <t xml:space="preserve">CACAU</t>
  </si>
  <si>
    <t xml:space="preserve">EUCALIPTO|PADRAO</t>
  </si>
  <si>
    <t xml:space="preserve">EUCALIPTO</t>
  </si>
  <si>
    <t xml:space="preserve">MYAGUI|PADRAO</t>
  </si>
  <si>
    <t xml:space="preserve">MYAGUI</t>
  </si>
  <si>
    <t xml:space="preserve">CARINATA|PADRAO</t>
  </si>
  <si>
    <t xml:space="preserve">CARINATA</t>
  </si>
  <si>
    <t xml:space="preserve">FEIJAO CAUPI|PADRAO</t>
  </si>
  <si>
    <t xml:space="preserve">FEIJAO CAUPI</t>
  </si>
  <si>
    <t xml:space="preserve">FEIJAO MUNGO|PADRAO</t>
  </si>
  <si>
    <t xml:space="preserve">FEIJAO MUNGO</t>
  </si>
  <si>
    <t xml:space="preserve">MILHO PESQUISA|PADRAO</t>
  </si>
  <si>
    <t xml:space="preserve">MILHO PESQUISA</t>
  </si>
  <si>
    <t xml:space="preserve">A soma das quatro fases precisa dar 100%. 'Consumo potencial' usa a ETo media do horizonte, so como referencia agronomica.</t>
  </si>
  <si>
    <t xml:space="preserve">ROTACAO_RDM  -  ocupacao agricola dos pivos da RDM</t>
  </si>
  <si>
    <t xml:space="preserve">Importada da rotacao bienal 26-28 v.21 (abas Rotacao + Rotacao Milho semente), FAZENDA = RDM, tipo Irrigado. Altere plantio, data final ou cultura e o planejamento inteiro recalcula.</t>
  </si>
  <si>
    <t xml:space="preserve">ID</t>
  </si>
  <si>
    <t xml:space="preserve">Safra</t>
  </si>
  <si>
    <t xml:space="preserve">Data plantio</t>
  </si>
  <si>
    <t xml:space="preserve">Duracao (dias)</t>
  </si>
  <si>
    <t xml:space="preserve">Chave da curva de Kc</t>
  </si>
  <si>
    <t xml:space="preserve">Origem da data de plantio</t>
  </si>
  <si>
    <t xml:space="preserve">Ordem na rotacao</t>
  </si>
  <si>
    <t xml:space="preserve">FM 933 STP</t>
  </si>
  <si>
    <t xml:space="preserve">Rotacao (informado)</t>
  </si>
  <si>
    <t xml:space="preserve">C3</t>
  </si>
  <si>
    <t xml:space="preserve">Syngenta</t>
  </si>
  <si>
    <t xml:space="preserve">ESTIMADO = Data_Fim - duracao de referencia (160 d)</t>
  </si>
  <si>
    <t xml:space="preserve">C0</t>
  </si>
  <si>
    <t xml:space="preserve">IMA 5901 B2RF</t>
  </si>
  <si>
    <t xml:space="preserve">IMA 707 B3XF</t>
  </si>
  <si>
    <t xml:space="preserve">COMBATE IPRO</t>
  </si>
  <si>
    <t xml:space="preserve">C2</t>
  </si>
  <si>
    <t xml:space="preserve">FM 911 GLTP</t>
  </si>
  <si>
    <t xml:space="preserve">DP 2297 B3XF/ DP 2252 B3XF</t>
  </si>
  <si>
    <t xml:space="preserve">ESTIMADO = Data_Fim - duracao de referencia (198 d)</t>
  </si>
  <si>
    <t xml:space="preserve">NEO 761 I2X</t>
  </si>
  <si>
    <t xml:space="preserve">NEO 690 I2X</t>
  </si>
  <si>
    <t xml:space="preserve">DP 1949 B3RF</t>
  </si>
  <si>
    <t xml:space="preserve">FM 974 GLT</t>
  </si>
  <si>
    <t xml:space="preserve">DP 2111 B3RF</t>
  </si>
  <si>
    <t xml:space="preserve">ESTIMADO = Data_Fim - duracao de referencia (183 d)</t>
  </si>
  <si>
    <t xml:space="preserve">FM 911 GLTP/ FM 945 STP</t>
  </si>
  <si>
    <t xml:space="preserve">PVH-2343</t>
  </si>
  <si>
    <t xml:space="preserve">C1</t>
  </si>
  <si>
    <t xml:space="preserve">BMX Olimpo IPRO</t>
  </si>
  <si>
    <t xml:space="preserve">MS</t>
  </si>
  <si>
    <t xml:space="preserve">IMA 3764 B2RF</t>
  </si>
  <si>
    <t xml:space="preserve">Ordem: C0 = cultura anterior ocupando o pivo no inicio do horizonte; C1/C2/C3 = ciclos da rotacao bienal; MS = milho semente (aba Rotacao Milho semente). A area usada e sempre a do CADASTRO_PIVOS.</t>
  </si>
  <si>
    <t xml:space="preserve">CLIMA_ETo_CHUVA  -  entrada climatica diaria do modelo</t>
  </si>
  <si>
    <t xml:space="preserve">Cenario deterministico. Climatologia de referencia do Oeste da Bahia (PROVISORIA): substitua pela serie da estacao. Preencha as colunas de usuario para sobrepor dia a dia.</t>
  </si>
  <si>
    <t xml:space="preserve">ATENCAO - DADO PENDENTE: ETo e chuva de referencia sao climatologia regional, NAO sao dado medido da fazenda. Substitua antes de usar para decisao operacional.</t>
  </si>
  <si>
    <t xml:space="preserve">Mes</t>
  </si>
  <si>
    <t xml:space="preserve">ETo referencia (mm/dia)</t>
  </si>
  <si>
    <t xml:space="preserve">ETo usuario (mm/dia)</t>
  </si>
  <si>
    <t xml:space="preserve">ETo mm/dia (usada)</t>
  </si>
  <si>
    <t xml:space="preserve">ETo acumulada na semana (mm)</t>
  </si>
  <si>
    <t xml:space="preserve">Chuva referencia (mm)</t>
  </si>
  <si>
    <t xml:space="preserve">Chuva usuario (mm)</t>
  </si>
  <si>
    <t xml:space="preserve">Chuva bruta mm (usada)</t>
  </si>
  <si>
    <t xml:space="preserve">Chuva util calculada (mm)</t>
  </si>
  <si>
    <t xml:space="preserve">Chuva util usuario (mm)</t>
  </si>
  <si>
    <t xml:space="preserve">Chuva util mm (usada)</t>
  </si>
  <si>
    <t xml:space="preserve">Fonte</t>
  </si>
  <si>
    <t xml:space="preserve">Metodo da chuva util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</si>
  <si>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</si>
  <si>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</si>
  <si>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</si>
  <si>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</si>
  <si>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</si>
  <si>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</si>
  <si>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</si>
  <si>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</si>
  <si>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</si>
  <si>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</si>
  <si>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</si>
  <si>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</si>
  <si>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SEMANAS  -  indice temporal da safra</t>
  </si>
  <si>
    <t xml:space="preserve">Uma linha por semana. Agrega o clima diario e define as horas operacionais da semana.</t>
  </si>
  <si>
    <t xml:space="preserve">Data de referencia (meio)</t>
  </si>
  <si>
    <t xml:space="preserve">Dias</t>
  </si>
  <si>
    <t xml:space="preserve">Chuva bruta da semana (mm)</t>
  </si>
  <si>
    <t xml:space="preserve">Chuva util da semana (mm)</t>
  </si>
  <si>
    <t xml:space="preserve">Horas disponiveis na semana</t>
  </si>
  <si>
    <t xml:space="preserve">PARAMETROS GERAIS DO MODELO</t>
  </si>
  <si>
    <t xml:space="preserve">Toda constante do modelo mora aqui. Nenhuma formula da pasta traz numero digitado: as celulas amarelas sao as unicas entradas.</t>
  </si>
  <si>
    <t xml:space="preserve">Nome definido</t>
  </si>
  <si>
    <t xml:space="preserve">Parametro</t>
  </si>
  <si>
    <t xml:space="preserve">Valor</t>
  </si>
  <si>
    <t xml:space="preserve">Unidade</t>
  </si>
  <si>
    <t xml:space="preserve">Origem / observacao</t>
  </si>
  <si>
    <t xml:space="preserve">Editavel</t>
  </si>
  <si>
    <t xml:space="preserve">HORAS_OPERACAO_DIA</t>
  </si>
  <si>
    <t xml:space="preserve">Horas de operacao disponiveis por dia</t>
  </si>
  <si>
    <t xml:space="preserve">h/dia</t>
  </si>
  <si>
    <t xml:space="preserve">Turno de rega do arquivo oficial RDM (Dashboard = 21 h)</t>
  </si>
  <si>
    <t xml:space="preserve">SIM</t>
  </si>
  <si>
    <t xml:space="preserve">HORAS_OPERACAO_SEMANA</t>
  </si>
  <si>
    <t xml:space="preserve">Horas de operacao disponiveis por semana</t>
  </si>
  <si>
    <t xml:space="preserve">h/semana</t>
  </si>
  <si>
    <t xml:space="preserve">Calculado: HORAS_OPERACAO_DIA x DIAS_POR_SEMANA</t>
  </si>
  <si>
    <t xml:space="preserve">calculado</t>
  </si>
  <si>
    <t xml:space="preserve">DIAS_POR_SEMANA</t>
  </si>
  <si>
    <t xml:space="preserve">Dias por semana</t>
  </si>
  <si>
    <t xml:space="preserve">dias</t>
  </si>
  <si>
    <t xml:space="preserve">Definicao do modelo</t>
  </si>
  <si>
    <t xml:space="preserve">HORAS_CAPTACAO_DIA</t>
  </si>
  <si>
    <t xml:space="preserve">Turno de captacao dos pocos</t>
  </si>
  <si>
    <t xml:space="preserve">Base do volume de captacao do arquivo oficial (volume/dia = vazao x 18 h)</t>
  </si>
  <si>
    <t xml:space="preserve">MM_PARA_M3_HA</t>
  </si>
  <si>
    <t xml:space="preserve">Conversao lamina -&gt; volume</t>
  </si>
  <si>
    <t xml:space="preserve">m3/(mm.ha)</t>
  </si>
  <si>
    <t xml:space="preserve">1 mm em 1 ha = 10 m3</t>
  </si>
  <si>
    <t xml:space="preserve">EFICIENCIA_PADRAO</t>
  </si>
  <si>
    <t xml:space="preserve">Eficiencia de aplicacao padrao</t>
  </si>
  <si>
    <t xml:space="preserve">fracao</t>
  </si>
  <si>
    <t xml:space="preserve">DADO PENDENTE - nao consta nos arquivos oficiais. Valor provisorio.</t>
  </si>
  <si>
    <t xml:space="preserve">FATOR_CHUVA_UTIL</t>
  </si>
  <si>
    <t xml:space="preserve">Fator de aproveitamento da chuva</t>
  </si>
  <si>
    <t xml:space="preserve">DADO PENDENTE - definir com base no historico da fazenda.</t>
  </si>
  <si>
    <t xml:space="preserve">LIMITE_CHUVA_UTIL_DIA</t>
  </si>
  <si>
    <t xml:space="preserve">Limite diario de chuva util</t>
  </si>
  <si>
    <t xml:space="preserve">mm/dia</t>
  </si>
  <si>
    <t xml:space="preserve">DADO PENDENTE - teto de infiltracao/armazenamento. Valor provisorio.</t>
  </si>
  <si>
    <t xml:space="preserve">CENARIO_CLIMA</t>
  </si>
  <si>
    <t xml:space="preserve">Cenario climatico ativo</t>
  </si>
  <si>
    <t xml:space="preserve">REFERENCIA</t>
  </si>
  <si>
    <t xml:space="preserve">texto</t>
  </si>
  <si>
    <t xml:space="preserve">REFERENCIA = climatologia regional | USUARIO = colunas preenchidas pelo usuario</t>
  </si>
  <si>
    <t xml:space="preserve">LIMITE_CONFORTAVEL</t>
  </si>
  <si>
    <t xml:space="preserve">Limite superior da faixa CONFORTAVEL</t>
  </si>
  <si>
    <t xml:space="preserve">Faixa editavel de classificacao</t>
  </si>
  <si>
    <t xml:space="preserve">LIMITE_ATENCAO</t>
  </si>
  <si>
    <t xml:space="preserve">Limite superior da faixa ATENCAO</t>
  </si>
  <si>
    <t xml:space="preserve">LIMITE_CRITICO</t>
  </si>
  <si>
    <t xml:space="preserve">Limite superior da faixa CRITICO</t>
  </si>
  <si>
    <t xml:space="preserve">Acima deste valor: INVIAVEL em 21 h/dia</t>
  </si>
  <si>
    <t xml:space="preserve">HORIZONTE DA SAFRA</t>
  </si>
  <si>
    <t xml:space="preserve">DATA_INICIO_SAFRA</t>
  </si>
  <si>
    <t xml:space="preserve">Inicio da semana 1 (segunda-feira)</t>
  </si>
  <si>
    <t xml:space="preserve">N_SEMANAS</t>
  </si>
  <si>
    <t xml:space="preserve">Numero de semanas simuladas</t>
  </si>
  <si>
    <t xml:space="preserve">DATA_FIM_SAFRA</t>
  </si>
  <si>
    <t xml:space="preserve">Fim da ultima semana</t>
  </si>
  <si>
    <t xml:space="preserve">SAFRA</t>
  </si>
  <si>
    <t xml:space="preserve">Identificacao da safra</t>
  </si>
  <si>
    <t xml:space="preserve">2026/2027 - RDM</t>
  </si>
  <si>
    <t xml:space="preserve">LEGENDA  -  celula AMARELA com texto AZUL = entrada do usuario  |  texto PRETO = formula  |  texto VERDE = valor trazido de outra aba  |  faixa VERMELHA = DADO PENDENTE, valor provisorio.</t>
  </si>
  <si>
    <t xml:space="preserve">AUX_MATRIZES  -  camada de calculo (CASA x SEMANA e TRECHO x SEMANA)</t>
  </si>
  <si>
    <t xml:space="preserve">Aba tecnica. Resumos, dashboard, graficos e mapas de calor leem daqui. Nada a preencher.</t>
  </si>
  <si>
    <t xml:space="preserve">Resumo da safra</t>
  </si>
  <si>
    <t xml:space="preserve">Volume necessario por casa de bomba (m3)</t>
  </si>
  <si>
    <t xml:space="preserve">SUM da safra</t>
  </si>
  <si>
    <t xml:space="preserve">Area ativa por casa de bomba (ha)</t>
  </si>
  <si>
    <t xml:space="preserve">MAX da safra</t>
  </si>
  <si>
    <t xml:space="preserve">Horas necessarias por casa de bomba (h)</t>
  </si>
  <si>
    <t xml:space="preserve">Vazao media requerida por casa (m3/h)</t>
  </si>
  <si>
    <t xml:space="preserve">Utilizacao da casa de bomba (%)</t>
  </si>
  <si>
    <t xml:space="preserve">Deficit de vazao da casa (m3/h)</t>
  </si>
  <si>
    <t xml:space="preserve">Volume necessario por trecho de canal (m3)</t>
  </si>
  <si>
    <t xml:space="preserve">Vazao requerida por trecho (m3/h)</t>
  </si>
  <si>
    <t xml:space="preserve">Vazao disponivel por trecho (m3/h)</t>
  </si>
  <si>
    <t xml:space="preserve">Utilizacao do trecho (%)</t>
  </si>
  <si>
    <t xml:space="preserve">Deficit de vazao do trecho (m3/h)</t>
  </si>
  <si>
    <t xml:space="preserve">Indicadores do sistema RDM</t>
  </si>
  <si>
    <t xml:space="preserve">Volume total necessario (m3)</t>
  </si>
  <si>
    <t xml:space="preserve">Area ativa total (ha)</t>
  </si>
  <si>
    <t xml:space="preserve">ETc media ponderada (mm)</t>
  </si>
  <si>
    <t xml:space="preserve">Chuva util media ponderada (mm)</t>
  </si>
  <si>
    <t xml:space="preserve">Necessidade liquida media (mm)</t>
  </si>
  <si>
    <t xml:space="preserve">Lamina bruta media (mm)</t>
  </si>
  <si>
    <t xml:space="preserve">Horas necessarias totais (h)</t>
  </si>
  <si>
    <t xml:space="preserve">Utilizacao maxima de pivo (%)</t>
  </si>
  <si>
    <t xml:space="preserve">Volume equivalente por dia (m3/dia)</t>
  </si>
  <si>
    <t xml:space="preserve">Vazao media requerida do sistema (m3/h)</t>
  </si>
  <si>
    <t xml:space="preserve">Capacidade instalada do sistema (m3/h)</t>
  </si>
  <si>
    <t xml:space="preserve">Deficit de vazao do sistema (m3/h)</t>
  </si>
  <si>
    <t xml:space="preserve">Deficit de volume do sistema (m3)</t>
  </si>
  <si>
    <t xml:space="preserve">Deficit de horas do sistema (h)</t>
  </si>
  <si>
    <t xml:space="preserve">MEMORIA DE CALCULO</t>
  </si>
  <si>
    <t xml:space="preserve">Cada formula do modelo, onde mora e o que significa. CLIMA -&gt; ETo -&gt; Kc -&gt; ETc -&gt; chuva util -&gt; necessidade -&gt; volume -&gt; horas -&gt; casa -&gt; reservatorio -&gt; trecho -&gt; gargalo.</t>
  </si>
  <si>
    <t xml:space="preserve">Etapa</t>
  </si>
  <si>
    <t xml:space="preserve">Formula</t>
  </si>
  <si>
    <t xml:space="preserve">Onde esta e como funciona</t>
  </si>
  <si>
    <t xml:space="preserve">1. ETo</t>
  </si>
  <si>
    <t xml:space="preserve">ETo</t>
  </si>
  <si>
    <t xml:space="preserve">Entrada do modelo (mm/dia)</t>
  </si>
  <si>
    <t xml:space="preserve">CLIMA_ETo_CHUVA col G. ETo da semana = soma dos 7 dias (SEMANAS col H).</t>
  </si>
  <si>
    <t xml:space="preserve">2. Kc</t>
  </si>
  <si>
    <t xml:space="preserve">Kc = f(DAE / duracao)</t>
  </si>
  <si>
    <t xml:space="preserve">Interpolacao linear entre 4 pontos</t>
  </si>
  <si>
    <t xml:space="preserve">Fracao = DAE/duracao. Inicial: Kc_ini. Desenvolvimento: Kc_ini-&gt;Kc_med. Media: Kc_med. Final: Kc_med-&gt;Kc_fim. Curvas em PARAMETROS_CULTURAS.</t>
  </si>
  <si>
    <t xml:space="preserve">3. ETc</t>
  </si>
  <si>
    <t xml:space="preserve">ETc = ETo x Kc</t>
  </si>
  <si>
    <t xml:space="preserve">mm/semana</t>
  </si>
  <si>
    <t xml:space="preserve">PLANEJAMENTO_SEMANAL col T.</t>
  </si>
  <si>
    <t xml:space="preserve">4. Chuva util</t>
  </si>
  <si>
    <t xml:space="preserve">Chuva_util = MIN(Chuva_bruta x FATOR ; LIMITE_DIA)</t>
  </si>
  <si>
    <t xml:space="preserve">CLIMA_ETo_CHUVA col L. Usuario pode digitar direto (col M). Deterministico, sem Monte Carlo.</t>
  </si>
  <si>
    <t xml:space="preserve">5. Necessidade liquida</t>
  </si>
  <si>
    <t xml:space="preserve">NL = MAX(0 ; ETc - Chuva_util)</t>
  </si>
  <si>
    <t xml:space="preserve">PLANEJAMENTO_SEMANAL col W.</t>
  </si>
  <si>
    <t xml:space="preserve">6. Lamina bruta</t>
  </si>
  <si>
    <t xml:space="preserve">LB = NL / Eficiencia</t>
  </si>
  <si>
    <t xml:space="preserve">PLANEJAMENTO_SEMANAL col Y. Eficiencia de CADASTRO_PIVOS ou EFICIENCIA_PADRAO.</t>
  </si>
  <si>
    <t xml:space="preserve">7. Volume</t>
  </si>
  <si>
    <t xml:space="preserve">Volume = LB x Area x 10</t>
  </si>
  <si>
    <t xml:space="preserve">1 mm em 1 ha = 10 m3 (MM_PARA_M3_HA). PLANEJAMENTO_SEMANAL col Z.</t>
  </si>
  <si>
    <t xml:space="preserve">8. Vazao do pivo</t>
  </si>
  <si>
    <t xml:space="preserve">Q = Area x Lamina nominal x 10 / HORAS_OPERACAO_DIA</t>
  </si>
  <si>
    <t xml:space="preserve">CADASTRO_PIVOS col I. Vazao de projeto cadastrada prevalece.</t>
  </si>
  <si>
    <t xml:space="preserve">9. Horas por pivo</t>
  </si>
  <si>
    <t xml:space="preserve">Horas = Volume / Q_pivo</t>
  </si>
  <si>
    <t xml:space="preserve">PLANEJAMENTO_SEMANAL col AB.</t>
  </si>
  <si>
    <t xml:space="preserve">10. Horas disponiveis</t>
  </si>
  <si>
    <t xml:space="preserve">Horas_disp = HORAS_OPERACAO_DIA x dias</t>
  </si>
  <si>
    <t xml:space="preserve">SEMANAS col K. 21 x 7 = 147 h. O 21 e o 7 sao parametros.</t>
  </si>
  <si>
    <t xml:space="preserve">11. Utilizacao do pivo</t>
  </si>
  <si>
    <t xml:space="preserve">Util = Horas nec / Horas disp</t>
  </si>
  <si>
    <t xml:space="preserve">PLANEJAMENTO_SEMANAL col AD.</t>
  </si>
  <si>
    <t xml:space="preserve">12. Demanda da casa</t>
  </si>
  <si>
    <t xml:space="preserve">Vol_casa = soma dos pivos da casa</t>
  </si>
  <si>
    <t xml:space="preserve">m3/semana</t>
  </si>
  <si>
    <t xml:space="preserve">AUX_MATRIZES VOL_CASA.</t>
  </si>
  <si>
    <t xml:space="preserve">13. Vazao requerida da casa</t>
  </si>
  <si>
    <t xml:space="preserve">Qreq = Vol_casa / Horas disp</t>
  </si>
  <si>
    <t xml:space="preserve">AUX_MATRIZES QREQ_CASA.</t>
  </si>
  <si>
    <t xml:space="preserve">14. Utilizacao da casa</t>
  </si>
  <si>
    <t xml:space="preserve">Util = Qreq / Q_operacional</t>
  </si>
  <si>
    <t xml:space="preserve">AUX_MATRIZES UTIL_CASA.</t>
  </si>
  <si>
    <t xml:space="preserve">15. Balanco do reservatorio (diario)</t>
  </si>
  <si>
    <t xml:space="preserve">Nivel[t] = MIN(cap ; MAX(0 ; Nivel[t-1] + captacao - consumo))</t>
  </si>
  <si>
    <t xml:space="preserve">BALANCO_DIARIO. Captacao 18 h entra, consumo dos pivos sai, reservatorio comeca cheio. Deficit &gt; 0 = falta de agua naquele dia.</t>
  </si>
  <si>
    <t xml:space="preserve">16. Demanda do trecho</t>
  </si>
  <si>
    <t xml:space="preserve">Vol_trecho = SOMA(matriz x Vol_casa)</t>
  </si>
  <si>
    <t xml:space="preserve">AUX_MATRIZES VOL_TRECHO. Matriz TRECHO x CASA em CADASTRO_TRECHOS_CANAL.</t>
  </si>
  <si>
    <t xml:space="preserve">17. Utilizacao/deficit do trecho</t>
  </si>
  <si>
    <t xml:space="preserve">Util = Qreq/Qdisp ; Deficit = Qreq - Qdisp</t>
  </si>
  <si>
    <t xml:space="preserve">% e m3/h</t>
  </si>
  <si>
    <t xml:space="preserve">Deficit &gt; 0: TRECHO LIMITANTE.</t>
  </si>
  <si>
    <t xml:space="preserve">18. Capacidade em 21 h/dia</t>
  </si>
  <si>
    <t xml:space="preserve">Cap = Q_total x HORAS_OPERACAO_DIA x dias</t>
  </si>
  <si>
    <t xml:space="preserve">CAPACIDADE_21H col F.</t>
  </si>
  <si>
    <t xml:space="preserve">A pasta nao usa VBA nem macro: SOMASES, INDICE/CORRESP, SE, MAXIMO, MINIMO, validacao, formatacao condicional e graficos nativos.</t>
  </si>
  <si>
    <t xml:space="preserve">PENDENCIAS DE CADASTRO  -  o que falta para o modelo virar compromisso</t>
  </si>
  <si>
    <t xml:space="preserve">Nada aqui foi inventado para fechar conta. Cada linha aponta um dado ausente, o que o modelo usa no lugar e o efeito no resultado.</t>
  </si>
  <si>
    <t xml:space="preserve">Variavel</t>
  </si>
  <si>
    <t xml:space="preserve">Equipamento / abrangencia</t>
  </si>
  <si>
    <t xml:space="preserve">Dado necessario</t>
  </si>
  <si>
    <t xml:space="preserve">O que o modelo faz enquanto isso</t>
  </si>
  <si>
    <t xml:space="preserve">Impacto no calculo</t>
  </si>
  <si>
    <t xml:space="preserve">Onde preencher</t>
  </si>
  <si>
    <t xml:space="preserve">Evapotranspiracao de referencia (ETo)</t>
  </si>
  <si>
    <t xml:space="preserve">Toda a RDM</t>
  </si>
  <si>
    <t xml:space="preserve">Serie diaria de ETo da safra (estacao, INMET ou banco climatico)</t>
  </si>
  <si>
    <t xml:space="preserve">Climatologia regional do Oeste da Bahia (provisoria), marcada em vermelho na aba de clima.</t>
  </si>
  <si>
    <t xml:space="preserve">Escala TODA a demanda. Erro de 10% em ETo = ~10% em volume, horas e utilizacao.</t>
  </si>
  <si>
    <t xml:space="preserve">CLIMA_ETo_CHUVA, coluna 'ETo usuario'</t>
  </si>
  <si>
    <t xml:space="preserve">Chuva e chuva util</t>
  </si>
  <si>
    <t xml:space="preserve">Serie de chuva da safra e criterio de aproveitamento</t>
  </si>
  <si>
    <t xml:space="preserve">mm/dia e %</t>
  </si>
  <si>
    <t xml:space="preserve">Chuva de referencia regional x FATOR_CHUVA_UTIL, limitada por LIMITE_CHUVA_UTIL_DIA.</t>
  </si>
  <si>
    <t xml:space="preserve">Define quanto da ETc e abatido antes da irrigacao.</t>
  </si>
  <si>
    <t xml:space="preserve">CLIMA_ETo_CHUVA / PARAMETROS_GERAIS</t>
  </si>
  <si>
    <t xml:space="preserve">Todos os pivos</t>
  </si>
  <si>
    <t xml:space="preserve">Eficiencia medida por pivo (CUC/CUD)</t>
  </si>
  <si>
    <t xml:space="preserve">EFICIENCIA_PADRAO provisoria em todos os pivos.</t>
  </si>
  <si>
    <t xml:space="preserve">Divide a necessidade liquida; entra na lamina bruta, volume e horas.</t>
  </si>
  <si>
    <t xml:space="preserve">CADASTRO_PIVOS / PARAMETROS_GERAIS</t>
  </si>
  <si>
    <t xml:space="preserve">Vazao de projeto dos pivos</t>
  </si>
  <si>
    <t xml:space="preserve">Vazao nominal de cada pivo (projeto ou ensaio)</t>
  </si>
  <si>
    <t xml:space="preserve">Calcula Area x Lamina nominal x 10 / horas (regra do arquivo oficial).</t>
  </si>
  <si>
    <t xml:space="preserve">Define as horas necessarias e a utilizacao dentro das 21 h/dia.</t>
  </si>
  <si>
    <t xml:space="preserve">CADASTRO_PIVOS, 'Vazao cadastrada'</t>
  </si>
  <si>
    <t xml:space="preserve">Vazao operacional das casas de bomba</t>
  </si>
  <si>
    <t xml:space="preserve">RM01 a RM08</t>
  </si>
  <si>
    <t xml:space="preserve">Vazao de recalque efetiva de cada casa</t>
  </si>
  <si>
    <t xml:space="preserve">Usa a soma das vazoes dos pivos da casa.</t>
  </si>
  <si>
    <t xml:space="preserve">Sem ela nao ha folga/deficit real por casa de bomba.</t>
  </si>
  <si>
    <t xml:space="preserve">CADASTRO_CASAS_BOMBA, 'Vazao operacional cadastrada'</t>
  </si>
  <si>
    <t xml:space="preserve">Capacidade e topologia do canal / reserva compartilhada</t>
  </si>
  <si>
    <t xml:space="preserve">TR01 a TR08 / grupos</t>
  </si>
  <si>
    <t xml:space="preserve">Capacidade dos trechos e a rede de reserva compartilhada (GRUPO_PIVOT do arquivo REV10)</t>
  </si>
  <si>
    <t xml:space="preserve">m3/h e matriz</t>
  </si>
  <si>
    <t xml:space="preserve">Matriz em diagonal (1 trecho por casa); capacidade repete a soma das casas.</t>
  </si>
  <si>
    <t xml:space="preserve">E o nivel do gargalo real; RM08 depende da reserva compartilhada (sem captacao propria).</t>
  </si>
  <si>
    <t xml:space="preserve">CADASTRO_TRECHOS_CANAL</t>
  </si>
  <si>
    <t xml:space="preserve">Curvas de Kc</t>
  </si>
  <si>
    <t xml:space="preserve">Todas as culturas</t>
  </si>
  <si>
    <t xml:space="preserve">Kc calibrado para as cultivares e o manejo da RDM</t>
  </si>
  <si>
    <t xml:space="preserve">adimensional</t>
  </si>
  <si>
    <t xml:space="preserve">Curvas FAO-56 de partida, editaveis.</t>
  </si>
  <si>
    <t xml:space="preserve">Multiplica a ETo; junto com a ETo define a ETc.</t>
  </si>
  <si>
    <t xml:space="preserve">PARAMETROS_CULTURAS</t>
  </si>
  <si>
    <t xml:space="preserve">INCONSISTENCIAS ENCONTRADAS NA IMPORTACAO DA ROTACAO</t>
  </si>
  <si>
    <t xml:space="preserve">Equipamento</t>
  </si>
  <si>
    <t xml:space="preserve">Dado encontrado</t>
  </si>
  <si>
    <t xml:space="preserve">Data de plantio do ciclo anterior</t>
  </si>
  <si>
    <t xml:space="preserve">MILHO_SEMENTE Syngenta - encerramento em 04/12/2026</t>
  </si>
  <si>
    <t xml:space="preserve">Kc do residuo estimado por retro-calculo; confirmar a data real de plantio.</t>
  </si>
  <si>
    <t xml:space="preserve">ALGODAO DP 2297 B3XF/ DP 2252 B3XF - encerramento em 03/09/2026</t>
  </si>
  <si>
    <t xml:space="preserve">Ciclo incompleto na rotacao</t>
  </si>
  <si>
    <t xml:space="preserve">ANTERIOR: cultura=MILHETO cultivar=None plantio=None fim=None</t>
  </si>
  <si>
    <t xml:space="preserve">-</t>
  </si>
  <si>
    <t xml:space="preserve">Ciclo NAO entra no motor; o pivo fica sem cultura nessas semanas.</t>
  </si>
  <si>
    <t xml:space="preserve">ALGODAO DP 1949 B3RF - encerramento em 01/09/2026</t>
  </si>
  <si>
    <t xml:space="preserve">CICLO 2: cultura=None cultivar=None plantio=None fim=2027-02-05</t>
  </si>
  <si>
    <t xml:space="preserve">ALGODAO DP 2111 B3RF - encerramento em 11/09/2026</t>
  </si>
  <si>
    <t xml:space="preserve">ALGODAO FM 911 GLTP/ FM 945 STP - encerramento em 06/09/2026</t>
  </si>
  <si>
    <t xml:space="preserve">ALGODAO DP 1949 B3RF - encerramento em 18/09/2026</t>
  </si>
  <si>
    <t xml:space="preserve">CICLO 1: cultura=None cultivar=PVH-2343 plantio=2027-01-15 fim=2027-06-24</t>
  </si>
  <si>
    <t xml:space="preserve">ALGODAO DP 1949 B3RF - encerramento em 16/09/2026</t>
  </si>
  <si>
    <t xml:space="preserve">MILHO_SEMENTE Syngenta - encerramento em 05/10/2026</t>
  </si>
  <si>
    <t xml:space="preserve">MILHO_SEMENTE Syngenta - encerramento em 29/10/2026</t>
  </si>
  <si>
    <t xml:space="preserve">MILHO_SEMENTE Syngenta - encerramento em 25/11/2026</t>
  </si>
  <si>
    <t xml:space="preserve">Sobreposicao de ciclos</t>
  </si>
  <si>
    <t xml:space="preserve">SOJA (ate 08/02/2027) x ALGODAO (a partir de 30/01/2027)</t>
  </si>
  <si>
    <t xml:space="preserve">10 dias</t>
  </si>
  <si>
    <t xml:space="preserve">Nas semanas sobrepostas o modelo soma dois IDs de ciclo e nao acha cultura. Ajustar as datas.</t>
  </si>
  <si>
    <t xml:space="preserve">SOJA (ate 07/02/2027) x ALGODAO (a partir de 28/01/2027)</t>
  </si>
  <si>
    <t xml:space="preserve">11 dias</t>
  </si>
  <si>
    <t xml:space="preserve">ALGODAO (ate 29/06/2027) x MILHO_SEMENTE (a partir de 28/06/2027)</t>
  </si>
  <si>
    <t xml:space="preserve">2 dias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</si>
</sst>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0"/>
    <numFmt numFmtId="167" formatCode="#,##0"/>
    <numFmt numFmtId="168" formatCode="0.0%"/>
    <numFmt numFmtId="169" formatCode="#,##0.0"/>
    <numFmt numFmtId="170" formatCode="#,##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833C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2E5C8A"/>
        <bgColor rgb="FF4672A8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CE4D6"/>
      </patternFill>
    </fill>
    <fill>
      <patternFill patternType="solid">
        <fgColor rgb="FF1F3864"/>
        <bgColor rgb="FF2E5C8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4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3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4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4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4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4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5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5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5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5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7" borderId="0" applyFont="true" applyBorder="true" applyAlignment="true" applyProtection="true">
      <alignment horizontal="left" vertical="center" textRotation="0" wrapText="false" indent="1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46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4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4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45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5" borderId="1" xfId="3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5" borderId="1" xfId="3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1" xfId="3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4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3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3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1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1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1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1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1" xfId="4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4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4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42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3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viso" xfId="20"/>
    <cellStyle name="cabecalho" xfId="21"/>
    <cellStyle name="data" xfId="22"/>
    <cellStyle name="elo" xfId="23"/>
    <cellStyle name="eloTexto" xfId="24"/>
    <cellStyle name="entrada" xfId="25"/>
    <cellStyle name="entradaData" xfId="26"/>
    <cellStyle name="entradaInt" xfId="27"/>
    <cellStyle name="entradaNum" xfId="28"/>
    <cellStyle name="entradaPct" xfId="29"/>
    <cellStyle name="kpiRotulo" xfId="30"/>
    <cellStyle name="kpiValor" xfId="31"/>
    <cellStyle name="kpiValor1" xfId="32"/>
    <cellStyle name="kpiValorData" xfId="33"/>
    <cellStyle name="kpiValorPct" xfId="34"/>
    <cellStyle name="kpiValorTxt" xfId="35"/>
    <cellStyle name="num0" xfId="36"/>
    <cellStyle name="num1" xfId="37"/>
    <cellStyle name="num2" xfId="38"/>
    <cellStyle name="num3" xfId="39"/>
    <cellStyle name="pct" xfId="40"/>
    <cellStyle name="pendente" xfId="41"/>
    <cellStyle name="rotulo" xfId="42"/>
    <cellStyle name="secao" xfId="43"/>
    <cellStyle name="subtitulo" xfId="44"/>
    <cellStyle name="texto" xfId="45"/>
    <cellStyle name="tituloPagina" xfId="46"/>
  </cellStyles>
  <dxfs count="10"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4B183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2E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7D5FA0"/>
      <rgbColor rgb="FF4F81BD"/>
      <rgbColor rgb="FFBFBFBF"/>
      <rgbColor rgb="FF878787"/>
      <rgbColor rgb="FF93A9CE"/>
      <rgbColor rgb="FFAB4744"/>
      <rgbColor rgb="FFFFF2CC"/>
      <rgbColor rgb="FFF2F2F2"/>
      <rgbColor rgb="FF660066"/>
      <rgbColor rgb="FFF8696B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4B183"/>
      <rgbColor rgb="FFD09493"/>
      <rgbColor rgb="FFFFC7CE"/>
      <rgbColor rgb="FF4A7EBB"/>
      <rgbColor rgb="FF33CCCC"/>
      <rgbColor rgb="FF98B855"/>
      <rgbColor rgb="FFFFCC00"/>
      <rgbColor rgb="FFDC853E"/>
      <rgbColor rgb="FFC0504D"/>
      <rgbColor rgb="FF725990"/>
      <rgbColor rgb="FF8AA64F"/>
      <rgbColor rgb="FF1F3864"/>
      <rgbColor rgb="FF4299B0"/>
      <rgbColor rgb="FF003300"/>
      <rgbColor rgb="FF333300"/>
      <rgbColor rgb="FF833C00"/>
      <rgbColor rgb="FFBE4B48"/>
      <rgbColor rgb="FF2E5C8A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RM01 - Entrada x Consumo x Nivel do reservatorio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BALANCO_CASAS!B7</c:f>
              <c:strCache>
                <c:ptCount val="1"/>
                <c:pt idx="0">
                  <c:v>RM01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BALANCO_CASAS!$C$7:$BP$7</c:f>
              <c:numCache>
                <c:formatCode>#,##0</c:formatCode>
                <c:ptCount val="66"/>
                <c:pt idx="0">
                  <c:v>73500</c:v>
                </c:pt>
                <c:pt idx="1">
                  <c:v>73500</c:v>
                </c:pt>
                <c:pt idx="2">
                  <c:v>73500</c:v>
                </c:pt>
                <c:pt idx="3">
                  <c:v>73500</c:v>
                </c:pt>
                <c:pt idx="4">
                  <c:v>73500</c:v>
                </c:pt>
                <c:pt idx="5">
                  <c:v>73500</c:v>
                </c:pt>
                <c:pt idx="6">
                  <c:v>73500</c:v>
                </c:pt>
                <c:pt idx="7">
                  <c:v>73500</c:v>
                </c:pt>
                <c:pt idx="8">
                  <c:v>73500</c:v>
                </c:pt>
                <c:pt idx="9">
                  <c:v>73500</c:v>
                </c:pt>
                <c:pt idx="10">
                  <c:v>73500</c:v>
                </c:pt>
                <c:pt idx="11">
                  <c:v>73500</c:v>
                </c:pt>
                <c:pt idx="12">
                  <c:v>73500</c:v>
                </c:pt>
                <c:pt idx="13">
                  <c:v>73500</c:v>
                </c:pt>
                <c:pt idx="14">
                  <c:v>73500</c:v>
                </c:pt>
                <c:pt idx="15">
                  <c:v>73500</c:v>
                </c:pt>
                <c:pt idx="16">
                  <c:v>73500</c:v>
                </c:pt>
                <c:pt idx="17">
                  <c:v>73500</c:v>
                </c:pt>
                <c:pt idx="18">
                  <c:v>73500</c:v>
                </c:pt>
                <c:pt idx="19">
                  <c:v>73500</c:v>
                </c:pt>
                <c:pt idx="20">
                  <c:v>73500</c:v>
                </c:pt>
                <c:pt idx="21">
                  <c:v>73500</c:v>
                </c:pt>
                <c:pt idx="22">
                  <c:v>73500</c:v>
                </c:pt>
                <c:pt idx="23">
                  <c:v>73500</c:v>
                </c:pt>
                <c:pt idx="24">
                  <c:v>73500</c:v>
                </c:pt>
                <c:pt idx="25">
                  <c:v>73500</c:v>
                </c:pt>
                <c:pt idx="26">
                  <c:v>73500</c:v>
                </c:pt>
                <c:pt idx="27">
                  <c:v>73500</c:v>
                </c:pt>
                <c:pt idx="28">
                  <c:v>73500</c:v>
                </c:pt>
                <c:pt idx="29">
                  <c:v>73500</c:v>
                </c:pt>
                <c:pt idx="30">
                  <c:v>73500</c:v>
                </c:pt>
                <c:pt idx="31">
                  <c:v>73500</c:v>
                </c:pt>
                <c:pt idx="32">
                  <c:v>73500</c:v>
                </c:pt>
                <c:pt idx="33">
                  <c:v>73500</c:v>
                </c:pt>
                <c:pt idx="34">
                  <c:v>73500</c:v>
                </c:pt>
                <c:pt idx="35">
                  <c:v>73500</c:v>
                </c:pt>
                <c:pt idx="36">
                  <c:v>73500</c:v>
                </c:pt>
                <c:pt idx="37">
                  <c:v>73500</c:v>
                </c:pt>
                <c:pt idx="38">
                  <c:v>73500</c:v>
                </c:pt>
                <c:pt idx="39">
                  <c:v>73500</c:v>
                </c:pt>
                <c:pt idx="40">
                  <c:v>73500</c:v>
                </c:pt>
                <c:pt idx="41">
                  <c:v>73500</c:v>
                </c:pt>
                <c:pt idx="42">
                  <c:v>73500</c:v>
                </c:pt>
                <c:pt idx="43">
                  <c:v>73500</c:v>
                </c:pt>
                <c:pt idx="44">
                  <c:v>73500</c:v>
                </c:pt>
                <c:pt idx="45">
                  <c:v>73500</c:v>
                </c:pt>
                <c:pt idx="46">
                  <c:v>73500</c:v>
                </c:pt>
                <c:pt idx="47">
                  <c:v>73500</c:v>
                </c:pt>
                <c:pt idx="48">
                  <c:v>73500</c:v>
                </c:pt>
                <c:pt idx="49">
                  <c:v>73500</c:v>
                </c:pt>
                <c:pt idx="50">
                  <c:v>73500</c:v>
                </c:pt>
                <c:pt idx="51">
                  <c:v>73500</c:v>
                </c:pt>
                <c:pt idx="52">
                  <c:v>73500</c:v>
                </c:pt>
                <c:pt idx="53">
                  <c:v>73500</c:v>
                </c:pt>
                <c:pt idx="54">
                  <c:v>73500</c:v>
                </c:pt>
                <c:pt idx="55">
                  <c:v>73500</c:v>
                </c:pt>
                <c:pt idx="56">
                  <c:v>73500</c:v>
                </c:pt>
                <c:pt idx="57">
                  <c:v>73500</c:v>
                </c:pt>
                <c:pt idx="58">
                  <c:v>73500</c:v>
                </c:pt>
                <c:pt idx="59">
                  <c:v>73500</c:v>
                </c:pt>
                <c:pt idx="60">
                  <c:v>73500</c:v>
                </c:pt>
                <c:pt idx="61">
                  <c:v>73500</c:v>
                </c:pt>
                <c:pt idx="62">
                  <c:v>73500</c:v>
                </c:pt>
                <c:pt idx="63">
                  <c:v>73500</c:v>
                </c:pt>
                <c:pt idx="64">
                  <c:v>73500</c:v>
                </c:pt>
                <c:pt idx="65">
                  <c:v>73500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BALANCO_CASAS!B19</c:f>
              <c:strCache>
                <c:ptCount val="1"/>
                <c:pt idx="0">
                  <c:v>RM01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BALANCO_CASAS!$C$19:$BP$19</c:f>
              <c:numCache>
                <c:formatCode>#,##0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1313.88423529412</c:v>
                </c:pt>
                <c:pt idx="5">
                  <c:v>0</c:v>
                </c:pt>
                <c:pt idx="6">
                  <c:v>0</c:v>
                </c:pt>
                <c:pt idx="7">
                  <c:v>2987.4674117647</c:v>
                </c:pt>
                <c:pt idx="8">
                  <c:v>8914.87502614379</c:v>
                </c:pt>
                <c:pt idx="9">
                  <c:v>0</c:v>
                </c:pt>
                <c:pt idx="10">
                  <c:v>2420.73917647058</c:v>
                </c:pt>
                <c:pt idx="11">
                  <c:v>2420.73917647058</c:v>
                </c:pt>
                <c:pt idx="12">
                  <c:v>2420.73917647058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5006.27506717716</c:v>
                </c:pt>
                <c:pt idx="31">
                  <c:v>17062.160739993</c:v>
                </c:pt>
                <c:pt idx="32">
                  <c:v>21086.2665527323</c:v>
                </c:pt>
                <c:pt idx="33">
                  <c:v>25110.3723654716</c:v>
                </c:pt>
                <c:pt idx="34">
                  <c:v>29431.7008235294</c:v>
                </c:pt>
                <c:pt idx="35">
                  <c:v>35995.3390588235</c:v>
                </c:pt>
                <c:pt idx="36">
                  <c:v>35995.3390588235</c:v>
                </c:pt>
                <c:pt idx="37">
                  <c:v>35995.3390588235</c:v>
                </c:pt>
                <c:pt idx="38">
                  <c:v>35995.3390588235</c:v>
                </c:pt>
                <c:pt idx="39">
                  <c:v>36120.2505882353</c:v>
                </c:pt>
                <c:pt idx="40">
                  <c:v>36141.0691764706</c:v>
                </c:pt>
                <c:pt idx="41">
                  <c:v>36141.0691764706</c:v>
                </c:pt>
                <c:pt idx="42">
                  <c:v>36141.0691764706</c:v>
                </c:pt>
                <c:pt idx="43">
                  <c:v>35750.9303581125</c:v>
                </c:pt>
                <c:pt idx="44">
                  <c:v>34618.3169683258</c:v>
                </c:pt>
                <c:pt idx="45">
                  <c:v>32163.5325791855</c:v>
                </c:pt>
                <c:pt idx="46">
                  <c:v>29708.7481900452</c:v>
                </c:pt>
                <c:pt idx="47">
                  <c:v>28032.7162663219</c:v>
                </c:pt>
                <c:pt idx="48">
                  <c:v>29736.6545882353</c:v>
                </c:pt>
                <c:pt idx="49">
                  <c:v>26768.0781176471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BALANCO_CASAS!B43</c:f>
              <c:strCache>
                <c:ptCount val="1"/>
                <c:pt idx="0">
                  <c:v>RM01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BALANCO_CASAS!$C$43:$BP$43</c:f>
              <c:numCache>
                <c:formatCode>#,##0</c:formatCode>
                <c:ptCount val="66"/>
                <c:pt idx="0">
                  <c:v>2600</c:v>
                </c:pt>
                <c:pt idx="1">
                  <c:v>2600</c:v>
                </c:pt>
                <c:pt idx="2">
                  <c:v>2600</c:v>
                </c:pt>
                <c:pt idx="3">
                  <c:v>2600</c:v>
                </c:pt>
                <c:pt idx="4">
                  <c:v>2600</c:v>
                </c:pt>
                <c:pt idx="5">
                  <c:v>2600</c:v>
                </c:pt>
                <c:pt idx="6">
                  <c:v>2600</c:v>
                </c:pt>
                <c:pt idx="7">
                  <c:v>2600</c:v>
                </c:pt>
                <c:pt idx="8">
                  <c:v>2600</c:v>
                </c:pt>
                <c:pt idx="9">
                  <c:v>2600</c:v>
                </c:pt>
                <c:pt idx="10">
                  <c:v>2600</c:v>
                </c:pt>
                <c:pt idx="11">
                  <c:v>2600</c:v>
                </c:pt>
                <c:pt idx="12">
                  <c:v>2600</c:v>
                </c:pt>
                <c:pt idx="13">
                  <c:v>2600</c:v>
                </c:pt>
                <c:pt idx="14">
                  <c:v>2600</c:v>
                </c:pt>
                <c:pt idx="15">
                  <c:v>2600</c:v>
                </c:pt>
                <c:pt idx="16">
                  <c:v>2600</c:v>
                </c:pt>
                <c:pt idx="17">
                  <c:v>2600</c:v>
                </c:pt>
                <c:pt idx="18">
                  <c:v>2600</c:v>
                </c:pt>
                <c:pt idx="19">
                  <c:v>2600</c:v>
                </c:pt>
                <c:pt idx="20">
                  <c:v>2600</c:v>
                </c:pt>
                <c:pt idx="21">
                  <c:v>2600</c:v>
                </c:pt>
                <c:pt idx="22">
                  <c:v>2600</c:v>
                </c:pt>
                <c:pt idx="23">
                  <c:v>2600</c:v>
                </c:pt>
                <c:pt idx="24">
                  <c:v>2600</c:v>
                </c:pt>
                <c:pt idx="25">
                  <c:v>2600</c:v>
                </c:pt>
                <c:pt idx="26">
                  <c:v>2600</c:v>
                </c:pt>
                <c:pt idx="27">
                  <c:v>2600</c:v>
                </c:pt>
                <c:pt idx="28">
                  <c:v>2600</c:v>
                </c:pt>
                <c:pt idx="29">
                  <c:v>2600</c:v>
                </c:pt>
                <c:pt idx="30">
                  <c:v>2600</c:v>
                </c:pt>
                <c:pt idx="31">
                  <c:v>2600</c:v>
                </c:pt>
                <c:pt idx="32">
                  <c:v>2600</c:v>
                </c:pt>
                <c:pt idx="33">
                  <c:v>2600</c:v>
                </c:pt>
                <c:pt idx="34">
                  <c:v>2600</c:v>
                </c:pt>
                <c:pt idx="35">
                  <c:v>2600</c:v>
                </c:pt>
                <c:pt idx="36">
                  <c:v>2600</c:v>
                </c:pt>
                <c:pt idx="37">
                  <c:v>2600</c:v>
                </c:pt>
                <c:pt idx="38">
                  <c:v>2600</c:v>
                </c:pt>
                <c:pt idx="39">
                  <c:v>2600</c:v>
                </c:pt>
                <c:pt idx="40">
                  <c:v>2600</c:v>
                </c:pt>
                <c:pt idx="41">
                  <c:v>2600</c:v>
                </c:pt>
                <c:pt idx="42">
                  <c:v>2600</c:v>
                </c:pt>
                <c:pt idx="43">
                  <c:v>2600</c:v>
                </c:pt>
                <c:pt idx="44">
                  <c:v>2600</c:v>
                </c:pt>
                <c:pt idx="45">
                  <c:v>2600</c:v>
                </c:pt>
                <c:pt idx="46">
                  <c:v>2600</c:v>
                </c:pt>
                <c:pt idx="47">
                  <c:v>2600</c:v>
                </c:pt>
                <c:pt idx="48">
                  <c:v>2600</c:v>
                </c:pt>
                <c:pt idx="49">
                  <c:v>2600</c:v>
                </c:pt>
                <c:pt idx="50">
                  <c:v>2600</c:v>
                </c:pt>
                <c:pt idx="51">
                  <c:v>2600</c:v>
                </c:pt>
                <c:pt idx="52">
                  <c:v>2600</c:v>
                </c:pt>
                <c:pt idx="53">
                  <c:v>2600</c:v>
                </c:pt>
                <c:pt idx="54">
                  <c:v>2600</c:v>
                </c:pt>
                <c:pt idx="55">
                  <c:v>2600</c:v>
                </c:pt>
                <c:pt idx="56">
                  <c:v>2600</c:v>
                </c:pt>
                <c:pt idx="57">
                  <c:v>2600</c:v>
                </c:pt>
                <c:pt idx="58">
                  <c:v>2600</c:v>
                </c:pt>
                <c:pt idx="59">
                  <c:v>2600</c:v>
                </c:pt>
                <c:pt idx="60">
                  <c:v>2600</c:v>
                </c:pt>
                <c:pt idx="61">
                  <c:v>2600</c:v>
                </c:pt>
                <c:pt idx="62">
                  <c:v>2600</c:v>
                </c:pt>
                <c:pt idx="63">
                  <c:v>2600</c:v>
                </c:pt>
                <c:pt idx="64">
                  <c:v>2600</c:v>
                </c:pt>
                <c:pt idx="65">
                  <c:v>2600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124572"/>
        <c:axId val="23427390"/>
      </c:lineChart>
      <c:catAx>
        <c:axId val="131245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27390"/>
        <c:crosses val="autoZero"/>
        <c:auto val="1"/>
        <c:lblAlgn val="ctr"/>
        <c:lblOffset val="100"/>
        <c:noMultiLvlLbl val="0"/>
      </c:catAx>
      <c:valAx>
        <c:axId val="23427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245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RM02 - Entrada x Consumo x Nivel do reservatorio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BALANCO_CASAS!B8</c:f>
              <c:strCache>
                <c:ptCount val="1"/>
                <c:pt idx="0">
                  <c:v>RM02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BALANCO_CASAS!$C$8:$BP$8</c:f>
              <c:numCache>
                <c:formatCode>#,##0</c:formatCode>
                <c:ptCount val="66"/>
                <c:pt idx="0">
                  <c:v>73500</c:v>
                </c:pt>
                <c:pt idx="1">
                  <c:v>73500</c:v>
                </c:pt>
                <c:pt idx="2">
                  <c:v>73500</c:v>
                </c:pt>
                <c:pt idx="3">
                  <c:v>73500</c:v>
                </c:pt>
                <c:pt idx="4">
                  <c:v>73500</c:v>
                </c:pt>
                <c:pt idx="5">
                  <c:v>73500</c:v>
                </c:pt>
                <c:pt idx="6">
                  <c:v>73500</c:v>
                </c:pt>
                <c:pt idx="7">
                  <c:v>73500</c:v>
                </c:pt>
                <c:pt idx="8">
                  <c:v>73500</c:v>
                </c:pt>
                <c:pt idx="9">
                  <c:v>73500</c:v>
                </c:pt>
                <c:pt idx="10">
                  <c:v>73500</c:v>
                </c:pt>
                <c:pt idx="11">
                  <c:v>73500</c:v>
                </c:pt>
                <c:pt idx="12">
                  <c:v>73500</c:v>
                </c:pt>
                <c:pt idx="13">
                  <c:v>73500</c:v>
                </c:pt>
                <c:pt idx="14">
                  <c:v>73500</c:v>
                </c:pt>
                <c:pt idx="15">
                  <c:v>73500</c:v>
                </c:pt>
                <c:pt idx="16">
                  <c:v>73500</c:v>
                </c:pt>
                <c:pt idx="17">
                  <c:v>73500</c:v>
                </c:pt>
                <c:pt idx="18">
                  <c:v>73500</c:v>
                </c:pt>
                <c:pt idx="19">
                  <c:v>73500</c:v>
                </c:pt>
                <c:pt idx="20">
                  <c:v>73500</c:v>
                </c:pt>
                <c:pt idx="21">
                  <c:v>73500</c:v>
                </c:pt>
                <c:pt idx="22">
                  <c:v>73500</c:v>
                </c:pt>
                <c:pt idx="23">
                  <c:v>73500</c:v>
                </c:pt>
                <c:pt idx="24">
                  <c:v>73500</c:v>
                </c:pt>
                <c:pt idx="25">
                  <c:v>73500</c:v>
                </c:pt>
                <c:pt idx="26">
                  <c:v>73500</c:v>
                </c:pt>
                <c:pt idx="27">
                  <c:v>73500</c:v>
                </c:pt>
                <c:pt idx="28">
                  <c:v>73500</c:v>
                </c:pt>
                <c:pt idx="29">
                  <c:v>73500</c:v>
                </c:pt>
                <c:pt idx="30">
                  <c:v>73500</c:v>
                </c:pt>
                <c:pt idx="31">
                  <c:v>73500</c:v>
                </c:pt>
                <c:pt idx="32">
                  <c:v>73500</c:v>
                </c:pt>
                <c:pt idx="33">
                  <c:v>73500</c:v>
                </c:pt>
                <c:pt idx="34">
                  <c:v>73500</c:v>
                </c:pt>
                <c:pt idx="35">
                  <c:v>73500</c:v>
                </c:pt>
                <c:pt idx="36">
                  <c:v>73500</c:v>
                </c:pt>
                <c:pt idx="37">
                  <c:v>73500</c:v>
                </c:pt>
                <c:pt idx="38">
                  <c:v>73500</c:v>
                </c:pt>
                <c:pt idx="39">
                  <c:v>73500</c:v>
                </c:pt>
                <c:pt idx="40">
                  <c:v>73500</c:v>
                </c:pt>
                <c:pt idx="41">
                  <c:v>73500</c:v>
                </c:pt>
                <c:pt idx="42">
                  <c:v>73500</c:v>
                </c:pt>
                <c:pt idx="43">
                  <c:v>73500</c:v>
                </c:pt>
                <c:pt idx="44">
                  <c:v>73500</c:v>
                </c:pt>
                <c:pt idx="45">
                  <c:v>73500</c:v>
                </c:pt>
                <c:pt idx="46">
                  <c:v>73500</c:v>
                </c:pt>
                <c:pt idx="47">
                  <c:v>73500</c:v>
                </c:pt>
                <c:pt idx="48">
                  <c:v>73500</c:v>
                </c:pt>
                <c:pt idx="49">
                  <c:v>73500</c:v>
                </c:pt>
                <c:pt idx="50">
                  <c:v>73500</c:v>
                </c:pt>
                <c:pt idx="51">
                  <c:v>73500</c:v>
                </c:pt>
                <c:pt idx="52">
                  <c:v>73500</c:v>
                </c:pt>
                <c:pt idx="53">
                  <c:v>73500</c:v>
                </c:pt>
                <c:pt idx="54">
                  <c:v>73500</c:v>
                </c:pt>
                <c:pt idx="55">
                  <c:v>73500</c:v>
                </c:pt>
                <c:pt idx="56">
                  <c:v>73500</c:v>
                </c:pt>
                <c:pt idx="57">
                  <c:v>73500</c:v>
                </c:pt>
                <c:pt idx="58">
                  <c:v>73500</c:v>
                </c:pt>
                <c:pt idx="59">
                  <c:v>73500</c:v>
                </c:pt>
                <c:pt idx="60">
                  <c:v>73500</c:v>
                </c:pt>
                <c:pt idx="61">
                  <c:v>73500</c:v>
                </c:pt>
                <c:pt idx="62">
                  <c:v>73500</c:v>
                </c:pt>
                <c:pt idx="63">
                  <c:v>73500</c:v>
                </c:pt>
                <c:pt idx="64">
                  <c:v>73500</c:v>
                </c:pt>
                <c:pt idx="65">
                  <c:v>73500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BALANCO_CASAS!B20</c:f>
              <c:strCache>
                <c:ptCount val="1"/>
                <c:pt idx="0">
                  <c:v>RM02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BALANCO_CASAS!$C$20:$BP$20</c:f>
              <c:numCache>
                <c:formatCode>#,##0</c:formatCode>
                <c:ptCount val="66"/>
                <c:pt idx="0">
                  <c:v>22570.0291764706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1344.35576470588</c:v>
                </c:pt>
                <c:pt idx="5">
                  <c:v>0</c:v>
                </c:pt>
                <c:pt idx="6">
                  <c:v>0</c:v>
                </c:pt>
                <c:pt idx="7">
                  <c:v>2611.19894593879</c:v>
                </c:pt>
                <c:pt idx="8">
                  <c:v>8421.15634341653</c:v>
                </c:pt>
                <c:pt idx="9">
                  <c:v>0</c:v>
                </c:pt>
                <c:pt idx="10">
                  <c:v>2476.88082352941</c:v>
                </c:pt>
                <c:pt idx="11">
                  <c:v>2476.88082352941</c:v>
                </c:pt>
                <c:pt idx="12">
                  <c:v>2476.88082352941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205.420776888263</c:v>
                </c:pt>
                <c:pt idx="24">
                  <c:v>4483.19184081679</c:v>
                </c:pt>
                <c:pt idx="25">
                  <c:v>6897.07694117646</c:v>
                </c:pt>
                <c:pt idx="26">
                  <c:v>8520.40329411764</c:v>
                </c:pt>
                <c:pt idx="27">
                  <c:v>8520.40329411764</c:v>
                </c:pt>
                <c:pt idx="28">
                  <c:v>8520.40329411764</c:v>
                </c:pt>
                <c:pt idx="29">
                  <c:v>8520.40329411764</c:v>
                </c:pt>
                <c:pt idx="30">
                  <c:v>23595.1241394335</c:v>
                </c:pt>
                <c:pt idx="31">
                  <c:v>44157.0737908497</c:v>
                </c:pt>
                <c:pt idx="32">
                  <c:v>48452.4201960784</c:v>
                </c:pt>
                <c:pt idx="33">
                  <c:v>52747.7666013072</c:v>
                </c:pt>
                <c:pt idx="34">
                  <c:v>58017.9796832579</c:v>
                </c:pt>
                <c:pt idx="35">
                  <c:v>69073.5477828054</c:v>
                </c:pt>
                <c:pt idx="36">
                  <c:v>66633.1704072398</c:v>
                </c:pt>
                <c:pt idx="37">
                  <c:v>64192.7930316742</c:v>
                </c:pt>
                <c:pt idx="38">
                  <c:v>61752.4156561086</c:v>
                </c:pt>
                <c:pt idx="39">
                  <c:v>60144.703800905</c:v>
                </c:pt>
                <c:pt idx="40">
                  <c:v>57959.3124585219</c:v>
                </c:pt>
                <c:pt idx="41">
                  <c:v>55635.1435294118</c:v>
                </c:pt>
                <c:pt idx="42">
                  <c:v>35359.2916078431</c:v>
                </c:pt>
                <c:pt idx="43">
                  <c:v>34231.6316862745</c:v>
                </c:pt>
                <c:pt idx="44">
                  <c:v>32464.5349411765</c:v>
                </c:pt>
                <c:pt idx="45">
                  <c:v>29416.9866666667</c:v>
                </c:pt>
                <c:pt idx="46">
                  <c:v>26369.4383921569</c:v>
                </c:pt>
                <c:pt idx="47">
                  <c:v>23982.2338823529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BALANCO_CASAS!B44</c:f>
              <c:strCache>
                <c:ptCount val="1"/>
                <c:pt idx="0">
                  <c:v>RM02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BALANCO_CASAS!$C$44:$BP$44</c:f>
              <c:numCache>
                <c:formatCode>#,##0</c:formatCode>
                <c:ptCount val="66"/>
                <c:pt idx="0">
                  <c:v>76648</c:v>
                </c:pt>
                <c:pt idx="1">
                  <c:v>76648</c:v>
                </c:pt>
                <c:pt idx="2">
                  <c:v>76648</c:v>
                </c:pt>
                <c:pt idx="3">
                  <c:v>76648</c:v>
                </c:pt>
                <c:pt idx="4">
                  <c:v>76648</c:v>
                </c:pt>
                <c:pt idx="5">
                  <c:v>76648</c:v>
                </c:pt>
                <c:pt idx="6">
                  <c:v>76648</c:v>
                </c:pt>
                <c:pt idx="7">
                  <c:v>76648</c:v>
                </c:pt>
                <c:pt idx="8">
                  <c:v>76648</c:v>
                </c:pt>
                <c:pt idx="9">
                  <c:v>76648</c:v>
                </c:pt>
                <c:pt idx="10">
                  <c:v>76648</c:v>
                </c:pt>
                <c:pt idx="11">
                  <c:v>76648</c:v>
                </c:pt>
                <c:pt idx="12">
                  <c:v>76648</c:v>
                </c:pt>
                <c:pt idx="13">
                  <c:v>76648</c:v>
                </c:pt>
                <c:pt idx="14">
                  <c:v>76648</c:v>
                </c:pt>
                <c:pt idx="15">
                  <c:v>76648</c:v>
                </c:pt>
                <c:pt idx="16">
                  <c:v>76648</c:v>
                </c:pt>
                <c:pt idx="17">
                  <c:v>76648</c:v>
                </c:pt>
                <c:pt idx="18">
                  <c:v>76648</c:v>
                </c:pt>
                <c:pt idx="19">
                  <c:v>76648</c:v>
                </c:pt>
                <c:pt idx="20">
                  <c:v>76648</c:v>
                </c:pt>
                <c:pt idx="21">
                  <c:v>76648</c:v>
                </c:pt>
                <c:pt idx="22">
                  <c:v>76648</c:v>
                </c:pt>
                <c:pt idx="23">
                  <c:v>76648</c:v>
                </c:pt>
                <c:pt idx="24">
                  <c:v>76648</c:v>
                </c:pt>
                <c:pt idx="25">
                  <c:v>76648</c:v>
                </c:pt>
                <c:pt idx="26">
                  <c:v>76648</c:v>
                </c:pt>
                <c:pt idx="27">
                  <c:v>76648</c:v>
                </c:pt>
                <c:pt idx="28">
                  <c:v>76648</c:v>
                </c:pt>
                <c:pt idx="29">
                  <c:v>76648</c:v>
                </c:pt>
                <c:pt idx="30">
                  <c:v>76648</c:v>
                </c:pt>
                <c:pt idx="31">
                  <c:v>76648</c:v>
                </c:pt>
                <c:pt idx="32">
                  <c:v>76648</c:v>
                </c:pt>
                <c:pt idx="33">
                  <c:v>76648</c:v>
                </c:pt>
                <c:pt idx="34">
                  <c:v>76648</c:v>
                </c:pt>
                <c:pt idx="35">
                  <c:v>76648</c:v>
                </c:pt>
                <c:pt idx="36">
                  <c:v>76648</c:v>
                </c:pt>
                <c:pt idx="37">
                  <c:v>76648</c:v>
                </c:pt>
                <c:pt idx="38">
                  <c:v>76648</c:v>
                </c:pt>
                <c:pt idx="39">
                  <c:v>76648</c:v>
                </c:pt>
                <c:pt idx="40">
                  <c:v>76648</c:v>
                </c:pt>
                <c:pt idx="41">
                  <c:v>76648</c:v>
                </c:pt>
                <c:pt idx="42">
                  <c:v>76648</c:v>
                </c:pt>
                <c:pt idx="43">
                  <c:v>76648</c:v>
                </c:pt>
                <c:pt idx="44">
                  <c:v>76648</c:v>
                </c:pt>
                <c:pt idx="45">
                  <c:v>76648</c:v>
                </c:pt>
                <c:pt idx="46">
                  <c:v>76648</c:v>
                </c:pt>
                <c:pt idx="47">
                  <c:v>76648</c:v>
                </c:pt>
                <c:pt idx="48">
                  <c:v>76648</c:v>
                </c:pt>
                <c:pt idx="49">
                  <c:v>76648</c:v>
                </c:pt>
                <c:pt idx="50">
                  <c:v>76648</c:v>
                </c:pt>
                <c:pt idx="51">
                  <c:v>76648</c:v>
                </c:pt>
                <c:pt idx="52">
                  <c:v>76648</c:v>
                </c:pt>
                <c:pt idx="53">
                  <c:v>76648</c:v>
                </c:pt>
                <c:pt idx="54">
                  <c:v>76648</c:v>
                </c:pt>
                <c:pt idx="55">
                  <c:v>76648</c:v>
                </c:pt>
                <c:pt idx="56">
                  <c:v>76648</c:v>
                </c:pt>
                <c:pt idx="57">
                  <c:v>76648</c:v>
                </c:pt>
                <c:pt idx="58">
                  <c:v>76648</c:v>
                </c:pt>
                <c:pt idx="59">
                  <c:v>76648</c:v>
                </c:pt>
                <c:pt idx="60">
                  <c:v>76648</c:v>
                </c:pt>
                <c:pt idx="61">
                  <c:v>76648</c:v>
                </c:pt>
                <c:pt idx="62">
                  <c:v>76648</c:v>
                </c:pt>
                <c:pt idx="63">
                  <c:v>76648</c:v>
                </c:pt>
                <c:pt idx="64">
                  <c:v>76648</c:v>
                </c:pt>
                <c:pt idx="65">
                  <c:v>76648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358563"/>
        <c:axId val="26976079"/>
      </c:lineChart>
      <c:catAx>
        <c:axId val="593585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76079"/>
        <c:crosses val="autoZero"/>
        <c:auto val="1"/>
        <c:lblAlgn val="ctr"/>
        <c:lblOffset val="100"/>
        <c:noMultiLvlLbl val="0"/>
      </c:catAx>
      <c:valAx>
        <c:axId val="26976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58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RM03 - Entrada x Consumo x Nivel do reservatorio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BALANCO_CASAS!B9</c:f>
              <c:strCache>
                <c:ptCount val="1"/>
                <c:pt idx="0">
                  <c:v>RM03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BALANCO_CASAS!$C$9:$BP$9</c:f>
              <c:numCache>
                <c:formatCode>#,##0</c:formatCode>
                <c:ptCount val="66"/>
                <c:pt idx="0">
                  <c:v>73500</c:v>
                </c:pt>
                <c:pt idx="1">
                  <c:v>73500</c:v>
                </c:pt>
                <c:pt idx="2">
                  <c:v>73500</c:v>
                </c:pt>
                <c:pt idx="3">
                  <c:v>73500</c:v>
                </c:pt>
                <c:pt idx="4">
                  <c:v>73500</c:v>
                </c:pt>
                <c:pt idx="5">
                  <c:v>73500</c:v>
                </c:pt>
                <c:pt idx="6">
                  <c:v>73500</c:v>
                </c:pt>
                <c:pt idx="7">
                  <c:v>73500</c:v>
                </c:pt>
                <c:pt idx="8">
                  <c:v>73500</c:v>
                </c:pt>
                <c:pt idx="9">
                  <c:v>73500</c:v>
                </c:pt>
                <c:pt idx="10">
                  <c:v>73500</c:v>
                </c:pt>
                <c:pt idx="11">
                  <c:v>73500</c:v>
                </c:pt>
                <c:pt idx="12">
                  <c:v>73500</c:v>
                </c:pt>
                <c:pt idx="13">
                  <c:v>73500</c:v>
                </c:pt>
                <c:pt idx="14">
                  <c:v>73500</c:v>
                </c:pt>
                <c:pt idx="15">
                  <c:v>73500</c:v>
                </c:pt>
                <c:pt idx="16">
                  <c:v>73500</c:v>
                </c:pt>
                <c:pt idx="17">
                  <c:v>73500</c:v>
                </c:pt>
                <c:pt idx="18">
                  <c:v>73500</c:v>
                </c:pt>
                <c:pt idx="19">
                  <c:v>73500</c:v>
                </c:pt>
                <c:pt idx="20">
                  <c:v>73500</c:v>
                </c:pt>
                <c:pt idx="21">
                  <c:v>73500</c:v>
                </c:pt>
                <c:pt idx="22">
                  <c:v>73500</c:v>
                </c:pt>
                <c:pt idx="23">
                  <c:v>73500</c:v>
                </c:pt>
                <c:pt idx="24">
                  <c:v>73500</c:v>
                </c:pt>
                <c:pt idx="25">
                  <c:v>73500</c:v>
                </c:pt>
                <c:pt idx="26">
                  <c:v>73500</c:v>
                </c:pt>
                <c:pt idx="27">
                  <c:v>73500</c:v>
                </c:pt>
                <c:pt idx="28">
                  <c:v>73500</c:v>
                </c:pt>
                <c:pt idx="29">
                  <c:v>73500</c:v>
                </c:pt>
                <c:pt idx="30">
                  <c:v>73500</c:v>
                </c:pt>
                <c:pt idx="31">
                  <c:v>73500</c:v>
                </c:pt>
                <c:pt idx="32">
                  <c:v>73500</c:v>
                </c:pt>
                <c:pt idx="33">
                  <c:v>73500</c:v>
                </c:pt>
                <c:pt idx="34">
                  <c:v>73500</c:v>
                </c:pt>
                <c:pt idx="35">
                  <c:v>73500</c:v>
                </c:pt>
                <c:pt idx="36">
                  <c:v>73500</c:v>
                </c:pt>
                <c:pt idx="37">
                  <c:v>73500</c:v>
                </c:pt>
                <c:pt idx="38">
                  <c:v>73500</c:v>
                </c:pt>
                <c:pt idx="39">
                  <c:v>73500</c:v>
                </c:pt>
                <c:pt idx="40">
                  <c:v>73500</c:v>
                </c:pt>
                <c:pt idx="41">
                  <c:v>73500</c:v>
                </c:pt>
                <c:pt idx="42">
                  <c:v>73500</c:v>
                </c:pt>
                <c:pt idx="43">
                  <c:v>73500</c:v>
                </c:pt>
                <c:pt idx="44">
                  <c:v>73500</c:v>
                </c:pt>
                <c:pt idx="45">
                  <c:v>73500</c:v>
                </c:pt>
                <c:pt idx="46">
                  <c:v>73500</c:v>
                </c:pt>
                <c:pt idx="47">
                  <c:v>73500</c:v>
                </c:pt>
                <c:pt idx="48">
                  <c:v>73500</c:v>
                </c:pt>
                <c:pt idx="49">
                  <c:v>73500</c:v>
                </c:pt>
                <c:pt idx="50">
                  <c:v>73500</c:v>
                </c:pt>
                <c:pt idx="51">
                  <c:v>73500</c:v>
                </c:pt>
                <c:pt idx="52">
                  <c:v>73500</c:v>
                </c:pt>
                <c:pt idx="53">
                  <c:v>73500</c:v>
                </c:pt>
                <c:pt idx="54">
                  <c:v>73500</c:v>
                </c:pt>
                <c:pt idx="55">
                  <c:v>73500</c:v>
                </c:pt>
                <c:pt idx="56">
                  <c:v>73500</c:v>
                </c:pt>
                <c:pt idx="57">
                  <c:v>73500</c:v>
                </c:pt>
                <c:pt idx="58">
                  <c:v>73500</c:v>
                </c:pt>
                <c:pt idx="59">
                  <c:v>73500</c:v>
                </c:pt>
                <c:pt idx="60">
                  <c:v>73500</c:v>
                </c:pt>
                <c:pt idx="61">
                  <c:v>73500</c:v>
                </c:pt>
                <c:pt idx="62">
                  <c:v>73500</c:v>
                </c:pt>
                <c:pt idx="63">
                  <c:v>73500</c:v>
                </c:pt>
                <c:pt idx="64">
                  <c:v>73500</c:v>
                </c:pt>
                <c:pt idx="65">
                  <c:v>73500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BALANCO_CASAS!B21</c:f>
              <c:strCache>
                <c:ptCount val="1"/>
                <c:pt idx="0">
                  <c:v>RM03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BALANCO_CASAS!$C$21:$BP$21</c:f>
              <c:numCache>
                <c:formatCode>#,##0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2643.27152941176</c:v>
                </c:pt>
                <c:pt idx="5">
                  <c:v>0</c:v>
                </c:pt>
                <c:pt idx="6">
                  <c:v>0</c:v>
                </c:pt>
                <c:pt idx="7">
                  <c:v>542.087695025542</c:v>
                </c:pt>
                <c:pt idx="8">
                  <c:v>12201.1742158828</c:v>
                </c:pt>
                <c:pt idx="9">
                  <c:v>0</c:v>
                </c:pt>
                <c:pt idx="10">
                  <c:v>4598.93885139783</c:v>
                </c:pt>
                <c:pt idx="11">
                  <c:v>4870.04164705882</c:v>
                </c:pt>
                <c:pt idx="12">
                  <c:v>4870.04164705882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530.509340450525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7736.53678524191</c:v>
                </c:pt>
                <c:pt idx="31">
                  <c:v>32012.5895676993</c:v>
                </c:pt>
                <c:pt idx="32">
                  <c:v>40108.2832676645</c:v>
                </c:pt>
                <c:pt idx="33">
                  <c:v>48203.9769676296</c:v>
                </c:pt>
                <c:pt idx="34">
                  <c:v>59210.6783529412</c:v>
                </c:pt>
                <c:pt idx="35">
                  <c:v>72415.401882353</c:v>
                </c:pt>
                <c:pt idx="36">
                  <c:v>72415.401882353</c:v>
                </c:pt>
                <c:pt idx="37">
                  <c:v>72415.401882353</c:v>
                </c:pt>
                <c:pt idx="38">
                  <c:v>72415.401882353</c:v>
                </c:pt>
                <c:pt idx="39">
                  <c:v>72666.6988235294</c:v>
                </c:pt>
                <c:pt idx="40">
                  <c:v>72708.5816470588</c:v>
                </c:pt>
                <c:pt idx="41">
                  <c:v>72708.5816470588</c:v>
                </c:pt>
                <c:pt idx="42">
                  <c:v>72708.5816470588</c:v>
                </c:pt>
                <c:pt idx="43">
                  <c:v>73292.520598147</c:v>
                </c:pt>
                <c:pt idx="44">
                  <c:v>71056.119306184</c:v>
                </c:pt>
                <c:pt idx="45">
                  <c:v>66117.585520362</c:v>
                </c:pt>
                <c:pt idx="46">
                  <c:v>61179.05173454</c:v>
                </c:pt>
                <c:pt idx="47">
                  <c:v>57849.4013566042</c:v>
                </c:pt>
                <c:pt idx="48">
                  <c:v>61530.5214117647</c:v>
                </c:pt>
                <c:pt idx="49">
                  <c:v>55558.3410196078</c:v>
                </c:pt>
                <c:pt idx="50">
                  <c:v>49586.160627451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BALANCO_CASAS!B45</c:f>
              <c:strCache>
                <c:ptCount val="1"/>
                <c:pt idx="0">
                  <c:v>RM03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BALANCO_CASAS!$C$45:$BP$45</c:f>
              <c:numCache>
                <c:formatCode>#,##0</c:formatCode>
                <c:ptCount val="66"/>
                <c:pt idx="0">
                  <c:v>27377</c:v>
                </c:pt>
                <c:pt idx="1">
                  <c:v>27377</c:v>
                </c:pt>
                <c:pt idx="2">
                  <c:v>27377</c:v>
                </c:pt>
                <c:pt idx="3">
                  <c:v>27377</c:v>
                </c:pt>
                <c:pt idx="4">
                  <c:v>27377</c:v>
                </c:pt>
                <c:pt idx="5">
                  <c:v>27377</c:v>
                </c:pt>
                <c:pt idx="6">
                  <c:v>27377</c:v>
                </c:pt>
                <c:pt idx="7">
                  <c:v>27377</c:v>
                </c:pt>
                <c:pt idx="8">
                  <c:v>27377</c:v>
                </c:pt>
                <c:pt idx="9">
                  <c:v>27377</c:v>
                </c:pt>
                <c:pt idx="10">
                  <c:v>27377</c:v>
                </c:pt>
                <c:pt idx="11">
                  <c:v>27377</c:v>
                </c:pt>
                <c:pt idx="12">
                  <c:v>27377</c:v>
                </c:pt>
                <c:pt idx="13">
                  <c:v>27377</c:v>
                </c:pt>
                <c:pt idx="14">
                  <c:v>27377</c:v>
                </c:pt>
                <c:pt idx="15">
                  <c:v>27377</c:v>
                </c:pt>
                <c:pt idx="16">
                  <c:v>27377</c:v>
                </c:pt>
                <c:pt idx="17">
                  <c:v>27377</c:v>
                </c:pt>
                <c:pt idx="18">
                  <c:v>27377</c:v>
                </c:pt>
                <c:pt idx="19">
                  <c:v>27377</c:v>
                </c:pt>
                <c:pt idx="20">
                  <c:v>27377</c:v>
                </c:pt>
                <c:pt idx="21">
                  <c:v>27377</c:v>
                </c:pt>
                <c:pt idx="22">
                  <c:v>27377</c:v>
                </c:pt>
                <c:pt idx="23">
                  <c:v>27377</c:v>
                </c:pt>
                <c:pt idx="24">
                  <c:v>27377</c:v>
                </c:pt>
                <c:pt idx="25">
                  <c:v>27377</c:v>
                </c:pt>
                <c:pt idx="26">
                  <c:v>27377</c:v>
                </c:pt>
                <c:pt idx="27">
                  <c:v>27377</c:v>
                </c:pt>
                <c:pt idx="28">
                  <c:v>27377</c:v>
                </c:pt>
                <c:pt idx="29">
                  <c:v>27377</c:v>
                </c:pt>
                <c:pt idx="30">
                  <c:v>27377</c:v>
                </c:pt>
                <c:pt idx="31">
                  <c:v>27377</c:v>
                </c:pt>
                <c:pt idx="32">
                  <c:v>27377</c:v>
                </c:pt>
                <c:pt idx="33">
                  <c:v>27377</c:v>
                </c:pt>
                <c:pt idx="34">
                  <c:v>27377</c:v>
                </c:pt>
                <c:pt idx="35">
                  <c:v>27377</c:v>
                </c:pt>
                <c:pt idx="36">
                  <c:v>27377</c:v>
                </c:pt>
                <c:pt idx="37">
                  <c:v>27377</c:v>
                </c:pt>
                <c:pt idx="38">
                  <c:v>27377</c:v>
                </c:pt>
                <c:pt idx="39">
                  <c:v>27377</c:v>
                </c:pt>
                <c:pt idx="40">
                  <c:v>27377</c:v>
                </c:pt>
                <c:pt idx="41">
                  <c:v>27377</c:v>
                </c:pt>
                <c:pt idx="42">
                  <c:v>27377</c:v>
                </c:pt>
                <c:pt idx="43">
                  <c:v>27377</c:v>
                </c:pt>
                <c:pt idx="44">
                  <c:v>27377</c:v>
                </c:pt>
                <c:pt idx="45">
                  <c:v>27377</c:v>
                </c:pt>
                <c:pt idx="46">
                  <c:v>27377</c:v>
                </c:pt>
                <c:pt idx="47">
                  <c:v>27377</c:v>
                </c:pt>
                <c:pt idx="48">
                  <c:v>27377</c:v>
                </c:pt>
                <c:pt idx="49">
                  <c:v>27377</c:v>
                </c:pt>
                <c:pt idx="50">
                  <c:v>27377</c:v>
                </c:pt>
                <c:pt idx="51">
                  <c:v>27377</c:v>
                </c:pt>
                <c:pt idx="52">
                  <c:v>27377</c:v>
                </c:pt>
                <c:pt idx="53">
                  <c:v>27377</c:v>
                </c:pt>
                <c:pt idx="54">
                  <c:v>27377</c:v>
                </c:pt>
                <c:pt idx="55">
                  <c:v>27377</c:v>
                </c:pt>
                <c:pt idx="56">
                  <c:v>27377</c:v>
                </c:pt>
                <c:pt idx="57">
                  <c:v>27377</c:v>
                </c:pt>
                <c:pt idx="58">
                  <c:v>27377</c:v>
                </c:pt>
                <c:pt idx="59">
                  <c:v>27377</c:v>
                </c:pt>
                <c:pt idx="60">
                  <c:v>27377</c:v>
                </c:pt>
                <c:pt idx="61">
                  <c:v>27377</c:v>
                </c:pt>
                <c:pt idx="62">
                  <c:v>27377</c:v>
                </c:pt>
                <c:pt idx="63">
                  <c:v>27377</c:v>
                </c:pt>
                <c:pt idx="64">
                  <c:v>27377</c:v>
                </c:pt>
                <c:pt idx="65">
                  <c:v>27377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129144"/>
        <c:axId val="41118975"/>
      </c:lineChart>
      <c:catAx>
        <c:axId val="331291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18975"/>
        <c:crosses val="autoZero"/>
        <c:auto val="1"/>
        <c:lblAlgn val="ctr"/>
        <c:lblOffset val="100"/>
        <c:noMultiLvlLbl val="0"/>
      </c:catAx>
      <c:valAx>
        <c:axId val="41118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29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RM04 - Entrada x Consumo x Nivel do reservatorio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BALANCO_CASAS!B10</c:f>
              <c:strCache>
                <c:ptCount val="1"/>
                <c:pt idx="0">
                  <c:v>RM04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BALANCO_CASAS!$C$10:$BP$10</c:f>
              <c:numCache>
                <c:formatCode>#,##0</c:formatCode>
                <c:ptCount val="66"/>
                <c:pt idx="0">
                  <c:v>151410</c:v>
                </c:pt>
                <c:pt idx="1">
                  <c:v>151410</c:v>
                </c:pt>
                <c:pt idx="2">
                  <c:v>151410</c:v>
                </c:pt>
                <c:pt idx="3">
                  <c:v>151410</c:v>
                </c:pt>
                <c:pt idx="4">
                  <c:v>151410</c:v>
                </c:pt>
                <c:pt idx="5">
                  <c:v>151410</c:v>
                </c:pt>
                <c:pt idx="6">
                  <c:v>151410</c:v>
                </c:pt>
                <c:pt idx="7">
                  <c:v>151410</c:v>
                </c:pt>
                <c:pt idx="8">
                  <c:v>151410</c:v>
                </c:pt>
                <c:pt idx="9">
                  <c:v>151410</c:v>
                </c:pt>
                <c:pt idx="10">
                  <c:v>151410</c:v>
                </c:pt>
                <c:pt idx="11">
                  <c:v>151410</c:v>
                </c:pt>
                <c:pt idx="12">
                  <c:v>151410</c:v>
                </c:pt>
                <c:pt idx="13">
                  <c:v>151410</c:v>
                </c:pt>
                <c:pt idx="14">
                  <c:v>151410</c:v>
                </c:pt>
                <c:pt idx="15">
                  <c:v>151410</c:v>
                </c:pt>
                <c:pt idx="16">
                  <c:v>151410</c:v>
                </c:pt>
                <c:pt idx="17">
                  <c:v>151410</c:v>
                </c:pt>
                <c:pt idx="18">
                  <c:v>151410</c:v>
                </c:pt>
                <c:pt idx="19">
                  <c:v>151410</c:v>
                </c:pt>
                <c:pt idx="20">
                  <c:v>151410</c:v>
                </c:pt>
                <c:pt idx="21">
                  <c:v>151410</c:v>
                </c:pt>
                <c:pt idx="22">
                  <c:v>151410</c:v>
                </c:pt>
                <c:pt idx="23">
                  <c:v>151410</c:v>
                </c:pt>
                <c:pt idx="24">
                  <c:v>151410</c:v>
                </c:pt>
                <c:pt idx="25">
                  <c:v>151410</c:v>
                </c:pt>
                <c:pt idx="26">
                  <c:v>151410</c:v>
                </c:pt>
                <c:pt idx="27">
                  <c:v>151410</c:v>
                </c:pt>
                <c:pt idx="28">
                  <c:v>151410</c:v>
                </c:pt>
                <c:pt idx="29">
                  <c:v>151410</c:v>
                </c:pt>
                <c:pt idx="30">
                  <c:v>151410</c:v>
                </c:pt>
                <c:pt idx="31">
                  <c:v>151410</c:v>
                </c:pt>
                <c:pt idx="32">
                  <c:v>151410</c:v>
                </c:pt>
                <c:pt idx="33">
                  <c:v>151410</c:v>
                </c:pt>
                <c:pt idx="34">
                  <c:v>151410</c:v>
                </c:pt>
                <c:pt idx="35">
                  <c:v>151410</c:v>
                </c:pt>
                <c:pt idx="36">
                  <c:v>151410</c:v>
                </c:pt>
                <c:pt idx="37">
                  <c:v>151410</c:v>
                </c:pt>
                <c:pt idx="38">
                  <c:v>151410</c:v>
                </c:pt>
                <c:pt idx="39">
                  <c:v>151410</c:v>
                </c:pt>
                <c:pt idx="40">
                  <c:v>151410</c:v>
                </c:pt>
                <c:pt idx="41">
                  <c:v>151410</c:v>
                </c:pt>
                <c:pt idx="42">
                  <c:v>151410</c:v>
                </c:pt>
                <c:pt idx="43">
                  <c:v>151410</c:v>
                </c:pt>
                <c:pt idx="44">
                  <c:v>151410</c:v>
                </c:pt>
                <c:pt idx="45">
                  <c:v>151410</c:v>
                </c:pt>
                <c:pt idx="46">
                  <c:v>151410</c:v>
                </c:pt>
                <c:pt idx="47">
                  <c:v>151410</c:v>
                </c:pt>
                <c:pt idx="48">
                  <c:v>151410</c:v>
                </c:pt>
                <c:pt idx="49">
                  <c:v>151410</c:v>
                </c:pt>
                <c:pt idx="50">
                  <c:v>151410</c:v>
                </c:pt>
                <c:pt idx="51">
                  <c:v>151410</c:v>
                </c:pt>
                <c:pt idx="52">
                  <c:v>151410</c:v>
                </c:pt>
                <c:pt idx="53">
                  <c:v>151410</c:v>
                </c:pt>
                <c:pt idx="54">
                  <c:v>151410</c:v>
                </c:pt>
                <c:pt idx="55">
                  <c:v>151410</c:v>
                </c:pt>
                <c:pt idx="56">
                  <c:v>151410</c:v>
                </c:pt>
                <c:pt idx="57">
                  <c:v>151410</c:v>
                </c:pt>
                <c:pt idx="58">
                  <c:v>151410</c:v>
                </c:pt>
                <c:pt idx="59">
                  <c:v>151410</c:v>
                </c:pt>
                <c:pt idx="60">
                  <c:v>151410</c:v>
                </c:pt>
                <c:pt idx="61">
                  <c:v>151410</c:v>
                </c:pt>
                <c:pt idx="62">
                  <c:v>151410</c:v>
                </c:pt>
                <c:pt idx="63">
                  <c:v>151410</c:v>
                </c:pt>
                <c:pt idx="64">
                  <c:v>151410</c:v>
                </c:pt>
                <c:pt idx="65">
                  <c:v>151410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BALANCO_CASAS!B22</c:f>
              <c:strCache>
                <c:ptCount val="1"/>
                <c:pt idx="0">
                  <c:v>RM04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BALANCO_CASAS!$C$22:$BP$22</c:f>
              <c:numCache>
                <c:formatCode>#,##0</c:formatCode>
                <c:ptCount val="66"/>
                <c:pt idx="0">
                  <c:v>45952.144</c:v>
                </c:pt>
                <c:pt idx="1">
                  <c:v>48375.0152941176</c:v>
                </c:pt>
                <c:pt idx="2">
                  <c:v>48375.0152941176</c:v>
                </c:pt>
                <c:pt idx="3">
                  <c:v>48375.0152941176</c:v>
                </c:pt>
                <c:pt idx="4">
                  <c:v>39291.7032941176</c:v>
                </c:pt>
                <c:pt idx="5">
                  <c:v>27558.1007058823</c:v>
                </c:pt>
                <c:pt idx="6">
                  <c:v>27558.1007058823</c:v>
                </c:pt>
                <c:pt idx="7">
                  <c:v>34101.1026539238</c:v>
                </c:pt>
                <c:pt idx="8">
                  <c:v>40601.5190841048</c:v>
                </c:pt>
                <c:pt idx="9">
                  <c:v>0</c:v>
                </c:pt>
                <c:pt idx="10">
                  <c:v>5181.0368235294</c:v>
                </c:pt>
                <c:pt idx="11">
                  <c:v>5181.0368235294</c:v>
                </c:pt>
                <c:pt idx="12">
                  <c:v>5181.0368235294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1868.08175333564</c:v>
                </c:pt>
                <c:pt idx="24">
                  <c:v>11860.3244986657</c:v>
                </c:pt>
                <c:pt idx="25">
                  <c:v>20262.9608323471</c:v>
                </c:pt>
                <c:pt idx="26">
                  <c:v>28014.466117647</c:v>
                </c:pt>
                <c:pt idx="27">
                  <c:v>28014.466117647</c:v>
                </c:pt>
                <c:pt idx="28">
                  <c:v>28014.466117647</c:v>
                </c:pt>
                <c:pt idx="29">
                  <c:v>28014.466117647</c:v>
                </c:pt>
                <c:pt idx="30">
                  <c:v>73213.4894401258</c:v>
                </c:pt>
                <c:pt idx="31">
                  <c:v>125640.372091116</c:v>
                </c:pt>
                <c:pt idx="32">
                  <c:v>134430.642733496</c:v>
                </c:pt>
                <c:pt idx="33">
                  <c:v>143220.913375875</c:v>
                </c:pt>
                <c:pt idx="34">
                  <c:v>155950.966308985</c:v>
                </c:pt>
                <c:pt idx="35">
                  <c:v>184696.767420815</c:v>
                </c:pt>
                <c:pt idx="36">
                  <c:v>176672.984162896</c:v>
                </c:pt>
                <c:pt idx="37">
                  <c:v>168649.200904977</c:v>
                </c:pt>
                <c:pt idx="38">
                  <c:v>160625.417647059</c:v>
                </c:pt>
                <c:pt idx="39">
                  <c:v>155119.435242405</c:v>
                </c:pt>
                <c:pt idx="40">
                  <c:v>147897.370377074</c:v>
                </c:pt>
                <c:pt idx="41">
                  <c:v>98333.8252066365</c:v>
                </c:pt>
                <c:pt idx="42">
                  <c:v>94392.3636078431</c:v>
                </c:pt>
                <c:pt idx="43">
                  <c:v>74172.4343339797</c:v>
                </c:pt>
                <c:pt idx="44">
                  <c:v>71141.2077435897</c:v>
                </c:pt>
                <c:pt idx="45">
                  <c:v>65352.4311312217</c:v>
                </c:pt>
                <c:pt idx="46">
                  <c:v>59563.6545188537</c:v>
                </c:pt>
                <c:pt idx="47">
                  <c:v>55305.3936117216</c:v>
                </c:pt>
                <c:pt idx="48">
                  <c:v>33272.6274509804</c:v>
                </c:pt>
                <c:pt idx="49">
                  <c:v>29951.0588235294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BALANCO_CASAS!B46</c:f>
              <c:strCache>
                <c:ptCount val="1"/>
                <c:pt idx="0">
                  <c:v>RM04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BALANCO_CASAS!$C$46:$BP$46</c:f>
              <c:numCache>
                <c:formatCode>#,##0</c:formatCode>
                <c:ptCount val="66"/>
                <c:pt idx="0">
                  <c:v>129000</c:v>
                </c:pt>
                <c:pt idx="1">
                  <c:v>129000</c:v>
                </c:pt>
                <c:pt idx="2">
                  <c:v>129000</c:v>
                </c:pt>
                <c:pt idx="3">
                  <c:v>129000</c:v>
                </c:pt>
                <c:pt idx="4">
                  <c:v>129000</c:v>
                </c:pt>
                <c:pt idx="5">
                  <c:v>129000</c:v>
                </c:pt>
                <c:pt idx="6">
                  <c:v>129000</c:v>
                </c:pt>
                <c:pt idx="7">
                  <c:v>129000</c:v>
                </c:pt>
                <c:pt idx="8">
                  <c:v>129000</c:v>
                </c:pt>
                <c:pt idx="9">
                  <c:v>129000</c:v>
                </c:pt>
                <c:pt idx="10">
                  <c:v>129000</c:v>
                </c:pt>
                <c:pt idx="11">
                  <c:v>129000</c:v>
                </c:pt>
                <c:pt idx="12">
                  <c:v>129000</c:v>
                </c:pt>
                <c:pt idx="13">
                  <c:v>129000</c:v>
                </c:pt>
                <c:pt idx="14">
                  <c:v>129000</c:v>
                </c:pt>
                <c:pt idx="15">
                  <c:v>129000</c:v>
                </c:pt>
                <c:pt idx="16">
                  <c:v>129000</c:v>
                </c:pt>
                <c:pt idx="17">
                  <c:v>129000</c:v>
                </c:pt>
                <c:pt idx="18">
                  <c:v>129000</c:v>
                </c:pt>
                <c:pt idx="19">
                  <c:v>129000</c:v>
                </c:pt>
                <c:pt idx="20">
                  <c:v>129000</c:v>
                </c:pt>
                <c:pt idx="21">
                  <c:v>129000</c:v>
                </c:pt>
                <c:pt idx="22">
                  <c:v>129000</c:v>
                </c:pt>
                <c:pt idx="23">
                  <c:v>129000</c:v>
                </c:pt>
                <c:pt idx="24">
                  <c:v>129000</c:v>
                </c:pt>
                <c:pt idx="25">
                  <c:v>129000</c:v>
                </c:pt>
                <c:pt idx="26">
                  <c:v>129000</c:v>
                </c:pt>
                <c:pt idx="27">
                  <c:v>129000</c:v>
                </c:pt>
                <c:pt idx="28">
                  <c:v>129000</c:v>
                </c:pt>
                <c:pt idx="29">
                  <c:v>129000</c:v>
                </c:pt>
                <c:pt idx="30">
                  <c:v>129000</c:v>
                </c:pt>
                <c:pt idx="31">
                  <c:v>129000</c:v>
                </c:pt>
                <c:pt idx="32">
                  <c:v>129000</c:v>
                </c:pt>
                <c:pt idx="33">
                  <c:v>129000</c:v>
                </c:pt>
                <c:pt idx="34">
                  <c:v>124459.033691015</c:v>
                </c:pt>
                <c:pt idx="35">
                  <c:v>91172.2662702004</c:v>
                </c:pt>
                <c:pt idx="36">
                  <c:v>65909.2821073044</c:v>
                </c:pt>
                <c:pt idx="37">
                  <c:v>48670.081202327</c:v>
                </c:pt>
                <c:pt idx="38">
                  <c:v>39454.6635552682</c:v>
                </c:pt>
                <c:pt idx="39">
                  <c:v>35745.2283128635</c:v>
                </c:pt>
                <c:pt idx="40">
                  <c:v>39257.8579357897</c:v>
                </c:pt>
                <c:pt idx="41">
                  <c:v>92334.0327291532</c:v>
                </c:pt>
                <c:pt idx="42">
                  <c:v>129000</c:v>
                </c:pt>
                <c:pt idx="43">
                  <c:v>129000</c:v>
                </c:pt>
                <c:pt idx="44">
                  <c:v>129000</c:v>
                </c:pt>
                <c:pt idx="45">
                  <c:v>129000</c:v>
                </c:pt>
                <c:pt idx="46">
                  <c:v>129000</c:v>
                </c:pt>
                <c:pt idx="47">
                  <c:v>129000</c:v>
                </c:pt>
                <c:pt idx="48">
                  <c:v>129000</c:v>
                </c:pt>
                <c:pt idx="49">
                  <c:v>129000</c:v>
                </c:pt>
                <c:pt idx="50">
                  <c:v>129000</c:v>
                </c:pt>
                <c:pt idx="51">
                  <c:v>129000</c:v>
                </c:pt>
                <c:pt idx="52">
                  <c:v>129000</c:v>
                </c:pt>
                <c:pt idx="53">
                  <c:v>129000</c:v>
                </c:pt>
                <c:pt idx="54">
                  <c:v>129000</c:v>
                </c:pt>
                <c:pt idx="55">
                  <c:v>129000</c:v>
                </c:pt>
                <c:pt idx="56">
                  <c:v>129000</c:v>
                </c:pt>
                <c:pt idx="57">
                  <c:v>129000</c:v>
                </c:pt>
                <c:pt idx="58">
                  <c:v>129000</c:v>
                </c:pt>
                <c:pt idx="59">
                  <c:v>129000</c:v>
                </c:pt>
                <c:pt idx="60">
                  <c:v>129000</c:v>
                </c:pt>
                <c:pt idx="61">
                  <c:v>129000</c:v>
                </c:pt>
                <c:pt idx="62">
                  <c:v>129000</c:v>
                </c:pt>
                <c:pt idx="63">
                  <c:v>129000</c:v>
                </c:pt>
                <c:pt idx="64">
                  <c:v>129000</c:v>
                </c:pt>
                <c:pt idx="65">
                  <c:v>129000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790944"/>
        <c:axId val="25393638"/>
      </c:lineChart>
      <c:catAx>
        <c:axId val="987909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93638"/>
        <c:crosses val="autoZero"/>
        <c:auto val="1"/>
        <c:lblAlgn val="ctr"/>
        <c:lblOffset val="100"/>
        <c:noMultiLvlLbl val="0"/>
      </c:catAx>
      <c:valAx>
        <c:axId val="25393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909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RM05 - Entrada x Consumo x Nivel do reservatorio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BALANCO_CASAS!B11</c:f>
              <c:strCache>
                <c:ptCount val="1"/>
                <c:pt idx="0">
                  <c:v>RM05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BALANCO_CASAS!$C$11:$BP$11</c:f>
              <c:numCache>
                <c:formatCode>#,##0</c:formatCode>
                <c:ptCount val="66"/>
                <c:pt idx="0">
                  <c:v>91581</c:v>
                </c:pt>
                <c:pt idx="1">
                  <c:v>91581</c:v>
                </c:pt>
                <c:pt idx="2">
                  <c:v>91581</c:v>
                </c:pt>
                <c:pt idx="3">
                  <c:v>91581</c:v>
                </c:pt>
                <c:pt idx="4">
                  <c:v>91581</c:v>
                </c:pt>
                <c:pt idx="5">
                  <c:v>91581</c:v>
                </c:pt>
                <c:pt idx="6">
                  <c:v>91581</c:v>
                </c:pt>
                <c:pt idx="7">
                  <c:v>91581</c:v>
                </c:pt>
                <c:pt idx="8">
                  <c:v>91581</c:v>
                </c:pt>
                <c:pt idx="9">
                  <c:v>91581</c:v>
                </c:pt>
                <c:pt idx="10">
                  <c:v>91581</c:v>
                </c:pt>
                <c:pt idx="11">
                  <c:v>91581</c:v>
                </c:pt>
                <c:pt idx="12">
                  <c:v>91581</c:v>
                </c:pt>
                <c:pt idx="13">
                  <c:v>91581</c:v>
                </c:pt>
                <c:pt idx="14">
                  <c:v>91581</c:v>
                </c:pt>
                <c:pt idx="15">
                  <c:v>91581</c:v>
                </c:pt>
                <c:pt idx="16">
                  <c:v>91581</c:v>
                </c:pt>
                <c:pt idx="17">
                  <c:v>91581</c:v>
                </c:pt>
                <c:pt idx="18">
                  <c:v>91581</c:v>
                </c:pt>
                <c:pt idx="19">
                  <c:v>91581</c:v>
                </c:pt>
                <c:pt idx="20">
                  <c:v>91581</c:v>
                </c:pt>
                <c:pt idx="21">
                  <c:v>91581</c:v>
                </c:pt>
                <c:pt idx="22">
                  <c:v>91581</c:v>
                </c:pt>
                <c:pt idx="23">
                  <c:v>91581</c:v>
                </c:pt>
                <c:pt idx="24">
                  <c:v>91581</c:v>
                </c:pt>
                <c:pt idx="25">
                  <c:v>91581</c:v>
                </c:pt>
                <c:pt idx="26">
                  <c:v>91581</c:v>
                </c:pt>
                <c:pt idx="27">
                  <c:v>91581</c:v>
                </c:pt>
                <c:pt idx="28">
                  <c:v>91581</c:v>
                </c:pt>
                <c:pt idx="29">
                  <c:v>91581</c:v>
                </c:pt>
                <c:pt idx="30">
                  <c:v>91581</c:v>
                </c:pt>
                <c:pt idx="31">
                  <c:v>91581</c:v>
                </c:pt>
                <c:pt idx="32">
                  <c:v>91581</c:v>
                </c:pt>
                <c:pt idx="33">
                  <c:v>91581</c:v>
                </c:pt>
                <c:pt idx="34">
                  <c:v>91581</c:v>
                </c:pt>
                <c:pt idx="35">
                  <c:v>91581</c:v>
                </c:pt>
                <c:pt idx="36">
                  <c:v>91581</c:v>
                </c:pt>
                <c:pt idx="37">
                  <c:v>91581</c:v>
                </c:pt>
                <c:pt idx="38">
                  <c:v>91581</c:v>
                </c:pt>
                <c:pt idx="39">
                  <c:v>91581</c:v>
                </c:pt>
                <c:pt idx="40">
                  <c:v>91581</c:v>
                </c:pt>
                <c:pt idx="41">
                  <c:v>91581</c:v>
                </c:pt>
                <c:pt idx="42">
                  <c:v>91581</c:v>
                </c:pt>
                <c:pt idx="43">
                  <c:v>91581</c:v>
                </c:pt>
                <c:pt idx="44">
                  <c:v>91581</c:v>
                </c:pt>
                <c:pt idx="45">
                  <c:v>91581</c:v>
                </c:pt>
                <c:pt idx="46">
                  <c:v>91581</c:v>
                </c:pt>
                <c:pt idx="47">
                  <c:v>91581</c:v>
                </c:pt>
                <c:pt idx="48">
                  <c:v>91581</c:v>
                </c:pt>
                <c:pt idx="49">
                  <c:v>91581</c:v>
                </c:pt>
                <c:pt idx="50">
                  <c:v>91581</c:v>
                </c:pt>
                <c:pt idx="51">
                  <c:v>91581</c:v>
                </c:pt>
                <c:pt idx="52">
                  <c:v>91581</c:v>
                </c:pt>
                <c:pt idx="53">
                  <c:v>91581</c:v>
                </c:pt>
                <c:pt idx="54">
                  <c:v>91581</c:v>
                </c:pt>
                <c:pt idx="55">
                  <c:v>91581</c:v>
                </c:pt>
                <c:pt idx="56">
                  <c:v>91581</c:v>
                </c:pt>
                <c:pt idx="57">
                  <c:v>91581</c:v>
                </c:pt>
                <c:pt idx="58">
                  <c:v>91581</c:v>
                </c:pt>
                <c:pt idx="59">
                  <c:v>91581</c:v>
                </c:pt>
                <c:pt idx="60">
                  <c:v>91581</c:v>
                </c:pt>
                <c:pt idx="61">
                  <c:v>91581</c:v>
                </c:pt>
                <c:pt idx="62">
                  <c:v>91581</c:v>
                </c:pt>
                <c:pt idx="63">
                  <c:v>91581</c:v>
                </c:pt>
                <c:pt idx="64">
                  <c:v>91581</c:v>
                </c:pt>
                <c:pt idx="65">
                  <c:v>91581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BALANCO_CASAS!B23</c:f>
              <c:strCache>
                <c:ptCount val="1"/>
                <c:pt idx="0">
                  <c:v>RM05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BALANCO_CASAS!$C$23:$BP$23</c:f>
              <c:numCache>
                <c:formatCode>#,##0</c:formatCode>
                <c:ptCount val="66"/>
                <c:pt idx="0">
                  <c:v>96601.344</c:v>
                </c:pt>
                <c:pt idx="1">
                  <c:v>96643.68</c:v>
                </c:pt>
                <c:pt idx="2">
                  <c:v>96643.68</c:v>
                </c:pt>
                <c:pt idx="3">
                  <c:v>96643.68</c:v>
                </c:pt>
                <c:pt idx="4">
                  <c:v>72879.072</c:v>
                </c:pt>
                <c:pt idx="5">
                  <c:v>55055.616</c:v>
                </c:pt>
                <c:pt idx="6">
                  <c:v>55055.616</c:v>
                </c:pt>
                <c:pt idx="7">
                  <c:v>47449.248</c:v>
                </c:pt>
                <c:pt idx="8">
                  <c:v>31707.606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6569.44409136608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1736.23905882352</c:v>
                </c:pt>
                <c:pt idx="18">
                  <c:v>8892.93176470587</c:v>
                </c:pt>
                <c:pt idx="19">
                  <c:v>8753.05504003416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11348.1049198283</c:v>
                </c:pt>
                <c:pt idx="24">
                  <c:v>31403.181490196</c:v>
                </c:pt>
                <c:pt idx="25">
                  <c:v>32385.7948235294</c:v>
                </c:pt>
                <c:pt idx="26">
                  <c:v>40008.2578823529</c:v>
                </c:pt>
                <c:pt idx="27">
                  <c:v>40008.2578823529</c:v>
                </c:pt>
                <c:pt idx="28">
                  <c:v>40008.2578823529</c:v>
                </c:pt>
                <c:pt idx="29">
                  <c:v>40008.2578823529</c:v>
                </c:pt>
                <c:pt idx="30">
                  <c:v>90352.9957647059</c:v>
                </c:pt>
                <c:pt idx="31">
                  <c:v>128111.549176471</c:v>
                </c:pt>
                <c:pt idx="32">
                  <c:v>128111.549176471</c:v>
                </c:pt>
                <c:pt idx="33">
                  <c:v>125491.737411765</c:v>
                </c:pt>
                <c:pt idx="34">
                  <c:v>131170.140307692</c:v>
                </c:pt>
                <c:pt idx="35">
                  <c:v>152107.353014823</c:v>
                </c:pt>
                <c:pt idx="36">
                  <c:v>141152.760410673</c:v>
                </c:pt>
                <c:pt idx="37">
                  <c:v>130198.167806522</c:v>
                </c:pt>
                <c:pt idx="38">
                  <c:v>119243.575202372</c:v>
                </c:pt>
                <c:pt idx="39">
                  <c:v>124297.595418942</c:v>
                </c:pt>
                <c:pt idx="40">
                  <c:v>127871.240218443</c:v>
                </c:pt>
                <c:pt idx="41">
                  <c:v>70695.1533306288</c:v>
                </c:pt>
                <c:pt idx="42">
                  <c:v>66531.8429858012</c:v>
                </c:pt>
                <c:pt idx="43">
                  <c:v>40749.9686880325</c:v>
                </c:pt>
                <c:pt idx="44">
                  <c:v>69612.6554060852</c:v>
                </c:pt>
                <c:pt idx="45">
                  <c:v>87047.5718198783</c:v>
                </c:pt>
                <c:pt idx="46">
                  <c:v>104482.488233671</c:v>
                </c:pt>
                <c:pt idx="47">
                  <c:v>128328.126636917</c:v>
                </c:pt>
                <c:pt idx="48">
                  <c:v>182388.326490872</c:v>
                </c:pt>
                <c:pt idx="49">
                  <c:v>199151.445277079</c:v>
                </c:pt>
                <c:pt idx="50">
                  <c:v>213203.753139148</c:v>
                </c:pt>
                <c:pt idx="51">
                  <c:v>227256.061001217</c:v>
                </c:pt>
                <c:pt idx="52">
                  <c:v>239480.527831237</c:v>
                </c:pt>
                <c:pt idx="53">
                  <c:v>241647.872941176</c:v>
                </c:pt>
                <c:pt idx="54">
                  <c:v>241647.872941176</c:v>
                </c:pt>
                <c:pt idx="55">
                  <c:v>233496.018823529</c:v>
                </c:pt>
                <c:pt idx="56">
                  <c:v>174058.801720081</c:v>
                </c:pt>
                <c:pt idx="57">
                  <c:v>100406.16074645</c:v>
                </c:pt>
                <c:pt idx="58">
                  <c:v>85714.0834401622</c:v>
                </c:pt>
                <c:pt idx="59">
                  <c:v>65076.7989614604</c:v>
                </c:pt>
                <c:pt idx="60">
                  <c:v>39318.3028965517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BALANCO_CASAS!B47</c:f>
              <c:strCache>
                <c:ptCount val="1"/>
                <c:pt idx="0">
                  <c:v>RM05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BALANCO_CASAS!$C$47:$BP$47</c:f>
              <c:numCache>
                <c:formatCode>#,##0</c:formatCode>
                <c:ptCount val="66"/>
                <c:pt idx="0">
                  <c:v>994979.656</c:v>
                </c:pt>
                <c:pt idx="1">
                  <c:v>989916.976</c:v>
                </c:pt>
                <c:pt idx="2">
                  <c:v>984854.296</c:v>
                </c:pt>
                <c:pt idx="3">
                  <c:v>979791.616</c:v>
                </c:pt>
                <c:pt idx="4">
                  <c:v>998493.544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963469.45082353</c:v>
                </c:pt>
                <c:pt idx="32">
                  <c:v>926938.901647059</c:v>
                </c:pt>
                <c:pt idx="33">
                  <c:v>893028.164235294</c:v>
                </c:pt>
                <c:pt idx="34">
                  <c:v>853439.023927602</c:v>
                </c:pt>
                <c:pt idx="35">
                  <c:v>792912.670912779</c:v>
                </c:pt>
                <c:pt idx="36">
                  <c:v>743340.910502107</c:v>
                </c:pt>
                <c:pt idx="37">
                  <c:v>704723.742695584</c:v>
                </c:pt>
                <c:pt idx="38">
                  <c:v>677061.167493213</c:v>
                </c:pt>
                <c:pt idx="39">
                  <c:v>644344.572074271</c:v>
                </c:pt>
                <c:pt idx="40">
                  <c:v>608054.331855828</c:v>
                </c:pt>
                <c:pt idx="41">
                  <c:v>628940.178525199</c:v>
                </c:pt>
                <c:pt idx="42">
                  <c:v>653989.335539398</c:v>
                </c:pt>
                <c:pt idx="43">
                  <c:v>704820.366851365</c:v>
                </c:pt>
                <c:pt idx="44">
                  <c:v>726788.71144528</c:v>
                </c:pt>
                <c:pt idx="45">
                  <c:v>731322.139625402</c:v>
                </c:pt>
                <c:pt idx="46">
                  <c:v>718420.65139173</c:v>
                </c:pt>
                <c:pt idx="47">
                  <c:v>681673.524754814</c:v>
                </c:pt>
                <c:pt idx="48">
                  <c:v>590866.198263941</c:v>
                </c:pt>
                <c:pt idx="49">
                  <c:v>483295.752986862</c:v>
                </c:pt>
                <c:pt idx="50">
                  <c:v>361672.999847714</c:v>
                </c:pt>
                <c:pt idx="51">
                  <c:v>225997.938846497</c:v>
                </c:pt>
                <c:pt idx="52">
                  <c:v>78098.4110152601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5866.91655983777</c:v>
                </c:pt>
                <c:pt idx="59">
                  <c:v>32371.1175983774</c:v>
                </c:pt>
                <c:pt idx="60">
                  <c:v>84633.8147018257</c:v>
                </c:pt>
                <c:pt idx="61">
                  <c:v>176214.814701826</c:v>
                </c:pt>
                <c:pt idx="62">
                  <c:v>267795.814701826</c:v>
                </c:pt>
                <c:pt idx="63">
                  <c:v>359376.814701826</c:v>
                </c:pt>
                <c:pt idx="64">
                  <c:v>450957.814701826</c:v>
                </c:pt>
                <c:pt idx="65">
                  <c:v>542538.814701826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414373"/>
        <c:axId val="22882338"/>
      </c:lineChart>
      <c:catAx>
        <c:axId val="614143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82338"/>
        <c:crosses val="autoZero"/>
        <c:auto val="1"/>
        <c:lblAlgn val="ctr"/>
        <c:lblOffset val="100"/>
        <c:noMultiLvlLbl val="0"/>
      </c:catAx>
      <c:valAx>
        <c:axId val="22882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143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RM06 - Entrada x Consumo x Nivel do reservatorio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BALANCO_CASAS!B12</c:f>
              <c:strCache>
                <c:ptCount val="1"/>
                <c:pt idx="0">
                  <c:v>RM06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BALANCO_CASAS!$C$12:$BP$12</c:f>
              <c:numCache>
                <c:formatCode>#,##0</c:formatCode>
                <c:ptCount val="66"/>
                <c:pt idx="0">
                  <c:v>149940</c:v>
                </c:pt>
                <c:pt idx="1">
                  <c:v>149940</c:v>
                </c:pt>
                <c:pt idx="2">
                  <c:v>149940</c:v>
                </c:pt>
                <c:pt idx="3">
                  <c:v>149940</c:v>
                </c:pt>
                <c:pt idx="4">
                  <c:v>149940</c:v>
                </c:pt>
                <c:pt idx="5">
                  <c:v>149940</c:v>
                </c:pt>
                <c:pt idx="6">
                  <c:v>149940</c:v>
                </c:pt>
                <c:pt idx="7">
                  <c:v>149940</c:v>
                </c:pt>
                <c:pt idx="8">
                  <c:v>149940</c:v>
                </c:pt>
                <c:pt idx="9">
                  <c:v>149940</c:v>
                </c:pt>
                <c:pt idx="10">
                  <c:v>149940</c:v>
                </c:pt>
                <c:pt idx="11">
                  <c:v>149940</c:v>
                </c:pt>
                <c:pt idx="12">
                  <c:v>149940</c:v>
                </c:pt>
                <c:pt idx="13">
                  <c:v>149940</c:v>
                </c:pt>
                <c:pt idx="14">
                  <c:v>149940</c:v>
                </c:pt>
                <c:pt idx="15">
                  <c:v>149940</c:v>
                </c:pt>
                <c:pt idx="16">
                  <c:v>149940</c:v>
                </c:pt>
                <c:pt idx="17">
                  <c:v>149940</c:v>
                </c:pt>
                <c:pt idx="18">
                  <c:v>149940</c:v>
                </c:pt>
                <c:pt idx="19">
                  <c:v>149940</c:v>
                </c:pt>
                <c:pt idx="20">
                  <c:v>149940</c:v>
                </c:pt>
                <c:pt idx="21">
                  <c:v>149940</c:v>
                </c:pt>
                <c:pt idx="22">
                  <c:v>149940</c:v>
                </c:pt>
                <c:pt idx="23">
                  <c:v>149940</c:v>
                </c:pt>
                <c:pt idx="24">
                  <c:v>149940</c:v>
                </c:pt>
                <c:pt idx="25">
                  <c:v>149940</c:v>
                </c:pt>
                <c:pt idx="26">
                  <c:v>149940</c:v>
                </c:pt>
                <c:pt idx="27">
                  <c:v>149940</c:v>
                </c:pt>
                <c:pt idx="28">
                  <c:v>149940</c:v>
                </c:pt>
                <c:pt idx="29">
                  <c:v>149940</c:v>
                </c:pt>
                <c:pt idx="30">
                  <c:v>149940</c:v>
                </c:pt>
                <c:pt idx="31">
                  <c:v>149940</c:v>
                </c:pt>
                <c:pt idx="32">
                  <c:v>149940</c:v>
                </c:pt>
                <c:pt idx="33">
                  <c:v>149940</c:v>
                </c:pt>
                <c:pt idx="34">
                  <c:v>149940</c:v>
                </c:pt>
                <c:pt idx="35">
                  <c:v>149940</c:v>
                </c:pt>
                <c:pt idx="36">
                  <c:v>149940</c:v>
                </c:pt>
                <c:pt idx="37">
                  <c:v>149940</c:v>
                </c:pt>
                <c:pt idx="38">
                  <c:v>149940</c:v>
                </c:pt>
                <c:pt idx="39">
                  <c:v>149940</c:v>
                </c:pt>
                <c:pt idx="40">
                  <c:v>149940</c:v>
                </c:pt>
                <c:pt idx="41">
                  <c:v>149940</c:v>
                </c:pt>
                <c:pt idx="42">
                  <c:v>149940</c:v>
                </c:pt>
                <c:pt idx="43">
                  <c:v>149940</c:v>
                </c:pt>
                <c:pt idx="44">
                  <c:v>149940</c:v>
                </c:pt>
                <c:pt idx="45">
                  <c:v>149940</c:v>
                </c:pt>
                <c:pt idx="46">
                  <c:v>149940</c:v>
                </c:pt>
                <c:pt idx="47">
                  <c:v>149940</c:v>
                </c:pt>
                <c:pt idx="48">
                  <c:v>149940</c:v>
                </c:pt>
                <c:pt idx="49">
                  <c:v>149940</c:v>
                </c:pt>
                <c:pt idx="50">
                  <c:v>149940</c:v>
                </c:pt>
                <c:pt idx="51">
                  <c:v>149940</c:v>
                </c:pt>
                <c:pt idx="52">
                  <c:v>149940</c:v>
                </c:pt>
                <c:pt idx="53">
                  <c:v>149940</c:v>
                </c:pt>
                <c:pt idx="54">
                  <c:v>149940</c:v>
                </c:pt>
                <c:pt idx="55">
                  <c:v>149940</c:v>
                </c:pt>
                <c:pt idx="56">
                  <c:v>149940</c:v>
                </c:pt>
                <c:pt idx="57">
                  <c:v>149940</c:v>
                </c:pt>
                <c:pt idx="58">
                  <c:v>149940</c:v>
                </c:pt>
                <c:pt idx="59">
                  <c:v>149940</c:v>
                </c:pt>
                <c:pt idx="60">
                  <c:v>149940</c:v>
                </c:pt>
                <c:pt idx="61">
                  <c:v>149940</c:v>
                </c:pt>
                <c:pt idx="62">
                  <c:v>149940</c:v>
                </c:pt>
                <c:pt idx="63">
                  <c:v>149940</c:v>
                </c:pt>
                <c:pt idx="64">
                  <c:v>149940</c:v>
                </c:pt>
                <c:pt idx="65">
                  <c:v>149940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BALANCO_CASAS!B24</c:f>
              <c:strCache>
                <c:ptCount val="1"/>
                <c:pt idx="0">
                  <c:v>RM06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BALANCO_CASAS!$C$24:$BP$24</c:f>
              <c:numCache>
                <c:formatCode>#,##0</c:formatCode>
                <c:ptCount val="66"/>
                <c:pt idx="0">
                  <c:v>148517.964621022</c:v>
                </c:pt>
                <c:pt idx="1">
                  <c:v>106348.07147541</c:v>
                </c:pt>
                <c:pt idx="2">
                  <c:v>72482.76</c:v>
                </c:pt>
                <c:pt idx="3">
                  <c:v>67558.995</c:v>
                </c:pt>
                <c:pt idx="4">
                  <c:v>43075.116</c:v>
                </c:pt>
                <c:pt idx="5">
                  <c:v>23226.588</c:v>
                </c:pt>
                <c:pt idx="6">
                  <c:v>16571.016</c:v>
                </c:pt>
                <c:pt idx="7">
                  <c:v>9915.44399999998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1050.25753382132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575.813647058821</c:v>
                </c:pt>
                <c:pt idx="18">
                  <c:v>2949.2894117647</c:v>
                </c:pt>
                <c:pt idx="19">
                  <c:v>2949.2894117647</c:v>
                </c:pt>
                <c:pt idx="20">
                  <c:v>0</c:v>
                </c:pt>
                <c:pt idx="21">
                  <c:v>0</c:v>
                </c:pt>
                <c:pt idx="22">
                  <c:v>6937.73129411765</c:v>
                </c:pt>
                <c:pt idx="23">
                  <c:v>18011.1255809258</c:v>
                </c:pt>
                <c:pt idx="24">
                  <c:v>36258.5168235294</c:v>
                </c:pt>
                <c:pt idx="25">
                  <c:v>37916.6768235294</c:v>
                </c:pt>
                <c:pt idx="26">
                  <c:v>55491.5027058823</c:v>
                </c:pt>
                <c:pt idx="27">
                  <c:v>63309.3739215686</c:v>
                </c:pt>
                <c:pt idx="28">
                  <c:v>65814.1336764706</c:v>
                </c:pt>
                <c:pt idx="29">
                  <c:v>63329.1697058823</c:v>
                </c:pt>
                <c:pt idx="30">
                  <c:v>158408.527182228</c:v>
                </c:pt>
                <c:pt idx="31">
                  <c:v>239700.350542484</c:v>
                </c:pt>
                <c:pt idx="32">
                  <c:v>241517.355240196</c:v>
                </c:pt>
                <c:pt idx="33">
                  <c:v>238455.314095148</c:v>
                </c:pt>
                <c:pt idx="34">
                  <c:v>232026.832968083</c:v>
                </c:pt>
                <c:pt idx="35">
                  <c:v>274613.670340069</c:v>
                </c:pt>
                <c:pt idx="36">
                  <c:v>269320.106720666</c:v>
                </c:pt>
                <c:pt idx="37">
                  <c:v>253931.10686597</c:v>
                </c:pt>
                <c:pt idx="38">
                  <c:v>238542.107011273</c:v>
                </c:pt>
                <c:pt idx="39">
                  <c:v>192675.328963511</c:v>
                </c:pt>
                <c:pt idx="40">
                  <c:v>184018.211794508</c:v>
                </c:pt>
                <c:pt idx="41">
                  <c:v>105683.408551724</c:v>
                </c:pt>
                <c:pt idx="42">
                  <c:v>122256.792302907</c:v>
                </c:pt>
                <c:pt idx="43">
                  <c:v>101868.376878431</c:v>
                </c:pt>
                <c:pt idx="44">
                  <c:v>110999.730223529</c:v>
                </c:pt>
                <c:pt idx="45">
                  <c:v>118896.898427451</c:v>
                </c:pt>
                <c:pt idx="46">
                  <c:v>127621.952966667</c:v>
                </c:pt>
                <c:pt idx="47">
                  <c:v>145164.103294118</c:v>
                </c:pt>
                <c:pt idx="48">
                  <c:v>185651.427239216</c:v>
                </c:pt>
                <c:pt idx="49">
                  <c:v>180091.532847059</c:v>
                </c:pt>
                <c:pt idx="50">
                  <c:v>200084.864494118</c:v>
                </c:pt>
                <c:pt idx="51">
                  <c:v>213432.502541176</c:v>
                </c:pt>
                <c:pt idx="52">
                  <c:v>220875.092705882</c:v>
                </c:pt>
                <c:pt idx="53">
                  <c:v>217357.418352941</c:v>
                </c:pt>
                <c:pt idx="54">
                  <c:v>210339.015764706</c:v>
                </c:pt>
                <c:pt idx="55">
                  <c:v>203320.613176471</c:v>
                </c:pt>
                <c:pt idx="56">
                  <c:v>157614.958117647</c:v>
                </c:pt>
                <c:pt idx="57">
                  <c:v>99255.566117647</c:v>
                </c:pt>
                <c:pt idx="58">
                  <c:v>88330.2494117647</c:v>
                </c:pt>
                <c:pt idx="59">
                  <c:v>75032.3774117647</c:v>
                </c:pt>
                <c:pt idx="60">
                  <c:v>60678.1905882352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BALANCO_CASAS!B48</c:f>
              <c:strCache>
                <c:ptCount val="1"/>
                <c:pt idx="0">
                  <c:v>RM06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BALANCO_CASAS!$C$48:$BP$48</c:f>
              <c:numCache>
                <c:formatCode>#,##0</c:formatCode>
                <c:ptCount val="66"/>
                <c:pt idx="0">
                  <c:v>469821</c:v>
                </c:pt>
                <c:pt idx="1">
                  <c:v>469821</c:v>
                </c:pt>
                <c:pt idx="2">
                  <c:v>469821</c:v>
                </c:pt>
                <c:pt idx="3">
                  <c:v>469821</c:v>
                </c:pt>
                <c:pt idx="4">
                  <c:v>469821</c:v>
                </c:pt>
                <c:pt idx="5">
                  <c:v>469821</c:v>
                </c:pt>
                <c:pt idx="6">
                  <c:v>469821</c:v>
                </c:pt>
                <c:pt idx="7">
                  <c:v>469821</c:v>
                </c:pt>
                <c:pt idx="8">
                  <c:v>469821</c:v>
                </c:pt>
                <c:pt idx="9">
                  <c:v>469821</c:v>
                </c:pt>
                <c:pt idx="10">
                  <c:v>469821</c:v>
                </c:pt>
                <c:pt idx="11">
                  <c:v>469821</c:v>
                </c:pt>
                <c:pt idx="12">
                  <c:v>469821</c:v>
                </c:pt>
                <c:pt idx="13">
                  <c:v>469821</c:v>
                </c:pt>
                <c:pt idx="14">
                  <c:v>469821</c:v>
                </c:pt>
                <c:pt idx="15">
                  <c:v>469821</c:v>
                </c:pt>
                <c:pt idx="16">
                  <c:v>469821</c:v>
                </c:pt>
                <c:pt idx="17">
                  <c:v>469821</c:v>
                </c:pt>
                <c:pt idx="18">
                  <c:v>469821</c:v>
                </c:pt>
                <c:pt idx="19">
                  <c:v>469821</c:v>
                </c:pt>
                <c:pt idx="20">
                  <c:v>469821</c:v>
                </c:pt>
                <c:pt idx="21">
                  <c:v>469821</c:v>
                </c:pt>
                <c:pt idx="22">
                  <c:v>469821</c:v>
                </c:pt>
                <c:pt idx="23">
                  <c:v>469821</c:v>
                </c:pt>
                <c:pt idx="24">
                  <c:v>469821</c:v>
                </c:pt>
                <c:pt idx="25">
                  <c:v>469821</c:v>
                </c:pt>
                <c:pt idx="26">
                  <c:v>469821</c:v>
                </c:pt>
                <c:pt idx="27">
                  <c:v>469821</c:v>
                </c:pt>
                <c:pt idx="28">
                  <c:v>469821</c:v>
                </c:pt>
                <c:pt idx="29">
                  <c:v>469821</c:v>
                </c:pt>
                <c:pt idx="30">
                  <c:v>461352.472817772</c:v>
                </c:pt>
                <c:pt idx="31">
                  <c:v>371592.122275288</c:v>
                </c:pt>
                <c:pt idx="32">
                  <c:v>280014.767035092</c:v>
                </c:pt>
                <c:pt idx="33">
                  <c:v>191499.452939944</c:v>
                </c:pt>
                <c:pt idx="34">
                  <c:v>109412.61997186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44256.5914482759</c:v>
                </c:pt>
                <c:pt idx="42">
                  <c:v>71939.7991453685</c:v>
                </c:pt>
                <c:pt idx="43">
                  <c:v>120011.422266937</c:v>
                </c:pt>
                <c:pt idx="44">
                  <c:v>158951.692043408</c:v>
                </c:pt>
                <c:pt idx="45">
                  <c:v>189994.793615957</c:v>
                </c:pt>
                <c:pt idx="46">
                  <c:v>212312.84064929</c:v>
                </c:pt>
                <c:pt idx="47">
                  <c:v>217088.737355173</c:v>
                </c:pt>
                <c:pt idx="48">
                  <c:v>181377.310115957</c:v>
                </c:pt>
                <c:pt idx="49">
                  <c:v>151225.777268898</c:v>
                </c:pt>
                <c:pt idx="50">
                  <c:v>101080.91277478</c:v>
                </c:pt>
                <c:pt idx="51">
                  <c:v>37588.4102336039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50684.433882353</c:v>
                </c:pt>
                <c:pt idx="58">
                  <c:v>112294.184470588</c:v>
                </c:pt>
                <c:pt idx="59">
                  <c:v>187201.807058824</c:v>
                </c:pt>
                <c:pt idx="60">
                  <c:v>276463.616470588</c:v>
                </c:pt>
                <c:pt idx="61">
                  <c:v>426403.616470588</c:v>
                </c:pt>
                <c:pt idx="62">
                  <c:v>469821</c:v>
                </c:pt>
                <c:pt idx="63">
                  <c:v>469821</c:v>
                </c:pt>
                <c:pt idx="64">
                  <c:v>469821</c:v>
                </c:pt>
                <c:pt idx="65">
                  <c:v>469821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766303"/>
        <c:axId val="92941572"/>
      </c:lineChart>
      <c:catAx>
        <c:axId val="397663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41572"/>
        <c:crosses val="autoZero"/>
        <c:auto val="1"/>
        <c:lblAlgn val="ctr"/>
        <c:lblOffset val="100"/>
        <c:noMultiLvlLbl val="0"/>
      </c:catAx>
      <c:valAx>
        <c:axId val="92941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663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RM07 - Entrada x Consumo x Nivel do reservatorio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BALANCO_CASAS!B13</c:f>
              <c:strCache>
                <c:ptCount val="1"/>
                <c:pt idx="0">
                  <c:v>RM07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BALANCO_CASAS!$C$13:$BP$13</c:f>
              <c:numCache>
                <c:formatCode>#,##0</c:formatCode>
                <c:ptCount val="66"/>
                <c:pt idx="0">
                  <c:v>177660</c:v>
                </c:pt>
                <c:pt idx="1">
                  <c:v>177660</c:v>
                </c:pt>
                <c:pt idx="2">
                  <c:v>177660</c:v>
                </c:pt>
                <c:pt idx="3">
                  <c:v>177660</c:v>
                </c:pt>
                <c:pt idx="4">
                  <c:v>177660</c:v>
                </c:pt>
                <c:pt idx="5">
                  <c:v>177660</c:v>
                </c:pt>
                <c:pt idx="6">
                  <c:v>177660</c:v>
                </c:pt>
                <c:pt idx="7">
                  <c:v>177660</c:v>
                </c:pt>
                <c:pt idx="8">
                  <c:v>177660</c:v>
                </c:pt>
                <c:pt idx="9">
                  <c:v>177660</c:v>
                </c:pt>
                <c:pt idx="10">
                  <c:v>177660</c:v>
                </c:pt>
                <c:pt idx="11">
                  <c:v>177660</c:v>
                </c:pt>
                <c:pt idx="12">
                  <c:v>177660</c:v>
                </c:pt>
                <c:pt idx="13">
                  <c:v>177660</c:v>
                </c:pt>
                <c:pt idx="14">
                  <c:v>177660</c:v>
                </c:pt>
                <c:pt idx="15">
                  <c:v>177660</c:v>
                </c:pt>
                <c:pt idx="16">
                  <c:v>177660</c:v>
                </c:pt>
                <c:pt idx="17">
                  <c:v>177660</c:v>
                </c:pt>
                <c:pt idx="18">
                  <c:v>177660</c:v>
                </c:pt>
                <c:pt idx="19">
                  <c:v>177660</c:v>
                </c:pt>
                <c:pt idx="20">
                  <c:v>177660</c:v>
                </c:pt>
                <c:pt idx="21">
                  <c:v>177660</c:v>
                </c:pt>
                <c:pt idx="22">
                  <c:v>177660</c:v>
                </c:pt>
                <c:pt idx="23">
                  <c:v>177660</c:v>
                </c:pt>
                <c:pt idx="24">
                  <c:v>177660</c:v>
                </c:pt>
                <c:pt idx="25">
                  <c:v>177660</c:v>
                </c:pt>
                <c:pt idx="26">
                  <c:v>177660</c:v>
                </c:pt>
                <c:pt idx="27">
                  <c:v>177660</c:v>
                </c:pt>
                <c:pt idx="28">
                  <c:v>177660</c:v>
                </c:pt>
                <c:pt idx="29">
                  <c:v>177660</c:v>
                </c:pt>
                <c:pt idx="30">
                  <c:v>177660</c:v>
                </c:pt>
                <c:pt idx="31">
                  <c:v>177660</c:v>
                </c:pt>
                <c:pt idx="32">
                  <c:v>177660</c:v>
                </c:pt>
                <c:pt idx="33">
                  <c:v>177660</c:v>
                </c:pt>
                <c:pt idx="34">
                  <c:v>177660</c:v>
                </c:pt>
                <c:pt idx="35">
                  <c:v>177660</c:v>
                </c:pt>
                <c:pt idx="36">
                  <c:v>177660</c:v>
                </c:pt>
                <c:pt idx="37">
                  <c:v>177660</c:v>
                </c:pt>
                <c:pt idx="38">
                  <c:v>177660</c:v>
                </c:pt>
                <c:pt idx="39">
                  <c:v>177660</c:v>
                </c:pt>
                <c:pt idx="40">
                  <c:v>177660</c:v>
                </c:pt>
                <c:pt idx="41">
                  <c:v>177660</c:v>
                </c:pt>
                <c:pt idx="42">
                  <c:v>177660</c:v>
                </c:pt>
                <c:pt idx="43">
                  <c:v>177660</c:v>
                </c:pt>
                <c:pt idx="44">
                  <c:v>177660</c:v>
                </c:pt>
                <c:pt idx="45">
                  <c:v>177660</c:v>
                </c:pt>
                <c:pt idx="46">
                  <c:v>177660</c:v>
                </c:pt>
                <c:pt idx="47">
                  <c:v>177660</c:v>
                </c:pt>
                <c:pt idx="48">
                  <c:v>177660</c:v>
                </c:pt>
                <c:pt idx="49">
                  <c:v>177660</c:v>
                </c:pt>
                <c:pt idx="50">
                  <c:v>177660</c:v>
                </c:pt>
                <c:pt idx="51">
                  <c:v>177660</c:v>
                </c:pt>
                <c:pt idx="52">
                  <c:v>177660</c:v>
                </c:pt>
                <c:pt idx="53">
                  <c:v>177660</c:v>
                </c:pt>
                <c:pt idx="54">
                  <c:v>177660</c:v>
                </c:pt>
                <c:pt idx="55">
                  <c:v>177660</c:v>
                </c:pt>
                <c:pt idx="56">
                  <c:v>177660</c:v>
                </c:pt>
                <c:pt idx="57">
                  <c:v>177660</c:v>
                </c:pt>
                <c:pt idx="58">
                  <c:v>177660</c:v>
                </c:pt>
                <c:pt idx="59">
                  <c:v>177660</c:v>
                </c:pt>
                <c:pt idx="60">
                  <c:v>177660</c:v>
                </c:pt>
                <c:pt idx="61">
                  <c:v>177660</c:v>
                </c:pt>
                <c:pt idx="62">
                  <c:v>177660</c:v>
                </c:pt>
                <c:pt idx="63">
                  <c:v>177660</c:v>
                </c:pt>
                <c:pt idx="64">
                  <c:v>177660</c:v>
                </c:pt>
                <c:pt idx="65">
                  <c:v>177660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BALANCO_CASAS!B25</c:f>
              <c:strCache>
                <c:ptCount val="1"/>
                <c:pt idx="0">
                  <c:v>RM07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BALANCO_CASAS!$C$25:$BP$25</c:f>
              <c:numCache>
                <c:formatCode>#,##0</c:formatCode>
                <c:ptCount val="66"/>
                <c:pt idx="0">
                  <c:v>172736.158296919</c:v>
                </c:pt>
                <c:pt idx="1">
                  <c:v>152721.743398693</c:v>
                </c:pt>
                <c:pt idx="2">
                  <c:v>101244.383189542</c:v>
                </c:pt>
                <c:pt idx="3">
                  <c:v>58285.332</c:v>
                </c:pt>
                <c:pt idx="4">
                  <c:v>26414.8658823529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1050.25753382132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4030.29035294116</c:v>
                </c:pt>
                <c:pt idx="18">
                  <c:v>20642.9505882353</c:v>
                </c:pt>
                <c:pt idx="19">
                  <c:v>20642.9505882353</c:v>
                </c:pt>
                <c:pt idx="20">
                  <c:v>8508.71637009591</c:v>
                </c:pt>
                <c:pt idx="21">
                  <c:v>0</c:v>
                </c:pt>
                <c:pt idx="22">
                  <c:v>0</c:v>
                </c:pt>
                <c:pt idx="23">
                  <c:v>4053.86713261398</c:v>
                </c:pt>
                <c:pt idx="24">
                  <c:v>12914.9946526086</c:v>
                </c:pt>
                <c:pt idx="25">
                  <c:v>20651.9270588235</c:v>
                </c:pt>
                <c:pt idx="26">
                  <c:v>26207.7035294118</c:v>
                </c:pt>
                <c:pt idx="27">
                  <c:v>26207.7035294118</c:v>
                </c:pt>
                <c:pt idx="28">
                  <c:v>29146.4767679738</c:v>
                </c:pt>
                <c:pt idx="29">
                  <c:v>35852.7712941176</c:v>
                </c:pt>
                <c:pt idx="30">
                  <c:v>116217.850881627</c:v>
                </c:pt>
                <c:pt idx="31">
                  <c:v>236511.561084967</c:v>
                </c:pt>
                <c:pt idx="32">
                  <c:v>264229.996038671</c:v>
                </c:pt>
                <c:pt idx="33">
                  <c:v>283391.189642031</c:v>
                </c:pt>
                <c:pt idx="34">
                  <c:v>324304.534323683</c:v>
                </c:pt>
                <c:pt idx="35">
                  <c:v>407921.465823529</c:v>
                </c:pt>
                <c:pt idx="36">
                  <c:v>398843.217254525</c:v>
                </c:pt>
                <c:pt idx="37">
                  <c:v>389360.091773756</c:v>
                </c:pt>
                <c:pt idx="38">
                  <c:v>346552.519028281</c:v>
                </c:pt>
                <c:pt idx="39">
                  <c:v>354318.903272463</c:v>
                </c:pt>
                <c:pt idx="40">
                  <c:v>348262.392321267</c:v>
                </c:pt>
                <c:pt idx="41">
                  <c:v>301446.849803922</c:v>
                </c:pt>
                <c:pt idx="42">
                  <c:v>263268.321464052</c:v>
                </c:pt>
                <c:pt idx="43">
                  <c:v>278245.964235294</c:v>
                </c:pt>
                <c:pt idx="44">
                  <c:v>273278.471739869</c:v>
                </c:pt>
                <c:pt idx="45">
                  <c:v>259988.107903268</c:v>
                </c:pt>
                <c:pt idx="46">
                  <c:v>247069.456232184</c:v>
                </c:pt>
                <c:pt idx="47">
                  <c:v>215925.435404102</c:v>
                </c:pt>
                <c:pt idx="48">
                  <c:v>222953.03967735</c:v>
                </c:pt>
                <c:pt idx="49">
                  <c:v>212778.354351679</c:v>
                </c:pt>
                <c:pt idx="50">
                  <c:v>153873.594772414</c:v>
                </c:pt>
                <c:pt idx="51">
                  <c:v>170691.022727789</c:v>
                </c:pt>
                <c:pt idx="52">
                  <c:v>181370.903447059</c:v>
                </c:pt>
                <c:pt idx="53">
                  <c:v>192351.865670588</c:v>
                </c:pt>
                <c:pt idx="54">
                  <c:v>192978.075294118</c:v>
                </c:pt>
                <c:pt idx="55">
                  <c:v>192978.075294118</c:v>
                </c:pt>
                <c:pt idx="56">
                  <c:v>158545.365647059</c:v>
                </c:pt>
                <c:pt idx="57">
                  <c:v>106826.752941176</c:v>
                </c:pt>
                <c:pt idx="58">
                  <c:v>97788.1123569979</c:v>
                </c:pt>
                <c:pt idx="59">
                  <c:v>86139.1811440162</c:v>
                </c:pt>
                <c:pt idx="60">
                  <c:v>74490.2499310345</c:v>
                </c:pt>
                <c:pt idx="61">
                  <c:v>1235.62435294118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BALANCO_CASAS!B49</c:f>
              <c:strCache>
                <c:ptCount val="1"/>
                <c:pt idx="0">
                  <c:v>RM07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BALANCO_CASAS!$C$49:$BP$49</c:f>
              <c:numCache>
                <c:formatCode>#,##0</c:formatCode>
                <c:ptCount val="66"/>
                <c:pt idx="0">
                  <c:v>440000</c:v>
                </c:pt>
                <c:pt idx="1">
                  <c:v>440000</c:v>
                </c:pt>
                <c:pt idx="2">
                  <c:v>440000</c:v>
                </c:pt>
                <c:pt idx="3">
                  <c:v>440000</c:v>
                </c:pt>
                <c:pt idx="4">
                  <c:v>440000</c:v>
                </c:pt>
                <c:pt idx="5">
                  <c:v>440000</c:v>
                </c:pt>
                <c:pt idx="6">
                  <c:v>440000</c:v>
                </c:pt>
                <c:pt idx="7">
                  <c:v>440000</c:v>
                </c:pt>
                <c:pt idx="8">
                  <c:v>440000</c:v>
                </c:pt>
                <c:pt idx="9">
                  <c:v>440000</c:v>
                </c:pt>
                <c:pt idx="10">
                  <c:v>440000</c:v>
                </c:pt>
                <c:pt idx="11">
                  <c:v>440000</c:v>
                </c:pt>
                <c:pt idx="12">
                  <c:v>440000</c:v>
                </c:pt>
                <c:pt idx="13">
                  <c:v>440000</c:v>
                </c:pt>
                <c:pt idx="14">
                  <c:v>440000</c:v>
                </c:pt>
                <c:pt idx="15">
                  <c:v>440000</c:v>
                </c:pt>
                <c:pt idx="16">
                  <c:v>440000</c:v>
                </c:pt>
                <c:pt idx="17">
                  <c:v>440000</c:v>
                </c:pt>
                <c:pt idx="18">
                  <c:v>440000</c:v>
                </c:pt>
                <c:pt idx="19">
                  <c:v>440000</c:v>
                </c:pt>
                <c:pt idx="20">
                  <c:v>440000</c:v>
                </c:pt>
                <c:pt idx="21">
                  <c:v>440000</c:v>
                </c:pt>
                <c:pt idx="22">
                  <c:v>440000</c:v>
                </c:pt>
                <c:pt idx="23">
                  <c:v>440000</c:v>
                </c:pt>
                <c:pt idx="24">
                  <c:v>440000</c:v>
                </c:pt>
                <c:pt idx="25">
                  <c:v>440000</c:v>
                </c:pt>
                <c:pt idx="26">
                  <c:v>440000</c:v>
                </c:pt>
                <c:pt idx="27">
                  <c:v>440000</c:v>
                </c:pt>
                <c:pt idx="28">
                  <c:v>440000</c:v>
                </c:pt>
                <c:pt idx="29">
                  <c:v>440000</c:v>
                </c:pt>
                <c:pt idx="30">
                  <c:v>440000</c:v>
                </c:pt>
                <c:pt idx="31">
                  <c:v>381148.438915033</c:v>
                </c:pt>
                <c:pt idx="32">
                  <c:v>294578.442876362</c:v>
                </c:pt>
                <c:pt idx="33">
                  <c:v>188847.253234331</c:v>
                </c:pt>
                <c:pt idx="34">
                  <c:v>42202.7189106477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23786.4052275862</c:v>
                </c:pt>
                <c:pt idx="51">
                  <c:v>30755.3824997972</c:v>
                </c:pt>
                <c:pt idx="52">
                  <c:v>27044.4790527384</c:v>
                </c:pt>
                <c:pt idx="53">
                  <c:v>12352.6133821502</c:v>
                </c:pt>
                <c:pt idx="54">
                  <c:v>0</c:v>
                </c:pt>
                <c:pt idx="55">
                  <c:v>0</c:v>
                </c:pt>
                <c:pt idx="56">
                  <c:v>19114.6343529412</c:v>
                </c:pt>
                <c:pt idx="57">
                  <c:v>89947.8814117647</c:v>
                </c:pt>
                <c:pt idx="58">
                  <c:v>169819.769054767</c:v>
                </c:pt>
                <c:pt idx="59">
                  <c:v>261340.587910751</c:v>
                </c:pt>
                <c:pt idx="60">
                  <c:v>364510.337979716</c:v>
                </c:pt>
                <c:pt idx="61">
                  <c:v>440000</c:v>
                </c:pt>
                <c:pt idx="62">
                  <c:v>440000</c:v>
                </c:pt>
                <c:pt idx="63">
                  <c:v>440000</c:v>
                </c:pt>
                <c:pt idx="64">
                  <c:v>440000</c:v>
                </c:pt>
                <c:pt idx="65">
                  <c:v>440000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789454"/>
        <c:axId val="51149771"/>
      </c:lineChart>
      <c:catAx>
        <c:axId val="877894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49771"/>
        <c:crosses val="autoZero"/>
        <c:auto val="1"/>
        <c:lblAlgn val="ctr"/>
        <c:lblOffset val="100"/>
        <c:noMultiLvlLbl val="0"/>
      </c:catAx>
      <c:valAx>
        <c:axId val="51149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89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RM08 - Entrada x Consumo x Nivel do reservatorio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BALANCO_CASAS!B14</c:f>
              <c:strCache>
                <c:ptCount val="1"/>
                <c:pt idx="0">
                  <c:v>RM08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BALANCO_CASAS!$C$14:$BP$14</c:f>
              <c:numCache>
                <c:formatCode>#,##0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BALANCO_CASAS!B26</c:f>
              <c:strCache>
                <c:ptCount val="1"/>
                <c:pt idx="0">
                  <c:v>RM08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BALANCO_CASAS!$C$26:$BP$26</c:f>
              <c:numCache>
                <c:formatCode>#,##0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BALANCO_CASAS!B50</c:f>
              <c:strCache>
                <c:ptCount val="1"/>
                <c:pt idx="0">
                  <c:v>RM08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BALANCO_CASAS!$C$6:$BP$6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BALANCO_CASAS!$C$50:$BP$50</c:f>
              <c:numCache>
                <c:formatCode>#,##0</c:formatCode>
                <c:ptCount val="66"/>
                <c:pt idx="0">
                  <c:v>74903</c:v>
                </c:pt>
                <c:pt idx="1">
                  <c:v>74903</c:v>
                </c:pt>
                <c:pt idx="2">
                  <c:v>74903</c:v>
                </c:pt>
                <c:pt idx="3">
                  <c:v>74903</c:v>
                </c:pt>
                <c:pt idx="4">
                  <c:v>74903</c:v>
                </c:pt>
                <c:pt idx="5">
                  <c:v>74903</c:v>
                </c:pt>
                <c:pt idx="6">
                  <c:v>74903</c:v>
                </c:pt>
                <c:pt idx="7">
                  <c:v>74903</c:v>
                </c:pt>
                <c:pt idx="8">
                  <c:v>74903</c:v>
                </c:pt>
                <c:pt idx="9">
                  <c:v>74903</c:v>
                </c:pt>
                <c:pt idx="10">
                  <c:v>74903</c:v>
                </c:pt>
                <c:pt idx="11">
                  <c:v>74903</c:v>
                </c:pt>
                <c:pt idx="12">
                  <c:v>74903</c:v>
                </c:pt>
                <c:pt idx="13">
                  <c:v>74903</c:v>
                </c:pt>
                <c:pt idx="14">
                  <c:v>74903</c:v>
                </c:pt>
                <c:pt idx="15">
                  <c:v>74903</c:v>
                </c:pt>
                <c:pt idx="16">
                  <c:v>74903</c:v>
                </c:pt>
                <c:pt idx="17">
                  <c:v>74903</c:v>
                </c:pt>
                <c:pt idx="18">
                  <c:v>74903</c:v>
                </c:pt>
                <c:pt idx="19">
                  <c:v>74903</c:v>
                </c:pt>
                <c:pt idx="20">
                  <c:v>74903</c:v>
                </c:pt>
                <c:pt idx="21">
                  <c:v>74903</c:v>
                </c:pt>
                <c:pt idx="22">
                  <c:v>74903</c:v>
                </c:pt>
                <c:pt idx="23">
                  <c:v>74903</c:v>
                </c:pt>
                <c:pt idx="24">
                  <c:v>74903</c:v>
                </c:pt>
                <c:pt idx="25">
                  <c:v>74903</c:v>
                </c:pt>
                <c:pt idx="26">
                  <c:v>74903</c:v>
                </c:pt>
                <c:pt idx="27">
                  <c:v>74903</c:v>
                </c:pt>
                <c:pt idx="28">
                  <c:v>74903</c:v>
                </c:pt>
                <c:pt idx="29">
                  <c:v>74903</c:v>
                </c:pt>
                <c:pt idx="30">
                  <c:v>74903</c:v>
                </c:pt>
                <c:pt idx="31">
                  <c:v>74903</c:v>
                </c:pt>
                <c:pt idx="32">
                  <c:v>74903</c:v>
                </c:pt>
                <c:pt idx="33">
                  <c:v>74903</c:v>
                </c:pt>
                <c:pt idx="34">
                  <c:v>74903</c:v>
                </c:pt>
                <c:pt idx="35">
                  <c:v>74903</c:v>
                </c:pt>
                <c:pt idx="36">
                  <c:v>74903</c:v>
                </c:pt>
                <c:pt idx="37">
                  <c:v>74903</c:v>
                </c:pt>
                <c:pt idx="38">
                  <c:v>74903</c:v>
                </c:pt>
                <c:pt idx="39">
                  <c:v>74903</c:v>
                </c:pt>
                <c:pt idx="40">
                  <c:v>74903</c:v>
                </c:pt>
                <c:pt idx="41">
                  <c:v>74903</c:v>
                </c:pt>
                <c:pt idx="42">
                  <c:v>74903</c:v>
                </c:pt>
                <c:pt idx="43">
                  <c:v>74903</c:v>
                </c:pt>
                <c:pt idx="44">
                  <c:v>74903</c:v>
                </c:pt>
                <c:pt idx="45">
                  <c:v>74903</c:v>
                </c:pt>
                <c:pt idx="46">
                  <c:v>74903</c:v>
                </c:pt>
                <c:pt idx="47">
                  <c:v>74903</c:v>
                </c:pt>
                <c:pt idx="48">
                  <c:v>74903</c:v>
                </c:pt>
                <c:pt idx="49">
                  <c:v>74903</c:v>
                </c:pt>
                <c:pt idx="50">
                  <c:v>74903</c:v>
                </c:pt>
                <c:pt idx="51">
                  <c:v>74903</c:v>
                </c:pt>
                <c:pt idx="52">
                  <c:v>74903</c:v>
                </c:pt>
                <c:pt idx="53">
                  <c:v>74903</c:v>
                </c:pt>
                <c:pt idx="54">
                  <c:v>74903</c:v>
                </c:pt>
                <c:pt idx="55">
                  <c:v>74903</c:v>
                </c:pt>
                <c:pt idx="56">
                  <c:v>74903</c:v>
                </c:pt>
                <c:pt idx="57">
                  <c:v>74903</c:v>
                </c:pt>
                <c:pt idx="58">
                  <c:v>74903</c:v>
                </c:pt>
                <c:pt idx="59">
                  <c:v>74903</c:v>
                </c:pt>
                <c:pt idx="60">
                  <c:v>74903</c:v>
                </c:pt>
                <c:pt idx="61">
                  <c:v>74903</c:v>
                </c:pt>
                <c:pt idx="62">
                  <c:v>74903</c:v>
                </c:pt>
                <c:pt idx="63">
                  <c:v>74903</c:v>
                </c:pt>
                <c:pt idx="64">
                  <c:v>74903</c:v>
                </c:pt>
                <c:pt idx="65">
                  <c:v>74903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873883"/>
        <c:axId val="44793975"/>
      </c:lineChart>
      <c:catAx>
        <c:axId val="998738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93975"/>
        <c:crosses val="autoZero"/>
        <c:auto val="1"/>
        <c:lblAlgn val="ctr"/>
        <c:lblOffset val="100"/>
        <c:noMultiLvlLbl val="0"/>
      </c:catAx>
      <c:valAx>
        <c:axId val="44793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738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GRAFICO 1 - Demanda hidrica da RDM (mm/semana)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GRAFICOS!B61</c:f>
              <c:strCache>
                <c:ptCount val="1"/>
                <c:pt idx="0">
                  <c:v>ETo (mm/semana)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GRAFICOS!$C$61:$BP$61</c:f>
              <c:numCache>
                <c:formatCode>#,##0.0</c:formatCode>
                <c:ptCount val="66"/>
                <c:pt idx="0">
                  <c:v>40</c:v>
                </c:pt>
                <c:pt idx="1">
                  <c:v>40.6</c:v>
                </c:pt>
                <c:pt idx="2">
                  <c:v>40.6</c:v>
                </c:pt>
                <c:pt idx="3">
                  <c:v>40.6</c:v>
                </c:pt>
                <c:pt idx="4">
                  <c:v>39.8</c:v>
                </c:pt>
                <c:pt idx="5">
                  <c:v>39.2</c:v>
                </c:pt>
                <c:pt idx="6">
                  <c:v>39.2</c:v>
                </c:pt>
                <c:pt idx="7">
                  <c:v>39.2</c:v>
                </c:pt>
                <c:pt idx="8">
                  <c:v>38.5</c:v>
                </c:pt>
                <c:pt idx="9">
                  <c:v>34.3</c:v>
                </c:pt>
                <c:pt idx="10">
                  <c:v>34.3</c:v>
                </c:pt>
                <c:pt idx="11">
                  <c:v>34.3</c:v>
                </c:pt>
                <c:pt idx="12">
                  <c:v>34.3</c:v>
                </c:pt>
                <c:pt idx="13">
                  <c:v>33.1</c:v>
                </c:pt>
                <c:pt idx="14">
                  <c:v>32.9</c:v>
                </c:pt>
                <c:pt idx="15">
                  <c:v>32.9</c:v>
                </c:pt>
                <c:pt idx="16">
                  <c:v>32.9</c:v>
                </c:pt>
                <c:pt idx="17">
                  <c:v>33.2</c:v>
                </c:pt>
                <c:pt idx="18">
                  <c:v>33.6</c:v>
                </c:pt>
                <c:pt idx="19">
                  <c:v>33.6</c:v>
                </c:pt>
                <c:pt idx="20">
                  <c:v>33.6</c:v>
                </c:pt>
                <c:pt idx="21">
                  <c:v>33.6</c:v>
                </c:pt>
                <c:pt idx="22">
                  <c:v>32.9</c:v>
                </c:pt>
                <c:pt idx="23">
                  <c:v>32.9</c:v>
                </c:pt>
                <c:pt idx="24">
                  <c:v>32.9</c:v>
                </c:pt>
                <c:pt idx="25">
                  <c:v>32.9</c:v>
                </c:pt>
                <c:pt idx="26">
                  <c:v>32.2</c:v>
                </c:pt>
                <c:pt idx="27">
                  <c:v>32.2</c:v>
                </c:pt>
                <c:pt idx="28">
                  <c:v>32.2</c:v>
                </c:pt>
                <c:pt idx="29">
                  <c:v>32.2</c:v>
                </c:pt>
                <c:pt idx="30">
                  <c:v>31.8</c:v>
                </c:pt>
                <c:pt idx="31">
                  <c:v>31.5</c:v>
                </c:pt>
                <c:pt idx="32">
                  <c:v>31.5</c:v>
                </c:pt>
                <c:pt idx="33">
                  <c:v>31.5</c:v>
                </c:pt>
                <c:pt idx="34">
                  <c:v>30.9</c:v>
                </c:pt>
                <c:pt idx="35">
                  <c:v>29.4</c:v>
                </c:pt>
                <c:pt idx="36">
                  <c:v>29.4</c:v>
                </c:pt>
                <c:pt idx="37">
                  <c:v>29.4</c:v>
                </c:pt>
                <c:pt idx="38">
                  <c:v>29.4</c:v>
                </c:pt>
                <c:pt idx="39">
                  <c:v>28.2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29.2</c:v>
                </c:pt>
                <c:pt idx="44">
                  <c:v>30.1</c:v>
                </c:pt>
                <c:pt idx="45">
                  <c:v>30.1</c:v>
                </c:pt>
                <c:pt idx="46">
                  <c:v>30.1</c:v>
                </c:pt>
                <c:pt idx="47">
                  <c:v>31</c:v>
                </c:pt>
                <c:pt idx="48">
                  <c:v>36.4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39.4</c:v>
                </c:pt>
                <c:pt idx="53">
                  <c:v>40.6</c:v>
                </c:pt>
                <c:pt idx="54">
                  <c:v>40.6</c:v>
                </c:pt>
                <c:pt idx="55">
                  <c:v>40.6</c:v>
                </c:pt>
                <c:pt idx="56">
                  <c:v>40</c:v>
                </c:pt>
                <c:pt idx="57">
                  <c:v>39.2</c:v>
                </c:pt>
                <c:pt idx="58">
                  <c:v>39.2</c:v>
                </c:pt>
                <c:pt idx="59">
                  <c:v>39.2</c:v>
                </c:pt>
                <c:pt idx="60">
                  <c:v>39.2</c:v>
                </c:pt>
                <c:pt idx="61">
                  <c:v>34.3</c:v>
                </c:pt>
                <c:pt idx="62">
                  <c:v>34.3</c:v>
                </c:pt>
                <c:pt idx="63">
                  <c:v>34.3</c:v>
                </c:pt>
                <c:pt idx="64">
                  <c:v>34.3</c:v>
                </c:pt>
                <c:pt idx="65">
                  <c:v>33.3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GRAFICOS!B62</c:f>
              <c:strCache>
                <c:ptCount val="1"/>
                <c:pt idx="0">
                  <c:v>ETc (mm/semana)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GRAFICOS!$C$62:$BP$62</c:f>
              <c:numCache>
                <c:formatCode>#,##0.0</c:formatCode>
                <c:ptCount val="66"/>
                <c:pt idx="0">
                  <c:v>35.5769776097569</c:v>
                </c:pt>
                <c:pt idx="1">
                  <c:v>36.8716444192239</c:v>
                </c:pt>
                <c:pt idx="2">
                  <c:v>39.5146497817056</c:v>
                </c:pt>
                <c:pt idx="3">
                  <c:v>41.0811399389727</c:v>
                </c:pt>
                <c:pt idx="4">
                  <c:v>27.4369027850762</c:v>
                </c:pt>
                <c:pt idx="5">
                  <c:v>26.7416700346256</c:v>
                </c:pt>
                <c:pt idx="6">
                  <c:v>20.972457030135</c:v>
                </c:pt>
                <c:pt idx="7">
                  <c:v>22.4760610753991</c:v>
                </c:pt>
                <c:pt idx="8">
                  <c:v>23.5442531956389</c:v>
                </c:pt>
                <c:pt idx="9">
                  <c:v>24.4928960363027</c:v>
                </c:pt>
                <c:pt idx="10">
                  <c:v>29.2113340784602</c:v>
                </c:pt>
                <c:pt idx="11">
                  <c:v>31.0416090911662</c:v>
                </c:pt>
                <c:pt idx="12">
                  <c:v>35.4127607597581</c:v>
                </c:pt>
                <c:pt idx="13">
                  <c:v>25.5559959357656</c:v>
                </c:pt>
                <c:pt idx="14">
                  <c:v>25.137684219005</c:v>
                </c:pt>
                <c:pt idx="15">
                  <c:v>24.2114522178596</c:v>
                </c:pt>
                <c:pt idx="16">
                  <c:v>23.7391288323347</c:v>
                </c:pt>
                <c:pt idx="17">
                  <c:v>23.6714312203016</c:v>
                </c:pt>
                <c:pt idx="18">
                  <c:v>23.8081518966786</c:v>
                </c:pt>
                <c:pt idx="19">
                  <c:v>24.4103627121916</c:v>
                </c:pt>
                <c:pt idx="20">
                  <c:v>25.0558654419838</c:v>
                </c:pt>
                <c:pt idx="21">
                  <c:v>25.2198863065359</c:v>
                </c:pt>
                <c:pt idx="22">
                  <c:v>24.3538339938757</c:v>
                </c:pt>
                <c:pt idx="23">
                  <c:v>23.6182562613248</c:v>
                </c:pt>
                <c:pt idx="24">
                  <c:v>25.1742294254923</c:v>
                </c:pt>
                <c:pt idx="25">
                  <c:v>26.1461861630262</c:v>
                </c:pt>
                <c:pt idx="26">
                  <c:v>26.2628837503865</c:v>
                </c:pt>
                <c:pt idx="27">
                  <c:v>27.3013943055844</c:v>
                </c:pt>
                <c:pt idx="28">
                  <c:v>28.6322180069238</c:v>
                </c:pt>
                <c:pt idx="29">
                  <c:v>30.1303770186897</c:v>
                </c:pt>
                <c:pt idx="30">
                  <c:v>31.082330098578</c:v>
                </c:pt>
                <c:pt idx="31">
                  <c:v>32.1028323160611</c:v>
                </c:pt>
                <c:pt idx="32">
                  <c:v>33.3699403566472</c:v>
                </c:pt>
                <c:pt idx="33">
                  <c:v>34.265391585524</c:v>
                </c:pt>
                <c:pt idx="34">
                  <c:v>33.9145294479032</c:v>
                </c:pt>
                <c:pt idx="35">
                  <c:v>31.4889108687761</c:v>
                </c:pt>
                <c:pt idx="36">
                  <c:v>29.5628851593248</c:v>
                </c:pt>
                <c:pt idx="37">
                  <c:v>28.4913720609747</c:v>
                </c:pt>
                <c:pt idx="38">
                  <c:v>27.5977656167956</c:v>
                </c:pt>
                <c:pt idx="39">
                  <c:v>24.2393413874529</c:v>
                </c:pt>
                <c:pt idx="40">
                  <c:v>22.6317252663257</c:v>
                </c:pt>
                <c:pt idx="41">
                  <c:v>23.2108631530946</c:v>
                </c:pt>
                <c:pt idx="42">
                  <c:v>21.7068602237614</c:v>
                </c:pt>
                <c:pt idx="43">
                  <c:v>21.4031308097404</c:v>
                </c:pt>
                <c:pt idx="44">
                  <c:v>21.2521437809062</c:v>
                </c:pt>
                <c:pt idx="45">
                  <c:v>21.121472980722</c:v>
                </c:pt>
                <c:pt idx="46">
                  <c:v>21.0282318378937</c:v>
                </c:pt>
                <c:pt idx="47">
                  <c:v>22.2219511504011</c:v>
                </c:pt>
                <c:pt idx="48">
                  <c:v>28.2521003260793</c:v>
                </c:pt>
                <c:pt idx="49">
                  <c:v>30.4690906611164</c:v>
                </c:pt>
                <c:pt idx="50">
                  <c:v>35.4051972377535</c:v>
                </c:pt>
                <c:pt idx="51">
                  <c:v>40.2252149128654</c:v>
                </c:pt>
                <c:pt idx="52">
                  <c:v>45.5373920252586</c:v>
                </c:pt>
                <c:pt idx="53">
                  <c:v>47.5009175094979</c:v>
                </c:pt>
                <c:pt idx="54">
                  <c:v>47.0897164545083</c:v>
                </c:pt>
                <c:pt idx="55">
                  <c:v>46.1138345316118</c:v>
                </c:pt>
                <c:pt idx="56">
                  <c:v>44.0231277235283</c:v>
                </c:pt>
                <c:pt idx="57">
                  <c:v>41.387985880582</c:v>
                </c:pt>
                <c:pt idx="58">
                  <c:v>39.1586104430038</c:v>
                </c:pt>
                <c:pt idx="59">
                  <c:v>37.9502380133448</c:v>
                </c:pt>
                <c:pt idx="60">
                  <c:v>38.4982992266573</c:v>
                </c:pt>
                <c:pt idx="61">
                  <c:v>30.1554787495071</c:v>
                </c:pt>
                <c:pt idx="62">
                  <c:v>27.7618055716511</c:v>
                </c:pt>
                <c:pt idx="63">
                  <c:v>24.8570380705725</c:v>
                </c:pt>
                <c:pt idx="64">
                  <c:v>24.6887798124315</c:v>
                </c:pt>
                <c:pt idx="65">
                  <c:v>22.977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GRAFICOS!B63</c:f>
              <c:strCache>
                <c:ptCount val="1"/>
                <c:pt idx="0">
                  <c:v>Chuva util (mm/semana)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GRAFICOS!$C$63:$BP$63</c:f>
              <c:numCache>
                <c:formatCode>#,##0.0</c:formatCode>
                <c:ptCount val="66"/>
                <c:pt idx="0">
                  <c:v>4.928</c:v>
                </c:pt>
                <c:pt idx="1">
                  <c:v>5.6</c:v>
                </c:pt>
                <c:pt idx="2">
                  <c:v>5.6</c:v>
                </c:pt>
                <c:pt idx="3">
                  <c:v>5.6</c:v>
                </c:pt>
                <c:pt idx="4">
                  <c:v>14.784</c:v>
                </c:pt>
                <c:pt idx="5">
                  <c:v>21.672</c:v>
                </c:pt>
                <c:pt idx="6">
                  <c:v>21.672</c:v>
                </c:pt>
                <c:pt idx="7">
                  <c:v>21.672</c:v>
                </c:pt>
                <c:pt idx="8">
                  <c:v>23.912</c:v>
                </c:pt>
                <c:pt idx="9">
                  <c:v>37.352</c:v>
                </c:pt>
                <c:pt idx="10">
                  <c:v>37.352</c:v>
                </c:pt>
                <c:pt idx="11">
                  <c:v>37.352</c:v>
                </c:pt>
                <c:pt idx="12">
                  <c:v>37.352</c:v>
                </c:pt>
                <c:pt idx="13">
                  <c:v>38.648</c:v>
                </c:pt>
                <c:pt idx="14">
                  <c:v>38.864</c:v>
                </c:pt>
                <c:pt idx="15">
                  <c:v>38.864</c:v>
                </c:pt>
                <c:pt idx="16">
                  <c:v>38.864</c:v>
                </c:pt>
                <c:pt idx="17">
                  <c:v>37.688</c:v>
                </c:pt>
                <c:pt idx="18">
                  <c:v>36.12</c:v>
                </c:pt>
                <c:pt idx="19">
                  <c:v>36.12</c:v>
                </c:pt>
                <c:pt idx="20">
                  <c:v>36.12</c:v>
                </c:pt>
                <c:pt idx="21">
                  <c:v>36.12</c:v>
                </c:pt>
                <c:pt idx="22">
                  <c:v>31.976</c:v>
                </c:pt>
                <c:pt idx="23">
                  <c:v>31.976</c:v>
                </c:pt>
                <c:pt idx="24">
                  <c:v>31.976</c:v>
                </c:pt>
                <c:pt idx="25">
                  <c:v>31.976</c:v>
                </c:pt>
                <c:pt idx="26">
                  <c:v>29.792</c:v>
                </c:pt>
                <c:pt idx="27">
                  <c:v>29.792</c:v>
                </c:pt>
                <c:pt idx="28">
                  <c:v>29.792</c:v>
                </c:pt>
                <c:pt idx="29">
                  <c:v>29.792</c:v>
                </c:pt>
                <c:pt idx="30">
                  <c:v>20.224</c:v>
                </c:pt>
                <c:pt idx="31">
                  <c:v>13.048</c:v>
                </c:pt>
                <c:pt idx="32">
                  <c:v>13.048</c:v>
                </c:pt>
                <c:pt idx="33">
                  <c:v>13.048</c:v>
                </c:pt>
                <c:pt idx="34">
                  <c:v>10.088</c:v>
                </c:pt>
                <c:pt idx="35">
                  <c:v>2.688</c:v>
                </c:pt>
                <c:pt idx="36">
                  <c:v>2.688</c:v>
                </c:pt>
                <c:pt idx="37">
                  <c:v>2.688</c:v>
                </c:pt>
                <c:pt idx="38">
                  <c:v>2.688</c:v>
                </c:pt>
                <c:pt idx="39">
                  <c:v>1.2</c:v>
                </c:pt>
                <c:pt idx="40">
                  <c:v>0.952</c:v>
                </c:pt>
                <c:pt idx="41">
                  <c:v>0.952</c:v>
                </c:pt>
                <c:pt idx="42">
                  <c:v>0.952</c:v>
                </c:pt>
                <c:pt idx="43">
                  <c:v>0.728</c:v>
                </c:pt>
                <c:pt idx="44">
                  <c:v>0.56</c:v>
                </c:pt>
                <c:pt idx="45">
                  <c:v>0.56</c:v>
                </c:pt>
                <c:pt idx="46">
                  <c:v>0.56</c:v>
                </c:pt>
                <c:pt idx="47">
                  <c:v>0.608</c:v>
                </c:pt>
                <c:pt idx="48">
                  <c:v>0.896</c:v>
                </c:pt>
                <c:pt idx="49">
                  <c:v>0.896</c:v>
                </c:pt>
                <c:pt idx="50">
                  <c:v>0.896</c:v>
                </c:pt>
                <c:pt idx="51">
                  <c:v>0.896</c:v>
                </c:pt>
                <c:pt idx="52">
                  <c:v>4.256</c:v>
                </c:pt>
                <c:pt idx="53">
                  <c:v>5.6</c:v>
                </c:pt>
                <c:pt idx="54">
                  <c:v>5.6</c:v>
                </c:pt>
                <c:pt idx="55">
                  <c:v>5.6</c:v>
                </c:pt>
                <c:pt idx="56">
                  <c:v>12.488</c:v>
                </c:pt>
                <c:pt idx="57">
                  <c:v>21.672</c:v>
                </c:pt>
                <c:pt idx="58">
                  <c:v>21.672</c:v>
                </c:pt>
                <c:pt idx="59">
                  <c:v>21.672</c:v>
                </c:pt>
                <c:pt idx="60">
                  <c:v>21.672</c:v>
                </c:pt>
                <c:pt idx="61">
                  <c:v>37.352</c:v>
                </c:pt>
                <c:pt idx="62">
                  <c:v>37.352</c:v>
                </c:pt>
                <c:pt idx="63">
                  <c:v>37.352</c:v>
                </c:pt>
                <c:pt idx="64">
                  <c:v>37.352</c:v>
                </c:pt>
                <c:pt idx="65">
                  <c:v>38.432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GRAFICOS!B64</c:f>
              <c:strCache>
                <c:ptCount val="1"/>
                <c:pt idx="0">
                  <c:v>Necessidade de irrigacao liquida (mm/semana)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GRAFICOS!$C$64:$BP$64</c:f>
              <c:numCache>
                <c:formatCode>#,##0.0</c:formatCode>
                <c:ptCount val="66"/>
                <c:pt idx="0">
                  <c:v>30.6489776097569</c:v>
                </c:pt>
                <c:pt idx="1">
                  <c:v>31.2716444192239</c:v>
                </c:pt>
                <c:pt idx="2">
                  <c:v>33.9146497817055</c:v>
                </c:pt>
                <c:pt idx="3">
                  <c:v>35.4811399389727</c:v>
                </c:pt>
                <c:pt idx="4">
                  <c:v>12.6529027850762</c:v>
                </c:pt>
                <c:pt idx="5">
                  <c:v>8.51112173847231</c:v>
                </c:pt>
                <c:pt idx="6">
                  <c:v>3.91624772035768</c:v>
                </c:pt>
                <c:pt idx="7">
                  <c:v>3.85393410292207</c:v>
                </c:pt>
                <c:pt idx="8">
                  <c:v>4.02133926694301</c:v>
                </c:pt>
                <c:pt idx="9">
                  <c:v>0</c:v>
                </c:pt>
                <c:pt idx="10">
                  <c:v>0.622922609917473</c:v>
                </c:pt>
                <c:pt idx="11">
                  <c:v>0.592994689067786</c:v>
                </c:pt>
                <c:pt idx="12">
                  <c:v>1.03333070753269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0.158751400557157</c:v>
                </c:pt>
                <c:pt idx="18">
                  <c:v>0.721626694473409</c:v>
                </c:pt>
                <c:pt idx="19">
                  <c:v>0.730477706768187</c:v>
                </c:pt>
                <c:pt idx="20">
                  <c:v>0.208753435912149</c:v>
                </c:pt>
                <c:pt idx="21">
                  <c:v>0</c:v>
                </c:pt>
                <c:pt idx="22">
                  <c:v>0.180152368499838</c:v>
                </c:pt>
                <c:pt idx="23">
                  <c:v>0.821422233997069</c:v>
                </c:pt>
                <c:pt idx="24">
                  <c:v>2.24345004819951</c:v>
                </c:pt>
                <c:pt idx="25">
                  <c:v>2.73404112631109</c:v>
                </c:pt>
                <c:pt idx="26">
                  <c:v>3.66289727732209</c:v>
                </c:pt>
                <c:pt idx="27">
                  <c:v>3.84386060459171</c:v>
                </c:pt>
                <c:pt idx="28">
                  <c:v>3.96986419500936</c:v>
                </c:pt>
                <c:pt idx="29">
                  <c:v>4.06757698686317</c:v>
                </c:pt>
                <c:pt idx="30">
                  <c:v>10.9841502829825</c:v>
                </c:pt>
                <c:pt idx="31">
                  <c:v>19.0548323160611</c:v>
                </c:pt>
                <c:pt idx="32">
                  <c:v>20.3219403566472</c:v>
                </c:pt>
                <c:pt idx="33">
                  <c:v>21.217391585524</c:v>
                </c:pt>
                <c:pt idx="34">
                  <c:v>23.8265294479032</c:v>
                </c:pt>
                <c:pt idx="35">
                  <c:v>28.8009108687761</c:v>
                </c:pt>
                <c:pt idx="36">
                  <c:v>26.8748851593248</c:v>
                </c:pt>
                <c:pt idx="37">
                  <c:v>25.8033720609747</c:v>
                </c:pt>
                <c:pt idx="38">
                  <c:v>24.9097656167956</c:v>
                </c:pt>
                <c:pt idx="39">
                  <c:v>23.0393413874529</c:v>
                </c:pt>
                <c:pt idx="40">
                  <c:v>21.6797252663257</c:v>
                </c:pt>
                <c:pt idx="41">
                  <c:v>22.2588631530946</c:v>
                </c:pt>
                <c:pt idx="42">
                  <c:v>20.7548602237614</c:v>
                </c:pt>
                <c:pt idx="43">
                  <c:v>20.6751308097404</c:v>
                </c:pt>
                <c:pt idx="44">
                  <c:v>20.6921437809062</c:v>
                </c:pt>
                <c:pt idx="45">
                  <c:v>20.561472980722</c:v>
                </c:pt>
                <c:pt idx="46">
                  <c:v>20.4682318378937</c:v>
                </c:pt>
                <c:pt idx="47">
                  <c:v>21.6139511504011</c:v>
                </c:pt>
                <c:pt idx="48">
                  <c:v>27.3561003260793</c:v>
                </c:pt>
                <c:pt idx="49">
                  <c:v>29.5730906611164</c:v>
                </c:pt>
                <c:pt idx="50">
                  <c:v>34.5091972377535</c:v>
                </c:pt>
                <c:pt idx="51">
                  <c:v>39.3292149128654</c:v>
                </c:pt>
                <c:pt idx="52">
                  <c:v>41.2813920252586</c:v>
                </c:pt>
                <c:pt idx="53">
                  <c:v>41.9009175094979</c:v>
                </c:pt>
                <c:pt idx="54">
                  <c:v>41.4897164545083</c:v>
                </c:pt>
                <c:pt idx="55">
                  <c:v>40.5138345316119</c:v>
                </c:pt>
                <c:pt idx="56">
                  <c:v>31.5351277235283</c:v>
                </c:pt>
                <c:pt idx="57">
                  <c:v>19.715985880582</c:v>
                </c:pt>
                <c:pt idx="58">
                  <c:v>17.4866104430038</c:v>
                </c:pt>
                <c:pt idx="59">
                  <c:v>16.2782380133448</c:v>
                </c:pt>
                <c:pt idx="60">
                  <c:v>16.8262992266573</c:v>
                </c:pt>
                <c:pt idx="61">
                  <c:v>0.119155098475223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681174"/>
        <c:axId val="41861805"/>
      </c:lineChart>
      <c:catAx>
        <c:axId val="336811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61805"/>
        <c:crosses val="autoZero"/>
        <c:auto val="1"/>
        <c:lblAlgn val="ctr"/>
        <c:lblOffset val="100"/>
        <c:noMultiLvlLbl val="0"/>
      </c:catAx>
      <c:valAx>
        <c:axId val="41861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811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GRAFICO 2 - Volume semanal (m3)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GRAFICOS!B66</c:f>
              <c:strCache>
                <c:ptCount val="1"/>
                <c:pt idx="0">
                  <c:v>Volume total demandado (m3)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GRAFICOS!$C$66:$BP$66</c:f>
              <c:numCache>
                <c:formatCode>#,##0</c:formatCode>
                <c:ptCount val="66"/>
                <c:pt idx="0">
                  <c:v>479894.29328025</c:v>
                </c:pt>
                <c:pt idx="1">
                  <c:v>404983.393642987</c:v>
                </c:pt>
                <c:pt idx="2">
                  <c:v>315670.682711111</c:v>
                </c:pt>
                <c:pt idx="3">
                  <c:v>266571.40895</c:v>
                </c:pt>
                <c:pt idx="4">
                  <c:v>344602.0116</c:v>
                </c:pt>
                <c:pt idx="5">
                  <c:v>319041.6334</c:v>
                </c:pt>
                <c:pt idx="6">
                  <c:v>550851.0028</c:v>
                </c:pt>
                <c:pt idx="7">
                  <c:v>549509.546400655</c:v>
                </c:pt>
                <c:pt idx="8">
                  <c:v>601334.961069116</c:v>
                </c:pt>
                <c:pt idx="9">
                  <c:v>748089.5912</c:v>
                </c:pt>
                <c:pt idx="10">
                  <c:v>760565.547523688</c:v>
                </c:pt>
                <c:pt idx="11">
                  <c:v>813066.3737</c:v>
                </c:pt>
                <c:pt idx="12">
                  <c:v>745761.720585157</c:v>
                </c:pt>
                <c:pt idx="13">
                  <c:v>1271511.4704</c:v>
                </c:pt>
                <c:pt idx="14">
                  <c:v>1278613.9408</c:v>
                </c:pt>
                <c:pt idx="15">
                  <c:v>1371891.4272</c:v>
                </c:pt>
                <c:pt idx="16">
                  <c:v>1430164.1088</c:v>
                </c:pt>
                <c:pt idx="17">
                  <c:v>1392730.17413938</c:v>
                </c:pt>
                <c:pt idx="18">
                  <c:v>1409711.688</c:v>
                </c:pt>
                <c:pt idx="19">
                  <c:v>1386967.22478403</c:v>
                </c:pt>
                <c:pt idx="20">
                  <c:v>1258635.09291458</c:v>
                </c:pt>
                <c:pt idx="21">
                  <c:v>1161276.06</c:v>
                </c:pt>
                <c:pt idx="22">
                  <c:v>1052593.0604</c:v>
                </c:pt>
                <c:pt idx="23">
                  <c:v>1204360.70133905</c:v>
                </c:pt>
                <c:pt idx="24">
                  <c:v>1256579.26910994</c:v>
                </c:pt>
                <c:pt idx="25">
                  <c:v>1274594.3622075</c:v>
                </c:pt>
                <c:pt idx="26">
                  <c:v>1228503.9739</c:v>
                </c:pt>
                <c:pt idx="27">
                  <c:v>1235149.16443333</c:v>
                </c:pt>
                <c:pt idx="28">
                  <c:v>1239776.16747778</c:v>
                </c:pt>
                <c:pt idx="29">
                  <c:v>1243364.29845</c:v>
                </c:pt>
                <c:pt idx="30">
                  <c:v>1146000.72817146</c:v>
                </c:pt>
                <c:pt idx="31">
                  <c:v>1178854.52604454</c:v>
                </c:pt>
                <c:pt idx="32">
                  <c:v>1225384.25382451</c:v>
                </c:pt>
                <c:pt idx="33">
                  <c:v>1258266.29749034</c:v>
                </c:pt>
                <c:pt idx="34">
                  <c:v>1197922.22625295</c:v>
                </c:pt>
                <c:pt idx="35">
                  <c:v>1112245.01192474</c:v>
                </c:pt>
                <c:pt idx="36">
                  <c:v>1085584.6185126</c:v>
                </c:pt>
                <c:pt idx="37">
                  <c:v>1046237.37172546</c:v>
                </c:pt>
                <c:pt idx="38">
                  <c:v>974802.757563329</c:v>
                </c:pt>
                <c:pt idx="39">
                  <c:v>890107.398693492</c:v>
                </c:pt>
                <c:pt idx="40">
                  <c:v>865016.224094341</c:v>
                </c:pt>
                <c:pt idx="41">
                  <c:v>656472.842558974</c:v>
                </c:pt>
                <c:pt idx="42">
                  <c:v>613987.22417318</c:v>
                </c:pt>
                <c:pt idx="43">
                  <c:v>561669.519961531</c:v>
                </c:pt>
                <c:pt idx="44">
                  <c:v>578950.900879446</c:v>
                </c:pt>
                <c:pt idx="45">
                  <c:v>575391.166940828</c:v>
                </c:pt>
                <c:pt idx="46">
                  <c:v>572851.0917279</c:v>
                </c:pt>
                <c:pt idx="47">
                  <c:v>572050.799684317</c:v>
                </c:pt>
                <c:pt idx="48">
                  <c:v>628123.296129655</c:v>
                </c:pt>
                <c:pt idx="49">
                  <c:v>616791.896071111</c:v>
                </c:pt>
                <c:pt idx="50">
                  <c:v>537847.432278161</c:v>
                </c:pt>
                <c:pt idx="51">
                  <c:v>531511.854729655</c:v>
                </c:pt>
                <c:pt idx="52">
                  <c:v>601703.775786552</c:v>
                </c:pt>
                <c:pt idx="53">
                  <c:v>627648.62342</c:v>
                </c:pt>
                <c:pt idx="54">
                  <c:v>622215.2594</c:v>
                </c:pt>
                <c:pt idx="55">
                  <c:v>609320.5412</c:v>
                </c:pt>
                <c:pt idx="56">
                  <c:v>581695.195862069</c:v>
                </c:pt>
                <c:pt idx="57">
                  <c:v>546876.012634483</c:v>
                </c:pt>
                <c:pt idx="58">
                  <c:v>517418.383227586</c:v>
                </c:pt>
                <c:pt idx="59">
                  <c:v>448344.111889655</c:v>
                </c:pt>
                <c:pt idx="60">
                  <c:v>339339.408703448</c:v>
                </c:pt>
                <c:pt idx="61">
                  <c:v>330285.7495</c:v>
                </c:pt>
                <c:pt idx="62">
                  <c:v>276965.08</c:v>
                </c:pt>
                <c:pt idx="63">
                  <c:v>239807.3104</c:v>
                </c:pt>
                <c:pt idx="64">
                  <c:v>109127.6032</c:v>
                </c:pt>
                <c:pt idx="65">
                  <c:v>55983.8944</c:v>
                </c:pt>
              </c:numCache>
            </c:numRef>
          </c:val>
        </c:ser>
        <c:ser>
          <c:idx val="1"/>
          <c:order val="1"/>
          <c:tx>
            <c:strRef>
              <c:f>GRAFICOS!B67</c:f>
              <c:strCache>
                <c:ptCount val="1"/>
                <c:pt idx="0">
                  <c:v>Volume suprido pela chuva util (m3)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GRAFICOS!$C$67:$BP$67</c:f>
              <c:numCache>
                <c:formatCode>#,##0</c:formatCode>
                <c:ptCount val="66"/>
                <c:pt idx="0">
                  <c:v>66473.2992</c:v>
                </c:pt>
                <c:pt idx="1">
                  <c:v>61508.16</c:v>
                </c:pt>
                <c:pt idx="2">
                  <c:v>44736.72</c:v>
                </c:pt>
                <c:pt idx="3">
                  <c:v>36337.84</c:v>
                </c:pt>
                <c:pt idx="4">
                  <c:v>185684.0832</c:v>
                </c:pt>
                <c:pt idx="5">
                  <c:v>229077.3744</c:v>
                </c:pt>
                <c:pt idx="6">
                  <c:v>466543.98</c:v>
                </c:pt>
                <c:pt idx="7">
                  <c:v>466543.98</c:v>
                </c:pt>
                <c:pt idx="8">
                  <c:v>514765.58</c:v>
                </c:pt>
                <c:pt idx="9">
                  <c:v>748089.5912</c:v>
                </c:pt>
                <c:pt idx="10">
                  <c:v>748089.5912</c:v>
                </c:pt>
                <c:pt idx="11">
                  <c:v>800359.98</c:v>
                </c:pt>
                <c:pt idx="12">
                  <c:v>725685.8616</c:v>
                </c:pt>
                <c:pt idx="13">
                  <c:v>1271511.4704</c:v>
                </c:pt>
                <c:pt idx="14">
                  <c:v>1278613.9408</c:v>
                </c:pt>
                <c:pt idx="15">
                  <c:v>1371891.4272</c:v>
                </c:pt>
                <c:pt idx="16">
                  <c:v>1430164.1088</c:v>
                </c:pt>
                <c:pt idx="17">
                  <c:v>1386888.2496</c:v>
                </c:pt>
                <c:pt idx="18">
                  <c:v>1382099.292</c:v>
                </c:pt>
                <c:pt idx="19">
                  <c:v>1359473.724</c:v>
                </c:pt>
                <c:pt idx="20">
                  <c:v>1251402.684</c:v>
                </c:pt>
                <c:pt idx="21">
                  <c:v>1161276.06</c:v>
                </c:pt>
                <c:pt idx="22">
                  <c:v>1046695.9888</c:v>
                </c:pt>
                <c:pt idx="23">
                  <c:v>1174197.0912</c:v>
                </c:pt>
                <c:pt idx="24">
                  <c:v>1174197.0912</c:v>
                </c:pt>
                <c:pt idx="25">
                  <c:v>1174197.0912</c:v>
                </c:pt>
                <c:pt idx="26">
                  <c:v>1093997.9904</c:v>
                </c:pt>
                <c:pt idx="27">
                  <c:v>1093997.9904</c:v>
                </c:pt>
                <c:pt idx="28">
                  <c:v>1093997.9904</c:v>
                </c:pt>
                <c:pt idx="29">
                  <c:v>1093997.9904</c:v>
                </c:pt>
                <c:pt idx="30">
                  <c:v>742649.5488</c:v>
                </c:pt>
                <c:pt idx="31">
                  <c:v>479138.2176</c:v>
                </c:pt>
                <c:pt idx="32">
                  <c:v>479138.2176</c:v>
                </c:pt>
                <c:pt idx="33">
                  <c:v>479138.2176</c:v>
                </c:pt>
                <c:pt idx="34">
                  <c:v>356326.3184</c:v>
                </c:pt>
                <c:pt idx="35">
                  <c:v>94944.9984</c:v>
                </c:pt>
                <c:pt idx="36">
                  <c:v>98706.5856</c:v>
                </c:pt>
                <c:pt idx="37">
                  <c:v>98706.5856</c:v>
                </c:pt>
                <c:pt idx="38">
                  <c:v>94944.9984</c:v>
                </c:pt>
                <c:pt idx="39">
                  <c:v>44065.92</c:v>
                </c:pt>
                <c:pt idx="40">
                  <c:v>36386.7728</c:v>
                </c:pt>
                <c:pt idx="41">
                  <c:v>26925.416</c:v>
                </c:pt>
                <c:pt idx="42">
                  <c:v>26927.7008</c:v>
                </c:pt>
                <c:pt idx="43">
                  <c:v>19104.4672</c:v>
                </c:pt>
                <c:pt idx="44">
                  <c:v>15255.52</c:v>
                </c:pt>
                <c:pt idx="45">
                  <c:v>15255.52</c:v>
                </c:pt>
                <c:pt idx="46">
                  <c:v>15255.52</c:v>
                </c:pt>
                <c:pt idx="47">
                  <c:v>15651.5008</c:v>
                </c:pt>
                <c:pt idx="48">
                  <c:v>19920.5888</c:v>
                </c:pt>
                <c:pt idx="49">
                  <c:v>18137.9072</c:v>
                </c:pt>
                <c:pt idx="50">
                  <c:v>13611.3152</c:v>
                </c:pt>
                <c:pt idx="51">
                  <c:v>11839.2064</c:v>
                </c:pt>
                <c:pt idx="52">
                  <c:v>56236.2304</c:v>
                </c:pt>
                <c:pt idx="53">
                  <c:v>73995.04</c:v>
                </c:pt>
                <c:pt idx="54">
                  <c:v>73995.04</c:v>
                </c:pt>
                <c:pt idx="55">
                  <c:v>73995.04</c:v>
                </c:pt>
                <c:pt idx="56">
                  <c:v>165008.9392</c:v>
                </c:pt>
                <c:pt idx="57">
                  <c:v>286360.8048</c:v>
                </c:pt>
                <c:pt idx="58">
                  <c:v>286360.8048</c:v>
                </c:pt>
                <c:pt idx="59">
                  <c:v>256033.008</c:v>
                </c:pt>
                <c:pt idx="60">
                  <c:v>191025.6768</c:v>
                </c:pt>
                <c:pt idx="61">
                  <c:v>329235.4688</c:v>
                </c:pt>
                <c:pt idx="62">
                  <c:v>276965.08</c:v>
                </c:pt>
                <c:pt idx="63">
                  <c:v>239807.3104</c:v>
                </c:pt>
                <c:pt idx="64">
                  <c:v>109127.6032</c:v>
                </c:pt>
                <c:pt idx="65">
                  <c:v>55983.8944</c:v>
                </c:pt>
              </c:numCache>
            </c:numRef>
          </c:val>
        </c:ser>
        <c:ser>
          <c:idx val="2"/>
          <c:order val="2"/>
          <c:tx>
            <c:strRef>
              <c:f>GRAFICOS!B68</c:f>
              <c:strCache>
                <c:ptCount val="1"/>
                <c:pt idx="0">
                  <c:v>Volume necessario via irrigacao (m3)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GRAFICOS!$C$68:$BP$68</c:f>
              <c:numCache>
                <c:formatCode>#,##0</c:formatCode>
                <c:ptCount val="66"/>
                <c:pt idx="0">
                  <c:v>486377.640094412</c:v>
                </c:pt>
                <c:pt idx="1">
                  <c:v>404088.51016822</c:v>
                </c:pt>
                <c:pt idx="2">
                  <c:v>318745.83848366</c:v>
                </c:pt>
                <c:pt idx="3">
                  <c:v>270863.022294118</c:v>
                </c:pt>
                <c:pt idx="4">
                  <c:v>186962.268705882</c:v>
                </c:pt>
                <c:pt idx="5">
                  <c:v>105840.304705882</c:v>
                </c:pt>
                <c:pt idx="6">
                  <c:v>99184.7327058823</c:v>
                </c:pt>
                <c:pt idx="7">
                  <c:v>97606.5487066528</c:v>
                </c:pt>
                <c:pt idx="8">
                  <c:v>101846.330669548</c:v>
                </c:pt>
                <c:pt idx="9">
                  <c:v>0</c:v>
                </c:pt>
                <c:pt idx="10">
                  <c:v>14677.5956749272</c:v>
                </c:pt>
                <c:pt idx="11">
                  <c:v>14948.6984705882</c:v>
                </c:pt>
                <c:pt idx="12">
                  <c:v>23618.6576295969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6872.85239927402</c:v>
                </c:pt>
                <c:pt idx="18">
                  <c:v>32485.1717647058</c:v>
                </c:pt>
                <c:pt idx="19">
                  <c:v>32345.2950400341</c:v>
                </c:pt>
                <c:pt idx="20">
                  <c:v>8508.71637009591</c:v>
                </c:pt>
                <c:pt idx="21">
                  <c:v>0</c:v>
                </c:pt>
                <c:pt idx="22">
                  <c:v>6937.73129411765</c:v>
                </c:pt>
                <c:pt idx="23">
                  <c:v>35486.600163592</c:v>
                </c:pt>
                <c:pt idx="24">
                  <c:v>96920.2093058165</c:v>
                </c:pt>
                <c:pt idx="25">
                  <c:v>118114.436479406</c:v>
                </c:pt>
                <c:pt idx="26">
                  <c:v>158242.333529412</c:v>
                </c:pt>
                <c:pt idx="27">
                  <c:v>166060.204745098</c:v>
                </c:pt>
                <c:pt idx="28">
                  <c:v>171503.737738562</c:v>
                </c:pt>
                <c:pt idx="29">
                  <c:v>175725.068294118</c:v>
                </c:pt>
                <c:pt idx="30">
                  <c:v>474530.799260539</c:v>
                </c:pt>
                <c:pt idx="31">
                  <c:v>823195.65699358</c:v>
                </c:pt>
                <c:pt idx="32">
                  <c:v>877936.513205309</c:v>
                </c:pt>
                <c:pt idx="33">
                  <c:v>916621.270459228</c:v>
                </c:pt>
                <c:pt idx="34">
                  <c:v>990112.832768172</c:v>
                </c:pt>
                <c:pt idx="35">
                  <c:v>1196823.54532322</c:v>
                </c:pt>
                <c:pt idx="36">
                  <c:v>1161032.97989718</c:v>
                </c:pt>
                <c:pt idx="37">
                  <c:v>1114742.10132408</c:v>
                </c:pt>
                <c:pt idx="38">
                  <c:v>1035126.77548627</c:v>
                </c:pt>
                <c:pt idx="39">
                  <c:v>995342.916109991</c:v>
                </c:pt>
                <c:pt idx="40">
                  <c:v>974858.177993343</c:v>
                </c:pt>
                <c:pt idx="41">
                  <c:v>740644.031245852</c:v>
                </c:pt>
                <c:pt idx="42">
                  <c:v>690658.262791977</c:v>
                </c:pt>
                <c:pt idx="43">
                  <c:v>638311.826778272</c:v>
                </c:pt>
                <c:pt idx="44">
                  <c:v>663171.03632876</c:v>
                </c:pt>
                <c:pt idx="45">
                  <c:v>658983.114048033</c:v>
                </c:pt>
                <c:pt idx="46">
                  <c:v>655994.790268118</c:v>
                </c:pt>
                <c:pt idx="47">
                  <c:v>654587.410452137</c:v>
                </c:pt>
                <c:pt idx="48">
                  <c:v>715532.596858418</c:v>
                </c:pt>
                <c:pt idx="49">
                  <c:v>704298.810436601</c:v>
                </c:pt>
                <c:pt idx="50">
                  <c:v>616748.37303313</c:v>
                </c:pt>
                <c:pt idx="51">
                  <c:v>611379.586270182</c:v>
                </c:pt>
                <c:pt idx="52">
                  <c:v>641726.523984178</c:v>
                </c:pt>
                <c:pt idx="53">
                  <c:v>651357.156964706</c:v>
                </c:pt>
                <c:pt idx="54">
                  <c:v>644964.964</c:v>
                </c:pt>
                <c:pt idx="55">
                  <c:v>629794.707294118</c:v>
                </c:pt>
                <c:pt idx="56">
                  <c:v>490219.125484787</c:v>
                </c:pt>
                <c:pt idx="57">
                  <c:v>306488.479805274</c:v>
                </c:pt>
                <c:pt idx="58">
                  <c:v>271832.445208925</c:v>
                </c:pt>
                <c:pt idx="59">
                  <c:v>226248.357517241</c:v>
                </c:pt>
                <c:pt idx="60">
                  <c:v>174486.743415821</c:v>
                </c:pt>
                <c:pt idx="61">
                  <c:v>1235.62435294118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gapWidth val="150"/>
        <c:overlap val="0"/>
        <c:axId val="36821715"/>
        <c:axId val="51138157"/>
      </c:barChart>
      <c:catAx>
        <c:axId val="368217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38157"/>
        <c:crosses val="autoZero"/>
        <c:auto val="1"/>
        <c:lblAlgn val="ctr"/>
        <c:lblOffset val="100"/>
        <c:noMultiLvlLbl val="0"/>
      </c:catAx>
      <c:valAx>
        <c:axId val="51138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m3/semana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21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GRAFICO 3 - Demanda semanal por casa de bomba (m3)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GRAFICOS!B70</c:f>
              <c:strCache>
                <c:ptCount val="1"/>
                <c:pt idx="0">
                  <c:v>RM01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GRAFICOS!$C$70:$BP$70</c:f>
              <c:numCache>
                <c:formatCode>#,##0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1313.88423529412</c:v>
                </c:pt>
                <c:pt idx="5">
                  <c:v>0</c:v>
                </c:pt>
                <c:pt idx="6">
                  <c:v>0</c:v>
                </c:pt>
                <c:pt idx="7">
                  <c:v>2987.4674117647</c:v>
                </c:pt>
                <c:pt idx="8">
                  <c:v>8914.87502614379</c:v>
                </c:pt>
                <c:pt idx="9">
                  <c:v>0</c:v>
                </c:pt>
                <c:pt idx="10">
                  <c:v>2420.73917647058</c:v>
                </c:pt>
                <c:pt idx="11">
                  <c:v>2420.73917647058</c:v>
                </c:pt>
                <c:pt idx="12">
                  <c:v>2420.73917647058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5006.27506717716</c:v>
                </c:pt>
                <c:pt idx="31">
                  <c:v>17062.160739993</c:v>
                </c:pt>
                <c:pt idx="32">
                  <c:v>21086.2665527323</c:v>
                </c:pt>
                <c:pt idx="33">
                  <c:v>25110.3723654716</c:v>
                </c:pt>
                <c:pt idx="34">
                  <c:v>29431.7008235294</c:v>
                </c:pt>
                <c:pt idx="35">
                  <c:v>35995.3390588235</c:v>
                </c:pt>
                <c:pt idx="36">
                  <c:v>35995.3390588235</c:v>
                </c:pt>
                <c:pt idx="37">
                  <c:v>35995.3390588235</c:v>
                </c:pt>
                <c:pt idx="38">
                  <c:v>35995.3390588235</c:v>
                </c:pt>
                <c:pt idx="39">
                  <c:v>36120.2505882353</c:v>
                </c:pt>
                <c:pt idx="40">
                  <c:v>36141.0691764706</c:v>
                </c:pt>
                <c:pt idx="41">
                  <c:v>36141.0691764706</c:v>
                </c:pt>
                <c:pt idx="42">
                  <c:v>36141.0691764706</c:v>
                </c:pt>
                <c:pt idx="43">
                  <c:v>35750.9303581125</c:v>
                </c:pt>
                <c:pt idx="44">
                  <c:v>34618.3169683258</c:v>
                </c:pt>
                <c:pt idx="45">
                  <c:v>32163.5325791855</c:v>
                </c:pt>
                <c:pt idx="46">
                  <c:v>29708.7481900452</c:v>
                </c:pt>
                <c:pt idx="47">
                  <c:v>28032.7162663219</c:v>
                </c:pt>
                <c:pt idx="48">
                  <c:v>29736.6545882353</c:v>
                </c:pt>
                <c:pt idx="49">
                  <c:v>26768.0781176471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ser>
          <c:idx val="1"/>
          <c:order val="1"/>
          <c:tx>
            <c:strRef>
              <c:f>GRAFICOS!B71</c:f>
              <c:strCache>
                <c:ptCount val="1"/>
                <c:pt idx="0">
                  <c:v>RM02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GRAFICOS!$C$71:$BP$71</c:f>
              <c:numCache>
                <c:formatCode>#,##0</c:formatCode>
                <c:ptCount val="66"/>
                <c:pt idx="0">
                  <c:v>22570.0291764706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1344.35576470588</c:v>
                </c:pt>
                <c:pt idx="5">
                  <c:v>0</c:v>
                </c:pt>
                <c:pt idx="6">
                  <c:v>0</c:v>
                </c:pt>
                <c:pt idx="7">
                  <c:v>2611.19894593879</c:v>
                </c:pt>
                <c:pt idx="8">
                  <c:v>8421.15634341653</c:v>
                </c:pt>
                <c:pt idx="9">
                  <c:v>0</c:v>
                </c:pt>
                <c:pt idx="10">
                  <c:v>2476.88082352941</c:v>
                </c:pt>
                <c:pt idx="11">
                  <c:v>2476.88082352941</c:v>
                </c:pt>
                <c:pt idx="12">
                  <c:v>2476.88082352941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205.420776888263</c:v>
                </c:pt>
                <c:pt idx="24">
                  <c:v>4483.19184081679</c:v>
                </c:pt>
                <c:pt idx="25">
                  <c:v>6897.07694117646</c:v>
                </c:pt>
                <c:pt idx="26">
                  <c:v>8520.40329411764</c:v>
                </c:pt>
                <c:pt idx="27">
                  <c:v>8520.40329411764</c:v>
                </c:pt>
                <c:pt idx="28">
                  <c:v>8520.40329411764</c:v>
                </c:pt>
                <c:pt idx="29">
                  <c:v>8520.40329411764</c:v>
                </c:pt>
                <c:pt idx="30">
                  <c:v>23595.1241394335</c:v>
                </c:pt>
                <c:pt idx="31">
                  <c:v>44157.0737908497</c:v>
                </c:pt>
                <c:pt idx="32">
                  <c:v>48452.4201960784</c:v>
                </c:pt>
                <c:pt idx="33">
                  <c:v>52747.7666013072</c:v>
                </c:pt>
                <c:pt idx="34">
                  <c:v>58017.9796832579</c:v>
                </c:pt>
                <c:pt idx="35">
                  <c:v>69073.5477828054</c:v>
                </c:pt>
                <c:pt idx="36">
                  <c:v>66633.1704072398</c:v>
                </c:pt>
                <c:pt idx="37">
                  <c:v>64192.7930316742</c:v>
                </c:pt>
                <c:pt idx="38">
                  <c:v>61752.4156561086</c:v>
                </c:pt>
                <c:pt idx="39">
                  <c:v>60144.703800905</c:v>
                </c:pt>
                <c:pt idx="40">
                  <c:v>57959.3124585219</c:v>
                </c:pt>
                <c:pt idx="41">
                  <c:v>55635.1435294118</c:v>
                </c:pt>
                <c:pt idx="42">
                  <c:v>35359.2916078431</c:v>
                </c:pt>
                <c:pt idx="43">
                  <c:v>34231.6316862745</c:v>
                </c:pt>
                <c:pt idx="44">
                  <c:v>32464.5349411765</c:v>
                </c:pt>
                <c:pt idx="45">
                  <c:v>29416.9866666667</c:v>
                </c:pt>
                <c:pt idx="46">
                  <c:v>26369.4383921569</c:v>
                </c:pt>
                <c:pt idx="47">
                  <c:v>23982.2338823529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ser>
          <c:idx val="2"/>
          <c:order val="2"/>
          <c:tx>
            <c:strRef>
              <c:f>GRAFICOS!B72</c:f>
              <c:strCache>
                <c:ptCount val="1"/>
                <c:pt idx="0">
                  <c:v>RM03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GRAFICOS!$C$72:$BP$72</c:f>
              <c:numCache>
                <c:formatCode>#,##0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2643.27152941176</c:v>
                </c:pt>
                <c:pt idx="5">
                  <c:v>0</c:v>
                </c:pt>
                <c:pt idx="6">
                  <c:v>0</c:v>
                </c:pt>
                <c:pt idx="7">
                  <c:v>542.087695025542</c:v>
                </c:pt>
                <c:pt idx="8">
                  <c:v>12201.1742158828</c:v>
                </c:pt>
                <c:pt idx="9">
                  <c:v>0</c:v>
                </c:pt>
                <c:pt idx="10">
                  <c:v>4598.93885139783</c:v>
                </c:pt>
                <c:pt idx="11">
                  <c:v>4870.04164705882</c:v>
                </c:pt>
                <c:pt idx="12">
                  <c:v>4870.04164705882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530.509340450525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7736.53678524191</c:v>
                </c:pt>
                <c:pt idx="31">
                  <c:v>32012.5895676993</c:v>
                </c:pt>
                <c:pt idx="32">
                  <c:v>40108.2832676645</c:v>
                </c:pt>
                <c:pt idx="33">
                  <c:v>48203.9769676296</c:v>
                </c:pt>
                <c:pt idx="34">
                  <c:v>59210.6783529412</c:v>
                </c:pt>
                <c:pt idx="35">
                  <c:v>72415.401882353</c:v>
                </c:pt>
                <c:pt idx="36">
                  <c:v>72415.401882353</c:v>
                </c:pt>
                <c:pt idx="37">
                  <c:v>72415.401882353</c:v>
                </c:pt>
                <c:pt idx="38">
                  <c:v>72415.401882353</c:v>
                </c:pt>
                <c:pt idx="39">
                  <c:v>72666.6988235294</c:v>
                </c:pt>
                <c:pt idx="40">
                  <c:v>72708.5816470588</c:v>
                </c:pt>
                <c:pt idx="41">
                  <c:v>72708.5816470588</c:v>
                </c:pt>
                <c:pt idx="42">
                  <c:v>72708.5816470588</c:v>
                </c:pt>
                <c:pt idx="43">
                  <c:v>73292.520598147</c:v>
                </c:pt>
                <c:pt idx="44">
                  <c:v>71056.119306184</c:v>
                </c:pt>
                <c:pt idx="45">
                  <c:v>66117.585520362</c:v>
                </c:pt>
                <c:pt idx="46">
                  <c:v>61179.05173454</c:v>
                </c:pt>
                <c:pt idx="47">
                  <c:v>57849.4013566042</c:v>
                </c:pt>
                <c:pt idx="48">
                  <c:v>61530.5214117647</c:v>
                </c:pt>
                <c:pt idx="49">
                  <c:v>55558.3410196078</c:v>
                </c:pt>
                <c:pt idx="50">
                  <c:v>49586.160627451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ser>
          <c:idx val="3"/>
          <c:order val="3"/>
          <c:tx>
            <c:strRef>
              <c:f>GRAFICOS!B73</c:f>
              <c:strCache>
                <c:ptCount val="1"/>
                <c:pt idx="0">
                  <c:v>RM04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GRAFICOS!$C$73:$BP$73</c:f>
              <c:numCache>
                <c:formatCode>#,##0</c:formatCode>
                <c:ptCount val="66"/>
                <c:pt idx="0">
                  <c:v>45952.144</c:v>
                </c:pt>
                <c:pt idx="1">
                  <c:v>48375.0152941176</c:v>
                </c:pt>
                <c:pt idx="2">
                  <c:v>48375.0152941176</c:v>
                </c:pt>
                <c:pt idx="3">
                  <c:v>48375.0152941176</c:v>
                </c:pt>
                <c:pt idx="4">
                  <c:v>39291.7032941176</c:v>
                </c:pt>
                <c:pt idx="5">
                  <c:v>27558.1007058823</c:v>
                </c:pt>
                <c:pt idx="6">
                  <c:v>27558.1007058823</c:v>
                </c:pt>
                <c:pt idx="7">
                  <c:v>34101.1026539238</c:v>
                </c:pt>
                <c:pt idx="8">
                  <c:v>40601.5190841048</c:v>
                </c:pt>
                <c:pt idx="9">
                  <c:v>0</c:v>
                </c:pt>
                <c:pt idx="10">
                  <c:v>5181.0368235294</c:v>
                </c:pt>
                <c:pt idx="11">
                  <c:v>5181.0368235294</c:v>
                </c:pt>
                <c:pt idx="12">
                  <c:v>5181.0368235294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1868.08175333564</c:v>
                </c:pt>
                <c:pt idx="24">
                  <c:v>11860.3244986657</c:v>
                </c:pt>
                <c:pt idx="25">
                  <c:v>20262.9608323471</c:v>
                </c:pt>
                <c:pt idx="26">
                  <c:v>28014.466117647</c:v>
                </c:pt>
                <c:pt idx="27">
                  <c:v>28014.466117647</c:v>
                </c:pt>
                <c:pt idx="28">
                  <c:v>28014.466117647</c:v>
                </c:pt>
                <c:pt idx="29">
                  <c:v>28014.466117647</c:v>
                </c:pt>
                <c:pt idx="30">
                  <c:v>73213.4894401258</c:v>
                </c:pt>
                <c:pt idx="31">
                  <c:v>125640.372091116</c:v>
                </c:pt>
                <c:pt idx="32">
                  <c:v>134430.642733496</c:v>
                </c:pt>
                <c:pt idx="33">
                  <c:v>143220.913375875</c:v>
                </c:pt>
                <c:pt idx="34">
                  <c:v>155950.966308985</c:v>
                </c:pt>
                <c:pt idx="35">
                  <c:v>184696.767420815</c:v>
                </c:pt>
                <c:pt idx="36">
                  <c:v>176672.984162896</c:v>
                </c:pt>
                <c:pt idx="37">
                  <c:v>168649.200904977</c:v>
                </c:pt>
                <c:pt idx="38">
                  <c:v>160625.417647059</c:v>
                </c:pt>
                <c:pt idx="39">
                  <c:v>155119.435242405</c:v>
                </c:pt>
                <c:pt idx="40">
                  <c:v>147897.370377074</c:v>
                </c:pt>
                <c:pt idx="41">
                  <c:v>98333.8252066365</c:v>
                </c:pt>
                <c:pt idx="42">
                  <c:v>94392.3636078431</c:v>
                </c:pt>
                <c:pt idx="43">
                  <c:v>74172.4343339797</c:v>
                </c:pt>
                <c:pt idx="44">
                  <c:v>71141.2077435897</c:v>
                </c:pt>
                <c:pt idx="45">
                  <c:v>65352.4311312217</c:v>
                </c:pt>
                <c:pt idx="46">
                  <c:v>59563.6545188537</c:v>
                </c:pt>
                <c:pt idx="47">
                  <c:v>55305.3936117216</c:v>
                </c:pt>
                <c:pt idx="48">
                  <c:v>33272.6274509804</c:v>
                </c:pt>
                <c:pt idx="49">
                  <c:v>29951.0588235294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ser>
          <c:idx val="4"/>
          <c:order val="4"/>
          <c:tx>
            <c:strRef>
              <c:f>GRAFICOS!B74</c:f>
              <c:strCache>
                <c:ptCount val="1"/>
                <c:pt idx="0">
                  <c:v>RM05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GRAFICOS!$C$74:$BP$74</c:f>
              <c:numCache>
                <c:formatCode>#,##0</c:formatCode>
                <c:ptCount val="66"/>
                <c:pt idx="0">
                  <c:v>96601.344</c:v>
                </c:pt>
                <c:pt idx="1">
                  <c:v>96643.68</c:v>
                </c:pt>
                <c:pt idx="2">
                  <c:v>96643.68</c:v>
                </c:pt>
                <c:pt idx="3">
                  <c:v>96643.68</c:v>
                </c:pt>
                <c:pt idx="4">
                  <c:v>72879.072</c:v>
                </c:pt>
                <c:pt idx="5">
                  <c:v>55055.616</c:v>
                </c:pt>
                <c:pt idx="6">
                  <c:v>55055.616</c:v>
                </c:pt>
                <c:pt idx="7">
                  <c:v>47449.248</c:v>
                </c:pt>
                <c:pt idx="8">
                  <c:v>31707.606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6569.44409136608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1736.23905882352</c:v>
                </c:pt>
                <c:pt idx="18">
                  <c:v>8892.93176470587</c:v>
                </c:pt>
                <c:pt idx="19">
                  <c:v>8753.05504003416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11348.1049198283</c:v>
                </c:pt>
                <c:pt idx="24">
                  <c:v>31403.181490196</c:v>
                </c:pt>
                <c:pt idx="25">
                  <c:v>32385.7948235294</c:v>
                </c:pt>
                <c:pt idx="26">
                  <c:v>40008.2578823529</c:v>
                </c:pt>
                <c:pt idx="27">
                  <c:v>40008.2578823529</c:v>
                </c:pt>
                <c:pt idx="28">
                  <c:v>40008.2578823529</c:v>
                </c:pt>
                <c:pt idx="29">
                  <c:v>40008.2578823529</c:v>
                </c:pt>
                <c:pt idx="30">
                  <c:v>90352.9957647059</c:v>
                </c:pt>
                <c:pt idx="31">
                  <c:v>128111.549176471</c:v>
                </c:pt>
                <c:pt idx="32">
                  <c:v>128111.549176471</c:v>
                </c:pt>
                <c:pt idx="33">
                  <c:v>125491.737411765</c:v>
                </c:pt>
                <c:pt idx="34">
                  <c:v>131170.140307692</c:v>
                </c:pt>
                <c:pt idx="35">
                  <c:v>152107.353014823</c:v>
                </c:pt>
                <c:pt idx="36">
                  <c:v>141152.760410673</c:v>
                </c:pt>
                <c:pt idx="37">
                  <c:v>130198.167806522</c:v>
                </c:pt>
                <c:pt idx="38">
                  <c:v>119243.575202372</c:v>
                </c:pt>
                <c:pt idx="39">
                  <c:v>124297.595418942</c:v>
                </c:pt>
                <c:pt idx="40">
                  <c:v>127871.240218443</c:v>
                </c:pt>
                <c:pt idx="41">
                  <c:v>70695.1533306288</c:v>
                </c:pt>
                <c:pt idx="42">
                  <c:v>66531.8429858012</c:v>
                </c:pt>
                <c:pt idx="43">
                  <c:v>40749.9686880325</c:v>
                </c:pt>
                <c:pt idx="44">
                  <c:v>69612.6554060852</c:v>
                </c:pt>
                <c:pt idx="45">
                  <c:v>87047.5718198783</c:v>
                </c:pt>
                <c:pt idx="46">
                  <c:v>104482.488233671</c:v>
                </c:pt>
                <c:pt idx="47">
                  <c:v>128328.126636917</c:v>
                </c:pt>
                <c:pt idx="48">
                  <c:v>182388.326490872</c:v>
                </c:pt>
                <c:pt idx="49">
                  <c:v>199151.445277079</c:v>
                </c:pt>
                <c:pt idx="50">
                  <c:v>213203.753139148</c:v>
                </c:pt>
                <c:pt idx="51">
                  <c:v>227256.061001217</c:v>
                </c:pt>
                <c:pt idx="52">
                  <c:v>239480.527831237</c:v>
                </c:pt>
                <c:pt idx="53">
                  <c:v>241647.872941176</c:v>
                </c:pt>
                <c:pt idx="54">
                  <c:v>241647.872941176</c:v>
                </c:pt>
                <c:pt idx="55">
                  <c:v>233496.018823529</c:v>
                </c:pt>
                <c:pt idx="56">
                  <c:v>174058.801720081</c:v>
                </c:pt>
                <c:pt idx="57">
                  <c:v>100406.16074645</c:v>
                </c:pt>
                <c:pt idx="58">
                  <c:v>85714.0834401622</c:v>
                </c:pt>
                <c:pt idx="59">
                  <c:v>65076.7989614604</c:v>
                </c:pt>
                <c:pt idx="60">
                  <c:v>39318.3028965517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ser>
          <c:idx val="5"/>
          <c:order val="5"/>
          <c:tx>
            <c:strRef>
              <c:f>GRAFICOS!B75</c:f>
              <c:strCache>
                <c:ptCount val="1"/>
                <c:pt idx="0">
                  <c:v>RM06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GRAFICOS!$C$75:$BP$75</c:f>
              <c:numCache>
                <c:formatCode>#,##0</c:formatCode>
                <c:ptCount val="66"/>
                <c:pt idx="0">
                  <c:v>148517.964621022</c:v>
                </c:pt>
                <c:pt idx="1">
                  <c:v>106348.07147541</c:v>
                </c:pt>
                <c:pt idx="2">
                  <c:v>72482.76</c:v>
                </c:pt>
                <c:pt idx="3">
                  <c:v>67558.995</c:v>
                </c:pt>
                <c:pt idx="4">
                  <c:v>43075.116</c:v>
                </c:pt>
                <c:pt idx="5">
                  <c:v>23226.588</c:v>
                </c:pt>
                <c:pt idx="6">
                  <c:v>16571.016</c:v>
                </c:pt>
                <c:pt idx="7">
                  <c:v>9915.44399999998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1050.25753382132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575.813647058821</c:v>
                </c:pt>
                <c:pt idx="18">
                  <c:v>2949.2894117647</c:v>
                </c:pt>
                <c:pt idx="19">
                  <c:v>2949.2894117647</c:v>
                </c:pt>
                <c:pt idx="20">
                  <c:v>0</c:v>
                </c:pt>
                <c:pt idx="21">
                  <c:v>0</c:v>
                </c:pt>
                <c:pt idx="22">
                  <c:v>6937.73129411765</c:v>
                </c:pt>
                <c:pt idx="23">
                  <c:v>18011.1255809258</c:v>
                </c:pt>
                <c:pt idx="24">
                  <c:v>36258.5168235294</c:v>
                </c:pt>
                <c:pt idx="25">
                  <c:v>37916.6768235294</c:v>
                </c:pt>
                <c:pt idx="26">
                  <c:v>55491.5027058823</c:v>
                </c:pt>
                <c:pt idx="27">
                  <c:v>63309.3739215686</c:v>
                </c:pt>
                <c:pt idx="28">
                  <c:v>65814.1336764706</c:v>
                </c:pt>
                <c:pt idx="29">
                  <c:v>63329.1697058823</c:v>
                </c:pt>
                <c:pt idx="30">
                  <c:v>158408.527182228</c:v>
                </c:pt>
                <c:pt idx="31">
                  <c:v>239700.350542484</c:v>
                </c:pt>
                <c:pt idx="32">
                  <c:v>241517.355240196</c:v>
                </c:pt>
                <c:pt idx="33">
                  <c:v>238455.314095148</c:v>
                </c:pt>
                <c:pt idx="34">
                  <c:v>232026.832968083</c:v>
                </c:pt>
                <c:pt idx="35">
                  <c:v>274613.670340069</c:v>
                </c:pt>
                <c:pt idx="36">
                  <c:v>269320.106720666</c:v>
                </c:pt>
                <c:pt idx="37">
                  <c:v>253931.10686597</c:v>
                </c:pt>
                <c:pt idx="38">
                  <c:v>238542.107011273</c:v>
                </c:pt>
                <c:pt idx="39">
                  <c:v>192675.328963511</c:v>
                </c:pt>
                <c:pt idx="40">
                  <c:v>184018.211794508</c:v>
                </c:pt>
                <c:pt idx="41">
                  <c:v>105683.408551724</c:v>
                </c:pt>
                <c:pt idx="42">
                  <c:v>122256.792302907</c:v>
                </c:pt>
                <c:pt idx="43">
                  <c:v>101868.376878431</c:v>
                </c:pt>
                <c:pt idx="44">
                  <c:v>110999.730223529</c:v>
                </c:pt>
                <c:pt idx="45">
                  <c:v>118896.898427451</c:v>
                </c:pt>
                <c:pt idx="46">
                  <c:v>127621.952966667</c:v>
                </c:pt>
                <c:pt idx="47">
                  <c:v>145164.103294118</c:v>
                </c:pt>
                <c:pt idx="48">
                  <c:v>185651.427239216</c:v>
                </c:pt>
                <c:pt idx="49">
                  <c:v>180091.532847059</c:v>
                </c:pt>
                <c:pt idx="50">
                  <c:v>200084.864494118</c:v>
                </c:pt>
                <c:pt idx="51">
                  <c:v>213432.502541176</c:v>
                </c:pt>
                <c:pt idx="52">
                  <c:v>220875.092705882</c:v>
                </c:pt>
                <c:pt idx="53">
                  <c:v>217357.418352941</c:v>
                </c:pt>
                <c:pt idx="54">
                  <c:v>210339.015764706</c:v>
                </c:pt>
                <c:pt idx="55">
                  <c:v>203320.613176471</c:v>
                </c:pt>
                <c:pt idx="56">
                  <c:v>157614.958117647</c:v>
                </c:pt>
                <c:pt idx="57">
                  <c:v>99255.566117647</c:v>
                </c:pt>
                <c:pt idx="58">
                  <c:v>88330.2494117647</c:v>
                </c:pt>
                <c:pt idx="59">
                  <c:v>75032.3774117647</c:v>
                </c:pt>
                <c:pt idx="60">
                  <c:v>60678.1905882352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ser>
          <c:idx val="6"/>
          <c:order val="6"/>
          <c:tx>
            <c:strRef>
              <c:f>GRAFICOS!B76</c:f>
              <c:strCache>
                <c:ptCount val="1"/>
                <c:pt idx="0">
                  <c:v>RM07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GRAFICOS!$C$76:$BP$76</c:f>
              <c:numCache>
                <c:formatCode>#,##0</c:formatCode>
                <c:ptCount val="66"/>
                <c:pt idx="0">
                  <c:v>172736.158296919</c:v>
                </c:pt>
                <c:pt idx="1">
                  <c:v>152721.743398693</c:v>
                </c:pt>
                <c:pt idx="2">
                  <c:v>101244.383189542</c:v>
                </c:pt>
                <c:pt idx="3">
                  <c:v>58285.332</c:v>
                </c:pt>
                <c:pt idx="4">
                  <c:v>26414.8658823529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1050.25753382132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4030.29035294116</c:v>
                </c:pt>
                <c:pt idx="18">
                  <c:v>20642.9505882353</c:v>
                </c:pt>
                <c:pt idx="19">
                  <c:v>20642.9505882353</c:v>
                </c:pt>
                <c:pt idx="20">
                  <c:v>8508.71637009591</c:v>
                </c:pt>
                <c:pt idx="21">
                  <c:v>0</c:v>
                </c:pt>
                <c:pt idx="22">
                  <c:v>0</c:v>
                </c:pt>
                <c:pt idx="23">
                  <c:v>4053.86713261398</c:v>
                </c:pt>
                <c:pt idx="24">
                  <c:v>12914.9946526086</c:v>
                </c:pt>
                <c:pt idx="25">
                  <c:v>20651.9270588235</c:v>
                </c:pt>
                <c:pt idx="26">
                  <c:v>26207.7035294118</c:v>
                </c:pt>
                <c:pt idx="27">
                  <c:v>26207.7035294118</c:v>
                </c:pt>
                <c:pt idx="28">
                  <c:v>29146.4767679738</c:v>
                </c:pt>
                <c:pt idx="29">
                  <c:v>35852.7712941176</c:v>
                </c:pt>
                <c:pt idx="30">
                  <c:v>116217.850881627</c:v>
                </c:pt>
                <c:pt idx="31">
                  <c:v>236511.561084967</c:v>
                </c:pt>
                <c:pt idx="32">
                  <c:v>264229.996038671</c:v>
                </c:pt>
                <c:pt idx="33">
                  <c:v>283391.189642031</c:v>
                </c:pt>
                <c:pt idx="34">
                  <c:v>324304.534323683</c:v>
                </c:pt>
                <c:pt idx="35">
                  <c:v>407921.465823529</c:v>
                </c:pt>
                <c:pt idx="36">
                  <c:v>398843.217254525</c:v>
                </c:pt>
                <c:pt idx="37">
                  <c:v>389360.091773756</c:v>
                </c:pt>
                <c:pt idx="38">
                  <c:v>346552.519028281</c:v>
                </c:pt>
                <c:pt idx="39">
                  <c:v>354318.903272463</c:v>
                </c:pt>
                <c:pt idx="40">
                  <c:v>348262.392321267</c:v>
                </c:pt>
                <c:pt idx="41">
                  <c:v>301446.849803922</c:v>
                </c:pt>
                <c:pt idx="42">
                  <c:v>263268.321464052</c:v>
                </c:pt>
                <c:pt idx="43">
                  <c:v>278245.964235294</c:v>
                </c:pt>
                <c:pt idx="44">
                  <c:v>273278.471739869</c:v>
                </c:pt>
                <c:pt idx="45">
                  <c:v>259988.107903268</c:v>
                </c:pt>
                <c:pt idx="46">
                  <c:v>247069.456232184</c:v>
                </c:pt>
                <c:pt idx="47">
                  <c:v>215925.435404102</c:v>
                </c:pt>
                <c:pt idx="48">
                  <c:v>222953.03967735</c:v>
                </c:pt>
                <c:pt idx="49">
                  <c:v>212778.354351679</c:v>
                </c:pt>
                <c:pt idx="50">
                  <c:v>153873.594772414</c:v>
                </c:pt>
                <c:pt idx="51">
                  <c:v>170691.022727789</c:v>
                </c:pt>
                <c:pt idx="52">
                  <c:v>181370.903447059</c:v>
                </c:pt>
                <c:pt idx="53">
                  <c:v>192351.865670588</c:v>
                </c:pt>
                <c:pt idx="54">
                  <c:v>192978.075294118</c:v>
                </c:pt>
                <c:pt idx="55">
                  <c:v>192978.075294118</c:v>
                </c:pt>
                <c:pt idx="56">
                  <c:v>158545.365647059</c:v>
                </c:pt>
                <c:pt idx="57">
                  <c:v>106826.752941176</c:v>
                </c:pt>
                <c:pt idx="58">
                  <c:v>97788.1123569979</c:v>
                </c:pt>
                <c:pt idx="59">
                  <c:v>86139.1811440162</c:v>
                </c:pt>
                <c:pt idx="60">
                  <c:v>74490.2499310345</c:v>
                </c:pt>
                <c:pt idx="61">
                  <c:v>1235.62435294118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ser>
          <c:idx val="7"/>
          <c:order val="7"/>
          <c:tx>
            <c:strRef>
              <c:f>GRAFICOS!B77</c:f>
              <c:strCache>
                <c:ptCount val="1"/>
                <c:pt idx="0">
                  <c:v>RM08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GRAFICOS!$C$77:$BP$77</c:f>
              <c:numCache>
                <c:formatCode>#,##0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gapWidth val="150"/>
        <c:overlap val="0"/>
        <c:axId val="63809925"/>
        <c:axId val="71585881"/>
      </c:barChart>
      <c:catAx>
        <c:axId val="638099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85881"/>
        <c:crosses val="autoZero"/>
        <c:auto val="1"/>
        <c:lblAlgn val="ctr"/>
        <c:lblOffset val="100"/>
        <c:noMultiLvlLbl val="0"/>
      </c:catAx>
      <c:valAx>
        <c:axId val="71585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m3/semana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099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Trecho TR01 - Q requerida x Q disponivel (m3/h)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GRAFICOS!B80</c:f>
              <c:strCache>
                <c:ptCount val="1"/>
                <c:pt idx="0">
                  <c:v>TR01 - Q requerida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GRAFICOS!$C$80:$BP$80</c:f>
              <c:numCache>
                <c:formatCode>#,##0.0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8.93798799519808</c:v>
                </c:pt>
                <c:pt idx="5">
                  <c:v>0</c:v>
                </c:pt>
                <c:pt idx="6">
                  <c:v>0</c:v>
                </c:pt>
                <c:pt idx="7">
                  <c:v>20.3229075630252</c:v>
                </c:pt>
                <c:pt idx="8">
                  <c:v>60.6454083411142</c:v>
                </c:pt>
                <c:pt idx="9">
                  <c:v>0</c:v>
                </c:pt>
                <c:pt idx="10">
                  <c:v>16.4676134453781</c:v>
                </c:pt>
                <c:pt idx="11">
                  <c:v>16.4676134453781</c:v>
                </c:pt>
                <c:pt idx="12">
                  <c:v>16.4676134453781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34.0562929739943</c:v>
                </c:pt>
                <c:pt idx="31">
                  <c:v>116.069120680225</c:v>
                </c:pt>
                <c:pt idx="32">
                  <c:v>143.443990154642</c:v>
                </c:pt>
                <c:pt idx="33">
                  <c:v>170.818859629059</c:v>
                </c:pt>
                <c:pt idx="34">
                  <c:v>200.215651860744</c:v>
                </c:pt>
                <c:pt idx="35">
                  <c:v>244.86625210084</c:v>
                </c:pt>
                <c:pt idx="36">
                  <c:v>244.86625210084</c:v>
                </c:pt>
                <c:pt idx="37">
                  <c:v>244.86625210084</c:v>
                </c:pt>
                <c:pt idx="38">
                  <c:v>244.86625210084</c:v>
                </c:pt>
                <c:pt idx="39">
                  <c:v>245.715990396158</c:v>
                </c:pt>
                <c:pt idx="40">
                  <c:v>245.857613445378</c:v>
                </c:pt>
                <c:pt idx="41">
                  <c:v>245.857613445378</c:v>
                </c:pt>
                <c:pt idx="42">
                  <c:v>245.857613445378</c:v>
                </c:pt>
                <c:pt idx="43">
                  <c:v>243.203607878316</c:v>
                </c:pt>
                <c:pt idx="44">
                  <c:v>235.49875488657</c:v>
                </c:pt>
                <c:pt idx="45">
                  <c:v>218.799541355004</c:v>
                </c:pt>
                <c:pt idx="46">
                  <c:v>202.100327823437</c:v>
                </c:pt>
                <c:pt idx="47">
                  <c:v>190.698750111033</c:v>
                </c:pt>
                <c:pt idx="48">
                  <c:v>202.290167266907</c:v>
                </c:pt>
                <c:pt idx="49">
                  <c:v>182.095769507803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GRAFICOS!B81</c:f>
              <c:strCache>
                <c:ptCount val="1"/>
                <c:pt idx="0">
                  <c:v>TR01 - Q disponivel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GRAFICOS!$C$81:$BP$81</c:f>
              <c:numCache>
                <c:formatCode>#,##0.0</c:formatCode>
                <c:ptCount val="66"/>
                <c:pt idx="0">
                  <c:v>702.214285714286</c:v>
                </c:pt>
                <c:pt idx="1">
                  <c:v>702.214285714286</c:v>
                </c:pt>
                <c:pt idx="2">
                  <c:v>702.214285714286</c:v>
                </c:pt>
                <c:pt idx="3">
                  <c:v>702.214285714286</c:v>
                </c:pt>
                <c:pt idx="4">
                  <c:v>702.214285714286</c:v>
                </c:pt>
                <c:pt idx="5">
                  <c:v>702.214285714286</c:v>
                </c:pt>
                <c:pt idx="6">
                  <c:v>702.214285714286</c:v>
                </c:pt>
                <c:pt idx="7">
                  <c:v>702.214285714286</c:v>
                </c:pt>
                <c:pt idx="8">
                  <c:v>702.214285714286</c:v>
                </c:pt>
                <c:pt idx="9">
                  <c:v>702.214285714286</c:v>
                </c:pt>
                <c:pt idx="10">
                  <c:v>702.214285714286</c:v>
                </c:pt>
                <c:pt idx="11">
                  <c:v>702.214285714286</c:v>
                </c:pt>
                <c:pt idx="12">
                  <c:v>702.214285714286</c:v>
                </c:pt>
                <c:pt idx="13">
                  <c:v>702.214285714286</c:v>
                </c:pt>
                <c:pt idx="14">
                  <c:v>702.214285714286</c:v>
                </c:pt>
                <c:pt idx="15">
                  <c:v>702.214285714286</c:v>
                </c:pt>
                <c:pt idx="16">
                  <c:v>702.214285714286</c:v>
                </c:pt>
                <c:pt idx="17">
                  <c:v>702.214285714286</c:v>
                </c:pt>
                <c:pt idx="18">
                  <c:v>702.214285714286</c:v>
                </c:pt>
                <c:pt idx="19">
                  <c:v>702.214285714286</c:v>
                </c:pt>
                <c:pt idx="20">
                  <c:v>702.214285714286</c:v>
                </c:pt>
                <c:pt idx="21">
                  <c:v>702.214285714286</c:v>
                </c:pt>
                <c:pt idx="22">
                  <c:v>702.214285714286</c:v>
                </c:pt>
                <c:pt idx="23">
                  <c:v>702.214285714286</c:v>
                </c:pt>
                <c:pt idx="24">
                  <c:v>702.214285714286</c:v>
                </c:pt>
                <c:pt idx="25">
                  <c:v>702.214285714286</c:v>
                </c:pt>
                <c:pt idx="26">
                  <c:v>702.214285714286</c:v>
                </c:pt>
                <c:pt idx="27">
                  <c:v>702.214285714286</c:v>
                </c:pt>
                <c:pt idx="28">
                  <c:v>702.214285714286</c:v>
                </c:pt>
                <c:pt idx="29">
                  <c:v>702.214285714286</c:v>
                </c:pt>
                <c:pt idx="30">
                  <c:v>702.214285714286</c:v>
                </c:pt>
                <c:pt idx="31">
                  <c:v>702.214285714286</c:v>
                </c:pt>
                <c:pt idx="32">
                  <c:v>702.214285714286</c:v>
                </c:pt>
                <c:pt idx="33">
                  <c:v>702.214285714286</c:v>
                </c:pt>
                <c:pt idx="34">
                  <c:v>702.214285714286</c:v>
                </c:pt>
                <c:pt idx="35">
                  <c:v>702.214285714286</c:v>
                </c:pt>
                <c:pt idx="36">
                  <c:v>702.214285714286</c:v>
                </c:pt>
                <c:pt idx="37">
                  <c:v>702.214285714286</c:v>
                </c:pt>
                <c:pt idx="38">
                  <c:v>702.214285714286</c:v>
                </c:pt>
                <c:pt idx="39">
                  <c:v>702.214285714286</c:v>
                </c:pt>
                <c:pt idx="40">
                  <c:v>702.214285714286</c:v>
                </c:pt>
                <c:pt idx="41">
                  <c:v>702.214285714286</c:v>
                </c:pt>
                <c:pt idx="42">
                  <c:v>702.214285714286</c:v>
                </c:pt>
                <c:pt idx="43">
                  <c:v>702.214285714286</c:v>
                </c:pt>
                <c:pt idx="44">
                  <c:v>702.214285714286</c:v>
                </c:pt>
                <c:pt idx="45">
                  <c:v>702.214285714286</c:v>
                </c:pt>
                <c:pt idx="46">
                  <c:v>702.214285714286</c:v>
                </c:pt>
                <c:pt idx="47">
                  <c:v>702.214285714286</c:v>
                </c:pt>
                <c:pt idx="48">
                  <c:v>702.214285714286</c:v>
                </c:pt>
                <c:pt idx="49">
                  <c:v>702.214285714286</c:v>
                </c:pt>
                <c:pt idx="50">
                  <c:v>702.214285714286</c:v>
                </c:pt>
                <c:pt idx="51">
                  <c:v>702.214285714286</c:v>
                </c:pt>
                <c:pt idx="52">
                  <c:v>702.214285714286</c:v>
                </c:pt>
                <c:pt idx="53">
                  <c:v>702.214285714286</c:v>
                </c:pt>
                <c:pt idx="54">
                  <c:v>702.214285714286</c:v>
                </c:pt>
                <c:pt idx="55">
                  <c:v>702.214285714286</c:v>
                </c:pt>
                <c:pt idx="56">
                  <c:v>702.214285714286</c:v>
                </c:pt>
                <c:pt idx="57">
                  <c:v>702.214285714286</c:v>
                </c:pt>
                <c:pt idx="58">
                  <c:v>702.214285714286</c:v>
                </c:pt>
                <c:pt idx="59">
                  <c:v>702.214285714286</c:v>
                </c:pt>
                <c:pt idx="60">
                  <c:v>702.214285714286</c:v>
                </c:pt>
                <c:pt idx="61">
                  <c:v>702.214285714286</c:v>
                </c:pt>
                <c:pt idx="62">
                  <c:v>702.214285714286</c:v>
                </c:pt>
                <c:pt idx="63">
                  <c:v>702.214285714286</c:v>
                </c:pt>
                <c:pt idx="64">
                  <c:v>702.214285714286</c:v>
                </c:pt>
                <c:pt idx="65">
                  <c:v>702.214285714286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741753"/>
        <c:axId val="4621984"/>
      </c:lineChart>
      <c:catAx>
        <c:axId val="16741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1984"/>
        <c:crosses val="autoZero"/>
        <c:auto val="1"/>
        <c:lblAlgn val="ctr"/>
        <c:lblOffset val="100"/>
        <c:noMultiLvlLbl val="0"/>
      </c:catAx>
      <c:valAx>
        <c:axId val="4621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417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Trecho TR02 - Q requerida x Q disponivel (m3/h)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GRAFICOS!B82</c:f>
              <c:strCache>
                <c:ptCount val="1"/>
                <c:pt idx="0">
                  <c:v>TR02 - Q requerida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GRAFICOS!$C$82:$BP$82</c:f>
              <c:numCache>
                <c:formatCode>#,##0.0</c:formatCode>
                <c:ptCount val="66"/>
                <c:pt idx="0">
                  <c:v>153.537613445378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9.14527731092436</c:v>
                </c:pt>
                <c:pt idx="5">
                  <c:v>0</c:v>
                </c:pt>
                <c:pt idx="6">
                  <c:v>0</c:v>
                </c:pt>
                <c:pt idx="7">
                  <c:v>17.763258135638</c:v>
                </c:pt>
                <c:pt idx="8">
                  <c:v>57.2867778463709</c:v>
                </c:pt>
                <c:pt idx="9">
                  <c:v>0</c:v>
                </c:pt>
                <c:pt idx="10">
                  <c:v>16.8495294117647</c:v>
                </c:pt>
                <c:pt idx="11">
                  <c:v>16.8495294117647</c:v>
                </c:pt>
                <c:pt idx="12">
                  <c:v>16.8495294117647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1.39742025094056</c:v>
                </c:pt>
                <c:pt idx="24">
                  <c:v>30.4979036790258</c:v>
                </c:pt>
                <c:pt idx="25">
                  <c:v>46.9188907563025</c:v>
                </c:pt>
                <c:pt idx="26">
                  <c:v>57.9619271708683</c:v>
                </c:pt>
                <c:pt idx="27">
                  <c:v>57.9619271708683</c:v>
                </c:pt>
                <c:pt idx="28">
                  <c:v>57.9619271708683</c:v>
                </c:pt>
                <c:pt idx="29">
                  <c:v>57.9619271708683</c:v>
                </c:pt>
                <c:pt idx="30">
                  <c:v>160.511048567575</c:v>
                </c:pt>
                <c:pt idx="31">
                  <c:v>300.38825708061</c:v>
                </c:pt>
                <c:pt idx="32">
                  <c:v>329.608300653595</c:v>
                </c:pt>
                <c:pt idx="33">
                  <c:v>358.82834422658</c:v>
                </c:pt>
                <c:pt idx="34">
                  <c:v>394.680133899714</c:v>
                </c:pt>
                <c:pt idx="35">
                  <c:v>469.888080155139</c:v>
                </c:pt>
                <c:pt idx="36">
                  <c:v>453.286873518638</c:v>
                </c:pt>
                <c:pt idx="37">
                  <c:v>436.685666882138</c:v>
                </c:pt>
                <c:pt idx="38">
                  <c:v>420.084460245637</c:v>
                </c:pt>
                <c:pt idx="39">
                  <c:v>409.147644904116</c:v>
                </c:pt>
                <c:pt idx="40">
                  <c:v>394.281037132802</c:v>
                </c:pt>
                <c:pt idx="41">
                  <c:v>378.470364145658</c:v>
                </c:pt>
                <c:pt idx="42">
                  <c:v>240.53939869281</c:v>
                </c:pt>
                <c:pt idx="43">
                  <c:v>232.868242763772</c:v>
                </c:pt>
                <c:pt idx="44">
                  <c:v>220.847176470588</c:v>
                </c:pt>
                <c:pt idx="45">
                  <c:v>200.115555555556</c:v>
                </c:pt>
                <c:pt idx="46">
                  <c:v>179.383934640523</c:v>
                </c:pt>
                <c:pt idx="47">
                  <c:v>163.144448179272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GRAFICOS!B83</c:f>
              <c:strCache>
                <c:ptCount val="1"/>
                <c:pt idx="0">
                  <c:v>TR02 - Q disponivel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GRAFICOS!$C$83:$BP$83</c:f>
              <c:numCache>
                <c:formatCode>#,##0.0</c:formatCode>
                <c:ptCount val="66"/>
                <c:pt idx="0">
                  <c:v>1433.21428571429</c:v>
                </c:pt>
                <c:pt idx="1">
                  <c:v>1433.21428571429</c:v>
                </c:pt>
                <c:pt idx="2">
                  <c:v>1433.21428571429</c:v>
                </c:pt>
                <c:pt idx="3">
                  <c:v>1433.21428571429</c:v>
                </c:pt>
                <c:pt idx="4">
                  <c:v>1433.21428571429</c:v>
                </c:pt>
                <c:pt idx="5">
                  <c:v>1433.21428571429</c:v>
                </c:pt>
                <c:pt idx="6">
                  <c:v>1433.21428571429</c:v>
                </c:pt>
                <c:pt idx="7">
                  <c:v>1433.21428571429</c:v>
                </c:pt>
                <c:pt idx="8">
                  <c:v>1433.21428571429</c:v>
                </c:pt>
                <c:pt idx="9">
                  <c:v>1433.21428571429</c:v>
                </c:pt>
                <c:pt idx="10">
                  <c:v>1433.21428571429</c:v>
                </c:pt>
                <c:pt idx="11">
                  <c:v>1433.21428571429</c:v>
                </c:pt>
                <c:pt idx="12">
                  <c:v>1433.21428571429</c:v>
                </c:pt>
                <c:pt idx="13">
                  <c:v>1433.21428571429</c:v>
                </c:pt>
                <c:pt idx="14">
                  <c:v>1433.21428571429</c:v>
                </c:pt>
                <c:pt idx="15">
                  <c:v>1433.21428571429</c:v>
                </c:pt>
                <c:pt idx="16">
                  <c:v>1433.21428571429</c:v>
                </c:pt>
                <c:pt idx="17">
                  <c:v>1433.21428571429</c:v>
                </c:pt>
                <c:pt idx="18">
                  <c:v>1433.21428571429</c:v>
                </c:pt>
                <c:pt idx="19">
                  <c:v>1433.21428571429</c:v>
                </c:pt>
                <c:pt idx="20">
                  <c:v>1433.21428571429</c:v>
                </c:pt>
                <c:pt idx="21">
                  <c:v>1433.21428571429</c:v>
                </c:pt>
                <c:pt idx="22">
                  <c:v>1433.21428571429</c:v>
                </c:pt>
                <c:pt idx="23">
                  <c:v>1433.21428571429</c:v>
                </c:pt>
                <c:pt idx="24">
                  <c:v>1433.21428571429</c:v>
                </c:pt>
                <c:pt idx="25">
                  <c:v>1433.21428571429</c:v>
                </c:pt>
                <c:pt idx="26">
                  <c:v>1433.21428571429</c:v>
                </c:pt>
                <c:pt idx="27">
                  <c:v>1433.21428571429</c:v>
                </c:pt>
                <c:pt idx="28">
                  <c:v>1433.21428571429</c:v>
                </c:pt>
                <c:pt idx="29">
                  <c:v>1433.21428571429</c:v>
                </c:pt>
                <c:pt idx="30">
                  <c:v>1433.21428571429</c:v>
                </c:pt>
                <c:pt idx="31">
                  <c:v>1433.21428571429</c:v>
                </c:pt>
                <c:pt idx="32">
                  <c:v>1433.21428571429</c:v>
                </c:pt>
                <c:pt idx="33">
                  <c:v>1433.21428571429</c:v>
                </c:pt>
                <c:pt idx="34">
                  <c:v>1433.21428571429</c:v>
                </c:pt>
                <c:pt idx="35">
                  <c:v>1433.21428571429</c:v>
                </c:pt>
                <c:pt idx="36">
                  <c:v>1433.21428571429</c:v>
                </c:pt>
                <c:pt idx="37">
                  <c:v>1433.21428571429</c:v>
                </c:pt>
                <c:pt idx="38">
                  <c:v>1433.21428571429</c:v>
                </c:pt>
                <c:pt idx="39">
                  <c:v>1433.21428571429</c:v>
                </c:pt>
                <c:pt idx="40">
                  <c:v>1433.21428571429</c:v>
                </c:pt>
                <c:pt idx="41">
                  <c:v>1433.21428571429</c:v>
                </c:pt>
                <c:pt idx="42">
                  <c:v>1433.21428571429</c:v>
                </c:pt>
                <c:pt idx="43">
                  <c:v>1433.21428571429</c:v>
                </c:pt>
                <c:pt idx="44">
                  <c:v>1433.21428571429</c:v>
                </c:pt>
                <c:pt idx="45">
                  <c:v>1433.21428571429</c:v>
                </c:pt>
                <c:pt idx="46">
                  <c:v>1433.21428571429</c:v>
                </c:pt>
                <c:pt idx="47">
                  <c:v>1433.21428571429</c:v>
                </c:pt>
                <c:pt idx="48">
                  <c:v>1433.21428571429</c:v>
                </c:pt>
                <c:pt idx="49">
                  <c:v>1433.21428571429</c:v>
                </c:pt>
                <c:pt idx="50">
                  <c:v>1433.21428571429</c:v>
                </c:pt>
                <c:pt idx="51">
                  <c:v>1433.21428571429</c:v>
                </c:pt>
                <c:pt idx="52">
                  <c:v>1433.21428571429</c:v>
                </c:pt>
                <c:pt idx="53">
                  <c:v>1433.21428571429</c:v>
                </c:pt>
                <c:pt idx="54">
                  <c:v>1433.21428571429</c:v>
                </c:pt>
                <c:pt idx="55">
                  <c:v>1433.21428571429</c:v>
                </c:pt>
                <c:pt idx="56">
                  <c:v>1433.21428571429</c:v>
                </c:pt>
                <c:pt idx="57">
                  <c:v>1433.21428571429</c:v>
                </c:pt>
                <c:pt idx="58">
                  <c:v>1433.21428571429</c:v>
                </c:pt>
                <c:pt idx="59">
                  <c:v>1433.21428571429</c:v>
                </c:pt>
                <c:pt idx="60">
                  <c:v>1433.21428571429</c:v>
                </c:pt>
                <c:pt idx="61">
                  <c:v>1433.21428571429</c:v>
                </c:pt>
                <c:pt idx="62">
                  <c:v>1433.21428571429</c:v>
                </c:pt>
                <c:pt idx="63">
                  <c:v>1433.21428571429</c:v>
                </c:pt>
                <c:pt idx="64">
                  <c:v>1433.21428571429</c:v>
                </c:pt>
                <c:pt idx="65">
                  <c:v>1433.21428571429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924357"/>
        <c:axId val="94315472"/>
      </c:lineChart>
      <c:catAx>
        <c:axId val="219243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15472"/>
        <c:crosses val="autoZero"/>
        <c:auto val="1"/>
        <c:lblAlgn val="ctr"/>
        <c:lblOffset val="100"/>
        <c:noMultiLvlLbl val="0"/>
      </c:catAx>
      <c:valAx>
        <c:axId val="94315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243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Trecho TR03 - Q requerida x Q disponivel (m3/h)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GRAFICOS!B84</c:f>
              <c:strCache>
                <c:ptCount val="1"/>
                <c:pt idx="0">
                  <c:v>TR03 - Q requerida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GRAFICOS!$C$84:$BP$84</c:f>
              <c:numCache>
                <c:formatCode>#,##0.0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17.9814389755902</c:v>
                </c:pt>
                <c:pt idx="5">
                  <c:v>0</c:v>
                </c:pt>
                <c:pt idx="6">
                  <c:v>0</c:v>
                </c:pt>
                <c:pt idx="7">
                  <c:v>3.68767139473158</c:v>
                </c:pt>
                <c:pt idx="8">
                  <c:v>83.0011851420597</c:v>
                </c:pt>
                <c:pt idx="9">
                  <c:v>0</c:v>
                </c:pt>
                <c:pt idx="10">
                  <c:v>31.2852983088287</c:v>
                </c:pt>
                <c:pt idx="11">
                  <c:v>33.1295350140056</c:v>
                </c:pt>
                <c:pt idx="12">
                  <c:v>33.1295350140056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3.60890707789473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52.6295019404211</c:v>
                </c:pt>
                <c:pt idx="31">
                  <c:v>217.772718147614</c:v>
                </c:pt>
                <c:pt idx="32">
                  <c:v>272.845464405881</c:v>
                </c:pt>
                <c:pt idx="33">
                  <c:v>327.918210664147</c:v>
                </c:pt>
                <c:pt idx="34">
                  <c:v>402.793730292117</c:v>
                </c:pt>
                <c:pt idx="35">
                  <c:v>492.621781512605</c:v>
                </c:pt>
                <c:pt idx="36">
                  <c:v>492.621781512605</c:v>
                </c:pt>
                <c:pt idx="37">
                  <c:v>492.621781512605</c:v>
                </c:pt>
                <c:pt idx="38">
                  <c:v>492.621781512605</c:v>
                </c:pt>
                <c:pt idx="39">
                  <c:v>494.331284513806</c:v>
                </c:pt>
                <c:pt idx="40">
                  <c:v>494.616201680672</c:v>
                </c:pt>
                <c:pt idx="41">
                  <c:v>494.616201680672</c:v>
                </c:pt>
                <c:pt idx="42">
                  <c:v>494.616201680672</c:v>
                </c:pt>
                <c:pt idx="43">
                  <c:v>498.588575497598</c:v>
                </c:pt>
                <c:pt idx="44">
                  <c:v>483.374961266558</c:v>
                </c:pt>
                <c:pt idx="45">
                  <c:v>449.779493335796</c:v>
                </c:pt>
                <c:pt idx="46">
                  <c:v>416.184025405034</c:v>
                </c:pt>
                <c:pt idx="47">
                  <c:v>393.533342561933</c:v>
                </c:pt>
                <c:pt idx="48">
                  <c:v>418.574975590236</c:v>
                </c:pt>
                <c:pt idx="49">
                  <c:v>377.94789809257</c:v>
                </c:pt>
                <c:pt idx="50">
                  <c:v>337.320820594905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GRAFICOS!B85</c:f>
              <c:strCache>
                <c:ptCount val="1"/>
                <c:pt idx="0">
                  <c:v>TR03 - Q disponivel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GRAFICOS!$C$85:$BP$85</c:f>
              <c:numCache>
                <c:formatCode>#,##0.0</c:formatCode>
                <c:ptCount val="66"/>
                <c:pt idx="0">
                  <c:v>1412.71428571429</c:v>
                </c:pt>
                <c:pt idx="1">
                  <c:v>1412.71428571429</c:v>
                </c:pt>
                <c:pt idx="2">
                  <c:v>1412.71428571429</c:v>
                </c:pt>
                <c:pt idx="3">
                  <c:v>1412.71428571429</c:v>
                </c:pt>
                <c:pt idx="4">
                  <c:v>1412.71428571429</c:v>
                </c:pt>
                <c:pt idx="5">
                  <c:v>1412.71428571429</c:v>
                </c:pt>
                <c:pt idx="6">
                  <c:v>1412.71428571429</c:v>
                </c:pt>
                <c:pt idx="7">
                  <c:v>1412.71428571429</c:v>
                </c:pt>
                <c:pt idx="8">
                  <c:v>1412.71428571429</c:v>
                </c:pt>
                <c:pt idx="9">
                  <c:v>1412.71428571429</c:v>
                </c:pt>
                <c:pt idx="10">
                  <c:v>1412.71428571429</c:v>
                </c:pt>
                <c:pt idx="11">
                  <c:v>1412.71428571429</c:v>
                </c:pt>
                <c:pt idx="12">
                  <c:v>1412.71428571429</c:v>
                </c:pt>
                <c:pt idx="13">
                  <c:v>1412.71428571429</c:v>
                </c:pt>
                <c:pt idx="14">
                  <c:v>1412.71428571429</c:v>
                </c:pt>
                <c:pt idx="15">
                  <c:v>1412.71428571429</c:v>
                </c:pt>
                <c:pt idx="16">
                  <c:v>1412.71428571429</c:v>
                </c:pt>
                <c:pt idx="17">
                  <c:v>1412.71428571429</c:v>
                </c:pt>
                <c:pt idx="18">
                  <c:v>1412.71428571429</c:v>
                </c:pt>
                <c:pt idx="19">
                  <c:v>1412.71428571429</c:v>
                </c:pt>
                <c:pt idx="20">
                  <c:v>1412.71428571429</c:v>
                </c:pt>
                <c:pt idx="21">
                  <c:v>1412.71428571429</c:v>
                </c:pt>
                <c:pt idx="22">
                  <c:v>1412.71428571429</c:v>
                </c:pt>
                <c:pt idx="23">
                  <c:v>1412.71428571429</c:v>
                </c:pt>
                <c:pt idx="24">
                  <c:v>1412.71428571429</c:v>
                </c:pt>
                <c:pt idx="25">
                  <c:v>1412.71428571429</c:v>
                </c:pt>
                <c:pt idx="26">
                  <c:v>1412.71428571429</c:v>
                </c:pt>
                <c:pt idx="27">
                  <c:v>1412.71428571429</c:v>
                </c:pt>
                <c:pt idx="28">
                  <c:v>1412.71428571429</c:v>
                </c:pt>
                <c:pt idx="29">
                  <c:v>1412.71428571429</c:v>
                </c:pt>
                <c:pt idx="30">
                  <c:v>1412.71428571429</c:v>
                </c:pt>
                <c:pt idx="31">
                  <c:v>1412.71428571429</c:v>
                </c:pt>
                <c:pt idx="32">
                  <c:v>1412.71428571429</c:v>
                </c:pt>
                <c:pt idx="33">
                  <c:v>1412.71428571429</c:v>
                </c:pt>
                <c:pt idx="34">
                  <c:v>1412.71428571429</c:v>
                </c:pt>
                <c:pt idx="35">
                  <c:v>1412.71428571429</c:v>
                </c:pt>
                <c:pt idx="36">
                  <c:v>1412.71428571429</c:v>
                </c:pt>
                <c:pt idx="37">
                  <c:v>1412.71428571429</c:v>
                </c:pt>
                <c:pt idx="38">
                  <c:v>1412.71428571429</c:v>
                </c:pt>
                <c:pt idx="39">
                  <c:v>1412.71428571429</c:v>
                </c:pt>
                <c:pt idx="40">
                  <c:v>1412.71428571429</c:v>
                </c:pt>
                <c:pt idx="41">
                  <c:v>1412.71428571429</c:v>
                </c:pt>
                <c:pt idx="42">
                  <c:v>1412.71428571429</c:v>
                </c:pt>
                <c:pt idx="43">
                  <c:v>1412.71428571429</c:v>
                </c:pt>
                <c:pt idx="44">
                  <c:v>1412.71428571429</c:v>
                </c:pt>
                <c:pt idx="45">
                  <c:v>1412.71428571429</c:v>
                </c:pt>
                <c:pt idx="46">
                  <c:v>1412.71428571429</c:v>
                </c:pt>
                <c:pt idx="47">
                  <c:v>1412.71428571429</c:v>
                </c:pt>
                <c:pt idx="48">
                  <c:v>1412.71428571429</c:v>
                </c:pt>
                <c:pt idx="49">
                  <c:v>1412.71428571429</c:v>
                </c:pt>
                <c:pt idx="50">
                  <c:v>1412.71428571429</c:v>
                </c:pt>
                <c:pt idx="51">
                  <c:v>1412.71428571429</c:v>
                </c:pt>
                <c:pt idx="52">
                  <c:v>1412.71428571429</c:v>
                </c:pt>
                <c:pt idx="53">
                  <c:v>1412.71428571429</c:v>
                </c:pt>
                <c:pt idx="54">
                  <c:v>1412.71428571429</c:v>
                </c:pt>
                <c:pt idx="55">
                  <c:v>1412.71428571429</c:v>
                </c:pt>
                <c:pt idx="56">
                  <c:v>1412.71428571429</c:v>
                </c:pt>
                <c:pt idx="57">
                  <c:v>1412.71428571429</c:v>
                </c:pt>
                <c:pt idx="58">
                  <c:v>1412.71428571429</c:v>
                </c:pt>
                <c:pt idx="59">
                  <c:v>1412.71428571429</c:v>
                </c:pt>
                <c:pt idx="60">
                  <c:v>1412.71428571429</c:v>
                </c:pt>
                <c:pt idx="61">
                  <c:v>1412.71428571429</c:v>
                </c:pt>
                <c:pt idx="62">
                  <c:v>1412.71428571429</c:v>
                </c:pt>
                <c:pt idx="63">
                  <c:v>1412.71428571429</c:v>
                </c:pt>
                <c:pt idx="64">
                  <c:v>1412.71428571429</c:v>
                </c:pt>
                <c:pt idx="65">
                  <c:v>1412.71428571429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962146"/>
        <c:axId val="96379091"/>
      </c:lineChart>
      <c:catAx>
        <c:axId val="939621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79091"/>
        <c:crosses val="autoZero"/>
        <c:auto val="1"/>
        <c:lblAlgn val="ctr"/>
        <c:lblOffset val="100"/>
        <c:noMultiLvlLbl val="0"/>
      </c:catAx>
      <c:valAx>
        <c:axId val="96379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62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Trecho TR04 - Q requerida x Q disponivel (m3/h)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GRAFICOS!B86</c:f>
              <c:strCache>
                <c:ptCount val="1"/>
                <c:pt idx="0">
                  <c:v>TR04 - Q requerida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GRAFICOS!$C$86:$BP$86</c:f>
              <c:numCache>
                <c:formatCode>#,##0.0</c:formatCode>
                <c:ptCount val="66"/>
                <c:pt idx="0">
                  <c:v>312.599619047619</c:v>
                </c:pt>
                <c:pt idx="1">
                  <c:v>329.081736694678</c:v>
                </c:pt>
                <c:pt idx="2">
                  <c:v>329.081736694678</c:v>
                </c:pt>
                <c:pt idx="3">
                  <c:v>329.081736694678</c:v>
                </c:pt>
                <c:pt idx="4">
                  <c:v>267.29049859944</c:v>
                </c:pt>
                <c:pt idx="5">
                  <c:v>187.470072829132</c:v>
                </c:pt>
                <c:pt idx="6">
                  <c:v>187.470072829132</c:v>
                </c:pt>
                <c:pt idx="7">
                  <c:v>231.980290162747</c:v>
                </c:pt>
                <c:pt idx="8">
                  <c:v>276.200810095951</c:v>
                </c:pt>
                <c:pt idx="9">
                  <c:v>0</c:v>
                </c:pt>
                <c:pt idx="10">
                  <c:v>35.2451484593837</c:v>
                </c:pt>
                <c:pt idx="11">
                  <c:v>35.2451484593837</c:v>
                </c:pt>
                <c:pt idx="12">
                  <c:v>35.2451484593837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12.7080391383377</c:v>
                </c:pt>
                <c:pt idx="24">
                  <c:v>80.68247958276</c:v>
                </c:pt>
                <c:pt idx="25">
                  <c:v>137.843270968348</c:v>
                </c:pt>
                <c:pt idx="26">
                  <c:v>190.574599439776</c:v>
                </c:pt>
                <c:pt idx="27">
                  <c:v>190.574599439776</c:v>
                </c:pt>
                <c:pt idx="28">
                  <c:v>190.574599439776</c:v>
                </c:pt>
                <c:pt idx="29">
                  <c:v>190.574599439776</c:v>
                </c:pt>
                <c:pt idx="30">
                  <c:v>498.050948572284</c:v>
                </c:pt>
                <c:pt idx="31">
                  <c:v>854.696408783105</c:v>
                </c:pt>
                <c:pt idx="32">
                  <c:v>914.494168255073</c:v>
                </c:pt>
                <c:pt idx="33">
                  <c:v>974.291927727041</c:v>
                </c:pt>
                <c:pt idx="34">
                  <c:v>1060.89092727201</c:v>
                </c:pt>
                <c:pt idx="35">
                  <c:v>1256.44059469942</c:v>
                </c:pt>
                <c:pt idx="36">
                  <c:v>1201.85703512174</c:v>
                </c:pt>
                <c:pt idx="37">
                  <c:v>1147.27347554406</c:v>
                </c:pt>
                <c:pt idx="38">
                  <c:v>1092.68991596639</c:v>
                </c:pt>
                <c:pt idx="39">
                  <c:v>1055.23425334969</c:v>
                </c:pt>
                <c:pt idx="40">
                  <c:v>1006.10456038826</c:v>
                </c:pt>
                <c:pt idx="41">
                  <c:v>668.937586439704</c:v>
                </c:pt>
                <c:pt idx="42">
                  <c:v>642.124922502334</c:v>
                </c:pt>
                <c:pt idx="43">
                  <c:v>504.574383224352</c:v>
                </c:pt>
                <c:pt idx="44">
                  <c:v>483.95379417408</c:v>
                </c:pt>
                <c:pt idx="45">
                  <c:v>444.574361436883</c:v>
                </c:pt>
                <c:pt idx="46">
                  <c:v>405.194928699685</c:v>
                </c:pt>
                <c:pt idx="47">
                  <c:v>376.227167426678</c:v>
                </c:pt>
                <c:pt idx="48">
                  <c:v>226.344404428438</c:v>
                </c:pt>
                <c:pt idx="49">
                  <c:v>203.748699479792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GRAFICOS!B87</c:f>
              <c:strCache>
                <c:ptCount val="1"/>
                <c:pt idx="0">
                  <c:v>TR04 - Q disponivel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GRAFICOS!$C$87:$BP$87</c:f>
              <c:numCache>
                <c:formatCode>#,##0.0</c:formatCode>
                <c:ptCount val="66"/>
                <c:pt idx="0">
                  <c:v>3852.85714285714</c:v>
                </c:pt>
                <c:pt idx="1">
                  <c:v>3852.85714285714</c:v>
                </c:pt>
                <c:pt idx="2">
                  <c:v>3852.85714285714</c:v>
                </c:pt>
                <c:pt idx="3">
                  <c:v>3852.85714285714</c:v>
                </c:pt>
                <c:pt idx="4">
                  <c:v>3852.85714285714</c:v>
                </c:pt>
                <c:pt idx="5">
                  <c:v>3852.85714285714</c:v>
                </c:pt>
                <c:pt idx="6">
                  <c:v>3852.85714285714</c:v>
                </c:pt>
                <c:pt idx="7">
                  <c:v>3852.85714285714</c:v>
                </c:pt>
                <c:pt idx="8">
                  <c:v>3852.85714285714</c:v>
                </c:pt>
                <c:pt idx="9">
                  <c:v>3852.85714285714</c:v>
                </c:pt>
                <c:pt idx="10">
                  <c:v>3852.85714285714</c:v>
                </c:pt>
                <c:pt idx="11">
                  <c:v>3852.85714285714</c:v>
                </c:pt>
                <c:pt idx="12">
                  <c:v>3852.85714285714</c:v>
                </c:pt>
                <c:pt idx="13">
                  <c:v>3852.85714285714</c:v>
                </c:pt>
                <c:pt idx="14">
                  <c:v>3852.85714285714</c:v>
                </c:pt>
                <c:pt idx="15">
                  <c:v>3852.85714285714</c:v>
                </c:pt>
                <c:pt idx="16">
                  <c:v>3852.85714285714</c:v>
                </c:pt>
                <c:pt idx="17">
                  <c:v>3852.85714285714</c:v>
                </c:pt>
                <c:pt idx="18">
                  <c:v>3852.85714285714</c:v>
                </c:pt>
                <c:pt idx="19">
                  <c:v>3852.85714285714</c:v>
                </c:pt>
                <c:pt idx="20">
                  <c:v>3852.85714285714</c:v>
                </c:pt>
                <c:pt idx="21">
                  <c:v>3852.85714285714</c:v>
                </c:pt>
                <c:pt idx="22">
                  <c:v>3852.85714285714</c:v>
                </c:pt>
                <c:pt idx="23">
                  <c:v>3852.85714285714</c:v>
                </c:pt>
                <c:pt idx="24">
                  <c:v>3852.85714285714</c:v>
                </c:pt>
                <c:pt idx="25">
                  <c:v>3852.85714285714</c:v>
                </c:pt>
                <c:pt idx="26">
                  <c:v>3852.85714285714</c:v>
                </c:pt>
                <c:pt idx="27">
                  <c:v>3852.85714285714</c:v>
                </c:pt>
                <c:pt idx="28">
                  <c:v>3852.85714285714</c:v>
                </c:pt>
                <c:pt idx="29">
                  <c:v>3852.85714285714</c:v>
                </c:pt>
                <c:pt idx="30">
                  <c:v>3852.85714285714</c:v>
                </c:pt>
                <c:pt idx="31">
                  <c:v>3852.85714285714</c:v>
                </c:pt>
                <c:pt idx="32">
                  <c:v>3852.85714285714</c:v>
                </c:pt>
                <c:pt idx="33">
                  <c:v>3852.85714285714</c:v>
                </c:pt>
                <c:pt idx="34">
                  <c:v>3852.85714285714</c:v>
                </c:pt>
                <c:pt idx="35">
                  <c:v>3852.85714285714</c:v>
                </c:pt>
                <c:pt idx="36">
                  <c:v>3852.85714285714</c:v>
                </c:pt>
                <c:pt idx="37">
                  <c:v>3852.85714285714</c:v>
                </c:pt>
                <c:pt idx="38">
                  <c:v>3852.85714285714</c:v>
                </c:pt>
                <c:pt idx="39">
                  <c:v>3852.85714285714</c:v>
                </c:pt>
                <c:pt idx="40">
                  <c:v>3852.85714285714</c:v>
                </c:pt>
                <c:pt idx="41">
                  <c:v>3852.85714285714</c:v>
                </c:pt>
                <c:pt idx="42">
                  <c:v>3852.85714285714</c:v>
                </c:pt>
                <c:pt idx="43">
                  <c:v>3852.85714285714</c:v>
                </c:pt>
                <c:pt idx="44">
                  <c:v>3852.85714285714</c:v>
                </c:pt>
                <c:pt idx="45">
                  <c:v>3852.85714285714</c:v>
                </c:pt>
                <c:pt idx="46">
                  <c:v>3852.85714285714</c:v>
                </c:pt>
                <c:pt idx="47">
                  <c:v>3852.85714285714</c:v>
                </c:pt>
                <c:pt idx="48">
                  <c:v>3852.85714285714</c:v>
                </c:pt>
                <c:pt idx="49">
                  <c:v>3852.85714285714</c:v>
                </c:pt>
                <c:pt idx="50">
                  <c:v>3852.85714285714</c:v>
                </c:pt>
                <c:pt idx="51">
                  <c:v>3852.85714285714</c:v>
                </c:pt>
                <c:pt idx="52">
                  <c:v>3852.85714285714</c:v>
                </c:pt>
                <c:pt idx="53">
                  <c:v>3852.85714285714</c:v>
                </c:pt>
                <c:pt idx="54">
                  <c:v>3852.85714285714</c:v>
                </c:pt>
                <c:pt idx="55">
                  <c:v>3852.85714285714</c:v>
                </c:pt>
                <c:pt idx="56">
                  <c:v>3852.85714285714</c:v>
                </c:pt>
                <c:pt idx="57">
                  <c:v>3852.85714285714</c:v>
                </c:pt>
                <c:pt idx="58">
                  <c:v>3852.85714285714</c:v>
                </c:pt>
                <c:pt idx="59">
                  <c:v>3852.85714285714</c:v>
                </c:pt>
                <c:pt idx="60">
                  <c:v>3852.85714285714</c:v>
                </c:pt>
                <c:pt idx="61">
                  <c:v>3852.85714285714</c:v>
                </c:pt>
                <c:pt idx="62">
                  <c:v>3852.85714285714</c:v>
                </c:pt>
                <c:pt idx="63">
                  <c:v>3852.85714285714</c:v>
                </c:pt>
                <c:pt idx="64">
                  <c:v>3852.85714285714</c:v>
                </c:pt>
                <c:pt idx="65">
                  <c:v>3852.85714285714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087693"/>
        <c:axId val="26485297"/>
      </c:lineChart>
      <c:catAx>
        <c:axId val="300876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85297"/>
        <c:crosses val="autoZero"/>
        <c:auto val="1"/>
        <c:lblAlgn val="ctr"/>
        <c:lblOffset val="100"/>
        <c:noMultiLvlLbl val="0"/>
      </c:catAx>
      <c:valAx>
        <c:axId val="26485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876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Trecho TR05 - Q requerida x Q disponivel (m3/h)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GRAFICOS!B88</c:f>
              <c:strCache>
                <c:ptCount val="1"/>
                <c:pt idx="0">
                  <c:v>TR05 - Q requerida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GRAFICOS!$C$88:$BP$88</c:f>
              <c:numCache>
                <c:formatCode>#,##0.0</c:formatCode>
                <c:ptCount val="66"/>
                <c:pt idx="0">
                  <c:v>657.152</c:v>
                </c:pt>
                <c:pt idx="1">
                  <c:v>657.44</c:v>
                </c:pt>
                <c:pt idx="2">
                  <c:v>657.44</c:v>
                </c:pt>
                <c:pt idx="3">
                  <c:v>657.44</c:v>
                </c:pt>
                <c:pt idx="4">
                  <c:v>495.776</c:v>
                </c:pt>
                <c:pt idx="5">
                  <c:v>374.528</c:v>
                </c:pt>
                <c:pt idx="6">
                  <c:v>374.528</c:v>
                </c:pt>
                <c:pt idx="7">
                  <c:v>322.784</c:v>
                </c:pt>
                <c:pt idx="8">
                  <c:v>215.698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44.6900958596332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11.8111500600239</c:v>
                </c:pt>
                <c:pt idx="18">
                  <c:v>60.4961344537814</c:v>
                </c:pt>
                <c:pt idx="19">
                  <c:v>59.5445921090759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77.1979926518929</c:v>
                </c:pt>
                <c:pt idx="24">
                  <c:v>213.62708496732</c:v>
                </c:pt>
                <c:pt idx="25">
                  <c:v>220.311529411764</c:v>
                </c:pt>
                <c:pt idx="26">
                  <c:v>272.165019607843</c:v>
                </c:pt>
                <c:pt idx="27">
                  <c:v>272.165019607843</c:v>
                </c:pt>
                <c:pt idx="28">
                  <c:v>272.165019607843</c:v>
                </c:pt>
                <c:pt idx="29">
                  <c:v>272.165019607843</c:v>
                </c:pt>
                <c:pt idx="30">
                  <c:v>614.646229691877</c:v>
                </c:pt>
                <c:pt idx="31">
                  <c:v>871.507137254902</c:v>
                </c:pt>
                <c:pt idx="32">
                  <c:v>871.507137254902</c:v>
                </c:pt>
                <c:pt idx="33">
                  <c:v>853.685288515406</c:v>
                </c:pt>
                <c:pt idx="34">
                  <c:v>892.313879644165</c:v>
                </c:pt>
                <c:pt idx="35">
                  <c:v>1034.74389806002</c:v>
                </c:pt>
                <c:pt idx="36">
                  <c:v>960.222859936548</c:v>
                </c:pt>
                <c:pt idx="37">
                  <c:v>885.701821813076</c:v>
                </c:pt>
                <c:pt idx="38">
                  <c:v>811.180783689603</c:v>
                </c:pt>
                <c:pt idx="39">
                  <c:v>845.561873598246</c:v>
                </c:pt>
                <c:pt idx="40">
                  <c:v>869.872382438387</c:v>
                </c:pt>
                <c:pt idx="41">
                  <c:v>480.919410412441</c:v>
                </c:pt>
                <c:pt idx="42">
                  <c:v>452.597571331981</c:v>
                </c:pt>
                <c:pt idx="43">
                  <c:v>277.21067134716</c:v>
                </c:pt>
                <c:pt idx="44">
                  <c:v>473.55547895296</c:v>
                </c:pt>
                <c:pt idx="45">
                  <c:v>592.160352516179</c:v>
                </c:pt>
                <c:pt idx="46">
                  <c:v>710.765226079397</c:v>
                </c:pt>
                <c:pt idx="47">
                  <c:v>872.980453312359</c:v>
                </c:pt>
                <c:pt idx="48">
                  <c:v>1240.73691490389</c:v>
                </c:pt>
                <c:pt idx="49">
                  <c:v>1354.77173657877</c:v>
                </c:pt>
                <c:pt idx="50">
                  <c:v>1450.36566761325</c:v>
                </c:pt>
                <c:pt idx="51">
                  <c:v>1545.95959864773</c:v>
                </c:pt>
                <c:pt idx="52">
                  <c:v>1629.11923694719</c:v>
                </c:pt>
                <c:pt idx="53">
                  <c:v>1643.86308123249</c:v>
                </c:pt>
                <c:pt idx="54">
                  <c:v>1643.86308123249</c:v>
                </c:pt>
                <c:pt idx="55">
                  <c:v>1588.40829131653</c:v>
                </c:pt>
                <c:pt idx="56">
                  <c:v>1184.07348108899</c:v>
                </c:pt>
                <c:pt idx="57">
                  <c:v>683.035107118709</c:v>
                </c:pt>
                <c:pt idx="58">
                  <c:v>583.089002994301</c:v>
                </c:pt>
                <c:pt idx="59">
                  <c:v>442.699312662996</c:v>
                </c:pt>
                <c:pt idx="60">
                  <c:v>267.471448275862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GRAFICOS!B89</c:f>
              <c:strCache>
                <c:ptCount val="1"/>
                <c:pt idx="0">
                  <c:v>TR05 - Q disponivel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GRAFICOS!$C$89:$BP$89</c:f>
              <c:numCache>
                <c:formatCode>#,##0.0</c:formatCode>
                <c:ptCount val="66"/>
                <c:pt idx="0">
                  <c:v>5212.93333333333</c:v>
                </c:pt>
                <c:pt idx="1">
                  <c:v>5212.93333333333</c:v>
                </c:pt>
                <c:pt idx="2">
                  <c:v>5212.93333333333</c:v>
                </c:pt>
                <c:pt idx="3">
                  <c:v>5212.93333333333</c:v>
                </c:pt>
                <c:pt idx="4">
                  <c:v>5212.93333333333</c:v>
                </c:pt>
                <c:pt idx="5">
                  <c:v>5212.93333333333</c:v>
                </c:pt>
                <c:pt idx="6">
                  <c:v>5212.93333333333</c:v>
                </c:pt>
                <c:pt idx="7">
                  <c:v>5212.93333333333</c:v>
                </c:pt>
                <c:pt idx="8">
                  <c:v>5212.93333333333</c:v>
                </c:pt>
                <c:pt idx="9">
                  <c:v>5212.93333333333</c:v>
                </c:pt>
                <c:pt idx="10">
                  <c:v>5212.93333333333</c:v>
                </c:pt>
                <c:pt idx="11">
                  <c:v>5212.93333333333</c:v>
                </c:pt>
                <c:pt idx="12">
                  <c:v>5212.93333333333</c:v>
                </c:pt>
                <c:pt idx="13">
                  <c:v>5212.93333333333</c:v>
                </c:pt>
                <c:pt idx="14">
                  <c:v>5212.93333333333</c:v>
                </c:pt>
                <c:pt idx="15">
                  <c:v>5212.93333333333</c:v>
                </c:pt>
                <c:pt idx="16">
                  <c:v>5212.93333333333</c:v>
                </c:pt>
                <c:pt idx="17">
                  <c:v>5212.93333333333</c:v>
                </c:pt>
                <c:pt idx="18">
                  <c:v>5212.93333333333</c:v>
                </c:pt>
                <c:pt idx="19">
                  <c:v>5212.93333333333</c:v>
                </c:pt>
                <c:pt idx="20">
                  <c:v>5212.93333333333</c:v>
                </c:pt>
                <c:pt idx="21">
                  <c:v>5212.93333333333</c:v>
                </c:pt>
                <c:pt idx="22">
                  <c:v>5212.93333333333</c:v>
                </c:pt>
                <c:pt idx="23">
                  <c:v>5212.93333333333</c:v>
                </c:pt>
                <c:pt idx="24">
                  <c:v>5212.93333333333</c:v>
                </c:pt>
                <c:pt idx="25">
                  <c:v>5212.93333333333</c:v>
                </c:pt>
                <c:pt idx="26">
                  <c:v>5212.93333333333</c:v>
                </c:pt>
                <c:pt idx="27">
                  <c:v>5212.93333333333</c:v>
                </c:pt>
                <c:pt idx="28">
                  <c:v>5212.93333333333</c:v>
                </c:pt>
                <c:pt idx="29">
                  <c:v>5212.93333333333</c:v>
                </c:pt>
                <c:pt idx="30">
                  <c:v>5212.93333333333</c:v>
                </c:pt>
                <c:pt idx="31">
                  <c:v>5212.93333333333</c:v>
                </c:pt>
                <c:pt idx="32">
                  <c:v>5212.93333333333</c:v>
                </c:pt>
                <c:pt idx="33">
                  <c:v>5212.93333333333</c:v>
                </c:pt>
                <c:pt idx="34">
                  <c:v>5212.93333333333</c:v>
                </c:pt>
                <c:pt idx="35">
                  <c:v>5212.93333333333</c:v>
                </c:pt>
                <c:pt idx="36">
                  <c:v>5212.93333333333</c:v>
                </c:pt>
                <c:pt idx="37">
                  <c:v>5212.93333333333</c:v>
                </c:pt>
                <c:pt idx="38">
                  <c:v>5212.93333333333</c:v>
                </c:pt>
                <c:pt idx="39">
                  <c:v>5212.93333333333</c:v>
                </c:pt>
                <c:pt idx="40">
                  <c:v>5212.93333333333</c:v>
                </c:pt>
                <c:pt idx="41">
                  <c:v>5212.93333333333</c:v>
                </c:pt>
                <c:pt idx="42">
                  <c:v>5212.93333333333</c:v>
                </c:pt>
                <c:pt idx="43">
                  <c:v>5212.93333333333</c:v>
                </c:pt>
                <c:pt idx="44">
                  <c:v>5212.93333333333</c:v>
                </c:pt>
                <c:pt idx="45">
                  <c:v>5212.93333333333</c:v>
                </c:pt>
                <c:pt idx="46">
                  <c:v>5212.93333333333</c:v>
                </c:pt>
                <c:pt idx="47">
                  <c:v>5212.93333333333</c:v>
                </c:pt>
                <c:pt idx="48">
                  <c:v>5212.93333333333</c:v>
                </c:pt>
                <c:pt idx="49">
                  <c:v>5212.93333333333</c:v>
                </c:pt>
                <c:pt idx="50">
                  <c:v>5212.93333333333</c:v>
                </c:pt>
                <c:pt idx="51">
                  <c:v>5212.93333333333</c:v>
                </c:pt>
                <c:pt idx="52">
                  <c:v>5212.93333333333</c:v>
                </c:pt>
                <c:pt idx="53">
                  <c:v>5212.93333333333</c:v>
                </c:pt>
                <c:pt idx="54">
                  <c:v>5212.93333333333</c:v>
                </c:pt>
                <c:pt idx="55">
                  <c:v>5212.93333333333</c:v>
                </c:pt>
                <c:pt idx="56">
                  <c:v>5212.93333333333</c:v>
                </c:pt>
                <c:pt idx="57">
                  <c:v>5212.93333333333</c:v>
                </c:pt>
                <c:pt idx="58">
                  <c:v>5212.93333333333</c:v>
                </c:pt>
                <c:pt idx="59">
                  <c:v>5212.93333333333</c:v>
                </c:pt>
                <c:pt idx="60">
                  <c:v>5212.93333333333</c:v>
                </c:pt>
                <c:pt idx="61">
                  <c:v>5212.93333333333</c:v>
                </c:pt>
                <c:pt idx="62">
                  <c:v>5212.93333333333</c:v>
                </c:pt>
                <c:pt idx="63">
                  <c:v>5212.93333333333</c:v>
                </c:pt>
                <c:pt idx="64">
                  <c:v>5212.93333333333</c:v>
                </c:pt>
                <c:pt idx="65">
                  <c:v>5212.93333333333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881380"/>
        <c:axId val="64231825"/>
      </c:lineChart>
      <c:catAx>
        <c:axId val="448813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31825"/>
        <c:crosses val="autoZero"/>
        <c:auto val="1"/>
        <c:lblAlgn val="ctr"/>
        <c:lblOffset val="100"/>
        <c:noMultiLvlLbl val="0"/>
      </c:catAx>
      <c:valAx>
        <c:axId val="642318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813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Trecho TR06 - Q requerida x Q disponivel (m3/h)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GRAFICOS!B90</c:f>
              <c:strCache>
                <c:ptCount val="1"/>
                <c:pt idx="0">
                  <c:v>TR06 - Q requerida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GRAFICOS!$C$90:$BP$90</c:f>
              <c:numCache>
                <c:formatCode>#,##0.0</c:formatCode>
                <c:ptCount val="66"/>
                <c:pt idx="0">
                  <c:v>1010.32628993893</c:v>
                </c:pt>
                <c:pt idx="1">
                  <c:v>723.456268540203</c:v>
                </c:pt>
                <c:pt idx="2">
                  <c:v>493.08</c:v>
                </c:pt>
                <c:pt idx="3">
                  <c:v>459.585</c:v>
                </c:pt>
                <c:pt idx="4">
                  <c:v>293.028</c:v>
                </c:pt>
                <c:pt idx="5">
                  <c:v>158.004</c:v>
                </c:pt>
                <c:pt idx="6">
                  <c:v>112.728</c:v>
                </c:pt>
                <c:pt idx="7">
                  <c:v>67.4519999999999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7.14460907361445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3.91709963985592</c:v>
                </c:pt>
                <c:pt idx="18">
                  <c:v>20.0631932773109</c:v>
                </c:pt>
                <c:pt idx="19">
                  <c:v>20.0631932773109</c:v>
                </c:pt>
                <c:pt idx="20">
                  <c:v>0</c:v>
                </c:pt>
                <c:pt idx="21">
                  <c:v>0</c:v>
                </c:pt>
                <c:pt idx="22">
                  <c:v>47.1954509803922</c:v>
                </c:pt>
                <c:pt idx="23">
                  <c:v>122.524663815822</c:v>
                </c:pt>
                <c:pt idx="24">
                  <c:v>246.656577030812</c:v>
                </c:pt>
                <c:pt idx="25">
                  <c:v>257.936577030812</c:v>
                </c:pt>
                <c:pt idx="26">
                  <c:v>377.493215686274</c:v>
                </c:pt>
                <c:pt idx="27">
                  <c:v>430.676013071895</c:v>
                </c:pt>
                <c:pt idx="28">
                  <c:v>447.715195078031</c:v>
                </c:pt>
                <c:pt idx="29">
                  <c:v>430.810678271308</c:v>
                </c:pt>
                <c:pt idx="30">
                  <c:v>1077.60902845053</c:v>
                </c:pt>
                <c:pt idx="31">
                  <c:v>1630.61462954071</c:v>
                </c:pt>
                <c:pt idx="32">
                  <c:v>1642.97520571562</c:v>
                </c:pt>
                <c:pt idx="33">
                  <c:v>1622.14499384455</c:v>
                </c:pt>
                <c:pt idx="34">
                  <c:v>1578.41382971485</c:v>
                </c:pt>
                <c:pt idx="35">
                  <c:v>1868.12020639503</c:v>
                </c:pt>
                <c:pt idx="36">
                  <c:v>1832.10956952834</c:v>
                </c:pt>
                <c:pt idx="37">
                  <c:v>1727.42249568687</c:v>
                </c:pt>
                <c:pt idx="38">
                  <c:v>1622.7354218454</c:v>
                </c:pt>
                <c:pt idx="39">
                  <c:v>1310.7165235613</c:v>
                </c:pt>
                <c:pt idx="40">
                  <c:v>1251.82457003066</c:v>
                </c:pt>
                <c:pt idx="41">
                  <c:v>718.934752052545</c:v>
                </c:pt>
                <c:pt idx="42">
                  <c:v>831.678859203452</c:v>
                </c:pt>
                <c:pt idx="43">
                  <c:v>692.982155635588</c:v>
                </c:pt>
                <c:pt idx="44">
                  <c:v>755.100205602241</c:v>
                </c:pt>
                <c:pt idx="45">
                  <c:v>808.822438281979</c:v>
                </c:pt>
                <c:pt idx="46">
                  <c:v>868.176550793651</c:v>
                </c:pt>
                <c:pt idx="47">
                  <c:v>987.510906762705</c:v>
                </c:pt>
                <c:pt idx="48">
                  <c:v>1262.93487917834</c:v>
                </c:pt>
                <c:pt idx="49">
                  <c:v>1225.11246834734</c:v>
                </c:pt>
                <c:pt idx="50">
                  <c:v>1361.12152717087</c:v>
                </c:pt>
                <c:pt idx="51">
                  <c:v>1451.9217859944</c:v>
                </c:pt>
                <c:pt idx="52">
                  <c:v>1502.55165106042</c:v>
                </c:pt>
                <c:pt idx="53">
                  <c:v>1478.62189355742</c:v>
                </c:pt>
                <c:pt idx="54">
                  <c:v>1430.87765826331</c:v>
                </c:pt>
                <c:pt idx="55">
                  <c:v>1383.13342296919</c:v>
                </c:pt>
                <c:pt idx="56">
                  <c:v>1072.21059943978</c:v>
                </c:pt>
                <c:pt idx="57">
                  <c:v>675.207932773109</c:v>
                </c:pt>
                <c:pt idx="58">
                  <c:v>600.886050420168</c:v>
                </c:pt>
                <c:pt idx="59">
                  <c:v>510.424336134454</c:v>
                </c:pt>
                <c:pt idx="60">
                  <c:v>412.776806722689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GRAFICOS!B91</c:f>
              <c:strCache>
                <c:ptCount val="1"/>
                <c:pt idx="0">
                  <c:v>TR06 - Q disponivel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GRAFICOS!$C$91:$BP$91</c:f>
              <c:numCache>
                <c:formatCode>#,##0.0</c:formatCode>
                <c:ptCount val="66"/>
                <c:pt idx="0">
                  <c:v>6831.56190476191</c:v>
                </c:pt>
                <c:pt idx="1">
                  <c:v>6831.56190476191</c:v>
                </c:pt>
                <c:pt idx="2">
                  <c:v>6831.56190476191</c:v>
                </c:pt>
                <c:pt idx="3">
                  <c:v>6831.56190476191</c:v>
                </c:pt>
                <c:pt idx="4">
                  <c:v>6831.56190476191</c:v>
                </c:pt>
                <c:pt idx="5">
                  <c:v>6831.56190476191</c:v>
                </c:pt>
                <c:pt idx="6">
                  <c:v>6831.56190476191</c:v>
                </c:pt>
                <c:pt idx="7">
                  <c:v>6831.56190476191</c:v>
                </c:pt>
                <c:pt idx="8">
                  <c:v>6831.56190476191</c:v>
                </c:pt>
                <c:pt idx="9">
                  <c:v>6831.56190476191</c:v>
                </c:pt>
                <c:pt idx="10">
                  <c:v>6831.56190476191</c:v>
                </c:pt>
                <c:pt idx="11">
                  <c:v>6831.56190476191</c:v>
                </c:pt>
                <c:pt idx="12">
                  <c:v>6831.56190476191</c:v>
                </c:pt>
                <c:pt idx="13">
                  <c:v>6831.56190476191</c:v>
                </c:pt>
                <c:pt idx="14">
                  <c:v>6831.56190476191</c:v>
                </c:pt>
                <c:pt idx="15">
                  <c:v>6831.56190476191</c:v>
                </c:pt>
                <c:pt idx="16">
                  <c:v>6831.56190476191</c:v>
                </c:pt>
                <c:pt idx="17">
                  <c:v>6831.56190476191</c:v>
                </c:pt>
                <c:pt idx="18">
                  <c:v>6831.56190476191</c:v>
                </c:pt>
                <c:pt idx="19">
                  <c:v>6831.56190476191</c:v>
                </c:pt>
                <c:pt idx="20">
                  <c:v>6831.56190476191</c:v>
                </c:pt>
                <c:pt idx="21">
                  <c:v>6831.56190476191</c:v>
                </c:pt>
                <c:pt idx="22">
                  <c:v>6831.56190476191</c:v>
                </c:pt>
                <c:pt idx="23">
                  <c:v>6831.56190476191</c:v>
                </c:pt>
                <c:pt idx="24">
                  <c:v>6831.56190476191</c:v>
                </c:pt>
                <c:pt idx="25">
                  <c:v>6831.56190476191</c:v>
                </c:pt>
                <c:pt idx="26">
                  <c:v>6831.56190476191</c:v>
                </c:pt>
                <c:pt idx="27">
                  <c:v>6831.56190476191</c:v>
                </c:pt>
                <c:pt idx="28">
                  <c:v>6831.56190476191</c:v>
                </c:pt>
                <c:pt idx="29">
                  <c:v>6831.56190476191</c:v>
                </c:pt>
                <c:pt idx="30">
                  <c:v>6831.56190476191</c:v>
                </c:pt>
                <c:pt idx="31">
                  <c:v>6831.56190476191</c:v>
                </c:pt>
                <c:pt idx="32">
                  <c:v>6831.56190476191</c:v>
                </c:pt>
                <c:pt idx="33">
                  <c:v>6831.56190476191</c:v>
                </c:pt>
                <c:pt idx="34">
                  <c:v>6831.56190476191</c:v>
                </c:pt>
                <c:pt idx="35">
                  <c:v>6831.56190476191</c:v>
                </c:pt>
                <c:pt idx="36">
                  <c:v>6831.56190476191</c:v>
                </c:pt>
                <c:pt idx="37">
                  <c:v>6831.56190476191</c:v>
                </c:pt>
                <c:pt idx="38">
                  <c:v>6831.56190476191</c:v>
                </c:pt>
                <c:pt idx="39">
                  <c:v>6831.56190476191</c:v>
                </c:pt>
                <c:pt idx="40">
                  <c:v>6831.56190476191</c:v>
                </c:pt>
                <c:pt idx="41">
                  <c:v>6831.56190476191</c:v>
                </c:pt>
                <c:pt idx="42">
                  <c:v>6831.56190476191</c:v>
                </c:pt>
                <c:pt idx="43">
                  <c:v>6831.56190476191</c:v>
                </c:pt>
                <c:pt idx="44">
                  <c:v>6831.56190476191</c:v>
                </c:pt>
                <c:pt idx="45">
                  <c:v>6831.56190476191</c:v>
                </c:pt>
                <c:pt idx="46">
                  <c:v>6831.56190476191</c:v>
                </c:pt>
                <c:pt idx="47">
                  <c:v>6831.56190476191</c:v>
                </c:pt>
                <c:pt idx="48">
                  <c:v>6831.56190476191</c:v>
                </c:pt>
                <c:pt idx="49">
                  <c:v>6831.56190476191</c:v>
                </c:pt>
                <c:pt idx="50">
                  <c:v>6831.56190476191</c:v>
                </c:pt>
                <c:pt idx="51">
                  <c:v>6831.56190476191</c:v>
                </c:pt>
                <c:pt idx="52">
                  <c:v>6831.56190476191</c:v>
                </c:pt>
                <c:pt idx="53">
                  <c:v>6831.56190476191</c:v>
                </c:pt>
                <c:pt idx="54">
                  <c:v>6831.56190476191</c:v>
                </c:pt>
                <c:pt idx="55">
                  <c:v>6831.56190476191</c:v>
                </c:pt>
                <c:pt idx="56">
                  <c:v>6831.56190476191</c:v>
                </c:pt>
                <c:pt idx="57">
                  <c:v>6831.56190476191</c:v>
                </c:pt>
                <c:pt idx="58">
                  <c:v>6831.56190476191</c:v>
                </c:pt>
                <c:pt idx="59">
                  <c:v>6831.56190476191</c:v>
                </c:pt>
                <c:pt idx="60">
                  <c:v>6831.56190476191</c:v>
                </c:pt>
                <c:pt idx="61">
                  <c:v>6831.56190476191</c:v>
                </c:pt>
                <c:pt idx="62">
                  <c:v>6831.56190476191</c:v>
                </c:pt>
                <c:pt idx="63">
                  <c:v>6831.56190476191</c:v>
                </c:pt>
                <c:pt idx="64">
                  <c:v>6831.56190476191</c:v>
                </c:pt>
                <c:pt idx="65">
                  <c:v>6831.56190476191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523097"/>
        <c:axId val="54680660"/>
      </c:lineChart>
      <c:catAx>
        <c:axId val="755230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80660"/>
        <c:crosses val="autoZero"/>
        <c:auto val="1"/>
        <c:lblAlgn val="ctr"/>
        <c:lblOffset val="100"/>
        <c:noMultiLvlLbl val="0"/>
      </c:catAx>
      <c:valAx>
        <c:axId val="546806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230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Trecho TR07 - Q requerida x Q disponivel (m3/h)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GRAFICOS!B92</c:f>
              <c:strCache>
                <c:ptCount val="1"/>
                <c:pt idx="0">
                  <c:v>TR07 - Q requerida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GRAFICOS!$C$92:$BP$92</c:f>
              <c:numCache>
                <c:formatCode>#,##0.0</c:formatCode>
                <c:ptCount val="66"/>
                <c:pt idx="0">
                  <c:v>1175.07590678176</c:v>
                </c:pt>
                <c:pt idx="1">
                  <c:v>1038.9234244809</c:v>
                </c:pt>
                <c:pt idx="2">
                  <c:v>688.737300609133</c:v>
                </c:pt>
                <c:pt idx="3">
                  <c:v>396.498857142857</c:v>
                </c:pt>
                <c:pt idx="4">
                  <c:v>179.692965186074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7.14460907361445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27.4169411764704</c:v>
                </c:pt>
                <c:pt idx="18">
                  <c:v>140.428235294117</c:v>
                </c:pt>
                <c:pt idx="19">
                  <c:v>140.428235294117</c:v>
                </c:pt>
                <c:pt idx="20">
                  <c:v>57.8824242863668</c:v>
                </c:pt>
                <c:pt idx="21">
                  <c:v>0</c:v>
                </c:pt>
                <c:pt idx="22">
                  <c:v>0</c:v>
                </c:pt>
                <c:pt idx="23">
                  <c:v>27.5773274327482</c:v>
                </c:pt>
                <c:pt idx="24">
                  <c:v>87.8571064803303</c:v>
                </c:pt>
                <c:pt idx="25">
                  <c:v>140.489299719888</c:v>
                </c:pt>
                <c:pt idx="26">
                  <c:v>178.283697478991</c:v>
                </c:pt>
                <c:pt idx="27">
                  <c:v>178.283697478991</c:v>
                </c:pt>
                <c:pt idx="28">
                  <c:v>198.275352163087</c:v>
                </c:pt>
                <c:pt idx="29">
                  <c:v>243.896403361344</c:v>
                </c:pt>
                <c:pt idx="30">
                  <c:v>790.597625045079</c:v>
                </c:pt>
                <c:pt idx="31">
                  <c:v>1608.92218425148</c:v>
                </c:pt>
                <c:pt idx="32">
                  <c:v>1797.48296624946</c:v>
                </c:pt>
                <c:pt idx="33">
                  <c:v>1927.83122205463</c:v>
                </c:pt>
                <c:pt idx="34">
                  <c:v>2206.15329471893</c:v>
                </c:pt>
                <c:pt idx="35">
                  <c:v>2774.97595798319</c:v>
                </c:pt>
                <c:pt idx="36">
                  <c:v>2713.21916499677</c:v>
                </c:pt>
                <c:pt idx="37">
                  <c:v>2648.70810730446</c:v>
                </c:pt>
                <c:pt idx="38">
                  <c:v>2357.50012944409</c:v>
                </c:pt>
                <c:pt idx="39">
                  <c:v>2410.33267532288</c:v>
                </c:pt>
                <c:pt idx="40">
                  <c:v>2369.13192055284</c:v>
                </c:pt>
                <c:pt idx="41">
                  <c:v>2050.65884220355</c:v>
                </c:pt>
                <c:pt idx="42">
                  <c:v>1790.94096234049</c:v>
                </c:pt>
                <c:pt idx="43">
                  <c:v>1892.82968867547</c:v>
                </c:pt>
                <c:pt idx="44">
                  <c:v>1859.0372227202</c:v>
                </c:pt>
                <c:pt idx="45">
                  <c:v>1768.62658437597</c:v>
                </c:pt>
                <c:pt idx="46">
                  <c:v>1680.74460021894</c:v>
                </c:pt>
                <c:pt idx="47">
                  <c:v>1468.88051295307</c:v>
                </c:pt>
                <c:pt idx="48">
                  <c:v>1516.68734474387</c:v>
                </c:pt>
                <c:pt idx="49">
                  <c:v>1447.47179831074</c:v>
                </c:pt>
                <c:pt idx="50">
                  <c:v>1046.75914811166</c:v>
                </c:pt>
                <c:pt idx="51">
                  <c:v>1161.16341991693</c:v>
                </c:pt>
                <c:pt idx="52">
                  <c:v>1233.81566970788</c:v>
                </c:pt>
                <c:pt idx="53">
                  <c:v>1308.5160929972</c:v>
                </c:pt>
                <c:pt idx="54">
                  <c:v>1312.77602240896</c:v>
                </c:pt>
                <c:pt idx="55">
                  <c:v>1312.77602240896</c:v>
                </c:pt>
                <c:pt idx="56">
                  <c:v>1078.53990236094</c:v>
                </c:pt>
                <c:pt idx="57">
                  <c:v>726.712605042017</c:v>
                </c:pt>
                <c:pt idx="58">
                  <c:v>665.225254129237</c:v>
                </c:pt>
                <c:pt idx="59">
                  <c:v>585.980824108954</c:v>
                </c:pt>
                <c:pt idx="60">
                  <c:v>506.73639408867</c:v>
                </c:pt>
                <c:pt idx="61">
                  <c:v>8.4056078431373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GRAFICOS!B93</c:f>
              <c:strCache>
                <c:ptCount val="1"/>
                <c:pt idx="0">
                  <c:v>TR07 - Q disponivel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GRAFICOS!$C$93:$BP$93</c:f>
              <c:numCache>
                <c:formatCode>#,##0.0</c:formatCode>
                <c:ptCount val="66"/>
                <c:pt idx="0">
                  <c:v>8298.70952380952</c:v>
                </c:pt>
                <c:pt idx="1">
                  <c:v>8298.70952380952</c:v>
                </c:pt>
                <c:pt idx="2">
                  <c:v>8298.70952380952</c:v>
                </c:pt>
                <c:pt idx="3">
                  <c:v>8298.70952380952</c:v>
                </c:pt>
                <c:pt idx="4">
                  <c:v>8298.70952380952</c:v>
                </c:pt>
                <c:pt idx="5">
                  <c:v>8298.70952380952</c:v>
                </c:pt>
                <c:pt idx="6">
                  <c:v>8298.70952380952</c:v>
                </c:pt>
                <c:pt idx="7">
                  <c:v>8298.70952380952</c:v>
                </c:pt>
                <c:pt idx="8">
                  <c:v>8298.70952380952</c:v>
                </c:pt>
                <c:pt idx="9">
                  <c:v>8298.70952380952</c:v>
                </c:pt>
                <c:pt idx="10">
                  <c:v>8298.70952380952</c:v>
                </c:pt>
                <c:pt idx="11">
                  <c:v>8298.70952380952</c:v>
                </c:pt>
                <c:pt idx="12">
                  <c:v>8298.70952380952</c:v>
                </c:pt>
                <c:pt idx="13">
                  <c:v>8298.70952380952</c:v>
                </c:pt>
                <c:pt idx="14">
                  <c:v>8298.70952380952</c:v>
                </c:pt>
                <c:pt idx="15">
                  <c:v>8298.70952380952</c:v>
                </c:pt>
                <c:pt idx="16">
                  <c:v>8298.70952380952</c:v>
                </c:pt>
                <c:pt idx="17">
                  <c:v>8298.70952380952</c:v>
                </c:pt>
                <c:pt idx="18">
                  <c:v>8298.70952380952</c:v>
                </c:pt>
                <c:pt idx="19">
                  <c:v>8298.70952380952</c:v>
                </c:pt>
                <c:pt idx="20">
                  <c:v>8298.70952380952</c:v>
                </c:pt>
                <c:pt idx="21">
                  <c:v>8298.70952380952</c:v>
                </c:pt>
                <c:pt idx="22">
                  <c:v>8298.70952380952</c:v>
                </c:pt>
                <c:pt idx="23">
                  <c:v>8298.70952380952</c:v>
                </c:pt>
                <c:pt idx="24">
                  <c:v>8298.70952380952</c:v>
                </c:pt>
                <c:pt idx="25">
                  <c:v>8298.70952380952</c:v>
                </c:pt>
                <c:pt idx="26">
                  <c:v>8298.70952380952</c:v>
                </c:pt>
                <c:pt idx="27">
                  <c:v>8298.70952380952</c:v>
                </c:pt>
                <c:pt idx="28">
                  <c:v>8298.70952380952</c:v>
                </c:pt>
                <c:pt idx="29">
                  <c:v>8298.70952380952</c:v>
                </c:pt>
                <c:pt idx="30">
                  <c:v>8298.70952380952</c:v>
                </c:pt>
                <c:pt idx="31">
                  <c:v>8298.70952380952</c:v>
                </c:pt>
                <c:pt idx="32">
                  <c:v>8298.70952380952</c:v>
                </c:pt>
                <c:pt idx="33">
                  <c:v>8298.70952380952</c:v>
                </c:pt>
                <c:pt idx="34">
                  <c:v>8298.70952380952</c:v>
                </c:pt>
                <c:pt idx="35">
                  <c:v>8298.70952380952</c:v>
                </c:pt>
                <c:pt idx="36">
                  <c:v>8298.70952380952</c:v>
                </c:pt>
                <c:pt idx="37">
                  <c:v>8298.70952380952</c:v>
                </c:pt>
                <c:pt idx="38">
                  <c:v>8298.70952380952</c:v>
                </c:pt>
                <c:pt idx="39">
                  <c:v>8298.70952380952</c:v>
                </c:pt>
                <c:pt idx="40">
                  <c:v>8298.70952380952</c:v>
                </c:pt>
                <c:pt idx="41">
                  <c:v>8298.70952380952</c:v>
                </c:pt>
                <c:pt idx="42">
                  <c:v>8298.70952380952</c:v>
                </c:pt>
                <c:pt idx="43">
                  <c:v>8298.70952380952</c:v>
                </c:pt>
                <c:pt idx="44">
                  <c:v>8298.70952380952</c:v>
                </c:pt>
                <c:pt idx="45">
                  <c:v>8298.70952380952</c:v>
                </c:pt>
                <c:pt idx="46">
                  <c:v>8298.70952380952</c:v>
                </c:pt>
                <c:pt idx="47">
                  <c:v>8298.70952380952</c:v>
                </c:pt>
                <c:pt idx="48">
                  <c:v>8298.70952380952</c:v>
                </c:pt>
                <c:pt idx="49">
                  <c:v>8298.70952380952</c:v>
                </c:pt>
                <c:pt idx="50">
                  <c:v>8298.70952380952</c:v>
                </c:pt>
                <c:pt idx="51">
                  <c:v>8298.70952380952</c:v>
                </c:pt>
                <c:pt idx="52">
                  <c:v>8298.70952380952</c:v>
                </c:pt>
                <c:pt idx="53">
                  <c:v>8298.70952380952</c:v>
                </c:pt>
                <c:pt idx="54">
                  <c:v>8298.70952380952</c:v>
                </c:pt>
                <c:pt idx="55">
                  <c:v>8298.70952380952</c:v>
                </c:pt>
                <c:pt idx="56">
                  <c:v>8298.70952380952</c:v>
                </c:pt>
                <c:pt idx="57">
                  <c:v>8298.70952380952</c:v>
                </c:pt>
                <c:pt idx="58">
                  <c:v>8298.70952380952</c:v>
                </c:pt>
                <c:pt idx="59">
                  <c:v>8298.70952380952</c:v>
                </c:pt>
                <c:pt idx="60">
                  <c:v>8298.70952380952</c:v>
                </c:pt>
                <c:pt idx="61">
                  <c:v>8298.70952380952</c:v>
                </c:pt>
                <c:pt idx="62">
                  <c:v>8298.70952380952</c:v>
                </c:pt>
                <c:pt idx="63">
                  <c:v>8298.70952380952</c:v>
                </c:pt>
                <c:pt idx="64">
                  <c:v>8298.70952380952</c:v>
                </c:pt>
                <c:pt idx="65">
                  <c:v>8298.70952380952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268869"/>
        <c:axId val="94538101"/>
      </c:lineChart>
      <c:catAx>
        <c:axId val="21268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38101"/>
        <c:crosses val="autoZero"/>
        <c:auto val="1"/>
        <c:lblAlgn val="ctr"/>
        <c:lblOffset val="100"/>
        <c:noMultiLvlLbl val="0"/>
      </c:catAx>
      <c:valAx>
        <c:axId val="94538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688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Trecho TR08 - Q requerida x Q disponivel (m3/h)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GRAFICOS!B94</c:f>
              <c:strCache>
                <c:ptCount val="1"/>
                <c:pt idx="0">
                  <c:v>TR08 - Q requerida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GRAFICOS!$C$94:$BP$94</c:f>
              <c:numCache>
                <c:formatCode>#,##0.0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GRAFICOS!B95</c:f>
              <c:strCache>
                <c:ptCount val="1"/>
                <c:pt idx="0">
                  <c:v>TR08 - Q disponivel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GRAFICOS!$C$60:$BP$60</c:f>
              <c:strCach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</c:strCache>
            </c:strRef>
          </c:cat>
          <c:val>
            <c:numRef>
              <c:f>GRAFICOS!$C$95:$BP$95</c:f>
              <c:numCache>
                <c:formatCode>#,##0.0</c:formatCode>
                <c:ptCount val="66"/>
                <c:pt idx="0">
                  <c:v>2669.52380952381</c:v>
                </c:pt>
                <c:pt idx="1">
                  <c:v>2669.52380952381</c:v>
                </c:pt>
                <c:pt idx="2">
                  <c:v>2669.52380952381</c:v>
                </c:pt>
                <c:pt idx="3">
                  <c:v>2669.52380952381</c:v>
                </c:pt>
                <c:pt idx="4">
                  <c:v>2669.52380952381</c:v>
                </c:pt>
                <c:pt idx="5">
                  <c:v>2669.52380952381</c:v>
                </c:pt>
                <c:pt idx="6">
                  <c:v>2669.52380952381</c:v>
                </c:pt>
                <c:pt idx="7">
                  <c:v>2669.52380952381</c:v>
                </c:pt>
                <c:pt idx="8">
                  <c:v>2669.52380952381</c:v>
                </c:pt>
                <c:pt idx="9">
                  <c:v>2669.52380952381</c:v>
                </c:pt>
                <c:pt idx="10">
                  <c:v>2669.52380952381</c:v>
                </c:pt>
                <c:pt idx="11">
                  <c:v>2669.52380952381</c:v>
                </c:pt>
                <c:pt idx="12">
                  <c:v>2669.52380952381</c:v>
                </c:pt>
                <c:pt idx="13">
                  <c:v>2669.52380952381</c:v>
                </c:pt>
                <c:pt idx="14">
                  <c:v>2669.52380952381</c:v>
                </c:pt>
                <c:pt idx="15">
                  <c:v>2669.52380952381</c:v>
                </c:pt>
                <c:pt idx="16">
                  <c:v>2669.52380952381</c:v>
                </c:pt>
                <c:pt idx="17">
                  <c:v>2669.52380952381</c:v>
                </c:pt>
                <c:pt idx="18">
                  <c:v>2669.52380952381</c:v>
                </c:pt>
                <c:pt idx="19">
                  <c:v>2669.52380952381</c:v>
                </c:pt>
                <c:pt idx="20">
                  <c:v>2669.52380952381</c:v>
                </c:pt>
                <c:pt idx="21">
                  <c:v>2669.52380952381</c:v>
                </c:pt>
                <c:pt idx="22">
                  <c:v>2669.52380952381</c:v>
                </c:pt>
                <c:pt idx="23">
                  <c:v>2669.52380952381</c:v>
                </c:pt>
                <c:pt idx="24">
                  <c:v>2669.52380952381</c:v>
                </c:pt>
                <c:pt idx="25">
                  <c:v>2669.52380952381</c:v>
                </c:pt>
                <c:pt idx="26">
                  <c:v>2669.52380952381</c:v>
                </c:pt>
                <c:pt idx="27">
                  <c:v>2669.52380952381</c:v>
                </c:pt>
                <c:pt idx="28">
                  <c:v>2669.52380952381</c:v>
                </c:pt>
                <c:pt idx="29">
                  <c:v>2669.52380952381</c:v>
                </c:pt>
                <c:pt idx="30">
                  <c:v>2669.52380952381</c:v>
                </c:pt>
                <c:pt idx="31">
                  <c:v>2669.52380952381</c:v>
                </c:pt>
                <c:pt idx="32">
                  <c:v>2669.52380952381</c:v>
                </c:pt>
                <c:pt idx="33">
                  <c:v>2669.52380952381</c:v>
                </c:pt>
                <c:pt idx="34">
                  <c:v>2669.52380952381</c:v>
                </c:pt>
                <c:pt idx="35">
                  <c:v>2669.52380952381</c:v>
                </c:pt>
                <c:pt idx="36">
                  <c:v>2669.52380952381</c:v>
                </c:pt>
                <c:pt idx="37">
                  <c:v>2669.52380952381</c:v>
                </c:pt>
                <c:pt idx="38">
                  <c:v>2669.52380952381</c:v>
                </c:pt>
                <c:pt idx="39">
                  <c:v>2669.52380952381</c:v>
                </c:pt>
                <c:pt idx="40">
                  <c:v>2669.52380952381</c:v>
                </c:pt>
                <c:pt idx="41">
                  <c:v>2669.52380952381</c:v>
                </c:pt>
                <c:pt idx="42">
                  <c:v>2669.52380952381</c:v>
                </c:pt>
                <c:pt idx="43">
                  <c:v>2669.52380952381</c:v>
                </c:pt>
                <c:pt idx="44">
                  <c:v>2669.52380952381</c:v>
                </c:pt>
                <c:pt idx="45">
                  <c:v>2669.52380952381</c:v>
                </c:pt>
                <c:pt idx="46">
                  <c:v>2669.52380952381</c:v>
                </c:pt>
                <c:pt idx="47">
                  <c:v>2669.52380952381</c:v>
                </c:pt>
                <c:pt idx="48">
                  <c:v>2669.52380952381</c:v>
                </c:pt>
                <c:pt idx="49">
                  <c:v>2669.52380952381</c:v>
                </c:pt>
                <c:pt idx="50">
                  <c:v>2669.52380952381</c:v>
                </c:pt>
                <c:pt idx="51">
                  <c:v>2669.52380952381</c:v>
                </c:pt>
                <c:pt idx="52">
                  <c:v>2669.52380952381</c:v>
                </c:pt>
                <c:pt idx="53">
                  <c:v>2669.52380952381</c:v>
                </c:pt>
                <c:pt idx="54">
                  <c:v>2669.52380952381</c:v>
                </c:pt>
                <c:pt idx="55">
                  <c:v>2669.52380952381</c:v>
                </c:pt>
                <c:pt idx="56">
                  <c:v>2669.52380952381</c:v>
                </c:pt>
                <c:pt idx="57">
                  <c:v>2669.52380952381</c:v>
                </c:pt>
                <c:pt idx="58">
                  <c:v>2669.52380952381</c:v>
                </c:pt>
                <c:pt idx="59">
                  <c:v>2669.52380952381</c:v>
                </c:pt>
                <c:pt idx="60">
                  <c:v>2669.52380952381</c:v>
                </c:pt>
                <c:pt idx="61">
                  <c:v>2669.52380952381</c:v>
                </c:pt>
                <c:pt idx="62">
                  <c:v>2669.52380952381</c:v>
                </c:pt>
                <c:pt idx="63">
                  <c:v>2669.52380952381</c:v>
                </c:pt>
                <c:pt idx="64">
                  <c:v>2669.52380952381</c:v>
                </c:pt>
                <c:pt idx="65">
                  <c:v>2669.52380952381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795227"/>
        <c:axId val="46938397"/>
      </c:lineChart>
      <c:catAx>
        <c:axId val="767952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38397"/>
        <c:crosses val="autoZero"/>
        <c:auto val="1"/>
        <c:lblAlgn val="ctr"/>
        <c:lblOffset val="100"/>
        <c:noMultiLvlLbl val="0"/>
      </c:catAx>
      <c:valAx>
        <c:axId val="46938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95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<Relationship Id="rId6" Type="http://schemas.openxmlformats.org/officeDocument/2006/relationships/chart" Target="../charts/chart17.xml"/><Relationship Id="rId7" Type="http://schemas.openxmlformats.org/officeDocument/2006/relationships/chart" Target="../charts/chart18.xml"/><Relationship Id="rId8" Type="http://schemas.openxmlformats.org/officeDocument/2006/relationships/chart" Target="../charts/chart1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18</xdr:col>
      <xdr:colOff>404280</xdr:colOff>
      <xdr:row>19</xdr:row>
      <xdr:rowOff>21960</xdr:rowOff>
    </xdr:to>
    <xdr:graphicFrame>
      <xdr:nvGraphicFramePr>
        <xdr:cNvPr id="0" name="Chart 1"/>
        <xdr:cNvGraphicFramePr/>
      </xdr:nvGraphicFramePr>
      <xdr:xfrm>
        <a:off x="141120" y="108576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21</xdr:row>
      <xdr:rowOff>0</xdr:rowOff>
    </xdr:from>
    <xdr:to>
      <xdr:col>18</xdr:col>
      <xdr:colOff>404280</xdr:colOff>
      <xdr:row>36</xdr:row>
      <xdr:rowOff>21960</xdr:rowOff>
    </xdr:to>
    <xdr:graphicFrame>
      <xdr:nvGraphicFramePr>
        <xdr:cNvPr id="1" name="Chart 2"/>
        <xdr:cNvGraphicFramePr/>
      </xdr:nvGraphicFramePr>
      <xdr:xfrm>
        <a:off x="141120" y="432432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18</xdr:col>
      <xdr:colOff>404280</xdr:colOff>
      <xdr:row>53</xdr:row>
      <xdr:rowOff>22320</xdr:rowOff>
    </xdr:to>
    <xdr:graphicFrame>
      <xdr:nvGraphicFramePr>
        <xdr:cNvPr id="2" name="Chart 3"/>
        <xdr:cNvGraphicFramePr/>
      </xdr:nvGraphicFramePr>
      <xdr:xfrm>
        <a:off x="141120" y="756288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18</xdr:col>
      <xdr:colOff>404280</xdr:colOff>
      <xdr:row>70</xdr:row>
      <xdr:rowOff>22320</xdr:rowOff>
    </xdr:to>
    <xdr:graphicFrame>
      <xdr:nvGraphicFramePr>
        <xdr:cNvPr id="3" name="Chart 4"/>
        <xdr:cNvGraphicFramePr/>
      </xdr:nvGraphicFramePr>
      <xdr:xfrm>
        <a:off x="141120" y="1080144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72</xdr:row>
      <xdr:rowOff>0</xdr:rowOff>
    </xdr:from>
    <xdr:to>
      <xdr:col>18</xdr:col>
      <xdr:colOff>404280</xdr:colOff>
      <xdr:row>87</xdr:row>
      <xdr:rowOff>22320</xdr:rowOff>
    </xdr:to>
    <xdr:graphicFrame>
      <xdr:nvGraphicFramePr>
        <xdr:cNvPr id="4" name="Chart 5"/>
        <xdr:cNvGraphicFramePr/>
      </xdr:nvGraphicFramePr>
      <xdr:xfrm>
        <a:off x="141120" y="1404000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89</xdr:row>
      <xdr:rowOff>0</xdr:rowOff>
    </xdr:from>
    <xdr:to>
      <xdr:col>18</xdr:col>
      <xdr:colOff>404280</xdr:colOff>
      <xdr:row>104</xdr:row>
      <xdr:rowOff>21960</xdr:rowOff>
    </xdr:to>
    <xdr:graphicFrame>
      <xdr:nvGraphicFramePr>
        <xdr:cNvPr id="5" name="Chart 6"/>
        <xdr:cNvGraphicFramePr/>
      </xdr:nvGraphicFramePr>
      <xdr:xfrm>
        <a:off x="141120" y="1727820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106</xdr:row>
      <xdr:rowOff>0</xdr:rowOff>
    </xdr:from>
    <xdr:to>
      <xdr:col>18</xdr:col>
      <xdr:colOff>404280</xdr:colOff>
      <xdr:row>121</xdr:row>
      <xdr:rowOff>21960</xdr:rowOff>
    </xdr:to>
    <xdr:graphicFrame>
      <xdr:nvGraphicFramePr>
        <xdr:cNvPr id="6" name="Chart 7"/>
        <xdr:cNvGraphicFramePr/>
      </xdr:nvGraphicFramePr>
      <xdr:xfrm>
        <a:off x="141120" y="2051676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123</xdr:row>
      <xdr:rowOff>0</xdr:rowOff>
    </xdr:from>
    <xdr:to>
      <xdr:col>18</xdr:col>
      <xdr:colOff>404280</xdr:colOff>
      <xdr:row>138</xdr:row>
      <xdr:rowOff>21960</xdr:rowOff>
    </xdr:to>
    <xdr:graphicFrame>
      <xdr:nvGraphicFramePr>
        <xdr:cNvPr id="7" name="Chart 8"/>
        <xdr:cNvGraphicFramePr/>
      </xdr:nvGraphicFramePr>
      <xdr:xfrm>
        <a:off x="141120" y="2375532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18</xdr:col>
      <xdr:colOff>404280</xdr:colOff>
      <xdr:row>21</xdr:row>
      <xdr:rowOff>1080</xdr:rowOff>
    </xdr:to>
    <xdr:graphicFrame>
      <xdr:nvGraphicFramePr>
        <xdr:cNvPr id="8" name="Chart 1"/>
        <xdr:cNvGraphicFramePr/>
      </xdr:nvGraphicFramePr>
      <xdr:xfrm>
        <a:off x="141120" y="108576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18</xdr:col>
      <xdr:colOff>404280</xdr:colOff>
      <xdr:row>40</xdr:row>
      <xdr:rowOff>1080</xdr:rowOff>
    </xdr:to>
    <xdr:graphicFrame>
      <xdr:nvGraphicFramePr>
        <xdr:cNvPr id="9" name="Chart 2"/>
        <xdr:cNvGraphicFramePr/>
      </xdr:nvGraphicFramePr>
      <xdr:xfrm>
        <a:off x="141120" y="470520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18</xdr:col>
      <xdr:colOff>404280</xdr:colOff>
      <xdr:row>60</xdr:row>
      <xdr:rowOff>170640</xdr:rowOff>
    </xdr:to>
    <xdr:graphicFrame>
      <xdr:nvGraphicFramePr>
        <xdr:cNvPr id="10" name="Chart 3"/>
        <xdr:cNvGraphicFramePr/>
      </xdr:nvGraphicFramePr>
      <xdr:xfrm>
        <a:off x="141120" y="832500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18</xdr:col>
      <xdr:colOff>404280</xdr:colOff>
      <xdr:row>19</xdr:row>
      <xdr:rowOff>21960</xdr:rowOff>
    </xdr:to>
    <xdr:graphicFrame>
      <xdr:nvGraphicFramePr>
        <xdr:cNvPr id="11" name="Chart 1"/>
        <xdr:cNvGraphicFramePr/>
      </xdr:nvGraphicFramePr>
      <xdr:xfrm>
        <a:off x="141120" y="108576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21</xdr:row>
      <xdr:rowOff>0</xdr:rowOff>
    </xdr:from>
    <xdr:to>
      <xdr:col>18</xdr:col>
      <xdr:colOff>404280</xdr:colOff>
      <xdr:row>36</xdr:row>
      <xdr:rowOff>21960</xdr:rowOff>
    </xdr:to>
    <xdr:graphicFrame>
      <xdr:nvGraphicFramePr>
        <xdr:cNvPr id="12" name="Chart 2"/>
        <xdr:cNvGraphicFramePr/>
      </xdr:nvGraphicFramePr>
      <xdr:xfrm>
        <a:off x="141120" y="432432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18</xdr:col>
      <xdr:colOff>404280</xdr:colOff>
      <xdr:row>53</xdr:row>
      <xdr:rowOff>22320</xdr:rowOff>
    </xdr:to>
    <xdr:graphicFrame>
      <xdr:nvGraphicFramePr>
        <xdr:cNvPr id="13" name="Chart 3"/>
        <xdr:cNvGraphicFramePr/>
      </xdr:nvGraphicFramePr>
      <xdr:xfrm>
        <a:off x="141120" y="756288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18</xdr:col>
      <xdr:colOff>404280</xdr:colOff>
      <xdr:row>70</xdr:row>
      <xdr:rowOff>22320</xdr:rowOff>
    </xdr:to>
    <xdr:graphicFrame>
      <xdr:nvGraphicFramePr>
        <xdr:cNvPr id="14" name="Chart 4"/>
        <xdr:cNvGraphicFramePr/>
      </xdr:nvGraphicFramePr>
      <xdr:xfrm>
        <a:off x="141120" y="1080144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72</xdr:row>
      <xdr:rowOff>0</xdr:rowOff>
    </xdr:from>
    <xdr:to>
      <xdr:col>18</xdr:col>
      <xdr:colOff>404280</xdr:colOff>
      <xdr:row>87</xdr:row>
      <xdr:rowOff>22320</xdr:rowOff>
    </xdr:to>
    <xdr:graphicFrame>
      <xdr:nvGraphicFramePr>
        <xdr:cNvPr id="15" name="Chart 5"/>
        <xdr:cNvGraphicFramePr/>
      </xdr:nvGraphicFramePr>
      <xdr:xfrm>
        <a:off x="141120" y="1404000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89</xdr:row>
      <xdr:rowOff>0</xdr:rowOff>
    </xdr:from>
    <xdr:to>
      <xdr:col>18</xdr:col>
      <xdr:colOff>404280</xdr:colOff>
      <xdr:row>104</xdr:row>
      <xdr:rowOff>21960</xdr:rowOff>
    </xdr:to>
    <xdr:graphicFrame>
      <xdr:nvGraphicFramePr>
        <xdr:cNvPr id="16" name="Chart 6"/>
        <xdr:cNvGraphicFramePr/>
      </xdr:nvGraphicFramePr>
      <xdr:xfrm>
        <a:off x="141120" y="1727820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106</xdr:row>
      <xdr:rowOff>0</xdr:rowOff>
    </xdr:from>
    <xdr:to>
      <xdr:col>18</xdr:col>
      <xdr:colOff>404280</xdr:colOff>
      <xdr:row>121</xdr:row>
      <xdr:rowOff>21960</xdr:rowOff>
    </xdr:to>
    <xdr:graphicFrame>
      <xdr:nvGraphicFramePr>
        <xdr:cNvPr id="17" name="Chart 7"/>
        <xdr:cNvGraphicFramePr/>
      </xdr:nvGraphicFramePr>
      <xdr:xfrm>
        <a:off x="141120" y="2051676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123</xdr:row>
      <xdr:rowOff>0</xdr:rowOff>
    </xdr:from>
    <xdr:to>
      <xdr:col>18</xdr:col>
      <xdr:colOff>404280</xdr:colOff>
      <xdr:row>138</xdr:row>
      <xdr:rowOff>21960</xdr:rowOff>
    </xdr:to>
    <xdr:graphicFrame>
      <xdr:nvGraphicFramePr>
        <xdr:cNvPr id="18" name="Chart 8"/>
        <xdr:cNvGraphicFramePr/>
      </xdr:nvGraphicFramePr>
      <xdr:xfrm>
        <a:off x="141120" y="2375532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8" min="3" style="0" width="20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5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</row>
    <row r="6" customFormat="false" ht="25.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25.5" hidden="false" customHeight="true" outlineLevel="0" collapsed="false">
      <c r="B7" s="4" t="s">
        <v>4</v>
      </c>
      <c r="C7" s="4"/>
      <c r="D7" s="4"/>
      <c r="E7" s="4"/>
      <c r="F7" s="4"/>
      <c r="G7" s="4"/>
      <c r="H7" s="4"/>
    </row>
    <row r="8" customFormat="false" ht="25.5" hidden="false" customHeight="true" outlineLevel="0" collapsed="false">
      <c r="B8" s="4" t="s">
        <v>5</v>
      </c>
      <c r="C8" s="4"/>
      <c r="D8" s="4"/>
      <c r="E8" s="4"/>
      <c r="F8" s="4"/>
      <c r="G8" s="4"/>
      <c r="H8" s="4"/>
    </row>
    <row r="9" customFormat="false" ht="25.5" hidden="false" customHeight="true" outlineLevel="0" collapsed="false">
      <c r="B9" s="4" t="s">
        <v>6</v>
      </c>
      <c r="C9" s="4"/>
      <c r="D9" s="4"/>
      <c r="E9" s="4"/>
      <c r="F9" s="4"/>
      <c r="G9" s="4"/>
      <c r="H9" s="4"/>
    </row>
    <row r="11" customFormat="false" ht="15" hidden="false" customHeight="false" outlineLevel="0" collapsed="false">
      <c r="B11" s="3" t="s">
        <v>7</v>
      </c>
    </row>
    <row r="12" customFormat="false" ht="25.5" hidden="false" customHeight="true" outlineLevel="0" collapsed="false">
      <c r="B12" s="4" t="s">
        <v>8</v>
      </c>
      <c r="C12" s="4"/>
      <c r="D12" s="4"/>
      <c r="E12" s="4"/>
      <c r="F12" s="4"/>
      <c r="G12" s="4"/>
      <c r="H12" s="4"/>
    </row>
    <row r="13" customFormat="false" ht="25.5" hidden="false" customHeight="true" outlineLevel="0" collapsed="false">
      <c r="B13" s="4" t="s">
        <v>9</v>
      </c>
      <c r="C13" s="4"/>
      <c r="D13" s="4"/>
      <c r="E13" s="4"/>
      <c r="F13" s="4"/>
      <c r="G13" s="4"/>
      <c r="H13" s="4"/>
    </row>
    <row r="14" customFormat="false" ht="25.5" hidden="false" customHeight="true" outlineLevel="0" collapsed="false">
      <c r="B14" s="4" t="s">
        <v>10</v>
      </c>
      <c r="C14" s="4"/>
      <c r="D14" s="4"/>
      <c r="E14" s="4"/>
      <c r="F14" s="4"/>
      <c r="G14" s="4"/>
      <c r="H14" s="4"/>
    </row>
    <row r="15" customFormat="false" ht="25.5" hidden="false" customHeight="true" outlineLevel="0" collapsed="false">
      <c r="B15" s="4" t="s">
        <v>11</v>
      </c>
      <c r="C15" s="4"/>
      <c r="D15" s="4"/>
      <c r="E15" s="4"/>
      <c r="F15" s="4"/>
      <c r="G15" s="4"/>
      <c r="H15" s="4"/>
    </row>
    <row r="16" customFormat="false" ht="25.5" hidden="false" customHeight="true" outlineLevel="0" collapsed="false">
      <c r="B16" s="4" t="s">
        <v>12</v>
      </c>
      <c r="C16" s="4"/>
      <c r="D16" s="4"/>
      <c r="E16" s="4"/>
      <c r="F16" s="4"/>
      <c r="G16" s="4"/>
      <c r="H16" s="4"/>
    </row>
    <row r="17" customFormat="false" ht="25.5" hidden="false" customHeight="true" outlineLevel="0" collapsed="false">
      <c r="B17" s="4" t="s">
        <v>13</v>
      </c>
      <c r="C17" s="4"/>
      <c r="D17" s="4"/>
      <c r="E17" s="4"/>
      <c r="F17" s="4"/>
      <c r="G17" s="4"/>
      <c r="H17" s="4"/>
    </row>
    <row r="18" customFormat="false" ht="25.5" hidden="false" customHeight="true" outlineLevel="0" collapsed="false">
      <c r="B18" s="4" t="s">
        <v>14</v>
      </c>
      <c r="C18" s="4"/>
      <c r="D18" s="4"/>
      <c r="E18" s="4"/>
      <c r="F18" s="4"/>
      <c r="G18" s="4"/>
      <c r="H18" s="4"/>
    </row>
    <row r="20" customFormat="false" ht="15" hidden="false" customHeight="false" outlineLevel="0" collapsed="false">
      <c r="B20" s="3" t="s">
        <v>15</v>
      </c>
    </row>
    <row r="21" customFormat="false" ht="25.5" hidden="false" customHeight="true" outlineLevel="0" collapsed="false">
      <c r="B21" s="4" t="s">
        <v>16</v>
      </c>
      <c r="C21" s="4"/>
      <c r="D21" s="4"/>
      <c r="E21" s="4"/>
      <c r="F21" s="4"/>
      <c r="G21" s="4"/>
      <c r="H21" s="4"/>
    </row>
    <row r="22" customFormat="false" ht="25.5" hidden="false" customHeight="true" outlineLevel="0" collapsed="false">
      <c r="B22" s="4" t="s">
        <v>17</v>
      </c>
      <c r="C22" s="4"/>
      <c r="D22" s="4"/>
      <c r="E22" s="4"/>
      <c r="F22" s="4"/>
      <c r="G22" s="4"/>
      <c r="H22" s="4"/>
    </row>
    <row r="23" customFormat="false" ht="25.5" hidden="false" customHeight="true" outlineLevel="0" collapsed="false">
      <c r="B23" s="4" t="s">
        <v>18</v>
      </c>
      <c r="C23" s="4"/>
      <c r="D23" s="4"/>
      <c r="E23" s="4"/>
      <c r="F23" s="4"/>
      <c r="G23" s="4"/>
      <c r="H23" s="4"/>
    </row>
    <row r="24" customFormat="false" ht="25.5" hidden="false" customHeight="true" outlineLevel="0" collapsed="false">
      <c r="B24" s="4" t="s">
        <v>19</v>
      </c>
      <c r="C24" s="4"/>
      <c r="D24" s="4"/>
      <c r="E24" s="4"/>
      <c r="F24" s="4"/>
      <c r="G24" s="4"/>
      <c r="H24" s="4"/>
    </row>
    <row r="25" customFormat="false" ht="25.5" hidden="false" customHeight="true" outlineLevel="0" collapsed="false">
      <c r="B25" s="4" t="s">
        <v>20</v>
      </c>
      <c r="C25" s="4"/>
      <c r="D25" s="4"/>
      <c r="E25" s="4"/>
      <c r="F25" s="4"/>
      <c r="G25" s="4"/>
      <c r="H25" s="4"/>
    </row>
    <row r="26" customFormat="false" ht="25.5" hidden="false" customHeight="true" outlineLevel="0" collapsed="false">
      <c r="B26" s="4" t="s">
        <v>21</v>
      </c>
      <c r="C26" s="4"/>
      <c r="D26" s="4"/>
      <c r="E26" s="4"/>
      <c r="F26" s="4"/>
      <c r="G26" s="4"/>
      <c r="H26" s="4"/>
    </row>
    <row r="27" customFormat="false" ht="25.5" hidden="false" customHeight="true" outlineLevel="0" collapsed="false">
      <c r="B27" s="4" t="s">
        <v>22</v>
      </c>
      <c r="C27" s="4"/>
      <c r="D27" s="4"/>
      <c r="E27" s="4"/>
      <c r="F27" s="4"/>
      <c r="G27" s="4"/>
      <c r="H27" s="4"/>
    </row>
    <row r="29" customFormat="false" ht="15" hidden="false" customHeight="false" outlineLevel="0" collapsed="false">
      <c r="B29" s="3" t="s">
        <v>23</v>
      </c>
    </row>
    <row r="30" customFormat="false" ht="25.5" hidden="false" customHeight="true" outlineLevel="0" collapsed="false">
      <c r="B30" s="4" t="s">
        <v>24</v>
      </c>
      <c r="C30" s="4"/>
      <c r="D30" s="4"/>
      <c r="E30" s="4"/>
      <c r="F30" s="4"/>
      <c r="G30" s="4"/>
      <c r="H30" s="4"/>
    </row>
    <row r="31" customFormat="false" ht="25.5" hidden="false" customHeight="true" outlineLevel="0" collapsed="false">
      <c r="B31" s="4" t="s">
        <v>25</v>
      </c>
      <c r="C31" s="4"/>
      <c r="D31" s="4"/>
      <c r="E31" s="4"/>
      <c r="F31" s="4"/>
      <c r="G31" s="4"/>
      <c r="H31" s="4"/>
    </row>
    <row r="33" customFormat="false" ht="30" hidden="false" customHeight="true" outlineLevel="0" collapsed="false">
      <c r="B33" s="5" t="s">
        <v>26</v>
      </c>
      <c r="C33" s="5"/>
      <c r="D33" s="5"/>
      <c r="E33" s="5"/>
      <c r="F33" s="5"/>
      <c r="G33" s="5"/>
      <c r="H33" s="5"/>
    </row>
  </sheetData>
  <mergeCells count="23">
    <mergeCell ref="B2:H2"/>
    <mergeCell ref="B3:H3"/>
    <mergeCell ref="B6:H6"/>
    <mergeCell ref="B7:H7"/>
    <mergeCell ref="B8:H8"/>
    <mergeCell ref="B9:H9"/>
    <mergeCell ref="B12:H12"/>
    <mergeCell ref="B13:H13"/>
    <mergeCell ref="B14:H14"/>
    <mergeCell ref="B15:H15"/>
    <mergeCell ref="B16:H16"/>
    <mergeCell ref="B17:H17"/>
    <mergeCell ref="B18:H18"/>
    <mergeCell ref="B21:H21"/>
    <mergeCell ref="B22:H22"/>
    <mergeCell ref="B23:H23"/>
    <mergeCell ref="B24:H24"/>
    <mergeCell ref="B25:H25"/>
    <mergeCell ref="B26:H26"/>
    <mergeCell ref="B27:H27"/>
    <mergeCell ref="B30:H30"/>
    <mergeCell ref="B31:H31"/>
    <mergeCell ref="B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13"/>
  </cols>
  <sheetData>
    <row r="2" customFormat="false" ht="30" hidden="false" customHeight="true" outlineLevel="0" collapsed="false">
      <c r="B2" s="1" t="s">
        <v>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5.5" hidden="false" customHeight="true" outlineLevel="0" collapsed="false">
      <c r="B3" s="2" t="s">
        <v>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customFormat="false" ht="30" hidden="false" customHeight="true" outlineLevel="0" collapsed="false">
      <c r="B5" s="6" t="s">
        <v>29</v>
      </c>
      <c r="C5" s="6"/>
      <c r="D5" s="6"/>
      <c r="F5" s="6" t="s">
        <v>30</v>
      </c>
      <c r="G5" s="6"/>
      <c r="H5" s="6"/>
      <c r="J5" s="6" t="s">
        <v>31</v>
      </c>
      <c r="K5" s="6"/>
      <c r="L5" s="6"/>
      <c r="N5" s="6" t="s">
        <v>31</v>
      </c>
      <c r="O5" s="6"/>
      <c r="P5" s="6"/>
    </row>
    <row r="6" customFormat="false" ht="24" hidden="false" customHeight="true" outlineLevel="0" collapsed="false">
      <c r="B6" s="7" t="n">
        <f aca="false">SUM(CADASTRO_PIVOS!$E$6:$E$41)</f>
        <v>4351.08</v>
      </c>
      <c r="C6" s="7"/>
      <c r="D6" s="8" t="s">
        <v>32</v>
      </c>
      <c r="F6" s="7" t="n">
        <f aca="false">MAX(AUX_MATRIZES!$C$141:$BP$141)</f>
        <v>3826.41</v>
      </c>
      <c r="G6" s="7"/>
      <c r="H6" s="8" t="s">
        <v>32</v>
      </c>
      <c r="J6" s="9" t="n">
        <f aca="false">IFERROR(SUM(PLANEJAMENTO_SEMANAL!$AG$6:$AG$2381)/SUM(CADASTRO_PIVOS!$E$6:$E$41),0)</f>
        <v>1044.97692875589</v>
      </c>
      <c r="K6" s="9"/>
      <c r="L6" s="8" t="s">
        <v>33</v>
      </c>
      <c r="N6" s="9" t="n">
        <f aca="false">SUM(PLANEJAMENTO_SEMANAL!$AG$6:$AG$2381)*MM_PARA_M3_HA</f>
        <v>45467782.1517116</v>
      </c>
      <c r="O6" s="9"/>
      <c r="P6" s="8" t="s">
        <v>34</v>
      </c>
    </row>
    <row r="9" customFormat="false" ht="30" hidden="false" customHeight="true" outlineLevel="0" collapsed="false">
      <c r="B9" s="6" t="s">
        <v>35</v>
      </c>
      <c r="C9" s="6"/>
      <c r="D9" s="6"/>
      <c r="F9" s="6" t="s">
        <v>35</v>
      </c>
      <c r="G9" s="6"/>
      <c r="H9" s="6"/>
      <c r="J9" s="6" t="s">
        <v>36</v>
      </c>
      <c r="K9" s="6"/>
      <c r="L9" s="6"/>
      <c r="N9" s="6" t="s">
        <v>36</v>
      </c>
      <c r="O9" s="6"/>
      <c r="P9" s="6"/>
    </row>
    <row r="10" customFormat="false" ht="24" hidden="false" customHeight="true" outlineLevel="0" collapsed="false">
      <c r="B10" s="9" t="n">
        <f aca="false">IFERROR(SUM(PLANEJAMENTO_SEMANAL!$AH$6:$AH$2381)/SUM(CADASTRO_PIVOS!$E$6:$E$41),0)</f>
        <v>726.455436480138</v>
      </c>
      <c r="C10" s="9"/>
      <c r="D10" s="8" t="s">
        <v>33</v>
      </c>
      <c r="F10" s="9" t="n">
        <f aca="false">SUM(PLANEJAMENTO_SEMANAL!$AH$6:$AH$2381)*MM_PARA_M3_HA</f>
        <v>31608657.2056</v>
      </c>
      <c r="G10" s="9"/>
      <c r="H10" s="8" t="s">
        <v>34</v>
      </c>
      <c r="J10" s="9" t="n">
        <f aca="false">IFERROR(SUM(PLANEJAMENTO_SEMANAL!$AI$6:$AI$2381)/SUM(CADASTRO_PIVOS!$E$6:$E$41),0)</f>
        <v>490.004953590255</v>
      </c>
      <c r="K10" s="9"/>
      <c r="L10" s="8" t="s">
        <v>33</v>
      </c>
      <c r="N10" s="9" t="n">
        <f aca="false">SUM(PLANEJAMENTO_SEMANAL!$AI$6:$AI$2381)*MM_PARA_M3_HA</f>
        <v>21320507.5346749</v>
      </c>
      <c r="O10" s="9"/>
      <c r="P10" s="8" t="s">
        <v>34</v>
      </c>
    </row>
    <row r="13" customFormat="false" ht="30" hidden="false" customHeight="true" outlineLevel="0" collapsed="false">
      <c r="B13" s="6" t="s">
        <v>37</v>
      </c>
      <c r="C13" s="6"/>
      <c r="D13" s="6"/>
      <c r="F13" s="6" t="s">
        <v>38</v>
      </c>
      <c r="G13" s="6"/>
      <c r="H13" s="6"/>
      <c r="J13" s="6" t="s">
        <v>39</v>
      </c>
      <c r="K13" s="6"/>
      <c r="L13" s="6"/>
      <c r="N13" s="6" t="s">
        <v>40</v>
      </c>
      <c r="O13" s="6"/>
      <c r="P13" s="6"/>
    </row>
    <row r="14" customFormat="false" ht="24" hidden="false" customHeight="true" outlineLevel="0" collapsed="false">
      <c r="B14" s="9" t="n">
        <f aca="false">IFERROR(SUM(PLANEJAMENTO_SEMANAL!$Z$6:$Z$2381)/(SUM(CADASTRO_PIVOS!$E$6:$E$41)*MM_PARA_M3_HA),0)</f>
        <v>576.476415988536</v>
      </c>
      <c r="C14" s="9"/>
      <c r="D14" s="8" t="s">
        <v>33</v>
      </c>
      <c r="F14" s="9" t="n">
        <f aca="false">SUM(PLANEJAMENTO_SEMANAL!$Z$6:$Z$2381)</f>
        <v>25082950.040794</v>
      </c>
      <c r="G14" s="9"/>
      <c r="H14" s="8" t="s">
        <v>34</v>
      </c>
      <c r="J14" s="9" t="n">
        <f aca="false">MAX(AUX_MATRIZES!$C$154:$BP$154)</f>
        <v>170974.792189031</v>
      </c>
      <c r="K14" s="9"/>
      <c r="L14" s="8" t="s">
        <v>41</v>
      </c>
      <c r="N14" s="9" t="n">
        <f aca="false">MAX(AUX_MATRIZES!$C$155:$BP$155)</f>
        <v>8141.65677090624</v>
      </c>
      <c r="O14" s="9"/>
      <c r="P14" s="8" t="s">
        <v>42</v>
      </c>
    </row>
    <row r="17" customFormat="false" ht="30" hidden="false" customHeight="true" outlineLevel="0" collapsed="false">
      <c r="B17" s="6" t="s">
        <v>43</v>
      </c>
      <c r="C17" s="6"/>
      <c r="D17" s="6"/>
      <c r="F17" s="6" t="s">
        <v>44</v>
      </c>
      <c r="G17" s="6"/>
      <c r="H17" s="6"/>
      <c r="J17" s="6" t="s">
        <v>45</v>
      </c>
      <c r="K17" s="6"/>
      <c r="L17" s="6"/>
      <c r="N17" s="6" t="s">
        <v>46</v>
      </c>
      <c r="O17" s="6"/>
      <c r="P17" s="6"/>
    </row>
    <row r="18" customFormat="false" ht="24" hidden="false" customHeight="true" outlineLevel="0" collapsed="false">
      <c r="B18" s="9" t="n">
        <f aca="false">MAX(AUX_MATRIZES!$C$156:$BP$156)</f>
        <v>30413.7285714286</v>
      </c>
      <c r="C18" s="9"/>
      <c r="D18" s="8" t="s">
        <v>42</v>
      </c>
      <c r="F18" s="10" t="n">
        <f aca="false">IFERROR(INDEX(CAPACIDADE_21H!$B$6:$B$71,MATCH(MAX(CAPACIDADE_21H!$E$6:$E$71),CAPACIDADE_21H!$E$6:$E$71,0)),"-")</f>
        <v>36</v>
      </c>
      <c r="G18" s="10"/>
      <c r="H18" s="8" t="s">
        <v>47</v>
      </c>
      <c r="J18" s="11" t="n">
        <f aca="false">IFERROR(INDEX(CAPACIDADE_21H!$C$6:$C$71,MATCH(MAX(CAPACIDADE_21H!$E$6:$E$71),CAPACIDADE_21H!$E$6:$E$71,0)),"-")</f>
        <v>46510</v>
      </c>
      <c r="K18" s="11"/>
      <c r="L18" s="8" t="s">
        <v>48</v>
      </c>
      <c r="N18" s="12" t="str">
        <f aca="false">IFERROR(INDEX(AUX_MATRIZES!$B$56:$B$63,MATCH(MAX(AUX_MATRIZES!$BQ$56:$BQ$63),AUX_MATRIZES!$BQ$56:$BQ$63,0)),"-")</f>
        <v>RM03</v>
      </c>
      <c r="O18" s="12"/>
      <c r="P18" s="8" t="s">
        <v>49</v>
      </c>
    </row>
    <row r="21" customFormat="false" ht="30" hidden="false" customHeight="true" outlineLevel="0" collapsed="false">
      <c r="B21" s="6" t="s">
        <v>50</v>
      </c>
      <c r="C21" s="6"/>
      <c r="D21" s="6"/>
      <c r="F21" s="6" t="s">
        <v>51</v>
      </c>
      <c r="G21" s="6"/>
      <c r="H21" s="6"/>
      <c r="J21" s="6" t="s">
        <v>52</v>
      </c>
      <c r="K21" s="6"/>
      <c r="L21" s="6"/>
      <c r="N21" s="6" t="s">
        <v>53</v>
      </c>
      <c r="O21" s="6"/>
      <c r="P21" s="6"/>
    </row>
    <row r="22" customFormat="false" ht="24" hidden="false" customHeight="true" outlineLevel="0" collapsed="false">
      <c r="B22" s="12" t="str">
        <f aca="false">IFERROR(INDEX(AUX_MATRIZES!$B$116:$B$123,MATCH(MAX(AUX_MATRIZES!$BQ$116:$BQ$123),AUX_MATRIZES!$BQ$116:$BQ$123,0)),"-")</f>
        <v>TR03</v>
      </c>
      <c r="C22" s="12"/>
      <c r="D22" s="8" t="s">
        <v>54</v>
      </c>
      <c r="F22" s="13" t="n">
        <f aca="false">MAX(AUX_MATRIZES!$C$157:$BP$157)</f>
        <v>0.267696765682151</v>
      </c>
      <c r="G22" s="13"/>
      <c r="H22" s="8" t="s">
        <v>55</v>
      </c>
      <c r="J22" s="13" t="n">
        <f aca="false">MAX(AUX_MATRIZES!$BQ$56:$BQ$63)</f>
        <v>0.352929520526159</v>
      </c>
      <c r="K22" s="13"/>
      <c r="L22" s="8" t="s">
        <v>55</v>
      </c>
      <c r="N22" s="13" t="n">
        <f aca="false">MAX(AUX_MATRIZES!$BQ$116:$BQ$123)</f>
        <v>0.352929520526159</v>
      </c>
      <c r="O22" s="13"/>
      <c r="P22" s="8" t="s">
        <v>55</v>
      </c>
    </row>
    <row r="25" customFormat="false" ht="30" hidden="false" customHeight="true" outlineLevel="0" collapsed="false">
      <c r="B25" s="6" t="s">
        <v>56</v>
      </c>
      <c r="C25" s="6"/>
      <c r="D25" s="6"/>
      <c r="F25" s="6" t="s">
        <v>57</v>
      </c>
      <c r="G25" s="6"/>
      <c r="H25" s="6"/>
      <c r="J25" s="6" t="s">
        <v>58</v>
      </c>
      <c r="K25" s="6"/>
      <c r="L25" s="6"/>
      <c r="N25" s="6" t="s">
        <v>59</v>
      </c>
      <c r="O25" s="6"/>
      <c r="P25" s="6"/>
    </row>
    <row r="26" customFormat="false" ht="24" hidden="false" customHeight="true" outlineLevel="0" collapsed="false">
      <c r="B26" s="13" t="n">
        <f aca="false">MAX(AUX_MATRIZES!$C$148:$BP$148)</f>
        <v>0.557466063348416</v>
      </c>
      <c r="C26" s="13"/>
      <c r="D26" s="8" t="s">
        <v>55</v>
      </c>
      <c r="F26" s="9" t="n">
        <f aca="false">COUNTIF(CAPACIDADE_21H!$G$6:$G$71,"&gt;"&amp;LIMITE_CRITICO)</f>
        <v>0</v>
      </c>
      <c r="G26" s="9"/>
      <c r="H26" s="8" t="s">
        <v>60</v>
      </c>
      <c r="J26" s="9" t="n">
        <f aca="false">SUM(PLANEJAMENTO_SEMANAL!$AB$6:$AB$2381)</f>
        <v>29176.8565494164</v>
      </c>
      <c r="K26" s="9"/>
      <c r="L26" s="8" t="s">
        <v>61</v>
      </c>
      <c r="N26" s="9" t="n">
        <f aca="false">PAINEL_GESTAO!$F$16</f>
        <v>3</v>
      </c>
      <c r="O26" s="9"/>
      <c r="P26" s="8" t="s">
        <v>62</v>
      </c>
    </row>
    <row r="29" customFormat="false" ht="30" hidden="false" customHeight="true" outlineLevel="0" collapsed="false">
      <c r="B29" s="6" t="s">
        <v>63</v>
      </c>
      <c r="C29" s="6"/>
      <c r="D29" s="6"/>
    </row>
    <row r="30" customFormat="false" ht="24" hidden="false" customHeight="true" outlineLevel="0" collapsed="false">
      <c r="B30" s="9" t="n">
        <f aca="false">PAINEL_GESTAO!$F$18</f>
        <v>2913026.72434631</v>
      </c>
      <c r="C30" s="9"/>
      <c r="D30" s="8" t="s">
        <v>34</v>
      </c>
    </row>
    <row r="33" customFormat="false" ht="15" hidden="false" customHeight="false" outlineLevel="0" collapsed="false">
      <c r="B33" s="3" t="s">
        <v>64</v>
      </c>
    </row>
    <row r="34" customFormat="false" ht="30" hidden="false" customHeight="true" outlineLevel="0" collapsed="false">
      <c r="B34" s="5" t="str">
        <f aca="false">"GESTAO DE AGUA - "&amp;IF(PAINEL_GESTAO!$F$16=0,"a captacao atende o consumo nas 8 casas o ano todo.","a captacao NAO acompanha o consumo em "&amp;PAINEL_GESTAO!$F$16&amp;" casa(s). A mais critica e "&amp;PAINEL_GESTAO!$F$19&amp;", com "&amp;TEXT(PAINEL_GESTAO!$F$18,"#,##0")&amp;" m3 faltantes na safra. Detalhe em PAINEL_GESTAO.")&amp;"   |   PIVOS EM 21 h/dia - cabem com folga: utilizacao maxima de "&amp;TEXT(MAX(PLANEJAMENTO_SEMANAL!$AD$6:$AD$2381),"0.0%")&amp;". O gargalo da RDM esta na captacao/reservatorio, nao nas horas de pivo."</f>
        <v>GESTAO DE AGUA - a captacao NAO acompanha o consumo em 3 casa(s). A mais critica e RM07, com 2,913,027 m3 faltantes na safra. Detalhe em PAINEL_GESTAO.   |   PIVOS EM 21 h/dia - cabem com folga: utilizacao maxima de 55.7%. O gargalo da RDM esta na captacao/reservatorio, nao nas horas de pivo.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customFormat="false" ht="15" hidden="false" customHeight="false" outlineLevel="0" collapsed="false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7" customFormat="false" ht="30" hidden="false" customHeight="true" outlineLevel="0" collapsed="false">
      <c r="B37" s="5" t="s">
        <v>65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</sheetData>
  <mergeCells count="54">
    <mergeCell ref="B2:R2"/>
    <mergeCell ref="B3:R3"/>
    <mergeCell ref="B5:D5"/>
    <mergeCell ref="F5:H5"/>
    <mergeCell ref="J5:L5"/>
    <mergeCell ref="N5:P5"/>
    <mergeCell ref="B6:C6"/>
    <mergeCell ref="F6:G6"/>
    <mergeCell ref="J6:K6"/>
    <mergeCell ref="N6:O6"/>
    <mergeCell ref="B9:D9"/>
    <mergeCell ref="F9:H9"/>
    <mergeCell ref="J9:L9"/>
    <mergeCell ref="N9:P9"/>
    <mergeCell ref="B10:C10"/>
    <mergeCell ref="F10:G10"/>
    <mergeCell ref="J10:K10"/>
    <mergeCell ref="N10:O10"/>
    <mergeCell ref="B13:D13"/>
    <mergeCell ref="F13:H13"/>
    <mergeCell ref="J13:L13"/>
    <mergeCell ref="N13:P13"/>
    <mergeCell ref="B14:C14"/>
    <mergeCell ref="F14:G14"/>
    <mergeCell ref="J14:K14"/>
    <mergeCell ref="N14:O14"/>
    <mergeCell ref="B17:D17"/>
    <mergeCell ref="F17:H17"/>
    <mergeCell ref="J17:L17"/>
    <mergeCell ref="N17:P17"/>
    <mergeCell ref="B18:C18"/>
    <mergeCell ref="F18:G18"/>
    <mergeCell ref="J18:K18"/>
    <mergeCell ref="N18:O18"/>
    <mergeCell ref="B21:D21"/>
    <mergeCell ref="F21:H21"/>
    <mergeCell ref="J21:L21"/>
    <mergeCell ref="N21:P21"/>
    <mergeCell ref="B22:C22"/>
    <mergeCell ref="F22:G22"/>
    <mergeCell ref="J22:K22"/>
    <mergeCell ref="N22:O22"/>
    <mergeCell ref="B25:D25"/>
    <mergeCell ref="F25:H25"/>
    <mergeCell ref="J25:L25"/>
    <mergeCell ref="N25:P25"/>
    <mergeCell ref="B26:C26"/>
    <mergeCell ref="F26:G26"/>
    <mergeCell ref="J26:K26"/>
    <mergeCell ref="N26:O26"/>
    <mergeCell ref="B29:D29"/>
    <mergeCell ref="B30:C30"/>
    <mergeCell ref="B34:Q35"/>
    <mergeCell ref="B37:Q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7" min="5" style="0" width="15"/>
    <col collapsed="false" customWidth="true" hidden="false" outlineLevel="0" max="9" min="8" style="0" width="16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20"/>
    <col collapsed="false" customWidth="true" hidden="false" outlineLevel="0" max="13" min="13" style="0" width="60"/>
  </cols>
  <sheetData>
    <row r="2" customFormat="false" ht="30" hidden="false" customHeight="true" outlineLevel="0" collapsed="false">
      <c r="B2" s="1" t="s">
        <v>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5.5" hidden="false" customHeight="true" outlineLevel="0" collapsed="false">
      <c r="B3" s="2" t="s">
        <v>67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30" hidden="false" customHeight="true" outlineLevel="0" collapsed="false">
      <c r="B5" s="14" t="s">
        <v>68</v>
      </c>
      <c r="C5" s="14" t="s">
        <v>69</v>
      </c>
      <c r="D5" s="14" t="s">
        <v>70</v>
      </c>
      <c r="E5" s="14" t="s">
        <v>71</v>
      </c>
      <c r="F5" s="14" t="s">
        <v>72</v>
      </c>
      <c r="G5" s="14" t="s">
        <v>73</v>
      </c>
      <c r="H5" s="14" t="s">
        <v>74</v>
      </c>
      <c r="I5" s="14" t="s">
        <v>75</v>
      </c>
      <c r="J5" s="14" t="s">
        <v>76</v>
      </c>
      <c r="K5" s="14" t="s">
        <v>77</v>
      </c>
      <c r="L5" s="14" t="s">
        <v>78</v>
      </c>
      <c r="M5" s="14" t="s">
        <v>79</v>
      </c>
    </row>
    <row r="6" customFormat="false" ht="42" hidden="false" customHeight="true" outlineLevel="0" collapsed="false">
      <c r="B6" s="15" t="str">
        <f aca="false">CADASTRO_CASAS_BOMBA!$B$6</f>
        <v>RM01</v>
      </c>
      <c r="C6" s="16" t="n">
        <f aca="false">CADASTRO_CASAS_BOMBA!$I$6*HORAS_CAPTACAO_DIA</f>
        <v>10499.4</v>
      </c>
      <c r="D6" s="16" t="n">
        <f aca="false">MAX(BALANCO_DIARIO!$D$7:$D$468)</f>
        <v>5163.00988235294</v>
      </c>
      <c r="E6" s="16" t="n">
        <f aca="false">COUNTIF(BALANCO_DIARIO!$F$7:$F$468,"&gt;0")</f>
        <v>0</v>
      </c>
      <c r="F6" s="17" t="str">
        <f aca="false">IFERROR(INDEX(BALANCO_DIARIO!$B$7:$B$468,MATCH(1,INDEX(--(BALANCO_DIARIO!$F$7:$F$468&gt;0),0),0)),"-")</f>
        <v>-</v>
      </c>
      <c r="G6" s="17" t="str">
        <f aca="false">IFERROR(LOOKUP(2,1/(BALANCO_DIARIO!$F$7:$F$468&gt;0),BALANCO_DIARIO!$B$7:$B$468),"-")</f>
        <v>-</v>
      </c>
      <c r="H6" s="16" t="n">
        <f aca="false">SUM(BALANCO_DIARIO!$F$7:$F$468)</f>
        <v>0</v>
      </c>
      <c r="I6" s="16" t="n">
        <f aca="false">MAX(BALANCO_DIARIO!$F$7:$F$468)</f>
        <v>0</v>
      </c>
      <c r="J6" s="18" t="n">
        <f aca="false">IFERROR($I6/CADASTRO_CASAS_BOMBA!$I$6,0)</f>
        <v>0</v>
      </c>
      <c r="K6" s="16" t="n">
        <f aca="false">IFERROR($I6/HORAS_CAPTACAO_DIA,0)</f>
        <v>0</v>
      </c>
      <c r="L6" s="8" t="str">
        <f aca="false">IF($E6=0,"OK - captacao cobre o consumo",IF($E6&lt;=7,"ATENCAO - falta pontual","CRITICO - falta recorrente"))</f>
        <v>OK - captacao cobre o consumo</v>
      </c>
      <c r="M6" s="8" t="str">
        <f aca="false">IF($E6=0,"Sem acao: a captacao atende o consumo o ano todo.","Falta em "&amp;$E6&amp;" dia(s), pico de "&amp;TEXT($I6,"#,##0")&amp;" m3/dia (~"&amp;TEXT($J6,"0.0")&amp;" h extras de captacao ou +"&amp;TEXT($K6,"#,##0")&amp;" m3/h). Alternativas: escalonar plantio, reduzir simultaneidade, ampliar captacao ou priorizar os pivos criticos.")</f>
        <v>Sem acao: a captacao atende o consumo o ano todo.</v>
      </c>
    </row>
    <row r="7" customFormat="false" ht="42" hidden="false" customHeight="true" outlineLevel="0" collapsed="false">
      <c r="B7" s="15" t="str">
        <f aca="false">CADASTRO_CASAS_BOMBA!$B$7</f>
        <v>RM02</v>
      </c>
      <c r="C7" s="16" t="n">
        <f aca="false">CADASTRO_CASAS_BOMBA!$I$7*HORAS_CAPTACAO_DIA</f>
        <v>10499.4</v>
      </c>
      <c r="D7" s="16" t="n">
        <f aca="false">MAX(BALANCO_DIARIO!$G$7:$G$468)</f>
        <v>9867.64968325792</v>
      </c>
      <c r="E7" s="16" t="n">
        <f aca="false">COUNTIF(BALANCO_DIARIO!$I$7:$I$468,"&gt;0")</f>
        <v>0</v>
      </c>
      <c r="F7" s="17" t="str">
        <f aca="false">IFERROR(INDEX(BALANCO_DIARIO!$B$7:$B$468,MATCH(1,INDEX(--(BALANCO_DIARIO!$I$7:$I$468&gt;0),0),0)),"-")</f>
        <v>-</v>
      </c>
      <c r="G7" s="17" t="str">
        <f aca="false">IFERROR(LOOKUP(2,1/(BALANCO_DIARIO!$I$7:$I$468&gt;0),BALANCO_DIARIO!$B$7:$B$468),"-")</f>
        <v>-</v>
      </c>
      <c r="H7" s="16" t="n">
        <f aca="false">SUM(BALANCO_DIARIO!$I$7:$I$468)</f>
        <v>0</v>
      </c>
      <c r="I7" s="16" t="n">
        <f aca="false">MAX(BALANCO_DIARIO!$I$7:$I$468)</f>
        <v>0</v>
      </c>
      <c r="J7" s="18" t="n">
        <f aca="false">IFERROR($I7/CADASTRO_CASAS_BOMBA!$I$7,0)</f>
        <v>0</v>
      </c>
      <c r="K7" s="16" t="n">
        <f aca="false">IFERROR($I7/HORAS_CAPTACAO_DIA,0)</f>
        <v>0</v>
      </c>
      <c r="L7" s="8" t="str">
        <f aca="false">IF($E7=0,"OK - captacao cobre o consumo",IF($E7&lt;=7,"ATENCAO - falta pontual","CRITICO - falta recorrente"))</f>
        <v>OK - captacao cobre o consumo</v>
      </c>
      <c r="M7" s="8" t="str">
        <f aca="false">IF($E7=0,"Sem acao: a captacao atende o consumo o ano todo.","Falta em "&amp;$E7&amp;" dia(s), pico de "&amp;TEXT($I7,"#,##0")&amp;" m3/dia (~"&amp;TEXT($J7,"0.0")&amp;" h extras de captacao ou +"&amp;TEXT($K7,"#,##0")&amp;" m3/h). Alternativas: escalonar plantio, reduzir simultaneidade, ampliar captacao ou priorizar os pivos criticos.")</f>
        <v>Sem acao: a captacao atende o consumo o ano todo.</v>
      </c>
    </row>
    <row r="8" customFormat="false" ht="42" hidden="false" customHeight="true" outlineLevel="0" collapsed="false">
      <c r="B8" s="15" t="str">
        <f aca="false">CADASTRO_CASAS_BOMBA!$B$8</f>
        <v>RM03</v>
      </c>
      <c r="C8" s="16" t="n">
        <f aca="false">CADASTRO_CASAS_BOMBA!$I$8*HORAS_CAPTACAO_DIA</f>
        <v>10499.4</v>
      </c>
      <c r="D8" s="16" t="n">
        <f aca="false">MAX(BALANCO_DIARIO!$J$7:$J$468)</f>
        <v>10470.3600854496</v>
      </c>
      <c r="E8" s="16" t="n">
        <f aca="false">COUNTIF(BALANCO_DIARIO!$L$7:$L$468,"&gt;0")</f>
        <v>0</v>
      </c>
      <c r="F8" s="17" t="str">
        <f aca="false">IFERROR(INDEX(BALANCO_DIARIO!$B$7:$B$468,MATCH(1,INDEX(--(BALANCO_DIARIO!$L$7:$L$468&gt;0),0),0)),"-")</f>
        <v>-</v>
      </c>
      <c r="G8" s="17" t="str">
        <f aca="false">IFERROR(LOOKUP(2,1/(BALANCO_DIARIO!$L$7:$L$468&gt;0),BALANCO_DIARIO!$B$7:$B$468),"-")</f>
        <v>-</v>
      </c>
      <c r="H8" s="16" t="n">
        <f aca="false">SUM(BALANCO_DIARIO!$L$7:$L$468)</f>
        <v>0</v>
      </c>
      <c r="I8" s="16" t="n">
        <f aca="false">MAX(BALANCO_DIARIO!$L$7:$L$468)</f>
        <v>0</v>
      </c>
      <c r="J8" s="18" t="n">
        <f aca="false">IFERROR($I8/CADASTRO_CASAS_BOMBA!$I$8,0)</f>
        <v>0</v>
      </c>
      <c r="K8" s="16" t="n">
        <f aca="false">IFERROR($I8/HORAS_CAPTACAO_DIA,0)</f>
        <v>0</v>
      </c>
      <c r="L8" s="8" t="str">
        <f aca="false">IF($E8=0,"OK - captacao cobre o consumo",IF($E8&lt;=7,"ATENCAO - falta pontual","CRITICO - falta recorrente"))</f>
        <v>OK - captacao cobre o consumo</v>
      </c>
      <c r="M8" s="8" t="str">
        <f aca="false">IF($E8=0,"Sem acao: a captacao atende o consumo o ano todo.","Falta em "&amp;$E8&amp;" dia(s), pico de "&amp;TEXT($I8,"#,##0")&amp;" m3/dia (~"&amp;TEXT($J8,"0.0")&amp;" h extras de captacao ou +"&amp;TEXT($K8,"#,##0")&amp;" m3/h). Alternativas: escalonar plantio, reduzir simultaneidade, ampliar captacao ou priorizar os pivos criticos.")</f>
        <v>Sem acao: a captacao atende o consumo o ano todo.</v>
      </c>
    </row>
    <row r="9" customFormat="false" ht="42" hidden="false" customHeight="true" outlineLevel="0" collapsed="false">
      <c r="B9" s="15" t="str">
        <f aca="false">CADASTRO_CASAS_BOMBA!$B$9</f>
        <v>RM04</v>
      </c>
      <c r="C9" s="16" t="n">
        <f aca="false">CADASTRO_CASAS_BOMBA!$I$9*HORAS_CAPTACAO_DIA</f>
        <v>21630.6</v>
      </c>
      <c r="D9" s="16" t="n">
        <f aca="false">MAX(BALANCO_DIARIO!$M$7:$M$468)</f>
        <v>26385.2524886878</v>
      </c>
      <c r="E9" s="16" t="n">
        <f aca="false">COUNTIF(BALANCO_DIARIO!$O$7:$O$468,"&gt;0")</f>
        <v>0</v>
      </c>
      <c r="F9" s="17" t="str">
        <f aca="false">IFERROR(INDEX(BALANCO_DIARIO!$B$7:$B$468,MATCH(1,INDEX(--(BALANCO_DIARIO!$O$7:$O$468&gt;0),0),0)),"-")</f>
        <v>-</v>
      </c>
      <c r="G9" s="17" t="str">
        <f aca="false">IFERROR(LOOKUP(2,1/(BALANCO_DIARIO!$O$7:$O$468&gt;0),BALANCO_DIARIO!$B$7:$B$468),"-")</f>
        <v>-</v>
      </c>
      <c r="H9" s="16" t="n">
        <f aca="false">SUM(BALANCO_DIARIO!$O$7:$O$468)</f>
        <v>0</v>
      </c>
      <c r="I9" s="16" t="n">
        <f aca="false">MAX(BALANCO_DIARIO!$O$7:$O$468)</f>
        <v>0</v>
      </c>
      <c r="J9" s="18" t="n">
        <f aca="false">IFERROR($I9/CADASTRO_CASAS_BOMBA!$I$9,0)</f>
        <v>0</v>
      </c>
      <c r="K9" s="16" t="n">
        <f aca="false">IFERROR($I9/HORAS_CAPTACAO_DIA,0)</f>
        <v>0</v>
      </c>
      <c r="L9" s="8" t="str">
        <f aca="false">IF($E9=0,"OK - captacao cobre o consumo",IF($E9&lt;=7,"ATENCAO - falta pontual","CRITICO - falta recorrente"))</f>
        <v>OK - captacao cobre o consumo</v>
      </c>
      <c r="M9" s="8" t="str">
        <f aca="false">IF($E9=0,"Sem acao: a captacao atende o consumo o ano todo.","Falta em "&amp;$E9&amp;" dia(s), pico de "&amp;TEXT($I9,"#,##0")&amp;" m3/dia (~"&amp;TEXT($J9,"0.0")&amp;" h extras de captacao ou +"&amp;TEXT($K9,"#,##0")&amp;" m3/h). Alternativas: escalonar plantio, reduzir simultaneidade, ampliar captacao ou priorizar os pivos criticos.")</f>
        <v>Sem acao: a captacao atende o consumo o ano todo.</v>
      </c>
    </row>
    <row r="10" customFormat="false" ht="42" hidden="false" customHeight="true" outlineLevel="0" collapsed="false">
      <c r="B10" s="15" t="str">
        <f aca="false">CADASTRO_CASAS_BOMBA!$B$10</f>
        <v>RM05</v>
      </c>
      <c r="C10" s="16" t="n">
        <f aca="false">CADASTRO_CASAS_BOMBA!$I$10*HORAS_CAPTACAO_DIA</f>
        <v>13082.4</v>
      </c>
      <c r="D10" s="16" t="n">
        <f aca="false">MAX(BALANCO_DIARIO!$P$7:$P$468)</f>
        <v>34521.1247058824</v>
      </c>
      <c r="E10" s="16" t="n">
        <f aca="false">COUNTIF(BALANCO_DIARIO!$R$7:$R$468,"&gt;0")</f>
        <v>32</v>
      </c>
      <c r="F10" s="17" t="n">
        <f aca="false">IFERROR(INDEX(BALANCO_DIARIO!$B$7:$B$468,MATCH(1,INDEX(--(BALANCO_DIARIO!$R$7:$R$468&gt;0),0),0)),"-")</f>
        <v>46639</v>
      </c>
      <c r="G10" s="17" t="n">
        <f aca="false">IFERROR(LOOKUP(2,1/(BALANCO_DIARIO!$R$7:$R$468&gt;0),BALANCO_DIARIO!$B$7:$B$468),"-")</f>
        <v>46670</v>
      </c>
      <c r="H10" s="16" t="n">
        <f aca="false">SUM(BALANCO_DIARIO!$R$7:$R$468)</f>
        <v>455366.716157149</v>
      </c>
      <c r="I10" s="16" t="n">
        <f aca="false">MAX(BALANCO_DIARIO!$R$7:$R$468)</f>
        <v>21438.7247058824</v>
      </c>
      <c r="J10" s="18" t="n">
        <f aca="false">IFERROR($I10/CADASTRO_CASAS_BOMBA!$I$10,0)</f>
        <v>29.497419793454</v>
      </c>
      <c r="K10" s="16" t="n">
        <f aca="false">IFERROR($I10/HORAS_CAPTACAO_DIA,0)</f>
        <v>1191.04026143791</v>
      </c>
      <c r="L10" s="8" t="str">
        <f aca="false">IF($E10=0,"OK - captacao cobre o consumo",IF($E10&lt;=7,"ATENCAO - falta pontual","CRITICO - falta recorrente"))</f>
        <v>CRITICO - falta recorrente</v>
      </c>
      <c r="M10" s="8" t="str">
        <f aca="false">IF($E10=0,"Sem acao: a captacao atende o consumo o ano todo.","Falta em "&amp;$E10&amp;" dia(s), pico de "&amp;TEXT($I10,"#,##0")&amp;" m3/dia (~"&amp;TEXT($J10,"0.0")&amp;" h extras de captacao ou +"&amp;TEXT($K10,"#,##0")&amp;" m3/h). Alternativas: escalonar plantio, reduzir simultaneidade, ampliar captacao ou priorizar os pivos criticos.")</f>
        <v>Falta em 32 dia(s), pico de 21,439 m3/dia (~29.5 h extras de captacao ou +1,191 m3/h). Alternativas: escalonar plantio, reduzir simultaneidade, ampliar captacao ou priorizar os pivos criticos.</v>
      </c>
    </row>
    <row r="11" customFormat="false" ht="42" hidden="false" customHeight="true" outlineLevel="0" collapsed="false">
      <c r="B11" s="15" t="str">
        <f aca="false">CADASTRO_CASAS_BOMBA!$B$11</f>
        <v>RM06</v>
      </c>
      <c r="C11" s="16" t="n">
        <f aca="false">CADASTRO_CASAS_BOMBA!$I$11*HORAS_CAPTACAO_DIA</f>
        <v>21420</v>
      </c>
      <c r="D11" s="16" t="n">
        <f aca="false">MAX(BALANCO_DIARIO!$S$7:$S$468)</f>
        <v>39230.5243342955</v>
      </c>
      <c r="E11" s="16" t="n">
        <f aca="false">COUNTIF(BALANCO_DIARIO!$U$7:$U$468,"&gt;0")</f>
        <v>68</v>
      </c>
      <c r="F11" s="17" t="n">
        <f aca="false">IFERROR(INDEX(BALANCO_DIARIO!$B$7:$B$468,MATCH(1,INDEX(--(BALANCO_DIARIO!$U$7:$U$468&gt;0),0),0)),"-")</f>
        <v>46516</v>
      </c>
      <c r="G11" s="17" t="n">
        <f aca="false">IFERROR(LOOKUP(2,1/(BALANCO_DIARIO!$U$7:$U$468&gt;0),BALANCO_DIARIO!$B$7:$B$468),"-")</f>
        <v>46663</v>
      </c>
      <c r="H11" s="16" t="n">
        <f aca="false">SUM(BALANCO_DIARIO!$U$7:$U$468)</f>
        <v>626266.599608179</v>
      </c>
      <c r="I11" s="16" t="n">
        <f aca="false">MAX(BALANCO_DIARIO!$U$7:$U$468)</f>
        <v>17054.3009600952</v>
      </c>
      <c r="J11" s="18" t="n">
        <f aca="false">IFERROR($I11/CADASTRO_CASAS_BOMBA!$I$11,0)</f>
        <v>14.3313453446178</v>
      </c>
      <c r="K11" s="16" t="n">
        <f aca="false">IFERROR($I11/HORAS_CAPTACAO_DIA,0)</f>
        <v>947.461164449733</v>
      </c>
      <c r="L11" s="8" t="str">
        <f aca="false">IF($E11=0,"OK - captacao cobre o consumo",IF($E11&lt;=7,"ATENCAO - falta pontual","CRITICO - falta recorrente"))</f>
        <v>CRITICO - falta recorrente</v>
      </c>
      <c r="M11" s="8" t="str">
        <f aca="false">IF($E11=0,"Sem acao: a captacao atende o consumo o ano todo.","Falta em "&amp;$E11&amp;" dia(s), pico de "&amp;TEXT($I11,"#,##0")&amp;" m3/dia (~"&amp;TEXT($J11,"0.0")&amp;" h extras de captacao ou +"&amp;TEXT($K11,"#,##0")&amp;" m3/h). Alternativas: escalonar plantio, reduzir simultaneidade, ampliar captacao ou priorizar os pivos criticos.")</f>
        <v>Falta em 68 dia(s), pico de 17,054 m3/dia (~14.3 h extras de captacao ou +947 m3/h). Alternativas: escalonar plantio, reduzir simultaneidade, ampliar captacao ou priorizar os pivos criticos.</v>
      </c>
    </row>
    <row r="12" customFormat="false" ht="42" hidden="false" customHeight="true" outlineLevel="0" collapsed="false">
      <c r="B12" s="15" t="str">
        <f aca="false">CADASTRO_CASAS_BOMBA!$B$12</f>
        <v>RM07</v>
      </c>
      <c r="C12" s="16" t="n">
        <f aca="false">CADASTRO_CASAS_BOMBA!$I$12*HORAS_CAPTACAO_DIA</f>
        <v>25380</v>
      </c>
      <c r="D12" s="16" t="n">
        <f aca="false">MAX(BALANCO_DIARIO!$V$7:$V$468)</f>
        <v>58274.4951176471</v>
      </c>
      <c r="E12" s="16" t="n">
        <f aca="false">COUNTIF(BALANCO_DIARIO!$X$7:$X$468,"&gt;0")</f>
        <v>113</v>
      </c>
      <c r="F12" s="17" t="n">
        <f aca="false">IFERROR(INDEX(BALANCO_DIARIO!$B$7:$B$468,MATCH(1,INDEX(--(BALANCO_DIARIO!$X$7:$X$468&gt;0),0),0)),"-")</f>
        <v>46511</v>
      </c>
      <c r="G12" s="17" t="n">
        <f aca="false">IFERROR(LOOKUP(2,1/(BALANCO_DIARIO!$X$7:$X$468&gt;0),BALANCO_DIARIO!$B$7:$B$468),"-")</f>
        <v>46656</v>
      </c>
      <c r="H12" s="16" t="n">
        <f aca="false">SUM(BALANCO_DIARIO!$X$7:$X$468)</f>
        <v>1831393.40858098</v>
      </c>
      <c r="I12" s="16" t="n">
        <f aca="false">MAX(BALANCO_DIARIO!$X$7:$X$468)</f>
        <v>32894.4951176471</v>
      </c>
      <c r="J12" s="18" t="n">
        <f aca="false">IFERROR($I12/CADASTRO_CASAS_BOMBA!$I$12,0)</f>
        <v>23.3294291614518</v>
      </c>
      <c r="K12" s="16" t="n">
        <f aca="false">IFERROR($I12/HORAS_CAPTACAO_DIA,0)</f>
        <v>1827.47195098039</v>
      </c>
      <c r="L12" s="8" t="str">
        <f aca="false">IF($E12=0,"OK - captacao cobre o consumo",IF($E12&lt;=7,"ATENCAO - falta pontual","CRITICO - falta recorrente"))</f>
        <v>CRITICO - falta recorrente</v>
      </c>
      <c r="M12" s="8" t="str">
        <f aca="false">IF($E12=0,"Sem acao: a captacao atende o consumo o ano todo.","Falta em "&amp;$E12&amp;" dia(s), pico de "&amp;TEXT($I12,"#,##0")&amp;" m3/dia (~"&amp;TEXT($J12,"0.0")&amp;" h extras de captacao ou +"&amp;TEXT($K12,"#,##0")&amp;" m3/h). Alternativas: escalonar plantio, reduzir simultaneidade, ampliar captacao ou priorizar os pivos criticos.")</f>
        <v>Falta em 113 dia(s), pico de 32,894 m3/dia (~23.3 h extras de captacao ou +1,827 m3/h). Alternativas: escalonar plantio, reduzir simultaneidade, ampliar captacao ou priorizar os pivos criticos.</v>
      </c>
    </row>
    <row r="13" customFormat="false" ht="42" hidden="false" customHeight="true" outlineLevel="0" collapsed="false">
      <c r="B13" s="15" t="str">
        <f aca="false">CADASTRO_CASAS_BOMBA!$B$13</f>
        <v>RM08</v>
      </c>
      <c r="C13" s="16" t="n">
        <f aca="false">CADASTRO_CASAS_BOMBA!$I$13*HORAS_CAPTACAO_DIA</f>
        <v>0</v>
      </c>
      <c r="D13" s="16" t="n">
        <f aca="false">MAX(BALANCO_DIARIO!$Y$7:$Y$468)</f>
        <v>0</v>
      </c>
      <c r="E13" s="16" t="n">
        <f aca="false">COUNTIF(BALANCO_DIARIO!$AA$7:$AA$468,"&gt;0")</f>
        <v>0</v>
      </c>
      <c r="F13" s="17" t="str">
        <f aca="false">IFERROR(INDEX(BALANCO_DIARIO!$B$7:$B$468,MATCH(1,INDEX(--(BALANCO_DIARIO!$AA$7:$AA$468&gt;0),0),0)),"-")</f>
        <v>-</v>
      </c>
      <c r="G13" s="17" t="str">
        <f aca="false">IFERROR(LOOKUP(2,1/(BALANCO_DIARIO!$AA$7:$AA$468&gt;0),BALANCO_DIARIO!$B$7:$B$468),"-")</f>
        <v>-</v>
      </c>
      <c r="H13" s="16" t="n">
        <f aca="false">SUM(BALANCO_DIARIO!$AA$7:$AA$468)</f>
        <v>0</v>
      </c>
      <c r="I13" s="16" t="n">
        <f aca="false">MAX(BALANCO_DIARIO!$AA$7:$AA$468)</f>
        <v>0</v>
      </c>
      <c r="J13" s="18" t="n">
        <f aca="false">IFERROR($I13/CADASTRO_CASAS_BOMBA!$I$13,0)</f>
        <v>0</v>
      </c>
      <c r="K13" s="16" t="n">
        <f aca="false">IFERROR($I13/HORAS_CAPTACAO_DIA,0)</f>
        <v>0</v>
      </c>
      <c r="L13" s="8" t="str">
        <f aca="false">IF($E13=0,"OK - captacao cobre o consumo",IF($E13&lt;=7,"ATENCAO - falta pontual","CRITICO - falta recorrente"))</f>
        <v>OK - captacao cobre o consumo</v>
      </c>
      <c r="M13" s="8" t="str">
        <f aca="false">IF($E13=0,"Sem acao: a captacao atende o consumo o ano todo.","Falta em "&amp;$E13&amp;" dia(s), pico de "&amp;TEXT($I13,"#,##0")&amp;" m3/dia (~"&amp;TEXT($J13,"0.0")&amp;" h extras de captacao ou +"&amp;TEXT($K13,"#,##0")&amp;" m3/h). Alternativas: escalonar plantio, reduzir simultaneidade, ampliar captacao ou priorizar os pivos criticos.")</f>
        <v>Sem acao: a captacao atende o consumo o ano todo.</v>
      </c>
    </row>
    <row r="15" customFormat="false" ht="15" hidden="false" customHeight="false" outlineLevel="0" collapsed="false">
      <c r="B15" s="3" t="s">
        <v>80</v>
      </c>
    </row>
    <row r="16" customFormat="false" ht="15" hidden="false" customHeight="false" outlineLevel="0" collapsed="false">
      <c r="B16" s="15" t="s">
        <v>81</v>
      </c>
      <c r="F16" s="16" t="n">
        <f aca="false">COUNTIF($E$6:$E$13,"&gt;0")</f>
        <v>3</v>
      </c>
    </row>
    <row r="17" customFormat="false" ht="15" hidden="false" customHeight="false" outlineLevel="0" collapsed="false">
      <c r="B17" s="15" t="s">
        <v>82</v>
      </c>
      <c r="F17" s="16" t="n">
        <f aca="false">SUM($E$6:$E$13)</f>
        <v>213</v>
      </c>
    </row>
    <row r="18" customFormat="false" ht="15" hidden="false" customHeight="false" outlineLevel="0" collapsed="false">
      <c r="B18" s="15" t="s">
        <v>83</v>
      </c>
      <c r="F18" s="16" t="n">
        <f aca="false">SUM($H$6:$H$13)</f>
        <v>2913026.72434631</v>
      </c>
    </row>
    <row r="19" customFormat="false" ht="15" hidden="false" customHeight="false" outlineLevel="0" collapsed="false">
      <c r="B19" s="15" t="s">
        <v>84</v>
      </c>
      <c r="F19" s="8" t="str">
        <f aca="false">IFERROR(INDEX($B$6:$B$13,MATCH(MAX($E$6:$E$13),$E$6:$E$13,0)),"-")</f>
        <v>RM07</v>
      </c>
    </row>
    <row r="21" customFormat="false" ht="30" hidden="false" customHeight="true" outlineLevel="0" collapsed="false">
      <c r="B21" s="5" t="s">
        <v>85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</sheetData>
  <mergeCells count="3">
    <mergeCell ref="B2:N2"/>
    <mergeCell ref="B3:N3"/>
    <mergeCell ref="B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9" min="18" style="0" width="14"/>
    <col collapsed="false" customWidth="true" hidden="false" outlineLevel="0" max="20" min="20" style="0" width="17"/>
    <col collapsed="false" customWidth="true" hidden="false" outlineLevel="0" max="22" min="21" style="0" width="14"/>
    <col collapsed="false" customWidth="true" hidden="true" outlineLevel="0" max="23" min="23" style="0" width="15"/>
  </cols>
  <sheetData>
    <row r="2" customFormat="false" ht="30" hidden="false" customHeight="true" outlineLevel="0" collapsed="false">
      <c r="B2" s="1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customFormat="false" ht="25.5" hidden="false" customHeight="true" outlineLevel="0" collapsed="false">
      <c r="B3" s="2" t="s">
        <v>87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5" customFormat="false" ht="30" hidden="false" customHeight="true" outlineLevel="0" collapsed="false">
      <c r="B5" s="14" t="s">
        <v>88</v>
      </c>
      <c r="C5" s="14" t="s">
        <v>89</v>
      </c>
      <c r="D5" s="14" t="s">
        <v>90</v>
      </c>
      <c r="E5" s="14" t="s">
        <v>91</v>
      </c>
      <c r="F5" s="14" t="s">
        <v>92</v>
      </c>
      <c r="G5" s="14" t="s">
        <v>93</v>
      </c>
      <c r="H5" s="14" t="s">
        <v>94</v>
      </c>
      <c r="I5" s="14" t="s">
        <v>95</v>
      </c>
      <c r="J5" s="14" t="s">
        <v>96</v>
      </c>
      <c r="K5" s="14" t="s">
        <v>97</v>
      </c>
      <c r="L5" s="14" t="s">
        <v>77</v>
      </c>
      <c r="M5" s="14" t="s">
        <v>98</v>
      </c>
      <c r="N5" s="14" t="s">
        <v>99</v>
      </c>
      <c r="O5" s="14" t="s">
        <v>100</v>
      </c>
      <c r="P5" s="14" t="s">
        <v>101</v>
      </c>
      <c r="Q5" s="14" t="s">
        <v>102</v>
      </c>
      <c r="R5" s="14" t="s">
        <v>84</v>
      </c>
      <c r="S5" s="14" t="s">
        <v>103</v>
      </c>
      <c r="T5" s="14" t="s">
        <v>104</v>
      </c>
      <c r="U5" s="14" t="s">
        <v>105</v>
      </c>
      <c r="V5" s="14" t="s">
        <v>106</v>
      </c>
      <c r="W5" s="14" t="s">
        <v>107</v>
      </c>
    </row>
    <row r="6" customFormat="false" ht="15" hidden="false" customHeight="false" outlineLevel="0" collapsed="false">
      <c r="B6" s="16" t="n">
        <f aca="false">SEMANAS!$B$6</f>
        <v>1</v>
      </c>
      <c r="C6" s="17" t="n">
        <f aca="false">SEMANAS!$C$6</f>
        <v>46265</v>
      </c>
      <c r="D6" s="17" t="n">
        <f aca="false">SEMANAS!$D$6</f>
        <v>46271</v>
      </c>
      <c r="E6" s="16" t="n">
        <f aca="false">AUX_MATRIZES!C140</f>
        <v>486377.640094412</v>
      </c>
      <c r="F6" s="16" t="n">
        <f aca="false">AUX_MATRIZES!C156*SEMANAS!$K$6</f>
        <v>4470818.1</v>
      </c>
      <c r="G6" s="19" t="n">
        <f aca="false">IFERROR($E6/$F6,0)</f>
        <v>0.108789404805893</v>
      </c>
      <c r="H6" s="16" t="n">
        <f aca="false">MAX(0,$E6-$F6)</f>
        <v>0</v>
      </c>
      <c r="I6" s="18" t="n">
        <f aca="false">AUX_MATRIZES!C158</f>
        <v>0</v>
      </c>
      <c r="J6" s="18" t="n">
        <f aca="false">AUX_MATRIZES!C160</f>
        <v>0</v>
      </c>
      <c r="K6" s="18" t="n">
        <f aca="false">IFERROR(MAX(0,$E6/AUX_MATRIZES!C156-SEMANAS!$K$6),0)</f>
        <v>0</v>
      </c>
      <c r="L6" s="18" t="n">
        <f aca="false">IFERROR(MAX(0,$E6/SEMANAS!$K$6-AUX_MATRIZES!C156),0)</f>
        <v>0</v>
      </c>
      <c r="M6" s="8" t="str">
        <f aca="false">IF($G6&gt;LIMITE_CRITICO,"INVIAVEL - demanda excede a capacidade em 21 h/dia",IF($G6&gt;LIMITE_ATENCAO,"CRITICO - utilizacao acima de "&amp;TEXT(LIMITE_ATENCAO,"0%"),IF($G6&gt;LIMITE_CONFORTAVEL,"ATENCAO - utilizacao acima de "&amp;TEXT(LIMITE_CONFORTAVEL,"0%"),"OK - capacidade suficiente")))</f>
        <v>OK - capacidade suficiente</v>
      </c>
      <c r="N6" s="19" t="n">
        <f aca="false">AUX_MATRIZES!C148</f>
        <v>0.460190476190476</v>
      </c>
      <c r="O6" s="8" t="str">
        <f aca="false">AUX_MATRIZES!C149</f>
        <v>PV 131</v>
      </c>
      <c r="P6" s="8" t="str">
        <f aca="false">IF($N6&gt;LIMITE_CRITICO,"INVIAVEL - demanda excede a capacidade em 21 h/dia",IF($N6&gt;LIMITE_ATENCAO,"CRITICO - utilizacao acima de "&amp;TEXT(LIMITE_ATENCAO,"0%"),IF($N6&gt;LIMITE_CONFORTAVEL,"ATENCAO - utilizacao acima de "&amp;TEXT(LIMITE_CONFORTAVEL,"0%"),"OK - capacidade suficiente")))</f>
        <v>OK - capacidade suficiente</v>
      </c>
      <c r="Q6" s="19" t="n">
        <f aca="false">AUX_MATRIZES!C150</f>
        <v>0.147890966081224</v>
      </c>
      <c r="R6" s="8" t="str">
        <f aca="false">AUX_MATRIZES!C151</f>
        <v>RM06</v>
      </c>
      <c r="S6" s="8" t="str">
        <f aca="false">IF($Q6&gt;LIMITE_CRITICO,"INVIAVEL - demanda excede a capacidade em 21 h/dia",IF($Q6&gt;LIMITE_ATENCAO,"CRITICO - utilizacao acima de "&amp;TEXT(LIMITE_ATENCAO,"0%"),IF($Q6&gt;LIMITE_CONFORTAVEL,"ATENCAO - utilizacao acima de "&amp;TEXT(LIMITE_CONFORTAVEL,"0%"),"OK - capacidade suficiente")))</f>
        <v>OK - capacidade suficiente</v>
      </c>
      <c r="T6" s="19" t="n">
        <f aca="false">AUX_MATRIZES!C152</f>
        <v>0.147890966081224</v>
      </c>
      <c r="U6" s="8" t="str">
        <f aca="false">AUX_MATRIZES!C153</f>
        <v>TR06</v>
      </c>
      <c r="V6" s="8" t="str">
        <f aca="false">IF($T6&gt;LIMITE_CRITICO,"INVIAVEL - demanda excede a capacidade em 21 h/dia",IF($T6&gt;LIMITE_ATENCAO,"CRITICO - utilizacao acima de "&amp;TEXT(LIMITE_ATENCAO,"0%"),IF($T6&gt;LIMITE_CONFORTAVEL,"ATENCAO - utilizacao acima de "&amp;TEXT(LIMITE_CONFORTAVEL,"0%"),"OK - capacidade suficiente")))</f>
        <v>OK - capacidade suficiente</v>
      </c>
      <c r="W6" s="20" t="n">
        <f aca="false">AUX_MATRIZES!C161</f>
        <v>486377.640095412</v>
      </c>
    </row>
    <row r="7" customFormat="false" ht="15" hidden="false" customHeight="false" outlineLevel="0" collapsed="false">
      <c r="B7" s="16" t="n">
        <f aca="false">SEMANAS!$B$7</f>
        <v>2</v>
      </c>
      <c r="C7" s="17" t="n">
        <f aca="false">SEMANAS!$C$7</f>
        <v>46272</v>
      </c>
      <c r="D7" s="17" t="n">
        <f aca="false">SEMANAS!$D$7</f>
        <v>46278</v>
      </c>
      <c r="E7" s="16" t="n">
        <f aca="false">AUX_MATRIZES!D140</f>
        <v>404088.51016822</v>
      </c>
      <c r="F7" s="16" t="n">
        <f aca="false">AUX_MATRIZES!D156*SEMANAS!$K$7</f>
        <v>4470818.1</v>
      </c>
      <c r="G7" s="19" t="n">
        <f aca="false">IFERROR($E7/$F7,0)</f>
        <v>0.0903835721180918</v>
      </c>
      <c r="H7" s="16" t="n">
        <f aca="false">MAX(0,$E7-$F7)</f>
        <v>0</v>
      </c>
      <c r="I7" s="18" t="n">
        <f aca="false">AUX_MATRIZES!D158</f>
        <v>0</v>
      </c>
      <c r="J7" s="18" t="n">
        <f aca="false">AUX_MATRIZES!D160</f>
        <v>0</v>
      </c>
      <c r="K7" s="18" t="n">
        <f aca="false">IFERROR(MAX(0,$E7/AUX_MATRIZES!D156-SEMANAS!$K$7),0)</f>
        <v>0</v>
      </c>
      <c r="L7" s="18" t="n">
        <f aca="false">IFERROR(MAX(0,$E7/SEMANAS!$K$7-AUX_MATRIZES!D156),0)</f>
        <v>0</v>
      </c>
      <c r="M7" s="8" t="str">
        <f aca="false">IF($G7&gt;LIMITE_CRITICO,"INVIAVEL - demanda excede a capacidade em 21 h/dia",IF($G7&gt;LIMITE_ATENCAO,"CRITICO - utilizacao acima de "&amp;TEXT(LIMITE_ATENCAO,"0%"),IF($G7&gt;LIMITE_CONFORTAVEL,"ATENCAO - utilizacao acima de "&amp;TEXT(LIMITE_CONFORTAVEL,"0%"),"OK - capacidade suficiente")))</f>
        <v>OK - capacidade suficiente</v>
      </c>
      <c r="N7" s="19" t="n">
        <f aca="false">AUX_MATRIZES!D148</f>
        <v>0.460392156862745</v>
      </c>
      <c r="O7" s="8" t="str">
        <f aca="false">AUX_MATRIZES!D149</f>
        <v>PV 102</v>
      </c>
      <c r="P7" s="8" t="str">
        <f aca="false">IF($N7&gt;LIMITE_CRITICO,"INVIAVEL - demanda excede a capacidade em 21 h/dia",IF($N7&gt;LIMITE_ATENCAO,"CRITICO - utilizacao acima de "&amp;TEXT(LIMITE_ATENCAO,"0%"),IF($N7&gt;LIMITE_CONFORTAVEL,"ATENCAO - utilizacao acima de "&amp;TEXT(LIMITE_CONFORTAVEL,"0%"),"OK - capacidade suficiente")))</f>
        <v>OK - capacidade suficiente</v>
      </c>
      <c r="Q7" s="19" t="n">
        <f aca="false">AUX_MATRIZES!D150</f>
        <v>0.126117093383124</v>
      </c>
      <c r="R7" s="8" t="str">
        <f aca="false">AUX_MATRIZES!D151</f>
        <v>RM05</v>
      </c>
      <c r="S7" s="8" t="str">
        <f aca="false">IF($Q7&gt;LIMITE_CRITICO,"INVIAVEL - demanda excede a capacidade em 21 h/dia",IF($Q7&gt;LIMITE_ATENCAO,"CRITICO - utilizacao acima de "&amp;TEXT(LIMITE_ATENCAO,"0%"),IF($Q7&gt;LIMITE_CONFORTAVEL,"ATENCAO - utilizacao acima de "&amp;TEXT(LIMITE_CONFORTAVEL,"0%"),"OK - capacidade suficiente")))</f>
        <v>OK - capacidade suficiente</v>
      </c>
      <c r="T7" s="19" t="n">
        <f aca="false">AUX_MATRIZES!D152</f>
        <v>0.126117093383124</v>
      </c>
      <c r="U7" s="8" t="str">
        <f aca="false">AUX_MATRIZES!D153</f>
        <v>TR05</v>
      </c>
      <c r="V7" s="8" t="str">
        <f aca="false">IF($T7&gt;LIMITE_CRITICO,"INVIAVEL - demanda excede a capacidade em 21 h/dia",IF($T7&gt;LIMITE_ATENCAO,"CRITICO - utilizacao acima de "&amp;TEXT(LIMITE_ATENCAO,"0%"),IF($T7&gt;LIMITE_CONFORTAVEL,"ATENCAO - utilizacao acima de "&amp;TEXT(LIMITE_CONFORTAVEL,"0%"),"OK - capacidade suficiente")))</f>
        <v>OK - capacidade suficiente</v>
      </c>
      <c r="W7" s="20" t="n">
        <f aca="false">AUX_MATRIZES!D161</f>
        <v>404088.51017022</v>
      </c>
    </row>
    <row r="8" customFormat="false" ht="15" hidden="false" customHeight="false" outlineLevel="0" collapsed="false">
      <c r="B8" s="16" t="n">
        <f aca="false">SEMANAS!$B$8</f>
        <v>3</v>
      </c>
      <c r="C8" s="17" t="n">
        <f aca="false">SEMANAS!$C$8</f>
        <v>46279</v>
      </c>
      <c r="D8" s="17" t="n">
        <f aca="false">SEMANAS!$D$8</f>
        <v>46285</v>
      </c>
      <c r="E8" s="16" t="n">
        <f aca="false">AUX_MATRIZES!E140</f>
        <v>318745.83848366</v>
      </c>
      <c r="F8" s="16" t="n">
        <f aca="false">AUX_MATRIZES!E156*SEMANAS!$K$8</f>
        <v>4470818.1</v>
      </c>
      <c r="G8" s="19" t="n">
        <f aca="false">IFERROR($E8/$F8,0)</f>
        <v>0.0712947454703335</v>
      </c>
      <c r="H8" s="16" t="n">
        <f aca="false">MAX(0,$E8-$F8)</f>
        <v>0</v>
      </c>
      <c r="I8" s="18" t="n">
        <f aca="false">AUX_MATRIZES!E158</f>
        <v>0</v>
      </c>
      <c r="J8" s="18" t="n">
        <f aca="false">AUX_MATRIZES!E160</f>
        <v>0</v>
      </c>
      <c r="K8" s="18" t="n">
        <f aca="false">IFERROR(MAX(0,$E8/AUX_MATRIZES!E156-SEMANAS!$K$8),0)</f>
        <v>0</v>
      </c>
      <c r="L8" s="18" t="n">
        <f aca="false">IFERROR(MAX(0,$E8/SEMANAS!$K$8-AUX_MATRIZES!E156),0)</f>
        <v>0</v>
      </c>
      <c r="M8" s="8" t="str">
        <f aca="false">IF($G8&gt;LIMITE_CRITICO,"INVIAVEL - demanda excede a capacidade em 21 h/dia",IF($G8&gt;LIMITE_ATENCAO,"CRITICO - utilizacao acima de "&amp;TEXT(LIMITE_ATENCAO,"0%"),IF($G8&gt;LIMITE_CONFORTAVEL,"ATENCAO - utilizacao acima de "&amp;TEXT(LIMITE_CONFORTAVEL,"0%"),"OK - capacidade suficiente")))</f>
        <v>OK - capacidade suficiente</v>
      </c>
      <c r="N8" s="19" t="n">
        <f aca="false">AUX_MATRIZES!E148</f>
        <v>0.460392156862745</v>
      </c>
      <c r="O8" s="8" t="str">
        <f aca="false">AUX_MATRIZES!E149</f>
        <v>PV 102</v>
      </c>
      <c r="P8" s="8" t="str">
        <f aca="false">IF($N8&gt;LIMITE_CRITICO,"INVIAVEL - demanda excede a capacidade em 21 h/dia",IF($N8&gt;LIMITE_ATENCAO,"CRITICO - utilizacao acima de "&amp;TEXT(LIMITE_ATENCAO,"0%"),IF($N8&gt;LIMITE_CONFORTAVEL,"ATENCAO - utilizacao acima de "&amp;TEXT(LIMITE_CONFORTAVEL,"0%"),"OK - capacidade suficiente")))</f>
        <v>OK - capacidade suficiente</v>
      </c>
      <c r="Q8" s="19" t="n">
        <f aca="false">AUX_MATRIZES!E150</f>
        <v>0.126117093383124</v>
      </c>
      <c r="R8" s="8" t="str">
        <f aca="false">AUX_MATRIZES!E151</f>
        <v>RM05</v>
      </c>
      <c r="S8" s="8" t="str">
        <f aca="false">IF($Q8&gt;LIMITE_CRITICO,"INVIAVEL - demanda excede a capacidade em 21 h/dia",IF($Q8&gt;LIMITE_ATENCAO,"CRITICO - utilizacao acima de "&amp;TEXT(LIMITE_ATENCAO,"0%"),IF($Q8&gt;LIMITE_CONFORTAVEL,"ATENCAO - utilizacao acima de "&amp;TEXT(LIMITE_CONFORTAVEL,"0%"),"OK - capacidade suficiente")))</f>
        <v>OK - capacidade suficiente</v>
      </c>
      <c r="T8" s="19" t="n">
        <f aca="false">AUX_MATRIZES!E152</f>
        <v>0.126117093383124</v>
      </c>
      <c r="U8" s="8" t="str">
        <f aca="false">AUX_MATRIZES!E153</f>
        <v>TR05</v>
      </c>
      <c r="V8" s="8" t="str">
        <f aca="false">IF($T8&gt;LIMITE_CRITICO,"INVIAVEL - demanda excede a capacidade em 21 h/dia",IF($T8&gt;LIMITE_ATENCAO,"CRITICO - utilizacao acima de "&amp;TEXT(LIMITE_ATENCAO,"0%"),IF($T8&gt;LIMITE_CONFORTAVEL,"ATENCAO - utilizacao acima de "&amp;TEXT(LIMITE_CONFORTAVEL,"0%"),"OK - capacidade suficiente")))</f>
        <v>OK - capacidade suficiente</v>
      </c>
      <c r="W8" s="20" t="n">
        <f aca="false">AUX_MATRIZES!E161</f>
        <v>318745.83848666</v>
      </c>
    </row>
    <row r="9" customFormat="false" ht="15" hidden="false" customHeight="false" outlineLevel="0" collapsed="false">
      <c r="B9" s="16" t="n">
        <f aca="false">SEMANAS!$B$9</f>
        <v>4</v>
      </c>
      <c r="C9" s="17" t="n">
        <f aca="false">SEMANAS!$C$9</f>
        <v>46286</v>
      </c>
      <c r="D9" s="17" t="n">
        <f aca="false">SEMANAS!$D$9</f>
        <v>46292</v>
      </c>
      <c r="E9" s="16" t="n">
        <f aca="false">AUX_MATRIZES!F140</f>
        <v>270863.022294118</v>
      </c>
      <c r="F9" s="16" t="n">
        <f aca="false">AUX_MATRIZES!F156*SEMANAS!$K$9</f>
        <v>4470818.1</v>
      </c>
      <c r="G9" s="19" t="n">
        <f aca="false">IFERROR($E9/$F9,0)</f>
        <v>0.0605846662144715</v>
      </c>
      <c r="H9" s="16" t="n">
        <f aca="false">MAX(0,$E9-$F9)</f>
        <v>0</v>
      </c>
      <c r="I9" s="18" t="n">
        <f aca="false">AUX_MATRIZES!F158</f>
        <v>0</v>
      </c>
      <c r="J9" s="18" t="n">
        <f aca="false">AUX_MATRIZES!F160</f>
        <v>0</v>
      </c>
      <c r="K9" s="18" t="n">
        <f aca="false">IFERROR(MAX(0,$E9/AUX_MATRIZES!F156-SEMANAS!$K$9),0)</f>
        <v>0</v>
      </c>
      <c r="L9" s="18" t="n">
        <f aca="false">IFERROR(MAX(0,$E9/SEMANAS!$K$9-AUX_MATRIZES!F156),0)</f>
        <v>0</v>
      </c>
      <c r="M9" s="8" t="str">
        <f aca="false">IF($G9&gt;LIMITE_CRITICO,"INVIAVEL - demanda excede a capacidade em 21 h/dia",IF($G9&gt;LIMITE_ATENCAO,"CRITICO - utilizacao acima de "&amp;TEXT(LIMITE_ATENCAO,"0%"),IF($G9&gt;LIMITE_CONFORTAVEL,"ATENCAO - utilizacao acima de "&amp;TEXT(LIMITE_CONFORTAVEL,"0%"),"OK - capacidade suficiente")))</f>
        <v>OK - capacidade suficiente</v>
      </c>
      <c r="N9" s="19" t="n">
        <f aca="false">AUX_MATRIZES!F148</f>
        <v>0.460392156862745</v>
      </c>
      <c r="O9" s="8" t="str">
        <f aca="false">AUX_MATRIZES!F149</f>
        <v>PV 102</v>
      </c>
      <c r="P9" s="8" t="str">
        <f aca="false">IF($N9&gt;LIMITE_CRITICO,"INVIAVEL - demanda excede a capacidade em 21 h/dia",IF($N9&gt;LIMITE_ATENCAO,"CRITICO - utilizacao acima de "&amp;TEXT(LIMITE_ATENCAO,"0%"),IF($N9&gt;LIMITE_CONFORTAVEL,"ATENCAO - utilizacao acima de "&amp;TEXT(LIMITE_CONFORTAVEL,"0%"),"OK - capacidade suficiente")))</f>
        <v>OK - capacidade suficiente</v>
      </c>
      <c r="Q9" s="19" t="n">
        <f aca="false">AUX_MATRIZES!F150</f>
        <v>0.126117093383124</v>
      </c>
      <c r="R9" s="8" t="str">
        <f aca="false">AUX_MATRIZES!F151</f>
        <v>RM05</v>
      </c>
      <c r="S9" s="8" t="str">
        <f aca="false">IF($Q9&gt;LIMITE_CRITICO,"INVIAVEL - demanda excede a capacidade em 21 h/dia",IF($Q9&gt;LIMITE_ATENCAO,"CRITICO - utilizacao acima de "&amp;TEXT(LIMITE_ATENCAO,"0%"),IF($Q9&gt;LIMITE_CONFORTAVEL,"ATENCAO - utilizacao acima de "&amp;TEXT(LIMITE_CONFORTAVEL,"0%"),"OK - capacidade suficiente")))</f>
        <v>OK - capacidade suficiente</v>
      </c>
      <c r="T9" s="19" t="n">
        <f aca="false">AUX_MATRIZES!F152</f>
        <v>0.126117093383124</v>
      </c>
      <c r="U9" s="8" t="str">
        <f aca="false">AUX_MATRIZES!F153</f>
        <v>TR05</v>
      </c>
      <c r="V9" s="8" t="str">
        <f aca="false">IF($T9&gt;LIMITE_CRITICO,"INVIAVEL - demanda excede a capacidade em 21 h/dia",IF($T9&gt;LIMITE_ATENCAO,"CRITICO - utilizacao acima de "&amp;TEXT(LIMITE_ATENCAO,"0%"),IF($T9&gt;LIMITE_CONFORTAVEL,"ATENCAO - utilizacao acima de "&amp;TEXT(LIMITE_CONFORTAVEL,"0%"),"OK - capacidade suficiente")))</f>
        <v>OK - capacidade suficiente</v>
      </c>
      <c r="W9" s="20" t="n">
        <f aca="false">AUX_MATRIZES!F161</f>
        <v>270863.022298118</v>
      </c>
    </row>
    <row r="10" customFormat="false" ht="15" hidden="false" customHeight="false" outlineLevel="0" collapsed="false">
      <c r="B10" s="16" t="n">
        <f aca="false">SEMANAS!$B$10</f>
        <v>5</v>
      </c>
      <c r="C10" s="17" t="n">
        <f aca="false">SEMANAS!$C$10</f>
        <v>46293</v>
      </c>
      <c r="D10" s="17" t="n">
        <f aca="false">SEMANAS!$D$10</f>
        <v>46299</v>
      </c>
      <c r="E10" s="16" t="n">
        <f aca="false">AUX_MATRIZES!G140</f>
        <v>186962.268705882</v>
      </c>
      <c r="F10" s="16" t="n">
        <f aca="false">AUX_MATRIZES!G156*SEMANAS!$K$10</f>
        <v>4470818.1</v>
      </c>
      <c r="G10" s="19" t="n">
        <f aca="false">IFERROR($E10/$F10,0)</f>
        <v>0.0418183572948053</v>
      </c>
      <c r="H10" s="16" t="n">
        <f aca="false">MAX(0,$E10-$F10)</f>
        <v>0</v>
      </c>
      <c r="I10" s="18" t="n">
        <f aca="false">AUX_MATRIZES!G158</f>
        <v>0</v>
      </c>
      <c r="J10" s="18" t="n">
        <f aca="false">AUX_MATRIZES!G160</f>
        <v>0</v>
      </c>
      <c r="K10" s="18" t="n">
        <f aca="false">IFERROR(MAX(0,$E10/AUX_MATRIZES!G156-SEMANAS!$K$10),0)</f>
        <v>0</v>
      </c>
      <c r="L10" s="18" t="n">
        <f aca="false">IFERROR(MAX(0,$E10/SEMANAS!$K$10-AUX_MATRIZES!G156),0)</f>
        <v>0</v>
      </c>
      <c r="M10" s="8" t="str">
        <f aca="false">IF($G10&gt;LIMITE_CRITICO,"INVIAVEL - demanda excede a capacidade em 21 h/dia",IF($G10&gt;LIMITE_ATENCAO,"CRITICO - utilizacao acima de "&amp;TEXT(LIMITE_ATENCAO,"0%"),IF($G10&gt;LIMITE_CONFORTAVEL,"ATENCAO - utilizacao acima de "&amp;TEXT(LIMITE_CONFORTAVEL,"0%"),"OK - capacidade suficiente")))</f>
        <v>OK - capacidade suficiente</v>
      </c>
      <c r="N10" s="19" t="n">
        <f aca="false">AUX_MATRIZES!G148</f>
        <v>0.347182072829132</v>
      </c>
      <c r="O10" s="8" t="str">
        <f aca="false">AUX_MATRIZES!G149</f>
        <v>PV 102</v>
      </c>
      <c r="P10" s="8" t="str">
        <f aca="false">IF($N10&gt;LIMITE_CRITICO,"INVIAVEL - demanda excede a capacidade em 21 h/dia",IF($N10&gt;LIMITE_ATENCAO,"CRITICO - utilizacao acima de "&amp;TEXT(LIMITE_ATENCAO,"0%"),IF($N10&gt;LIMITE_CONFORTAVEL,"ATENCAO - utilizacao acima de "&amp;TEXT(LIMITE_CONFORTAVEL,"0%"),"OK - capacidade suficiente")))</f>
        <v>OK - capacidade suficiente</v>
      </c>
      <c r="Q10" s="19" t="n">
        <f aca="false">AUX_MATRIZES!G150</f>
        <v>0.0951049952681792</v>
      </c>
      <c r="R10" s="8" t="str">
        <f aca="false">AUX_MATRIZES!G151</f>
        <v>RM05</v>
      </c>
      <c r="S10" s="8" t="str">
        <f aca="false">IF($Q10&gt;LIMITE_CRITICO,"INVIAVEL - demanda excede a capacidade em 21 h/dia",IF($Q10&gt;LIMITE_ATENCAO,"CRITICO - utilizacao acima de "&amp;TEXT(LIMITE_ATENCAO,"0%"),IF($Q10&gt;LIMITE_CONFORTAVEL,"ATENCAO - utilizacao acima de "&amp;TEXT(LIMITE_CONFORTAVEL,"0%"),"OK - capacidade suficiente")))</f>
        <v>OK - capacidade suficiente</v>
      </c>
      <c r="T10" s="19" t="n">
        <f aca="false">AUX_MATRIZES!G152</f>
        <v>0.0951049952681792</v>
      </c>
      <c r="U10" s="8" t="str">
        <f aca="false">AUX_MATRIZES!G153</f>
        <v>TR05</v>
      </c>
      <c r="V10" s="8" t="str">
        <f aca="false">IF($T10&gt;LIMITE_CRITICO,"INVIAVEL - demanda excede a capacidade em 21 h/dia",IF($T10&gt;LIMITE_ATENCAO,"CRITICO - utilizacao acima de "&amp;TEXT(LIMITE_ATENCAO,"0%"),IF($T10&gt;LIMITE_CONFORTAVEL,"ATENCAO - utilizacao acima de "&amp;TEXT(LIMITE_CONFORTAVEL,"0%"),"OK - capacidade suficiente")))</f>
        <v>OK - capacidade suficiente</v>
      </c>
      <c r="W10" s="20" t="n">
        <f aca="false">AUX_MATRIZES!G161</f>
        <v>186962.268710882</v>
      </c>
    </row>
    <row r="11" customFormat="false" ht="15" hidden="false" customHeight="false" outlineLevel="0" collapsed="false">
      <c r="B11" s="16" t="n">
        <f aca="false">SEMANAS!$B$11</f>
        <v>6</v>
      </c>
      <c r="C11" s="17" t="n">
        <f aca="false">SEMANAS!$C$11</f>
        <v>46300</v>
      </c>
      <c r="D11" s="17" t="n">
        <f aca="false">SEMANAS!$D$11</f>
        <v>46306</v>
      </c>
      <c r="E11" s="16" t="n">
        <f aca="false">AUX_MATRIZES!H140</f>
        <v>105840.304705882</v>
      </c>
      <c r="F11" s="16" t="n">
        <f aca="false">AUX_MATRIZES!H156*SEMANAS!$K$11</f>
        <v>4470818.1</v>
      </c>
      <c r="G11" s="19" t="n">
        <f aca="false">IFERROR($E11/$F11,0)</f>
        <v>0.0236735877726455</v>
      </c>
      <c r="H11" s="16" t="n">
        <f aca="false">MAX(0,$E11-$F11)</f>
        <v>0</v>
      </c>
      <c r="I11" s="18" t="n">
        <f aca="false">AUX_MATRIZES!H158</f>
        <v>0</v>
      </c>
      <c r="J11" s="18" t="n">
        <f aca="false">AUX_MATRIZES!H160</f>
        <v>0</v>
      </c>
      <c r="K11" s="18" t="n">
        <f aca="false">IFERROR(MAX(0,$E11/AUX_MATRIZES!H156-SEMANAS!$K$11),0)</f>
        <v>0</v>
      </c>
      <c r="L11" s="18" t="n">
        <f aca="false">IFERROR(MAX(0,$E11/SEMANAS!$K$11-AUX_MATRIZES!H156),0)</f>
        <v>0</v>
      </c>
      <c r="M11" s="8" t="str">
        <f aca="false">IF($G11&gt;LIMITE_CRITICO,"INVIAVEL - demanda excede a capacidade em 21 h/dia",IF($G11&gt;LIMITE_ATENCAO,"CRITICO - utilizacao acima de "&amp;TEXT(LIMITE_ATENCAO,"0%"),IF($G11&gt;LIMITE_CONFORTAVEL,"ATENCAO - utilizacao acima de "&amp;TEXT(LIMITE_CONFORTAVEL,"0%"),"OK - capacidade suficiente")))</f>
        <v>OK - capacidade suficiente</v>
      </c>
      <c r="N11" s="19" t="n">
        <f aca="false">AUX_MATRIZES!H148</f>
        <v>0.262274509803922</v>
      </c>
      <c r="O11" s="8" t="str">
        <f aca="false">AUX_MATRIZES!H149</f>
        <v>PV 102</v>
      </c>
      <c r="P11" s="8" t="str">
        <f aca="false">IF($N11&gt;LIMITE_CRITICO,"INVIAVEL - demanda excede a capacidade em 21 h/dia",IF($N11&gt;LIMITE_ATENCAO,"CRITICO - utilizacao acima de "&amp;TEXT(LIMITE_ATENCAO,"0%"),IF($N11&gt;LIMITE_CONFORTAVEL,"ATENCAO - utilizacao acima de "&amp;TEXT(LIMITE_CONFORTAVEL,"0%"),"OK - capacidade suficiente")))</f>
        <v>OK - capacidade suficiente</v>
      </c>
      <c r="Q11" s="19" t="n">
        <f aca="false">AUX_MATRIZES!H150</f>
        <v>0.0718459216819705</v>
      </c>
      <c r="R11" s="8" t="str">
        <f aca="false">AUX_MATRIZES!H151</f>
        <v>RM05</v>
      </c>
      <c r="S11" s="8" t="str">
        <f aca="false">IF($Q11&gt;LIMITE_CRITICO,"INVIAVEL - demanda excede a capacidade em 21 h/dia",IF($Q11&gt;LIMITE_ATENCAO,"CRITICO - utilizacao acima de "&amp;TEXT(LIMITE_ATENCAO,"0%"),IF($Q11&gt;LIMITE_CONFORTAVEL,"ATENCAO - utilizacao acima de "&amp;TEXT(LIMITE_CONFORTAVEL,"0%"),"OK - capacidade suficiente")))</f>
        <v>OK - capacidade suficiente</v>
      </c>
      <c r="T11" s="19" t="n">
        <f aca="false">AUX_MATRIZES!H152</f>
        <v>0.0718459216819705</v>
      </c>
      <c r="U11" s="8" t="str">
        <f aca="false">AUX_MATRIZES!H153</f>
        <v>TR05</v>
      </c>
      <c r="V11" s="8" t="str">
        <f aca="false">IF($T11&gt;LIMITE_CRITICO,"INVIAVEL - demanda excede a capacidade em 21 h/dia",IF($T11&gt;LIMITE_ATENCAO,"CRITICO - utilizacao acima de "&amp;TEXT(LIMITE_ATENCAO,"0%"),IF($T11&gt;LIMITE_CONFORTAVEL,"ATENCAO - utilizacao acima de "&amp;TEXT(LIMITE_CONFORTAVEL,"0%"),"OK - capacidade suficiente")))</f>
        <v>OK - capacidade suficiente</v>
      </c>
      <c r="W11" s="20" t="n">
        <f aca="false">AUX_MATRIZES!H161</f>
        <v>105840.304711882</v>
      </c>
    </row>
    <row r="12" customFormat="false" ht="15" hidden="false" customHeight="false" outlineLevel="0" collapsed="false">
      <c r="B12" s="16" t="n">
        <f aca="false">SEMANAS!$B$12</f>
        <v>7</v>
      </c>
      <c r="C12" s="17" t="n">
        <f aca="false">SEMANAS!$C$12</f>
        <v>46307</v>
      </c>
      <c r="D12" s="17" t="n">
        <f aca="false">SEMANAS!$D$12</f>
        <v>46313</v>
      </c>
      <c r="E12" s="16" t="n">
        <f aca="false">AUX_MATRIZES!I140</f>
        <v>99184.7327058823</v>
      </c>
      <c r="F12" s="16" t="n">
        <f aca="false">AUX_MATRIZES!I156*SEMANAS!$K$12</f>
        <v>4470818.1</v>
      </c>
      <c r="G12" s="19" t="n">
        <f aca="false">IFERROR($E12/$F12,0)</f>
        <v>0.0221849179473176</v>
      </c>
      <c r="H12" s="16" t="n">
        <f aca="false">MAX(0,$E12-$F12)</f>
        <v>0</v>
      </c>
      <c r="I12" s="18" t="n">
        <f aca="false">AUX_MATRIZES!I158</f>
        <v>0</v>
      </c>
      <c r="J12" s="18" t="n">
        <f aca="false">AUX_MATRIZES!I160</f>
        <v>0</v>
      </c>
      <c r="K12" s="18" t="n">
        <f aca="false">IFERROR(MAX(0,$E12/AUX_MATRIZES!I156-SEMANAS!$K$12),0)</f>
        <v>0</v>
      </c>
      <c r="L12" s="18" t="n">
        <f aca="false">IFERROR(MAX(0,$E12/SEMANAS!$K$12-AUX_MATRIZES!I156),0)</f>
        <v>0</v>
      </c>
      <c r="M12" s="8" t="str">
        <f aca="false">IF($G12&gt;LIMITE_CRITICO,"INVIAVEL - demanda excede a capacidade em 21 h/dia",IF($G12&gt;LIMITE_ATENCAO,"CRITICO - utilizacao acima de "&amp;TEXT(LIMITE_ATENCAO,"0%"),IF($G12&gt;LIMITE_CONFORTAVEL,"ATENCAO - utilizacao acima de "&amp;TEXT(LIMITE_CONFORTAVEL,"0%"),"OK - capacidade suficiente")))</f>
        <v>OK - capacidade suficiente</v>
      </c>
      <c r="N12" s="19" t="n">
        <f aca="false">AUX_MATRIZES!I148</f>
        <v>0.262274509803922</v>
      </c>
      <c r="O12" s="8" t="str">
        <f aca="false">AUX_MATRIZES!I149</f>
        <v>PV 102</v>
      </c>
      <c r="P12" s="8" t="str">
        <f aca="false">IF($N12&gt;LIMITE_CRITICO,"INVIAVEL - demanda excede a capacidade em 21 h/dia",IF($N12&gt;LIMITE_ATENCAO,"CRITICO - utilizacao acima de "&amp;TEXT(LIMITE_ATENCAO,"0%"),IF($N12&gt;LIMITE_CONFORTAVEL,"ATENCAO - utilizacao acima de "&amp;TEXT(LIMITE_CONFORTAVEL,"0%"),"OK - capacidade suficiente")))</f>
        <v>OK - capacidade suficiente</v>
      </c>
      <c r="Q12" s="19" t="n">
        <f aca="false">AUX_MATRIZES!I150</f>
        <v>0.0718459216819705</v>
      </c>
      <c r="R12" s="8" t="str">
        <f aca="false">AUX_MATRIZES!I151</f>
        <v>RM05</v>
      </c>
      <c r="S12" s="8" t="str">
        <f aca="false">IF($Q12&gt;LIMITE_CRITICO,"INVIAVEL - demanda excede a capacidade em 21 h/dia",IF($Q12&gt;LIMITE_ATENCAO,"CRITICO - utilizacao acima de "&amp;TEXT(LIMITE_ATENCAO,"0%"),IF($Q12&gt;LIMITE_CONFORTAVEL,"ATENCAO - utilizacao acima de "&amp;TEXT(LIMITE_CONFORTAVEL,"0%"),"OK - capacidade suficiente")))</f>
        <v>OK - capacidade suficiente</v>
      </c>
      <c r="T12" s="19" t="n">
        <f aca="false">AUX_MATRIZES!I152</f>
        <v>0.0718459216819705</v>
      </c>
      <c r="U12" s="8" t="str">
        <f aca="false">AUX_MATRIZES!I153</f>
        <v>TR05</v>
      </c>
      <c r="V12" s="8" t="str">
        <f aca="false">IF($T12&gt;LIMITE_CRITICO,"INVIAVEL - demanda excede a capacidade em 21 h/dia",IF($T12&gt;LIMITE_ATENCAO,"CRITICO - utilizacao acima de "&amp;TEXT(LIMITE_ATENCAO,"0%"),IF($T12&gt;LIMITE_CONFORTAVEL,"ATENCAO - utilizacao acima de "&amp;TEXT(LIMITE_CONFORTAVEL,"0%"),"OK - capacidade suficiente")))</f>
        <v>OK - capacidade suficiente</v>
      </c>
      <c r="W12" s="20" t="n">
        <f aca="false">AUX_MATRIZES!I161</f>
        <v>99184.7327128823</v>
      </c>
    </row>
    <row r="13" customFormat="false" ht="15" hidden="false" customHeight="false" outlineLevel="0" collapsed="false">
      <c r="B13" s="16" t="n">
        <f aca="false">SEMANAS!$B$13</f>
        <v>8</v>
      </c>
      <c r="C13" s="17" t="n">
        <f aca="false">SEMANAS!$C$13</f>
        <v>46314</v>
      </c>
      <c r="D13" s="17" t="n">
        <f aca="false">SEMANAS!$D$13</f>
        <v>46320</v>
      </c>
      <c r="E13" s="16" t="n">
        <f aca="false">AUX_MATRIZES!J140</f>
        <v>97606.5487066528</v>
      </c>
      <c r="F13" s="16" t="n">
        <f aca="false">AUX_MATRIZES!J156*SEMANAS!$K$13</f>
        <v>4470818.1</v>
      </c>
      <c r="G13" s="19" t="n">
        <f aca="false">IFERROR($E13/$F13,0)</f>
        <v>0.0218319212554527</v>
      </c>
      <c r="H13" s="16" t="n">
        <f aca="false">MAX(0,$E13-$F13)</f>
        <v>0</v>
      </c>
      <c r="I13" s="18" t="n">
        <f aca="false">AUX_MATRIZES!J158</f>
        <v>0</v>
      </c>
      <c r="J13" s="18" t="n">
        <f aca="false">AUX_MATRIZES!J160</f>
        <v>0</v>
      </c>
      <c r="K13" s="18" t="n">
        <f aca="false">IFERROR(MAX(0,$E13/AUX_MATRIZES!J156-SEMANAS!$K$13),0)</f>
        <v>0</v>
      </c>
      <c r="L13" s="18" t="n">
        <f aca="false">IFERROR(MAX(0,$E13/SEMANAS!$K$13-AUX_MATRIZES!J156),0)</f>
        <v>0</v>
      </c>
      <c r="M13" s="8" t="str">
        <f aca="false">IF($G13&gt;LIMITE_CRITICO,"INVIAVEL - demanda excede a capacidade em 21 h/dia",IF($G13&gt;LIMITE_ATENCAO,"CRITICO - utilizacao acima de "&amp;TEXT(LIMITE_ATENCAO,"0%"),IF($G13&gt;LIMITE_CONFORTAVEL,"ATENCAO - utilizacao acima de "&amp;TEXT(LIMITE_CONFORTAVEL,"0%"),"OK - capacidade suficiente")))</f>
        <v>OK - capacidade suficiente</v>
      </c>
      <c r="N13" s="19" t="n">
        <f aca="false">AUX_MATRIZES!J148</f>
        <v>0.262274509803921</v>
      </c>
      <c r="O13" s="8" t="str">
        <f aca="false">AUX_MATRIZES!J149</f>
        <v>PV 102</v>
      </c>
      <c r="P13" s="8" t="str">
        <f aca="false">IF($N13&gt;LIMITE_CRITICO,"INVIAVEL - demanda excede a capacidade em 21 h/dia",IF($N13&gt;LIMITE_ATENCAO,"CRITICO - utilizacao acima de "&amp;TEXT(LIMITE_ATENCAO,"0%"),IF($N13&gt;LIMITE_CONFORTAVEL,"ATENCAO - utilizacao acima de "&amp;TEXT(LIMITE_CONFORTAVEL,"0%"),"OK - capacidade suficiente")))</f>
        <v>OK - capacidade suficiente</v>
      </c>
      <c r="Q13" s="19" t="n">
        <f aca="false">AUX_MATRIZES!J150</f>
        <v>0.0619198403969614</v>
      </c>
      <c r="R13" s="8" t="str">
        <f aca="false">AUX_MATRIZES!J151</f>
        <v>RM05</v>
      </c>
      <c r="S13" s="8" t="str">
        <f aca="false">IF($Q13&gt;LIMITE_CRITICO,"INVIAVEL - demanda excede a capacidade em 21 h/dia",IF($Q13&gt;LIMITE_ATENCAO,"CRITICO - utilizacao acima de "&amp;TEXT(LIMITE_ATENCAO,"0%"),IF($Q13&gt;LIMITE_CONFORTAVEL,"ATENCAO - utilizacao acima de "&amp;TEXT(LIMITE_CONFORTAVEL,"0%"),"OK - capacidade suficiente")))</f>
        <v>OK - capacidade suficiente</v>
      </c>
      <c r="T13" s="19" t="n">
        <f aca="false">AUX_MATRIZES!J152</f>
        <v>0.0619198403969614</v>
      </c>
      <c r="U13" s="8" t="str">
        <f aca="false">AUX_MATRIZES!J153</f>
        <v>TR05</v>
      </c>
      <c r="V13" s="8" t="str">
        <f aca="false">IF($T13&gt;LIMITE_CRITICO,"INVIAVEL - demanda excede a capacidade em 21 h/dia",IF($T13&gt;LIMITE_ATENCAO,"CRITICO - utilizacao acima de "&amp;TEXT(LIMITE_ATENCAO,"0%"),IF($T13&gt;LIMITE_CONFORTAVEL,"ATENCAO - utilizacao acima de "&amp;TEXT(LIMITE_CONFORTAVEL,"0%"),"OK - capacidade suficiente")))</f>
        <v>OK - capacidade suficiente</v>
      </c>
      <c r="W13" s="20" t="n">
        <f aca="false">AUX_MATRIZES!J161</f>
        <v>97606.5487146528</v>
      </c>
    </row>
    <row r="14" customFormat="false" ht="15" hidden="false" customHeight="false" outlineLevel="0" collapsed="false">
      <c r="B14" s="16" t="n">
        <f aca="false">SEMANAS!$B$14</f>
        <v>9</v>
      </c>
      <c r="C14" s="17" t="n">
        <f aca="false">SEMANAS!$C$14</f>
        <v>46321</v>
      </c>
      <c r="D14" s="17" t="n">
        <f aca="false">SEMANAS!$D$14</f>
        <v>46327</v>
      </c>
      <c r="E14" s="16" t="n">
        <f aca="false">AUX_MATRIZES!K140</f>
        <v>101846.330669548</v>
      </c>
      <c r="F14" s="16" t="n">
        <f aca="false">AUX_MATRIZES!K156*SEMANAS!$K$14</f>
        <v>4470818.1</v>
      </c>
      <c r="G14" s="19" t="n">
        <f aca="false">IFERROR($E14/$F14,0)</f>
        <v>0.0227802447765763</v>
      </c>
      <c r="H14" s="16" t="n">
        <f aca="false">MAX(0,$E14-$F14)</f>
        <v>0</v>
      </c>
      <c r="I14" s="18" t="n">
        <f aca="false">AUX_MATRIZES!K158</f>
        <v>0</v>
      </c>
      <c r="J14" s="18" t="n">
        <f aca="false">AUX_MATRIZES!K160</f>
        <v>0</v>
      </c>
      <c r="K14" s="18" t="n">
        <f aca="false">IFERROR(MAX(0,$E14/AUX_MATRIZES!K156-SEMANAS!$K$14),0)</f>
        <v>0</v>
      </c>
      <c r="L14" s="18" t="n">
        <f aca="false">IFERROR(MAX(0,$E14/SEMANAS!$K$14-AUX_MATRIZES!K156),0)</f>
        <v>0</v>
      </c>
      <c r="M14" s="8" t="str">
        <f aca="false">IF($G14&gt;LIMITE_CRITICO,"INVIAVEL - demanda excede a capacidade em 21 h/dia",IF($G14&gt;LIMITE_ATENCAO,"CRITICO - utilizacao acima de "&amp;TEXT(LIMITE_ATENCAO,"0%"),IF($G14&gt;LIMITE_CONFORTAVEL,"ATENCAO - utilizacao acima de "&amp;TEXT(LIMITE_CONFORTAVEL,"0%"),"OK - capacidade suficiente")))</f>
        <v>OK - capacidade suficiente</v>
      </c>
      <c r="N14" s="19" t="n">
        <f aca="false">AUX_MATRIZES!K148</f>
        <v>0.20443137254902</v>
      </c>
      <c r="O14" s="8" t="str">
        <f aca="false">AUX_MATRIZES!K149</f>
        <v>PV 102</v>
      </c>
      <c r="P14" s="8" t="str">
        <f aca="false">IF($N14&gt;LIMITE_CRITICO,"INVIAVEL - demanda excede a capacidade em 21 h/dia",IF($N14&gt;LIMITE_ATENCAO,"CRITICO - utilizacao acima de "&amp;TEXT(LIMITE_ATENCAO,"0%"),IF($N14&gt;LIMITE_CONFORTAVEL,"ATENCAO - utilizacao acima de "&amp;TEXT(LIMITE_CONFORTAVEL,"0%"),"OK - capacidade suficiente")))</f>
        <v>OK - capacidade suficiente</v>
      </c>
      <c r="Q14" s="19" t="n">
        <f aca="false">AUX_MATRIZES!K150</f>
        <v>0.0863631082062455</v>
      </c>
      <c r="R14" s="8" t="str">
        <f aca="false">AUX_MATRIZES!K151</f>
        <v>RM01</v>
      </c>
      <c r="S14" s="8" t="str">
        <f aca="false">IF($Q14&gt;LIMITE_CRITICO,"INVIAVEL - demanda excede a capacidade em 21 h/dia",IF($Q14&gt;LIMITE_ATENCAO,"CRITICO - utilizacao acima de "&amp;TEXT(LIMITE_ATENCAO,"0%"),IF($Q14&gt;LIMITE_CONFORTAVEL,"ATENCAO - utilizacao acima de "&amp;TEXT(LIMITE_CONFORTAVEL,"0%"),"OK - capacidade suficiente")))</f>
        <v>OK - capacidade suficiente</v>
      </c>
      <c r="T14" s="19" t="n">
        <f aca="false">AUX_MATRIZES!K152</f>
        <v>0.0863631082062455</v>
      </c>
      <c r="U14" s="8" t="str">
        <f aca="false">AUX_MATRIZES!K153</f>
        <v>TR01</v>
      </c>
      <c r="V14" s="8" t="str">
        <f aca="false">IF($T14&gt;LIMITE_CRITICO,"INVIAVEL - demanda excede a capacidade em 21 h/dia",IF($T14&gt;LIMITE_ATENCAO,"CRITICO - utilizacao acima de "&amp;TEXT(LIMITE_ATENCAO,"0%"),IF($T14&gt;LIMITE_CONFORTAVEL,"ATENCAO - utilizacao acima de "&amp;TEXT(LIMITE_CONFORTAVEL,"0%"),"OK - capacidade suficiente")))</f>
        <v>OK - capacidade suficiente</v>
      </c>
      <c r="W14" s="20" t="n">
        <f aca="false">AUX_MATRIZES!K161</f>
        <v>101846.330678548</v>
      </c>
    </row>
    <row r="15" customFormat="false" ht="15" hidden="false" customHeight="false" outlineLevel="0" collapsed="false">
      <c r="B15" s="16" t="n">
        <f aca="false">SEMANAS!$B$15</f>
        <v>10</v>
      </c>
      <c r="C15" s="17" t="n">
        <f aca="false">SEMANAS!$C$15</f>
        <v>46328</v>
      </c>
      <c r="D15" s="17" t="n">
        <f aca="false">SEMANAS!$D$15</f>
        <v>46334</v>
      </c>
      <c r="E15" s="16" t="n">
        <f aca="false">AUX_MATRIZES!L140</f>
        <v>0</v>
      </c>
      <c r="F15" s="16" t="n">
        <f aca="false">AUX_MATRIZES!L156*SEMANAS!$K$15</f>
        <v>4470818.1</v>
      </c>
      <c r="G15" s="19" t="n">
        <f aca="false">IFERROR($E15/$F15,0)</f>
        <v>0</v>
      </c>
      <c r="H15" s="16" t="n">
        <f aca="false">MAX(0,$E15-$F15)</f>
        <v>0</v>
      </c>
      <c r="I15" s="18" t="n">
        <f aca="false">AUX_MATRIZES!L158</f>
        <v>0</v>
      </c>
      <c r="J15" s="18" t="n">
        <f aca="false">AUX_MATRIZES!L160</f>
        <v>0</v>
      </c>
      <c r="K15" s="18" t="n">
        <f aca="false">IFERROR(MAX(0,$E15/AUX_MATRIZES!L156-SEMANAS!$K$15),0)</f>
        <v>0</v>
      </c>
      <c r="L15" s="18" t="n">
        <f aca="false">IFERROR(MAX(0,$E15/SEMANAS!$K$15-AUX_MATRIZES!L156),0)</f>
        <v>0</v>
      </c>
      <c r="M15" s="8" t="str">
        <f aca="false">IF($G15&gt;LIMITE_CRITICO,"INVIAVEL - demanda excede a capacidade em 21 h/dia",IF($G15&gt;LIMITE_ATENCAO,"CRITICO - utilizacao acima de "&amp;TEXT(LIMITE_ATENCAO,"0%"),IF($G15&gt;LIMITE_CONFORTAVEL,"ATENCAO - utilizacao acima de "&amp;TEXT(LIMITE_CONFORTAVEL,"0%"),"OK - capacidade suficiente")))</f>
        <v>OK - capacidade suficiente</v>
      </c>
      <c r="N15" s="19" t="n">
        <f aca="false">AUX_MATRIZES!L148</f>
        <v>0</v>
      </c>
      <c r="O15" s="8" t="str">
        <f aca="false">AUX_MATRIZES!L149</f>
        <v>PV 109</v>
      </c>
      <c r="P15" s="8" t="str">
        <f aca="false">IF($N15&gt;LIMITE_CRITICO,"INVIAVEL - demanda excede a capacidade em 21 h/dia",IF($N15&gt;LIMITE_ATENCAO,"CRITICO - utilizacao acima de "&amp;TEXT(LIMITE_ATENCAO,"0%"),IF($N15&gt;LIMITE_CONFORTAVEL,"ATENCAO - utilizacao acima de "&amp;TEXT(LIMITE_CONFORTAVEL,"0%"),"OK - capacidade suficiente")))</f>
        <v>OK - capacidade suficiente</v>
      </c>
      <c r="Q15" s="19" t="n">
        <f aca="false">AUX_MATRIZES!L150</f>
        <v>0</v>
      </c>
      <c r="R15" s="8" t="str">
        <f aca="false">AUX_MATRIZES!L151</f>
        <v>RM01</v>
      </c>
      <c r="S15" s="8" t="str">
        <f aca="false">IF($Q15&gt;LIMITE_CRITICO,"INVIAVEL - demanda excede a capacidade em 21 h/dia",IF($Q15&gt;LIMITE_ATENCAO,"CRITICO - utilizacao acima de "&amp;TEXT(LIMITE_ATENCAO,"0%"),IF($Q15&gt;LIMITE_CONFORTAVEL,"ATENCAO - utilizacao acima de "&amp;TEXT(LIMITE_CONFORTAVEL,"0%"),"OK - capacidade suficiente")))</f>
        <v>OK - capacidade suficiente</v>
      </c>
      <c r="T15" s="19" t="n">
        <f aca="false">AUX_MATRIZES!L152</f>
        <v>0</v>
      </c>
      <c r="U15" s="8" t="str">
        <f aca="false">AUX_MATRIZES!L153</f>
        <v>TR01</v>
      </c>
      <c r="V15" s="8" t="str">
        <f aca="false">IF($T15&gt;LIMITE_CRITICO,"INVIAVEL - demanda excede a capacidade em 21 h/dia",IF($T15&gt;LIMITE_ATENCAO,"CRITICO - utilizacao acima de "&amp;TEXT(LIMITE_ATENCAO,"0%"),IF($T15&gt;LIMITE_CONFORTAVEL,"ATENCAO - utilizacao acima de "&amp;TEXT(LIMITE_CONFORTAVEL,"0%"),"OK - capacidade suficiente")))</f>
        <v>OK - capacidade suficiente</v>
      </c>
      <c r="W15" s="20" t="n">
        <f aca="false">AUX_MATRIZES!L161</f>
        <v>1E-005</v>
      </c>
    </row>
    <row r="16" customFormat="false" ht="15" hidden="false" customHeight="false" outlineLevel="0" collapsed="false">
      <c r="B16" s="16" t="n">
        <f aca="false">SEMANAS!$B$16</f>
        <v>11</v>
      </c>
      <c r="C16" s="17" t="n">
        <f aca="false">SEMANAS!$C$16</f>
        <v>46335</v>
      </c>
      <c r="D16" s="17" t="n">
        <f aca="false">SEMANAS!$D$16</f>
        <v>46341</v>
      </c>
      <c r="E16" s="16" t="n">
        <f aca="false">AUX_MATRIZES!M140</f>
        <v>14677.5956749272</v>
      </c>
      <c r="F16" s="16" t="n">
        <f aca="false">AUX_MATRIZES!M156*SEMANAS!$K$16</f>
        <v>4470818.1</v>
      </c>
      <c r="G16" s="19" t="n">
        <f aca="false">IFERROR($E16/$F16,0)</f>
        <v>0.00328297759976574</v>
      </c>
      <c r="H16" s="16" t="n">
        <f aca="false">MAX(0,$E16-$F16)</f>
        <v>0</v>
      </c>
      <c r="I16" s="18" t="n">
        <f aca="false">AUX_MATRIZES!M158</f>
        <v>0</v>
      </c>
      <c r="J16" s="18" t="n">
        <f aca="false">AUX_MATRIZES!M160</f>
        <v>0</v>
      </c>
      <c r="K16" s="18" t="n">
        <f aca="false">IFERROR(MAX(0,$E16/AUX_MATRIZES!M156-SEMANAS!$K$16),0)</f>
        <v>0</v>
      </c>
      <c r="L16" s="18" t="n">
        <f aca="false">IFERROR(MAX(0,$E16/SEMANAS!$K$16-AUX_MATRIZES!M156),0)</f>
        <v>0</v>
      </c>
      <c r="M16" s="8" t="str">
        <f aca="false">IF($G16&gt;LIMITE_CRITICO,"INVIAVEL - demanda excede a capacidade em 21 h/dia",IF($G16&gt;LIMITE_ATENCAO,"CRITICO - utilizacao acima de "&amp;TEXT(LIMITE_ATENCAO,"0%"),IF($G16&gt;LIMITE_CONFORTAVEL,"ATENCAO - utilizacao acima de "&amp;TEXT(LIMITE_CONFORTAVEL,"0%"),"OK - capacidade suficiente")))</f>
        <v>OK - capacidade suficiente</v>
      </c>
      <c r="N16" s="19" t="n">
        <f aca="false">AUX_MATRIZES!M148</f>
        <v>0.0234509803921568</v>
      </c>
      <c r="O16" s="8" t="str">
        <f aca="false">AUX_MATRIZES!M149</f>
        <v>PV 109</v>
      </c>
      <c r="P16" s="8" t="str">
        <f aca="false">IF($N16&gt;LIMITE_CRITICO,"INVIAVEL - demanda excede a capacidade em 21 h/dia",IF($N16&gt;LIMITE_ATENCAO,"CRITICO - utilizacao acima de "&amp;TEXT(LIMITE_ATENCAO,"0%"),IF($N16&gt;LIMITE_CONFORTAVEL,"ATENCAO - utilizacao acima de "&amp;TEXT(LIMITE_CONFORTAVEL,"0%"),"OK - capacidade suficiente")))</f>
        <v>OK - capacidade suficiente</v>
      </c>
      <c r="Q16" s="19" t="n">
        <f aca="false">AUX_MATRIZES!M150</f>
        <v>0.0234509803921568</v>
      </c>
      <c r="R16" s="8" t="str">
        <f aca="false">AUX_MATRIZES!M151</f>
        <v>RM01</v>
      </c>
      <c r="S16" s="8" t="str">
        <f aca="false">IF($Q16&gt;LIMITE_CRITICO,"INVIAVEL - demanda excede a capacidade em 21 h/dia",IF($Q16&gt;LIMITE_ATENCAO,"CRITICO - utilizacao acima de "&amp;TEXT(LIMITE_ATENCAO,"0%"),IF($Q16&gt;LIMITE_CONFORTAVEL,"ATENCAO - utilizacao acima de "&amp;TEXT(LIMITE_CONFORTAVEL,"0%"),"OK - capacidade suficiente")))</f>
        <v>OK - capacidade suficiente</v>
      </c>
      <c r="T16" s="19" t="n">
        <f aca="false">AUX_MATRIZES!M152</f>
        <v>0.0234509803921568</v>
      </c>
      <c r="U16" s="8" t="str">
        <f aca="false">AUX_MATRIZES!M153</f>
        <v>TR01</v>
      </c>
      <c r="V16" s="8" t="str">
        <f aca="false">IF($T16&gt;LIMITE_CRITICO,"INVIAVEL - demanda excede a capacidade em 21 h/dia",IF($T16&gt;LIMITE_ATENCAO,"CRITICO - utilizacao acima de "&amp;TEXT(LIMITE_ATENCAO,"0%"),IF($T16&gt;LIMITE_CONFORTAVEL,"ATENCAO - utilizacao acima de "&amp;TEXT(LIMITE_CONFORTAVEL,"0%"),"OK - capacidade suficiente")))</f>
        <v>OK - capacidade suficiente</v>
      </c>
      <c r="W16" s="20" t="n">
        <f aca="false">AUX_MATRIZES!M161</f>
        <v>14677.5956859272</v>
      </c>
    </row>
    <row r="17" customFormat="false" ht="15" hidden="false" customHeight="false" outlineLevel="0" collapsed="false">
      <c r="B17" s="16" t="n">
        <f aca="false">SEMANAS!$B$17</f>
        <v>12</v>
      </c>
      <c r="C17" s="17" t="n">
        <f aca="false">SEMANAS!$C$17</f>
        <v>46342</v>
      </c>
      <c r="D17" s="17" t="n">
        <f aca="false">SEMANAS!$D$17</f>
        <v>46348</v>
      </c>
      <c r="E17" s="16" t="n">
        <f aca="false">AUX_MATRIZES!N140</f>
        <v>14948.6984705882</v>
      </c>
      <c r="F17" s="16" t="n">
        <f aca="false">AUX_MATRIZES!N156*SEMANAS!$K$17</f>
        <v>4470818.1</v>
      </c>
      <c r="G17" s="19" t="n">
        <f aca="false">IFERROR($E17/$F17,0)</f>
        <v>0.00334361589673895</v>
      </c>
      <c r="H17" s="16" t="n">
        <f aca="false">MAX(0,$E17-$F17)</f>
        <v>0</v>
      </c>
      <c r="I17" s="18" t="n">
        <f aca="false">AUX_MATRIZES!N158</f>
        <v>0</v>
      </c>
      <c r="J17" s="18" t="n">
        <f aca="false">AUX_MATRIZES!N160</f>
        <v>0</v>
      </c>
      <c r="K17" s="18" t="n">
        <f aca="false">IFERROR(MAX(0,$E17/AUX_MATRIZES!N156-SEMANAS!$K$17),0)</f>
        <v>0</v>
      </c>
      <c r="L17" s="18" t="n">
        <f aca="false">IFERROR(MAX(0,$E17/SEMANAS!$K$17-AUX_MATRIZES!N156),0)</f>
        <v>0</v>
      </c>
      <c r="M17" s="8" t="str">
        <f aca="false">IF($G17&gt;LIMITE_CRITICO,"INVIAVEL - demanda excede a capacidade em 21 h/dia",IF($G17&gt;LIMITE_ATENCAO,"CRITICO - utilizacao acima de "&amp;TEXT(LIMITE_ATENCAO,"0%"),IF($G17&gt;LIMITE_CONFORTAVEL,"ATENCAO - utilizacao acima de "&amp;TEXT(LIMITE_CONFORTAVEL,"0%"),"OK - capacidade suficiente")))</f>
        <v>OK - capacidade suficiente</v>
      </c>
      <c r="N17" s="19" t="n">
        <f aca="false">AUX_MATRIZES!N148</f>
        <v>0.0234509803921568</v>
      </c>
      <c r="O17" s="8" t="str">
        <f aca="false">AUX_MATRIZES!N149</f>
        <v>PV 109</v>
      </c>
      <c r="P17" s="8" t="str">
        <f aca="false">IF($N17&gt;LIMITE_CRITICO,"INVIAVEL - demanda excede a capacidade em 21 h/dia",IF($N17&gt;LIMITE_ATENCAO,"CRITICO - utilizacao acima de "&amp;TEXT(LIMITE_ATENCAO,"0%"),IF($N17&gt;LIMITE_CONFORTAVEL,"ATENCAO - utilizacao acima de "&amp;TEXT(LIMITE_CONFORTAVEL,"0%"),"OK - capacidade suficiente")))</f>
        <v>OK - capacidade suficiente</v>
      </c>
      <c r="Q17" s="19" t="n">
        <f aca="false">AUX_MATRIZES!N150</f>
        <v>0.0234509803921568</v>
      </c>
      <c r="R17" s="8" t="str">
        <f aca="false">AUX_MATRIZES!N151</f>
        <v>RM01</v>
      </c>
      <c r="S17" s="8" t="str">
        <f aca="false">IF($Q17&gt;LIMITE_CRITICO,"INVIAVEL - demanda excede a capacidade em 21 h/dia",IF($Q17&gt;LIMITE_ATENCAO,"CRITICO - utilizacao acima de "&amp;TEXT(LIMITE_ATENCAO,"0%"),IF($Q17&gt;LIMITE_CONFORTAVEL,"ATENCAO - utilizacao acima de "&amp;TEXT(LIMITE_CONFORTAVEL,"0%"),"OK - capacidade suficiente")))</f>
        <v>OK - capacidade suficiente</v>
      </c>
      <c r="T17" s="19" t="n">
        <f aca="false">AUX_MATRIZES!N152</f>
        <v>0.0234509803921568</v>
      </c>
      <c r="U17" s="8" t="str">
        <f aca="false">AUX_MATRIZES!N153</f>
        <v>TR01</v>
      </c>
      <c r="V17" s="8" t="str">
        <f aca="false">IF($T17&gt;LIMITE_CRITICO,"INVIAVEL - demanda excede a capacidade em 21 h/dia",IF($T17&gt;LIMITE_ATENCAO,"CRITICO - utilizacao acima de "&amp;TEXT(LIMITE_ATENCAO,"0%"),IF($T17&gt;LIMITE_CONFORTAVEL,"ATENCAO - utilizacao acima de "&amp;TEXT(LIMITE_CONFORTAVEL,"0%"),"OK - capacidade suficiente")))</f>
        <v>OK - capacidade suficiente</v>
      </c>
      <c r="W17" s="20" t="n">
        <f aca="false">AUX_MATRIZES!N161</f>
        <v>14948.6984825882</v>
      </c>
    </row>
    <row r="18" customFormat="false" ht="15" hidden="false" customHeight="false" outlineLevel="0" collapsed="false">
      <c r="B18" s="16" t="n">
        <f aca="false">SEMANAS!$B$18</f>
        <v>13</v>
      </c>
      <c r="C18" s="17" t="n">
        <f aca="false">SEMANAS!$C$18</f>
        <v>46349</v>
      </c>
      <c r="D18" s="17" t="n">
        <f aca="false">SEMANAS!$D$18</f>
        <v>46355</v>
      </c>
      <c r="E18" s="16" t="n">
        <f aca="false">AUX_MATRIZES!O140</f>
        <v>23618.6576295969</v>
      </c>
      <c r="F18" s="16" t="n">
        <f aca="false">AUX_MATRIZES!O156*SEMANAS!$K$18</f>
        <v>4470818.1</v>
      </c>
      <c r="G18" s="19" t="n">
        <f aca="false">IFERROR($E18/$F18,0)</f>
        <v>0.00528284915675656</v>
      </c>
      <c r="H18" s="16" t="n">
        <f aca="false">MAX(0,$E18-$F18)</f>
        <v>0</v>
      </c>
      <c r="I18" s="18" t="n">
        <f aca="false">AUX_MATRIZES!O158</f>
        <v>0</v>
      </c>
      <c r="J18" s="18" t="n">
        <f aca="false">AUX_MATRIZES!O160</f>
        <v>0</v>
      </c>
      <c r="K18" s="18" t="n">
        <f aca="false">IFERROR(MAX(0,$E18/AUX_MATRIZES!O156-SEMANAS!$K$18),0)</f>
        <v>0</v>
      </c>
      <c r="L18" s="18" t="n">
        <f aca="false">IFERROR(MAX(0,$E18/SEMANAS!$K$18-AUX_MATRIZES!O156),0)</f>
        <v>0</v>
      </c>
      <c r="M18" s="8" t="str">
        <f aca="false">IF($G18&gt;LIMITE_CRITICO,"INVIAVEL - demanda excede a capacidade em 21 h/dia",IF($G18&gt;LIMITE_ATENCAO,"CRITICO - utilizacao acima de "&amp;TEXT(LIMITE_ATENCAO,"0%"),IF($G18&gt;LIMITE_CONFORTAVEL,"ATENCAO - utilizacao acima de "&amp;TEXT(LIMITE_CONFORTAVEL,"0%"),"OK - capacidade suficiente")))</f>
        <v>OK - capacidade suficiente</v>
      </c>
      <c r="N18" s="19" t="n">
        <f aca="false">AUX_MATRIZES!O148</f>
        <v>0.0240671067181341</v>
      </c>
      <c r="O18" s="8" t="str">
        <f aca="false">AUX_MATRIZES!O149</f>
        <v>PV 113</v>
      </c>
      <c r="P18" s="8" t="str">
        <f aca="false">IF($N18&gt;LIMITE_CRITICO,"INVIAVEL - demanda excede a capacidade em 21 h/dia",IF($N18&gt;LIMITE_ATENCAO,"CRITICO - utilizacao acima de "&amp;TEXT(LIMITE_ATENCAO,"0%"),IF($N18&gt;LIMITE_CONFORTAVEL,"ATENCAO - utilizacao acima de "&amp;TEXT(LIMITE_CONFORTAVEL,"0%"),"OK - capacidade suficiente")))</f>
        <v>OK - capacidade suficiente</v>
      </c>
      <c r="Q18" s="19" t="n">
        <f aca="false">AUX_MATRIZES!O150</f>
        <v>0.0234509803921568</v>
      </c>
      <c r="R18" s="8" t="str">
        <f aca="false">AUX_MATRIZES!O151</f>
        <v>RM01</v>
      </c>
      <c r="S18" s="8" t="str">
        <f aca="false">IF($Q18&gt;LIMITE_CRITICO,"INVIAVEL - demanda excede a capacidade em 21 h/dia",IF($Q18&gt;LIMITE_ATENCAO,"CRITICO - utilizacao acima de "&amp;TEXT(LIMITE_ATENCAO,"0%"),IF($Q18&gt;LIMITE_CONFORTAVEL,"ATENCAO - utilizacao acima de "&amp;TEXT(LIMITE_CONFORTAVEL,"0%"),"OK - capacidade suficiente")))</f>
        <v>OK - capacidade suficiente</v>
      </c>
      <c r="T18" s="19" t="n">
        <f aca="false">AUX_MATRIZES!O152</f>
        <v>0.0234509803921568</v>
      </c>
      <c r="U18" s="8" t="str">
        <f aca="false">AUX_MATRIZES!O153</f>
        <v>TR01</v>
      </c>
      <c r="V18" s="8" t="str">
        <f aca="false">IF($T18&gt;LIMITE_CRITICO,"INVIAVEL - demanda excede a capacidade em 21 h/dia",IF($T18&gt;LIMITE_ATENCAO,"CRITICO - utilizacao acima de "&amp;TEXT(LIMITE_ATENCAO,"0%"),IF($T18&gt;LIMITE_CONFORTAVEL,"ATENCAO - utilizacao acima de "&amp;TEXT(LIMITE_CONFORTAVEL,"0%"),"OK - capacidade suficiente")))</f>
        <v>OK - capacidade suficiente</v>
      </c>
      <c r="W18" s="20" t="n">
        <f aca="false">AUX_MATRIZES!O161</f>
        <v>23618.6576425969</v>
      </c>
    </row>
    <row r="19" customFormat="false" ht="15" hidden="false" customHeight="false" outlineLevel="0" collapsed="false">
      <c r="B19" s="16" t="n">
        <f aca="false">SEMANAS!$B$19</f>
        <v>14</v>
      </c>
      <c r="C19" s="17" t="n">
        <f aca="false">SEMANAS!$C$19</f>
        <v>46356</v>
      </c>
      <c r="D19" s="17" t="n">
        <f aca="false">SEMANAS!$D$19</f>
        <v>46362</v>
      </c>
      <c r="E19" s="16" t="n">
        <f aca="false">AUX_MATRIZES!P140</f>
        <v>0</v>
      </c>
      <c r="F19" s="16" t="n">
        <f aca="false">AUX_MATRIZES!P156*SEMANAS!$K$19</f>
        <v>4470818.1</v>
      </c>
      <c r="G19" s="19" t="n">
        <f aca="false">IFERROR($E19/$F19,0)</f>
        <v>0</v>
      </c>
      <c r="H19" s="16" t="n">
        <f aca="false">MAX(0,$E19-$F19)</f>
        <v>0</v>
      </c>
      <c r="I19" s="18" t="n">
        <f aca="false">AUX_MATRIZES!P158</f>
        <v>0</v>
      </c>
      <c r="J19" s="18" t="n">
        <f aca="false">AUX_MATRIZES!P160</f>
        <v>0</v>
      </c>
      <c r="K19" s="18" t="n">
        <f aca="false">IFERROR(MAX(0,$E19/AUX_MATRIZES!P156-SEMANAS!$K$19),0)</f>
        <v>0</v>
      </c>
      <c r="L19" s="18" t="n">
        <f aca="false">IFERROR(MAX(0,$E19/SEMANAS!$K$19-AUX_MATRIZES!P156),0)</f>
        <v>0</v>
      </c>
      <c r="M19" s="8" t="str">
        <f aca="false">IF($G19&gt;LIMITE_CRITICO,"INVIAVEL - demanda excede a capacidade em 21 h/dia",IF($G19&gt;LIMITE_ATENCAO,"CRITICO - utilizacao acima de "&amp;TEXT(LIMITE_ATENCAO,"0%"),IF($G19&gt;LIMITE_CONFORTAVEL,"ATENCAO - utilizacao acima de "&amp;TEXT(LIMITE_CONFORTAVEL,"0%"),"OK - capacidade suficiente")))</f>
        <v>OK - capacidade suficiente</v>
      </c>
      <c r="N19" s="19" t="n">
        <f aca="false">AUX_MATRIZES!P148</f>
        <v>0</v>
      </c>
      <c r="O19" s="8" t="str">
        <f aca="false">AUX_MATRIZES!P149</f>
        <v>PV 109</v>
      </c>
      <c r="P19" s="8" t="str">
        <f aca="false">IF($N19&gt;LIMITE_CRITICO,"INVIAVEL - demanda excede a capacidade em 21 h/dia",IF($N19&gt;LIMITE_ATENCAO,"CRITICO - utilizacao acima de "&amp;TEXT(LIMITE_ATENCAO,"0%"),IF($N19&gt;LIMITE_CONFORTAVEL,"ATENCAO - utilizacao acima de "&amp;TEXT(LIMITE_CONFORTAVEL,"0%"),"OK - capacidade suficiente")))</f>
        <v>OK - capacidade suficiente</v>
      </c>
      <c r="Q19" s="19" t="n">
        <f aca="false">AUX_MATRIZES!P150</f>
        <v>0</v>
      </c>
      <c r="R19" s="8" t="str">
        <f aca="false">AUX_MATRIZES!P151</f>
        <v>RM01</v>
      </c>
      <c r="S19" s="8" t="str">
        <f aca="false">IF($Q19&gt;LIMITE_CRITICO,"INVIAVEL - demanda excede a capacidade em 21 h/dia",IF($Q19&gt;LIMITE_ATENCAO,"CRITICO - utilizacao acima de "&amp;TEXT(LIMITE_ATENCAO,"0%"),IF($Q19&gt;LIMITE_CONFORTAVEL,"ATENCAO - utilizacao acima de "&amp;TEXT(LIMITE_CONFORTAVEL,"0%"),"OK - capacidade suficiente")))</f>
        <v>OK - capacidade suficiente</v>
      </c>
      <c r="T19" s="19" t="n">
        <f aca="false">AUX_MATRIZES!P152</f>
        <v>0</v>
      </c>
      <c r="U19" s="8" t="str">
        <f aca="false">AUX_MATRIZES!P153</f>
        <v>TR01</v>
      </c>
      <c r="V19" s="8" t="str">
        <f aca="false">IF($T19&gt;LIMITE_CRITICO,"INVIAVEL - demanda excede a capacidade em 21 h/dia",IF($T19&gt;LIMITE_ATENCAO,"CRITICO - utilizacao acima de "&amp;TEXT(LIMITE_ATENCAO,"0%"),IF($T19&gt;LIMITE_CONFORTAVEL,"ATENCAO - utilizacao acima de "&amp;TEXT(LIMITE_CONFORTAVEL,"0%"),"OK - capacidade suficiente")))</f>
        <v>OK - capacidade suficiente</v>
      </c>
      <c r="W19" s="20" t="n">
        <f aca="false">AUX_MATRIZES!P161</f>
        <v>1.4E-005</v>
      </c>
    </row>
    <row r="20" customFormat="false" ht="15" hidden="false" customHeight="false" outlineLevel="0" collapsed="false">
      <c r="B20" s="16" t="n">
        <f aca="false">SEMANAS!$B$20</f>
        <v>15</v>
      </c>
      <c r="C20" s="17" t="n">
        <f aca="false">SEMANAS!$C$20</f>
        <v>46363</v>
      </c>
      <c r="D20" s="17" t="n">
        <f aca="false">SEMANAS!$D$20</f>
        <v>46369</v>
      </c>
      <c r="E20" s="16" t="n">
        <f aca="false">AUX_MATRIZES!Q140</f>
        <v>0</v>
      </c>
      <c r="F20" s="16" t="n">
        <f aca="false">AUX_MATRIZES!Q156*SEMANAS!$K$20</f>
        <v>4470818.1</v>
      </c>
      <c r="G20" s="19" t="n">
        <f aca="false">IFERROR($E20/$F20,0)</f>
        <v>0</v>
      </c>
      <c r="H20" s="16" t="n">
        <f aca="false">MAX(0,$E20-$F20)</f>
        <v>0</v>
      </c>
      <c r="I20" s="18" t="n">
        <f aca="false">AUX_MATRIZES!Q158</f>
        <v>0</v>
      </c>
      <c r="J20" s="18" t="n">
        <f aca="false">AUX_MATRIZES!Q160</f>
        <v>0</v>
      </c>
      <c r="K20" s="18" t="n">
        <f aca="false">IFERROR(MAX(0,$E20/AUX_MATRIZES!Q156-SEMANAS!$K$20),0)</f>
        <v>0</v>
      </c>
      <c r="L20" s="18" t="n">
        <f aca="false">IFERROR(MAX(0,$E20/SEMANAS!$K$20-AUX_MATRIZES!Q156),0)</f>
        <v>0</v>
      </c>
      <c r="M20" s="8" t="str">
        <f aca="false">IF($G20&gt;LIMITE_CRITICO,"INVIAVEL - demanda excede a capacidade em 21 h/dia",IF($G20&gt;LIMITE_ATENCAO,"CRITICO - utilizacao acima de "&amp;TEXT(LIMITE_ATENCAO,"0%"),IF($G20&gt;LIMITE_CONFORTAVEL,"ATENCAO - utilizacao acima de "&amp;TEXT(LIMITE_CONFORTAVEL,"0%"),"OK - capacidade suficiente")))</f>
        <v>OK - capacidade suficiente</v>
      </c>
      <c r="N20" s="19" t="n">
        <f aca="false">AUX_MATRIZES!Q148</f>
        <v>0</v>
      </c>
      <c r="O20" s="8" t="str">
        <f aca="false">AUX_MATRIZES!Q149</f>
        <v>PV 109</v>
      </c>
      <c r="P20" s="8" t="str">
        <f aca="false">IF($N20&gt;LIMITE_CRITICO,"INVIAVEL - demanda excede a capacidade em 21 h/dia",IF($N20&gt;LIMITE_ATENCAO,"CRITICO - utilizacao acima de "&amp;TEXT(LIMITE_ATENCAO,"0%"),IF($N20&gt;LIMITE_CONFORTAVEL,"ATENCAO - utilizacao acima de "&amp;TEXT(LIMITE_CONFORTAVEL,"0%"),"OK - capacidade suficiente")))</f>
        <v>OK - capacidade suficiente</v>
      </c>
      <c r="Q20" s="19" t="n">
        <f aca="false">AUX_MATRIZES!Q150</f>
        <v>0</v>
      </c>
      <c r="R20" s="8" t="str">
        <f aca="false">AUX_MATRIZES!Q151</f>
        <v>RM01</v>
      </c>
      <c r="S20" s="8" t="str">
        <f aca="false">IF($Q20&gt;LIMITE_CRITICO,"INVIAVEL - demanda excede a capacidade em 21 h/dia",IF($Q20&gt;LIMITE_ATENCAO,"CRITICO - utilizacao acima de "&amp;TEXT(LIMITE_ATENCAO,"0%"),IF($Q20&gt;LIMITE_CONFORTAVEL,"ATENCAO - utilizacao acima de "&amp;TEXT(LIMITE_CONFORTAVEL,"0%"),"OK - capacidade suficiente")))</f>
        <v>OK - capacidade suficiente</v>
      </c>
      <c r="T20" s="19" t="n">
        <f aca="false">AUX_MATRIZES!Q152</f>
        <v>0</v>
      </c>
      <c r="U20" s="8" t="str">
        <f aca="false">AUX_MATRIZES!Q153</f>
        <v>TR01</v>
      </c>
      <c r="V20" s="8" t="str">
        <f aca="false">IF($T20&gt;LIMITE_CRITICO,"INVIAVEL - demanda excede a capacidade em 21 h/dia",IF($T20&gt;LIMITE_ATENCAO,"CRITICO - utilizacao acima de "&amp;TEXT(LIMITE_ATENCAO,"0%"),IF($T20&gt;LIMITE_CONFORTAVEL,"ATENCAO - utilizacao acima de "&amp;TEXT(LIMITE_CONFORTAVEL,"0%"),"OK - capacidade suficiente")))</f>
        <v>OK - capacidade suficiente</v>
      </c>
      <c r="W20" s="20" t="n">
        <f aca="false">AUX_MATRIZES!Q161</f>
        <v>1.5E-005</v>
      </c>
    </row>
    <row r="21" customFormat="false" ht="15" hidden="false" customHeight="false" outlineLevel="0" collapsed="false">
      <c r="B21" s="16" t="n">
        <f aca="false">SEMANAS!$B$21</f>
        <v>16</v>
      </c>
      <c r="C21" s="17" t="n">
        <f aca="false">SEMANAS!$C$21</f>
        <v>46370</v>
      </c>
      <c r="D21" s="17" t="n">
        <f aca="false">SEMANAS!$D$21</f>
        <v>46376</v>
      </c>
      <c r="E21" s="16" t="n">
        <f aca="false">AUX_MATRIZES!R140</f>
        <v>0</v>
      </c>
      <c r="F21" s="16" t="n">
        <f aca="false">AUX_MATRIZES!R156*SEMANAS!$K$21</f>
        <v>4470818.1</v>
      </c>
      <c r="G21" s="19" t="n">
        <f aca="false">IFERROR($E21/$F21,0)</f>
        <v>0</v>
      </c>
      <c r="H21" s="16" t="n">
        <f aca="false">MAX(0,$E21-$F21)</f>
        <v>0</v>
      </c>
      <c r="I21" s="18" t="n">
        <f aca="false">AUX_MATRIZES!R158</f>
        <v>0</v>
      </c>
      <c r="J21" s="18" t="n">
        <f aca="false">AUX_MATRIZES!R160</f>
        <v>0</v>
      </c>
      <c r="K21" s="18" t="n">
        <f aca="false">IFERROR(MAX(0,$E21/AUX_MATRIZES!R156-SEMANAS!$K$21),0)</f>
        <v>0</v>
      </c>
      <c r="L21" s="18" t="n">
        <f aca="false">IFERROR(MAX(0,$E21/SEMANAS!$K$21-AUX_MATRIZES!R156),0)</f>
        <v>0</v>
      </c>
      <c r="M21" s="8" t="str">
        <f aca="false">IF($G21&gt;LIMITE_CRITICO,"INVIAVEL - demanda excede a capacidade em 21 h/dia",IF($G21&gt;LIMITE_ATENCAO,"CRITICO - utilizacao acima de "&amp;TEXT(LIMITE_ATENCAO,"0%"),IF($G21&gt;LIMITE_CONFORTAVEL,"ATENCAO - utilizacao acima de "&amp;TEXT(LIMITE_CONFORTAVEL,"0%"),"OK - capacidade suficiente")))</f>
        <v>OK - capacidade suficiente</v>
      </c>
      <c r="N21" s="19" t="n">
        <f aca="false">AUX_MATRIZES!R148</f>
        <v>0</v>
      </c>
      <c r="O21" s="8" t="str">
        <f aca="false">AUX_MATRIZES!R149</f>
        <v>PV 109</v>
      </c>
      <c r="P21" s="8" t="str">
        <f aca="false">IF($N21&gt;LIMITE_CRITICO,"INVIAVEL - demanda excede a capacidade em 21 h/dia",IF($N21&gt;LIMITE_ATENCAO,"CRITICO - utilizacao acima de "&amp;TEXT(LIMITE_ATENCAO,"0%"),IF($N21&gt;LIMITE_CONFORTAVEL,"ATENCAO - utilizacao acima de "&amp;TEXT(LIMITE_CONFORTAVEL,"0%"),"OK - capacidade suficiente")))</f>
        <v>OK - capacidade suficiente</v>
      </c>
      <c r="Q21" s="19" t="n">
        <f aca="false">AUX_MATRIZES!R150</f>
        <v>0</v>
      </c>
      <c r="R21" s="8" t="str">
        <f aca="false">AUX_MATRIZES!R151</f>
        <v>RM01</v>
      </c>
      <c r="S21" s="8" t="str">
        <f aca="false">IF($Q21&gt;LIMITE_CRITICO,"INVIAVEL - demanda excede a capacidade em 21 h/dia",IF($Q21&gt;LIMITE_ATENCAO,"CRITICO - utilizacao acima de "&amp;TEXT(LIMITE_ATENCAO,"0%"),IF($Q21&gt;LIMITE_CONFORTAVEL,"ATENCAO - utilizacao acima de "&amp;TEXT(LIMITE_CONFORTAVEL,"0%"),"OK - capacidade suficiente")))</f>
        <v>OK - capacidade suficiente</v>
      </c>
      <c r="T21" s="19" t="n">
        <f aca="false">AUX_MATRIZES!R152</f>
        <v>0</v>
      </c>
      <c r="U21" s="8" t="str">
        <f aca="false">AUX_MATRIZES!R153</f>
        <v>TR01</v>
      </c>
      <c r="V21" s="8" t="str">
        <f aca="false">IF($T21&gt;LIMITE_CRITICO,"INVIAVEL - demanda excede a capacidade em 21 h/dia",IF($T21&gt;LIMITE_ATENCAO,"CRITICO - utilizacao acima de "&amp;TEXT(LIMITE_ATENCAO,"0%"),IF($T21&gt;LIMITE_CONFORTAVEL,"ATENCAO - utilizacao acima de "&amp;TEXT(LIMITE_CONFORTAVEL,"0%"),"OK - capacidade suficiente")))</f>
        <v>OK - capacidade suficiente</v>
      </c>
      <c r="W21" s="20" t="n">
        <f aca="false">AUX_MATRIZES!R161</f>
        <v>1.6E-005</v>
      </c>
    </row>
    <row r="22" customFormat="false" ht="15" hidden="false" customHeight="false" outlineLevel="0" collapsed="false">
      <c r="B22" s="16" t="n">
        <f aca="false">SEMANAS!$B$22</f>
        <v>17</v>
      </c>
      <c r="C22" s="17" t="n">
        <f aca="false">SEMANAS!$C$22</f>
        <v>46377</v>
      </c>
      <c r="D22" s="17" t="n">
        <f aca="false">SEMANAS!$D$22</f>
        <v>46383</v>
      </c>
      <c r="E22" s="16" t="n">
        <f aca="false">AUX_MATRIZES!S140</f>
        <v>0</v>
      </c>
      <c r="F22" s="16" t="n">
        <f aca="false">AUX_MATRIZES!S156*SEMANAS!$K$22</f>
        <v>4470818.1</v>
      </c>
      <c r="G22" s="19" t="n">
        <f aca="false">IFERROR($E22/$F22,0)</f>
        <v>0</v>
      </c>
      <c r="H22" s="16" t="n">
        <f aca="false">MAX(0,$E22-$F22)</f>
        <v>0</v>
      </c>
      <c r="I22" s="18" t="n">
        <f aca="false">AUX_MATRIZES!S158</f>
        <v>0</v>
      </c>
      <c r="J22" s="18" t="n">
        <f aca="false">AUX_MATRIZES!S160</f>
        <v>0</v>
      </c>
      <c r="K22" s="18" t="n">
        <f aca="false">IFERROR(MAX(0,$E22/AUX_MATRIZES!S156-SEMANAS!$K$22),0)</f>
        <v>0</v>
      </c>
      <c r="L22" s="18" t="n">
        <f aca="false">IFERROR(MAX(0,$E22/SEMANAS!$K$22-AUX_MATRIZES!S156),0)</f>
        <v>0</v>
      </c>
      <c r="M22" s="8" t="str">
        <f aca="false">IF($G22&gt;LIMITE_CRITICO,"INVIAVEL - demanda excede a capacidade em 21 h/dia",IF($G22&gt;LIMITE_ATENCAO,"CRITICO - utilizacao acima de "&amp;TEXT(LIMITE_ATENCAO,"0%"),IF($G22&gt;LIMITE_CONFORTAVEL,"ATENCAO - utilizacao acima de "&amp;TEXT(LIMITE_CONFORTAVEL,"0%"),"OK - capacidade suficiente")))</f>
        <v>OK - capacidade suficiente</v>
      </c>
      <c r="N22" s="19" t="n">
        <f aca="false">AUX_MATRIZES!S148</f>
        <v>0</v>
      </c>
      <c r="O22" s="8" t="str">
        <f aca="false">AUX_MATRIZES!S149</f>
        <v>PV 109</v>
      </c>
      <c r="P22" s="8" t="str">
        <f aca="false">IF($N22&gt;LIMITE_CRITICO,"INVIAVEL - demanda excede a capacidade em 21 h/dia",IF($N22&gt;LIMITE_ATENCAO,"CRITICO - utilizacao acima de "&amp;TEXT(LIMITE_ATENCAO,"0%"),IF($N22&gt;LIMITE_CONFORTAVEL,"ATENCAO - utilizacao acima de "&amp;TEXT(LIMITE_CONFORTAVEL,"0%"),"OK - capacidade suficiente")))</f>
        <v>OK - capacidade suficiente</v>
      </c>
      <c r="Q22" s="19" t="n">
        <f aca="false">AUX_MATRIZES!S150</f>
        <v>0</v>
      </c>
      <c r="R22" s="8" t="str">
        <f aca="false">AUX_MATRIZES!S151</f>
        <v>RM01</v>
      </c>
      <c r="S22" s="8" t="str">
        <f aca="false">IF($Q22&gt;LIMITE_CRITICO,"INVIAVEL - demanda excede a capacidade em 21 h/dia",IF($Q22&gt;LIMITE_ATENCAO,"CRITICO - utilizacao acima de "&amp;TEXT(LIMITE_ATENCAO,"0%"),IF($Q22&gt;LIMITE_CONFORTAVEL,"ATENCAO - utilizacao acima de "&amp;TEXT(LIMITE_CONFORTAVEL,"0%"),"OK - capacidade suficiente")))</f>
        <v>OK - capacidade suficiente</v>
      </c>
      <c r="T22" s="19" t="n">
        <f aca="false">AUX_MATRIZES!S152</f>
        <v>0</v>
      </c>
      <c r="U22" s="8" t="str">
        <f aca="false">AUX_MATRIZES!S153</f>
        <v>TR01</v>
      </c>
      <c r="V22" s="8" t="str">
        <f aca="false">IF($T22&gt;LIMITE_CRITICO,"INVIAVEL - demanda excede a capacidade em 21 h/dia",IF($T22&gt;LIMITE_ATENCAO,"CRITICO - utilizacao acima de "&amp;TEXT(LIMITE_ATENCAO,"0%"),IF($T22&gt;LIMITE_CONFORTAVEL,"ATENCAO - utilizacao acima de "&amp;TEXT(LIMITE_CONFORTAVEL,"0%"),"OK - capacidade suficiente")))</f>
        <v>OK - capacidade suficiente</v>
      </c>
      <c r="W22" s="20" t="n">
        <f aca="false">AUX_MATRIZES!S161</f>
        <v>1.7E-005</v>
      </c>
    </row>
    <row r="23" customFormat="false" ht="15" hidden="false" customHeight="false" outlineLevel="0" collapsed="false">
      <c r="B23" s="16" t="n">
        <f aca="false">SEMANAS!$B$23</f>
        <v>18</v>
      </c>
      <c r="C23" s="17" t="n">
        <f aca="false">SEMANAS!$C$23</f>
        <v>46384</v>
      </c>
      <c r="D23" s="17" t="n">
        <f aca="false">SEMANAS!$D$23</f>
        <v>46390</v>
      </c>
      <c r="E23" s="16" t="n">
        <f aca="false">AUX_MATRIZES!T140</f>
        <v>6872.85239927402</v>
      </c>
      <c r="F23" s="16" t="n">
        <f aca="false">AUX_MATRIZES!T156*SEMANAS!$K$23</f>
        <v>4470818.1</v>
      </c>
      <c r="G23" s="19" t="n">
        <f aca="false">IFERROR($E23/$F23,0)</f>
        <v>0.00153726952104672</v>
      </c>
      <c r="H23" s="16" t="n">
        <f aca="false">MAX(0,$E23-$F23)</f>
        <v>0</v>
      </c>
      <c r="I23" s="18" t="n">
        <f aca="false">AUX_MATRIZES!T158</f>
        <v>0</v>
      </c>
      <c r="J23" s="18" t="n">
        <f aca="false">AUX_MATRIZES!T160</f>
        <v>0</v>
      </c>
      <c r="K23" s="18" t="n">
        <f aca="false">IFERROR(MAX(0,$E23/AUX_MATRIZES!T156-SEMANAS!$K$23),0)</f>
        <v>0</v>
      </c>
      <c r="L23" s="18" t="n">
        <f aca="false">IFERROR(MAX(0,$E23/SEMANAS!$K$23-AUX_MATRIZES!T156),0)</f>
        <v>0</v>
      </c>
      <c r="M23" s="8" t="str">
        <f aca="false">IF($G23&gt;LIMITE_CRITICO,"INVIAVEL - demanda excede a capacidade em 21 h/dia",IF($G23&gt;LIMITE_ATENCAO,"CRITICO - utilizacao acima de "&amp;TEXT(LIMITE_ATENCAO,"0%"),IF($G23&gt;LIMITE_CONFORTAVEL,"ATENCAO - utilizacao acima de "&amp;TEXT(LIMITE_CONFORTAVEL,"0%"),"OK - capacidade suficiente")))</f>
        <v>OK - capacidade suficiente</v>
      </c>
      <c r="N23" s="19" t="n">
        <f aca="false">AUX_MATRIZES!T148</f>
        <v>0.00636069812540397</v>
      </c>
      <c r="O23" s="8" t="str">
        <f aca="false">AUX_MATRIZES!T149</f>
        <v>PV 113</v>
      </c>
      <c r="P23" s="8" t="str">
        <f aca="false">IF($N23&gt;LIMITE_CRITICO,"INVIAVEL - demanda excede a capacidade em 21 h/dia",IF($N23&gt;LIMITE_ATENCAO,"CRITICO - utilizacao acima de "&amp;TEXT(LIMITE_ATENCAO,"0%"),IF($N23&gt;LIMITE_CONFORTAVEL,"ATENCAO - utilizacao acima de "&amp;TEXT(LIMITE_CONFORTAVEL,"0%"),"OK - capacidade suficiente")))</f>
        <v>OK - capacidade suficiente</v>
      </c>
      <c r="Q23" s="19" t="n">
        <f aca="false">AUX_MATRIZES!T150</f>
        <v>0.00330375959030853</v>
      </c>
      <c r="R23" s="8" t="str">
        <f aca="false">AUX_MATRIZES!T151</f>
        <v>RM07</v>
      </c>
      <c r="S23" s="8" t="str">
        <f aca="false">IF($Q23&gt;LIMITE_CRITICO,"INVIAVEL - demanda excede a capacidade em 21 h/dia",IF($Q23&gt;LIMITE_ATENCAO,"CRITICO - utilizacao acima de "&amp;TEXT(LIMITE_ATENCAO,"0%"),IF($Q23&gt;LIMITE_CONFORTAVEL,"ATENCAO - utilizacao acima de "&amp;TEXT(LIMITE_CONFORTAVEL,"0%"),"OK - capacidade suficiente")))</f>
        <v>OK - capacidade suficiente</v>
      </c>
      <c r="T23" s="19" t="n">
        <f aca="false">AUX_MATRIZES!T152</f>
        <v>0.00330375959030853</v>
      </c>
      <c r="U23" s="8" t="str">
        <f aca="false">AUX_MATRIZES!T153</f>
        <v>TR07</v>
      </c>
      <c r="V23" s="8" t="str">
        <f aca="false">IF($T23&gt;LIMITE_CRITICO,"INVIAVEL - demanda excede a capacidade em 21 h/dia",IF($T23&gt;LIMITE_ATENCAO,"CRITICO - utilizacao acima de "&amp;TEXT(LIMITE_ATENCAO,"0%"),IF($T23&gt;LIMITE_CONFORTAVEL,"ATENCAO - utilizacao acima de "&amp;TEXT(LIMITE_CONFORTAVEL,"0%"),"OK - capacidade suficiente")))</f>
        <v>OK - capacidade suficiente</v>
      </c>
      <c r="W23" s="20" t="n">
        <f aca="false">AUX_MATRIZES!T161</f>
        <v>6872.85241727402</v>
      </c>
    </row>
    <row r="24" customFormat="false" ht="15" hidden="false" customHeight="false" outlineLevel="0" collapsed="false">
      <c r="B24" s="16" t="n">
        <f aca="false">SEMANAS!$B$24</f>
        <v>19</v>
      </c>
      <c r="C24" s="17" t="n">
        <f aca="false">SEMANAS!$C$24</f>
        <v>46391</v>
      </c>
      <c r="D24" s="17" t="n">
        <f aca="false">SEMANAS!$D$24</f>
        <v>46397</v>
      </c>
      <c r="E24" s="16" t="n">
        <f aca="false">AUX_MATRIZES!U140</f>
        <v>32485.1717647058</v>
      </c>
      <c r="F24" s="16" t="n">
        <f aca="false">AUX_MATRIZES!U156*SEMANAS!$K$24</f>
        <v>4470818.1</v>
      </c>
      <c r="G24" s="19" t="n">
        <f aca="false">IFERROR($E24/$F24,0)</f>
        <v>0.00726604640092735</v>
      </c>
      <c r="H24" s="16" t="n">
        <f aca="false">MAX(0,$E24-$F24)</f>
        <v>0</v>
      </c>
      <c r="I24" s="18" t="n">
        <f aca="false">AUX_MATRIZES!U158</f>
        <v>0</v>
      </c>
      <c r="J24" s="18" t="n">
        <f aca="false">AUX_MATRIZES!U160</f>
        <v>0</v>
      </c>
      <c r="K24" s="18" t="n">
        <f aca="false">IFERROR(MAX(0,$E24/AUX_MATRIZES!U156-SEMANAS!$K$24),0)</f>
        <v>0</v>
      </c>
      <c r="L24" s="18" t="n">
        <f aca="false">IFERROR(MAX(0,$E24/SEMANAS!$K$24-AUX_MATRIZES!U156),0)</f>
        <v>0</v>
      </c>
      <c r="M24" s="8" t="str">
        <f aca="false">IF($G24&gt;LIMITE_CRITICO,"INVIAVEL - demanda excede a capacidade em 21 h/dia",IF($G24&gt;LIMITE_ATENCAO,"CRITICO - utilizacao acima de "&amp;TEXT(LIMITE_ATENCAO,"0%"),IF($G24&gt;LIMITE_CONFORTAVEL,"ATENCAO - utilizacao acima de "&amp;TEXT(LIMITE_CONFORTAVEL,"0%"),"OK - capacidade suficiente")))</f>
        <v>OK - capacidade suficiente</v>
      </c>
      <c r="N24" s="19" t="n">
        <f aca="false">AUX_MATRIZES!U148</f>
        <v>0.0325791855203619</v>
      </c>
      <c r="O24" s="8" t="str">
        <f aca="false">AUX_MATRIZES!U149</f>
        <v>PV 113</v>
      </c>
      <c r="P24" s="8" t="str">
        <f aca="false">IF($N24&gt;LIMITE_CRITICO,"INVIAVEL - demanda excede a capacidade em 21 h/dia",IF($N24&gt;LIMITE_ATENCAO,"CRITICO - utilizacao acima de "&amp;TEXT(LIMITE_ATENCAO,"0%"),IF($N24&gt;LIMITE_CONFORTAVEL,"ATENCAO - utilizacao acima de "&amp;TEXT(LIMITE_CONFORTAVEL,"0%"),"OK - capacidade suficiente")))</f>
        <v>OK - capacidade suficiente</v>
      </c>
      <c r="Q24" s="19" t="n">
        <f aca="false">AUX_MATRIZES!U150</f>
        <v>0.0169216954625559</v>
      </c>
      <c r="R24" s="8" t="str">
        <f aca="false">AUX_MATRIZES!U151</f>
        <v>RM07</v>
      </c>
      <c r="S24" s="8" t="str">
        <f aca="false">IF($Q24&gt;LIMITE_CRITICO,"INVIAVEL - demanda excede a capacidade em 21 h/dia",IF($Q24&gt;LIMITE_ATENCAO,"CRITICO - utilizacao acima de "&amp;TEXT(LIMITE_ATENCAO,"0%"),IF($Q24&gt;LIMITE_CONFORTAVEL,"ATENCAO - utilizacao acima de "&amp;TEXT(LIMITE_CONFORTAVEL,"0%"),"OK - capacidade suficiente")))</f>
        <v>OK - capacidade suficiente</v>
      </c>
      <c r="T24" s="19" t="n">
        <f aca="false">AUX_MATRIZES!U152</f>
        <v>0.0169216954625559</v>
      </c>
      <c r="U24" s="8" t="str">
        <f aca="false">AUX_MATRIZES!U153</f>
        <v>TR07</v>
      </c>
      <c r="V24" s="8" t="str">
        <f aca="false">IF($T24&gt;LIMITE_CRITICO,"INVIAVEL - demanda excede a capacidade em 21 h/dia",IF($T24&gt;LIMITE_ATENCAO,"CRITICO - utilizacao acima de "&amp;TEXT(LIMITE_ATENCAO,"0%"),IF($T24&gt;LIMITE_CONFORTAVEL,"ATENCAO - utilizacao acima de "&amp;TEXT(LIMITE_CONFORTAVEL,"0%"),"OK - capacidade suficiente")))</f>
        <v>OK - capacidade suficiente</v>
      </c>
      <c r="W24" s="20" t="n">
        <f aca="false">AUX_MATRIZES!U161</f>
        <v>32485.1717837058</v>
      </c>
    </row>
    <row r="25" customFormat="false" ht="15" hidden="false" customHeight="false" outlineLevel="0" collapsed="false">
      <c r="B25" s="16" t="n">
        <f aca="false">SEMANAS!$B$25</f>
        <v>20</v>
      </c>
      <c r="C25" s="17" t="n">
        <f aca="false">SEMANAS!$C$25</f>
        <v>46398</v>
      </c>
      <c r="D25" s="17" t="n">
        <f aca="false">SEMANAS!$D$25</f>
        <v>46404</v>
      </c>
      <c r="E25" s="16" t="n">
        <f aca="false">AUX_MATRIZES!V140</f>
        <v>32345.2950400341</v>
      </c>
      <c r="F25" s="16" t="n">
        <f aca="false">AUX_MATRIZES!V156*SEMANAS!$K$25</f>
        <v>4470818.1</v>
      </c>
      <c r="G25" s="19" t="n">
        <f aca="false">IFERROR($E25/$F25,0)</f>
        <v>0.00723475979486486</v>
      </c>
      <c r="H25" s="16" t="n">
        <f aca="false">MAX(0,$E25-$F25)</f>
        <v>0</v>
      </c>
      <c r="I25" s="18" t="n">
        <f aca="false">AUX_MATRIZES!V158</f>
        <v>0</v>
      </c>
      <c r="J25" s="18" t="n">
        <f aca="false">AUX_MATRIZES!V160</f>
        <v>0</v>
      </c>
      <c r="K25" s="18" t="n">
        <f aca="false">IFERROR(MAX(0,$E25/AUX_MATRIZES!V156-SEMANAS!$K$25),0)</f>
        <v>0</v>
      </c>
      <c r="L25" s="18" t="n">
        <f aca="false">IFERROR(MAX(0,$E25/SEMANAS!$K$25-AUX_MATRIZES!V156),0)</f>
        <v>0</v>
      </c>
      <c r="M25" s="8" t="str">
        <f aca="false">IF($G25&gt;LIMITE_CRITICO,"INVIAVEL - demanda excede a capacidade em 21 h/dia",IF($G25&gt;LIMITE_ATENCAO,"CRITICO - utilizacao acima de "&amp;TEXT(LIMITE_ATENCAO,"0%"),IF($G25&gt;LIMITE_CONFORTAVEL,"ATENCAO - utilizacao acima de "&amp;TEXT(LIMITE_CONFORTAVEL,"0%"),"OK - capacidade suficiente")))</f>
        <v>OK - capacidade suficiente</v>
      </c>
      <c r="N25" s="19" t="n">
        <f aca="false">AUX_MATRIZES!V148</f>
        <v>0.0320667482405499</v>
      </c>
      <c r="O25" s="8" t="str">
        <f aca="false">AUX_MATRIZES!V149</f>
        <v>PV 113</v>
      </c>
      <c r="P25" s="8" t="str">
        <f aca="false">IF($N25&gt;LIMITE_CRITICO,"INVIAVEL - demanda excede a capacidade em 21 h/dia",IF($N25&gt;LIMITE_ATENCAO,"CRITICO - utilizacao acima de "&amp;TEXT(LIMITE_ATENCAO,"0%"),IF($N25&gt;LIMITE_CONFORTAVEL,"ATENCAO - utilizacao acima de "&amp;TEXT(LIMITE_CONFORTAVEL,"0%"),"OK - capacidade suficiente")))</f>
        <v>OK - capacidade suficiente</v>
      </c>
      <c r="Q25" s="19" t="n">
        <f aca="false">AUX_MATRIZES!V150</f>
        <v>0.0169216954625559</v>
      </c>
      <c r="R25" s="8" t="str">
        <f aca="false">AUX_MATRIZES!V151</f>
        <v>RM07</v>
      </c>
      <c r="S25" s="8" t="str">
        <f aca="false">IF($Q25&gt;LIMITE_CRITICO,"INVIAVEL - demanda excede a capacidade em 21 h/dia",IF($Q25&gt;LIMITE_ATENCAO,"CRITICO - utilizacao acima de "&amp;TEXT(LIMITE_ATENCAO,"0%"),IF($Q25&gt;LIMITE_CONFORTAVEL,"ATENCAO - utilizacao acima de "&amp;TEXT(LIMITE_CONFORTAVEL,"0%"),"OK - capacidade suficiente")))</f>
        <v>OK - capacidade suficiente</v>
      </c>
      <c r="T25" s="19" t="n">
        <f aca="false">AUX_MATRIZES!V152</f>
        <v>0.0169216954625559</v>
      </c>
      <c r="U25" s="8" t="str">
        <f aca="false">AUX_MATRIZES!V153</f>
        <v>TR07</v>
      </c>
      <c r="V25" s="8" t="str">
        <f aca="false">IF($T25&gt;LIMITE_CRITICO,"INVIAVEL - demanda excede a capacidade em 21 h/dia",IF($T25&gt;LIMITE_ATENCAO,"CRITICO - utilizacao acima de "&amp;TEXT(LIMITE_ATENCAO,"0%"),IF($T25&gt;LIMITE_CONFORTAVEL,"ATENCAO - utilizacao acima de "&amp;TEXT(LIMITE_CONFORTAVEL,"0%"),"OK - capacidade suficiente")))</f>
        <v>OK - capacidade suficiente</v>
      </c>
      <c r="W25" s="20" t="n">
        <f aca="false">AUX_MATRIZES!V161</f>
        <v>32345.2950600341</v>
      </c>
    </row>
    <row r="26" customFormat="false" ht="15" hidden="false" customHeight="false" outlineLevel="0" collapsed="false">
      <c r="B26" s="16" t="n">
        <f aca="false">SEMANAS!$B$26</f>
        <v>21</v>
      </c>
      <c r="C26" s="17" t="n">
        <f aca="false">SEMANAS!$C$26</f>
        <v>46405</v>
      </c>
      <c r="D26" s="17" t="n">
        <f aca="false">SEMANAS!$D$26</f>
        <v>46411</v>
      </c>
      <c r="E26" s="16" t="n">
        <f aca="false">AUX_MATRIZES!W140</f>
        <v>8508.71637009591</v>
      </c>
      <c r="F26" s="16" t="n">
        <f aca="false">AUX_MATRIZES!W156*SEMANAS!$K$26</f>
        <v>4470818.1</v>
      </c>
      <c r="G26" s="19" t="n">
        <f aca="false">IFERROR($E26/$F26,0)</f>
        <v>0.00190316764846593</v>
      </c>
      <c r="H26" s="16" t="n">
        <f aca="false">MAX(0,$E26-$F26)</f>
        <v>0</v>
      </c>
      <c r="I26" s="18" t="n">
        <f aca="false">AUX_MATRIZES!W158</f>
        <v>0</v>
      </c>
      <c r="J26" s="18" t="n">
        <f aca="false">AUX_MATRIZES!W160</f>
        <v>0</v>
      </c>
      <c r="K26" s="18" t="n">
        <f aca="false">IFERROR(MAX(0,$E26/AUX_MATRIZES!W156-SEMANAS!$K$26),0)</f>
        <v>0</v>
      </c>
      <c r="L26" s="18" t="n">
        <f aca="false">IFERROR(MAX(0,$E26/SEMANAS!$K$26-AUX_MATRIZES!W156),0)</f>
        <v>0</v>
      </c>
      <c r="M26" s="8" t="str">
        <f aca="false">IF($G26&gt;LIMITE_CRITICO,"INVIAVEL - demanda excede a capacidade em 21 h/dia",IF($G26&gt;LIMITE_ATENCAO,"CRITICO - utilizacao acima de "&amp;TEXT(LIMITE_ATENCAO,"0%"),IF($G26&gt;LIMITE_CONFORTAVEL,"ATENCAO - utilizacao acima de "&amp;TEXT(LIMITE_CONFORTAVEL,"0%"),"OK - capacidade suficiente")))</f>
        <v>OK - capacidade suficiente</v>
      </c>
      <c r="N26" s="19" t="n">
        <f aca="false">AUX_MATRIZES!W148</f>
        <v>0.028235294117647</v>
      </c>
      <c r="O26" s="8" t="str">
        <f aca="false">AUX_MATRIZES!W149</f>
        <v>PV 124</v>
      </c>
      <c r="P26" s="8" t="str">
        <f aca="false">IF($N26&gt;LIMITE_CRITICO,"INVIAVEL - demanda excede a capacidade em 21 h/dia",IF($N26&gt;LIMITE_ATENCAO,"CRITICO - utilizacao acima de "&amp;TEXT(LIMITE_ATENCAO,"0%"),IF($N26&gt;LIMITE_CONFORTAVEL,"ATENCAO - utilizacao acima de "&amp;TEXT(LIMITE_CONFORTAVEL,"0%"),"OK - capacidade suficiente")))</f>
        <v>OK - capacidade suficiente</v>
      </c>
      <c r="Q26" s="19" t="n">
        <f aca="false">AUX_MATRIZES!W150</f>
        <v>0.00697487050490181</v>
      </c>
      <c r="R26" s="8" t="str">
        <f aca="false">AUX_MATRIZES!W151</f>
        <v>RM07</v>
      </c>
      <c r="S26" s="8" t="str">
        <f aca="false">IF($Q26&gt;LIMITE_CRITICO,"INVIAVEL - demanda excede a capacidade em 21 h/dia",IF($Q26&gt;LIMITE_ATENCAO,"CRITICO - utilizacao acima de "&amp;TEXT(LIMITE_ATENCAO,"0%"),IF($Q26&gt;LIMITE_CONFORTAVEL,"ATENCAO - utilizacao acima de "&amp;TEXT(LIMITE_CONFORTAVEL,"0%"),"OK - capacidade suficiente")))</f>
        <v>OK - capacidade suficiente</v>
      </c>
      <c r="T26" s="19" t="n">
        <f aca="false">AUX_MATRIZES!W152</f>
        <v>0.00697487050490181</v>
      </c>
      <c r="U26" s="8" t="str">
        <f aca="false">AUX_MATRIZES!W153</f>
        <v>TR07</v>
      </c>
      <c r="V26" s="8" t="str">
        <f aca="false">IF($T26&gt;LIMITE_CRITICO,"INVIAVEL - demanda excede a capacidade em 21 h/dia",IF($T26&gt;LIMITE_ATENCAO,"CRITICO - utilizacao acima de "&amp;TEXT(LIMITE_ATENCAO,"0%"),IF($T26&gt;LIMITE_CONFORTAVEL,"ATENCAO - utilizacao acima de "&amp;TEXT(LIMITE_CONFORTAVEL,"0%"),"OK - capacidade suficiente")))</f>
        <v>OK - capacidade suficiente</v>
      </c>
      <c r="W26" s="20" t="n">
        <f aca="false">AUX_MATRIZES!W161</f>
        <v>8508.71639109591</v>
      </c>
    </row>
    <row r="27" customFormat="false" ht="15" hidden="false" customHeight="false" outlineLevel="0" collapsed="false">
      <c r="B27" s="16" t="n">
        <f aca="false">SEMANAS!$B$27</f>
        <v>22</v>
      </c>
      <c r="C27" s="17" t="n">
        <f aca="false">SEMANAS!$C$27</f>
        <v>46412</v>
      </c>
      <c r="D27" s="17" t="n">
        <f aca="false">SEMANAS!$D$27</f>
        <v>46418</v>
      </c>
      <c r="E27" s="16" t="n">
        <f aca="false">AUX_MATRIZES!X140</f>
        <v>0</v>
      </c>
      <c r="F27" s="16" t="n">
        <f aca="false">AUX_MATRIZES!X156*SEMANAS!$K$27</f>
        <v>4470818.1</v>
      </c>
      <c r="G27" s="19" t="n">
        <f aca="false">IFERROR($E27/$F27,0)</f>
        <v>0</v>
      </c>
      <c r="H27" s="16" t="n">
        <f aca="false">MAX(0,$E27-$F27)</f>
        <v>0</v>
      </c>
      <c r="I27" s="18" t="n">
        <f aca="false">AUX_MATRIZES!X158</f>
        <v>0</v>
      </c>
      <c r="J27" s="18" t="n">
        <f aca="false">AUX_MATRIZES!X160</f>
        <v>0</v>
      </c>
      <c r="K27" s="18" t="n">
        <f aca="false">IFERROR(MAX(0,$E27/AUX_MATRIZES!X156-SEMANAS!$K$27),0)</f>
        <v>0</v>
      </c>
      <c r="L27" s="18" t="n">
        <f aca="false">IFERROR(MAX(0,$E27/SEMANAS!$K$27-AUX_MATRIZES!X156),0)</f>
        <v>0</v>
      </c>
      <c r="M27" s="8" t="str">
        <f aca="false">IF($G27&gt;LIMITE_CRITICO,"INVIAVEL - demanda excede a capacidade em 21 h/dia",IF($G27&gt;LIMITE_ATENCAO,"CRITICO - utilizacao acima de "&amp;TEXT(LIMITE_ATENCAO,"0%"),IF($G27&gt;LIMITE_CONFORTAVEL,"ATENCAO - utilizacao acima de "&amp;TEXT(LIMITE_CONFORTAVEL,"0%"),"OK - capacidade suficiente")))</f>
        <v>OK - capacidade suficiente</v>
      </c>
      <c r="N27" s="19" t="n">
        <f aca="false">AUX_MATRIZES!X148</f>
        <v>0</v>
      </c>
      <c r="O27" s="8" t="str">
        <f aca="false">AUX_MATRIZES!X149</f>
        <v>PV 109</v>
      </c>
      <c r="P27" s="8" t="str">
        <f aca="false">IF($N27&gt;LIMITE_CRITICO,"INVIAVEL - demanda excede a capacidade em 21 h/dia",IF($N27&gt;LIMITE_ATENCAO,"CRITICO - utilizacao acima de "&amp;TEXT(LIMITE_ATENCAO,"0%"),IF($N27&gt;LIMITE_CONFORTAVEL,"ATENCAO - utilizacao acima de "&amp;TEXT(LIMITE_CONFORTAVEL,"0%"),"OK - capacidade suficiente")))</f>
        <v>OK - capacidade suficiente</v>
      </c>
      <c r="Q27" s="19" t="n">
        <f aca="false">AUX_MATRIZES!X150</f>
        <v>0</v>
      </c>
      <c r="R27" s="8" t="str">
        <f aca="false">AUX_MATRIZES!X151</f>
        <v>RM01</v>
      </c>
      <c r="S27" s="8" t="str">
        <f aca="false">IF($Q27&gt;LIMITE_CRITICO,"INVIAVEL - demanda excede a capacidade em 21 h/dia",IF($Q27&gt;LIMITE_ATENCAO,"CRITICO - utilizacao acima de "&amp;TEXT(LIMITE_ATENCAO,"0%"),IF($Q27&gt;LIMITE_CONFORTAVEL,"ATENCAO - utilizacao acima de "&amp;TEXT(LIMITE_CONFORTAVEL,"0%"),"OK - capacidade suficiente")))</f>
        <v>OK - capacidade suficiente</v>
      </c>
      <c r="T27" s="19" t="n">
        <f aca="false">AUX_MATRIZES!X152</f>
        <v>0</v>
      </c>
      <c r="U27" s="8" t="str">
        <f aca="false">AUX_MATRIZES!X153</f>
        <v>TR01</v>
      </c>
      <c r="V27" s="8" t="str">
        <f aca="false">IF($T27&gt;LIMITE_CRITICO,"INVIAVEL - demanda excede a capacidade em 21 h/dia",IF($T27&gt;LIMITE_ATENCAO,"CRITICO - utilizacao acima de "&amp;TEXT(LIMITE_ATENCAO,"0%"),IF($T27&gt;LIMITE_CONFORTAVEL,"ATENCAO - utilizacao acima de "&amp;TEXT(LIMITE_CONFORTAVEL,"0%"),"OK - capacidade suficiente")))</f>
        <v>OK - capacidade suficiente</v>
      </c>
      <c r="W27" s="20" t="n">
        <f aca="false">AUX_MATRIZES!X161</f>
        <v>2.2E-005</v>
      </c>
    </row>
    <row r="28" customFormat="false" ht="15" hidden="false" customHeight="false" outlineLevel="0" collapsed="false">
      <c r="B28" s="16" t="n">
        <f aca="false">SEMANAS!$B$28</f>
        <v>23</v>
      </c>
      <c r="C28" s="17" t="n">
        <f aca="false">SEMANAS!$C$28</f>
        <v>46419</v>
      </c>
      <c r="D28" s="17" t="n">
        <f aca="false">SEMANAS!$D$28</f>
        <v>46425</v>
      </c>
      <c r="E28" s="16" t="n">
        <f aca="false">AUX_MATRIZES!Y140</f>
        <v>6937.73129411765</v>
      </c>
      <c r="F28" s="16" t="n">
        <f aca="false">AUX_MATRIZES!Y156*SEMANAS!$K$28</f>
        <v>4470818.1</v>
      </c>
      <c r="G28" s="19" t="n">
        <f aca="false">IFERROR($E28/$F28,0)</f>
        <v>0.00155178115927321</v>
      </c>
      <c r="H28" s="16" t="n">
        <f aca="false">MAX(0,$E28-$F28)</f>
        <v>0</v>
      </c>
      <c r="I28" s="18" t="n">
        <f aca="false">AUX_MATRIZES!Y158</f>
        <v>0</v>
      </c>
      <c r="J28" s="18" t="n">
        <f aca="false">AUX_MATRIZES!Y160</f>
        <v>0</v>
      </c>
      <c r="K28" s="18" t="n">
        <f aca="false">IFERROR(MAX(0,$E28/AUX_MATRIZES!Y156-SEMANAS!$K$28),0)</f>
        <v>0</v>
      </c>
      <c r="L28" s="18" t="n">
        <f aca="false">IFERROR(MAX(0,$E28/SEMANAS!$K$28-AUX_MATRIZES!Y156),0)</f>
        <v>0</v>
      </c>
      <c r="M28" s="8" t="str">
        <f aca="false">IF($G28&gt;LIMITE_CRITICO,"INVIAVEL - demanda excede a capacidade em 21 h/dia",IF($G28&gt;LIMITE_ATENCAO,"CRITICO - utilizacao acima de "&amp;TEXT(LIMITE_ATENCAO,"0%"),IF($G28&gt;LIMITE_CONFORTAVEL,"ATENCAO - utilizacao acima de "&amp;TEXT(LIMITE_CONFORTAVEL,"0%"),"OK - capacidade suficiente")))</f>
        <v>OK - capacidade suficiente</v>
      </c>
      <c r="N28" s="19" t="n">
        <f aca="false">AUX_MATRIZES!Y148</f>
        <v>0.0505882352941177</v>
      </c>
      <c r="O28" s="8" t="str">
        <f aca="false">AUX_MATRIZES!Y149</f>
        <v>PV 128</v>
      </c>
      <c r="P28" s="8" t="str">
        <f aca="false">IF($N28&gt;LIMITE_CRITICO,"INVIAVEL - demanda excede a capacidade em 21 h/dia",IF($N28&gt;LIMITE_ATENCAO,"CRITICO - utilizacao acima de "&amp;TEXT(LIMITE_ATENCAO,"0%"),IF($N28&gt;LIMITE_CONFORTAVEL,"ATENCAO - utilizacao acima de "&amp;TEXT(LIMITE_CONFORTAVEL,"0%"),"OK - capacidade suficiente")))</f>
        <v>OK - capacidade suficiente</v>
      </c>
      <c r="Q28" s="19" t="n">
        <f aca="false">AUX_MATRIZES!Y150</f>
        <v>0.00690844226230239</v>
      </c>
      <c r="R28" s="8" t="str">
        <f aca="false">AUX_MATRIZES!Y151</f>
        <v>RM06</v>
      </c>
      <c r="S28" s="8" t="str">
        <f aca="false">IF($Q28&gt;LIMITE_CRITICO,"INVIAVEL - demanda excede a capacidade em 21 h/dia",IF($Q28&gt;LIMITE_ATENCAO,"CRITICO - utilizacao acima de "&amp;TEXT(LIMITE_ATENCAO,"0%"),IF($Q28&gt;LIMITE_CONFORTAVEL,"ATENCAO - utilizacao acima de "&amp;TEXT(LIMITE_CONFORTAVEL,"0%"),"OK - capacidade suficiente")))</f>
        <v>OK - capacidade suficiente</v>
      </c>
      <c r="T28" s="19" t="n">
        <f aca="false">AUX_MATRIZES!Y152</f>
        <v>0.00690844226230239</v>
      </c>
      <c r="U28" s="8" t="str">
        <f aca="false">AUX_MATRIZES!Y153</f>
        <v>TR06</v>
      </c>
      <c r="V28" s="8" t="str">
        <f aca="false">IF($T28&gt;LIMITE_CRITICO,"INVIAVEL - demanda excede a capacidade em 21 h/dia",IF($T28&gt;LIMITE_ATENCAO,"CRITICO - utilizacao acima de "&amp;TEXT(LIMITE_ATENCAO,"0%"),IF($T28&gt;LIMITE_CONFORTAVEL,"ATENCAO - utilizacao acima de "&amp;TEXT(LIMITE_CONFORTAVEL,"0%"),"OK - capacidade suficiente")))</f>
        <v>OK - capacidade suficiente</v>
      </c>
      <c r="W28" s="20" t="n">
        <f aca="false">AUX_MATRIZES!Y161</f>
        <v>6937.73131711765</v>
      </c>
    </row>
    <row r="29" customFormat="false" ht="15" hidden="false" customHeight="false" outlineLevel="0" collapsed="false">
      <c r="B29" s="16" t="n">
        <f aca="false">SEMANAS!$B$29</f>
        <v>24</v>
      </c>
      <c r="C29" s="17" t="n">
        <f aca="false">SEMANAS!$C$29</f>
        <v>46426</v>
      </c>
      <c r="D29" s="17" t="n">
        <f aca="false">SEMANAS!$D$29</f>
        <v>46432</v>
      </c>
      <c r="E29" s="16" t="n">
        <f aca="false">AUX_MATRIZES!Z140</f>
        <v>35486.600163592</v>
      </c>
      <c r="F29" s="16" t="n">
        <f aca="false">AUX_MATRIZES!Z156*SEMANAS!$K$29</f>
        <v>4470818.1</v>
      </c>
      <c r="G29" s="19" t="n">
        <f aca="false">IFERROR($E29/$F29,0)</f>
        <v>0.00793738402454619</v>
      </c>
      <c r="H29" s="16" t="n">
        <f aca="false">MAX(0,$E29-$F29)</f>
        <v>0</v>
      </c>
      <c r="I29" s="18" t="n">
        <f aca="false">AUX_MATRIZES!Z158</f>
        <v>0</v>
      </c>
      <c r="J29" s="18" t="n">
        <f aca="false">AUX_MATRIZES!Z160</f>
        <v>0</v>
      </c>
      <c r="K29" s="18" t="n">
        <f aca="false">IFERROR(MAX(0,$E29/AUX_MATRIZES!Z156-SEMANAS!$K$29),0)</f>
        <v>0</v>
      </c>
      <c r="L29" s="18" t="n">
        <f aca="false">IFERROR(MAX(0,$E29/SEMANAS!$K$29-AUX_MATRIZES!Z156),0)</f>
        <v>0</v>
      </c>
      <c r="M29" s="8" t="str">
        <f aca="false">IF($G29&gt;LIMITE_CRITICO,"INVIAVEL - demanda excede a capacidade em 21 h/dia",IF($G29&gt;LIMITE_ATENCAO,"CRITICO - utilizacao acima de "&amp;TEXT(LIMITE_ATENCAO,"0%"),IF($G29&gt;LIMITE_CONFORTAVEL,"ATENCAO - utilizacao acima de "&amp;TEXT(LIMITE_CONFORTAVEL,"0%"),"OK - capacidade suficiente")))</f>
        <v>OK - capacidade suficiente</v>
      </c>
      <c r="N29" s="19" t="n">
        <f aca="false">AUX_MATRIZES!Z148</f>
        <v>0.0505882352941177</v>
      </c>
      <c r="O29" s="8" t="str">
        <f aca="false">AUX_MATRIZES!Z149</f>
        <v>PV 128</v>
      </c>
      <c r="P29" s="8" t="str">
        <f aca="false">IF($N29&gt;LIMITE_CRITICO,"INVIAVEL - demanda excede a capacidade em 21 h/dia",IF($N29&gt;LIMITE_ATENCAO,"CRITICO - utilizacao acima de "&amp;TEXT(LIMITE_ATENCAO,"0%"),IF($N29&gt;LIMITE_CONFORTAVEL,"ATENCAO - utilizacao acima de "&amp;TEXT(LIMITE_CONFORTAVEL,"0%"),"OK - capacidade suficiente")))</f>
        <v>OK - capacidade suficiente</v>
      </c>
      <c r="Q29" s="19" t="n">
        <f aca="false">AUX_MATRIZES!Z150</f>
        <v>0.0179350879819177</v>
      </c>
      <c r="R29" s="8" t="str">
        <f aca="false">AUX_MATRIZES!Z151</f>
        <v>RM06</v>
      </c>
      <c r="S29" s="8" t="str">
        <f aca="false">IF($Q29&gt;LIMITE_CRITICO,"INVIAVEL - demanda excede a capacidade em 21 h/dia",IF($Q29&gt;LIMITE_ATENCAO,"CRITICO - utilizacao acima de "&amp;TEXT(LIMITE_ATENCAO,"0%"),IF($Q29&gt;LIMITE_CONFORTAVEL,"ATENCAO - utilizacao acima de "&amp;TEXT(LIMITE_CONFORTAVEL,"0%"),"OK - capacidade suficiente")))</f>
        <v>OK - capacidade suficiente</v>
      </c>
      <c r="T29" s="19" t="n">
        <f aca="false">AUX_MATRIZES!Z152</f>
        <v>0.0179350879819177</v>
      </c>
      <c r="U29" s="8" t="str">
        <f aca="false">AUX_MATRIZES!Z153</f>
        <v>TR06</v>
      </c>
      <c r="V29" s="8" t="str">
        <f aca="false">IF($T29&gt;LIMITE_CRITICO,"INVIAVEL - demanda excede a capacidade em 21 h/dia",IF($T29&gt;LIMITE_ATENCAO,"CRITICO - utilizacao acima de "&amp;TEXT(LIMITE_ATENCAO,"0%"),IF($T29&gt;LIMITE_CONFORTAVEL,"ATENCAO - utilizacao acima de "&amp;TEXT(LIMITE_CONFORTAVEL,"0%"),"OK - capacidade suficiente")))</f>
        <v>OK - capacidade suficiente</v>
      </c>
      <c r="W29" s="20" t="n">
        <f aca="false">AUX_MATRIZES!Z161</f>
        <v>35486.600187592</v>
      </c>
    </row>
    <row r="30" customFormat="false" ht="15" hidden="false" customHeight="false" outlineLevel="0" collapsed="false">
      <c r="B30" s="16" t="n">
        <f aca="false">SEMANAS!$B$30</f>
        <v>25</v>
      </c>
      <c r="C30" s="17" t="n">
        <f aca="false">SEMANAS!$C$30</f>
        <v>46433</v>
      </c>
      <c r="D30" s="17" t="n">
        <f aca="false">SEMANAS!$D$30</f>
        <v>46439</v>
      </c>
      <c r="E30" s="16" t="n">
        <f aca="false">AUX_MATRIZES!AA140</f>
        <v>96920.2093058165</v>
      </c>
      <c r="F30" s="16" t="n">
        <f aca="false">AUX_MATRIZES!AA156*SEMANAS!$K$30</f>
        <v>4470818.1</v>
      </c>
      <c r="G30" s="19" t="n">
        <f aca="false">IFERROR($E30/$F30,0)</f>
        <v>0.0216784058617407</v>
      </c>
      <c r="H30" s="16" t="n">
        <f aca="false">MAX(0,$E30-$F30)</f>
        <v>0</v>
      </c>
      <c r="I30" s="18" t="n">
        <f aca="false">AUX_MATRIZES!AA158</f>
        <v>0</v>
      </c>
      <c r="J30" s="18" t="n">
        <f aca="false">AUX_MATRIZES!AA160</f>
        <v>0</v>
      </c>
      <c r="K30" s="18" t="n">
        <f aca="false">IFERROR(MAX(0,$E30/AUX_MATRIZES!AA156-SEMANAS!$K$30),0)</f>
        <v>0</v>
      </c>
      <c r="L30" s="18" t="n">
        <f aca="false">IFERROR(MAX(0,$E30/SEMANAS!$K$30-AUX_MATRIZES!AA156),0)</f>
        <v>0</v>
      </c>
      <c r="M30" s="8" t="str">
        <f aca="false">IF($G30&gt;LIMITE_CRITICO,"INVIAVEL - demanda excede a capacidade em 21 h/dia",IF($G30&gt;LIMITE_ATENCAO,"CRITICO - utilizacao acima de "&amp;TEXT(LIMITE_ATENCAO,"0%"),IF($G30&gt;LIMITE_CONFORTAVEL,"ATENCAO - utilizacao acima de "&amp;TEXT(LIMITE_CONFORTAVEL,"0%"),"OK - capacidade suficiente")))</f>
        <v>OK - capacidade suficiente</v>
      </c>
      <c r="N30" s="19" t="n">
        <f aca="false">AUX_MATRIZES!AA148</f>
        <v>0.0757466063348415</v>
      </c>
      <c r="O30" s="8" t="str">
        <f aca="false">AUX_MATRIZES!AA149</f>
        <v>PV 115</v>
      </c>
      <c r="P30" s="8" t="str">
        <f aca="false">IF($N30&gt;LIMITE_CRITICO,"INVIAVEL - demanda excede a capacidade em 21 h/dia",IF($N30&gt;LIMITE_ATENCAO,"CRITICO - utilizacao acima de "&amp;TEXT(LIMITE_ATENCAO,"0%"),IF($N30&gt;LIMITE_CONFORTAVEL,"ATENCAO - utilizacao acima de "&amp;TEXT(LIMITE_CONFORTAVEL,"0%"),"OK - capacidade suficiente")))</f>
        <v>OK - capacidade suficiente</v>
      </c>
      <c r="Q30" s="19" t="n">
        <f aca="false">AUX_MATRIZES!AA150</f>
        <v>0.0409802065952605</v>
      </c>
      <c r="R30" s="8" t="str">
        <f aca="false">AUX_MATRIZES!AA151</f>
        <v>RM05</v>
      </c>
      <c r="S30" s="8" t="str">
        <f aca="false">IF($Q30&gt;LIMITE_CRITICO,"INVIAVEL - demanda excede a capacidade em 21 h/dia",IF($Q30&gt;LIMITE_ATENCAO,"CRITICO - utilizacao acima de "&amp;TEXT(LIMITE_ATENCAO,"0%"),IF($Q30&gt;LIMITE_CONFORTAVEL,"ATENCAO - utilizacao acima de "&amp;TEXT(LIMITE_CONFORTAVEL,"0%"),"OK - capacidade suficiente")))</f>
        <v>OK - capacidade suficiente</v>
      </c>
      <c r="T30" s="19" t="n">
        <f aca="false">AUX_MATRIZES!AA152</f>
        <v>0.0409802065952605</v>
      </c>
      <c r="U30" s="8" t="str">
        <f aca="false">AUX_MATRIZES!AA153</f>
        <v>TR05</v>
      </c>
      <c r="V30" s="8" t="str">
        <f aca="false">IF($T30&gt;LIMITE_CRITICO,"INVIAVEL - demanda excede a capacidade em 21 h/dia",IF($T30&gt;LIMITE_ATENCAO,"CRITICO - utilizacao acima de "&amp;TEXT(LIMITE_ATENCAO,"0%"),IF($T30&gt;LIMITE_CONFORTAVEL,"ATENCAO - utilizacao acima de "&amp;TEXT(LIMITE_CONFORTAVEL,"0%"),"OK - capacidade suficiente")))</f>
        <v>OK - capacidade suficiente</v>
      </c>
      <c r="W30" s="20" t="n">
        <f aca="false">AUX_MATRIZES!AA161</f>
        <v>96920.2093308165</v>
      </c>
    </row>
    <row r="31" customFormat="false" ht="15" hidden="false" customHeight="false" outlineLevel="0" collapsed="false">
      <c r="B31" s="16" t="n">
        <f aca="false">SEMANAS!$B$31</f>
        <v>26</v>
      </c>
      <c r="C31" s="17" t="n">
        <f aca="false">SEMANAS!$C$31</f>
        <v>46440</v>
      </c>
      <c r="D31" s="17" t="n">
        <f aca="false">SEMANAS!$D$31</f>
        <v>46446</v>
      </c>
      <c r="E31" s="16" t="n">
        <f aca="false">AUX_MATRIZES!AB140</f>
        <v>118114.436479406</v>
      </c>
      <c r="F31" s="16" t="n">
        <f aca="false">AUX_MATRIZES!AB156*SEMANAS!$K$31</f>
        <v>4470818.1</v>
      </c>
      <c r="G31" s="19" t="n">
        <f aca="false">IFERROR($E31/$F31,0)</f>
        <v>0.0264189760883821</v>
      </c>
      <c r="H31" s="16" t="n">
        <f aca="false">MAX(0,$E31-$F31)</f>
        <v>0</v>
      </c>
      <c r="I31" s="18" t="n">
        <f aca="false">AUX_MATRIZES!AB158</f>
        <v>0</v>
      </c>
      <c r="J31" s="18" t="n">
        <f aca="false">AUX_MATRIZES!AB160</f>
        <v>0</v>
      </c>
      <c r="K31" s="18" t="n">
        <f aca="false">IFERROR(MAX(0,$E31/AUX_MATRIZES!AB156-SEMANAS!$K$31),0)</f>
        <v>0</v>
      </c>
      <c r="L31" s="18" t="n">
        <f aca="false">IFERROR(MAX(0,$E31/SEMANAS!$K$31-AUX_MATRIZES!AB156),0)</f>
        <v>0</v>
      </c>
      <c r="M31" s="8" t="str">
        <f aca="false">IF($G31&gt;LIMITE_CRITICO,"INVIAVEL - demanda excede a capacidade em 21 h/dia",IF($G31&gt;LIMITE_ATENCAO,"CRITICO - utilizacao acima de "&amp;TEXT(LIMITE_ATENCAO,"0%"),IF($G31&gt;LIMITE_CONFORTAVEL,"ATENCAO - utilizacao acima de "&amp;TEXT(LIMITE_CONFORTAVEL,"0%"),"OK - capacidade suficiente")))</f>
        <v>OK - capacidade suficiente</v>
      </c>
      <c r="N31" s="19" t="n">
        <f aca="false">AUX_MATRIZES!AB148</f>
        <v>0.0757466063348415</v>
      </c>
      <c r="O31" s="8" t="str">
        <f aca="false">AUX_MATRIZES!AB149</f>
        <v>PV 115</v>
      </c>
      <c r="P31" s="8" t="str">
        <f aca="false">IF($N31&gt;LIMITE_CRITICO,"INVIAVEL - demanda excede a capacidade em 21 h/dia",IF($N31&gt;LIMITE_ATENCAO,"CRITICO - utilizacao acima de "&amp;TEXT(LIMITE_ATENCAO,"0%"),IF($N31&gt;LIMITE_CONFORTAVEL,"ATENCAO - utilizacao acima de "&amp;TEXT(LIMITE_CONFORTAVEL,"0%"),"OK - capacidade suficiente")))</f>
        <v>OK - capacidade suficiente</v>
      </c>
      <c r="Q31" s="19" t="n">
        <f aca="false">AUX_MATRIZES!AB150</f>
        <v>0.042262487418171</v>
      </c>
      <c r="R31" s="8" t="str">
        <f aca="false">AUX_MATRIZES!AB151</f>
        <v>RM05</v>
      </c>
      <c r="S31" s="8" t="str">
        <f aca="false">IF($Q31&gt;LIMITE_CRITICO,"INVIAVEL - demanda excede a capacidade em 21 h/dia",IF($Q31&gt;LIMITE_ATENCAO,"CRITICO - utilizacao acima de "&amp;TEXT(LIMITE_ATENCAO,"0%"),IF($Q31&gt;LIMITE_CONFORTAVEL,"ATENCAO - utilizacao acima de "&amp;TEXT(LIMITE_CONFORTAVEL,"0%"),"OK - capacidade suficiente")))</f>
        <v>OK - capacidade suficiente</v>
      </c>
      <c r="T31" s="19" t="n">
        <f aca="false">AUX_MATRIZES!AB152</f>
        <v>0.042262487418171</v>
      </c>
      <c r="U31" s="8" t="str">
        <f aca="false">AUX_MATRIZES!AB153</f>
        <v>TR05</v>
      </c>
      <c r="V31" s="8" t="str">
        <f aca="false">IF($T31&gt;LIMITE_CRITICO,"INVIAVEL - demanda excede a capacidade em 21 h/dia",IF($T31&gt;LIMITE_ATENCAO,"CRITICO - utilizacao acima de "&amp;TEXT(LIMITE_ATENCAO,"0%"),IF($T31&gt;LIMITE_CONFORTAVEL,"ATENCAO - utilizacao acima de "&amp;TEXT(LIMITE_CONFORTAVEL,"0%"),"OK - capacidade suficiente")))</f>
        <v>OK - capacidade suficiente</v>
      </c>
      <c r="W31" s="20" t="n">
        <f aca="false">AUX_MATRIZES!AB161</f>
        <v>118114.436505406</v>
      </c>
    </row>
    <row r="32" customFormat="false" ht="15" hidden="false" customHeight="false" outlineLevel="0" collapsed="false">
      <c r="B32" s="16" t="n">
        <f aca="false">SEMANAS!$B$32</f>
        <v>27</v>
      </c>
      <c r="C32" s="17" t="n">
        <f aca="false">SEMANAS!$C$32</f>
        <v>46447</v>
      </c>
      <c r="D32" s="17" t="n">
        <f aca="false">SEMANAS!$D$32</f>
        <v>46453</v>
      </c>
      <c r="E32" s="16" t="n">
        <f aca="false">AUX_MATRIZES!AC140</f>
        <v>158242.333529412</v>
      </c>
      <c r="F32" s="16" t="n">
        <f aca="false">AUX_MATRIZES!AC156*SEMANAS!$K$32</f>
        <v>4470818.1</v>
      </c>
      <c r="G32" s="19" t="n">
        <f aca="false">IFERROR($E32/$F32,0)</f>
        <v>0.0353944915650699</v>
      </c>
      <c r="H32" s="16" t="n">
        <f aca="false">MAX(0,$E32-$F32)</f>
        <v>0</v>
      </c>
      <c r="I32" s="18" t="n">
        <f aca="false">AUX_MATRIZES!AC158</f>
        <v>0</v>
      </c>
      <c r="J32" s="18" t="n">
        <f aca="false">AUX_MATRIZES!AC160</f>
        <v>0</v>
      </c>
      <c r="K32" s="18" t="n">
        <f aca="false">IFERROR(MAX(0,$E32/AUX_MATRIZES!AC156-SEMANAS!$K$32),0)</f>
        <v>0</v>
      </c>
      <c r="L32" s="18" t="n">
        <f aca="false">IFERROR(MAX(0,$E32/SEMANAS!$K$32-AUX_MATRIZES!AC156),0)</f>
        <v>0</v>
      </c>
      <c r="M32" s="8" t="str">
        <f aca="false">IF($G32&gt;LIMITE_CRITICO,"INVIAVEL - demanda excede a capacidade em 21 h/dia",IF($G32&gt;LIMITE_ATENCAO,"CRITICO - utilizacao acima de "&amp;TEXT(LIMITE_ATENCAO,"0%"),IF($G32&gt;LIMITE_CONFORTAVEL,"ATENCAO - utilizacao acima de "&amp;TEXT(LIMITE_CONFORTAVEL,"0%"),"OK - capacidade suficiente")))</f>
        <v>OK - capacidade suficiente</v>
      </c>
      <c r="N32" s="19" t="n">
        <f aca="false">AUX_MATRIZES!AC148</f>
        <v>0.0935746606334841</v>
      </c>
      <c r="O32" s="8" t="str">
        <f aca="false">AUX_MATRIZES!AC149</f>
        <v>PV 115</v>
      </c>
      <c r="P32" s="8" t="str">
        <f aca="false">IF($N32&gt;LIMITE_CRITICO,"INVIAVEL - demanda excede a capacidade em 21 h/dia",IF($N32&gt;LIMITE_ATENCAO,"CRITICO - utilizacao acima de "&amp;TEXT(LIMITE_ATENCAO,"0%"),IF($N32&gt;LIMITE_CONFORTAVEL,"ATENCAO - utilizacao acima de "&amp;TEXT(LIMITE_CONFORTAVEL,"0%"),"OK - capacidade suficiente")))</f>
        <v>OK - capacidade suficiente</v>
      </c>
      <c r="Q32" s="19" t="n">
        <f aca="false">AUX_MATRIZES!AC150</f>
        <v>0.0552572341360392</v>
      </c>
      <c r="R32" s="8" t="str">
        <f aca="false">AUX_MATRIZES!AC151</f>
        <v>RM06</v>
      </c>
      <c r="S32" s="8" t="str">
        <f aca="false">IF($Q32&gt;LIMITE_CRITICO,"INVIAVEL - demanda excede a capacidade em 21 h/dia",IF($Q32&gt;LIMITE_ATENCAO,"CRITICO - utilizacao acima de "&amp;TEXT(LIMITE_ATENCAO,"0%"),IF($Q32&gt;LIMITE_CONFORTAVEL,"ATENCAO - utilizacao acima de "&amp;TEXT(LIMITE_CONFORTAVEL,"0%"),"OK - capacidade suficiente")))</f>
        <v>OK - capacidade suficiente</v>
      </c>
      <c r="T32" s="19" t="n">
        <f aca="false">AUX_MATRIZES!AC152</f>
        <v>0.0552572341360392</v>
      </c>
      <c r="U32" s="8" t="str">
        <f aca="false">AUX_MATRIZES!AC153</f>
        <v>TR06</v>
      </c>
      <c r="V32" s="8" t="str">
        <f aca="false">IF($T32&gt;LIMITE_CRITICO,"INVIAVEL - demanda excede a capacidade em 21 h/dia",IF($T32&gt;LIMITE_ATENCAO,"CRITICO - utilizacao acima de "&amp;TEXT(LIMITE_ATENCAO,"0%"),IF($T32&gt;LIMITE_CONFORTAVEL,"ATENCAO - utilizacao acima de "&amp;TEXT(LIMITE_CONFORTAVEL,"0%"),"OK - capacidade suficiente")))</f>
        <v>OK - capacidade suficiente</v>
      </c>
      <c r="W32" s="20" t="n">
        <f aca="false">AUX_MATRIZES!AC161</f>
        <v>158242.333556412</v>
      </c>
    </row>
    <row r="33" customFormat="false" ht="15" hidden="false" customHeight="false" outlineLevel="0" collapsed="false">
      <c r="B33" s="16" t="n">
        <f aca="false">SEMANAS!$B$33</f>
        <v>28</v>
      </c>
      <c r="C33" s="17" t="n">
        <f aca="false">SEMANAS!$C$33</f>
        <v>46454</v>
      </c>
      <c r="D33" s="17" t="n">
        <f aca="false">SEMANAS!$D$33</f>
        <v>46460</v>
      </c>
      <c r="E33" s="16" t="n">
        <f aca="false">AUX_MATRIZES!AD140</f>
        <v>166060.204745098</v>
      </c>
      <c r="F33" s="16" t="n">
        <f aca="false">AUX_MATRIZES!AD156*SEMANAS!$K$33</f>
        <v>4470818.1</v>
      </c>
      <c r="G33" s="19" t="n">
        <f aca="false">IFERROR($E33/$F33,0)</f>
        <v>0.0371431360057118</v>
      </c>
      <c r="H33" s="16" t="n">
        <f aca="false">MAX(0,$E33-$F33)</f>
        <v>0</v>
      </c>
      <c r="I33" s="18" t="n">
        <f aca="false">AUX_MATRIZES!AD158</f>
        <v>0</v>
      </c>
      <c r="J33" s="18" t="n">
        <f aca="false">AUX_MATRIZES!AD160</f>
        <v>0</v>
      </c>
      <c r="K33" s="18" t="n">
        <f aca="false">IFERROR(MAX(0,$E33/AUX_MATRIZES!AD156-SEMANAS!$K$33),0)</f>
        <v>0</v>
      </c>
      <c r="L33" s="18" t="n">
        <f aca="false">IFERROR(MAX(0,$E33/SEMANAS!$K$33-AUX_MATRIZES!AD156),0)</f>
        <v>0</v>
      </c>
      <c r="M33" s="8" t="str">
        <f aca="false">IF($G33&gt;LIMITE_CRITICO,"INVIAVEL - demanda excede a capacidade em 21 h/dia",IF($G33&gt;LIMITE_ATENCAO,"CRITICO - utilizacao acima de "&amp;TEXT(LIMITE_ATENCAO,"0%"),IF($G33&gt;LIMITE_CONFORTAVEL,"ATENCAO - utilizacao acima de "&amp;TEXT(LIMITE_CONFORTAVEL,"0%"),"OK - capacidade suficiente")))</f>
        <v>OK - capacidade suficiente</v>
      </c>
      <c r="N33" s="19" t="n">
        <f aca="false">AUX_MATRIZES!AD148</f>
        <v>0.0935746606334841</v>
      </c>
      <c r="O33" s="8" t="str">
        <f aca="false">AUX_MATRIZES!AD149</f>
        <v>PV 115</v>
      </c>
      <c r="P33" s="8" t="str">
        <f aca="false">IF($N33&gt;LIMITE_CRITICO,"INVIAVEL - demanda excede a capacidade em 21 h/dia",IF($N33&gt;LIMITE_ATENCAO,"CRITICO - utilizacao acima de "&amp;TEXT(LIMITE_ATENCAO,"0%"),IF($N33&gt;LIMITE_CONFORTAVEL,"ATENCAO - utilizacao acima de "&amp;TEXT(LIMITE_CONFORTAVEL,"0%"),"OK - capacidade suficiente")))</f>
        <v>OK - capacidade suficiente</v>
      </c>
      <c r="Q33" s="19" t="n">
        <f aca="false">AUX_MATRIZES!AD150</f>
        <v>0.0630421006317303</v>
      </c>
      <c r="R33" s="8" t="str">
        <f aca="false">AUX_MATRIZES!AD151</f>
        <v>RM06</v>
      </c>
      <c r="S33" s="8" t="str">
        <f aca="false">IF($Q33&gt;LIMITE_CRITICO,"INVIAVEL - demanda excede a capacidade em 21 h/dia",IF($Q33&gt;LIMITE_ATENCAO,"CRITICO - utilizacao acima de "&amp;TEXT(LIMITE_ATENCAO,"0%"),IF($Q33&gt;LIMITE_CONFORTAVEL,"ATENCAO - utilizacao acima de "&amp;TEXT(LIMITE_CONFORTAVEL,"0%"),"OK - capacidade suficiente")))</f>
        <v>OK - capacidade suficiente</v>
      </c>
      <c r="T33" s="19" t="n">
        <f aca="false">AUX_MATRIZES!AD152</f>
        <v>0.0630421006317303</v>
      </c>
      <c r="U33" s="8" t="str">
        <f aca="false">AUX_MATRIZES!AD153</f>
        <v>TR06</v>
      </c>
      <c r="V33" s="8" t="str">
        <f aca="false">IF($T33&gt;LIMITE_CRITICO,"INVIAVEL - demanda excede a capacidade em 21 h/dia",IF($T33&gt;LIMITE_ATENCAO,"CRITICO - utilizacao acima de "&amp;TEXT(LIMITE_ATENCAO,"0%"),IF($T33&gt;LIMITE_CONFORTAVEL,"ATENCAO - utilizacao acima de "&amp;TEXT(LIMITE_CONFORTAVEL,"0%"),"OK - capacidade suficiente")))</f>
        <v>OK - capacidade suficiente</v>
      </c>
      <c r="W33" s="20" t="n">
        <f aca="false">AUX_MATRIZES!AD161</f>
        <v>166060.204773098</v>
      </c>
    </row>
    <row r="34" customFormat="false" ht="15" hidden="false" customHeight="false" outlineLevel="0" collapsed="false">
      <c r="B34" s="16" t="n">
        <f aca="false">SEMANAS!$B$34</f>
        <v>29</v>
      </c>
      <c r="C34" s="17" t="n">
        <f aca="false">SEMANAS!$C$34</f>
        <v>46461</v>
      </c>
      <c r="D34" s="17" t="n">
        <f aca="false">SEMANAS!$D$34</f>
        <v>46467</v>
      </c>
      <c r="E34" s="16" t="n">
        <f aca="false">AUX_MATRIZES!AE140</f>
        <v>171503.737738562</v>
      </c>
      <c r="F34" s="16" t="n">
        <f aca="false">AUX_MATRIZES!AE156*SEMANAS!$K$34</f>
        <v>4470818.1</v>
      </c>
      <c r="G34" s="19" t="n">
        <f aca="false">IFERROR($E34/$F34,0)</f>
        <v>0.0383607057819154</v>
      </c>
      <c r="H34" s="16" t="n">
        <f aca="false">MAX(0,$E34-$F34)</f>
        <v>0</v>
      </c>
      <c r="I34" s="18" t="n">
        <f aca="false">AUX_MATRIZES!AE158</f>
        <v>0</v>
      </c>
      <c r="J34" s="18" t="n">
        <f aca="false">AUX_MATRIZES!AE160</f>
        <v>0</v>
      </c>
      <c r="K34" s="18" t="n">
        <f aca="false">IFERROR(MAX(0,$E34/AUX_MATRIZES!AE156-SEMANAS!$K$34),0)</f>
        <v>0</v>
      </c>
      <c r="L34" s="18" t="n">
        <f aca="false">IFERROR(MAX(0,$E34/SEMANAS!$K$34-AUX_MATRIZES!AE156),0)</f>
        <v>0</v>
      </c>
      <c r="M34" s="8" t="str">
        <f aca="false">IF($G34&gt;LIMITE_CRITICO,"INVIAVEL - demanda excede a capacidade em 21 h/dia",IF($G34&gt;LIMITE_ATENCAO,"CRITICO - utilizacao acima de "&amp;TEXT(LIMITE_ATENCAO,"0%"),IF($G34&gt;LIMITE_CONFORTAVEL,"ATENCAO - utilizacao acima de "&amp;TEXT(LIMITE_CONFORTAVEL,"0%"),"OK - capacidade suficiente")))</f>
        <v>OK - capacidade suficiente</v>
      </c>
      <c r="N34" s="19" t="n">
        <f aca="false">AUX_MATRIZES!AE148</f>
        <v>0.0935746606334841</v>
      </c>
      <c r="O34" s="8" t="str">
        <f aca="false">AUX_MATRIZES!AE149</f>
        <v>PV 115</v>
      </c>
      <c r="P34" s="8" t="str">
        <f aca="false">IF($N34&gt;LIMITE_CRITICO,"INVIAVEL - demanda excede a capacidade em 21 h/dia",IF($N34&gt;LIMITE_ATENCAO,"CRITICO - utilizacao acima de "&amp;TEXT(LIMITE_ATENCAO,"0%"),IF($N34&gt;LIMITE_CONFORTAVEL,"ATENCAO - utilizacao acima de "&amp;TEXT(LIMITE_CONFORTAVEL,"0%"),"OK - capacidade suficiente")))</f>
        <v>OK - capacidade suficiente</v>
      </c>
      <c r="Q34" s="19" t="n">
        <f aca="false">AUX_MATRIZES!AE150</f>
        <v>0.0655362860381831</v>
      </c>
      <c r="R34" s="8" t="str">
        <f aca="false">AUX_MATRIZES!AE151</f>
        <v>RM06</v>
      </c>
      <c r="S34" s="8" t="str">
        <f aca="false">IF($Q34&gt;LIMITE_CRITICO,"INVIAVEL - demanda excede a capacidade em 21 h/dia",IF($Q34&gt;LIMITE_ATENCAO,"CRITICO - utilizacao acima de "&amp;TEXT(LIMITE_ATENCAO,"0%"),IF($Q34&gt;LIMITE_CONFORTAVEL,"ATENCAO - utilizacao acima de "&amp;TEXT(LIMITE_CONFORTAVEL,"0%"),"OK - capacidade suficiente")))</f>
        <v>OK - capacidade suficiente</v>
      </c>
      <c r="T34" s="19" t="n">
        <f aca="false">AUX_MATRIZES!AE152</f>
        <v>0.0655362860381831</v>
      </c>
      <c r="U34" s="8" t="str">
        <f aca="false">AUX_MATRIZES!AE153</f>
        <v>TR06</v>
      </c>
      <c r="V34" s="8" t="str">
        <f aca="false">IF($T34&gt;LIMITE_CRITICO,"INVIAVEL - demanda excede a capacidade em 21 h/dia",IF($T34&gt;LIMITE_ATENCAO,"CRITICO - utilizacao acima de "&amp;TEXT(LIMITE_ATENCAO,"0%"),IF($T34&gt;LIMITE_CONFORTAVEL,"ATENCAO - utilizacao acima de "&amp;TEXT(LIMITE_CONFORTAVEL,"0%"),"OK - capacidade suficiente")))</f>
        <v>OK - capacidade suficiente</v>
      </c>
      <c r="W34" s="20" t="n">
        <f aca="false">AUX_MATRIZES!AE161</f>
        <v>171503.737767562</v>
      </c>
    </row>
    <row r="35" customFormat="false" ht="15" hidden="false" customHeight="false" outlineLevel="0" collapsed="false">
      <c r="B35" s="16" t="n">
        <f aca="false">SEMANAS!$B$35</f>
        <v>30</v>
      </c>
      <c r="C35" s="17" t="n">
        <f aca="false">SEMANAS!$C$35</f>
        <v>46468</v>
      </c>
      <c r="D35" s="17" t="n">
        <f aca="false">SEMANAS!$D$35</f>
        <v>46474</v>
      </c>
      <c r="E35" s="16" t="n">
        <f aca="false">AUX_MATRIZES!AF140</f>
        <v>175725.068294118</v>
      </c>
      <c r="F35" s="16" t="n">
        <f aca="false">AUX_MATRIZES!AF156*SEMANAS!$K$35</f>
        <v>4470818.1</v>
      </c>
      <c r="G35" s="19" t="n">
        <f aca="false">IFERROR($E35/$F35,0)</f>
        <v>0.0393049022267575</v>
      </c>
      <c r="H35" s="16" t="n">
        <f aca="false">MAX(0,$E35-$F35)</f>
        <v>0</v>
      </c>
      <c r="I35" s="18" t="n">
        <f aca="false">AUX_MATRIZES!AF158</f>
        <v>0</v>
      </c>
      <c r="J35" s="18" t="n">
        <f aca="false">AUX_MATRIZES!AF160</f>
        <v>0</v>
      </c>
      <c r="K35" s="18" t="n">
        <f aca="false">IFERROR(MAX(0,$E35/AUX_MATRIZES!AF156-SEMANAS!$K$35),0)</f>
        <v>0</v>
      </c>
      <c r="L35" s="18" t="n">
        <f aca="false">IFERROR(MAX(0,$E35/SEMANAS!$K$35-AUX_MATRIZES!AF156),0)</f>
        <v>0</v>
      </c>
      <c r="M35" s="8" t="str">
        <f aca="false">IF($G35&gt;LIMITE_CRITICO,"INVIAVEL - demanda excede a capacidade em 21 h/dia",IF($G35&gt;LIMITE_ATENCAO,"CRITICO - utilizacao acima de "&amp;TEXT(LIMITE_ATENCAO,"0%"),IF($G35&gt;LIMITE_CONFORTAVEL,"ATENCAO - utilizacao acima de "&amp;TEXT(LIMITE_CONFORTAVEL,"0%"),"OK - capacidade suficiente")))</f>
        <v>OK - capacidade suficiente</v>
      </c>
      <c r="N35" s="19" t="n">
        <f aca="false">AUX_MATRIZES!AF148</f>
        <v>0.0935746606334841</v>
      </c>
      <c r="O35" s="8" t="str">
        <f aca="false">AUX_MATRIZES!AF149</f>
        <v>PV 115</v>
      </c>
      <c r="P35" s="8" t="str">
        <f aca="false">IF($N35&gt;LIMITE_CRITICO,"INVIAVEL - demanda excede a capacidade em 21 h/dia",IF($N35&gt;LIMITE_ATENCAO,"CRITICO - utilizacao acima de "&amp;TEXT(LIMITE_ATENCAO,"0%"),IF($N35&gt;LIMITE_CONFORTAVEL,"ATENCAO - utilizacao acima de "&amp;TEXT(LIMITE_CONFORTAVEL,"0%"),"OK - capacidade suficiente")))</f>
        <v>OK - capacidade suficiente</v>
      </c>
      <c r="Q35" s="19" t="n">
        <f aca="false">AUX_MATRIZES!AF150</f>
        <v>0.0630618128441483</v>
      </c>
      <c r="R35" s="8" t="str">
        <f aca="false">AUX_MATRIZES!AF151</f>
        <v>RM06</v>
      </c>
      <c r="S35" s="8" t="str">
        <f aca="false">IF($Q35&gt;LIMITE_CRITICO,"INVIAVEL - demanda excede a capacidade em 21 h/dia",IF($Q35&gt;LIMITE_ATENCAO,"CRITICO - utilizacao acima de "&amp;TEXT(LIMITE_ATENCAO,"0%"),IF($Q35&gt;LIMITE_CONFORTAVEL,"ATENCAO - utilizacao acima de "&amp;TEXT(LIMITE_CONFORTAVEL,"0%"),"OK - capacidade suficiente")))</f>
        <v>OK - capacidade suficiente</v>
      </c>
      <c r="T35" s="19" t="n">
        <f aca="false">AUX_MATRIZES!AF152</f>
        <v>0.0630618128441483</v>
      </c>
      <c r="U35" s="8" t="str">
        <f aca="false">AUX_MATRIZES!AF153</f>
        <v>TR06</v>
      </c>
      <c r="V35" s="8" t="str">
        <f aca="false">IF($T35&gt;LIMITE_CRITICO,"INVIAVEL - demanda excede a capacidade em 21 h/dia",IF($T35&gt;LIMITE_ATENCAO,"CRITICO - utilizacao acima de "&amp;TEXT(LIMITE_ATENCAO,"0%"),IF($T35&gt;LIMITE_CONFORTAVEL,"ATENCAO - utilizacao acima de "&amp;TEXT(LIMITE_CONFORTAVEL,"0%"),"OK - capacidade suficiente")))</f>
        <v>OK - capacidade suficiente</v>
      </c>
      <c r="W35" s="20" t="n">
        <f aca="false">AUX_MATRIZES!AF161</f>
        <v>175725.068324118</v>
      </c>
    </row>
    <row r="36" customFormat="false" ht="15" hidden="false" customHeight="false" outlineLevel="0" collapsed="false">
      <c r="B36" s="16" t="n">
        <f aca="false">SEMANAS!$B$36</f>
        <v>31</v>
      </c>
      <c r="C36" s="17" t="n">
        <f aca="false">SEMANAS!$C$36</f>
        <v>46475</v>
      </c>
      <c r="D36" s="17" t="n">
        <f aca="false">SEMANAS!$D$36</f>
        <v>46481</v>
      </c>
      <c r="E36" s="16" t="n">
        <f aca="false">AUX_MATRIZES!AG140</f>
        <v>474530.799260539</v>
      </c>
      <c r="F36" s="16" t="n">
        <f aca="false">AUX_MATRIZES!AG156*SEMANAS!$K$36</f>
        <v>4470818.1</v>
      </c>
      <c r="G36" s="19" t="n">
        <f aca="false">IFERROR($E36/$F36,0)</f>
        <v>0.106139589812553</v>
      </c>
      <c r="H36" s="16" t="n">
        <f aca="false">MAX(0,$E36-$F36)</f>
        <v>0</v>
      </c>
      <c r="I36" s="18" t="n">
        <f aca="false">AUX_MATRIZES!AG158</f>
        <v>0</v>
      </c>
      <c r="J36" s="18" t="n">
        <f aca="false">AUX_MATRIZES!AG160</f>
        <v>0</v>
      </c>
      <c r="K36" s="18" t="n">
        <f aca="false">IFERROR(MAX(0,$E36/AUX_MATRIZES!AG156-SEMANAS!$K$36),0)</f>
        <v>0</v>
      </c>
      <c r="L36" s="18" t="n">
        <f aca="false">IFERROR(MAX(0,$E36/SEMANAS!$K$36-AUX_MATRIZES!AG156),0)</f>
        <v>0</v>
      </c>
      <c r="M36" s="8" t="str">
        <f aca="false">IF($G36&gt;LIMITE_CRITICO,"INVIAVEL - demanda excede a capacidade em 21 h/dia",IF($G36&gt;LIMITE_ATENCAO,"CRITICO - utilizacao acima de "&amp;TEXT(LIMITE_ATENCAO,"0%"),IF($G36&gt;LIMITE_CONFORTAVEL,"ATENCAO - utilizacao acima de "&amp;TEXT(LIMITE_CONFORTAVEL,"0%"),"OK - capacidade suficiente")))</f>
        <v>OK - capacidade suficiente</v>
      </c>
      <c r="N36" s="19" t="n">
        <f aca="false">AUX_MATRIZES!AG148</f>
        <v>0.211325145442792</v>
      </c>
      <c r="O36" s="8" t="str">
        <f aca="false">AUX_MATRIZES!AG149</f>
        <v>PV 115</v>
      </c>
      <c r="P36" s="8" t="str">
        <f aca="false">IF($N36&gt;LIMITE_CRITICO,"INVIAVEL - demanda excede a capacidade em 21 h/dia",IF($N36&gt;LIMITE_ATENCAO,"CRITICO - utilizacao acima de "&amp;TEXT(LIMITE_ATENCAO,"0%"),IF($N36&gt;LIMITE_CONFORTAVEL,"ATENCAO - utilizacao acima de "&amp;TEXT(LIMITE_CONFORTAVEL,"0%"),"OK - capacidade suficiente")))</f>
        <v>OK - capacidade suficiente</v>
      </c>
      <c r="Q36" s="19" t="n">
        <f aca="false">AUX_MATRIZES!AG150</f>
        <v>0.157739773637913</v>
      </c>
      <c r="R36" s="8" t="str">
        <f aca="false">AUX_MATRIZES!AG151</f>
        <v>RM06</v>
      </c>
      <c r="S36" s="8" t="str">
        <f aca="false">IF($Q36&gt;LIMITE_CRITICO,"INVIAVEL - demanda excede a capacidade em 21 h/dia",IF($Q36&gt;LIMITE_ATENCAO,"CRITICO - utilizacao acima de "&amp;TEXT(LIMITE_ATENCAO,"0%"),IF($Q36&gt;LIMITE_CONFORTAVEL,"ATENCAO - utilizacao acima de "&amp;TEXT(LIMITE_CONFORTAVEL,"0%"),"OK - capacidade suficiente")))</f>
        <v>OK - capacidade suficiente</v>
      </c>
      <c r="T36" s="19" t="n">
        <f aca="false">AUX_MATRIZES!AG152</f>
        <v>0.157739773637913</v>
      </c>
      <c r="U36" s="8" t="str">
        <f aca="false">AUX_MATRIZES!AG153</f>
        <v>TR06</v>
      </c>
      <c r="V36" s="8" t="str">
        <f aca="false">IF($T36&gt;LIMITE_CRITICO,"INVIAVEL - demanda excede a capacidade em 21 h/dia",IF($T36&gt;LIMITE_ATENCAO,"CRITICO - utilizacao acima de "&amp;TEXT(LIMITE_ATENCAO,"0%"),IF($T36&gt;LIMITE_CONFORTAVEL,"ATENCAO - utilizacao acima de "&amp;TEXT(LIMITE_CONFORTAVEL,"0%"),"OK - capacidade suficiente")))</f>
        <v>OK - capacidade suficiente</v>
      </c>
      <c r="W36" s="20" t="n">
        <f aca="false">AUX_MATRIZES!AG161</f>
        <v>474530.799291539</v>
      </c>
    </row>
    <row r="37" customFormat="false" ht="15" hidden="false" customHeight="false" outlineLevel="0" collapsed="false">
      <c r="B37" s="16" t="n">
        <f aca="false">SEMANAS!$B$37</f>
        <v>32</v>
      </c>
      <c r="C37" s="17" t="n">
        <f aca="false">SEMANAS!$C$37</f>
        <v>46482</v>
      </c>
      <c r="D37" s="17" t="n">
        <f aca="false">SEMANAS!$D$37</f>
        <v>46488</v>
      </c>
      <c r="E37" s="16" t="n">
        <f aca="false">AUX_MATRIZES!AH140</f>
        <v>823195.65699358</v>
      </c>
      <c r="F37" s="16" t="n">
        <f aca="false">AUX_MATRIZES!AH156*SEMANAS!$K$37</f>
        <v>4470818.1</v>
      </c>
      <c r="G37" s="19" t="n">
        <f aca="false">IFERROR($E37/$F37,0)</f>
        <v>0.184126403396636</v>
      </c>
      <c r="H37" s="16" t="n">
        <f aca="false">MAX(0,$E37-$F37)</f>
        <v>0</v>
      </c>
      <c r="I37" s="18" t="n">
        <f aca="false">AUX_MATRIZES!AH158</f>
        <v>0</v>
      </c>
      <c r="J37" s="18" t="n">
        <f aca="false">AUX_MATRIZES!AH160</f>
        <v>0</v>
      </c>
      <c r="K37" s="18" t="n">
        <f aca="false">IFERROR(MAX(0,$E37/AUX_MATRIZES!AH156-SEMANAS!$K$37),0)</f>
        <v>0</v>
      </c>
      <c r="L37" s="18" t="n">
        <f aca="false">IFERROR(MAX(0,$E37/SEMANAS!$K$37-AUX_MATRIZES!AH156),0)</f>
        <v>0</v>
      </c>
      <c r="M37" s="8" t="str">
        <f aca="false">IF($G37&gt;LIMITE_CRITICO,"INVIAVEL - demanda excede a capacidade em 21 h/dia",IF($G37&gt;LIMITE_ATENCAO,"CRITICO - utilizacao acima de "&amp;TEXT(LIMITE_ATENCAO,"0%"),IF($G37&gt;LIMITE_CONFORTAVEL,"ATENCAO - utilizacao acima de "&amp;TEXT(LIMITE_CONFORTAVEL,"0%"),"OK - capacidade suficiente")))</f>
        <v>OK - capacidade suficiente</v>
      </c>
      <c r="N37" s="19" t="n">
        <f aca="false">AUX_MATRIZES!AH148</f>
        <v>0.299638009049774</v>
      </c>
      <c r="O37" s="8" t="str">
        <f aca="false">AUX_MATRIZES!AH149</f>
        <v>PV 115</v>
      </c>
      <c r="P37" s="8" t="str">
        <f aca="false">IF($N37&gt;LIMITE_CRITICO,"INVIAVEL - demanda excede a capacidade em 21 h/dia",IF($N37&gt;LIMITE_ATENCAO,"CRITICO - utilizacao acima de "&amp;TEXT(LIMITE_ATENCAO,"0%"),IF($N37&gt;LIMITE_CONFORTAVEL,"ATENCAO - utilizacao acima de "&amp;TEXT(LIMITE_CONFORTAVEL,"0%"),"OK - capacidade suficiente")))</f>
        <v>OK - capacidade suficiente</v>
      </c>
      <c r="Q37" s="19" t="n">
        <f aca="false">AUX_MATRIZES!AH150</f>
        <v>0.23868840717144</v>
      </c>
      <c r="R37" s="8" t="str">
        <f aca="false">AUX_MATRIZES!AH151</f>
        <v>RM06</v>
      </c>
      <c r="S37" s="8" t="str">
        <f aca="false">IF($Q37&gt;LIMITE_CRITICO,"INVIAVEL - demanda excede a capacidade em 21 h/dia",IF($Q37&gt;LIMITE_ATENCAO,"CRITICO - utilizacao acima de "&amp;TEXT(LIMITE_ATENCAO,"0%"),IF($Q37&gt;LIMITE_CONFORTAVEL,"ATENCAO - utilizacao acima de "&amp;TEXT(LIMITE_CONFORTAVEL,"0%"),"OK - capacidade suficiente")))</f>
        <v>OK - capacidade suficiente</v>
      </c>
      <c r="T37" s="19" t="n">
        <f aca="false">AUX_MATRIZES!AH152</f>
        <v>0.23868840717144</v>
      </c>
      <c r="U37" s="8" t="str">
        <f aca="false">AUX_MATRIZES!AH153</f>
        <v>TR06</v>
      </c>
      <c r="V37" s="8" t="str">
        <f aca="false">IF($T37&gt;LIMITE_CRITICO,"INVIAVEL - demanda excede a capacidade em 21 h/dia",IF($T37&gt;LIMITE_ATENCAO,"CRITICO - utilizacao acima de "&amp;TEXT(LIMITE_ATENCAO,"0%"),IF($T37&gt;LIMITE_CONFORTAVEL,"ATENCAO - utilizacao acima de "&amp;TEXT(LIMITE_CONFORTAVEL,"0%"),"OK - capacidade suficiente")))</f>
        <v>OK - capacidade suficiente</v>
      </c>
      <c r="W37" s="20" t="n">
        <f aca="false">AUX_MATRIZES!AH161</f>
        <v>823195.65702558</v>
      </c>
    </row>
    <row r="38" customFormat="false" ht="15" hidden="false" customHeight="false" outlineLevel="0" collapsed="false">
      <c r="B38" s="16" t="n">
        <f aca="false">SEMANAS!$B$38</f>
        <v>33</v>
      </c>
      <c r="C38" s="17" t="n">
        <f aca="false">SEMANAS!$C$38</f>
        <v>46489</v>
      </c>
      <c r="D38" s="17" t="n">
        <f aca="false">SEMANAS!$D$38</f>
        <v>46495</v>
      </c>
      <c r="E38" s="16" t="n">
        <f aca="false">AUX_MATRIZES!AI140</f>
        <v>877936.513205309</v>
      </c>
      <c r="F38" s="16" t="n">
        <f aca="false">AUX_MATRIZES!AI156*SEMANAS!$K$38</f>
        <v>4470818.1</v>
      </c>
      <c r="G38" s="19" t="n">
        <f aca="false">IFERROR($E38/$F38,0)</f>
        <v>0.196370439049021</v>
      </c>
      <c r="H38" s="16" t="n">
        <f aca="false">MAX(0,$E38-$F38)</f>
        <v>0</v>
      </c>
      <c r="I38" s="18" t="n">
        <f aca="false">AUX_MATRIZES!AI158</f>
        <v>0</v>
      </c>
      <c r="J38" s="18" t="n">
        <f aca="false">AUX_MATRIZES!AI160</f>
        <v>0</v>
      </c>
      <c r="K38" s="18" t="n">
        <f aca="false">IFERROR(MAX(0,$E38/AUX_MATRIZES!AI156-SEMANAS!$K$38),0)</f>
        <v>0</v>
      </c>
      <c r="L38" s="18" t="n">
        <f aca="false">IFERROR(MAX(0,$E38/SEMANAS!$K$38-AUX_MATRIZES!AI156),0)</f>
        <v>0</v>
      </c>
      <c r="M38" s="8" t="str">
        <f aca="false">IF($G38&gt;LIMITE_CRITICO,"INVIAVEL - demanda excede a capacidade em 21 h/dia",IF($G38&gt;LIMITE_ATENCAO,"CRITICO - utilizacao acima de "&amp;TEXT(LIMITE_ATENCAO,"0%"),IF($G38&gt;LIMITE_CONFORTAVEL,"ATENCAO - utilizacao acima de "&amp;TEXT(LIMITE_CONFORTAVEL,"0%"),"OK - capacidade suficiente")))</f>
        <v>OK - capacidade suficiente</v>
      </c>
      <c r="N38" s="19" t="n">
        <f aca="false">AUX_MATRIZES!AI148</f>
        <v>0.299638009049774</v>
      </c>
      <c r="O38" s="8" t="str">
        <f aca="false">AUX_MATRIZES!AI149</f>
        <v>PV 115</v>
      </c>
      <c r="P38" s="8" t="str">
        <f aca="false">IF($N38&gt;LIMITE_CRITICO,"INVIAVEL - demanda excede a capacidade em 21 h/dia",IF($N38&gt;LIMITE_ATENCAO,"CRITICO - utilizacao acima de "&amp;TEXT(LIMITE_ATENCAO,"0%"),IF($N38&gt;LIMITE_CONFORTAVEL,"ATENCAO - utilizacao acima de "&amp;TEXT(LIMITE_CONFORTAVEL,"0%"),"OK - capacidade suficiente")))</f>
        <v>OK - capacidade suficiente</v>
      </c>
      <c r="Q38" s="19" t="n">
        <f aca="false">AUX_MATRIZES!AI150</f>
        <v>0.240497741017379</v>
      </c>
      <c r="R38" s="8" t="str">
        <f aca="false">AUX_MATRIZES!AI151</f>
        <v>RM06</v>
      </c>
      <c r="S38" s="8" t="str">
        <f aca="false">IF($Q38&gt;LIMITE_CRITICO,"INVIAVEL - demanda excede a capacidade em 21 h/dia",IF($Q38&gt;LIMITE_ATENCAO,"CRITICO - utilizacao acima de "&amp;TEXT(LIMITE_ATENCAO,"0%"),IF($Q38&gt;LIMITE_CONFORTAVEL,"ATENCAO - utilizacao acima de "&amp;TEXT(LIMITE_CONFORTAVEL,"0%"),"OK - capacidade suficiente")))</f>
        <v>OK - capacidade suficiente</v>
      </c>
      <c r="T38" s="19" t="n">
        <f aca="false">AUX_MATRIZES!AI152</f>
        <v>0.240497741017379</v>
      </c>
      <c r="U38" s="8" t="str">
        <f aca="false">AUX_MATRIZES!AI153</f>
        <v>TR06</v>
      </c>
      <c r="V38" s="8" t="str">
        <f aca="false">IF($T38&gt;LIMITE_CRITICO,"INVIAVEL - demanda excede a capacidade em 21 h/dia",IF($T38&gt;LIMITE_ATENCAO,"CRITICO - utilizacao acima de "&amp;TEXT(LIMITE_ATENCAO,"0%"),IF($T38&gt;LIMITE_CONFORTAVEL,"ATENCAO - utilizacao acima de "&amp;TEXT(LIMITE_CONFORTAVEL,"0%"),"OK - capacidade suficiente")))</f>
        <v>OK - capacidade suficiente</v>
      </c>
      <c r="W38" s="20" t="n">
        <f aca="false">AUX_MATRIZES!AI161</f>
        <v>877936.513238309</v>
      </c>
    </row>
    <row r="39" customFormat="false" ht="15" hidden="false" customHeight="false" outlineLevel="0" collapsed="false">
      <c r="B39" s="16" t="n">
        <f aca="false">SEMANAS!$B$39</f>
        <v>34</v>
      </c>
      <c r="C39" s="17" t="n">
        <f aca="false">SEMANAS!$C$39</f>
        <v>46496</v>
      </c>
      <c r="D39" s="17" t="n">
        <f aca="false">SEMANAS!$D$39</f>
        <v>46502</v>
      </c>
      <c r="E39" s="16" t="n">
        <f aca="false">AUX_MATRIZES!AJ140</f>
        <v>916621.270459228</v>
      </c>
      <c r="F39" s="16" t="n">
        <f aca="false">AUX_MATRIZES!AJ156*SEMANAS!$K$39</f>
        <v>4470818.1</v>
      </c>
      <c r="G39" s="19" t="n">
        <f aca="false">IFERROR($E39/$F39,0)</f>
        <v>0.20502316353672</v>
      </c>
      <c r="H39" s="16" t="n">
        <f aca="false">MAX(0,$E39-$F39)</f>
        <v>0</v>
      </c>
      <c r="I39" s="18" t="n">
        <f aca="false">AUX_MATRIZES!AJ158</f>
        <v>0</v>
      </c>
      <c r="J39" s="18" t="n">
        <f aca="false">AUX_MATRIZES!AJ160</f>
        <v>0</v>
      </c>
      <c r="K39" s="18" t="n">
        <f aca="false">IFERROR(MAX(0,$E39/AUX_MATRIZES!AJ156-SEMANAS!$K$39),0)</f>
        <v>0</v>
      </c>
      <c r="L39" s="18" t="n">
        <f aca="false">IFERROR(MAX(0,$E39/SEMANAS!$K$39-AUX_MATRIZES!AJ156),0)</f>
        <v>0</v>
      </c>
      <c r="M39" s="8" t="str">
        <f aca="false">IF($G39&gt;LIMITE_CRITICO,"INVIAVEL - demanda excede a capacidade em 21 h/dia",IF($G39&gt;LIMITE_ATENCAO,"CRITICO - utilizacao acima de "&amp;TEXT(LIMITE_ATENCAO,"0%"),IF($G39&gt;LIMITE_CONFORTAVEL,"ATENCAO - utilizacao acima de "&amp;TEXT(LIMITE_CONFORTAVEL,"0%"),"OK - capacidade suficiente")))</f>
        <v>OK - capacidade suficiente</v>
      </c>
      <c r="N39" s="19" t="n">
        <f aca="false">AUX_MATRIZES!AJ148</f>
        <v>0.288972204266322</v>
      </c>
      <c r="O39" s="8" t="str">
        <f aca="false">AUX_MATRIZES!AJ149</f>
        <v>PV 115</v>
      </c>
      <c r="P39" s="8" t="str">
        <f aca="false">IF($N39&gt;LIMITE_CRITICO,"INVIAVEL - demanda excede a capacidade em 21 h/dia",IF($N39&gt;LIMITE_ATENCAO,"CRITICO - utilizacao acima de "&amp;TEXT(LIMITE_ATENCAO,"0%"),IF($N39&gt;LIMITE_CONFORTAVEL,"ATENCAO - utilizacao acima de "&amp;TEXT(LIMITE_CONFORTAVEL,"0%"),"OK - capacidade suficiente")))</f>
        <v>OK - capacidade suficiente</v>
      </c>
      <c r="Q39" s="19" t="n">
        <f aca="false">AUX_MATRIZES!AJ150</f>
        <v>0.252875175902458</v>
      </c>
      <c r="R39" s="8" t="str">
        <f aca="false">AUX_MATRIZES!AJ151</f>
        <v>RM04</v>
      </c>
      <c r="S39" s="8" t="str">
        <f aca="false">IF($Q39&gt;LIMITE_CRITICO,"INVIAVEL - demanda excede a capacidade em 21 h/dia",IF($Q39&gt;LIMITE_ATENCAO,"CRITICO - utilizacao acima de "&amp;TEXT(LIMITE_ATENCAO,"0%"),IF($Q39&gt;LIMITE_CONFORTAVEL,"ATENCAO - utilizacao acima de "&amp;TEXT(LIMITE_CONFORTAVEL,"0%"),"OK - capacidade suficiente")))</f>
        <v>OK - capacidade suficiente</v>
      </c>
      <c r="T39" s="19" t="n">
        <f aca="false">AUX_MATRIZES!AJ152</f>
        <v>0.252875175902458</v>
      </c>
      <c r="U39" s="8" t="str">
        <f aca="false">AUX_MATRIZES!AJ153</f>
        <v>TR04</v>
      </c>
      <c r="V39" s="8" t="str">
        <f aca="false">IF($T39&gt;LIMITE_CRITICO,"INVIAVEL - demanda excede a capacidade em 21 h/dia",IF($T39&gt;LIMITE_ATENCAO,"CRITICO - utilizacao acima de "&amp;TEXT(LIMITE_ATENCAO,"0%"),IF($T39&gt;LIMITE_CONFORTAVEL,"ATENCAO - utilizacao acima de "&amp;TEXT(LIMITE_CONFORTAVEL,"0%"),"OK - capacidade suficiente")))</f>
        <v>OK - capacidade suficiente</v>
      </c>
      <c r="W39" s="20" t="n">
        <f aca="false">AUX_MATRIZES!AJ161</f>
        <v>916621.270493228</v>
      </c>
    </row>
    <row r="40" customFormat="false" ht="15" hidden="false" customHeight="false" outlineLevel="0" collapsed="false">
      <c r="B40" s="16" t="n">
        <f aca="false">SEMANAS!$B$40</f>
        <v>35</v>
      </c>
      <c r="C40" s="17" t="n">
        <f aca="false">SEMANAS!$C$40</f>
        <v>46503</v>
      </c>
      <c r="D40" s="17" t="n">
        <f aca="false">SEMANAS!$D$40</f>
        <v>46509</v>
      </c>
      <c r="E40" s="16" t="n">
        <f aca="false">AUX_MATRIZES!AK140</f>
        <v>990112.832768172</v>
      </c>
      <c r="F40" s="16" t="n">
        <f aca="false">AUX_MATRIZES!AK156*SEMANAS!$K$40</f>
        <v>4470818.1</v>
      </c>
      <c r="G40" s="19" t="n">
        <f aca="false">IFERROR($E40/$F40,0)</f>
        <v>0.22146122043484</v>
      </c>
      <c r="H40" s="16" t="n">
        <f aca="false">MAX(0,$E40-$F40)</f>
        <v>0</v>
      </c>
      <c r="I40" s="18" t="n">
        <f aca="false">AUX_MATRIZES!AK158</f>
        <v>0</v>
      </c>
      <c r="J40" s="18" t="n">
        <f aca="false">AUX_MATRIZES!AK160</f>
        <v>0</v>
      </c>
      <c r="K40" s="18" t="n">
        <f aca="false">IFERROR(MAX(0,$E40/AUX_MATRIZES!AK156-SEMANAS!$K$40),0)</f>
        <v>0</v>
      </c>
      <c r="L40" s="18" t="n">
        <f aca="false">IFERROR(MAX(0,$E40/SEMANAS!$K$40-AUX_MATRIZES!AK156),0)</f>
        <v>0</v>
      </c>
      <c r="M40" s="8" t="str">
        <f aca="false">IF($G40&gt;LIMITE_CRITICO,"INVIAVEL - demanda excede a capacidade em 21 h/dia",IF($G40&gt;LIMITE_ATENCAO,"CRITICO - utilizacao acima de "&amp;TEXT(LIMITE_ATENCAO,"0%"),IF($G40&gt;LIMITE_CONFORTAVEL,"ATENCAO - utilizacao acima de "&amp;TEXT(LIMITE_CONFORTAVEL,"0%"),"OK - capacidade suficiente")))</f>
        <v>OK - capacidade suficiente</v>
      </c>
      <c r="N40" s="19" t="n">
        <f aca="false">AUX_MATRIZES!AK148</f>
        <v>0.304195793702096</v>
      </c>
      <c r="O40" s="8" t="str">
        <f aca="false">AUX_MATRIZES!AK149</f>
        <v>PV 118</v>
      </c>
      <c r="P40" s="8" t="str">
        <f aca="false">IF($N40&gt;LIMITE_CRITICO,"INVIAVEL - demanda excede a capacidade em 21 h/dia",IF($N40&gt;LIMITE_ATENCAO,"CRITICO - utilizacao acima de "&amp;TEXT(LIMITE_ATENCAO,"0%"),IF($N40&gt;LIMITE_CONFORTAVEL,"ATENCAO - utilizacao acima de "&amp;TEXT(LIMITE_CONFORTAVEL,"0%"),"OK - capacidade suficiente")))</f>
        <v>OK - capacidade suficiente</v>
      </c>
      <c r="Q40" s="19" t="n">
        <f aca="false">AUX_MATRIZES!AK150</f>
        <v>0.285120448179272</v>
      </c>
      <c r="R40" s="8" t="str">
        <f aca="false">AUX_MATRIZES!AK151</f>
        <v>RM01</v>
      </c>
      <c r="S40" s="8" t="str">
        <f aca="false">IF($Q40&gt;LIMITE_CRITICO,"INVIAVEL - demanda excede a capacidade em 21 h/dia",IF($Q40&gt;LIMITE_ATENCAO,"CRITICO - utilizacao acima de "&amp;TEXT(LIMITE_ATENCAO,"0%"),IF($Q40&gt;LIMITE_CONFORTAVEL,"ATENCAO - utilizacao acima de "&amp;TEXT(LIMITE_CONFORTAVEL,"0%"),"OK - capacidade suficiente")))</f>
        <v>OK - capacidade suficiente</v>
      </c>
      <c r="T40" s="19" t="n">
        <f aca="false">AUX_MATRIZES!AK152</f>
        <v>0.285120448179272</v>
      </c>
      <c r="U40" s="8" t="str">
        <f aca="false">AUX_MATRIZES!AK153</f>
        <v>TR01</v>
      </c>
      <c r="V40" s="8" t="str">
        <f aca="false">IF($T40&gt;LIMITE_CRITICO,"INVIAVEL - demanda excede a capacidade em 21 h/dia",IF($T40&gt;LIMITE_ATENCAO,"CRITICO - utilizacao acima de "&amp;TEXT(LIMITE_ATENCAO,"0%"),IF($T40&gt;LIMITE_CONFORTAVEL,"ATENCAO - utilizacao acima de "&amp;TEXT(LIMITE_CONFORTAVEL,"0%"),"OK - capacidade suficiente")))</f>
        <v>OK - capacidade suficiente</v>
      </c>
      <c r="W40" s="20" t="n">
        <f aca="false">AUX_MATRIZES!AK161</f>
        <v>990112.832803172</v>
      </c>
    </row>
    <row r="41" customFormat="false" ht="15" hidden="false" customHeight="false" outlineLevel="0" collapsed="false">
      <c r="B41" s="16" t="n">
        <f aca="false">SEMANAS!$B$41</f>
        <v>36</v>
      </c>
      <c r="C41" s="17" t="n">
        <f aca="false">SEMANAS!$C$41</f>
        <v>46510</v>
      </c>
      <c r="D41" s="17" t="n">
        <f aca="false">SEMANAS!$D$41</f>
        <v>46516</v>
      </c>
      <c r="E41" s="16" t="n">
        <f aca="false">AUX_MATRIZES!AL140</f>
        <v>1196823.54532322</v>
      </c>
      <c r="F41" s="16" t="n">
        <f aca="false">AUX_MATRIZES!AL156*SEMANAS!$K$41</f>
        <v>4470818.1</v>
      </c>
      <c r="G41" s="19" t="n">
        <f aca="false">IFERROR($E41/$F41,0)</f>
        <v>0.267696765682151</v>
      </c>
      <c r="H41" s="16" t="n">
        <f aca="false">MAX(0,$E41-$F41)</f>
        <v>0</v>
      </c>
      <c r="I41" s="18" t="n">
        <f aca="false">AUX_MATRIZES!AL158</f>
        <v>0</v>
      </c>
      <c r="J41" s="18" t="n">
        <f aca="false">AUX_MATRIZES!AL160</f>
        <v>0</v>
      </c>
      <c r="K41" s="18" t="n">
        <f aca="false">IFERROR(MAX(0,$E41/AUX_MATRIZES!AL156-SEMANAS!$K$41),0)</f>
        <v>0</v>
      </c>
      <c r="L41" s="18" t="n">
        <f aca="false">IFERROR(MAX(0,$E41/SEMANAS!$K$41-AUX_MATRIZES!AL156),0)</f>
        <v>0</v>
      </c>
      <c r="M41" s="8" t="str">
        <f aca="false">IF($G41&gt;LIMITE_CRITICO,"INVIAVEL - demanda excede a capacidade em 21 h/dia",IF($G41&gt;LIMITE_ATENCAO,"CRITICO - utilizacao acima de "&amp;TEXT(LIMITE_ATENCAO,"0%"),IF($G41&gt;LIMITE_CONFORTAVEL,"ATENCAO - utilizacao acima de "&amp;TEXT(LIMITE_CONFORTAVEL,"0%"),"OK - capacidade suficiente")))</f>
        <v>OK - capacidade suficiente</v>
      </c>
      <c r="N41" s="19" t="n">
        <f aca="false">AUX_MATRIZES!AL148</f>
        <v>0.360950226244344</v>
      </c>
      <c r="O41" s="8" t="str">
        <f aca="false">AUX_MATRIZES!AL149</f>
        <v>PV 118</v>
      </c>
      <c r="P41" s="8" t="str">
        <f aca="false">IF($N41&gt;LIMITE_CRITICO,"INVIAVEL - demanda excede a capacidade em 21 h/dia",IF($N41&gt;LIMITE_ATENCAO,"CRITICO - utilizacao acima de "&amp;TEXT(LIMITE_ATENCAO,"0%"),IF($N41&gt;LIMITE_CONFORTAVEL,"ATENCAO - utilizacao acima de "&amp;TEXT(LIMITE_CONFORTAVEL,"0%"),"OK - capacidade suficiente")))</f>
        <v>OK - capacidade suficiente</v>
      </c>
      <c r="Q41" s="19" t="n">
        <f aca="false">AUX_MATRIZES!AL150</f>
        <v>0.348705882352941</v>
      </c>
      <c r="R41" s="8" t="str">
        <f aca="false">AUX_MATRIZES!AL151</f>
        <v>RM01</v>
      </c>
      <c r="S41" s="8" t="str">
        <f aca="false">IF($Q41&gt;LIMITE_CRITICO,"INVIAVEL - demanda excede a capacidade em 21 h/dia",IF($Q41&gt;LIMITE_ATENCAO,"CRITICO - utilizacao acima de "&amp;TEXT(LIMITE_ATENCAO,"0%"),IF($Q41&gt;LIMITE_CONFORTAVEL,"ATENCAO - utilizacao acima de "&amp;TEXT(LIMITE_CONFORTAVEL,"0%"),"OK - capacidade suficiente")))</f>
        <v>OK - capacidade suficiente</v>
      </c>
      <c r="T41" s="19" t="n">
        <f aca="false">AUX_MATRIZES!AL152</f>
        <v>0.348705882352941</v>
      </c>
      <c r="U41" s="8" t="str">
        <f aca="false">AUX_MATRIZES!AL153</f>
        <v>TR01</v>
      </c>
      <c r="V41" s="8" t="str">
        <f aca="false">IF($T41&gt;LIMITE_CRITICO,"INVIAVEL - demanda excede a capacidade em 21 h/dia",IF($T41&gt;LIMITE_ATENCAO,"CRITICO - utilizacao acima de "&amp;TEXT(LIMITE_ATENCAO,"0%"),IF($T41&gt;LIMITE_CONFORTAVEL,"ATENCAO - utilizacao acima de "&amp;TEXT(LIMITE_CONFORTAVEL,"0%"),"OK - capacidade suficiente")))</f>
        <v>OK - capacidade suficiente</v>
      </c>
      <c r="W41" s="20" t="n">
        <f aca="false">AUX_MATRIZES!AL161</f>
        <v>1196823.54535922</v>
      </c>
    </row>
    <row r="42" customFormat="false" ht="15" hidden="false" customHeight="false" outlineLevel="0" collapsed="false">
      <c r="B42" s="16" t="n">
        <f aca="false">SEMANAS!$B$42</f>
        <v>37</v>
      </c>
      <c r="C42" s="17" t="n">
        <f aca="false">SEMANAS!$C$42</f>
        <v>46517</v>
      </c>
      <c r="D42" s="17" t="n">
        <f aca="false">SEMANAS!$D$42</f>
        <v>46523</v>
      </c>
      <c r="E42" s="16" t="n">
        <f aca="false">AUX_MATRIZES!AM140</f>
        <v>1161032.97989718</v>
      </c>
      <c r="F42" s="16" t="n">
        <f aca="false">AUX_MATRIZES!AM156*SEMANAS!$K$42</f>
        <v>4470818.1</v>
      </c>
      <c r="G42" s="19" t="n">
        <f aca="false">IFERROR($E42/$F42,0)</f>
        <v>0.25969139292363</v>
      </c>
      <c r="H42" s="16" t="n">
        <f aca="false">MAX(0,$E42-$F42)</f>
        <v>0</v>
      </c>
      <c r="I42" s="18" t="n">
        <f aca="false">AUX_MATRIZES!AM158</f>
        <v>0</v>
      </c>
      <c r="J42" s="18" t="n">
        <f aca="false">AUX_MATRIZES!AM160</f>
        <v>0</v>
      </c>
      <c r="K42" s="18" t="n">
        <f aca="false">IFERROR(MAX(0,$E42/AUX_MATRIZES!AM156-SEMANAS!$K$42),0)</f>
        <v>0</v>
      </c>
      <c r="L42" s="18" t="n">
        <f aca="false">IFERROR(MAX(0,$E42/SEMANAS!$K$42-AUX_MATRIZES!AM156),0)</f>
        <v>0</v>
      </c>
      <c r="M42" s="8" t="str">
        <f aca="false">IF($G42&gt;LIMITE_CRITICO,"INVIAVEL - demanda excede a capacidade em 21 h/dia",IF($G42&gt;LIMITE_ATENCAO,"CRITICO - utilizacao acima de "&amp;TEXT(LIMITE_ATENCAO,"0%"),IF($G42&gt;LIMITE_CONFORTAVEL,"ATENCAO - utilizacao acima de "&amp;TEXT(LIMITE_CONFORTAVEL,"0%"),"OK - capacidade suficiente")))</f>
        <v>OK - capacidade suficiente</v>
      </c>
      <c r="N42" s="19" t="n">
        <f aca="false">AUX_MATRIZES!AM148</f>
        <v>0.348705882352941</v>
      </c>
      <c r="O42" s="8" t="str">
        <f aca="false">AUX_MATRIZES!AM149</f>
        <v>PV 109</v>
      </c>
      <c r="P42" s="8" t="str">
        <f aca="false">IF($N42&gt;LIMITE_CRITICO,"INVIAVEL - demanda excede a capacidade em 21 h/dia",IF($N42&gt;LIMITE_ATENCAO,"CRITICO - utilizacao acima de "&amp;TEXT(LIMITE_ATENCAO,"0%"),IF($N42&gt;LIMITE_CONFORTAVEL,"ATENCAO - utilizacao acima de "&amp;TEXT(LIMITE_CONFORTAVEL,"0%"),"OK - capacidade suficiente")))</f>
        <v>OK - capacidade suficiente</v>
      </c>
      <c r="Q42" s="19" t="n">
        <f aca="false">AUX_MATRIZES!AM150</f>
        <v>0.348705882352941</v>
      </c>
      <c r="R42" s="8" t="str">
        <f aca="false">AUX_MATRIZES!AM151</f>
        <v>RM01</v>
      </c>
      <c r="S42" s="8" t="str">
        <f aca="false">IF($Q42&gt;LIMITE_CRITICO,"INVIAVEL - demanda excede a capacidade em 21 h/dia",IF($Q42&gt;LIMITE_ATENCAO,"CRITICO - utilizacao acima de "&amp;TEXT(LIMITE_ATENCAO,"0%"),IF($Q42&gt;LIMITE_CONFORTAVEL,"ATENCAO - utilizacao acima de "&amp;TEXT(LIMITE_CONFORTAVEL,"0%"),"OK - capacidade suficiente")))</f>
        <v>OK - capacidade suficiente</v>
      </c>
      <c r="T42" s="19" t="n">
        <f aca="false">AUX_MATRIZES!AM152</f>
        <v>0.348705882352941</v>
      </c>
      <c r="U42" s="8" t="str">
        <f aca="false">AUX_MATRIZES!AM153</f>
        <v>TR01</v>
      </c>
      <c r="V42" s="8" t="str">
        <f aca="false">IF($T42&gt;LIMITE_CRITICO,"INVIAVEL - demanda excede a capacidade em 21 h/dia",IF($T42&gt;LIMITE_ATENCAO,"CRITICO - utilizacao acima de "&amp;TEXT(LIMITE_ATENCAO,"0%"),IF($T42&gt;LIMITE_CONFORTAVEL,"ATENCAO - utilizacao acima de "&amp;TEXT(LIMITE_CONFORTAVEL,"0%"),"OK - capacidade suficiente")))</f>
        <v>OK - capacidade suficiente</v>
      </c>
      <c r="W42" s="20" t="n">
        <f aca="false">AUX_MATRIZES!AM161</f>
        <v>1161032.97993418</v>
      </c>
    </row>
    <row r="43" customFormat="false" ht="15" hidden="false" customHeight="false" outlineLevel="0" collapsed="false">
      <c r="B43" s="16" t="n">
        <f aca="false">SEMANAS!$B$43</f>
        <v>38</v>
      </c>
      <c r="C43" s="17" t="n">
        <f aca="false">SEMANAS!$C$43</f>
        <v>46524</v>
      </c>
      <c r="D43" s="17" t="n">
        <f aca="false">SEMANAS!$D$43</f>
        <v>46530</v>
      </c>
      <c r="E43" s="16" t="n">
        <f aca="false">AUX_MATRIZES!AN140</f>
        <v>1114742.10132408</v>
      </c>
      <c r="F43" s="16" t="n">
        <f aca="false">AUX_MATRIZES!AN156*SEMANAS!$K$43</f>
        <v>4470818.1</v>
      </c>
      <c r="G43" s="19" t="n">
        <f aca="false">IFERROR($E43/$F43,0)</f>
        <v>0.249337386668466</v>
      </c>
      <c r="H43" s="16" t="n">
        <f aca="false">MAX(0,$E43-$F43)</f>
        <v>0</v>
      </c>
      <c r="I43" s="18" t="n">
        <f aca="false">AUX_MATRIZES!AN158</f>
        <v>0</v>
      </c>
      <c r="J43" s="18" t="n">
        <f aca="false">AUX_MATRIZES!AN160</f>
        <v>0</v>
      </c>
      <c r="K43" s="18" t="n">
        <f aca="false">IFERROR(MAX(0,$E43/AUX_MATRIZES!AN156-SEMANAS!$K$43),0)</f>
        <v>0</v>
      </c>
      <c r="L43" s="18" t="n">
        <f aca="false">IFERROR(MAX(0,$E43/SEMANAS!$K$43-AUX_MATRIZES!AN156),0)</f>
        <v>0</v>
      </c>
      <c r="M43" s="8" t="str">
        <f aca="false">IF($G43&gt;LIMITE_CRITICO,"INVIAVEL - demanda excede a capacidade em 21 h/dia",IF($G43&gt;LIMITE_ATENCAO,"CRITICO - utilizacao acima de "&amp;TEXT(LIMITE_ATENCAO,"0%"),IF($G43&gt;LIMITE_CONFORTAVEL,"ATENCAO - utilizacao acima de "&amp;TEXT(LIMITE_CONFORTAVEL,"0%"),"OK - capacidade suficiente")))</f>
        <v>OK - capacidade suficiente</v>
      </c>
      <c r="N43" s="19" t="n">
        <f aca="false">AUX_MATRIZES!AN148</f>
        <v>0.348705882352941</v>
      </c>
      <c r="O43" s="8" t="str">
        <f aca="false">AUX_MATRIZES!AN149</f>
        <v>PV 109</v>
      </c>
      <c r="P43" s="8" t="str">
        <f aca="false">IF($N43&gt;LIMITE_CRITICO,"INVIAVEL - demanda excede a capacidade em 21 h/dia",IF($N43&gt;LIMITE_ATENCAO,"CRITICO - utilizacao acima de "&amp;TEXT(LIMITE_ATENCAO,"0%"),IF($N43&gt;LIMITE_CONFORTAVEL,"ATENCAO - utilizacao acima de "&amp;TEXT(LIMITE_CONFORTAVEL,"0%"),"OK - capacidade suficiente")))</f>
        <v>OK - capacidade suficiente</v>
      </c>
      <c r="Q43" s="19" t="n">
        <f aca="false">AUX_MATRIZES!AN150</f>
        <v>0.348705882352941</v>
      </c>
      <c r="R43" s="8" t="str">
        <f aca="false">AUX_MATRIZES!AN151</f>
        <v>RM01</v>
      </c>
      <c r="S43" s="8" t="str">
        <f aca="false">IF($Q43&gt;LIMITE_CRITICO,"INVIAVEL - demanda excede a capacidade em 21 h/dia",IF($Q43&gt;LIMITE_ATENCAO,"CRITICO - utilizacao acima de "&amp;TEXT(LIMITE_ATENCAO,"0%"),IF($Q43&gt;LIMITE_CONFORTAVEL,"ATENCAO - utilizacao acima de "&amp;TEXT(LIMITE_CONFORTAVEL,"0%"),"OK - capacidade suficiente")))</f>
        <v>OK - capacidade suficiente</v>
      </c>
      <c r="T43" s="19" t="n">
        <f aca="false">AUX_MATRIZES!AN152</f>
        <v>0.348705882352941</v>
      </c>
      <c r="U43" s="8" t="str">
        <f aca="false">AUX_MATRIZES!AN153</f>
        <v>TR01</v>
      </c>
      <c r="V43" s="8" t="str">
        <f aca="false">IF($T43&gt;LIMITE_CRITICO,"INVIAVEL - demanda excede a capacidade em 21 h/dia",IF($T43&gt;LIMITE_ATENCAO,"CRITICO - utilizacao acima de "&amp;TEXT(LIMITE_ATENCAO,"0%"),IF($T43&gt;LIMITE_CONFORTAVEL,"ATENCAO - utilizacao acima de "&amp;TEXT(LIMITE_CONFORTAVEL,"0%"),"OK - capacidade suficiente")))</f>
        <v>OK - capacidade suficiente</v>
      </c>
      <c r="W43" s="20" t="n">
        <f aca="false">AUX_MATRIZES!AN161</f>
        <v>1114742.10136208</v>
      </c>
    </row>
    <row r="44" customFormat="false" ht="15" hidden="false" customHeight="false" outlineLevel="0" collapsed="false">
      <c r="B44" s="16" t="n">
        <f aca="false">SEMANAS!$B$44</f>
        <v>39</v>
      </c>
      <c r="C44" s="17" t="n">
        <f aca="false">SEMANAS!$C$44</f>
        <v>46531</v>
      </c>
      <c r="D44" s="17" t="n">
        <f aca="false">SEMANAS!$D$44</f>
        <v>46537</v>
      </c>
      <c r="E44" s="16" t="n">
        <f aca="false">AUX_MATRIZES!AO140</f>
        <v>1035126.77548627</v>
      </c>
      <c r="F44" s="16" t="n">
        <f aca="false">AUX_MATRIZES!AO156*SEMANAS!$K$44</f>
        <v>4470818.1</v>
      </c>
      <c r="G44" s="19" t="n">
        <f aca="false">IFERROR($E44/$F44,0)</f>
        <v>0.231529610986918</v>
      </c>
      <c r="H44" s="16" t="n">
        <f aca="false">MAX(0,$E44-$F44)</f>
        <v>0</v>
      </c>
      <c r="I44" s="18" t="n">
        <f aca="false">AUX_MATRIZES!AO158</f>
        <v>0</v>
      </c>
      <c r="J44" s="18" t="n">
        <f aca="false">AUX_MATRIZES!AO160</f>
        <v>0</v>
      </c>
      <c r="K44" s="18" t="n">
        <f aca="false">IFERROR(MAX(0,$E44/AUX_MATRIZES!AO156-SEMANAS!$K$44),0)</f>
        <v>0</v>
      </c>
      <c r="L44" s="18" t="n">
        <f aca="false">IFERROR(MAX(0,$E44/SEMANAS!$K$44-AUX_MATRIZES!AO156),0)</f>
        <v>0</v>
      </c>
      <c r="M44" s="8" t="str">
        <f aca="false">IF($G44&gt;LIMITE_CRITICO,"INVIAVEL - demanda excede a capacidade em 21 h/dia",IF($G44&gt;LIMITE_ATENCAO,"CRITICO - utilizacao acima de "&amp;TEXT(LIMITE_ATENCAO,"0%"),IF($G44&gt;LIMITE_CONFORTAVEL,"ATENCAO - utilizacao acima de "&amp;TEXT(LIMITE_CONFORTAVEL,"0%"),"OK - capacidade suficiente")))</f>
        <v>OK - capacidade suficiente</v>
      </c>
      <c r="N44" s="19" t="n">
        <f aca="false">AUX_MATRIZES!AO148</f>
        <v>0.348705882352941</v>
      </c>
      <c r="O44" s="8" t="str">
        <f aca="false">AUX_MATRIZES!AO149</f>
        <v>PV 109</v>
      </c>
      <c r="P44" s="8" t="str">
        <f aca="false">IF($N44&gt;LIMITE_CRITICO,"INVIAVEL - demanda excede a capacidade em 21 h/dia",IF($N44&gt;LIMITE_ATENCAO,"CRITICO - utilizacao acima de "&amp;TEXT(LIMITE_ATENCAO,"0%"),IF($N44&gt;LIMITE_CONFORTAVEL,"ATENCAO - utilizacao acima de "&amp;TEXT(LIMITE_CONFORTAVEL,"0%"),"OK - capacidade suficiente")))</f>
        <v>OK - capacidade suficiente</v>
      </c>
      <c r="Q44" s="19" t="n">
        <f aca="false">AUX_MATRIZES!AO150</f>
        <v>0.348705882352941</v>
      </c>
      <c r="R44" s="8" t="str">
        <f aca="false">AUX_MATRIZES!AO151</f>
        <v>RM01</v>
      </c>
      <c r="S44" s="8" t="str">
        <f aca="false">IF($Q44&gt;LIMITE_CRITICO,"INVIAVEL - demanda excede a capacidade em 21 h/dia",IF($Q44&gt;LIMITE_ATENCAO,"CRITICO - utilizacao acima de "&amp;TEXT(LIMITE_ATENCAO,"0%"),IF($Q44&gt;LIMITE_CONFORTAVEL,"ATENCAO - utilizacao acima de "&amp;TEXT(LIMITE_CONFORTAVEL,"0%"),"OK - capacidade suficiente")))</f>
        <v>OK - capacidade suficiente</v>
      </c>
      <c r="T44" s="19" t="n">
        <f aca="false">AUX_MATRIZES!AO152</f>
        <v>0.348705882352941</v>
      </c>
      <c r="U44" s="8" t="str">
        <f aca="false">AUX_MATRIZES!AO153</f>
        <v>TR01</v>
      </c>
      <c r="V44" s="8" t="str">
        <f aca="false">IF($T44&gt;LIMITE_CRITICO,"INVIAVEL - demanda excede a capacidade em 21 h/dia",IF($T44&gt;LIMITE_ATENCAO,"CRITICO - utilizacao acima de "&amp;TEXT(LIMITE_ATENCAO,"0%"),IF($T44&gt;LIMITE_CONFORTAVEL,"ATENCAO - utilizacao acima de "&amp;TEXT(LIMITE_CONFORTAVEL,"0%"),"OK - capacidade suficiente")))</f>
        <v>OK - capacidade suficiente</v>
      </c>
      <c r="W44" s="20" t="n">
        <f aca="false">AUX_MATRIZES!AO161</f>
        <v>1035126.77552527</v>
      </c>
    </row>
    <row r="45" customFormat="false" ht="15" hidden="false" customHeight="false" outlineLevel="0" collapsed="false">
      <c r="B45" s="16" t="n">
        <f aca="false">SEMANAS!$B$45</f>
        <v>40</v>
      </c>
      <c r="C45" s="17" t="n">
        <f aca="false">SEMANAS!$C$45</f>
        <v>46538</v>
      </c>
      <c r="D45" s="17" t="n">
        <f aca="false">SEMANAS!$D$45</f>
        <v>46544</v>
      </c>
      <c r="E45" s="16" t="n">
        <f aca="false">AUX_MATRIZES!AP140</f>
        <v>995342.916109991</v>
      </c>
      <c r="F45" s="16" t="n">
        <f aca="false">AUX_MATRIZES!AP156*SEMANAS!$K$45</f>
        <v>4470818.1</v>
      </c>
      <c r="G45" s="19" t="n">
        <f aca="false">IFERROR($E45/$F45,0)</f>
        <v>0.222631047349028</v>
      </c>
      <c r="H45" s="16" t="n">
        <f aca="false">MAX(0,$E45-$F45)</f>
        <v>0</v>
      </c>
      <c r="I45" s="18" t="n">
        <f aca="false">AUX_MATRIZES!AP158</f>
        <v>0</v>
      </c>
      <c r="J45" s="18" t="n">
        <f aca="false">AUX_MATRIZES!AP160</f>
        <v>0</v>
      </c>
      <c r="K45" s="18" t="n">
        <f aca="false">IFERROR(MAX(0,$E45/AUX_MATRIZES!AP156-SEMANAS!$K$45),0)</f>
        <v>0</v>
      </c>
      <c r="L45" s="18" t="n">
        <f aca="false">IFERROR(MAX(0,$E45/SEMANAS!$K$45-AUX_MATRIZES!AP156),0)</f>
        <v>0</v>
      </c>
      <c r="M45" s="8" t="str">
        <f aca="false">IF($G45&gt;LIMITE_CRITICO,"INVIAVEL - demanda excede a capacidade em 21 h/dia",IF($G45&gt;LIMITE_ATENCAO,"CRITICO - utilizacao acima de "&amp;TEXT(LIMITE_ATENCAO,"0%"),IF($G45&gt;LIMITE_CONFORTAVEL,"ATENCAO - utilizacao acima de "&amp;TEXT(LIMITE_CONFORTAVEL,"0%"),"OK - capacidade suficiente")))</f>
        <v>OK - capacidade suficiente</v>
      </c>
      <c r="N45" s="19" t="n">
        <f aca="false">AUX_MATRIZES!AP148</f>
        <v>0.349915966386555</v>
      </c>
      <c r="O45" s="8" t="str">
        <f aca="false">AUX_MATRIZES!AP149</f>
        <v>PV 109</v>
      </c>
      <c r="P45" s="8" t="str">
        <f aca="false">IF($N45&gt;LIMITE_CRITICO,"INVIAVEL - demanda excede a capacidade em 21 h/dia",IF($N45&gt;LIMITE_ATENCAO,"CRITICO - utilizacao acima de "&amp;TEXT(LIMITE_ATENCAO,"0%"),IF($N45&gt;LIMITE_CONFORTAVEL,"ATENCAO - utilizacao acima de "&amp;TEXT(LIMITE_CONFORTAVEL,"0%"),"OK - capacidade suficiente")))</f>
        <v>OK - capacidade suficiente</v>
      </c>
      <c r="Q45" s="19" t="n">
        <f aca="false">AUX_MATRIZES!AP150</f>
        <v>0.349915966386555</v>
      </c>
      <c r="R45" s="8" t="str">
        <f aca="false">AUX_MATRIZES!AP151</f>
        <v>RM01</v>
      </c>
      <c r="S45" s="8" t="str">
        <f aca="false">IF($Q45&gt;LIMITE_CRITICO,"INVIAVEL - demanda excede a capacidade em 21 h/dia",IF($Q45&gt;LIMITE_ATENCAO,"CRITICO - utilizacao acima de "&amp;TEXT(LIMITE_ATENCAO,"0%"),IF($Q45&gt;LIMITE_CONFORTAVEL,"ATENCAO - utilizacao acima de "&amp;TEXT(LIMITE_CONFORTAVEL,"0%"),"OK - capacidade suficiente")))</f>
        <v>OK - capacidade suficiente</v>
      </c>
      <c r="T45" s="19" t="n">
        <f aca="false">AUX_MATRIZES!AP152</f>
        <v>0.349915966386555</v>
      </c>
      <c r="U45" s="8" t="str">
        <f aca="false">AUX_MATRIZES!AP153</f>
        <v>TR01</v>
      </c>
      <c r="V45" s="8" t="str">
        <f aca="false">IF($T45&gt;LIMITE_CRITICO,"INVIAVEL - demanda excede a capacidade em 21 h/dia",IF($T45&gt;LIMITE_ATENCAO,"CRITICO - utilizacao acima de "&amp;TEXT(LIMITE_ATENCAO,"0%"),IF($T45&gt;LIMITE_CONFORTAVEL,"ATENCAO - utilizacao acima de "&amp;TEXT(LIMITE_CONFORTAVEL,"0%"),"OK - capacidade suficiente")))</f>
        <v>OK - capacidade suficiente</v>
      </c>
      <c r="W45" s="20" t="n">
        <f aca="false">AUX_MATRIZES!AP161</f>
        <v>995342.916149991</v>
      </c>
    </row>
    <row r="46" customFormat="false" ht="15" hidden="false" customHeight="false" outlineLevel="0" collapsed="false">
      <c r="B46" s="16" t="n">
        <f aca="false">SEMANAS!$B$46</f>
        <v>41</v>
      </c>
      <c r="C46" s="17" t="n">
        <f aca="false">SEMANAS!$C$46</f>
        <v>46545</v>
      </c>
      <c r="D46" s="17" t="n">
        <f aca="false">SEMANAS!$D$46</f>
        <v>46551</v>
      </c>
      <c r="E46" s="16" t="n">
        <f aca="false">AUX_MATRIZES!AQ140</f>
        <v>974858.177993343</v>
      </c>
      <c r="F46" s="16" t="n">
        <f aca="false">AUX_MATRIZES!AQ156*SEMANAS!$K$46</f>
        <v>4470818.1</v>
      </c>
      <c r="G46" s="19" t="n">
        <f aca="false">IFERROR($E46/$F46,0)</f>
        <v>0.218049170462413</v>
      </c>
      <c r="H46" s="16" t="n">
        <f aca="false">MAX(0,$E46-$F46)</f>
        <v>0</v>
      </c>
      <c r="I46" s="18" t="n">
        <f aca="false">AUX_MATRIZES!AQ158</f>
        <v>0</v>
      </c>
      <c r="J46" s="18" t="n">
        <f aca="false">AUX_MATRIZES!AQ160</f>
        <v>0</v>
      </c>
      <c r="K46" s="18" t="n">
        <f aca="false">IFERROR(MAX(0,$E46/AUX_MATRIZES!AQ156-SEMANAS!$K$46),0)</f>
        <v>0</v>
      </c>
      <c r="L46" s="18" t="n">
        <f aca="false">IFERROR(MAX(0,$E46/SEMANAS!$K$46-AUX_MATRIZES!AQ156),0)</f>
        <v>0</v>
      </c>
      <c r="M46" s="8" t="str">
        <f aca="false">IF($G46&gt;LIMITE_CRITICO,"INVIAVEL - demanda excede a capacidade em 21 h/dia",IF($G46&gt;LIMITE_ATENCAO,"CRITICO - utilizacao acima de "&amp;TEXT(LIMITE_ATENCAO,"0%"),IF($G46&gt;LIMITE_CONFORTAVEL,"ATENCAO - utilizacao acima de "&amp;TEXT(LIMITE_CONFORTAVEL,"0%"),"OK - capacidade suficiente")))</f>
        <v>OK - capacidade suficiente</v>
      </c>
      <c r="N46" s="19" t="n">
        <f aca="false">AUX_MATRIZES!AQ148</f>
        <v>0.350117647058824</v>
      </c>
      <c r="O46" s="8" t="str">
        <f aca="false">AUX_MATRIZES!AQ149</f>
        <v>PV 109</v>
      </c>
      <c r="P46" s="8" t="str">
        <f aca="false">IF($N46&gt;LIMITE_CRITICO,"INVIAVEL - demanda excede a capacidade em 21 h/dia",IF($N46&gt;LIMITE_ATENCAO,"CRITICO - utilizacao acima de "&amp;TEXT(LIMITE_ATENCAO,"0%"),IF($N46&gt;LIMITE_CONFORTAVEL,"ATENCAO - utilizacao acima de "&amp;TEXT(LIMITE_CONFORTAVEL,"0%"),"OK - capacidade suficiente")))</f>
        <v>OK - capacidade suficiente</v>
      </c>
      <c r="Q46" s="19" t="n">
        <f aca="false">AUX_MATRIZES!AQ150</f>
        <v>0.350117647058824</v>
      </c>
      <c r="R46" s="8" t="str">
        <f aca="false">AUX_MATRIZES!AQ151</f>
        <v>RM01</v>
      </c>
      <c r="S46" s="8" t="str">
        <f aca="false">IF($Q46&gt;LIMITE_CRITICO,"INVIAVEL - demanda excede a capacidade em 21 h/dia",IF($Q46&gt;LIMITE_ATENCAO,"CRITICO - utilizacao acima de "&amp;TEXT(LIMITE_ATENCAO,"0%"),IF($Q46&gt;LIMITE_CONFORTAVEL,"ATENCAO - utilizacao acima de "&amp;TEXT(LIMITE_CONFORTAVEL,"0%"),"OK - capacidade suficiente")))</f>
        <v>OK - capacidade suficiente</v>
      </c>
      <c r="T46" s="19" t="n">
        <f aca="false">AUX_MATRIZES!AQ152</f>
        <v>0.350117647058824</v>
      </c>
      <c r="U46" s="8" t="str">
        <f aca="false">AUX_MATRIZES!AQ153</f>
        <v>TR01</v>
      </c>
      <c r="V46" s="8" t="str">
        <f aca="false">IF($T46&gt;LIMITE_CRITICO,"INVIAVEL - demanda excede a capacidade em 21 h/dia",IF($T46&gt;LIMITE_ATENCAO,"CRITICO - utilizacao acima de "&amp;TEXT(LIMITE_ATENCAO,"0%"),IF($T46&gt;LIMITE_CONFORTAVEL,"ATENCAO - utilizacao acima de "&amp;TEXT(LIMITE_CONFORTAVEL,"0%"),"OK - capacidade suficiente")))</f>
        <v>OK - capacidade suficiente</v>
      </c>
      <c r="W46" s="20" t="n">
        <f aca="false">AUX_MATRIZES!AQ161</f>
        <v>974858.178034343</v>
      </c>
    </row>
    <row r="47" customFormat="false" ht="15" hidden="false" customHeight="false" outlineLevel="0" collapsed="false">
      <c r="B47" s="16" t="n">
        <f aca="false">SEMANAS!$B$47</f>
        <v>42</v>
      </c>
      <c r="C47" s="17" t="n">
        <f aca="false">SEMANAS!$C$47</f>
        <v>46552</v>
      </c>
      <c r="D47" s="17" t="n">
        <f aca="false">SEMANAS!$D$47</f>
        <v>46558</v>
      </c>
      <c r="E47" s="16" t="n">
        <f aca="false">AUX_MATRIZES!AR140</f>
        <v>740644.031245852</v>
      </c>
      <c r="F47" s="16" t="n">
        <f aca="false">AUX_MATRIZES!AR156*SEMANAS!$K$47</f>
        <v>4470818.1</v>
      </c>
      <c r="G47" s="19" t="n">
        <f aca="false">IFERROR($E47/$F47,0)</f>
        <v>0.165661857557088</v>
      </c>
      <c r="H47" s="16" t="n">
        <f aca="false">MAX(0,$E47-$F47)</f>
        <v>0</v>
      </c>
      <c r="I47" s="18" t="n">
        <f aca="false">AUX_MATRIZES!AR158</f>
        <v>0</v>
      </c>
      <c r="J47" s="18" t="n">
        <f aca="false">AUX_MATRIZES!AR160</f>
        <v>0</v>
      </c>
      <c r="K47" s="18" t="n">
        <f aca="false">IFERROR(MAX(0,$E47/AUX_MATRIZES!AR156-SEMANAS!$K$47),0)</f>
        <v>0</v>
      </c>
      <c r="L47" s="18" t="n">
        <f aca="false">IFERROR(MAX(0,$E47/SEMANAS!$K$47-AUX_MATRIZES!AR156),0)</f>
        <v>0</v>
      </c>
      <c r="M47" s="8" t="str">
        <f aca="false">IF($G47&gt;LIMITE_CRITICO,"INVIAVEL - demanda excede a capacidade em 21 h/dia",IF($G47&gt;LIMITE_ATENCAO,"CRITICO - utilizacao acima de "&amp;TEXT(LIMITE_ATENCAO,"0%"),IF($G47&gt;LIMITE_CONFORTAVEL,"ATENCAO - utilizacao acima de "&amp;TEXT(LIMITE_CONFORTAVEL,"0%"),"OK - capacidade suficiente")))</f>
        <v>OK - capacidade suficiente</v>
      </c>
      <c r="N47" s="19" t="n">
        <f aca="false">AUX_MATRIZES!AR148</f>
        <v>0.350117647058824</v>
      </c>
      <c r="O47" s="8" t="str">
        <f aca="false">AUX_MATRIZES!AR149</f>
        <v>PV 109</v>
      </c>
      <c r="P47" s="8" t="str">
        <f aca="false">IF($N47&gt;LIMITE_CRITICO,"INVIAVEL - demanda excede a capacidade em 21 h/dia",IF($N47&gt;LIMITE_ATENCAO,"CRITICO - utilizacao acima de "&amp;TEXT(LIMITE_ATENCAO,"0%"),IF($N47&gt;LIMITE_CONFORTAVEL,"ATENCAO - utilizacao acima de "&amp;TEXT(LIMITE_CONFORTAVEL,"0%"),"OK - capacidade suficiente")))</f>
        <v>OK - capacidade suficiente</v>
      </c>
      <c r="Q47" s="19" t="n">
        <f aca="false">AUX_MATRIZES!AR150</f>
        <v>0.350117647058824</v>
      </c>
      <c r="R47" s="8" t="str">
        <f aca="false">AUX_MATRIZES!AR151</f>
        <v>RM01</v>
      </c>
      <c r="S47" s="8" t="str">
        <f aca="false">IF($Q47&gt;LIMITE_CRITICO,"INVIAVEL - demanda excede a capacidade em 21 h/dia",IF($Q47&gt;LIMITE_ATENCAO,"CRITICO - utilizacao acima de "&amp;TEXT(LIMITE_ATENCAO,"0%"),IF($Q47&gt;LIMITE_CONFORTAVEL,"ATENCAO - utilizacao acima de "&amp;TEXT(LIMITE_CONFORTAVEL,"0%"),"OK - capacidade suficiente")))</f>
        <v>OK - capacidade suficiente</v>
      </c>
      <c r="T47" s="19" t="n">
        <f aca="false">AUX_MATRIZES!AR152</f>
        <v>0.350117647058824</v>
      </c>
      <c r="U47" s="8" t="str">
        <f aca="false">AUX_MATRIZES!AR153</f>
        <v>TR01</v>
      </c>
      <c r="V47" s="8" t="str">
        <f aca="false">IF($T47&gt;LIMITE_CRITICO,"INVIAVEL - demanda excede a capacidade em 21 h/dia",IF($T47&gt;LIMITE_ATENCAO,"CRITICO - utilizacao acima de "&amp;TEXT(LIMITE_ATENCAO,"0%"),IF($T47&gt;LIMITE_CONFORTAVEL,"ATENCAO - utilizacao acima de "&amp;TEXT(LIMITE_CONFORTAVEL,"0%"),"OK - capacidade suficiente")))</f>
        <v>OK - capacidade suficiente</v>
      </c>
      <c r="W47" s="20" t="n">
        <f aca="false">AUX_MATRIZES!AR161</f>
        <v>740644.031287852</v>
      </c>
    </row>
    <row r="48" customFormat="false" ht="15" hidden="false" customHeight="false" outlineLevel="0" collapsed="false">
      <c r="B48" s="16" t="n">
        <f aca="false">SEMANAS!$B$48</f>
        <v>43</v>
      </c>
      <c r="C48" s="17" t="n">
        <f aca="false">SEMANAS!$C$48</f>
        <v>46559</v>
      </c>
      <c r="D48" s="17" t="n">
        <f aca="false">SEMANAS!$D$48</f>
        <v>46565</v>
      </c>
      <c r="E48" s="16" t="n">
        <f aca="false">AUX_MATRIZES!AS140</f>
        <v>690658.262791977</v>
      </c>
      <c r="F48" s="16" t="n">
        <f aca="false">AUX_MATRIZES!AS156*SEMANAS!$K$48</f>
        <v>4470818.1</v>
      </c>
      <c r="G48" s="19" t="n">
        <f aca="false">IFERROR($E48/$F48,0)</f>
        <v>0.154481405269424</v>
      </c>
      <c r="H48" s="16" t="n">
        <f aca="false">MAX(0,$E48-$F48)</f>
        <v>0</v>
      </c>
      <c r="I48" s="18" t="n">
        <f aca="false">AUX_MATRIZES!AS158</f>
        <v>0</v>
      </c>
      <c r="J48" s="18" t="n">
        <f aca="false">AUX_MATRIZES!AS160</f>
        <v>0</v>
      </c>
      <c r="K48" s="18" t="n">
        <f aca="false">IFERROR(MAX(0,$E48/AUX_MATRIZES!AS156-SEMANAS!$K$48),0)</f>
        <v>0</v>
      </c>
      <c r="L48" s="18" t="n">
        <f aca="false">IFERROR(MAX(0,$E48/SEMANAS!$K$48-AUX_MATRIZES!AS156),0)</f>
        <v>0</v>
      </c>
      <c r="M48" s="8" t="str">
        <f aca="false">IF($G48&gt;LIMITE_CRITICO,"INVIAVEL - demanda excede a capacidade em 21 h/dia",IF($G48&gt;LIMITE_ATENCAO,"CRITICO - utilizacao acima de "&amp;TEXT(LIMITE_ATENCAO,"0%"),IF($G48&gt;LIMITE_CONFORTAVEL,"ATENCAO - utilizacao acima de "&amp;TEXT(LIMITE_CONFORTAVEL,"0%"),"OK - capacidade suficiente")))</f>
        <v>OK - capacidade suficiente</v>
      </c>
      <c r="N48" s="19" t="n">
        <f aca="false">AUX_MATRIZES!AS148</f>
        <v>0.350117647058824</v>
      </c>
      <c r="O48" s="8" t="str">
        <f aca="false">AUX_MATRIZES!AS149</f>
        <v>PV 109</v>
      </c>
      <c r="P48" s="8" t="str">
        <f aca="false">IF($N48&gt;LIMITE_CRITICO,"INVIAVEL - demanda excede a capacidade em 21 h/dia",IF($N48&gt;LIMITE_ATENCAO,"CRITICO - utilizacao acima de "&amp;TEXT(LIMITE_ATENCAO,"0%"),IF($N48&gt;LIMITE_CONFORTAVEL,"ATENCAO - utilizacao acima de "&amp;TEXT(LIMITE_CONFORTAVEL,"0%"),"OK - capacidade suficiente")))</f>
        <v>OK - capacidade suficiente</v>
      </c>
      <c r="Q48" s="19" t="n">
        <f aca="false">AUX_MATRIZES!AS150</f>
        <v>0.350117647058824</v>
      </c>
      <c r="R48" s="8" t="str">
        <f aca="false">AUX_MATRIZES!AS151</f>
        <v>RM01</v>
      </c>
      <c r="S48" s="8" t="str">
        <f aca="false">IF($Q48&gt;LIMITE_CRITICO,"INVIAVEL - demanda excede a capacidade em 21 h/dia",IF($Q48&gt;LIMITE_ATENCAO,"CRITICO - utilizacao acima de "&amp;TEXT(LIMITE_ATENCAO,"0%"),IF($Q48&gt;LIMITE_CONFORTAVEL,"ATENCAO - utilizacao acima de "&amp;TEXT(LIMITE_CONFORTAVEL,"0%"),"OK - capacidade suficiente")))</f>
        <v>OK - capacidade suficiente</v>
      </c>
      <c r="T48" s="19" t="n">
        <f aca="false">AUX_MATRIZES!AS152</f>
        <v>0.350117647058824</v>
      </c>
      <c r="U48" s="8" t="str">
        <f aca="false">AUX_MATRIZES!AS153</f>
        <v>TR01</v>
      </c>
      <c r="V48" s="8" t="str">
        <f aca="false">IF($T48&gt;LIMITE_CRITICO,"INVIAVEL - demanda excede a capacidade em 21 h/dia",IF($T48&gt;LIMITE_ATENCAO,"CRITICO - utilizacao acima de "&amp;TEXT(LIMITE_ATENCAO,"0%"),IF($T48&gt;LIMITE_CONFORTAVEL,"ATENCAO - utilizacao acima de "&amp;TEXT(LIMITE_CONFORTAVEL,"0%"),"OK - capacidade suficiente")))</f>
        <v>OK - capacidade suficiente</v>
      </c>
      <c r="W48" s="20" t="n">
        <f aca="false">AUX_MATRIZES!AS161</f>
        <v>690658.262834977</v>
      </c>
    </row>
    <row r="49" customFormat="false" ht="15" hidden="false" customHeight="false" outlineLevel="0" collapsed="false">
      <c r="B49" s="16" t="n">
        <f aca="false">SEMANAS!$B$49</f>
        <v>44</v>
      </c>
      <c r="C49" s="17" t="n">
        <f aca="false">SEMANAS!$C$49</f>
        <v>46566</v>
      </c>
      <c r="D49" s="17" t="n">
        <f aca="false">SEMANAS!$D$49</f>
        <v>46572</v>
      </c>
      <c r="E49" s="16" t="n">
        <f aca="false">AUX_MATRIZES!AT140</f>
        <v>638311.826778272</v>
      </c>
      <c r="F49" s="16" t="n">
        <f aca="false">AUX_MATRIZES!AT156*SEMANAS!$K$49</f>
        <v>4470818.1</v>
      </c>
      <c r="G49" s="19" t="n">
        <f aca="false">IFERROR($E49/$F49,0)</f>
        <v>0.142772936071425</v>
      </c>
      <c r="H49" s="16" t="n">
        <f aca="false">MAX(0,$E49-$F49)</f>
        <v>0</v>
      </c>
      <c r="I49" s="18" t="n">
        <f aca="false">AUX_MATRIZES!AT158</f>
        <v>0</v>
      </c>
      <c r="J49" s="18" t="n">
        <f aca="false">AUX_MATRIZES!AT160</f>
        <v>0</v>
      </c>
      <c r="K49" s="18" t="n">
        <f aca="false">IFERROR(MAX(0,$E49/AUX_MATRIZES!AT156-SEMANAS!$K$49),0)</f>
        <v>0</v>
      </c>
      <c r="L49" s="18" t="n">
        <f aca="false">IFERROR(MAX(0,$E49/SEMANAS!$K$49-AUX_MATRIZES!AT156),0)</f>
        <v>0</v>
      </c>
      <c r="M49" s="8" t="str">
        <f aca="false">IF($G49&gt;LIMITE_CRITICO,"INVIAVEL - demanda excede a capacidade em 21 h/dia",IF($G49&gt;LIMITE_ATENCAO,"CRITICO - utilizacao acima de "&amp;TEXT(LIMITE_ATENCAO,"0%"),IF($G49&gt;LIMITE_CONFORTAVEL,"ATENCAO - utilizacao acima de "&amp;TEXT(LIMITE_CONFORTAVEL,"0%"),"OK - capacidade suficiente")))</f>
        <v>OK - capacidade suficiente</v>
      </c>
      <c r="N49" s="19" t="n">
        <f aca="false">AUX_MATRIZES!AT148</f>
        <v>0.364090880796763</v>
      </c>
      <c r="O49" s="8" t="str">
        <f aca="false">AUX_MATRIZES!AT149</f>
        <v>PV 121</v>
      </c>
      <c r="P49" s="8" t="str">
        <f aca="false">IF($N49&gt;LIMITE_CRITICO,"INVIAVEL - demanda excede a capacidade em 21 h/dia",IF($N49&gt;LIMITE_ATENCAO,"CRITICO - utilizacao acima de "&amp;TEXT(LIMITE_ATENCAO,"0%"),IF($N49&gt;LIMITE_CONFORTAVEL,"ATENCAO - utilizacao acima de "&amp;TEXT(LIMITE_CONFORTAVEL,"0%"),"OK - capacidade suficiente")))</f>
        <v>OK - capacidade suficiente</v>
      </c>
      <c r="Q49" s="19" t="n">
        <f aca="false">AUX_MATRIZES!AT150</f>
        <v>0.352929520526159</v>
      </c>
      <c r="R49" s="8" t="str">
        <f aca="false">AUX_MATRIZES!AT151</f>
        <v>RM03</v>
      </c>
      <c r="S49" s="8" t="str">
        <f aca="false">IF($Q49&gt;LIMITE_CRITICO,"INVIAVEL - demanda excede a capacidade em 21 h/dia",IF($Q49&gt;LIMITE_ATENCAO,"CRITICO - utilizacao acima de "&amp;TEXT(LIMITE_ATENCAO,"0%"),IF($Q49&gt;LIMITE_CONFORTAVEL,"ATENCAO - utilizacao acima de "&amp;TEXT(LIMITE_CONFORTAVEL,"0%"),"OK - capacidade suficiente")))</f>
        <v>OK - capacidade suficiente</v>
      </c>
      <c r="T49" s="19" t="n">
        <f aca="false">AUX_MATRIZES!AT152</f>
        <v>0.352929520526159</v>
      </c>
      <c r="U49" s="8" t="str">
        <f aca="false">AUX_MATRIZES!AT153</f>
        <v>TR03</v>
      </c>
      <c r="V49" s="8" t="str">
        <f aca="false">IF($T49&gt;LIMITE_CRITICO,"INVIAVEL - demanda excede a capacidade em 21 h/dia",IF($T49&gt;LIMITE_ATENCAO,"CRITICO - utilizacao acima de "&amp;TEXT(LIMITE_ATENCAO,"0%"),IF($T49&gt;LIMITE_CONFORTAVEL,"ATENCAO - utilizacao acima de "&amp;TEXT(LIMITE_CONFORTAVEL,"0%"),"OK - capacidade suficiente")))</f>
        <v>OK - capacidade suficiente</v>
      </c>
      <c r="W49" s="20" t="n">
        <f aca="false">AUX_MATRIZES!AT161</f>
        <v>638311.826822272</v>
      </c>
    </row>
    <row r="50" customFormat="false" ht="15" hidden="false" customHeight="false" outlineLevel="0" collapsed="false">
      <c r="B50" s="16" t="n">
        <f aca="false">SEMANAS!$B$50</f>
        <v>45</v>
      </c>
      <c r="C50" s="17" t="n">
        <f aca="false">SEMANAS!$C$50</f>
        <v>46573</v>
      </c>
      <c r="D50" s="17" t="n">
        <f aca="false">SEMANAS!$D$50</f>
        <v>46579</v>
      </c>
      <c r="E50" s="16" t="n">
        <f aca="false">AUX_MATRIZES!AU140</f>
        <v>663171.03632876</v>
      </c>
      <c r="F50" s="16" t="n">
        <f aca="false">AUX_MATRIZES!AU156*SEMANAS!$K$50</f>
        <v>4470818.1</v>
      </c>
      <c r="G50" s="19" t="n">
        <f aca="false">IFERROR($E50/$F50,0)</f>
        <v>0.148333262838128</v>
      </c>
      <c r="H50" s="16" t="n">
        <f aca="false">MAX(0,$E50-$F50)</f>
        <v>0</v>
      </c>
      <c r="I50" s="18" t="n">
        <f aca="false">AUX_MATRIZES!AU158</f>
        <v>0</v>
      </c>
      <c r="J50" s="18" t="n">
        <f aca="false">AUX_MATRIZES!AU160</f>
        <v>0</v>
      </c>
      <c r="K50" s="18" t="n">
        <f aca="false">IFERROR(MAX(0,$E50/AUX_MATRIZES!AU156-SEMANAS!$K$50),0)</f>
        <v>0</v>
      </c>
      <c r="L50" s="18" t="n">
        <f aca="false">IFERROR(MAX(0,$E50/SEMANAS!$K$50-AUX_MATRIZES!AU156),0)</f>
        <v>0</v>
      </c>
      <c r="M50" s="8" t="str">
        <f aca="false">IF($G50&gt;LIMITE_CRITICO,"INVIAVEL - demanda excede a capacidade em 21 h/dia",IF($G50&gt;LIMITE_ATENCAO,"CRITICO - utilizacao acima de "&amp;TEXT(LIMITE_ATENCAO,"0%"),IF($G50&gt;LIMITE_CONFORTAVEL,"ATENCAO - utilizacao acima de "&amp;TEXT(LIMITE_CONFORTAVEL,"0%"),"OK - capacidade suficiente")))</f>
        <v>OK - capacidade suficiente</v>
      </c>
      <c r="N50" s="19" t="n">
        <f aca="false">AUX_MATRIZES!AU148</f>
        <v>0.350466386554622</v>
      </c>
      <c r="O50" s="8" t="str">
        <f aca="false">AUX_MATRIZES!AU149</f>
        <v>PV 128</v>
      </c>
      <c r="P50" s="8" t="str">
        <f aca="false">IF($N50&gt;LIMITE_CRITICO,"INVIAVEL - demanda excede a capacidade em 21 h/dia",IF($N50&gt;LIMITE_ATENCAO,"CRITICO - utilizacao acima de "&amp;TEXT(LIMITE_ATENCAO,"0%"),IF($N50&gt;LIMITE_CONFORTAVEL,"ATENCAO - utilizacao acima de "&amp;TEXT(LIMITE_CONFORTAVEL,"0%"),"OK - capacidade suficiente")))</f>
        <v>OK - capacidade suficiente</v>
      </c>
      <c r="Q50" s="19" t="n">
        <f aca="false">AUX_MATRIZES!AU150</f>
        <v>0.34216045392516</v>
      </c>
      <c r="R50" s="8" t="str">
        <f aca="false">AUX_MATRIZES!AU151</f>
        <v>RM03</v>
      </c>
      <c r="S50" s="8" t="str">
        <f aca="false">IF($Q50&gt;LIMITE_CRITICO,"INVIAVEL - demanda excede a capacidade em 21 h/dia",IF($Q50&gt;LIMITE_ATENCAO,"CRITICO - utilizacao acima de "&amp;TEXT(LIMITE_ATENCAO,"0%"),IF($Q50&gt;LIMITE_CONFORTAVEL,"ATENCAO - utilizacao acima de "&amp;TEXT(LIMITE_CONFORTAVEL,"0%"),"OK - capacidade suficiente")))</f>
        <v>OK - capacidade suficiente</v>
      </c>
      <c r="T50" s="19" t="n">
        <f aca="false">AUX_MATRIZES!AU152</f>
        <v>0.34216045392516</v>
      </c>
      <c r="U50" s="8" t="str">
        <f aca="false">AUX_MATRIZES!AU153</f>
        <v>TR03</v>
      </c>
      <c r="V50" s="8" t="str">
        <f aca="false">IF($T50&gt;LIMITE_CRITICO,"INVIAVEL - demanda excede a capacidade em 21 h/dia",IF($T50&gt;LIMITE_ATENCAO,"CRITICO - utilizacao acima de "&amp;TEXT(LIMITE_ATENCAO,"0%"),IF($T50&gt;LIMITE_CONFORTAVEL,"ATENCAO - utilizacao acima de "&amp;TEXT(LIMITE_CONFORTAVEL,"0%"),"OK - capacidade suficiente")))</f>
        <v>OK - capacidade suficiente</v>
      </c>
      <c r="W50" s="20" t="n">
        <f aca="false">AUX_MATRIZES!AU161</f>
        <v>663171.03637376</v>
      </c>
    </row>
    <row r="51" customFormat="false" ht="15" hidden="false" customHeight="false" outlineLevel="0" collapsed="false">
      <c r="B51" s="16" t="n">
        <f aca="false">SEMANAS!$B$51</f>
        <v>46</v>
      </c>
      <c r="C51" s="17" t="n">
        <f aca="false">SEMANAS!$C$51</f>
        <v>46580</v>
      </c>
      <c r="D51" s="17" t="n">
        <f aca="false">SEMANAS!$D$51</f>
        <v>46586</v>
      </c>
      <c r="E51" s="16" t="n">
        <f aca="false">AUX_MATRIZES!AV140</f>
        <v>658983.114048033</v>
      </c>
      <c r="F51" s="16" t="n">
        <f aca="false">AUX_MATRIZES!AV156*SEMANAS!$K$51</f>
        <v>4470818.1</v>
      </c>
      <c r="G51" s="19" t="n">
        <f aca="false">IFERROR($E51/$F51,0)</f>
        <v>0.147396538912651</v>
      </c>
      <c r="H51" s="16" t="n">
        <f aca="false">MAX(0,$E51-$F51)</f>
        <v>0</v>
      </c>
      <c r="I51" s="18" t="n">
        <f aca="false">AUX_MATRIZES!AV158</f>
        <v>0</v>
      </c>
      <c r="J51" s="18" t="n">
        <f aca="false">AUX_MATRIZES!AV160</f>
        <v>0</v>
      </c>
      <c r="K51" s="18" t="n">
        <f aca="false">IFERROR(MAX(0,$E51/AUX_MATRIZES!AV156-SEMANAS!$K$51),0)</f>
        <v>0</v>
      </c>
      <c r="L51" s="18" t="n">
        <f aca="false">IFERROR(MAX(0,$E51/SEMANAS!$K$51-AUX_MATRIZES!AV156),0)</f>
        <v>0</v>
      </c>
      <c r="M51" s="8" t="str">
        <f aca="false">IF($G51&gt;LIMITE_CRITICO,"INVIAVEL - demanda excede a capacidade em 21 h/dia",IF($G51&gt;LIMITE_ATENCAO,"CRITICO - utilizacao acima de "&amp;TEXT(LIMITE_ATENCAO,"0%"),IF($G51&gt;LIMITE_CONFORTAVEL,"ATENCAO - utilizacao acima de "&amp;TEXT(LIMITE_CONFORTAVEL,"0%"),"OK - capacidade suficiente")))</f>
        <v>OK - capacidade suficiente</v>
      </c>
      <c r="N51" s="19" t="n">
        <f aca="false">AUX_MATRIZES!AV148</f>
        <v>0.407378151260504</v>
      </c>
      <c r="O51" s="8" t="str">
        <f aca="false">AUX_MATRIZES!AV149</f>
        <v>PV 128</v>
      </c>
      <c r="P51" s="8" t="str">
        <f aca="false">IF($N51&gt;LIMITE_CRITICO,"INVIAVEL - demanda excede a capacidade em 21 h/dia",IF($N51&gt;LIMITE_ATENCAO,"CRITICO - utilizacao acima de "&amp;TEXT(LIMITE_ATENCAO,"0%"),IF($N51&gt;LIMITE_CONFORTAVEL,"ATENCAO - utilizacao acima de "&amp;TEXT(LIMITE_CONFORTAVEL,"0%"),"OK - capacidade suficiente")))</f>
        <v>OK - capacidade suficiente</v>
      </c>
      <c r="Q51" s="19" t="n">
        <f aca="false">AUX_MATRIZES!AV150</f>
        <v>0.31837965955613</v>
      </c>
      <c r="R51" s="8" t="str">
        <f aca="false">AUX_MATRIZES!AV151</f>
        <v>RM03</v>
      </c>
      <c r="S51" s="8" t="str">
        <f aca="false">IF($Q51&gt;LIMITE_CRITICO,"INVIAVEL - demanda excede a capacidade em 21 h/dia",IF($Q51&gt;LIMITE_ATENCAO,"CRITICO - utilizacao acima de "&amp;TEXT(LIMITE_ATENCAO,"0%"),IF($Q51&gt;LIMITE_CONFORTAVEL,"ATENCAO - utilizacao acima de "&amp;TEXT(LIMITE_CONFORTAVEL,"0%"),"OK - capacidade suficiente")))</f>
        <v>OK - capacidade suficiente</v>
      </c>
      <c r="T51" s="19" t="n">
        <f aca="false">AUX_MATRIZES!AV152</f>
        <v>0.31837965955613</v>
      </c>
      <c r="U51" s="8" t="str">
        <f aca="false">AUX_MATRIZES!AV153</f>
        <v>TR03</v>
      </c>
      <c r="V51" s="8" t="str">
        <f aca="false">IF($T51&gt;LIMITE_CRITICO,"INVIAVEL - demanda excede a capacidade em 21 h/dia",IF($T51&gt;LIMITE_ATENCAO,"CRITICO - utilizacao acima de "&amp;TEXT(LIMITE_ATENCAO,"0%"),IF($T51&gt;LIMITE_CONFORTAVEL,"ATENCAO - utilizacao acima de "&amp;TEXT(LIMITE_CONFORTAVEL,"0%"),"OK - capacidade suficiente")))</f>
        <v>OK - capacidade suficiente</v>
      </c>
      <c r="W51" s="20" t="n">
        <f aca="false">AUX_MATRIZES!AV161</f>
        <v>658983.114094033</v>
      </c>
    </row>
    <row r="52" customFormat="false" ht="15" hidden="false" customHeight="false" outlineLevel="0" collapsed="false">
      <c r="B52" s="16" t="n">
        <f aca="false">SEMANAS!$B$52</f>
        <v>47</v>
      </c>
      <c r="C52" s="17" t="n">
        <f aca="false">SEMANAS!$C$52</f>
        <v>46587</v>
      </c>
      <c r="D52" s="17" t="n">
        <f aca="false">SEMANAS!$D$52</f>
        <v>46593</v>
      </c>
      <c r="E52" s="16" t="n">
        <f aca="false">AUX_MATRIZES!AW140</f>
        <v>655994.790268118</v>
      </c>
      <c r="F52" s="16" t="n">
        <f aca="false">AUX_MATRIZES!AW156*SEMANAS!$K$52</f>
        <v>4470818.1</v>
      </c>
      <c r="G52" s="19" t="n">
        <f aca="false">IFERROR($E52/$F52,0)</f>
        <v>0.14672813243467</v>
      </c>
      <c r="H52" s="16" t="n">
        <f aca="false">MAX(0,$E52-$F52)</f>
        <v>0</v>
      </c>
      <c r="I52" s="18" t="n">
        <f aca="false">AUX_MATRIZES!AW158</f>
        <v>0</v>
      </c>
      <c r="J52" s="18" t="n">
        <f aca="false">AUX_MATRIZES!AW160</f>
        <v>0</v>
      </c>
      <c r="K52" s="18" t="n">
        <f aca="false">IFERROR(MAX(0,$E52/AUX_MATRIZES!AW156-SEMANAS!$K$52),0)</f>
        <v>0</v>
      </c>
      <c r="L52" s="18" t="n">
        <f aca="false">IFERROR(MAX(0,$E52/SEMANAS!$K$52-AUX_MATRIZES!AW156),0)</f>
        <v>0</v>
      </c>
      <c r="M52" s="8" t="str">
        <f aca="false">IF($G52&gt;LIMITE_CRITICO,"INVIAVEL - demanda excede a capacidade em 21 h/dia",IF($G52&gt;LIMITE_ATENCAO,"CRITICO - utilizacao acima de "&amp;TEXT(LIMITE_ATENCAO,"0%"),IF($G52&gt;LIMITE_CONFORTAVEL,"ATENCAO - utilizacao acima de "&amp;TEXT(LIMITE_CONFORTAVEL,"0%"),"OK - capacidade suficiente")))</f>
        <v>OK - capacidade suficiente</v>
      </c>
      <c r="N52" s="19" t="n">
        <f aca="false">AUX_MATRIZES!AW148</f>
        <v>0.426890756302521</v>
      </c>
      <c r="O52" s="8" t="str">
        <f aca="false">AUX_MATRIZES!AW149</f>
        <v>PV 128</v>
      </c>
      <c r="P52" s="8" t="str">
        <f aca="false">IF($N52&gt;LIMITE_CRITICO,"INVIAVEL - demanda excede a capacidade em 21 h/dia",IF($N52&gt;LIMITE_ATENCAO,"CRITICO - utilizacao acima de "&amp;TEXT(LIMITE_ATENCAO,"0%"),IF($N52&gt;LIMITE_CONFORTAVEL,"ATENCAO - utilizacao acima de "&amp;TEXT(LIMITE_CONFORTAVEL,"0%"),"OK - capacidade suficiente")))</f>
        <v>OK - capacidade suficiente</v>
      </c>
      <c r="Q52" s="19" t="n">
        <f aca="false">AUX_MATRIZES!AW150</f>
        <v>0.294598865187101</v>
      </c>
      <c r="R52" s="8" t="str">
        <f aca="false">AUX_MATRIZES!AW151</f>
        <v>RM03</v>
      </c>
      <c r="S52" s="8" t="str">
        <f aca="false">IF($Q52&gt;LIMITE_CRITICO,"INVIAVEL - demanda excede a capacidade em 21 h/dia",IF($Q52&gt;LIMITE_ATENCAO,"CRITICO - utilizacao acima de "&amp;TEXT(LIMITE_ATENCAO,"0%"),IF($Q52&gt;LIMITE_CONFORTAVEL,"ATENCAO - utilizacao acima de "&amp;TEXT(LIMITE_CONFORTAVEL,"0%"),"OK - capacidade suficiente")))</f>
        <v>OK - capacidade suficiente</v>
      </c>
      <c r="T52" s="19" t="n">
        <f aca="false">AUX_MATRIZES!AW152</f>
        <v>0.294598865187101</v>
      </c>
      <c r="U52" s="8" t="str">
        <f aca="false">AUX_MATRIZES!AW153</f>
        <v>TR03</v>
      </c>
      <c r="V52" s="8" t="str">
        <f aca="false">IF($T52&gt;LIMITE_CRITICO,"INVIAVEL - demanda excede a capacidade em 21 h/dia",IF($T52&gt;LIMITE_ATENCAO,"CRITICO - utilizacao acima de "&amp;TEXT(LIMITE_ATENCAO,"0%"),IF($T52&gt;LIMITE_CONFORTAVEL,"ATENCAO - utilizacao acima de "&amp;TEXT(LIMITE_CONFORTAVEL,"0%"),"OK - capacidade suficiente")))</f>
        <v>OK - capacidade suficiente</v>
      </c>
      <c r="W52" s="20" t="n">
        <f aca="false">AUX_MATRIZES!AW161</f>
        <v>655994.790315118</v>
      </c>
    </row>
    <row r="53" customFormat="false" ht="15" hidden="false" customHeight="false" outlineLevel="0" collapsed="false">
      <c r="B53" s="16" t="n">
        <f aca="false">SEMANAS!$B$53</f>
        <v>48</v>
      </c>
      <c r="C53" s="17" t="n">
        <f aca="false">SEMANAS!$C$53</f>
        <v>46594</v>
      </c>
      <c r="D53" s="17" t="n">
        <f aca="false">SEMANAS!$D$53</f>
        <v>46600</v>
      </c>
      <c r="E53" s="16" t="n">
        <f aca="false">AUX_MATRIZES!AX140</f>
        <v>654587.410452137</v>
      </c>
      <c r="F53" s="16" t="n">
        <f aca="false">AUX_MATRIZES!AX156*SEMANAS!$K$53</f>
        <v>4470818.1</v>
      </c>
      <c r="G53" s="19" t="n">
        <f aca="false">IFERROR($E53/$F53,0)</f>
        <v>0.146413339977338</v>
      </c>
      <c r="H53" s="16" t="n">
        <f aca="false">MAX(0,$E53-$F53)</f>
        <v>0</v>
      </c>
      <c r="I53" s="18" t="n">
        <f aca="false">AUX_MATRIZES!AX158</f>
        <v>0</v>
      </c>
      <c r="J53" s="18" t="n">
        <f aca="false">AUX_MATRIZES!AX160</f>
        <v>0</v>
      </c>
      <c r="K53" s="18" t="n">
        <f aca="false">IFERROR(MAX(0,$E53/AUX_MATRIZES!AX156-SEMANAS!$K$53),0)</f>
        <v>0</v>
      </c>
      <c r="L53" s="18" t="n">
        <f aca="false">IFERROR(MAX(0,$E53/SEMANAS!$K$53-AUX_MATRIZES!AX156),0)</f>
        <v>0</v>
      </c>
      <c r="M53" s="8" t="str">
        <f aca="false">IF($G53&gt;LIMITE_CRITICO,"INVIAVEL - demanda excede a capacidade em 21 h/dia",IF($G53&gt;LIMITE_ATENCAO,"CRITICO - utilizacao acima de "&amp;TEXT(LIMITE_ATENCAO,"0%"),IF($G53&gt;LIMITE_CONFORTAVEL,"ATENCAO - utilizacao acima de "&amp;TEXT(LIMITE_CONFORTAVEL,"0%"),"OK - capacidade suficiente")))</f>
        <v>OK - capacidade suficiente</v>
      </c>
      <c r="N53" s="19" t="n">
        <f aca="false">AUX_MATRIZES!AX148</f>
        <v>0.439279711884754</v>
      </c>
      <c r="O53" s="8" t="str">
        <f aca="false">AUX_MATRIZES!AX149</f>
        <v>PV 128</v>
      </c>
      <c r="P53" s="8" t="str">
        <f aca="false">IF($N53&gt;LIMITE_CRITICO,"INVIAVEL - demanda excede a capacidade em 21 h/dia",IF($N53&gt;LIMITE_ATENCAO,"CRITICO - utilizacao acima de "&amp;TEXT(LIMITE_ATENCAO,"0%"),IF($N53&gt;LIMITE_CONFORTAVEL,"ATENCAO - utilizacao acima de "&amp;TEXT(LIMITE_CONFORTAVEL,"0%"),"OK - capacidade suficiente")))</f>
        <v>OK - capacidade suficiente</v>
      </c>
      <c r="Q53" s="19" t="n">
        <f aca="false">AUX_MATRIZES!AX150</f>
        <v>0.278565415909954</v>
      </c>
      <c r="R53" s="8" t="str">
        <f aca="false">AUX_MATRIZES!AX151</f>
        <v>RM03</v>
      </c>
      <c r="S53" s="8" t="str">
        <f aca="false">IF($Q53&gt;LIMITE_CRITICO,"INVIAVEL - demanda excede a capacidade em 21 h/dia",IF($Q53&gt;LIMITE_ATENCAO,"CRITICO - utilizacao acima de "&amp;TEXT(LIMITE_ATENCAO,"0%"),IF($Q53&gt;LIMITE_CONFORTAVEL,"ATENCAO - utilizacao acima de "&amp;TEXT(LIMITE_CONFORTAVEL,"0%"),"OK - capacidade suficiente")))</f>
        <v>OK - capacidade suficiente</v>
      </c>
      <c r="T53" s="19" t="n">
        <f aca="false">AUX_MATRIZES!AX152</f>
        <v>0.278565415909954</v>
      </c>
      <c r="U53" s="8" t="str">
        <f aca="false">AUX_MATRIZES!AX153</f>
        <v>TR03</v>
      </c>
      <c r="V53" s="8" t="str">
        <f aca="false">IF($T53&gt;LIMITE_CRITICO,"INVIAVEL - demanda excede a capacidade em 21 h/dia",IF($T53&gt;LIMITE_ATENCAO,"CRITICO - utilizacao acima de "&amp;TEXT(LIMITE_ATENCAO,"0%"),IF($T53&gt;LIMITE_CONFORTAVEL,"ATENCAO - utilizacao acima de "&amp;TEXT(LIMITE_CONFORTAVEL,"0%"),"OK - capacidade suficiente")))</f>
        <v>OK - capacidade suficiente</v>
      </c>
      <c r="W53" s="20" t="n">
        <f aca="false">AUX_MATRIZES!AX161</f>
        <v>654587.410500137</v>
      </c>
    </row>
    <row r="54" customFormat="false" ht="15" hidden="false" customHeight="false" outlineLevel="0" collapsed="false">
      <c r="B54" s="16" t="n">
        <f aca="false">SEMANAS!$B$54</f>
        <v>49</v>
      </c>
      <c r="C54" s="17" t="n">
        <f aca="false">SEMANAS!$C$54</f>
        <v>46601</v>
      </c>
      <c r="D54" s="17" t="n">
        <f aca="false">SEMANAS!$D$54</f>
        <v>46607</v>
      </c>
      <c r="E54" s="16" t="n">
        <f aca="false">AUX_MATRIZES!AY140</f>
        <v>715532.596858418</v>
      </c>
      <c r="F54" s="16" t="n">
        <f aca="false">AUX_MATRIZES!AY156*SEMANAS!$K$54</f>
        <v>4470818.1</v>
      </c>
      <c r="G54" s="19" t="n">
        <f aca="false">IFERROR($E54/$F54,0)</f>
        <v>0.160045114977596</v>
      </c>
      <c r="H54" s="16" t="n">
        <f aca="false">MAX(0,$E54-$F54)</f>
        <v>0</v>
      </c>
      <c r="I54" s="18" t="n">
        <f aca="false">AUX_MATRIZES!AY158</f>
        <v>0</v>
      </c>
      <c r="J54" s="18" t="n">
        <f aca="false">AUX_MATRIZES!AY160</f>
        <v>0</v>
      </c>
      <c r="K54" s="18" t="n">
        <f aca="false">IFERROR(MAX(0,$E54/AUX_MATRIZES!AY156-SEMANAS!$K$54),0)</f>
        <v>0</v>
      </c>
      <c r="L54" s="18" t="n">
        <f aca="false">IFERROR(MAX(0,$E54/SEMANAS!$K$54-AUX_MATRIZES!AY156),0)</f>
        <v>0</v>
      </c>
      <c r="M54" s="8" t="str">
        <f aca="false">IF($G54&gt;LIMITE_CRITICO,"INVIAVEL - demanda excede a capacidade em 21 h/dia",IF($G54&gt;LIMITE_ATENCAO,"CRITICO - utilizacao acima de "&amp;TEXT(LIMITE_ATENCAO,"0%"),IF($G54&gt;LIMITE_CONFORTAVEL,"ATENCAO - utilizacao acima de "&amp;TEXT(LIMITE_CONFORTAVEL,"0%"),"OK - capacidade suficiente")))</f>
        <v>OK - capacidade suficiente</v>
      </c>
      <c r="N54" s="19" t="n">
        <f aca="false">AUX_MATRIZES!AY148</f>
        <v>0.513613445378151</v>
      </c>
      <c r="O54" s="8" t="str">
        <f aca="false">AUX_MATRIZES!AY149</f>
        <v>PV 128</v>
      </c>
      <c r="P54" s="8" t="str">
        <f aca="false">IF($N54&gt;LIMITE_CRITICO,"INVIAVEL - demanda excede a capacidade em 21 h/dia",IF($N54&gt;LIMITE_ATENCAO,"CRITICO - utilizacao acima de "&amp;TEXT(LIMITE_ATENCAO,"0%"),IF($N54&gt;LIMITE_CONFORTAVEL,"ATENCAO - utilizacao acima de "&amp;TEXT(LIMITE_CONFORTAVEL,"0%"),"OK - capacidade suficiente")))</f>
        <v>OK - capacidade suficiente</v>
      </c>
      <c r="Q54" s="19" t="n">
        <f aca="false">AUX_MATRIZES!AY150</f>
        <v>0.296291316526611</v>
      </c>
      <c r="R54" s="8" t="str">
        <f aca="false">AUX_MATRIZES!AY151</f>
        <v>RM03</v>
      </c>
      <c r="S54" s="8" t="str">
        <f aca="false">IF($Q54&gt;LIMITE_CRITICO,"INVIAVEL - demanda excede a capacidade em 21 h/dia",IF($Q54&gt;LIMITE_ATENCAO,"CRITICO - utilizacao acima de "&amp;TEXT(LIMITE_ATENCAO,"0%"),IF($Q54&gt;LIMITE_CONFORTAVEL,"ATENCAO - utilizacao acima de "&amp;TEXT(LIMITE_CONFORTAVEL,"0%"),"OK - capacidade suficiente")))</f>
        <v>OK - capacidade suficiente</v>
      </c>
      <c r="T54" s="19" t="n">
        <f aca="false">AUX_MATRIZES!AY152</f>
        <v>0.296291316526611</v>
      </c>
      <c r="U54" s="8" t="str">
        <f aca="false">AUX_MATRIZES!AY153</f>
        <v>TR03</v>
      </c>
      <c r="V54" s="8" t="str">
        <f aca="false">IF($T54&gt;LIMITE_CRITICO,"INVIAVEL - demanda excede a capacidade em 21 h/dia",IF($T54&gt;LIMITE_ATENCAO,"CRITICO - utilizacao acima de "&amp;TEXT(LIMITE_ATENCAO,"0%"),IF($T54&gt;LIMITE_CONFORTAVEL,"ATENCAO - utilizacao acima de "&amp;TEXT(LIMITE_CONFORTAVEL,"0%"),"OK - capacidade suficiente")))</f>
        <v>OK - capacidade suficiente</v>
      </c>
      <c r="W54" s="20" t="n">
        <f aca="false">AUX_MATRIZES!AY161</f>
        <v>715532.596907418</v>
      </c>
    </row>
    <row r="55" customFormat="false" ht="15" hidden="false" customHeight="false" outlineLevel="0" collapsed="false">
      <c r="B55" s="16" t="n">
        <f aca="false">SEMANAS!$B$55</f>
        <v>50</v>
      </c>
      <c r="C55" s="17" t="n">
        <f aca="false">SEMANAS!$C$55</f>
        <v>46608</v>
      </c>
      <c r="D55" s="17" t="n">
        <f aca="false">SEMANAS!$D$55</f>
        <v>46614</v>
      </c>
      <c r="E55" s="16" t="n">
        <f aca="false">AUX_MATRIZES!AZ140</f>
        <v>704298.810436601</v>
      </c>
      <c r="F55" s="16" t="n">
        <f aca="false">AUX_MATRIZES!AZ156*SEMANAS!$K$55</f>
        <v>4470818.1</v>
      </c>
      <c r="G55" s="19" t="n">
        <f aca="false">IFERROR($E55/$F55,0)</f>
        <v>0.157532423525932</v>
      </c>
      <c r="H55" s="16" t="n">
        <f aca="false">MAX(0,$E55-$F55)</f>
        <v>0</v>
      </c>
      <c r="I55" s="18" t="n">
        <f aca="false">AUX_MATRIZES!AZ158</f>
        <v>0</v>
      </c>
      <c r="J55" s="18" t="n">
        <f aca="false">AUX_MATRIZES!AZ160</f>
        <v>0</v>
      </c>
      <c r="K55" s="18" t="n">
        <f aca="false">IFERROR(MAX(0,$E55/AUX_MATRIZES!AZ156-SEMANAS!$K$55),0)</f>
        <v>0</v>
      </c>
      <c r="L55" s="18" t="n">
        <f aca="false">IFERROR(MAX(0,$E55/SEMANAS!$K$55-AUX_MATRIZES!AZ156),0)</f>
        <v>0</v>
      </c>
      <c r="M55" s="8" t="str">
        <f aca="false">IF($G55&gt;LIMITE_CRITICO,"INVIAVEL - demanda excede a capacidade em 21 h/dia",IF($G55&gt;LIMITE_ATENCAO,"CRITICO - utilizacao acima de "&amp;TEXT(LIMITE_ATENCAO,"0%"),IF($G55&gt;LIMITE_CONFORTAVEL,"ATENCAO - utilizacao acima de "&amp;TEXT(LIMITE_CONFORTAVEL,"0%"),"OK - capacidade suficiente")))</f>
        <v>OK - capacidade suficiente</v>
      </c>
      <c r="N55" s="19" t="n">
        <f aca="false">AUX_MATRIZES!AZ148</f>
        <v>0.529592760180995</v>
      </c>
      <c r="O55" s="8" t="str">
        <f aca="false">AUX_MATRIZES!AZ149</f>
        <v>PV 113</v>
      </c>
      <c r="P55" s="8" t="str">
        <f aca="false">IF($N55&gt;LIMITE_CRITICO,"INVIAVEL - demanda excede a capacidade em 21 h/dia",IF($N55&gt;LIMITE_ATENCAO,"CRITICO - utilizacao acima de "&amp;TEXT(LIMITE_ATENCAO,"0%"),IF($N55&gt;LIMITE_CONFORTAVEL,"ATENCAO - utilizacao acima de "&amp;TEXT(LIMITE_CONFORTAVEL,"0%"),"OK - capacidade suficiente")))</f>
        <v>OK - capacidade suficiente</v>
      </c>
      <c r="Q55" s="19" t="n">
        <f aca="false">AUX_MATRIZES!AZ150</f>
        <v>0.26753314659197</v>
      </c>
      <c r="R55" s="8" t="str">
        <f aca="false">AUX_MATRIZES!AZ151</f>
        <v>RM03</v>
      </c>
      <c r="S55" s="8" t="str">
        <f aca="false">IF($Q55&gt;LIMITE_CRITICO,"INVIAVEL - demanda excede a capacidade em 21 h/dia",IF($Q55&gt;LIMITE_ATENCAO,"CRITICO - utilizacao acima de "&amp;TEXT(LIMITE_ATENCAO,"0%"),IF($Q55&gt;LIMITE_CONFORTAVEL,"ATENCAO - utilizacao acima de "&amp;TEXT(LIMITE_CONFORTAVEL,"0%"),"OK - capacidade suficiente")))</f>
        <v>OK - capacidade suficiente</v>
      </c>
      <c r="T55" s="19" t="n">
        <f aca="false">AUX_MATRIZES!AZ152</f>
        <v>0.26753314659197</v>
      </c>
      <c r="U55" s="8" t="str">
        <f aca="false">AUX_MATRIZES!AZ153</f>
        <v>TR03</v>
      </c>
      <c r="V55" s="8" t="str">
        <f aca="false">IF($T55&gt;LIMITE_CRITICO,"INVIAVEL - demanda excede a capacidade em 21 h/dia",IF($T55&gt;LIMITE_ATENCAO,"CRITICO - utilizacao acima de "&amp;TEXT(LIMITE_ATENCAO,"0%"),IF($T55&gt;LIMITE_CONFORTAVEL,"ATENCAO - utilizacao acima de "&amp;TEXT(LIMITE_CONFORTAVEL,"0%"),"OK - capacidade suficiente")))</f>
        <v>OK - capacidade suficiente</v>
      </c>
      <c r="W55" s="20" t="n">
        <f aca="false">AUX_MATRIZES!AZ161</f>
        <v>704298.810486601</v>
      </c>
    </row>
    <row r="56" customFormat="false" ht="15" hidden="false" customHeight="false" outlineLevel="0" collapsed="false">
      <c r="B56" s="16" t="n">
        <f aca="false">SEMANAS!$B$56</f>
        <v>51</v>
      </c>
      <c r="C56" s="17" t="n">
        <f aca="false">SEMANAS!$C$56</f>
        <v>46615</v>
      </c>
      <c r="D56" s="17" t="n">
        <f aca="false">SEMANAS!$D$56</f>
        <v>46621</v>
      </c>
      <c r="E56" s="16" t="n">
        <f aca="false">AUX_MATRIZES!BA140</f>
        <v>616748.37303313</v>
      </c>
      <c r="F56" s="16" t="n">
        <f aca="false">AUX_MATRIZES!BA156*SEMANAS!$K$56</f>
        <v>4470818.1</v>
      </c>
      <c r="G56" s="19" t="n">
        <f aca="false">IFERROR($E56/$F56,0)</f>
        <v>0.137949779936949</v>
      </c>
      <c r="H56" s="16" t="n">
        <f aca="false">MAX(0,$E56-$F56)</f>
        <v>0</v>
      </c>
      <c r="I56" s="18" t="n">
        <f aca="false">AUX_MATRIZES!BA158</f>
        <v>0</v>
      </c>
      <c r="J56" s="18" t="n">
        <f aca="false">AUX_MATRIZES!BA160</f>
        <v>0</v>
      </c>
      <c r="K56" s="18" t="n">
        <f aca="false">IFERROR(MAX(0,$E56/AUX_MATRIZES!BA156-SEMANAS!$K$56),0)</f>
        <v>0</v>
      </c>
      <c r="L56" s="18" t="n">
        <f aca="false">IFERROR(MAX(0,$E56/SEMANAS!$K$56-AUX_MATRIZES!BA156),0)</f>
        <v>0</v>
      </c>
      <c r="M56" s="8" t="str">
        <f aca="false">IF($G56&gt;LIMITE_CRITICO,"INVIAVEL - demanda excede a capacidade em 21 h/dia",IF($G56&gt;LIMITE_ATENCAO,"CRITICO - utilizacao acima de "&amp;TEXT(LIMITE_ATENCAO,"0%"),IF($G56&gt;LIMITE_CONFORTAVEL,"ATENCAO - utilizacao acima de "&amp;TEXT(LIMITE_CONFORTAVEL,"0%"),"OK - capacidade suficiente")))</f>
        <v>OK - capacidade suficiente</v>
      </c>
      <c r="N56" s="19" t="n">
        <f aca="false">AUX_MATRIZES!BA148</f>
        <v>0.529592760180995</v>
      </c>
      <c r="O56" s="8" t="str">
        <f aca="false">AUX_MATRIZES!BA149</f>
        <v>PV 113</v>
      </c>
      <c r="P56" s="8" t="str">
        <f aca="false">IF($N56&gt;LIMITE_CRITICO,"INVIAVEL - demanda excede a capacidade em 21 h/dia",IF($N56&gt;LIMITE_ATENCAO,"CRITICO - utilizacao acima de "&amp;TEXT(LIMITE_ATENCAO,"0%"),IF($N56&gt;LIMITE_CONFORTAVEL,"ATENCAO - utilizacao acima de "&amp;TEXT(LIMITE_CONFORTAVEL,"0%"),"OK - capacidade suficiente")))</f>
        <v>OK - capacidade suficiente</v>
      </c>
      <c r="Q56" s="19" t="n">
        <f aca="false">AUX_MATRIZES!BA150</f>
        <v>0.278224480320725</v>
      </c>
      <c r="R56" s="8" t="str">
        <f aca="false">AUX_MATRIZES!BA151</f>
        <v>RM05</v>
      </c>
      <c r="S56" s="8" t="str">
        <f aca="false">IF($Q56&gt;LIMITE_CRITICO,"INVIAVEL - demanda excede a capacidade em 21 h/dia",IF($Q56&gt;LIMITE_ATENCAO,"CRITICO - utilizacao acima de "&amp;TEXT(LIMITE_ATENCAO,"0%"),IF($Q56&gt;LIMITE_CONFORTAVEL,"ATENCAO - utilizacao acima de "&amp;TEXT(LIMITE_CONFORTAVEL,"0%"),"OK - capacidade suficiente")))</f>
        <v>OK - capacidade suficiente</v>
      </c>
      <c r="T56" s="19" t="n">
        <f aca="false">AUX_MATRIZES!BA152</f>
        <v>0.278224480320725</v>
      </c>
      <c r="U56" s="8" t="str">
        <f aca="false">AUX_MATRIZES!BA153</f>
        <v>TR05</v>
      </c>
      <c r="V56" s="8" t="str">
        <f aca="false">IF($T56&gt;LIMITE_CRITICO,"INVIAVEL - demanda excede a capacidade em 21 h/dia",IF($T56&gt;LIMITE_ATENCAO,"CRITICO - utilizacao acima de "&amp;TEXT(LIMITE_ATENCAO,"0%"),IF($T56&gt;LIMITE_CONFORTAVEL,"ATENCAO - utilizacao acima de "&amp;TEXT(LIMITE_CONFORTAVEL,"0%"),"OK - capacidade suficiente")))</f>
        <v>OK - capacidade suficiente</v>
      </c>
      <c r="W56" s="20" t="n">
        <f aca="false">AUX_MATRIZES!BA161</f>
        <v>616748.373084131</v>
      </c>
    </row>
    <row r="57" customFormat="false" ht="15" hidden="false" customHeight="false" outlineLevel="0" collapsed="false">
      <c r="B57" s="16" t="n">
        <f aca="false">SEMANAS!$B$57</f>
        <v>52</v>
      </c>
      <c r="C57" s="17" t="n">
        <f aca="false">SEMANAS!$C$57</f>
        <v>46622</v>
      </c>
      <c r="D57" s="17" t="n">
        <f aca="false">SEMANAS!$D$57</f>
        <v>46628</v>
      </c>
      <c r="E57" s="16" t="n">
        <f aca="false">AUX_MATRIZES!BB140</f>
        <v>611379.586270182</v>
      </c>
      <c r="F57" s="16" t="n">
        <f aca="false">AUX_MATRIZES!BB156*SEMANAS!$K$57</f>
        <v>4470818.1</v>
      </c>
      <c r="G57" s="19" t="n">
        <f aca="false">IFERROR($E57/$F57,0)</f>
        <v>0.136748928852682</v>
      </c>
      <c r="H57" s="16" t="n">
        <f aca="false">MAX(0,$E57-$F57)</f>
        <v>0</v>
      </c>
      <c r="I57" s="18" t="n">
        <f aca="false">AUX_MATRIZES!BB158</f>
        <v>0</v>
      </c>
      <c r="J57" s="18" t="n">
        <f aca="false">AUX_MATRIZES!BB160</f>
        <v>0</v>
      </c>
      <c r="K57" s="18" t="n">
        <f aca="false">IFERROR(MAX(0,$E57/AUX_MATRIZES!BB156-SEMANAS!$K$57),0)</f>
        <v>0</v>
      </c>
      <c r="L57" s="18" t="n">
        <f aca="false">IFERROR(MAX(0,$E57/SEMANAS!$K$57-AUX_MATRIZES!BB156),0)</f>
        <v>0</v>
      </c>
      <c r="M57" s="8" t="str">
        <f aca="false">IF($G57&gt;LIMITE_CRITICO,"INVIAVEL - demanda excede a capacidade em 21 h/dia",IF($G57&gt;LIMITE_ATENCAO,"CRITICO - utilizacao acima de "&amp;TEXT(LIMITE_ATENCAO,"0%"),IF($G57&gt;LIMITE_CONFORTAVEL,"ATENCAO - utilizacao acima de "&amp;TEXT(LIMITE_CONFORTAVEL,"0%"),"OK - capacidade suficiente")))</f>
        <v>OK - capacidade suficiente</v>
      </c>
      <c r="N57" s="19" t="n">
        <f aca="false">AUX_MATRIZES!BB148</f>
        <v>0.529592760180995</v>
      </c>
      <c r="O57" s="8" t="str">
        <f aca="false">AUX_MATRIZES!BB149</f>
        <v>PV 113</v>
      </c>
      <c r="P57" s="8" t="str">
        <f aca="false">IF($N57&gt;LIMITE_CRITICO,"INVIAVEL - demanda excede a capacidade em 21 h/dia",IF($N57&gt;LIMITE_ATENCAO,"CRITICO - utilizacao acima de "&amp;TEXT(LIMITE_ATENCAO,"0%"),IF($N57&gt;LIMITE_CONFORTAVEL,"ATENCAO - utilizacao acima de "&amp;TEXT(LIMITE_CONFORTAVEL,"0%"),"OK - capacidade suficiente")))</f>
        <v>OK - capacidade suficiente</v>
      </c>
      <c r="Q57" s="19" t="n">
        <f aca="false">AUX_MATRIZES!BB150</f>
        <v>0.296562319100136</v>
      </c>
      <c r="R57" s="8" t="str">
        <f aca="false">AUX_MATRIZES!BB151</f>
        <v>RM05</v>
      </c>
      <c r="S57" s="8" t="str">
        <f aca="false">IF($Q57&gt;LIMITE_CRITICO,"INVIAVEL - demanda excede a capacidade em 21 h/dia",IF($Q57&gt;LIMITE_ATENCAO,"CRITICO - utilizacao acima de "&amp;TEXT(LIMITE_ATENCAO,"0%"),IF($Q57&gt;LIMITE_CONFORTAVEL,"ATENCAO - utilizacao acima de "&amp;TEXT(LIMITE_CONFORTAVEL,"0%"),"OK - capacidade suficiente")))</f>
        <v>OK - capacidade suficiente</v>
      </c>
      <c r="T57" s="19" t="n">
        <f aca="false">AUX_MATRIZES!BB152</f>
        <v>0.296562319100136</v>
      </c>
      <c r="U57" s="8" t="str">
        <f aca="false">AUX_MATRIZES!BB153</f>
        <v>TR05</v>
      </c>
      <c r="V57" s="8" t="str">
        <f aca="false">IF($T57&gt;LIMITE_CRITICO,"INVIAVEL - demanda excede a capacidade em 21 h/dia",IF($T57&gt;LIMITE_ATENCAO,"CRITICO - utilizacao acima de "&amp;TEXT(LIMITE_ATENCAO,"0%"),IF($T57&gt;LIMITE_CONFORTAVEL,"ATENCAO - utilizacao acima de "&amp;TEXT(LIMITE_CONFORTAVEL,"0%"),"OK - capacidade suficiente")))</f>
        <v>OK - capacidade suficiente</v>
      </c>
      <c r="W57" s="20" t="n">
        <f aca="false">AUX_MATRIZES!BB161</f>
        <v>611379.586322182</v>
      </c>
    </row>
    <row r="58" customFormat="false" ht="15" hidden="false" customHeight="false" outlineLevel="0" collapsed="false">
      <c r="B58" s="16" t="n">
        <f aca="false">SEMANAS!$B$58</f>
        <v>53</v>
      </c>
      <c r="C58" s="17" t="n">
        <f aca="false">SEMANAS!$C$58</f>
        <v>46629</v>
      </c>
      <c r="D58" s="17" t="n">
        <f aca="false">SEMANAS!$D$58</f>
        <v>46635</v>
      </c>
      <c r="E58" s="16" t="n">
        <f aca="false">AUX_MATRIZES!BC140</f>
        <v>641726.523984178</v>
      </c>
      <c r="F58" s="16" t="n">
        <f aca="false">AUX_MATRIZES!BC156*SEMANAS!$K$58</f>
        <v>4470818.1</v>
      </c>
      <c r="G58" s="19" t="n">
        <f aca="false">IFERROR($E58/$F58,0)</f>
        <v>0.143536710649037</v>
      </c>
      <c r="H58" s="16" t="n">
        <f aca="false">MAX(0,$E58-$F58)</f>
        <v>0</v>
      </c>
      <c r="I58" s="18" t="n">
        <f aca="false">AUX_MATRIZES!BC158</f>
        <v>0</v>
      </c>
      <c r="J58" s="18" t="n">
        <f aca="false">AUX_MATRIZES!BC160</f>
        <v>0</v>
      </c>
      <c r="K58" s="18" t="n">
        <f aca="false">IFERROR(MAX(0,$E58/AUX_MATRIZES!BC156-SEMANAS!$K$58),0)</f>
        <v>0</v>
      </c>
      <c r="L58" s="18" t="n">
        <f aca="false">IFERROR(MAX(0,$E58/SEMANAS!$K$58-AUX_MATRIZES!BC156),0)</f>
        <v>0</v>
      </c>
      <c r="M58" s="8" t="str">
        <f aca="false">IF($G58&gt;LIMITE_CRITICO,"INVIAVEL - demanda excede a capacidade em 21 h/dia",IF($G58&gt;LIMITE_ATENCAO,"CRITICO - utilizacao acima de "&amp;TEXT(LIMITE_ATENCAO,"0%"),IF($G58&gt;LIMITE_CONFORTAVEL,"ATENCAO - utilizacao acima de "&amp;TEXT(LIMITE_CONFORTAVEL,"0%"),"OK - capacidade suficiente")))</f>
        <v>OK - capacidade suficiente</v>
      </c>
      <c r="N58" s="19" t="n">
        <f aca="false">AUX_MATRIZES!BC148</f>
        <v>0.556224951519069</v>
      </c>
      <c r="O58" s="8" t="str">
        <f aca="false">AUX_MATRIZES!BC149</f>
        <v>PV 118</v>
      </c>
      <c r="P58" s="8" t="str">
        <f aca="false">IF($N58&gt;LIMITE_CRITICO,"INVIAVEL - demanda excede a capacidade em 21 h/dia",IF($N58&gt;LIMITE_ATENCAO,"CRITICO - utilizacao acima de "&amp;TEXT(LIMITE_ATENCAO,"0%"),IF($N58&gt;LIMITE_CONFORTAVEL,"ATENCAO - utilizacao acima de "&amp;TEXT(LIMITE_CONFORTAVEL,"0%"),"OK - capacidade suficiente")))</f>
        <v>OK - capacidade suficiente</v>
      </c>
      <c r="Q58" s="19" t="n">
        <f aca="false">AUX_MATRIZES!BC150</f>
        <v>0.312514880351535</v>
      </c>
      <c r="R58" s="8" t="str">
        <f aca="false">AUX_MATRIZES!BC151</f>
        <v>RM05</v>
      </c>
      <c r="S58" s="8" t="str">
        <f aca="false">IF($Q58&gt;LIMITE_CRITICO,"INVIAVEL - demanda excede a capacidade em 21 h/dia",IF($Q58&gt;LIMITE_ATENCAO,"CRITICO - utilizacao acima de "&amp;TEXT(LIMITE_ATENCAO,"0%"),IF($Q58&gt;LIMITE_CONFORTAVEL,"ATENCAO - utilizacao acima de "&amp;TEXT(LIMITE_CONFORTAVEL,"0%"),"OK - capacidade suficiente")))</f>
        <v>OK - capacidade suficiente</v>
      </c>
      <c r="T58" s="19" t="n">
        <f aca="false">AUX_MATRIZES!BC152</f>
        <v>0.312514880351535</v>
      </c>
      <c r="U58" s="8" t="str">
        <f aca="false">AUX_MATRIZES!BC153</f>
        <v>TR05</v>
      </c>
      <c r="V58" s="8" t="str">
        <f aca="false">IF($T58&gt;LIMITE_CRITICO,"INVIAVEL - demanda excede a capacidade em 21 h/dia",IF($T58&gt;LIMITE_ATENCAO,"CRITICO - utilizacao acima de "&amp;TEXT(LIMITE_ATENCAO,"0%"),IF($T58&gt;LIMITE_CONFORTAVEL,"ATENCAO - utilizacao acima de "&amp;TEXT(LIMITE_CONFORTAVEL,"0%"),"OK - capacidade suficiente")))</f>
        <v>OK - capacidade suficiente</v>
      </c>
      <c r="W58" s="20" t="n">
        <f aca="false">AUX_MATRIZES!BC161</f>
        <v>641726.524037179</v>
      </c>
    </row>
    <row r="59" customFormat="false" ht="15" hidden="false" customHeight="false" outlineLevel="0" collapsed="false">
      <c r="B59" s="16" t="n">
        <f aca="false">SEMANAS!$B$59</f>
        <v>54</v>
      </c>
      <c r="C59" s="17" t="n">
        <f aca="false">SEMANAS!$C$59</f>
        <v>46636</v>
      </c>
      <c r="D59" s="17" t="n">
        <f aca="false">SEMANAS!$D$59</f>
        <v>46642</v>
      </c>
      <c r="E59" s="16" t="n">
        <f aca="false">AUX_MATRIZES!BD140</f>
        <v>651357.156964706</v>
      </c>
      <c r="F59" s="16" t="n">
        <f aca="false">AUX_MATRIZES!BD156*SEMANAS!$K$59</f>
        <v>4470818.1</v>
      </c>
      <c r="G59" s="19" t="n">
        <f aca="false">IFERROR($E59/$F59,0)</f>
        <v>0.145690820426066</v>
      </c>
      <c r="H59" s="16" t="n">
        <f aca="false">MAX(0,$E59-$F59)</f>
        <v>0</v>
      </c>
      <c r="I59" s="18" t="n">
        <f aca="false">AUX_MATRIZES!BD158</f>
        <v>0</v>
      </c>
      <c r="J59" s="18" t="n">
        <f aca="false">AUX_MATRIZES!BD160</f>
        <v>0</v>
      </c>
      <c r="K59" s="18" t="n">
        <f aca="false">IFERROR(MAX(0,$E59/AUX_MATRIZES!BD156-SEMANAS!$K$59),0)</f>
        <v>0</v>
      </c>
      <c r="L59" s="18" t="n">
        <f aca="false">IFERROR(MAX(0,$E59/SEMANAS!$K$59-AUX_MATRIZES!BD156),0)</f>
        <v>0</v>
      </c>
      <c r="M59" s="8" t="str">
        <f aca="false">IF($G59&gt;LIMITE_CRITICO,"INVIAVEL - demanda excede a capacidade em 21 h/dia",IF($G59&gt;LIMITE_ATENCAO,"CRITICO - utilizacao acima de "&amp;TEXT(LIMITE_ATENCAO,"0%"),IF($G59&gt;LIMITE_CONFORTAVEL,"ATENCAO - utilizacao acima de "&amp;TEXT(LIMITE_CONFORTAVEL,"0%"),"OK - capacidade suficiente")))</f>
        <v>OK - capacidade suficiente</v>
      </c>
      <c r="N59" s="19" t="n">
        <f aca="false">AUX_MATRIZES!BD148</f>
        <v>0.557466063348416</v>
      </c>
      <c r="O59" s="8" t="str">
        <f aca="false">AUX_MATRIZES!BD149</f>
        <v>PV 118</v>
      </c>
      <c r="P59" s="8" t="str">
        <f aca="false">IF($N59&gt;LIMITE_CRITICO,"INVIAVEL - demanda excede a capacidade em 21 h/dia",IF($N59&gt;LIMITE_ATENCAO,"CRITICO - utilizacao acima de "&amp;TEXT(LIMITE_ATENCAO,"0%"),IF($N59&gt;LIMITE_CONFORTAVEL,"ATENCAO - utilizacao acima de "&amp;TEXT(LIMITE_CONFORTAVEL,"0%"),"OK - capacidade suficiente")))</f>
        <v>OK - capacidade suficiente</v>
      </c>
      <c r="Q59" s="19" t="n">
        <f aca="false">AUX_MATRIZES!BD150</f>
        <v>0.315343200481973</v>
      </c>
      <c r="R59" s="8" t="str">
        <f aca="false">AUX_MATRIZES!BD151</f>
        <v>RM05</v>
      </c>
      <c r="S59" s="8" t="str">
        <f aca="false">IF($Q59&gt;LIMITE_CRITICO,"INVIAVEL - demanda excede a capacidade em 21 h/dia",IF($Q59&gt;LIMITE_ATENCAO,"CRITICO - utilizacao acima de "&amp;TEXT(LIMITE_ATENCAO,"0%"),IF($Q59&gt;LIMITE_CONFORTAVEL,"ATENCAO - utilizacao acima de "&amp;TEXT(LIMITE_CONFORTAVEL,"0%"),"OK - capacidade suficiente")))</f>
        <v>OK - capacidade suficiente</v>
      </c>
      <c r="T59" s="19" t="n">
        <f aca="false">AUX_MATRIZES!BD152</f>
        <v>0.315343200481973</v>
      </c>
      <c r="U59" s="8" t="str">
        <f aca="false">AUX_MATRIZES!BD153</f>
        <v>TR05</v>
      </c>
      <c r="V59" s="8" t="str">
        <f aca="false">IF($T59&gt;LIMITE_CRITICO,"INVIAVEL - demanda excede a capacidade em 21 h/dia",IF($T59&gt;LIMITE_ATENCAO,"CRITICO - utilizacao acima de "&amp;TEXT(LIMITE_ATENCAO,"0%"),IF($T59&gt;LIMITE_CONFORTAVEL,"ATENCAO - utilizacao acima de "&amp;TEXT(LIMITE_CONFORTAVEL,"0%"),"OK - capacidade suficiente")))</f>
        <v>OK - capacidade suficiente</v>
      </c>
      <c r="W59" s="20" t="n">
        <f aca="false">AUX_MATRIZES!BD161</f>
        <v>651357.157018706</v>
      </c>
    </row>
    <row r="60" customFormat="false" ht="15" hidden="false" customHeight="false" outlineLevel="0" collapsed="false">
      <c r="B60" s="16" t="n">
        <f aca="false">SEMANAS!$B$60</f>
        <v>55</v>
      </c>
      <c r="C60" s="17" t="n">
        <f aca="false">SEMANAS!$C$60</f>
        <v>46643</v>
      </c>
      <c r="D60" s="17" t="n">
        <f aca="false">SEMANAS!$D$60</f>
        <v>46649</v>
      </c>
      <c r="E60" s="16" t="n">
        <f aca="false">AUX_MATRIZES!BE140</f>
        <v>644964.964</v>
      </c>
      <c r="F60" s="16" t="n">
        <f aca="false">AUX_MATRIZES!BE156*SEMANAS!$K$60</f>
        <v>4470818.1</v>
      </c>
      <c r="G60" s="19" t="n">
        <f aca="false">IFERROR($E60/$F60,0)</f>
        <v>0.144261061303299</v>
      </c>
      <c r="H60" s="16" t="n">
        <f aca="false">MAX(0,$E60-$F60)</f>
        <v>0</v>
      </c>
      <c r="I60" s="18" t="n">
        <f aca="false">AUX_MATRIZES!BE158</f>
        <v>0</v>
      </c>
      <c r="J60" s="18" t="n">
        <f aca="false">AUX_MATRIZES!BE160</f>
        <v>0</v>
      </c>
      <c r="K60" s="18" t="n">
        <f aca="false">IFERROR(MAX(0,$E60/AUX_MATRIZES!BE156-SEMANAS!$K$60),0)</f>
        <v>0</v>
      </c>
      <c r="L60" s="18" t="n">
        <f aca="false">IFERROR(MAX(0,$E60/SEMANAS!$K$60-AUX_MATRIZES!BE156),0)</f>
        <v>0</v>
      </c>
      <c r="M60" s="8" t="str">
        <f aca="false">IF($G60&gt;LIMITE_CRITICO,"INVIAVEL - demanda excede a capacidade em 21 h/dia",IF($G60&gt;LIMITE_ATENCAO,"CRITICO - utilizacao acima de "&amp;TEXT(LIMITE_ATENCAO,"0%"),IF($G60&gt;LIMITE_CONFORTAVEL,"ATENCAO - utilizacao acima de "&amp;TEXT(LIMITE_CONFORTAVEL,"0%"),"OK - capacidade suficiente")))</f>
        <v>OK - capacidade suficiente</v>
      </c>
      <c r="N60" s="19" t="n">
        <f aca="false">AUX_MATRIZES!BE148</f>
        <v>0.557466063348416</v>
      </c>
      <c r="O60" s="8" t="str">
        <f aca="false">AUX_MATRIZES!BE149</f>
        <v>PV 118</v>
      </c>
      <c r="P60" s="8" t="str">
        <f aca="false">IF($N60&gt;LIMITE_CRITICO,"INVIAVEL - demanda excede a capacidade em 21 h/dia",IF($N60&gt;LIMITE_ATENCAO,"CRITICO - utilizacao acima de "&amp;TEXT(LIMITE_ATENCAO,"0%"),IF($N60&gt;LIMITE_CONFORTAVEL,"ATENCAO - utilizacao acima de "&amp;TEXT(LIMITE_CONFORTAVEL,"0%"),"OK - capacidade suficiente")))</f>
        <v>OK - capacidade suficiente</v>
      </c>
      <c r="Q60" s="19" t="n">
        <f aca="false">AUX_MATRIZES!BE150</f>
        <v>0.315343200481973</v>
      </c>
      <c r="R60" s="8" t="str">
        <f aca="false">AUX_MATRIZES!BE151</f>
        <v>RM05</v>
      </c>
      <c r="S60" s="8" t="str">
        <f aca="false">IF($Q60&gt;LIMITE_CRITICO,"INVIAVEL - demanda excede a capacidade em 21 h/dia",IF($Q60&gt;LIMITE_ATENCAO,"CRITICO - utilizacao acima de "&amp;TEXT(LIMITE_ATENCAO,"0%"),IF($Q60&gt;LIMITE_CONFORTAVEL,"ATENCAO - utilizacao acima de "&amp;TEXT(LIMITE_CONFORTAVEL,"0%"),"OK - capacidade suficiente")))</f>
        <v>OK - capacidade suficiente</v>
      </c>
      <c r="T60" s="19" t="n">
        <f aca="false">AUX_MATRIZES!BE152</f>
        <v>0.315343200481973</v>
      </c>
      <c r="U60" s="8" t="str">
        <f aca="false">AUX_MATRIZES!BE153</f>
        <v>TR05</v>
      </c>
      <c r="V60" s="8" t="str">
        <f aca="false">IF($T60&gt;LIMITE_CRITICO,"INVIAVEL - demanda excede a capacidade em 21 h/dia",IF($T60&gt;LIMITE_ATENCAO,"CRITICO - utilizacao acima de "&amp;TEXT(LIMITE_ATENCAO,"0%"),IF($T60&gt;LIMITE_CONFORTAVEL,"ATENCAO - utilizacao acima de "&amp;TEXT(LIMITE_CONFORTAVEL,"0%"),"OK - capacidade suficiente")))</f>
        <v>OK - capacidade suficiente</v>
      </c>
      <c r="W60" s="20" t="n">
        <f aca="false">AUX_MATRIZES!BE161</f>
        <v>644964.964055</v>
      </c>
    </row>
    <row r="61" customFormat="false" ht="15" hidden="false" customHeight="false" outlineLevel="0" collapsed="false">
      <c r="B61" s="16" t="n">
        <f aca="false">SEMANAS!$B$61</f>
        <v>56</v>
      </c>
      <c r="C61" s="17" t="n">
        <f aca="false">SEMANAS!$C$61</f>
        <v>46650</v>
      </c>
      <c r="D61" s="17" t="n">
        <f aca="false">SEMANAS!$D$61</f>
        <v>46656</v>
      </c>
      <c r="E61" s="16" t="n">
        <f aca="false">AUX_MATRIZES!BF140</f>
        <v>629794.707294118</v>
      </c>
      <c r="F61" s="16" t="n">
        <f aca="false">AUX_MATRIZES!BF156*SEMANAS!$K$61</f>
        <v>4470818.1</v>
      </c>
      <c r="G61" s="19" t="n">
        <f aca="false">IFERROR($E61/$F61,0)</f>
        <v>0.140867888875666</v>
      </c>
      <c r="H61" s="16" t="n">
        <f aca="false">MAX(0,$E61-$F61)</f>
        <v>0</v>
      </c>
      <c r="I61" s="18" t="n">
        <f aca="false">AUX_MATRIZES!BF158</f>
        <v>0</v>
      </c>
      <c r="J61" s="18" t="n">
        <f aca="false">AUX_MATRIZES!BF160</f>
        <v>0</v>
      </c>
      <c r="K61" s="18" t="n">
        <f aca="false">IFERROR(MAX(0,$E61/AUX_MATRIZES!BF156-SEMANAS!$K$61),0)</f>
        <v>0</v>
      </c>
      <c r="L61" s="18" t="n">
        <f aca="false">IFERROR(MAX(0,$E61/SEMANAS!$K$61-AUX_MATRIZES!BF156),0)</f>
        <v>0</v>
      </c>
      <c r="M61" s="8" t="str">
        <f aca="false">IF($G61&gt;LIMITE_CRITICO,"INVIAVEL - demanda excede a capacidade em 21 h/dia",IF($G61&gt;LIMITE_ATENCAO,"CRITICO - utilizacao acima de "&amp;TEXT(LIMITE_ATENCAO,"0%"),IF($G61&gt;LIMITE_CONFORTAVEL,"ATENCAO - utilizacao acima de "&amp;TEXT(LIMITE_CONFORTAVEL,"0%"),"OK - capacidade suficiente")))</f>
        <v>OK - capacidade suficiente</v>
      </c>
      <c r="N61" s="19" t="n">
        <f aca="false">AUX_MATRIZES!BF148</f>
        <v>0.557466063348416</v>
      </c>
      <c r="O61" s="8" t="str">
        <f aca="false">AUX_MATRIZES!BF149</f>
        <v>PV 118</v>
      </c>
      <c r="P61" s="8" t="str">
        <f aca="false">IF($N61&gt;LIMITE_CRITICO,"INVIAVEL - demanda excede a capacidade em 21 h/dia",IF($N61&gt;LIMITE_ATENCAO,"CRITICO - utilizacao acima de "&amp;TEXT(LIMITE_ATENCAO,"0%"),IF($N61&gt;LIMITE_CONFORTAVEL,"ATENCAO - utilizacao acima de "&amp;TEXT(LIMITE_CONFORTAVEL,"0%"),"OK - capacidade suficiente")))</f>
        <v>OK - capacidade suficiente</v>
      </c>
      <c r="Q61" s="19" t="n">
        <f aca="false">AUX_MATRIZES!BF150</f>
        <v>0.304705276232804</v>
      </c>
      <c r="R61" s="8" t="str">
        <f aca="false">AUX_MATRIZES!BF151</f>
        <v>RM05</v>
      </c>
      <c r="S61" s="8" t="str">
        <f aca="false">IF($Q61&gt;LIMITE_CRITICO,"INVIAVEL - demanda excede a capacidade em 21 h/dia",IF($Q61&gt;LIMITE_ATENCAO,"CRITICO - utilizacao acima de "&amp;TEXT(LIMITE_ATENCAO,"0%"),IF($Q61&gt;LIMITE_CONFORTAVEL,"ATENCAO - utilizacao acima de "&amp;TEXT(LIMITE_CONFORTAVEL,"0%"),"OK - capacidade suficiente")))</f>
        <v>OK - capacidade suficiente</v>
      </c>
      <c r="T61" s="19" t="n">
        <f aca="false">AUX_MATRIZES!BF152</f>
        <v>0.304705276232804</v>
      </c>
      <c r="U61" s="8" t="str">
        <f aca="false">AUX_MATRIZES!BF153</f>
        <v>TR05</v>
      </c>
      <c r="V61" s="8" t="str">
        <f aca="false">IF($T61&gt;LIMITE_CRITICO,"INVIAVEL - demanda excede a capacidade em 21 h/dia",IF($T61&gt;LIMITE_ATENCAO,"CRITICO - utilizacao acima de "&amp;TEXT(LIMITE_ATENCAO,"0%"),IF($T61&gt;LIMITE_CONFORTAVEL,"ATENCAO - utilizacao acima de "&amp;TEXT(LIMITE_CONFORTAVEL,"0%"),"OK - capacidade suficiente")))</f>
        <v>OK - capacidade suficiente</v>
      </c>
      <c r="W61" s="20" t="n">
        <f aca="false">AUX_MATRIZES!BF161</f>
        <v>629794.707350118</v>
      </c>
    </row>
    <row r="62" customFormat="false" ht="15" hidden="false" customHeight="false" outlineLevel="0" collapsed="false">
      <c r="B62" s="16" t="n">
        <f aca="false">SEMANAS!$B$62</f>
        <v>57</v>
      </c>
      <c r="C62" s="17" t="n">
        <f aca="false">SEMANAS!$C$62</f>
        <v>46657</v>
      </c>
      <c r="D62" s="17" t="n">
        <f aca="false">SEMANAS!$D$62</f>
        <v>46663</v>
      </c>
      <c r="E62" s="16" t="n">
        <f aca="false">AUX_MATRIZES!BG140</f>
        <v>490219.125484787</v>
      </c>
      <c r="F62" s="16" t="n">
        <f aca="false">AUX_MATRIZES!BG156*SEMANAS!$K$62</f>
        <v>4470818.1</v>
      </c>
      <c r="G62" s="19" t="n">
        <f aca="false">IFERROR($E62/$F62,0)</f>
        <v>0.109648640253288</v>
      </c>
      <c r="H62" s="16" t="n">
        <f aca="false">MAX(0,$E62-$F62)</f>
        <v>0</v>
      </c>
      <c r="I62" s="18" t="n">
        <f aca="false">AUX_MATRIZES!BG158</f>
        <v>0</v>
      </c>
      <c r="J62" s="18" t="n">
        <f aca="false">AUX_MATRIZES!BG160</f>
        <v>0</v>
      </c>
      <c r="K62" s="18" t="n">
        <f aca="false">IFERROR(MAX(0,$E62/AUX_MATRIZES!BG156-SEMANAS!$K$62),0)</f>
        <v>0</v>
      </c>
      <c r="L62" s="18" t="n">
        <f aca="false">IFERROR(MAX(0,$E62/SEMANAS!$K$62-AUX_MATRIZES!BG156),0)</f>
        <v>0</v>
      </c>
      <c r="M62" s="8" t="str">
        <f aca="false">IF($G62&gt;LIMITE_CRITICO,"INVIAVEL - demanda excede a capacidade em 21 h/dia",IF($G62&gt;LIMITE_ATENCAO,"CRITICO - utilizacao acima de "&amp;TEXT(LIMITE_ATENCAO,"0%"),IF($G62&gt;LIMITE_CONFORTAVEL,"ATENCAO - utilizacao acima de "&amp;TEXT(LIMITE_CONFORTAVEL,"0%"),"OK - capacidade suficiente")))</f>
        <v>OK - capacidade suficiente</v>
      </c>
      <c r="N62" s="19" t="n">
        <f aca="false">AUX_MATRIZES!BG148</f>
        <v>0.459107950872657</v>
      </c>
      <c r="O62" s="8" t="str">
        <f aca="false">AUX_MATRIZES!BG149</f>
        <v>PV 118</v>
      </c>
      <c r="P62" s="8" t="str">
        <f aca="false">IF($N62&gt;LIMITE_CRITICO,"INVIAVEL - demanda excede a capacidade em 21 h/dia",IF($N62&gt;LIMITE_ATENCAO,"CRITICO - utilizacao acima de "&amp;TEXT(LIMITE_ATENCAO,"0%"),IF($N62&gt;LIMITE_CONFORTAVEL,"ATENCAO - utilizacao acima de "&amp;TEXT(LIMITE_CONFORTAVEL,"0%"),"OK - capacidade suficiente")))</f>
        <v>OK - capacidade suficiente</v>
      </c>
      <c r="Q62" s="19" t="n">
        <f aca="false">AUX_MATRIZES!BG150</f>
        <v>0.227141496998936</v>
      </c>
      <c r="R62" s="8" t="str">
        <f aca="false">AUX_MATRIZES!BG151</f>
        <v>RM05</v>
      </c>
      <c r="S62" s="8" t="str">
        <f aca="false">IF($Q62&gt;LIMITE_CRITICO,"INVIAVEL - demanda excede a capacidade em 21 h/dia",IF($Q62&gt;LIMITE_ATENCAO,"CRITICO - utilizacao acima de "&amp;TEXT(LIMITE_ATENCAO,"0%"),IF($Q62&gt;LIMITE_CONFORTAVEL,"ATENCAO - utilizacao acima de "&amp;TEXT(LIMITE_CONFORTAVEL,"0%"),"OK - capacidade suficiente")))</f>
        <v>OK - capacidade suficiente</v>
      </c>
      <c r="T62" s="19" t="n">
        <f aca="false">AUX_MATRIZES!BG152</f>
        <v>0.227141496998936</v>
      </c>
      <c r="U62" s="8" t="str">
        <f aca="false">AUX_MATRIZES!BG153</f>
        <v>TR05</v>
      </c>
      <c r="V62" s="8" t="str">
        <f aca="false">IF($T62&gt;LIMITE_CRITICO,"INVIAVEL - demanda excede a capacidade em 21 h/dia",IF($T62&gt;LIMITE_ATENCAO,"CRITICO - utilizacao acima de "&amp;TEXT(LIMITE_ATENCAO,"0%"),IF($T62&gt;LIMITE_CONFORTAVEL,"ATENCAO - utilizacao acima de "&amp;TEXT(LIMITE_CONFORTAVEL,"0%"),"OK - capacidade suficiente")))</f>
        <v>OK - capacidade suficiente</v>
      </c>
      <c r="W62" s="20" t="n">
        <f aca="false">AUX_MATRIZES!BG161</f>
        <v>490219.125541787</v>
      </c>
    </row>
    <row r="63" customFormat="false" ht="15" hidden="false" customHeight="false" outlineLevel="0" collapsed="false">
      <c r="B63" s="16" t="n">
        <f aca="false">SEMANAS!$B$63</f>
        <v>58</v>
      </c>
      <c r="C63" s="17" t="n">
        <f aca="false">SEMANAS!$C$63</f>
        <v>46664</v>
      </c>
      <c r="D63" s="17" t="n">
        <f aca="false">SEMANAS!$D$63</f>
        <v>46670</v>
      </c>
      <c r="E63" s="16" t="n">
        <f aca="false">AUX_MATRIZES!BH140</f>
        <v>306488.479805274</v>
      </c>
      <c r="F63" s="16" t="n">
        <f aca="false">AUX_MATRIZES!BH156*SEMANAS!$K$63</f>
        <v>4470818.1</v>
      </c>
      <c r="G63" s="19" t="n">
        <f aca="false">IFERROR($E63/$F63,0)</f>
        <v>0.0685531088382401</v>
      </c>
      <c r="H63" s="16" t="n">
        <f aca="false">MAX(0,$E63-$F63)</f>
        <v>0</v>
      </c>
      <c r="I63" s="18" t="n">
        <f aca="false">AUX_MATRIZES!BH158</f>
        <v>0</v>
      </c>
      <c r="J63" s="18" t="n">
        <f aca="false">AUX_MATRIZES!BH160</f>
        <v>0</v>
      </c>
      <c r="K63" s="18" t="n">
        <f aca="false">IFERROR(MAX(0,$E63/AUX_MATRIZES!BH156-SEMANAS!$K$63),0)</f>
        <v>0</v>
      </c>
      <c r="L63" s="18" t="n">
        <f aca="false">IFERROR(MAX(0,$E63/SEMANAS!$K$63-AUX_MATRIZES!BH156),0)</f>
        <v>0</v>
      </c>
      <c r="M63" s="8" t="str">
        <f aca="false">IF($G63&gt;LIMITE_CRITICO,"INVIAVEL - demanda excede a capacidade em 21 h/dia",IF($G63&gt;LIMITE_ATENCAO,"CRITICO - utilizacao acima de "&amp;TEXT(LIMITE_ATENCAO,"0%"),IF($G63&gt;LIMITE_CONFORTAVEL,"ATENCAO - utilizacao acima de "&amp;TEXT(LIMITE_CONFORTAVEL,"0%"),"OK - capacidade suficiente")))</f>
        <v>OK - capacidade suficiente</v>
      </c>
      <c r="N63" s="19" t="n">
        <f aca="false">AUX_MATRIZES!BH148</f>
        <v>0.327963800904977</v>
      </c>
      <c r="O63" s="8" t="str">
        <f aca="false">AUX_MATRIZES!BH149</f>
        <v>PV 118</v>
      </c>
      <c r="P63" s="8" t="str">
        <f aca="false">IF($N63&gt;LIMITE_CRITICO,"INVIAVEL - demanda excede a capacidade em 21 h/dia",IF($N63&gt;LIMITE_ATENCAO,"CRITICO - utilizacao acima de "&amp;TEXT(LIMITE_ATENCAO,"0%"),IF($N63&gt;LIMITE_CONFORTAVEL,"ATENCAO - utilizacao acima de "&amp;TEXT(LIMITE_CONFORTAVEL,"0%"),"OK - capacidade suficiente")))</f>
        <v>OK - capacidade suficiente</v>
      </c>
      <c r="Q63" s="19" t="n">
        <f aca="false">AUX_MATRIZES!BH150</f>
        <v>0.131027017504932</v>
      </c>
      <c r="R63" s="8" t="str">
        <f aca="false">AUX_MATRIZES!BH151</f>
        <v>RM05</v>
      </c>
      <c r="S63" s="8" t="str">
        <f aca="false">IF($Q63&gt;LIMITE_CRITICO,"INVIAVEL - demanda excede a capacidade em 21 h/dia",IF($Q63&gt;LIMITE_ATENCAO,"CRITICO - utilizacao acima de "&amp;TEXT(LIMITE_ATENCAO,"0%"),IF($Q63&gt;LIMITE_CONFORTAVEL,"ATENCAO - utilizacao acima de "&amp;TEXT(LIMITE_CONFORTAVEL,"0%"),"OK - capacidade suficiente")))</f>
        <v>OK - capacidade suficiente</v>
      </c>
      <c r="T63" s="19" t="n">
        <f aca="false">AUX_MATRIZES!BH152</f>
        <v>0.131027017504932</v>
      </c>
      <c r="U63" s="8" t="str">
        <f aca="false">AUX_MATRIZES!BH153</f>
        <v>TR05</v>
      </c>
      <c r="V63" s="8" t="str">
        <f aca="false">IF($T63&gt;LIMITE_CRITICO,"INVIAVEL - demanda excede a capacidade em 21 h/dia",IF($T63&gt;LIMITE_ATENCAO,"CRITICO - utilizacao acima de "&amp;TEXT(LIMITE_ATENCAO,"0%"),IF($T63&gt;LIMITE_CONFORTAVEL,"ATENCAO - utilizacao acima de "&amp;TEXT(LIMITE_CONFORTAVEL,"0%"),"OK - capacidade suficiente")))</f>
        <v>OK - capacidade suficiente</v>
      </c>
      <c r="W63" s="20" t="n">
        <f aca="false">AUX_MATRIZES!BH161</f>
        <v>306488.479863274</v>
      </c>
    </row>
    <row r="64" customFormat="false" ht="15" hidden="false" customHeight="false" outlineLevel="0" collapsed="false">
      <c r="B64" s="16" t="n">
        <f aca="false">SEMANAS!$B$64</f>
        <v>59</v>
      </c>
      <c r="C64" s="17" t="n">
        <f aca="false">SEMANAS!$C$64</f>
        <v>46671</v>
      </c>
      <c r="D64" s="17" t="n">
        <f aca="false">SEMANAS!$D$64</f>
        <v>46677</v>
      </c>
      <c r="E64" s="16" t="n">
        <f aca="false">AUX_MATRIZES!BI140</f>
        <v>271832.445208925</v>
      </c>
      <c r="F64" s="16" t="n">
        <f aca="false">AUX_MATRIZES!BI156*SEMANAS!$K$64</f>
        <v>4470818.1</v>
      </c>
      <c r="G64" s="19" t="n">
        <f aca="false">IFERROR($E64/$F64,0)</f>
        <v>0.0608014996648879</v>
      </c>
      <c r="H64" s="16" t="n">
        <f aca="false">MAX(0,$E64-$F64)</f>
        <v>0</v>
      </c>
      <c r="I64" s="18" t="n">
        <f aca="false">AUX_MATRIZES!BI158</f>
        <v>0</v>
      </c>
      <c r="J64" s="18" t="n">
        <f aca="false">AUX_MATRIZES!BI160</f>
        <v>0</v>
      </c>
      <c r="K64" s="18" t="n">
        <f aca="false">IFERROR(MAX(0,$E64/AUX_MATRIZES!BI156-SEMANAS!$K$64),0)</f>
        <v>0</v>
      </c>
      <c r="L64" s="18" t="n">
        <f aca="false">IFERROR(MAX(0,$E64/SEMANAS!$K$64-AUX_MATRIZES!BI156),0)</f>
        <v>0</v>
      </c>
      <c r="M64" s="8" t="str">
        <f aca="false">IF($G64&gt;LIMITE_CRITICO,"INVIAVEL - demanda excede a capacidade em 21 h/dia",IF($G64&gt;LIMITE_ATENCAO,"CRITICO - utilizacao acima de "&amp;TEXT(LIMITE_ATENCAO,"0%"),IF($G64&gt;LIMITE_CONFORTAVEL,"ATENCAO - utilizacao acima de "&amp;TEXT(LIMITE_CONFORTAVEL,"0%"),"OK - capacidade suficiente")))</f>
        <v>OK - capacidade suficiente</v>
      </c>
      <c r="N64" s="19" t="n">
        <f aca="false">AUX_MATRIZES!BI148</f>
        <v>0.327963800904977</v>
      </c>
      <c r="O64" s="8" t="str">
        <f aca="false">AUX_MATRIZES!BI149</f>
        <v>PV 118</v>
      </c>
      <c r="P64" s="8" t="str">
        <f aca="false">IF($N64&gt;LIMITE_CRITICO,"INVIAVEL - demanda excede a capacidade em 21 h/dia",IF($N64&gt;LIMITE_ATENCAO,"CRITICO - utilizacao acima de "&amp;TEXT(LIMITE_ATENCAO,"0%"),IF($N64&gt;LIMITE_CONFORTAVEL,"ATENCAO - utilizacao acima de "&amp;TEXT(LIMITE_CONFORTAVEL,"0%"),"OK - capacidade suficiente")))</f>
        <v>OK - capacidade suficiente</v>
      </c>
      <c r="Q64" s="19" t="n">
        <f aca="false">AUX_MATRIZES!BI150</f>
        <v>0.111854298858154</v>
      </c>
      <c r="R64" s="8" t="str">
        <f aca="false">AUX_MATRIZES!BI151</f>
        <v>RM05</v>
      </c>
      <c r="S64" s="8" t="str">
        <f aca="false">IF($Q64&gt;LIMITE_CRITICO,"INVIAVEL - demanda excede a capacidade em 21 h/dia",IF($Q64&gt;LIMITE_ATENCAO,"CRITICO - utilizacao acima de "&amp;TEXT(LIMITE_ATENCAO,"0%"),IF($Q64&gt;LIMITE_CONFORTAVEL,"ATENCAO - utilizacao acima de "&amp;TEXT(LIMITE_CONFORTAVEL,"0%"),"OK - capacidade suficiente")))</f>
        <v>OK - capacidade suficiente</v>
      </c>
      <c r="T64" s="19" t="n">
        <f aca="false">AUX_MATRIZES!BI152</f>
        <v>0.111854298858154</v>
      </c>
      <c r="U64" s="8" t="str">
        <f aca="false">AUX_MATRIZES!BI153</f>
        <v>TR05</v>
      </c>
      <c r="V64" s="8" t="str">
        <f aca="false">IF($T64&gt;LIMITE_CRITICO,"INVIAVEL - demanda excede a capacidade em 21 h/dia",IF($T64&gt;LIMITE_ATENCAO,"CRITICO - utilizacao acima de "&amp;TEXT(LIMITE_ATENCAO,"0%"),IF($T64&gt;LIMITE_CONFORTAVEL,"ATENCAO - utilizacao acima de "&amp;TEXT(LIMITE_CONFORTAVEL,"0%"),"OK - capacidade suficiente")))</f>
        <v>OK - capacidade suficiente</v>
      </c>
      <c r="W64" s="20" t="n">
        <f aca="false">AUX_MATRIZES!BI161</f>
        <v>271832.445267925</v>
      </c>
    </row>
    <row r="65" customFormat="false" ht="15" hidden="false" customHeight="false" outlineLevel="0" collapsed="false">
      <c r="B65" s="16" t="n">
        <f aca="false">SEMANAS!$B$65</f>
        <v>60</v>
      </c>
      <c r="C65" s="17" t="n">
        <f aca="false">SEMANAS!$C$65</f>
        <v>46678</v>
      </c>
      <c r="D65" s="17" t="n">
        <f aca="false">SEMANAS!$D$65</f>
        <v>46684</v>
      </c>
      <c r="E65" s="16" t="n">
        <f aca="false">AUX_MATRIZES!BJ140</f>
        <v>226248.357517241</v>
      </c>
      <c r="F65" s="16" t="n">
        <f aca="false">AUX_MATRIZES!BJ156*SEMANAS!$K$65</f>
        <v>4470818.1</v>
      </c>
      <c r="G65" s="19" t="n">
        <f aca="false">IFERROR($E65/$F65,0)</f>
        <v>0.0506055832415193</v>
      </c>
      <c r="H65" s="16" t="n">
        <f aca="false">MAX(0,$E65-$F65)</f>
        <v>0</v>
      </c>
      <c r="I65" s="18" t="n">
        <f aca="false">AUX_MATRIZES!BJ158</f>
        <v>0</v>
      </c>
      <c r="J65" s="18" t="n">
        <f aca="false">AUX_MATRIZES!BJ160</f>
        <v>0</v>
      </c>
      <c r="K65" s="18" t="n">
        <f aca="false">IFERROR(MAX(0,$E65/AUX_MATRIZES!BJ156-SEMANAS!$K$65),0)</f>
        <v>0</v>
      </c>
      <c r="L65" s="18" t="n">
        <f aca="false">IFERROR(MAX(0,$E65/SEMANAS!$K$65-AUX_MATRIZES!BJ156),0)</f>
        <v>0</v>
      </c>
      <c r="M65" s="8" t="str">
        <f aca="false">IF($G65&gt;LIMITE_CRITICO,"INVIAVEL - demanda excede a capacidade em 21 h/dia",IF($G65&gt;LIMITE_ATENCAO,"CRITICO - utilizacao acima de "&amp;TEXT(LIMITE_ATENCAO,"0%"),IF($G65&gt;LIMITE_CONFORTAVEL,"ATENCAO - utilizacao acima de "&amp;TEXT(LIMITE_CONFORTAVEL,"0%"),"OK - capacidade suficiente")))</f>
        <v>OK - capacidade suficiente</v>
      </c>
      <c r="N65" s="19" t="n">
        <f aca="false">AUX_MATRIZES!BJ148</f>
        <v>0.312760180995475</v>
      </c>
      <c r="O65" s="8" t="str">
        <f aca="false">AUX_MATRIZES!BJ149</f>
        <v>PV 118</v>
      </c>
      <c r="P65" s="8" t="str">
        <f aca="false">IF($N65&gt;LIMITE_CRITICO,"INVIAVEL - demanda excede a capacidade em 21 h/dia",IF($N65&gt;LIMITE_ATENCAO,"CRITICO - utilizacao acima de "&amp;TEXT(LIMITE_ATENCAO,"0%"),IF($N65&gt;LIMITE_CONFORTAVEL,"ATENCAO - utilizacao acima de "&amp;TEXT(LIMITE_CONFORTAVEL,"0%"),"OK - capacidade suficiente")))</f>
        <v>OK - capacidade suficiente</v>
      </c>
      <c r="Q65" s="19" t="n">
        <f aca="false">AUX_MATRIZES!BJ150</f>
        <v>0.0849232638047029</v>
      </c>
      <c r="R65" s="8" t="str">
        <f aca="false">AUX_MATRIZES!BJ151</f>
        <v>RM05</v>
      </c>
      <c r="S65" s="8" t="str">
        <f aca="false">IF($Q65&gt;LIMITE_CRITICO,"INVIAVEL - demanda excede a capacidade em 21 h/dia",IF($Q65&gt;LIMITE_ATENCAO,"CRITICO - utilizacao acima de "&amp;TEXT(LIMITE_ATENCAO,"0%"),IF($Q65&gt;LIMITE_CONFORTAVEL,"ATENCAO - utilizacao acima de "&amp;TEXT(LIMITE_CONFORTAVEL,"0%"),"OK - capacidade suficiente")))</f>
        <v>OK - capacidade suficiente</v>
      </c>
      <c r="T65" s="19" t="n">
        <f aca="false">AUX_MATRIZES!BJ152</f>
        <v>0.0849232638047029</v>
      </c>
      <c r="U65" s="8" t="str">
        <f aca="false">AUX_MATRIZES!BJ153</f>
        <v>TR05</v>
      </c>
      <c r="V65" s="8" t="str">
        <f aca="false">IF($T65&gt;LIMITE_CRITICO,"INVIAVEL - demanda excede a capacidade em 21 h/dia",IF($T65&gt;LIMITE_ATENCAO,"CRITICO - utilizacao acima de "&amp;TEXT(LIMITE_ATENCAO,"0%"),IF($T65&gt;LIMITE_CONFORTAVEL,"ATENCAO - utilizacao acima de "&amp;TEXT(LIMITE_CONFORTAVEL,"0%"),"OK - capacidade suficiente")))</f>
        <v>OK - capacidade suficiente</v>
      </c>
      <c r="W65" s="20" t="n">
        <f aca="false">AUX_MATRIZES!BJ161</f>
        <v>226248.357577241</v>
      </c>
    </row>
    <row r="66" customFormat="false" ht="15" hidden="false" customHeight="false" outlineLevel="0" collapsed="false">
      <c r="B66" s="16" t="n">
        <f aca="false">SEMANAS!$B$66</f>
        <v>61</v>
      </c>
      <c r="C66" s="17" t="n">
        <f aca="false">SEMANAS!$C$66</f>
        <v>46685</v>
      </c>
      <c r="D66" s="17" t="n">
        <f aca="false">SEMANAS!$D$66</f>
        <v>46691</v>
      </c>
      <c r="E66" s="16" t="n">
        <f aca="false">AUX_MATRIZES!BK140</f>
        <v>174486.743415821</v>
      </c>
      <c r="F66" s="16" t="n">
        <f aca="false">AUX_MATRIZES!BK156*SEMANAS!$K$66</f>
        <v>4470818.1</v>
      </c>
      <c r="G66" s="19" t="n">
        <f aca="false">IFERROR($E66/$F66,0)</f>
        <v>0.0390279227454638</v>
      </c>
      <c r="H66" s="16" t="n">
        <f aca="false">MAX(0,$E66-$F66)</f>
        <v>0</v>
      </c>
      <c r="I66" s="18" t="n">
        <f aca="false">AUX_MATRIZES!BK158</f>
        <v>0</v>
      </c>
      <c r="J66" s="18" t="n">
        <f aca="false">AUX_MATRIZES!BK160</f>
        <v>0</v>
      </c>
      <c r="K66" s="18" t="n">
        <f aca="false">IFERROR(MAX(0,$E66/AUX_MATRIZES!BK156-SEMANAS!$K$66),0)</f>
        <v>0</v>
      </c>
      <c r="L66" s="18" t="n">
        <f aca="false">IFERROR(MAX(0,$E66/SEMANAS!$K$66-AUX_MATRIZES!BK156),0)</f>
        <v>0</v>
      </c>
      <c r="M66" s="8" t="str">
        <f aca="false">IF($G66&gt;LIMITE_CRITICO,"INVIAVEL - demanda excede a capacidade em 21 h/dia",IF($G66&gt;LIMITE_ATENCAO,"CRITICO - utilizacao acima de "&amp;TEXT(LIMITE_ATENCAO,"0%"),IF($G66&gt;LIMITE_CONFORTAVEL,"ATENCAO - utilizacao acima de "&amp;TEXT(LIMITE_CONFORTAVEL,"0%"),"OK - capacidade suficiente")))</f>
        <v>OK - capacidade suficiente</v>
      </c>
      <c r="N66" s="19" t="n">
        <f aca="false">AUX_MATRIZES!BK148</f>
        <v>0.30453781512605</v>
      </c>
      <c r="O66" s="8" t="str">
        <f aca="false">AUX_MATRIZES!BK149</f>
        <v>PV 120</v>
      </c>
      <c r="P66" s="8" t="str">
        <f aca="false">IF($N66&gt;LIMITE_CRITICO,"INVIAVEL - demanda excede a capacidade em 21 h/dia",IF($N66&gt;LIMITE_ATENCAO,"CRITICO - utilizacao acima de "&amp;TEXT(LIMITE_ATENCAO,"0%"),IF($N66&gt;LIMITE_CONFORTAVEL,"ATENCAO - utilizacao acima de "&amp;TEXT(LIMITE_CONFORTAVEL,"0%"),"OK - capacidade suficiente")))</f>
        <v>OK - capacidade suficiente</v>
      </c>
      <c r="Q66" s="19" t="n">
        <f aca="false">AUX_MATRIZES!BK150</f>
        <v>0.0610620714744637</v>
      </c>
      <c r="R66" s="8" t="str">
        <f aca="false">AUX_MATRIZES!BK151</f>
        <v>RM07</v>
      </c>
      <c r="S66" s="8" t="str">
        <f aca="false">IF($Q66&gt;LIMITE_CRITICO,"INVIAVEL - demanda excede a capacidade em 21 h/dia",IF($Q66&gt;LIMITE_ATENCAO,"CRITICO - utilizacao acima de "&amp;TEXT(LIMITE_ATENCAO,"0%"),IF($Q66&gt;LIMITE_CONFORTAVEL,"ATENCAO - utilizacao acima de "&amp;TEXT(LIMITE_CONFORTAVEL,"0%"),"OK - capacidade suficiente")))</f>
        <v>OK - capacidade suficiente</v>
      </c>
      <c r="T66" s="19" t="n">
        <f aca="false">AUX_MATRIZES!BK152</f>
        <v>0.0610620714744637</v>
      </c>
      <c r="U66" s="8" t="str">
        <f aca="false">AUX_MATRIZES!BK153</f>
        <v>TR07</v>
      </c>
      <c r="V66" s="8" t="str">
        <f aca="false">IF($T66&gt;LIMITE_CRITICO,"INVIAVEL - demanda excede a capacidade em 21 h/dia",IF($T66&gt;LIMITE_ATENCAO,"CRITICO - utilizacao acima de "&amp;TEXT(LIMITE_ATENCAO,"0%"),IF($T66&gt;LIMITE_CONFORTAVEL,"ATENCAO - utilizacao acima de "&amp;TEXT(LIMITE_CONFORTAVEL,"0%"),"OK - capacidade suficiente")))</f>
        <v>OK - capacidade suficiente</v>
      </c>
      <c r="W66" s="20" t="n">
        <f aca="false">AUX_MATRIZES!BK161</f>
        <v>174486.743476821</v>
      </c>
    </row>
    <row r="67" customFormat="false" ht="15" hidden="false" customHeight="false" outlineLevel="0" collapsed="false">
      <c r="B67" s="16" t="n">
        <f aca="false">SEMANAS!$B$67</f>
        <v>62</v>
      </c>
      <c r="C67" s="17" t="n">
        <f aca="false">SEMANAS!$C$67</f>
        <v>46692</v>
      </c>
      <c r="D67" s="17" t="n">
        <f aca="false">SEMANAS!$D$67</f>
        <v>46698</v>
      </c>
      <c r="E67" s="16" t="n">
        <f aca="false">AUX_MATRIZES!BL140</f>
        <v>1235.62435294118</v>
      </c>
      <c r="F67" s="16" t="n">
        <f aca="false">AUX_MATRIZES!BL156*SEMANAS!$K$67</f>
        <v>4470818.1</v>
      </c>
      <c r="G67" s="19" t="n">
        <f aca="false">IFERROR($E67/$F67,0)</f>
        <v>0.000276375447469264</v>
      </c>
      <c r="H67" s="16" t="n">
        <f aca="false">MAX(0,$E67-$F67)</f>
        <v>0</v>
      </c>
      <c r="I67" s="18" t="n">
        <f aca="false">AUX_MATRIZES!BL158</f>
        <v>0</v>
      </c>
      <c r="J67" s="18" t="n">
        <f aca="false">AUX_MATRIZES!BL160</f>
        <v>0</v>
      </c>
      <c r="K67" s="18" t="n">
        <f aca="false">IFERROR(MAX(0,$E67/AUX_MATRIZES!BL156-SEMANAS!$K$67),0)</f>
        <v>0</v>
      </c>
      <c r="L67" s="18" t="n">
        <f aca="false">IFERROR(MAX(0,$E67/SEMANAS!$K$67-AUX_MATRIZES!BL156),0)</f>
        <v>0</v>
      </c>
      <c r="M67" s="8" t="str">
        <f aca="false">IF($G67&gt;LIMITE_CRITICO,"INVIAVEL - demanda excede a capacidade em 21 h/dia",IF($G67&gt;LIMITE_ATENCAO,"CRITICO - utilizacao acima de "&amp;TEXT(LIMITE_ATENCAO,"0%"),IF($G67&gt;LIMITE_CONFORTAVEL,"ATENCAO - utilizacao acima de "&amp;TEXT(LIMITE_CONFORTAVEL,"0%"),"OK - capacidade suficiente")))</f>
        <v>OK - capacidade suficiente</v>
      </c>
      <c r="N67" s="19" t="n">
        <f aca="false">AUX_MATRIZES!BL148</f>
        <v>0.00865546218487399</v>
      </c>
      <c r="O67" s="8" t="str">
        <f aca="false">AUX_MATRIZES!BL149</f>
        <v>PV 120</v>
      </c>
      <c r="P67" s="8" t="str">
        <f aca="false">IF($N67&gt;LIMITE_CRITICO,"INVIAVEL - demanda excede a capacidade em 21 h/dia",IF($N67&gt;LIMITE_ATENCAO,"CRITICO - utilizacao acima de "&amp;TEXT(LIMITE_ATENCAO,"0%"),IF($N67&gt;LIMITE_CONFORTAVEL,"ATENCAO - utilizacao acima de "&amp;TEXT(LIMITE_CONFORTAVEL,"0%"),"OK - capacidade suficiente")))</f>
        <v>OK - capacidade suficiente</v>
      </c>
      <c r="Q67" s="19" t="n">
        <f aca="false">AUX_MATRIZES!BL150</f>
        <v>0.00101288131835692</v>
      </c>
      <c r="R67" s="8" t="str">
        <f aca="false">AUX_MATRIZES!BL151</f>
        <v>RM07</v>
      </c>
      <c r="S67" s="8" t="str">
        <f aca="false">IF($Q67&gt;LIMITE_CRITICO,"INVIAVEL - demanda excede a capacidade em 21 h/dia",IF($Q67&gt;LIMITE_ATENCAO,"CRITICO - utilizacao acima de "&amp;TEXT(LIMITE_ATENCAO,"0%"),IF($Q67&gt;LIMITE_CONFORTAVEL,"ATENCAO - utilizacao acima de "&amp;TEXT(LIMITE_CONFORTAVEL,"0%"),"OK - capacidade suficiente")))</f>
        <v>OK - capacidade suficiente</v>
      </c>
      <c r="T67" s="19" t="n">
        <f aca="false">AUX_MATRIZES!BL152</f>
        <v>0.00101288131835692</v>
      </c>
      <c r="U67" s="8" t="str">
        <f aca="false">AUX_MATRIZES!BL153</f>
        <v>TR07</v>
      </c>
      <c r="V67" s="8" t="str">
        <f aca="false">IF($T67&gt;LIMITE_CRITICO,"INVIAVEL - demanda excede a capacidade em 21 h/dia",IF($T67&gt;LIMITE_ATENCAO,"CRITICO - utilizacao acima de "&amp;TEXT(LIMITE_ATENCAO,"0%"),IF($T67&gt;LIMITE_CONFORTAVEL,"ATENCAO - utilizacao acima de "&amp;TEXT(LIMITE_CONFORTAVEL,"0%"),"OK - capacidade suficiente")))</f>
        <v>OK - capacidade suficiente</v>
      </c>
      <c r="W67" s="20" t="n">
        <f aca="false">AUX_MATRIZES!BL161</f>
        <v>1235.62441494118</v>
      </c>
    </row>
    <row r="68" customFormat="false" ht="15" hidden="false" customHeight="false" outlineLevel="0" collapsed="false">
      <c r="B68" s="16" t="n">
        <f aca="false">SEMANAS!$B$68</f>
        <v>63</v>
      </c>
      <c r="C68" s="17" t="n">
        <f aca="false">SEMANAS!$C$68</f>
        <v>46699</v>
      </c>
      <c r="D68" s="17" t="n">
        <f aca="false">SEMANAS!$D$68</f>
        <v>46705</v>
      </c>
      <c r="E68" s="16" t="n">
        <f aca="false">AUX_MATRIZES!BM140</f>
        <v>0</v>
      </c>
      <c r="F68" s="16" t="n">
        <f aca="false">AUX_MATRIZES!BM156*SEMANAS!$K$68</f>
        <v>4470818.1</v>
      </c>
      <c r="G68" s="19" t="n">
        <f aca="false">IFERROR($E68/$F68,0)</f>
        <v>0</v>
      </c>
      <c r="H68" s="16" t="n">
        <f aca="false">MAX(0,$E68-$F68)</f>
        <v>0</v>
      </c>
      <c r="I68" s="18" t="n">
        <f aca="false">AUX_MATRIZES!BM158</f>
        <v>0</v>
      </c>
      <c r="J68" s="18" t="n">
        <f aca="false">AUX_MATRIZES!BM160</f>
        <v>0</v>
      </c>
      <c r="K68" s="18" t="n">
        <f aca="false">IFERROR(MAX(0,$E68/AUX_MATRIZES!BM156-SEMANAS!$K$68),0)</f>
        <v>0</v>
      </c>
      <c r="L68" s="18" t="n">
        <f aca="false">IFERROR(MAX(0,$E68/SEMANAS!$K$68-AUX_MATRIZES!BM156),0)</f>
        <v>0</v>
      </c>
      <c r="M68" s="8" t="str">
        <f aca="false">IF($G68&gt;LIMITE_CRITICO,"INVIAVEL - demanda excede a capacidade em 21 h/dia",IF($G68&gt;LIMITE_ATENCAO,"CRITICO - utilizacao acima de "&amp;TEXT(LIMITE_ATENCAO,"0%"),IF($G68&gt;LIMITE_CONFORTAVEL,"ATENCAO - utilizacao acima de "&amp;TEXT(LIMITE_CONFORTAVEL,"0%"),"OK - capacidade suficiente")))</f>
        <v>OK - capacidade suficiente</v>
      </c>
      <c r="N68" s="19" t="n">
        <f aca="false">AUX_MATRIZES!BM148</f>
        <v>0</v>
      </c>
      <c r="O68" s="8" t="str">
        <f aca="false">AUX_MATRIZES!BM149</f>
        <v>PV 109</v>
      </c>
      <c r="P68" s="8" t="str">
        <f aca="false">IF($N68&gt;LIMITE_CRITICO,"INVIAVEL - demanda excede a capacidade em 21 h/dia",IF($N68&gt;LIMITE_ATENCAO,"CRITICO - utilizacao acima de "&amp;TEXT(LIMITE_ATENCAO,"0%"),IF($N68&gt;LIMITE_CONFORTAVEL,"ATENCAO - utilizacao acima de "&amp;TEXT(LIMITE_CONFORTAVEL,"0%"),"OK - capacidade suficiente")))</f>
        <v>OK - capacidade suficiente</v>
      </c>
      <c r="Q68" s="19" t="n">
        <f aca="false">AUX_MATRIZES!BM150</f>
        <v>0</v>
      </c>
      <c r="R68" s="8" t="str">
        <f aca="false">AUX_MATRIZES!BM151</f>
        <v>RM01</v>
      </c>
      <c r="S68" s="8" t="str">
        <f aca="false">IF($Q68&gt;LIMITE_CRITICO,"INVIAVEL - demanda excede a capacidade em 21 h/dia",IF($Q68&gt;LIMITE_ATENCAO,"CRITICO - utilizacao acima de "&amp;TEXT(LIMITE_ATENCAO,"0%"),IF($Q68&gt;LIMITE_CONFORTAVEL,"ATENCAO - utilizacao acima de "&amp;TEXT(LIMITE_CONFORTAVEL,"0%"),"OK - capacidade suficiente")))</f>
        <v>OK - capacidade suficiente</v>
      </c>
      <c r="T68" s="19" t="n">
        <f aca="false">AUX_MATRIZES!BM152</f>
        <v>0</v>
      </c>
      <c r="U68" s="8" t="str">
        <f aca="false">AUX_MATRIZES!BM153</f>
        <v>TR01</v>
      </c>
      <c r="V68" s="8" t="str">
        <f aca="false">IF($T68&gt;LIMITE_CRITICO,"INVIAVEL - demanda excede a capacidade em 21 h/dia",IF($T68&gt;LIMITE_ATENCAO,"CRITICO - utilizacao acima de "&amp;TEXT(LIMITE_ATENCAO,"0%"),IF($T68&gt;LIMITE_CONFORTAVEL,"ATENCAO - utilizacao acima de "&amp;TEXT(LIMITE_CONFORTAVEL,"0%"),"OK - capacidade suficiente")))</f>
        <v>OK - capacidade suficiente</v>
      </c>
      <c r="W68" s="20" t="n">
        <f aca="false">AUX_MATRIZES!BM161</f>
        <v>6.3E-005</v>
      </c>
    </row>
    <row r="69" customFormat="false" ht="15" hidden="false" customHeight="false" outlineLevel="0" collapsed="false">
      <c r="B69" s="16" t="n">
        <f aca="false">SEMANAS!$B$69</f>
        <v>64</v>
      </c>
      <c r="C69" s="17" t="n">
        <f aca="false">SEMANAS!$C$69</f>
        <v>46706</v>
      </c>
      <c r="D69" s="17" t="n">
        <f aca="false">SEMANAS!$D$69</f>
        <v>46712</v>
      </c>
      <c r="E69" s="16" t="n">
        <f aca="false">AUX_MATRIZES!BN140</f>
        <v>0</v>
      </c>
      <c r="F69" s="16" t="n">
        <f aca="false">AUX_MATRIZES!BN156*SEMANAS!$K$69</f>
        <v>4470818.1</v>
      </c>
      <c r="G69" s="19" t="n">
        <f aca="false">IFERROR($E69/$F69,0)</f>
        <v>0</v>
      </c>
      <c r="H69" s="16" t="n">
        <f aca="false">MAX(0,$E69-$F69)</f>
        <v>0</v>
      </c>
      <c r="I69" s="18" t="n">
        <f aca="false">AUX_MATRIZES!BN158</f>
        <v>0</v>
      </c>
      <c r="J69" s="18" t="n">
        <f aca="false">AUX_MATRIZES!BN160</f>
        <v>0</v>
      </c>
      <c r="K69" s="18" t="n">
        <f aca="false">IFERROR(MAX(0,$E69/AUX_MATRIZES!BN156-SEMANAS!$K$69),0)</f>
        <v>0</v>
      </c>
      <c r="L69" s="18" t="n">
        <f aca="false">IFERROR(MAX(0,$E69/SEMANAS!$K$69-AUX_MATRIZES!BN156),0)</f>
        <v>0</v>
      </c>
      <c r="M69" s="8" t="str">
        <f aca="false">IF($G69&gt;LIMITE_CRITICO,"INVIAVEL - demanda excede a capacidade em 21 h/dia",IF($G69&gt;LIMITE_ATENCAO,"CRITICO - utilizacao acima de "&amp;TEXT(LIMITE_ATENCAO,"0%"),IF($G69&gt;LIMITE_CONFORTAVEL,"ATENCAO - utilizacao acima de "&amp;TEXT(LIMITE_CONFORTAVEL,"0%"),"OK - capacidade suficiente")))</f>
        <v>OK - capacidade suficiente</v>
      </c>
      <c r="N69" s="19" t="n">
        <f aca="false">AUX_MATRIZES!BN148</f>
        <v>0</v>
      </c>
      <c r="O69" s="8" t="str">
        <f aca="false">AUX_MATRIZES!BN149</f>
        <v>PV 109</v>
      </c>
      <c r="P69" s="8" t="str">
        <f aca="false">IF($N69&gt;LIMITE_CRITICO,"INVIAVEL - demanda excede a capacidade em 21 h/dia",IF($N69&gt;LIMITE_ATENCAO,"CRITICO - utilizacao acima de "&amp;TEXT(LIMITE_ATENCAO,"0%"),IF($N69&gt;LIMITE_CONFORTAVEL,"ATENCAO - utilizacao acima de "&amp;TEXT(LIMITE_CONFORTAVEL,"0%"),"OK - capacidade suficiente")))</f>
        <v>OK - capacidade suficiente</v>
      </c>
      <c r="Q69" s="19" t="n">
        <f aca="false">AUX_MATRIZES!BN150</f>
        <v>0</v>
      </c>
      <c r="R69" s="8" t="str">
        <f aca="false">AUX_MATRIZES!BN151</f>
        <v>RM01</v>
      </c>
      <c r="S69" s="8" t="str">
        <f aca="false">IF($Q69&gt;LIMITE_CRITICO,"INVIAVEL - demanda excede a capacidade em 21 h/dia",IF($Q69&gt;LIMITE_ATENCAO,"CRITICO - utilizacao acima de "&amp;TEXT(LIMITE_ATENCAO,"0%"),IF($Q69&gt;LIMITE_CONFORTAVEL,"ATENCAO - utilizacao acima de "&amp;TEXT(LIMITE_CONFORTAVEL,"0%"),"OK - capacidade suficiente")))</f>
        <v>OK - capacidade suficiente</v>
      </c>
      <c r="T69" s="19" t="n">
        <f aca="false">AUX_MATRIZES!BN152</f>
        <v>0</v>
      </c>
      <c r="U69" s="8" t="str">
        <f aca="false">AUX_MATRIZES!BN153</f>
        <v>TR01</v>
      </c>
      <c r="V69" s="8" t="str">
        <f aca="false">IF($T69&gt;LIMITE_CRITICO,"INVIAVEL - demanda excede a capacidade em 21 h/dia",IF($T69&gt;LIMITE_ATENCAO,"CRITICO - utilizacao acima de "&amp;TEXT(LIMITE_ATENCAO,"0%"),IF($T69&gt;LIMITE_CONFORTAVEL,"ATENCAO - utilizacao acima de "&amp;TEXT(LIMITE_CONFORTAVEL,"0%"),"OK - capacidade suficiente")))</f>
        <v>OK - capacidade suficiente</v>
      </c>
      <c r="W69" s="20" t="n">
        <f aca="false">AUX_MATRIZES!BN161</f>
        <v>6.4E-005</v>
      </c>
    </row>
    <row r="70" customFormat="false" ht="15" hidden="false" customHeight="false" outlineLevel="0" collapsed="false">
      <c r="B70" s="16" t="n">
        <f aca="false">SEMANAS!$B$70</f>
        <v>65</v>
      </c>
      <c r="C70" s="17" t="n">
        <f aca="false">SEMANAS!$C$70</f>
        <v>46713</v>
      </c>
      <c r="D70" s="17" t="n">
        <f aca="false">SEMANAS!$D$70</f>
        <v>46719</v>
      </c>
      <c r="E70" s="16" t="n">
        <f aca="false">AUX_MATRIZES!BO140</f>
        <v>0</v>
      </c>
      <c r="F70" s="16" t="n">
        <f aca="false">AUX_MATRIZES!BO156*SEMANAS!$K$70</f>
        <v>4470818.1</v>
      </c>
      <c r="G70" s="19" t="n">
        <f aca="false">IFERROR($E70/$F70,0)</f>
        <v>0</v>
      </c>
      <c r="H70" s="16" t="n">
        <f aca="false">MAX(0,$E70-$F70)</f>
        <v>0</v>
      </c>
      <c r="I70" s="18" t="n">
        <f aca="false">AUX_MATRIZES!BO158</f>
        <v>0</v>
      </c>
      <c r="J70" s="18" t="n">
        <f aca="false">AUX_MATRIZES!BO160</f>
        <v>0</v>
      </c>
      <c r="K70" s="18" t="n">
        <f aca="false">IFERROR(MAX(0,$E70/AUX_MATRIZES!BO156-SEMANAS!$K$70),0)</f>
        <v>0</v>
      </c>
      <c r="L70" s="18" t="n">
        <f aca="false">IFERROR(MAX(0,$E70/SEMANAS!$K$70-AUX_MATRIZES!BO156),0)</f>
        <v>0</v>
      </c>
      <c r="M70" s="8" t="str">
        <f aca="false">IF($G70&gt;LIMITE_CRITICO,"INVIAVEL - demanda excede a capacidade em 21 h/dia",IF($G70&gt;LIMITE_ATENCAO,"CRITICO - utilizacao acima de "&amp;TEXT(LIMITE_ATENCAO,"0%"),IF($G70&gt;LIMITE_CONFORTAVEL,"ATENCAO - utilizacao acima de "&amp;TEXT(LIMITE_CONFORTAVEL,"0%"),"OK - capacidade suficiente")))</f>
        <v>OK - capacidade suficiente</v>
      </c>
      <c r="N70" s="19" t="n">
        <f aca="false">AUX_MATRIZES!BO148</f>
        <v>0</v>
      </c>
      <c r="O70" s="8" t="str">
        <f aca="false">AUX_MATRIZES!BO149</f>
        <v>PV 109</v>
      </c>
      <c r="P70" s="8" t="str">
        <f aca="false">IF($N70&gt;LIMITE_CRITICO,"INVIAVEL - demanda excede a capacidade em 21 h/dia",IF($N70&gt;LIMITE_ATENCAO,"CRITICO - utilizacao acima de "&amp;TEXT(LIMITE_ATENCAO,"0%"),IF($N70&gt;LIMITE_CONFORTAVEL,"ATENCAO - utilizacao acima de "&amp;TEXT(LIMITE_CONFORTAVEL,"0%"),"OK - capacidade suficiente")))</f>
        <v>OK - capacidade suficiente</v>
      </c>
      <c r="Q70" s="19" t="n">
        <f aca="false">AUX_MATRIZES!BO150</f>
        <v>0</v>
      </c>
      <c r="R70" s="8" t="str">
        <f aca="false">AUX_MATRIZES!BO151</f>
        <v>RM01</v>
      </c>
      <c r="S70" s="8" t="str">
        <f aca="false">IF($Q70&gt;LIMITE_CRITICO,"INVIAVEL - demanda excede a capacidade em 21 h/dia",IF($Q70&gt;LIMITE_ATENCAO,"CRITICO - utilizacao acima de "&amp;TEXT(LIMITE_ATENCAO,"0%"),IF($Q70&gt;LIMITE_CONFORTAVEL,"ATENCAO - utilizacao acima de "&amp;TEXT(LIMITE_CONFORTAVEL,"0%"),"OK - capacidade suficiente")))</f>
        <v>OK - capacidade suficiente</v>
      </c>
      <c r="T70" s="19" t="n">
        <f aca="false">AUX_MATRIZES!BO152</f>
        <v>0</v>
      </c>
      <c r="U70" s="8" t="str">
        <f aca="false">AUX_MATRIZES!BO153</f>
        <v>TR01</v>
      </c>
      <c r="V70" s="8" t="str">
        <f aca="false">IF($T70&gt;LIMITE_CRITICO,"INVIAVEL - demanda excede a capacidade em 21 h/dia",IF($T70&gt;LIMITE_ATENCAO,"CRITICO - utilizacao acima de "&amp;TEXT(LIMITE_ATENCAO,"0%"),IF($T70&gt;LIMITE_CONFORTAVEL,"ATENCAO - utilizacao acima de "&amp;TEXT(LIMITE_CONFORTAVEL,"0%"),"OK - capacidade suficiente")))</f>
        <v>OK - capacidade suficiente</v>
      </c>
      <c r="W70" s="20" t="n">
        <f aca="false">AUX_MATRIZES!BO161</f>
        <v>6.5E-005</v>
      </c>
    </row>
    <row r="71" customFormat="false" ht="15" hidden="false" customHeight="false" outlineLevel="0" collapsed="false">
      <c r="B71" s="16" t="n">
        <f aca="false">SEMANAS!$B$71</f>
        <v>66</v>
      </c>
      <c r="C71" s="17" t="n">
        <f aca="false">SEMANAS!$C$71</f>
        <v>46720</v>
      </c>
      <c r="D71" s="17" t="n">
        <f aca="false">SEMANAS!$D$71</f>
        <v>46726</v>
      </c>
      <c r="E71" s="16" t="n">
        <f aca="false">AUX_MATRIZES!BP140</f>
        <v>0</v>
      </c>
      <c r="F71" s="16" t="n">
        <f aca="false">AUX_MATRIZES!BP156*SEMANAS!$K$71</f>
        <v>4470818.1</v>
      </c>
      <c r="G71" s="19" t="n">
        <f aca="false">IFERROR($E71/$F71,0)</f>
        <v>0</v>
      </c>
      <c r="H71" s="16" t="n">
        <f aca="false">MAX(0,$E71-$F71)</f>
        <v>0</v>
      </c>
      <c r="I71" s="18" t="n">
        <f aca="false">AUX_MATRIZES!BP158</f>
        <v>0</v>
      </c>
      <c r="J71" s="18" t="n">
        <f aca="false">AUX_MATRIZES!BP160</f>
        <v>0</v>
      </c>
      <c r="K71" s="18" t="n">
        <f aca="false">IFERROR(MAX(0,$E71/AUX_MATRIZES!BP156-SEMANAS!$K$71),0)</f>
        <v>0</v>
      </c>
      <c r="L71" s="18" t="n">
        <f aca="false">IFERROR(MAX(0,$E71/SEMANAS!$K$71-AUX_MATRIZES!BP156),0)</f>
        <v>0</v>
      </c>
      <c r="M71" s="8" t="str">
        <f aca="false">IF($G71&gt;LIMITE_CRITICO,"INVIAVEL - demanda excede a capacidade em 21 h/dia",IF($G71&gt;LIMITE_ATENCAO,"CRITICO - utilizacao acima de "&amp;TEXT(LIMITE_ATENCAO,"0%"),IF($G71&gt;LIMITE_CONFORTAVEL,"ATENCAO - utilizacao acima de "&amp;TEXT(LIMITE_CONFORTAVEL,"0%"),"OK - capacidade suficiente")))</f>
        <v>OK - capacidade suficiente</v>
      </c>
      <c r="N71" s="19" t="n">
        <f aca="false">AUX_MATRIZES!BP148</f>
        <v>0</v>
      </c>
      <c r="O71" s="8" t="str">
        <f aca="false">AUX_MATRIZES!BP149</f>
        <v>PV 109</v>
      </c>
      <c r="P71" s="8" t="str">
        <f aca="false">IF($N71&gt;LIMITE_CRITICO,"INVIAVEL - demanda excede a capacidade em 21 h/dia",IF($N71&gt;LIMITE_ATENCAO,"CRITICO - utilizacao acima de "&amp;TEXT(LIMITE_ATENCAO,"0%"),IF($N71&gt;LIMITE_CONFORTAVEL,"ATENCAO - utilizacao acima de "&amp;TEXT(LIMITE_CONFORTAVEL,"0%"),"OK - capacidade suficiente")))</f>
        <v>OK - capacidade suficiente</v>
      </c>
      <c r="Q71" s="19" t="n">
        <f aca="false">AUX_MATRIZES!BP150</f>
        <v>0</v>
      </c>
      <c r="R71" s="8" t="str">
        <f aca="false">AUX_MATRIZES!BP151</f>
        <v>RM01</v>
      </c>
      <c r="S71" s="8" t="str">
        <f aca="false">IF($Q71&gt;LIMITE_CRITICO,"INVIAVEL - demanda excede a capacidade em 21 h/dia",IF($Q71&gt;LIMITE_ATENCAO,"CRITICO - utilizacao acima de "&amp;TEXT(LIMITE_ATENCAO,"0%"),IF($Q71&gt;LIMITE_CONFORTAVEL,"ATENCAO - utilizacao acima de "&amp;TEXT(LIMITE_CONFORTAVEL,"0%"),"OK - capacidade suficiente")))</f>
        <v>OK - capacidade suficiente</v>
      </c>
      <c r="T71" s="19" t="n">
        <f aca="false">AUX_MATRIZES!BP152</f>
        <v>0</v>
      </c>
      <c r="U71" s="8" t="str">
        <f aca="false">AUX_MATRIZES!BP153</f>
        <v>TR01</v>
      </c>
      <c r="V71" s="8" t="str">
        <f aca="false">IF($T71&gt;LIMITE_CRITICO,"INVIAVEL - demanda excede a capacidade em 21 h/dia",IF($T71&gt;LIMITE_ATENCAO,"CRITICO - utilizacao acima de "&amp;TEXT(LIMITE_ATENCAO,"0%"),IF($T71&gt;LIMITE_CONFORTAVEL,"ATENCAO - utilizacao acima de "&amp;TEXT(LIMITE_CONFORTAVEL,"0%"),"OK - capacidade suficiente")))</f>
        <v>OK - capacidade suficiente</v>
      </c>
      <c r="W71" s="20" t="n">
        <f aca="false">AUX_MATRIZES!BP161</f>
        <v>6.6E-005</v>
      </c>
    </row>
    <row r="73" customFormat="false" ht="15" hidden="false" customHeight="false" outlineLevel="0" collapsed="false">
      <c r="B73" s="3" t="s">
        <v>108</v>
      </c>
    </row>
    <row r="74" customFormat="false" ht="15" hidden="false" customHeight="false" outlineLevel="0" collapsed="false">
      <c r="B74" s="15" t="s">
        <v>109</v>
      </c>
      <c r="F74" s="16" t="n">
        <f aca="false">SUM($E$6:$E$71)</f>
        <v>25082950.040794</v>
      </c>
    </row>
    <row r="75" customFormat="false" ht="15" hidden="false" customHeight="false" outlineLevel="0" collapsed="false">
      <c r="B75" s="15" t="s">
        <v>110</v>
      </c>
      <c r="F75" s="16" t="n">
        <f aca="false">INDEX($B$6:$B$71,MATCH(MAX($E$6:$E$71),$E$6:$E$71,0))</f>
        <v>36</v>
      </c>
    </row>
    <row r="76" customFormat="false" ht="15" hidden="false" customHeight="false" outlineLevel="0" collapsed="false">
      <c r="B76" s="15" t="s">
        <v>111</v>
      </c>
      <c r="F76" s="16" t="n">
        <f aca="false">MAX($E$6:$E$71)</f>
        <v>1196823.54532322</v>
      </c>
    </row>
    <row r="77" customFormat="false" ht="15" hidden="false" customHeight="false" outlineLevel="0" collapsed="false">
      <c r="B77" s="15" t="s">
        <v>112</v>
      </c>
      <c r="F77" s="19" t="n">
        <f aca="false">MAX($G$6:$G$71)</f>
        <v>0.267696765682151</v>
      </c>
    </row>
    <row r="78" customFormat="false" ht="15" hidden="false" customHeight="false" outlineLevel="0" collapsed="false">
      <c r="B78" s="15" t="s">
        <v>113</v>
      </c>
      <c r="F78" s="16" t="n">
        <f aca="false">COUNTIF($G$6:$G$71,"&gt;"&amp;LIMITE_CRITICO)</f>
        <v>0</v>
      </c>
    </row>
    <row r="79" customFormat="false" ht="15" hidden="false" customHeight="false" outlineLevel="0" collapsed="false">
      <c r="B79" s="15" t="s">
        <v>114</v>
      </c>
      <c r="F79" s="16" t="n">
        <f aca="false">SUM($H$6:$H$71)</f>
        <v>0</v>
      </c>
    </row>
  </sheetData>
  <mergeCells count="2">
    <mergeCell ref="B2:X2"/>
    <mergeCell ref="B3:X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9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5"/>
  </cols>
  <sheetData>
    <row r="2" customFormat="false" ht="30" hidden="false" customHeight="true" outlineLevel="0" collapsed="false">
      <c r="B2" s="1" t="s">
        <v>115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5.5" hidden="false" customHeight="true" outlineLevel="0" collapsed="false">
      <c r="B3" s="2" t="s">
        <v>116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30" hidden="false" customHeight="true" outlineLevel="0" collapsed="false">
      <c r="B5" s="14" t="s">
        <v>117</v>
      </c>
      <c r="C5" s="14" t="s">
        <v>88</v>
      </c>
      <c r="D5" s="14" t="s">
        <v>89</v>
      </c>
      <c r="E5" s="14" t="s">
        <v>118</v>
      </c>
      <c r="F5" s="14" t="s">
        <v>119</v>
      </c>
      <c r="G5" s="14" t="s">
        <v>120</v>
      </c>
      <c r="H5" s="14" t="s">
        <v>121</v>
      </c>
      <c r="I5" s="14" t="s">
        <v>91</v>
      </c>
      <c r="J5" s="14" t="s">
        <v>122</v>
      </c>
      <c r="K5" s="14" t="s">
        <v>93</v>
      </c>
      <c r="L5" s="14" t="s">
        <v>84</v>
      </c>
      <c r="M5" s="14" t="s">
        <v>105</v>
      </c>
    </row>
    <row r="6" customFormat="false" ht="15" hidden="false" customHeight="false" outlineLevel="0" collapsed="false">
      <c r="B6" s="16" t="n">
        <v>1</v>
      </c>
      <c r="C6" s="16" t="n">
        <f aca="false">IFERROR(INDEX(CAPACIDADE_21H!$B$6:$B$71,MATCH(LARGE(CAPACIDADE_21H!$W$6:$W$71,$B6),CAPACIDADE_21H!$W$6:$W$71,0)),"-")</f>
        <v>36</v>
      </c>
      <c r="D6" s="17" t="n">
        <f aca="false">IFERROR(INDEX(CAPACIDADE_21H!$C$6:$C$71,MATCH($C6,CAPACIDADE_21H!$B$6:$B$71,0)),"")</f>
        <v>46510</v>
      </c>
      <c r="E6" s="18" t="n">
        <f aca="false">IFERROR(INDEX(AUX_MATRIZES!$C$142:$BP$142,MATCH($C6,AUX_MATRIZES!$C$139:$BP$139,0)),0)</f>
        <v>29.4</v>
      </c>
      <c r="F6" s="18" t="n">
        <f aca="false">IFERROR(INDEX(AUX_MATRIZES!$C$143:$BP$143,MATCH($C6,AUX_MATRIZES!$C$139:$BP$139,0)),0)</f>
        <v>31.4889108687761</v>
      </c>
      <c r="G6" s="18" t="n">
        <f aca="false">IFERROR(INDEX(AUX_MATRIZES!$C$144:$BP$144,MATCH($C6,AUX_MATRIZES!$C$139:$BP$139,0)),0)</f>
        <v>2.688</v>
      </c>
      <c r="H6" s="18" t="n">
        <f aca="false">IFERROR(INDEX(AUX_MATRIZES!$C$141:$BP$141,MATCH($C6,AUX_MATRIZES!$C$139:$BP$139,0)),0)</f>
        <v>3532.18</v>
      </c>
      <c r="I6" s="16" t="n">
        <f aca="false">IFERROR(INDEX(AUX_MATRIZES!$C$140:$BP$140,MATCH($C6,AUX_MATRIZES!$C$139:$BP$139,0)),0)</f>
        <v>1196823.54532322</v>
      </c>
      <c r="J6" s="18" t="n">
        <f aca="false">IFERROR(INDEX(AUX_MATRIZES!$C$155:$BP$155,MATCH($C6,AUX_MATRIZES!$C$139:$BP$139,0)),0)</f>
        <v>8141.65677090624</v>
      </c>
      <c r="K6" s="19" t="n">
        <f aca="false">IFERROR(INDEX(CAPACIDADE_21H!$G$6:$G$71,MATCH($C6,CAPACIDADE_21H!$B$6:$B$71,0)),0)</f>
        <v>0.267696765682151</v>
      </c>
      <c r="L6" s="8" t="str">
        <f aca="false">IFERROR(INDEX(AUX_MATRIZES!$C$151:$BP$151,MATCH($C6,AUX_MATRIZES!$C$139:$BP$139,0)),"-")</f>
        <v>RM01</v>
      </c>
      <c r="M6" s="8" t="str">
        <f aca="false">IFERROR(INDEX(AUX_MATRIZES!$C$153:$BP$153,MATCH($C6,AUX_MATRIZES!$C$139:$BP$139,0)),"-")</f>
        <v>TR01</v>
      </c>
    </row>
    <row r="7" customFormat="false" ht="15" hidden="false" customHeight="false" outlineLevel="0" collapsed="false">
      <c r="B7" s="16" t="n">
        <v>2</v>
      </c>
      <c r="C7" s="16" t="n">
        <f aca="false">IFERROR(INDEX(CAPACIDADE_21H!$B$6:$B$71,MATCH(LARGE(CAPACIDADE_21H!$W$6:$W$71,$B7),CAPACIDADE_21H!$W$6:$W$71,0)),"-")</f>
        <v>37</v>
      </c>
      <c r="D7" s="17" t="n">
        <f aca="false">IFERROR(INDEX(CAPACIDADE_21H!$C$6:$C$71,MATCH($C7,CAPACIDADE_21H!$B$6:$B$71,0)),"")</f>
        <v>46517</v>
      </c>
      <c r="E7" s="18" t="n">
        <f aca="false">IFERROR(INDEX(AUX_MATRIZES!$C$142:$BP$142,MATCH($C7,AUX_MATRIZES!$C$139:$BP$139,0)),0)</f>
        <v>29.4</v>
      </c>
      <c r="F7" s="18" t="n">
        <f aca="false">IFERROR(INDEX(AUX_MATRIZES!$C$143:$BP$143,MATCH($C7,AUX_MATRIZES!$C$139:$BP$139,0)),0)</f>
        <v>29.5628851593248</v>
      </c>
      <c r="G7" s="18" t="n">
        <f aca="false">IFERROR(INDEX(AUX_MATRIZES!$C$144:$BP$144,MATCH($C7,AUX_MATRIZES!$C$139:$BP$139,0)),0)</f>
        <v>2.688</v>
      </c>
      <c r="H7" s="18" t="n">
        <f aca="false">IFERROR(INDEX(AUX_MATRIZES!$C$141:$BP$141,MATCH($C7,AUX_MATRIZES!$C$139:$BP$139,0)),0)</f>
        <v>3672.12</v>
      </c>
      <c r="I7" s="16" t="n">
        <f aca="false">IFERROR(INDEX(AUX_MATRIZES!$C$140:$BP$140,MATCH($C7,AUX_MATRIZES!$C$139:$BP$139,0)),0)</f>
        <v>1161032.97989718</v>
      </c>
      <c r="J7" s="18" t="n">
        <f aca="false">IFERROR(INDEX(AUX_MATRIZES!$C$155:$BP$155,MATCH($C7,AUX_MATRIZES!$C$139:$BP$139,0)),0)</f>
        <v>7898.18353671548</v>
      </c>
      <c r="K7" s="19" t="n">
        <f aca="false">IFERROR(INDEX(CAPACIDADE_21H!$G$6:$G$71,MATCH($C7,CAPACIDADE_21H!$B$6:$B$71,0)),0)</f>
        <v>0.25969139292363</v>
      </c>
      <c r="L7" s="8" t="str">
        <f aca="false">IFERROR(INDEX(AUX_MATRIZES!$C$151:$BP$151,MATCH($C7,AUX_MATRIZES!$C$139:$BP$139,0)),"-")</f>
        <v>RM01</v>
      </c>
      <c r="M7" s="8" t="str">
        <f aca="false">IFERROR(INDEX(AUX_MATRIZES!$C$153:$BP$153,MATCH($C7,AUX_MATRIZES!$C$139:$BP$139,0)),"-")</f>
        <v>TR01</v>
      </c>
    </row>
    <row r="8" customFormat="false" ht="15" hidden="false" customHeight="false" outlineLevel="0" collapsed="false">
      <c r="B8" s="16" t="n">
        <v>3</v>
      </c>
      <c r="C8" s="16" t="n">
        <f aca="false">IFERROR(INDEX(CAPACIDADE_21H!$B$6:$B$71,MATCH(LARGE(CAPACIDADE_21H!$W$6:$W$71,$B8),CAPACIDADE_21H!$W$6:$W$71,0)),"-")</f>
        <v>38</v>
      </c>
      <c r="D8" s="17" t="n">
        <f aca="false">IFERROR(INDEX(CAPACIDADE_21H!$C$6:$C$71,MATCH($C8,CAPACIDADE_21H!$B$6:$B$71,0)),"")</f>
        <v>46524</v>
      </c>
      <c r="E8" s="18" t="n">
        <f aca="false">IFERROR(INDEX(AUX_MATRIZES!$C$142:$BP$142,MATCH($C8,AUX_MATRIZES!$C$139:$BP$139,0)),0)</f>
        <v>29.4</v>
      </c>
      <c r="F8" s="18" t="n">
        <f aca="false">IFERROR(INDEX(AUX_MATRIZES!$C$143:$BP$143,MATCH($C8,AUX_MATRIZES!$C$139:$BP$139,0)),0)</f>
        <v>28.4913720609747</v>
      </c>
      <c r="G8" s="18" t="n">
        <f aca="false">IFERROR(INDEX(AUX_MATRIZES!$C$144:$BP$144,MATCH($C8,AUX_MATRIZES!$C$139:$BP$139,0)),0)</f>
        <v>2.688</v>
      </c>
      <c r="H8" s="18" t="n">
        <f aca="false">IFERROR(INDEX(AUX_MATRIZES!$C$141:$BP$141,MATCH($C8,AUX_MATRIZES!$C$139:$BP$139,0)),0)</f>
        <v>3672.12</v>
      </c>
      <c r="I8" s="16" t="n">
        <f aca="false">IFERROR(INDEX(AUX_MATRIZES!$C$140:$BP$140,MATCH($C8,AUX_MATRIZES!$C$139:$BP$139,0)),0)</f>
        <v>1114742.10132408</v>
      </c>
      <c r="J8" s="18" t="n">
        <f aca="false">IFERROR(INDEX(AUX_MATRIZES!$C$155:$BP$155,MATCH($C8,AUX_MATRIZES!$C$139:$BP$139,0)),0)</f>
        <v>7583.27960084405</v>
      </c>
      <c r="K8" s="19" t="n">
        <f aca="false">IFERROR(INDEX(CAPACIDADE_21H!$G$6:$G$71,MATCH($C8,CAPACIDADE_21H!$B$6:$B$71,0)),0)</f>
        <v>0.249337386668466</v>
      </c>
      <c r="L8" s="8" t="str">
        <f aca="false">IFERROR(INDEX(AUX_MATRIZES!$C$151:$BP$151,MATCH($C8,AUX_MATRIZES!$C$139:$BP$139,0)),"-")</f>
        <v>RM01</v>
      </c>
      <c r="M8" s="8" t="str">
        <f aca="false">IFERROR(INDEX(AUX_MATRIZES!$C$153:$BP$153,MATCH($C8,AUX_MATRIZES!$C$139:$BP$139,0)),"-")</f>
        <v>TR01</v>
      </c>
    </row>
    <row r="9" customFormat="false" ht="15" hidden="false" customHeight="false" outlineLevel="0" collapsed="false">
      <c r="B9" s="16" t="n">
        <v>4</v>
      </c>
      <c r="C9" s="16" t="n">
        <f aca="false">IFERROR(INDEX(CAPACIDADE_21H!$B$6:$B$71,MATCH(LARGE(CAPACIDADE_21H!$W$6:$W$71,$B9),CAPACIDADE_21H!$W$6:$W$71,0)),"-")</f>
        <v>39</v>
      </c>
      <c r="D9" s="17" t="n">
        <f aca="false">IFERROR(INDEX(CAPACIDADE_21H!$C$6:$C$71,MATCH($C9,CAPACIDADE_21H!$B$6:$B$71,0)),"")</f>
        <v>46531</v>
      </c>
      <c r="E9" s="18" t="n">
        <f aca="false">IFERROR(INDEX(AUX_MATRIZES!$C$142:$BP$142,MATCH($C9,AUX_MATRIZES!$C$139:$BP$139,0)),0)</f>
        <v>29.4</v>
      </c>
      <c r="F9" s="18" t="n">
        <f aca="false">IFERROR(INDEX(AUX_MATRIZES!$C$143:$BP$143,MATCH($C9,AUX_MATRIZES!$C$139:$BP$139,0)),0)</f>
        <v>27.5977656167956</v>
      </c>
      <c r="G9" s="18" t="n">
        <f aca="false">IFERROR(INDEX(AUX_MATRIZES!$C$144:$BP$144,MATCH($C9,AUX_MATRIZES!$C$139:$BP$139,0)),0)</f>
        <v>2.688</v>
      </c>
      <c r="H9" s="18" t="n">
        <f aca="false">IFERROR(INDEX(AUX_MATRIZES!$C$141:$BP$141,MATCH($C9,AUX_MATRIZES!$C$139:$BP$139,0)),0)</f>
        <v>3532.18</v>
      </c>
      <c r="I9" s="16" t="n">
        <f aca="false">IFERROR(INDEX(AUX_MATRIZES!$C$140:$BP$140,MATCH($C9,AUX_MATRIZES!$C$139:$BP$139,0)),0)</f>
        <v>1035126.77548627</v>
      </c>
      <c r="J9" s="18" t="n">
        <f aca="false">IFERROR(INDEX(AUX_MATRIZES!$C$155:$BP$155,MATCH($C9,AUX_MATRIZES!$C$139:$BP$139,0)),0)</f>
        <v>7041.67874480455</v>
      </c>
      <c r="K9" s="19" t="n">
        <f aca="false">IFERROR(INDEX(CAPACIDADE_21H!$G$6:$G$71,MATCH($C9,CAPACIDADE_21H!$B$6:$B$71,0)),0)</f>
        <v>0.231529610986918</v>
      </c>
      <c r="L9" s="8" t="str">
        <f aca="false">IFERROR(INDEX(AUX_MATRIZES!$C$151:$BP$151,MATCH($C9,AUX_MATRIZES!$C$139:$BP$139,0)),"-")</f>
        <v>RM01</v>
      </c>
      <c r="M9" s="8" t="str">
        <f aca="false">IFERROR(INDEX(AUX_MATRIZES!$C$153:$BP$153,MATCH($C9,AUX_MATRIZES!$C$139:$BP$139,0)),"-")</f>
        <v>TR01</v>
      </c>
    </row>
    <row r="10" customFormat="false" ht="15" hidden="false" customHeight="false" outlineLevel="0" collapsed="false">
      <c r="B10" s="16" t="n">
        <v>5</v>
      </c>
      <c r="C10" s="16" t="n">
        <f aca="false">IFERROR(INDEX(CAPACIDADE_21H!$B$6:$B$71,MATCH(LARGE(CAPACIDADE_21H!$W$6:$W$71,$B10),CAPACIDADE_21H!$W$6:$W$71,0)),"-")</f>
        <v>40</v>
      </c>
      <c r="D10" s="17" t="n">
        <f aca="false">IFERROR(INDEX(CAPACIDADE_21H!$C$6:$C$71,MATCH($C10,CAPACIDADE_21H!$B$6:$B$71,0)),"")</f>
        <v>46538</v>
      </c>
      <c r="E10" s="18" t="n">
        <f aca="false">IFERROR(INDEX(AUX_MATRIZES!$C$142:$BP$142,MATCH($C10,AUX_MATRIZES!$C$139:$BP$139,0)),0)</f>
        <v>28.2</v>
      </c>
      <c r="F10" s="18" t="n">
        <f aca="false">IFERROR(INDEX(AUX_MATRIZES!$C$143:$BP$143,MATCH($C10,AUX_MATRIZES!$C$139:$BP$139,0)),0)</f>
        <v>24.2393413874529</v>
      </c>
      <c r="G10" s="18" t="n">
        <f aca="false">IFERROR(INDEX(AUX_MATRIZES!$C$144:$BP$144,MATCH($C10,AUX_MATRIZES!$C$139:$BP$139,0)),0)</f>
        <v>1.2</v>
      </c>
      <c r="H10" s="18" t="n">
        <f aca="false">IFERROR(INDEX(AUX_MATRIZES!$C$141:$BP$141,MATCH($C10,AUX_MATRIZES!$C$139:$BP$139,0)),0)</f>
        <v>3672.16</v>
      </c>
      <c r="I10" s="16" t="n">
        <f aca="false">IFERROR(INDEX(AUX_MATRIZES!$C$140:$BP$140,MATCH($C10,AUX_MATRIZES!$C$139:$BP$139,0)),0)</f>
        <v>995342.916109991</v>
      </c>
      <c r="J10" s="18" t="n">
        <f aca="false">IFERROR(INDEX(AUX_MATRIZES!$C$155:$BP$155,MATCH($C10,AUX_MATRIZES!$C$139:$BP$139,0)),0)</f>
        <v>6771.04024564619</v>
      </c>
      <c r="K10" s="19" t="n">
        <f aca="false">IFERROR(INDEX(CAPACIDADE_21H!$G$6:$G$71,MATCH($C10,CAPACIDADE_21H!$B$6:$B$71,0)),0)</f>
        <v>0.222631047349028</v>
      </c>
      <c r="L10" s="8" t="str">
        <f aca="false">IFERROR(INDEX(AUX_MATRIZES!$C$151:$BP$151,MATCH($C10,AUX_MATRIZES!$C$139:$BP$139,0)),"-")</f>
        <v>RM01</v>
      </c>
      <c r="M10" s="8" t="str">
        <f aca="false">IFERROR(INDEX(AUX_MATRIZES!$C$153:$BP$153,MATCH($C10,AUX_MATRIZES!$C$139:$BP$139,0)),"-")</f>
        <v>TR01</v>
      </c>
    </row>
    <row r="11" customFormat="false" ht="15" hidden="false" customHeight="false" outlineLevel="0" collapsed="false">
      <c r="B11" s="16" t="n">
        <v>6</v>
      </c>
      <c r="C11" s="16" t="n">
        <f aca="false">IFERROR(INDEX(CAPACIDADE_21H!$B$6:$B$71,MATCH(LARGE(CAPACIDADE_21H!$W$6:$W$71,$B11),CAPACIDADE_21H!$W$6:$W$71,0)),"-")</f>
        <v>35</v>
      </c>
      <c r="D11" s="17" t="n">
        <f aca="false">IFERROR(INDEX(CAPACIDADE_21H!$C$6:$C$71,MATCH($C11,CAPACIDADE_21H!$B$6:$B$71,0)),"")</f>
        <v>46503</v>
      </c>
      <c r="E11" s="18" t="n">
        <f aca="false">IFERROR(INDEX(AUX_MATRIZES!$C$142:$BP$142,MATCH($C11,AUX_MATRIZES!$C$139:$BP$139,0)),0)</f>
        <v>30.9</v>
      </c>
      <c r="F11" s="18" t="n">
        <f aca="false">IFERROR(INDEX(AUX_MATRIZES!$C$143:$BP$143,MATCH($C11,AUX_MATRIZES!$C$139:$BP$139,0)),0)</f>
        <v>33.9145294479032</v>
      </c>
      <c r="G11" s="18" t="n">
        <f aca="false">IFERROR(INDEX(AUX_MATRIZES!$C$144:$BP$144,MATCH($C11,AUX_MATRIZES!$C$139:$BP$139,0)),0)</f>
        <v>10.088</v>
      </c>
      <c r="H11" s="18" t="n">
        <f aca="false">IFERROR(INDEX(AUX_MATRIZES!$C$141:$BP$141,MATCH($C11,AUX_MATRIZES!$C$139:$BP$139,0)),0)</f>
        <v>3532.18</v>
      </c>
      <c r="I11" s="16" t="n">
        <f aca="false">IFERROR(INDEX(AUX_MATRIZES!$C$140:$BP$140,MATCH($C11,AUX_MATRIZES!$C$139:$BP$139,0)),0)</f>
        <v>990112.832768172</v>
      </c>
      <c r="J11" s="18" t="n">
        <f aca="false">IFERROR(INDEX(AUX_MATRIZES!$C$155:$BP$155,MATCH($C11,AUX_MATRIZES!$C$139:$BP$139,0)),0)</f>
        <v>6735.46144740253</v>
      </c>
      <c r="K11" s="19" t="n">
        <f aca="false">IFERROR(INDEX(CAPACIDADE_21H!$G$6:$G$71,MATCH($C11,CAPACIDADE_21H!$B$6:$B$71,0)),0)</f>
        <v>0.22146122043484</v>
      </c>
      <c r="L11" s="8" t="str">
        <f aca="false">IFERROR(INDEX(AUX_MATRIZES!$C$151:$BP$151,MATCH($C11,AUX_MATRIZES!$C$139:$BP$139,0)),"-")</f>
        <v>RM01</v>
      </c>
      <c r="M11" s="8" t="str">
        <f aca="false">IFERROR(INDEX(AUX_MATRIZES!$C$153:$BP$153,MATCH($C11,AUX_MATRIZES!$C$139:$BP$139,0)),"-")</f>
        <v>TR01</v>
      </c>
    </row>
    <row r="12" customFormat="false" ht="15" hidden="false" customHeight="false" outlineLevel="0" collapsed="false">
      <c r="B12" s="16" t="n">
        <v>7</v>
      </c>
      <c r="C12" s="16" t="n">
        <f aca="false">IFERROR(INDEX(CAPACIDADE_21H!$B$6:$B$71,MATCH(LARGE(CAPACIDADE_21H!$W$6:$W$71,$B12),CAPACIDADE_21H!$W$6:$W$71,0)),"-")</f>
        <v>41</v>
      </c>
      <c r="D12" s="17" t="n">
        <f aca="false">IFERROR(INDEX(CAPACIDADE_21H!$C$6:$C$71,MATCH($C12,CAPACIDADE_21H!$B$6:$B$71,0)),"")</f>
        <v>46545</v>
      </c>
      <c r="E12" s="18" t="n">
        <f aca="false">IFERROR(INDEX(AUX_MATRIZES!$C$142:$BP$142,MATCH($C12,AUX_MATRIZES!$C$139:$BP$139,0)),0)</f>
        <v>28</v>
      </c>
      <c r="F12" s="18" t="n">
        <f aca="false">IFERROR(INDEX(AUX_MATRIZES!$C$143:$BP$143,MATCH($C12,AUX_MATRIZES!$C$139:$BP$139,0)),0)</f>
        <v>22.6317252663257</v>
      </c>
      <c r="G12" s="18" t="n">
        <f aca="false">IFERROR(INDEX(AUX_MATRIZES!$C$144:$BP$144,MATCH($C12,AUX_MATRIZES!$C$139:$BP$139,0)),0)</f>
        <v>0.952</v>
      </c>
      <c r="H12" s="18" t="n">
        <f aca="false">IFERROR(INDEX(AUX_MATRIZES!$C$141:$BP$141,MATCH($C12,AUX_MATRIZES!$C$139:$BP$139,0)),0)</f>
        <v>3822.14</v>
      </c>
      <c r="I12" s="16" t="n">
        <f aca="false">IFERROR(INDEX(AUX_MATRIZES!$C$140:$BP$140,MATCH($C12,AUX_MATRIZES!$C$139:$BP$139,0)),0)</f>
        <v>974858.177993343</v>
      </c>
      <c r="J12" s="18" t="n">
        <f aca="false">IFERROR(INDEX(AUX_MATRIZES!$C$155:$BP$155,MATCH($C12,AUX_MATRIZES!$C$139:$BP$139,0)),0)</f>
        <v>6631.688285669</v>
      </c>
      <c r="K12" s="19" t="n">
        <f aca="false">IFERROR(INDEX(CAPACIDADE_21H!$G$6:$G$71,MATCH($C12,CAPACIDADE_21H!$B$6:$B$71,0)),0)</f>
        <v>0.218049170462413</v>
      </c>
      <c r="L12" s="8" t="str">
        <f aca="false">IFERROR(INDEX(AUX_MATRIZES!$C$151:$BP$151,MATCH($C12,AUX_MATRIZES!$C$139:$BP$139,0)),"-")</f>
        <v>RM01</v>
      </c>
      <c r="M12" s="8" t="str">
        <f aca="false">IFERROR(INDEX(AUX_MATRIZES!$C$153:$BP$153,MATCH($C12,AUX_MATRIZES!$C$139:$BP$139,0)),"-")</f>
        <v>TR01</v>
      </c>
    </row>
    <row r="13" customFormat="false" ht="15" hidden="false" customHeight="false" outlineLevel="0" collapsed="false">
      <c r="B13" s="16" t="n">
        <v>8</v>
      </c>
      <c r="C13" s="16" t="n">
        <f aca="false">IFERROR(INDEX(CAPACIDADE_21H!$B$6:$B$71,MATCH(LARGE(CAPACIDADE_21H!$W$6:$W$71,$B13),CAPACIDADE_21H!$W$6:$W$71,0)),"-")</f>
        <v>34</v>
      </c>
      <c r="D13" s="17" t="n">
        <f aca="false">IFERROR(INDEX(CAPACIDADE_21H!$C$6:$C$71,MATCH($C13,CAPACIDADE_21H!$B$6:$B$71,0)),"")</f>
        <v>46496</v>
      </c>
      <c r="E13" s="18" t="n">
        <f aca="false">IFERROR(INDEX(AUX_MATRIZES!$C$142:$BP$142,MATCH($C13,AUX_MATRIZES!$C$139:$BP$139,0)),0)</f>
        <v>31.5</v>
      </c>
      <c r="F13" s="18" t="n">
        <f aca="false">IFERROR(INDEX(AUX_MATRIZES!$C$143:$BP$143,MATCH($C13,AUX_MATRIZES!$C$139:$BP$139,0)),0)</f>
        <v>34.265391585524</v>
      </c>
      <c r="G13" s="18" t="n">
        <f aca="false">IFERROR(INDEX(AUX_MATRIZES!$C$144:$BP$144,MATCH($C13,AUX_MATRIZES!$C$139:$BP$139,0)),0)</f>
        <v>13.048</v>
      </c>
      <c r="H13" s="18" t="n">
        <f aca="false">IFERROR(INDEX(AUX_MATRIZES!$C$141:$BP$141,MATCH($C13,AUX_MATRIZES!$C$139:$BP$139,0)),0)</f>
        <v>3672.12</v>
      </c>
      <c r="I13" s="16" t="n">
        <f aca="false">IFERROR(INDEX(AUX_MATRIZES!$C$140:$BP$140,MATCH($C13,AUX_MATRIZES!$C$139:$BP$139,0)),0)</f>
        <v>916621.270459228</v>
      </c>
      <c r="J13" s="18" t="n">
        <f aca="false">IFERROR(INDEX(AUX_MATRIZES!$C$155:$BP$155,MATCH($C13,AUX_MATRIZES!$C$139:$BP$139,0)),0)</f>
        <v>6235.51884666141</v>
      </c>
      <c r="K13" s="19" t="n">
        <f aca="false">IFERROR(INDEX(CAPACIDADE_21H!$G$6:$G$71,MATCH($C13,CAPACIDADE_21H!$B$6:$B$71,0)),0)</f>
        <v>0.20502316353672</v>
      </c>
      <c r="L13" s="8" t="str">
        <f aca="false">IFERROR(INDEX(AUX_MATRIZES!$C$151:$BP$151,MATCH($C13,AUX_MATRIZES!$C$139:$BP$139,0)),"-")</f>
        <v>RM04</v>
      </c>
      <c r="M13" s="8" t="str">
        <f aca="false">IFERROR(INDEX(AUX_MATRIZES!$C$153:$BP$153,MATCH($C13,AUX_MATRIZES!$C$139:$BP$139,0)),"-")</f>
        <v>TR04</v>
      </c>
    </row>
    <row r="14" customFormat="false" ht="15" hidden="false" customHeight="false" outlineLevel="0" collapsed="false">
      <c r="B14" s="16" t="n">
        <v>9</v>
      </c>
      <c r="C14" s="16" t="n">
        <f aca="false">IFERROR(INDEX(CAPACIDADE_21H!$B$6:$B$71,MATCH(LARGE(CAPACIDADE_21H!$W$6:$W$71,$B14),CAPACIDADE_21H!$W$6:$W$71,0)),"-")</f>
        <v>33</v>
      </c>
      <c r="D14" s="17" t="n">
        <f aca="false">IFERROR(INDEX(CAPACIDADE_21H!$C$6:$C$71,MATCH($C14,CAPACIDADE_21H!$B$6:$B$71,0)),"")</f>
        <v>46489</v>
      </c>
      <c r="E14" s="18" t="n">
        <f aca="false">IFERROR(INDEX(AUX_MATRIZES!$C$142:$BP$142,MATCH($C14,AUX_MATRIZES!$C$139:$BP$139,0)),0)</f>
        <v>31.5</v>
      </c>
      <c r="F14" s="18" t="n">
        <f aca="false">IFERROR(INDEX(AUX_MATRIZES!$C$143:$BP$143,MATCH($C14,AUX_MATRIZES!$C$139:$BP$139,0)),0)</f>
        <v>33.3699403566472</v>
      </c>
      <c r="G14" s="18" t="n">
        <f aca="false">IFERROR(INDEX(AUX_MATRIZES!$C$144:$BP$144,MATCH($C14,AUX_MATRIZES!$C$139:$BP$139,0)),0)</f>
        <v>13.048</v>
      </c>
      <c r="H14" s="18" t="n">
        <f aca="false">IFERROR(INDEX(AUX_MATRIZES!$C$141:$BP$141,MATCH($C14,AUX_MATRIZES!$C$139:$BP$139,0)),0)</f>
        <v>3672.12</v>
      </c>
      <c r="I14" s="16" t="n">
        <f aca="false">IFERROR(INDEX(AUX_MATRIZES!$C$140:$BP$140,MATCH($C14,AUX_MATRIZES!$C$139:$BP$139,0)),0)</f>
        <v>877936.513205309</v>
      </c>
      <c r="J14" s="18" t="n">
        <f aca="false">IFERROR(INDEX(AUX_MATRIZES!$C$155:$BP$155,MATCH($C14,AUX_MATRIZES!$C$139:$BP$139,0)),0)</f>
        <v>5972.35723268917</v>
      </c>
      <c r="K14" s="19" t="n">
        <f aca="false">IFERROR(INDEX(CAPACIDADE_21H!$G$6:$G$71,MATCH($C14,CAPACIDADE_21H!$B$6:$B$71,0)),0)</f>
        <v>0.196370439049021</v>
      </c>
      <c r="L14" s="8" t="str">
        <f aca="false">IFERROR(INDEX(AUX_MATRIZES!$C$151:$BP$151,MATCH($C14,AUX_MATRIZES!$C$139:$BP$139,0)),"-")</f>
        <v>RM06</v>
      </c>
      <c r="M14" s="8" t="str">
        <f aca="false">IFERROR(INDEX(AUX_MATRIZES!$C$153:$BP$153,MATCH($C14,AUX_MATRIZES!$C$139:$BP$139,0)),"-")</f>
        <v>TR06</v>
      </c>
    </row>
    <row r="15" customFormat="false" ht="15" hidden="false" customHeight="false" outlineLevel="0" collapsed="false">
      <c r="B15" s="16" t="n">
        <v>10</v>
      </c>
      <c r="C15" s="16" t="n">
        <f aca="false">IFERROR(INDEX(CAPACIDADE_21H!$B$6:$B$71,MATCH(LARGE(CAPACIDADE_21H!$W$6:$W$71,$B15),CAPACIDADE_21H!$W$6:$W$71,0)),"-")</f>
        <v>32</v>
      </c>
      <c r="D15" s="17" t="n">
        <f aca="false">IFERROR(INDEX(CAPACIDADE_21H!$C$6:$C$71,MATCH($C15,CAPACIDADE_21H!$B$6:$B$71,0)),"")</f>
        <v>46482</v>
      </c>
      <c r="E15" s="18" t="n">
        <f aca="false">IFERROR(INDEX(AUX_MATRIZES!$C$142:$BP$142,MATCH($C15,AUX_MATRIZES!$C$139:$BP$139,0)),0)</f>
        <v>31.5</v>
      </c>
      <c r="F15" s="18" t="n">
        <f aca="false">IFERROR(INDEX(AUX_MATRIZES!$C$143:$BP$143,MATCH($C15,AUX_MATRIZES!$C$139:$BP$139,0)),0)</f>
        <v>32.1028323160611</v>
      </c>
      <c r="G15" s="18" t="n">
        <f aca="false">IFERROR(INDEX(AUX_MATRIZES!$C$144:$BP$144,MATCH($C15,AUX_MATRIZES!$C$139:$BP$139,0)),0)</f>
        <v>13.048</v>
      </c>
      <c r="H15" s="18" t="n">
        <f aca="false">IFERROR(INDEX(AUX_MATRIZES!$C$141:$BP$141,MATCH($C15,AUX_MATRIZES!$C$139:$BP$139,0)),0)</f>
        <v>3672.12</v>
      </c>
      <c r="I15" s="16" t="n">
        <f aca="false">IFERROR(INDEX(AUX_MATRIZES!$C$140:$BP$140,MATCH($C15,AUX_MATRIZES!$C$139:$BP$139,0)),0)</f>
        <v>823195.65699358</v>
      </c>
      <c r="J15" s="18" t="n">
        <f aca="false">IFERROR(INDEX(AUX_MATRIZES!$C$155:$BP$155,MATCH($C15,AUX_MATRIZES!$C$139:$BP$139,0)),0)</f>
        <v>5599.97045573864</v>
      </c>
      <c r="K15" s="19" t="n">
        <f aca="false">IFERROR(INDEX(CAPACIDADE_21H!$G$6:$G$71,MATCH($C15,CAPACIDADE_21H!$B$6:$B$71,0)),0)</f>
        <v>0.184126403396636</v>
      </c>
      <c r="L15" s="8" t="str">
        <f aca="false">IFERROR(INDEX(AUX_MATRIZES!$C$151:$BP$151,MATCH($C15,AUX_MATRIZES!$C$139:$BP$139,0)),"-")</f>
        <v>RM06</v>
      </c>
      <c r="M15" s="8" t="str">
        <f aca="false">IFERROR(INDEX(AUX_MATRIZES!$C$153:$BP$153,MATCH($C15,AUX_MATRIZES!$C$139:$BP$139,0)),"-")</f>
        <v>TR06</v>
      </c>
    </row>
    <row r="17" customFormat="false" ht="30" hidden="false" customHeight="true" outlineLevel="0" collapsed="false">
      <c r="B17" s="5" t="s">
        <v>123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</sheetData>
  <mergeCells count="3">
    <mergeCell ref="B2:N2"/>
    <mergeCell ref="B3:N3"/>
    <mergeCell ref="B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P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9" min="3" style="0" width="9"/>
    <col collapsed="false" customWidth="true" hidden="true" outlineLevel="0" max="40" min="40" style="0" width="9"/>
    <col collapsed="false" customWidth="true" hidden="false" outlineLevel="0" max="68" min="41" style="0" width="9"/>
  </cols>
  <sheetData>
    <row r="2" customFormat="false" ht="30" hidden="false" customHeight="true" outlineLevel="0" collapsed="false">
      <c r="B2" s="1" t="s">
        <v>124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5.5" hidden="false" customHeight="true" outlineLevel="0" collapsed="false">
      <c r="B3" s="2" t="s">
        <v>125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B5" s="15" t="s">
        <v>126</v>
      </c>
      <c r="D5" s="21" t="s">
        <v>127</v>
      </c>
      <c r="E5" s="21"/>
      <c r="F5" s="21"/>
      <c r="G5" s="21"/>
      <c r="H5" s="21"/>
    </row>
    <row r="6" customFormat="false" ht="15" hidden="false" customHeight="false" outlineLevel="0" collapsed="false">
      <c r="C6" s="3" t="str">
        <f aca="false">"Semanas da safra  ("&amp;TEXT(SEMANAS!$C$6,"dd/mm/yy")&amp;" a "&amp;TEXT(SEMANAS!$D$71,"dd/mm/yy")&amp;")"</f>
        <v>Semanas da safra  (31/08/26 a 05/12/27)</v>
      </c>
    </row>
    <row r="7" customFormat="false" ht="15" hidden="false" customHeight="false" outlineLevel="0" collapsed="false">
      <c r="B7" s="14" t="s">
        <v>68</v>
      </c>
      <c r="C7" s="22" t="n">
        <f aca="false">SEMANAS!$B$6</f>
        <v>1</v>
      </c>
      <c r="D7" s="22" t="n">
        <f aca="false">SEMANAS!$B$7</f>
        <v>2</v>
      </c>
      <c r="E7" s="22" t="n">
        <f aca="false">SEMANAS!$B$8</f>
        <v>3</v>
      </c>
      <c r="F7" s="22" t="n">
        <f aca="false">SEMANAS!$B$9</f>
        <v>4</v>
      </c>
      <c r="G7" s="22" t="n">
        <f aca="false">SEMANAS!$B$10</f>
        <v>5</v>
      </c>
      <c r="H7" s="22" t="n">
        <f aca="false">SEMANAS!$B$11</f>
        <v>6</v>
      </c>
      <c r="I7" s="22" t="n">
        <f aca="false">SEMANAS!$B$12</f>
        <v>7</v>
      </c>
      <c r="J7" s="22" t="n">
        <f aca="false">SEMANAS!$B$13</f>
        <v>8</v>
      </c>
      <c r="K7" s="22" t="n">
        <f aca="false">SEMANAS!$B$14</f>
        <v>9</v>
      </c>
      <c r="L7" s="22" t="n">
        <f aca="false">SEMANAS!$B$15</f>
        <v>10</v>
      </c>
      <c r="M7" s="22" t="n">
        <f aca="false">SEMANAS!$B$16</f>
        <v>11</v>
      </c>
      <c r="N7" s="22" t="n">
        <f aca="false">SEMANAS!$B$17</f>
        <v>12</v>
      </c>
      <c r="O7" s="22" t="n">
        <f aca="false">SEMANAS!$B$18</f>
        <v>13</v>
      </c>
      <c r="P7" s="22" t="n">
        <f aca="false">SEMANAS!$B$19</f>
        <v>14</v>
      </c>
      <c r="Q7" s="22" t="n">
        <f aca="false">SEMANAS!$B$20</f>
        <v>15</v>
      </c>
      <c r="R7" s="22" t="n">
        <f aca="false">SEMANAS!$B$21</f>
        <v>16</v>
      </c>
      <c r="S7" s="22" t="n">
        <f aca="false">SEMANAS!$B$22</f>
        <v>17</v>
      </c>
      <c r="T7" s="22" t="n">
        <f aca="false">SEMANAS!$B$23</f>
        <v>18</v>
      </c>
      <c r="U7" s="22" t="n">
        <f aca="false">SEMANAS!$B$24</f>
        <v>19</v>
      </c>
      <c r="V7" s="22" t="n">
        <f aca="false">SEMANAS!$B$25</f>
        <v>20</v>
      </c>
      <c r="W7" s="22" t="n">
        <f aca="false">SEMANAS!$B$26</f>
        <v>21</v>
      </c>
      <c r="X7" s="22" t="n">
        <f aca="false">SEMANAS!$B$27</f>
        <v>22</v>
      </c>
      <c r="Y7" s="22" t="n">
        <f aca="false">SEMANAS!$B$28</f>
        <v>23</v>
      </c>
      <c r="Z7" s="22" t="n">
        <f aca="false">SEMANAS!$B$29</f>
        <v>24</v>
      </c>
      <c r="AA7" s="22" t="n">
        <f aca="false">SEMANAS!$B$30</f>
        <v>25</v>
      </c>
      <c r="AB7" s="22" t="n">
        <f aca="false">SEMANAS!$B$31</f>
        <v>26</v>
      </c>
      <c r="AC7" s="22" t="n">
        <f aca="false">SEMANAS!$B$32</f>
        <v>27</v>
      </c>
      <c r="AD7" s="22" t="n">
        <f aca="false">SEMANAS!$B$33</f>
        <v>28</v>
      </c>
      <c r="AE7" s="22" t="n">
        <f aca="false">SEMANAS!$B$34</f>
        <v>29</v>
      </c>
      <c r="AF7" s="22" t="n">
        <f aca="false">SEMANAS!$B$35</f>
        <v>30</v>
      </c>
      <c r="AG7" s="22" t="n">
        <f aca="false">SEMANAS!$B$36</f>
        <v>31</v>
      </c>
      <c r="AH7" s="22" t="n">
        <f aca="false">SEMANAS!$B$37</f>
        <v>32</v>
      </c>
      <c r="AI7" s="22" t="n">
        <f aca="false">SEMANAS!$B$38</f>
        <v>33</v>
      </c>
      <c r="AJ7" s="22" t="n">
        <f aca="false">SEMANAS!$B$39</f>
        <v>34</v>
      </c>
      <c r="AK7" s="22" t="n">
        <f aca="false">SEMANAS!$B$40</f>
        <v>35</v>
      </c>
      <c r="AL7" s="22" t="n">
        <f aca="false">SEMANAS!$B$41</f>
        <v>36</v>
      </c>
      <c r="AM7" s="22" t="n">
        <f aca="false">SEMANAS!$B$42</f>
        <v>37</v>
      </c>
      <c r="AN7" s="22" t="n">
        <f aca="false">SEMANAS!$B$43</f>
        <v>38</v>
      </c>
      <c r="AO7" s="22" t="n">
        <f aca="false">SEMANAS!$B$44</f>
        <v>39</v>
      </c>
      <c r="AP7" s="22" t="n">
        <f aca="false">SEMANAS!$B$45</f>
        <v>40</v>
      </c>
      <c r="AQ7" s="22" t="n">
        <f aca="false">SEMANAS!$B$46</f>
        <v>41</v>
      </c>
      <c r="AR7" s="22" t="n">
        <f aca="false">SEMANAS!$B$47</f>
        <v>42</v>
      </c>
      <c r="AS7" s="22" t="n">
        <f aca="false">SEMANAS!$B$48</f>
        <v>43</v>
      </c>
      <c r="AT7" s="22" t="n">
        <f aca="false">SEMANAS!$B$49</f>
        <v>44</v>
      </c>
      <c r="AU7" s="22" t="n">
        <f aca="false">SEMANAS!$B$50</f>
        <v>45</v>
      </c>
      <c r="AV7" s="22" t="n">
        <f aca="false">SEMANAS!$B$51</f>
        <v>46</v>
      </c>
      <c r="AW7" s="22" t="n">
        <f aca="false">SEMANAS!$B$52</f>
        <v>47</v>
      </c>
      <c r="AX7" s="22" t="n">
        <f aca="false">SEMANAS!$B$53</f>
        <v>48</v>
      </c>
      <c r="AY7" s="22" t="n">
        <f aca="false">SEMANAS!$B$54</f>
        <v>49</v>
      </c>
      <c r="AZ7" s="22" t="n">
        <f aca="false">SEMANAS!$B$55</f>
        <v>50</v>
      </c>
      <c r="BA7" s="22" t="n">
        <f aca="false">SEMANAS!$B$56</f>
        <v>51</v>
      </c>
      <c r="BB7" s="22" t="n">
        <f aca="false">SEMANAS!$B$57</f>
        <v>52</v>
      </c>
      <c r="BC7" s="22" t="n">
        <f aca="false">SEMANAS!$B$58</f>
        <v>53</v>
      </c>
      <c r="BD7" s="22" t="n">
        <f aca="false">SEMANAS!$B$59</f>
        <v>54</v>
      </c>
      <c r="BE7" s="22" t="n">
        <f aca="false">SEMANAS!$B$60</f>
        <v>55</v>
      </c>
      <c r="BF7" s="22" t="n">
        <f aca="false">SEMANAS!$B$61</f>
        <v>56</v>
      </c>
      <c r="BG7" s="22" t="n">
        <f aca="false">SEMANAS!$B$62</f>
        <v>57</v>
      </c>
      <c r="BH7" s="22" t="n">
        <f aca="false">SEMANAS!$B$63</f>
        <v>58</v>
      </c>
      <c r="BI7" s="22" t="n">
        <f aca="false">SEMANAS!$B$64</f>
        <v>59</v>
      </c>
      <c r="BJ7" s="22" t="n">
        <f aca="false">SEMANAS!$B$65</f>
        <v>60</v>
      </c>
      <c r="BK7" s="22" t="n">
        <f aca="false">SEMANAS!$B$66</f>
        <v>61</v>
      </c>
      <c r="BL7" s="22" t="n">
        <f aca="false">SEMANAS!$B$67</f>
        <v>62</v>
      </c>
      <c r="BM7" s="22" t="n">
        <f aca="false">SEMANAS!$B$68</f>
        <v>63</v>
      </c>
      <c r="BN7" s="22" t="n">
        <f aca="false">SEMANAS!$B$69</f>
        <v>64</v>
      </c>
      <c r="BO7" s="22" t="n">
        <f aca="false">SEMANAS!$B$70</f>
        <v>65</v>
      </c>
      <c r="BP7" s="22" t="n">
        <f aca="false">SEMANAS!$B$71</f>
        <v>66</v>
      </c>
    </row>
    <row r="8" customFormat="false" ht="15" hidden="false" customHeight="false" outlineLevel="0" collapsed="false">
      <c r="B8" s="15" t="s">
        <v>128</v>
      </c>
      <c r="C8" s="18" t="n">
        <f aca="false">IFERROR(CHOOSE(MATCH($D$5,$AN$100:$AN$104,0),AUX_MATRIZES!C8,IFERROR(AUX_MATRIZES!C8/(AUX_MATRIZES!C20*MM_PARA_M3_HA),0),AUX_MATRIZES!C44,AUX_MATRIZES!C32,AUX_MATRIZES!C56*100),0)</f>
        <v>0</v>
      </c>
      <c r="D8" s="18" t="n">
        <f aca="false">IFERROR(CHOOSE(MATCH($D$5,$AN$100:$AN$104,0),AUX_MATRIZES!D8,IFERROR(AUX_MATRIZES!D8/(AUX_MATRIZES!D20*MM_PARA_M3_HA),0),AUX_MATRIZES!D44,AUX_MATRIZES!D32,AUX_MATRIZES!D56*100),0)</f>
        <v>0</v>
      </c>
      <c r="E8" s="18" t="n">
        <f aca="false">IFERROR(CHOOSE(MATCH($D$5,$AN$100:$AN$104,0),AUX_MATRIZES!E8,IFERROR(AUX_MATRIZES!E8/(AUX_MATRIZES!E20*MM_PARA_M3_HA),0),AUX_MATRIZES!E44,AUX_MATRIZES!E32,AUX_MATRIZES!E56*100),0)</f>
        <v>0</v>
      </c>
      <c r="F8" s="18" t="n">
        <f aca="false">IFERROR(CHOOSE(MATCH($D$5,$AN$100:$AN$104,0),AUX_MATRIZES!F8,IFERROR(AUX_MATRIZES!F8/(AUX_MATRIZES!F20*MM_PARA_M3_HA),0),AUX_MATRIZES!F44,AUX_MATRIZES!F32,AUX_MATRIZES!F56*100),0)</f>
        <v>0</v>
      </c>
      <c r="G8" s="18" t="n">
        <f aca="false">IFERROR(CHOOSE(MATCH($D$5,$AN$100:$AN$104,0),AUX_MATRIZES!G8,IFERROR(AUX_MATRIZES!G8/(AUX_MATRIZES!G20*MM_PARA_M3_HA),0),AUX_MATRIZES!G44,AUX_MATRIZES!G32,AUX_MATRIZES!G56*100),0)</f>
        <v>1313.88423529412</v>
      </c>
      <c r="H8" s="18" t="n">
        <f aca="false">IFERROR(CHOOSE(MATCH($D$5,$AN$100:$AN$104,0),AUX_MATRIZES!H8,IFERROR(AUX_MATRIZES!H8/(AUX_MATRIZES!H20*MM_PARA_M3_HA),0),AUX_MATRIZES!H44,AUX_MATRIZES!H32,AUX_MATRIZES!H56*100),0)</f>
        <v>0</v>
      </c>
      <c r="I8" s="18" t="n">
        <f aca="false">IFERROR(CHOOSE(MATCH($D$5,$AN$100:$AN$104,0),AUX_MATRIZES!I8,IFERROR(AUX_MATRIZES!I8/(AUX_MATRIZES!I20*MM_PARA_M3_HA),0),AUX_MATRIZES!I44,AUX_MATRIZES!I32,AUX_MATRIZES!I56*100),0)</f>
        <v>0</v>
      </c>
      <c r="J8" s="18" t="n">
        <f aca="false">IFERROR(CHOOSE(MATCH($D$5,$AN$100:$AN$104,0),AUX_MATRIZES!J8,IFERROR(AUX_MATRIZES!J8/(AUX_MATRIZES!J20*MM_PARA_M3_HA),0),AUX_MATRIZES!J44,AUX_MATRIZES!J32,AUX_MATRIZES!J56*100),0)</f>
        <v>2987.4674117647</v>
      </c>
      <c r="K8" s="18" t="n">
        <f aca="false">IFERROR(CHOOSE(MATCH($D$5,$AN$100:$AN$104,0),AUX_MATRIZES!K8,IFERROR(AUX_MATRIZES!K8/(AUX_MATRIZES!K20*MM_PARA_M3_HA),0),AUX_MATRIZES!K44,AUX_MATRIZES!K32,AUX_MATRIZES!K56*100),0)</f>
        <v>8914.87502614379</v>
      </c>
      <c r="L8" s="18" t="n">
        <f aca="false">IFERROR(CHOOSE(MATCH($D$5,$AN$100:$AN$104,0),AUX_MATRIZES!L8,IFERROR(AUX_MATRIZES!L8/(AUX_MATRIZES!L20*MM_PARA_M3_HA),0),AUX_MATRIZES!L44,AUX_MATRIZES!L32,AUX_MATRIZES!L56*100),0)</f>
        <v>0</v>
      </c>
      <c r="M8" s="18" t="n">
        <f aca="false">IFERROR(CHOOSE(MATCH($D$5,$AN$100:$AN$104,0),AUX_MATRIZES!M8,IFERROR(AUX_MATRIZES!M8/(AUX_MATRIZES!M20*MM_PARA_M3_HA),0),AUX_MATRIZES!M44,AUX_MATRIZES!M32,AUX_MATRIZES!M56*100),0)</f>
        <v>2420.73917647058</v>
      </c>
      <c r="N8" s="18" t="n">
        <f aca="false">IFERROR(CHOOSE(MATCH($D$5,$AN$100:$AN$104,0),AUX_MATRIZES!N8,IFERROR(AUX_MATRIZES!N8/(AUX_MATRIZES!N20*MM_PARA_M3_HA),0),AUX_MATRIZES!N44,AUX_MATRIZES!N32,AUX_MATRIZES!N56*100),0)</f>
        <v>2420.73917647058</v>
      </c>
      <c r="O8" s="18" t="n">
        <f aca="false">IFERROR(CHOOSE(MATCH($D$5,$AN$100:$AN$104,0),AUX_MATRIZES!O8,IFERROR(AUX_MATRIZES!O8/(AUX_MATRIZES!O20*MM_PARA_M3_HA),0),AUX_MATRIZES!O44,AUX_MATRIZES!O32,AUX_MATRIZES!O56*100),0)</f>
        <v>2420.73917647058</v>
      </c>
      <c r="P8" s="18" t="n">
        <f aca="false">IFERROR(CHOOSE(MATCH($D$5,$AN$100:$AN$104,0),AUX_MATRIZES!P8,IFERROR(AUX_MATRIZES!P8/(AUX_MATRIZES!P20*MM_PARA_M3_HA),0),AUX_MATRIZES!P44,AUX_MATRIZES!P32,AUX_MATRIZES!P56*100),0)</f>
        <v>0</v>
      </c>
      <c r="Q8" s="18" t="n">
        <f aca="false">IFERROR(CHOOSE(MATCH($D$5,$AN$100:$AN$104,0),AUX_MATRIZES!Q8,IFERROR(AUX_MATRIZES!Q8/(AUX_MATRIZES!Q20*MM_PARA_M3_HA),0),AUX_MATRIZES!Q44,AUX_MATRIZES!Q32,AUX_MATRIZES!Q56*100),0)</f>
        <v>0</v>
      </c>
      <c r="R8" s="18" t="n">
        <f aca="false">IFERROR(CHOOSE(MATCH($D$5,$AN$100:$AN$104,0),AUX_MATRIZES!R8,IFERROR(AUX_MATRIZES!R8/(AUX_MATRIZES!R20*MM_PARA_M3_HA),0),AUX_MATRIZES!R44,AUX_MATRIZES!R32,AUX_MATRIZES!R56*100),0)</f>
        <v>0</v>
      </c>
      <c r="S8" s="18" t="n">
        <f aca="false">IFERROR(CHOOSE(MATCH($D$5,$AN$100:$AN$104,0),AUX_MATRIZES!S8,IFERROR(AUX_MATRIZES!S8/(AUX_MATRIZES!S20*MM_PARA_M3_HA),0),AUX_MATRIZES!S44,AUX_MATRIZES!S32,AUX_MATRIZES!S56*100),0)</f>
        <v>0</v>
      </c>
      <c r="T8" s="18" t="n">
        <f aca="false">IFERROR(CHOOSE(MATCH($D$5,$AN$100:$AN$104,0),AUX_MATRIZES!T8,IFERROR(AUX_MATRIZES!T8/(AUX_MATRIZES!T20*MM_PARA_M3_HA),0),AUX_MATRIZES!T44,AUX_MATRIZES!T32,AUX_MATRIZES!T56*100),0)</f>
        <v>0</v>
      </c>
      <c r="U8" s="18" t="n">
        <f aca="false">IFERROR(CHOOSE(MATCH($D$5,$AN$100:$AN$104,0),AUX_MATRIZES!U8,IFERROR(AUX_MATRIZES!U8/(AUX_MATRIZES!U20*MM_PARA_M3_HA),0),AUX_MATRIZES!U44,AUX_MATRIZES!U32,AUX_MATRIZES!U56*100),0)</f>
        <v>0</v>
      </c>
      <c r="V8" s="18" t="n">
        <f aca="false">IFERROR(CHOOSE(MATCH($D$5,$AN$100:$AN$104,0),AUX_MATRIZES!V8,IFERROR(AUX_MATRIZES!V8/(AUX_MATRIZES!V20*MM_PARA_M3_HA),0),AUX_MATRIZES!V44,AUX_MATRIZES!V32,AUX_MATRIZES!V56*100),0)</f>
        <v>0</v>
      </c>
      <c r="W8" s="18" t="n">
        <f aca="false">IFERROR(CHOOSE(MATCH($D$5,$AN$100:$AN$104,0),AUX_MATRIZES!W8,IFERROR(AUX_MATRIZES!W8/(AUX_MATRIZES!W20*MM_PARA_M3_HA),0),AUX_MATRIZES!W44,AUX_MATRIZES!W32,AUX_MATRIZES!W56*100),0)</f>
        <v>0</v>
      </c>
      <c r="X8" s="18" t="n">
        <f aca="false">IFERROR(CHOOSE(MATCH($D$5,$AN$100:$AN$104,0),AUX_MATRIZES!X8,IFERROR(AUX_MATRIZES!X8/(AUX_MATRIZES!X20*MM_PARA_M3_HA),0),AUX_MATRIZES!X44,AUX_MATRIZES!X32,AUX_MATRIZES!X56*100),0)</f>
        <v>0</v>
      </c>
      <c r="Y8" s="18" t="n">
        <f aca="false">IFERROR(CHOOSE(MATCH($D$5,$AN$100:$AN$104,0),AUX_MATRIZES!Y8,IFERROR(AUX_MATRIZES!Y8/(AUX_MATRIZES!Y20*MM_PARA_M3_HA),0),AUX_MATRIZES!Y44,AUX_MATRIZES!Y32,AUX_MATRIZES!Y56*100),0)</f>
        <v>0</v>
      </c>
      <c r="Z8" s="18" t="n">
        <f aca="false">IFERROR(CHOOSE(MATCH($D$5,$AN$100:$AN$104,0),AUX_MATRIZES!Z8,IFERROR(AUX_MATRIZES!Z8/(AUX_MATRIZES!Z20*MM_PARA_M3_HA),0),AUX_MATRIZES!Z44,AUX_MATRIZES!Z32,AUX_MATRIZES!Z56*100),0)</f>
        <v>0</v>
      </c>
      <c r="AA8" s="18" t="n">
        <f aca="false">IFERROR(CHOOSE(MATCH($D$5,$AN$100:$AN$104,0),AUX_MATRIZES!AA8,IFERROR(AUX_MATRIZES!AA8/(AUX_MATRIZES!AA20*MM_PARA_M3_HA),0),AUX_MATRIZES!AA44,AUX_MATRIZES!AA32,AUX_MATRIZES!AA56*100),0)</f>
        <v>0</v>
      </c>
      <c r="AB8" s="18" t="n">
        <f aca="false">IFERROR(CHOOSE(MATCH($D$5,$AN$100:$AN$104,0),AUX_MATRIZES!AB8,IFERROR(AUX_MATRIZES!AB8/(AUX_MATRIZES!AB20*MM_PARA_M3_HA),0),AUX_MATRIZES!AB44,AUX_MATRIZES!AB32,AUX_MATRIZES!AB56*100),0)</f>
        <v>0</v>
      </c>
      <c r="AC8" s="18" t="n">
        <f aca="false">IFERROR(CHOOSE(MATCH($D$5,$AN$100:$AN$104,0),AUX_MATRIZES!AC8,IFERROR(AUX_MATRIZES!AC8/(AUX_MATRIZES!AC20*MM_PARA_M3_HA),0),AUX_MATRIZES!AC44,AUX_MATRIZES!AC32,AUX_MATRIZES!AC56*100),0)</f>
        <v>0</v>
      </c>
      <c r="AD8" s="18" t="n">
        <f aca="false">IFERROR(CHOOSE(MATCH($D$5,$AN$100:$AN$104,0),AUX_MATRIZES!AD8,IFERROR(AUX_MATRIZES!AD8/(AUX_MATRIZES!AD20*MM_PARA_M3_HA),0),AUX_MATRIZES!AD44,AUX_MATRIZES!AD32,AUX_MATRIZES!AD56*100),0)</f>
        <v>0</v>
      </c>
      <c r="AE8" s="18" t="n">
        <f aca="false">IFERROR(CHOOSE(MATCH($D$5,$AN$100:$AN$104,0),AUX_MATRIZES!AE8,IFERROR(AUX_MATRIZES!AE8/(AUX_MATRIZES!AE20*MM_PARA_M3_HA),0),AUX_MATRIZES!AE44,AUX_MATRIZES!AE32,AUX_MATRIZES!AE56*100),0)</f>
        <v>0</v>
      </c>
      <c r="AF8" s="18" t="n">
        <f aca="false">IFERROR(CHOOSE(MATCH($D$5,$AN$100:$AN$104,0),AUX_MATRIZES!AF8,IFERROR(AUX_MATRIZES!AF8/(AUX_MATRIZES!AF20*MM_PARA_M3_HA),0),AUX_MATRIZES!AF44,AUX_MATRIZES!AF32,AUX_MATRIZES!AF56*100),0)</f>
        <v>0</v>
      </c>
      <c r="AG8" s="18" t="n">
        <f aca="false">IFERROR(CHOOSE(MATCH($D$5,$AN$100:$AN$104,0),AUX_MATRIZES!AG8,IFERROR(AUX_MATRIZES!AG8/(AUX_MATRIZES!AG20*MM_PARA_M3_HA),0),AUX_MATRIZES!AG44,AUX_MATRIZES!AG32,AUX_MATRIZES!AG56*100),0)</f>
        <v>5006.27506717716</v>
      </c>
      <c r="AH8" s="18" t="n">
        <f aca="false">IFERROR(CHOOSE(MATCH($D$5,$AN$100:$AN$104,0),AUX_MATRIZES!AH8,IFERROR(AUX_MATRIZES!AH8/(AUX_MATRIZES!AH20*MM_PARA_M3_HA),0),AUX_MATRIZES!AH44,AUX_MATRIZES!AH32,AUX_MATRIZES!AH56*100),0)</f>
        <v>17062.160739993</v>
      </c>
      <c r="AI8" s="18" t="n">
        <f aca="false">IFERROR(CHOOSE(MATCH($D$5,$AN$100:$AN$104,0),AUX_MATRIZES!AI8,IFERROR(AUX_MATRIZES!AI8/(AUX_MATRIZES!AI20*MM_PARA_M3_HA),0),AUX_MATRIZES!AI44,AUX_MATRIZES!AI32,AUX_MATRIZES!AI56*100),0)</f>
        <v>21086.2665527323</v>
      </c>
      <c r="AJ8" s="18" t="n">
        <f aca="false">IFERROR(CHOOSE(MATCH($D$5,$AN$100:$AN$104,0),AUX_MATRIZES!AJ8,IFERROR(AUX_MATRIZES!AJ8/(AUX_MATRIZES!AJ20*MM_PARA_M3_HA),0),AUX_MATRIZES!AJ44,AUX_MATRIZES!AJ32,AUX_MATRIZES!AJ56*100),0)</f>
        <v>25110.3723654716</v>
      </c>
      <c r="AK8" s="18" t="n">
        <f aca="false">IFERROR(CHOOSE(MATCH($D$5,$AN$100:$AN$104,0),AUX_MATRIZES!AK8,IFERROR(AUX_MATRIZES!AK8/(AUX_MATRIZES!AK20*MM_PARA_M3_HA),0),AUX_MATRIZES!AK44,AUX_MATRIZES!AK32,AUX_MATRIZES!AK56*100),0)</f>
        <v>29431.7008235294</v>
      </c>
      <c r="AL8" s="18" t="n">
        <f aca="false">IFERROR(CHOOSE(MATCH($D$5,$AN$100:$AN$104,0),AUX_MATRIZES!AL8,IFERROR(AUX_MATRIZES!AL8/(AUX_MATRIZES!AL20*MM_PARA_M3_HA),0),AUX_MATRIZES!AL44,AUX_MATRIZES!AL32,AUX_MATRIZES!AL56*100),0)</f>
        <v>35995.3390588235</v>
      </c>
      <c r="AM8" s="18" t="n">
        <f aca="false">IFERROR(CHOOSE(MATCH($D$5,$AN$100:$AN$104,0),AUX_MATRIZES!AM8,IFERROR(AUX_MATRIZES!AM8/(AUX_MATRIZES!AM20*MM_PARA_M3_HA),0),AUX_MATRIZES!AM44,AUX_MATRIZES!AM32,AUX_MATRIZES!AM56*100),0)</f>
        <v>35995.3390588235</v>
      </c>
      <c r="AN8" s="18" t="n">
        <f aca="false">IFERROR(CHOOSE(MATCH($D$5,$AN$100:$AN$104,0),AUX_MATRIZES!AN8,IFERROR(AUX_MATRIZES!AN8/(AUX_MATRIZES!AN20*MM_PARA_M3_HA),0),AUX_MATRIZES!AN44,AUX_MATRIZES!AN32,AUX_MATRIZES!AN56*100),0)</f>
        <v>35995.3390588235</v>
      </c>
      <c r="AO8" s="18" t="n">
        <f aca="false">IFERROR(CHOOSE(MATCH($D$5,$AN$100:$AN$104,0),AUX_MATRIZES!AO8,IFERROR(AUX_MATRIZES!AO8/(AUX_MATRIZES!AO20*MM_PARA_M3_HA),0),AUX_MATRIZES!AO44,AUX_MATRIZES!AO32,AUX_MATRIZES!AO56*100),0)</f>
        <v>35995.3390588235</v>
      </c>
      <c r="AP8" s="18" t="n">
        <f aca="false">IFERROR(CHOOSE(MATCH($D$5,$AN$100:$AN$104,0),AUX_MATRIZES!AP8,IFERROR(AUX_MATRIZES!AP8/(AUX_MATRIZES!AP20*MM_PARA_M3_HA),0),AUX_MATRIZES!AP44,AUX_MATRIZES!AP32,AUX_MATRIZES!AP56*100),0)</f>
        <v>36120.2505882353</v>
      </c>
      <c r="AQ8" s="18" t="n">
        <f aca="false">IFERROR(CHOOSE(MATCH($D$5,$AN$100:$AN$104,0),AUX_MATRIZES!AQ8,IFERROR(AUX_MATRIZES!AQ8/(AUX_MATRIZES!AQ20*MM_PARA_M3_HA),0),AUX_MATRIZES!AQ44,AUX_MATRIZES!AQ32,AUX_MATRIZES!AQ56*100),0)</f>
        <v>36141.0691764706</v>
      </c>
      <c r="AR8" s="18" t="n">
        <f aca="false">IFERROR(CHOOSE(MATCH($D$5,$AN$100:$AN$104,0),AUX_MATRIZES!AR8,IFERROR(AUX_MATRIZES!AR8/(AUX_MATRIZES!AR20*MM_PARA_M3_HA),0),AUX_MATRIZES!AR44,AUX_MATRIZES!AR32,AUX_MATRIZES!AR56*100),0)</f>
        <v>36141.0691764706</v>
      </c>
      <c r="AS8" s="18" t="n">
        <f aca="false">IFERROR(CHOOSE(MATCH($D$5,$AN$100:$AN$104,0),AUX_MATRIZES!AS8,IFERROR(AUX_MATRIZES!AS8/(AUX_MATRIZES!AS20*MM_PARA_M3_HA),0),AUX_MATRIZES!AS44,AUX_MATRIZES!AS32,AUX_MATRIZES!AS56*100),0)</f>
        <v>36141.0691764706</v>
      </c>
      <c r="AT8" s="18" t="n">
        <f aca="false">IFERROR(CHOOSE(MATCH($D$5,$AN$100:$AN$104,0),AUX_MATRIZES!AT8,IFERROR(AUX_MATRIZES!AT8/(AUX_MATRIZES!AT20*MM_PARA_M3_HA),0),AUX_MATRIZES!AT44,AUX_MATRIZES!AT32,AUX_MATRIZES!AT56*100),0)</f>
        <v>35750.9303581125</v>
      </c>
      <c r="AU8" s="18" t="n">
        <f aca="false">IFERROR(CHOOSE(MATCH($D$5,$AN$100:$AN$104,0),AUX_MATRIZES!AU8,IFERROR(AUX_MATRIZES!AU8/(AUX_MATRIZES!AU20*MM_PARA_M3_HA),0),AUX_MATRIZES!AU44,AUX_MATRIZES!AU32,AUX_MATRIZES!AU56*100),0)</f>
        <v>34618.3169683258</v>
      </c>
      <c r="AV8" s="18" t="n">
        <f aca="false">IFERROR(CHOOSE(MATCH($D$5,$AN$100:$AN$104,0),AUX_MATRIZES!AV8,IFERROR(AUX_MATRIZES!AV8/(AUX_MATRIZES!AV20*MM_PARA_M3_HA),0),AUX_MATRIZES!AV44,AUX_MATRIZES!AV32,AUX_MATRIZES!AV56*100),0)</f>
        <v>32163.5325791855</v>
      </c>
      <c r="AW8" s="18" t="n">
        <f aca="false">IFERROR(CHOOSE(MATCH($D$5,$AN$100:$AN$104,0),AUX_MATRIZES!AW8,IFERROR(AUX_MATRIZES!AW8/(AUX_MATRIZES!AW20*MM_PARA_M3_HA),0),AUX_MATRIZES!AW44,AUX_MATRIZES!AW32,AUX_MATRIZES!AW56*100),0)</f>
        <v>29708.7481900452</v>
      </c>
      <c r="AX8" s="18" t="n">
        <f aca="false">IFERROR(CHOOSE(MATCH($D$5,$AN$100:$AN$104,0),AUX_MATRIZES!AX8,IFERROR(AUX_MATRIZES!AX8/(AUX_MATRIZES!AX20*MM_PARA_M3_HA),0),AUX_MATRIZES!AX44,AUX_MATRIZES!AX32,AUX_MATRIZES!AX56*100),0)</f>
        <v>28032.7162663219</v>
      </c>
      <c r="AY8" s="18" t="n">
        <f aca="false">IFERROR(CHOOSE(MATCH($D$5,$AN$100:$AN$104,0),AUX_MATRIZES!AY8,IFERROR(AUX_MATRIZES!AY8/(AUX_MATRIZES!AY20*MM_PARA_M3_HA),0),AUX_MATRIZES!AY44,AUX_MATRIZES!AY32,AUX_MATRIZES!AY56*100),0)</f>
        <v>29736.6545882353</v>
      </c>
      <c r="AZ8" s="18" t="n">
        <f aca="false">IFERROR(CHOOSE(MATCH($D$5,$AN$100:$AN$104,0),AUX_MATRIZES!AZ8,IFERROR(AUX_MATRIZES!AZ8/(AUX_MATRIZES!AZ20*MM_PARA_M3_HA),0),AUX_MATRIZES!AZ44,AUX_MATRIZES!AZ32,AUX_MATRIZES!AZ56*100),0)</f>
        <v>26768.0781176471</v>
      </c>
      <c r="BA8" s="18" t="n">
        <f aca="false">IFERROR(CHOOSE(MATCH($D$5,$AN$100:$AN$104,0),AUX_MATRIZES!BA8,IFERROR(AUX_MATRIZES!BA8/(AUX_MATRIZES!BA20*MM_PARA_M3_HA),0),AUX_MATRIZES!BA44,AUX_MATRIZES!BA32,AUX_MATRIZES!BA56*100),0)</f>
        <v>0</v>
      </c>
      <c r="BB8" s="18" t="n">
        <f aca="false">IFERROR(CHOOSE(MATCH($D$5,$AN$100:$AN$104,0),AUX_MATRIZES!BB8,IFERROR(AUX_MATRIZES!BB8/(AUX_MATRIZES!BB20*MM_PARA_M3_HA),0),AUX_MATRIZES!BB44,AUX_MATRIZES!BB32,AUX_MATRIZES!BB56*100),0)</f>
        <v>0</v>
      </c>
      <c r="BC8" s="18" t="n">
        <f aca="false">IFERROR(CHOOSE(MATCH($D$5,$AN$100:$AN$104,0),AUX_MATRIZES!BC8,IFERROR(AUX_MATRIZES!BC8/(AUX_MATRIZES!BC20*MM_PARA_M3_HA),0),AUX_MATRIZES!BC44,AUX_MATRIZES!BC32,AUX_MATRIZES!BC56*100),0)</f>
        <v>0</v>
      </c>
      <c r="BD8" s="18" t="n">
        <f aca="false">IFERROR(CHOOSE(MATCH($D$5,$AN$100:$AN$104,0),AUX_MATRIZES!BD8,IFERROR(AUX_MATRIZES!BD8/(AUX_MATRIZES!BD20*MM_PARA_M3_HA),0),AUX_MATRIZES!BD44,AUX_MATRIZES!BD32,AUX_MATRIZES!BD56*100),0)</f>
        <v>0</v>
      </c>
      <c r="BE8" s="18" t="n">
        <f aca="false">IFERROR(CHOOSE(MATCH($D$5,$AN$100:$AN$104,0),AUX_MATRIZES!BE8,IFERROR(AUX_MATRIZES!BE8/(AUX_MATRIZES!BE20*MM_PARA_M3_HA),0),AUX_MATRIZES!BE44,AUX_MATRIZES!BE32,AUX_MATRIZES!BE56*100),0)</f>
        <v>0</v>
      </c>
      <c r="BF8" s="18" t="n">
        <f aca="false">IFERROR(CHOOSE(MATCH($D$5,$AN$100:$AN$104,0),AUX_MATRIZES!BF8,IFERROR(AUX_MATRIZES!BF8/(AUX_MATRIZES!BF20*MM_PARA_M3_HA),0),AUX_MATRIZES!BF44,AUX_MATRIZES!BF32,AUX_MATRIZES!BF56*100),0)</f>
        <v>0</v>
      </c>
      <c r="BG8" s="18" t="n">
        <f aca="false">IFERROR(CHOOSE(MATCH($D$5,$AN$100:$AN$104,0),AUX_MATRIZES!BG8,IFERROR(AUX_MATRIZES!BG8/(AUX_MATRIZES!BG20*MM_PARA_M3_HA),0),AUX_MATRIZES!BG44,AUX_MATRIZES!BG32,AUX_MATRIZES!BG56*100),0)</f>
        <v>0</v>
      </c>
      <c r="BH8" s="18" t="n">
        <f aca="false">IFERROR(CHOOSE(MATCH($D$5,$AN$100:$AN$104,0),AUX_MATRIZES!BH8,IFERROR(AUX_MATRIZES!BH8/(AUX_MATRIZES!BH20*MM_PARA_M3_HA),0),AUX_MATRIZES!BH44,AUX_MATRIZES!BH32,AUX_MATRIZES!BH56*100),0)</f>
        <v>0</v>
      </c>
      <c r="BI8" s="18" t="n">
        <f aca="false">IFERROR(CHOOSE(MATCH($D$5,$AN$100:$AN$104,0),AUX_MATRIZES!BI8,IFERROR(AUX_MATRIZES!BI8/(AUX_MATRIZES!BI20*MM_PARA_M3_HA),0),AUX_MATRIZES!BI44,AUX_MATRIZES!BI32,AUX_MATRIZES!BI56*100),0)</f>
        <v>0</v>
      </c>
      <c r="BJ8" s="18" t="n">
        <f aca="false">IFERROR(CHOOSE(MATCH($D$5,$AN$100:$AN$104,0),AUX_MATRIZES!BJ8,IFERROR(AUX_MATRIZES!BJ8/(AUX_MATRIZES!BJ20*MM_PARA_M3_HA),0),AUX_MATRIZES!BJ44,AUX_MATRIZES!BJ32,AUX_MATRIZES!BJ56*100),0)</f>
        <v>0</v>
      </c>
      <c r="BK8" s="18" t="n">
        <f aca="false">IFERROR(CHOOSE(MATCH($D$5,$AN$100:$AN$104,0),AUX_MATRIZES!BK8,IFERROR(AUX_MATRIZES!BK8/(AUX_MATRIZES!BK20*MM_PARA_M3_HA),0),AUX_MATRIZES!BK44,AUX_MATRIZES!BK32,AUX_MATRIZES!BK56*100),0)</f>
        <v>0</v>
      </c>
      <c r="BL8" s="18" t="n">
        <f aca="false">IFERROR(CHOOSE(MATCH($D$5,$AN$100:$AN$104,0),AUX_MATRIZES!BL8,IFERROR(AUX_MATRIZES!BL8/(AUX_MATRIZES!BL20*MM_PARA_M3_HA),0),AUX_MATRIZES!BL44,AUX_MATRIZES!BL32,AUX_MATRIZES!BL56*100),0)</f>
        <v>0</v>
      </c>
      <c r="BM8" s="18" t="n">
        <f aca="false">IFERROR(CHOOSE(MATCH($D$5,$AN$100:$AN$104,0),AUX_MATRIZES!BM8,IFERROR(AUX_MATRIZES!BM8/(AUX_MATRIZES!BM20*MM_PARA_M3_HA),0),AUX_MATRIZES!BM44,AUX_MATRIZES!BM32,AUX_MATRIZES!BM56*100),0)</f>
        <v>0</v>
      </c>
      <c r="BN8" s="18" t="n">
        <f aca="false">IFERROR(CHOOSE(MATCH($D$5,$AN$100:$AN$104,0),AUX_MATRIZES!BN8,IFERROR(AUX_MATRIZES!BN8/(AUX_MATRIZES!BN20*MM_PARA_M3_HA),0),AUX_MATRIZES!BN44,AUX_MATRIZES!BN32,AUX_MATRIZES!BN56*100),0)</f>
        <v>0</v>
      </c>
      <c r="BO8" s="18" t="n">
        <f aca="false">IFERROR(CHOOSE(MATCH($D$5,$AN$100:$AN$104,0),AUX_MATRIZES!BO8,IFERROR(AUX_MATRIZES!BO8/(AUX_MATRIZES!BO20*MM_PARA_M3_HA),0),AUX_MATRIZES!BO44,AUX_MATRIZES!BO32,AUX_MATRIZES!BO56*100),0)</f>
        <v>0</v>
      </c>
      <c r="BP8" s="18" t="n">
        <f aca="false">IFERROR(CHOOSE(MATCH($D$5,$AN$100:$AN$104,0),AUX_MATRIZES!BP8,IFERROR(AUX_MATRIZES!BP8/(AUX_MATRIZES!BP20*MM_PARA_M3_HA),0),AUX_MATRIZES!BP44,AUX_MATRIZES!BP32,AUX_MATRIZES!BP56*100),0)</f>
        <v>0</v>
      </c>
    </row>
    <row r="9" customFormat="false" ht="15" hidden="false" customHeight="false" outlineLevel="0" collapsed="false">
      <c r="B9" s="15" t="s">
        <v>129</v>
      </c>
      <c r="C9" s="18" t="n">
        <f aca="false">IFERROR(CHOOSE(MATCH($D$5,$AN$100:$AN$104,0),AUX_MATRIZES!C9,IFERROR(AUX_MATRIZES!C9/(AUX_MATRIZES!C21*MM_PARA_M3_HA),0),AUX_MATRIZES!C45,AUX_MATRIZES!C33,AUX_MATRIZES!C57*100),0)</f>
        <v>22570.0291764706</v>
      </c>
      <c r="D9" s="18" t="n">
        <f aca="false">IFERROR(CHOOSE(MATCH($D$5,$AN$100:$AN$104,0),AUX_MATRIZES!D9,IFERROR(AUX_MATRIZES!D9/(AUX_MATRIZES!D21*MM_PARA_M3_HA),0),AUX_MATRIZES!D45,AUX_MATRIZES!D33,AUX_MATRIZES!D57*100),0)</f>
        <v>0</v>
      </c>
      <c r="E9" s="18" t="n">
        <f aca="false">IFERROR(CHOOSE(MATCH($D$5,$AN$100:$AN$104,0),AUX_MATRIZES!E9,IFERROR(AUX_MATRIZES!E9/(AUX_MATRIZES!E21*MM_PARA_M3_HA),0),AUX_MATRIZES!E45,AUX_MATRIZES!E33,AUX_MATRIZES!E57*100),0)</f>
        <v>0</v>
      </c>
      <c r="F9" s="18" t="n">
        <f aca="false">IFERROR(CHOOSE(MATCH($D$5,$AN$100:$AN$104,0),AUX_MATRIZES!F9,IFERROR(AUX_MATRIZES!F9/(AUX_MATRIZES!F21*MM_PARA_M3_HA),0),AUX_MATRIZES!F45,AUX_MATRIZES!F33,AUX_MATRIZES!F57*100),0)</f>
        <v>0</v>
      </c>
      <c r="G9" s="18" t="n">
        <f aca="false">IFERROR(CHOOSE(MATCH($D$5,$AN$100:$AN$104,0),AUX_MATRIZES!G9,IFERROR(AUX_MATRIZES!G9/(AUX_MATRIZES!G21*MM_PARA_M3_HA),0),AUX_MATRIZES!G45,AUX_MATRIZES!G33,AUX_MATRIZES!G57*100),0)</f>
        <v>1344.35576470588</v>
      </c>
      <c r="H9" s="18" t="n">
        <f aca="false">IFERROR(CHOOSE(MATCH($D$5,$AN$100:$AN$104,0),AUX_MATRIZES!H9,IFERROR(AUX_MATRIZES!H9/(AUX_MATRIZES!H21*MM_PARA_M3_HA),0),AUX_MATRIZES!H45,AUX_MATRIZES!H33,AUX_MATRIZES!H57*100),0)</f>
        <v>0</v>
      </c>
      <c r="I9" s="18" t="n">
        <f aca="false">IFERROR(CHOOSE(MATCH($D$5,$AN$100:$AN$104,0),AUX_MATRIZES!I9,IFERROR(AUX_MATRIZES!I9/(AUX_MATRIZES!I21*MM_PARA_M3_HA),0),AUX_MATRIZES!I45,AUX_MATRIZES!I33,AUX_MATRIZES!I57*100),0)</f>
        <v>0</v>
      </c>
      <c r="J9" s="18" t="n">
        <f aca="false">IFERROR(CHOOSE(MATCH($D$5,$AN$100:$AN$104,0),AUX_MATRIZES!J9,IFERROR(AUX_MATRIZES!J9/(AUX_MATRIZES!J21*MM_PARA_M3_HA),0),AUX_MATRIZES!J45,AUX_MATRIZES!J33,AUX_MATRIZES!J57*100),0)</f>
        <v>2611.19894593879</v>
      </c>
      <c r="K9" s="18" t="n">
        <f aca="false">IFERROR(CHOOSE(MATCH($D$5,$AN$100:$AN$104,0),AUX_MATRIZES!K9,IFERROR(AUX_MATRIZES!K9/(AUX_MATRIZES!K21*MM_PARA_M3_HA),0),AUX_MATRIZES!K45,AUX_MATRIZES!K33,AUX_MATRIZES!K57*100),0)</f>
        <v>8421.15634341653</v>
      </c>
      <c r="L9" s="18" t="n">
        <f aca="false">IFERROR(CHOOSE(MATCH($D$5,$AN$100:$AN$104,0),AUX_MATRIZES!L9,IFERROR(AUX_MATRIZES!L9/(AUX_MATRIZES!L21*MM_PARA_M3_HA),0),AUX_MATRIZES!L45,AUX_MATRIZES!L33,AUX_MATRIZES!L57*100),0)</f>
        <v>0</v>
      </c>
      <c r="M9" s="18" t="n">
        <f aca="false">IFERROR(CHOOSE(MATCH($D$5,$AN$100:$AN$104,0),AUX_MATRIZES!M9,IFERROR(AUX_MATRIZES!M9/(AUX_MATRIZES!M21*MM_PARA_M3_HA),0),AUX_MATRIZES!M45,AUX_MATRIZES!M33,AUX_MATRIZES!M57*100),0)</f>
        <v>2476.88082352941</v>
      </c>
      <c r="N9" s="18" t="n">
        <f aca="false">IFERROR(CHOOSE(MATCH($D$5,$AN$100:$AN$104,0),AUX_MATRIZES!N9,IFERROR(AUX_MATRIZES!N9/(AUX_MATRIZES!N21*MM_PARA_M3_HA),0),AUX_MATRIZES!N45,AUX_MATRIZES!N33,AUX_MATRIZES!N57*100),0)</f>
        <v>2476.88082352941</v>
      </c>
      <c r="O9" s="18" t="n">
        <f aca="false">IFERROR(CHOOSE(MATCH($D$5,$AN$100:$AN$104,0),AUX_MATRIZES!O9,IFERROR(AUX_MATRIZES!O9/(AUX_MATRIZES!O21*MM_PARA_M3_HA),0),AUX_MATRIZES!O45,AUX_MATRIZES!O33,AUX_MATRIZES!O57*100),0)</f>
        <v>2476.88082352941</v>
      </c>
      <c r="P9" s="18" t="n">
        <f aca="false">IFERROR(CHOOSE(MATCH($D$5,$AN$100:$AN$104,0),AUX_MATRIZES!P9,IFERROR(AUX_MATRIZES!P9/(AUX_MATRIZES!P21*MM_PARA_M3_HA),0),AUX_MATRIZES!P45,AUX_MATRIZES!P33,AUX_MATRIZES!P57*100),0)</f>
        <v>0</v>
      </c>
      <c r="Q9" s="18" t="n">
        <f aca="false">IFERROR(CHOOSE(MATCH($D$5,$AN$100:$AN$104,0),AUX_MATRIZES!Q9,IFERROR(AUX_MATRIZES!Q9/(AUX_MATRIZES!Q21*MM_PARA_M3_HA),0),AUX_MATRIZES!Q45,AUX_MATRIZES!Q33,AUX_MATRIZES!Q57*100),0)</f>
        <v>0</v>
      </c>
      <c r="R9" s="18" t="n">
        <f aca="false">IFERROR(CHOOSE(MATCH($D$5,$AN$100:$AN$104,0),AUX_MATRIZES!R9,IFERROR(AUX_MATRIZES!R9/(AUX_MATRIZES!R21*MM_PARA_M3_HA),0),AUX_MATRIZES!R45,AUX_MATRIZES!R33,AUX_MATRIZES!R57*100),0)</f>
        <v>0</v>
      </c>
      <c r="S9" s="18" t="n">
        <f aca="false">IFERROR(CHOOSE(MATCH($D$5,$AN$100:$AN$104,0),AUX_MATRIZES!S9,IFERROR(AUX_MATRIZES!S9/(AUX_MATRIZES!S21*MM_PARA_M3_HA),0),AUX_MATRIZES!S45,AUX_MATRIZES!S33,AUX_MATRIZES!S57*100),0)</f>
        <v>0</v>
      </c>
      <c r="T9" s="18" t="n">
        <f aca="false">IFERROR(CHOOSE(MATCH($D$5,$AN$100:$AN$104,0),AUX_MATRIZES!T9,IFERROR(AUX_MATRIZES!T9/(AUX_MATRIZES!T21*MM_PARA_M3_HA),0),AUX_MATRIZES!T45,AUX_MATRIZES!T33,AUX_MATRIZES!T57*100),0)</f>
        <v>0</v>
      </c>
      <c r="U9" s="18" t="n">
        <f aca="false">IFERROR(CHOOSE(MATCH($D$5,$AN$100:$AN$104,0),AUX_MATRIZES!U9,IFERROR(AUX_MATRIZES!U9/(AUX_MATRIZES!U21*MM_PARA_M3_HA),0),AUX_MATRIZES!U45,AUX_MATRIZES!U33,AUX_MATRIZES!U57*100),0)</f>
        <v>0</v>
      </c>
      <c r="V9" s="18" t="n">
        <f aca="false">IFERROR(CHOOSE(MATCH($D$5,$AN$100:$AN$104,0),AUX_MATRIZES!V9,IFERROR(AUX_MATRIZES!V9/(AUX_MATRIZES!V21*MM_PARA_M3_HA),0),AUX_MATRIZES!V45,AUX_MATRIZES!V33,AUX_MATRIZES!V57*100),0)</f>
        <v>0</v>
      </c>
      <c r="W9" s="18" t="n">
        <f aca="false">IFERROR(CHOOSE(MATCH($D$5,$AN$100:$AN$104,0),AUX_MATRIZES!W9,IFERROR(AUX_MATRIZES!W9/(AUX_MATRIZES!W21*MM_PARA_M3_HA),0),AUX_MATRIZES!W45,AUX_MATRIZES!W33,AUX_MATRIZES!W57*100),0)</f>
        <v>0</v>
      </c>
      <c r="X9" s="18" t="n">
        <f aca="false">IFERROR(CHOOSE(MATCH($D$5,$AN$100:$AN$104,0),AUX_MATRIZES!X9,IFERROR(AUX_MATRIZES!X9/(AUX_MATRIZES!X21*MM_PARA_M3_HA),0),AUX_MATRIZES!X45,AUX_MATRIZES!X33,AUX_MATRIZES!X57*100),0)</f>
        <v>0</v>
      </c>
      <c r="Y9" s="18" t="n">
        <f aca="false">IFERROR(CHOOSE(MATCH($D$5,$AN$100:$AN$104,0),AUX_MATRIZES!Y9,IFERROR(AUX_MATRIZES!Y9/(AUX_MATRIZES!Y21*MM_PARA_M3_HA),0),AUX_MATRIZES!Y45,AUX_MATRIZES!Y33,AUX_MATRIZES!Y57*100),0)</f>
        <v>0</v>
      </c>
      <c r="Z9" s="18" t="n">
        <f aca="false">IFERROR(CHOOSE(MATCH($D$5,$AN$100:$AN$104,0),AUX_MATRIZES!Z9,IFERROR(AUX_MATRIZES!Z9/(AUX_MATRIZES!Z21*MM_PARA_M3_HA),0),AUX_MATRIZES!Z45,AUX_MATRIZES!Z33,AUX_MATRIZES!Z57*100),0)</f>
        <v>205.420776888263</v>
      </c>
      <c r="AA9" s="18" t="n">
        <f aca="false">IFERROR(CHOOSE(MATCH($D$5,$AN$100:$AN$104,0),AUX_MATRIZES!AA9,IFERROR(AUX_MATRIZES!AA9/(AUX_MATRIZES!AA21*MM_PARA_M3_HA),0),AUX_MATRIZES!AA45,AUX_MATRIZES!AA33,AUX_MATRIZES!AA57*100),0)</f>
        <v>4483.19184081679</v>
      </c>
      <c r="AB9" s="18" t="n">
        <f aca="false">IFERROR(CHOOSE(MATCH($D$5,$AN$100:$AN$104,0),AUX_MATRIZES!AB9,IFERROR(AUX_MATRIZES!AB9/(AUX_MATRIZES!AB21*MM_PARA_M3_HA),0),AUX_MATRIZES!AB45,AUX_MATRIZES!AB33,AUX_MATRIZES!AB57*100),0)</f>
        <v>6897.07694117646</v>
      </c>
      <c r="AC9" s="18" t="n">
        <f aca="false">IFERROR(CHOOSE(MATCH($D$5,$AN$100:$AN$104,0),AUX_MATRIZES!AC9,IFERROR(AUX_MATRIZES!AC9/(AUX_MATRIZES!AC21*MM_PARA_M3_HA),0),AUX_MATRIZES!AC45,AUX_MATRIZES!AC33,AUX_MATRIZES!AC57*100),0)</f>
        <v>8520.40329411764</v>
      </c>
      <c r="AD9" s="18" t="n">
        <f aca="false">IFERROR(CHOOSE(MATCH($D$5,$AN$100:$AN$104,0),AUX_MATRIZES!AD9,IFERROR(AUX_MATRIZES!AD9/(AUX_MATRIZES!AD21*MM_PARA_M3_HA),0),AUX_MATRIZES!AD45,AUX_MATRIZES!AD33,AUX_MATRIZES!AD57*100),0)</f>
        <v>8520.40329411764</v>
      </c>
      <c r="AE9" s="18" t="n">
        <f aca="false">IFERROR(CHOOSE(MATCH($D$5,$AN$100:$AN$104,0),AUX_MATRIZES!AE9,IFERROR(AUX_MATRIZES!AE9/(AUX_MATRIZES!AE21*MM_PARA_M3_HA),0),AUX_MATRIZES!AE45,AUX_MATRIZES!AE33,AUX_MATRIZES!AE57*100),0)</f>
        <v>8520.40329411764</v>
      </c>
      <c r="AF9" s="18" t="n">
        <f aca="false">IFERROR(CHOOSE(MATCH($D$5,$AN$100:$AN$104,0),AUX_MATRIZES!AF9,IFERROR(AUX_MATRIZES!AF9/(AUX_MATRIZES!AF21*MM_PARA_M3_HA),0),AUX_MATRIZES!AF45,AUX_MATRIZES!AF33,AUX_MATRIZES!AF57*100),0)</f>
        <v>8520.40329411764</v>
      </c>
      <c r="AG9" s="18" t="n">
        <f aca="false">IFERROR(CHOOSE(MATCH($D$5,$AN$100:$AN$104,0),AUX_MATRIZES!AG9,IFERROR(AUX_MATRIZES!AG9/(AUX_MATRIZES!AG21*MM_PARA_M3_HA),0),AUX_MATRIZES!AG45,AUX_MATRIZES!AG33,AUX_MATRIZES!AG57*100),0)</f>
        <v>23595.1241394335</v>
      </c>
      <c r="AH9" s="18" t="n">
        <f aca="false">IFERROR(CHOOSE(MATCH($D$5,$AN$100:$AN$104,0),AUX_MATRIZES!AH9,IFERROR(AUX_MATRIZES!AH9/(AUX_MATRIZES!AH21*MM_PARA_M3_HA),0),AUX_MATRIZES!AH45,AUX_MATRIZES!AH33,AUX_MATRIZES!AH57*100),0)</f>
        <v>44157.0737908497</v>
      </c>
      <c r="AI9" s="18" t="n">
        <f aca="false">IFERROR(CHOOSE(MATCH($D$5,$AN$100:$AN$104,0),AUX_MATRIZES!AI9,IFERROR(AUX_MATRIZES!AI9/(AUX_MATRIZES!AI21*MM_PARA_M3_HA),0),AUX_MATRIZES!AI45,AUX_MATRIZES!AI33,AUX_MATRIZES!AI57*100),0)</f>
        <v>48452.4201960784</v>
      </c>
      <c r="AJ9" s="18" t="n">
        <f aca="false">IFERROR(CHOOSE(MATCH($D$5,$AN$100:$AN$104,0),AUX_MATRIZES!AJ9,IFERROR(AUX_MATRIZES!AJ9/(AUX_MATRIZES!AJ21*MM_PARA_M3_HA),0),AUX_MATRIZES!AJ45,AUX_MATRIZES!AJ33,AUX_MATRIZES!AJ57*100),0)</f>
        <v>52747.7666013072</v>
      </c>
      <c r="AK9" s="18" t="n">
        <f aca="false">IFERROR(CHOOSE(MATCH($D$5,$AN$100:$AN$104,0),AUX_MATRIZES!AK9,IFERROR(AUX_MATRIZES!AK9/(AUX_MATRIZES!AK21*MM_PARA_M3_HA),0),AUX_MATRIZES!AK45,AUX_MATRIZES!AK33,AUX_MATRIZES!AK57*100),0)</f>
        <v>58017.9796832579</v>
      </c>
      <c r="AL9" s="18" t="n">
        <f aca="false">IFERROR(CHOOSE(MATCH($D$5,$AN$100:$AN$104,0),AUX_MATRIZES!AL9,IFERROR(AUX_MATRIZES!AL9/(AUX_MATRIZES!AL21*MM_PARA_M3_HA),0),AUX_MATRIZES!AL45,AUX_MATRIZES!AL33,AUX_MATRIZES!AL57*100),0)</f>
        <v>69073.5477828054</v>
      </c>
      <c r="AM9" s="18" t="n">
        <f aca="false">IFERROR(CHOOSE(MATCH($D$5,$AN$100:$AN$104,0),AUX_MATRIZES!AM9,IFERROR(AUX_MATRIZES!AM9/(AUX_MATRIZES!AM21*MM_PARA_M3_HA),0),AUX_MATRIZES!AM45,AUX_MATRIZES!AM33,AUX_MATRIZES!AM57*100),0)</f>
        <v>66633.1704072398</v>
      </c>
      <c r="AN9" s="18" t="n">
        <f aca="false">IFERROR(CHOOSE(MATCH($D$5,$AN$100:$AN$104,0),AUX_MATRIZES!AN9,IFERROR(AUX_MATRIZES!AN9/(AUX_MATRIZES!AN21*MM_PARA_M3_HA),0),AUX_MATRIZES!AN45,AUX_MATRIZES!AN33,AUX_MATRIZES!AN57*100),0)</f>
        <v>64192.7930316742</v>
      </c>
      <c r="AO9" s="18" t="n">
        <f aca="false">IFERROR(CHOOSE(MATCH($D$5,$AN$100:$AN$104,0),AUX_MATRIZES!AO9,IFERROR(AUX_MATRIZES!AO9/(AUX_MATRIZES!AO21*MM_PARA_M3_HA),0),AUX_MATRIZES!AO45,AUX_MATRIZES!AO33,AUX_MATRIZES!AO57*100),0)</f>
        <v>61752.4156561086</v>
      </c>
      <c r="AP9" s="18" t="n">
        <f aca="false">IFERROR(CHOOSE(MATCH($D$5,$AN$100:$AN$104,0),AUX_MATRIZES!AP9,IFERROR(AUX_MATRIZES!AP9/(AUX_MATRIZES!AP21*MM_PARA_M3_HA),0),AUX_MATRIZES!AP45,AUX_MATRIZES!AP33,AUX_MATRIZES!AP57*100),0)</f>
        <v>60144.703800905</v>
      </c>
      <c r="AQ9" s="18" t="n">
        <f aca="false">IFERROR(CHOOSE(MATCH($D$5,$AN$100:$AN$104,0),AUX_MATRIZES!AQ9,IFERROR(AUX_MATRIZES!AQ9/(AUX_MATRIZES!AQ21*MM_PARA_M3_HA),0),AUX_MATRIZES!AQ45,AUX_MATRIZES!AQ33,AUX_MATRIZES!AQ57*100),0)</f>
        <v>57959.3124585219</v>
      </c>
      <c r="AR9" s="18" t="n">
        <f aca="false">IFERROR(CHOOSE(MATCH($D$5,$AN$100:$AN$104,0),AUX_MATRIZES!AR9,IFERROR(AUX_MATRIZES!AR9/(AUX_MATRIZES!AR21*MM_PARA_M3_HA),0),AUX_MATRIZES!AR45,AUX_MATRIZES!AR33,AUX_MATRIZES!AR57*100),0)</f>
        <v>55635.1435294118</v>
      </c>
      <c r="AS9" s="18" t="n">
        <f aca="false">IFERROR(CHOOSE(MATCH($D$5,$AN$100:$AN$104,0),AUX_MATRIZES!AS9,IFERROR(AUX_MATRIZES!AS9/(AUX_MATRIZES!AS21*MM_PARA_M3_HA),0),AUX_MATRIZES!AS45,AUX_MATRIZES!AS33,AUX_MATRIZES!AS57*100),0)</f>
        <v>35359.2916078431</v>
      </c>
      <c r="AT9" s="18" t="n">
        <f aca="false">IFERROR(CHOOSE(MATCH($D$5,$AN$100:$AN$104,0),AUX_MATRIZES!AT9,IFERROR(AUX_MATRIZES!AT9/(AUX_MATRIZES!AT21*MM_PARA_M3_HA),0),AUX_MATRIZES!AT45,AUX_MATRIZES!AT33,AUX_MATRIZES!AT57*100),0)</f>
        <v>34231.6316862745</v>
      </c>
      <c r="AU9" s="18" t="n">
        <f aca="false">IFERROR(CHOOSE(MATCH($D$5,$AN$100:$AN$104,0),AUX_MATRIZES!AU9,IFERROR(AUX_MATRIZES!AU9/(AUX_MATRIZES!AU21*MM_PARA_M3_HA),0),AUX_MATRIZES!AU45,AUX_MATRIZES!AU33,AUX_MATRIZES!AU57*100),0)</f>
        <v>32464.5349411765</v>
      </c>
      <c r="AV9" s="18" t="n">
        <f aca="false">IFERROR(CHOOSE(MATCH($D$5,$AN$100:$AN$104,0),AUX_MATRIZES!AV9,IFERROR(AUX_MATRIZES!AV9/(AUX_MATRIZES!AV21*MM_PARA_M3_HA),0),AUX_MATRIZES!AV45,AUX_MATRIZES!AV33,AUX_MATRIZES!AV57*100),0)</f>
        <v>29416.9866666667</v>
      </c>
      <c r="AW9" s="18" t="n">
        <f aca="false">IFERROR(CHOOSE(MATCH($D$5,$AN$100:$AN$104,0),AUX_MATRIZES!AW9,IFERROR(AUX_MATRIZES!AW9/(AUX_MATRIZES!AW21*MM_PARA_M3_HA),0),AUX_MATRIZES!AW45,AUX_MATRIZES!AW33,AUX_MATRIZES!AW57*100),0)</f>
        <v>26369.4383921569</v>
      </c>
      <c r="AX9" s="18" t="n">
        <f aca="false">IFERROR(CHOOSE(MATCH($D$5,$AN$100:$AN$104,0),AUX_MATRIZES!AX9,IFERROR(AUX_MATRIZES!AX9/(AUX_MATRIZES!AX21*MM_PARA_M3_HA),0),AUX_MATRIZES!AX45,AUX_MATRIZES!AX33,AUX_MATRIZES!AX57*100),0)</f>
        <v>23982.2338823529</v>
      </c>
      <c r="AY9" s="18" t="n">
        <f aca="false">IFERROR(CHOOSE(MATCH($D$5,$AN$100:$AN$104,0),AUX_MATRIZES!AY9,IFERROR(AUX_MATRIZES!AY9/(AUX_MATRIZES!AY21*MM_PARA_M3_HA),0),AUX_MATRIZES!AY45,AUX_MATRIZES!AY33,AUX_MATRIZES!AY57*100),0)</f>
        <v>0</v>
      </c>
      <c r="AZ9" s="18" t="n">
        <f aca="false">IFERROR(CHOOSE(MATCH($D$5,$AN$100:$AN$104,0),AUX_MATRIZES!AZ9,IFERROR(AUX_MATRIZES!AZ9/(AUX_MATRIZES!AZ21*MM_PARA_M3_HA),0),AUX_MATRIZES!AZ45,AUX_MATRIZES!AZ33,AUX_MATRIZES!AZ57*100),0)</f>
        <v>0</v>
      </c>
      <c r="BA9" s="18" t="n">
        <f aca="false">IFERROR(CHOOSE(MATCH($D$5,$AN$100:$AN$104,0),AUX_MATRIZES!BA9,IFERROR(AUX_MATRIZES!BA9/(AUX_MATRIZES!BA21*MM_PARA_M3_HA),0),AUX_MATRIZES!BA45,AUX_MATRIZES!BA33,AUX_MATRIZES!BA57*100),0)</f>
        <v>0</v>
      </c>
      <c r="BB9" s="18" t="n">
        <f aca="false">IFERROR(CHOOSE(MATCH($D$5,$AN$100:$AN$104,0),AUX_MATRIZES!BB9,IFERROR(AUX_MATRIZES!BB9/(AUX_MATRIZES!BB21*MM_PARA_M3_HA),0),AUX_MATRIZES!BB45,AUX_MATRIZES!BB33,AUX_MATRIZES!BB57*100),0)</f>
        <v>0</v>
      </c>
      <c r="BC9" s="18" t="n">
        <f aca="false">IFERROR(CHOOSE(MATCH($D$5,$AN$100:$AN$104,0),AUX_MATRIZES!BC9,IFERROR(AUX_MATRIZES!BC9/(AUX_MATRIZES!BC21*MM_PARA_M3_HA),0),AUX_MATRIZES!BC45,AUX_MATRIZES!BC33,AUX_MATRIZES!BC57*100),0)</f>
        <v>0</v>
      </c>
      <c r="BD9" s="18" t="n">
        <f aca="false">IFERROR(CHOOSE(MATCH($D$5,$AN$100:$AN$104,0),AUX_MATRIZES!BD9,IFERROR(AUX_MATRIZES!BD9/(AUX_MATRIZES!BD21*MM_PARA_M3_HA),0),AUX_MATRIZES!BD45,AUX_MATRIZES!BD33,AUX_MATRIZES!BD57*100),0)</f>
        <v>0</v>
      </c>
      <c r="BE9" s="18" t="n">
        <f aca="false">IFERROR(CHOOSE(MATCH($D$5,$AN$100:$AN$104,0),AUX_MATRIZES!BE9,IFERROR(AUX_MATRIZES!BE9/(AUX_MATRIZES!BE21*MM_PARA_M3_HA),0),AUX_MATRIZES!BE45,AUX_MATRIZES!BE33,AUX_MATRIZES!BE57*100),0)</f>
        <v>0</v>
      </c>
      <c r="BF9" s="18" t="n">
        <f aca="false">IFERROR(CHOOSE(MATCH($D$5,$AN$100:$AN$104,0),AUX_MATRIZES!BF9,IFERROR(AUX_MATRIZES!BF9/(AUX_MATRIZES!BF21*MM_PARA_M3_HA),0),AUX_MATRIZES!BF45,AUX_MATRIZES!BF33,AUX_MATRIZES!BF57*100),0)</f>
        <v>0</v>
      </c>
      <c r="BG9" s="18" t="n">
        <f aca="false">IFERROR(CHOOSE(MATCH($D$5,$AN$100:$AN$104,0),AUX_MATRIZES!BG9,IFERROR(AUX_MATRIZES!BG9/(AUX_MATRIZES!BG21*MM_PARA_M3_HA),0),AUX_MATRIZES!BG45,AUX_MATRIZES!BG33,AUX_MATRIZES!BG57*100),0)</f>
        <v>0</v>
      </c>
      <c r="BH9" s="18" t="n">
        <f aca="false">IFERROR(CHOOSE(MATCH($D$5,$AN$100:$AN$104,0),AUX_MATRIZES!BH9,IFERROR(AUX_MATRIZES!BH9/(AUX_MATRIZES!BH21*MM_PARA_M3_HA),0),AUX_MATRIZES!BH45,AUX_MATRIZES!BH33,AUX_MATRIZES!BH57*100),0)</f>
        <v>0</v>
      </c>
      <c r="BI9" s="18" t="n">
        <f aca="false">IFERROR(CHOOSE(MATCH($D$5,$AN$100:$AN$104,0),AUX_MATRIZES!BI9,IFERROR(AUX_MATRIZES!BI9/(AUX_MATRIZES!BI21*MM_PARA_M3_HA),0),AUX_MATRIZES!BI45,AUX_MATRIZES!BI33,AUX_MATRIZES!BI57*100),0)</f>
        <v>0</v>
      </c>
      <c r="BJ9" s="18" t="n">
        <f aca="false">IFERROR(CHOOSE(MATCH($D$5,$AN$100:$AN$104,0),AUX_MATRIZES!BJ9,IFERROR(AUX_MATRIZES!BJ9/(AUX_MATRIZES!BJ21*MM_PARA_M3_HA),0),AUX_MATRIZES!BJ45,AUX_MATRIZES!BJ33,AUX_MATRIZES!BJ57*100),0)</f>
        <v>0</v>
      </c>
      <c r="BK9" s="18" t="n">
        <f aca="false">IFERROR(CHOOSE(MATCH($D$5,$AN$100:$AN$104,0),AUX_MATRIZES!BK9,IFERROR(AUX_MATRIZES!BK9/(AUX_MATRIZES!BK21*MM_PARA_M3_HA),0),AUX_MATRIZES!BK45,AUX_MATRIZES!BK33,AUX_MATRIZES!BK57*100),0)</f>
        <v>0</v>
      </c>
      <c r="BL9" s="18" t="n">
        <f aca="false">IFERROR(CHOOSE(MATCH($D$5,$AN$100:$AN$104,0),AUX_MATRIZES!BL9,IFERROR(AUX_MATRIZES!BL9/(AUX_MATRIZES!BL21*MM_PARA_M3_HA),0),AUX_MATRIZES!BL45,AUX_MATRIZES!BL33,AUX_MATRIZES!BL57*100),0)</f>
        <v>0</v>
      </c>
      <c r="BM9" s="18" t="n">
        <f aca="false">IFERROR(CHOOSE(MATCH($D$5,$AN$100:$AN$104,0),AUX_MATRIZES!BM9,IFERROR(AUX_MATRIZES!BM9/(AUX_MATRIZES!BM21*MM_PARA_M3_HA),0),AUX_MATRIZES!BM45,AUX_MATRIZES!BM33,AUX_MATRIZES!BM57*100),0)</f>
        <v>0</v>
      </c>
      <c r="BN9" s="18" t="n">
        <f aca="false">IFERROR(CHOOSE(MATCH($D$5,$AN$100:$AN$104,0),AUX_MATRIZES!BN9,IFERROR(AUX_MATRIZES!BN9/(AUX_MATRIZES!BN21*MM_PARA_M3_HA),0),AUX_MATRIZES!BN45,AUX_MATRIZES!BN33,AUX_MATRIZES!BN57*100),0)</f>
        <v>0</v>
      </c>
      <c r="BO9" s="18" t="n">
        <f aca="false">IFERROR(CHOOSE(MATCH($D$5,$AN$100:$AN$104,0),AUX_MATRIZES!BO9,IFERROR(AUX_MATRIZES!BO9/(AUX_MATRIZES!BO21*MM_PARA_M3_HA),0),AUX_MATRIZES!BO45,AUX_MATRIZES!BO33,AUX_MATRIZES!BO57*100),0)</f>
        <v>0</v>
      </c>
      <c r="BP9" s="18" t="n">
        <f aca="false">IFERROR(CHOOSE(MATCH($D$5,$AN$100:$AN$104,0),AUX_MATRIZES!BP9,IFERROR(AUX_MATRIZES!BP9/(AUX_MATRIZES!BP21*MM_PARA_M3_HA),0),AUX_MATRIZES!BP45,AUX_MATRIZES!BP33,AUX_MATRIZES!BP57*100),0)</f>
        <v>0</v>
      </c>
    </row>
    <row r="10" customFormat="false" ht="15" hidden="false" customHeight="false" outlineLevel="0" collapsed="false">
      <c r="B10" s="15" t="s">
        <v>130</v>
      </c>
      <c r="C10" s="18" t="n">
        <f aca="false">IFERROR(CHOOSE(MATCH($D$5,$AN$100:$AN$104,0),AUX_MATRIZES!C10,IFERROR(AUX_MATRIZES!C10/(AUX_MATRIZES!C22*MM_PARA_M3_HA),0),AUX_MATRIZES!C46,AUX_MATRIZES!C34,AUX_MATRIZES!C58*100),0)</f>
        <v>0</v>
      </c>
      <c r="D10" s="18" t="n">
        <f aca="false">IFERROR(CHOOSE(MATCH($D$5,$AN$100:$AN$104,0),AUX_MATRIZES!D10,IFERROR(AUX_MATRIZES!D10/(AUX_MATRIZES!D22*MM_PARA_M3_HA),0),AUX_MATRIZES!D46,AUX_MATRIZES!D34,AUX_MATRIZES!D58*100),0)</f>
        <v>0</v>
      </c>
      <c r="E10" s="18" t="n">
        <f aca="false">IFERROR(CHOOSE(MATCH($D$5,$AN$100:$AN$104,0),AUX_MATRIZES!E10,IFERROR(AUX_MATRIZES!E10/(AUX_MATRIZES!E22*MM_PARA_M3_HA),0),AUX_MATRIZES!E46,AUX_MATRIZES!E34,AUX_MATRIZES!E58*100),0)</f>
        <v>0</v>
      </c>
      <c r="F10" s="18" t="n">
        <f aca="false">IFERROR(CHOOSE(MATCH($D$5,$AN$100:$AN$104,0),AUX_MATRIZES!F10,IFERROR(AUX_MATRIZES!F10/(AUX_MATRIZES!F22*MM_PARA_M3_HA),0),AUX_MATRIZES!F46,AUX_MATRIZES!F34,AUX_MATRIZES!F58*100),0)</f>
        <v>0</v>
      </c>
      <c r="G10" s="18" t="n">
        <f aca="false">IFERROR(CHOOSE(MATCH($D$5,$AN$100:$AN$104,0),AUX_MATRIZES!G10,IFERROR(AUX_MATRIZES!G10/(AUX_MATRIZES!G22*MM_PARA_M3_HA),0),AUX_MATRIZES!G46,AUX_MATRIZES!G34,AUX_MATRIZES!G58*100),0)</f>
        <v>2643.27152941176</v>
      </c>
      <c r="H10" s="18" t="n">
        <f aca="false">IFERROR(CHOOSE(MATCH($D$5,$AN$100:$AN$104,0),AUX_MATRIZES!H10,IFERROR(AUX_MATRIZES!H10/(AUX_MATRIZES!H22*MM_PARA_M3_HA),0),AUX_MATRIZES!H46,AUX_MATRIZES!H34,AUX_MATRIZES!H58*100),0)</f>
        <v>0</v>
      </c>
      <c r="I10" s="18" t="n">
        <f aca="false">IFERROR(CHOOSE(MATCH($D$5,$AN$100:$AN$104,0),AUX_MATRIZES!I10,IFERROR(AUX_MATRIZES!I10/(AUX_MATRIZES!I22*MM_PARA_M3_HA),0),AUX_MATRIZES!I46,AUX_MATRIZES!I34,AUX_MATRIZES!I58*100),0)</f>
        <v>0</v>
      </c>
      <c r="J10" s="18" t="n">
        <f aca="false">IFERROR(CHOOSE(MATCH($D$5,$AN$100:$AN$104,0),AUX_MATRIZES!J10,IFERROR(AUX_MATRIZES!J10/(AUX_MATRIZES!J22*MM_PARA_M3_HA),0),AUX_MATRIZES!J46,AUX_MATRIZES!J34,AUX_MATRIZES!J58*100),0)</f>
        <v>542.087695025542</v>
      </c>
      <c r="K10" s="18" t="n">
        <f aca="false">IFERROR(CHOOSE(MATCH($D$5,$AN$100:$AN$104,0),AUX_MATRIZES!K10,IFERROR(AUX_MATRIZES!K10/(AUX_MATRIZES!K22*MM_PARA_M3_HA),0),AUX_MATRIZES!K46,AUX_MATRIZES!K34,AUX_MATRIZES!K58*100),0)</f>
        <v>12201.1742158828</v>
      </c>
      <c r="L10" s="18" t="n">
        <f aca="false">IFERROR(CHOOSE(MATCH($D$5,$AN$100:$AN$104,0),AUX_MATRIZES!L10,IFERROR(AUX_MATRIZES!L10/(AUX_MATRIZES!L22*MM_PARA_M3_HA),0),AUX_MATRIZES!L46,AUX_MATRIZES!L34,AUX_MATRIZES!L58*100),0)</f>
        <v>0</v>
      </c>
      <c r="M10" s="18" t="n">
        <f aca="false">IFERROR(CHOOSE(MATCH($D$5,$AN$100:$AN$104,0),AUX_MATRIZES!M10,IFERROR(AUX_MATRIZES!M10/(AUX_MATRIZES!M22*MM_PARA_M3_HA),0),AUX_MATRIZES!M46,AUX_MATRIZES!M34,AUX_MATRIZES!M58*100),0)</f>
        <v>4598.93885139783</v>
      </c>
      <c r="N10" s="18" t="n">
        <f aca="false">IFERROR(CHOOSE(MATCH($D$5,$AN$100:$AN$104,0),AUX_MATRIZES!N10,IFERROR(AUX_MATRIZES!N10/(AUX_MATRIZES!N22*MM_PARA_M3_HA),0),AUX_MATRIZES!N46,AUX_MATRIZES!N34,AUX_MATRIZES!N58*100),0)</f>
        <v>4870.04164705882</v>
      </c>
      <c r="O10" s="18" t="n">
        <f aca="false">IFERROR(CHOOSE(MATCH($D$5,$AN$100:$AN$104,0),AUX_MATRIZES!O10,IFERROR(AUX_MATRIZES!O10/(AUX_MATRIZES!O22*MM_PARA_M3_HA),0),AUX_MATRIZES!O46,AUX_MATRIZES!O34,AUX_MATRIZES!O58*100),0)</f>
        <v>4870.04164705882</v>
      </c>
      <c r="P10" s="18" t="n">
        <f aca="false">IFERROR(CHOOSE(MATCH($D$5,$AN$100:$AN$104,0),AUX_MATRIZES!P10,IFERROR(AUX_MATRIZES!P10/(AUX_MATRIZES!P22*MM_PARA_M3_HA),0),AUX_MATRIZES!P46,AUX_MATRIZES!P34,AUX_MATRIZES!P58*100),0)</f>
        <v>0</v>
      </c>
      <c r="Q10" s="18" t="n">
        <f aca="false">IFERROR(CHOOSE(MATCH($D$5,$AN$100:$AN$104,0),AUX_MATRIZES!Q10,IFERROR(AUX_MATRIZES!Q10/(AUX_MATRIZES!Q22*MM_PARA_M3_HA),0),AUX_MATRIZES!Q46,AUX_MATRIZES!Q34,AUX_MATRIZES!Q58*100),0)</f>
        <v>0</v>
      </c>
      <c r="R10" s="18" t="n">
        <f aca="false">IFERROR(CHOOSE(MATCH($D$5,$AN$100:$AN$104,0),AUX_MATRIZES!R10,IFERROR(AUX_MATRIZES!R10/(AUX_MATRIZES!R22*MM_PARA_M3_HA),0),AUX_MATRIZES!R46,AUX_MATRIZES!R34,AUX_MATRIZES!R58*100),0)</f>
        <v>0</v>
      </c>
      <c r="S10" s="18" t="n">
        <f aca="false">IFERROR(CHOOSE(MATCH($D$5,$AN$100:$AN$104,0),AUX_MATRIZES!S10,IFERROR(AUX_MATRIZES!S10/(AUX_MATRIZES!S22*MM_PARA_M3_HA),0),AUX_MATRIZES!S46,AUX_MATRIZES!S34,AUX_MATRIZES!S58*100),0)</f>
        <v>0</v>
      </c>
      <c r="T10" s="18" t="n">
        <f aca="false">IFERROR(CHOOSE(MATCH($D$5,$AN$100:$AN$104,0),AUX_MATRIZES!T10,IFERROR(AUX_MATRIZES!T10/(AUX_MATRIZES!T22*MM_PARA_M3_HA),0),AUX_MATRIZES!T46,AUX_MATRIZES!T34,AUX_MATRIZES!T58*100),0)</f>
        <v>530.509340450525</v>
      </c>
      <c r="U10" s="18" t="n">
        <f aca="false">IFERROR(CHOOSE(MATCH($D$5,$AN$100:$AN$104,0),AUX_MATRIZES!U10,IFERROR(AUX_MATRIZES!U10/(AUX_MATRIZES!U22*MM_PARA_M3_HA),0),AUX_MATRIZES!U46,AUX_MATRIZES!U34,AUX_MATRIZES!U58*100),0)</f>
        <v>0</v>
      </c>
      <c r="V10" s="18" t="n">
        <f aca="false">IFERROR(CHOOSE(MATCH($D$5,$AN$100:$AN$104,0),AUX_MATRIZES!V10,IFERROR(AUX_MATRIZES!V10/(AUX_MATRIZES!V22*MM_PARA_M3_HA),0),AUX_MATRIZES!V46,AUX_MATRIZES!V34,AUX_MATRIZES!V58*100),0)</f>
        <v>0</v>
      </c>
      <c r="W10" s="18" t="n">
        <f aca="false">IFERROR(CHOOSE(MATCH($D$5,$AN$100:$AN$104,0),AUX_MATRIZES!W10,IFERROR(AUX_MATRIZES!W10/(AUX_MATRIZES!W22*MM_PARA_M3_HA),0),AUX_MATRIZES!W46,AUX_MATRIZES!W34,AUX_MATRIZES!W58*100),0)</f>
        <v>0</v>
      </c>
      <c r="X10" s="18" t="n">
        <f aca="false">IFERROR(CHOOSE(MATCH($D$5,$AN$100:$AN$104,0),AUX_MATRIZES!X10,IFERROR(AUX_MATRIZES!X10/(AUX_MATRIZES!X22*MM_PARA_M3_HA),0),AUX_MATRIZES!X46,AUX_MATRIZES!X34,AUX_MATRIZES!X58*100),0)</f>
        <v>0</v>
      </c>
      <c r="Y10" s="18" t="n">
        <f aca="false">IFERROR(CHOOSE(MATCH($D$5,$AN$100:$AN$104,0),AUX_MATRIZES!Y10,IFERROR(AUX_MATRIZES!Y10/(AUX_MATRIZES!Y22*MM_PARA_M3_HA),0),AUX_MATRIZES!Y46,AUX_MATRIZES!Y34,AUX_MATRIZES!Y58*100),0)</f>
        <v>0</v>
      </c>
      <c r="Z10" s="18" t="n">
        <f aca="false">IFERROR(CHOOSE(MATCH($D$5,$AN$100:$AN$104,0),AUX_MATRIZES!Z10,IFERROR(AUX_MATRIZES!Z10/(AUX_MATRIZES!Z22*MM_PARA_M3_HA),0),AUX_MATRIZES!Z46,AUX_MATRIZES!Z34,AUX_MATRIZES!Z58*100),0)</f>
        <v>0</v>
      </c>
      <c r="AA10" s="18" t="n">
        <f aca="false">IFERROR(CHOOSE(MATCH($D$5,$AN$100:$AN$104,0),AUX_MATRIZES!AA10,IFERROR(AUX_MATRIZES!AA10/(AUX_MATRIZES!AA22*MM_PARA_M3_HA),0),AUX_MATRIZES!AA46,AUX_MATRIZES!AA34,AUX_MATRIZES!AA58*100),0)</f>
        <v>0</v>
      </c>
      <c r="AB10" s="18" t="n">
        <f aca="false">IFERROR(CHOOSE(MATCH($D$5,$AN$100:$AN$104,0),AUX_MATRIZES!AB10,IFERROR(AUX_MATRIZES!AB10/(AUX_MATRIZES!AB22*MM_PARA_M3_HA),0),AUX_MATRIZES!AB46,AUX_MATRIZES!AB34,AUX_MATRIZES!AB58*100),0)</f>
        <v>0</v>
      </c>
      <c r="AC10" s="18" t="n">
        <f aca="false">IFERROR(CHOOSE(MATCH($D$5,$AN$100:$AN$104,0),AUX_MATRIZES!AC10,IFERROR(AUX_MATRIZES!AC10/(AUX_MATRIZES!AC22*MM_PARA_M3_HA),0),AUX_MATRIZES!AC46,AUX_MATRIZES!AC34,AUX_MATRIZES!AC58*100),0)</f>
        <v>0</v>
      </c>
      <c r="AD10" s="18" t="n">
        <f aca="false">IFERROR(CHOOSE(MATCH($D$5,$AN$100:$AN$104,0),AUX_MATRIZES!AD10,IFERROR(AUX_MATRIZES!AD10/(AUX_MATRIZES!AD22*MM_PARA_M3_HA),0),AUX_MATRIZES!AD46,AUX_MATRIZES!AD34,AUX_MATRIZES!AD58*100),0)</f>
        <v>0</v>
      </c>
      <c r="AE10" s="18" t="n">
        <f aca="false">IFERROR(CHOOSE(MATCH($D$5,$AN$100:$AN$104,0),AUX_MATRIZES!AE10,IFERROR(AUX_MATRIZES!AE10/(AUX_MATRIZES!AE22*MM_PARA_M3_HA),0),AUX_MATRIZES!AE46,AUX_MATRIZES!AE34,AUX_MATRIZES!AE58*100),0)</f>
        <v>0</v>
      </c>
      <c r="AF10" s="18" t="n">
        <f aca="false">IFERROR(CHOOSE(MATCH($D$5,$AN$100:$AN$104,0),AUX_MATRIZES!AF10,IFERROR(AUX_MATRIZES!AF10/(AUX_MATRIZES!AF22*MM_PARA_M3_HA),0),AUX_MATRIZES!AF46,AUX_MATRIZES!AF34,AUX_MATRIZES!AF58*100),0)</f>
        <v>0</v>
      </c>
      <c r="AG10" s="18" t="n">
        <f aca="false">IFERROR(CHOOSE(MATCH($D$5,$AN$100:$AN$104,0),AUX_MATRIZES!AG10,IFERROR(AUX_MATRIZES!AG10/(AUX_MATRIZES!AG22*MM_PARA_M3_HA),0),AUX_MATRIZES!AG46,AUX_MATRIZES!AG34,AUX_MATRIZES!AG58*100),0)</f>
        <v>7736.53678524191</v>
      </c>
      <c r="AH10" s="18" t="n">
        <f aca="false">IFERROR(CHOOSE(MATCH($D$5,$AN$100:$AN$104,0),AUX_MATRIZES!AH10,IFERROR(AUX_MATRIZES!AH10/(AUX_MATRIZES!AH22*MM_PARA_M3_HA),0),AUX_MATRIZES!AH46,AUX_MATRIZES!AH34,AUX_MATRIZES!AH58*100),0)</f>
        <v>32012.5895676993</v>
      </c>
      <c r="AI10" s="18" t="n">
        <f aca="false">IFERROR(CHOOSE(MATCH($D$5,$AN$100:$AN$104,0),AUX_MATRIZES!AI10,IFERROR(AUX_MATRIZES!AI10/(AUX_MATRIZES!AI22*MM_PARA_M3_HA),0),AUX_MATRIZES!AI46,AUX_MATRIZES!AI34,AUX_MATRIZES!AI58*100),0)</f>
        <v>40108.2832676645</v>
      </c>
      <c r="AJ10" s="18" t="n">
        <f aca="false">IFERROR(CHOOSE(MATCH($D$5,$AN$100:$AN$104,0),AUX_MATRIZES!AJ10,IFERROR(AUX_MATRIZES!AJ10/(AUX_MATRIZES!AJ22*MM_PARA_M3_HA),0),AUX_MATRIZES!AJ46,AUX_MATRIZES!AJ34,AUX_MATRIZES!AJ58*100),0)</f>
        <v>48203.9769676296</v>
      </c>
      <c r="AK10" s="18" t="n">
        <f aca="false">IFERROR(CHOOSE(MATCH($D$5,$AN$100:$AN$104,0),AUX_MATRIZES!AK10,IFERROR(AUX_MATRIZES!AK10/(AUX_MATRIZES!AK22*MM_PARA_M3_HA),0),AUX_MATRIZES!AK46,AUX_MATRIZES!AK34,AUX_MATRIZES!AK58*100),0)</f>
        <v>59210.6783529412</v>
      </c>
      <c r="AL10" s="18" t="n">
        <f aca="false">IFERROR(CHOOSE(MATCH($D$5,$AN$100:$AN$104,0),AUX_MATRIZES!AL10,IFERROR(AUX_MATRIZES!AL10/(AUX_MATRIZES!AL22*MM_PARA_M3_HA),0),AUX_MATRIZES!AL46,AUX_MATRIZES!AL34,AUX_MATRIZES!AL58*100),0)</f>
        <v>72415.401882353</v>
      </c>
      <c r="AM10" s="18" t="n">
        <f aca="false">IFERROR(CHOOSE(MATCH($D$5,$AN$100:$AN$104,0),AUX_MATRIZES!AM10,IFERROR(AUX_MATRIZES!AM10/(AUX_MATRIZES!AM22*MM_PARA_M3_HA),0),AUX_MATRIZES!AM46,AUX_MATRIZES!AM34,AUX_MATRIZES!AM58*100),0)</f>
        <v>72415.401882353</v>
      </c>
      <c r="AN10" s="18" t="n">
        <f aca="false">IFERROR(CHOOSE(MATCH($D$5,$AN$100:$AN$104,0),AUX_MATRIZES!AN10,IFERROR(AUX_MATRIZES!AN10/(AUX_MATRIZES!AN22*MM_PARA_M3_HA),0),AUX_MATRIZES!AN46,AUX_MATRIZES!AN34,AUX_MATRIZES!AN58*100),0)</f>
        <v>72415.401882353</v>
      </c>
      <c r="AO10" s="18" t="n">
        <f aca="false">IFERROR(CHOOSE(MATCH($D$5,$AN$100:$AN$104,0),AUX_MATRIZES!AO10,IFERROR(AUX_MATRIZES!AO10/(AUX_MATRIZES!AO22*MM_PARA_M3_HA),0),AUX_MATRIZES!AO46,AUX_MATRIZES!AO34,AUX_MATRIZES!AO58*100),0)</f>
        <v>72415.401882353</v>
      </c>
      <c r="AP10" s="18" t="n">
        <f aca="false">IFERROR(CHOOSE(MATCH($D$5,$AN$100:$AN$104,0),AUX_MATRIZES!AP10,IFERROR(AUX_MATRIZES!AP10/(AUX_MATRIZES!AP22*MM_PARA_M3_HA),0),AUX_MATRIZES!AP46,AUX_MATRIZES!AP34,AUX_MATRIZES!AP58*100),0)</f>
        <v>72666.6988235294</v>
      </c>
      <c r="AQ10" s="18" t="n">
        <f aca="false">IFERROR(CHOOSE(MATCH($D$5,$AN$100:$AN$104,0),AUX_MATRIZES!AQ10,IFERROR(AUX_MATRIZES!AQ10/(AUX_MATRIZES!AQ22*MM_PARA_M3_HA),0),AUX_MATRIZES!AQ46,AUX_MATRIZES!AQ34,AUX_MATRIZES!AQ58*100),0)</f>
        <v>72708.5816470588</v>
      </c>
      <c r="AR10" s="18" t="n">
        <f aca="false">IFERROR(CHOOSE(MATCH($D$5,$AN$100:$AN$104,0),AUX_MATRIZES!AR10,IFERROR(AUX_MATRIZES!AR10/(AUX_MATRIZES!AR22*MM_PARA_M3_HA),0),AUX_MATRIZES!AR46,AUX_MATRIZES!AR34,AUX_MATRIZES!AR58*100),0)</f>
        <v>72708.5816470588</v>
      </c>
      <c r="AS10" s="18" t="n">
        <f aca="false">IFERROR(CHOOSE(MATCH($D$5,$AN$100:$AN$104,0),AUX_MATRIZES!AS10,IFERROR(AUX_MATRIZES!AS10/(AUX_MATRIZES!AS22*MM_PARA_M3_HA),0),AUX_MATRIZES!AS46,AUX_MATRIZES!AS34,AUX_MATRIZES!AS58*100),0)</f>
        <v>72708.5816470588</v>
      </c>
      <c r="AT10" s="18" t="n">
        <f aca="false">IFERROR(CHOOSE(MATCH($D$5,$AN$100:$AN$104,0),AUX_MATRIZES!AT10,IFERROR(AUX_MATRIZES!AT10/(AUX_MATRIZES!AT22*MM_PARA_M3_HA),0),AUX_MATRIZES!AT46,AUX_MATRIZES!AT34,AUX_MATRIZES!AT58*100),0)</f>
        <v>73292.520598147</v>
      </c>
      <c r="AU10" s="18" t="n">
        <f aca="false">IFERROR(CHOOSE(MATCH($D$5,$AN$100:$AN$104,0),AUX_MATRIZES!AU10,IFERROR(AUX_MATRIZES!AU10/(AUX_MATRIZES!AU22*MM_PARA_M3_HA),0),AUX_MATRIZES!AU46,AUX_MATRIZES!AU34,AUX_MATRIZES!AU58*100),0)</f>
        <v>71056.119306184</v>
      </c>
      <c r="AV10" s="18" t="n">
        <f aca="false">IFERROR(CHOOSE(MATCH($D$5,$AN$100:$AN$104,0),AUX_MATRIZES!AV10,IFERROR(AUX_MATRIZES!AV10/(AUX_MATRIZES!AV22*MM_PARA_M3_HA),0),AUX_MATRIZES!AV46,AUX_MATRIZES!AV34,AUX_MATRIZES!AV58*100),0)</f>
        <v>66117.585520362</v>
      </c>
      <c r="AW10" s="18" t="n">
        <f aca="false">IFERROR(CHOOSE(MATCH($D$5,$AN$100:$AN$104,0),AUX_MATRIZES!AW10,IFERROR(AUX_MATRIZES!AW10/(AUX_MATRIZES!AW22*MM_PARA_M3_HA),0),AUX_MATRIZES!AW46,AUX_MATRIZES!AW34,AUX_MATRIZES!AW58*100),0)</f>
        <v>61179.05173454</v>
      </c>
      <c r="AX10" s="18" t="n">
        <f aca="false">IFERROR(CHOOSE(MATCH($D$5,$AN$100:$AN$104,0),AUX_MATRIZES!AX10,IFERROR(AUX_MATRIZES!AX10/(AUX_MATRIZES!AX22*MM_PARA_M3_HA),0),AUX_MATRIZES!AX46,AUX_MATRIZES!AX34,AUX_MATRIZES!AX58*100),0)</f>
        <v>57849.4013566042</v>
      </c>
      <c r="AY10" s="18" t="n">
        <f aca="false">IFERROR(CHOOSE(MATCH($D$5,$AN$100:$AN$104,0),AUX_MATRIZES!AY10,IFERROR(AUX_MATRIZES!AY10/(AUX_MATRIZES!AY22*MM_PARA_M3_HA),0),AUX_MATRIZES!AY46,AUX_MATRIZES!AY34,AUX_MATRIZES!AY58*100),0)</f>
        <v>61530.5214117647</v>
      </c>
      <c r="AZ10" s="18" t="n">
        <f aca="false">IFERROR(CHOOSE(MATCH($D$5,$AN$100:$AN$104,0),AUX_MATRIZES!AZ10,IFERROR(AUX_MATRIZES!AZ10/(AUX_MATRIZES!AZ22*MM_PARA_M3_HA),0),AUX_MATRIZES!AZ46,AUX_MATRIZES!AZ34,AUX_MATRIZES!AZ58*100),0)</f>
        <v>55558.3410196078</v>
      </c>
      <c r="BA10" s="18" t="n">
        <f aca="false">IFERROR(CHOOSE(MATCH($D$5,$AN$100:$AN$104,0),AUX_MATRIZES!BA10,IFERROR(AUX_MATRIZES!BA10/(AUX_MATRIZES!BA22*MM_PARA_M3_HA),0),AUX_MATRIZES!BA46,AUX_MATRIZES!BA34,AUX_MATRIZES!BA58*100),0)</f>
        <v>49586.160627451</v>
      </c>
      <c r="BB10" s="18" t="n">
        <f aca="false">IFERROR(CHOOSE(MATCH($D$5,$AN$100:$AN$104,0),AUX_MATRIZES!BB10,IFERROR(AUX_MATRIZES!BB10/(AUX_MATRIZES!BB22*MM_PARA_M3_HA),0),AUX_MATRIZES!BB46,AUX_MATRIZES!BB34,AUX_MATRIZES!BB58*100),0)</f>
        <v>0</v>
      </c>
      <c r="BC10" s="18" t="n">
        <f aca="false">IFERROR(CHOOSE(MATCH($D$5,$AN$100:$AN$104,0),AUX_MATRIZES!BC10,IFERROR(AUX_MATRIZES!BC10/(AUX_MATRIZES!BC22*MM_PARA_M3_HA),0),AUX_MATRIZES!BC46,AUX_MATRIZES!BC34,AUX_MATRIZES!BC58*100),0)</f>
        <v>0</v>
      </c>
      <c r="BD10" s="18" t="n">
        <f aca="false">IFERROR(CHOOSE(MATCH($D$5,$AN$100:$AN$104,0),AUX_MATRIZES!BD10,IFERROR(AUX_MATRIZES!BD10/(AUX_MATRIZES!BD22*MM_PARA_M3_HA),0),AUX_MATRIZES!BD46,AUX_MATRIZES!BD34,AUX_MATRIZES!BD58*100),0)</f>
        <v>0</v>
      </c>
      <c r="BE10" s="18" t="n">
        <f aca="false">IFERROR(CHOOSE(MATCH($D$5,$AN$100:$AN$104,0),AUX_MATRIZES!BE10,IFERROR(AUX_MATRIZES!BE10/(AUX_MATRIZES!BE22*MM_PARA_M3_HA),0),AUX_MATRIZES!BE46,AUX_MATRIZES!BE34,AUX_MATRIZES!BE58*100),0)</f>
        <v>0</v>
      </c>
      <c r="BF10" s="18" t="n">
        <f aca="false">IFERROR(CHOOSE(MATCH($D$5,$AN$100:$AN$104,0),AUX_MATRIZES!BF10,IFERROR(AUX_MATRIZES!BF10/(AUX_MATRIZES!BF22*MM_PARA_M3_HA),0),AUX_MATRIZES!BF46,AUX_MATRIZES!BF34,AUX_MATRIZES!BF58*100),0)</f>
        <v>0</v>
      </c>
      <c r="BG10" s="18" t="n">
        <f aca="false">IFERROR(CHOOSE(MATCH($D$5,$AN$100:$AN$104,0),AUX_MATRIZES!BG10,IFERROR(AUX_MATRIZES!BG10/(AUX_MATRIZES!BG22*MM_PARA_M3_HA),0),AUX_MATRIZES!BG46,AUX_MATRIZES!BG34,AUX_MATRIZES!BG58*100),0)</f>
        <v>0</v>
      </c>
      <c r="BH10" s="18" t="n">
        <f aca="false">IFERROR(CHOOSE(MATCH($D$5,$AN$100:$AN$104,0),AUX_MATRIZES!BH10,IFERROR(AUX_MATRIZES!BH10/(AUX_MATRIZES!BH22*MM_PARA_M3_HA),0),AUX_MATRIZES!BH46,AUX_MATRIZES!BH34,AUX_MATRIZES!BH58*100),0)</f>
        <v>0</v>
      </c>
      <c r="BI10" s="18" t="n">
        <f aca="false">IFERROR(CHOOSE(MATCH($D$5,$AN$100:$AN$104,0),AUX_MATRIZES!BI10,IFERROR(AUX_MATRIZES!BI10/(AUX_MATRIZES!BI22*MM_PARA_M3_HA),0),AUX_MATRIZES!BI46,AUX_MATRIZES!BI34,AUX_MATRIZES!BI58*100),0)</f>
        <v>0</v>
      </c>
      <c r="BJ10" s="18" t="n">
        <f aca="false">IFERROR(CHOOSE(MATCH($D$5,$AN$100:$AN$104,0),AUX_MATRIZES!BJ10,IFERROR(AUX_MATRIZES!BJ10/(AUX_MATRIZES!BJ22*MM_PARA_M3_HA),0),AUX_MATRIZES!BJ46,AUX_MATRIZES!BJ34,AUX_MATRIZES!BJ58*100),0)</f>
        <v>0</v>
      </c>
      <c r="BK10" s="18" t="n">
        <f aca="false">IFERROR(CHOOSE(MATCH($D$5,$AN$100:$AN$104,0),AUX_MATRIZES!BK10,IFERROR(AUX_MATRIZES!BK10/(AUX_MATRIZES!BK22*MM_PARA_M3_HA),0),AUX_MATRIZES!BK46,AUX_MATRIZES!BK34,AUX_MATRIZES!BK58*100),0)</f>
        <v>0</v>
      </c>
      <c r="BL10" s="18" t="n">
        <f aca="false">IFERROR(CHOOSE(MATCH($D$5,$AN$100:$AN$104,0),AUX_MATRIZES!BL10,IFERROR(AUX_MATRIZES!BL10/(AUX_MATRIZES!BL22*MM_PARA_M3_HA),0),AUX_MATRIZES!BL46,AUX_MATRIZES!BL34,AUX_MATRIZES!BL58*100),0)</f>
        <v>0</v>
      </c>
      <c r="BM10" s="18" t="n">
        <f aca="false">IFERROR(CHOOSE(MATCH($D$5,$AN$100:$AN$104,0),AUX_MATRIZES!BM10,IFERROR(AUX_MATRIZES!BM10/(AUX_MATRIZES!BM22*MM_PARA_M3_HA),0),AUX_MATRIZES!BM46,AUX_MATRIZES!BM34,AUX_MATRIZES!BM58*100),0)</f>
        <v>0</v>
      </c>
      <c r="BN10" s="18" t="n">
        <f aca="false">IFERROR(CHOOSE(MATCH($D$5,$AN$100:$AN$104,0),AUX_MATRIZES!BN10,IFERROR(AUX_MATRIZES!BN10/(AUX_MATRIZES!BN22*MM_PARA_M3_HA),0),AUX_MATRIZES!BN46,AUX_MATRIZES!BN34,AUX_MATRIZES!BN58*100),0)</f>
        <v>0</v>
      </c>
      <c r="BO10" s="18" t="n">
        <f aca="false">IFERROR(CHOOSE(MATCH($D$5,$AN$100:$AN$104,0),AUX_MATRIZES!BO10,IFERROR(AUX_MATRIZES!BO10/(AUX_MATRIZES!BO22*MM_PARA_M3_HA),0),AUX_MATRIZES!BO46,AUX_MATRIZES!BO34,AUX_MATRIZES!BO58*100),0)</f>
        <v>0</v>
      </c>
      <c r="BP10" s="18" t="n">
        <f aca="false">IFERROR(CHOOSE(MATCH($D$5,$AN$100:$AN$104,0),AUX_MATRIZES!BP10,IFERROR(AUX_MATRIZES!BP10/(AUX_MATRIZES!BP22*MM_PARA_M3_HA),0),AUX_MATRIZES!BP46,AUX_MATRIZES!BP34,AUX_MATRIZES!BP58*100),0)</f>
        <v>0</v>
      </c>
    </row>
    <row r="11" customFormat="false" ht="15" hidden="false" customHeight="false" outlineLevel="0" collapsed="false">
      <c r="B11" s="15" t="s">
        <v>131</v>
      </c>
      <c r="C11" s="18" t="n">
        <f aca="false">IFERROR(CHOOSE(MATCH($D$5,$AN$100:$AN$104,0),AUX_MATRIZES!C11,IFERROR(AUX_MATRIZES!C11/(AUX_MATRIZES!C23*MM_PARA_M3_HA),0),AUX_MATRIZES!C47,AUX_MATRIZES!C35,AUX_MATRIZES!C59*100),0)</f>
        <v>45952.144</v>
      </c>
      <c r="D11" s="18" t="n">
        <f aca="false">IFERROR(CHOOSE(MATCH($D$5,$AN$100:$AN$104,0),AUX_MATRIZES!D11,IFERROR(AUX_MATRIZES!D11/(AUX_MATRIZES!D23*MM_PARA_M3_HA),0),AUX_MATRIZES!D47,AUX_MATRIZES!D35,AUX_MATRIZES!D59*100),0)</f>
        <v>48375.0152941176</v>
      </c>
      <c r="E11" s="18" t="n">
        <f aca="false">IFERROR(CHOOSE(MATCH($D$5,$AN$100:$AN$104,0),AUX_MATRIZES!E11,IFERROR(AUX_MATRIZES!E11/(AUX_MATRIZES!E23*MM_PARA_M3_HA),0),AUX_MATRIZES!E47,AUX_MATRIZES!E35,AUX_MATRIZES!E59*100),0)</f>
        <v>48375.0152941176</v>
      </c>
      <c r="F11" s="18" t="n">
        <f aca="false">IFERROR(CHOOSE(MATCH($D$5,$AN$100:$AN$104,0),AUX_MATRIZES!F11,IFERROR(AUX_MATRIZES!F11/(AUX_MATRIZES!F23*MM_PARA_M3_HA),0),AUX_MATRIZES!F47,AUX_MATRIZES!F35,AUX_MATRIZES!F59*100),0)</f>
        <v>48375.0152941176</v>
      </c>
      <c r="G11" s="18" t="n">
        <f aca="false">IFERROR(CHOOSE(MATCH($D$5,$AN$100:$AN$104,0),AUX_MATRIZES!G11,IFERROR(AUX_MATRIZES!G11/(AUX_MATRIZES!G23*MM_PARA_M3_HA),0),AUX_MATRIZES!G47,AUX_MATRIZES!G35,AUX_MATRIZES!G59*100),0)</f>
        <v>39291.7032941176</v>
      </c>
      <c r="H11" s="18" t="n">
        <f aca="false">IFERROR(CHOOSE(MATCH($D$5,$AN$100:$AN$104,0),AUX_MATRIZES!H11,IFERROR(AUX_MATRIZES!H11/(AUX_MATRIZES!H23*MM_PARA_M3_HA),0),AUX_MATRIZES!H47,AUX_MATRIZES!H35,AUX_MATRIZES!H59*100),0)</f>
        <v>27558.1007058823</v>
      </c>
      <c r="I11" s="18" t="n">
        <f aca="false">IFERROR(CHOOSE(MATCH($D$5,$AN$100:$AN$104,0),AUX_MATRIZES!I11,IFERROR(AUX_MATRIZES!I11/(AUX_MATRIZES!I23*MM_PARA_M3_HA),0),AUX_MATRIZES!I47,AUX_MATRIZES!I35,AUX_MATRIZES!I59*100),0)</f>
        <v>27558.1007058823</v>
      </c>
      <c r="J11" s="18" t="n">
        <f aca="false">IFERROR(CHOOSE(MATCH($D$5,$AN$100:$AN$104,0),AUX_MATRIZES!J11,IFERROR(AUX_MATRIZES!J11/(AUX_MATRIZES!J23*MM_PARA_M3_HA),0),AUX_MATRIZES!J47,AUX_MATRIZES!J35,AUX_MATRIZES!J59*100),0)</f>
        <v>34101.1026539238</v>
      </c>
      <c r="K11" s="18" t="n">
        <f aca="false">IFERROR(CHOOSE(MATCH($D$5,$AN$100:$AN$104,0),AUX_MATRIZES!K11,IFERROR(AUX_MATRIZES!K11/(AUX_MATRIZES!K23*MM_PARA_M3_HA),0),AUX_MATRIZES!K47,AUX_MATRIZES!K35,AUX_MATRIZES!K59*100),0)</f>
        <v>40601.5190841048</v>
      </c>
      <c r="L11" s="18" t="n">
        <f aca="false">IFERROR(CHOOSE(MATCH($D$5,$AN$100:$AN$104,0),AUX_MATRIZES!L11,IFERROR(AUX_MATRIZES!L11/(AUX_MATRIZES!L23*MM_PARA_M3_HA),0),AUX_MATRIZES!L47,AUX_MATRIZES!L35,AUX_MATRIZES!L59*100),0)</f>
        <v>0</v>
      </c>
      <c r="M11" s="18" t="n">
        <f aca="false">IFERROR(CHOOSE(MATCH($D$5,$AN$100:$AN$104,0),AUX_MATRIZES!M11,IFERROR(AUX_MATRIZES!M11/(AUX_MATRIZES!M23*MM_PARA_M3_HA),0),AUX_MATRIZES!M47,AUX_MATRIZES!M35,AUX_MATRIZES!M59*100),0)</f>
        <v>5181.0368235294</v>
      </c>
      <c r="N11" s="18" t="n">
        <f aca="false">IFERROR(CHOOSE(MATCH($D$5,$AN$100:$AN$104,0),AUX_MATRIZES!N11,IFERROR(AUX_MATRIZES!N11/(AUX_MATRIZES!N23*MM_PARA_M3_HA),0),AUX_MATRIZES!N47,AUX_MATRIZES!N35,AUX_MATRIZES!N59*100),0)</f>
        <v>5181.0368235294</v>
      </c>
      <c r="O11" s="18" t="n">
        <f aca="false">IFERROR(CHOOSE(MATCH($D$5,$AN$100:$AN$104,0),AUX_MATRIZES!O11,IFERROR(AUX_MATRIZES!O11/(AUX_MATRIZES!O23*MM_PARA_M3_HA),0),AUX_MATRIZES!O47,AUX_MATRIZES!O35,AUX_MATRIZES!O59*100),0)</f>
        <v>5181.0368235294</v>
      </c>
      <c r="P11" s="18" t="n">
        <f aca="false">IFERROR(CHOOSE(MATCH($D$5,$AN$100:$AN$104,0),AUX_MATRIZES!P11,IFERROR(AUX_MATRIZES!P11/(AUX_MATRIZES!P23*MM_PARA_M3_HA),0),AUX_MATRIZES!P47,AUX_MATRIZES!P35,AUX_MATRIZES!P59*100),0)</f>
        <v>0</v>
      </c>
      <c r="Q11" s="18" t="n">
        <f aca="false">IFERROR(CHOOSE(MATCH($D$5,$AN$100:$AN$104,0),AUX_MATRIZES!Q11,IFERROR(AUX_MATRIZES!Q11/(AUX_MATRIZES!Q23*MM_PARA_M3_HA),0),AUX_MATRIZES!Q47,AUX_MATRIZES!Q35,AUX_MATRIZES!Q59*100),0)</f>
        <v>0</v>
      </c>
      <c r="R11" s="18" t="n">
        <f aca="false">IFERROR(CHOOSE(MATCH($D$5,$AN$100:$AN$104,0),AUX_MATRIZES!R11,IFERROR(AUX_MATRIZES!R11/(AUX_MATRIZES!R23*MM_PARA_M3_HA),0),AUX_MATRIZES!R47,AUX_MATRIZES!R35,AUX_MATRIZES!R59*100),0)</f>
        <v>0</v>
      </c>
      <c r="S11" s="18" t="n">
        <f aca="false">IFERROR(CHOOSE(MATCH($D$5,$AN$100:$AN$104,0),AUX_MATRIZES!S11,IFERROR(AUX_MATRIZES!S11/(AUX_MATRIZES!S23*MM_PARA_M3_HA),0),AUX_MATRIZES!S47,AUX_MATRIZES!S35,AUX_MATRIZES!S59*100),0)</f>
        <v>0</v>
      </c>
      <c r="T11" s="18" t="n">
        <f aca="false">IFERROR(CHOOSE(MATCH($D$5,$AN$100:$AN$104,0),AUX_MATRIZES!T11,IFERROR(AUX_MATRIZES!T11/(AUX_MATRIZES!T23*MM_PARA_M3_HA),0),AUX_MATRIZES!T47,AUX_MATRIZES!T35,AUX_MATRIZES!T59*100),0)</f>
        <v>0</v>
      </c>
      <c r="U11" s="18" t="n">
        <f aca="false">IFERROR(CHOOSE(MATCH($D$5,$AN$100:$AN$104,0),AUX_MATRIZES!U11,IFERROR(AUX_MATRIZES!U11/(AUX_MATRIZES!U23*MM_PARA_M3_HA),0),AUX_MATRIZES!U47,AUX_MATRIZES!U35,AUX_MATRIZES!U59*100),0)</f>
        <v>0</v>
      </c>
      <c r="V11" s="18" t="n">
        <f aca="false">IFERROR(CHOOSE(MATCH($D$5,$AN$100:$AN$104,0),AUX_MATRIZES!V11,IFERROR(AUX_MATRIZES!V11/(AUX_MATRIZES!V23*MM_PARA_M3_HA),0),AUX_MATRIZES!V47,AUX_MATRIZES!V35,AUX_MATRIZES!V59*100),0)</f>
        <v>0</v>
      </c>
      <c r="W11" s="18" t="n">
        <f aca="false">IFERROR(CHOOSE(MATCH($D$5,$AN$100:$AN$104,0),AUX_MATRIZES!W11,IFERROR(AUX_MATRIZES!W11/(AUX_MATRIZES!W23*MM_PARA_M3_HA),0),AUX_MATRIZES!W47,AUX_MATRIZES!W35,AUX_MATRIZES!W59*100),0)</f>
        <v>0</v>
      </c>
      <c r="X11" s="18" t="n">
        <f aca="false">IFERROR(CHOOSE(MATCH($D$5,$AN$100:$AN$104,0),AUX_MATRIZES!X11,IFERROR(AUX_MATRIZES!X11/(AUX_MATRIZES!X23*MM_PARA_M3_HA),0),AUX_MATRIZES!X47,AUX_MATRIZES!X35,AUX_MATRIZES!X59*100),0)</f>
        <v>0</v>
      </c>
      <c r="Y11" s="18" t="n">
        <f aca="false">IFERROR(CHOOSE(MATCH($D$5,$AN$100:$AN$104,0),AUX_MATRIZES!Y11,IFERROR(AUX_MATRIZES!Y11/(AUX_MATRIZES!Y23*MM_PARA_M3_HA),0),AUX_MATRIZES!Y47,AUX_MATRIZES!Y35,AUX_MATRIZES!Y59*100),0)</f>
        <v>0</v>
      </c>
      <c r="Z11" s="18" t="n">
        <f aca="false">IFERROR(CHOOSE(MATCH($D$5,$AN$100:$AN$104,0),AUX_MATRIZES!Z11,IFERROR(AUX_MATRIZES!Z11/(AUX_MATRIZES!Z23*MM_PARA_M3_HA),0),AUX_MATRIZES!Z47,AUX_MATRIZES!Z35,AUX_MATRIZES!Z59*100),0)</f>
        <v>1868.08175333564</v>
      </c>
      <c r="AA11" s="18" t="n">
        <f aca="false">IFERROR(CHOOSE(MATCH($D$5,$AN$100:$AN$104,0),AUX_MATRIZES!AA11,IFERROR(AUX_MATRIZES!AA11/(AUX_MATRIZES!AA23*MM_PARA_M3_HA),0),AUX_MATRIZES!AA47,AUX_MATRIZES!AA35,AUX_MATRIZES!AA59*100),0)</f>
        <v>11860.3244986657</v>
      </c>
      <c r="AB11" s="18" t="n">
        <f aca="false">IFERROR(CHOOSE(MATCH($D$5,$AN$100:$AN$104,0),AUX_MATRIZES!AB11,IFERROR(AUX_MATRIZES!AB11/(AUX_MATRIZES!AB23*MM_PARA_M3_HA),0),AUX_MATRIZES!AB47,AUX_MATRIZES!AB35,AUX_MATRIZES!AB59*100),0)</f>
        <v>20262.9608323471</v>
      </c>
      <c r="AC11" s="18" t="n">
        <f aca="false">IFERROR(CHOOSE(MATCH($D$5,$AN$100:$AN$104,0),AUX_MATRIZES!AC11,IFERROR(AUX_MATRIZES!AC11/(AUX_MATRIZES!AC23*MM_PARA_M3_HA),0),AUX_MATRIZES!AC47,AUX_MATRIZES!AC35,AUX_MATRIZES!AC59*100),0)</f>
        <v>28014.466117647</v>
      </c>
      <c r="AD11" s="18" t="n">
        <f aca="false">IFERROR(CHOOSE(MATCH($D$5,$AN$100:$AN$104,0),AUX_MATRIZES!AD11,IFERROR(AUX_MATRIZES!AD11/(AUX_MATRIZES!AD23*MM_PARA_M3_HA),0),AUX_MATRIZES!AD47,AUX_MATRIZES!AD35,AUX_MATRIZES!AD59*100),0)</f>
        <v>28014.466117647</v>
      </c>
      <c r="AE11" s="18" t="n">
        <f aca="false">IFERROR(CHOOSE(MATCH($D$5,$AN$100:$AN$104,0),AUX_MATRIZES!AE11,IFERROR(AUX_MATRIZES!AE11/(AUX_MATRIZES!AE23*MM_PARA_M3_HA),0),AUX_MATRIZES!AE47,AUX_MATRIZES!AE35,AUX_MATRIZES!AE59*100),0)</f>
        <v>28014.466117647</v>
      </c>
      <c r="AF11" s="18" t="n">
        <f aca="false">IFERROR(CHOOSE(MATCH($D$5,$AN$100:$AN$104,0),AUX_MATRIZES!AF11,IFERROR(AUX_MATRIZES!AF11/(AUX_MATRIZES!AF23*MM_PARA_M3_HA),0),AUX_MATRIZES!AF47,AUX_MATRIZES!AF35,AUX_MATRIZES!AF59*100),0)</f>
        <v>28014.466117647</v>
      </c>
      <c r="AG11" s="18" t="n">
        <f aca="false">IFERROR(CHOOSE(MATCH($D$5,$AN$100:$AN$104,0),AUX_MATRIZES!AG11,IFERROR(AUX_MATRIZES!AG11/(AUX_MATRIZES!AG23*MM_PARA_M3_HA),0),AUX_MATRIZES!AG47,AUX_MATRIZES!AG35,AUX_MATRIZES!AG59*100),0)</f>
        <v>73213.4894401258</v>
      </c>
      <c r="AH11" s="18" t="n">
        <f aca="false">IFERROR(CHOOSE(MATCH($D$5,$AN$100:$AN$104,0),AUX_MATRIZES!AH11,IFERROR(AUX_MATRIZES!AH11/(AUX_MATRIZES!AH23*MM_PARA_M3_HA),0),AUX_MATRIZES!AH47,AUX_MATRIZES!AH35,AUX_MATRIZES!AH59*100),0)</f>
        <v>125640.372091116</v>
      </c>
      <c r="AI11" s="18" t="n">
        <f aca="false">IFERROR(CHOOSE(MATCH($D$5,$AN$100:$AN$104,0),AUX_MATRIZES!AI11,IFERROR(AUX_MATRIZES!AI11/(AUX_MATRIZES!AI23*MM_PARA_M3_HA),0),AUX_MATRIZES!AI47,AUX_MATRIZES!AI35,AUX_MATRIZES!AI59*100),0)</f>
        <v>134430.642733496</v>
      </c>
      <c r="AJ11" s="18" t="n">
        <f aca="false">IFERROR(CHOOSE(MATCH($D$5,$AN$100:$AN$104,0),AUX_MATRIZES!AJ11,IFERROR(AUX_MATRIZES!AJ11/(AUX_MATRIZES!AJ23*MM_PARA_M3_HA),0),AUX_MATRIZES!AJ47,AUX_MATRIZES!AJ35,AUX_MATRIZES!AJ59*100),0)</f>
        <v>143220.913375875</v>
      </c>
      <c r="AK11" s="18" t="n">
        <f aca="false">IFERROR(CHOOSE(MATCH($D$5,$AN$100:$AN$104,0),AUX_MATRIZES!AK11,IFERROR(AUX_MATRIZES!AK11/(AUX_MATRIZES!AK23*MM_PARA_M3_HA),0),AUX_MATRIZES!AK47,AUX_MATRIZES!AK35,AUX_MATRIZES!AK59*100),0)</f>
        <v>155950.966308985</v>
      </c>
      <c r="AL11" s="18" t="n">
        <f aca="false">IFERROR(CHOOSE(MATCH($D$5,$AN$100:$AN$104,0),AUX_MATRIZES!AL11,IFERROR(AUX_MATRIZES!AL11/(AUX_MATRIZES!AL23*MM_PARA_M3_HA),0),AUX_MATRIZES!AL47,AUX_MATRIZES!AL35,AUX_MATRIZES!AL59*100),0)</f>
        <v>184696.767420815</v>
      </c>
      <c r="AM11" s="18" t="n">
        <f aca="false">IFERROR(CHOOSE(MATCH($D$5,$AN$100:$AN$104,0),AUX_MATRIZES!AM11,IFERROR(AUX_MATRIZES!AM11/(AUX_MATRIZES!AM23*MM_PARA_M3_HA),0),AUX_MATRIZES!AM47,AUX_MATRIZES!AM35,AUX_MATRIZES!AM59*100),0)</f>
        <v>176672.984162896</v>
      </c>
      <c r="AN11" s="18" t="n">
        <f aca="false">IFERROR(CHOOSE(MATCH($D$5,$AN$100:$AN$104,0),AUX_MATRIZES!AN11,IFERROR(AUX_MATRIZES!AN11/(AUX_MATRIZES!AN23*MM_PARA_M3_HA),0),AUX_MATRIZES!AN47,AUX_MATRIZES!AN35,AUX_MATRIZES!AN59*100),0)</f>
        <v>168649.200904977</v>
      </c>
      <c r="AO11" s="18" t="n">
        <f aca="false">IFERROR(CHOOSE(MATCH($D$5,$AN$100:$AN$104,0),AUX_MATRIZES!AO11,IFERROR(AUX_MATRIZES!AO11/(AUX_MATRIZES!AO23*MM_PARA_M3_HA),0),AUX_MATRIZES!AO47,AUX_MATRIZES!AO35,AUX_MATRIZES!AO59*100),0)</f>
        <v>160625.417647059</v>
      </c>
      <c r="AP11" s="18" t="n">
        <f aca="false">IFERROR(CHOOSE(MATCH($D$5,$AN$100:$AN$104,0),AUX_MATRIZES!AP11,IFERROR(AUX_MATRIZES!AP11/(AUX_MATRIZES!AP23*MM_PARA_M3_HA),0),AUX_MATRIZES!AP47,AUX_MATRIZES!AP35,AUX_MATRIZES!AP59*100),0)</f>
        <v>155119.435242405</v>
      </c>
      <c r="AQ11" s="18" t="n">
        <f aca="false">IFERROR(CHOOSE(MATCH($D$5,$AN$100:$AN$104,0),AUX_MATRIZES!AQ11,IFERROR(AUX_MATRIZES!AQ11/(AUX_MATRIZES!AQ23*MM_PARA_M3_HA),0),AUX_MATRIZES!AQ47,AUX_MATRIZES!AQ35,AUX_MATRIZES!AQ59*100),0)</f>
        <v>147897.370377074</v>
      </c>
      <c r="AR11" s="18" t="n">
        <f aca="false">IFERROR(CHOOSE(MATCH($D$5,$AN$100:$AN$104,0),AUX_MATRIZES!AR11,IFERROR(AUX_MATRIZES!AR11/(AUX_MATRIZES!AR23*MM_PARA_M3_HA),0),AUX_MATRIZES!AR47,AUX_MATRIZES!AR35,AUX_MATRIZES!AR59*100),0)</f>
        <v>98333.8252066365</v>
      </c>
      <c r="AS11" s="18" t="n">
        <f aca="false">IFERROR(CHOOSE(MATCH($D$5,$AN$100:$AN$104,0),AUX_MATRIZES!AS11,IFERROR(AUX_MATRIZES!AS11/(AUX_MATRIZES!AS23*MM_PARA_M3_HA),0),AUX_MATRIZES!AS47,AUX_MATRIZES!AS35,AUX_MATRIZES!AS59*100),0)</f>
        <v>94392.3636078431</v>
      </c>
      <c r="AT11" s="18" t="n">
        <f aca="false">IFERROR(CHOOSE(MATCH($D$5,$AN$100:$AN$104,0),AUX_MATRIZES!AT11,IFERROR(AUX_MATRIZES!AT11/(AUX_MATRIZES!AT23*MM_PARA_M3_HA),0),AUX_MATRIZES!AT47,AUX_MATRIZES!AT35,AUX_MATRIZES!AT59*100),0)</f>
        <v>74172.4343339797</v>
      </c>
      <c r="AU11" s="18" t="n">
        <f aca="false">IFERROR(CHOOSE(MATCH($D$5,$AN$100:$AN$104,0),AUX_MATRIZES!AU11,IFERROR(AUX_MATRIZES!AU11/(AUX_MATRIZES!AU23*MM_PARA_M3_HA),0),AUX_MATRIZES!AU47,AUX_MATRIZES!AU35,AUX_MATRIZES!AU59*100),0)</f>
        <v>71141.2077435897</v>
      </c>
      <c r="AV11" s="18" t="n">
        <f aca="false">IFERROR(CHOOSE(MATCH($D$5,$AN$100:$AN$104,0),AUX_MATRIZES!AV11,IFERROR(AUX_MATRIZES!AV11/(AUX_MATRIZES!AV23*MM_PARA_M3_HA),0),AUX_MATRIZES!AV47,AUX_MATRIZES!AV35,AUX_MATRIZES!AV59*100),0)</f>
        <v>65352.4311312217</v>
      </c>
      <c r="AW11" s="18" t="n">
        <f aca="false">IFERROR(CHOOSE(MATCH($D$5,$AN$100:$AN$104,0),AUX_MATRIZES!AW11,IFERROR(AUX_MATRIZES!AW11/(AUX_MATRIZES!AW23*MM_PARA_M3_HA),0),AUX_MATRIZES!AW47,AUX_MATRIZES!AW35,AUX_MATRIZES!AW59*100),0)</f>
        <v>59563.6545188537</v>
      </c>
      <c r="AX11" s="18" t="n">
        <f aca="false">IFERROR(CHOOSE(MATCH($D$5,$AN$100:$AN$104,0),AUX_MATRIZES!AX11,IFERROR(AUX_MATRIZES!AX11/(AUX_MATRIZES!AX23*MM_PARA_M3_HA),0),AUX_MATRIZES!AX47,AUX_MATRIZES!AX35,AUX_MATRIZES!AX59*100),0)</f>
        <v>55305.3936117216</v>
      </c>
      <c r="AY11" s="18" t="n">
        <f aca="false">IFERROR(CHOOSE(MATCH($D$5,$AN$100:$AN$104,0),AUX_MATRIZES!AY11,IFERROR(AUX_MATRIZES!AY11/(AUX_MATRIZES!AY23*MM_PARA_M3_HA),0),AUX_MATRIZES!AY47,AUX_MATRIZES!AY35,AUX_MATRIZES!AY59*100),0)</f>
        <v>33272.6274509804</v>
      </c>
      <c r="AZ11" s="18" t="n">
        <f aca="false">IFERROR(CHOOSE(MATCH($D$5,$AN$100:$AN$104,0),AUX_MATRIZES!AZ11,IFERROR(AUX_MATRIZES!AZ11/(AUX_MATRIZES!AZ23*MM_PARA_M3_HA),0),AUX_MATRIZES!AZ47,AUX_MATRIZES!AZ35,AUX_MATRIZES!AZ59*100),0)</f>
        <v>29951.0588235294</v>
      </c>
      <c r="BA11" s="18" t="n">
        <f aca="false">IFERROR(CHOOSE(MATCH($D$5,$AN$100:$AN$104,0),AUX_MATRIZES!BA11,IFERROR(AUX_MATRIZES!BA11/(AUX_MATRIZES!BA23*MM_PARA_M3_HA),0),AUX_MATRIZES!BA47,AUX_MATRIZES!BA35,AUX_MATRIZES!BA59*100),0)</f>
        <v>0</v>
      </c>
      <c r="BB11" s="18" t="n">
        <f aca="false">IFERROR(CHOOSE(MATCH($D$5,$AN$100:$AN$104,0),AUX_MATRIZES!BB11,IFERROR(AUX_MATRIZES!BB11/(AUX_MATRIZES!BB23*MM_PARA_M3_HA),0),AUX_MATRIZES!BB47,AUX_MATRIZES!BB35,AUX_MATRIZES!BB59*100),0)</f>
        <v>0</v>
      </c>
      <c r="BC11" s="18" t="n">
        <f aca="false">IFERROR(CHOOSE(MATCH($D$5,$AN$100:$AN$104,0),AUX_MATRIZES!BC11,IFERROR(AUX_MATRIZES!BC11/(AUX_MATRIZES!BC23*MM_PARA_M3_HA),0),AUX_MATRIZES!BC47,AUX_MATRIZES!BC35,AUX_MATRIZES!BC59*100),0)</f>
        <v>0</v>
      </c>
      <c r="BD11" s="18" t="n">
        <f aca="false">IFERROR(CHOOSE(MATCH($D$5,$AN$100:$AN$104,0),AUX_MATRIZES!BD11,IFERROR(AUX_MATRIZES!BD11/(AUX_MATRIZES!BD23*MM_PARA_M3_HA),0),AUX_MATRIZES!BD47,AUX_MATRIZES!BD35,AUX_MATRIZES!BD59*100),0)</f>
        <v>0</v>
      </c>
      <c r="BE11" s="18" t="n">
        <f aca="false">IFERROR(CHOOSE(MATCH($D$5,$AN$100:$AN$104,0),AUX_MATRIZES!BE11,IFERROR(AUX_MATRIZES!BE11/(AUX_MATRIZES!BE23*MM_PARA_M3_HA),0),AUX_MATRIZES!BE47,AUX_MATRIZES!BE35,AUX_MATRIZES!BE59*100),0)</f>
        <v>0</v>
      </c>
      <c r="BF11" s="18" t="n">
        <f aca="false">IFERROR(CHOOSE(MATCH($D$5,$AN$100:$AN$104,0),AUX_MATRIZES!BF11,IFERROR(AUX_MATRIZES!BF11/(AUX_MATRIZES!BF23*MM_PARA_M3_HA),0),AUX_MATRIZES!BF47,AUX_MATRIZES!BF35,AUX_MATRIZES!BF59*100),0)</f>
        <v>0</v>
      </c>
      <c r="BG11" s="18" t="n">
        <f aca="false">IFERROR(CHOOSE(MATCH($D$5,$AN$100:$AN$104,0),AUX_MATRIZES!BG11,IFERROR(AUX_MATRIZES!BG11/(AUX_MATRIZES!BG23*MM_PARA_M3_HA),0),AUX_MATRIZES!BG47,AUX_MATRIZES!BG35,AUX_MATRIZES!BG59*100),0)</f>
        <v>0</v>
      </c>
      <c r="BH11" s="18" t="n">
        <f aca="false">IFERROR(CHOOSE(MATCH($D$5,$AN$100:$AN$104,0),AUX_MATRIZES!BH11,IFERROR(AUX_MATRIZES!BH11/(AUX_MATRIZES!BH23*MM_PARA_M3_HA),0),AUX_MATRIZES!BH47,AUX_MATRIZES!BH35,AUX_MATRIZES!BH59*100),0)</f>
        <v>0</v>
      </c>
      <c r="BI11" s="18" t="n">
        <f aca="false">IFERROR(CHOOSE(MATCH($D$5,$AN$100:$AN$104,0),AUX_MATRIZES!BI11,IFERROR(AUX_MATRIZES!BI11/(AUX_MATRIZES!BI23*MM_PARA_M3_HA),0),AUX_MATRIZES!BI47,AUX_MATRIZES!BI35,AUX_MATRIZES!BI59*100),0)</f>
        <v>0</v>
      </c>
      <c r="BJ11" s="18" t="n">
        <f aca="false">IFERROR(CHOOSE(MATCH($D$5,$AN$100:$AN$104,0),AUX_MATRIZES!BJ11,IFERROR(AUX_MATRIZES!BJ11/(AUX_MATRIZES!BJ23*MM_PARA_M3_HA),0),AUX_MATRIZES!BJ47,AUX_MATRIZES!BJ35,AUX_MATRIZES!BJ59*100),0)</f>
        <v>0</v>
      </c>
      <c r="BK11" s="18" t="n">
        <f aca="false">IFERROR(CHOOSE(MATCH($D$5,$AN$100:$AN$104,0),AUX_MATRIZES!BK11,IFERROR(AUX_MATRIZES!BK11/(AUX_MATRIZES!BK23*MM_PARA_M3_HA),0),AUX_MATRIZES!BK47,AUX_MATRIZES!BK35,AUX_MATRIZES!BK59*100),0)</f>
        <v>0</v>
      </c>
      <c r="BL11" s="18" t="n">
        <f aca="false">IFERROR(CHOOSE(MATCH($D$5,$AN$100:$AN$104,0),AUX_MATRIZES!BL11,IFERROR(AUX_MATRIZES!BL11/(AUX_MATRIZES!BL23*MM_PARA_M3_HA),0),AUX_MATRIZES!BL47,AUX_MATRIZES!BL35,AUX_MATRIZES!BL59*100),0)</f>
        <v>0</v>
      </c>
      <c r="BM11" s="18" t="n">
        <f aca="false">IFERROR(CHOOSE(MATCH($D$5,$AN$100:$AN$104,0),AUX_MATRIZES!BM11,IFERROR(AUX_MATRIZES!BM11/(AUX_MATRIZES!BM23*MM_PARA_M3_HA),0),AUX_MATRIZES!BM47,AUX_MATRIZES!BM35,AUX_MATRIZES!BM59*100),0)</f>
        <v>0</v>
      </c>
      <c r="BN11" s="18" t="n">
        <f aca="false">IFERROR(CHOOSE(MATCH($D$5,$AN$100:$AN$104,0),AUX_MATRIZES!BN11,IFERROR(AUX_MATRIZES!BN11/(AUX_MATRIZES!BN23*MM_PARA_M3_HA),0),AUX_MATRIZES!BN47,AUX_MATRIZES!BN35,AUX_MATRIZES!BN59*100),0)</f>
        <v>0</v>
      </c>
      <c r="BO11" s="18" t="n">
        <f aca="false">IFERROR(CHOOSE(MATCH($D$5,$AN$100:$AN$104,0),AUX_MATRIZES!BO11,IFERROR(AUX_MATRIZES!BO11/(AUX_MATRIZES!BO23*MM_PARA_M3_HA),0),AUX_MATRIZES!BO47,AUX_MATRIZES!BO35,AUX_MATRIZES!BO59*100),0)</f>
        <v>0</v>
      </c>
      <c r="BP11" s="18" t="n">
        <f aca="false">IFERROR(CHOOSE(MATCH($D$5,$AN$100:$AN$104,0),AUX_MATRIZES!BP11,IFERROR(AUX_MATRIZES!BP11/(AUX_MATRIZES!BP23*MM_PARA_M3_HA),0),AUX_MATRIZES!BP47,AUX_MATRIZES!BP35,AUX_MATRIZES!BP59*100),0)</f>
        <v>0</v>
      </c>
    </row>
    <row r="12" customFormat="false" ht="15" hidden="false" customHeight="false" outlineLevel="0" collapsed="false">
      <c r="B12" s="15" t="s">
        <v>132</v>
      </c>
      <c r="C12" s="18" t="n">
        <f aca="false">IFERROR(CHOOSE(MATCH($D$5,$AN$100:$AN$104,0),AUX_MATRIZES!C12,IFERROR(AUX_MATRIZES!C12/(AUX_MATRIZES!C24*MM_PARA_M3_HA),0),AUX_MATRIZES!C48,AUX_MATRIZES!C36,AUX_MATRIZES!C60*100),0)</f>
        <v>96601.344</v>
      </c>
      <c r="D12" s="18" t="n">
        <f aca="false">IFERROR(CHOOSE(MATCH($D$5,$AN$100:$AN$104,0),AUX_MATRIZES!D12,IFERROR(AUX_MATRIZES!D12/(AUX_MATRIZES!D24*MM_PARA_M3_HA),0),AUX_MATRIZES!D48,AUX_MATRIZES!D36,AUX_MATRIZES!D60*100),0)</f>
        <v>96643.68</v>
      </c>
      <c r="E12" s="18" t="n">
        <f aca="false">IFERROR(CHOOSE(MATCH($D$5,$AN$100:$AN$104,0),AUX_MATRIZES!E12,IFERROR(AUX_MATRIZES!E12/(AUX_MATRIZES!E24*MM_PARA_M3_HA),0),AUX_MATRIZES!E48,AUX_MATRIZES!E36,AUX_MATRIZES!E60*100),0)</f>
        <v>96643.68</v>
      </c>
      <c r="F12" s="18" t="n">
        <f aca="false">IFERROR(CHOOSE(MATCH($D$5,$AN$100:$AN$104,0),AUX_MATRIZES!F12,IFERROR(AUX_MATRIZES!F12/(AUX_MATRIZES!F24*MM_PARA_M3_HA),0),AUX_MATRIZES!F48,AUX_MATRIZES!F36,AUX_MATRIZES!F60*100),0)</f>
        <v>96643.68</v>
      </c>
      <c r="G12" s="18" t="n">
        <f aca="false">IFERROR(CHOOSE(MATCH($D$5,$AN$100:$AN$104,0),AUX_MATRIZES!G12,IFERROR(AUX_MATRIZES!G12/(AUX_MATRIZES!G24*MM_PARA_M3_HA),0),AUX_MATRIZES!G48,AUX_MATRIZES!G36,AUX_MATRIZES!G60*100),0)</f>
        <v>72879.072</v>
      </c>
      <c r="H12" s="18" t="n">
        <f aca="false">IFERROR(CHOOSE(MATCH($D$5,$AN$100:$AN$104,0),AUX_MATRIZES!H12,IFERROR(AUX_MATRIZES!H12/(AUX_MATRIZES!H24*MM_PARA_M3_HA),0),AUX_MATRIZES!H48,AUX_MATRIZES!H36,AUX_MATRIZES!H60*100),0)</f>
        <v>55055.616</v>
      </c>
      <c r="I12" s="18" t="n">
        <f aca="false">IFERROR(CHOOSE(MATCH($D$5,$AN$100:$AN$104,0),AUX_MATRIZES!I12,IFERROR(AUX_MATRIZES!I12/(AUX_MATRIZES!I24*MM_PARA_M3_HA),0),AUX_MATRIZES!I48,AUX_MATRIZES!I36,AUX_MATRIZES!I60*100),0)</f>
        <v>55055.616</v>
      </c>
      <c r="J12" s="18" t="n">
        <f aca="false">IFERROR(CHOOSE(MATCH($D$5,$AN$100:$AN$104,0),AUX_MATRIZES!J12,IFERROR(AUX_MATRIZES!J12/(AUX_MATRIZES!J24*MM_PARA_M3_HA),0),AUX_MATRIZES!J48,AUX_MATRIZES!J36,AUX_MATRIZES!J60*100),0)</f>
        <v>47449.248</v>
      </c>
      <c r="K12" s="18" t="n">
        <f aca="false">IFERROR(CHOOSE(MATCH($D$5,$AN$100:$AN$104,0),AUX_MATRIZES!K12,IFERROR(AUX_MATRIZES!K12/(AUX_MATRIZES!K24*MM_PARA_M3_HA),0),AUX_MATRIZES!K48,AUX_MATRIZES!K36,AUX_MATRIZES!K60*100),0)</f>
        <v>31707.606</v>
      </c>
      <c r="L12" s="18" t="n">
        <f aca="false">IFERROR(CHOOSE(MATCH($D$5,$AN$100:$AN$104,0),AUX_MATRIZES!L12,IFERROR(AUX_MATRIZES!L12/(AUX_MATRIZES!L24*MM_PARA_M3_HA),0),AUX_MATRIZES!L48,AUX_MATRIZES!L36,AUX_MATRIZES!L60*100),0)</f>
        <v>0</v>
      </c>
      <c r="M12" s="18" t="n">
        <f aca="false">IFERROR(CHOOSE(MATCH($D$5,$AN$100:$AN$104,0),AUX_MATRIZES!M12,IFERROR(AUX_MATRIZES!M12/(AUX_MATRIZES!M24*MM_PARA_M3_HA),0),AUX_MATRIZES!M48,AUX_MATRIZES!M36,AUX_MATRIZES!M60*100),0)</f>
        <v>0</v>
      </c>
      <c r="N12" s="18" t="n">
        <f aca="false">IFERROR(CHOOSE(MATCH($D$5,$AN$100:$AN$104,0),AUX_MATRIZES!N12,IFERROR(AUX_MATRIZES!N12/(AUX_MATRIZES!N24*MM_PARA_M3_HA),0),AUX_MATRIZES!N48,AUX_MATRIZES!N36,AUX_MATRIZES!N60*100),0)</f>
        <v>0</v>
      </c>
      <c r="O12" s="18" t="n">
        <f aca="false">IFERROR(CHOOSE(MATCH($D$5,$AN$100:$AN$104,0),AUX_MATRIZES!O12,IFERROR(AUX_MATRIZES!O12/(AUX_MATRIZES!O24*MM_PARA_M3_HA),0),AUX_MATRIZES!O48,AUX_MATRIZES!O36,AUX_MATRIZES!O60*100),0)</f>
        <v>6569.44409136608</v>
      </c>
      <c r="P12" s="18" t="n">
        <f aca="false">IFERROR(CHOOSE(MATCH($D$5,$AN$100:$AN$104,0),AUX_MATRIZES!P12,IFERROR(AUX_MATRIZES!P12/(AUX_MATRIZES!P24*MM_PARA_M3_HA),0),AUX_MATRIZES!P48,AUX_MATRIZES!P36,AUX_MATRIZES!P60*100),0)</f>
        <v>0</v>
      </c>
      <c r="Q12" s="18" t="n">
        <f aca="false">IFERROR(CHOOSE(MATCH($D$5,$AN$100:$AN$104,0),AUX_MATRIZES!Q12,IFERROR(AUX_MATRIZES!Q12/(AUX_MATRIZES!Q24*MM_PARA_M3_HA),0),AUX_MATRIZES!Q48,AUX_MATRIZES!Q36,AUX_MATRIZES!Q60*100),0)</f>
        <v>0</v>
      </c>
      <c r="R12" s="18" t="n">
        <f aca="false">IFERROR(CHOOSE(MATCH($D$5,$AN$100:$AN$104,0),AUX_MATRIZES!R12,IFERROR(AUX_MATRIZES!R12/(AUX_MATRIZES!R24*MM_PARA_M3_HA),0),AUX_MATRIZES!R48,AUX_MATRIZES!R36,AUX_MATRIZES!R60*100),0)</f>
        <v>0</v>
      </c>
      <c r="S12" s="18" t="n">
        <f aca="false">IFERROR(CHOOSE(MATCH($D$5,$AN$100:$AN$104,0),AUX_MATRIZES!S12,IFERROR(AUX_MATRIZES!S12/(AUX_MATRIZES!S24*MM_PARA_M3_HA),0),AUX_MATRIZES!S48,AUX_MATRIZES!S36,AUX_MATRIZES!S60*100),0)</f>
        <v>0</v>
      </c>
      <c r="T12" s="18" t="n">
        <f aca="false">IFERROR(CHOOSE(MATCH($D$5,$AN$100:$AN$104,0),AUX_MATRIZES!T12,IFERROR(AUX_MATRIZES!T12/(AUX_MATRIZES!T24*MM_PARA_M3_HA),0),AUX_MATRIZES!T48,AUX_MATRIZES!T36,AUX_MATRIZES!T60*100),0)</f>
        <v>1736.23905882352</v>
      </c>
      <c r="U12" s="18" t="n">
        <f aca="false">IFERROR(CHOOSE(MATCH($D$5,$AN$100:$AN$104,0),AUX_MATRIZES!U12,IFERROR(AUX_MATRIZES!U12/(AUX_MATRIZES!U24*MM_PARA_M3_HA),0),AUX_MATRIZES!U48,AUX_MATRIZES!U36,AUX_MATRIZES!U60*100),0)</f>
        <v>8892.93176470587</v>
      </c>
      <c r="V12" s="18" t="n">
        <f aca="false">IFERROR(CHOOSE(MATCH($D$5,$AN$100:$AN$104,0),AUX_MATRIZES!V12,IFERROR(AUX_MATRIZES!V12/(AUX_MATRIZES!V24*MM_PARA_M3_HA),0),AUX_MATRIZES!V48,AUX_MATRIZES!V36,AUX_MATRIZES!V60*100),0)</f>
        <v>8753.05504003416</v>
      </c>
      <c r="W12" s="18" t="n">
        <f aca="false">IFERROR(CHOOSE(MATCH($D$5,$AN$100:$AN$104,0),AUX_MATRIZES!W12,IFERROR(AUX_MATRIZES!W12/(AUX_MATRIZES!W24*MM_PARA_M3_HA),0),AUX_MATRIZES!W48,AUX_MATRIZES!W36,AUX_MATRIZES!W60*100),0)</f>
        <v>0</v>
      </c>
      <c r="X12" s="18" t="n">
        <f aca="false">IFERROR(CHOOSE(MATCH($D$5,$AN$100:$AN$104,0),AUX_MATRIZES!X12,IFERROR(AUX_MATRIZES!X12/(AUX_MATRIZES!X24*MM_PARA_M3_HA),0),AUX_MATRIZES!X48,AUX_MATRIZES!X36,AUX_MATRIZES!X60*100),0)</f>
        <v>0</v>
      </c>
      <c r="Y12" s="18" t="n">
        <f aca="false">IFERROR(CHOOSE(MATCH($D$5,$AN$100:$AN$104,0),AUX_MATRIZES!Y12,IFERROR(AUX_MATRIZES!Y12/(AUX_MATRIZES!Y24*MM_PARA_M3_HA),0),AUX_MATRIZES!Y48,AUX_MATRIZES!Y36,AUX_MATRIZES!Y60*100),0)</f>
        <v>0</v>
      </c>
      <c r="Z12" s="18" t="n">
        <f aca="false">IFERROR(CHOOSE(MATCH($D$5,$AN$100:$AN$104,0),AUX_MATRIZES!Z12,IFERROR(AUX_MATRIZES!Z12/(AUX_MATRIZES!Z24*MM_PARA_M3_HA),0),AUX_MATRIZES!Z48,AUX_MATRIZES!Z36,AUX_MATRIZES!Z60*100),0)</f>
        <v>11348.1049198283</v>
      </c>
      <c r="AA12" s="18" t="n">
        <f aca="false">IFERROR(CHOOSE(MATCH($D$5,$AN$100:$AN$104,0),AUX_MATRIZES!AA12,IFERROR(AUX_MATRIZES!AA12/(AUX_MATRIZES!AA24*MM_PARA_M3_HA),0),AUX_MATRIZES!AA48,AUX_MATRIZES!AA36,AUX_MATRIZES!AA60*100),0)</f>
        <v>31403.181490196</v>
      </c>
      <c r="AB12" s="18" t="n">
        <f aca="false">IFERROR(CHOOSE(MATCH($D$5,$AN$100:$AN$104,0),AUX_MATRIZES!AB12,IFERROR(AUX_MATRIZES!AB12/(AUX_MATRIZES!AB24*MM_PARA_M3_HA),0),AUX_MATRIZES!AB48,AUX_MATRIZES!AB36,AUX_MATRIZES!AB60*100),0)</f>
        <v>32385.7948235294</v>
      </c>
      <c r="AC12" s="18" t="n">
        <f aca="false">IFERROR(CHOOSE(MATCH($D$5,$AN$100:$AN$104,0),AUX_MATRIZES!AC12,IFERROR(AUX_MATRIZES!AC12/(AUX_MATRIZES!AC24*MM_PARA_M3_HA),0),AUX_MATRIZES!AC48,AUX_MATRIZES!AC36,AUX_MATRIZES!AC60*100),0)</f>
        <v>40008.2578823529</v>
      </c>
      <c r="AD12" s="18" t="n">
        <f aca="false">IFERROR(CHOOSE(MATCH($D$5,$AN$100:$AN$104,0),AUX_MATRIZES!AD12,IFERROR(AUX_MATRIZES!AD12/(AUX_MATRIZES!AD24*MM_PARA_M3_HA),0),AUX_MATRIZES!AD48,AUX_MATRIZES!AD36,AUX_MATRIZES!AD60*100),0)</f>
        <v>40008.2578823529</v>
      </c>
      <c r="AE12" s="18" t="n">
        <f aca="false">IFERROR(CHOOSE(MATCH($D$5,$AN$100:$AN$104,0),AUX_MATRIZES!AE12,IFERROR(AUX_MATRIZES!AE12/(AUX_MATRIZES!AE24*MM_PARA_M3_HA),0),AUX_MATRIZES!AE48,AUX_MATRIZES!AE36,AUX_MATRIZES!AE60*100),0)</f>
        <v>40008.2578823529</v>
      </c>
      <c r="AF12" s="18" t="n">
        <f aca="false">IFERROR(CHOOSE(MATCH($D$5,$AN$100:$AN$104,0),AUX_MATRIZES!AF12,IFERROR(AUX_MATRIZES!AF12/(AUX_MATRIZES!AF24*MM_PARA_M3_HA),0),AUX_MATRIZES!AF48,AUX_MATRIZES!AF36,AUX_MATRIZES!AF60*100),0)</f>
        <v>40008.2578823529</v>
      </c>
      <c r="AG12" s="18" t="n">
        <f aca="false">IFERROR(CHOOSE(MATCH($D$5,$AN$100:$AN$104,0),AUX_MATRIZES!AG12,IFERROR(AUX_MATRIZES!AG12/(AUX_MATRIZES!AG24*MM_PARA_M3_HA),0),AUX_MATRIZES!AG48,AUX_MATRIZES!AG36,AUX_MATRIZES!AG60*100),0)</f>
        <v>90352.9957647059</v>
      </c>
      <c r="AH12" s="18" t="n">
        <f aca="false">IFERROR(CHOOSE(MATCH($D$5,$AN$100:$AN$104,0),AUX_MATRIZES!AH12,IFERROR(AUX_MATRIZES!AH12/(AUX_MATRIZES!AH24*MM_PARA_M3_HA),0),AUX_MATRIZES!AH48,AUX_MATRIZES!AH36,AUX_MATRIZES!AH60*100),0)</f>
        <v>128111.549176471</v>
      </c>
      <c r="AI12" s="18" t="n">
        <f aca="false">IFERROR(CHOOSE(MATCH($D$5,$AN$100:$AN$104,0),AUX_MATRIZES!AI12,IFERROR(AUX_MATRIZES!AI12/(AUX_MATRIZES!AI24*MM_PARA_M3_HA),0),AUX_MATRIZES!AI48,AUX_MATRIZES!AI36,AUX_MATRIZES!AI60*100),0)</f>
        <v>128111.549176471</v>
      </c>
      <c r="AJ12" s="18" t="n">
        <f aca="false">IFERROR(CHOOSE(MATCH($D$5,$AN$100:$AN$104,0),AUX_MATRIZES!AJ12,IFERROR(AUX_MATRIZES!AJ12/(AUX_MATRIZES!AJ24*MM_PARA_M3_HA),0),AUX_MATRIZES!AJ48,AUX_MATRIZES!AJ36,AUX_MATRIZES!AJ60*100),0)</f>
        <v>125491.737411765</v>
      </c>
      <c r="AK12" s="18" t="n">
        <f aca="false">IFERROR(CHOOSE(MATCH($D$5,$AN$100:$AN$104,0),AUX_MATRIZES!AK12,IFERROR(AUX_MATRIZES!AK12/(AUX_MATRIZES!AK24*MM_PARA_M3_HA),0),AUX_MATRIZES!AK48,AUX_MATRIZES!AK36,AUX_MATRIZES!AK60*100),0)</f>
        <v>131170.140307692</v>
      </c>
      <c r="AL12" s="18" t="n">
        <f aca="false">IFERROR(CHOOSE(MATCH($D$5,$AN$100:$AN$104,0),AUX_MATRIZES!AL12,IFERROR(AUX_MATRIZES!AL12/(AUX_MATRIZES!AL24*MM_PARA_M3_HA),0),AUX_MATRIZES!AL48,AUX_MATRIZES!AL36,AUX_MATRIZES!AL60*100),0)</f>
        <v>152107.353014823</v>
      </c>
      <c r="AM12" s="18" t="n">
        <f aca="false">IFERROR(CHOOSE(MATCH($D$5,$AN$100:$AN$104,0),AUX_MATRIZES!AM12,IFERROR(AUX_MATRIZES!AM12/(AUX_MATRIZES!AM24*MM_PARA_M3_HA),0),AUX_MATRIZES!AM48,AUX_MATRIZES!AM36,AUX_MATRIZES!AM60*100),0)</f>
        <v>141152.760410673</v>
      </c>
      <c r="AN12" s="18" t="n">
        <f aca="false">IFERROR(CHOOSE(MATCH($D$5,$AN$100:$AN$104,0),AUX_MATRIZES!AN12,IFERROR(AUX_MATRIZES!AN12/(AUX_MATRIZES!AN24*MM_PARA_M3_HA),0),AUX_MATRIZES!AN48,AUX_MATRIZES!AN36,AUX_MATRIZES!AN60*100),0)</f>
        <v>130198.167806522</v>
      </c>
      <c r="AO12" s="18" t="n">
        <f aca="false">IFERROR(CHOOSE(MATCH($D$5,$AN$100:$AN$104,0),AUX_MATRIZES!AO12,IFERROR(AUX_MATRIZES!AO12/(AUX_MATRIZES!AO24*MM_PARA_M3_HA),0),AUX_MATRIZES!AO48,AUX_MATRIZES!AO36,AUX_MATRIZES!AO60*100),0)</f>
        <v>119243.575202372</v>
      </c>
      <c r="AP12" s="18" t="n">
        <f aca="false">IFERROR(CHOOSE(MATCH($D$5,$AN$100:$AN$104,0),AUX_MATRIZES!AP12,IFERROR(AUX_MATRIZES!AP12/(AUX_MATRIZES!AP24*MM_PARA_M3_HA),0),AUX_MATRIZES!AP48,AUX_MATRIZES!AP36,AUX_MATRIZES!AP60*100),0)</f>
        <v>124297.595418942</v>
      </c>
      <c r="AQ12" s="18" t="n">
        <f aca="false">IFERROR(CHOOSE(MATCH($D$5,$AN$100:$AN$104,0),AUX_MATRIZES!AQ12,IFERROR(AUX_MATRIZES!AQ12/(AUX_MATRIZES!AQ24*MM_PARA_M3_HA),0),AUX_MATRIZES!AQ48,AUX_MATRIZES!AQ36,AUX_MATRIZES!AQ60*100),0)</f>
        <v>127871.240218443</v>
      </c>
      <c r="AR12" s="18" t="n">
        <f aca="false">IFERROR(CHOOSE(MATCH($D$5,$AN$100:$AN$104,0),AUX_MATRIZES!AR12,IFERROR(AUX_MATRIZES!AR12/(AUX_MATRIZES!AR24*MM_PARA_M3_HA),0),AUX_MATRIZES!AR48,AUX_MATRIZES!AR36,AUX_MATRIZES!AR60*100),0)</f>
        <v>70695.1533306288</v>
      </c>
      <c r="AS12" s="18" t="n">
        <f aca="false">IFERROR(CHOOSE(MATCH($D$5,$AN$100:$AN$104,0),AUX_MATRIZES!AS12,IFERROR(AUX_MATRIZES!AS12/(AUX_MATRIZES!AS24*MM_PARA_M3_HA),0),AUX_MATRIZES!AS48,AUX_MATRIZES!AS36,AUX_MATRIZES!AS60*100),0)</f>
        <v>66531.8429858012</v>
      </c>
      <c r="AT12" s="18" t="n">
        <f aca="false">IFERROR(CHOOSE(MATCH($D$5,$AN$100:$AN$104,0),AUX_MATRIZES!AT12,IFERROR(AUX_MATRIZES!AT12/(AUX_MATRIZES!AT24*MM_PARA_M3_HA),0),AUX_MATRIZES!AT48,AUX_MATRIZES!AT36,AUX_MATRIZES!AT60*100),0)</f>
        <v>40749.9686880325</v>
      </c>
      <c r="AU12" s="18" t="n">
        <f aca="false">IFERROR(CHOOSE(MATCH($D$5,$AN$100:$AN$104,0),AUX_MATRIZES!AU12,IFERROR(AUX_MATRIZES!AU12/(AUX_MATRIZES!AU24*MM_PARA_M3_HA),0),AUX_MATRIZES!AU48,AUX_MATRIZES!AU36,AUX_MATRIZES!AU60*100),0)</f>
        <v>69612.6554060852</v>
      </c>
      <c r="AV12" s="18" t="n">
        <f aca="false">IFERROR(CHOOSE(MATCH($D$5,$AN$100:$AN$104,0),AUX_MATRIZES!AV12,IFERROR(AUX_MATRIZES!AV12/(AUX_MATRIZES!AV24*MM_PARA_M3_HA),0),AUX_MATRIZES!AV48,AUX_MATRIZES!AV36,AUX_MATRIZES!AV60*100),0)</f>
        <v>87047.5718198783</v>
      </c>
      <c r="AW12" s="18" t="n">
        <f aca="false">IFERROR(CHOOSE(MATCH($D$5,$AN$100:$AN$104,0),AUX_MATRIZES!AW12,IFERROR(AUX_MATRIZES!AW12/(AUX_MATRIZES!AW24*MM_PARA_M3_HA),0),AUX_MATRIZES!AW48,AUX_MATRIZES!AW36,AUX_MATRIZES!AW60*100),0)</f>
        <v>104482.488233671</v>
      </c>
      <c r="AX12" s="18" t="n">
        <f aca="false">IFERROR(CHOOSE(MATCH($D$5,$AN$100:$AN$104,0),AUX_MATRIZES!AX12,IFERROR(AUX_MATRIZES!AX12/(AUX_MATRIZES!AX24*MM_PARA_M3_HA),0),AUX_MATRIZES!AX48,AUX_MATRIZES!AX36,AUX_MATRIZES!AX60*100),0)</f>
        <v>128328.126636917</v>
      </c>
      <c r="AY12" s="18" t="n">
        <f aca="false">IFERROR(CHOOSE(MATCH($D$5,$AN$100:$AN$104,0),AUX_MATRIZES!AY12,IFERROR(AUX_MATRIZES!AY12/(AUX_MATRIZES!AY24*MM_PARA_M3_HA),0),AUX_MATRIZES!AY48,AUX_MATRIZES!AY36,AUX_MATRIZES!AY60*100),0)</f>
        <v>182388.326490872</v>
      </c>
      <c r="AZ12" s="18" t="n">
        <f aca="false">IFERROR(CHOOSE(MATCH($D$5,$AN$100:$AN$104,0),AUX_MATRIZES!AZ12,IFERROR(AUX_MATRIZES!AZ12/(AUX_MATRIZES!AZ24*MM_PARA_M3_HA),0),AUX_MATRIZES!AZ48,AUX_MATRIZES!AZ36,AUX_MATRIZES!AZ60*100),0)</f>
        <v>199151.445277079</v>
      </c>
      <c r="BA12" s="18" t="n">
        <f aca="false">IFERROR(CHOOSE(MATCH($D$5,$AN$100:$AN$104,0),AUX_MATRIZES!BA12,IFERROR(AUX_MATRIZES!BA12/(AUX_MATRIZES!BA24*MM_PARA_M3_HA),0),AUX_MATRIZES!BA48,AUX_MATRIZES!BA36,AUX_MATRIZES!BA60*100),0)</f>
        <v>213203.753139148</v>
      </c>
      <c r="BB12" s="18" t="n">
        <f aca="false">IFERROR(CHOOSE(MATCH($D$5,$AN$100:$AN$104,0),AUX_MATRIZES!BB12,IFERROR(AUX_MATRIZES!BB12/(AUX_MATRIZES!BB24*MM_PARA_M3_HA),0),AUX_MATRIZES!BB48,AUX_MATRIZES!BB36,AUX_MATRIZES!BB60*100),0)</f>
        <v>227256.061001217</v>
      </c>
      <c r="BC12" s="18" t="n">
        <f aca="false">IFERROR(CHOOSE(MATCH($D$5,$AN$100:$AN$104,0),AUX_MATRIZES!BC12,IFERROR(AUX_MATRIZES!BC12/(AUX_MATRIZES!BC24*MM_PARA_M3_HA),0),AUX_MATRIZES!BC48,AUX_MATRIZES!BC36,AUX_MATRIZES!BC60*100),0)</f>
        <v>239480.527831237</v>
      </c>
      <c r="BD12" s="18" t="n">
        <f aca="false">IFERROR(CHOOSE(MATCH($D$5,$AN$100:$AN$104,0),AUX_MATRIZES!BD12,IFERROR(AUX_MATRIZES!BD12/(AUX_MATRIZES!BD24*MM_PARA_M3_HA),0),AUX_MATRIZES!BD48,AUX_MATRIZES!BD36,AUX_MATRIZES!BD60*100),0)</f>
        <v>241647.872941176</v>
      </c>
      <c r="BE12" s="18" t="n">
        <f aca="false">IFERROR(CHOOSE(MATCH($D$5,$AN$100:$AN$104,0),AUX_MATRIZES!BE12,IFERROR(AUX_MATRIZES!BE12/(AUX_MATRIZES!BE24*MM_PARA_M3_HA),0),AUX_MATRIZES!BE48,AUX_MATRIZES!BE36,AUX_MATRIZES!BE60*100),0)</f>
        <v>241647.872941176</v>
      </c>
      <c r="BF12" s="18" t="n">
        <f aca="false">IFERROR(CHOOSE(MATCH($D$5,$AN$100:$AN$104,0),AUX_MATRIZES!BF12,IFERROR(AUX_MATRIZES!BF12/(AUX_MATRIZES!BF24*MM_PARA_M3_HA),0),AUX_MATRIZES!BF48,AUX_MATRIZES!BF36,AUX_MATRIZES!BF60*100),0)</f>
        <v>233496.018823529</v>
      </c>
      <c r="BG12" s="18" t="n">
        <f aca="false">IFERROR(CHOOSE(MATCH($D$5,$AN$100:$AN$104,0),AUX_MATRIZES!BG12,IFERROR(AUX_MATRIZES!BG12/(AUX_MATRIZES!BG24*MM_PARA_M3_HA),0),AUX_MATRIZES!BG48,AUX_MATRIZES!BG36,AUX_MATRIZES!BG60*100),0)</f>
        <v>174058.801720081</v>
      </c>
      <c r="BH12" s="18" t="n">
        <f aca="false">IFERROR(CHOOSE(MATCH($D$5,$AN$100:$AN$104,0),AUX_MATRIZES!BH12,IFERROR(AUX_MATRIZES!BH12/(AUX_MATRIZES!BH24*MM_PARA_M3_HA),0),AUX_MATRIZES!BH48,AUX_MATRIZES!BH36,AUX_MATRIZES!BH60*100),0)</f>
        <v>100406.16074645</v>
      </c>
      <c r="BI12" s="18" t="n">
        <f aca="false">IFERROR(CHOOSE(MATCH($D$5,$AN$100:$AN$104,0),AUX_MATRIZES!BI12,IFERROR(AUX_MATRIZES!BI12/(AUX_MATRIZES!BI24*MM_PARA_M3_HA),0),AUX_MATRIZES!BI48,AUX_MATRIZES!BI36,AUX_MATRIZES!BI60*100),0)</f>
        <v>85714.0834401622</v>
      </c>
      <c r="BJ12" s="18" t="n">
        <f aca="false">IFERROR(CHOOSE(MATCH($D$5,$AN$100:$AN$104,0),AUX_MATRIZES!BJ12,IFERROR(AUX_MATRIZES!BJ12/(AUX_MATRIZES!BJ24*MM_PARA_M3_HA),0),AUX_MATRIZES!BJ48,AUX_MATRIZES!BJ36,AUX_MATRIZES!BJ60*100),0)</f>
        <v>65076.7989614604</v>
      </c>
      <c r="BK12" s="18" t="n">
        <f aca="false">IFERROR(CHOOSE(MATCH($D$5,$AN$100:$AN$104,0),AUX_MATRIZES!BK12,IFERROR(AUX_MATRIZES!BK12/(AUX_MATRIZES!BK24*MM_PARA_M3_HA),0),AUX_MATRIZES!BK48,AUX_MATRIZES!BK36,AUX_MATRIZES!BK60*100),0)</f>
        <v>39318.3028965517</v>
      </c>
      <c r="BL12" s="18" t="n">
        <f aca="false">IFERROR(CHOOSE(MATCH($D$5,$AN$100:$AN$104,0),AUX_MATRIZES!BL12,IFERROR(AUX_MATRIZES!BL12/(AUX_MATRIZES!BL24*MM_PARA_M3_HA),0),AUX_MATRIZES!BL48,AUX_MATRIZES!BL36,AUX_MATRIZES!BL60*100),0)</f>
        <v>0</v>
      </c>
      <c r="BM12" s="18" t="n">
        <f aca="false">IFERROR(CHOOSE(MATCH($D$5,$AN$100:$AN$104,0),AUX_MATRIZES!BM12,IFERROR(AUX_MATRIZES!BM12/(AUX_MATRIZES!BM24*MM_PARA_M3_HA),0),AUX_MATRIZES!BM48,AUX_MATRIZES!BM36,AUX_MATRIZES!BM60*100),0)</f>
        <v>0</v>
      </c>
      <c r="BN12" s="18" t="n">
        <f aca="false">IFERROR(CHOOSE(MATCH($D$5,$AN$100:$AN$104,0),AUX_MATRIZES!BN12,IFERROR(AUX_MATRIZES!BN12/(AUX_MATRIZES!BN24*MM_PARA_M3_HA),0),AUX_MATRIZES!BN48,AUX_MATRIZES!BN36,AUX_MATRIZES!BN60*100),0)</f>
        <v>0</v>
      </c>
      <c r="BO12" s="18" t="n">
        <f aca="false">IFERROR(CHOOSE(MATCH($D$5,$AN$100:$AN$104,0),AUX_MATRIZES!BO12,IFERROR(AUX_MATRIZES!BO12/(AUX_MATRIZES!BO24*MM_PARA_M3_HA),0),AUX_MATRIZES!BO48,AUX_MATRIZES!BO36,AUX_MATRIZES!BO60*100),0)</f>
        <v>0</v>
      </c>
      <c r="BP12" s="18" t="n">
        <f aca="false">IFERROR(CHOOSE(MATCH($D$5,$AN$100:$AN$104,0),AUX_MATRIZES!BP12,IFERROR(AUX_MATRIZES!BP12/(AUX_MATRIZES!BP24*MM_PARA_M3_HA),0),AUX_MATRIZES!BP48,AUX_MATRIZES!BP36,AUX_MATRIZES!BP60*100),0)</f>
        <v>0</v>
      </c>
    </row>
    <row r="13" customFormat="false" ht="15" hidden="false" customHeight="false" outlineLevel="0" collapsed="false">
      <c r="B13" s="15" t="s">
        <v>133</v>
      </c>
      <c r="C13" s="18" t="n">
        <f aca="false">IFERROR(CHOOSE(MATCH($D$5,$AN$100:$AN$104,0),AUX_MATRIZES!C13,IFERROR(AUX_MATRIZES!C13/(AUX_MATRIZES!C25*MM_PARA_M3_HA),0),AUX_MATRIZES!C49,AUX_MATRIZES!C37,AUX_MATRIZES!C61*100),0)</f>
        <v>148517.964621022</v>
      </c>
      <c r="D13" s="18" t="n">
        <f aca="false">IFERROR(CHOOSE(MATCH($D$5,$AN$100:$AN$104,0),AUX_MATRIZES!D13,IFERROR(AUX_MATRIZES!D13/(AUX_MATRIZES!D25*MM_PARA_M3_HA),0),AUX_MATRIZES!D49,AUX_MATRIZES!D37,AUX_MATRIZES!D61*100),0)</f>
        <v>106348.07147541</v>
      </c>
      <c r="E13" s="18" t="n">
        <f aca="false">IFERROR(CHOOSE(MATCH($D$5,$AN$100:$AN$104,0),AUX_MATRIZES!E13,IFERROR(AUX_MATRIZES!E13/(AUX_MATRIZES!E25*MM_PARA_M3_HA),0),AUX_MATRIZES!E49,AUX_MATRIZES!E37,AUX_MATRIZES!E61*100),0)</f>
        <v>72482.76</v>
      </c>
      <c r="F13" s="18" t="n">
        <f aca="false">IFERROR(CHOOSE(MATCH($D$5,$AN$100:$AN$104,0),AUX_MATRIZES!F13,IFERROR(AUX_MATRIZES!F13/(AUX_MATRIZES!F25*MM_PARA_M3_HA),0),AUX_MATRIZES!F49,AUX_MATRIZES!F37,AUX_MATRIZES!F61*100),0)</f>
        <v>67558.995</v>
      </c>
      <c r="G13" s="18" t="n">
        <f aca="false">IFERROR(CHOOSE(MATCH($D$5,$AN$100:$AN$104,0),AUX_MATRIZES!G13,IFERROR(AUX_MATRIZES!G13/(AUX_MATRIZES!G25*MM_PARA_M3_HA),0),AUX_MATRIZES!G49,AUX_MATRIZES!G37,AUX_MATRIZES!G61*100),0)</f>
        <v>43075.116</v>
      </c>
      <c r="H13" s="18" t="n">
        <f aca="false">IFERROR(CHOOSE(MATCH($D$5,$AN$100:$AN$104,0),AUX_MATRIZES!H13,IFERROR(AUX_MATRIZES!H13/(AUX_MATRIZES!H25*MM_PARA_M3_HA),0),AUX_MATRIZES!H49,AUX_MATRIZES!H37,AUX_MATRIZES!H61*100),0)</f>
        <v>23226.588</v>
      </c>
      <c r="I13" s="18" t="n">
        <f aca="false">IFERROR(CHOOSE(MATCH($D$5,$AN$100:$AN$104,0),AUX_MATRIZES!I13,IFERROR(AUX_MATRIZES!I13/(AUX_MATRIZES!I25*MM_PARA_M3_HA),0),AUX_MATRIZES!I49,AUX_MATRIZES!I37,AUX_MATRIZES!I61*100),0)</f>
        <v>16571.016</v>
      </c>
      <c r="J13" s="18" t="n">
        <f aca="false">IFERROR(CHOOSE(MATCH($D$5,$AN$100:$AN$104,0),AUX_MATRIZES!J13,IFERROR(AUX_MATRIZES!J13/(AUX_MATRIZES!J25*MM_PARA_M3_HA),0),AUX_MATRIZES!J49,AUX_MATRIZES!J37,AUX_MATRIZES!J61*100),0)</f>
        <v>9915.44399999998</v>
      </c>
      <c r="K13" s="18" t="n">
        <f aca="false">IFERROR(CHOOSE(MATCH($D$5,$AN$100:$AN$104,0),AUX_MATRIZES!K13,IFERROR(AUX_MATRIZES!K13/(AUX_MATRIZES!K25*MM_PARA_M3_HA),0),AUX_MATRIZES!K49,AUX_MATRIZES!K37,AUX_MATRIZES!K61*100),0)</f>
        <v>0</v>
      </c>
      <c r="L13" s="18" t="n">
        <f aca="false">IFERROR(CHOOSE(MATCH($D$5,$AN$100:$AN$104,0),AUX_MATRIZES!L13,IFERROR(AUX_MATRIZES!L13/(AUX_MATRIZES!L25*MM_PARA_M3_HA),0),AUX_MATRIZES!L49,AUX_MATRIZES!L37,AUX_MATRIZES!L61*100),0)</f>
        <v>0</v>
      </c>
      <c r="M13" s="18" t="n">
        <f aca="false">IFERROR(CHOOSE(MATCH($D$5,$AN$100:$AN$104,0),AUX_MATRIZES!M13,IFERROR(AUX_MATRIZES!M13/(AUX_MATRIZES!M25*MM_PARA_M3_HA),0),AUX_MATRIZES!M49,AUX_MATRIZES!M37,AUX_MATRIZES!M61*100),0)</f>
        <v>0</v>
      </c>
      <c r="N13" s="18" t="n">
        <f aca="false">IFERROR(CHOOSE(MATCH($D$5,$AN$100:$AN$104,0),AUX_MATRIZES!N13,IFERROR(AUX_MATRIZES!N13/(AUX_MATRIZES!N25*MM_PARA_M3_HA),0),AUX_MATRIZES!N49,AUX_MATRIZES!N37,AUX_MATRIZES!N61*100),0)</f>
        <v>0</v>
      </c>
      <c r="O13" s="18" t="n">
        <f aca="false">IFERROR(CHOOSE(MATCH($D$5,$AN$100:$AN$104,0),AUX_MATRIZES!O13,IFERROR(AUX_MATRIZES!O13/(AUX_MATRIZES!O25*MM_PARA_M3_HA),0),AUX_MATRIZES!O49,AUX_MATRIZES!O37,AUX_MATRIZES!O61*100),0)</f>
        <v>1050.25753382132</v>
      </c>
      <c r="P13" s="18" t="n">
        <f aca="false">IFERROR(CHOOSE(MATCH($D$5,$AN$100:$AN$104,0),AUX_MATRIZES!P13,IFERROR(AUX_MATRIZES!P13/(AUX_MATRIZES!P25*MM_PARA_M3_HA),0),AUX_MATRIZES!P49,AUX_MATRIZES!P37,AUX_MATRIZES!P61*100),0)</f>
        <v>0</v>
      </c>
      <c r="Q13" s="18" t="n">
        <f aca="false">IFERROR(CHOOSE(MATCH($D$5,$AN$100:$AN$104,0),AUX_MATRIZES!Q13,IFERROR(AUX_MATRIZES!Q13/(AUX_MATRIZES!Q25*MM_PARA_M3_HA),0),AUX_MATRIZES!Q49,AUX_MATRIZES!Q37,AUX_MATRIZES!Q61*100),0)</f>
        <v>0</v>
      </c>
      <c r="R13" s="18" t="n">
        <f aca="false">IFERROR(CHOOSE(MATCH($D$5,$AN$100:$AN$104,0),AUX_MATRIZES!R13,IFERROR(AUX_MATRIZES!R13/(AUX_MATRIZES!R25*MM_PARA_M3_HA),0),AUX_MATRIZES!R49,AUX_MATRIZES!R37,AUX_MATRIZES!R61*100),0)</f>
        <v>0</v>
      </c>
      <c r="S13" s="18" t="n">
        <f aca="false">IFERROR(CHOOSE(MATCH($D$5,$AN$100:$AN$104,0),AUX_MATRIZES!S13,IFERROR(AUX_MATRIZES!S13/(AUX_MATRIZES!S25*MM_PARA_M3_HA),0),AUX_MATRIZES!S49,AUX_MATRIZES!S37,AUX_MATRIZES!S61*100),0)</f>
        <v>0</v>
      </c>
      <c r="T13" s="18" t="n">
        <f aca="false">IFERROR(CHOOSE(MATCH($D$5,$AN$100:$AN$104,0),AUX_MATRIZES!T13,IFERROR(AUX_MATRIZES!T13/(AUX_MATRIZES!T25*MM_PARA_M3_HA),0),AUX_MATRIZES!T49,AUX_MATRIZES!T37,AUX_MATRIZES!T61*100),0)</f>
        <v>575.813647058821</v>
      </c>
      <c r="U13" s="18" t="n">
        <f aca="false">IFERROR(CHOOSE(MATCH($D$5,$AN$100:$AN$104,0),AUX_MATRIZES!U13,IFERROR(AUX_MATRIZES!U13/(AUX_MATRIZES!U25*MM_PARA_M3_HA),0),AUX_MATRIZES!U49,AUX_MATRIZES!U37,AUX_MATRIZES!U61*100),0)</f>
        <v>2949.2894117647</v>
      </c>
      <c r="V13" s="18" t="n">
        <f aca="false">IFERROR(CHOOSE(MATCH($D$5,$AN$100:$AN$104,0),AUX_MATRIZES!V13,IFERROR(AUX_MATRIZES!V13/(AUX_MATRIZES!V25*MM_PARA_M3_HA),0),AUX_MATRIZES!V49,AUX_MATRIZES!V37,AUX_MATRIZES!V61*100),0)</f>
        <v>2949.2894117647</v>
      </c>
      <c r="W13" s="18" t="n">
        <f aca="false">IFERROR(CHOOSE(MATCH($D$5,$AN$100:$AN$104,0),AUX_MATRIZES!W13,IFERROR(AUX_MATRIZES!W13/(AUX_MATRIZES!W25*MM_PARA_M3_HA),0),AUX_MATRIZES!W49,AUX_MATRIZES!W37,AUX_MATRIZES!W61*100),0)</f>
        <v>0</v>
      </c>
      <c r="X13" s="18" t="n">
        <f aca="false">IFERROR(CHOOSE(MATCH($D$5,$AN$100:$AN$104,0),AUX_MATRIZES!X13,IFERROR(AUX_MATRIZES!X13/(AUX_MATRIZES!X25*MM_PARA_M3_HA),0),AUX_MATRIZES!X49,AUX_MATRIZES!X37,AUX_MATRIZES!X61*100),0)</f>
        <v>0</v>
      </c>
      <c r="Y13" s="18" t="n">
        <f aca="false">IFERROR(CHOOSE(MATCH($D$5,$AN$100:$AN$104,0),AUX_MATRIZES!Y13,IFERROR(AUX_MATRIZES!Y13/(AUX_MATRIZES!Y25*MM_PARA_M3_HA),0),AUX_MATRIZES!Y49,AUX_MATRIZES!Y37,AUX_MATRIZES!Y61*100),0)</f>
        <v>6937.73129411765</v>
      </c>
      <c r="Z13" s="18" t="n">
        <f aca="false">IFERROR(CHOOSE(MATCH($D$5,$AN$100:$AN$104,0),AUX_MATRIZES!Z13,IFERROR(AUX_MATRIZES!Z13/(AUX_MATRIZES!Z25*MM_PARA_M3_HA),0),AUX_MATRIZES!Z49,AUX_MATRIZES!Z37,AUX_MATRIZES!Z61*100),0)</f>
        <v>18011.1255809258</v>
      </c>
      <c r="AA13" s="18" t="n">
        <f aca="false">IFERROR(CHOOSE(MATCH($D$5,$AN$100:$AN$104,0),AUX_MATRIZES!AA13,IFERROR(AUX_MATRIZES!AA13/(AUX_MATRIZES!AA25*MM_PARA_M3_HA),0),AUX_MATRIZES!AA49,AUX_MATRIZES!AA37,AUX_MATRIZES!AA61*100),0)</f>
        <v>36258.5168235294</v>
      </c>
      <c r="AB13" s="18" t="n">
        <f aca="false">IFERROR(CHOOSE(MATCH($D$5,$AN$100:$AN$104,0),AUX_MATRIZES!AB13,IFERROR(AUX_MATRIZES!AB13/(AUX_MATRIZES!AB25*MM_PARA_M3_HA),0),AUX_MATRIZES!AB49,AUX_MATRIZES!AB37,AUX_MATRIZES!AB61*100),0)</f>
        <v>37916.6768235294</v>
      </c>
      <c r="AC13" s="18" t="n">
        <f aca="false">IFERROR(CHOOSE(MATCH($D$5,$AN$100:$AN$104,0),AUX_MATRIZES!AC13,IFERROR(AUX_MATRIZES!AC13/(AUX_MATRIZES!AC25*MM_PARA_M3_HA),0),AUX_MATRIZES!AC49,AUX_MATRIZES!AC37,AUX_MATRIZES!AC61*100),0)</f>
        <v>55491.5027058823</v>
      </c>
      <c r="AD13" s="18" t="n">
        <f aca="false">IFERROR(CHOOSE(MATCH($D$5,$AN$100:$AN$104,0),AUX_MATRIZES!AD13,IFERROR(AUX_MATRIZES!AD13/(AUX_MATRIZES!AD25*MM_PARA_M3_HA),0),AUX_MATRIZES!AD49,AUX_MATRIZES!AD37,AUX_MATRIZES!AD61*100),0)</f>
        <v>63309.3739215686</v>
      </c>
      <c r="AE13" s="18" t="n">
        <f aca="false">IFERROR(CHOOSE(MATCH($D$5,$AN$100:$AN$104,0),AUX_MATRIZES!AE13,IFERROR(AUX_MATRIZES!AE13/(AUX_MATRIZES!AE25*MM_PARA_M3_HA),0),AUX_MATRIZES!AE49,AUX_MATRIZES!AE37,AUX_MATRIZES!AE61*100),0)</f>
        <v>65814.1336764706</v>
      </c>
      <c r="AF13" s="18" t="n">
        <f aca="false">IFERROR(CHOOSE(MATCH($D$5,$AN$100:$AN$104,0),AUX_MATRIZES!AF13,IFERROR(AUX_MATRIZES!AF13/(AUX_MATRIZES!AF25*MM_PARA_M3_HA),0),AUX_MATRIZES!AF49,AUX_MATRIZES!AF37,AUX_MATRIZES!AF61*100),0)</f>
        <v>63329.1697058823</v>
      </c>
      <c r="AG13" s="18" t="n">
        <f aca="false">IFERROR(CHOOSE(MATCH($D$5,$AN$100:$AN$104,0),AUX_MATRIZES!AG13,IFERROR(AUX_MATRIZES!AG13/(AUX_MATRIZES!AG25*MM_PARA_M3_HA),0),AUX_MATRIZES!AG49,AUX_MATRIZES!AG37,AUX_MATRIZES!AG61*100),0)</f>
        <v>158408.527182228</v>
      </c>
      <c r="AH13" s="18" t="n">
        <f aca="false">IFERROR(CHOOSE(MATCH($D$5,$AN$100:$AN$104,0),AUX_MATRIZES!AH13,IFERROR(AUX_MATRIZES!AH13/(AUX_MATRIZES!AH25*MM_PARA_M3_HA),0),AUX_MATRIZES!AH49,AUX_MATRIZES!AH37,AUX_MATRIZES!AH61*100),0)</f>
        <v>239700.350542484</v>
      </c>
      <c r="AI13" s="18" t="n">
        <f aca="false">IFERROR(CHOOSE(MATCH($D$5,$AN$100:$AN$104,0),AUX_MATRIZES!AI13,IFERROR(AUX_MATRIZES!AI13/(AUX_MATRIZES!AI25*MM_PARA_M3_HA),0),AUX_MATRIZES!AI49,AUX_MATRIZES!AI37,AUX_MATRIZES!AI61*100),0)</f>
        <v>241517.355240196</v>
      </c>
      <c r="AJ13" s="18" t="n">
        <f aca="false">IFERROR(CHOOSE(MATCH($D$5,$AN$100:$AN$104,0),AUX_MATRIZES!AJ13,IFERROR(AUX_MATRIZES!AJ13/(AUX_MATRIZES!AJ25*MM_PARA_M3_HA),0),AUX_MATRIZES!AJ49,AUX_MATRIZES!AJ37,AUX_MATRIZES!AJ61*100),0)</f>
        <v>238455.314095148</v>
      </c>
      <c r="AK13" s="18" t="n">
        <f aca="false">IFERROR(CHOOSE(MATCH($D$5,$AN$100:$AN$104,0),AUX_MATRIZES!AK13,IFERROR(AUX_MATRIZES!AK13/(AUX_MATRIZES!AK25*MM_PARA_M3_HA),0),AUX_MATRIZES!AK49,AUX_MATRIZES!AK37,AUX_MATRIZES!AK61*100),0)</f>
        <v>232026.832968083</v>
      </c>
      <c r="AL13" s="18" t="n">
        <f aca="false">IFERROR(CHOOSE(MATCH($D$5,$AN$100:$AN$104,0),AUX_MATRIZES!AL13,IFERROR(AUX_MATRIZES!AL13/(AUX_MATRIZES!AL25*MM_PARA_M3_HA),0),AUX_MATRIZES!AL49,AUX_MATRIZES!AL37,AUX_MATRIZES!AL61*100),0)</f>
        <v>274613.670340069</v>
      </c>
      <c r="AM13" s="18" t="n">
        <f aca="false">IFERROR(CHOOSE(MATCH($D$5,$AN$100:$AN$104,0),AUX_MATRIZES!AM13,IFERROR(AUX_MATRIZES!AM13/(AUX_MATRIZES!AM25*MM_PARA_M3_HA),0),AUX_MATRIZES!AM49,AUX_MATRIZES!AM37,AUX_MATRIZES!AM61*100),0)</f>
        <v>269320.106720666</v>
      </c>
      <c r="AN13" s="18" t="n">
        <f aca="false">IFERROR(CHOOSE(MATCH($D$5,$AN$100:$AN$104,0),AUX_MATRIZES!AN13,IFERROR(AUX_MATRIZES!AN13/(AUX_MATRIZES!AN25*MM_PARA_M3_HA),0),AUX_MATRIZES!AN49,AUX_MATRIZES!AN37,AUX_MATRIZES!AN61*100),0)</f>
        <v>253931.10686597</v>
      </c>
      <c r="AO13" s="18" t="n">
        <f aca="false">IFERROR(CHOOSE(MATCH($D$5,$AN$100:$AN$104,0),AUX_MATRIZES!AO13,IFERROR(AUX_MATRIZES!AO13/(AUX_MATRIZES!AO25*MM_PARA_M3_HA),0),AUX_MATRIZES!AO49,AUX_MATRIZES!AO37,AUX_MATRIZES!AO61*100),0)</f>
        <v>238542.107011273</v>
      </c>
      <c r="AP13" s="18" t="n">
        <f aca="false">IFERROR(CHOOSE(MATCH($D$5,$AN$100:$AN$104,0),AUX_MATRIZES!AP13,IFERROR(AUX_MATRIZES!AP13/(AUX_MATRIZES!AP25*MM_PARA_M3_HA),0),AUX_MATRIZES!AP49,AUX_MATRIZES!AP37,AUX_MATRIZES!AP61*100),0)</f>
        <v>192675.328963511</v>
      </c>
      <c r="AQ13" s="18" t="n">
        <f aca="false">IFERROR(CHOOSE(MATCH($D$5,$AN$100:$AN$104,0),AUX_MATRIZES!AQ13,IFERROR(AUX_MATRIZES!AQ13/(AUX_MATRIZES!AQ25*MM_PARA_M3_HA),0),AUX_MATRIZES!AQ49,AUX_MATRIZES!AQ37,AUX_MATRIZES!AQ61*100),0)</f>
        <v>184018.211794508</v>
      </c>
      <c r="AR13" s="18" t="n">
        <f aca="false">IFERROR(CHOOSE(MATCH($D$5,$AN$100:$AN$104,0),AUX_MATRIZES!AR13,IFERROR(AUX_MATRIZES!AR13/(AUX_MATRIZES!AR25*MM_PARA_M3_HA),0),AUX_MATRIZES!AR49,AUX_MATRIZES!AR37,AUX_MATRIZES!AR61*100),0)</f>
        <v>105683.408551724</v>
      </c>
      <c r="AS13" s="18" t="n">
        <f aca="false">IFERROR(CHOOSE(MATCH($D$5,$AN$100:$AN$104,0),AUX_MATRIZES!AS13,IFERROR(AUX_MATRIZES!AS13/(AUX_MATRIZES!AS25*MM_PARA_M3_HA),0),AUX_MATRIZES!AS49,AUX_MATRIZES!AS37,AUX_MATRIZES!AS61*100),0)</f>
        <v>122256.792302907</v>
      </c>
      <c r="AT13" s="18" t="n">
        <f aca="false">IFERROR(CHOOSE(MATCH($D$5,$AN$100:$AN$104,0),AUX_MATRIZES!AT13,IFERROR(AUX_MATRIZES!AT13/(AUX_MATRIZES!AT25*MM_PARA_M3_HA),0),AUX_MATRIZES!AT49,AUX_MATRIZES!AT37,AUX_MATRIZES!AT61*100),0)</f>
        <v>101868.376878431</v>
      </c>
      <c r="AU13" s="18" t="n">
        <f aca="false">IFERROR(CHOOSE(MATCH($D$5,$AN$100:$AN$104,0),AUX_MATRIZES!AU13,IFERROR(AUX_MATRIZES!AU13/(AUX_MATRIZES!AU25*MM_PARA_M3_HA),0),AUX_MATRIZES!AU49,AUX_MATRIZES!AU37,AUX_MATRIZES!AU61*100),0)</f>
        <v>110999.730223529</v>
      </c>
      <c r="AV13" s="18" t="n">
        <f aca="false">IFERROR(CHOOSE(MATCH($D$5,$AN$100:$AN$104,0),AUX_MATRIZES!AV13,IFERROR(AUX_MATRIZES!AV13/(AUX_MATRIZES!AV25*MM_PARA_M3_HA),0),AUX_MATRIZES!AV49,AUX_MATRIZES!AV37,AUX_MATRIZES!AV61*100),0)</f>
        <v>118896.898427451</v>
      </c>
      <c r="AW13" s="18" t="n">
        <f aca="false">IFERROR(CHOOSE(MATCH($D$5,$AN$100:$AN$104,0),AUX_MATRIZES!AW13,IFERROR(AUX_MATRIZES!AW13/(AUX_MATRIZES!AW25*MM_PARA_M3_HA),0),AUX_MATRIZES!AW49,AUX_MATRIZES!AW37,AUX_MATRIZES!AW61*100),0)</f>
        <v>127621.952966667</v>
      </c>
      <c r="AX13" s="18" t="n">
        <f aca="false">IFERROR(CHOOSE(MATCH($D$5,$AN$100:$AN$104,0),AUX_MATRIZES!AX13,IFERROR(AUX_MATRIZES!AX13/(AUX_MATRIZES!AX25*MM_PARA_M3_HA),0),AUX_MATRIZES!AX49,AUX_MATRIZES!AX37,AUX_MATRIZES!AX61*100),0)</f>
        <v>145164.103294118</v>
      </c>
      <c r="AY13" s="18" t="n">
        <f aca="false">IFERROR(CHOOSE(MATCH($D$5,$AN$100:$AN$104,0),AUX_MATRIZES!AY13,IFERROR(AUX_MATRIZES!AY13/(AUX_MATRIZES!AY25*MM_PARA_M3_HA),0),AUX_MATRIZES!AY49,AUX_MATRIZES!AY37,AUX_MATRIZES!AY61*100),0)</f>
        <v>185651.427239216</v>
      </c>
      <c r="AZ13" s="18" t="n">
        <f aca="false">IFERROR(CHOOSE(MATCH($D$5,$AN$100:$AN$104,0),AUX_MATRIZES!AZ13,IFERROR(AUX_MATRIZES!AZ13/(AUX_MATRIZES!AZ25*MM_PARA_M3_HA),0),AUX_MATRIZES!AZ49,AUX_MATRIZES!AZ37,AUX_MATRIZES!AZ61*100),0)</f>
        <v>180091.532847059</v>
      </c>
      <c r="BA13" s="18" t="n">
        <f aca="false">IFERROR(CHOOSE(MATCH($D$5,$AN$100:$AN$104,0),AUX_MATRIZES!BA13,IFERROR(AUX_MATRIZES!BA13/(AUX_MATRIZES!BA25*MM_PARA_M3_HA),0),AUX_MATRIZES!BA49,AUX_MATRIZES!BA37,AUX_MATRIZES!BA61*100),0)</f>
        <v>200084.864494118</v>
      </c>
      <c r="BB13" s="18" t="n">
        <f aca="false">IFERROR(CHOOSE(MATCH($D$5,$AN$100:$AN$104,0),AUX_MATRIZES!BB13,IFERROR(AUX_MATRIZES!BB13/(AUX_MATRIZES!BB25*MM_PARA_M3_HA),0),AUX_MATRIZES!BB49,AUX_MATRIZES!BB37,AUX_MATRIZES!BB61*100),0)</f>
        <v>213432.502541176</v>
      </c>
      <c r="BC13" s="18" t="n">
        <f aca="false">IFERROR(CHOOSE(MATCH($D$5,$AN$100:$AN$104,0),AUX_MATRIZES!BC13,IFERROR(AUX_MATRIZES!BC13/(AUX_MATRIZES!BC25*MM_PARA_M3_HA),0),AUX_MATRIZES!BC49,AUX_MATRIZES!BC37,AUX_MATRIZES!BC61*100),0)</f>
        <v>220875.092705882</v>
      </c>
      <c r="BD13" s="18" t="n">
        <f aca="false">IFERROR(CHOOSE(MATCH($D$5,$AN$100:$AN$104,0),AUX_MATRIZES!BD13,IFERROR(AUX_MATRIZES!BD13/(AUX_MATRIZES!BD25*MM_PARA_M3_HA),0),AUX_MATRIZES!BD49,AUX_MATRIZES!BD37,AUX_MATRIZES!BD61*100),0)</f>
        <v>217357.418352941</v>
      </c>
      <c r="BE13" s="18" t="n">
        <f aca="false">IFERROR(CHOOSE(MATCH($D$5,$AN$100:$AN$104,0),AUX_MATRIZES!BE13,IFERROR(AUX_MATRIZES!BE13/(AUX_MATRIZES!BE25*MM_PARA_M3_HA),0),AUX_MATRIZES!BE49,AUX_MATRIZES!BE37,AUX_MATRIZES!BE61*100),0)</f>
        <v>210339.015764706</v>
      </c>
      <c r="BF13" s="18" t="n">
        <f aca="false">IFERROR(CHOOSE(MATCH($D$5,$AN$100:$AN$104,0),AUX_MATRIZES!BF13,IFERROR(AUX_MATRIZES!BF13/(AUX_MATRIZES!BF25*MM_PARA_M3_HA),0),AUX_MATRIZES!BF49,AUX_MATRIZES!BF37,AUX_MATRIZES!BF61*100),0)</f>
        <v>203320.613176471</v>
      </c>
      <c r="BG13" s="18" t="n">
        <f aca="false">IFERROR(CHOOSE(MATCH($D$5,$AN$100:$AN$104,0),AUX_MATRIZES!BG13,IFERROR(AUX_MATRIZES!BG13/(AUX_MATRIZES!BG25*MM_PARA_M3_HA),0),AUX_MATRIZES!BG49,AUX_MATRIZES!BG37,AUX_MATRIZES!BG61*100),0)</f>
        <v>157614.958117647</v>
      </c>
      <c r="BH13" s="18" t="n">
        <f aca="false">IFERROR(CHOOSE(MATCH($D$5,$AN$100:$AN$104,0),AUX_MATRIZES!BH13,IFERROR(AUX_MATRIZES!BH13/(AUX_MATRIZES!BH25*MM_PARA_M3_HA),0),AUX_MATRIZES!BH49,AUX_MATRIZES!BH37,AUX_MATRIZES!BH61*100),0)</f>
        <v>99255.566117647</v>
      </c>
      <c r="BI13" s="18" t="n">
        <f aca="false">IFERROR(CHOOSE(MATCH($D$5,$AN$100:$AN$104,0),AUX_MATRIZES!BI13,IFERROR(AUX_MATRIZES!BI13/(AUX_MATRIZES!BI25*MM_PARA_M3_HA),0),AUX_MATRIZES!BI49,AUX_MATRIZES!BI37,AUX_MATRIZES!BI61*100),0)</f>
        <v>88330.2494117647</v>
      </c>
      <c r="BJ13" s="18" t="n">
        <f aca="false">IFERROR(CHOOSE(MATCH($D$5,$AN$100:$AN$104,0),AUX_MATRIZES!BJ13,IFERROR(AUX_MATRIZES!BJ13/(AUX_MATRIZES!BJ25*MM_PARA_M3_HA),0),AUX_MATRIZES!BJ49,AUX_MATRIZES!BJ37,AUX_MATRIZES!BJ61*100),0)</f>
        <v>75032.3774117647</v>
      </c>
      <c r="BK13" s="18" t="n">
        <f aca="false">IFERROR(CHOOSE(MATCH($D$5,$AN$100:$AN$104,0),AUX_MATRIZES!BK13,IFERROR(AUX_MATRIZES!BK13/(AUX_MATRIZES!BK25*MM_PARA_M3_HA),0),AUX_MATRIZES!BK49,AUX_MATRIZES!BK37,AUX_MATRIZES!BK61*100),0)</f>
        <v>60678.1905882352</v>
      </c>
      <c r="BL13" s="18" t="n">
        <f aca="false">IFERROR(CHOOSE(MATCH($D$5,$AN$100:$AN$104,0),AUX_MATRIZES!BL13,IFERROR(AUX_MATRIZES!BL13/(AUX_MATRIZES!BL25*MM_PARA_M3_HA),0),AUX_MATRIZES!BL49,AUX_MATRIZES!BL37,AUX_MATRIZES!BL61*100),0)</f>
        <v>0</v>
      </c>
      <c r="BM13" s="18" t="n">
        <f aca="false">IFERROR(CHOOSE(MATCH($D$5,$AN$100:$AN$104,0),AUX_MATRIZES!BM13,IFERROR(AUX_MATRIZES!BM13/(AUX_MATRIZES!BM25*MM_PARA_M3_HA),0),AUX_MATRIZES!BM49,AUX_MATRIZES!BM37,AUX_MATRIZES!BM61*100),0)</f>
        <v>0</v>
      </c>
      <c r="BN13" s="18" t="n">
        <f aca="false">IFERROR(CHOOSE(MATCH($D$5,$AN$100:$AN$104,0),AUX_MATRIZES!BN13,IFERROR(AUX_MATRIZES!BN13/(AUX_MATRIZES!BN25*MM_PARA_M3_HA),0),AUX_MATRIZES!BN49,AUX_MATRIZES!BN37,AUX_MATRIZES!BN61*100),0)</f>
        <v>0</v>
      </c>
      <c r="BO13" s="18" t="n">
        <f aca="false">IFERROR(CHOOSE(MATCH($D$5,$AN$100:$AN$104,0),AUX_MATRIZES!BO13,IFERROR(AUX_MATRIZES!BO13/(AUX_MATRIZES!BO25*MM_PARA_M3_HA),0),AUX_MATRIZES!BO49,AUX_MATRIZES!BO37,AUX_MATRIZES!BO61*100),0)</f>
        <v>0</v>
      </c>
      <c r="BP13" s="18" t="n">
        <f aca="false">IFERROR(CHOOSE(MATCH($D$5,$AN$100:$AN$104,0),AUX_MATRIZES!BP13,IFERROR(AUX_MATRIZES!BP13/(AUX_MATRIZES!BP25*MM_PARA_M3_HA),0),AUX_MATRIZES!BP49,AUX_MATRIZES!BP37,AUX_MATRIZES!BP61*100),0)</f>
        <v>0</v>
      </c>
    </row>
    <row r="14" customFormat="false" ht="15" hidden="false" customHeight="false" outlineLevel="0" collapsed="false">
      <c r="B14" s="15" t="s">
        <v>134</v>
      </c>
      <c r="C14" s="18" t="n">
        <f aca="false">IFERROR(CHOOSE(MATCH($D$5,$AN$100:$AN$104,0),AUX_MATRIZES!C14,IFERROR(AUX_MATRIZES!C14/(AUX_MATRIZES!C26*MM_PARA_M3_HA),0),AUX_MATRIZES!C50,AUX_MATRIZES!C38,AUX_MATRIZES!C62*100),0)</f>
        <v>172736.158296919</v>
      </c>
      <c r="D14" s="18" t="n">
        <f aca="false">IFERROR(CHOOSE(MATCH($D$5,$AN$100:$AN$104,0),AUX_MATRIZES!D14,IFERROR(AUX_MATRIZES!D14/(AUX_MATRIZES!D26*MM_PARA_M3_HA),0),AUX_MATRIZES!D50,AUX_MATRIZES!D38,AUX_MATRIZES!D62*100),0)</f>
        <v>152721.743398693</v>
      </c>
      <c r="E14" s="18" t="n">
        <f aca="false">IFERROR(CHOOSE(MATCH($D$5,$AN$100:$AN$104,0),AUX_MATRIZES!E14,IFERROR(AUX_MATRIZES!E14/(AUX_MATRIZES!E26*MM_PARA_M3_HA),0),AUX_MATRIZES!E50,AUX_MATRIZES!E38,AUX_MATRIZES!E62*100),0)</f>
        <v>101244.383189542</v>
      </c>
      <c r="F14" s="18" t="n">
        <f aca="false">IFERROR(CHOOSE(MATCH($D$5,$AN$100:$AN$104,0),AUX_MATRIZES!F14,IFERROR(AUX_MATRIZES!F14/(AUX_MATRIZES!F26*MM_PARA_M3_HA),0),AUX_MATRIZES!F50,AUX_MATRIZES!F38,AUX_MATRIZES!F62*100),0)</f>
        <v>58285.332</v>
      </c>
      <c r="G14" s="18" t="n">
        <f aca="false">IFERROR(CHOOSE(MATCH($D$5,$AN$100:$AN$104,0),AUX_MATRIZES!G14,IFERROR(AUX_MATRIZES!G14/(AUX_MATRIZES!G26*MM_PARA_M3_HA),0),AUX_MATRIZES!G50,AUX_MATRIZES!G38,AUX_MATRIZES!G62*100),0)</f>
        <v>26414.8658823529</v>
      </c>
      <c r="H14" s="18" t="n">
        <f aca="false">IFERROR(CHOOSE(MATCH($D$5,$AN$100:$AN$104,0),AUX_MATRIZES!H14,IFERROR(AUX_MATRIZES!H14/(AUX_MATRIZES!H26*MM_PARA_M3_HA),0),AUX_MATRIZES!H50,AUX_MATRIZES!H38,AUX_MATRIZES!H62*100),0)</f>
        <v>0</v>
      </c>
      <c r="I14" s="18" t="n">
        <f aca="false">IFERROR(CHOOSE(MATCH($D$5,$AN$100:$AN$104,0),AUX_MATRIZES!I14,IFERROR(AUX_MATRIZES!I14/(AUX_MATRIZES!I26*MM_PARA_M3_HA),0),AUX_MATRIZES!I50,AUX_MATRIZES!I38,AUX_MATRIZES!I62*100),0)</f>
        <v>0</v>
      </c>
      <c r="J14" s="18" t="n">
        <f aca="false">IFERROR(CHOOSE(MATCH($D$5,$AN$100:$AN$104,0),AUX_MATRIZES!J14,IFERROR(AUX_MATRIZES!J14/(AUX_MATRIZES!J26*MM_PARA_M3_HA),0),AUX_MATRIZES!J50,AUX_MATRIZES!J38,AUX_MATRIZES!J62*100),0)</f>
        <v>0</v>
      </c>
      <c r="K14" s="18" t="n">
        <f aca="false">IFERROR(CHOOSE(MATCH($D$5,$AN$100:$AN$104,0),AUX_MATRIZES!K14,IFERROR(AUX_MATRIZES!K14/(AUX_MATRIZES!K26*MM_PARA_M3_HA),0),AUX_MATRIZES!K50,AUX_MATRIZES!K38,AUX_MATRIZES!K62*100),0)</f>
        <v>0</v>
      </c>
      <c r="L14" s="18" t="n">
        <f aca="false">IFERROR(CHOOSE(MATCH($D$5,$AN$100:$AN$104,0),AUX_MATRIZES!L14,IFERROR(AUX_MATRIZES!L14/(AUX_MATRIZES!L26*MM_PARA_M3_HA),0),AUX_MATRIZES!L50,AUX_MATRIZES!L38,AUX_MATRIZES!L62*100),0)</f>
        <v>0</v>
      </c>
      <c r="M14" s="18" t="n">
        <f aca="false">IFERROR(CHOOSE(MATCH($D$5,$AN$100:$AN$104,0),AUX_MATRIZES!M14,IFERROR(AUX_MATRIZES!M14/(AUX_MATRIZES!M26*MM_PARA_M3_HA),0),AUX_MATRIZES!M50,AUX_MATRIZES!M38,AUX_MATRIZES!M62*100),0)</f>
        <v>0</v>
      </c>
      <c r="N14" s="18" t="n">
        <f aca="false">IFERROR(CHOOSE(MATCH($D$5,$AN$100:$AN$104,0),AUX_MATRIZES!N14,IFERROR(AUX_MATRIZES!N14/(AUX_MATRIZES!N26*MM_PARA_M3_HA),0),AUX_MATRIZES!N50,AUX_MATRIZES!N38,AUX_MATRIZES!N62*100),0)</f>
        <v>0</v>
      </c>
      <c r="O14" s="18" t="n">
        <f aca="false">IFERROR(CHOOSE(MATCH($D$5,$AN$100:$AN$104,0),AUX_MATRIZES!O14,IFERROR(AUX_MATRIZES!O14/(AUX_MATRIZES!O26*MM_PARA_M3_HA),0),AUX_MATRIZES!O50,AUX_MATRIZES!O38,AUX_MATRIZES!O62*100),0)</f>
        <v>1050.25753382132</v>
      </c>
      <c r="P14" s="18" t="n">
        <f aca="false">IFERROR(CHOOSE(MATCH($D$5,$AN$100:$AN$104,0),AUX_MATRIZES!P14,IFERROR(AUX_MATRIZES!P14/(AUX_MATRIZES!P26*MM_PARA_M3_HA),0),AUX_MATRIZES!P50,AUX_MATRIZES!P38,AUX_MATRIZES!P62*100),0)</f>
        <v>0</v>
      </c>
      <c r="Q14" s="18" t="n">
        <f aca="false">IFERROR(CHOOSE(MATCH($D$5,$AN$100:$AN$104,0),AUX_MATRIZES!Q14,IFERROR(AUX_MATRIZES!Q14/(AUX_MATRIZES!Q26*MM_PARA_M3_HA),0),AUX_MATRIZES!Q50,AUX_MATRIZES!Q38,AUX_MATRIZES!Q62*100),0)</f>
        <v>0</v>
      </c>
      <c r="R14" s="18" t="n">
        <f aca="false">IFERROR(CHOOSE(MATCH($D$5,$AN$100:$AN$104,0),AUX_MATRIZES!R14,IFERROR(AUX_MATRIZES!R14/(AUX_MATRIZES!R26*MM_PARA_M3_HA),0),AUX_MATRIZES!R50,AUX_MATRIZES!R38,AUX_MATRIZES!R62*100),0)</f>
        <v>0</v>
      </c>
      <c r="S14" s="18" t="n">
        <f aca="false">IFERROR(CHOOSE(MATCH($D$5,$AN$100:$AN$104,0),AUX_MATRIZES!S14,IFERROR(AUX_MATRIZES!S14/(AUX_MATRIZES!S26*MM_PARA_M3_HA),0),AUX_MATRIZES!S50,AUX_MATRIZES!S38,AUX_MATRIZES!S62*100),0)</f>
        <v>0</v>
      </c>
      <c r="T14" s="18" t="n">
        <f aca="false">IFERROR(CHOOSE(MATCH($D$5,$AN$100:$AN$104,0),AUX_MATRIZES!T14,IFERROR(AUX_MATRIZES!T14/(AUX_MATRIZES!T26*MM_PARA_M3_HA),0),AUX_MATRIZES!T50,AUX_MATRIZES!T38,AUX_MATRIZES!T62*100),0)</f>
        <v>4030.29035294116</v>
      </c>
      <c r="U14" s="18" t="n">
        <f aca="false">IFERROR(CHOOSE(MATCH($D$5,$AN$100:$AN$104,0),AUX_MATRIZES!U14,IFERROR(AUX_MATRIZES!U14/(AUX_MATRIZES!U26*MM_PARA_M3_HA),0),AUX_MATRIZES!U50,AUX_MATRIZES!U38,AUX_MATRIZES!U62*100),0)</f>
        <v>20642.9505882353</v>
      </c>
      <c r="V14" s="18" t="n">
        <f aca="false">IFERROR(CHOOSE(MATCH($D$5,$AN$100:$AN$104,0),AUX_MATRIZES!V14,IFERROR(AUX_MATRIZES!V14/(AUX_MATRIZES!V26*MM_PARA_M3_HA),0),AUX_MATRIZES!V50,AUX_MATRIZES!V38,AUX_MATRIZES!V62*100),0)</f>
        <v>20642.9505882353</v>
      </c>
      <c r="W14" s="18" t="n">
        <f aca="false">IFERROR(CHOOSE(MATCH($D$5,$AN$100:$AN$104,0),AUX_MATRIZES!W14,IFERROR(AUX_MATRIZES!W14/(AUX_MATRIZES!W26*MM_PARA_M3_HA),0),AUX_MATRIZES!W50,AUX_MATRIZES!W38,AUX_MATRIZES!W62*100),0)</f>
        <v>8508.71637009591</v>
      </c>
      <c r="X14" s="18" t="n">
        <f aca="false">IFERROR(CHOOSE(MATCH($D$5,$AN$100:$AN$104,0),AUX_MATRIZES!X14,IFERROR(AUX_MATRIZES!X14/(AUX_MATRIZES!X26*MM_PARA_M3_HA),0),AUX_MATRIZES!X50,AUX_MATRIZES!X38,AUX_MATRIZES!X62*100),0)</f>
        <v>0</v>
      </c>
      <c r="Y14" s="18" t="n">
        <f aca="false">IFERROR(CHOOSE(MATCH($D$5,$AN$100:$AN$104,0),AUX_MATRIZES!Y14,IFERROR(AUX_MATRIZES!Y14/(AUX_MATRIZES!Y26*MM_PARA_M3_HA),0),AUX_MATRIZES!Y50,AUX_MATRIZES!Y38,AUX_MATRIZES!Y62*100),0)</f>
        <v>0</v>
      </c>
      <c r="Z14" s="18" t="n">
        <f aca="false">IFERROR(CHOOSE(MATCH($D$5,$AN$100:$AN$104,0),AUX_MATRIZES!Z14,IFERROR(AUX_MATRIZES!Z14/(AUX_MATRIZES!Z26*MM_PARA_M3_HA),0),AUX_MATRIZES!Z50,AUX_MATRIZES!Z38,AUX_MATRIZES!Z62*100),0)</f>
        <v>4053.86713261398</v>
      </c>
      <c r="AA14" s="18" t="n">
        <f aca="false">IFERROR(CHOOSE(MATCH($D$5,$AN$100:$AN$104,0),AUX_MATRIZES!AA14,IFERROR(AUX_MATRIZES!AA14/(AUX_MATRIZES!AA26*MM_PARA_M3_HA),0),AUX_MATRIZES!AA50,AUX_MATRIZES!AA38,AUX_MATRIZES!AA62*100),0)</f>
        <v>12914.9946526086</v>
      </c>
      <c r="AB14" s="18" t="n">
        <f aca="false">IFERROR(CHOOSE(MATCH($D$5,$AN$100:$AN$104,0),AUX_MATRIZES!AB14,IFERROR(AUX_MATRIZES!AB14/(AUX_MATRIZES!AB26*MM_PARA_M3_HA),0),AUX_MATRIZES!AB50,AUX_MATRIZES!AB38,AUX_MATRIZES!AB62*100),0)</f>
        <v>20651.9270588235</v>
      </c>
      <c r="AC14" s="18" t="n">
        <f aca="false">IFERROR(CHOOSE(MATCH($D$5,$AN$100:$AN$104,0),AUX_MATRIZES!AC14,IFERROR(AUX_MATRIZES!AC14/(AUX_MATRIZES!AC26*MM_PARA_M3_HA),0),AUX_MATRIZES!AC50,AUX_MATRIZES!AC38,AUX_MATRIZES!AC62*100),0)</f>
        <v>26207.7035294118</v>
      </c>
      <c r="AD14" s="18" t="n">
        <f aca="false">IFERROR(CHOOSE(MATCH($D$5,$AN$100:$AN$104,0),AUX_MATRIZES!AD14,IFERROR(AUX_MATRIZES!AD14/(AUX_MATRIZES!AD26*MM_PARA_M3_HA),0),AUX_MATRIZES!AD50,AUX_MATRIZES!AD38,AUX_MATRIZES!AD62*100),0)</f>
        <v>26207.7035294118</v>
      </c>
      <c r="AE14" s="18" t="n">
        <f aca="false">IFERROR(CHOOSE(MATCH($D$5,$AN$100:$AN$104,0),AUX_MATRIZES!AE14,IFERROR(AUX_MATRIZES!AE14/(AUX_MATRIZES!AE26*MM_PARA_M3_HA),0),AUX_MATRIZES!AE50,AUX_MATRIZES!AE38,AUX_MATRIZES!AE62*100),0)</f>
        <v>29146.4767679738</v>
      </c>
      <c r="AF14" s="18" t="n">
        <f aca="false">IFERROR(CHOOSE(MATCH($D$5,$AN$100:$AN$104,0),AUX_MATRIZES!AF14,IFERROR(AUX_MATRIZES!AF14/(AUX_MATRIZES!AF26*MM_PARA_M3_HA),0),AUX_MATRIZES!AF50,AUX_MATRIZES!AF38,AUX_MATRIZES!AF62*100),0)</f>
        <v>35852.7712941176</v>
      </c>
      <c r="AG14" s="18" t="n">
        <f aca="false">IFERROR(CHOOSE(MATCH($D$5,$AN$100:$AN$104,0),AUX_MATRIZES!AG14,IFERROR(AUX_MATRIZES!AG14/(AUX_MATRIZES!AG26*MM_PARA_M3_HA),0),AUX_MATRIZES!AG50,AUX_MATRIZES!AG38,AUX_MATRIZES!AG62*100),0)</f>
        <v>116217.850881627</v>
      </c>
      <c r="AH14" s="18" t="n">
        <f aca="false">IFERROR(CHOOSE(MATCH($D$5,$AN$100:$AN$104,0),AUX_MATRIZES!AH14,IFERROR(AUX_MATRIZES!AH14/(AUX_MATRIZES!AH26*MM_PARA_M3_HA),0),AUX_MATRIZES!AH50,AUX_MATRIZES!AH38,AUX_MATRIZES!AH62*100),0)</f>
        <v>236511.561084967</v>
      </c>
      <c r="AI14" s="18" t="n">
        <f aca="false">IFERROR(CHOOSE(MATCH($D$5,$AN$100:$AN$104,0),AUX_MATRIZES!AI14,IFERROR(AUX_MATRIZES!AI14/(AUX_MATRIZES!AI26*MM_PARA_M3_HA),0),AUX_MATRIZES!AI50,AUX_MATRIZES!AI38,AUX_MATRIZES!AI62*100),0)</f>
        <v>264229.996038671</v>
      </c>
      <c r="AJ14" s="18" t="n">
        <f aca="false">IFERROR(CHOOSE(MATCH($D$5,$AN$100:$AN$104,0),AUX_MATRIZES!AJ14,IFERROR(AUX_MATRIZES!AJ14/(AUX_MATRIZES!AJ26*MM_PARA_M3_HA),0),AUX_MATRIZES!AJ50,AUX_MATRIZES!AJ38,AUX_MATRIZES!AJ62*100),0)</f>
        <v>283391.189642031</v>
      </c>
      <c r="AK14" s="18" t="n">
        <f aca="false">IFERROR(CHOOSE(MATCH($D$5,$AN$100:$AN$104,0),AUX_MATRIZES!AK14,IFERROR(AUX_MATRIZES!AK14/(AUX_MATRIZES!AK26*MM_PARA_M3_HA),0),AUX_MATRIZES!AK50,AUX_MATRIZES!AK38,AUX_MATRIZES!AK62*100),0)</f>
        <v>324304.534323683</v>
      </c>
      <c r="AL14" s="18" t="n">
        <f aca="false">IFERROR(CHOOSE(MATCH($D$5,$AN$100:$AN$104,0),AUX_MATRIZES!AL14,IFERROR(AUX_MATRIZES!AL14/(AUX_MATRIZES!AL26*MM_PARA_M3_HA),0),AUX_MATRIZES!AL50,AUX_MATRIZES!AL38,AUX_MATRIZES!AL62*100),0)</f>
        <v>407921.465823529</v>
      </c>
      <c r="AM14" s="18" t="n">
        <f aca="false">IFERROR(CHOOSE(MATCH($D$5,$AN$100:$AN$104,0),AUX_MATRIZES!AM14,IFERROR(AUX_MATRIZES!AM14/(AUX_MATRIZES!AM26*MM_PARA_M3_HA),0),AUX_MATRIZES!AM50,AUX_MATRIZES!AM38,AUX_MATRIZES!AM62*100),0)</f>
        <v>398843.217254525</v>
      </c>
      <c r="AN14" s="18" t="n">
        <f aca="false">IFERROR(CHOOSE(MATCH($D$5,$AN$100:$AN$104,0),AUX_MATRIZES!AN14,IFERROR(AUX_MATRIZES!AN14/(AUX_MATRIZES!AN26*MM_PARA_M3_HA),0),AUX_MATRIZES!AN50,AUX_MATRIZES!AN38,AUX_MATRIZES!AN62*100),0)</f>
        <v>389360.091773756</v>
      </c>
      <c r="AO14" s="18" t="n">
        <f aca="false">IFERROR(CHOOSE(MATCH($D$5,$AN$100:$AN$104,0),AUX_MATRIZES!AO14,IFERROR(AUX_MATRIZES!AO14/(AUX_MATRIZES!AO26*MM_PARA_M3_HA),0),AUX_MATRIZES!AO50,AUX_MATRIZES!AO38,AUX_MATRIZES!AO62*100),0)</f>
        <v>346552.519028281</v>
      </c>
      <c r="AP14" s="18" t="n">
        <f aca="false">IFERROR(CHOOSE(MATCH($D$5,$AN$100:$AN$104,0),AUX_MATRIZES!AP14,IFERROR(AUX_MATRIZES!AP14/(AUX_MATRIZES!AP26*MM_PARA_M3_HA),0),AUX_MATRIZES!AP50,AUX_MATRIZES!AP38,AUX_MATRIZES!AP62*100),0)</f>
        <v>354318.903272463</v>
      </c>
      <c r="AQ14" s="18" t="n">
        <f aca="false">IFERROR(CHOOSE(MATCH($D$5,$AN$100:$AN$104,0),AUX_MATRIZES!AQ14,IFERROR(AUX_MATRIZES!AQ14/(AUX_MATRIZES!AQ26*MM_PARA_M3_HA),0),AUX_MATRIZES!AQ50,AUX_MATRIZES!AQ38,AUX_MATRIZES!AQ62*100),0)</f>
        <v>348262.392321267</v>
      </c>
      <c r="AR14" s="18" t="n">
        <f aca="false">IFERROR(CHOOSE(MATCH($D$5,$AN$100:$AN$104,0),AUX_MATRIZES!AR14,IFERROR(AUX_MATRIZES!AR14/(AUX_MATRIZES!AR26*MM_PARA_M3_HA),0),AUX_MATRIZES!AR50,AUX_MATRIZES!AR38,AUX_MATRIZES!AR62*100),0)</f>
        <v>301446.849803922</v>
      </c>
      <c r="AS14" s="18" t="n">
        <f aca="false">IFERROR(CHOOSE(MATCH($D$5,$AN$100:$AN$104,0),AUX_MATRIZES!AS14,IFERROR(AUX_MATRIZES!AS14/(AUX_MATRIZES!AS26*MM_PARA_M3_HA),0),AUX_MATRIZES!AS50,AUX_MATRIZES!AS38,AUX_MATRIZES!AS62*100),0)</f>
        <v>263268.321464052</v>
      </c>
      <c r="AT14" s="18" t="n">
        <f aca="false">IFERROR(CHOOSE(MATCH($D$5,$AN$100:$AN$104,0),AUX_MATRIZES!AT14,IFERROR(AUX_MATRIZES!AT14/(AUX_MATRIZES!AT26*MM_PARA_M3_HA),0),AUX_MATRIZES!AT50,AUX_MATRIZES!AT38,AUX_MATRIZES!AT62*100),0)</f>
        <v>278245.964235294</v>
      </c>
      <c r="AU14" s="18" t="n">
        <f aca="false">IFERROR(CHOOSE(MATCH($D$5,$AN$100:$AN$104,0),AUX_MATRIZES!AU14,IFERROR(AUX_MATRIZES!AU14/(AUX_MATRIZES!AU26*MM_PARA_M3_HA),0),AUX_MATRIZES!AU50,AUX_MATRIZES!AU38,AUX_MATRIZES!AU62*100),0)</f>
        <v>273278.471739869</v>
      </c>
      <c r="AV14" s="18" t="n">
        <f aca="false">IFERROR(CHOOSE(MATCH($D$5,$AN$100:$AN$104,0),AUX_MATRIZES!AV14,IFERROR(AUX_MATRIZES!AV14/(AUX_MATRIZES!AV26*MM_PARA_M3_HA),0),AUX_MATRIZES!AV50,AUX_MATRIZES!AV38,AUX_MATRIZES!AV62*100),0)</f>
        <v>259988.107903268</v>
      </c>
      <c r="AW14" s="18" t="n">
        <f aca="false">IFERROR(CHOOSE(MATCH($D$5,$AN$100:$AN$104,0),AUX_MATRIZES!AW14,IFERROR(AUX_MATRIZES!AW14/(AUX_MATRIZES!AW26*MM_PARA_M3_HA),0),AUX_MATRIZES!AW50,AUX_MATRIZES!AW38,AUX_MATRIZES!AW62*100),0)</f>
        <v>247069.456232184</v>
      </c>
      <c r="AX14" s="18" t="n">
        <f aca="false">IFERROR(CHOOSE(MATCH($D$5,$AN$100:$AN$104,0),AUX_MATRIZES!AX14,IFERROR(AUX_MATRIZES!AX14/(AUX_MATRIZES!AX26*MM_PARA_M3_HA),0),AUX_MATRIZES!AX50,AUX_MATRIZES!AX38,AUX_MATRIZES!AX62*100),0)</f>
        <v>215925.435404102</v>
      </c>
      <c r="AY14" s="18" t="n">
        <f aca="false">IFERROR(CHOOSE(MATCH($D$5,$AN$100:$AN$104,0),AUX_MATRIZES!AY14,IFERROR(AUX_MATRIZES!AY14/(AUX_MATRIZES!AY26*MM_PARA_M3_HA),0),AUX_MATRIZES!AY50,AUX_MATRIZES!AY38,AUX_MATRIZES!AY62*100),0)</f>
        <v>222953.03967735</v>
      </c>
      <c r="AZ14" s="18" t="n">
        <f aca="false">IFERROR(CHOOSE(MATCH($D$5,$AN$100:$AN$104,0),AUX_MATRIZES!AZ14,IFERROR(AUX_MATRIZES!AZ14/(AUX_MATRIZES!AZ26*MM_PARA_M3_HA),0),AUX_MATRIZES!AZ50,AUX_MATRIZES!AZ38,AUX_MATRIZES!AZ62*100),0)</f>
        <v>212778.354351679</v>
      </c>
      <c r="BA14" s="18" t="n">
        <f aca="false">IFERROR(CHOOSE(MATCH($D$5,$AN$100:$AN$104,0),AUX_MATRIZES!BA14,IFERROR(AUX_MATRIZES!BA14/(AUX_MATRIZES!BA26*MM_PARA_M3_HA),0),AUX_MATRIZES!BA50,AUX_MATRIZES!BA38,AUX_MATRIZES!BA62*100),0)</f>
        <v>153873.594772414</v>
      </c>
      <c r="BB14" s="18" t="n">
        <f aca="false">IFERROR(CHOOSE(MATCH($D$5,$AN$100:$AN$104,0),AUX_MATRIZES!BB14,IFERROR(AUX_MATRIZES!BB14/(AUX_MATRIZES!BB26*MM_PARA_M3_HA),0),AUX_MATRIZES!BB50,AUX_MATRIZES!BB38,AUX_MATRIZES!BB62*100),0)</f>
        <v>170691.022727789</v>
      </c>
      <c r="BC14" s="18" t="n">
        <f aca="false">IFERROR(CHOOSE(MATCH($D$5,$AN$100:$AN$104,0),AUX_MATRIZES!BC14,IFERROR(AUX_MATRIZES!BC14/(AUX_MATRIZES!BC26*MM_PARA_M3_HA),0),AUX_MATRIZES!BC50,AUX_MATRIZES!BC38,AUX_MATRIZES!BC62*100),0)</f>
        <v>181370.903447059</v>
      </c>
      <c r="BD14" s="18" t="n">
        <f aca="false">IFERROR(CHOOSE(MATCH($D$5,$AN$100:$AN$104,0),AUX_MATRIZES!BD14,IFERROR(AUX_MATRIZES!BD14/(AUX_MATRIZES!BD26*MM_PARA_M3_HA),0),AUX_MATRIZES!BD50,AUX_MATRIZES!BD38,AUX_MATRIZES!BD62*100),0)</f>
        <v>192351.865670588</v>
      </c>
      <c r="BE14" s="18" t="n">
        <f aca="false">IFERROR(CHOOSE(MATCH($D$5,$AN$100:$AN$104,0),AUX_MATRIZES!BE14,IFERROR(AUX_MATRIZES!BE14/(AUX_MATRIZES!BE26*MM_PARA_M3_HA),0),AUX_MATRIZES!BE50,AUX_MATRIZES!BE38,AUX_MATRIZES!BE62*100),0)</f>
        <v>192978.075294118</v>
      </c>
      <c r="BF14" s="18" t="n">
        <f aca="false">IFERROR(CHOOSE(MATCH($D$5,$AN$100:$AN$104,0),AUX_MATRIZES!BF14,IFERROR(AUX_MATRIZES!BF14/(AUX_MATRIZES!BF26*MM_PARA_M3_HA),0),AUX_MATRIZES!BF50,AUX_MATRIZES!BF38,AUX_MATRIZES!BF62*100),0)</f>
        <v>192978.075294118</v>
      </c>
      <c r="BG14" s="18" t="n">
        <f aca="false">IFERROR(CHOOSE(MATCH($D$5,$AN$100:$AN$104,0),AUX_MATRIZES!BG14,IFERROR(AUX_MATRIZES!BG14/(AUX_MATRIZES!BG26*MM_PARA_M3_HA),0),AUX_MATRIZES!BG50,AUX_MATRIZES!BG38,AUX_MATRIZES!BG62*100),0)</f>
        <v>158545.365647059</v>
      </c>
      <c r="BH14" s="18" t="n">
        <f aca="false">IFERROR(CHOOSE(MATCH($D$5,$AN$100:$AN$104,0),AUX_MATRIZES!BH14,IFERROR(AUX_MATRIZES!BH14/(AUX_MATRIZES!BH26*MM_PARA_M3_HA),0),AUX_MATRIZES!BH50,AUX_MATRIZES!BH38,AUX_MATRIZES!BH62*100),0)</f>
        <v>106826.752941176</v>
      </c>
      <c r="BI14" s="18" t="n">
        <f aca="false">IFERROR(CHOOSE(MATCH($D$5,$AN$100:$AN$104,0),AUX_MATRIZES!BI14,IFERROR(AUX_MATRIZES!BI14/(AUX_MATRIZES!BI26*MM_PARA_M3_HA),0),AUX_MATRIZES!BI50,AUX_MATRIZES!BI38,AUX_MATRIZES!BI62*100),0)</f>
        <v>97788.1123569979</v>
      </c>
      <c r="BJ14" s="18" t="n">
        <f aca="false">IFERROR(CHOOSE(MATCH($D$5,$AN$100:$AN$104,0),AUX_MATRIZES!BJ14,IFERROR(AUX_MATRIZES!BJ14/(AUX_MATRIZES!BJ26*MM_PARA_M3_HA),0),AUX_MATRIZES!BJ50,AUX_MATRIZES!BJ38,AUX_MATRIZES!BJ62*100),0)</f>
        <v>86139.1811440162</v>
      </c>
      <c r="BK14" s="18" t="n">
        <f aca="false">IFERROR(CHOOSE(MATCH($D$5,$AN$100:$AN$104,0),AUX_MATRIZES!BK14,IFERROR(AUX_MATRIZES!BK14/(AUX_MATRIZES!BK26*MM_PARA_M3_HA),0),AUX_MATRIZES!BK50,AUX_MATRIZES!BK38,AUX_MATRIZES!BK62*100),0)</f>
        <v>74490.2499310345</v>
      </c>
      <c r="BL14" s="18" t="n">
        <f aca="false">IFERROR(CHOOSE(MATCH($D$5,$AN$100:$AN$104,0),AUX_MATRIZES!BL14,IFERROR(AUX_MATRIZES!BL14/(AUX_MATRIZES!BL26*MM_PARA_M3_HA),0),AUX_MATRIZES!BL50,AUX_MATRIZES!BL38,AUX_MATRIZES!BL62*100),0)</f>
        <v>1235.62435294118</v>
      </c>
      <c r="BM14" s="18" t="n">
        <f aca="false">IFERROR(CHOOSE(MATCH($D$5,$AN$100:$AN$104,0),AUX_MATRIZES!BM14,IFERROR(AUX_MATRIZES!BM14/(AUX_MATRIZES!BM26*MM_PARA_M3_HA),0),AUX_MATRIZES!BM50,AUX_MATRIZES!BM38,AUX_MATRIZES!BM62*100),0)</f>
        <v>0</v>
      </c>
      <c r="BN14" s="18" t="n">
        <f aca="false">IFERROR(CHOOSE(MATCH($D$5,$AN$100:$AN$104,0),AUX_MATRIZES!BN14,IFERROR(AUX_MATRIZES!BN14/(AUX_MATRIZES!BN26*MM_PARA_M3_HA),0),AUX_MATRIZES!BN50,AUX_MATRIZES!BN38,AUX_MATRIZES!BN62*100),0)</f>
        <v>0</v>
      </c>
      <c r="BO14" s="18" t="n">
        <f aca="false">IFERROR(CHOOSE(MATCH($D$5,$AN$100:$AN$104,0),AUX_MATRIZES!BO14,IFERROR(AUX_MATRIZES!BO14/(AUX_MATRIZES!BO26*MM_PARA_M3_HA),0),AUX_MATRIZES!BO50,AUX_MATRIZES!BO38,AUX_MATRIZES!BO62*100),0)</f>
        <v>0</v>
      </c>
      <c r="BP14" s="18" t="n">
        <f aca="false">IFERROR(CHOOSE(MATCH($D$5,$AN$100:$AN$104,0),AUX_MATRIZES!BP14,IFERROR(AUX_MATRIZES!BP14/(AUX_MATRIZES!BP26*MM_PARA_M3_HA),0),AUX_MATRIZES!BP50,AUX_MATRIZES!BP38,AUX_MATRIZES!BP62*100),0)</f>
        <v>0</v>
      </c>
    </row>
    <row r="15" customFormat="false" ht="15" hidden="false" customHeight="false" outlineLevel="0" collapsed="false">
      <c r="B15" s="15" t="s">
        <v>135</v>
      </c>
      <c r="C15" s="18" t="n">
        <f aca="false">IFERROR(CHOOSE(MATCH($D$5,$AN$100:$AN$104,0),AUX_MATRIZES!C15,IFERROR(AUX_MATRIZES!C15/(AUX_MATRIZES!C27*MM_PARA_M3_HA),0),AUX_MATRIZES!C51,AUX_MATRIZES!C39,AUX_MATRIZES!C63*100),0)</f>
        <v>0</v>
      </c>
      <c r="D15" s="18" t="n">
        <f aca="false">IFERROR(CHOOSE(MATCH($D$5,$AN$100:$AN$104,0),AUX_MATRIZES!D15,IFERROR(AUX_MATRIZES!D15/(AUX_MATRIZES!D27*MM_PARA_M3_HA),0),AUX_MATRIZES!D51,AUX_MATRIZES!D39,AUX_MATRIZES!D63*100),0)</f>
        <v>0</v>
      </c>
      <c r="E15" s="18" t="n">
        <f aca="false">IFERROR(CHOOSE(MATCH($D$5,$AN$100:$AN$104,0),AUX_MATRIZES!E15,IFERROR(AUX_MATRIZES!E15/(AUX_MATRIZES!E27*MM_PARA_M3_HA),0),AUX_MATRIZES!E51,AUX_MATRIZES!E39,AUX_MATRIZES!E63*100),0)</f>
        <v>0</v>
      </c>
      <c r="F15" s="18" t="n">
        <f aca="false">IFERROR(CHOOSE(MATCH($D$5,$AN$100:$AN$104,0),AUX_MATRIZES!F15,IFERROR(AUX_MATRIZES!F15/(AUX_MATRIZES!F27*MM_PARA_M3_HA),0),AUX_MATRIZES!F51,AUX_MATRIZES!F39,AUX_MATRIZES!F63*100),0)</f>
        <v>0</v>
      </c>
      <c r="G15" s="18" t="n">
        <f aca="false">IFERROR(CHOOSE(MATCH($D$5,$AN$100:$AN$104,0),AUX_MATRIZES!G15,IFERROR(AUX_MATRIZES!G15/(AUX_MATRIZES!G27*MM_PARA_M3_HA),0),AUX_MATRIZES!G51,AUX_MATRIZES!G39,AUX_MATRIZES!G63*100),0)</f>
        <v>0</v>
      </c>
      <c r="H15" s="18" t="n">
        <f aca="false">IFERROR(CHOOSE(MATCH($D$5,$AN$100:$AN$104,0),AUX_MATRIZES!H15,IFERROR(AUX_MATRIZES!H15/(AUX_MATRIZES!H27*MM_PARA_M3_HA),0),AUX_MATRIZES!H51,AUX_MATRIZES!H39,AUX_MATRIZES!H63*100),0)</f>
        <v>0</v>
      </c>
      <c r="I15" s="18" t="n">
        <f aca="false">IFERROR(CHOOSE(MATCH($D$5,$AN$100:$AN$104,0),AUX_MATRIZES!I15,IFERROR(AUX_MATRIZES!I15/(AUX_MATRIZES!I27*MM_PARA_M3_HA),0),AUX_MATRIZES!I51,AUX_MATRIZES!I39,AUX_MATRIZES!I63*100),0)</f>
        <v>0</v>
      </c>
      <c r="J15" s="18" t="n">
        <f aca="false">IFERROR(CHOOSE(MATCH($D$5,$AN$100:$AN$104,0),AUX_MATRIZES!J15,IFERROR(AUX_MATRIZES!J15/(AUX_MATRIZES!J27*MM_PARA_M3_HA),0),AUX_MATRIZES!J51,AUX_MATRIZES!J39,AUX_MATRIZES!J63*100),0)</f>
        <v>0</v>
      </c>
      <c r="K15" s="18" t="n">
        <f aca="false">IFERROR(CHOOSE(MATCH($D$5,$AN$100:$AN$104,0),AUX_MATRIZES!K15,IFERROR(AUX_MATRIZES!K15/(AUX_MATRIZES!K27*MM_PARA_M3_HA),0),AUX_MATRIZES!K51,AUX_MATRIZES!K39,AUX_MATRIZES!K63*100),0)</f>
        <v>0</v>
      </c>
      <c r="L15" s="18" t="n">
        <f aca="false">IFERROR(CHOOSE(MATCH($D$5,$AN$100:$AN$104,0),AUX_MATRIZES!L15,IFERROR(AUX_MATRIZES!L15/(AUX_MATRIZES!L27*MM_PARA_M3_HA),0),AUX_MATRIZES!L51,AUX_MATRIZES!L39,AUX_MATRIZES!L63*100),0)</f>
        <v>0</v>
      </c>
      <c r="M15" s="18" t="n">
        <f aca="false">IFERROR(CHOOSE(MATCH($D$5,$AN$100:$AN$104,0),AUX_MATRIZES!M15,IFERROR(AUX_MATRIZES!M15/(AUX_MATRIZES!M27*MM_PARA_M3_HA),0),AUX_MATRIZES!M51,AUX_MATRIZES!M39,AUX_MATRIZES!M63*100),0)</f>
        <v>0</v>
      </c>
      <c r="N15" s="18" t="n">
        <f aca="false">IFERROR(CHOOSE(MATCH($D$5,$AN$100:$AN$104,0),AUX_MATRIZES!N15,IFERROR(AUX_MATRIZES!N15/(AUX_MATRIZES!N27*MM_PARA_M3_HA),0),AUX_MATRIZES!N51,AUX_MATRIZES!N39,AUX_MATRIZES!N63*100),0)</f>
        <v>0</v>
      </c>
      <c r="O15" s="18" t="n">
        <f aca="false">IFERROR(CHOOSE(MATCH($D$5,$AN$100:$AN$104,0),AUX_MATRIZES!O15,IFERROR(AUX_MATRIZES!O15/(AUX_MATRIZES!O27*MM_PARA_M3_HA),0),AUX_MATRIZES!O51,AUX_MATRIZES!O39,AUX_MATRIZES!O63*100),0)</f>
        <v>0</v>
      </c>
      <c r="P15" s="18" t="n">
        <f aca="false">IFERROR(CHOOSE(MATCH($D$5,$AN$100:$AN$104,0),AUX_MATRIZES!P15,IFERROR(AUX_MATRIZES!P15/(AUX_MATRIZES!P27*MM_PARA_M3_HA),0),AUX_MATRIZES!P51,AUX_MATRIZES!P39,AUX_MATRIZES!P63*100),0)</f>
        <v>0</v>
      </c>
      <c r="Q15" s="18" t="n">
        <f aca="false">IFERROR(CHOOSE(MATCH($D$5,$AN$100:$AN$104,0),AUX_MATRIZES!Q15,IFERROR(AUX_MATRIZES!Q15/(AUX_MATRIZES!Q27*MM_PARA_M3_HA),0),AUX_MATRIZES!Q51,AUX_MATRIZES!Q39,AUX_MATRIZES!Q63*100),0)</f>
        <v>0</v>
      </c>
      <c r="R15" s="18" t="n">
        <f aca="false">IFERROR(CHOOSE(MATCH($D$5,$AN$100:$AN$104,0),AUX_MATRIZES!R15,IFERROR(AUX_MATRIZES!R15/(AUX_MATRIZES!R27*MM_PARA_M3_HA),0),AUX_MATRIZES!R51,AUX_MATRIZES!R39,AUX_MATRIZES!R63*100),0)</f>
        <v>0</v>
      </c>
      <c r="S15" s="18" t="n">
        <f aca="false">IFERROR(CHOOSE(MATCH($D$5,$AN$100:$AN$104,0),AUX_MATRIZES!S15,IFERROR(AUX_MATRIZES!S15/(AUX_MATRIZES!S27*MM_PARA_M3_HA),0),AUX_MATRIZES!S51,AUX_MATRIZES!S39,AUX_MATRIZES!S63*100),0)</f>
        <v>0</v>
      </c>
      <c r="T15" s="18" t="n">
        <f aca="false">IFERROR(CHOOSE(MATCH($D$5,$AN$100:$AN$104,0),AUX_MATRIZES!T15,IFERROR(AUX_MATRIZES!T15/(AUX_MATRIZES!T27*MM_PARA_M3_HA),0),AUX_MATRIZES!T51,AUX_MATRIZES!T39,AUX_MATRIZES!T63*100),0)</f>
        <v>0</v>
      </c>
      <c r="U15" s="18" t="n">
        <f aca="false">IFERROR(CHOOSE(MATCH($D$5,$AN$100:$AN$104,0),AUX_MATRIZES!U15,IFERROR(AUX_MATRIZES!U15/(AUX_MATRIZES!U27*MM_PARA_M3_HA),0),AUX_MATRIZES!U51,AUX_MATRIZES!U39,AUX_MATRIZES!U63*100),0)</f>
        <v>0</v>
      </c>
      <c r="V15" s="18" t="n">
        <f aca="false">IFERROR(CHOOSE(MATCH($D$5,$AN$100:$AN$104,0),AUX_MATRIZES!V15,IFERROR(AUX_MATRIZES!V15/(AUX_MATRIZES!V27*MM_PARA_M3_HA),0),AUX_MATRIZES!V51,AUX_MATRIZES!V39,AUX_MATRIZES!V63*100),0)</f>
        <v>0</v>
      </c>
      <c r="W15" s="18" t="n">
        <f aca="false">IFERROR(CHOOSE(MATCH($D$5,$AN$100:$AN$104,0),AUX_MATRIZES!W15,IFERROR(AUX_MATRIZES!W15/(AUX_MATRIZES!W27*MM_PARA_M3_HA),0),AUX_MATRIZES!W51,AUX_MATRIZES!W39,AUX_MATRIZES!W63*100),0)</f>
        <v>0</v>
      </c>
      <c r="X15" s="18" t="n">
        <f aca="false">IFERROR(CHOOSE(MATCH($D$5,$AN$100:$AN$104,0),AUX_MATRIZES!X15,IFERROR(AUX_MATRIZES!X15/(AUX_MATRIZES!X27*MM_PARA_M3_HA),0),AUX_MATRIZES!X51,AUX_MATRIZES!X39,AUX_MATRIZES!X63*100),0)</f>
        <v>0</v>
      </c>
      <c r="Y15" s="18" t="n">
        <f aca="false">IFERROR(CHOOSE(MATCH($D$5,$AN$100:$AN$104,0),AUX_MATRIZES!Y15,IFERROR(AUX_MATRIZES!Y15/(AUX_MATRIZES!Y27*MM_PARA_M3_HA),0),AUX_MATRIZES!Y51,AUX_MATRIZES!Y39,AUX_MATRIZES!Y63*100),0)</f>
        <v>0</v>
      </c>
      <c r="Z15" s="18" t="n">
        <f aca="false">IFERROR(CHOOSE(MATCH($D$5,$AN$100:$AN$104,0),AUX_MATRIZES!Z15,IFERROR(AUX_MATRIZES!Z15/(AUX_MATRIZES!Z27*MM_PARA_M3_HA),0),AUX_MATRIZES!Z51,AUX_MATRIZES!Z39,AUX_MATRIZES!Z63*100),0)</f>
        <v>0</v>
      </c>
      <c r="AA15" s="18" t="n">
        <f aca="false">IFERROR(CHOOSE(MATCH($D$5,$AN$100:$AN$104,0),AUX_MATRIZES!AA15,IFERROR(AUX_MATRIZES!AA15/(AUX_MATRIZES!AA27*MM_PARA_M3_HA),0),AUX_MATRIZES!AA51,AUX_MATRIZES!AA39,AUX_MATRIZES!AA63*100),0)</f>
        <v>0</v>
      </c>
      <c r="AB15" s="18" t="n">
        <f aca="false">IFERROR(CHOOSE(MATCH($D$5,$AN$100:$AN$104,0),AUX_MATRIZES!AB15,IFERROR(AUX_MATRIZES!AB15/(AUX_MATRIZES!AB27*MM_PARA_M3_HA),0),AUX_MATRIZES!AB51,AUX_MATRIZES!AB39,AUX_MATRIZES!AB63*100),0)</f>
        <v>0</v>
      </c>
      <c r="AC15" s="18" t="n">
        <f aca="false">IFERROR(CHOOSE(MATCH($D$5,$AN$100:$AN$104,0),AUX_MATRIZES!AC15,IFERROR(AUX_MATRIZES!AC15/(AUX_MATRIZES!AC27*MM_PARA_M3_HA),0),AUX_MATRIZES!AC51,AUX_MATRIZES!AC39,AUX_MATRIZES!AC63*100),0)</f>
        <v>0</v>
      </c>
      <c r="AD15" s="18" t="n">
        <f aca="false">IFERROR(CHOOSE(MATCH($D$5,$AN$100:$AN$104,0),AUX_MATRIZES!AD15,IFERROR(AUX_MATRIZES!AD15/(AUX_MATRIZES!AD27*MM_PARA_M3_HA),0),AUX_MATRIZES!AD51,AUX_MATRIZES!AD39,AUX_MATRIZES!AD63*100),0)</f>
        <v>0</v>
      </c>
      <c r="AE15" s="18" t="n">
        <f aca="false">IFERROR(CHOOSE(MATCH($D$5,$AN$100:$AN$104,0),AUX_MATRIZES!AE15,IFERROR(AUX_MATRIZES!AE15/(AUX_MATRIZES!AE27*MM_PARA_M3_HA),0),AUX_MATRIZES!AE51,AUX_MATRIZES!AE39,AUX_MATRIZES!AE63*100),0)</f>
        <v>0</v>
      </c>
      <c r="AF15" s="18" t="n">
        <f aca="false">IFERROR(CHOOSE(MATCH($D$5,$AN$100:$AN$104,0),AUX_MATRIZES!AF15,IFERROR(AUX_MATRIZES!AF15/(AUX_MATRIZES!AF27*MM_PARA_M3_HA),0),AUX_MATRIZES!AF51,AUX_MATRIZES!AF39,AUX_MATRIZES!AF63*100),0)</f>
        <v>0</v>
      </c>
      <c r="AG15" s="18" t="n">
        <f aca="false">IFERROR(CHOOSE(MATCH($D$5,$AN$100:$AN$104,0),AUX_MATRIZES!AG15,IFERROR(AUX_MATRIZES!AG15/(AUX_MATRIZES!AG27*MM_PARA_M3_HA),0),AUX_MATRIZES!AG51,AUX_MATRIZES!AG39,AUX_MATRIZES!AG63*100),0)</f>
        <v>0</v>
      </c>
      <c r="AH15" s="18" t="n">
        <f aca="false">IFERROR(CHOOSE(MATCH($D$5,$AN$100:$AN$104,0),AUX_MATRIZES!AH15,IFERROR(AUX_MATRIZES!AH15/(AUX_MATRIZES!AH27*MM_PARA_M3_HA),0),AUX_MATRIZES!AH51,AUX_MATRIZES!AH39,AUX_MATRIZES!AH63*100),0)</f>
        <v>0</v>
      </c>
      <c r="AI15" s="18" t="n">
        <f aca="false">IFERROR(CHOOSE(MATCH($D$5,$AN$100:$AN$104,0),AUX_MATRIZES!AI15,IFERROR(AUX_MATRIZES!AI15/(AUX_MATRIZES!AI27*MM_PARA_M3_HA),0),AUX_MATRIZES!AI51,AUX_MATRIZES!AI39,AUX_MATRIZES!AI63*100),0)</f>
        <v>0</v>
      </c>
      <c r="AJ15" s="18" t="n">
        <f aca="false">IFERROR(CHOOSE(MATCH($D$5,$AN$100:$AN$104,0),AUX_MATRIZES!AJ15,IFERROR(AUX_MATRIZES!AJ15/(AUX_MATRIZES!AJ27*MM_PARA_M3_HA),0),AUX_MATRIZES!AJ51,AUX_MATRIZES!AJ39,AUX_MATRIZES!AJ63*100),0)</f>
        <v>0</v>
      </c>
      <c r="AK15" s="18" t="n">
        <f aca="false">IFERROR(CHOOSE(MATCH($D$5,$AN$100:$AN$104,0),AUX_MATRIZES!AK15,IFERROR(AUX_MATRIZES!AK15/(AUX_MATRIZES!AK27*MM_PARA_M3_HA),0),AUX_MATRIZES!AK51,AUX_MATRIZES!AK39,AUX_MATRIZES!AK63*100),0)</f>
        <v>0</v>
      </c>
      <c r="AL15" s="18" t="n">
        <f aca="false">IFERROR(CHOOSE(MATCH($D$5,$AN$100:$AN$104,0),AUX_MATRIZES!AL15,IFERROR(AUX_MATRIZES!AL15/(AUX_MATRIZES!AL27*MM_PARA_M3_HA),0),AUX_MATRIZES!AL51,AUX_MATRIZES!AL39,AUX_MATRIZES!AL63*100),0)</f>
        <v>0</v>
      </c>
      <c r="AM15" s="18" t="n">
        <f aca="false">IFERROR(CHOOSE(MATCH($D$5,$AN$100:$AN$104,0),AUX_MATRIZES!AM15,IFERROR(AUX_MATRIZES!AM15/(AUX_MATRIZES!AM27*MM_PARA_M3_HA),0),AUX_MATRIZES!AM51,AUX_MATRIZES!AM39,AUX_MATRIZES!AM63*100),0)</f>
        <v>0</v>
      </c>
      <c r="AN15" s="18" t="n">
        <f aca="false">IFERROR(CHOOSE(MATCH($D$5,$AN$100:$AN$104,0),AUX_MATRIZES!AN15,IFERROR(AUX_MATRIZES!AN15/(AUX_MATRIZES!AN27*MM_PARA_M3_HA),0),AUX_MATRIZES!AN51,AUX_MATRIZES!AN39,AUX_MATRIZES!AN63*100),0)</f>
        <v>0</v>
      </c>
      <c r="AO15" s="18" t="n">
        <f aca="false">IFERROR(CHOOSE(MATCH($D$5,$AN$100:$AN$104,0),AUX_MATRIZES!AO15,IFERROR(AUX_MATRIZES!AO15/(AUX_MATRIZES!AO27*MM_PARA_M3_HA),0),AUX_MATRIZES!AO51,AUX_MATRIZES!AO39,AUX_MATRIZES!AO63*100),0)</f>
        <v>0</v>
      </c>
      <c r="AP15" s="18" t="n">
        <f aca="false">IFERROR(CHOOSE(MATCH($D$5,$AN$100:$AN$104,0),AUX_MATRIZES!AP15,IFERROR(AUX_MATRIZES!AP15/(AUX_MATRIZES!AP27*MM_PARA_M3_HA),0),AUX_MATRIZES!AP51,AUX_MATRIZES!AP39,AUX_MATRIZES!AP63*100),0)</f>
        <v>0</v>
      </c>
      <c r="AQ15" s="18" t="n">
        <f aca="false">IFERROR(CHOOSE(MATCH($D$5,$AN$100:$AN$104,0),AUX_MATRIZES!AQ15,IFERROR(AUX_MATRIZES!AQ15/(AUX_MATRIZES!AQ27*MM_PARA_M3_HA),0),AUX_MATRIZES!AQ51,AUX_MATRIZES!AQ39,AUX_MATRIZES!AQ63*100),0)</f>
        <v>0</v>
      </c>
      <c r="AR15" s="18" t="n">
        <f aca="false">IFERROR(CHOOSE(MATCH($D$5,$AN$100:$AN$104,0),AUX_MATRIZES!AR15,IFERROR(AUX_MATRIZES!AR15/(AUX_MATRIZES!AR27*MM_PARA_M3_HA),0),AUX_MATRIZES!AR51,AUX_MATRIZES!AR39,AUX_MATRIZES!AR63*100),0)</f>
        <v>0</v>
      </c>
      <c r="AS15" s="18" t="n">
        <f aca="false">IFERROR(CHOOSE(MATCH($D$5,$AN$100:$AN$104,0),AUX_MATRIZES!AS15,IFERROR(AUX_MATRIZES!AS15/(AUX_MATRIZES!AS27*MM_PARA_M3_HA),0),AUX_MATRIZES!AS51,AUX_MATRIZES!AS39,AUX_MATRIZES!AS63*100),0)</f>
        <v>0</v>
      </c>
      <c r="AT15" s="18" t="n">
        <f aca="false">IFERROR(CHOOSE(MATCH($D$5,$AN$100:$AN$104,0),AUX_MATRIZES!AT15,IFERROR(AUX_MATRIZES!AT15/(AUX_MATRIZES!AT27*MM_PARA_M3_HA),0),AUX_MATRIZES!AT51,AUX_MATRIZES!AT39,AUX_MATRIZES!AT63*100),0)</f>
        <v>0</v>
      </c>
      <c r="AU15" s="18" t="n">
        <f aca="false">IFERROR(CHOOSE(MATCH($D$5,$AN$100:$AN$104,0),AUX_MATRIZES!AU15,IFERROR(AUX_MATRIZES!AU15/(AUX_MATRIZES!AU27*MM_PARA_M3_HA),0),AUX_MATRIZES!AU51,AUX_MATRIZES!AU39,AUX_MATRIZES!AU63*100),0)</f>
        <v>0</v>
      </c>
      <c r="AV15" s="18" t="n">
        <f aca="false">IFERROR(CHOOSE(MATCH($D$5,$AN$100:$AN$104,0),AUX_MATRIZES!AV15,IFERROR(AUX_MATRIZES!AV15/(AUX_MATRIZES!AV27*MM_PARA_M3_HA),0),AUX_MATRIZES!AV51,AUX_MATRIZES!AV39,AUX_MATRIZES!AV63*100),0)</f>
        <v>0</v>
      </c>
      <c r="AW15" s="18" t="n">
        <f aca="false">IFERROR(CHOOSE(MATCH($D$5,$AN$100:$AN$104,0),AUX_MATRIZES!AW15,IFERROR(AUX_MATRIZES!AW15/(AUX_MATRIZES!AW27*MM_PARA_M3_HA),0),AUX_MATRIZES!AW51,AUX_MATRIZES!AW39,AUX_MATRIZES!AW63*100),0)</f>
        <v>0</v>
      </c>
      <c r="AX15" s="18" t="n">
        <f aca="false">IFERROR(CHOOSE(MATCH($D$5,$AN$100:$AN$104,0),AUX_MATRIZES!AX15,IFERROR(AUX_MATRIZES!AX15/(AUX_MATRIZES!AX27*MM_PARA_M3_HA),0),AUX_MATRIZES!AX51,AUX_MATRIZES!AX39,AUX_MATRIZES!AX63*100),0)</f>
        <v>0</v>
      </c>
      <c r="AY15" s="18" t="n">
        <f aca="false">IFERROR(CHOOSE(MATCH($D$5,$AN$100:$AN$104,0),AUX_MATRIZES!AY15,IFERROR(AUX_MATRIZES!AY15/(AUX_MATRIZES!AY27*MM_PARA_M3_HA),0),AUX_MATRIZES!AY51,AUX_MATRIZES!AY39,AUX_MATRIZES!AY63*100),0)</f>
        <v>0</v>
      </c>
      <c r="AZ15" s="18" t="n">
        <f aca="false">IFERROR(CHOOSE(MATCH($D$5,$AN$100:$AN$104,0),AUX_MATRIZES!AZ15,IFERROR(AUX_MATRIZES!AZ15/(AUX_MATRIZES!AZ27*MM_PARA_M3_HA),0),AUX_MATRIZES!AZ51,AUX_MATRIZES!AZ39,AUX_MATRIZES!AZ63*100),0)</f>
        <v>0</v>
      </c>
      <c r="BA15" s="18" t="n">
        <f aca="false">IFERROR(CHOOSE(MATCH($D$5,$AN$100:$AN$104,0),AUX_MATRIZES!BA15,IFERROR(AUX_MATRIZES!BA15/(AUX_MATRIZES!BA27*MM_PARA_M3_HA),0),AUX_MATRIZES!BA51,AUX_MATRIZES!BA39,AUX_MATRIZES!BA63*100),0)</f>
        <v>0</v>
      </c>
      <c r="BB15" s="18" t="n">
        <f aca="false">IFERROR(CHOOSE(MATCH($D$5,$AN$100:$AN$104,0),AUX_MATRIZES!BB15,IFERROR(AUX_MATRIZES!BB15/(AUX_MATRIZES!BB27*MM_PARA_M3_HA),0),AUX_MATRIZES!BB51,AUX_MATRIZES!BB39,AUX_MATRIZES!BB63*100),0)</f>
        <v>0</v>
      </c>
      <c r="BC15" s="18" t="n">
        <f aca="false">IFERROR(CHOOSE(MATCH($D$5,$AN$100:$AN$104,0),AUX_MATRIZES!BC15,IFERROR(AUX_MATRIZES!BC15/(AUX_MATRIZES!BC27*MM_PARA_M3_HA),0),AUX_MATRIZES!BC51,AUX_MATRIZES!BC39,AUX_MATRIZES!BC63*100),0)</f>
        <v>0</v>
      </c>
      <c r="BD15" s="18" t="n">
        <f aca="false">IFERROR(CHOOSE(MATCH($D$5,$AN$100:$AN$104,0),AUX_MATRIZES!BD15,IFERROR(AUX_MATRIZES!BD15/(AUX_MATRIZES!BD27*MM_PARA_M3_HA),0),AUX_MATRIZES!BD51,AUX_MATRIZES!BD39,AUX_MATRIZES!BD63*100),0)</f>
        <v>0</v>
      </c>
      <c r="BE15" s="18" t="n">
        <f aca="false">IFERROR(CHOOSE(MATCH($D$5,$AN$100:$AN$104,0),AUX_MATRIZES!BE15,IFERROR(AUX_MATRIZES!BE15/(AUX_MATRIZES!BE27*MM_PARA_M3_HA),0),AUX_MATRIZES!BE51,AUX_MATRIZES!BE39,AUX_MATRIZES!BE63*100),0)</f>
        <v>0</v>
      </c>
      <c r="BF15" s="18" t="n">
        <f aca="false">IFERROR(CHOOSE(MATCH($D$5,$AN$100:$AN$104,0),AUX_MATRIZES!BF15,IFERROR(AUX_MATRIZES!BF15/(AUX_MATRIZES!BF27*MM_PARA_M3_HA),0),AUX_MATRIZES!BF51,AUX_MATRIZES!BF39,AUX_MATRIZES!BF63*100),0)</f>
        <v>0</v>
      </c>
      <c r="BG15" s="18" t="n">
        <f aca="false">IFERROR(CHOOSE(MATCH($D$5,$AN$100:$AN$104,0),AUX_MATRIZES!BG15,IFERROR(AUX_MATRIZES!BG15/(AUX_MATRIZES!BG27*MM_PARA_M3_HA),0),AUX_MATRIZES!BG51,AUX_MATRIZES!BG39,AUX_MATRIZES!BG63*100),0)</f>
        <v>0</v>
      </c>
      <c r="BH15" s="18" t="n">
        <f aca="false">IFERROR(CHOOSE(MATCH($D$5,$AN$100:$AN$104,0),AUX_MATRIZES!BH15,IFERROR(AUX_MATRIZES!BH15/(AUX_MATRIZES!BH27*MM_PARA_M3_HA),0),AUX_MATRIZES!BH51,AUX_MATRIZES!BH39,AUX_MATRIZES!BH63*100),0)</f>
        <v>0</v>
      </c>
      <c r="BI15" s="18" t="n">
        <f aca="false">IFERROR(CHOOSE(MATCH($D$5,$AN$100:$AN$104,0),AUX_MATRIZES!BI15,IFERROR(AUX_MATRIZES!BI15/(AUX_MATRIZES!BI27*MM_PARA_M3_HA),0),AUX_MATRIZES!BI51,AUX_MATRIZES!BI39,AUX_MATRIZES!BI63*100),0)</f>
        <v>0</v>
      </c>
      <c r="BJ15" s="18" t="n">
        <f aca="false">IFERROR(CHOOSE(MATCH($D$5,$AN$100:$AN$104,0),AUX_MATRIZES!BJ15,IFERROR(AUX_MATRIZES!BJ15/(AUX_MATRIZES!BJ27*MM_PARA_M3_HA),0),AUX_MATRIZES!BJ51,AUX_MATRIZES!BJ39,AUX_MATRIZES!BJ63*100),0)</f>
        <v>0</v>
      </c>
      <c r="BK15" s="18" t="n">
        <f aca="false">IFERROR(CHOOSE(MATCH($D$5,$AN$100:$AN$104,0),AUX_MATRIZES!BK15,IFERROR(AUX_MATRIZES!BK15/(AUX_MATRIZES!BK27*MM_PARA_M3_HA),0),AUX_MATRIZES!BK51,AUX_MATRIZES!BK39,AUX_MATRIZES!BK63*100),0)</f>
        <v>0</v>
      </c>
      <c r="BL15" s="18" t="n">
        <f aca="false">IFERROR(CHOOSE(MATCH($D$5,$AN$100:$AN$104,0),AUX_MATRIZES!BL15,IFERROR(AUX_MATRIZES!BL15/(AUX_MATRIZES!BL27*MM_PARA_M3_HA),0),AUX_MATRIZES!BL51,AUX_MATRIZES!BL39,AUX_MATRIZES!BL63*100),0)</f>
        <v>0</v>
      </c>
      <c r="BM15" s="18" t="n">
        <f aca="false">IFERROR(CHOOSE(MATCH($D$5,$AN$100:$AN$104,0),AUX_MATRIZES!BM15,IFERROR(AUX_MATRIZES!BM15/(AUX_MATRIZES!BM27*MM_PARA_M3_HA),0),AUX_MATRIZES!BM51,AUX_MATRIZES!BM39,AUX_MATRIZES!BM63*100),0)</f>
        <v>0</v>
      </c>
      <c r="BN15" s="18" t="n">
        <f aca="false">IFERROR(CHOOSE(MATCH($D$5,$AN$100:$AN$104,0),AUX_MATRIZES!BN15,IFERROR(AUX_MATRIZES!BN15/(AUX_MATRIZES!BN27*MM_PARA_M3_HA),0),AUX_MATRIZES!BN51,AUX_MATRIZES!BN39,AUX_MATRIZES!BN63*100),0)</f>
        <v>0</v>
      </c>
      <c r="BO15" s="18" t="n">
        <f aca="false">IFERROR(CHOOSE(MATCH($D$5,$AN$100:$AN$104,0),AUX_MATRIZES!BO15,IFERROR(AUX_MATRIZES!BO15/(AUX_MATRIZES!BO27*MM_PARA_M3_HA),0),AUX_MATRIZES!BO51,AUX_MATRIZES!BO39,AUX_MATRIZES!BO63*100),0)</f>
        <v>0</v>
      </c>
      <c r="BP15" s="18" t="n">
        <f aca="false">IFERROR(CHOOSE(MATCH($D$5,$AN$100:$AN$104,0),AUX_MATRIZES!BP15,IFERROR(AUX_MATRIZES!BP15/(AUX_MATRIZES!BP27*MM_PARA_M3_HA),0),AUX_MATRIZES!BP51,AUX_MATRIZES!BP39,AUX_MATRIZES!BP63*100),0)</f>
        <v>0</v>
      </c>
    </row>
    <row r="17" customFormat="false" ht="30" hidden="false" customHeight="true" outlineLevel="0" collapsed="false">
      <c r="B17" s="5" t="s">
        <v>136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00" customFormat="false" ht="15" hidden="false" customHeight="false" outlineLevel="0" collapsed="false">
      <c r="AN100" s="8" t="s">
        <v>127</v>
      </c>
    </row>
    <row r="101" customFormat="false" ht="15" hidden="false" customHeight="false" outlineLevel="0" collapsed="false">
      <c r="AN101" s="8" t="s">
        <v>137</v>
      </c>
    </row>
    <row r="102" customFormat="false" ht="15" hidden="false" customHeight="false" outlineLevel="0" collapsed="false">
      <c r="AN102" s="8" t="s">
        <v>138</v>
      </c>
    </row>
    <row r="103" customFormat="false" ht="15" hidden="false" customHeight="false" outlineLevel="0" collapsed="false">
      <c r="AN103" s="8" t="s">
        <v>139</v>
      </c>
    </row>
    <row r="104" customFormat="false" ht="15" hidden="false" customHeight="false" outlineLevel="0" collapsed="false">
      <c r="AN104" s="8" t="s">
        <v>140</v>
      </c>
    </row>
  </sheetData>
  <mergeCells count="4">
    <mergeCell ref="B2:L2"/>
    <mergeCell ref="B3:L3"/>
    <mergeCell ref="D5:H5"/>
    <mergeCell ref="B17:L17"/>
  </mergeCells>
  <conditionalFormatting sqref="C8:BP15">
    <cfRule type="colorScale" priority="2">
      <colorScale>
        <cfvo type="min" val="0"/>
        <cfvo type="percentile" val="50"/>
        <cfvo type="max" val="0"/>
        <color rgb="FFFFFFFF"/>
        <color rgb="FFFFEB9C"/>
        <color rgb="FFF8696B"/>
      </colorScale>
    </cfRule>
  </conditionalFormatting>
  <dataValidations count="1">
    <dataValidation allowBlank="false" errorStyle="stop" operator="between" showDropDown="false" showErrorMessage="false" showInputMessage="false" sqref="D5" type="list">
      <formula1>$AN$100:$AN$104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P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7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68" min="12" style="0" width="9"/>
  </cols>
  <sheetData>
    <row r="2" customFormat="false" ht="30" hidden="false" customHeight="true" outlineLevel="0" collapsed="false">
      <c r="B2" s="1" t="s">
        <v>141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5.5" hidden="false" customHeight="true" outlineLevel="0" collapsed="false">
      <c r="B3" s="2" t="s">
        <v>142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B5" s="3" t="s">
        <v>143</v>
      </c>
    </row>
    <row r="6" customFormat="false" ht="15" hidden="false" customHeight="false" outlineLevel="0" collapsed="false">
      <c r="B6" s="14" t="s">
        <v>68</v>
      </c>
      <c r="C6" s="22" t="n">
        <f aca="false">SEMANAS!$B$6</f>
        <v>1</v>
      </c>
      <c r="D6" s="22" t="n">
        <f aca="false">SEMANAS!$B$7</f>
        <v>2</v>
      </c>
      <c r="E6" s="22" t="n">
        <f aca="false">SEMANAS!$B$8</f>
        <v>3</v>
      </c>
      <c r="F6" s="22" t="n">
        <f aca="false">SEMANAS!$B$9</f>
        <v>4</v>
      </c>
      <c r="G6" s="22" t="n">
        <f aca="false">SEMANAS!$B$10</f>
        <v>5</v>
      </c>
      <c r="H6" s="22" t="n">
        <f aca="false">SEMANAS!$B$11</f>
        <v>6</v>
      </c>
      <c r="I6" s="22" t="n">
        <f aca="false">SEMANAS!$B$12</f>
        <v>7</v>
      </c>
      <c r="J6" s="22" t="n">
        <f aca="false">SEMANAS!$B$13</f>
        <v>8</v>
      </c>
      <c r="K6" s="22" t="n">
        <f aca="false">SEMANAS!$B$14</f>
        <v>9</v>
      </c>
      <c r="L6" s="22" t="n">
        <f aca="false">SEMANAS!$B$15</f>
        <v>10</v>
      </c>
      <c r="M6" s="22" t="n">
        <f aca="false">SEMANAS!$B$16</f>
        <v>11</v>
      </c>
      <c r="N6" s="22" t="n">
        <f aca="false">SEMANAS!$B$17</f>
        <v>12</v>
      </c>
      <c r="O6" s="22" t="n">
        <f aca="false">SEMANAS!$B$18</f>
        <v>13</v>
      </c>
      <c r="P6" s="22" t="n">
        <f aca="false">SEMANAS!$B$19</f>
        <v>14</v>
      </c>
      <c r="Q6" s="22" t="n">
        <f aca="false">SEMANAS!$B$20</f>
        <v>15</v>
      </c>
      <c r="R6" s="22" t="n">
        <f aca="false">SEMANAS!$B$21</f>
        <v>16</v>
      </c>
      <c r="S6" s="22" t="n">
        <f aca="false">SEMANAS!$B$22</f>
        <v>17</v>
      </c>
      <c r="T6" s="22" t="n">
        <f aca="false">SEMANAS!$B$23</f>
        <v>18</v>
      </c>
      <c r="U6" s="22" t="n">
        <f aca="false">SEMANAS!$B$24</f>
        <v>19</v>
      </c>
      <c r="V6" s="22" t="n">
        <f aca="false">SEMANAS!$B$25</f>
        <v>20</v>
      </c>
      <c r="W6" s="22" t="n">
        <f aca="false">SEMANAS!$B$26</f>
        <v>21</v>
      </c>
      <c r="X6" s="22" t="n">
        <f aca="false">SEMANAS!$B$27</f>
        <v>22</v>
      </c>
      <c r="Y6" s="22" t="n">
        <f aca="false">SEMANAS!$B$28</f>
        <v>23</v>
      </c>
      <c r="Z6" s="22" t="n">
        <f aca="false">SEMANAS!$B$29</f>
        <v>24</v>
      </c>
      <c r="AA6" s="22" t="n">
        <f aca="false">SEMANAS!$B$30</f>
        <v>25</v>
      </c>
      <c r="AB6" s="22" t="n">
        <f aca="false">SEMANAS!$B$31</f>
        <v>26</v>
      </c>
      <c r="AC6" s="22" t="n">
        <f aca="false">SEMANAS!$B$32</f>
        <v>27</v>
      </c>
      <c r="AD6" s="22" t="n">
        <f aca="false">SEMANAS!$B$33</f>
        <v>28</v>
      </c>
      <c r="AE6" s="22" t="n">
        <f aca="false">SEMANAS!$B$34</f>
        <v>29</v>
      </c>
      <c r="AF6" s="22" t="n">
        <f aca="false">SEMANAS!$B$35</f>
        <v>30</v>
      </c>
      <c r="AG6" s="22" t="n">
        <f aca="false">SEMANAS!$B$36</f>
        <v>31</v>
      </c>
      <c r="AH6" s="22" t="n">
        <f aca="false">SEMANAS!$B$37</f>
        <v>32</v>
      </c>
      <c r="AI6" s="22" t="n">
        <f aca="false">SEMANAS!$B$38</f>
        <v>33</v>
      </c>
      <c r="AJ6" s="22" t="n">
        <f aca="false">SEMANAS!$B$39</f>
        <v>34</v>
      </c>
      <c r="AK6" s="22" t="n">
        <f aca="false">SEMANAS!$B$40</f>
        <v>35</v>
      </c>
      <c r="AL6" s="22" t="n">
        <f aca="false">SEMANAS!$B$41</f>
        <v>36</v>
      </c>
      <c r="AM6" s="22" t="n">
        <f aca="false">SEMANAS!$B$42</f>
        <v>37</v>
      </c>
      <c r="AN6" s="22" t="n">
        <f aca="false">SEMANAS!$B$43</f>
        <v>38</v>
      </c>
      <c r="AO6" s="22" t="n">
        <f aca="false">SEMANAS!$B$44</f>
        <v>39</v>
      </c>
      <c r="AP6" s="22" t="n">
        <f aca="false">SEMANAS!$B$45</f>
        <v>40</v>
      </c>
      <c r="AQ6" s="22" t="n">
        <f aca="false">SEMANAS!$B$46</f>
        <v>41</v>
      </c>
      <c r="AR6" s="22" t="n">
        <f aca="false">SEMANAS!$B$47</f>
        <v>42</v>
      </c>
      <c r="AS6" s="22" t="n">
        <f aca="false">SEMANAS!$B$48</f>
        <v>43</v>
      </c>
      <c r="AT6" s="22" t="n">
        <f aca="false">SEMANAS!$B$49</f>
        <v>44</v>
      </c>
      <c r="AU6" s="22" t="n">
        <f aca="false">SEMANAS!$B$50</f>
        <v>45</v>
      </c>
      <c r="AV6" s="22" t="n">
        <f aca="false">SEMANAS!$B$51</f>
        <v>46</v>
      </c>
      <c r="AW6" s="22" t="n">
        <f aca="false">SEMANAS!$B$52</f>
        <v>47</v>
      </c>
      <c r="AX6" s="22" t="n">
        <f aca="false">SEMANAS!$B$53</f>
        <v>48</v>
      </c>
      <c r="AY6" s="22" t="n">
        <f aca="false">SEMANAS!$B$54</f>
        <v>49</v>
      </c>
      <c r="AZ6" s="22" t="n">
        <f aca="false">SEMANAS!$B$55</f>
        <v>50</v>
      </c>
      <c r="BA6" s="22" t="n">
        <f aca="false">SEMANAS!$B$56</f>
        <v>51</v>
      </c>
      <c r="BB6" s="22" t="n">
        <f aca="false">SEMANAS!$B$57</f>
        <v>52</v>
      </c>
      <c r="BC6" s="22" t="n">
        <f aca="false">SEMANAS!$B$58</f>
        <v>53</v>
      </c>
      <c r="BD6" s="22" t="n">
        <f aca="false">SEMANAS!$B$59</f>
        <v>54</v>
      </c>
      <c r="BE6" s="22" t="n">
        <f aca="false">SEMANAS!$B$60</f>
        <v>55</v>
      </c>
      <c r="BF6" s="22" t="n">
        <f aca="false">SEMANAS!$B$61</f>
        <v>56</v>
      </c>
      <c r="BG6" s="22" t="n">
        <f aca="false">SEMANAS!$B$62</f>
        <v>57</v>
      </c>
      <c r="BH6" s="22" t="n">
        <f aca="false">SEMANAS!$B$63</f>
        <v>58</v>
      </c>
      <c r="BI6" s="22" t="n">
        <f aca="false">SEMANAS!$B$64</f>
        <v>59</v>
      </c>
      <c r="BJ6" s="22" t="n">
        <f aca="false">SEMANAS!$B$65</f>
        <v>60</v>
      </c>
      <c r="BK6" s="22" t="n">
        <f aca="false">SEMANAS!$B$66</f>
        <v>61</v>
      </c>
      <c r="BL6" s="22" t="n">
        <f aca="false">SEMANAS!$B$67</f>
        <v>62</v>
      </c>
      <c r="BM6" s="22" t="n">
        <f aca="false">SEMANAS!$B$68</f>
        <v>63</v>
      </c>
      <c r="BN6" s="22" t="n">
        <f aca="false">SEMANAS!$B$69</f>
        <v>64</v>
      </c>
      <c r="BO6" s="22" t="n">
        <f aca="false">SEMANAS!$B$70</f>
        <v>65</v>
      </c>
      <c r="BP6" s="22" t="n">
        <f aca="false">SEMANAS!$B$71</f>
        <v>66</v>
      </c>
    </row>
    <row r="7" customFormat="false" ht="15" hidden="false" customHeight="false" outlineLevel="0" collapsed="false">
      <c r="B7" s="15" t="s">
        <v>128</v>
      </c>
      <c r="C7" s="16" t="n">
        <f aca="false">CADASTRO_CASAS_BOMBA!$J$6*DIAS_POR_SEMANA</f>
        <v>73500</v>
      </c>
      <c r="D7" s="16" t="n">
        <f aca="false">CADASTRO_CASAS_BOMBA!$J$6*DIAS_POR_SEMANA</f>
        <v>73500</v>
      </c>
      <c r="E7" s="16" t="n">
        <f aca="false">CADASTRO_CASAS_BOMBA!$J$6*DIAS_POR_SEMANA</f>
        <v>73500</v>
      </c>
      <c r="F7" s="16" t="n">
        <f aca="false">CADASTRO_CASAS_BOMBA!$J$6*DIAS_POR_SEMANA</f>
        <v>73500</v>
      </c>
      <c r="G7" s="16" t="n">
        <f aca="false">CADASTRO_CASAS_BOMBA!$J$6*DIAS_POR_SEMANA</f>
        <v>73500</v>
      </c>
      <c r="H7" s="16" t="n">
        <f aca="false">CADASTRO_CASAS_BOMBA!$J$6*DIAS_POR_SEMANA</f>
        <v>73500</v>
      </c>
      <c r="I7" s="16" t="n">
        <f aca="false">CADASTRO_CASAS_BOMBA!$J$6*DIAS_POR_SEMANA</f>
        <v>73500</v>
      </c>
      <c r="J7" s="16" t="n">
        <f aca="false">CADASTRO_CASAS_BOMBA!$J$6*DIAS_POR_SEMANA</f>
        <v>73500</v>
      </c>
      <c r="K7" s="16" t="n">
        <f aca="false">CADASTRO_CASAS_BOMBA!$J$6*DIAS_POR_SEMANA</f>
        <v>73500</v>
      </c>
      <c r="L7" s="16" t="n">
        <f aca="false">CADASTRO_CASAS_BOMBA!$J$6*DIAS_POR_SEMANA</f>
        <v>73500</v>
      </c>
      <c r="M7" s="16" t="n">
        <f aca="false">CADASTRO_CASAS_BOMBA!$J$6*DIAS_POR_SEMANA</f>
        <v>73500</v>
      </c>
      <c r="N7" s="16" t="n">
        <f aca="false">CADASTRO_CASAS_BOMBA!$J$6*DIAS_POR_SEMANA</f>
        <v>73500</v>
      </c>
      <c r="O7" s="16" t="n">
        <f aca="false">CADASTRO_CASAS_BOMBA!$J$6*DIAS_POR_SEMANA</f>
        <v>73500</v>
      </c>
      <c r="P7" s="16" t="n">
        <f aca="false">CADASTRO_CASAS_BOMBA!$J$6*DIAS_POR_SEMANA</f>
        <v>73500</v>
      </c>
      <c r="Q7" s="16" t="n">
        <f aca="false">CADASTRO_CASAS_BOMBA!$J$6*DIAS_POR_SEMANA</f>
        <v>73500</v>
      </c>
      <c r="R7" s="16" t="n">
        <f aca="false">CADASTRO_CASAS_BOMBA!$J$6*DIAS_POR_SEMANA</f>
        <v>73500</v>
      </c>
      <c r="S7" s="16" t="n">
        <f aca="false">CADASTRO_CASAS_BOMBA!$J$6*DIAS_POR_SEMANA</f>
        <v>73500</v>
      </c>
      <c r="T7" s="16" t="n">
        <f aca="false">CADASTRO_CASAS_BOMBA!$J$6*DIAS_POR_SEMANA</f>
        <v>73500</v>
      </c>
      <c r="U7" s="16" t="n">
        <f aca="false">CADASTRO_CASAS_BOMBA!$J$6*DIAS_POR_SEMANA</f>
        <v>73500</v>
      </c>
      <c r="V7" s="16" t="n">
        <f aca="false">CADASTRO_CASAS_BOMBA!$J$6*DIAS_POR_SEMANA</f>
        <v>73500</v>
      </c>
      <c r="W7" s="16" t="n">
        <f aca="false">CADASTRO_CASAS_BOMBA!$J$6*DIAS_POR_SEMANA</f>
        <v>73500</v>
      </c>
      <c r="X7" s="16" t="n">
        <f aca="false">CADASTRO_CASAS_BOMBA!$J$6*DIAS_POR_SEMANA</f>
        <v>73500</v>
      </c>
      <c r="Y7" s="16" t="n">
        <f aca="false">CADASTRO_CASAS_BOMBA!$J$6*DIAS_POR_SEMANA</f>
        <v>73500</v>
      </c>
      <c r="Z7" s="16" t="n">
        <f aca="false">CADASTRO_CASAS_BOMBA!$J$6*DIAS_POR_SEMANA</f>
        <v>73500</v>
      </c>
      <c r="AA7" s="16" t="n">
        <f aca="false">CADASTRO_CASAS_BOMBA!$J$6*DIAS_POR_SEMANA</f>
        <v>73500</v>
      </c>
      <c r="AB7" s="16" t="n">
        <f aca="false">CADASTRO_CASAS_BOMBA!$J$6*DIAS_POR_SEMANA</f>
        <v>73500</v>
      </c>
      <c r="AC7" s="16" t="n">
        <f aca="false">CADASTRO_CASAS_BOMBA!$J$6*DIAS_POR_SEMANA</f>
        <v>73500</v>
      </c>
      <c r="AD7" s="16" t="n">
        <f aca="false">CADASTRO_CASAS_BOMBA!$J$6*DIAS_POR_SEMANA</f>
        <v>73500</v>
      </c>
      <c r="AE7" s="16" t="n">
        <f aca="false">CADASTRO_CASAS_BOMBA!$J$6*DIAS_POR_SEMANA</f>
        <v>73500</v>
      </c>
      <c r="AF7" s="16" t="n">
        <f aca="false">CADASTRO_CASAS_BOMBA!$J$6*DIAS_POR_SEMANA</f>
        <v>73500</v>
      </c>
      <c r="AG7" s="16" t="n">
        <f aca="false">CADASTRO_CASAS_BOMBA!$J$6*DIAS_POR_SEMANA</f>
        <v>73500</v>
      </c>
      <c r="AH7" s="16" t="n">
        <f aca="false">CADASTRO_CASAS_BOMBA!$J$6*DIAS_POR_SEMANA</f>
        <v>73500</v>
      </c>
      <c r="AI7" s="16" t="n">
        <f aca="false">CADASTRO_CASAS_BOMBA!$J$6*DIAS_POR_SEMANA</f>
        <v>73500</v>
      </c>
      <c r="AJ7" s="16" t="n">
        <f aca="false">CADASTRO_CASAS_BOMBA!$J$6*DIAS_POR_SEMANA</f>
        <v>73500</v>
      </c>
      <c r="AK7" s="16" t="n">
        <f aca="false">CADASTRO_CASAS_BOMBA!$J$6*DIAS_POR_SEMANA</f>
        <v>73500</v>
      </c>
      <c r="AL7" s="16" t="n">
        <f aca="false">CADASTRO_CASAS_BOMBA!$J$6*DIAS_POR_SEMANA</f>
        <v>73500</v>
      </c>
      <c r="AM7" s="16" t="n">
        <f aca="false">CADASTRO_CASAS_BOMBA!$J$6*DIAS_POR_SEMANA</f>
        <v>73500</v>
      </c>
      <c r="AN7" s="16" t="n">
        <f aca="false">CADASTRO_CASAS_BOMBA!$J$6*DIAS_POR_SEMANA</f>
        <v>73500</v>
      </c>
      <c r="AO7" s="16" t="n">
        <f aca="false">CADASTRO_CASAS_BOMBA!$J$6*DIAS_POR_SEMANA</f>
        <v>73500</v>
      </c>
      <c r="AP7" s="16" t="n">
        <f aca="false">CADASTRO_CASAS_BOMBA!$J$6*DIAS_POR_SEMANA</f>
        <v>73500</v>
      </c>
      <c r="AQ7" s="16" t="n">
        <f aca="false">CADASTRO_CASAS_BOMBA!$J$6*DIAS_POR_SEMANA</f>
        <v>73500</v>
      </c>
      <c r="AR7" s="16" t="n">
        <f aca="false">CADASTRO_CASAS_BOMBA!$J$6*DIAS_POR_SEMANA</f>
        <v>73500</v>
      </c>
      <c r="AS7" s="16" t="n">
        <f aca="false">CADASTRO_CASAS_BOMBA!$J$6*DIAS_POR_SEMANA</f>
        <v>73500</v>
      </c>
      <c r="AT7" s="16" t="n">
        <f aca="false">CADASTRO_CASAS_BOMBA!$J$6*DIAS_POR_SEMANA</f>
        <v>73500</v>
      </c>
      <c r="AU7" s="16" t="n">
        <f aca="false">CADASTRO_CASAS_BOMBA!$J$6*DIAS_POR_SEMANA</f>
        <v>73500</v>
      </c>
      <c r="AV7" s="16" t="n">
        <f aca="false">CADASTRO_CASAS_BOMBA!$J$6*DIAS_POR_SEMANA</f>
        <v>73500</v>
      </c>
      <c r="AW7" s="16" t="n">
        <f aca="false">CADASTRO_CASAS_BOMBA!$J$6*DIAS_POR_SEMANA</f>
        <v>73500</v>
      </c>
      <c r="AX7" s="16" t="n">
        <f aca="false">CADASTRO_CASAS_BOMBA!$J$6*DIAS_POR_SEMANA</f>
        <v>73500</v>
      </c>
      <c r="AY7" s="16" t="n">
        <f aca="false">CADASTRO_CASAS_BOMBA!$J$6*DIAS_POR_SEMANA</f>
        <v>73500</v>
      </c>
      <c r="AZ7" s="16" t="n">
        <f aca="false">CADASTRO_CASAS_BOMBA!$J$6*DIAS_POR_SEMANA</f>
        <v>73500</v>
      </c>
      <c r="BA7" s="16" t="n">
        <f aca="false">CADASTRO_CASAS_BOMBA!$J$6*DIAS_POR_SEMANA</f>
        <v>73500</v>
      </c>
      <c r="BB7" s="16" t="n">
        <f aca="false">CADASTRO_CASAS_BOMBA!$J$6*DIAS_POR_SEMANA</f>
        <v>73500</v>
      </c>
      <c r="BC7" s="16" t="n">
        <f aca="false">CADASTRO_CASAS_BOMBA!$J$6*DIAS_POR_SEMANA</f>
        <v>73500</v>
      </c>
      <c r="BD7" s="16" t="n">
        <f aca="false">CADASTRO_CASAS_BOMBA!$J$6*DIAS_POR_SEMANA</f>
        <v>73500</v>
      </c>
      <c r="BE7" s="16" t="n">
        <f aca="false">CADASTRO_CASAS_BOMBA!$J$6*DIAS_POR_SEMANA</f>
        <v>73500</v>
      </c>
      <c r="BF7" s="16" t="n">
        <f aca="false">CADASTRO_CASAS_BOMBA!$J$6*DIAS_POR_SEMANA</f>
        <v>73500</v>
      </c>
      <c r="BG7" s="16" t="n">
        <f aca="false">CADASTRO_CASAS_BOMBA!$J$6*DIAS_POR_SEMANA</f>
        <v>73500</v>
      </c>
      <c r="BH7" s="16" t="n">
        <f aca="false">CADASTRO_CASAS_BOMBA!$J$6*DIAS_POR_SEMANA</f>
        <v>73500</v>
      </c>
      <c r="BI7" s="16" t="n">
        <f aca="false">CADASTRO_CASAS_BOMBA!$J$6*DIAS_POR_SEMANA</f>
        <v>73500</v>
      </c>
      <c r="BJ7" s="16" t="n">
        <f aca="false">CADASTRO_CASAS_BOMBA!$J$6*DIAS_POR_SEMANA</f>
        <v>73500</v>
      </c>
      <c r="BK7" s="16" t="n">
        <f aca="false">CADASTRO_CASAS_BOMBA!$J$6*DIAS_POR_SEMANA</f>
        <v>73500</v>
      </c>
      <c r="BL7" s="16" t="n">
        <f aca="false">CADASTRO_CASAS_BOMBA!$J$6*DIAS_POR_SEMANA</f>
        <v>73500</v>
      </c>
      <c r="BM7" s="16" t="n">
        <f aca="false">CADASTRO_CASAS_BOMBA!$J$6*DIAS_POR_SEMANA</f>
        <v>73500</v>
      </c>
      <c r="BN7" s="16" t="n">
        <f aca="false">CADASTRO_CASAS_BOMBA!$J$6*DIAS_POR_SEMANA</f>
        <v>73500</v>
      </c>
      <c r="BO7" s="16" t="n">
        <f aca="false">CADASTRO_CASAS_BOMBA!$J$6*DIAS_POR_SEMANA</f>
        <v>73500</v>
      </c>
      <c r="BP7" s="16" t="n">
        <f aca="false">CADASTRO_CASAS_BOMBA!$J$6*DIAS_POR_SEMANA</f>
        <v>73500</v>
      </c>
    </row>
    <row r="8" customFormat="false" ht="15" hidden="false" customHeight="false" outlineLevel="0" collapsed="false">
      <c r="B8" s="15" t="s">
        <v>129</v>
      </c>
      <c r="C8" s="16" t="n">
        <f aca="false">CADASTRO_CASAS_BOMBA!$J$7*DIAS_POR_SEMANA</f>
        <v>73500</v>
      </c>
      <c r="D8" s="16" t="n">
        <f aca="false">CADASTRO_CASAS_BOMBA!$J$7*DIAS_POR_SEMANA</f>
        <v>73500</v>
      </c>
      <c r="E8" s="16" t="n">
        <f aca="false">CADASTRO_CASAS_BOMBA!$J$7*DIAS_POR_SEMANA</f>
        <v>73500</v>
      </c>
      <c r="F8" s="16" t="n">
        <f aca="false">CADASTRO_CASAS_BOMBA!$J$7*DIAS_POR_SEMANA</f>
        <v>73500</v>
      </c>
      <c r="G8" s="16" t="n">
        <f aca="false">CADASTRO_CASAS_BOMBA!$J$7*DIAS_POR_SEMANA</f>
        <v>73500</v>
      </c>
      <c r="H8" s="16" t="n">
        <f aca="false">CADASTRO_CASAS_BOMBA!$J$7*DIAS_POR_SEMANA</f>
        <v>73500</v>
      </c>
      <c r="I8" s="16" t="n">
        <f aca="false">CADASTRO_CASAS_BOMBA!$J$7*DIAS_POR_SEMANA</f>
        <v>73500</v>
      </c>
      <c r="J8" s="16" t="n">
        <f aca="false">CADASTRO_CASAS_BOMBA!$J$7*DIAS_POR_SEMANA</f>
        <v>73500</v>
      </c>
      <c r="K8" s="16" t="n">
        <f aca="false">CADASTRO_CASAS_BOMBA!$J$7*DIAS_POR_SEMANA</f>
        <v>73500</v>
      </c>
      <c r="L8" s="16" t="n">
        <f aca="false">CADASTRO_CASAS_BOMBA!$J$7*DIAS_POR_SEMANA</f>
        <v>73500</v>
      </c>
      <c r="M8" s="16" t="n">
        <f aca="false">CADASTRO_CASAS_BOMBA!$J$7*DIAS_POR_SEMANA</f>
        <v>73500</v>
      </c>
      <c r="N8" s="16" t="n">
        <f aca="false">CADASTRO_CASAS_BOMBA!$J$7*DIAS_POR_SEMANA</f>
        <v>73500</v>
      </c>
      <c r="O8" s="16" t="n">
        <f aca="false">CADASTRO_CASAS_BOMBA!$J$7*DIAS_POR_SEMANA</f>
        <v>73500</v>
      </c>
      <c r="P8" s="16" t="n">
        <f aca="false">CADASTRO_CASAS_BOMBA!$J$7*DIAS_POR_SEMANA</f>
        <v>73500</v>
      </c>
      <c r="Q8" s="16" t="n">
        <f aca="false">CADASTRO_CASAS_BOMBA!$J$7*DIAS_POR_SEMANA</f>
        <v>73500</v>
      </c>
      <c r="R8" s="16" t="n">
        <f aca="false">CADASTRO_CASAS_BOMBA!$J$7*DIAS_POR_SEMANA</f>
        <v>73500</v>
      </c>
      <c r="S8" s="16" t="n">
        <f aca="false">CADASTRO_CASAS_BOMBA!$J$7*DIAS_POR_SEMANA</f>
        <v>73500</v>
      </c>
      <c r="T8" s="16" t="n">
        <f aca="false">CADASTRO_CASAS_BOMBA!$J$7*DIAS_POR_SEMANA</f>
        <v>73500</v>
      </c>
      <c r="U8" s="16" t="n">
        <f aca="false">CADASTRO_CASAS_BOMBA!$J$7*DIAS_POR_SEMANA</f>
        <v>73500</v>
      </c>
      <c r="V8" s="16" t="n">
        <f aca="false">CADASTRO_CASAS_BOMBA!$J$7*DIAS_POR_SEMANA</f>
        <v>73500</v>
      </c>
      <c r="W8" s="16" t="n">
        <f aca="false">CADASTRO_CASAS_BOMBA!$J$7*DIAS_POR_SEMANA</f>
        <v>73500</v>
      </c>
      <c r="X8" s="16" t="n">
        <f aca="false">CADASTRO_CASAS_BOMBA!$J$7*DIAS_POR_SEMANA</f>
        <v>73500</v>
      </c>
      <c r="Y8" s="16" t="n">
        <f aca="false">CADASTRO_CASAS_BOMBA!$J$7*DIAS_POR_SEMANA</f>
        <v>73500</v>
      </c>
      <c r="Z8" s="16" t="n">
        <f aca="false">CADASTRO_CASAS_BOMBA!$J$7*DIAS_POR_SEMANA</f>
        <v>73500</v>
      </c>
      <c r="AA8" s="16" t="n">
        <f aca="false">CADASTRO_CASAS_BOMBA!$J$7*DIAS_POR_SEMANA</f>
        <v>73500</v>
      </c>
      <c r="AB8" s="16" t="n">
        <f aca="false">CADASTRO_CASAS_BOMBA!$J$7*DIAS_POR_SEMANA</f>
        <v>73500</v>
      </c>
      <c r="AC8" s="16" t="n">
        <f aca="false">CADASTRO_CASAS_BOMBA!$J$7*DIAS_POR_SEMANA</f>
        <v>73500</v>
      </c>
      <c r="AD8" s="16" t="n">
        <f aca="false">CADASTRO_CASAS_BOMBA!$J$7*DIAS_POR_SEMANA</f>
        <v>73500</v>
      </c>
      <c r="AE8" s="16" t="n">
        <f aca="false">CADASTRO_CASAS_BOMBA!$J$7*DIAS_POR_SEMANA</f>
        <v>73500</v>
      </c>
      <c r="AF8" s="16" t="n">
        <f aca="false">CADASTRO_CASAS_BOMBA!$J$7*DIAS_POR_SEMANA</f>
        <v>73500</v>
      </c>
      <c r="AG8" s="16" t="n">
        <f aca="false">CADASTRO_CASAS_BOMBA!$J$7*DIAS_POR_SEMANA</f>
        <v>73500</v>
      </c>
      <c r="AH8" s="16" t="n">
        <f aca="false">CADASTRO_CASAS_BOMBA!$J$7*DIAS_POR_SEMANA</f>
        <v>73500</v>
      </c>
      <c r="AI8" s="16" t="n">
        <f aca="false">CADASTRO_CASAS_BOMBA!$J$7*DIAS_POR_SEMANA</f>
        <v>73500</v>
      </c>
      <c r="AJ8" s="16" t="n">
        <f aca="false">CADASTRO_CASAS_BOMBA!$J$7*DIAS_POR_SEMANA</f>
        <v>73500</v>
      </c>
      <c r="AK8" s="16" t="n">
        <f aca="false">CADASTRO_CASAS_BOMBA!$J$7*DIAS_POR_SEMANA</f>
        <v>73500</v>
      </c>
      <c r="AL8" s="16" t="n">
        <f aca="false">CADASTRO_CASAS_BOMBA!$J$7*DIAS_POR_SEMANA</f>
        <v>73500</v>
      </c>
      <c r="AM8" s="16" t="n">
        <f aca="false">CADASTRO_CASAS_BOMBA!$J$7*DIAS_POR_SEMANA</f>
        <v>73500</v>
      </c>
      <c r="AN8" s="16" t="n">
        <f aca="false">CADASTRO_CASAS_BOMBA!$J$7*DIAS_POR_SEMANA</f>
        <v>73500</v>
      </c>
      <c r="AO8" s="16" t="n">
        <f aca="false">CADASTRO_CASAS_BOMBA!$J$7*DIAS_POR_SEMANA</f>
        <v>73500</v>
      </c>
      <c r="AP8" s="16" t="n">
        <f aca="false">CADASTRO_CASAS_BOMBA!$J$7*DIAS_POR_SEMANA</f>
        <v>73500</v>
      </c>
      <c r="AQ8" s="16" t="n">
        <f aca="false">CADASTRO_CASAS_BOMBA!$J$7*DIAS_POR_SEMANA</f>
        <v>73500</v>
      </c>
      <c r="AR8" s="16" t="n">
        <f aca="false">CADASTRO_CASAS_BOMBA!$J$7*DIAS_POR_SEMANA</f>
        <v>73500</v>
      </c>
      <c r="AS8" s="16" t="n">
        <f aca="false">CADASTRO_CASAS_BOMBA!$J$7*DIAS_POR_SEMANA</f>
        <v>73500</v>
      </c>
      <c r="AT8" s="16" t="n">
        <f aca="false">CADASTRO_CASAS_BOMBA!$J$7*DIAS_POR_SEMANA</f>
        <v>73500</v>
      </c>
      <c r="AU8" s="16" t="n">
        <f aca="false">CADASTRO_CASAS_BOMBA!$J$7*DIAS_POR_SEMANA</f>
        <v>73500</v>
      </c>
      <c r="AV8" s="16" t="n">
        <f aca="false">CADASTRO_CASAS_BOMBA!$J$7*DIAS_POR_SEMANA</f>
        <v>73500</v>
      </c>
      <c r="AW8" s="16" t="n">
        <f aca="false">CADASTRO_CASAS_BOMBA!$J$7*DIAS_POR_SEMANA</f>
        <v>73500</v>
      </c>
      <c r="AX8" s="16" t="n">
        <f aca="false">CADASTRO_CASAS_BOMBA!$J$7*DIAS_POR_SEMANA</f>
        <v>73500</v>
      </c>
      <c r="AY8" s="16" t="n">
        <f aca="false">CADASTRO_CASAS_BOMBA!$J$7*DIAS_POR_SEMANA</f>
        <v>73500</v>
      </c>
      <c r="AZ8" s="16" t="n">
        <f aca="false">CADASTRO_CASAS_BOMBA!$J$7*DIAS_POR_SEMANA</f>
        <v>73500</v>
      </c>
      <c r="BA8" s="16" t="n">
        <f aca="false">CADASTRO_CASAS_BOMBA!$J$7*DIAS_POR_SEMANA</f>
        <v>73500</v>
      </c>
      <c r="BB8" s="16" t="n">
        <f aca="false">CADASTRO_CASAS_BOMBA!$J$7*DIAS_POR_SEMANA</f>
        <v>73500</v>
      </c>
      <c r="BC8" s="16" t="n">
        <f aca="false">CADASTRO_CASAS_BOMBA!$J$7*DIAS_POR_SEMANA</f>
        <v>73500</v>
      </c>
      <c r="BD8" s="16" t="n">
        <f aca="false">CADASTRO_CASAS_BOMBA!$J$7*DIAS_POR_SEMANA</f>
        <v>73500</v>
      </c>
      <c r="BE8" s="16" t="n">
        <f aca="false">CADASTRO_CASAS_BOMBA!$J$7*DIAS_POR_SEMANA</f>
        <v>73500</v>
      </c>
      <c r="BF8" s="16" t="n">
        <f aca="false">CADASTRO_CASAS_BOMBA!$J$7*DIAS_POR_SEMANA</f>
        <v>73500</v>
      </c>
      <c r="BG8" s="16" t="n">
        <f aca="false">CADASTRO_CASAS_BOMBA!$J$7*DIAS_POR_SEMANA</f>
        <v>73500</v>
      </c>
      <c r="BH8" s="16" t="n">
        <f aca="false">CADASTRO_CASAS_BOMBA!$J$7*DIAS_POR_SEMANA</f>
        <v>73500</v>
      </c>
      <c r="BI8" s="16" t="n">
        <f aca="false">CADASTRO_CASAS_BOMBA!$J$7*DIAS_POR_SEMANA</f>
        <v>73500</v>
      </c>
      <c r="BJ8" s="16" t="n">
        <f aca="false">CADASTRO_CASAS_BOMBA!$J$7*DIAS_POR_SEMANA</f>
        <v>73500</v>
      </c>
      <c r="BK8" s="16" t="n">
        <f aca="false">CADASTRO_CASAS_BOMBA!$J$7*DIAS_POR_SEMANA</f>
        <v>73500</v>
      </c>
      <c r="BL8" s="16" t="n">
        <f aca="false">CADASTRO_CASAS_BOMBA!$J$7*DIAS_POR_SEMANA</f>
        <v>73500</v>
      </c>
      <c r="BM8" s="16" t="n">
        <f aca="false">CADASTRO_CASAS_BOMBA!$J$7*DIAS_POR_SEMANA</f>
        <v>73500</v>
      </c>
      <c r="BN8" s="16" t="n">
        <f aca="false">CADASTRO_CASAS_BOMBA!$J$7*DIAS_POR_SEMANA</f>
        <v>73500</v>
      </c>
      <c r="BO8" s="16" t="n">
        <f aca="false">CADASTRO_CASAS_BOMBA!$J$7*DIAS_POR_SEMANA</f>
        <v>73500</v>
      </c>
      <c r="BP8" s="16" t="n">
        <f aca="false">CADASTRO_CASAS_BOMBA!$J$7*DIAS_POR_SEMANA</f>
        <v>73500</v>
      </c>
    </row>
    <row r="9" customFormat="false" ht="15" hidden="false" customHeight="false" outlineLevel="0" collapsed="false">
      <c r="B9" s="15" t="s">
        <v>130</v>
      </c>
      <c r="C9" s="16" t="n">
        <f aca="false">CADASTRO_CASAS_BOMBA!$J$8*DIAS_POR_SEMANA</f>
        <v>73500</v>
      </c>
      <c r="D9" s="16" t="n">
        <f aca="false">CADASTRO_CASAS_BOMBA!$J$8*DIAS_POR_SEMANA</f>
        <v>73500</v>
      </c>
      <c r="E9" s="16" t="n">
        <f aca="false">CADASTRO_CASAS_BOMBA!$J$8*DIAS_POR_SEMANA</f>
        <v>73500</v>
      </c>
      <c r="F9" s="16" t="n">
        <f aca="false">CADASTRO_CASAS_BOMBA!$J$8*DIAS_POR_SEMANA</f>
        <v>73500</v>
      </c>
      <c r="G9" s="16" t="n">
        <f aca="false">CADASTRO_CASAS_BOMBA!$J$8*DIAS_POR_SEMANA</f>
        <v>73500</v>
      </c>
      <c r="H9" s="16" t="n">
        <f aca="false">CADASTRO_CASAS_BOMBA!$J$8*DIAS_POR_SEMANA</f>
        <v>73500</v>
      </c>
      <c r="I9" s="16" t="n">
        <f aca="false">CADASTRO_CASAS_BOMBA!$J$8*DIAS_POR_SEMANA</f>
        <v>73500</v>
      </c>
      <c r="J9" s="16" t="n">
        <f aca="false">CADASTRO_CASAS_BOMBA!$J$8*DIAS_POR_SEMANA</f>
        <v>73500</v>
      </c>
      <c r="K9" s="16" t="n">
        <f aca="false">CADASTRO_CASAS_BOMBA!$J$8*DIAS_POR_SEMANA</f>
        <v>73500</v>
      </c>
      <c r="L9" s="16" t="n">
        <f aca="false">CADASTRO_CASAS_BOMBA!$J$8*DIAS_POR_SEMANA</f>
        <v>73500</v>
      </c>
      <c r="M9" s="16" t="n">
        <f aca="false">CADASTRO_CASAS_BOMBA!$J$8*DIAS_POR_SEMANA</f>
        <v>73500</v>
      </c>
      <c r="N9" s="16" t="n">
        <f aca="false">CADASTRO_CASAS_BOMBA!$J$8*DIAS_POR_SEMANA</f>
        <v>73500</v>
      </c>
      <c r="O9" s="16" t="n">
        <f aca="false">CADASTRO_CASAS_BOMBA!$J$8*DIAS_POR_SEMANA</f>
        <v>73500</v>
      </c>
      <c r="P9" s="16" t="n">
        <f aca="false">CADASTRO_CASAS_BOMBA!$J$8*DIAS_POR_SEMANA</f>
        <v>73500</v>
      </c>
      <c r="Q9" s="16" t="n">
        <f aca="false">CADASTRO_CASAS_BOMBA!$J$8*DIAS_POR_SEMANA</f>
        <v>73500</v>
      </c>
      <c r="R9" s="16" t="n">
        <f aca="false">CADASTRO_CASAS_BOMBA!$J$8*DIAS_POR_SEMANA</f>
        <v>73500</v>
      </c>
      <c r="S9" s="16" t="n">
        <f aca="false">CADASTRO_CASAS_BOMBA!$J$8*DIAS_POR_SEMANA</f>
        <v>73500</v>
      </c>
      <c r="T9" s="16" t="n">
        <f aca="false">CADASTRO_CASAS_BOMBA!$J$8*DIAS_POR_SEMANA</f>
        <v>73500</v>
      </c>
      <c r="U9" s="16" t="n">
        <f aca="false">CADASTRO_CASAS_BOMBA!$J$8*DIAS_POR_SEMANA</f>
        <v>73500</v>
      </c>
      <c r="V9" s="16" t="n">
        <f aca="false">CADASTRO_CASAS_BOMBA!$J$8*DIAS_POR_SEMANA</f>
        <v>73500</v>
      </c>
      <c r="W9" s="16" t="n">
        <f aca="false">CADASTRO_CASAS_BOMBA!$J$8*DIAS_POR_SEMANA</f>
        <v>73500</v>
      </c>
      <c r="X9" s="16" t="n">
        <f aca="false">CADASTRO_CASAS_BOMBA!$J$8*DIAS_POR_SEMANA</f>
        <v>73500</v>
      </c>
      <c r="Y9" s="16" t="n">
        <f aca="false">CADASTRO_CASAS_BOMBA!$J$8*DIAS_POR_SEMANA</f>
        <v>73500</v>
      </c>
      <c r="Z9" s="16" t="n">
        <f aca="false">CADASTRO_CASAS_BOMBA!$J$8*DIAS_POR_SEMANA</f>
        <v>73500</v>
      </c>
      <c r="AA9" s="16" t="n">
        <f aca="false">CADASTRO_CASAS_BOMBA!$J$8*DIAS_POR_SEMANA</f>
        <v>73500</v>
      </c>
      <c r="AB9" s="16" t="n">
        <f aca="false">CADASTRO_CASAS_BOMBA!$J$8*DIAS_POR_SEMANA</f>
        <v>73500</v>
      </c>
      <c r="AC9" s="16" t="n">
        <f aca="false">CADASTRO_CASAS_BOMBA!$J$8*DIAS_POR_SEMANA</f>
        <v>73500</v>
      </c>
      <c r="AD9" s="16" t="n">
        <f aca="false">CADASTRO_CASAS_BOMBA!$J$8*DIAS_POR_SEMANA</f>
        <v>73500</v>
      </c>
      <c r="AE9" s="16" t="n">
        <f aca="false">CADASTRO_CASAS_BOMBA!$J$8*DIAS_POR_SEMANA</f>
        <v>73500</v>
      </c>
      <c r="AF9" s="16" t="n">
        <f aca="false">CADASTRO_CASAS_BOMBA!$J$8*DIAS_POR_SEMANA</f>
        <v>73500</v>
      </c>
      <c r="AG9" s="16" t="n">
        <f aca="false">CADASTRO_CASAS_BOMBA!$J$8*DIAS_POR_SEMANA</f>
        <v>73500</v>
      </c>
      <c r="AH9" s="16" t="n">
        <f aca="false">CADASTRO_CASAS_BOMBA!$J$8*DIAS_POR_SEMANA</f>
        <v>73500</v>
      </c>
      <c r="AI9" s="16" t="n">
        <f aca="false">CADASTRO_CASAS_BOMBA!$J$8*DIAS_POR_SEMANA</f>
        <v>73500</v>
      </c>
      <c r="AJ9" s="16" t="n">
        <f aca="false">CADASTRO_CASAS_BOMBA!$J$8*DIAS_POR_SEMANA</f>
        <v>73500</v>
      </c>
      <c r="AK9" s="16" t="n">
        <f aca="false">CADASTRO_CASAS_BOMBA!$J$8*DIAS_POR_SEMANA</f>
        <v>73500</v>
      </c>
      <c r="AL9" s="16" t="n">
        <f aca="false">CADASTRO_CASAS_BOMBA!$J$8*DIAS_POR_SEMANA</f>
        <v>73500</v>
      </c>
      <c r="AM9" s="16" t="n">
        <f aca="false">CADASTRO_CASAS_BOMBA!$J$8*DIAS_POR_SEMANA</f>
        <v>73500</v>
      </c>
      <c r="AN9" s="16" t="n">
        <f aca="false">CADASTRO_CASAS_BOMBA!$J$8*DIAS_POR_SEMANA</f>
        <v>73500</v>
      </c>
      <c r="AO9" s="16" t="n">
        <f aca="false">CADASTRO_CASAS_BOMBA!$J$8*DIAS_POR_SEMANA</f>
        <v>73500</v>
      </c>
      <c r="AP9" s="16" t="n">
        <f aca="false">CADASTRO_CASAS_BOMBA!$J$8*DIAS_POR_SEMANA</f>
        <v>73500</v>
      </c>
      <c r="AQ9" s="16" t="n">
        <f aca="false">CADASTRO_CASAS_BOMBA!$J$8*DIAS_POR_SEMANA</f>
        <v>73500</v>
      </c>
      <c r="AR9" s="16" t="n">
        <f aca="false">CADASTRO_CASAS_BOMBA!$J$8*DIAS_POR_SEMANA</f>
        <v>73500</v>
      </c>
      <c r="AS9" s="16" t="n">
        <f aca="false">CADASTRO_CASAS_BOMBA!$J$8*DIAS_POR_SEMANA</f>
        <v>73500</v>
      </c>
      <c r="AT9" s="16" t="n">
        <f aca="false">CADASTRO_CASAS_BOMBA!$J$8*DIAS_POR_SEMANA</f>
        <v>73500</v>
      </c>
      <c r="AU9" s="16" t="n">
        <f aca="false">CADASTRO_CASAS_BOMBA!$J$8*DIAS_POR_SEMANA</f>
        <v>73500</v>
      </c>
      <c r="AV9" s="16" t="n">
        <f aca="false">CADASTRO_CASAS_BOMBA!$J$8*DIAS_POR_SEMANA</f>
        <v>73500</v>
      </c>
      <c r="AW9" s="16" t="n">
        <f aca="false">CADASTRO_CASAS_BOMBA!$J$8*DIAS_POR_SEMANA</f>
        <v>73500</v>
      </c>
      <c r="AX9" s="16" t="n">
        <f aca="false">CADASTRO_CASAS_BOMBA!$J$8*DIAS_POR_SEMANA</f>
        <v>73500</v>
      </c>
      <c r="AY9" s="16" t="n">
        <f aca="false">CADASTRO_CASAS_BOMBA!$J$8*DIAS_POR_SEMANA</f>
        <v>73500</v>
      </c>
      <c r="AZ9" s="16" t="n">
        <f aca="false">CADASTRO_CASAS_BOMBA!$J$8*DIAS_POR_SEMANA</f>
        <v>73500</v>
      </c>
      <c r="BA9" s="16" t="n">
        <f aca="false">CADASTRO_CASAS_BOMBA!$J$8*DIAS_POR_SEMANA</f>
        <v>73500</v>
      </c>
      <c r="BB9" s="16" t="n">
        <f aca="false">CADASTRO_CASAS_BOMBA!$J$8*DIAS_POR_SEMANA</f>
        <v>73500</v>
      </c>
      <c r="BC9" s="16" t="n">
        <f aca="false">CADASTRO_CASAS_BOMBA!$J$8*DIAS_POR_SEMANA</f>
        <v>73500</v>
      </c>
      <c r="BD9" s="16" t="n">
        <f aca="false">CADASTRO_CASAS_BOMBA!$J$8*DIAS_POR_SEMANA</f>
        <v>73500</v>
      </c>
      <c r="BE9" s="16" t="n">
        <f aca="false">CADASTRO_CASAS_BOMBA!$J$8*DIAS_POR_SEMANA</f>
        <v>73500</v>
      </c>
      <c r="BF9" s="16" t="n">
        <f aca="false">CADASTRO_CASAS_BOMBA!$J$8*DIAS_POR_SEMANA</f>
        <v>73500</v>
      </c>
      <c r="BG9" s="16" t="n">
        <f aca="false">CADASTRO_CASAS_BOMBA!$J$8*DIAS_POR_SEMANA</f>
        <v>73500</v>
      </c>
      <c r="BH9" s="16" t="n">
        <f aca="false">CADASTRO_CASAS_BOMBA!$J$8*DIAS_POR_SEMANA</f>
        <v>73500</v>
      </c>
      <c r="BI9" s="16" t="n">
        <f aca="false">CADASTRO_CASAS_BOMBA!$J$8*DIAS_POR_SEMANA</f>
        <v>73500</v>
      </c>
      <c r="BJ9" s="16" t="n">
        <f aca="false">CADASTRO_CASAS_BOMBA!$J$8*DIAS_POR_SEMANA</f>
        <v>73500</v>
      </c>
      <c r="BK9" s="16" t="n">
        <f aca="false">CADASTRO_CASAS_BOMBA!$J$8*DIAS_POR_SEMANA</f>
        <v>73500</v>
      </c>
      <c r="BL9" s="16" t="n">
        <f aca="false">CADASTRO_CASAS_BOMBA!$J$8*DIAS_POR_SEMANA</f>
        <v>73500</v>
      </c>
      <c r="BM9" s="16" t="n">
        <f aca="false">CADASTRO_CASAS_BOMBA!$J$8*DIAS_POR_SEMANA</f>
        <v>73500</v>
      </c>
      <c r="BN9" s="16" t="n">
        <f aca="false">CADASTRO_CASAS_BOMBA!$J$8*DIAS_POR_SEMANA</f>
        <v>73500</v>
      </c>
      <c r="BO9" s="16" t="n">
        <f aca="false">CADASTRO_CASAS_BOMBA!$J$8*DIAS_POR_SEMANA</f>
        <v>73500</v>
      </c>
      <c r="BP9" s="16" t="n">
        <f aca="false">CADASTRO_CASAS_BOMBA!$J$8*DIAS_POR_SEMANA</f>
        <v>73500</v>
      </c>
    </row>
    <row r="10" customFormat="false" ht="15" hidden="false" customHeight="false" outlineLevel="0" collapsed="false">
      <c r="B10" s="15" t="s">
        <v>131</v>
      </c>
      <c r="C10" s="16" t="n">
        <f aca="false">CADASTRO_CASAS_BOMBA!$J$9*DIAS_POR_SEMANA</f>
        <v>151410</v>
      </c>
      <c r="D10" s="16" t="n">
        <f aca="false">CADASTRO_CASAS_BOMBA!$J$9*DIAS_POR_SEMANA</f>
        <v>151410</v>
      </c>
      <c r="E10" s="16" t="n">
        <f aca="false">CADASTRO_CASAS_BOMBA!$J$9*DIAS_POR_SEMANA</f>
        <v>151410</v>
      </c>
      <c r="F10" s="16" t="n">
        <f aca="false">CADASTRO_CASAS_BOMBA!$J$9*DIAS_POR_SEMANA</f>
        <v>151410</v>
      </c>
      <c r="G10" s="16" t="n">
        <f aca="false">CADASTRO_CASAS_BOMBA!$J$9*DIAS_POR_SEMANA</f>
        <v>151410</v>
      </c>
      <c r="H10" s="16" t="n">
        <f aca="false">CADASTRO_CASAS_BOMBA!$J$9*DIAS_POR_SEMANA</f>
        <v>151410</v>
      </c>
      <c r="I10" s="16" t="n">
        <f aca="false">CADASTRO_CASAS_BOMBA!$J$9*DIAS_POR_SEMANA</f>
        <v>151410</v>
      </c>
      <c r="J10" s="16" t="n">
        <f aca="false">CADASTRO_CASAS_BOMBA!$J$9*DIAS_POR_SEMANA</f>
        <v>151410</v>
      </c>
      <c r="K10" s="16" t="n">
        <f aca="false">CADASTRO_CASAS_BOMBA!$J$9*DIAS_POR_SEMANA</f>
        <v>151410</v>
      </c>
      <c r="L10" s="16" t="n">
        <f aca="false">CADASTRO_CASAS_BOMBA!$J$9*DIAS_POR_SEMANA</f>
        <v>151410</v>
      </c>
      <c r="M10" s="16" t="n">
        <f aca="false">CADASTRO_CASAS_BOMBA!$J$9*DIAS_POR_SEMANA</f>
        <v>151410</v>
      </c>
      <c r="N10" s="16" t="n">
        <f aca="false">CADASTRO_CASAS_BOMBA!$J$9*DIAS_POR_SEMANA</f>
        <v>151410</v>
      </c>
      <c r="O10" s="16" t="n">
        <f aca="false">CADASTRO_CASAS_BOMBA!$J$9*DIAS_POR_SEMANA</f>
        <v>151410</v>
      </c>
      <c r="P10" s="16" t="n">
        <f aca="false">CADASTRO_CASAS_BOMBA!$J$9*DIAS_POR_SEMANA</f>
        <v>151410</v>
      </c>
      <c r="Q10" s="16" t="n">
        <f aca="false">CADASTRO_CASAS_BOMBA!$J$9*DIAS_POR_SEMANA</f>
        <v>151410</v>
      </c>
      <c r="R10" s="16" t="n">
        <f aca="false">CADASTRO_CASAS_BOMBA!$J$9*DIAS_POR_SEMANA</f>
        <v>151410</v>
      </c>
      <c r="S10" s="16" t="n">
        <f aca="false">CADASTRO_CASAS_BOMBA!$J$9*DIAS_POR_SEMANA</f>
        <v>151410</v>
      </c>
      <c r="T10" s="16" t="n">
        <f aca="false">CADASTRO_CASAS_BOMBA!$J$9*DIAS_POR_SEMANA</f>
        <v>151410</v>
      </c>
      <c r="U10" s="16" t="n">
        <f aca="false">CADASTRO_CASAS_BOMBA!$J$9*DIAS_POR_SEMANA</f>
        <v>151410</v>
      </c>
      <c r="V10" s="16" t="n">
        <f aca="false">CADASTRO_CASAS_BOMBA!$J$9*DIAS_POR_SEMANA</f>
        <v>151410</v>
      </c>
      <c r="W10" s="16" t="n">
        <f aca="false">CADASTRO_CASAS_BOMBA!$J$9*DIAS_POR_SEMANA</f>
        <v>151410</v>
      </c>
      <c r="X10" s="16" t="n">
        <f aca="false">CADASTRO_CASAS_BOMBA!$J$9*DIAS_POR_SEMANA</f>
        <v>151410</v>
      </c>
      <c r="Y10" s="16" t="n">
        <f aca="false">CADASTRO_CASAS_BOMBA!$J$9*DIAS_POR_SEMANA</f>
        <v>151410</v>
      </c>
      <c r="Z10" s="16" t="n">
        <f aca="false">CADASTRO_CASAS_BOMBA!$J$9*DIAS_POR_SEMANA</f>
        <v>151410</v>
      </c>
      <c r="AA10" s="16" t="n">
        <f aca="false">CADASTRO_CASAS_BOMBA!$J$9*DIAS_POR_SEMANA</f>
        <v>151410</v>
      </c>
      <c r="AB10" s="16" t="n">
        <f aca="false">CADASTRO_CASAS_BOMBA!$J$9*DIAS_POR_SEMANA</f>
        <v>151410</v>
      </c>
      <c r="AC10" s="16" t="n">
        <f aca="false">CADASTRO_CASAS_BOMBA!$J$9*DIAS_POR_SEMANA</f>
        <v>151410</v>
      </c>
      <c r="AD10" s="16" t="n">
        <f aca="false">CADASTRO_CASAS_BOMBA!$J$9*DIAS_POR_SEMANA</f>
        <v>151410</v>
      </c>
      <c r="AE10" s="16" t="n">
        <f aca="false">CADASTRO_CASAS_BOMBA!$J$9*DIAS_POR_SEMANA</f>
        <v>151410</v>
      </c>
      <c r="AF10" s="16" t="n">
        <f aca="false">CADASTRO_CASAS_BOMBA!$J$9*DIAS_POR_SEMANA</f>
        <v>151410</v>
      </c>
      <c r="AG10" s="16" t="n">
        <f aca="false">CADASTRO_CASAS_BOMBA!$J$9*DIAS_POR_SEMANA</f>
        <v>151410</v>
      </c>
      <c r="AH10" s="16" t="n">
        <f aca="false">CADASTRO_CASAS_BOMBA!$J$9*DIAS_POR_SEMANA</f>
        <v>151410</v>
      </c>
      <c r="AI10" s="16" t="n">
        <f aca="false">CADASTRO_CASAS_BOMBA!$J$9*DIAS_POR_SEMANA</f>
        <v>151410</v>
      </c>
      <c r="AJ10" s="16" t="n">
        <f aca="false">CADASTRO_CASAS_BOMBA!$J$9*DIAS_POR_SEMANA</f>
        <v>151410</v>
      </c>
      <c r="AK10" s="16" t="n">
        <f aca="false">CADASTRO_CASAS_BOMBA!$J$9*DIAS_POR_SEMANA</f>
        <v>151410</v>
      </c>
      <c r="AL10" s="16" t="n">
        <f aca="false">CADASTRO_CASAS_BOMBA!$J$9*DIAS_POR_SEMANA</f>
        <v>151410</v>
      </c>
      <c r="AM10" s="16" t="n">
        <f aca="false">CADASTRO_CASAS_BOMBA!$J$9*DIAS_POR_SEMANA</f>
        <v>151410</v>
      </c>
      <c r="AN10" s="16" t="n">
        <f aca="false">CADASTRO_CASAS_BOMBA!$J$9*DIAS_POR_SEMANA</f>
        <v>151410</v>
      </c>
      <c r="AO10" s="16" t="n">
        <f aca="false">CADASTRO_CASAS_BOMBA!$J$9*DIAS_POR_SEMANA</f>
        <v>151410</v>
      </c>
      <c r="AP10" s="16" t="n">
        <f aca="false">CADASTRO_CASAS_BOMBA!$J$9*DIAS_POR_SEMANA</f>
        <v>151410</v>
      </c>
      <c r="AQ10" s="16" t="n">
        <f aca="false">CADASTRO_CASAS_BOMBA!$J$9*DIAS_POR_SEMANA</f>
        <v>151410</v>
      </c>
      <c r="AR10" s="16" t="n">
        <f aca="false">CADASTRO_CASAS_BOMBA!$J$9*DIAS_POR_SEMANA</f>
        <v>151410</v>
      </c>
      <c r="AS10" s="16" t="n">
        <f aca="false">CADASTRO_CASAS_BOMBA!$J$9*DIAS_POR_SEMANA</f>
        <v>151410</v>
      </c>
      <c r="AT10" s="16" t="n">
        <f aca="false">CADASTRO_CASAS_BOMBA!$J$9*DIAS_POR_SEMANA</f>
        <v>151410</v>
      </c>
      <c r="AU10" s="16" t="n">
        <f aca="false">CADASTRO_CASAS_BOMBA!$J$9*DIAS_POR_SEMANA</f>
        <v>151410</v>
      </c>
      <c r="AV10" s="16" t="n">
        <f aca="false">CADASTRO_CASAS_BOMBA!$J$9*DIAS_POR_SEMANA</f>
        <v>151410</v>
      </c>
      <c r="AW10" s="16" t="n">
        <f aca="false">CADASTRO_CASAS_BOMBA!$J$9*DIAS_POR_SEMANA</f>
        <v>151410</v>
      </c>
      <c r="AX10" s="16" t="n">
        <f aca="false">CADASTRO_CASAS_BOMBA!$J$9*DIAS_POR_SEMANA</f>
        <v>151410</v>
      </c>
      <c r="AY10" s="16" t="n">
        <f aca="false">CADASTRO_CASAS_BOMBA!$J$9*DIAS_POR_SEMANA</f>
        <v>151410</v>
      </c>
      <c r="AZ10" s="16" t="n">
        <f aca="false">CADASTRO_CASAS_BOMBA!$J$9*DIAS_POR_SEMANA</f>
        <v>151410</v>
      </c>
      <c r="BA10" s="16" t="n">
        <f aca="false">CADASTRO_CASAS_BOMBA!$J$9*DIAS_POR_SEMANA</f>
        <v>151410</v>
      </c>
      <c r="BB10" s="16" t="n">
        <f aca="false">CADASTRO_CASAS_BOMBA!$J$9*DIAS_POR_SEMANA</f>
        <v>151410</v>
      </c>
      <c r="BC10" s="16" t="n">
        <f aca="false">CADASTRO_CASAS_BOMBA!$J$9*DIAS_POR_SEMANA</f>
        <v>151410</v>
      </c>
      <c r="BD10" s="16" t="n">
        <f aca="false">CADASTRO_CASAS_BOMBA!$J$9*DIAS_POR_SEMANA</f>
        <v>151410</v>
      </c>
      <c r="BE10" s="16" t="n">
        <f aca="false">CADASTRO_CASAS_BOMBA!$J$9*DIAS_POR_SEMANA</f>
        <v>151410</v>
      </c>
      <c r="BF10" s="16" t="n">
        <f aca="false">CADASTRO_CASAS_BOMBA!$J$9*DIAS_POR_SEMANA</f>
        <v>151410</v>
      </c>
      <c r="BG10" s="16" t="n">
        <f aca="false">CADASTRO_CASAS_BOMBA!$J$9*DIAS_POR_SEMANA</f>
        <v>151410</v>
      </c>
      <c r="BH10" s="16" t="n">
        <f aca="false">CADASTRO_CASAS_BOMBA!$J$9*DIAS_POR_SEMANA</f>
        <v>151410</v>
      </c>
      <c r="BI10" s="16" t="n">
        <f aca="false">CADASTRO_CASAS_BOMBA!$J$9*DIAS_POR_SEMANA</f>
        <v>151410</v>
      </c>
      <c r="BJ10" s="16" t="n">
        <f aca="false">CADASTRO_CASAS_BOMBA!$J$9*DIAS_POR_SEMANA</f>
        <v>151410</v>
      </c>
      <c r="BK10" s="16" t="n">
        <f aca="false">CADASTRO_CASAS_BOMBA!$J$9*DIAS_POR_SEMANA</f>
        <v>151410</v>
      </c>
      <c r="BL10" s="16" t="n">
        <f aca="false">CADASTRO_CASAS_BOMBA!$J$9*DIAS_POR_SEMANA</f>
        <v>151410</v>
      </c>
      <c r="BM10" s="16" t="n">
        <f aca="false">CADASTRO_CASAS_BOMBA!$J$9*DIAS_POR_SEMANA</f>
        <v>151410</v>
      </c>
      <c r="BN10" s="16" t="n">
        <f aca="false">CADASTRO_CASAS_BOMBA!$J$9*DIAS_POR_SEMANA</f>
        <v>151410</v>
      </c>
      <c r="BO10" s="16" t="n">
        <f aca="false">CADASTRO_CASAS_BOMBA!$J$9*DIAS_POR_SEMANA</f>
        <v>151410</v>
      </c>
      <c r="BP10" s="16" t="n">
        <f aca="false">CADASTRO_CASAS_BOMBA!$J$9*DIAS_POR_SEMANA</f>
        <v>151410</v>
      </c>
    </row>
    <row r="11" customFormat="false" ht="15" hidden="false" customHeight="false" outlineLevel="0" collapsed="false">
      <c r="B11" s="15" t="s">
        <v>132</v>
      </c>
      <c r="C11" s="16" t="n">
        <f aca="false">CADASTRO_CASAS_BOMBA!$J$10*DIAS_POR_SEMANA</f>
        <v>91581</v>
      </c>
      <c r="D11" s="16" t="n">
        <f aca="false">CADASTRO_CASAS_BOMBA!$J$10*DIAS_POR_SEMANA</f>
        <v>91581</v>
      </c>
      <c r="E11" s="16" t="n">
        <f aca="false">CADASTRO_CASAS_BOMBA!$J$10*DIAS_POR_SEMANA</f>
        <v>91581</v>
      </c>
      <c r="F11" s="16" t="n">
        <f aca="false">CADASTRO_CASAS_BOMBA!$J$10*DIAS_POR_SEMANA</f>
        <v>91581</v>
      </c>
      <c r="G11" s="16" t="n">
        <f aca="false">CADASTRO_CASAS_BOMBA!$J$10*DIAS_POR_SEMANA</f>
        <v>91581</v>
      </c>
      <c r="H11" s="16" t="n">
        <f aca="false">CADASTRO_CASAS_BOMBA!$J$10*DIAS_POR_SEMANA</f>
        <v>91581</v>
      </c>
      <c r="I11" s="16" t="n">
        <f aca="false">CADASTRO_CASAS_BOMBA!$J$10*DIAS_POR_SEMANA</f>
        <v>91581</v>
      </c>
      <c r="J11" s="16" t="n">
        <f aca="false">CADASTRO_CASAS_BOMBA!$J$10*DIAS_POR_SEMANA</f>
        <v>91581</v>
      </c>
      <c r="K11" s="16" t="n">
        <f aca="false">CADASTRO_CASAS_BOMBA!$J$10*DIAS_POR_SEMANA</f>
        <v>91581</v>
      </c>
      <c r="L11" s="16" t="n">
        <f aca="false">CADASTRO_CASAS_BOMBA!$J$10*DIAS_POR_SEMANA</f>
        <v>91581</v>
      </c>
      <c r="M11" s="16" t="n">
        <f aca="false">CADASTRO_CASAS_BOMBA!$J$10*DIAS_POR_SEMANA</f>
        <v>91581</v>
      </c>
      <c r="N11" s="16" t="n">
        <f aca="false">CADASTRO_CASAS_BOMBA!$J$10*DIAS_POR_SEMANA</f>
        <v>91581</v>
      </c>
      <c r="O11" s="16" t="n">
        <f aca="false">CADASTRO_CASAS_BOMBA!$J$10*DIAS_POR_SEMANA</f>
        <v>91581</v>
      </c>
      <c r="P11" s="16" t="n">
        <f aca="false">CADASTRO_CASAS_BOMBA!$J$10*DIAS_POR_SEMANA</f>
        <v>91581</v>
      </c>
      <c r="Q11" s="16" t="n">
        <f aca="false">CADASTRO_CASAS_BOMBA!$J$10*DIAS_POR_SEMANA</f>
        <v>91581</v>
      </c>
      <c r="R11" s="16" t="n">
        <f aca="false">CADASTRO_CASAS_BOMBA!$J$10*DIAS_POR_SEMANA</f>
        <v>91581</v>
      </c>
      <c r="S11" s="16" t="n">
        <f aca="false">CADASTRO_CASAS_BOMBA!$J$10*DIAS_POR_SEMANA</f>
        <v>91581</v>
      </c>
      <c r="T11" s="16" t="n">
        <f aca="false">CADASTRO_CASAS_BOMBA!$J$10*DIAS_POR_SEMANA</f>
        <v>91581</v>
      </c>
      <c r="U11" s="16" t="n">
        <f aca="false">CADASTRO_CASAS_BOMBA!$J$10*DIAS_POR_SEMANA</f>
        <v>91581</v>
      </c>
      <c r="V11" s="16" t="n">
        <f aca="false">CADASTRO_CASAS_BOMBA!$J$10*DIAS_POR_SEMANA</f>
        <v>91581</v>
      </c>
      <c r="W11" s="16" t="n">
        <f aca="false">CADASTRO_CASAS_BOMBA!$J$10*DIAS_POR_SEMANA</f>
        <v>91581</v>
      </c>
      <c r="X11" s="16" t="n">
        <f aca="false">CADASTRO_CASAS_BOMBA!$J$10*DIAS_POR_SEMANA</f>
        <v>91581</v>
      </c>
      <c r="Y11" s="16" t="n">
        <f aca="false">CADASTRO_CASAS_BOMBA!$J$10*DIAS_POR_SEMANA</f>
        <v>91581</v>
      </c>
      <c r="Z11" s="16" t="n">
        <f aca="false">CADASTRO_CASAS_BOMBA!$J$10*DIAS_POR_SEMANA</f>
        <v>91581</v>
      </c>
      <c r="AA11" s="16" t="n">
        <f aca="false">CADASTRO_CASAS_BOMBA!$J$10*DIAS_POR_SEMANA</f>
        <v>91581</v>
      </c>
      <c r="AB11" s="16" t="n">
        <f aca="false">CADASTRO_CASAS_BOMBA!$J$10*DIAS_POR_SEMANA</f>
        <v>91581</v>
      </c>
      <c r="AC11" s="16" t="n">
        <f aca="false">CADASTRO_CASAS_BOMBA!$J$10*DIAS_POR_SEMANA</f>
        <v>91581</v>
      </c>
      <c r="AD11" s="16" t="n">
        <f aca="false">CADASTRO_CASAS_BOMBA!$J$10*DIAS_POR_SEMANA</f>
        <v>91581</v>
      </c>
      <c r="AE11" s="16" t="n">
        <f aca="false">CADASTRO_CASAS_BOMBA!$J$10*DIAS_POR_SEMANA</f>
        <v>91581</v>
      </c>
      <c r="AF11" s="16" t="n">
        <f aca="false">CADASTRO_CASAS_BOMBA!$J$10*DIAS_POR_SEMANA</f>
        <v>91581</v>
      </c>
      <c r="AG11" s="16" t="n">
        <f aca="false">CADASTRO_CASAS_BOMBA!$J$10*DIAS_POR_SEMANA</f>
        <v>91581</v>
      </c>
      <c r="AH11" s="16" t="n">
        <f aca="false">CADASTRO_CASAS_BOMBA!$J$10*DIAS_POR_SEMANA</f>
        <v>91581</v>
      </c>
      <c r="AI11" s="16" t="n">
        <f aca="false">CADASTRO_CASAS_BOMBA!$J$10*DIAS_POR_SEMANA</f>
        <v>91581</v>
      </c>
      <c r="AJ11" s="16" t="n">
        <f aca="false">CADASTRO_CASAS_BOMBA!$J$10*DIAS_POR_SEMANA</f>
        <v>91581</v>
      </c>
      <c r="AK11" s="16" t="n">
        <f aca="false">CADASTRO_CASAS_BOMBA!$J$10*DIAS_POR_SEMANA</f>
        <v>91581</v>
      </c>
      <c r="AL11" s="16" t="n">
        <f aca="false">CADASTRO_CASAS_BOMBA!$J$10*DIAS_POR_SEMANA</f>
        <v>91581</v>
      </c>
      <c r="AM11" s="16" t="n">
        <f aca="false">CADASTRO_CASAS_BOMBA!$J$10*DIAS_POR_SEMANA</f>
        <v>91581</v>
      </c>
      <c r="AN11" s="16" t="n">
        <f aca="false">CADASTRO_CASAS_BOMBA!$J$10*DIAS_POR_SEMANA</f>
        <v>91581</v>
      </c>
      <c r="AO11" s="16" t="n">
        <f aca="false">CADASTRO_CASAS_BOMBA!$J$10*DIAS_POR_SEMANA</f>
        <v>91581</v>
      </c>
      <c r="AP11" s="16" t="n">
        <f aca="false">CADASTRO_CASAS_BOMBA!$J$10*DIAS_POR_SEMANA</f>
        <v>91581</v>
      </c>
      <c r="AQ11" s="16" t="n">
        <f aca="false">CADASTRO_CASAS_BOMBA!$J$10*DIAS_POR_SEMANA</f>
        <v>91581</v>
      </c>
      <c r="AR11" s="16" t="n">
        <f aca="false">CADASTRO_CASAS_BOMBA!$J$10*DIAS_POR_SEMANA</f>
        <v>91581</v>
      </c>
      <c r="AS11" s="16" t="n">
        <f aca="false">CADASTRO_CASAS_BOMBA!$J$10*DIAS_POR_SEMANA</f>
        <v>91581</v>
      </c>
      <c r="AT11" s="16" t="n">
        <f aca="false">CADASTRO_CASAS_BOMBA!$J$10*DIAS_POR_SEMANA</f>
        <v>91581</v>
      </c>
      <c r="AU11" s="16" t="n">
        <f aca="false">CADASTRO_CASAS_BOMBA!$J$10*DIAS_POR_SEMANA</f>
        <v>91581</v>
      </c>
      <c r="AV11" s="16" t="n">
        <f aca="false">CADASTRO_CASAS_BOMBA!$J$10*DIAS_POR_SEMANA</f>
        <v>91581</v>
      </c>
      <c r="AW11" s="16" t="n">
        <f aca="false">CADASTRO_CASAS_BOMBA!$J$10*DIAS_POR_SEMANA</f>
        <v>91581</v>
      </c>
      <c r="AX11" s="16" t="n">
        <f aca="false">CADASTRO_CASAS_BOMBA!$J$10*DIAS_POR_SEMANA</f>
        <v>91581</v>
      </c>
      <c r="AY11" s="16" t="n">
        <f aca="false">CADASTRO_CASAS_BOMBA!$J$10*DIAS_POR_SEMANA</f>
        <v>91581</v>
      </c>
      <c r="AZ11" s="16" t="n">
        <f aca="false">CADASTRO_CASAS_BOMBA!$J$10*DIAS_POR_SEMANA</f>
        <v>91581</v>
      </c>
      <c r="BA11" s="16" t="n">
        <f aca="false">CADASTRO_CASAS_BOMBA!$J$10*DIAS_POR_SEMANA</f>
        <v>91581</v>
      </c>
      <c r="BB11" s="16" t="n">
        <f aca="false">CADASTRO_CASAS_BOMBA!$J$10*DIAS_POR_SEMANA</f>
        <v>91581</v>
      </c>
      <c r="BC11" s="16" t="n">
        <f aca="false">CADASTRO_CASAS_BOMBA!$J$10*DIAS_POR_SEMANA</f>
        <v>91581</v>
      </c>
      <c r="BD11" s="16" t="n">
        <f aca="false">CADASTRO_CASAS_BOMBA!$J$10*DIAS_POR_SEMANA</f>
        <v>91581</v>
      </c>
      <c r="BE11" s="16" t="n">
        <f aca="false">CADASTRO_CASAS_BOMBA!$J$10*DIAS_POR_SEMANA</f>
        <v>91581</v>
      </c>
      <c r="BF11" s="16" t="n">
        <f aca="false">CADASTRO_CASAS_BOMBA!$J$10*DIAS_POR_SEMANA</f>
        <v>91581</v>
      </c>
      <c r="BG11" s="16" t="n">
        <f aca="false">CADASTRO_CASAS_BOMBA!$J$10*DIAS_POR_SEMANA</f>
        <v>91581</v>
      </c>
      <c r="BH11" s="16" t="n">
        <f aca="false">CADASTRO_CASAS_BOMBA!$J$10*DIAS_POR_SEMANA</f>
        <v>91581</v>
      </c>
      <c r="BI11" s="16" t="n">
        <f aca="false">CADASTRO_CASAS_BOMBA!$J$10*DIAS_POR_SEMANA</f>
        <v>91581</v>
      </c>
      <c r="BJ11" s="16" t="n">
        <f aca="false">CADASTRO_CASAS_BOMBA!$J$10*DIAS_POR_SEMANA</f>
        <v>91581</v>
      </c>
      <c r="BK11" s="16" t="n">
        <f aca="false">CADASTRO_CASAS_BOMBA!$J$10*DIAS_POR_SEMANA</f>
        <v>91581</v>
      </c>
      <c r="BL11" s="16" t="n">
        <f aca="false">CADASTRO_CASAS_BOMBA!$J$10*DIAS_POR_SEMANA</f>
        <v>91581</v>
      </c>
      <c r="BM11" s="16" t="n">
        <f aca="false">CADASTRO_CASAS_BOMBA!$J$10*DIAS_POR_SEMANA</f>
        <v>91581</v>
      </c>
      <c r="BN11" s="16" t="n">
        <f aca="false">CADASTRO_CASAS_BOMBA!$J$10*DIAS_POR_SEMANA</f>
        <v>91581</v>
      </c>
      <c r="BO11" s="16" t="n">
        <f aca="false">CADASTRO_CASAS_BOMBA!$J$10*DIAS_POR_SEMANA</f>
        <v>91581</v>
      </c>
      <c r="BP11" s="16" t="n">
        <f aca="false">CADASTRO_CASAS_BOMBA!$J$10*DIAS_POR_SEMANA</f>
        <v>91581</v>
      </c>
    </row>
    <row r="12" customFormat="false" ht="15" hidden="false" customHeight="false" outlineLevel="0" collapsed="false">
      <c r="B12" s="15" t="s">
        <v>133</v>
      </c>
      <c r="C12" s="16" t="n">
        <f aca="false">CADASTRO_CASAS_BOMBA!$J$11*DIAS_POR_SEMANA</f>
        <v>149940</v>
      </c>
      <c r="D12" s="16" t="n">
        <f aca="false">CADASTRO_CASAS_BOMBA!$J$11*DIAS_POR_SEMANA</f>
        <v>149940</v>
      </c>
      <c r="E12" s="16" t="n">
        <f aca="false">CADASTRO_CASAS_BOMBA!$J$11*DIAS_POR_SEMANA</f>
        <v>149940</v>
      </c>
      <c r="F12" s="16" t="n">
        <f aca="false">CADASTRO_CASAS_BOMBA!$J$11*DIAS_POR_SEMANA</f>
        <v>149940</v>
      </c>
      <c r="G12" s="16" t="n">
        <f aca="false">CADASTRO_CASAS_BOMBA!$J$11*DIAS_POR_SEMANA</f>
        <v>149940</v>
      </c>
      <c r="H12" s="16" t="n">
        <f aca="false">CADASTRO_CASAS_BOMBA!$J$11*DIAS_POR_SEMANA</f>
        <v>149940</v>
      </c>
      <c r="I12" s="16" t="n">
        <f aca="false">CADASTRO_CASAS_BOMBA!$J$11*DIAS_POR_SEMANA</f>
        <v>149940</v>
      </c>
      <c r="J12" s="16" t="n">
        <f aca="false">CADASTRO_CASAS_BOMBA!$J$11*DIAS_POR_SEMANA</f>
        <v>149940</v>
      </c>
      <c r="K12" s="16" t="n">
        <f aca="false">CADASTRO_CASAS_BOMBA!$J$11*DIAS_POR_SEMANA</f>
        <v>149940</v>
      </c>
      <c r="L12" s="16" t="n">
        <f aca="false">CADASTRO_CASAS_BOMBA!$J$11*DIAS_POR_SEMANA</f>
        <v>149940</v>
      </c>
      <c r="M12" s="16" t="n">
        <f aca="false">CADASTRO_CASAS_BOMBA!$J$11*DIAS_POR_SEMANA</f>
        <v>149940</v>
      </c>
      <c r="N12" s="16" t="n">
        <f aca="false">CADASTRO_CASAS_BOMBA!$J$11*DIAS_POR_SEMANA</f>
        <v>149940</v>
      </c>
      <c r="O12" s="16" t="n">
        <f aca="false">CADASTRO_CASAS_BOMBA!$J$11*DIAS_POR_SEMANA</f>
        <v>149940</v>
      </c>
      <c r="P12" s="16" t="n">
        <f aca="false">CADASTRO_CASAS_BOMBA!$J$11*DIAS_POR_SEMANA</f>
        <v>149940</v>
      </c>
      <c r="Q12" s="16" t="n">
        <f aca="false">CADASTRO_CASAS_BOMBA!$J$11*DIAS_POR_SEMANA</f>
        <v>149940</v>
      </c>
      <c r="R12" s="16" t="n">
        <f aca="false">CADASTRO_CASAS_BOMBA!$J$11*DIAS_POR_SEMANA</f>
        <v>149940</v>
      </c>
      <c r="S12" s="16" t="n">
        <f aca="false">CADASTRO_CASAS_BOMBA!$J$11*DIAS_POR_SEMANA</f>
        <v>149940</v>
      </c>
      <c r="T12" s="16" t="n">
        <f aca="false">CADASTRO_CASAS_BOMBA!$J$11*DIAS_POR_SEMANA</f>
        <v>149940</v>
      </c>
      <c r="U12" s="16" t="n">
        <f aca="false">CADASTRO_CASAS_BOMBA!$J$11*DIAS_POR_SEMANA</f>
        <v>149940</v>
      </c>
      <c r="V12" s="16" t="n">
        <f aca="false">CADASTRO_CASAS_BOMBA!$J$11*DIAS_POR_SEMANA</f>
        <v>149940</v>
      </c>
      <c r="W12" s="16" t="n">
        <f aca="false">CADASTRO_CASAS_BOMBA!$J$11*DIAS_POR_SEMANA</f>
        <v>149940</v>
      </c>
      <c r="X12" s="16" t="n">
        <f aca="false">CADASTRO_CASAS_BOMBA!$J$11*DIAS_POR_SEMANA</f>
        <v>149940</v>
      </c>
      <c r="Y12" s="16" t="n">
        <f aca="false">CADASTRO_CASAS_BOMBA!$J$11*DIAS_POR_SEMANA</f>
        <v>149940</v>
      </c>
      <c r="Z12" s="16" t="n">
        <f aca="false">CADASTRO_CASAS_BOMBA!$J$11*DIAS_POR_SEMANA</f>
        <v>149940</v>
      </c>
      <c r="AA12" s="16" t="n">
        <f aca="false">CADASTRO_CASAS_BOMBA!$J$11*DIAS_POR_SEMANA</f>
        <v>149940</v>
      </c>
      <c r="AB12" s="16" t="n">
        <f aca="false">CADASTRO_CASAS_BOMBA!$J$11*DIAS_POR_SEMANA</f>
        <v>149940</v>
      </c>
      <c r="AC12" s="16" t="n">
        <f aca="false">CADASTRO_CASAS_BOMBA!$J$11*DIAS_POR_SEMANA</f>
        <v>149940</v>
      </c>
      <c r="AD12" s="16" t="n">
        <f aca="false">CADASTRO_CASAS_BOMBA!$J$11*DIAS_POR_SEMANA</f>
        <v>149940</v>
      </c>
      <c r="AE12" s="16" t="n">
        <f aca="false">CADASTRO_CASAS_BOMBA!$J$11*DIAS_POR_SEMANA</f>
        <v>149940</v>
      </c>
      <c r="AF12" s="16" t="n">
        <f aca="false">CADASTRO_CASAS_BOMBA!$J$11*DIAS_POR_SEMANA</f>
        <v>149940</v>
      </c>
      <c r="AG12" s="16" t="n">
        <f aca="false">CADASTRO_CASAS_BOMBA!$J$11*DIAS_POR_SEMANA</f>
        <v>149940</v>
      </c>
      <c r="AH12" s="16" t="n">
        <f aca="false">CADASTRO_CASAS_BOMBA!$J$11*DIAS_POR_SEMANA</f>
        <v>149940</v>
      </c>
      <c r="AI12" s="16" t="n">
        <f aca="false">CADASTRO_CASAS_BOMBA!$J$11*DIAS_POR_SEMANA</f>
        <v>149940</v>
      </c>
      <c r="AJ12" s="16" t="n">
        <f aca="false">CADASTRO_CASAS_BOMBA!$J$11*DIAS_POR_SEMANA</f>
        <v>149940</v>
      </c>
      <c r="AK12" s="16" t="n">
        <f aca="false">CADASTRO_CASAS_BOMBA!$J$11*DIAS_POR_SEMANA</f>
        <v>149940</v>
      </c>
      <c r="AL12" s="16" t="n">
        <f aca="false">CADASTRO_CASAS_BOMBA!$J$11*DIAS_POR_SEMANA</f>
        <v>149940</v>
      </c>
      <c r="AM12" s="16" t="n">
        <f aca="false">CADASTRO_CASAS_BOMBA!$J$11*DIAS_POR_SEMANA</f>
        <v>149940</v>
      </c>
      <c r="AN12" s="16" t="n">
        <f aca="false">CADASTRO_CASAS_BOMBA!$J$11*DIAS_POR_SEMANA</f>
        <v>149940</v>
      </c>
      <c r="AO12" s="16" t="n">
        <f aca="false">CADASTRO_CASAS_BOMBA!$J$11*DIAS_POR_SEMANA</f>
        <v>149940</v>
      </c>
      <c r="AP12" s="16" t="n">
        <f aca="false">CADASTRO_CASAS_BOMBA!$J$11*DIAS_POR_SEMANA</f>
        <v>149940</v>
      </c>
      <c r="AQ12" s="16" t="n">
        <f aca="false">CADASTRO_CASAS_BOMBA!$J$11*DIAS_POR_SEMANA</f>
        <v>149940</v>
      </c>
      <c r="AR12" s="16" t="n">
        <f aca="false">CADASTRO_CASAS_BOMBA!$J$11*DIAS_POR_SEMANA</f>
        <v>149940</v>
      </c>
      <c r="AS12" s="16" t="n">
        <f aca="false">CADASTRO_CASAS_BOMBA!$J$11*DIAS_POR_SEMANA</f>
        <v>149940</v>
      </c>
      <c r="AT12" s="16" t="n">
        <f aca="false">CADASTRO_CASAS_BOMBA!$J$11*DIAS_POR_SEMANA</f>
        <v>149940</v>
      </c>
      <c r="AU12" s="16" t="n">
        <f aca="false">CADASTRO_CASAS_BOMBA!$J$11*DIAS_POR_SEMANA</f>
        <v>149940</v>
      </c>
      <c r="AV12" s="16" t="n">
        <f aca="false">CADASTRO_CASAS_BOMBA!$J$11*DIAS_POR_SEMANA</f>
        <v>149940</v>
      </c>
      <c r="AW12" s="16" t="n">
        <f aca="false">CADASTRO_CASAS_BOMBA!$J$11*DIAS_POR_SEMANA</f>
        <v>149940</v>
      </c>
      <c r="AX12" s="16" t="n">
        <f aca="false">CADASTRO_CASAS_BOMBA!$J$11*DIAS_POR_SEMANA</f>
        <v>149940</v>
      </c>
      <c r="AY12" s="16" t="n">
        <f aca="false">CADASTRO_CASAS_BOMBA!$J$11*DIAS_POR_SEMANA</f>
        <v>149940</v>
      </c>
      <c r="AZ12" s="16" t="n">
        <f aca="false">CADASTRO_CASAS_BOMBA!$J$11*DIAS_POR_SEMANA</f>
        <v>149940</v>
      </c>
      <c r="BA12" s="16" t="n">
        <f aca="false">CADASTRO_CASAS_BOMBA!$J$11*DIAS_POR_SEMANA</f>
        <v>149940</v>
      </c>
      <c r="BB12" s="16" t="n">
        <f aca="false">CADASTRO_CASAS_BOMBA!$J$11*DIAS_POR_SEMANA</f>
        <v>149940</v>
      </c>
      <c r="BC12" s="16" t="n">
        <f aca="false">CADASTRO_CASAS_BOMBA!$J$11*DIAS_POR_SEMANA</f>
        <v>149940</v>
      </c>
      <c r="BD12" s="16" t="n">
        <f aca="false">CADASTRO_CASAS_BOMBA!$J$11*DIAS_POR_SEMANA</f>
        <v>149940</v>
      </c>
      <c r="BE12" s="16" t="n">
        <f aca="false">CADASTRO_CASAS_BOMBA!$J$11*DIAS_POR_SEMANA</f>
        <v>149940</v>
      </c>
      <c r="BF12" s="16" t="n">
        <f aca="false">CADASTRO_CASAS_BOMBA!$J$11*DIAS_POR_SEMANA</f>
        <v>149940</v>
      </c>
      <c r="BG12" s="16" t="n">
        <f aca="false">CADASTRO_CASAS_BOMBA!$J$11*DIAS_POR_SEMANA</f>
        <v>149940</v>
      </c>
      <c r="BH12" s="16" t="n">
        <f aca="false">CADASTRO_CASAS_BOMBA!$J$11*DIAS_POR_SEMANA</f>
        <v>149940</v>
      </c>
      <c r="BI12" s="16" t="n">
        <f aca="false">CADASTRO_CASAS_BOMBA!$J$11*DIAS_POR_SEMANA</f>
        <v>149940</v>
      </c>
      <c r="BJ12" s="16" t="n">
        <f aca="false">CADASTRO_CASAS_BOMBA!$J$11*DIAS_POR_SEMANA</f>
        <v>149940</v>
      </c>
      <c r="BK12" s="16" t="n">
        <f aca="false">CADASTRO_CASAS_BOMBA!$J$11*DIAS_POR_SEMANA</f>
        <v>149940</v>
      </c>
      <c r="BL12" s="16" t="n">
        <f aca="false">CADASTRO_CASAS_BOMBA!$J$11*DIAS_POR_SEMANA</f>
        <v>149940</v>
      </c>
      <c r="BM12" s="16" t="n">
        <f aca="false">CADASTRO_CASAS_BOMBA!$J$11*DIAS_POR_SEMANA</f>
        <v>149940</v>
      </c>
      <c r="BN12" s="16" t="n">
        <f aca="false">CADASTRO_CASAS_BOMBA!$J$11*DIAS_POR_SEMANA</f>
        <v>149940</v>
      </c>
      <c r="BO12" s="16" t="n">
        <f aca="false">CADASTRO_CASAS_BOMBA!$J$11*DIAS_POR_SEMANA</f>
        <v>149940</v>
      </c>
      <c r="BP12" s="16" t="n">
        <f aca="false">CADASTRO_CASAS_BOMBA!$J$11*DIAS_POR_SEMANA</f>
        <v>149940</v>
      </c>
    </row>
    <row r="13" customFormat="false" ht="15" hidden="false" customHeight="false" outlineLevel="0" collapsed="false">
      <c r="B13" s="15" t="s">
        <v>134</v>
      </c>
      <c r="C13" s="16" t="n">
        <f aca="false">CADASTRO_CASAS_BOMBA!$J$12*DIAS_POR_SEMANA</f>
        <v>177660</v>
      </c>
      <c r="D13" s="16" t="n">
        <f aca="false">CADASTRO_CASAS_BOMBA!$J$12*DIAS_POR_SEMANA</f>
        <v>177660</v>
      </c>
      <c r="E13" s="16" t="n">
        <f aca="false">CADASTRO_CASAS_BOMBA!$J$12*DIAS_POR_SEMANA</f>
        <v>177660</v>
      </c>
      <c r="F13" s="16" t="n">
        <f aca="false">CADASTRO_CASAS_BOMBA!$J$12*DIAS_POR_SEMANA</f>
        <v>177660</v>
      </c>
      <c r="G13" s="16" t="n">
        <f aca="false">CADASTRO_CASAS_BOMBA!$J$12*DIAS_POR_SEMANA</f>
        <v>177660</v>
      </c>
      <c r="H13" s="16" t="n">
        <f aca="false">CADASTRO_CASAS_BOMBA!$J$12*DIAS_POR_SEMANA</f>
        <v>177660</v>
      </c>
      <c r="I13" s="16" t="n">
        <f aca="false">CADASTRO_CASAS_BOMBA!$J$12*DIAS_POR_SEMANA</f>
        <v>177660</v>
      </c>
      <c r="J13" s="16" t="n">
        <f aca="false">CADASTRO_CASAS_BOMBA!$J$12*DIAS_POR_SEMANA</f>
        <v>177660</v>
      </c>
      <c r="K13" s="16" t="n">
        <f aca="false">CADASTRO_CASAS_BOMBA!$J$12*DIAS_POR_SEMANA</f>
        <v>177660</v>
      </c>
      <c r="L13" s="16" t="n">
        <f aca="false">CADASTRO_CASAS_BOMBA!$J$12*DIAS_POR_SEMANA</f>
        <v>177660</v>
      </c>
      <c r="M13" s="16" t="n">
        <f aca="false">CADASTRO_CASAS_BOMBA!$J$12*DIAS_POR_SEMANA</f>
        <v>177660</v>
      </c>
      <c r="N13" s="16" t="n">
        <f aca="false">CADASTRO_CASAS_BOMBA!$J$12*DIAS_POR_SEMANA</f>
        <v>177660</v>
      </c>
      <c r="O13" s="16" t="n">
        <f aca="false">CADASTRO_CASAS_BOMBA!$J$12*DIAS_POR_SEMANA</f>
        <v>177660</v>
      </c>
      <c r="P13" s="16" t="n">
        <f aca="false">CADASTRO_CASAS_BOMBA!$J$12*DIAS_POR_SEMANA</f>
        <v>177660</v>
      </c>
      <c r="Q13" s="16" t="n">
        <f aca="false">CADASTRO_CASAS_BOMBA!$J$12*DIAS_POR_SEMANA</f>
        <v>177660</v>
      </c>
      <c r="R13" s="16" t="n">
        <f aca="false">CADASTRO_CASAS_BOMBA!$J$12*DIAS_POR_SEMANA</f>
        <v>177660</v>
      </c>
      <c r="S13" s="16" t="n">
        <f aca="false">CADASTRO_CASAS_BOMBA!$J$12*DIAS_POR_SEMANA</f>
        <v>177660</v>
      </c>
      <c r="T13" s="16" t="n">
        <f aca="false">CADASTRO_CASAS_BOMBA!$J$12*DIAS_POR_SEMANA</f>
        <v>177660</v>
      </c>
      <c r="U13" s="16" t="n">
        <f aca="false">CADASTRO_CASAS_BOMBA!$J$12*DIAS_POR_SEMANA</f>
        <v>177660</v>
      </c>
      <c r="V13" s="16" t="n">
        <f aca="false">CADASTRO_CASAS_BOMBA!$J$12*DIAS_POR_SEMANA</f>
        <v>177660</v>
      </c>
      <c r="W13" s="16" t="n">
        <f aca="false">CADASTRO_CASAS_BOMBA!$J$12*DIAS_POR_SEMANA</f>
        <v>177660</v>
      </c>
      <c r="X13" s="16" t="n">
        <f aca="false">CADASTRO_CASAS_BOMBA!$J$12*DIAS_POR_SEMANA</f>
        <v>177660</v>
      </c>
      <c r="Y13" s="16" t="n">
        <f aca="false">CADASTRO_CASAS_BOMBA!$J$12*DIAS_POR_SEMANA</f>
        <v>177660</v>
      </c>
      <c r="Z13" s="16" t="n">
        <f aca="false">CADASTRO_CASAS_BOMBA!$J$12*DIAS_POR_SEMANA</f>
        <v>177660</v>
      </c>
      <c r="AA13" s="16" t="n">
        <f aca="false">CADASTRO_CASAS_BOMBA!$J$12*DIAS_POR_SEMANA</f>
        <v>177660</v>
      </c>
      <c r="AB13" s="16" t="n">
        <f aca="false">CADASTRO_CASAS_BOMBA!$J$12*DIAS_POR_SEMANA</f>
        <v>177660</v>
      </c>
      <c r="AC13" s="16" t="n">
        <f aca="false">CADASTRO_CASAS_BOMBA!$J$12*DIAS_POR_SEMANA</f>
        <v>177660</v>
      </c>
      <c r="AD13" s="16" t="n">
        <f aca="false">CADASTRO_CASAS_BOMBA!$J$12*DIAS_POR_SEMANA</f>
        <v>177660</v>
      </c>
      <c r="AE13" s="16" t="n">
        <f aca="false">CADASTRO_CASAS_BOMBA!$J$12*DIAS_POR_SEMANA</f>
        <v>177660</v>
      </c>
      <c r="AF13" s="16" t="n">
        <f aca="false">CADASTRO_CASAS_BOMBA!$J$12*DIAS_POR_SEMANA</f>
        <v>177660</v>
      </c>
      <c r="AG13" s="16" t="n">
        <f aca="false">CADASTRO_CASAS_BOMBA!$J$12*DIAS_POR_SEMANA</f>
        <v>177660</v>
      </c>
      <c r="AH13" s="16" t="n">
        <f aca="false">CADASTRO_CASAS_BOMBA!$J$12*DIAS_POR_SEMANA</f>
        <v>177660</v>
      </c>
      <c r="AI13" s="16" t="n">
        <f aca="false">CADASTRO_CASAS_BOMBA!$J$12*DIAS_POR_SEMANA</f>
        <v>177660</v>
      </c>
      <c r="AJ13" s="16" t="n">
        <f aca="false">CADASTRO_CASAS_BOMBA!$J$12*DIAS_POR_SEMANA</f>
        <v>177660</v>
      </c>
      <c r="AK13" s="16" t="n">
        <f aca="false">CADASTRO_CASAS_BOMBA!$J$12*DIAS_POR_SEMANA</f>
        <v>177660</v>
      </c>
      <c r="AL13" s="16" t="n">
        <f aca="false">CADASTRO_CASAS_BOMBA!$J$12*DIAS_POR_SEMANA</f>
        <v>177660</v>
      </c>
      <c r="AM13" s="16" t="n">
        <f aca="false">CADASTRO_CASAS_BOMBA!$J$12*DIAS_POR_SEMANA</f>
        <v>177660</v>
      </c>
      <c r="AN13" s="16" t="n">
        <f aca="false">CADASTRO_CASAS_BOMBA!$J$12*DIAS_POR_SEMANA</f>
        <v>177660</v>
      </c>
      <c r="AO13" s="16" t="n">
        <f aca="false">CADASTRO_CASAS_BOMBA!$J$12*DIAS_POR_SEMANA</f>
        <v>177660</v>
      </c>
      <c r="AP13" s="16" t="n">
        <f aca="false">CADASTRO_CASAS_BOMBA!$J$12*DIAS_POR_SEMANA</f>
        <v>177660</v>
      </c>
      <c r="AQ13" s="16" t="n">
        <f aca="false">CADASTRO_CASAS_BOMBA!$J$12*DIAS_POR_SEMANA</f>
        <v>177660</v>
      </c>
      <c r="AR13" s="16" t="n">
        <f aca="false">CADASTRO_CASAS_BOMBA!$J$12*DIAS_POR_SEMANA</f>
        <v>177660</v>
      </c>
      <c r="AS13" s="16" t="n">
        <f aca="false">CADASTRO_CASAS_BOMBA!$J$12*DIAS_POR_SEMANA</f>
        <v>177660</v>
      </c>
      <c r="AT13" s="16" t="n">
        <f aca="false">CADASTRO_CASAS_BOMBA!$J$12*DIAS_POR_SEMANA</f>
        <v>177660</v>
      </c>
      <c r="AU13" s="16" t="n">
        <f aca="false">CADASTRO_CASAS_BOMBA!$J$12*DIAS_POR_SEMANA</f>
        <v>177660</v>
      </c>
      <c r="AV13" s="16" t="n">
        <f aca="false">CADASTRO_CASAS_BOMBA!$J$12*DIAS_POR_SEMANA</f>
        <v>177660</v>
      </c>
      <c r="AW13" s="16" t="n">
        <f aca="false">CADASTRO_CASAS_BOMBA!$J$12*DIAS_POR_SEMANA</f>
        <v>177660</v>
      </c>
      <c r="AX13" s="16" t="n">
        <f aca="false">CADASTRO_CASAS_BOMBA!$J$12*DIAS_POR_SEMANA</f>
        <v>177660</v>
      </c>
      <c r="AY13" s="16" t="n">
        <f aca="false">CADASTRO_CASAS_BOMBA!$J$12*DIAS_POR_SEMANA</f>
        <v>177660</v>
      </c>
      <c r="AZ13" s="16" t="n">
        <f aca="false">CADASTRO_CASAS_BOMBA!$J$12*DIAS_POR_SEMANA</f>
        <v>177660</v>
      </c>
      <c r="BA13" s="16" t="n">
        <f aca="false">CADASTRO_CASAS_BOMBA!$J$12*DIAS_POR_SEMANA</f>
        <v>177660</v>
      </c>
      <c r="BB13" s="16" t="n">
        <f aca="false">CADASTRO_CASAS_BOMBA!$J$12*DIAS_POR_SEMANA</f>
        <v>177660</v>
      </c>
      <c r="BC13" s="16" t="n">
        <f aca="false">CADASTRO_CASAS_BOMBA!$J$12*DIAS_POR_SEMANA</f>
        <v>177660</v>
      </c>
      <c r="BD13" s="16" t="n">
        <f aca="false">CADASTRO_CASAS_BOMBA!$J$12*DIAS_POR_SEMANA</f>
        <v>177660</v>
      </c>
      <c r="BE13" s="16" t="n">
        <f aca="false">CADASTRO_CASAS_BOMBA!$J$12*DIAS_POR_SEMANA</f>
        <v>177660</v>
      </c>
      <c r="BF13" s="16" t="n">
        <f aca="false">CADASTRO_CASAS_BOMBA!$J$12*DIAS_POR_SEMANA</f>
        <v>177660</v>
      </c>
      <c r="BG13" s="16" t="n">
        <f aca="false">CADASTRO_CASAS_BOMBA!$J$12*DIAS_POR_SEMANA</f>
        <v>177660</v>
      </c>
      <c r="BH13" s="16" t="n">
        <f aca="false">CADASTRO_CASAS_BOMBA!$J$12*DIAS_POR_SEMANA</f>
        <v>177660</v>
      </c>
      <c r="BI13" s="16" t="n">
        <f aca="false">CADASTRO_CASAS_BOMBA!$J$12*DIAS_POR_SEMANA</f>
        <v>177660</v>
      </c>
      <c r="BJ13" s="16" t="n">
        <f aca="false">CADASTRO_CASAS_BOMBA!$J$12*DIAS_POR_SEMANA</f>
        <v>177660</v>
      </c>
      <c r="BK13" s="16" t="n">
        <f aca="false">CADASTRO_CASAS_BOMBA!$J$12*DIAS_POR_SEMANA</f>
        <v>177660</v>
      </c>
      <c r="BL13" s="16" t="n">
        <f aca="false">CADASTRO_CASAS_BOMBA!$J$12*DIAS_POR_SEMANA</f>
        <v>177660</v>
      </c>
      <c r="BM13" s="16" t="n">
        <f aca="false">CADASTRO_CASAS_BOMBA!$J$12*DIAS_POR_SEMANA</f>
        <v>177660</v>
      </c>
      <c r="BN13" s="16" t="n">
        <f aca="false">CADASTRO_CASAS_BOMBA!$J$12*DIAS_POR_SEMANA</f>
        <v>177660</v>
      </c>
      <c r="BO13" s="16" t="n">
        <f aca="false">CADASTRO_CASAS_BOMBA!$J$12*DIAS_POR_SEMANA</f>
        <v>177660</v>
      </c>
      <c r="BP13" s="16" t="n">
        <f aca="false">CADASTRO_CASAS_BOMBA!$J$12*DIAS_POR_SEMANA</f>
        <v>177660</v>
      </c>
    </row>
    <row r="14" customFormat="false" ht="15" hidden="false" customHeight="false" outlineLevel="0" collapsed="false">
      <c r="B14" s="15" t="s">
        <v>135</v>
      </c>
      <c r="C14" s="16" t="n">
        <f aca="false">CADASTRO_CASAS_BOMBA!$J$13*DIAS_POR_SEMANA</f>
        <v>0</v>
      </c>
      <c r="D14" s="16" t="n">
        <f aca="false">CADASTRO_CASAS_BOMBA!$J$13*DIAS_POR_SEMANA</f>
        <v>0</v>
      </c>
      <c r="E14" s="16" t="n">
        <f aca="false">CADASTRO_CASAS_BOMBA!$J$13*DIAS_POR_SEMANA</f>
        <v>0</v>
      </c>
      <c r="F14" s="16" t="n">
        <f aca="false">CADASTRO_CASAS_BOMBA!$J$13*DIAS_POR_SEMANA</f>
        <v>0</v>
      </c>
      <c r="G14" s="16" t="n">
        <f aca="false">CADASTRO_CASAS_BOMBA!$J$13*DIAS_POR_SEMANA</f>
        <v>0</v>
      </c>
      <c r="H14" s="16" t="n">
        <f aca="false">CADASTRO_CASAS_BOMBA!$J$13*DIAS_POR_SEMANA</f>
        <v>0</v>
      </c>
      <c r="I14" s="16" t="n">
        <f aca="false">CADASTRO_CASAS_BOMBA!$J$13*DIAS_POR_SEMANA</f>
        <v>0</v>
      </c>
      <c r="J14" s="16" t="n">
        <f aca="false">CADASTRO_CASAS_BOMBA!$J$13*DIAS_POR_SEMANA</f>
        <v>0</v>
      </c>
      <c r="K14" s="16" t="n">
        <f aca="false">CADASTRO_CASAS_BOMBA!$J$13*DIAS_POR_SEMANA</f>
        <v>0</v>
      </c>
      <c r="L14" s="16" t="n">
        <f aca="false">CADASTRO_CASAS_BOMBA!$J$13*DIAS_POR_SEMANA</f>
        <v>0</v>
      </c>
      <c r="M14" s="16" t="n">
        <f aca="false">CADASTRO_CASAS_BOMBA!$J$13*DIAS_POR_SEMANA</f>
        <v>0</v>
      </c>
      <c r="N14" s="16" t="n">
        <f aca="false">CADASTRO_CASAS_BOMBA!$J$13*DIAS_POR_SEMANA</f>
        <v>0</v>
      </c>
      <c r="O14" s="16" t="n">
        <f aca="false">CADASTRO_CASAS_BOMBA!$J$13*DIAS_POR_SEMANA</f>
        <v>0</v>
      </c>
      <c r="P14" s="16" t="n">
        <f aca="false">CADASTRO_CASAS_BOMBA!$J$13*DIAS_POR_SEMANA</f>
        <v>0</v>
      </c>
      <c r="Q14" s="16" t="n">
        <f aca="false">CADASTRO_CASAS_BOMBA!$J$13*DIAS_POR_SEMANA</f>
        <v>0</v>
      </c>
      <c r="R14" s="16" t="n">
        <f aca="false">CADASTRO_CASAS_BOMBA!$J$13*DIAS_POR_SEMANA</f>
        <v>0</v>
      </c>
      <c r="S14" s="16" t="n">
        <f aca="false">CADASTRO_CASAS_BOMBA!$J$13*DIAS_POR_SEMANA</f>
        <v>0</v>
      </c>
      <c r="T14" s="16" t="n">
        <f aca="false">CADASTRO_CASAS_BOMBA!$J$13*DIAS_POR_SEMANA</f>
        <v>0</v>
      </c>
      <c r="U14" s="16" t="n">
        <f aca="false">CADASTRO_CASAS_BOMBA!$J$13*DIAS_POR_SEMANA</f>
        <v>0</v>
      </c>
      <c r="V14" s="16" t="n">
        <f aca="false">CADASTRO_CASAS_BOMBA!$J$13*DIAS_POR_SEMANA</f>
        <v>0</v>
      </c>
      <c r="W14" s="16" t="n">
        <f aca="false">CADASTRO_CASAS_BOMBA!$J$13*DIAS_POR_SEMANA</f>
        <v>0</v>
      </c>
      <c r="X14" s="16" t="n">
        <f aca="false">CADASTRO_CASAS_BOMBA!$J$13*DIAS_POR_SEMANA</f>
        <v>0</v>
      </c>
      <c r="Y14" s="16" t="n">
        <f aca="false">CADASTRO_CASAS_BOMBA!$J$13*DIAS_POR_SEMANA</f>
        <v>0</v>
      </c>
      <c r="Z14" s="16" t="n">
        <f aca="false">CADASTRO_CASAS_BOMBA!$J$13*DIAS_POR_SEMANA</f>
        <v>0</v>
      </c>
      <c r="AA14" s="16" t="n">
        <f aca="false">CADASTRO_CASAS_BOMBA!$J$13*DIAS_POR_SEMANA</f>
        <v>0</v>
      </c>
      <c r="AB14" s="16" t="n">
        <f aca="false">CADASTRO_CASAS_BOMBA!$J$13*DIAS_POR_SEMANA</f>
        <v>0</v>
      </c>
      <c r="AC14" s="16" t="n">
        <f aca="false">CADASTRO_CASAS_BOMBA!$J$13*DIAS_POR_SEMANA</f>
        <v>0</v>
      </c>
      <c r="AD14" s="16" t="n">
        <f aca="false">CADASTRO_CASAS_BOMBA!$J$13*DIAS_POR_SEMANA</f>
        <v>0</v>
      </c>
      <c r="AE14" s="16" t="n">
        <f aca="false">CADASTRO_CASAS_BOMBA!$J$13*DIAS_POR_SEMANA</f>
        <v>0</v>
      </c>
      <c r="AF14" s="16" t="n">
        <f aca="false">CADASTRO_CASAS_BOMBA!$J$13*DIAS_POR_SEMANA</f>
        <v>0</v>
      </c>
      <c r="AG14" s="16" t="n">
        <f aca="false">CADASTRO_CASAS_BOMBA!$J$13*DIAS_POR_SEMANA</f>
        <v>0</v>
      </c>
      <c r="AH14" s="16" t="n">
        <f aca="false">CADASTRO_CASAS_BOMBA!$J$13*DIAS_POR_SEMANA</f>
        <v>0</v>
      </c>
      <c r="AI14" s="16" t="n">
        <f aca="false">CADASTRO_CASAS_BOMBA!$J$13*DIAS_POR_SEMANA</f>
        <v>0</v>
      </c>
      <c r="AJ14" s="16" t="n">
        <f aca="false">CADASTRO_CASAS_BOMBA!$J$13*DIAS_POR_SEMANA</f>
        <v>0</v>
      </c>
      <c r="AK14" s="16" t="n">
        <f aca="false">CADASTRO_CASAS_BOMBA!$J$13*DIAS_POR_SEMANA</f>
        <v>0</v>
      </c>
      <c r="AL14" s="16" t="n">
        <f aca="false">CADASTRO_CASAS_BOMBA!$J$13*DIAS_POR_SEMANA</f>
        <v>0</v>
      </c>
      <c r="AM14" s="16" t="n">
        <f aca="false">CADASTRO_CASAS_BOMBA!$J$13*DIAS_POR_SEMANA</f>
        <v>0</v>
      </c>
      <c r="AN14" s="16" t="n">
        <f aca="false">CADASTRO_CASAS_BOMBA!$J$13*DIAS_POR_SEMANA</f>
        <v>0</v>
      </c>
      <c r="AO14" s="16" t="n">
        <f aca="false">CADASTRO_CASAS_BOMBA!$J$13*DIAS_POR_SEMANA</f>
        <v>0</v>
      </c>
      <c r="AP14" s="16" t="n">
        <f aca="false">CADASTRO_CASAS_BOMBA!$J$13*DIAS_POR_SEMANA</f>
        <v>0</v>
      </c>
      <c r="AQ14" s="16" t="n">
        <f aca="false">CADASTRO_CASAS_BOMBA!$J$13*DIAS_POR_SEMANA</f>
        <v>0</v>
      </c>
      <c r="AR14" s="16" t="n">
        <f aca="false">CADASTRO_CASAS_BOMBA!$J$13*DIAS_POR_SEMANA</f>
        <v>0</v>
      </c>
      <c r="AS14" s="16" t="n">
        <f aca="false">CADASTRO_CASAS_BOMBA!$J$13*DIAS_POR_SEMANA</f>
        <v>0</v>
      </c>
      <c r="AT14" s="16" t="n">
        <f aca="false">CADASTRO_CASAS_BOMBA!$J$13*DIAS_POR_SEMANA</f>
        <v>0</v>
      </c>
      <c r="AU14" s="16" t="n">
        <f aca="false">CADASTRO_CASAS_BOMBA!$J$13*DIAS_POR_SEMANA</f>
        <v>0</v>
      </c>
      <c r="AV14" s="16" t="n">
        <f aca="false">CADASTRO_CASAS_BOMBA!$J$13*DIAS_POR_SEMANA</f>
        <v>0</v>
      </c>
      <c r="AW14" s="16" t="n">
        <f aca="false">CADASTRO_CASAS_BOMBA!$J$13*DIAS_POR_SEMANA</f>
        <v>0</v>
      </c>
      <c r="AX14" s="16" t="n">
        <f aca="false">CADASTRO_CASAS_BOMBA!$J$13*DIAS_POR_SEMANA</f>
        <v>0</v>
      </c>
      <c r="AY14" s="16" t="n">
        <f aca="false">CADASTRO_CASAS_BOMBA!$J$13*DIAS_POR_SEMANA</f>
        <v>0</v>
      </c>
      <c r="AZ14" s="16" t="n">
        <f aca="false">CADASTRO_CASAS_BOMBA!$J$13*DIAS_POR_SEMANA</f>
        <v>0</v>
      </c>
      <c r="BA14" s="16" t="n">
        <f aca="false">CADASTRO_CASAS_BOMBA!$J$13*DIAS_POR_SEMANA</f>
        <v>0</v>
      </c>
      <c r="BB14" s="16" t="n">
        <f aca="false">CADASTRO_CASAS_BOMBA!$J$13*DIAS_POR_SEMANA</f>
        <v>0</v>
      </c>
      <c r="BC14" s="16" t="n">
        <f aca="false">CADASTRO_CASAS_BOMBA!$J$13*DIAS_POR_SEMANA</f>
        <v>0</v>
      </c>
      <c r="BD14" s="16" t="n">
        <f aca="false">CADASTRO_CASAS_BOMBA!$J$13*DIAS_POR_SEMANA</f>
        <v>0</v>
      </c>
      <c r="BE14" s="16" t="n">
        <f aca="false">CADASTRO_CASAS_BOMBA!$J$13*DIAS_POR_SEMANA</f>
        <v>0</v>
      </c>
      <c r="BF14" s="16" t="n">
        <f aca="false">CADASTRO_CASAS_BOMBA!$J$13*DIAS_POR_SEMANA</f>
        <v>0</v>
      </c>
      <c r="BG14" s="16" t="n">
        <f aca="false">CADASTRO_CASAS_BOMBA!$J$13*DIAS_POR_SEMANA</f>
        <v>0</v>
      </c>
      <c r="BH14" s="16" t="n">
        <f aca="false">CADASTRO_CASAS_BOMBA!$J$13*DIAS_POR_SEMANA</f>
        <v>0</v>
      </c>
      <c r="BI14" s="16" t="n">
        <f aca="false">CADASTRO_CASAS_BOMBA!$J$13*DIAS_POR_SEMANA</f>
        <v>0</v>
      </c>
      <c r="BJ14" s="16" t="n">
        <f aca="false">CADASTRO_CASAS_BOMBA!$J$13*DIAS_POR_SEMANA</f>
        <v>0</v>
      </c>
      <c r="BK14" s="16" t="n">
        <f aca="false">CADASTRO_CASAS_BOMBA!$J$13*DIAS_POR_SEMANA</f>
        <v>0</v>
      </c>
      <c r="BL14" s="16" t="n">
        <f aca="false">CADASTRO_CASAS_BOMBA!$J$13*DIAS_POR_SEMANA</f>
        <v>0</v>
      </c>
      <c r="BM14" s="16" t="n">
        <f aca="false">CADASTRO_CASAS_BOMBA!$J$13*DIAS_POR_SEMANA</f>
        <v>0</v>
      </c>
      <c r="BN14" s="16" t="n">
        <f aca="false">CADASTRO_CASAS_BOMBA!$J$13*DIAS_POR_SEMANA</f>
        <v>0</v>
      </c>
      <c r="BO14" s="16" t="n">
        <f aca="false">CADASTRO_CASAS_BOMBA!$J$13*DIAS_POR_SEMANA</f>
        <v>0</v>
      </c>
      <c r="BP14" s="16" t="n">
        <f aca="false">CADASTRO_CASAS_BOMBA!$J$13*DIAS_POR_SEMANA</f>
        <v>0</v>
      </c>
    </row>
    <row r="17" customFormat="false" ht="15" hidden="false" customHeight="false" outlineLevel="0" collapsed="false">
      <c r="B17" s="3" t="s">
        <v>144</v>
      </c>
    </row>
    <row r="18" customFormat="false" ht="15" hidden="false" customHeight="false" outlineLevel="0" collapsed="false">
      <c r="B18" s="14" t="s">
        <v>68</v>
      </c>
      <c r="C18" s="22" t="n">
        <f aca="false">SEMANAS!$B$6</f>
        <v>1</v>
      </c>
      <c r="D18" s="22" t="n">
        <f aca="false">SEMANAS!$B$7</f>
        <v>2</v>
      </c>
      <c r="E18" s="22" t="n">
        <f aca="false">SEMANAS!$B$8</f>
        <v>3</v>
      </c>
      <c r="F18" s="22" t="n">
        <f aca="false">SEMANAS!$B$9</f>
        <v>4</v>
      </c>
      <c r="G18" s="22" t="n">
        <f aca="false">SEMANAS!$B$10</f>
        <v>5</v>
      </c>
      <c r="H18" s="22" t="n">
        <f aca="false">SEMANAS!$B$11</f>
        <v>6</v>
      </c>
      <c r="I18" s="22" t="n">
        <f aca="false">SEMANAS!$B$12</f>
        <v>7</v>
      </c>
      <c r="J18" s="22" t="n">
        <f aca="false">SEMANAS!$B$13</f>
        <v>8</v>
      </c>
      <c r="K18" s="22" t="n">
        <f aca="false">SEMANAS!$B$14</f>
        <v>9</v>
      </c>
      <c r="L18" s="22" t="n">
        <f aca="false">SEMANAS!$B$15</f>
        <v>10</v>
      </c>
      <c r="M18" s="22" t="n">
        <f aca="false">SEMANAS!$B$16</f>
        <v>11</v>
      </c>
      <c r="N18" s="22" t="n">
        <f aca="false">SEMANAS!$B$17</f>
        <v>12</v>
      </c>
      <c r="O18" s="22" t="n">
        <f aca="false">SEMANAS!$B$18</f>
        <v>13</v>
      </c>
      <c r="P18" s="22" t="n">
        <f aca="false">SEMANAS!$B$19</f>
        <v>14</v>
      </c>
      <c r="Q18" s="22" t="n">
        <f aca="false">SEMANAS!$B$20</f>
        <v>15</v>
      </c>
      <c r="R18" s="22" t="n">
        <f aca="false">SEMANAS!$B$21</f>
        <v>16</v>
      </c>
      <c r="S18" s="22" t="n">
        <f aca="false">SEMANAS!$B$22</f>
        <v>17</v>
      </c>
      <c r="T18" s="22" t="n">
        <f aca="false">SEMANAS!$B$23</f>
        <v>18</v>
      </c>
      <c r="U18" s="22" t="n">
        <f aca="false">SEMANAS!$B$24</f>
        <v>19</v>
      </c>
      <c r="V18" s="22" t="n">
        <f aca="false">SEMANAS!$B$25</f>
        <v>20</v>
      </c>
      <c r="W18" s="22" t="n">
        <f aca="false">SEMANAS!$B$26</f>
        <v>21</v>
      </c>
      <c r="X18" s="22" t="n">
        <f aca="false">SEMANAS!$B$27</f>
        <v>22</v>
      </c>
      <c r="Y18" s="22" t="n">
        <f aca="false">SEMANAS!$B$28</f>
        <v>23</v>
      </c>
      <c r="Z18" s="22" t="n">
        <f aca="false">SEMANAS!$B$29</f>
        <v>24</v>
      </c>
      <c r="AA18" s="22" t="n">
        <f aca="false">SEMANAS!$B$30</f>
        <v>25</v>
      </c>
      <c r="AB18" s="22" t="n">
        <f aca="false">SEMANAS!$B$31</f>
        <v>26</v>
      </c>
      <c r="AC18" s="22" t="n">
        <f aca="false">SEMANAS!$B$32</f>
        <v>27</v>
      </c>
      <c r="AD18" s="22" t="n">
        <f aca="false">SEMANAS!$B$33</f>
        <v>28</v>
      </c>
      <c r="AE18" s="22" t="n">
        <f aca="false">SEMANAS!$B$34</f>
        <v>29</v>
      </c>
      <c r="AF18" s="22" t="n">
        <f aca="false">SEMANAS!$B$35</f>
        <v>30</v>
      </c>
      <c r="AG18" s="22" t="n">
        <f aca="false">SEMANAS!$B$36</f>
        <v>31</v>
      </c>
      <c r="AH18" s="22" t="n">
        <f aca="false">SEMANAS!$B$37</f>
        <v>32</v>
      </c>
      <c r="AI18" s="22" t="n">
        <f aca="false">SEMANAS!$B$38</f>
        <v>33</v>
      </c>
      <c r="AJ18" s="22" t="n">
        <f aca="false">SEMANAS!$B$39</f>
        <v>34</v>
      </c>
      <c r="AK18" s="22" t="n">
        <f aca="false">SEMANAS!$B$40</f>
        <v>35</v>
      </c>
      <c r="AL18" s="22" t="n">
        <f aca="false">SEMANAS!$B$41</f>
        <v>36</v>
      </c>
      <c r="AM18" s="22" t="n">
        <f aca="false">SEMANAS!$B$42</f>
        <v>37</v>
      </c>
      <c r="AN18" s="22" t="n">
        <f aca="false">SEMANAS!$B$43</f>
        <v>38</v>
      </c>
      <c r="AO18" s="22" t="n">
        <f aca="false">SEMANAS!$B$44</f>
        <v>39</v>
      </c>
      <c r="AP18" s="22" t="n">
        <f aca="false">SEMANAS!$B$45</f>
        <v>40</v>
      </c>
      <c r="AQ18" s="22" t="n">
        <f aca="false">SEMANAS!$B$46</f>
        <v>41</v>
      </c>
      <c r="AR18" s="22" t="n">
        <f aca="false">SEMANAS!$B$47</f>
        <v>42</v>
      </c>
      <c r="AS18" s="22" t="n">
        <f aca="false">SEMANAS!$B$48</f>
        <v>43</v>
      </c>
      <c r="AT18" s="22" t="n">
        <f aca="false">SEMANAS!$B$49</f>
        <v>44</v>
      </c>
      <c r="AU18" s="22" t="n">
        <f aca="false">SEMANAS!$B$50</f>
        <v>45</v>
      </c>
      <c r="AV18" s="22" t="n">
        <f aca="false">SEMANAS!$B$51</f>
        <v>46</v>
      </c>
      <c r="AW18" s="22" t="n">
        <f aca="false">SEMANAS!$B$52</f>
        <v>47</v>
      </c>
      <c r="AX18" s="22" t="n">
        <f aca="false">SEMANAS!$B$53</f>
        <v>48</v>
      </c>
      <c r="AY18" s="22" t="n">
        <f aca="false">SEMANAS!$B$54</f>
        <v>49</v>
      </c>
      <c r="AZ18" s="22" t="n">
        <f aca="false">SEMANAS!$B$55</f>
        <v>50</v>
      </c>
      <c r="BA18" s="22" t="n">
        <f aca="false">SEMANAS!$B$56</f>
        <v>51</v>
      </c>
      <c r="BB18" s="22" t="n">
        <f aca="false">SEMANAS!$B$57</f>
        <v>52</v>
      </c>
      <c r="BC18" s="22" t="n">
        <f aca="false">SEMANAS!$B$58</f>
        <v>53</v>
      </c>
      <c r="BD18" s="22" t="n">
        <f aca="false">SEMANAS!$B$59</f>
        <v>54</v>
      </c>
      <c r="BE18" s="22" t="n">
        <f aca="false">SEMANAS!$B$60</f>
        <v>55</v>
      </c>
      <c r="BF18" s="22" t="n">
        <f aca="false">SEMANAS!$B$61</f>
        <v>56</v>
      </c>
      <c r="BG18" s="22" t="n">
        <f aca="false">SEMANAS!$B$62</f>
        <v>57</v>
      </c>
      <c r="BH18" s="22" t="n">
        <f aca="false">SEMANAS!$B$63</f>
        <v>58</v>
      </c>
      <c r="BI18" s="22" t="n">
        <f aca="false">SEMANAS!$B$64</f>
        <v>59</v>
      </c>
      <c r="BJ18" s="22" t="n">
        <f aca="false">SEMANAS!$B$65</f>
        <v>60</v>
      </c>
      <c r="BK18" s="22" t="n">
        <f aca="false">SEMANAS!$B$66</f>
        <v>61</v>
      </c>
      <c r="BL18" s="22" t="n">
        <f aca="false">SEMANAS!$B$67</f>
        <v>62</v>
      </c>
      <c r="BM18" s="22" t="n">
        <f aca="false">SEMANAS!$B$68</f>
        <v>63</v>
      </c>
      <c r="BN18" s="22" t="n">
        <f aca="false">SEMANAS!$B$69</f>
        <v>64</v>
      </c>
      <c r="BO18" s="22" t="n">
        <f aca="false">SEMANAS!$B$70</f>
        <v>65</v>
      </c>
      <c r="BP18" s="22" t="n">
        <f aca="false">SEMANAS!$B$71</f>
        <v>66</v>
      </c>
    </row>
    <row r="19" customFormat="false" ht="15" hidden="false" customHeight="false" outlineLevel="0" collapsed="false">
      <c r="B19" s="15" t="s">
        <v>128</v>
      </c>
      <c r="C19" s="16" t="n">
        <f aca="false">AUX_MATRIZES!C8</f>
        <v>0</v>
      </c>
      <c r="D19" s="16" t="n">
        <f aca="false">AUX_MATRIZES!D8</f>
        <v>0</v>
      </c>
      <c r="E19" s="16" t="n">
        <f aca="false">AUX_MATRIZES!E8</f>
        <v>0</v>
      </c>
      <c r="F19" s="16" t="n">
        <f aca="false">AUX_MATRIZES!F8</f>
        <v>0</v>
      </c>
      <c r="G19" s="16" t="n">
        <f aca="false">AUX_MATRIZES!G8</f>
        <v>1313.88423529412</v>
      </c>
      <c r="H19" s="16" t="n">
        <f aca="false">AUX_MATRIZES!H8</f>
        <v>0</v>
      </c>
      <c r="I19" s="16" t="n">
        <f aca="false">AUX_MATRIZES!I8</f>
        <v>0</v>
      </c>
      <c r="J19" s="16" t="n">
        <f aca="false">AUX_MATRIZES!J8</f>
        <v>2987.4674117647</v>
      </c>
      <c r="K19" s="16" t="n">
        <f aca="false">AUX_MATRIZES!K8</f>
        <v>8914.87502614379</v>
      </c>
      <c r="L19" s="16" t="n">
        <f aca="false">AUX_MATRIZES!L8</f>
        <v>0</v>
      </c>
      <c r="M19" s="16" t="n">
        <f aca="false">AUX_MATRIZES!M8</f>
        <v>2420.73917647058</v>
      </c>
      <c r="N19" s="16" t="n">
        <f aca="false">AUX_MATRIZES!N8</f>
        <v>2420.73917647058</v>
      </c>
      <c r="O19" s="16" t="n">
        <f aca="false">AUX_MATRIZES!O8</f>
        <v>2420.73917647058</v>
      </c>
      <c r="P19" s="16" t="n">
        <f aca="false">AUX_MATRIZES!P8</f>
        <v>0</v>
      </c>
      <c r="Q19" s="16" t="n">
        <f aca="false">AUX_MATRIZES!Q8</f>
        <v>0</v>
      </c>
      <c r="R19" s="16" t="n">
        <f aca="false">AUX_MATRIZES!R8</f>
        <v>0</v>
      </c>
      <c r="S19" s="16" t="n">
        <f aca="false">AUX_MATRIZES!S8</f>
        <v>0</v>
      </c>
      <c r="T19" s="16" t="n">
        <f aca="false">AUX_MATRIZES!T8</f>
        <v>0</v>
      </c>
      <c r="U19" s="16" t="n">
        <f aca="false">AUX_MATRIZES!U8</f>
        <v>0</v>
      </c>
      <c r="V19" s="16" t="n">
        <f aca="false">AUX_MATRIZES!V8</f>
        <v>0</v>
      </c>
      <c r="W19" s="16" t="n">
        <f aca="false">AUX_MATRIZES!W8</f>
        <v>0</v>
      </c>
      <c r="X19" s="16" t="n">
        <f aca="false">AUX_MATRIZES!X8</f>
        <v>0</v>
      </c>
      <c r="Y19" s="16" t="n">
        <f aca="false">AUX_MATRIZES!Y8</f>
        <v>0</v>
      </c>
      <c r="Z19" s="16" t="n">
        <f aca="false">AUX_MATRIZES!Z8</f>
        <v>0</v>
      </c>
      <c r="AA19" s="16" t="n">
        <f aca="false">AUX_MATRIZES!AA8</f>
        <v>0</v>
      </c>
      <c r="AB19" s="16" t="n">
        <f aca="false">AUX_MATRIZES!AB8</f>
        <v>0</v>
      </c>
      <c r="AC19" s="16" t="n">
        <f aca="false">AUX_MATRIZES!AC8</f>
        <v>0</v>
      </c>
      <c r="AD19" s="16" t="n">
        <f aca="false">AUX_MATRIZES!AD8</f>
        <v>0</v>
      </c>
      <c r="AE19" s="16" t="n">
        <f aca="false">AUX_MATRIZES!AE8</f>
        <v>0</v>
      </c>
      <c r="AF19" s="16" t="n">
        <f aca="false">AUX_MATRIZES!AF8</f>
        <v>0</v>
      </c>
      <c r="AG19" s="16" t="n">
        <f aca="false">AUX_MATRIZES!AG8</f>
        <v>5006.27506717716</v>
      </c>
      <c r="AH19" s="16" t="n">
        <f aca="false">AUX_MATRIZES!AH8</f>
        <v>17062.160739993</v>
      </c>
      <c r="AI19" s="16" t="n">
        <f aca="false">AUX_MATRIZES!AI8</f>
        <v>21086.2665527323</v>
      </c>
      <c r="AJ19" s="16" t="n">
        <f aca="false">AUX_MATRIZES!AJ8</f>
        <v>25110.3723654716</v>
      </c>
      <c r="AK19" s="16" t="n">
        <f aca="false">AUX_MATRIZES!AK8</f>
        <v>29431.7008235294</v>
      </c>
      <c r="AL19" s="16" t="n">
        <f aca="false">AUX_MATRIZES!AL8</f>
        <v>35995.3390588235</v>
      </c>
      <c r="AM19" s="16" t="n">
        <f aca="false">AUX_MATRIZES!AM8</f>
        <v>35995.3390588235</v>
      </c>
      <c r="AN19" s="16" t="n">
        <f aca="false">AUX_MATRIZES!AN8</f>
        <v>35995.3390588235</v>
      </c>
      <c r="AO19" s="16" t="n">
        <f aca="false">AUX_MATRIZES!AO8</f>
        <v>35995.3390588235</v>
      </c>
      <c r="AP19" s="16" t="n">
        <f aca="false">AUX_MATRIZES!AP8</f>
        <v>36120.2505882353</v>
      </c>
      <c r="AQ19" s="16" t="n">
        <f aca="false">AUX_MATRIZES!AQ8</f>
        <v>36141.0691764706</v>
      </c>
      <c r="AR19" s="16" t="n">
        <f aca="false">AUX_MATRIZES!AR8</f>
        <v>36141.0691764706</v>
      </c>
      <c r="AS19" s="16" t="n">
        <f aca="false">AUX_MATRIZES!AS8</f>
        <v>36141.0691764706</v>
      </c>
      <c r="AT19" s="16" t="n">
        <f aca="false">AUX_MATRIZES!AT8</f>
        <v>35750.9303581125</v>
      </c>
      <c r="AU19" s="16" t="n">
        <f aca="false">AUX_MATRIZES!AU8</f>
        <v>34618.3169683258</v>
      </c>
      <c r="AV19" s="16" t="n">
        <f aca="false">AUX_MATRIZES!AV8</f>
        <v>32163.5325791855</v>
      </c>
      <c r="AW19" s="16" t="n">
        <f aca="false">AUX_MATRIZES!AW8</f>
        <v>29708.7481900452</v>
      </c>
      <c r="AX19" s="16" t="n">
        <f aca="false">AUX_MATRIZES!AX8</f>
        <v>28032.7162663219</v>
      </c>
      <c r="AY19" s="16" t="n">
        <f aca="false">AUX_MATRIZES!AY8</f>
        <v>29736.6545882353</v>
      </c>
      <c r="AZ19" s="16" t="n">
        <f aca="false">AUX_MATRIZES!AZ8</f>
        <v>26768.0781176471</v>
      </c>
      <c r="BA19" s="16" t="n">
        <f aca="false">AUX_MATRIZES!BA8</f>
        <v>0</v>
      </c>
      <c r="BB19" s="16" t="n">
        <f aca="false">AUX_MATRIZES!BB8</f>
        <v>0</v>
      </c>
      <c r="BC19" s="16" t="n">
        <f aca="false">AUX_MATRIZES!BC8</f>
        <v>0</v>
      </c>
      <c r="BD19" s="16" t="n">
        <f aca="false">AUX_MATRIZES!BD8</f>
        <v>0</v>
      </c>
      <c r="BE19" s="16" t="n">
        <f aca="false">AUX_MATRIZES!BE8</f>
        <v>0</v>
      </c>
      <c r="BF19" s="16" t="n">
        <f aca="false">AUX_MATRIZES!BF8</f>
        <v>0</v>
      </c>
      <c r="BG19" s="16" t="n">
        <f aca="false">AUX_MATRIZES!BG8</f>
        <v>0</v>
      </c>
      <c r="BH19" s="16" t="n">
        <f aca="false">AUX_MATRIZES!BH8</f>
        <v>0</v>
      </c>
      <c r="BI19" s="16" t="n">
        <f aca="false">AUX_MATRIZES!BI8</f>
        <v>0</v>
      </c>
      <c r="BJ19" s="16" t="n">
        <f aca="false">AUX_MATRIZES!BJ8</f>
        <v>0</v>
      </c>
      <c r="BK19" s="16" t="n">
        <f aca="false">AUX_MATRIZES!BK8</f>
        <v>0</v>
      </c>
      <c r="BL19" s="16" t="n">
        <f aca="false">AUX_MATRIZES!BL8</f>
        <v>0</v>
      </c>
      <c r="BM19" s="16" t="n">
        <f aca="false">AUX_MATRIZES!BM8</f>
        <v>0</v>
      </c>
      <c r="BN19" s="16" t="n">
        <f aca="false">AUX_MATRIZES!BN8</f>
        <v>0</v>
      </c>
      <c r="BO19" s="16" t="n">
        <f aca="false">AUX_MATRIZES!BO8</f>
        <v>0</v>
      </c>
      <c r="BP19" s="16" t="n">
        <f aca="false">AUX_MATRIZES!BP8</f>
        <v>0</v>
      </c>
    </row>
    <row r="20" customFormat="false" ht="15" hidden="false" customHeight="false" outlineLevel="0" collapsed="false">
      <c r="B20" s="15" t="s">
        <v>129</v>
      </c>
      <c r="C20" s="16" t="n">
        <f aca="false">AUX_MATRIZES!C9</f>
        <v>22570.0291764706</v>
      </c>
      <c r="D20" s="16" t="n">
        <f aca="false">AUX_MATRIZES!D9</f>
        <v>0</v>
      </c>
      <c r="E20" s="16" t="n">
        <f aca="false">AUX_MATRIZES!E9</f>
        <v>0</v>
      </c>
      <c r="F20" s="16" t="n">
        <f aca="false">AUX_MATRIZES!F9</f>
        <v>0</v>
      </c>
      <c r="G20" s="16" t="n">
        <f aca="false">AUX_MATRIZES!G9</f>
        <v>1344.35576470588</v>
      </c>
      <c r="H20" s="16" t="n">
        <f aca="false">AUX_MATRIZES!H9</f>
        <v>0</v>
      </c>
      <c r="I20" s="16" t="n">
        <f aca="false">AUX_MATRIZES!I9</f>
        <v>0</v>
      </c>
      <c r="J20" s="16" t="n">
        <f aca="false">AUX_MATRIZES!J9</f>
        <v>2611.19894593879</v>
      </c>
      <c r="K20" s="16" t="n">
        <f aca="false">AUX_MATRIZES!K9</f>
        <v>8421.15634341653</v>
      </c>
      <c r="L20" s="16" t="n">
        <f aca="false">AUX_MATRIZES!L9</f>
        <v>0</v>
      </c>
      <c r="M20" s="16" t="n">
        <f aca="false">AUX_MATRIZES!M9</f>
        <v>2476.88082352941</v>
      </c>
      <c r="N20" s="16" t="n">
        <f aca="false">AUX_MATRIZES!N9</f>
        <v>2476.88082352941</v>
      </c>
      <c r="O20" s="16" t="n">
        <f aca="false">AUX_MATRIZES!O9</f>
        <v>2476.88082352941</v>
      </c>
      <c r="P20" s="16" t="n">
        <f aca="false">AUX_MATRIZES!P9</f>
        <v>0</v>
      </c>
      <c r="Q20" s="16" t="n">
        <f aca="false">AUX_MATRIZES!Q9</f>
        <v>0</v>
      </c>
      <c r="R20" s="16" t="n">
        <f aca="false">AUX_MATRIZES!R9</f>
        <v>0</v>
      </c>
      <c r="S20" s="16" t="n">
        <f aca="false">AUX_MATRIZES!S9</f>
        <v>0</v>
      </c>
      <c r="T20" s="16" t="n">
        <f aca="false">AUX_MATRIZES!T9</f>
        <v>0</v>
      </c>
      <c r="U20" s="16" t="n">
        <f aca="false">AUX_MATRIZES!U9</f>
        <v>0</v>
      </c>
      <c r="V20" s="16" t="n">
        <f aca="false">AUX_MATRIZES!V9</f>
        <v>0</v>
      </c>
      <c r="W20" s="16" t="n">
        <f aca="false">AUX_MATRIZES!W9</f>
        <v>0</v>
      </c>
      <c r="X20" s="16" t="n">
        <f aca="false">AUX_MATRIZES!X9</f>
        <v>0</v>
      </c>
      <c r="Y20" s="16" t="n">
        <f aca="false">AUX_MATRIZES!Y9</f>
        <v>0</v>
      </c>
      <c r="Z20" s="16" t="n">
        <f aca="false">AUX_MATRIZES!Z9</f>
        <v>205.420776888263</v>
      </c>
      <c r="AA20" s="16" t="n">
        <f aca="false">AUX_MATRIZES!AA9</f>
        <v>4483.19184081679</v>
      </c>
      <c r="AB20" s="16" t="n">
        <f aca="false">AUX_MATRIZES!AB9</f>
        <v>6897.07694117646</v>
      </c>
      <c r="AC20" s="16" t="n">
        <f aca="false">AUX_MATRIZES!AC9</f>
        <v>8520.40329411764</v>
      </c>
      <c r="AD20" s="16" t="n">
        <f aca="false">AUX_MATRIZES!AD9</f>
        <v>8520.40329411764</v>
      </c>
      <c r="AE20" s="16" t="n">
        <f aca="false">AUX_MATRIZES!AE9</f>
        <v>8520.40329411764</v>
      </c>
      <c r="AF20" s="16" t="n">
        <f aca="false">AUX_MATRIZES!AF9</f>
        <v>8520.40329411764</v>
      </c>
      <c r="AG20" s="16" t="n">
        <f aca="false">AUX_MATRIZES!AG9</f>
        <v>23595.1241394335</v>
      </c>
      <c r="AH20" s="16" t="n">
        <f aca="false">AUX_MATRIZES!AH9</f>
        <v>44157.0737908497</v>
      </c>
      <c r="AI20" s="16" t="n">
        <f aca="false">AUX_MATRIZES!AI9</f>
        <v>48452.4201960784</v>
      </c>
      <c r="AJ20" s="16" t="n">
        <f aca="false">AUX_MATRIZES!AJ9</f>
        <v>52747.7666013072</v>
      </c>
      <c r="AK20" s="16" t="n">
        <f aca="false">AUX_MATRIZES!AK9</f>
        <v>58017.9796832579</v>
      </c>
      <c r="AL20" s="16" t="n">
        <f aca="false">AUX_MATRIZES!AL9</f>
        <v>69073.5477828054</v>
      </c>
      <c r="AM20" s="16" t="n">
        <f aca="false">AUX_MATRIZES!AM9</f>
        <v>66633.1704072398</v>
      </c>
      <c r="AN20" s="16" t="n">
        <f aca="false">AUX_MATRIZES!AN9</f>
        <v>64192.7930316742</v>
      </c>
      <c r="AO20" s="16" t="n">
        <f aca="false">AUX_MATRIZES!AO9</f>
        <v>61752.4156561086</v>
      </c>
      <c r="AP20" s="16" t="n">
        <f aca="false">AUX_MATRIZES!AP9</f>
        <v>60144.703800905</v>
      </c>
      <c r="AQ20" s="16" t="n">
        <f aca="false">AUX_MATRIZES!AQ9</f>
        <v>57959.3124585219</v>
      </c>
      <c r="AR20" s="16" t="n">
        <f aca="false">AUX_MATRIZES!AR9</f>
        <v>55635.1435294118</v>
      </c>
      <c r="AS20" s="16" t="n">
        <f aca="false">AUX_MATRIZES!AS9</f>
        <v>35359.2916078431</v>
      </c>
      <c r="AT20" s="16" t="n">
        <f aca="false">AUX_MATRIZES!AT9</f>
        <v>34231.6316862745</v>
      </c>
      <c r="AU20" s="16" t="n">
        <f aca="false">AUX_MATRIZES!AU9</f>
        <v>32464.5349411765</v>
      </c>
      <c r="AV20" s="16" t="n">
        <f aca="false">AUX_MATRIZES!AV9</f>
        <v>29416.9866666667</v>
      </c>
      <c r="AW20" s="16" t="n">
        <f aca="false">AUX_MATRIZES!AW9</f>
        <v>26369.4383921569</v>
      </c>
      <c r="AX20" s="16" t="n">
        <f aca="false">AUX_MATRIZES!AX9</f>
        <v>23982.2338823529</v>
      </c>
      <c r="AY20" s="16" t="n">
        <f aca="false">AUX_MATRIZES!AY9</f>
        <v>0</v>
      </c>
      <c r="AZ20" s="16" t="n">
        <f aca="false">AUX_MATRIZES!AZ9</f>
        <v>0</v>
      </c>
      <c r="BA20" s="16" t="n">
        <f aca="false">AUX_MATRIZES!BA9</f>
        <v>0</v>
      </c>
      <c r="BB20" s="16" t="n">
        <f aca="false">AUX_MATRIZES!BB9</f>
        <v>0</v>
      </c>
      <c r="BC20" s="16" t="n">
        <f aca="false">AUX_MATRIZES!BC9</f>
        <v>0</v>
      </c>
      <c r="BD20" s="16" t="n">
        <f aca="false">AUX_MATRIZES!BD9</f>
        <v>0</v>
      </c>
      <c r="BE20" s="16" t="n">
        <f aca="false">AUX_MATRIZES!BE9</f>
        <v>0</v>
      </c>
      <c r="BF20" s="16" t="n">
        <f aca="false">AUX_MATRIZES!BF9</f>
        <v>0</v>
      </c>
      <c r="BG20" s="16" t="n">
        <f aca="false">AUX_MATRIZES!BG9</f>
        <v>0</v>
      </c>
      <c r="BH20" s="16" t="n">
        <f aca="false">AUX_MATRIZES!BH9</f>
        <v>0</v>
      </c>
      <c r="BI20" s="16" t="n">
        <f aca="false">AUX_MATRIZES!BI9</f>
        <v>0</v>
      </c>
      <c r="BJ20" s="16" t="n">
        <f aca="false">AUX_MATRIZES!BJ9</f>
        <v>0</v>
      </c>
      <c r="BK20" s="16" t="n">
        <f aca="false">AUX_MATRIZES!BK9</f>
        <v>0</v>
      </c>
      <c r="BL20" s="16" t="n">
        <f aca="false">AUX_MATRIZES!BL9</f>
        <v>0</v>
      </c>
      <c r="BM20" s="16" t="n">
        <f aca="false">AUX_MATRIZES!BM9</f>
        <v>0</v>
      </c>
      <c r="BN20" s="16" t="n">
        <f aca="false">AUX_MATRIZES!BN9</f>
        <v>0</v>
      </c>
      <c r="BO20" s="16" t="n">
        <f aca="false">AUX_MATRIZES!BO9</f>
        <v>0</v>
      </c>
      <c r="BP20" s="16" t="n">
        <f aca="false">AUX_MATRIZES!BP9</f>
        <v>0</v>
      </c>
    </row>
    <row r="21" customFormat="false" ht="15" hidden="false" customHeight="false" outlineLevel="0" collapsed="false">
      <c r="B21" s="15" t="s">
        <v>130</v>
      </c>
      <c r="C21" s="16" t="n">
        <f aca="false">AUX_MATRIZES!C10</f>
        <v>0</v>
      </c>
      <c r="D21" s="16" t="n">
        <f aca="false">AUX_MATRIZES!D10</f>
        <v>0</v>
      </c>
      <c r="E21" s="16" t="n">
        <f aca="false">AUX_MATRIZES!E10</f>
        <v>0</v>
      </c>
      <c r="F21" s="16" t="n">
        <f aca="false">AUX_MATRIZES!F10</f>
        <v>0</v>
      </c>
      <c r="G21" s="16" t="n">
        <f aca="false">AUX_MATRIZES!G10</f>
        <v>2643.27152941176</v>
      </c>
      <c r="H21" s="16" t="n">
        <f aca="false">AUX_MATRIZES!H10</f>
        <v>0</v>
      </c>
      <c r="I21" s="16" t="n">
        <f aca="false">AUX_MATRIZES!I10</f>
        <v>0</v>
      </c>
      <c r="J21" s="16" t="n">
        <f aca="false">AUX_MATRIZES!J10</f>
        <v>542.087695025542</v>
      </c>
      <c r="K21" s="16" t="n">
        <f aca="false">AUX_MATRIZES!K10</f>
        <v>12201.1742158828</v>
      </c>
      <c r="L21" s="16" t="n">
        <f aca="false">AUX_MATRIZES!L10</f>
        <v>0</v>
      </c>
      <c r="M21" s="16" t="n">
        <f aca="false">AUX_MATRIZES!M10</f>
        <v>4598.93885139783</v>
      </c>
      <c r="N21" s="16" t="n">
        <f aca="false">AUX_MATRIZES!N10</f>
        <v>4870.04164705882</v>
      </c>
      <c r="O21" s="16" t="n">
        <f aca="false">AUX_MATRIZES!O10</f>
        <v>4870.04164705882</v>
      </c>
      <c r="P21" s="16" t="n">
        <f aca="false">AUX_MATRIZES!P10</f>
        <v>0</v>
      </c>
      <c r="Q21" s="16" t="n">
        <f aca="false">AUX_MATRIZES!Q10</f>
        <v>0</v>
      </c>
      <c r="R21" s="16" t="n">
        <f aca="false">AUX_MATRIZES!R10</f>
        <v>0</v>
      </c>
      <c r="S21" s="16" t="n">
        <f aca="false">AUX_MATRIZES!S10</f>
        <v>0</v>
      </c>
      <c r="T21" s="16" t="n">
        <f aca="false">AUX_MATRIZES!T10</f>
        <v>530.509340450525</v>
      </c>
      <c r="U21" s="16" t="n">
        <f aca="false">AUX_MATRIZES!U10</f>
        <v>0</v>
      </c>
      <c r="V21" s="16" t="n">
        <f aca="false">AUX_MATRIZES!V10</f>
        <v>0</v>
      </c>
      <c r="W21" s="16" t="n">
        <f aca="false">AUX_MATRIZES!W10</f>
        <v>0</v>
      </c>
      <c r="X21" s="16" t="n">
        <f aca="false">AUX_MATRIZES!X10</f>
        <v>0</v>
      </c>
      <c r="Y21" s="16" t="n">
        <f aca="false">AUX_MATRIZES!Y10</f>
        <v>0</v>
      </c>
      <c r="Z21" s="16" t="n">
        <f aca="false">AUX_MATRIZES!Z10</f>
        <v>0</v>
      </c>
      <c r="AA21" s="16" t="n">
        <f aca="false">AUX_MATRIZES!AA10</f>
        <v>0</v>
      </c>
      <c r="AB21" s="16" t="n">
        <f aca="false">AUX_MATRIZES!AB10</f>
        <v>0</v>
      </c>
      <c r="AC21" s="16" t="n">
        <f aca="false">AUX_MATRIZES!AC10</f>
        <v>0</v>
      </c>
      <c r="AD21" s="16" t="n">
        <f aca="false">AUX_MATRIZES!AD10</f>
        <v>0</v>
      </c>
      <c r="AE21" s="16" t="n">
        <f aca="false">AUX_MATRIZES!AE10</f>
        <v>0</v>
      </c>
      <c r="AF21" s="16" t="n">
        <f aca="false">AUX_MATRIZES!AF10</f>
        <v>0</v>
      </c>
      <c r="AG21" s="16" t="n">
        <f aca="false">AUX_MATRIZES!AG10</f>
        <v>7736.53678524191</v>
      </c>
      <c r="AH21" s="16" t="n">
        <f aca="false">AUX_MATRIZES!AH10</f>
        <v>32012.5895676993</v>
      </c>
      <c r="AI21" s="16" t="n">
        <f aca="false">AUX_MATRIZES!AI10</f>
        <v>40108.2832676645</v>
      </c>
      <c r="AJ21" s="16" t="n">
        <f aca="false">AUX_MATRIZES!AJ10</f>
        <v>48203.9769676296</v>
      </c>
      <c r="AK21" s="16" t="n">
        <f aca="false">AUX_MATRIZES!AK10</f>
        <v>59210.6783529412</v>
      </c>
      <c r="AL21" s="16" t="n">
        <f aca="false">AUX_MATRIZES!AL10</f>
        <v>72415.401882353</v>
      </c>
      <c r="AM21" s="16" t="n">
        <f aca="false">AUX_MATRIZES!AM10</f>
        <v>72415.401882353</v>
      </c>
      <c r="AN21" s="16" t="n">
        <f aca="false">AUX_MATRIZES!AN10</f>
        <v>72415.401882353</v>
      </c>
      <c r="AO21" s="16" t="n">
        <f aca="false">AUX_MATRIZES!AO10</f>
        <v>72415.401882353</v>
      </c>
      <c r="AP21" s="16" t="n">
        <f aca="false">AUX_MATRIZES!AP10</f>
        <v>72666.6988235294</v>
      </c>
      <c r="AQ21" s="16" t="n">
        <f aca="false">AUX_MATRIZES!AQ10</f>
        <v>72708.5816470588</v>
      </c>
      <c r="AR21" s="16" t="n">
        <f aca="false">AUX_MATRIZES!AR10</f>
        <v>72708.5816470588</v>
      </c>
      <c r="AS21" s="16" t="n">
        <f aca="false">AUX_MATRIZES!AS10</f>
        <v>72708.5816470588</v>
      </c>
      <c r="AT21" s="16" t="n">
        <f aca="false">AUX_MATRIZES!AT10</f>
        <v>73292.520598147</v>
      </c>
      <c r="AU21" s="16" t="n">
        <f aca="false">AUX_MATRIZES!AU10</f>
        <v>71056.119306184</v>
      </c>
      <c r="AV21" s="16" t="n">
        <f aca="false">AUX_MATRIZES!AV10</f>
        <v>66117.585520362</v>
      </c>
      <c r="AW21" s="16" t="n">
        <f aca="false">AUX_MATRIZES!AW10</f>
        <v>61179.05173454</v>
      </c>
      <c r="AX21" s="16" t="n">
        <f aca="false">AUX_MATRIZES!AX10</f>
        <v>57849.4013566042</v>
      </c>
      <c r="AY21" s="16" t="n">
        <f aca="false">AUX_MATRIZES!AY10</f>
        <v>61530.5214117647</v>
      </c>
      <c r="AZ21" s="16" t="n">
        <f aca="false">AUX_MATRIZES!AZ10</f>
        <v>55558.3410196078</v>
      </c>
      <c r="BA21" s="16" t="n">
        <f aca="false">AUX_MATRIZES!BA10</f>
        <v>49586.160627451</v>
      </c>
      <c r="BB21" s="16" t="n">
        <f aca="false">AUX_MATRIZES!BB10</f>
        <v>0</v>
      </c>
      <c r="BC21" s="16" t="n">
        <f aca="false">AUX_MATRIZES!BC10</f>
        <v>0</v>
      </c>
      <c r="BD21" s="16" t="n">
        <f aca="false">AUX_MATRIZES!BD10</f>
        <v>0</v>
      </c>
      <c r="BE21" s="16" t="n">
        <f aca="false">AUX_MATRIZES!BE10</f>
        <v>0</v>
      </c>
      <c r="BF21" s="16" t="n">
        <f aca="false">AUX_MATRIZES!BF10</f>
        <v>0</v>
      </c>
      <c r="BG21" s="16" t="n">
        <f aca="false">AUX_MATRIZES!BG10</f>
        <v>0</v>
      </c>
      <c r="BH21" s="16" t="n">
        <f aca="false">AUX_MATRIZES!BH10</f>
        <v>0</v>
      </c>
      <c r="BI21" s="16" t="n">
        <f aca="false">AUX_MATRIZES!BI10</f>
        <v>0</v>
      </c>
      <c r="BJ21" s="16" t="n">
        <f aca="false">AUX_MATRIZES!BJ10</f>
        <v>0</v>
      </c>
      <c r="BK21" s="16" t="n">
        <f aca="false">AUX_MATRIZES!BK10</f>
        <v>0</v>
      </c>
      <c r="BL21" s="16" t="n">
        <f aca="false">AUX_MATRIZES!BL10</f>
        <v>0</v>
      </c>
      <c r="BM21" s="16" t="n">
        <f aca="false">AUX_MATRIZES!BM10</f>
        <v>0</v>
      </c>
      <c r="BN21" s="16" t="n">
        <f aca="false">AUX_MATRIZES!BN10</f>
        <v>0</v>
      </c>
      <c r="BO21" s="16" t="n">
        <f aca="false">AUX_MATRIZES!BO10</f>
        <v>0</v>
      </c>
      <c r="BP21" s="16" t="n">
        <f aca="false">AUX_MATRIZES!BP10</f>
        <v>0</v>
      </c>
    </row>
    <row r="22" customFormat="false" ht="15" hidden="false" customHeight="false" outlineLevel="0" collapsed="false">
      <c r="B22" s="15" t="s">
        <v>131</v>
      </c>
      <c r="C22" s="16" t="n">
        <f aca="false">AUX_MATRIZES!C11</f>
        <v>45952.144</v>
      </c>
      <c r="D22" s="16" t="n">
        <f aca="false">AUX_MATRIZES!D11</f>
        <v>48375.0152941176</v>
      </c>
      <c r="E22" s="16" t="n">
        <f aca="false">AUX_MATRIZES!E11</f>
        <v>48375.0152941176</v>
      </c>
      <c r="F22" s="16" t="n">
        <f aca="false">AUX_MATRIZES!F11</f>
        <v>48375.0152941176</v>
      </c>
      <c r="G22" s="16" t="n">
        <f aca="false">AUX_MATRIZES!G11</f>
        <v>39291.7032941176</v>
      </c>
      <c r="H22" s="16" t="n">
        <f aca="false">AUX_MATRIZES!H11</f>
        <v>27558.1007058823</v>
      </c>
      <c r="I22" s="16" t="n">
        <f aca="false">AUX_MATRIZES!I11</f>
        <v>27558.1007058823</v>
      </c>
      <c r="J22" s="16" t="n">
        <f aca="false">AUX_MATRIZES!J11</f>
        <v>34101.1026539238</v>
      </c>
      <c r="K22" s="16" t="n">
        <f aca="false">AUX_MATRIZES!K11</f>
        <v>40601.5190841048</v>
      </c>
      <c r="L22" s="16" t="n">
        <f aca="false">AUX_MATRIZES!L11</f>
        <v>0</v>
      </c>
      <c r="M22" s="16" t="n">
        <f aca="false">AUX_MATRIZES!M11</f>
        <v>5181.0368235294</v>
      </c>
      <c r="N22" s="16" t="n">
        <f aca="false">AUX_MATRIZES!N11</f>
        <v>5181.0368235294</v>
      </c>
      <c r="O22" s="16" t="n">
        <f aca="false">AUX_MATRIZES!O11</f>
        <v>5181.0368235294</v>
      </c>
      <c r="P22" s="16" t="n">
        <f aca="false">AUX_MATRIZES!P11</f>
        <v>0</v>
      </c>
      <c r="Q22" s="16" t="n">
        <f aca="false">AUX_MATRIZES!Q11</f>
        <v>0</v>
      </c>
      <c r="R22" s="16" t="n">
        <f aca="false">AUX_MATRIZES!R11</f>
        <v>0</v>
      </c>
      <c r="S22" s="16" t="n">
        <f aca="false">AUX_MATRIZES!S11</f>
        <v>0</v>
      </c>
      <c r="T22" s="16" t="n">
        <f aca="false">AUX_MATRIZES!T11</f>
        <v>0</v>
      </c>
      <c r="U22" s="16" t="n">
        <f aca="false">AUX_MATRIZES!U11</f>
        <v>0</v>
      </c>
      <c r="V22" s="16" t="n">
        <f aca="false">AUX_MATRIZES!V11</f>
        <v>0</v>
      </c>
      <c r="W22" s="16" t="n">
        <f aca="false">AUX_MATRIZES!W11</f>
        <v>0</v>
      </c>
      <c r="X22" s="16" t="n">
        <f aca="false">AUX_MATRIZES!X11</f>
        <v>0</v>
      </c>
      <c r="Y22" s="16" t="n">
        <f aca="false">AUX_MATRIZES!Y11</f>
        <v>0</v>
      </c>
      <c r="Z22" s="16" t="n">
        <f aca="false">AUX_MATRIZES!Z11</f>
        <v>1868.08175333564</v>
      </c>
      <c r="AA22" s="16" t="n">
        <f aca="false">AUX_MATRIZES!AA11</f>
        <v>11860.3244986657</v>
      </c>
      <c r="AB22" s="16" t="n">
        <f aca="false">AUX_MATRIZES!AB11</f>
        <v>20262.9608323471</v>
      </c>
      <c r="AC22" s="16" t="n">
        <f aca="false">AUX_MATRIZES!AC11</f>
        <v>28014.466117647</v>
      </c>
      <c r="AD22" s="16" t="n">
        <f aca="false">AUX_MATRIZES!AD11</f>
        <v>28014.466117647</v>
      </c>
      <c r="AE22" s="16" t="n">
        <f aca="false">AUX_MATRIZES!AE11</f>
        <v>28014.466117647</v>
      </c>
      <c r="AF22" s="16" t="n">
        <f aca="false">AUX_MATRIZES!AF11</f>
        <v>28014.466117647</v>
      </c>
      <c r="AG22" s="16" t="n">
        <f aca="false">AUX_MATRIZES!AG11</f>
        <v>73213.4894401258</v>
      </c>
      <c r="AH22" s="16" t="n">
        <f aca="false">AUX_MATRIZES!AH11</f>
        <v>125640.372091116</v>
      </c>
      <c r="AI22" s="16" t="n">
        <f aca="false">AUX_MATRIZES!AI11</f>
        <v>134430.642733496</v>
      </c>
      <c r="AJ22" s="16" t="n">
        <f aca="false">AUX_MATRIZES!AJ11</f>
        <v>143220.913375875</v>
      </c>
      <c r="AK22" s="16" t="n">
        <f aca="false">AUX_MATRIZES!AK11</f>
        <v>155950.966308985</v>
      </c>
      <c r="AL22" s="16" t="n">
        <f aca="false">AUX_MATRIZES!AL11</f>
        <v>184696.767420815</v>
      </c>
      <c r="AM22" s="16" t="n">
        <f aca="false">AUX_MATRIZES!AM11</f>
        <v>176672.984162896</v>
      </c>
      <c r="AN22" s="16" t="n">
        <f aca="false">AUX_MATRIZES!AN11</f>
        <v>168649.200904977</v>
      </c>
      <c r="AO22" s="16" t="n">
        <f aca="false">AUX_MATRIZES!AO11</f>
        <v>160625.417647059</v>
      </c>
      <c r="AP22" s="16" t="n">
        <f aca="false">AUX_MATRIZES!AP11</f>
        <v>155119.435242405</v>
      </c>
      <c r="AQ22" s="16" t="n">
        <f aca="false">AUX_MATRIZES!AQ11</f>
        <v>147897.370377074</v>
      </c>
      <c r="AR22" s="16" t="n">
        <f aca="false">AUX_MATRIZES!AR11</f>
        <v>98333.8252066365</v>
      </c>
      <c r="AS22" s="16" t="n">
        <f aca="false">AUX_MATRIZES!AS11</f>
        <v>94392.3636078431</v>
      </c>
      <c r="AT22" s="16" t="n">
        <f aca="false">AUX_MATRIZES!AT11</f>
        <v>74172.4343339797</v>
      </c>
      <c r="AU22" s="16" t="n">
        <f aca="false">AUX_MATRIZES!AU11</f>
        <v>71141.2077435897</v>
      </c>
      <c r="AV22" s="16" t="n">
        <f aca="false">AUX_MATRIZES!AV11</f>
        <v>65352.4311312217</v>
      </c>
      <c r="AW22" s="16" t="n">
        <f aca="false">AUX_MATRIZES!AW11</f>
        <v>59563.6545188537</v>
      </c>
      <c r="AX22" s="16" t="n">
        <f aca="false">AUX_MATRIZES!AX11</f>
        <v>55305.3936117216</v>
      </c>
      <c r="AY22" s="16" t="n">
        <f aca="false">AUX_MATRIZES!AY11</f>
        <v>33272.6274509804</v>
      </c>
      <c r="AZ22" s="16" t="n">
        <f aca="false">AUX_MATRIZES!AZ11</f>
        <v>29951.0588235294</v>
      </c>
      <c r="BA22" s="16" t="n">
        <f aca="false">AUX_MATRIZES!BA11</f>
        <v>0</v>
      </c>
      <c r="BB22" s="16" t="n">
        <f aca="false">AUX_MATRIZES!BB11</f>
        <v>0</v>
      </c>
      <c r="BC22" s="16" t="n">
        <f aca="false">AUX_MATRIZES!BC11</f>
        <v>0</v>
      </c>
      <c r="BD22" s="16" t="n">
        <f aca="false">AUX_MATRIZES!BD11</f>
        <v>0</v>
      </c>
      <c r="BE22" s="16" t="n">
        <f aca="false">AUX_MATRIZES!BE11</f>
        <v>0</v>
      </c>
      <c r="BF22" s="16" t="n">
        <f aca="false">AUX_MATRIZES!BF11</f>
        <v>0</v>
      </c>
      <c r="BG22" s="16" t="n">
        <f aca="false">AUX_MATRIZES!BG11</f>
        <v>0</v>
      </c>
      <c r="BH22" s="16" t="n">
        <f aca="false">AUX_MATRIZES!BH11</f>
        <v>0</v>
      </c>
      <c r="BI22" s="16" t="n">
        <f aca="false">AUX_MATRIZES!BI11</f>
        <v>0</v>
      </c>
      <c r="BJ22" s="16" t="n">
        <f aca="false">AUX_MATRIZES!BJ11</f>
        <v>0</v>
      </c>
      <c r="BK22" s="16" t="n">
        <f aca="false">AUX_MATRIZES!BK11</f>
        <v>0</v>
      </c>
      <c r="BL22" s="16" t="n">
        <f aca="false">AUX_MATRIZES!BL11</f>
        <v>0</v>
      </c>
      <c r="BM22" s="16" t="n">
        <f aca="false">AUX_MATRIZES!BM11</f>
        <v>0</v>
      </c>
      <c r="BN22" s="16" t="n">
        <f aca="false">AUX_MATRIZES!BN11</f>
        <v>0</v>
      </c>
      <c r="BO22" s="16" t="n">
        <f aca="false">AUX_MATRIZES!BO11</f>
        <v>0</v>
      </c>
      <c r="BP22" s="16" t="n">
        <f aca="false">AUX_MATRIZES!BP11</f>
        <v>0</v>
      </c>
    </row>
    <row r="23" customFormat="false" ht="15" hidden="false" customHeight="false" outlineLevel="0" collapsed="false">
      <c r="B23" s="15" t="s">
        <v>132</v>
      </c>
      <c r="C23" s="16" t="n">
        <f aca="false">AUX_MATRIZES!C12</f>
        <v>96601.344</v>
      </c>
      <c r="D23" s="16" t="n">
        <f aca="false">AUX_MATRIZES!D12</f>
        <v>96643.68</v>
      </c>
      <c r="E23" s="16" t="n">
        <f aca="false">AUX_MATRIZES!E12</f>
        <v>96643.68</v>
      </c>
      <c r="F23" s="16" t="n">
        <f aca="false">AUX_MATRIZES!F12</f>
        <v>96643.68</v>
      </c>
      <c r="G23" s="16" t="n">
        <f aca="false">AUX_MATRIZES!G12</f>
        <v>72879.072</v>
      </c>
      <c r="H23" s="16" t="n">
        <f aca="false">AUX_MATRIZES!H12</f>
        <v>55055.616</v>
      </c>
      <c r="I23" s="16" t="n">
        <f aca="false">AUX_MATRIZES!I12</f>
        <v>55055.616</v>
      </c>
      <c r="J23" s="16" t="n">
        <f aca="false">AUX_MATRIZES!J12</f>
        <v>47449.248</v>
      </c>
      <c r="K23" s="16" t="n">
        <f aca="false">AUX_MATRIZES!K12</f>
        <v>31707.606</v>
      </c>
      <c r="L23" s="16" t="n">
        <f aca="false">AUX_MATRIZES!L12</f>
        <v>0</v>
      </c>
      <c r="M23" s="16" t="n">
        <f aca="false">AUX_MATRIZES!M12</f>
        <v>0</v>
      </c>
      <c r="N23" s="16" t="n">
        <f aca="false">AUX_MATRIZES!N12</f>
        <v>0</v>
      </c>
      <c r="O23" s="16" t="n">
        <f aca="false">AUX_MATRIZES!O12</f>
        <v>6569.44409136608</v>
      </c>
      <c r="P23" s="16" t="n">
        <f aca="false">AUX_MATRIZES!P12</f>
        <v>0</v>
      </c>
      <c r="Q23" s="16" t="n">
        <f aca="false">AUX_MATRIZES!Q12</f>
        <v>0</v>
      </c>
      <c r="R23" s="16" t="n">
        <f aca="false">AUX_MATRIZES!R12</f>
        <v>0</v>
      </c>
      <c r="S23" s="16" t="n">
        <f aca="false">AUX_MATRIZES!S12</f>
        <v>0</v>
      </c>
      <c r="T23" s="16" t="n">
        <f aca="false">AUX_MATRIZES!T12</f>
        <v>1736.23905882352</v>
      </c>
      <c r="U23" s="16" t="n">
        <f aca="false">AUX_MATRIZES!U12</f>
        <v>8892.93176470587</v>
      </c>
      <c r="V23" s="16" t="n">
        <f aca="false">AUX_MATRIZES!V12</f>
        <v>8753.05504003416</v>
      </c>
      <c r="W23" s="16" t="n">
        <f aca="false">AUX_MATRIZES!W12</f>
        <v>0</v>
      </c>
      <c r="X23" s="16" t="n">
        <f aca="false">AUX_MATRIZES!X12</f>
        <v>0</v>
      </c>
      <c r="Y23" s="16" t="n">
        <f aca="false">AUX_MATRIZES!Y12</f>
        <v>0</v>
      </c>
      <c r="Z23" s="16" t="n">
        <f aca="false">AUX_MATRIZES!Z12</f>
        <v>11348.1049198283</v>
      </c>
      <c r="AA23" s="16" t="n">
        <f aca="false">AUX_MATRIZES!AA12</f>
        <v>31403.181490196</v>
      </c>
      <c r="AB23" s="16" t="n">
        <f aca="false">AUX_MATRIZES!AB12</f>
        <v>32385.7948235294</v>
      </c>
      <c r="AC23" s="16" t="n">
        <f aca="false">AUX_MATRIZES!AC12</f>
        <v>40008.2578823529</v>
      </c>
      <c r="AD23" s="16" t="n">
        <f aca="false">AUX_MATRIZES!AD12</f>
        <v>40008.2578823529</v>
      </c>
      <c r="AE23" s="16" t="n">
        <f aca="false">AUX_MATRIZES!AE12</f>
        <v>40008.2578823529</v>
      </c>
      <c r="AF23" s="16" t="n">
        <f aca="false">AUX_MATRIZES!AF12</f>
        <v>40008.2578823529</v>
      </c>
      <c r="AG23" s="16" t="n">
        <f aca="false">AUX_MATRIZES!AG12</f>
        <v>90352.9957647059</v>
      </c>
      <c r="AH23" s="16" t="n">
        <f aca="false">AUX_MATRIZES!AH12</f>
        <v>128111.549176471</v>
      </c>
      <c r="AI23" s="16" t="n">
        <f aca="false">AUX_MATRIZES!AI12</f>
        <v>128111.549176471</v>
      </c>
      <c r="AJ23" s="16" t="n">
        <f aca="false">AUX_MATRIZES!AJ12</f>
        <v>125491.737411765</v>
      </c>
      <c r="AK23" s="16" t="n">
        <f aca="false">AUX_MATRIZES!AK12</f>
        <v>131170.140307692</v>
      </c>
      <c r="AL23" s="16" t="n">
        <f aca="false">AUX_MATRIZES!AL12</f>
        <v>152107.353014823</v>
      </c>
      <c r="AM23" s="16" t="n">
        <f aca="false">AUX_MATRIZES!AM12</f>
        <v>141152.760410673</v>
      </c>
      <c r="AN23" s="16" t="n">
        <f aca="false">AUX_MATRIZES!AN12</f>
        <v>130198.167806522</v>
      </c>
      <c r="AO23" s="16" t="n">
        <f aca="false">AUX_MATRIZES!AO12</f>
        <v>119243.575202372</v>
      </c>
      <c r="AP23" s="16" t="n">
        <f aca="false">AUX_MATRIZES!AP12</f>
        <v>124297.595418942</v>
      </c>
      <c r="AQ23" s="16" t="n">
        <f aca="false">AUX_MATRIZES!AQ12</f>
        <v>127871.240218443</v>
      </c>
      <c r="AR23" s="16" t="n">
        <f aca="false">AUX_MATRIZES!AR12</f>
        <v>70695.1533306288</v>
      </c>
      <c r="AS23" s="16" t="n">
        <f aca="false">AUX_MATRIZES!AS12</f>
        <v>66531.8429858012</v>
      </c>
      <c r="AT23" s="16" t="n">
        <f aca="false">AUX_MATRIZES!AT12</f>
        <v>40749.9686880325</v>
      </c>
      <c r="AU23" s="16" t="n">
        <f aca="false">AUX_MATRIZES!AU12</f>
        <v>69612.6554060852</v>
      </c>
      <c r="AV23" s="16" t="n">
        <f aca="false">AUX_MATRIZES!AV12</f>
        <v>87047.5718198783</v>
      </c>
      <c r="AW23" s="16" t="n">
        <f aca="false">AUX_MATRIZES!AW12</f>
        <v>104482.488233671</v>
      </c>
      <c r="AX23" s="16" t="n">
        <f aca="false">AUX_MATRIZES!AX12</f>
        <v>128328.126636917</v>
      </c>
      <c r="AY23" s="16" t="n">
        <f aca="false">AUX_MATRIZES!AY12</f>
        <v>182388.326490872</v>
      </c>
      <c r="AZ23" s="16" t="n">
        <f aca="false">AUX_MATRIZES!AZ12</f>
        <v>199151.445277079</v>
      </c>
      <c r="BA23" s="16" t="n">
        <f aca="false">AUX_MATRIZES!BA12</f>
        <v>213203.753139148</v>
      </c>
      <c r="BB23" s="16" t="n">
        <f aca="false">AUX_MATRIZES!BB12</f>
        <v>227256.061001217</v>
      </c>
      <c r="BC23" s="16" t="n">
        <f aca="false">AUX_MATRIZES!BC12</f>
        <v>239480.527831237</v>
      </c>
      <c r="BD23" s="16" t="n">
        <f aca="false">AUX_MATRIZES!BD12</f>
        <v>241647.872941176</v>
      </c>
      <c r="BE23" s="16" t="n">
        <f aca="false">AUX_MATRIZES!BE12</f>
        <v>241647.872941176</v>
      </c>
      <c r="BF23" s="16" t="n">
        <f aca="false">AUX_MATRIZES!BF12</f>
        <v>233496.018823529</v>
      </c>
      <c r="BG23" s="16" t="n">
        <f aca="false">AUX_MATRIZES!BG12</f>
        <v>174058.801720081</v>
      </c>
      <c r="BH23" s="16" t="n">
        <f aca="false">AUX_MATRIZES!BH12</f>
        <v>100406.16074645</v>
      </c>
      <c r="BI23" s="16" t="n">
        <f aca="false">AUX_MATRIZES!BI12</f>
        <v>85714.0834401622</v>
      </c>
      <c r="BJ23" s="16" t="n">
        <f aca="false">AUX_MATRIZES!BJ12</f>
        <v>65076.7989614604</v>
      </c>
      <c r="BK23" s="16" t="n">
        <f aca="false">AUX_MATRIZES!BK12</f>
        <v>39318.3028965517</v>
      </c>
      <c r="BL23" s="16" t="n">
        <f aca="false">AUX_MATRIZES!BL12</f>
        <v>0</v>
      </c>
      <c r="BM23" s="16" t="n">
        <f aca="false">AUX_MATRIZES!BM12</f>
        <v>0</v>
      </c>
      <c r="BN23" s="16" t="n">
        <f aca="false">AUX_MATRIZES!BN12</f>
        <v>0</v>
      </c>
      <c r="BO23" s="16" t="n">
        <f aca="false">AUX_MATRIZES!BO12</f>
        <v>0</v>
      </c>
      <c r="BP23" s="16" t="n">
        <f aca="false">AUX_MATRIZES!BP12</f>
        <v>0</v>
      </c>
    </row>
    <row r="24" customFormat="false" ht="15" hidden="false" customHeight="false" outlineLevel="0" collapsed="false">
      <c r="B24" s="15" t="s">
        <v>133</v>
      </c>
      <c r="C24" s="16" t="n">
        <f aca="false">AUX_MATRIZES!C13</f>
        <v>148517.964621022</v>
      </c>
      <c r="D24" s="16" t="n">
        <f aca="false">AUX_MATRIZES!D13</f>
        <v>106348.07147541</v>
      </c>
      <c r="E24" s="16" t="n">
        <f aca="false">AUX_MATRIZES!E13</f>
        <v>72482.76</v>
      </c>
      <c r="F24" s="16" t="n">
        <f aca="false">AUX_MATRIZES!F13</f>
        <v>67558.995</v>
      </c>
      <c r="G24" s="16" t="n">
        <f aca="false">AUX_MATRIZES!G13</f>
        <v>43075.116</v>
      </c>
      <c r="H24" s="16" t="n">
        <f aca="false">AUX_MATRIZES!H13</f>
        <v>23226.588</v>
      </c>
      <c r="I24" s="16" t="n">
        <f aca="false">AUX_MATRIZES!I13</f>
        <v>16571.016</v>
      </c>
      <c r="J24" s="16" t="n">
        <f aca="false">AUX_MATRIZES!J13</f>
        <v>9915.44399999998</v>
      </c>
      <c r="K24" s="16" t="n">
        <f aca="false">AUX_MATRIZES!K13</f>
        <v>0</v>
      </c>
      <c r="L24" s="16" t="n">
        <f aca="false">AUX_MATRIZES!L13</f>
        <v>0</v>
      </c>
      <c r="M24" s="16" t="n">
        <f aca="false">AUX_MATRIZES!M13</f>
        <v>0</v>
      </c>
      <c r="N24" s="16" t="n">
        <f aca="false">AUX_MATRIZES!N13</f>
        <v>0</v>
      </c>
      <c r="O24" s="16" t="n">
        <f aca="false">AUX_MATRIZES!O13</f>
        <v>1050.25753382132</v>
      </c>
      <c r="P24" s="16" t="n">
        <f aca="false">AUX_MATRIZES!P13</f>
        <v>0</v>
      </c>
      <c r="Q24" s="16" t="n">
        <f aca="false">AUX_MATRIZES!Q13</f>
        <v>0</v>
      </c>
      <c r="R24" s="16" t="n">
        <f aca="false">AUX_MATRIZES!R13</f>
        <v>0</v>
      </c>
      <c r="S24" s="16" t="n">
        <f aca="false">AUX_MATRIZES!S13</f>
        <v>0</v>
      </c>
      <c r="T24" s="16" t="n">
        <f aca="false">AUX_MATRIZES!T13</f>
        <v>575.813647058821</v>
      </c>
      <c r="U24" s="16" t="n">
        <f aca="false">AUX_MATRIZES!U13</f>
        <v>2949.2894117647</v>
      </c>
      <c r="V24" s="16" t="n">
        <f aca="false">AUX_MATRIZES!V13</f>
        <v>2949.2894117647</v>
      </c>
      <c r="W24" s="16" t="n">
        <f aca="false">AUX_MATRIZES!W13</f>
        <v>0</v>
      </c>
      <c r="X24" s="16" t="n">
        <f aca="false">AUX_MATRIZES!X13</f>
        <v>0</v>
      </c>
      <c r="Y24" s="16" t="n">
        <f aca="false">AUX_MATRIZES!Y13</f>
        <v>6937.73129411765</v>
      </c>
      <c r="Z24" s="16" t="n">
        <f aca="false">AUX_MATRIZES!Z13</f>
        <v>18011.1255809258</v>
      </c>
      <c r="AA24" s="16" t="n">
        <f aca="false">AUX_MATRIZES!AA13</f>
        <v>36258.5168235294</v>
      </c>
      <c r="AB24" s="16" t="n">
        <f aca="false">AUX_MATRIZES!AB13</f>
        <v>37916.6768235294</v>
      </c>
      <c r="AC24" s="16" t="n">
        <f aca="false">AUX_MATRIZES!AC13</f>
        <v>55491.5027058823</v>
      </c>
      <c r="AD24" s="16" t="n">
        <f aca="false">AUX_MATRIZES!AD13</f>
        <v>63309.3739215686</v>
      </c>
      <c r="AE24" s="16" t="n">
        <f aca="false">AUX_MATRIZES!AE13</f>
        <v>65814.1336764706</v>
      </c>
      <c r="AF24" s="16" t="n">
        <f aca="false">AUX_MATRIZES!AF13</f>
        <v>63329.1697058823</v>
      </c>
      <c r="AG24" s="16" t="n">
        <f aca="false">AUX_MATRIZES!AG13</f>
        <v>158408.527182228</v>
      </c>
      <c r="AH24" s="16" t="n">
        <f aca="false">AUX_MATRIZES!AH13</f>
        <v>239700.350542484</v>
      </c>
      <c r="AI24" s="16" t="n">
        <f aca="false">AUX_MATRIZES!AI13</f>
        <v>241517.355240196</v>
      </c>
      <c r="AJ24" s="16" t="n">
        <f aca="false">AUX_MATRIZES!AJ13</f>
        <v>238455.314095148</v>
      </c>
      <c r="AK24" s="16" t="n">
        <f aca="false">AUX_MATRIZES!AK13</f>
        <v>232026.832968083</v>
      </c>
      <c r="AL24" s="16" t="n">
        <f aca="false">AUX_MATRIZES!AL13</f>
        <v>274613.670340069</v>
      </c>
      <c r="AM24" s="16" t="n">
        <f aca="false">AUX_MATRIZES!AM13</f>
        <v>269320.106720666</v>
      </c>
      <c r="AN24" s="16" t="n">
        <f aca="false">AUX_MATRIZES!AN13</f>
        <v>253931.10686597</v>
      </c>
      <c r="AO24" s="16" t="n">
        <f aca="false">AUX_MATRIZES!AO13</f>
        <v>238542.107011273</v>
      </c>
      <c r="AP24" s="16" t="n">
        <f aca="false">AUX_MATRIZES!AP13</f>
        <v>192675.328963511</v>
      </c>
      <c r="AQ24" s="16" t="n">
        <f aca="false">AUX_MATRIZES!AQ13</f>
        <v>184018.211794508</v>
      </c>
      <c r="AR24" s="16" t="n">
        <f aca="false">AUX_MATRIZES!AR13</f>
        <v>105683.408551724</v>
      </c>
      <c r="AS24" s="16" t="n">
        <f aca="false">AUX_MATRIZES!AS13</f>
        <v>122256.792302907</v>
      </c>
      <c r="AT24" s="16" t="n">
        <f aca="false">AUX_MATRIZES!AT13</f>
        <v>101868.376878431</v>
      </c>
      <c r="AU24" s="16" t="n">
        <f aca="false">AUX_MATRIZES!AU13</f>
        <v>110999.730223529</v>
      </c>
      <c r="AV24" s="16" t="n">
        <f aca="false">AUX_MATRIZES!AV13</f>
        <v>118896.898427451</v>
      </c>
      <c r="AW24" s="16" t="n">
        <f aca="false">AUX_MATRIZES!AW13</f>
        <v>127621.952966667</v>
      </c>
      <c r="AX24" s="16" t="n">
        <f aca="false">AUX_MATRIZES!AX13</f>
        <v>145164.103294118</v>
      </c>
      <c r="AY24" s="16" t="n">
        <f aca="false">AUX_MATRIZES!AY13</f>
        <v>185651.427239216</v>
      </c>
      <c r="AZ24" s="16" t="n">
        <f aca="false">AUX_MATRIZES!AZ13</f>
        <v>180091.532847059</v>
      </c>
      <c r="BA24" s="16" t="n">
        <f aca="false">AUX_MATRIZES!BA13</f>
        <v>200084.864494118</v>
      </c>
      <c r="BB24" s="16" t="n">
        <f aca="false">AUX_MATRIZES!BB13</f>
        <v>213432.502541176</v>
      </c>
      <c r="BC24" s="16" t="n">
        <f aca="false">AUX_MATRIZES!BC13</f>
        <v>220875.092705882</v>
      </c>
      <c r="BD24" s="16" t="n">
        <f aca="false">AUX_MATRIZES!BD13</f>
        <v>217357.418352941</v>
      </c>
      <c r="BE24" s="16" t="n">
        <f aca="false">AUX_MATRIZES!BE13</f>
        <v>210339.015764706</v>
      </c>
      <c r="BF24" s="16" t="n">
        <f aca="false">AUX_MATRIZES!BF13</f>
        <v>203320.613176471</v>
      </c>
      <c r="BG24" s="16" t="n">
        <f aca="false">AUX_MATRIZES!BG13</f>
        <v>157614.958117647</v>
      </c>
      <c r="BH24" s="16" t="n">
        <f aca="false">AUX_MATRIZES!BH13</f>
        <v>99255.566117647</v>
      </c>
      <c r="BI24" s="16" t="n">
        <f aca="false">AUX_MATRIZES!BI13</f>
        <v>88330.2494117647</v>
      </c>
      <c r="BJ24" s="16" t="n">
        <f aca="false">AUX_MATRIZES!BJ13</f>
        <v>75032.3774117647</v>
      </c>
      <c r="BK24" s="16" t="n">
        <f aca="false">AUX_MATRIZES!BK13</f>
        <v>60678.1905882352</v>
      </c>
      <c r="BL24" s="16" t="n">
        <f aca="false">AUX_MATRIZES!BL13</f>
        <v>0</v>
      </c>
      <c r="BM24" s="16" t="n">
        <f aca="false">AUX_MATRIZES!BM13</f>
        <v>0</v>
      </c>
      <c r="BN24" s="16" t="n">
        <f aca="false">AUX_MATRIZES!BN13</f>
        <v>0</v>
      </c>
      <c r="BO24" s="16" t="n">
        <f aca="false">AUX_MATRIZES!BO13</f>
        <v>0</v>
      </c>
      <c r="BP24" s="16" t="n">
        <f aca="false">AUX_MATRIZES!BP13</f>
        <v>0</v>
      </c>
    </row>
    <row r="25" customFormat="false" ht="15" hidden="false" customHeight="false" outlineLevel="0" collapsed="false">
      <c r="B25" s="15" t="s">
        <v>134</v>
      </c>
      <c r="C25" s="16" t="n">
        <f aca="false">AUX_MATRIZES!C14</f>
        <v>172736.158296919</v>
      </c>
      <c r="D25" s="16" t="n">
        <f aca="false">AUX_MATRIZES!D14</f>
        <v>152721.743398693</v>
      </c>
      <c r="E25" s="16" t="n">
        <f aca="false">AUX_MATRIZES!E14</f>
        <v>101244.383189542</v>
      </c>
      <c r="F25" s="16" t="n">
        <f aca="false">AUX_MATRIZES!F14</f>
        <v>58285.332</v>
      </c>
      <c r="G25" s="16" t="n">
        <f aca="false">AUX_MATRIZES!G14</f>
        <v>26414.8658823529</v>
      </c>
      <c r="H25" s="16" t="n">
        <f aca="false">AUX_MATRIZES!H14</f>
        <v>0</v>
      </c>
      <c r="I25" s="16" t="n">
        <f aca="false">AUX_MATRIZES!I14</f>
        <v>0</v>
      </c>
      <c r="J25" s="16" t="n">
        <f aca="false">AUX_MATRIZES!J14</f>
        <v>0</v>
      </c>
      <c r="K25" s="16" t="n">
        <f aca="false">AUX_MATRIZES!K14</f>
        <v>0</v>
      </c>
      <c r="L25" s="16" t="n">
        <f aca="false">AUX_MATRIZES!L14</f>
        <v>0</v>
      </c>
      <c r="M25" s="16" t="n">
        <f aca="false">AUX_MATRIZES!M14</f>
        <v>0</v>
      </c>
      <c r="N25" s="16" t="n">
        <f aca="false">AUX_MATRIZES!N14</f>
        <v>0</v>
      </c>
      <c r="O25" s="16" t="n">
        <f aca="false">AUX_MATRIZES!O14</f>
        <v>1050.25753382132</v>
      </c>
      <c r="P25" s="16" t="n">
        <f aca="false">AUX_MATRIZES!P14</f>
        <v>0</v>
      </c>
      <c r="Q25" s="16" t="n">
        <f aca="false">AUX_MATRIZES!Q14</f>
        <v>0</v>
      </c>
      <c r="R25" s="16" t="n">
        <f aca="false">AUX_MATRIZES!R14</f>
        <v>0</v>
      </c>
      <c r="S25" s="16" t="n">
        <f aca="false">AUX_MATRIZES!S14</f>
        <v>0</v>
      </c>
      <c r="T25" s="16" t="n">
        <f aca="false">AUX_MATRIZES!T14</f>
        <v>4030.29035294116</v>
      </c>
      <c r="U25" s="16" t="n">
        <f aca="false">AUX_MATRIZES!U14</f>
        <v>20642.9505882353</v>
      </c>
      <c r="V25" s="16" t="n">
        <f aca="false">AUX_MATRIZES!V14</f>
        <v>20642.9505882353</v>
      </c>
      <c r="W25" s="16" t="n">
        <f aca="false">AUX_MATRIZES!W14</f>
        <v>8508.71637009591</v>
      </c>
      <c r="X25" s="16" t="n">
        <f aca="false">AUX_MATRIZES!X14</f>
        <v>0</v>
      </c>
      <c r="Y25" s="16" t="n">
        <f aca="false">AUX_MATRIZES!Y14</f>
        <v>0</v>
      </c>
      <c r="Z25" s="16" t="n">
        <f aca="false">AUX_MATRIZES!Z14</f>
        <v>4053.86713261398</v>
      </c>
      <c r="AA25" s="16" t="n">
        <f aca="false">AUX_MATRIZES!AA14</f>
        <v>12914.9946526086</v>
      </c>
      <c r="AB25" s="16" t="n">
        <f aca="false">AUX_MATRIZES!AB14</f>
        <v>20651.9270588235</v>
      </c>
      <c r="AC25" s="16" t="n">
        <f aca="false">AUX_MATRIZES!AC14</f>
        <v>26207.7035294118</v>
      </c>
      <c r="AD25" s="16" t="n">
        <f aca="false">AUX_MATRIZES!AD14</f>
        <v>26207.7035294118</v>
      </c>
      <c r="AE25" s="16" t="n">
        <f aca="false">AUX_MATRIZES!AE14</f>
        <v>29146.4767679738</v>
      </c>
      <c r="AF25" s="16" t="n">
        <f aca="false">AUX_MATRIZES!AF14</f>
        <v>35852.7712941176</v>
      </c>
      <c r="AG25" s="16" t="n">
        <f aca="false">AUX_MATRIZES!AG14</f>
        <v>116217.850881627</v>
      </c>
      <c r="AH25" s="16" t="n">
        <f aca="false">AUX_MATRIZES!AH14</f>
        <v>236511.561084967</v>
      </c>
      <c r="AI25" s="16" t="n">
        <f aca="false">AUX_MATRIZES!AI14</f>
        <v>264229.996038671</v>
      </c>
      <c r="AJ25" s="16" t="n">
        <f aca="false">AUX_MATRIZES!AJ14</f>
        <v>283391.189642031</v>
      </c>
      <c r="AK25" s="16" t="n">
        <f aca="false">AUX_MATRIZES!AK14</f>
        <v>324304.534323683</v>
      </c>
      <c r="AL25" s="16" t="n">
        <f aca="false">AUX_MATRIZES!AL14</f>
        <v>407921.465823529</v>
      </c>
      <c r="AM25" s="16" t="n">
        <f aca="false">AUX_MATRIZES!AM14</f>
        <v>398843.217254525</v>
      </c>
      <c r="AN25" s="16" t="n">
        <f aca="false">AUX_MATRIZES!AN14</f>
        <v>389360.091773756</v>
      </c>
      <c r="AO25" s="16" t="n">
        <f aca="false">AUX_MATRIZES!AO14</f>
        <v>346552.519028281</v>
      </c>
      <c r="AP25" s="16" t="n">
        <f aca="false">AUX_MATRIZES!AP14</f>
        <v>354318.903272463</v>
      </c>
      <c r="AQ25" s="16" t="n">
        <f aca="false">AUX_MATRIZES!AQ14</f>
        <v>348262.392321267</v>
      </c>
      <c r="AR25" s="16" t="n">
        <f aca="false">AUX_MATRIZES!AR14</f>
        <v>301446.849803922</v>
      </c>
      <c r="AS25" s="16" t="n">
        <f aca="false">AUX_MATRIZES!AS14</f>
        <v>263268.321464052</v>
      </c>
      <c r="AT25" s="16" t="n">
        <f aca="false">AUX_MATRIZES!AT14</f>
        <v>278245.964235294</v>
      </c>
      <c r="AU25" s="16" t="n">
        <f aca="false">AUX_MATRIZES!AU14</f>
        <v>273278.471739869</v>
      </c>
      <c r="AV25" s="16" t="n">
        <f aca="false">AUX_MATRIZES!AV14</f>
        <v>259988.107903268</v>
      </c>
      <c r="AW25" s="16" t="n">
        <f aca="false">AUX_MATRIZES!AW14</f>
        <v>247069.456232184</v>
      </c>
      <c r="AX25" s="16" t="n">
        <f aca="false">AUX_MATRIZES!AX14</f>
        <v>215925.435404102</v>
      </c>
      <c r="AY25" s="16" t="n">
        <f aca="false">AUX_MATRIZES!AY14</f>
        <v>222953.03967735</v>
      </c>
      <c r="AZ25" s="16" t="n">
        <f aca="false">AUX_MATRIZES!AZ14</f>
        <v>212778.354351679</v>
      </c>
      <c r="BA25" s="16" t="n">
        <f aca="false">AUX_MATRIZES!BA14</f>
        <v>153873.594772414</v>
      </c>
      <c r="BB25" s="16" t="n">
        <f aca="false">AUX_MATRIZES!BB14</f>
        <v>170691.022727789</v>
      </c>
      <c r="BC25" s="16" t="n">
        <f aca="false">AUX_MATRIZES!BC14</f>
        <v>181370.903447059</v>
      </c>
      <c r="BD25" s="16" t="n">
        <f aca="false">AUX_MATRIZES!BD14</f>
        <v>192351.865670588</v>
      </c>
      <c r="BE25" s="16" t="n">
        <f aca="false">AUX_MATRIZES!BE14</f>
        <v>192978.075294118</v>
      </c>
      <c r="BF25" s="16" t="n">
        <f aca="false">AUX_MATRIZES!BF14</f>
        <v>192978.075294118</v>
      </c>
      <c r="BG25" s="16" t="n">
        <f aca="false">AUX_MATRIZES!BG14</f>
        <v>158545.365647059</v>
      </c>
      <c r="BH25" s="16" t="n">
        <f aca="false">AUX_MATRIZES!BH14</f>
        <v>106826.752941176</v>
      </c>
      <c r="BI25" s="16" t="n">
        <f aca="false">AUX_MATRIZES!BI14</f>
        <v>97788.1123569979</v>
      </c>
      <c r="BJ25" s="16" t="n">
        <f aca="false">AUX_MATRIZES!BJ14</f>
        <v>86139.1811440162</v>
      </c>
      <c r="BK25" s="16" t="n">
        <f aca="false">AUX_MATRIZES!BK14</f>
        <v>74490.2499310345</v>
      </c>
      <c r="BL25" s="16" t="n">
        <f aca="false">AUX_MATRIZES!BL14</f>
        <v>1235.62435294118</v>
      </c>
      <c r="BM25" s="16" t="n">
        <f aca="false">AUX_MATRIZES!BM14</f>
        <v>0</v>
      </c>
      <c r="BN25" s="16" t="n">
        <f aca="false">AUX_MATRIZES!BN14</f>
        <v>0</v>
      </c>
      <c r="BO25" s="16" t="n">
        <f aca="false">AUX_MATRIZES!BO14</f>
        <v>0</v>
      </c>
      <c r="BP25" s="16" t="n">
        <f aca="false">AUX_MATRIZES!BP14</f>
        <v>0</v>
      </c>
    </row>
    <row r="26" customFormat="false" ht="15" hidden="false" customHeight="false" outlineLevel="0" collapsed="false">
      <c r="B26" s="15" t="s">
        <v>135</v>
      </c>
      <c r="C26" s="16" t="n">
        <f aca="false">AUX_MATRIZES!C15</f>
        <v>0</v>
      </c>
      <c r="D26" s="16" t="n">
        <f aca="false">AUX_MATRIZES!D15</f>
        <v>0</v>
      </c>
      <c r="E26" s="16" t="n">
        <f aca="false">AUX_MATRIZES!E15</f>
        <v>0</v>
      </c>
      <c r="F26" s="16" t="n">
        <f aca="false">AUX_MATRIZES!F15</f>
        <v>0</v>
      </c>
      <c r="G26" s="16" t="n">
        <f aca="false">AUX_MATRIZES!G15</f>
        <v>0</v>
      </c>
      <c r="H26" s="16" t="n">
        <f aca="false">AUX_MATRIZES!H15</f>
        <v>0</v>
      </c>
      <c r="I26" s="16" t="n">
        <f aca="false">AUX_MATRIZES!I15</f>
        <v>0</v>
      </c>
      <c r="J26" s="16" t="n">
        <f aca="false">AUX_MATRIZES!J15</f>
        <v>0</v>
      </c>
      <c r="K26" s="16" t="n">
        <f aca="false">AUX_MATRIZES!K15</f>
        <v>0</v>
      </c>
      <c r="L26" s="16" t="n">
        <f aca="false">AUX_MATRIZES!L15</f>
        <v>0</v>
      </c>
      <c r="M26" s="16" t="n">
        <f aca="false">AUX_MATRIZES!M15</f>
        <v>0</v>
      </c>
      <c r="N26" s="16" t="n">
        <f aca="false">AUX_MATRIZES!N15</f>
        <v>0</v>
      </c>
      <c r="O26" s="16" t="n">
        <f aca="false">AUX_MATRIZES!O15</f>
        <v>0</v>
      </c>
      <c r="P26" s="16" t="n">
        <f aca="false">AUX_MATRIZES!P15</f>
        <v>0</v>
      </c>
      <c r="Q26" s="16" t="n">
        <f aca="false">AUX_MATRIZES!Q15</f>
        <v>0</v>
      </c>
      <c r="R26" s="16" t="n">
        <f aca="false">AUX_MATRIZES!R15</f>
        <v>0</v>
      </c>
      <c r="S26" s="16" t="n">
        <f aca="false">AUX_MATRIZES!S15</f>
        <v>0</v>
      </c>
      <c r="T26" s="16" t="n">
        <f aca="false">AUX_MATRIZES!T15</f>
        <v>0</v>
      </c>
      <c r="U26" s="16" t="n">
        <f aca="false">AUX_MATRIZES!U15</f>
        <v>0</v>
      </c>
      <c r="V26" s="16" t="n">
        <f aca="false">AUX_MATRIZES!V15</f>
        <v>0</v>
      </c>
      <c r="W26" s="16" t="n">
        <f aca="false">AUX_MATRIZES!W15</f>
        <v>0</v>
      </c>
      <c r="X26" s="16" t="n">
        <f aca="false">AUX_MATRIZES!X15</f>
        <v>0</v>
      </c>
      <c r="Y26" s="16" t="n">
        <f aca="false">AUX_MATRIZES!Y15</f>
        <v>0</v>
      </c>
      <c r="Z26" s="16" t="n">
        <f aca="false">AUX_MATRIZES!Z15</f>
        <v>0</v>
      </c>
      <c r="AA26" s="16" t="n">
        <f aca="false">AUX_MATRIZES!AA15</f>
        <v>0</v>
      </c>
      <c r="AB26" s="16" t="n">
        <f aca="false">AUX_MATRIZES!AB15</f>
        <v>0</v>
      </c>
      <c r="AC26" s="16" t="n">
        <f aca="false">AUX_MATRIZES!AC15</f>
        <v>0</v>
      </c>
      <c r="AD26" s="16" t="n">
        <f aca="false">AUX_MATRIZES!AD15</f>
        <v>0</v>
      </c>
      <c r="AE26" s="16" t="n">
        <f aca="false">AUX_MATRIZES!AE15</f>
        <v>0</v>
      </c>
      <c r="AF26" s="16" t="n">
        <f aca="false">AUX_MATRIZES!AF15</f>
        <v>0</v>
      </c>
      <c r="AG26" s="16" t="n">
        <f aca="false">AUX_MATRIZES!AG15</f>
        <v>0</v>
      </c>
      <c r="AH26" s="16" t="n">
        <f aca="false">AUX_MATRIZES!AH15</f>
        <v>0</v>
      </c>
      <c r="AI26" s="16" t="n">
        <f aca="false">AUX_MATRIZES!AI15</f>
        <v>0</v>
      </c>
      <c r="AJ26" s="16" t="n">
        <f aca="false">AUX_MATRIZES!AJ15</f>
        <v>0</v>
      </c>
      <c r="AK26" s="16" t="n">
        <f aca="false">AUX_MATRIZES!AK15</f>
        <v>0</v>
      </c>
      <c r="AL26" s="16" t="n">
        <f aca="false">AUX_MATRIZES!AL15</f>
        <v>0</v>
      </c>
      <c r="AM26" s="16" t="n">
        <f aca="false">AUX_MATRIZES!AM15</f>
        <v>0</v>
      </c>
      <c r="AN26" s="16" t="n">
        <f aca="false">AUX_MATRIZES!AN15</f>
        <v>0</v>
      </c>
      <c r="AO26" s="16" t="n">
        <f aca="false">AUX_MATRIZES!AO15</f>
        <v>0</v>
      </c>
      <c r="AP26" s="16" t="n">
        <f aca="false">AUX_MATRIZES!AP15</f>
        <v>0</v>
      </c>
      <c r="AQ26" s="16" t="n">
        <f aca="false">AUX_MATRIZES!AQ15</f>
        <v>0</v>
      </c>
      <c r="AR26" s="16" t="n">
        <f aca="false">AUX_MATRIZES!AR15</f>
        <v>0</v>
      </c>
      <c r="AS26" s="16" t="n">
        <f aca="false">AUX_MATRIZES!AS15</f>
        <v>0</v>
      </c>
      <c r="AT26" s="16" t="n">
        <f aca="false">AUX_MATRIZES!AT15</f>
        <v>0</v>
      </c>
      <c r="AU26" s="16" t="n">
        <f aca="false">AUX_MATRIZES!AU15</f>
        <v>0</v>
      </c>
      <c r="AV26" s="16" t="n">
        <f aca="false">AUX_MATRIZES!AV15</f>
        <v>0</v>
      </c>
      <c r="AW26" s="16" t="n">
        <f aca="false">AUX_MATRIZES!AW15</f>
        <v>0</v>
      </c>
      <c r="AX26" s="16" t="n">
        <f aca="false">AUX_MATRIZES!AX15</f>
        <v>0</v>
      </c>
      <c r="AY26" s="16" t="n">
        <f aca="false">AUX_MATRIZES!AY15</f>
        <v>0</v>
      </c>
      <c r="AZ26" s="16" t="n">
        <f aca="false">AUX_MATRIZES!AZ15</f>
        <v>0</v>
      </c>
      <c r="BA26" s="16" t="n">
        <f aca="false">AUX_MATRIZES!BA15</f>
        <v>0</v>
      </c>
      <c r="BB26" s="16" t="n">
        <f aca="false">AUX_MATRIZES!BB15</f>
        <v>0</v>
      </c>
      <c r="BC26" s="16" t="n">
        <f aca="false">AUX_MATRIZES!BC15</f>
        <v>0</v>
      </c>
      <c r="BD26" s="16" t="n">
        <f aca="false">AUX_MATRIZES!BD15</f>
        <v>0</v>
      </c>
      <c r="BE26" s="16" t="n">
        <f aca="false">AUX_MATRIZES!BE15</f>
        <v>0</v>
      </c>
      <c r="BF26" s="16" t="n">
        <f aca="false">AUX_MATRIZES!BF15</f>
        <v>0</v>
      </c>
      <c r="BG26" s="16" t="n">
        <f aca="false">AUX_MATRIZES!BG15</f>
        <v>0</v>
      </c>
      <c r="BH26" s="16" t="n">
        <f aca="false">AUX_MATRIZES!BH15</f>
        <v>0</v>
      </c>
      <c r="BI26" s="16" t="n">
        <f aca="false">AUX_MATRIZES!BI15</f>
        <v>0</v>
      </c>
      <c r="BJ26" s="16" t="n">
        <f aca="false">AUX_MATRIZES!BJ15</f>
        <v>0</v>
      </c>
      <c r="BK26" s="16" t="n">
        <f aca="false">AUX_MATRIZES!BK15</f>
        <v>0</v>
      </c>
      <c r="BL26" s="16" t="n">
        <f aca="false">AUX_MATRIZES!BL15</f>
        <v>0</v>
      </c>
      <c r="BM26" s="16" t="n">
        <f aca="false">AUX_MATRIZES!BM15</f>
        <v>0</v>
      </c>
      <c r="BN26" s="16" t="n">
        <f aca="false">AUX_MATRIZES!BN15</f>
        <v>0</v>
      </c>
      <c r="BO26" s="16" t="n">
        <f aca="false">AUX_MATRIZES!BO15</f>
        <v>0</v>
      </c>
      <c r="BP26" s="16" t="n">
        <f aca="false">AUX_MATRIZES!BP15</f>
        <v>0</v>
      </c>
    </row>
    <row r="29" customFormat="false" ht="15" hidden="false" customHeight="false" outlineLevel="0" collapsed="false">
      <c r="B29" s="3" t="s">
        <v>145</v>
      </c>
    </row>
    <row r="30" customFormat="false" ht="15" hidden="false" customHeight="false" outlineLevel="0" collapsed="false">
      <c r="B30" s="14" t="s">
        <v>68</v>
      </c>
      <c r="C30" s="22" t="n">
        <f aca="false">SEMANAS!$B$6</f>
        <v>1</v>
      </c>
      <c r="D30" s="22" t="n">
        <f aca="false">SEMANAS!$B$7</f>
        <v>2</v>
      </c>
      <c r="E30" s="22" t="n">
        <f aca="false">SEMANAS!$B$8</f>
        <v>3</v>
      </c>
      <c r="F30" s="22" t="n">
        <f aca="false">SEMANAS!$B$9</f>
        <v>4</v>
      </c>
      <c r="G30" s="22" t="n">
        <f aca="false">SEMANAS!$B$10</f>
        <v>5</v>
      </c>
      <c r="H30" s="22" t="n">
        <f aca="false">SEMANAS!$B$11</f>
        <v>6</v>
      </c>
      <c r="I30" s="22" t="n">
        <f aca="false">SEMANAS!$B$12</f>
        <v>7</v>
      </c>
      <c r="J30" s="22" t="n">
        <f aca="false">SEMANAS!$B$13</f>
        <v>8</v>
      </c>
      <c r="K30" s="22" t="n">
        <f aca="false">SEMANAS!$B$14</f>
        <v>9</v>
      </c>
      <c r="L30" s="22" t="n">
        <f aca="false">SEMANAS!$B$15</f>
        <v>10</v>
      </c>
      <c r="M30" s="22" t="n">
        <f aca="false">SEMANAS!$B$16</f>
        <v>11</v>
      </c>
      <c r="N30" s="22" t="n">
        <f aca="false">SEMANAS!$B$17</f>
        <v>12</v>
      </c>
      <c r="O30" s="22" t="n">
        <f aca="false">SEMANAS!$B$18</f>
        <v>13</v>
      </c>
      <c r="P30" s="22" t="n">
        <f aca="false">SEMANAS!$B$19</f>
        <v>14</v>
      </c>
      <c r="Q30" s="22" t="n">
        <f aca="false">SEMANAS!$B$20</f>
        <v>15</v>
      </c>
      <c r="R30" s="22" t="n">
        <f aca="false">SEMANAS!$B$21</f>
        <v>16</v>
      </c>
      <c r="S30" s="22" t="n">
        <f aca="false">SEMANAS!$B$22</f>
        <v>17</v>
      </c>
      <c r="T30" s="22" t="n">
        <f aca="false">SEMANAS!$B$23</f>
        <v>18</v>
      </c>
      <c r="U30" s="22" t="n">
        <f aca="false">SEMANAS!$B$24</f>
        <v>19</v>
      </c>
      <c r="V30" s="22" t="n">
        <f aca="false">SEMANAS!$B$25</f>
        <v>20</v>
      </c>
      <c r="W30" s="22" t="n">
        <f aca="false">SEMANAS!$B$26</f>
        <v>21</v>
      </c>
      <c r="X30" s="22" t="n">
        <f aca="false">SEMANAS!$B$27</f>
        <v>22</v>
      </c>
      <c r="Y30" s="22" t="n">
        <f aca="false">SEMANAS!$B$28</f>
        <v>23</v>
      </c>
      <c r="Z30" s="22" t="n">
        <f aca="false">SEMANAS!$B$29</f>
        <v>24</v>
      </c>
      <c r="AA30" s="22" t="n">
        <f aca="false">SEMANAS!$B$30</f>
        <v>25</v>
      </c>
      <c r="AB30" s="22" t="n">
        <f aca="false">SEMANAS!$B$31</f>
        <v>26</v>
      </c>
      <c r="AC30" s="22" t="n">
        <f aca="false">SEMANAS!$B$32</f>
        <v>27</v>
      </c>
      <c r="AD30" s="22" t="n">
        <f aca="false">SEMANAS!$B$33</f>
        <v>28</v>
      </c>
      <c r="AE30" s="22" t="n">
        <f aca="false">SEMANAS!$B$34</f>
        <v>29</v>
      </c>
      <c r="AF30" s="22" t="n">
        <f aca="false">SEMANAS!$B$35</f>
        <v>30</v>
      </c>
      <c r="AG30" s="22" t="n">
        <f aca="false">SEMANAS!$B$36</f>
        <v>31</v>
      </c>
      <c r="AH30" s="22" t="n">
        <f aca="false">SEMANAS!$B$37</f>
        <v>32</v>
      </c>
      <c r="AI30" s="22" t="n">
        <f aca="false">SEMANAS!$B$38</f>
        <v>33</v>
      </c>
      <c r="AJ30" s="22" t="n">
        <f aca="false">SEMANAS!$B$39</f>
        <v>34</v>
      </c>
      <c r="AK30" s="22" t="n">
        <f aca="false">SEMANAS!$B$40</f>
        <v>35</v>
      </c>
      <c r="AL30" s="22" t="n">
        <f aca="false">SEMANAS!$B$41</f>
        <v>36</v>
      </c>
      <c r="AM30" s="22" t="n">
        <f aca="false">SEMANAS!$B$42</f>
        <v>37</v>
      </c>
      <c r="AN30" s="22" t="n">
        <f aca="false">SEMANAS!$B$43</f>
        <v>38</v>
      </c>
      <c r="AO30" s="22" t="n">
        <f aca="false">SEMANAS!$B$44</f>
        <v>39</v>
      </c>
      <c r="AP30" s="22" t="n">
        <f aca="false">SEMANAS!$B$45</f>
        <v>40</v>
      </c>
      <c r="AQ30" s="22" t="n">
        <f aca="false">SEMANAS!$B$46</f>
        <v>41</v>
      </c>
      <c r="AR30" s="22" t="n">
        <f aca="false">SEMANAS!$B$47</f>
        <v>42</v>
      </c>
      <c r="AS30" s="22" t="n">
        <f aca="false">SEMANAS!$B$48</f>
        <v>43</v>
      </c>
      <c r="AT30" s="22" t="n">
        <f aca="false">SEMANAS!$B$49</f>
        <v>44</v>
      </c>
      <c r="AU30" s="22" t="n">
        <f aca="false">SEMANAS!$B$50</f>
        <v>45</v>
      </c>
      <c r="AV30" s="22" t="n">
        <f aca="false">SEMANAS!$B$51</f>
        <v>46</v>
      </c>
      <c r="AW30" s="22" t="n">
        <f aca="false">SEMANAS!$B$52</f>
        <v>47</v>
      </c>
      <c r="AX30" s="22" t="n">
        <f aca="false">SEMANAS!$B$53</f>
        <v>48</v>
      </c>
      <c r="AY30" s="22" t="n">
        <f aca="false">SEMANAS!$B$54</f>
        <v>49</v>
      </c>
      <c r="AZ30" s="22" t="n">
        <f aca="false">SEMANAS!$B$55</f>
        <v>50</v>
      </c>
      <c r="BA30" s="22" t="n">
        <f aca="false">SEMANAS!$B$56</f>
        <v>51</v>
      </c>
      <c r="BB30" s="22" t="n">
        <f aca="false">SEMANAS!$B$57</f>
        <v>52</v>
      </c>
      <c r="BC30" s="22" t="n">
        <f aca="false">SEMANAS!$B$58</f>
        <v>53</v>
      </c>
      <c r="BD30" s="22" t="n">
        <f aca="false">SEMANAS!$B$59</f>
        <v>54</v>
      </c>
      <c r="BE30" s="22" t="n">
        <f aca="false">SEMANAS!$B$60</f>
        <v>55</v>
      </c>
      <c r="BF30" s="22" t="n">
        <f aca="false">SEMANAS!$B$61</f>
        <v>56</v>
      </c>
      <c r="BG30" s="22" t="n">
        <f aca="false">SEMANAS!$B$62</f>
        <v>57</v>
      </c>
      <c r="BH30" s="22" t="n">
        <f aca="false">SEMANAS!$B$63</f>
        <v>58</v>
      </c>
      <c r="BI30" s="22" t="n">
        <f aca="false">SEMANAS!$B$64</f>
        <v>59</v>
      </c>
      <c r="BJ30" s="22" t="n">
        <f aca="false">SEMANAS!$B$65</f>
        <v>60</v>
      </c>
      <c r="BK30" s="22" t="n">
        <f aca="false">SEMANAS!$B$66</f>
        <v>61</v>
      </c>
      <c r="BL30" s="22" t="n">
        <f aca="false">SEMANAS!$B$67</f>
        <v>62</v>
      </c>
      <c r="BM30" s="22" t="n">
        <f aca="false">SEMANAS!$B$68</f>
        <v>63</v>
      </c>
      <c r="BN30" s="22" t="n">
        <f aca="false">SEMANAS!$B$69</f>
        <v>64</v>
      </c>
      <c r="BO30" s="22" t="n">
        <f aca="false">SEMANAS!$B$70</f>
        <v>65</v>
      </c>
      <c r="BP30" s="22" t="n">
        <f aca="false">SEMANAS!$B$71</f>
        <v>66</v>
      </c>
    </row>
    <row r="31" customFormat="false" ht="15" hidden="false" customHeight="false" outlineLevel="0" collapsed="false">
      <c r="B31" s="15" t="s">
        <v>128</v>
      </c>
      <c r="C31" s="16" t="n">
        <f aca="false">CADASTRO_CASAS_BOMBA!$J$6*DIAS_POR_SEMANA-AUX_MATRIZES!C8</f>
        <v>73500</v>
      </c>
      <c r="D31" s="16" t="n">
        <f aca="false">CADASTRO_CASAS_BOMBA!$J$6*DIAS_POR_SEMANA-AUX_MATRIZES!D8</f>
        <v>73500</v>
      </c>
      <c r="E31" s="16" t="n">
        <f aca="false">CADASTRO_CASAS_BOMBA!$J$6*DIAS_POR_SEMANA-AUX_MATRIZES!E8</f>
        <v>73500</v>
      </c>
      <c r="F31" s="16" t="n">
        <f aca="false">CADASTRO_CASAS_BOMBA!$J$6*DIAS_POR_SEMANA-AUX_MATRIZES!F8</f>
        <v>73500</v>
      </c>
      <c r="G31" s="16" t="n">
        <f aca="false">CADASTRO_CASAS_BOMBA!$J$6*DIAS_POR_SEMANA-AUX_MATRIZES!G8</f>
        <v>72186.1157647059</v>
      </c>
      <c r="H31" s="16" t="n">
        <f aca="false">CADASTRO_CASAS_BOMBA!$J$6*DIAS_POR_SEMANA-AUX_MATRIZES!H8</f>
        <v>73500</v>
      </c>
      <c r="I31" s="16" t="n">
        <f aca="false">CADASTRO_CASAS_BOMBA!$J$6*DIAS_POR_SEMANA-AUX_MATRIZES!I8</f>
        <v>73500</v>
      </c>
      <c r="J31" s="16" t="n">
        <f aca="false">CADASTRO_CASAS_BOMBA!$J$6*DIAS_POR_SEMANA-AUX_MATRIZES!J8</f>
        <v>70512.5325882353</v>
      </c>
      <c r="K31" s="16" t="n">
        <f aca="false">CADASTRO_CASAS_BOMBA!$J$6*DIAS_POR_SEMANA-AUX_MATRIZES!K8</f>
        <v>64585.1249738562</v>
      </c>
      <c r="L31" s="16" t="n">
        <f aca="false">CADASTRO_CASAS_BOMBA!$J$6*DIAS_POR_SEMANA-AUX_MATRIZES!L8</f>
        <v>73500</v>
      </c>
      <c r="M31" s="16" t="n">
        <f aca="false">CADASTRO_CASAS_BOMBA!$J$6*DIAS_POR_SEMANA-AUX_MATRIZES!M8</f>
        <v>71079.2608235294</v>
      </c>
      <c r="N31" s="16" t="n">
        <f aca="false">CADASTRO_CASAS_BOMBA!$J$6*DIAS_POR_SEMANA-AUX_MATRIZES!N8</f>
        <v>71079.2608235294</v>
      </c>
      <c r="O31" s="16" t="n">
        <f aca="false">CADASTRO_CASAS_BOMBA!$J$6*DIAS_POR_SEMANA-AUX_MATRIZES!O8</f>
        <v>71079.2608235294</v>
      </c>
      <c r="P31" s="16" t="n">
        <f aca="false">CADASTRO_CASAS_BOMBA!$J$6*DIAS_POR_SEMANA-AUX_MATRIZES!P8</f>
        <v>73500</v>
      </c>
      <c r="Q31" s="16" t="n">
        <f aca="false">CADASTRO_CASAS_BOMBA!$J$6*DIAS_POR_SEMANA-AUX_MATRIZES!Q8</f>
        <v>73500</v>
      </c>
      <c r="R31" s="16" t="n">
        <f aca="false">CADASTRO_CASAS_BOMBA!$J$6*DIAS_POR_SEMANA-AUX_MATRIZES!R8</f>
        <v>73500</v>
      </c>
      <c r="S31" s="16" t="n">
        <f aca="false">CADASTRO_CASAS_BOMBA!$J$6*DIAS_POR_SEMANA-AUX_MATRIZES!S8</f>
        <v>73500</v>
      </c>
      <c r="T31" s="16" t="n">
        <f aca="false">CADASTRO_CASAS_BOMBA!$J$6*DIAS_POR_SEMANA-AUX_MATRIZES!T8</f>
        <v>73500</v>
      </c>
      <c r="U31" s="16" t="n">
        <f aca="false">CADASTRO_CASAS_BOMBA!$J$6*DIAS_POR_SEMANA-AUX_MATRIZES!U8</f>
        <v>73500</v>
      </c>
      <c r="V31" s="16" t="n">
        <f aca="false">CADASTRO_CASAS_BOMBA!$J$6*DIAS_POR_SEMANA-AUX_MATRIZES!V8</f>
        <v>73500</v>
      </c>
      <c r="W31" s="16" t="n">
        <f aca="false">CADASTRO_CASAS_BOMBA!$J$6*DIAS_POR_SEMANA-AUX_MATRIZES!W8</f>
        <v>73500</v>
      </c>
      <c r="X31" s="16" t="n">
        <f aca="false">CADASTRO_CASAS_BOMBA!$J$6*DIAS_POR_SEMANA-AUX_MATRIZES!X8</f>
        <v>73500</v>
      </c>
      <c r="Y31" s="16" t="n">
        <f aca="false">CADASTRO_CASAS_BOMBA!$J$6*DIAS_POR_SEMANA-AUX_MATRIZES!Y8</f>
        <v>73500</v>
      </c>
      <c r="Z31" s="16" t="n">
        <f aca="false">CADASTRO_CASAS_BOMBA!$J$6*DIAS_POR_SEMANA-AUX_MATRIZES!Z8</f>
        <v>73500</v>
      </c>
      <c r="AA31" s="16" t="n">
        <f aca="false">CADASTRO_CASAS_BOMBA!$J$6*DIAS_POR_SEMANA-AUX_MATRIZES!AA8</f>
        <v>73500</v>
      </c>
      <c r="AB31" s="16" t="n">
        <f aca="false">CADASTRO_CASAS_BOMBA!$J$6*DIAS_POR_SEMANA-AUX_MATRIZES!AB8</f>
        <v>73500</v>
      </c>
      <c r="AC31" s="16" t="n">
        <f aca="false">CADASTRO_CASAS_BOMBA!$J$6*DIAS_POR_SEMANA-AUX_MATRIZES!AC8</f>
        <v>73500</v>
      </c>
      <c r="AD31" s="16" t="n">
        <f aca="false">CADASTRO_CASAS_BOMBA!$J$6*DIAS_POR_SEMANA-AUX_MATRIZES!AD8</f>
        <v>73500</v>
      </c>
      <c r="AE31" s="16" t="n">
        <f aca="false">CADASTRO_CASAS_BOMBA!$J$6*DIAS_POR_SEMANA-AUX_MATRIZES!AE8</f>
        <v>73500</v>
      </c>
      <c r="AF31" s="16" t="n">
        <f aca="false">CADASTRO_CASAS_BOMBA!$J$6*DIAS_POR_SEMANA-AUX_MATRIZES!AF8</f>
        <v>73500</v>
      </c>
      <c r="AG31" s="16" t="n">
        <f aca="false">CADASTRO_CASAS_BOMBA!$J$6*DIAS_POR_SEMANA-AUX_MATRIZES!AG8</f>
        <v>68493.7249328228</v>
      </c>
      <c r="AH31" s="16" t="n">
        <f aca="false">CADASTRO_CASAS_BOMBA!$J$6*DIAS_POR_SEMANA-AUX_MATRIZES!AH8</f>
        <v>56437.839260007</v>
      </c>
      <c r="AI31" s="16" t="n">
        <f aca="false">CADASTRO_CASAS_BOMBA!$J$6*DIAS_POR_SEMANA-AUX_MATRIZES!AI8</f>
        <v>52413.7334472677</v>
      </c>
      <c r="AJ31" s="16" t="n">
        <f aca="false">CADASTRO_CASAS_BOMBA!$J$6*DIAS_POR_SEMANA-AUX_MATRIZES!AJ8</f>
        <v>48389.6276345284</v>
      </c>
      <c r="AK31" s="16" t="n">
        <f aca="false">CADASTRO_CASAS_BOMBA!$J$6*DIAS_POR_SEMANA-AUX_MATRIZES!AK8</f>
        <v>44068.2991764706</v>
      </c>
      <c r="AL31" s="16" t="n">
        <f aca="false">CADASTRO_CASAS_BOMBA!$J$6*DIAS_POR_SEMANA-AUX_MATRIZES!AL8</f>
        <v>37504.6609411765</v>
      </c>
      <c r="AM31" s="16" t="n">
        <f aca="false">CADASTRO_CASAS_BOMBA!$J$6*DIAS_POR_SEMANA-AUX_MATRIZES!AM8</f>
        <v>37504.6609411765</v>
      </c>
      <c r="AN31" s="16" t="n">
        <f aca="false">CADASTRO_CASAS_BOMBA!$J$6*DIAS_POR_SEMANA-AUX_MATRIZES!AN8</f>
        <v>37504.6609411765</v>
      </c>
      <c r="AO31" s="16" t="n">
        <f aca="false">CADASTRO_CASAS_BOMBA!$J$6*DIAS_POR_SEMANA-AUX_MATRIZES!AO8</f>
        <v>37504.6609411765</v>
      </c>
      <c r="AP31" s="16" t="n">
        <f aca="false">CADASTRO_CASAS_BOMBA!$J$6*DIAS_POR_SEMANA-AUX_MATRIZES!AP8</f>
        <v>37379.7494117647</v>
      </c>
      <c r="AQ31" s="16" t="n">
        <f aca="false">CADASTRO_CASAS_BOMBA!$J$6*DIAS_POR_SEMANA-AUX_MATRIZES!AQ8</f>
        <v>37358.9308235294</v>
      </c>
      <c r="AR31" s="16" t="n">
        <f aca="false">CADASTRO_CASAS_BOMBA!$J$6*DIAS_POR_SEMANA-AUX_MATRIZES!AR8</f>
        <v>37358.9308235294</v>
      </c>
      <c r="AS31" s="16" t="n">
        <f aca="false">CADASTRO_CASAS_BOMBA!$J$6*DIAS_POR_SEMANA-AUX_MATRIZES!AS8</f>
        <v>37358.9308235294</v>
      </c>
      <c r="AT31" s="16" t="n">
        <f aca="false">CADASTRO_CASAS_BOMBA!$J$6*DIAS_POR_SEMANA-AUX_MATRIZES!AT8</f>
        <v>37749.0696418875</v>
      </c>
      <c r="AU31" s="16" t="n">
        <f aca="false">CADASTRO_CASAS_BOMBA!$J$6*DIAS_POR_SEMANA-AUX_MATRIZES!AU8</f>
        <v>38881.6830316742</v>
      </c>
      <c r="AV31" s="16" t="n">
        <f aca="false">CADASTRO_CASAS_BOMBA!$J$6*DIAS_POR_SEMANA-AUX_MATRIZES!AV8</f>
        <v>41336.4674208145</v>
      </c>
      <c r="AW31" s="16" t="n">
        <f aca="false">CADASTRO_CASAS_BOMBA!$J$6*DIAS_POR_SEMANA-AUX_MATRIZES!AW8</f>
        <v>43791.2518099548</v>
      </c>
      <c r="AX31" s="16" t="n">
        <f aca="false">CADASTRO_CASAS_BOMBA!$J$6*DIAS_POR_SEMANA-AUX_MATRIZES!AX8</f>
        <v>45467.2837336781</v>
      </c>
      <c r="AY31" s="16" t="n">
        <f aca="false">CADASTRO_CASAS_BOMBA!$J$6*DIAS_POR_SEMANA-AUX_MATRIZES!AY8</f>
        <v>43763.3454117647</v>
      </c>
      <c r="AZ31" s="16" t="n">
        <f aca="false">CADASTRO_CASAS_BOMBA!$J$6*DIAS_POR_SEMANA-AUX_MATRIZES!AZ8</f>
        <v>46731.9218823529</v>
      </c>
      <c r="BA31" s="16" t="n">
        <f aca="false">CADASTRO_CASAS_BOMBA!$J$6*DIAS_POR_SEMANA-AUX_MATRIZES!BA8</f>
        <v>73500</v>
      </c>
      <c r="BB31" s="16" t="n">
        <f aca="false">CADASTRO_CASAS_BOMBA!$J$6*DIAS_POR_SEMANA-AUX_MATRIZES!BB8</f>
        <v>73500</v>
      </c>
      <c r="BC31" s="16" t="n">
        <f aca="false">CADASTRO_CASAS_BOMBA!$J$6*DIAS_POR_SEMANA-AUX_MATRIZES!BC8</f>
        <v>73500</v>
      </c>
      <c r="BD31" s="16" t="n">
        <f aca="false">CADASTRO_CASAS_BOMBA!$J$6*DIAS_POR_SEMANA-AUX_MATRIZES!BD8</f>
        <v>73500</v>
      </c>
      <c r="BE31" s="16" t="n">
        <f aca="false">CADASTRO_CASAS_BOMBA!$J$6*DIAS_POR_SEMANA-AUX_MATRIZES!BE8</f>
        <v>73500</v>
      </c>
      <c r="BF31" s="16" t="n">
        <f aca="false">CADASTRO_CASAS_BOMBA!$J$6*DIAS_POR_SEMANA-AUX_MATRIZES!BF8</f>
        <v>73500</v>
      </c>
      <c r="BG31" s="16" t="n">
        <f aca="false">CADASTRO_CASAS_BOMBA!$J$6*DIAS_POR_SEMANA-AUX_MATRIZES!BG8</f>
        <v>73500</v>
      </c>
      <c r="BH31" s="16" t="n">
        <f aca="false">CADASTRO_CASAS_BOMBA!$J$6*DIAS_POR_SEMANA-AUX_MATRIZES!BH8</f>
        <v>73500</v>
      </c>
      <c r="BI31" s="16" t="n">
        <f aca="false">CADASTRO_CASAS_BOMBA!$J$6*DIAS_POR_SEMANA-AUX_MATRIZES!BI8</f>
        <v>73500</v>
      </c>
      <c r="BJ31" s="16" t="n">
        <f aca="false">CADASTRO_CASAS_BOMBA!$J$6*DIAS_POR_SEMANA-AUX_MATRIZES!BJ8</f>
        <v>73500</v>
      </c>
      <c r="BK31" s="16" t="n">
        <f aca="false">CADASTRO_CASAS_BOMBA!$J$6*DIAS_POR_SEMANA-AUX_MATRIZES!BK8</f>
        <v>73500</v>
      </c>
      <c r="BL31" s="16" t="n">
        <f aca="false">CADASTRO_CASAS_BOMBA!$J$6*DIAS_POR_SEMANA-AUX_MATRIZES!BL8</f>
        <v>73500</v>
      </c>
      <c r="BM31" s="16" t="n">
        <f aca="false">CADASTRO_CASAS_BOMBA!$J$6*DIAS_POR_SEMANA-AUX_MATRIZES!BM8</f>
        <v>73500</v>
      </c>
      <c r="BN31" s="16" t="n">
        <f aca="false">CADASTRO_CASAS_BOMBA!$J$6*DIAS_POR_SEMANA-AUX_MATRIZES!BN8</f>
        <v>73500</v>
      </c>
      <c r="BO31" s="16" t="n">
        <f aca="false">CADASTRO_CASAS_BOMBA!$J$6*DIAS_POR_SEMANA-AUX_MATRIZES!BO8</f>
        <v>73500</v>
      </c>
      <c r="BP31" s="16" t="n">
        <f aca="false">CADASTRO_CASAS_BOMBA!$J$6*DIAS_POR_SEMANA-AUX_MATRIZES!BP8</f>
        <v>73500</v>
      </c>
    </row>
    <row r="32" customFormat="false" ht="15" hidden="false" customHeight="false" outlineLevel="0" collapsed="false">
      <c r="B32" s="15" t="s">
        <v>129</v>
      </c>
      <c r="C32" s="16" t="n">
        <f aca="false">CADASTRO_CASAS_BOMBA!$J$7*DIAS_POR_SEMANA-AUX_MATRIZES!C9</f>
        <v>50929.9708235294</v>
      </c>
      <c r="D32" s="16" t="n">
        <f aca="false">CADASTRO_CASAS_BOMBA!$J$7*DIAS_POR_SEMANA-AUX_MATRIZES!D9</f>
        <v>73500</v>
      </c>
      <c r="E32" s="16" t="n">
        <f aca="false">CADASTRO_CASAS_BOMBA!$J$7*DIAS_POR_SEMANA-AUX_MATRIZES!E9</f>
        <v>73500</v>
      </c>
      <c r="F32" s="16" t="n">
        <f aca="false">CADASTRO_CASAS_BOMBA!$J$7*DIAS_POR_SEMANA-AUX_MATRIZES!F9</f>
        <v>73500</v>
      </c>
      <c r="G32" s="16" t="n">
        <f aca="false">CADASTRO_CASAS_BOMBA!$J$7*DIAS_POR_SEMANA-AUX_MATRIZES!G9</f>
        <v>72155.6442352941</v>
      </c>
      <c r="H32" s="16" t="n">
        <f aca="false">CADASTRO_CASAS_BOMBA!$J$7*DIAS_POR_SEMANA-AUX_MATRIZES!H9</f>
        <v>73500</v>
      </c>
      <c r="I32" s="16" t="n">
        <f aca="false">CADASTRO_CASAS_BOMBA!$J$7*DIAS_POR_SEMANA-AUX_MATRIZES!I9</f>
        <v>73500</v>
      </c>
      <c r="J32" s="16" t="n">
        <f aca="false">CADASTRO_CASAS_BOMBA!$J$7*DIAS_POR_SEMANA-AUX_MATRIZES!J9</f>
        <v>70888.8010540612</v>
      </c>
      <c r="K32" s="16" t="n">
        <f aca="false">CADASTRO_CASAS_BOMBA!$J$7*DIAS_POR_SEMANA-AUX_MATRIZES!K9</f>
        <v>65078.8436565835</v>
      </c>
      <c r="L32" s="16" t="n">
        <f aca="false">CADASTRO_CASAS_BOMBA!$J$7*DIAS_POR_SEMANA-AUX_MATRIZES!L9</f>
        <v>73500</v>
      </c>
      <c r="M32" s="16" t="n">
        <f aca="false">CADASTRO_CASAS_BOMBA!$J$7*DIAS_POR_SEMANA-AUX_MATRIZES!M9</f>
        <v>71023.1191764706</v>
      </c>
      <c r="N32" s="16" t="n">
        <f aca="false">CADASTRO_CASAS_BOMBA!$J$7*DIAS_POR_SEMANA-AUX_MATRIZES!N9</f>
        <v>71023.1191764706</v>
      </c>
      <c r="O32" s="16" t="n">
        <f aca="false">CADASTRO_CASAS_BOMBA!$J$7*DIAS_POR_SEMANA-AUX_MATRIZES!O9</f>
        <v>71023.1191764706</v>
      </c>
      <c r="P32" s="16" t="n">
        <f aca="false">CADASTRO_CASAS_BOMBA!$J$7*DIAS_POR_SEMANA-AUX_MATRIZES!P9</f>
        <v>73500</v>
      </c>
      <c r="Q32" s="16" t="n">
        <f aca="false">CADASTRO_CASAS_BOMBA!$J$7*DIAS_POR_SEMANA-AUX_MATRIZES!Q9</f>
        <v>73500</v>
      </c>
      <c r="R32" s="16" t="n">
        <f aca="false">CADASTRO_CASAS_BOMBA!$J$7*DIAS_POR_SEMANA-AUX_MATRIZES!R9</f>
        <v>73500</v>
      </c>
      <c r="S32" s="16" t="n">
        <f aca="false">CADASTRO_CASAS_BOMBA!$J$7*DIAS_POR_SEMANA-AUX_MATRIZES!S9</f>
        <v>73500</v>
      </c>
      <c r="T32" s="16" t="n">
        <f aca="false">CADASTRO_CASAS_BOMBA!$J$7*DIAS_POR_SEMANA-AUX_MATRIZES!T9</f>
        <v>73500</v>
      </c>
      <c r="U32" s="16" t="n">
        <f aca="false">CADASTRO_CASAS_BOMBA!$J$7*DIAS_POR_SEMANA-AUX_MATRIZES!U9</f>
        <v>73500</v>
      </c>
      <c r="V32" s="16" t="n">
        <f aca="false">CADASTRO_CASAS_BOMBA!$J$7*DIAS_POR_SEMANA-AUX_MATRIZES!V9</f>
        <v>73500</v>
      </c>
      <c r="W32" s="16" t="n">
        <f aca="false">CADASTRO_CASAS_BOMBA!$J$7*DIAS_POR_SEMANA-AUX_MATRIZES!W9</f>
        <v>73500</v>
      </c>
      <c r="X32" s="16" t="n">
        <f aca="false">CADASTRO_CASAS_BOMBA!$J$7*DIAS_POR_SEMANA-AUX_MATRIZES!X9</f>
        <v>73500</v>
      </c>
      <c r="Y32" s="16" t="n">
        <f aca="false">CADASTRO_CASAS_BOMBA!$J$7*DIAS_POR_SEMANA-AUX_MATRIZES!Y9</f>
        <v>73500</v>
      </c>
      <c r="Z32" s="16" t="n">
        <f aca="false">CADASTRO_CASAS_BOMBA!$J$7*DIAS_POR_SEMANA-AUX_MATRIZES!Z9</f>
        <v>73294.5792231117</v>
      </c>
      <c r="AA32" s="16" t="n">
        <f aca="false">CADASTRO_CASAS_BOMBA!$J$7*DIAS_POR_SEMANA-AUX_MATRIZES!AA9</f>
        <v>69016.8081591832</v>
      </c>
      <c r="AB32" s="16" t="n">
        <f aca="false">CADASTRO_CASAS_BOMBA!$J$7*DIAS_POR_SEMANA-AUX_MATRIZES!AB9</f>
        <v>66602.9230588235</v>
      </c>
      <c r="AC32" s="16" t="n">
        <f aca="false">CADASTRO_CASAS_BOMBA!$J$7*DIAS_POR_SEMANA-AUX_MATRIZES!AC9</f>
        <v>64979.5967058824</v>
      </c>
      <c r="AD32" s="16" t="n">
        <f aca="false">CADASTRO_CASAS_BOMBA!$J$7*DIAS_POR_SEMANA-AUX_MATRIZES!AD9</f>
        <v>64979.5967058824</v>
      </c>
      <c r="AE32" s="16" t="n">
        <f aca="false">CADASTRO_CASAS_BOMBA!$J$7*DIAS_POR_SEMANA-AUX_MATRIZES!AE9</f>
        <v>64979.5967058824</v>
      </c>
      <c r="AF32" s="16" t="n">
        <f aca="false">CADASTRO_CASAS_BOMBA!$J$7*DIAS_POR_SEMANA-AUX_MATRIZES!AF9</f>
        <v>64979.5967058824</v>
      </c>
      <c r="AG32" s="16" t="n">
        <f aca="false">CADASTRO_CASAS_BOMBA!$J$7*DIAS_POR_SEMANA-AUX_MATRIZES!AG9</f>
        <v>49904.8758605665</v>
      </c>
      <c r="AH32" s="16" t="n">
        <f aca="false">CADASTRO_CASAS_BOMBA!$J$7*DIAS_POR_SEMANA-AUX_MATRIZES!AH9</f>
        <v>29342.9262091503</v>
      </c>
      <c r="AI32" s="16" t="n">
        <f aca="false">CADASTRO_CASAS_BOMBA!$J$7*DIAS_POR_SEMANA-AUX_MATRIZES!AI9</f>
        <v>25047.5798039216</v>
      </c>
      <c r="AJ32" s="16" t="n">
        <f aca="false">CADASTRO_CASAS_BOMBA!$J$7*DIAS_POR_SEMANA-AUX_MATRIZES!AJ9</f>
        <v>20752.2333986928</v>
      </c>
      <c r="AK32" s="16" t="n">
        <f aca="false">CADASTRO_CASAS_BOMBA!$J$7*DIAS_POR_SEMANA-AUX_MATRIZES!AK9</f>
        <v>15482.0203167421</v>
      </c>
      <c r="AL32" s="16" t="n">
        <f aca="false">CADASTRO_CASAS_BOMBA!$J$7*DIAS_POR_SEMANA-AUX_MATRIZES!AL9</f>
        <v>4426.45221719456</v>
      </c>
      <c r="AM32" s="16" t="n">
        <f aca="false">CADASTRO_CASAS_BOMBA!$J$7*DIAS_POR_SEMANA-AUX_MATRIZES!AM9</f>
        <v>6866.82959276016</v>
      </c>
      <c r="AN32" s="16" t="n">
        <f aca="false">CADASTRO_CASAS_BOMBA!$J$7*DIAS_POR_SEMANA-AUX_MATRIZES!AN9</f>
        <v>9307.20696832578</v>
      </c>
      <c r="AO32" s="16" t="n">
        <f aca="false">CADASTRO_CASAS_BOMBA!$J$7*DIAS_POR_SEMANA-AUX_MATRIZES!AO9</f>
        <v>11747.5843438914</v>
      </c>
      <c r="AP32" s="16" t="n">
        <f aca="false">CADASTRO_CASAS_BOMBA!$J$7*DIAS_POR_SEMANA-AUX_MATRIZES!AP9</f>
        <v>13355.296199095</v>
      </c>
      <c r="AQ32" s="16" t="n">
        <f aca="false">CADASTRO_CASAS_BOMBA!$J$7*DIAS_POR_SEMANA-AUX_MATRIZES!AQ9</f>
        <v>15540.6875414781</v>
      </c>
      <c r="AR32" s="16" t="n">
        <f aca="false">CADASTRO_CASAS_BOMBA!$J$7*DIAS_POR_SEMANA-AUX_MATRIZES!AR9</f>
        <v>17864.8564705882</v>
      </c>
      <c r="AS32" s="16" t="n">
        <f aca="false">CADASTRO_CASAS_BOMBA!$J$7*DIAS_POR_SEMANA-AUX_MATRIZES!AS9</f>
        <v>38140.7083921569</v>
      </c>
      <c r="AT32" s="16" t="n">
        <f aca="false">CADASTRO_CASAS_BOMBA!$J$7*DIAS_POR_SEMANA-AUX_MATRIZES!AT9</f>
        <v>39268.3683137255</v>
      </c>
      <c r="AU32" s="16" t="n">
        <f aca="false">CADASTRO_CASAS_BOMBA!$J$7*DIAS_POR_SEMANA-AUX_MATRIZES!AU9</f>
        <v>41035.4650588235</v>
      </c>
      <c r="AV32" s="16" t="n">
        <f aca="false">CADASTRO_CASAS_BOMBA!$J$7*DIAS_POR_SEMANA-AUX_MATRIZES!AV9</f>
        <v>44083.0133333333</v>
      </c>
      <c r="AW32" s="16" t="n">
        <f aca="false">CADASTRO_CASAS_BOMBA!$J$7*DIAS_POR_SEMANA-AUX_MATRIZES!AW9</f>
        <v>47130.5616078431</v>
      </c>
      <c r="AX32" s="16" t="n">
        <f aca="false">CADASTRO_CASAS_BOMBA!$J$7*DIAS_POR_SEMANA-AUX_MATRIZES!AX9</f>
        <v>49517.7661176471</v>
      </c>
      <c r="AY32" s="16" t="n">
        <f aca="false">CADASTRO_CASAS_BOMBA!$J$7*DIAS_POR_SEMANA-AUX_MATRIZES!AY9</f>
        <v>73500</v>
      </c>
      <c r="AZ32" s="16" t="n">
        <f aca="false">CADASTRO_CASAS_BOMBA!$J$7*DIAS_POR_SEMANA-AUX_MATRIZES!AZ9</f>
        <v>73500</v>
      </c>
      <c r="BA32" s="16" t="n">
        <f aca="false">CADASTRO_CASAS_BOMBA!$J$7*DIAS_POR_SEMANA-AUX_MATRIZES!BA9</f>
        <v>73500</v>
      </c>
      <c r="BB32" s="16" t="n">
        <f aca="false">CADASTRO_CASAS_BOMBA!$J$7*DIAS_POR_SEMANA-AUX_MATRIZES!BB9</f>
        <v>73500</v>
      </c>
      <c r="BC32" s="16" t="n">
        <f aca="false">CADASTRO_CASAS_BOMBA!$J$7*DIAS_POR_SEMANA-AUX_MATRIZES!BC9</f>
        <v>73500</v>
      </c>
      <c r="BD32" s="16" t="n">
        <f aca="false">CADASTRO_CASAS_BOMBA!$J$7*DIAS_POR_SEMANA-AUX_MATRIZES!BD9</f>
        <v>73500</v>
      </c>
      <c r="BE32" s="16" t="n">
        <f aca="false">CADASTRO_CASAS_BOMBA!$J$7*DIAS_POR_SEMANA-AUX_MATRIZES!BE9</f>
        <v>73500</v>
      </c>
      <c r="BF32" s="16" t="n">
        <f aca="false">CADASTRO_CASAS_BOMBA!$J$7*DIAS_POR_SEMANA-AUX_MATRIZES!BF9</f>
        <v>73500</v>
      </c>
      <c r="BG32" s="16" t="n">
        <f aca="false">CADASTRO_CASAS_BOMBA!$J$7*DIAS_POR_SEMANA-AUX_MATRIZES!BG9</f>
        <v>73500</v>
      </c>
      <c r="BH32" s="16" t="n">
        <f aca="false">CADASTRO_CASAS_BOMBA!$J$7*DIAS_POR_SEMANA-AUX_MATRIZES!BH9</f>
        <v>73500</v>
      </c>
      <c r="BI32" s="16" t="n">
        <f aca="false">CADASTRO_CASAS_BOMBA!$J$7*DIAS_POR_SEMANA-AUX_MATRIZES!BI9</f>
        <v>73500</v>
      </c>
      <c r="BJ32" s="16" t="n">
        <f aca="false">CADASTRO_CASAS_BOMBA!$J$7*DIAS_POR_SEMANA-AUX_MATRIZES!BJ9</f>
        <v>73500</v>
      </c>
      <c r="BK32" s="16" t="n">
        <f aca="false">CADASTRO_CASAS_BOMBA!$J$7*DIAS_POR_SEMANA-AUX_MATRIZES!BK9</f>
        <v>73500</v>
      </c>
      <c r="BL32" s="16" t="n">
        <f aca="false">CADASTRO_CASAS_BOMBA!$J$7*DIAS_POR_SEMANA-AUX_MATRIZES!BL9</f>
        <v>73500</v>
      </c>
      <c r="BM32" s="16" t="n">
        <f aca="false">CADASTRO_CASAS_BOMBA!$J$7*DIAS_POR_SEMANA-AUX_MATRIZES!BM9</f>
        <v>73500</v>
      </c>
      <c r="BN32" s="16" t="n">
        <f aca="false">CADASTRO_CASAS_BOMBA!$J$7*DIAS_POR_SEMANA-AUX_MATRIZES!BN9</f>
        <v>73500</v>
      </c>
      <c r="BO32" s="16" t="n">
        <f aca="false">CADASTRO_CASAS_BOMBA!$J$7*DIAS_POR_SEMANA-AUX_MATRIZES!BO9</f>
        <v>73500</v>
      </c>
      <c r="BP32" s="16" t="n">
        <f aca="false">CADASTRO_CASAS_BOMBA!$J$7*DIAS_POR_SEMANA-AUX_MATRIZES!BP9</f>
        <v>73500</v>
      </c>
    </row>
    <row r="33" customFormat="false" ht="15" hidden="false" customHeight="false" outlineLevel="0" collapsed="false">
      <c r="B33" s="15" t="s">
        <v>130</v>
      </c>
      <c r="C33" s="16" t="n">
        <f aca="false">CADASTRO_CASAS_BOMBA!$J$8*DIAS_POR_SEMANA-AUX_MATRIZES!C10</f>
        <v>73500</v>
      </c>
      <c r="D33" s="16" t="n">
        <f aca="false">CADASTRO_CASAS_BOMBA!$J$8*DIAS_POR_SEMANA-AUX_MATRIZES!D10</f>
        <v>73500</v>
      </c>
      <c r="E33" s="16" t="n">
        <f aca="false">CADASTRO_CASAS_BOMBA!$J$8*DIAS_POR_SEMANA-AUX_MATRIZES!E10</f>
        <v>73500</v>
      </c>
      <c r="F33" s="16" t="n">
        <f aca="false">CADASTRO_CASAS_BOMBA!$J$8*DIAS_POR_SEMANA-AUX_MATRIZES!F10</f>
        <v>73500</v>
      </c>
      <c r="G33" s="16" t="n">
        <f aca="false">CADASTRO_CASAS_BOMBA!$J$8*DIAS_POR_SEMANA-AUX_MATRIZES!G10</f>
        <v>70856.7284705882</v>
      </c>
      <c r="H33" s="16" t="n">
        <f aca="false">CADASTRO_CASAS_BOMBA!$J$8*DIAS_POR_SEMANA-AUX_MATRIZES!H10</f>
        <v>73500</v>
      </c>
      <c r="I33" s="16" t="n">
        <f aca="false">CADASTRO_CASAS_BOMBA!$J$8*DIAS_POR_SEMANA-AUX_MATRIZES!I10</f>
        <v>73500</v>
      </c>
      <c r="J33" s="16" t="n">
        <f aca="false">CADASTRO_CASAS_BOMBA!$J$8*DIAS_POR_SEMANA-AUX_MATRIZES!J10</f>
        <v>72957.9123049745</v>
      </c>
      <c r="K33" s="16" t="n">
        <f aca="false">CADASTRO_CASAS_BOMBA!$J$8*DIAS_POR_SEMANA-AUX_MATRIZES!K10</f>
        <v>61298.8257841172</v>
      </c>
      <c r="L33" s="16" t="n">
        <f aca="false">CADASTRO_CASAS_BOMBA!$J$8*DIAS_POR_SEMANA-AUX_MATRIZES!L10</f>
        <v>73500</v>
      </c>
      <c r="M33" s="16" t="n">
        <f aca="false">CADASTRO_CASAS_BOMBA!$J$8*DIAS_POR_SEMANA-AUX_MATRIZES!M10</f>
        <v>68901.0611486022</v>
      </c>
      <c r="N33" s="16" t="n">
        <f aca="false">CADASTRO_CASAS_BOMBA!$J$8*DIAS_POR_SEMANA-AUX_MATRIZES!N10</f>
        <v>68629.9583529412</v>
      </c>
      <c r="O33" s="16" t="n">
        <f aca="false">CADASTRO_CASAS_BOMBA!$J$8*DIAS_POR_SEMANA-AUX_MATRIZES!O10</f>
        <v>68629.9583529412</v>
      </c>
      <c r="P33" s="16" t="n">
        <f aca="false">CADASTRO_CASAS_BOMBA!$J$8*DIAS_POR_SEMANA-AUX_MATRIZES!P10</f>
        <v>73500</v>
      </c>
      <c r="Q33" s="16" t="n">
        <f aca="false">CADASTRO_CASAS_BOMBA!$J$8*DIAS_POR_SEMANA-AUX_MATRIZES!Q10</f>
        <v>73500</v>
      </c>
      <c r="R33" s="16" t="n">
        <f aca="false">CADASTRO_CASAS_BOMBA!$J$8*DIAS_POR_SEMANA-AUX_MATRIZES!R10</f>
        <v>73500</v>
      </c>
      <c r="S33" s="16" t="n">
        <f aca="false">CADASTRO_CASAS_BOMBA!$J$8*DIAS_POR_SEMANA-AUX_MATRIZES!S10</f>
        <v>73500</v>
      </c>
      <c r="T33" s="16" t="n">
        <f aca="false">CADASTRO_CASAS_BOMBA!$J$8*DIAS_POR_SEMANA-AUX_MATRIZES!T10</f>
        <v>72969.4906595495</v>
      </c>
      <c r="U33" s="16" t="n">
        <f aca="false">CADASTRO_CASAS_BOMBA!$J$8*DIAS_POR_SEMANA-AUX_MATRIZES!U10</f>
        <v>73500</v>
      </c>
      <c r="V33" s="16" t="n">
        <f aca="false">CADASTRO_CASAS_BOMBA!$J$8*DIAS_POR_SEMANA-AUX_MATRIZES!V10</f>
        <v>73500</v>
      </c>
      <c r="W33" s="16" t="n">
        <f aca="false">CADASTRO_CASAS_BOMBA!$J$8*DIAS_POR_SEMANA-AUX_MATRIZES!W10</f>
        <v>73500</v>
      </c>
      <c r="X33" s="16" t="n">
        <f aca="false">CADASTRO_CASAS_BOMBA!$J$8*DIAS_POR_SEMANA-AUX_MATRIZES!X10</f>
        <v>73500</v>
      </c>
      <c r="Y33" s="16" t="n">
        <f aca="false">CADASTRO_CASAS_BOMBA!$J$8*DIAS_POR_SEMANA-AUX_MATRIZES!Y10</f>
        <v>73500</v>
      </c>
      <c r="Z33" s="16" t="n">
        <f aca="false">CADASTRO_CASAS_BOMBA!$J$8*DIAS_POR_SEMANA-AUX_MATRIZES!Z10</f>
        <v>73500</v>
      </c>
      <c r="AA33" s="16" t="n">
        <f aca="false">CADASTRO_CASAS_BOMBA!$J$8*DIAS_POR_SEMANA-AUX_MATRIZES!AA10</f>
        <v>73500</v>
      </c>
      <c r="AB33" s="16" t="n">
        <f aca="false">CADASTRO_CASAS_BOMBA!$J$8*DIAS_POR_SEMANA-AUX_MATRIZES!AB10</f>
        <v>73500</v>
      </c>
      <c r="AC33" s="16" t="n">
        <f aca="false">CADASTRO_CASAS_BOMBA!$J$8*DIAS_POR_SEMANA-AUX_MATRIZES!AC10</f>
        <v>73500</v>
      </c>
      <c r="AD33" s="16" t="n">
        <f aca="false">CADASTRO_CASAS_BOMBA!$J$8*DIAS_POR_SEMANA-AUX_MATRIZES!AD10</f>
        <v>73500</v>
      </c>
      <c r="AE33" s="16" t="n">
        <f aca="false">CADASTRO_CASAS_BOMBA!$J$8*DIAS_POR_SEMANA-AUX_MATRIZES!AE10</f>
        <v>73500</v>
      </c>
      <c r="AF33" s="16" t="n">
        <f aca="false">CADASTRO_CASAS_BOMBA!$J$8*DIAS_POR_SEMANA-AUX_MATRIZES!AF10</f>
        <v>73500</v>
      </c>
      <c r="AG33" s="16" t="n">
        <f aca="false">CADASTRO_CASAS_BOMBA!$J$8*DIAS_POR_SEMANA-AUX_MATRIZES!AG10</f>
        <v>65763.4632147581</v>
      </c>
      <c r="AH33" s="16" t="n">
        <f aca="false">CADASTRO_CASAS_BOMBA!$J$8*DIAS_POR_SEMANA-AUX_MATRIZES!AH10</f>
        <v>41487.4104323007</v>
      </c>
      <c r="AI33" s="16" t="n">
        <f aca="false">CADASTRO_CASAS_BOMBA!$J$8*DIAS_POR_SEMANA-AUX_MATRIZES!AI10</f>
        <v>33391.7167323355</v>
      </c>
      <c r="AJ33" s="16" t="n">
        <f aca="false">CADASTRO_CASAS_BOMBA!$J$8*DIAS_POR_SEMANA-AUX_MATRIZES!AJ10</f>
        <v>25296.0230323704</v>
      </c>
      <c r="AK33" s="16" t="n">
        <f aca="false">CADASTRO_CASAS_BOMBA!$J$8*DIAS_POR_SEMANA-AUX_MATRIZES!AK10</f>
        <v>14289.3216470588</v>
      </c>
      <c r="AL33" s="16" t="n">
        <f aca="false">CADASTRO_CASAS_BOMBA!$J$8*DIAS_POR_SEMANA-AUX_MATRIZES!AL10</f>
        <v>1084.59811764705</v>
      </c>
      <c r="AM33" s="16" t="n">
        <f aca="false">CADASTRO_CASAS_BOMBA!$J$8*DIAS_POR_SEMANA-AUX_MATRIZES!AM10</f>
        <v>1084.59811764705</v>
      </c>
      <c r="AN33" s="16" t="n">
        <f aca="false">CADASTRO_CASAS_BOMBA!$J$8*DIAS_POR_SEMANA-AUX_MATRIZES!AN10</f>
        <v>1084.59811764705</v>
      </c>
      <c r="AO33" s="16" t="n">
        <f aca="false">CADASTRO_CASAS_BOMBA!$J$8*DIAS_POR_SEMANA-AUX_MATRIZES!AO10</f>
        <v>1084.59811764705</v>
      </c>
      <c r="AP33" s="16" t="n">
        <f aca="false">CADASTRO_CASAS_BOMBA!$J$8*DIAS_POR_SEMANA-AUX_MATRIZES!AP10</f>
        <v>833.301176470588</v>
      </c>
      <c r="AQ33" s="16" t="n">
        <f aca="false">CADASTRO_CASAS_BOMBA!$J$8*DIAS_POR_SEMANA-AUX_MATRIZES!AQ10</f>
        <v>791.418352941197</v>
      </c>
      <c r="AR33" s="16" t="n">
        <f aca="false">CADASTRO_CASAS_BOMBA!$J$8*DIAS_POR_SEMANA-AUX_MATRIZES!AR10</f>
        <v>791.418352941197</v>
      </c>
      <c r="AS33" s="16" t="n">
        <f aca="false">CADASTRO_CASAS_BOMBA!$J$8*DIAS_POR_SEMANA-AUX_MATRIZES!AS10</f>
        <v>791.418352941197</v>
      </c>
      <c r="AT33" s="16" t="n">
        <f aca="false">CADASTRO_CASAS_BOMBA!$J$8*DIAS_POR_SEMANA-AUX_MATRIZES!AT10</f>
        <v>207.479401853052</v>
      </c>
      <c r="AU33" s="16" t="n">
        <f aca="false">CADASTRO_CASAS_BOMBA!$J$8*DIAS_POR_SEMANA-AUX_MATRIZES!AU10</f>
        <v>2443.880693816</v>
      </c>
      <c r="AV33" s="16" t="n">
        <f aca="false">CADASTRO_CASAS_BOMBA!$J$8*DIAS_POR_SEMANA-AUX_MATRIZES!AV10</f>
        <v>7382.41447963801</v>
      </c>
      <c r="AW33" s="16" t="n">
        <f aca="false">CADASTRO_CASAS_BOMBA!$J$8*DIAS_POR_SEMANA-AUX_MATRIZES!AW10</f>
        <v>12320.94826546</v>
      </c>
      <c r="AX33" s="16" t="n">
        <f aca="false">CADASTRO_CASAS_BOMBA!$J$8*DIAS_POR_SEMANA-AUX_MATRIZES!AX10</f>
        <v>15650.5986433958</v>
      </c>
      <c r="AY33" s="16" t="n">
        <f aca="false">CADASTRO_CASAS_BOMBA!$J$8*DIAS_POR_SEMANA-AUX_MATRIZES!AY10</f>
        <v>11969.4785882353</v>
      </c>
      <c r="AZ33" s="16" t="n">
        <f aca="false">CADASTRO_CASAS_BOMBA!$J$8*DIAS_POR_SEMANA-AUX_MATRIZES!AZ10</f>
        <v>17941.6589803922</v>
      </c>
      <c r="BA33" s="16" t="n">
        <f aca="false">CADASTRO_CASAS_BOMBA!$J$8*DIAS_POR_SEMANA-AUX_MATRIZES!BA10</f>
        <v>23913.839372549</v>
      </c>
      <c r="BB33" s="16" t="n">
        <f aca="false">CADASTRO_CASAS_BOMBA!$J$8*DIAS_POR_SEMANA-AUX_MATRIZES!BB10</f>
        <v>73500</v>
      </c>
      <c r="BC33" s="16" t="n">
        <f aca="false">CADASTRO_CASAS_BOMBA!$J$8*DIAS_POR_SEMANA-AUX_MATRIZES!BC10</f>
        <v>73500</v>
      </c>
      <c r="BD33" s="16" t="n">
        <f aca="false">CADASTRO_CASAS_BOMBA!$J$8*DIAS_POR_SEMANA-AUX_MATRIZES!BD10</f>
        <v>73500</v>
      </c>
      <c r="BE33" s="16" t="n">
        <f aca="false">CADASTRO_CASAS_BOMBA!$J$8*DIAS_POR_SEMANA-AUX_MATRIZES!BE10</f>
        <v>73500</v>
      </c>
      <c r="BF33" s="16" t="n">
        <f aca="false">CADASTRO_CASAS_BOMBA!$J$8*DIAS_POR_SEMANA-AUX_MATRIZES!BF10</f>
        <v>73500</v>
      </c>
      <c r="BG33" s="16" t="n">
        <f aca="false">CADASTRO_CASAS_BOMBA!$J$8*DIAS_POR_SEMANA-AUX_MATRIZES!BG10</f>
        <v>73500</v>
      </c>
      <c r="BH33" s="16" t="n">
        <f aca="false">CADASTRO_CASAS_BOMBA!$J$8*DIAS_POR_SEMANA-AUX_MATRIZES!BH10</f>
        <v>73500</v>
      </c>
      <c r="BI33" s="16" t="n">
        <f aca="false">CADASTRO_CASAS_BOMBA!$J$8*DIAS_POR_SEMANA-AUX_MATRIZES!BI10</f>
        <v>73500</v>
      </c>
      <c r="BJ33" s="16" t="n">
        <f aca="false">CADASTRO_CASAS_BOMBA!$J$8*DIAS_POR_SEMANA-AUX_MATRIZES!BJ10</f>
        <v>73500</v>
      </c>
      <c r="BK33" s="16" t="n">
        <f aca="false">CADASTRO_CASAS_BOMBA!$J$8*DIAS_POR_SEMANA-AUX_MATRIZES!BK10</f>
        <v>73500</v>
      </c>
      <c r="BL33" s="16" t="n">
        <f aca="false">CADASTRO_CASAS_BOMBA!$J$8*DIAS_POR_SEMANA-AUX_MATRIZES!BL10</f>
        <v>73500</v>
      </c>
      <c r="BM33" s="16" t="n">
        <f aca="false">CADASTRO_CASAS_BOMBA!$J$8*DIAS_POR_SEMANA-AUX_MATRIZES!BM10</f>
        <v>73500</v>
      </c>
      <c r="BN33" s="16" t="n">
        <f aca="false">CADASTRO_CASAS_BOMBA!$J$8*DIAS_POR_SEMANA-AUX_MATRIZES!BN10</f>
        <v>73500</v>
      </c>
      <c r="BO33" s="16" t="n">
        <f aca="false">CADASTRO_CASAS_BOMBA!$J$8*DIAS_POR_SEMANA-AUX_MATRIZES!BO10</f>
        <v>73500</v>
      </c>
      <c r="BP33" s="16" t="n">
        <f aca="false">CADASTRO_CASAS_BOMBA!$J$8*DIAS_POR_SEMANA-AUX_MATRIZES!BP10</f>
        <v>73500</v>
      </c>
    </row>
    <row r="34" customFormat="false" ht="15" hidden="false" customHeight="false" outlineLevel="0" collapsed="false">
      <c r="B34" s="15" t="s">
        <v>131</v>
      </c>
      <c r="C34" s="16" t="n">
        <f aca="false">CADASTRO_CASAS_BOMBA!$J$9*DIAS_POR_SEMANA-AUX_MATRIZES!C11</f>
        <v>105457.856</v>
      </c>
      <c r="D34" s="16" t="n">
        <f aca="false">CADASTRO_CASAS_BOMBA!$J$9*DIAS_POR_SEMANA-AUX_MATRIZES!D11</f>
        <v>103034.984705882</v>
      </c>
      <c r="E34" s="16" t="n">
        <f aca="false">CADASTRO_CASAS_BOMBA!$J$9*DIAS_POR_SEMANA-AUX_MATRIZES!E11</f>
        <v>103034.984705882</v>
      </c>
      <c r="F34" s="16" t="n">
        <f aca="false">CADASTRO_CASAS_BOMBA!$J$9*DIAS_POR_SEMANA-AUX_MATRIZES!F11</f>
        <v>103034.984705882</v>
      </c>
      <c r="G34" s="16" t="n">
        <f aca="false">CADASTRO_CASAS_BOMBA!$J$9*DIAS_POR_SEMANA-AUX_MATRIZES!G11</f>
        <v>112118.296705882</v>
      </c>
      <c r="H34" s="16" t="n">
        <f aca="false">CADASTRO_CASAS_BOMBA!$J$9*DIAS_POR_SEMANA-AUX_MATRIZES!H11</f>
        <v>123851.899294118</v>
      </c>
      <c r="I34" s="16" t="n">
        <f aca="false">CADASTRO_CASAS_BOMBA!$J$9*DIAS_POR_SEMANA-AUX_MATRIZES!I11</f>
        <v>123851.899294118</v>
      </c>
      <c r="J34" s="16" t="n">
        <f aca="false">CADASTRO_CASAS_BOMBA!$J$9*DIAS_POR_SEMANA-AUX_MATRIZES!J11</f>
        <v>117308.897346076</v>
      </c>
      <c r="K34" s="16" t="n">
        <f aca="false">CADASTRO_CASAS_BOMBA!$J$9*DIAS_POR_SEMANA-AUX_MATRIZES!K11</f>
        <v>110808.480915895</v>
      </c>
      <c r="L34" s="16" t="n">
        <f aca="false">CADASTRO_CASAS_BOMBA!$J$9*DIAS_POR_SEMANA-AUX_MATRIZES!L11</f>
        <v>151410</v>
      </c>
      <c r="M34" s="16" t="n">
        <f aca="false">CADASTRO_CASAS_BOMBA!$J$9*DIAS_POR_SEMANA-AUX_MATRIZES!M11</f>
        <v>146228.963176471</v>
      </c>
      <c r="N34" s="16" t="n">
        <f aca="false">CADASTRO_CASAS_BOMBA!$J$9*DIAS_POR_SEMANA-AUX_MATRIZES!N11</f>
        <v>146228.963176471</v>
      </c>
      <c r="O34" s="16" t="n">
        <f aca="false">CADASTRO_CASAS_BOMBA!$J$9*DIAS_POR_SEMANA-AUX_MATRIZES!O11</f>
        <v>146228.963176471</v>
      </c>
      <c r="P34" s="16" t="n">
        <f aca="false">CADASTRO_CASAS_BOMBA!$J$9*DIAS_POR_SEMANA-AUX_MATRIZES!P11</f>
        <v>151410</v>
      </c>
      <c r="Q34" s="16" t="n">
        <f aca="false">CADASTRO_CASAS_BOMBA!$J$9*DIAS_POR_SEMANA-AUX_MATRIZES!Q11</f>
        <v>151410</v>
      </c>
      <c r="R34" s="16" t="n">
        <f aca="false">CADASTRO_CASAS_BOMBA!$J$9*DIAS_POR_SEMANA-AUX_MATRIZES!R11</f>
        <v>151410</v>
      </c>
      <c r="S34" s="16" t="n">
        <f aca="false">CADASTRO_CASAS_BOMBA!$J$9*DIAS_POR_SEMANA-AUX_MATRIZES!S11</f>
        <v>151410</v>
      </c>
      <c r="T34" s="16" t="n">
        <f aca="false">CADASTRO_CASAS_BOMBA!$J$9*DIAS_POR_SEMANA-AUX_MATRIZES!T11</f>
        <v>151410</v>
      </c>
      <c r="U34" s="16" t="n">
        <f aca="false">CADASTRO_CASAS_BOMBA!$J$9*DIAS_POR_SEMANA-AUX_MATRIZES!U11</f>
        <v>151410</v>
      </c>
      <c r="V34" s="16" t="n">
        <f aca="false">CADASTRO_CASAS_BOMBA!$J$9*DIAS_POR_SEMANA-AUX_MATRIZES!V11</f>
        <v>151410</v>
      </c>
      <c r="W34" s="16" t="n">
        <f aca="false">CADASTRO_CASAS_BOMBA!$J$9*DIAS_POR_SEMANA-AUX_MATRIZES!W11</f>
        <v>151410</v>
      </c>
      <c r="X34" s="16" t="n">
        <f aca="false">CADASTRO_CASAS_BOMBA!$J$9*DIAS_POR_SEMANA-AUX_MATRIZES!X11</f>
        <v>151410</v>
      </c>
      <c r="Y34" s="16" t="n">
        <f aca="false">CADASTRO_CASAS_BOMBA!$J$9*DIAS_POR_SEMANA-AUX_MATRIZES!Y11</f>
        <v>151410</v>
      </c>
      <c r="Z34" s="16" t="n">
        <f aca="false">CADASTRO_CASAS_BOMBA!$J$9*DIAS_POR_SEMANA-AUX_MATRIZES!Z11</f>
        <v>149541.918246664</v>
      </c>
      <c r="AA34" s="16" t="n">
        <f aca="false">CADASTRO_CASAS_BOMBA!$J$9*DIAS_POR_SEMANA-AUX_MATRIZES!AA11</f>
        <v>139549.675501334</v>
      </c>
      <c r="AB34" s="16" t="n">
        <f aca="false">CADASTRO_CASAS_BOMBA!$J$9*DIAS_POR_SEMANA-AUX_MATRIZES!AB11</f>
        <v>131147.039167653</v>
      </c>
      <c r="AC34" s="16" t="n">
        <f aca="false">CADASTRO_CASAS_BOMBA!$J$9*DIAS_POR_SEMANA-AUX_MATRIZES!AC11</f>
        <v>123395.533882353</v>
      </c>
      <c r="AD34" s="16" t="n">
        <f aca="false">CADASTRO_CASAS_BOMBA!$J$9*DIAS_POR_SEMANA-AUX_MATRIZES!AD11</f>
        <v>123395.533882353</v>
      </c>
      <c r="AE34" s="16" t="n">
        <f aca="false">CADASTRO_CASAS_BOMBA!$J$9*DIAS_POR_SEMANA-AUX_MATRIZES!AE11</f>
        <v>123395.533882353</v>
      </c>
      <c r="AF34" s="16" t="n">
        <f aca="false">CADASTRO_CASAS_BOMBA!$J$9*DIAS_POR_SEMANA-AUX_MATRIZES!AF11</f>
        <v>123395.533882353</v>
      </c>
      <c r="AG34" s="16" t="n">
        <f aca="false">CADASTRO_CASAS_BOMBA!$J$9*DIAS_POR_SEMANA-AUX_MATRIZES!AG11</f>
        <v>78196.5105598742</v>
      </c>
      <c r="AH34" s="16" t="n">
        <f aca="false">CADASTRO_CASAS_BOMBA!$J$9*DIAS_POR_SEMANA-AUX_MATRIZES!AH11</f>
        <v>25769.6279088835</v>
      </c>
      <c r="AI34" s="16" t="n">
        <f aca="false">CADASTRO_CASAS_BOMBA!$J$9*DIAS_POR_SEMANA-AUX_MATRIZES!AI11</f>
        <v>16979.3572665043</v>
      </c>
      <c r="AJ34" s="16" t="n">
        <f aca="false">CADASTRO_CASAS_BOMBA!$J$9*DIAS_POR_SEMANA-AUX_MATRIZES!AJ11</f>
        <v>8189.08662412502</v>
      </c>
      <c r="AK34" s="16" t="n">
        <f aca="false">CADASTRO_CASAS_BOMBA!$J$9*DIAS_POR_SEMANA-AUX_MATRIZES!AK11</f>
        <v>-4540.96630898511</v>
      </c>
      <c r="AL34" s="16" t="n">
        <f aca="false">CADASTRO_CASAS_BOMBA!$J$9*DIAS_POR_SEMANA-AUX_MATRIZES!AL11</f>
        <v>-33286.7674208145</v>
      </c>
      <c r="AM34" s="16" t="n">
        <f aca="false">CADASTRO_CASAS_BOMBA!$J$9*DIAS_POR_SEMANA-AUX_MATRIZES!AM11</f>
        <v>-25262.984162896</v>
      </c>
      <c r="AN34" s="16" t="n">
        <f aca="false">CADASTRO_CASAS_BOMBA!$J$9*DIAS_POR_SEMANA-AUX_MATRIZES!AN11</f>
        <v>-17239.2009049774</v>
      </c>
      <c r="AO34" s="16" t="n">
        <f aca="false">CADASTRO_CASAS_BOMBA!$J$9*DIAS_POR_SEMANA-AUX_MATRIZES!AO11</f>
        <v>-9215.41764705884</v>
      </c>
      <c r="AP34" s="16" t="n">
        <f aca="false">CADASTRO_CASAS_BOMBA!$J$9*DIAS_POR_SEMANA-AUX_MATRIZES!AP11</f>
        <v>-3709.43524240467</v>
      </c>
      <c r="AQ34" s="16" t="n">
        <f aca="false">CADASTRO_CASAS_BOMBA!$J$9*DIAS_POR_SEMANA-AUX_MATRIZES!AQ11</f>
        <v>3512.62962292612</v>
      </c>
      <c r="AR34" s="16" t="n">
        <f aca="false">CADASTRO_CASAS_BOMBA!$J$9*DIAS_POR_SEMANA-AUX_MATRIZES!AR11</f>
        <v>53076.1747933635</v>
      </c>
      <c r="AS34" s="16" t="n">
        <f aca="false">CADASTRO_CASAS_BOMBA!$J$9*DIAS_POR_SEMANA-AUX_MATRIZES!AS11</f>
        <v>57017.6363921569</v>
      </c>
      <c r="AT34" s="16" t="n">
        <f aca="false">CADASTRO_CASAS_BOMBA!$J$9*DIAS_POR_SEMANA-AUX_MATRIZES!AT11</f>
        <v>77237.5656660203</v>
      </c>
      <c r="AU34" s="16" t="n">
        <f aca="false">CADASTRO_CASAS_BOMBA!$J$9*DIAS_POR_SEMANA-AUX_MATRIZES!AU11</f>
        <v>80268.7922564103</v>
      </c>
      <c r="AV34" s="16" t="n">
        <f aca="false">CADASTRO_CASAS_BOMBA!$J$9*DIAS_POR_SEMANA-AUX_MATRIZES!AV11</f>
        <v>86057.5688687783</v>
      </c>
      <c r="AW34" s="16" t="n">
        <f aca="false">CADASTRO_CASAS_BOMBA!$J$9*DIAS_POR_SEMANA-AUX_MATRIZES!AW11</f>
        <v>91846.3454811463</v>
      </c>
      <c r="AX34" s="16" t="n">
        <f aca="false">CADASTRO_CASAS_BOMBA!$J$9*DIAS_POR_SEMANA-AUX_MATRIZES!AX11</f>
        <v>96104.6063882784</v>
      </c>
      <c r="AY34" s="16" t="n">
        <f aca="false">CADASTRO_CASAS_BOMBA!$J$9*DIAS_POR_SEMANA-AUX_MATRIZES!AY11</f>
        <v>118137.37254902</v>
      </c>
      <c r="AZ34" s="16" t="n">
        <f aca="false">CADASTRO_CASAS_BOMBA!$J$9*DIAS_POR_SEMANA-AUX_MATRIZES!AZ11</f>
        <v>121458.941176471</v>
      </c>
      <c r="BA34" s="16" t="n">
        <f aca="false">CADASTRO_CASAS_BOMBA!$J$9*DIAS_POR_SEMANA-AUX_MATRIZES!BA11</f>
        <v>151410</v>
      </c>
      <c r="BB34" s="16" t="n">
        <f aca="false">CADASTRO_CASAS_BOMBA!$J$9*DIAS_POR_SEMANA-AUX_MATRIZES!BB11</f>
        <v>151410</v>
      </c>
      <c r="BC34" s="16" t="n">
        <f aca="false">CADASTRO_CASAS_BOMBA!$J$9*DIAS_POR_SEMANA-AUX_MATRIZES!BC11</f>
        <v>151410</v>
      </c>
      <c r="BD34" s="16" t="n">
        <f aca="false">CADASTRO_CASAS_BOMBA!$J$9*DIAS_POR_SEMANA-AUX_MATRIZES!BD11</f>
        <v>151410</v>
      </c>
      <c r="BE34" s="16" t="n">
        <f aca="false">CADASTRO_CASAS_BOMBA!$J$9*DIAS_POR_SEMANA-AUX_MATRIZES!BE11</f>
        <v>151410</v>
      </c>
      <c r="BF34" s="16" t="n">
        <f aca="false">CADASTRO_CASAS_BOMBA!$J$9*DIAS_POR_SEMANA-AUX_MATRIZES!BF11</f>
        <v>151410</v>
      </c>
      <c r="BG34" s="16" t="n">
        <f aca="false">CADASTRO_CASAS_BOMBA!$J$9*DIAS_POR_SEMANA-AUX_MATRIZES!BG11</f>
        <v>151410</v>
      </c>
      <c r="BH34" s="16" t="n">
        <f aca="false">CADASTRO_CASAS_BOMBA!$J$9*DIAS_POR_SEMANA-AUX_MATRIZES!BH11</f>
        <v>151410</v>
      </c>
      <c r="BI34" s="16" t="n">
        <f aca="false">CADASTRO_CASAS_BOMBA!$J$9*DIAS_POR_SEMANA-AUX_MATRIZES!BI11</f>
        <v>151410</v>
      </c>
      <c r="BJ34" s="16" t="n">
        <f aca="false">CADASTRO_CASAS_BOMBA!$J$9*DIAS_POR_SEMANA-AUX_MATRIZES!BJ11</f>
        <v>151410</v>
      </c>
      <c r="BK34" s="16" t="n">
        <f aca="false">CADASTRO_CASAS_BOMBA!$J$9*DIAS_POR_SEMANA-AUX_MATRIZES!BK11</f>
        <v>151410</v>
      </c>
      <c r="BL34" s="16" t="n">
        <f aca="false">CADASTRO_CASAS_BOMBA!$J$9*DIAS_POR_SEMANA-AUX_MATRIZES!BL11</f>
        <v>151410</v>
      </c>
      <c r="BM34" s="16" t="n">
        <f aca="false">CADASTRO_CASAS_BOMBA!$J$9*DIAS_POR_SEMANA-AUX_MATRIZES!BM11</f>
        <v>151410</v>
      </c>
      <c r="BN34" s="16" t="n">
        <f aca="false">CADASTRO_CASAS_BOMBA!$J$9*DIAS_POR_SEMANA-AUX_MATRIZES!BN11</f>
        <v>151410</v>
      </c>
      <c r="BO34" s="16" t="n">
        <f aca="false">CADASTRO_CASAS_BOMBA!$J$9*DIAS_POR_SEMANA-AUX_MATRIZES!BO11</f>
        <v>151410</v>
      </c>
      <c r="BP34" s="16" t="n">
        <f aca="false">CADASTRO_CASAS_BOMBA!$J$9*DIAS_POR_SEMANA-AUX_MATRIZES!BP11</f>
        <v>151410</v>
      </c>
    </row>
    <row r="35" customFormat="false" ht="15" hidden="false" customHeight="false" outlineLevel="0" collapsed="false">
      <c r="B35" s="15" t="s">
        <v>132</v>
      </c>
      <c r="C35" s="16" t="n">
        <f aca="false">CADASTRO_CASAS_BOMBA!$J$10*DIAS_POR_SEMANA-AUX_MATRIZES!C12</f>
        <v>-5020.34400000001</v>
      </c>
      <c r="D35" s="16" t="n">
        <f aca="false">CADASTRO_CASAS_BOMBA!$J$10*DIAS_POR_SEMANA-AUX_MATRIZES!D12</f>
        <v>-5062.67999999999</v>
      </c>
      <c r="E35" s="16" t="n">
        <f aca="false">CADASTRO_CASAS_BOMBA!$J$10*DIAS_POR_SEMANA-AUX_MATRIZES!E12</f>
        <v>-5062.67999999999</v>
      </c>
      <c r="F35" s="16" t="n">
        <f aca="false">CADASTRO_CASAS_BOMBA!$J$10*DIAS_POR_SEMANA-AUX_MATRIZES!F12</f>
        <v>-5062.67999999999</v>
      </c>
      <c r="G35" s="16" t="n">
        <f aca="false">CADASTRO_CASAS_BOMBA!$J$10*DIAS_POR_SEMANA-AUX_MATRIZES!G12</f>
        <v>18701.928</v>
      </c>
      <c r="H35" s="16" t="n">
        <f aca="false">CADASTRO_CASAS_BOMBA!$J$10*DIAS_POR_SEMANA-AUX_MATRIZES!H12</f>
        <v>36525.384</v>
      </c>
      <c r="I35" s="16" t="n">
        <f aca="false">CADASTRO_CASAS_BOMBA!$J$10*DIAS_POR_SEMANA-AUX_MATRIZES!I12</f>
        <v>36525.384</v>
      </c>
      <c r="J35" s="16" t="n">
        <f aca="false">CADASTRO_CASAS_BOMBA!$J$10*DIAS_POR_SEMANA-AUX_MATRIZES!J12</f>
        <v>44131.752</v>
      </c>
      <c r="K35" s="16" t="n">
        <f aca="false">CADASTRO_CASAS_BOMBA!$J$10*DIAS_POR_SEMANA-AUX_MATRIZES!K12</f>
        <v>59873.394</v>
      </c>
      <c r="L35" s="16" t="n">
        <f aca="false">CADASTRO_CASAS_BOMBA!$J$10*DIAS_POR_SEMANA-AUX_MATRIZES!L12</f>
        <v>91581</v>
      </c>
      <c r="M35" s="16" t="n">
        <f aca="false">CADASTRO_CASAS_BOMBA!$J$10*DIAS_POR_SEMANA-AUX_MATRIZES!M12</f>
        <v>91581</v>
      </c>
      <c r="N35" s="16" t="n">
        <f aca="false">CADASTRO_CASAS_BOMBA!$J$10*DIAS_POR_SEMANA-AUX_MATRIZES!N12</f>
        <v>91581</v>
      </c>
      <c r="O35" s="16" t="n">
        <f aca="false">CADASTRO_CASAS_BOMBA!$J$10*DIAS_POR_SEMANA-AUX_MATRIZES!O12</f>
        <v>85011.5559086339</v>
      </c>
      <c r="P35" s="16" t="n">
        <f aca="false">CADASTRO_CASAS_BOMBA!$J$10*DIAS_POR_SEMANA-AUX_MATRIZES!P12</f>
        <v>91581</v>
      </c>
      <c r="Q35" s="16" t="n">
        <f aca="false">CADASTRO_CASAS_BOMBA!$J$10*DIAS_POR_SEMANA-AUX_MATRIZES!Q12</f>
        <v>91581</v>
      </c>
      <c r="R35" s="16" t="n">
        <f aca="false">CADASTRO_CASAS_BOMBA!$J$10*DIAS_POR_SEMANA-AUX_MATRIZES!R12</f>
        <v>91581</v>
      </c>
      <c r="S35" s="16" t="n">
        <f aca="false">CADASTRO_CASAS_BOMBA!$J$10*DIAS_POR_SEMANA-AUX_MATRIZES!S12</f>
        <v>91581</v>
      </c>
      <c r="T35" s="16" t="n">
        <f aca="false">CADASTRO_CASAS_BOMBA!$J$10*DIAS_POR_SEMANA-AUX_MATRIZES!T12</f>
        <v>89844.7609411765</v>
      </c>
      <c r="U35" s="16" t="n">
        <f aca="false">CADASTRO_CASAS_BOMBA!$J$10*DIAS_POR_SEMANA-AUX_MATRIZES!U12</f>
        <v>82688.0682352941</v>
      </c>
      <c r="V35" s="16" t="n">
        <f aca="false">CADASTRO_CASAS_BOMBA!$J$10*DIAS_POR_SEMANA-AUX_MATRIZES!V12</f>
        <v>82827.9449599658</v>
      </c>
      <c r="W35" s="16" t="n">
        <f aca="false">CADASTRO_CASAS_BOMBA!$J$10*DIAS_POR_SEMANA-AUX_MATRIZES!W12</f>
        <v>91581</v>
      </c>
      <c r="X35" s="16" t="n">
        <f aca="false">CADASTRO_CASAS_BOMBA!$J$10*DIAS_POR_SEMANA-AUX_MATRIZES!X12</f>
        <v>91581</v>
      </c>
      <c r="Y35" s="16" t="n">
        <f aca="false">CADASTRO_CASAS_BOMBA!$J$10*DIAS_POR_SEMANA-AUX_MATRIZES!Y12</f>
        <v>91581</v>
      </c>
      <c r="Z35" s="16" t="n">
        <f aca="false">CADASTRO_CASAS_BOMBA!$J$10*DIAS_POR_SEMANA-AUX_MATRIZES!Z12</f>
        <v>80232.8950801717</v>
      </c>
      <c r="AA35" s="16" t="n">
        <f aca="false">CADASTRO_CASAS_BOMBA!$J$10*DIAS_POR_SEMANA-AUX_MATRIZES!AA12</f>
        <v>60177.818509804</v>
      </c>
      <c r="AB35" s="16" t="n">
        <f aca="false">CADASTRO_CASAS_BOMBA!$J$10*DIAS_POR_SEMANA-AUX_MATRIZES!AB12</f>
        <v>59195.2051764706</v>
      </c>
      <c r="AC35" s="16" t="n">
        <f aca="false">CADASTRO_CASAS_BOMBA!$J$10*DIAS_POR_SEMANA-AUX_MATRIZES!AC12</f>
        <v>51572.7421176471</v>
      </c>
      <c r="AD35" s="16" t="n">
        <f aca="false">CADASTRO_CASAS_BOMBA!$J$10*DIAS_POR_SEMANA-AUX_MATRIZES!AD12</f>
        <v>51572.7421176471</v>
      </c>
      <c r="AE35" s="16" t="n">
        <f aca="false">CADASTRO_CASAS_BOMBA!$J$10*DIAS_POR_SEMANA-AUX_MATRIZES!AE12</f>
        <v>51572.7421176471</v>
      </c>
      <c r="AF35" s="16" t="n">
        <f aca="false">CADASTRO_CASAS_BOMBA!$J$10*DIAS_POR_SEMANA-AUX_MATRIZES!AF12</f>
        <v>51572.7421176471</v>
      </c>
      <c r="AG35" s="16" t="n">
        <f aca="false">CADASTRO_CASAS_BOMBA!$J$10*DIAS_POR_SEMANA-AUX_MATRIZES!AG12</f>
        <v>1228.00423529415</v>
      </c>
      <c r="AH35" s="16" t="n">
        <f aca="false">CADASTRO_CASAS_BOMBA!$J$10*DIAS_POR_SEMANA-AUX_MATRIZES!AH12</f>
        <v>-36530.5491764705</v>
      </c>
      <c r="AI35" s="16" t="n">
        <f aca="false">CADASTRO_CASAS_BOMBA!$J$10*DIAS_POR_SEMANA-AUX_MATRIZES!AI12</f>
        <v>-36530.5491764705</v>
      </c>
      <c r="AJ35" s="16" t="n">
        <f aca="false">CADASTRO_CASAS_BOMBA!$J$10*DIAS_POR_SEMANA-AUX_MATRIZES!AJ12</f>
        <v>-33910.7374117647</v>
      </c>
      <c r="AK35" s="16" t="n">
        <f aca="false">CADASTRO_CASAS_BOMBA!$J$10*DIAS_POR_SEMANA-AUX_MATRIZES!AK12</f>
        <v>-39589.1403076923</v>
      </c>
      <c r="AL35" s="16" t="n">
        <f aca="false">CADASTRO_CASAS_BOMBA!$J$10*DIAS_POR_SEMANA-AUX_MATRIZES!AL12</f>
        <v>-60526.3530148229</v>
      </c>
      <c r="AM35" s="16" t="n">
        <f aca="false">CADASTRO_CASAS_BOMBA!$J$10*DIAS_POR_SEMANA-AUX_MATRIZES!AM12</f>
        <v>-49571.7604106725</v>
      </c>
      <c r="AN35" s="16" t="n">
        <f aca="false">CADASTRO_CASAS_BOMBA!$J$10*DIAS_POR_SEMANA-AUX_MATRIZES!AN12</f>
        <v>-38617.1678065221</v>
      </c>
      <c r="AO35" s="16" t="n">
        <f aca="false">CADASTRO_CASAS_BOMBA!$J$10*DIAS_POR_SEMANA-AUX_MATRIZES!AO12</f>
        <v>-27662.5752023717</v>
      </c>
      <c r="AP35" s="16" t="n">
        <f aca="false">CADASTRO_CASAS_BOMBA!$J$10*DIAS_POR_SEMANA-AUX_MATRIZES!AP12</f>
        <v>-32716.5954189421</v>
      </c>
      <c r="AQ35" s="16" t="n">
        <f aca="false">CADASTRO_CASAS_BOMBA!$J$10*DIAS_POR_SEMANA-AUX_MATRIZES!AQ12</f>
        <v>-36290.2402184428</v>
      </c>
      <c r="AR35" s="16" t="n">
        <f aca="false">CADASTRO_CASAS_BOMBA!$J$10*DIAS_POR_SEMANA-AUX_MATRIZES!AR12</f>
        <v>20885.8466693712</v>
      </c>
      <c r="AS35" s="16" t="n">
        <f aca="false">CADASTRO_CASAS_BOMBA!$J$10*DIAS_POR_SEMANA-AUX_MATRIZES!AS12</f>
        <v>25049.1570141988</v>
      </c>
      <c r="AT35" s="16" t="n">
        <f aca="false">CADASTRO_CASAS_BOMBA!$J$10*DIAS_POR_SEMANA-AUX_MATRIZES!AT12</f>
        <v>50831.0313119676</v>
      </c>
      <c r="AU35" s="16" t="n">
        <f aca="false">CADASTRO_CASAS_BOMBA!$J$10*DIAS_POR_SEMANA-AUX_MATRIZES!AU12</f>
        <v>21968.3445939148</v>
      </c>
      <c r="AV35" s="16" t="n">
        <f aca="false">CADASTRO_CASAS_BOMBA!$J$10*DIAS_POR_SEMANA-AUX_MATRIZES!AV12</f>
        <v>4533.42818012173</v>
      </c>
      <c r="AW35" s="16" t="n">
        <f aca="false">CADASTRO_CASAS_BOMBA!$J$10*DIAS_POR_SEMANA-AUX_MATRIZES!AW12</f>
        <v>-12901.4882336714</v>
      </c>
      <c r="AX35" s="16" t="n">
        <f aca="false">CADASTRO_CASAS_BOMBA!$J$10*DIAS_POR_SEMANA-AUX_MATRIZES!AX12</f>
        <v>-36747.1266369168</v>
      </c>
      <c r="AY35" s="16" t="n">
        <f aca="false">CADASTRO_CASAS_BOMBA!$J$10*DIAS_POR_SEMANA-AUX_MATRIZES!AY12</f>
        <v>-90807.3264908722</v>
      </c>
      <c r="AZ35" s="16" t="n">
        <f aca="false">CADASTRO_CASAS_BOMBA!$J$10*DIAS_POR_SEMANA-AUX_MATRIZES!AZ12</f>
        <v>-107570.445277079</v>
      </c>
      <c r="BA35" s="16" t="n">
        <f aca="false">CADASTRO_CASAS_BOMBA!$J$10*DIAS_POR_SEMANA-AUX_MATRIZES!BA12</f>
        <v>-121622.753139148</v>
      </c>
      <c r="BB35" s="16" t="n">
        <f aca="false">CADASTRO_CASAS_BOMBA!$J$10*DIAS_POR_SEMANA-AUX_MATRIZES!BB12</f>
        <v>-135675.061001217</v>
      </c>
      <c r="BC35" s="16" t="n">
        <f aca="false">CADASTRO_CASAS_BOMBA!$J$10*DIAS_POR_SEMANA-AUX_MATRIZES!BC12</f>
        <v>-147899.527831237</v>
      </c>
      <c r="BD35" s="16" t="n">
        <f aca="false">CADASTRO_CASAS_BOMBA!$J$10*DIAS_POR_SEMANA-AUX_MATRIZES!BD12</f>
        <v>-150066.872941176</v>
      </c>
      <c r="BE35" s="16" t="n">
        <f aca="false">CADASTRO_CASAS_BOMBA!$J$10*DIAS_POR_SEMANA-AUX_MATRIZES!BE12</f>
        <v>-150066.872941176</v>
      </c>
      <c r="BF35" s="16" t="n">
        <f aca="false">CADASTRO_CASAS_BOMBA!$J$10*DIAS_POR_SEMANA-AUX_MATRIZES!BF12</f>
        <v>-141915.018823529</v>
      </c>
      <c r="BG35" s="16" t="n">
        <f aca="false">CADASTRO_CASAS_BOMBA!$J$10*DIAS_POR_SEMANA-AUX_MATRIZES!BG12</f>
        <v>-82477.8017200811</v>
      </c>
      <c r="BH35" s="16" t="n">
        <f aca="false">CADASTRO_CASAS_BOMBA!$J$10*DIAS_POR_SEMANA-AUX_MATRIZES!BH12</f>
        <v>-8825.16074645023</v>
      </c>
      <c r="BI35" s="16" t="n">
        <f aca="false">CADASTRO_CASAS_BOMBA!$J$10*DIAS_POR_SEMANA-AUX_MATRIZES!BI12</f>
        <v>5866.91655983777</v>
      </c>
      <c r="BJ35" s="16" t="n">
        <f aca="false">CADASTRO_CASAS_BOMBA!$J$10*DIAS_POR_SEMANA-AUX_MATRIZES!BJ12</f>
        <v>26504.2010385396</v>
      </c>
      <c r="BK35" s="16" t="n">
        <f aca="false">CADASTRO_CASAS_BOMBA!$J$10*DIAS_POR_SEMANA-AUX_MATRIZES!BK12</f>
        <v>52262.6971034483</v>
      </c>
      <c r="BL35" s="16" t="n">
        <f aca="false">CADASTRO_CASAS_BOMBA!$J$10*DIAS_POR_SEMANA-AUX_MATRIZES!BL12</f>
        <v>91581</v>
      </c>
      <c r="BM35" s="16" t="n">
        <f aca="false">CADASTRO_CASAS_BOMBA!$J$10*DIAS_POR_SEMANA-AUX_MATRIZES!BM12</f>
        <v>91581</v>
      </c>
      <c r="BN35" s="16" t="n">
        <f aca="false">CADASTRO_CASAS_BOMBA!$J$10*DIAS_POR_SEMANA-AUX_MATRIZES!BN12</f>
        <v>91581</v>
      </c>
      <c r="BO35" s="16" t="n">
        <f aca="false">CADASTRO_CASAS_BOMBA!$J$10*DIAS_POR_SEMANA-AUX_MATRIZES!BO12</f>
        <v>91581</v>
      </c>
      <c r="BP35" s="16" t="n">
        <f aca="false">CADASTRO_CASAS_BOMBA!$J$10*DIAS_POR_SEMANA-AUX_MATRIZES!BP12</f>
        <v>91581</v>
      </c>
    </row>
    <row r="36" customFormat="false" ht="15" hidden="false" customHeight="false" outlineLevel="0" collapsed="false">
      <c r="B36" s="15" t="s">
        <v>133</v>
      </c>
      <c r="C36" s="16" t="n">
        <f aca="false">CADASTRO_CASAS_BOMBA!$J$11*DIAS_POR_SEMANA-AUX_MATRIZES!C13</f>
        <v>1422.0353789778</v>
      </c>
      <c r="D36" s="16" t="n">
        <f aca="false">CADASTRO_CASAS_BOMBA!$J$11*DIAS_POR_SEMANA-AUX_MATRIZES!D13</f>
        <v>43591.9285245902</v>
      </c>
      <c r="E36" s="16" t="n">
        <f aca="false">CADASTRO_CASAS_BOMBA!$J$11*DIAS_POR_SEMANA-AUX_MATRIZES!E13</f>
        <v>77457.24</v>
      </c>
      <c r="F36" s="16" t="n">
        <f aca="false">CADASTRO_CASAS_BOMBA!$J$11*DIAS_POR_SEMANA-AUX_MATRIZES!F13</f>
        <v>82381.005</v>
      </c>
      <c r="G36" s="16" t="n">
        <f aca="false">CADASTRO_CASAS_BOMBA!$J$11*DIAS_POR_SEMANA-AUX_MATRIZES!G13</f>
        <v>106864.884</v>
      </c>
      <c r="H36" s="16" t="n">
        <f aca="false">CADASTRO_CASAS_BOMBA!$J$11*DIAS_POR_SEMANA-AUX_MATRIZES!H13</f>
        <v>126713.412</v>
      </c>
      <c r="I36" s="16" t="n">
        <f aca="false">CADASTRO_CASAS_BOMBA!$J$11*DIAS_POR_SEMANA-AUX_MATRIZES!I13</f>
        <v>133368.984</v>
      </c>
      <c r="J36" s="16" t="n">
        <f aca="false">CADASTRO_CASAS_BOMBA!$J$11*DIAS_POR_SEMANA-AUX_MATRIZES!J13</f>
        <v>140024.556</v>
      </c>
      <c r="K36" s="16" t="n">
        <f aca="false">CADASTRO_CASAS_BOMBA!$J$11*DIAS_POR_SEMANA-AUX_MATRIZES!K13</f>
        <v>149940</v>
      </c>
      <c r="L36" s="16" t="n">
        <f aca="false">CADASTRO_CASAS_BOMBA!$J$11*DIAS_POR_SEMANA-AUX_MATRIZES!L13</f>
        <v>149940</v>
      </c>
      <c r="M36" s="16" t="n">
        <f aca="false">CADASTRO_CASAS_BOMBA!$J$11*DIAS_POR_SEMANA-AUX_MATRIZES!M13</f>
        <v>149940</v>
      </c>
      <c r="N36" s="16" t="n">
        <f aca="false">CADASTRO_CASAS_BOMBA!$J$11*DIAS_POR_SEMANA-AUX_MATRIZES!N13</f>
        <v>149940</v>
      </c>
      <c r="O36" s="16" t="n">
        <f aca="false">CADASTRO_CASAS_BOMBA!$J$11*DIAS_POR_SEMANA-AUX_MATRIZES!O13</f>
        <v>148889.742466179</v>
      </c>
      <c r="P36" s="16" t="n">
        <f aca="false">CADASTRO_CASAS_BOMBA!$J$11*DIAS_POR_SEMANA-AUX_MATRIZES!P13</f>
        <v>149940</v>
      </c>
      <c r="Q36" s="16" t="n">
        <f aca="false">CADASTRO_CASAS_BOMBA!$J$11*DIAS_POR_SEMANA-AUX_MATRIZES!Q13</f>
        <v>149940</v>
      </c>
      <c r="R36" s="16" t="n">
        <f aca="false">CADASTRO_CASAS_BOMBA!$J$11*DIAS_POR_SEMANA-AUX_MATRIZES!R13</f>
        <v>149940</v>
      </c>
      <c r="S36" s="16" t="n">
        <f aca="false">CADASTRO_CASAS_BOMBA!$J$11*DIAS_POR_SEMANA-AUX_MATRIZES!S13</f>
        <v>149940</v>
      </c>
      <c r="T36" s="16" t="n">
        <f aca="false">CADASTRO_CASAS_BOMBA!$J$11*DIAS_POR_SEMANA-AUX_MATRIZES!T13</f>
        <v>149364.186352941</v>
      </c>
      <c r="U36" s="16" t="n">
        <f aca="false">CADASTRO_CASAS_BOMBA!$J$11*DIAS_POR_SEMANA-AUX_MATRIZES!U13</f>
        <v>146990.710588235</v>
      </c>
      <c r="V36" s="16" t="n">
        <f aca="false">CADASTRO_CASAS_BOMBA!$J$11*DIAS_POR_SEMANA-AUX_MATRIZES!V13</f>
        <v>146990.710588235</v>
      </c>
      <c r="W36" s="16" t="n">
        <f aca="false">CADASTRO_CASAS_BOMBA!$J$11*DIAS_POR_SEMANA-AUX_MATRIZES!W13</f>
        <v>149940</v>
      </c>
      <c r="X36" s="16" t="n">
        <f aca="false">CADASTRO_CASAS_BOMBA!$J$11*DIAS_POR_SEMANA-AUX_MATRIZES!X13</f>
        <v>149940</v>
      </c>
      <c r="Y36" s="16" t="n">
        <f aca="false">CADASTRO_CASAS_BOMBA!$J$11*DIAS_POR_SEMANA-AUX_MATRIZES!Y13</f>
        <v>143002.268705882</v>
      </c>
      <c r="Z36" s="16" t="n">
        <f aca="false">CADASTRO_CASAS_BOMBA!$J$11*DIAS_POR_SEMANA-AUX_MATRIZES!Z13</f>
        <v>131928.874419074</v>
      </c>
      <c r="AA36" s="16" t="n">
        <f aca="false">CADASTRO_CASAS_BOMBA!$J$11*DIAS_POR_SEMANA-AUX_MATRIZES!AA13</f>
        <v>113681.483176471</v>
      </c>
      <c r="AB36" s="16" t="n">
        <f aca="false">CADASTRO_CASAS_BOMBA!$J$11*DIAS_POR_SEMANA-AUX_MATRIZES!AB13</f>
        <v>112023.323176471</v>
      </c>
      <c r="AC36" s="16" t="n">
        <f aca="false">CADASTRO_CASAS_BOMBA!$J$11*DIAS_POR_SEMANA-AUX_MATRIZES!AC13</f>
        <v>94448.4972941177</v>
      </c>
      <c r="AD36" s="16" t="n">
        <f aca="false">CADASTRO_CASAS_BOMBA!$J$11*DIAS_POR_SEMANA-AUX_MATRIZES!AD13</f>
        <v>86630.6260784314</v>
      </c>
      <c r="AE36" s="16" t="n">
        <f aca="false">CADASTRO_CASAS_BOMBA!$J$11*DIAS_POR_SEMANA-AUX_MATRIZES!AE13</f>
        <v>84125.8663235295</v>
      </c>
      <c r="AF36" s="16" t="n">
        <f aca="false">CADASTRO_CASAS_BOMBA!$J$11*DIAS_POR_SEMANA-AUX_MATRIZES!AF13</f>
        <v>86610.8302941177</v>
      </c>
      <c r="AG36" s="16" t="n">
        <f aca="false">CADASTRO_CASAS_BOMBA!$J$11*DIAS_POR_SEMANA-AUX_MATRIZES!AG13</f>
        <v>-8468.5271822284</v>
      </c>
      <c r="AH36" s="16" t="n">
        <f aca="false">CADASTRO_CASAS_BOMBA!$J$11*DIAS_POR_SEMANA-AUX_MATRIZES!AH13</f>
        <v>-89760.3505424836</v>
      </c>
      <c r="AI36" s="16" t="n">
        <f aca="false">CADASTRO_CASAS_BOMBA!$J$11*DIAS_POR_SEMANA-AUX_MATRIZES!AI13</f>
        <v>-91577.3552401961</v>
      </c>
      <c r="AJ36" s="16" t="n">
        <f aca="false">CADASTRO_CASAS_BOMBA!$J$11*DIAS_POR_SEMANA-AUX_MATRIZES!AJ13</f>
        <v>-88515.3140951483</v>
      </c>
      <c r="AK36" s="16" t="n">
        <f aca="false">CADASTRO_CASAS_BOMBA!$J$11*DIAS_POR_SEMANA-AUX_MATRIZES!AK13</f>
        <v>-82086.8329680834</v>
      </c>
      <c r="AL36" s="16" t="n">
        <f aca="false">CADASTRO_CASAS_BOMBA!$J$11*DIAS_POR_SEMANA-AUX_MATRIZES!AL13</f>
        <v>-124673.670340069</v>
      </c>
      <c r="AM36" s="16" t="n">
        <f aca="false">CADASTRO_CASAS_BOMBA!$J$11*DIAS_POR_SEMANA-AUX_MATRIZES!AM13</f>
        <v>-119380.106720666</v>
      </c>
      <c r="AN36" s="16" t="n">
        <f aca="false">CADASTRO_CASAS_BOMBA!$J$11*DIAS_POR_SEMANA-AUX_MATRIZES!AN13</f>
        <v>-103991.10686597</v>
      </c>
      <c r="AO36" s="16" t="n">
        <f aca="false">CADASTRO_CASAS_BOMBA!$J$11*DIAS_POR_SEMANA-AUX_MATRIZES!AO13</f>
        <v>-88602.1070112733</v>
      </c>
      <c r="AP36" s="16" t="n">
        <f aca="false">CADASTRO_CASAS_BOMBA!$J$11*DIAS_POR_SEMANA-AUX_MATRIZES!AP13</f>
        <v>-42735.3289635112</v>
      </c>
      <c r="AQ36" s="16" t="n">
        <f aca="false">CADASTRO_CASAS_BOMBA!$J$11*DIAS_POR_SEMANA-AUX_MATRIZES!AQ13</f>
        <v>-34078.2117945077</v>
      </c>
      <c r="AR36" s="16" t="n">
        <f aca="false">CADASTRO_CASAS_BOMBA!$J$11*DIAS_POR_SEMANA-AUX_MATRIZES!AR13</f>
        <v>44256.5914482759</v>
      </c>
      <c r="AS36" s="16" t="n">
        <f aca="false">CADASTRO_CASAS_BOMBA!$J$11*DIAS_POR_SEMANA-AUX_MATRIZES!AS13</f>
        <v>27683.2076970926</v>
      </c>
      <c r="AT36" s="16" t="n">
        <f aca="false">CADASTRO_CASAS_BOMBA!$J$11*DIAS_POR_SEMANA-AUX_MATRIZES!AT13</f>
        <v>48071.6231215686</v>
      </c>
      <c r="AU36" s="16" t="n">
        <f aca="false">CADASTRO_CASAS_BOMBA!$J$11*DIAS_POR_SEMANA-AUX_MATRIZES!AU13</f>
        <v>38940.2697764706</v>
      </c>
      <c r="AV36" s="16" t="n">
        <f aca="false">CADASTRO_CASAS_BOMBA!$J$11*DIAS_POR_SEMANA-AUX_MATRIZES!AV13</f>
        <v>31043.101572549</v>
      </c>
      <c r="AW36" s="16" t="n">
        <f aca="false">CADASTRO_CASAS_BOMBA!$J$11*DIAS_POR_SEMANA-AUX_MATRIZES!AW13</f>
        <v>22318.0470333334</v>
      </c>
      <c r="AX36" s="16" t="n">
        <f aca="false">CADASTRO_CASAS_BOMBA!$J$11*DIAS_POR_SEMANA-AUX_MATRIZES!AX13</f>
        <v>4775.89670588236</v>
      </c>
      <c r="AY36" s="16" t="n">
        <f aca="false">CADASTRO_CASAS_BOMBA!$J$11*DIAS_POR_SEMANA-AUX_MATRIZES!AY13</f>
        <v>-35711.4272392157</v>
      </c>
      <c r="AZ36" s="16" t="n">
        <f aca="false">CADASTRO_CASAS_BOMBA!$J$11*DIAS_POR_SEMANA-AUX_MATRIZES!AZ13</f>
        <v>-30151.5328470588</v>
      </c>
      <c r="BA36" s="16" t="n">
        <f aca="false">CADASTRO_CASAS_BOMBA!$J$11*DIAS_POR_SEMANA-AUX_MATRIZES!BA13</f>
        <v>-50144.8644941176</v>
      </c>
      <c r="BB36" s="16" t="n">
        <f aca="false">CADASTRO_CASAS_BOMBA!$J$11*DIAS_POR_SEMANA-AUX_MATRIZES!BB13</f>
        <v>-63492.5025411765</v>
      </c>
      <c r="BC36" s="16" t="n">
        <f aca="false">CADASTRO_CASAS_BOMBA!$J$11*DIAS_POR_SEMANA-AUX_MATRIZES!BC13</f>
        <v>-70935.0927058823</v>
      </c>
      <c r="BD36" s="16" t="n">
        <f aca="false">CADASTRO_CASAS_BOMBA!$J$11*DIAS_POR_SEMANA-AUX_MATRIZES!BD13</f>
        <v>-67417.4183529412</v>
      </c>
      <c r="BE36" s="16" t="n">
        <f aca="false">CADASTRO_CASAS_BOMBA!$J$11*DIAS_POR_SEMANA-AUX_MATRIZES!BE13</f>
        <v>-60399.0157647059</v>
      </c>
      <c r="BF36" s="16" t="n">
        <f aca="false">CADASTRO_CASAS_BOMBA!$J$11*DIAS_POR_SEMANA-AUX_MATRIZES!BF13</f>
        <v>-53380.6131764706</v>
      </c>
      <c r="BG36" s="16" t="n">
        <f aca="false">CADASTRO_CASAS_BOMBA!$J$11*DIAS_POR_SEMANA-AUX_MATRIZES!BG13</f>
        <v>-7674.95811764704</v>
      </c>
      <c r="BH36" s="16" t="n">
        <f aca="false">CADASTRO_CASAS_BOMBA!$J$11*DIAS_POR_SEMANA-AUX_MATRIZES!BH13</f>
        <v>50684.433882353</v>
      </c>
      <c r="BI36" s="16" t="n">
        <f aca="false">CADASTRO_CASAS_BOMBA!$J$11*DIAS_POR_SEMANA-AUX_MATRIZES!BI13</f>
        <v>61609.7505882353</v>
      </c>
      <c r="BJ36" s="16" t="n">
        <f aca="false">CADASTRO_CASAS_BOMBA!$J$11*DIAS_POR_SEMANA-AUX_MATRIZES!BJ13</f>
        <v>74907.6225882353</v>
      </c>
      <c r="BK36" s="16" t="n">
        <f aca="false">CADASTRO_CASAS_BOMBA!$J$11*DIAS_POR_SEMANA-AUX_MATRIZES!BK13</f>
        <v>89261.8094117648</v>
      </c>
      <c r="BL36" s="16" t="n">
        <f aca="false">CADASTRO_CASAS_BOMBA!$J$11*DIAS_POR_SEMANA-AUX_MATRIZES!BL13</f>
        <v>149940</v>
      </c>
      <c r="BM36" s="16" t="n">
        <f aca="false">CADASTRO_CASAS_BOMBA!$J$11*DIAS_POR_SEMANA-AUX_MATRIZES!BM13</f>
        <v>149940</v>
      </c>
      <c r="BN36" s="16" t="n">
        <f aca="false">CADASTRO_CASAS_BOMBA!$J$11*DIAS_POR_SEMANA-AUX_MATRIZES!BN13</f>
        <v>149940</v>
      </c>
      <c r="BO36" s="16" t="n">
        <f aca="false">CADASTRO_CASAS_BOMBA!$J$11*DIAS_POR_SEMANA-AUX_MATRIZES!BO13</f>
        <v>149940</v>
      </c>
      <c r="BP36" s="16" t="n">
        <f aca="false">CADASTRO_CASAS_BOMBA!$J$11*DIAS_POR_SEMANA-AUX_MATRIZES!BP13</f>
        <v>149940</v>
      </c>
    </row>
    <row r="37" customFormat="false" ht="15" hidden="false" customHeight="false" outlineLevel="0" collapsed="false">
      <c r="B37" s="15" t="s">
        <v>134</v>
      </c>
      <c r="C37" s="16" t="n">
        <f aca="false">CADASTRO_CASAS_BOMBA!$J$12*DIAS_POR_SEMANA-AUX_MATRIZES!C14</f>
        <v>4923.84170308127</v>
      </c>
      <c r="D37" s="16" t="n">
        <f aca="false">CADASTRO_CASAS_BOMBA!$J$12*DIAS_POR_SEMANA-AUX_MATRIZES!D14</f>
        <v>24938.2566013072</v>
      </c>
      <c r="E37" s="16" t="n">
        <f aca="false">CADASTRO_CASAS_BOMBA!$J$12*DIAS_POR_SEMANA-AUX_MATRIZES!E14</f>
        <v>76415.6168104575</v>
      </c>
      <c r="F37" s="16" t="n">
        <f aca="false">CADASTRO_CASAS_BOMBA!$J$12*DIAS_POR_SEMANA-AUX_MATRIZES!F14</f>
        <v>119374.668</v>
      </c>
      <c r="G37" s="16" t="n">
        <f aca="false">CADASTRO_CASAS_BOMBA!$J$12*DIAS_POR_SEMANA-AUX_MATRIZES!G14</f>
        <v>151245.134117647</v>
      </c>
      <c r="H37" s="16" t="n">
        <f aca="false">CADASTRO_CASAS_BOMBA!$J$12*DIAS_POR_SEMANA-AUX_MATRIZES!H14</f>
        <v>177660</v>
      </c>
      <c r="I37" s="16" t="n">
        <f aca="false">CADASTRO_CASAS_BOMBA!$J$12*DIAS_POR_SEMANA-AUX_MATRIZES!I14</f>
        <v>177660</v>
      </c>
      <c r="J37" s="16" t="n">
        <f aca="false">CADASTRO_CASAS_BOMBA!$J$12*DIAS_POR_SEMANA-AUX_MATRIZES!J14</f>
        <v>177660</v>
      </c>
      <c r="K37" s="16" t="n">
        <f aca="false">CADASTRO_CASAS_BOMBA!$J$12*DIAS_POR_SEMANA-AUX_MATRIZES!K14</f>
        <v>177660</v>
      </c>
      <c r="L37" s="16" t="n">
        <f aca="false">CADASTRO_CASAS_BOMBA!$J$12*DIAS_POR_SEMANA-AUX_MATRIZES!L14</f>
        <v>177660</v>
      </c>
      <c r="M37" s="16" t="n">
        <f aca="false">CADASTRO_CASAS_BOMBA!$J$12*DIAS_POR_SEMANA-AUX_MATRIZES!M14</f>
        <v>177660</v>
      </c>
      <c r="N37" s="16" t="n">
        <f aca="false">CADASTRO_CASAS_BOMBA!$J$12*DIAS_POR_SEMANA-AUX_MATRIZES!N14</f>
        <v>177660</v>
      </c>
      <c r="O37" s="16" t="n">
        <f aca="false">CADASTRO_CASAS_BOMBA!$J$12*DIAS_POR_SEMANA-AUX_MATRIZES!O14</f>
        <v>176609.742466179</v>
      </c>
      <c r="P37" s="16" t="n">
        <f aca="false">CADASTRO_CASAS_BOMBA!$J$12*DIAS_POR_SEMANA-AUX_MATRIZES!P14</f>
        <v>177660</v>
      </c>
      <c r="Q37" s="16" t="n">
        <f aca="false">CADASTRO_CASAS_BOMBA!$J$12*DIAS_POR_SEMANA-AUX_MATRIZES!Q14</f>
        <v>177660</v>
      </c>
      <c r="R37" s="16" t="n">
        <f aca="false">CADASTRO_CASAS_BOMBA!$J$12*DIAS_POR_SEMANA-AUX_MATRIZES!R14</f>
        <v>177660</v>
      </c>
      <c r="S37" s="16" t="n">
        <f aca="false">CADASTRO_CASAS_BOMBA!$J$12*DIAS_POR_SEMANA-AUX_MATRIZES!S14</f>
        <v>177660</v>
      </c>
      <c r="T37" s="16" t="n">
        <f aca="false">CADASTRO_CASAS_BOMBA!$J$12*DIAS_POR_SEMANA-AUX_MATRIZES!T14</f>
        <v>173629.709647059</v>
      </c>
      <c r="U37" s="16" t="n">
        <f aca="false">CADASTRO_CASAS_BOMBA!$J$12*DIAS_POR_SEMANA-AUX_MATRIZES!U14</f>
        <v>157017.049411765</v>
      </c>
      <c r="V37" s="16" t="n">
        <f aca="false">CADASTRO_CASAS_BOMBA!$J$12*DIAS_POR_SEMANA-AUX_MATRIZES!V14</f>
        <v>157017.049411765</v>
      </c>
      <c r="W37" s="16" t="n">
        <f aca="false">CADASTRO_CASAS_BOMBA!$J$12*DIAS_POR_SEMANA-AUX_MATRIZES!W14</f>
        <v>169151.283629904</v>
      </c>
      <c r="X37" s="16" t="n">
        <f aca="false">CADASTRO_CASAS_BOMBA!$J$12*DIAS_POR_SEMANA-AUX_MATRIZES!X14</f>
        <v>177660</v>
      </c>
      <c r="Y37" s="16" t="n">
        <f aca="false">CADASTRO_CASAS_BOMBA!$J$12*DIAS_POR_SEMANA-AUX_MATRIZES!Y14</f>
        <v>177660</v>
      </c>
      <c r="Z37" s="16" t="n">
        <f aca="false">CADASTRO_CASAS_BOMBA!$J$12*DIAS_POR_SEMANA-AUX_MATRIZES!Z14</f>
        <v>173606.132867386</v>
      </c>
      <c r="AA37" s="16" t="n">
        <f aca="false">CADASTRO_CASAS_BOMBA!$J$12*DIAS_POR_SEMANA-AUX_MATRIZES!AA14</f>
        <v>164745.005347391</v>
      </c>
      <c r="AB37" s="16" t="n">
        <f aca="false">CADASTRO_CASAS_BOMBA!$J$12*DIAS_POR_SEMANA-AUX_MATRIZES!AB14</f>
        <v>157008.072941176</v>
      </c>
      <c r="AC37" s="16" t="n">
        <f aca="false">CADASTRO_CASAS_BOMBA!$J$12*DIAS_POR_SEMANA-AUX_MATRIZES!AC14</f>
        <v>151452.296470588</v>
      </c>
      <c r="AD37" s="16" t="n">
        <f aca="false">CADASTRO_CASAS_BOMBA!$J$12*DIAS_POR_SEMANA-AUX_MATRIZES!AD14</f>
        <v>151452.296470588</v>
      </c>
      <c r="AE37" s="16" t="n">
        <f aca="false">CADASTRO_CASAS_BOMBA!$J$12*DIAS_POR_SEMANA-AUX_MATRIZES!AE14</f>
        <v>148513.523232026</v>
      </c>
      <c r="AF37" s="16" t="n">
        <f aca="false">CADASTRO_CASAS_BOMBA!$J$12*DIAS_POR_SEMANA-AUX_MATRIZES!AF14</f>
        <v>141807.228705882</v>
      </c>
      <c r="AG37" s="16" t="n">
        <f aca="false">CADASTRO_CASAS_BOMBA!$J$12*DIAS_POR_SEMANA-AUX_MATRIZES!AG14</f>
        <v>61442.1491183733</v>
      </c>
      <c r="AH37" s="16" t="n">
        <f aca="false">CADASTRO_CASAS_BOMBA!$J$12*DIAS_POR_SEMANA-AUX_MATRIZES!AH14</f>
        <v>-58851.5610849673</v>
      </c>
      <c r="AI37" s="16" t="n">
        <f aca="false">CADASTRO_CASAS_BOMBA!$J$12*DIAS_POR_SEMANA-AUX_MATRIZES!AI14</f>
        <v>-86569.996038671</v>
      </c>
      <c r="AJ37" s="16" t="n">
        <f aca="false">CADASTRO_CASAS_BOMBA!$J$12*DIAS_POR_SEMANA-AUX_MATRIZES!AJ14</f>
        <v>-105731.189642031</v>
      </c>
      <c r="AK37" s="16" t="n">
        <f aca="false">CADASTRO_CASAS_BOMBA!$J$12*DIAS_POR_SEMANA-AUX_MATRIZES!AK14</f>
        <v>-146644.534323683</v>
      </c>
      <c r="AL37" s="16" t="n">
        <f aca="false">CADASTRO_CASAS_BOMBA!$J$12*DIAS_POR_SEMANA-AUX_MATRIZES!AL14</f>
        <v>-230261.465823529</v>
      </c>
      <c r="AM37" s="16" t="n">
        <f aca="false">CADASTRO_CASAS_BOMBA!$J$12*DIAS_POR_SEMANA-AUX_MATRIZES!AM14</f>
        <v>-221183.217254525</v>
      </c>
      <c r="AN37" s="16" t="n">
        <f aca="false">CADASTRO_CASAS_BOMBA!$J$12*DIAS_POR_SEMANA-AUX_MATRIZES!AN14</f>
        <v>-211700.091773756</v>
      </c>
      <c r="AO37" s="16" t="n">
        <f aca="false">CADASTRO_CASAS_BOMBA!$J$12*DIAS_POR_SEMANA-AUX_MATRIZES!AO14</f>
        <v>-168892.519028281</v>
      </c>
      <c r="AP37" s="16" t="n">
        <f aca="false">CADASTRO_CASAS_BOMBA!$J$12*DIAS_POR_SEMANA-AUX_MATRIZES!AP14</f>
        <v>-176658.903272463</v>
      </c>
      <c r="AQ37" s="16" t="n">
        <f aca="false">CADASTRO_CASAS_BOMBA!$J$12*DIAS_POR_SEMANA-AUX_MATRIZES!AQ14</f>
        <v>-170602.392321267</v>
      </c>
      <c r="AR37" s="16" t="n">
        <f aca="false">CADASTRO_CASAS_BOMBA!$J$12*DIAS_POR_SEMANA-AUX_MATRIZES!AR14</f>
        <v>-123786.849803922</v>
      </c>
      <c r="AS37" s="16" t="n">
        <f aca="false">CADASTRO_CASAS_BOMBA!$J$12*DIAS_POR_SEMANA-AUX_MATRIZES!AS14</f>
        <v>-85608.3214640523</v>
      </c>
      <c r="AT37" s="16" t="n">
        <f aca="false">CADASTRO_CASAS_BOMBA!$J$12*DIAS_POR_SEMANA-AUX_MATRIZES!AT14</f>
        <v>-100585.964235294</v>
      </c>
      <c r="AU37" s="16" t="n">
        <f aca="false">CADASTRO_CASAS_BOMBA!$J$12*DIAS_POR_SEMANA-AUX_MATRIZES!AU14</f>
        <v>-95618.4717398693</v>
      </c>
      <c r="AV37" s="16" t="n">
        <f aca="false">CADASTRO_CASAS_BOMBA!$J$12*DIAS_POR_SEMANA-AUX_MATRIZES!AV14</f>
        <v>-82328.1079032679</v>
      </c>
      <c r="AW37" s="16" t="n">
        <f aca="false">CADASTRO_CASAS_BOMBA!$J$12*DIAS_POR_SEMANA-AUX_MATRIZES!AW14</f>
        <v>-69409.4562321839</v>
      </c>
      <c r="AX37" s="16" t="n">
        <f aca="false">CADASTRO_CASAS_BOMBA!$J$12*DIAS_POR_SEMANA-AUX_MATRIZES!AX14</f>
        <v>-38265.4354041019</v>
      </c>
      <c r="AY37" s="16" t="n">
        <f aca="false">CADASTRO_CASAS_BOMBA!$J$12*DIAS_POR_SEMANA-AUX_MATRIZES!AY14</f>
        <v>-45293.0396773496</v>
      </c>
      <c r="AZ37" s="16" t="n">
        <f aca="false">CADASTRO_CASAS_BOMBA!$J$12*DIAS_POR_SEMANA-AUX_MATRIZES!AZ14</f>
        <v>-35118.354351679</v>
      </c>
      <c r="BA37" s="16" t="n">
        <f aca="false">CADASTRO_CASAS_BOMBA!$J$12*DIAS_POR_SEMANA-AUX_MATRIZES!BA14</f>
        <v>23786.4052275862</v>
      </c>
      <c r="BB37" s="16" t="n">
        <f aca="false">CADASTRO_CASAS_BOMBA!$J$12*DIAS_POR_SEMANA-AUX_MATRIZES!BB14</f>
        <v>6968.97727221099</v>
      </c>
      <c r="BC37" s="16" t="n">
        <f aca="false">CADASTRO_CASAS_BOMBA!$J$12*DIAS_POR_SEMANA-AUX_MATRIZES!BC14</f>
        <v>-3710.90344705881</v>
      </c>
      <c r="BD37" s="16" t="n">
        <f aca="false">CADASTRO_CASAS_BOMBA!$J$12*DIAS_POR_SEMANA-AUX_MATRIZES!BD14</f>
        <v>-14691.8656705882</v>
      </c>
      <c r="BE37" s="16" t="n">
        <f aca="false">CADASTRO_CASAS_BOMBA!$J$12*DIAS_POR_SEMANA-AUX_MATRIZES!BE14</f>
        <v>-15318.0752941176</v>
      </c>
      <c r="BF37" s="16" t="n">
        <f aca="false">CADASTRO_CASAS_BOMBA!$J$12*DIAS_POR_SEMANA-AUX_MATRIZES!BF14</f>
        <v>-15318.0752941176</v>
      </c>
      <c r="BG37" s="16" t="n">
        <f aca="false">CADASTRO_CASAS_BOMBA!$J$12*DIAS_POR_SEMANA-AUX_MATRIZES!BG14</f>
        <v>19114.6343529412</v>
      </c>
      <c r="BH37" s="16" t="n">
        <f aca="false">CADASTRO_CASAS_BOMBA!$J$12*DIAS_POR_SEMANA-AUX_MATRIZES!BH14</f>
        <v>70833.2470588235</v>
      </c>
      <c r="BI37" s="16" t="n">
        <f aca="false">CADASTRO_CASAS_BOMBA!$J$12*DIAS_POR_SEMANA-AUX_MATRIZES!BI14</f>
        <v>79871.8876430021</v>
      </c>
      <c r="BJ37" s="16" t="n">
        <f aca="false">CADASTRO_CASAS_BOMBA!$J$12*DIAS_POR_SEMANA-AUX_MATRIZES!BJ14</f>
        <v>91520.8188559838</v>
      </c>
      <c r="BK37" s="16" t="n">
        <f aca="false">CADASTRO_CASAS_BOMBA!$J$12*DIAS_POR_SEMANA-AUX_MATRIZES!BK14</f>
        <v>103169.750068966</v>
      </c>
      <c r="BL37" s="16" t="n">
        <f aca="false">CADASTRO_CASAS_BOMBA!$J$12*DIAS_POR_SEMANA-AUX_MATRIZES!BL14</f>
        <v>176424.375647059</v>
      </c>
      <c r="BM37" s="16" t="n">
        <f aca="false">CADASTRO_CASAS_BOMBA!$J$12*DIAS_POR_SEMANA-AUX_MATRIZES!BM14</f>
        <v>177660</v>
      </c>
      <c r="BN37" s="16" t="n">
        <f aca="false">CADASTRO_CASAS_BOMBA!$J$12*DIAS_POR_SEMANA-AUX_MATRIZES!BN14</f>
        <v>177660</v>
      </c>
      <c r="BO37" s="16" t="n">
        <f aca="false">CADASTRO_CASAS_BOMBA!$J$12*DIAS_POR_SEMANA-AUX_MATRIZES!BO14</f>
        <v>177660</v>
      </c>
      <c r="BP37" s="16" t="n">
        <f aca="false">CADASTRO_CASAS_BOMBA!$J$12*DIAS_POR_SEMANA-AUX_MATRIZES!BP14</f>
        <v>177660</v>
      </c>
    </row>
    <row r="38" customFormat="false" ht="15" hidden="false" customHeight="false" outlineLevel="0" collapsed="false">
      <c r="B38" s="15" t="s">
        <v>135</v>
      </c>
      <c r="C38" s="16" t="n">
        <f aca="false">CADASTRO_CASAS_BOMBA!$J$13*DIAS_POR_SEMANA-AUX_MATRIZES!C15</f>
        <v>0</v>
      </c>
      <c r="D38" s="16" t="n">
        <f aca="false">CADASTRO_CASAS_BOMBA!$J$13*DIAS_POR_SEMANA-AUX_MATRIZES!D15</f>
        <v>0</v>
      </c>
      <c r="E38" s="16" t="n">
        <f aca="false">CADASTRO_CASAS_BOMBA!$J$13*DIAS_POR_SEMANA-AUX_MATRIZES!E15</f>
        <v>0</v>
      </c>
      <c r="F38" s="16" t="n">
        <f aca="false">CADASTRO_CASAS_BOMBA!$J$13*DIAS_POR_SEMANA-AUX_MATRIZES!F15</f>
        <v>0</v>
      </c>
      <c r="G38" s="16" t="n">
        <f aca="false">CADASTRO_CASAS_BOMBA!$J$13*DIAS_POR_SEMANA-AUX_MATRIZES!G15</f>
        <v>0</v>
      </c>
      <c r="H38" s="16" t="n">
        <f aca="false">CADASTRO_CASAS_BOMBA!$J$13*DIAS_POR_SEMANA-AUX_MATRIZES!H15</f>
        <v>0</v>
      </c>
      <c r="I38" s="16" t="n">
        <f aca="false">CADASTRO_CASAS_BOMBA!$J$13*DIAS_POR_SEMANA-AUX_MATRIZES!I15</f>
        <v>0</v>
      </c>
      <c r="J38" s="16" t="n">
        <f aca="false">CADASTRO_CASAS_BOMBA!$J$13*DIAS_POR_SEMANA-AUX_MATRIZES!J15</f>
        <v>0</v>
      </c>
      <c r="K38" s="16" t="n">
        <f aca="false">CADASTRO_CASAS_BOMBA!$J$13*DIAS_POR_SEMANA-AUX_MATRIZES!K15</f>
        <v>0</v>
      </c>
      <c r="L38" s="16" t="n">
        <f aca="false">CADASTRO_CASAS_BOMBA!$J$13*DIAS_POR_SEMANA-AUX_MATRIZES!L15</f>
        <v>0</v>
      </c>
      <c r="M38" s="16" t="n">
        <f aca="false">CADASTRO_CASAS_BOMBA!$J$13*DIAS_POR_SEMANA-AUX_MATRIZES!M15</f>
        <v>0</v>
      </c>
      <c r="N38" s="16" t="n">
        <f aca="false">CADASTRO_CASAS_BOMBA!$J$13*DIAS_POR_SEMANA-AUX_MATRIZES!N15</f>
        <v>0</v>
      </c>
      <c r="O38" s="16" t="n">
        <f aca="false">CADASTRO_CASAS_BOMBA!$J$13*DIAS_POR_SEMANA-AUX_MATRIZES!O15</f>
        <v>0</v>
      </c>
      <c r="P38" s="16" t="n">
        <f aca="false">CADASTRO_CASAS_BOMBA!$J$13*DIAS_POR_SEMANA-AUX_MATRIZES!P15</f>
        <v>0</v>
      </c>
      <c r="Q38" s="16" t="n">
        <f aca="false">CADASTRO_CASAS_BOMBA!$J$13*DIAS_POR_SEMANA-AUX_MATRIZES!Q15</f>
        <v>0</v>
      </c>
      <c r="R38" s="16" t="n">
        <f aca="false">CADASTRO_CASAS_BOMBA!$J$13*DIAS_POR_SEMANA-AUX_MATRIZES!R15</f>
        <v>0</v>
      </c>
      <c r="S38" s="16" t="n">
        <f aca="false">CADASTRO_CASAS_BOMBA!$J$13*DIAS_POR_SEMANA-AUX_MATRIZES!S15</f>
        <v>0</v>
      </c>
      <c r="T38" s="16" t="n">
        <f aca="false">CADASTRO_CASAS_BOMBA!$J$13*DIAS_POR_SEMANA-AUX_MATRIZES!T15</f>
        <v>0</v>
      </c>
      <c r="U38" s="16" t="n">
        <f aca="false">CADASTRO_CASAS_BOMBA!$J$13*DIAS_POR_SEMANA-AUX_MATRIZES!U15</f>
        <v>0</v>
      </c>
      <c r="V38" s="16" t="n">
        <f aca="false">CADASTRO_CASAS_BOMBA!$J$13*DIAS_POR_SEMANA-AUX_MATRIZES!V15</f>
        <v>0</v>
      </c>
      <c r="W38" s="16" t="n">
        <f aca="false">CADASTRO_CASAS_BOMBA!$J$13*DIAS_POR_SEMANA-AUX_MATRIZES!W15</f>
        <v>0</v>
      </c>
      <c r="X38" s="16" t="n">
        <f aca="false">CADASTRO_CASAS_BOMBA!$J$13*DIAS_POR_SEMANA-AUX_MATRIZES!X15</f>
        <v>0</v>
      </c>
      <c r="Y38" s="16" t="n">
        <f aca="false">CADASTRO_CASAS_BOMBA!$J$13*DIAS_POR_SEMANA-AUX_MATRIZES!Y15</f>
        <v>0</v>
      </c>
      <c r="Z38" s="16" t="n">
        <f aca="false">CADASTRO_CASAS_BOMBA!$J$13*DIAS_POR_SEMANA-AUX_MATRIZES!Z15</f>
        <v>0</v>
      </c>
      <c r="AA38" s="16" t="n">
        <f aca="false">CADASTRO_CASAS_BOMBA!$J$13*DIAS_POR_SEMANA-AUX_MATRIZES!AA15</f>
        <v>0</v>
      </c>
      <c r="AB38" s="16" t="n">
        <f aca="false">CADASTRO_CASAS_BOMBA!$J$13*DIAS_POR_SEMANA-AUX_MATRIZES!AB15</f>
        <v>0</v>
      </c>
      <c r="AC38" s="16" t="n">
        <f aca="false">CADASTRO_CASAS_BOMBA!$J$13*DIAS_POR_SEMANA-AUX_MATRIZES!AC15</f>
        <v>0</v>
      </c>
      <c r="AD38" s="16" t="n">
        <f aca="false">CADASTRO_CASAS_BOMBA!$J$13*DIAS_POR_SEMANA-AUX_MATRIZES!AD15</f>
        <v>0</v>
      </c>
      <c r="AE38" s="16" t="n">
        <f aca="false">CADASTRO_CASAS_BOMBA!$J$13*DIAS_POR_SEMANA-AUX_MATRIZES!AE15</f>
        <v>0</v>
      </c>
      <c r="AF38" s="16" t="n">
        <f aca="false">CADASTRO_CASAS_BOMBA!$J$13*DIAS_POR_SEMANA-AUX_MATRIZES!AF15</f>
        <v>0</v>
      </c>
      <c r="AG38" s="16" t="n">
        <f aca="false">CADASTRO_CASAS_BOMBA!$J$13*DIAS_POR_SEMANA-AUX_MATRIZES!AG15</f>
        <v>0</v>
      </c>
      <c r="AH38" s="16" t="n">
        <f aca="false">CADASTRO_CASAS_BOMBA!$J$13*DIAS_POR_SEMANA-AUX_MATRIZES!AH15</f>
        <v>0</v>
      </c>
      <c r="AI38" s="16" t="n">
        <f aca="false">CADASTRO_CASAS_BOMBA!$J$13*DIAS_POR_SEMANA-AUX_MATRIZES!AI15</f>
        <v>0</v>
      </c>
      <c r="AJ38" s="16" t="n">
        <f aca="false">CADASTRO_CASAS_BOMBA!$J$13*DIAS_POR_SEMANA-AUX_MATRIZES!AJ15</f>
        <v>0</v>
      </c>
      <c r="AK38" s="16" t="n">
        <f aca="false">CADASTRO_CASAS_BOMBA!$J$13*DIAS_POR_SEMANA-AUX_MATRIZES!AK15</f>
        <v>0</v>
      </c>
      <c r="AL38" s="16" t="n">
        <f aca="false">CADASTRO_CASAS_BOMBA!$J$13*DIAS_POR_SEMANA-AUX_MATRIZES!AL15</f>
        <v>0</v>
      </c>
      <c r="AM38" s="16" t="n">
        <f aca="false">CADASTRO_CASAS_BOMBA!$J$13*DIAS_POR_SEMANA-AUX_MATRIZES!AM15</f>
        <v>0</v>
      </c>
      <c r="AN38" s="16" t="n">
        <f aca="false">CADASTRO_CASAS_BOMBA!$J$13*DIAS_POR_SEMANA-AUX_MATRIZES!AN15</f>
        <v>0</v>
      </c>
      <c r="AO38" s="16" t="n">
        <f aca="false">CADASTRO_CASAS_BOMBA!$J$13*DIAS_POR_SEMANA-AUX_MATRIZES!AO15</f>
        <v>0</v>
      </c>
      <c r="AP38" s="16" t="n">
        <f aca="false">CADASTRO_CASAS_BOMBA!$J$13*DIAS_POR_SEMANA-AUX_MATRIZES!AP15</f>
        <v>0</v>
      </c>
      <c r="AQ38" s="16" t="n">
        <f aca="false">CADASTRO_CASAS_BOMBA!$J$13*DIAS_POR_SEMANA-AUX_MATRIZES!AQ15</f>
        <v>0</v>
      </c>
      <c r="AR38" s="16" t="n">
        <f aca="false">CADASTRO_CASAS_BOMBA!$J$13*DIAS_POR_SEMANA-AUX_MATRIZES!AR15</f>
        <v>0</v>
      </c>
      <c r="AS38" s="16" t="n">
        <f aca="false">CADASTRO_CASAS_BOMBA!$J$13*DIAS_POR_SEMANA-AUX_MATRIZES!AS15</f>
        <v>0</v>
      </c>
      <c r="AT38" s="16" t="n">
        <f aca="false">CADASTRO_CASAS_BOMBA!$J$13*DIAS_POR_SEMANA-AUX_MATRIZES!AT15</f>
        <v>0</v>
      </c>
      <c r="AU38" s="16" t="n">
        <f aca="false">CADASTRO_CASAS_BOMBA!$J$13*DIAS_POR_SEMANA-AUX_MATRIZES!AU15</f>
        <v>0</v>
      </c>
      <c r="AV38" s="16" t="n">
        <f aca="false">CADASTRO_CASAS_BOMBA!$J$13*DIAS_POR_SEMANA-AUX_MATRIZES!AV15</f>
        <v>0</v>
      </c>
      <c r="AW38" s="16" t="n">
        <f aca="false">CADASTRO_CASAS_BOMBA!$J$13*DIAS_POR_SEMANA-AUX_MATRIZES!AW15</f>
        <v>0</v>
      </c>
      <c r="AX38" s="16" t="n">
        <f aca="false">CADASTRO_CASAS_BOMBA!$J$13*DIAS_POR_SEMANA-AUX_MATRIZES!AX15</f>
        <v>0</v>
      </c>
      <c r="AY38" s="16" t="n">
        <f aca="false">CADASTRO_CASAS_BOMBA!$J$13*DIAS_POR_SEMANA-AUX_MATRIZES!AY15</f>
        <v>0</v>
      </c>
      <c r="AZ38" s="16" t="n">
        <f aca="false">CADASTRO_CASAS_BOMBA!$J$13*DIAS_POR_SEMANA-AUX_MATRIZES!AZ15</f>
        <v>0</v>
      </c>
      <c r="BA38" s="16" t="n">
        <f aca="false">CADASTRO_CASAS_BOMBA!$J$13*DIAS_POR_SEMANA-AUX_MATRIZES!BA15</f>
        <v>0</v>
      </c>
      <c r="BB38" s="16" t="n">
        <f aca="false">CADASTRO_CASAS_BOMBA!$J$13*DIAS_POR_SEMANA-AUX_MATRIZES!BB15</f>
        <v>0</v>
      </c>
      <c r="BC38" s="16" t="n">
        <f aca="false">CADASTRO_CASAS_BOMBA!$J$13*DIAS_POR_SEMANA-AUX_MATRIZES!BC15</f>
        <v>0</v>
      </c>
      <c r="BD38" s="16" t="n">
        <f aca="false">CADASTRO_CASAS_BOMBA!$J$13*DIAS_POR_SEMANA-AUX_MATRIZES!BD15</f>
        <v>0</v>
      </c>
      <c r="BE38" s="16" t="n">
        <f aca="false">CADASTRO_CASAS_BOMBA!$J$13*DIAS_POR_SEMANA-AUX_MATRIZES!BE15</f>
        <v>0</v>
      </c>
      <c r="BF38" s="16" t="n">
        <f aca="false">CADASTRO_CASAS_BOMBA!$J$13*DIAS_POR_SEMANA-AUX_MATRIZES!BF15</f>
        <v>0</v>
      </c>
      <c r="BG38" s="16" t="n">
        <f aca="false">CADASTRO_CASAS_BOMBA!$J$13*DIAS_POR_SEMANA-AUX_MATRIZES!BG15</f>
        <v>0</v>
      </c>
      <c r="BH38" s="16" t="n">
        <f aca="false">CADASTRO_CASAS_BOMBA!$J$13*DIAS_POR_SEMANA-AUX_MATRIZES!BH15</f>
        <v>0</v>
      </c>
      <c r="BI38" s="16" t="n">
        <f aca="false">CADASTRO_CASAS_BOMBA!$J$13*DIAS_POR_SEMANA-AUX_MATRIZES!BI15</f>
        <v>0</v>
      </c>
      <c r="BJ38" s="16" t="n">
        <f aca="false">CADASTRO_CASAS_BOMBA!$J$13*DIAS_POR_SEMANA-AUX_MATRIZES!BJ15</f>
        <v>0</v>
      </c>
      <c r="BK38" s="16" t="n">
        <f aca="false">CADASTRO_CASAS_BOMBA!$J$13*DIAS_POR_SEMANA-AUX_MATRIZES!BK15</f>
        <v>0</v>
      </c>
      <c r="BL38" s="16" t="n">
        <f aca="false">CADASTRO_CASAS_BOMBA!$J$13*DIAS_POR_SEMANA-AUX_MATRIZES!BL15</f>
        <v>0</v>
      </c>
      <c r="BM38" s="16" t="n">
        <f aca="false">CADASTRO_CASAS_BOMBA!$J$13*DIAS_POR_SEMANA-AUX_MATRIZES!BM15</f>
        <v>0</v>
      </c>
      <c r="BN38" s="16" t="n">
        <f aca="false">CADASTRO_CASAS_BOMBA!$J$13*DIAS_POR_SEMANA-AUX_MATRIZES!BN15</f>
        <v>0</v>
      </c>
      <c r="BO38" s="16" t="n">
        <f aca="false">CADASTRO_CASAS_BOMBA!$J$13*DIAS_POR_SEMANA-AUX_MATRIZES!BO15</f>
        <v>0</v>
      </c>
      <c r="BP38" s="16" t="n">
        <f aca="false">CADASTRO_CASAS_BOMBA!$J$13*DIAS_POR_SEMANA-AUX_MATRIZES!BP15</f>
        <v>0</v>
      </c>
    </row>
    <row r="41" customFormat="false" ht="15" hidden="false" customHeight="false" outlineLevel="0" collapsed="false">
      <c r="B41" s="3" t="s">
        <v>146</v>
      </c>
    </row>
    <row r="42" customFormat="false" ht="15" hidden="false" customHeight="false" outlineLevel="0" collapsed="false">
      <c r="B42" s="14" t="s">
        <v>68</v>
      </c>
      <c r="C42" s="22" t="n">
        <f aca="false">SEMANAS!$B$6</f>
        <v>1</v>
      </c>
      <c r="D42" s="22" t="n">
        <f aca="false">SEMANAS!$B$7</f>
        <v>2</v>
      </c>
      <c r="E42" s="22" t="n">
        <f aca="false">SEMANAS!$B$8</f>
        <v>3</v>
      </c>
      <c r="F42" s="22" t="n">
        <f aca="false">SEMANAS!$B$9</f>
        <v>4</v>
      </c>
      <c r="G42" s="22" t="n">
        <f aca="false">SEMANAS!$B$10</f>
        <v>5</v>
      </c>
      <c r="H42" s="22" t="n">
        <f aca="false">SEMANAS!$B$11</f>
        <v>6</v>
      </c>
      <c r="I42" s="22" t="n">
        <f aca="false">SEMANAS!$B$12</f>
        <v>7</v>
      </c>
      <c r="J42" s="22" t="n">
        <f aca="false">SEMANAS!$B$13</f>
        <v>8</v>
      </c>
      <c r="K42" s="22" t="n">
        <f aca="false">SEMANAS!$B$14</f>
        <v>9</v>
      </c>
      <c r="L42" s="22" t="n">
        <f aca="false">SEMANAS!$B$15</f>
        <v>10</v>
      </c>
      <c r="M42" s="22" t="n">
        <f aca="false">SEMANAS!$B$16</f>
        <v>11</v>
      </c>
      <c r="N42" s="22" t="n">
        <f aca="false">SEMANAS!$B$17</f>
        <v>12</v>
      </c>
      <c r="O42" s="22" t="n">
        <f aca="false">SEMANAS!$B$18</f>
        <v>13</v>
      </c>
      <c r="P42" s="22" t="n">
        <f aca="false">SEMANAS!$B$19</f>
        <v>14</v>
      </c>
      <c r="Q42" s="22" t="n">
        <f aca="false">SEMANAS!$B$20</f>
        <v>15</v>
      </c>
      <c r="R42" s="22" t="n">
        <f aca="false">SEMANAS!$B$21</f>
        <v>16</v>
      </c>
      <c r="S42" s="22" t="n">
        <f aca="false">SEMANAS!$B$22</f>
        <v>17</v>
      </c>
      <c r="T42" s="22" t="n">
        <f aca="false">SEMANAS!$B$23</f>
        <v>18</v>
      </c>
      <c r="U42" s="22" t="n">
        <f aca="false">SEMANAS!$B$24</f>
        <v>19</v>
      </c>
      <c r="V42" s="22" t="n">
        <f aca="false">SEMANAS!$B$25</f>
        <v>20</v>
      </c>
      <c r="W42" s="22" t="n">
        <f aca="false">SEMANAS!$B$26</f>
        <v>21</v>
      </c>
      <c r="X42" s="22" t="n">
        <f aca="false">SEMANAS!$B$27</f>
        <v>22</v>
      </c>
      <c r="Y42" s="22" t="n">
        <f aca="false">SEMANAS!$B$28</f>
        <v>23</v>
      </c>
      <c r="Z42" s="22" t="n">
        <f aca="false">SEMANAS!$B$29</f>
        <v>24</v>
      </c>
      <c r="AA42" s="22" t="n">
        <f aca="false">SEMANAS!$B$30</f>
        <v>25</v>
      </c>
      <c r="AB42" s="22" t="n">
        <f aca="false">SEMANAS!$B$31</f>
        <v>26</v>
      </c>
      <c r="AC42" s="22" t="n">
        <f aca="false">SEMANAS!$B$32</f>
        <v>27</v>
      </c>
      <c r="AD42" s="22" t="n">
        <f aca="false">SEMANAS!$B$33</f>
        <v>28</v>
      </c>
      <c r="AE42" s="22" t="n">
        <f aca="false">SEMANAS!$B$34</f>
        <v>29</v>
      </c>
      <c r="AF42" s="22" t="n">
        <f aca="false">SEMANAS!$B$35</f>
        <v>30</v>
      </c>
      <c r="AG42" s="22" t="n">
        <f aca="false">SEMANAS!$B$36</f>
        <v>31</v>
      </c>
      <c r="AH42" s="22" t="n">
        <f aca="false">SEMANAS!$B$37</f>
        <v>32</v>
      </c>
      <c r="AI42" s="22" t="n">
        <f aca="false">SEMANAS!$B$38</f>
        <v>33</v>
      </c>
      <c r="AJ42" s="22" t="n">
        <f aca="false">SEMANAS!$B$39</f>
        <v>34</v>
      </c>
      <c r="AK42" s="22" t="n">
        <f aca="false">SEMANAS!$B$40</f>
        <v>35</v>
      </c>
      <c r="AL42" s="22" t="n">
        <f aca="false">SEMANAS!$B$41</f>
        <v>36</v>
      </c>
      <c r="AM42" s="22" t="n">
        <f aca="false">SEMANAS!$B$42</f>
        <v>37</v>
      </c>
      <c r="AN42" s="22" t="n">
        <f aca="false">SEMANAS!$B$43</f>
        <v>38</v>
      </c>
      <c r="AO42" s="22" t="n">
        <f aca="false">SEMANAS!$B$44</f>
        <v>39</v>
      </c>
      <c r="AP42" s="22" t="n">
        <f aca="false">SEMANAS!$B$45</f>
        <v>40</v>
      </c>
      <c r="AQ42" s="22" t="n">
        <f aca="false">SEMANAS!$B$46</f>
        <v>41</v>
      </c>
      <c r="AR42" s="22" t="n">
        <f aca="false">SEMANAS!$B$47</f>
        <v>42</v>
      </c>
      <c r="AS42" s="22" t="n">
        <f aca="false">SEMANAS!$B$48</f>
        <v>43</v>
      </c>
      <c r="AT42" s="22" t="n">
        <f aca="false">SEMANAS!$B$49</f>
        <v>44</v>
      </c>
      <c r="AU42" s="22" t="n">
        <f aca="false">SEMANAS!$B$50</f>
        <v>45</v>
      </c>
      <c r="AV42" s="22" t="n">
        <f aca="false">SEMANAS!$B$51</f>
        <v>46</v>
      </c>
      <c r="AW42" s="22" t="n">
        <f aca="false">SEMANAS!$B$52</f>
        <v>47</v>
      </c>
      <c r="AX42" s="22" t="n">
        <f aca="false">SEMANAS!$B$53</f>
        <v>48</v>
      </c>
      <c r="AY42" s="22" t="n">
        <f aca="false">SEMANAS!$B$54</f>
        <v>49</v>
      </c>
      <c r="AZ42" s="22" t="n">
        <f aca="false">SEMANAS!$B$55</f>
        <v>50</v>
      </c>
      <c r="BA42" s="22" t="n">
        <f aca="false">SEMANAS!$B$56</f>
        <v>51</v>
      </c>
      <c r="BB42" s="22" t="n">
        <f aca="false">SEMANAS!$B$57</f>
        <v>52</v>
      </c>
      <c r="BC42" s="22" t="n">
        <f aca="false">SEMANAS!$B$58</f>
        <v>53</v>
      </c>
      <c r="BD42" s="22" t="n">
        <f aca="false">SEMANAS!$B$59</f>
        <v>54</v>
      </c>
      <c r="BE42" s="22" t="n">
        <f aca="false">SEMANAS!$B$60</f>
        <v>55</v>
      </c>
      <c r="BF42" s="22" t="n">
        <f aca="false">SEMANAS!$B$61</f>
        <v>56</v>
      </c>
      <c r="BG42" s="22" t="n">
        <f aca="false">SEMANAS!$B$62</f>
        <v>57</v>
      </c>
      <c r="BH42" s="22" t="n">
        <f aca="false">SEMANAS!$B$63</f>
        <v>58</v>
      </c>
      <c r="BI42" s="22" t="n">
        <f aca="false">SEMANAS!$B$64</f>
        <v>59</v>
      </c>
      <c r="BJ42" s="22" t="n">
        <f aca="false">SEMANAS!$B$65</f>
        <v>60</v>
      </c>
      <c r="BK42" s="22" t="n">
        <f aca="false">SEMANAS!$B$66</f>
        <v>61</v>
      </c>
      <c r="BL42" s="22" t="n">
        <f aca="false">SEMANAS!$B$67</f>
        <v>62</v>
      </c>
      <c r="BM42" s="22" t="n">
        <f aca="false">SEMANAS!$B$68</f>
        <v>63</v>
      </c>
      <c r="BN42" s="22" t="n">
        <f aca="false">SEMANAS!$B$69</f>
        <v>64</v>
      </c>
      <c r="BO42" s="22" t="n">
        <f aca="false">SEMANAS!$B$70</f>
        <v>65</v>
      </c>
      <c r="BP42" s="22" t="n">
        <f aca="false">SEMANAS!$B$71</f>
        <v>66</v>
      </c>
    </row>
    <row r="43" customFormat="false" ht="15" hidden="false" customHeight="false" outlineLevel="0" collapsed="false">
      <c r="B43" s="15" t="s">
        <v>128</v>
      </c>
      <c r="C43" s="16" t="n">
        <f aca="false">MIN(CADASTRO_CASAS_BOMBA!$O$6,MAX(0,CADASTRO_CASAS_BOMBA!$O$6+C31))</f>
        <v>2600</v>
      </c>
      <c r="D43" s="16" t="n">
        <f aca="false">MIN(CADASTRO_CASAS_BOMBA!$O$6,MAX(0,C43+D31))</f>
        <v>2600</v>
      </c>
      <c r="E43" s="16" t="n">
        <f aca="false">MIN(CADASTRO_CASAS_BOMBA!$O$6,MAX(0,D43+E31))</f>
        <v>2600</v>
      </c>
      <c r="F43" s="16" t="n">
        <f aca="false">MIN(CADASTRO_CASAS_BOMBA!$O$6,MAX(0,E43+F31))</f>
        <v>2600</v>
      </c>
      <c r="G43" s="16" t="n">
        <f aca="false">MIN(CADASTRO_CASAS_BOMBA!$O$6,MAX(0,F43+G31))</f>
        <v>2600</v>
      </c>
      <c r="H43" s="16" t="n">
        <f aca="false">MIN(CADASTRO_CASAS_BOMBA!$O$6,MAX(0,G43+H31))</f>
        <v>2600</v>
      </c>
      <c r="I43" s="16" t="n">
        <f aca="false">MIN(CADASTRO_CASAS_BOMBA!$O$6,MAX(0,H43+I31))</f>
        <v>2600</v>
      </c>
      <c r="J43" s="16" t="n">
        <f aca="false">MIN(CADASTRO_CASAS_BOMBA!$O$6,MAX(0,I43+J31))</f>
        <v>2600</v>
      </c>
      <c r="K43" s="16" t="n">
        <f aca="false">MIN(CADASTRO_CASAS_BOMBA!$O$6,MAX(0,J43+K31))</f>
        <v>2600</v>
      </c>
      <c r="L43" s="16" t="n">
        <f aca="false">MIN(CADASTRO_CASAS_BOMBA!$O$6,MAX(0,K43+L31))</f>
        <v>2600</v>
      </c>
      <c r="M43" s="16" t="n">
        <f aca="false">MIN(CADASTRO_CASAS_BOMBA!$O$6,MAX(0,L43+M31))</f>
        <v>2600</v>
      </c>
      <c r="N43" s="16" t="n">
        <f aca="false">MIN(CADASTRO_CASAS_BOMBA!$O$6,MAX(0,M43+N31))</f>
        <v>2600</v>
      </c>
      <c r="O43" s="16" t="n">
        <f aca="false">MIN(CADASTRO_CASAS_BOMBA!$O$6,MAX(0,N43+O31))</f>
        <v>2600</v>
      </c>
      <c r="P43" s="16" t="n">
        <f aca="false">MIN(CADASTRO_CASAS_BOMBA!$O$6,MAX(0,O43+P31))</f>
        <v>2600</v>
      </c>
      <c r="Q43" s="16" t="n">
        <f aca="false">MIN(CADASTRO_CASAS_BOMBA!$O$6,MAX(0,P43+Q31))</f>
        <v>2600</v>
      </c>
      <c r="R43" s="16" t="n">
        <f aca="false">MIN(CADASTRO_CASAS_BOMBA!$O$6,MAX(0,Q43+R31))</f>
        <v>2600</v>
      </c>
      <c r="S43" s="16" t="n">
        <f aca="false">MIN(CADASTRO_CASAS_BOMBA!$O$6,MAX(0,R43+S31))</f>
        <v>2600</v>
      </c>
      <c r="T43" s="16" t="n">
        <f aca="false">MIN(CADASTRO_CASAS_BOMBA!$O$6,MAX(0,S43+T31))</f>
        <v>2600</v>
      </c>
      <c r="U43" s="16" t="n">
        <f aca="false">MIN(CADASTRO_CASAS_BOMBA!$O$6,MAX(0,T43+U31))</f>
        <v>2600</v>
      </c>
      <c r="V43" s="16" t="n">
        <f aca="false">MIN(CADASTRO_CASAS_BOMBA!$O$6,MAX(0,U43+V31))</f>
        <v>2600</v>
      </c>
      <c r="W43" s="16" t="n">
        <f aca="false">MIN(CADASTRO_CASAS_BOMBA!$O$6,MAX(0,V43+W31))</f>
        <v>2600</v>
      </c>
      <c r="X43" s="16" t="n">
        <f aca="false">MIN(CADASTRO_CASAS_BOMBA!$O$6,MAX(0,W43+X31))</f>
        <v>2600</v>
      </c>
      <c r="Y43" s="16" t="n">
        <f aca="false">MIN(CADASTRO_CASAS_BOMBA!$O$6,MAX(0,X43+Y31))</f>
        <v>2600</v>
      </c>
      <c r="Z43" s="16" t="n">
        <f aca="false">MIN(CADASTRO_CASAS_BOMBA!$O$6,MAX(0,Y43+Z31))</f>
        <v>2600</v>
      </c>
      <c r="AA43" s="16" t="n">
        <f aca="false">MIN(CADASTRO_CASAS_BOMBA!$O$6,MAX(0,Z43+AA31))</f>
        <v>2600</v>
      </c>
      <c r="AB43" s="16" t="n">
        <f aca="false">MIN(CADASTRO_CASAS_BOMBA!$O$6,MAX(0,AA43+AB31))</f>
        <v>2600</v>
      </c>
      <c r="AC43" s="16" t="n">
        <f aca="false">MIN(CADASTRO_CASAS_BOMBA!$O$6,MAX(0,AB43+AC31))</f>
        <v>2600</v>
      </c>
      <c r="AD43" s="16" t="n">
        <f aca="false">MIN(CADASTRO_CASAS_BOMBA!$O$6,MAX(0,AC43+AD31))</f>
        <v>2600</v>
      </c>
      <c r="AE43" s="16" t="n">
        <f aca="false">MIN(CADASTRO_CASAS_BOMBA!$O$6,MAX(0,AD43+AE31))</f>
        <v>2600</v>
      </c>
      <c r="AF43" s="16" t="n">
        <f aca="false">MIN(CADASTRO_CASAS_BOMBA!$O$6,MAX(0,AE43+AF31))</f>
        <v>2600</v>
      </c>
      <c r="AG43" s="16" t="n">
        <f aca="false">MIN(CADASTRO_CASAS_BOMBA!$O$6,MAX(0,AF43+AG31))</f>
        <v>2600</v>
      </c>
      <c r="AH43" s="16" t="n">
        <f aca="false">MIN(CADASTRO_CASAS_BOMBA!$O$6,MAX(0,AG43+AH31))</f>
        <v>2600</v>
      </c>
      <c r="AI43" s="16" t="n">
        <f aca="false">MIN(CADASTRO_CASAS_BOMBA!$O$6,MAX(0,AH43+AI31))</f>
        <v>2600</v>
      </c>
      <c r="AJ43" s="16" t="n">
        <f aca="false">MIN(CADASTRO_CASAS_BOMBA!$O$6,MAX(0,AI43+AJ31))</f>
        <v>2600</v>
      </c>
      <c r="AK43" s="16" t="n">
        <f aca="false">MIN(CADASTRO_CASAS_BOMBA!$O$6,MAX(0,AJ43+AK31))</f>
        <v>2600</v>
      </c>
      <c r="AL43" s="16" t="n">
        <f aca="false">MIN(CADASTRO_CASAS_BOMBA!$O$6,MAX(0,AK43+AL31))</f>
        <v>2600</v>
      </c>
      <c r="AM43" s="16" t="n">
        <f aca="false">MIN(CADASTRO_CASAS_BOMBA!$O$6,MAX(0,AL43+AM31))</f>
        <v>2600</v>
      </c>
      <c r="AN43" s="16" t="n">
        <f aca="false">MIN(CADASTRO_CASAS_BOMBA!$O$6,MAX(0,AM43+AN31))</f>
        <v>2600</v>
      </c>
      <c r="AO43" s="16" t="n">
        <f aca="false">MIN(CADASTRO_CASAS_BOMBA!$O$6,MAX(0,AN43+AO31))</f>
        <v>2600</v>
      </c>
      <c r="AP43" s="16" t="n">
        <f aca="false">MIN(CADASTRO_CASAS_BOMBA!$O$6,MAX(0,AO43+AP31))</f>
        <v>2600</v>
      </c>
      <c r="AQ43" s="16" t="n">
        <f aca="false">MIN(CADASTRO_CASAS_BOMBA!$O$6,MAX(0,AP43+AQ31))</f>
        <v>2600</v>
      </c>
      <c r="AR43" s="16" t="n">
        <f aca="false">MIN(CADASTRO_CASAS_BOMBA!$O$6,MAX(0,AQ43+AR31))</f>
        <v>2600</v>
      </c>
      <c r="AS43" s="16" t="n">
        <f aca="false">MIN(CADASTRO_CASAS_BOMBA!$O$6,MAX(0,AR43+AS31))</f>
        <v>2600</v>
      </c>
      <c r="AT43" s="16" t="n">
        <f aca="false">MIN(CADASTRO_CASAS_BOMBA!$O$6,MAX(0,AS43+AT31))</f>
        <v>2600</v>
      </c>
      <c r="AU43" s="16" t="n">
        <f aca="false">MIN(CADASTRO_CASAS_BOMBA!$O$6,MAX(0,AT43+AU31))</f>
        <v>2600</v>
      </c>
      <c r="AV43" s="16" t="n">
        <f aca="false">MIN(CADASTRO_CASAS_BOMBA!$O$6,MAX(0,AU43+AV31))</f>
        <v>2600</v>
      </c>
      <c r="AW43" s="16" t="n">
        <f aca="false">MIN(CADASTRO_CASAS_BOMBA!$O$6,MAX(0,AV43+AW31))</f>
        <v>2600</v>
      </c>
      <c r="AX43" s="16" t="n">
        <f aca="false">MIN(CADASTRO_CASAS_BOMBA!$O$6,MAX(0,AW43+AX31))</f>
        <v>2600</v>
      </c>
      <c r="AY43" s="16" t="n">
        <f aca="false">MIN(CADASTRO_CASAS_BOMBA!$O$6,MAX(0,AX43+AY31))</f>
        <v>2600</v>
      </c>
      <c r="AZ43" s="16" t="n">
        <f aca="false">MIN(CADASTRO_CASAS_BOMBA!$O$6,MAX(0,AY43+AZ31))</f>
        <v>2600</v>
      </c>
      <c r="BA43" s="16" t="n">
        <f aca="false">MIN(CADASTRO_CASAS_BOMBA!$O$6,MAX(0,AZ43+BA31))</f>
        <v>2600</v>
      </c>
      <c r="BB43" s="16" t="n">
        <f aca="false">MIN(CADASTRO_CASAS_BOMBA!$O$6,MAX(0,BA43+BB31))</f>
        <v>2600</v>
      </c>
      <c r="BC43" s="16" t="n">
        <f aca="false">MIN(CADASTRO_CASAS_BOMBA!$O$6,MAX(0,BB43+BC31))</f>
        <v>2600</v>
      </c>
      <c r="BD43" s="16" t="n">
        <f aca="false">MIN(CADASTRO_CASAS_BOMBA!$O$6,MAX(0,BC43+BD31))</f>
        <v>2600</v>
      </c>
      <c r="BE43" s="16" t="n">
        <f aca="false">MIN(CADASTRO_CASAS_BOMBA!$O$6,MAX(0,BD43+BE31))</f>
        <v>2600</v>
      </c>
      <c r="BF43" s="16" t="n">
        <f aca="false">MIN(CADASTRO_CASAS_BOMBA!$O$6,MAX(0,BE43+BF31))</f>
        <v>2600</v>
      </c>
      <c r="BG43" s="16" t="n">
        <f aca="false">MIN(CADASTRO_CASAS_BOMBA!$O$6,MAX(0,BF43+BG31))</f>
        <v>2600</v>
      </c>
      <c r="BH43" s="16" t="n">
        <f aca="false">MIN(CADASTRO_CASAS_BOMBA!$O$6,MAX(0,BG43+BH31))</f>
        <v>2600</v>
      </c>
      <c r="BI43" s="16" t="n">
        <f aca="false">MIN(CADASTRO_CASAS_BOMBA!$O$6,MAX(0,BH43+BI31))</f>
        <v>2600</v>
      </c>
      <c r="BJ43" s="16" t="n">
        <f aca="false">MIN(CADASTRO_CASAS_BOMBA!$O$6,MAX(0,BI43+BJ31))</f>
        <v>2600</v>
      </c>
      <c r="BK43" s="16" t="n">
        <f aca="false">MIN(CADASTRO_CASAS_BOMBA!$O$6,MAX(0,BJ43+BK31))</f>
        <v>2600</v>
      </c>
      <c r="BL43" s="16" t="n">
        <f aca="false">MIN(CADASTRO_CASAS_BOMBA!$O$6,MAX(0,BK43+BL31))</f>
        <v>2600</v>
      </c>
      <c r="BM43" s="16" t="n">
        <f aca="false">MIN(CADASTRO_CASAS_BOMBA!$O$6,MAX(0,BL43+BM31))</f>
        <v>2600</v>
      </c>
      <c r="BN43" s="16" t="n">
        <f aca="false">MIN(CADASTRO_CASAS_BOMBA!$O$6,MAX(0,BM43+BN31))</f>
        <v>2600</v>
      </c>
      <c r="BO43" s="16" t="n">
        <f aca="false">MIN(CADASTRO_CASAS_BOMBA!$O$6,MAX(0,BN43+BO31))</f>
        <v>2600</v>
      </c>
      <c r="BP43" s="16" t="n">
        <f aca="false">MIN(CADASTRO_CASAS_BOMBA!$O$6,MAX(0,BO43+BP31))</f>
        <v>2600</v>
      </c>
    </row>
    <row r="44" customFormat="false" ht="15" hidden="false" customHeight="false" outlineLevel="0" collapsed="false">
      <c r="B44" s="15" t="s">
        <v>129</v>
      </c>
      <c r="C44" s="16" t="n">
        <f aca="false">MIN(CADASTRO_CASAS_BOMBA!$O$7,MAX(0,CADASTRO_CASAS_BOMBA!$O$7+C32))</f>
        <v>76648</v>
      </c>
      <c r="D44" s="16" t="n">
        <f aca="false">MIN(CADASTRO_CASAS_BOMBA!$O$7,MAX(0,C44+D32))</f>
        <v>76648</v>
      </c>
      <c r="E44" s="16" t="n">
        <f aca="false">MIN(CADASTRO_CASAS_BOMBA!$O$7,MAX(0,D44+E32))</f>
        <v>76648</v>
      </c>
      <c r="F44" s="16" t="n">
        <f aca="false">MIN(CADASTRO_CASAS_BOMBA!$O$7,MAX(0,E44+F32))</f>
        <v>76648</v>
      </c>
      <c r="G44" s="16" t="n">
        <f aca="false">MIN(CADASTRO_CASAS_BOMBA!$O$7,MAX(0,F44+G32))</f>
        <v>76648</v>
      </c>
      <c r="H44" s="16" t="n">
        <f aca="false">MIN(CADASTRO_CASAS_BOMBA!$O$7,MAX(0,G44+H32))</f>
        <v>76648</v>
      </c>
      <c r="I44" s="16" t="n">
        <f aca="false">MIN(CADASTRO_CASAS_BOMBA!$O$7,MAX(0,H44+I32))</f>
        <v>76648</v>
      </c>
      <c r="J44" s="16" t="n">
        <f aca="false">MIN(CADASTRO_CASAS_BOMBA!$O$7,MAX(0,I44+J32))</f>
        <v>76648</v>
      </c>
      <c r="K44" s="16" t="n">
        <f aca="false">MIN(CADASTRO_CASAS_BOMBA!$O$7,MAX(0,J44+K32))</f>
        <v>76648</v>
      </c>
      <c r="L44" s="16" t="n">
        <f aca="false">MIN(CADASTRO_CASAS_BOMBA!$O$7,MAX(0,K44+L32))</f>
        <v>76648</v>
      </c>
      <c r="M44" s="16" t="n">
        <f aca="false">MIN(CADASTRO_CASAS_BOMBA!$O$7,MAX(0,L44+M32))</f>
        <v>76648</v>
      </c>
      <c r="N44" s="16" t="n">
        <f aca="false">MIN(CADASTRO_CASAS_BOMBA!$O$7,MAX(0,M44+N32))</f>
        <v>76648</v>
      </c>
      <c r="O44" s="16" t="n">
        <f aca="false">MIN(CADASTRO_CASAS_BOMBA!$O$7,MAX(0,N44+O32))</f>
        <v>76648</v>
      </c>
      <c r="P44" s="16" t="n">
        <f aca="false">MIN(CADASTRO_CASAS_BOMBA!$O$7,MAX(0,O44+P32))</f>
        <v>76648</v>
      </c>
      <c r="Q44" s="16" t="n">
        <f aca="false">MIN(CADASTRO_CASAS_BOMBA!$O$7,MAX(0,P44+Q32))</f>
        <v>76648</v>
      </c>
      <c r="R44" s="16" t="n">
        <f aca="false">MIN(CADASTRO_CASAS_BOMBA!$O$7,MAX(0,Q44+R32))</f>
        <v>76648</v>
      </c>
      <c r="S44" s="16" t="n">
        <f aca="false">MIN(CADASTRO_CASAS_BOMBA!$O$7,MAX(0,R44+S32))</f>
        <v>76648</v>
      </c>
      <c r="T44" s="16" t="n">
        <f aca="false">MIN(CADASTRO_CASAS_BOMBA!$O$7,MAX(0,S44+T32))</f>
        <v>76648</v>
      </c>
      <c r="U44" s="16" t="n">
        <f aca="false">MIN(CADASTRO_CASAS_BOMBA!$O$7,MAX(0,T44+U32))</f>
        <v>76648</v>
      </c>
      <c r="V44" s="16" t="n">
        <f aca="false">MIN(CADASTRO_CASAS_BOMBA!$O$7,MAX(0,U44+V32))</f>
        <v>76648</v>
      </c>
      <c r="W44" s="16" t="n">
        <f aca="false">MIN(CADASTRO_CASAS_BOMBA!$O$7,MAX(0,V44+W32))</f>
        <v>76648</v>
      </c>
      <c r="X44" s="16" t="n">
        <f aca="false">MIN(CADASTRO_CASAS_BOMBA!$O$7,MAX(0,W44+X32))</f>
        <v>76648</v>
      </c>
      <c r="Y44" s="16" t="n">
        <f aca="false">MIN(CADASTRO_CASAS_BOMBA!$O$7,MAX(0,X44+Y32))</f>
        <v>76648</v>
      </c>
      <c r="Z44" s="16" t="n">
        <f aca="false">MIN(CADASTRO_CASAS_BOMBA!$O$7,MAX(0,Y44+Z32))</f>
        <v>76648</v>
      </c>
      <c r="AA44" s="16" t="n">
        <f aca="false">MIN(CADASTRO_CASAS_BOMBA!$O$7,MAX(0,Z44+AA32))</f>
        <v>76648</v>
      </c>
      <c r="AB44" s="16" t="n">
        <f aca="false">MIN(CADASTRO_CASAS_BOMBA!$O$7,MAX(0,AA44+AB32))</f>
        <v>76648</v>
      </c>
      <c r="AC44" s="16" t="n">
        <f aca="false">MIN(CADASTRO_CASAS_BOMBA!$O$7,MAX(0,AB44+AC32))</f>
        <v>76648</v>
      </c>
      <c r="AD44" s="16" t="n">
        <f aca="false">MIN(CADASTRO_CASAS_BOMBA!$O$7,MAX(0,AC44+AD32))</f>
        <v>76648</v>
      </c>
      <c r="AE44" s="16" t="n">
        <f aca="false">MIN(CADASTRO_CASAS_BOMBA!$O$7,MAX(0,AD44+AE32))</f>
        <v>76648</v>
      </c>
      <c r="AF44" s="16" t="n">
        <f aca="false">MIN(CADASTRO_CASAS_BOMBA!$O$7,MAX(0,AE44+AF32))</f>
        <v>76648</v>
      </c>
      <c r="AG44" s="16" t="n">
        <f aca="false">MIN(CADASTRO_CASAS_BOMBA!$O$7,MAX(0,AF44+AG32))</f>
        <v>76648</v>
      </c>
      <c r="AH44" s="16" t="n">
        <f aca="false">MIN(CADASTRO_CASAS_BOMBA!$O$7,MAX(0,AG44+AH32))</f>
        <v>76648</v>
      </c>
      <c r="AI44" s="16" t="n">
        <f aca="false">MIN(CADASTRO_CASAS_BOMBA!$O$7,MAX(0,AH44+AI32))</f>
        <v>76648</v>
      </c>
      <c r="AJ44" s="16" t="n">
        <f aca="false">MIN(CADASTRO_CASAS_BOMBA!$O$7,MAX(0,AI44+AJ32))</f>
        <v>76648</v>
      </c>
      <c r="AK44" s="16" t="n">
        <f aca="false">MIN(CADASTRO_CASAS_BOMBA!$O$7,MAX(0,AJ44+AK32))</f>
        <v>76648</v>
      </c>
      <c r="AL44" s="16" t="n">
        <f aca="false">MIN(CADASTRO_CASAS_BOMBA!$O$7,MAX(0,AK44+AL32))</f>
        <v>76648</v>
      </c>
      <c r="AM44" s="16" t="n">
        <f aca="false">MIN(CADASTRO_CASAS_BOMBA!$O$7,MAX(0,AL44+AM32))</f>
        <v>76648</v>
      </c>
      <c r="AN44" s="16" t="n">
        <f aca="false">MIN(CADASTRO_CASAS_BOMBA!$O$7,MAX(0,AM44+AN32))</f>
        <v>76648</v>
      </c>
      <c r="AO44" s="16" t="n">
        <f aca="false">MIN(CADASTRO_CASAS_BOMBA!$O$7,MAX(0,AN44+AO32))</f>
        <v>76648</v>
      </c>
      <c r="AP44" s="16" t="n">
        <f aca="false">MIN(CADASTRO_CASAS_BOMBA!$O$7,MAX(0,AO44+AP32))</f>
        <v>76648</v>
      </c>
      <c r="AQ44" s="16" t="n">
        <f aca="false">MIN(CADASTRO_CASAS_BOMBA!$O$7,MAX(0,AP44+AQ32))</f>
        <v>76648</v>
      </c>
      <c r="AR44" s="16" t="n">
        <f aca="false">MIN(CADASTRO_CASAS_BOMBA!$O$7,MAX(0,AQ44+AR32))</f>
        <v>76648</v>
      </c>
      <c r="AS44" s="16" t="n">
        <f aca="false">MIN(CADASTRO_CASAS_BOMBA!$O$7,MAX(0,AR44+AS32))</f>
        <v>76648</v>
      </c>
      <c r="AT44" s="16" t="n">
        <f aca="false">MIN(CADASTRO_CASAS_BOMBA!$O$7,MAX(0,AS44+AT32))</f>
        <v>76648</v>
      </c>
      <c r="AU44" s="16" t="n">
        <f aca="false">MIN(CADASTRO_CASAS_BOMBA!$O$7,MAX(0,AT44+AU32))</f>
        <v>76648</v>
      </c>
      <c r="AV44" s="16" t="n">
        <f aca="false">MIN(CADASTRO_CASAS_BOMBA!$O$7,MAX(0,AU44+AV32))</f>
        <v>76648</v>
      </c>
      <c r="AW44" s="16" t="n">
        <f aca="false">MIN(CADASTRO_CASAS_BOMBA!$O$7,MAX(0,AV44+AW32))</f>
        <v>76648</v>
      </c>
      <c r="AX44" s="16" t="n">
        <f aca="false">MIN(CADASTRO_CASAS_BOMBA!$O$7,MAX(0,AW44+AX32))</f>
        <v>76648</v>
      </c>
      <c r="AY44" s="16" t="n">
        <f aca="false">MIN(CADASTRO_CASAS_BOMBA!$O$7,MAX(0,AX44+AY32))</f>
        <v>76648</v>
      </c>
      <c r="AZ44" s="16" t="n">
        <f aca="false">MIN(CADASTRO_CASAS_BOMBA!$O$7,MAX(0,AY44+AZ32))</f>
        <v>76648</v>
      </c>
      <c r="BA44" s="16" t="n">
        <f aca="false">MIN(CADASTRO_CASAS_BOMBA!$O$7,MAX(0,AZ44+BA32))</f>
        <v>76648</v>
      </c>
      <c r="BB44" s="16" t="n">
        <f aca="false">MIN(CADASTRO_CASAS_BOMBA!$O$7,MAX(0,BA44+BB32))</f>
        <v>76648</v>
      </c>
      <c r="BC44" s="16" t="n">
        <f aca="false">MIN(CADASTRO_CASAS_BOMBA!$O$7,MAX(0,BB44+BC32))</f>
        <v>76648</v>
      </c>
      <c r="BD44" s="16" t="n">
        <f aca="false">MIN(CADASTRO_CASAS_BOMBA!$O$7,MAX(0,BC44+BD32))</f>
        <v>76648</v>
      </c>
      <c r="BE44" s="16" t="n">
        <f aca="false">MIN(CADASTRO_CASAS_BOMBA!$O$7,MAX(0,BD44+BE32))</f>
        <v>76648</v>
      </c>
      <c r="BF44" s="16" t="n">
        <f aca="false">MIN(CADASTRO_CASAS_BOMBA!$O$7,MAX(0,BE44+BF32))</f>
        <v>76648</v>
      </c>
      <c r="BG44" s="16" t="n">
        <f aca="false">MIN(CADASTRO_CASAS_BOMBA!$O$7,MAX(0,BF44+BG32))</f>
        <v>76648</v>
      </c>
      <c r="BH44" s="16" t="n">
        <f aca="false">MIN(CADASTRO_CASAS_BOMBA!$O$7,MAX(0,BG44+BH32))</f>
        <v>76648</v>
      </c>
      <c r="BI44" s="16" t="n">
        <f aca="false">MIN(CADASTRO_CASAS_BOMBA!$O$7,MAX(0,BH44+BI32))</f>
        <v>76648</v>
      </c>
      <c r="BJ44" s="16" t="n">
        <f aca="false">MIN(CADASTRO_CASAS_BOMBA!$O$7,MAX(0,BI44+BJ32))</f>
        <v>76648</v>
      </c>
      <c r="BK44" s="16" t="n">
        <f aca="false">MIN(CADASTRO_CASAS_BOMBA!$O$7,MAX(0,BJ44+BK32))</f>
        <v>76648</v>
      </c>
      <c r="BL44" s="16" t="n">
        <f aca="false">MIN(CADASTRO_CASAS_BOMBA!$O$7,MAX(0,BK44+BL32))</f>
        <v>76648</v>
      </c>
      <c r="BM44" s="16" t="n">
        <f aca="false">MIN(CADASTRO_CASAS_BOMBA!$O$7,MAX(0,BL44+BM32))</f>
        <v>76648</v>
      </c>
      <c r="BN44" s="16" t="n">
        <f aca="false">MIN(CADASTRO_CASAS_BOMBA!$O$7,MAX(0,BM44+BN32))</f>
        <v>76648</v>
      </c>
      <c r="BO44" s="16" t="n">
        <f aca="false">MIN(CADASTRO_CASAS_BOMBA!$O$7,MAX(0,BN44+BO32))</f>
        <v>76648</v>
      </c>
      <c r="BP44" s="16" t="n">
        <f aca="false">MIN(CADASTRO_CASAS_BOMBA!$O$7,MAX(0,BO44+BP32))</f>
        <v>76648</v>
      </c>
    </row>
    <row r="45" customFormat="false" ht="15" hidden="false" customHeight="false" outlineLevel="0" collapsed="false">
      <c r="B45" s="15" t="s">
        <v>130</v>
      </c>
      <c r="C45" s="16" t="n">
        <f aca="false">MIN(CADASTRO_CASAS_BOMBA!$O$8,MAX(0,CADASTRO_CASAS_BOMBA!$O$8+C33))</f>
        <v>27377</v>
      </c>
      <c r="D45" s="16" t="n">
        <f aca="false">MIN(CADASTRO_CASAS_BOMBA!$O$8,MAX(0,C45+D33))</f>
        <v>27377</v>
      </c>
      <c r="E45" s="16" t="n">
        <f aca="false">MIN(CADASTRO_CASAS_BOMBA!$O$8,MAX(0,D45+E33))</f>
        <v>27377</v>
      </c>
      <c r="F45" s="16" t="n">
        <f aca="false">MIN(CADASTRO_CASAS_BOMBA!$O$8,MAX(0,E45+F33))</f>
        <v>27377</v>
      </c>
      <c r="G45" s="16" t="n">
        <f aca="false">MIN(CADASTRO_CASAS_BOMBA!$O$8,MAX(0,F45+G33))</f>
        <v>27377</v>
      </c>
      <c r="H45" s="16" t="n">
        <f aca="false">MIN(CADASTRO_CASAS_BOMBA!$O$8,MAX(0,G45+H33))</f>
        <v>27377</v>
      </c>
      <c r="I45" s="16" t="n">
        <f aca="false">MIN(CADASTRO_CASAS_BOMBA!$O$8,MAX(0,H45+I33))</f>
        <v>27377</v>
      </c>
      <c r="J45" s="16" t="n">
        <f aca="false">MIN(CADASTRO_CASAS_BOMBA!$O$8,MAX(0,I45+J33))</f>
        <v>27377</v>
      </c>
      <c r="K45" s="16" t="n">
        <f aca="false">MIN(CADASTRO_CASAS_BOMBA!$O$8,MAX(0,J45+K33))</f>
        <v>27377</v>
      </c>
      <c r="L45" s="16" t="n">
        <f aca="false">MIN(CADASTRO_CASAS_BOMBA!$O$8,MAX(0,K45+L33))</f>
        <v>27377</v>
      </c>
      <c r="M45" s="16" t="n">
        <f aca="false">MIN(CADASTRO_CASAS_BOMBA!$O$8,MAX(0,L45+M33))</f>
        <v>27377</v>
      </c>
      <c r="N45" s="16" t="n">
        <f aca="false">MIN(CADASTRO_CASAS_BOMBA!$O$8,MAX(0,M45+N33))</f>
        <v>27377</v>
      </c>
      <c r="O45" s="16" t="n">
        <f aca="false">MIN(CADASTRO_CASAS_BOMBA!$O$8,MAX(0,N45+O33))</f>
        <v>27377</v>
      </c>
      <c r="P45" s="16" t="n">
        <f aca="false">MIN(CADASTRO_CASAS_BOMBA!$O$8,MAX(0,O45+P33))</f>
        <v>27377</v>
      </c>
      <c r="Q45" s="16" t="n">
        <f aca="false">MIN(CADASTRO_CASAS_BOMBA!$O$8,MAX(0,P45+Q33))</f>
        <v>27377</v>
      </c>
      <c r="R45" s="16" t="n">
        <f aca="false">MIN(CADASTRO_CASAS_BOMBA!$O$8,MAX(0,Q45+R33))</f>
        <v>27377</v>
      </c>
      <c r="S45" s="16" t="n">
        <f aca="false">MIN(CADASTRO_CASAS_BOMBA!$O$8,MAX(0,R45+S33))</f>
        <v>27377</v>
      </c>
      <c r="T45" s="16" t="n">
        <f aca="false">MIN(CADASTRO_CASAS_BOMBA!$O$8,MAX(0,S45+T33))</f>
        <v>27377</v>
      </c>
      <c r="U45" s="16" t="n">
        <f aca="false">MIN(CADASTRO_CASAS_BOMBA!$O$8,MAX(0,T45+U33))</f>
        <v>27377</v>
      </c>
      <c r="V45" s="16" t="n">
        <f aca="false">MIN(CADASTRO_CASAS_BOMBA!$O$8,MAX(0,U45+V33))</f>
        <v>27377</v>
      </c>
      <c r="W45" s="16" t="n">
        <f aca="false">MIN(CADASTRO_CASAS_BOMBA!$O$8,MAX(0,V45+W33))</f>
        <v>27377</v>
      </c>
      <c r="X45" s="16" t="n">
        <f aca="false">MIN(CADASTRO_CASAS_BOMBA!$O$8,MAX(0,W45+X33))</f>
        <v>27377</v>
      </c>
      <c r="Y45" s="16" t="n">
        <f aca="false">MIN(CADASTRO_CASAS_BOMBA!$O$8,MAX(0,X45+Y33))</f>
        <v>27377</v>
      </c>
      <c r="Z45" s="16" t="n">
        <f aca="false">MIN(CADASTRO_CASAS_BOMBA!$O$8,MAX(0,Y45+Z33))</f>
        <v>27377</v>
      </c>
      <c r="AA45" s="16" t="n">
        <f aca="false">MIN(CADASTRO_CASAS_BOMBA!$O$8,MAX(0,Z45+AA33))</f>
        <v>27377</v>
      </c>
      <c r="AB45" s="16" t="n">
        <f aca="false">MIN(CADASTRO_CASAS_BOMBA!$O$8,MAX(0,AA45+AB33))</f>
        <v>27377</v>
      </c>
      <c r="AC45" s="16" t="n">
        <f aca="false">MIN(CADASTRO_CASAS_BOMBA!$O$8,MAX(0,AB45+AC33))</f>
        <v>27377</v>
      </c>
      <c r="AD45" s="16" t="n">
        <f aca="false">MIN(CADASTRO_CASAS_BOMBA!$O$8,MAX(0,AC45+AD33))</f>
        <v>27377</v>
      </c>
      <c r="AE45" s="16" t="n">
        <f aca="false">MIN(CADASTRO_CASAS_BOMBA!$O$8,MAX(0,AD45+AE33))</f>
        <v>27377</v>
      </c>
      <c r="AF45" s="16" t="n">
        <f aca="false">MIN(CADASTRO_CASAS_BOMBA!$O$8,MAX(0,AE45+AF33))</f>
        <v>27377</v>
      </c>
      <c r="AG45" s="16" t="n">
        <f aca="false">MIN(CADASTRO_CASAS_BOMBA!$O$8,MAX(0,AF45+AG33))</f>
        <v>27377</v>
      </c>
      <c r="AH45" s="16" t="n">
        <f aca="false">MIN(CADASTRO_CASAS_BOMBA!$O$8,MAX(0,AG45+AH33))</f>
        <v>27377</v>
      </c>
      <c r="AI45" s="16" t="n">
        <f aca="false">MIN(CADASTRO_CASAS_BOMBA!$O$8,MAX(0,AH45+AI33))</f>
        <v>27377</v>
      </c>
      <c r="AJ45" s="16" t="n">
        <f aca="false">MIN(CADASTRO_CASAS_BOMBA!$O$8,MAX(0,AI45+AJ33))</f>
        <v>27377</v>
      </c>
      <c r="AK45" s="16" t="n">
        <f aca="false">MIN(CADASTRO_CASAS_BOMBA!$O$8,MAX(0,AJ45+AK33))</f>
        <v>27377</v>
      </c>
      <c r="AL45" s="16" t="n">
        <f aca="false">MIN(CADASTRO_CASAS_BOMBA!$O$8,MAX(0,AK45+AL33))</f>
        <v>27377</v>
      </c>
      <c r="AM45" s="16" t="n">
        <f aca="false">MIN(CADASTRO_CASAS_BOMBA!$O$8,MAX(0,AL45+AM33))</f>
        <v>27377</v>
      </c>
      <c r="AN45" s="16" t="n">
        <f aca="false">MIN(CADASTRO_CASAS_BOMBA!$O$8,MAX(0,AM45+AN33))</f>
        <v>27377</v>
      </c>
      <c r="AO45" s="16" t="n">
        <f aca="false">MIN(CADASTRO_CASAS_BOMBA!$O$8,MAX(0,AN45+AO33))</f>
        <v>27377</v>
      </c>
      <c r="AP45" s="16" t="n">
        <f aca="false">MIN(CADASTRO_CASAS_BOMBA!$O$8,MAX(0,AO45+AP33))</f>
        <v>27377</v>
      </c>
      <c r="AQ45" s="16" t="n">
        <f aca="false">MIN(CADASTRO_CASAS_BOMBA!$O$8,MAX(0,AP45+AQ33))</f>
        <v>27377</v>
      </c>
      <c r="AR45" s="16" t="n">
        <f aca="false">MIN(CADASTRO_CASAS_BOMBA!$O$8,MAX(0,AQ45+AR33))</f>
        <v>27377</v>
      </c>
      <c r="AS45" s="16" t="n">
        <f aca="false">MIN(CADASTRO_CASAS_BOMBA!$O$8,MAX(0,AR45+AS33))</f>
        <v>27377</v>
      </c>
      <c r="AT45" s="16" t="n">
        <f aca="false">MIN(CADASTRO_CASAS_BOMBA!$O$8,MAX(0,AS45+AT33))</f>
        <v>27377</v>
      </c>
      <c r="AU45" s="16" t="n">
        <f aca="false">MIN(CADASTRO_CASAS_BOMBA!$O$8,MAX(0,AT45+AU33))</f>
        <v>27377</v>
      </c>
      <c r="AV45" s="16" t="n">
        <f aca="false">MIN(CADASTRO_CASAS_BOMBA!$O$8,MAX(0,AU45+AV33))</f>
        <v>27377</v>
      </c>
      <c r="AW45" s="16" t="n">
        <f aca="false">MIN(CADASTRO_CASAS_BOMBA!$O$8,MAX(0,AV45+AW33))</f>
        <v>27377</v>
      </c>
      <c r="AX45" s="16" t="n">
        <f aca="false">MIN(CADASTRO_CASAS_BOMBA!$O$8,MAX(0,AW45+AX33))</f>
        <v>27377</v>
      </c>
      <c r="AY45" s="16" t="n">
        <f aca="false">MIN(CADASTRO_CASAS_BOMBA!$O$8,MAX(0,AX45+AY33))</f>
        <v>27377</v>
      </c>
      <c r="AZ45" s="16" t="n">
        <f aca="false">MIN(CADASTRO_CASAS_BOMBA!$O$8,MAX(0,AY45+AZ33))</f>
        <v>27377</v>
      </c>
      <c r="BA45" s="16" t="n">
        <f aca="false">MIN(CADASTRO_CASAS_BOMBA!$O$8,MAX(0,AZ45+BA33))</f>
        <v>27377</v>
      </c>
      <c r="BB45" s="16" t="n">
        <f aca="false">MIN(CADASTRO_CASAS_BOMBA!$O$8,MAX(0,BA45+BB33))</f>
        <v>27377</v>
      </c>
      <c r="BC45" s="16" t="n">
        <f aca="false">MIN(CADASTRO_CASAS_BOMBA!$O$8,MAX(0,BB45+BC33))</f>
        <v>27377</v>
      </c>
      <c r="BD45" s="16" t="n">
        <f aca="false">MIN(CADASTRO_CASAS_BOMBA!$O$8,MAX(0,BC45+BD33))</f>
        <v>27377</v>
      </c>
      <c r="BE45" s="16" t="n">
        <f aca="false">MIN(CADASTRO_CASAS_BOMBA!$O$8,MAX(0,BD45+BE33))</f>
        <v>27377</v>
      </c>
      <c r="BF45" s="16" t="n">
        <f aca="false">MIN(CADASTRO_CASAS_BOMBA!$O$8,MAX(0,BE45+BF33))</f>
        <v>27377</v>
      </c>
      <c r="BG45" s="16" t="n">
        <f aca="false">MIN(CADASTRO_CASAS_BOMBA!$O$8,MAX(0,BF45+BG33))</f>
        <v>27377</v>
      </c>
      <c r="BH45" s="16" t="n">
        <f aca="false">MIN(CADASTRO_CASAS_BOMBA!$O$8,MAX(0,BG45+BH33))</f>
        <v>27377</v>
      </c>
      <c r="BI45" s="16" t="n">
        <f aca="false">MIN(CADASTRO_CASAS_BOMBA!$O$8,MAX(0,BH45+BI33))</f>
        <v>27377</v>
      </c>
      <c r="BJ45" s="16" t="n">
        <f aca="false">MIN(CADASTRO_CASAS_BOMBA!$O$8,MAX(0,BI45+BJ33))</f>
        <v>27377</v>
      </c>
      <c r="BK45" s="16" t="n">
        <f aca="false">MIN(CADASTRO_CASAS_BOMBA!$O$8,MAX(0,BJ45+BK33))</f>
        <v>27377</v>
      </c>
      <c r="BL45" s="16" t="n">
        <f aca="false">MIN(CADASTRO_CASAS_BOMBA!$O$8,MAX(0,BK45+BL33))</f>
        <v>27377</v>
      </c>
      <c r="BM45" s="16" t="n">
        <f aca="false">MIN(CADASTRO_CASAS_BOMBA!$O$8,MAX(0,BL45+BM33))</f>
        <v>27377</v>
      </c>
      <c r="BN45" s="16" t="n">
        <f aca="false">MIN(CADASTRO_CASAS_BOMBA!$O$8,MAX(0,BM45+BN33))</f>
        <v>27377</v>
      </c>
      <c r="BO45" s="16" t="n">
        <f aca="false">MIN(CADASTRO_CASAS_BOMBA!$O$8,MAX(0,BN45+BO33))</f>
        <v>27377</v>
      </c>
      <c r="BP45" s="16" t="n">
        <f aca="false">MIN(CADASTRO_CASAS_BOMBA!$O$8,MAX(0,BO45+BP33))</f>
        <v>27377</v>
      </c>
    </row>
    <row r="46" customFormat="false" ht="15" hidden="false" customHeight="false" outlineLevel="0" collapsed="false">
      <c r="B46" s="15" t="s">
        <v>131</v>
      </c>
      <c r="C46" s="16" t="n">
        <f aca="false">MIN(CADASTRO_CASAS_BOMBA!$O$9,MAX(0,CADASTRO_CASAS_BOMBA!$O$9+C34))</f>
        <v>129000</v>
      </c>
      <c r="D46" s="16" t="n">
        <f aca="false">MIN(CADASTRO_CASAS_BOMBA!$O$9,MAX(0,C46+D34))</f>
        <v>129000</v>
      </c>
      <c r="E46" s="16" t="n">
        <f aca="false">MIN(CADASTRO_CASAS_BOMBA!$O$9,MAX(0,D46+E34))</f>
        <v>129000</v>
      </c>
      <c r="F46" s="16" t="n">
        <f aca="false">MIN(CADASTRO_CASAS_BOMBA!$O$9,MAX(0,E46+F34))</f>
        <v>129000</v>
      </c>
      <c r="G46" s="16" t="n">
        <f aca="false">MIN(CADASTRO_CASAS_BOMBA!$O$9,MAX(0,F46+G34))</f>
        <v>129000</v>
      </c>
      <c r="H46" s="16" t="n">
        <f aca="false">MIN(CADASTRO_CASAS_BOMBA!$O$9,MAX(0,G46+H34))</f>
        <v>129000</v>
      </c>
      <c r="I46" s="16" t="n">
        <f aca="false">MIN(CADASTRO_CASAS_BOMBA!$O$9,MAX(0,H46+I34))</f>
        <v>129000</v>
      </c>
      <c r="J46" s="16" t="n">
        <f aca="false">MIN(CADASTRO_CASAS_BOMBA!$O$9,MAX(0,I46+J34))</f>
        <v>129000</v>
      </c>
      <c r="K46" s="16" t="n">
        <f aca="false">MIN(CADASTRO_CASAS_BOMBA!$O$9,MAX(0,J46+K34))</f>
        <v>129000</v>
      </c>
      <c r="L46" s="16" t="n">
        <f aca="false">MIN(CADASTRO_CASAS_BOMBA!$O$9,MAX(0,K46+L34))</f>
        <v>129000</v>
      </c>
      <c r="M46" s="16" t="n">
        <f aca="false">MIN(CADASTRO_CASAS_BOMBA!$O$9,MAX(0,L46+M34))</f>
        <v>129000</v>
      </c>
      <c r="N46" s="16" t="n">
        <f aca="false">MIN(CADASTRO_CASAS_BOMBA!$O$9,MAX(0,M46+N34))</f>
        <v>129000</v>
      </c>
      <c r="O46" s="16" t="n">
        <f aca="false">MIN(CADASTRO_CASAS_BOMBA!$O$9,MAX(0,N46+O34))</f>
        <v>129000</v>
      </c>
      <c r="P46" s="16" t="n">
        <f aca="false">MIN(CADASTRO_CASAS_BOMBA!$O$9,MAX(0,O46+P34))</f>
        <v>129000</v>
      </c>
      <c r="Q46" s="16" t="n">
        <f aca="false">MIN(CADASTRO_CASAS_BOMBA!$O$9,MAX(0,P46+Q34))</f>
        <v>129000</v>
      </c>
      <c r="R46" s="16" t="n">
        <f aca="false">MIN(CADASTRO_CASAS_BOMBA!$O$9,MAX(0,Q46+R34))</f>
        <v>129000</v>
      </c>
      <c r="S46" s="16" t="n">
        <f aca="false">MIN(CADASTRO_CASAS_BOMBA!$O$9,MAX(0,R46+S34))</f>
        <v>129000</v>
      </c>
      <c r="T46" s="16" t="n">
        <f aca="false">MIN(CADASTRO_CASAS_BOMBA!$O$9,MAX(0,S46+T34))</f>
        <v>129000</v>
      </c>
      <c r="U46" s="16" t="n">
        <f aca="false">MIN(CADASTRO_CASAS_BOMBA!$O$9,MAX(0,T46+U34))</f>
        <v>129000</v>
      </c>
      <c r="V46" s="16" t="n">
        <f aca="false">MIN(CADASTRO_CASAS_BOMBA!$O$9,MAX(0,U46+V34))</f>
        <v>129000</v>
      </c>
      <c r="W46" s="16" t="n">
        <f aca="false">MIN(CADASTRO_CASAS_BOMBA!$O$9,MAX(0,V46+W34))</f>
        <v>129000</v>
      </c>
      <c r="X46" s="16" t="n">
        <f aca="false">MIN(CADASTRO_CASAS_BOMBA!$O$9,MAX(0,W46+X34))</f>
        <v>129000</v>
      </c>
      <c r="Y46" s="16" t="n">
        <f aca="false">MIN(CADASTRO_CASAS_BOMBA!$O$9,MAX(0,X46+Y34))</f>
        <v>129000</v>
      </c>
      <c r="Z46" s="16" t="n">
        <f aca="false">MIN(CADASTRO_CASAS_BOMBA!$O$9,MAX(0,Y46+Z34))</f>
        <v>129000</v>
      </c>
      <c r="AA46" s="16" t="n">
        <f aca="false">MIN(CADASTRO_CASAS_BOMBA!$O$9,MAX(0,Z46+AA34))</f>
        <v>129000</v>
      </c>
      <c r="AB46" s="16" t="n">
        <f aca="false">MIN(CADASTRO_CASAS_BOMBA!$O$9,MAX(0,AA46+AB34))</f>
        <v>129000</v>
      </c>
      <c r="AC46" s="16" t="n">
        <f aca="false">MIN(CADASTRO_CASAS_BOMBA!$O$9,MAX(0,AB46+AC34))</f>
        <v>129000</v>
      </c>
      <c r="AD46" s="16" t="n">
        <f aca="false">MIN(CADASTRO_CASAS_BOMBA!$O$9,MAX(0,AC46+AD34))</f>
        <v>129000</v>
      </c>
      <c r="AE46" s="16" t="n">
        <f aca="false">MIN(CADASTRO_CASAS_BOMBA!$O$9,MAX(0,AD46+AE34))</f>
        <v>129000</v>
      </c>
      <c r="AF46" s="16" t="n">
        <f aca="false">MIN(CADASTRO_CASAS_BOMBA!$O$9,MAX(0,AE46+AF34))</f>
        <v>129000</v>
      </c>
      <c r="AG46" s="16" t="n">
        <f aca="false">MIN(CADASTRO_CASAS_BOMBA!$O$9,MAX(0,AF46+AG34))</f>
        <v>129000</v>
      </c>
      <c r="AH46" s="16" t="n">
        <f aca="false">MIN(CADASTRO_CASAS_BOMBA!$O$9,MAX(0,AG46+AH34))</f>
        <v>129000</v>
      </c>
      <c r="AI46" s="16" t="n">
        <f aca="false">MIN(CADASTRO_CASAS_BOMBA!$O$9,MAX(0,AH46+AI34))</f>
        <v>129000</v>
      </c>
      <c r="AJ46" s="16" t="n">
        <f aca="false">MIN(CADASTRO_CASAS_BOMBA!$O$9,MAX(0,AI46+AJ34))</f>
        <v>129000</v>
      </c>
      <c r="AK46" s="16" t="n">
        <f aca="false">MIN(CADASTRO_CASAS_BOMBA!$O$9,MAX(0,AJ46+AK34))</f>
        <v>124459.033691015</v>
      </c>
      <c r="AL46" s="16" t="n">
        <f aca="false">MIN(CADASTRO_CASAS_BOMBA!$O$9,MAX(0,AK46+AL34))</f>
        <v>91172.2662702004</v>
      </c>
      <c r="AM46" s="16" t="n">
        <f aca="false">MIN(CADASTRO_CASAS_BOMBA!$O$9,MAX(0,AL46+AM34))</f>
        <v>65909.2821073044</v>
      </c>
      <c r="AN46" s="16" t="n">
        <f aca="false">MIN(CADASTRO_CASAS_BOMBA!$O$9,MAX(0,AM46+AN34))</f>
        <v>48670.081202327</v>
      </c>
      <c r="AO46" s="16" t="n">
        <f aca="false">MIN(CADASTRO_CASAS_BOMBA!$O$9,MAX(0,AN46+AO34))</f>
        <v>39454.6635552682</v>
      </c>
      <c r="AP46" s="16" t="n">
        <f aca="false">MIN(CADASTRO_CASAS_BOMBA!$O$9,MAX(0,AO46+AP34))</f>
        <v>35745.2283128635</v>
      </c>
      <c r="AQ46" s="16" t="n">
        <f aca="false">MIN(CADASTRO_CASAS_BOMBA!$O$9,MAX(0,AP46+AQ34))</f>
        <v>39257.8579357897</v>
      </c>
      <c r="AR46" s="16" t="n">
        <f aca="false">MIN(CADASTRO_CASAS_BOMBA!$O$9,MAX(0,AQ46+AR34))</f>
        <v>92334.0327291532</v>
      </c>
      <c r="AS46" s="16" t="n">
        <f aca="false">MIN(CADASTRO_CASAS_BOMBA!$O$9,MAX(0,AR46+AS34))</f>
        <v>129000</v>
      </c>
      <c r="AT46" s="16" t="n">
        <f aca="false">MIN(CADASTRO_CASAS_BOMBA!$O$9,MAX(0,AS46+AT34))</f>
        <v>129000</v>
      </c>
      <c r="AU46" s="16" t="n">
        <f aca="false">MIN(CADASTRO_CASAS_BOMBA!$O$9,MAX(0,AT46+AU34))</f>
        <v>129000</v>
      </c>
      <c r="AV46" s="16" t="n">
        <f aca="false">MIN(CADASTRO_CASAS_BOMBA!$O$9,MAX(0,AU46+AV34))</f>
        <v>129000</v>
      </c>
      <c r="AW46" s="16" t="n">
        <f aca="false">MIN(CADASTRO_CASAS_BOMBA!$O$9,MAX(0,AV46+AW34))</f>
        <v>129000</v>
      </c>
      <c r="AX46" s="16" t="n">
        <f aca="false">MIN(CADASTRO_CASAS_BOMBA!$O$9,MAX(0,AW46+AX34))</f>
        <v>129000</v>
      </c>
      <c r="AY46" s="16" t="n">
        <f aca="false">MIN(CADASTRO_CASAS_BOMBA!$O$9,MAX(0,AX46+AY34))</f>
        <v>129000</v>
      </c>
      <c r="AZ46" s="16" t="n">
        <f aca="false">MIN(CADASTRO_CASAS_BOMBA!$O$9,MAX(0,AY46+AZ34))</f>
        <v>129000</v>
      </c>
      <c r="BA46" s="16" t="n">
        <f aca="false">MIN(CADASTRO_CASAS_BOMBA!$O$9,MAX(0,AZ46+BA34))</f>
        <v>129000</v>
      </c>
      <c r="BB46" s="16" t="n">
        <f aca="false">MIN(CADASTRO_CASAS_BOMBA!$O$9,MAX(0,BA46+BB34))</f>
        <v>129000</v>
      </c>
      <c r="BC46" s="16" t="n">
        <f aca="false">MIN(CADASTRO_CASAS_BOMBA!$O$9,MAX(0,BB46+BC34))</f>
        <v>129000</v>
      </c>
      <c r="BD46" s="16" t="n">
        <f aca="false">MIN(CADASTRO_CASAS_BOMBA!$O$9,MAX(0,BC46+BD34))</f>
        <v>129000</v>
      </c>
      <c r="BE46" s="16" t="n">
        <f aca="false">MIN(CADASTRO_CASAS_BOMBA!$O$9,MAX(0,BD46+BE34))</f>
        <v>129000</v>
      </c>
      <c r="BF46" s="16" t="n">
        <f aca="false">MIN(CADASTRO_CASAS_BOMBA!$O$9,MAX(0,BE46+BF34))</f>
        <v>129000</v>
      </c>
      <c r="BG46" s="16" t="n">
        <f aca="false">MIN(CADASTRO_CASAS_BOMBA!$O$9,MAX(0,BF46+BG34))</f>
        <v>129000</v>
      </c>
      <c r="BH46" s="16" t="n">
        <f aca="false">MIN(CADASTRO_CASAS_BOMBA!$O$9,MAX(0,BG46+BH34))</f>
        <v>129000</v>
      </c>
      <c r="BI46" s="16" t="n">
        <f aca="false">MIN(CADASTRO_CASAS_BOMBA!$O$9,MAX(0,BH46+BI34))</f>
        <v>129000</v>
      </c>
      <c r="BJ46" s="16" t="n">
        <f aca="false">MIN(CADASTRO_CASAS_BOMBA!$O$9,MAX(0,BI46+BJ34))</f>
        <v>129000</v>
      </c>
      <c r="BK46" s="16" t="n">
        <f aca="false">MIN(CADASTRO_CASAS_BOMBA!$O$9,MAX(0,BJ46+BK34))</f>
        <v>129000</v>
      </c>
      <c r="BL46" s="16" t="n">
        <f aca="false">MIN(CADASTRO_CASAS_BOMBA!$O$9,MAX(0,BK46+BL34))</f>
        <v>129000</v>
      </c>
      <c r="BM46" s="16" t="n">
        <f aca="false">MIN(CADASTRO_CASAS_BOMBA!$O$9,MAX(0,BL46+BM34))</f>
        <v>129000</v>
      </c>
      <c r="BN46" s="16" t="n">
        <f aca="false">MIN(CADASTRO_CASAS_BOMBA!$O$9,MAX(0,BM46+BN34))</f>
        <v>129000</v>
      </c>
      <c r="BO46" s="16" t="n">
        <f aca="false">MIN(CADASTRO_CASAS_BOMBA!$O$9,MAX(0,BN46+BO34))</f>
        <v>129000</v>
      </c>
      <c r="BP46" s="16" t="n">
        <f aca="false">MIN(CADASTRO_CASAS_BOMBA!$O$9,MAX(0,BO46+BP34))</f>
        <v>129000</v>
      </c>
    </row>
    <row r="47" customFormat="false" ht="15" hidden="false" customHeight="false" outlineLevel="0" collapsed="false">
      <c r="B47" s="15" t="s">
        <v>132</v>
      </c>
      <c r="C47" s="16" t="n">
        <f aca="false">MIN(CADASTRO_CASAS_BOMBA!$O$10,MAX(0,CADASTRO_CASAS_BOMBA!$O$10+C35))</f>
        <v>994979.656</v>
      </c>
      <c r="D47" s="16" t="n">
        <f aca="false">MIN(CADASTRO_CASAS_BOMBA!$O$10,MAX(0,C47+D35))</f>
        <v>989916.976</v>
      </c>
      <c r="E47" s="16" t="n">
        <f aca="false">MIN(CADASTRO_CASAS_BOMBA!$O$10,MAX(0,D47+E35))</f>
        <v>984854.296</v>
      </c>
      <c r="F47" s="16" t="n">
        <f aca="false">MIN(CADASTRO_CASAS_BOMBA!$O$10,MAX(0,E47+F35))</f>
        <v>979791.616</v>
      </c>
      <c r="G47" s="16" t="n">
        <f aca="false">MIN(CADASTRO_CASAS_BOMBA!$O$10,MAX(0,F47+G35))</f>
        <v>998493.544</v>
      </c>
      <c r="H47" s="16" t="n">
        <f aca="false">MIN(CADASTRO_CASAS_BOMBA!$O$10,MAX(0,G47+H35))</f>
        <v>1000000</v>
      </c>
      <c r="I47" s="16" t="n">
        <f aca="false">MIN(CADASTRO_CASAS_BOMBA!$O$10,MAX(0,H47+I35))</f>
        <v>1000000</v>
      </c>
      <c r="J47" s="16" t="n">
        <f aca="false">MIN(CADASTRO_CASAS_BOMBA!$O$10,MAX(0,I47+J35))</f>
        <v>1000000</v>
      </c>
      <c r="K47" s="16" t="n">
        <f aca="false">MIN(CADASTRO_CASAS_BOMBA!$O$10,MAX(0,J47+K35))</f>
        <v>1000000</v>
      </c>
      <c r="L47" s="16" t="n">
        <f aca="false">MIN(CADASTRO_CASAS_BOMBA!$O$10,MAX(0,K47+L35))</f>
        <v>1000000</v>
      </c>
      <c r="M47" s="16" t="n">
        <f aca="false">MIN(CADASTRO_CASAS_BOMBA!$O$10,MAX(0,L47+M35))</f>
        <v>1000000</v>
      </c>
      <c r="N47" s="16" t="n">
        <f aca="false">MIN(CADASTRO_CASAS_BOMBA!$O$10,MAX(0,M47+N35))</f>
        <v>1000000</v>
      </c>
      <c r="O47" s="16" t="n">
        <f aca="false">MIN(CADASTRO_CASAS_BOMBA!$O$10,MAX(0,N47+O35))</f>
        <v>1000000</v>
      </c>
      <c r="P47" s="16" t="n">
        <f aca="false">MIN(CADASTRO_CASAS_BOMBA!$O$10,MAX(0,O47+P35))</f>
        <v>1000000</v>
      </c>
      <c r="Q47" s="16" t="n">
        <f aca="false">MIN(CADASTRO_CASAS_BOMBA!$O$10,MAX(0,P47+Q35))</f>
        <v>1000000</v>
      </c>
      <c r="R47" s="16" t="n">
        <f aca="false">MIN(CADASTRO_CASAS_BOMBA!$O$10,MAX(0,Q47+R35))</f>
        <v>1000000</v>
      </c>
      <c r="S47" s="16" t="n">
        <f aca="false">MIN(CADASTRO_CASAS_BOMBA!$O$10,MAX(0,R47+S35))</f>
        <v>1000000</v>
      </c>
      <c r="T47" s="16" t="n">
        <f aca="false">MIN(CADASTRO_CASAS_BOMBA!$O$10,MAX(0,S47+T35))</f>
        <v>1000000</v>
      </c>
      <c r="U47" s="16" t="n">
        <f aca="false">MIN(CADASTRO_CASAS_BOMBA!$O$10,MAX(0,T47+U35))</f>
        <v>1000000</v>
      </c>
      <c r="V47" s="16" t="n">
        <f aca="false">MIN(CADASTRO_CASAS_BOMBA!$O$10,MAX(0,U47+V35))</f>
        <v>1000000</v>
      </c>
      <c r="W47" s="16" t="n">
        <f aca="false">MIN(CADASTRO_CASAS_BOMBA!$O$10,MAX(0,V47+W35))</f>
        <v>1000000</v>
      </c>
      <c r="X47" s="16" t="n">
        <f aca="false">MIN(CADASTRO_CASAS_BOMBA!$O$10,MAX(0,W47+X35))</f>
        <v>1000000</v>
      </c>
      <c r="Y47" s="16" t="n">
        <f aca="false">MIN(CADASTRO_CASAS_BOMBA!$O$10,MAX(0,X47+Y35))</f>
        <v>1000000</v>
      </c>
      <c r="Z47" s="16" t="n">
        <f aca="false">MIN(CADASTRO_CASAS_BOMBA!$O$10,MAX(0,Y47+Z35))</f>
        <v>1000000</v>
      </c>
      <c r="AA47" s="16" t="n">
        <f aca="false">MIN(CADASTRO_CASAS_BOMBA!$O$10,MAX(0,Z47+AA35))</f>
        <v>1000000</v>
      </c>
      <c r="AB47" s="16" t="n">
        <f aca="false">MIN(CADASTRO_CASAS_BOMBA!$O$10,MAX(0,AA47+AB35))</f>
        <v>1000000</v>
      </c>
      <c r="AC47" s="16" t="n">
        <f aca="false">MIN(CADASTRO_CASAS_BOMBA!$O$10,MAX(0,AB47+AC35))</f>
        <v>1000000</v>
      </c>
      <c r="AD47" s="16" t="n">
        <f aca="false">MIN(CADASTRO_CASAS_BOMBA!$O$10,MAX(0,AC47+AD35))</f>
        <v>1000000</v>
      </c>
      <c r="AE47" s="16" t="n">
        <f aca="false">MIN(CADASTRO_CASAS_BOMBA!$O$10,MAX(0,AD47+AE35))</f>
        <v>1000000</v>
      </c>
      <c r="AF47" s="16" t="n">
        <f aca="false">MIN(CADASTRO_CASAS_BOMBA!$O$10,MAX(0,AE47+AF35))</f>
        <v>1000000</v>
      </c>
      <c r="AG47" s="16" t="n">
        <f aca="false">MIN(CADASTRO_CASAS_BOMBA!$O$10,MAX(0,AF47+AG35))</f>
        <v>1000000</v>
      </c>
      <c r="AH47" s="16" t="n">
        <f aca="false">MIN(CADASTRO_CASAS_BOMBA!$O$10,MAX(0,AG47+AH35))</f>
        <v>963469.45082353</v>
      </c>
      <c r="AI47" s="16" t="n">
        <f aca="false">MIN(CADASTRO_CASAS_BOMBA!$O$10,MAX(0,AH47+AI35))</f>
        <v>926938.901647059</v>
      </c>
      <c r="AJ47" s="16" t="n">
        <f aca="false">MIN(CADASTRO_CASAS_BOMBA!$O$10,MAX(0,AI47+AJ35))</f>
        <v>893028.164235294</v>
      </c>
      <c r="AK47" s="16" t="n">
        <f aca="false">MIN(CADASTRO_CASAS_BOMBA!$O$10,MAX(0,AJ47+AK35))</f>
        <v>853439.023927602</v>
      </c>
      <c r="AL47" s="16" t="n">
        <f aca="false">MIN(CADASTRO_CASAS_BOMBA!$O$10,MAX(0,AK47+AL35))</f>
        <v>792912.670912779</v>
      </c>
      <c r="AM47" s="16" t="n">
        <f aca="false">MIN(CADASTRO_CASAS_BOMBA!$O$10,MAX(0,AL47+AM35))</f>
        <v>743340.910502107</v>
      </c>
      <c r="AN47" s="16" t="n">
        <f aca="false">MIN(CADASTRO_CASAS_BOMBA!$O$10,MAX(0,AM47+AN35))</f>
        <v>704723.742695584</v>
      </c>
      <c r="AO47" s="16" t="n">
        <f aca="false">MIN(CADASTRO_CASAS_BOMBA!$O$10,MAX(0,AN47+AO35))</f>
        <v>677061.167493213</v>
      </c>
      <c r="AP47" s="16" t="n">
        <f aca="false">MIN(CADASTRO_CASAS_BOMBA!$O$10,MAX(0,AO47+AP35))</f>
        <v>644344.572074271</v>
      </c>
      <c r="AQ47" s="16" t="n">
        <f aca="false">MIN(CADASTRO_CASAS_BOMBA!$O$10,MAX(0,AP47+AQ35))</f>
        <v>608054.331855828</v>
      </c>
      <c r="AR47" s="16" t="n">
        <f aca="false">MIN(CADASTRO_CASAS_BOMBA!$O$10,MAX(0,AQ47+AR35))</f>
        <v>628940.178525199</v>
      </c>
      <c r="AS47" s="16" t="n">
        <f aca="false">MIN(CADASTRO_CASAS_BOMBA!$O$10,MAX(0,AR47+AS35))</f>
        <v>653989.335539398</v>
      </c>
      <c r="AT47" s="16" t="n">
        <f aca="false">MIN(CADASTRO_CASAS_BOMBA!$O$10,MAX(0,AS47+AT35))</f>
        <v>704820.366851365</v>
      </c>
      <c r="AU47" s="16" t="n">
        <f aca="false">MIN(CADASTRO_CASAS_BOMBA!$O$10,MAX(0,AT47+AU35))</f>
        <v>726788.71144528</v>
      </c>
      <c r="AV47" s="16" t="n">
        <f aca="false">MIN(CADASTRO_CASAS_BOMBA!$O$10,MAX(0,AU47+AV35))</f>
        <v>731322.139625402</v>
      </c>
      <c r="AW47" s="16" t="n">
        <f aca="false">MIN(CADASTRO_CASAS_BOMBA!$O$10,MAX(0,AV47+AW35))</f>
        <v>718420.65139173</v>
      </c>
      <c r="AX47" s="16" t="n">
        <f aca="false">MIN(CADASTRO_CASAS_BOMBA!$O$10,MAX(0,AW47+AX35))</f>
        <v>681673.524754814</v>
      </c>
      <c r="AY47" s="16" t="n">
        <f aca="false">MIN(CADASTRO_CASAS_BOMBA!$O$10,MAX(0,AX47+AY35))</f>
        <v>590866.198263941</v>
      </c>
      <c r="AZ47" s="16" t="n">
        <f aca="false">MIN(CADASTRO_CASAS_BOMBA!$O$10,MAX(0,AY47+AZ35))</f>
        <v>483295.752986862</v>
      </c>
      <c r="BA47" s="16" t="n">
        <f aca="false">MIN(CADASTRO_CASAS_BOMBA!$O$10,MAX(0,AZ47+BA35))</f>
        <v>361672.999847714</v>
      </c>
      <c r="BB47" s="16" t="n">
        <f aca="false">MIN(CADASTRO_CASAS_BOMBA!$O$10,MAX(0,BA47+BB35))</f>
        <v>225997.938846497</v>
      </c>
      <c r="BC47" s="16" t="n">
        <f aca="false">MIN(CADASTRO_CASAS_BOMBA!$O$10,MAX(0,BB47+BC35))</f>
        <v>78098.4110152601</v>
      </c>
      <c r="BD47" s="16" t="n">
        <f aca="false">MIN(CADASTRO_CASAS_BOMBA!$O$10,MAX(0,BC47+BD35))</f>
        <v>0</v>
      </c>
      <c r="BE47" s="16" t="n">
        <f aca="false">MIN(CADASTRO_CASAS_BOMBA!$O$10,MAX(0,BD47+BE35))</f>
        <v>0</v>
      </c>
      <c r="BF47" s="16" t="n">
        <f aca="false">MIN(CADASTRO_CASAS_BOMBA!$O$10,MAX(0,BE47+BF35))</f>
        <v>0</v>
      </c>
      <c r="BG47" s="16" t="n">
        <f aca="false">MIN(CADASTRO_CASAS_BOMBA!$O$10,MAX(0,BF47+BG35))</f>
        <v>0</v>
      </c>
      <c r="BH47" s="16" t="n">
        <f aca="false">MIN(CADASTRO_CASAS_BOMBA!$O$10,MAX(0,BG47+BH35))</f>
        <v>0</v>
      </c>
      <c r="BI47" s="16" t="n">
        <f aca="false">MIN(CADASTRO_CASAS_BOMBA!$O$10,MAX(0,BH47+BI35))</f>
        <v>5866.91655983777</v>
      </c>
      <c r="BJ47" s="16" t="n">
        <f aca="false">MIN(CADASTRO_CASAS_BOMBA!$O$10,MAX(0,BI47+BJ35))</f>
        <v>32371.1175983774</v>
      </c>
      <c r="BK47" s="16" t="n">
        <f aca="false">MIN(CADASTRO_CASAS_BOMBA!$O$10,MAX(0,BJ47+BK35))</f>
        <v>84633.8147018257</v>
      </c>
      <c r="BL47" s="16" t="n">
        <f aca="false">MIN(CADASTRO_CASAS_BOMBA!$O$10,MAX(0,BK47+BL35))</f>
        <v>176214.814701826</v>
      </c>
      <c r="BM47" s="16" t="n">
        <f aca="false">MIN(CADASTRO_CASAS_BOMBA!$O$10,MAX(0,BL47+BM35))</f>
        <v>267795.814701826</v>
      </c>
      <c r="BN47" s="16" t="n">
        <f aca="false">MIN(CADASTRO_CASAS_BOMBA!$O$10,MAX(0,BM47+BN35))</f>
        <v>359376.814701826</v>
      </c>
      <c r="BO47" s="16" t="n">
        <f aca="false">MIN(CADASTRO_CASAS_BOMBA!$O$10,MAX(0,BN47+BO35))</f>
        <v>450957.814701826</v>
      </c>
      <c r="BP47" s="16" t="n">
        <f aca="false">MIN(CADASTRO_CASAS_BOMBA!$O$10,MAX(0,BO47+BP35))</f>
        <v>542538.814701826</v>
      </c>
    </row>
    <row r="48" customFormat="false" ht="15" hidden="false" customHeight="false" outlineLevel="0" collapsed="false">
      <c r="B48" s="15" t="s">
        <v>133</v>
      </c>
      <c r="C48" s="16" t="n">
        <f aca="false">MIN(CADASTRO_CASAS_BOMBA!$O$11,MAX(0,CADASTRO_CASAS_BOMBA!$O$11+C36))</f>
        <v>469821</v>
      </c>
      <c r="D48" s="16" t="n">
        <f aca="false">MIN(CADASTRO_CASAS_BOMBA!$O$11,MAX(0,C48+D36))</f>
        <v>469821</v>
      </c>
      <c r="E48" s="16" t="n">
        <f aca="false">MIN(CADASTRO_CASAS_BOMBA!$O$11,MAX(0,D48+E36))</f>
        <v>469821</v>
      </c>
      <c r="F48" s="16" t="n">
        <f aca="false">MIN(CADASTRO_CASAS_BOMBA!$O$11,MAX(0,E48+F36))</f>
        <v>469821</v>
      </c>
      <c r="G48" s="16" t="n">
        <f aca="false">MIN(CADASTRO_CASAS_BOMBA!$O$11,MAX(0,F48+G36))</f>
        <v>469821</v>
      </c>
      <c r="H48" s="16" t="n">
        <f aca="false">MIN(CADASTRO_CASAS_BOMBA!$O$11,MAX(0,G48+H36))</f>
        <v>469821</v>
      </c>
      <c r="I48" s="16" t="n">
        <f aca="false">MIN(CADASTRO_CASAS_BOMBA!$O$11,MAX(0,H48+I36))</f>
        <v>469821</v>
      </c>
      <c r="J48" s="16" t="n">
        <f aca="false">MIN(CADASTRO_CASAS_BOMBA!$O$11,MAX(0,I48+J36))</f>
        <v>469821</v>
      </c>
      <c r="K48" s="16" t="n">
        <f aca="false">MIN(CADASTRO_CASAS_BOMBA!$O$11,MAX(0,J48+K36))</f>
        <v>469821</v>
      </c>
      <c r="L48" s="16" t="n">
        <f aca="false">MIN(CADASTRO_CASAS_BOMBA!$O$11,MAX(0,K48+L36))</f>
        <v>469821</v>
      </c>
      <c r="M48" s="16" t="n">
        <f aca="false">MIN(CADASTRO_CASAS_BOMBA!$O$11,MAX(0,L48+M36))</f>
        <v>469821</v>
      </c>
      <c r="N48" s="16" t="n">
        <f aca="false">MIN(CADASTRO_CASAS_BOMBA!$O$11,MAX(0,M48+N36))</f>
        <v>469821</v>
      </c>
      <c r="O48" s="16" t="n">
        <f aca="false">MIN(CADASTRO_CASAS_BOMBA!$O$11,MAX(0,N48+O36))</f>
        <v>469821</v>
      </c>
      <c r="P48" s="16" t="n">
        <f aca="false">MIN(CADASTRO_CASAS_BOMBA!$O$11,MAX(0,O48+P36))</f>
        <v>469821</v>
      </c>
      <c r="Q48" s="16" t="n">
        <f aca="false">MIN(CADASTRO_CASAS_BOMBA!$O$11,MAX(0,P48+Q36))</f>
        <v>469821</v>
      </c>
      <c r="R48" s="16" t="n">
        <f aca="false">MIN(CADASTRO_CASAS_BOMBA!$O$11,MAX(0,Q48+R36))</f>
        <v>469821</v>
      </c>
      <c r="S48" s="16" t="n">
        <f aca="false">MIN(CADASTRO_CASAS_BOMBA!$O$11,MAX(0,R48+S36))</f>
        <v>469821</v>
      </c>
      <c r="T48" s="16" t="n">
        <f aca="false">MIN(CADASTRO_CASAS_BOMBA!$O$11,MAX(0,S48+T36))</f>
        <v>469821</v>
      </c>
      <c r="U48" s="16" t="n">
        <f aca="false">MIN(CADASTRO_CASAS_BOMBA!$O$11,MAX(0,T48+U36))</f>
        <v>469821</v>
      </c>
      <c r="V48" s="16" t="n">
        <f aca="false">MIN(CADASTRO_CASAS_BOMBA!$O$11,MAX(0,U48+V36))</f>
        <v>469821</v>
      </c>
      <c r="W48" s="16" t="n">
        <f aca="false">MIN(CADASTRO_CASAS_BOMBA!$O$11,MAX(0,V48+W36))</f>
        <v>469821</v>
      </c>
      <c r="X48" s="16" t="n">
        <f aca="false">MIN(CADASTRO_CASAS_BOMBA!$O$11,MAX(0,W48+X36))</f>
        <v>469821</v>
      </c>
      <c r="Y48" s="16" t="n">
        <f aca="false">MIN(CADASTRO_CASAS_BOMBA!$O$11,MAX(0,X48+Y36))</f>
        <v>469821</v>
      </c>
      <c r="Z48" s="16" t="n">
        <f aca="false">MIN(CADASTRO_CASAS_BOMBA!$O$11,MAX(0,Y48+Z36))</f>
        <v>469821</v>
      </c>
      <c r="AA48" s="16" t="n">
        <f aca="false">MIN(CADASTRO_CASAS_BOMBA!$O$11,MAX(0,Z48+AA36))</f>
        <v>469821</v>
      </c>
      <c r="AB48" s="16" t="n">
        <f aca="false">MIN(CADASTRO_CASAS_BOMBA!$O$11,MAX(0,AA48+AB36))</f>
        <v>469821</v>
      </c>
      <c r="AC48" s="16" t="n">
        <f aca="false">MIN(CADASTRO_CASAS_BOMBA!$O$11,MAX(0,AB48+AC36))</f>
        <v>469821</v>
      </c>
      <c r="AD48" s="16" t="n">
        <f aca="false">MIN(CADASTRO_CASAS_BOMBA!$O$11,MAX(0,AC48+AD36))</f>
        <v>469821</v>
      </c>
      <c r="AE48" s="16" t="n">
        <f aca="false">MIN(CADASTRO_CASAS_BOMBA!$O$11,MAX(0,AD48+AE36))</f>
        <v>469821</v>
      </c>
      <c r="AF48" s="16" t="n">
        <f aca="false">MIN(CADASTRO_CASAS_BOMBA!$O$11,MAX(0,AE48+AF36))</f>
        <v>469821</v>
      </c>
      <c r="AG48" s="16" t="n">
        <f aca="false">MIN(CADASTRO_CASAS_BOMBA!$O$11,MAX(0,AF48+AG36))</f>
        <v>461352.472817772</v>
      </c>
      <c r="AH48" s="16" t="n">
        <f aca="false">MIN(CADASTRO_CASAS_BOMBA!$O$11,MAX(0,AG48+AH36))</f>
        <v>371592.122275288</v>
      </c>
      <c r="AI48" s="16" t="n">
        <f aca="false">MIN(CADASTRO_CASAS_BOMBA!$O$11,MAX(0,AH48+AI36))</f>
        <v>280014.767035092</v>
      </c>
      <c r="AJ48" s="16" t="n">
        <f aca="false">MIN(CADASTRO_CASAS_BOMBA!$O$11,MAX(0,AI48+AJ36))</f>
        <v>191499.452939944</v>
      </c>
      <c r="AK48" s="16" t="n">
        <f aca="false">MIN(CADASTRO_CASAS_BOMBA!$O$11,MAX(0,AJ48+AK36))</f>
        <v>109412.61997186</v>
      </c>
      <c r="AL48" s="16" t="n">
        <f aca="false">MIN(CADASTRO_CASAS_BOMBA!$O$11,MAX(0,AK48+AL36))</f>
        <v>0</v>
      </c>
      <c r="AM48" s="16" t="n">
        <f aca="false">MIN(CADASTRO_CASAS_BOMBA!$O$11,MAX(0,AL48+AM36))</f>
        <v>0</v>
      </c>
      <c r="AN48" s="16" t="n">
        <f aca="false">MIN(CADASTRO_CASAS_BOMBA!$O$11,MAX(0,AM48+AN36))</f>
        <v>0</v>
      </c>
      <c r="AO48" s="16" t="n">
        <f aca="false">MIN(CADASTRO_CASAS_BOMBA!$O$11,MAX(0,AN48+AO36))</f>
        <v>0</v>
      </c>
      <c r="AP48" s="16" t="n">
        <f aca="false">MIN(CADASTRO_CASAS_BOMBA!$O$11,MAX(0,AO48+AP36))</f>
        <v>0</v>
      </c>
      <c r="AQ48" s="16" t="n">
        <f aca="false">MIN(CADASTRO_CASAS_BOMBA!$O$11,MAX(0,AP48+AQ36))</f>
        <v>0</v>
      </c>
      <c r="AR48" s="16" t="n">
        <f aca="false">MIN(CADASTRO_CASAS_BOMBA!$O$11,MAX(0,AQ48+AR36))</f>
        <v>44256.5914482759</v>
      </c>
      <c r="AS48" s="16" t="n">
        <f aca="false">MIN(CADASTRO_CASAS_BOMBA!$O$11,MAX(0,AR48+AS36))</f>
        <v>71939.7991453685</v>
      </c>
      <c r="AT48" s="16" t="n">
        <f aca="false">MIN(CADASTRO_CASAS_BOMBA!$O$11,MAX(0,AS48+AT36))</f>
        <v>120011.422266937</v>
      </c>
      <c r="AU48" s="16" t="n">
        <f aca="false">MIN(CADASTRO_CASAS_BOMBA!$O$11,MAX(0,AT48+AU36))</f>
        <v>158951.692043408</v>
      </c>
      <c r="AV48" s="16" t="n">
        <f aca="false">MIN(CADASTRO_CASAS_BOMBA!$O$11,MAX(0,AU48+AV36))</f>
        <v>189994.793615957</v>
      </c>
      <c r="AW48" s="16" t="n">
        <f aca="false">MIN(CADASTRO_CASAS_BOMBA!$O$11,MAX(0,AV48+AW36))</f>
        <v>212312.84064929</v>
      </c>
      <c r="AX48" s="16" t="n">
        <f aca="false">MIN(CADASTRO_CASAS_BOMBA!$O$11,MAX(0,AW48+AX36))</f>
        <v>217088.737355173</v>
      </c>
      <c r="AY48" s="16" t="n">
        <f aca="false">MIN(CADASTRO_CASAS_BOMBA!$O$11,MAX(0,AX48+AY36))</f>
        <v>181377.310115957</v>
      </c>
      <c r="AZ48" s="16" t="n">
        <f aca="false">MIN(CADASTRO_CASAS_BOMBA!$O$11,MAX(0,AY48+AZ36))</f>
        <v>151225.777268898</v>
      </c>
      <c r="BA48" s="16" t="n">
        <f aca="false">MIN(CADASTRO_CASAS_BOMBA!$O$11,MAX(0,AZ48+BA36))</f>
        <v>101080.91277478</v>
      </c>
      <c r="BB48" s="16" t="n">
        <f aca="false">MIN(CADASTRO_CASAS_BOMBA!$O$11,MAX(0,BA48+BB36))</f>
        <v>37588.4102336039</v>
      </c>
      <c r="BC48" s="16" t="n">
        <f aca="false">MIN(CADASTRO_CASAS_BOMBA!$O$11,MAX(0,BB48+BC36))</f>
        <v>0</v>
      </c>
      <c r="BD48" s="16" t="n">
        <f aca="false">MIN(CADASTRO_CASAS_BOMBA!$O$11,MAX(0,BC48+BD36))</f>
        <v>0</v>
      </c>
      <c r="BE48" s="16" t="n">
        <f aca="false">MIN(CADASTRO_CASAS_BOMBA!$O$11,MAX(0,BD48+BE36))</f>
        <v>0</v>
      </c>
      <c r="BF48" s="16" t="n">
        <f aca="false">MIN(CADASTRO_CASAS_BOMBA!$O$11,MAX(0,BE48+BF36))</f>
        <v>0</v>
      </c>
      <c r="BG48" s="16" t="n">
        <f aca="false">MIN(CADASTRO_CASAS_BOMBA!$O$11,MAX(0,BF48+BG36))</f>
        <v>0</v>
      </c>
      <c r="BH48" s="16" t="n">
        <f aca="false">MIN(CADASTRO_CASAS_BOMBA!$O$11,MAX(0,BG48+BH36))</f>
        <v>50684.433882353</v>
      </c>
      <c r="BI48" s="16" t="n">
        <f aca="false">MIN(CADASTRO_CASAS_BOMBA!$O$11,MAX(0,BH48+BI36))</f>
        <v>112294.184470588</v>
      </c>
      <c r="BJ48" s="16" t="n">
        <f aca="false">MIN(CADASTRO_CASAS_BOMBA!$O$11,MAX(0,BI48+BJ36))</f>
        <v>187201.807058824</v>
      </c>
      <c r="BK48" s="16" t="n">
        <f aca="false">MIN(CADASTRO_CASAS_BOMBA!$O$11,MAX(0,BJ48+BK36))</f>
        <v>276463.616470588</v>
      </c>
      <c r="BL48" s="16" t="n">
        <f aca="false">MIN(CADASTRO_CASAS_BOMBA!$O$11,MAX(0,BK48+BL36))</f>
        <v>426403.616470588</v>
      </c>
      <c r="BM48" s="16" t="n">
        <f aca="false">MIN(CADASTRO_CASAS_BOMBA!$O$11,MAX(0,BL48+BM36))</f>
        <v>469821</v>
      </c>
      <c r="BN48" s="16" t="n">
        <f aca="false">MIN(CADASTRO_CASAS_BOMBA!$O$11,MAX(0,BM48+BN36))</f>
        <v>469821</v>
      </c>
      <c r="BO48" s="16" t="n">
        <f aca="false">MIN(CADASTRO_CASAS_BOMBA!$O$11,MAX(0,BN48+BO36))</f>
        <v>469821</v>
      </c>
      <c r="BP48" s="16" t="n">
        <f aca="false">MIN(CADASTRO_CASAS_BOMBA!$O$11,MAX(0,BO48+BP36))</f>
        <v>469821</v>
      </c>
    </row>
    <row r="49" customFormat="false" ht="15" hidden="false" customHeight="false" outlineLevel="0" collapsed="false">
      <c r="B49" s="15" t="s">
        <v>134</v>
      </c>
      <c r="C49" s="16" t="n">
        <f aca="false">MIN(CADASTRO_CASAS_BOMBA!$O$12,MAX(0,CADASTRO_CASAS_BOMBA!$O$12+C37))</f>
        <v>440000</v>
      </c>
      <c r="D49" s="16" t="n">
        <f aca="false">MIN(CADASTRO_CASAS_BOMBA!$O$12,MAX(0,C49+D37))</f>
        <v>440000</v>
      </c>
      <c r="E49" s="16" t="n">
        <f aca="false">MIN(CADASTRO_CASAS_BOMBA!$O$12,MAX(0,D49+E37))</f>
        <v>440000</v>
      </c>
      <c r="F49" s="16" t="n">
        <f aca="false">MIN(CADASTRO_CASAS_BOMBA!$O$12,MAX(0,E49+F37))</f>
        <v>440000</v>
      </c>
      <c r="G49" s="16" t="n">
        <f aca="false">MIN(CADASTRO_CASAS_BOMBA!$O$12,MAX(0,F49+G37))</f>
        <v>440000</v>
      </c>
      <c r="H49" s="16" t="n">
        <f aca="false">MIN(CADASTRO_CASAS_BOMBA!$O$12,MAX(0,G49+H37))</f>
        <v>440000</v>
      </c>
      <c r="I49" s="16" t="n">
        <f aca="false">MIN(CADASTRO_CASAS_BOMBA!$O$12,MAX(0,H49+I37))</f>
        <v>440000</v>
      </c>
      <c r="J49" s="16" t="n">
        <f aca="false">MIN(CADASTRO_CASAS_BOMBA!$O$12,MAX(0,I49+J37))</f>
        <v>440000</v>
      </c>
      <c r="K49" s="16" t="n">
        <f aca="false">MIN(CADASTRO_CASAS_BOMBA!$O$12,MAX(0,J49+K37))</f>
        <v>440000</v>
      </c>
      <c r="L49" s="16" t="n">
        <f aca="false">MIN(CADASTRO_CASAS_BOMBA!$O$12,MAX(0,K49+L37))</f>
        <v>440000</v>
      </c>
      <c r="M49" s="16" t="n">
        <f aca="false">MIN(CADASTRO_CASAS_BOMBA!$O$12,MAX(0,L49+M37))</f>
        <v>440000</v>
      </c>
      <c r="N49" s="16" t="n">
        <f aca="false">MIN(CADASTRO_CASAS_BOMBA!$O$12,MAX(0,M49+N37))</f>
        <v>440000</v>
      </c>
      <c r="O49" s="16" t="n">
        <f aca="false">MIN(CADASTRO_CASAS_BOMBA!$O$12,MAX(0,N49+O37))</f>
        <v>440000</v>
      </c>
      <c r="P49" s="16" t="n">
        <f aca="false">MIN(CADASTRO_CASAS_BOMBA!$O$12,MAX(0,O49+P37))</f>
        <v>440000</v>
      </c>
      <c r="Q49" s="16" t="n">
        <f aca="false">MIN(CADASTRO_CASAS_BOMBA!$O$12,MAX(0,P49+Q37))</f>
        <v>440000</v>
      </c>
      <c r="R49" s="16" t="n">
        <f aca="false">MIN(CADASTRO_CASAS_BOMBA!$O$12,MAX(0,Q49+R37))</f>
        <v>440000</v>
      </c>
      <c r="S49" s="16" t="n">
        <f aca="false">MIN(CADASTRO_CASAS_BOMBA!$O$12,MAX(0,R49+S37))</f>
        <v>440000</v>
      </c>
      <c r="T49" s="16" t="n">
        <f aca="false">MIN(CADASTRO_CASAS_BOMBA!$O$12,MAX(0,S49+T37))</f>
        <v>440000</v>
      </c>
      <c r="U49" s="16" t="n">
        <f aca="false">MIN(CADASTRO_CASAS_BOMBA!$O$12,MAX(0,T49+U37))</f>
        <v>440000</v>
      </c>
      <c r="V49" s="16" t="n">
        <f aca="false">MIN(CADASTRO_CASAS_BOMBA!$O$12,MAX(0,U49+V37))</f>
        <v>440000</v>
      </c>
      <c r="W49" s="16" t="n">
        <f aca="false">MIN(CADASTRO_CASAS_BOMBA!$O$12,MAX(0,V49+W37))</f>
        <v>440000</v>
      </c>
      <c r="X49" s="16" t="n">
        <f aca="false">MIN(CADASTRO_CASAS_BOMBA!$O$12,MAX(0,W49+X37))</f>
        <v>440000</v>
      </c>
      <c r="Y49" s="16" t="n">
        <f aca="false">MIN(CADASTRO_CASAS_BOMBA!$O$12,MAX(0,X49+Y37))</f>
        <v>440000</v>
      </c>
      <c r="Z49" s="16" t="n">
        <f aca="false">MIN(CADASTRO_CASAS_BOMBA!$O$12,MAX(0,Y49+Z37))</f>
        <v>440000</v>
      </c>
      <c r="AA49" s="16" t="n">
        <f aca="false">MIN(CADASTRO_CASAS_BOMBA!$O$12,MAX(0,Z49+AA37))</f>
        <v>440000</v>
      </c>
      <c r="AB49" s="16" t="n">
        <f aca="false">MIN(CADASTRO_CASAS_BOMBA!$O$12,MAX(0,AA49+AB37))</f>
        <v>440000</v>
      </c>
      <c r="AC49" s="16" t="n">
        <f aca="false">MIN(CADASTRO_CASAS_BOMBA!$O$12,MAX(0,AB49+AC37))</f>
        <v>440000</v>
      </c>
      <c r="AD49" s="16" t="n">
        <f aca="false">MIN(CADASTRO_CASAS_BOMBA!$O$12,MAX(0,AC49+AD37))</f>
        <v>440000</v>
      </c>
      <c r="AE49" s="16" t="n">
        <f aca="false">MIN(CADASTRO_CASAS_BOMBA!$O$12,MAX(0,AD49+AE37))</f>
        <v>440000</v>
      </c>
      <c r="AF49" s="16" t="n">
        <f aca="false">MIN(CADASTRO_CASAS_BOMBA!$O$12,MAX(0,AE49+AF37))</f>
        <v>440000</v>
      </c>
      <c r="AG49" s="16" t="n">
        <f aca="false">MIN(CADASTRO_CASAS_BOMBA!$O$12,MAX(0,AF49+AG37))</f>
        <v>440000</v>
      </c>
      <c r="AH49" s="16" t="n">
        <f aca="false">MIN(CADASTRO_CASAS_BOMBA!$O$12,MAX(0,AG49+AH37))</f>
        <v>381148.438915033</v>
      </c>
      <c r="AI49" s="16" t="n">
        <f aca="false">MIN(CADASTRO_CASAS_BOMBA!$O$12,MAX(0,AH49+AI37))</f>
        <v>294578.442876362</v>
      </c>
      <c r="AJ49" s="16" t="n">
        <f aca="false">MIN(CADASTRO_CASAS_BOMBA!$O$12,MAX(0,AI49+AJ37))</f>
        <v>188847.253234331</v>
      </c>
      <c r="AK49" s="16" t="n">
        <f aca="false">MIN(CADASTRO_CASAS_BOMBA!$O$12,MAX(0,AJ49+AK37))</f>
        <v>42202.7189106477</v>
      </c>
      <c r="AL49" s="16" t="n">
        <f aca="false">MIN(CADASTRO_CASAS_BOMBA!$O$12,MAX(0,AK49+AL37))</f>
        <v>0</v>
      </c>
      <c r="AM49" s="16" t="n">
        <f aca="false">MIN(CADASTRO_CASAS_BOMBA!$O$12,MAX(0,AL49+AM37))</f>
        <v>0</v>
      </c>
      <c r="AN49" s="16" t="n">
        <f aca="false">MIN(CADASTRO_CASAS_BOMBA!$O$12,MAX(0,AM49+AN37))</f>
        <v>0</v>
      </c>
      <c r="AO49" s="16" t="n">
        <f aca="false">MIN(CADASTRO_CASAS_BOMBA!$O$12,MAX(0,AN49+AO37))</f>
        <v>0</v>
      </c>
      <c r="AP49" s="16" t="n">
        <f aca="false">MIN(CADASTRO_CASAS_BOMBA!$O$12,MAX(0,AO49+AP37))</f>
        <v>0</v>
      </c>
      <c r="AQ49" s="16" t="n">
        <f aca="false">MIN(CADASTRO_CASAS_BOMBA!$O$12,MAX(0,AP49+AQ37))</f>
        <v>0</v>
      </c>
      <c r="AR49" s="16" t="n">
        <f aca="false">MIN(CADASTRO_CASAS_BOMBA!$O$12,MAX(0,AQ49+AR37))</f>
        <v>0</v>
      </c>
      <c r="AS49" s="16" t="n">
        <f aca="false">MIN(CADASTRO_CASAS_BOMBA!$O$12,MAX(0,AR49+AS37))</f>
        <v>0</v>
      </c>
      <c r="AT49" s="16" t="n">
        <f aca="false">MIN(CADASTRO_CASAS_BOMBA!$O$12,MAX(0,AS49+AT37))</f>
        <v>0</v>
      </c>
      <c r="AU49" s="16" t="n">
        <f aca="false">MIN(CADASTRO_CASAS_BOMBA!$O$12,MAX(0,AT49+AU37))</f>
        <v>0</v>
      </c>
      <c r="AV49" s="16" t="n">
        <f aca="false">MIN(CADASTRO_CASAS_BOMBA!$O$12,MAX(0,AU49+AV37))</f>
        <v>0</v>
      </c>
      <c r="AW49" s="16" t="n">
        <f aca="false">MIN(CADASTRO_CASAS_BOMBA!$O$12,MAX(0,AV49+AW37))</f>
        <v>0</v>
      </c>
      <c r="AX49" s="16" t="n">
        <f aca="false">MIN(CADASTRO_CASAS_BOMBA!$O$12,MAX(0,AW49+AX37))</f>
        <v>0</v>
      </c>
      <c r="AY49" s="16" t="n">
        <f aca="false">MIN(CADASTRO_CASAS_BOMBA!$O$12,MAX(0,AX49+AY37))</f>
        <v>0</v>
      </c>
      <c r="AZ49" s="16" t="n">
        <f aca="false">MIN(CADASTRO_CASAS_BOMBA!$O$12,MAX(0,AY49+AZ37))</f>
        <v>0</v>
      </c>
      <c r="BA49" s="16" t="n">
        <f aca="false">MIN(CADASTRO_CASAS_BOMBA!$O$12,MAX(0,AZ49+BA37))</f>
        <v>23786.4052275862</v>
      </c>
      <c r="BB49" s="16" t="n">
        <f aca="false">MIN(CADASTRO_CASAS_BOMBA!$O$12,MAX(0,BA49+BB37))</f>
        <v>30755.3824997972</v>
      </c>
      <c r="BC49" s="16" t="n">
        <f aca="false">MIN(CADASTRO_CASAS_BOMBA!$O$12,MAX(0,BB49+BC37))</f>
        <v>27044.4790527384</v>
      </c>
      <c r="BD49" s="16" t="n">
        <f aca="false">MIN(CADASTRO_CASAS_BOMBA!$O$12,MAX(0,BC49+BD37))</f>
        <v>12352.6133821502</v>
      </c>
      <c r="BE49" s="16" t="n">
        <f aca="false">MIN(CADASTRO_CASAS_BOMBA!$O$12,MAX(0,BD49+BE37))</f>
        <v>0</v>
      </c>
      <c r="BF49" s="16" t="n">
        <f aca="false">MIN(CADASTRO_CASAS_BOMBA!$O$12,MAX(0,BE49+BF37))</f>
        <v>0</v>
      </c>
      <c r="BG49" s="16" t="n">
        <f aca="false">MIN(CADASTRO_CASAS_BOMBA!$O$12,MAX(0,BF49+BG37))</f>
        <v>19114.6343529412</v>
      </c>
      <c r="BH49" s="16" t="n">
        <f aca="false">MIN(CADASTRO_CASAS_BOMBA!$O$12,MAX(0,BG49+BH37))</f>
        <v>89947.8814117647</v>
      </c>
      <c r="BI49" s="16" t="n">
        <f aca="false">MIN(CADASTRO_CASAS_BOMBA!$O$12,MAX(0,BH49+BI37))</f>
        <v>169819.769054767</v>
      </c>
      <c r="BJ49" s="16" t="n">
        <f aca="false">MIN(CADASTRO_CASAS_BOMBA!$O$12,MAX(0,BI49+BJ37))</f>
        <v>261340.587910751</v>
      </c>
      <c r="BK49" s="16" t="n">
        <f aca="false">MIN(CADASTRO_CASAS_BOMBA!$O$12,MAX(0,BJ49+BK37))</f>
        <v>364510.337979716</v>
      </c>
      <c r="BL49" s="16" t="n">
        <f aca="false">MIN(CADASTRO_CASAS_BOMBA!$O$12,MAX(0,BK49+BL37))</f>
        <v>440000</v>
      </c>
      <c r="BM49" s="16" t="n">
        <f aca="false">MIN(CADASTRO_CASAS_BOMBA!$O$12,MAX(0,BL49+BM37))</f>
        <v>440000</v>
      </c>
      <c r="BN49" s="16" t="n">
        <f aca="false">MIN(CADASTRO_CASAS_BOMBA!$O$12,MAX(0,BM49+BN37))</f>
        <v>440000</v>
      </c>
      <c r="BO49" s="16" t="n">
        <f aca="false">MIN(CADASTRO_CASAS_BOMBA!$O$12,MAX(0,BN49+BO37))</f>
        <v>440000</v>
      </c>
      <c r="BP49" s="16" t="n">
        <f aca="false">MIN(CADASTRO_CASAS_BOMBA!$O$12,MAX(0,BO49+BP37))</f>
        <v>440000</v>
      </c>
    </row>
    <row r="50" customFormat="false" ht="15" hidden="false" customHeight="false" outlineLevel="0" collapsed="false">
      <c r="B50" s="15" t="s">
        <v>135</v>
      </c>
      <c r="C50" s="16" t="n">
        <f aca="false">MIN(CADASTRO_CASAS_BOMBA!$O$13,MAX(0,CADASTRO_CASAS_BOMBA!$O$13+C38))</f>
        <v>74903</v>
      </c>
      <c r="D50" s="16" t="n">
        <f aca="false">MIN(CADASTRO_CASAS_BOMBA!$O$13,MAX(0,C50+D38))</f>
        <v>74903</v>
      </c>
      <c r="E50" s="16" t="n">
        <f aca="false">MIN(CADASTRO_CASAS_BOMBA!$O$13,MAX(0,D50+E38))</f>
        <v>74903</v>
      </c>
      <c r="F50" s="16" t="n">
        <f aca="false">MIN(CADASTRO_CASAS_BOMBA!$O$13,MAX(0,E50+F38))</f>
        <v>74903</v>
      </c>
      <c r="G50" s="16" t="n">
        <f aca="false">MIN(CADASTRO_CASAS_BOMBA!$O$13,MAX(0,F50+G38))</f>
        <v>74903</v>
      </c>
      <c r="H50" s="16" t="n">
        <f aca="false">MIN(CADASTRO_CASAS_BOMBA!$O$13,MAX(0,G50+H38))</f>
        <v>74903</v>
      </c>
      <c r="I50" s="16" t="n">
        <f aca="false">MIN(CADASTRO_CASAS_BOMBA!$O$13,MAX(0,H50+I38))</f>
        <v>74903</v>
      </c>
      <c r="J50" s="16" t="n">
        <f aca="false">MIN(CADASTRO_CASAS_BOMBA!$O$13,MAX(0,I50+J38))</f>
        <v>74903</v>
      </c>
      <c r="K50" s="16" t="n">
        <f aca="false">MIN(CADASTRO_CASAS_BOMBA!$O$13,MAX(0,J50+K38))</f>
        <v>74903</v>
      </c>
      <c r="L50" s="16" t="n">
        <f aca="false">MIN(CADASTRO_CASAS_BOMBA!$O$13,MAX(0,K50+L38))</f>
        <v>74903</v>
      </c>
      <c r="M50" s="16" t="n">
        <f aca="false">MIN(CADASTRO_CASAS_BOMBA!$O$13,MAX(0,L50+M38))</f>
        <v>74903</v>
      </c>
      <c r="N50" s="16" t="n">
        <f aca="false">MIN(CADASTRO_CASAS_BOMBA!$O$13,MAX(0,M50+N38))</f>
        <v>74903</v>
      </c>
      <c r="O50" s="16" t="n">
        <f aca="false">MIN(CADASTRO_CASAS_BOMBA!$O$13,MAX(0,N50+O38))</f>
        <v>74903</v>
      </c>
      <c r="P50" s="16" t="n">
        <f aca="false">MIN(CADASTRO_CASAS_BOMBA!$O$13,MAX(0,O50+P38))</f>
        <v>74903</v>
      </c>
      <c r="Q50" s="16" t="n">
        <f aca="false">MIN(CADASTRO_CASAS_BOMBA!$O$13,MAX(0,P50+Q38))</f>
        <v>74903</v>
      </c>
      <c r="R50" s="16" t="n">
        <f aca="false">MIN(CADASTRO_CASAS_BOMBA!$O$13,MAX(0,Q50+R38))</f>
        <v>74903</v>
      </c>
      <c r="S50" s="16" t="n">
        <f aca="false">MIN(CADASTRO_CASAS_BOMBA!$O$13,MAX(0,R50+S38))</f>
        <v>74903</v>
      </c>
      <c r="T50" s="16" t="n">
        <f aca="false">MIN(CADASTRO_CASAS_BOMBA!$O$13,MAX(0,S50+T38))</f>
        <v>74903</v>
      </c>
      <c r="U50" s="16" t="n">
        <f aca="false">MIN(CADASTRO_CASAS_BOMBA!$O$13,MAX(0,T50+U38))</f>
        <v>74903</v>
      </c>
      <c r="V50" s="16" t="n">
        <f aca="false">MIN(CADASTRO_CASAS_BOMBA!$O$13,MAX(0,U50+V38))</f>
        <v>74903</v>
      </c>
      <c r="W50" s="16" t="n">
        <f aca="false">MIN(CADASTRO_CASAS_BOMBA!$O$13,MAX(0,V50+W38))</f>
        <v>74903</v>
      </c>
      <c r="X50" s="16" t="n">
        <f aca="false">MIN(CADASTRO_CASAS_BOMBA!$O$13,MAX(0,W50+X38))</f>
        <v>74903</v>
      </c>
      <c r="Y50" s="16" t="n">
        <f aca="false">MIN(CADASTRO_CASAS_BOMBA!$O$13,MAX(0,X50+Y38))</f>
        <v>74903</v>
      </c>
      <c r="Z50" s="16" t="n">
        <f aca="false">MIN(CADASTRO_CASAS_BOMBA!$O$13,MAX(0,Y50+Z38))</f>
        <v>74903</v>
      </c>
      <c r="AA50" s="16" t="n">
        <f aca="false">MIN(CADASTRO_CASAS_BOMBA!$O$13,MAX(0,Z50+AA38))</f>
        <v>74903</v>
      </c>
      <c r="AB50" s="16" t="n">
        <f aca="false">MIN(CADASTRO_CASAS_BOMBA!$O$13,MAX(0,AA50+AB38))</f>
        <v>74903</v>
      </c>
      <c r="AC50" s="16" t="n">
        <f aca="false">MIN(CADASTRO_CASAS_BOMBA!$O$13,MAX(0,AB50+AC38))</f>
        <v>74903</v>
      </c>
      <c r="AD50" s="16" t="n">
        <f aca="false">MIN(CADASTRO_CASAS_BOMBA!$O$13,MAX(0,AC50+AD38))</f>
        <v>74903</v>
      </c>
      <c r="AE50" s="16" t="n">
        <f aca="false">MIN(CADASTRO_CASAS_BOMBA!$O$13,MAX(0,AD50+AE38))</f>
        <v>74903</v>
      </c>
      <c r="AF50" s="16" t="n">
        <f aca="false">MIN(CADASTRO_CASAS_BOMBA!$O$13,MAX(0,AE50+AF38))</f>
        <v>74903</v>
      </c>
      <c r="AG50" s="16" t="n">
        <f aca="false">MIN(CADASTRO_CASAS_BOMBA!$O$13,MAX(0,AF50+AG38))</f>
        <v>74903</v>
      </c>
      <c r="AH50" s="16" t="n">
        <f aca="false">MIN(CADASTRO_CASAS_BOMBA!$O$13,MAX(0,AG50+AH38))</f>
        <v>74903</v>
      </c>
      <c r="AI50" s="16" t="n">
        <f aca="false">MIN(CADASTRO_CASAS_BOMBA!$O$13,MAX(0,AH50+AI38))</f>
        <v>74903</v>
      </c>
      <c r="AJ50" s="16" t="n">
        <f aca="false">MIN(CADASTRO_CASAS_BOMBA!$O$13,MAX(0,AI50+AJ38))</f>
        <v>74903</v>
      </c>
      <c r="AK50" s="16" t="n">
        <f aca="false">MIN(CADASTRO_CASAS_BOMBA!$O$13,MAX(0,AJ50+AK38))</f>
        <v>74903</v>
      </c>
      <c r="AL50" s="16" t="n">
        <f aca="false">MIN(CADASTRO_CASAS_BOMBA!$O$13,MAX(0,AK50+AL38))</f>
        <v>74903</v>
      </c>
      <c r="AM50" s="16" t="n">
        <f aca="false">MIN(CADASTRO_CASAS_BOMBA!$O$13,MAX(0,AL50+AM38))</f>
        <v>74903</v>
      </c>
      <c r="AN50" s="16" t="n">
        <f aca="false">MIN(CADASTRO_CASAS_BOMBA!$O$13,MAX(0,AM50+AN38))</f>
        <v>74903</v>
      </c>
      <c r="AO50" s="16" t="n">
        <f aca="false">MIN(CADASTRO_CASAS_BOMBA!$O$13,MAX(0,AN50+AO38))</f>
        <v>74903</v>
      </c>
      <c r="AP50" s="16" t="n">
        <f aca="false">MIN(CADASTRO_CASAS_BOMBA!$O$13,MAX(0,AO50+AP38))</f>
        <v>74903</v>
      </c>
      <c r="AQ50" s="16" t="n">
        <f aca="false">MIN(CADASTRO_CASAS_BOMBA!$O$13,MAX(0,AP50+AQ38))</f>
        <v>74903</v>
      </c>
      <c r="AR50" s="16" t="n">
        <f aca="false">MIN(CADASTRO_CASAS_BOMBA!$O$13,MAX(0,AQ50+AR38))</f>
        <v>74903</v>
      </c>
      <c r="AS50" s="16" t="n">
        <f aca="false">MIN(CADASTRO_CASAS_BOMBA!$O$13,MAX(0,AR50+AS38))</f>
        <v>74903</v>
      </c>
      <c r="AT50" s="16" t="n">
        <f aca="false">MIN(CADASTRO_CASAS_BOMBA!$O$13,MAX(0,AS50+AT38))</f>
        <v>74903</v>
      </c>
      <c r="AU50" s="16" t="n">
        <f aca="false">MIN(CADASTRO_CASAS_BOMBA!$O$13,MAX(0,AT50+AU38))</f>
        <v>74903</v>
      </c>
      <c r="AV50" s="16" t="n">
        <f aca="false">MIN(CADASTRO_CASAS_BOMBA!$O$13,MAX(0,AU50+AV38))</f>
        <v>74903</v>
      </c>
      <c r="AW50" s="16" t="n">
        <f aca="false">MIN(CADASTRO_CASAS_BOMBA!$O$13,MAX(0,AV50+AW38))</f>
        <v>74903</v>
      </c>
      <c r="AX50" s="16" t="n">
        <f aca="false">MIN(CADASTRO_CASAS_BOMBA!$O$13,MAX(0,AW50+AX38))</f>
        <v>74903</v>
      </c>
      <c r="AY50" s="16" t="n">
        <f aca="false">MIN(CADASTRO_CASAS_BOMBA!$O$13,MAX(0,AX50+AY38))</f>
        <v>74903</v>
      </c>
      <c r="AZ50" s="16" t="n">
        <f aca="false">MIN(CADASTRO_CASAS_BOMBA!$O$13,MAX(0,AY50+AZ38))</f>
        <v>74903</v>
      </c>
      <c r="BA50" s="16" t="n">
        <f aca="false">MIN(CADASTRO_CASAS_BOMBA!$O$13,MAX(0,AZ50+BA38))</f>
        <v>74903</v>
      </c>
      <c r="BB50" s="16" t="n">
        <f aca="false">MIN(CADASTRO_CASAS_BOMBA!$O$13,MAX(0,BA50+BB38))</f>
        <v>74903</v>
      </c>
      <c r="BC50" s="16" t="n">
        <f aca="false">MIN(CADASTRO_CASAS_BOMBA!$O$13,MAX(0,BB50+BC38))</f>
        <v>74903</v>
      </c>
      <c r="BD50" s="16" t="n">
        <f aca="false">MIN(CADASTRO_CASAS_BOMBA!$O$13,MAX(0,BC50+BD38))</f>
        <v>74903</v>
      </c>
      <c r="BE50" s="16" t="n">
        <f aca="false">MIN(CADASTRO_CASAS_BOMBA!$O$13,MAX(0,BD50+BE38))</f>
        <v>74903</v>
      </c>
      <c r="BF50" s="16" t="n">
        <f aca="false">MIN(CADASTRO_CASAS_BOMBA!$O$13,MAX(0,BE50+BF38))</f>
        <v>74903</v>
      </c>
      <c r="BG50" s="16" t="n">
        <f aca="false">MIN(CADASTRO_CASAS_BOMBA!$O$13,MAX(0,BF50+BG38))</f>
        <v>74903</v>
      </c>
      <c r="BH50" s="16" t="n">
        <f aca="false">MIN(CADASTRO_CASAS_BOMBA!$O$13,MAX(0,BG50+BH38))</f>
        <v>74903</v>
      </c>
      <c r="BI50" s="16" t="n">
        <f aca="false">MIN(CADASTRO_CASAS_BOMBA!$O$13,MAX(0,BH50+BI38))</f>
        <v>74903</v>
      </c>
      <c r="BJ50" s="16" t="n">
        <f aca="false">MIN(CADASTRO_CASAS_BOMBA!$O$13,MAX(0,BI50+BJ38))</f>
        <v>74903</v>
      </c>
      <c r="BK50" s="16" t="n">
        <f aca="false">MIN(CADASTRO_CASAS_BOMBA!$O$13,MAX(0,BJ50+BK38))</f>
        <v>74903</v>
      </c>
      <c r="BL50" s="16" t="n">
        <f aca="false">MIN(CADASTRO_CASAS_BOMBA!$O$13,MAX(0,BK50+BL38))</f>
        <v>74903</v>
      </c>
      <c r="BM50" s="16" t="n">
        <f aca="false">MIN(CADASTRO_CASAS_BOMBA!$O$13,MAX(0,BL50+BM38))</f>
        <v>74903</v>
      </c>
      <c r="BN50" s="16" t="n">
        <f aca="false">MIN(CADASTRO_CASAS_BOMBA!$O$13,MAX(0,BM50+BN38))</f>
        <v>74903</v>
      </c>
      <c r="BO50" s="16" t="n">
        <f aca="false">MIN(CADASTRO_CASAS_BOMBA!$O$13,MAX(0,BN50+BO38))</f>
        <v>74903</v>
      </c>
      <c r="BP50" s="16" t="n">
        <f aca="false">MIN(CADASTRO_CASAS_BOMBA!$O$13,MAX(0,BO50+BP38))</f>
        <v>74903</v>
      </c>
    </row>
    <row r="53" customFormat="false" ht="15" hidden="false" customHeight="false" outlineLevel="0" collapsed="false">
      <c r="B53" s="3" t="s">
        <v>147</v>
      </c>
    </row>
    <row r="54" customFormat="false" ht="15" hidden="false" customHeight="false" outlineLevel="0" collapsed="false">
      <c r="B54" s="14" t="s">
        <v>68</v>
      </c>
      <c r="C54" s="22" t="n">
        <f aca="false">SEMANAS!$B$6</f>
        <v>1</v>
      </c>
      <c r="D54" s="22" t="n">
        <f aca="false">SEMANAS!$B$7</f>
        <v>2</v>
      </c>
      <c r="E54" s="22" t="n">
        <f aca="false">SEMANAS!$B$8</f>
        <v>3</v>
      </c>
      <c r="F54" s="22" t="n">
        <f aca="false">SEMANAS!$B$9</f>
        <v>4</v>
      </c>
      <c r="G54" s="22" t="n">
        <f aca="false">SEMANAS!$B$10</f>
        <v>5</v>
      </c>
      <c r="H54" s="22" t="n">
        <f aca="false">SEMANAS!$B$11</f>
        <v>6</v>
      </c>
      <c r="I54" s="22" t="n">
        <f aca="false">SEMANAS!$B$12</f>
        <v>7</v>
      </c>
      <c r="J54" s="22" t="n">
        <f aca="false">SEMANAS!$B$13</f>
        <v>8</v>
      </c>
      <c r="K54" s="22" t="n">
        <f aca="false">SEMANAS!$B$14</f>
        <v>9</v>
      </c>
      <c r="L54" s="22" t="n">
        <f aca="false">SEMANAS!$B$15</f>
        <v>10</v>
      </c>
      <c r="M54" s="22" t="n">
        <f aca="false">SEMANAS!$B$16</f>
        <v>11</v>
      </c>
      <c r="N54" s="22" t="n">
        <f aca="false">SEMANAS!$B$17</f>
        <v>12</v>
      </c>
      <c r="O54" s="22" t="n">
        <f aca="false">SEMANAS!$B$18</f>
        <v>13</v>
      </c>
      <c r="P54" s="22" t="n">
        <f aca="false">SEMANAS!$B$19</f>
        <v>14</v>
      </c>
      <c r="Q54" s="22" t="n">
        <f aca="false">SEMANAS!$B$20</f>
        <v>15</v>
      </c>
      <c r="R54" s="22" t="n">
        <f aca="false">SEMANAS!$B$21</f>
        <v>16</v>
      </c>
      <c r="S54" s="22" t="n">
        <f aca="false">SEMANAS!$B$22</f>
        <v>17</v>
      </c>
      <c r="T54" s="22" t="n">
        <f aca="false">SEMANAS!$B$23</f>
        <v>18</v>
      </c>
      <c r="U54" s="22" t="n">
        <f aca="false">SEMANAS!$B$24</f>
        <v>19</v>
      </c>
      <c r="V54" s="22" t="n">
        <f aca="false">SEMANAS!$B$25</f>
        <v>20</v>
      </c>
      <c r="W54" s="22" t="n">
        <f aca="false">SEMANAS!$B$26</f>
        <v>21</v>
      </c>
      <c r="X54" s="22" t="n">
        <f aca="false">SEMANAS!$B$27</f>
        <v>22</v>
      </c>
      <c r="Y54" s="22" t="n">
        <f aca="false">SEMANAS!$B$28</f>
        <v>23</v>
      </c>
      <c r="Z54" s="22" t="n">
        <f aca="false">SEMANAS!$B$29</f>
        <v>24</v>
      </c>
      <c r="AA54" s="22" t="n">
        <f aca="false">SEMANAS!$B$30</f>
        <v>25</v>
      </c>
      <c r="AB54" s="22" t="n">
        <f aca="false">SEMANAS!$B$31</f>
        <v>26</v>
      </c>
      <c r="AC54" s="22" t="n">
        <f aca="false">SEMANAS!$B$32</f>
        <v>27</v>
      </c>
      <c r="AD54" s="22" t="n">
        <f aca="false">SEMANAS!$B$33</f>
        <v>28</v>
      </c>
      <c r="AE54" s="22" t="n">
        <f aca="false">SEMANAS!$B$34</f>
        <v>29</v>
      </c>
      <c r="AF54" s="22" t="n">
        <f aca="false">SEMANAS!$B$35</f>
        <v>30</v>
      </c>
      <c r="AG54" s="22" t="n">
        <f aca="false">SEMANAS!$B$36</f>
        <v>31</v>
      </c>
      <c r="AH54" s="22" t="n">
        <f aca="false">SEMANAS!$B$37</f>
        <v>32</v>
      </c>
      <c r="AI54" s="22" t="n">
        <f aca="false">SEMANAS!$B$38</f>
        <v>33</v>
      </c>
      <c r="AJ54" s="22" t="n">
        <f aca="false">SEMANAS!$B$39</f>
        <v>34</v>
      </c>
      <c r="AK54" s="22" t="n">
        <f aca="false">SEMANAS!$B$40</f>
        <v>35</v>
      </c>
      <c r="AL54" s="22" t="n">
        <f aca="false">SEMANAS!$B$41</f>
        <v>36</v>
      </c>
      <c r="AM54" s="22" t="n">
        <f aca="false">SEMANAS!$B$42</f>
        <v>37</v>
      </c>
      <c r="AN54" s="22" t="n">
        <f aca="false">SEMANAS!$B$43</f>
        <v>38</v>
      </c>
      <c r="AO54" s="22" t="n">
        <f aca="false">SEMANAS!$B$44</f>
        <v>39</v>
      </c>
      <c r="AP54" s="22" t="n">
        <f aca="false">SEMANAS!$B$45</f>
        <v>40</v>
      </c>
      <c r="AQ54" s="22" t="n">
        <f aca="false">SEMANAS!$B$46</f>
        <v>41</v>
      </c>
      <c r="AR54" s="22" t="n">
        <f aca="false">SEMANAS!$B$47</f>
        <v>42</v>
      </c>
      <c r="AS54" s="22" t="n">
        <f aca="false">SEMANAS!$B$48</f>
        <v>43</v>
      </c>
      <c r="AT54" s="22" t="n">
        <f aca="false">SEMANAS!$B$49</f>
        <v>44</v>
      </c>
      <c r="AU54" s="22" t="n">
        <f aca="false">SEMANAS!$B$50</f>
        <v>45</v>
      </c>
      <c r="AV54" s="22" t="n">
        <f aca="false">SEMANAS!$B$51</f>
        <v>46</v>
      </c>
      <c r="AW54" s="22" t="n">
        <f aca="false">SEMANAS!$B$52</f>
        <v>47</v>
      </c>
      <c r="AX54" s="22" t="n">
        <f aca="false">SEMANAS!$B$53</f>
        <v>48</v>
      </c>
      <c r="AY54" s="22" t="n">
        <f aca="false">SEMANAS!$B$54</f>
        <v>49</v>
      </c>
      <c r="AZ54" s="22" t="n">
        <f aca="false">SEMANAS!$B$55</f>
        <v>50</v>
      </c>
      <c r="BA54" s="22" t="n">
        <f aca="false">SEMANAS!$B$56</f>
        <v>51</v>
      </c>
      <c r="BB54" s="22" t="n">
        <f aca="false">SEMANAS!$B$57</f>
        <v>52</v>
      </c>
      <c r="BC54" s="22" t="n">
        <f aca="false">SEMANAS!$B$58</f>
        <v>53</v>
      </c>
      <c r="BD54" s="22" t="n">
        <f aca="false">SEMANAS!$B$59</f>
        <v>54</v>
      </c>
      <c r="BE54" s="22" t="n">
        <f aca="false">SEMANAS!$B$60</f>
        <v>55</v>
      </c>
      <c r="BF54" s="22" t="n">
        <f aca="false">SEMANAS!$B$61</f>
        <v>56</v>
      </c>
      <c r="BG54" s="22" t="n">
        <f aca="false">SEMANAS!$B$62</f>
        <v>57</v>
      </c>
      <c r="BH54" s="22" t="n">
        <f aca="false">SEMANAS!$B$63</f>
        <v>58</v>
      </c>
      <c r="BI54" s="22" t="n">
        <f aca="false">SEMANAS!$B$64</f>
        <v>59</v>
      </c>
      <c r="BJ54" s="22" t="n">
        <f aca="false">SEMANAS!$B$65</f>
        <v>60</v>
      </c>
      <c r="BK54" s="22" t="n">
        <f aca="false">SEMANAS!$B$66</f>
        <v>61</v>
      </c>
      <c r="BL54" s="22" t="n">
        <f aca="false">SEMANAS!$B$67</f>
        <v>62</v>
      </c>
      <c r="BM54" s="22" t="n">
        <f aca="false">SEMANAS!$B$68</f>
        <v>63</v>
      </c>
      <c r="BN54" s="22" t="n">
        <f aca="false">SEMANAS!$B$69</f>
        <v>64</v>
      </c>
      <c r="BO54" s="22" t="n">
        <f aca="false">SEMANAS!$B$70</f>
        <v>65</v>
      </c>
      <c r="BP54" s="22" t="n">
        <f aca="false">SEMANAS!$B$71</f>
        <v>66</v>
      </c>
    </row>
    <row r="55" customFormat="false" ht="15" hidden="false" customHeight="false" outlineLevel="0" collapsed="false">
      <c r="B55" s="15" t="s">
        <v>128</v>
      </c>
      <c r="C55" s="8" t="str">
        <f aca="false">IF(C43&lt;=0,"RESERVATORIO ZERADO - captacao insuficiente",IF(C31&lt;0,"CONSUMINDO RESERVA","OK"))</f>
        <v>OK</v>
      </c>
      <c r="D55" s="8" t="str">
        <f aca="false">IF(D43&lt;=0,"RESERVATORIO ZERADO - captacao insuficiente",IF(D31&lt;0,"CONSUMINDO RESERVA","OK"))</f>
        <v>OK</v>
      </c>
      <c r="E55" s="8" t="str">
        <f aca="false">IF(E43&lt;=0,"RESERVATORIO ZERADO - captacao insuficiente",IF(E31&lt;0,"CONSUMINDO RESERVA","OK"))</f>
        <v>OK</v>
      </c>
      <c r="F55" s="8" t="str">
        <f aca="false">IF(F43&lt;=0,"RESERVATORIO ZERADO - captacao insuficiente",IF(F31&lt;0,"CONSUMINDO RESERVA","OK"))</f>
        <v>OK</v>
      </c>
      <c r="G55" s="8" t="str">
        <f aca="false">IF(G43&lt;=0,"RESERVATORIO ZERADO - captacao insuficiente",IF(G31&lt;0,"CONSUMINDO RESERVA","OK"))</f>
        <v>OK</v>
      </c>
      <c r="H55" s="8" t="str">
        <f aca="false">IF(H43&lt;=0,"RESERVATORIO ZERADO - captacao insuficiente",IF(H31&lt;0,"CONSUMINDO RESERVA","OK"))</f>
        <v>OK</v>
      </c>
      <c r="I55" s="8" t="str">
        <f aca="false">IF(I43&lt;=0,"RESERVATORIO ZERADO - captacao insuficiente",IF(I31&lt;0,"CONSUMINDO RESERVA","OK"))</f>
        <v>OK</v>
      </c>
      <c r="J55" s="8" t="str">
        <f aca="false">IF(J43&lt;=0,"RESERVATORIO ZERADO - captacao insuficiente",IF(J31&lt;0,"CONSUMINDO RESERVA","OK"))</f>
        <v>OK</v>
      </c>
      <c r="K55" s="8" t="str">
        <f aca="false">IF(K43&lt;=0,"RESERVATORIO ZERADO - captacao insuficiente",IF(K31&lt;0,"CONSUMINDO RESERVA","OK"))</f>
        <v>OK</v>
      </c>
      <c r="L55" s="8" t="str">
        <f aca="false">IF(L43&lt;=0,"RESERVATORIO ZERADO - captacao insuficiente",IF(L31&lt;0,"CONSUMINDO RESERVA","OK"))</f>
        <v>OK</v>
      </c>
      <c r="M55" s="8" t="str">
        <f aca="false">IF(M43&lt;=0,"RESERVATORIO ZERADO - captacao insuficiente",IF(M31&lt;0,"CONSUMINDO RESERVA","OK"))</f>
        <v>OK</v>
      </c>
      <c r="N55" s="8" t="str">
        <f aca="false">IF(N43&lt;=0,"RESERVATORIO ZERADO - captacao insuficiente",IF(N31&lt;0,"CONSUMINDO RESERVA","OK"))</f>
        <v>OK</v>
      </c>
      <c r="O55" s="8" t="str">
        <f aca="false">IF(O43&lt;=0,"RESERVATORIO ZERADO - captacao insuficiente",IF(O31&lt;0,"CONSUMINDO RESERVA","OK"))</f>
        <v>OK</v>
      </c>
      <c r="P55" s="8" t="str">
        <f aca="false">IF(P43&lt;=0,"RESERVATORIO ZERADO - captacao insuficiente",IF(P31&lt;0,"CONSUMINDO RESERVA","OK"))</f>
        <v>OK</v>
      </c>
      <c r="Q55" s="8" t="str">
        <f aca="false">IF(Q43&lt;=0,"RESERVATORIO ZERADO - captacao insuficiente",IF(Q31&lt;0,"CONSUMINDO RESERVA","OK"))</f>
        <v>OK</v>
      </c>
      <c r="R55" s="8" t="str">
        <f aca="false">IF(R43&lt;=0,"RESERVATORIO ZERADO - captacao insuficiente",IF(R31&lt;0,"CONSUMINDO RESERVA","OK"))</f>
        <v>OK</v>
      </c>
      <c r="S55" s="8" t="str">
        <f aca="false">IF(S43&lt;=0,"RESERVATORIO ZERADO - captacao insuficiente",IF(S31&lt;0,"CONSUMINDO RESERVA","OK"))</f>
        <v>OK</v>
      </c>
      <c r="T55" s="8" t="str">
        <f aca="false">IF(T43&lt;=0,"RESERVATORIO ZERADO - captacao insuficiente",IF(T31&lt;0,"CONSUMINDO RESERVA","OK"))</f>
        <v>OK</v>
      </c>
      <c r="U55" s="8" t="str">
        <f aca="false">IF(U43&lt;=0,"RESERVATORIO ZERADO - captacao insuficiente",IF(U31&lt;0,"CONSUMINDO RESERVA","OK"))</f>
        <v>OK</v>
      </c>
      <c r="V55" s="8" t="str">
        <f aca="false">IF(V43&lt;=0,"RESERVATORIO ZERADO - captacao insuficiente",IF(V31&lt;0,"CONSUMINDO RESERVA","OK"))</f>
        <v>OK</v>
      </c>
      <c r="W55" s="8" t="str">
        <f aca="false">IF(W43&lt;=0,"RESERVATORIO ZERADO - captacao insuficiente",IF(W31&lt;0,"CONSUMINDO RESERVA","OK"))</f>
        <v>OK</v>
      </c>
      <c r="X55" s="8" t="str">
        <f aca="false">IF(X43&lt;=0,"RESERVATORIO ZERADO - captacao insuficiente",IF(X31&lt;0,"CONSUMINDO RESERVA","OK"))</f>
        <v>OK</v>
      </c>
      <c r="Y55" s="8" t="str">
        <f aca="false">IF(Y43&lt;=0,"RESERVATORIO ZERADO - captacao insuficiente",IF(Y31&lt;0,"CONSUMINDO RESERVA","OK"))</f>
        <v>OK</v>
      </c>
      <c r="Z55" s="8" t="str">
        <f aca="false">IF(Z43&lt;=0,"RESERVATORIO ZERADO - captacao insuficiente",IF(Z31&lt;0,"CONSUMINDO RESERVA","OK"))</f>
        <v>OK</v>
      </c>
      <c r="AA55" s="8" t="str">
        <f aca="false">IF(AA43&lt;=0,"RESERVATORIO ZERADO - captacao insuficiente",IF(AA31&lt;0,"CONSUMINDO RESERVA","OK"))</f>
        <v>OK</v>
      </c>
      <c r="AB55" s="8" t="str">
        <f aca="false">IF(AB43&lt;=0,"RESERVATORIO ZERADO - captacao insuficiente",IF(AB31&lt;0,"CONSUMINDO RESERVA","OK"))</f>
        <v>OK</v>
      </c>
      <c r="AC55" s="8" t="str">
        <f aca="false">IF(AC43&lt;=0,"RESERVATORIO ZERADO - captacao insuficiente",IF(AC31&lt;0,"CONSUMINDO RESERVA","OK"))</f>
        <v>OK</v>
      </c>
      <c r="AD55" s="8" t="str">
        <f aca="false">IF(AD43&lt;=0,"RESERVATORIO ZERADO - captacao insuficiente",IF(AD31&lt;0,"CONSUMINDO RESERVA","OK"))</f>
        <v>OK</v>
      </c>
      <c r="AE55" s="8" t="str">
        <f aca="false">IF(AE43&lt;=0,"RESERVATORIO ZERADO - captacao insuficiente",IF(AE31&lt;0,"CONSUMINDO RESERVA","OK"))</f>
        <v>OK</v>
      </c>
      <c r="AF55" s="8" t="str">
        <f aca="false">IF(AF43&lt;=0,"RESERVATORIO ZERADO - captacao insuficiente",IF(AF31&lt;0,"CONSUMINDO RESERVA","OK"))</f>
        <v>OK</v>
      </c>
      <c r="AG55" s="8" t="str">
        <f aca="false">IF(AG43&lt;=0,"RESERVATORIO ZERADO - captacao insuficiente",IF(AG31&lt;0,"CONSUMINDO RESERVA","OK"))</f>
        <v>OK</v>
      </c>
      <c r="AH55" s="8" t="str">
        <f aca="false">IF(AH43&lt;=0,"RESERVATORIO ZERADO - captacao insuficiente",IF(AH31&lt;0,"CONSUMINDO RESERVA","OK"))</f>
        <v>OK</v>
      </c>
      <c r="AI55" s="8" t="str">
        <f aca="false">IF(AI43&lt;=0,"RESERVATORIO ZERADO - captacao insuficiente",IF(AI31&lt;0,"CONSUMINDO RESERVA","OK"))</f>
        <v>OK</v>
      </c>
      <c r="AJ55" s="8" t="str">
        <f aca="false">IF(AJ43&lt;=0,"RESERVATORIO ZERADO - captacao insuficiente",IF(AJ31&lt;0,"CONSUMINDO RESERVA","OK"))</f>
        <v>OK</v>
      </c>
      <c r="AK55" s="8" t="str">
        <f aca="false">IF(AK43&lt;=0,"RESERVATORIO ZERADO - captacao insuficiente",IF(AK31&lt;0,"CONSUMINDO RESERVA","OK"))</f>
        <v>OK</v>
      </c>
      <c r="AL55" s="8" t="str">
        <f aca="false">IF(AL43&lt;=0,"RESERVATORIO ZERADO - captacao insuficiente",IF(AL31&lt;0,"CONSUMINDO RESERVA","OK"))</f>
        <v>OK</v>
      </c>
      <c r="AM55" s="8" t="str">
        <f aca="false">IF(AM43&lt;=0,"RESERVATORIO ZERADO - captacao insuficiente",IF(AM31&lt;0,"CONSUMINDO RESERVA","OK"))</f>
        <v>OK</v>
      </c>
      <c r="AN55" s="8" t="str">
        <f aca="false">IF(AN43&lt;=0,"RESERVATORIO ZERADO - captacao insuficiente",IF(AN31&lt;0,"CONSUMINDO RESERVA","OK"))</f>
        <v>OK</v>
      </c>
      <c r="AO55" s="8" t="str">
        <f aca="false">IF(AO43&lt;=0,"RESERVATORIO ZERADO - captacao insuficiente",IF(AO31&lt;0,"CONSUMINDO RESERVA","OK"))</f>
        <v>OK</v>
      </c>
      <c r="AP55" s="8" t="str">
        <f aca="false">IF(AP43&lt;=0,"RESERVATORIO ZERADO - captacao insuficiente",IF(AP31&lt;0,"CONSUMINDO RESERVA","OK"))</f>
        <v>OK</v>
      </c>
      <c r="AQ55" s="8" t="str">
        <f aca="false">IF(AQ43&lt;=0,"RESERVATORIO ZERADO - captacao insuficiente",IF(AQ31&lt;0,"CONSUMINDO RESERVA","OK"))</f>
        <v>OK</v>
      </c>
      <c r="AR55" s="8" t="str">
        <f aca="false">IF(AR43&lt;=0,"RESERVATORIO ZERADO - captacao insuficiente",IF(AR31&lt;0,"CONSUMINDO RESERVA","OK"))</f>
        <v>OK</v>
      </c>
      <c r="AS55" s="8" t="str">
        <f aca="false">IF(AS43&lt;=0,"RESERVATORIO ZERADO - captacao insuficiente",IF(AS31&lt;0,"CONSUMINDO RESERVA","OK"))</f>
        <v>OK</v>
      </c>
      <c r="AT55" s="8" t="str">
        <f aca="false">IF(AT43&lt;=0,"RESERVATORIO ZERADO - captacao insuficiente",IF(AT31&lt;0,"CONSUMINDO RESERVA","OK"))</f>
        <v>OK</v>
      </c>
      <c r="AU55" s="8" t="str">
        <f aca="false">IF(AU43&lt;=0,"RESERVATORIO ZERADO - captacao insuficiente",IF(AU31&lt;0,"CONSUMINDO RESERVA","OK"))</f>
        <v>OK</v>
      </c>
      <c r="AV55" s="8" t="str">
        <f aca="false">IF(AV43&lt;=0,"RESERVATORIO ZERADO - captacao insuficiente",IF(AV31&lt;0,"CONSUMINDO RESERVA","OK"))</f>
        <v>OK</v>
      </c>
      <c r="AW55" s="8" t="str">
        <f aca="false">IF(AW43&lt;=0,"RESERVATORIO ZERADO - captacao insuficiente",IF(AW31&lt;0,"CONSUMINDO RESERVA","OK"))</f>
        <v>OK</v>
      </c>
      <c r="AX55" s="8" t="str">
        <f aca="false">IF(AX43&lt;=0,"RESERVATORIO ZERADO - captacao insuficiente",IF(AX31&lt;0,"CONSUMINDO RESERVA","OK"))</f>
        <v>OK</v>
      </c>
      <c r="AY55" s="8" t="str">
        <f aca="false">IF(AY43&lt;=0,"RESERVATORIO ZERADO - captacao insuficiente",IF(AY31&lt;0,"CONSUMINDO RESERVA","OK"))</f>
        <v>OK</v>
      </c>
      <c r="AZ55" s="8" t="str">
        <f aca="false">IF(AZ43&lt;=0,"RESERVATORIO ZERADO - captacao insuficiente",IF(AZ31&lt;0,"CONSUMINDO RESERVA","OK"))</f>
        <v>OK</v>
      </c>
      <c r="BA55" s="8" t="str">
        <f aca="false">IF(BA43&lt;=0,"RESERVATORIO ZERADO - captacao insuficiente",IF(BA31&lt;0,"CONSUMINDO RESERVA","OK"))</f>
        <v>OK</v>
      </c>
      <c r="BB55" s="8" t="str">
        <f aca="false">IF(BB43&lt;=0,"RESERVATORIO ZERADO - captacao insuficiente",IF(BB31&lt;0,"CONSUMINDO RESERVA","OK"))</f>
        <v>OK</v>
      </c>
      <c r="BC55" s="8" t="str">
        <f aca="false">IF(BC43&lt;=0,"RESERVATORIO ZERADO - captacao insuficiente",IF(BC31&lt;0,"CONSUMINDO RESERVA","OK"))</f>
        <v>OK</v>
      </c>
      <c r="BD55" s="8" t="str">
        <f aca="false">IF(BD43&lt;=0,"RESERVATORIO ZERADO - captacao insuficiente",IF(BD31&lt;0,"CONSUMINDO RESERVA","OK"))</f>
        <v>OK</v>
      </c>
      <c r="BE55" s="8" t="str">
        <f aca="false">IF(BE43&lt;=0,"RESERVATORIO ZERADO - captacao insuficiente",IF(BE31&lt;0,"CONSUMINDO RESERVA","OK"))</f>
        <v>OK</v>
      </c>
      <c r="BF55" s="8" t="str">
        <f aca="false">IF(BF43&lt;=0,"RESERVATORIO ZERADO - captacao insuficiente",IF(BF31&lt;0,"CONSUMINDO RESERVA","OK"))</f>
        <v>OK</v>
      </c>
      <c r="BG55" s="8" t="str">
        <f aca="false">IF(BG43&lt;=0,"RESERVATORIO ZERADO - captacao insuficiente",IF(BG31&lt;0,"CONSUMINDO RESERVA","OK"))</f>
        <v>OK</v>
      </c>
      <c r="BH55" s="8" t="str">
        <f aca="false">IF(BH43&lt;=0,"RESERVATORIO ZERADO - captacao insuficiente",IF(BH31&lt;0,"CONSUMINDO RESERVA","OK"))</f>
        <v>OK</v>
      </c>
      <c r="BI55" s="8" t="str">
        <f aca="false">IF(BI43&lt;=0,"RESERVATORIO ZERADO - captacao insuficiente",IF(BI31&lt;0,"CONSUMINDO RESERVA","OK"))</f>
        <v>OK</v>
      </c>
      <c r="BJ55" s="8" t="str">
        <f aca="false">IF(BJ43&lt;=0,"RESERVATORIO ZERADO - captacao insuficiente",IF(BJ31&lt;0,"CONSUMINDO RESERVA","OK"))</f>
        <v>OK</v>
      </c>
      <c r="BK55" s="8" t="str">
        <f aca="false">IF(BK43&lt;=0,"RESERVATORIO ZERADO - captacao insuficiente",IF(BK31&lt;0,"CONSUMINDO RESERVA","OK"))</f>
        <v>OK</v>
      </c>
      <c r="BL55" s="8" t="str">
        <f aca="false">IF(BL43&lt;=0,"RESERVATORIO ZERADO - captacao insuficiente",IF(BL31&lt;0,"CONSUMINDO RESERVA","OK"))</f>
        <v>OK</v>
      </c>
      <c r="BM55" s="8" t="str">
        <f aca="false">IF(BM43&lt;=0,"RESERVATORIO ZERADO - captacao insuficiente",IF(BM31&lt;0,"CONSUMINDO RESERVA","OK"))</f>
        <v>OK</v>
      </c>
      <c r="BN55" s="8" t="str">
        <f aca="false">IF(BN43&lt;=0,"RESERVATORIO ZERADO - captacao insuficiente",IF(BN31&lt;0,"CONSUMINDO RESERVA","OK"))</f>
        <v>OK</v>
      </c>
      <c r="BO55" s="8" t="str">
        <f aca="false">IF(BO43&lt;=0,"RESERVATORIO ZERADO - captacao insuficiente",IF(BO31&lt;0,"CONSUMINDO RESERVA","OK"))</f>
        <v>OK</v>
      </c>
      <c r="BP55" s="8" t="str">
        <f aca="false">IF(BP43&lt;=0,"RESERVATORIO ZERADO - captacao insuficiente",IF(BP31&lt;0,"CONSUMINDO RESERVA","OK"))</f>
        <v>OK</v>
      </c>
    </row>
    <row r="56" customFormat="false" ht="15" hidden="false" customHeight="false" outlineLevel="0" collapsed="false">
      <c r="B56" s="15" t="s">
        <v>129</v>
      </c>
      <c r="C56" s="8" t="str">
        <f aca="false">IF(C44&lt;=0,"RESERVATORIO ZERADO - captacao insuficiente",IF(C32&lt;0,"CONSUMINDO RESERVA","OK"))</f>
        <v>OK</v>
      </c>
      <c r="D56" s="8" t="str">
        <f aca="false">IF(D44&lt;=0,"RESERVATORIO ZERADO - captacao insuficiente",IF(D32&lt;0,"CONSUMINDO RESERVA","OK"))</f>
        <v>OK</v>
      </c>
      <c r="E56" s="8" t="str">
        <f aca="false">IF(E44&lt;=0,"RESERVATORIO ZERADO - captacao insuficiente",IF(E32&lt;0,"CONSUMINDO RESERVA","OK"))</f>
        <v>OK</v>
      </c>
      <c r="F56" s="8" t="str">
        <f aca="false">IF(F44&lt;=0,"RESERVATORIO ZERADO - captacao insuficiente",IF(F32&lt;0,"CONSUMINDO RESERVA","OK"))</f>
        <v>OK</v>
      </c>
      <c r="G56" s="8" t="str">
        <f aca="false">IF(G44&lt;=0,"RESERVATORIO ZERADO - captacao insuficiente",IF(G32&lt;0,"CONSUMINDO RESERVA","OK"))</f>
        <v>OK</v>
      </c>
      <c r="H56" s="8" t="str">
        <f aca="false">IF(H44&lt;=0,"RESERVATORIO ZERADO - captacao insuficiente",IF(H32&lt;0,"CONSUMINDO RESERVA","OK"))</f>
        <v>OK</v>
      </c>
      <c r="I56" s="8" t="str">
        <f aca="false">IF(I44&lt;=0,"RESERVATORIO ZERADO - captacao insuficiente",IF(I32&lt;0,"CONSUMINDO RESERVA","OK"))</f>
        <v>OK</v>
      </c>
      <c r="J56" s="8" t="str">
        <f aca="false">IF(J44&lt;=0,"RESERVATORIO ZERADO - captacao insuficiente",IF(J32&lt;0,"CONSUMINDO RESERVA","OK"))</f>
        <v>OK</v>
      </c>
      <c r="K56" s="8" t="str">
        <f aca="false">IF(K44&lt;=0,"RESERVATORIO ZERADO - captacao insuficiente",IF(K32&lt;0,"CONSUMINDO RESERVA","OK"))</f>
        <v>OK</v>
      </c>
      <c r="L56" s="8" t="str">
        <f aca="false">IF(L44&lt;=0,"RESERVATORIO ZERADO - captacao insuficiente",IF(L32&lt;0,"CONSUMINDO RESERVA","OK"))</f>
        <v>OK</v>
      </c>
      <c r="M56" s="8" t="str">
        <f aca="false">IF(M44&lt;=0,"RESERVATORIO ZERADO - captacao insuficiente",IF(M32&lt;0,"CONSUMINDO RESERVA","OK"))</f>
        <v>OK</v>
      </c>
      <c r="N56" s="8" t="str">
        <f aca="false">IF(N44&lt;=0,"RESERVATORIO ZERADO - captacao insuficiente",IF(N32&lt;0,"CONSUMINDO RESERVA","OK"))</f>
        <v>OK</v>
      </c>
      <c r="O56" s="8" t="str">
        <f aca="false">IF(O44&lt;=0,"RESERVATORIO ZERADO - captacao insuficiente",IF(O32&lt;0,"CONSUMINDO RESERVA","OK"))</f>
        <v>OK</v>
      </c>
      <c r="P56" s="8" t="str">
        <f aca="false">IF(P44&lt;=0,"RESERVATORIO ZERADO - captacao insuficiente",IF(P32&lt;0,"CONSUMINDO RESERVA","OK"))</f>
        <v>OK</v>
      </c>
      <c r="Q56" s="8" t="str">
        <f aca="false">IF(Q44&lt;=0,"RESERVATORIO ZERADO - captacao insuficiente",IF(Q32&lt;0,"CONSUMINDO RESERVA","OK"))</f>
        <v>OK</v>
      </c>
      <c r="R56" s="8" t="str">
        <f aca="false">IF(R44&lt;=0,"RESERVATORIO ZERADO - captacao insuficiente",IF(R32&lt;0,"CONSUMINDO RESERVA","OK"))</f>
        <v>OK</v>
      </c>
      <c r="S56" s="8" t="str">
        <f aca="false">IF(S44&lt;=0,"RESERVATORIO ZERADO - captacao insuficiente",IF(S32&lt;0,"CONSUMINDO RESERVA","OK"))</f>
        <v>OK</v>
      </c>
      <c r="T56" s="8" t="str">
        <f aca="false">IF(T44&lt;=0,"RESERVATORIO ZERADO - captacao insuficiente",IF(T32&lt;0,"CONSUMINDO RESERVA","OK"))</f>
        <v>OK</v>
      </c>
      <c r="U56" s="8" t="str">
        <f aca="false">IF(U44&lt;=0,"RESERVATORIO ZERADO - captacao insuficiente",IF(U32&lt;0,"CONSUMINDO RESERVA","OK"))</f>
        <v>OK</v>
      </c>
      <c r="V56" s="8" t="str">
        <f aca="false">IF(V44&lt;=0,"RESERVATORIO ZERADO - captacao insuficiente",IF(V32&lt;0,"CONSUMINDO RESERVA","OK"))</f>
        <v>OK</v>
      </c>
      <c r="W56" s="8" t="str">
        <f aca="false">IF(W44&lt;=0,"RESERVATORIO ZERADO - captacao insuficiente",IF(W32&lt;0,"CONSUMINDO RESERVA","OK"))</f>
        <v>OK</v>
      </c>
      <c r="X56" s="8" t="str">
        <f aca="false">IF(X44&lt;=0,"RESERVATORIO ZERADO - captacao insuficiente",IF(X32&lt;0,"CONSUMINDO RESERVA","OK"))</f>
        <v>OK</v>
      </c>
      <c r="Y56" s="8" t="str">
        <f aca="false">IF(Y44&lt;=0,"RESERVATORIO ZERADO - captacao insuficiente",IF(Y32&lt;0,"CONSUMINDO RESERVA","OK"))</f>
        <v>OK</v>
      </c>
      <c r="Z56" s="8" t="str">
        <f aca="false">IF(Z44&lt;=0,"RESERVATORIO ZERADO - captacao insuficiente",IF(Z32&lt;0,"CONSUMINDO RESERVA","OK"))</f>
        <v>OK</v>
      </c>
      <c r="AA56" s="8" t="str">
        <f aca="false">IF(AA44&lt;=0,"RESERVATORIO ZERADO - captacao insuficiente",IF(AA32&lt;0,"CONSUMINDO RESERVA","OK"))</f>
        <v>OK</v>
      </c>
      <c r="AB56" s="8" t="str">
        <f aca="false">IF(AB44&lt;=0,"RESERVATORIO ZERADO - captacao insuficiente",IF(AB32&lt;0,"CONSUMINDO RESERVA","OK"))</f>
        <v>OK</v>
      </c>
      <c r="AC56" s="8" t="str">
        <f aca="false">IF(AC44&lt;=0,"RESERVATORIO ZERADO - captacao insuficiente",IF(AC32&lt;0,"CONSUMINDO RESERVA","OK"))</f>
        <v>OK</v>
      </c>
      <c r="AD56" s="8" t="str">
        <f aca="false">IF(AD44&lt;=0,"RESERVATORIO ZERADO - captacao insuficiente",IF(AD32&lt;0,"CONSUMINDO RESERVA","OK"))</f>
        <v>OK</v>
      </c>
      <c r="AE56" s="8" t="str">
        <f aca="false">IF(AE44&lt;=0,"RESERVATORIO ZERADO - captacao insuficiente",IF(AE32&lt;0,"CONSUMINDO RESERVA","OK"))</f>
        <v>OK</v>
      </c>
      <c r="AF56" s="8" t="str">
        <f aca="false">IF(AF44&lt;=0,"RESERVATORIO ZERADO - captacao insuficiente",IF(AF32&lt;0,"CONSUMINDO RESERVA","OK"))</f>
        <v>OK</v>
      </c>
      <c r="AG56" s="8" t="str">
        <f aca="false">IF(AG44&lt;=0,"RESERVATORIO ZERADO - captacao insuficiente",IF(AG32&lt;0,"CONSUMINDO RESERVA","OK"))</f>
        <v>OK</v>
      </c>
      <c r="AH56" s="8" t="str">
        <f aca="false">IF(AH44&lt;=0,"RESERVATORIO ZERADO - captacao insuficiente",IF(AH32&lt;0,"CONSUMINDO RESERVA","OK"))</f>
        <v>OK</v>
      </c>
      <c r="AI56" s="8" t="str">
        <f aca="false">IF(AI44&lt;=0,"RESERVATORIO ZERADO - captacao insuficiente",IF(AI32&lt;0,"CONSUMINDO RESERVA","OK"))</f>
        <v>OK</v>
      </c>
      <c r="AJ56" s="8" t="str">
        <f aca="false">IF(AJ44&lt;=0,"RESERVATORIO ZERADO - captacao insuficiente",IF(AJ32&lt;0,"CONSUMINDO RESERVA","OK"))</f>
        <v>OK</v>
      </c>
      <c r="AK56" s="8" t="str">
        <f aca="false">IF(AK44&lt;=0,"RESERVATORIO ZERADO - captacao insuficiente",IF(AK32&lt;0,"CONSUMINDO RESERVA","OK"))</f>
        <v>OK</v>
      </c>
      <c r="AL56" s="8" t="str">
        <f aca="false">IF(AL44&lt;=0,"RESERVATORIO ZERADO - captacao insuficiente",IF(AL32&lt;0,"CONSUMINDO RESERVA","OK"))</f>
        <v>OK</v>
      </c>
      <c r="AM56" s="8" t="str">
        <f aca="false">IF(AM44&lt;=0,"RESERVATORIO ZERADO - captacao insuficiente",IF(AM32&lt;0,"CONSUMINDO RESERVA","OK"))</f>
        <v>OK</v>
      </c>
      <c r="AN56" s="8" t="str">
        <f aca="false">IF(AN44&lt;=0,"RESERVATORIO ZERADO - captacao insuficiente",IF(AN32&lt;0,"CONSUMINDO RESERVA","OK"))</f>
        <v>OK</v>
      </c>
      <c r="AO56" s="8" t="str">
        <f aca="false">IF(AO44&lt;=0,"RESERVATORIO ZERADO - captacao insuficiente",IF(AO32&lt;0,"CONSUMINDO RESERVA","OK"))</f>
        <v>OK</v>
      </c>
      <c r="AP56" s="8" t="str">
        <f aca="false">IF(AP44&lt;=0,"RESERVATORIO ZERADO - captacao insuficiente",IF(AP32&lt;0,"CONSUMINDO RESERVA","OK"))</f>
        <v>OK</v>
      </c>
      <c r="AQ56" s="8" t="str">
        <f aca="false">IF(AQ44&lt;=0,"RESERVATORIO ZERADO - captacao insuficiente",IF(AQ32&lt;0,"CONSUMINDO RESERVA","OK"))</f>
        <v>OK</v>
      </c>
      <c r="AR56" s="8" t="str">
        <f aca="false">IF(AR44&lt;=0,"RESERVATORIO ZERADO - captacao insuficiente",IF(AR32&lt;0,"CONSUMINDO RESERVA","OK"))</f>
        <v>OK</v>
      </c>
      <c r="AS56" s="8" t="str">
        <f aca="false">IF(AS44&lt;=0,"RESERVATORIO ZERADO - captacao insuficiente",IF(AS32&lt;0,"CONSUMINDO RESERVA","OK"))</f>
        <v>OK</v>
      </c>
      <c r="AT56" s="8" t="str">
        <f aca="false">IF(AT44&lt;=0,"RESERVATORIO ZERADO - captacao insuficiente",IF(AT32&lt;0,"CONSUMINDO RESERVA","OK"))</f>
        <v>OK</v>
      </c>
      <c r="AU56" s="8" t="str">
        <f aca="false">IF(AU44&lt;=0,"RESERVATORIO ZERADO - captacao insuficiente",IF(AU32&lt;0,"CONSUMINDO RESERVA","OK"))</f>
        <v>OK</v>
      </c>
      <c r="AV56" s="8" t="str">
        <f aca="false">IF(AV44&lt;=0,"RESERVATORIO ZERADO - captacao insuficiente",IF(AV32&lt;0,"CONSUMINDO RESERVA","OK"))</f>
        <v>OK</v>
      </c>
      <c r="AW56" s="8" t="str">
        <f aca="false">IF(AW44&lt;=0,"RESERVATORIO ZERADO - captacao insuficiente",IF(AW32&lt;0,"CONSUMINDO RESERVA","OK"))</f>
        <v>OK</v>
      </c>
      <c r="AX56" s="8" t="str">
        <f aca="false">IF(AX44&lt;=0,"RESERVATORIO ZERADO - captacao insuficiente",IF(AX32&lt;0,"CONSUMINDO RESERVA","OK"))</f>
        <v>OK</v>
      </c>
      <c r="AY56" s="8" t="str">
        <f aca="false">IF(AY44&lt;=0,"RESERVATORIO ZERADO - captacao insuficiente",IF(AY32&lt;0,"CONSUMINDO RESERVA","OK"))</f>
        <v>OK</v>
      </c>
      <c r="AZ56" s="8" t="str">
        <f aca="false">IF(AZ44&lt;=0,"RESERVATORIO ZERADO - captacao insuficiente",IF(AZ32&lt;0,"CONSUMINDO RESERVA","OK"))</f>
        <v>OK</v>
      </c>
      <c r="BA56" s="8" t="str">
        <f aca="false">IF(BA44&lt;=0,"RESERVATORIO ZERADO - captacao insuficiente",IF(BA32&lt;0,"CONSUMINDO RESERVA","OK"))</f>
        <v>OK</v>
      </c>
      <c r="BB56" s="8" t="str">
        <f aca="false">IF(BB44&lt;=0,"RESERVATORIO ZERADO - captacao insuficiente",IF(BB32&lt;0,"CONSUMINDO RESERVA","OK"))</f>
        <v>OK</v>
      </c>
      <c r="BC56" s="8" t="str">
        <f aca="false">IF(BC44&lt;=0,"RESERVATORIO ZERADO - captacao insuficiente",IF(BC32&lt;0,"CONSUMINDO RESERVA","OK"))</f>
        <v>OK</v>
      </c>
      <c r="BD56" s="8" t="str">
        <f aca="false">IF(BD44&lt;=0,"RESERVATORIO ZERADO - captacao insuficiente",IF(BD32&lt;0,"CONSUMINDO RESERVA","OK"))</f>
        <v>OK</v>
      </c>
      <c r="BE56" s="8" t="str">
        <f aca="false">IF(BE44&lt;=0,"RESERVATORIO ZERADO - captacao insuficiente",IF(BE32&lt;0,"CONSUMINDO RESERVA","OK"))</f>
        <v>OK</v>
      </c>
      <c r="BF56" s="8" t="str">
        <f aca="false">IF(BF44&lt;=0,"RESERVATORIO ZERADO - captacao insuficiente",IF(BF32&lt;0,"CONSUMINDO RESERVA","OK"))</f>
        <v>OK</v>
      </c>
      <c r="BG56" s="8" t="str">
        <f aca="false">IF(BG44&lt;=0,"RESERVATORIO ZERADO - captacao insuficiente",IF(BG32&lt;0,"CONSUMINDO RESERVA","OK"))</f>
        <v>OK</v>
      </c>
      <c r="BH56" s="8" t="str">
        <f aca="false">IF(BH44&lt;=0,"RESERVATORIO ZERADO - captacao insuficiente",IF(BH32&lt;0,"CONSUMINDO RESERVA","OK"))</f>
        <v>OK</v>
      </c>
      <c r="BI56" s="8" t="str">
        <f aca="false">IF(BI44&lt;=0,"RESERVATORIO ZERADO - captacao insuficiente",IF(BI32&lt;0,"CONSUMINDO RESERVA","OK"))</f>
        <v>OK</v>
      </c>
      <c r="BJ56" s="8" t="str">
        <f aca="false">IF(BJ44&lt;=0,"RESERVATORIO ZERADO - captacao insuficiente",IF(BJ32&lt;0,"CONSUMINDO RESERVA","OK"))</f>
        <v>OK</v>
      </c>
      <c r="BK56" s="8" t="str">
        <f aca="false">IF(BK44&lt;=0,"RESERVATORIO ZERADO - captacao insuficiente",IF(BK32&lt;0,"CONSUMINDO RESERVA","OK"))</f>
        <v>OK</v>
      </c>
      <c r="BL56" s="8" t="str">
        <f aca="false">IF(BL44&lt;=0,"RESERVATORIO ZERADO - captacao insuficiente",IF(BL32&lt;0,"CONSUMINDO RESERVA","OK"))</f>
        <v>OK</v>
      </c>
      <c r="BM56" s="8" t="str">
        <f aca="false">IF(BM44&lt;=0,"RESERVATORIO ZERADO - captacao insuficiente",IF(BM32&lt;0,"CONSUMINDO RESERVA","OK"))</f>
        <v>OK</v>
      </c>
      <c r="BN56" s="8" t="str">
        <f aca="false">IF(BN44&lt;=0,"RESERVATORIO ZERADO - captacao insuficiente",IF(BN32&lt;0,"CONSUMINDO RESERVA","OK"))</f>
        <v>OK</v>
      </c>
      <c r="BO56" s="8" t="str">
        <f aca="false">IF(BO44&lt;=0,"RESERVATORIO ZERADO - captacao insuficiente",IF(BO32&lt;0,"CONSUMINDO RESERVA","OK"))</f>
        <v>OK</v>
      </c>
      <c r="BP56" s="8" t="str">
        <f aca="false">IF(BP44&lt;=0,"RESERVATORIO ZERADO - captacao insuficiente",IF(BP32&lt;0,"CONSUMINDO RESERVA","OK"))</f>
        <v>OK</v>
      </c>
    </row>
    <row r="57" customFormat="false" ht="15" hidden="false" customHeight="false" outlineLevel="0" collapsed="false">
      <c r="B57" s="15" t="s">
        <v>130</v>
      </c>
      <c r="C57" s="8" t="str">
        <f aca="false">IF(C45&lt;=0,"RESERVATORIO ZERADO - captacao insuficiente",IF(C33&lt;0,"CONSUMINDO RESERVA","OK"))</f>
        <v>OK</v>
      </c>
      <c r="D57" s="8" t="str">
        <f aca="false">IF(D45&lt;=0,"RESERVATORIO ZERADO - captacao insuficiente",IF(D33&lt;0,"CONSUMINDO RESERVA","OK"))</f>
        <v>OK</v>
      </c>
      <c r="E57" s="8" t="str">
        <f aca="false">IF(E45&lt;=0,"RESERVATORIO ZERADO - captacao insuficiente",IF(E33&lt;0,"CONSUMINDO RESERVA","OK"))</f>
        <v>OK</v>
      </c>
      <c r="F57" s="8" t="str">
        <f aca="false">IF(F45&lt;=0,"RESERVATORIO ZERADO - captacao insuficiente",IF(F33&lt;0,"CONSUMINDO RESERVA","OK"))</f>
        <v>OK</v>
      </c>
      <c r="G57" s="8" t="str">
        <f aca="false">IF(G45&lt;=0,"RESERVATORIO ZERADO - captacao insuficiente",IF(G33&lt;0,"CONSUMINDO RESERVA","OK"))</f>
        <v>OK</v>
      </c>
      <c r="H57" s="8" t="str">
        <f aca="false">IF(H45&lt;=0,"RESERVATORIO ZERADO - captacao insuficiente",IF(H33&lt;0,"CONSUMINDO RESERVA","OK"))</f>
        <v>OK</v>
      </c>
      <c r="I57" s="8" t="str">
        <f aca="false">IF(I45&lt;=0,"RESERVATORIO ZERADO - captacao insuficiente",IF(I33&lt;0,"CONSUMINDO RESERVA","OK"))</f>
        <v>OK</v>
      </c>
      <c r="J57" s="8" t="str">
        <f aca="false">IF(J45&lt;=0,"RESERVATORIO ZERADO - captacao insuficiente",IF(J33&lt;0,"CONSUMINDO RESERVA","OK"))</f>
        <v>OK</v>
      </c>
      <c r="K57" s="8" t="str">
        <f aca="false">IF(K45&lt;=0,"RESERVATORIO ZERADO - captacao insuficiente",IF(K33&lt;0,"CONSUMINDO RESERVA","OK"))</f>
        <v>OK</v>
      </c>
      <c r="L57" s="8" t="str">
        <f aca="false">IF(L45&lt;=0,"RESERVATORIO ZERADO - captacao insuficiente",IF(L33&lt;0,"CONSUMINDO RESERVA","OK"))</f>
        <v>OK</v>
      </c>
      <c r="M57" s="8" t="str">
        <f aca="false">IF(M45&lt;=0,"RESERVATORIO ZERADO - captacao insuficiente",IF(M33&lt;0,"CONSUMINDO RESERVA","OK"))</f>
        <v>OK</v>
      </c>
      <c r="N57" s="8" t="str">
        <f aca="false">IF(N45&lt;=0,"RESERVATORIO ZERADO - captacao insuficiente",IF(N33&lt;0,"CONSUMINDO RESERVA","OK"))</f>
        <v>OK</v>
      </c>
      <c r="O57" s="8" t="str">
        <f aca="false">IF(O45&lt;=0,"RESERVATORIO ZERADO - captacao insuficiente",IF(O33&lt;0,"CONSUMINDO RESERVA","OK"))</f>
        <v>OK</v>
      </c>
      <c r="P57" s="8" t="str">
        <f aca="false">IF(P45&lt;=0,"RESERVATORIO ZERADO - captacao insuficiente",IF(P33&lt;0,"CONSUMINDO RESERVA","OK"))</f>
        <v>OK</v>
      </c>
      <c r="Q57" s="8" t="str">
        <f aca="false">IF(Q45&lt;=0,"RESERVATORIO ZERADO - captacao insuficiente",IF(Q33&lt;0,"CONSUMINDO RESERVA","OK"))</f>
        <v>OK</v>
      </c>
      <c r="R57" s="8" t="str">
        <f aca="false">IF(R45&lt;=0,"RESERVATORIO ZERADO - captacao insuficiente",IF(R33&lt;0,"CONSUMINDO RESERVA","OK"))</f>
        <v>OK</v>
      </c>
      <c r="S57" s="8" t="str">
        <f aca="false">IF(S45&lt;=0,"RESERVATORIO ZERADO - captacao insuficiente",IF(S33&lt;0,"CONSUMINDO RESERVA","OK"))</f>
        <v>OK</v>
      </c>
      <c r="T57" s="8" t="str">
        <f aca="false">IF(T45&lt;=0,"RESERVATORIO ZERADO - captacao insuficiente",IF(T33&lt;0,"CONSUMINDO RESERVA","OK"))</f>
        <v>OK</v>
      </c>
      <c r="U57" s="8" t="str">
        <f aca="false">IF(U45&lt;=0,"RESERVATORIO ZERADO - captacao insuficiente",IF(U33&lt;0,"CONSUMINDO RESERVA","OK"))</f>
        <v>OK</v>
      </c>
      <c r="V57" s="8" t="str">
        <f aca="false">IF(V45&lt;=0,"RESERVATORIO ZERADO - captacao insuficiente",IF(V33&lt;0,"CONSUMINDO RESERVA","OK"))</f>
        <v>OK</v>
      </c>
      <c r="W57" s="8" t="str">
        <f aca="false">IF(W45&lt;=0,"RESERVATORIO ZERADO - captacao insuficiente",IF(W33&lt;0,"CONSUMINDO RESERVA","OK"))</f>
        <v>OK</v>
      </c>
      <c r="X57" s="8" t="str">
        <f aca="false">IF(X45&lt;=0,"RESERVATORIO ZERADO - captacao insuficiente",IF(X33&lt;0,"CONSUMINDO RESERVA","OK"))</f>
        <v>OK</v>
      </c>
      <c r="Y57" s="8" t="str">
        <f aca="false">IF(Y45&lt;=0,"RESERVATORIO ZERADO - captacao insuficiente",IF(Y33&lt;0,"CONSUMINDO RESERVA","OK"))</f>
        <v>OK</v>
      </c>
      <c r="Z57" s="8" t="str">
        <f aca="false">IF(Z45&lt;=0,"RESERVATORIO ZERADO - captacao insuficiente",IF(Z33&lt;0,"CONSUMINDO RESERVA","OK"))</f>
        <v>OK</v>
      </c>
      <c r="AA57" s="8" t="str">
        <f aca="false">IF(AA45&lt;=0,"RESERVATORIO ZERADO - captacao insuficiente",IF(AA33&lt;0,"CONSUMINDO RESERVA","OK"))</f>
        <v>OK</v>
      </c>
      <c r="AB57" s="8" t="str">
        <f aca="false">IF(AB45&lt;=0,"RESERVATORIO ZERADO - captacao insuficiente",IF(AB33&lt;0,"CONSUMINDO RESERVA","OK"))</f>
        <v>OK</v>
      </c>
      <c r="AC57" s="8" t="str">
        <f aca="false">IF(AC45&lt;=0,"RESERVATORIO ZERADO - captacao insuficiente",IF(AC33&lt;0,"CONSUMINDO RESERVA","OK"))</f>
        <v>OK</v>
      </c>
      <c r="AD57" s="8" t="str">
        <f aca="false">IF(AD45&lt;=0,"RESERVATORIO ZERADO - captacao insuficiente",IF(AD33&lt;0,"CONSUMINDO RESERVA","OK"))</f>
        <v>OK</v>
      </c>
      <c r="AE57" s="8" t="str">
        <f aca="false">IF(AE45&lt;=0,"RESERVATORIO ZERADO - captacao insuficiente",IF(AE33&lt;0,"CONSUMINDO RESERVA","OK"))</f>
        <v>OK</v>
      </c>
      <c r="AF57" s="8" t="str">
        <f aca="false">IF(AF45&lt;=0,"RESERVATORIO ZERADO - captacao insuficiente",IF(AF33&lt;0,"CONSUMINDO RESERVA","OK"))</f>
        <v>OK</v>
      </c>
      <c r="AG57" s="8" t="str">
        <f aca="false">IF(AG45&lt;=0,"RESERVATORIO ZERADO - captacao insuficiente",IF(AG33&lt;0,"CONSUMINDO RESERVA","OK"))</f>
        <v>OK</v>
      </c>
      <c r="AH57" s="8" t="str">
        <f aca="false">IF(AH45&lt;=0,"RESERVATORIO ZERADO - captacao insuficiente",IF(AH33&lt;0,"CONSUMINDO RESERVA","OK"))</f>
        <v>OK</v>
      </c>
      <c r="AI57" s="8" t="str">
        <f aca="false">IF(AI45&lt;=0,"RESERVATORIO ZERADO - captacao insuficiente",IF(AI33&lt;0,"CONSUMINDO RESERVA","OK"))</f>
        <v>OK</v>
      </c>
      <c r="AJ57" s="8" t="str">
        <f aca="false">IF(AJ45&lt;=0,"RESERVATORIO ZERADO - captacao insuficiente",IF(AJ33&lt;0,"CONSUMINDO RESERVA","OK"))</f>
        <v>OK</v>
      </c>
      <c r="AK57" s="8" t="str">
        <f aca="false">IF(AK45&lt;=0,"RESERVATORIO ZERADO - captacao insuficiente",IF(AK33&lt;0,"CONSUMINDO RESERVA","OK"))</f>
        <v>OK</v>
      </c>
      <c r="AL57" s="8" t="str">
        <f aca="false">IF(AL45&lt;=0,"RESERVATORIO ZERADO - captacao insuficiente",IF(AL33&lt;0,"CONSUMINDO RESERVA","OK"))</f>
        <v>OK</v>
      </c>
      <c r="AM57" s="8" t="str">
        <f aca="false">IF(AM45&lt;=0,"RESERVATORIO ZERADO - captacao insuficiente",IF(AM33&lt;0,"CONSUMINDO RESERVA","OK"))</f>
        <v>OK</v>
      </c>
      <c r="AN57" s="8" t="str">
        <f aca="false">IF(AN45&lt;=0,"RESERVATORIO ZERADO - captacao insuficiente",IF(AN33&lt;0,"CONSUMINDO RESERVA","OK"))</f>
        <v>OK</v>
      </c>
      <c r="AO57" s="8" t="str">
        <f aca="false">IF(AO45&lt;=0,"RESERVATORIO ZERADO - captacao insuficiente",IF(AO33&lt;0,"CONSUMINDO RESERVA","OK"))</f>
        <v>OK</v>
      </c>
      <c r="AP57" s="8" t="str">
        <f aca="false">IF(AP45&lt;=0,"RESERVATORIO ZERADO - captacao insuficiente",IF(AP33&lt;0,"CONSUMINDO RESERVA","OK"))</f>
        <v>OK</v>
      </c>
      <c r="AQ57" s="8" t="str">
        <f aca="false">IF(AQ45&lt;=0,"RESERVATORIO ZERADO - captacao insuficiente",IF(AQ33&lt;0,"CONSUMINDO RESERVA","OK"))</f>
        <v>OK</v>
      </c>
      <c r="AR57" s="8" t="str">
        <f aca="false">IF(AR45&lt;=0,"RESERVATORIO ZERADO - captacao insuficiente",IF(AR33&lt;0,"CONSUMINDO RESERVA","OK"))</f>
        <v>OK</v>
      </c>
      <c r="AS57" s="8" t="str">
        <f aca="false">IF(AS45&lt;=0,"RESERVATORIO ZERADO - captacao insuficiente",IF(AS33&lt;0,"CONSUMINDO RESERVA","OK"))</f>
        <v>OK</v>
      </c>
      <c r="AT57" s="8" t="str">
        <f aca="false">IF(AT45&lt;=0,"RESERVATORIO ZERADO - captacao insuficiente",IF(AT33&lt;0,"CONSUMINDO RESERVA","OK"))</f>
        <v>OK</v>
      </c>
      <c r="AU57" s="8" t="str">
        <f aca="false">IF(AU45&lt;=0,"RESERVATORIO ZERADO - captacao insuficiente",IF(AU33&lt;0,"CONSUMINDO RESERVA","OK"))</f>
        <v>OK</v>
      </c>
      <c r="AV57" s="8" t="str">
        <f aca="false">IF(AV45&lt;=0,"RESERVATORIO ZERADO - captacao insuficiente",IF(AV33&lt;0,"CONSUMINDO RESERVA","OK"))</f>
        <v>OK</v>
      </c>
      <c r="AW57" s="8" t="str">
        <f aca="false">IF(AW45&lt;=0,"RESERVATORIO ZERADO - captacao insuficiente",IF(AW33&lt;0,"CONSUMINDO RESERVA","OK"))</f>
        <v>OK</v>
      </c>
      <c r="AX57" s="8" t="str">
        <f aca="false">IF(AX45&lt;=0,"RESERVATORIO ZERADO - captacao insuficiente",IF(AX33&lt;0,"CONSUMINDO RESERVA","OK"))</f>
        <v>OK</v>
      </c>
      <c r="AY57" s="8" t="str">
        <f aca="false">IF(AY45&lt;=0,"RESERVATORIO ZERADO - captacao insuficiente",IF(AY33&lt;0,"CONSUMINDO RESERVA","OK"))</f>
        <v>OK</v>
      </c>
      <c r="AZ57" s="8" t="str">
        <f aca="false">IF(AZ45&lt;=0,"RESERVATORIO ZERADO - captacao insuficiente",IF(AZ33&lt;0,"CONSUMINDO RESERVA","OK"))</f>
        <v>OK</v>
      </c>
      <c r="BA57" s="8" t="str">
        <f aca="false">IF(BA45&lt;=0,"RESERVATORIO ZERADO - captacao insuficiente",IF(BA33&lt;0,"CONSUMINDO RESERVA","OK"))</f>
        <v>OK</v>
      </c>
      <c r="BB57" s="8" t="str">
        <f aca="false">IF(BB45&lt;=0,"RESERVATORIO ZERADO - captacao insuficiente",IF(BB33&lt;0,"CONSUMINDO RESERVA","OK"))</f>
        <v>OK</v>
      </c>
      <c r="BC57" s="8" t="str">
        <f aca="false">IF(BC45&lt;=0,"RESERVATORIO ZERADO - captacao insuficiente",IF(BC33&lt;0,"CONSUMINDO RESERVA","OK"))</f>
        <v>OK</v>
      </c>
      <c r="BD57" s="8" t="str">
        <f aca="false">IF(BD45&lt;=0,"RESERVATORIO ZERADO - captacao insuficiente",IF(BD33&lt;0,"CONSUMINDO RESERVA","OK"))</f>
        <v>OK</v>
      </c>
      <c r="BE57" s="8" t="str">
        <f aca="false">IF(BE45&lt;=0,"RESERVATORIO ZERADO - captacao insuficiente",IF(BE33&lt;0,"CONSUMINDO RESERVA","OK"))</f>
        <v>OK</v>
      </c>
      <c r="BF57" s="8" t="str">
        <f aca="false">IF(BF45&lt;=0,"RESERVATORIO ZERADO - captacao insuficiente",IF(BF33&lt;0,"CONSUMINDO RESERVA","OK"))</f>
        <v>OK</v>
      </c>
      <c r="BG57" s="8" t="str">
        <f aca="false">IF(BG45&lt;=0,"RESERVATORIO ZERADO - captacao insuficiente",IF(BG33&lt;0,"CONSUMINDO RESERVA","OK"))</f>
        <v>OK</v>
      </c>
      <c r="BH57" s="8" t="str">
        <f aca="false">IF(BH45&lt;=0,"RESERVATORIO ZERADO - captacao insuficiente",IF(BH33&lt;0,"CONSUMINDO RESERVA","OK"))</f>
        <v>OK</v>
      </c>
      <c r="BI57" s="8" t="str">
        <f aca="false">IF(BI45&lt;=0,"RESERVATORIO ZERADO - captacao insuficiente",IF(BI33&lt;0,"CONSUMINDO RESERVA","OK"))</f>
        <v>OK</v>
      </c>
      <c r="BJ57" s="8" t="str">
        <f aca="false">IF(BJ45&lt;=0,"RESERVATORIO ZERADO - captacao insuficiente",IF(BJ33&lt;0,"CONSUMINDO RESERVA","OK"))</f>
        <v>OK</v>
      </c>
      <c r="BK57" s="8" t="str">
        <f aca="false">IF(BK45&lt;=0,"RESERVATORIO ZERADO - captacao insuficiente",IF(BK33&lt;0,"CONSUMINDO RESERVA","OK"))</f>
        <v>OK</v>
      </c>
      <c r="BL57" s="8" t="str">
        <f aca="false">IF(BL45&lt;=0,"RESERVATORIO ZERADO - captacao insuficiente",IF(BL33&lt;0,"CONSUMINDO RESERVA","OK"))</f>
        <v>OK</v>
      </c>
      <c r="BM57" s="8" t="str">
        <f aca="false">IF(BM45&lt;=0,"RESERVATORIO ZERADO - captacao insuficiente",IF(BM33&lt;0,"CONSUMINDO RESERVA","OK"))</f>
        <v>OK</v>
      </c>
      <c r="BN57" s="8" t="str">
        <f aca="false">IF(BN45&lt;=0,"RESERVATORIO ZERADO - captacao insuficiente",IF(BN33&lt;0,"CONSUMINDO RESERVA","OK"))</f>
        <v>OK</v>
      </c>
      <c r="BO57" s="8" t="str">
        <f aca="false">IF(BO45&lt;=0,"RESERVATORIO ZERADO - captacao insuficiente",IF(BO33&lt;0,"CONSUMINDO RESERVA","OK"))</f>
        <v>OK</v>
      </c>
      <c r="BP57" s="8" t="str">
        <f aca="false">IF(BP45&lt;=0,"RESERVATORIO ZERADO - captacao insuficiente",IF(BP33&lt;0,"CONSUMINDO RESERVA","OK"))</f>
        <v>OK</v>
      </c>
    </row>
    <row r="58" customFormat="false" ht="15" hidden="false" customHeight="false" outlineLevel="0" collapsed="false">
      <c r="B58" s="15" t="s">
        <v>131</v>
      </c>
      <c r="C58" s="8" t="str">
        <f aca="false">IF(C46&lt;=0,"RESERVATORIO ZERADO - captacao insuficiente",IF(C34&lt;0,"CONSUMINDO RESERVA","OK"))</f>
        <v>OK</v>
      </c>
      <c r="D58" s="8" t="str">
        <f aca="false">IF(D46&lt;=0,"RESERVATORIO ZERADO - captacao insuficiente",IF(D34&lt;0,"CONSUMINDO RESERVA","OK"))</f>
        <v>OK</v>
      </c>
      <c r="E58" s="8" t="str">
        <f aca="false">IF(E46&lt;=0,"RESERVATORIO ZERADO - captacao insuficiente",IF(E34&lt;0,"CONSUMINDO RESERVA","OK"))</f>
        <v>OK</v>
      </c>
      <c r="F58" s="8" t="str">
        <f aca="false">IF(F46&lt;=0,"RESERVATORIO ZERADO - captacao insuficiente",IF(F34&lt;0,"CONSUMINDO RESERVA","OK"))</f>
        <v>OK</v>
      </c>
      <c r="G58" s="8" t="str">
        <f aca="false">IF(G46&lt;=0,"RESERVATORIO ZERADO - captacao insuficiente",IF(G34&lt;0,"CONSUMINDO RESERVA","OK"))</f>
        <v>OK</v>
      </c>
      <c r="H58" s="8" t="str">
        <f aca="false">IF(H46&lt;=0,"RESERVATORIO ZERADO - captacao insuficiente",IF(H34&lt;0,"CONSUMINDO RESERVA","OK"))</f>
        <v>OK</v>
      </c>
      <c r="I58" s="8" t="str">
        <f aca="false">IF(I46&lt;=0,"RESERVATORIO ZERADO - captacao insuficiente",IF(I34&lt;0,"CONSUMINDO RESERVA","OK"))</f>
        <v>OK</v>
      </c>
      <c r="J58" s="8" t="str">
        <f aca="false">IF(J46&lt;=0,"RESERVATORIO ZERADO - captacao insuficiente",IF(J34&lt;0,"CONSUMINDO RESERVA","OK"))</f>
        <v>OK</v>
      </c>
      <c r="K58" s="8" t="str">
        <f aca="false">IF(K46&lt;=0,"RESERVATORIO ZERADO - captacao insuficiente",IF(K34&lt;0,"CONSUMINDO RESERVA","OK"))</f>
        <v>OK</v>
      </c>
      <c r="L58" s="8" t="str">
        <f aca="false">IF(L46&lt;=0,"RESERVATORIO ZERADO - captacao insuficiente",IF(L34&lt;0,"CONSUMINDO RESERVA","OK"))</f>
        <v>OK</v>
      </c>
      <c r="M58" s="8" t="str">
        <f aca="false">IF(M46&lt;=0,"RESERVATORIO ZERADO - captacao insuficiente",IF(M34&lt;0,"CONSUMINDO RESERVA","OK"))</f>
        <v>OK</v>
      </c>
      <c r="N58" s="8" t="str">
        <f aca="false">IF(N46&lt;=0,"RESERVATORIO ZERADO - captacao insuficiente",IF(N34&lt;0,"CONSUMINDO RESERVA","OK"))</f>
        <v>OK</v>
      </c>
      <c r="O58" s="8" t="str">
        <f aca="false">IF(O46&lt;=0,"RESERVATORIO ZERADO - captacao insuficiente",IF(O34&lt;0,"CONSUMINDO RESERVA","OK"))</f>
        <v>OK</v>
      </c>
      <c r="P58" s="8" t="str">
        <f aca="false">IF(P46&lt;=0,"RESERVATORIO ZERADO - captacao insuficiente",IF(P34&lt;0,"CONSUMINDO RESERVA","OK"))</f>
        <v>OK</v>
      </c>
      <c r="Q58" s="8" t="str">
        <f aca="false">IF(Q46&lt;=0,"RESERVATORIO ZERADO - captacao insuficiente",IF(Q34&lt;0,"CONSUMINDO RESERVA","OK"))</f>
        <v>OK</v>
      </c>
      <c r="R58" s="8" t="str">
        <f aca="false">IF(R46&lt;=0,"RESERVATORIO ZERADO - captacao insuficiente",IF(R34&lt;0,"CONSUMINDO RESERVA","OK"))</f>
        <v>OK</v>
      </c>
      <c r="S58" s="8" t="str">
        <f aca="false">IF(S46&lt;=0,"RESERVATORIO ZERADO - captacao insuficiente",IF(S34&lt;0,"CONSUMINDO RESERVA","OK"))</f>
        <v>OK</v>
      </c>
      <c r="T58" s="8" t="str">
        <f aca="false">IF(T46&lt;=0,"RESERVATORIO ZERADO - captacao insuficiente",IF(T34&lt;0,"CONSUMINDO RESERVA","OK"))</f>
        <v>OK</v>
      </c>
      <c r="U58" s="8" t="str">
        <f aca="false">IF(U46&lt;=0,"RESERVATORIO ZERADO - captacao insuficiente",IF(U34&lt;0,"CONSUMINDO RESERVA","OK"))</f>
        <v>OK</v>
      </c>
      <c r="V58" s="8" t="str">
        <f aca="false">IF(V46&lt;=0,"RESERVATORIO ZERADO - captacao insuficiente",IF(V34&lt;0,"CONSUMINDO RESERVA","OK"))</f>
        <v>OK</v>
      </c>
      <c r="W58" s="8" t="str">
        <f aca="false">IF(W46&lt;=0,"RESERVATORIO ZERADO - captacao insuficiente",IF(W34&lt;0,"CONSUMINDO RESERVA","OK"))</f>
        <v>OK</v>
      </c>
      <c r="X58" s="8" t="str">
        <f aca="false">IF(X46&lt;=0,"RESERVATORIO ZERADO - captacao insuficiente",IF(X34&lt;0,"CONSUMINDO RESERVA","OK"))</f>
        <v>OK</v>
      </c>
      <c r="Y58" s="8" t="str">
        <f aca="false">IF(Y46&lt;=0,"RESERVATORIO ZERADO - captacao insuficiente",IF(Y34&lt;0,"CONSUMINDO RESERVA","OK"))</f>
        <v>OK</v>
      </c>
      <c r="Z58" s="8" t="str">
        <f aca="false">IF(Z46&lt;=0,"RESERVATORIO ZERADO - captacao insuficiente",IF(Z34&lt;0,"CONSUMINDO RESERVA","OK"))</f>
        <v>OK</v>
      </c>
      <c r="AA58" s="8" t="str">
        <f aca="false">IF(AA46&lt;=0,"RESERVATORIO ZERADO - captacao insuficiente",IF(AA34&lt;0,"CONSUMINDO RESERVA","OK"))</f>
        <v>OK</v>
      </c>
      <c r="AB58" s="8" t="str">
        <f aca="false">IF(AB46&lt;=0,"RESERVATORIO ZERADO - captacao insuficiente",IF(AB34&lt;0,"CONSUMINDO RESERVA","OK"))</f>
        <v>OK</v>
      </c>
      <c r="AC58" s="8" t="str">
        <f aca="false">IF(AC46&lt;=0,"RESERVATORIO ZERADO - captacao insuficiente",IF(AC34&lt;0,"CONSUMINDO RESERVA","OK"))</f>
        <v>OK</v>
      </c>
      <c r="AD58" s="8" t="str">
        <f aca="false">IF(AD46&lt;=0,"RESERVATORIO ZERADO - captacao insuficiente",IF(AD34&lt;0,"CONSUMINDO RESERVA","OK"))</f>
        <v>OK</v>
      </c>
      <c r="AE58" s="8" t="str">
        <f aca="false">IF(AE46&lt;=0,"RESERVATORIO ZERADO - captacao insuficiente",IF(AE34&lt;0,"CONSUMINDO RESERVA","OK"))</f>
        <v>OK</v>
      </c>
      <c r="AF58" s="8" t="str">
        <f aca="false">IF(AF46&lt;=0,"RESERVATORIO ZERADO - captacao insuficiente",IF(AF34&lt;0,"CONSUMINDO RESERVA","OK"))</f>
        <v>OK</v>
      </c>
      <c r="AG58" s="8" t="str">
        <f aca="false">IF(AG46&lt;=0,"RESERVATORIO ZERADO - captacao insuficiente",IF(AG34&lt;0,"CONSUMINDO RESERVA","OK"))</f>
        <v>OK</v>
      </c>
      <c r="AH58" s="8" t="str">
        <f aca="false">IF(AH46&lt;=0,"RESERVATORIO ZERADO - captacao insuficiente",IF(AH34&lt;0,"CONSUMINDO RESERVA","OK"))</f>
        <v>OK</v>
      </c>
      <c r="AI58" s="8" t="str">
        <f aca="false">IF(AI46&lt;=0,"RESERVATORIO ZERADO - captacao insuficiente",IF(AI34&lt;0,"CONSUMINDO RESERVA","OK"))</f>
        <v>OK</v>
      </c>
      <c r="AJ58" s="8" t="str">
        <f aca="false">IF(AJ46&lt;=0,"RESERVATORIO ZERADO - captacao insuficiente",IF(AJ34&lt;0,"CONSUMINDO RESERVA","OK"))</f>
        <v>OK</v>
      </c>
      <c r="AK58" s="8" t="str">
        <f aca="false">IF(AK46&lt;=0,"RESERVATORIO ZERADO - captacao insuficiente",IF(AK34&lt;0,"CONSUMINDO RESERVA","OK"))</f>
        <v>CONSUMINDO RESERVA</v>
      </c>
      <c r="AL58" s="8" t="str">
        <f aca="false">IF(AL46&lt;=0,"RESERVATORIO ZERADO - captacao insuficiente",IF(AL34&lt;0,"CONSUMINDO RESERVA","OK"))</f>
        <v>CONSUMINDO RESERVA</v>
      </c>
      <c r="AM58" s="8" t="str">
        <f aca="false">IF(AM46&lt;=0,"RESERVATORIO ZERADO - captacao insuficiente",IF(AM34&lt;0,"CONSUMINDO RESERVA","OK"))</f>
        <v>CONSUMINDO RESERVA</v>
      </c>
      <c r="AN58" s="8" t="str">
        <f aca="false">IF(AN46&lt;=0,"RESERVATORIO ZERADO - captacao insuficiente",IF(AN34&lt;0,"CONSUMINDO RESERVA","OK"))</f>
        <v>CONSUMINDO RESERVA</v>
      </c>
      <c r="AO58" s="8" t="str">
        <f aca="false">IF(AO46&lt;=0,"RESERVATORIO ZERADO - captacao insuficiente",IF(AO34&lt;0,"CONSUMINDO RESERVA","OK"))</f>
        <v>CONSUMINDO RESERVA</v>
      </c>
      <c r="AP58" s="8" t="str">
        <f aca="false">IF(AP46&lt;=0,"RESERVATORIO ZERADO - captacao insuficiente",IF(AP34&lt;0,"CONSUMINDO RESERVA","OK"))</f>
        <v>CONSUMINDO RESERVA</v>
      </c>
      <c r="AQ58" s="8" t="str">
        <f aca="false">IF(AQ46&lt;=0,"RESERVATORIO ZERADO - captacao insuficiente",IF(AQ34&lt;0,"CONSUMINDO RESERVA","OK"))</f>
        <v>OK</v>
      </c>
      <c r="AR58" s="8" t="str">
        <f aca="false">IF(AR46&lt;=0,"RESERVATORIO ZERADO - captacao insuficiente",IF(AR34&lt;0,"CONSUMINDO RESERVA","OK"))</f>
        <v>OK</v>
      </c>
      <c r="AS58" s="8" t="str">
        <f aca="false">IF(AS46&lt;=0,"RESERVATORIO ZERADO - captacao insuficiente",IF(AS34&lt;0,"CONSUMINDO RESERVA","OK"))</f>
        <v>OK</v>
      </c>
      <c r="AT58" s="8" t="str">
        <f aca="false">IF(AT46&lt;=0,"RESERVATORIO ZERADO - captacao insuficiente",IF(AT34&lt;0,"CONSUMINDO RESERVA","OK"))</f>
        <v>OK</v>
      </c>
      <c r="AU58" s="8" t="str">
        <f aca="false">IF(AU46&lt;=0,"RESERVATORIO ZERADO - captacao insuficiente",IF(AU34&lt;0,"CONSUMINDO RESERVA","OK"))</f>
        <v>OK</v>
      </c>
      <c r="AV58" s="8" t="str">
        <f aca="false">IF(AV46&lt;=0,"RESERVATORIO ZERADO - captacao insuficiente",IF(AV34&lt;0,"CONSUMINDO RESERVA","OK"))</f>
        <v>OK</v>
      </c>
      <c r="AW58" s="8" t="str">
        <f aca="false">IF(AW46&lt;=0,"RESERVATORIO ZERADO - captacao insuficiente",IF(AW34&lt;0,"CONSUMINDO RESERVA","OK"))</f>
        <v>OK</v>
      </c>
      <c r="AX58" s="8" t="str">
        <f aca="false">IF(AX46&lt;=0,"RESERVATORIO ZERADO - captacao insuficiente",IF(AX34&lt;0,"CONSUMINDO RESERVA","OK"))</f>
        <v>OK</v>
      </c>
      <c r="AY58" s="8" t="str">
        <f aca="false">IF(AY46&lt;=0,"RESERVATORIO ZERADO - captacao insuficiente",IF(AY34&lt;0,"CONSUMINDO RESERVA","OK"))</f>
        <v>OK</v>
      </c>
      <c r="AZ58" s="8" t="str">
        <f aca="false">IF(AZ46&lt;=0,"RESERVATORIO ZERADO - captacao insuficiente",IF(AZ34&lt;0,"CONSUMINDO RESERVA","OK"))</f>
        <v>OK</v>
      </c>
      <c r="BA58" s="8" t="str">
        <f aca="false">IF(BA46&lt;=0,"RESERVATORIO ZERADO - captacao insuficiente",IF(BA34&lt;0,"CONSUMINDO RESERVA","OK"))</f>
        <v>OK</v>
      </c>
      <c r="BB58" s="8" t="str">
        <f aca="false">IF(BB46&lt;=0,"RESERVATORIO ZERADO - captacao insuficiente",IF(BB34&lt;0,"CONSUMINDO RESERVA","OK"))</f>
        <v>OK</v>
      </c>
      <c r="BC58" s="8" t="str">
        <f aca="false">IF(BC46&lt;=0,"RESERVATORIO ZERADO - captacao insuficiente",IF(BC34&lt;0,"CONSUMINDO RESERVA","OK"))</f>
        <v>OK</v>
      </c>
      <c r="BD58" s="8" t="str">
        <f aca="false">IF(BD46&lt;=0,"RESERVATORIO ZERADO - captacao insuficiente",IF(BD34&lt;0,"CONSUMINDO RESERVA","OK"))</f>
        <v>OK</v>
      </c>
      <c r="BE58" s="8" t="str">
        <f aca="false">IF(BE46&lt;=0,"RESERVATORIO ZERADO - captacao insuficiente",IF(BE34&lt;0,"CONSUMINDO RESERVA","OK"))</f>
        <v>OK</v>
      </c>
      <c r="BF58" s="8" t="str">
        <f aca="false">IF(BF46&lt;=0,"RESERVATORIO ZERADO - captacao insuficiente",IF(BF34&lt;0,"CONSUMINDO RESERVA","OK"))</f>
        <v>OK</v>
      </c>
      <c r="BG58" s="8" t="str">
        <f aca="false">IF(BG46&lt;=0,"RESERVATORIO ZERADO - captacao insuficiente",IF(BG34&lt;0,"CONSUMINDO RESERVA","OK"))</f>
        <v>OK</v>
      </c>
      <c r="BH58" s="8" t="str">
        <f aca="false">IF(BH46&lt;=0,"RESERVATORIO ZERADO - captacao insuficiente",IF(BH34&lt;0,"CONSUMINDO RESERVA","OK"))</f>
        <v>OK</v>
      </c>
      <c r="BI58" s="8" t="str">
        <f aca="false">IF(BI46&lt;=0,"RESERVATORIO ZERADO - captacao insuficiente",IF(BI34&lt;0,"CONSUMINDO RESERVA","OK"))</f>
        <v>OK</v>
      </c>
      <c r="BJ58" s="8" t="str">
        <f aca="false">IF(BJ46&lt;=0,"RESERVATORIO ZERADO - captacao insuficiente",IF(BJ34&lt;0,"CONSUMINDO RESERVA","OK"))</f>
        <v>OK</v>
      </c>
      <c r="BK58" s="8" t="str">
        <f aca="false">IF(BK46&lt;=0,"RESERVATORIO ZERADO - captacao insuficiente",IF(BK34&lt;0,"CONSUMINDO RESERVA","OK"))</f>
        <v>OK</v>
      </c>
      <c r="BL58" s="8" t="str">
        <f aca="false">IF(BL46&lt;=0,"RESERVATORIO ZERADO - captacao insuficiente",IF(BL34&lt;0,"CONSUMINDO RESERVA","OK"))</f>
        <v>OK</v>
      </c>
      <c r="BM58" s="8" t="str">
        <f aca="false">IF(BM46&lt;=0,"RESERVATORIO ZERADO - captacao insuficiente",IF(BM34&lt;0,"CONSUMINDO RESERVA","OK"))</f>
        <v>OK</v>
      </c>
      <c r="BN58" s="8" t="str">
        <f aca="false">IF(BN46&lt;=0,"RESERVATORIO ZERADO - captacao insuficiente",IF(BN34&lt;0,"CONSUMINDO RESERVA","OK"))</f>
        <v>OK</v>
      </c>
      <c r="BO58" s="8" t="str">
        <f aca="false">IF(BO46&lt;=0,"RESERVATORIO ZERADO - captacao insuficiente",IF(BO34&lt;0,"CONSUMINDO RESERVA","OK"))</f>
        <v>OK</v>
      </c>
      <c r="BP58" s="8" t="str">
        <f aca="false">IF(BP46&lt;=0,"RESERVATORIO ZERADO - captacao insuficiente",IF(BP34&lt;0,"CONSUMINDO RESERVA","OK"))</f>
        <v>OK</v>
      </c>
    </row>
    <row r="59" customFormat="false" ht="15" hidden="false" customHeight="false" outlineLevel="0" collapsed="false">
      <c r="B59" s="15" t="s">
        <v>132</v>
      </c>
      <c r="C59" s="8" t="str">
        <f aca="false">IF(C47&lt;=0,"RESERVATORIO ZERADO - captacao insuficiente",IF(C35&lt;0,"CONSUMINDO RESERVA","OK"))</f>
        <v>CONSUMINDO RESERVA</v>
      </c>
      <c r="D59" s="8" t="str">
        <f aca="false">IF(D47&lt;=0,"RESERVATORIO ZERADO - captacao insuficiente",IF(D35&lt;0,"CONSUMINDO RESERVA","OK"))</f>
        <v>CONSUMINDO RESERVA</v>
      </c>
      <c r="E59" s="8" t="str">
        <f aca="false">IF(E47&lt;=0,"RESERVATORIO ZERADO - captacao insuficiente",IF(E35&lt;0,"CONSUMINDO RESERVA","OK"))</f>
        <v>CONSUMINDO RESERVA</v>
      </c>
      <c r="F59" s="8" t="str">
        <f aca="false">IF(F47&lt;=0,"RESERVATORIO ZERADO - captacao insuficiente",IF(F35&lt;0,"CONSUMINDO RESERVA","OK"))</f>
        <v>CONSUMINDO RESERVA</v>
      </c>
      <c r="G59" s="8" t="str">
        <f aca="false">IF(G47&lt;=0,"RESERVATORIO ZERADO - captacao insuficiente",IF(G35&lt;0,"CONSUMINDO RESERVA","OK"))</f>
        <v>OK</v>
      </c>
      <c r="H59" s="8" t="str">
        <f aca="false">IF(H47&lt;=0,"RESERVATORIO ZERADO - captacao insuficiente",IF(H35&lt;0,"CONSUMINDO RESERVA","OK"))</f>
        <v>OK</v>
      </c>
      <c r="I59" s="8" t="str">
        <f aca="false">IF(I47&lt;=0,"RESERVATORIO ZERADO - captacao insuficiente",IF(I35&lt;0,"CONSUMINDO RESERVA","OK"))</f>
        <v>OK</v>
      </c>
      <c r="J59" s="8" t="str">
        <f aca="false">IF(J47&lt;=0,"RESERVATORIO ZERADO - captacao insuficiente",IF(J35&lt;0,"CONSUMINDO RESERVA","OK"))</f>
        <v>OK</v>
      </c>
      <c r="K59" s="8" t="str">
        <f aca="false">IF(K47&lt;=0,"RESERVATORIO ZERADO - captacao insuficiente",IF(K35&lt;0,"CONSUMINDO RESERVA","OK"))</f>
        <v>OK</v>
      </c>
      <c r="L59" s="8" t="str">
        <f aca="false">IF(L47&lt;=0,"RESERVATORIO ZERADO - captacao insuficiente",IF(L35&lt;0,"CONSUMINDO RESERVA","OK"))</f>
        <v>OK</v>
      </c>
      <c r="M59" s="8" t="str">
        <f aca="false">IF(M47&lt;=0,"RESERVATORIO ZERADO - captacao insuficiente",IF(M35&lt;0,"CONSUMINDO RESERVA","OK"))</f>
        <v>OK</v>
      </c>
      <c r="N59" s="8" t="str">
        <f aca="false">IF(N47&lt;=0,"RESERVATORIO ZERADO - captacao insuficiente",IF(N35&lt;0,"CONSUMINDO RESERVA","OK"))</f>
        <v>OK</v>
      </c>
      <c r="O59" s="8" t="str">
        <f aca="false">IF(O47&lt;=0,"RESERVATORIO ZERADO - captacao insuficiente",IF(O35&lt;0,"CONSUMINDO RESERVA","OK"))</f>
        <v>OK</v>
      </c>
      <c r="P59" s="8" t="str">
        <f aca="false">IF(P47&lt;=0,"RESERVATORIO ZERADO - captacao insuficiente",IF(P35&lt;0,"CONSUMINDO RESERVA","OK"))</f>
        <v>OK</v>
      </c>
      <c r="Q59" s="8" t="str">
        <f aca="false">IF(Q47&lt;=0,"RESERVATORIO ZERADO - captacao insuficiente",IF(Q35&lt;0,"CONSUMINDO RESERVA","OK"))</f>
        <v>OK</v>
      </c>
      <c r="R59" s="8" t="str">
        <f aca="false">IF(R47&lt;=0,"RESERVATORIO ZERADO - captacao insuficiente",IF(R35&lt;0,"CONSUMINDO RESERVA","OK"))</f>
        <v>OK</v>
      </c>
      <c r="S59" s="8" t="str">
        <f aca="false">IF(S47&lt;=0,"RESERVATORIO ZERADO - captacao insuficiente",IF(S35&lt;0,"CONSUMINDO RESERVA","OK"))</f>
        <v>OK</v>
      </c>
      <c r="T59" s="8" t="str">
        <f aca="false">IF(T47&lt;=0,"RESERVATORIO ZERADO - captacao insuficiente",IF(T35&lt;0,"CONSUMINDO RESERVA","OK"))</f>
        <v>OK</v>
      </c>
      <c r="U59" s="8" t="str">
        <f aca="false">IF(U47&lt;=0,"RESERVATORIO ZERADO - captacao insuficiente",IF(U35&lt;0,"CONSUMINDO RESERVA","OK"))</f>
        <v>OK</v>
      </c>
      <c r="V59" s="8" t="str">
        <f aca="false">IF(V47&lt;=0,"RESERVATORIO ZERADO - captacao insuficiente",IF(V35&lt;0,"CONSUMINDO RESERVA","OK"))</f>
        <v>OK</v>
      </c>
      <c r="W59" s="8" t="str">
        <f aca="false">IF(W47&lt;=0,"RESERVATORIO ZERADO - captacao insuficiente",IF(W35&lt;0,"CONSUMINDO RESERVA","OK"))</f>
        <v>OK</v>
      </c>
      <c r="X59" s="8" t="str">
        <f aca="false">IF(X47&lt;=0,"RESERVATORIO ZERADO - captacao insuficiente",IF(X35&lt;0,"CONSUMINDO RESERVA","OK"))</f>
        <v>OK</v>
      </c>
      <c r="Y59" s="8" t="str">
        <f aca="false">IF(Y47&lt;=0,"RESERVATORIO ZERADO - captacao insuficiente",IF(Y35&lt;0,"CONSUMINDO RESERVA","OK"))</f>
        <v>OK</v>
      </c>
      <c r="Z59" s="8" t="str">
        <f aca="false">IF(Z47&lt;=0,"RESERVATORIO ZERADO - captacao insuficiente",IF(Z35&lt;0,"CONSUMINDO RESERVA","OK"))</f>
        <v>OK</v>
      </c>
      <c r="AA59" s="8" t="str">
        <f aca="false">IF(AA47&lt;=0,"RESERVATORIO ZERADO - captacao insuficiente",IF(AA35&lt;0,"CONSUMINDO RESERVA","OK"))</f>
        <v>OK</v>
      </c>
      <c r="AB59" s="8" t="str">
        <f aca="false">IF(AB47&lt;=0,"RESERVATORIO ZERADO - captacao insuficiente",IF(AB35&lt;0,"CONSUMINDO RESERVA","OK"))</f>
        <v>OK</v>
      </c>
      <c r="AC59" s="8" t="str">
        <f aca="false">IF(AC47&lt;=0,"RESERVATORIO ZERADO - captacao insuficiente",IF(AC35&lt;0,"CONSUMINDO RESERVA","OK"))</f>
        <v>OK</v>
      </c>
      <c r="AD59" s="8" t="str">
        <f aca="false">IF(AD47&lt;=0,"RESERVATORIO ZERADO - captacao insuficiente",IF(AD35&lt;0,"CONSUMINDO RESERVA","OK"))</f>
        <v>OK</v>
      </c>
      <c r="AE59" s="8" t="str">
        <f aca="false">IF(AE47&lt;=0,"RESERVATORIO ZERADO - captacao insuficiente",IF(AE35&lt;0,"CONSUMINDO RESERVA","OK"))</f>
        <v>OK</v>
      </c>
      <c r="AF59" s="8" t="str">
        <f aca="false">IF(AF47&lt;=0,"RESERVATORIO ZERADO - captacao insuficiente",IF(AF35&lt;0,"CONSUMINDO RESERVA","OK"))</f>
        <v>OK</v>
      </c>
      <c r="AG59" s="8" t="str">
        <f aca="false">IF(AG47&lt;=0,"RESERVATORIO ZERADO - captacao insuficiente",IF(AG35&lt;0,"CONSUMINDO RESERVA","OK"))</f>
        <v>OK</v>
      </c>
      <c r="AH59" s="8" t="str">
        <f aca="false">IF(AH47&lt;=0,"RESERVATORIO ZERADO - captacao insuficiente",IF(AH35&lt;0,"CONSUMINDO RESERVA","OK"))</f>
        <v>CONSUMINDO RESERVA</v>
      </c>
      <c r="AI59" s="8" t="str">
        <f aca="false">IF(AI47&lt;=0,"RESERVATORIO ZERADO - captacao insuficiente",IF(AI35&lt;0,"CONSUMINDO RESERVA","OK"))</f>
        <v>CONSUMINDO RESERVA</v>
      </c>
      <c r="AJ59" s="8" t="str">
        <f aca="false">IF(AJ47&lt;=0,"RESERVATORIO ZERADO - captacao insuficiente",IF(AJ35&lt;0,"CONSUMINDO RESERVA","OK"))</f>
        <v>CONSUMINDO RESERVA</v>
      </c>
      <c r="AK59" s="8" t="str">
        <f aca="false">IF(AK47&lt;=0,"RESERVATORIO ZERADO - captacao insuficiente",IF(AK35&lt;0,"CONSUMINDO RESERVA","OK"))</f>
        <v>CONSUMINDO RESERVA</v>
      </c>
      <c r="AL59" s="8" t="str">
        <f aca="false">IF(AL47&lt;=0,"RESERVATORIO ZERADO - captacao insuficiente",IF(AL35&lt;0,"CONSUMINDO RESERVA","OK"))</f>
        <v>CONSUMINDO RESERVA</v>
      </c>
      <c r="AM59" s="8" t="str">
        <f aca="false">IF(AM47&lt;=0,"RESERVATORIO ZERADO - captacao insuficiente",IF(AM35&lt;0,"CONSUMINDO RESERVA","OK"))</f>
        <v>CONSUMINDO RESERVA</v>
      </c>
      <c r="AN59" s="8" t="str">
        <f aca="false">IF(AN47&lt;=0,"RESERVATORIO ZERADO - captacao insuficiente",IF(AN35&lt;0,"CONSUMINDO RESERVA","OK"))</f>
        <v>CONSUMINDO RESERVA</v>
      </c>
      <c r="AO59" s="8" t="str">
        <f aca="false">IF(AO47&lt;=0,"RESERVATORIO ZERADO - captacao insuficiente",IF(AO35&lt;0,"CONSUMINDO RESERVA","OK"))</f>
        <v>CONSUMINDO RESERVA</v>
      </c>
      <c r="AP59" s="8" t="str">
        <f aca="false">IF(AP47&lt;=0,"RESERVATORIO ZERADO - captacao insuficiente",IF(AP35&lt;0,"CONSUMINDO RESERVA","OK"))</f>
        <v>CONSUMINDO RESERVA</v>
      </c>
      <c r="AQ59" s="8" t="str">
        <f aca="false">IF(AQ47&lt;=0,"RESERVATORIO ZERADO - captacao insuficiente",IF(AQ35&lt;0,"CONSUMINDO RESERVA","OK"))</f>
        <v>CONSUMINDO RESERVA</v>
      </c>
      <c r="AR59" s="8" t="str">
        <f aca="false">IF(AR47&lt;=0,"RESERVATORIO ZERADO - captacao insuficiente",IF(AR35&lt;0,"CONSUMINDO RESERVA","OK"))</f>
        <v>OK</v>
      </c>
      <c r="AS59" s="8" t="str">
        <f aca="false">IF(AS47&lt;=0,"RESERVATORIO ZERADO - captacao insuficiente",IF(AS35&lt;0,"CONSUMINDO RESERVA","OK"))</f>
        <v>OK</v>
      </c>
      <c r="AT59" s="8" t="str">
        <f aca="false">IF(AT47&lt;=0,"RESERVATORIO ZERADO - captacao insuficiente",IF(AT35&lt;0,"CONSUMINDO RESERVA","OK"))</f>
        <v>OK</v>
      </c>
      <c r="AU59" s="8" t="str">
        <f aca="false">IF(AU47&lt;=0,"RESERVATORIO ZERADO - captacao insuficiente",IF(AU35&lt;0,"CONSUMINDO RESERVA","OK"))</f>
        <v>OK</v>
      </c>
      <c r="AV59" s="8" t="str">
        <f aca="false">IF(AV47&lt;=0,"RESERVATORIO ZERADO - captacao insuficiente",IF(AV35&lt;0,"CONSUMINDO RESERVA","OK"))</f>
        <v>OK</v>
      </c>
      <c r="AW59" s="8" t="str">
        <f aca="false">IF(AW47&lt;=0,"RESERVATORIO ZERADO - captacao insuficiente",IF(AW35&lt;0,"CONSUMINDO RESERVA","OK"))</f>
        <v>CONSUMINDO RESERVA</v>
      </c>
      <c r="AX59" s="8" t="str">
        <f aca="false">IF(AX47&lt;=0,"RESERVATORIO ZERADO - captacao insuficiente",IF(AX35&lt;0,"CONSUMINDO RESERVA","OK"))</f>
        <v>CONSUMINDO RESERVA</v>
      </c>
      <c r="AY59" s="8" t="str">
        <f aca="false">IF(AY47&lt;=0,"RESERVATORIO ZERADO - captacao insuficiente",IF(AY35&lt;0,"CONSUMINDO RESERVA","OK"))</f>
        <v>CONSUMINDO RESERVA</v>
      </c>
      <c r="AZ59" s="8" t="str">
        <f aca="false">IF(AZ47&lt;=0,"RESERVATORIO ZERADO - captacao insuficiente",IF(AZ35&lt;0,"CONSUMINDO RESERVA","OK"))</f>
        <v>CONSUMINDO RESERVA</v>
      </c>
      <c r="BA59" s="8" t="str">
        <f aca="false">IF(BA47&lt;=0,"RESERVATORIO ZERADO - captacao insuficiente",IF(BA35&lt;0,"CONSUMINDO RESERVA","OK"))</f>
        <v>CONSUMINDO RESERVA</v>
      </c>
      <c r="BB59" s="8" t="str">
        <f aca="false">IF(BB47&lt;=0,"RESERVATORIO ZERADO - captacao insuficiente",IF(BB35&lt;0,"CONSUMINDO RESERVA","OK"))</f>
        <v>CONSUMINDO RESERVA</v>
      </c>
      <c r="BC59" s="8" t="str">
        <f aca="false">IF(BC47&lt;=0,"RESERVATORIO ZERADO - captacao insuficiente",IF(BC35&lt;0,"CONSUMINDO RESERVA","OK"))</f>
        <v>CONSUMINDO RESERVA</v>
      </c>
      <c r="BD59" s="8" t="str">
        <f aca="false">IF(BD47&lt;=0,"RESERVATORIO ZERADO - captacao insuficiente",IF(BD35&lt;0,"CONSUMINDO RESERVA","OK"))</f>
        <v>RESERVATORIO ZERADO - captacao insuficiente</v>
      </c>
      <c r="BE59" s="8" t="str">
        <f aca="false">IF(BE47&lt;=0,"RESERVATORIO ZERADO - captacao insuficiente",IF(BE35&lt;0,"CONSUMINDO RESERVA","OK"))</f>
        <v>RESERVATORIO ZERADO - captacao insuficiente</v>
      </c>
      <c r="BF59" s="8" t="str">
        <f aca="false">IF(BF47&lt;=0,"RESERVATORIO ZERADO - captacao insuficiente",IF(BF35&lt;0,"CONSUMINDO RESERVA","OK"))</f>
        <v>RESERVATORIO ZERADO - captacao insuficiente</v>
      </c>
      <c r="BG59" s="8" t="str">
        <f aca="false">IF(BG47&lt;=0,"RESERVATORIO ZERADO - captacao insuficiente",IF(BG35&lt;0,"CONSUMINDO RESERVA","OK"))</f>
        <v>RESERVATORIO ZERADO - captacao insuficiente</v>
      </c>
      <c r="BH59" s="8" t="str">
        <f aca="false">IF(BH47&lt;=0,"RESERVATORIO ZERADO - captacao insuficiente",IF(BH35&lt;0,"CONSUMINDO RESERVA","OK"))</f>
        <v>RESERVATORIO ZERADO - captacao insuficiente</v>
      </c>
      <c r="BI59" s="8" t="str">
        <f aca="false">IF(BI47&lt;=0,"RESERVATORIO ZERADO - captacao insuficiente",IF(BI35&lt;0,"CONSUMINDO RESERVA","OK"))</f>
        <v>OK</v>
      </c>
      <c r="BJ59" s="8" t="str">
        <f aca="false">IF(BJ47&lt;=0,"RESERVATORIO ZERADO - captacao insuficiente",IF(BJ35&lt;0,"CONSUMINDO RESERVA","OK"))</f>
        <v>OK</v>
      </c>
      <c r="BK59" s="8" t="str">
        <f aca="false">IF(BK47&lt;=0,"RESERVATORIO ZERADO - captacao insuficiente",IF(BK35&lt;0,"CONSUMINDO RESERVA","OK"))</f>
        <v>OK</v>
      </c>
      <c r="BL59" s="8" t="str">
        <f aca="false">IF(BL47&lt;=0,"RESERVATORIO ZERADO - captacao insuficiente",IF(BL35&lt;0,"CONSUMINDO RESERVA","OK"))</f>
        <v>OK</v>
      </c>
      <c r="BM59" s="8" t="str">
        <f aca="false">IF(BM47&lt;=0,"RESERVATORIO ZERADO - captacao insuficiente",IF(BM35&lt;0,"CONSUMINDO RESERVA","OK"))</f>
        <v>OK</v>
      </c>
      <c r="BN59" s="8" t="str">
        <f aca="false">IF(BN47&lt;=0,"RESERVATORIO ZERADO - captacao insuficiente",IF(BN35&lt;0,"CONSUMINDO RESERVA","OK"))</f>
        <v>OK</v>
      </c>
      <c r="BO59" s="8" t="str">
        <f aca="false">IF(BO47&lt;=0,"RESERVATORIO ZERADO - captacao insuficiente",IF(BO35&lt;0,"CONSUMINDO RESERVA","OK"))</f>
        <v>OK</v>
      </c>
      <c r="BP59" s="8" t="str">
        <f aca="false">IF(BP47&lt;=0,"RESERVATORIO ZERADO - captacao insuficiente",IF(BP35&lt;0,"CONSUMINDO RESERVA","OK"))</f>
        <v>OK</v>
      </c>
    </row>
    <row r="60" customFormat="false" ht="15" hidden="false" customHeight="false" outlineLevel="0" collapsed="false">
      <c r="B60" s="15" t="s">
        <v>133</v>
      </c>
      <c r="C60" s="8" t="str">
        <f aca="false">IF(C48&lt;=0,"RESERVATORIO ZERADO - captacao insuficiente",IF(C36&lt;0,"CONSUMINDO RESERVA","OK"))</f>
        <v>OK</v>
      </c>
      <c r="D60" s="8" t="str">
        <f aca="false">IF(D48&lt;=0,"RESERVATORIO ZERADO - captacao insuficiente",IF(D36&lt;0,"CONSUMINDO RESERVA","OK"))</f>
        <v>OK</v>
      </c>
      <c r="E60" s="8" t="str">
        <f aca="false">IF(E48&lt;=0,"RESERVATORIO ZERADO - captacao insuficiente",IF(E36&lt;0,"CONSUMINDO RESERVA","OK"))</f>
        <v>OK</v>
      </c>
      <c r="F60" s="8" t="str">
        <f aca="false">IF(F48&lt;=0,"RESERVATORIO ZERADO - captacao insuficiente",IF(F36&lt;0,"CONSUMINDO RESERVA","OK"))</f>
        <v>OK</v>
      </c>
      <c r="G60" s="8" t="str">
        <f aca="false">IF(G48&lt;=0,"RESERVATORIO ZERADO - captacao insuficiente",IF(G36&lt;0,"CONSUMINDO RESERVA","OK"))</f>
        <v>OK</v>
      </c>
      <c r="H60" s="8" t="str">
        <f aca="false">IF(H48&lt;=0,"RESERVATORIO ZERADO - captacao insuficiente",IF(H36&lt;0,"CONSUMINDO RESERVA","OK"))</f>
        <v>OK</v>
      </c>
      <c r="I60" s="8" t="str">
        <f aca="false">IF(I48&lt;=0,"RESERVATORIO ZERADO - captacao insuficiente",IF(I36&lt;0,"CONSUMINDO RESERVA","OK"))</f>
        <v>OK</v>
      </c>
      <c r="J60" s="8" t="str">
        <f aca="false">IF(J48&lt;=0,"RESERVATORIO ZERADO - captacao insuficiente",IF(J36&lt;0,"CONSUMINDO RESERVA","OK"))</f>
        <v>OK</v>
      </c>
      <c r="K60" s="8" t="str">
        <f aca="false">IF(K48&lt;=0,"RESERVATORIO ZERADO - captacao insuficiente",IF(K36&lt;0,"CONSUMINDO RESERVA","OK"))</f>
        <v>OK</v>
      </c>
      <c r="L60" s="8" t="str">
        <f aca="false">IF(L48&lt;=0,"RESERVATORIO ZERADO - captacao insuficiente",IF(L36&lt;0,"CONSUMINDO RESERVA","OK"))</f>
        <v>OK</v>
      </c>
      <c r="M60" s="8" t="str">
        <f aca="false">IF(M48&lt;=0,"RESERVATORIO ZERADO - captacao insuficiente",IF(M36&lt;0,"CONSUMINDO RESERVA","OK"))</f>
        <v>OK</v>
      </c>
      <c r="N60" s="8" t="str">
        <f aca="false">IF(N48&lt;=0,"RESERVATORIO ZERADO - captacao insuficiente",IF(N36&lt;0,"CONSUMINDO RESERVA","OK"))</f>
        <v>OK</v>
      </c>
      <c r="O60" s="8" t="str">
        <f aca="false">IF(O48&lt;=0,"RESERVATORIO ZERADO - captacao insuficiente",IF(O36&lt;0,"CONSUMINDO RESERVA","OK"))</f>
        <v>OK</v>
      </c>
      <c r="P60" s="8" t="str">
        <f aca="false">IF(P48&lt;=0,"RESERVATORIO ZERADO - captacao insuficiente",IF(P36&lt;0,"CONSUMINDO RESERVA","OK"))</f>
        <v>OK</v>
      </c>
      <c r="Q60" s="8" t="str">
        <f aca="false">IF(Q48&lt;=0,"RESERVATORIO ZERADO - captacao insuficiente",IF(Q36&lt;0,"CONSUMINDO RESERVA","OK"))</f>
        <v>OK</v>
      </c>
      <c r="R60" s="8" t="str">
        <f aca="false">IF(R48&lt;=0,"RESERVATORIO ZERADO - captacao insuficiente",IF(R36&lt;0,"CONSUMINDO RESERVA","OK"))</f>
        <v>OK</v>
      </c>
      <c r="S60" s="8" t="str">
        <f aca="false">IF(S48&lt;=0,"RESERVATORIO ZERADO - captacao insuficiente",IF(S36&lt;0,"CONSUMINDO RESERVA","OK"))</f>
        <v>OK</v>
      </c>
      <c r="T60" s="8" t="str">
        <f aca="false">IF(T48&lt;=0,"RESERVATORIO ZERADO - captacao insuficiente",IF(T36&lt;0,"CONSUMINDO RESERVA","OK"))</f>
        <v>OK</v>
      </c>
      <c r="U60" s="8" t="str">
        <f aca="false">IF(U48&lt;=0,"RESERVATORIO ZERADO - captacao insuficiente",IF(U36&lt;0,"CONSUMINDO RESERVA","OK"))</f>
        <v>OK</v>
      </c>
      <c r="V60" s="8" t="str">
        <f aca="false">IF(V48&lt;=0,"RESERVATORIO ZERADO - captacao insuficiente",IF(V36&lt;0,"CONSUMINDO RESERVA","OK"))</f>
        <v>OK</v>
      </c>
      <c r="W60" s="8" t="str">
        <f aca="false">IF(W48&lt;=0,"RESERVATORIO ZERADO - captacao insuficiente",IF(W36&lt;0,"CONSUMINDO RESERVA","OK"))</f>
        <v>OK</v>
      </c>
      <c r="X60" s="8" t="str">
        <f aca="false">IF(X48&lt;=0,"RESERVATORIO ZERADO - captacao insuficiente",IF(X36&lt;0,"CONSUMINDO RESERVA","OK"))</f>
        <v>OK</v>
      </c>
      <c r="Y60" s="8" t="str">
        <f aca="false">IF(Y48&lt;=0,"RESERVATORIO ZERADO - captacao insuficiente",IF(Y36&lt;0,"CONSUMINDO RESERVA","OK"))</f>
        <v>OK</v>
      </c>
      <c r="Z60" s="8" t="str">
        <f aca="false">IF(Z48&lt;=0,"RESERVATORIO ZERADO - captacao insuficiente",IF(Z36&lt;0,"CONSUMINDO RESERVA","OK"))</f>
        <v>OK</v>
      </c>
      <c r="AA60" s="8" t="str">
        <f aca="false">IF(AA48&lt;=0,"RESERVATORIO ZERADO - captacao insuficiente",IF(AA36&lt;0,"CONSUMINDO RESERVA","OK"))</f>
        <v>OK</v>
      </c>
      <c r="AB60" s="8" t="str">
        <f aca="false">IF(AB48&lt;=0,"RESERVATORIO ZERADO - captacao insuficiente",IF(AB36&lt;0,"CONSUMINDO RESERVA","OK"))</f>
        <v>OK</v>
      </c>
      <c r="AC60" s="8" t="str">
        <f aca="false">IF(AC48&lt;=0,"RESERVATORIO ZERADO - captacao insuficiente",IF(AC36&lt;0,"CONSUMINDO RESERVA","OK"))</f>
        <v>OK</v>
      </c>
      <c r="AD60" s="8" t="str">
        <f aca="false">IF(AD48&lt;=0,"RESERVATORIO ZERADO - captacao insuficiente",IF(AD36&lt;0,"CONSUMINDO RESERVA","OK"))</f>
        <v>OK</v>
      </c>
      <c r="AE60" s="8" t="str">
        <f aca="false">IF(AE48&lt;=0,"RESERVATORIO ZERADO - captacao insuficiente",IF(AE36&lt;0,"CONSUMINDO RESERVA","OK"))</f>
        <v>OK</v>
      </c>
      <c r="AF60" s="8" t="str">
        <f aca="false">IF(AF48&lt;=0,"RESERVATORIO ZERADO - captacao insuficiente",IF(AF36&lt;0,"CONSUMINDO RESERVA","OK"))</f>
        <v>OK</v>
      </c>
      <c r="AG60" s="8" t="str">
        <f aca="false">IF(AG48&lt;=0,"RESERVATORIO ZERADO - captacao insuficiente",IF(AG36&lt;0,"CONSUMINDO RESERVA","OK"))</f>
        <v>CONSUMINDO RESERVA</v>
      </c>
      <c r="AH60" s="8" t="str">
        <f aca="false">IF(AH48&lt;=0,"RESERVATORIO ZERADO - captacao insuficiente",IF(AH36&lt;0,"CONSUMINDO RESERVA","OK"))</f>
        <v>CONSUMINDO RESERVA</v>
      </c>
      <c r="AI60" s="8" t="str">
        <f aca="false">IF(AI48&lt;=0,"RESERVATORIO ZERADO - captacao insuficiente",IF(AI36&lt;0,"CONSUMINDO RESERVA","OK"))</f>
        <v>CONSUMINDO RESERVA</v>
      </c>
      <c r="AJ60" s="8" t="str">
        <f aca="false">IF(AJ48&lt;=0,"RESERVATORIO ZERADO - captacao insuficiente",IF(AJ36&lt;0,"CONSUMINDO RESERVA","OK"))</f>
        <v>CONSUMINDO RESERVA</v>
      </c>
      <c r="AK60" s="8" t="str">
        <f aca="false">IF(AK48&lt;=0,"RESERVATORIO ZERADO - captacao insuficiente",IF(AK36&lt;0,"CONSUMINDO RESERVA","OK"))</f>
        <v>CONSUMINDO RESERVA</v>
      </c>
      <c r="AL60" s="8" t="str">
        <f aca="false">IF(AL48&lt;=0,"RESERVATORIO ZERADO - captacao insuficiente",IF(AL36&lt;0,"CONSUMINDO RESERVA","OK"))</f>
        <v>RESERVATORIO ZERADO - captacao insuficiente</v>
      </c>
      <c r="AM60" s="8" t="str">
        <f aca="false">IF(AM48&lt;=0,"RESERVATORIO ZERADO - captacao insuficiente",IF(AM36&lt;0,"CONSUMINDO RESERVA","OK"))</f>
        <v>RESERVATORIO ZERADO - captacao insuficiente</v>
      </c>
      <c r="AN60" s="8" t="str">
        <f aca="false">IF(AN48&lt;=0,"RESERVATORIO ZERADO - captacao insuficiente",IF(AN36&lt;0,"CONSUMINDO RESERVA","OK"))</f>
        <v>RESERVATORIO ZERADO - captacao insuficiente</v>
      </c>
      <c r="AO60" s="8" t="str">
        <f aca="false">IF(AO48&lt;=0,"RESERVATORIO ZERADO - captacao insuficiente",IF(AO36&lt;0,"CONSUMINDO RESERVA","OK"))</f>
        <v>RESERVATORIO ZERADO - captacao insuficiente</v>
      </c>
      <c r="AP60" s="8" t="str">
        <f aca="false">IF(AP48&lt;=0,"RESERVATORIO ZERADO - captacao insuficiente",IF(AP36&lt;0,"CONSUMINDO RESERVA","OK"))</f>
        <v>RESERVATORIO ZERADO - captacao insuficiente</v>
      </c>
      <c r="AQ60" s="8" t="str">
        <f aca="false">IF(AQ48&lt;=0,"RESERVATORIO ZERADO - captacao insuficiente",IF(AQ36&lt;0,"CONSUMINDO RESERVA","OK"))</f>
        <v>RESERVATORIO ZERADO - captacao insuficiente</v>
      </c>
      <c r="AR60" s="8" t="str">
        <f aca="false">IF(AR48&lt;=0,"RESERVATORIO ZERADO - captacao insuficiente",IF(AR36&lt;0,"CONSUMINDO RESERVA","OK"))</f>
        <v>OK</v>
      </c>
      <c r="AS60" s="8" t="str">
        <f aca="false">IF(AS48&lt;=0,"RESERVATORIO ZERADO - captacao insuficiente",IF(AS36&lt;0,"CONSUMINDO RESERVA","OK"))</f>
        <v>OK</v>
      </c>
      <c r="AT60" s="8" t="str">
        <f aca="false">IF(AT48&lt;=0,"RESERVATORIO ZERADO - captacao insuficiente",IF(AT36&lt;0,"CONSUMINDO RESERVA","OK"))</f>
        <v>OK</v>
      </c>
      <c r="AU60" s="8" t="str">
        <f aca="false">IF(AU48&lt;=0,"RESERVATORIO ZERADO - captacao insuficiente",IF(AU36&lt;0,"CONSUMINDO RESERVA","OK"))</f>
        <v>OK</v>
      </c>
      <c r="AV60" s="8" t="str">
        <f aca="false">IF(AV48&lt;=0,"RESERVATORIO ZERADO - captacao insuficiente",IF(AV36&lt;0,"CONSUMINDO RESERVA","OK"))</f>
        <v>OK</v>
      </c>
      <c r="AW60" s="8" t="str">
        <f aca="false">IF(AW48&lt;=0,"RESERVATORIO ZERADO - captacao insuficiente",IF(AW36&lt;0,"CONSUMINDO RESERVA","OK"))</f>
        <v>OK</v>
      </c>
      <c r="AX60" s="8" t="str">
        <f aca="false">IF(AX48&lt;=0,"RESERVATORIO ZERADO - captacao insuficiente",IF(AX36&lt;0,"CONSUMINDO RESERVA","OK"))</f>
        <v>OK</v>
      </c>
      <c r="AY60" s="8" t="str">
        <f aca="false">IF(AY48&lt;=0,"RESERVATORIO ZERADO - captacao insuficiente",IF(AY36&lt;0,"CONSUMINDO RESERVA","OK"))</f>
        <v>CONSUMINDO RESERVA</v>
      </c>
      <c r="AZ60" s="8" t="str">
        <f aca="false">IF(AZ48&lt;=0,"RESERVATORIO ZERADO - captacao insuficiente",IF(AZ36&lt;0,"CONSUMINDO RESERVA","OK"))</f>
        <v>CONSUMINDO RESERVA</v>
      </c>
      <c r="BA60" s="8" t="str">
        <f aca="false">IF(BA48&lt;=0,"RESERVATORIO ZERADO - captacao insuficiente",IF(BA36&lt;0,"CONSUMINDO RESERVA","OK"))</f>
        <v>CONSUMINDO RESERVA</v>
      </c>
      <c r="BB60" s="8" t="str">
        <f aca="false">IF(BB48&lt;=0,"RESERVATORIO ZERADO - captacao insuficiente",IF(BB36&lt;0,"CONSUMINDO RESERVA","OK"))</f>
        <v>CONSUMINDO RESERVA</v>
      </c>
      <c r="BC60" s="8" t="str">
        <f aca="false">IF(BC48&lt;=0,"RESERVATORIO ZERADO - captacao insuficiente",IF(BC36&lt;0,"CONSUMINDO RESERVA","OK"))</f>
        <v>RESERVATORIO ZERADO - captacao insuficiente</v>
      </c>
      <c r="BD60" s="8" t="str">
        <f aca="false">IF(BD48&lt;=0,"RESERVATORIO ZERADO - captacao insuficiente",IF(BD36&lt;0,"CONSUMINDO RESERVA","OK"))</f>
        <v>RESERVATORIO ZERADO - captacao insuficiente</v>
      </c>
      <c r="BE60" s="8" t="str">
        <f aca="false">IF(BE48&lt;=0,"RESERVATORIO ZERADO - captacao insuficiente",IF(BE36&lt;0,"CONSUMINDO RESERVA","OK"))</f>
        <v>RESERVATORIO ZERADO - captacao insuficiente</v>
      </c>
      <c r="BF60" s="8" t="str">
        <f aca="false">IF(BF48&lt;=0,"RESERVATORIO ZERADO - captacao insuficiente",IF(BF36&lt;0,"CONSUMINDO RESERVA","OK"))</f>
        <v>RESERVATORIO ZERADO - captacao insuficiente</v>
      </c>
      <c r="BG60" s="8" t="str">
        <f aca="false">IF(BG48&lt;=0,"RESERVATORIO ZERADO - captacao insuficiente",IF(BG36&lt;0,"CONSUMINDO RESERVA","OK"))</f>
        <v>RESERVATORIO ZERADO - captacao insuficiente</v>
      </c>
      <c r="BH60" s="8" t="str">
        <f aca="false">IF(BH48&lt;=0,"RESERVATORIO ZERADO - captacao insuficiente",IF(BH36&lt;0,"CONSUMINDO RESERVA","OK"))</f>
        <v>OK</v>
      </c>
      <c r="BI60" s="8" t="str">
        <f aca="false">IF(BI48&lt;=0,"RESERVATORIO ZERADO - captacao insuficiente",IF(BI36&lt;0,"CONSUMINDO RESERVA","OK"))</f>
        <v>OK</v>
      </c>
      <c r="BJ60" s="8" t="str">
        <f aca="false">IF(BJ48&lt;=0,"RESERVATORIO ZERADO - captacao insuficiente",IF(BJ36&lt;0,"CONSUMINDO RESERVA","OK"))</f>
        <v>OK</v>
      </c>
      <c r="BK60" s="8" t="str">
        <f aca="false">IF(BK48&lt;=0,"RESERVATORIO ZERADO - captacao insuficiente",IF(BK36&lt;0,"CONSUMINDO RESERVA","OK"))</f>
        <v>OK</v>
      </c>
      <c r="BL60" s="8" t="str">
        <f aca="false">IF(BL48&lt;=0,"RESERVATORIO ZERADO - captacao insuficiente",IF(BL36&lt;0,"CONSUMINDO RESERVA","OK"))</f>
        <v>OK</v>
      </c>
      <c r="BM60" s="8" t="str">
        <f aca="false">IF(BM48&lt;=0,"RESERVATORIO ZERADO - captacao insuficiente",IF(BM36&lt;0,"CONSUMINDO RESERVA","OK"))</f>
        <v>OK</v>
      </c>
      <c r="BN60" s="8" t="str">
        <f aca="false">IF(BN48&lt;=0,"RESERVATORIO ZERADO - captacao insuficiente",IF(BN36&lt;0,"CONSUMINDO RESERVA","OK"))</f>
        <v>OK</v>
      </c>
      <c r="BO60" s="8" t="str">
        <f aca="false">IF(BO48&lt;=0,"RESERVATORIO ZERADO - captacao insuficiente",IF(BO36&lt;0,"CONSUMINDO RESERVA","OK"))</f>
        <v>OK</v>
      </c>
      <c r="BP60" s="8" t="str">
        <f aca="false">IF(BP48&lt;=0,"RESERVATORIO ZERADO - captacao insuficiente",IF(BP36&lt;0,"CONSUMINDO RESERVA","OK"))</f>
        <v>OK</v>
      </c>
    </row>
    <row r="61" customFormat="false" ht="15" hidden="false" customHeight="false" outlineLevel="0" collapsed="false">
      <c r="B61" s="15" t="s">
        <v>134</v>
      </c>
      <c r="C61" s="8" t="str">
        <f aca="false">IF(C49&lt;=0,"RESERVATORIO ZERADO - captacao insuficiente",IF(C37&lt;0,"CONSUMINDO RESERVA","OK"))</f>
        <v>OK</v>
      </c>
      <c r="D61" s="8" t="str">
        <f aca="false">IF(D49&lt;=0,"RESERVATORIO ZERADO - captacao insuficiente",IF(D37&lt;0,"CONSUMINDO RESERVA","OK"))</f>
        <v>OK</v>
      </c>
      <c r="E61" s="8" t="str">
        <f aca="false">IF(E49&lt;=0,"RESERVATORIO ZERADO - captacao insuficiente",IF(E37&lt;0,"CONSUMINDO RESERVA","OK"))</f>
        <v>OK</v>
      </c>
      <c r="F61" s="8" t="str">
        <f aca="false">IF(F49&lt;=0,"RESERVATORIO ZERADO - captacao insuficiente",IF(F37&lt;0,"CONSUMINDO RESERVA","OK"))</f>
        <v>OK</v>
      </c>
      <c r="G61" s="8" t="str">
        <f aca="false">IF(G49&lt;=0,"RESERVATORIO ZERADO - captacao insuficiente",IF(G37&lt;0,"CONSUMINDO RESERVA","OK"))</f>
        <v>OK</v>
      </c>
      <c r="H61" s="8" t="str">
        <f aca="false">IF(H49&lt;=0,"RESERVATORIO ZERADO - captacao insuficiente",IF(H37&lt;0,"CONSUMINDO RESERVA","OK"))</f>
        <v>OK</v>
      </c>
      <c r="I61" s="8" t="str">
        <f aca="false">IF(I49&lt;=0,"RESERVATORIO ZERADO - captacao insuficiente",IF(I37&lt;0,"CONSUMINDO RESERVA","OK"))</f>
        <v>OK</v>
      </c>
      <c r="J61" s="8" t="str">
        <f aca="false">IF(J49&lt;=0,"RESERVATORIO ZERADO - captacao insuficiente",IF(J37&lt;0,"CONSUMINDO RESERVA","OK"))</f>
        <v>OK</v>
      </c>
      <c r="K61" s="8" t="str">
        <f aca="false">IF(K49&lt;=0,"RESERVATORIO ZERADO - captacao insuficiente",IF(K37&lt;0,"CONSUMINDO RESERVA","OK"))</f>
        <v>OK</v>
      </c>
      <c r="L61" s="8" t="str">
        <f aca="false">IF(L49&lt;=0,"RESERVATORIO ZERADO - captacao insuficiente",IF(L37&lt;0,"CONSUMINDO RESERVA","OK"))</f>
        <v>OK</v>
      </c>
      <c r="M61" s="8" t="str">
        <f aca="false">IF(M49&lt;=0,"RESERVATORIO ZERADO - captacao insuficiente",IF(M37&lt;0,"CONSUMINDO RESERVA","OK"))</f>
        <v>OK</v>
      </c>
      <c r="N61" s="8" t="str">
        <f aca="false">IF(N49&lt;=0,"RESERVATORIO ZERADO - captacao insuficiente",IF(N37&lt;0,"CONSUMINDO RESERVA","OK"))</f>
        <v>OK</v>
      </c>
      <c r="O61" s="8" t="str">
        <f aca="false">IF(O49&lt;=0,"RESERVATORIO ZERADO - captacao insuficiente",IF(O37&lt;0,"CONSUMINDO RESERVA","OK"))</f>
        <v>OK</v>
      </c>
      <c r="P61" s="8" t="str">
        <f aca="false">IF(P49&lt;=0,"RESERVATORIO ZERADO - captacao insuficiente",IF(P37&lt;0,"CONSUMINDO RESERVA","OK"))</f>
        <v>OK</v>
      </c>
      <c r="Q61" s="8" t="str">
        <f aca="false">IF(Q49&lt;=0,"RESERVATORIO ZERADO - captacao insuficiente",IF(Q37&lt;0,"CONSUMINDO RESERVA","OK"))</f>
        <v>OK</v>
      </c>
      <c r="R61" s="8" t="str">
        <f aca="false">IF(R49&lt;=0,"RESERVATORIO ZERADO - captacao insuficiente",IF(R37&lt;0,"CONSUMINDO RESERVA","OK"))</f>
        <v>OK</v>
      </c>
      <c r="S61" s="8" t="str">
        <f aca="false">IF(S49&lt;=0,"RESERVATORIO ZERADO - captacao insuficiente",IF(S37&lt;0,"CONSUMINDO RESERVA","OK"))</f>
        <v>OK</v>
      </c>
      <c r="T61" s="8" t="str">
        <f aca="false">IF(T49&lt;=0,"RESERVATORIO ZERADO - captacao insuficiente",IF(T37&lt;0,"CONSUMINDO RESERVA","OK"))</f>
        <v>OK</v>
      </c>
      <c r="U61" s="8" t="str">
        <f aca="false">IF(U49&lt;=0,"RESERVATORIO ZERADO - captacao insuficiente",IF(U37&lt;0,"CONSUMINDO RESERVA","OK"))</f>
        <v>OK</v>
      </c>
      <c r="V61" s="8" t="str">
        <f aca="false">IF(V49&lt;=0,"RESERVATORIO ZERADO - captacao insuficiente",IF(V37&lt;0,"CONSUMINDO RESERVA","OK"))</f>
        <v>OK</v>
      </c>
      <c r="W61" s="8" t="str">
        <f aca="false">IF(W49&lt;=0,"RESERVATORIO ZERADO - captacao insuficiente",IF(W37&lt;0,"CONSUMINDO RESERVA","OK"))</f>
        <v>OK</v>
      </c>
      <c r="X61" s="8" t="str">
        <f aca="false">IF(X49&lt;=0,"RESERVATORIO ZERADO - captacao insuficiente",IF(X37&lt;0,"CONSUMINDO RESERVA","OK"))</f>
        <v>OK</v>
      </c>
      <c r="Y61" s="8" t="str">
        <f aca="false">IF(Y49&lt;=0,"RESERVATORIO ZERADO - captacao insuficiente",IF(Y37&lt;0,"CONSUMINDO RESERVA","OK"))</f>
        <v>OK</v>
      </c>
      <c r="Z61" s="8" t="str">
        <f aca="false">IF(Z49&lt;=0,"RESERVATORIO ZERADO - captacao insuficiente",IF(Z37&lt;0,"CONSUMINDO RESERVA","OK"))</f>
        <v>OK</v>
      </c>
      <c r="AA61" s="8" t="str">
        <f aca="false">IF(AA49&lt;=0,"RESERVATORIO ZERADO - captacao insuficiente",IF(AA37&lt;0,"CONSUMINDO RESERVA","OK"))</f>
        <v>OK</v>
      </c>
      <c r="AB61" s="8" t="str">
        <f aca="false">IF(AB49&lt;=0,"RESERVATORIO ZERADO - captacao insuficiente",IF(AB37&lt;0,"CONSUMINDO RESERVA","OK"))</f>
        <v>OK</v>
      </c>
      <c r="AC61" s="8" t="str">
        <f aca="false">IF(AC49&lt;=0,"RESERVATORIO ZERADO - captacao insuficiente",IF(AC37&lt;0,"CONSUMINDO RESERVA","OK"))</f>
        <v>OK</v>
      </c>
      <c r="AD61" s="8" t="str">
        <f aca="false">IF(AD49&lt;=0,"RESERVATORIO ZERADO - captacao insuficiente",IF(AD37&lt;0,"CONSUMINDO RESERVA","OK"))</f>
        <v>OK</v>
      </c>
      <c r="AE61" s="8" t="str">
        <f aca="false">IF(AE49&lt;=0,"RESERVATORIO ZERADO - captacao insuficiente",IF(AE37&lt;0,"CONSUMINDO RESERVA","OK"))</f>
        <v>OK</v>
      </c>
      <c r="AF61" s="8" t="str">
        <f aca="false">IF(AF49&lt;=0,"RESERVATORIO ZERADO - captacao insuficiente",IF(AF37&lt;0,"CONSUMINDO RESERVA","OK"))</f>
        <v>OK</v>
      </c>
      <c r="AG61" s="8" t="str">
        <f aca="false">IF(AG49&lt;=0,"RESERVATORIO ZERADO - captacao insuficiente",IF(AG37&lt;0,"CONSUMINDO RESERVA","OK"))</f>
        <v>OK</v>
      </c>
      <c r="AH61" s="8" t="str">
        <f aca="false">IF(AH49&lt;=0,"RESERVATORIO ZERADO - captacao insuficiente",IF(AH37&lt;0,"CONSUMINDO RESERVA","OK"))</f>
        <v>CONSUMINDO RESERVA</v>
      </c>
      <c r="AI61" s="8" t="str">
        <f aca="false">IF(AI49&lt;=0,"RESERVATORIO ZERADO - captacao insuficiente",IF(AI37&lt;0,"CONSUMINDO RESERVA","OK"))</f>
        <v>CONSUMINDO RESERVA</v>
      </c>
      <c r="AJ61" s="8" t="str">
        <f aca="false">IF(AJ49&lt;=0,"RESERVATORIO ZERADO - captacao insuficiente",IF(AJ37&lt;0,"CONSUMINDO RESERVA","OK"))</f>
        <v>CONSUMINDO RESERVA</v>
      </c>
      <c r="AK61" s="8" t="str">
        <f aca="false">IF(AK49&lt;=0,"RESERVATORIO ZERADO - captacao insuficiente",IF(AK37&lt;0,"CONSUMINDO RESERVA","OK"))</f>
        <v>CONSUMINDO RESERVA</v>
      </c>
      <c r="AL61" s="8" t="str">
        <f aca="false">IF(AL49&lt;=0,"RESERVATORIO ZERADO - captacao insuficiente",IF(AL37&lt;0,"CONSUMINDO RESERVA","OK"))</f>
        <v>RESERVATORIO ZERADO - captacao insuficiente</v>
      </c>
      <c r="AM61" s="8" t="str">
        <f aca="false">IF(AM49&lt;=0,"RESERVATORIO ZERADO - captacao insuficiente",IF(AM37&lt;0,"CONSUMINDO RESERVA","OK"))</f>
        <v>RESERVATORIO ZERADO - captacao insuficiente</v>
      </c>
      <c r="AN61" s="8" t="str">
        <f aca="false">IF(AN49&lt;=0,"RESERVATORIO ZERADO - captacao insuficiente",IF(AN37&lt;0,"CONSUMINDO RESERVA","OK"))</f>
        <v>RESERVATORIO ZERADO - captacao insuficiente</v>
      </c>
      <c r="AO61" s="8" t="str">
        <f aca="false">IF(AO49&lt;=0,"RESERVATORIO ZERADO - captacao insuficiente",IF(AO37&lt;0,"CONSUMINDO RESERVA","OK"))</f>
        <v>RESERVATORIO ZERADO - captacao insuficiente</v>
      </c>
      <c r="AP61" s="8" t="str">
        <f aca="false">IF(AP49&lt;=0,"RESERVATORIO ZERADO - captacao insuficiente",IF(AP37&lt;0,"CONSUMINDO RESERVA","OK"))</f>
        <v>RESERVATORIO ZERADO - captacao insuficiente</v>
      </c>
      <c r="AQ61" s="8" t="str">
        <f aca="false">IF(AQ49&lt;=0,"RESERVATORIO ZERADO - captacao insuficiente",IF(AQ37&lt;0,"CONSUMINDO RESERVA","OK"))</f>
        <v>RESERVATORIO ZERADO - captacao insuficiente</v>
      </c>
      <c r="AR61" s="8" t="str">
        <f aca="false">IF(AR49&lt;=0,"RESERVATORIO ZERADO - captacao insuficiente",IF(AR37&lt;0,"CONSUMINDO RESERVA","OK"))</f>
        <v>RESERVATORIO ZERADO - captacao insuficiente</v>
      </c>
      <c r="AS61" s="8" t="str">
        <f aca="false">IF(AS49&lt;=0,"RESERVATORIO ZERADO - captacao insuficiente",IF(AS37&lt;0,"CONSUMINDO RESERVA","OK"))</f>
        <v>RESERVATORIO ZERADO - captacao insuficiente</v>
      </c>
      <c r="AT61" s="8" t="str">
        <f aca="false">IF(AT49&lt;=0,"RESERVATORIO ZERADO - captacao insuficiente",IF(AT37&lt;0,"CONSUMINDO RESERVA","OK"))</f>
        <v>RESERVATORIO ZERADO - captacao insuficiente</v>
      </c>
      <c r="AU61" s="8" t="str">
        <f aca="false">IF(AU49&lt;=0,"RESERVATORIO ZERADO - captacao insuficiente",IF(AU37&lt;0,"CONSUMINDO RESERVA","OK"))</f>
        <v>RESERVATORIO ZERADO - captacao insuficiente</v>
      </c>
      <c r="AV61" s="8" t="str">
        <f aca="false">IF(AV49&lt;=0,"RESERVATORIO ZERADO - captacao insuficiente",IF(AV37&lt;0,"CONSUMINDO RESERVA","OK"))</f>
        <v>RESERVATORIO ZERADO - captacao insuficiente</v>
      </c>
      <c r="AW61" s="8" t="str">
        <f aca="false">IF(AW49&lt;=0,"RESERVATORIO ZERADO - captacao insuficiente",IF(AW37&lt;0,"CONSUMINDO RESERVA","OK"))</f>
        <v>RESERVATORIO ZERADO - captacao insuficiente</v>
      </c>
      <c r="AX61" s="8" t="str">
        <f aca="false">IF(AX49&lt;=0,"RESERVATORIO ZERADO - captacao insuficiente",IF(AX37&lt;0,"CONSUMINDO RESERVA","OK"))</f>
        <v>RESERVATORIO ZERADO - captacao insuficiente</v>
      </c>
      <c r="AY61" s="8" t="str">
        <f aca="false">IF(AY49&lt;=0,"RESERVATORIO ZERADO - captacao insuficiente",IF(AY37&lt;0,"CONSUMINDO RESERVA","OK"))</f>
        <v>RESERVATORIO ZERADO - captacao insuficiente</v>
      </c>
      <c r="AZ61" s="8" t="str">
        <f aca="false">IF(AZ49&lt;=0,"RESERVATORIO ZERADO - captacao insuficiente",IF(AZ37&lt;0,"CONSUMINDO RESERVA","OK"))</f>
        <v>RESERVATORIO ZERADO - captacao insuficiente</v>
      </c>
      <c r="BA61" s="8" t="str">
        <f aca="false">IF(BA49&lt;=0,"RESERVATORIO ZERADO - captacao insuficiente",IF(BA37&lt;0,"CONSUMINDO RESERVA","OK"))</f>
        <v>OK</v>
      </c>
      <c r="BB61" s="8" t="str">
        <f aca="false">IF(BB49&lt;=0,"RESERVATORIO ZERADO - captacao insuficiente",IF(BB37&lt;0,"CONSUMINDO RESERVA","OK"))</f>
        <v>OK</v>
      </c>
      <c r="BC61" s="8" t="str">
        <f aca="false">IF(BC49&lt;=0,"RESERVATORIO ZERADO - captacao insuficiente",IF(BC37&lt;0,"CONSUMINDO RESERVA","OK"))</f>
        <v>CONSUMINDO RESERVA</v>
      </c>
      <c r="BD61" s="8" t="str">
        <f aca="false">IF(BD49&lt;=0,"RESERVATORIO ZERADO - captacao insuficiente",IF(BD37&lt;0,"CONSUMINDO RESERVA","OK"))</f>
        <v>CONSUMINDO RESERVA</v>
      </c>
      <c r="BE61" s="8" t="str">
        <f aca="false">IF(BE49&lt;=0,"RESERVATORIO ZERADO - captacao insuficiente",IF(BE37&lt;0,"CONSUMINDO RESERVA","OK"))</f>
        <v>RESERVATORIO ZERADO - captacao insuficiente</v>
      </c>
      <c r="BF61" s="8" t="str">
        <f aca="false">IF(BF49&lt;=0,"RESERVATORIO ZERADO - captacao insuficiente",IF(BF37&lt;0,"CONSUMINDO RESERVA","OK"))</f>
        <v>RESERVATORIO ZERADO - captacao insuficiente</v>
      </c>
      <c r="BG61" s="8" t="str">
        <f aca="false">IF(BG49&lt;=0,"RESERVATORIO ZERADO - captacao insuficiente",IF(BG37&lt;0,"CONSUMINDO RESERVA","OK"))</f>
        <v>OK</v>
      </c>
      <c r="BH61" s="8" t="str">
        <f aca="false">IF(BH49&lt;=0,"RESERVATORIO ZERADO - captacao insuficiente",IF(BH37&lt;0,"CONSUMINDO RESERVA","OK"))</f>
        <v>OK</v>
      </c>
      <c r="BI61" s="8" t="str">
        <f aca="false">IF(BI49&lt;=0,"RESERVATORIO ZERADO - captacao insuficiente",IF(BI37&lt;0,"CONSUMINDO RESERVA","OK"))</f>
        <v>OK</v>
      </c>
      <c r="BJ61" s="8" t="str">
        <f aca="false">IF(BJ49&lt;=0,"RESERVATORIO ZERADO - captacao insuficiente",IF(BJ37&lt;0,"CONSUMINDO RESERVA","OK"))</f>
        <v>OK</v>
      </c>
      <c r="BK61" s="8" t="str">
        <f aca="false">IF(BK49&lt;=0,"RESERVATORIO ZERADO - captacao insuficiente",IF(BK37&lt;0,"CONSUMINDO RESERVA","OK"))</f>
        <v>OK</v>
      </c>
      <c r="BL61" s="8" t="str">
        <f aca="false">IF(BL49&lt;=0,"RESERVATORIO ZERADO - captacao insuficiente",IF(BL37&lt;0,"CONSUMINDO RESERVA","OK"))</f>
        <v>OK</v>
      </c>
      <c r="BM61" s="8" t="str">
        <f aca="false">IF(BM49&lt;=0,"RESERVATORIO ZERADO - captacao insuficiente",IF(BM37&lt;0,"CONSUMINDO RESERVA","OK"))</f>
        <v>OK</v>
      </c>
      <c r="BN61" s="8" t="str">
        <f aca="false">IF(BN49&lt;=0,"RESERVATORIO ZERADO - captacao insuficiente",IF(BN37&lt;0,"CONSUMINDO RESERVA","OK"))</f>
        <v>OK</v>
      </c>
      <c r="BO61" s="8" t="str">
        <f aca="false">IF(BO49&lt;=0,"RESERVATORIO ZERADO - captacao insuficiente",IF(BO37&lt;0,"CONSUMINDO RESERVA","OK"))</f>
        <v>OK</v>
      </c>
      <c r="BP61" s="8" t="str">
        <f aca="false">IF(BP49&lt;=0,"RESERVATORIO ZERADO - captacao insuficiente",IF(BP37&lt;0,"CONSUMINDO RESERVA","OK"))</f>
        <v>OK</v>
      </c>
    </row>
    <row r="62" customFormat="false" ht="15" hidden="false" customHeight="false" outlineLevel="0" collapsed="false">
      <c r="B62" s="15" t="s">
        <v>135</v>
      </c>
      <c r="C62" s="8" t="str">
        <f aca="false">IF(C50&lt;=0,"RESERVATORIO ZERADO - captacao insuficiente",IF(C38&lt;0,"CONSUMINDO RESERVA","OK"))</f>
        <v>OK</v>
      </c>
      <c r="D62" s="8" t="str">
        <f aca="false">IF(D50&lt;=0,"RESERVATORIO ZERADO - captacao insuficiente",IF(D38&lt;0,"CONSUMINDO RESERVA","OK"))</f>
        <v>OK</v>
      </c>
      <c r="E62" s="8" t="str">
        <f aca="false">IF(E50&lt;=0,"RESERVATORIO ZERADO - captacao insuficiente",IF(E38&lt;0,"CONSUMINDO RESERVA","OK"))</f>
        <v>OK</v>
      </c>
      <c r="F62" s="8" t="str">
        <f aca="false">IF(F50&lt;=0,"RESERVATORIO ZERADO - captacao insuficiente",IF(F38&lt;0,"CONSUMINDO RESERVA","OK"))</f>
        <v>OK</v>
      </c>
      <c r="G62" s="8" t="str">
        <f aca="false">IF(G50&lt;=0,"RESERVATORIO ZERADO - captacao insuficiente",IF(G38&lt;0,"CONSUMINDO RESERVA","OK"))</f>
        <v>OK</v>
      </c>
      <c r="H62" s="8" t="str">
        <f aca="false">IF(H50&lt;=0,"RESERVATORIO ZERADO - captacao insuficiente",IF(H38&lt;0,"CONSUMINDO RESERVA","OK"))</f>
        <v>OK</v>
      </c>
      <c r="I62" s="8" t="str">
        <f aca="false">IF(I50&lt;=0,"RESERVATORIO ZERADO - captacao insuficiente",IF(I38&lt;0,"CONSUMINDO RESERVA","OK"))</f>
        <v>OK</v>
      </c>
      <c r="J62" s="8" t="str">
        <f aca="false">IF(J50&lt;=0,"RESERVATORIO ZERADO - captacao insuficiente",IF(J38&lt;0,"CONSUMINDO RESERVA","OK"))</f>
        <v>OK</v>
      </c>
      <c r="K62" s="8" t="str">
        <f aca="false">IF(K50&lt;=0,"RESERVATORIO ZERADO - captacao insuficiente",IF(K38&lt;0,"CONSUMINDO RESERVA","OK"))</f>
        <v>OK</v>
      </c>
      <c r="L62" s="8" t="str">
        <f aca="false">IF(L50&lt;=0,"RESERVATORIO ZERADO - captacao insuficiente",IF(L38&lt;0,"CONSUMINDO RESERVA","OK"))</f>
        <v>OK</v>
      </c>
      <c r="M62" s="8" t="str">
        <f aca="false">IF(M50&lt;=0,"RESERVATORIO ZERADO - captacao insuficiente",IF(M38&lt;0,"CONSUMINDO RESERVA","OK"))</f>
        <v>OK</v>
      </c>
      <c r="N62" s="8" t="str">
        <f aca="false">IF(N50&lt;=0,"RESERVATORIO ZERADO - captacao insuficiente",IF(N38&lt;0,"CONSUMINDO RESERVA","OK"))</f>
        <v>OK</v>
      </c>
      <c r="O62" s="8" t="str">
        <f aca="false">IF(O50&lt;=0,"RESERVATORIO ZERADO - captacao insuficiente",IF(O38&lt;0,"CONSUMINDO RESERVA","OK"))</f>
        <v>OK</v>
      </c>
      <c r="P62" s="8" t="str">
        <f aca="false">IF(P50&lt;=0,"RESERVATORIO ZERADO - captacao insuficiente",IF(P38&lt;0,"CONSUMINDO RESERVA","OK"))</f>
        <v>OK</v>
      </c>
      <c r="Q62" s="8" t="str">
        <f aca="false">IF(Q50&lt;=0,"RESERVATORIO ZERADO - captacao insuficiente",IF(Q38&lt;0,"CONSUMINDO RESERVA","OK"))</f>
        <v>OK</v>
      </c>
      <c r="R62" s="8" t="str">
        <f aca="false">IF(R50&lt;=0,"RESERVATORIO ZERADO - captacao insuficiente",IF(R38&lt;0,"CONSUMINDO RESERVA","OK"))</f>
        <v>OK</v>
      </c>
      <c r="S62" s="8" t="str">
        <f aca="false">IF(S50&lt;=0,"RESERVATORIO ZERADO - captacao insuficiente",IF(S38&lt;0,"CONSUMINDO RESERVA","OK"))</f>
        <v>OK</v>
      </c>
      <c r="T62" s="8" t="str">
        <f aca="false">IF(T50&lt;=0,"RESERVATORIO ZERADO - captacao insuficiente",IF(T38&lt;0,"CONSUMINDO RESERVA","OK"))</f>
        <v>OK</v>
      </c>
      <c r="U62" s="8" t="str">
        <f aca="false">IF(U50&lt;=0,"RESERVATORIO ZERADO - captacao insuficiente",IF(U38&lt;0,"CONSUMINDO RESERVA","OK"))</f>
        <v>OK</v>
      </c>
      <c r="V62" s="8" t="str">
        <f aca="false">IF(V50&lt;=0,"RESERVATORIO ZERADO - captacao insuficiente",IF(V38&lt;0,"CONSUMINDO RESERVA","OK"))</f>
        <v>OK</v>
      </c>
      <c r="W62" s="8" t="str">
        <f aca="false">IF(W50&lt;=0,"RESERVATORIO ZERADO - captacao insuficiente",IF(W38&lt;0,"CONSUMINDO RESERVA","OK"))</f>
        <v>OK</v>
      </c>
      <c r="X62" s="8" t="str">
        <f aca="false">IF(X50&lt;=0,"RESERVATORIO ZERADO - captacao insuficiente",IF(X38&lt;0,"CONSUMINDO RESERVA","OK"))</f>
        <v>OK</v>
      </c>
      <c r="Y62" s="8" t="str">
        <f aca="false">IF(Y50&lt;=0,"RESERVATORIO ZERADO - captacao insuficiente",IF(Y38&lt;0,"CONSUMINDO RESERVA","OK"))</f>
        <v>OK</v>
      </c>
      <c r="Z62" s="8" t="str">
        <f aca="false">IF(Z50&lt;=0,"RESERVATORIO ZERADO - captacao insuficiente",IF(Z38&lt;0,"CONSUMINDO RESERVA","OK"))</f>
        <v>OK</v>
      </c>
      <c r="AA62" s="8" t="str">
        <f aca="false">IF(AA50&lt;=0,"RESERVATORIO ZERADO - captacao insuficiente",IF(AA38&lt;0,"CONSUMINDO RESERVA","OK"))</f>
        <v>OK</v>
      </c>
      <c r="AB62" s="8" t="str">
        <f aca="false">IF(AB50&lt;=0,"RESERVATORIO ZERADO - captacao insuficiente",IF(AB38&lt;0,"CONSUMINDO RESERVA","OK"))</f>
        <v>OK</v>
      </c>
      <c r="AC62" s="8" t="str">
        <f aca="false">IF(AC50&lt;=0,"RESERVATORIO ZERADO - captacao insuficiente",IF(AC38&lt;0,"CONSUMINDO RESERVA","OK"))</f>
        <v>OK</v>
      </c>
      <c r="AD62" s="8" t="str">
        <f aca="false">IF(AD50&lt;=0,"RESERVATORIO ZERADO - captacao insuficiente",IF(AD38&lt;0,"CONSUMINDO RESERVA","OK"))</f>
        <v>OK</v>
      </c>
      <c r="AE62" s="8" t="str">
        <f aca="false">IF(AE50&lt;=0,"RESERVATORIO ZERADO - captacao insuficiente",IF(AE38&lt;0,"CONSUMINDO RESERVA","OK"))</f>
        <v>OK</v>
      </c>
      <c r="AF62" s="8" t="str">
        <f aca="false">IF(AF50&lt;=0,"RESERVATORIO ZERADO - captacao insuficiente",IF(AF38&lt;0,"CONSUMINDO RESERVA","OK"))</f>
        <v>OK</v>
      </c>
      <c r="AG62" s="8" t="str">
        <f aca="false">IF(AG50&lt;=0,"RESERVATORIO ZERADO - captacao insuficiente",IF(AG38&lt;0,"CONSUMINDO RESERVA","OK"))</f>
        <v>OK</v>
      </c>
      <c r="AH62" s="8" t="str">
        <f aca="false">IF(AH50&lt;=0,"RESERVATORIO ZERADO - captacao insuficiente",IF(AH38&lt;0,"CONSUMINDO RESERVA","OK"))</f>
        <v>OK</v>
      </c>
      <c r="AI62" s="8" t="str">
        <f aca="false">IF(AI50&lt;=0,"RESERVATORIO ZERADO - captacao insuficiente",IF(AI38&lt;0,"CONSUMINDO RESERVA","OK"))</f>
        <v>OK</v>
      </c>
      <c r="AJ62" s="8" t="str">
        <f aca="false">IF(AJ50&lt;=0,"RESERVATORIO ZERADO - captacao insuficiente",IF(AJ38&lt;0,"CONSUMINDO RESERVA","OK"))</f>
        <v>OK</v>
      </c>
      <c r="AK62" s="8" t="str">
        <f aca="false">IF(AK50&lt;=0,"RESERVATORIO ZERADO - captacao insuficiente",IF(AK38&lt;0,"CONSUMINDO RESERVA","OK"))</f>
        <v>OK</v>
      </c>
      <c r="AL62" s="8" t="str">
        <f aca="false">IF(AL50&lt;=0,"RESERVATORIO ZERADO - captacao insuficiente",IF(AL38&lt;0,"CONSUMINDO RESERVA","OK"))</f>
        <v>OK</v>
      </c>
      <c r="AM62" s="8" t="str">
        <f aca="false">IF(AM50&lt;=0,"RESERVATORIO ZERADO - captacao insuficiente",IF(AM38&lt;0,"CONSUMINDO RESERVA","OK"))</f>
        <v>OK</v>
      </c>
      <c r="AN62" s="8" t="str">
        <f aca="false">IF(AN50&lt;=0,"RESERVATORIO ZERADO - captacao insuficiente",IF(AN38&lt;0,"CONSUMINDO RESERVA","OK"))</f>
        <v>OK</v>
      </c>
      <c r="AO62" s="8" t="str">
        <f aca="false">IF(AO50&lt;=0,"RESERVATORIO ZERADO - captacao insuficiente",IF(AO38&lt;0,"CONSUMINDO RESERVA","OK"))</f>
        <v>OK</v>
      </c>
      <c r="AP62" s="8" t="str">
        <f aca="false">IF(AP50&lt;=0,"RESERVATORIO ZERADO - captacao insuficiente",IF(AP38&lt;0,"CONSUMINDO RESERVA","OK"))</f>
        <v>OK</v>
      </c>
      <c r="AQ62" s="8" t="str">
        <f aca="false">IF(AQ50&lt;=0,"RESERVATORIO ZERADO - captacao insuficiente",IF(AQ38&lt;0,"CONSUMINDO RESERVA","OK"))</f>
        <v>OK</v>
      </c>
      <c r="AR62" s="8" t="str">
        <f aca="false">IF(AR50&lt;=0,"RESERVATORIO ZERADO - captacao insuficiente",IF(AR38&lt;0,"CONSUMINDO RESERVA","OK"))</f>
        <v>OK</v>
      </c>
      <c r="AS62" s="8" t="str">
        <f aca="false">IF(AS50&lt;=0,"RESERVATORIO ZERADO - captacao insuficiente",IF(AS38&lt;0,"CONSUMINDO RESERVA","OK"))</f>
        <v>OK</v>
      </c>
      <c r="AT62" s="8" t="str">
        <f aca="false">IF(AT50&lt;=0,"RESERVATORIO ZERADO - captacao insuficiente",IF(AT38&lt;0,"CONSUMINDO RESERVA","OK"))</f>
        <v>OK</v>
      </c>
      <c r="AU62" s="8" t="str">
        <f aca="false">IF(AU50&lt;=0,"RESERVATORIO ZERADO - captacao insuficiente",IF(AU38&lt;0,"CONSUMINDO RESERVA","OK"))</f>
        <v>OK</v>
      </c>
      <c r="AV62" s="8" t="str">
        <f aca="false">IF(AV50&lt;=0,"RESERVATORIO ZERADO - captacao insuficiente",IF(AV38&lt;0,"CONSUMINDO RESERVA","OK"))</f>
        <v>OK</v>
      </c>
      <c r="AW62" s="8" t="str">
        <f aca="false">IF(AW50&lt;=0,"RESERVATORIO ZERADO - captacao insuficiente",IF(AW38&lt;0,"CONSUMINDO RESERVA","OK"))</f>
        <v>OK</v>
      </c>
      <c r="AX62" s="8" t="str">
        <f aca="false">IF(AX50&lt;=0,"RESERVATORIO ZERADO - captacao insuficiente",IF(AX38&lt;0,"CONSUMINDO RESERVA","OK"))</f>
        <v>OK</v>
      </c>
      <c r="AY62" s="8" t="str">
        <f aca="false">IF(AY50&lt;=0,"RESERVATORIO ZERADO - captacao insuficiente",IF(AY38&lt;0,"CONSUMINDO RESERVA","OK"))</f>
        <v>OK</v>
      </c>
      <c r="AZ62" s="8" t="str">
        <f aca="false">IF(AZ50&lt;=0,"RESERVATORIO ZERADO - captacao insuficiente",IF(AZ38&lt;0,"CONSUMINDO RESERVA","OK"))</f>
        <v>OK</v>
      </c>
      <c r="BA62" s="8" t="str">
        <f aca="false">IF(BA50&lt;=0,"RESERVATORIO ZERADO - captacao insuficiente",IF(BA38&lt;0,"CONSUMINDO RESERVA","OK"))</f>
        <v>OK</v>
      </c>
      <c r="BB62" s="8" t="str">
        <f aca="false">IF(BB50&lt;=0,"RESERVATORIO ZERADO - captacao insuficiente",IF(BB38&lt;0,"CONSUMINDO RESERVA","OK"))</f>
        <v>OK</v>
      </c>
      <c r="BC62" s="8" t="str">
        <f aca="false">IF(BC50&lt;=0,"RESERVATORIO ZERADO - captacao insuficiente",IF(BC38&lt;0,"CONSUMINDO RESERVA","OK"))</f>
        <v>OK</v>
      </c>
      <c r="BD62" s="8" t="str">
        <f aca="false">IF(BD50&lt;=0,"RESERVATORIO ZERADO - captacao insuficiente",IF(BD38&lt;0,"CONSUMINDO RESERVA","OK"))</f>
        <v>OK</v>
      </c>
      <c r="BE62" s="8" t="str">
        <f aca="false">IF(BE50&lt;=0,"RESERVATORIO ZERADO - captacao insuficiente",IF(BE38&lt;0,"CONSUMINDO RESERVA","OK"))</f>
        <v>OK</v>
      </c>
      <c r="BF62" s="8" t="str">
        <f aca="false">IF(BF50&lt;=0,"RESERVATORIO ZERADO - captacao insuficiente",IF(BF38&lt;0,"CONSUMINDO RESERVA","OK"))</f>
        <v>OK</v>
      </c>
      <c r="BG62" s="8" t="str">
        <f aca="false">IF(BG50&lt;=0,"RESERVATORIO ZERADO - captacao insuficiente",IF(BG38&lt;0,"CONSUMINDO RESERVA","OK"))</f>
        <v>OK</v>
      </c>
      <c r="BH62" s="8" t="str">
        <f aca="false">IF(BH50&lt;=0,"RESERVATORIO ZERADO - captacao insuficiente",IF(BH38&lt;0,"CONSUMINDO RESERVA","OK"))</f>
        <v>OK</v>
      </c>
      <c r="BI62" s="8" t="str">
        <f aca="false">IF(BI50&lt;=0,"RESERVATORIO ZERADO - captacao insuficiente",IF(BI38&lt;0,"CONSUMINDO RESERVA","OK"))</f>
        <v>OK</v>
      </c>
      <c r="BJ62" s="8" t="str">
        <f aca="false">IF(BJ50&lt;=0,"RESERVATORIO ZERADO - captacao insuficiente",IF(BJ38&lt;0,"CONSUMINDO RESERVA","OK"))</f>
        <v>OK</v>
      </c>
      <c r="BK62" s="8" t="str">
        <f aca="false">IF(BK50&lt;=0,"RESERVATORIO ZERADO - captacao insuficiente",IF(BK38&lt;0,"CONSUMINDO RESERVA","OK"))</f>
        <v>OK</v>
      </c>
      <c r="BL62" s="8" t="str">
        <f aca="false">IF(BL50&lt;=0,"RESERVATORIO ZERADO - captacao insuficiente",IF(BL38&lt;0,"CONSUMINDO RESERVA","OK"))</f>
        <v>OK</v>
      </c>
      <c r="BM62" s="8" t="str">
        <f aca="false">IF(BM50&lt;=0,"RESERVATORIO ZERADO - captacao insuficiente",IF(BM38&lt;0,"CONSUMINDO RESERVA","OK"))</f>
        <v>OK</v>
      </c>
      <c r="BN62" s="8" t="str">
        <f aca="false">IF(BN50&lt;=0,"RESERVATORIO ZERADO - captacao insuficiente",IF(BN38&lt;0,"CONSUMINDO RESERVA","OK"))</f>
        <v>OK</v>
      </c>
      <c r="BO62" s="8" t="str">
        <f aca="false">IF(BO50&lt;=0,"RESERVATORIO ZERADO - captacao insuficiente",IF(BO38&lt;0,"CONSUMINDO RESERVA","OK"))</f>
        <v>OK</v>
      </c>
      <c r="BP62" s="8" t="str">
        <f aca="false">IF(BP50&lt;=0,"RESERVATORIO ZERADO - captacao insuficiente",IF(BP38&lt;0,"CONSUMINDO RESERVA","OK"))</f>
        <v>OK</v>
      </c>
    </row>
    <row r="65" customFormat="false" ht="15" hidden="false" customHeight="false" outlineLevel="0" collapsed="false">
      <c r="B65" s="3" t="s">
        <v>148</v>
      </c>
    </row>
    <row r="66" customFormat="false" ht="35.05" hidden="false" customHeight="false" outlineLevel="0" collapsed="false">
      <c r="B66" s="14" t="s">
        <v>68</v>
      </c>
      <c r="C66" s="14" t="s">
        <v>149</v>
      </c>
      <c r="D66" s="14" t="s">
        <v>150</v>
      </c>
      <c r="E66" s="14" t="s">
        <v>151</v>
      </c>
      <c r="F66" s="14" t="s">
        <v>152</v>
      </c>
      <c r="G66" s="14" t="s">
        <v>153</v>
      </c>
      <c r="H66" s="14" t="s">
        <v>154</v>
      </c>
      <c r="I66" s="14" t="s">
        <v>155</v>
      </c>
      <c r="J66" s="14" t="s">
        <v>156</v>
      </c>
      <c r="K66" s="14" t="s">
        <v>78</v>
      </c>
    </row>
    <row r="67" customFormat="false" ht="15" hidden="false" customHeight="false" outlineLevel="0" collapsed="false">
      <c r="B67" s="15" t="s">
        <v>128</v>
      </c>
      <c r="C67" s="16" t="n">
        <f aca="false">SUM(C7:BP7)</f>
        <v>4851000</v>
      </c>
      <c r="D67" s="16" t="n">
        <f aca="false">SUM(C19:BP19)</f>
        <v>623479.011172333</v>
      </c>
      <c r="E67" s="16" t="n">
        <f aca="false">$C67-$D67</f>
        <v>4227520.98882767</v>
      </c>
      <c r="F67" s="16" t="n">
        <f aca="false">CADASTRO_CASAS_BOMBA!$O$6</f>
        <v>2600</v>
      </c>
      <c r="G67" s="16" t="n">
        <f aca="false">IFERROR($D67/N_SEMANAS,0)</f>
        <v>9446.65168442928</v>
      </c>
      <c r="H67" s="16" t="n">
        <f aca="false">IFERROR($C67/N_SEMANAS,0)</f>
        <v>73500</v>
      </c>
      <c r="I67" s="16" t="n">
        <f aca="false">COUNTIF(C31:BP31,"&lt;0")</f>
        <v>0</v>
      </c>
      <c r="J67" s="16" t="n">
        <f aca="false">COUNTIF(C43:BP43,0)</f>
        <v>0</v>
      </c>
      <c r="K67" s="8" t="str">
        <f aca="false">IF($J67&gt;0,"CAPTACAO INSUFICIENTE - reservatorio zera em "&amp;$J67&amp;" semana(s)",IF($E67&gt;=0,"OK - captacao cobre o consumo da safra","ATENCAO - consumo supera a captacao, sustentado pela reserva"))</f>
        <v>OK - captacao cobre o consumo da safra</v>
      </c>
    </row>
    <row r="68" customFormat="false" ht="15" hidden="false" customHeight="false" outlineLevel="0" collapsed="false">
      <c r="B68" s="15" t="s">
        <v>129</v>
      </c>
      <c r="C68" s="16" t="n">
        <f aca="false">SUM(C8:BP8)</f>
        <v>4851000</v>
      </c>
      <c r="D68" s="16" t="n">
        <f aca="false">SUM(C20:BP20)</f>
        <v>932230.253690536</v>
      </c>
      <c r="E68" s="16" t="n">
        <f aca="false">$C68-$D68</f>
        <v>3918769.74630946</v>
      </c>
      <c r="F68" s="16" t="n">
        <f aca="false">CADASTRO_CASAS_BOMBA!$O$7</f>
        <v>76648</v>
      </c>
      <c r="G68" s="16" t="n">
        <f aca="false">IFERROR($D68/N_SEMANAS,0)</f>
        <v>14124.700813493</v>
      </c>
      <c r="H68" s="16" t="n">
        <f aca="false">IFERROR($C68/N_SEMANAS,0)</f>
        <v>73500</v>
      </c>
      <c r="I68" s="16" t="n">
        <f aca="false">COUNTIF(C32:BP32,"&lt;0")</f>
        <v>0</v>
      </c>
      <c r="J68" s="16" t="n">
        <f aca="false">COUNTIF(C44:BP44,0)</f>
        <v>0</v>
      </c>
      <c r="K68" s="8" t="str">
        <f aca="false">IF($J68&gt;0,"CAPTACAO INSUFICIENTE - reservatorio zera em "&amp;$J68&amp;" semana(s)",IF($E68&gt;=0,"OK - captacao cobre o consumo da safra","ATENCAO - consumo supera a captacao, sustentado pela reserva"))</f>
        <v>OK - captacao cobre o consumo da safra</v>
      </c>
    </row>
    <row r="69" customFormat="false" ht="15" hidden="false" customHeight="false" outlineLevel="0" collapsed="false">
      <c r="B69" s="15" t="s">
        <v>130</v>
      </c>
      <c r="C69" s="16" t="n">
        <f aca="false">SUM(C9:BP9)</f>
        <v>4851000</v>
      </c>
      <c r="D69" s="16" t="n">
        <f aca="false">SUM(C21:BP21)</f>
        <v>1294151.88273624</v>
      </c>
      <c r="E69" s="16" t="n">
        <f aca="false">$C69-$D69</f>
        <v>3556848.11726376</v>
      </c>
      <c r="F69" s="16" t="n">
        <f aca="false">CADASTRO_CASAS_BOMBA!$O$8</f>
        <v>27377</v>
      </c>
      <c r="G69" s="16" t="n">
        <f aca="false">IFERROR($D69/N_SEMANAS,0)</f>
        <v>19608.36185964</v>
      </c>
      <c r="H69" s="16" t="n">
        <f aca="false">IFERROR($C69/N_SEMANAS,0)</f>
        <v>73500</v>
      </c>
      <c r="I69" s="16" t="n">
        <f aca="false">COUNTIF(C33:BP33,"&lt;0")</f>
        <v>0</v>
      </c>
      <c r="J69" s="16" t="n">
        <f aca="false">COUNTIF(C45:BP45,0)</f>
        <v>0</v>
      </c>
      <c r="K69" s="8" t="str">
        <f aca="false">IF($J69&gt;0,"CAPTACAO INSUFICIENTE - reservatorio zera em "&amp;$J69&amp;" semana(s)",IF($E69&gt;=0,"OK - captacao cobre o consumo da safra","ATENCAO - consumo supera a captacao, sustentado pela reserva"))</f>
        <v>OK - captacao cobre o consumo da safra</v>
      </c>
    </row>
    <row r="70" customFormat="false" ht="15" hidden="false" customHeight="false" outlineLevel="0" collapsed="false">
      <c r="B70" s="15" t="s">
        <v>131</v>
      </c>
      <c r="C70" s="16" t="n">
        <f aca="false">SUM(C10:BP10)</f>
        <v>9993060</v>
      </c>
      <c r="D70" s="16" t="n">
        <f aca="false">SUM(C22:BP22)</f>
        <v>2729382.61448497</v>
      </c>
      <c r="E70" s="16" t="n">
        <f aca="false">$C70-$D70</f>
        <v>7263677.38551503</v>
      </c>
      <c r="F70" s="16" t="n">
        <f aca="false">CADASTRO_CASAS_BOMBA!$O$9</f>
        <v>129000</v>
      </c>
      <c r="G70" s="16" t="n">
        <f aca="false">IFERROR($D70/N_SEMANAS,0)</f>
        <v>41354.282037651</v>
      </c>
      <c r="H70" s="16" t="n">
        <f aca="false">IFERROR($C70/N_SEMANAS,0)</f>
        <v>151410</v>
      </c>
      <c r="I70" s="16" t="n">
        <f aca="false">COUNTIF(C34:BP34,"&lt;0")</f>
        <v>6</v>
      </c>
      <c r="J70" s="16" t="n">
        <f aca="false">COUNTIF(C46:BP46,0)</f>
        <v>0</v>
      </c>
      <c r="K70" s="8" t="str">
        <f aca="false">IF($J70&gt;0,"CAPTACAO INSUFICIENTE - reservatorio zera em "&amp;$J70&amp;" semana(s)",IF($E70&gt;=0,"OK - captacao cobre o consumo da safra","ATENCAO - consumo supera a captacao, sustentado pela reserva"))</f>
        <v>OK - captacao cobre o consumo da safra</v>
      </c>
    </row>
    <row r="71" customFormat="false" ht="15" hidden="false" customHeight="false" outlineLevel="0" collapsed="false">
      <c r="B71" s="15" t="s">
        <v>132</v>
      </c>
      <c r="C71" s="16" t="n">
        <f aca="false">SUM(C11:BP11)</f>
        <v>6044346</v>
      </c>
      <c r="D71" s="16" t="n">
        <f aca="false">SUM(C23:BP23)</f>
        <v>5118203.82193793</v>
      </c>
      <c r="E71" s="16" t="n">
        <f aca="false">$C71-$D71</f>
        <v>926142.178062072</v>
      </c>
      <c r="F71" s="16" t="n">
        <f aca="false">CADASTRO_CASAS_BOMBA!$O$10</f>
        <v>1000000</v>
      </c>
      <c r="G71" s="16" t="n">
        <f aca="false">IFERROR($D71/N_SEMANAS,0)</f>
        <v>77548.5427566353</v>
      </c>
      <c r="H71" s="16" t="n">
        <f aca="false">IFERROR($C71/N_SEMANAS,0)</f>
        <v>91581</v>
      </c>
      <c r="I71" s="16" t="n">
        <f aca="false">COUNTIF(C35:BP35,"&lt;0")</f>
        <v>26</v>
      </c>
      <c r="J71" s="16" t="n">
        <f aca="false">COUNTIF(C47:BP47,0)</f>
        <v>5</v>
      </c>
      <c r="K71" s="8" t="str">
        <f aca="false">IF($J71&gt;0,"CAPTACAO INSUFICIENTE - reservatorio zera em "&amp;$J71&amp;" semana(s)",IF($E71&gt;=0,"OK - captacao cobre o consumo da safra","ATENCAO - consumo supera a captacao, sustentado pela reserva"))</f>
        <v>CAPTACAO INSUFICIENTE - reservatorio zera em 5 semana(s)</v>
      </c>
    </row>
    <row r="72" customFormat="false" ht="15" hidden="false" customHeight="false" outlineLevel="0" collapsed="false">
      <c r="B72" s="15" t="s">
        <v>133</v>
      </c>
      <c r="C72" s="16" t="n">
        <f aca="false">SUM(C12:BP12)</f>
        <v>9896040</v>
      </c>
      <c r="D72" s="16" t="n">
        <f aca="false">SUM(C24:BP24)</f>
        <v>6310052.81877034</v>
      </c>
      <c r="E72" s="16" t="n">
        <f aca="false">$C72-$D72</f>
        <v>3585987.18122966</v>
      </c>
      <c r="F72" s="16" t="n">
        <f aca="false">CADASTRO_CASAS_BOMBA!$O$11</f>
        <v>469821</v>
      </c>
      <c r="G72" s="16" t="n">
        <f aca="false">IFERROR($D72/N_SEMANAS,0)</f>
        <v>95606.8608904597</v>
      </c>
      <c r="H72" s="16" t="n">
        <f aca="false">IFERROR($C72/N_SEMANAS,0)</f>
        <v>149940</v>
      </c>
      <c r="I72" s="16" t="n">
        <f aca="false">COUNTIF(C36:BP36,"&lt;0")</f>
        <v>20</v>
      </c>
      <c r="J72" s="16" t="n">
        <f aca="false">COUNTIF(C48:BP48,0)</f>
        <v>11</v>
      </c>
      <c r="K72" s="8" t="str">
        <f aca="false">IF($J72&gt;0,"CAPTACAO INSUFICIENTE - reservatorio zera em "&amp;$J72&amp;" semana(s)",IF($E72&gt;=0,"OK - captacao cobre o consumo da safra","ATENCAO - consumo supera a captacao, sustentado pela reserva"))</f>
        <v>CAPTACAO INSUFICIENTE - reservatorio zera em 11 semana(s)</v>
      </c>
    </row>
    <row r="73" customFormat="false" ht="15" hidden="false" customHeight="false" outlineLevel="0" collapsed="false">
      <c r="B73" s="15" t="s">
        <v>134</v>
      </c>
      <c r="C73" s="16" t="n">
        <f aca="false">SUM(C13:BP13)</f>
        <v>11725560</v>
      </c>
      <c r="D73" s="16" t="n">
        <f aca="false">SUM(C25:BP25)</f>
        <v>8075449.63800163</v>
      </c>
      <c r="E73" s="16" t="n">
        <f aca="false">$C73-$D73</f>
        <v>3650110.36199837</v>
      </c>
      <c r="F73" s="16" t="n">
        <f aca="false">CADASTRO_CASAS_BOMBA!$O$12</f>
        <v>440000</v>
      </c>
      <c r="G73" s="16" t="n">
        <f aca="false">IFERROR($D73/N_SEMANAS,0)</f>
        <v>122355.297545479</v>
      </c>
      <c r="H73" s="16" t="n">
        <f aca="false">IFERROR($C73/N_SEMANAS,0)</f>
        <v>177660</v>
      </c>
      <c r="I73" s="16" t="n">
        <f aca="false">COUNTIF(C37:BP37,"&lt;0")</f>
        <v>23</v>
      </c>
      <c r="J73" s="16" t="n">
        <f aca="false">COUNTIF(C49:BP49,0)</f>
        <v>17</v>
      </c>
      <c r="K73" s="8" t="str">
        <f aca="false">IF($J73&gt;0,"CAPTACAO INSUFICIENTE - reservatorio zera em "&amp;$J73&amp;" semana(s)",IF($E73&gt;=0,"OK - captacao cobre o consumo da safra","ATENCAO - consumo supera a captacao, sustentado pela reserva"))</f>
        <v>CAPTACAO INSUFICIENTE - reservatorio zera em 17 semana(s)</v>
      </c>
    </row>
    <row r="74" customFormat="false" ht="15" hidden="false" customHeight="false" outlineLevel="0" collapsed="false">
      <c r="B74" s="15" t="s">
        <v>135</v>
      </c>
      <c r="C74" s="16" t="n">
        <f aca="false">SUM(C14:BP14)</f>
        <v>0</v>
      </c>
      <c r="D74" s="16" t="n">
        <f aca="false">SUM(C26:BP26)</f>
        <v>0</v>
      </c>
      <c r="E74" s="16" t="n">
        <f aca="false">$C74-$D74</f>
        <v>0</v>
      </c>
      <c r="F74" s="16" t="n">
        <f aca="false">CADASTRO_CASAS_BOMBA!$O$13</f>
        <v>74903</v>
      </c>
      <c r="G74" s="16" t="n">
        <f aca="false">IFERROR($D74/N_SEMANAS,0)</f>
        <v>0</v>
      </c>
      <c r="H74" s="16" t="n">
        <f aca="false">IFERROR($C74/N_SEMANAS,0)</f>
        <v>0</v>
      </c>
      <c r="I74" s="16" t="n">
        <f aca="false">COUNTIF(C38:BP38,"&lt;0")</f>
        <v>0</v>
      </c>
      <c r="J74" s="16" t="n">
        <f aca="false">COUNTIF(C50:BP50,0)</f>
        <v>0</v>
      </c>
      <c r="K74" s="8" t="str">
        <f aca="false">IF($J74&gt;0,"CAPTACAO INSUFICIENTE - reservatorio zera em "&amp;$J74&amp;" semana(s)",IF($E74&gt;=0,"OK - captacao cobre o consumo da safra","ATENCAO - consumo supera a captacao, sustentado pela reserva"))</f>
        <v>OK - captacao cobre o consumo da safra</v>
      </c>
    </row>
    <row r="76" customFormat="false" ht="30" hidden="false" customHeight="true" outlineLevel="0" collapsed="false">
      <c r="B76" s="5" t="s">
        <v>157</v>
      </c>
      <c r="C76" s="5"/>
      <c r="D76" s="5"/>
      <c r="E76" s="5"/>
      <c r="F76" s="5"/>
      <c r="G76" s="5"/>
      <c r="H76" s="5"/>
      <c r="I76" s="5"/>
      <c r="J76" s="5"/>
      <c r="K76" s="5"/>
    </row>
  </sheetData>
  <mergeCells count="3">
    <mergeCell ref="B2:L2"/>
    <mergeCell ref="B3:L3"/>
    <mergeCell ref="B76:K76"/>
  </mergeCells>
  <conditionalFormatting sqref="C31:BP38">
    <cfRule type="cellIs" priority="2" operator="lessThan" aboveAverage="0" equalAverage="0" bottom="0" percent="0" rank="0" text="" dxfId="0">
      <formula>0</formula>
    </cfRule>
  </conditionalFormatting>
  <conditionalFormatting sqref="C43:BP50">
    <cfRule type="colorScale" priority="3">
      <colorScale>
        <cfvo type="num" val="0"/>
        <cfvo type="percentile" val="50"/>
        <cfvo type="max" val="0"/>
        <color rgb="FFF8696B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4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27" min="4" style="0" width="12"/>
  </cols>
  <sheetData>
    <row r="2" customFormat="false" ht="30" hidden="false" customHeight="true" outlineLevel="0" collapsed="false">
      <c r="B2" s="1" t="s">
        <v>158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customFormat="false" ht="25.5" hidden="false" customHeight="true" outlineLevel="0" collapsed="false">
      <c r="B3" s="2" t="s">
        <v>159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5" customFormat="false" ht="25.5" hidden="false" customHeight="true" outlineLevel="0" collapsed="false">
      <c r="B5" s="14" t="s">
        <v>160</v>
      </c>
      <c r="C5" s="14" t="s">
        <v>161</v>
      </c>
      <c r="D5" s="23" t="str">
        <f aca="false">CADASTRO_CASAS_BOMBA!$B$6&amp;"  (capt "&amp;TEXT(CADASTRO_CASAS_BOMBA!$I$6*HORAS_CAPTACAO_DIA,"#,##0")&amp;" m3/d - cap "&amp;TEXT(CADASTRO_CASAS_BOMBA!$O$6,"#,##0")&amp;" m3)"</f>
        <v>RM01  (capt 10,499 m3/d - cap 2,600 m3)</v>
      </c>
      <c r="E5" s="23"/>
      <c r="F5" s="23"/>
      <c r="G5" s="23" t="str">
        <f aca="false">CADASTRO_CASAS_BOMBA!$B$7&amp;"  (capt "&amp;TEXT(CADASTRO_CASAS_BOMBA!$I$7*HORAS_CAPTACAO_DIA,"#,##0")&amp;" m3/d - cap "&amp;TEXT(CADASTRO_CASAS_BOMBA!$O$7,"#,##0")&amp;" m3)"</f>
        <v>RM02  (capt 10,499 m3/d - cap 76,648 m3)</v>
      </c>
      <c r="H5" s="23"/>
      <c r="I5" s="23"/>
      <c r="J5" s="23" t="str">
        <f aca="false">CADASTRO_CASAS_BOMBA!$B$8&amp;"  (capt "&amp;TEXT(CADASTRO_CASAS_BOMBA!$I$8*HORAS_CAPTACAO_DIA,"#,##0")&amp;" m3/d - cap "&amp;TEXT(CADASTRO_CASAS_BOMBA!$O$8,"#,##0")&amp;" m3)"</f>
        <v>RM03  (capt 10,499 m3/d - cap 27,377 m3)</v>
      </c>
      <c r="K5" s="23"/>
      <c r="L5" s="23"/>
      <c r="M5" s="23" t="str">
        <f aca="false">CADASTRO_CASAS_BOMBA!$B$9&amp;"  (capt "&amp;TEXT(CADASTRO_CASAS_BOMBA!$I$9*HORAS_CAPTACAO_DIA,"#,##0")&amp;" m3/d - cap "&amp;TEXT(CADASTRO_CASAS_BOMBA!$O$9,"#,##0")&amp;" m3)"</f>
        <v>RM04  (capt 21,631 m3/d - cap 129,000 m3)</v>
      </c>
      <c r="N5" s="23"/>
      <c r="O5" s="23"/>
      <c r="P5" s="23" t="str">
        <f aca="false">CADASTRO_CASAS_BOMBA!$B$10&amp;"  (capt "&amp;TEXT(CADASTRO_CASAS_BOMBA!$I$10*HORAS_CAPTACAO_DIA,"#,##0")&amp;" m3/d - cap "&amp;TEXT(CADASTRO_CASAS_BOMBA!$O$10,"#,##0")&amp;" m3)"</f>
        <v>RM05  (capt 13,082 m3/d - cap 1,000,000 m3)</v>
      </c>
      <c r="Q5" s="23"/>
      <c r="R5" s="23"/>
      <c r="S5" s="23" t="str">
        <f aca="false">CADASTRO_CASAS_BOMBA!$B$11&amp;"  (capt "&amp;TEXT(CADASTRO_CASAS_BOMBA!$I$11*HORAS_CAPTACAO_DIA,"#,##0")&amp;" m3/d - cap "&amp;TEXT(CADASTRO_CASAS_BOMBA!$O$11,"#,##0")&amp;" m3)"</f>
        <v>RM06  (capt 21,420 m3/d - cap 469,821 m3)</v>
      </c>
      <c r="T5" s="23"/>
      <c r="U5" s="23"/>
      <c r="V5" s="23" t="str">
        <f aca="false">CADASTRO_CASAS_BOMBA!$B$12&amp;"  (capt "&amp;TEXT(CADASTRO_CASAS_BOMBA!$I$12*HORAS_CAPTACAO_DIA,"#,##0")&amp;" m3/d - cap "&amp;TEXT(CADASTRO_CASAS_BOMBA!$O$12,"#,##0")&amp;" m3)"</f>
        <v>RM07  (capt 25,380 m3/d - cap 440,000 m3)</v>
      </c>
      <c r="W5" s="23"/>
      <c r="X5" s="23"/>
      <c r="Y5" s="23" t="str">
        <f aca="false">CADASTRO_CASAS_BOMBA!$B$13&amp;"  (capt "&amp;TEXT(CADASTRO_CASAS_BOMBA!$I$13*HORAS_CAPTACAO_DIA,"#,##0")&amp;" m3/d - cap "&amp;TEXT(CADASTRO_CASAS_BOMBA!$O$13,"#,##0")&amp;" m3)"</f>
        <v>RM08  (capt 0 m3/d - cap 74,903 m3)</v>
      </c>
      <c r="Z5" s="23"/>
      <c r="AA5" s="23"/>
    </row>
    <row r="6" customFormat="false" ht="24" hidden="false" customHeight="true" outlineLevel="0" collapsed="false">
      <c r="D6" s="14" t="s">
        <v>162</v>
      </c>
      <c r="E6" s="14" t="s">
        <v>163</v>
      </c>
      <c r="F6" s="14" t="s">
        <v>164</v>
      </c>
      <c r="G6" s="14" t="s">
        <v>162</v>
      </c>
      <c r="H6" s="14" t="s">
        <v>163</v>
      </c>
      <c r="I6" s="14" t="s">
        <v>164</v>
      </c>
      <c r="J6" s="14" t="s">
        <v>162</v>
      </c>
      <c r="K6" s="14" t="s">
        <v>163</v>
      </c>
      <c r="L6" s="14" t="s">
        <v>164</v>
      </c>
      <c r="M6" s="14" t="s">
        <v>162</v>
      </c>
      <c r="N6" s="14" t="s">
        <v>163</v>
      </c>
      <c r="O6" s="14" t="s">
        <v>164</v>
      </c>
      <c r="P6" s="14" t="s">
        <v>162</v>
      </c>
      <c r="Q6" s="14" t="s">
        <v>163</v>
      </c>
      <c r="R6" s="14" t="s">
        <v>164</v>
      </c>
      <c r="S6" s="14" t="s">
        <v>162</v>
      </c>
      <c r="T6" s="14" t="s">
        <v>163</v>
      </c>
      <c r="U6" s="14" t="s">
        <v>164</v>
      </c>
      <c r="V6" s="14" t="s">
        <v>162</v>
      </c>
      <c r="W6" s="14" t="s">
        <v>163</v>
      </c>
      <c r="X6" s="14" t="s">
        <v>164</v>
      </c>
      <c r="Y6" s="14" t="s">
        <v>162</v>
      </c>
      <c r="Z6" s="14" t="s">
        <v>163</v>
      </c>
      <c r="AA6" s="14" t="s">
        <v>164</v>
      </c>
    </row>
    <row r="7" customFormat="false" ht="15" hidden="false" customHeight="false" outlineLevel="0" collapsed="false">
      <c r="B7" s="17" t="n">
        <f aca="false">DATA_INICIO_SAFRA+0</f>
        <v>46265</v>
      </c>
      <c r="C7" s="16" t="n">
        <f aca="false">MIN(N_SEMANAS,MAX(1,INT(($B7-DATA_INICIO_SAFRA)/DIAS_POR_SEMANA)+1))</f>
        <v>1</v>
      </c>
      <c r="D7" s="16" t="n">
        <f aca="false">INDEX(AUX_MATRIZES!$C$8:$BP$8,MIN(N_SEMANAS,MAX(1,$C7)))/DIAS_POR_SEMANA</f>
        <v>0</v>
      </c>
      <c r="E7" s="16" t="n">
        <f aca="false">MIN(CADASTRO_CASAS_BOMBA!$O$6,MAX(0,CADASTRO_CASAS_BOMBA!$O$6+CADASTRO_CASAS_BOMBA!$I$6*HORAS_CAPTACAO_DIA-D7))</f>
        <v>2600</v>
      </c>
      <c r="F7" s="16" t="n">
        <f aca="false">MAX(0,D7-CADASTRO_CASAS_BOMBA!$I$6*HORAS_CAPTACAO_DIA-CADASTRO_CASAS_BOMBA!$O$6)</f>
        <v>0</v>
      </c>
      <c r="G7" s="16" t="n">
        <f aca="false">INDEX(AUX_MATRIZES!$C$9:$BP$9,MIN(N_SEMANAS,MAX(1,$C7)))/DIAS_POR_SEMANA</f>
        <v>3224.28988235294</v>
      </c>
      <c r="H7" s="16" t="n">
        <f aca="false">MIN(CADASTRO_CASAS_BOMBA!$O$7,MAX(0,CADASTRO_CASAS_BOMBA!$O$7+CADASTRO_CASAS_BOMBA!$I$7*HORAS_CAPTACAO_DIA-G7))</f>
        <v>76648</v>
      </c>
      <c r="I7" s="16" t="n">
        <f aca="false">MAX(0,G7-CADASTRO_CASAS_BOMBA!$I$7*HORAS_CAPTACAO_DIA-CADASTRO_CASAS_BOMBA!$O$7)</f>
        <v>0</v>
      </c>
      <c r="J7" s="16" t="n">
        <f aca="false">INDEX(AUX_MATRIZES!$C$10:$BP$10,MIN(N_SEMANAS,MAX(1,$C7)))/DIAS_POR_SEMANA</f>
        <v>0</v>
      </c>
      <c r="K7" s="16" t="n">
        <f aca="false">MIN(CADASTRO_CASAS_BOMBA!$O$8,MAX(0,CADASTRO_CASAS_BOMBA!$O$8+CADASTRO_CASAS_BOMBA!$I$8*HORAS_CAPTACAO_DIA-J7))</f>
        <v>27377</v>
      </c>
      <c r="L7" s="16" t="n">
        <f aca="false">MAX(0,J7-CADASTRO_CASAS_BOMBA!$I$8*HORAS_CAPTACAO_DIA-CADASTRO_CASAS_BOMBA!$O$8)</f>
        <v>0</v>
      </c>
      <c r="M7" s="16" t="n">
        <f aca="false">INDEX(AUX_MATRIZES!$C$11:$BP$11,MIN(N_SEMANAS,MAX(1,$C7)))/DIAS_POR_SEMANA</f>
        <v>6564.592</v>
      </c>
      <c r="N7" s="16" t="n">
        <f aca="false">MIN(CADASTRO_CASAS_BOMBA!$O$9,MAX(0,CADASTRO_CASAS_BOMBA!$O$9+CADASTRO_CASAS_BOMBA!$I$9*HORAS_CAPTACAO_DIA-M7))</f>
        <v>129000</v>
      </c>
      <c r="O7" s="16" t="n">
        <f aca="false">MAX(0,M7-CADASTRO_CASAS_BOMBA!$I$9*HORAS_CAPTACAO_DIA-CADASTRO_CASAS_BOMBA!$O$9)</f>
        <v>0</v>
      </c>
      <c r="P7" s="16" t="n">
        <f aca="false">INDEX(AUX_MATRIZES!$C$12:$BP$12,MIN(N_SEMANAS,MAX(1,$C7)))/DIAS_POR_SEMANA</f>
        <v>13800.192</v>
      </c>
      <c r="Q7" s="16" t="n">
        <f aca="false">MIN(CADASTRO_CASAS_BOMBA!$O$10,MAX(0,CADASTRO_CASAS_BOMBA!$O$10+CADASTRO_CASAS_BOMBA!$I$10*HORAS_CAPTACAO_DIA-P7))</f>
        <v>999282.208</v>
      </c>
      <c r="R7" s="16" t="n">
        <f aca="false">MAX(0,P7-CADASTRO_CASAS_BOMBA!$I$10*HORAS_CAPTACAO_DIA-CADASTRO_CASAS_BOMBA!$O$10)</f>
        <v>0</v>
      </c>
      <c r="S7" s="16" t="n">
        <f aca="false">INDEX(AUX_MATRIZES!$C$13:$BP$13,MIN(N_SEMANAS,MAX(1,$C7)))/DIAS_POR_SEMANA</f>
        <v>21216.8520887175</v>
      </c>
      <c r="T7" s="16" t="n">
        <f aca="false">MIN(CADASTRO_CASAS_BOMBA!$O$11,MAX(0,CADASTRO_CASAS_BOMBA!$O$11+CADASTRO_CASAS_BOMBA!$I$11*HORAS_CAPTACAO_DIA-S7))</f>
        <v>469821</v>
      </c>
      <c r="U7" s="16" t="n">
        <f aca="false">MAX(0,S7-CADASTRO_CASAS_BOMBA!$I$11*HORAS_CAPTACAO_DIA-CADASTRO_CASAS_BOMBA!$O$11)</f>
        <v>0</v>
      </c>
      <c r="V7" s="16" t="n">
        <f aca="false">INDEX(AUX_MATRIZES!$C$14:$BP$14,MIN(N_SEMANAS,MAX(1,$C7)))/DIAS_POR_SEMANA</f>
        <v>24676.594042417</v>
      </c>
      <c r="W7" s="16" t="n">
        <f aca="false">MIN(CADASTRO_CASAS_BOMBA!$O$12,MAX(0,CADASTRO_CASAS_BOMBA!$O$12+CADASTRO_CASAS_BOMBA!$I$12*HORAS_CAPTACAO_DIA-V7))</f>
        <v>440000</v>
      </c>
      <c r="X7" s="16" t="n">
        <f aca="false">MAX(0,V7-CADASTRO_CASAS_BOMBA!$I$12*HORAS_CAPTACAO_DIA-CADASTRO_CASAS_BOMBA!$O$12)</f>
        <v>0</v>
      </c>
      <c r="Y7" s="16" t="n">
        <f aca="false">INDEX(AUX_MATRIZES!$C$15:$BP$15,MIN(N_SEMANAS,MAX(1,$C7)))/DIAS_POR_SEMANA</f>
        <v>0</v>
      </c>
      <c r="Z7" s="16" t="n">
        <f aca="false">MIN(CADASTRO_CASAS_BOMBA!$O$13,MAX(0,CADASTRO_CASAS_BOMBA!$O$13+CADASTRO_CASAS_BOMBA!$I$13*HORAS_CAPTACAO_DIA-Y7))</f>
        <v>74903</v>
      </c>
      <c r="AA7" s="16" t="n">
        <f aca="false">MAX(0,Y7-CADASTRO_CASAS_BOMBA!$I$13*HORAS_CAPTACAO_DIA-CADASTRO_CASAS_BOMBA!$O$13)</f>
        <v>0</v>
      </c>
    </row>
    <row r="8" customFormat="false" ht="15" hidden="false" customHeight="false" outlineLevel="0" collapsed="false">
      <c r="B8" s="17" t="n">
        <f aca="false">DATA_INICIO_SAFRA+1</f>
        <v>46266</v>
      </c>
      <c r="C8" s="16" t="n">
        <f aca="false">MIN(N_SEMANAS,MAX(1,INT(($B8-DATA_INICIO_SAFRA)/DIAS_POR_SEMANA)+1))</f>
        <v>1</v>
      </c>
      <c r="D8" s="16" t="n">
        <f aca="false">INDEX(AUX_MATRIZES!$C$8:$BP$8,MIN(N_SEMANAS,MAX(1,$C8)))/DIAS_POR_SEMANA</f>
        <v>0</v>
      </c>
      <c r="E8" s="16" t="n">
        <f aca="false">MIN(CADASTRO_CASAS_BOMBA!$O$6,MAX(0,E7+CADASTRO_CASAS_BOMBA!$I$6*HORAS_CAPTACAO_DIA-D8))</f>
        <v>2600</v>
      </c>
      <c r="F8" s="16" t="n">
        <f aca="false">MAX(0,D8-CADASTRO_CASAS_BOMBA!$I$6*HORAS_CAPTACAO_DIA-E7)</f>
        <v>0</v>
      </c>
      <c r="G8" s="16" t="n">
        <f aca="false">INDEX(AUX_MATRIZES!$C$9:$BP$9,MIN(N_SEMANAS,MAX(1,$C8)))/DIAS_POR_SEMANA</f>
        <v>3224.28988235294</v>
      </c>
      <c r="H8" s="16" t="n">
        <f aca="false">MIN(CADASTRO_CASAS_BOMBA!$O$7,MAX(0,H7+CADASTRO_CASAS_BOMBA!$I$7*HORAS_CAPTACAO_DIA-G8))</f>
        <v>76648</v>
      </c>
      <c r="I8" s="16" t="n">
        <f aca="false">MAX(0,G8-CADASTRO_CASAS_BOMBA!$I$7*HORAS_CAPTACAO_DIA-H7)</f>
        <v>0</v>
      </c>
      <c r="J8" s="16" t="n">
        <f aca="false">INDEX(AUX_MATRIZES!$C$10:$BP$10,MIN(N_SEMANAS,MAX(1,$C8)))/DIAS_POR_SEMANA</f>
        <v>0</v>
      </c>
      <c r="K8" s="16" t="n">
        <f aca="false">MIN(CADASTRO_CASAS_BOMBA!$O$8,MAX(0,K7+CADASTRO_CASAS_BOMBA!$I$8*HORAS_CAPTACAO_DIA-J8))</f>
        <v>27377</v>
      </c>
      <c r="L8" s="16" t="n">
        <f aca="false">MAX(0,J8-CADASTRO_CASAS_BOMBA!$I$8*HORAS_CAPTACAO_DIA-K7)</f>
        <v>0</v>
      </c>
      <c r="M8" s="16" t="n">
        <f aca="false">INDEX(AUX_MATRIZES!$C$11:$BP$11,MIN(N_SEMANAS,MAX(1,$C8)))/DIAS_POR_SEMANA</f>
        <v>6564.592</v>
      </c>
      <c r="N8" s="16" t="n">
        <f aca="false">MIN(CADASTRO_CASAS_BOMBA!$O$9,MAX(0,N7+CADASTRO_CASAS_BOMBA!$I$9*HORAS_CAPTACAO_DIA-M8))</f>
        <v>129000</v>
      </c>
      <c r="O8" s="16" t="n">
        <f aca="false">MAX(0,M8-CADASTRO_CASAS_BOMBA!$I$9*HORAS_CAPTACAO_DIA-N7)</f>
        <v>0</v>
      </c>
      <c r="P8" s="16" t="n">
        <f aca="false">INDEX(AUX_MATRIZES!$C$12:$BP$12,MIN(N_SEMANAS,MAX(1,$C8)))/DIAS_POR_SEMANA</f>
        <v>13800.192</v>
      </c>
      <c r="Q8" s="16" t="n">
        <f aca="false">MIN(CADASTRO_CASAS_BOMBA!$O$10,MAX(0,Q7+CADASTRO_CASAS_BOMBA!$I$10*HORAS_CAPTACAO_DIA-P8))</f>
        <v>998564.416</v>
      </c>
      <c r="R8" s="16" t="n">
        <f aca="false">MAX(0,P8-CADASTRO_CASAS_BOMBA!$I$10*HORAS_CAPTACAO_DIA-Q7)</f>
        <v>0</v>
      </c>
      <c r="S8" s="16" t="n">
        <f aca="false">INDEX(AUX_MATRIZES!$C$13:$BP$13,MIN(N_SEMANAS,MAX(1,$C8)))/DIAS_POR_SEMANA</f>
        <v>21216.8520887175</v>
      </c>
      <c r="T8" s="16" t="n">
        <f aca="false">MIN(CADASTRO_CASAS_BOMBA!$O$11,MAX(0,T7+CADASTRO_CASAS_BOMBA!$I$11*HORAS_CAPTACAO_DIA-S8))</f>
        <v>469821</v>
      </c>
      <c r="U8" s="16" t="n">
        <f aca="false">MAX(0,S8-CADASTRO_CASAS_BOMBA!$I$11*HORAS_CAPTACAO_DIA-T7)</f>
        <v>0</v>
      </c>
      <c r="V8" s="16" t="n">
        <f aca="false">INDEX(AUX_MATRIZES!$C$14:$BP$14,MIN(N_SEMANAS,MAX(1,$C8)))/DIAS_POR_SEMANA</f>
        <v>24676.594042417</v>
      </c>
      <c r="W8" s="16" t="n">
        <f aca="false">MIN(CADASTRO_CASAS_BOMBA!$O$12,MAX(0,W7+CADASTRO_CASAS_BOMBA!$I$12*HORAS_CAPTACAO_DIA-V8))</f>
        <v>440000</v>
      </c>
      <c r="X8" s="16" t="n">
        <f aca="false">MAX(0,V8-CADASTRO_CASAS_BOMBA!$I$12*HORAS_CAPTACAO_DIA-W7)</f>
        <v>0</v>
      </c>
      <c r="Y8" s="16" t="n">
        <f aca="false">INDEX(AUX_MATRIZES!$C$15:$BP$15,MIN(N_SEMANAS,MAX(1,$C8)))/DIAS_POR_SEMANA</f>
        <v>0</v>
      </c>
      <c r="Z8" s="16" t="n">
        <f aca="false">MIN(CADASTRO_CASAS_BOMBA!$O$13,MAX(0,Z7+CADASTRO_CASAS_BOMBA!$I$13*HORAS_CAPTACAO_DIA-Y8))</f>
        <v>74903</v>
      </c>
      <c r="AA8" s="16" t="n">
        <f aca="false">MAX(0,Y8-CADASTRO_CASAS_BOMBA!$I$13*HORAS_CAPTACAO_DIA-Z7)</f>
        <v>0</v>
      </c>
    </row>
    <row r="9" customFormat="false" ht="15" hidden="false" customHeight="false" outlineLevel="0" collapsed="false">
      <c r="B9" s="17" t="n">
        <f aca="false">DATA_INICIO_SAFRA+2</f>
        <v>46267</v>
      </c>
      <c r="C9" s="16" t="n">
        <f aca="false">MIN(N_SEMANAS,MAX(1,INT(($B9-DATA_INICIO_SAFRA)/DIAS_POR_SEMANA)+1))</f>
        <v>1</v>
      </c>
      <c r="D9" s="16" t="n">
        <f aca="false">INDEX(AUX_MATRIZES!$C$8:$BP$8,MIN(N_SEMANAS,MAX(1,$C9)))/DIAS_POR_SEMANA</f>
        <v>0</v>
      </c>
      <c r="E9" s="16" t="n">
        <f aca="false">MIN(CADASTRO_CASAS_BOMBA!$O$6,MAX(0,E8+CADASTRO_CASAS_BOMBA!$I$6*HORAS_CAPTACAO_DIA-D9))</f>
        <v>2600</v>
      </c>
      <c r="F9" s="16" t="n">
        <f aca="false">MAX(0,D9-CADASTRO_CASAS_BOMBA!$I$6*HORAS_CAPTACAO_DIA-E8)</f>
        <v>0</v>
      </c>
      <c r="G9" s="16" t="n">
        <f aca="false">INDEX(AUX_MATRIZES!$C$9:$BP$9,MIN(N_SEMANAS,MAX(1,$C9)))/DIAS_POR_SEMANA</f>
        <v>3224.28988235294</v>
      </c>
      <c r="H9" s="16" t="n">
        <f aca="false">MIN(CADASTRO_CASAS_BOMBA!$O$7,MAX(0,H8+CADASTRO_CASAS_BOMBA!$I$7*HORAS_CAPTACAO_DIA-G9))</f>
        <v>76648</v>
      </c>
      <c r="I9" s="16" t="n">
        <f aca="false">MAX(0,G9-CADASTRO_CASAS_BOMBA!$I$7*HORAS_CAPTACAO_DIA-H8)</f>
        <v>0</v>
      </c>
      <c r="J9" s="16" t="n">
        <f aca="false">INDEX(AUX_MATRIZES!$C$10:$BP$10,MIN(N_SEMANAS,MAX(1,$C9)))/DIAS_POR_SEMANA</f>
        <v>0</v>
      </c>
      <c r="K9" s="16" t="n">
        <f aca="false">MIN(CADASTRO_CASAS_BOMBA!$O$8,MAX(0,K8+CADASTRO_CASAS_BOMBA!$I$8*HORAS_CAPTACAO_DIA-J9))</f>
        <v>27377</v>
      </c>
      <c r="L9" s="16" t="n">
        <f aca="false">MAX(0,J9-CADASTRO_CASAS_BOMBA!$I$8*HORAS_CAPTACAO_DIA-K8)</f>
        <v>0</v>
      </c>
      <c r="M9" s="16" t="n">
        <f aca="false">INDEX(AUX_MATRIZES!$C$11:$BP$11,MIN(N_SEMANAS,MAX(1,$C9)))/DIAS_POR_SEMANA</f>
        <v>6564.592</v>
      </c>
      <c r="N9" s="16" t="n">
        <f aca="false">MIN(CADASTRO_CASAS_BOMBA!$O$9,MAX(0,N8+CADASTRO_CASAS_BOMBA!$I$9*HORAS_CAPTACAO_DIA-M9))</f>
        <v>129000</v>
      </c>
      <c r="O9" s="16" t="n">
        <f aca="false">MAX(0,M9-CADASTRO_CASAS_BOMBA!$I$9*HORAS_CAPTACAO_DIA-N8)</f>
        <v>0</v>
      </c>
      <c r="P9" s="16" t="n">
        <f aca="false">INDEX(AUX_MATRIZES!$C$12:$BP$12,MIN(N_SEMANAS,MAX(1,$C9)))/DIAS_POR_SEMANA</f>
        <v>13800.192</v>
      </c>
      <c r="Q9" s="16" t="n">
        <f aca="false">MIN(CADASTRO_CASAS_BOMBA!$O$10,MAX(0,Q8+CADASTRO_CASAS_BOMBA!$I$10*HORAS_CAPTACAO_DIA-P9))</f>
        <v>997846.624</v>
      </c>
      <c r="R9" s="16" t="n">
        <f aca="false">MAX(0,P9-CADASTRO_CASAS_BOMBA!$I$10*HORAS_CAPTACAO_DIA-Q8)</f>
        <v>0</v>
      </c>
      <c r="S9" s="16" t="n">
        <f aca="false">INDEX(AUX_MATRIZES!$C$13:$BP$13,MIN(N_SEMANAS,MAX(1,$C9)))/DIAS_POR_SEMANA</f>
        <v>21216.8520887175</v>
      </c>
      <c r="T9" s="16" t="n">
        <f aca="false">MIN(CADASTRO_CASAS_BOMBA!$O$11,MAX(0,T8+CADASTRO_CASAS_BOMBA!$I$11*HORAS_CAPTACAO_DIA-S9))</f>
        <v>469821</v>
      </c>
      <c r="U9" s="16" t="n">
        <f aca="false">MAX(0,S9-CADASTRO_CASAS_BOMBA!$I$11*HORAS_CAPTACAO_DIA-T8)</f>
        <v>0</v>
      </c>
      <c r="V9" s="16" t="n">
        <f aca="false">INDEX(AUX_MATRIZES!$C$14:$BP$14,MIN(N_SEMANAS,MAX(1,$C9)))/DIAS_POR_SEMANA</f>
        <v>24676.594042417</v>
      </c>
      <c r="W9" s="16" t="n">
        <f aca="false">MIN(CADASTRO_CASAS_BOMBA!$O$12,MAX(0,W8+CADASTRO_CASAS_BOMBA!$I$12*HORAS_CAPTACAO_DIA-V9))</f>
        <v>440000</v>
      </c>
      <c r="X9" s="16" t="n">
        <f aca="false">MAX(0,V9-CADASTRO_CASAS_BOMBA!$I$12*HORAS_CAPTACAO_DIA-W8)</f>
        <v>0</v>
      </c>
      <c r="Y9" s="16" t="n">
        <f aca="false">INDEX(AUX_MATRIZES!$C$15:$BP$15,MIN(N_SEMANAS,MAX(1,$C9)))/DIAS_POR_SEMANA</f>
        <v>0</v>
      </c>
      <c r="Z9" s="16" t="n">
        <f aca="false">MIN(CADASTRO_CASAS_BOMBA!$O$13,MAX(0,Z8+CADASTRO_CASAS_BOMBA!$I$13*HORAS_CAPTACAO_DIA-Y9))</f>
        <v>74903</v>
      </c>
      <c r="AA9" s="16" t="n">
        <f aca="false">MAX(0,Y9-CADASTRO_CASAS_BOMBA!$I$13*HORAS_CAPTACAO_DIA-Z8)</f>
        <v>0</v>
      </c>
    </row>
    <row r="10" customFormat="false" ht="15" hidden="false" customHeight="false" outlineLevel="0" collapsed="false">
      <c r="B10" s="17" t="n">
        <f aca="false">DATA_INICIO_SAFRA+3</f>
        <v>46268</v>
      </c>
      <c r="C10" s="16" t="n">
        <f aca="false">MIN(N_SEMANAS,MAX(1,INT(($B10-DATA_INICIO_SAFRA)/DIAS_POR_SEMANA)+1))</f>
        <v>1</v>
      </c>
      <c r="D10" s="16" t="n">
        <f aca="false">INDEX(AUX_MATRIZES!$C$8:$BP$8,MIN(N_SEMANAS,MAX(1,$C10)))/DIAS_POR_SEMANA</f>
        <v>0</v>
      </c>
      <c r="E10" s="16" t="n">
        <f aca="false">MIN(CADASTRO_CASAS_BOMBA!$O$6,MAX(0,E9+CADASTRO_CASAS_BOMBA!$I$6*HORAS_CAPTACAO_DIA-D10))</f>
        <v>2600</v>
      </c>
      <c r="F10" s="16" t="n">
        <f aca="false">MAX(0,D10-CADASTRO_CASAS_BOMBA!$I$6*HORAS_CAPTACAO_DIA-E9)</f>
        <v>0</v>
      </c>
      <c r="G10" s="16" t="n">
        <f aca="false">INDEX(AUX_MATRIZES!$C$9:$BP$9,MIN(N_SEMANAS,MAX(1,$C10)))/DIAS_POR_SEMANA</f>
        <v>3224.28988235294</v>
      </c>
      <c r="H10" s="16" t="n">
        <f aca="false">MIN(CADASTRO_CASAS_BOMBA!$O$7,MAX(0,H9+CADASTRO_CASAS_BOMBA!$I$7*HORAS_CAPTACAO_DIA-G10))</f>
        <v>76648</v>
      </c>
      <c r="I10" s="16" t="n">
        <f aca="false">MAX(0,G10-CADASTRO_CASAS_BOMBA!$I$7*HORAS_CAPTACAO_DIA-H9)</f>
        <v>0</v>
      </c>
      <c r="J10" s="16" t="n">
        <f aca="false">INDEX(AUX_MATRIZES!$C$10:$BP$10,MIN(N_SEMANAS,MAX(1,$C10)))/DIAS_POR_SEMANA</f>
        <v>0</v>
      </c>
      <c r="K10" s="16" t="n">
        <f aca="false">MIN(CADASTRO_CASAS_BOMBA!$O$8,MAX(0,K9+CADASTRO_CASAS_BOMBA!$I$8*HORAS_CAPTACAO_DIA-J10))</f>
        <v>27377</v>
      </c>
      <c r="L10" s="16" t="n">
        <f aca="false">MAX(0,J10-CADASTRO_CASAS_BOMBA!$I$8*HORAS_CAPTACAO_DIA-K9)</f>
        <v>0</v>
      </c>
      <c r="M10" s="16" t="n">
        <f aca="false">INDEX(AUX_MATRIZES!$C$11:$BP$11,MIN(N_SEMANAS,MAX(1,$C10)))/DIAS_POR_SEMANA</f>
        <v>6564.592</v>
      </c>
      <c r="N10" s="16" t="n">
        <f aca="false">MIN(CADASTRO_CASAS_BOMBA!$O$9,MAX(0,N9+CADASTRO_CASAS_BOMBA!$I$9*HORAS_CAPTACAO_DIA-M10))</f>
        <v>129000</v>
      </c>
      <c r="O10" s="16" t="n">
        <f aca="false">MAX(0,M10-CADASTRO_CASAS_BOMBA!$I$9*HORAS_CAPTACAO_DIA-N9)</f>
        <v>0</v>
      </c>
      <c r="P10" s="16" t="n">
        <f aca="false">INDEX(AUX_MATRIZES!$C$12:$BP$12,MIN(N_SEMANAS,MAX(1,$C10)))/DIAS_POR_SEMANA</f>
        <v>13800.192</v>
      </c>
      <c r="Q10" s="16" t="n">
        <f aca="false">MIN(CADASTRO_CASAS_BOMBA!$O$10,MAX(0,Q9+CADASTRO_CASAS_BOMBA!$I$10*HORAS_CAPTACAO_DIA-P10))</f>
        <v>997128.832</v>
      </c>
      <c r="R10" s="16" t="n">
        <f aca="false">MAX(0,P10-CADASTRO_CASAS_BOMBA!$I$10*HORAS_CAPTACAO_DIA-Q9)</f>
        <v>0</v>
      </c>
      <c r="S10" s="16" t="n">
        <f aca="false">INDEX(AUX_MATRIZES!$C$13:$BP$13,MIN(N_SEMANAS,MAX(1,$C10)))/DIAS_POR_SEMANA</f>
        <v>21216.8520887175</v>
      </c>
      <c r="T10" s="16" t="n">
        <f aca="false">MIN(CADASTRO_CASAS_BOMBA!$O$11,MAX(0,T9+CADASTRO_CASAS_BOMBA!$I$11*HORAS_CAPTACAO_DIA-S10))</f>
        <v>469821</v>
      </c>
      <c r="U10" s="16" t="n">
        <f aca="false">MAX(0,S10-CADASTRO_CASAS_BOMBA!$I$11*HORAS_CAPTACAO_DIA-T9)</f>
        <v>0</v>
      </c>
      <c r="V10" s="16" t="n">
        <f aca="false">INDEX(AUX_MATRIZES!$C$14:$BP$14,MIN(N_SEMANAS,MAX(1,$C10)))/DIAS_POR_SEMANA</f>
        <v>24676.594042417</v>
      </c>
      <c r="W10" s="16" t="n">
        <f aca="false">MIN(CADASTRO_CASAS_BOMBA!$O$12,MAX(0,W9+CADASTRO_CASAS_BOMBA!$I$12*HORAS_CAPTACAO_DIA-V10))</f>
        <v>440000</v>
      </c>
      <c r="X10" s="16" t="n">
        <f aca="false">MAX(0,V10-CADASTRO_CASAS_BOMBA!$I$12*HORAS_CAPTACAO_DIA-W9)</f>
        <v>0</v>
      </c>
      <c r="Y10" s="16" t="n">
        <f aca="false">INDEX(AUX_MATRIZES!$C$15:$BP$15,MIN(N_SEMANAS,MAX(1,$C10)))/DIAS_POR_SEMANA</f>
        <v>0</v>
      </c>
      <c r="Z10" s="16" t="n">
        <f aca="false">MIN(CADASTRO_CASAS_BOMBA!$O$13,MAX(0,Z9+CADASTRO_CASAS_BOMBA!$I$13*HORAS_CAPTACAO_DIA-Y10))</f>
        <v>74903</v>
      </c>
      <c r="AA10" s="16" t="n">
        <f aca="false">MAX(0,Y10-CADASTRO_CASAS_BOMBA!$I$13*HORAS_CAPTACAO_DIA-Z9)</f>
        <v>0</v>
      </c>
    </row>
    <row r="11" customFormat="false" ht="15" hidden="false" customHeight="false" outlineLevel="0" collapsed="false">
      <c r="B11" s="17" t="n">
        <f aca="false">DATA_INICIO_SAFRA+4</f>
        <v>46269</v>
      </c>
      <c r="C11" s="16" t="n">
        <f aca="false">MIN(N_SEMANAS,MAX(1,INT(($B11-DATA_INICIO_SAFRA)/DIAS_POR_SEMANA)+1))</f>
        <v>1</v>
      </c>
      <c r="D11" s="16" t="n">
        <f aca="false">INDEX(AUX_MATRIZES!$C$8:$BP$8,MIN(N_SEMANAS,MAX(1,$C11)))/DIAS_POR_SEMANA</f>
        <v>0</v>
      </c>
      <c r="E11" s="16" t="n">
        <f aca="false">MIN(CADASTRO_CASAS_BOMBA!$O$6,MAX(0,E10+CADASTRO_CASAS_BOMBA!$I$6*HORAS_CAPTACAO_DIA-D11))</f>
        <v>2600</v>
      </c>
      <c r="F11" s="16" t="n">
        <f aca="false">MAX(0,D11-CADASTRO_CASAS_BOMBA!$I$6*HORAS_CAPTACAO_DIA-E10)</f>
        <v>0</v>
      </c>
      <c r="G11" s="16" t="n">
        <f aca="false">INDEX(AUX_MATRIZES!$C$9:$BP$9,MIN(N_SEMANAS,MAX(1,$C11)))/DIAS_POR_SEMANA</f>
        <v>3224.28988235294</v>
      </c>
      <c r="H11" s="16" t="n">
        <f aca="false">MIN(CADASTRO_CASAS_BOMBA!$O$7,MAX(0,H10+CADASTRO_CASAS_BOMBA!$I$7*HORAS_CAPTACAO_DIA-G11))</f>
        <v>76648</v>
      </c>
      <c r="I11" s="16" t="n">
        <f aca="false">MAX(0,G11-CADASTRO_CASAS_BOMBA!$I$7*HORAS_CAPTACAO_DIA-H10)</f>
        <v>0</v>
      </c>
      <c r="J11" s="16" t="n">
        <f aca="false">INDEX(AUX_MATRIZES!$C$10:$BP$10,MIN(N_SEMANAS,MAX(1,$C11)))/DIAS_POR_SEMANA</f>
        <v>0</v>
      </c>
      <c r="K11" s="16" t="n">
        <f aca="false">MIN(CADASTRO_CASAS_BOMBA!$O$8,MAX(0,K10+CADASTRO_CASAS_BOMBA!$I$8*HORAS_CAPTACAO_DIA-J11))</f>
        <v>27377</v>
      </c>
      <c r="L11" s="16" t="n">
        <f aca="false">MAX(0,J11-CADASTRO_CASAS_BOMBA!$I$8*HORAS_CAPTACAO_DIA-K10)</f>
        <v>0</v>
      </c>
      <c r="M11" s="16" t="n">
        <f aca="false">INDEX(AUX_MATRIZES!$C$11:$BP$11,MIN(N_SEMANAS,MAX(1,$C11)))/DIAS_POR_SEMANA</f>
        <v>6564.592</v>
      </c>
      <c r="N11" s="16" t="n">
        <f aca="false">MIN(CADASTRO_CASAS_BOMBA!$O$9,MAX(0,N10+CADASTRO_CASAS_BOMBA!$I$9*HORAS_CAPTACAO_DIA-M11))</f>
        <v>129000</v>
      </c>
      <c r="O11" s="16" t="n">
        <f aca="false">MAX(0,M11-CADASTRO_CASAS_BOMBA!$I$9*HORAS_CAPTACAO_DIA-N10)</f>
        <v>0</v>
      </c>
      <c r="P11" s="16" t="n">
        <f aca="false">INDEX(AUX_MATRIZES!$C$12:$BP$12,MIN(N_SEMANAS,MAX(1,$C11)))/DIAS_POR_SEMANA</f>
        <v>13800.192</v>
      </c>
      <c r="Q11" s="16" t="n">
        <f aca="false">MIN(CADASTRO_CASAS_BOMBA!$O$10,MAX(0,Q10+CADASTRO_CASAS_BOMBA!$I$10*HORAS_CAPTACAO_DIA-P11))</f>
        <v>996411.04</v>
      </c>
      <c r="R11" s="16" t="n">
        <f aca="false">MAX(0,P11-CADASTRO_CASAS_BOMBA!$I$10*HORAS_CAPTACAO_DIA-Q10)</f>
        <v>0</v>
      </c>
      <c r="S11" s="16" t="n">
        <f aca="false">INDEX(AUX_MATRIZES!$C$13:$BP$13,MIN(N_SEMANAS,MAX(1,$C11)))/DIAS_POR_SEMANA</f>
        <v>21216.8520887175</v>
      </c>
      <c r="T11" s="16" t="n">
        <f aca="false">MIN(CADASTRO_CASAS_BOMBA!$O$11,MAX(0,T10+CADASTRO_CASAS_BOMBA!$I$11*HORAS_CAPTACAO_DIA-S11))</f>
        <v>469821</v>
      </c>
      <c r="U11" s="16" t="n">
        <f aca="false">MAX(0,S11-CADASTRO_CASAS_BOMBA!$I$11*HORAS_CAPTACAO_DIA-T10)</f>
        <v>0</v>
      </c>
      <c r="V11" s="16" t="n">
        <f aca="false">INDEX(AUX_MATRIZES!$C$14:$BP$14,MIN(N_SEMANAS,MAX(1,$C11)))/DIAS_POR_SEMANA</f>
        <v>24676.594042417</v>
      </c>
      <c r="W11" s="16" t="n">
        <f aca="false">MIN(CADASTRO_CASAS_BOMBA!$O$12,MAX(0,W10+CADASTRO_CASAS_BOMBA!$I$12*HORAS_CAPTACAO_DIA-V11))</f>
        <v>440000</v>
      </c>
      <c r="X11" s="16" t="n">
        <f aca="false">MAX(0,V11-CADASTRO_CASAS_BOMBA!$I$12*HORAS_CAPTACAO_DIA-W10)</f>
        <v>0</v>
      </c>
      <c r="Y11" s="16" t="n">
        <f aca="false">INDEX(AUX_MATRIZES!$C$15:$BP$15,MIN(N_SEMANAS,MAX(1,$C11)))/DIAS_POR_SEMANA</f>
        <v>0</v>
      </c>
      <c r="Z11" s="16" t="n">
        <f aca="false">MIN(CADASTRO_CASAS_BOMBA!$O$13,MAX(0,Z10+CADASTRO_CASAS_BOMBA!$I$13*HORAS_CAPTACAO_DIA-Y11))</f>
        <v>74903</v>
      </c>
      <c r="AA11" s="16" t="n">
        <f aca="false">MAX(0,Y11-CADASTRO_CASAS_BOMBA!$I$13*HORAS_CAPTACAO_DIA-Z10)</f>
        <v>0</v>
      </c>
    </row>
    <row r="12" customFormat="false" ht="15" hidden="false" customHeight="false" outlineLevel="0" collapsed="false">
      <c r="B12" s="17" t="n">
        <f aca="false">DATA_INICIO_SAFRA+5</f>
        <v>46270</v>
      </c>
      <c r="C12" s="16" t="n">
        <f aca="false">MIN(N_SEMANAS,MAX(1,INT(($B12-DATA_INICIO_SAFRA)/DIAS_POR_SEMANA)+1))</f>
        <v>1</v>
      </c>
      <c r="D12" s="16" t="n">
        <f aca="false">INDEX(AUX_MATRIZES!$C$8:$BP$8,MIN(N_SEMANAS,MAX(1,$C12)))/DIAS_POR_SEMANA</f>
        <v>0</v>
      </c>
      <c r="E12" s="16" t="n">
        <f aca="false">MIN(CADASTRO_CASAS_BOMBA!$O$6,MAX(0,E11+CADASTRO_CASAS_BOMBA!$I$6*HORAS_CAPTACAO_DIA-D12))</f>
        <v>2600</v>
      </c>
      <c r="F12" s="16" t="n">
        <f aca="false">MAX(0,D12-CADASTRO_CASAS_BOMBA!$I$6*HORAS_CAPTACAO_DIA-E11)</f>
        <v>0</v>
      </c>
      <c r="G12" s="16" t="n">
        <f aca="false">INDEX(AUX_MATRIZES!$C$9:$BP$9,MIN(N_SEMANAS,MAX(1,$C12)))/DIAS_POR_SEMANA</f>
        <v>3224.28988235294</v>
      </c>
      <c r="H12" s="16" t="n">
        <f aca="false">MIN(CADASTRO_CASAS_BOMBA!$O$7,MAX(0,H11+CADASTRO_CASAS_BOMBA!$I$7*HORAS_CAPTACAO_DIA-G12))</f>
        <v>76648</v>
      </c>
      <c r="I12" s="16" t="n">
        <f aca="false">MAX(0,G12-CADASTRO_CASAS_BOMBA!$I$7*HORAS_CAPTACAO_DIA-H11)</f>
        <v>0</v>
      </c>
      <c r="J12" s="16" t="n">
        <f aca="false">INDEX(AUX_MATRIZES!$C$10:$BP$10,MIN(N_SEMANAS,MAX(1,$C12)))/DIAS_POR_SEMANA</f>
        <v>0</v>
      </c>
      <c r="K12" s="16" t="n">
        <f aca="false">MIN(CADASTRO_CASAS_BOMBA!$O$8,MAX(0,K11+CADASTRO_CASAS_BOMBA!$I$8*HORAS_CAPTACAO_DIA-J12))</f>
        <v>27377</v>
      </c>
      <c r="L12" s="16" t="n">
        <f aca="false">MAX(0,J12-CADASTRO_CASAS_BOMBA!$I$8*HORAS_CAPTACAO_DIA-K11)</f>
        <v>0</v>
      </c>
      <c r="M12" s="16" t="n">
        <f aca="false">INDEX(AUX_MATRIZES!$C$11:$BP$11,MIN(N_SEMANAS,MAX(1,$C12)))/DIAS_POR_SEMANA</f>
        <v>6564.592</v>
      </c>
      <c r="N12" s="16" t="n">
        <f aca="false">MIN(CADASTRO_CASAS_BOMBA!$O$9,MAX(0,N11+CADASTRO_CASAS_BOMBA!$I$9*HORAS_CAPTACAO_DIA-M12))</f>
        <v>129000</v>
      </c>
      <c r="O12" s="16" t="n">
        <f aca="false">MAX(0,M12-CADASTRO_CASAS_BOMBA!$I$9*HORAS_CAPTACAO_DIA-N11)</f>
        <v>0</v>
      </c>
      <c r="P12" s="16" t="n">
        <f aca="false">INDEX(AUX_MATRIZES!$C$12:$BP$12,MIN(N_SEMANAS,MAX(1,$C12)))/DIAS_POR_SEMANA</f>
        <v>13800.192</v>
      </c>
      <c r="Q12" s="16" t="n">
        <f aca="false">MIN(CADASTRO_CASAS_BOMBA!$O$10,MAX(0,Q11+CADASTRO_CASAS_BOMBA!$I$10*HORAS_CAPTACAO_DIA-P12))</f>
        <v>995693.248</v>
      </c>
      <c r="R12" s="16" t="n">
        <f aca="false">MAX(0,P12-CADASTRO_CASAS_BOMBA!$I$10*HORAS_CAPTACAO_DIA-Q11)</f>
        <v>0</v>
      </c>
      <c r="S12" s="16" t="n">
        <f aca="false">INDEX(AUX_MATRIZES!$C$13:$BP$13,MIN(N_SEMANAS,MAX(1,$C12)))/DIAS_POR_SEMANA</f>
        <v>21216.8520887175</v>
      </c>
      <c r="T12" s="16" t="n">
        <f aca="false">MIN(CADASTRO_CASAS_BOMBA!$O$11,MAX(0,T11+CADASTRO_CASAS_BOMBA!$I$11*HORAS_CAPTACAO_DIA-S12))</f>
        <v>469821</v>
      </c>
      <c r="U12" s="16" t="n">
        <f aca="false">MAX(0,S12-CADASTRO_CASAS_BOMBA!$I$11*HORAS_CAPTACAO_DIA-T11)</f>
        <v>0</v>
      </c>
      <c r="V12" s="16" t="n">
        <f aca="false">INDEX(AUX_MATRIZES!$C$14:$BP$14,MIN(N_SEMANAS,MAX(1,$C12)))/DIAS_POR_SEMANA</f>
        <v>24676.594042417</v>
      </c>
      <c r="W12" s="16" t="n">
        <f aca="false">MIN(CADASTRO_CASAS_BOMBA!$O$12,MAX(0,W11+CADASTRO_CASAS_BOMBA!$I$12*HORAS_CAPTACAO_DIA-V12))</f>
        <v>440000</v>
      </c>
      <c r="X12" s="16" t="n">
        <f aca="false">MAX(0,V12-CADASTRO_CASAS_BOMBA!$I$12*HORAS_CAPTACAO_DIA-W11)</f>
        <v>0</v>
      </c>
      <c r="Y12" s="16" t="n">
        <f aca="false">INDEX(AUX_MATRIZES!$C$15:$BP$15,MIN(N_SEMANAS,MAX(1,$C12)))/DIAS_POR_SEMANA</f>
        <v>0</v>
      </c>
      <c r="Z12" s="16" t="n">
        <f aca="false">MIN(CADASTRO_CASAS_BOMBA!$O$13,MAX(0,Z11+CADASTRO_CASAS_BOMBA!$I$13*HORAS_CAPTACAO_DIA-Y12))</f>
        <v>74903</v>
      </c>
      <c r="AA12" s="16" t="n">
        <f aca="false">MAX(0,Y12-CADASTRO_CASAS_BOMBA!$I$13*HORAS_CAPTACAO_DIA-Z11)</f>
        <v>0</v>
      </c>
    </row>
    <row r="13" customFormat="false" ht="15" hidden="false" customHeight="false" outlineLevel="0" collapsed="false">
      <c r="B13" s="17" t="n">
        <f aca="false">DATA_INICIO_SAFRA+6</f>
        <v>46271</v>
      </c>
      <c r="C13" s="16" t="n">
        <f aca="false">MIN(N_SEMANAS,MAX(1,INT(($B13-DATA_INICIO_SAFRA)/DIAS_POR_SEMANA)+1))</f>
        <v>1</v>
      </c>
      <c r="D13" s="16" t="n">
        <f aca="false">INDEX(AUX_MATRIZES!$C$8:$BP$8,MIN(N_SEMANAS,MAX(1,$C13)))/DIAS_POR_SEMANA</f>
        <v>0</v>
      </c>
      <c r="E13" s="16" t="n">
        <f aca="false">MIN(CADASTRO_CASAS_BOMBA!$O$6,MAX(0,E12+CADASTRO_CASAS_BOMBA!$I$6*HORAS_CAPTACAO_DIA-D13))</f>
        <v>2600</v>
      </c>
      <c r="F13" s="16" t="n">
        <f aca="false">MAX(0,D13-CADASTRO_CASAS_BOMBA!$I$6*HORAS_CAPTACAO_DIA-E12)</f>
        <v>0</v>
      </c>
      <c r="G13" s="16" t="n">
        <f aca="false">INDEX(AUX_MATRIZES!$C$9:$BP$9,MIN(N_SEMANAS,MAX(1,$C13)))/DIAS_POR_SEMANA</f>
        <v>3224.28988235294</v>
      </c>
      <c r="H13" s="16" t="n">
        <f aca="false">MIN(CADASTRO_CASAS_BOMBA!$O$7,MAX(0,H12+CADASTRO_CASAS_BOMBA!$I$7*HORAS_CAPTACAO_DIA-G13))</f>
        <v>76648</v>
      </c>
      <c r="I13" s="16" t="n">
        <f aca="false">MAX(0,G13-CADASTRO_CASAS_BOMBA!$I$7*HORAS_CAPTACAO_DIA-H12)</f>
        <v>0</v>
      </c>
      <c r="J13" s="16" t="n">
        <f aca="false">INDEX(AUX_MATRIZES!$C$10:$BP$10,MIN(N_SEMANAS,MAX(1,$C13)))/DIAS_POR_SEMANA</f>
        <v>0</v>
      </c>
      <c r="K13" s="16" t="n">
        <f aca="false">MIN(CADASTRO_CASAS_BOMBA!$O$8,MAX(0,K12+CADASTRO_CASAS_BOMBA!$I$8*HORAS_CAPTACAO_DIA-J13))</f>
        <v>27377</v>
      </c>
      <c r="L13" s="16" t="n">
        <f aca="false">MAX(0,J13-CADASTRO_CASAS_BOMBA!$I$8*HORAS_CAPTACAO_DIA-K12)</f>
        <v>0</v>
      </c>
      <c r="M13" s="16" t="n">
        <f aca="false">INDEX(AUX_MATRIZES!$C$11:$BP$11,MIN(N_SEMANAS,MAX(1,$C13)))/DIAS_POR_SEMANA</f>
        <v>6564.592</v>
      </c>
      <c r="N13" s="16" t="n">
        <f aca="false">MIN(CADASTRO_CASAS_BOMBA!$O$9,MAX(0,N12+CADASTRO_CASAS_BOMBA!$I$9*HORAS_CAPTACAO_DIA-M13))</f>
        <v>129000</v>
      </c>
      <c r="O13" s="16" t="n">
        <f aca="false">MAX(0,M13-CADASTRO_CASAS_BOMBA!$I$9*HORAS_CAPTACAO_DIA-N12)</f>
        <v>0</v>
      </c>
      <c r="P13" s="16" t="n">
        <f aca="false">INDEX(AUX_MATRIZES!$C$12:$BP$12,MIN(N_SEMANAS,MAX(1,$C13)))/DIAS_POR_SEMANA</f>
        <v>13800.192</v>
      </c>
      <c r="Q13" s="16" t="n">
        <f aca="false">MIN(CADASTRO_CASAS_BOMBA!$O$10,MAX(0,Q12+CADASTRO_CASAS_BOMBA!$I$10*HORAS_CAPTACAO_DIA-P13))</f>
        <v>994975.456</v>
      </c>
      <c r="R13" s="16" t="n">
        <f aca="false">MAX(0,P13-CADASTRO_CASAS_BOMBA!$I$10*HORAS_CAPTACAO_DIA-Q12)</f>
        <v>0</v>
      </c>
      <c r="S13" s="16" t="n">
        <f aca="false">INDEX(AUX_MATRIZES!$C$13:$BP$13,MIN(N_SEMANAS,MAX(1,$C13)))/DIAS_POR_SEMANA</f>
        <v>21216.8520887175</v>
      </c>
      <c r="T13" s="16" t="n">
        <f aca="false">MIN(CADASTRO_CASAS_BOMBA!$O$11,MAX(0,T12+CADASTRO_CASAS_BOMBA!$I$11*HORAS_CAPTACAO_DIA-S13))</f>
        <v>469821</v>
      </c>
      <c r="U13" s="16" t="n">
        <f aca="false">MAX(0,S13-CADASTRO_CASAS_BOMBA!$I$11*HORAS_CAPTACAO_DIA-T12)</f>
        <v>0</v>
      </c>
      <c r="V13" s="16" t="n">
        <f aca="false">INDEX(AUX_MATRIZES!$C$14:$BP$14,MIN(N_SEMANAS,MAX(1,$C13)))/DIAS_POR_SEMANA</f>
        <v>24676.594042417</v>
      </c>
      <c r="W13" s="16" t="n">
        <f aca="false">MIN(CADASTRO_CASAS_BOMBA!$O$12,MAX(0,W12+CADASTRO_CASAS_BOMBA!$I$12*HORAS_CAPTACAO_DIA-V13))</f>
        <v>440000</v>
      </c>
      <c r="X13" s="16" t="n">
        <f aca="false">MAX(0,V13-CADASTRO_CASAS_BOMBA!$I$12*HORAS_CAPTACAO_DIA-W12)</f>
        <v>0</v>
      </c>
      <c r="Y13" s="16" t="n">
        <f aca="false">INDEX(AUX_MATRIZES!$C$15:$BP$15,MIN(N_SEMANAS,MAX(1,$C13)))/DIAS_POR_SEMANA</f>
        <v>0</v>
      </c>
      <c r="Z13" s="16" t="n">
        <f aca="false">MIN(CADASTRO_CASAS_BOMBA!$O$13,MAX(0,Z12+CADASTRO_CASAS_BOMBA!$I$13*HORAS_CAPTACAO_DIA-Y13))</f>
        <v>74903</v>
      </c>
      <c r="AA13" s="16" t="n">
        <f aca="false">MAX(0,Y13-CADASTRO_CASAS_BOMBA!$I$13*HORAS_CAPTACAO_DIA-Z12)</f>
        <v>0</v>
      </c>
    </row>
    <row r="14" customFormat="false" ht="15" hidden="false" customHeight="false" outlineLevel="0" collapsed="false">
      <c r="B14" s="17" t="n">
        <f aca="false">DATA_INICIO_SAFRA+7</f>
        <v>46272</v>
      </c>
      <c r="C14" s="16" t="n">
        <f aca="false">MIN(N_SEMANAS,MAX(1,INT(($B14-DATA_INICIO_SAFRA)/DIAS_POR_SEMANA)+1))</f>
        <v>2</v>
      </c>
      <c r="D14" s="16" t="n">
        <f aca="false">INDEX(AUX_MATRIZES!$C$8:$BP$8,MIN(N_SEMANAS,MAX(1,$C14)))/DIAS_POR_SEMANA</f>
        <v>0</v>
      </c>
      <c r="E14" s="16" t="n">
        <f aca="false">MIN(CADASTRO_CASAS_BOMBA!$O$6,MAX(0,E13+CADASTRO_CASAS_BOMBA!$I$6*HORAS_CAPTACAO_DIA-D14))</f>
        <v>2600</v>
      </c>
      <c r="F14" s="16" t="n">
        <f aca="false">MAX(0,D14-CADASTRO_CASAS_BOMBA!$I$6*HORAS_CAPTACAO_DIA-E13)</f>
        <v>0</v>
      </c>
      <c r="G14" s="16" t="n">
        <f aca="false">INDEX(AUX_MATRIZES!$C$9:$BP$9,MIN(N_SEMANAS,MAX(1,$C14)))/DIAS_POR_SEMANA</f>
        <v>0</v>
      </c>
      <c r="H14" s="16" t="n">
        <f aca="false">MIN(CADASTRO_CASAS_BOMBA!$O$7,MAX(0,H13+CADASTRO_CASAS_BOMBA!$I$7*HORAS_CAPTACAO_DIA-G14))</f>
        <v>76648</v>
      </c>
      <c r="I14" s="16" t="n">
        <f aca="false">MAX(0,G14-CADASTRO_CASAS_BOMBA!$I$7*HORAS_CAPTACAO_DIA-H13)</f>
        <v>0</v>
      </c>
      <c r="J14" s="16" t="n">
        <f aca="false">INDEX(AUX_MATRIZES!$C$10:$BP$10,MIN(N_SEMANAS,MAX(1,$C14)))/DIAS_POR_SEMANA</f>
        <v>0</v>
      </c>
      <c r="K14" s="16" t="n">
        <f aca="false">MIN(CADASTRO_CASAS_BOMBA!$O$8,MAX(0,K13+CADASTRO_CASAS_BOMBA!$I$8*HORAS_CAPTACAO_DIA-J14))</f>
        <v>27377</v>
      </c>
      <c r="L14" s="16" t="n">
        <f aca="false">MAX(0,J14-CADASTRO_CASAS_BOMBA!$I$8*HORAS_CAPTACAO_DIA-K13)</f>
        <v>0</v>
      </c>
      <c r="M14" s="16" t="n">
        <f aca="false">INDEX(AUX_MATRIZES!$C$11:$BP$11,MIN(N_SEMANAS,MAX(1,$C14)))/DIAS_POR_SEMANA</f>
        <v>6910.71647058823</v>
      </c>
      <c r="N14" s="16" t="n">
        <f aca="false">MIN(CADASTRO_CASAS_BOMBA!$O$9,MAX(0,N13+CADASTRO_CASAS_BOMBA!$I$9*HORAS_CAPTACAO_DIA-M14))</f>
        <v>129000</v>
      </c>
      <c r="O14" s="16" t="n">
        <f aca="false">MAX(0,M14-CADASTRO_CASAS_BOMBA!$I$9*HORAS_CAPTACAO_DIA-N13)</f>
        <v>0</v>
      </c>
      <c r="P14" s="16" t="n">
        <f aca="false">INDEX(AUX_MATRIZES!$C$12:$BP$12,MIN(N_SEMANAS,MAX(1,$C14)))/DIAS_POR_SEMANA</f>
        <v>13806.24</v>
      </c>
      <c r="Q14" s="16" t="n">
        <f aca="false">MIN(CADASTRO_CASAS_BOMBA!$O$10,MAX(0,Q13+CADASTRO_CASAS_BOMBA!$I$10*HORAS_CAPTACAO_DIA-P14))</f>
        <v>994251.616</v>
      </c>
      <c r="R14" s="16" t="n">
        <f aca="false">MAX(0,P14-CADASTRO_CASAS_BOMBA!$I$10*HORAS_CAPTACAO_DIA-Q13)</f>
        <v>0</v>
      </c>
      <c r="S14" s="16" t="n">
        <f aca="false">INDEX(AUX_MATRIZES!$C$13:$BP$13,MIN(N_SEMANAS,MAX(1,$C14)))/DIAS_POR_SEMANA</f>
        <v>15192.5816393443</v>
      </c>
      <c r="T14" s="16" t="n">
        <f aca="false">MIN(CADASTRO_CASAS_BOMBA!$O$11,MAX(0,T13+CADASTRO_CASAS_BOMBA!$I$11*HORAS_CAPTACAO_DIA-S14))</f>
        <v>469821</v>
      </c>
      <c r="U14" s="16" t="n">
        <f aca="false">MAX(0,S14-CADASTRO_CASAS_BOMBA!$I$11*HORAS_CAPTACAO_DIA-T13)</f>
        <v>0</v>
      </c>
      <c r="V14" s="16" t="n">
        <f aca="false">INDEX(AUX_MATRIZES!$C$14:$BP$14,MIN(N_SEMANAS,MAX(1,$C14)))/DIAS_POR_SEMANA</f>
        <v>21817.391914099</v>
      </c>
      <c r="W14" s="16" t="n">
        <f aca="false">MIN(CADASTRO_CASAS_BOMBA!$O$12,MAX(0,W13+CADASTRO_CASAS_BOMBA!$I$12*HORAS_CAPTACAO_DIA-V14))</f>
        <v>440000</v>
      </c>
      <c r="X14" s="16" t="n">
        <f aca="false">MAX(0,V14-CADASTRO_CASAS_BOMBA!$I$12*HORAS_CAPTACAO_DIA-W13)</f>
        <v>0</v>
      </c>
      <c r="Y14" s="16" t="n">
        <f aca="false">INDEX(AUX_MATRIZES!$C$15:$BP$15,MIN(N_SEMANAS,MAX(1,$C14)))/DIAS_POR_SEMANA</f>
        <v>0</v>
      </c>
      <c r="Z14" s="16" t="n">
        <f aca="false">MIN(CADASTRO_CASAS_BOMBA!$O$13,MAX(0,Z13+CADASTRO_CASAS_BOMBA!$I$13*HORAS_CAPTACAO_DIA-Y14))</f>
        <v>74903</v>
      </c>
      <c r="AA14" s="16" t="n">
        <f aca="false">MAX(0,Y14-CADASTRO_CASAS_BOMBA!$I$13*HORAS_CAPTACAO_DIA-Z13)</f>
        <v>0</v>
      </c>
    </row>
    <row r="15" customFormat="false" ht="15" hidden="false" customHeight="false" outlineLevel="0" collapsed="false">
      <c r="B15" s="17" t="n">
        <f aca="false">DATA_INICIO_SAFRA+8</f>
        <v>46273</v>
      </c>
      <c r="C15" s="16" t="n">
        <f aca="false">MIN(N_SEMANAS,MAX(1,INT(($B15-DATA_INICIO_SAFRA)/DIAS_POR_SEMANA)+1))</f>
        <v>2</v>
      </c>
      <c r="D15" s="16" t="n">
        <f aca="false">INDEX(AUX_MATRIZES!$C$8:$BP$8,MIN(N_SEMANAS,MAX(1,$C15)))/DIAS_POR_SEMANA</f>
        <v>0</v>
      </c>
      <c r="E15" s="16" t="n">
        <f aca="false">MIN(CADASTRO_CASAS_BOMBA!$O$6,MAX(0,E14+CADASTRO_CASAS_BOMBA!$I$6*HORAS_CAPTACAO_DIA-D15))</f>
        <v>2600</v>
      </c>
      <c r="F15" s="16" t="n">
        <f aca="false">MAX(0,D15-CADASTRO_CASAS_BOMBA!$I$6*HORAS_CAPTACAO_DIA-E14)</f>
        <v>0</v>
      </c>
      <c r="G15" s="16" t="n">
        <f aca="false">INDEX(AUX_MATRIZES!$C$9:$BP$9,MIN(N_SEMANAS,MAX(1,$C15)))/DIAS_POR_SEMANA</f>
        <v>0</v>
      </c>
      <c r="H15" s="16" t="n">
        <f aca="false">MIN(CADASTRO_CASAS_BOMBA!$O$7,MAX(0,H14+CADASTRO_CASAS_BOMBA!$I$7*HORAS_CAPTACAO_DIA-G15))</f>
        <v>76648</v>
      </c>
      <c r="I15" s="16" t="n">
        <f aca="false">MAX(0,G15-CADASTRO_CASAS_BOMBA!$I$7*HORAS_CAPTACAO_DIA-H14)</f>
        <v>0</v>
      </c>
      <c r="J15" s="16" t="n">
        <f aca="false">INDEX(AUX_MATRIZES!$C$10:$BP$10,MIN(N_SEMANAS,MAX(1,$C15)))/DIAS_POR_SEMANA</f>
        <v>0</v>
      </c>
      <c r="K15" s="16" t="n">
        <f aca="false">MIN(CADASTRO_CASAS_BOMBA!$O$8,MAX(0,K14+CADASTRO_CASAS_BOMBA!$I$8*HORAS_CAPTACAO_DIA-J15))</f>
        <v>27377</v>
      </c>
      <c r="L15" s="16" t="n">
        <f aca="false">MAX(0,J15-CADASTRO_CASAS_BOMBA!$I$8*HORAS_CAPTACAO_DIA-K14)</f>
        <v>0</v>
      </c>
      <c r="M15" s="16" t="n">
        <f aca="false">INDEX(AUX_MATRIZES!$C$11:$BP$11,MIN(N_SEMANAS,MAX(1,$C15)))/DIAS_POR_SEMANA</f>
        <v>6910.71647058823</v>
      </c>
      <c r="N15" s="16" t="n">
        <f aca="false">MIN(CADASTRO_CASAS_BOMBA!$O$9,MAX(0,N14+CADASTRO_CASAS_BOMBA!$I$9*HORAS_CAPTACAO_DIA-M15))</f>
        <v>129000</v>
      </c>
      <c r="O15" s="16" t="n">
        <f aca="false">MAX(0,M15-CADASTRO_CASAS_BOMBA!$I$9*HORAS_CAPTACAO_DIA-N14)</f>
        <v>0</v>
      </c>
      <c r="P15" s="16" t="n">
        <f aca="false">INDEX(AUX_MATRIZES!$C$12:$BP$12,MIN(N_SEMANAS,MAX(1,$C15)))/DIAS_POR_SEMANA</f>
        <v>13806.24</v>
      </c>
      <c r="Q15" s="16" t="n">
        <f aca="false">MIN(CADASTRO_CASAS_BOMBA!$O$10,MAX(0,Q14+CADASTRO_CASAS_BOMBA!$I$10*HORAS_CAPTACAO_DIA-P15))</f>
        <v>993527.776</v>
      </c>
      <c r="R15" s="16" t="n">
        <f aca="false">MAX(0,P15-CADASTRO_CASAS_BOMBA!$I$10*HORAS_CAPTACAO_DIA-Q14)</f>
        <v>0</v>
      </c>
      <c r="S15" s="16" t="n">
        <f aca="false">INDEX(AUX_MATRIZES!$C$13:$BP$13,MIN(N_SEMANAS,MAX(1,$C15)))/DIAS_POR_SEMANA</f>
        <v>15192.5816393443</v>
      </c>
      <c r="T15" s="16" t="n">
        <f aca="false">MIN(CADASTRO_CASAS_BOMBA!$O$11,MAX(0,T14+CADASTRO_CASAS_BOMBA!$I$11*HORAS_CAPTACAO_DIA-S15))</f>
        <v>469821</v>
      </c>
      <c r="U15" s="16" t="n">
        <f aca="false">MAX(0,S15-CADASTRO_CASAS_BOMBA!$I$11*HORAS_CAPTACAO_DIA-T14)</f>
        <v>0</v>
      </c>
      <c r="V15" s="16" t="n">
        <f aca="false">INDEX(AUX_MATRIZES!$C$14:$BP$14,MIN(N_SEMANAS,MAX(1,$C15)))/DIAS_POR_SEMANA</f>
        <v>21817.391914099</v>
      </c>
      <c r="W15" s="16" t="n">
        <f aca="false">MIN(CADASTRO_CASAS_BOMBA!$O$12,MAX(0,W14+CADASTRO_CASAS_BOMBA!$I$12*HORAS_CAPTACAO_DIA-V15))</f>
        <v>440000</v>
      </c>
      <c r="X15" s="16" t="n">
        <f aca="false">MAX(0,V15-CADASTRO_CASAS_BOMBA!$I$12*HORAS_CAPTACAO_DIA-W14)</f>
        <v>0</v>
      </c>
      <c r="Y15" s="16" t="n">
        <f aca="false">INDEX(AUX_MATRIZES!$C$15:$BP$15,MIN(N_SEMANAS,MAX(1,$C15)))/DIAS_POR_SEMANA</f>
        <v>0</v>
      </c>
      <c r="Z15" s="16" t="n">
        <f aca="false">MIN(CADASTRO_CASAS_BOMBA!$O$13,MAX(0,Z14+CADASTRO_CASAS_BOMBA!$I$13*HORAS_CAPTACAO_DIA-Y15))</f>
        <v>74903</v>
      </c>
      <c r="AA15" s="16" t="n">
        <f aca="false">MAX(0,Y15-CADASTRO_CASAS_BOMBA!$I$13*HORAS_CAPTACAO_DIA-Z14)</f>
        <v>0</v>
      </c>
    </row>
    <row r="16" customFormat="false" ht="15" hidden="false" customHeight="false" outlineLevel="0" collapsed="false">
      <c r="B16" s="17" t="n">
        <f aca="false">DATA_INICIO_SAFRA+9</f>
        <v>46274</v>
      </c>
      <c r="C16" s="16" t="n">
        <f aca="false">MIN(N_SEMANAS,MAX(1,INT(($B16-DATA_INICIO_SAFRA)/DIAS_POR_SEMANA)+1))</f>
        <v>2</v>
      </c>
      <c r="D16" s="16" t="n">
        <f aca="false">INDEX(AUX_MATRIZES!$C$8:$BP$8,MIN(N_SEMANAS,MAX(1,$C16)))/DIAS_POR_SEMANA</f>
        <v>0</v>
      </c>
      <c r="E16" s="16" t="n">
        <f aca="false">MIN(CADASTRO_CASAS_BOMBA!$O$6,MAX(0,E15+CADASTRO_CASAS_BOMBA!$I$6*HORAS_CAPTACAO_DIA-D16))</f>
        <v>2600</v>
      </c>
      <c r="F16" s="16" t="n">
        <f aca="false">MAX(0,D16-CADASTRO_CASAS_BOMBA!$I$6*HORAS_CAPTACAO_DIA-E15)</f>
        <v>0</v>
      </c>
      <c r="G16" s="16" t="n">
        <f aca="false">INDEX(AUX_MATRIZES!$C$9:$BP$9,MIN(N_SEMANAS,MAX(1,$C16)))/DIAS_POR_SEMANA</f>
        <v>0</v>
      </c>
      <c r="H16" s="16" t="n">
        <f aca="false">MIN(CADASTRO_CASAS_BOMBA!$O$7,MAX(0,H15+CADASTRO_CASAS_BOMBA!$I$7*HORAS_CAPTACAO_DIA-G16))</f>
        <v>76648</v>
      </c>
      <c r="I16" s="16" t="n">
        <f aca="false">MAX(0,G16-CADASTRO_CASAS_BOMBA!$I$7*HORAS_CAPTACAO_DIA-H15)</f>
        <v>0</v>
      </c>
      <c r="J16" s="16" t="n">
        <f aca="false">INDEX(AUX_MATRIZES!$C$10:$BP$10,MIN(N_SEMANAS,MAX(1,$C16)))/DIAS_POR_SEMANA</f>
        <v>0</v>
      </c>
      <c r="K16" s="16" t="n">
        <f aca="false">MIN(CADASTRO_CASAS_BOMBA!$O$8,MAX(0,K15+CADASTRO_CASAS_BOMBA!$I$8*HORAS_CAPTACAO_DIA-J16))</f>
        <v>27377</v>
      </c>
      <c r="L16" s="16" t="n">
        <f aca="false">MAX(0,J16-CADASTRO_CASAS_BOMBA!$I$8*HORAS_CAPTACAO_DIA-K15)</f>
        <v>0</v>
      </c>
      <c r="M16" s="16" t="n">
        <f aca="false">INDEX(AUX_MATRIZES!$C$11:$BP$11,MIN(N_SEMANAS,MAX(1,$C16)))/DIAS_POR_SEMANA</f>
        <v>6910.71647058823</v>
      </c>
      <c r="N16" s="16" t="n">
        <f aca="false">MIN(CADASTRO_CASAS_BOMBA!$O$9,MAX(0,N15+CADASTRO_CASAS_BOMBA!$I$9*HORAS_CAPTACAO_DIA-M16))</f>
        <v>129000</v>
      </c>
      <c r="O16" s="16" t="n">
        <f aca="false">MAX(0,M16-CADASTRO_CASAS_BOMBA!$I$9*HORAS_CAPTACAO_DIA-N15)</f>
        <v>0</v>
      </c>
      <c r="P16" s="16" t="n">
        <f aca="false">INDEX(AUX_MATRIZES!$C$12:$BP$12,MIN(N_SEMANAS,MAX(1,$C16)))/DIAS_POR_SEMANA</f>
        <v>13806.24</v>
      </c>
      <c r="Q16" s="16" t="n">
        <f aca="false">MIN(CADASTRO_CASAS_BOMBA!$O$10,MAX(0,Q15+CADASTRO_CASAS_BOMBA!$I$10*HORAS_CAPTACAO_DIA-P16))</f>
        <v>992803.936</v>
      </c>
      <c r="R16" s="16" t="n">
        <f aca="false">MAX(0,P16-CADASTRO_CASAS_BOMBA!$I$10*HORAS_CAPTACAO_DIA-Q15)</f>
        <v>0</v>
      </c>
      <c r="S16" s="16" t="n">
        <f aca="false">INDEX(AUX_MATRIZES!$C$13:$BP$13,MIN(N_SEMANAS,MAX(1,$C16)))/DIAS_POR_SEMANA</f>
        <v>15192.5816393443</v>
      </c>
      <c r="T16" s="16" t="n">
        <f aca="false">MIN(CADASTRO_CASAS_BOMBA!$O$11,MAX(0,T15+CADASTRO_CASAS_BOMBA!$I$11*HORAS_CAPTACAO_DIA-S16))</f>
        <v>469821</v>
      </c>
      <c r="U16" s="16" t="n">
        <f aca="false">MAX(0,S16-CADASTRO_CASAS_BOMBA!$I$11*HORAS_CAPTACAO_DIA-T15)</f>
        <v>0</v>
      </c>
      <c r="V16" s="16" t="n">
        <f aca="false">INDEX(AUX_MATRIZES!$C$14:$BP$14,MIN(N_SEMANAS,MAX(1,$C16)))/DIAS_POR_SEMANA</f>
        <v>21817.391914099</v>
      </c>
      <c r="W16" s="16" t="n">
        <f aca="false">MIN(CADASTRO_CASAS_BOMBA!$O$12,MAX(0,W15+CADASTRO_CASAS_BOMBA!$I$12*HORAS_CAPTACAO_DIA-V16))</f>
        <v>440000</v>
      </c>
      <c r="X16" s="16" t="n">
        <f aca="false">MAX(0,V16-CADASTRO_CASAS_BOMBA!$I$12*HORAS_CAPTACAO_DIA-W15)</f>
        <v>0</v>
      </c>
      <c r="Y16" s="16" t="n">
        <f aca="false">INDEX(AUX_MATRIZES!$C$15:$BP$15,MIN(N_SEMANAS,MAX(1,$C16)))/DIAS_POR_SEMANA</f>
        <v>0</v>
      </c>
      <c r="Z16" s="16" t="n">
        <f aca="false">MIN(CADASTRO_CASAS_BOMBA!$O$13,MAX(0,Z15+CADASTRO_CASAS_BOMBA!$I$13*HORAS_CAPTACAO_DIA-Y16))</f>
        <v>74903</v>
      </c>
      <c r="AA16" s="16" t="n">
        <f aca="false">MAX(0,Y16-CADASTRO_CASAS_BOMBA!$I$13*HORAS_CAPTACAO_DIA-Z15)</f>
        <v>0</v>
      </c>
    </row>
    <row r="17" customFormat="false" ht="15" hidden="false" customHeight="false" outlineLevel="0" collapsed="false">
      <c r="B17" s="17" t="n">
        <f aca="false">DATA_INICIO_SAFRA+10</f>
        <v>46275</v>
      </c>
      <c r="C17" s="16" t="n">
        <f aca="false">MIN(N_SEMANAS,MAX(1,INT(($B17-DATA_INICIO_SAFRA)/DIAS_POR_SEMANA)+1))</f>
        <v>2</v>
      </c>
      <c r="D17" s="16" t="n">
        <f aca="false">INDEX(AUX_MATRIZES!$C$8:$BP$8,MIN(N_SEMANAS,MAX(1,$C17)))/DIAS_POR_SEMANA</f>
        <v>0</v>
      </c>
      <c r="E17" s="16" t="n">
        <f aca="false">MIN(CADASTRO_CASAS_BOMBA!$O$6,MAX(0,E16+CADASTRO_CASAS_BOMBA!$I$6*HORAS_CAPTACAO_DIA-D17))</f>
        <v>2600</v>
      </c>
      <c r="F17" s="16" t="n">
        <f aca="false">MAX(0,D17-CADASTRO_CASAS_BOMBA!$I$6*HORAS_CAPTACAO_DIA-E16)</f>
        <v>0</v>
      </c>
      <c r="G17" s="16" t="n">
        <f aca="false">INDEX(AUX_MATRIZES!$C$9:$BP$9,MIN(N_SEMANAS,MAX(1,$C17)))/DIAS_POR_SEMANA</f>
        <v>0</v>
      </c>
      <c r="H17" s="16" t="n">
        <f aca="false">MIN(CADASTRO_CASAS_BOMBA!$O$7,MAX(0,H16+CADASTRO_CASAS_BOMBA!$I$7*HORAS_CAPTACAO_DIA-G17))</f>
        <v>76648</v>
      </c>
      <c r="I17" s="16" t="n">
        <f aca="false">MAX(0,G17-CADASTRO_CASAS_BOMBA!$I$7*HORAS_CAPTACAO_DIA-H16)</f>
        <v>0</v>
      </c>
      <c r="J17" s="16" t="n">
        <f aca="false">INDEX(AUX_MATRIZES!$C$10:$BP$10,MIN(N_SEMANAS,MAX(1,$C17)))/DIAS_POR_SEMANA</f>
        <v>0</v>
      </c>
      <c r="K17" s="16" t="n">
        <f aca="false">MIN(CADASTRO_CASAS_BOMBA!$O$8,MAX(0,K16+CADASTRO_CASAS_BOMBA!$I$8*HORAS_CAPTACAO_DIA-J17))</f>
        <v>27377</v>
      </c>
      <c r="L17" s="16" t="n">
        <f aca="false">MAX(0,J17-CADASTRO_CASAS_BOMBA!$I$8*HORAS_CAPTACAO_DIA-K16)</f>
        <v>0</v>
      </c>
      <c r="M17" s="16" t="n">
        <f aca="false">INDEX(AUX_MATRIZES!$C$11:$BP$11,MIN(N_SEMANAS,MAX(1,$C17)))/DIAS_POR_SEMANA</f>
        <v>6910.71647058823</v>
      </c>
      <c r="N17" s="16" t="n">
        <f aca="false">MIN(CADASTRO_CASAS_BOMBA!$O$9,MAX(0,N16+CADASTRO_CASAS_BOMBA!$I$9*HORAS_CAPTACAO_DIA-M17))</f>
        <v>129000</v>
      </c>
      <c r="O17" s="16" t="n">
        <f aca="false">MAX(0,M17-CADASTRO_CASAS_BOMBA!$I$9*HORAS_CAPTACAO_DIA-N16)</f>
        <v>0</v>
      </c>
      <c r="P17" s="16" t="n">
        <f aca="false">INDEX(AUX_MATRIZES!$C$12:$BP$12,MIN(N_SEMANAS,MAX(1,$C17)))/DIAS_POR_SEMANA</f>
        <v>13806.24</v>
      </c>
      <c r="Q17" s="16" t="n">
        <f aca="false">MIN(CADASTRO_CASAS_BOMBA!$O$10,MAX(0,Q16+CADASTRO_CASAS_BOMBA!$I$10*HORAS_CAPTACAO_DIA-P17))</f>
        <v>992080.096</v>
      </c>
      <c r="R17" s="16" t="n">
        <f aca="false">MAX(0,P17-CADASTRO_CASAS_BOMBA!$I$10*HORAS_CAPTACAO_DIA-Q16)</f>
        <v>0</v>
      </c>
      <c r="S17" s="16" t="n">
        <f aca="false">INDEX(AUX_MATRIZES!$C$13:$BP$13,MIN(N_SEMANAS,MAX(1,$C17)))/DIAS_POR_SEMANA</f>
        <v>15192.5816393443</v>
      </c>
      <c r="T17" s="16" t="n">
        <f aca="false">MIN(CADASTRO_CASAS_BOMBA!$O$11,MAX(0,T16+CADASTRO_CASAS_BOMBA!$I$11*HORAS_CAPTACAO_DIA-S17))</f>
        <v>469821</v>
      </c>
      <c r="U17" s="16" t="n">
        <f aca="false">MAX(0,S17-CADASTRO_CASAS_BOMBA!$I$11*HORAS_CAPTACAO_DIA-T16)</f>
        <v>0</v>
      </c>
      <c r="V17" s="16" t="n">
        <f aca="false">INDEX(AUX_MATRIZES!$C$14:$BP$14,MIN(N_SEMANAS,MAX(1,$C17)))/DIAS_POR_SEMANA</f>
        <v>21817.391914099</v>
      </c>
      <c r="W17" s="16" t="n">
        <f aca="false">MIN(CADASTRO_CASAS_BOMBA!$O$12,MAX(0,W16+CADASTRO_CASAS_BOMBA!$I$12*HORAS_CAPTACAO_DIA-V17))</f>
        <v>440000</v>
      </c>
      <c r="X17" s="16" t="n">
        <f aca="false">MAX(0,V17-CADASTRO_CASAS_BOMBA!$I$12*HORAS_CAPTACAO_DIA-W16)</f>
        <v>0</v>
      </c>
      <c r="Y17" s="16" t="n">
        <f aca="false">INDEX(AUX_MATRIZES!$C$15:$BP$15,MIN(N_SEMANAS,MAX(1,$C17)))/DIAS_POR_SEMANA</f>
        <v>0</v>
      </c>
      <c r="Z17" s="16" t="n">
        <f aca="false">MIN(CADASTRO_CASAS_BOMBA!$O$13,MAX(0,Z16+CADASTRO_CASAS_BOMBA!$I$13*HORAS_CAPTACAO_DIA-Y17))</f>
        <v>74903</v>
      </c>
      <c r="AA17" s="16" t="n">
        <f aca="false">MAX(0,Y17-CADASTRO_CASAS_BOMBA!$I$13*HORAS_CAPTACAO_DIA-Z16)</f>
        <v>0</v>
      </c>
    </row>
    <row r="18" customFormat="false" ht="15" hidden="false" customHeight="false" outlineLevel="0" collapsed="false">
      <c r="B18" s="17" t="n">
        <f aca="false">DATA_INICIO_SAFRA+11</f>
        <v>46276</v>
      </c>
      <c r="C18" s="16" t="n">
        <f aca="false">MIN(N_SEMANAS,MAX(1,INT(($B18-DATA_INICIO_SAFRA)/DIAS_POR_SEMANA)+1))</f>
        <v>2</v>
      </c>
      <c r="D18" s="16" t="n">
        <f aca="false">INDEX(AUX_MATRIZES!$C$8:$BP$8,MIN(N_SEMANAS,MAX(1,$C18)))/DIAS_POR_SEMANA</f>
        <v>0</v>
      </c>
      <c r="E18" s="16" t="n">
        <f aca="false">MIN(CADASTRO_CASAS_BOMBA!$O$6,MAX(0,E17+CADASTRO_CASAS_BOMBA!$I$6*HORAS_CAPTACAO_DIA-D18))</f>
        <v>2600</v>
      </c>
      <c r="F18" s="16" t="n">
        <f aca="false">MAX(0,D18-CADASTRO_CASAS_BOMBA!$I$6*HORAS_CAPTACAO_DIA-E17)</f>
        <v>0</v>
      </c>
      <c r="G18" s="16" t="n">
        <f aca="false">INDEX(AUX_MATRIZES!$C$9:$BP$9,MIN(N_SEMANAS,MAX(1,$C18)))/DIAS_POR_SEMANA</f>
        <v>0</v>
      </c>
      <c r="H18" s="16" t="n">
        <f aca="false">MIN(CADASTRO_CASAS_BOMBA!$O$7,MAX(0,H17+CADASTRO_CASAS_BOMBA!$I$7*HORAS_CAPTACAO_DIA-G18))</f>
        <v>76648</v>
      </c>
      <c r="I18" s="16" t="n">
        <f aca="false">MAX(0,G18-CADASTRO_CASAS_BOMBA!$I$7*HORAS_CAPTACAO_DIA-H17)</f>
        <v>0</v>
      </c>
      <c r="J18" s="16" t="n">
        <f aca="false">INDEX(AUX_MATRIZES!$C$10:$BP$10,MIN(N_SEMANAS,MAX(1,$C18)))/DIAS_POR_SEMANA</f>
        <v>0</v>
      </c>
      <c r="K18" s="16" t="n">
        <f aca="false">MIN(CADASTRO_CASAS_BOMBA!$O$8,MAX(0,K17+CADASTRO_CASAS_BOMBA!$I$8*HORAS_CAPTACAO_DIA-J18))</f>
        <v>27377</v>
      </c>
      <c r="L18" s="16" t="n">
        <f aca="false">MAX(0,J18-CADASTRO_CASAS_BOMBA!$I$8*HORAS_CAPTACAO_DIA-K17)</f>
        <v>0</v>
      </c>
      <c r="M18" s="16" t="n">
        <f aca="false">INDEX(AUX_MATRIZES!$C$11:$BP$11,MIN(N_SEMANAS,MAX(1,$C18)))/DIAS_POR_SEMANA</f>
        <v>6910.71647058823</v>
      </c>
      <c r="N18" s="16" t="n">
        <f aca="false">MIN(CADASTRO_CASAS_BOMBA!$O$9,MAX(0,N17+CADASTRO_CASAS_BOMBA!$I$9*HORAS_CAPTACAO_DIA-M18))</f>
        <v>129000</v>
      </c>
      <c r="O18" s="16" t="n">
        <f aca="false">MAX(0,M18-CADASTRO_CASAS_BOMBA!$I$9*HORAS_CAPTACAO_DIA-N17)</f>
        <v>0</v>
      </c>
      <c r="P18" s="16" t="n">
        <f aca="false">INDEX(AUX_MATRIZES!$C$12:$BP$12,MIN(N_SEMANAS,MAX(1,$C18)))/DIAS_POR_SEMANA</f>
        <v>13806.24</v>
      </c>
      <c r="Q18" s="16" t="n">
        <f aca="false">MIN(CADASTRO_CASAS_BOMBA!$O$10,MAX(0,Q17+CADASTRO_CASAS_BOMBA!$I$10*HORAS_CAPTACAO_DIA-P18))</f>
        <v>991356.256</v>
      </c>
      <c r="R18" s="16" t="n">
        <f aca="false">MAX(0,P18-CADASTRO_CASAS_BOMBA!$I$10*HORAS_CAPTACAO_DIA-Q17)</f>
        <v>0</v>
      </c>
      <c r="S18" s="16" t="n">
        <f aca="false">INDEX(AUX_MATRIZES!$C$13:$BP$13,MIN(N_SEMANAS,MAX(1,$C18)))/DIAS_POR_SEMANA</f>
        <v>15192.5816393443</v>
      </c>
      <c r="T18" s="16" t="n">
        <f aca="false">MIN(CADASTRO_CASAS_BOMBA!$O$11,MAX(0,T17+CADASTRO_CASAS_BOMBA!$I$11*HORAS_CAPTACAO_DIA-S18))</f>
        <v>469821</v>
      </c>
      <c r="U18" s="16" t="n">
        <f aca="false">MAX(0,S18-CADASTRO_CASAS_BOMBA!$I$11*HORAS_CAPTACAO_DIA-T17)</f>
        <v>0</v>
      </c>
      <c r="V18" s="16" t="n">
        <f aca="false">INDEX(AUX_MATRIZES!$C$14:$BP$14,MIN(N_SEMANAS,MAX(1,$C18)))/DIAS_POR_SEMANA</f>
        <v>21817.391914099</v>
      </c>
      <c r="W18" s="16" t="n">
        <f aca="false">MIN(CADASTRO_CASAS_BOMBA!$O$12,MAX(0,W17+CADASTRO_CASAS_BOMBA!$I$12*HORAS_CAPTACAO_DIA-V18))</f>
        <v>440000</v>
      </c>
      <c r="X18" s="16" t="n">
        <f aca="false">MAX(0,V18-CADASTRO_CASAS_BOMBA!$I$12*HORAS_CAPTACAO_DIA-W17)</f>
        <v>0</v>
      </c>
      <c r="Y18" s="16" t="n">
        <f aca="false">INDEX(AUX_MATRIZES!$C$15:$BP$15,MIN(N_SEMANAS,MAX(1,$C18)))/DIAS_POR_SEMANA</f>
        <v>0</v>
      </c>
      <c r="Z18" s="16" t="n">
        <f aca="false">MIN(CADASTRO_CASAS_BOMBA!$O$13,MAX(0,Z17+CADASTRO_CASAS_BOMBA!$I$13*HORAS_CAPTACAO_DIA-Y18))</f>
        <v>74903</v>
      </c>
      <c r="AA18" s="16" t="n">
        <f aca="false">MAX(0,Y18-CADASTRO_CASAS_BOMBA!$I$13*HORAS_CAPTACAO_DIA-Z17)</f>
        <v>0</v>
      </c>
    </row>
    <row r="19" customFormat="false" ht="15" hidden="false" customHeight="false" outlineLevel="0" collapsed="false">
      <c r="B19" s="17" t="n">
        <f aca="false">DATA_INICIO_SAFRA+12</f>
        <v>46277</v>
      </c>
      <c r="C19" s="16" t="n">
        <f aca="false">MIN(N_SEMANAS,MAX(1,INT(($B19-DATA_INICIO_SAFRA)/DIAS_POR_SEMANA)+1))</f>
        <v>2</v>
      </c>
      <c r="D19" s="16" t="n">
        <f aca="false">INDEX(AUX_MATRIZES!$C$8:$BP$8,MIN(N_SEMANAS,MAX(1,$C19)))/DIAS_POR_SEMANA</f>
        <v>0</v>
      </c>
      <c r="E19" s="16" t="n">
        <f aca="false">MIN(CADASTRO_CASAS_BOMBA!$O$6,MAX(0,E18+CADASTRO_CASAS_BOMBA!$I$6*HORAS_CAPTACAO_DIA-D19))</f>
        <v>2600</v>
      </c>
      <c r="F19" s="16" t="n">
        <f aca="false">MAX(0,D19-CADASTRO_CASAS_BOMBA!$I$6*HORAS_CAPTACAO_DIA-E18)</f>
        <v>0</v>
      </c>
      <c r="G19" s="16" t="n">
        <f aca="false">INDEX(AUX_MATRIZES!$C$9:$BP$9,MIN(N_SEMANAS,MAX(1,$C19)))/DIAS_POR_SEMANA</f>
        <v>0</v>
      </c>
      <c r="H19" s="16" t="n">
        <f aca="false">MIN(CADASTRO_CASAS_BOMBA!$O$7,MAX(0,H18+CADASTRO_CASAS_BOMBA!$I$7*HORAS_CAPTACAO_DIA-G19))</f>
        <v>76648</v>
      </c>
      <c r="I19" s="16" t="n">
        <f aca="false">MAX(0,G19-CADASTRO_CASAS_BOMBA!$I$7*HORAS_CAPTACAO_DIA-H18)</f>
        <v>0</v>
      </c>
      <c r="J19" s="16" t="n">
        <f aca="false">INDEX(AUX_MATRIZES!$C$10:$BP$10,MIN(N_SEMANAS,MAX(1,$C19)))/DIAS_POR_SEMANA</f>
        <v>0</v>
      </c>
      <c r="K19" s="16" t="n">
        <f aca="false">MIN(CADASTRO_CASAS_BOMBA!$O$8,MAX(0,K18+CADASTRO_CASAS_BOMBA!$I$8*HORAS_CAPTACAO_DIA-J19))</f>
        <v>27377</v>
      </c>
      <c r="L19" s="16" t="n">
        <f aca="false">MAX(0,J19-CADASTRO_CASAS_BOMBA!$I$8*HORAS_CAPTACAO_DIA-K18)</f>
        <v>0</v>
      </c>
      <c r="M19" s="16" t="n">
        <f aca="false">INDEX(AUX_MATRIZES!$C$11:$BP$11,MIN(N_SEMANAS,MAX(1,$C19)))/DIAS_POR_SEMANA</f>
        <v>6910.71647058823</v>
      </c>
      <c r="N19" s="16" t="n">
        <f aca="false">MIN(CADASTRO_CASAS_BOMBA!$O$9,MAX(0,N18+CADASTRO_CASAS_BOMBA!$I$9*HORAS_CAPTACAO_DIA-M19))</f>
        <v>129000</v>
      </c>
      <c r="O19" s="16" t="n">
        <f aca="false">MAX(0,M19-CADASTRO_CASAS_BOMBA!$I$9*HORAS_CAPTACAO_DIA-N18)</f>
        <v>0</v>
      </c>
      <c r="P19" s="16" t="n">
        <f aca="false">INDEX(AUX_MATRIZES!$C$12:$BP$12,MIN(N_SEMANAS,MAX(1,$C19)))/DIAS_POR_SEMANA</f>
        <v>13806.24</v>
      </c>
      <c r="Q19" s="16" t="n">
        <f aca="false">MIN(CADASTRO_CASAS_BOMBA!$O$10,MAX(0,Q18+CADASTRO_CASAS_BOMBA!$I$10*HORAS_CAPTACAO_DIA-P19))</f>
        <v>990632.416</v>
      </c>
      <c r="R19" s="16" t="n">
        <f aca="false">MAX(0,P19-CADASTRO_CASAS_BOMBA!$I$10*HORAS_CAPTACAO_DIA-Q18)</f>
        <v>0</v>
      </c>
      <c r="S19" s="16" t="n">
        <f aca="false">INDEX(AUX_MATRIZES!$C$13:$BP$13,MIN(N_SEMANAS,MAX(1,$C19)))/DIAS_POR_SEMANA</f>
        <v>15192.5816393443</v>
      </c>
      <c r="T19" s="16" t="n">
        <f aca="false">MIN(CADASTRO_CASAS_BOMBA!$O$11,MAX(0,T18+CADASTRO_CASAS_BOMBA!$I$11*HORAS_CAPTACAO_DIA-S19))</f>
        <v>469821</v>
      </c>
      <c r="U19" s="16" t="n">
        <f aca="false">MAX(0,S19-CADASTRO_CASAS_BOMBA!$I$11*HORAS_CAPTACAO_DIA-T18)</f>
        <v>0</v>
      </c>
      <c r="V19" s="16" t="n">
        <f aca="false">INDEX(AUX_MATRIZES!$C$14:$BP$14,MIN(N_SEMANAS,MAX(1,$C19)))/DIAS_POR_SEMANA</f>
        <v>21817.391914099</v>
      </c>
      <c r="W19" s="16" t="n">
        <f aca="false">MIN(CADASTRO_CASAS_BOMBA!$O$12,MAX(0,W18+CADASTRO_CASAS_BOMBA!$I$12*HORAS_CAPTACAO_DIA-V19))</f>
        <v>440000</v>
      </c>
      <c r="X19" s="16" t="n">
        <f aca="false">MAX(0,V19-CADASTRO_CASAS_BOMBA!$I$12*HORAS_CAPTACAO_DIA-W18)</f>
        <v>0</v>
      </c>
      <c r="Y19" s="16" t="n">
        <f aca="false">INDEX(AUX_MATRIZES!$C$15:$BP$15,MIN(N_SEMANAS,MAX(1,$C19)))/DIAS_POR_SEMANA</f>
        <v>0</v>
      </c>
      <c r="Z19" s="16" t="n">
        <f aca="false">MIN(CADASTRO_CASAS_BOMBA!$O$13,MAX(0,Z18+CADASTRO_CASAS_BOMBA!$I$13*HORAS_CAPTACAO_DIA-Y19))</f>
        <v>74903</v>
      </c>
      <c r="AA19" s="16" t="n">
        <f aca="false">MAX(0,Y19-CADASTRO_CASAS_BOMBA!$I$13*HORAS_CAPTACAO_DIA-Z18)</f>
        <v>0</v>
      </c>
    </row>
    <row r="20" customFormat="false" ht="15" hidden="false" customHeight="false" outlineLevel="0" collapsed="false">
      <c r="B20" s="17" t="n">
        <f aca="false">DATA_INICIO_SAFRA+13</f>
        <v>46278</v>
      </c>
      <c r="C20" s="16" t="n">
        <f aca="false">MIN(N_SEMANAS,MAX(1,INT(($B20-DATA_INICIO_SAFRA)/DIAS_POR_SEMANA)+1))</f>
        <v>2</v>
      </c>
      <c r="D20" s="16" t="n">
        <f aca="false">INDEX(AUX_MATRIZES!$C$8:$BP$8,MIN(N_SEMANAS,MAX(1,$C20)))/DIAS_POR_SEMANA</f>
        <v>0</v>
      </c>
      <c r="E20" s="16" t="n">
        <f aca="false">MIN(CADASTRO_CASAS_BOMBA!$O$6,MAX(0,E19+CADASTRO_CASAS_BOMBA!$I$6*HORAS_CAPTACAO_DIA-D20))</f>
        <v>2600</v>
      </c>
      <c r="F20" s="16" t="n">
        <f aca="false">MAX(0,D20-CADASTRO_CASAS_BOMBA!$I$6*HORAS_CAPTACAO_DIA-E19)</f>
        <v>0</v>
      </c>
      <c r="G20" s="16" t="n">
        <f aca="false">INDEX(AUX_MATRIZES!$C$9:$BP$9,MIN(N_SEMANAS,MAX(1,$C20)))/DIAS_POR_SEMANA</f>
        <v>0</v>
      </c>
      <c r="H20" s="16" t="n">
        <f aca="false">MIN(CADASTRO_CASAS_BOMBA!$O$7,MAX(0,H19+CADASTRO_CASAS_BOMBA!$I$7*HORAS_CAPTACAO_DIA-G20))</f>
        <v>76648</v>
      </c>
      <c r="I20" s="16" t="n">
        <f aca="false">MAX(0,G20-CADASTRO_CASAS_BOMBA!$I$7*HORAS_CAPTACAO_DIA-H19)</f>
        <v>0</v>
      </c>
      <c r="J20" s="16" t="n">
        <f aca="false">INDEX(AUX_MATRIZES!$C$10:$BP$10,MIN(N_SEMANAS,MAX(1,$C20)))/DIAS_POR_SEMANA</f>
        <v>0</v>
      </c>
      <c r="K20" s="16" t="n">
        <f aca="false">MIN(CADASTRO_CASAS_BOMBA!$O$8,MAX(0,K19+CADASTRO_CASAS_BOMBA!$I$8*HORAS_CAPTACAO_DIA-J20))</f>
        <v>27377</v>
      </c>
      <c r="L20" s="16" t="n">
        <f aca="false">MAX(0,J20-CADASTRO_CASAS_BOMBA!$I$8*HORAS_CAPTACAO_DIA-K19)</f>
        <v>0</v>
      </c>
      <c r="M20" s="16" t="n">
        <f aca="false">INDEX(AUX_MATRIZES!$C$11:$BP$11,MIN(N_SEMANAS,MAX(1,$C20)))/DIAS_POR_SEMANA</f>
        <v>6910.71647058823</v>
      </c>
      <c r="N20" s="16" t="n">
        <f aca="false">MIN(CADASTRO_CASAS_BOMBA!$O$9,MAX(0,N19+CADASTRO_CASAS_BOMBA!$I$9*HORAS_CAPTACAO_DIA-M20))</f>
        <v>129000</v>
      </c>
      <c r="O20" s="16" t="n">
        <f aca="false">MAX(0,M20-CADASTRO_CASAS_BOMBA!$I$9*HORAS_CAPTACAO_DIA-N19)</f>
        <v>0</v>
      </c>
      <c r="P20" s="16" t="n">
        <f aca="false">INDEX(AUX_MATRIZES!$C$12:$BP$12,MIN(N_SEMANAS,MAX(1,$C20)))/DIAS_POR_SEMANA</f>
        <v>13806.24</v>
      </c>
      <c r="Q20" s="16" t="n">
        <f aca="false">MIN(CADASTRO_CASAS_BOMBA!$O$10,MAX(0,Q19+CADASTRO_CASAS_BOMBA!$I$10*HORAS_CAPTACAO_DIA-P20))</f>
        <v>989908.576</v>
      </c>
      <c r="R20" s="16" t="n">
        <f aca="false">MAX(0,P20-CADASTRO_CASAS_BOMBA!$I$10*HORAS_CAPTACAO_DIA-Q19)</f>
        <v>0</v>
      </c>
      <c r="S20" s="16" t="n">
        <f aca="false">INDEX(AUX_MATRIZES!$C$13:$BP$13,MIN(N_SEMANAS,MAX(1,$C20)))/DIAS_POR_SEMANA</f>
        <v>15192.5816393443</v>
      </c>
      <c r="T20" s="16" t="n">
        <f aca="false">MIN(CADASTRO_CASAS_BOMBA!$O$11,MAX(0,T19+CADASTRO_CASAS_BOMBA!$I$11*HORAS_CAPTACAO_DIA-S20))</f>
        <v>469821</v>
      </c>
      <c r="U20" s="16" t="n">
        <f aca="false">MAX(0,S20-CADASTRO_CASAS_BOMBA!$I$11*HORAS_CAPTACAO_DIA-T19)</f>
        <v>0</v>
      </c>
      <c r="V20" s="16" t="n">
        <f aca="false">INDEX(AUX_MATRIZES!$C$14:$BP$14,MIN(N_SEMANAS,MAX(1,$C20)))/DIAS_POR_SEMANA</f>
        <v>21817.391914099</v>
      </c>
      <c r="W20" s="16" t="n">
        <f aca="false">MIN(CADASTRO_CASAS_BOMBA!$O$12,MAX(0,W19+CADASTRO_CASAS_BOMBA!$I$12*HORAS_CAPTACAO_DIA-V20))</f>
        <v>440000</v>
      </c>
      <c r="X20" s="16" t="n">
        <f aca="false">MAX(0,V20-CADASTRO_CASAS_BOMBA!$I$12*HORAS_CAPTACAO_DIA-W19)</f>
        <v>0</v>
      </c>
      <c r="Y20" s="16" t="n">
        <f aca="false">INDEX(AUX_MATRIZES!$C$15:$BP$15,MIN(N_SEMANAS,MAX(1,$C20)))/DIAS_POR_SEMANA</f>
        <v>0</v>
      </c>
      <c r="Z20" s="16" t="n">
        <f aca="false">MIN(CADASTRO_CASAS_BOMBA!$O$13,MAX(0,Z19+CADASTRO_CASAS_BOMBA!$I$13*HORAS_CAPTACAO_DIA-Y20))</f>
        <v>74903</v>
      </c>
      <c r="AA20" s="16" t="n">
        <f aca="false">MAX(0,Y20-CADASTRO_CASAS_BOMBA!$I$13*HORAS_CAPTACAO_DIA-Z19)</f>
        <v>0</v>
      </c>
    </row>
    <row r="21" customFormat="false" ht="15" hidden="false" customHeight="false" outlineLevel="0" collapsed="false">
      <c r="B21" s="17" t="n">
        <f aca="false">DATA_INICIO_SAFRA+14</f>
        <v>46279</v>
      </c>
      <c r="C21" s="16" t="n">
        <f aca="false">MIN(N_SEMANAS,MAX(1,INT(($B21-DATA_INICIO_SAFRA)/DIAS_POR_SEMANA)+1))</f>
        <v>3</v>
      </c>
      <c r="D21" s="16" t="n">
        <f aca="false">INDEX(AUX_MATRIZES!$C$8:$BP$8,MIN(N_SEMANAS,MAX(1,$C21)))/DIAS_POR_SEMANA</f>
        <v>0</v>
      </c>
      <c r="E21" s="16" t="n">
        <f aca="false">MIN(CADASTRO_CASAS_BOMBA!$O$6,MAX(0,E20+CADASTRO_CASAS_BOMBA!$I$6*HORAS_CAPTACAO_DIA-D21))</f>
        <v>2600</v>
      </c>
      <c r="F21" s="16" t="n">
        <f aca="false">MAX(0,D21-CADASTRO_CASAS_BOMBA!$I$6*HORAS_CAPTACAO_DIA-E20)</f>
        <v>0</v>
      </c>
      <c r="G21" s="16" t="n">
        <f aca="false">INDEX(AUX_MATRIZES!$C$9:$BP$9,MIN(N_SEMANAS,MAX(1,$C21)))/DIAS_POR_SEMANA</f>
        <v>0</v>
      </c>
      <c r="H21" s="16" t="n">
        <f aca="false">MIN(CADASTRO_CASAS_BOMBA!$O$7,MAX(0,H20+CADASTRO_CASAS_BOMBA!$I$7*HORAS_CAPTACAO_DIA-G21))</f>
        <v>76648</v>
      </c>
      <c r="I21" s="16" t="n">
        <f aca="false">MAX(0,G21-CADASTRO_CASAS_BOMBA!$I$7*HORAS_CAPTACAO_DIA-H20)</f>
        <v>0</v>
      </c>
      <c r="J21" s="16" t="n">
        <f aca="false">INDEX(AUX_MATRIZES!$C$10:$BP$10,MIN(N_SEMANAS,MAX(1,$C21)))/DIAS_POR_SEMANA</f>
        <v>0</v>
      </c>
      <c r="K21" s="16" t="n">
        <f aca="false">MIN(CADASTRO_CASAS_BOMBA!$O$8,MAX(0,K20+CADASTRO_CASAS_BOMBA!$I$8*HORAS_CAPTACAO_DIA-J21))</f>
        <v>27377</v>
      </c>
      <c r="L21" s="16" t="n">
        <f aca="false">MAX(0,J21-CADASTRO_CASAS_BOMBA!$I$8*HORAS_CAPTACAO_DIA-K20)</f>
        <v>0</v>
      </c>
      <c r="M21" s="16" t="n">
        <f aca="false">INDEX(AUX_MATRIZES!$C$11:$BP$11,MIN(N_SEMANAS,MAX(1,$C21)))/DIAS_POR_SEMANA</f>
        <v>6910.71647058823</v>
      </c>
      <c r="N21" s="16" t="n">
        <f aca="false">MIN(CADASTRO_CASAS_BOMBA!$O$9,MAX(0,N20+CADASTRO_CASAS_BOMBA!$I$9*HORAS_CAPTACAO_DIA-M21))</f>
        <v>129000</v>
      </c>
      <c r="O21" s="16" t="n">
        <f aca="false">MAX(0,M21-CADASTRO_CASAS_BOMBA!$I$9*HORAS_CAPTACAO_DIA-N20)</f>
        <v>0</v>
      </c>
      <c r="P21" s="16" t="n">
        <f aca="false">INDEX(AUX_MATRIZES!$C$12:$BP$12,MIN(N_SEMANAS,MAX(1,$C21)))/DIAS_POR_SEMANA</f>
        <v>13806.24</v>
      </c>
      <c r="Q21" s="16" t="n">
        <f aca="false">MIN(CADASTRO_CASAS_BOMBA!$O$10,MAX(0,Q20+CADASTRO_CASAS_BOMBA!$I$10*HORAS_CAPTACAO_DIA-P21))</f>
        <v>989184.736</v>
      </c>
      <c r="R21" s="16" t="n">
        <f aca="false">MAX(0,P21-CADASTRO_CASAS_BOMBA!$I$10*HORAS_CAPTACAO_DIA-Q20)</f>
        <v>0</v>
      </c>
      <c r="S21" s="16" t="n">
        <f aca="false">INDEX(AUX_MATRIZES!$C$13:$BP$13,MIN(N_SEMANAS,MAX(1,$C21)))/DIAS_POR_SEMANA</f>
        <v>10354.68</v>
      </c>
      <c r="T21" s="16" t="n">
        <f aca="false">MIN(CADASTRO_CASAS_BOMBA!$O$11,MAX(0,T20+CADASTRO_CASAS_BOMBA!$I$11*HORAS_CAPTACAO_DIA-S21))</f>
        <v>469821</v>
      </c>
      <c r="U21" s="16" t="n">
        <f aca="false">MAX(0,S21-CADASTRO_CASAS_BOMBA!$I$11*HORAS_CAPTACAO_DIA-T20)</f>
        <v>0</v>
      </c>
      <c r="V21" s="16" t="n">
        <f aca="false">INDEX(AUX_MATRIZES!$C$14:$BP$14,MIN(N_SEMANAS,MAX(1,$C21)))/DIAS_POR_SEMANA</f>
        <v>14463.4833127918</v>
      </c>
      <c r="W21" s="16" t="n">
        <f aca="false">MIN(CADASTRO_CASAS_BOMBA!$O$12,MAX(0,W20+CADASTRO_CASAS_BOMBA!$I$12*HORAS_CAPTACAO_DIA-V21))</f>
        <v>440000</v>
      </c>
      <c r="X21" s="16" t="n">
        <f aca="false">MAX(0,V21-CADASTRO_CASAS_BOMBA!$I$12*HORAS_CAPTACAO_DIA-W20)</f>
        <v>0</v>
      </c>
      <c r="Y21" s="16" t="n">
        <f aca="false">INDEX(AUX_MATRIZES!$C$15:$BP$15,MIN(N_SEMANAS,MAX(1,$C21)))/DIAS_POR_SEMANA</f>
        <v>0</v>
      </c>
      <c r="Z21" s="16" t="n">
        <f aca="false">MIN(CADASTRO_CASAS_BOMBA!$O$13,MAX(0,Z20+CADASTRO_CASAS_BOMBA!$I$13*HORAS_CAPTACAO_DIA-Y21))</f>
        <v>74903</v>
      </c>
      <c r="AA21" s="16" t="n">
        <f aca="false">MAX(0,Y21-CADASTRO_CASAS_BOMBA!$I$13*HORAS_CAPTACAO_DIA-Z20)</f>
        <v>0</v>
      </c>
    </row>
    <row r="22" customFormat="false" ht="15" hidden="false" customHeight="false" outlineLevel="0" collapsed="false">
      <c r="B22" s="17" t="n">
        <f aca="false">DATA_INICIO_SAFRA+15</f>
        <v>46280</v>
      </c>
      <c r="C22" s="16" t="n">
        <f aca="false">MIN(N_SEMANAS,MAX(1,INT(($B22-DATA_INICIO_SAFRA)/DIAS_POR_SEMANA)+1))</f>
        <v>3</v>
      </c>
      <c r="D22" s="16" t="n">
        <f aca="false">INDEX(AUX_MATRIZES!$C$8:$BP$8,MIN(N_SEMANAS,MAX(1,$C22)))/DIAS_POR_SEMANA</f>
        <v>0</v>
      </c>
      <c r="E22" s="16" t="n">
        <f aca="false">MIN(CADASTRO_CASAS_BOMBA!$O$6,MAX(0,E21+CADASTRO_CASAS_BOMBA!$I$6*HORAS_CAPTACAO_DIA-D22))</f>
        <v>2600</v>
      </c>
      <c r="F22" s="16" t="n">
        <f aca="false">MAX(0,D22-CADASTRO_CASAS_BOMBA!$I$6*HORAS_CAPTACAO_DIA-E21)</f>
        <v>0</v>
      </c>
      <c r="G22" s="16" t="n">
        <f aca="false">INDEX(AUX_MATRIZES!$C$9:$BP$9,MIN(N_SEMANAS,MAX(1,$C22)))/DIAS_POR_SEMANA</f>
        <v>0</v>
      </c>
      <c r="H22" s="16" t="n">
        <f aca="false">MIN(CADASTRO_CASAS_BOMBA!$O$7,MAX(0,H21+CADASTRO_CASAS_BOMBA!$I$7*HORAS_CAPTACAO_DIA-G22))</f>
        <v>76648</v>
      </c>
      <c r="I22" s="16" t="n">
        <f aca="false">MAX(0,G22-CADASTRO_CASAS_BOMBA!$I$7*HORAS_CAPTACAO_DIA-H21)</f>
        <v>0</v>
      </c>
      <c r="J22" s="16" t="n">
        <f aca="false">INDEX(AUX_MATRIZES!$C$10:$BP$10,MIN(N_SEMANAS,MAX(1,$C22)))/DIAS_POR_SEMANA</f>
        <v>0</v>
      </c>
      <c r="K22" s="16" t="n">
        <f aca="false">MIN(CADASTRO_CASAS_BOMBA!$O$8,MAX(0,K21+CADASTRO_CASAS_BOMBA!$I$8*HORAS_CAPTACAO_DIA-J22))</f>
        <v>27377</v>
      </c>
      <c r="L22" s="16" t="n">
        <f aca="false">MAX(0,J22-CADASTRO_CASAS_BOMBA!$I$8*HORAS_CAPTACAO_DIA-K21)</f>
        <v>0</v>
      </c>
      <c r="M22" s="16" t="n">
        <f aca="false">INDEX(AUX_MATRIZES!$C$11:$BP$11,MIN(N_SEMANAS,MAX(1,$C22)))/DIAS_POR_SEMANA</f>
        <v>6910.71647058823</v>
      </c>
      <c r="N22" s="16" t="n">
        <f aca="false">MIN(CADASTRO_CASAS_BOMBA!$O$9,MAX(0,N21+CADASTRO_CASAS_BOMBA!$I$9*HORAS_CAPTACAO_DIA-M22))</f>
        <v>129000</v>
      </c>
      <c r="O22" s="16" t="n">
        <f aca="false">MAX(0,M22-CADASTRO_CASAS_BOMBA!$I$9*HORAS_CAPTACAO_DIA-N21)</f>
        <v>0</v>
      </c>
      <c r="P22" s="16" t="n">
        <f aca="false">INDEX(AUX_MATRIZES!$C$12:$BP$12,MIN(N_SEMANAS,MAX(1,$C22)))/DIAS_POR_SEMANA</f>
        <v>13806.24</v>
      </c>
      <c r="Q22" s="16" t="n">
        <f aca="false">MIN(CADASTRO_CASAS_BOMBA!$O$10,MAX(0,Q21+CADASTRO_CASAS_BOMBA!$I$10*HORAS_CAPTACAO_DIA-P22))</f>
        <v>988460.896</v>
      </c>
      <c r="R22" s="16" t="n">
        <f aca="false">MAX(0,P22-CADASTRO_CASAS_BOMBA!$I$10*HORAS_CAPTACAO_DIA-Q21)</f>
        <v>0</v>
      </c>
      <c r="S22" s="16" t="n">
        <f aca="false">INDEX(AUX_MATRIZES!$C$13:$BP$13,MIN(N_SEMANAS,MAX(1,$C22)))/DIAS_POR_SEMANA</f>
        <v>10354.68</v>
      </c>
      <c r="T22" s="16" t="n">
        <f aca="false">MIN(CADASTRO_CASAS_BOMBA!$O$11,MAX(0,T21+CADASTRO_CASAS_BOMBA!$I$11*HORAS_CAPTACAO_DIA-S22))</f>
        <v>469821</v>
      </c>
      <c r="U22" s="16" t="n">
        <f aca="false">MAX(0,S22-CADASTRO_CASAS_BOMBA!$I$11*HORAS_CAPTACAO_DIA-T21)</f>
        <v>0</v>
      </c>
      <c r="V22" s="16" t="n">
        <f aca="false">INDEX(AUX_MATRIZES!$C$14:$BP$14,MIN(N_SEMANAS,MAX(1,$C22)))/DIAS_POR_SEMANA</f>
        <v>14463.4833127918</v>
      </c>
      <c r="W22" s="16" t="n">
        <f aca="false">MIN(CADASTRO_CASAS_BOMBA!$O$12,MAX(0,W21+CADASTRO_CASAS_BOMBA!$I$12*HORAS_CAPTACAO_DIA-V22))</f>
        <v>440000</v>
      </c>
      <c r="X22" s="16" t="n">
        <f aca="false">MAX(0,V22-CADASTRO_CASAS_BOMBA!$I$12*HORAS_CAPTACAO_DIA-W21)</f>
        <v>0</v>
      </c>
      <c r="Y22" s="16" t="n">
        <f aca="false">INDEX(AUX_MATRIZES!$C$15:$BP$15,MIN(N_SEMANAS,MAX(1,$C22)))/DIAS_POR_SEMANA</f>
        <v>0</v>
      </c>
      <c r="Z22" s="16" t="n">
        <f aca="false">MIN(CADASTRO_CASAS_BOMBA!$O$13,MAX(0,Z21+CADASTRO_CASAS_BOMBA!$I$13*HORAS_CAPTACAO_DIA-Y22))</f>
        <v>74903</v>
      </c>
      <c r="AA22" s="16" t="n">
        <f aca="false">MAX(0,Y22-CADASTRO_CASAS_BOMBA!$I$13*HORAS_CAPTACAO_DIA-Z21)</f>
        <v>0</v>
      </c>
    </row>
    <row r="23" customFormat="false" ht="15" hidden="false" customHeight="false" outlineLevel="0" collapsed="false">
      <c r="B23" s="17" t="n">
        <f aca="false">DATA_INICIO_SAFRA+16</f>
        <v>46281</v>
      </c>
      <c r="C23" s="16" t="n">
        <f aca="false">MIN(N_SEMANAS,MAX(1,INT(($B23-DATA_INICIO_SAFRA)/DIAS_POR_SEMANA)+1))</f>
        <v>3</v>
      </c>
      <c r="D23" s="16" t="n">
        <f aca="false">INDEX(AUX_MATRIZES!$C$8:$BP$8,MIN(N_SEMANAS,MAX(1,$C23)))/DIAS_POR_SEMANA</f>
        <v>0</v>
      </c>
      <c r="E23" s="16" t="n">
        <f aca="false">MIN(CADASTRO_CASAS_BOMBA!$O$6,MAX(0,E22+CADASTRO_CASAS_BOMBA!$I$6*HORAS_CAPTACAO_DIA-D23))</f>
        <v>2600</v>
      </c>
      <c r="F23" s="16" t="n">
        <f aca="false">MAX(0,D23-CADASTRO_CASAS_BOMBA!$I$6*HORAS_CAPTACAO_DIA-E22)</f>
        <v>0</v>
      </c>
      <c r="G23" s="16" t="n">
        <f aca="false">INDEX(AUX_MATRIZES!$C$9:$BP$9,MIN(N_SEMANAS,MAX(1,$C23)))/DIAS_POR_SEMANA</f>
        <v>0</v>
      </c>
      <c r="H23" s="16" t="n">
        <f aca="false">MIN(CADASTRO_CASAS_BOMBA!$O$7,MAX(0,H22+CADASTRO_CASAS_BOMBA!$I$7*HORAS_CAPTACAO_DIA-G23))</f>
        <v>76648</v>
      </c>
      <c r="I23" s="16" t="n">
        <f aca="false">MAX(0,G23-CADASTRO_CASAS_BOMBA!$I$7*HORAS_CAPTACAO_DIA-H22)</f>
        <v>0</v>
      </c>
      <c r="J23" s="16" t="n">
        <f aca="false">INDEX(AUX_MATRIZES!$C$10:$BP$10,MIN(N_SEMANAS,MAX(1,$C23)))/DIAS_POR_SEMANA</f>
        <v>0</v>
      </c>
      <c r="K23" s="16" t="n">
        <f aca="false">MIN(CADASTRO_CASAS_BOMBA!$O$8,MAX(0,K22+CADASTRO_CASAS_BOMBA!$I$8*HORAS_CAPTACAO_DIA-J23))</f>
        <v>27377</v>
      </c>
      <c r="L23" s="16" t="n">
        <f aca="false">MAX(0,J23-CADASTRO_CASAS_BOMBA!$I$8*HORAS_CAPTACAO_DIA-K22)</f>
        <v>0</v>
      </c>
      <c r="M23" s="16" t="n">
        <f aca="false">INDEX(AUX_MATRIZES!$C$11:$BP$11,MIN(N_SEMANAS,MAX(1,$C23)))/DIAS_POR_SEMANA</f>
        <v>6910.71647058823</v>
      </c>
      <c r="N23" s="16" t="n">
        <f aca="false">MIN(CADASTRO_CASAS_BOMBA!$O$9,MAX(0,N22+CADASTRO_CASAS_BOMBA!$I$9*HORAS_CAPTACAO_DIA-M23))</f>
        <v>129000</v>
      </c>
      <c r="O23" s="16" t="n">
        <f aca="false">MAX(0,M23-CADASTRO_CASAS_BOMBA!$I$9*HORAS_CAPTACAO_DIA-N22)</f>
        <v>0</v>
      </c>
      <c r="P23" s="16" t="n">
        <f aca="false">INDEX(AUX_MATRIZES!$C$12:$BP$12,MIN(N_SEMANAS,MAX(1,$C23)))/DIAS_POR_SEMANA</f>
        <v>13806.24</v>
      </c>
      <c r="Q23" s="16" t="n">
        <f aca="false">MIN(CADASTRO_CASAS_BOMBA!$O$10,MAX(0,Q22+CADASTRO_CASAS_BOMBA!$I$10*HORAS_CAPTACAO_DIA-P23))</f>
        <v>987737.056</v>
      </c>
      <c r="R23" s="16" t="n">
        <f aca="false">MAX(0,P23-CADASTRO_CASAS_BOMBA!$I$10*HORAS_CAPTACAO_DIA-Q22)</f>
        <v>0</v>
      </c>
      <c r="S23" s="16" t="n">
        <f aca="false">INDEX(AUX_MATRIZES!$C$13:$BP$13,MIN(N_SEMANAS,MAX(1,$C23)))/DIAS_POR_SEMANA</f>
        <v>10354.68</v>
      </c>
      <c r="T23" s="16" t="n">
        <f aca="false">MIN(CADASTRO_CASAS_BOMBA!$O$11,MAX(0,T22+CADASTRO_CASAS_BOMBA!$I$11*HORAS_CAPTACAO_DIA-S23))</f>
        <v>469821</v>
      </c>
      <c r="U23" s="16" t="n">
        <f aca="false">MAX(0,S23-CADASTRO_CASAS_BOMBA!$I$11*HORAS_CAPTACAO_DIA-T22)</f>
        <v>0</v>
      </c>
      <c r="V23" s="16" t="n">
        <f aca="false">INDEX(AUX_MATRIZES!$C$14:$BP$14,MIN(N_SEMANAS,MAX(1,$C23)))/DIAS_POR_SEMANA</f>
        <v>14463.4833127918</v>
      </c>
      <c r="W23" s="16" t="n">
        <f aca="false">MIN(CADASTRO_CASAS_BOMBA!$O$12,MAX(0,W22+CADASTRO_CASAS_BOMBA!$I$12*HORAS_CAPTACAO_DIA-V23))</f>
        <v>440000</v>
      </c>
      <c r="X23" s="16" t="n">
        <f aca="false">MAX(0,V23-CADASTRO_CASAS_BOMBA!$I$12*HORAS_CAPTACAO_DIA-W22)</f>
        <v>0</v>
      </c>
      <c r="Y23" s="16" t="n">
        <f aca="false">INDEX(AUX_MATRIZES!$C$15:$BP$15,MIN(N_SEMANAS,MAX(1,$C23)))/DIAS_POR_SEMANA</f>
        <v>0</v>
      </c>
      <c r="Z23" s="16" t="n">
        <f aca="false">MIN(CADASTRO_CASAS_BOMBA!$O$13,MAX(0,Z22+CADASTRO_CASAS_BOMBA!$I$13*HORAS_CAPTACAO_DIA-Y23))</f>
        <v>74903</v>
      </c>
      <c r="AA23" s="16" t="n">
        <f aca="false">MAX(0,Y23-CADASTRO_CASAS_BOMBA!$I$13*HORAS_CAPTACAO_DIA-Z22)</f>
        <v>0</v>
      </c>
    </row>
    <row r="24" customFormat="false" ht="15" hidden="false" customHeight="false" outlineLevel="0" collapsed="false">
      <c r="B24" s="17" t="n">
        <f aca="false">DATA_INICIO_SAFRA+17</f>
        <v>46282</v>
      </c>
      <c r="C24" s="16" t="n">
        <f aca="false">MIN(N_SEMANAS,MAX(1,INT(($B24-DATA_INICIO_SAFRA)/DIAS_POR_SEMANA)+1))</f>
        <v>3</v>
      </c>
      <c r="D24" s="16" t="n">
        <f aca="false">INDEX(AUX_MATRIZES!$C$8:$BP$8,MIN(N_SEMANAS,MAX(1,$C24)))/DIAS_POR_SEMANA</f>
        <v>0</v>
      </c>
      <c r="E24" s="16" t="n">
        <f aca="false">MIN(CADASTRO_CASAS_BOMBA!$O$6,MAX(0,E23+CADASTRO_CASAS_BOMBA!$I$6*HORAS_CAPTACAO_DIA-D24))</f>
        <v>2600</v>
      </c>
      <c r="F24" s="16" t="n">
        <f aca="false">MAX(0,D24-CADASTRO_CASAS_BOMBA!$I$6*HORAS_CAPTACAO_DIA-E23)</f>
        <v>0</v>
      </c>
      <c r="G24" s="16" t="n">
        <f aca="false">INDEX(AUX_MATRIZES!$C$9:$BP$9,MIN(N_SEMANAS,MAX(1,$C24)))/DIAS_POR_SEMANA</f>
        <v>0</v>
      </c>
      <c r="H24" s="16" t="n">
        <f aca="false">MIN(CADASTRO_CASAS_BOMBA!$O$7,MAX(0,H23+CADASTRO_CASAS_BOMBA!$I$7*HORAS_CAPTACAO_DIA-G24))</f>
        <v>76648</v>
      </c>
      <c r="I24" s="16" t="n">
        <f aca="false">MAX(0,G24-CADASTRO_CASAS_BOMBA!$I$7*HORAS_CAPTACAO_DIA-H23)</f>
        <v>0</v>
      </c>
      <c r="J24" s="16" t="n">
        <f aca="false">INDEX(AUX_MATRIZES!$C$10:$BP$10,MIN(N_SEMANAS,MAX(1,$C24)))/DIAS_POR_SEMANA</f>
        <v>0</v>
      </c>
      <c r="K24" s="16" t="n">
        <f aca="false">MIN(CADASTRO_CASAS_BOMBA!$O$8,MAX(0,K23+CADASTRO_CASAS_BOMBA!$I$8*HORAS_CAPTACAO_DIA-J24))</f>
        <v>27377</v>
      </c>
      <c r="L24" s="16" t="n">
        <f aca="false">MAX(0,J24-CADASTRO_CASAS_BOMBA!$I$8*HORAS_CAPTACAO_DIA-K23)</f>
        <v>0</v>
      </c>
      <c r="M24" s="16" t="n">
        <f aca="false">INDEX(AUX_MATRIZES!$C$11:$BP$11,MIN(N_SEMANAS,MAX(1,$C24)))/DIAS_POR_SEMANA</f>
        <v>6910.71647058823</v>
      </c>
      <c r="N24" s="16" t="n">
        <f aca="false">MIN(CADASTRO_CASAS_BOMBA!$O$9,MAX(0,N23+CADASTRO_CASAS_BOMBA!$I$9*HORAS_CAPTACAO_DIA-M24))</f>
        <v>129000</v>
      </c>
      <c r="O24" s="16" t="n">
        <f aca="false">MAX(0,M24-CADASTRO_CASAS_BOMBA!$I$9*HORAS_CAPTACAO_DIA-N23)</f>
        <v>0</v>
      </c>
      <c r="P24" s="16" t="n">
        <f aca="false">INDEX(AUX_MATRIZES!$C$12:$BP$12,MIN(N_SEMANAS,MAX(1,$C24)))/DIAS_POR_SEMANA</f>
        <v>13806.24</v>
      </c>
      <c r="Q24" s="16" t="n">
        <f aca="false">MIN(CADASTRO_CASAS_BOMBA!$O$10,MAX(0,Q23+CADASTRO_CASAS_BOMBA!$I$10*HORAS_CAPTACAO_DIA-P24))</f>
        <v>987013.216</v>
      </c>
      <c r="R24" s="16" t="n">
        <f aca="false">MAX(0,P24-CADASTRO_CASAS_BOMBA!$I$10*HORAS_CAPTACAO_DIA-Q23)</f>
        <v>0</v>
      </c>
      <c r="S24" s="16" t="n">
        <f aca="false">INDEX(AUX_MATRIZES!$C$13:$BP$13,MIN(N_SEMANAS,MAX(1,$C24)))/DIAS_POR_SEMANA</f>
        <v>10354.68</v>
      </c>
      <c r="T24" s="16" t="n">
        <f aca="false">MIN(CADASTRO_CASAS_BOMBA!$O$11,MAX(0,T23+CADASTRO_CASAS_BOMBA!$I$11*HORAS_CAPTACAO_DIA-S24))</f>
        <v>469821</v>
      </c>
      <c r="U24" s="16" t="n">
        <f aca="false">MAX(0,S24-CADASTRO_CASAS_BOMBA!$I$11*HORAS_CAPTACAO_DIA-T23)</f>
        <v>0</v>
      </c>
      <c r="V24" s="16" t="n">
        <f aca="false">INDEX(AUX_MATRIZES!$C$14:$BP$14,MIN(N_SEMANAS,MAX(1,$C24)))/DIAS_POR_SEMANA</f>
        <v>14463.4833127918</v>
      </c>
      <c r="W24" s="16" t="n">
        <f aca="false">MIN(CADASTRO_CASAS_BOMBA!$O$12,MAX(0,W23+CADASTRO_CASAS_BOMBA!$I$12*HORAS_CAPTACAO_DIA-V24))</f>
        <v>440000</v>
      </c>
      <c r="X24" s="16" t="n">
        <f aca="false">MAX(0,V24-CADASTRO_CASAS_BOMBA!$I$12*HORAS_CAPTACAO_DIA-W23)</f>
        <v>0</v>
      </c>
      <c r="Y24" s="16" t="n">
        <f aca="false">INDEX(AUX_MATRIZES!$C$15:$BP$15,MIN(N_SEMANAS,MAX(1,$C24)))/DIAS_POR_SEMANA</f>
        <v>0</v>
      </c>
      <c r="Z24" s="16" t="n">
        <f aca="false">MIN(CADASTRO_CASAS_BOMBA!$O$13,MAX(0,Z23+CADASTRO_CASAS_BOMBA!$I$13*HORAS_CAPTACAO_DIA-Y24))</f>
        <v>74903</v>
      </c>
      <c r="AA24" s="16" t="n">
        <f aca="false">MAX(0,Y24-CADASTRO_CASAS_BOMBA!$I$13*HORAS_CAPTACAO_DIA-Z23)</f>
        <v>0</v>
      </c>
    </row>
    <row r="25" customFormat="false" ht="15" hidden="false" customHeight="false" outlineLevel="0" collapsed="false">
      <c r="B25" s="17" t="n">
        <f aca="false">DATA_INICIO_SAFRA+18</f>
        <v>46283</v>
      </c>
      <c r="C25" s="16" t="n">
        <f aca="false">MIN(N_SEMANAS,MAX(1,INT(($B25-DATA_INICIO_SAFRA)/DIAS_POR_SEMANA)+1))</f>
        <v>3</v>
      </c>
      <c r="D25" s="16" t="n">
        <f aca="false">INDEX(AUX_MATRIZES!$C$8:$BP$8,MIN(N_SEMANAS,MAX(1,$C25)))/DIAS_POR_SEMANA</f>
        <v>0</v>
      </c>
      <c r="E25" s="16" t="n">
        <f aca="false">MIN(CADASTRO_CASAS_BOMBA!$O$6,MAX(0,E24+CADASTRO_CASAS_BOMBA!$I$6*HORAS_CAPTACAO_DIA-D25))</f>
        <v>2600</v>
      </c>
      <c r="F25" s="16" t="n">
        <f aca="false">MAX(0,D25-CADASTRO_CASAS_BOMBA!$I$6*HORAS_CAPTACAO_DIA-E24)</f>
        <v>0</v>
      </c>
      <c r="G25" s="16" t="n">
        <f aca="false">INDEX(AUX_MATRIZES!$C$9:$BP$9,MIN(N_SEMANAS,MAX(1,$C25)))/DIAS_POR_SEMANA</f>
        <v>0</v>
      </c>
      <c r="H25" s="16" t="n">
        <f aca="false">MIN(CADASTRO_CASAS_BOMBA!$O$7,MAX(0,H24+CADASTRO_CASAS_BOMBA!$I$7*HORAS_CAPTACAO_DIA-G25))</f>
        <v>76648</v>
      </c>
      <c r="I25" s="16" t="n">
        <f aca="false">MAX(0,G25-CADASTRO_CASAS_BOMBA!$I$7*HORAS_CAPTACAO_DIA-H24)</f>
        <v>0</v>
      </c>
      <c r="J25" s="16" t="n">
        <f aca="false">INDEX(AUX_MATRIZES!$C$10:$BP$10,MIN(N_SEMANAS,MAX(1,$C25)))/DIAS_POR_SEMANA</f>
        <v>0</v>
      </c>
      <c r="K25" s="16" t="n">
        <f aca="false">MIN(CADASTRO_CASAS_BOMBA!$O$8,MAX(0,K24+CADASTRO_CASAS_BOMBA!$I$8*HORAS_CAPTACAO_DIA-J25))</f>
        <v>27377</v>
      </c>
      <c r="L25" s="16" t="n">
        <f aca="false">MAX(0,J25-CADASTRO_CASAS_BOMBA!$I$8*HORAS_CAPTACAO_DIA-K24)</f>
        <v>0</v>
      </c>
      <c r="M25" s="16" t="n">
        <f aca="false">INDEX(AUX_MATRIZES!$C$11:$BP$11,MIN(N_SEMANAS,MAX(1,$C25)))/DIAS_POR_SEMANA</f>
        <v>6910.71647058823</v>
      </c>
      <c r="N25" s="16" t="n">
        <f aca="false">MIN(CADASTRO_CASAS_BOMBA!$O$9,MAX(0,N24+CADASTRO_CASAS_BOMBA!$I$9*HORAS_CAPTACAO_DIA-M25))</f>
        <v>129000</v>
      </c>
      <c r="O25" s="16" t="n">
        <f aca="false">MAX(0,M25-CADASTRO_CASAS_BOMBA!$I$9*HORAS_CAPTACAO_DIA-N24)</f>
        <v>0</v>
      </c>
      <c r="P25" s="16" t="n">
        <f aca="false">INDEX(AUX_MATRIZES!$C$12:$BP$12,MIN(N_SEMANAS,MAX(1,$C25)))/DIAS_POR_SEMANA</f>
        <v>13806.24</v>
      </c>
      <c r="Q25" s="16" t="n">
        <f aca="false">MIN(CADASTRO_CASAS_BOMBA!$O$10,MAX(0,Q24+CADASTRO_CASAS_BOMBA!$I$10*HORAS_CAPTACAO_DIA-P25))</f>
        <v>986289.376</v>
      </c>
      <c r="R25" s="16" t="n">
        <f aca="false">MAX(0,P25-CADASTRO_CASAS_BOMBA!$I$10*HORAS_CAPTACAO_DIA-Q24)</f>
        <v>0</v>
      </c>
      <c r="S25" s="16" t="n">
        <f aca="false">INDEX(AUX_MATRIZES!$C$13:$BP$13,MIN(N_SEMANAS,MAX(1,$C25)))/DIAS_POR_SEMANA</f>
        <v>10354.68</v>
      </c>
      <c r="T25" s="16" t="n">
        <f aca="false">MIN(CADASTRO_CASAS_BOMBA!$O$11,MAX(0,T24+CADASTRO_CASAS_BOMBA!$I$11*HORAS_CAPTACAO_DIA-S25))</f>
        <v>469821</v>
      </c>
      <c r="U25" s="16" t="n">
        <f aca="false">MAX(0,S25-CADASTRO_CASAS_BOMBA!$I$11*HORAS_CAPTACAO_DIA-T24)</f>
        <v>0</v>
      </c>
      <c r="V25" s="16" t="n">
        <f aca="false">INDEX(AUX_MATRIZES!$C$14:$BP$14,MIN(N_SEMANAS,MAX(1,$C25)))/DIAS_POR_SEMANA</f>
        <v>14463.4833127918</v>
      </c>
      <c r="W25" s="16" t="n">
        <f aca="false">MIN(CADASTRO_CASAS_BOMBA!$O$12,MAX(0,W24+CADASTRO_CASAS_BOMBA!$I$12*HORAS_CAPTACAO_DIA-V25))</f>
        <v>440000</v>
      </c>
      <c r="X25" s="16" t="n">
        <f aca="false">MAX(0,V25-CADASTRO_CASAS_BOMBA!$I$12*HORAS_CAPTACAO_DIA-W24)</f>
        <v>0</v>
      </c>
      <c r="Y25" s="16" t="n">
        <f aca="false">INDEX(AUX_MATRIZES!$C$15:$BP$15,MIN(N_SEMANAS,MAX(1,$C25)))/DIAS_POR_SEMANA</f>
        <v>0</v>
      </c>
      <c r="Z25" s="16" t="n">
        <f aca="false">MIN(CADASTRO_CASAS_BOMBA!$O$13,MAX(0,Z24+CADASTRO_CASAS_BOMBA!$I$13*HORAS_CAPTACAO_DIA-Y25))</f>
        <v>74903</v>
      </c>
      <c r="AA25" s="16" t="n">
        <f aca="false">MAX(0,Y25-CADASTRO_CASAS_BOMBA!$I$13*HORAS_CAPTACAO_DIA-Z24)</f>
        <v>0</v>
      </c>
    </row>
    <row r="26" customFormat="false" ht="15" hidden="false" customHeight="false" outlineLevel="0" collapsed="false">
      <c r="B26" s="17" t="n">
        <f aca="false">DATA_INICIO_SAFRA+19</f>
        <v>46284</v>
      </c>
      <c r="C26" s="16" t="n">
        <f aca="false">MIN(N_SEMANAS,MAX(1,INT(($B26-DATA_INICIO_SAFRA)/DIAS_POR_SEMANA)+1))</f>
        <v>3</v>
      </c>
      <c r="D26" s="16" t="n">
        <f aca="false">INDEX(AUX_MATRIZES!$C$8:$BP$8,MIN(N_SEMANAS,MAX(1,$C26)))/DIAS_POR_SEMANA</f>
        <v>0</v>
      </c>
      <c r="E26" s="16" t="n">
        <f aca="false">MIN(CADASTRO_CASAS_BOMBA!$O$6,MAX(0,E25+CADASTRO_CASAS_BOMBA!$I$6*HORAS_CAPTACAO_DIA-D26))</f>
        <v>2600</v>
      </c>
      <c r="F26" s="16" t="n">
        <f aca="false">MAX(0,D26-CADASTRO_CASAS_BOMBA!$I$6*HORAS_CAPTACAO_DIA-E25)</f>
        <v>0</v>
      </c>
      <c r="G26" s="16" t="n">
        <f aca="false">INDEX(AUX_MATRIZES!$C$9:$BP$9,MIN(N_SEMANAS,MAX(1,$C26)))/DIAS_POR_SEMANA</f>
        <v>0</v>
      </c>
      <c r="H26" s="16" t="n">
        <f aca="false">MIN(CADASTRO_CASAS_BOMBA!$O$7,MAX(0,H25+CADASTRO_CASAS_BOMBA!$I$7*HORAS_CAPTACAO_DIA-G26))</f>
        <v>76648</v>
      </c>
      <c r="I26" s="16" t="n">
        <f aca="false">MAX(0,G26-CADASTRO_CASAS_BOMBA!$I$7*HORAS_CAPTACAO_DIA-H25)</f>
        <v>0</v>
      </c>
      <c r="J26" s="16" t="n">
        <f aca="false">INDEX(AUX_MATRIZES!$C$10:$BP$10,MIN(N_SEMANAS,MAX(1,$C26)))/DIAS_POR_SEMANA</f>
        <v>0</v>
      </c>
      <c r="K26" s="16" t="n">
        <f aca="false">MIN(CADASTRO_CASAS_BOMBA!$O$8,MAX(0,K25+CADASTRO_CASAS_BOMBA!$I$8*HORAS_CAPTACAO_DIA-J26))</f>
        <v>27377</v>
      </c>
      <c r="L26" s="16" t="n">
        <f aca="false">MAX(0,J26-CADASTRO_CASAS_BOMBA!$I$8*HORAS_CAPTACAO_DIA-K25)</f>
        <v>0</v>
      </c>
      <c r="M26" s="16" t="n">
        <f aca="false">INDEX(AUX_MATRIZES!$C$11:$BP$11,MIN(N_SEMANAS,MAX(1,$C26)))/DIAS_POR_SEMANA</f>
        <v>6910.71647058823</v>
      </c>
      <c r="N26" s="16" t="n">
        <f aca="false">MIN(CADASTRO_CASAS_BOMBA!$O$9,MAX(0,N25+CADASTRO_CASAS_BOMBA!$I$9*HORAS_CAPTACAO_DIA-M26))</f>
        <v>129000</v>
      </c>
      <c r="O26" s="16" t="n">
        <f aca="false">MAX(0,M26-CADASTRO_CASAS_BOMBA!$I$9*HORAS_CAPTACAO_DIA-N25)</f>
        <v>0</v>
      </c>
      <c r="P26" s="16" t="n">
        <f aca="false">INDEX(AUX_MATRIZES!$C$12:$BP$12,MIN(N_SEMANAS,MAX(1,$C26)))/DIAS_POR_SEMANA</f>
        <v>13806.24</v>
      </c>
      <c r="Q26" s="16" t="n">
        <f aca="false">MIN(CADASTRO_CASAS_BOMBA!$O$10,MAX(0,Q25+CADASTRO_CASAS_BOMBA!$I$10*HORAS_CAPTACAO_DIA-P26))</f>
        <v>985565.536</v>
      </c>
      <c r="R26" s="16" t="n">
        <f aca="false">MAX(0,P26-CADASTRO_CASAS_BOMBA!$I$10*HORAS_CAPTACAO_DIA-Q25)</f>
        <v>0</v>
      </c>
      <c r="S26" s="16" t="n">
        <f aca="false">INDEX(AUX_MATRIZES!$C$13:$BP$13,MIN(N_SEMANAS,MAX(1,$C26)))/DIAS_POR_SEMANA</f>
        <v>10354.68</v>
      </c>
      <c r="T26" s="16" t="n">
        <f aca="false">MIN(CADASTRO_CASAS_BOMBA!$O$11,MAX(0,T25+CADASTRO_CASAS_BOMBA!$I$11*HORAS_CAPTACAO_DIA-S26))</f>
        <v>469821</v>
      </c>
      <c r="U26" s="16" t="n">
        <f aca="false">MAX(0,S26-CADASTRO_CASAS_BOMBA!$I$11*HORAS_CAPTACAO_DIA-T25)</f>
        <v>0</v>
      </c>
      <c r="V26" s="16" t="n">
        <f aca="false">INDEX(AUX_MATRIZES!$C$14:$BP$14,MIN(N_SEMANAS,MAX(1,$C26)))/DIAS_POR_SEMANA</f>
        <v>14463.4833127918</v>
      </c>
      <c r="W26" s="16" t="n">
        <f aca="false">MIN(CADASTRO_CASAS_BOMBA!$O$12,MAX(0,W25+CADASTRO_CASAS_BOMBA!$I$12*HORAS_CAPTACAO_DIA-V26))</f>
        <v>440000</v>
      </c>
      <c r="X26" s="16" t="n">
        <f aca="false">MAX(0,V26-CADASTRO_CASAS_BOMBA!$I$12*HORAS_CAPTACAO_DIA-W25)</f>
        <v>0</v>
      </c>
      <c r="Y26" s="16" t="n">
        <f aca="false">INDEX(AUX_MATRIZES!$C$15:$BP$15,MIN(N_SEMANAS,MAX(1,$C26)))/DIAS_POR_SEMANA</f>
        <v>0</v>
      </c>
      <c r="Z26" s="16" t="n">
        <f aca="false">MIN(CADASTRO_CASAS_BOMBA!$O$13,MAX(0,Z25+CADASTRO_CASAS_BOMBA!$I$13*HORAS_CAPTACAO_DIA-Y26))</f>
        <v>74903</v>
      </c>
      <c r="AA26" s="16" t="n">
        <f aca="false">MAX(0,Y26-CADASTRO_CASAS_BOMBA!$I$13*HORAS_CAPTACAO_DIA-Z25)</f>
        <v>0</v>
      </c>
    </row>
    <row r="27" customFormat="false" ht="15" hidden="false" customHeight="false" outlineLevel="0" collapsed="false">
      <c r="B27" s="17" t="n">
        <f aca="false">DATA_INICIO_SAFRA+20</f>
        <v>46285</v>
      </c>
      <c r="C27" s="16" t="n">
        <f aca="false">MIN(N_SEMANAS,MAX(1,INT(($B27-DATA_INICIO_SAFRA)/DIAS_POR_SEMANA)+1))</f>
        <v>3</v>
      </c>
      <c r="D27" s="16" t="n">
        <f aca="false">INDEX(AUX_MATRIZES!$C$8:$BP$8,MIN(N_SEMANAS,MAX(1,$C27)))/DIAS_POR_SEMANA</f>
        <v>0</v>
      </c>
      <c r="E27" s="16" t="n">
        <f aca="false">MIN(CADASTRO_CASAS_BOMBA!$O$6,MAX(0,E26+CADASTRO_CASAS_BOMBA!$I$6*HORAS_CAPTACAO_DIA-D27))</f>
        <v>2600</v>
      </c>
      <c r="F27" s="16" t="n">
        <f aca="false">MAX(0,D27-CADASTRO_CASAS_BOMBA!$I$6*HORAS_CAPTACAO_DIA-E26)</f>
        <v>0</v>
      </c>
      <c r="G27" s="16" t="n">
        <f aca="false">INDEX(AUX_MATRIZES!$C$9:$BP$9,MIN(N_SEMANAS,MAX(1,$C27)))/DIAS_POR_SEMANA</f>
        <v>0</v>
      </c>
      <c r="H27" s="16" t="n">
        <f aca="false">MIN(CADASTRO_CASAS_BOMBA!$O$7,MAX(0,H26+CADASTRO_CASAS_BOMBA!$I$7*HORAS_CAPTACAO_DIA-G27))</f>
        <v>76648</v>
      </c>
      <c r="I27" s="16" t="n">
        <f aca="false">MAX(0,G27-CADASTRO_CASAS_BOMBA!$I$7*HORAS_CAPTACAO_DIA-H26)</f>
        <v>0</v>
      </c>
      <c r="J27" s="16" t="n">
        <f aca="false">INDEX(AUX_MATRIZES!$C$10:$BP$10,MIN(N_SEMANAS,MAX(1,$C27)))/DIAS_POR_SEMANA</f>
        <v>0</v>
      </c>
      <c r="K27" s="16" t="n">
        <f aca="false">MIN(CADASTRO_CASAS_BOMBA!$O$8,MAX(0,K26+CADASTRO_CASAS_BOMBA!$I$8*HORAS_CAPTACAO_DIA-J27))</f>
        <v>27377</v>
      </c>
      <c r="L27" s="16" t="n">
        <f aca="false">MAX(0,J27-CADASTRO_CASAS_BOMBA!$I$8*HORAS_CAPTACAO_DIA-K26)</f>
        <v>0</v>
      </c>
      <c r="M27" s="16" t="n">
        <f aca="false">INDEX(AUX_MATRIZES!$C$11:$BP$11,MIN(N_SEMANAS,MAX(1,$C27)))/DIAS_POR_SEMANA</f>
        <v>6910.71647058823</v>
      </c>
      <c r="N27" s="16" t="n">
        <f aca="false">MIN(CADASTRO_CASAS_BOMBA!$O$9,MAX(0,N26+CADASTRO_CASAS_BOMBA!$I$9*HORAS_CAPTACAO_DIA-M27))</f>
        <v>129000</v>
      </c>
      <c r="O27" s="16" t="n">
        <f aca="false">MAX(0,M27-CADASTRO_CASAS_BOMBA!$I$9*HORAS_CAPTACAO_DIA-N26)</f>
        <v>0</v>
      </c>
      <c r="P27" s="16" t="n">
        <f aca="false">INDEX(AUX_MATRIZES!$C$12:$BP$12,MIN(N_SEMANAS,MAX(1,$C27)))/DIAS_POR_SEMANA</f>
        <v>13806.24</v>
      </c>
      <c r="Q27" s="16" t="n">
        <f aca="false">MIN(CADASTRO_CASAS_BOMBA!$O$10,MAX(0,Q26+CADASTRO_CASAS_BOMBA!$I$10*HORAS_CAPTACAO_DIA-P27))</f>
        <v>984841.696</v>
      </c>
      <c r="R27" s="16" t="n">
        <f aca="false">MAX(0,P27-CADASTRO_CASAS_BOMBA!$I$10*HORAS_CAPTACAO_DIA-Q26)</f>
        <v>0</v>
      </c>
      <c r="S27" s="16" t="n">
        <f aca="false">INDEX(AUX_MATRIZES!$C$13:$BP$13,MIN(N_SEMANAS,MAX(1,$C27)))/DIAS_POR_SEMANA</f>
        <v>10354.68</v>
      </c>
      <c r="T27" s="16" t="n">
        <f aca="false">MIN(CADASTRO_CASAS_BOMBA!$O$11,MAX(0,T26+CADASTRO_CASAS_BOMBA!$I$11*HORAS_CAPTACAO_DIA-S27))</f>
        <v>469821</v>
      </c>
      <c r="U27" s="16" t="n">
        <f aca="false">MAX(0,S27-CADASTRO_CASAS_BOMBA!$I$11*HORAS_CAPTACAO_DIA-T26)</f>
        <v>0</v>
      </c>
      <c r="V27" s="16" t="n">
        <f aca="false">INDEX(AUX_MATRIZES!$C$14:$BP$14,MIN(N_SEMANAS,MAX(1,$C27)))/DIAS_POR_SEMANA</f>
        <v>14463.4833127918</v>
      </c>
      <c r="W27" s="16" t="n">
        <f aca="false">MIN(CADASTRO_CASAS_BOMBA!$O$12,MAX(0,W26+CADASTRO_CASAS_BOMBA!$I$12*HORAS_CAPTACAO_DIA-V27))</f>
        <v>440000</v>
      </c>
      <c r="X27" s="16" t="n">
        <f aca="false">MAX(0,V27-CADASTRO_CASAS_BOMBA!$I$12*HORAS_CAPTACAO_DIA-W26)</f>
        <v>0</v>
      </c>
      <c r="Y27" s="16" t="n">
        <f aca="false">INDEX(AUX_MATRIZES!$C$15:$BP$15,MIN(N_SEMANAS,MAX(1,$C27)))/DIAS_POR_SEMANA</f>
        <v>0</v>
      </c>
      <c r="Z27" s="16" t="n">
        <f aca="false">MIN(CADASTRO_CASAS_BOMBA!$O$13,MAX(0,Z26+CADASTRO_CASAS_BOMBA!$I$13*HORAS_CAPTACAO_DIA-Y27))</f>
        <v>74903</v>
      </c>
      <c r="AA27" s="16" t="n">
        <f aca="false">MAX(0,Y27-CADASTRO_CASAS_BOMBA!$I$13*HORAS_CAPTACAO_DIA-Z26)</f>
        <v>0</v>
      </c>
    </row>
    <row r="28" customFormat="false" ht="15" hidden="false" customHeight="false" outlineLevel="0" collapsed="false">
      <c r="B28" s="17" t="n">
        <f aca="false">DATA_INICIO_SAFRA+21</f>
        <v>46286</v>
      </c>
      <c r="C28" s="16" t="n">
        <f aca="false">MIN(N_SEMANAS,MAX(1,INT(($B28-DATA_INICIO_SAFRA)/DIAS_POR_SEMANA)+1))</f>
        <v>4</v>
      </c>
      <c r="D28" s="16" t="n">
        <f aca="false">INDEX(AUX_MATRIZES!$C$8:$BP$8,MIN(N_SEMANAS,MAX(1,$C28)))/DIAS_POR_SEMANA</f>
        <v>0</v>
      </c>
      <c r="E28" s="16" t="n">
        <f aca="false">MIN(CADASTRO_CASAS_BOMBA!$O$6,MAX(0,E27+CADASTRO_CASAS_BOMBA!$I$6*HORAS_CAPTACAO_DIA-D28))</f>
        <v>2600</v>
      </c>
      <c r="F28" s="16" t="n">
        <f aca="false">MAX(0,D28-CADASTRO_CASAS_BOMBA!$I$6*HORAS_CAPTACAO_DIA-E27)</f>
        <v>0</v>
      </c>
      <c r="G28" s="16" t="n">
        <f aca="false">INDEX(AUX_MATRIZES!$C$9:$BP$9,MIN(N_SEMANAS,MAX(1,$C28)))/DIAS_POR_SEMANA</f>
        <v>0</v>
      </c>
      <c r="H28" s="16" t="n">
        <f aca="false">MIN(CADASTRO_CASAS_BOMBA!$O$7,MAX(0,H27+CADASTRO_CASAS_BOMBA!$I$7*HORAS_CAPTACAO_DIA-G28))</f>
        <v>76648</v>
      </c>
      <c r="I28" s="16" t="n">
        <f aca="false">MAX(0,G28-CADASTRO_CASAS_BOMBA!$I$7*HORAS_CAPTACAO_DIA-H27)</f>
        <v>0</v>
      </c>
      <c r="J28" s="16" t="n">
        <f aca="false">INDEX(AUX_MATRIZES!$C$10:$BP$10,MIN(N_SEMANAS,MAX(1,$C28)))/DIAS_POR_SEMANA</f>
        <v>0</v>
      </c>
      <c r="K28" s="16" t="n">
        <f aca="false">MIN(CADASTRO_CASAS_BOMBA!$O$8,MAX(0,K27+CADASTRO_CASAS_BOMBA!$I$8*HORAS_CAPTACAO_DIA-J28))</f>
        <v>27377</v>
      </c>
      <c r="L28" s="16" t="n">
        <f aca="false">MAX(0,J28-CADASTRO_CASAS_BOMBA!$I$8*HORAS_CAPTACAO_DIA-K27)</f>
        <v>0</v>
      </c>
      <c r="M28" s="16" t="n">
        <f aca="false">INDEX(AUX_MATRIZES!$C$11:$BP$11,MIN(N_SEMANAS,MAX(1,$C28)))/DIAS_POR_SEMANA</f>
        <v>6910.71647058823</v>
      </c>
      <c r="N28" s="16" t="n">
        <f aca="false">MIN(CADASTRO_CASAS_BOMBA!$O$9,MAX(0,N27+CADASTRO_CASAS_BOMBA!$I$9*HORAS_CAPTACAO_DIA-M28))</f>
        <v>129000</v>
      </c>
      <c r="O28" s="16" t="n">
        <f aca="false">MAX(0,M28-CADASTRO_CASAS_BOMBA!$I$9*HORAS_CAPTACAO_DIA-N27)</f>
        <v>0</v>
      </c>
      <c r="P28" s="16" t="n">
        <f aca="false">INDEX(AUX_MATRIZES!$C$12:$BP$12,MIN(N_SEMANAS,MAX(1,$C28)))/DIAS_POR_SEMANA</f>
        <v>13806.24</v>
      </c>
      <c r="Q28" s="16" t="n">
        <f aca="false">MIN(CADASTRO_CASAS_BOMBA!$O$10,MAX(0,Q27+CADASTRO_CASAS_BOMBA!$I$10*HORAS_CAPTACAO_DIA-P28))</f>
        <v>984117.856</v>
      </c>
      <c r="R28" s="16" t="n">
        <f aca="false">MAX(0,P28-CADASTRO_CASAS_BOMBA!$I$10*HORAS_CAPTACAO_DIA-Q27)</f>
        <v>0</v>
      </c>
      <c r="S28" s="16" t="n">
        <f aca="false">INDEX(AUX_MATRIZES!$C$13:$BP$13,MIN(N_SEMANAS,MAX(1,$C28)))/DIAS_POR_SEMANA</f>
        <v>9651.285</v>
      </c>
      <c r="T28" s="16" t="n">
        <f aca="false">MIN(CADASTRO_CASAS_BOMBA!$O$11,MAX(0,T27+CADASTRO_CASAS_BOMBA!$I$11*HORAS_CAPTACAO_DIA-S28))</f>
        <v>469821</v>
      </c>
      <c r="U28" s="16" t="n">
        <f aca="false">MAX(0,S28-CADASTRO_CASAS_BOMBA!$I$11*HORAS_CAPTACAO_DIA-T27)</f>
        <v>0</v>
      </c>
      <c r="V28" s="16" t="n">
        <f aca="false">INDEX(AUX_MATRIZES!$C$14:$BP$14,MIN(N_SEMANAS,MAX(1,$C28)))/DIAS_POR_SEMANA</f>
        <v>8326.476</v>
      </c>
      <c r="W28" s="16" t="n">
        <f aca="false">MIN(CADASTRO_CASAS_BOMBA!$O$12,MAX(0,W27+CADASTRO_CASAS_BOMBA!$I$12*HORAS_CAPTACAO_DIA-V28))</f>
        <v>440000</v>
      </c>
      <c r="X28" s="16" t="n">
        <f aca="false">MAX(0,V28-CADASTRO_CASAS_BOMBA!$I$12*HORAS_CAPTACAO_DIA-W27)</f>
        <v>0</v>
      </c>
      <c r="Y28" s="16" t="n">
        <f aca="false">INDEX(AUX_MATRIZES!$C$15:$BP$15,MIN(N_SEMANAS,MAX(1,$C28)))/DIAS_POR_SEMANA</f>
        <v>0</v>
      </c>
      <c r="Z28" s="16" t="n">
        <f aca="false">MIN(CADASTRO_CASAS_BOMBA!$O$13,MAX(0,Z27+CADASTRO_CASAS_BOMBA!$I$13*HORAS_CAPTACAO_DIA-Y28))</f>
        <v>74903</v>
      </c>
      <c r="AA28" s="16" t="n">
        <f aca="false">MAX(0,Y28-CADASTRO_CASAS_BOMBA!$I$13*HORAS_CAPTACAO_DIA-Z27)</f>
        <v>0</v>
      </c>
    </row>
    <row r="29" customFormat="false" ht="15" hidden="false" customHeight="false" outlineLevel="0" collapsed="false">
      <c r="B29" s="17" t="n">
        <f aca="false">DATA_INICIO_SAFRA+22</f>
        <v>46287</v>
      </c>
      <c r="C29" s="16" t="n">
        <f aca="false">MIN(N_SEMANAS,MAX(1,INT(($B29-DATA_INICIO_SAFRA)/DIAS_POR_SEMANA)+1))</f>
        <v>4</v>
      </c>
      <c r="D29" s="16" t="n">
        <f aca="false">INDEX(AUX_MATRIZES!$C$8:$BP$8,MIN(N_SEMANAS,MAX(1,$C29)))/DIAS_POR_SEMANA</f>
        <v>0</v>
      </c>
      <c r="E29" s="16" t="n">
        <f aca="false">MIN(CADASTRO_CASAS_BOMBA!$O$6,MAX(0,E28+CADASTRO_CASAS_BOMBA!$I$6*HORAS_CAPTACAO_DIA-D29))</f>
        <v>2600</v>
      </c>
      <c r="F29" s="16" t="n">
        <f aca="false">MAX(0,D29-CADASTRO_CASAS_BOMBA!$I$6*HORAS_CAPTACAO_DIA-E28)</f>
        <v>0</v>
      </c>
      <c r="G29" s="16" t="n">
        <f aca="false">INDEX(AUX_MATRIZES!$C$9:$BP$9,MIN(N_SEMANAS,MAX(1,$C29)))/DIAS_POR_SEMANA</f>
        <v>0</v>
      </c>
      <c r="H29" s="16" t="n">
        <f aca="false">MIN(CADASTRO_CASAS_BOMBA!$O$7,MAX(0,H28+CADASTRO_CASAS_BOMBA!$I$7*HORAS_CAPTACAO_DIA-G29))</f>
        <v>76648</v>
      </c>
      <c r="I29" s="16" t="n">
        <f aca="false">MAX(0,G29-CADASTRO_CASAS_BOMBA!$I$7*HORAS_CAPTACAO_DIA-H28)</f>
        <v>0</v>
      </c>
      <c r="J29" s="16" t="n">
        <f aca="false">INDEX(AUX_MATRIZES!$C$10:$BP$10,MIN(N_SEMANAS,MAX(1,$C29)))/DIAS_POR_SEMANA</f>
        <v>0</v>
      </c>
      <c r="K29" s="16" t="n">
        <f aca="false">MIN(CADASTRO_CASAS_BOMBA!$O$8,MAX(0,K28+CADASTRO_CASAS_BOMBA!$I$8*HORAS_CAPTACAO_DIA-J29))</f>
        <v>27377</v>
      </c>
      <c r="L29" s="16" t="n">
        <f aca="false">MAX(0,J29-CADASTRO_CASAS_BOMBA!$I$8*HORAS_CAPTACAO_DIA-K28)</f>
        <v>0</v>
      </c>
      <c r="M29" s="16" t="n">
        <f aca="false">INDEX(AUX_MATRIZES!$C$11:$BP$11,MIN(N_SEMANAS,MAX(1,$C29)))/DIAS_POR_SEMANA</f>
        <v>6910.71647058823</v>
      </c>
      <c r="N29" s="16" t="n">
        <f aca="false">MIN(CADASTRO_CASAS_BOMBA!$O$9,MAX(0,N28+CADASTRO_CASAS_BOMBA!$I$9*HORAS_CAPTACAO_DIA-M29))</f>
        <v>129000</v>
      </c>
      <c r="O29" s="16" t="n">
        <f aca="false">MAX(0,M29-CADASTRO_CASAS_BOMBA!$I$9*HORAS_CAPTACAO_DIA-N28)</f>
        <v>0</v>
      </c>
      <c r="P29" s="16" t="n">
        <f aca="false">INDEX(AUX_MATRIZES!$C$12:$BP$12,MIN(N_SEMANAS,MAX(1,$C29)))/DIAS_POR_SEMANA</f>
        <v>13806.24</v>
      </c>
      <c r="Q29" s="16" t="n">
        <f aca="false">MIN(CADASTRO_CASAS_BOMBA!$O$10,MAX(0,Q28+CADASTRO_CASAS_BOMBA!$I$10*HORAS_CAPTACAO_DIA-P29))</f>
        <v>983394.016</v>
      </c>
      <c r="R29" s="16" t="n">
        <f aca="false">MAX(0,P29-CADASTRO_CASAS_BOMBA!$I$10*HORAS_CAPTACAO_DIA-Q28)</f>
        <v>0</v>
      </c>
      <c r="S29" s="16" t="n">
        <f aca="false">INDEX(AUX_MATRIZES!$C$13:$BP$13,MIN(N_SEMANAS,MAX(1,$C29)))/DIAS_POR_SEMANA</f>
        <v>9651.285</v>
      </c>
      <c r="T29" s="16" t="n">
        <f aca="false">MIN(CADASTRO_CASAS_BOMBA!$O$11,MAX(0,T28+CADASTRO_CASAS_BOMBA!$I$11*HORAS_CAPTACAO_DIA-S29))</f>
        <v>469821</v>
      </c>
      <c r="U29" s="16" t="n">
        <f aca="false">MAX(0,S29-CADASTRO_CASAS_BOMBA!$I$11*HORAS_CAPTACAO_DIA-T28)</f>
        <v>0</v>
      </c>
      <c r="V29" s="16" t="n">
        <f aca="false">INDEX(AUX_MATRIZES!$C$14:$BP$14,MIN(N_SEMANAS,MAX(1,$C29)))/DIAS_POR_SEMANA</f>
        <v>8326.476</v>
      </c>
      <c r="W29" s="16" t="n">
        <f aca="false">MIN(CADASTRO_CASAS_BOMBA!$O$12,MAX(0,W28+CADASTRO_CASAS_BOMBA!$I$12*HORAS_CAPTACAO_DIA-V29))</f>
        <v>440000</v>
      </c>
      <c r="X29" s="16" t="n">
        <f aca="false">MAX(0,V29-CADASTRO_CASAS_BOMBA!$I$12*HORAS_CAPTACAO_DIA-W28)</f>
        <v>0</v>
      </c>
      <c r="Y29" s="16" t="n">
        <f aca="false">INDEX(AUX_MATRIZES!$C$15:$BP$15,MIN(N_SEMANAS,MAX(1,$C29)))/DIAS_POR_SEMANA</f>
        <v>0</v>
      </c>
      <c r="Z29" s="16" t="n">
        <f aca="false">MIN(CADASTRO_CASAS_BOMBA!$O$13,MAX(0,Z28+CADASTRO_CASAS_BOMBA!$I$13*HORAS_CAPTACAO_DIA-Y29))</f>
        <v>74903</v>
      </c>
      <c r="AA29" s="16" t="n">
        <f aca="false">MAX(0,Y29-CADASTRO_CASAS_BOMBA!$I$13*HORAS_CAPTACAO_DIA-Z28)</f>
        <v>0</v>
      </c>
    </row>
    <row r="30" customFormat="false" ht="15" hidden="false" customHeight="false" outlineLevel="0" collapsed="false">
      <c r="B30" s="17" t="n">
        <f aca="false">DATA_INICIO_SAFRA+23</f>
        <v>46288</v>
      </c>
      <c r="C30" s="16" t="n">
        <f aca="false">MIN(N_SEMANAS,MAX(1,INT(($B30-DATA_INICIO_SAFRA)/DIAS_POR_SEMANA)+1))</f>
        <v>4</v>
      </c>
      <c r="D30" s="16" t="n">
        <f aca="false">INDEX(AUX_MATRIZES!$C$8:$BP$8,MIN(N_SEMANAS,MAX(1,$C30)))/DIAS_POR_SEMANA</f>
        <v>0</v>
      </c>
      <c r="E30" s="16" t="n">
        <f aca="false">MIN(CADASTRO_CASAS_BOMBA!$O$6,MAX(0,E29+CADASTRO_CASAS_BOMBA!$I$6*HORAS_CAPTACAO_DIA-D30))</f>
        <v>2600</v>
      </c>
      <c r="F30" s="16" t="n">
        <f aca="false">MAX(0,D30-CADASTRO_CASAS_BOMBA!$I$6*HORAS_CAPTACAO_DIA-E29)</f>
        <v>0</v>
      </c>
      <c r="G30" s="16" t="n">
        <f aca="false">INDEX(AUX_MATRIZES!$C$9:$BP$9,MIN(N_SEMANAS,MAX(1,$C30)))/DIAS_POR_SEMANA</f>
        <v>0</v>
      </c>
      <c r="H30" s="16" t="n">
        <f aca="false">MIN(CADASTRO_CASAS_BOMBA!$O$7,MAX(0,H29+CADASTRO_CASAS_BOMBA!$I$7*HORAS_CAPTACAO_DIA-G30))</f>
        <v>76648</v>
      </c>
      <c r="I30" s="16" t="n">
        <f aca="false">MAX(0,G30-CADASTRO_CASAS_BOMBA!$I$7*HORAS_CAPTACAO_DIA-H29)</f>
        <v>0</v>
      </c>
      <c r="J30" s="16" t="n">
        <f aca="false">INDEX(AUX_MATRIZES!$C$10:$BP$10,MIN(N_SEMANAS,MAX(1,$C30)))/DIAS_POR_SEMANA</f>
        <v>0</v>
      </c>
      <c r="K30" s="16" t="n">
        <f aca="false">MIN(CADASTRO_CASAS_BOMBA!$O$8,MAX(0,K29+CADASTRO_CASAS_BOMBA!$I$8*HORAS_CAPTACAO_DIA-J30))</f>
        <v>27377</v>
      </c>
      <c r="L30" s="16" t="n">
        <f aca="false">MAX(0,J30-CADASTRO_CASAS_BOMBA!$I$8*HORAS_CAPTACAO_DIA-K29)</f>
        <v>0</v>
      </c>
      <c r="M30" s="16" t="n">
        <f aca="false">INDEX(AUX_MATRIZES!$C$11:$BP$11,MIN(N_SEMANAS,MAX(1,$C30)))/DIAS_POR_SEMANA</f>
        <v>6910.71647058823</v>
      </c>
      <c r="N30" s="16" t="n">
        <f aca="false">MIN(CADASTRO_CASAS_BOMBA!$O$9,MAX(0,N29+CADASTRO_CASAS_BOMBA!$I$9*HORAS_CAPTACAO_DIA-M30))</f>
        <v>129000</v>
      </c>
      <c r="O30" s="16" t="n">
        <f aca="false">MAX(0,M30-CADASTRO_CASAS_BOMBA!$I$9*HORAS_CAPTACAO_DIA-N29)</f>
        <v>0</v>
      </c>
      <c r="P30" s="16" t="n">
        <f aca="false">INDEX(AUX_MATRIZES!$C$12:$BP$12,MIN(N_SEMANAS,MAX(1,$C30)))/DIAS_POR_SEMANA</f>
        <v>13806.24</v>
      </c>
      <c r="Q30" s="16" t="n">
        <f aca="false">MIN(CADASTRO_CASAS_BOMBA!$O$10,MAX(0,Q29+CADASTRO_CASAS_BOMBA!$I$10*HORAS_CAPTACAO_DIA-P30))</f>
        <v>982670.176</v>
      </c>
      <c r="R30" s="16" t="n">
        <f aca="false">MAX(0,P30-CADASTRO_CASAS_BOMBA!$I$10*HORAS_CAPTACAO_DIA-Q29)</f>
        <v>0</v>
      </c>
      <c r="S30" s="16" t="n">
        <f aca="false">INDEX(AUX_MATRIZES!$C$13:$BP$13,MIN(N_SEMANAS,MAX(1,$C30)))/DIAS_POR_SEMANA</f>
        <v>9651.285</v>
      </c>
      <c r="T30" s="16" t="n">
        <f aca="false">MIN(CADASTRO_CASAS_BOMBA!$O$11,MAX(0,T29+CADASTRO_CASAS_BOMBA!$I$11*HORAS_CAPTACAO_DIA-S30))</f>
        <v>469821</v>
      </c>
      <c r="U30" s="16" t="n">
        <f aca="false">MAX(0,S30-CADASTRO_CASAS_BOMBA!$I$11*HORAS_CAPTACAO_DIA-T29)</f>
        <v>0</v>
      </c>
      <c r="V30" s="16" t="n">
        <f aca="false">INDEX(AUX_MATRIZES!$C$14:$BP$14,MIN(N_SEMANAS,MAX(1,$C30)))/DIAS_POR_SEMANA</f>
        <v>8326.476</v>
      </c>
      <c r="W30" s="16" t="n">
        <f aca="false">MIN(CADASTRO_CASAS_BOMBA!$O$12,MAX(0,W29+CADASTRO_CASAS_BOMBA!$I$12*HORAS_CAPTACAO_DIA-V30))</f>
        <v>440000</v>
      </c>
      <c r="X30" s="16" t="n">
        <f aca="false">MAX(0,V30-CADASTRO_CASAS_BOMBA!$I$12*HORAS_CAPTACAO_DIA-W29)</f>
        <v>0</v>
      </c>
      <c r="Y30" s="16" t="n">
        <f aca="false">INDEX(AUX_MATRIZES!$C$15:$BP$15,MIN(N_SEMANAS,MAX(1,$C30)))/DIAS_POR_SEMANA</f>
        <v>0</v>
      </c>
      <c r="Z30" s="16" t="n">
        <f aca="false">MIN(CADASTRO_CASAS_BOMBA!$O$13,MAX(0,Z29+CADASTRO_CASAS_BOMBA!$I$13*HORAS_CAPTACAO_DIA-Y30))</f>
        <v>74903</v>
      </c>
      <c r="AA30" s="16" t="n">
        <f aca="false">MAX(0,Y30-CADASTRO_CASAS_BOMBA!$I$13*HORAS_CAPTACAO_DIA-Z29)</f>
        <v>0</v>
      </c>
    </row>
    <row r="31" customFormat="false" ht="15" hidden="false" customHeight="false" outlineLevel="0" collapsed="false">
      <c r="B31" s="17" t="n">
        <f aca="false">DATA_INICIO_SAFRA+24</f>
        <v>46289</v>
      </c>
      <c r="C31" s="16" t="n">
        <f aca="false">MIN(N_SEMANAS,MAX(1,INT(($B31-DATA_INICIO_SAFRA)/DIAS_POR_SEMANA)+1))</f>
        <v>4</v>
      </c>
      <c r="D31" s="16" t="n">
        <f aca="false">INDEX(AUX_MATRIZES!$C$8:$BP$8,MIN(N_SEMANAS,MAX(1,$C31)))/DIAS_POR_SEMANA</f>
        <v>0</v>
      </c>
      <c r="E31" s="16" t="n">
        <f aca="false">MIN(CADASTRO_CASAS_BOMBA!$O$6,MAX(0,E30+CADASTRO_CASAS_BOMBA!$I$6*HORAS_CAPTACAO_DIA-D31))</f>
        <v>2600</v>
      </c>
      <c r="F31" s="16" t="n">
        <f aca="false">MAX(0,D31-CADASTRO_CASAS_BOMBA!$I$6*HORAS_CAPTACAO_DIA-E30)</f>
        <v>0</v>
      </c>
      <c r="G31" s="16" t="n">
        <f aca="false">INDEX(AUX_MATRIZES!$C$9:$BP$9,MIN(N_SEMANAS,MAX(1,$C31)))/DIAS_POR_SEMANA</f>
        <v>0</v>
      </c>
      <c r="H31" s="16" t="n">
        <f aca="false">MIN(CADASTRO_CASAS_BOMBA!$O$7,MAX(0,H30+CADASTRO_CASAS_BOMBA!$I$7*HORAS_CAPTACAO_DIA-G31))</f>
        <v>76648</v>
      </c>
      <c r="I31" s="16" t="n">
        <f aca="false">MAX(0,G31-CADASTRO_CASAS_BOMBA!$I$7*HORAS_CAPTACAO_DIA-H30)</f>
        <v>0</v>
      </c>
      <c r="J31" s="16" t="n">
        <f aca="false">INDEX(AUX_MATRIZES!$C$10:$BP$10,MIN(N_SEMANAS,MAX(1,$C31)))/DIAS_POR_SEMANA</f>
        <v>0</v>
      </c>
      <c r="K31" s="16" t="n">
        <f aca="false">MIN(CADASTRO_CASAS_BOMBA!$O$8,MAX(0,K30+CADASTRO_CASAS_BOMBA!$I$8*HORAS_CAPTACAO_DIA-J31))</f>
        <v>27377</v>
      </c>
      <c r="L31" s="16" t="n">
        <f aca="false">MAX(0,J31-CADASTRO_CASAS_BOMBA!$I$8*HORAS_CAPTACAO_DIA-K30)</f>
        <v>0</v>
      </c>
      <c r="M31" s="16" t="n">
        <f aca="false">INDEX(AUX_MATRIZES!$C$11:$BP$11,MIN(N_SEMANAS,MAX(1,$C31)))/DIAS_POR_SEMANA</f>
        <v>6910.71647058823</v>
      </c>
      <c r="N31" s="16" t="n">
        <f aca="false">MIN(CADASTRO_CASAS_BOMBA!$O$9,MAX(0,N30+CADASTRO_CASAS_BOMBA!$I$9*HORAS_CAPTACAO_DIA-M31))</f>
        <v>129000</v>
      </c>
      <c r="O31" s="16" t="n">
        <f aca="false">MAX(0,M31-CADASTRO_CASAS_BOMBA!$I$9*HORAS_CAPTACAO_DIA-N30)</f>
        <v>0</v>
      </c>
      <c r="P31" s="16" t="n">
        <f aca="false">INDEX(AUX_MATRIZES!$C$12:$BP$12,MIN(N_SEMANAS,MAX(1,$C31)))/DIAS_POR_SEMANA</f>
        <v>13806.24</v>
      </c>
      <c r="Q31" s="16" t="n">
        <f aca="false">MIN(CADASTRO_CASAS_BOMBA!$O$10,MAX(0,Q30+CADASTRO_CASAS_BOMBA!$I$10*HORAS_CAPTACAO_DIA-P31))</f>
        <v>981946.336000001</v>
      </c>
      <c r="R31" s="16" t="n">
        <f aca="false">MAX(0,P31-CADASTRO_CASAS_BOMBA!$I$10*HORAS_CAPTACAO_DIA-Q30)</f>
        <v>0</v>
      </c>
      <c r="S31" s="16" t="n">
        <f aca="false">INDEX(AUX_MATRIZES!$C$13:$BP$13,MIN(N_SEMANAS,MAX(1,$C31)))/DIAS_POR_SEMANA</f>
        <v>9651.285</v>
      </c>
      <c r="T31" s="16" t="n">
        <f aca="false">MIN(CADASTRO_CASAS_BOMBA!$O$11,MAX(0,T30+CADASTRO_CASAS_BOMBA!$I$11*HORAS_CAPTACAO_DIA-S31))</f>
        <v>469821</v>
      </c>
      <c r="U31" s="16" t="n">
        <f aca="false">MAX(0,S31-CADASTRO_CASAS_BOMBA!$I$11*HORAS_CAPTACAO_DIA-T30)</f>
        <v>0</v>
      </c>
      <c r="V31" s="16" t="n">
        <f aca="false">INDEX(AUX_MATRIZES!$C$14:$BP$14,MIN(N_SEMANAS,MAX(1,$C31)))/DIAS_POR_SEMANA</f>
        <v>8326.476</v>
      </c>
      <c r="W31" s="16" t="n">
        <f aca="false">MIN(CADASTRO_CASAS_BOMBA!$O$12,MAX(0,W30+CADASTRO_CASAS_BOMBA!$I$12*HORAS_CAPTACAO_DIA-V31))</f>
        <v>440000</v>
      </c>
      <c r="X31" s="16" t="n">
        <f aca="false">MAX(0,V31-CADASTRO_CASAS_BOMBA!$I$12*HORAS_CAPTACAO_DIA-W30)</f>
        <v>0</v>
      </c>
      <c r="Y31" s="16" t="n">
        <f aca="false">INDEX(AUX_MATRIZES!$C$15:$BP$15,MIN(N_SEMANAS,MAX(1,$C31)))/DIAS_POR_SEMANA</f>
        <v>0</v>
      </c>
      <c r="Z31" s="16" t="n">
        <f aca="false">MIN(CADASTRO_CASAS_BOMBA!$O$13,MAX(0,Z30+CADASTRO_CASAS_BOMBA!$I$13*HORAS_CAPTACAO_DIA-Y31))</f>
        <v>74903</v>
      </c>
      <c r="AA31" s="16" t="n">
        <f aca="false">MAX(0,Y31-CADASTRO_CASAS_BOMBA!$I$13*HORAS_CAPTACAO_DIA-Z30)</f>
        <v>0</v>
      </c>
    </row>
    <row r="32" customFormat="false" ht="15" hidden="false" customHeight="false" outlineLevel="0" collapsed="false">
      <c r="B32" s="17" t="n">
        <f aca="false">DATA_INICIO_SAFRA+25</f>
        <v>46290</v>
      </c>
      <c r="C32" s="16" t="n">
        <f aca="false">MIN(N_SEMANAS,MAX(1,INT(($B32-DATA_INICIO_SAFRA)/DIAS_POR_SEMANA)+1))</f>
        <v>4</v>
      </c>
      <c r="D32" s="16" t="n">
        <f aca="false">INDEX(AUX_MATRIZES!$C$8:$BP$8,MIN(N_SEMANAS,MAX(1,$C32)))/DIAS_POR_SEMANA</f>
        <v>0</v>
      </c>
      <c r="E32" s="16" t="n">
        <f aca="false">MIN(CADASTRO_CASAS_BOMBA!$O$6,MAX(0,E31+CADASTRO_CASAS_BOMBA!$I$6*HORAS_CAPTACAO_DIA-D32))</f>
        <v>2600</v>
      </c>
      <c r="F32" s="16" t="n">
        <f aca="false">MAX(0,D32-CADASTRO_CASAS_BOMBA!$I$6*HORAS_CAPTACAO_DIA-E31)</f>
        <v>0</v>
      </c>
      <c r="G32" s="16" t="n">
        <f aca="false">INDEX(AUX_MATRIZES!$C$9:$BP$9,MIN(N_SEMANAS,MAX(1,$C32)))/DIAS_POR_SEMANA</f>
        <v>0</v>
      </c>
      <c r="H32" s="16" t="n">
        <f aca="false">MIN(CADASTRO_CASAS_BOMBA!$O$7,MAX(0,H31+CADASTRO_CASAS_BOMBA!$I$7*HORAS_CAPTACAO_DIA-G32))</f>
        <v>76648</v>
      </c>
      <c r="I32" s="16" t="n">
        <f aca="false">MAX(0,G32-CADASTRO_CASAS_BOMBA!$I$7*HORAS_CAPTACAO_DIA-H31)</f>
        <v>0</v>
      </c>
      <c r="J32" s="16" t="n">
        <f aca="false">INDEX(AUX_MATRIZES!$C$10:$BP$10,MIN(N_SEMANAS,MAX(1,$C32)))/DIAS_POR_SEMANA</f>
        <v>0</v>
      </c>
      <c r="K32" s="16" t="n">
        <f aca="false">MIN(CADASTRO_CASAS_BOMBA!$O$8,MAX(0,K31+CADASTRO_CASAS_BOMBA!$I$8*HORAS_CAPTACAO_DIA-J32))</f>
        <v>27377</v>
      </c>
      <c r="L32" s="16" t="n">
        <f aca="false">MAX(0,J32-CADASTRO_CASAS_BOMBA!$I$8*HORAS_CAPTACAO_DIA-K31)</f>
        <v>0</v>
      </c>
      <c r="M32" s="16" t="n">
        <f aca="false">INDEX(AUX_MATRIZES!$C$11:$BP$11,MIN(N_SEMANAS,MAX(1,$C32)))/DIAS_POR_SEMANA</f>
        <v>6910.71647058823</v>
      </c>
      <c r="N32" s="16" t="n">
        <f aca="false">MIN(CADASTRO_CASAS_BOMBA!$O$9,MAX(0,N31+CADASTRO_CASAS_BOMBA!$I$9*HORAS_CAPTACAO_DIA-M32))</f>
        <v>129000</v>
      </c>
      <c r="O32" s="16" t="n">
        <f aca="false">MAX(0,M32-CADASTRO_CASAS_BOMBA!$I$9*HORAS_CAPTACAO_DIA-N31)</f>
        <v>0</v>
      </c>
      <c r="P32" s="16" t="n">
        <f aca="false">INDEX(AUX_MATRIZES!$C$12:$BP$12,MIN(N_SEMANAS,MAX(1,$C32)))/DIAS_POR_SEMANA</f>
        <v>13806.24</v>
      </c>
      <c r="Q32" s="16" t="n">
        <f aca="false">MIN(CADASTRO_CASAS_BOMBA!$O$10,MAX(0,Q31+CADASTRO_CASAS_BOMBA!$I$10*HORAS_CAPTACAO_DIA-P32))</f>
        <v>981222.496000001</v>
      </c>
      <c r="R32" s="16" t="n">
        <f aca="false">MAX(0,P32-CADASTRO_CASAS_BOMBA!$I$10*HORAS_CAPTACAO_DIA-Q31)</f>
        <v>0</v>
      </c>
      <c r="S32" s="16" t="n">
        <f aca="false">INDEX(AUX_MATRIZES!$C$13:$BP$13,MIN(N_SEMANAS,MAX(1,$C32)))/DIAS_POR_SEMANA</f>
        <v>9651.285</v>
      </c>
      <c r="T32" s="16" t="n">
        <f aca="false">MIN(CADASTRO_CASAS_BOMBA!$O$11,MAX(0,T31+CADASTRO_CASAS_BOMBA!$I$11*HORAS_CAPTACAO_DIA-S32))</f>
        <v>469821</v>
      </c>
      <c r="U32" s="16" t="n">
        <f aca="false">MAX(0,S32-CADASTRO_CASAS_BOMBA!$I$11*HORAS_CAPTACAO_DIA-T31)</f>
        <v>0</v>
      </c>
      <c r="V32" s="16" t="n">
        <f aca="false">INDEX(AUX_MATRIZES!$C$14:$BP$14,MIN(N_SEMANAS,MAX(1,$C32)))/DIAS_POR_SEMANA</f>
        <v>8326.476</v>
      </c>
      <c r="W32" s="16" t="n">
        <f aca="false">MIN(CADASTRO_CASAS_BOMBA!$O$12,MAX(0,W31+CADASTRO_CASAS_BOMBA!$I$12*HORAS_CAPTACAO_DIA-V32))</f>
        <v>440000</v>
      </c>
      <c r="X32" s="16" t="n">
        <f aca="false">MAX(0,V32-CADASTRO_CASAS_BOMBA!$I$12*HORAS_CAPTACAO_DIA-W31)</f>
        <v>0</v>
      </c>
      <c r="Y32" s="16" t="n">
        <f aca="false">INDEX(AUX_MATRIZES!$C$15:$BP$15,MIN(N_SEMANAS,MAX(1,$C32)))/DIAS_POR_SEMANA</f>
        <v>0</v>
      </c>
      <c r="Z32" s="16" t="n">
        <f aca="false">MIN(CADASTRO_CASAS_BOMBA!$O$13,MAX(0,Z31+CADASTRO_CASAS_BOMBA!$I$13*HORAS_CAPTACAO_DIA-Y32))</f>
        <v>74903</v>
      </c>
      <c r="AA32" s="16" t="n">
        <f aca="false">MAX(0,Y32-CADASTRO_CASAS_BOMBA!$I$13*HORAS_CAPTACAO_DIA-Z31)</f>
        <v>0</v>
      </c>
    </row>
    <row r="33" customFormat="false" ht="15" hidden="false" customHeight="false" outlineLevel="0" collapsed="false">
      <c r="B33" s="17" t="n">
        <f aca="false">DATA_INICIO_SAFRA+26</f>
        <v>46291</v>
      </c>
      <c r="C33" s="16" t="n">
        <f aca="false">MIN(N_SEMANAS,MAX(1,INT(($B33-DATA_INICIO_SAFRA)/DIAS_POR_SEMANA)+1))</f>
        <v>4</v>
      </c>
      <c r="D33" s="16" t="n">
        <f aca="false">INDEX(AUX_MATRIZES!$C$8:$BP$8,MIN(N_SEMANAS,MAX(1,$C33)))/DIAS_POR_SEMANA</f>
        <v>0</v>
      </c>
      <c r="E33" s="16" t="n">
        <f aca="false">MIN(CADASTRO_CASAS_BOMBA!$O$6,MAX(0,E32+CADASTRO_CASAS_BOMBA!$I$6*HORAS_CAPTACAO_DIA-D33))</f>
        <v>2600</v>
      </c>
      <c r="F33" s="16" t="n">
        <f aca="false">MAX(0,D33-CADASTRO_CASAS_BOMBA!$I$6*HORAS_CAPTACAO_DIA-E32)</f>
        <v>0</v>
      </c>
      <c r="G33" s="16" t="n">
        <f aca="false">INDEX(AUX_MATRIZES!$C$9:$BP$9,MIN(N_SEMANAS,MAX(1,$C33)))/DIAS_POR_SEMANA</f>
        <v>0</v>
      </c>
      <c r="H33" s="16" t="n">
        <f aca="false">MIN(CADASTRO_CASAS_BOMBA!$O$7,MAX(0,H32+CADASTRO_CASAS_BOMBA!$I$7*HORAS_CAPTACAO_DIA-G33))</f>
        <v>76648</v>
      </c>
      <c r="I33" s="16" t="n">
        <f aca="false">MAX(0,G33-CADASTRO_CASAS_BOMBA!$I$7*HORAS_CAPTACAO_DIA-H32)</f>
        <v>0</v>
      </c>
      <c r="J33" s="16" t="n">
        <f aca="false">INDEX(AUX_MATRIZES!$C$10:$BP$10,MIN(N_SEMANAS,MAX(1,$C33)))/DIAS_POR_SEMANA</f>
        <v>0</v>
      </c>
      <c r="K33" s="16" t="n">
        <f aca="false">MIN(CADASTRO_CASAS_BOMBA!$O$8,MAX(0,K32+CADASTRO_CASAS_BOMBA!$I$8*HORAS_CAPTACAO_DIA-J33))</f>
        <v>27377</v>
      </c>
      <c r="L33" s="16" t="n">
        <f aca="false">MAX(0,J33-CADASTRO_CASAS_BOMBA!$I$8*HORAS_CAPTACAO_DIA-K32)</f>
        <v>0</v>
      </c>
      <c r="M33" s="16" t="n">
        <f aca="false">INDEX(AUX_MATRIZES!$C$11:$BP$11,MIN(N_SEMANAS,MAX(1,$C33)))/DIAS_POR_SEMANA</f>
        <v>6910.71647058823</v>
      </c>
      <c r="N33" s="16" t="n">
        <f aca="false">MIN(CADASTRO_CASAS_BOMBA!$O$9,MAX(0,N32+CADASTRO_CASAS_BOMBA!$I$9*HORAS_CAPTACAO_DIA-M33))</f>
        <v>129000</v>
      </c>
      <c r="O33" s="16" t="n">
        <f aca="false">MAX(0,M33-CADASTRO_CASAS_BOMBA!$I$9*HORAS_CAPTACAO_DIA-N32)</f>
        <v>0</v>
      </c>
      <c r="P33" s="16" t="n">
        <f aca="false">INDEX(AUX_MATRIZES!$C$12:$BP$12,MIN(N_SEMANAS,MAX(1,$C33)))/DIAS_POR_SEMANA</f>
        <v>13806.24</v>
      </c>
      <c r="Q33" s="16" t="n">
        <f aca="false">MIN(CADASTRO_CASAS_BOMBA!$O$10,MAX(0,Q32+CADASTRO_CASAS_BOMBA!$I$10*HORAS_CAPTACAO_DIA-P33))</f>
        <v>980498.656000001</v>
      </c>
      <c r="R33" s="16" t="n">
        <f aca="false">MAX(0,P33-CADASTRO_CASAS_BOMBA!$I$10*HORAS_CAPTACAO_DIA-Q32)</f>
        <v>0</v>
      </c>
      <c r="S33" s="16" t="n">
        <f aca="false">INDEX(AUX_MATRIZES!$C$13:$BP$13,MIN(N_SEMANAS,MAX(1,$C33)))/DIAS_POR_SEMANA</f>
        <v>9651.285</v>
      </c>
      <c r="T33" s="16" t="n">
        <f aca="false">MIN(CADASTRO_CASAS_BOMBA!$O$11,MAX(0,T32+CADASTRO_CASAS_BOMBA!$I$11*HORAS_CAPTACAO_DIA-S33))</f>
        <v>469821</v>
      </c>
      <c r="U33" s="16" t="n">
        <f aca="false">MAX(0,S33-CADASTRO_CASAS_BOMBA!$I$11*HORAS_CAPTACAO_DIA-T32)</f>
        <v>0</v>
      </c>
      <c r="V33" s="16" t="n">
        <f aca="false">INDEX(AUX_MATRIZES!$C$14:$BP$14,MIN(N_SEMANAS,MAX(1,$C33)))/DIAS_POR_SEMANA</f>
        <v>8326.476</v>
      </c>
      <c r="W33" s="16" t="n">
        <f aca="false">MIN(CADASTRO_CASAS_BOMBA!$O$12,MAX(0,W32+CADASTRO_CASAS_BOMBA!$I$12*HORAS_CAPTACAO_DIA-V33))</f>
        <v>440000</v>
      </c>
      <c r="X33" s="16" t="n">
        <f aca="false">MAX(0,V33-CADASTRO_CASAS_BOMBA!$I$12*HORAS_CAPTACAO_DIA-W32)</f>
        <v>0</v>
      </c>
      <c r="Y33" s="16" t="n">
        <f aca="false">INDEX(AUX_MATRIZES!$C$15:$BP$15,MIN(N_SEMANAS,MAX(1,$C33)))/DIAS_POR_SEMANA</f>
        <v>0</v>
      </c>
      <c r="Z33" s="16" t="n">
        <f aca="false">MIN(CADASTRO_CASAS_BOMBA!$O$13,MAX(0,Z32+CADASTRO_CASAS_BOMBA!$I$13*HORAS_CAPTACAO_DIA-Y33))</f>
        <v>74903</v>
      </c>
      <c r="AA33" s="16" t="n">
        <f aca="false">MAX(0,Y33-CADASTRO_CASAS_BOMBA!$I$13*HORAS_CAPTACAO_DIA-Z32)</f>
        <v>0</v>
      </c>
    </row>
    <row r="34" customFormat="false" ht="15" hidden="false" customHeight="false" outlineLevel="0" collapsed="false">
      <c r="B34" s="17" t="n">
        <f aca="false">DATA_INICIO_SAFRA+27</f>
        <v>46292</v>
      </c>
      <c r="C34" s="16" t="n">
        <f aca="false">MIN(N_SEMANAS,MAX(1,INT(($B34-DATA_INICIO_SAFRA)/DIAS_POR_SEMANA)+1))</f>
        <v>4</v>
      </c>
      <c r="D34" s="16" t="n">
        <f aca="false">INDEX(AUX_MATRIZES!$C$8:$BP$8,MIN(N_SEMANAS,MAX(1,$C34)))/DIAS_POR_SEMANA</f>
        <v>0</v>
      </c>
      <c r="E34" s="16" t="n">
        <f aca="false">MIN(CADASTRO_CASAS_BOMBA!$O$6,MAX(0,E33+CADASTRO_CASAS_BOMBA!$I$6*HORAS_CAPTACAO_DIA-D34))</f>
        <v>2600</v>
      </c>
      <c r="F34" s="16" t="n">
        <f aca="false">MAX(0,D34-CADASTRO_CASAS_BOMBA!$I$6*HORAS_CAPTACAO_DIA-E33)</f>
        <v>0</v>
      </c>
      <c r="G34" s="16" t="n">
        <f aca="false">INDEX(AUX_MATRIZES!$C$9:$BP$9,MIN(N_SEMANAS,MAX(1,$C34)))/DIAS_POR_SEMANA</f>
        <v>0</v>
      </c>
      <c r="H34" s="16" t="n">
        <f aca="false">MIN(CADASTRO_CASAS_BOMBA!$O$7,MAX(0,H33+CADASTRO_CASAS_BOMBA!$I$7*HORAS_CAPTACAO_DIA-G34))</f>
        <v>76648</v>
      </c>
      <c r="I34" s="16" t="n">
        <f aca="false">MAX(0,G34-CADASTRO_CASAS_BOMBA!$I$7*HORAS_CAPTACAO_DIA-H33)</f>
        <v>0</v>
      </c>
      <c r="J34" s="16" t="n">
        <f aca="false">INDEX(AUX_MATRIZES!$C$10:$BP$10,MIN(N_SEMANAS,MAX(1,$C34)))/DIAS_POR_SEMANA</f>
        <v>0</v>
      </c>
      <c r="K34" s="16" t="n">
        <f aca="false">MIN(CADASTRO_CASAS_BOMBA!$O$8,MAX(0,K33+CADASTRO_CASAS_BOMBA!$I$8*HORAS_CAPTACAO_DIA-J34))</f>
        <v>27377</v>
      </c>
      <c r="L34" s="16" t="n">
        <f aca="false">MAX(0,J34-CADASTRO_CASAS_BOMBA!$I$8*HORAS_CAPTACAO_DIA-K33)</f>
        <v>0</v>
      </c>
      <c r="M34" s="16" t="n">
        <f aca="false">INDEX(AUX_MATRIZES!$C$11:$BP$11,MIN(N_SEMANAS,MAX(1,$C34)))/DIAS_POR_SEMANA</f>
        <v>6910.71647058823</v>
      </c>
      <c r="N34" s="16" t="n">
        <f aca="false">MIN(CADASTRO_CASAS_BOMBA!$O$9,MAX(0,N33+CADASTRO_CASAS_BOMBA!$I$9*HORAS_CAPTACAO_DIA-M34))</f>
        <v>129000</v>
      </c>
      <c r="O34" s="16" t="n">
        <f aca="false">MAX(0,M34-CADASTRO_CASAS_BOMBA!$I$9*HORAS_CAPTACAO_DIA-N33)</f>
        <v>0</v>
      </c>
      <c r="P34" s="16" t="n">
        <f aca="false">INDEX(AUX_MATRIZES!$C$12:$BP$12,MIN(N_SEMANAS,MAX(1,$C34)))/DIAS_POR_SEMANA</f>
        <v>13806.24</v>
      </c>
      <c r="Q34" s="16" t="n">
        <f aca="false">MIN(CADASTRO_CASAS_BOMBA!$O$10,MAX(0,Q33+CADASTRO_CASAS_BOMBA!$I$10*HORAS_CAPTACAO_DIA-P34))</f>
        <v>979774.816000001</v>
      </c>
      <c r="R34" s="16" t="n">
        <f aca="false">MAX(0,P34-CADASTRO_CASAS_BOMBA!$I$10*HORAS_CAPTACAO_DIA-Q33)</f>
        <v>0</v>
      </c>
      <c r="S34" s="16" t="n">
        <f aca="false">INDEX(AUX_MATRIZES!$C$13:$BP$13,MIN(N_SEMANAS,MAX(1,$C34)))/DIAS_POR_SEMANA</f>
        <v>9651.285</v>
      </c>
      <c r="T34" s="16" t="n">
        <f aca="false">MIN(CADASTRO_CASAS_BOMBA!$O$11,MAX(0,T33+CADASTRO_CASAS_BOMBA!$I$11*HORAS_CAPTACAO_DIA-S34))</f>
        <v>469821</v>
      </c>
      <c r="U34" s="16" t="n">
        <f aca="false">MAX(0,S34-CADASTRO_CASAS_BOMBA!$I$11*HORAS_CAPTACAO_DIA-T33)</f>
        <v>0</v>
      </c>
      <c r="V34" s="16" t="n">
        <f aca="false">INDEX(AUX_MATRIZES!$C$14:$BP$14,MIN(N_SEMANAS,MAX(1,$C34)))/DIAS_POR_SEMANA</f>
        <v>8326.476</v>
      </c>
      <c r="W34" s="16" t="n">
        <f aca="false">MIN(CADASTRO_CASAS_BOMBA!$O$12,MAX(0,W33+CADASTRO_CASAS_BOMBA!$I$12*HORAS_CAPTACAO_DIA-V34))</f>
        <v>440000</v>
      </c>
      <c r="X34" s="16" t="n">
        <f aca="false">MAX(0,V34-CADASTRO_CASAS_BOMBA!$I$12*HORAS_CAPTACAO_DIA-W33)</f>
        <v>0</v>
      </c>
      <c r="Y34" s="16" t="n">
        <f aca="false">INDEX(AUX_MATRIZES!$C$15:$BP$15,MIN(N_SEMANAS,MAX(1,$C34)))/DIAS_POR_SEMANA</f>
        <v>0</v>
      </c>
      <c r="Z34" s="16" t="n">
        <f aca="false">MIN(CADASTRO_CASAS_BOMBA!$O$13,MAX(0,Z33+CADASTRO_CASAS_BOMBA!$I$13*HORAS_CAPTACAO_DIA-Y34))</f>
        <v>74903</v>
      </c>
      <c r="AA34" s="16" t="n">
        <f aca="false">MAX(0,Y34-CADASTRO_CASAS_BOMBA!$I$13*HORAS_CAPTACAO_DIA-Z33)</f>
        <v>0</v>
      </c>
    </row>
    <row r="35" customFormat="false" ht="15" hidden="false" customHeight="false" outlineLevel="0" collapsed="false">
      <c r="B35" s="17" t="n">
        <f aca="false">DATA_INICIO_SAFRA+28</f>
        <v>46293</v>
      </c>
      <c r="C35" s="16" t="n">
        <f aca="false">MIN(N_SEMANAS,MAX(1,INT(($B35-DATA_INICIO_SAFRA)/DIAS_POR_SEMANA)+1))</f>
        <v>5</v>
      </c>
      <c r="D35" s="16" t="n">
        <f aca="false">INDEX(AUX_MATRIZES!$C$8:$BP$8,MIN(N_SEMANAS,MAX(1,$C35)))/DIAS_POR_SEMANA</f>
        <v>187.69774789916</v>
      </c>
      <c r="E35" s="16" t="n">
        <f aca="false">MIN(CADASTRO_CASAS_BOMBA!$O$6,MAX(0,E34+CADASTRO_CASAS_BOMBA!$I$6*HORAS_CAPTACAO_DIA-D35))</f>
        <v>2600</v>
      </c>
      <c r="F35" s="16" t="n">
        <f aca="false">MAX(0,D35-CADASTRO_CASAS_BOMBA!$I$6*HORAS_CAPTACAO_DIA-E34)</f>
        <v>0</v>
      </c>
      <c r="G35" s="16" t="n">
        <f aca="false">INDEX(AUX_MATRIZES!$C$9:$BP$9,MIN(N_SEMANAS,MAX(1,$C35)))/DIAS_POR_SEMANA</f>
        <v>192.050823529412</v>
      </c>
      <c r="H35" s="16" t="n">
        <f aca="false">MIN(CADASTRO_CASAS_BOMBA!$O$7,MAX(0,H34+CADASTRO_CASAS_BOMBA!$I$7*HORAS_CAPTACAO_DIA-G35))</f>
        <v>76648</v>
      </c>
      <c r="I35" s="16" t="n">
        <f aca="false">MAX(0,G35-CADASTRO_CASAS_BOMBA!$I$7*HORAS_CAPTACAO_DIA-H34)</f>
        <v>0</v>
      </c>
      <c r="J35" s="16" t="n">
        <f aca="false">INDEX(AUX_MATRIZES!$C$10:$BP$10,MIN(N_SEMANAS,MAX(1,$C35)))/DIAS_POR_SEMANA</f>
        <v>377.610218487395</v>
      </c>
      <c r="K35" s="16" t="n">
        <f aca="false">MIN(CADASTRO_CASAS_BOMBA!$O$8,MAX(0,K34+CADASTRO_CASAS_BOMBA!$I$8*HORAS_CAPTACAO_DIA-J35))</f>
        <v>27377</v>
      </c>
      <c r="L35" s="16" t="n">
        <f aca="false">MAX(0,J35-CADASTRO_CASAS_BOMBA!$I$8*HORAS_CAPTACAO_DIA-K34)</f>
        <v>0</v>
      </c>
      <c r="M35" s="16" t="n">
        <f aca="false">INDEX(AUX_MATRIZES!$C$11:$BP$11,MIN(N_SEMANAS,MAX(1,$C35)))/DIAS_POR_SEMANA</f>
        <v>5613.10047058824</v>
      </c>
      <c r="N35" s="16" t="n">
        <f aca="false">MIN(CADASTRO_CASAS_BOMBA!$O$9,MAX(0,N34+CADASTRO_CASAS_BOMBA!$I$9*HORAS_CAPTACAO_DIA-M35))</f>
        <v>129000</v>
      </c>
      <c r="O35" s="16" t="n">
        <f aca="false">MAX(0,M35-CADASTRO_CASAS_BOMBA!$I$9*HORAS_CAPTACAO_DIA-N34)</f>
        <v>0</v>
      </c>
      <c r="P35" s="16" t="n">
        <f aca="false">INDEX(AUX_MATRIZES!$C$12:$BP$12,MIN(N_SEMANAS,MAX(1,$C35)))/DIAS_POR_SEMANA</f>
        <v>10411.296</v>
      </c>
      <c r="Q35" s="16" t="n">
        <f aca="false">MIN(CADASTRO_CASAS_BOMBA!$O$10,MAX(0,Q34+CADASTRO_CASAS_BOMBA!$I$10*HORAS_CAPTACAO_DIA-P35))</f>
        <v>982445.920000001</v>
      </c>
      <c r="R35" s="16" t="n">
        <f aca="false">MAX(0,P35-CADASTRO_CASAS_BOMBA!$I$10*HORAS_CAPTACAO_DIA-Q34)</f>
        <v>0</v>
      </c>
      <c r="S35" s="16" t="n">
        <f aca="false">INDEX(AUX_MATRIZES!$C$13:$BP$13,MIN(N_SEMANAS,MAX(1,$C35)))/DIAS_POR_SEMANA</f>
        <v>6153.588</v>
      </c>
      <c r="T35" s="16" t="n">
        <f aca="false">MIN(CADASTRO_CASAS_BOMBA!$O$11,MAX(0,T34+CADASTRO_CASAS_BOMBA!$I$11*HORAS_CAPTACAO_DIA-S35))</f>
        <v>469821</v>
      </c>
      <c r="U35" s="16" t="n">
        <f aca="false">MAX(0,S35-CADASTRO_CASAS_BOMBA!$I$11*HORAS_CAPTACAO_DIA-T34)</f>
        <v>0</v>
      </c>
      <c r="V35" s="16" t="n">
        <f aca="false">INDEX(AUX_MATRIZES!$C$14:$BP$14,MIN(N_SEMANAS,MAX(1,$C35)))/DIAS_POR_SEMANA</f>
        <v>3773.55226890756</v>
      </c>
      <c r="W35" s="16" t="n">
        <f aca="false">MIN(CADASTRO_CASAS_BOMBA!$O$12,MAX(0,W34+CADASTRO_CASAS_BOMBA!$I$12*HORAS_CAPTACAO_DIA-V35))</f>
        <v>440000</v>
      </c>
      <c r="X35" s="16" t="n">
        <f aca="false">MAX(0,V35-CADASTRO_CASAS_BOMBA!$I$12*HORAS_CAPTACAO_DIA-W34)</f>
        <v>0</v>
      </c>
      <c r="Y35" s="16" t="n">
        <f aca="false">INDEX(AUX_MATRIZES!$C$15:$BP$15,MIN(N_SEMANAS,MAX(1,$C35)))/DIAS_POR_SEMANA</f>
        <v>0</v>
      </c>
      <c r="Z35" s="16" t="n">
        <f aca="false">MIN(CADASTRO_CASAS_BOMBA!$O$13,MAX(0,Z34+CADASTRO_CASAS_BOMBA!$I$13*HORAS_CAPTACAO_DIA-Y35))</f>
        <v>74903</v>
      </c>
      <c r="AA35" s="16" t="n">
        <f aca="false">MAX(0,Y35-CADASTRO_CASAS_BOMBA!$I$13*HORAS_CAPTACAO_DIA-Z34)</f>
        <v>0</v>
      </c>
    </row>
    <row r="36" customFormat="false" ht="15" hidden="false" customHeight="false" outlineLevel="0" collapsed="false">
      <c r="B36" s="17" t="n">
        <f aca="false">DATA_INICIO_SAFRA+29</f>
        <v>46294</v>
      </c>
      <c r="C36" s="16" t="n">
        <f aca="false">MIN(N_SEMANAS,MAX(1,INT(($B36-DATA_INICIO_SAFRA)/DIAS_POR_SEMANA)+1))</f>
        <v>5</v>
      </c>
      <c r="D36" s="16" t="n">
        <f aca="false">INDEX(AUX_MATRIZES!$C$8:$BP$8,MIN(N_SEMANAS,MAX(1,$C36)))/DIAS_POR_SEMANA</f>
        <v>187.69774789916</v>
      </c>
      <c r="E36" s="16" t="n">
        <f aca="false">MIN(CADASTRO_CASAS_BOMBA!$O$6,MAX(0,E35+CADASTRO_CASAS_BOMBA!$I$6*HORAS_CAPTACAO_DIA-D36))</f>
        <v>2600</v>
      </c>
      <c r="F36" s="16" t="n">
        <f aca="false">MAX(0,D36-CADASTRO_CASAS_BOMBA!$I$6*HORAS_CAPTACAO_DIA-E35)</f>
        <v>0</v>
      </c>
      <c r="G36" s="16" t="n">
        <f aca="false">INDEX(AUX_MATRIZES!$C$9:$BP$9,MIN(N_SEMANAS,MAX(1,$C36)))/DIAS_POR_SEMANA</f>
        <v>192.050823529412</v>
      </c>
      <c r="H36" s="16" t="n">
        <f aca="false">MIN(CADASTRO_CASAS_BOMBA!$O$7,MAX(0,H35+CADASTRO_CASAS_BOMBA!$I$7*HORAS_CAPTACAO_DIA-G36))</f>
        <v>76648</v>
      </c>
      <c r="I36" s="16" t="n">
        <f aca="false">MAX(0,G36-CADASTRO_CASAS_BOMBA!$I$7*HORAS_CAPTACAO_DIA-H35)</f>
        <v>0</v>
      </c>
      <c r="J36" s="16" t="n">
        <f aca="false">INDEX(AUX_MATRIZES!$C$10:$BP$10,MIN(N_SEMANAS,MAX(1,$C36)))/DIAS_POR_SEMANA</f>
        <v>377.610218487395</v>
      </c>
      <c r="K36" s="16" t="n">
        <f aca="false">MIN(CADASTRO_CASAS_BOMBA!$O$8,MAX(0,K35+CADASTRO_CASAS_BOMBA!$I$8*HORAS_CAPTACAO_DIA-J36))</f>
        <v>27377</v>
      </c>
      <c r="L36" s="16" t="n">
        <f aca="false">MAX(0,J36-CADASTRO_CASAS_BOMBA!$I$8*HORAS_CAPTACAO_DIA-K35)</f>
        <v>0</v>
      </c>
      <c r="M36" s="16" t="n">
        <f aca="false">INDEX(AUX_MATRIZES!$C$11:$BP$11,MIN(N_SEMANAS,MAX(1,$C36)))/DIAS_POR_SEMANA</f>
        <v>5613.10047058824</v>
      </c>
      <c r="N36" s="16" t="n">
        <f aca="false">MIN(CADASTRO_CASAS_BOMBA!$O$9,MAX(0,N35+CADASTRO_CASAS_BOMBA!$I$9*HORAS_CAPTACAO_DIA-M36))</f>
        <v>129000</v>
      </c>
      <c r="O36" s="16" t="n">
        <f aca="false">MAX(0,M36-CADASTRO_CASAS_BOMBA!$I$9*HORAS_CAPTACAO_DIA-N35)</f>
        <v>0</v>
      </c>
      <c r="P36" s="16" t="n">
        <f aca="false">INDEX(AUX_MATRIZES!$C$12:$BP$12,MIN(N_SEMANAS,MAX(1,$C36)))/DIAS_POR_SEMANA</f>
        <v>10411.296</v>
      </c>
      <c r="Q36" s="16" t="n">
        <f aca="false">MIN(CADASTRO_CASAS_BOMBA!$O$10,MAX(0,Q35+CADASTRO_CASAS_BOMBA!$I$10*HORAS_CAPTACAO_DIA-P36))</f>
        <v>985117.024000001</v>
      </c>
      <c r="R36" s="16" t="n">
        <f aca="false">MAX(0,P36-CADASTRO_CASAS_BOMBA!$I$10*HORAS_CAPTACAO_DIA-Q35)</f>
        <v>0</v>
      </c>
      <c r="S36" s="16" t="n">
        <f aca="false">INDEX(AUX_MATRIZES!$C$13:$BP$13,MIN(N_SEMANAS,MAX(1,$C36)))/DIAS_POR_SEMANA</f>
        <v>6153.588</v>
      </c>
      <c r="T36" s="16" t="n">
        <f aca="false">MIN(CADASTRO_CASAS_BOMBA!$O$11,MAX(0,T35+CADASTRO_CASAS_BOMBA!$I$11*HORAS_CAPTACAO_DIA-S36))</f>
        <v>469821</v>
      </c>
      <c r="U36" s="16" t="n">
        <f aca="false">MAX(0,S36-CADASTRO_CASAS_BOMBA!$I$11*HORAS_CAPTACAO_DIA-T35)</f>
        <v>0</v>
      </c>
      <c r="V36" s="16" t="n">
        <f aca="false">INDEX(AUX_MATRIZES!$C$14:$BP$14,MIN(N_SEMANAS,MAX(1,$C36)))/DIAS_POR_SEMANA</f>
        <v>3773.55226890756</v>
      </c>
      <c r="W36" s="16" t="n">
        <f aca="false">MIN(CADASTRO_CASAS_BOMBA!$O$12,MAX(0,W35+CADASTRO_CASAS_BOMBA!$I$12*HORAS_CAPTACAO_DIA-V36))</f>
        <v>440000</v>
      </c>
      <c r="X36" s="16" t="n">
        <f aca="false">MAX(0,V36-CADASTRO_CASAS_BOMBA!$I$12*HORAS_CAPTACAO_DIA-W35)</f>
        <v>0</v>
      </c>
      <c r="Y36" s="16" t="n">
        <f aca="false">INDEX(AUX_MATRIZES!$C$15:$BP$15,MIN(N_SEMANAS,MAX(1,$C36)))/DIAS_POR_SEMANA</f>
        <v>0</v>
      </c>
      <c r="Z36" s="16" t="n">
        <f aca="false">MIN(CADASTRO_CASAS_BOMBA!$O$13,MAX(0,Z35+CADASTRO_CASAS_BOMBA!$I$13*HORAS_CAPTACAO_DIA-Y36))</f>
        <v>74903</v>
      </c>
      <c r="AA36" s="16" t="n">
        <f aca="false">MAX(0,Y36-CADASTRO_CASAS_BOMBA!$I$13*HORAS_CAPTACAO_DIA-Z35)</f>
        <v>0</v>
      </c>
    </row>
    <row r="37" customFormat="false" ht="15" hidden="false" customHeight="false" outlineLevel="0" collapsed="false">
      <c r="B37" s="17" t="n">
        <f aca="false">DATA_INICIO_SAFRA+30</f>
        <v>46295</v>
      </c>
      <c r="C37" s="16" t="n">
        <f aca="false">MIN(N_SEMANAS,MAX(1,INT(($B37-DATA_INICIO_SAFRA)/DIAS_POR_SEMANA)+1))</f>
        <v>5</v>
      </c>
      <c r="D37" s="16" t="n">
        <f aca="false">INDEX(AUX_MATRIZES!$C$8:$BP$8,MIN(N_SEMANAS,MAX(1,$C37)))/DIAS_POR_SEMANA</f>
        <v>187.69774789916</v>
      </c>
      <c r="E37" s="16" t="n">
        <f aca="false">MIN(CADASTRO_CASAS_BOMBA!$O$6,MAX(0,E36+CADASTRO_CASAS_BOMBA!$I$6*HORAS_CAPTACAO_DIA-D37))</f>
        <v>2600</v>
      </c>
      <c r="F37" s="16" t="n">
        <f aca="false">MAX(0,D37-CADASTRO_CASAS_BOMBA!$I$6*HORAS_CAPTACAO_DIA-E36)</f>
        <v>0</v>
      </c>
      <c r="G37" s="16" t="n">
        <f aca="false">INDEX(AUX_MATRIZES!$C$9:$BP$9,MIN(N_SEMANAS,MAX(1,$C37)))/DIAS_POR_SEMANA</f>
        <v>192.050823529412</v>
      </c>
      <c r="H37" s="16" t="n">
        <f aca="false">MIN(CADASTRO_CASAS_BOMBA!$O$7,MAX(0,H36+CADASTRO_CASAS_BOMBA!$I$7*HORAS_CAPTACAO_DIA-G37))</f>
        <v>76648</v>
      </c>
      <c r="I37" s="16" t="n">
        <f aca="false">MAX(0,G37-CADASTRO_CASAS_BOMBA!$I$7*HORAS_CAPTACAO_DIA-H36)</f>
        <v>0</v>
      </c>
      <c r="J37" s="16" t="n">
        <f aca="false">INDEX(AUX_MATRIZES!$C$10:$BP$10,MIN(N_SEMANAS,MAX(1,$C37)))/DIAS_POR_SEMANA</f>
        <v>377.610218487395</v>
      </c>
      <c r="K37" s="16" t="n">
        <f aca="false">MIN(CADASTRO_CASAS_BOMBA!$O$8,MAX(0,K36+CADASTRO_CASAS_BOMBA!$I$8*HORAS_CAPTACAO_DIA-J37))</f>
        <v>27377</v>
      </c>
      <c r="L37" s="16" t="n">
        <f aca="false">MAX(0,J37-CADASTRO_CASAS_BOMBA!$I$8*HORAS_CAPTACAO_DIA-K36)</f>
        <v>0</v>
      </c>
      <c r="M37" s="16" t="n">
        <f aca="false">INDEX(AUX_MATRIZES!$C$11:$BP$11,MIN(N_SEMANAS,MAX(1,$C37)))/DIAS_POR_SEMANA</f>
        <v>5613.10047058824</v>
      </c>
      <c r="N37" s="16" t="n">
        <f aca="false">MIN(CADASTRO_CASAS_BOMBA!$O$9,MAX(0,N36+CADASTRO_CASAS_BOMBA!$I$9*HORAS_CAPTACAO_DIA-M37))</f>
        <v>129000</v>
      </c>
      <c r="O37" s="16" t="n">
        <f aca="false">MAX(0,M37-CADASTRO_CASAS_BOMBA!$I$9*HORAS_CAPTACAO_DIA-N36)</f>
        <v>0</v>
      </c>
      <c r="P37" s="16" t="n">
        <f aca="false">INDEX(AUX_MATRIZES!$C$12:$BP$12,MIN(N_SEMANAS,MAX(1,$C37)))/DIAS_POR_SEMANA</f>
        <v>10411.296</v>
      </c>
      <c r="Q37" s="16" t="n">
        <f aca="false">MIN(CADASTRO_CASAS_BOMBA!$O$10,MAX(0,Q36+CADASTRO_CASAS_BOMBA!$I$10*HORAS_CAPTACAO_DIA-P37))</f>
        <v>987788.128000001</v>
      </c>
      <c r="R37" s="16" t="n">
        <f aca="false">MAX(0,P37-CADASTRO_CASAS_BOMBA!$I$10*HORAS_CAPTACAO_DIA-Q36)</f>
        <v>0</v>
      </c>
      <c r="S37" s="16" t="n">
        <f aca="false">INDEX(AUX_MATRIZES!$C$13:$BP$13,MIN(N_SEMANAS,MAX(1,$C37)))/DIAS_POR_SEMANA</f>
        <v>6153.588</v>
      </c>
      <c r="T37" s="16" t="n">
        <f aca="false">MIN(CADASTRO_CASAS_BOMBA!$O$11,MAX(0,T36+CADASTRO_CASAS_BOMBA!$I$11*HORAS_CAPTACAO_DIA-S37))</f>
        <v>469821</v>
      </c>
      <c r="U37" s="16" t="n">
        <f aca="false">MAX(0,S37-CADASTRO_CASAS_BOMBA!$I$11*HORAS_CAPTACAO_DIA-T36)</f>
        <v>0</v>
      </c>
      <c r="V37" s="16" t="n">
        <f aca="false">INDEX(AUX_MATRIZES!$C$14:$BP$14,MIN(N_SEMANAS,MAX(1,$C37)))/DIAS_POR_SEMANA</f>
        <v>3773.55226890756</v>
      </c>
      <c r="W37" s="16" t="n">
        <f aca="false">MIN(CADASTRO_CASAS_BOMBA!$O$12,MAX(0,W36+CADASTRO_CASAS_BOMBA!$I$12*HORAS_CAPTACAO_DIA-V37))</f>
        <v>440000</v>
      </c>
      <c r="X37" s="16" t="n">
        <f aca="false">MAX(0,V37-CADASTRO_CASAS_BOMBA!$I$12*HORAS_CAPTACAO_DIA-W36)</f>
        <v>0</v>
      </c>
      <c r="Y37" s="16" t="n">
        <f aca="false">INDEX(AUX_MATRIZES!$C$15:$BP$15,MIN(N_SEMANAS,MAX(1,$C37)))/DIAS_POR_SEMANA</f>
        <v>0</v>
      </c>
      <c r="Z37" s="16" t="n">
        <f aca="false">MIN(CADASTRO_CASAS_BOMBA!$O$13,MAX(0,Z36+CADASTRO_CASAS_BOMBA!$I$13*HORAS_CAPTACAO_DIA-Y37))</f>
        <v>74903</v>
      </c>
      <c r="AA37" s="16" t="n">
        <f aca="false">MAX(0,Y37-CADASTRO_CASAS_BOMBA!$I$13*HORAS_CAPTACAO_DIA-Z36)</f>
        <v>0</v>
      </c>
    </row>
    <row r="38" customFormat="false" ht="15" hidden="false" customHeight="false" outlineLevel="0" collapsed="false">
      <c r="B38" s="17" t="n">
        <f aca="false">DATA_INICIO_SAFRA+31</f>
        <v>46296</v>
      </c>
      <c r="C38" s="16" t="n">
        <f aca="false">MIN(N_SEMANAS,MAX(1,INT(($B38-DATA_INICIO_SAFRA)/DIAS_POR_SEMANA)+1))</f>
        <v>5</v>
      </c>
      <c r="D38" s="16" t="n">
        <f aca="false">INDEX(AUX_MATRIZES!$C$8:$BP$8,MIN(N_SEMANAS,MAX(1,$C38)))/DIAS_POR_SEMANA</f>
        <v>187.69774789916</v>
      </c>
      <c r="E38" s="16" t="n">
        <f aca="false">MIN(CADASTRO_CASAS_BOMBA!$O$6,MAX(0,E37+CADASTRO_CASAS_BOMBA!$I$6*HORAS_CAPTACAO_DIA-D38))</f>
        <v>2600</v>
      </c>
      <c r="F38" s="16" t="n">
        <f aca="false">MAX(0,D38-CADASTRO_CASAS_BOMBA!$I$6*HORAS_CAPTACAO_DIA-E37)</f>
        <v>0</v>
      </c>
      <c r="G38" s="16" t="n">
        <f aca="false">INDEX(AUX_MATRIZES!$C$9:$BP$9,MIN(N_SEMANAS,MAX(1,$C38)))/DIAS_POR_SEMANA</f>
        <v>192.050823529412</v>
      </c>
      <c r="H38" s="16" t="n">
        <f aca="false">MIN(CADASTRO_CASAS_BOMBA!$O$7,MAX(0,H37+CADASTRO_CASAS_BOMBA!$I$7*HORAS_CAPTACAO_DIA-G38))</f>
        <v>76648</v>
      </c>
      <c r="I38" s="16" t="n">
        <f aca="false">MAX(0,G38-CADASTRO_CASAS_BOMBA!$I$7*HORAS_CAPTACAO_DIA-H37)</f>
        <v>0</v>
      </c>
      <c r="J38" s="16" t="n">
        <f aca="false">INDEX(AUX_MATRIZES!$C$10:$BP$10,MIN(N_SEMANAS,MAX(1,$C38)))/DIAS_POR_SEMANA</f>
        <v>377.610218487395</v>
      </c>
      <c r="K38" s="16" t="n">
        <f aca="false">MIN(CADASTRO_CASAS_BOMBA!$O$8,MAX(0,K37+CADASTRO_CASAS_BOMBA!$I$8*HORAS_CAPTACAO_DIA-J38))</f>
        <v>27377</v>
      </c>
      <c r="L38" s="16" t="n">
        <f aca="false">MAX(0,J38-CADASTRO_CASAS_BOMBA!$I$8*HORAS_CAPTACAO_DIA-K37)</f>
        <v>0</v>
      </c>
      <c r="M38" s="16" t="n">
        <f aca="false">INDEX(AUX_MATRIZES!$C$11:$BP$11,MIN(N_SEMANAS,MAX(1,$C38)))/DIAS_POR_SEMANA</f>
        <v>5613.10047058824</v>
      </c>
      <c r="N38" s="16" t="n">
        <f aca="false">MIN(CADASTRO_CASAS_BOMBA!$O$9,MAX(0,N37+CADASTRO_CASAS_BOMBA!$I$9*HORAS_CAPTACAO_DIA-M38))</f>
        <v>129000</v>
      </c>
      <c r="O38" s="16" t="n">
        <f aca="false">MAX(0,M38-CADASTRO_CASAS_BOMBA!$I$9*HORAS_CAPTACAO_DIA-N37)</f>
        <v>0</v>
      </c>
      <c r="P38" s="16" t="n">
        <f aca="false">INDEX(AUX_MATRIZES!$C$12:$BP$12,MIN(N_SEMANAS,MAX(1,$C38)))/DIAS_POR_SEMANA</f>
        <v>10411.296</v>
      </c>
      <c r="Q38" s="16" t="n">
        <f aca="false">MIN(CADASTRO_CASAS_BOMBA!$O$10,MAX(0,Q37+CADASTRO_CASAS_BOMBA!$I$10*HORAS_CAPTACAO_DIA-P38))</f>
        <v>990459.232000001</v>
      </c>
      <c r="R38" s="16" t="n">
        <f aca="false">MAX(0,P38-CADASTRO_CASAS_BOMBA!$I$10*HORAS_CAPTACAO_DIA-Q37)</f>
        <v>0</v>
      </c>
      <c r="S38" s="16" t="n">
        <f aca="false">INDEX(AUX_MATRIZES!$C$13:$BP$13,MIN(N_SEMANAS,MAX(1,$C38)))/DIAS_POR_SEMANA</f>
        <v>6153.588</v>
      </c>
      <c r="T38" s="16" t="n">
        <f aca="false">MIN(CADASTRO_CASAS_BOMBA!$O$11,MAX(0,T37+CADASTRO_CASAS_BOMBA!$I$11*HORAS_CAPTACAO_DIA-S38))</f>
        <v>469821</v>
      </c>
      <c r="U38" s="16" t="n">
        <f aca="false">MAX(0,S38-CADASTRO_CASAS_BOMBA!$I$11*HORAS_CAPTACAO_DIA-T37)</f>
        <v>0</v>
      </c>
      <c r="V38" s="16" t="n">
        <f aca="false">INDEX(AUX_MATRIZES!$C$14:$BP$14,MIN(N_SEMANAS,MAX(1,$C38)))/DIAS_POR_SEMANA</f>
        <v>3773.55226890756</v>
      </c>
      <c r="W38" s="16" t="n">
        <f aca="false">MIN(CADASTRO_CASAS_BOMBA!$O$12,MAX(0,W37+CADASTRO_CASAS_BOMBA!$I$12*HORAS_CAPTACAO_DIA-V38))</f>
        <v>440000</v>
      </c>
      <c r="X38" s="16" t="n">
        <f aca="false">MAX(0,V38-CADASTRO_CASAS_BOMBA!$I$12*HORAS_CAPTACAO_DIA-W37)</f>
        <v>0</v>
      </c>
      <c r="Y38" s="16" t="n">
        <f aca="false">INDEX(AUX_MATRIZES!$C$15:$BP$15,MIN(N_SEMANAS,MAX(1,$C38)))/DIAS_POR_SEMANA</f>
        <v>0</v>
      </c>
      <c r="Z38" s="16" t="n">
        <f aca="false">MIN(CADASTRO_CASAS_BOMBA!$O$13,MAX(0,Z37+CADASTRO_CASAS_BOMBA!$I$13*HORAS_CAPTACAO_DIA-Y38))</f>
        <v>74903</v>
      </c>
      <c r="AA38" s="16" t="n">
        <f aca="false">MAX(0,Y38-CADASTRO_CASAS_BOMBA!$I$13*HORAS_CAPTACAO_DIA-Z37)</f>
        <v>0</v>
      </c>
    </row>
    <row r="39" customFormat="false" ht="15" hidden="false" customHeight="false" outlineLevel="0" collapsed="false">
      <c r="B39" s="17" t="n">
        <f aca="false">DATA_INICIO_SAFRA+32</f>
        <v>46297</v>
      </c>
      <c r="C39" s="16" t="n">
        <f aca="false">MIN(N_SEMANAS,MAX(1,INT(($B39-DATA_INICIO_SAFRA)/DIAS_POR_SEMANA)+1))</f>
        <v>5</v>
      </c>
      <c r="D39" s="16" t="n">
        <f aca="false">INDEX(AUX_MATRIZES!$C$8:$BP$8,MIN(N_SEMANAS,MAX(1,$C39)))/DIAS_POR_SEMANA</f>
        <v>187.69774789916</v>
      </c>
      <c r="E39" s="16" t="n">
        <f aca="false">MIN(CADASTRO_CASAS_BOMBA!$O$6,MAX(0,E38+CADASTRO_CASAS_BOMBA!$I$6*HORAS_CAPTACAO_DIA-D39))</f>
        <v>2600</v>
      </c>
      <c r="F39" s="16" t="n">
        <f aca="false">MAX(0,D39-CADASTRO_CASAS_BOMBA!$I$6*HORAS_CAPTACAO_DIA-E38)</f>
        <v>0</v>
      </c>
      <c r="G39" s="16" t="n">
        <f aca="false">INDEX(AUX_MATRIZES!$C$9:$BP$9,MIN(N_SEMANAS,MAX(1,$C39)))/DIAS_POR_SEMANA</f>
        <v>192.050823529412</v>
      </c>
      <c r="H39" s="16" t="n">
        <f aca="false">MIN(CADASTRO_CASAS_BOMBA!$O$7,MAX(0,H38+CADASTRO_CASAS_BOMBA!$I$7*HORAS_CAPTACAO_DIA-G39))</f>
        <v>76648</v>
      </c>
      <c r="I39" s="16" t="n">
        <f aca="false">MAX(0,G39-CADASTRO_CASAS_BOMBA!$I$7*HORAS_CAPTACAO_DIA-H38)</f>
        <v>0</v>
      </c>
      <c r="J39" s="16" t="n">
        <f aca="false">INDEX(AUX_MATRIZES!$C$10:$BP$10,MIN(N_SEMANAS,MAX(1,$C39)))/DIAS_POR_SEMANA</f>
        <v>377.610218487395</v>
      </c>
      <c r="K39" s="16" t="n">
        <f aca="false">MIN(CADASTRO_CASAS_BOMBA!$O$8,MAX(0,K38+CADASTRO_CASAS_BOMBA!$I$8*HORAS_CAPTACAO_DIA-J39))</f>
        <v>27377</v>
      </c>
      <c r="L39" s="16" t="n">
        <f aca="false">MAX(0,J39-CADASTRO_CASAS_BOMBA!$I$8*HORAS_CAPTACAO_DIA-K38)</f>
        <v>0</v>
      </c>
      <c r="M39" s="16" t="n">
        <f aca="false">INDEX(AUX_MATRIZES!$C$11:$BP$11,MIN(N_SEMANAS,MAX(1,$C39)))/DIAS_POR_SEMANA</f>
        <v>5613.10047058824</v>
      </c>
      <c r="N39" s="16" t="n">
        <f aca="false">MIN(CADASTRO_CASAS_BOMBA!$O$9,MAX(0,N38+CADASTRO_CASAS_BOMBA!$I$9*HORAS_CAPTACAO_DIA-M39))</f>
        <v>129000</v>
      </c>
      <c r="O39" s="16" t="n">
        <f aca="false">MAX(0,M39-CADASTRO_CASAS_BOMBA!$I$9*HORAS_CAPTACAO_DIA-N38)</f>
        <v>0</v>
      </c>
      <c r="P39" s="16" t="n">
        <f aca="false">INDEX(AUX_MATRIZES!$C$12:$BP$12,MIN(N_SEMANAS,MAX(1,$C39)))/DIAS_POR_SEMANA</f>
        <v>10411.296</v>
      </c>
      <c r="Q39" s="16" t="n">
        <f aca="false">MIN(CADASTRO_CASAS_BOMBA!$O$10,MAX(0,Q38+CADASTRO_CASAS_BOMBA!$I$10*HORAS_CAPTACAO_DIA-P39))</f>
        <v>993130.336000001</v>
      </c>
      <c r="R39" s="16" t="n">
        <f aca="false">MAX(0,P39-CADASTRO_CASAS_BOMBA!$I$10*HORAS_CAPTACAO_DIA-Q38)</f>
        <v>0</v>
      </c>
      <c r="S39" s="16" t="n">
        <f aca="false">INDEX(AUX_MATRIZES!$C$13:$BP$13,MIN(N_SEMANAS,MAX(1,$C39)))/DIAS_POR_SEMANA</f>
        <v>6153.588</v>
      </c>
      <c r="T39" s="16" t="n">
        <f aca="false">MIN(CADASTRO_CASAS_BOMBA!$O$11,MAX(0,T38+CADASTRO_CASAS_BOMBA!$I$11*HORAS_CAPTACAO_DIA-S39))</f>
        <v>469821</v>
      </c>
      <c r="U39" s="16" t="n">
        <f aca="false">MAX(0,S39-CADASTRO_CASAS_BOMBA!$I$11*HORAS_CAPTACAO_DIA-T38)</f>
        <v>0</v>
      </c>
      <c r="V39" s="16" t="n">
        <f aca="false">INDEX(AUX_MATRIZES!$C$14:$BP$14,MIN(N_SEMANAS,MAX(1,$C39)))/DIAS_POR_SEMANA</f>
        <v>3773.55226890756</v>
      </c>
      <c r="W39" s="16" t="n">
        <f aca="false">MIN(CADASTRO_CASAS_BOMBA!$O$12,MAX(0,W38+CADASTRO_CASAS_BOMBA!$I$12*HORAS_CAPTACAO_DIA-V39))</f>
        <v>440000</v>
      </c>
      <c r="X39" s="16" t="n">
        <f aca="false">MAX(0,V39-CADASTRO_CASAS_BOMBA!$I$12*HORAS_CAPTACAO_DIA-W38)</f>
        <v>0</v>
      </c>
      <c r="Y39" s="16" t="n">
        <f aca="false">INDEX(AUX_MATRIZES!$C$15:$BP$15,MIN(N_SEMANAS,MAX(1,$C39)))/DIAS_POR_SEMANA</f>
        <v>0</v>
      </c>
      <c r="Z39" s="16" t="n">
        <f aca="false">MIN(CADASTRO_CASAS_BOMBA!$O$13,MAX(0,Z38+CADASTRO_CASAS_BOMBA!$I$13*HORAS_CAPTACAO_DIA-Y39))</f>
        <v>74903</v>
      </c>
      <c r="AA39" s="16" t="n">
        <f aca="false">MAX(0,Y39-CADASTRO_CASAS_BOMBA!$I$13*HORAS_CAPTACAO_DIA-Z38)</f>
        <v>0</v>
      </c>
    </row>
    <row r="40" customFormat="false" ht="15" hidden="false" customHeight="false" outlineLevel="0" collapsed="false">
      <c r="B40" s="17" t="n">
        <f aca="false">DATA_INICIO_SAFRA+33</f>
        <v>46298</v>
      </c>
      <c r="C40" s="16" t="n">
        <f aca="false">MIN(N_SEMANAS,MAX(1,INT(($B40-DATA_INICIO_SAFRA)/DIAS_POR_SEMANA)+1))</f>
        <v>5</v>
      </c>
      <c r="D40" s="16" t="n">
        <f aca="false">INDEX(AUX_MATRIZES!$C$8:$BP$8,MIN(N_SEMANAS,MAX(1,$C40)))/DIAS_POR_SEMANA</f>
        <v>187.69774789916</v>
      </c>
      <c r="E40" s="16" t="n">
        <f aca="false">MIN(CADASTRO_CASAS_BOMBA!$O$6,MAX(0,E39+CADASTRO_CASAS_BOMBA!$I$6*HORAS_CAPTACAO_DIA-D40))</f>
        <v>2600</v>
      </c>
      <c r="F40" s="16" t="n">
        <f aca="false">MAX(0,D40-CADASTRO_CASAS_BOMBA!$I$6*HORAS_CAPTACAO_DIA-E39)</f>
        <v>0</v>
      </c>
      <c r="G40" s="16" t="n">
        <f aca="false">INDEX(AUX_MATRIZES!$C$9:$BP$9,MIN(N_SEMANAS,MAX(1,$C40)))/DIAS_POR_SEMANA</f>
        <v>192.050823529412</v>
      </c>
      <c r="H40" s="16" t="n">
        <f aca="false">MIN(CADASTRO_CASAS_BOMBA!$O$7,MAX(0,H39+CADASTRO_CASAS_BOMBA!$I$7*HORAS_CAPTACAO_DIA-G40))</f>
        <v>76648</v>
      </c>
      <c r="I40" s="16" t="n">
        <f aca="false">MAX(0,G40-CADASTRO_CASAS_BOMBA!$I$7*HORAS_CAPTACAO_DIA-H39)</f>
        <v>0</v>
      </c>
      <c r="J40" s="16" t="n">
        <f aca="false">INDEX(AUX_MATRIZES!$C$10:$BP$10,MIN(N_SEMANAS,MAX(1,$C40)))/DIAS_POR_SEMANA</f>
        <v>377.610218487395</v>
      </c>
      <c r="K40" s="16" t="n">
        <f aca="false">MIN(CADASTRO_CASAS_BOMBA!$O$8,MAX(0,K39+CADASTRO_CASAS_BOMBA!$I$8*HORAS_CAPTACAO_DIA-J40))</f>
        <v>27377</v>
      </c>
      <c r="L40" s="16" t="n">
        <f aca="false">MAX(0,J40-CADASTRO_CASAS_BOMBA!$I$8*HORAS_CAPTACAO_DIA-K39)</f>
        <v>0</v>
      </c>
      <c r="M40" s="16" t="n">
        <f aca="false">INDEX(AUX_MATRIZES!$C$11:$BP$11,MIN(N_SEMANAS,MAX(1,$C40)))/DIAS_POR_SEMANA</f>
        <v>5613.10047058824</v>
      </c>
      <c r="N40" s="16" t="n">
        <f aca="false">MIN(CADASTRO_CASAS_BOMBA!$O$9,MAX(0,N39+CADASTRO_CASAS_BOMBA!$I$9*HORAS_CAPTACAO_DIA-M40))</f>
        <v>129000</v>
      </c>
      <c r="O40" s="16" t="n">
        <f aca="false">MAX(0,M40-CADASTRO_CASAS_BOMBA!$I$9*HORAS_CAPTACAO_DIA-N39)</f>
        <v>0</v>
      </c>
      <c r="P40" s="16" t="n">
        <f aca="false">INDEX(AUX_MATRIZES!$C$12:$BP$12,MIN(N_SEMANAS,MAX(1,$C40)))/DIAS_POR_SEMANA</f>
        <v>10411.296</v>
      </c>
      <c r="Q40" s="16" t="n">
        <f aca="false">MIN(CADASTRO_CASAS_BOMBA!$O$10,MAX(0,Q39+CADASTRO_CASAS_BOMBA!$I$10*HORAS_CAPTACAO_DIA-P40))</f>
        <v>995801.440000001</v>
      </c>
      <c r="R40" s="16" t="n">
        <f aca="false">MAX(0,P40-CADASTRO_CASAS_BOMBA!$I$10*HORAS_CAPTACAO_DIA-Q39)</f>
        <v>0</v>
      </c>
      <c r="S40" s="16" t="n">
        <f aca="false">INDEX(AUX_MATRIZES!$C$13:$BP$13,MIN(N_SEMANAS,MAX(1,$C40)))/DIAS_POR_SEMANA</f>
        <v>6153.588</v>
      </c>
      <c r="T40" s="16" t="n">
        <f aca="false">MIN(CADASTRO_CASAS_BOMBA!$O$11,MAX(0,T39+CADASTRO_CASAS_BOMBA!$I$11*HORAS_CAPTACAO_DIA-S40))</f>
        <v>469821</v>
      </c>
      <c r="U40" s="16" t="n">
        <f aca="false">MAX(0,S40-CADASTRO_CASAS_BOMBA!$I$11*HORAS_CAPTACAO_DIA-T39)</f>
        <v>0</v>
      </c>
      <c r="V40" s="16" t="n">
        <f aca="false">INDEX(AUX_MATRIZES!$C$14:$BP$14,MIN(N_SEMANAS,MAX(1,$C40)))/DIAS_POR_SEMANA</f>
        <v>3773.55226890756</v>
      </c>
      <c r="W40" s="16" t="n">
        <f aca="false">MIN(CADASTRO_CASAS_BOMBA!$O$12,MAX(0,W39+CADASTRO_CASAS_BOMBA!$I$12*HORAS_CAPTACAO_DIA-V40))</f>
        <v>440000</v>
      </c>
      <c r="X40" s="16" t="n">
        <f aca="false">MAX(0,V40-CADASTRO_CASAS_BOMBA!$I$12*HORAS_CAPTACAO_DIA-W39)</f>
        <v>0</v>
      </c>
      <c r="Y40" s="16" t="n">
        <f aca="false">INDEX(AUX_MATRIZES!$C$15:$BP$15,MIN(N_SEMANAS,MAX(1,$C40)))/DIAS_POR_SEMANA</f>
        <v>0</v>
      </c>
      <c r="Z40" s="16" t="n">
        <f aca="false">MIN(CADASTRO_CASAS_BOMBA!$O$13,MAX(0,Z39+CADASTRO_CASAS_BOMBA!$I$13*HORAS_CAPTACAO_DIA-Y40))</f>
        <v>74903</v>
      </c>
      <c r="AA40" s="16" t="n">
        <f aca="false">MAX(0,Y40-CADASTRO_CASAS_BOMBA!$I$13*HORAS_CAPTACAO_DIA-Z39)</f>
        <v>0</v>
      </c>
    </row>
    <row r="41" customFormat="false" ht="15" hidden="false" customHeight="false" outlineLevel="0" collapsed="false">
      <c r="B41" s="17" t="n">
        <f aca="false">DATA_INICIO_SAFRA+34</f>
        <v>46299</v>
      </c>
      <c r="C41" s="16" t="n">
        <f aca="false">MIN(N_SEMANAS,MAX(1,INT(($B41-DATA_INICIO_SAFRA)/DIAS_POR_SEMANA)+1))</f>
        <v>5</v>
      </c>
      <c r="D41" s="16" t="n">
        <f aca="false">INDEX(AUX_MATRIZES!$C$8:$BP$8,MIN(N_SEMANAS,MAX(1,$C41)))/DIAS_POR_SEMANA</f>
        <v>187.69774789916</v>
      </c>
      <c r="E41" s="16" t="n">
        <f aca="false">MIN(CADASTRO_CASAS_BOMBA!$O$6,MAX(0,E40+CADASTRO_CASAS_BOMBA!$I$6*HORAS_CAPTACAO_DIA-D41))</f>
        <v>2600</v>
      </c>
      <c r="F41" s="16" t="n">
        <f aca="false">MAX(0,D41-CADASTRO_CASAS_BOMBA!$I$6*HORAS_CAPTACAO_DIA-E40)</f>
        <v>0</v>
      </c>
      <c r="G41" s="16" t="n">
        <f aca="false">INDEX(AUX_MATRIZES!$C$9:$BP$9,MIN(N_SEMANAS,MAX(1,$C41)))/DIAS_POR_SEMANA</f>
        <v>192.050823529412</v>
      </c>
      <c r="H41" s="16" t="n">
        <f aca="false">MIN(CADASTRO_CASAS_BOMBA!$O$7,MAX(0,H40+CADASTRO_CASAS_BOMBA!$I$7*HORAS_CAPTACAO_DIA-G41))</f>
        <v>76648</v>
      </c>
      <c r="I41" s="16" t="n">
        <f aca="false">MAX(0,G41-CADASTRO_CASAS_BOMBA!$I$7*HORAS_CAPTACAO_DIA-H40)</f>
        <v>0</v>
      </c>
      <c r="J41" s="16" t="n">
        <f aca="false">INDEX(AUX_MATRIZES!$C$10:$BP$10,MIN(N_SEMANAS,MAX(1,$C41)))/DIAS_POR_SEMANA</f>
        <v>377.610218487395</v>
      </c>
      <c r="K41" s="16" t="n">
        <f aca="false">MIN(CADASTRO_CASAS_BOMBA!$O$8,MAX(0,K40+CADASTRO_CASAS_BOMBA!$I$8*HORAS_CAPTACAO_DIA-J41))</f>
        <v>27377</v>
      </c>
      <c r="L41" s="16" t="n">
        <f aca="false">MAX(0,J41-CADASTRO_CASAS_BOMBA!$I$8*HORAS_CAPTACAO_DIA-K40)</f>
        <v>0</v>
      </c>
      <c r="M41" s="16" t="n">
        <f aca="false">INDEX(AUX_MATRIZES!$C$11:$BP$11,MIN(N_SEMANAS,MAX(1,$C41)))/DIAS_POR_SEMANA</f>
        <v>5613.10047058824</v>
      </c>
      <c r="N41" s="16" t="n">
        <f aca="false">MIN(CADASTRO_CASAS_BOMBA!$O$9,MAX(0,N40+CADASTRO_CASAS_BOMBA!$I$9*HORAS_CAPTACAO_DIA-M41))</f>
        <v>129000</v>
      </c>
      <c r="O41" s="16" t="n">
        <f aca="false">MAX(0,M41-CADASTRO_CASAS_BOMBA!$I$9*HORAS_CAPTACAO_DIA-N40)</f>
        <v>0</v>
      </c>
      <c r="P41" s="16" t="n">
        <f aca="false">INDEX(AUX_MATRIZES!$C$12:$BP$12,MIN(N_SEMANAS,MAX(1,$C41)))/DIAS_POR_SEMANA</f>
        <v>10411.296</v>
      </c>
      <c r="Q41" s="16" t="n">
        <f aca="false">MIN(CADASTRO_CASAS_BOMBA!$O$10,MAX(0,Q40+CADASTRO_CASAS_BOMBA!$I$10*HORAS_CAPTACAO_DIA-P41))</f>
        <v>998472.544000001</v>
      </c>
      <c r="R41" s="16" t="n">
        <f aca="false">MAX(0,P41-CADASTRO_CASAS_BOMBA!$I$10*HORAS_CAPTACAO_DIA-Q40)</f>
        <v>0</v>
      </c>
      <c r="S41" s="16" t="n">
        <f aca="false">INDEX(AUX_MATRIZES!$C$13:$BP$13,MIN(N_SEMANAS,MAX(1,$C41)))/DIAS_POR_SEMANA</f>
        <v>6153.588</v>
      </c>
      <c r="T41" s="16" t="n">
        <f aca="false">MIN(CADASTRO_CASAS_BOMBA!$O$11,MAX(0,T40+CADASTRO_CASAS_BOMBA!$I$11*HORAS_CAPTACAO_DIA-S41))</f>
        <v>469821</v>
      </c>
      <c r="U41" s="16" t="n">
        <f aca="false">MAX(0,S41-CADASTRO_CASAS_BOMBA!$I$11*HORAS_CAPTACAO_DIA-T40)</f>
        <v>0</v>
      </c>
      <c r="V41" s="16" t="n">
        <f aca="false">INDEX(AUX_MATRIZES!$C$14:$BP$14,MIN(N_SEMANAS,MAX(1,$C41)))/DIAS_POR_SEMANA</f>
        <v>3773.55226890756</v>
      </c>
      <c r="W41" s="16" t="n">
        <f aca="false">MIN(CADASTRO_CASAS_BOMBA!$O$12,MAX(0,W40+CADASTRO_CASAS_BOMBA!$I$12*HORAS_CAPTACAO_DIA-V41))</f>
        <v>440000</v>
      </c>
      <c r="X41" s="16" t="n">
        <f aca="false">MAX(0,V41-CADASTRO_CASAS_BOMBA!$I$12*HORAS_CAPTACAO_DIA-W40)</f>
        <v>0</v>
      </c>
      <c r="Y41" s="16" t="n">
        <f aca="false">INDEX(AUX_MATRIZES!$C$15:$BP$15,MIN(N_SEMANAS,MAX(1,$C41)))/DIAS_POR_SEMANA</f>
        <v>0</v>
      </c>
      <c r="Z41" s="16" t="n">
        <f aca="false">MIN(CADASTRO_CASAS_BOMBA!$O$13,MAX(0,Z40+CADASTRO_CASAS_BOMBA!$I$13*HORAS_CAPTACAO_DIA-Y41))</f>
        <v>74903</v>
      </c>
      <c r="AA41" s="16" t="n">
        <f aca="false">MAX(0,Y41-CADASTRO_CASAS_BOMBA!$I$13*HORAS_CAPTACAO_DIA-Z40)</f>
        <v>0</v>
      </c>
    </row>
    <row r="42" customFormat="false" ht="15" hidden="false" customHeight="false" outlineLevel="0" collapsed="false">
      <c r="B42" s="17" t="n">
        <f aca="false">DATA_INICIO_SAFRA+35</f>
        <v>46300</v>
      </c>
      <c r="C42" s="16" t="n">
        <f aca="false">MIN(N_SEMANAS,MAX(1,INT(($B42-DATA_INICIO_SAFRA)/DIAS_POR_SEMANA)+1))</f>
        <v>6</v>
      </c>
      <c r="D42" s="16" t="n">
        <f aca="false">INDEX(AUX_MATRIZES!$C$8:$BP$8,MIN(N_SEMANAS,MAX(1,$C42)))/DIAS_POR_SEMANA</f>
        <v>0</v>
      </c>
      <c r="E42" s="16" t="n">
        <f aca="false">MIN(CADASTRO_CASAS_BOMBA!$O$6,MAX(0,E41+CADASTRO_CASAS_BOMBA!$I$6*HORAS_CAPTACAO_DIA-D42))</f>
        <v>2600</v>
      </c>
      <c r="F42" s="16" t="n">
        <f aca="false">MAX(0,D42-CADASTRO_CASAS_BOMBA!$I$6*HORAS_CAPTACAO_DIA-E41)</f>
        <v>0</v>
      </c>
      <c r="G42" s="16" t="n">
        <f aca="false">INDEX(AUX_MATRIZES!$C$9:$BP$9,MIN(N_SEMANAS,MAX(1,$C42)))/DIAS_POR_SEMANA</f>
        <v>0</v>
      </c>
      <c r="H42" s="16" t="n">
        <f aca="false">MIN(CADASTRO_CASAS_BOMBA!$O$7,MAX(0,H41+CADASTRO_CASAS_BOMBA!$I$7*HORAS_CAPTACAO_DIA-G42))</f>
        <v>76648</v>
      </c>
      <c r="I42" s="16" t="n">
        <f aca="false">MAX(0,G42-CADASTRO_CASAS_BOMBA!$I$7*HORAS_CAPTACAO_DIA-H41)</f>
        <v>0</v>
      </c>
      <c r="J42" s="16" t="n">
        <f aca="false">INDEX(AUX_MATRIZES!$C$10:$BP$10,MIN(N_SEMANAS,MAX(1,$C42)))/DIAS_POR_SEMANA</f>
        <v>0</v>
      </c>
      <c r="K42" s="16" t="n">
        <f aca="false">MIN(CADASTRO_CASAS_BOMBA!$O$8,MAX(0,K41+CADASTRO_CASAS_BOMBA!$I$8*HORAS_CAPTACAO_DIA-J42))</f>
        <v>27377</v>
      </c>
      <c r="L42" s="16" t="n">
        <f aca="false">MAX(0,J42-CADASTRO_CASAS_BOMBA!$I$8*HORAS_CAPTACAO_DIA-K41)</f>
        <v>0</v>
      </c>
      <c r="M42" s="16" t="n">
        <f aca="false">INDEX(AUX_MATRIZES!$C$11:$BP$11,MIN(N_SEMANAS,MAX(1,$C42)))/DIAS_POR_SEMANA</f>
        <v>3936.87152941176</v>
      </c>
      <c r="N42" s="16" t="n">
        <f aca="false">MIN(CADASTRO_CASAS_BOMBA!$O$9,MAX(0,N41+CADASTRO_CASAS_BOMBA!$I$9*HORAS_CAPTACAO_DIA-M42))</f>
        <v>129000</v>
      </c>
      <c r="O42" s="16" t="n">
        <f aca="false">MAX(0,M42-CADASTRO_CASAS_BOMBA!$I$9*HORAS_CAPTACAO_DIA-N41)</f>
        <v>0</v>
      </c>
      <c r="P42" s="16" t="n">
        <f aca="false">INDEX(AUX_MATRIZES!$C$12:$BP$12,MIN(N_SEMANAS,MAX(1,$C42)))/DIAS_POR_SEMANA</f>
        <v>7865.088</v>
      </c>
      <c r="Q42" s="16" t="n">
        <f aca="false">MIN(CADASTRO_CASAS_BOMBA!$O$10,MAX(0,Q41+CADASTRO_CASAS_BOMBA!$I$10*HORAS_CAPTACAO_DIA-P42))</f>
        <v>1000000</v>
      </c>
      <c r="R42" s="16" t="n">
        <f aca="false">MAX(0,P42-CADASTRO_CASAS_BOMBA!$I$10*HORAS_CAPTACAO_DIA-Q41)</f>
        <v>0</v>
      </c>
      <c r="S42" s="16" t="n">
        <f aca="false">INDEX(AUX_MATRIZES!$C$13:$BP$13,MIN(N_SEMANAS,MAX(1,$C42)))/DIAS_POR_SEMANA</f>
        <v>3318.084</v>
      </c>
      <c r="T42" s="16" t="n">
        <f aca="false">MIN(CADASTRO_CASAS_BOMBA!$O$11,MAX(0,T41+CADASTRO_CASAS_BOMBA!$I$11*HORAS_CAPTACAO_DIA-S42))</f>
        <v>469821</v>
      </c>
      <c r="U42" s="16" t="n">
        <f aca="false">MAX(0,S42-CADASTRO_CASAS_BOMBA!$I$11*HORAS_CAPTACAO_DIA-T41)</f>
        <v>0</v>
      </c>
      <c r="V42" s="16" t="n">
        <f aca="false">INDEX(AUX_MATRIZES!$C$14:$BP$14,MIN(N_SEMANAS,MAX(1,$C42)))/DIAS_POR_SEMANA</f>
        <v>0</v>
      </c>
      <c r="W42" s="16" t="n">
        <f aca="false">MIN(CADASTRO_CASAS_BOMBA!$O$12,MAX(0,W41+CADASTRO_CASAS_BOMBA!$I$12*HORAS_CAPTACAO_DIA-V42))</f>
        <v>440000</v>
      </c>
      <c r="X42" s="16" t="n">
        <f aca="false">MAX(0,V42-CADASTRO_CASAS_BOMBA!$I$12*HORAS_CAPTACAO_DIA-W41)</f>
        <v>0</v>
      </c>
      <c r="Y42" s="16" t="n">
        <f aca="false">INDEX(AUX_MATRIZES!$C$15:$BP$15,MIN(N_SEMANAS,MAX(1,$C42)))/DIAS_POR_SEMANA</f>
        <v>0</v>
      </c>
      <c r="Z42" s="16" t="n">
        <f aca="false">MIN(CADASTRO_CASAS_BOMBA!$O$13,MAX(0,Z41+CADASTRO_CASAS_BOMBA!$I$13*HORAS_CAPTACAO_DIA-Y42))</f>
        <v>74903</v>
      </c>
      <c r="AA42" s="16" t="n">
        <f aca="false">MAX(0,Y42-CADASTRO_CASAS_BOMBA!$I$13*HORAS_CAPTACAO_DIA-Z41)</f>
        <v>0</v>
      </c>
    </row>
    <row r="43" customFormat="false" ht="15" hidden="false" customHeight="false" outlineLevel="0" collapsed="false">
      <c r="B43" s="17" t="n">
        <f aca="false">DATA_INICIO_SAFRA+36</f>
        <v>46301</v>
      </c>
      <c r="C43" s="16" t="n">
        <f aca="false">MIN(N_SEMANAS,MAX(1,INT(($B43-DATA_INICIO_SAFRA)/DIAS_POR_SEMANA)+1))</f>
        <v>6</v>
      </c>
      <c r="D43" s="16" t="n">
        <f aca="false">INDEX(AUX_MATRIZES!$C$8:$BP$8,MIN(N_SEMANAS,MAX(1,$C43)))/DIAS_POR_SEMANA</f>
        <v>0</v>
      </c>
      <c r="E43" s="16" t="n">
        <f aca="false">MIN(CADASTRO_CASAS_BOMBA!$O$6,MAX(0,E42+CADASTRO_CASAS_BOMBA!$I$6*HORAS_CAPTACAO_DIA-D43))</f>
        <v>2600</v>
      </c>
      <c r="F43" s="16" t="n">
        <f aca="false">MAX(0,D43-CADASTRO_CASAS_BOMBA!$I$6*HORAS_CAPTACAO_DIA-E42)</f>
        <v>0</v>
      </c>
      <c r="G43" s="16" t="n">
        <f aca="false">INDEX(AUX_MATRIZES!$C$9:$BP$9,MIN(N_SEMANAS,MAX(1,$C43)))/DIAS_POR_SEMANA</f>
        <v>0</v>
      </c>
      <c r="H43" s="16" t="n">
        <f aca="false">MIN(CADASTRO_CASAS_BOMBA!$O$7,MAX(0,H42+CADASTRO_CASAS_BOMBA!$I$7*HORAS_CAPTACAO_DIA-G43))</f>
        <v>76648</v>
      </c>
      <c r="I43" s="16" t="n">
        <f aca="false">MAX(0,G43-CADASTRO_CASAS_BOMBA!$I$7*HORAS_CAPTACAO_DIA-H42)</f>
        <v>0</v>
      </c>
      <c r="J43" s="16" t="n">
        <f aca="false">INDEX(AUX_MATRIZES!$C$10:$BP$10,MIN(N_SEMANAS,MAX(1,$C43)))/DIAS_POR_SEMANA</f>
        <v>0</v>
      </c>
      <c r="K43" s="16" t="n">
        <f aca="false">MIN(CADASTRO_CASAS_BOMBA!$O$8,MAX(0,K42+CADASTRO_CASAS_BOMBA!$I$8*HORAS_CAPTACAO_DIA-J43))</f>
        <v>27377</v>
      </c>
      <c r="L43" s="16" t="n">
        <f aca="false">MAX(0,J43-CADASTRO_CASAS_BOMBA!$I$8*HORAS_CAPTACAO_DIA-K42)</f>
        <v>0</v>
      </c>
      <c r="M43" s="16" t="n">
        <f aca="false">INDEX(AUX_MATRIZES!$C$11:$BP$11,MIN(N_SEMANAS,MAX(1,$C43)))/DIAS_POR_SEMANA</f>
        <v>3936.87152941176</v>
      </c>
      <c r="N43" s="16" t="n">
        <f aca="false">MIN(CADASTRO_CASAS_BOMBA!$O$9,MAX(0,N42+CADASTRO_CASAS_BOMBA!$I$9*HORAS_CAPTACAO_DIA-M43))</f>
        <v>129000</v>
      </c>
      <c r="O43" s="16" t="n">
        <f aca="false">MAX(0,M43-CADASTRO_CASAS_BOMBA!$I$9*HORAS_CAPTACAO_DIA-N42)</f>
        <v>0</v>
      </c>
      <c r="P43" s="16" t="n">
        <f aca="false">INDEX(AUX_MATRIZES!$C$12:$BP$12,MIN(N_SEMANAS,MAX(1,$C43)))/DIAS_POR_SEMANA</f>
        <v>7865.088</v>
      </c>
      <c r="Q43" s="16" t="n">
        <f aca="false">MIN(CADASTRO_CASAS_BOMBA!$O$10,MAX(0,Q42+CADASTRO_CASAS_BOMBA!$I$10*HORAS_CAPTACAO_DIA-P43))</f>
        <v>1000000</v>
      </c>
      <c r="R43" s="16" t="n">
        <f aca="false">MAX(0,P43-CADASTRO_CASAS_BOMBA!$I$10*HORAS_CAPTACAO_DIA-Q42)</f>
        <v>0</v>
      </c>
      <c r="S43" s="16" t="n">
        <f aca="false">INDEX(AUX_MATRIZES!$C$13:$BP$13,MIN(N_SEMANAS,MAX(1,$C43)))/DIAS_POR_SEMANA</f>
        <v>3318.084</v>
      </c>
      <c r="T43" s="16" t="n">
        <f aca="false">MIN(CADASTRO_CASAS_BOMBA!$O$11,MAX(0,T42+CADASTRO_CASAS_BOMBA!$I$11*HORAS_CAPTACAO_DIA-S43))</f>
        <v>469821</v>
      </c>
      <c r="U43" s="16" t="n">
        <f aca="false">MAX(0,S43-CADASTRO_CASAS_BOMBA!$I$11*HORAS_CAPTACAO_DIA-T42)</f>
        <v>0</v>
      </c>
      <c r="V43" s="16" t="n">
        <f aca="false">INDEX(AUX_MATRIZES!$C$14:$BP$14,MIN(N_SEMANAS,MAX(1,$C43)))/DIAS_POR_SEMANA</f>
        <v>0</v>
      </c>
      <c r="W43" s="16" t="n">
        <f aca="false">MIN(CADASTRO_CASAS_BOMBA!$O$12,MAX(0,W42+CADASTRO_CASAS_BOMBA!$I$12*HORAS_CAPTACAO_DIA-V43))</f>
        <v>440000</v>
      </c>
      <c r="X43" s="16" t="n">
        <f aca="false">MAX(0,V43-CADASTRO_CASAS_BOMBA!$I$12*HORAS_CAPTACAO_DIA-W42)</f>
        <v>0</v>
      </c>
      <c r="Y43" s="16" t="n">
        <f aca="false">INDEX(AUX_MATRIZES!$C$15:$BP$15,MIN(N_SEMANAS,MAX(1,$C43)))/DIAS_POR_SEMANA</f>
        <v>0</v>
      </c>
      <c r="Z43" s="16" t="n">
        <f aca="false">MIN(CADASTRO_CASAS_BOMBA!$O$13,MAX(0,Z42+CADASTRO_CASAS_BOMBA!$I$13*HORAS_CAPTACAO_DIA-Y43))</f>
        <v>74903</v>
      </c>
      <c r="AA43" s="16" t="n">
        <f aca="false">MAX(0,Y43-CADASTRO_CASAS_BOMBA!$I$13*HORAS_CAPTACAO_DIA-Z42)</f>
        <v>0</v>
      </c>
    </row>
    <row r="44" customFormat="false" ht="15" hidden="false" customHeight="false" outlineLevel="0" collapsed="false">
      <c r="B44" s="17" t="n">
        <f aca="false">DATA_INICIO_SAFRA+37</f>
        <v>46302</v>
      </c>
      <c r="C44" s="16" t="n">
        <f aca="false">MIN(N_SEMANAS,MAX(1,INT(($B44-DATA_INICIO_SAFRA)/DIAS_POR_SEMANA)+1))</f>
        <v>6</v>
      </c>
      <c r="D44" s="16" t="n">
        <f aca="false">INDEX(AUX_MATRIZES!$C$8:$BP$8,MIN(N_SEMANAS,MAX(1,$C44)))/DIAS_POR_SEMANA</f>
        <v>0</v>
      </c>
      <c r="E44" s="16" t="n">
        <f aca="false">MIN(CADASTRO_CASAS_BOMBA!$O$6,MAX(0,E43+CADASTRO_CASAS_BOMBA!$I$6*HORAS_CAPTACAO_DIA-D44))</f>
        <v>2600</v>
      </c>
      <c r="F44" s="16" t="n">
        <f aca="false">MAX(0,D44-CADASTRO_CASAS_BOMBA!$I$6*HORAS_CAPTACAO_DIA-E43)</f>
        <v>0</v>
      </c>
      <c r="G44" s="16" t="n">
        <f aca="false">INDEX(AUX_MATRIZES!$C$9:$BP$9,MIN(N_SEMANAS,MAX(1,$C44)))/DIAS_POR_SEMANA</f>
        <v>0</v>
      </c>
      <c r="H44" s="16" t="n">
        <f aca="false">MIN(CADASTRO_CASAS_BOMBA!$O$7,MAX(0,H43+CADASTRO_CASAS_BOMBA!$I$7*HORAS_CAPTACAO_DIA-G44))</f>
        <v>76648</v>
      </c>
      <c r="I44" s="16" t="n">
        <f aca="false">MAX(0,G44-CADASTRO_CASAS_BOMBA!$I$7*HORAS_CAPTACAO_DIA-H43)</f>
        <v>0</v>
      </c>
      <c r="J44" s="16" t="n">
        <f aca="false">INDEX(AUX_MATRIZES!$C$10:$BP$10,MIN(N_SEMANAS,MAX(1,$C44)))/DIAS_POR_SEMANA</f>
        <v>0</v>
      </c>
      <c r="K44" s="16" t="n">
        <f aca="false">MIN(CADASTRO_CASAS_BOMBA!$O$8,MAX(0,K43+CADASTRO_CASAS_BOMBA!$I$8*HORAS_CAPTACAO_DIA-J44))</f>
        <v>27377</v>
      </c>
      <c r="L44" s="16" t="n">
        <f aca="false">MAX(0,J44-CADASTRO_CASAS_BOMBA!$I$8*HORAS_CAPTACAO_DIA-K43)</f>
        <v>0</v>
      </c>
      <c r="M44" s="16" t="n">
        <f aca="false">INDEX(AUX_MATRIZES!$C$11:$BP$11,MIN(N_SEMANAS,MAX(1,$C44)))/DIAS_POR_SEMANA</f>
        <v>3936.87152941176</v>
      </c>
      <c r="N44" s="16" t="n">
        <f aca="false">MIN(CADASTRO_CASAS_BOMBA!$O$9,MAX(0,N43+CADASTRO_CASAS_BOMBA!$I$9*HORAS_CAPTACAO_DIA-M44))</f>
        <v>129000</v>
      </c>
      <c r="O44" s="16" t="n">
        <f aca="false">MAX(0,M44-CADASTRO_CASAS_BOMBA!$I$9*HORAS_CAPTACAO_DIA-N43)</f>
        <v>0</v>
      </c>
      <c r="P44" s="16" t="n">
        <f aca="false">INDEX(AUX_MATRIZES!$C$12:$BP$12,MIN(N_SEMANAS,MAX(1,$C44)))/DIAS_POR_SEMANA</f>
        <v>7865.088</v>
      </c>
      <c r="Q44" s="16" t="n">
        <f aca="false">MIN(CADASTRO_CASAS_BOMBA!$O$10,MAX(0,Q43+CADASTRO_CASAS_BOMBA!$I$10*HORAS_CAPTACAO_DIA-P44))</f>
        <v>1000000</v>
      </c>
      <c r="R44" s="16" t="n">
        <f aca="false">MAX(0,P44-CADASTRO_CASAS_BOMBA!$I$10*HORAS_CAPTACAO_DIA-Q43)</f>
        <v>0</v>
      </c>
      <c r="S44" s="16" t="n">
        <f aca="false">INDEX(AUX_MATRIZES!$C$13:$BP$13,MIN(N_SEMANAS,MAX(1,$C44)))/DIAS_POR_SEMANA</f>
        <v>3318.084</v>
      </c>
      <c r="T44" s="16" t="n">
        <f aca="false">MIN(CADASTRO_CASAS_BOMBA!$O$11,MAX(0,T43+CADASTRO_CASAS_BOMBA!$I$11*HORAS_CAPTACAO_DIA-S44))</f>
        <v>469821</v>
      </c>
      <c r="U44" s="16" t="n">
        <f aca="false">MAX(0,S44-CADASTRO_CASAS_BOMBA!$I$11*HORAS_CAPTACAO_DIA-T43)</f>
        <v>0</v>
      </c>
      <c r="V44" s="16" t="n">
        <f aca="false">INDEX(AUX_MATRIZES!$C$14:$BP$14,MIN(N_SEMANAS,MAX(1,$C44)))/DIAS_POR_SEMANA</f>
        <v>0</v>
      </c>
      <c r="W44" s="16" t="n">
        <f aca="false">MIN(CADASTRO_CASAS_BOMBA!$O$12,MAX(0,W43+CADASTRO_CASAS_BOMBA!$I$12*HORAS_CAPTACAO_DIA-V44))</f>
        <v>440000</v>
      </c>
      <c r="X44" s="16" t="n">
        <f aca="false">MAX(0,V44-CADASTRO_CASAS_BOMBA!$I$12*HORAS_CAPTACAO_DIA-W43)</f>
        <v>0</v>
      </c>
      <c r="Y44" s="16" t="n">
        <f aca="false">INDEX(AUX_MATRIZES!$C$15:$BP$15,MIN(N_SEMANAS,MAX(1,$C44)))/DIAS_POR_SEMANA</f>
        <v>0</v>
      </c>
      <c r="Z44" s="16" t="n">
        <f aca="false">MIN(CADASTRO_CASAS_BOMBA!$O$13,MAX(0,Z43+CADASTRO_CASAS_BOMBA!$I$13*HORAS_CAPTACAO_DIA-Y44))</f>
        <v>74903</v>
      </c>
      <c r="AA44" s="16" t="n">
        <f aca="false">MAX(0,Y44-CADASTRO_CASAS_BOMBA!$I$13*HORAS_CAPTACAO_DIA-Z43)</f>
        <v>0</v>
      </c>
    </row>
    <row r="45" customFormat="false" ht="15" hidden="false" customHeight="false" outlineLevel="0" collapsed="false">
      <c r="B45" s="17" t="n">
        <f aca="false">DATA_INICIO_SAFRA+38</f>
        <v>46303</v>
      </c>
      <c r="C45" s="16" t="n">
        <f aca="false">MIN(N_SEMANAS,MAX(1,INT(($B45-DATA_INICIO_SAFRA)/DIAS_POR_SEMANA)+1))</f>
        <v>6</v>
      </c>
      <c r="D45" s="16" t="n">
        <f aca="false">INDEX(AUX_MATRIZES!$C$8:$BP$8,MIN(N_SEMANAS,MAX(1,$C45)))/DIAS_POR_SEMANA</f>
        <v>0</v>
      </c>
      <c r="E45" s="16" t="n">
        <f aca="false">MIN(CADASTRO_CASAS_BOMBA!$O$6,MAX(0,E44+CADASTRO_CASAS_BOMBA!$I$6*HORAS_CAPTACAO_DIA-D45))</f>
        <v>2600</v>
      </c>
      <c r="F45" s="16" t="n">
        <f aca="false">MAX(0,D45-CADASTRO_CASAS_BOMBA!$I$6*HORAS_CAPTACAO_DIA-E44)</f>
        <v>0</v>
      </c>
      <c r="G45" s="16" t="n">
        <f aca="false">INDEX(AUX_MATRIZES!$C$9:$BP$9,MIN(N_SEMANAS,MAX(1,$C45)))/DIAS_POR_SEMANA</f>
        <v>0</v>
      </c>
      <c r="H45" s="16" t="n">
        <f aca="false">MIN(CADASTRO_CASAS_BOMBA!$O$7,MAX(0,H44+CADASTRO_CASAS_BOMBA!$I$7*HORAS_CAPTACAO_DIA-G45))</f>
        <v>76648</v>
      </c>
      <c r="I45" s="16" t="n">
        <f aca="false">MAX(0,G45-CADASTRO_CASAS_BOMBA!$I$7*HORAS_CAPTACAO_DIA-H44)</f>
        <v>0</v>
      </c>
      <c r="J45" s="16" t="n">
        <f aca="false">INDEX(AUX_MATRIZES!$C$10:$BP$10,MIN(N_SEMANAS,MAX(1,$C45)))/DIAS_POR_SEMANA</f>
        <v>0</v>
      </c>
      <c r="K45" s="16" t="n">
        <f aca="false">MIN(CADASTRO_CASAS_BOMBA!$O$8,MAX(0,K44+CADASTRO_CASAS_BOMBA!$I$8*HORAS_CAPTACAO_DIA-J45))</f>
        <v>27377</v>
      </c>
      <c r="L45" s="16" t="n">
        <f aca="false">MAX(0,J45-CADASTRO_CASAS_BOMBA!$I$8*HORAS_CAPTACAO_DIA-K44)</f>
        <v>0</v>
      </c>
      <c r="M45" s="16" t="n">
        <f aca="false">INDEX(AUX_MATRIZES!$C$11:$BP$11,MIN(N_SEMANAS,MAX(1,$C45)))/DIAS_POR_SEMANA</f>
        <v>3936.87152941176</v>
      </c>
      <c r="N45" s="16" t="n">
        <f aca="false">MIN(CADASTRO_CASAS_BOMBA!$O$9,MAX(0,N44+CADASTRO_CASAS_BOMBA!$I$9*HORAS_CAPTACAO_DIA-M45))</f>
        <v>129000</v>
      </c>
      <c r="O45" s="16" t="n">
        <f aca="false">MAX(0,M45-CADASTRO_CASAS_BOMBA!$I$9*HORAS_CAPTACAO_DIA-N44)</f>
        <v>0</v>
      </c>
      <c r="P45" s="16" t="n">
        <f aca="false">INDEX(AUX_MATRIZES!$C$12:$BP$12,MIN(N_SEMANAS,MAX(1,$C45)))/DIAS_POR_SEMANA</f>
        <v>7865.088</v>
      </c>
      <c r="Q45" s="16" t="n">
        <f aca="false">MIN(CADASTRO_CASAS_BOMBA!$O$10,MAX(0,Q44+CADASTRO_CASAS_BOMBA!$I$10*HORAS_CAPTACAO_DIA-P45))</f>
        <v>1000000</v>
      </c>
      <c r="R45" s="16" t="n">
        <f aca="false">MAX(0,P45-CADASTRO_CASAS_BOMBA!$I$10*HORAS_CAPTACAO_DIA-Q44)</f>
        <v>0</v>
      </c>
      <c r="S45" s="16" t="n">
        <f aca="false">INDEX(AUX_MATRIZES!$C$13:$BP$13,MIN(N_SEMANAS,MAX(1,$C45)))/DIAS_POR_SEMANA</f>
        <v>3318.084</v>
      </c>
      <c r="T45" s="16" t="n">
        <f aca="false">MIN(CADASTRO_CASAS_BOMBA!$O$11,MAX(0,T44+CADASTRO_CASAS_BOMBA!$I$11*HORAS_CAPTACAO_DIA-S45))</f>
        <v>469821</v>
      </c>
      <c r="U45" s="16" t="n">
        <f aca="false">MAX(0,S45-CADASTRO_CASAS_BOMBA!$I$11*HORAS_CAPTACAO_DIA-T44)</f>
        <v>0</v>
      </c>
      <c r="V45" s="16" t="n">
        <f aca="false">INDEX(AUX_MATRIZES!$C$14:$BP$14,MIN(N_SEMANAS,MAX(1,$C45)))/DIAS_POR_SEMANA</f>
        <v>0</v>
      </c>
      <c r="W45" s="16" t="n">
        <f aca="false">MIN(CADASTRO_CASAS_BOMBA!$O$12,MAX(0,W44+CADASTRO_CASAS_BOMBA!$I$12*HORAS_CAPTACAO_DIA-V45))</f>
        <v>440000</v>
      </c>
      <c r="X45" s="16" t="n">
        <f aca="false">MAX(0,V45-CADASTRO_CASAS_BOMBA!$I$12*HORAS_CAPTACAO_DIA-W44)</f>
        <v>0</v>
      </c>
      <c r="Y45" s="16" t="n">
        <f aca="false">INDEX(AUX_MATRIZES!$C$15:$BP$15,MIN(N_SEMANAS,MAX(1,$C45)))/DIAS_POR_SEMANA</f>
        <v>0</v>
      </c>
      <c r="Z45" s="16" t="n">
        <f aca="false">MIN(CADASTRO_CASAS_BOMBA!$O$13,MAX(0,Z44+CADASTRO_CASAS_BOMBA!$I$13*HORAS_CAPTACAO_DIA-Y45))</f>
        <v>74903</v>
      </c>
      <c r="AA45" s="16" t="n">
        <f aca="false">MAX(0,Y45-CADASTRO_CASAS_BOMBA!$I$13*HORAS_CAPTACAO_DIA-Z44)</f>
        <v>0</v>
      </c>
    </row>
    <row r="46" customFormat="false" ht="15" hidden="false" customHeight="false" outlineLevel="0" collapsed="false">
      <c r="B46" s="17" t="n">
        <f aca="false">DATA_INICIO_SAFRA+39</f>
        <v>46304</v>
      </c>
      <c r="C46" s="16" t="n">
        <f aca="false">MIN(N_SEMANAS,MAX(1,INT(($B46-DATA_INICIO_SAFRA)/DIAS_POR_SEMANA)+1))</f>
        <v>6</v>
      </c>
      <c r="D46" s="16" t="n">
        <f aca="false">INDEX(AUX_MATRIZES!$C$8:$BP$8,MIN(N_SEMANAS,MAX(1,$C46)))/DIAS_POR_SEMANA</f>
        <v>0</v>
      </c>
      <c r="E46" s="16" t="n">
        <f aca="false">MIN(CADASTRO_CASAS_BOMBA!$O$6,MAX(0,E45+CADASTRO_CASAS_BOMBA!$I$6*HORAS_CAPTACAO_DIA-D46))</f>
        <v>2600</v>
      </c>
      <c r="F46" s="16" t="n">
        <f aca="false">MAX(0,D46-CADASTRO_CASAS_BOMBA!$I$6*HORAS_CAPTACAO_DIA-E45)</f>
        <v>0</v>
      </c>
      <c r="G46" s="16" t="n">
        <f aca="false">INDEX(AUX_MATRIZES!$C$9:$BP$9,MIN(N_SEMANAS,MAX(1,$C46)))/DIAS_POR_SEMANA</f>
        <v>0</v>
      </c>
      <c r="H46" s="16" t="n">
        <f aca="false">MIN(CADASTRO_CASAS_BOMBA!$O$7,MAX(0,H45+CADASTRO_CASAS_BOMBA!$I$7*HORAS_CAPTACAO_DIA-G46))</f>
        <v>76648</v>
      </c>
      <c r="I46" s="16" t="n">
        <f aca="false">MAX(0,G46-CADASTRO_CASAS_BOMBA!$I$7*HORAS_CAPTACAO_DIA-H45)</f>
        <v>0</v>
      </c>
      <c r="J46" s="16" t="n">
        <f aca="false">INDEX(AUX_MATRIZES!$C$10:$BP$10,MIN(N_SEMANAS,MAX(1,$C46)))/DIAS_POR_SEMANA</f>
        <v>0</v>
      </c>
      <c r="K46" s="16" t="n">
        <f aca="false">MIN(CADASTRO_CASAS_BOMBA!$O$8,MAX(0,K45+CADASTRO_CASAS_BOMBA!$I$8*HORAS_CAPTACAO_DIA-J46))</f>
        <v>27377</v>
      </c>
      <c r="L46" s="16" t="n">
        <f aca="false">MAX(0,J46-CADASTRO_CASAS_BOMBA!$I$8*HORAS_CAPTACAO_DIA-K45)</f>
        <v>0</v>
      </c>
      <c r="M46" s="16" t="n">
        <f aca="false">INDEX(AUX_MATRIZES!$C$11:$BP$11,MIN(N_SEMANAS,MAX(1,$C46)))/DIAS_POR_SEMANA</f>
        <v>3936.87152941176</v>
      </c>
      <c r="N46" s="16" t="n">
        <f aca="false">MIN(CADASTRO_CASAS_BOMBA!$O$9,MAX(0,N45+CADASTRO_CASAS_BOMBA!$I$9*HORAS_CAPTACAO_DIA-M46))</f>
        <v>129000</v>
      </c>
      <c r="O46" s="16" t="n">
        <f aca="false">MAX(0,M46-CADASTRO_CASAS_BOMBA!$I$9*HORAS_CAPTACAO_DIA-N45)</f>
        <v>0</v>
      </c>
      <c r="P46" s="16" t="n">
        <f aca="false">INDEX(AUX_MATRIZES!$C$12:$BP$12,MIN(N_SEMANAS,MAX(1,$C46)))/DIAS_POR_SEMANA</f>
        <v>7865.088</v>
      </c>
      <c r="Q46" s="16" t="n">
        <f aca="false">MIN(CADASTRO_CASAS_BOMBA!$O$10,MAX(0,Q45+CADASTRO_CASAS_BOMBA!$I$10*HORAS_CAPTACAO_DIA-P46))</f>
        <v>1000000</v>
      </c>
      <c r="R46" s="16" t="n">
        <f aca="false">MAX(0,P46-CADASTRO_CASAS_BOMBA!$I$10*HORAS_CAPTACAO_DIA-Q45)</f>
        <v>0</v>
      </c>
      <c r="S46" s="16" t="n">
        <f aca="false">INDEX(AUX_MATRIZES!$C$13:$BP$13,MIN(N_SEMANAS,MAX(1,$C46)))/DIAS_POR_SEMANA</f>
        <v>3318.084</v>
      </c>
      <c r="T46" s="16" t="n">
        <f aca="false">MIN(CADASTRO_CASAS_BOMBA!$O$11,MAX(0,T45+CADASTRO_CASAS_BOMBA!$I$11*HORAS_CAPTACAO_DIA-S46))</f>
        <v>469821</v>
      </c>
      <c r="U46" s="16" t="n">
        <f aca="false">MAX(0,S46-CADASTRO_CASAS_BOMBA!$I$11*HORAS_CAPTACAO_DIA-T45)</f>
        <v>0</v>
      </c>
      <c r="V46" s="16" t="n">
        <f aca="false">INDEX(AUX_MATRIZES!$C$14:$BP$14,MIN(N_SEMANAS,MAX(1,$C46)))/DIAS_POR_SEMANA</f>
        <v>0</v>
      </c>
      <c r="W46" s="16" t="n">
        <f aca="false">MIN(CADASTRO_CASAS_BOMBA!$O$12,MAX(0,W45+CADASTRO_CASAS_BOMBA!$I$12*HORAS_CAPTACAO_DIA-V46))</f>
        <v>440000</v>
      </c>
      <c r="X46" s="16" t="n">
        <f aca="false">MAX(0,V46-CADASTRO_CASAS_BOMBA!$I$12*HORAS_CAPTACAO_DIA-W45)</f>
        <v>0</v>
      </c>
      <c r="Y46" s="16" t="n">
        <f aca="false">INDEX(AUX_MATRIZES!$C$15:$BP$15,MIN(N_SEMANAS,MAX(1,$C46)))/DIAS_POR_SEMANA</f>
        <v>0</v>
      </c>
      <c r="Z46" s="16" t="n">
        <f aca="false">MIN(CADASTRO_CASAS_BOMBA!$O$13,MAX(0,Z45+CADASTRO_CASAS_BOMBA!$I$13*HORAS_CAPTACAO_DIA-Y46))</f>
        <v>74903</v>
      </c>
      <c r="AA46" s="16" t="n">
        <f aca="false">MAX(0,Y46-CADASTRO_CASAS_BOMBA!$I$13*HORAS_CAPTACAO_DIA-Z45)</f>
        <v>0</v>
      </c>
    </row>
    <row r="47" customFormat="false" ht="15" hidden="false" customHeight="false" outlineLevel="0" collapsed="false">
      <c r="B47" s="17" t="n">
        <f aca="false">DATA_INICIO_SAFRA+40</f>
        <v>46305</v>
      </c>
      <c r="C47" s="16" t="n">
        <f aca="false">MIN(N_SEMANAS,MAX(1,INT(($B47-DATA_INICIO_SAFRA)/DIAS_POR_SEMANA)+1))</f>
        <v>6</v>
      </c>
      <c r="D47" s="16" t="n">
        <f aca="false">INDEX(AUX_MATRIZES!$C$8:$BP$8,MIN(N_SEMANAS,MAX(1,$C47)))/DIAS_POR_SEMANA</f>
        <v>0</v>
      </c>
      <c r="E47" s="16" t="n">
        <f aca="false">MIN(CADASTRO_CASAS_BOMBA!$O$6,MAX(0,E46+CADASTRO_CASAS_BOMBA!$I$6*HORAS_CAPTACAO_DIA-D47))</f>
        <v>2600</v>
      </c>
      <c r="F47" s="16" t="n">
        <f aca="false">MAX(0,D47-CADASTRO_CASAS_BOMBA!$I$6*HORAS_CAPTACAO_DIA-E46)</f>
        <v>0</v>
      </c>
      <c r="G47" s="16" t="n">
        <f aca="false">INDEX(AUX_MATRIZES!$C$9:$BP$9,MIN(N_SEMANAS,MAX(1,$C47)))/DIAS_POR_SEMANA</f>
        <v>0</v>
      </c>
      <c r="H47" s="16" t="n">
        <f aca="false">MIN(CADASTRO_CASAS_BOMBA!$O$7,MAX(0,H46+CADASTRO_CASAS_BOMBA!$I$7*HORAS_CAPTACAO_DIA-G47))</f>
        <v>76648</v>
      </c>
      <c r="I47" s="16" t="n">
        <f aca="false">MAX(0,G47-CADASTRO_CASAS_BOMBA!$I$7*HORAS_CAPTACAO_DIA-H46)</f>
        <v>0</v>
      </c>
      <c r="J47" s="16" t="n">
        <f aca="false">INDEX(AUX_MATRIZES!$C$10:$BP$10,MIN(N_SEMANAS,MAX(1,$C47)))/DIAS_POR_SEMANA</f>
        <v>0</v>
      </c>
      <c r="K47" s="16" t="n">
        <f aca="false">MIN(CADASTRO_CASAS_BOMBA!$O$8,MAX(0,K46+CADASTRO_CASAS_BOMBA!$I$8*HORAS_CAPTACAO_DIA-J47))</f>
        <v>27377</v>
      </c>
      <c r="L47" s="16" t="n">
        <f aca="false">MAX(0,J47-CADASTRO_CASAS_BOMBA!$I$8*HORAS_CAPTACAO_DIA-K46)</f>
        <v>0</v>
      </c>
      <c r="M47" s="16" t="n">
        <f aca="false">INDEX(AUX_MATRIZES!$C$11:$BP$11,MIN(N_SEMANAS,MAX(1,$C47)))/DIAS_POR_SEMANA</f>
        <v>3936.87152941176</v>
      </c>
      <c r="N47" s="16" t="n">
        <f aca="false">MIN(CADASTRO_CASAS_BOMBA!$O$9,MAX(0,N46+CADASTRO_CASAS_BOMBA!$I$9*HORAS_CAPTACAO_DIA-M47))</f>
        <v>129000</v>
      </c>
      <c r="O47" s="16" t="n">
        <f aca="false">MAX(0,M47-CADASTRO_CASAS_BOMBA!$I$9*HORAS_CAPTACAO_DIA-N46)</f>
        <v>0</v>
      </c>
      <c r="P47" s="16" t="n">
        <f aca="false">INDEX(AUX_MATRIZES!$C$12:$BP$12,MIN(N_SEMANAS,MAX(1,$C47)))/DIAS_POR_SEMANA</f>
        <v>7865.088</v>
      </c>
      <c r="Q47" s="16" t="n">
        <f aca="false">MIN(CADASTRO_CASAS_BOMBA!$O$10,MAX(0,Q46+CADASTRO_CASAS_BOMBA!$I$10*HORAS_CAPTACAO_DIA-P47))</f>
        <v>1000000</v>
      </c>
      <c r="R47" s="16" t="n">
        <f aca="false">MAX(0,P47-CADASTRO_CASAS_BOMBA!$I$10*HORAS_CAPTACAO_DIA-Q46)</f>
        <v>0</v>
      </c>
      <c r="S47" s="16" t="n">
        <f aca="false">INDEX(AUX_MATRIZES!$C$13:$BP$13,MIN(N_SEMANAS,MAX(1,$C47)))/DIAS_POR_SEMANA</f>
        <v>3318.084</v>
      </c>
      <c r="T47" s="16" t="n">
        <f aca="false">MIN(CADASTRO_CASAS_BOMBA!$O$11,MAX(0,T46+CADASTRO_CASAS_BOMBA!$I$11*HORAS_CAPTACAO_DIA-S47))</f>
        <v>469821</v>
      </c>
      <c r="U47" s="16" t="n">
        <f aca="false">MAX(0,S47-CADASTRO_CASAS_BOMBA!$I$11*HORAS_CAPTACAO_DIA-T46)</f>
        <v>0</v>
      </c>
      <c r="V47" s="16" t="n">
        <f aca="false">INDEX(AUX_MATRIZES!$C$14:$BP$14,MIN(N_SEMANAS,MAX(1,$C47)))/DIAS_POR_SEMANA</f>
        <v>0</v>
      </c>
      <c r="W47" s="16" t="n">
        <f aca="false">MIN(CADASTRO_CASAS_BOMBA!$O$12,MAX(0,W46+CADASTRO_CASAS_BOMBA!$I$12*HORAS_CAPTACAO_DIA-V47))</f>
        <v>440000</v>
      </c>
      <c r="X47" s="16" t="n">
        <f aca="false">MAX(0,V47-CADASTRO_CASAS_BOMBA!$I$12*HORAS_CAPTACAO_DIA-W46)</f>
        <v>0</v>
      </c>
      <c r="Y47" s="16" t="n">
        <f aca="false">INDEX(AUX_MATRIZES!$C$15:$BP$15,MIN(N_SEMANAS,MAX(1,$C47)))/DIAS_POR_SEMANA</f>
        <v>0</v>
      </c>
      <c r="Z47" s="16" t="n">
        <f aca="false">MIN(CADASTRO_CASAS_BOMBA!$O$13,MAX(0,Z46+CADASTRO_CASAS_BOMBA!$I$13*HORAS_CAPTACAO_DIA-Y47))</f>
        <v>74903</v>
      </c>
      <c r="AA47" s="16" t="n">
        <f aca="false">MAX(0,Y47-CADASTRO_CASAS_BOMBA!$I$13*HORAS_CAPTACAO_DIA-Z46)</f>
        <v>0</v>
      </c>
    </row>
    <row r="48" customFormat="false" ht="15" hidden="false" customHeight="false" outlineLevel="0" collapsed="false">
      <c r="B48" s="17" t="n">
        <f aca="false">DATA_INICIO_SAFRA+41</f>
        <v>46306</v>
      </c>
      <c r="C48" s="16" t="n">
        <f aca="false">MIN(N_SEMANAS,MAX(1,INT(($B48-DATA_INICIO_SAFRA)/DIAS_POR_SEMANA)+1))</f>
        <v>6</v>
      </c>
      <c r="D48" s="16" t="n">
        <f aca="false">INDEX(AUX_MATRIZES!$C$8:$BP$8,MIN(N_SEMANAS,MAX(1,$C48)))/DIAS_POR_SEMANA</f>
        <v>0</v>
      </c>
      <c r="E48" s="16" t="n">
        <f aca="false">MIN(CADASTRO_CASAS_BOMBA!$O$6,MAX(0,E47+CADASTRO_CASAS_BOMBA!$I$6*HORAS_CAPTACAO_DIA-D48))</f>
        <v>2600</v>
      </c>
      <c r="F48" s="16" t="n">
        <f aca="false">MAX(0,D48-CADASTRO_CASAS_BOMBA!$I$6*HORAS_CAPTACAO_DIA-E47)</f>
        <v>0</v>
      </c>
      <c r="G48" s="16" t="n">
        <f aca="false">INDEX(AUX_MATRIZES!$C$9:$BP$9,MIN(N_SEMANAS,MAX(1,$C48)))/DIAS_POR_SEMANA</f>
        <v>0</v>
      </c>
      <c r="H48" s="16" t="n">
        <f aca="false">MIN(CADASTRO_CASAS_BOMBA!$O$7,MAX(0,H47+CADASTRO_CASAS_BOMBA!$I$7*HORAS_CAPTACAO_DIA-G48))</f>
        <v>76648</v>
      </c>
      <c r="I48" s="16" t="n">
        <f aca="false">MAX(0,G48-CADASTRO_CASAS_BOMBA!$I$7*HORAS_CAPTACAO_DIA-H47)</f>
        <v>0</v>
      </c>
      <c r="J48" s="16" t="n">
        <f aca="false">INDEX(AUX_MATRIZES!$C$10:$BP$10,MIN(N_SEMANAS,MAX(1,$C48)))/DIAS_POR_SEMANA</f>
        <v>0</v>
      </c>
      <c r="K48" s="16" t="n">
        <f aca="false">MIN(CADASTRO_CASAS_BOMBA!$O$8,MAX(0,K47+CADASTRO_CASAS_BOMBA!$I$8*HORAS_CAPTACAO_DIA-J48))</f>
        <v>27377</v>
      </c>
      <c r="L48" s="16" t="n">
        <f aca="false">MAX(0,J48-CADASTRO_CASAS_BOMBA!$I$8*HORAS_CAPTACAO_DIA-K47)</f>
        <v>0</v>
      </c>
      <c r="M48" s="16" t="n">
        <f aca="false">INDEX(AUX_MATRIZES!$C$11:$BP$11,MIN(N_SEMANAS,MAX(1,$C48)))/DIAS_POR_SEMANA</f>
        <v>3936.87152941176</v>
      </c>
      <c r="N48" s="16" t="n">
        <f aca="false">MIN(CADASTRO_CASAS_BOMBA!$O$9,MAX(0,N47+CADASTRO_CASAS_BOMBA!$I$9*HORAS_CAPTACAO_DIA-M48))</f>
        <v>129000</v>
      </c>
      <c r="O48" s="16" t="n">
        <f aca="false">MAX(0,M48-CADASTRO_CASAS_BOMBA!$I$9*HORAS_CAPTACAO_DIA-N47)</f>
        <v>0</v>
      </c>
      <c r="P48" s="16" t="n">
        <f aca="false">INDEX(AUX_MATRIZES!$C$12:$BP$12,MIN(N_SEMANAS,MAX(1,$C48)))/DIAS_POR_SEMANA</f>
        <v>7865.088</v>
      </c>
      <c r="Q48" s="16" t="n">
        <f aca="false">MIN(CADASTRO_CASAS_BOMBA!$O$10,MAX(0,Q47+CADASTRO_CASAS_BOMBA!$I$10*HORAS_CAPTACAO_DIA-P48))</f>
        <v>1000000</v>
      </c>
      <c r="R48" s="16" t="n">
        <f aca="false">MAX(0,P48-CADASTRO_CASAS_BOMBA!$I$10*HORAS_CAPTACAO_DIA-Q47)</f>
        <v>0</v>
      </c>
      <c r="S48" s="16" t="n">
        <f aca="false">INDEX(AUX_MATRIZES!$C$13:$BP$13,MIN(N_SEMANAS,MAX(1,$C48)))/DIAS_POR_SEMANA</f>
        <v>3318.084</v>
      </c>
      <c r="T48" s="16" t="n">
        <f aca="false">MIN(CADASTRO_CASAS_BOMBA!$O$11,MAX(0,T47+CADASTRO_CASAS_BOMBA!$I$11*HORAS_CAPTACAO_DIA-S48))</f>
        <v>469821</v>
      </c>
      <c r="U48" s="16" t="n">
        <f aca="false">MAX(0,S48-CADASTRO_CASAS_BOMBA!$I$11*HORAS_CAPTACAO_DIA-T47)</f>
        <v>0</v>
      </c>
      <c r="V48" s="16" t="n">
        <f aca="false">INDEX(AUX_MATRIZES!$C$14:$BP$14,MIN(N_SEMANAS,MAX(1,$C48)))/DIAS_POR_SEMANA</f>
        <v>0</v>
      </c>
      <c r="W48" s="16" t="n">
        <f aca="false">MIN(CADASTRO_CASAS_BOMBA!$O$12,MAX(0,W47+CADASTRO_CASAS_BOMBA!$I$12*HORAS_CAPTACAO_DIA-V48))</f>
        <v>440000</v>
      </c>
      <c r="X48" s="16" t="n">
        <f aca="false">MAX(0,V48-CADASTRO_CASAS_BOMBA!$I$12*HORAS_CAPTACAO_DIA-W47)</f>
        <v>0</v>
      </c>
      <c r="Y48" s="16" t="n">
        <f aca="false">INDEX(AUX_MATRIZES!$C$15:$BP$15,MIN(N_SEMANAS,MAX(1,$C48)))/DIAS_POR_SEMANA</f>
        <v>0</v>
      </c>
      <c r="Z48" s="16" t="n">
        <f aca="false">MIN(CADASTRO_CASAS_BOMBA!$O$13,MAX(0,Z47+CADASTRO_CASAS_BOMBA!$I$13*HORAS_CAPTACAO_DIA-Y48))</f>
        <v>74903</v>
      </c>
      <c r="AA48" s="16" t="n">
        <f aca="false">MAX(0,Y48-CADASTRO_CASAS_BOMBA!$I$13*HORAS_CAPTACAO_DIA-Z47)</f>
        <v>0</v>
      </c>
    </row>
    <row r="49" customFormat="false" ht="15" hidden="false" customHeight="false" outlineLevel="0" collapsed="false">
      <c r="B49" s="17" t="n">
        <f aca="false">DATA_INICIO_SAFRA+42</f>
        <v>46307</v>
      </c>
      <c r="C49" s="16" t="n">
        <f aca="false">MIN(N_SEMANAS,MAX(1,INT(($B49-DATA_INICIO_SAFRA)/DIAS_POR_SEMANA)+1))</f>
        <v>7</v>
      </c>
      <c r="D49" s="16" t="n">
        <f aca="false">INDEX(AUX_MATRIZES!$C$8:$BP$8,MIN(N_SEMANAS,MAX(1,$C49)))/DIAS_POR_SEMANA</f>
        <v>0</v>
      </c>
      <c r="E49" s="16" t="n">
        <f aca="false">MIN(CADASTRO_CASAS_BOMBA!$O$6,MAX(0,E48+CADASTRO_CASAS_BOMBA!$I$6*HORAS_CAPTACAO_DIA-D49))</f>
        <v>2600</v>
      </c>
      <c r="F49" s="16" t="n">
        <f aca="false">MAX(0,D49-CADASTRO_CASAS_BOMBA!$I$6*HORAS_CAPTACAO_DIA-E48)</f>
        <v>0</v>
      </c>
      <c r="G49" s="16" t="n">
        <f aca="false">INDEX(AUX_MATRIZES!$C$9:$BP$9,MIN(N_SEMANAS,MAX(1,$C49)))/DIAS_POR_SEMANA</f>
        <v>0</v>
      </c>
      <c r="H49" s="16" t="n">
        <f aca="false">MIN(CADASTRO_CASAS_BOMBA!$O$7,MAX(0,H48+CADASTRO_CASAS_BOMBA!$I$7*HORAS_CAPTACAO_DIA-G49))</f>
        <v>76648</v>
      </c>
      <c r="I49" s="16" t="n">
        <f aca="false">MAX(0,G49-CADASTRO_CASAS_BOMBA!$I$7*HORAS_CAPTACAO_DIA-H48)</f>
        <v>0</v>
      </c>
      <c r="J49" s="16" t="n">
        <f aca="false">INDEX(AUX_MATRIZES!$C$10:$BP$10,MIN(N_SEMANAS,MAX(1,$C49)))/DIAS_POR_SEMANA</f>
        <v>0</v>
      </c>
      <c r="K49" s="16" t="n">
        <f aca="false">MIN(CADASTRO_CASAS_BOMBA!$O$8,MAX(0,K48+CADASTRO_CASAS_BOMBA!$I$8*HORAS_CAPTACAO_DIA-J49))</f>
        <v>27377</v>
      </c>
      <c r="L49" s="16" t="n">
        <f aca="false">MAX(0,J49-CADASTRO_CASAS_BOMBA!$I$8*HORAS_CAPTACAO_DIA-K48)</f>
        <v>0</v>
      </c>
      <c r="M49" s="16" t="n">
        <f aca="false">INDEX(AUX_MATRIZES!$C$11:$BP$11,MIN(N_SEMANAS,MAX(1,$C49)))/DIAS_POR_SEMANA</f>
        <v>3936.87152941176</v>
      </c>
      <c r="N49" s="16" t="n">
        <f aca="false">MIN(CADASTRO_CASAS_BOMBA!$O$9,MAX(0,N48+CADASTRO_CASAS_BOMBA!$I$9*HORAS_CAPTACAO_DIA-M49))</f>
        <v>129000</v>
      </c>
      <c r="O49" s="16" t="n">
        <f aca="false">MAX(0,M49-CADASTRO_CASAS_BOMBA!$I$9*HORAS_CAPTACAO_DIA-N48)</f>
        <v>0</v>
      </c>
      <c r="P49" s="16" t="n">
        <f aca="false">INDEX(AUX_MATRIZES!$C$12:$BP$12,MIN(N_SEMANAS,MAX(1,$C49)))/DIAS_POR_SEMANA</f>
        <v>7865.088</v>
      </c>
      <c r="Q49" s="16" t="n">
        <f aca="false">MIN(CADASTRO_CASAS_BOMBA!$O$10,MAX(0,Q48+CADASTRO_CASAS_BOMBA!$I$10*HORAS_CAPTACAO_DIA-P49))</f>
        <v>1000000</v>
      </c>
      <c r="R49" s="16" t="n">
        <f aca="false">MAX(0,P49-CADASTRO_CASAS_BOMBA!$I$10*HORAS_CAPTACAO_DIA-Q48)</f>
        <v>0</v>
      </c>
      <c r="S49" s="16" t="n">
        <f aca="false">INDEX(AUX_MATRIZES!$C$13:$BP$13,MIN(N_SEMANAS,MAX(1,$C49)))/DIAS_POR_SEMANA</f>
        <v>2367.288</v>
      </c>
      <c r="T49" s="16" t="n">
        <f aca="false">MIN(CADASTRO_CASAS_BOMBA!$O$11,MAX(0,T48+CADASTRO_CASAS_BOMBA!$I$11*HORAS_CAPTACAO_DIA-S49))</f>
        <v>469821</v>
      </c>
      <c r="U49" s="16" t="n">
        <f aca="false">MAX(0,S49-CADASTRO_CASAS_BOMBA!$I$11*HORAS_CAPTACAO_DIA-T48)</f>
        <v>0</v>
      </c>
      <c r="V49" s="16" t="n">
        <f aca="false">INDEX(AUX_MATRIZES!$C$14:$BP$14,MIN(N_SEMANAS,MAX(1,$C49)))/DIAS_POR_SEMANA</f>
        <v>0</v>
      </c>
      <c r="W49" s="16" t="n">
        <f aca="false">MIN(CADASTRO_CASAS_BOMBA!$O$12,MAX(0,W48+CADASTRO_CASAS_BOMBA!$I$12*HORAS_CAPTACAO_DIA-V49))</f>
        <v>440000</v>
      </c>
      <c r="X49" s="16" t="n">
        <f aca="false">MAX(0,V49-CADASTRO_CASAS_BOMBA!$I$12*HORAS_CAPTACAO_DIA-W48)</f>
        <v>0</v>
      </c>
      <c r="Y49" s="16" t="n">
        <f aca="false">INDEX(AUX_MATRIZES!$C$15:$BP$15,MIN(N_SEMANAS,MAX(1,$C49)))/DIAS_POR_SEMANA</f>
        <v>0</v>
      </c>
      <c r="Z49" s="16" t="n">
        <f aca="false">MIN(CADASTRO_CASAS_BOMBA!$O$13,MAX(0,Z48+CADASTRO_CASAS_BOMBA!$I$13*HORAS_CAPTACAO_DIA-Y49))</f>
        <v>74903</v>
      </c>
      <c r="AA49" s="16" t="n">
        <f aca="false">MAX(0,Y49-CADASTRO_CASAS_BOMBA!$I$13*HORAS_CAPTACAO_DIA-Z48)</f>
        <v>0</v>
      </c>
    </row>
    <row r="50" customFormat="false" ht="15" hidden="false" customHeight="false" outlineLevel="0" collapsed="false">
      <c r="B50" s="17" t="n">
        <f aca="false">DATA_INICIO_SAFRA+43</f>
        <v>46308</v>
      </c>
      <c r="C50" s="16" t="n">
        <f aca="false">MIN(N_SEMANAS,MAX(1,INT(($B50-DATA_INICIO_SAFRA)/DIAS_POR_SEMANA)+1))</f>
        <v>7</v>
      </c>
      <c r="D50" s="16" t="n">
        <f aca="false">INDEX(AUX_MATRIZES!$C$8:$BP$8,MIN(N_SEMANAS,MAX(1,$C50)))/DIAS_POR_SEMANA</f>
        <v>0</v>
      </c>
      <c r="E50" s="16" t="n">
        <f aca="false">MIN(CADASTRO_CASAS_BOMBA!$O$6,MAX(0,E49+CADASTRO_CASAS_BOMBA!$I$6*HORAS_CAPTACAO_DIA-D50))</f>
        <v>2600</v>
      </c>
      <c r="F50" s="16" t="n">
        <f aca="false">MAX(0,D50-CADASTRO_CASAS_BOMBA!$I$6*HORAS_CAPTACAO_DIA-E49)</f>
        <v>0</v>
      </c>
      <c r="G50" s="16" t="n">
        <f aca="false">INDEX(AUX_MATRIZES!$C$9:$BP$9,MIN(N_SEMANAS,MAX(1,$C50)))/DIAS_POR_SEMANA</f>
        <v>0</v>
      </c>
      <c r="H50" s="16" t="n">
        <f aca="false">MIN(CADASTRO_CASAS_BOMBA!$O$7,MAX(0,H49+CADASTRO_CASAS_BOMBA!$I$7*HORAS_CAPTACAO_DIA-G50))</f>
        <v>76648</v>
      </c>
      <c r="I50" s="16" t="n">
        <f aca="false">MAX(0,G50-CADASTRO_CASAS_BOMBA!$I$7*HORAS_CAPTACAO_DIA-H49)</f>
        <v>0</v>
      </c>
      <c r="J50" s="16" t="n">
        <f aca="false">INDEX(AUX_MATRIZES!$C$10:$BP$10,MIN(N_SEMANAS,MAX(1,$C50)))/DIAS_POR_SEMANA</f>
        <v>0</v>
      </c>
      <c r="K50" s="16" t="n">
        <f aca="false">MIN(CADASTRO_CASAS_BOMBA!$O$8,MAX(0,K49+CADASTRO_CASAS_BOMBA!$I$8*HORAS_CAPTACAO_DIA-J50))</f>
        <v>27377</v>
      </c>
      <c r="L50" s="16" t="n">
        <f aca="false">MAX(0,J50-CADASTRO_CASAS_BOMBA!$I$8*HORAS_CAPTACAO_DIA-K49)</f>
        <v>0</v>
      </c>
      <c r="M50" s="16" t="n">
        <f aca="false">INDEX(AUX_MATRIZES!$C$11:$BP$11,MIN(N_SEMANAS,MAX(1,$C50)))/DIAS_POR_SEMANA</f>
        <v>3936.87152941176</v>
      </c>
      <c r="N50" s="16" t="n">
        <f aca="false">MIN(CADASTRO_CASAS_BOMBA!$O$9,MAX(0,N49+CADASTRO_CASAS_BOMBA!$I$9*HORAS_CAPTACAO_DIA-M50))</f>
        <v>129000</v>
      </c>
      <c r="O50" s="16" t="n">
        <f aca="false">MAX(0,M50-CADASTRO_CASAS_BOMBA!$I$9*HORAS_CAPTACAO_DIA-N49)</f>
        <v>0</v>
      </c>
      <c r="P50" s="16" t="n">
        <f aca="false">INDEX(AUX_MATRIZES!$C$12:$BP$12,MIN(N_SEMANAS,MAX(1,$C50)))/DIAS_POR_SEMANA</f>
        <v>7865.088</v>
      </c>
      <c r="Q50" s="16" t="n">
        <f aca="false">MIN(CADASTRO_CASAS_BOMBA!$O$10,MAX(0,Q49+CADASTRO_CASAS_BOMBA!$I$10*HORAS_CAPTACAO_DIA-P50))</f>
        <v>1000000</v>
      </c>
      <c r="R50" s="16" t="n">
        <f aca="false">MAX(0,P50-CADASTRO_CASAS_BOMBA!$I$10*HORAS_CAPTACAO_DIA-Q49)</f>
        <v>0</v>
      </c>
      <c r="S50" s="16" t="n">
        <f aca="false">INDEX(AUX_MATRIZES!$C$13:$BP$13,MIN(N_SEMANAS,MAX(1,$C50)))/DIAS_POR_SEMANA</f>
        <v>2367.288</v>
      </c>
      <c r="T50" s="16" t="n">
        <f aca="false">MIN(CADASTRO_CASAS_BOMBA!$O$11,MAX(0,T49+CADASTRO_CASAS_BOMBA!$I$11*HORAS_CAPTACAO_DIA-S50))</f>
        <v>469821</v>
      </c>
      <c r="U50" s="16" t="n">
        <f aca="false">MAX(0,S50-CADASTRO_CASAS_BOMBA!$I$11*HORAS_CAPTACAO_DIA-T49)</f>
        <v>0</v>
      </c>
      <c r="V50" s="16" t="n">
        <f aca="false">INDEX(AUX_MATRIZES!$C$14:$BP$14,MIN(N_SEMANAS,MAX(1,$C50)))/DIAS_POR_SEMANA</f>
        <v>0</v>
      </c>
      <c r="W50" s="16" t="n">
        <f aca="false">MIN(CADASTRO_CASAS_BOMBA!$O$12,MAX(0,W49+CADASTRO_CASAS_BOMBA!$I$12*HORAS_CAPTACAO_DIA-V50))</f>
        <v>440000</v>
      </c>
      <c r="X50" s="16" t="n">
        <f aca="false">MAX(0,V50-CADASTRO_CASAS_BOMBA!$I$12*HORAS_CAPTACAO_DIA-W49)</f>
        <v>0</v>
      </c>
      <c r="Y50" s="16" t="n">
        <f aca="false">INDEX(AUX_MATRIZES!$C$15:$BP$15,MIN(N_SEMANAS,MAX(1,$C50)))/DIAS_POR_SEMANA</f>
        <v>0</v>
      </c>
      <c r="Z50" s="16" t="n">
        <f aca="false">MIN(CADASTRO_CASAS_BOMBA!$O$13,MAX(0,Z49+CADASTRO_CASAS_BOMBA!$I$13*HORAS_CAPTACAO_DIA-Y50))</f>
        <v>74903</v>
      </c>
      <c r="AA50" s="16" t="n">
        <f aca="false">MAX(0,Y50-CADASTRO_CASAS_BOMBA!$I$13*HORAS_CAPTACAO_DIA-Z49)</f>
        <v>0</v>
      </c>
    </row>
    <row r="51" customFormat="false" ht="15" hidden="false" customHeight="false" outlineLevel="0" collapsed="false">
      <c r="B51" s="17" t="n">
        <f aca="false">DATA_INICIO_SAFRA+44</f>
        <v>46309</v>
      </c>
      <c r="C51" s="16" t="n">
        <f aca="false">MIN(N_SEMANAS,MAX(1,INT(($B51-DATA_INICIO_SAFRA)/DIAS_POR_SEMANA)+1))</f>
        <v>7</v>
      </c>
      <c r="D51" s="16" t="n">
        <f aca="false">INDEX(AUX_MATRIZES!$C$8:$BP$8,MIN(N_SEMANAS,MAX(1,$C51)))/DIAS_POR_SEMANA</f>
        <v>0</v>
      </c>
      <c r="E51" s="16" t="n">
        <f aca="false">MIN(CADASTRO_CASAS_BOMBA!$O$6,MAX(0,E50+CADASTRO_CASAS_BOMBA!$I$6*HORAS_CAPTACAO_DIA-D51))</f>
        <v>2600</v>
      </c>
      <c r="F51" s="16" t="n">
        <f aca="false">MAX(0,D51-CADASTRO_CASAS_BOMBA!$I$6*HORAS_CAPTACAO_DIA-E50)</f>
        <v>0</v>
      </c>
      <c r="G51" s="16" t="n">
        <f aca="false">INDEX(AUX_MATRIZES!$C$9:$BP$9,MIN(N_SEMANAS,MAX(1,$C51)))/DIAS_POR_SEMANA</f>
        <v>0</v>
      </c>
      <c r="H51" s="16" t="n">
        <f aca="false">MIN(CADASTRO_CASAS_BOMBA!$O$7,MAX(0,H50+CADASTRO_CASAS_BOMBA!$I$7*HORAS_CAPTACAO_DIA-G51))</f>
        <v>76648</v>
      </c>
      <c r="I51" s="16" t="n">
        <f aca="false">MAX(0,G51-CADASTRO_CASAS_BOMBA!$I$7*HORAS_CAPTACAO_DIA-H50)</f>
        <v>0</v>
      </c>
      <c r="J51" s="16" t="n">
        <f aca="false">INDEX(AUX_MATRIZES!$C$10:$BP$10,MIN(N_SEMANAS,MAX(1,$C51)))/DIAS_POR_SEMANA</f>
        <v>0</v>
      </c>
      <c r="K51" s="16" t="n">
        <f aca="false">MIN(CADASTRO_CASAS_BOMBA!$O$8,MAX(0,K50+CADASTRO_CASAS_BOMBA!$I$8*HORAS_CAPTACAO_DIA-J51))</f>
        <v>27377</v>
      </c>
      <c r="L51" s="16" t="n">
        <f aca="false">MAX(0,J51-CADASTRO_CASAS_BOMBA!$I$8*HORAS_CAPTACAO_DIA-K50)</f>
        <v>0</v>
      </c>
      <c r="M51" s="16" t="n">
        <f aca="false">INDEX(AUX_MATRIZES!$C$11:$BP$11,MIN(N_SEMANAS,MAX(1,$C51)))/DIAS_POR_SEMANA</f>
        <v>3936.87152941176</v>
      </c>
      <c r="N51" s="16" t="n">
        <f aca="false">MIN(CADASTRO_CASAS_BOMBA!$O$9,MAX(0,N50+CADASTRO_CASAS_BOMBA!$I$9*HORAS_CAPTACAO_DIA-M51))</f>
        <v>129000</v>
      </c>
      <c r="O51" s="16" t="n">
        <f aca="false">MAX(0,M51-CADASTRO_CASAS_BOMBA!$I$9*HORAS_CAPTACAO_DIA-N50)</f>
        <v>0</v>
      </c>
      <c r="P51" s="16" t="n">
        <f aca="false">INDEX(AUX_MATRIZES!$C$12:$BP$12,MIN(N_SEMANAS,MAX(1,$C51)))/DIAS_POR_SEMANA</f>
        <v>7865.088</v>
      </c>
      <c r="Q51" s="16" t="n">
        <f aca="false">MIN(CADASTRO_CASAS_BOMBA!$O$10,MAX(0,Q50+CADASTRO_CASAS_BOMBA!$I$10*HORAS_CAPTACAO_DIA-P51))</f>
        <v>1000000</v>
      </c>
      <c r="R51" s="16" t="n">
        <f aca="false">MAX(0,P51-CADASTRO_CASAS_BOMBA!$I$10*HORAS_CAPTACAO_DIA-Q50)</f>
        <v>0</v>
      </c>
      <c r="S51" s="16" t="n">
        <f aca="false">INDEX(AUX_MATRIZES!$C$13:$BP$13,MIN(N_SEMANAS,MAX(1,$C51)))/DIAS_POR_SEMANA</f>
        <v>2367.288</v>
      </c>
      <c r="T51" s="16" t="n">
        <f aca="false">MIN(CADASTRO_CASAS_BOMBA!$O$11,MAX(0,T50+CADASTRO_CASAS_BOMBA!$I$11*HORAS_CAPTACAO_DIA-S51))</f>
        <v>469821</v>
      </c>
      <c r="U51" s="16" t="n">
        <f aca="false">MAX(0,S51-CADASTRO_CASAS_BOMBA!$I$11*HORAS_CAPTACAO_DIA-T50)</f>
        <v>0</v>
      </c>
      <c r="V51" s="16" t="n">
        <f aca="false">INDEX(AUX_MATRIZES!$C$14:$BP$14,MIN(N_SEMANAS,MAX(1,$C51)))/DIAS_POR_SEMANA</f>
        <v>0</v>
      </c>
      <c r="W51" s="16" t="n">
        <f aca="false">MIN(CADASTRO_CASAS_BOMBA!$O$12,MAX(0,W50+CADASTRO_CASAS_BOMBA!$I$12*HORAS_CAPTACAO_DIA-V51))</f>
        <v>440000</v>
      </c>
      <c r="X51" s="16" t="n">
        <f aca="false">MAX(0,V51-CADASTRO_CASAS_BOMBA!$I$12*HORAS_CAPTACAO_DIA-W50)</f>
        <v>0</v>
      </c>
      <c r="Y51" s="16" t="n">
        <f aca="false">INDEX(AUX_MATRIZES!$C$15:$BP$15,MIN(N_SEMANAS,MAX(1,$C51)))/DIAS_POR_SEMANA</f>
        <v>0</v>
      </c>
      <c r="Z51" s="16" t="n">
        <f aca="false">MIN(CADASTRO_CASAS_BOMBA!$O$13,MAX(0,Z50+CADASTRO_CASAS_BOMBA!$I$13*HORAS_CAPTACAO_DIA-Y51))</f>
        <v>74903</v>
      </c>
      <c r="AA51" s="16" t="n">
        <f aca="false">MAX(0,Y51-CADASTRO_CASAS_BOMBA!$I$13*HORAS_CAPTACAO_DIA-Z50)</f>
        <v>0</v>
      </c>
    </row>
    <row r="52" customFormat="false" ht="15" hidden="false" customHeight="false" outlineLevel="0" collapsed="false">
      <c r="B52" s="17" t="n">
        <f aca="false">DATA_INICIO_SAFRA+45</f>
        <v>46310</v>
      </c>
      <c r="C52" s="16" t="n">
        <f aca="false">MIN(N_SEMANAS,MAX(1,INT(($B52-DATA_INICIO_SAFRA)/DIAS_POR_SEMANA)+1))</f>
        <v>7</v>
      </c>
      <c r="D52" s="16" t="n">
        <f aca="false">INDEX(AUX_MATRIZES!$C$8:$BP$8,MIN(N_SEMANAS,MAX(1,$C52)))/DIAS_POR_SEMANA</f>
        <v>0</v>
      </c>
      <c r="E52" s="16" t="n">
        <f aca="false">MIN(CADASTRO_CASAS_BOMBA!$O$6,MAX(0,E51+CADASTRO_CASAS_BOMBA!$I$6*HORAS_CAPTACAO_DIA-D52))</f>
        <v>2600</v>
      </c>
      <c r="F52" s="16" t="n">
        <f aca="false">MAX(0,D52-CADASTRO_CASAS_BOMBA!$I$6*HORAS_CAPTACAO_DIA-E51)</f>
        <v>0</v>
      </c>
      <c r="G52" s="16" t="n">
        <f aca="false">INDEX(AUX_MATRIZES!$C$9:$BP$9,MIN(N_SEMANAS,MAX(1,$C52)))/DIAS_POR_SEMANA</f>
        <v>0</v>
      </c>
      <c r="H52" s="16" t="n">
        <f aca="false">MIN(CADASTRO_CASAS_BOMBA!$O$7,MAX(0,H51+CADASTRO_CASAS_BOMBA!$I$7*HORAS_CAPTACAO_DIA-G52))</f>
        <v>76648</v>
      </c>
      <c r="I52" s="16" t="n">
        <f aca="false">MAX(0,G52-CADASTRO_CASAS_BOMBA!$I$7*HORAS_CAPTACAO_DIA-H51)</f>
        <v>0</v>
      </c>
      <c r="J52" s="16" t="n">
        <f aca="false">INDEX(AUX_MATRIZES!$C$10:$BP$10,MIN(N_SEMANAS,MAX(1,$C52)))/DIAS_POR_SEMANA</f>
        <v>0</v>
      </c>
      <c r="K52" s="16" t="n">
        <f aca="false">MIN(CADASTRO_CASAS_BOMBA!$O$8,MAX(0,K51+CADASTRO_CASAS_BOMBA!$I$8*HORAS_CAPTACAO_DIA-J52))</f>
        <v>27377</v>
      </c>
      <c r="L52" s="16" t="n">
        <f aca="false">MAX(0,J52-CADASTRO_CASAS_BOMBA!$I$8*HORAS_CAPTACAO_DIA-K51)</f>
        <v>0</v>
      </c>
      <c r="M52" s="16" t="n">
        <f aca="false">INDEX(AUX_MATRIZES!$C$11:$BP$11,MIN(N_SEMANAS,MAX(1,$C52)))/DIAS_POR_SEMANA</f>
        <v>3936.87152941176</v>
      </c>
      <c r="N52" s="16" t="n">
        <f aca="false">MIN(CADASTRO_CASAS_BOMBA!$O$9,MAX(0,N51+CADASTRO_CASAS_BOMBA!$I$9*HORAS_CAPTACAO_DIA-M52))</f>
        <v>129000</v>
      </c>
      <c r="O52" s="16" t="n">
        <f aca="false">MAX(0,M52-CADASTRO_CASAS_BOMBA!$I$9*HORAS_CAPTACAO_DIA-N51)</f>
        <v>0</v>
      </c>
      <c r="P52" s="16" t="n">
        <f aca="false">INDEX(AUX_MATRIZES!$C$12:$BP$12,MIN(N_SEMANAS,MAX(1,$C52)))/DIAS_POR_SEMANA</f>
        <v>7865.088</v>
      </c>
      <c r="Q52" s="16" t="n">
        <f aca="false">MIN(CADASTRO_CASAS_BOMBA!$O$10,MAX(0,Q51+CADASTRO_CASAS_BOMBA!$I$10*HORAS_CAPTACAO_DIA-P52))</f>
        <v>1000000</v>
      </c>
      <c r="R52" s="16" t="n">
        <f aca="false">MAX(0,P52-CADASTRO_CASAS_BOMBA!$I$10*HORAS_CAPTACAO_DIA-Q51)</f>
        <v>0</v>
      </c>
      <c r="S52" s="16" t="n">
        <f aca="false">INDEX(AUX_MATRIZES!$C$13:$BP$13,MIN(N_SEMANAS,MAX(1,$C52)))/DIAS_POR_SEMANA</f>
        <v>2367.288</v>
      </c>
      <c r="T52" s="16" t="n">
        <f aca="false">MIN(CADASTRO_CASAS_BOMBA!$O$11,MAX(0,T51+CADASTRO_CASAS_BOMBA!$I$11*HORAS_CAPTACAO_DIA-S52))</f>
        <v>469821</v>
      </c>
      <c r="U52" s="16" t="n">
        <f aca="false">MAX(0,S52-CADASTRO_CASAS_BOMBA!$I$11*HORAS_CAPTACAO_DIA-T51)</f>
        <v>0</v>
      </c>
      <c r="V52" s="16" t="n">
        <f aca="false">INDEX(AUX_MATRIZES!$C$14:$BP$14,MIN(N_SEMANAS,MAX(1,$C52)))/DIAS_POR_SEMANA</f>
        <v>0</v>
      </c>
      <c r="W52" s="16" t="n">
        <f aca="false">MIN(CADASTRO_CASAS_BOMBA!$O$12,MAX(0,W51+CADASTRO_CASAS_BOMBA!$I$12*HORAS_CAPTACAO_DIA-V52))</f>
        <v>440000</v>
      </c>
      <c r="X52" s="16" t="n">
        <f aca="false">MAX(0,V52-CADASTRO_CASAS_BOMBA!$I$12*HORAS_CAPTACAO_DIA-W51)</f>
        <v>0</v>
      </c>
      <c r="Y52" s="16" t="n">
        <f aca="false">INDEX(AUX_MATRIZES!$C$15:$BP$15,MIN(N_SEMANAS,MAX(1,$C52)))/DIAS_POR_SEMANA</f>
        <v>0</v>
      </c>
      <c r="Z52" s="16" t="n">
        <f aca="false">MIN(CADASTRO_CASAS_BOMBA!$O$13,MAX(0,Z51+CADASTRO_CASAS_BOMBA!$I$13*HORAS_CAPTACAO_DIA-Y52))</f>
        <v>74903</v>
      </c>
      <c r="AA52" s="16" t="n">
        <f aca="false">MAX(0,Y52-CADASTRO_CASAS_BOMBA!$I$13*HORAS_CAPTACAO_DIA-Z51)</f>
        <v>0</v>
      </c>
    </row>
    <row r="53" customFormat="false" ht="15" hidden="false" customHeight="false" outlineLevel="0" collapsed="false">
      <c r="B53" s="17" t="n">
        <f aca="false">DATA_INICIO_SAFRA+46</f>
        <v>46311</v>
      </c>
      <c r="C53" s="16" t="n">
        <f aca="false">MIN(N_SEMANAS,MAX(1,INT(($B53-DATA_INICIO_SAFRA)/DIAS_POR_SEMANA)+1))</f>
        <v>7</v>
      </c>
      <c r="D53" s="16" t="n">
        <f aca="false">INDEX(AUX_MATRIZES!$C$8:$BP$8,MIN(N_SEMANAS,MAX(1,$C53)))/DIAS_POR_SEMANA</f>
        <v>0</v>
      </c>
      <c r="E53" s="16" t="n">
        <f aca="false">MIN(CADASTRO_CASAS_BOMBA!$O$6,MAX(0,E52+CADASTRO_CASAS_BOMBA!$I$6*HORAS_CAPTACAO_DIA-D53))</f>
        <v>2600</v>
      </c>
      <c r="F53" s="16" t="n">
        <f aca="false">MAX(0,D53-CADASTRO_CASAS_BOMBA!$I$6*HORAS_CAPTACAO_DIA-E52)</f>
        <v>0</v>
      </c>
      <c r="G53" s="16" t="n">
        <f aca="false">INDEX(AUX_MATRIZES!$C$9:$BP$9,MIN(N_SEMANAS,MAX(1,$C53)))/DIAS_POR_SEMANA</f>
        <v>0</v>
      </c>
      <c r="H53" s="16" t="n">
        <f aca="false">MIN(CADASTRO_CASAS_BOMBA!$O$7,MAX(0,H52+CADASTRO_CASAS_BOMBA!$I$7*HORAS_CAPTACAO_DIA-G53))</f>
        <v>76648</v>
      </c>
      <c r="I53" s="16" t="n">
        <f aca="false">MAX(0,G53-CADASTRO_CASAS_BOMBA!$I$7*HORAS_CAPTACAO_DIA-H52)</f>
        <v>0</v>
      </c>
      <c r="J53" s="16" t="n">
        <f aca="false">INDEX(AUX_MATRIZES!$C$10:$BP$10,MIN(N_SEMANAS,MAX(1,$C53)))/DIAS_POR_SEMANA</f>
        <v>0</v>
      </c>
      <c r="K53" s="16" t="n">
        <f aca="false">MIN(CADASTRO_CASAS_BOMBA!$O$8,MAX(0,K52+CADASTRO_CASAS_BOMBA!$I$8*HORAS_CAPTACAO_DIA-J53))</f>
        <v>27377</v>
      </c>
      <c r="L53" s="16" t="n">
        <f aca="false">MAX(0,J53-CADASTRO_CASAS_BOMBA!$I$8*HORAS_CAPTACAO_DIA-K52)</f>
        <v>0</v>
      </c>
      <c r="M53" s="16" t="n">
        <f aca="false">INDEX(AUX_MATRIZES!$C$11:$BP$11,MIN(N_SEMANAS,MAX(1,$C53)))/DIAS_POR_SEMANA</f>
        <v>3936.87152941176</v>
      </c>
      <c r="N53" s="16" t="n">
        <f aca="false">MIN(CADASTRO_CASAS_BOMBA!$O$9,MAX(0,N52+CADASTRO_CASAS_BOMBA!$I$9*HORAS_CAPTACAO_DIA-M53))</f>
        <v>129000</v>
      </c>
      <c r="O53" s="16" t="n">
        <f aca="false">MAX(0,M53-CADASTRO_CASAS_BOMBA!$I$9*HORAS_CAPTACAO_DIA-N52)</f>
        <v>0</v>
      </c>
      <c r="P53" s="16" t="n">
        <f aca="false">INDEX(AUX_MATRIZES!$C$12:$BP$12,MIN(N_SEMANAS,MAX(1,$C53)))/DIAS_POR_SEMANA</f>
        <v>7865.088</v>
      </c>
      <c r="Q53" s="16" t="n">
        <f aca="false">MIN(CADASTRO_CASAS_BOMBA!$O$10,MAX(0,Q52+CADASTRO_CASAS_BOMBA!$I$10*HORAS_CAPTACAO_DIA-P53))</f>
        <v>1000000</v>
      </c>
      <c r="R53" s="16" t="n">
        <f aca="false">MAX(0,P53-CADASTRO_CASAS_BOMBA!$I$10*HORAS_CAPTACAO_DIA-Q52)</f>
        <v>0</v>
      </c>
      <c r="S53" s="16" t="n">
        <f aca="false">INDEX(AUX_MATRIZES!$C$13:$BP$13,MIN(N_SEMANAS,MAX(1,$C53)))/DIAS_POR_SEMANA</f>
        <v>2367.288</v>
      </c>
      <c r="T53" s="16" t="n">
        <f aca="false">MIN(CADASTRO_CASAS_BOMBA!$O$11,MAX(0,T52+CADASTRO_CASAS_BOMBA!$I$11*HORAS_CAPTACAO_DIA-S53))</f>
        <v>469821</v>
      </c>
      <c r="U53" s="16" t="n">
        <f aca="false">MAX(0,S53-CADASTRO_CASAS_BOMBA!$I$11*HORAS_CAPTACAO_DIA-T52)</f>
        <v>0</v>
      </c>
      <c r="V53" s="16" t="n">
        <f aca="false">INDEX(AUX_MATRIZES!$C$14:$BP$14,MIN(N_SEMANAS,MAX(1,$C53)))/DIAS_POR_SEMANA</f>
        <v>0</v>
      </c>
      <c r="W53" s="16" t="n">
        <f aca="false">MIN(CADASTRO_CASAS_BOMBA!$O$12,MAX(0,W52+CADASTRO_CASAS_BOMBA!$I$12*HORAS_CAPTACAO_DIA-V53))</f>
        <v>440000</v>
      </c>
      <c r="X53" s="16" t="n">
        <f aca="false">MAX(0,V53-CADASTRO_CASAS_BOMBA!$I$12*HORAS_CAPTACAO_DIA-W52)</f>
        <v>0</v>
      </c>
      <c r="Y53" s="16" t="n">
        <f aca="false">INDEX(AUX_MATRIZES!$C$15:$BP$15,MIN(N_SEMANAS,MAX(1,$C53)))/DIAS_POR_SEMANA</f>
        <v>0</v>
      </c>
      <c r="Z53" s="16" t="n">
        <f aca="false">MIN(CADASTRO_CASAS_BOMBA!$O$13,MAX(0,Z52+CADASTRO_CASAS_BOMBA!$I$13*HORAS_CAPTACAO_DIA-Y53))</f>
        <v>74903</v>
      </c>
      <c r="AA53" s="16" t="n">
        <f aca="false">MAX(0,Y53-CADASTRO_CASAS_BOMBA!$I$13*HORAS_CAPTACAO_DIA-Z52)</f>
        <v>0</v>
      </c>
    </row>
    <row r="54" customFormat="false" ht="15" hidden="false" customHeight="false" outlineLevel="0" collapsed="false">
      <c r="B54" s="17" t="n">
        <f aca="false">DATA_INICIO_SAFRA+47</f>
        <v>46312</v>
      </c>
      <c r="C54" s="16" t="n">
        <f aca="false">MIN(N_SEMANAS,MAX(1,INT(($B54-DATA_INICIO_SAFRA)/DIAS_POR_SEMANA)+1))</f>
        <v>7</v>
      </c>
      <c r="D54" s="16" t="n">
        <f aca="false">INDEX(AUX_MATRIZES!$C$8:$BP$8,MIN(N_SEMANAS,MAX(1,$C54)))/DIAS_POR_SEMANA</f>
        <v>0</v>
      </c>
      <c r="E54" s="16" t="n">
        <f aca="false">MIN(CADASTRO_CASAS_BOMBA!$O$6,MAX(0,E53+CADASTRO_CASAS_BOMBA!$I$6*HORAS_CAPTACAO_DIA-D54))</f>
        <v>2600</v>
      </c>
      <c r="F54" s="16" t="n">
        <f aca="false">MAX(0,D54-CADASTRO_CASAS_BOMBA!$I$6*HORAS_CAPTACAO_DIA-E53)</f>
        <v>0</v>
      </c>
      <c r="G54" s="16" t="n">
        <f aca="false">INDEX(AUX_MATRIZES!$C$9:$BP$9,MIN(N_SEMANAS,MAX(1,$C54)))/DIAS_POR_SEMANA</f>
        <v>0</v>
      </c>
      <c r="H54" s="16" t="n">
        <f aca="false">MIN(CADASTRO_CASAS_BOMBA!$O$7,MAX(0,H53+CADASTRO_CASAS_BOMBA!$I$7*HORAS_CAPTACAO_DIA-G54))</f>
        <v>76648</v>
      </c>
      <c r="I54" s="16" t="n">
        <f aca="false">MAX(0,G54-CADASTRO_CASAS_BOMBA!$I$7*HORAS_CAPTACAO_DIA-H53)</f>
        <v>0</v>
      </c>
      <c r="J54" s="16" t="n">
        <f aca="false">INDEX(AUX_MATRIZES!$C$10:$BP$10,MIN(N_SEMANAS,MAX(1,$C54)))/DIAS_POR_SEMANA</f>
        <v>0</v>
      </c>
      <c r="K54" s="16" t="n">
        <f aca="false">MIN(CADASTRO_CASAS_BOMBA!$O$8,MAX(0,K53+CADASTRO_CASAS_BOMBA!$I$8*HORAS_CAPTACAO_DIA-J54))</f>
        <v>27377</v>
      </c>
      <c r="L54" s="16" t="n">
        <f aca="false">MAX(0,J54-CADASTRO_CASAS_BOMBA!$I$8*HORAS_CAPTACAO_DIA-K53)</f>
        <v>0</v>
      </c>
      <c r="M54" s="16" t="n">
        <f aca="false">INDEX(AUX_MATRIZES!$C$11:$BP$11,MIN(N_SEMANAS,MAX(1,$C54)))/DIAS_POR_SEMANA</f>
        <v>3936.87152941176</v>
      </c>
      <c r="N54" s="16" t="n">
        <f aca="false">MIN(CADASTRO_CASAS_BOMBA!$O$9,MAX(0,N53+CADASTRO_CASAS_BOMBA!$I$9*HORAS_CAPTACAO_DIA-M54))</f>
        <v>129000</v>
      </c>
      <c r="O54" s="16" t="n">
        <f aca="false">MAX(0,M54-CADASTRO_CASAS_BOMBA!$I$9*HORAS_CAPTACAO_DIA-N53)</f>
        <v>0</v>
      </c>
      <c r="P54" s="16" t="n">
        <f aca="false">INDEX(AUX_MATRIZES!$C$12:$BP$12,MIN(N_SEMANAS,MAX(1,$C54)))/DIAS_POR_SEMANA</f>
        <v>7865.088</v>
      </c>
      <c r="Q54" s="16" t="n">
        <f aca="false">MIN(CADASTRO_CASAS_BOMBA!$O$10,MAX(0,Q53+CADASTRO_CASAS_BOMBA!$I$10*HORAS_CAPTACAO_DIA-P54))</f>
        <v>1000000</v>
      </c>
      <c r="R54" s="16" t="n">
        <f aca="false">MAX(0,P54-CADASTRO_CASAS_BOMBA!$I$10*HORAS_CAPTACAO_DIA-Q53)</f>
        <v>0</v>
      </c>
      <c r="S54" s="16" t="n">
        <f aca="false">INDEX(AUX_MATRIZES!$C$13:$BP$13,MIN(N_SEMANAS,MAX(1,$C54)))/DIAS_POR_SEMANA</f>
        <v>2367.288</v>
      </c>
      <c r="T54" s="16" t="n">
        <f aca="false">MIN(CADASTRO_CASAS_BOMBA!$O$11,MAX(0,T53+CADASTRO_CASAS_BOMBA!$I$11*HORAS_CAPTACAO_DIA-S54))</f>
        <v>469821</v>
      </c>
      <c r="U54" s="16" t="n">
        <f aca="false">MAX(0,S54-CADASTRO_CASAS_BOMBA!$I$11*HORAS_CAPTACAO_DIA-T53)</f>
        <v>0</v>
      </c>
      <c r="V54" s="16" t="n">
        <f aca="false">INDEX(AUX_MATRIZES!$C$14:$BP$14,MIN(N_SEMANAS,MAX(1,$C54)))/DIAS_POR_SEMANA</f>
        <v>0</v>
      </c>
      <c r="W54" s="16" t="n">
        <f aca="false">MIN(CADASTRO_CASAS_BOMBA!$O$12,MAX(0,W53+CADASTRO_CASAS_BOMBA!$I$12*HORAS_CAPTACAO_DIA-V54))</f>
        <v>440000</v>
      </c>
      <c r="X54" s="16" t="n">
        <f aca="false">MAX(0,V54-CADASTRO_CASAS_BOMBA!$I$12*HORAS_CAPTACAO_DIA-W53)</f>
        <v>0</v>
      </c>
      <c r="Y54" s="16" t="n">
        <f aca="false">INDEX(AUX_MATRIZES!$C$15:$BP$15,MIN(N_SEMANAS,MAX(1,$C54)))/DIAS_POR_SEMANA</f>
        <v>0</v>
      </c>
      <c r="Z54" s="16" t="n">
        <f aca="false">MIN(CADASTRO_CASAS_BOMBA!$O$13,MAX(0,Z53+CADASTRO_CASAS_BOMBA!$I$13*HORAS_CAPTACAO_DIA-Y54))</f>
        <v>74903</v>
      </c>
      <c r="AA54" s="16" t="n">
        <f aca="false">MAX(0,Y54-CADASTRO_CASAS_BOMBA!$I$13*HORAS_CAPTACAO_DIA-Z53)</f>
        <v>0</v>
      </c>
    </row>
    <row r="55" customFormat="false" ht="15" hidden="false" customHeight="false" outlineLevel="0" collapsed="false">
      <c r="B55" s="17" t="n">
        <f aca="false">DATA_INICIO_SAFRA+48</f>
        <v>46313</v>
      </c>
      <c r="C55" s="16" t="n">
        <f aca="false">MIN(N_SEMANAS,MAX(1,INT(($B55-DATA_INICIO_SAFRA)/DIAS_POR_SEMANA)+1))</f>
        <v>7</v>
      </c>
      <c r="D55" s="16" t="n">
        <f aca="false">INDEX(AUX_MATRIZES!$C$8:$BP$8,MIN(N_SEMANAS,MAX(1,$C55)))/DIAS_POR_SEMANA</f>
        <v>0</v>
      </c>
      <c r="E55" s="16" t="n">
        <f aca="false">MIN(CADASTRO_CASAS_BOMBA!$O$6,MAX(0,E54+CADASTRO_CASAS_BOMBA!$I$6*HORAS_CAPTACAO_DIA-D55))</f>
        <v>2600</v>
      </c>
      <c r="F55" s="16" t="n">
        <f aca="false">MAX(0,D55-CADASTRO_CASAS_BOMBA!$I$6*HORAS_CAPTACAO_DIA-E54)</f>
        <v>0</v>
      </c>
      <c r="G55" s="16" t="n">
        <f aca="false">INDEX(AUX_MATRIZES!$C$9:$BP$9,MIN(N_SEMANAS,MAX(1,$C55)))/DIAS_POR_SEMANA</f>
        <v>0</v>
      </c>
      <c r="H55" s="16" t="n">
        <f aca="false">MIN(CADASTRO_CASAS_BOMBA!$O$7,MAX(0,H54+CADASTRO_CASAS_BOMBA!$I$7*HORAS_CAPTACAO_DIA-G55))</f>
        <v>76648</v>
      </c>
      <c r="I55" s="16" t="n">
        <f aca="false">MAX(0,G55-CADASTRO_CASAS_BOMBA!$I$7*HORAS_CAPTACAO_DIA-H54)</f>
        <v>0</v>
      </c>
      <c r="J55" s="16" t="n">
        <f aca="false">INDEX(AUX_MATRIZES!$C$10:$BP$10,MIN(N_SEMANAS,MAX(1,$C55)))/DIAS_POR_SEMANA</f>
        <v>0</v>
      </c>
      <c r="K55" s="16" t="n">
        <f aca="false">MIN(CADASTRO_CASAS_BOMBA!$O$8,MAX(0,K54+CADASTRO_CASAS_BOMBA!$I$8*HORAS_CAPTACAO_DIA-J55))</f>
        <v>27377</v>
      </c>
      <c r="L55" s="16" t="n">
        <f aca="false">MAX(0,J55-CADASTRO_CASAS_BOMBA!$I$8*HORAS_CAPTACAO_DIA-K54)</f>
        <v>0</v>
      </c>
      <c r="M55" s="16" t="n">
        <f aca="false">INDEX(AUX_MATRIZES!$C$11:$BP$11,MIN(N_SEMANAS,MAX(1,$C55)))/DIAS_POR_SEMANA</f>
        <v>3936.87152941176</v>
      </c>
      <c r="N55" s="16" t="n">
        <f aca="false">MIN(CADASTRO_CASAS_BOMBA!$O$9,MAX(0,N54+CADASTRO_CASAS_BOMBA!$I$9*HORAS_CAPTACAO_DIA-M55))</f>
        <v>129000</v>
      </c>
      <c r="O55" s="16" t="n">
        <f aca="false">MAX(0,M55-CADASTRO_CASAS_BOMBA!$I$9*HORAS_CAPTACAO_DIA-N54)</f>
        <v>0</v>
      </c>
      <c r="P55" s="16" t="n">
        <f aca="false">INDEX(AUX_MATRIZES!$C$12:$BP$12,MIN(N_SEMANAS,MAX(1,$C55)))/DIAS_POR_SEMANA</f>
        <v>7865.088</v>
      </c>
      <c r="Q55" s="16" t="n">
        <f aca="false">MIN(CADASTRO_CASAS_BOMBA!$O$10,MAX(0,Q54+CADASTRO_CASAS_BOMBA!$I$10*HORAS_CAPTACAO_DIA-P55))</f>
        <v>1000000</v>
      </c>
      <c r="R55" s="16" t="n">
        <f aca="false">MAX(0,P55-CADASTRO_CASAS_BOMBA!$I$10*HORAS_CAPTACAO_DIA-Q54)</f>
        <v>0</v>
      </c>
      <c r="S55" s="16" t="n">
        <f aca="false">INDEX(AUX_MATRIZES!$C$13:$BP$13,MIN(N_SEMANAS,MAX(1,$C55)))/DIAS_POR_SEMANA</f>
        <v>2367.288</v>
      </c>
      <c r="T55" s="16" t="n">
        <f aca="false">MIN(CADASTRO_CASAS_BOMBA!$O$11,MAX(0,T54+CADASTRO_CASAS_BOMBA!$I$11*HORAS_CAPTACAO_DIA-S55))</f>
        <v>469821</v>
      </c>
      <c r="U55" s="16" t="n">
        <f aca="false">MAX(0,S55-CADASTRO_CASAS_BOMBA!$I$11*HORAS_CAPTACAO_DIA-T54)</f>
        <v>0</v>
      </c>
      <c r="V55" s="16" t="n">
        <f aca="false">INDEX(AUX_MATRIZES!$C$14:$BP$14,MIN(N_SEMANAS,MAX(1,$C55)))/DIAS_POR_SEMANA</f>
        <v>0</v>
      </c>
      <c r="W55" s="16" t="n">
        <f aca="false">MIN(CADASTRO_CASAS_BOMBA!$O$12,MAX(0,W54+CADASTRO_CASAS_BOMBA!$I$12*HORAS_CAPTACAO_DIA-V55))</f>
        <v>440000</v>
      </c>
      <c r="X55" s="16" t="n">
        <f aca="false">MAX(0,V55-CADASTRO_CASAS_BOMBA!$I$12*HORAS_CAPTACAO_DIA-W54)</f>
        <v>0</v>
      </c>
      <c r="Y55" s="16" t="n">
        <f aca="false">INDEX(AUX_MATRIZES!$C$15:$BP$15,MIN(N_SEMANAS,MAX(1,$C55)))/DIAS_POR_SEMANA</f>
        <v>0</v>
      </c>
      <c r="Z55" s="16" t="n">
        <f aca="false">MIN(CADASTRO_CASAS_BOMBA!$O$13,MAX(0,Z54+CADASTRO_CASAS_BOMBA!$I$13*HORAS_CAPTACAO_DIA-Y55))</f>
        <v>74903</v>
      </c>
      <c r="AA55" s="16" t="n">
        <f aca="false">MAX(0,Y55-CADASTRO_CASAS_BOMBA!$I$13*HORAS_CAPTACAO_DIA-Z54)</f>
        <v>0</v>
      </c>
    </row>
    <row r="56" customFormat="false" ht="15" hidden="false" customHeight="false" outlineLevel="0" collapsed="false">
      <c r="B56" s="17" t="n">
        <f aca="false">DATA_INICIO_SAFRA+49</f>
        <v>46314</v>
      </c>
      <c r="C56" s="16" t="n">
        <f aca="false">MIN(N_SEMANAS,MAX(1,INT(($B56-DATA_INICIO_SAFRA)/DIAS_POR_SEMANA)+1))</f>
        <v>8</v>
      </c>
      <c r="D56" s="16" t="n">
        <f aca="false">INDEX(AUX_MATRIZES!$C$8:$BP$8,MIN(N_SEMANAS,MAX(1,$C56)))/DIAS_POR_SEMANA</f>
        <v>426.781058823529</v>
      </c>
      <c r="E56" s="16" t="n">
        <f aca="false">MIN(CADASTRO_CASAS_BOMBA!$O$6,MAX(0,E55+CADASTRO_CASAS_BOMBA!$I$6*HORAS_CAPTACAO_DIA-D56))</f>
        <v>2600</v>
      </c>
      <c r="F56" s="16" t="n">
        <f aca="false">MAX(0,D56-CADASTRO_CASAS_BOMBA!$I$6*HORAS_CAPTACAO_DIA-E55)</f>
        <v>0</v>
      </c>
      <c r="G56" s="16" t="n">
        <f aca="false">INDEX(AUX_MATRIZES!$C$9:$BP$9,MIN(N_SEMANAS,MAX(1,$C56)))/DIAS_POR_SEMANA</f>
        <v>373.028420848398</v>
      </c>
      <c r="H56" s="16" t="n">
        <f aca="false">MIN(CADASTRO_CASAS_BOMBA!$O$7,MAX(0,H55+CADASTRO_CASAS_BOMBA!$I$7*HORAS_CAPTACAO_DIA-G56))</f>
        <v>76648</v>
      </c>
      <c r="I56" s="16" t="n">
        <f aca="false">MAX(0,G56-CADASTRO_CASAS_BOMBA!$I$7*HORAS_CAPTACAO_DIA-H55)</f>
        <v>0</v>
      </c>
      <c r="J56" s="16" t="n">
        <f aca="false">INDEX(AUX_MATRIZES!$C$10:$BP$10,MIN(N_SEMANAS,MAX(1,$C56)))/DIAS_POR_SEMANA</f>
        <v>77.4410992893632</v>
      </c>
      <c r="K56" s="16" t="n">
        <f aca="false">MIN(CADASTRO_CASAS_BOMBA!$O$8,MAX(0,K55+CADASTRO_CASAS_BOMBA!$I$8*HORAS_CAPTACAO_DIA-J56))</f>
        <v>27377</v>
      </c>
      <c r="L56" s="16" t="n">
        <f aca="false">MAX(0,J56-CADASTRO_CASAS_BOMBA!$I$8*HORAS_CAPTACAO_DIA-K55)</f>
        <v>0</v>
      </c>
      <c r="M56" s="16" t="n">
        <f aca="false">INDEX(AUX_MATRIZES!$C$11:$BP$11,MIN(N_SEMANAS,MAX(1,$C56)))/DIAS_POR_SEMANA</f>
        <v>4871.58609341768</v>
      </c>
      <c r="N56" s="16" t="n">
        <f aca="false">MIN(CADASTRO_CASAS_BOMBA!$O$9,MAX(0,N55+CADASTRO_CASAS_BOMBA!$I$9*HORAS_CAPTACAO_DIA-M56))</f>
        <v>129000</v>
      </c>
      <c r="O56" s="16" t="n">
        <f aca="false">MAX(0,M56-CADASTRO_CASAS_BOMBA!$I$9*HORAS_CAPTACAO_DIA-N55)</f>
        <v>0</v>
      </c>
      <c r="P56" s="16" t="n">
        <f aca="false">INDEX(AUX_MATRIZES!$C$12:$BP$12,MIN(N_SEMANAS,MAX(1,$C56)))/DIAS_POR_SEMANA</f>
        <v>6778.464</v>
      </c>
      <c r="Q56" s="16" t="n">
        <f aca="false">MIN(CADASTRO_CASAS_BOMBA!$O$10,MAX(0,Q55+CADASTRO_CASAS_BOMBA!$I$10*HORAS_CAPTACAO_DIA-P56))</f>
        <v>1000000</v>
      </c>
      <c r="R56" s="16" t="n">
        <f aca="false">MAX(0,P56-CADASTRO_CASAS_BOMBA!$I$10*HORAS_CAPTACAO_DIA-Q55)</f>
        <v>0</v>
      </c>
      <c r="S56" s="16" t="n">
        <f aca="false">INDEX(AUX_MATRIZES!$C$13:$BP$13,MIN(N_SEMANAS,MAX(1,$C56)))/DIAS_POR_SEMANA</f>
        <v>1416.492</v>
      </c>
      <c r="T56" s="16" t="n">
        <f aca="false">MIN(CADASTRO_CASAS_BOMBA!$O$11,MAX(0,T55+CADASTRO_CASAS_BOMBA!$I$11*HORAS_CAPTACAO_DIA-S56))</f>
        <v>469821</v>
      </c>
      <c r="U56" s="16" t="n">
        <f aca="false">MAX(0,S56-CADASTRO_CASAS_BOMBA!$I$11*HORAS_CAPTACAO_DIA-T55)</f>
        <v>0</v>
      </c>
      <c r="V56" s="16" t="n">
        <f aca="false">INDEX(AUX_MATRIZES!$C$14:$BP$14,MIN(N_SEMANAS,MAX(1,$C56)))/DIAS_POR_SEMANA</f>
        <v>0</v>
      </c>
      <c r="W56" s="16" t="n">
        <f aca="false">MIN(CADASTRO_CASAS_BOMBA!$O$12,MAX(0,W55+CADASTRO_CASAS_BOMBA!$I$12*HORAS_CAPTACAO_DIA-V56))</f>
        <v>440000</v>
      </c>
      <c r="X56" s="16" t="n">
        <f aca="false">MAX(0,V56-CADASTRO_CASAS_BOMBA!$I$12*HORAS_CAPTACAO_DIA-W55)</f>
        <v>0</v>
      </c>
      <c r="Y56" s="16" t="n">
        <f aca="false">INDEX(AUX_MATRIZES!$C$15:$BP$15,MIN(N_SEMANAS,MAX(1,$C56)))/DIAS_POR_SEMANA</f>
        <v>0</v>
      </c>
      <c r="Z56" s="16" t="n">
        <f aca="false">MIN(CADASTRO_CASAS_BOMBA!$O$13,MAX(0,Z55+CADASTRO_CASAS_BOMBA!$I$13*HORAS_CAPTACAO_DIA-Y56))</f>
        <v>74903</v>
      </c>
      <c r="AA56" s="16" t="n">
        <f aca="false">MAX(0,Y56-CADASTRO_CASAS_BOMBA!$I$13*HORAS_CAPTACAO_DIA-Z55)</f>
        <v>0</v>
      </c>
    </row>
    <row r="57" customFormat="false" ht="15" hidden="false" customHeight="false" outlineLevel="0" collapsed="false">
      <c r="B57" s="17" t="n">
        <f aca="false">DATA_INICIO_SAFRA+50</f>
        <v>46315</v>
      </c>
      <c r="C57" s="16" t="n">
        <f aca="false">MIN(N_SEMANAS,MAX(1,INT(($B57-DATA_INICIO_SAFRA)/DIAS_POR_SEMANA)+1))</f>
        <v>8</v>
      </c>
      <c r="D57" s="16" t="n">
        <f aca="false">INDEX(AUX_MATRIZES!$C$8:$BP$8,MIN(N_SEMANAS,MAX(1,$C57)))/DIAS_POR_SEMANA</f>
        <v>426.781058823529</v>
      </c>
      <c r="E57" s="16" t="n">
        <f aca="false">MIN(CADASTRO_CASAS_BOMBA!$O$6,MAX(0,E56+CADASTRO_CASAS_BOMBA!$I$6*HORAS_CAPTACAO_DIA-D57))</f>
        <v>2600</v>
      </c>
      <c r="F57" s="16" t="n">
        <f aca="false">MAX(0,D57-CADASTRO_CASAS_BOMBA!$I$6*HORAS_CAPTACAO_DIA-E56)</f>
        <v>0</v>
      </c>
      <c r="G57" s="16" t="n">
        <f aca="false">INDEX(AUX_MATRIZES!$C$9:$BP$9,MIN(N_SEMANAS,MAX(1,$C57)))/DIAS_POR_SEMANA</f>
        <v>373.028420848398</v>
      </c>
      <c r="H57" s="16" t="n">
        <f aca="false">MIN(CADASTRO_CASAS_BOMBA!$O$7,MAX(0,H56+CADASTRO_CASAS_BOMBA!$I$7*HORAS_CAPTACAO_DIA-G57))</f>
        <v>76648</v>
      </c>
      <c r="I57" s="16" t="n">
        <f aca="false">MAX(0,G57-CADASTRO_CASAS_BOMBA!$I$7*HORAS_CAPTACAO_DIA-H56)</f>
        <v>0</v>
      </c>
      <c r="J57" s="16" t="n">
        <f aca="false">INDEX(AUX_MATRIZES!$C$10:$BP$10,MIN(N_SEMANAS,MAX(1,$C57)))/DIAS_POR_SEMANA</f>
        <v>77.4410992893632</v>
      </c>
      <c r="K57" s="16" t="n">
        <f aca="false">MIN(CADASTRO_CASAS_BOMBA!$O$8,MAX(0,K56+CADASTRO_CASAS_BOMBA!$I$8*HORAS_CAPTACAO_DIA-J57))</f>
        <v>27377</v>
      </c>
      <c r="L57" s="16" t="n">
        <f aca="false">MAX(0,J57-CADASTRO_CASAS_BOMBA!$I$8*HORAS_CAPTACAO_DIA-K56)</f>
        <v>0</v>
      </c>
      <c r="M57" s="16" t="n">
        <f aca="false">INDEX(AUX_MATRIZES!$C$11:$BP$11,MIN(N_SEMANAS,MAX(1,$C57)))/DIAS_POR_SEMANA</f>
        <v>4871.58609341768</v>
      </c>
      <c r="N57" s="16" t="n">
        <f aca="false">MIN(CADASTRO_CASAS_BOMBA!$O$9,MAX(0,N56+CADASTRO_CASAS_BOMBA!$I$9*HORAS_CAPTACAO_DIA-M57))</f>
        <v>129000</v>
      </c>
      <c r="O57" s="16" t="n">
        <f aca="false">MAX(0,M57-CADASTRO_CASAS_BOMBA!$I$9*HORAS_CAPTACAO_DIA-N56)</f>
        <v>0</v>
      </c>
      <c r="P57" s="16" t="n">
        <f aca="false">INDEX(AUX_MATRIZES!$C$12:$BP$12,MIN(N_SEMANAS,MAX(1,$C57)))/DIAS_POR_SEMANA</f>
        <v>6778.464</v>
      </c>
      <c r="Q57" s="16" t="n">
        <f aca="false">MIN(CADASTRO_CASAS_BOMBA!$O$10,MAX(0,Q56+CADASTRO_CASAS_BOMBA!$I$10*HORAS_CAPTACAO_DIA-P57))</f>
        <v>1000000</v>
      </c>
      <c r="R57" s="16" t="n">
        <f aca="false">MAX(0,P57-CADASTRO_CASAS_BOMBA!$I$10*HORAS_CAPTACAO_DIA-Q56)</f>
        <v>0</v>
      </c>
      <c r="S57" s="16" t="n">
        <f aca="false">INDEX(AUX_MATRIZES!$C$13:$BP$13,MIN(N_SEMANAS,MAX(1,$C57)))/DIAS_POR_SEMANA</f>
        <v>1416.492</v>
      </c>
      <c r="T57" s="16" t="n">
        <f aca="false">MIN(CADASTRO_CASAS_BOMBA!$O$11,MAX(0,T56+CADASTRO_CASAS_BOMBA!$I$11*HORAS_CAPTACAO_DIA-S57))</f>
        <v>469821</v>
      </c>
      <c r="U57" s="16" t="n">
        <f aca="false">MAX(0,S57-CADASTRO_CASAS_BOMBA!$I$11*HORAS_CAPTACAO_DIA-T56)</f>
        <v>0</v>
      </c>
      <c r="V57" s="16" t="n">
        <f aca="false">INDEX(AUX_MATRIZES!$C$14:$BP$14,MIN(N_SEMANAS,MAX(1,$C57)))/DIAS_POR_SEMANA</f>
        <v>0</v>
      </c>
      <c r="W57" s="16" t="n">
        <f aca="false">MIN(CADASTRO_CASAS_BOMBA!$O$12,MAX(0,W56+CADASTRO_CASAS_BOMBA!$I$12*HORAS_CAPTACAO_DIA-V57))</f>
        <v>440000</v>
      </c>
      <c r="X57" s="16" t="n">
        <f aca="false">MAX(0,V57-CADASTRO_CASAS_BOMBA!$I$12*HORAS_CAPTACAO_DIA-W56)</f>
        <v>0</v>
      </c>
      <c r="Y57" s="16" t="n">
        <f aca="false">INDEX(AUX_MATRIZES!$C$15:$BP$15,MIN(N_SEMANAS,MAX(1,$C57)))/DIAS_POR_SEMANA</f>
        <v>0</v>
      </c>
      <c r="Z57" s="16" t="n">
        <f aca="false">MIN(CADASTRO_CASAS_BOMBA!$O$13,MAX(0,Z56+CADASTRO_CASAS_BOMBA!$I$13*HORAS_CAPTACAO_DIA-Y57))</f>
        <v>74903</v>
      </c>
      <c r="AA57" s="16" t="n">
        <f aca="false">MAX(0,Y57-CADASTRO_CASAS_BOMBA!$I$13*HORAS_CAPTACAO_DIA-Z56)</f>
        <v>0</v>
      </c>
    </row>
    <row r="58" customFormat="false" ht="15" hidden="false" customHeight="false" outlineLevel="0" collapsed="false">
      <c r="B58" s="17" t="n">
        <f aca="false">DATA_INICIO_SAFRA+51</f>
        <v>46316</v>
      </c>
      <c r="C58" s="16" t="n">
        <f aca="false">MIN(N_SEMANAS,MAX(1,INT(($B58-DATA_INICIO_SAFRA)/DIAS_POR_SEMANA)+1))</f>
        <v>8</v>
      </c>
      <c r="D58" s="16" t="n">
        <f aca="false">INDEX(AUX_MATRIZES!$C$8:$BP$8,MIN(N_SEMANAS,MAX(1,$C58)))/DIAS_POR_SEMANA</f>
        <v>426.781058823529</v>
      </c>
      <c r="E58" s="16" t="n">
        <f aca="false">MIN(CADASTRO_CASAS_BOMBA!$O$6,MAX(0,E57+CADASTRO_CASAS_BOMBA!$I$6*HORAS_CAPTACAO_DIA-D58))</f>
        <v>2600</v>
      </c>
      <c r="F58" s="16" t="n">
        <f aca="false">MAX(0,D58-CADASTRO_CASAS_BOMBA!$I$6*HORAS_CAPTACAO_DIA-E57)</f>
        <v>0</v>
      </c>
      <c r="G58" s="16" t="n">
        <f aca="false">INDEX(AUX_MATRIZES!$C$9:$BP$9,MIN(N_SEMANAS,MAX(1,$C58)))/DIAS_POR_SEMANA</f>
        <v>373.028420848398</v>
      </c>
      <c r="H58" s="16" t="n">
        <f aca="false">MIN(CADASTRO_CASAS_BOMBA!$O$7,MAX(0,H57+CADASTRO_CASAS_BOMBA!$I$7*HORAS_CAPTACAO_DIA-G58))</f>
        <v>76648</v>
      </c>
      <c r="I58" s="16" t="n">
        <f aca="false">MAX(0,G58-CADASTRO_CASAS_BOMBA!$I$7*HORAS_CAPTACAO_DIA-H57)</f>
        <v>0</v>
      </c>
      <c r="J58" s="16" t="n">
        <f aca="false">INDEX(AUX_MATRIZES!$C$10:$BP$10,MIN(N_SEMANAS,MAX(1,$C58)))/DIAS_POR_SEMANA</f>
        <v>77.4410992893632</v>
      </c>
      <c r="K58" s="16" t="n">
        <f aca="false">MIN(CADASTRO_CASAS_BOMBA!$O$8,MAX(0,K57+CADASTRO_CASAS_BOMBA!$I$8*HORAS_CAPTACAO_DIA-J58))</f>
        <v>27377</v>
      </c>
      <c r="L58" s="16" t="n">
        <f aca="false">MAX(0,J58-CADASTRO_CASAS_BOMBA!$I$8*HORAS_CAPTACAO_DIA-K57)</f>
        <v>0</v>
      </c>
      <c r="M58" s="16" t="n">
        <f aca="false">INDEX(AUX_MATRIZES!$C$11:$BP$11,MIN(N_SEMANAS,MAX(1,$C58)))/DIAS_POR_SEMANA</f>
        <v>4871.58609341768</v>
      </c>
      <c r="N58" s="16" t="n">
        <f aca="false">MIN(CADASTRO_CASAS_BOMBA!$O$9,MAX(0,N57+CADASTRO_CASAS_BOMBA!$I$9*HORAS_CAPTACAO_DIA-M58))</f>
        <v>129000</v>
      </c>
      <c r="O58" s="16" t="n">
        <f aca="false">MAX(0,M58-CADASTRO_CASAS_BOMBA!$I$9*HORAS_CAPTACAO_DIA-N57)</f>
        <v>0</v>
      </c>
      <c r="P58" s="16" t="n">
        <f aca="false">INDEX(AUX_MATRIZES!$C$12:$BP$12,MIN(N_SEMANAS,MAX(1,$C58)))/DIAS_POR_SEMANA</f>
        <v>6778.464</v>
      </c>
      <c r="Q58" s="16" t="n">
        <f aca="false">MIN(CADASTRO_CASAS_BOMBA!$O$10,MAX(0,Q57+CADASTRO_CASAS_BOMBA!$I$10*HORAS_CAPTACAO_DIA-P58))</f>
        <v>1000000</v>
      </c>
      <c r="R58" s="16" t="n">
        <f aca="false">MAX(0,P58-CADASTRO_CASAS_BOMBA!$I$10*HORAS_CAPTACAO_DIA-Q57)</f>
        <v>0</v>
      </c>
      <c r="S58" s="16" t="n">
        <f aca="false">INDEX(AUX_MATRIZES!$C$13:$BP$13,MIN(N_SEMANAS,MAX(1,$C58)))/DIAS_POR_SEMANA</f>
        <v>1416.492</v>
      </c>
      <c r="T58" s="16" t="n">
        <f aca="false">MIN(CADASTRO_CASAS_BOMBA!$O$11,MAX(0,T57+CADASTRO_CASAS_BOMBA!$I$11*HORAS_CAPTACAO_DIA-S58))</f>
        <v>469821</v>
      </c>
      <c r="U58" s="16" t="n">
        <f aca="false">MAX(0,S58-CADASTRO_CASAS_BOMBA!$I$11*HORAS_CAPTACAO_DIA-T57)</f>
        <v>0</v>
      </c>
      <c r="V58" s="16" t="n">
        <f aca="false">INDEX(AUX_MATRIZES!$C$14:$BP$14,MIN(N_SEMANAS,MAX(1,$C58)))/DIAS_POR_SEMANA</f>
        <v>0</v>
      </c>
      <c r="W58" s="16" t="n">
        <f aca="false">MIN(CADASTRO_CASAS_BOMBA!$O$12,MAX(0,W57+CADASTRO_CASAS_BOMBA!$I$12*HORAS_CAPTACAO_DIA-V58))</f>
        <v>440000</v>
      </c>
      <c r="X58" s="16" t="n">
        <f aca="false">MAX(0,V58-CADASTRO_CASAS_BOMBA!$I$12*HORAS_CAPTACAO_DIA-W57)</f>
        <v>0</v>
      </c>
      <c r="Y58" s="16" t="n">
        <f aca="false">INDEX(AUX_MATRIZES!$C$15:$BP$15,MIN(N_SEMANAS,MAX(1,$C58)))/DIAS_POR_SEMANA</f>
        <v>0</v>
      </c>
      <c r="Z58" s="16" t="n">
        <f aca="false">MIN(CADASTRO_CASAS_BOMBA!$O$13,MAX(0,Z57+CADASTRO_CASAS_BOMBA!$I$13*HORAS_CAPTACAO_DIA-Y58))</f>
        <v>74903</v>
      </c>
      <c r="AA58" s="16" t="n">
        <f aca="false">MAX(0,Y58-CADASTRO_CASAS_BOMBA!$I$13*HORAS_CAPTACAO_DIA-Z57)</f>
        <v>0</v>
      </c>
    </row>
    <row r="59" customFormat="false" ht="15" hidden="false" customHeight="false" outlineLevel="0" collapsed="false">
      <c r="B59" s="17" t="n">
        <f aca="false">DATA_INICIO_SAFRA+52</f>
        <v>46317</v>
      </c>
      <c r="C59" s="16" t="n">
        <f aca="false">MIN(N_SEMANAS,MAX(1,INT(($B59-DATA_INICIO_SAFRA)/DIAS_POR_SEMANA)+1))</f>
        <v>8</v>
      </c>
      <c r="D59" s="16" t="n">
        <f aca="false">INDEX(AUX_MATRIZES!$C$8:$BP$8,MIN(N_SEMANAS,MAX(1,$C59)))/DIAS_POR_SEMANA</f>
        <v>426.781058823529</v>
      </c>
      <c r="E59" s="16" t="n">
        <f aca="false">MIN(CADASTRO_CASAS_BOMBA!$O$6,MAX(0,E58+CADASTRO_CASAS_BOMBA!$I$6*HORAS_CAPTACAO_DIA-D59))</f>
        <v>2600</v>
      </c>
      <c r="F59" s="16" t="n">
        <f aca="false">MAX(0,D59-CADASTRO_CASAS_BOMBA!$I$6*HORAS_CAPTACAO_DIA-E58)</f>
        <v>0</v>
      </c>
      <c r="G59" s="16" t="n">
        <f aca="false">INDEX(AUX_MATRIZES!$C$9:$BP$9,MIN(N_SEMANAS,MAX(1,$C59)))/DIAS_POR_SEMANA</f>
        <v>373.028420848398</v>
      </c>
      <c r="H59" s="16" t="n">
        <f aca="false">MIN(CADASTRO_CASAS_BOMBA!$O$7,MAX(0,H58+CADASTRO_CASAS_BOMBA!$I$7*HORAS_CAPTACAO_DIA-G59))</f>
        <v>76648</v>
      </c>
      <c r="I59" s="16" t="n">
        <f aca="false">MAX(0,G59-CADASTRO_CASAS_BOMBA!$I$7*HORAS_CAPTACAO_DIA-H58)</f>
        <v>0</v>
      </c>
      <c r="J59" s="16" t="n">
        <f aca="false">INDEX(AUX_MATRIZES!$C$10:$BP$10,MIN(N_SEMANAS,MAX(1,$C59)))/DIAS_POR_SEMANA</f>
        <v>77.4410992893632</v>
      </c>
      <c r="K59" s="16" t="n">
        <f aca="false">MIN(CADASTRO_CASAS_BOMBA!$O$8,MAX(0,K58+CADASTRO_CASAS_BOMBA!$I$8*HORAS_CAPTACAO_DIA-J59))</f>
        <v>27377</v>
      </c>
      <c r="L59" s="16" t="n">
        <f aca="false">MAX(0,J59-CADASTRO_CASAS_BOMBA!$I$8*HORAS_CAPTACAO_DIA-K58)</f>
        <v>0</v>
      </c>
      <c r="M59" s="16" t="n">
        <f aca="false">INDEX(AUX_MATRIZES!$C$11:$BP$11,MIN(N_SEMANAS,MAX(1,$C59)))/DIAS_POR_SEMANA</f>
        <v>4871.58609341768</v>
      </c>
      <c r="N59" s="16" t="n">
        <f aca="false">MIN(CADASTRO_CASAS_BOMBA!$O$9,MAX(0,N58+CADASTRO_CASAS_BOMBA!$I$9*HORAS_CAPTACAO_DIA-M59))</f>
        <v>129000</v>
      </c>
      <c r="O59" s="16" t="n">
        <f aca="false">MAX(0,M59-CADASTRO_CASAS_BOMBA!$I$9*HORAS_CAPTACAO_DIA-N58)</f>
        <v>0</v>
      </c>
      <c r="P59" s="16" t="n">
        <f aca="false">INDEX(AUX_MATRIZES!$C$12:$BP$12,MIN(N_SEMANAS,MAX(1,$C59)))/DIAS_POR_SEMANA</f>
        <v>6778.464</v>
      </c>
      <c r="Q59" s="16" t="n">
        <f aca="false">MIN(CADASTRO_CASAS_BOMBA!$O$10,MAX(0,Q58+CADASTRO_CASAS_BOMBA!$I$10*HORAS_CAPTACAO_DIA-P59))</f>
        <v>1000000</v>
      </c>
      <c r="R59" s="16" t="n">
        <f aca="false">MAX(0,P59-CADASTRO_CASAS_BOMBA!$I$10*HORAS_CAPTACAO_DIA-Q58)</f>
        <v>0</v>
      </c>
      <c r="S59" s="16" t="n">
        <f aca="false">INDEX(AUX_MATRIZES!$C$13:$BP$13,MIN(N_SEMANAS,MAX(1,$C59)))/DIAS_POR_SEMANA</f>
        <v>1416.492</v>
      </c>
      <c r="T59" s="16" t="n">
        <f aca="false">MIN(CADASTRO_CASAS_BOMBA!$O$11,MAX(0,T58+CADASTRO_CASAS_BOMBA!$I$11*HORAS_CAPTACAO_DIA-S59))</f>
        <v>469821</v>
      </c>
      <c r="U59" s="16" t="n">
        <f aca="false">MAX(0,S59-CADASTRO_CASAS_BOMBA!$I$11*HORAS_CAPTACAO_DIA-T58)</f>
        <v>0</v>
      </c>
      <c r="V59" s="16" t="n">
        <f aca="false">INDEX(AUX_MATRIZES!$C$14:$BP$14,MIN(N_SEMANAS,MAX(1,$C59)))/DIAS_POR_SEMANA</f>
        <v>0</v>
      </c>
      <c r="W59" s="16" t="n">
        <f aca="false">MIN(CADASTRO_CASAS_BOMBA!$O$12,MAX(0,W58+CADASTRO_CASAS_BOMBA!$I$12*HORAS_CAPTACAO_DIA-V59))</f>
        <v>440000</v>
      </c>
      <c r="X59" s="16" t="n">
        <f aca="false">MAX(0,V59-CADASTRO_CASAS_BOMBA!$I$12*HORAS_CAPTACAO_DIA-W58)</f>
        <v>0</v>
      </c>
      <c r="Y59" s="16" t="n">
        <f aca="false">INDEX(AUX_MATRIZES!$C$15:$BP$15,MIN(N_SEMANAS,MAX(1,$C59)))/DIAS_POR_SEMANA</f>
        <v>0</v>
      </c>
      <c r="Z59" s="16" t="n">
        <f aca="false">MIN(CADASTRO_CASAS_BOMBA!$O$13,MAX(0,Z58+CADASTRO_CASAS_BOMBA!$I$13*HORAS_CAPTACAO_DIA-Y59))</f>
        <v>74903</v>
      </c>
      <c r="AA59" s="16" t="n">
        <f aca="false">MAX(0,Y59-CADASTRO_CASAS_BOMBA!$I$13*HORAS_CAPTACAO_DIA-Z58)</f>
        <v>0</v>
      </c>
    </row>
    <row r="60" customFormat="false" ht="15" hidden="false" customHeight="false" outlineLevel="0" collapsed="false">
      <c r="B60" s="17" t="n">
        <f aca="false">DATA_INICIO_SAFRA+53</f>
        <v>46318</v>
      </c>
      <c r="C60" s="16" t="n">
        <f aca="false">MIN(N_SEMANAS,MAX(1,INT(($B60-DATA_INICIO_SAFRA)/DIAS_POR_SEMANA)+1))</f>
        <v>8</v>
      </c>
      <c r="D60" s="16" t="n">
        <f aca="false">INDEX(AUX_MATRIZES!$C$8:$BP$8,MIN(N_SEMANAS,MAX(1,$C60)))/DIAS_POR_SEMANA</f>
        <v>426.781058823529</v>
      </c>
      <c r="E60" s="16" t="n">
        <f aca="false">MIN(CADASTRO_CASAS_BOMBA!$O$6,MAX(0,E59+CADASTRO_CASAS_BOMBA!$I$6*HORAS_CAPTACAO_DIA-D60))</f>
        <v>2600</v>
      </c>
      <c r="F60" s="16" t="n">
        <f aca="false">MAX(0,D60-CADASTRO_CASAS_BOMBA!$I$6*HORAS_CAPTACAO_DIA-E59)</f>
        <v>0</v>
      </c>
      <c r="G60" s="16" t="n">
        <f aca="false">INDEX(AUX_MATRIZES!$C$9:$BP$9,MIN(N_SEMANAS,MAX(1,$C60)))/DIAS_POR_SEMANA</f>
        <v>373.028420848398</v>
      </c>
      <c r="H60" s="16" t="n">
        <f aca="false">MIN(CADASTRO_CASAS_BOMBA!$O$7,MAX(0,H59+CADASTRO_CASAS_BOMBA!$I$7*HORAS_CAPTACAO_DIA-G60))</f>
        <v>76648</v>
      </c>
      <c r="I60" s="16" t="n">
        <f aca="false">MAX(0,G60-CADASTRO_CASAS_BOMBA!$I$7*HORAS_CAPTACAO_DIA-H59)</f>
        <v>0</v>
      </c>
      <c r="J60" s="16" t="n">
        <f aca="false">INDEX(AUX_MATRIZES!$C$10:$BP$10,MIN(N_SEMANAS,MAX(1,$C60)))/DIAS_POR_SEMANA</f>
        <v>77.4410992893632</v>
      </c>
      <c r="K60" s="16" t="n">
        <f aca="false">MIN(CADASTRO_CASAS_BOMBA!$O$8,MAX(0,K59+CADASTRO_CASAS_BOMBA!$I$8*HORAS_CAPTACAO_DIA-J60))</f>
        <v>27377</v>
      </c>
      <c r="L60" s="16" t="n">
        <f aca="false">MAX(0,J60-CADASTRO_CASAS_BOMBA!$I$8*HORAS_CAPTACAO_DIA-K59)</f>
        <v>0</v>
      </c>
      <c r="M60" s="16" t="n">
        <f aca="false">INDEX(AUX_MATRIZES!$C$11:$BP$11,MIN(N_SEMANAS,MAX(1,$C60)))/DIAS_POR_SEMANA</f>
        <v>4871.58609341768</v>
      </c>
      <c r="N60" s="16" t="n">
        <f aca="false">MIN(CADASTRO_CASAS_BOMBA!$O$9,MAX(0,N59+CADASTRO_CASAS_BOMBA!$I$9*HORAS_CAPTACAO_DIA-M60))</f>
        <v>129000</v>
      </c>
      <c r="O60" s="16" t="n">
        <f aca="false">MAX(0,M60-CADASTRO_CASAS_BOMBA!$I$9*HORAS_CAPTACAO_DIA-N59)</f>
        <v>0</v>
      </c>
      <c r="P60" s="16" t="n">
        <f aca="false">INDEX(AUX_MATRIZES!$C$12:$BP$12,MIN(N_SEMANAS,MAX(1,$C60)))/DIAS_POR_SEMANA</f>
        <v>6778.464</v>
      </c>
      <c r="Q60" s="16" t="n">
        <f aca="false">MIN(CADASTRO_CASAS_BOMBA!$O$10,MAX(0,Q59+CADASTRO_CASAS_BOMBA!$I$10*HORAS_CAPTACAO_DIA-P60))</f>
        <v>1000000</v>
      </c>
      <c r="R60" s="16" t="n">
        <f aca="false">MAX(0,P60-CADASTRO_CASAS_BOMBA!$I$10*HORAS_CAPTACAO_DIA-Q59)</f>
        <v>0</v>
      </c>
      <c r="S60" s="16" t="n">
        <f aca="false">INDEX(AUX_MATRIZES!$C$13:$BP$13,MIN(N_SEMANAS,MAX(1,$C60)))/DIAS_POR_SEMANA</f>
        <v>1416.492</v>
      </c>
      <c r="T60" s="16" t="n">
        <f aca="false">MIN(CADASTRO_CASAS_BOMBA!$O$11,MAX(0,T59+CADASTRO_CASAS_BOMBA!$I$11*HORAS_CAPTACAO_DIA-S60))</f>
        <v>469821</v>
      </c>
      <c r="U60" s="16" t="n">
        <f aca="false">MAX(0,S60-CADASTRO_CASAS_BOMBA!$I$11*HORAS_CAPTACAO_DIA-T59)</f>
        <v>0</v>
      </c>
      <c r="V60" s="16" t="n">
        <f aca="false">INDEX(AUX_MATRIZES!$C$14:$BP$14,MIN(N_SEMANAS,MAX(1,$C60)))/DIAS_POR_SEMANA</f>
        <v>0</v>
      </c>
      <c r="W60" s="16" t="n">
        <f aca="false">MIN(CADASTRO_CASAS_BOMBA!$O$12,MAX(0,W59+CADASTRO_CASAS_BOMBA!$I$12*HORAS_CAPTACAO_DIA-V60))</f>
        <v>440000</v>
      </c>
      <c r="X60" s="16" t="n">
        <f aca="false">MAX(0,V60-CADASTRO_CASAS_BOMBA!$I$12*HORAS_CAPTACAO_DIA-W59)</f>
        <v>0</v>
      </c>
      <c r="Y60" s="16" t="n">
        <f aca="false">INDEX(AUX_MATRIZES!$C$15:$BP$15,MIN(N_SEMANAS,MAX(1,$C60)))/DIAS_POR_SEMANA</f>
        <v>0</v>
      </c>
      <c r="Z60" s="16" t="n">
        <f aca="false">MIN(CADASTRO_CASAS_BOMBA!$O$13,MAX(0,Z59+CADASTRO_CASAS_BOMBA!$I$13*HORAS_CAPTACAO_DIA-Y60))</f>
        <v>74903</v>
      </c>
      <c r="AA60" s="16" t="n">
        <f aca="false">MAX(0,Y60-CADASTRO_CASAS_BOMBA!$I$13*HORAS_CAPTACAO_DIA-Z59)</f>
        <v>0</v>
      </c>
    </row>
    <row r="61" customFormat="false" ht="15" hidden="false" customHeight="false" outlineLevel="0" collapsed="false">
      <c r="B61" s="17" t="n">
        <f aca="false">DATA_INICIO_SAFRA+54</f>
        <v>46319</v>
      </c>
      <c r="C61" s="16" t="n">
        <f aca="false">MIN(N_SEMANAS,MAX(1,INT(($B61-DATA_INICIO_SAFRA)/DIAS_POR_SEMANA)+1))</f>
        <v>8</v>
      </c>
      <c r="D61" s="16" t="n">
        <f aca="false">INDEX(AUX_MATRIZES!$C$8:$BP$8,MIN(N_SEMANAS,MAX(1,$C61)))/DIAS_POR_SEMANA</f>
        <v>426.781058823529</v>
      </c>
      <c r="E61" s="16" t="n">
        <f aca="false">MIN(CADASTRO_CASAS_BOMBA!$O$6,MAX(0,E60+CADASTRO_CASAS_BOMBA!$I$6*HORAS_CAPTACAO_DIA-D61))</f>
        <v>2600</v>
      </c>
      <c r="F61" s="16" t="n">
        <f aca="false">MAX(0,D61-CADASTRO_CASAS_BOMBA!$I$6*HORAS_CAPTACAO_DIA-E60)</f>
        <v>0</v>
      </c>
      <c r="G61" s="16" t="n">
        <f aca="false">INDEX(AUX_MATRIZES!$C$9:$BP$9,MIN(N_SEMANAS,MAX(1,$C61)))/DIAS_POR_SEMANA</f>
        <v>373.028420848398</v>
      </c>
      <c r="H61" s="16" t="n">
        <f aca="false">MIN(CADASTRO_CASAS_BOMBA!$O$7,MAX(0,H60+CADASTRO_CASAS_BOMBA!$I$7*HORAS_CAPTACAO_DIA-G61))</f>
        <v>76648</v>
      </c>
      <c r="I61" s="16" t="n">
        <f aca="false">MAX(0,G61-CADASTRO_CASAS_BOMBA!$I$7*HORAS_CAPTACAO_DIA-H60)</f>
        <v>0</v>
      </c>
      <c r="J61" s="16" t="n">
        <f aca="false">INDEX(AUX_MATRIZES!$C$10:$BP$10,MIN(N_SEMANAS,MAX(1,$C61)))/DIAS_POR_SEMANA</f>
        <v>77.4410992893632</v>
      </c>
      <c r="K61" s="16" t="n">
        <f aca="false">MIN(CADASTRO_CASAS_BOMBA!$O$8,MAX(0,K60+CADASTRO_CASAS_BOMBA!$I$8*HORAS_CAPTACAO_DIA-J61))</f>
        <v>27377</v>
      </c>
      <c r="L61" s="16" t="n">
        <f aca="false">MAX(0,J61-CADASTRO_CASAS_BOMBA!$I$8*HORAS_CAPTACAO_DIA-K60)</f>
        <v>0</v>
      </c>
      <c r="M61" s="16" t="n">
        <f aca="false">INDEX(AUX_MATRIZES!$C$11:$BP$11,MIN(N_SEMANAS,MAX(1,$C61)))/DIAS_POR_SEMANA</f>
        <v>4871.58609341768</v>
      </c>
      <c r="N61" s="16" t="n">
        <f aca="false">MIN(CADASTRO_CASAS_BOMBA!$O$9,MAX(0,N60+CADASTRO_CASAS_BOMBA!$I$9*HORAS_CAPTACAO_DIA-M61))</f>
        <v>129000</v>
      </c>
      <c r="O61" s="16" t="n">
        <f aca="false">MAX(0,M61-CADASTRO_CASAS_BOMBA!$I$9*HORAS_CAPTACAO_DIA-N60)</f>
        <v>0</v>
      </c>
      <c r="P61" s="16" t="n">
        <f aca="false">INDEX(AUX_MATRIZES!$C$12:$BP$12,MIN(N_SEMANAS,MAX(1,$C61)))/DIAS_POR_SEMANA</f>
        <v>6778.464</v>
      </c>
      <c r="Q61" s="16" t="n">
        <f aca="false">MIN(CADASTRO_CASAS_BOMBA!$O$10,MAX(0,Q60+CADASTRO_CASAS_BOMBA!$I$10*HORAS_CAPTACAO_DIA-P61))</f>
        <v>1000000</v>
      </c>
      <c r="R61" s="16" t="n">
        <f aca="false">MAX(0,P61-CADASTRO_CASAS_BOMBA!$I$10*HORAS_CAPTACAO_DIA-Q60)</f>
        <v>0</v>
      </c>
      <c r="S61" s="16" t="n">
        <f aca="false">INDEX(AUX_MATRIZES!$C$13:$BP$13,MIN(N_SEMANAS,MAX(1,$C61)))/DIAS_POR_SEMANA</f>
        <v>1416.492</v>
      </c>
      <c r="T61" s="16" t="n">
        <f aca="false">MIN(CADASTRO_CASAS_BOMBA!$O$11,MAX(0,T60+CADASTRO_CASAS_BOMBA!$I$11*HORAS_CAPTACAO_DIA-S61))</f>
        <v>469821</v>
      </c>
      <c r="U61" s="16" t="n">
        <f aca="false">MAX(0,S61-CADASTRO_CASAS_BOMBA!$I$11*HORAS_CAPTACAO_DIA-T60)</f>
        <v>0</v>
      </c>
      <c r="V61" s="16" t="n">
        <f aca="false">INDEX(AUX_MATRIZES!$C$14:$BP$14,MIN(N_SEMANAS,MAX(1,$C61)))/DIAS_POR_SEMANA</f>
        <v>0</v>
      </c>
      <c r="W61" s="16" t="n">
        <f aca="false">MIN(CADASTRO_CASAS_BOMBA!$O$12,MAX(0,W60+CADASTRO_CASAS_BOMBA!$I$12*HORAS_CAPTACAO_DIA-V61))</f>
        <v>440000</v>
      </c>
      <c r="X61" s="16" t="n">
        <f aca="false">MAX(0,V61-CADASTRO_CASAS_BOMBA!$I$12*HORAS_CAPTACAO_DIA-W60)</f>
        <v>0</v>
      </c>
      <c r="Y61" s="16" t="n">
        <f aca="false">INDEX(AUX_MATRIZES!$C$15:$BP$15,MIN(N_SEMANAS,MAX(1,$C61)))/DIAS_POR_SEMANA</f>
        <v>0</v>
      </c>
      <c r="Z61" s="16" t="n">
        <f aca="false">MIN(CADASTRO_CASAS_BOMBA!$O$13,MAX(0,Z60+CADASTRO_CASAS_BOMBA!$I$13*HORAS_CAPTACAO_DIA-Y61))</f>
        <v>74903</v>
      </c>
      <c r="AA61" s="16" t="n">
        <f aca="false">MAX(0,Y61-CADASTRO_CASAS_BOMBA!$I$13*HORAS_CAPTACAO_DIA-Z60)</f>
        <v>0</v>
      </c>
    </row>
    <row r="62" customFormat="false" ht="15" hidden="false" customHeight="false" outlineLevel="0" collapsed="false">
      <c r="B62" s="17" t="n">
        <f aca="false">DATA_INICIO_SAFRA+55</f>
        <v>46320</v>
      </c>
      <c r="C62" s="16" t="n">
        <f aca="false">MIN(N_SEMANAS,MAX(1,INT(($B62-DATA_INICIO_SAFRA)/DIAS_POR_SEMANA)+1))</f>
        <v>8</v>
      </c>
      <c r="D62" s="16" t="n">
        <f aca="false">INDEX(AUX_MATRIZES!$C$8:$BP$8,MIN(N_SEMANAS,MAX(1,$C62)))/DIAS_POR_SEMANA</f>
        <v>426.781058823529</v>
      </c>
      <c r="E62" s="16" t="n">
        <f aca="false">MIN(CADASTRO_CASAS_BOMBA!$O$6,MAX(0,E61+CADASTRO_CASAS_BOMBA!$I$6*HORAS_CAPTACAO_DIA-D62))</f>
        <v>2600</v>
      </c>
      <c r="F62" s="16" t="n">
        <f aca="false">MAX(0,D62-CADASTRO_CASAS_BOMBA!$I$6*HORAS_CAPTACAO_DIA-E61)</f>
        <v>0</v>
      </c>
      <c r="G62" s="16" t="n">
        <f aca="false">INDEX(AUX_MATRIZES!$C$9:$BP$9,MIN(N_SEMANAS,MAX(1,$C62)))/DIAS_POR_SEMANA</f>
        <v>373.028420848398</v>
      </c>
      <c r="H62" s="16" t="n">
        <f aca="false">MIN(CADASTRO_CASAS_BOMBA!$O$7,MAX(0,H61+CADASTRO_CASAS_BOMBA!$I$7*HORAS_CAPTACAO_DIA-G62))</f>
        <v>76648</v>
      </c>
      <c r="I62" s="16" t="n">
        <f aca="false">MAX(0,G62-CADASTRO_CASAS_BOMBA!$I$7*HORAS_CAPTACAO_DIA-H61)</f>
        <v>0</v>
      </c>
      <c r="J62" s="16" t="n">
        <f aca="false">INDEX(AUX_MATRIZES!$C$10:$BP$10,MIN(N_SEMANAS,MAX(1,$C62)))/DIAS_POR_SEMANA</f>
        <v>77.4410992893632</v>
      </c>
      <c r="K62" s="16" t="n">
        <f aca="false">MIN(CADASTRO_CASAS_BOMBA!$O$8,MAX(0,K61+CADASTRO_CASAS_BOMBA!$I$8*HORAS_CAPTACAO_DIA-J62))</f>
        <v>27377</v>
      </c>
      <c r="L62" s="16" t="n">
        <f aca="false">MAX(0,J62-CADASTRO_CASAS_BOMBA!$I$8*HORAS_CAPTACAO_DIA-K61)</f>
        <v>0</v>
      </c>
      <c r="M62" s="16" t="n">
        <f aca="false">INDEX(AUX_MATRIZES!$C$11:$BP$11,MIN(N_SEMANAS,MAX(1,$C62)))/DIAS_POR_SEMANA</f>
        <v>4871.58609341768</v>
      </c>
      <c r="N62" s="16" t="n">
        <f aca="false">MIN(CADASTRO_CASAS_BOMBA!$O$9,MAX(0,N61+CADASTRO_CASAS_BOMBA!$I$9*HORAS_CAPTACAO_DIA-M62))</f>
        <v>129000</v>
      </c>
      <c r="O62" s="16" t="n">
        <f aca="false">MAX(0,M62-CADASTRO_CASAS_BOMBA!$I$9*HORAS_CAPTACAO_DIA-N61)</f>
        <v>0</v>
      </c>
      <c r="P62" s="16" t="n">
        <f aca="false">INDEX(AUX_MATRIZES!$C$12:$BP$12,MIN(N_SEMANAS,MAX(1,$C62)))/DIAS_POR_SEMANA</f>
        <v>6778.464</v>
      </c>
      <c r="Q62" s="16" t="n">
        <f aca="false">MIN(CADASTRO_CASAS_BOMBA!$O$10,MAX(0,Q61+CADASTRO_CASAS_BOMBA!$I$10*HORAS_CAPTACAO_DIA-P62))</f>
        <v>1000000</v>
      </c>
      <c r="R62" s="16" t="n">
        <f aca="false">MAX(0,P62-CADASTRO_CASAS_BOMBA!$I$10*HORAS_CAPTACAO_DIA-Q61)</f>
        <v>0</v>
      </c>
      <c r="S62" s="16" t="n">
        <f aca="false">INDEX(AUX_MATRIZES!$C$13:$BP$13,MIN(N_SEMANAS,MAX(1,$C62)))/DIAS_POR_SEMANA</f>
        <v>1416.492</v>
      </c>
      <c r="T62" s="16" t="n">
        <f aca="false">MIN(CADASTRO_CASAS_BOMBA!$O$11,MAX(0,T61+CADASTRO_CASAS_BOMBA!$I$11*HORAS_CAPTACAO_DIA-S62))</f>
        <v>469821</v>
      </c>
      <c r="U62" s="16" t="n">
        <f aca="false">MAX(0,S62-CADASTRO_CASAS_BOMBA!$I$11*HORAS_CAPTACAO_DIA-T61)</f>
        <v>0</v>
      </c>
      <c r="V62" s="16" t="n">
        <f aca="false">INDEX(AUX_MATRIZES!$C$14:$BP$14,MIN(N_SEMANAS,MAX(1,$C62)))/DIAS_POR_SEMANA</f>
        <v>0</v>
      </c>
      <c r="W62" s="16" t="n">
        <f aca="false">MIN(CADASTRO_CASAS_BOMBA!$O$12,MAX(0,W61+CADASTRO_CASAS_BOMBA!$I$12*HORAS_CAPTACAO_DIA-V62))</f>
        <v>440000</v>
      </c>
      <c r="X62" s="16" t="n">
        <f aca="false">MAX(0,V62-CADASTRO_CASAS_BOMBA!$I$12*HORAS_CAPTACAO_DIA-W61)</f>
        <v>0</v>
      </c>
      <c r="Y62" s="16" t="n">
        <f aca="false">INDEX(AUX_MATRIZES!$C$15:$BP$15,MIN(N_SEMANAS,MAX(1,$C62)))/DIAS_POR_SEMANA</f>
        <v>0</v>
      </c>
      <c r="Z62" s="16" t="n">
        <f aca="false">MIN(CADASTRO_CASAS_BOMBA!$O$13,MAX(0,Z61+CADASTRO_CASAS_BOMBA!$I$13*HORAS_CAPTACAO_DIA-Y62))</f>
        <v>74903</v>
      </c>
      <c r="AA62" s="16" t="n">
        <f aca="false">MAX(0,Y62-CADASTRO_CASAS_BOMBA!$I$13*HORAS_CAPTACAO_DIA-Z61)</f>
        <v>0</v>
      </c>
    </row>
    <row r="63" customFormat="false" ht="15" hidden="false" customHeight="false" outlineLevel="0" collapsed="false">
      <c r="B63" s="17" t="n">
        <f aca="false">DATA_INICIO_SAFRA+56</f>
        <v>46321</v>
      </c>
      <c r="C63" s="16" t="n">
        <f aca="false">MIN(N_SEMANAS,MAX(1,INT(($B63-DATA_INICIO_SAFRA)/DIAS_POR_SEMANA)+1))</f>
        <v>9</v>
      </c>
      <c r="D63" s="16" t="n">
        <f aca="false">INDEX(AUX_MATRIZES!$C$8:$BP$8,MIN(N_SEMANAS,MAX(1,$C63)))/DIAS_POR_SEMANA</f>
        <v>1273.5535751634</v>
      </c>
      <c r="E63" s="16" t="n">
        <f aca="false">MIN(CADASTRO_CASAS_BOMBA!$O$6,MAX(0,E62+CADASTRO_CASAS_BOMBA!$I$6*HORAS_CAPTACAO_DIA-D63))</f>
        <v>2600</v>
      </c>
      <c r="F63" s="16" t="n">
        <f aca="false">MAX(0,D63-CADASTRO_CASAS_BOMBA!$I$6*HORAS_CAPTACAO_DIA-E62)</f>
        <v>0</v>
      </c>
      <c r="G63" s="16" t="n">
        <f aca="false">INDEX(AUX_MATRIZES!$C$9:$BP$9,MIN(N_SEMANAS,MAX(1,$C63)))/DIAS_POR_SEMANA</f>
        <v>1203.02233477379</v>
      </c>
      <c r="H63" s="16" t="n">
        <f aca="false">MIN(CADASTRO_CASAS_BOMBA!$O$7,MAX(0,H62+CADASTRO_CASAS_BOMBA!$I$7*HORAS_CAPTACAO_DIA-G63))</f>
        <v>76648</v>
      </c>
      <c r="I63" s="16" t="n">
        <f aca="false">MAX(0,G63-CADASTRO_CASAS_BOMBA!$I$7*HORAS_CAPTACAO_DIA-H62)</f>
        <v>0</v>
      </c>
      <c r="J63" s="16" t="n">
        <f aca="false">INDEX(AUX_MATRIZES!$C$10:$BP$10,MIN(N_SEMANAS,MAX(1,$C63)))/DIAS_POR_SEMANA</f>
        <v>1743.02488798325</v>
      </c>
      <c r="K63" s="16" t="n">
        <f aca="false">MIN(CADASTRO_CASAS_BOMBA!$O$8,MAX(0,K62+CADASTRO_CASAS_BOMBA!$I$8*HORAS_CAPTACAO_DIA-J63))</f>
        <v>27377</v>
      </c>
      <c r="L63" s="16" t="n">
        <f aca="false">MAX(0,J63-CADASTRO_CASAS_BOMBA!$I$8*HORAS_CAPTACAO_DIA-K62)</f>
        <v>0</v>
      </c>
      <c r="M63" s="16" t="n">
        <f aca="false">INDEX(AUX_MATRIZES!$C$11:$BP$11,MIN(N_SEMANAS,MAX(1,$C63)))/DIAS_POR_SEMANA</f>
        <v>5800.21701201498</v>
      </c>
      <c r="N63" s="16" t="n">
        <f aca="false">MIN(CADASTRO_CASAS_BOMBA!$O$9,MAX(0,N62+CADASTRO_CASAS_BOMBA!$I$9*HORAS_CAPTACAO_DIA-M63))</f>
        <v>129000</v>
      </c>
      <c r="O63" s="16" t="n">
        <f aca="false">MAX(0,M63-CADASTRO_CASAS_BOMBA!$I$9*HORAS_CAPTACAO_DIA-N62)</f>
        <v>0</v>
      </c>
      <c r="P63" s="16" t="n">
        <f aca="false">INDEX(AUX_MATRIZES!$C$12:$BP$12,MIN(N_SEMANAS,MAX(1,$C63)))/DIAS_POR_SEMANA</f>
        <v>4529.658</v>
      </c>
      <c r="Q63" s="16" t="n">
        <f aca="false">MIN(CADASTRO_CASAS_BOMBA!$O$10,MAX(0,Q62+CADASTRO_CASAS_BOMBA!$I$10*HORAS_CAPTACAO_DIA-P63))</f>
        <v>1000000</v>
      </c>
      <c r="R63" s="16" t="n">
        <f aca="false">MAX(0,P63-CADASTRO_CASAS_BOMBA!$I$10*HORAS_CAPTACAO_DIA-Q62)</f>
        <v>0</v>
      </c>
      <c r="S63" s="16" t="n">
        <f aca="false">INDEX(AUX_MATRIZES!$C$13:$BP$13,MIN(N_SEMANAS,MAX(1,$C63)))/DIAS_POR_SEMANA</f>
        <v>0</v>
      </c>
      <c r="T63" s="16" t="n">
        <f aca="false">MIN(CADASTRO_CASAS_BOMBA!$O$11,MAX(0,T62+CADASTRO_CASAS_BOMBA!$I$11*HORAS_CAPTACAO_DIA-S63))</f>
        <v>469821</v>
      </c>
      <c r="U63" s="16" t="n">
        <f aca="false">MAX(0,S63-CADASTRO_CASAS_BOMBA!$I$11*HORAS_CAPTACAO_DIA-T62)</f>
        <v>0</v>
      </c>
      <c r="V63" s="16" t="n">
        <f aca="false">INDEX(AUX_MATRIZES!$C$14:$BP$14,MIN(N_SEMANAS,MAX(1,$C63)))/DIAS_POR_SEMANA</f>
        <v>0</v>
      </c>
      <c r="W63" s="16" t="n">
        <f aca="false">MIN(CADASTRO_CASAS_BOMBA!$O$12,MAX(0,W62+CADASTRO_CASAS_BOMBA!$I$12*HORAS_CAPTACAO_DIA-V63))</f>
        <v>440000</v>
      </c>
      <c r="X63" s="16" t="n">
        <f aca="false">MAX(0,V63-CADASTRO_CASAS_BOMBA!$I$12*HORAS_CAPTACAO_DIA-W62)</f>
        <v>0</v>
      </c>
      <c r="Y63" s="16" t="n">
        <f aca="false">INDEX(AUX_MATRIZES!$C$15:$BP$15,MIN(N_SEMANAS,MAX(1,$C63)))/DIAS_POR_SEMANA</f>
        <v>0</v>
      </c>
      <c r="Z63" s="16" t="n">
        <f aca="false">MIN(CADASTRO_CASAS_BOMBA!$O$13,MAX(0,Z62+CADASTRO_CASAS_BOMBA!$I$13*HORAS_CAPTACAO_DIA-Y63))</f>
        <v>74903</v>
      </c>
      <c r="AA63" s="16" t="n">
        <f aca="false">MAX(0,Y63-CADASTRO_CASAS_BOMBA!$I$13*HORAS_CAPTACAO_DIA-Z62)</f>
        <v>0</v>
      </c>
    </row>
    <row r="64" customFormat="false" ht="15" hidden="false" customHeight="false" outlineLevel="0" collapsed="false">
      <c r="B64" s="17" t="n">
        <f aca="false">DATA_INICIO_SAFRA+57</f>
        <v>46322</v>
      </c>
      <c r="C64" s="16" t="n">
        <f aca="false">MIN(N_SEMANAS,MAX(1,INT(($B64-DATA_INICIO_SAFRA)/DIAS_POR_SEMANA)+1))</f>
        <v>9</v>
      </c>
      <c r="D64" s="16" t="n">
        <f aca="false">INDEX(AUX_MATRIZES!$C$8:$BP$8,MIN(N_SEMANAS,MAX(1,$C64)))/DIAS_POR_SEMANA</f>
        <v>1273.5535751634</v>
      </c>
      <c r="E64" s="16" t="n">
        <f aca="false">MIN(CADASTRO_CASAS_BOMBA!$O$6,MAX(0,E63+CADASTRO_CASAS_BOMBA!$I$6*HORAS_CAPTACAO_DIA-D64))</f>
        <v>2600</v>
      </c>
      <c r="F64" s="16" t="n">
        <f aca="false">MAX(0,D64-CADASTRO_CASAS_BOMBA!$I$6*HORAS_CAPTACAO_DIA-E63)</f>
        <v>0</v>
      </c>
      <c r="G64" s="16" t="n">
        <f aca="false">INDEX(AUX_MATRIZES!$C$9:$BP$9,MIN(N_SEMANAS,MAX(1,$C64)))/DIAS_POR_SEMANA</f>
        <v>1203.02233477379</v>
      </c>
      <c r="H64" s="16" t="n">
        <f aca="false">MIN(CADASTRO_CASAS_BOMBA!$O$7,MAX(0,H63+CADASTRO_CASAS_BOMBA!$I$7*HORAS_CAPTACAO_DIA-G64))</f>
        <v>76648</v>
      </c>
      <c r="I64" s="16" t="n">
        <f aca="false">MAX(0,G64-CADASTRO_CASAS_BOMBA!$I$7*HORAS_CAPTACAO_DIA-H63)</f>
        <v>0</v>
      </c>
      <c r="J64" s="16" t="n">
        <f aca="false">INDEX(AUX_MATRIZES!$C$10:$BP$10,MIN(N_SEMANAS,MAX(1,$C64)))/DIAS_POR_SEMANA</f>
        <v>1743.02488798325</v>
      </c>
      <c r="K64" s="16" t="n">
        <f aca="false">MIN(CADASTRO_CASAS_BOMBA!$O$8,MAX(0,K63+CADASTRO_CASAS_BOMBA!$I$8*HORAS_CAPTACAO_DIA-J64))</f>
        <v>27377</v>
      </c>
      <c r="L64" s="16" t="n">
        <f aca="false">MAX(0,J64-CADASTRO_CASAS_BOMBA!$I$8*HORAS_CAPTACAO_DIA-K63)</f>
        <v>0</v>
      </c>
      <c r="M64" s="16" t="n">
        <f aca="false">INDEX(AUX_MATRIZES!$C$11:$BP$11,MIN(N_SEMANAS,MAX(1,$C64)))/DIAS_POR_SEMANA</f>
        <v>5800.21701201498</v>
      </c>
      <c r="N64" s="16" t="n">
        <f aca="false">MIN(CADASTRO_CASAS_BOMBA!$O$9,MAX(0,N63+CADASTRO_CASAS_BOMBA!$I$9*HORAS_CAPTACAO_DIA-M64))</f>
        <v>129000</v>
      </c>
      <c r="O64" s="16" t="n">
        <f aca="false">MAX(0,M64-CADASTRO_CASAS_BOMBA!$I$9*HORAS_CAPTACAO_DIA-N63)</f>
        <v>0</v>
      </c>
      <c r="P64" s="16" t="n">
        <f aca="false">INDEX(AUX_MATRIZES!$C$12:$BP$12,MIN(N_SEMANAS,MAX(1,$C64)))/DIAS_POR_SEMANA</f>
        <v>4529.658</v>
      </c>
      <c r="Q64" s="16" t="n">
        <f aca="false">MIN(CADASTRO_CASAS_BOMBA!$O$10,MAX(0,Q63+CADASTRO_CASAS_BOMBA!$I$10*HORAS_CAPTACAO_DIA-P64))</f>
        <v>1000000</v>
      </c>
      <c r="R64" s="16" t="n">
        <f aca="false">MAX(0,P64-CADASTRO_CASAS_BOMBA!$I$10*HORAS_CAPTACAO_DIA-Q63)</f>
        <v>0</v>
      </c>
      <c r="S64" s="16" t="n">
        <f aca="false">INDEX(AUX_MATRIZES!$C$13:$BP$13,MIN(N_SEMANAS,MAX(1,$C64)))/DIAS_POR_SEMANA</f>
        <v>0</v>
      </c>
      <c r="T64" s="16" t="n">
        <f aca="false">MIN(CADASTRO_CASAS_BOMBA!$O$11,MAX(0,T63+CADASTRO_CASAS_BOMBA!$I$11*HORAS_CAPTACAO_DIA-S64))</f>
        <v>469821</v>
      </c>
      <c r="U64" s="16" t="n">
        <f aca="false">MAX(0,S64-CADASTRO_CASAS_BOMBA!$I$11*HORAS_CAPTACAO_DIA-T63)</f>
        <v>0</v>
      </c>
      <c r="V64" s="16" t="n">
        <f aca="false">INDEX(AUX_MATRIZES!$C$14:$BP$14,MIN(N_SEMANAS,MAX(1,$C64)))/DIAS_POR_SEMANA</f>
        <v>0</v>
      </c>
      <c r="W64" s="16" t="n">
        <f aca="false">MIN(CADASTRO_CASAS_BOMBA!$O$12,MAX(0,W63+CADASTRO_CASAS_BOMBA!$I$12*HORAS_CAPTACAO_DIA-V64))</f>
        <v>440000</v>
      </c>
      <c r="X64" s="16" t="n">
        <f aca="false">MAX(0,V64-CADASTRO_CASAS_BOMBA!$I$12*HORAS_CAPTACAO_DIA-W63)</f>
        <v>0</v>
      </c>
      <c r="Y64" s="16" t="n">
        <f aca="false">INDEX(AUX_MATRIZES!$C$15:$BP$15,MIN(N_SEMANAS,MAX(1,$C64)))/DIAS_POR_SEMANA</f>
        <v>0</v>
      </c>
      <c r="Z64" s="16" t="n">
        <f aca="false">MIN(CADASTRO_CASAS_BOMBA!$O$13,MAX(0,Z63+CADASTRO_CASAS_BOMBA!$I$13*HORAS_CAPTACAO_DIA-Y64))</f>
        <v>74903</v>
      </c>
      <c r="AA64" s="16" t="n">
        <f aca="false">MAX(0,Y64-CADASTRO_CASAS_BOMBA!$I$13*HORAS_CAPTACAO_DIA-Z63)</f>
        <v>0</v>
      </c>
    </row>
    <row r="65" customFormat="false" ht="15" hidden="false" customHeight="false" outlineLevel="0" collapsed="false">
      <c r="B65" s="17" t="n">
        <f aca="false">DATA_INICIO_SAFRA+58</f>
        <v>46323</v>
      </c>
      <c r="C65" s="16" t="n">
        <f aca="false">MIN(N_SEMANAS,MAX(1,INT(($B65-DATA_INICIO_SAFRA)/DIAS_POR_SEMANA)+1))</f>
        <v>9</v>
      </c>
      <c r="D65" s="16" t="n">
        <f aca="false">INDEX(AUX_MATRIZES!$C$8:$BP$8,MIN(N_SEMANAS,MAX(1,$C65)))/DIAS_POR_SEMANA</f>
        <v>1273.5535751634</v>
      </c>
      <c r="E65" s="16" t="n">
        <f aca="false">MIN(CADASTRO_CASAS_BOMBA!$O$6,MAX(0,E64+CADASTRO_CASAS_BOMBA!$I$6*HORAS_CAPTACAO_DIA-D65))</f>
        <v>2600</v>
      </c>
      <c r="F65" s="16" t="n">
        <f aca="false">MAX(0,D65-CADASTRO_CASAS_BOMBA!$I$6*HORAS_CAPTACAO_DIA-E64)</f>
        <v>0</v>
      </c>
      <c r="G65" s="16" t="n">
        <f aca="false">INDEX(AUX_MATRIZES!$C$9:$BP$9,MIN(N_SEMANAS,MAX(1,$C65)))/DIAS_POR_SEMANA</f>
        <v>1203.02233477379</v>
      </c>
      <c r="H65" s="16" t="n">
        <f aca="false">MIN(CADASTRO_CASAS_BOMBA!$O$7,MAX(0,H64+CADASTRO_CASAS_BOMBA!$I$7*HORAS_CAPTACAO_DIA-G65))</f>
        <v>76648</v>
      </c>
      <c r="I65" s="16" t="n">
        <f aca="false">MAX(0,G65-CADASTRO_CASAS_BOMBA!$I$7*HORAS_CAPTACAO_DIA-H64)</f>
        <v>0</v>
      </c>
      <c r="J65" s="16" t="n">
        <f aca="false">INDEX(AUX_MATRIZES!$C$10:$BP$10,MIN(N_SEMANAS,MAX(1,$C65)))/DIAS_POR_SEMANA</f>
        <v>1743.02488798325</v>
      </c>
      <c r="K65" s="16" t="n">
        <f aca="false">MIN(CADASTRO_CASAS_BOMBA!$O$8,MAX(0,K64+CADASTRO_CASAS_BOMBA!$I$8*HORAS_CAPTACAO_DIA-J65))</f>
        <v>27377</v>
      </c>
      <c r="L65" s="16" t="n">
        <f aca="false">MAX(0,J65-CADASTRO_CASAS_BOMBA!$I$8*HORAS_CAPTACAO_DIA-K64)</f>
        <v>0</v>
      </c>
      <c r="M65" s="16" t="n">
        <f aca="false">INDEX(AUX_MATRIZES!$C$11:$BP$11,MIN(N_SEMANAS,MAX(1,$C65)))/DIAS_POR_SEMANA</f>
        <v>5800.21701201498</v>
      </c>
      <c r="N65" s="16" t="n">
        <f aca="false">MIN(CADASTRO_CASAS_BOMBA!$O$9,MAX(0,N64+CADASTRO_CASAS_BOMBA!$I$9*HORAS_CAPTACAO_DIA-M65))</f>
        <v>129000</v>
      </c>
      <c r="O65" s="16" t="n">
        <f aca="false">MAX(0,M65-CADASTRO_CASAS_BOMBA!$I$9*HORAS_CAPTACAO_DIA-N64)</f>
        <v>0</v>
      </c>
      <c r="P65" s="16" t="n">
        <f aca="false">INDEX(AUX_MATRIZES!$C$12:$BP$12,MIN(N_SEMANAS,MAX(1,$C65)))/DIAS_POR_SEMANA</f>
        <v>4529.658</v>
      </c>
      <c r="Q65" s="16" t="n">
        <f aca="false">MIN(CADASTRO_CASAS_BOMBA!$O$10,MAX(0,Q64+CADASTRO_CASAS_BOMBA!$I$10*HORAS_CAPTACAO_DIA-P65))</f>
        <v>1000000</v>
      </c>
      <c r="R65" s="16" t="n">
        <f aca="false">MAX(0,P65-CADASTRO_CASAS_BOMBA!$I$10*HORAS_CAPTACAO_DIA-Q64)</f>
        <v>0</v>
      </c>
      <c r="S65" s="16" t="n">
        <f aca="false">INDEX(AUX_MATRIZES!$C$13:$BP$13,MIN(N_SEMANAS,MAX(1,$C65)))/DIAS_POR_SEMANA</f>
        <v>0</v>
      </c>
      <c r="T65" s="16" t="n">
        <f aca="false">MIN(CADASTRO_CASAS_BOMBA!$O$11,MAX(0,T64+CADASTRO_CASAS_BOMBA!$I$11*HORAS_CAPTACAO_DIA-S65))</f>
        <v>469821</v>
      </c>
      <c r="U65" s="16" t="n">
        <f aca="false">MAX(0,S65-CADASTRO_CASAS_BOMBA!$I$11*HORAS_CAPTACAO_DIA-T64)</f>
        <v>0</v>
      </c>
      <c r="V65" s="16" t="n">
        <f aca="false">INDEX(AUX_MATRIZES!$C$14:$BP$14,MIN(N_SEMANAS,MAX(1,$C65)))/DIAS_POR_SEMANA</f>
        <v>0</v>
      </c>
      <c r="W65" s="16" t="n">
        <f aca="false">MIN(CADASTRO_CASAS_BOMBA!$O$12,MAX(0,W64+CADASTRO_CASAS_BOMBA!$I$12*HORAS_CAPTACAO_DIA-V65))</f>
        <v>440000</v>
      </c>
      <c r="X65" s="16" t="n">
        <f aca="false">MAX(0,V65-CADASTRO_CASAS_BOMBA!$I$12*HORAS_CAPTACAO_DIA-W64)</f>
        <v>0</v>
      </c>
      <c r="Y65" s="16" t="n">
        <f aca="false">INDEX(AUX_MATRIZES!$C$15:$BP$15,MIN(N_SEMANAS,MAX(1,$C65)))/DIAS_POR_SEMANA</f>
        <v>0</v>
      </c>
      <c r="Z65" s="16" t="n">
        <f aca="false">MIN(CADASTRO_CASAS_BOMBA!$O$13,MAX(0,Z64+CADASTRO_CASAS_BOMBA!$I$13*HORAS_CAPTACAO_DIA-Y65))</f>
        <v>74903</v>
      </c>
      <c r="AA65" s="16" t="n">
        <f aca="false">MAX(0,Y65-CADASTRO_CASAS_BOMBA!$I$13*HORAS_CAPTACAO_DIA-Z64)</f>
        <v>0</v>
      </c>
    </row>
    <row r="66" customFormat="false" ht="15" hidden="false" customHeight="false" outlineLevel="0" collapsed="false">
      <c r="B66" s="17" t="n">
        <f aca="false">DATA_INICIO_SAFRA+59</f>
        <v>46324</v>
      </c>
      <c r="C66" s="16" t="n">
        <f aca="false">MIN(N_SEMANAS,MAX(1,INT(($B66-DATA_INICIO_SAFRA)/DIAS_POR_SEMANA)+1))</f>
        <v>9</v>
      </c>
      <c r="D66" s="16" t="n">
        <f aca="false">INDEX(AUX_MATRIZES!$C$8:$BP$8,MIN(N_SEMANAS,MAX(1,$C66)))/DIAS_POR_SEMANA</f>
        <v>1273.5535751634</v>
      </c>
      <c r="E66" s="16" t="n">
        <f aca="false">MIN(CADASTRO_CASAS_BOMBA!$O$6,MAX(0,E65+CADASTRO_CASAS_BOMBA!$I$6*HORAS_CAPTACAO_DIA-D66))</f>
        <v>2600</v>
      </c>
      <c r="F66" s="16" t="n">
        <f aca="false">MAX(0,D66-CADASTRO_CASAS_BOMBA!$I$6*HORAS_CAPTACAO_DIA-E65)</f>
        <v>0</v>
      </c>
      <c r="G66" s="16" t="n">
        <f aca="false">INDEX(AUX_MATRIZES!$C$9:$BP$9,MIN(N_SEMANAS,MAX(1,$C66)))/DIAS_POR_SEMANA</f>
        <v>1203.02233477379</v>
      </c>
      <c r="H66" s="16" t="n">
        <f aca="false">MIN(CADASTRO_CASAS_BOMBA!$O$7,MAX(0,H65+CADASTRO_CASAS_BOMBA!$I$7*HORAS_CAPTACAO_DIA-G66))</f>
        <v>76648</v>
      </c>
      <c r="I66" s="16" t="n">
        <f aca="false">MAX(0,G66-CADASTRO_CASAS_BOMBA!$I$7*HORAS_CAPTACAO_DIA-H65)</f>
        <v>0</v>
      </c>
      <c r="J66" s="16" t="n">
        <f aca="false">INDEX(AUX_MATRIZES!$C$10:$BP$10,MIN(N_SEMANAS,MAX(1,$C66)))/DIAS_POR_SEMANA</f>
        <v>1743.02488798325</v>
      </c>
      <c r="K66" s="16" t="n">
        <f aca="false">MIN(CADASTRO_CASAS_BOMBA!$O$8,MAX(0,K65+CADASTRO_CASAS_BOMBA!$I$8*HORAS_CAPTACAO_DIA-J66))</f>
        <v>27377</v>
      </c>
      <c r="L66" s="16" t="n">
        <f aca="false">MAX(0,J66-CADASTRO_CASAS_BOMBA!$I$8*HORAS_CAPTACAO_DIA-K65)</f>
        <v>0</v>
      </c>
      <c r="M66" s="16" t="n">
        <f aca="false">INDEX(AUX_MATRIZES!$C$11:$BP$11,MIN(N_SEMANAS,MAX(1,$C66)))/DIAS_POR_SEMANA</f>
        <v>5800.21701201498</v>
      </c>
      <c r="N66" s="16" t="n">
        <f aca="false">MIN(CADASTRO_CASAS_BOMBA!$O$9,MAX(0,N65+CADASTRO_CASAS_BOMBA!$I$9*HORAS_CAPTACAO_DIA-M66))</f>
        <v>129000</v>
      </c>
      <c r="O66" s="16" t="n">
        <f aca="false">MAX(0,M66-CADASTRO_CASAS_BOMBA!$I$9*HORAS_CAPTACAO_DIA-N65)</f>
        <v>0</v>
      </c>
      <c r="P66" s="16" t="n">
        <f aca="false">INDEX(AUX_MATRIZES!$C$12:$BP$12,MIN(N_SEMANAS,MAX(1,$C66)))/DIAS_POR_SEMANA</f>
        <v>4529.658</v>
      </c>
      <c r="Q66" s="16" t="n">
        <f aca="false">MIN(CADASTRO_CASAS_BOMBA!$O$10,MAX(0,Q65+CADASTRO_CASAS_BOMBA!$I$10*HORAS_CAPTACAO_DIA-P66))</f>
        <v>1000000</v>
      </c>
      <c r="R66" s="16" t="n">
        <f aca="false">MAX(0,P66-CADASTRO_CASAS_BOMBA!$I$10*HORAS_CAPTACAO_DIA-Q65)</f>
        <v>0</v>
      </c>
      <c r="S66" s="16" t="n">
        <f aca="false">INDEX(AUX_MATRIZES!$C$13:$BP$13,MIN(N_SEMANAS,MAX(1,$C66)))/DIAS_POR_SEMANA</f>
        <v>0</v>
      </c>
      <c r="T66" s="16" t="n">
        <f aca="false">MIN(CADASTRO_CASAS_BOMBA!$O$11,MAX(0,T65+CADASTRO_CASAS_BOMBA!$I$11*HORAS_CAPTACAO_DIA-S66))</f>
        <v>469821</v>
      </c>
      <c r="U66" s="16" t="n">
        <f aca="false">MAX(0,S66-CADASTRO_CASAS_BOMBA!$I$11*HORAS_CAPTACAO_DIA-T65)</f>
        <v>0</v>
      </c>
      <c r="V66" s="16" t="n">
        <f aca="false">INDEX(AUX_MATRIZES!$C$14:$BP$14,MIN(N_SEMANAS,MAX(1,$C66)))/DIAS_POR_SEMANA</f>
        <v>0</v>
      </c>
      <c r="W66" s="16" t="n">
        <f aca="false">MIN(CADASTRO_CASAS_BOMBA!$O$12,MAX(0,W65+CADASTRO_CASAS_BOMBA!$I$12*HORAS_CAPTACAO_DIA-V66))</f>
        <v>440000</v>
      </c>
      <c r="X66" s="16" t="n">
        <f aca="false">MAX(0,V66-CADASTRO_CASAS_BOMBA!$I$12*HORAS_CAPTACAO_DIA-W65)</f>
        <v>0</v>
      </c>
      <c r="Y66" s="16" t="n">
        <f aca="false">INDEX(AUX_MATRIZES!$C$15:$BP$15,MIN(N_SEMANAS,MAX(1,$C66)))/DIAS_POR_SEMANA</f>
        <v>0</v>
      </c>
      <c r="Z66" s="16" t="n">
        <f aca="false">MIN(CADASTRO_CASAS_BOMBA!$O$13,MAX(0,Z65+CADASTRO_CASAS_BOMBA!$I$13*HORAS_CAPTACAO_DIA-Y66))</f>
        <v>74903</v>
      </c>
      <c r="AA66" s="16" t="n">
        <f aca="false">MAX(0,Y66-CADASTRO_CASAS_BOMBA!$I$13*HORAS_CAPTACAO_DIA-Z65)</f>
        <v>0</v>
      </c>
    </row>
    <row r="67" customFormat="false" ht="15" hidden="false" customHeight="false" outlineLevel="0" collapsed="false">
      <c r="B67" s="17" t="n">
        <f aca="false">DATA_INICIO_SAFRA+60</f>
        <v>46325</v>
      </c>
      <c r="C67" s="16" t="n">
        <f aca="false">MIN(N_SEMANAS,MAX(1,INT(($B67-DATA_INICIO_SAFRA)/DIAS_POR_SEMANA)+1))</f>
        <v>9</v>
      </c>
      <c r="D67" s="16" t="n">
        <f aca="false">INDEX(AUX_MATRIZES!$C$8:$BP$8,MIN(N_SEMANAS,MAX(1,$C67)))/DIAS_POR_SEMANA</f>
        <v>1273.5535751634</v>
      </c>
      <c r="E67" s="16" t="n">
        <f aca="false">MIN(CADASTRO_CASAS_BOMBA!$O$6,MAX(0,E66+CADASTRO_CASAS_BOMBA!$I$6*HORAS_CAPTACAO_DIA-D67))</f>
        <v>2600</v>
      </c>
      <c r="F67" s="16" t="n">
        <f aca="false">MAX(0,D67-CADASTRO_CASAS_BOMBA!$I$6*HORAS_CAPTACAO_DIA-E66)</f>
        <v>0</v>
      </c>
      <c r="G67" s="16" t="n">
        <f aca="false">INDEX(AUX_MATRIZES!$C$9:$BP$9,MIN(N_SEMANAS,MAX(1,$C67)))/DIAS_POR_SEMANA</f>
        <v>1203.02233477379</v>
      </c>
      <c r="H67" s="16" t="n">
        <f aca="false">MIN(CADASTRO_CASAS_BOMBA!$O$7,MAX(0,H66+CADASTRO_CASAS_BOMBA!$I$7*HORAS_CAPTACAO_DIA-G67))</f>
        <v>76648</v>
      </c>
      <c r="I67" s="16" t="n">
        <f aca="false">MAX(0,G67-CADASTRO_CASAS_BOMBA!$I$7*HORAS_CAPTACAO_DIA-H66)</f>
        <v>0</v>
      </c>
      <c r="J67" s="16" t="n">
        <f aca="false">INDEX(AUX_MATRIZES!$C$10:$BP$10,MIN(N_SEMANAS,MAX(1,$C67)))/DIAS_POR_SEMANA</f>
        <v>1743.02488798325</v>
      </c>
      <c r="K67" s="16" t="n">
        <f aca="false">MIN(CADASTRO_CASAS_BOMBA!$O$8,MAX(0,K66+CADASTRO_CASAS_BOMBA!$I$8*HORAS_CAPTACAO_DIA-J67))</f>
        <v>27377</v>
      </c>
      <c r="L67" s="16" t="n">
        <f aca="false">MAX(0,J67-CADASTRO_CASAS_BOMBA!$I$8*HORAS_CAPTACAO_DIA-K66)</f>
        <v>0</v>
      </c>
      <c r="M67" s="16" t="n">
        <f aca="false">INDEX(AUX_MATRIZES!$C$11:$BP$11,MIN(N_SEMANAS,MAX(1,$C67)))/DIAS_POR_SEMANA</f>
        <v>5800.21701201498</v>
      </c>
      <c r="N67" s="16" t="n">
        <f aca="false">MIN(CADASTRO_CASAS_BOMBA!$O$9,MAX(0,N66+CADASTRO_CASAS_BOMBA!$I$9*HORAS_CAPTACAO_DIA-M67))</f>
        <v>129000</v>
      </c>
      <c r="O67" s="16" t="n">
        <f aca="false">MAX(0,M67-CADASTRO_CASAS_BOMBA!$I$9*HORAS_CAPTACAO_DIA-N66)</f>
        <v>0</v>
      </c>
      <c r="P67" s="16" t="n">
        <f aca="false">INDEX(AUX_MATRIZES!$C$12:$BP$12,MIN(N_SEMANAS,MAX(1,$C67)))/DIAS_POR_SEMANA</f>
        <v>4529.658</v>
      </c>
      <c r="Q67" s="16" t="n">
        <f aca="false">MIN(CADASTRO_CASAS_BOMBA!$O$10,MAX(0,Q66+CADASTRO_CASAS_BOMBA!$I$10*HORAS_CAPTACAO_DIA-P67))</f>
        <v>1000000</v>
      </c>
      <c r="R67" s="16" t="n">
        <f aca="false">MAX(0,P67-CADASTRO_CASAS_BOMBA!$I$10*HORAS_CAPTACAO_DIA-Q66)</f>
        <v>0</v>
      </c>
      <c r="S67" s="16" t="n">
        <f aca="false">INDEX(AUX_MATRIZES!$C$13:$BP$13,MIN(N_SEMANAS,MAX(1,$C67)))/DIAS_POR_SEMANA</f>
        <v>0</v>
      </c>
      <c r="T67" s="16" t="n">
        <f aca="false">MIN(CADASTRO_CASAS_BOMBA!$O$11,MAX(0,T66+CADASTRO_CASAS_BOMBA!$I$11*HORAS_CAPTACAO_DIA-S67))</f>
        <v>469821</v>
      </c>
      <c r="U67" s="16" t="n">
        <f aca="false">MAX(0,S67-CADASTRO_CASAS_BOMBA!$I$11*HORAS_CAPTACAO_DIA-T66)</f>
        <v>0</v>
      </c>
      <c r="V67" s="16" t="n">
        <f aca="false">INDEX(AUX_MATRIZES!$C$14:$BP$14,MIN(N_SEMANAS,MAX(1,$C67)))/DIAS_POR_SEMANA</f>
        <v>0</v>
      </c>
      <c r="W67" s="16" t="n">
        <f aca="false">MIN(CADASTRO_CASAS_BOMBA!$O$12,MAX(0,W66+CADASTRO_CASAS_BOMBA!$I$12*HORAS_CAPTACAO_DIA-V67))</f>
        <v>440000</v>
      </c>
      <c r="X67" s="16" t="n">
        <f aca="false">MAX(0,V67-CADASTRO_CASAS_BOMBA!$I$12*HORAS_CAPTACAO_DIA-W66)</f>
        <v>0</v>
      </c>
      <c r="Y67" s="16" t="n">
        <f aca="false">INDEX(AUX_MATRIZES!$C$15:$BP$15,MIN(N_SEMANAS,MAX(1,$C67)))/DIAS_POR_SEMANA</f>
        <v>0</v>
      </c>
      <c r="Z67" s="16" t="n">
        <f aca="false">MIN(CADASTRO_CASAS_BOMBA!$O$13,MAX(0,Z66+CADASTRO_CASAS_BOMBA!$I$13*HORAS_CAPTACAO_DIA-Y67))</f>
        <v>74903</v>
      </c>
      <c r="AA67" s="16" t="n">
        <f aca="false">MAX(0,Y67-CADASTRO_CASAS_BOMBA!$I$13*HORAS_CAPTACAO_DIA-Z66)</f>
        <v>0</v>
      </c>
    </row>
    <row r="68" customFormat="false" ht="15" hidden="false" customHeight="false" outlineLevel="0" collapsed="false">
      <c r="B68" s="17" t="n">
        <f aca="false">DATA_INICIO_SAFRA+61</f>
        <v>46326</v>
      </c>
      <c r="C68" s="16" t="n">
        <f aca="false">MIN(N_SEMANAS,MAX(1,INT(($B68-DATA_INICIO_SAFRA)/DIAS_POR_SEMANA)+1))</f>
        <v>9</v>
      </c>
      <c r="D68" s="16" t="n">
        <f aca="false">INDEX(AUX_MATRIZES!$C$8:$BP$8,MIN(N_SEMANAS,MAX(1,$C68)))/DIAS_POR_SEMANA</f>
        <v>1273.5535751634</v>
      </c>
      <c r="E68" s="16" t="n">
        <f aca="false">MIN(CADASTRO_CASAS_BOMBA!$O$6,MAX(0,E67+CADASTRO_CASAS_BOMBA!$I$6*HORAS_CAPTACAO_DIA-D68))</f>
        <v>2600</v>
      </c>
      <c r="F68" s="16" t="n">
        <f aca="false">MAX(0,D68-CADASTRO_CASAS_BOMBA!$I$6*HORAS_CAPTACAO_DIA-E67)</f>
        <v>0</v>
      </c>
      <c r="G68" s="16" t="n">
        <f aca="false">INDEX(AUX_MATRIZES!$C$9:$BP$9,MIN(N_SEMANAS,MAX(1,$C68)))/DIAS_POR_SEMANA</f>
        <v>1203.02233477379</v>
      </c>
      <c r="H68" s="16" t="n">
        <f aca="false">MIN(CADASTRO_CASAS_BOMBA!$O$7,MAX(0,H67+CADASTRO_CASAS_BOMBA!$I$7*HORAS_CAPTACAO_DIA-G68))</f>
        <v>76648</v>
      </c>
      <c r="I68" s="16" t="n">
        <f aca="false">MAX(0,G68-CADASTRO_CASAS_BOMBA!$I$7*HORAS_CAPTACAO_DIA-H67)</f>
        <v>0</v>
      </c>
      <c r="J68" s="16" t="n">
        <f aca="false">INDEX(AUX_MATRIZES!$C$10:$BP$10,MIN(N_SEMANAS,MAX(1,$C68)))/DIAS_POR_SEMANA</f>
        <v>1743.02488798325</v>
      </c>
      <c r="K68" s="16" t="n">
        <f aca="false">MIN(CADASTRO_CASAS_BOMBA!$O$8,MAX(0,K67+CADASTRO_CASAS_BOMBA!$I$8*HORAS_CAPTACAO_DIA-J68))</f>
        <v>27377</v>
      </c>
      <c r="L68" s="16" t="n">
        <f aca="false">MAX(0,J68-CADASTRO_CASAS_BOMBA!$I$8*HORAS_CAPTACAO_DIA-K67)</f>
        <v>0</v>
      </c>
      <c r="M68" s="16" t="n">
        <f aca="false">INDEX(AUX_MATRIZES!$C$11:$BP$11,MIN(N_SEMANAS,MAX(1,$C68)))/DIAS_POR_SEMANA</f>
        <v>5800.21701201498</v>
      </c>
      <c r="N68" s="16" t="n">
        <f aca="false">MIN(CADASTRO_CASAS_BOMBA!$O$9,MAX(0,N67+CADASTRO_CASAS_BOMBA!$I$9*HORAS_CAPTACAO_DIA-M68))</f>
        <v>129000</v>
      </c>
      <c r="O68" s="16" t="n">
        <f aca="false">MAX(0,M68-CADASTRO_CASAS_BOMBA!$I$9*HORAS_CAPTACAO_DIA-N67)</f>
        <v>0</v>
      </c>
      <c r="P68" s="16" t="n">
        <f aca="false">INDEX(AUX_MATRIZES!$C$12:$BP$12,MIN(N_SEMANAS,MAX(1,$C68)))/DIAS_POR_SEMANA</f>
        <v>4529.658</v>
      </c>
      <c r="Q68" s="16" t="n">
        <f aca="false">MIN(CADASTRO_CASAS_BOMBA!$O$10,MAX(0,Q67+CADASTRO_CASAS_BOMBA!$I$10*HORAS_CAPTACAO_DIA-P68))</f>
        <v>1000000</v>
      </c>
      <c r="R68" s="16" t="n">
        <f aca="false">MAX(0,P68-CADASTRO_CASAS_BOMBA!$I$10*HORAS_CAPTACAO_DIA-Q67)</f>
        <v>0</v>
      </c>
      <c r="S68" s="16" t="n">
        <f aca="false">INDEX(AUX_MATRIZES!$C$13:$BP$13,MIN(N_SEMANAS,MAX(1,$C68)))/DIAS_POR_SEMANA</f>
        <v>0</v>
      </c>
      <c r="T68" s="16" t="n">
        <f aca="false">MIN(CADASTRO_CASAS_BOMBA!$O$11,MAX(0,T67+CADASTRO_CASAS_BOMBA!$I$11*HORAS_CAPTACAO_DIA-S68))</f>
        <v>469821</v>
      </c>
      <c r="U68" s="16" t="n">
        <f aca="false">MAX(0,S68-CADASTRO_CASAS_BOMBA!$I$11*HORAS_CAPTACAO_DIA-T67)</f>
        <v>0</v>
      </c>
      <c r="V68" s="16" t="n">
        <f aca="false">INDEX(AUX_MATRIZES!$C$14:$BP$14,MIN(N_SEMANAS,MAX(1,$C68)))/DIAS_POR_SEMANA</f>
        <v>0</v>
      </c>
      <c r="W68" s="16" t="n">
        <f aca="false">MIN(CADASTRO_CASAS_BOMBA!$O$12,MAX(0,W67+CADASTRO_CASAS_BOMBA!$I$12*HORAS_CAPTACAO_DIA-V68))</f>
        <v>440000</v>
      </c>
      <c r="X68" s="16" t="n">
        <f aca="false">MAX(0,V68-CADASTRO_CASAS_BOMBA!$I$12*HORAS_CAPTACAO_DIA-W67)</f>
        <v>0</v>
      </c>
      <c r="Y68" s="16" t="n">
        <f aca="false">INDEX(AUX_MATRIZES!$C$15:$BP$15,MIN(N_SEMANAS,MAX(1,$C68)))/DIAS_POR_SEMANA</f>
        <v>0</v>
      </c>
      <c r="Z68" s="16" t="n">
        <f aca="false">MIN(CADASTRO_CASAS_BOMBA!$O$13,MAX(0,Z67+CADASTRO_CASAS_BOMBA!$I$13*HORAS_CAPTACAO_DIA-Y68))</f>
        <v>74903</v>
      </c>
      <c r="AA68" s="16" t="n">
        <f aca="false">MAX(0,Y68-CADASTRO_CASAS_BOMBA!$I$13*HORAS_CAPTACAO_DIA-Z67)</f>
        <v>0</v>
      </c>
    </row>
    <row r="69" customFormat="false" ht="15" hidden="false" customHeight="false" outlineLevel="0" collapsed="false">
      <c r="B69" s="17" t="n">
        <f aca="false">DATA_INICIO_SAFRA+62</f>
        <v>46327</v>
      </c>
      <c r="C69" s="16" t="n">
        <f aca="false">MIN(N_SEMANAS,MAX(1,INT(($B69-DATA_INICIO_SAFRA)/DIAS_POR_SEMANA)+1))</f>
        <v>9</v>
      </c>
      <c r="D69" s="16" t="n">
        <f aca="false">INDEX(AUX_MATRIZES!$C$8:$BP$8,MIN(N_SEMANAS,MAX(1,$C69)))/DIAS_POR_SEMANA</f>
        <v>1273.5535751634</v>
      </c>
      <c r="E69" s="16" t="n">
        <f aca="false">MIN(CADASTRO_CASAS_BOMBA!$O$6,MAX(0,E68+CADASTRO_CASAS_BOMBA!$I$6*HORAS_CAPTACAO_DIA-D69))</f>
        <v>2600</v>
      </c>
      <c r="F69" s="16" t="n">
        <f aca="false">MAX(0,D69-CADASTRO_CASAS_BOMBA!$I$6*HORAS_CAPTACAO_DIA-E68)</f>
        <v>0</v>
      </c>
      <c r="G69" s="16" t="n">
        <f aca="false">INDEX(AUX_MATRIZES!$C$9:$BP$9,MIN(N_SEMANAS,MAX(1,$C69)))/DIAS_POR_SEMANA</f>
        <v>1203.02233477379</v>
      </c>
      <c r="H69" s="16" t="n">
        <f aca="false">MIN(CADASTRO_CASAS_BOMBA!$O$7,MAX(0,H68+CADASTRO_CASAS_BOMBA!$I$7*HORAS_CAPTACAO_DIA-G69))</f>
        <v>76648</v>
      </c>
      <c r="I69" s="16" t="n">
        <f aca="false">MAX(0,G69-CADASTRO_CASAS_BOMBA!$I$7*HORAS_CAPTACAO_DIA-H68)</f>
        <v>0</v>
      </c>
      <c r="J69" s="16" t="n">
        <f aca="false">INDEX(AUX_MATRIZES!$C$10:$BP$10,MIN(N_SEMANAS,MAX(1,$C69)))/DIAS_POR_SEMANA</f>
        <v>1743.02488798325</v>
      </c>
      <c r="K69" s="16" t="n">
        <f aca="false">MIN(CADASTRO_CASAS_BOMBA!$O$8,MAX(0,K68+CADASTRO_CASAS_BOMBA!$I$8*HORAS_CAPTACAO_DIA-J69))</f>
        <v>27377</v>
      </c>
      <c r="L69" s="16" t="n">
        <f aca="false">MAX(0,J69-CADASTRO_CASAS_BOMBA!$I$8*HORAS_CAPTACAO_DIA-K68)</f>
        <v>0</v>
      </c>
      <c r="M69" s="16" t="n">
        <f aca="false">INDEX(AUX_MATRIZES!$C$11:$BP$11,MIN(N_SEMANAS,MAX(1,$C69)))/DIAS_POR_SEMANA</f>
        <v>5800.21701201498</v>
      </c>
      <c r="N69" s="16" t="n">
        <f aca="false">MIN(CADASTRO_CASAS_BOMBA!$O$9,MAX(0,N68+CADASTRO_CASAS_BOMBA!$I$9*HORAS_CAPTACAO_DIA-M69))</f>
        <v>129000</v>
      </c>
      <c r="O69" s="16" t="n">
        <f aca="false">MAX(0,M69-CADASTRO_CASAS_BOMBA!$I$9*HORAS_CAPTACAO_DIA-N68)</f>
        <v>0</v>
      </c>
      <c r="P69" s="16" t="n">
        <f aca="false">INDEX(AUX_MATRIZES!$C$12:$BP$12,MIN(N_SEMANAS,MAX(1,$C69)))/DIAS_POR_SEMANA</f>
        <v>4529.658</v>
      </c>
      <c r="Q69" s="16" t="n">
        <f aca="false">MIN(CADASTRO_CASAS_BOMBA!$O$10,MAX(0,Q68+CADASTRO_CASAS_BOMBA!$I$10*HORAS_CAPTACAO_DIA-P69))</f>
        <v>1000000</v>
      </c>
      <c r="R69" s="16" t="n">
        <f aca="false">MAX(0,P69-CADASTRO_CASAS_BOMBA!$I$10*HORAS_CAPTACAO_DIA-Q68)</f>
        <v>0</v>
      </c>
      <c r="S69" s="16" t="n">
        <f aca="false">INDEX(AUX_MATRIZES!$C$13:$BP$13,MIN(N_SEMANAS,MAX(1,$C69)))/DIAS_POR_SEMANA</f>
        <v>0</v>
      </c>
      <c r="T69" s="16" t="n">
        <f aca="false">MIN(CADASTRO_CASAS_BOMBA!$O$11,MAX(0,T68+CADASTRO_CASAS_BOMBA!$I$11*HORAS_CAPTACAO_DIA-S69))</f>
        <v>469821</v>
      </c>
      <c r="U69" s="16" t="n">
        <f aca="false">MAX(0,S69-CADASTRO_CASAS_BOMBA!$I$11*HORAS_CAPTACAO_DIA-T68)</f>
        <v>0</v>
      </c>
      <c r="V69" s="16" t="n">
        <f aca="false">INDEX(AUX_MATRIZES!$C$14:$BP$14,MIN(N_SEMANAS,MAX(1,$C69)))/DIAS_POR_SEMANA</f>
        <v>0</v>
      </c>
      <c r="W69" s="16" t="n">
        <f aca="false">MIN(CADASTRO_CASAS_BOMBA!$O$12,MAX(0,W68+CADASTRO_CASAS_BOMBA!$I$12*HORAS_CAPTACAO_DIA-V69))</f>
        <v>440000</v>
      </c>
      <c r="X69" s="16" t="n">
        <f aca="false">MAX(0,V69-CADASTRO_CASAS_BOMBA!$I$12*HORAS_CAPTACAO_DIA-W68)</f>
        <v>0</v>
      </c>
      <c r="Y69" s="16" t="n">
        <f aca="false">INDEX(AUX_MATRIZES!$C$15:$BP$15,MIN(N_SEMANAS,MAX(1,$C69)))/DIAS_POR_SEMANA</f>
        <v>0</v>
      </c>
      <c r="Z69" s="16" t="n">
        <f aca="false">MIN(CADASTRO_CASAS_BOMBA!$O$13,MAX(0,Z68+CADASTRO_CASAS_BOMBA!$I$13*HORAS_CAPTACAO_DIA-Y69))</f>
        <v>74903</v>
      </c>
      <c r="AA69" s="16" t="n">
        <f aca="false">MAX(0,Y69-CADASTRO_CASAS_BOMBA!$I$13*HORAS_CAPTACAO_DIA-Z68)</f>
        <v>0</v>
      </c>
    </row>
    <row r="70" customFormat="false" ht="15" hidden="false" customHeight="false" outlineLevel="0" collapsed="false">
      <c r="B70" s="17" t="n">
        <f aca="false">DATA_INICIO_SAFRA+63</f>
        <v>46328</v>
      </c>
      <c r="C70" s="16" t="n">
        <f aca="false">MIN(N_SEMANAS,MAX(1,INT(($B70-DATA_INICIO_SAFRA)/DIAS_POR_SEMANA)+1))</f>
        <v>10</v>
      </c>
      <c r="D70" s="16" t="n">
        <f aca="false">INDEX(AUX_MATRIZES!$C$8:$BP$8,MIN(N_SEMANAS,MAX(1,$C70)))/DIAS_POR_SEMANA</f>
        <v>0</v>
      </c>
      <c r="E70" s="16" t="n">
        <f aca="false">MIN(CADASTRO_CASAS_BOMBA!$O$6,MAX(0,E69+CADASTRO_CASAS_BOMBA!$I$6*HORAS_CAPTACAO_DIA-D70))</f>
        <v>2600</v>
      </c>
      <c r="F70" s="16" t="n">
        <f aca="false">MAX(0,D70-CADASTRO_CASAS_BOMBA!$I$6*HORAS_CAPTACAO_DIA-E69)</f>
        <v>0</v>
      </c>
      <c r="G70" s="16" t="n">
        <f aca="false">INDEX(AUX_MATRIZES!$C$9:$BP$9,MIN(N_SEMANAS,MAX(1,$C70)))/DIAS_POR_SEMANA</f>
        <v>0</v>
      </c>
      <c r="H70" s="16" t="n">
        <f aca="false">MIN(CADASTRO_CASAS_BOMBA!$O$7,MAX(0,H69+CADASTRO_CASAS_BOMBA!$I$7*HORAS_CAPTACAO_DIA-G70))</f>
        <v>76648</v>
      </c>
      <c r="I70" s="16" t="n">
        <f aca="false">MAX(0,G70-CADASTRO_CASAS_BOMBA!$I$7*HORAS_CAPTACAO_DIA-H69)</f>
        <v>0</v>
      </c>
      <c r="J70" s="16" t="n">
        <f aca="false">INDEX(AUX_MATRIZES!$C$10:$BP$10,MIN(N_SEMANAS,MAX(1,$C70)))/DIAS_POR_SEMANA</f>
        <v>0</v>
      </c>
      <c r="K70" s="16" t="n">
        <f aca="false">MIN(CADASTRO_CASAS_BOMBA!$O$8,MAX(0,K69+CADASTRO_CASAS_BOMBA!$I$8*HORAS_CAPTACAO_DIA-J70))</f>
        <v>27377</v>
      </c>
      <c r="L70" s="16" t="n">
        <f aca="false">MAX(0,J70-CADASTRO_CASAS_BOMBA!$I$8*HORAS_CAPTACAO_DIA-K69)</f>
        <v>0</v>
      </c>
      <c r="M70" s="16" t="n">
        <f aca="false">INDEX(AUX_MATRIZES!$C$11:$BP$11,MIN(N_SEMANAS,MAX(1,$C70)))/DIAS_POR_SEMANA</f>
        <v>0</v>
      </c>
      <c r="N70" s="16" t="n">
        <f aca="false">MIN(CADASTRO_CASAS_BOMBA!$O$9,MAX(0,N69+CADASTRO_CASAS_BOMBA!$I$9*HORAS_CAPTACAO_DIA-M70))</f>
        <v>129000</v>
      </c>
      <c r="O70" s="16" t="n">
        <f aca="false">MAX(0,M70-CADASTRO_CASAS_BOMBA!$I$9*HORAS_CAPTACAO_DIA-N69)</f>
        <v>0</v>
      </c>
      <c r="P70" s="16" t="n">
        <f aca="false">INDEX(AUX_MATRIZES!$C$12:$BP$12,MIN(N_SEMANAS,MAX(1,$C70)))/DIAS_POR_SEMANA</f>
        <v>0</v>
      </c>
      <c r="Q70" s="16" t="n">
        <f aca="false">MIN(CADASTRO_CASAS_BOMBA!$O$10,MAX(0,Q69+CADASTRO_CASAS_BOMBA!$I$10*HORAS_CAPTACAO_DIA-P70))</f>
        <v>1000000</v>
      </c>
      <c r="R70" s="16" t="n">
        <f aca="false">MAX(0,P70-CADASTRO_CASAS_BOMBA!$I$10*HORAS_CAPTACAO_DIA-Q69)</f>
        <v>0</v>
      </c>
      <c r="S70" s="16" t="n">
        <f aca="false">INDEX(AUX_MATRIZES!$C$13:$BP$13,MIN(N_SEMANAS,MAX(1,$C70)))/DIAS_POR_SEMANA</f>
        <v>0</v>
      </c>
      <c r="T70" s="16" t="n">
        <f aca="false">MIN(CADASTRO_CASAS_BOMBA!$O$11,MAX(0,T69+CADASTRO_CASAS_BOMBA!$I$11*HORAS_CAPTACAO_DIA-S70))</f>
        <v>469821</v>
      </c>
      <c r="U70" s="16" t="n">
        <f aca="false">MAX(0,S70-CADASTRO_CASAS_BOMBA!$I$11*HORAS_CAPTACAO_DIA-T69)</f>
        <v>0</v>
      </c>
      <c r="V70" s="16" t="n">
        <f aca="false">INDEX(AUX_MATRIZES!$C$14:$BP$14,MIN(N_SEMANAS,MAX(1,$C70)))/DIAS_POR_SEMANA</f>
        <v>0</v>
      </c>
      <c r="W70" s="16" t="n">
        <f aca="false">MIN(CADASTRO_CASAS_BOMBA!$O$12,MAX(0,W69+CADASTRO_CASAS_BOMBA!$I$12*HORAS_CAPTACAO_DIA-V70))</f>
        <v>440000</v>
      </c>
      <c r="X70" s="16" t="n">
        <f aca="false">MAX(0,V70-CADASTRO_CASAS_BOMBA!$I$12*HORAS_CAPTACAO_DIA-W69)</f>
        <v>0</v>
      </c>
      <c r="Y70" s="16" t="n">
        <f aca="false">INDEX(AUX_MATRIZES!$C$15:$BP$15,MIN(N_SEMANAS,MAX(1,$C70)))/DIAS_POR_SEMANA</f>
        <v>0</v>
      </c>
      <c r="Z70" s="16" t="n">
        <f aca="false">MIN(CADASTRO_CASAS_BOMBA!$O$13,MAX(0,Z69+CADASTRO_CASAS_BOMBA!$I$13*HORAS_CAPTACAO_DIA-Y70))</f>
        <v>74903</v>
      </c>
      <c r="AA70" s="16" t="n">
        <f aca="false">MAX(0,Y70-CADASTRO_CASAS_BOMBA!$I$13*HORAS_CAPTACAO_DIA-Z69)</f>
        <v>0</v>
      </c>
    </row>
    <row r="71" customFormat="false" ht="15" hidden="false" customHeight="false" outlineLevel="0" collapsed="false">
      <c r="B71" s="17" t="n">
        <f aca="false">DATA_INICIO_SAFRA+64</f>
        <v>46329</v>
      </c>
      <c r="C71" s="16" t="n">
        <f aca="false">MIN(N_SEMANAS,MAX(1,INT(($B71-DATA_INICIO_SAFRA)/DIAS_POR_SEMANA)+1))</f>
        <v>10</v>
      </c>
      <c r="D71" s="16" t="n">
        <f aca="false">INDEX(AUX_MATRIZES!$C$8:$BP$8,MIN(N_SEMANAS,MAX(1,$C71)))/DIAS_POR_SEMANA</f>
        <v>0</v>
      </c>
      <c r="E71" s="16" t="n">
        <f aca="false">MIN(CADASTRO_CASAS_BOMBA!$O$6,MAX(0,E70+CADASTRO_CASAS_BOMBA!$I$6*HORAS_CAPTACAO_DIA-D71))</f>
        <v>2600</v>
      </c>
      <c r="F71" s="16" t="n">
        <f aca="false">MAX(0,D71-CADASTRO_CASAS_BOMBA!$I$6*HORAS_CAPTACAO_DIA-E70)</f>
        <v>0</v>
      </c>
      <c r="G71" s="16" t="n">
        <f aca="false">INDEX(AUX_MATRIZES!$C$9:$BP$9,MIN(N_SEMANAS,MAX(1,$C71)))/DIAS_POR_SEMANA</f>
        <v>0</v>
      </c>
      <c r="H71" s="16" t="n">
        <f aca="false">MIN(CADASTRO_CASAS_BOMBA!$O$7,MAX(0,H70+CADASTRO_CASAS_BOMBA!$I$7*HORAS_CAPTACAO_DIA-G71))</f>
        <v>76648</v>
      </c>
      <c r="I71" s="16" t="n">
        <f aca="false">MAX(0,G71-CADASTRO_CASAS_BOMBA!$I$7*HORAS_CAPTACAO_DIA-H70)</f>
        <v>0</v>
      </c>
      <c r="J71" s="16" t="n">
        <f aca="false">INDEX(AUX_MATRIZES!$C$10:$BP$10,MIN(N_SEMANAS,MAX(1,$C71)))/DIAS_POR_SEMANA</f>
        <v>0</v>
      </c>
      <c r="K71" s="16" t="n">
        <f aca="false">MIN(CADASTRO_CASAS_BOMBA!$O$8,MAX(0,K70+CADASTRO_CASAS_BOMBA!$I$8*HORAS_CAPTACAO_DIA-J71))</f>
        <v>27377</v>
      </c>
      <c r="L71" s="16" t="n">
        <f aca="false">MAX(0,J71-CADASTRO_CASAS_BOMBA!$I$8*HORAS_CAPTACAO_DIA-K70)</f>
        <v>0</v>
      </c>
      <c r="M71" s="16" t="n">
        <f aca="false">INDEX(AUX_MATRIZES!$C$11:$BP$11,MIN(N_SEMANAS,MAX(1,$C71)))/DIAS_POR_SEMANA</f>
        <v>0</v>
      </c>
      <c r="N71" s="16" t="n">
        <f aca="false">MIN(CADASTRO_CASAS_BOMBA!$O$9,MAX(0,N70+CADASTRO_CASAS_BOMBA!$I$9*HORAS_CAPTACAO_DIA-M71))</f>
        <v>129000</v>
      </c>
      <c r="O71" s="16" t="n">
        <f aca="false">MAX(0,M71-CADASTRO_CASAS_BOMBA!$I$9*HORAS_CAPTACAO_DIA-N70)</f>
        <v>0</v>
      </c>
      <c r="P71" s="16" t="n">
        <f aca="false">INDEX(AUX_MATRIZES!$C$12:$BP$12,MIN(N_SEMANAS,MAX(1,$C71)))/DIAS_POR_SEMANA</f>
        <v>0</v>
      </c>
      <c r="Q71" s="16" t="n">
        <f aca="false">MIN(CADASTRO_CASAS_BOMBA!$O$10,MAX(0,Q70+CADASTRO_CASAS_BOMBA!$I$10*HORAS_CAPTACAO_DIA-P71))</f>
        <v>1000000</v>
      </c>
      <c r="R71" s="16" t="n">
        <f aca="false">MAX(0,P71-CADASTRO_CASAS_BOMBA!$I$10*HORAS_CAPTACAO_DIA-Q70)</f>
        <v>0</v>
      </c>
      <c r="S71" s="16" t="n">
        <f aca="false">INDEX(AUX_MATRIZES!$C$13:$BP$13,MIN(N_SEMANAS,MAX(1,$C71)))/DIAS_POR_SEMANA</f>
        <v>0</v>
      </c>
      <c r="T71" s="16" t="n">
        <f aca="false">MIN(CADASTRO_CASAS_BOMBA!$O$11,MAX(0,T70+CADASTRO_CASAS_BOMBA!$I$11*HORAS_CAPTACAO_DIA-S71))</f>
        <v>469821</v>
      </c>
      <c r="U71" s="16" t="n">
        <f aca="false">MAX(0,S71-CADASTRO_CASAS_BOMBA!$I$11*HORAS_CAPTACAO_DIA-T70)</f>
        <v>0</v>
      </c>
      <c r="V71" s="16" t="n">
        <f aca="false">INDEX(AUX_MATRIZES!$C$14:$BP$14,MIN(N_SEMANAS,MAX(1,$C71)))/DIAS_POR_SEMANA</f>
        <v>0</v>
      </c>
      <c r="W71" s="16" t="n">
        <f aca="false">MIN(CADASTRO_CASAS_BOMBA!$O$12,MAX(0,W70+CADASTRO_CASAS_BOMBA!$I$12*HORAS_CAPTACAO_DIA-V71))</f>
        <v>440000</v>
      </c>
      <c r="X71" s="16" t="n">
        <f aca="false">MAX(0,V71-CADASTRO_CASAS_BOMBA!$I$12*HORAS_CAPTACAO_DIA-W70)</f>
        <v>0</v>
      </c>
      <c r="Y71" s="16" t="n">
        <f aca="false">INDEX(AUX_MATRIZES!$C$15:$BP$15,MIN(N_SEMANAS,MAX(1,$C71)))/DIAS_POR_SEMANA</f>
        <v>0</v>
      </c>
      <c r="Z71" s="16" t="n">
        <f aca="false">MIN(CADASTRO_CASAS_BOMBA!$O$13,MAX(0,Z70+CADASTRO_CASAS_BOMBA!$I$13*HORAS_CAPTACAO_DIA-Y71))</f>
        <v>74903</v>
      </c>
      <c r="AA71" s="16" t="n">
        <f aca="false">MAX(0,Y71-CADASTRO_CASAS_BOMBA!$I$13*HORAS_CAPTACAO_DIA-Z70)</f>
        <v>0</v>
      </c>
    </row>
    <row r="72" customFormat="false" ht="15" hidden="false" customHeight="false" outlineLevel="0" collapsed="false">
      <c r="B72" s="17" t="n">
        <f aca="false">DATA_INICIO_SAFRA+65</f>
        <v>46330</v>
      </c>
      <c r="C72" s="16" t="n">
        <f aca="false">MIN(N_SEMANAS,MAX(1,INT(($B72-DATA_INICIO_SAFRA)/DIAS_POR_SEMANA)+1))</f>
        <v>10</v>
      </c>
      <c r="D72" s="16" t="n">
        <f aca="false">INDEX(AUX_MATRIZES!$C$8:$BP$8,MIN(N_SEMANAS,MAX(1,$C72)))/DIAS_POR_SEMANA</f>
        <v>0</v>
      </c>
      <c r="E72" s="16" t="n">
        <f aca="false">MIN(CADASTRO_CASAS_BOMBA!$O$6,MAX(0,E71+CADASTRO_CASAS_BOMBA!$I$6*HORAS_CAPTACAO_DIA-D72))</f>
        <v>2600</v>
      </c>
      <c r="F72" s="16" t="n">
        <f aca="false">MAX(0,D72-CADASTRO_CASAS_BOMBA!$I$6*HORAS_CAPTACAO_DIA-E71)</f>
        <v>0</v>
      </c>
      <c r="G72" s="16" t="n">
        <f aca="false">INDEX(AUX_MATRIZES!$C$9:$BP$9,MIN(N_SEMANAS,MAX(1,$C72)))/DIAS_POR_SEMANA</f>
        <v>0</v>
      </c>
      <c r="H72" s="16" t="n">
        <f aca="false">MIN(CADASTRO_CASAS_BOMBA!$O$7,MAX(0,H71+CADASTRO_CASAS_BOMBA!$I$7*HORAS_CAPTACAO_DIA-G72))</f>
        <v>76648</v>
      </c>
      <c r="I72" s="16" t="n">
        <f aca="false">MAX(0,G72-CADASTRO_CASAS_BOMBA!$I$7*HORAS_CAPTACAO_DIA-H71)</f>
        <v>0</v>
      </c>
      <c r="J72" s="16" t="n">
        <f aca="false">INDEX(AUX_MATRIZES!$C$10:$BP$10,MIN(N_SEMANAS,MAX(1,$C72)))/DIAS_POR_SEMANA</f>
        <v>0</v>
      </c>
      <c r="K72" s="16" t="n">
        <f aca="false">MIN(CADASTRO_CASAS_BOMBA!$O$8,MAX(0,K71+CADASTRO_CASAS_BOMBA!$I$8*HORAS_CAPTACAO_DIA-J72))</f>
        <v>27377</v>
      </c>
      <c r="L72" s="16" t="n">
        <f aca="false">MAX(0,J72-CADASTRO_CASAS_BOMBA!$I$8*HORAS_CAPTACAO_DIA-K71)</f>
        <v>0</v>
      </c>
      <c r="M72" s="16" t="n">
        <f aca="false">INDEX(AUX_MATRIZES!$C$11:$BP$11,MIN(N_SEMANAS,MAX(1,$C72)))/DIAS_POR_SEMANA</f>
        <v>0</v>
      </c>
      <c r="N72" s="16" t="n">
        <f aca="false">MIN(CADASTRO_CASAS_BOMBA!$O$9,MAX(0,N71+CADASTRO_CASAS_BOMBA!$I$9*HORAS_CAPTACAO_DIA-M72))</f>
        <v>129000</v>
      </c>
      <c r="O72" s="16" t="n">
        <f aca="false">MAX(0,M72-CADASTRO_CASAS_BOMBA!$I$9*HORAS_CAPTACAO_DIA-N71)</f>
        <v>0</v>
      </c>
      <c r="P72" s="16" t="n">
        <f aca="false">INDEX(AUX_MATRIZES!$C$12:$BP$12,MIN(N_SEMANAS,MAX(1,$C72)))/DIAS_POR_SEMANA</f>
        <v>0</v>
      </c>
      <c r="Q72" s="16" t="n">
        <f aca="false">MIN(CADASTRO_CASAS_BOMBA!$O$10,MAX(0,Q71+CADASTRO_CASAS_BOMBA!$I$10*HORAS_CAPTACAO_DIA-P72))</f>
        <v>1000000</v>
      </c>
      <c r="R72" s="16" t="n">
        <f aca="false">MAX(0,P72-CADASTRO_CASAS_BOMBA!$I$10*HORAS_CAPTACAO_DIA-Q71)</f>
        <v>0</v>
      </c>
      <c r="S72" s="16" t="n">
        <f aca="false">INDEX(AUX_MATRIZES!$C$13:$BP$13,MIN(N_SEMANAS,MAX(1,$C72)))/DIAS_POR_SEMANA</f>
        <v>0</v>
      </c>
      <c r="T72" s="16" t="n">
        <f aca="false">MIN(CADASTRO_CASAS_BOMBA!$O$11,MAX(0,T71+CADASTRO_CASAS_BOMBA!$I$11*HORAS_CAPTACAO_DIA-S72))</f>
        <v>469821</v>
      </c>
      <c r="U72" s="16" t="n">
        <f aca="false">MAX(0,S72-CADASTRO_CASAS_BOMBA!$I$11*HORAS_CAPTACAO_DIA-T71)</f>
        <v>0</v>
      </c>
      <c r="V72" s="16" t="n">
        <f aca="false">INDEX(AUX_MATRIZES!$C$14:$BP$14,MIN(N_SEMANAS,MAX(1,$C72)))/DIAS_POR_SEMANA</f>
        <v>0</v>
      </c>
      <c r="W72" s="16" t="n">
        <f aca="false">MIN(CADASTRO_CASAS_BOMBA!$O$12,MAX(0,W71+CADASTRO_CASAS_BOMBA!$I$12*HORAS_CAPTACAO_DIA-V72))</f>
        <v>440000</v>
      </c>
      <c r="X72" s="16" t="n">
        <f aca="false">MAX(0,V72-CADASTRO_CASAS_BOMBA!$I$12*HORAS_CAPTACAO_DIA-W71)</f>
        <v>0</v>
      </c>
      <c r="Y72" s="16" t="n">
        <f aca="false">INDEX(AUX_MATRIZES!$C$15:$BP$15,MIN(N_SEMANAS,MAX(1,$C72)))/DIAS_POR_SEMANA</f>
        <v>0</v>
      </c>
      <c r="Z72" s="16" t="n">
        <f aca="false">MIN(CADASTRO_CASAS_BOMBA!$O$13,MAX(0,Z71+CADASTRO_CASAS_BOMBA!$I$13*HORAS_CAPTACAO_DIA-Y72))</f>
        <v>74903</v>
      </c>
      <c r="AA72" s="16" t="n">
        <f aca="false">MAX(0,Y72-CADASTRO_CASAS_BOMBA!$I$13*HORAS_CAPTACAO_DIA-Z71)</f>
        <v>0</v>
      </c>
    </row>
    <row r="73" customFormat="false" ht="15" hidden="false" customHeight="false" outlineLevel="0" collapsed="false">
      <c r="B73" s="17" t="n">
        <f aca="false">DATA_INICIO_SAFRA+66</f>
        <v>46331</v>
      </c>
      <c r="C73" s="16" t="n">
        <f aca="false">MIN(N_SEMANAS,MAX(1,INT(($B73-DATA_INICIO_SAFRA)/DIAS_POR_SEMANA)+1))</f>
        <v>10</v>
      </c>
      <c r="D73" s="16" t="n">
        <f aca="false">INDEX(AUX_MATRIZES!$C$8:$BP$8,MIN(N_SEMANAS,MAX(1,$C73)))/DIAS_POR_SEMANA</f>
        <v>0</v>
      </c>
      <c r="E73" s="16" t="n">
        <f aca="false">MIN(CADASTRO_CASAS_BOMBA!$O$6,MAX(0,E72+CADASTRO_CASAS_BOMBA!$I$6*HORAS_CAPTACAO_DIA-D73))</f>
        <v>2600</v>
      </c>
      <c r="F73" s="16" t="n">
        <f aca="false">MAX(0,D73-CADASTRO_CASAS_BOMBA!$I$6*HORAS_CAPTACAO_DIA-E72)</f>
        <v>0</v>
      </c>
      <c r="G73" s="16" t="n">
        <f aca="false">INDEX(AUX_MATRIZES!$C$9:$BP$9,MIN(N_SEMANAS,MAX(1,$C73)))/DIAS_POR_SEMANA</f>
        <v>0</v>
      </c>
      <c r="H73" s="16" t="n">
        <f aca="false">MIN(CADASTRO_CASAS_BOMBA!$O$7,MAX(0,H72+CADASTRO_CASAS_BOMBA!$I$7*HORAS_CAPTACAO_DIA-G73))</f>
        <v>76648</v>
      </c>
      <c r="I73" s="16" t="n">
        <f aca="false">MAX(0,G73-CADASTRO_CASAS_BOMBA!$I$7*HORAS_CAPTACAO_DIA-H72)</f>
        <v>0</v>
      </c>
      <c r="J73" s="16" t="n">
        <f aca="false">INDEX(AUX_MATRIZES!$C$10:$BP$10,MIN(N_SEMANAS,MAX(1,$C73)))/DIAS_POR_SEMANA</f>
        <v>0</v>
      </c>
      <c r="K73" s="16" t="n">
        <f aca="false">MIN(CADASTRO_CASAS_BOMBA!$O$8,MAX(0,K72+CADASTRO_CASAS_BOMBA!$I$8*HORAS_CAPTACAO_DIA-J73))</f>
        <v>27377</v>
      </c>
      <c r="L73" s="16" t="n">
        <f aca="false">MAX(0,J73-CADASTRO_CASAS_BOMBA!$I$8*HORAS_CAPTACAO_DIA-K72)</f>
        <v>0</v>
      </c>
      <c r="M73" s="16" t="n">
        <f aca="false">INDEX(AUX_MATRIZES!$C$11:$BP$11,MIN(N_SEMANAS,MAX(1,$C73)))/DIAS_POR_SEMANA</f>
        <v>0</v>
      </c>
      <c r="N73" s="16" t="n">
        <f aca="false">MIN(CADASTRO_CASAS_BOMBA!$O$9,MAX(0,N72+CADASTRO_CASAS_BOMBA!$I$9*HORAS_CAPTACAO_DIA-M73))</f>
        <v>129000</v>
      </c>
      <c r="O73" s="16" t="n">
        <f aca="false">MAX(0,M73-CADASTRO_CASAS_BOMBA!$I$9*HORAS_CAPTACAO_DIA-N72)</f>
        <v>0</v>
      </c>
      <c r="P73" s="16" t="n">
        <f aca="false">INDEX(AUX_MATRIZES!$C$12:$BP$12,MIN(N_SEMANAS,MAX(1,$C73)))/DIAS_POR_SEMANA</f>
        <v>0</v>
      </c>
      <c r="Q73" s="16" t="n">
        <f aca="false">MIN(CADASTRO_CASAS_BOMBA!$O$10,MAX(0,Q72+CADASTRO_CASAS_BOMBA!$I$10*HORAS_CAPTACAO_DIA-P73))</f>
        <v>1000000</v>
      </c>
      <c r="R73" s="16" t="n">
        <f aca="false">MAX(0,P73-CADASTRO_CASAS_BOMBA!$I$10*HORAS_CAPTACAO_DIA-Q72)</f>
        <v>0</v>
      </c>
      <c r="S73" s="16" t="n">
        <f aca="false">INDEX(AUX_MATRIZES!$C$13:$BP$13,MIN(N_SEMANAS,MAX(1,$C73)))/DIAS_POR_SEMANA</f>
        <v>0</v>
      </c>
      <c r="T73" s="16" t="n">
        <f aca="false">MIN(CADASTRO_CASAS_BOMBA!$O$11,MAX(0,T72+CADASTRO_CASAS_BOMBA!$I$11*HORAS_CAPTACAO_DIA-S73))</f>
        <v>469821</v>
      </c>
      <c r="U73" s="16" t="n">
        <f aca="false">MAX(0,S73-CADASTRO_CASAS_BOMBA!$I$11*HORAS_CAPTACAO_DIA-T72)</f>
        <v>0</v>
      </c>
      <c r="V73" s="16" t="n">
        <f aca="false">INDEX(AUX_MATRIZES!$C$14:$BP$14,MIN(N_SEMANAS,MAX(1,$C73)))/DIAS_POR_SEMANA</f>
        <v>0</v>
      </c>
      <c r="W73" s="16" t="n">
        <f aca="false">MIN(CADASTRO_CASAS_BOMBA!$O$12,MAX(0,W72+CADASTRO_CASAS_BOMBA!$I$12*HORAS_CAPTACAO_DIA-V73))</f>
        <v>440000</v>
      </c>
      <c r="X73" s="16" t="n">
        <f aca="false">MAX(0,V73-CADASTRO_CASAS_BOMBA!$I$12*HORAS_CAPTACAO_DIA-W72)</f>
        <v>0</v>
      </c>
      <c r="Y73" s="16" t="n">
        <f aca="false">INDEX(AUX_MATRIZES!$C$15:$BP$15,MIN(N_SEMANAS,MAX(1,$C73)))/DIAS_POR_SEMANA</f>
        <v>0</v>
      </c>
      <c r="Z73" s="16" t="n">
        <f aca="false">MIN(CADASTRO_CASAS_BOMBA!$O$13,MAX(0,Z72+CADASTRO_CASAS_BOMBA!$I$13*HORAS_CAPTACAO_DIA-Y73))</f>
        <v>74903</v>
      </c>
      <c r="AA73" s="16" t="n">
        <f aca="false">MAX(0,Y73-CADASTRO_CASAS_BOMBA!$I$13*HORAS_CAPTACAO_DIA-Z72)</f>
        <v>0</v>
      </c>
    </row>
    <row r="74" customFormat="false" ht="15" hidden="false" customHeight="false" outlineLevel="0" collapsed="false">
      <c r="B74" s="17" t="n">
        <f aca="false">DATA_INICIO_SAFRA+67</f>
        <v>46332</v>
      </c>
      <c r="C74" s="16" t="n">
        <f aca="false">MIN(N_SEMANAS,MAX(1,INT(($B74-DATA_INICIO_SAFRA)/DIAS_POR_SEMANA)+1))</f>
        <v>10</v>
      </c>
      <c r="D74" s="16" t="n">
        <f aca="false">INDEX(AUX_MATRIZES!$C$8:$BP$8,MIN(N_SEMANAS,MAX(1,$C74)))/DIAS_POR_SEMANA</f>
        <v>0</v>
      </c>
      <c r="E74" s="16" t="n">
        <f aca="false">MIN(CADASTRO_CASAS_BOMBA!$O$6,MAX(0,E73+CADASTRO_CASAS_BOMBA!$I$6*HORAS_CAPTACAO_DIA-D74))</f>
        <v>2600</v>
      </c>
      <c r="F74" s="16" t="n">
        <f aca="false">MAX(0,D74-CADASTRO_CASAS_BOMBA!$I$6*HORAS_CAPTACAO_DIA-E73)</f>
        <v>0</v>
      </c>
      <c r="G74" s="16" t="n">
        <f aca="false">INDEX(AUX_MATRIZES!$C$9:$BP$9,MIN(N_SEMANAS,MAX(1,$C74)))/DIAS_POR_SEMANA</f>
        <v>0</v>
      </c>
      <c r="H74" s="16" t="n">
        <f aca="false">MIN(CADASTRO_CASAS_BOMBA!$O$7,MAX(0,H73+CADASTRO_CASAS_BOMBA!$I$7*HORAS_CAPTACAO_DIA-G74))</f>
        <v>76648</v>
      </c>
      <c r="I74" s="16" t="n">
        <f aca="false">MAX(0,G74-CADASTRO_CASAS_BOMBA!$I$7*HORAS_CAPTACAO_DIA-H73)</f>
        <v>0</v>
      </c>
      <c r="J74" s="16" t="n">
        <f aca="false">INDEX(AUX_MATRIZES!$C$10:$BP$10,MIN(N_SEMANAS,MAX(1,$C74)))/DIAS_POR_SEMANA</f>
        <v>0</v>
      </c>
      <c r="K74" s="16" t="n">
        <f aca="false">MIN(CADASTRO_CASAS_BOMBA!$O$8,MAX(0,K73+CADASTRO_CASAS_BOMBA!$I$8*HORAS_CAPTACAO_DIA-J74))</f>
        <v>27377</v>
      </c>
      <c r="L74" s="16" t="n">
        <f aca="false">MAX(0,J74-CADASTRO_CASAS_BOMBA!$I$8*HORAS_CAPTACAO_DIA-K73)</f>
        <v>0</v>
      </c>
      <c r="M74" s="16" t="n">
        <f aca="false">INDEX(AUX_MATRIZES!$C$11:$BP$11,MIN(N_SEMANAS,MAX(1,$C74)))/DIAS_POR_SEMANA</f>
        <v>0</v>
      </c>
      <c r="N74" s="16" t="n">
        <f aca="false">MIN(CADASTRO_CASAS_BOMBA!$O$9,MAX(0,N73+CADASTRO_CASAS_BOMBA!$I$9*HORAS_CAPTACAO_DIA-M74))</f>
        <v>129000</v>
      </c>
      <c r="O74" s="16" t="n">
        <f aca="false">MAX(0,M74-CADASTRO_CASAS_BOMBA!$I$9*HORAS_CAPTACAO_DIA-N73)</f>
        <v>0</v>
      </c>
      <c r="P74" s="16" t="n">
        <f aca="false">INDEX(AUX_MATRIZES!$C$12:$BP$12,MIN(N_SEMANAS,MAX(1,$C74)))/DIAS_POR_SEMANA</f>
        <v>0</v>
      </c>
      <c r="Q74" s="16" t="n">
        <f aca="false">MIN(CADASTRO_CASAS_BOMBA!$O$10,MAX(0,Q73+CADASTRO_CASAS_BOMBA!$I$10*HORAS_CAPTACAO_DIA-P74))</f>
        <v>1000000</v>
      </c>
      <c r="R74" s="16" t="n">
        <f aca="false">MAX(0,P74-CADASTRO_CASAS_BOMBA!$I$10*HORAS_CAPTACAO_DIA-Q73)</f>
        <v>0</v>
      </c>
      <c r="S74" s="16" t="n">
        <f aca="false">INDEX(AUX_MATRIZES!$C$13:$BP$13,MIN(N_SEMANAS,MAX(1,$C74)))/DIAS_POR_SEMANA</f>
        <v>0</v>
      </c>
      <c r="T74" s="16" t="n">
        <f aca="false">MIN(CADASTRO_CASAS_BOMBA!$O$11,MAX(0,T73+CADASTRO_CASAS_BOMBA!$I$11*HORAS_CAPTACAO_DIA-S74))</f>
        <v>469821</v>
      </c>
      <c r="U74" s="16" t="n">
        <f aca="false">MAX(0,S74-CADASTRO_CASAS_BOMBA!$I$11*HORAS_CAPTACAO_DIA-T73)</f>
        <v>0</v>
      </c>
      <c r="V74" s="16" t="n">
        <f aca="false">INDEX(AUX_MATRIZES!$C$14:$BP$14,MIN(N_SEMANAS,MAX(1,$C74)))/DIAS_POR_SEMANA</f>
        <v>0</v>
      </c>
      <c r="W74" s="16" t="n">
        <f aca="false">MIN(CADASTRO_CASAS_BOMBA!$O$12,MAX(0,W73+CADASTRO_CASAS_BOMBA!$I$12*HORAS_CAPTACAO_DIA-V74))</f>
        <v>440000</v>
      </c>
      <c r="X74" s="16" t="n">
        <f aca="false">MAX(0,V74-CADASTRO_CASAS_BOMBA!$I$12*HORAS_CAPTACAO_DIA-W73)</f>
        <v>0</v>
      </c>
      <c r="Y74" s="16" t="n">
        <f aca="false">INDEX(AUX_MATRIZES!$C$15:$BP$15,MIN(N_SEMANAS,MAX(1,$C74)))/DIAS_POR_SEMANA</f>
        <v>0</v>
      </c>
      <c r="Z74" s="16" t="n">
        <f aca="false">MIN(CADASTRO_CASAS_BOMBA!$O$13,MAX(0,Z73+CADASTRO_CASAS_BOMBA!$I$13*HORAS_CAPTACAO_DIA-Y74))</f>
        <v>74903</v>
      </c>
      <c r="AA74" s="16" t="n">
        <f aca="false">MAX(0,Y74-CADASTRO_CASAS_BOMBA!$I$13*HORAS_CAPTACAO_DIA-Z73)</f>
        <v>0</v>
      </c>
    </row>
    <row r="75" customFormat="false" ht="15" hidden="false" customHeight="false" outlineLevel="0" collapsed="false">
      <c r="B75" s="17" t="n">
        <f aca="false">DATA_INICIO_SAFRA+68</f>
        <v>46333</v>
      </c>
      <c r="C75" s="16" t="n">
        <f aca="false">MIN(N_SEMANAS,MAX(1,INT(($B75-DATA_INICIO_SAFRA)/DIAS_POR_SEMANA)+1))</f>
        <v>10</v>
      </c>
      <c r="D75" s="16" t="n">
        <f aca="false">INDEX(AUX_MATRIZES!$C$8:$BP$8,MIN(N_SEMANAS,MAX(1,$C75)))/DIAS_POR_SEMANA</f>
        <v>0</v>
      </c>
      <c r="E75" s="16" t="n">
        <f aca="false">MIN(CADASTRO_CASAS_BOMBA!$O$6,MAX(0,E74+CADASTRO_CASAS_BOMBA!$I$6*HORAS_CAPTACAO_DIA-D75))</f>
        <v>2600</v>
      </c>
      <c r="F75" s="16" t="n">
        <f aca="false">MAX(0,D75-CADASTRO_CASAS_BOMBA!$I$6*HORAS_CAPTACAO_DIA-E74)</f>
        <v>0</v>
      </c>
      <c r="G75" s="16" t="n">
        <f aca="false">INDEX(AUX_MATRIZES!$C$9:$BP$9,MIN(N_SEMANAS,MAX(1,$C75)))/DIAS_POR_SEMANA</f>
        <v>0</v>
      </c>
      <c r="H75" s="16" t="n">
        <f aca="false">MIN(CADASTRO_CASAS_BOMBA!$O$7,MAX(0,H74+CADASTRO_CASAS_BOMBA!$I$7*HORAS_CAPTACAO_DIA-G75))</f>
        <v>76648</v>
      </c>
      <c r="I75" s="16" t="n">
        <f aca="false">MAX(0,G75-CADASTRO_CASAS_BOMBA!$I$7*HORAS_CAPTACAO_DIA-H74)</f>
        <v>0</v>
      </c>
      <c r="J75" s="16" t="n">
        <f aca="false">INDEX(AUX_MATRIZES!$C$10:$BP$10,MIN(N_SEMANAS,MAX(1,$C75)))/DIAS_POR_SEMANA</f>
        <v>0</v>
      </c>
      <c r="K75" s="16" t="n">
        <f aca="false">MIN(CADASTRO_CASAS_BOMBA!$O$8,MAX(0,K74+CADASTRO_CASAS_BOMBA!$I$8*HORAS_CAPTACAO_DIA-J75))</f>
        <v>27377</v>
      </c>
      <c r="L75" s="16" t="n">
        <f aca="false">MAX(0,J75-CADASTRO_CASAS_BOMBA!$I$8*HORAS_CAPTACAO_DIA-K74)</f>
        <v>0</v>
      </c>
      <c r="M75" s="16" t="n">
        <f aca="false">INDEX(AUX_MATRIZES!$C$11:$BP$11,MIN(N_SEMANAS,MAX(1,$C75)))/DIAS_POR_SEMANA</f>
        <v>0</v>
      </c>
      <c r="N75" s="16" t="n">
        <f aca="false">MIN(CADASTRO_CASAS_BOMBA!$O$9,MAX(0,N74+CADASTRO_CASAS_BOMBA!$I$9*HORAS_CAPTACAO_DIA-M75))</f>
        <v>129000</v>
      </c>
      <c r="O75" s="16" t="n">
        <f aca="false">MAX(0,M75-CADASTRO_CASAS_BOMBA!$I$9*HORAS_CAPTACAO_DIA-N74)</f>
        <v>0</v>
      </c>
      <c r="P75" s="16" t="n">
        <f aca="false">INDEX(AUX_MATRIZES!$C$12:$BP$12,MIN(N_SEMANAS,MAX(1,$C75)))/DIAS_POR_SEMANA</f>
        <v>0</v>
      </c>
      <c r="Q75" s="16" t="n">
        <f aca="false">MIN(CADASTRO_CASAS_BOMBA!$O$10,MAX(0,Q74+CADASTRO_CASAS_BOMBA!$I$10*HORAS_CAPTACAO_DIA-P75))</f>
        <v>1000000</v>
      </c>
      <c r="R75" s="16" t="n">
        <f aca="false">MAX(0,P75-CADASTRO_CASAS_BOMBA!$I$10*HORAS_CAPTACAO_DIA-Q74)</f>
        <v>0</v>
      </c>
      <c r="S75" s="16" t="n">
        <f aca="false">INDEX(AUX_MATRIZES!$C$13:$BP$13,MIN(N_SEMANAS,MAX(1,$C75)))/DIAS_POR_SEMANA</f>
        <v>0</v>
      </c>
      <c r="T75" s="16" t="n">
        <f aca="false">MIN(CADASTRO_CASAS_BOMBA!$O$11,MAX(0,T74+CADASTRO_CASAS_BOMBA!$I$11*HORAS_CAPTACAO_DIA-S75))</f>
        <v>469821</v>
      </c>
      <c r="U75" s="16" t="n">
        <f aca="false">MAX(0,S75-CADASTRO_CASAS_BOMBA!$I$11*HORAS_CAPTACAO_DIA-T74)</f>
        <v>0</v>
      </c>
      <c r="V75" s="16" t="n">
        <f aca="false">INDEX(AUX_MATRIZES!$C$14:$BP$14,MIN(N_SEMANAS,MAX(1,$C75)))/DIAS_POR_SEMANA</f>
        <v>0</v>
      </c>
      <c r="W75" s="16" t="n">
        <f aca="false">MIN(CADASTRO_CASAS_BOMBA!$O$12,MAX(0,W74+CADASTRO_CASAS_BOMBA!$I$12*HORAS_CAPTACAO_DIA-V75))</f>
        <v>440000</v>
      </c>
      <c r="X75" s="16" t="n">
        <f aca="false">MAX(0,V75-CADASTRO_CASAS_BOMBA!$I$12*HORAS_CAPTACAO_DIA-W74)</f>
        <v>0</v>
      </c>
      <c r="Y75" s="16" t="n">
        <f aca="false">INDEX(AUX_MATRIZES!$C$15:$BP$15,MIN(N_SEMANAS,MAX(1,$C75)))/DIAS_POR_SEMANA</f>
        <v>0</v>
      </c>
      <c r="Z75" s="16" t="n">
        <f aca="false">MIN(CADASTRO_CASAS_BOMBA!$O$13,MAX(0,Z74+CADASTRO_CASAS_BOMBA!$I$13*HORAS_CAPTACAO_DIA-Y75))</f>
        <v>74903</v>
      </c>
      <c r="AA75" s="16" t="n">
        <f aca="false">MAX(0,Y75-CADASTRO_CASAS_BOMBA!$I$13*HORAS_CAPTACAO_DIA-Z74)</f>
        <v>0</v>
      </c>
    </row>
    <row r="76" customFormat="false" ht="15" hidden="false" customHeight="false" outlineLevel="0" collapsed="false">
      <c r="B76" s="17" t="n">
        <f aca="false">DATA_INICIO_SAFRA+69</f>
        <v>46334</v>
      </c>
      <c r="C76" s="16" t="n">
        <f aca="false">MIN(N_SEMANAS,MAX(1,INT(($B76-DATA_INICIO_SAFRA)/DIAS_POR_SEMANA)+1))</f>
        <v>10</v>
      </c>
      <c r="D76" s="16" t="n">
        <f aca="false">INDEX(AUX_MATRIZES!$C$8:$BP$8,MIN(N_SEMANAS,MAX(1,$C76)))/DIAS_POR_SEMANA</f>
        <v>0</v>
      </c>
      <c r="E76" s="16" t="n">
        <f aca="false">MIN(CADASTRO_CASAS_BOMBA!$O$6,MAX(0,E75+CADASTRO_CASAS_BOMBA!$I$6*HORAS_CAPTACAO_DIA-D76))</f>
        <v>2600</v>
      </c>
      <c r="F76" s="16" t="n">
        <f aca="false">MAX(0,D76-CADASTRO_CASAS_BOMBA!$I$6*HORAS_CAPTACAO_DIA-E75)</f>
        <v>0</v>
      </c>
      <c r="G76" s="16" t="n">
        <f aca="false">INDEX(AUX_MATRIZES!$C$9:$BP$9,MIN(N_SEMANAS,MAX(1,$C76)))/DIAS_POR_SEMANA</f>
        <v>0</v>
      </c>
      <c r="H76" s="16" t="n">
        <f aca="false">MIN(CADASTRO_CASAS_BOMBA!$O$7,MAX(0,H75+CADASTRO_CASAS_BOMBA!$I$7*HORAS_CAPTACAO_DIA-G76))</f>
        <v>76648</v>
      </c>
      <c r="I76" s="16" t="n">
        <f aca="false">MAX(0,G76-CADASTRO_CASAS_BOMBA!$I$7*HORAS_CAPTACAO_DIA-H75)</f>
        <v>0</v>
      </c>
      <c r="J76" s="16" t="n">
        <f aca="false">INDEX(AUX_MATRIZES!$C$10:$BP$10,MIN(N_SEMANAS,MAX(1,$C76)))/DIAS_POR_SEMANA</f>
        <v>0</v>
      </c>
      <c r="K76" s="16" t="n">
        <f aca="false">MIN(CADASTRO_CASAS_BOMBA!$O$8,MAX(0,K75+CADASTRO_CASAS_BOMBA!$I$8*HORAS_CAPTACAO_DIA-J76))</f>
        <v>27377</v>
      </c>
      <c r="L76" s="16" t="n">
        <f aca="false">MAX(0,J76-CADASTRO_CASAS_BOMBA!$I$8*HORAS_CAPTACAO_DIA-K75)</f>
        <v>0</v>
      </c>
      <c r="M76" s="16" t="n">
        <f aca="false">INDEX(AUX_MATRIZES!$C$11:$BP$11,MIN(N_SEMANAS,MAX(1,$C76)))/DIAS_POR_SEMANA</f>
        <v>0</v>
      </c>
      <c r="N76" s="16" t="n">
        <f aca="false">MIN(CADASTRO_CASAS_BOMBA!$O$9,MAX(0,N75+CADASTRO_CASAS_BOMBA!$I$9*HORAS_CAPTACAO_DIA-M76))</f>
        <v>129000</v>
      </c>
      <c r="O76" s="16" t="n">
        <f aca="false">MAX(0,M76-CADASTRO_CASAS_BOMBA!$I$9*HORAS_CAPTACAO_DIA-N75)</f>
        <v>0</v>
      </c>
      <c r="P76" s="16" t="n">
        <f aca="false">INDEX(AUX_MATRIZES!$C$12:$BP$12,MIN(N_SEMANAS,MAX(1,$C76)))/DIAS_POR_SEMANA</f>
        <v>0</v>
      </c>
      <c r="Q76" s="16" t="n">
        <f aca="false">MIN(CADASTRO_CASAS_BOMBA!$O$10,MAX(0,Q75+CADASTRO_CASAS_BOMBA!$I$10*HORAS_CAPTACAO_DIA-P76))</f>
        <v>1000000</v>
      </c>
      <c r="R76" s="16" t="n">
        <f aca="false">MAX(0,P76-CADASTRO_CASAS_BOMBA!$I$10*HORAS_CAPTACAO_DIA-Q75)</f>
        <v>0</v>
      </c>
      <c r="S76" s="16" t="n">
        <f aca="false">INDEX(AUX_MATRIZES!$C$13:$BP$13,MIN(N_SEMANAS,MAX(1,$C76)))/DIAS_POR_SEMANA</f>
        <v>0</v>
      </c>
      <c r="T76" s="16" t="n">
        <f aca="false">MIN(CADASTRO_CASAS_BOMBA!$O$11,MAX(0,T75+CADASTRO_CASAS_BOMBA!$I$11*HORAS_CAPTACAO_DIA-S76))</f>
        <v>469821</v>
      </c>
      <c r="U76" s="16" t="n">
        <f aca="false">MAX(0,S76-CADASTRO_CASAS_BOMBA!$I$11*HORAS_CAPTACAO_DIA-T75)</f>
        <v>0</v>
      </c>
      <c r="V76" s="16" t="n">
        <f aca="false">INDEX(AUX_MATRIZES!$C$14:$BP$14,MIN(N_SEMANAS,MAX(1,$C76)))/DIAS_POR_SEMANA</f>
        <v>0</v>
      </c>
      <c r="W76" s="16" t="n">
        <f aca="false">MIN(CADASTRO_CASAS_BOMBA!$O$12,MAX(0,W75+CADASTRO_CASAS_BOMBA!$I$12*HORAS_CAPTACAO_DIA-V76))</f>
        <v>440000</v>
      </c>
      <c r="X76" s="16" t="n">
        <f aca="false">MAX(0,V76-CADASTRO_CASAS_BOMBA!$I$12*HORAS_CAPTACAO_DIA-W75)</f>
        <v>0</v>
      </c>
      <c r="Y76" s="16" t="n">
        <f aca="false">INDEX(AUX_MATRIZES!$C$15:$BP$15,MIN(N_SEMANAS,MAX(1,$C76)))/DIAS_POR_SEMANA</f>
        <v>0</v>
      </c>
      <c r="Z76" s="16" t="n">
        <f aca="false">MIN(CADASTRO_CASAS_BOMBA!$O$13,MAX(0,Z75+CADASTRO_CASAS_BOMBA!$I$13*HORAS_CAPTACAO_DIA-Y76))</f>
        <v>74903</v>
      </c>
      <c r="AA76" s="16" t="n">
        <f aca="false">MAX(0,Y76-CADASTRO_CASAS_BOMBA!$I$13*HORAS_CAPTACAO_DIA-Z75)</f>
        <v>0</v>
      </c>
    </row>
    <row r="77" customFormat="false" ht="15" hidden="false" customHeight="false" outlineLevel="0" collapsed="false">
      <c r="B77" s="17" t="n">
        <f aca="false">DATA_INICIO_SAFRA+70</f>
        <v>46335</v>
      </c>
      <c r="C77" s="16" t="n">
        <f aca="false">MIN(N_SEMANAS,MAX(1,INT(($B77-DATA_INICIO_SAFRA)/DIAS_POR_SEMANA)+1))</f>
        <v>11</v>
      </c>
      <c r="D77" s="16" t="n">
        <f aca="false">INDEX(AUX_MATRIZES!$C$8:$BP$8,MIN(N_SEMANAS,MAX(1,$C77)))/DIAS_POR_SEMANA</f>
        <v>345.819882352941</v>
      </c>
      <c r="E77" s="16" t="n">
        <f aca="false">MIN(CADASTRO_CASAS_BOMBA!$O$6,MAX(0,E76+CADASTRO_CASAS_BOMBA!$I$6*HORAS_CAPTACAO_DIA-D77))</f>
        <v>2600</v>
      </c>
      <c r="F77" s="16" t="n">
        <f aca="false">MAX(0,D77-CADASTRO_CASAS_BOMBA!$I$6*HORAS_CAPTACAO_DIA-E76)</f>
        <v>0</v>
      </c>
      <c r="G77" s="16" t="n">
        <f aca="false">INDEX(AUX_MATRIZES!$C$9:$BP$9,MIN(N_SEMANAS,MAX(1,$C77)))/DIAS_POR_SEMANA</f>
        <v>353.840117647058</v>
      </c>
      <c r="H77" s="16" t="n">
        <f aca="false">MIN(CADASTRO_CASAS_BOMBA!$O$7,MAX(0,H76+CADASTRO_CASAS_BOMBA!$I$7*HORAS_CAPTACAO_DIA-G77))</f>
        <v>76648</v>
      </c>
      <c r="I77" s="16" t="n">
        <f aca="false">MAX(0,G77-CADASTRO_CASAS_BOMBA!$I$7*HORAS_CAPTACAO_DIA-H76)</f>
        <v>0</v>
      </c>
      <c r="J77" s="16" t="n">
        <f aca="false">INDEX(AUX_MATRIZES!$C$10:$BP$10,MIN(N_SEMANAS,MAX(1,$C77)))/DIAS_POR_SEMANA</f>
        <v>656.991264485404</v>
      </c>
      <c r="K77" s="16" t="n">
        <f aca="false">MIN(CADASTRO_CASAS_BOMBA!$O$8,MAX(0,K76+CADASTRO_CASAS_BOMBA!$I$8*HORAS_CAPTACAO_DIA-J77))</f>
        <v>27377</v>
      </c>
      <c r="L77" s="16" t="n">
        <f aca="false">MAX(0,J77-CADASTRO_CASAS_BOMBA!$I$8*HORAS_CAPTACAO_DIA-K76)</f>
        <v>0</v>
      </c>
      <c r="M77" s="16" t="n">
        <f aca="false">INDEX(AUX_MATRIZES!$C$11:$BP$11,MIN(N_SEMANAS,MAX(1,$C77)))/DIAS_POR_SEMANA</f>
        <v>740.148117647058</v>
      </c>
      <c r="N77" s="16" t="n">
        <f aca="false">MIN(CADASTRO_CASAS_BOMBA!$O$9,MAX(0,N76+CADASTRO_CASAS_BOMBA!$I$9*HORAS_CAPTACAO_DIA-M77))</f>
        <v>129000</v>
      </c>
      <c r="O77" s="16" t="n">
        <f aca="false">MAX(0,M77-CADASTRO_CASAS_BOMBA!$I$9*HORAS_CAPTACAO_DIA-N76)</f>
        <v>0</v>
      </c>
      <c r="P77" s="16" t="n">
        <f aca="false">INDEX(AUX_MATRIZES!$C$12:$BP$12,MIN(N_SEMANAS,MAX(1,$C77)))/DIAS_POR_SEMANA</f>
        <v>0</v>
      </c>
      <c r="Q77" s="16" t="n">
        <f aca="false">MIN(CADASTRO_CASAS_BOMBA!$O$10,MAX(0,Q76+CADASTRO_CASAS_BOMBA!$I$10*HORAS_CAPTACAO_DIA-P77))</f>
        <v>1000000</v>
      </c>
      <c r="R77" s="16" t="n">
        <f aca="false">MAX(0,P77-CADASTRO_CASAS_BOMBA!$I$10*HORAS_CAPTACAO_DIA-Q76)</f>
        <v>0</v>
      </c>
      <c r="S77" s="16" t="n">
        <f aca="false">INDEX(AUX_MATRIZES!$C$13:$BP$13,MIN(N_SEMANAS,MAX(1,$C77)))/DIAS_POR_SEMANA</f>
        <v>0</v>
      </c>
      <c r="T77" s="16" t="n">
        <f aca="false">MIN(CADASTRO_CASAS_BOMBA!$O$11,MAX(0,T76+CADASTRO_CASAS_BOMBA!$I$11*HORAS_CAPTACAO_DIA-S77))</f>
        <v>469821</v>
      </c>
      <c r="U77" s="16" t="n">
        <f aca="false">MAX(0,S77-CADASTRO_CASAS_BOMBA!$I$11*HORAS_CAPTACAO_DIA-T76)</f>
        <v>0</v>
      </c>
      <c r="V77" s="16" t="n">
        <f aca="false">INDEX(AUX_MATRIZES!$C$14:$BP$14,MIN(N_SEMANAS,MAX(1,$C77)))/DIAS_POR_SEMANA</f>
        <v>0</v>
      </c>
      <c r="W77" s="16" t="n">
        <f aca="false">MIN(CADASTRO_CASAS_BOMBA!$O$12,MAX(0,W76+CADASTRO_CASAS_BOMBA!$I$12*HORAS_CAPTACAO_DIA-V77))</f>
        <v>440000</v>
      </c>
      <c r="X77" s="16" t="n">
        <f aca="false">MAX(0,V77-CADASTRO_CASAS_BOMBA!$I$12*HORAS_CAPTACAO_DIA-W76)</f>
        <v>0</v>
      </c>
      <c r="Y77" s="16" t="n">
        <f aca="false">INDEX(AUX_MATRIZES!$C$15:$BP$15,MIN(N_SEMANAS,MAX(1,$C77)))/DIAS_POR_SEMANA</f>
        <v>0</v>
      </c>
      <c r="Z77" s="16" t="n">
        <f aca="false">MIN(CADASTRO_CASAS_BOMBA!$O$13,MAX(0,Z76+CADASTRO_CASAS_BOMBA!$I$13*HORAS_CAPTACAO_DIA-Y77))</f>
        <v>74903</v>
      </c>
      <c r="AA77" s="16" t="n">
        <f aca="false">MAX(0,Y77-CADASTRO_CASAS_BOMBA!$I$13*HORAS_CAPTACAO_DIA-Z76)</f>
        <v>0</v>
      </c>
    </row>
    <row r="78" customFormat="false" ht="15" hidden="false" customHeight="false" outlineLevel="0" collapsed="false">
      <c r="B78" s="17" t="n">
        <f aca="false">DATA_INICIO_SAFRA+71</f>
        <v>46336</v>
      </c>
      <c r="C78" s="16" t="n">
        <f aca="false">MIN(N_SEMANAS,MAX(1,INT(($B78-DATA_INICIO_SAFRA)/DIAS_POR_SEMANA)+1))</f>
        <v>11</v>
      </c>
      <c r="D78" s="16" t="n">
        <f aca="false">INDEX(AUX_MATRIZES!$C$8:$BP$8,MIN(N_SEMANAS,MAX(1,$C78)))/DIAS_POR_SEMANA</f>
        <v>345.819882352941</v>
      </c>
      <c r="E78" s="16" t="n">
        <f aca="false">MIN(CADASTRO_CASAS_BOMBA!$O$6,MAX(0,E77+CADASTRO_CASAS_BOMBA!$I$6*HORAS_CAPTACAO_DIA-D78))</f>
        <v>2600</v>
      </c>
      <c r="F78" s="16" t="n">
        <f aca="false">MAX(0,D78-CADASTRO_CASAS_BOMBA!$I$6*HORAS_CAPTACAO_DIA-E77)</f>
        <v>0</v>
      </c>
      <c r="G78" s="16" t="n">
        <f aca="false">INDEX(AUX_MATRIZES!$C$9:$BP$9,MIN(N_SEMANAS,MAX(1,$C78)))/DIAS_POR_SEMANA</f>
        <v>353.840117647058</v>
      </c>
      <c r="H78" s="16" t="n">
        <f aca="false">MIN(CADASTRO_CASAS_BOMBA!$O$7,MAX(0,H77+CADASTRO_CASAS_BOMBA!$I$7*HORAS_CAPTACAO_DIA-G78))</f>
        <v>76648</v>
      </c>
      <c r="I78" s="16" t="n">
        <f aca="false">MAX(0,G78-CADASTRO_CASAS_BOMBA!$I$7*HORAS_CAPTACAO_DIA-H77)</f>
        <v>0</v>
      </c>
      <c r="J78" s="16" t="n">
        <f aca="false">INDEX(AUX_MATRIZES!$C$10:$BP$10,MIN(N_SEMANAS,MAX(1,$C78)))/DIAS_POR_SEMANA</f>
        <v>656.991264485404</v>
      </c>
      <c r="K78" s="16" t="n">
        <f aca="false">MIN(CADASTRO_CASAS_BOMBA!$O$8,MAX(0,K77+CADASTRO_CASAS_BOMBA!$I$8*HORAS_CAPTACAO_DIA-J78))</f>
        <v>27377</v>
      </c>
      <c r="L78" s="16" t="n">
        <f aca="false">MAX(0,J78-CADASTRO_CASAS_BOMBA!$I$8*HORAS_CAPTACAO_DIA-K77)</f>
        <v>0</v>
      </c>
      <c r="M78" s="16" t="n">
        <f aca="false">INDEX(AUX_MATRIZES!$C$11:$BP$11,MIN(N_SEMANAS,MAX(1,$C78)))/DIAS_POR_SEMANA</f>
        <v>740.148117647058</v>
      </c>
      <c r="N78" s="16" t="n">
        <f aca="false">MIN(CADASTRO_CASAS_BOMBA!$O$9,MAX(0,N77+CADASTRO_CASAS_BOMBA!$I$9*HORAS_CAPTACAO_DIA-M78))</f>
        <v>129000</v>
      </c>
      <c r="O78" s="16" t="n">
        <f aca="false">MAX(0,M78-CADASTRO_CASAS_BOMBA!$I$9*HORAS_CAPTACAO_DIA-N77)</f>
        <v>0</v>
      </c>
      <c r="P78" s="16" t="n">
        <f aca="false">INDEX(AUX_MATRIZES!$C$12:$BP$12,MIN(N_SEMANAS,MAX(1,$C78)))/DIAS_POR_SEMANA</f>
        <v>0</v>
      </c>
      <c r="Q78" s="16" t="n">
        <f aca="false">MIN(CADASTRO_CASAS_BOMBA!$O$10,MAX(0,Q77+CADASTRO_CASAS_BOMBA!$I$10*HORAS_CAPTACAO_DIA-P78))</f>
        <v>1000000</v>
      </c>
      <c r="R78" s="16" t="n">
        <f aca="false">MAX(0,P78-CADASTRO_CASAS_BOMBA!$I$10*HORAS_CAPTACAO_DIA-Q77)</f>
        <v>0</v>
      </c>
      <c r="S78" s="16" t="n">
        <f aca="false">INDEX(AUX_MATRIZES!$C$13:$BP$13,MIN(N_SEMANAS,MAX(1,$C78)))/DIAS_POR_SEMANA</f>
        <v>0</v>
      </c>
      <c r="T78" s="16" t="n">
        <f aca="false">MIN(CADASTRO_CASAS_BOMBA!$O$11,MAX(0,T77+CADASTRO_CASAS_BOMBA!$I$11*HORAS_CAPTACAO_DIA-S78))</f>
        <v>469821</v>
      </c>
      <c r="U78" s="16" t="n">
        <f aca="false">MAX(0,S78-CADASTRO_CASAS_BOMBA!$I$11*HORAS_CAPTACAO_DIA-T77)</f>
        <v>0</v>
      </c>
      <c r="V78" s="16" t="n">
        <f aca="false">INDEX(AUX_MATRIZES!$C$14:$BP$14,MIN(N_SEMANAS,MAX(1,$C78)))/DIAS_POR_SEMANA</f>
        <v>0</v>
      </c>
      <c r="W78" s="16" t="n">
        <f aca="false">MIN(CADASTRO_CASAS_BOMBA!$O$12,MAX(0,W77+CADASTRO_CASAS_BOMBA!$I$12*HORAS_CAPTACAO_DIA-V78))</f>
        <v>440000</v>
      </c>
      <c r="X78" s="16" t="n">
        <f aca="false">MAX(0,V78-CADASTRO_CASAS_BOMBA!$I$12*HORAS_CAPTACAO_DIA-W77)</f>
        <v>0</v>
      </c>
      <c r="Y78" s="16" t="n">
        <f aca="false">INDEX(AUX_MATRIZES!$C$15:$BP$15,MIN(N_SEMANAS,MAX(1,$C78)))/DIAS_POR_SEMANA</f>
        <v>0</v>
      </c>
      <c r="Z78" s="16" t="n">
        <f aca="false">MIN(CADASTRO_CASAS_BOMBA!$O$13,MAX(0,Z77+CADASTRO_CASAS_BOMBA!$I$13*HORAS_CAPTACAO_DIA-Y78))</f>
        <v>74903</v>
      </c>
      <c r="AA78" s="16" t="n">
        <f aca="false">MAX(0,Y78-CADASTRO_CASAS_BOMBA!$I$13*HORAS_CAPTACAO_DIA-Z77)</f>
        <v>0</v>
      </c>
    </row>
    <row r="79" customFormat="false" ht="15" hidden="false" customHeight="false" outlineLevel="0" collapsed="false">
      <c r="B79" s="17" t="n">
        <f aca="false">DATA_INICIO_SAFRA+72</f>
        <v>46337</v>
      </c>
      <c r="C79" s="16" t="n">
        <f aca="false">MIN(N_SEMANAS,MAX(1,INT(($B79-DATA_INICIO_SAFRA)/DIAS_POR_SEMANA)+1))</f>
        <v>11</v>
      </c>
      <c r="D79" s="16" t="n">
        <f aca="false">INDEX(AUX_MATRIZES!$C$8:$BP$8,MIN(N_SEMANAS,MAX(1,$C79)))/DIAS_POR_SEMANA</f>
        <v>345.819882352941</v>
      </c>
      <c r="E79" s="16" t="n">
        <f aca="false">MIN(CADASTRO_CASAS_BOMBA!$O$6,MAX(0,E78+CADASTRO_CASAS_BOMBA!$I$6*HORAS_CAPTACAO_DIA-D79))</f>
        <v>2600</v>
      </c>
      <c r="F79" s="16" t="n">
        <f aca="false">MAX(0,D79-CADASTRO_CASAS_BOMBA!$I$6*HORAS_CAPTACAO_DIA-E78)</f>
        <v>0</v>
      </c>
      <c r="G79" s="16" t="n">
        <f aca="false">INDEX(AUX_MATRIZES!$C$9:$BP$9,MIN(N_SEMANAS,MAX(1,$C79)))/DIAS_POR_SEMANA</f>
        <v>353.840117647058</v>
      </c>
      <c r="H79" s="16" t="n">
        <f aca="false">MIN(CADASTRO_CASAS_BOMBA!$O$7,MAX(0,H78+CADASTRO_CASAS_BOMBA!$I$7*HORAS_CAPTACAO_DIA-G79))</f>
        <v>76648</v>
      </c>
      <c r="I79" s="16" t="n">
        <f aca="false">MAX(0,G79-CADASTRO_CASAS_BOMBA!$I$7*HORAS_CAPTACAO_DIA-H78)</f>
        <v>0</v>
      </c>
      <c r="J79" s="16" t="n">
        <f aca="false">INDEX(AUX_MATRIZES!$C$10:$BP$10,MIN(N_SEMANAS,MAX(1,$C79)))/DIAS_POR_SEMANA</f>
        <v>656.991264485404</v>
      </c>
      <c r="K79" s="16" t="n">
        <f aca="false">MIN(CADASTRO_CASAS_BOMBA!$O$8,MAX(0,K78+CADASTRO_CASAS_BOMBA!$I$8*HORAS_CAPTACAO_DIA-J79))</f>
        <v>27377</v>
      </c>
      <c r="L79" s="16" t="n">
        <f aca="false">MAX(0,J79-CADASTRO_CASAS_BOMBA!$I$8*HORAS_CAPTACAO_DIA-K78)</f>
        <v>0</v>
      </c>
      <c r="M79" s="16" t="n">
        <f aca="false">INDEX(AUX_MATRIZES!$C$11:$BP$11,MIN(N_SEMANAS,MAX(1,$C79)))/DIAS_POR_SEMANA</f>
        <v>740.148117647058</v>
      </c>
      <c r="N79" s="16" t="n">
        <f aca="false">MIN(CADASTRO_CASAS_BOMBA!$O$9,MAX(0,N78+CADASTRO_CASAS_BOMBA!$I$9*HORAS_CAPTACAO_DIA-M79))</f>
        <v>129000</v>
      </c>
      <c r="O79" s="16" t="n">
        <f aca="false">MAX(0,M79-CADASTRO_CASAS_BOMBA!$I$9*HORAS_CAPTACAO_DIA-N78)</f>
        <v>0</v>
      </c>
      <c r="P79" s="16" t="n">
        <f aca="false">INDEX(AUX_MATRIZES!$C$12:$BP$12,MIN(N_SEMANAS,MAX(1,$C79)))/DIAS_POR_SEMANA</f>
        <v>0</v>
      </c>
      <c r="Q79" s="16" t="n">
        <f aca="false">MIN(CADASTRO_CASAS_BOMBA!$O$10,MAX(0,Q78+CADASTRO_CASAS_BOMBA!$I$10*HORAS_CAPTACAO_DIA-P79))</f>
        <v>1000000</v>
      </c>
      <c r="R79" s="16" t="n">
        <f aca="false">MAX(0,P79-CADASTRO_CASAS_BOMBA!$I$10*HORAS_CAPTACAO_DIA-Q78)</f>
        <v>0</v>
      </c>
      <c r="S79" s="16" t="n">
        <f aca="false">INDEX(AUX_MATRIZES!$C$13:$BP$13,MIN(N_SEMANAS,MAX(1,$C79)))/DIAS_POR_SEMANA</f>
        <v>0</v>
      </c>
      <c r="T79" s="16" t="n">
        <f aca="false">MIN(CADASTRO_CASAS_BOMBA!$O$11,MAX(0,T78+CADASTRO_CASAS_BOMBA!$I$11*HORAS_CAPTACAO_DIA-S79))</f>
        <v>469821</v>
      </c>
      <c r="U79" s="16" t="n">
        <f aca="false">MAX(0,S79-CADASTRO_CASAS_BOMBA!$I$11*HORAS_CAPTACAO_DIA-T78)</f>
        <v>0</v>
      </c>
      <c r="V79" s="16" t="n">
        <f aca="false">INDEX(AUX_MATRIZES!$C$14:$BP$14,MIN(N_SEMANAS,MAX(1,$C79)))/DIAS_POR_SEMANA</f>
        <v>0</v>
      </c>
      <c r="W79" s="16" t="n">
        <f aca="false">MIN(CADASTRO_CASAS_BOMBA!$O$12,MAX(0,W78+CADASTRO_CASAS_BOMBA!$I$12*HORAS_CAPTACAO_DIA-V79))</f>
        <v>440000</v>
      </c>
      <c r="X79" s="16" t="n">
        <f aca="false">MAX(0,V79-CADASTRO_CASAS_BOMBA!$I$12*HORAS_CAPTACAO_DIA-W78)</f>
        <v>0</v>
      </c>
      <c r="Y79" s="16" t="n">
        <f aca="false">INDEX(AUX_MATRIZES!$C$15:$BP$15,MIN(N_SEMANAS,MAX(1,$C79)))/DIAS_POR_SEMANA</f>
        <v>0</v>
      </c>
      <c r="Z79" s="16" t="n">
        <f aca="false">MIN(CADASTRO_CASAS_BOMBA!$O$13,MAX(0,Z78+CADASTRO_CASAS_BOMBA!$I$13*HORAS_CAPTACAO_DIA-Y79))</f>
        <v>74903</v>
      </c>
      <c r="AA79" s="16" t="n">
        <f aca="false">MAX(0,Y79-CADASTRO_CASAS_BOMBA!$I$13*HORAS_CAPTACAO_DIA-Z78)</f>
        <v>0</v>
      </c>
    </row>
    <row r="80" customFormat="false" ht="15" hidden="false" customHeight="false" outlineLevel="0" collapsed="false">
      <c r="B80" s="17" t="n">
        <f aca="false">DATA_INICIO_SAFRA+73</f>
        <v>46338</v>
      </c>
      <c r="C80" s="16" t="n">
        <f aca="false">MIN(N_SEMANAS,MAX(1,INT(($B80-DATA_INICIO_SAFRA)/DIAS_POR_SEMANA)+1))</f>
        <v>11</v>
      </c>
      <c r="D80" s="16" t="n">
        <f aca="false">INDEX(AUX_MATRIZES!$C$8:$BP$8,MIN(N_SEMANAS,MAX(1,$C80)))/DIAS_POR_SEMANA</f>
        <v>345.819882352941</v>
      </c>
      <c r="E80" s="16" t="n">
        <f aca="false">MIN(CADASTRO_CASAS_BOMBA!$O$6,MAX(0,E79+CADASTRO_CASAS_BOMBA!$I$6*HORAS_CAPTACAO_DIA-D80))</f>
        <v>2600</v>
      </c>
      <c r="F80" s="16" t="n">
        <f aca="false">MAX(0,D80-CADASTRO_CASAS_BOMBA!$I$6*HORAS_CAPTACAO_DIA-E79)</f>
        <v>0</v>
      </c>
      <c r="G80" s="16" t="n">
        <f aca="false">INDEX(AUX_MATRIZES!$C$9:$BP$9,MIN(N_SEMANAS,MAX(1,$C80)))/DIAS_POR_SEMANA</f>
        <v>353.840117647058</v>
      </c>
      <c r="H80" s="16" t="n">
        <f aca="false">MIN(CADASTRO_CASAS_BOMBA!$O$7,MAX(0,H79+CADASTRO_CASAS_BOMBA!$I$7*HORAS_CAPTACAO_DIA-G80))</f>
        <v>76648</v>
      </c>
      <c r="I80" s="16" t="n">
        <f aca="false">MAX(0,G80-CADASTRO_CASAS_BOMBA!$I$7*HORAS_CAPTACAO_DIA-H79)</f>
        <v>0</v>
      </c>
      <c r="J80" s="16" t="n">
        <f aca="false">INDEX(AUX_MATRIZES!$C$10:$BP$10,MIN(N_SEMANAS,MAX(1,$C80)))/DIAS_POR_SEMANA</f>
        <v>656.991264485404</v>
      </c>
      <c r="K80" s="16" t="n">
        <f aca="false">MIN(CADASTRO_CASAS_BOMBA!$O$8,MAX(0,K79+CADASTRO_CASAS_BOMBA!$I$8*HORAS_CAPTACAO_DIA-J80))</f>
        <v>27377</v>
      </c>
      <c r="L80" s="16" t="n">
        <f aca="false">MAX(0,J80-CADASTRO_CASAS_BOMBA!$I$8*HORAS_CAPTACAO_DIA-K79)</f>
        <v>0</v>
      </c>
      <c r="M80" s="16" t="n">
        <f aca="false">INDEX(AUX_MATRIZES!$C$11:$BP$11,MIN(N_SEMANAS,MAX(1,$C80)))/DIAS_POR_SEMANA</f>
        <v>740.148117647058</v>
      </c>
      <c r="N80" s="16" t="n">
        <f aca="false">MIN(CADASTRO_CASAS_BOMBA!$O$9,MAX(0,N79+CADASTRO_CASAS_BOMBA!$I$9*HORAS_CAPTACAO_DIA-M80))</f>
        <v>129000</v>
      </c>
      <c r="O80" s="16" t="n">
        <f aca="false">MAX(0,M80-CADASTRO_CASAS_BOMBA!$I$9*HORAS_CAPTACAO_DIA-N79)</f>
        <v>0</v>
      </c>
      <c r="P80" s="16" t="n">
        <f aca="false">INDEX(AUX_MATRIZES!$C$12:$BP$12,MIN(N_SEMANAS,MAX(1,$C80)))/DIAS_POR_SEMANA</f>
        <v>0</v>
      </c>
      <c r="Q80" s="16" t="n">
        <f aca="false">MIN(CADASTRO_CASAS_BOMBA!$O$10,MAX(0,Q79+CADASTRO_CASAS_BOMBA!$I$10*HORAS_CAPTACAO_DIA-P80))</f>
        <v>1000000</v>
      </c>
      <c r="R80" s="16" t="n">
        <f aca="false">MAX(0,P80-CADASTRO_CASAS_BOMBA!$I$10*HORAS_CAPTACAO_DIA-Q79)</f>
        <v>0</v>
      </c>
      <c r="S80" s="16" t="n">
        <f aca="false">INDEX(AUX_MATRIZES!$C$13:$BP$13,MIN(N_SEMANAS,MAX(1,$C80)))/DIAS_POR_SEMANA</f>
        <v>0</v>
      </c>
      <c r="T80" s="16" t="n">
        <f aca="false">MIN(CADASTRO_CASAS_BOMBA!$O$11,MAX(0,T79+CADASTRO_CASAS_BOMBA!$I$11*HORAS_CAPTACAO_DIA-S80))</f>
        <v>469821</v>
      </c>
      <c r="U80" s="16" t="n">
        <f aca="false">MAX(0,S80-CADASTRO_CASAS_BOMBA!$I$11*HORAS_CAPTACAO_DIA-T79)</f>
        <v>0</v>
      </c>
      <c r="V80" s="16" t="n">
        <f aca="false">INDEX(AUX_MATRIZES!$C$14:$BP$14,MIN(N_SEMANAS,MAX(1,$C80)))/DIAS_POR_SEMANA</f>
        <v>0</v>
      </c>
      <c r="W80" s="16" t="n">
        <f aca="false">MIN(CADASTRO_CASAS_BOMBA!$O$12,MAX(0,W79+CADASTRO_CASAS_BOMBA!$I$12*HORAS_CAPTACAO_DIA-V80))</f>
        <v>440000</v>
      </c>
      <c r="X80" s="16" t="n">
        <f aca="false">MAX(0,V80-CADASTRO_CASAS_BOMBA!$I$12*HORAS_CAPTACAO_DIA-W79)</f>
        <v>0</v>
      </c>
      <c r="Y80" s="16" t="n">
        <f aca="false">INDEX(AUX_MATRIZES!$C$15:$BP$15,MIN(N_SEMANAS,MAX(1,$C80)))/DIAS_POR_SEMANA</f>
        <v>0</v>
      </c>
      <c r="Z80" s="16" t="n">
        <f aca="false">MIN(CADASTRO_CASAS_BOMBA!$O$13,MAX(0,Z79+CADASTRO_CASAS_BOMBA!$I$13*HORAS_CAPTACAO_DIA-Y80))</f>
        <v>74903</v>
      </c>
      <c r="AA80" s="16" t="n">
        <f aca="false">MAX(0,Y80-CADASTRO_CASAS_BOMBA!$I$13*HORAS_CAPTACAO_DIA-Z79)</f>
        <v>0</v>
      </c>
    </row>
    <row r="81" customFormat="false" ht="15" hidden="false" customHeight="false" outlineLevel="0" collapsed="false">
      <c r="B81" s="17" t="n">
        <f aca="false">DATA_INICIO_SAFRA+74</f>
        <v>46339</v>
      </c>
      <c r="C81" s="16" t="n">
        <f aca="false">MIN(N_SEMANAS,MAX(1,INT(($B81-DATA_INICIO_SAFRA)/DIAS_POR_SEMANA)+1))</f>
        <v>11</v>
      </c>
      <c r="D81" s="16" t="n">
        <f aca="false">INDEX(AUX_MATRIZES!$C$8:$BP$8,MIN(N_SEMANAS,MAX(1,$C81)))/DIAS_POR_SEMANA</f>
        <v>345.819882352941</v>
      </c>
      <c r="E81" s="16" t="n">
        <f aca="false">MIN(CADASTRO_CASAS_BOMBA!$O$6,MAX(0,E80+CADASTRO_CASAS_BOMBA!$I$6*HORAS_CAPTACAO_DIA-D81))</f>
        <v>2600</v>
      </c>
      <c r="F81" s="16" t="n">
        <f aca="false">MAX(0,D81-CADASTRO_CASAS_BOMBA!$I$6*HORAS_CAPTACAO_DIA-E80)</f>
        <v>0</v>
      </c>
      <c r="G81" s="16" t="n">
        <f aca="false">INDEX(AUX_MATRIZES!$C$9:$BP$9,MIN(N_SEMANAS,MAX(1,$C81)))/DIAS_POR_SEMANA</f>
        <v>353.840117647058</v>
      </c>
      <c r="H81" s="16" t="n">
        <f aca="false">MIN(CADASTRO_CASAS_BOMBA!$O$7,MAX(0,H80+CADASTRO_CASAS_BOMBA!$I$7*HORAS_CAPTACAO_DIA-G81))</f>
        <v>76648</v>
      </c>
      <c r="I81" s="16" t="n">
        <f aca="false">MAX(0,G81-CADASTRO_CASAS_BOMBA!$I$7*HORAS_CAPTACAO_DIA-H80)</f>
        <v>0</v>
      </c>
      <c r="J81" s="16" t="n">
        <f aca="false">INDEX(AUX_MATRIZES!$C$10:$BP$10,MIN(N_SEMANAS,MAX(1,$C81)))/DIAS_POR_SEMANA</f>
        <v>656.991264485404</v>
      </c>
      <c r="K81" s="16" t="n">
        <f aca="false">MIN(CADASTRO_CASAS_BOMBA!$O$8,MAX(0,K80+CADASTRO_CASAS_BOMBA!$I$8*HORAS_CAPTACAO_DIA-J81))</f>
        <v>27377</v>
      </c>
      <c r="L81" s="16" t="n">
        <f aca="false">MAX(0,J81-CADASTRO_CASAS_BOMBA!$I$8*HORAS_CAPTACAO_DIA-K80)</f>
        <v>0</v>
      </c>
      <c r="M81" s="16" t="n">
        <f aca="false">INDEX(AUX_MATRIZES!$C$11:$BP$11,MIN(N_SEMANAS,MAX(1,$C81)))/DIAS_POR_SEMANA</f>
        <v>740.148117647058</v>
      </c>
      <c r="N81" s="16" t="n">
        <f aca="false">MIN(CADASTRO_CASAS_BOMBA!$O$9,MAX(0,N80+CADASTRO_CASAS_BOMBA!$I$9*HORAS_CAPTACAO_DIA-M81))</f>
        <v>129000</v>
      </c>
      <c r="O81" s="16" t="n">
        <f aca="false">MAX(0,M81-CADASTRO_CASAS_BOMBA!$I$9*HORAS_CAPTACAO_DIA-N80)</f>
        <v>0</v>
      </c>
      <c r="P81" s="16" t="n">
        <f aca="false">INDEX(AUX_MATRIZES!$C$12:$BP$12,MIN(N_SEMANAS,MAX(1,$C81)))/DIAS_POR_SEMANA</f>
        <v>0</v>
      </c>
      <c r="Q81" s="16" t="n">
        <f aca="false">MIN(CADASTRO_CASAS_BOMBA!$O$10,MAX(0,Q80+CADASTRO_CASAS_BOMBA!$I$10*HORAS_CAPTACAO_DIA-P81))</f>
        <v>1000000</v>
      </c>
      <c r="R81" s="16" t="n">
        <f aca="false">MAX(0,P81-CADASTRO_CASAS_BOMBA!$I$10*HORAS_CAPTACAO_DIA-Q80)</f>
        <v>0</v>
      </c>
      <c r="S81" s="16" t="n">
        <f aca="false">INDEX(AUX_MATRIZES!$C$13:$BP$13,MIN(N_SEMANAS,MAX(1,$C81)))/DIAS_POR_SEMANA</f>
        <v>0</v>
      </c>
      <c r="T81" s="16" t="n">
        <f aca="false">MIN(CADASTRO_CASAS_BOMBA!$O$11,MAX(0,T80+CADASTRO_CASAS_BOMBA!$I$11*HORAS_CAPTACAO_DIA-S81))</f>
        <v>469821</v>
      </c>
      <c r="U81" s="16" t="n">
        <f aca="false">MAX(0,S81-CADASTRO_CASAS_BOMBA!$I$11*HORAS_CAPTACAO_DIA-T80)</f>
        <v>0</v>
      </c>
      <c r="V81" s="16" t="n">
        <f aca="false">INDEX(AUX_MATRIZES!$C$14:$BP$14,MIN(N_SEMANAS,MAX(1,$C81)))/DIAS_POR_SEMANA</f>
        <v>0</v>
      </c>
      <c r="W81" s="16" t="n">
        <f aca="false">MIN(CADASTRO_CASAS_BOMBA!$O$12,MAX(0,W80+CADASTRO_CASAS_BOMBA!$I$12*HORAS_CAPTACAO_DIA-V81))</f>
        <v>440000</v>
      </c>
      <c r="X81" s="16" t="n">
        <f aca="false">MAX(0,V81-CADASTRO_CASAS_BOMBA!$I$12*HORAS_CAPTACAO_DIA-W80)</f>
        <v>0</v>
      </c>
      <c r="Y81" s="16" t="n">
        <f aca="false">INDEX(AUX_MATRIZES!$C$15:$BP$15,MIN(N_SEMANAS,MAX(1,$C81)))/DIAS_POR_SEMANA</f>
        <v>0</v>
      </c>
      <c r="Z81" s="16" t="n">
        <f aca="false">MIN(CADASTRO_CASAS_BOMBA!$O$13,MAX(0,Z80+CADASTRO_CASAS_BOMBA!$I$13*HORAS_CAPTACAO_DIA-Y81))</f>
        <v>74903</v>
      </c>
      <c r="AA81" s="16" t="n">
        <f aca="false">MAX(0,Y81-CADASTRO_CASAS_BOMBA!$I$13*HORAS_CAPTACAO_DIA-Z80)</f>
        <v>0</v>
      </c>
    </row>
    <row r="82" customFormat="false" ht="15" hidden="false" customHeight="false" outlineLevel="0" collapsed="false">
      <c r="B82" s="17" t="n">
        <f aca="false">DATA_INICIO_SAFRA+75</f>
        <v>46340</v>
      </c>
      <c r="C82" s="16" t="n">
        <f aca="false">MIN(N_SEMANAS,MAX(1,INT(($B82-DATA_INICIO_SAFRA)/DIAS_POR_SEMANA)+1))</f>
        <v>11</v>
      </c>
      <c r="D82" s="16" t="n">
        <f aca="false">INDEX(AUX_MATRIZES!$C$8:$BP$8,MIN(N_SEMANAS,MAX(1,$C82)))/DIAS_POR_SEMANA</f>
        <v>345.819882352941</v>
      </c>
      <c r="E82" s="16" t="n">
        <f aca="false">MIN(CADASTRO_CASAS_BOMBA!$O$6,MAX(0,E81+CADASTRO_CASAS_BOMBA!$I$6*HORAS_CAPTACAO_DIA-D82))</f>
        <v>2600</v>
      </c>
      <c r="F82" s="16" t="n">
        <f aca="false">MAX(0,D82-CADASTRO_CASAS_BOMBA!$I$6*HORAS_CAPTACAO_DIA-E81)</f>
        <v>0</v>
      </c>
      <c r="G82" s="16" t="n">
        <f aca="false">INDEX(AUX_MATRIZES!$C$9:$BP$9,MIN(N_SEMANAS,MAX(1,$C82)))/DIAS_POR_SEMANA</f>
        <v>353.840117647058</v>
      </c>
      <c r="H82" s="16" t="n">
        <f aca="false">MIN(CADASTRO_CASAS_BOMBA!$O$7,MAX(0,H81+CADASTRO_CASAS_BOMBA!$I$7*HORAS_CAPTACAO_DIA-G82))</f>
        <v>76648</v>
      </c>
      <c r="I82" s="16" t="n">
        <f aca="false">MAX(0,G82-CADASTRO_CASAS_BOMBA!$I$7*HORAS_CAPTACAO_DIA-H81)</f>
        <v>0</v>
      </c>
      <c r="J82" s="16" t="n">
        <f aca="false">INDEX(AUX_MATRIZES!$C$10:$BP$10,MIN(N_SEMANAS,MAX(1,$C82)))/DIAS_POR_SEMANA</f>
        <v>656.991264485404</v>
      </c>
      <c r="K82" s="16" t="n">
        <f aca="false">MIN(CADASTRO_CASAS_BOMBA!$O$8,MAX(0,K81+CADASTRO_CASAS_BOMBA!$I$8*HORAS_CAPTACAO_DIA-J82))</f>
        <v>27377</v>
      </c>
      <c r="L82" s="16" t="n">
        <f aca="false">MAX(0,J82-CADASTRO_CASAS_BOMBA!$I$8*HORAS_CAPTACAO_DIA-K81)</f>
        <v>0</v>
      </c>
      <c r="M82" s="16" t="n">
        <f aca="false">INDEX(AUX_MATRIZES!$C$11:$BP$11,MIN(N_SEMANAS,MAX(1,$C82)))/DIAS_POR_SEMANA</f>
        <v>740.148117647058</v>
      </c>
      <c r="N82" s="16" t="n">
        <f aca="false">MIN(CADASTRO_CASAS_BOMBA!$O$9,MAX(0,N81+CADASTRO_CASAS_BOMBA!$I$9*HORAS_CAPTACAO_DIA-M82))</f>
        <v>129000</v>
      </c>
      <c r="O82" s="16" t="n">
        <f aca="false">MAX(0,M82-CADASTRO_CASAS_BOMBA!$I$9*HORAS_CAPTACAO_DIA-N81)</f>
        <v>0</v>
      </c>
      <c r="P82" s="16" t="n">
        <f aca="false">INDEX(AUX_MATRIZES!$C$12:$BP$12,MIN(N_SEMANAS,MAX(1,$C82)))/DIAS_POR_SEMANA</f>
        <v>0</v>
      </c>
      <c r="Q82" s="16" t="n">
        <f aca="false">MIN(CADASTRO_CASAS_BOMBA!$O$10,MAX(0,Q81+CADASTRO_CASAS_BOMBA!$I$10*HORAS_CAPTACAO_DIA-P82))</f>
        <v>1000000</v>
      </c>
      <c r="R82" s="16" t="n">
        <f aca="false">MAX(0,P82-CADASTRO_CASAS_BOMBA!$I$10*HORAS_CAPTACAO_DIA-Q81)</f>
        <v>0</v>
      </c>
      <c r="S82" s="16" t="n">
        <f aca="false">INDEX(AUX_MATRIZES!$C$13:$BP$13,MIN(N_SEMANAS,MAX(1,$C82)))/DIAS_POR_SEMANA</f>
        <v>0</v>
      </c>
      <c r="T82" s="16" t="n">
        <f aca="false">MIN(CADASTRO_CASAS_BOMBA!$O$11,MAX(0,T81+CADASTRO_CASAS_BOMBA!$I$11*HORAS_CAPTACAO_DIA-S82))</f>
        <v>469821</v>
      </c>
      <c r="U82" s="16" t="n">
        <f aca="false">MAX(0,S82-CADASTRO_CASAS_BOMBA!$I$11*HORAS_CAPTACAO_DIA-T81)</f>
        <v>0</v>
      </c>
      <c r="V82" s="16" t="n">
        <f aca="false">INDEX(AUX_MATRIZES!$C$14:$BP$14,MIN(N_SEMANAS,MAX(1,$C82)))/DIAS_POR_SEMANA</f>
        <v>0</v>
      </c>
      <c r="W82" s="16" t="n">
        <f aca="false">MIN(CADASTRO_CASAS_BOMBA!$O$12,MAX(0,W81+CADASTRO_CASAS_BOMBA!$I$12*HORAS_CAPTACAO_DIA-V82))</f>
        <v>440000</v>
      </c>
      <c r="X82" s="16" t="n">
        <f aca="false">MAX(0,V82-CADASTRO_CASAS_BOMBA!$I$12*HORAS_CAPTACAO_DIA-W81)</f>
        <v>0</v>
      </c>
      <c r="Y82" s="16" t="n">
        <f aca="false">INDEX(AUX_MATRIZES!$C$15:$BP$15,MIN(N_SEMANAS,MAX(1,$C82)))/DIAS_POR_SEMANA</f>
        <v>0</v>
      </c>
      <c r="Z82" s="16" t="n">
        <f aca="false">MIN(CADASTRO_CASAS_BOMBA!$O$13,MAX(0,Z81+CADASTRO_CASAS_BOMBA!$I$13*HORAS_CAPTACAO_DIA-Y82))</f>
        <v>74903</v>
      </c>
      <c r="AA82" s="16" t="n">
        <f aca="false">MAX(0,Y82-CADASTRO_CASAS_BOMBA!$I$13*HORAS_CAPTACAO_DIA-Z81)</f>
        <v>0</v>
      </c>
    </row>
    <row r="83" customFormat="false" ht="15" hidden="false" customHeight="false" outlineLevel="0" collapsed="false">
      <c r="B83" s="17" t="n">
        <f aca="false">DATA_INICIO_SAFRA+76</f>
        <v>46341</v>
      </c>
      <c r="C83" s="16" t="n">
        <f aca="false">MIN(N_SEMANAS,MAX(1,INT(($B83-DATA_INICIO_SAFRA)/DIAS_POR_SEMANA)+1))</f>
        <v>11</v>
      </c>
      <c r="D83" s="16" t="n">
        <f aca="false">INDEX(AUX_MATRIZES!$C$8:$BP$8,MIN(N_SEMANAS,MAX(1,$C83)))/DIAS_POR_SEMANA</f>
        <v>345.819882352941</v>
      </c>
      <c r="E83" s="16" t="n">
        <f aca="false">MIN(CADASTRO_CASAS_BOMBA!$O$6,MAX(0,E82+CADASTRO_CASAS_BOMBA!$I$6*HORAS_CAPTACAO_DIA-D83))</f>
        <v>2600</v>
      </c>
      <c r="F83" s="16" t="n">
        <f aca="false">MAX(0,D83-CADASTRO_CASAS_BOMBA!$I$6*HORAS_CAPTACAO_DIA-E82)</f>
        <v>0</v>
      </c>
      <c r="G83" s="16" t="n">
        <f aca="false">INDEX(AUX_MATRIZES!$C$9:$BP$9,MIN(N_SEMANAS,MAX(1,$C83)))/DIAS_POR_SEMANA</f>
        <v>353.840117647058</v>
      </c>
      <c r="H83" s="16" t="n">
        <f aca="false">MIN(CADASTRO_CASAS_BOMBA!$O$7,MAX(0,H82+CADASTRO_CASAS_BOMBA!$I$7*HORAS_CAPTACAO_DIA-G83))</f>
        <v>76648</v>
      </c>
      <c r="I83" s="16" t="n">
        <f aca="false">MAX(0,G83-CADASTRO_CASAS_BOMBA!$I$7*HORAS_CAPTACAO_DIA-H82)</f>
        <v>0</v>
      </c>
      <c r="J83" s="16" t="n">
        <f aca="false">INDEX(AUX_MATRIZES!$C$10:$BP$10,MIN(N_SEMANAS,MAX(1,$C83)))/DIAS_POR_SEMANA</f>
        <v>656.991264485404</v>
      </c>
      <c r="K83" s="16" t="n">
        <f aca="false">MIN(CADASTRO_CASAS_BOMBA!$O$8,MAX(0,K82+CADASTRO_CASAS_BOMBA!$I$8*HORAS_CAPTACAO_DIA-J83))</f>
        <v>27377</v>
      </c>
      <c r="L83" s="16" t="n">
        <f aca="false">MAX(0,J83-CADASTRO_CASAS_BOMBA!$I$8*HORAS_CAPTACAO_DIA-K82)</f>
        <v>0</v>
      </c>
      <c r="M83" s="16" t="n">
        <f aca="false">INDEX(AUX_MATRIZES!$C$11:$BP$11,MIN(N_SEMANAS,MAX(1,$C83)))/DIAS_POR_SEMANA</f>
        <v>740.148117647058</v>
      </c>
      <c r="N83" s="16" t="n">
        <f aca="false">MIN(CADASTRO_CASAS_BOMBA!$O$9,MAX(0,N82+CADASTRO_CASAS_BOMBA!$I$9*HORAS_CAPTACAO_DIA-M83))</f>
        <v>129000</v>
      </c>
      <c r="O83" s="16" t="n">
        <f aca="false">MAX(0,M83-CADASTRO_CASAS_BOMBA!$I$9*HORAS_CAPTACAO_DIA-N82)</f>
        <v>0</v>
      </c>
      <c r="P83" s="16" t="n">
        <f aca="false">INDEX(AUX_MATRIZES!$C$12:$BP$12,MIN(N_SEMANAS,MAX(1,$C83)))/DIAS_POR_SEMANA</f>
        <v>0</v>
      </c>
      <c r="Q83" s="16" t="n">
        <f aca="false">MIN(CADASTRO_CASAS_BOMBA!$O$10,MAX(0,Q82+CADASTRO_CASAS_BOMBA!$I$10*HORAS_CAPTACAO_DIA-P83))</f>
        <v>1000000</v>
      </c>
      <c r="R83" s="16" t="n">
        <f aca="false">MAX(0,P83-CADASTRO_CASAS_BOMBA!$I$10*HORAS_CAPTACAO_DIA-Q82)</f>
        <v>0</v>
      </c>
      <c r="S83" s="16" t="n">
        <f aca="false">INDEX(AUX_MATRIZES!$C$13:$BP$13,MIN(N_SEMANAS,MAX(1,$C83)))/DIAS_POR_SEMANA</f>
        <v>0</v>
      </c>
      <c r="T83" s="16" t="n">
        <f aca="false">MIN(CADASTRO_CASAS_BOMBA!$O$11,MAX(0,T82+CADASTRO_CASAS_BOMBA!$I$11*HORAS_CAPTACAO_DIA-S83))</f>
        <v>469821</v>
      </c>
      <c r="U83" s="16" t="n">
        <f aca="false">MAX(0,S83-CADASTRO_CASAS_BOMBA!$I$11*HORAS_CAPTACAO_DIA-T82)</f>
        <v>0</v>
      </c>
      <c r="V83" s="16" t="n">
        <f aca="false">INDEX(AUX_MATRIZES!$C$14:$BP$14,MIN(N_SEMANAS,MAX(1,$C83)))/DIAS_POR_SEMANA</f>
        <v>0</v>
      </c>
      <c r="W83" s="16" t="n">
        <f aca="false">MIN(CADASTRO_CASAS_BOMBA!$O$12,MAX(0,W82+CADASTRO_CASAS_BOMBA!$I$12*HORAS_CAPTACAO_DIA-V83))</f>
        <v>440000</v>
      </c>
      <c r="X83" s="16" t="n">
        <f aca="false">MAX(0,V83-CADASTRO_CASAS_BOMBA!$I$12*HORAS_CAPTACAO_DIA-W82)</f>
        <v>0</v>
      </c>
      <c r="Y83" s="16" t="n">
        <f aca="false">INDEX(AUX_MATRIZES!$C$15:$BP$15,MIN(N_SEMANAS,MAX(1,$C83)))/DIAS_POR_SEMANA</f>
        <v>0</v>
      </c>
      <c r="Z83" s="16" t="n">
        <f aca="false">MIN(CADASTRO_CASAS_BOMBA!$O$13,MAX(0,Z82+CADASTRO_CASAS_BOMBA!$I$13*HORAS_CAPTACAO_DIA-Y83))</f>
        <v>74903</v>
      </c>
      <c r="AA83" s="16" t="n">
        <f aca="false">MAX(0,Y83-CADASTRO_CASAS_BOMBA!$I$13*HORAS_CAPTACAO_DIA-Z82)</f>
        <v>0</v>
      </c>
    </row>
    <row r="84" customFormat="false" ht="15" hidden="false" customHeight="false" outlineLevel="0" collapsed="false">
      <c r="B84" s="17" t="n">
        <f aca="false">DATA_INICIO_SAFRA+77</f>
        <v>46342</v>
      </c>
      <c r="C84" s="16" t="n">
        <f aca="false">MIN(N_SEMANAS,MAX(1,INT(($B84-DATA_INICIO_SAFRA)/DIAS_POR_SEMANA)+1))</f>
        <v>12</v>
      </c>
      <c r="D84" s="16" t="n">
        <f aca="false">INDEX(AUX_MATRIZES!$C$8:$BP$8,MIN(N_SEMANAS,MAX(1,$C84)))/DIAS_POR_SEMANA</f>
        <v>345.819882352941</v>
      </c>
      <c r="E84" s="16" t="n">
        <f aca="false">MIN(CADASTRO_CASAS_BOMBA!$O$6,MAX(0,E83+CADASTRO_CASAS_BOMBA!$I$6*HORAS_CAPTACAO_DIA-D84))</f>
        <v>2600</v>
      </c>
      <c r="F84" s="16" t="n">
        <f aca="false">MAX(0,D84-CADASTRO_CASAS_BOMBA!$I$6*HORAS_CAPTACAO_DIA-E83)</f>
        <v>0</v>
      </c>
      <c r="G84" s="16" t="n">
        <f aca="false">INDEX(AUX_MATRIZES!$C$9:$BP$9,MIN(N_SEMANAS,MAX(1,$C84)))/DIAS_POR_SEMANA</f>
        <v>353.840117647058</v>
      </c>
      <c r="H84" s="16" t="n">
        <f aca="false">MIN(CADASTRO_CASAS_BOMBA!$O$7,MAX(0,H83+CADASTRO_CASAS_BOMBA!$I$7*HORAS_CAPTACAO_DIA-G84))</f>
        <v>76648</v>
      </c>
      <c r="I84" s="16" t="n">
        <f aca="false">MAX(0,G84-CADASTRO_CASAS_BOMBA!$I$7*HORAS_CAPTACAO_DIA-H83)</f>
        <v>0</v>
      </c>
      <c r="J84" s="16" t="n">
        <f aca="false">INDEX(AUX_MATRIZES!$C$10:$BP$10,MIN(N_SEMANAS,MAX(1,$C84)))/DIAS_POR_SEMANA</f>
        <v>695.720235294117</v>
      </c>
      <c r="K84" s="16" t="n">
        <f aca="false">MIN(CADASTRO_CASAS_BOMBA!$O$8,MAX(0,K83+CADASTRO_CASAS_BOMBA!$I$8*HORAS_CAPTACAO_DIA-J84))</f>
        <v>27377</v>
      </c>
      <c r="L84" s="16" t="n">
        <f aca="false">MAX(0,J84-CADASTRO_CASAS_BOMBA!$I$8*HORAS_CAPTACAO_DIA-K83)</f>
        <v>0</v>
      </c>
      <c r="M84" s="16" t="n">
        <f aca="false">INDEX(AUX_MATRIZES!$C$11:$BP$11,MIN(N_SEMANAS,MAX(1,$C84)))/DIAS_POR_SEMANA</f>
        <v>740.148117647058</v>
      </c>
      <c r="N84" s="16" t="n">
        <f aca="false">MIN(CADASTRO_CASAS_BOMBA!$O$9,MAX(0,N83+CADASTRO_CASAS_BOMBA!$I$9*HORAS_CAPTACAO_DIA-M84))</f>
        <v>129000</v>
      </c>
      <c r="O84" s="16" t="n">
        <f aca="false">MAX(0,M84-CADASTRO_CASAS_BOMBA!$I$9*HORAS_CAPTACAO_DIA-N83)</f>
        <v>0</v>
      </c>
      <c r="P84" s="16" t="n">
        <f aca="false">INDEX(AUX_MATRIZES!$C$12:$BP$12,MIN(N_SEMANAS,MAX(1,$C84)))/DIAS_POR_SEMANA</f>
        <v>0</v>
      </c>
      <c r="Q84" s="16" t="n">
        <f aca="false">MIN(CADASTRO_CASAS_BOMBA!$O$10,MAX(0,Q83+CADASTRO_CASAS_BOMBA!$I$10*HORAS_CAPTACAO_DIA-P84))</f>
        <v>1000000</v>
      </c>
      <c r="R84" s="16" t="n">
        <f aca="false">MAX(0,P84-CADASTRO_CASAS_BOMBA!$I$10*HORAS_CAPTACAO_DIA-Q83)</f>
        <v>0</v>
      </c>
      <c r="S84" s="16" t="n">
        <f aca="false">INDEX(AUX_MATRIZES!$C$13:$BP$13,MIN(N_SEMANAS,MAX(1,$C84)))/DIAS_POR_SEMANA</f>
        <v>0</v>
      </c>
      <c r="T84" s="16" t="n">
        <f aca="false">MIN(CADASTRO_CASAS_BOMBA!$O$11,MAX(0,T83+CADASTRO_CASAS_BOMBA!$I$11*HORAS_CAPTACAO_DIA-S84))</f>
        <v>469821</v>
      </c>
      <c r="U84" s="16" t="n">
        <f aca="false">MAX(0,S84-CADASTRO_CASAS_BOMBA!$I$11*HORAS_CAPTACAO_DIA-T83)</f>
        <v>0</v>
      </c>
      <c r="V84" s="16" t="n">
        <f aca="false">INDEX(AUX_MATRIZES!$C$14:$BP$14,MIN(N_SEMANAS,MAX(1,$C84)))/DIAS_POR_SEMANA</f>
        <v>0</v>
      </c>
      <c r="W84" s="16" t="n">
        <f aca="false">MIN(CADASTRO_CASAS_BOMBA!$O$12,MAX(0,W83+CADASTRO_CASAS_BOMBA!$I$12*HORAS_CAPTACAO_DIA-V84))</f>
        <v>440000</v>
      </c>
      <c r="X84" s="16" t="n">
        <f aca="false">MAX(0,V84-CADASTRO_CASAS_BOMBA!$I$12*HORAS_CAPTACAO_DIA-W83)</f>
        <v>0</v>
      </c>
      <c r="Y84" s="16" t="n">
        <f aca="false">INDEX(AUX_MATRIZES!$C$15:$BP$15,MIN(N_SEMANAS,MAX(1,$C84)))/DIAS_POR_SEMANA</f>
        <v>0</v>
      </c>
      <c r="Z84" s="16" t="n">
        <f aca="false">MIN(CADASTRO_CASAS_BOMBA!$O$13,MAX(0,Z83+CADASTRO_CASAS_BOMBA!$I$13*HORAS_CAPTACAO_DIA-Y84))</f>
        <v>74903</v>
      </c>
      <c r="AA84" s="16" t="n">
        <f aca="false">MAX(0,Y84-CADASTRO_CASAS_BOMBA!$I$13*HORAS_CAPTACAO_DIA-Z83)</f>
        <v>0</v>
      </c>
    </row>
    <row r="85" customFormat="false" ht="15" hidden="false" customHeight="false" outlineLevel="0" collapsed="false">
      <c r="B85" s="17" t="n">
        <f aca="false">DATA_INICIO_SAFRA+78</f>
        <v>46343</v>
      </c>
      <c r="C85" s="16" t="n">
        <f aca="false">MIN(N_SEMANAS,MAX(1,INT(($B85-DATA_INICIO_SAFRA)/DIAS_POR_SEMANA)+1))</f>
        <v>12</v>
      </c>
      <c r="D85" s="16" t="n">
        <f aca="false">INDEX(AUX_MATRIZES!$C$8:$BP$8,MIN(N_SEMANAS,MAX(1,$C85)))/DIAS_POR_SEMANA</f>
        <v>345.819882352941</v>
      </c>
      <c r="E85" s="16" t="n">
        <f aca="false">MIN(CADASTRO_CASAS_BOMBA!$O$6,MAX(0,E84+CADASTRO_CASAS_BOMBA!$I$6*HORAS_CAPTACAO_DIA-D85))</f>
        <v>2600</v>
      </c>
      <c r="F85" s="16" t="n">
        <f aca="false">MAX(0,D85-CADASTRO_CASAS_BOMBA!$I$6*HORAS_CAPTACAO_DIA-E84)</f>
        <v>0</v>
      </c>
      <c r="G85" s="16" t="n">
        <f aca="false">INDEX(AUX_MATRIZES!$C$9:$BP$9,MIN(N_SEMANAS,MAX(1,$C85)))/DIAS_POR_SEMANA</f>
        <v>353.840117647058</v>
      </c>
      <c r="H85" s="16" t="n">
        <f aca="false">MIN(CADASTRO_CASAS_BOMBA!$O$7,MAX(0,H84+CADASTRO_CASAS_BOMBA!$I$7*HORAS_CAPTACAO_DIA-G85))</f>
        <v>76648</v>
      </c>
      <c r="I85" s="16" t="n">
        <f aca="false">MAX(0,G85-CADASTRO_CASAS_BOMBA!$I$7*HORAS_CAPTACAO_DIA-H84)</f>
        <v>0</v>
      </c>
      <c r="J85" s="16" t="n">
        <f aca="false">INDEX(AUX_MATRIZES!$C$10:$BP$10,MIN(N_SEMANAS,MAX(1,$C85)))/DIAS_POR_SEMANA</f>
        <v>695.720235294117</v>
      </c>
      <c r="K85" s="16" t="n">
        <f aca="false">MIN(CADASTRO_CASAS_BOMBA!$O$8,MAX(0,K84+CADASTRO_CASAS_BOMBA!$I$8*HORAS_CAPTACAO_DIA-J85))</f>
        <v>27377</v>
      </c>
      <c r="L85" s="16" t="n">
        <f aca="false">MAX(0,J85-CADASTRO_CASAS_BOMBA!$I$8*HORAS_CAPTACAO_DIA-K84)</f>
        <v>0</v>
      </c>
      <c r="M85" s="16" t="n">
        <f aca="false">INDEX(AUX_MATRIZES!$C$11:$BP$11,MIN(N_SEMANAS,MAX(1,$C85)))/DIAS_POR_SEMANA</f>
        <v>740.148117647058</v>
      </c>
      <c r="N85" s="16" t="n">
        <f aca="false">MIN(CADASTRO_CASAS_BOMBA!$O$9,MAX(0,N84+CADASTRO_CASAS_BOMBA!$I$9*HORAS_CAPTACAO_DIA-M85))</f>
        <v>129000</v>
      </c>
      <c r="O85" s="16" t="n">
        <f aca="false">MAX(0,M85-CADASTRO_CASAS_BOMBA!$I$9*HORAS_CAPTACAO_DIA-N84)</f>
        <v>0</v>
      </c>
      <c r="P85" s="16" t="n">
        <f aca="false">INDEX(AUX_MATRIZES!$C$12:$BP$12,MIN(N_SEMANAS,MAX(1,$C85)))/DIAS_POR_SEMANA</f>
        <v>0</v>
      </c>
      <c r="Q85" s="16" t="n">
        <f aca="false">MIN(CADASTRO_CASAS_BOMBA!$O$10,MAX(0,Q84+CADASTRO_CASAS_BOMBA!$I$10*HORAS_CAPTACAO_DIA-P85))</f>
        <v>1000000</v>
      </c>
      <c r="R85" s="16" t="n">
        <f aca="false">MAX(0,P85-CADASTRO_CASAS_BOMBA!$I$10*HORAS_CAPTACAO_DIA-Q84)</f>
        <v>0</v>
      </c>
      <c r="S85" s="16" t="n">
        <f aca="false">INDEX(AUX_MATRIZES!$C$13:$BP$13,MIN(N_SEMANAS,MAX(1,$C85)))/DIAS_POR_SEMANA</f>
        <v>0</v>
      </c>
      <c r="T85" s="16" t="n">
        <f aca="false">MIN(CADASTRO_CASAS_BOMBA!$O$11,MAX(0,T84+CADASTRO_CASAS_BOMBA!$I$11*HORAS_CAPTACAO_DIA-S85))</f>
        <v>469821</v>
      </c>
      <c r="U85" s="16" t="n">
        <f aca="false">MAX(0,S85-CADASTRO_CASAS_BOMBA!$I$11*HORAS_CAPTACAO_DIA-T84)</f>
        <v>0</v>
      </c>
      <c r="V85" s="16" t="n">
        <f aca="false">INDEX(AUX_MATRIZES!$C$14:$BP$14,MIN(N_SEMANAS,MAX(1,$C85)))/DIAS_POR_SEMANA</f>
        <v>0</v>
      </c>
      <c r="W85" s="16" t="n">
        <f aca="false">MIN(CADASTRO_CASAS_BOMBA!$O$12,MAX(0,W84+CADASTRO_CASAS_BOMBA!$I$12*HORAS_CAPTACAO_DIA-V85))</f>
        <v>440000</v>
      </c>
      <c r="X85" s="16" t="n">
        <f aca="false">MAX(0,V85-CADASTRO_CASAS_BOMBA!$I$12*HORAS_CAPTACAO_DIA-W84)</f>
        <v>0</v>
      </c>
      <c r="Y85" s="16" t="n">
        <f aca="false">INDEX(AUX_MATRIZES!$C$15:$BP$15,MIN(N_SEMANAS,MAX(1,$C85)))/DIAS_POR_SEMANA</f>
        <v>0</v>
      </c>
      <c r="Z85" s="16" t="n">
        <f aca="false">MIN(CADASTRO_CASAS_BOMBA!$O$13,MAX(0,Z84+CADASTRO_CASAS_BOMBA!$I$13*HORAS_CAPTACAO_DIA-Y85))</f>
        <v>74903</v>
      </c>
      <c r="AA85" s="16" t="n">
        <f aca="false">MAX(0,Y85-CADASTRO_CASAS_BOMBA!$I$13*HORAS_CAPTACAO_DIA-Z84)</f>
        <v>0</v>
      </c>
    </row>
    <row r="86" customFormat="false" ht="15" hidden="false" customHeight="false" outlineLevel="0" collapsed="false">
      <c r="B86" s="17" t="n">
        <f aca="false">DATA_INICIO_SAFRA+79</f>
        <v>46344</v>
      </c>
      <c r="C86" s="16" t="n">
        <f aca="false">MIN(N_SEMANAS,MAX(1,INT(($B86-DATA_INICIO_SAFRA)/DIAS_POR_SEMANA)+1))</f>
        <v>12</v>
      </c>
      <c r="D86" s="16" t="n">
        <f aca="false">INDEX(AUX_MATRIZES!$C$8:$BP$8,MIN(N_SEMANAS,MAX(1,$C86)))/DIAS_POR_SEMANA</f>
        <v>345.819882352941</v>
      </c>
      <c r="E86" s="16" t="n">
        <f aca="false">MIN(CADASTRO_CASAS_BOMBA!$O$6,MAX(0,E85+CADASTRO_CASAS_BOMBA!$I$6*HORAS_CAPTACAO_DIA-D86))</f>
        <v>2600</v>
      </c>
      <c r="F86" s="16" t="n">
        <f aca="false">MAX(0,D86-CADASTRO_CASAS_BOMBA!$I$6*HORAS_CAPTACAO_DIA-E85)</f>
        <v>0</v>
      </c>
      <c r="G86" s="16" t="n">
        <f aca="false">INDEX(AUX_MATRIZES!$C$9:$BP$9,MIN(N_SEMANAS,MAX(1,$C86)))/DIAS_POR_SEMANA</f>
        <v>353.840117647058</v>
      </c>
      <c r="H86" s="16" t="n">
        <f aca="false">MIN(CADASTRO_CASAS_BOMBA!$O$7,MAX(0,H85+CADASTRO_CASAS_BOMBA!$I$7*HORAS_CAPTACAO_DIA-G86))</f>
        <v>76648</v>
      </c>
      <c r="I86" s="16" t="n">
        <f aca="false">MAX(0,G86-CADASTRO_CASAS_BOMBA!$I$7*HORAS_CAPTACAO_DIA-H85)</f>
        <v>0</v>
      </c>
      <c r="J86" s="16" t="n">
        <f aca="false">INDEX(AUX_MATRIZES!$C$10:$BP$10,MIN(N_SEMANAS,MAX(1,$C86)))/DIAS_POR_SEMANA</f>
        <v>695.720235294117</v>
      </c>
      <c r="K86" s="16" t="n">
        <f aca="false">MIN(CADASTRO_CASAS_BOMBA!$O$8,MAX(0,K85+CADASTRO_CASAS_BOMBA!$I$8*HORAS_CAPTACAO_DIA-J86))</f>
        <v>27377</v>
      </c>
      <c r="L86" s="16" t="n">
        <f aca="false">MAX(0,J86-CADASTRO_CASAS_BOMBA!$I$8*HORAS_CAPTACAO_DIA-K85)</f>
        <v>0</v>
      </c>
      <c r="M86" s="16" t="n">
        <f aca="false">INDEX(AUX_MATRIZES!$C$11:$BP$11,MIN(N_SEMANAS,MAX(1,$C86)))/DIAS_POR_SEMANA</f>
        <v>740.148117647058</v>
      </c>
      <c r="N86" s="16" t="n">
        <f aca="false">MIN(CADASTRO_CASAS_BOMBA!$O$9,MAX(0,N85+CADASTRO_CASAS_BOMBA!$I$9*HORAS_CAPTACAO_DIA-M86))</f>
        <v>129000</v>
      </c>
      <c r="O86" s="16" t="n">
        <f aca="false">MAX(0,M86-CADASTRO_CASAS_BOMBA!$I$9*HORAS_CAPTACAO_DIA-N85)</f>
        <v>0</v>
      </c>
      <c r="P86" s="16" t="n">
        <f aca="false">INDEX(AUX_MATRIZES!$C$12:$BP$12,MIN(N_SEMANAS,MAX(1,$C86)))/DIAS_POR_SEMANA</f>
        <v>0</v>
      </c>
      <c r="Q86" s="16" t="n">
        <f aca="false">MIN(CADASTRO_CASAS_BOMBA!$O$10,MAX(0,Q85+CADASTRO_CASAS_BOMBA!$I$10*HORAS_CAPTACAO_DIA-P86))</f>
        <v>1000000</v>
      </c>
      <c r="R86" s="16" t="n">
        <f aca="false">MAX(0,P86-CADASTRO_CASAS_BOMBA!$I$10*HORAS_CAPTACAO_DIA-Q85)</f>
        <v>0</v>
      </c>
      <c r="S86" s="16" t="n">
        <f aca="false">INDEX(AUX_MATRIZES!$C$13:$BP$13,MIN(N_SEMANAS,MAX(1,$C86)))/DIAS_POR_SEMANA</f>
        <v>0</v>
      </c>
      <c r="T86" s="16" t="n">
        <f aca="false">MIN(CADASTRO_CASAS_BOMBA!$O$11,MAX(0,T85+CADASTRO_CASAS_BOMBA!$I$11*HORAS_CAPTACAO_DIA-S86))</f>
        <v>469821</v>
      </c>
      <c r="U86" s="16" t="n">
        <f aca="false">MAX(0,S86-CADASTRO_CASAS_BOMBA!$I$11*HORAS_CAPTACAO_DIA-T85)</f>
        <v>0</v>
      </c>
      <c r="V86" s="16" t="n">
        <f aca="false">INDEX(AUX_MATRIZES!$C$14:$BP$14,MIN(N_SEMANAS,MAX(1,$C86)))/DIAS_POR_SEMANA</f>
        <v>0</v>
      </c>
      <c r="W86" s="16" t="n">
        <f aca="false">MIN(CADASTRO_CASAS_BOMBA!$O$12,MAX(0,W85+CADASTRO_CASAS_BOMBA!$I$12*HORAS_CAPTACAO_DIA-V86))</f>
        <v>440000</v>
      </c>
      <c r="X86" s="16" t="n">
        <f aca="false">MAX(0,V86-CADASTRO_CASAS_BOMBA!$I$12*HORAS_CAPTACAO_DIA-W85)</f>
        <v>0</v>
      </c>
      <c r="Y86" s="16" t="n">
        <f aca="false">INDEX(AUX_MATRIZES!$C$15:$BP$15,MIN(N_SEMANAS,MAX(1,$C86)))/DIAS_POR_SEMANA</f>
        <v>0</v>
      </c>
      <c r="Z86" s="16" t="n">
        <f aca="false">MIN(CADASTRO_CASAS_BOMBA!$O$13,MAX(0,Z85+CADASTRO_CASAS_BOMBA!$I$13*HORAS_CAPTACAO_DIA-Y86))</f>
        <v>74903</v>
      </c>
      <c r="AA86" s="16" t="n">
        <f aca="false">MAX(0,Y86-CADASTRO_CASAS_BOMBA!$I$13*HORAS_CAPTACAO_DIA-Z85)</f>
        <v>0</v>
      </c>
    </row>
    <row r="87" customFormat="false" ht="15" hidden="false" customHeight="false" outlineLevel="0" collapsed="false">
      <c r="B87" s="17" t="n">
        <f aca="false">DATA_INICIO_SAFRA+80</f>
        <v>46345</v>
      </c>
      <c r="C87" s="16" t="n">
        <f aca="false">MIN(N_SEMANAS,MAX(1,INT(($B87-DATA_INICIO_SAFRA)/DIAS_POR_SEMANA)+1))</f>
        <v>12</v>
      </c>
      <c r="D87" s="16" t="n">
        <f aca="false">INDEX(AUX_MATRIZES!$C$8:$BP$8,MIN(N_SEMANAS,MAX(1,$C87)))/DIAS_POR_SEMANA</f>
        <v>345.819882352941</v>
      </c>
      <c r="E87" s="16" t="n">
        <f aca="false">MIN(CADASTRO_CASAS_BOMBA!$O$6,MAX(0,E86+CADASTRO_CASAS_BOMBA!$I$6*HORAS_CAPTACAO_DIA-D87))</f>
        <v>2600</v>
      </c>
      <c r="F87" s="16" t="n">
        <f aca="false">MAX(0,D87-CADASTRO_CASAS_BOMBA!$I$6*HORAS_CAPTACAO_DIA-E86)</f>
        <v>0</v>
      </c>
      <c r="G87" s="16" t="n">
        <f aca="false">INDEX(AUX_MATRIZES!$C$9:$BP$9,MIN(N_SEMANAS,MAX(1,$C87)))/DIAS_POR_SEMANA</f>
        <v>353.840117647058</v>
      </c>
      <c r="H87" s="16" t="n">
        <f aca="false">MIN(CADASTRO_CASAS_BOMBA!$O$7,MAX(0,H86+CADASTRO_CASAS_BOMBA!$I$7*HORAS_CAPTACAO_DIA-G87))</f>
        <v>76648</v>
      </c>
      <c r="I87" s="16" t="n">
        <f aca="false">MAX(0,G87-CADASTRO_CASAS_BOMBA!$I$7*HORAS_CAPTACAO_DIA-H86)</f>
        <v>0</v>
      </c>
      <c r="J87" s="16" t="n">
        <f aca="false">INDEX(AUX_MATRIZES!$C$10:$BP$10,MIN(N_SEMANAS,MAX(1,$C87)))/DIAS_POR_SEMANA</f>
        <v>695.720235294117</v>
      </c>
      <c r="K87" s="16" t="n">
        <f aca="false">MIN(CADASTRO_CASAS_BOMBA!$O$8,MAX(0,K86+CADASTRO_CASAS_BOMBA!$I$8*HORAS_CAPTACAO_DIA-J87))</f>
        <v>27377</v>
      </c>
      <c r="L87" s="16" t="n">
        <f aca="false">MAX(0,J87-CADASTRO_CASAS_BOMBA!$I$8*HORAS_CAPTACAO_DIA-K86)</f>
        <v>0</v>
      </c>
      <c r="M87" s="16" t="n">
        <f aca="false">INDEX(AUX_MATRIZES!$C$11:$BP$11,MIN(N_SEMANAS,MAX(1,$C87)))/DIAS_POR_SEMANA</f>
        <v>740.148117647058</v>
      </c>
      <c r="N87" s="16" t="n">
        <f aca="false">MIN(CADASTRO_CASAS_BOMBA!$O$9,MAX(0,N86+CADASTRO_CASAS_BOMBA!$I$9*HORAS_CAPTACAO_DIA-M87))</f>
        <v>129000</v>
      </c>
      <c r="O87" s="16" t="n">
        <f aca="false">MAX(0,M87-CADASTRO_CASAS_BOMBA!$I$9*HORAS_CAPTACAO_DIA-N86)</f>
        <v>0</v>
      </c>
      <c r="P87" s="16" t="n">
        <f aca="false">INDEX(AUX_MATRIZES!$C$12:$BP$12,MIN(N_SEMANAS,MAX(1,$C87)))/DIAS_POR_SEMANA</f>
        <v>0</v>
      </c>
      <c r="Q87" s="16" t="n">
        <f aca="false">MIN(CADASTRO_CASAS_BOMBA!$O$10,MAX(0,Q86+CADASTRO_CASAS_BOMBA!$I$10*HORAS_CAPTACAO_DIA-P87))</f>
        <v>1000000</v>
      </c>
      <c r="R87" s="16" t="n">
        <f aca="false">MAX(0,P87-CADASTRO_CASAS_BOMBA!$I$10*HORAS_CAPTACAO_DIA-Q86)</f>
        <v>0</v>
      </c>
      <c r="S87" s="16" t="n">
        <f aca="false">INDEX(AUX_MATRIZES!$C$13:$BP$13,MIN(N_SEMANAS,MAX(1,$C87)))/DIAS_POR_SEMANA</f>
        <v>0</v>
      </c>
      <c r="T87" s="16" t="n">
        <f aca="false">MIN(CADASTRO_CASAS_BOMBA!$O$11,MAX(0,T86+CADASTRO_CASAS_BOMBA!$I$11*HORAS_CAPTACAO_DIA-S87))</f>
        <v>469821</v>
      </c>
      <c r="U87" s="16" t="n">
        <f aca="false">MAX(0,S87-CADASTRO_CASAS_BOMBA!$I$11*HORAS_CAPTACAO_DIA-T86)</f>
        <v>0</v>
      </c>
      <c r="V87" s="16" t="n">
        <f aca="false">INDEX(AUX_MATRIZES!$C$14:$BP$14,MIN(N_SEMANAS,MAX(1,$C87)))/DIAS_POR_SEMANA</f>
        <v>0</v>
      </c>
      <c r="W87" s="16" t="n">
        <f aca="false">MIN(CADASTRO_CASAS_BOMBA!$O$12,MAX(0,W86+CADASTRO_CASAS_BOMBA!$I$12*HORAS_CAPTACAO_DIA-V87))</f>
        <v>440000</v>
      </c>
      <c r="X87" s="16" t="n">
        <f aca="false">MAX(0,V87-CADASTRO_CASAS_BOMBA!$I$12*HORAS_CAPTACAO_DIA-W86)</f>
        <v>0</v>
      </c>
      <c r="Y87" s="16" t="n">
        <f aca="false">INDEX(AUX_MATRIZES!$C$15:$BP$15,MIN(N_SEMANAS,MAX(1,$C87)))/DIAS_POR_SEMANA</f>
        <v>0</v>
      </c>
      <c r="Z87" s="16" t="n">
        <f aca="false">MIN(CADASTRO_CASAS_BOMBA!$O$13,MAX(0,Z86+CADASTRO_CASAS_BOMBA!$I$13*HORAS_CAPTACAO_DIA-Y87))</f>
        <v>74903</v>
      </c>
      <c r="AA87" s="16" t="n">
        <f aca="false">MAX(0,Y87-CADASTRO_CASAS_BOMBA!$I$13*HORAS_CAPTACAO_DIA-Z86)</f>
        <v>0</v>
      </c>
    </row>
    <row r="88" customFormat="false" ht="15" hidden="false" customHeight="false" outlineLevel="0" collapsed="false">
      <c r="B88" s="17" t="n">
        <f aca="false">DATA_INICIO_SAFRA+81</f>
        <v>46346</v>
      </c>
      <c r="C88" s="16" t="n">
        <f aca="false">MIN(N_SEMANAS,MAX(1,INT(($B88-DATA_INICIO_SAFRA)/DIAS_POR_SEMANA)+1))</f>
        <v>12</v>
      </c>
      <c r="D88" s="16" t="n">
        <f aca="false">INDEX(AUX_MATRIZES!$C$8:$BP$8,MIN(N_SEMANAS,MAX(1,$C88)))/DIAS_POR_SEMANA</f>
        <v>345.819882352941</v>
      </c>
      <c r="E88" s="16" t="n">
        <f aca="false">MIN(CADASTRO_CASAS_BOMBA!$O$6,MAX(0,E87+CADASTRO_CASAS_BOMBA!$I$6*HORAS_CAPTACAO_DIA-D88))</f>
        <v>2600</v>
      </c>
      <c r="F88" s="16" t="n">
        <f aca="false">MAX(0,D88-CADASTRO_CASAS_BOMBA!$I$6*HORAS_CAPTACAO_DIA-E87)</f>
        <v>0</v>
      </c>
      <c r="G88" s="16" t="n">
        <f aca="false">INDEX(AUX_MATRIZES!$C$9:$BP$9,MIN(N_SEMANAS,MAX(1,$C88)))/DIAS_POR_SEMANA</f>
        <v>353.840117647058</v>
      </c>
      <c r="H88" s="16" t="n">
        <f aca="false">MIN(CADASTRO_CASAS_BOMBA!$O$7,MAX(0,H87+CADASTRO_CASAS_BOMBA!$I$7*HORAS_CAPTACAO_DIA-G88))</f>
        <v>76648</v>
      </c>
      <c r="I88" s="16" t="n">
        <f aca="false">MAX(0,G88-CADASTRO_CASAS_BOMBA!$I$7*HORAS_CAPTACAO_DIA-H87)</f>
        <v>0</v>
      </c>
      <c r="J88" s="16" t="n">
        <f aca="false">INDEX(AUX_MATRIZES!$C$10:$BP$10,MIN(N_SEMANAS,MAX(1,$C88)))/DIAS_POR_SEMANA</f>
        <v>695.720235294117</v>
      </c>
      <c r="K88" s="16" t="n">
        <f aca="false">MIN(CADASTRO_CASAS_BOMBA!$O$8,MAX(0,K87+CADASTRO_CASAS_BOMBA!$I$8*HORAS_CAPTACAO_DIA-J88))</f>
        <v>27377</v>
      </c>
      <c r="L88" s="16" t="n">
        <f aca="false">MAX(0,J88-CADASTRO_CASAS_BOMBA!$I$8*HORAS_CAPTACAO_DIA-K87)</f>
        <v>0</v>
      </c>
      <c r="M88" s="16" t="n">
        <f aca="false">INDEX(AUX_MATRIZES!$C$11:$BP$11,MIN(N_SEMANAS,MAX(1,$C88)))/DIAS_POR_SEMANA</f>
        <v>740.148117647058</v>
      </c>
      <c r="N88" s="16" t="n">
        <f aca="false">MIN(CADASTRO_CASAS_BOMBA!$O$9,MAX(0,N87+CADASTRO_CASAS_BOMBA!$I$9*HORAS_CAPTACAO_DIA-M88))</f>
        <v>129000</v>
      </c>
      <c r="O88" s="16" t="n">
        <f aca="false">MAX(0,M88-CADASTRO_CASAS_BOMBA!$I$9*HORAS_CAPTACAO_DIA-N87)</f>
        <v>0</v>
      </c>
      <c r="P88" s="16" t="n">
        <f aca="false">INDEX(AUX_MATRIZES!$C$12:$BP$12,MIN(N_SEMANAS,MAX(1,$C88)))/DIAS_POR_SEMANA</f>
        <v>0</v>
      </c>
      <c r="Q88" s="16" t="n">
        <f aca="false">MIN(CADASTRO_CASAS_BOMBA!$O$10,MAX(0,Q87+CADASTRO_CASAS_BOMBA!$I$10*HORAS_CAPTACAO_DIA-P88))</f>
        <v>1000000</v>
      </c>
      <c r="R88" s="16" t="n">
        <f aca="false">MAX(0,P88-CADASTRO_CASAS_BOMBA!$I$10*HORAS_CAPTACAO_DIA-Q87)</f>
        <v>0</v>
      </c>
      <c r="S88" s="16" t="n">
        <f aca="false">INDEX(AUX_MATRIZES!$C$13:$BP$13,MIN(N_SEMANAS,MAX(1,$C88)))/DIAS_POR_SEMANA</f>
        <v>0</v>
      </c>
      <c r="T88" s="16" t="n">
        <f aca="false">MIN(CADASTRO_CASAS_BOMBA!$O$11,MAX(0,T87+CADASTRO_CASAS_BOMBA!$I$11*HORAS_CAPTACAO_DIA-S88))</f>
        <v>469821</v>
      </c>
      <c r="U88" s="16" t="n">
        <f aca="false">MAX(0,S88-CADASTRO_CASAS_BOMBA!$I$11*HORAS_CAPTACAO_DIA-T87)</f>
        <v>0</v>
      </c>
      <c r="V88" s="16" t="n">
        <f aca="false">INDEX(AUX_MATRIZES!$C$14:$BP$14,MIN(N_SEMANAS,MAX(1,$C88)))/DIAS_POR_SEMANA</f>
        <v>0</v>
      </c>
      <c r="W88" s="16" t="n">
        <f aca="false">MIN(CADASTRO_CASAS_BOMBA!$O$12,MAX(0,W87+CADASTRO_CASAS_BOMBA!$I$12*HORAS_CAPTACAO_DIA-V88))</f>
        <v>440000</v>
      </c>
      <c r="X88" s="16" t="n">
        <f aca="false">MAX(0,V88-CADASTRO_CASAS_BOMBA!$I$12*HORAS_CAPTACAO_DIA-W87)</f>
        <v>0</v>
      </c>
      <c r="Y88" s="16" t="n">
        <f aca="false">INDEX(AUX_MATRIZES!$C$15:$BP$15,MIN(N_SEMANAS,MAX(1,$C88)))/DIAS_POR_SEMANA</f>
        <v>0</v>
      </c>
      <c r="Z88" s="16" t="n">
        <f aca="false">MIN(CADASTRO_CASAS_BOMBA!$O$13,MAX(0,Z87+CADASTRO_CASAS_BOMBA!$I$13*HORAS_CAPTACAO_DIA-Y88))</f>
        <v>74903</v>
      </c>
      <c r="AA88" s="16" t="n">
        <f aca="false">MAX(0,Y88-CADASTRO_CASAS_BOMBA!$I$13*HORAS_CAPTACAO_DIA-Z87)</f>
        <v>0</v>
      </c>
    </row>
    <row r="89" customFormat="false" ht="15" hidden="false" customHeight="false" outlineLevel="0" collapsed="false">
      <c r="B89" s="17" t="n">
        <f aca="false">DATA_INICIO_SAFRA+82</f>
        <v>46347</v>
      </c>
      <c r="C89" s="16" t="n">
        <f aca="false">MIN(N_SEMANAS,MAX(1,INT(($B89-DATA_INICIO_SAFRA)/DIAS_POR_SEMANA)+1))</f>
        <v>12</v>
      </c>
      <c r="D89" s="16" t="n">
        <f aca="false">INDEX(AUX_MATRIZES!$C$8:$BP$8,MIN(N_SEMANAS,MAX(1,$C89)))/DIAS_POR_SEMANA</f>
        <v>345.819882352941</v>
      </c>
      <c r="E89" s="16" t="n">
        <f aca="false">MIN(CADASTRO_CASAS_BOMBA!$O$6,MAX(0,E88+CADASTRO_CASAS_BOMBA!$I$6*HORAS_CAPTACAO_DIA-D89))</f>
        <v>2600</v>
      </c>
      <c r="F89" s="16" t="n">
        <f aca="false">MAX(0,D89-CADASTRO_CASAS_BOMBA!$I$6*HORAS_CAPTACAO_DIA-E88)</f>
        <v>0</v>
      </c>
      <c r="G89" s="16" t="n">
        <f aca="false">INDEX(AUX_MATRIZES!$C$9:$BP$9,MIN(N_SEMANAS,MAX(1,$C89)))/DIAS_POR_SEMANA</f>
        <v>353.840117647058</v>
      </c>
      <c r="H89" s="16" t="n">
        <f aca="false">MIN(CADASTRO_CASAS_BOMBA!$O$7,MAX(0,H88+CADASTRO_CASAS_BOMBA!$I$7*HORAS_CAPTACAO_DIA-G89))</f>
        <v>76648</v>
      </c>
      <c r="I89" s="16" t="n">
        <f aca="false">MAX(0,G89-CADASTRO_CASAS_BOMBA!$I$7*HORAS_CAPTACAO_DIA-H88)</f>
        <v>0</v>
      </c>
      <c r="J89" s="16" t="n">
        <f aca="false">INDEX(AUX_MATRIZES!$C$10:$BP$10,MIN(N_SEMANAS,MAX(1,$C89)))/DIAS_POR_SEMANA</f>
        <v>695.720235294117</v>
      </c>
      <c r="K89" s="16" t="n">
        <f aca="false">MIN(CADASTRO_CASAS_BOMBA!$O$8,MAX(0,K88+CADASTRO_CASAS_BOMBA!$I$8*HORAS_CAPTACAO_DIA-J89))</f>
        <v>27377</v>
      </c>
      <c r="L89" s="16" t="n">
        <f aca="false">MAX(0,J89-CADASTRO_CASAS_BOMBA!$I$8*HORAS_CAPTACAO_DIA-K88)</f>
        <v>0</v>
      </c>
      <c r="M89" s="16" t="n">
        <f aca="false">INDEX(AUX_MATRIZES!$C$11:$BP$11,MIN(N_SEMANAS,MAX(1,$C89)))/DIAS_POR_SEMANA</f>
        <v>740.148117647058</v>
      </c>
      <c r="N89" s="16" t="n">
        <f aca="false">MIN(CADASTRO_CASAS_BOMBA!$O$9,MAX(0,N88+CADASTRO_CASAS_BOMBA!$I$9*HORAS_CAPTACAO_DIA-M89))</f>
        <v>129000</v>
      </c>
      <c r="O89" s="16" t="n">
        <f aca="false">MAX(0,M89-CADASTRO_CASAS_BOMBA!$I$9*HORAS_CAPTACAO_DIA-N88)</f>
        <v>0</v>
      </c>
      <c r="P89" s="16" t="n">
        <f aca="false">INDEX(AUX_MATRIZES!$C$12:$BP$12,MIN(N_SEMANAS,MAX(1,$C89)))/DIAS_POR_SEMANA</f>
        <v>0</v>
      </c>
      <c r="Q89" s="16" t="n">
        <f aca="false">MIN(CADASTRO_CASAS_BOMBA!$O$10,MAX(0,Q88+CADASTRO_CASAS_BOMBA!$I$10*HORAS_CAPTACAO_DIA-P89))</f>
        <v>1000000</v>
      </c>
      <c r="R89" s="16" t="n">
        <f aca="false">MAX(0,P89-CADASTRO_CASAS_BOMBA!$I$10*HORAS_CAPTACAO_DIA-Q88)</f>
        <v>0</v>
      </c>
      <c r="S89" s="16" t="n">
        <f aca="false">INDEX(AUX_MATRIZES!$C$13:$BP$13,MIN(N_SEMANAS,MAX(1,$C89)))/DIAS_POR_SEMANA</f>
        <v>0</v>
      </c>
      <c r="T89" s="16" t="n">
        <f aca="false">MIN(CADASTRO_CASAS_BOMBA!$O$11,MAX(0,T88+CADASTRO_CASAS_BOMBA!$I$11*HORAS_CAPTACAO_DIA-S89))</f>
        <v>469821</v>
      </c>
      <c r="U89" s="16" t="n">
        <f aca="false">MAX(0,S89-CADASTRO_CASAS_BOMBA!$I$11*HORAS_CAPTACAO_DIA-T88)</f>
        <v>0</v>
      </c>
      <c r="V89" s="16" t="n">
        <f aca="false">INDEX(AUX_MATRIZES!$C$14:$BP$14,MIN(N_SEMANAS,MAX(1,$C89)))/DIAS_POR_SEMANA</f>
        <v>0</v>
      </c>
      <c r="W89" s="16" t="n">
        <f aca="false">MIN(CADASTRO_CASAS_BOMBA!$O$12,MAX(0,W88+CADASTRO_CASAS_BOMBA!$I$12*HORAS_CAPTACAO_DIA-V89))</f>
        <v>440000</v>
      </c>
      <c r="X89" s="16" t="n">
        <f aca="false">MAX(0,V89-CADASTRO_CASAS_BOMBA!$I$12*HORAS_CAPTACAO_DIA-W88)</f>
        <v>0</v>
      </c>
      <c r="Y89" s="16" t="n">
        <f aca="false">INDEX(AUX_MATRIZES!$C$15:$BP$15,MIN(N_SEMANAS,MAX(1,$C89)))/DIAS_POR_SEMANA</f>
        <v>0</v>
      </c>
      <c r="Z89" s="16" t="n">
        <f aca="false">MIN(CADASTRO_CASAS_BOMBA!$O$13,MAX(0,Z88+CADASTRO_CASAS_BOMBA!$I$13*HORAS_CAPTACAO_DIA-Y89))</f>
        <v>74903</v>
      </c>
      <c r="AA89" s="16" t="n">
        <f aca="false">MAX(0,Y89-CADASTRO_CASAS_BOMBA!$I$13*HORAS_CAPTACAO_DIA-Z88)</f>
        <v>0</v>
      </c>
    </row>
    <row r="90" customFormat="false" ht="15" hidden="false" customHeight="false" outlineLevel="0" collapsed="false">
      <c r="B90" s="17" t="n">
        <f aca="false">DATA_INICIO_SAFRA+83</f>
        <v>46348</v>
      </c>
      <c r="C90" s="16" t="n">
        <f aca="false">MIN(N_SEMANAS,MAX(1,INT(($B90-DATA_INICIO_SAFRA)/DIAS_POR_SEMANA)+1))</f>
        <v>12</v>
      </c>
      <c r="D90" s="16" t="n">
        <f aca="false">INDEX(AUX_MATRIZES!$C$8:$BP$8,MIN(N_SEMANAS,MAX(1,$C90)))/DIAS_POR_SEMANA</f>
        <v>345.819882352941</v>
      </c>
      <c r="E90" s="16" t="n">
        <f aca="false">MIN(CADASTRO_CASAS_BOMBA!$O$6,MAX(0,E89+CADASTRO_CASAS_BOMBA!$I$6*HORAS_CAPTACAO_DIA-D90))</f>
        <v>2600</v>
      </c>
      <c r="F90" s="16" t="n">
        <f aca="false">MAX(0,D90-CADASTRO_CASAS_BOMBA!$I$6*HORAS_CAPTACAO_DIA-E89)</f>
        <v>0</v>
      </c>
      <c r="G90" s="16" t="n">
        <f aca="false">INDEX(AUX_MATRIZES!$C$9:$BP$9,MIN(N_SEMANAS,MAX(1,$C90)))/DIAS_POR_SEMANA</f>
        <v>353.840117647058</v>
      </c>
      <c r="H90" s="16" t="n">
        <f aca="false">MIN(CADASTRO_CASAS_BOMBA!$O$7,MAX(0,H89+CADASTRO_CASAS_BOMBA!$I$7*HORAS_CAPTACAO_DIA-G90))</f>
        <v>76648</v>
      </c>
      <c r="I90" s="16" t="n">
        <f aca="false">MAX(0,G90-CADASTRO_CASAS_BOMBA!$I$7*HORAS_CAPTACAO_DIA-H89)</f>
        <v>0</v>
      </c>
      <c r="J90" s="16" t="n">
        <f aca="false">INDEX(AUX_MATRIZES!$C$10:$BP$10,MIN(N_SEMANAS,MAX(1,$C90)))/DIAS_POR_SEMANA</f>
        <v>695.720235294117</v>
      </c>
      <c r="K90" s="16" t="n">
        <f aca="false">MIN(CADASTRO_CASAS_BOMBA!$O$8,MAX(0,K89+CADASTRO_CASAS_BOMBA!$I$8*HORAS_CAPTACAO_DIA-J90))</f>
        <v>27377</v>
      </c>
      <c r="L90" s="16" t="n">
        <f aca="false">MAX(0,J90-CADASTRO_CASAS_BOMBA!$I$8*HORAS_CAPTACAO_DIA-K89)</f>
        <v>0</v>
      </c>
      <c r="M90" s="16" t="n">
        <f aca="false">INDEX(AUX_MATRIZES!$C$11:$BP$11,MIN(N_SEMANAS,MAX(1,$C90)))/DIAS_POR_SEMANA</f>
        <v>740.148117647058</v>
      </c>
      <c r="N90" s="16" t="n">
        <f aca="false">MIN(CADASTRO_CASAS_BOMBA!$O$9,MAX(0,N89+CADASTRO_CASAS_BOMBA!$I$9*HORAS_CAPTACAO_DIA-M90))</f>
        <v>129000</v>
      </c>
      <c r="O90" s="16" t="n">
        <f aca="false">MAX(0,M90-CADASTRO_CASAS_BOMBA!$I$9*HORAS_CAPTACAO_DIA-N89)</f>
        <v>0</v>
      </c>
      <c r="P90" s="16" t="n">
        <f aca="false">INDEX(AUX_MATRIZES!$C$12:$BP$12,MIN(N_SEMANAS,MAX(1,$C90)))/DIAS_POR_SEMANA</f>
        <v>0</v>
      </c>
      <c r="Q90" s="16" t="n">
        <f aca="false">MIN(CADASTRO_CASAS_BOMBA!$O$10,MAX(0,Q89+CADASTRO_CASAS_BOMBA!$I$10*HORAS_CAPTACAO_DIA-P90))</f>
        <v>1000000</v>
      </c>
      <c r="R90" s="16" t="n">
        <f aca="false">MAX(0,P90-CADASTRO_CASAS_BOMBA!$I$10*HORAS_CAPTACAO_DIA-Q89)</f>
        <v>0</v>
      </c>
      <c r="S90" s="16" t="n">
        <f aca="false">INDEX(AUX_MATRIZES!$C$13:$BP$13,MIN(N_SEMANAS,MAX(1,$C90)))/DIAS_POR_SEMANA</f>
        <v>0</v>
      </c>
      <c r="T90" s="16" t="n">
        <f aca="false">MIN(CADASTRO_CASAS_BOMBA!$O$11,MAX(0,T89+CADASTRO_CASAS_BOMBA!$I$11*HORAS_CAPTACAO_DIA-S90))</f>
        <v>469821</v>
      </c>
      <c r="U90" s="16" t="n">
        <f aca="false">MAX(0,S90-CADASTRO_CASAS_BOMBA!$I$11*HORAS_CAPTACAO_DIA-T89)</f>
        <v>0</v>
      </c>
      <c r="V90" s="16" t="n">
        <f aca="false">INDEX(AUX_MATRIZES!$C$14:$BP$14,MIN(N_SEMANAS,MAX(1,$C90)))/DIAS_POR_SEMANA</f>
        <v>0</v>
      </c>
      <c r="W90" s="16" t="n">
        <f aca="false">MIN(CADASTRO_CASAS_BOMBA!$O$12,MAX(0,W89+CADASTRO_CASAS_BOMBA!$I$12*HORAS_CAPTACAO_DIA-V90))</f>
        <v>440000</v>
      </c>
      <c r="X90" s="16" t="n">
        <f aca="false">MAX(0,V90-CADASTRO_CASAS_BOMBA!$I$12*HORAS_CAPTACAO_DIA-W89)</f>
        <v>0</v>
      </c>
      <c r="Y90" s="16" t="n">
        <f aca="false">INDEX(AUX_MATRIZES!$C$15:$BP$15,MIN(N_SEMANAS,MAX(1,$C90)))/DIAS_POR_SEMANA</f>
        <v>0</v>
      </c>
      <c r="Z90" s="16" t="n">
        <f aca="false">MIN(CADASTRO_CASAS_BOMBA!$O$13,MAX(0,Z89+CADASTRO_CASAS_BOMBA!$I$13*HORAS_CAPTACAO_DIA-Y90))</f>
        <v>74903</v>
      </c>
      <c r="AA90" s="16" t="n">
        <f aca="false">MAX(0,Y90-CADASTRO_CASAS_BOMBA!$I$13*HORAS_CAPTACAO_DIA-Z89)</f>
        <v>0</v>
      </c>
    </row>
    <row r="91" customFormat="false" ht="15" hidden="false" customHeight="false" outlineLevel="0" collapsed="false">
      <c r="B91" s="17" t="n">
        <f aca="false">DATA_INICIO_SAFRA+84</f>
        <v>46349</v>
      </c>
      <c r="C91" s="16" t="n">
        <f aca="false">MIN(N_SEMANAS,MAX(1,INT(($B91-DATA_INICIO_SAFRA)/DIAS_POR_SEMANA)+1))</f>
        <v>13</v>
      </c>
      <c r="D91" s="16" t="n">
        <f aca="false">INDEX(AUX_MATRIZES!$C$8:$BP$8,MIN(N_SEMANAS,MAX(1,$C91)))/DIAS_POR_SEMANA</f>
        <v>345.819882352941</v>
      </c>
      <c r="E91" s="16" t="n">
        <f aca="false">MIN(CADASTRO_CASAS_BOMBA!$O$6,MAX(0,E90+CADASTRO_CASAS_BOMBA!$I$6*HORAS_CAPTACAO_DIA-D91))</f>
        <v>2600</v>
      </c>
      <c r="F91" s="16" t="n">
        <f aca="false">MAX(0,D91-CADASTRO_CASAS_BOMBA!$I$6*HORAS_CAPTACAO_DIA-E90)</f>
        <v>0</v>
      </c>
      <c r="G91" s="16" t="n">
        <f aca="false">INDEX(AUX_MATRIZES!$C$9:$BP$9,MIN(N_SEMANAS,MAX(1,$C91)))/DIAS_POR_SEMANA</f>
        <v>353.840117647058</v>
      </c>
      <c r="H91" s="16" t="n">
        <f aca="false">MIN(CADASTRO_CASAS_BOMBA!$O$7,MAX(0,H90+CADASTRO_CASAS_BOMBA!$I$7*HORAS_CAPTACAO_DIA-G91))</f>
        <v>76648</v>
      </c>
      <c r="I91" s="16" t="n">
        <f aca="false">MAX(0,G91-CADASTRO_CASAS_BOMBA!$I$7*HORAS_CAPTACAO_DIA-H90)</f>
        <v>0</v>
      </c>
      <c r="J91" s="16" t="n">
        <f aca="false">INDEX(AUX_MATRIZES!$C$10:$BP$10,MIN(N_SEMANAS,MAX(1,$C91)))/DIAS_POR_SEMANA</f>
        <v>695.720235294117</v>
      </c>
      <c r="K91" s="16" t="n">
        <f aca="false">MIN(CADASTRO_CASAS_BOMBA!$O$8,MAX(0,K90+CADASTRO_CASAS_BOMBA!$I$8*HORAS_CAPTACAO_DIA-J91))</f>
        <v>27377</v>
      </c>
      <c r="L91" s="16" t="n">
        <f aca="false">MAX(0,J91-CADASTRO_CASAS_BOMBA!$I$8*HORAS_CAPTACAO_DIA-K90)</f>
        <v>0</v>
      </c>
      <c r="M91" s="16" t="n">
        <f aca="false">INDEX(AUX_MATRIZES!$C$11:$BP$11,MIN(N_SEMANAS,MAX(1,$C91)))/DIAS_POR_SEMANA</f>
        <v>740.148117647058</v>
      </c>
      <c r="N91" s="16" t="n">
        <f aca="false">MIN(CADASTRO_CASAS_BOMBA!$O$9,MAX(0,N90+CADASTRO_CASAS_BOMBA!$I$9*HORAS_CAPTACAO_DIA-M91))</f>
        <v>129000</v>
      </c>
      <c r="O91" s="16" t="n">
        <f aca="false">MAX(0,M91-CADASTRO_CASAS_BOMBA!$I$9*HORAS_CAPTACAO_DIA-N90)</f>
        <v>0</v>
      </c>
      <c r="P91" s="16" t="n">
        <f aca="false">INDEX(AUX_MATRIZES!$C$12:$BP$12,MIN(N_SEMANAS,MAX(1,$C91)))/DIAS_POR_SEMANA</f>
        <v>938.492013052297</v>
      </c>
      <c r="Q91" s="16" t="n">
        <f aca="false">MIN(CADASTRO_CASAS_BOMBA!$O$10,MAX(0,Q90+CADASTRO_CASAS_BOMBA!$I$10*HORAS_CAPTACAO_DIA-P91))</f>
        <v>1000000</v>
      </c>
      <c r="R91" s="16" t="n">
        <f aca="false">MAX(0,P91-CADASTRO_CASAS_BOMBA!$I$10*HORAS_CAPTACAO_DIA-Q90)</f>
        <v>0</v>
      </c>
      <c r="S91" s="16" t="n">
        <f aca="false">INDEX(AUX_MATRIZES!$C$13:$BP$13,MIN(N_SEMANAS,MAX(1,$C91)))/DIAS_POR_SEMANA</f>
        <v>150.036790545903</v>
      </c>
      <c r="T91" s="16" t="n">
        <f aca="false">MIN(CADASTRO_CASAS_BOMBA!$O$11,MAX(0,T90+CADASTRO_CASAS_BOMBA!$I$11*HORAS_CAPTACAO_DIA-S91))</f>
        <v>469821</v>
      </c>
      <c r="U91" s="16" t="n">
        <f aca="false">MAX(0,S91-CADASTRO_CASAS_BOMBA!$I$11*HORAS_CAPTACAO_DIA-T90)</f>
        <v>0</v>
      </c>
      <c r="V91" s="16" t="n">
        <f aca="false">INDEX(AUX_MATRIZES!$C$14:$BP$14,MIN(N_SEMANAS,MAX(1,$C91)))/DIAS_POR_SEMANA</f>
        <v>150.036790545903</v>
      </c>
      <c r="W91" s="16" t="n">
        <f aca="false">MIN(CADASTRO_CASAS_BOMBA!$O$12,MAX(0,W90+CADASTRO_CASAS_BOMBA!$I$12*HORAS_CAPTACAO_DIA-V91))</f>
        <v>440000</v>
      </c>
      <c r="X91" s="16" t="n">
        <f aca="false">MAX(0,V91-CADASTRO_CASAS_BOMBA!$I$12*HORAS_CAPTACAO_DIA-W90)</f>
        <v>0</v>
      </c>
      <c r="Y91" s="16" t="n">
        <f aca="false">INDEX(AUX_MATRIZES!$C$15:$BP$15,MIN(N_SEMANAS,MAX(1,$C91)))/DIAS_POR_SEMANA</f>
        <v>0</v>
      </c>
      <c r="Z91" s="16" t="n">
        <f aca="false">MIN(CADASTRO_CASAS_BOMBA!$O$13,MAX(0,Z90+CADASTRO_CASAS_BOMBA!$I$13*HORAS_CAPTACAO_DIA-Y91))</f>
        <v>74903</v>
      </c>
      <c r="AA91" s="16" t="n">
        <f aca="false">MAX(0,Y91-CADASTRO_CASAS_BOMBA!$I$13*HORAS_CAPTACAO_DIA-Z90)</f>
        <v>0</v>
      </c>
    </row>
    <row r="92" customFormat="false" ht="15" hidden="false" customHeight="false" outlineLevel="0" collapsed="false">
      <c r="B92" s="17" t="n">
        <f aca="false">DATA_INICIO_SAFRA+85</f>
        <v>46350</v>
      </c>
      <c r="C92" s="16" t="n">
        <f aca="false">MIN(N_SEMANAS,MAX(1,INT(($B92-DATA_INICIO_SAFRA)/DIAS_POR_SEMANA)+1))</f>
        <v>13</v>
      </c>
      <c r="D92" s="16" t="n">
        <f aca="false">INDEX(AUX_MATRIZES!$C$8:$BP$8,MIN(N_SEMANAS,MAX(1,$C92)))/DIAS_POR_SEMANA</f>
        <v>345.819882352941</v>
      </c>
      <c r="E92" s="16" t="n">
        <f aca="false">MIN(CADASTRO_CASAS_BOMBA!$O$6,MAX(0,E91+CADASTRO_CASAS_BOMBA!$I$6*HORAS_CAPTACAO_DIA-D92))</f>
        <v>2600</v>
      </c>
      <c r="F92" s="16" t="n">
        <f aca="false">MAX(0,D92-CADASTRO_CASAS_BOMBA!$I$6*HORAS_CAPTACAO_DIA-E91)</f>
        <v>0</v>
      </c>
      <c r="G92" s="16" t="n">
        <f aca="false">INDEX(AUX_MATRIZES!$C$9:$BP$9,MIN(N_SEMANAS,MAX(1,$C92)))/DIAS_POR_SEMANA</f>
        <v>353.840117647058</v>
      </c>
      <c r="H92" s="16" t="n">
        <f aca="false">MIN(CADASTRO_CASAS_BOMBA!$O$7,MAX(0,H91+CADASTRO_CASAS_BOMBA!$I$7*HORAS_CAPTACAO_DIA-G92))</f>
        <v>76648</v>
      </c>
      <c r="I92" s="16" t="n">
        <f aca="false">MAX(0,G92-CADASTRO_CASAS_BOMBA!$I$7*HORAS_CAPTACAO_DIA-H91)</f>
        <v>0</v>
      </c>
      <c r="J92" s="16" t="n">
        <f aca="false">INDEX(AUX_MATRIZES!$C$10:$BP$10,MIN(N_SEMANAS,MAX(1,$C92)))/DIAS_POR_SEMANA</f>
        <v>695.720235294117</v>
      </c>
      <c r="K92" s="16" t="n">
        <f aca="false">MIN(CADASTRO_CASAS_BOMBA!$O$8,MAX(0,K91+CADASTRO_CASAS_BOMBA!$I$8*HORAS_CAPTACAO_DIA-J92))</f>
        <v>27377</v>
      </c>
      <c r="L92" s="16" t="n">
        <f aca="false">MAX(0,J92-CADASTRO_CASAS_BOMBA!$I$8*HORAS_CAPTACAO_DIA-K91)</f>
        <v>0</v>
      </c>
      <c r="M92" s="16" t="n">
        <f aca="false">INDEX(AUX_MATRIZES!$C$11:$BP$11,MIN(N_SEMANAS,MAX(1,$C92)))/DIAS_POR_SEMANA</f>
        <v>740.148117647058</v>
      </c>
      <c r="N92" s="16" t="n">
        <f aca="false">MIN(CADASTRO_CASAS_BOMBA!$O$9,MAX(0,N91+CADASTRO_CASAS_BOMBA!$I$9*HORAS_CAPTACAO_DIA-M92))</f>
        <v>129000</v>
      </c>
      <c r="O92" s="16" t="n">
        <f aca="false">MAX(0,M92-CADASTRO_CASAS_BOMBA!$I$9*HORAS_CAPTACAO_DIA-N91)</f>
        <v>0</v>
      </c>
      <c r="P92" s="16" t="n">
        <f aca="false">INDEX(AUX_MATRIZES!$C$12:$BP$12,MIN(N_SEMANAS,MAX(1,$C92)))/DIAS_POR_SEMANA</f>
        <v>938.492013052297</v>
      </c>
      <c r="Q92" s="16" t="n">
        <f aca="false">MIN(CADASTRO_CASAS_BOMBA!$O$10,MAX(0,Q91+CADASTRO_CASAS_BOMBA!$I$10*HORAS_CAPTACAO_DIA-P92))</f>
        <v>1000000</v>
      </c>
      <c r="R92" s="16" t="n">
        <f aca="false">MAX(0,P92-CADASTRO_CASAS_BOMBA!$I$10*HORAS_CAPTACAO_DIA-Q91)</f>
        <v>0</v>
      </c>
      <c r="S92" s="16" t="n">
        <f aca="false">INDEX(AUX_MATRIZES!$C$13:$BP$13,MIN(N_SEMANAS,MAX(1,$C92)))/DIAS_POR_SEMANA</f>
        <v>150.036790545903</v>
      </c>
      <c r="T92" s="16" t="n">
        <f aca="false">MIN(CADASTRO_CASAS_BOMBA!$O$11,MAX(0,T91+CADASTRO_CASAS_BOMBA!$I$11*HORAS_CAPTACAO_DIA-S92))</f>
        <v>469821</v>
      </c>
      <c r="U92" s="16" t="n">
        <f aca="false">MAX(0,S92-CADASTRO_CASAS_BOMBA!$I$11*HORAS_CAPTACAO_DIA-T91)</f>
        <v>0</v>
      </c>
      <c r="V92" s="16" t="n">
        <f aca="false">INDEX(AUX_MATRIZES!$C$14:$BP$14,MIN(N_SEMANAS,MAX(1,$C92)))/DIAS_POR_SEMANA</f>
        <v>150.036790545903</v>
      </c>
      <c r="W92" s="16" t="n">
        <f aca="false">MIN(CADASTRO_CASAS_BOMBA!$O$12,MAX(0,W91+CADASTRO_CASAS_BOMBA!$I$12*HORAS_CAPTACAO_DIA-V92))</f>
        <v>440000</v>
      </c>
      <c r="X92" s="16" t="n">
        <f aca="false">MAX(0,V92-CADASTRO_CASAS_BOMBA!$I$12*HORAS_CAPTACAO_DIA-W91)</f>
        <v>0</v>
      </c>
      <c r="Y92" s="16" t="n">
        <f aca="false">INDEX(AUX_MATRIZES!$C$15:$BP$15,MIN(N_SEMANAS,MAX(1,$C92)))/DIAS_POR_SEMANA</f>
        <v>0</v>
      </c>
      <c r="Z92" s="16" t="n">
        <f aca="false">MIN(CADASTRO_CASAS_BOMBA!$O$13,MAX(0,Z91+CADASTRO_CASAS_BOMBA!$I$13*HORAS_CAPTACAO_DIA-Y92))</f>
        <v>74903</v>
      </c>
      <c r="AA92" s="16" t="n">
        <f aca="false">MAX(0,Y92-CADASTRO_CASAS_BOMBA!$I$13*HORAS_CAPTACAO_DIA-Z91)</f>
        <v>0</v>
      </c>
    </row>
    <row r="93" customFormat="false" ht="15" hidden="false" customHeight="false" outlineLevel="0" collapsed="false">
      <c r="B93" s="17" t="n">
        <f aca="false">DATA_INICIO_SAFRA+86</f>
        <v>46351</v>
      </c>
      <c r="C93" s="16" t="n">
        <f aca="false">MIN(N_SEMANAS,MAX(1,INT(($B93-DATA_INICIO_SAFRA)/DIAS_POR_SEMANA)+1))</f>
        <v>13</v>
      </c>
      <c r="D93" s="16" t="n">
        <f aca="false">INDEX(AUX_MATRIZES!$C$8:$BP$8,MIN(N_SEMANAS,MAX(1,$C93)))/DIAS_POR_SEMANA</f>
        <v>345.819882352941</v>
      </c>
      <c r="E93" s="16" t="n">
        <f aca="false">MIN(CADASTRO_CASAS_BOMBA!$O$6,MAX(0,E92+CADASTRO_CASAS_BOMBA!$I$6*HORAS_CAPTACAO_DIA-D93))</f>
        <v>2600</v>
      </c>
      <c r="F93" s="16" t="n">
        <f aca="false">MAX(0,D93-CADASTRO_CASAS_BOMBA!$I$6*HORAS_CAPTACAO_DIA-E92)</f>
        <v>0</v>
      </c>
      <c r="G93" s="16" t="n">
        <f aca="false">INDEX(AUX_MATRIZES!$C$9:$BP$9,MIN(N_SEMANAS,MAX(1,$C93)))/DIAS_POR_SEMANA</f>
        <v>353.840117647058</v>
      </c>
      <c r="H93" s="16" t="n">
        <f aca="false">MIN(CADASTRO_CASAS_BOMBA!$O$7,MAX(0,H92+CADASTRO_CASAS_BOMBA!$I$7*HORAS_CAPTACAO_DIA-G93))</f>
        <v>76648</v>
      </c>
      <c r="I93" s="16" t="n">
        <f aca="false">MAX(0,G93-CADASTRO_CASAS_BOMBA!$I$7*HORAS_CAPTACAO_DIA-H92)</f>
        <v>0</v>
      </c>
      <c r="J93" s="16" t="n">
        <f aca="false">INDEX(AUX_MATRIZES!$C$10:$BP$10,MIN(N_SEMANAS,MAX(1,$C93)))/DIAS_POR_SEMANA</f>
        <v>695.720235294117</v>
      </c>
      <c r="K93" s="16" t="n">
        <f aca="false">MIN(CADASTRO_CASAS_BOMBA!$O$8,MAX(0,K92+CADASTRO_CASAS_BOMBA!$I$8*HORAS_CAPTACAO_DIA-J93))</f>
        <v>27377</v>
      </c>
      <c r="L93" s="16" t="n">
        <f aca="false">MAX(0,J93-CADASTRO_CASAS_BOMBA!$I$8*HORAS_CAPTACAO_DIA-K92)</f>
        <v>0</v>
      </c>
      <c r="M93" s="16" t="n">
        <f aca="false">INDEX(AUX_MATRIZES!$C$11:$BP$11,MIN(N_SEMANAS,MAX(1,$C93)))/DIAS_POR_SEMANA</f>
        <v>740.148117647058</v>
      </c>
      <c r="N93" s="16" t="n">
        <f aca="false">MIN(CADASTRO_CASAS_BOMBA!$O$9,MAX(0,N92+CADASTRO_CASAS_BOMBA!$I$9*HORAS_CAPTACAO_DIA-M93))</f>
        <v>129000</v>
      </c>
      <c r="O93" s="16" t="n">
        <f aca="false">MAX(0,M93-CADASTRO_CASAS_BOMBA!$I$9*HORAS_CAPTACAO_DIA-N92)</f>
        <v>0</v>
      </c>
      <c r="P93" s="16" t="n">
        <f aca="false">INDEX(AUX_MATRIZES!$C$12:$BP$12,MIN(N_SEMANAS,MAX(1,$C93)))/DIAS_POR_SEMANA</f>
        <v>938.492013052297</v>
      </c>
      <c r="Q93" s="16" t="n">
        <f aca="false">MIN(CADASTRO_CASAS_BOMBA!$O$10,MAX(0,Q92+CADASTRO_CASAS_BOMBA!$I$10*HORAS_CAPTACAO_DIA-P93))</f>
        <v>1000000</v>
      </c>
      <c r="R93" s="16" t="n">
        <f aca="false">MAX(0,P93-CADASTRO_CASAS_BOMBA!$I$10*HORAS_CAPTACAO_DIA-Q92)</f>
        <v>0</v>
      </c>
      <c r="S93" s="16" t="n">
        <f aca="false">INDEX(AUX_MATRIZES!$C$13:$BP$13,MIN(N_SEMANAS,MAX(1,$C93)))/DIAS_POR_SEMANA</f>
        <v>150.036790545903</v>
      </c>
      <c r="T93" s="16" t="n">
        <f aca="false">MIN(CADASTRO_CASAS_BOMBA!$O$11,MAX(0,T92+CADASTRO_CASAS_BOMBA!$I$11*HORAS_CAPTACAO_DIA-S93))</f>
        <v>469821</v>
      </c>
      <c r="U93" s="16" t="n">
        <f aca="false">MAX(0,S93-CADASTRO_CASAS_BOMBA!$I$11*HORAS_CAPTACAO_DIA-T92)</f>
        <v>0</v>
      </c>
      <c r="V93" s="16" t="n">
        <f aca="false">INDEX(AUX_MATRIZES!$C$14:$BP$14,MIN(N_SEMANAS,MAX(1,$C93)))/DIAS_POR_SEMANA</f>
        <v>150.036790545903</v>
      </c>
      <c r="W93" s="16" t="n">
        <f aca="false">MIN(CADASTRO_CASAS_BOMBA!$O$12,MAX(0,W92+CADASTRO_CASAS_BOMBA!$I$12*HORAS_CAPTACAO_DIA-V93))</f>
        <v>440000</v>
      </c>
      <c r="X93" s="16" t="n">
        <f aca="false">MAX(0,V93-CADASTRO_CASAS_BOMBA!$I$12*HORAS_CAPTACAO_DIA-W92)</f>
        <v>0</v>
      </c>
      <c r="Y93" s="16" t="n">
        <f aca="false">INDEX(AUX_MATRIZES!$C$15:$BP$15,MIN(N_SEMANAS,MAX(1,$C93)))/DIAS_POR_SEMANA</f>
        <v>0</v>
      </c>
      <c r="Z93" s="16" t="n">
        <f aca="false">MIN(CADASTRO_CASAS_BOMBA!$O$13,MAX(0,Z92+CADASTRO_CASAS_BOMBA!$I$13*HORAS_CAPTACAO_DIA-Y93))</f>
        <v>74903</v>
      </c>
      <c r="AA93" s="16" t="n">
        <f aca="false">MAX(0,Y93-CADASTRO_CASAS_BOMBA!$I$13*HORAS_CAPTACAO_DIA-Z92)</f>
        <v>0</v>
      </c>
    </row>
    <row r="94" customFormat="false" ht="15" hidden="false" customHeight="false" outlineLevel="0" collapsed="false">
      <c r="B94" s="17" t="n">
        <f aca="false">DATA_INICIO_SAFRA+87</f>
        <v>46352</v>
      </c>
      <c r="C94" s="16" t="n">
        <f aca="false">MIN(N_SEMANAS,MAX(1,INT(($B94-DATA_INICIO_SAFRA)/DIAS_POR_SEMANA)+1))</f>
        <v>13</v>
      </c>
      <c r="D94" s="16" t="n">
        <f aca="false">INDEX(AUX_MATRIZES!$C$8:$BP$8,MIN(N_SEMANAS,MAX(1,$C94)))/DIAS_POR_SEMANA</f>
        <v>345.819882352941</v>
      </c>
      <c r="E94" s="16" t="n">
        <f aca="false">MIN(CADASTRO_CASAS_BOMBA!$O$6,MAX(0,E93+CADASTRO_CASAS_BOMBA!$I$6*HORAS_CAPTACAO_DIA-D94))</f>
        <v>2600</v>
      </c>
      <c r="F94" s="16" t="n">
        <f aca="false">MAX(0,D94-CADASTRO_CASAS_BOMBA!$I$6*HORAS_CAPTACAO_DIA-E93)</f>
        <v>0</v>
      </c>
      <c r="G94" s="16" t="n">
        <f aca="false">INDEX(AUX_MATRIZES!$C$9:$BP$9,MIN(N_SEMANAS,MAX(1,$C94)))/DIAS_POR_SEMANA</f>
        <v>353.840117647058</v>
      </c>
      <c r="H94" s="16" t="n">
        <f aca="false">MIN(CADASTRO_CASAS_BOMBA!$O$7,MAX(0,H93+CADASTRO_CASAS_BOMBA!$I$7*HORAS_CAPTACAO_DIA-G94))</f>
        <v>76648</v>
      </c>
      <c r="I94" s="16" t="n">
        <f aca="false">MAX(0,G94-CADASTRO_CASAS_BOMBA!$I$7*HORAS_CAPTACAO_DIA-H93)</f>
        <v>0</v>
      </c>
      <c r="J94" s="16" t="n">
        <f aca="false">INDEX(AUX_MATRIZES!$C$10:$BP$10,MIN(N_SEMANAS,MAX(1,$C94)))/DIAS_POR_SEMANA</f>
        <v>695.720235294117</v>
      </c>
      <c r="K94" s="16" t="n">
        <f aca="false">MIN(CADASTRO_CASAS_BOMBA!$O$8,MAX(0,K93+CADASTRO_CASAS_BOMBA!$I$8*HORAS_CAPTACAO_DIA-J94))</f>
        <v>27377</v>
      </c>
      <c r="L94" s="16" t="n">
        <f aca="false">MAX(0,J94-CADASTRO_CASAS_BOMBA!$I$8*HORAS_CAPTACAO_DIA-K93)</f>
        <v>0</v>
      </c>
      <c r="M94" s="16" t="n">
        <f aca="false">INDEX(AUX_MATRIZES!$C$11:$BP$11,MIN(N_SEMANAS,MAX(1,$C94)))/DIAS_POR_SEMANA</f>
        <v>740.148117647058</v>
      </c>
      <c r="N94" s="16" t="n">
        <f aca="false">MIN(CADASTRO_CASAS_BOMBA!$O$9,MAX(0,N93+CADASTRO_CASAS_BOMBA!$I$9*HORAS_CAPTACAO_DIA-M94))</f>
        <v>129000</v>
      </c>
      <c r="O94" s="16" t="n">
        <f aca="false">MAX(0,M94-CADASTRO_CASAS_BOMBA!$I$9*HORAS_CAPTACAO_DIA-N93)</f>
        <v>0</v>
      </c>
      <c r="P94" s="16" t="n">
        <f aca="false">INDEX(AUX_MATRIZES!$C$12:$BP$12,MIN(N_SEMANAS,MAX(1,$C94)))/DIAS_POR_SEMANA</f>
        <v>938.492013052297</v>
      </c>
      <c r="Q94" s="16" t="n">
        <f aca="false">MIN(CADASTRO_CASAS_BOMBA!$O$10,MAX(0,Q93+CADASTRO_CASAS_BOMBA!$I$10*HORAS_CAPTACAO_DIA-P94))</f>
        <v>1000000</v>
      </c>
      <c r="R94" s="16" t="n">
        <f aca="false">MAX(0,P94-CADASTRO_CASAS_BOMBA!$I$10*HORAS_CAPTACAO_DIA-Q93)</f>
        <v>0</v>
      </c>
      <c r="S94" s="16" t="n">
        <f aca="false">INDEX(AUX_MATRIZES!$C$13:$BP$13,MIN(N_SEMANAS,MAX(1,$C94)))/DIAS_POR_SEMANA</f>
        <v>150.036790545903</v>
      </c>
      <c r="T94" s="16" t="n">
        <f aca="false">MIN(CADASTRO_CASAS_BOMBA!$O$11,MAX(0,T93+CADASTRO_CASAS_BOMBA!$I$11*HORAS_CAPTACAO_DIA-S94))</f>
        <v>469821</v>
      </c>
      <c r="U94" s="16" t="n">
        <f aca="false">MAX(0,S94-CADASTRO_CASAS_BOMBA!$I$11*HORAS_CAPTACAO_DIA-T93)</f>
        <v>0</v>
      </c>
      <c r="V94" s="16" t="n">
        <f aca="false">INDEX(AUX_MATRIZES!$C$14:$BP$14,MIN(N_SEMANAS,MAX(1,$C94)))/DIAS_POR_SEMANA</f>
        <v>150.036790545903</v>
      </c>
      <c r="W94" s="16" t="n">
        <f aca="false">MIN(CADASTRO_CASAS_BOMBA!$O$12,MAX(0,W93+CADASTRO_CASAS_BOMBA!$I$12*HORAS_CAPTACAO_DIA-V94))</f>
        <v>440000</v>
      </c>
      <c r="X94" s="16" t="n">
        <f aca="false">MAX(0,V94-CADASTRO_CASAS_BOMBA!$I$12*HORAS_CAPTACAO_DIA-W93)</f>
        <v>0</v>
      </c>
      <c r="Y94" s="16" t="n">
        <f aca="false">INDEX(AUX_MATRIZES!$C$15:$BP$15,MIN(N_SEMANAS,MAX(1,$C94)))/DIAS_POR_SEMANA</f>
        <v>0</v>
      </c>
      <c r="Z94" s="16" t="n">
        <f aca="false">MIN(CADASTRO_CASAS_BOMBA!$O$13,MAX(0,Z93+CADASTRO_CASAS_BOMBA!$I$13*HORAS_CAPTACAO_DIA-Y94))</f>
        <v>74903</v>
      </c>
      <c r="AA94" s="16" t="n">
        <f aca="false">MAX(0,Y94-CADASTRO_CASAS_BOMBA!$I$13*HORAS_CAPTACAO_DIA-Z93)</f>
        <v>0</v>
      </c>
    </row>
    <row r="95" customFormat="false" ht="15" hidden="false" customHeight="false" outlineLevel="0" collapsed="false">
      <c r="B95" s="17" t="n">
        <f aca="false">DATA_INICIO_SAFRA+88</f>
        <v>46353</v>
      </c>
      <c r="C95" s="16" t="n">
        <f aca="false">MIN(N_SEMANAS,MAX(1,INT(($B95-DATA_INICIO_SAFRA)/DIAS_POR_SEMANA)+1))</f>
        <v>13</v>
      </c>
      <c r="D95" s="16" t="n">
        <f aca="false">INDEX(AUX_MATRIZES!$C$8:$BP$8,MIN(N_SEMANAS,MAX(1,$C95)))/DIAS_POR_SEMANA</f>
        <v>345.819882352941</v>
      </c>
      <c r="E95" s="16" t="n">
        <f aca="false">MIN(CADASTRO_CASAS_BOMBA!$O$6,MAX(0,E94+CADASTRO_CASAS_BOMBA!$I$6*HORAS_CAPTACAO_DIA-D95))</f>
        <v>2600</v>
      </c>
      <c r="F95" s="16" t="n">
        <f aca="false">MAX(0,D95-CADASTRO_CASAS_BOMBA!$I$6*HORAS_CAPTACAO_DIA-E94)</f>
        <v>0</v>
      </c>
      <c r="G95" s="16" t="n">
        <f aca="false">INDEX(AUX_MATRIZES!$C$9:$BP$9,MIN(N_SEMANAS,MAX(1,$C95)))/DIAS_POR_SEMANA</f>
        <v>353.840117647058</v>
      </c>
      <c r="H95" s="16" t="n">
        <f aca="false">MIN(CADASTRO_CASAS_BOMBA!$O$7,MAX(0,H94+CADASTRO_CASAS_BOMBA!$I$7*HORAS_CAPTACAO_DIA-G95))</f>
        <v>76648</v>
      </c>
      <c r="I95" s="16" t="n">
        <f aca="false">MAX(0,G95-CADASTRO_CASAS_BOMBA!$I$7*HORAS_CAPTACAO_DIA-H94)</f>
        <v>0</v>
      </c>
      <c r="J95" s="16" t="n">
        <f aca="false">INDEX(AUX_MATRIZES!$C$10:$BP$10,MIN(N_SEMANAS,MAX(1,$C95)))/DIAS_POR_SEMANA</f>
        <v>695.720235294117</v>
      </c>
      <c r="K95" s="16" t="n">
        <f aca="false">MIN(CADASTRO_CASAS_BOMBA!$O$8,MAX(0,K94+CADASTRO_CASAS_BOMBA!$I$8*HORAS_CAPTACAO_DIA-J95))</f>
        <v>27377</v>
      </c>
      <c r="L95" s="16" t="n">
        <f aca="false">MAX(0,J95-CADASTRO_CASAS_BOMBA!$I$8*HORAS_CAPTACAO_DIA-K94)</f>
        <v>0</v>
      </c>
      <c r="M95" s="16" t="n">
        <f aca="false">INDEX(AUX_MATRIZES!$C$11:$BP$11,MIN(N_SEMANAS,MAX(1,$C95)))/DIAS_POR_SEMANA</f>
        <v>740.148117647058</v>
      </c>
      <c r="N95" s="16" t="n">
        <f aca="false">MIN(CADASTRO_CASAS_BOMBA!$O$9,MAX(0,N94+CADASTRO_CASAS_BOMBA!$I$9*HORAS_CAPTACAO_DIA-M95))</f>
        <v>129000</v>
      </c>
      <c r="O95" s="16" t="n">
        <f aca="false">MAX(0,M95-CADASTRO_CASAS_BOMBA!$I$9*HORAS_CAPTACAO_DIA-N94)</f>
        <v>0</v>
      </c>
      <c r="P95" s="16" t="n">
        <f aca="false">INDEX(AUX_MATRIZES!$C$12:$BP$12,MIN(N_SEMANAS,MAX(1,$C95)))/DIAS_POR_SEMANA</f>
        <v>938.492013052297</v>
      </c>
      <c r="Q95" s="16" t="n">
        <f aca="false">MIN(CADASTRO_CASAS_BOMBA!$O$10,MAX(0,Q94+CADASTRO_CASAS_BOMBA!$I$10*HORAS_CAPTACAO_DIA-P95))</f>
        <v>1000000</v>
      </c>
      <c r="R95" s="16" t="n">
        <f aca="false">MAX(0,P95-CADASTRO_CASAS_BOMBA!$I$10*HORAS_CAPTACAO_DIA-Q94)</f>
        <v>0</v>
      </c>
      <c r="S95" s="16" t="n">
        <f aca="false">INDEX(AUX_MATRIZES!$C$13:$BP$13,MIN(N_SEMANAS,MAX(1,$C95)))/DIAS_POR_SEMANA</f>
        <v>150.036790545903</v>
      </c>
      <c r="T95" s="16" t="n">
        <f aca="false">MIN(CADASTRO_CASAS_BOMBA!$O$11,MAX(0,T94+CADASTRO_CASAS_BOMBA!$I$11*HORAS_CAPTACAO_DIA-S95))</f>
        <v>469821</v>
      </c>
      <c r="U95" s="16" t="n">
        <f aca="false">MAX(0,S95-CADASTRO_CASAS_BOMBA!$I$11*HORAS_CAPTACAO_DIA-T94)</f>
        <v>0</v>
      </c>
      <c r="V95" s="16" t="n">
        <f aca="false">INDEX(AUX_MATRIZES!$C$14:$BP$14,MIN(N_SEMANAS,MAX(1,$C95)))/DIAS_POR_SEMANA</f>
        <v>150.036790545903</v>
      </c>
      <c r="W95" s="16" t="n">
        <f aca="false">MIN(CADASTRO_CASAS_BOMBA!$O$12,MAX(0,W94+CADASTRO_CASAS_BOMBA!$I$12*HORAS_CAPTACAO_DIA-V95))</f>
        <v>440000</v>
      </c>
      <c r="X95" s="16" t="n">
        <f aca="false">MAX(0,V95-CADASTRO_CASAS_BOMBA!$I$12*HORAS_CAPTACAO_DIA-W94)</f>
        <v>0</v>
      </c>
      <c r="Y95" s="16" t="n">
        <f aca="false">INDEX(AUX_MATRIZES!$C$15:$BP$15,MIN(N_SEMANAS,MAX(1,$C95)))/DIAS_POR_SEMANA</f>
        <v>0</v>
      </c>
      <c r="Z95" s="16" t="n">
        <f aca="false">MIN(CADASTRO_CASAS_BOMBA!$O$13,MAX(0,Z94+CADASTRO_CASAS_BOMBA!$I$13*HORAS_CAPTACAO_DIA-Y95))</f>
        <v>74903</v>
      </c>
      <c r="AA95" s="16" t="n">
        <f aca="false">MAX(0,Y95-CADASTRO_CASAS_BOMBA!$I$13*HORAS_CAPTACAO_DIA-Z94)</f>
        <v>0</v>
      </c>
    </row>
    <row r="96" customFormat="false" ht="15" hidden="false" customHeight="false" outlineLevel="0" collapsed="false">
      <c r="B96" s="17" t="n">
        <f aca="false">DATA_INICIO_SAFRA+89</f>
        <v>46354</v>
      </c>
      <c r="C96" s="16" t="n">
        <f aca="false">MIN(N_SEMANAS,MAX(1,INT(($B96-DATA_INICIO_SAFRA)/DIAS_POR_SEMANA)+1))</f>
        <v>13</v>
      </c>
      <c r="D96" s="16" t="n">
        <f aca="false">INDEX(AUX_MATRIZES!$C$8:$BP$8,MIN(N_SEMANAS,MAX(1,$C96)))/DIAS_POR_SEMANA</f>
        <v>345.819882352941</v>
      </c>
      <c r="E96" s="16" t="n">
        <f aca="false">MIN(CADASTRO_CASAS_BOMBA!$O$6,MAX(0,E95+CADASTRO_CASAS_BOMBA!$I$6*HORAS_CAPTACAO_DIA-D96))</f>
        <v>2600</v>
      </c>
      <c r="F96" s="16" t="n">
        <f aca="false">MAX(0,D96-CADASTRO_CASAS_BOMBA!$I$6*HORAS_CAPTACAO_DIA-E95)</f>
        <v>0</v>
      </c>
      <c r="G96" s="16" t="n">
        <f aca="false">INDEX(AUX_MATRIZES!$C$9:$BP$9,MIN(N_SEMANAS,MAX(1,$C96)))/DIAS_POR_SEMANA</f>
        <v>353.840117647058</v>
      </c>
      <c r="H96" s="16" t="n">
        <f aca="false">MIN(CADASTRO_CASAS_BOMBA!$O$7,MAX(0,H95+CADASTRO_CASAS_BOMBA!$I$7*HORAS_CAPTACAO_DIA-G96))</f>
        <v>76648</v>
      </c>
      <c r="I96" s="16" t="n">
        <f aca="false">MAX(0,G96-CADASTRO_CASAS_BOMBA!$I$7*HORAS_CAPTACAO_DIA-H95)</f>
        <v>0</v>
      </c>
      <c r="J96" s="16" t="n">
        <f aca="false">INDEX(AUX_MATRIZES!$C$10:$BP$10,MIN(N_SEMANAS,MAX(1,$C96)))/DIAS_POR_SEMANA</f>
        <v>695.720235294117</v>
      </c>
      <c r="K96" s="16" t="n">
        <f aca="false">MIN(CADASTRO_CASAS_BOMBA!$O$8,MAX(0,K95+CADASTRO_CASAS_BOMBA!$I$8*HORAS_CAPTACAO_DIA-J96))</f>
        <v>27377</v>
      </c>
      <c r="L96" s="16" t="n">
        <f aca="false">MAX(0,J96-CADASTRO_CASAS_BOMBA!$I$8*HORAS_CAPTACAO_DIA-K95)</f>
        <v>0</v>
      </c>
      <c r="M96" s="16" t="n">
        <f aca="false">INDEX(AUX_MATRIZES!$C$11:$BP$11,MIN(N_SEMANAS,MAX(1,$C96)))/DIAS_POR_SEMANA</f>
        <v>740.148117647058</v>
      </c>
      <c r="N96" s="16" t="n">
        <f aca="false">MIN(CADASTRO_CASAS_BOMBA!$O$9,MAX(0,N95+CADASTRO_CASAS_BOMBA!$I$9*HORAS_CAPTACAO_DIA-M96))</f>
        <v>129000</v>
      </c>
      <c r="O96" s="16" t="n">
        <f aca="false">MAX(0,M96-CADASTRO_CASAS_BOMBA!$I$9*HORAS_CAPTACAO_DIA-N95)</f>
        <v>0</v>
      </c>
      <c r="P96" s="16" t="n">
        <f aca="false">INDEX(AUX_MATRIZES!$C$12:$BP$12,MIN(N_SEMANAS,MAX(1,$C96)))/DIAS_POR_SEMANA</f>
        <v>938.492013052297</v>
      </c>
      <c r="Q96" s="16" t="n">
        <f aca="false">MIN(CADASTRO_CASAS_BOMBA!$O$10,MAX(0,Q95+CADASTRO_CASAS_BOMBA!$I$10*HORAS_CAPTACAO_DIA-P96))</f>
        <v>1000000</v>
      </c>
      <c r="R96" s="16" t="n">
        <f aca="false">MAX(0,P96-CADASTRO_CASAS_BOMBA!$I$10*HORAS_CAPTACAO_DIA-Q95)</f>
        <v>0</v>
      </c>
      <c r="S96" s="16" t="n">
        <f aca="false">INDEX(AUX_MATRIZES!$C$13:$BP$13,MIN(N_SEMANAS,MAX(1,$C96)))/DIAS_POR_SEMANA</f>
        <v>150.036790545903</v>
      </c>
      <c r="T96" s="16" t="n">
        <f aca="false">MIN(CADASTRO_CASAS_BOMBA!$O$11,MAX(0,T95+CADASTRO_CASAS_BOMBA!$I$11*HORAS_CAPTACAO_DIA-S96))</f>
        <v>469821</v>
      </c>
      <c r="U96" s="16" t="n">
        <f aca="false">MAX(0,S96-CADASTRO_CASAS_BOMBA!$I$11*HORAS_CAPTACAO_DIA-T95)</f>
        <v>0</v>
      </c>
      <c r="V96" s="16" t="n">
        <f aca="false">INDEX(AUX_MATRIZES!$C$14:$BP$14,MIN(N_SEMANAS,MAX(1,$C96)))/DIAS_POR_SEMANA</f>
        <v>150.036790545903</v>
      </c>
      <c r="W96" s="16" t="n">
        <f aca="false">MIN(CADASTRO_CASAS_BOMBA!$O$12,MAX(0,W95+CADASTRO_CASAS_BOMBA!$I$12*HORAS_CAPTACAO_DIA-V96))</f>
        <v>440000</v>
      </c>
      <c r="X96" s="16" t="n">
        <f aca="false">MAX(0,V96-CADASTRO_CASAS_BOMBA!$I$12*HORAS_CAPTACAO_DIA-W95)</f>
        <v>0</v>
      </c>
      <c r="Y96" s="16" t="n">
        <f aca="false">INDEX(AUX_MATRIZES!$C$15:$BP$15,MIN(N_SEMANAS,MAX(1,$C96)))/DIAS_POR_SEMANA</f>
        <v>0</v>
      </c>
      <c r="Z96" s="16" t="n">
        <f aca="false">MIN(CADASTRO_CASAS_BOMBA!$O$13,MAX(0,Z95+CADASTRO_CASAS_BOMBA!$I$13*HORAS_CAPTACAO_DIA-Y96))</f>
        <v>74903</v>
      </c>
      <c r="AA96" s="16" t="n">
        <f aca="false">MAX(0,Y96-CADASTRO_CASAS_BOMBA!$I$13*HORAS_CAPTACAO_DIA-Z95)</f>
        <v>0</v>
      </c>
    </row>
    <row r="97" customFormat="false" ht="15" hidden="false" customHeight="false" outlineLevel="0" collapsed="false">
      <c r="B97" s="17" t="n">
        <f aca="false">DATA_INICIO_SAFRA+90</f>
        <v>46355</v>
      </c>
      <c r="C97" s="16" t="n">
        <f aca="false">MIN(N_SEMANAS,MAX(1,INT(($B97-DATA_INICIO_SAFRA)/DIAS_POR_SEMANA)+1))</f>
        <v>13</v>
      </c>
      <c r="D97" s="16" t="n">
        <f aca="false">INDEX(AUX_MATRIZES!$C$8:$BP$8,MIN(N_SEMANAS,MAX(1,$C97)))/DIAS_POR_SEMANA</f>
        <v>345.819882352941</v>
      </c>
      <c r="E97" s="16" t="n">
        <f aca="false">MIN(CADASTRO_CASAS_BOMBA!$O$6,MAX(0,E96+CADASTRO_CASAS_BOMBA!$I$6*HORAS_CAPTACAO_DIA-D97))</f>
        <v>2600</v>
      </c>
      <c r="F97" s="16" t="n">
        <f aca="false">MAX(0,D97-CADASTRO_CASAS_BOMBA!$I$6*HORAS_CAPTACAO_DIA-E96)</f>
        <v>0</v>
      </c>
      <c r="G97" s="16" t="n">
        <f aca="false">INDEX(AUX_MATRIZES!$C$9:$BP$9,MIN(N_SEMANAS,MAX(1,$C97)))/DIAS_POR_SEMANA</f>
        <v>353.840117647058</v>
      </c>
      <c r="H97" s="16" t="n">
        <f aca="false">MIN(CADASTRO_CASAS_BOMBA!$O$7,MAX(0,H96+CADASTRO_CASAS_BOMBA!$I$7*HORAS_CAPTACAO_DIA-G97))</f>
        <v>76648</v>
      </c>
      <c r="I97" s="16" t="n">
        <f aca="false">MAX(0,G97-CADASTRO_CASAS_BOMBA!$I$7*HORAS_CAPTACAO_DIA-H96)</f>
        <v>0</v>
      </c>
      <c r="J97" s="16" t="n">
        <f aca="false">INDEX(AUX_MATRIZES!$C$10:$BP$10,MIN(N_SEMANAS,MAX(1,$C97)))/DIAS_POR_SEMANA</f>
        <v>695.720235294117</v>
      </c>
      <c r="K97" s="16" t="n">
        <f aca="false">MIN(CADASTRO_CASAS_BOMBA!$O$8,MAX(0,K96+CADASTRO_CASAS_BOMBA!$I$8*HORAS_CAPTACAO_DIA-J97))</f>
        <v>27377</v>
      </c>
      <c r="L97" s="16" t="n">
        <f aca="false">MAX(0,J97-CADASTRO_CASAS_BOMBA!$I$8*HORAS_CAPTACAO_DIA-K96)</f>
        <v>0</v>
      </c>
      <c r="M97" s="16" t="n">
        <f aca="false">INDEX(AUX_MATRIZES!$C$11:$BP$11,MIN(N_SEMANAS,MAX(1,$C97)))/DIAS_POR_SEMANA</f>
        <v>740.148117647058</v>
      </c>
      <c r="N97" s="16" t="n">
        <f aca="false">MIN(CADASTRO_CASAS_BOMBA!$O$9,MAX(0,N96+CADASTRO_CASAS_BOMBA!$I$9*HORAS_CAPTACAO_DIA-M97))</f>
        <v>129000</v>
      </c>
      <c r="O97" s="16" t="n">
        <f aca="false">MAX(0,M97-CADASTRO_CASAS_BOMBA!$I$9*HORAS_CAPTACAO_DIA-N96)</f>
        <v>0</v>
      </c>
      <c r="P97" s="16" t="n">
        <f aca="false">INDEX(AUX_MATRIZES!$C$12:$BP$12,MIN(N_SEMANAS,MAX(1,$C97)))/DIAS_POR_SEMANA</f>
        <v>938.492013052297</v>
      </c>
      <c r="Q97" s="16" t="n">
        <f aca="false">MIN(CADASTRO_CASAS_BOMBA!$O$10,MAX(0,Q96+CADASTRO_CASAS_BOMBA!$I$10*HORAS_CAPTACAO_DIA-P97))</f>
        <v>1000000</v>
      </c>
      <c r="R97" s="16" t="n">
        <f aca="false">MAX(0,P97-CADASTRO_CASAS_BOMBA!$I$10*HORAS_CAPTACAO_DIA-Q96)</f>
        <v>0</v>
      </c>
      <c r="S97" s="16" t="n">
        <f aca="false">INDEX(AUX_MATRIZES!$C$13:$BP$13,MIN(N_SEMANAS,MAX(1,$C97)))/DIAS_POR_SEMANA</f>
        <v>150.036790545903</v>
      </c>
      <c r="T97" s="16" t="n">
        <f aca="false">MIN(CADASTRO_CASAS_BOMBA!$O$11,MAX(0,T96+CADASTRO_CASAS_BOMBA!$I$11*HORAS_CAPTACAO_DIA-S97))</f>
        <v>469821</v>
      </c>
      <c r="U97" s="16" t="n">
        <f aca="false">MAX(0,S97-CADASTRO_CASAS_BOMBA!$I$11*HORAS_CAPTACAO_DIA-T96)</f>
        <v>0</v>
      </c>
      <c r="V97" s="16" t="n">
        <f aca="false">INDEX(AUX_MATRIZES!$C$14:$BP$14,MIN(N_SEMANAS,MAX(1,$C97)))/DIAS_POR_SEMANA</f>
        <v>150.036790545903</v>
      </c>
      <c r="W97" s="16" t="n">
        <f aca="false">MIN(CADASTRO_CASAS_BOMBA!$O$12,MAX(0,W96+CADASTRO_CASAS_BOMBA!$I$12*HORAS_CAPTACAO_DIA-V97))</f>
        <v>440000</v>
      </c>
      <c r="X97" s="16" t="n">
        <f aca="false">MAX(0,V97-CADASTRO_CASAS_BOMBA!$I$12*HORAS_CAPTACAO_DIA-W96)</f>
        <v>0</v>
      </c>
      <c r="Y97" s="16" t="n">
        <f aca="false">INDEX(AUX_MATRIZES!$C$15:$BP$15,MIN(N_SEMANAS,MAX(1,$C97)))/DIAS_POR_SEMANA</f>
        <v>0</v>
      </c>
      <c r="Z97" s="16" t="n">
        <f aca="false">MIN(CADASTRO_CASAS_BOMBA!$O$13,MAX(0,Z96+CADASTRO_CASAS_BOMBA!$I$13*HORAS_CAPTACAO_DIA-Y97))</f>
        <v>74903</v>
      </c>
      <c r="AA97" s="16" t="n">
        <f aca="false">MAX(0,Y97-CADASTRO_CASAS_BOMBA!$I$13*HORAS_CAPTACAO_DIA-Z96)</f>
        <v>0</v>
      </c>
    </row>
    <row r="98" customFormat="false" ht="15" hidden="false" customHeight="false" outlineLevel="0" collapsed="false">
      <c r="B98" s="17" t="n">
        <f aca="false">DATA_INICIO_SAFRA+91</f>
        <v>46356</v>
      </c>
      <c r="C98" s="16" t="n">
        <f aca="false">MIN(N_SEMANAS,MAX(1,INT(($B98-DATA_INICIO_SAFRA)/DIAS_POR_SEMANA)+1))</f>
        <v>14</v>
      </c>
      <c r="D98" s="16" t="n">
        <f aca="false">INDEX(AUX_MATRIZES!$C$8:$BP$8,MIN(N_SEMANAS,MAX(1,$C98)))/DIAS_POR_SEMANA</f>
        <v>0</v>
      </c>
      <c r="E98" s="16" t="n">
        <f aca="false">MIN(CADASTRO_CASAS_BOMBA!$O$6,MAX(0,E97+CADASTRO_CASAS_BOMBA!$I$6*HORAS_CAPTACAO_DIA-D98))</f>
        <v>2600</v>
      </c>
      <c r="F98" s="16" t="n">
        <f aca="false">MAX(0,D98-CADASTRO_CASAS_BOMBA!$I$6*HORAS_CAPTACAO_DIA-E97)</f>
        <v>0</v>
      </c>
      <c r="G98" s="16" t="n">
        <f aca="false">INDEX(AUX_MATRIZES!$C$9:$BP$9,MIN(N_SEMANAS,MAX(1,$C98)))/DIAS_POR_SEMANA</f>
        <v>0</v>
      </c>
      <c r="H98" s="16" t="n">
        <f aca="false">MIN(CADASTRO_CASAS_BOMBA!$O$7,MAX(0,H97+CADASTRO_CASAS_BOMBA!$I$7*HORAS_CAPTACAO_DIA-G98))</f>
        <v>76648</v>
      </c>
      <c r="I98" s="16" t="n">
        <f aca="false">MAX(0,G98-CADASTRO_CASAS_BOMBA!$I$7*HORAS_CAPTACAO_DIA-H97)</f>
        <v>0</v>
      </c>
      <c r="J98" s="16" t="n">
        <f aca="false">INDEX(AUX_MATRIZES!$C$10:$BP$10,MIN(N_SEMANAS,MAX(1,$C98)))/DIAS_POR_SEMANA</f>
        <v>0</v>
      </c>
      <c r="K98" s="16" t="n">
        <f aca="false">MIN(CADASTRO_CASAS_BOMBA!$O$8,MAX(0,K97+CADASTRO_CASAS_BOMBA!$I$8*HORAS_CAPTACAO_DIA-J98))</f>
        <v>27377</v>
      </c>
      <c r="L98" s="16" t="n">
        <f aca="false">MAX(0,J98-CADASTRO_CASAS_BOMBA!$I$8*HORAS_CAPTACAO_DIA-K97)</f>
        <v>0</v>
      </c>
      <c r="M98" s="16" t="n">
        <f aca="false">INDEX(AUX_MATRIZES!$C$11:$BP$11,MIN(N_SEMANAS,MAX(1,$C98)))/DIAS_POR_SEMANA</f>
        <v>0</v>
      </c>
      <c r="N98" s="16" t="n">
        <f aca="false">MIN(CADASTRO_CASAS_BOMBA!$O$9,MAX(0,N97+CADASTRO_CASAS_BOMBA!$I$9*HORAS_CAPTACAO_DIA-M98))</f>
        <v>129000</v>
      </c>
      <c r="O98" s="16" t="n">
        <f aca="false">MAX(0,M98-CADASTRO_CASAS_BOMBA!$I$9*HORAS_CAPTACAO_DIA-N97)</f>
        <v>0</v>
      </c>
      <c r="P98" s="16" t="n">
        <f aca="false">INDEX(AUX_MATRIZES!$C$12:$BP$12,MIN(N_SEMANAS,MAX(1,$C98)))/DIAS_POR_SEMANA</f>
        <v>0</v>
      </c>
      <c r="Q98" s="16" t="n">
        <f aca="false">MIN(CADASTRO_CASAS_BOMBA!$O$10,MAX(0,Q97+CADASTRO_CASAS_BOMBA!$I$10*HORAS_CAPTACAO_DIA-P98))</f>
        <v>1000000</v>
      </c>
      <c r="R98" s="16" t="n">
        <f aca="false">MAX(0,P98-CADASTRO_CASAS_BOMBA!$I$10*HORAS_CAPTACAO_DIA-Q97)</f>
        <v>0</v>
      </c>
      <c r="S98" s="16" t="n">
        <f aca="false">INDEX(AUX_MATRIZES!$C$13:$BP$13,MIN(N_SEMANAS,MAX(1,$C98)))/DIAS_POR_SEMANA</f>
        <v>0</v>
      </c>
      <c r="T98" s="16" t="n">
        <f aca="false">MIN(CADASTRO_CASAS_BOMBA!$O$11,MAX(0,T97+CADASTRO_CASAS_BOMBA!$I$11*HORAS_CAPTACAO_DIA-S98))</f>
        <v>469821</v>
      </c>
      <c r="U98" s="16" t="n">
        <f aca="false">MAX(0,S98-CADASTRO_CASAS_BOMBA!$I$11*HORAS_CAPTACAO_DIA-T97)</f>
        <v>0</v>
      </c>
      <c r="V98" s="16" t="n">
        <f aca="false">INDEX(AUX_MATRIZES!$C$14:$BP$14,MIN(N_SEMANAS,MAX(1,$C98)))/DIAS_POR_SEMANA</f>
        <v>0</v>
      </c>
      <c r="W98" s="16" t="n">
        <f aca="false">MIN(CADASTRO_CASAS_BOMBA!$O$12,MAX(0,W97+CADASTRO_CASAS_BOMBA!$I$12*HORAS_CAPTACAO_DIA-V98))</f>
        <v>440000</v>
      </c>
      <c r="X98" s="16" t="n">
        <f aca="false">MAX(0,V98-CADASTRO_CASAS_BOMBA!$I$12*HORAS_CAPTACAO_DIA-W97)</f>
        <v>0</v>
      </c>
      <c r="Y98" s="16" t="n">
        <f aca="false">INDEX(AUX_MATRIZES!$C$15:$BP$15,MIN(N_SEMANAS,MAX(1,$C98)))/DIAS_POR_SEMANA</f>
        <v>0</v>
      </c>
      <c r="Z98" s="16" t="n">
        <f aca="false">MIN(CADASTRO_CASAS_BOMBA!$O$13,MAX(0,Z97+CADASTRO_CASAS_BOMBA!$I$13*HORAS_CAPTACAO_DIA-Y98))</f>
        <v>74903</v>
      </c>
      <c r="AA98" s="16" t="n">
        <f aca="false">MAX(0,Y98-CADASTRO_CASAS_BOMBA!$I$13*HORAS_CAPTACAO_DIA-Z97)</f>
        <v>0</v>
      </c>
    </row>
    <row r="99" customFormat="false" ht="15" hidden="false" customHeight="false" outlineLevel="0" collapsed="false">
      <c r="B99" s="17" t="n">
        <f aca="false">DATA_INICIO_SAFRA+92</f>
        <v>46357</v>
      </c>
      <c r="C99" s="16" t="n">
        <f aca="false">MIN(N_SEMANAS,MAX(1,INT(($B99-DATA_INICIO_SAFRA)/DIAS_POR_SEMANA)+1))</f>
        <v>14</v>
      </c>
      <c r="D99" s="16" t="n">
        <f aca="false">INDEX(AUX_MATRIZES!$C$8:$BP$8,MIN(N_SEMANAS,MAX(1,$C99)))/DIAS_POR_SEMANA</f>
        <v>0</v>
      </c>
      <c r="E99" s="16" t="n">
        <f aca="false">MIN(CADASTRO_CASAS_BOMBA!$O$6,MAX(0,E98+CADASTRO_CASAS_BOMBA!$I$6*HORAS_CAPTACAO_DIA-D99))</f>
        <v>2600</v>
      </c>
      <c r="F99" s="16" t="n">
        <f aca="false">MAX(0,D99-CADASTRO_CASAS_BOMBA!$I$6*HORAS_CAPTACAO_DIA-E98)</f>
        <v>0</v>
      </c>
      <c r="G99" s="16" t="n">
        <f aca="false">INDEX(AUX_MATRIZES!$C$9:$BP$9,MIN(N_SEMANAS,MAX(1,$C99)))/DIAS_POR_SEMANA</f>
        <v>0</v>
      </c>
      <c r="H99" s="16" t="n">
        <f aca="false">MIN(CADASTRO_CASAS_BOMBA!$O$7,MAX(0,H98+CADASTRO_CASAS_BOMBA!$I$7*HORAS_CAPTACAO_DIA-G99))</f>
        <v>76648</v>
      </c>
      <c r="I99" s="16" t="n">
        <f aca="false">MAX(0,G99-CADASTRO_CASAS_BOMBA!$I$7*HORAS_CAPTACAO_DIA-H98)</f>
        <v>0</v>
      </c>
      <c r="J99" s="16" t="n">
        <f aca="false">INDEX(AUX_MATRIZES!$C$10:$BP$10,MIN(N_SEMANAS,MAX(1,$C99)))/DIAS_POR_SEMANA</f>
        <v>0</v>
      </c>
      <c r="K99" s="16" t="n">
        <f aca="false">MIN(CADASTRO_CASAS_BOMBA!$O$8,MAX(0,K98+CADASTRO_CASAS_BOMBA!$I$8*HORAS_CAPTACAO_DIA-J99))</f>
        <v>27377</v>
      </c>
      <c r="L99" s="16" t="n">
        <f aca="false">MAX(0,J99-CADASTRO_CASAS_BOMBA!$I$8*HORAS_CAPTACAO_DIA-K98)</f>
        <v>0</v>
      </c>
      <c r="M99" s="16" t="n">
        <f aca="false">INDEX(AUX_MATRIZES!$C$11:$BP$11,MIN(N_SEMANAS,MAX(1,$C99)))/DIAS_POR_SEMANA</f>
        <v>0</v>
      </c>
      <c r="N99" s="16" t="n">
        <f aca="false">MIN(CADASTRO_CASAS_BOMBA!$O$9,MAX(0,N98+CADASTRO_CASAS_BOMBA!$I$9*HORAS_CAPTACAO_DIA-M99))</f>
        <v>129000</v>
      </c>
      <c r="O99" s="16" t="n">
        <f aca="false">MAX(0,M99-CADASTRO_CASAS_BOMBA!$I$9*HORAS_CAPTACAO_DIA-N98)</f>
        <v>0</v>
      </c>
      <c r="P99" s="16" t="n">
        <f aca="false">INDEX(AUX_MATRIZES!$C$12:$BP$12,MIN(N_SEMANAS,MAX(1,$C99)))/DIAS_POR_SEMANA</f>
        <v>0</v>
      </c>
      <c r="Q99" s="16" t="n">
        <f aca="false">MIN(CADASTRO_CASAS_BOMBA!$O$10,MAX(0,Q98+CADASTRO_CASAS_BOMBA!$I$10*HORAS_CAPTACAO_DIA-P99))</f>
        <v>1000000</v>
      </c>
      <c r="R99" s="16" t="n">
        <f aca="false">MAX(0,P99-CADASTRO_CASAS_BOMBA!$I$10*HORAS_CAPTACAO_DIA-Q98)</f>
        <v>0</v>
      </c>
      <c r="S99" s="16" t="n">
        <f aca="false">INDEX(AUX_MATRIZES!$C$13:$BP$13,MIN(N_SEMANAS,MAX(1,$C99)))/DIAS_POR_SEMANA</f>
        <v>0</v>
      </c>
      <c r="T99" s="16" t="n">
        <f aca="false">MIN(CADASTRO_CASAS_BOMBA!$O$11,MAX(0,T98+CADASTRO_CASAS_BOMBA!$I$11*HORAS_CAPTACAO_DIA-S99))</f>
        <v>469821</v>
      </c>
      <c r="U99" s="16" t="n">
        <f aca="false">MAX(0,S99-CADASTRO_CASAS_BOMBA!$I$11*HORAS_CAPTACAO_DIA-T98)</f>
        <v>0</v>
      </c>
      <c r="V99" s="16" t="n">
        <f aca="false">INDEX(AUX_MATRIZES!$C$14:$BP$14,MIN(N_SEMANAS,MAX(1,$C99)))/DIAS_POR_SEMANA</f>
        <v>0</v>
      </c>
      <c r="W99" s="16" t="n">
        <f aca="false">MIN(CADASTRO_CASAS_BOMBA!$O$12,MAX(0,W98+CADASTRO_CASAS_BOMBA!$I$12*HORAS_CAPTACAO_DIA-V99))</f>
        <v>440000</v>
      </c>
      <c r="X99" s="16" t="n">
        <f aca="false">MAX(0,V99-CADASTRO_CASAS_BOMBA!$I$12*HORAS_CAPTACAO_DIA-W98)</f>
        <v>0</v>
      </c>
      <c r="Y99" s="16" t="n">
        <f aca="false">INDEX(AUX_MATRIZES!$C$15:$BP$15,MIN(N_SEMANAS,MAX(1,$C99)))/DIAS_POR_SEMANA</f>
        <v>0</v>
      </c>
      <c r="Z99" s="16" t="n">
        <f aca="false">MIN(CADASTRO_CASAS_BOMBA!$O$13,MAX(0,Z98+CADASTRO_CASAS_BOMBA!$I$13*HORAS_CAPTACAO_DIA-Y99))</f>
        <v>74903</v>
      </c>
      <c r="AA99" s="16" t="n">
        <f aca="false">MAX(0,Y99-CADASTRO_CASAS_BOMBA!$I$13*HORAS_CAPTACAO_DIA-Z98)</f>
        <v>0</v>
      </c>
    </row>
    <row r="100" customFormat="false" ht="15" hidden="false" customHeight="false" outlineLevel="0" collapsed="false">
      <c r="B100" s="17" t="n">
        <f aca="false">DATA_INICIO_SAFRA+93</f>
        <v>46358</v>
      </c>
      <c r="C100" s="16" t="n">
        <f aca="false">MIN(N_SEMANAS,MAX(1,INT(($B100-DATA_INICIO_SAFRA)/DIAS_POR_SEMANA)+1))</f>
        <v>14</v>
      </c>
      <c r="D100" s="16" t="n">
        <f aca="false">INDEX(AUX_MATRIZES!$C$8:$BP$8,MIN(N_SEMANAS,MAX(1,$C100)))/DIAS_POR_SEMANA</f>
        <v>0</v>
      </c>
      <c r="E100" s="16" t="n">
        <f aca="false">MIN(CADASTRO_CASAS_BOMBA!$O$6,MAX(0,E99+CADASTRO_CASAS_BOMBA!$I$6*HORAS_CAPTACAO_DIA-D100))</f>
        <v>2600</v>
      </c>
      <c r="F100" s="16" t="n">
        <f aca="false">MAX(0,D100-CADASTRO_CASAS_BOMBA!$I$6*HORAS_CAPTACAO_DIA-E99)</f>
        <v>0</v>
      </c>
      <c r="G100" s="16" t="n">
        <f aca="false">INDEX(AUX_MATRIZES!$C$9:$BP$9,MIN(N_SEMANAS,MAX(1,$C100)))/DIAS_POR_SEMANA</f>
        <v>0</v>
      </c>
      <c r="H100" s="16" t="n">
        <f aca="false">MIN(CADASTRO_CASAS_BOMBA!$O$7,MAX(0,H99+CADASTRO_CASAS_BOMBA!$I$7*HORAS_CAPTACAO_DIA-G100))</f>
        <v>76648</v>
      </c>
      <c r="I100" s="16" t="n">
        <f aca="false">MAX(0,G100-CADASTRO_CASAS_BOMBA!$I$7*HORAS_CAPTACAO_DIA-H99)</f>
        <v>0</v>
      </c>
      <c r="J100" s="16" t="n">
        <f aca="false">INDEX(AUX_MATRIZES!$C$10:$BP$10,MIN(N_SEMANAS,MAX(1,$C100)))/DIAS_POR_SEMANA</f>
        <v>0</v>
      </c>
      <c r="K100" s="16" t="n">
        <f aca="false">MIN(CADASTRO_CASAS_BOMBA!$O$8,MAX(0,K99+CADASTRO_CASAS_BOMBA!$I$8*HORAS_CAPTACAO_DIA-J100))</f>
        <v>27377</v>
      </c>
      <c r="L100" s="16" t="n">
        <f aca="false">MAX(0,J100-CADASTRO_CASAS_BOMBA!$I$8*HORAS_CAPTACAO_DIA-K99)</f>
        <v>0</v>
      </c>
      <c r="M100" s="16" t="n">
        <f aca="false">INDEX(AUX_MATRIZES!$C$11:$BP$11,MIN(N_SEMANAS,MAX(1,$C100)))/DIAS_POR_SEMANA</f>
        <v>0</v>
      </c>
      <c r="N100" s="16" t="n">
        <f aca="false">MIN(CADASTRO_CASAS_BOMBA!$O$9,MAX(0,N99+CADASTRO_CASAS_BOMBA!$I$9*HORAS_CAPTACAO_DIA-M100))</f>
        <v>129000</v>
      </c>
      <c r="O100" s="16" t="n">
        <f aca="false">MAX(0,M100-CADASTRO_CASAS_BOMBA!$I$9*HORAS_CAPTACAO_DIA-N99)</f>
        <v>0</v>
      </c>
      <c r="P100" s="16" t="n">
        <f aca="false">INDEX(AUX_MATRIZES!$C$12:$BP$12,MIN(N_SEMANAS,MAX(1,$C100)))/DIAS_POR_SEMANA</f>
        <v>0</v>
      </c>
      <c r="Q100" s="16" t="n">
        <f aca="false">MIN(CADASTRO_CASAS_BOMBA!$O$10,MAX(0,Q99+CADASTRO_CASAS_BOMBA!$I$10*HORAS_CAPTACAO_DIA-P100))</f>
        <v>1000000</v>
      </c>
      <c r="R100" s="16" t="n">
        <f aca="false">MAX(0,P100-CADASTRO_CASAS_BOMBA!$I$10*HORAS_CAPTACAO_DIA-Q99)</f>
        <v>0</v>
      </c>
      <c r="S100" s="16" t="n">
        <f aca="false">INDEX(AUX_MATRIZES!$C$13:$BP$13,MIN(N_SEMANAS,MAX(1,$C100)))/DIAS_POR_SEMANA</f>
        <v>0</v>
      </c>
      <c r="T100" s="16" t="n">
        <f aca="false">MIN(CADASTRO_CASAS_BOMBA!$O$11,MAX(0,T99+CADASTRO_CASAS_BOMBA!$I$11*HORAS_CAPTACAO_DIA-S100))</f>
        <v>469821</v>
      </c>
      <c r="U100" s="16" t="n">
        <f aca="false">MAX(0,S100-CADASTRO_CASAS_BOMBA!$I$11*HORAS_CAPTACAO_DIA-T99)</f>
        <v>0</v>
      </c>
      <c r="V100" s="16" t="n">
        <f aca="false">INDEX(AUX_MATRIZES!$C$14:$BP$14,MIN(N_SEMANAS,MAX(1,$C100)))/DIAS_POR_SEMANA</f>
        <v>0</v>
      </c>
      <c r="W100" s="16" t="n">
        <f aca="false">MIN(CADASTRO_CASAS_BOMBA!$O$12,MAX(0,W99+CADASTRO_CASAS_BOMBA!$I$12*HORAS_CAPTACAO_DIA-V100))</f>
        <v>440000</v>
      </c>
      <c r="X100" s="16" t="n">
        <f aca="false">MAX(0,V100-CADASTRO_CASAS_BOMBA!$I$12*HORAS_CAPTACAO_DIA-W99)</f>
        <v>0</v>
      </c>
      <c r="Y100" s="16" t="n">
        <f aca="false">INDEX(AUX_MATRIZES!$C$15:$BP$15,MIN(N_SEMANAS,MAX(1,$C100)))/DIAS_POR_SEMANA</f>
        <v>0</v>
      </c>
      <c r="Z100" s="16" t="n">
        <f aca="false">MIN(CADASTRO_CASAS_BOMBA!$O$13,MAX(0,Z99+CADASTRO_CASAS_BOMBA!$I$13*HORAS_CAPTACAO_DIA-Y100))</f>
        <v>74903</v>
      </c>
      <c r="AA100" s="16" t="n">
        <f aca="false">MAX(0,Y100-CADASTRO_CASAS_BOMBA!$I$13*HORAS_CAPTACAO_DIA-Z99)</f>
        <v>0</v>
      </c>
    </row>
    <row r="101" customFormat="false" ht="15" hidden="false" customHeight="false" outlineLevel="0" collapsed="false">
      <c r="B101" s="17" t="n">
        <f aca="false">DATA_INICIO_SAFRA+94</f>
        <v>46359</v>
      </c>
      <c r="C101" s="16" t="n">
        <f aca="false">MIN(N_SEMANAS,MAX(1,INT(($B101-DATA_INICIO_SAFRA)/DIAS_POR_SEMANA)+1))</f>
        <v>14</v>
      </c>
      <c r="D101" s="16" t="n">
        <f aca="false">INDEX(AUX_MATRIZES!$C$8:$BP$8,MIN(N_SEMANAS,MAX(1,$C101)))/DIAS_POR_SEMANA</f>
        <v>0</v>
      </c>
      <c r="E101" s="16" t="n">
        <f aca="false">MIN(CADASTRO_CASAS_BOMBA!$O$6,MAX(0,E100+CADASTRO_CASAS_BOMBA!$I$6*HORAS_CAPTACAO_DIA-D101))</f>
        <v>2600</v>
      </c>
      <c r="F101" s="16" t="n">
        <f aca="false">MAX(0,D101-CADASTRO_CASAS_BOMBA!$I$6*HORAS_CAPTACAO_DIA-E100)</f>
        <v>0</v>
      </c>
      <c r="G101" s="16" t="n">
        <f aca="false">INDEX(AUX_MATRIZES!$C$9:$BP$9,MIN(N_SEMANAS,MAX(1,$C101)))/DIAS_POR_SEMANA</f>
        <v>0</v>
      </c>
      <c r="H101" s="16" t="n">
        <f aca="false">MIN(CADASTRO_CASAS_BOMBA!$O$7,MAX(0,H100+CADASTRO_CASAS_BOMBA!$I$7*HORAS_CAPTACAO_DIA-G101))</f>
        <v>76648</v>
      </c>
      <c r="I101" s="16" t="n">
        <f aca="false">MAX(0,G101-CADASTRO_CASAS_BOMBA!$I$7*HORAS_CAPTACAO_DIA-H100)</f>
        <v>0</v>
      </c>
      <c r="J101" s="16" t="n">
        <f aca="false">INDEX(AUX_MATRIZES!$C$10:$BP$10,MIN(N_SEMANAS,MAX(1,$C101)))/DIAS_POR_SEMANA</f>
        <v>0</v>
      </c>
      <c r="K101" s="16" t="n">
        <f aca="false">MIN(CADASTRO_CASAS_BOMBA!$O$8,MAX(0,K100+CADASTRO_CASAS_BOMBA!$I$8*HORAS_CAPTACAO_DIA-J101))</f>
        <v>27377</v>
      </c>
      <c r="L101" s="16" t="n">
        <f aca="false">MAX(0,J101-CADASTRO_CASAS_BOMBA!$I$8*HORAS_CAPTACAO_DIA-K100)</f>
        <v>0</v>
      </c>
      <c r="M101" s="16" t="n">
        <f aca="false">INDEX(AUX_MATRIZES!$C$11:$BP$11,MIN(N_SEMANAS,MAX(1,$C101)))/DIAS_POR_SEMANA</f>
        <v>0</v>
      </c>
      <c r="N101" s="16" t="n">
        <f aca="false">MIN(CADASTRO_CASAS_BOMBA!$O$9,MAX(0,N100+CADASTRO_CASAS_BOMBA!$I$9*HORAS_CAPTACAO_DIA-M101))</f>
        <v>129000</v>
      </c>
      <c r="O101" s="16" t="n">
        <f aca="false">MAX(0,M101-CADASTRO_CASAS_BOMBA!$I$9*HORAS_CAPTACAO_DIA-N100)</f>
        <v>0</v>
      </c>
      <c r="P101" s="16" t="n">
        <f aca="false">INDEX(AUX_MATRIZES!$C$12:$BP$12,MIN(N_SEMANAS,MAX(1,$C101)))/DIAS_POR_SEMANA</f>
        <v>0</v>
      </c>
      <c r="Q101" s="16" t="n">
        <f aca="false">MIN(CADASTRO_CASAS_BOMBA!$O$10,MAX(0,Q100+CADASTRO_CASAS_BOMBA!$I$10*HORAS_CAPTACAO_DIA-P101))</f>
        <v>1000000</v>
      </c>
      <c r="R101" s="16" t="n">
        <f aca="false">MAX(0,P101-CADASTRO_CASAS_BOMBA!$I$10*HORAS_CAPTACAO_DIA-Q100)</f>
        <v>0</v>
      </c>
      <c r="S101" s="16" t="n">
        <f aca="false">INDEX(AUX_MATRIZES!$C$13:$BP$13,MIN(N_SEMANAS,MAX(1,$C101)))/DIAS_POR_SEMANA</f>
        <v>0</v>
      </c>
      <c r="T101" s="16" t="n">
        <f aca="false">MIN(CADASTRO_CASAS_BOMBA!$O$11,MAX(0,T100+CADASTRO_CASAS_BOMBA!$I$11*HORAS_CAPTACAO_DIA-S101))</f>
        <v>469821</v>
      </c>
      <c r="U101" s="16" t="n">
        <f aca="false">MAX(0,S101-CADASTRO_CASAS_BOMBA!$I$11*HORAS_CAPTACAO_DIA-T100)</f>
        <v>0</v>
      </c>
      <c r="V101" s="16" t="n">
        <f aca="false">INDEX(AUX_MATRIZES!$C$14:$BP$14,MIN(N_SEMANAS,MAX(1,$C101)))/DIAS_POR_SEMANA</f>
        <v>0</v>
      </c>
      <c r="W101" s="16" t="n">
        <f aca="false">MIN(CADASTRO_CASAS_BOMBA!$O$12,MAX(0,W100+CADASTRO_CASAS_BOMBA!$I$12*HORAS_CAPTACAO_DIA-V101))</f>
        <v>440000</v>
      </c>
      <c r="X101" s="16" t="n">
        <f aca="false">MAX(0,V101-CADASTRO_CASAS_BOMBA!$I$12*HORAS_CAPTACAO_DIA-W100)</f>
        <v>0</v>
      </c>
      <c r="Y101" s="16" t="n">
        <f aca="false">INDEX(AUX_MATRIZES!$C$15:$BP$15,MIN(N_SEMANAS,MAX(1,$C101)))/DIAS_POR_SEMANA</f>
        <v>0</v>
      </c>
      <c r="Z101" s="16" t="n">
        <f aca="false">MIN(CADASTRO_CASAS_BOMBA!$O$13,MAX(0,Z100+CADASTRO_CASAS_BOMBA!$I$13*HORAS_CAPTACAO_DIA-Y101))</f>
        <v>74903</v>
      </c>
      <c r="AA101" s="16" t="n">
        <f aca="false">MAX(0,Y101-CADASTRO_CASAS_BOMBA!$I$13*HORAS_CAPTACAO_DIA-Z100)</f>
        <v>0</v>
      </c>
    </row>
    <row r="102" customFormat="false" ht="15" hidden="false" customHeight="false" outlineLevel="0" collapsed="false">
      <c r="B102" s="17" t="n">
        <f aca="false">DATA_INICIO_SAFRA+95</f>
        <v>46360</v>
      </c>
      <c r="C102" s="16" t="n">
        <f aca="false">MIN(N_SEMANAS,MAX(1,INT(($B102-DATA_INICIO_SAFRA)/DIAS_POR_SEMANA)+1))</f>
        <v>14</v>
      </c>
      <c r="D102" s="16" t="n">
        <f aca="false">INDEX(AUX_MATRIZES!$C$8:$BP$8,MIN(N_SEMANAS,MAX(1,$C102)))/DIAS_POR_SEMANA</f>
        <v>0</v>
      </c>
      <c r="E102" s="16" t="n">
        <f aca="false">MIN(CADASTRO_CASAS_BOMBA!$O$6,MAX(0,E101+CADASTRO_CASAS_BOMBA!$I$6*HORAS_CAPTACAO_DIA-D102))</f>
        <v>2600</v>
      </c>
      <c r="F102" s="16" t="n">
        <f aca="false">MAX(0,D102-CADASTRO_CASAS_BOMBA!$I$6*HORAS_CAPTACAO_DIA-E101)</f>
        <v>0</v>
      </c>
      <c r="G102" s="16" t="n">
        <f aca="false">INDEX(AUX_MATRIZES!$C$9:$BP$9,MIN(N_SEMANAS,MAX(1,$C102)))/DIAS_POR_SEMANA</f>
        <v>0</v>
      </c>
      <c r="H102" s="16" t="n">
        <f aca="false">MIN(CADASTRO_CASAS_BOMBA!$O$7,MAX(0,H101+CADASTRO_CASAS_BOMBA!$I$7*HORAS_CAPTACAO_DIA-G102))</f>
        <v>76648</v>
      </c>
      <c r="I102" s="16" t="n">
        <f aca="false">MAX(0,G102-CADASTRO_CASAS_BOMBA!$I$7*HORAS_CAPTACAO_DIA-H101)</f>
        <v>0</v>
      </c>
      <c r="J102" s="16" t="n">
        <f aca="false">INDEX(AUX_MATRIZES!$C$10:$BP$10,MIN(N_SEMANAS,MAX(1,$C102)))/DIAS_POR_SEMANA</f>
        <v>0</v>
      </c>
      <c r="K102" s="16" t="n">
        <f aca="false">MIN(CADASTRO_CASAS_BOMBA!$O$8,MAX(0,K101+CADASTRO_CASAS_BOMBA!$I$8*HORAS_CAPTACAO_DIA-J102))</f>
        <v>27377</v>
      </c>
      <c r="L102" s="16" t="n">
        <f aca="false">MAX(0,J102-CADASTRO_CASAS_BOMBA!$I$8*HORAS_CAPTACAO_DIA-K101)</f>
        <v>0</v>
      </c>
      <c r="M102" s="16" t="n">
        <f aca="false">INDEX(AUX_MATRIZES!$C$11:$BP$11,MIN(N_SEMANAS,MAX(1,$C102)))/DIAS_POR_SEMANA</f>
        <v>0</v>
      </c>
      <c r="N102" s="16" t="n">
        <f aca="false">MIN(CADASTRO_CASAS_BOMBA!$O$9,MAX(0,N101+CADASTRO_CASAS_BOMBA!$I$9*HORAS_CAPTACAO_DIA-M102))</f>
        <v>129000</v>
      </c>
      <c r="O102" s="16" t="n">
        <f aca="false">MAX(0,M102-CADASTRO_CASAS_BOMBA!$I$9*HORAS_CAPTACAO_DIA-N101)</f>
        <v>0</v>
      </c>
      <c r="P102" s="16" t="n">
        <f aca="false">INDEX(AUX_MATRIZES!$C$12:$BP$12,MIN(N_SEMANAS,MAX(1,$C102)))/DIAS_POR_SEMANA</f>
        <v>0</v>
      </c>
      <c r="Q102" s="16" t="n">
        <f aca="false">MIN(CADASTRO_CASAS_BOMBA!$O$10,MAX(0,Q101+CADASTRO_CASAS_BOMBA!$I$10*HORAS_CAPTACAO_DIA-P102))</f>
        <v>1000000</v>
      </c>
      <c r="R102" s="16" t="n">
        <f aca="false">MAX(0,P102-CADASTRO_CASAS_BOMBA!$I$10*HORAS_CAPTACAO_DIA-Q101)</f>
        <v>0</v>
      </c>
      <c r="S102" s="16" t="n">
        <f aca="false">INDEX(AUX_MATRIZES!$C$13:$BP$13,MIN(N_SEMANAS,MAX(1,$C102)))/DIAS_POR_SEMANA</f>
        <v>0</v>
      </c>
      <c r="T102" s="16" t="n">
        <f aca="false">MIN(CADASTRO_CASAS_BOMBA!$O$11,MAX(0,T101+CADASTRO_CASAS_BOMBA!$I$11*HORAS_CAPTACAO_DIA-S102))</f>
        <v>469821</v>
      </c>
      <c r="U102" s="16" t="n">
        <f aca="false">MAX(0,S102-CADASTRO_CASAS_BOMBA!$I$11*HORAS_CAPTACAO_DIA-T101)</f>
        <v>0</v>
      </c>
      <c r="V102" s="16" t="n">
        <f aca="false">INDEX(AUX_MATRIZES!$C$14:$BP$14,MIN(N_SEMANAS,MAX(1,$C102)))/DIAS_POR_SEMANA</f>
        <v>0</v>
      </c>
      <c r="W102" s="16" t="n">
        <f aca="false">MIN(CADASTRO_CASAS_BOMBA!$O$12,MAX(0,W101+CADASTRO_CASAS_BOMBA!$I$12*HORAS_CAPTACAO_DIA-V102))</f>
        <v>440000</v>
      </c>
      <c r="X102" s="16" t="n">
        <f aca="false">MAX(0,V102-CADASTRO_CASAS_BOMBA!$I$12*HORAS_CAPTACAO_DIA-W101)</f>
        <v>0</v>
      </c>
      <c r="Y102" s="16" t="n">
        <f aca="false">INDEX(AUX_MATRIZES!$C$15:$BP$15,MIN(N_SEMANAS,MAX(1,$C102)))/DIAS_POR_SEMANA</f>
        <v>0</v>
      </c>
      <c r="Z102" s="16" t="n">
        <f aca="false">MIN(CADASTRO_CASAS_BOMBA!$O$13,MAX(0,Z101+CADASTRO_CASAS_BOMBA!$I$13*HORAS_CAPTACAO_DIA-Y102))</f>
        <v>74903</v>
      </c>
      <c r="AA102" s="16" t="n">
        <f aca="false">MAX(0,Y102-CADASTRO_CASAS_BOMBA!$I$13*HORAS_CAPTACAO_DIA-Z101)</f>
        <v>0</v>
      </c>
    </row>
    <row r="103" customFormat="false" ht="15" hidden="false" customHeight="false" outlineLevel="0" collapsed="false">
      <c r="B103" s="17" t="n">
        <f aca="false">DATA_INICIO_SAFRA+96</f>
        <v>46361</v>
      </c>
      <c r="C103" s="16" t="n">
        <f aca="false">MIN(N_SEMANAS,MAX(1,INT(($B103-DATA_INICIO_SAFRA)/DIAS_POR_SEMANA)+1))</f>
        <v>14</v>
      </c>
      <c r="D103" s="16" t="n">
        <f aca="false">INDEX(AUX_MATRIZES!$C$8:$BP$8,MIN(N_SEMANAS,MAX(1,$C103)))/DIAS_POR_SEMANA</f>
        <v>0</v>
      </c>
      <c r="E103" s="16" t="n">
        <f aca="false">MIN(CADASTRO_CASAS_BOMBA!$O$6,MAX(0,E102+CADASTRO_CASAS_BOMBA!$I$6*HORAS_CAPTACAO_DIA-D103))</f>
        <v>2600</v>
      </c>
      <c r="F103" s="16" t="n">
        <f aca="false">MAX(0,D103-CADASTRO_CASAS_BOMBA!$I$6*HORAS_CAPTACAO_DIA-E102)</f>
        <v>0</v>
      </c>
      <c r="G103" s="16" t="n">
        <f aca="false">INDEX(AUX_MATRIZES!$C$9:$BP$9,MIN(N_SEMANAS,MAX(1,$C103)))/DIAS_POR_SEMANA</f>
        <v>0</v>
      </c>
      <c r="H103" s="16" t="n">
        <f aca="false">MIN(CADASTRO_CASAS_BOMBA!$O$7,MAX(0,H102+CADASTRO_CASAS_BOMBA!$I$7*HORAS_CAPTACAO_DIA-G103))</f>
        <v>76648</v>
      </c>
      <c r="I103" s="16" t="n">
        <f aca="false">MAX(0,G103-CADASTRO_CASAS_BOMBA!$I$7*HORAS_CAPTACAO_DIA-H102)</f>
        <v>0</v>
      </c>
      <c r="J103" s="16" t="n">
        <f aca="false">INDEX(AUX_MATRIZES!$C$10:$BP$10,MIN(N_SEMANAS,MAX(1,$C103)))/DIAS_POR_SEMANA</f>
        <v>0</v>
      </c>
      <c r="K103" s="16" t="n">
        <f aca="false">MIN(CADASTRO_CASAS_BOMBA!$O$8,MAX(0,K102+CADASTRO_CASAS_BOMBA!$I$8*HORAS_CAPTACAO_DIA-J103))</f>
        <v>27377</v>
      </c>
      <c r="L103" s="16" t="n">
        <f aca="false">MAX(0,J103-CADASTRO_CASAS_BOMBA!$I$8*HORAS_CAPTACAO_DIA-K102)</f>
        <v>0</v>
      </c>
      <c r="M103" s="16" t="n">
        <f aca="false">INDEX(AUX_MATRIZES!$C$11:$BP$11,MIN(N_SEMANAS,MAX(1,$C103)))/DIAS_POR_SEMANA</f>
        <v>0</v>
      </c>
      <c r="N103" s="16" t="n">
        <f aca="false">MIN(CADASTRO_CASAS_BOMBA!$O$9,MAX(0,N102+CADASTRO_CASAS_BOMBA!$I$9*HORAS_CAPTACAO_DIA-M103))</f>
        <v>129000</v>
      </c>
      <c r="O103" s="16" t="n">
        <f aca="false">MAX(0,M103-CADASTRO_CASAS_BOMBA!$I$9*HORAS_CAPTACAO_DIA-N102)</f>
        <v>0</v>
      </c>
      <c r="P103" s="16" t="n">
        <f aca="false">INDEX(AUX_MATRIZES!$C$12:$BP$12,MIN(N_SEMANAS,MAX(1,$C103)))/DIAS_POR_SEMANA</f>
        <v>0</v>
      </c>
      <c r="Q103" s="16" t="n">
        <f aca="false">MIN(CADASTRO_CASAS_BOMBA!$O$10,MAX(0,Q102+CADASTRO_CASAS_BOMBA!$I$10*HORAS_CAPTACAO_DIA-P103))</f>
        <v>1000000</v>
      </c>
      <c r="R103" s="16" t="n">
        <f aca="false">MAX(0,P103-CADASTRO_CASAS_BOMBA!$I$10*HORAS_CAPTACAO_DIA-Q102)</f>
        <v>0</v>
      </c>
      <c r="S103" s="16" t="n">
        <f aca="false">INDEX(AUX_MATRIZES!$C$13:$BP$13,MIN(N_SEMANAS,MAX(1,$C103)))/DIAS_POR_SEMANA</f>
        <v>0</v>
      </c>
      <c r="T103" s="16" t="n">
        <f aca="false">MIN(CADASTRO_CASAS_BOMBA!$O$11,MAX(0,T102+CADASTRO_CASAS_BOMBA!$I$11*HORAS_CAPTACAO_DIA-S103))</f>
        <v>469821</v>
      </c>
      <c r="U103" s="16" t="n">
        <f aca="false">MAX(0,S103-CADASTRO_CASAS_BOMBA!$I$11*HORAS_CAPTACAO_DIA-T102)</f>
        <v>0</v>
      </c>
      <c r="V103" s="16" t="n">
        <f aca="false">INDEX(AUX_MATRIZES!$C$14:$BP$14,MIN(N_SEMANAS,MAX(1,$C103)))/DIAS_POR_SEMANA</f>
        <v>0</v>
      </c>
      <c r="W103" s="16" t="n">
        <f aca="false">MIN(CADASTRO_CASAS_BOMBA!$O$12,MAX(0,W102+CADASTRO_CASAS_BOMBA!$I$12*HORAS_CAPTACAO_DIA-V103))</f>
        <v>440000</v>
      </c>
      <c r="X103" s="16" t="n">
        <f aca="false">MAX(0,V103-CADASTRO_CASAS_BOMBA!$I$12*HORAS_CAPTACAO_DIA-W102)</f>
        <v>0</v>
      </c>
      <c r="Y103" s="16" t="n">
        <f aca="false">INDEX(AUX_MATRIZES!$C$15:$BP$15,MIN(N_SEMANAS,MAX(1,$C103)))/DIAS_POR_SEMANA</f>
        <v>0</v>
      </c>
      <c r="Z103" s="16" t="n">
        <f aca="false">MIN(CADASTRO_CASAS_BOMBA!$O$13,MAX(0,Z102+CADASTRO_CASAS_BOMBA!$I$13*HORAS_CAPTACAO_DIA-Y103))</f>
        <v>74903</v>
      </c>
      <c r="AA103" s="16" t="n">
        <f aca="false">MAX(0,Y103-CADASTRO_CASAS_BOMBA!$I$13*HORAS_CAPTACAO_DIA-Z102)</f>
        <v>0</v>
      </c>
    </row>
    <row r="104" customFormat="false" ht="15" hidden="false" customHeight="false" outlineLevel="0" collapsed="false">
      <c r="B104" s="17" t="n">
        <f aca="false">DATA_INICIO_SAFRA+97</f>
        <v>46362</v>
      </c>
      <c r="C104" s="16" t="n">
        <f aca="false">MIN(N_SEMANAS,MAX(1,INT(($B104-DATA_INICIO_SAFRA)/DIAS_POR_SEMANA)+1))</f>
        <v>14</v>
      </c>
      <c r="D104" s="16" t="n">
        <f aca="false">INDEX(AUX_MATRIZES!$C$8:$BP$8,MIN(N_SEMANAS,MAX(1,$C104)))/DIAS_POR_SEMANA</f>
        <v>0</v>
      </c>
      <c r="E104" s="16" t="n">
        <f aca="false">MIN(CADASTRO_CASAS_BOMBA!$O$6,MAX(0,E103+CADASTRO_CASAS_BOMBA!$I$6*HORAS_CAPTACAO_DIA-D104))</f>
        <v>2600</v>
      </c>
      <c r="F104" s="16" t="n">
        <f aca="false">MAX(0,D104-CADASTRO_CASAS_BOMBA!$I$6*HORAS_CAPTACAO_DIA-E103)</f>
        <v>0</v>
      </c>
      <c r="G104" s="16" t="n">
        <f aca="false">INDEX(AUX_MATRIZES!$C$9:$BP$9,MIN(N_SEMANAS,MAX(1,$C104)))/DIAS_POR_SEMANA</f>
        <v>0</v>
      </c>
      <c r="H104" s="16" t="n">
        <f aca="false">MIN(CADASTRO_CASAS_BOMBA!$O$7,MAX(0,H103+CADASTRO_CASAS_BOMBA!$I$7*HORAS_CAPTACAO_DIA-G104))</f>
        <v>76648</v>
      </c>
      <c r="I104" s="16" t="n">
        <f aca="false">MAX(0,G104-CADASTRO_CASAS_BOMBA!$I$7*HORAS_CAPTACAO_DIA-H103)</f>
        <v>0</v>
      </c>
      <c r="J104" s="16" t="n">
        <f aca="false">INDEX(AUX_MATRIZES!$C$10:$BP$10,MIN(N_SEMANAS,MAX(1,$C104)))/DIAS_POR_SEMANA</f>
        <v>0</v>
      </c>
      <c r="K104" s="16" t="n">
        <f aca="false">MIN(CADASTRO_CASAS_BOMBA!$O$8,MAX(0,K103+CADASTRO_CASAS_BOMBA!$I$8*HORAS_CAPTACAO_DIA-J104))</f>
        <v>27377</v>
      </c>
      <c r="L104" s="16" t="n">
        <f aca="false">MAX(0,J104-CADASTRO_CASAS_BOMBA!$I$8*HORAS_CAPTACAO_DIA-K103)</f>
        <v>0</v>
      </c>
      <c r="M104" s="16" t="n">
        <f aca="false">INDEX(AUX_MATRIZES!$C$11:$BP$11,MIN(N_SEMANAS,MAX(1,$C104)))/DIAS_POR_SEMANA</f>
        <v>0</v>
      </c>
      <c r="N104" s="16" t="n">
        <f aca="false">MIN(CADASTRO_CASAS_BOMBA!$O$9,MAX(0,N103+CADASTRO_CASAS_BOMBA!$I$9*HORAS_CAPTACAO_DIA-M104))</f>
        <v>129000</v>
      </c>
      <c r="O104" s="16" t="n">
        <f aca="false">MAX(0,M104-CADASTRO_CASAS_BOMBA!$I$9*HORAS_CAPTACAO_DIA-N103)</f>
        <v>0</v>
      </c>
      <c r="P104" s="16" t="n">
        <f aca="false">INDEX(AUX_MATRIZES!$C$12:$BP$12,MIN(N_SEMANAS,MAX(1,$C104)))/DIAS_POR_SEMANA</f>
        <v>0</v>
      </c>
      <c r="Q104" s="16" t="n">
        <f aca="false">MIN(CADASTRO_CASAS_BOMBA!$O$10,MAX(0,Q103+CADASTRO_CASAS_BOMBA!$I$10*HORAS_CAPTACAO_DIA-P104))</f>
        <v>1000000</v>
      </c>
      <c r="R104" s="16" t="n">
        <f aca="false">MAX(0,P104-CADASTRO_CASAS_BOMBA!$I$10*HORAS_CAPTACAO_DIA-Q103)</f>
        <v>0</v>
      </c>
      <c r="S104" s="16" t="n">
        <f aca="false">INDEX(AUX_MATRIZES!$C$13:$BP$13,MIN(N_SEMANAS,MAX(1,$C104)))/DIAS_POR_SEMANA</f>
        <v>0</v>
      </c>
      <c r="T104" s="16" t="n">
        <f aca="false">MIN(CADASTRO_CASAS_BOMBA!$O$11,MAX(0,T103+CADASTRO_CASAS_BOMBA!$I$11*HORAS_CAPTACAO_DIA-S104))</f>
        <v>469821</v>
      </c>
      <c r="U104" s="16" t="n">
        <f aca="false">MAX(0,S104-CADASTRO_CASAS_BOMBA!$I$11*HORAS_CAPTACAO_DIA-T103)</f>
        <v>0</v>
      </c>
      <c r="V104" s="16" t="n">
        <f aca="false">INDEX(AUX_MATRIZES!$C$14:$BP$14,MIN(N_SEMANAS,MAX(1,$C104)))/DIAS_POR_SEMANA</f>
        <v>0</v>
      </c>
      <c r="W104" s="16" t="n">
        <f aca="false">MIN(CADASTRO_CASAS_BOMBA!$O$12,MAX(0,W103+CADASTRO_CASAS_BOMBA!$I$12*HORAS_CAPTACAO_DIA-V104))</f>
        <v>440000</v>
      </c>
      <c r="X104" s="16" t="n">
        <f aca="false">MAX(0,V104-CADASTRO_CASAS_BOMBA!$I$12*HORAS_CAPTACAO_DIA-W103)</f>
        <v>0</v>
      </c>
      <c r="Y104" s="16" t="n">
        <f aca="false">INDEX(AUX_MATRIZES!$C$15:$BP$15,MIN(N_SEMANAS,MAX(1,$C104)))/DIAS_POR_SEMANA</f>
        <v>0</v>
      </c>
      <c r="Z104" s="16" t="n">
        <f aca="false">MIN(CADASTRO_CASAS_BOMBA!$O$13,MAX(0,Z103+CADASTRO_CASAS_BOMBA!$I$13*HORAS_CAPTACAO_DIA-Y104))</f>
        <v>74903</v>
      </c>
      <c r="AA104" s="16" t="n">
        <f aca="false">MAX(0,Y104-CADASTRO_CASAS_BOMBA!$I$13*HORAS_CAPTACAO_DIA-Z103)</f>
        <v>0</v>
      </c>
    </row>
    <row r="105" customFormat="false" ht="15" hidden="false" customHeight="false" outlineLevel="0" collapsed="false">
      <c r="B105" s="17" t="n">
        <f aca="false">DATA_INICIO_SAFRA+98</f>
        <v>46363</v>
      </c>
      <c r="C105" s="16" t="n">
        <f aca="false">MIN(N_SEMANAS,MAX(1,INT(($B105-DATA_INICIO_SAFRA)/DIAS_POR_SEMANA)+1))</f>
        <v>15</v>
      </c>
      <c r="D105" s="16" t="n">
        <f aca="false">INDEX(AUX_MATRIZES!$C$8:$BP$8,MIN(N_SEMANAS,MAX(1,$C105)))/DIAS_POR_SEMANA</f>
        <v>0</v>
      </c>
      <c r="E105" s="16" t="n">
        <f aca="false">MIN(CADASTRO_CASAS_BOMBA!$O$6,MAX(0,E104+CADASTRO_CASAS_BOMBA!$I$6*HORAS_CAPTACAO_DIA-D105))</f>
        <v>2600</v>
      </c>
      <c r="F105" s="16" t="n">
        <f aca="false">MAX(0,D105-CADASTRO_CASAS_BOMBA!$I$6*HORAS_CAPTACAO_DIA-E104)</f>
        <v>0</v>
      </c>
      <c r="G105" s="16" t="n">
        <f aca="false">INDEX(AUX_MATRIZES!$C$9:$BP$9,MIN(N_SEMANAS,MAX(1,$C105)))/DIAS_POR_SEMANA</f>
        <v>0</v>
      </c>
      <c r="H105" s="16" t="n">
        <f aca="false">MIN(CADASTRO_CASAS_BOMBA!$O$7,MAX(0,H104+CADASTRO_CASAS_BOMBA!$I$7*HORAS_CAPTACAO_DIA-G105))</f>
        <v>76648</v>
      </c>
      <c r="I105" s="16" t="n">
        <f aca="false">MAX(0,G105-CADASTRO_CASAS_BOMBA!$I$7*HORAS_CAPTACAO_DIA-H104)</f>
        <v>0</v>
      </c>
      <c r="J105" s="16" t="n">
        <f aca="false">INDEX(AUX_MATRIZES!$C$10:$BP$10,MIN(N_SEMANAS,MAX(1,$C105)))/DIAS_POR_SEMANA</f>
        <v>0</v>
      </c>
      <c r="K105" s="16" t="n">
        <f aca="false">MIN(CADASTRO_CASAS_BOMBA!$O$8,MAX(0,K104+CADASTRO_CASAS_BOMBA!$I$8*HORAS_CAPTACAO_DIA-J105))</f>
        <v>27377</v>
      </c>
      <c r="L105" s="16" t="n">
        <f aca="false">MAX(0,J105-CADASTRO_CASAS_BOMBA!$I$8*HORAS_CAPTACAO_DIA-K104)</f>
        <v>0</v>
      </c>
      <c r="M105" s="16" t="n">
        <f aca="false">INDEX(AUX_MATRIZES!$C$11:$BP$11,MIN(N_SEMANAS,MAX(1,$C105)))/DIAS_POR_SEMANA</f>
        <v>0</v>
      </c>
      <c r="N105" s="16" t="n">
        <f aca="false">MIN(CADASTRO_CASAS_BOMBA!$O$9,MAX(0,N104+CADASTRO_CASAS_BOMBA!$I$9*HORAS_CAPTACAO_DIA-M105))</f>
        <v>129000</v>
      </c>
      <c r="O105" s="16" t="n">
        <f aca="false">MAX(0,M105-CADASTRO_CASAS_BOMBA!$I$9*HORAS_CAPTACAO_DIA-N104)</f>
        <v>0</v>
      </c>
      <c r="P105" s="16" t="n">
        <f aca="false">INDEX(AUX_MATRIZES!$C$12:$BP$12,MIN(N_SEMANAS,MAX(1,$C105)))/DIAS_POR_SEMANA</f>
        <v>0</v>
      </c>
      <c r="Q105" s="16" t="n">
        <f aca="false">MIN(CADASTRO_CASAS_BOMBA!$O$10,MAX(0,Q104+CADASTRO_CASAS_BOMBA!$I$10*HORAS_CAPTACAO_DIA-P105))</f>
        <v>1000000</v>
      </c>
      <c r="R105" s="16" t="n">
        <f aca="false">MAX(0,P105-CADASTRO_CASAS_BOMBA!$I$10*HORAS_CAPTACAO_DIA-Q104)</f>
        <v>0</v>
      </c>
      <c r="S105" s="16" t="n">
        <f aca="false">INDEX(AUX_MATRIZES!$C$13:$BP$13,MIN(N_SEMANAS,MAX(1,$C105)))/DIAS_POR_SEMANA</f>
        <v>0</v>
      </c>
      <c r="T105" s="16" t="n">
        <f aca="false">MIN(CADASTRO_CASAS_BOMBA!$O$11,MAX(0,T104+CADASTRO_CASAS_BOMBA!$I$11*HORAS_CAPTACAO_DIA-S105))</f>
        <v>469821</v>
      </c>
      <c r="U105" s="16" t="n">
        <f aca="false">MAX(0,S105-CADASTRO_CASAS_BOMBA!$I$11*HORAS_CAPTACAO_DIA-T104)</f>
        <v>0</v>
      </c>
      <c r="V105" s="16" t="n">
        <f aca="false">INDEX(AUX_MATRIZES!$C$14:$BP$14,MIN(N_SEMANAS,MAX(1,$C105)))/DIAS_POR_SEMANA</f>
        <v>0</v>
      </c>
      <c r="W105" s="16" t="n">
        <f aca="false">MIN(CADASTRO_CASAS_BOMBA!$O$12,MAX(0,W104+CADASTRO_CASAS_BOMBA!$I$12*HORAS_CAPTACAO_DIA-V105))</f>
        <v>440000</v>
      </c>
      <c r="X105" s="16" t="n">
        <f aca="false">MAX(0,V105-CADASTRO_CASAS_BOMBA!$I$12*HORAS_CAPTACAO_DIA-W104)</f>
        <v>0</v>
      </c>
      <c r="Y105" s="16" t="n">
        <f aca="false">INDEX(AUX_MATRIZES!$C$15:$BP$15,MIN(N_SEMANAS,MAX(1,$C105)))/DIAS_POR_SEMANA</f>
        <v>0</v>
      </c>
      <c r="Z105" s="16" t="n">
        <f aca="false">MIN(CADASTRO_CASAS_BOMBA!$O$13,MAX(0,Z104+CADASTRO_CASAS_BOMBA!$I$13*HORAS_CAPTACAO_DIA-Y105))</f>
        <v>74903</v>
      </c>
      <c r="AA105" s="16" t="n">
        <f aca="false">MAX(0,Y105-CADASTRO_CASAS_BOMBA!$I$13*HORAS_CAPTACAO_DIA-Z104)</f>
        <v>0</v>
      </c>
    </row>
    <row r="106" customFormat="false" ht="15" hidden="false" customHeight="false" outlineLevel="0" collapsed="false">
      <c r="B106" s="17" t="n">
        <f aca="false">DATA_INICIO_SAFRA+99</f>
        <v>46364</v>
      </c>
      <c r="C106" s="16" t="n">
        <f aca="false">MIN(N_SEMANAS,MAX(1,INT(($B106-DATA_INICIO_SAFRA)/DIAS_POR_SEMANA)+1))</f>
        <v>15</v>
      </c>
      <c r="D106" s="16" t="n">
        <f aca="false">INDEX(AUX_MATRIZES!$C$8:$BP$8,MIN(N_SEMANAS,MAX(1,$C106)))/DIAS_POR_SEMANA</f>
        <v>0</v>
      </c>
      <c r="E106" s="16" t="n">
        <f aca="false">MIN(CADASTRO_CASAS_BOMBA!$O$6,MAX(0,E105+CADASTRO_CASAS_BOMBA!$I$6*HORAS_CAPTACAO_DIA-D106))</f>
        <v>2600</v>
      </c>
      <c r="F106" s="16" t="n">
        <f aca="false">MAX(0,D106-CADASTRO_CASAS_BOMBA!$I$6*HORAS_CAPTACAO_DIA-E105)</f>
        <v>0</v>
      </c>
      <c r="G106" s="16" t="n">
        <f aca="false">INDEX(AUX_MATRIZES!$C$9:$BP$9,MIN(N_SEMANAS,MAX(1,$C106)))/DIAS_POR_SEMANA</f>
        <v>0</v>
      </c>
      <c r="H106" s="16" t="n">
        <f aca="false">MIN(CADASTRO_CASAS_BOMBA!$O$7,MAX(0,H105+CADASTRO_CASAS_BOMBA!$I$7*HORAS_CAPTACAO_DIA-G106))</f>
        <v>76648</v>
      </c>
      <c r="I106" s="16" t="n">
        <f aca="false">MAX(0,G106-CADASTRO_CASAS_BOMBA!$I$7*HORAS_CAPTACAO_DIA-H105)</f>
        <v>0</v>
      </c>
      <c r="J106" s="16" t="n">
        <f aca="false">INDEX(AUX_MATRIZES!$C$10:$BP$10,MIN(N_SEMANAS,MAX(1,$C106)))/DIAS_POR_SEMANA</f>
        <v>0</v>
      </c>
      <c r="K106" s="16" t="n">
        <f aca="false">MIN(CADASTRO_CASAS_BOMBA!$O$8,MAX(0,K105+CADASTRO_CASAS_BOMBA!$I$8*HORAS_CAPTACAO_DIA-J106))</f>
        <v>27377</v>
      </c>
      <c r="L106" s="16" t="n">
        <f aca="false">MAX(0,J106-CADASTRO_CASAS_BOMBA!$I$8*HORAS_CAPTACAO_DIA-K105)</f>
        <v>0</v>
      </c>
      <c r="M106" s="16" t="n">
        <f aca="false">INDEX(AUX_MATRIZES!$C$11:$BP$11,MIN(N_SEMANAS,MAX(1,$C106)))/DIAS_POR_SEMANA</f>
        <v>0</v>
      </c>
      <c r="N106" s="16" t="n">
        <f aca="false">MIN(CADASTRO_CASAS_BOMBA!$O$9,MAX(0,N105+CADASTRO_CASAS_BOMBA!$I$9*HORAS_CAPTACAO_DIA-M106))</f>
        <v>129000</v>
      </c>
      <c r="O106" s="16" t="n">
        <f aca="false">MAX(0,M106-CADASTRO_CASAS_BOMBA!$I$9*HORAS_CAPTACAO_DIA-N105)</f>
        <v>0</v>
      </c>
      <c r="P106" s="16" t="n">
        <f aca="false">INDEX(AUX_MATRIZES!$C$12:$BP$12,MIN(N_SEMANAS,MAX(1,$C106)))/DIAS_POR_SEMANA</f>
        <v>0</v>
      </c>
      <c r="Q106" s="16" t="n">
        <f aca="false">MIN(CADASTRO_CASAS_BOMBA!$O$10,MAX(0,Q105+CADASTRO_CASAS_BOMBA!$I$10*HORAS_CAPTACAO_DIA-P106))</f>
        <v>1000000</v>
      </c>
      <c r="R106" s="16" t="n">
        <f aca="false">MAX(0,P106-CADASTRO_CASAS_BOMBA!$I$10*HORAS_CAPTACAO_DIA-Q105)</f>
        <v>0</v>
      </c>
      <c r="S106" s="16" t="n">
        <f aca="false">INDEX(AUX_MATRIZES!$C$13:$BP$13,MIN(N_SEMANAS,MAX(1,$C106)))/DIAS_POR_SEMANA</f>
        <v>0</v>
      </c>
      <c r="T106" s="16" t="n">
        <f aca="false">MIN(CADASTRO_CASAS_BOMBA!$O$11,MAX(0,T105+CADASTRO_CASAS_BOMBA!$I$11*HORAS_CAPTACAO_DIA-S106))</f>
        <v>469821</v>
      </c>
      <c r="U106" s="16" t="n">
        <f aca="false">MAX(0,S106-CADASTRO_CASAS_BOMBA!$I$11*HORAS_CAPTACAO_DIA-T105)</f>
        <v>0</v>
      </c>
      <c r="V106" s="16" t="n">
        <f aca="false">INDEX(AUX_MATRIZES!$C$14:$BP$14,MIN(N_SEMANAS,MAX(1,$C106)))/DIAS_POR_SEMANA</f>
        <v>0</v>
      </c>
      <c r="W106" s="16" t="n">
        <f aca="false">MIN(CADASTRO_CASAS_BOMBA!$O$12,MAX(0,W105+CADASTRO_CASAS_BOMBA!$I$12*HORAS_CAPTACAO_DIA-V106))</f>
        <v>440000</v>
      </c>
      <c r="X106" s="16" t="n">
        <f aca="false">MAX(0,V106-CADASTRO_CASAS_BOMBA!$I$12*HORAS_CAPTACAO_DIA-W105)</f>
        <v>0</v>
      </c>
      <c r="Y106" s="16" t="n">
        <f aca="false">INDEX(AUX_MATRIZES!$C$15:$BP$15,MIN(N_SEMANAS,MAX(1,$C106)))/DIAS_POR_SEMANA</f>
        <v>0</v>
      </c>
      <c r="Z106" s="16" t="n">
        <f aca="false">MIN(CADASTRO_CASAS_BOMBA!$O$13,MAX(0,Z105+CADASTRO_CASAS_BOMBA!$I$13*HORAS_CAPTACAO_DIA-Y106))</f>
        <v>74903</v>
      </c>
      <c r="AA106" s="16" t="n">
        <f aca="false">MAX(0,Y106-CADASTRO_CASAS_BOMBA!$I$13*HORAS_CAPTACAO_DIA-Z105)</f>
        <v>0</v>
      </c>
    </row>
    <row r="107" customFormat="false" ht="15" hidden="false" customHeight="false" outlineLevel="0" collapsed="false">
      <c r="B107" s="17" t="n">
        <f aca="false">DATA_INICIO_SAFRA+100</f>
        <v>46365</v>
      </c>
      <c r="C107" s="16" t="n">
        <f aca="false">MIN(N_SEMANAS,MAX(1,INT(($B107-DATA_INICIO_SAFRA)/DIAS_POR_SEMANA)+1))</f>
        <v>15</v>
      </c>
      <c r="D107" s="16" t="n">
        <f aca="false">INDEX(AUX_MATRIZES!$C$8:$BP$8,MIN(N_SEMANAS,MAX(1,$C107)))/DIAS_POR_SEMANA</f>
        <v>0</v>
      </c>
      <c r="E107" s="16" t="n">
        <f aca="false">MIN(CADASTRO_CASAS_BOMBA!$O$6,MAX(0,E106+CADASTRO_CASAS_BOMBA!$I$6*HORAS_CAPTACAO_DIA-D107))</f>
        <v>2600</v>
      </c>
      <c r="F107" s="16" t="n">
        <f aca="false">MAX(0,D107-CADASTRO_CASAS_BOMBA!$I$6*HORAS_CAPTACAO_DIA-E106)</f>
        <v>0</v>
      </c>
      <c r="G107" s="16" t="n">
        <f aca="false">INDEX(AUX_MATRIZES!$C$9:$BP$9,MIN(N_SEMANAS,MAX(1,$C107)))/DIAS_POR_SEMANA</f>
        <v>0</v>
      </c>
      <c r="H107" s="16" t="n">
        <f aca="false">MIN(CADASTRO_CASAS_BOMBA!$O$7,MAX(0,H106+CADASTRO_CASAS_BOMBA!$I$7*HORAS_CAPTACAO_DIA-G107))</f>
        <v>76648</v>
      </c>
      <c r="I107" s="16" t="n">
        <f aca="false">MAX(0,G107-CADASTRO_CASAS_BOMBA!$I$7*HORAS_CAPTACAO_DIA-H106)</f>
        <v>0</v>
      </c>
      <c r="J107" s="16" t="n">
        <f aca="false">INDEX(AUX_MATRIZES!$C$10:$BP$10,MIN(N_SEMANAS,MAX(1,$C107)))/DIAS_POR_SEMANA</f>
        <v>0</v>
      </c>
      <c r="K107" s="16" t="n">
        <f aca="false">MIN(CADASTRO_CASAS_BOMBA!$O$8,MAX(0,K106+CADASTRO_CASAS_BOMBA!$I$8*HORAS_CAPTACAO_DIA-J107))</f>
        <v>27377</v>
      </c>
      <c r="L107" s="16" t="n">
        <f aca="false">MAX(0,J107-CADASTRO_CASAS_BOMBA!$I$8*HORAS_CAPTACAO_DIA-K106)</f>
        <v>0</v>
      </c>
      <c r="M107" s="16" t="n">
        <f aca="false">INDEX(AUX_MATRIZES!$C$11:$BP$11,MIN(N_SEMANAS,MAX(1,$C107)))/DIAS_POR_SEMANA</f>
        <v>0</v>
      </c>
      <c r="N107" s="16" t="n">
        <f aca="false">MIN(CADASTRO_CASAS_BOMBA!$O$9,MAX(0,N106+CADASTRO_CASAS_BOMBA!$I$9*HORAS_CAPTACAO_DIA-M107))</f>
        <v>129000</v>
      </c>
      <c r="O107" s="16" t="n">
        <f aca="false">MAX(0,M107-CADASTRO_CASAS_BOMBA!$I$9*HORAS_CAPTACAO_DIA-N106)</f>
        <v>0</v>
      </c>
      <c r="P107" s="16" t="n">
        <f aca="false">INDEX(AUX_MATRIZES!$C$12:$BP$12,MIN(N_SEMANAS,MAX(1,$C107)))/DIAS_POR_SEMANA</f>
        <v>0</v>
      </c>
      <c r="Q107" s="16" t="n">
        <f aca="false">MIN(CADASTRO_CASAS_BOMBA!$O$10,MAX(0,Q106+CADASTRO_CASAS_BOMBA!$I$10*HORAS_CAPTACAO_DIA-P107))</f>
        <v>1000000</v>
      </c>
      <c r="R107" s="16" t="n">
        <f aca="false">MAX(0,P107-CADASTRO_CASAS_BOMBA!$I$10*HORAS_CAPTACAO_DIA-Q106)</f>
        <v>0</v>
      </c>
      <c r="S107" s="16" t="n">
        <f aca="false">INDEX(AUX_MATRIZES!$C$13:$BP$13,MIN(N_SEMANAS,MAX(1,$C107)))/DIAS_POR_SEMANA</f>
        <v>0</v>
      </c>
      <c r="T107" s="16" t="n">
        <f aca="false">MIN(CADASTRO_CASAS_BOMBA!$O$11,MAX(0,T106+CADASTRO_CASAS_BOMBA!$I$11*HORAS_CAPTACAO_DIA-S107))</f>
        <v>469821</v>
      </c>
      <c r="U107" s="16" t="n">
        <f aca="false">MAX(0,S107-CADASTRO_CASAS_BOMBA!$I$11*HORAS_CAPTACAO_DIA-T106)</f>
        <v>0</v>
      </c>
      <c r="V107" s="16" t="n">
        <f aca="false">INDEX(AUX_MATRIZES!$C$14:$BP$14,MIN(N_SEMANAS,MAX(1,$C107)))/DIAS_POR_SEMANA</f>
        <v>0</v>
      </c>
      <c r="W107" s="16" t="n">
        <f aca="false">MIN(CADASTRO_CASAS_BOMBA!$O$12,MAX(0,W106+CADASTRO_CASAS_BOMBA!$I$12*HORAS_CAPTACAO_DIA-V107))</f>
        <v>440000</v>
      </c>
      <c r="X107" s="16" t="n">
        <f aca="false">MAX(0,V107-CADASTRO_CASAS_BOMBA!$I$12*HORAS_CAPTACAO_DIA-W106)</f>
        <v>0</v>
      </c>
      <c r="Y107" s="16" t="n">
        <f aca="false">INDEX(AUX_MATRIZES!$C$15:$BP$15,MIN(N_SEMANAS,MAX(1,$C107)))/DIAS_POR_SEMANA</f>
        <v>0</v>
      </c>
      <c r="Z107" s="16" t="n">
        <f aca="false">MIN(CADASTRO_CASAS_BOMBA!$O$13,MAX(0,Z106+CADASTRO_CASAS_BOMBA!$I$13*HORAS_CAPTACAO_DIA-Y107))</f>
        <v>74903</v>
      </c>
      <c r="AA107" s="16" t="n">
        <f aca="false">MAX(0,Y107-CADASTRO_CASAS_BOMBA!$I$13*HORAS_CAPTACAO_DIA-Z106)</f>
        <v>0</v>
      </c>
    </row>
    <row r="108" customFormat="false" ht="15" hidden="false" customHeight="false" outlineLevel="0" collapsed="false">
      <c r="B108" s="17" t="n">
        <f aca="false">DATA_INICIO_SAFRA+101</f>
        <v>46366</v>
      </c>
      <c r="C108" s="16" t="n">
        <f aca="false">MIN(N_SEMANAS,MAX(1,INT(($B108-DATA_INICIO_SAFRA)/DIAS_POR_SEMANA)+1))</f>
        <v>15</v>
      </c>
      <c r="D108" s="16" t="n">
        <f aca="false">INDEX(AUX_MATRIZES!$C$8:$BP$8,MIN(N_SEMANAS,MAX(1,$C108)))/DIAS_POR_SEMANA</f>
        <v>0</v>
      </c>
      <c r="E108" s="16" t="n">
        <f aca="false">MIN(CADASTRO_CASAS_BOMBA!$O$6,MAX(0,E107+CADASTRO_CASAS_BOMBA!$I$6*HORAS_CAPTACAO_DIA-D108))</f>
        <v>2600</v>
      </c>
      <c r="F108" s="16" t="n">
        <f aca="false">MAX(0,D108-CADASTRO_CASAS_BOMBA!$I$6*HORAS_CAPTACAO_DIA-E107)</f>
        <v>0</v>
      </c>
      <c r="G108" s="16" t="n">
        <f aca="false">INDEX(AUX_MATRIZES!$C$9:$BP$9,MIN(N_SEMANAS,MAX(1,$C108)))/DIAS_POR_SEMANA</f>
        <v>0</v>
      </c>
      <c r="H108" s="16" t="n">
        <f aca="false">MIN(CADASTRO_CASAS_BOMBA!$O$7,MAX(0,H107+CADASTRO_CASAS_BOMBA!$I$7*HORAS_CAPTACAO_DIA-G108))</f>
        <v>76648</v>
      </c>
      <c r="I108" s="16" t="n">
        <f aca="false">MAX(0,G108-CADASTRO_CASAS_BOMBA!$I$7*HORAS_CAPTACAO_DIA-H107)</f>
        <v>0</v>
      </c>
      <c r="J108" s="16" t="n">
        <f aca="false">INDEX(AUX_MATRIZES!$C$10:$BP$10,MIN(N_SEMANAS,MAX(1,$C108)))/DIAS_POR_SEMANA</f>
        <v>0</v>
      </c>
      <c r="K108" s="16" t="n">
        <f aca="false">MIN(CADASTRO_CASAS_BOMBA!$O$8,MAX(0,K107+CADASTRO_CASAS_BOMBA!$I$8*HORAS_CAPTACAO_DIA-J108))</f>
        <v>27377</v>
      </c>
      <c r="L108" s="16" t="n">
        <f aca="false">MAX(0,J108-CADASTRO_CASAS_BOMBA!$I$8*HORAS_CAPTACAO_DIA-K107)</f>
        <v>0</v>
      </c>
      <c r="M108" s="16" t="n">
        <f aca="false">INDEX(AUX_MATRIZES!$C$11:$BP$11,MIN(N_SEMANAS,MAX(1,$C108)))/DIAS_POR_SEMANA</f>
        <v>0</v>
      </c>
      <c r="N108" s="16" t="n">
        <f aca="false">MIN(CADASTRO_CASAS_BOMBA!$O$9,MAX(0,N107+CADASTRO_CASAS_BOMBA!$I$9*HORAS_CAPTACAO_DIA-M108))</f>
        <v>129000</v>
      </c>
      <c r="O108" s="16" t="n">
        <f aca="false">MAX(0,M108-CADASTRO_CASAS_BOMBA!$I$9*HORAS_CAPTACAO_DIA-N107)</f>
        <v>0</v>
      </c>
      <c r="P108" s="16" t="n">
        <f aca="false">INDEX(AUX_MATRIZES!$C$12:$BP$12,MIN(N_SEMANAS,MAX(1,$C108)))/DIAS_POR_SEMANA</f>
        <v>0</v>
      </c>
      <c r="Q108" s="16" t="n">
        <f aca="false">MIN(CADASTRO_CASAS_BOMBA!$O$10,MAX(0,Q107+CADASTRO_CASAS_BOMBA!$I$10*HORAS_CAPTACAO_DIA-P108))</f>
        <v>1000000</v>
      </c>
      <c r="R108" s="16" t="n">
        <f aca="false">MAX(0,P108-CADASTRO_CASAS_BOMBA!$I$10*HORAS_CAPTACAO_DIA-Q107)</f>
        <v>0</v>
      </c>
      <c r="S108" s="16" t="n">
        <f aca="false">INDEX(AUX_MATRIZES!$C$13:$BP$13,MIN(N_SEMANAS,MAX(1,$C108)))/DIAS_POR_SEMANA</f>
        <v>0</v>
      </c>
      <c r="T108" s="16" t="n">
        <f aca="false">MIN(CADASTRO_CASAS_BOMBA!$O$11,MAX(0,T107+CADASTRO_CASAS_BOMBA!$I$11*HORAS_CAPTACAO_DIA-S108))</f>
        <v>469821</v>
      </c>
      <c r="U108" s="16" t="n">
        <f aca="false">MAX(0,S108-CADASTRO_CASAS_BOMBA!$I$11*HORAS_CAPTACAO_DIA-T107)</f>
        <v>0</v>
      </c>
      <c r="V108" s="16" t="n">
        <f aca="false">INDEX(AUX_MATRIZES!$C$14:$BP$14,MIN(N_SEMANAS,MAX(1,$C108)))/DIAS_POR_SEMANA</f>
        <v>0</v>
      </c>
      <c r="W108" s="16" t="n">
        <f aca="false">MIN(CADASTRO_CASAS_BOMBA!$O$12,MAX(0,W107+CADASTRO_CASAS_BOMBA!$I$12*HORAS_CAPTACAO_DIA-V108))</f>
        <v>440000</v>
      </c>
      <c r="X108" s="16" t="n">
        <f aca="false">MAX(0,V108-CADASTRO_CASAS_BOMBA!$I$12*HORAS_CAPTACAO_DIA-W107)</f>
        <v>0</v>
      </c>
      <c r="Y108" s="16" t="n">
        <f aca="false">INDEX(AUX_MATRIZES!$C$15:$BP$15,MIN(N_SEMANAS,MAX(1,$C108)))/DIAS_POR_SEMANA</f>
        <v>0</v>
      </c>
      <c r="Z108" s="16" t="n">
        <f aca="false">MIN(CADASTRO_CASAS_BOMBA!$O$13,MAX(0,Z107+CADASTRO_CASAS_BOMBA!$I$13*HORAS_CAPTACAO_DIA-Y108))</f>
        <v>74903</v>
      </c>
      <c r="AA108" s="16" t="n">
        <f aca="false">MAX(0,Y108-CADASTRO_CASAS_BOMBA!$I$13*HORAS_CAPTACAO_DIA-Z107)</f>
        <v>0</v>
      </c>
    </row>
    <row r="109" customFormat="false" ht="15" hidden="false" customHeight="false" outlineLevel="0" collapsed="false">
      <c r="B109" s="17" t="n">
        <f aca="false">DATA_INICIO_SAFRA+102</f>
        <v>46367</v>
      </c>
      <c r="C109" s="16" t="n">
        <f aca="false">MIN(N_SEMANAS,MAX(1,INT(($B109-DATA_INICIO_SAFRA)/DIAS_POR_SEMANA)+1))</f>
        <v>15</v>
      </c>
      <c r="D109" s="16" t="n">
        <f aca="false">INDEX(AUX_MATRIZES!$C$8:$BP$8,MIN(N_SEMANAS,MAX(1,$C109)))/DIAS_POR_SEMANA</f>
        <v>0</v>
      </c>
      <c r="E109" s="16" t="n">
        <f aca="false">MIN(CADASTRO_CASAS_BOMBA!$O$6,MAX(0,E108+CADASTRO_CASAS_BOMBA!$I$6*HORAS_CAPTACAO_DIA-D109))</f>
        <v>2600</v>
      </c>
      <c r="F109" s="16" t="n">
        <f aca="false">MAX(0,D109-CADASTRO_CASAS_BOMBA!$I$6*HORAS_CAPTACAO_DIA-E108)</f>
        <v>0</v>
      </c>
      <c r="G109" s="16" t="n">
        <f aca="false">INDEX(AUX_MATRIZES!$C$9:$BP$9,MIN(N_SEMANAS,MAX(1,$C109)))/DIAS_POR_SEMANA</f>
        <v>0</v>
      </c>
      <c r="H109" s="16" t="n">
        <f aca="false">MIN(CADASTRO_CASAS_BOMBA!$O$7,MAX(0,H108+CADASTRO_CASAS_BOMBA!$I$7*HORAS_CAPTACAO_DIA-G109))</f>
        <v>76648</v>
      </c>
      <c r="I109" s="16" t="n">
        <f aca="false">MAX(0,G109-CADASTRO_CASAS_BOMBA!$I$7*HORAS_CAPTACAO_DIA-H108)</f>
        <v>0</v>
      </c>
      <c r="J109" s="16" t="n">
        <f aca="false">INDEX(AUX_MATRIZES!$C$10:$BP$10,MIN(N_SEMANAS,MAX(1,$C109)))/DIAS_POR_SEMANA</f>
        <v>0</v>
      </c>
      <c r="K109" s="16" t="n">
        <f aca="false">MIN(CADASTRO_CASAS_BOMBA!$O$8,MAX(0,K108+CADASTRO_CASAS_BOMBA!$I$8*HORAS_CAPTACAO_DIA-J109))</f>
        <v>27377</v>
      </c>
      <c r="L109" s="16" t="n">
        <f aca="false">MAX(0,J109-CADASTRO_CASAS_BOMBA!$I$8*HORAS_CAPTACAO_DIA-K108)</f>
        <v>0</v>
      </c>
      <c r="M109" s="16" t="n">
        <f aca="false">INDEX(AUX_MATRIZES!$C$11:$BP$11,MIN(N_SEMANAS,MAX(1,$C109)))/DIAS_POR_SEMANA</f>
        <v>0</v>
      </c>
      <c r="N109" s="16" t="n">
        <f aca="false">MIN(CADASTRO_CASAS_BOMBA!$O$9,MAX(0,N108+CADASTRO_CASAS_BOMBA!$I$9*HORAS_CAPTACAO_DIA-M109))</f>
        <v>129000</v>
      </c>
      <c r="O109" s="16" t="n">
        <f aca="false">MAX(0,M109-CADASTRO_CASAS_BOMBA!$I$9*HORAS_CAPTACAO_DIA-N108)</f>
        <v>0</v>
      </c>
      <c r="P109" s="16" t="n">
        <f aca="false">INDEX(AUX_MATRIZES!$C$12:$BP$12,MIN(N_SEMANAS,MAX(1,$C109)))/DIAS_POR_SEMANA</f>
        <v>0</v>
      </c>
      <c r="Q109" s="16" t="n">
        <f aca="false">MIN(CADASTRO_CASAS_BOMBA!$O$10,MAX(0,Q108+CADASTRO_CASAS_BOMBA!$I$10*HORAS_CAPTACAO_DIA-P109))</f>
        <v>1000000</v>
      </c>
      <c r="R109" s="16" t="n">
        <f aca="false">MAX(0,P109-CADASTRO_CASAS_BOMBA!$I$10*HORAS_CAPTACAO_DIA-Q108)</f>
        <v>0</v>
      </c>
      <c r="S109" s="16" t="n">
        <f aca="false">INDEX(AUX_MATRIZES!$C$13:$BP$13,MIN(N_SEMANAS,MAX(1,$C109)))/DIAS_POR_SEMANA</f>
        <v>0</v>
      </c>
      <c r="T109" s="16" t="n">
        <f aca="false">MIN(CADASTRO_CASAS_BOMBA!$O$11,MAX(0,T108+CADASTRO_CASAS_BOMBA!$I$11*HORAS_CAPTACAO_DIA-S109))</f>
        <v>469821</v>
      </c>
      <c r="U109" s="16" t="n">
        <f aca="false">MAX(0,S109-CADASTRO_CASAS_BOMBA!$I$11*HORAS_CAPTACAO_DIA-T108)</f>
        <v>0</v>
      </c>
      <c r="V109" s="16" t="n">
        <f aca="false">INDEX(AUX_MATRIZES!$C$14:$BP$14,MIN(N_SEMANAS,MAX(1,$C109)))/DIAS_POR_SEMANA</f>
        <v>0</v>
      </c>
      <c r="W109" s="16" t="n">
        <f aca="false">MIN(CADASTRO_CASAS_BOMBA!$O$12,MAX(0,W108+CADASTRO_CASAS_BOMBA!$I$12*HORAS_CAPTACAO_DIA-V109))</f>
        <v>440000</v>
      </c>
      <c r="X109" s="16" t="n">
        <f aca="false">MAX(0,V109-CADASTRO_CASAS_BOMBA!$I$12*HORAS_CAPTACAO_DIA-W108)</f>
        <v>0</v>
      </c>
      <c r="Y109" s="16" t="n">
        <f aca="false">INDEX(AUX_MATRIZES!$C$15:$BP$15,MIN(N_SEMANAS,MAX(1,$C109)))/DIAS_POR_SEMANA</f>
        <v>0</v>
      </c>
      <c r="Z109" s="16" t="n">
        <f aca="false">MIN(CADASTRO_CASAS_BOMBA!$O$13,MAX(0,Z108+CADASTRO_CASAS_BOMBA!$I$13*HORAS_CAPTACAO_DIA-Y109))</f>
        <v>74903</v>
      </c>
      <c r="AA109" s="16" t="n">
        <f aca="false">MAX(0,Y109-CADASTRO_CASAS_BOMBA!$I$13*HORAS_CAPTACAO_DIA-Z108)</f>
        <v>0</v>
      </c>
    </row>
    <row r="110" customFormat="false" ht="15" hidden="false" customHeight="false" outlineLevel="0" collapsed="false">
      <c r="B110" s="17" t="n">
        <f aca="false">DATA_INICIO_SAFRA+103</f>
        <v>46368</v>
      </c>
      <c r="C110" s="16" t="n">
        <f aca="false">MIN(N_SEMANAS,MAX(1,INT(($B110-DATA_INICIO_SAFRA)/DIAS_POR_SEMANA)+1))</f>
        <v>15</v>
      </c>
      <c r="D110" s="16" t="n">
        <f aca="false">INDEX(AUX_MATRIZES!$C$8:$BP$8,MIN(N_SEMANAS,MAX(1,$C110)))/DIAS_POR_SEMANA</f>
        <v>0</v>
      </c>
      <c r="E110" s="16" t="n">
        <f aca="false">MIN(CADASTRO_CASAS_BOMBA!$O$6,MAX(0,E109+CADASTRO_CASAS_BOMBA!$I$6*HORAS_CAPTACAO_DIA-D110))</f>
        <v>2600</v>
      </c>
      <c r="F110" s="16" t="n">
        <f aca="false">MAX(0,D110-CADASTRO_CASAS_BOMBA!$I$6*HORAS_CAPTACAO_DIA-E109)</f>
        <v>0</v>
      </c>
      <c r="G110" s="16" t="n">
        <f aca="false">INDEX(AUX_MATRIZES!$C$9:$BP$9,MIN(N_SEMANAS,MAX(1,$C110)))/DIAS_POR_SEMANA</f>
        <v>0</v>
      </c>
      <c r="H110" s="16" t="n">
        <f aca="false">MIN(CADASTRO_CASAS_BOMBA!$O$7,MAX(0,H109+CADASTRO_CASAS_BOMBA!$I$7*HORAS_CAPTACAO_DIA-G110))</f>
        <v>76648</v>
      </c>
      <c r="I110" s="16" t="n">
        <f aca="false">MAX(0,G110-CADASTRO_CASAS_BOMBA!$I$7*HORAS_CAPTACAO_DIA-H109)</f>
        <v>0</v>
      </c>
      <c r="J110" s="16" t="n">
        <f aca="false">INDEX(AUX_MATRIZES!$C$10:$BP$10,MIN(N_SEMANAS,MAX(1,$C110)))/DIAS_POR_SEMANA</f>
        <v>0</v>
      </c>
      <c r="K110" s="16" t="n">
        <f aca="false">MIN(CADASTRO_CASAS_BOMBA!$O$8,MAX(0,K109+CADASTRO_CASAS_BOMBA!$I$8*HORAS_CAPTACAO_DIA-J110))</f>
        <v>27377</v>
      </c>
      <c r="L110" s="16" t="n">
        <f aca="false">MAX(0,J110-CADASTRO_CASAS_BOMBA!$I$8*HORAS_CAPTACAO_DIA-K109)</f>
        <v>0</v>
      </c>
      <c r="M110" s="16" t="n">
        <f aca="false">INDEX(AUX_MATRIZES!$C$11:$BP$11,MIN(N_SEMANAS,MAX(1,$C110)))/DIAS_POR_SEMANA</f>
        <v>0</v>
      </c>
      <c r="N110" s="16" t="n">
        <f aca="false">MIN(CADASTRO_CASAS_BOMBA!$O$9,MAX(0,N109+CADASTRO_CASAS_BOMBA!$I$9*HORAS_CAPTACAO_DIA-M110))</f>
        <v>129000</v>
      </c>
      <c r="O110" s="16" t="n">
        <f aca="false">MAX(0,M110-CADASTRO_CASAS_BOMBA!$I$9*HORAS_CAPTACAO_DIA-N109)</f>
        <v>0</v>
      </c>
      <c r="P110" s="16" t="n">
        <f aca="false">INDEX(AUX_MATRIZES!$C$12:$BP$12,MIN(N_SEMANAS,MAX(1,$C110)))/DIAS_POR_SEMANA</f>
        <v>0</v>
      </c>
      <c r="Q110" s="16" t="n">
        <f aca="false">MIN(CADASTRO_CASAS_BOMBA!$O$10,MAX(0,Q109+CADASTRO_CASAS_BOMBA!$I$10*HORAS_CAPTACAO_DIA-P110))</f>
        <v>1000000</v>
      </c>
      <c r="R110" s="16" t="n">
        <f aca="false">MAX(0,P110-CADASTRO_CASAS_BOMBA!$I$10*HORAS_CAPTACAO_DIA-Q109)</f>
        <v>0</v>
      </c>
      <c r="S110" s="16" t="n">
        <f aca="false">INDEX(AUX_MATRIZES!$C$13:$BP$13,MIN(N_SEMANAS,MAX(1,$C110)))/DIAS_POR_SEMANA</f>
        <v>0</v>
      </c>
      <c r="T110" s="16" t="n">
        <f aca="false">MIN(CADASTRO_CASAS_BOMBA!$O$11,MAX(0,T109+CADASTRO_CASAS_BOMBA!$I$11*HORAS_CAPTACAO_DIA-S110))</f>
        <v>469821</v>
      </c>
      <c r="U110" s="16" t="n">
        <f aca="false">MAX(0,S110-CADASTRO_CASAS_BOMBA!$I$11*HORAS_CAPTACAO_DIA-T109)</f>
        <v>0</v>
      </c>
      <c r="V110" s="16" t="n">
        <f aca="false">INDEX(AUX_MATRIZES!$C$14:$BP$14,MIN(N_SEMANAS,MAX(1,$C110)))/DIAS_POR_SEMANA</f>
        <v>0</v>
      </c>
      <c r="W110" s="16" t="n">
        <f aca="false">MIN(CADASTRO_CASAS_BOMBA!$O$12,MAX(0,W109+CADASTRO_CASAS_BOMBA!$I$12*HORAS_CAPTACAO_DIA-V110))</f>
        <v>440000</v>
      </c>
      <c r="X110" s="16" t="n">
        <f aca="false">MAX(0,V110-CADASTRO_CASAS_BOMBA!$I$12*HORAS_CAPTACAO_DIA-W109)</f>
        <v>0</v>
      </c>
      <c r="Y110" s="16" t="n">
        <f aca="false">INDEX(AUX_MATRIZES!$C$15:$BP$15,MIN(N_SEMANAS,MAX(1,$C110)))/DIAS_POR_SEMANA</f>
        <v>0</v>
      </c>
      <c r="Z110" s="16" t="n">
        <f aca="false">MIN(CADASTRO_CASAS_BOMBA!$O$13,MAX(0,Z109+CADASTRO_CASAS_BOMBA!$I$13*HORAS_CAPTACAO_DIA-Y110))</f>
        <v>74903</v>
      </c>
      <c r="AA110" s="16" t="n">
        <f aca="false">MAX(0,Y110-CADASTRO_CASAS_BOMBA!$I$13*HORAS_CAPTACAO_DIA-Z109)</f>
        <v>0</v>
      </c>
    </row>
    <row r="111" customFormat="false" ht="15" hidden="false" customHeight="false" outlineLevel="0" collapsed="false">
      <c r="B111" s="17" t="n">
        <f aca="false">DATA_INICIO_SAFRA+104</f>
        <v>46369</v>
      </c>
      <c r="C111" s="16" t="n">
        <f aca="false">MIN(N_SEMANAS,MAX(1,INT(($B111-DATA_INICIO_SAFRA)/DIAS_POR_SEMANA)+1))</f>
        <v>15</v>
      </c>
      <c r="D111" s="16" t="n">
        <f aca="false">INDEX(AUX_MATRIZES!$C$8:$BP$8,MIN(N_SEMANAS,MAX(1,$C111)))/DIAS_POR_SEMANA</f>
        <v>0</v>
      </c>
      <c r="E111" s="16" t="n">
        <f aca="false">MIN(CADASTRO_CASAS_BOMBA!$O$6,MAX(0,E110+CADASTRO_CASAS_BOMBA!$I$6*HORAS_CAPTACAO_DIA-D111))</f>
        <v>2600</v>
      </c>
      <c r="F111" s="16" t="n">
        <f aca="false">MAX(0,D111-CADASTRO_CASAS_BOMBA!$I$6*HORAS_CAPTACAO_DIA-E110)</f>
        <v>0</v>
      </c>
      <c r="G111" s="16" t="n">
        <f aca="false">INDEX(AUX_MATRIZES!$C$9:$BP$9,MIN(N_SEMANAS,MAX(1,$C111)))/DIAS_POR_SEMANA</f>
        <v>0</v>
      </c>
      <c r="H111" s="16" t="n">
        <f aca="false">MIN(CADASTRO_CASAS_BOMBA!$O$7,MAX(0,H110+CADASTRO_CASAS_BOMBA!$I$7*HORAS_CAPTACAO_DIA-G111))</f>
        <v>76648</v>
      </c>
      <c r="I111" s="16" t="n">
        <f aca="false">MAX(0,G111-CADASTRO_CASAS_BOMBA!$I$7*HORAS_CAPTACAO_DIA-H110)</f>
        <v>0</v>
      </c>
      <c r="J111" s="16" t="n">
        <f aca="false">INDEX(AUX_MATRIZES!$C$10:$BP$10,MIN(N_SEMANAS,MAX(1,$C111)))/DIAS_POR_SEMANA</f>
        <v>0</v>
      </c>
      <c r="K111" s="16" t="n">
        <f aca="false">MIN(CADASTRO_CASAS_BOMBA!$O$8,MAX(0,K110+CADASTRO_CASAS_BOMBA!$I$8*HORAS_CAPTACAO_DIA-J111))</f>
        <v>27377</v>
      </c>
      <c r="L111" s="16" t="n">
        <f aca="false">MAX(0,J111-CADASTRO_CASAS_BOMBA!$I$8*HORAS_CAPTACAO_DIA-K110)</f>
        <v>0</v>
      </c>
      <c r="M111" s="16" t="n">
        <f aca="false">INDEX(AUX_MATRIZES!$C$11:$BP$11,MIN(N_SEMANAS,MAX(1,$C111)))/DIAS_POR_SEMANA</f>
        <v>0</v>
      </c>
      <c r="N111" s="16" t="n">
        <f aca="false">MIN(CADASTRO_CASAS_BOMBA!$O$9,MAX(0,N110+CADASTRO_CASAS_BOMBA!$I$9*HORAS_CAPTACAO_DIA-M111))</f>
        <v>129000</v>
      </c>
      <c r="O111" s="16" t="n">
        <f aca="false">MAX(0,M111-CADASTRO_CASAS_BOMBA!$I$9*HORAS_CAPTACAO_DIA-N110)</f>
        <v>0</v>
      </c>
      <c r="P111" s="16" t="n">
        <f aca="false">INDEX(AUX_MATRIZES!$C$12:$BP$12,MIN(N_SEMANAS,MAX(1,$C111)))/DIAS_POR_SEMANA</f>
        <v>0</v>
      </c>
      <c r="Q111" s="16" t="n">
        <f aca="false">MIN(CADASTRO_CASAS_BOMBA!$O$10,MAX(0,Q110+CADASTRO_CASAS_BOMBA!$I$10*HORAS_CAPTACAO_DIA-P111))</f>
        <v>1000000</v>
      </c>
      <c r="R111" s="16" t="n">
        <f aca="false">MAX(0,P111-CADASTRO_CASAS_BOMBA!$I$10*HORAS_CAPTACAO_DIA-Q110)</f>
        <v>0</v>
      </c>
      <c r="S111" s="16" t="n">
        <f aca="false">INDEX(AUX_MATRIZES!$C$13:$BP$13,MIN(N_SEMANAS,MAX(1,$C111)))/DIAS_POR_SEMANA</f>
        <v>0</v>
      </c>
      <c r="T111" s="16" t="n">
        <f aca="false">MIN(CADASTRO_CASAS_BOMBA!$O$11,MAX(0,T110+CADASTRO_CASAS_BOMBA!$I$11*HORAS_CAPTACAO_DIA-S111))</f>
        <v>469821</v>
      </c>
      <c r="U111" s="16" t="n">
        <f aca="false">MAX(0,S111-CADASTRO_CASAS_BOMBA!$I$11*HORAS_CAPTACAO_DIA-T110)</f>
        <v>0</v>
      </c>
      <c r="V111" s="16" t="n">
        <f aca="false">INDEX(AUX_MATRIZES!$C$14:$BP$14,MIN(N_SEMANAS,MAX(1,$C111)))/DIAS_POR_SEMANA</f>
        <v>0</v>
      </c>
      <c r="W111" s="16" t="n">
        <f aca="false">MIN(CADASTRO_CASAS_BOMBA!$O$12,MAX(0,W110+CADASTRO_CASAS_BOMBA!$I$12*HORAS_CAPTACAO_DIA-V111))</f>
        <v>440000</v>
      </c>
      <c r="X111" s="16" t="n">
        <f aca="false">MAX(0,V111-CADASTRO_CASAS_BOMBA!$I$12*HORAS_CAPTACAO_DIA-W110)</f>
        <v>0</v>
      </c>
      <c r="Y111" s="16" t="n">
        <f aca="false">INDEX(AUX_MATRIZES!$C$15:$BP$15,MIN(N_SEMANAS,MAX(1,$C111)))/DIAS_POR_SEMANA</f>
        <v>0</v>
      </c>
      <c r="Z111" s="16" t="n">
        <f aca="false">MIN(CADASTRO_CASAS_BOMBA!$O$13,MAX(0,Z110+CADASTRO_CASAS_BOMBA!$I$13*HORAS_CAPTACAO_DIA-Y111))</f>
        <v>74903</v>
      </c>
      <c r="AA111" s="16" t="n">
        <f aca="false">MAX(0,Y111-CADASTRO_CASAS_BOMBA!$I$13*HORAS_CAPTACAO_DIA-Z110)</f>
        <v>0</v>
      </c>
    </row>
    <row r="112" customFormat="false" ht="15" hidden="false" customHeight="false" outlineLevel="0" collapsed="false">
      <c r="B112" s="17" t="n">
        <f aca="false">DATA_INICIO_SAFRA+105</f>
        <v>46370</v>
      </c>
      <c r="C112" s="16" t="n">
        <f aca="false">MIN(N_SEMANAS,MAX(1,INT(($B112-DATA_INICIO_SAFRA)/DIAS_POR_SEMANA)+1))</f>
        <v>16</v>
      </c>
      <c r="D112" s="16" t="n">
        <f aca="false">INDEX(AUX_MATRIZES!$C$8:$BP$8,MIN(N_SEMANAS,MAX(1,$C112)))/DIAS_POR_SEMANA</f>
        <v>0</v>
      </c>
      <c r="E112" s="16" t="n">
        <f aca="false">MIN(CADASTRO_CASAS_BOMBA!$O$6,MAX(0,E111+CADASTRO_CASAS_BOMBA!$I$6*HORAS_CAPTACAO_DIA-D112))</f>
        <v>2600</v>
      </c>
      <c r="F112" s="16" t="n">
        <f aca="false">MAX(0,D112-CADASTRO_CASAS_BOMBA!$I$6*HORAS_CAPTACAO_DIA-E111)</f>
        <v>0</v>
      </c>
      <c r="G112" s="16" t="n">
        <f aca="false">INDEX(AUX_MATRIZES!$C$9:$BP$9,MIN(N_SEMANAS,MAX(1,$C112)))/DIAS_POR_SEMANA</f>
        <v>0</v>
      </c>
      <c r="H112" s="16" t="n">
        <f aca="false">MIN(CADASTRO_CASAS_BOMBA!$O$7,MAX(0,H111+CADASTRO_CASAS_BOMBA!$I$7*HORAS_CAPTACAO_DIA-G112))</f>
        <v>76648</v>
      </c>
      <c r="I112" s="16" t="n">
        <f aca="false">MAX(0,G112-CADASTRO_CASAS_BOMBA!$I$7*HORAS_CAPTACAO_DIA-H111)</f>
        <v>0</v>
      </c>
      <c r="J112" s="16" t="n">
        <f aca="false">INDEX(AUX_MATRIZES!$C$10:$BP$10,MIN(N_SEMANAS,MAX(1,$C112)))/DIAS_POR_SEMANA</f>
        <v>0</v>
      </c>
      <c r="K112" s="16" t="n">
        <f aca="false">MIN(CADASTRO_CASAS_BOMBA!$O$8,MAX(0,K111+CADASTRO_CASAS_BOMBA!$I$8*HORAS_CAPTACAO_DIA-J112))</f>
        <v>27377</v>
      </c>
      <c r="L112" s="16" t="n">
        <f aca="false">MAX(0,J112-CADASTRO_CASAS_BOMBA!$I$8*HORAS_CAPTACAO_DIA-K111)</f>
        <v>0</v>
      </c>
      <c r="M112" s="16" t="n">
        <f aca="false">INDEX(AUX_MATRIZES!$C$11:$BP$11,MIN(N_SEMANAS,MAX(1,$C112)))/DIAS_POR_SEMANA</f>
        <v>0</v>
      </c>
      <c r="N112" s="16" t="n">
        <f aca="false">MIN(CADASTRO_CASAS_BOMBA!$O$9,MAX(0,N111+CADASTRO_CASAS_BOMBA!$I$9*HORAS_CAPTACAO_DIA-M112))</f>
        <v>129000</v>
      </c>
      <c r="O112" s="16" t="n">
        <f aca="false">MAX(0,M112-CADASTRO_CASAS_BOMBA!$I$9*HORAS_CAPTACAO_DIA-N111)</f>
        <v>0</v>
      </c>
      <c r="P112" s="16" t="n">
        <f aca="false">INDEX(AUX_MATRIZES!$C$12:$BP$12,MIN(N_SEMANAS,MAX(1,$C112)))/DIAS_POR_SEMANA</f>
        <v>0</v>
      </c>
      <c r="Q112" s="16" t="n">
        <f aca="false">MIN(CADASTRO_CASAS_BOMBA!$O$10,MAX(0,Q111+CADASTRO_CASAS_BOMBA!$I$10*HORAS_CAPTACAO_DIA-P112))</f>
        <v>1000000</v>
      </c>
      <c r="R112" s="16" t="n">
        <f aca="false">MAX(0,P112-CADASTRO_CASAS_BOMBA!$I$10*HORAS_CAPTACAO_DIA-Q111)</f>
        <v>0</v>
      </c>
      <c r="S112" s="16" t="n">
        <f aca="false">INDEX(AUX_MATRIZES!$C$13:$BP$13,MIN(N_SEMANAS,MAX(1,$C112)))/DIAS_POR_SEMANA</f>
        <v>0</v>
      </c>
      <c r="T112" s="16" t="n">
        <f aca="false">MIN(CADASTRO_CASAS_BOMBA!$O$11,MAX(0,T111+CADASTRO_CASAS_BOMBA!$I$11*HORAS_CAPTACAO_DIA-S112))</f>
        <v>469821</v>
      </c>
      <c r="U112" s="16" t="n">
        <f aca="false">MAX(0,S112-CADASTRO_CASAS_BOMBA!$I$11*HORAS_CAPTACAO_DIA-T111)</f>
        <v>0</v>
      </c>
      <c r="V112" s="16" t="n">
        <f aca="false">INDEX(AUX_MATRIZES!$C$14:$BP$14,MIN(N_SEMANAS,MAX(1,$C112)))/DIAS_POR_SEMANA</f>
        <v>0</v>
      </c>
      <c r="W112" s="16" t="n">
        <f aca="false">MIN(CADASTRO_CASAS_BOMBA!$O$12,MAX(0,W111+CADASTRO_CASAS_BOMBA!$I$12*HORAS_CAPTACAO_DIA-V112))</f>
        <v>440000</v>
      </c>
      <c r="X112" s="16" t="n">
        <f aca="false">MAX(0,V112-CADASTRO_CASAS_BOMBA!$I$12*HORAS_CAPTACAO_DIA-W111)</f>
        <v>0</v>
      </c>
      <c r="Y112" s="16" t="n">
        <f aca="false">INDEX(AUX_MATRIZES!$C$15:$BP$15,MIN(N_SEMANAS,MAX(1,$C112)))/DIAS_POR_SEMANA</f>
        <v>0</v>
      </c>
      <c r="Z112" s="16" t="n">
        <f aca="false">MIN(CADASTRO_CASAS_BOMBA!$O$13,MAX(0,Z111+CADASTRO_CASAS_BOMBA!$I$13*HORAS_CAPTACAO_DIA-Y112))</f>
        <v>74903</v>
      </c>
      <c r="AA112" s="16" t="n">
        <f aca="false">MAX(0,Y112-CADASTRO_CASAS_BOMBA!$I$13*HORAS_CAPTACAO_DIA-Z111)</f>
        <v>0</v>
      </c>
    </row>
    <row r="113" customFormat="false" ht="15" hidden="false" customHeight="false" outlineLevel="0" collapsed="false">
      <c r="B113" s="17" t="n">
        <f aca="false">DATA_INICIO_SAFRA+106</f>
        <v>46371</v>
      </c>
      <c r="C113" s="16" t="n">
        <f aca="false">MIN(N_SEMANAS,MAX(1,INT(($B113-DATA_INICIO_SAFRA)/DIAS_POR_SEMANA)+1))</f>
        <v>16</v>
      </c>
      <c r="D113" s="16" t="n">
        <f aca="false">INDEX(AUX_MATRIZES!$C$8:$BP$8,MIN(N_SEMANAS,MAX(1,$C113)))/DIAS_POR_SEMANA</f>
        <v>0</v>
      </c>
      <c r="E113" s="16" t="n">
        <f aca="false">MIN(CADASTRO_CASAS_BOMBA!$O$6,MAX(0,E112+CADASTRO_CASAS_BOMBA!$I$6*HORAS_CAPTACAO_DIA-D113))</f>
        <v>2600</v>
      </c>
      <c r="F113" s="16" t="n">
        <f aca="false">MAX(0,D113-CADASTRO_CASAS_BOMBA!$I$6*HORAS_CAPTACAO_DIA-E112)</f>
        <v>0</v>
      </c>
      <c r="G113" s="16" t="n">
        <f aca="false">INDEX(AUX_MATRIZES!$C$9:$BP$9,MIN(N_SEMANAS,MAX(1,$C113)))/DIAS_POR_SEMANA</f>
        <v>0</v>
      </c>
      <c r="H113" s="16" t="n">
        <f aca="false">MIN(CADASTRO_CASAS_BOMBA!$O$7,MAX(0,H112+CADASTRO_CASAS_BOMBA!$I$7*HORAS_CAPTACAO_DIA-G113))</f>
        <v>76648</v>
      </c>
      <c r="I113" s="16" t="n">
        <f aca="false">MAX(0,G113-CADASTRO_CASAS_BOMBA!$I$7*HORAS_CAPTACAO_DIA-H112)</f>
        <v>0</v>
      </c>
      <c r="J113" s="16" t="n">
        <f aca="false">INDEX(AUX_MATRIZES!$C$10:$BP$10,MIN(N_SEMANAS,MAX(1,$C113)))/DIAS_POR_SEMANA</f>
        <v>0</v>
      </c>
      <c r="K113" s="16" t="n">
        <f aca="false">MIN(CADASTRO_CASAS_BOMBA!$O$8,MAX(0,K112+CADASTRO_CASAS_BOMBA!$I$8*HORAS_CAPTACAO_DIA-J113))</f>
        <v>27377</v>
      </c>
      <c r="L113" s="16" t="n">
        <f aca="false">MAX(0,J113-CADASTRO_CASAS_BOMBA!$I$8*HORAS_CAPTACAO_DIA-K112)</f>
        <v>0</v>
      </c>
      <c r="M113" s="16" t="n">
        <f aca="false">INDEX(AUX_MATRIZES!$C$11:$BP$11,MIN(N_SEMANAS,MAX(1,$C113)))/DIAS_POR_SEMANA</f>
        <v>0</v>
      </c>
      <c r="N113" s="16" t="n">
        <f aca="false">MIN(CADASTRO_CASAS_BOMBA!$O$9,MAX(0,N112+CADASTRO_CASAS_BOMBA!$I$9*HORAS_CAPTACAO_DIA-M113))</f>
        <v>129000</v>
      </c>
      <c r="O113" s="16" t="n">
        <f aca="false">MAX(0,M113-CADASTRO_CASAS_BOMBA!$I$9*HORAS_CAPTACAO_DIA-N112)</f>
        <v>0</v>
      </c>
      <c r="P113" s="16" t="n">
        <f aca="false">INDEX(AUX_MATRIZES!$C$12:$BP$12,MIN(N_SEMANAS,MAX(1,$C113)))/DIAS_POR_SEMANA</f>
        <v>0</v>
      </c>
      <c r="Q113" s="16" t="n">
        <f aca="false">MIN(CADASTRO_CASAS_BOMBA!$O$10,MAX(0,Q112+CADASTRO_CASAS_BOMBA!$I$10*HORAS_CAPTACAO_DIA-P113))</f>
        <v>1000000</v>
      </c>
      <c r="R113" s="16" t="n">
        <f aca="false">MAX(0,P113-CADASTRO_CASAS_BOMBA!$I$10*HORAS_CAPTACAO_DIA-Q112)</f>
        <v>0</v>
      </c>
      <c r="S113" s="16" t="n">
        <f aca="false">INDEX(AUX_MATRIZES!$C$13:$BP$13,MIN(N_SEMANAS,MAX(1,$C113)))/DIAS_POR_SEMANA</f>
        <v>0</v>
      </c>
      <c r="T113" s="16" t="n">
        <f aca="false">MIN(CADASTRO_CASAS_BOMBA!$O$11,MAX(0,T112+CADASTRO_CASAS_BOMBA!$I$11*HORAS_CAPTACAO_DIA-S113))</f>
        <v>469821</v>
      </c>
      <c r="U113" s="16" t="n">
        <f aca="false">MAX(0,S113-CADASTRO_CASAS_BOMBA!$I$11*HORAS_CAPTACAO_DIA-T112)</f>
        <v>0</v>
      </c>
      <c r="V113" s="16" t="n">
        <f aca="false">INDEX(AUX_MATRIZES!$C$14:$BP$14,MIN(N_SEMANAS,MAX(1,$C113)))/DIAS_POR_SEMANA</f>
        <v>0</v>
      </c>
      <c r="W113" s="16" t="n">
        <f aca="false">MIN(CADASTRO_CASAS_BOMBA!$O$12,MAX(0,W112+CADASTRO_CASAS_BOMBA!$I$12*HORAS_CAPTACAO_DIA-V113))</f>
        <v>440000</v>
      </c>
      <c r="X113" s="16" t="n">
        <f aca="false">MAX(0,V113-CADASTRO_CASAS_BOMBA!$I$12*HORAS_CAPTACAO_DIA-W112)</f>
        <v>0</v>
      </c>
      <c r="Y113" s="16" t="n">
        <f aca="false">INDEX(AUX_MATRIZES!$C$15:$BP$15,MIN(N_SEMANAS,MAX(1,$C113)))/DIAS_POR_SEMANA</f>
        <v>0</v>
      </c>
      <c r="Z113" s="16" t="n">
        <f aca="false">MIN(CADASTRO_CASAS_BOMBA!$O$13,MAX(0,Z112+CADASTRO_CASAS_BOMBA!$I$13*HORAS_CAPTACAO_DIA-Y113))</f>
        <v>74903</v>
      </c>
      <c r="AA113" s="16" t="n">
        <f aca="false">MAX(0,Y113-CADASTRO_CASAS_BOMBA!$I$13*HORAS_CAPTACAO_DIA-Z112)</f>
        <v>0</v>
      </c>
    </row>
    <row r="114" customFormat="false" ht="15" hidden="false" customHeight="false" outlineLevel="0" collapsed="false">
      <c r="B114" s="17" t="n">
        <f aca="false">DATA_INICIO_SAFRA+107</f>
        <v>46372</v>
      </c>
      <c r="C114" s="16" t="n">
        <f aca="false">MIN(N_SEMANAS,MAX(1,INT(($B114-DATA_INICIO_SAFRA)/DIAS_POR_SEMANA)+1))</f>
        <v>16</v>
      </c>
      <c r="D114" s="16" t="n">
        <f aca="false">INDEX(AUX_MATRIZES!$C$8:$BP$8,MIN(N_SEMANAS,MAX(1,$C114)))/DIAS_POR_SEMANA</f>
        <v>0</v>
      </c>
      <c r="E114" s="16" t="n">
        <f aca="false">MIN(CADASTRO_CASAS_BOMBA!$O$6,MAX(0,E113+CADASTRO_CASAS_BOMBA!$I$6*HORAS_CAPTACAO_DIA-D114))</f>
        <v>2600</v>
      </c>
      <c r="F114" s="16" t="n">
        <f aca="false">MAX(0,D114-CADASTRO_CASAS_BOMBA!$I$6*HORAS_CAPTACAO_DIA-E113)</f>
        <v>0</v>
      </c>
      <c r="G114" s="16" t="n">
        <f aca="false">INDEX(AUX_MATRIZES!$C$9:$BP$9,MIN(N_SEMANAS,MAX(1,$C114)))/DIAS_POR_SEMANA</f>
        <v>0</v>
      </c>
      <c r="H114" s="16" t="n">
        <f aca="false">MIN(CADASTRO_CASAS_BOMBA!$O$7,MAX(0,H113+CADASTRO_CASAS_BOMBA!$I$7*HORAS_CAPTACAO_DIA-G114))</f>
        <v>76648</v>
      </c>
      <c r="I114" s="16" t="n">
        <f aca="false">MAX(0,G114-CADASTRO_CASAS_BOMBA!$I$7*HORAS_CAPTACAO_DIA-H113)</f>
        <v>0</v>
      </c>
      <c r="J114" s="16" t="n">
        <f aca="false">INDEX(AUX_MATRIZES!$C$10:$BP$10,MIN(N_SEMANAS,MAX(1,$C114)))/DIAS_POR_SEMANA</f>
        <v>0</v>
      </c>
      <c r="K114" s="16" t="n">
        <f aca="false">MIN(CADASTRO_CASAS_BOMBA!$O$8,MAX(0,K113+CADASTRO_CASAS_BOMBA!$I$8*HORAS_CAPTACAO_DIA-J114))</f>
        <v>27377</v>
      </c>
      <c r="L114" s="16" t="n">
        <f aca="false">MAX(0,J114-CADASTRO_CASAS_BOMBA!$I$8*HORAS_CAPTACAO_DIA-K113)</f>
        <v>0</v>
      </c>
      <c r="M114" s="16" t="n">
        <f aca="false">INDEX(AUX_MATRIZES!$C$11:$BP$11,MIN(N_SEMANAS,MAX(1,$C114)))/DIAS_POR_SEMANA</f>
        <v>0</v>
      </c>
      <c r="N114" s="16" t="n">
        <f aca="false">MIN(CADASTRO_CASAS_BOMBA!$O$9,MAX(0,N113+CADASTRO_CASAS_BOMBA!$I$9*HORAS_CAPTACAO_DIA-M114))</f>
        <v>129000</v>
      </c>
      <c r="O114" s="16" t="n">
        <f aca="false">MAX(0,M114-CADASTRO_CASAS_BOMBA!$I$9*HORAS_CAPTACAO_DIA-N113)</f>
        <v>0</v>
      </c>
      <c r="P114" s="16" t="n">
        <f aca="false">INDEX(AUX_MATRIZES!$C$12:$BP$12,MIN(N_SEMANAS,MAX(1,$C114)))/DIAS_POR_SEMANA</f>
        <v>0</v>
      </c>
      <c r="Q114" s="16" t="n">
        <f aca="false">MIN(CADASTRO_CASAS_BOMBA!$O$10,MAX(0,Q113+CADASTRO_CASAS_BOMBA!$I$10*HORAS_CAPTACAO_DIA-P114))</f>
        <v>1000000</v>
      </c>
      <c r="R114" s="16" t="n">
        <f aca="false">MAX(0,P114-CADASTRO_CASAS_BOMBA!$I$10*HORAS_CAPTACAO_DIA-Q113)</f>
        <v>0</v>
      </c>
      <c r="S114" s="16" t="n">
        <f aca="false">INDEX(AUX_MATRIZES!$C$13:$BP$13,MIN(N_SEMANAS,MAX(1,$C114)))/DIAS_POR_SEMANA</f>
        <v>0</v>
      </c>
      <c r="T114" s="16" t="n">
        <f aca="false">MIN(CADASTRO_CASAS_BOMBA!$O$11,MAX(0,T113+CADASTRO_CASAS_BOMBA!$I$11*HORAS_CAPTACAO_DIA-S114))</f>
        <v>469821</v>
      </c>
      <c r="U114" s="16" t="n">
        <f aca="false">MAX(0,S114-CADASTRO_CASAS_BOMBA!$I$11*HORAS_CAPTACAO_DIA-T113)</f>
        <v>0</v>
      </c>
      <c r="V114" s="16" t="n">
        <f aca="false">INDEX(AUX_MATRIZES!$C$14:$BP$14,MIN(N_SEMANAS,MAX(1,$C114)))/DIAS_POR_SEMANA</f>
        <v>0</v>
      </c>
      <c r="W114" s="16" t="n">
        <f aca="false">MIN(CADASTRO_CASAS_BOMBA!$O$12,MAX(0,W113+CADASTRO_CASAS_BOMBA!$I$12*HORAS_CAPTACAO_DIA-V114))</f>
        <v>440000</v>
      </c>
      <c r="X114" s="16" t="n">
        <f aca="false">MAX(0,V114-CADASTRO_CASAS_BOMBA!$I$12*HORAS_CAPTACAO_DIA-W113)</f>
        <v>0</v>
      </c>
      <c r="Y114" s="16" t="n">
        <f aca="false">INDEX(AUX_MATRIZES!$C$15:$BP$15,MIN(N_SEMANAS,MAX(1,$C114)))/DIAS_POR_SEMANA</f>
        <v>0</v>
      </c>
      <c r="Z114" s="16" t="n">
        <f aca="false">MIN(CADASTRO_CASAS_BOMBA!$O$13,MAX(0,Z113+CADASTRO_CASAS_BOMBA!$I$13*HORAS_CAPTACAO_DIA-Y114))</f>
        <v>74903</v>
      </c>
      <c r="AA114" s="16" t="n">
        <f aca="false">MAX(0,Y114-CADASTRO_CASAS_BOMBA!$I$13*HORAS_CAPTACAO_DIA-Z113)</f>
        <v>0</v>
      </c>
    </row>
    <row r="115" customFormat="false" ht="15" hidden="false" customHeight="false" outlineLevel="0" collapsed="false">
      <c r="B115" s="17" t="n">
        <f aca="false">DATA_INICIO_SAFRA+108</f>
        <v>46373</v>
      </c>
      <c r="C115" s="16" t="n">
        <f aca="false">MIN(N_SEMANAS,MAX(1,INT(($B115-DATA_INICIO_SAFRA)/DIAS_POR_SEMANA)+1))</f>
        <v>16</v>
      </c>
      <c r="D115" s="16" t="n">
        <f aca="false">INDEX(AUX_MATRIZES!$C$8:$BP$8,MIN(N_SEMANAS,MAX(1,$C115)))/DIAS_POR_SEMANA</f>
        <v>0</v>
      </c>
      <c r="E115" s="16" t="n">
        <f aca="false">MIN(CADASTRO_CASAS_BOMBA!$O$6,MAX(0,E114+CADASTRO_CASAS_BOMBA!$I$6*HORAS_CAPTACAO_DIA-D115))</f>
        <v>2600</v>
      </c>
      <c r="F115" s="16" t="n">
        <f aca="false">MAX(0,D115-CADASTRO_CASAS_BOMBA!$I$6*HORAS_CAPTACAO_DIA-E114)</f>
        <v>0</v>
      </c>
      <c r="G115" s="16" t="n">
        <f aca="false">INDEX(AUX_MATRIZES!$C$9:$BP$9,MIN(N_SEMANAS,MAX(1,$C115)))/DIAS_POR_SEMANA</f>
        <v>0</v>
      </c>
      <c r="H115" s="16" t="n">
        <f aca="false">MIN(CADASTRO_CASAS_BOMBA!$O$7,MAX(0,H114+CADASTRO_CASAS_BOMBA!$I$7*HORAS_CAPTACAO_DIA-G115))</f>
        <v>76648</v>
      </c>
      <c r="I115" s="16" t="n">
        <f aca="false">MAX(0,G115-CADASTRO_CASAS_BOMBA!$I$7*HORAS_CAPTACAO_DIA-H114)</f>
        <v>0</v>
      </c>
      <c r="J115" s="16" t="n">
        <f aca="false">INDEX(AUX_MATRIZES!$C$10:$BP$10,MIN(N_SEMANAS,MAX(1,$C115)))/DIAS_POR_SEMANA</f>
        <v>0</v>
      </c>
      <c r="K115" s="16" t="n">
        <f aca="false">MIN(CADASTRO_CASAS_BOMBA!$O$8,MAX(0,K114+CADASTRO_CASAS_BOMBA!$I$8*HORAS_CAPTACAO_DIA-J115))</f>
        <v>27377</v>
      </c>
      <c r="L115" s="16" t="n">
        <f aca="false">MAX(0,J115-CADASTRO_CASAS_BOMBA!$I$8*HORAS_CAPTACAO_DIA-K114)</f>
        <v>0</v>
      </c>
      <c r="M115" s="16" t="n">
        <f aca="false">INDEX(AUX_MATRIZES!$C$11:$BP$11,MIN(N_SEMANAS,MAX(1,$C115)))/DIAS_POR_SEMANA</f>
        <v>0</v>
      </c>
      <c r="N115" s="16" t="n">
        <f aca="false">MIN(CADASTRO_CASAS_BOMBA!$O$9,MAX(0,N114+CADASTRO_CASAS_BOMBA!$I$9*HORAS_CAPTACAO_DIA-M115))</f>
        <v>129000</v>
      </c>
      <c r="O115" s="16" t="n">
        <f aca="false">MAX(0,M115-CADASTRO_CASAS_BOMBA!$I$9*HORAS_CAPTACAO_DIA-N114)</f>
        <v>0</v>
      </c>
      <c r="P115" s="16" t="n">
        <f aca="false">INDEX(AUX_MATRIZES!$C$12:$BP$12,MIN(N_SEMANAS,MAX(1,$C115)))/DIAS_POR_SEMANA</f>
        <v>0</v>
      </c>
      <c r="Q115" s="16" t="n">
        <f aca="false">MIN(CADASTRO_CASAS_BOMBA!$O$10,MAX(0,Q114+CADASTRO_CASAS_BOMBA!$I$10*HORAS_CAPTACAO_DIA-P115))</f>
        <v>1000000</v>
      </c>
      <c r="R115" s="16" t="n">
        <f aca="false">MAX(0,P115-CADASTRO_CASAS_BOMBA!$I$10*HORAS_CAPTACAO_DIA-Q114)</f>
        <v>0</v>
      </c>
      <c r="S115" s="16" t="n">
        <f aca="false">INDEX(AUX_MATRIZES!$C$13:$BP$13,MIN(N_SEMANAS,MAX(1,$C115)))/DIAS_POR_SEMANA</f>
        <v>0</v>
      </c>
      <c r="T115" s="16" t="n">
        <f aca="false">MIN(CADASTRO_CASAS_BOMBA!$O$11,MAX(0,T114+CADASTRO_CASAS_BOMBA!$I$11*HORAS_CAPTACAO_DIA-S115))</f>
        <v>469821</v>
      </c>
      <c r="U115" s="16" t="n">
        <f aca="false">MAX(0,S115-CADASTRO_CASAS_BOMBA!$I$11*HORAS_CAPTACAO_DIA-T114)</f>
        <v>0</v>
      </c>
      <c r="V115" s="16" t="n">
        <f aca="false">INDEX(AUX_MATRIZES!$C$14:$BP$14,MIN(N_SEMANAS,MAX(1,$C115)))/DIAS_POR_SEMANA</f>
        <v>0</v>
      </c>
      <c r="W115" s="16" t="n">
        <f aca="false">MIN(CADASTRO_CASAS_BOMBA!$O$12,MAX(0,W114+CADASTRO_CASAS_BOMBA!$I$12*HORAS_CAPTACAO_DIA-V115))</f>
        <v>440000</v>
      </c>
      <c r="X115" s="16" t="n">
        <f aca="false">MAX(0,V115-CADASTRO_CASAS_BOMBA!$I$12*HORAS_CAPTACAO_DIA-W114)</f>
        <v>0</v>
      </c>
      <c r="Y115" s="16" t="n">
        <f aca="false">INDEX(AUX_MATRIZES!$C$15:$BP$15,MIN(N_SEMANAS,MAX(1,$C115)))/DIAS_POR_SEMANA</f>
        <v>0</v>
      </c>
      <c r="Z115" s="16" t="n">
        <f aca="false">MIN(CADASTRO_CASAS_BOMBA!$O$13,MAX(0,Z114+CADASTRO_CASAS_BOMBA!$I$13*HORAS_CAPTACAO_DIA-Y115))</f>
        <v>74903</v>
      </c>
      <c r="AA115" s="16" t="n">
        <f aca="false">MAX(0,Y115-CADASTRO_CASAS_BOMBA!$I$13*HORAS_CAPTACAO_DIA-Z114)</f>
        <v>0</v>
      </c>
    </row>
    <row r="116" customFormat="false" ht="15" hidden="false" customHeight="false" outlineLevel="0" collapsed="false">
      <c r="B116" s="17" t="n">
        <f aca="false">DATA_INICIO_SAFRA+109</f>
        <v>46374</v>
      </c>
      <c r="C116" s="16" t="n">
        <f aca="false">MIN(N_SEMANAS,MAX(1,INT(($B116-DATA_INICIO_SAFRA)/DIAS_POR_SEMANA)+1))</f>
        <v>16</v>
      </c>
      <c r="D116" s="16" t="n">
        <f aca="false">INDEX(AUX_MATRIZES!$C$8:$BP$8,MIN(N_SEMANAS,MAX(1,$C116)))/DIAS_POR_SEMANA</f>
        <v>0</v>
      </c>
      <c r="E116" s="16" t="n">
        <f aca="false">MIN(CADASTRO_CASAS_BOMBA!$O$6,MAX(0,E115+CADASTRO_CASAS_BOMBA!$I$6*HORAS_CAPTACAO_DIA-D116))</f>
        <v>2600</v>
      </c>
      <c r="F116" s="16" t="n">
        <f aca="false">MAX(0,D116-CADASTRO_CASAS_BOMBA!$I$6*HORAS_CAPTACAO_DIA-E115)</f>
        <v>0</v>
      </c>
      <c r="G116" s="16" t="n">
        <f aca="false">INDEX(AUX_MATRIZES!$C$9:$BP$9,MIN(N_SEMANAS,MAX(1,$C116)))/DIAS_POR_SEMANA</f>
        <v>0</v>
      </c>
      <c r="H116" s="16" t="n">
        <f aca="false">MIN(CADASTRO_CASAS_BOMBA!$O$7,MAX(0,H115+CADASTRO_CASAS_BOMBA!$I$7*HORAS_CAPTACAO_DIA-G116))</f>
        <v>76648</v>
      </c>
      <c r="I116" s="16" t="n">
        <f aca="false">MAX(0,G116-CADASTRO_CASAS_BOMBA!$I$7*HORAS_CAPTACAO_DIA-H115)</f>
        <v>0</v>
      </c>
      <c r="J116" s="16" t="n">
        <f aca="false">INDEX(AUX_MATRIZES!$C$10:$BP$10,MIN(N_SEMANAS,MAX(1,$C116)))/DIAS_POR_SEMANA</f>
        <v>0</v>
      </c>
      <c r="K116" s="16" t="n">
        <f aca="false">MIN(CADASTRO_CASAS_BOMBA!$O$8,MAX(0,K115+CADASTRO_CASAS_BOMBA!$I$8*HORAS_CAPTACAO_DIA-J116))</f>
        <v>27377</v>
      </c>
      <c r="L116" s="16" t="n">
        <f aca="false">MAX(0,J116-CADASTRO_CASAS_BOMBA!$I$8*HORAS_CAPTACAO_DIA-K115)</f>
        <v>0</v>
      </c>
      <c r="M116" s="16" t="n">
        <f aca="false">INDEX(AUX_MATRIZES!$C$11:$BP$11,MIN(N_SEMANAS,MAX(1,$C116)))/DIAS_POR_SEMANA</f>
        <v>0</v>
      </c>
      <c r="N116" s="16" t="n">
        <f aca="false">MIN(CADASTRO_CASAS_BOMBA!$O$9,MAX(0,N115+CADASTRO_CASAS_BOMBA!$I$9*HORAS_CAPTACAO_DIA-M116))</f>
        <v>129000</v>
      </c>
      <c r="O116" s="16" t="n">
        <f aca="false">MAX(0,M116-CADASTRO_CASAS_BOMBA!$I$9*HORAS_CAPTACAO_DIA-N115)</f>
        <v>0</v>
      </c>
      <c r="P116" s="16" t="n">
        <f aca="false">INDEX(AUX_MATRIZES!$C$12:$BP$12,MIN(N_SEMANAS,MAX(1,$C116)))/DIAS_POR_SEMANA</f>
        <v>0</v>
      </c>
      <c r="Q116" s="16" t="n">
        <f aca="false">MIN(CADASTRO_CASAS_BOMBA!$O$10,MAX(0,Q115+CADASTRO_CASAS_BOMBA!$I$10*HORAS_CAPTACAO_DIA-P116))</f>
        <v>1000000</v>
      </c>
      <c r="R116" s="16" t="n">
        <f aca="false">MAX(0,P116-CADASTRO_CASAS_BOMBA!$I$10*HORAS_CAPTACAO_DIA-Q115)</f>
        <v>0</v>
      </c>
      <c r="S116" s="16" t="n">
        <f aca="false">INDEX(AUX_MATRIZES!$C$13:$BP$13,MIN(N_SEMANAS,MAX(1,$C116)))/DIAS_POR_SEMANA</f>
        <v>0</v>
      </c>
      <c r="T116" s="16" t="n">
        <f aca="false">MIN(CADASTRO_CASAS_BOMBA!$O$11,MAX(0,T115+CADASTRO_CASAS_BOMBA!$I$11*HORAS_CAPTACAO_DIA-S116))</f>
        <v>469821</v>
      </c>
      <c r="U116" s="16" t="n">
        <f aca="false">MAX(0,S116-CADASTRO_CASAS_BOMBA!$I$11*HORAS_CAPTACAO_DIA-T115)</f>
        <v>0</v>
      </c>
      <c r="V116" s="16" t="n">
        <f aca="false">INDEX(AUX_MATRIZES!$C$14:$BP$14,MIN(N_SEMANAS,MAX(1,$C116)))/DIAS_POR_SEMANA</f>
        <v>0</v>
      </c>
      <c r="W116" s="16" t="n">
        <f aca="false">MIN(CADASTRO_CASAS_BOMBA!$O$12,MAX(0,W115+CADASTRO_CASAS_BOMBA!$I$12*HORAS_CAPTACAO_DIA-V116))</f>
        <v>440000</v>
      </c>
      <c r="X116" s="16" t="n">
        <f aca="false">MAX(0,V116-CADASTRO_CASAS_BOMBA!$I$12*HORAS_CAPTACAO_DIA-W115)</f>
        <v>0</v>
      </c>
      <c r="Y116" s="16" t="n">
        <f aca="false">INDEX(AUX_MATRIZES!$C$15:$BP$15,MIN(N_SEMANAS,MAX(1,$C116)))/DIAS_POR_SEMANA</f>
        <v>0</v>
      </c>
      <c r="Z116" s="16" t="n">
        <f aca="false">MIN(CADASTRO_CASAS_BOMBA!$O$13,MAX(0,Z115+CADASTRO_CASAS_BOMBA!$I$13*HORAS_CAPTACAO_DIA-Y116))</f>
        <v>74903</v>
      </c>
      <c r="AA116" s="16" t="n">
        <f aca="false">MAX(0,Y116-CADASTRO_CASAS_BOMBA!$I$13*HORAS_CAPTACAO_DIA-Z115)</f>
        <v>0</v>
      </c>
    </row>
    <row r="117" customFormat="false" ht="15" hidden="false" customHeight="false" outlineLevel="0" collapsed="false">
      <c r="B117" s="17" t="n">
        <f aca="false">DATA_INICIO_SAFRA+110</f>
        <v>46375</v>
      </c>
      <c r="C117" s="16" t="n">
        <f aca="false">MIN(N_SEMANAS,MAX(1,INT(($B117-DATA_INICIO_SAFRA)/DIAS_POR_SEMANA)+1))</f>
        <v>16</v>
      </c>
      <c r="D117" s="16" t="n">
        <f aca="false">INDEX(AUX_MATRIZES!$C$8:$BP$8,MIN(N_SEMANAS,MAX(1,$C117)))/DIAS_POR_SEMANA</f>
        <v>0</v>
      </c>
      <c r="E117" s="16" t="n">
        <f aca="false">MIN(CADASTRO_CASAS_BOMBA!$O$6,MAX(0,E116+CADASTRO_CASAS_BOMBA!$I$6*HORAS_CAPTACAO_DIA-D117))</f>
        <v>2600</v>
      </c>
      <c r="F117" s="16" t="n">
        <f aca="false">MAX(0,D117-CADASTRO_CASAS_BOMBA!$I$6*HORAS_CAPTACAO_DIA-E116)</f>
        <v>0</v>
      </c>
      <c r="G117" s="16" t="n">
        <f aca="false">INDEX(AUX_MATRIZES!$C$9:$BP$9,MIN(N_SEMANAS,MAX(1,$C117)))/DIAS_POR_SEMANA</f>
        <v>0</v>
      </c>
      <c r="H117" s="16" t="n">
        <f aca="false">MIN(CADASTRO_CASAS_BOMBA!$O$7,MAX(0,H116+CADASTRO_CASAS_BOMBA!$I$7*HORAS_CAPTACAO_DIA-G117))</f>
        <v>76648</v>
      </c>
      <c r="I117" s="16" t="n">
        <f aca="false">MAX(0,G117-CADASTRO_CASAS_BOMBA!$I$7*HORAS_CAPTACAO_DIA-H116)</f>
        <v>0</v>
      </c>
      <c r="J117" s="16" t="n">
        <f aca="false">INDEX(AUX_MATRIZES!$C$10:$BP$10,MIN(N_SEMANAS,MAX(1,$C117)))/DIAS_POR_SEMANA</f>
        <v>0</v>
      </c>
      <c r="K117" s="16" t="n">
        <f aca="false">MIN(CADASTRO_CASAS_BOMBA!$O$8,MAX(0,K116+CADASTRO_CASAS_BOMBA!$I$8*HORAS_CAPTACAO_DIA-J117))</f>
        <v>27377</v>
      </c>
      <c r="L117" s="16" t="n">
        <f aca="false">MAX(0,J117-CADASTRO_CASAS_BOMBA!$I$8*HORAS_CAPTACAO_DIA-K116)</f>
        <v>0</v>
      </c>
      <c r="M117" s="16" t="n">
        <f aca="false">INDEX(AUX_MATRIZES!$C$11:$BP$11,MIN(N_SEMANAS,MAX(1,$C117)))/DIAS_POR_SEMANA</f>
        <v>0</v>
      </c>
      <c r="N117" s="16" t="n">
        <f aca="false">MIN(CADASTRO_CASAS_BOMBA!$O$9,MAX(0,N116+CADASTRO_CASAS_BOMBA!$I$9*HORAS_CAPTACAO_DIA-M117))</f>
        <v>129000</v>
      </c>
      <c r="O117" s="16" t="n">
        <f aca="false">MAX(0,M117-CADASTRO_CASAS_BOMBA!$I$9*HORAS_CAPTACAO_DIA-N116)</f>
        <v>0</v>
      </c>
      <c r="P117" s="16" t="n">
        <f aca="false">INDEX(AUX_MATRIZES!$C$12:$BP$12,MIN(N_SEMANAS,MAX(1,$C117)))/DIAS_POR_SEMANA</f>
        <v>0</v>
      </c>
      <c r="Q117" s="16" t="n">
        <f aca="false">MIN(CADASTRO_CASAS_BOMBA!$O$10,MAX(0,Q116+CADASTRO_CASAS_BOMBA!$I$10*HORAS_CAPTACAO_DIA-P117))</f>
        <v>1000000</v>
      </c>
      <c r="R117" s="16" t="n">
        <f aca="false">MAX(0,P117-CADASTRO_CASAS_BOMBA!$I$10*HORAS_CAPTACAO_DIA-Q116)</f>
        <v>0</v>
      </c>
      <c r="S117" s="16" t="n">
        <f aca="false">INDEX(AUX_MATRIZES!$C$13:$BP$13,MIN(N_SEMANAS,MAX(1,$C117)))/DIAS_POR_SEMANA</f>
        <v>0</v>
      </c>
      <c r="T117" s="16" t="n">
        <f aca="false">MIN(CADASTRO_CASAS_BOMBA!$O$11,MAX(0,T116+CADASTRO_CASAS_BOMBA!$I$11*HORAS_CAPTACAO_DIA-S117))</f>
        <v>469821</v>
      </c>
      <c r="U117" s="16" t="n">
        <f aca="false">MAX(0,S117-CADASTRO_CASAS_BOMBA!$I$11*HORAS_CAPTACAO_DIA-T116)</f>
        <v>0</v>
      </c>
      <c r="V117" s="16" t="n">
        <f aca="false">INDEX(AUX_MATRIZES!$C$14:$BP$14,MIN(N_SEMANAS,MAX(1,$C117)))/DIAS_POR_SEMANA</f>
        <v>0</v>
      </c>
      <c r="W117" s="16" t="n">
        <f aca="false">MIN(CADASTRO_CASAS_BOMBA!$O$12,MAX(0,W116+CADASTRO_CASAS_BOMBA!$I$12*HORAS_CAPTACAO_DIA-V117))</f>
        <v>440000</v>
      </c>
      <c r="X117" s="16" t="n">
        <f aca="false">MAX(0,V117-CADASTRO_CASAS_BOMBA!$I$12*HORAS_CAPTACAO_DIA-W116)</f>
        <v>0</v>
      </c>
      <c r="Y117" s="16" t="n">
        <f aca="false">INDEX(AUX_MATRIZES!$C$15:$BP$15,MIN(N_SEMANAS,MAX(1,$C117)))/DIAS_POR_SEMANA</f>
        <v>0</v>
      </c>
      <c r="Z117" s="16" t="n">
        <f aca="false">MIN(CADASTRO_CASAS_BOMBA!$O$13,MAX(0,Z116+CADASTRO_CASAS_BOMBA!$I$13*HORAS_CAPTACAO_DIA-Y117))</f>
        <v>74903</v>
      </c>
      <c r="AA117" s="16" t="n">
        <f aca="false">MAX(0,Y117-CADASTRO_CASAS_BOMBA!$I$13*HORAS_CAPTACAO_DIA-Z116)</f>
        <v>0</v>
      </c>
    </row>
    <row r="118" customFormat="false" ht="15" hidden="false" customHeight="false" outlineLevel="0" collapsed="false">
      <c r="B118" s="17" t="n">
        <f aca="false">DATA_INICIO_SAFRA+111</f>
        <v>46376</v>
      </c>
      <c r="C118" s="16" t="n">
        <f aca="false">MIN(N_SEMANAS,MAX(1,INT(($B118-DATA_INICIO_SAFRA)/DIAS_POR_SEMANA)+1))</f>
        <v>16</v>
      </c>
      <c r="D118" s="16" t="n">
        <f aca="false">INDEX(AUX_MATRIZES!$C$8:$BP$8,MIN(N_SEMANAS,MAX(1,$C118)))/DIAS_POR_SEMANA</f>
        <v>0</v>
      </c>
      <c r="E118" s="16" t="n">
        <f aca="false">MIN(CADASTRO_CASAS_BOMBA!$O$6,MAX(0,E117+CADASTRO_CASAS_BOMBA!$I$6*HORAS_CAPTACAO_DIA-D118))</f>
        <v>2600</v>
      </c>
      <c r="F118" s="16" t="n">
        <f aca="false">MAX(0,D118-CADASTRO_CASAS_BOMBA!$I$6*HORAS_CAPTACAO_DIA-E117)</f>
        <v>0</v>
      </c>
      <c r="G118" s="16" t="n">
        <f aca="false">INDEX(AUX_MATRIZES!$C$9:$BP$9,MIN(N_SEMANAS,MAX(1,$C118)))/DIAS_POR_SEMANA</f>
        <v>0</v>
      </c>
      <c r="H118" s="16" t="n">
        <f aca="false">MIN(CADASTRO_CASAS_BOMBA!$O$7,MAX(0,H117+CADASTRO_CASAS_BOMBA!$I$7*HORAS_CAPTACAO_DIA-G118))</f>
        <v>76648</v>
      </c>
      <c r="I118" s="16" t="n">
        <f aca="false">MAX(0,G118-CADASTRO_CASAS_BOMBA!$I$7*HORAS_CAPTACAO_DIA-H117)</f>
        <v>0</v>
      </c>
      <c r="J118" s="16" t="n">
        <f aca="false">INDEX(AUX_MATRIZES!$C$10:$BP$10,MIN(N_SEMANAS,MAX(1,$C118)))/DIAS_POR_SEMANA</f>
        <v>0</v>
      </c>
      <c r="K118" s="16" t="n">
        <f aca="false">MIN(CADASTRO_CASAS_BOMBA!$O$8,MAX(0,K117+CADASTRO_CASAS_BOMBA!$I$8*HORAS_CAPTACAO_DIA-J118))</f>
        <v>27377</v>
      </c>
      <c r="L118" s="16" t="n">
        <f aca="false">MAX(0,J118-CADASTRO_CASAS_BOMBA!$I$8*HORAS_CAPTACAO_DIA-K117)</f>
        <v>0</v>
      </c>
      <c r="M118" s="16" t="n">
        <f aca="false">INDEX(AUX_MATRIZES!$C$11:$BP$11,MIN(N_SEMANAS,MAX(1,$C118)))/DIAS_POR_SEMANA</f>
        <v>0</v>
      </c>
      <c r="N118" s="16" t="n">
        <f aca="false">MIN(CADASTRO_CASAS_BOMBA!$O$9,MAX(0,N117+CADASTRO_CASAS_BOMBA!$I$9*HORAS_CAPTACAO_DIA-M118))</f>
        <v>129000</v>
      </c>
      <c r="O118" s="16" t="n">
        <f aca="false">MAX(0,M118-CADASTRO_CASAS_BOMBA!$I$9*HORAS_CAPTACAO_DIA-N117)</f>
        <v>0</v>
      </c>
      <c r="P118" s="16" t="n">
        <f aca="false">INDEX(AUX_MATRIZES!$C$12:$BP$12,MIN(N_SEMANAS,MAX(1,$C118)))/DIAS_POR_SEMANA</f>
        <v>0</v>
      </c>
      <c r="Q118" s="16" t="n">
        <f aca="false">MIN(CADASTRO_CASAS_BOMBA!$O$10,MAX(0,Q117+CADASTRO_CASAS_BOMBA!$I$10*HORAS_CAPTACAO_DIA-P118))</f>
        <v>1000000</v>
      </c>
      <c r="R118" s="16" t="n">
        <f aca="false">MAX(0,P118-CADASTRO_CASAS_BOMBA!$I$10*HORAS_CAPTACAO_DIA-Q117)</f>
        <v>0</v>
      </c>
      <c r="S118" s="16" t="n">
        <f aca="false">INDEX(AUX_MATRIZES!$C$13:$BP$13,MIN(N_SEMANAS,MAX(1,$C118)))/DIAS_POR_SEMANA</f>
        <v>0</v>
      </c>
      <c r="T118" s="16" t="n">
        <f aca="false">MIN(CADASTRO_CASAS_BOMBA!$O$11,MAX(0,T117+CADASTRO_CASAS_BOMBA!$I$11*HORAS_CAPTACAO_DIA-S118))</f>
        <v>469821</v>
      </c>
      <c r="U118" s="16" t="n">
        <f aca="false">MAX(0,S118-CADASTRO_CASAS_BOMBA!$I$11*HORAS_CAPTACAO_DIA-T117)</f>
        <v>0</v>
      </c>
      <c r="V118" s="16" t="n">
        <f aca="false">INDEX(AUX_MATRIZES!$C$14:$BP$14,MIN(N_SEMANAS,MAX(1,$C118)))/DIAS_POR_SEMANA</f>
        <v>0</v>
      </c>
      <c r="W118" s="16" t="n">
        <f aca="false">MIN(CADASTRO_CASAS_BOMBA!$O$12,MAX(0,W117+CADASTRO_CASAS_BOMBA!$I$12*HORAS_CAPTACAO_DIA-V118))</f>
        <v>440000</v>
      </c>
      <c r="X118" s="16" t="n">
        <f aca="false">MAX(0,V118-CADASTRO_CASAS_BOMBA!$I$12*HORAS_CAPTACAO_DIA-W117)</f>
        <v>0</v>
      </c>
      <c r="Y118" s="16" t="n">
        <f aca="false">INDEX(AUX_MATRIZES!$C$15:$BP$15,MIN(N_SEMANAS,MAX(1,$C118)))/DIAS_POR_SEMANA</f>
        <v>0</v>
      </c>
      <c r="Z118" s="16" t="n">
        <f aca="false">MIN(CADASTRO_CASAS_BOMBA!$O$13,MAX(0,Z117+CADASTRO_CASAS_BOMBA!$I$13*HORAS_CAPTACAO_DIA-Y118))</f>
        <v>74903</v>
      </c>
      <c r="AA118" s="16" t="n">
        <f aca="false">MAX(0,Y118-CADASTRO_CASAS_BOMBA!$I$13*HORAS_CAPTACAO_DIA-Z117)</f>
        <v>0</v>
      </c>
    </row>
    <row r="119" customFormat="false" ht="15" hidden="false" customHeight="false" outlineLevel="0" collapsed="false">
      <c r="B119" s="17" t="n">
        <f aca="false">DATA_INICIO_SAFRA+112</f>
        <v>46377</v>
      </c>
      <c r="C119" s="16" t="n">
        <f aca="false">MIN(N_SEMANAS,MAX(1,INT(($B119-DATA_INICIO_SAFRA)/DIAS_POR_SEMANA)+1))</f>
        <v>17</v>
      </c>
      <c r="D119" s="16" t="n">
        <f aca="false">INDEX(AUX_MATRIZES!$C$8:$BP$8,MIN(N_SEMANAS,MAX(1,$C119)))/DIAS_POR_SEMANA</f>
        <v>0</v>
      </c>
      <c r="E119" s="16" t="n">
        <f aca="false">MIN(CADASTRO_CASAS_BOMBA!$O$6,MAX(0,E118+CADASTRO_CASAS_BOMBA!$I$6*HORAS_CAPTACAO_DIA-D119))</f>
        <v>2600</v>
      </c>
      <c r="F119" s="16" t="n">
        <f aca="false">MAX(0,D119-CADASTRO_CASAS_BOMBA!$I$6*HORAS_CAPTACAO_DIA-E118)</f>
        <v>0</v>
      </c>
      <c r="G119" s="16" t="n">
        <f aca="false">INDEX(AUX_MATRIZES!$C$9:$BP$9,MIN(N_SEMANAS,MAX(1,$C119)))/DIAS_POR_SEMANA</f>
        <v>0</v>
      </c>
      <c r="H119" s="16" t="n">
        <f aca="false">MIN(CADASTRO_CASAS_BOMBA!$O$7,MAX(0,H118+CADASTRO_CASAS_BOMBA!$I$7*HORAS_CAPTACAO_DIA-G119))</f>
        <v>76648</v>
      </c>
      <c r="I119" s="16" t="n">
        <f aca="false">MAX(0,G119-CADASTRO_CASAS_BOMBA!$I$7*HORAS_CAPTACAO_DIA-H118)</f>
        <v>0</v>
      </c>
      <c r="J119" s="16" t="n">
        <f aca="false">INDEX(AUX_MATRIZES!$C$10:$BP$10,MIN(N_SEMANAS,MAX(1,$C119)))/DIAS_POR_SEMANA</f>
        <v>0</v>
      </c>
      <c r="K119" s="16" t="n">
        <f aca="false">MIN(CADASTRO_CASAS_BOMBA!$O$8,MAX(0,K118+CADASTRO_CASAS_BOMBA!$I$8*HORAS_CAPTACAO_DIA-J119))</f>
        <v>27377</v>
      </c>
      <c r="L119" s="16" t="n">
        <f aca="false">MAX(0,J119-CADASTRO_CASAS_BOMBA!$I$8*HORAS_CAPTACAO_DIA-K118)</f>
        <v>0</v>
      </c>
      <c r="M119" s="16" t="n">
        <f aca="false">INDEX(AUX_MATRIZES!$C$11:$BP$11,MIN(N_SEMANAS,MAX(1,$C119)))/DIAS_POR_SEMANA</f>
        <v>0</v>
      </c>
      <c r="N119" s="16" t="n">
        <f aca="false">MIN(CADASTRO_CASAS_BOMBA!$O$9,MAX(0,N118+CADASTRO_CASAS_BOMBA!$I$9*HORAS_CAPTACAO_DIA-M119))</f>
        <v>129000</v>
      </c>
      <c r="O119" s="16" t="n">
        <f aca="false">MAX(0,M119-CADASTRO_CASAS_BOMBA!$I$9*HORAS_CAPTACAO_DIA-N118)</f>
        <v>0</v>
      </c>
      <c r="P119" s="16" t="n">
        <f aca="false">INDEX(AUX_MATRIZES!$C$12:$BP$12,MIN(N_SEMANAS,MAX(1,$C119)))/DIAS_POR_SEMANA</f>
        <v>0</v>
      </c>
      <c r="Q119" s="16" t="n">
        <f aca="false">MIN(CADASTRO_CASAS_BOMBA!$O$10,MAX(0,Q118+CADASTRO_CASAS_BOMBA!$I$10*HORAS_CAPTACAO_DIA-P119))</f>
        <v>1000000</v>
      </c>
      <c r="R119" s="16" t="n">
        <f aca="false">MAX(0,P119-CADASTRO_CASAS_BOMBA!$I$10*HORAS_CAPTACAO_DIA-Q118)</f>
        <v>0</v>
      </c>
      <c r="S119" s="16" t="n">
        <f aca="false">INDEX(AUX_MATRIZES!$C$13:$BP$13,MIN(N_SEMANAS,MAX(1,$C119)))/DIAS_POR_SEMANA</f>
        <v>0</v>
      </c>
      <c r="T119" s="16" t="n">
        <f aca="false">MIN(CADASTRO_CASAS_BOMBA!$O$11,MAX(0,T118+CADASTRO_CASAS_BOMBA!$I$11*HORAS_CAPTACAO_DIA-S119))</f>
        <v>469821</v>
      </c>
      <c r="U119" s="16" t="n">
        <f aca="false">MAX(0,S119-CADASTRO_CASAS_BOMBA!$I$11*HORAS_CAPTACAO_DIA-T118)</f>
        <v>0</v>
      </c>
      <c r="V119" s="16" t="n">
        <f aca="false">INDEX(AUX_MATRIZES!$C$14:$BP$14,MIN(N_SEMANAS,MAX(1,$C119)))/DIAS_POR_SEMANA</f>
        <v>0</v>
      </c>
      <c r="W119" s="16" t="n">
        <f aca="false">MIN(CADASTRO_CASAS_BOMBA!$O$12,MAX(0,W118+CADASTRO_CASAS_BOMBA!$I$12*HORAS_CAPTACAO_DIA-V119))</f>
        <v>440000</v>
      </c>
      <c r="X119" s="16" t="n">
        <f aca="false">MAX(0,V119-CADASTRO_CASAS_BOMBA!$I$12*HORAS_CAPTACAO_DIA-W118)</f>
        <v>0</v>
      </c>
      <c r="Y119" s="16" t="n">
        <f aca="false">INDEX(AUX_MATRIZES!$C$15:$BP$15,MIN(N_SEMANAS,MAX(1,$C119)))/DIAS_POR_SEMANA</f>
        <v>0</v>
      </c>
      <c r="Z119" s="16" t="n">
        <f aca="false">MIN(CADASTRO_CASAS_BOMBA!$O$13,MAX(0,Z118+CADASTRO_CASAS_BOMBA!$I$13*HORAS_CAPTACAO_DIA-Y119))</f>
        <v>74903</v>
      </c>
      <c r="AA119" s="16" t="n">
        <f aca="false">MAX(0,Y119-CADASTRO_CASAS_BOMBA!$I$13*HORAS_CAPTACAO_DIA-Z118)</f>
        <v>0</v>
      </c>
    </row>
    <row r="120" customFormat="false" ht="15" hidden="false" customHeight="false" outlineLevel="0" collapsed="false">
      <c r="B120" s="17" t="n">
        <f aca="false">DATA_INICIO_SAFRA+113</f>
        <v>46378</v>
      </c>
      <c r="C120" s="16" t="n">
        <f aca="false">MIN(N_SEMANAS,MAX(1,INT(($B120-DATA_INICIO_SAFRA)/DIAS_POR_SEMANA)+1))</f>
        <v>17</v>
      </c>
      <c r="D120" s="16" t="n">
        <f aca="false">INDEX(AUX_MATRIZES!$C$8:$BP$8,MIN(N_SEMANAS,MAX(1,$C120)))/DIAS_POR_SEMANA</f>
        <v>0</v>
      </c>
      <c r="E120" s="16" t="n">
        <f aca="false">MIN(CADASTRO_CASAS_BOMBA!$O$6,MAX(0,E119+CADASTRO_CASAS_BOMBA!$I$6*HORAS_CAPTACAO_DIA-D120))</f>
        <v>2600</v>
      </c>
      <c r="F120" s="16" t="n">
        <f aca="false">MAX(0,D120-CADASTRO_CASAS_BOMBA!$I$6*HORAS_CAPTACAO_DIA-E119)</f>
        <v>0</v>
      </c>
      <c r="G120" s="16" t="n">
        <f aca="false">INDEX(AUX_MATRIZES!$C$9:$BP$9,MIN(N_SEMANAS,MAX(1,$C120)))/DIAS_POR_SEMANA</f>
        <v>0</v>
      </c>
      <c r="H120" s="16" t="n">
        <f aca="false">MIN(CADASTRO_CASAS_BOMBA!$O$7,MAX(0,H119+CADASTRO_CASAS_BOMBA!$I$7*HORAS_CAPTACAO_DIA-G120))</f>
        <v>76648</v>
      </c>
      <c r="I120" s="16" t="n">
        <f aca="false">MAX(0,G120-CADASTRO_CASAS_BOMBA!$I$7*HORAS_CAPTACAO_DIA-H119)</f>
        <v>0</v>
      </c>
      <c r="J120" s="16" t="n">
        <f aca="false">INDEX(AUX_MATRIZES!$C$10:$BP$10,MIN(N_SEMANAS,MAX(1,$C120)))/DIAS_POR_SEMANA</f>
        <v>0</v>
      </c>
      <c r="K120" s="16" t="n">
        <f aca="false">MIN(CADASTRO_CASAS_BOMBA!$O$8,MAX(0,K119+CADASTRO_CASAS_BOMBA!$I$8*HORAS_CAPTACAO_DIA-J120))</f>
        <v>27377</v>
      </c>
      <c r="L120" s="16" t="n">
        <f aca="false">MAX(0,J120-CADASTRO_CASAS_BOMBA!$I$8*HORAS_CAPTACAO_DIA-K119)</f>
        <v>0</v>
      </c>
      <c r="M120" s="16" t="n">
        <f aca="false">INDEX(AUX_MATRIZES!$C$11:$BP$11,MIN(N_SEMANAS,MAX(1,$C120)))/DIAS_POR_SEMANA</f>
        <v>0</v>
      </c>
      <c r="N120" s="16" t="n">
        <f aca="false">MIN(CADASTRO_CASAS_BOMBA!$O$9,MAX(0,N119+CADASTRO_CASAS_BOMBA!$I$9*HORAS_CAPTACAO_DIA-M120))</f>
        <v>129000</v>
      </c>
      <c r="O120" s="16" t="n">
        <f aca="false">MAX(0,M120-CADASTRO_CASAS_BOMBA!$I$9*HORAS_CAPTACAO_DIA-N119)</f>
        <v>0</v>
      </c>
      <c r="P120" s="16" t="n">
        <f aca="false">INDEX(AUX_MATRIZES!$C$12:$BP$12,MIN(N_SEMANAS,MAX(1,$C120)))/DIAS_POR_SEMANA</f>
        <v>0</v>
      </c>
      <c r="Q120" s="16" t="n">
        <f aca="false">MIN(CADASTRO_CASAS_BOMBA!$O$10,MAX(0,Q119+CADASTRO_CASAS_BOMBA!$I$10*HORAS_CAPTACAO_DIA-P120))</f>
        <v>1000000</v>
      </c>
      <c r="R120" s="16" t="n">
        <f aca="false">MAX(0,P120-CADASTRO_CASAS_BOMBA!$I$10*HORAS_CAPTACAO_DIA-Q119)</f>
        <v>0</v>
      </c>
      <c r="S120" s="16" t="n">
        <f aca="false">INDEX(AUX_MATRIZES!$C$13:$BP$13,MIN(N_SEMANAS,MAX(1,$C120)))/DIAS_POR_SEMANA</f>
        <v>0</v>
      </c>
      <c r="T120" s="16" t="n">
        <f aca="false">MIN(CADASTRO_CASAS_BOMBA!$O$11,MAX(0,T119+CADASTRO_CASAS_BOMBA!$I$11*HORAS_CAPTACAO_DIA-S120))</f>
        <v>469821</v>
      </c>
      <c r="U120" s="16" t="n">
        <f aca="false">MAX(0,S120-CADASTRO_CASAS_BOMBA!$I$11*HORAS_CAPTACAO_DIA-T119)</f>
        <v>0</v>
      </c>
      <c r="V120" s="16" t="n">
        <f aca="false">INDEX(AUX_MATRIZES!$C$14:$BP$14,MIN(N_SEMANAS,MAX(1,$C120)))/DIAS_POR_SEMANA</f>
        <v>0</v>
      </c>
      <c r="W120" s="16" t="n">
        <f aca="false">MIN(CADASTRO_CASAS_BOMBA!$O$12,MAX(0,W119+CADASTRO_CASAS_BOMBA!$I$12*HORAS_CAPTACAO_DIA-V120))</f>
        <v>440000</v>
      </c>
      <c r="X120" s="16" t="n">
        <f aca="false">MAX(0,V120-CADASTRO_CASAS_BOMBA!$I$12*HORAS_CAPTACAO_DIA-W119)</f>
        <v>0</v>
      </c>
      <c r="Y120" s="16" t="n">
        <f aca="false">INDEX(AUX_MATRIZES!$C$15:$BP$15,MIN(N_SEMANAS,MAX(1,$C120)))/DIAS_POR_SEMANA</f>
        <v>0</v>
      </c>
      <c r="Z120" s="16" t="n">
        <f aca="false">MIN(CADASTRO_CASAS_BOMBA!$O$13,MAX(0,Z119+CADASTRO_CASAS_BOMBA!$I$13*HORAS_CAPTACAO_DIA-Y120))</f>
        <v>74903</v>
      </c>
      <c r="AA120" s="16" t="n">
        <f aca="false">MAX(0,Y120-CADASTRO_CASAS_BOMBA!$I$13*HORAS_CAPTACAO_DIA-Z119)</f>
        <v>0</v>
      </c>
    </row>
    <row r="121" customFormat="false" ht="15" hidden="false" customHeight="false" outlineLevel="0" collapsed="false">
      <c r="B121" s="17" t="n">
        <f aca="false">DATA_INICIO_SAFRA+114</f>
        <v>46379</v>
      </c>
      <c r="C121" s="16" t="n">
        <f aca="false">MIN(N_SEMANAS,MAX(1,INT(($B121-DATA_INICIO_SAFRA)/DIAS_POR_SEMANA)+1))</f>
        <v>17</v>
      </c>
      <c r="D121" s="16" t="n">
        <f aca="false">INDEX(AUX_MATRIZES!$C$8:$BP$8,MIN(N_SEMANAS,MAX(1,$C121)))/DIAS_POR_SEMANA</f>
        <v>0</v>
      </c>
      <c r="E121" s="16" t="n">
        <f aca="false">MIN(CADASTRO_CASAS_BOMBA!$O$6,MAX(0,E120+CADASTRO_CASAS_BOMBA!$I$6*HORAS_CAPTACAO_DIA-D121))</f>
        <v>2600</v>
      </c>
      <c r="F121" s="16" t="n">
        <f aca="false">MAX(0,D121-CADASTRO_CASAS_BOMBA!$I$6*HORAS_CAPTACAO_DIA-E120)</f>
        <v>0</v>
      </c>
      <c r="G121" s="16" t="n">
        <f aca="false">INDEX(AUX_MATRIZES!$C$9:$BP$9,MIN(N_SEMANAS,MAX(1,$C121)))/DIAS_POR_SEMANA</f>
        <v>0</v>
      </c>
      <c r="H121" s="16" t="n">
        <f aca="false">MIN(CADASTRO_CASAS_BOMBA!$O$7,MAX(0,H120+CADASTRO_CASAS_BOMBA!$I$7*HORAS_CAPTACAO_DIA-G121))</f>
        <v>76648</v>
      </c>
      <c r="I121" s="16" t="n">
        <f aca="false">MAX(0,G121-CADASTRO_CASAS_BOMBA!$I$7*HORAS_CAPTACAO_DIA-H120)</f>
        <v>0</v>
      </c>
      <c r="J121" s="16" t="n">
        <f aca="false">INDEX(AUX_MATRIZES!$C$10:$BP$10,MIN(N_SEMANAS,MAX(1,$C121)))/DIAS_POR_SEMANA</f>
        <v>0</v>
      </c>
      <c r="K121" s="16" t="n">
        <f aca="false">MIN(CADASTRO_CASAS_BOMBA!$O$8,MAX(0,K120+CADASTRO_CASAS_BOMBA!$I$8*HORAS_CAPTACAO_DIA-J121))</f>
        <v>27377</v>
      </c>
      <c r="L121" s="16" t="n">
        <f aca="false">MAX(0,J121-CADASTRO_CASAS_BOMBA!$I$8*HORAS_CAPTACAO_DIA-K120)</f>
        <v>0</v>
      </c>
      <c r="M121" s="16" t="n">
        <f aca="false">INDEX(AUX_MATRIZES!$C$11:$BP$11,MIN(N_SEMANAS,MAX(1,$C121)))/DIAS_POR_SEMANA</f>
        <v>0</v>
      </c>
      <c r="N121" s="16" t="n">
        <f aca="false">MIN(CADASTRO_CASAS_BOMBA!$O$9,MAX(0,N120+CADASTRO_CASAS_BOMBA!$I$9*HORAS_CAPTACAO_DIA-M121))</f>
        <v>129000</v>
      </c>
      <c r="O121" s="16" t="n">
        <f aca="false">MAX(0,M121-CADASTRO_CASAS_BOMBA!$I$9*HORAS_CAPTACAO_DIA-N120)</f>
        <v>0</v>
      </c>
      <c r="P121" s="16" t="n">
        <f aca="false">INDEX(AUX_MATRIZES!$C$12:$BP$12,MIN(N_SEMANAS,MAX(1,$C121)))/DIAS_POR_SEMANA</f>
        <v>0</v>
      </c>
      <c r="Q121" s="16" t="n">
        <f aca="false">MIN(CADASTRO_CASAS_BOMBA!$O$10,MAX(0,Q120+CADASTRO_CASAS_BOMBA!$I$10*HORAS_CAPTACAO_DIA-P121))</f>
        <v>1000000</v>
      </c>
      <c r="R121" s="16" t="n">
        <f aca="false">MAX(0,P121-CADASTRO_CASAS_BOMBA!$I$10*HORAS_CAPTACAO_DIA-Q120)</f>
        <v>0</v>
      </c>
      <c r="S121" s="16" t="n">
        <f aca="false">INDEX(AUX_MATRIZES!$C$13:$BP$13,MIN(N_SEMANAS,MAX(1,$C121)))/DIAS_POR_SEMANA</f>
        <v>0</v>
      </c>
      <c r="T121" s="16" t="n">
        <f aca="false">MIN(CADASTRO_CASAS_BOMBA!$O$11,MAX(0,T120+CADASTRO_CASAS_BOMBA!$I$11*HORAS_CAPTACAO_DIA-S121))</f>
        <v>469821</v>
      </c>
      <c r="U121" s="16" t="n">
        <f aca="false">MAX(0,S121-CADASTRO_CASAS_BOMBA!$I$11*HORAS_CAPTACAO_DIA-T120)</f>
        <v>0</v>
      </c>
      <c r="V121" s="16" t="n">
        <f aca="false">INDEX(AUX_MATRIZES!$C$14:$BP$14,MIN(N_SEMANAS,MAX(1,$C121)))/DIAS_POR_SEMANA</f>
        <v>0</v>
      </c>
      <c r="W121" s="16" t="n">
        <f aca="false">MIN(CADASTRO_CASAS_BOMBA!$O$12,MAX(0,W120+CADASTRO_CASAS_BOMBA!$I$12*HORAS_CAPTACAO_DIA-V121))</f>
        <v>440000</v>
      </c>
      <c r="X121" s="16" t="n">
        <f aca="false">MAX(0,V121-CADASTRO_CASAS_BOMBA!$I$12*HORAS_CAPTACAO_DIA-W120)</f>
        <v>0</v>
      </c>
      <c r="Y121" s="16" t="n">
        <f aca="false">INDEX(AUX_MATRIZES!$C$15:$BP$15,MIN(N_SEMANAS,MAX(1,$C121)))/DIAS_POR_SEMANA</f>
        <v>0</v>
      </c>
      <c r="Z121" s="16" t="n">
        <f aca="false">MIN(CADASTRO_CASAS_BOMBA!$O$13,MAX(0,Z120+CADASTRO_CASAS_BOMBA!$I$13*HORAS_CAPTACAO_DIA-Y121))</f>
        <v>74903</v>
      </c>
      <c r="AA121" s="16" t="n">
        <f aca="false">MAX(0,Y121-CADASTRO_CASAS_BOMBA!$I$13*HORAS_CAPTACAO_DIA-Z120)</f>
        <v>0</v>
      </c>
    </row>
    <row r="122" customFormat="false" ht="15" hidden="false" customHeight="false" outlineLevel="0" collapsed="false">
      <c r="B122" s="17" t="n">
        <f aca="false">DATA_INICIO_SAFRA+115</f>
        <v>46380</v>
      </c>
      <c r="C122" s="16" t="n">
        <f aca="false">MIN(N_SEMANAS,MAX(1,INT(($B122-DATA_INICIO_SAFRA)/DIAS_POR_SEMANA)+1))</f>
        <v>17</v>
      </c>
      <c r="D122" s="16" t="n">
        <f aca="false">INDEX(AUX_MATRIZES!$C$8:$BP$8,MIN(N_SEMANAS,MAX(1,$C122)))/DIAS_POR_SEMANA</f>
        <v>0</v>
      </c>
      <c r="E122" s="16" t="n">
        <f aca="false">MIN(CADASTRO_CASAS_BOMBA!$O$6,MAX(0,E121+CADASTRO_CASAS_BOMBA!$I$6*HORAS_CAPTACAO_DIA-D122))</f>
        <v>2600</v>
      </c>
      <c r="F122" s="16" t="n">
        <f aca="false">MAX(0,D122-CADASTRO_CASAS_BOMBA!$I$6*HORAS_CAPTACAO_DIA-E121)</f>
        <v>0</v>
      </c>
      <c r="G122" s="16" t="n">
        <f aca="false">INDEX(AUX_MATRIZES!$C$9:$BP$9,MIN(N_SEMANAS,MAX(1,$C122)))/DIAS_POR_SEMANA</f>
        <v>0</v>
      </c>
      <c r="H122" s="16" t="n">
        <f aca="false">MIN(CADASTRO_CASAS_BOMBA!$O$7,MAX(0,H121+CADASTRO_CASAS_BOMBA!$I$7*HORAS_CAPTACAO_DIA-G122))</f>
        <v>76648</v>
      </c>
      <c r="I122" s="16" t="n">
        <f aca="false">MAX(0,G122-CADASTRO_CASAS_BOMBA!$I$7*HORAS_CAPTACAO_DIA-H121)</f>
        <v>0</v>
      </c>
      <c r="J122" s="16" t="n">
        <f aca="false">INDEX(AUX_MATRIZES!$C$10:$BP$10,MIN(N_SEMANAS,MAX(1,$C122)))/DIAS_POR_SEMANA</f>
        <v>0</v>
      </c>
      <c r="K122" s="16" t="n">
        <f aca="false">MIN(CADASTRO_CASAS_BOMBA!$O$8,MAX(0,K121+CADASTRO_CASAS_BOMBA!$I$8*HORAS_CAPTACAO_DIA-J122))</f>
        <v>27377</v>
      </c>
      <c r="L122" s="16" t="n">
        <f aca="false">MAX(0,J122-CADASTRO_CASAS_BOMBA!$I$8*HORAS_CAPTACAO_DIA-K121)</f>
        <v>0</v>
      </c>
      <c r="M122" s="16" t="n">
        <f aca="false">INDEX(AUX_MATRIZES!$C$11:$BP$11,MIN(N_SEMANAS,MAX(1,$C122)))/DIAS_POR_SEMANA</f>
        <v>0</v>
      </c>
      <c r="N122" s="16" t="n">
        <f aca="false">MIN(CADASTRO_CASAS_BOMBA!$O$9,MAX(0,N121+CADASTRO_CASAS_BOMBA!$I$9*HORAS_CAPTACAO_DIA-M122))</f>
        <v>129000</v>
      </c>
      <c r="O122" s="16" t="n">
        <f aca="false">MAX(0,M122-CADASTRO_CASAS_BOMBA!$I$9*HORAS_CAPTACAO_DIA-N121)</f>
        <v>0</v>
      </c>
      <c r="P122" s="16" t="n">
        <f aca="false">INDEX(AUX_MATRIZES!$C$12:$BP$12,MIN(N_SEMANAS,MAX(1,$C122)))/DIAS_POR_SEMANA</f>
        <v>0</v>
      </c>
      <c r="Q122" s="16" t="n">
        <f aca="false">MIN(CADASTRO_CASAS_BOMBA!$O$10,MAX(0,Q121+CADASTRO_CASAS_BOMBA!$I$10*HORAS_CAPTACAO_DIA-P122))</f>
        <v>1000000</v>
      </c>
      <c r="R122" s="16" t="n">
        <f aca="false">MAX(0,P122-CADASTRO_CASAS_BOMBA!$I$10*HORAS_CAPTACAO_DIA-Q121)</f>
        <v>0</v>
      </c>
      <c r="S122" s="16" t="n">
        <f aca="false">INDEX(AUX_MATRIZES!$C$13:$BP$13,MIN(N_SEMANAS,MAX(1,$C122)))/DIAS_POR_SEMANA</f>
        <v>0</v>
      </c>
      <c r="T122" s="16" t="n">
        <f aca="false">MIN(CADASTRO_CASAS_BOMBA!$O$11,MAX(0,T121+CADASTRO_CASAS_BOMBA!$I$11*HORAS_CAPTACAO_DIA-S122))</f>
        <v>469821</v>
      </c>
      <c r="U122" s="16" t="n">
        <f aca="false">MAX(0,S122-CADASTRO_CASAS_BOMBA!$I$11*HORAS_CAPTACAO_DIA-T121)</f>
        <v>0</v>
      </c>
      <c r="V122" s="16" t="n">
        <f aca="false">INDEX(AUX_MATRIZES!$C$14:$BP$14,MIN(N_SEMANAS,MAX(1,$C122)))/DIAS_POR_SEMANA</f>
        <v>0</v>
      </c>
      <c r="W122" s="16" t="n">
        <f aca="false">MIN(CADASTRO_CASAS_BOMBA!$O$12,MAX(0,W121+CADASTRO_CASAS_BOMBA!$I$12*HORAS_CAPTACAO_DIA-V122))</f>
        <v>440000</v>
      </c>
      <c r="X122" s="16" t="n">
        <f aca="false">MAX(0,V122-CADASTRO_CASAS_BOMBA!$I$12*HORAS_CAPTACAO_DIA-W121)</f>
        <v>0</v>
      </c>
      <c r="Y122" s="16" t="n">
        <f aca="false">INDEX(AUX_MATRIZES!$C$15:$BP$15,MIN(N_SEMANAS,MAX(1,$C122)))/DIAS_POR_SEMANA</f>
        <v>0</v>
      </c>
      <c r="Z122" s="16" t="n">
        <f aca="false">MIN(CADASTRO_CASAS_BOMBA!$O$13,MAX(0,Z121+CADASTRO_CASAS_BOMBA!$I$13*HORAS_CAPTACAO_DIA-Y122))</f>
        <v>74903</v>
      </c>
      <c r="AA122" s="16" t="n">
        <f aca="false">MAX(0,Y122-CADASTRO_CASAS_BOMBA!$I$13*HORAS_CAPTACAO_DIA-Z121)</f>
        <v>0</v>
      </c>
    </row>
    <row r="123" customFormat="false" ht="15" hidden="false" customHeight="false" outlineLevel="0" collapsed="false">
      <c r="B123" s="17" t="n">
        <f aca="false">DATA_INICIO_SAFRA+116</f>
        <v>46381</v>
      </c>
      <c r="C123" s="16" t="n">
        <f aca="false">MIN(N_SEMANAS,MAX(1,INT(($B123-DATA_INICIO_SAFRA)/DIAS_POR_SEMANA)+1))</f>
        <v>17</v>
      </c>
      <c r="D123" s="16" t="n">
        <f aca="false">INDEX(AUX_MATRIZES!$C$8:$BP$8,MIN(N_SEMANAS,MAX(1,$C123)))/DIAS_POR_SEMANA</f>
        <v>0</v>
      </c>
      <c r="E123" s="16" t="n">
        <f aca="false">MIN(CADASTRO_CASAS_BOMBA!$O$6,MAX(0,E122+CADASTRO_CASAS_BOMBA!$I$6*HORAS_CAPTACAO_DIA-D123))</f>
        <v>2600</v>
      </c>
      <c r="F123" s="16" t="n">
        <f aca="false">MAX(0,D123-CADASTRO_CASAS_BOMBA!$I$6*HORAS_CAPTACAO_DIA-E122)</f>
        <v>0</v>
      </c>
      <c r="G123" s="16" t="n">
        <f aca="false">INDEX(AUX_MATRIZES!$C$9:$BP$9,MIN(N_SEMANAS,MAX(1,$C123)))/DIAS_POR_SEMANA</f>
        <v>0</v>
      </c>
      <c r="H123" s="16" t="n">
        <f aca="false">MIN(CADASTRO_CASAS_BOMBA!$O$7,MAX(0,H122+CADASTRO_CASAS_BOMBA!$I$7*HORAS_CAPTACAO_DIA-G123))</f>
        <v>76648</v>
      </c>
      <c r="I123" s="16" t="n">
        <f aca="false">MAX(0,G123-CADASTRO_CASAS_BOMBA!$I$7*HORAS_CAPTACAO_DIA-H122)</f>
        <v>0</v>
      </c>
      <c r="J123" s="16" t="n">
        <f aca="false">INDEX(AUX_MATRIZES!$C$10:$BP$10,MIN(N_SEMANAS,MAX(1,$C123)))/DIAS_POR_SEMANA</f>
        <v>0</v>
      </c>
      <c r="K123" s="16" t="n">
        <f aca="false">MIN(CADASTRO_CASAS_BOMBA!$O$8,MAX(0,K122+CADASTRO_CASAS_BOMBA!$I$8*HORAS_CAPTACAO_DIA-J123))</f>
        <v>27377</v>
      </c>
      <c r="L123" s="16" t="n">
        <f aca="false">MAX(0,J123-CADASTRO_CASAS_BOMBA!$I$8*HORAS_CAPTACAO_DIA-K122)</f>
        <v>0</v>
      </c>
      <c r="M123" s="16" t="n">
        <f aca="false">INDEX(AUX_MATRIZES!$C$11:$BP$11,MIN(N_SEMANAS,MAX(1,$C123)))/DIAS_POR_SEMANA</f>
        <v>0</v>
      </c>
      <c r="N123" s="16" t="n">
        <f aca="false">MIN(CADASTRO_CASAS_BOMBA!$O$9,MAX(0,N122+CADASTRO_CASAS_BOMBA!$I$9*HORAS_CAPTACAO_DIA-M123))</f>
        <v>129000</v>
      </c>
      <c r="O123" s="16" t="n">
        <f aca="false">MAX(0,M123-CADASTRO_CASAS_BOMBA!$I$9*HORAS_CAPTACAO_DIA-N122)</f>
        <v>0</v>
      </c>
      <c r="P123" s="16" t="n">
        <f aca="false">INDEX(AUX_MATRIZES!$C$12:$BP$12,MIN(N_SEMANAS,MAX(1,$C123)))/DIAS_POR_SEMANA</f>
        <v>0</v>
      </c>
      <c r="Q123" s="16" t="n">
        <f aca="false">MIN(CADASTRO_CASAS_BOMBA!$O$10,MAX(0,Q122+CADASTRO_CASAS_BOMBA!$I$10*HORAS_CAPTACAO_DIA-P123))</f>
        <v>1000000</v>
      </c>
      <c r="R123" s="16" t="n">
        <f aca="false">MAX(0,P123-CADASTRO_CASAS_BOMBA!$I$10*HORAS_CAPTACAO_DIA-Q122)</f>
        <v>0</v>
      </c>
      <c r="S123" s="16" t="n">
        <f aca="false">INDEX(AUX_MATRIZES!$C$13:$BP$13,MIN(N_SEMANAS,MAX(1,$C123)))/DIAS_POR_SEMANA</f>
        <v>0</v>
      </c>
      <c r="T123" s="16" t="n">
        <f aca="false">MIN(CADASTRO_CASAS_BOMBA!$O$11,MAX(0,T122+CADASTRO_CASAS_BOMBA!$I$11*HORAS_CAPTACAO_DIA-S123))</f>
        <v>469821</v>
      </c>
      <c r="U123" s="16" t="n">
        <f aca="false">MAX(0,S123-CADASTRO_CASAS_BOMBA!$I$11*HORAS_CAPTACAO_DIA-T122)</f>
        <v>0</v>
      </c>
      <c r="V123" s="16" t="n">
        <f aca="false">INDEX(AUX_MATRIZES!$C$14:$BP$14,MIN(N_SEMANAS,MAX(1,$C123)))/DIAS_POR_SEMANA</f>
        <v>0</v>
      </c>
      <c r="W123" s="16" t="n">
        <f aca="false">MIN(CADASTRO_CASAS_BOMBA!$O$12,MAX(0,W122+CADASTRO_CASAS_BOMBA!$I$12*HORAS_CAPTACAO_DIA-V123))</f>
        <v>440000</v>
      </c>
      <c r="X123" s="16" t="n">
        <f aca="false">MAX(0,V123-CADASTRO_CASAS_BOMBA!$I$12*HORAS_CAPTACAO_DIA-W122)</f>
        <v>0</v>
      </c>
      <c r="Y123" s="16" t="n">
        <f aca="false">INDEX(AUX_MATRIZES!$C$15:$BP$15,MIN(N_SEMANAS,MAX(1,$C123)))/DIAS_POR_SEMANA</f>
        <v>0</v>
      </c>
      <c r="Z123" s="16" t="n">
        <f aca="false">MIN(CADASTRO_CASAS_BOMBA!$O$13,MAX(0,Z122+CADASTRO_CASAS_BOMBA!$I$13*HORAS_CAPTACAO_DIA-Y123))</f>
        <v>74903</v>
      </c>
      <c r="AA123" s="16" t="n">
        <f aca="false">MAX(0,Y123-CADASTRO_CASAS_BOMBA!$I$13*HORAS_CAPTACAO_DIA-Z122)</f>
        <v>0</v>
      </c>
    </row>
    <row r="124" customFormat="false" ht="15" hidden="false" customHeight="false" outlineLevel="0" collapsed="false">
      <c r="B124" s="17" t="n">
        <f aca="false">DATA_INICIO_SAFRA+117</f>
        <v>46382</v>
      </c>
      <c r="C124" s="16" t="n">
        <f aca="false">MIN(N_SEMANAS,MAX(1,INT(($B124-DATA_INICIO_SAFRA)/DIAS_POR_SEMANA)+1))</f>
        <v>17</v>
      </c>
      <c r="D124" s="16" t="n">
        <f aca="false">INDEX(AUX_MATRIZES!$C$8:$BP$8,MIN(N_SEMANAS,MAX(1,$C124)))/DIAS_POR_SEMANA</f>
        <v>0</v>
      </c>
      <c r="E124" s="16" t="n">
        <f aca="false">MIN(CADASTRO_CASAS_BOMBA!$O$6,MAX(0,E123+CADASTRO_CASAS_BOMBA!$I$6*HORAS_CAPTACAO_DIA-D124))</f>
        <v>2600</v>
      </c>
      <c r="F124" s="16" t="n">
        <f aca="false">MAX(0,D124-CADASTRO_CASAS_BOMBA!$I$6*HORAS_CAPTACAO_DIA-E123)</f>
        <v>0</v>
      </c>
      <c r="G124" s="16" t="n">
        <f aca="false">INDEX(AUX_MATRIZES!$C$9:$BP$9,MIN(N_SEMANAS,MAX(1,$C124)))/DIAS_POR_SEMANA</f>
        <v>0</v>
      </c>
      <c r="H124" s="16" t="n">
        <f aca="false">MIN(CADASTRO_CASAS_BOMBA!$O$7,MAX(0,H123+CADASTRO_CASAS_BOMBA!$I$7*HORAS_CAPTACAO_DIA-G124))</f>
        <v>76648</v>
      </c>
      <c r="I124" s="16" t="n">
        <f aca="false">MAX(0,G124-CADASTRO_CASAS_BOMBA!$I$7*HORAS_CAPTACAO_DIA-H123)</f>
        <v>0</v>
      </c>
      <c r="J124" s="16" t="n">
        <f aca="false">INDEX(AUX_MATRIZES!$C$10:$BP$10,MIN(N_SEMANAS,MAX(1,$C124)))/DIAS_POR_SEMANA</f>
        <v>0</v>
      </c>
      <c r="K124" s="16" t="n">
        <f aca="false">MIN(CADASTRO_CASAS_BOMBA!$O$8,MAX(0,K123+CADASTRO_CASAS_BOMBA!$I$8*HORAS_CAPTACAO_DIA-J124))</f>
        <v>27377</v>
      </c>
      <c r="L124" s="16" t="n">
        <f aca="false">MAX(0,J124-CADASTRO_CASAS_BOMBA!$I$8*HORAS_CAPTACAO_DIA-K123)</f>
        <v>0</v>
      </c>
      <c r="M124" s="16" t="n">
        <f aca="false">INDEX(AUX_MATRIZES!$C$11:$BP$11,MIN(N_SEMANAS,MAX(1,$C124)))/DIAS_POR_SEMANA</f>
        <v>0</v>
      </c>
      <c r="N124" s="16" t="n">
        <f aca="false">MIN(CADASTRO_CASAS_BOMBA!$O$9,MAX(0,N123+CADASTRO_CASAS_BOMBA!$I$9*HORAS_CAPTACAO_DIA-M124))</f>
        <v>129000</v>
      </c>
      <c r="O124" s="16" t="n">
        <f aca="false">MAX(0,M124-CADASTRO_CASAS_BOMBA!$I$9*HORAS_CAPTACAO_DIA-N123)</f>
        <v>0</v>
      </c>
      <c r="P124" s="16" t="n">
        <f aca="false">INDEX(AUX_MATRIZES!$C$12:$BP$12,MIN(N_SEMANAS,MAX(1,$C124)))/DIAS_POR_SEMANA</f>
        <v>0</v>
      </c>
      <c r="Q124" s="16" t="n">
        <f aca="false">MIN(CADASTRO_CASAS_BOMBA!$O$10,MAX(0,Q123+CADASTRO_CASAS_BOMBA!$I$10*HORAS_CAPTACAO_DIA-P124))</f>
        <v>1000000</v>
      </c>
      <c r="R124" s="16" t="n">
        <f aca="false">MAX(0,P124-CADASTRO_CASAS_BOMBA!$I$10*HORAS_CAPTACAO_DIA-Q123)</f>
        <v>0</v>
      </c>
      <c r="S124" s="16" t="n">
        <f aca="false">INDEX(AUX_MATRIZES!$C$13:$BP$13,MIN(N_SEMANAS,MAX(1,$C124)))/DIAS_POR_SEMANA</f>
        <v>0</v>
      </c>
      <c r="T124" s="16" t="n">
        <f aca="false">MIN(CADASTRO_CASAS_BOMBA!$O$11,MAX(0,T123+CADASTRO_CASAS_BOMBA!$I$11*HORAS_CAPTACAO_DIA-S124))</f>
        <v>469821</v>
      </c>
      <c r="U124" s="16" t="n">
        <f aca="false">MAX(0,S124-CADASTRO_CASAS_BOMBA!$I$11*HORAS_CAPTACAO_DIA-T123)</f>
        <v>0</v>
      </c>
      <c r="V124" s="16" t="n">
        <f aca="false">INDEX(AUX_MATRIZES!$C$14:$BP$14,MIN(N_SEMANAS,MAX(1,$C124)))/DIAS_POR_SEMANA</f>
        <v>0</v>
      </c>
      <c r="W124" s="16" t="n">
        <f aca="false">MIN(CADASTRO_CASAS_BOMBA!$O$12,MAX(0,W123+CADASTRO_CASAS_BOMBA!$I$12*HORAS_CAPTACAO_DIA-V124))</f>
        <v>440000</v>
      </c>
      <c r="X124" s="16" t="n">
        <f aca="false">MAX(0,V124-CADASTRO_CASAS_BOMBA!$I$12*HORAS_CAPTACAO_DIA-W123)</f>
        <v>0</v>
      </c>
      <c r="Y124" s="16" t="n">
        <f aca="false">INDEX(AUX_MATRIZES!$C$15:$BP$15,MIN(N_SEMANAS,MAX(1,$C124)))/DIAS_POR_SEMANA</f>
        <v>0</v>
      </c>
      <c r="Z124" s="16" t="n">
        <f aca="false">MIN(CADASTRO_CASAS_BOMBA!$O$13,MAX(0,Z123+CADASTRO_CASAS_BOMBA!$I$13*HORAS_CAPTACAO_DIA-Y124))</f>
        <v>74903</v>
      </c>
      <c r="AA124" s="16" t="n">
        <f aca="false">MAX(0,Y124-CADASTRO_CASAS_BOMBA!$I$13*HORAS_CAPTACAO_DIA-Z123)</f>
        <v>0</v>
      </c>
    </row>
    <row r="125" customFormat="false" ht="15" hidden="false" customHeight="false" outlineLevel="0" collapsed="false">
      <c r="B125" s="17" t="n">
        <f aca="false">DATA_INICIO_SAFRA+118</f>
        <v>46383</v>
      </c>
      <c r="C125" s="16" t="n">
        <f aca="false">MIN(N_SEMANAS,MAX(1,INT(($B125-DATA_INICIO_SAFRA)/DIAS_POR_SEMANA)+1))</f>
        <v>17</v>
      </c>
      <c r="D125" s="16" t="n">
        <f aca="false">INDEX(AUX_MATRIZES!$C$8:$BP$8,MIN(N_SEMANAS,MAX(1,$C125)))/DIAS_POR_SEMANA</f>
        <v>0</v>
      </c>
      <c r="E125" s="16" t="n">
        <f aca="false">MIN(CADASTRO_CASAS_BOMBA!$O$6,MAX(0,E124+CADASTRO_CASAS_BOMBA!$I$6*HORAS_CAPTACAO_DIA-D125))</f>
        <v>2600</v>
      </c>
      <c r="F125" s="16" t="n">
        <f aca="false">MAX(0,D125-CADASTRO_CASAS_BOMBA!$I$6*HORAS_CAPTACAO_DIA-E124)</f>
        <v>0</v>
      </c>
      <c r="G125" s="16" t="n">
        <f aca="false">INDEX(AUX_MATRIZES!$C$9:$BP$9,MIN(N_SEMANAS,MAX(1,$C125)))/DIAS_POR_SEMANA</f>
        <v>0</v>
      </c>
      <c r="H125" s="16" t="n">
        <f aca="false">MIN(CADASTRO_CASAS_BOMBA!$O$7,MAX(0,H124+CADASTRO_CASAS_BOMBA!$I$7*HORAS_CAPTACAO_DIA-G125))</f>
        <v>76648</v>
      </c>
      <c r="I125" s="16" t="n">
        <f aca="false">MAX(0,G125-CADASTRO_CASAS_BOMBA!$I$7*HORAS_CAPTACAO_DIA-H124)</f>
        <v>0</v>
      </c>
      <c r="J125" s="16" t="n">
        <f aca="false">INDEX(AUX_MATRIZES!$C$10:$BP$10,MIN(N_SEMANAS,MAX(1,$C125)))/DIAS_POR_SEMANA</f>
        <v>0</v>
      </c>
      <c r="K125" s="16" t="n">
        <f aca="false">MIN(CADASTRO_CASAS_BOMBA!$O$8,MAX(0,K124+CADASTRO_CASAS_BOMBA!$I$8*HORAS_CAPTACAO_DIA-J125))</f>
        <v>27377</v>
      </c>
      <c r="L125" s="16" t="n">
        <f aca="false">MAX(0,J125-CADASTRO_CASAS_BOMBA!$I$8*HORAS_CAPTACAO_DIA-K124)</f>
        <v>0</v>
      </c>
      <c r="M125" s="16" t="n">
        <f aca="false">INDEX(AUX_MATRIZES!$C$11:$BP$11,MIN(N_SEMANAS,MAX(1,$C125)))/DIAS_POR_SEMANA</f>
        <v>0</v>
      </c>
      <c r="N125" s="16" t="n">
        <f aca="false">MIN(CADASTRO_CASAS_BOMBA!$O$9,MAX(0,N124+CADASTRO_CASAS_BOMBA!$I$9*HORAS_CAPTACAO_DIA-M125))</f>
        <v>129000</v>
      </c>
      <c r="O125" s="16" t="n">
        <f aca="false">MAX(0,M125-CADASTRO_CASAS_BOMBA!$I$9*HORAS_CAPTACAO_DIA-N124)</f>
        <v>0</v>
      </c>
      <c r="P125" s="16" t="n">
        <f aca="false">INDEX(AUX_MATRIZES!$C$12:$BP$12,MIN(N_SEMANAS,MAX(1,$C125)))/DIAS_POR_SEMANA</f>
        <v>0</v>
      </c>
      <c r="Q125" s="16" t="n">
        <f aca="false">MIN(CADASTRO_CASAS_BOMBA!$O$10,MAX(0,Q124+CADASTRO_CASAS_BOMBA!$I$10*HORAS_CAPTACAO_DIA-P125))</f>
        <v>1000000</v>
      </c>
      <c r="R125" s="16" t="n">
        <f aca="false">MAX(0,P125-CADASTRO_CASAS_BOMBA!$I$10*HORAS_CAPTACAO_DIA-Q124)</f>
        <v>0</v>
      </c>
      <c r="S125" s="16" t="n">
        <f aca="false">INDEX(AUX_MATRIZES!$C$13:$BP$13,MIN(N_SEMANAS,MAX(1,$C125)))/DIAS_POR_SEMANA</f>
        <v>0</v>
      </c>
      <c r="T125" s="16" t="n">
        <f aca="false">MIN(CADASTRO_CASAS_BOMBA!$O$11,MAX(0,T124+CADASTRO_CASAS_BOMBA!$I$11*HORAS_CAPTACAO_DIA-S125))</f>
        <v>469821</v>
      </c>
      <c r="U125" s="16" t="n">
        <f aca="false">MAX(0,S125-CADASTRO_CASAS_BOMBA!$I$11*HORAS_CAPTACAO_DIA-T124)</f>
        <v>0</v>
      </c>
      <c r="V125" s="16" t="n">
        <f aca="false">INDEX(AUX_MATRIZES!$C$14:$BP$14,MIN(N_SEMANAS,MAX(1,$C125)))/DIAS_POR_SEMANA</f>
        <v>0</v>
      </c>
      <c r="W125" s="16" t="n">
        <f aca="false">MIN(CADASTRO_CASAS_BOMBA!$O$12,MAX(0,W124+CADASTRO_CASAS_BOMBA!$I$12*HORAS_CAPTACAO_DIA-V125))</f>
        <v>440000</v>
      </c>
      <c r="X125" s="16" t="n">
        <f aca="false">MAX(0,V125-CADASTRO_CASAS_BOMBA!$I$12*HORAS_CAPTACAO_DIA-W124)</f>
        <v>0</v>
      </c>
      <c r="Y125" s="16" t="n">
        <f aca="false">INDEX(AUX_MATRIZES!$C$15:$BP$15,MIN(N_SEMANAS,MAX(1,$C125)))/DIAS_POR_SEMANA</f>
        <v>0</v>
      </c>
      <c r="Z125" s="16" t="n">
        <f aca="false">MIN(CADASTRO_CASAS_BOMBA!$O$13,MAX(0,Z124+CADASTRO_CASAS_BOMBA!$I$13*HORAS_CAPTACAO_DIA-Y125))</f>
        <v>74903</v>
      </c>
      <c r="AA125" s="16" t="n">
        <f aca="false">MAX(0,Y125-CADASTRO_CASAS_BOMBA!$I$13*HORAS_CAPTACAO_DIA-Z124)</f>
        <v>0</v>
      </c>
    </row>
    <row r="126" customFormat="false" ht="15" hidden="false" customHeight="false" outlineLevel="0" collapsed="false">
      <c r="B126" s="17" t="n">
        <f aca="false">DATA_INICIO_SAFRA+119</f>
        <v>46384</v>
      </c>
      <c r="C126" s="16" t="n">
        <f aca="false">MIN(N_SEMANAS,MAX(1,INT(($B126-DATA_INICIO_SAFRA)/DIAS_POR_SEMANA)+1))</f>
        <v>18</v>
      </c>
      <c r="D126" s="16" t="n">
        <f aca="false">INDEX(AUX_MATRIZES!$C$8:$BP$8,MIN(N_SEMANAS,MAX(1,$C126)))/DIAS_POR_SEMANA</f>
        <v>0</v>
      </c>
      <c r="E126" s="16" t="n">
        <f aca="false">MIN(CADASTRO_CASAS_BOMBA!$O$6,MAX(0,E125+CADASTRO_CASAS_BOMBA!$I$6*HORAS_CAPTACAO_DIA-D126))</f>
        <v>2600</v>
      </c>
      <c r="F126" s="16" t="n">
        <f aca="false">MAX(0,D126-CADASTRO_CASAS_BOMBA!$I$6*HORAS_CAPTACAO_DIA-E125)</f>
        <v>0</v>
      </c>
      <c r="G126" s="16" t="n">
        <f aca="false">INDEX(AUX_MATRIZES!$C$9:$BP$9,MIN(N_SEMANAS,MAX(1,$C126)))/DIAS_POR_SEMANA</f>
        <v>0</v>
      </c>
      <c r="H126" s="16" t="n">
        <f aca="false">MIN(CADASTRO_CASAS_BOMBA!$O$7,MAX(0,H125+CADASTRO_CASAS_BOMBA!$I$7*HORAS_CAPTACAO_DIA-G126))</f>
        <v>76648</v>
      </c>
      <c r="I126" s="16" t="n">
        <f aca="false">MAX(0,G126-CADASTRO_CASAS_BOMBA!$I$7*HORAS_CAPTACAO_DIA-H125)</f>
        <v>0</v>
      </c>
      <c r="J126" s="16" t="n">
        <f aca="false">INDEX(AUX_MATRIZES!$C$10:$BP$10,MIN(N_SEMANAS,MAX(1,$C126)))/DIAS_POR_SEMANA</f>
        <v>75.7870486357893</v>
      </c>
      <c r="K126" s="16" t="n">
        <f aca="false">MIN(CADASTRO_CASAS_BOMBA!$O$8,MAX(0,K125+CADASTRO_CASAS_BOMBA!$I$8*HORAS_CAPTACAO_DIA-J126))</f>
        <v>27377</v>
      </c>
      <c r="L126" s="16" t="n">
        <f aca="false">MAX(0,J126-CADASTRO_CASAS_BOMBA!$I$8*HORAS_CAPTACAO_DIA-K125)</f>
        <v>0</v>
      </c>
      <c r="M126" s="16" t="n">
        <f aca="false">INDEX(AUX_MATRIZES!$C$11:$BP$11,MIN(N_SEMANAS,MAX(1,$C126)))/DIAS_POR_SEMANA</f>
        <v>0</v>
      </c>
      <c r="N126" s="16" t="n">
        <f aca="false">MIN(CADASTRO_CASAS_BOMBA!$O$9,MAX(0,N125+CADASTRO_CASAS_BOMBA!$I$9*HORAS_CAPTACAO_DIA-M126))</f>
        <v>129000</v>
      </c>
      <c r="O126" s="16" t="n">
        <f aca="false">MAX(0,M126-CADASTRO_CASAS_BOMBA!$I$9*HORAS_CAPTACAO_DIA-N125)</f>
        <v>0</v>
      </c>
      <c r="P126" s="16" t="n">
        <f aca="false">INDEX(AUX_MATRIZES!$C$12:$BP$12,MIN(N_SEMANAS,MAX(1,$C126)))/DIAS_POR_SEMANA</f>
        <v>248.034151260503</v>
      </c>
      <c r="Q126" s="16" t="n">
        <f aca="false">MIN(CADASTRO_CASAS_BOMBA!$O$10,MAX(0,Q125+CADASTRO_CASAS_BOMBA!$I$10*HORAS_CAPTACAO_DIA-P126))</f>
        <v>1000000</v>
      </c>
      <c r="R126" s="16" t="n">
        <f aca="false">MAX(0,P126-CADASTRO_CASAS_BOMBA!$I$10*HORAS_CAPTACAO_DIA-Q125)</f>
        <v>0</v>
      </c>
      <c r="S126" s="16" t="n">
        <f aca="false">INDEX(AUX_MATRIZES!$C$13:$BP$13,MIN(N_SEMANAS,MAX(1,$C126)))/DIAS_POR_SEMANA</f>
        <v>82.2590924369744</v>
      </c>
      <c r="T126" s="16" t="n">
        <f aca="false">MIN(CADASTRO_CASAS_BOMBA!$O$11,MAX(0,T125+CADASTRO_CASAS_BOMBA!$I$11*HORAS_CAPTACAO_DIA-S126))</f>
        <v>469821</v>
      </c>
      <c r="U126" s="16" t="n">
        <f aca="false">MAX(0,S126-CADASTRO_CASAS_BOMBA!$I$11*HORAS_CAPTACAO_DIA-T125)</f>
        <v>0</v>
      </c>
      <c r="V126" s="16" t="n">
        <f aca="false">INDEX(AUX_MATRIZES!$C$14:$BP$14,MIN(N_SEMANAS,MAX(1,$C126)))/DIAS_POR_SEMANA</f>
        <v>575.755764705879</v>
      </c>
      <c r="W126" s="16" t="n">
        <f aca="false">MIN(CADASTRO_CASAS_BOMBA!$O$12,MAX(0,W125+CADASTRO_CASAS_BOMBA!$I$12*HORAS_CAPTACAO_DIA-V126))</f>
        <v>440000</v>
      </c>
      <c r="X126" s="16" t="n">
        <f aca="false">MAX(0,V126-CADASTRO_CASAS_BOMBA!$I$12*HORAS_CAPTACAO_DIA-W125)</f>
        <v>0</v>
      </c>
      <c r="Y126" s="16" t="n">
        <f aca="false">INDEX(AUX_MATRIZES!$C$15:$BP$15,MIN(N_SEMANAS,MAX(1,$C126)))/DIAS_POR_SEMANA</f>
        <v>0</v>
      </c>
      <c r="Z126" s="16" t="n">
        <f aca="false">MIN(CADASTRO_CASAS_BOMBA!$O$13,MAX(0,Z125+CADASTRO_CASAS_BOMBA!$I$13*HORAS_CAPTACAO_DIA-Y126))</f>
        <v>74903</v>
      </c>
      <c r="AA126" s="16" t="n">
        <f aca="false">MAX(0,Y126-CADASTRO_CASAS_BOMBA!$I$13*HORAS_CAPTACAO_DIA-Z125)</f>
        <v>0</v>
      </c>
    </row>
    <row r="127" customFormat="false" ht="15" hidden="false" customHeight="false" outlineLevel="0" collapsed="false">
      <c r="B127" s="17" t="n">
        <f aca="false">DATA_INICIO_SAFRA+120</f>
        <v>46385</v>
      </c>
      <c r="C127" s="16" t="n">
        <f aca="false">MIN(N_SEMANAS,MAX(1,INT(($B127-DATA_INICIO_SAFRA)/DIAS_POR_SEMANA)+1))</f>
        <v>18</v>
      </c>
      <c r="D127" s="16" t="n">
        <f aca="false">INDEX(AUX_MATRIZES!$C$8:$BP$8,MIN(N_SEMANAS,MAX(1,$C127)))/DIAS_POR_SEMANA</f>
        <v>0</v>
      </c>
      <c r="E127" s="16" t="n">
        <f aca="false">MIN(CADASTRO_CASAS_BOMBA!$O$6,MAX(0,E126+CADASTRO_CASAS_BOMBA!$I$6*HORAS_CAPTACAO_DIA-D127))</f>
        <v>2600</v>
      </c>
      <c r="F127" s="16" t="n">
        <f aca="false">MAX(0,D127-CADASTRO_CASAS_BOMBA!$I$6*HORAS_CAPTACAO_DIA-E126)</f>
        <v>0</v>
      </c>
      <c r="G127" s="16" t="n">
        <f aca="false">INDEX(AUX_MATRIZES!$C$9:$BP$9,MIN(N_SEMANAS,MAX(1,$C127)))/DIAS_POR_SEMANA</f>
        <v>0</v>
      </c>
      <c r="H127" s="16" t="n">
        <f aca="false">MIN(CADASTRO_CASAS_BOMBA!$O$7,MAX(0,H126+CADASTRO_CASAS_BOMBA!$I$7*HORAS_CAPTACAO_DIA-G127))</f>
        <v>76648</v>
      </c>
      <c r="I127" s="16" t="n">
        <f aca="false">MAX(0,G127-CADASTRO_CASAS_BOMBA!$I$7*HORAS_CAPTACAO_DIA-H126)</f>
        <v>0</v>
      </c>
      <c r="J127" s="16" t="n">
        <f aca="false">INDEX(AUX_MATRIZES!$C$10:$BP$10,MIN(N_SEMANAS,MAX(1,$C127)))/DIAS_POR_SEMANA</f>
        <v>75.7870486357893</v>
      </c>
      <c r="K127" s="16" t="n">
        <f aca="false">MIN(CADASTRO_CASAS_BOMBA!$O$8,MAX(0,K126+CADASTRO_CASAS_BOMBA!$I$8*HORAS_CAPTACAO_DIA-J127))</f>
        <v>27377</v>
      </c>
      <c r="L127" s="16" t="n">
        <f aca="false">MAX(0,J127-CADASTRO_CASAS_BOMBA!$I$8*HORAS_CAPTACAO_DIA-K126)</f>
        <v>0</v>
      </c>
      <c r="M127" s="16" t="n">
        <f aca="false">INDEX(AUX_MATRIZES!$C$11:$BP$11,MIN(N_SEMANAS,MAX(1,$C127)))/DIAS_POR_SEMANA</f>
        <v>0</v>
      </c>
      <c r="N127" s="16" t="n">
        <f aca="false">MIN(CADASTRO_CASAS_BOMBA!$O$9,MAX(0,N126+CADASTRO_CASAS_BOMBA!$I$9*HORAS_CAPTACAO_DIA-M127))</f>
        <v>129000</v>
      </c>
      <c r="O127" s="16" t="n">
        <f aca="false">MAX(0,M127-CADASTRO_CASAS_BOMBA!$I$9*HORAS_CAPTACAO_DIA-N126)</f>
        <v>0</v>
      </c>
      <c r="P127" s="16" t="n">
        <f aca="false">INDEX(AUX_MATRIZES!$C$12:$BP$12,MIN(N_SEMANAS,MAX(1,$C127)))/DIAS_POR_SEMANA</f>
        <v>248.034151260503</v>
      </c>
      <c r="Q127" s="16" t="n">
        <f aca="false">MIN(CADASTRO_CASAS_BOMBA!$O$10,MAX(0,Q126+CADASTRO_CASAS_BOMBA!$I$10*HORAS_CAPTACAO_DIA-P127))</f>
        <v>1000000</v>
      </c>
      <c r="R127" s="16" t="n">
        <f aca="false">MAX(0,P127-CADASTRO_CASAS_BOMBA!$I$10*HORAS_CAPTACAO_DIA-Q126)</f>
        <v>0</v>
      </c>
      <c r="S127" s="16" t="n">
        <f aca="false">INDEX(AUX_MATRIZES!$C$13:$BP$13,MIN(N_SEMANAS,MAX(1,$C127)))/DIAS_POR_SEMANA</f>
        <v>82.2590924369744</v>
      </c>
      <c r="T127" s="16" t="n">
        <f aca="false">MIN(CADASTRO_CASAS_BOMBA!$O$11,MAX(0,T126+CADASTRO_CASAS_BOMBA!$I$11*HORAS_CAPTACAO_DIA-S127))</f>
        <v>469821</v>
      </c>
      <c r="U127" s="16" t="n">
        <f aca="false">MAX(0,S127-CADASTRO_CASAS_BOMBA!$I$11*HORAS_CAPTACAO_DIA-T126)</f>
        <v>0</v>
      </c>
      <c r="V127" s="16" t="n">
        <f aca="false">INDEX(AUX_MATRIZES!$C$14:$BP$14,MIN(N_SEMANAS,MAX(1,$C127)))/DIAS_POR_SEMANA</f>
        <v>575.755764705879</v>
      </c>
      <c r="W127" s="16" t="n">
        <f aca="false">MIN(CADASTRO_CASAS_BOMBA!$O$12,MAX(0,W126+CADASTRO_CASAS_BOMBA!$I$12*HORAS_CAPTACAO_DIA-V127))</f>
        <v>440000</v>
      </c>
      <c r="X127" s="16" t="n">
        <f aca="false">MAX(0,V127-CADASTRO_CASAS_BOMBA!$I$12*HORAS_CAPTACAO_DIA-W126)</f>
        <v>0</v>
      </c>
      <c r="Y127" s="16" t="n">
        <f aca="false">INDEX(AUX_MATRIZES!$C$15:$BP$15,MIN(N_SEMANAS,MAX(1,$C127)))/DIAS_POR_SEMANA</f>
        <v>0</v>
      </c>
      <c r="Z127" s="16" t="n">
        <f aca="false">MIN(CADASTRO_CASAS_BOMBA!$O$13,MAX(0,Z126+CADASTRO_CASAS_BOMBA!$I$13*HORAS_CAPTACAO_DIA-Y127))</f>
        <v>74903</v>
      </c>
      <c r="AA127" s="16" t="n">
        <f aca="false">MAX(0,Y127-CADASTRO_CASAS_BOMBA!$I$13*HORAS_CAPTACAO_DIA-Z126)</f>
        <v>0</v>
      </c>
    </row>
    <row r="128" customFormat="false" ht="15" hidden="false" customHeight="false" outlineLevel="0" collapsed="false">
      <c r="B128" s="17" t="n">
        <f aca="false">DATA_INICIO_SAFRA+121</f>
        <v>46386</v>
      </c>
      <c r="C128" s="16" t="n">
        <f aca="false">MIN(N_SEMANAS,MAX(1,INT(($B128-DATA_INICIO_SAFRA)/DIAS_POR_SEMANA)+1))</f>
        <v>18</v>
      </c>
      <c r="D128" s="16" t="n">
        <f aca="false">INDEX(AUX_MATRIZES!$C$8:$BP$8,MIN(N_SEMANAS,MAX(1,$C128)))/DIAS_POR_SEMANA</f>
        <v>0</v>
      </c>
      <c r="E128" s="16" t="n">
        <f aca="false">MIN(CADASTRO_CASAS_BOMBA!$O$6,MAX(0,E127+CADASTRO_CASAS_BOMBA!$I$6*HORAS_CAPTACAO_DIA-D128))</f>
        <v>2600</v>
      </c>
      <c r="F128" s="16" t="n">
        <f aca="false">MAX(0,D128-CADASTRO_CASAS_BOMBA!$I$6*HORAS_CAPTACAO_DIA-E127)</f>
        <v>0</v>
      </c>
      <c r="G128" s="16" t="n">
        <f aca="false">INDEX(AUX_MATRIZES!$C$9:$BP$9,MIN(N_SEMANAS,MAX(1,$C128)))/DIAS_POR_SEMANA</f>
        <v>0</v>
      </c>
      <c r="H128" s="16" t="n">
        <f aca="false">MIN(CADASTRO_CASAS_BOMBA!$O$7,MAX(0,H127+CADASTRO_CASAS_BOMBA!$I$7*HORAS_CAPTACAO_DIA-G128))</f>
        <v>76648</v>
      </c>
      <c r="I128" s="16" t="n">
        <f aca="false">MAX(0,G128-CADASTRO_CASAS_BOMBA!$I$7*HORAS_CAPTACAO_DIA-H127)</f>
        <v>0</v>
      </c>
      <c r="J128" s="16" t="n">
        <f aca="false">INDEX(AUX_MATRIZES!$C$10:$BP$10,MIN(N_SEMANAS,MAX(1,$C128)))/DIAS_POR_SEMANA</f>
        <v>75.7870486357893</v>
      </c>
      <c r="K128" s="16" t="n">
        <f aca="false">MIN(CADASTRO_CASAS_BOMBA!$O$8,MAX(0,K127+CADASTRO_CASAS_BOMBA!$I$8*HORAS_CAPTACAO_DIA-J128))</f>
        <v>27377</v>
      </c>
      <c r="L128" s="16" t="n">
        <f aca="false">MAX(0,J128-CADASTRO_CASAS_BOMBA!$I$8*HORAS_CAPTACAO_DIA-K127)</f>
        <v>0</v>
      </c>
      <c r="M128" s="16" t="n">
        <f aca="false">INDEX(AUX_MATRIZES!$C$11:$BP$11,MIN(N_SEMANAS,MAX(1,$C128)))/DIAS_POR_SEMANA</f>
        <v>0</v>
      </c>
      <c r="N128" s="16" t="n">
        <f aca="false">MIN(CADASTRO_CASAS_BOMBA!$O$9,MAX(0,N127+CADASTRO_CASAS_BOMBA!$I$9*HORAS_CAPTACAO_DIA-M128))</f>
        <v>129000</v>
      </c>
      <c r="O128" s="16" t="n">
        <f aca="false">MAX(0,M128-CADASTRO_CASAS_BOMBA!$I$9*HORAS_CAPTACAO_DIA-N127)</f>
        <v>0</v>
      </c>
      <c r="P128" s="16" t="n">
        <f aca="false">INDEX(AUX_MATRIZES!$C$12:$BP$12,MIN(N_SEMANAS,MAX(1,$C128)))/DIAS_POR_SEMANA</f>
        <v>248.034151260503</v>
      </c>
      <c r="Q128" s="16" t="n">
        <f aca="false">MIN(CADASTRO_CASAS_BOMBA!$O$10,MAX(0,Q127+CADASTRO_CASAS_BOMBA!$I$10*HORAS_CAPTACAO_DIA-P128))</f>
        <v>1000000</v>
      </c>
      <c r="R128" s="16" t="n">
        <f aca="false">MAX(0,P128-CADASTRO_CASAS_BOMBA!$I$10*HORAS_CAPTACAO_DIA-Q127)</f>
        <v>0</v>
      </c>
      <c r="S128" s="16" t="n">
        <f aca="false">INDEX(AUX_MATRIZES!$C$13:$BP$13,MIN(N_SEMANAS,MAX(1,$C128)))/DIAS_POR_SEMANA</f>
        <v>82.2590924369744</v>
      </c>
      <c r="T128" s="16" t="n">
        <f aca="false">MIN(CADASTRO_CASAS_BOMBA!$O$11,MAX(0,T127+CADASTRO_CASAS_BOMBA!$I$11*HORAS_CAPTACAO_DIA-S128))</f>
        <v>469821</v>
      </c>
      <c r="U128" s="16" t="n">
        <f aca="false">MAX(0,S128-CADASTRO_CASAS_BOMBA!$I$11*HORAS_CAPTACAO_DIA-T127)</f>
        <v>0</v>
      </c>
      <c r="V128" s="16" t="n">
        <f aca="false">INDEX(AUX_MATRIZES!$C$14:$BP$14,MIN(N_SEMANAS,MAX(1,$C128)))/DIAS_POR_SEMANA</f>
        <v>575.755764705879</v>
      </c>
      <c r="W128" s="16" t="n">
        <f aca="false">MIN(CADASTRO_CASAS_BOMBA!$O$12,MAX(0,W127+CADASTRO_CASAS_BOMBA!$I$12*HORAS_CAPTACAO_DIA-V128))</f>
        <v>440000</v>
      </c>
      <c r="X128" s="16" t="n">
        <f aca="false">MAX(0,V128-CADASTRO_CASAS_BOMBA!$I$12*HORAS_CAPTACAO_DIA-W127)</f>
        <v>0</v>
      </c>
      <c r="Y128" s="16" t="n">
        <f aca="false">INDEX(AUX_MATRIZES!$C$15:$BP$15,MIN(N_SEMANAS,MAX(1,$C128)))/DIAS_POR_SEMANA</f>
        <v>0</v>
      </c>
      <c r="Z128" s="16" t="n">
        <f aca="false">MIN(CADASTRO_CASAS_BOMBA!$O$13,MAX(0,Z127+CADASTRO_CASAS_BOMBA!$I$13*HORAS_CAPTACAO_DIA-Y128))</f>
        <v>74903</v>
      </c>
      <c r="AA128" s="16" t="n">
        <f aca="false">MAX(0,Y128-CADASTRO_CASAS_BOMBA!$I$13*HORAS_CAPTACAO_DIA-Z127)</f>
        <v>0</v>
      </c>
    </row>
    <row r="129" customFormat="false" ht="15" hidden="false" customHeight="false" outlineLevel="0" collapsed="false">
      <c r="B129" s="17" t="n">
        <f aca="false">DATA_INICIO_SAFRA+122</f>
        <v>46387</v>
      </c>
      <c r="C129" s="16" t="n">
        <f aca="false">MIN(N_SEMANAS,MAX(1,INT(($B129-DATA_INICIO_SAFRA)/DIAS_POR_SEMANA)+1))</f>
        <v>18</v>
      </c>
      <c r="D129" s="16" t="n">
        <f aca="false">INDEX(AUX_MATRIZES!$C$8:$BP$8,MIN(N_SEMANAS,MAX(1,$C129)))/DIAS_POR_SEMANA</f>
        <v>0</v>
      </c>
      <c r="E129" s="16" t="n">
        <f aca="false">MIN(CADASTRO_CASAS_BOMBA!$O$6,MAX(0,E128+CADASTRO_CASAS_BOMBA!$I$6*HORAS_CAPTACAO_DIA-D129))</f>
        <v>2600</v>
      </c>
      <c r="F129" s="16" t="n">
        <f aca="false">MAX(0,D129-CADASTRO_CASAS_BOMBA!$I$6*HORAS_CAPTACAO_DIA-E128)</f>
        <v>0</v>
      </c>
      <c r="G129" s="16" t="n">
        <f aca="false">INDEX(AUX_MATRIZES!$C$9:$BP$9,MIN(N_SEMANAS,MAX(1,$C129)))/DIAS_POR_SEMANA</f>
        <v>0</v>
      </c>
      <c r="H129" s="16" t="n">
        <f aca="false">MIN(CADASTRO_CASAS_BOMBA!$O$7,MAX(0,H128+CADASTRO_CASAS_BOMBA!$I$7*HORAS_CAPTACAO_DIA-G129))</f>
        <v>76648</v>
      </c>
      <c r="I129" s="16" t="n">
        <f aca="false">MAX(0,G129-CADASTRO_CASAS_BOMBA!$I$7*HORAS_CAPTACAO_DIA-H128)</f>
        <v>0</v>
      </c>
      <c r="J129" s="16" t="n">
        <f aca="false">INDEX(AUX_MATRIZES!$C$10:$BP$10,MIN(N_SEMANAS,MAX(1,$C129)))/DIAS_POR_SEMANA</f>
        <v>75.7870486357893</v>
      </c>
      <c r="K129" s="16" t="n">
        <f aca="false">MIN(CADASTRO_CASAS_BOMBA!$O$8,MAX(0,K128+CADASTRO_CASAS_BOMBA!$I$8*HORAS_CAPTACAO_DIA-J129))</f>
        <v>27377</v>
      </c>
      <c r="L129" s="16" t="n">
        <f aca="false">MAX(0,J129-CADASTRO_CASAS_BOMBA!$I$8*HORAS_CAPTACAO_DIA-K128)</f>
        <v>0</v>
      </c>
      <c r="M129" s="16" t="n">
        <f aca="false">INDEX(AUX_MATRIZES!$C$11:$BP$11,MIN(N_SEMANAS,MAX(1,$C129)))/DIAS_POR_SEMANA</f>
        <v>0</v>
      </c>
      <c r="N129" s="16" t="n">
        <f aca="false">MIN(CADASTRO_CASAS_BOMBA!$O$9,MAX(0,N128+CADASTRO_CASAS_BOMBA!$I$9*HORAS_CAPTACAO_DIA-M129))</f>
        <v>129000</v>
      </c>
      <c r="O129" s="16" t="n">
        <f aca="false">MAX(0,M129-CADASTRO_CASAS_BOMBA!$I$9*HORAS_CAPTACAO_DIA-N128)</f>
        <v>0</v>
      </c>
      <c r="P129" s="16" t="n">
        <f aca="false">INDEX(AUX_MATRIZES!$C$12:$BP$12,MIN(N_SEMANAS,MAX(1,$C129)))/DIAS_POR_SEMANA</f>
        <v>248.034151260503</v>
      </c>
      <c r="Q129" s="16" t="n">
        <f aca="false">MIN(CADASTRO_CASAS_BOMBA!$O$10,MAX(0,Q128+CADASTRO_CASAS_BOMBA!$I$10*HORAS_CAPTACAO_DIA-P129))</f>
        <v>1000000</v>
      </c>
      <c r="R129" s="16" t="n">
        <f aca="false">MAX(0,P129-CADASTRO_CASAS_BOMBA!$I$10*HORAS_CAPTACAO_DIA-Q128)</f>
        <v>0</v>
      </c>
      <c r="S129" s="16" t="n">
        <f aca="false">INDEX(AUX_MATRIZES!$C$13:$BP$13,MIN(N_SEMANAS,MAX(1,$C129)))/DIAS_POR_SEMANA</f>
        <v>82.2590924369744</v>
      </c>
      <c r="T129" s="16" t="n">
        <f aca="false">MIN(CADASTRO_CASAS_BOMBA!$O$11,MAX(0,T128+CADASTRO_CASAS_BOMBA!$I$11*HORAS_CAPTACAO_DIA-S129))</f>
        <v>469821</v>
      </c>
      <c r="U129" s="16" t="n">
        <f aca="false">MAX(0,S129-CADASTRO_CASAS_BOMBA!$I$11*HORAS_CAPTACAO_DIA-T128)</f>
        <v>0</v>
      </c>
      <c r="V129" s="16" t="n">
        <f aca="false">INDEX(AUX_MATRIZES!$C$14:$BP$14,MIN(N_SEMANAS,MAX(1,$C129)))/DIAS_POR_SEMANA</f>
        <v>575.755764705879</v>
      </c>
      <c r="W129" s="16" t="n">
        <f aca="false">MIN(CADASTRO_CASAS_BOMBA!$O$12,MAX(0,W128+CADASTRO_CASAS_BOMBA!$I$12*HORAS_CAPTACAO_DIA-V129))</f>
        <v>440000</v>
      </c>
      <c r="X129" s="16" t="n">
        <f aca="false">MAX(0,V129-CADASTRO_CASAS_BOMBA!$I$12*HORAS_CAPTACAO_DIA-W128)</f>
        <v>0</v>
      </c>
      <c r="Y129" s="16" t="n">
        <f aca="false">INDEX(AUX_MATRIZES!$C$15:$BP$15,MIN(N_SEMANAS,MAX(1,$C129)))/DIAS_POR_SEMANA</f>
        <v>0</v>
      </c>
      <c r="Z129" s="16" t="n">
        <f aca="false">MIN(CADASTRO_CASAS_BOMBA!$O$13,MAX(0,Z128+CADASTRO_CASAS_BOMBA!$I$13*HORAS_CAPTACAO_DIA-Y129))</f>
        <v>74903</v>
      </c>
      <c r="AA129" s="16" t="n">
        <f aca="false">MAX(0,Y129-CADASTRO_CASAS_BOMBA!$I$13*HORAS_CAPTACAO_DIA-Z128)</f>
        <v>0</v>
      </c>
    </row>
    <row r="130" customFormat="false" ht="15" hidden="false" customHeight="false" outlineLevel="0" collapsed="false">
      <c r="B130" s="17" t="n">
        <f aca="false">DATA_INICIO_SAFRA+123</f>
        <v>46388</v>
      </c>
      <c r="C130" s="16" t="n">
        <f aca="false">MIN(N_SEMANAS,MAX(1,INT(($B130-DATA_INICIO_SAFRA)/DIAS_POR_SEMANA)+1))</f>
        <v>18</v>
      </c>
      <c r="D130" s="16" t="n">
        <f aca="false">INDEX(AUX_MATRIZES!$C$8:$BP$8,MIN(N_SEMANAS,MAX(1,$C130)))/DIAS_POR_SEMANA</f>
        <v>0</v>
      </c>
      <c r="E130" s="16" t="n">
        <f aca="false">MIN(CADASTRO_CASAS_BOMBA!$O$6,MAX(0,E129+CADASTRO_CASAS_BOMBA!$I$6*HORAS_CAPTACAO_DIA-D130))</f>
        <v>2600</v>
      </c>
      <c r="F130" s="16" t="n">
        <f aca="false">MAX(0,D130-CADASTRO_CASAS_BOMBA!$I$6*HORAS_CAPTACAO_DIA-E129)</f>
        <v>0</v>
      </c>
      <c r="G130" s="16" t="n">
        <f aca="false">INDEX(AUX_MATRIZES!$C$9:$BP$9,MIN(N_SEMANAS,MAX(1,$C130)))/DIAS_POR_SEMANA</f>
        <v>0</v>
      </c>
      <c r="H130" s="16" t="n">
        <f aca="false">MIN(CADASTRO_CASAS_BOMBA!$O$7,MAX(0,H129+CADASTRO_CASAS_BOMBA!$I$7*HORAS_CAPTACAO_DIA-G130))</f>
        <v>76648</v>
      </c>
      <c r="I130" s="16" t="n">
        <f aca="false">MAX(0,G130-CADASTRO_CASAS_BOMBA!$I$7*HORAS_CAPTACAO_DIA-H129)</f>
        <v>0</v>
      </c>
      <c r="J130" s="16" t="n">
        <f aca="false">INDEX(AUX_MATRIZES!$C$10:$BP$10,MIN(N_SEMANAS,MAX(1,$C130)))/DIAS_POR_SEMANA</f>
        <v>75.7870486357893</v>
      </c>
      <c r="K130" s="16" t="n">
        <f aca="false">MIN(CADASTRO_CASAS_BOMBA!$O$8,MAX(0,K129+CADASTRO_CASAS_BOMBA!$I$8*HORAS_CAPTACAO_DIA-J130))</f>
        <v>27377</v>
      </c>
      <c r="L130" s="16" t="n">
        <f aca="false">MAX(0,J130-CADASTRO_CASAS_BOMBA!$I$8*HORAS_CAPTACAO_DIA-K129)</f>
        <v>0</v>
      </c>
      <c r="M130" s="16" t="n">
        <f aca="false">INDEX(AUX_MATRIZES!$C$11:$BP$11,MIN(N_SEMANAS,MAX(1,$C130)))/DIAS_POR_SEMANA</f>
        <v>0</v>
      </c>
      <c r="N130" s="16" t="n">
        <f aca="false">MIN(CADASTRO_CASAS_BOMBA!$O$9,MAX(0,N129+CADASTRO_CASAS_BOMBA!$I$9*HORAS_CAPTACAO_DIA-M130))</f>
        <v>129000</v>
      </c>
      <c r="O130" s="16" t="n">
        <f aca="false">MAX(0,M130-CADASTRO_CASAS_BOMBA!$I$9*HORAS_CAPTACAO_DIA-N129)</f>
        <v>0</v>
      </c>
      <c r="P130" s="16" t="n">
        <f aca="false">INDEX(AUX_MATRIZES!$C$12:$BP$12,MIN(N_SEMANAS,MAX(1,$C130)))/DIAS_POR_SEMANA</f>
        <v>248.034151260503</v>
      </c>
      <c r="Q130" s="16" t="n">
        <f aca="false">MIN(CADASTRO_CASAS_BOMBA!$O$10,MAX(0,Q129+CADASTRO_CASAS_BOMBA!$I$10*HORAS_CAPTACAO_DIA-P130))</f>
        <v>1000000</v>
      </c>
      <c r="R130" s="16" t="n">
        <f aca="false">MAX(0,P130-CADASTRO_CASAS_BOMBA!$I$10*HORAS_CAPTACAO_DIA-Q129)</f>
        <v>0</v>
      </c>
      <c r="S130" s="16" t="n">
        <f aca="false">INDEX(AUX_MATRIZES!$C$13:$BP$13,MIN(N_SEMANAS,MAX(1,$C130)))/DIAS_POR_SEMANA</f>
        <v>82.2590924369744</v>
      </c>
      <c r="T130" s="16" t="n">
        <f aca="false">MIN(CADASTRO_CASAS_BOMBA!$O$11,MAX(0,T129+CADASTRO_CASAS_BOMBA!$I$11*HORAS_CAPTACAO_DIA-S130))</f>
        <v>469821</v>
      </c>
      <c r="U130" s="16" t="n">
        <f aca="false">MAX(0,S130-CADASTRO_CASAS_BOMBA!$I$11*HORAS_CAPTACAO_DIA-T129)</f>
        <v>0</v>
      </c>
      <c r="V130" s="16" t="n">
        <f aca="false">INDEX(AUX_MATRIZES!$C$14:$BP$14,MIN(N_SEMANAS,MAX(1,$C130)))/DIAS_POR_SEMANA</f>
        <v>575.755764705879</v>
      </c>
      <c r="W130" s="16" t="n">
        <f aca="false">MIN(CADASTRO_CASAS_BOMBA!$O$12,MAX(0,W129+CADASTRO_CASAS_BOMBA!$I$12*HORAS_CAPTACAO_DIA-V130))</f>
        <v>440000</v>
      </c>
      <c r="X130" s="16" t="n">
        <f aca="false">MAX(0,V130-CADASTRO_CASAS_BOMBA!$I$12*HORAS_CAPTACAO_DIA-W129)</f>
        <v>0</v>
      </c>
      <c r="Y130" s="16" t="n">
        <f aca="false">INDEX(AUX_MATRIZES!$C$15:$BP$15,MIN(N_SEMANAS,MAX(1,$C130)))/DIAS_POR_SEMANA</f>
        <v>0</v>
      </c>
      <c r="Z130" s="16" t="n">
        <f aca="false">MIN(CADASTRO_CASAS_BOMBA!$O$13,MAX(0,Z129+CADASTRO_CASAS_BOMBA!$I$13*HORAS_CAPTACAO_DIA-Y130))</f>
        <v>74903</v>
      </c>
      <c r="AA130" s="16" t="n">
        <f aca="false">MAX(0,Y130-CADASTRO_CASAS_BOMBA!$I$13*HORAS_CAPTACAO_DIA-Z129)</f>
        <v>0</v>
      </c>
    </row>
    <row r="131" customFormat="false" ht="15" hidden="false" customHeight="false" outlineLevel="0" collapsed="false">
      <c r="B131" s="17" t="n">
        <f aca="false">DATA_INICIO_SAFRA+124</f>
        <v>46389</v>
      </c>
      <c r="C131" s="16" t="n">
        <f aca="false">MIN(N_SEMANAS,MAX(1,INT(($B131-DATA_INICIO_SAFRA)/DIAS_POR_SEMANA)+1))</f>
        <v>18</v>
      </c>
      <c r="D131" s="16" t="n">
        <f aca="false">INDEX(AUX_MATRIZES!$C$8:$BP$8,MIN(N_SEMANAS,MAX(1,$C131)))/DIAS_POR_SEMANA</f>
        <v>0</v>
      </c>
      <c r="E131" s="16" t="n">
        <f aca="false">MIN(CADASTRO_CASAS_BOMBA!$O$6,MAX(0,E130+CADASTRO_CASAS_BOMBA!$I$6*HORAS_CAPTACAO_DIA-D131))</f>
        <v>2600</v>
      </c>
      <c r="F131" s="16" t="n">
        <f aca="false">MAX(0,D131-CADASTRO_CASAS_BOMBA!$I$6*HORAS_CAPTACAO_DIA-E130)</f>
        <v>0</v>
      </c>
      <c r="G131" s="16" t="n">
        <f aca="false">INDEX(AUX_MATRIZES!$C$9:$BP$9,MIN(N_SEMANAS,MAX(1,$C131)))/DIAS_POR_SEMANA</f>
        <v>0</v>
      </c>
      <c r="H131" s="16" t="n">
        <f aca="false">MIN(CADASTRO_CASAS_BOMBA!$O$7,MAX(0,H130+CADASTRO_CASAS_BOMBA!$I$7*HORAS_CAPTACAO_DIA-G131))</f>
        <v>76648</v>
      </c>
      <c r="I131" s="16" t="n">
        <f aca="false">MAX(0,G131-CADASTRO_CASAS_BOMBA!$I$7*HORAS_CAPTACAO_DIA-H130)</f>
        <v>0</v>
      </c>
      <c r="J131" s="16" t="n">
        <f aca="false">INDEX(AUX_MATRIZES!$C$10:$BP$10,MIN(N_SEMANAS,MAX(1,$C131)))/DIAS_POR_SEMANA</f>
        <v>75.7870486357893</v>
      </c>
      <c r="K131" s="16" t="n">
        <f aca="false">MIN(CADASTRO_CASAS_BOMBA!$O$8,MAX(0,K130+CADASTRO_CASAS_BOMBA!$I$8*HORAS_CAPTACAO_DIA-J131))</f>
        <v>27377</v>
      </c>
      <c r="L131" s="16" t="n">
        <f aca="false">MAX(0,J131-CADASTRO_CASAS_BOMBA!$I$8*HORAS_CAPTACAO_DIA-K130)</f>
        <v>0</v>
      </c>
      <c r="M131" s="16" t="n">
        <f aca="false">INDEX(AUX_MATRIZES!$C$11:$BP$11,MIN(N_SEMANAS,MAX(1,$C131)))/DIAS_POR_SEMANA</f>
        <v>0</v>
      </c>
      <c r="N131" s="16" t="n">
        <f aca="false">MIN(CADASTRO_CASAS_BOMBA!$O$9,MAX(0,N130+CADASTRO_CASAS_BOMBA!$I$9*HORAS_CAPTACAO_DIA-M131))</f>
        <v>129000</v>
      </c>
      <c r="O131" s="16" t="n">
        <f aca="false">MAX(0,M131-CADASTRO_CASAS_BOMBA!$I$9*HORAS_CAPTACAO_DIA-N130)</f>
        <v>0</v>
      </c>
      <c r="P131" s="16" t="n">
        <f aca="false">INDEX(AUX_MATRIZES!$C$12:$BP$12,MIN(N_SEMANAS,MAX(1,$C131)))/DIAS_POR_SEMANA</f>
        <v>248.034151260503</v>
      </c>
      <c r="Q131" s="16" t="n">
        <f aca="false">MIN(CADASTRO_CASAS_BOMBA!$O$10,MAX(0,Q130+CADASTRO_CASAS_BOMBA!$I$10*HORAS_CAPTACAO_DIA-P131))</f>
        <v>1000000</v>
      </c>
      <c r="R131" s="16" t="n">
        <f aca="false">MAX(0,P131-CADASTRO_CASAS_BOMBA!$I$10*HORAS_CAPTACAO_DIA-Q130)</f>
        <v>0</v>
      </c>
      <c r="S131" s="16" t="n">
        <f aca="false">INDEX(AUX_MATRIZES!$C$13:$BP$13,MIN(N_SEMANAS,MAX(1,$C131)))/DIAS_POR_SEMANA</f>
        <v>82.2590924369744</v>
      </c>
      <c r="T131" s="16" t="n">
        <f aca="false">MIN(CADASTRO_CASAS_BOMBA!$O$11,MAX(0,T130+CADASTRO_CASAS_BOMBA!$I$11*HORAS_CAPTACAO_DIA-S131))</f>
        <v>469821</v>
      </c>
      <c r="U131" s="16" t="n">
        <f aca="false">MAX(0,S131-CADASTRO_CASAS_BOMBA!$I$11*HORAS_CAPTACAO_DIA-T130)</f>
        <v>0</v>
      </c>
      <c r="V131" s="16" t="n">
        <f aca="false">INDEX(AUX_MATRIZES!$C$14:$BP$14,MIN(N_SEMANAS,MAX(1,$C131)))/DIAS_POR_SEMANA</f>
        <v>575.755764705879</v>
      </c>
      <c r="W131" s="16" t="n">
        <f aca="false">MIN(CADASTRO_CASAS_BOMBA!$O$12,MAX(0,W130+CADASTRO_CASAS_BOMBA!$I$12*HORAS_CAPTACAO_DIA-V131))</f>
        <v>440000</v>
      </c>
      <c r="X131" s="16" t="n">
        <f aca="false">MAX(0,V131-CADASTRO_CASAS_BOMBA!$I$12*HORAS_CAPTACAO_DIA-W130)</f>
        <v>0</v>
      </c>
      <c r="Y131" s="16" t="n">
        <f aca="false">INDEX(AUX_MATRIZES!$C$15:$BP$15,MIN(N_SEMANAS,MAX(1,$C131)))/DIAS_POR_SEMANA</f>
        <v>0</v>
      </c>
      <c r="Z131" s="16" t="n">
        <f aca="false">MIN(CADASTRO_CASAS_BOMBA!$O$13,MAX(0,Z130+CADASTRO_CASAS_BOMBA!$I$13*HORAS_CAPTACAO_DIA-Y131))</f>
        <v>74903</v>
      </c>
      <c r="AA131" s="16" t="n">
        <f aca="false">MAX(0,Y131-CADASTRO_CASAS_BOMBA!$I$13*HORAS_CAPTACAO_DIA-Z130)</f>
        <v>0</v>
      </c>
    </row>
    <row r="132" customFormat="false" ht="15" hidden="false" customHeight="false" outlineLevel="0" collapsed="false">
      <c r="B132" s="17" t="n">
        <f aca="false">DATA_INICIO_SAFRA+125</f>
        <v>46390</v>
      </c>
      <c r="C132" s="16" t="n">
        <f aca="false">MIN(N_SEMANAS,MAX(1,INT(($B132-DATA_INICIO_SAFRA)/DIAS_POR_SEMANA)+1))</f>
        <v>18</v>
      </c>
      <c r="D132" s="16" t="n">
        <f aca="false">INDEX(AUX_MATRIZES!$C$8:$BP$8,MIN(N_SEMANAS,MAX(1,$C132)))/DIAS_POR_SEMANA</f>
        <v>0</v>
      </c>
      <c r="E132" s="16" t="n">
        <f aca="false">MIN(CADASTRO_CASAS_BOMBA!$O$6,MAX(0,E131+CADASTRO_CASAS_BOMBA!$I$6*HORAS_CAPTACAO_DIA-D132))</f>
        <v>2600</v>
      </c>
      <c r="F132" s="16" t="n">
        <f aca="false">MAX(0,D132-CADASTRO_CASAS_BOMBA!$I$6*HORAS_CAPTACAO_DIA-E131)</f>
        <v>0</v>
      </c>
      <c r="G132" s="16" t="n">
        <f aca="false">INDEX(AUX_MATRIZES!$C$9:$BP$9,MIN(N_SEMANAS,MAX(1,$C132)))/DIAS_POR_SEMANA</f>
        <v>0</v>
      </c>
      <c r="H132" s="16" t="n">
        <f aca="false">MIN(CADASTRO_CASAS_BOMBA!$O$7,MAX(0,H131+CADASTRO_CASAS_BOMBA!$I$7*HORAS_CAPTACAO_DIA-G132))</f>
        <v>76648</v>
      </c>
      <c r="I132" s="16" t="n">
        <f aca="false">MAX(0,G132-CADASTRO_CASAS_BOMBA!$I$7*HORAS_CAPTACAO_DIA-H131)</f>
        <v>0</v>
      </c>
      <c r="J132" s="16" t="n">
        <f aca="false">INDEX(AUX_MATRIZES!$C$10:$BP$10,MIN(N_SEMANAS,MAX(1,$C132)))/DIAS_POR_SEMANA</f>
        <v>75.7870486357893</v>
      </c>
      <c r="K132" s="16" t="n">
        <f aca="false">MIN(CADASTRO_CASAS_BOMBA!$O$8,MAX(0,K131+CADASTRO_CASAS_BOMBA!$I$8*HORAS_CAPTACAO_DIA-J132))</f>
        <v>27377</v>
      </c>
      <c r="L132" s="16" t="n">
        <f aca="false">MAX(0,J132-CADASTRO_CASAS_BOMBA!$I$8*HORAS_CAPTACAO_DIA-K131)</f>
        <v>0</v>
      </c>
      <c r="M132" s="16" t="n">
        <f aca="false">INDEX(AUX_MATRIZES!$C$11:$BP$11,MIN(N_SEMANAS,MAX(1,$C132)))/DIAS_POR_SEMANA</f>
        <v>0</v>
      </c>
      <c r="N132" s="16" t="n">
        <f aca="false">MIN(CADASTRO_CASAS_BOMBA!$O$9,MAX(0,N131+CADASTRO_CASAS_BOMBA!$I$9*HORAS_CAPTACAO_DIA-M132))</f>
        <v>129000</v>
      </c>
      <c r="O132" s="16" t="n">
        <f aca="false">MAX(0,M132-CADASTRO_CASAS_BOMBA!$I$9*HORAS_CAPTACAO_DIA-N131)</f>
        <v>0</v>
      </c>
      <c r="P132" s="16" t="n">
        <f aca="false">INDEX(AUX_MATRIZES!$C$12:$BP$12,MIN(N_SEMANAS,MAX(1,$C132)))/DIAS_POR_SEMANA</f>
        <v>248.034151260503</v>
      </c>
      <c r="Q132" s="16" t="n">
        <f aca="false">MIN(CADASTRO_CASAS_BOMBA!$O$10,MAX(0,Q131+CADASTRO_CASAS_BOMBA!$I$10*HORAS_CAPTACAO_DIA-P132))</f>
        <v>1000000</v>
      </c>
      <c r="R132" s="16" t="n">
        <f aca="false">MAX(0,P132-CADASTRO_CASAS_BOMBA!$I$10*HORAS_CAPTACAO_DIA-Q131)</f>
        <v>0</v>
      </c>
      <c r="S132" s="16" t="n">
        <f aca="false">INDEX(AUX_MATRIZES!$C$13:$BP$13,MIN(N_SEMANAS,MAX(1,$C132)))/DIAS_POR_SEMANA</f>
        <v>82.2590924369744</v>
      </c>
      <c r="T132" s="16" t="n">
        <f aca="false">MIN(CADASTRO_CASAS_BOMBA!$O$11,MAX(0,T131+CADASTRO_CASAS_BOMBA!$I$11*HORAS_CAPTACAO_DIA-S132))</f>
        <v>469821</v>
      </c>
      <c r="U132" s="16" t="n">
        <f aca="false">MAX(0,S132-CADASTRO_CASAS_BOMBA!$I$11*HORAS_CAPTACAO_DIA-T131)</f>
        <v>0</v>
      </c>
      <c r="V132" s="16" t="n">
        <f aca="false">INDEX(AUX_MATRIZES!$C$14:$BP$14,MIN(N_SEMANAS,MAX(1,$C132)))/DIAS_POR_SEMANA</f>
        <v>575.755764705879</v>
      </c>
      <c r="W132" s="16" t="n">
        <f aca="false">MIN(CADASTRO_CASAS_BOMBA!$O$12,MAX(0,W131+CADASTRO_CASAS_BOMBA!$I$12*HORAS_CAPTACAO_DIA-V132))</f>
        <v>440000</v>
      </c>
      <c r="X132" s="16" t="n">
        <f aca="false">MAX(0,V132-CADASTRO_CASAS_BOMBA!$I$12*HORAS_CAPTACAO_DIA-W131)</f>
        <v>0</v>
      </c>
      <c r="Y132" s="16" t="n">
        <f aca="false">INDEX(AUX_MATRIZES!$C$15:$BP$15,MIN(N_SEMANAS,MAX(1,$C132)))/DIAS_POR_SEMANA</f>
        <v>0</v>
      </c>
      <c r="Z132" s="16" t="n">
        <f aca="false">MIN(CADASTRO_CASAS_BOMBA!$O$13,MAX(0,Z131+CADASTRO_CASAS_BOMBA!$I$13*HORAS_CAPTACAO_DIA-Y132))</f>
        <v>74903</v>
      </c>
      <c r="AA132" s="16" t="n">
        <f aca="false">MAX(0,Y132-CADASTRO_CASAS_BOMBA!$I$13*HORAS_CAPTACAO_DIA-Z131)</f>
        <v>0</v>
      </c>
    </row>
    <row r="133" customFormat="false" ht="15" hidden="false" customHeight="false" outlineLevel="0" collapsed="false">
      <c r="B133" s="17" t="n">
        <f aca="false">DATA_INICIO_SAFRA+126</f>
        <v>46391</v>
      </c>
      <c r="C133" s="16" t="n">
        <f aca="false">MIN(N_SEMANAS,MAX(1,INT(($B133-DATA_INICIO_SAFRA)/DIAS_POR_SEMANA)+1))</f>
        <v>19</v>
      </c>
      <c r="D133" s="16" t="n">
        <f aca="false">INDEX(AUX_MATRIZES!$C$8:$BP$8,MIN(N_SEMANAS,MAX(1,$C133)))/DIAS_POR_SEMANA</f>
        <v>0</v>
      </c>
      <c r="E133" s="16" t="n">
        <f aca="false">MIN(CADASTRO_CASAS_BOMBA!$O$6,MAX(0,E132+CADASTRO_CASAS_BOMBA!$I$6*HORAS_CAPTACAO_DIA-D133))</f>
        <v>2600</v>
      </c>
      <c r="F133" s="16" t="n">
        <f aca="false">MAX(0,D133-CADASTRO_CASAS_BOMBA!$I$6*HORAS_CAPTACAO_DIA-E132)</f>
        <v>0</v>
      </c>
      <c r="G133" s="16" t="n">
        <f aca="false">INDEX(AUX_MATRIZES!$C$9:$BP$9,MIN(N_SEMANAS,MAX(1,$C133)))/DIAS_POR_SEMANA</f>
        <v>0</v>
      </c>
      <c r="H133" s="16" t="n">
        <f aca="false">MIN(CADASTRO_CASAS_BOMBA!$O$7,MAX(0,H132+CADASTRO_CASAS_BOMBA!$I$7*HORAS_CAPTACAO_DIA-G133))</f>
        <v>76648</v>
      </c>
      <c r="I133" s="16" t="n">
        <f aca="false">MAX(0,G133-CADASTRO_CASAS_BOMBA!$I$7*HORAS_CAPTACAO_DIA-H132)</f>
        <v>0</v>
      </c>
      <c r="J133" s="16" t="n">
        <f aca="false">INDEX(AUX_MATRIZES!$C$10:$BP$10,MIN(N_SEMANAS,MAX(1,$C133)))/DIAS_POR_SEMANA</f>
        <v>0</v>
      </c>
      <c r="K133" s="16" t="n">
        <f aca="false">MIN(CADASTRO_CASAS_BOMBA!$O$8,MAX(0,K132+CADASTRO_CASAS_BOMBA!$I$8*HORAS_CAPTACAO_DIA-J133))</f>
        <v>27377</v>
      </c>
      <c r="L133" s="16" t="n">
        <f aca="false">MAX(0,J133-CADASTRO_CASAS_BOMBA!$I$8*HORAS_CAPTACAO_DIA-K132)</f>
        <v>0</v>
      </c>
      <c r="M133" s="16" t="n">
        <f aca="false">INDEX(AUX_MATRIZES!$C$11:$BP$11,MIN(N_SEMANAS,MAX(1,$C133)))/DIAS_POR_SEMANA</f>
        <v>0</v>
      </c>
      <c r="N133" s="16" t="n">
        <f aca="false">MIN(CADASTRO_CASAS_BOMBA!$O$9,MAX(0,N132+CADASTRO_CASAS_BOMBA!$I$9*HORAS_CAPTACAO_DIA-M133))</f>
        <v>129000</v>
      </c>
      <c r="O133" s="16" t="n">
        <f aca="false">MAX(0,M133-CADASTRO_CASAS_BOMBA!$I$9*HORAS_CAPTACAO_DIA-N132)</f>
        <v>0</v>
      </c>
      <c r="P133" s="16" t="n">
        <f aca="false">INDEX(AUX_MATRIZES!$C$12:$BP$12,MIN(N_SEMANAS,MAX(1,$C133)))/DIAS_POR_SEMANA</f>
        <v>1270.41882352941</v>
      </c>
      <c r="Q133" s="16" t="n">
        <f aca="false">MIN(CADASTRO_CASAS_BOMBA!$O$10,MAX(0,Q132+CADASTRO_CASAS_BOMBA!$I$10*HORAS_CAPTACAO_DIA-P133))</f>
        <v>1000000</v>
      </c>
      <c r="R133" s="16" t="n">
        <f aca="false">MAX(0,P133-CADASTRO_CASAS_BOMBA!$I$10*HORAS_CAPTACAO_DIA-Q132)</f>
        <v>0</v>
      </c>
      <c r="S133" s="16" t="n">
        <f aca="false">INDEX(AUX_MATRIZES!$C$13:$BP$13,MIN(N_SEMANAS,MAX(1,$C133)))/DIAS_POR_SEMANA</f>
        <v>421.327058823529</v>
      </c>
      <c r="T133" s="16" t="n">
        <f aca="false">MIN(CADASTRO_CASAS_BOMBA!$O$11,MAX(0,T132+CADASTRO_CASAS_BOMBA!$I$11*HORAS_CAPTACAO_DIA-S133))</f>
        <v>469821</v>
      </c>
      <c r="U133" s="16" t="n">
        <f aca="false">MAX(0,S133-CADASTRO_CASAS_BOMBA!$I$11*HORAS_CAPTACAO_DIA-T132)</f>
        <v>0</v>
      </c>
      <c r="V133" s="16" t="n">
        <f aca="false">INDEX(AUX_MATRIZES!$C$14:$BP$14,MIN(N_SEMANAS,MAX(1,$C133)))/DIAS_POR_SEMANA</f>
        <v>2948.99294117647</v>
      </c>
      <c r="W133" s="16" t="n">
        <f aca="false">MIN(CADASTRO_CASAS_BOMBA!$O$12,MAX(0,W132+CADASTRO_CASAS_BOMBA!$I$12*HORAS_CAPTACAO_DIA-V133))</f>
        <v>440000</v>
      </c>
      <c r="X133" s="16" t="n">
        <f aca="false">MAX(0,V133-CADASTRO_CASAS_BOMBA!$I$12*HORAS_CAPTACAO_DIA-W132)</f>
        <v>0</v>
      </c>
      <c r="Y133" s="16" t="n">
        <f aca="false">INDEX(AUX_MATRIZES!$C$15:$BP$15,MIN(N_SEMANAS,MAX(1,$C133)))/DIAS_POR_SEMANA</f>
        <v>0</v>
      </c>
      <c r="Z133" s="16" t="n">
        <f aca="false">MIN(CADASTRO_CASAS_BOMBA!$O$13,MAX(0,Z132+CADASTRO_CASAS_BOMBA!$I$13*HORAS_CAPTACAO_DIA-Y133))</f>
        <v>74903</v>
      </c>
      <c r="AA133" s="16" t="n">
        <f aca="false">MAX(0,Y133-CADASTRO_CASAS_BOMBA!$I$13*HORAS_CAPTACAO_DIA-Z132)</f>
        <v>0</v>
      </c>
    </row>
    <row r="134" customFormat="false" ht="15" hidden="false" customHeight="false" outlineLevel="0" collapsed="false">
      <c r="B134" s="17" t="n">
        <f aca="false">DATA_INICIO_SAFRA+127</f>
        <v>46392</v>
      </c>
      <c r="C134" s="16" t="n">
        <f aca="false">MIN(N_SEMANAS,MAX(1,INT(($B134-DATA_INICIO_SAFRA)/DIAS_POR_SEMANA)+1))</f>
        <v>19</v>
      </c>
      <c r="D134" s="16" t="n">
        <f aca="false">INDEX(AUX_MATRIZES!$C$8:$BP$8,MIN(N_SEMANAS,MAX(1,$C134)))/DIAS_POR_SEMANA</f>
        <v>0</v>
      </c>
      <c r="E134" s="16" t="n">
        <f aca="false">MIN(CADASTRO_CASAS_BOMBA!$O$6,MAX(0,E133+CADASTRO_CASAS_BOMBA!$I$6*HORAS_CAPTACAO_DIA-D134))</f>
        <v>2600</v>
      </c>
      <c r="F134" s="16" t="n">
        <f aca="false">MAX(0,D134-CADASTRO_CASAS_BOMBA!$I$6*HORAS_CAPTACAO_DIA-E133)</f>
        <v>0</v>
      </c>
      <c r="G134" s="16" t="n">
        <f aca="false">INDEX(AUX_MATRIZES!$C$9:$BP$9,MIN(N_SEMANAS,MAX(1,$C134)))/DIAS_POR_SEMANA</f>
        <v>0</v>
      </c>
      <c r="H134" s="16" t="n">
        <f aca="false">MIN(CADASTRO_CASAS_BOMBA!$O$7,MAX(0,H133+CADASTRO_CASAS_BOMBA!$I$7*HORAS_CAPTACAO_DIA-G134))</f>
        <v>76648</v>
      </c>
      <c r="I134" s="16" t="n">
        <f aca="false">MAX(0,G134-CADASTRO_CASAS_BOMBA!$I$7*HORAS_CAPTACAO_DIA-H133)</f>
        <v>0</v>
      </c>
      <c r="J134" s="16" t="n">
        <f aca="false">INDEX(AUX_MATRIZES!$C$10:$BP$10,MIN(N_SEMANAS,MAX(1,$C134)))/DIAS_POR_SEMANA</f>
        <v>0</v>
      </c>
      <c r="K134" s="16" t="n">
        <f aca="false">MIN(CADASTRO_CASAS_BOMBA!$O$8,MAX(0,K133+CADASTRO_CASAS_BOMBA!$I$8*HORAS_CAPTACAO_DIA-J134))</f>
        <v>27377</v>
      </c>
      <c r="L134" s="16" t="n">
        <f aca="false">MAX(0,J134-CADASTRO_CASAS_BOMBA!$I$8*HORAS_CAPTACAO_DIA-K133)</f>
        <v>0</v>
      </c>
      <c r="M134" s="16" t="n">
        <f aca="false">INDEX(AUX_MATRIZES!$C$11:$BP$11,MIN(N_SEMANAS,MAX(1,$C134)))/DIAS_POR_SEMANA</f>
        <v>0</v>
      </c>
      <c r="N134" s="16" t="n">
        <f aca="false">MIN(CADASTRO_CASAS_BOMBA!$O$9,MAX(0,N133+CADASTRO_CASAS_BOMBA!$I$9*HORAS_CAPTACAO_DIA-M134))</f>
        <v>129000</v>
      </c>
      <c r="O134" s="16" t="n">
        <f aca="false">MAX(0,M134-CADASTRO_CASAS_BOMBA!$I$9*HORAS_CAPTACAO_DIA-N133)</f>
        <v>0</v>
      </c>
      <c r="P134" s="16" t="n">
        <f aca="false">INDEX(AUX_MATRIZES!$C$12:$BP$12,MIN(N_SEMANAS,MAX(1,$C134)))/DIAS_POR_SEMANA</f>
        <v>1270.41882352941</v>
      </c>
      <c r="Q134" s="16" t="n">
        <f aca="false">MIN(CADASTRO_CASAS_BOMBA!$O$10,MAX(0,Q133+CADASTRO_CASAS_BOMBA!$I$10*HORAS_CAPTACAO_DIA-P134))</f>
        <v>1000000</v>
      </c>
      <c r="R134" s="16" t="n">
        <f aca="false">MAX(0,P134-CADASTRO_CASAS_BOMBA!$I$10*HORAS_CAPTACAO_DIA-Q133)</f>
        <v>0</v>
      </c>
      <c r="S134" s="16" t="n">
        <f aca="false">INDEX(AUX_MATRIZES!$C$13:$BP$13,MIN(N_SEMANAS,MAX(1,$C134)))/DIAS_POR_SEMANA</f>
        <v>421.327058823529</v>
      </c>
      <c r="T134" s="16" t="n">
        <f aca="false">MIN(CADASTRO_CASAS_BOMBA!$O$11,MAX(0,T133+CADASTRO_CASAS_BOMBA!$I$11*HORAS_CAPTACAO_DIA-S134))</f>
        <v>469821</v>
      </c>
      <c r="U134" s="16" t="n">
        <f aca="false">MAX(0,S134-CADASTRO_CASAS_BOMBA!$I$11*HORAS_CAPTACAO_DIA-T133)</f>
        <v>0</v>
      </c>
      <c r="V134" s="16" t="n">
        <f aca="false">INDEX(AUX_MATRIZES!$C$14:$BP$14,MIN(N_SEMANAS,MAX(1,$C134)))/DIAS_POR_SEMANA</f>
        <v>2948.99294117647</v>
      </c>
      <c r="W134" s="16" t="n">
        <f aca="false">MIN(CADASTRO_CASAS_BOMBA!$O$12,MAX(0,W133+CADASTRO_CASAS_BOMBA!$I$12*HORAS_CAPTACAO_DIA-V134))</f>
        <v>440000</v>
      </c>
      <c r="X134" s="16" t="n">
        <f aca="false">MAX(0,V134-CADASTRO_CASAS_BOMBA!$I$12*HORAS_CAPTACAO_DIA-W133)</f>
        <v>0</v>
      </c>
      <c r="Y134" s="16" t="n">
        <f aca="false">INDEX(AUX_MATRIZES!$C$15:$BP$15,MIN(N_SEMANAS,MAX(1,$C134)))/DIAS_POR_SEMANA</f>
        <v>0</v>
      </c>
      <c r="Z134" s="16" t="n">
        <f aca="false">MIN(CADASTRO_CASAS_BOMBA!$O$13,MAX(0,Z133+CADASTRO_CASAS_BOMBA!$I$13*HORAS_CAPTACAO_DIA-Y134))</f>
        <v>74903</v>
      </c>
      <c r="AA134" s="16" t="n">
        <f aca="false">MAX(0,Y134-CADASTRO_CASAS_BOMBA!$I$13*HORAS_CAPTACAO_DIA-Z133)</f>
        <v>0</v>
      </c>
    </row>
    <row r="135" customFormat="false" ht="15" hidden="false" customHeight="false" outlineLevel="0" collapsed="false">
      <c r="B135" s="17" t="n">
        <f aca="false">DATA_INICIO_SAFRA+128</f>
        <v>46393</v>
      </c>
      <c r="C135" s="16" t="n">
        <f aca="false">MIN(N_SEMANAS,MAX(1,INT(($B135-DATA_INICIO_SAFRA)/DIAS_POR_SEMANA)+1))</f>
        <v>19</v>
      </c>
      <c r="D135" s="16" t="n">
        <f aca="false">INDEX(AUX_MATRIZES!$C$8:$BP$8,MIN(N_SEMANAS,MAX(1,$C135)))/DIAS_POR_SEMANA</f>
        <v>0</v>
      </c>
      <c r="E135" s="16" t="n">
        <f aca="false">MIN(CADASTRO_CASAS_BOMBA!$O$6,MAX(0,E134+CADASTRO_CASAS_BOMBA!$I$6*HORAS_CAPTACAO_DIA-D135))</f>
        <v>2600</v>
      </c>
      <c r="F135" s="16" t="n">
        <f aca="false">MAX(0,D135-CADASTRO_CASAS_BOMBA!$I$6*HORAS_CAPTACAO_DIA-E134)</f>
        <v>0</v>
      </c>
      <c r="G135" s="16" t="n">
        <f aca="false">INDEX(AUX_MATRIZES!$C$9:$BP$9,MIN(N_SEMANAS,MAX(1,$C135)))/DIAS_POR_SEMANA</f>
        <v>0</v>
      </c>
      <c r="H135" s="16" t="n">
        <f aca="false">MIN(CADASTRO_CASAS_BOMBA!$O$7,MAX(0,H134+CADASTRO_CASAS_BOMBA!$I$7*HORAS_CAPTACAO_DIA-G135))</f>
        <v>76648</v>
      </c>
      <c r="I135" s="16" t="n">
        <f aca="false">MAX(0,G135-CADASTRO_CASAS_BOMBA!$I$7*HORAS_CAPTACAO_DIA-H134)</f>
        <v>0</v>
      </c>
      <c r="J135" s="16" t="n">
        <f aca="false">INDEX(AUX_MATRIZES!$C$10:$BP$10,MIN(N_SEMANAS,MAX(1,$C135)))/DIAS_POR_SEMANA</f>
        <v>0</v>
      </c>
      <c r="K135" s="16" t="n">
        <f aca="false">MIN(CADASTRO_CASAS_BOMBA!$O$8,MAX(0,K134+CADASTRO_CASAS_BOMBA!$I$8*HORAS_CAPTACAO_DIA-J135))</f>
        <v>27377</v>
      </c>
      <c r="L135" s="16" t="n">
        <f aca="false">MAX(0,J135-CADASTRO_CASAS_BOMBA!$I$8*HORAS_CAPTACAO_DIA-K134)</f>
        <v>0</v>
      </c>
      <c r="M135" s="16" t="n">
        <f aca="false">INDEX(AUX_MATRIZES!$C$11:$BP$11,MIN(N_SEMANAS,MAX(1,$C135)))/DIAS_POR_SEMANA</f>
        <v>0</v>
      </c>
      <c r="N135" s="16" t="n">
        <f aca="false">MIN(CADASTRO_CASAS_BOMBA!$O$9,MAX(0,N134+CADASTRO_CASAS_BOMBA!$I$9*HORAS_CAPTACAO_DIA-M135))</f>
        <v>129000</v>
      </c>
      <c r="O135" s="16" t="n">
        <f aca="false">MAX(0,M135-CADASTRO_CASAS_BOMBA!$I$9*HORAS_CAPTACAO_DIA-N134)</f>
        <v>0</v>
      </c>
      <c r="P135" s="16" t="n">
        <f aca="false">INDEX(AUX_MATRIZES!$C$12:$BP$12,MIN(N_SEMANAS,MAX(1,$C135)))/DIAS_POR_SEMANA</f>
        <v>1270.41882352941</v>
      </c>
      <c r="Q135" s="16" t="n">
        <f aca="false">MIN(CADASTRO_CASAS_BOMBA!$O$10,MAX(0,Q134+CADASTRO_CASAS_BOMBA!$I$10*HORAS_CAPTACAO_DIA-P135))</f>
        <v>1000000</v>
      </c>
      <c r="R135" s="16" t="n">
        <f aca="false">MAX(0,P135-CADASTRO_CASAS_BOMBA!$I$10*HORAS_CAPTACAO_DIA-Q134)</f>
        <v>0</v>
      </c>
      <c r="S135" s="16" t="n">
        <f aca="false">INDEX(AUX_MATRIZES!$C$13:$BP$13,MIN(N_SEMANAS,MAX(1,$C135)))/DIAS_POR_SEMANA</f>
        <v>421.327058823529</v>
      </c>
      <c r="T135" s="16" t="n">
        <f aca="false">MIN(CADASTRO_CASAS_BOMBA!$O$11,MAX(0,T134+CADASTRO_CASAS_BOMBA!$I$11*HORAS_CAPTACAO_DIA-S135))</f>
        <v>469821</v>
      </c>
      <c r="U135" s="16" t="n">
        <f aca="false">MAX(0,S135-CADASTRO_CASAS_BOMBA!$I$11*HORAS_CAPTACAO_DIA-T134)</f>
        <v>0</v>
      </c>
      <c r="V135" s="16" t="n">
        <f aca="false">INDEX(AUX_MATRIZES!$C$14:$BP$14,MIN(N_SEMANAS,MAX(1,$C135)))/DIAS_POR_SEMANA</f>
        <v>2948.99294117647</v>
      </c>
      <c r="W135" s="16" t="n">
        <f aca="false">MIN(CADASTRO_CASAS_BOMBA!$O$12,MAX(0,W134+CADASTRO_CASAS_BOMBA!$I$12*HORAS_CAPTACAO_DIA-V135))</f>
        <v>440000</v>
      </c>
      <c r="X135" s="16" t="n">
        <f aca="false">MAX(0,V135-CADASTRO_CASAS_BOMBA!$I$12*HORAS_CAPTACAO_DIA-W134)</f>
        <v>0</v>
      </c>
      <c r="Y135" s="16" t="n">
        <f aca="false">INDEX(AUX_MATRIZES!$C$15:$BP$15,MIN(N_SEMANAS,MAX(1,$C135)))/DIAS_POR_SEMANA</f>
        <v>0</v>
      </c>
      <c r="Z135" s="16" t="n">
        <f aca="false">MIN(CADASTRO_CASAS_BOMBA!$O$13,MAX(0,Z134+CADASTRO_CASAS_BOMBA!$I$13*HORAS_CAPTACAO_DIA-Y135))</f>
        <v>74903</v>
      </c>
      <c r="AA135" s="16" t="n">
        <f aca="false">MAX(0,Y135-CADASTRO_CASAS_BOMBA!$I$13*HORAS_CAPTACAO_DIA-Z134)</f>
        <v>0</v>
      </c>
    </row>
    <row r="136" customFormat="false" ht="15" hidden="false" customHeight="false" outlineLevel="0" collapsed="false">
      <c r="B136" s="17" t="n">
        <f aca="false">DATA_INICIO_SAFRA+129</f>
        <v>46394</v>
      </c>
      <c r="C136" s="16" t="n">
        <f aca="false">MIN(N_SEMANAS,MAX(1,INT(($B136-DATA_INICIO_SAFRA)/DIAS_POR_SEMANA)+1))</f>
        <v>19</v>
      </c>
      <c r="D136" s="16" t="n">
        <f aca="false">INDEX(AUX_MATRIZES!$C$8:$BP$8,MIN(N_SEMANAS,MAX(1,$C136)))/DIAS_POR_SEMANA</f>
        <v>0</v>
      </c>
      <c r="E136" s="16" t="n">
        <f aca="false">MIN(CADASTRO_CASAS_BOMBA!$O$6,MAX(0,E135+CADASTRO_CASAS_BOMBA!$I$6*HORAS_CAPTACAO_DIA-D136))</f>
        <v>2600</v>
      </c>
      <c r="F136" s="16" t="n">
        <f aca="false">MAX(0,D136-CADASTRO_CASAS_BOMBA!$I$6*HORAS_CAPTACAO_DIA-E135)</f>
        <v>0</v>
      </c>
      <c r="G136" s="16" t="n">
        <f aca="false">INDEX(AUX_MATRIZES!$C$9:$BP$9,MIN(N_SEMANAS,MAX(1,$C136)))/DIAS_POR_SEMANA</f>
        <v>0</v>
      </c>
      <c r="H136" s="16" t="n">
        <f aca="false">MIN(CADASTRO_CASAS_BOMBA!$O$7,MAX(0,H135+CADASTRO_CASAS_BOMBA!$I$7*HORAS_CAPTACAO_DIA-G136))</f>
        <v>76648</v>
      </c>
      <c r="I136" s="16" t="n">
        <f aca="false">MAX(0,G136-CADASTRO_CASAS_BOMBA!$I$7*HORAS_CAPTACAO_DIA-H135)</f>
        <v>0</v>
      </c>
      <c r="J136" s="16" t="n">
        <f aca="false">INDEX(AUX_MATRIZES!$C$10:$BP$10,MIN(N_SEMANAS,MAX(1,$C136)))/DIAS_POR_SEMANA</f>
        <v>0</v>
      </c>
      <c r="K136" s="16" t="n">
        <f aca="false">MIN(CADASTRO_CASAS_BOMBA!$O$8,MAX(0,K135+CADASTRO_CASAS_BOMBA!$I$8*HORAS_CAPTACAO_DIA-J136))</f>
        <v>27377</v>
      </c>
      <c r="L136" s="16" t="n">
        <f aca="false">MAX(0,J136-CADASTRO_CASAS_BOMBA!$I$8*HORAS_CAPTACAO_DIA-K135)</f>
        <v>0</v>
      </c>
      <c r="M136" s="16" t="n">
        <f aca="false">INDEX(AUX_MATRIZES!$C$11:$BP$11,MIN(N_SEMANAS,MAX(1,$C136)))/DIAS_POR_SEMANA</f>
        <v>0</v>
      </c>
      <c r="N136" s="16" t="n">
        <f aca="false">MIN(CADASTRO_CASAS_BOMBA!$O$9,MAX(0,N135+CADASTRO_CASAS_BOMBA!$I$9*HORAS_CAPTACAO_DIA-M136))</f>
        <v>129000</v>
      </c>
      <c r="O136" s="16" t="n">
        <f aca="false">MAX(0,M136-CADASTRO_CASAS_BOMBA!$I$9*HORAS_CAPTACAO_DIA-N135)</f>
        <v>0</v>
      </c>
      <c r="P136" s="16" t="n">
        <f aca="false">INDEX(AUX_MATRIZES!$C$12:$BP$12,MIN(N_SEMANAS,MAX(1,$C136)))/DIAS_POR_SEMANA</f>
        <v>1270.41882352941</v>
      </c>
      <c r="Q136" s="16" t="n">
        <f aca="false">MIN(CADASTRO_CASAS_BOMBA!$O$10,MAX(0,Q135+CADASTRO_CASAS_BOMBA!$I$10*HORAS_CAPTACAO_DIA-P136))</f>
        <v>1000000</v>
      </c>
      <c r="R136" s="16" t="n">
        <f aca="false">MAX(0,P136-CADASTRO_CASAS_BOMBA!$I$10*HORAS_CAPTACAO_DIA-Q135)</f>
        <v>0</v>
      </c>
      <c r="S136" s="16" t="n">
        <f aca="false">INDEX(AUX_MATRIZES!$C$13:$BP$13,MIN(N_SEMANAS,MAX(1,$C136)))/DIAS_POR_SEMANA</f>
        <v>421.327058823529</v>
      </c>
      <c r="T136" s="16" t="n">
        <f aca="false">MIN(CADASTRO_CASAS_BOMBA!$O$11,MAX(0,T135+CADASTRO_CASAS_BOMBA!$I$11*HORAS_CAPTACAO_DIA-S136))</f>
        <v>469821</v>
      </c>
      <c r="U136" s="16" t="n">
        <f aca="false">MAX(0,S136-CADASTRO_CASAS_BOMBA!$I$11*HORAS_CAPTACAO_DIA-T135)</f>
        <v>0</v>
      </c>
      <c r="V136" s="16" t="n">
        <f aca="false">INDEX(AUX_MATRIZES!$C$14:$BP$14,MIN(N_SEMANAS,MAX(1,$C136)))/DIAS_POR_SEMANA</f>
        <v>2948.99294117647</v>
      </c>
      <c r="W136" s="16" t="n">
        <f aca="false">MIN(CADASTRO_CASAS_BOMBA!$O$12,MAX(0,W135+CADASTRO_CASAS_BOMBA!$I$12*HORAS_CAPTACAO_DIA-V136))</f>
        <v>440000</v>
      </c>
      <c r="X136" s="16" t="n">
        <f aca="false">MAX(0,V136-CADASTRO_CASAS_BOMBA!$I$12*HORAS_CAPTACAO_DIA-W135)</f>
        <v>0</v>
      </c>
      <c r="Y136" s="16" t="n">
        <f aca="false">INDEX(AUX_MATRIZES!$C$15:$BP$15,MIN(N_SEMANAS,MAX(1,$C136)))/DIAS_POR_SEMANA</f>
        <v>0</v>
      </c>
      <c r="Z136" s="16" t="n">
        <f aca="false">MIN(CADASTRO_CASAS_BOMBA!$O$13,MAX(0,Z135+CADASTRO_CASAS_BOMBA!$I$13*HORAS_CAPTACAO_DIA-Y136))</f>
        <v>74903</v>
      </c>
      <c r="AA136" s="16" t="n">
        <f aca="false">MAX(0,Y136-CADASTRO_CASAS_BOMBA!$I$13*HORAS_CAPTACAO_DIA-Z135)</f>
        <v>0</v>
      </c>
    </row>
    <row r="137" customFormat="false" ht="15" hidden="false" customHeight="false" outlineLevel="0" collapsed="false">
      <c r="B137" s="17" t="n">
        <f aca="false">DATA_INICIO_SAFRA+130</f>
        <v>46395</v>
      </c>
      <c r="C137" s="16" t="n">
        <f aca="false">MIN(N_SEMANAS,MAX(1,INT(($B137-DATA_INICIO_SAFRA)/DIAS_POR_SEMANA)+1))</f>
        <v>19</v>
      </c>
      <c r="D137" s="16" t="n">
        <f aca="false">INDEX(AUX_MATRIZES!$C$8:$BP$8,MIN(N_SEMANAS,MAX(1,$C137)))/DIAS_POR_SEMANA</f>
        <v>0</v>
      </c>
      <c r="E137" s="16" t="n">
        <f aca="false">MIN(CADASTRO_CASAS_BOMBA!$O$6,MAX(0,E136+CADASTRO_CASAS_BOMBA!$I$6*HORAS_CAPTACAO_DIA-D137))</f>
        <v>2600</v>
      </c>
      <c r="F137" s="16" t="n">
        <f aca="false">MAX(0,D137-CADASTRO_CASAS_BOMBA!$I$6*HORAS_CAPTACAO_DIA-E136)</f>
        <v>0</v>
      </c>
      <c r="G137" s="16" t="n">
        <f aca="false">INDEX(AUX_MATRIZES!$C$9:$BP$9,MIN(N_SEMANAS,MAX(1,$C137)))/DIAS_POR_SEMANA</f>
        <v>0</v>
      </c>
      <c r="H137" s="16" t="n">
        <f aca="false">MIN(CADASTRO_CASAS_BOMBA!$O$7,MAX(0,H136+CADASTRO_CASAS_BOMBA!$I$7*HORAS_CAPTACAO_DIA-G137))</f>
        <v>76648</v>
      </c>
      <c r="I137" s="16" t="n">
        <f aca="false">MAX(0,G137-CADASTRO_CASAS_BOMBA!$I$7*HORAS_CAPTACAO_DIA-H136)</f>
        <v>0</v>
      </c>
      <c r="J137" s="16" t="n">
        <f aca="false">INDEX(AUX_MATRIZES!$C$10:$BP$10,MIN(N_SEMANAS,MAX(1,$C137)))/DIAS_POR_SEMANA</f>
        <v>0</v>
      </c>
      <c r="K137" s="16" t="n">
        <f aca="false">MIN(CADASTRO_CASAS_BOMBA!$O$8,MAX(0,K136+CADASTRO_CASAS_BOMBA!$I$8*HORAS_CAPTACAO_DIA-J137))</f>
        <v>27377</v>
      </c>
      <c r="L137" s="16" t="n">
        <f aca="false">MAX(0,J137-CADASTRO_CASAS_BOMBA!$I$8*HORAS_CAPTACAO_DIA-K136)</f>
        <v>0</v>
      </c>
      <c r="M137" s="16" t="n">
        <f aca="false">INDEX(AUX_MATRIZES!$C$11:$BP$11,MIN(N_SEMANAS,MAX(1,$C137)))/DIAS_POR_SEMANA</f>
        <v>0</v>
      </c>
      <c r="N137" s="16" t="n">
        <f aca="false">MIN(CADASTRO_CASAS_BOMBA!$O$9,MAX(0,N136+CADASTRO_CASAS_BOMBA!$I$9*HORAS_CAPTACAO_DIA-M137))</f>
        <v>129000</v>
      </c>
      <c r="O137" s="16" t="n">
        <f aca="false">MAX(0,M137-CADASTRO_CASAS_BOMBA!$I$9*HORAS_CAPTACAO_DIA-N136)</f>
        <v>0</v>
      </c>
      <c r="P137" s="16" t="n">
        <f aca="false">INDEX(AUX_MATRIZES!$C$12:$BP$12,MIN(N_SEMANAS,MAX(1,$C137)))/DIAS_POR_SEMANA</f>
        <v>1270.41882352941</v>
      </c>
      <c r="Q137" s="16" t="n">
        <f aca="false">MIN(CADASTRO_CASAS_BOMBA!$O$10,MAX(0,Q136+CADASTRO_CASAS_BOMBA!$I$10*HORAS_CAPTACAO_DIA-P137))</f>
        <v>1000000</v>
      </c>
      <c r="R137" s="16" t="n">
        <f aca="false">MAX(0,P137-CADASTRO_CASAS_BOMBA!$I$10*HORAS_CAPTACAO_DIA-Q136)</f>
        <v>0</v>
      </c>
      <c r="S137" s="16" t="n">
        <f aca="false">INDEX(AUX_MATRIZES!$C$13:$BP$13,MIN(N_SEMANAS,MAX(1,$C137)))/DIAS_POR_SEMANA</f>
        <v>421.327058823529</v>
      </c>
      <c r="T137" s="16" t="n">
        <f aca="false">MIN(CADASTRO_CASAS_BOMBA!$O$11,MAX(0,T136+CADASTRO_CASAS_BOMBA!$I$11*HORAS_CAPTACAO_DIA-S137))</f>
        <v>469821</v>
      </c>
      <c r="U137" s="16" t="n">
        <f aca="false">MAX(0,S137-CADASTRO_CASAS_BOMBA!$I$11*HORAS_CAPTACAO_DIA-T136)</f>
        <v>0</v>
      </c>
      <c r="V137" s="16" t="n">
        <f aca="false">INDEX(AUX_MATRIZES!$C$14:$BP$14,MIN(N_SEMANAS,MAX(1,$C137)))/DIAS_POR_SEMANA</f>
        <v>2948.99294117647</v>
      </c>
      <c r="W137" s="16" t="n">
        <f aca="false">MIN(CADASTRO_CASAS_BOMBA!$O$12,MAX(0,W136+CADASTRO_CASAS_BOMBA!$I$12*HORAS_CAPTACAO_DIA-V137))</f>
        <v>440000</v>
      </c>
      <c r="X137" s="16" t="n">
        <f aca="false">MAX(0,V137-CADASTRO_CASAS_BOMBA!$I$12*HORAS_CAPTACAO_DIA-W136)</f>
        <v>0</v>
      </c>
      <c r="Y137" s="16" t="n">
        <f aca="false">INDEX(AUX_MATRIZES!$C$15:$BP$15,MIN(N_SEMANAS,MAX(1,$C137)))/DIAS_POR_SEMANA</f>
        <v>0</v>
      </c>
      <c r="Z137" s="16" t="n">
        <f aca="false">MIN(CADASTRO_CASAS_BOMBA!$O$13,MAX(0,Z136+CADASTRO_CASAS_BOMBA!$I$13*HORAS_CAPTACAO_DIA-Y137))</f>
        <v>74903</v>
      </c>
      <c r="AA137" s="16" t="n">
        <f aca="false">MAX(0,Y137-CADASTRO_CASAS_BOMBA!$I$13*HORAS_CAPTACAO_DIA-Z136)</f>
        <v>0</v>
      </c>
    </row>
    <row r="138" customFormat="false" ht="15" hidden="false" customHeight="false" outlineLevel="0" collapsed="false">
      <c r="B138" s="17" t="n">
        <f aca="false">DATA_INICIO_SAFRA+131</f>
        <v>46396</v>
      </c>
      <c r="C138" s="16" t="n">
        <f aca="false">MIN(N_SEMANAS,MAX(1,INT(($B138-DATA_INICIO_SAFRA)/DIAS_POR_SEMANA)+1))</f>
        <v>19</v>
      </c>
      <c r="D138" s="16" t="n">
        <f aca="false">INDEX(AUX_MATRIZES!$C$8:$BP$8,MIN(N_SEMANAS,MAX(1,$C138)))/DIAS_POR_SEMANA</f>
        <v>0</v>
      </c>
      <c r="E138" s="16" t="n">
        <f aca="false">MIN(CADASTRO_CASAS_BOMBA!$O$6,MAX(0,E137+CADASTRO_CASAS_BOMBA!$I$6*HORAS_CAPTACAO_DIA-D138))</f>
        <v>2600</v>
      </c>
      <c r="F138" s="16" t="n">
        <f aca="false">MAX(0,D138-CADASTRO_CASAS_BOMBA!$I$6*HORAS_CAPTACAO_DIA-E137)</f>
        <v>0</v>
      </c>
      <c r="G138" s="16" t="n">
        <f aca="false">INDEX(AUX_MATRIZES!$C$9:$BP$9,MIN(N_SEMANAS,MAX(1,$C138)))/DIAS_POR_SEMANA</f>
        <v>0</v>
      </c>
      <c r="H138" s="16" t="n">
        <f aca="false">MIN(CADASTRO_CASAS_BOMBA!$O$7,MAX(0,H137+CADASTRO_CASAS_BOMBA!$I$7*HORAS_CAPTACAO_DIA-G138))</f>
        <v>76648</v>
      </c>
      <c r="I138" s="16" t="n">
        <f aca="false">MAX(0,G138-CADASTRO_CASAS_BOMBA!$I$7*HORAS_CAPTACAO_DIA-H137)</f>
        <v>0</v>
      </c>
      <c r="J138" s="16" t="n">
        <f aca="false">INDEX(AUX_MATRIZES!$C$10:$BP$10,MIN(N_SEMANAS,MAX(1,$C138)))/DIAS_POR_SEMANA</f>
        <v>0</v>
      </c>
      <c r="K138" s="16" t="n">
        <f aca="false">MIN(CADASTRO_CASAS_BOMBA!$O$8,MAX(0,K137+CADASTRO_CASAS_BOMBA!$I$8*HORAS_CAPTACAO_DIA-J138))</f>
        <v>27377</v>
      </c>
      <c r="L138" s="16" t="n">
        <f aca="false">MAX(0,J138-CADASTRO_CASAS_BOMBA!$I$8*HORAS_CAPTACAO_DIA-K137)</f>
        <v>0</v>
      </c>
      <c r="M138" s="16" t="n">
        <f aca="false">INDEX(AUX_MATRIZES!$C$11:$BP$11,MIN(N_SEMANAS,MAX(1,$C138)))/DIAS_POR_SEMANA</f>
        <v>0</v>
      </c>
      <c r="N138" s="16" t="n">
        <f aca="false">MIN(CADASTRO_CASAS_BOMBA!$O$9,MAX(0,N137+CADASTRO_CASAS_BOMBA!$I$9*HORAS_CAPTACAO_DIA-M138))</f>
        <v>129000</v>
      </c>
      <c r="O138" s="16" t="n">
        <f aca="false">MAX(0,M138-CADASTRO_CASAS_BOMBA!$I$9*HORAS_CAPTACAO_DIA-N137)</f>
        <v>0</v>
      </c>
      <c r="P138" s="16" t="n">
        <f aca="false">INDEX(AUX_MATRIZES!$C$12:$BP$12,MIN(N_SEMANAS,MAX(1,$C138)))/DIAS_POR_SEMANA</f>
        <v>1270.41882352941</v>
      </c>
      <c r="Q138" s="16" t="n">
        <f aca="false">MIN(CADASTRO_CASAS_BOMBA!$O$10,MAX(0,Q137+CADASTRO_CASAS_BOMBA!$I$10*HORAS_CAPTACAO_DIA-P138))</f>
        <v>1000000</v>
      </c>
      <c r="R138" s="16" t="n">
        <f aca="false">MAX(0,P138-CADASTRO_CASAS_BOMBA!$I$10*HORAS_CAPTACAO_DIA-Q137)</f>
        <v>0</v>
      </c>
      <c r="S138" s="16" t="n">
        <f aca="false">INDEX(AUX_MATRIZES!$C$13:$BP$13,MIN(N_SEMANAS,MAX(1,$C138)))/DIAS_POR_SEMANA</f>
        <v>421.327058823529</v>
      </c>
      <c r="T138" s="16" t="n">
        <f aca="false">MIN(CADASTRO_CASAS_BOMBA!$O$11,MAX(0,T137+CADASTRO_CASAS_BOMBA!$I$11*HORAS_CAPTACAO_DIA-S138))</f>
        <v>469821</v>
      </c>
      <c r="U138" s="16" t="n">
        <f aca="false">MAX(0,S138-CADASTRO_CASAS_BOMBA!$I$11*HORAS_CAPTACAO_DIA-T137)</f>
        <v>0</v>
      </c>
      <c r="V138" s="16" t="n">
        <f aca="false">INDEX(AUX_MATRIZES!$C$14:$BP$14,MIN(N_SEMANAS,MAX(1,$C138)))/DIAS_POR_SEMANA</f>
        <v>2948.99294117647</v>
      </c>
      <c r="W138" s="16" t="n">
        <f aca="false">MIN(CADASTRO_CASAS_BOMBA!$O$12,MAX(0,W137+CADASTRO_CASAS_BOMBA!$I$12*HORAS_CAPTACAO_DIA-V138))</f>
        <v>440000</v>
      </c>
      <c r="X138" s="16" t="n">
        <f aca="false">MAX(0,V138-CADASTRO_CASAS_BOMBA!$I$12*HORAS_CAPTACAO_DIA-W137)</f>
        <v>0</v>
      </c>
      <c r="Y138" s="16" t="n">
        <f aca="false">INDEX(AUX_MATRIZES!$C$15:$BP$15,MIN(N_SEMANAS,MAX(1,$C138)))/DIAS_POR_SEMANA</f>
        <v>0</v>
      </c>
      <c r="Z138" s="16" t="n">
        <f aca="false">MIN(CADASTRO_CASAS_BOMBA!$O$13,MAX(0,Z137+CADASTRO_CASAS_BOMBA!$I$13*HORAS_CAPTACAO_DIA-Y138))</f>
        <v>74903</v>
      </c>
      <c r="AA138" s="16" t="n">
        <f aca="false">MAX(0,Y138-CADASTRO_CASAS_BOMBA!$I$13*HORAS_CAPTACAO_DIA-Z137)</f>
        <v>0</v>
      </c>
    </row>
    <row r="139" customFormat="false" ht="15" hidden="false" customHeight="false" outlineLevel="0" collapsed="false">
      <c r="B139" s="17" t="n">
        <f aca="false">DATA_INICIO_SAFRA+132</f>
        <v>46397</v>
      </c>
      <c r="C139" s="16" t="n">
        <f aca="false">MIN(N_SEMANAS,MAX(1,INT(($B139-DATA_INICIO_SAFRA)/DIAS_POR_SEMANA)+1))</f>
        <v>19</v>
      </c>
      <c r="D139" s="16" t="n">
        <f aca="false">INDEX(AUX_MATRIZES!$C$8:$BP$8,MIN(N_SEMANAS,MAX(1,$C139)))/DIAS_POR_SEMANA</f>
        <v>0</v>
      </c>
      <c r="E139" s="16" t="n">
        <f aca="false">MIN(CADASTRO_CASAS_BOMBA!$O$6,MAX(0,E138+CADASTRO_CASAS_BOMBA!$I$6*HORAS_CAPTACAO_DIA-D139))</f>
        <v>2600</v>
      </c>
      <c r="F139" s="16" t="n">
        <f aca="false">MAX(0,D139-CADASTRO_CASAS_BOMBA!$I$6*HORAS_CAPTACAO_DIA-E138)</f>
        <v>0</v>
      </c>
      <c r="G139" s="16" t="n">
        <f aca="false">INDEX(AUX_MATRIZES!$C$9:$BP$9,MIN(N_SEMANAS,MAX(1,$C139)))/DIAS_POR_SEMANA</f>
        <v>0</v>
      </c>
      <c r="H139" s="16" t="n">
        <f aca="false">MIN(CADASTRO_CASAS_BOMBA!$O$7,MAX(0,H138+CADASTRO_CASAS_BOMBA!$I$7*HORAS_CAPTACAO_DIA-G139))</f>
        <v>76648</v>
      </c>
      <c r="I139" s="16" t="n">
        <f aca="false">MAX(0,G139-CADASTRO_CASAS_BOMBA!$I$7*HORAS_CAPTACAO_DIA-H138)</f>
        <v>0</v>
      </c>
      <c r="J139" s="16" t="n">
        <f aca="false">INDEX(AUX_MATRIZES!$C$10:$BP$10,MIN(N_SEMANAS,MAX(1,$C139)))/DIAS_POR_SEMANA</f>
        <v>0</v>
      </c>
      <c r="K139" s="16" t="n">
        <f aca="false">MIN(CADASTRO_CASAS_BOMBA!$O$8,MAX(0,K138+CADASTRO_CASAS_BOMBA!$I$8*HORAS_CAPTACAO_DIA-J139))</f>
        <v>27377</v>
      </c>
      <c r="L139" s="16" t="n">
        <f aca="false">MAX(0,J139-CADASTRO_CASAS_BOMBA!$I$8*HORAS_CAPTACAO_DIA-K138)</f>
        <v>0</v>
      </c>
      <c r="M139" s="16" t="n">
        <f aca="false">INDEX(AUX_MATRIZES!$C$11:$BP$11,MIN(N_SEMANAS,MAX(1,$C139)))/DIAS_POR_SEMANA</f>
        <v>0</v>
      </c>
      <c r="N139" s="16" t="n">
        <f aca="false">MIN(CADASTRO_CASAS_BOMBA!$O$9,MAX(0,N138+CADASTRO_CASAS_BOMBA!$I$9*HORAS_CAPTACAO_DIA-M139))</f>
        <v>129000</v>
      </c>
      <c r="O139" s="16" t="n">
        <f aca="false">MAX(0,M139-CADASTRO_CASAS_BOMBA!$I$9*HORAS_CAPTACAO_DIA-N138)</f>
        <v>0</v>
      </c>
      <c r="P139" s="16" t="n">
        <f aca="false">INDEX(AUX_MATRIZES!$C$12:$BP$12,MIN(N_SEMANAS,MAX(1,$C139)))/DIAS_POR_SEMANA</f>
        <v>1270.41882352941</v>
      </c>
      <c r="Q139" s="16" t="n">
        <f aca="false">MIN(CADASTRO_CASAS_BOMBA!$O$10,MAX(0,Q138+CADASTRO_CASAS_BOMBA!$I$10*HORAS_CAPTACAO_DIA-P139))</f>
        <v>1000000</v>
      </c>
      <c r="R139" s="16" t="n">
        <f aca="false">MAX(0,P139-CADASTRO_CASAS_BOMBA!$I$10*HORAS_CAPTACAO_DIA-Q138)</f>
        <v>0</v>
      </c>
      <c r="S139" s="16" t="n">
        <f aca="false">INDEX(AUX_MATRIZES!$C$13:$BP$13,MIN(N_SEMANAS,MAX(1,$C139)))/DIAS_POR_SEMANA</f>
        <v>421.327058823529</v>
      </c>
      <c r="T139" s="16" t="n">
        <f aca="false">MIN(CADASTRO_CASAS_BOMBA!$O$11,MAX(0,T138+CADASTRO_CASAS_BOMBA!$I$11*HORAS_CAPTACAO_DIA-S139))</f>
        <v>469821</v>
      </c>
      <c r="U139" s="16" t="n">
        <f aca="false">MAX(0,S139-CADASTRO_CASAS_BOMBA!$I$11*HORAS_CAPTACAO_DIA-T138)</f>
        <v>0</v>
      </c>
      <c r="V139" s="16" t="n">
        <f aca="false">INDEX(AUX_MATRIZES!$C$14:$BP$14,MIN(N_SEMANAS,MAX(1,$C139)))/DIAS_POR_SEMANA</f>
        <v>2948.99294117647</v>
      </c>
      <c r="W139" s="16" t="n">
        <f aca="false">MIN(CADASTRO_CASAS_BOMBA!$O$12,MAX(0,W138+CADASTRO_CASAS_BOMBA!$I$12*HORAS_CAPTACAO_DIA-V139))</f>
        <v>440000</v>
      </c>
      <c r="X139" s="16" t="n">
        <f aca="false">MAX(0,V139-CADASTRO_CASAS_BOMBA!$I$12*HORAS_CAPTACAO_DIA-W138)</f>
        <v>0</v>
      </c>
      <c r="Y139" s="16" t="n">
        <f aca="false">INDEX(AUX_MATRIZES!$C$15:$BP$15,MIN(N_SEMANAS,MAX(1,$C139)))/DIAS_POR_SEMANA</f>
        <v>0</v>
      </c>
      <c r="Z139" s="16" t="n">
        <f aca="false">MIN(CADASTRO_CASAS_BOMBA!$O$13,MAX(0,Z138+CADASTRO_CASAS_BOMBA!$I$13*HORAS_CAPTACAO_DIA-Y139))</f>
        <v>74903</v>
      </c>
      <c r="AA139" s="16" t="n">
        <f aca="false">MAX(0,Y139-CADASTRO_CASAS_BOMBA!$I$13*HORAS_CAPTACAO_DIA-Z138)</f>
        <v>0</v>
      </c>
    </row>
    <row r="140" customFormat="false" ht="15" hidden="false" customHeight="false" outlineLevel="0" collapsed="false">
      <c r="B140" s="17" t="n">
        <f aca="false">DATA_INICIO_SAFRA+133</f>
        <v>46398</v>
      </c>
      <c r="C140" s="16" t="n">
        <f aca="false">MIN(N_SEMANAS,MAX(1,INT(($B140-DATA_INICIO_SAFRA)/DIAS_POR_SEMANA)+1))</f>
        <v>20</v>
      </c>
      <c r="D140" s="16" t="n">
        <f aca="false">INDEX(AUX_MATRIZES!$C$8:$BP$8,MIN(N_SEMANAS,MAX(1,$C140)))/DIAS_POR_SEMANA</f>
        <v>0</v>
      </c>
      <c r="E140" s="16" t="n">
        <f aca="false">MIN(CADASTRO_CASAS_BOMBA!$O$6,MAX(0,E139+CADASTRO_CASAS_BOMBA!$I$6*HORAS_CAPTACAO_DIA-D140))</f>
        <v>2600</v>
      </c>
      <c r="F140" s="16" t="n">
        <f aca="false">MAX(0,D140-CADASTRO_CASAS_BOMBA!$I$6*HORAS_CAPTACAO_DIA-E139)</f>
        <v>0</v>
      </c>
      <c r="G140" s="16" t="n">
        <f aca="false">INDEX(AUX_MATRIZES!$C$9:$BP$9,MIN(N_SEMANAS,MAX(1,$C140)))/DIAS_POR_SEMANA</f>
        <v>0</v>
      </c>
      <c r="H140" s="16" t="n">
        <f aca="false">MIN(CADASTRO_CASAS_BOMBA!$O$7,MAX(0,H139+CADASTRO_CASAS_BOMBA!$I$7*HORAS_CAPTACAO_DIA-G140))</f>
        <v>76648</v>
      </c>
      <c r="I140" s="16" t="n">
        <f aca="false">MAX(0,G140-CADASTRO_CASAS_BOMBA!$I$7*HORAS_CAPTACAO_DIA-H139)</f>
        <v>0</v>
      </c>
      <c r="J140" s="16" t="n">
        <f aca="false">INDEX(AUX_MATRIZES!$C$10:$BP$10,MIN(N_SEMANAS,MAX(1,$C140)))/DIAS_POR_SEMANA</f>
        <v>0</v>
      </c>
      <c r="K140" s="16" t="n">
        <f aca="false">MIN(CADASTRO_CASAS_BOMBA!$O$8,MAX(0,K139+CADASTRO_CASAS_BOMBA!$I$8*HORAS_CAPTACAO_DIA-J140))</f>
        <v>27377</v>
      </c>
      <c r="L140" s="16" t="n">
        <f aca="false">MAX(0,J140-CADASTRO_CASAS_BOMBA!$I$8*HORAS_CAPTACAO_DIA-K139)</f>
        <v>0</v>
      </c>
      <c r="M140" s="16" t="n">
        <f aca="false">INDEX(AUX_MATRIZES!$C$11:$BP$11,MIN(N_SEMANAS,MAX(1,$C140)))/DIAS_POR_SEMANA</f>
        <v>0</v>
      </c>
      <c r="N140" s="16" t="n">
        <f aca="false">MIN(CADASTRO_CASAS_BOMBA!$O$9,MAX(0,N139+CADASTRO_CASAS_BOMBA!$I$9*HORAS_CAPTACAO_DIA-M140))</f>
        <v>129000</v>
      </c>
      <c r="O140" s="16" t="n">
        <f aca="false">MAX(0,M140-CADASTRO_CASAS_BOMBA!$I$9*HORAS_CAPTACAO_DIA-N139)</f>
        <v>0</v>
      </c>
      <c r="P140" s="16" t="n">
        <f aca="false">INDEX(AUX_MATRIZES!$C$12:$BP$12,MIN(N_SEMANAS,MAX(1,$C140)))/DIAS_POR_SEMANA</f>
        <v>1250.43643429059</v>
      </c>
      <c r="Q140" s="16" t="n">
        <f aca="false">MIN(CADASTRO_CASAS_BOMBA!$O$10,MAX(0,Q139+CADASTRO_CASAS_BOMBA!$I$10*HORAS_CAPTACAO_DIA-P140))</f>
        <v>1000000</v>
      </c>
      <c r="R140" s="16" t="n">
        <f aca="false">MAX(0,P140-CADASTRO_CASAS_BOMBA!$I$10*HORAS_CAPTACAO_DIA-Q139)</f>
        <v>0</v>
      </c>
      <c r="S140" s="16" t="n">
        <f aca="false">INDEX(AUX_MATRIZES!$C$13:$BP$13,MIN(N_SEMANAS,MAX(1,$C140)))/DIAS_POR_SEMANA</f>
        <v>421.327058823529</v>
      </c>
      <c r="T140" s="16" t="n">
        <f aca="false">MIN(CADASTRO_CASAS_BOMBA!$O$11,MAX(0,T139+CADASTRO_CASAS_BOMBA!$I$11*HORAS_CAPTACAO_DIA-S140))</f>
        <v>469821</v>
      </c>
      <c r="U140" s="16" t="n">
        <f aca="false">MAX(0,S140-CADASTRO_CASAS_BOMBA!$I$11*HORAS_CAPTACAO_DIA-T139)</f>
        <v>0</v>
      </c>
      <c r="V140" s="16" t="n">
        <f aca="false">INDEX(AUX_MATRIZES!$C$14:$BP$14,MIN(N_SEMANAS,MAX(1,$C140)))/DIAS_POR_SEMANA</f>
        <v>2948.99294117647</v>
      </c>
      <c r="W140" s="16" t="n">
        <f aca="false">MIN(CADASTRO_CASAS_BOMBA!$O$12,MAX(0,W139+CADASTRO_CASAS_BOMBA!$I$12*HORAS_CAPTACAO_DIA-V140))</f>
        <v>440000</v>
      </c>
      <c r="X140" s="16" t="n">
        <f aca="false">MAX(0,V140-CADASTRO_CASAS_BOMBA!$I$12*HORAS_CAPTACAO_DIA-W139)</f>
        <v>0</v>
      </c>
      <c r="Y140" s="16" t="n">
        <f aca="false">INDEX(AUX_MATRIZES!$C$15:$BP$15,MIN(N_SEMANAS,MAX(1,$C140)))/DIAS_POR_SEMANA</f>
        <v>0</v>
      </c>
      <c r="Z140" s="16" t="n">
        <f aca="false">MIN(CADASTRO_CASAS_BOMBA!$O$13,MAX(0,Z139+CADASTRO_CASAS_BOMBA!$I$13*HORAS_CAPTACAO_DIA-Y140))</f>
        <v>74903</v>
      </c>
      <c r="AA140" s="16" t="n">
        <f aca="false">MAX(0,Y140-CADASTRO_CASAS_BOMBA!$I$13*HORAS_CAPTACAO_DIA-Z139)</f>
        <v>0</v>
      </c>
    </row>
    <row r="141" customFormat="false" ht="15" hidden="false" customHeight="false" outlineLevel="0" collapsed="false">
      <c r="B141" s="17" t="n">
        <f aca="false">DATA_INICIO_SAFRA+134</f>
        <v>46399</v>
      </c>
      <c r="C141" s="16" t="n">
        <f aca="false">MIN(N_SEMANAS,MAX(1,INT(($B141-DATA_INICIO_SAFRA)/DIAS_POR_SEMANA)+1))</f>
        <v>20</v>
      </c>
      <c r="D141" s="16" t="n">
        <f aca="false">INDEX(AUX_MATRIZES!$C$8:$BP$8,MIN(N_SEMANAS,MAX(1,$C141)))/DIAS_POR_SEMANA</f>
        <v>0</v>
      </c>
      <c r="E141" s="16" t="n">
        <f aca="false">MIN(CADASTRO_CASAS_BOMBA!$O$6,MAX(0,E140+CADASTRO_CASAS_BOMBA!$I$6*HORAS_CAPTACAO_DIA-D141))</f>
        <v>2600</v>
      </c>
      <c r="F141" s="16" t="n">
        <f aca="false">MAX(0,D141-CADASTRO_CASAS_BOMBA!$I$6*HORAS_CAPTACAO_DIA-E140)</f>
        <v>0</v>
      </c>
      <c r="G141" s="16" t="n">
        <f aca="false">INDEX(AUX_MATRIZES!$C$9:$BP$9,MIN(N_SEMANAS,MAX(1,$C141)))/DIAS_POR_SEMANA</f>
        <v>0</v>
      </c>
      <c r="H141" s="16" t="n">
        <f aca="false">MIN(CADASTRO_CASAS_BOMBA!$O$7,MAX(0,H140+CADASTRO_CASAS_BOMBA!$I$7*HORAS_CAPTACAO_DIA-G141))</f>
        <v>76648</v>
      </c>
      <c r="I141" s="16" t="n">
        <f aca="false">MAX(0,G141-CADASTRO_CASAS_BOMBA!$I$7*HORAS_CAPTACAO_DIA-H140)</f>
        <v>0</v>
      </c>
      <c r="J141" s="16" t="n">
        <f aca="false">INDEX(AUX_MATRIZES!$C$10:$BP$10,MIN(N_SEMANAS,MAX(1,$C141)))/DIAS_POR_SEMANA</f>
        <v>0</v>
      </c>
      <c r="K141" s="16" t="n">
        <f aca="false">MIN(CADASTRO_CASAS_BOMBA!$O$8,MAX(0,K140+CADASTRO_CASAS_BOMBA!$I$8*HORAS_CAPTACAO_DIA-J141))</f>
        <v>27377</v>
      </c>
      <c r="L141" s="16" t="n">
        <f aca="false">MAX(0,J141-CADASTRO_CASAS_BOMBA!$I$8*HORAS_CAPTACAO_DIA-K140)</f>
        <v>0</v>
      </c>
      <c r="M141" s="16" t="n">
        <f aca="false">INDEX(AUX_MATRIZES!$C$11:$BP$11,MIN(N_SEMANAS,MAX(1,$C141)))/DIAS_POR_SEMANA</f>
        <v>0</v>
      </c>
      <c r="N141" s="16" t="n">
        <f aca="false">MIN(CADASTRO_CASAS_BOMBA!$O$9,MAX(0,N140+CADASTRO_CASAS_BOMBA!$I$9*HORAS_CAPTACAO_DIA-M141))</f>
        <v>129000</v>
      </c>
      <c r="O141" s="16" t="n">
        <f aca="false">MAX(0,M141-CADASTRO_CASAS_BOMBA!$I$9*HORAS_CAPTACAO_DIA-N140)</f>
        <v>0</v>
      </c>
      <c r="P141" s="16" t="n">
        <f aca="false">INDEX(AUX_MATRIZES!$C$12:$BP$12,MIN(N_SEMANAS,MAX(1,$C141)))/DIAS_POR_SEMANA</f>
        <v>1250.43643429059</v>
      </c>
      <c r="Q141" s="16" t="n">
        <f aca="false">MIN(CADASTRO_CASAS_BOMBA!$O$10,MAX(0,Q140+CADASTRO_CASAS_BOMBA!$I$10*HORAS_CAPTACAO_DIA-P141))</f>
        <v>1000000</v>
      </c>
      <c r="R141" s="16" t="n">
        <f aca="false">MAX(0,P141-CADASTRO_CASAS_BOMBA!$I$10*HORAS_CAPTACAO_DIA-Q140)</f>
        <v>0</v>
      </c>
      <c r="S141" s="16" t="n">
        <f aca="false">INDEX(AUX_MATRIZES!$C$13:$BP$13,MIN(N_SEMANAS,MAX(1,$C141)))/DIAS_POR_SEMANA</f>
        <v>421.327058823529</v>
      </c>
      <c r="T141" s="16" t="n">
        <f aca="false">MIN(CADASTRO_CASAS_BOMBA!$O$11,MAX(0,T140+CADASTRO_CASAS_BOMBA!$I$11*HORAS_CAPTACAO_DIA-S141))</f>
        <v>469821</v>
      </c>
      <c r="U141" s="16" t="n">
        <f aca="false">MAX(0,S141-CADASTRO_CASAS_BOMBA!$I$11*HORAS_CAPTACAO_DIA-T140)</f>
        <v>0</v>
      </c>
      <c r="V141" s="16" t="n">
        <f aca="false">INDEX(AUX_MATRIZES!$C$14:$BP$14,MIN(N_SEMANAS,MAX(1,$C141)))/DIAS_POR_SEMANA</f>
        <v>2948.99294117647</v>
      </c>
      <c r="W141" s="16" t="n">
        <f aca="false">MIN(CADASTRO_CASAS_BOMBA!$O$12,MAX(0,W140+CADASTRO_CASAS_BOMBA!$I$12*HORAS_CAPTACAO_DIA-V141))</f>
        <v>440000</v>
      </c>
      <c r="X141" s="16" t="n">
        <f aca="false">MAX(0,V141-CADASTRO_CASAS_BOMBA!$I$12*HORAS_CAPTACAO_DIA-W140)</f>
        <v>0</v>
      </c>
      <c r="Y141" s="16" t="n">
        <f aca="false">INDEX(AUX_MATRIZES!$C$15:$BP$15,MIN(N_SEMANAS,MAX(1,$C141)))/DIAS_POR_SEMANA</f>
        <v>0</v>
      </c>
      <c r="Z141" s="16" t="n">
        <f aca="false">MIN(CADASTRO_CASAS_BOMBA!$O$13,MAX(0,Z140+CADASTRO_CASAS_BOMBA!$I$13*HORAS_CAPTACAO_DIA-Y141))</f>
        <v>74903</v>
      </c>
      <c r="AA141" s="16" t="n">
        <f aca="false">MAX(0,Y141-CADASTRO_CASAS_BOMBA!$I$13*HORAS_CAPTACAO_DIA-Z140)</f>
        <v>0</v>
      </c>
    </row>
    <row r="142" customFormat="false" ht="15" hidden="false" customHeight="false" outlineLevel="0" collapsed="false">
      <c r="B142" s="17" t="n">
        <f aca="false">DATA_INICIO_SAFRA+135</f>
        <v>46400</v>
      </c>
      <c r="C142" s="16" t="n">
        <f aca="false">MIN(N_SEMANAS,MAX(1,INT(($B142-DATA_INICIO_SAFRA)/DIAS_POR_SEMANA)+1))</f>
        <v>20</v>
      </c>
      <c r="D142" s="16" t="n">
        <f aca="false">INDEX(AUX_MATRIZES!$C$8:$BP$8,MIN(N_SEMANAS,MAX(1,$C142)))/DIAS_POR_SEMANA</f>
        <v>0</v>
      </c>
      <c r="E142" s="16" t="n">
        <f aca="false">MIN(CADASTRO_CASAS_BOMBA!$O$6,MAX(0,E141+CADASTRO_CASAS_BOMBA!$I$6*HORAS_CAPTACAO_DIA-D142))</f>
        <v>2600</v>
      </c>
      <c r="F142" s="16" t="n">
        <f aca="false">MAX(0,D142-CADASTRO_CASAS_BOMBA!$I$6*HORAS_CAPTACAO_DIA-E141)</f>
        <v>0</v>
      </c>
      <c r="G142" s="16" t="n">
        <f aca="false">INDEX(AUX_MATRIZES!$C$9:$BP$9,MIN(N_SEMANAS,MAX(1,$C142)))/DIAS_POR_SEMANA</f>
        <v>0</v>
      </c>
      <c r="H142" s="16" t="n">
        <f aca="false">MIN(CADASTRO_CASAS_BOMBA!$O$7,MAX(0,H141+CADASTRO_CASAS_BOMBA!$I$7*HORAS_CAPTACAO_DIA-G142))</f>
        <v>76648</v>
      </c>
      <c r="I142" s="16" t="n">
        <f aca="false">MAX(0,G142-CADASTRO_CASAS_BOMBA!$I$7*HORAS_CAPTACAO_DIA-H141)</f>
        <v>0</v>
      </c>
      <c r="J142" s="16" t="n">
        <f aca="false">INDEX(AUX_MATRIZES!$C$10:$BP$10,MIN(N_SEMANAS,MAX(1,$C142)))/DIAS_POR_SEMANA</f>
        <v>0</v>
      </c>
      <c r="K142" s="16" t="n">
        <f aca="false">MIN(CADASTRO_CASAS_BOMBA!$O$8,MAX(0,K141+CADASTRO_CASAS_BOMBA!$I$8*HORAS_CAPTACAO_DIA-J142))</f>
        <v>27377</v>
      </c>
      <c r="L142" s="16" t="n">
        <f aca="false">MAX(0,J142-CADASTRO_CASAS_BOMBA!$I$8*HORAS_CAPTACAO_DIA-K141)</f>
        <v>0</v>
      </c>
      <c r="M142" s="16" t="n">
        <f aca="false">INDEX(AUX_MATRIZES!$C$11:$BP$11,MIN(N_SEMANAS,MAX(1,$C142)))/DIAS_POR_SEMANA</f>
        <v>0</v>
      </c>
      <c r="N142" s="16" t="n">
        <f aca="false">MIN(CADASTRO_CASAS_BOMBA!$O$9,MAX(0,N141+CADASTRO_CASAS_BOMBA!$I$9*HORAS_CAPTACAO_DIA-M142))</f>
        <v>129000</v>
      </c>
      <c r="O142" s="16" t="n">
        <f aca="false">MAX(0,M142-CADASTRO_CASAS_BOMBA!$I$9*HORAS_CAPTACAO_DIA-N141)</f>
        <v>0</v>
      </c>
      <c r="P142" s="16" t="n">
        <f aca="false">INDEX(AUX_MATRIZES!$C$12:$BP$12,MIN(N_SEMANAS,MAX(1,$C142)))/DIAS_POR_SEMANA</f>
        <v>1250.43643429059</v>
      </c>
      <c r="Q142" s="16" t="n">
        <f aca="false">MIN(CADASTRO_CASAS_BOMBA!$O$10,MAX(0,Q141+CADASTRO_CASAS_BOMBA!$I$10*HORAS_CAPTACAO_DIA-P142))</f>
        <v>1000000</v>
      </c>
      <c r="R142" s="16" t="n">
        <f aca="false">MAX(0,P142-CADASTRO_CASAS_BOMBA!$I$10*HORAS_CAPTACAO_DIA-Q141)</f>
        <v>0</v>
      </c>
      <c r="S142" s="16" t="n">
        <f aca="false">INDEX(AUX_MATRIZES!$C$13:$BP$13,MIN(N_SEMANAS,MAX(1,$C142)))/DIAS_POR_SEMANA</f>
        <v>421.327058823529</v>
      </c>
      <c r="T142" s="16" t="n">
        <f aca="false">MIN(CADASTRO_CASAS_BOMBA!$O$11,MAX(0,T141+CADASTRO_CASAS_BOMBA!$I$11*HORAS_CAPTACAO_DIA-S142))</f>
        <v>469821</v>
      </c>
      <c r="U142" s="16" t="n">
        <f aca="false">MAX(0,S142-CADASTRO_CASAS_BOMBA!$I$11*HORAS_CAPTACAO_DIA-T141)</f>
        <v>0</v>
      </c>
      <c r="V142" s="16" t="n">
        <f aca="false">INDEX(AUX_MATRIZES!$C$14:$BP$14,MIN(N_SEMANAS,MAX(1,$C142)))/DIAS_POR_SEMANA</f>
        <v>2948.99294117647</v>
      </c>
      <c r="W142" s="16" t="n">
        <f aca="false">MIN(CADASTRO_CASAS_BOMBA!$O$12,MAX(0,W141+CADASTRO_CASAS_BOMBA!$I$12*HORAS_CAPTACAO_DIA-V142))</f>
        <v>440000</v>
      </c>
      <c r="X142" s="16" t="n">
        <f aca="false">MAX(0,V142-CADASTRO_CASAS_BOMBA!$I$12*HORAS_CAPTACAO_DIA-W141)</f>
        <v>0</v>
      </c>
      <c r="Y142" s="16" t="n">
        <f aca="false">INDEX(AUX_MATRIZES!$C$15:$BP$15,MIN(N_SEMANAS,MAX(1,$C142)))/DIAS_POR_SEMANA</f>
        <v>0</v>
      </c>
      <c r="Z142" s="16" t="n">
        <f aca="false">MIN(CADASTRO_CASAS_BOMBA!$O$13,MAX(0,Z141+CADASTRO_CASAS_BOMBA!$I$13*HORAS_CAPTACAO_DIA-Y142))</f>
        <v>74903</v>
      </c>
      <c r="AA142" s="16" t="n">
        <f aca="false">MAX(0,Y142-CADASTRO_CASAS_BOMBA!$I$13*HORAS_CAPTACAO_DIA-Z141)</f>
        <v>0</v>
      </c>
    </row>
    <row r="143" customFormat="false" ht="15" hidden="false" customHeight="false" outlineLevel="0" collapsed="false">
      <c r="B143" s="17" t="n">
        <f aca="false">DATA_INICIO_SAFRA+136</f>
        <v>46401</v>
      </c>
      <c r="C143" s="16" t="n">
        <f aca="false">MIN(N_SEMANAS,MAX(1,INT(($B143-DATA_INICIO_SAFRA)/DIAS_POR_SEMANA)+1))</f>
        <v>20</v>
      </c>
      <c r="D143" s="16" t="n">
        <f aca="false">INDEX(AUX_MATRIZES!$C$8:$BP$8,MIN(N_SEMANAS,MAX(1,$C143)))/DIAS_POR_SEMANA</f>
        <v>0</v>
      </c>
      <c r="E143" s="16" t="n">
        <f aca="false">MIN(CADASTRO_CASAS_BOMBA!$O$6,MAX(0,E142+CADASTRO_CASAS_BOMBA!$I$6*HORAS_CAPTACAO_DIA-D143))</f>
        <v>2600</v>
      </c>
      <c r="F143" s="16" t="n">
        <f aca="false">MAX(0,D143-CADASTRO_CASAS_BOMBA!$I$6*HORAS_CAPTACAO_DIA-E142)</f>
        <v>0</v>
      </c>
      <c r="G143" s="16" t="n">
        <f aca="false">INDEX(AUX_MATRIZES!$C$9:$BP$9,MIN(N_SEMANAS,MAX(1,$C143)))/DIAS_POR_SEMANA</f>
        <v>0</v>
      </c>
      <c r="H143" s="16" t="n">
        <f aca="false">MIN(CADASTRO_CASAS_BOMBA!$O$7,MAX(0,H142+CADASTRO_CASAS_BOMBA!$I$7*HORAS_CAPTACAO_DIA-G143))</f>
        <v>76648</v>
      </c>
      <c r="I143" s="16" t="n">
        <f aca="false">MAX(0,G143-CADASTRO_CASAS_BOMBA!$I$7*HORAS_CAPTACAO_DIA-H142)</f>
        <v>0</v>
      </c>
      <c r="J143" s="16" t="n">
        <f aca="false">INDEX(AUX_MATRIZES!$C$10:$BP$10,MIN(N_SEMANAS,MAX(1,$C143)))/DIAS_POR_SEMANA</f>
        <v>0</v>
      </c>
      <c r="K143" s="16" t="n">
        <f aca="false">MIN(CADASTRO_CASAS_BOMBA!$O$8,MAX(0,K142+CADASTRO_CASAS_BOMBA!$I$8*HORAS_CAPTACAO_DIA-J143))</f>
        <v>27377</v>
      </c>
      <c r="L143" s="16" t="n">
        <f aca="false">MAX(0,J143-CADASTRO_CASAS_BOMBA!$I$8*HORAS_CAPTACAO_DIA-K142)</f>
        <v>0</v>
      </c>
      <c r="M143" s="16" t="n">
        <f aca="false">INDEX(AUX_MATRIZES!$C$11:$BP$11,MIN(N_SEMANAS,MAX(1,$C143)))/DIAS_POR_SEMANA</f>
        <v>0</v>
      </c>
      <c r="N143" s="16" t="n">
        <f aca="false">MIN(CADASTRO_CASAS_BOMBA!$O$9,MAX(0,N142+CADASTRO_CASAS_BOMBA!$I$9*HORAS_CAPTACAO_DIA-M143))</f>
        <v>129000</v>
      </c>
      <c r="O143" s="16" t="n">
        <f aca="false">MAX(0,M143-CADASTRO_CASAS_BOMBA!$I$9*HORAS_CAPTACAO_DIA-N142)</f>
        <v>0</v>
      </c>
      <c r="P143" s="16" t="n">
        <f aca="false">INDEX(AUX_MATRIZES!$C$12:$BP$12,MIN(N_SEMANAS,MAX(1,$C143)))/DIAS_POR_SEMANA</f>
        <v>1250.43643429059</v>
      </c>
      <c r="Q143" s="16" t="n">
        <f aca="false">MIN(CADASTRO_CASAS_BOMBA!$O$10,MAX(0,Q142+CADASTRO_CASAS_BOMBA!$I$10*HORAS_CAPTACAO_DIA-P143))</f>
        <v>1000000</v>
      </c>
      <c r="R143" s="16" t="n">
        <f aca="false">MAX(0,P143-CADASTRO_CASAS_BOMBA!$I$10*HORAS_CAPTACAO_DIA-Q142)</f>
        <v>0</v>
      </c>
      <c r="S143" s="16" t="n">
        <f aca="false">INDEX(AUX_MATRIZES!$C$13:$BP$13,MIN(N_SEMANAS,MAX(1,$C143)))/DIAS_POR_SEMANA</f>
        <v>421.327058823529</v>
      </c>
      <c r="T143" s="16" t="n">
        <f aca="false">MIN(CADASTRO_CASAS_BOMBA!$O$11,MAX(0,T142+CADASTRO_CASAS_BOMBA!$I$11*HORAS_CAPTACAO_DIA-S143))</f>
        <v>469821</v>
      </c>
      <c r="U143" s="16" t="n">
        <f aca="false">MAX(0,S143-CADASTRO_CASAS_BOMBA!$I$11*HORAS_CAPTACAO_DIA-T142)</f>
        <v>0</v>
      </c>
      <c r="V143" s="16" t="n">
        <f aca="false">INDEX(AUX_MATRIZES!$C$14:$BP$14,MIN(N_SEMANAS,MAX(1,$C143)))/DIAS_POR_SEMANA</f>
        <v>2948.99294117647</v>
      </c>
      <c r="W143" s="16" t="n">
        <f aca="false">MIN(CADASTRO_CASAS_BOMBA!$O$12,MAX(0,W142+CADASTRO_CASAS_BOMBA!$I$12*HORAS_CAPTACAO_DIA-V143))</f>
        <v>440000</v>
      </c>
      <c r="X143" s="16" t="n">
        <f aca="false">MAX(0,V143-CADASTRO_CASAS_BOMBA!$I$12*HORAS_CAPTACAO_DIA-W142)</f>
        <v>0</v>
      </c>
      <c r="Y143" s="16" t="n">
        <f aca="false">INDEX(AUX_MATRIZES!$C$15:$BP$15,MIN(N_SEMANAS,MAX(1,$C143)))/DIAS_POR_SEMANA</f>
        <v>0</v>
      </c>
      <c r="Z143" s="16" t="n">
        <f aca="false">MIN(CADASTRO_CASAS_BOMBA!$O$13,MAX(0,Z142+CADASTRO_CASAS_BOMBA!$I$13*HORAS_CAPTACAO_DIA-Y143))</f>
        <v>74903</v>
      </c>
      <c r="AA143" s="16" t="n">
        <f aca="false">MAX(0,Y143-CADASTRO_CASAS_BOMBA!$I$13*HORAS_CAPTACAO_DIA-Z142)</f>
        <v>0</v>
      </c>
    </row>
    <row r="144" customFormat="false" ht="15" hidden="false" customHeight="false" outlineLevel="0" collapsed="false">
      <c r="B144" s="17" t="n">
        <f aca="false">DATA_INICIO_SAFRA+137</f>
        <v>46402</v>
      </c>
      <c r="C144" s="16" t="n">
        <f aca="false">MIN(N_SEMANAS,MAX(1,INT(($B144-DATA_INICIO_SAFRA)/DIAS_POR_SEMANA)+1))</f>
        <v>20</v>
      </c>
      <c r="D144" s="16" t="n">
        <f aca="false">INDEX(AUX_MATRIZES!$C$8:$BP$8,MIN(N_SEMANAS,MAX(1,$C144)))/DIAS_POR_SEMANA</f>
        <v>0</v>
      </c>
      <c r="E144" s="16" t="n">
        <f aca="false">MIN(CADASTRO_CASAS_BOMBA!$O$6,MAX(0,E143+CADASTRO_CASAS_BOMBA!$I$6*HORAS_CAPTACAO_DIA-D144))</f>
        <v>2600</v>
      </c>
      <c r="F144" s="16" t="n">
        <f aca="false">MAX(0,D144-CADASTRO_CASAS_BOMBA!$I$6*HORAS_CAPTACAO_DIA-E143)</f>
        <v>0</v>
      </c>
      <c r="G144" s="16" t="n">
        <f aca="false">INDEX(AUX_MATRIZES!$C$9:$BP$9,MIN(N_SEMANAS,MAX(1,$C144)))/DIAS_POR_SEMANA</f>
        <v>0</v>
      </c>
      <c r="H144" s="16" t="n">
        <f aca="false">MIN(CADASTRO_CASAS_BOMBA!$O$7,MAX(0,H143+CADASTRO_CASAS_BOMBA!$I$7*HORAS_CAPTACAO_DIA-G144))</f>
        <v>76648</v>
      </c>
      <c r="I144" s="16" t="n">
        <f aca="false">MAX(0,G144-CADASTRO_CASAS_BOMBA!$I$7*HORAS_CAPTACAO_DIA-H143)</f>
        <v>0</v>
      </c>
      <c r="J144" s="16" t="n">
        <f aca="false">INDEX(AUX_MATRIZES!$C$10:$BP$10,MIN(N_SEMANAS,MAX(1,$C144)))/DIAS_POR_SEMANA</f>
        <v>0</v>
      </c>
      <c r="K144" s="16" t="n">
        <f aca="false">MIN(CADASTRO_CASAS_BOMBA!$O$8,MAX(0,K143+CADASTRO_CASAS_BOMBA!$I$8*HORAS_CAPTACAO_DIA-J144))</f>
        <v>27377</v>
      </c>
      <c r="L144" s="16" t="n">
        <f aca="false">MAX(0,J144-CADASTRO_CASAS_BOMBA!$I$8*HORAS_CAPTACAO_DIA-K143)</f>
        <v>0</v>
      </c>
      <c r="M144" s="16" t="n">
        <f aca="false">INDEX(AUX_MATRIZES!$C$11:$BP$11,MIN(N_SEMANAS,MAX(1,$C144)))/DIAS_POR_SEMANA</f>
        <v>0</v>
      </c>
      <c r="N144" s="16" t="n">
        <f aca="false">MIN(CADASTRO_CASAS_BOMBA!$O$9,MAX(0,N143+CADASTRO_CASAS_BOMBA!$I$9*HORAS_CAPTACAO_DIA-M144))</f>
        <v>129000</v>
      </c>
      <c r="O144" s="16" t="n">
        <f aca="false">MAX(0,M144-CADASTRO_CASAS_BOMBA!$I$9*HORAS_CAPTACAO_DIA-N143)</f>
        <v>0</v>
      </c>
      <c r="P144" s="16" t="n">
        <f aca="false">INDEX(AUX_MATRIZES!$C$12:$BP$12,MIN(N_SEMANAS,MAX(1,$C144)))/DIAS_POR_SEMANA</f>
        <v>1250.43643429059</v>
      </c>
      <c r="Q144" s="16" t="n">
        <f aca="false">MIN(CADASTRO_CASAS_BOMBA!$O$10,MAX(0,Q143+CADASTRO_CASAS_BOMBA!$I$10*HORAS_CAPTACAO_DIA-P144))</f>
        <v>1000000</v>
      </c>
      <c r="R144" s="16" t="n">
        <f aca="false">MAX(0,P144-CADASTRO_CASAS_BOMBA!$I$10*HORAS_CAPTACAO_DIA-Q143)</f>
        <v>0</v>
      </c>
      <c r="S144" s="16" t="n">
        <f aca="false">INDEX(AUX_MATRIZES!$C$13:$BP$13,MIN(N_SEMANAS,MAX(1,$C144)))/DIAS_POR_SEMANA</f>
        <v>421.327058823529</v>
      </c>
      <c r="T144" s="16" t="n">
        <f aca="false">MIN(CADASTRO_CASAS_BOMBA!$O$11,MAX(0,T143+CADASTRO_CASAS_BOMBA!$I$11*HORAS_CAPTACAO_DIA-S144))</f>
        <v>469821</v>
      </c>
      <c r="U144" s="16" t="n">
        <f aca="false">MAX(0,S144-CADASTRO_CASAS_BOMBA!$I$11*HORAS_CAPTACAO_DIA-T143)</f>
        <v>0</v>
      </c>
      <c r="V144" s="16" t="n">
        <f aca="false">INDEX(AUX_MATRIZES!$C$14:$BP$14,MIN(N_SEMANAS,MAX(1,$C144)))/DIAS_POR_SEMANA</f>
        <v>2948.99294117647</v>
      </c>
      <c r="W144" s="16" t="n">
        <f aca="false">MIN(CADASTRO_CASAS_BOMBA!$O$12,MAX(0,W143+CADASTRO_CASAS_BOMBA!$I$12*HORAS_CAPTACAO_DIA-V144))</f>
        <v>440000</v>
      </c>
      <c r="X144" s="16" t="n">
        <f aca="false">MAX(0,V144-CADASTRO_CASAS_BOMBA!$I$12*HORAS_CAPTACAO_DIA-W143)</f>
        <v>0</v>
      </c>
      <c r="Y144" s="16" t="n">
        <f aca="false">INDEX(AUX_MATRIZES!$C$15:$BP$15,MIN(N_SEMANAS,MAX(1,$C144)))/DIAS_POR_SEMANA</f>
        <v>0</v>
      </c>
      <c r="Z144" s="16" t="n">
        <f aca="false">MIN(CADASTRO_CASAS_BOMBA!$O$13,MAX(0,Z143+CADASTRO_CASAS_BOMBA!$I$13*HORAS_CAPTACAO_DIA-Y144))</f>
        <v>74903</v>
      </c>
      <c r="AA144" s="16" t="n">
        <f aca="false">MAX(0,Y144-CADASTRO_CASAS_BOMBA!$I$13*HORAS_CAPTACAO_DIA-Z143)</f>
        <v>0</v>
      </c>
    </row>
    <row r="145" customFormat="false" ht="15" hidden="false" customHeight="false" outlineLevel="0" collapsed="false">
      <c r="B145" s="17" t="n">
        <f aca="false">DATA_INICIO_SAFRA+138</f>
        <v>46403</v>
      </c>
      <c r="C145" s="16" t="n">
        <f aca="false">MIN(N_SEMANAS,MAX(1,INT(($B145-DATA_INICIO_SAFRA)/DIAS_POR_SEMANA)+1))</f>
        <v>20</v>
      </c>
      <c r="D145" s="16" t="n">
        <f aca="false">INDEX(AUX_MATRIZES!$C$8:$BP$8,MIN(N_SEMANAS,MAX(1,$C145)))/DIAS_POR_SEMANA</f>
        <v>0</v>
      </c>
      <c r="E145" s="16" t="n">
        <f aca="false">MIN(CADASTRO_CASAS_BOMBA!$O$6,MAX(0,E144+CADASTRO_CASAS_BOMBA!$I$6*HORAS_CAPTACAO_DIA-D145))</f>
        <v>2600</v>
      </c>
      <c r="F145" s="16" t="n">
        <f aca="false">MAX(0,D145-CADASTRO_CASAS_BOMBA!$I$6*HORAS_CAPTACAO_DIA-E144)</f>
        <v>0</v>
      </c>
      <c r="G145" s="16" t="n">
        <f aca="false">INDEX(AUX_MATRIZES!$C$9:$BP$9,MIN(N_SEMANAS,MAX(1,$C145)))/DIAS_POR_SEMANA</f>
        <v>0</v>
      </c>
      <c r="H145" s="16" t="n">
        <f aca="false">MIN(CADASTRO_CASAS_BOMBA!$O$7,MAX(0,H144+CADASTRO_CASAS_BOMBA!$I$7*HORAS_CAPTACAO_DIA-G145))</f>
        <v>76648</v>
      </c>
      <c r="I145" s="16" t="n">
        <f aca="false">MAX(0,G145-CADASTRO_CASAS_BOMBA!$I$7*HORAS_CAPTACAO_DIA-H144)</f>
        <v>0</v>
      </c>
      <c r="J145" s="16" t="n">
        <f aca="false">INDEX(AUX_MATRIZES!$C$10:$BP$10,MIN(N_SEMANAS,MAX(1,$C145)))/DIAS_POR_SEMANA</f>
        <v>0</v>
      </c>
      <c r="K145" s="16" t="n">
        <f aca="false">MIN(CADASTRO_CASAS_BOMBA!$O$8,MAX(0,K144+CADASTRO_CASAS_BOMBA!$I$8*HORAS_CAPTACAO_DIA-J145))</f>
        <v>27377</v>
      </c>
      <c r="L145" s="16" t="n">
        <f aca="false">MAX(0,J145-CADASTRO_CASAS_BOMBA!$I$8*HORAS_CAPTACAO_DIA-K144)</f>
        <v>0</v>
      </c>
      <c r="M145" s="16" t="n">
        <f aca="false">INDEX(AUX_MATRIZES!$C$11:$BP$11,MIN(N_SEMANAS,MAX(1,$C145)))/DIAS_POR_SEMANA</f>
        <v>0</v>
      </c>
      <c r="N145" s="16" t="n">
        <f aca="false">MIN(CADASTRO_CASAS_BOMBA!$O$9,MAX(0,N144+CADASTRO_CASAS_BOMBA!$I$9*HORAS_CAPTACAO_DIA-M145))</f>
        <v>129000</v>
      </c>
      <c r="O145" s="16" t="n">
        <f aca="false">MAX(0,M145-CADASTRO_CASAS_BOMBA!$I$9*HORAS_CAPTACAO_DIA-N144)</f>
        <v>0</v>
      </c>
      <c r="P145" s="16" t="n">
        <f aca="false">INDEX(AUX_MATRIZES!$C$12:$BP$12,MIN(N_SEMANAS,MAX(1,$C145)))/DIAS_POR_SEMANA</f>
        <v>1250.43643429059</v>
      </c>
      <c r="Q145" s="16" t="n">
        <f aca="false">MIN(CADASTRO_CASAS_BOMBA!$O$10,MAX(0,Q144+CADASTRO_CASAS_BOMBA!$I$10*HORAS_CAPTACAO_DIA-P145))</f>
        <v>1000000</v>
      </c>
      <c r="R145" s="16" t="n">
        <f aca="false">MAX(0,P145-CADASTRO_CASAS_BOMBA!$I$10*HORAS_CAPTACAO_DIA-Q144)</f>
        <v>0</v>
      </c>
      <c r="S145" s="16" t="n">
        <f aca="false">INDEX(AUX_MATRIZES!$C$13:$BP$13,MIN(N_SEMANAS,MAX(1,$C145)))/DIAS_POR_SEMANA</f>
        <v>421.327058823529</v>
      </c>
      <c r="T145" s="16" t="n">
        <f aca="false">MIN(CADASTRO_CASAS_BOMBA!$O$11,MAX(0,T144+CADASTRO_CASAS_BOMBA!$I$11*HORAS_CAPTACAO_DIA-S145))</f>
        <v>469821</v>
      </c>
      <c r="U145" s="16" t="n">
        <f aca="false">MAX(0,S145-CADASTRO_CASAS_BOMBA!$I$11*HORAS_CAPTACAO_DIA-T144)</f>
        <v>0</v>
      </c>
      <c r="V145" s="16" t="n">
        <f aca="false">INDEX(AUX_MATRIZES!$C$14:$BP$14,MIN(N_SEMANAS,MAX(1,$C145)))/DIAS_POR_SEMANA</f>
        <v>2948.99294117647</v>
      </c>
      <c r="W145" s="16" t="n">
        <f aca="false">MIN(CADASTRO_CASAS_BOMBA!$O$12,MAX(0,W144+CADASTRO_CASAS_BOMBA!$I$12*HORAS_CAPTACAO_DIA-V145))</f>
        <v>440000</v>
      </c>
      <c r="X145" s="16" t="n">
        <f aca="false">MAX(0,V145-CADASTRO_CASAS_BOMBA!$I$12*HORAS_CAPTACAO_DIA-W144)</f>
        <v>0</v>
      </c>
      <c r="Y145" s="16" t="n">
        <f aca="false">INDEX(AUX_MATRIZES!$C$15:$BP$15,MIN(N_SEMANAS,MAX(1,$C145)))/DIAS_POR_SEMANA</f>
        <v>0</v>
      </c>
      <c r="Z145" s="16" t="n">
        <f aca="false">MIN(CADASTRO_CASAS_BOMBA!$O$13,MAX(0,Z144+CADASTRO_CASAS_BOMBA!$I$13*HORAS_CAPTACAO_DIA-Y145))</f>
        <v>74903</v>
      </c>
      <c r="AA145" s="16" t="n">
        <f aca="false">MAX(0,Y145-CADASTRO_CASAS_BOMBA!$I$13*HORAS_CAPTACAO_DIA-Z144)</f>
        <v>0</v>
      </c>
    </row>
    <row r="146" customFormat="false" ht="15" hidden="false" customHeight="false" outlineLevel="0" collapsed="false">
      <c r="B146" s="17" t="n">
        <f aca="false">DATA_INICIO_SAFRA+139</f>
        <v>46404</v>
      </c>
      <c r="C146" s="16" t="n">
        <f aca="false">MIN(N_SEMANAS,MAX(1,INT(($B146-DATA_INICIO_SAFRA)/DIAS_POR_SEMANA)+1))</f>
        <v>20</v>
      </c>
      <c r="D146" s="16" t="n">
        <f aca="false">INDEX(AUX_MATRIZES!$C$8:$BP$8,MIN(N_SEMANAS,MAX(1,$C146)))/DIAS_POR_SEMANA</f>
        <v>0</v>
      </c>
      <c r="E146" s="16" t="n">
        <f aca="false">MIN(CADASTRO_CASAS_BOMBA!$O$6,MAX(0,E145+CADASTRO_CASAS_BOMBA!$I$6*HORAS_CAPTACAO_DIA-D146))</f>
        <v>2600</v>
      </c>
      <c r="F146" s="16" t="n">
        <f aca="false">MAX(0,D146-CADASTRO_CASAS_BOMBA!$I$6*HORAS_CAPTACAO_DIA-E145)</f>
        <v>0</v>
      </c>
      <c r="G146" s="16" t="n">
        <f aca="false">INDEX(AUX_MATRIZES!$C$9:$BP$9,MIN(N_SEMANAS,MAX(1,$C146)))/DIAS_POR_SEMANA</f>
        <v>0</v>
      </c>
      <c r="H146" s="16" t="n">
        <f aca="false">MIN(CADASTRO_CASAS_BOMBA!$O$7,MAX(0,H145+CADASTRO_CASAS_BOMBA!$I$7*HORAS_CAPTACAO_DIA-G146))</f>
        <v>76648</v>
      </c>
      <c r="I146" s="16" t="n">
        <f aca="false">MAX(0,G146-CADASTRO_CASAS_BOMBA!$I$7*HORAS_CAPTACAO_DIA-H145)</f>
        <v>0</v>
      </c>
      <c r="J146" s="16" t="n">
        <f aca="false">INDEX(AUX_MATRIZES!$C$10:$BP$10,MIN(N_SEMANAS,MAX(1,$C146)))/DIAS_POR_SEMANA</f>
        <v>0</v>
      </c>
      <c r="K146" s="16" t="n">
        <f aca="false">MIN(CADASTRO_CASAS_BOMBA!$O$8,MAX(0,K145+CADASTRO_CASAS_BOMBA!$I$8*HORAS_CAPTACAO_DIA-J146))</f>
        <v>27377</v>
      </c>
      <c r="L146" s="16" t="n">
        <f aca="false">MAX(0,J146-CADASTRO_CASAS_BOMBA!$I$8*HORAS_CAPTACAO_DIA-K145)</f>
        <v>0</v>
      </c>
      <c r="M146" s="16" t="n">
        <f aca="false">INDEX(AUX_MATRIZES!$C$11:$BP$11,MIN(N_SEMANAS,MAX(1,$C146)))/DIAS_POR_SEMANA</f>
        <v>0</v>
      </c>
      <c r="N146" s="16" t="n">
        <f aca="false">MIN(CADASTRO_CASAS_BOMBA!$O$9,MAX(0,N145+CADASTRO_CASAS_BOMBA!$I$9*HORAS_CAPTACAO_DIA-M146))</f>
        <v>129000</v>
      </c>
      <c r="O146" s="16" t="n">
        <f aca="false">MAX(0,M146-CADASTRO_CASAS_BOMBA!$I$9*HORAS_CAPTACAO_DIA-N145)</f>
        <v>0</v>
      </c>
      <c r="P146" s="16" t="n">
        <f aca="false">INDEX(AUX_MATRIZES!$C$12:$BP$12,MIN(N_SEMANAS,MAX(1,$C146)))/DIAS_POR_SEMANA</f>
        <v>1250.43643429059</v>
      </c>
      <c r="Q146" s="16" t="n">
        <f aca="false">MIN(CADASTRO_CASAS_BOMBA!$O$10,MAX(0,Q145+CADASTRO_CASAS_BOMBA!$I$10*HORAS_CAPTACAO_DIA-P146))</f>
        <v>1000000</v>
      </c>
      <c r="R146" s="16" t="n">
        <f aca="false">MAX(0,P146-CADASTRO_CASAS_BOMBA!$I$10*HORAS_CAPTACAO_DIA-Q145)</f>
        <v>0</v>
      </c>
      <c r="S146" s="16" t="n">
        <f aca="false">INDEX(AUX_MATRIZES!$C$13:$BP$13,MIN(N_SEMANAS,MAX(1,$C146)))/DIAS_POR_SEMANA</f>
        <v>421.327058823529</v>
      </c>
      <c r="T146" s="16" t="n">
        <f aca="false">MIN(CADASTRO_CASAS_BOMBA!$O$11,MAX(0,T145+CADASTRO_CASAS_BOMBA!$I$11*HORAS_CAPTACAO_DIA-S146))</f>
        <v>469821</v>
      </c>
      <c r="U146" s="16" t="n">
        <f aca="false">MAX(0,S146-CADASTRO_CASAS_BOMBA!$I$11*HORAS_CAPTACAO_DIA-T145)</f>
        <v>0</v>
      </c>
      <c r="V146" s="16" t="n">
        <f aca="false">INDEX(AUX_MATRIZES!$C$14:$BP$14,MIN(N_SEMANAS,MAX(1,$C146)))/DIAS_POR_SEMANA</f>
        <v>2948.99294117647</v>
      </c>
      <c r="W146" s="16" t="n">
        <f aca="false">MIN(CADASTRO_CASAS_BOMBA!$O$12,MAX(0,W145+CADASTRO_CASAS_BOMBA!$I$12*HORAS_CAPTACAO_DIA-V146))</f>
        <v>440000</v>
      </c>
      <c r="X146" s="16" t="n">
        <f aca="false">MAX(0,V146-CADASTRO_CASAS_BOMBA!$I$12*HORAS_CAPTACAO_DIA-W145)</f>
        <v>0</v>
      </c>
      <c r="Y146" s="16" t="n">
        <f aca="false">INDEX(AUX_MATRIZES!$C$15:$BP$15,MIN(N_SEMANAS,MAX(1,$C146)))/DIAS_POR_SEMANA</f>
        <v>0</v>
      </c>
      <c r="Z146" s="16" t="n">
        <f aca="false">MIN(CADASTRO_CASAS_BOMBA!$O$13,MAX(0,Z145+CADASTRO_CASAS_BOMBA!$I$13*HORAS_CAPTACAO_DIA-Y146))</f>
        <v>74903</v>
      </c>
      <c r="AA146" s="16" t="n">
        <f aca="false">MAX(0,Y146-CADASTRO_CASAS_BOMBA!$I$13*HORAS_CAPTACAO_DIA-Z145)</f>
        <v>0</v>
      </c>
    </row>
    <row r="147" customFormat="false" ht="15" hidden="false" customHeight="false" outlineLevel="0" collapsed="false">
      <c r="B147" s="17" t="n">
        <f aca="false">DATA_INICIO_SAFRA+140</f>
        <v>46405</v>
      </c>
      <c r="C147" s="16" t="n">
        <f aca="false">MIN(N_SEMANAS,MAX(1,INT(($B147-DATA_INICIO_SAFRA)/DIAS_POR_SEMANA)+1))</f>
        <v>21</v>
      </c>
      <c r="D147" s="16" t="n">
        <f aca="false">INDEX(AUX_MATRIZES!$C$8:$BP$8,MIN(N_SEMANAS,MAX(1,$C147)))/DIAS_POR_SEMANA</f>
        <v>0</v>
      </c>
      <c r="E147" s="16" t="n">
        <f aca="false">MIN(CADASTRO_CASAS_BOMBA!$O$6,MAX(0,E146+CADASTRO_CASAS_BOMBA!$I$6*HORAS_CAPTACAO_DIA-D147))</f>
        <v>2600</v>
      </c>
      <c r="F147" s="16" t="n">
        <f aca="false">MAX(0,D147-CADASTRO_CASAS_BOMBA!$I$6*HORAS_CAPTACAO_DIA-E146)</f>
        <v>0</v>
      </c>
      <c r="G147" s="16" t="n">
        <f aca="false">INDEX(AUX_MATRIZES!$C$9:$BP$9,MIN(N_SEMANAS,MAX(1,$C147)))/DIAS_POR_SEMANA</f>
        <v>0</v>
      </c>
      <c r="H147" s="16" t="n">
        <f aca="false">MIN(CADASTRO_CASAS_BOMBA!$O$7,MAX(0,H146+CADASTRO_CASAS_BOMBA!$I$7*HORAS_CAPTACAO_DIA-G147))</f>
        <v>76648</v>
      </c>
      <c r="I147" s="16" t="n">
        <f aca="false">MAX(0,G147-CADASTRO_CASAS_BOMBA!$I$7*HORAS_CAPTACAO_DIA-H146)</f>
        <v>0</v>
      </c>
      <c r="J147" s="16" t="n">
        <f aca="false">INDEX(AUX_MATRIZES!$C$10:$BP$10,MIN(N_SEMANAS,MAX(1,$C147)))/DIAS_POR_SEMANA</f>
        <v>0</v>
      </c>
      <c r="K147" s="16" t="n">
        <f aca="false">MIN(CADASTRO_CASAS_BOMBA!$O$8,MAX(0,K146+CADASTRO_CASAS_BOMBA!$I$8*HORAS_CAPTACAO_DIA-J147))</f>
        <v>27377</v>
      </c>
      <c r="L147" s="16" t="n">
        <f aca="false">MAX(0,J147-CADASTRO_CASAS_BOMBA!$I$8*HORAS_CAPTACAO_DIA-K146)</f>
        <v>0</v>
      </c>
      <c r="M147" s="16" t="n">
        <f aca="false">INDEX(AUX_MATRIZES!$C$11:$BP$11,MIN(N_SEMANAS,MAX(1,$C147)))/DIAS_POR_SEMANA</f>
        <v>0</v>
      </c>
      <c r="N147" s="16" t="n">
        <f aca="false">MIN(CADASTRO_CASAS_BOMBA!$O$9,MAX(0,N146+CADASTRO_CASAS_BOMBA!$I$9*HORAS_CAPTACAO_DIA-M147))</f>
        <v>129000</v>
      </c>
      <c r="O147" s="16" t="n">
        <f aca="false">MAX(0,M147-CADASTRO_CASAS_BOMBA!$I$9*HORAS_CAPTACAO_DIA-N146)</f>
        <v>0</v>
      </c>
      <c r="P147" s="16" t="n">
        <f aca="false">INDEX(AUX_MATRIZES!$C$12:$BP$12,MIN(N_SEMANAS,MAX(1,$C147)))/DIAS_POR_SEMANA</f>
        <v>0</v>
      </c>
      <c r="Q147" s="16" t="n">
        <f aca="false">MIN(CADASTRO_CASAS_BOMBA!$O$10,MAX(0,Q146+CADASTRO_CASAS_BOMBA!$I$10*HORAS_CAPTACAO_DIA-P147))</f>
        <v>1000000</v>
      </c>
      <c r="R147" s="16" t="n">
        <f aca="false">MAX(0,P147-CADASTRO_CASAS_BOMBA!$I$10*HORAS_CAPTACAO_DIA-Q146)</f>
        <v>0</v>
      </c>
      <c r="S147" s="16" t="n">
        <f aca="false">INDEX(AUX_MATRIZES!$C$13:$BP$13,MIN(N_SEMANAS,MAX(1,$C147)))/DIAS_POR_SEMANA</f>
        <v>0</v>
      </c>
      <c r="T147" s="16" t="n">
        <f aca="false">MIN(CADASTRO_CASAS_BOMBA!$O$11,MAX(0,T146+CADASTRO_CASAS_BOMBA!$I$11*HORAS_CAPTACAO_DIA-S147))</f>
        <v>469821</v>
      </c>
      <c r="U147" s="16" t="n">
        <f aca="false">MAX(0,S147-CADASTRO_CASAS_BOMBA!$I$11*HORAS_CAPTACAO_DIA-T146)</f>
        <v>0</v>
      </c>
      <c r="V147" s="16" t="n">
        <f aca="false">INDEX(AUX_MATRIZES!$C$14:$BP$14,MIN(N_SEMANAS,MAX(1,$C147)))/DIAS_POR_SEMANA</f>
        <v>1215.5309100137</v>
      </c>
      <c r="W147" s="16" t="n">
        <f aca="false">MIN(CADASTRO_CASAS_BOMBA!$O$12,MAX(0,W146+CADASTRO_CASAS_BOMBA!$I$12*HORAS_CAPTACAO_DIA-V147))</f>
        <v>440000</v>
      </c>
      <c r="X147" s="16" t="n">
        <f aca="false">MAX(0,V147-CADASTRO_CASAS_BOMBA!$I$12*HORAS_CAPTACAO_DIA-W146)</f>
        <v>0</v>
      </c>
      <c r="Y147" s="16" t="n">
        <f aca="false">INDEX(AUX_MATRIZES!$C$15:$BP$15,MIN(N_SEMANAS,MAX(1,$C147)))/DIAS_POR_SEMANA</f>
        <v>0</v>
      </c>
      <c r="Z147" s="16" t="n">
        <f aca="false">MIN(CADASTRO_CASAS_BOMBA!$O$13,MAX(0,Z146+CADASTRO_CASAS_BOMBA!$I$13*HORAS_CAPTACAO_DIA-Y147))</f>
        <v>74903</v>
      </c>
      <c r="AA147" s="16" t="n">
        <f aca="false">MAX(0,Y147-CADASTRO_CASAS_BOMBA!$I$13*HORAS_CAPTACAO_DIA-Z146)</f>
        <v>0</v>
      </c>
    </row>
    <row r="148" customFormat="false" ht="15" hidden="false" customHeight="false" outlineLevel="0" collapsed="false">
      <c r="B148" s="17" t="n">
        <f aca="false">DATA_INICIO_SAFRA+141</f>
        <v>46406</v>
      </c>
      <c r="C148" s="16" t="n">
        <f aca="false">MIN(N_SEMANAS,MAX(1,INT(($B148-DATA_INICIO_SAFRA)/DIAS_POR_SEMANA)+1))</f>
        <v>21</v>
      </c>
      <c r="D148" s="16" t="n">
        <f aca="false">INDEX(AUX_MATRIZES!$C$8:$BP$8,MIN(N_SEMANAS,MAX(1,$C148)))/DIAS_POR_SEMANA</f>
        <v>0</v>
      </c>
      <c r="E148" s="16" t="n">
        <f aca="false">MIN(CADASTRO_CASAS_BOMBA!$O$6,MAX(0,E147+CADASTRO_CASAS_BOMBA!$I$6*HORAS_CAPTACAO_DIA-D148))</f>
        <v>2600</v>
      </c>
      <c r="F148" s="16" t="n">
        <f aca="false">MAX(0,D148-CADASTRO_CASAS_BOMBA!$I$6*HORAS_CAPTACAO_DIA-E147)</f>
        <v>0</v>
      </c>
      <c r="G148" s="16" t="n">
        <f aca="false">INDEX(AUX_MATRIZES!$C$9:$BP$9,MIN(N_SEMANAS,MAX(1,$C148)))/DIAS_POR_SEMANA</f>
        <v>0</v>
      </c>
      <c r="H148" s="16" t="n">
        <f aca="false">MIN(CADASTRO_CASAS_BOMBA!$O$7,MAX(0,H147+CADASTRO_CASAS_BOMBA!$I$7*HORAS_CAPTACAO_DIA-G148))</f>
        <v>76648</v>
      </c>
      <c r="I148" s="16" t="n">
        <f aca="false">MAX(0,G148-CADASTRO_CASAS_BOMBA!$I$7*HORAS_CAPTACAO_DIA-H147)</f>
        <v>0</v>
      </c>
      <c r="J148" s="16" t="n">
        <f aca="false">INDEX(AUX_MATRIZES!$C$10:$BP$10,MIN(N_SEMANAS,MAX(1,$C148)))/DIAS_POR_SEMANA</f>
        <v>0</v>
      </c>
      <c r="K148" s="16" t="n">
        <f aca="false">MIN(CADASTRO_CASAS_BOMBA!$O$8,MAX(0,K147+CADASTRO_CASAS_BOMBA!$I$8*HORAS_CAPTACAO_DIA-J148))</f>
        <v>27377</v>
      </c>
      <c r="L148" s="16" t="n">
        <f aca="false">MAX(0,J148-CADASTRO_CASAS_BOMBA!$I$8*HORAS_CAPTACAO_DIA-K147)</f>
        <v>0</v>
      </c>
      <c r="M148" s="16" t="n">
        <f aca="false">INDEX(AUX_MATRIZES!$C$11:$BP$11,MIN(N_SEMANAS,MAX(1,$C148)))/DIAS_POR_SEMANA</f>
        <v>0</v>
      </c>
      <c r="N148" s="16" t="n">
        <f aca="false">MIN(CADASTRO_CASAS_BOMBA!$O$9,MAX(0,N147+CADASTRO_CASAS_BOMBA!$I$9*HORAS_CAPTACAO_DIA-M148))</f>
        <v>129000</v>
      </c>
      <c r="O148" s="16" t="n">
        <f aca="false">MAX(0,M148-CADASTRO_CASAS_BOMBA!$I$9*HORAS_CAPTACAO_DIA-N147)</f>
        <v>0</v>
      </c>
      <c r="P148" s="16" t="n">
        <f aca="false">INDEX(AUX_MATRIZES!$C$12:$BP$12,MIN(N_SEMANAS,MAX(1,$C148)))/DIAS_POR_SEMANA</f>
        <v>0</v>
      </c>
      <c r="Q148" s="16" t="n">
        <f aca="false">MIN(CADASTRO_CASAS_BOMBA!$O$10,MAX(0,Q147+CADASTRO_CASAS_BOMBA!$I$10*HORAS_CAPTACAO_DIA-P148))</f>
        <v>1000000</v>
      </c>
      <c r="R148" s="16" t="n">
        <f aca="false">MAX(0,P148-CADASTRO_CASAS_BOMBA!$I$10*HORAS_CAPTACAO_DIA-Q147)</f>
        <v>0</v>
      </c>
      <c r="S148" s="16" t="n">
        <f aca="false">INDEX(AUX_MATRIZES!$C$13:$BP$13,MIN(N_SEMANAS,MAX(1,$C148)))/DIAS_POR_SEMANA</f>
        <v>0</v>
      </c>
      <c r="T148" s="16" t="n">
        <f aca="false">MIN(CADASTRO_CASAS_BOMBA!$O$11,MAX(0,T147+CADASTRO_CASAS_BOMBA!$I$11*HORAS_CAPTACAO_DIA-S148))</f>
        <v>469821</v>
      </c>
      <c r="U148" s="16" t="n">
        <f aca="false">MAX(0,S148-CADASTRO_CASAS_BOMBA!$I$11*HORAS_CAPTACAO_DIA-T147)</f>
        <v>0</v>
      </c>
      <c r="V148" s="16" t="n">
        <f aca="false">INDEX(AUX_MATRIZES!$C$14:$BP$14,MIN(N_SEMANAS,MAX(1,$C148)))/DIAS_POR_SEMANA</f>
        <v>1215.5309100137</v>
      </c>
      <c r="W148" s="16" t="n">
        <f aca="false">MIN(CADASTRO_CASAS_BOMBA!$O$12,MAX(0,W147+CADASTRO_CASAS_BOMBA!$I$12*HORAS_CAPTACAO_DIA-V148))</f>
        <v>440000</v>
      </c>
      <c r="X148" s="16" t="n">
        <f aca="false">MAX(0,V148-CADASTRO_CASAS_BOMBA!$I$12*HORAS_CAPTACAO_DIA-W147)</f>
        <v>0</v>
      </c>
      <c r="Y148" s="16" t="n">
        <f aca="false">INDEX(AUX_MATRIZES!$C$15:$BP$15,MIN(N_SEMANAS,MAX(1,$C148)))/DIAS_POR_SEMANA</f>
        <v>0</v>
      </c>
      <c r="Z148" s="16" t="n">
        <f aca="false">MIN(CADASTRO_CASAS_BOMBA!$O$13,MAX(0,Z147+CADASTRO_CASAS_BOMBA!$I$13*HORAS_CAPTACAO_DIA-Y148))</f>
        <v>74903</v>
      </c>
      <c r="AA148" s="16" t="n">
        <f aca="false">MAX(0,Y148-CADASTRO_CASAS_BOMBA!$I$13*HORAS_CAPTACAO_DIA-Z147)</f>
        <v>0</v>
      </c>
    </row>
    <row r="149" customFormat="false" ht="15" hidden="false" customHeight="false" outlineLevel="0" collapsed="false">
      <c r="B149" s="17" t="n">
        <f aca="false">DATA_INICIO_SAFRA+142</f>
        <v>46407</v>
      </c>
      <c r="C149" s="16" t="n">
        <f aca="false">MIN(N_SEMANAS,MAX(1,INT(($B149-DATA_INICIO_SAFRA)/DIAS_POR_SEMANA)+1))</f>
        <v>21</v>
      </c>
      <c r="D149" s="16" t="n">
        <f aca="false">INDEX(AUX_MATRIZES!$C$8:$BP$8,MIN(N_SEMANAS,MAX(1,$C149)))/DIAS_POR_SEMANA</f>
        <v>0</v>
      </c>
      <c r="E149" s="16" t="n">
        <f aca="false">MIN(CADASTRO_CASAS_BOMBA!$O$6,MAX(0,E148+CADASTRO_CASAS_BOMBA!$I$6*HORAS_CAPTACAO_DIA-D149))</f>
        <v>2600</v>
      </c>
      <c r="F149" s="16" t="n">
        <f aca="false">MAX(0,D149-CADASTRO_CASAS_BOMBA!$I$6*HORAS_CAPTACAO_DIA-E148)</f>
        <v>0</v>
      </c>
      <c r="G149" s="16" t="n">
        <f aca="false">INDEX(AUX_MATRIZES!$C$9:$BP$9,MIN(N_SEMANAS,MAX(1,$C149)))/DIAS_POR_SEMANA</f>
        <v>0</v>
      </c>
      <c r="H149" s="16" t="n">
        <f aca="false">MIN(CADASTRO_CASAS_BOMBA!$O$7,MAX(0,H148+CADASTRO_CASAS_BOMBA!$I$7*HORAS_CAPTACAO_DIA-G149))</f>
        <v>76648</v>
      </c>
      <c r="I149" s="16" t="n">
        <f aca="false">MAX(0,G149-CADASTRO_CASAS_BOMBA!$I$7*HORAS_CAPTACAO_DIA-H148)</f>
        <v>0</v>
      </c>
      <c r="J149" s="16" t="n">
        <f aca="false">INDEX(AUX_MATRIZES!$C$10:$BP$10,MIN(N_SEMANAS,MAX(1,$C149)))/DIAS_POR_SEMANA</f>
        <v>0</v>
      </c>
      <c r="K149" s="16" t="n">
        <f aca="false">MIN(CADASTRO_CASAS_BOMBA!$O$8,MAX(0,K148+CADASTRO_CASAS_BOMBA!$I$8*HORAS_CAPTACAO_DIA-J149))</f>
        <v>27377</v>
      </c>
      <c r="L149" s="16" t="n">
        <f aca="false">MAX(0,J149-CADASTRO_CASAS_BOMBA!$I$8*HORAS_CAPTACAO_DIA-K148)</f>
        <v>0</v>
      </c>
      <c r="M149" s="16" t="n">
        <f aca="false">INDEX(AUX_MATRIZES!$C$11:$BP$11,MIN(N_SEMANAS,MAX(1,$C149)))/DIAS_POR_SEMANA</f>
        <v>0</v>
      </c>
      <c r="N149" s="16" t="n">
        <f aca="false">MIN(CADASTRO_CASAS_BOMBA!$O$9,MAX(0,N148+CADASTRO_CASAS_BOMBA!$I$9*HORAS_CAPTACAO_DIA-M149))</f>
        <v>129000</v>
      </c>
      <c r="O149" s="16" t="n">
        <f aca="false">MAX(0,M149-CADASTRO_CASAS_BOMBA!$I$9*HORAS_CAPTACAO_DIA-N148)</f>
        <v>0</v>
      </c>
      <c r="P149" s="16" t="n">
        <f aca="false">INDEX(AUX_MATRIZES!$C$12:$BP$12,MIN(N_SEMANAS,MAX(1,$C149)))/DIAS_POR_SEMANA</f>
        <v>0</v>
      </c>
      <c r="Q149" s="16" t="n">
        <f aca="false">MIN(CADASTRO_CASAS_BOMBA!$O$10,MAX(0,Q148+CADASTRO_CASAS_BOMBA!$I$10*HORAS_CAPTACAO_DIA-P149))</f>
        <v>1000000</v>
      </c>
      <c r="R149" s="16" t="n">
        <f aca="false">MAX(0,P149-CADASTRO_CASAS_BOMBA!$I$10*HORAS_CAPTACAO_DIA-Q148)</f>
        <v>0</v>
      </c>
      <c r="S149" s="16" t="n">
        <f aca="false">INDEX(AUX_MATRIZES!$C$13:$BP$13,MIN(N_SEMANAS,MAX(1,$C149)))/DIAS_POR_SEMANA</f>
        <v>0</v>
      </c>
      <c r="T149" s="16" t="n">
        <f aca="false">MIN(CADASTRO_CASAS_BOMBA!$O$11,MAX(0,T148+CADASTRO_CASAS_BOMBA!$I$11*HORAS_CAPTACAO_DIA-S149))</f>
        <v>469821</v>
      </c>
      <c r="U149" s="16" t="n">
        <f aca="false">MAX(0,S149-CADASTRO_CASAS_BOMBA!$I$11*HORAS_CAPTACAO_DIA-T148)</f>
        <v>0</v>
      </c>
      <c r="V149" s="16" t="n">
        <f aca="false">INDEX(AUX_MATRIZES!$C$14:$BP$14,MIN(N_SEMANAS,MAX(1,$C149)))/DIAS_POR_SEMANA</f>
        <v>1215.5309100137</v>
      </c>
      <c r="W149" s="16" t="n">
        <f aca="false">MIN(CADASTRO_CASAS_BOMBA!$O$12,MAX(0,W148+CADASTRO_CASAS_BOMBA!$I$12*HORAS_CAPTACAO_DIA-V149))</f>
        <v>440000</v>
      </c>
      <c r="X149" s="16" t="n">
        <f aca="false">MAX(0,V149-CADASTRO_CASAS_BOMBA!$I$12*HORAS_CAPTACAO_DIA-W148)</f>
        <v>0</v>
      </c>
      <c r="Y149" s="16" t="n">
        <f aca="false">INDEX(AUX_MATRIZES!$C$15:$BP$15,MIN(N_SEMANAS,MAX(1,$C149)))/DIAS_POR_SEMANA</f>
        <v>0</v>
      </c>
      <c r="Z149" s="16" t="n">
        <f aca="false">MIN(CADASTRO_CASAS_BOMBA!$O$13,MAX(0,Z148+CADASTRO_CASAS_BOMBA!$I$13*HORAS_CAPTACAO_DIA-Y149))</f>
        <v>74903</v>
      </c>
      <c r="AA149" s="16" t="n">
        <f aca="false">MAX(0,Y149-CADASTRO_CASAS_BOMBA!$I$13*HORAS_CAPTACAO_DIA-Z148)</f>
        <v>0</v>
      </c>
    </row>
    <row r="150" customFormat="false" ht="15" hidden="false" customHeight="false" outlineLevel="0" collapsed="false">
      <c r="B150" s="17" t="n">
        <f aca="false">DATA_INICIO_SAFRA+143</f>
        <v>46408</v>
      </c>
      <c r="C150" s="16" t="n">
        <f aca="false">MIN(N_SEMANAS,MAX(1,INT(($B150-DATA_INICIO_SAFRA)/DIAS_POR_SEMANA)+1))</f>
        <v>21</v>
      </c>
      <c r="D150" s="16" t="n">
        <f aca="false">INDEX(AUX_MATRIZES!$C$8:$BP$8,MIN(N_SEMANAS,MAX(1,$C150)))/DIAS_POR_SEMANA</f>
        <v>0</v>
      </c>
      <c r="E150" s="16" t="n">
        <f aca="false">MIN(CADASTRO_CASAS_BOMBA!$O$6,MAX(0,E149+CADASTRO_CASAS_BOMBA!$I$6*HORAS_CAPTACAO_DIA-D150))</f>
        <v>2600</v>
      </c>
      <c r="F150" s="16" t="n">
        <f aca="false">MAX(0,D150-CADASTRO_CASAS_BOMBA!$I$6*HORAS_CAPTACAO_DIA-E149)</f>
        <v>0</v>
      </c>
      <c r="G150" s="16" t="n">
        <f aca="false">INDEX(AUX_MATRIZES!$C$9:$BP$9,MIN(N_SEMANAS,MAX(1,$C150)))/DIAS_POR_SEMANA</f>
        <v>0</v>
      </c>
      <c r="H150" s="16" t="n">
        <f aca="false">MIN(CADASTRO_CASAS_BOMBA!$O$7,MAX(0,H149+CADASTRO_CASAS_BOMBA!$I$7*HORAS_CAPTACAO_DIA-G150))</f>
        <v>76648</v>
      </c>
      <c r="I150" s="16" t="n">
        <f aca="false">MAX(0,G150-CADASTRO_CASAS_BOMBA!$I$7*HORAS_CAPTACAO_DIA-H149)</f>
        <v>0</v>
      </c>
      <c r="J150" s="16" t="n">
        <f aca="false">INDEX(AUX_MATRIZES!$C$10:$BP$10,MIN(N_SEMANAS,MAX(1,$C150)))/DIAS_POR_SEMANA</f>
        <v>0</v>
      </c>
      <c r="K150" s="16" t="n">
        <f aca="false">MIN(CADASTRO_CASAS_BOMBA!$O$8,MAX(0,K149+CADASTRO_CASAS_BOMBA!$I$8*HORAS_CAPTACAO_DIA-J150))</f>
        <v>27377</v>
      </c>
      <c r="L150" s="16" t="n">
        <f aca="false">MAX(0,J150-CADASTRO_CASAS_BOMBA!$I$8*HORAS_CAPTACAO_DIA-K149)</f>
        <v>0</v>
      </c>
      <c r="M150" s="16" t="n">
        <f aca="false">INDEX(AUX_MATRIZES!$C$11:$BP$11,MIN(N_SEMANAS,MAX(1,$C150)))/DIAS_POR_SEMANA</f>
        <v>0</v>
      </c>
      <c r="N150" s="16" t="n">
        <f aca="false">MIN(CADASTRO_CASAS_BOMBA!$O$9,MAX(0,N149+CADASTRO_CASAS_BOMBA!$I$9*HORAS_CAPTACAO_DIA-M150))</f>
        <v>129000</v>
      </c>
      <c r="O150" s="16" t="n">
        <f aca="false">MAX(0,M150-CADASTRO_CASAS_BOMBA!$I$9*HORAS_CAPTACAO_DIA-N149)</f>
        <v>0</v>
      </c>
      <c r="P150" s="16" t="n">
        <f aca="false">INDEX(AUX_MATRIZES!$C$12:$BP$12,MIN(N_SEMANAS,MAX(1,$C150)))/DIAS_POR_SEMANA</f>
        <v>0</v>
      </c>
      <c r="Q150" s="16" t="n">
        <f aca="false">MIN(CADASTRO_CASAS_BOMBA!$O$10,MAX(0,Q149+CADASTRO_CASAS_BOMBA!$I$10*HORAS_CAPTACAO_DIA-P150))</f>
        <v>1000000</v>
      </c>
      <c r="R150" s="16" t="n">
        <f aca="false">MAX(0,P150-CADASTRO_CASAS_BOMBA!$I$10*HORAS_CAPTACAO_DIA-Q149)</f>
        <v>0</v>
      </c>
      <c r="S150" s="16" t="n">
        <f aca="false">INDEX(AUX_MATRIZES!$C$13:$BP$13,MIN(N_SEMANAS,MAX(1,$C150)))/DIAS_POR_SEMANA</f>
        <v>0</v>
      </c>
      <c r="T150" s="16" t="n">
        <f aca="false">MIN(CADASTRO_CASAS_BOMBA!$O$11,MAX(0,T149+CADASTRO_CASAS_BOMBA!$I$11*HORAS_CAPTACAO_DIA-S150))</f>
        <v>469821</v>
      </c>
      <c r="U150" s="16" t="n">
        <f aca="false">MAX(0,S150-CADASTRO_CASAS_BOMBA!$I$11*HORAS_CAPTACAO_DIA-T149)</f>
        <v>0</v>
      </c>
      <c r="V150" s="16" t="n">
        <f aca="false">INDEX(AUX_MATRIZES!$C$14:$BP$14,MIN(N_SEMANAS,MAX(1,$C150)))/DIAS_POR_SEMANA</f>
        <v>1215.5309100137</v>
      </c>
      <c r="W150" s="16" t="n">
        <f aca="false">MIN(CADASTRO_CASAS_BOMBA!$O$12,MAX(0,W149+CADASTRO_CASAS_BOMBA!$I$12*HORAS_CAPTACAO_DIA-V150))</f>
        <v>440000</v>
      </c>
      <c r="X150" s="16" t="n">
        <f aca="false">MAX(0,V150-CADASTRO_CASAS_BOMBA!$I$12*HORAS_CAPTACAO_DIA-W149)</f>
        <v>0</v>
      </c>
      <c r="Y150" s="16" t="n">
        <f aca="false">INDEX(AUX_MATRIZES!$C$15:$BP$15,MIN(N_SEMANAS,MAX(1,$C150)))/DIAS_POR_SEMANA</f>
        <v>0</v>
      </c>
      <c r="Z150" s="16" t="n">
        <f aca="false">MIN(CADASTRO_CASAS_BOMBA!$O$13,MAX(0,Z149+CADASTRO_CASAS_BOMBA!$I$13*HORAS_CAPTACAO_DIA-Y150))</f>
        <v>74903</v>
      </c>
      <c r="AA150" s="16" t="n">
        <f aca="false">MAX(0,Y150-CADASTRO_CASAS_BOMBA!$I$13*HORAS_CAPTACAO_DIA-Z149)</f>
        <v>0</v>
      </c>
    </row>
    <row r="151" customFormat="false" ht="15" hidden="false" customHeight="false" outlineLevel="0" collapsed="false">
      <c r="B151" s="17" t="n">
        <f aca="false">DATA_INICIO_SAFRA+144</f>
        <v>46409</v>
      </c>
      <c r="C151" s="16" t="n">
        <f aca="false">MIN(N_SEMANAS,MAX(1,INT(($B151-DATA_INICIO_SAFRA)/DIAS_POR_SEMANA)+1))</f>
        <v>21</v>
      </c>
      <c r="D151" s="16" t="n">
        <f aca="false">INDEX(AUX_MATRIZES!$C$8:$BP$8,MIN(N_SEMANAS,MAX(1,$C151)))/DIAS_POR_SEMANA</f>
        <v>0</v>
      </c>
      <c r="E151" s="16" t="n">
        <f aca="false">MIN(CADASTRO_CASAS_BOMBA!$O$6,MAX(0,E150+CADASTRO_CASAS_BOMBA!$I$6*HORAS_CAPTACAO_DIA-D151))</f>
        <v>2600</v>
      </c>
      <c r="F151" s="16" t="n">
        <f aca="false">MAX(0,D151-CADASTRO_CASAS_BOMBA!$I$6*HORAS_CAPTACAO_DIA-E150)</f>
        <v>0</v>
      </c>
      <c r="G151" s="16" t="n">
        <f aca="false">INDEX(AUX_MATRIZES!$C$9:$BP$9,MIN(N_SEMANAS,MAX(1,$C151)))/DIAS_POR_SEMANA</f>
        <v>0</v>
      </c>
      <c r="H151" s="16" t="n">
        <f aca="false">MIN(CADASTRO_CASAS_BOMBA!$O$7,MAX(0,H150+CADASTRO_CASAS_BOMBA!$I$7*HORAS_CAPTACAO_DIA-G151))</f>
        <v>76648</v>
      </c>
      <c r="I151" s="16" t="n">
        <f aca="false">MAX(0,G151-CADASTRO_CASAS_BOMBA!$I$7*HORAS_CAPTACAO_DIA-H150)</f>
        <v>0</v>
      </c>
      <c r="J151" s="16" t="n">
        <f aca="false">INDEX(AUX_MATRIZES!$C$10:$BP$10,MIN(N_SEMANAS,MAX(1,$C151)))/DIAS_POR_SEMANA</f>
        <v>0</v>
      </c>
      <c r="K151" s="16" t="n">
        <f aca="false">MIN(CADASTRO_CASAS_BOMBA!$O$8,MAX(0,K150+CADASTRO_CASAS_BOMBA!$I$8*HORAS_CAPTACAO_DIA-J151))</f>
        <v>27377</v>
      </c>
      <c r="L151" s="16" t="n">
        <f aca="false">MAX(0,J151-CADASTRO_CASAS_BOMBA!$I$8*HORAS_CAPTACAO_DIA-K150)</f>
        <v>0</v>
      </c>
      <c r="M151" s="16" t="n">
        <f aca="false">INDEX(AUX_MATRIZES!$C$11:$BP$11,MIN(N_SEMANAS,MAX(1,$C151)))/DIAS_POR_SEMANA</f>
        <v>0</v>
      </c>
      <c r="N151" s="16" t="n">
        <f aca="false">MIN(CADASTRO_CASAS_BOMBA!$O$9,MAX(0,N150+CADASTRO_CASAS_BOMBA!$I$9*HORAS_CAPTACAO_DIA-M151))</f>
        <v>129000</v>
      </c>
      <c r="O151" s="16" t="n">
        <f aca="false">MAX(0,M151-CADASTRO_CASAS_BOMBA!$I$9*HORAS_CAPTACAO_DIA-N150)</f>
        <v>0</v>
      </c>
      <c r="P151" s="16" t="n">
        <f aca="false">INDEX(AUX_MATRIZES!$C$12:$BP$12,MIN(N_SEMANAS,MAX(1,$C151)))/DIAS_POR_SEMANA</f>
        <v>0</v>
      </c>
      <c r="Q151" s="16" t="n">
        <f aca="false">MIN(CADASTRO_CASAS_BOMBA!$O$10,MAX(0,Q150+CADASTRO_CASAS_BOMBA!$I$10*HORAS_CAPTACAO_DIA-P151))</f>
        <v>1000000</v>
      </c>
      <c r="R151" s="16" t="n">
        <f aca="false">MAX(0,P151-CADASTRO_CASAS_BOMBA!$I$10*HORAS_CAPTACAO_DIA-Q150)</f>
        <v>0</v>
      </c>
      <c r="S151" s="16" t="n">
        <f aca="false">INDEX(AUX_MATRIZES!$C$13:$BP$13,MIN(N_SEMANAS,MAX(1,$C151)))/DIAS_POR_SEMANA</f>
        <v>0</v>
      </c>
      <c r="T151" s="16" t="n">
        <f aca="false">MIN(CADASTRO_CASAS_BOMBA!$O$11,MAX(0,T150+CADASTRO_CASAS_BOMBA!$I$11*HORAS_CAPTACAO_DIA-S151))</f>
        <v>469821</v>
      </c>
      <c r="U151" s="16" t="n">
        <f aca="false">MAX(0,S151-CADASTRO_CASAS_BOMBA!$I$11*HORAS_CAPTACAO_DIA-T150)</f>
        <v>0</v>
      </c>
      <c r="V151" s="16" t="n">
        <f aca="false">INDEX(AUX_MATRIZES!$C$14:$BP$14,MIN(N_SEMANAS,MAX(1,$C151)))/DIAS_POR_SEMANA</f>
        <v>1215.5309100137</v>
      </c>
      <c r="W151" s="16" t="n">
        <f aca="false">MIN(CADASTRO_CASAS_BOMBA!$O$12,MAX(0,W150+CADASTRO_CASAS_BOMBA!$I$12*HORAS_CAPTACAO_DIA-V151))</f>
        <v>440000</v>
      </c>
      <c r="X151" s="16" t="n">
        <f aca="false">MAX(0,V151-CADASTRO_CASAS_BOMBA!$I$12*HORAS_CAPTACAO_DIA-W150)</f>
        <v>0</v>
      </c>
      <c r="Y151" s="16" t="n">
        <f aca="false">INDEX(AUX_MATRIZES!$C$15:$BP$15,MIN(N_SEMANAS,MAX(1,$C151)))/DIAS_POR_SEMANA</f>
        <v>0</v>
      </c>
      <c r="Z151" s="16" t="n">
        <f aca="false">MIN(CADASTRO_CASAS_BOMBA!$O$13,MAX(0,Z150+CADASTRO_CASAS_BOMBA!$I$13*HORAS_CAPTACAO_DIA-Y151))</f>
        <v>74903</v>
      </c>
      <c r="AA151" s="16" t="n">
        <f aca="false">MAX(0,Y151-CADASTRO_CASAS_BOMBA!$I$13*HORAS_CAPTACAO_DIA-Z150)</f>
        <v>0</v>
      </c>
    </row>
    <row r="152" customFormat="false" ht="15" hidden="false" customHeight="false" outlineLevel="0" collapsed="false">
      <c r="B152" s="17" t="n">
        <f aca="false">DATA_INICIO_SAFRA+145</f>
        <v>46410</v>
      </c>
      <c r="C152" s="16" t="n">
        <f aca="false">MIN(N_SEMANAS,MAX(1,INT(($B152-DATA_INICIO_SAFRA)/DIAS_POR_SEMANA)+1))</f>
        <v>21</v>
      </c>
      <c r="D152" s="16" t="n">
        <f aca="false">INDEX(AUX_MATRIZES!$C$8:$BP$8,MIN(N_SEMANAS,MAX(1,$C152)))/DIAS_POR_SEMANA</f>
        <v>0</v>
      </c>
      <c r="E152" s="16" t="n">
        <f aca="false">MIN(CADASTRO_CASAS_BOMBA!$O$6,MAX(0,E151+CADASTRO_CASAS_BOMBA!$I$6*HORAS_CAPTACAO_DIA-D152))</f>
        <v>2600</v>
      </c>
      <c r="F152" s="16" t="n">
        <f aca="false">MAX(0,D152-CADASTRO_CASAS_BOMBA!$I$6*HORAS_CAPTACAO_DIA-E151)</f>
        <v>0</v>
      </c>
      <c r="G152" s="16" t="n">
        <f aca="false">INDEX(AUX_MATRIZES!$C$9:$BP$9,MIN(N_SEMANAS,MAX(1,$C152)))/DIAS_POR_SEMANA</f>
        <v>0</v>
      </c>
      <c r="H152" s="16" t="n">
        <f aca="false">MIN(CADASTRO_CASAS_BOMBA!$O$7,MAX(0,H151+CADASTRO_CASAS_BOMBA!$I$7*HORAS_CAPTACAO_DIA-G152))</f>
        <v>76648</v>
      </c>
      <c r="I152" s="16" t="n">
        <f aca="false">MAX(0,G152-CADASTRO_CASAS_BOMBA!$I$7*HORAS_CAPTACAO_DIA-H151)</f>
        <v>0</v>
      </c>
      <c r="J152" s="16" t="n">
        <f aca="false">INDEX(AUX_MATRIZES!$C$10:$BP$10,MIN(N_SEMANAS,MAX(1,$C152)))/DIAS_POR_SEMANA</f>
        <v>0</v>
      </c>
      <c r="K152" s="16" t="n">
        <f aca="false">MIN(CADASTRO_CASAS_BOMBA!$O$8,MAX(0,K151+CADASTRO_CASAS_BOMBA!$I$8*HORAS_CAPTACAO_DIA-J152))</f>
        <v>27377</v>
      </c>
      <c r="L152" s="16" t="n">
        <f aca="false">MAX(0,J152-CADASTRO_CASAS_BOMBA!$I$8*HORAS_CAPTACAO_DIA-K151)</f>
        <v>0</v>
      </c>
      <c r="M152" s="16" t="n">
        <f aca="false">INDEX(AUX_MATRIZES!$C$11:$BP$11,MIN(N_SEMANAS,MAX(1,$C152)))/DIAS_POR_SEMANA</f>
        <v>0</v>
      </c>
      <c r="N152" s="16" t="n">
        <f aca="false">MIN(CADASTRO_CASAS_BOMBA!$O$9,MAX(0,N151+CADASTRO_CASAS_BOMBA!$I$9*HORAS_CAPTACAO_DIA-M152))</f>
        <v>129000</v>
      </c>
      <c r="O152" s="16" t="n">
        <f aca="false">MAX(0,M152-CADASTRO_CASAS_BOMBA!$I$9*HORAS_CAPTACAO_DIA-N151)</f>
        <v>0</v>
      </c>
      <c r="P152" s="16" t="n">
        <f aca="false">INDEX(AUX_MATRIZES!$C$12:$BP$12,MIN(N_SEMANAS,MAX(1,$C152)))/DIAS_POR_SEMANA</f>
        <v>0</v>
      </c>
      <c r="Q152" s="16" t="n">
        <f aca="false">MIN(CADASTRO_CASAS_BOMBA!$O$10,MAX(0,Q151+CADASTRO_CASAS_BOMBA!$I$10*HORAS_CAPTACAO_DIA-P152))</f>
        <v>1000000</v>
      </c>
      <c r="R152" s="16" t="n">
        <f aca="false">MAX(0,P152-CADASTRO_CASAS_BOMBA!$I$10*HORAS_CAPTACAO_DIA-Q151)</f>
        <v>0</v>
      </c>
      <c r="S152" s="16" t="n">
        <f aca="false">INDEX(AUX_MATRIZES!$C$13:$BP$13,MIN(N_SEMANAS,MAX(1,$C152)))/DIAS_POR_SEMANA</f>
        <v>0</v>
      </c>
      <c r="T152" s="16" t="n">
        <f aca="false">MIN(CADASTRO_CASAS_BOMBA!$O$11,MAX(0,T151+CADASTRO_CASAS_BOMBA!$I$11*HORAS_CAPTACAO_DIA-S152))</f>
        <v>469821</v>
      </c>
      <c r="U152" s="16" t="n">
        <f aca="false">MAX(0,S152-CADASTRO_CASAS_BOMBA!$I$11*HORAS_CAPTACAO_DIA-T151)</f>
        <v>0</v>
      </c>
      <c r="V152" s="16" t="n">
        <f aca="false">INDEX(AUX_MATRIZES!$C$14:$BP$14,MIN(N_SEMANAS,MAX(1,$C152)))/DIAS_POR_SEMANA</f>
        <v>1215.5309100137</v>
      </c>
      <c r="W152" s="16" t="n">
        <f aca="false">MIN(CADASTRO_CASAS_BOMBA!$O$12,MAX(0,W151+CADASTRO_CASAS_BOMBA!$I$12*HORAS_CAPTACAO_DIA-V152))</f>
        <v>440000</v>
      </c>
      <c r="X152" s="16" t="n">
        <f aca="false">MAX(0,V152-CADASTRO_CASAS_BOMBA!$I$12*HORAS_CAPTACAO_DIA-W151)</f>
        <v>0</v>
      </c>
      <c r="Y152" s="16" t="n">
        <f aca="false">INDEX(AUX_MATRIZES!$C$15:$BP$15,MIN(N_SEMANAS,MAX(1,$C152)))/DIAS_POR_SEMANA</f>
        <v>0</v>
      </c>
      <c r="Z152" s="16" t="n">
        <f aca="false">MIN(CADASTRO_CASAS_BOMBA!$O$13,MAX(0,Z151+CADASTRO_CASAS_BOMBA!$I$13*HORAS_CAPTACAO_DIA-Y152))</f>
        <v>74903</v>
      </c>
      <c r="AA152" s="16" t="n">
        <f aca="false">MAX(0,Y152-CADASTRO_CASAS_BOMBA!$I$13*HORAS_CAPTACAO_DIA-Z151)</f>
        <v>0</v>
      </c>
    </row>
    <row r="153" customFormat="false" ht="15" hidden="false" customHeight="false" outlineLevel="0" collapsed="false">
      <c r="B153" s="17" t="n">
        <f aca="false">DATA_INICIO_SAFRA+146</f>
        <v>46411</v>
      </c>
      <c r="C153" s="16" t="n">
        <f aca="false">MIN(N_SEMANAS,MAX(1,INT(($B153-DATA_INICIO_SAFRA)/DIAS_POR_SEMANA)+1))</f>
        <v>21</v>
      </c>
      <c r="D153" s="16" t="n">
        <f aca="false">INDEX(AUX_MATRIZES!$C$8:$BP$8,MIN(N_SEMANAS,MAX(1,$C153)))/DIAS_POR_SEMANA</f>
        <v>0</v>
      </c>
      <c r="E153" s="16" t="n">
        <f aca="false">MIN(CADASTRO_CASAS_BOMBA!$O$6,MAX(0,E152+CADASTRO_CASAS_BOMBA!$I$6*HORAS_CAPTACAO_DIA-D153))</f>
        <v>2600</v>
      </c>
      <c r="F153" s="16" t="n">
        <f aca="false">MAX(0,D153-CADASTRO_CASAS_BOMBA!$I$6*HORAS_CAPTACAO_DIA-E152)</f>
        <v>0</v>
      </c>
      <c r="G153" s="16" t="n">
        <f aca="false">INDEX(AUX_MATRIZES!$C$9:$BP$9,MIN(N_SEMANAS,MAX(1,$C153)))/DIAS_POR_SEMANA</f>
        <v>0</v>
      </c>
      <c r="H153" s="16" t="n">
        <f aca="false">MIN(CADASTRO_CASAS_BOMBA!$O$7,MAX(0,H152+CADASTRO_CASAS_BOMBA!$I$7*HORAS_CAPTACAO_DIA-G153))</f>
        <v>76648</v>
      </c>
      <c r="I153" s="16" t="n">
        <f aca="false">MAX(0,G153-CADASTRO_CASAS_BOMBA!$I$7*HORAS_CAPTACAO_DIA-H152)</f>
        <v>0</v>
      </c>
      <c r="J153" s="16" t="n">
        <f aca="false">INDEX(AUX_MATRIZES!$C$10:$BP$10,MIN(N_SEMANAS,MAX(1,$C153)))/DIAS_POR_SEMANA</f>
        <v>0</v>
      </c>
      <c r="K153" s="16" t="n">
        <f aca="false">MIN(CADASTRO_CASAS_BOMBA!$O$8,MAX(0,K152+CADASTRO_CASAS_BOMBA!$I$8*HORAS_CAPTACAO_DIA-J153))</f>
        <v>27377</v>
      </c>
      <c r="L153" s="16" t="n">
        <f aca="false">MAX(0,J153-CADASTRO_CASAS_BOMBA!$I$8*HORAS_CAPTACAO_DIA-K152)</f>
        <v>0</v>
      </c>
      <c r="M153" s="16" t="n">
        <f aca="false">INDEX(AUX_MATRIZES!$C$11:$BP$11,MIN(N_SEMANAS,MAX(1,$C153)))/DIAS_POR_SEMANA</f>
        <v>0</v>
      </c>
      <c r="N153" s="16" t="n">
        <f aca="false">MIN(CADASTRO_CASAS_BOMBA!$O$9,MAX(0,N152+CADASTRO_CASAS_BOMBA!$I$9*HORAS_CAPTACAO_DIA-M153))</f>
        <v>129000</v>
      </c>
      <c r="O153" s="16" t="n">
        <f aca="false">MAX(0,M153-CADASTRO_CASAS_BOMBA!$I$9*HORAS_CAPTACAO_DIA-N152)</f>
        <v>0</v>
      </c>
      <c r="P153" s="16" t="n">
        <f aca="false">INDEX(AUX_MATRIZES!$C$12:$BP$12,MIN(N_SEMANAS,MAX(1,$C153)))/DIAS_POR_SEMANA</f>
        <v>0</v>
      </c>
      <c r="Q153" s="16" t="n">
        <f aca="false">MIN(CADASTRO_CASAS_BOMBA!$O$10,MAX(0,Q152+CADASTRO_CASAS_BOMBA!$I$10*HORAS_CAPTACAO_DIA-P153))</f>
        <v>1000000</v>
      </c>
      <c r="R153" s="16" t="n">
        <f aca="false">MAX(0,P153-CADASTRO_CASAS_BOMBA!$I$10*HORAS_CAPTACAO_DIA-Q152)</f>
        <v>0</v>
      </c>
      <c r="S153" s="16" t="n">
        <f aca="false">INDEX(AUX_MATRIZES!$C$13:$BP$13,MIN(N_SEMANAS,MAX(1,$C153)))/DIAS_POR_SEMANA</f>
        <v>0</v>
      </c>
      <c r="T153" s="16" t="n">
        <f aca="false">MIN(CADASTRO_CASAS_BOMBA!$O$11,MAX(0,T152+CADASTRO_CASAS_BOMBA!$I$11*HORAS_CAPTACAO_DIA-S153))</f>
        <v>469821</v>
      </c>
      <c r="U153" s="16" t="n">
        <f aca="false">MAX(0,S153-CADASTRO_CASAS_BOMBA!$I$11*HORAS_CAPTACAO_DIA-T152)</f>
        <v>0</v>
      </c>
      <c r="V153" s="16" t="n">
        <f aca="false">INDEX(AUX_MATRIZES!$C$14:$BP$14,MIN(N_SEMANAS,MAX(1,$C153)))/DIAS_POR_SEMANA</f>
        <v>1215.5309100137</v>
      </c>
      <c r="W153" s="16" t="n">
        <f aca="false">MIN(CADASTRO_CASAS_BOMBA!$O$12,MAX(0,W152+CADASTRO_CASAS_BOMBA!$I$12*HORAS_CAPTACAO_DIA-V153))</f>
        <v>440000</v>
      </c>
      <c r="X153" s="16" t="n">
        <f aca="false">MAX(0,V153-CADASTRO_CASAS_BOMBA!$I$12*HORAS_CAPTACAO_DIA-W152)</f>
        <v>0</v>
      </c>
      <c r="Y153" s="16" t="n">
        <f aca="false">INDEX(AUX_MATRIZES!$C$15:$BP$15,MIN(N_SEMANAS,MAX(1,$C153)))/DIAS_POR_SEMANA</f>
        <v>0</v>
      </c>
      <c r="Z153" s="16" t="n">
        <f aca="false">MIN(CADASTRO_CASAS_BOMBA!$O$13,MAX(0,Z152+CADASTRO_CASAS_BOMBA!$I$13*HORAS_CAPTACAO_DIA-Y153))</f>
        <v>74903</v>
      </c>
      <c r="AA153" s="16" t="n">
        <f aca="false">MAX(0,Y153-CADASTRO_CASAS_BOMBA!$I$13*HORAS_CAPTACAO_DIA-Z152)</f>
        <v>0</v>
      </c>
    </row>
    <row r="154" customFormat="false" ht="15" hidden="false" customHeight="false" outlineLevel="0" collapsed="false">
      <c r="B154" s="17" t="n">
        <f aca="false">DATA_INICIO_SAFRA+147</f>
        <v>46412</v>
      </c>
      <c r="C154" s="16" t="n">
        <f aca="false">MIN(N_SEMANAS,MAX(1,INT(($B154-DATA_INICIO_SAFRA)/DIAS_POR_SEMANA)+1))</f>
        <v>22</v>
      </c>
      <c r="D154" s="16" t="n">
        <f aca="false">INDEX(AUX_MATRIZES!$C$8:$BP$8,MIN(N_SEMANAS,MAX(1,$C154)))/DIAS_POR_SEMANA</f>
        <v>0</v>
      </c>
      <c r="E154" s="16" t="n">
        <f aca="false">MIN(CADASTRO_CASAS_BOMBA!$O$6,MAX(0,E153+CADASTRO_CASAS_BOMBA!$I$6*HORAS_CAPTACAO_DIA-D154))</f>
        <v>2600</v>
      </c>
      <c r="F154" s="16" t="n">
        <f aca="false">MAX(0,D154-CADASTRO_CASAS_BOMBA!$I$6*HORAS_CAPTACAO_DIA-E153)</f>
        <v>0</v>
      </c>
      <c r="G154" s="16" t="n">
        <f aca="false">INDEX(AUX_MATRIZES!$C$9:$BP$9,MIN(N_SEMANAS,MAX(1,$C154)))/DIAS_POR_SEMANA</f>
        <v>0</v>
      </c>
      <c r="H154" s="16" t="n">
        <f aca="false">MIN(CADASTRO_CASAS_BOMBA!$O$7,MAX(0,H153+CADASTRO_CASAS_BOMBA!$I$7*HORAS_CAPTACAO_DIA-G154))</f>
        <v>76648</v>
      </c>
      <c r="I154" s="16" t="n">
        <f aca="false">MAX(0,G154-CADASTRO_CASAS_BOMBA!$I$7*HORAS_CAPTACAO_DIA-H153)</f>
        <v>0</v>
      </c>
      <c r="J154" s="16" t="n">
        <f aca="false">INDEX(AUX_MATRIZES!$C$10:$BP$10,MIN(N_SEMANAS,MAX(1,$C154)))/DIAS_POR_SEMANA</f>
        <v>0</v>
      </c>
      <c r="K154" s="16" t="n">
        <f aca="false">MIN(CADASTRO_CASAS_BOMBA!$O$8,MAX(0,K153+CADASTRO_CASAS_BOMBA!$I$8*HORAS_CAPTACAO_DIA-J154))</f>
        <v>27377</v>
      </c>
      <c r="L154" s="16" t="n">
        <f aca="false">MAX(0,J154-CADASTRO_CASAS_BOMBA!$I$8*HORAS_CAPTACAO_DIA-K153)</f>
        <v>0</v>
      </c>
      <c r="M154" s="16" t="n">
        <f aca="false">INDEX(AUX_MATRIZES!$C$11:$BP$11,MIN(N_SEMANAS,MAX(1,$C154)))/DIAS_POR_SEMANA</f>
        <v>0</v>
      </c>
      <c r="N154" s="16" t="n">
        <f aca="false">MIN(CADASTRO_CASAS_BOMBA!$O$9,MAX(0,N153+CADASTRO_CASAS_BOMBA!$I$9*HORAS_CAPTACAO_DIA-M154))</f>
        <v>129000</v>
      </c>
      <c r="O154" s="16" t="n">
        <f aca="false">MAX(0,M154-CADASTRO_CASAS_BOMBA!$I$9*HORAS_CAPTACAO_DIA-N153)</f>
        <v>0</v>
      </c>
      <c r="P154" s="16" t="n">
        <f aca="false">INDEX(AUX_MATRIZES!$C$12:$BP$12,MIN(N_SEMANAS,MAX(1,$C154)))/DIAS_POR_SEMANA</f>
        <v>0</v>
      </c>
      <c r="Q154" s="16" t="n">
        <f aca="false">MIN(CADASTRO_CASAS_BOMBA!$O$10,MAX(0,Q153+CADASTRO_CASAS_BOMBA!$I$10*HORAS_CAPTACAO_DIA-P154))</f>
        <v>1000000</v>
      </c>
      <c r="R154" s="16" t="n">
        <f aca="false">MAX(0,P154-CADASTRO_CASAS_BOMBA!$I$10*HORAS_CAPTACAO_DIA-Q153)</f>
        <v>0</v>
      </c>
      <c r="S154" s="16" t="n">
        <f aca="false">INDEX(AUX_MATRIZES!$C$13:$BP$13,MIN(N_SEMANAS,MAX(1,$C154)))/DIAS_POR_SEMANA</f>
        <v>0</v>
      </c>
      <c r="T154" s="16" t="n">
        <f aca="false">MIN(CADASTRO_CASAS_BOMBA!$O$11,MAX(0,T153+CADASTRO_CASAS_BOMBA!$I$11*HORAS_CAPTACAO_DIA-S154))</f>
        <v>469821</v>
      </c>
      <c r="U154" s="16" t="n">
        <f aca="false">MAX(0,S154-CADASTRO_CASAS_BOMBA!$I$11*HORAS_CAPTACAO_DIA-T153)</f>
        <v>0</v>
      </c>
      <c r="V154" s="16" t="n">
        <f aca="false">INDEX(AUX_MATRIZES!$C$14:$BP$14,MIN(N_SEMANAS,MAX(1,$C154)))/DIAS_POR_SEMANA</f>
        <v>0</v>
      </c>
      <c r="W154" s="16" t="n">
        <f aca="false">MIN(CADASTRO_CASAS_BOMBA!$O$12,MAX(0,W153+CADASTRO_CASAS_BOMBA!$I$12*HORAS_CAPTACAO_DIA-V154))</f>
        <v>440000</v>
      </c>
      <c r="X154" s="16" t="n">
        <f aca="false">MAX(0,V154-CADASTRO_CASAS_BOMBA!$I$12*HORAS_CAPTACAO_DIA-W153)</f>
        <v>0</v>
      </c>
      <c r="Y154" s="16" t="n">
        <f aca="false">INDEX(AUX_MATRIZES!$C$15:$BP$15,MIN(N_SEMANAS,MAX(1,$C154)))/DIAS_POR_SEMANA</f>
        <v>0</v>
      </c>
      <c r="Z154" s="16" t="n">
        <f aca="false">MIN(CADASTRO_CASAS_BOMBA!$O$13,MAX(0,Z153+CADASTRO_CASAS_BOMBA!$I$13*HORAS_CAPTACAO_DIA-Y154))</f>
        <v>74903</v>
      </c>
      <c r="AA154" s="16" t="n">
        <f aca="false">MAX(0,Y154-CADASTRO_CASAS_BOMBA!$I$13*HORAS_CAPTACAO_DIA-Z153)</f>
        <v>0</v>
      </c>
    </row>
    <row r="155" customFormat="false" ht="15" hidden="false" customHeight="false" outlineLevel="0" collapsed="false">
      <c r="B155" s="17" t="n">
        <f aca="false">DATA_INICIO_SAFRA+148</f>
        <v>46413</v>
      </c>
      <c r="C155" s="16" t="n">
        <f aca="false">MIN(N_SEMANAS,MAX(1,INT(($B155-DATA_INICIO_SAFRA)/DIAS_POR_SEMANA)+1))</f>
        <v>22</v>
      </c>
      <c r="D155" s="16" t="n">
        <f aca="false">INDEX(AUX_MATRIZES!$C$8:$BP$8,MIN(N_SEMANAS,MAX(1,$C155)))/DIAS_POR_SEMANA</f>
        <v>0</v>
      </c>
      <c r="E155" s="16" t="n">
        <f aca="false">MIN(CADASTRO_CASAS_BOMBA!$O$6,MAX(0,E154+CADASTRO_CASAS_BOMBA!$I$6*HORAS_CAPTACAO_DIA-D155))</f>
        <v>2600</v>
      </c>
      <c r="F155" s="16" t="n">
        <f aca="false">MAX(0,D155-CADASTRO_CASAS_BOMBA!$I$6*HORAS_CAPTACAO_DIA-E154)</f>
        <v>0</v>
      </c>
      <c r="G155" s="16" t="n">
        <f aca="false">INDEX(AUX_MATRIZES!$C$9:$BP$9,MIN(N_SEMANAS,MAX(1,$C155)))/DIAS_POR_SEMANA</f>
        <v>0</v>
      </c>
      <c r="H155" s="16" t="n">
        <f aca="false">MIN(CADASTRO_CASAS_BOMBA!$O$7,MAX(0,H154+CADASTRO_CASAS_BOMBA!$I$7*HORAS_CAPTACAO_DIA-G155))</f>
        <v>76648</v>
      </c>
      <c r="I155" s="16" t="n">
        <f aca="false">MAX(0,G155-CADASTRO_CASAS_BOMBA!$I$7*HORAS_CAPTACAO_DIA-H154)</f>
        <v>0</v>
      </c>
      <c r="J155" s="16" t="n">
        <f aca="false">INDEX(AUX_MATRIZES!$C$10:$BP$10,MIN(N_SEMANAS,MAX(1,$C155)))/DIAS_POR_SEMANA</f>
        <v>0</v>
      </c>
      <c r="K155" s="16" t="n">
        <f aca="false">MIN(CADASTRO_CASAS_BOMBA!$O$8,MAX(0,K154+CADASTRO_CASAS_BOMBA!$I$8*HORAS_CAPTACAO_DIA-J155))</f>
        <v>27377</v>
      </c>
      <c r="L155" s="16" t="n">
        <f aca="false">MAX(0,J155-CADASTRO_CASAS_BOMBA!$I$8*HORAS_CAPTACAO_DIA-K154)</f>
        <v>0</v>
      </c>
      <c r="M155" s="16" t="n">
        <f aca="false">INDEX(AUX_MATRIZES!$C$11:$BP$11,MIN(N_SEMANAS,MAX(1,$C155)))/DIAS_POR_SEMANA</f>
        <v>0</v>
      </c>
      <c r="N155" s="16" t="n">
        <f aca="false">MIN(CADASTRO_CASAS_BOMBA!$O$9,MAX(0,N154+CADASTRO_CASAS_BOMBA!$I$9*HORAS_CAPTACAO_DIA-M155))</f>
        <v>129000</v>
      </c>
      <c r="O155" s="16" t="n">
        <f aca="false">MAX(0,M155-CADASTRO_CASAS_BOMBA!$I$9*HORAS_CAPTACAO_DIA-N154)</f>
        <v>0</v>
      </c>
      <c r="P155" s="16" t="n">
        <f aca="false">INDEX(AUX_MATRIZES!$C$12:$BP$12,MIN(N_SEMANAS,MAX(1,$C155)))/DIAS_POR_SEMANA</f>
        <v>0</v>
      </c>
      <c r="Q155" s="16" t="n">
        <f aca="false">MIN(CADASTRO_CASAS_BOMBA!$O$10,MAX(0,Q154+CADASTRO_CASAS_BOMBA!$I$10*HORAS_CAPTACAO_DIA-P155))</f>
        <v>1000000</v>
      </c>
      <c r="R155" s="16" t="n">
        <f aca="false">MAX(0,P155-CADASTRO_CASAS_BOMBA!$I$10*HORAS_CAPTACAO_DIA-Q154)</f>
        <v>0</v>
      </c>
      <c r="S155" s="16" t="n">
        <f aca="false">INDEX(AUX_MATRIZES!$C$13:$BP$13,MIN(N_SEMANAS,MAX(1,$C155)))/DIAS_POR_SEMANA</f>
        <v>0</v>
      </c>
      <c r="T155" s="16" t="n">
        <f aca="false">MIN(CADASTRO_CASAS_BOMBA!$O$11,MAX(0,T154+CADASTRO_CASAS_BOMBA!$I$11*HORAS_CAPTACAO_DIA-S155))</f>
        <v>469821</v>
      </c>
      <c r="U155" s="16" t="n">
        <f aca="false">MAX(0,S155-CADASTRO_CASAS_BOMBA!$I$11*HORAS_CAPTACAO_DIA-T154)</f>
        <v>0</v>
      </c>
      <c r="V155" s="16" t="n">
        <f aca="false">INDEX(AUX_MATRIZES!$C$14:$BP$14,MIN(N_SEMANAS,MAX(1,$C155)))/DIAS_POR_SEMANA</f>
        <v>0</v>
      </c>
      <c r="W155" s="16" t="n">
        <f aca="false">MIN(CADASTRO_CASAS_BOMBA!$O$12,MAX(0,W154+CADASTRO_CASAS_BOMBA!$I$12*HORAS_CAPTACAO_DIA-V155))</f>
        <v>440000</v>
      </c>
      <c r="X155" s="16" t="n">
        <f aca="false">MAX(0,V155-CADASTRO_CASAS_BOMBA!$I$12*HORAS_CAPTACAO_DIA-W154)</f>
        <v>0</v>
      </c>
      <c r="Y155" s="16" t="n">
        <f aca="false">INDEX(AUX_MATRIZES!$C$15:$BP$15,MIN(N_SEMANAS,MAX(1,$C155)))/DIAS_POR_SEMANA</f>
        <v>0</v>
      </c>
      <c r="Z155" s="16" t="n">
        <f aca="false">MIN(CADASTRO_CASAS_BOMBA!$O$13,MAX(0,Z154+CADASTRO_CASAS_BOMBA!$I$13*HORAS_CAPTACAO_DIA-Y155))</f>
        <v>74903</v>
      </c>
      <c r="AA155" s="16" t="n">
        <f aca="false">MAX(0,Y155-CADASTRO_CASAS_BOMBA!$I$13*HORAS_CAPTACAO_DIA-Z154)</f>
        <v>0</v>
      </c>
    </row>
    <row r="156" customFormat="false" ht="15" hidden="false" customHeight="false" outlineLevel="0" collapsed="false">
      <c r="B156" s="17" t="n">
        <f aca="false">DATA_INICIO_SAFRA+149</f>
        <v>46414</v>
      </c>
      <c r="C156" s="16" t="n">
        <f aca="false">MIN(N_SEMANAS,MAX(1,INT(($B156-DATA_INICIO_SAFRA)/DIAS_POR_SEMANA)+1))</f>
        <v>22</v>
      </c>
      <c r="D156" s="16" t="n">
        <f aca="false">INDEX(AUX_MATRIZES!$C$8:$BP$8,MIN(N_SEMANAS,MAX(1,$C156)))/DIAS_POR_SEMANA</f>
        <v>0</v>
      </c>
      <c r="E156" s="16" t="n">
        <f aca="false">MIN(CADASTRO_CASAS_BOMBA!$O$6,MAX(0,E155+CADASTRO_CASAS_BOMBA!$I$6*HORAS_CAPTACAO_DIA-D156))</f>
        <v>2600</v>
      </c>
      <c r="F156" s="16" t="n">
        <f aca="false">MAX(0,D156-CADASTRO_CASAS_BOMBA!$I$6*HORAS_CAPTACAO_DIA-E155)</f>
        <v>0</v>
      </c>
      <c r="G156" s="16" t="n">
        <f aca="false">INDEX(AUX_MATRIZES!$C$9:$BP$9,MIN(N_SEMANAS,MAX(1,$C156)))/DIAS_POR_SEMANA</f>
        <v>0</v>
      </c>
      <c r="H156" s="16" t="n">
        <f aca="false">MIN(CADASTRO_CASAS_BOMBA!$O$7,MAX(0,H155+CADASTRO_CASAS_BOMBA!$I$7*HORAS_CAPTACAO_DIA-G156))</f>
        <v>76648</v>
      </c>
      <c r="I156" s="16" t="n">
        <f aca="false">MAX(0,G156-CADASTRO_CASAS_BOMBA!$I$7*HORAS_CAPTACAO_DIA-H155)</f>
        <v>0</v>
      </c>
      <c r="J156" s="16" t="n">
        <f aca="false">INDEX(AUX_MATRIZES!$C$10:$BP$10,MIN(N_SEMANAS,MAX(1,$C156)))/DIAS_POR_SEMANA</f>
        <v>0</v>
      </c>
      <c r="K156" s="16" t="n">
        <f aca="false">MIN(CADASTRO_CASAS_BOMBA!$O$8,MAX(0,K155+CADASTRO_CASAS_BOMBA!$I$8*HORAS_CAPTACAO_DIA-J156))</f>
        <v>27377</v>
      </c>
      <c r="L156" s="16" t="n">
        <f aca="false">MAX(0,J156-CADASTRO_CASAS_BOMBA!$I$8*HORAS_CAPTACAO_DIA-K155)</f>
        <v>0</v>
      </c>
      <c r="M156" s="16" t="n">
        <f aca="false">INDEX(AUX_MATRIZES!$C$11:$BP$11,MIN(N_SEMANAS,MAX(1,$C156)))/DIAS_POR_SEMANA</f>
        <v>0</v>
      </c>
      <c r="N156" s="16" t="n">
        <f aca="false">MIN(CADASTRO_CASAS_BOMBA!$O$9,MAX(0,N155+CADASTRO_CASAS_BOMBA!$I$9*HORAS_CAPTACAO_DIA-M156))</f>
        <v>129000</v>
      </c>
      <c r="O156" s="16" t="n">
        <f aca="false">MAX(0,M156-CADASTRO_CASAS_BOMBA!$I$9*HORAS_CAPTACAO_DIA-N155)</f>
        <v>0</v>
      </c>
      <c r="P156" s="16" t="n">
        <f aca="false">INDEX(AUX_MATRIZES!$C$12:$BP$12,MIN(N_SEMANAS,MAX(1,$C156)))/DIAS_POR_SEMANA</f>
        <v>0</v>
      </c>
      <c r="Q156" s="16" t="n">
        <f aca="false">MIN(CADASTRO_CASAS_BOMBA!$O$10,MAX(0,Q155+CADASTRO_CASAS_BOMBA!$I$10*HORAS_CAPTACAO_DIA-P156))</f>
        <v>1000000</v>
      </c>
      <c r="R156" s="16" t="n">
        <f aca="false">MAX(0,P156-CADASTRO_CASAS_BOMBA!$I$10*HORAS_CAPTACAO_DIA-Q155)</f>
        <v>0</v>
      </c>
      <c r="S156" s="16" t="n">
        <f aca="false">INDEX(AUX_MATRIZES!$C$13:$BP$13,MIN(N_SEMANAS,MAX(1,$C156)))/DIAS_POR_SEMANA</f>
        <v>0</v>
      </c>
      <c r="T156" s="16" t="n">
        <f aca="false">MIN(CADASTRO_CASAS_BOMBA!$O$11,MAX(0,T155+CADASTRO_CASAS_BOMBA!$I$11*HORAS_CAPTACAO_DIA-S156))</f>
        <v>469821</v>
      </c>
      <c r="U156" s="16" t="n">
        <f aca="false">MAX(0,S156-CADASTRO_CASAS_BOMBA!$I$11*HORAS_CAPTACAO_DIA-T155)</f>
        <v>0</v>
      </c>
      <c r="V156" s="16" t="n">
        <f aca="false">INDEX(AUX_MATRIZES!$C$14:$BP$14,MIN(N_SEMANAS,MAX(1,$C156)))/DIAS_POR_SEMANA</f>
        <v>0</v>
      </c>
      <c r="W156" s="16" t="n">
        <f aca="false">MIN(CADASTRO_CASAS_BOMBA!$O$12,MAX(0,W155+CADASTRO_CASAS_BOMBA!$I$12*HORAS_CAPTACAO_DIA-V156))</f>
        <v>440000</v>
      </c>
      <c r="X156" s="16" t="n">
        <f aca="false">MAX(0,V156-CADASTRO_CASAS_BOMBA!$I$12*HORAS_CAPTACAO_DIA-W155)</f>
        <v>0</v>
      </c>
      <c r="Y156" s="16" t="n">
        <f aca="false">INDEX(AUX_MATRIZES!$C$15:$BP$15,MIN(N_SEMANAS,MAX(1,$C156)))/DIAS_POR_SEMANA</f>
        <v>0</v>
      </c>
      <c r="Z156" s="16" t="n">
        <f aca="false">MIN(CADASTRO_CASAS_BOMBA!$O$13,MAX(0,Z155+CADASTRO_CASAS_BOMBA!$I$13*HORAS_CAPTACAO_DIA-Y156))</f>
        <v>74903</v>
      </c>
      <c r="AA156" s="16" t="n">
        <f aca="false">MAX(0,Y156-CADASTRO_CASAS_BOMBA!$I$13*HORAS_CAPTACAO_DIA-Z155)</f>
        <v>0</v>
      </c>
    </row>
    <row r="157" customFormat="false" ht="15" hidden="false" customHeight="false" outlineLevel="0" collapsed="false">
      <c r="B157" s="17" t="n">
        <f aca="false">DATA_INICIO_SAFRA+150</f>
        <v>46415</v>
      </c>
      <c r="C157" s="16" t="n">
        <f aca="false">MIN(N_SEMANAS,MAX(1,INT(($B157-DATA_INICIO_SAFRA)/DIAS_POR_SEMANA)+1))</f>
        <v>22</v>
      </c>
      <c r="D157" s="16" t="n">
        <f aca="false">INDEX(AUX_MATRIZES!$C$8:$BP$8,MIN(N_SEMANAS,MAX(1,$C157)))/DIAS_POR_SEMANA</f>
        <v>0</v>
      </c>
      <c r="E157" s="16" t="n">
        <f aca="false">MIN(CADASTRO_CASAS_BOMBA!$O$6,MAX(0,E156+CADASTRO_CASAS_BOMBA!$I$6*HORAS_CAPTACAO_DIA-D157))</f>
        <v>2600</v>
      </c>
      <c r="F157" s="16" t="n">
        <f aca="false">MAX(0,D157-CADASTRO_CASAS_BOMBA!$I$6*HORAS_CAPTACAO_DIA-E156)</f>
        <v>0</v>
      </c>
      <c r="G157" s="16" t="n">
        <f aca="false">INDEX(AUX_MATRIZES!$C$9:$BP$9,MIN(N_SEMANAS,MAX(1,$C157)))/DIAS_POR_SEMANA</f>
        <v>0</v>
      </c>
      <c r="H157" s="16" t="n">
        <f aca="false">MIN(CADASTRO_CASAS_BOMBA!$O$7,MAX(0,H156+CADASTRO_CASAS_BOMBA!$I$7*HORAS_CAPTACAO_DIA-G157))</f>
        <v>76648</v>
      </c>
      <c r="I157" s="16" t="n">
        <f aca="false">MAX(0,G157-CADASTRO_CASAS_BOMBA!$I$7*HORAS_CAPTACAO_DIA-H156)</f>
        <v>0</v>
      </c>
      <c r="J157" s="16" t="n">
        <f aca="false">INDEX(AUX_MATRIZES!$C$10:$BP$10,MIN(N_SEMANAS,MAX(1,$C157)))/DIAS_POR_SEMANA</f>
        <v>0</v>
      </c>
      <c r="K157" s="16" t="n">
        <f aca="false">MIN(CADASTRO_CASAS_BOMBA!$O$8,MAX(0,K156+CADASTRO_CASAS_BOMBA!$I$8*HORAS_CAPTACAO_DIA-J157))</f>
        <v>27377</v>
      </c>
      <c r="L157" s="16" t="n">
        <f aca="false">MAX(0,J157-CADASTRO_CASAS_BOMBA!$I$8*HORAS_CAPTACAO_DIA-K156)</f>
        <v>0</v>
      </c>
      <c r="M157" s="16" t="n">
        <f aca="false">INDEX(AUX_MATRIZES!$C$11:$BP$11,MIN(N_SEMANAS,MAX(1,$C157)))/DIAS_POR_SEMANA</f>
        <v>0</v>
      </c>
      <c r="N157" s="16" t="n">
        <f aca="false">MIN(CADASTRO_CASAS_BOMBA!$O$9,MAX(0,N156+CADASTRO_CASAS_BOMBA!$I$9*HORAS_CAPTACAO_DIA-M157))</f>
        <v>129000</v>
      </c>
      <c r="O157" s="16" t="n">
        <f aca="false">MAX(0,M157-CADASTRO_CASAS_BOMBA!$I$9*HORAS_CAPTACAO_DIA-N156)</f>
        <v>0</v>
      </c>
      <c r="P157" s="16" t="n">
        <f aca="false">INDEX(AUX_MATRIZES!$C$12:$BP$12,MIN(N_SEMANAS,MAX(1,$C157)))/DIAS_POR_SEMANA</f>
        <v>0</v>
      </c>
      <c r="Q157" s="16" t="n">
        <f aca="false">MIN(CADASTRO_CASAS_BOMBA!$O$10,MAX(0,Q156+CADASTRO_CASAS_BOMBA!$I$10*HORAS_CAPTACAO_DIA-P157))</f>
        <v>1000000</v>
      </c>
      <c r="R157" s="16" t="n">
        <f aca="false">MAX(0,P157-CADASTRO_CASAS_BOMBA!$I$10*HORAS_CAPTACAO_DIA-Q156)</f>
        <v>0</v>
      </c>
      <c r="S157" s="16" t="n">
        <f aca="false">INDEX(AUX_MATRIZES!$C$13:$BP$13,MIN(N_SEMANAS,MAX(1,$C157)))/DIAS_POR_SEMANA</f>
        <v>0</v>
      </c>
      <c r="T157" s="16" t="n">
        <f aca="false">MIN(CADASTRO_CASAS_BOMBA!$O$11,MAX(0,T156+CADASTRO_CASAS_BOMBA!$I$11*HORAS_CAPTACAO_DIA-S157))</f>
        <v>469821</v>
      </c>
      <c r="U157" s="16" t="n">
        <f aca="false">MAX(0,S157-CADASTRO_CASAS_BOMBA!$I$11*HORAS_CAPTACAO_DIA-T156)</f>
        <v>0</v>
      </c>
      <c r="V157" s="16" t="n">
        <f aca="false">INDEX(AUX_MATRIZES!$C$14:$BP$14,MIN(N_SEMANAS,MAX(1,$C157)))/DIAS_POR_SEMANA</f>
        <v>0</v>
      </c>
      <c r="W157" s="16" t="n">
        <f aca="false">MIN(CADASTRO_CASAS_BOMBA!$O$12,MAX(0,W156+CADASTRO_CASAS_BOMBA!$I$12*HORAS_CAPTACAO_DIA-V157))</f>
        <v>440000</v>
      </c>
      <c r="X157" s="16" t="n">
        <f aca="false">MAX(0,V157-CADASTRO_CASAS_BOMBA!$I$12*HORAS_CAPTACAO_DIA-W156)</f>
        <v>0</v>
      </c>
      <c r="Y157" s="16" t="n">
        <f aca="false">INDEX(AUX_MATRIZES!$C$15:$BP$15,MIN(N_SEMANAS,MAX(1,$C157)))/DIAS_POR_SEMANA</f>
        <v>0</v>
      </c>
      <c r="Z157" s="16" t="n">
        <f aca="false">MIN(CADASTRO_CASAS_BOMBA!$O$13,MAX(0,Z156+CADASTRO_CASAS_BOMBA!$I$13*HORAS_CAPTACAO_DIA-Y157))</f>
        <v>74903</v>
      </c>
      <c r="AA157" s="16" t="n">
        <f aca="false">MAX(0,Y157-CADASTRO_CASAS_BOMBA!$I$13*HORAS_CAPTACAO_DIA-Z156)</f>
        <v>0</v>
      </c>
    </row>
    <row r="158" customFormat="false" ht="15" hidden="false" customHeight="false" outlineLevel="0" collapsed="false">
      <c r="B158" s="17" t="n">
        <f aca="false">DATA_INICIO_SAFRA+151</f>
        <v>46416</v>
      </c>
      <c r="C158" s="16" t="n">
        <f aca="false">MIN(N_SEMANAS,MAX(1,INT(($B158-DATA_INICIO_SAFRA)/DIAS_POR_SEMANA)+1))</f>
        <v>22</v>
      </c>
      <c r="D158" s="16" t="n">
        <f aca="false">INDEX(AUX_MATRIZES!$C$8:$BP$8,MIN(N_SEMANAS,MAX(1,$C158)))/DIAS_POR_SEMANA</f>
        <v>0</v>
      </c>
      <c r="E158" s="16" t="n">
        <f aca="false">MIN(CADASTRO_CASAS_BOMBA!$O$6,MAX(0,E157+CADASTRO_CASAS_BOMBA!$I$6*HORAS_CAPTACAO_DIA-D158))</f>
        <v>2600</v>
      </c>
      <c r="F158" s="16" t="n">
        <f aca="false">MAX(0,D158-CADASTRO_CASAS_BOMBA!$I$6*HORAS_CAPTACAO_DIA-E157)</f>
        <v>0</v>
      </c>
      <c r="G158" s="16" t="n">
        <f aca="false">INDEX(AUX_MATRIZES!$C$9:$BP$9,MIN(N_SEMANAS,MAX(1,$C158)))/DIAS_POR_SEMANA</f>
        <v>0</v>
      </c>
      <c r="H158" s="16" t="n">
        <f aca="false">MIN(CADASTRO_CASAS_BOMBA!$O$7,MAX(0,H157+CADASTRO_CASAS_BOMBA!$I$7*HORAS_CAPTACAO_DIA-G158))</f>
        <v>76648</v>
      </c>
      <c r="I158" s="16" t="n">
        <f aca="false">MAX(0,G158-CADASTRO_CASAS_BOMBA!$I$7*HORAS_CAPTACAO_DIA-H157)</f>
        <v>0</v>
      </c>
      <c r="J158" s="16" t="n">
        <f aca="false">INDEX(AUX_MATRIZES!$C$10:$BP$10,MIN(N_SEMANAS,MAX(1,$C158)))/DIAS_POR_SEMANA</f>
        <v>0</v>
      </c>
      <c r="K158" s="16" t="n">
        <f aca="false">MIN(CADASTRO_CASAS_BOMBA!$O$8,MAX(0,K157+CADASTRO_CASAS_BOMBA!$I$8*HORAS_CAPTACAO_DIA-J158))</f>
        <v>27377</v>
      </c>
      <c r="L158" s="16" t="n">
        <f aca="false">MAX(0,J158-CADASTRO_CASAS_BOMBA!$I$8*HORAS_CAPTACAO_DIA-K157)</f>
        <v>0</v>
      </c>
      <c r="M158" s="16" t="n">
        <f aca="false">INDEX(AUX_MATRIZES!$C$11:$BP$11,MIN(N_SEMANAS,MAX(1,$C158)))/DIAS_POR_SEMANA</f>
        <v>0</v>
      </c>
      <c r="N158" s="16" t="n">
        <f aca="false">MIN(CADASTRO_CASAS_BOMBA!$O$9,MAX(0,N157+CADASTRO_CASAS_BOMBA!$I$9*HORAS_CAPTACAO_DIA-M158))</f>
        <v>129000</v>
      </c>
      <c r="O158" s="16" t="n">
        <f aca="false">MAX(0,M158-CADASTRO_CASAS_BOMBA!$I$9*HORAS_CAPTACAO_DIA-N157)</f>
        <v>0</v>
      </c>
      <c r="P158" s="16" t="n">
        <f aca="false">INDEX(AUX_MATRIZES!$C$12:$BP$12,MIN(N_SEMANAS,MAX(1,$C158)))/DIAS_POR_SEMANA</f>
        <v>0</v>
      </c>
      <c r="Q158" s="16" t="n">
        <f aca="false">MIN(CADASTRO_CASAS_BOMBA!$O$10,MAX(0,Q157+CADASTRO_CASAS_BOMBA!$I$10*HORAS_CAPTACAO_DIA-P158))</f>
        <v>1000000</v>
      </c>
      <c r="R158" s="16" t="n">
        <f aca="false">MAX(0,P158-CADASTRO_CASAS_BOMBA!$I$10*HORAS_CAPTACAO_DIA-Q157)</f>
        <v>0</v>
      </c>
      <c r="S158" s="16" t="n">
        <f aca="false">INDEX(AUX_MATRIZES!$C$13:$BP$13,MIN(N_SEMANAS,MAX(1,$C158)))/DIAS_POR_SEMANA</f>
        <v>0</v>
      </c>
      <c r="T158" s="16" t="n">
        <f aca="false">MIN(CADASTRO_CASAS_BOMBA!$O$11,MAX(0,T157+CADASTRO_CASAS_BOMBA!$I$11*HORAS_CAPTACAO_DIA-S158))</f>
        <v>469821</v>
      </c>
      <c r="U158" s="16" t="n">
        <f aca="false">MAX(0,S158-CADASTRO_CASAS_BOMBA!$I$11*HORAS_CAPTACAO_DIA-T157)</f>
        <v>0</v>
      </c>
      <c r="V158" s="16" t="n">
        <f aca="false">INDEX(AUX_MATRIZES!$C$14:$BP$14,MIN(N_SEMANAS,MAX(1,$C158)))/DIAS_POR_SEMANA</f>
        <v>0</v>
      </c>
      <c r="W158" s="16" t="n">
        <f aca="false">MIN(CADASTRO_CASAS_BOMBA!$O$12,MAX(0,W157+CADASTRO_CASAS_BOMBA!$I$12*HORAS_CAPTACAO_DIA-V158))</f>
        <v>440000</v>
      </c>
      <c r="X158" s="16" t="n">
        <f aca="false">MAX(0,V158-CADASTRO_CASAS_BOMBA!$I$12*HORAS_CAPTACAO_DIA-W157)</f>
        <v>0</v>
      </c>
      <c r="Y158" s="16" t="n">
        <f aca="false">INDEX(AUX_MATRIZES!$C$15:$BP$15,MIN(N_SEMANAS,MAX(1,$C158)))/DIAS_POR_SEMANA</f>
        <v>0</v>
      </c>
      <c r="Z158" s="16" t="n">
        <f aca="false">MIN(CADASTRO_CASAS_BOMBA!$O$13,MAX(0,Z157+CADASTRO_CASAS_BOMBA!$I$13*HORAS_CAPTACAO_DIA-Y158))</f>
        <v>74903</v>
      </c>
      <c r="AA158" s="16" t="n">
        <f aca="false">MAX(0,Y158-CADASTRO_CASAS_BOMBA!$I$13*HORAS_CAPTACAO_DIA-Z157)</f>
        <v>0</v>
      </c>
    </row>
    <row r="159" customFormat="false" ht="15" hidden="false" customHeight="false" outlineLevel="0" collapsed="false">
      <c r="B159" s="17" t="n">
        <f aca="false">DATA_INICIO_SAFRA+152</f>
        <v>46417</v>
      </c>
      <c r="C159" s="16" t="n">
        <f aca="false">MIN(N_SEMANAS,MAX(1,INT(($B159-DATA_INICIO_SAFRA)/DIAS_POR_SEMANA)+1))</f>
        <v>22</v>
      </c>
      <c r="D159" s="16" t="n">
        <f aca="false">INDEX(AUX_MATRIZES!$C$8:$BP$8,MIN(N_SEMANAS,MAX(1,$C159)))/DIAS_POR_SEMANA</f>
        <v>0</v>
      </c>
      <c r="E159" s="16" t="n">
        <f aca="false">MIN(CADASTRO_CASAS_BOMBA!$O$6,MAX(0,E158+CADASTRO_CASAS_BOMBA!$I$6*HORAS_CAPTACAO_DIA-D159))</f>
        <v>2600</v>
      </c>
      <c r="F159" s="16" t="n">
        <f aca="false">MAX(0,D159-CADASTRO_CASAS_BOMBA!$I$6*HORAS_CAPTACAO_DIA-E158)</f>
        <v>0</v>
      </c>
      <c r="G159" s="16" t="n">
        <f aca="false">INDEX(AUX_MATRIZES!$C$9:$BP$9,MIN(N_SEMANAS,MAX(1,$C159)))/DIAS_POR_SEMANA</f>
        <v>0</v>
      </c>
      <c r="H159" s="16" t="n">
        <f aca="false">MIN(CADASTRO_CASAS_BOMBA!$O$7,MAX(0,H158+CADASTRO_CASAS_BOMBA!$I$7*HORAS_CAPTACAO_DIA-G159))</f>
        <v>76648</v>
      </c>
      <c r="I159" s="16" t="n">
        <f aca="false">MAX(0,G159-CADASTRO_CASAS_BOMBA!$I$7*HORAS_CAPTACAO_DIA-H158)</f>
        <v>0</v>
      </c>
      <c r="J159" s="16" t="n">
        <f aca="false">INDEX(AUX_MATRIZES!$C$10:$BP$10,MIN(N_SEMANAS,MAX(1,$C159)))/DIAS_POR_SEMANA</f>
        <v>0</v>
      </c>
      <c r="K159" s="16" t="n">
        <f aca="false">MIN(CADASTRO_CASAS_BOMBA!$O$8,MAX(0,K158+CADASTRO_CASAS_BOMBA!$I$8*HORAS_CAPTACAO_DIA-J159))</f>
        <v>27377</v>
      </c>
      <c r="L159" s="16" t="n">
        <f aca="false">MAX(0,J159-CADASTRO_CASAS_BOMBA!$I$8*HORAS_CAPTACAO_DIA-K158)</f>
        <v>0</v>
      </c>
      <c r="M159" s="16" t="n">
        <f aca="false">INDEX(AUX_MATRIZES!$C$11:$BP$11,MIN(N_SEMANAS,MAX(1,$C159)))/DIAS_POR_SEMANA</f>
        <v>0</v>
      </c>
      <c r="N159" s="16" t="n">
        <f aca="false">MIN(CADASTRO_CASAS_BOMBA!$O$9,MAX(0,N158+CADASTRO_CASAS_BOMBA!$I$9*HORAS_CAPTACAO_DIA-M159))</f>
        <v>129000</v>
      </c>
      <c r="O159" s="16" t="n">
        <f aca="false">MAX(0,M159-CADASTRO_CASAS_BOMBA!$I$9*HORAS_CAPTACAO_DIA-N158)</f>
        <v>0</v>
      </c>
      <c r="P159" s="16" t="n">
        <f aca="false">INDEX(AUX_MATRIZES!$C$12:$BP$12,MIN(N_SEMANAS,MAX(1,$C159)))/DIAS_POR_SEMANA</f>
        <v>0</v>
      </c>
      <c r="Q159" s="16" t="n">
        <f aca="false">MIN(CADASTRO_CASAS_BOMBA!$O$10,MAX(0,Q158+CADASTRO_CASAS_BOMBA!$I$10*HORAS_CAPTACAO_DIA-P159))</f>
        <v>1000000</v>
      </c>
      <c r="R159" s="16" t="n">
        <f aca="false">MAX(0,P159-CADASTRO_CASAS_BOMBA!$I$10*HORAS_CAPTACAO_DIA-Q158)</f>
        <v>0</v>
      </c>
      <c r="S159" s="16" t="n">
        <f aca="false">INDEX(AUX_MATRIZES!$C$13:$BP$13,MIN(N_SEMANAS,MAX(1,$C159)))/DIAS_POR_SEMANA</f>
        <v>0</v>
      </c>
      <c r="T159" s="16" t="n">
        <f aca="false">MIN(CADASTRO_CASAS_BOMBA!$O$11,MAX(0,T158+CADASTRO_CASAS_BOMBA!$I$11*HORAS_CAPTACAO_DIA-S159))</f>
        <v>469821</v>
      </c>
      <c r="U159" s="16" t="n">
        <f aca="false">MAX(0,S159-CADASTRO_CASAS_BOMBA!$I$11*HORAS_CAPTACAO_DIA-T158)</f>
        <v>0</v>
      </c>
      <c r="V159" s="16" t="n">
        <f aca="false">INDEX(AUX_MATRIZES!$C$14:$BP$14,MIN(N_SEMANAS,MAX(1,$C159)))/DIAS_POR_SEMANA</f>
        <v>0</v>
      </c>
      <c r="W159" s="16" t="n">
        <f aca="false">MIN(CADASTRO_CASAS_BOMBA!$O$12,MAX(0,W158+CADASTRO_CASAS_BOMBA!$I$12*HORAS_CAPTACAO_DIA-V159))</f>
        <v>440000</v>
      </c>
      <c r="X159" s="16" t="n">
        <f aca="false">MAX(0,V159-CADASTRO_CASAS_BOMBA!$I$12*HORAS_CAPTACAO_DIA-W158)</f>
        <v>0</v>
      </c>
      <c r="Y159" s="16" t="n">
        <f aca="false">INDEX(AUX_MATRIZES!$C$15:$BP$15,MIN(N_SEMANAS,MAX(1,$C159)))/DIAS_POR_SEMANA</f>
        <v>0</v>
      </c>
      <c r="Z159" s="16" t="n">
        <f aca="false">MIN(CADASTRO_CASAS_BOMBA!$O$13,MAX(0,Z158+CADASTRO_CASAS_BOMBA!$I$13*HORAS_CAPTACAO_DIA-Y159))</f>
        <v>74903</v>
      </c>
      <c r="AA159" s="16" t="n">
        <f aca="false">MAX(0,Y159-CADASTRO_CASAS_BOMBA!$I$13*HORAS_CAPTACAO_DIA-Z158)</f>
        <v>0</v>
      </c>
    </row>
    <row r="160" customFormat="false" ht="15" hidden="false" customHeight="false" outlineLevel="0" collapsed="false">
      <c r="B160" s="17" t="n">
        <f aca="false">DATA_INICIO_SAFRA+153</f>
        <v>46418</v>
      </c>
      <c r="C160" s="16" t="n">
        <f aca="false">MIN(N_SEMANAS,MAX(1,INT(($B160-DATA_INICIO_SAFRA)/DIAS_POR_SEMANA)+1))</f>
        <v>22</v>
      </c>
      <c r="D160" s="16" t="n">
        <f aca="false">INDEX(AUX_MATRIZES!$C$8:$BP$8,MIN(N_SEMANAS,MAX(1,$C160)))/DIAS_POR_SEMANA</f>
        <v>0</v>
      </c>
      <c r="E160" s="16" t="n">
        <f aca="false">MIN(CADASTRO_CASAS_BOMBA!$O$6,MAX(0,E159+CADASTRO_CASAS_BOMBA!$I$6*HORAS_CAPTACAO_DIA-D160))</f>
        <v>2600</v>
      </c>
      <c r="F160" s="16" t="n">
        <f aca="false">MAX(0,D160-CADASTRO_CASAS_BOMBA!$I$6*HORAS_CAPTACAO_DIA-E159)</f>
        <v>0</v>
      </c>
      <c r="G160" s="16" t="n">
        <f aca="false">INDEX(AUX_MATRIZES!$C$9:$BP$9,MIN(N_SEMANAS,MAX(1,$C160)))/DIAS_POR_SEMANA</f>
        <v>0</v>
      </c>
      <c r="H160" s="16" t="n">
        <f aca="false">MIN(CADASTRO_CASAS_BOMBA!$O$7,MAX(0,H159+CADASTRO_CASAS_BOMBA!$I$7*HORAS_CAPTACAO_DIA-G160))</f>
        <v>76648</v>
      </c>
      <c r="I160" s="16" t="n">
        <f aca="false">MAX(0,G160-CADASTRO_CASAS_BOMBA!$I$7*HORAS_CAPTACAO_DIA-H159)</f>
        <v>0</v>
      </c>
      <c r="J160" s="16" t="n">
        <f aca="false">INDEX(AUX_MATRIZES!$C$10:$BP$10,MIN(N_SEMANAS,MAX(1,$C160)))/DIAS_POR_SEMANA</f>
        <v>0</v>
      </c>
      <c r="K160" s="16" t="n">
        <f aca="false">MIN(CADASTRO_CASAS_BOMBA!$O$8,MAX(0,K159+CADASTRO_CASAS_BOMBA!$I$8*HORAS_CAPTACAO_DIA-J160))</f>
        <v>27377</v>
      </c>
      <c r="L160" s="16" t="n">
        <f aca="false">MAX(0,J160-CADASTRO_CASAS_BOMBA!$I$8*HORAS_CAPTACAO_DIA-K159)</f>
        <v>0</v>
      </c>
      <c r="M160" s="16" t="n">
        <f aca="false">INDEX(AUX_MATRIZES!$C$11:$BP$11,MIN(N_SEMANAS,MAX(1,$C160)))/DIAS_POR_SEMANA</f>
        <v>0</v>
      </c>
      <c r="N160" s="16" t="n">
        <f aca="false">MIN(CADASTRO_CASAS_BOMBA!$O$9,MAX(0,N159+CADASTRO_CASAS_BOMBA!$I$9*HORAS_CAPTACAO_DIA-M160))</f>
        <v>129000</v>
      </c>
      <c r="O160" s="16" t="n">
        <f aca="false">MAX(0,M160-CADASTRO_CASAS_BOMBA!$I$9*HORAS_CAPTACAO_DIA-N159)</f>
        <v>0</v>
      </c>
      <c r="P160" s="16" t="n">
        <f aca="false">INDEX(AUX_MATRIZES!$C$12:$BP$12,MIN(N_SEMANAS,MAX(1,$C160)))/DIAS_POR_SEMANA</f>
        <v>0</v>
      </c>
      <c r="Q160" s="16" t="n">
        <f aca="false">MIN(CADASTRO_CASAS_BOMBA!$O$10,MAX(0,Q159+CADASTRO_CASAS_BOMBA!$I$10*HORAS_CAPTACAO_DIA-P160))</f>
        <v>1000000</v>
      </c>
      <c r="R160" s="16" t="n">
        <f aca="false">MAX(0,P160-CADASTRO_CASAS_BOMBA!$I$10*HORAS_CAPTACAO_DIA-Q159)</f>
        <v>0</v>
      </c>
      <c r="S160" s="16" t="n">
        <f aca="false">INDEX(AUX_MATRIZES!$C$13:$BP$13,MIN(N_SEMANAS,MAX(1,$C160)))/DIAS_POR_SEMANA</f>
        <v>0</v>
      </c>
      <c r="T160" s="16" t="n">
        <f aca="false">MIN(CADASTRO_CASAS_BOMBA!$O$11,MAX(0,T159+CADASTRO_CASAS_BOMBA!$I$11*HORAS_CAPTACAO_DIA-S160))</f>
        <v>469821</v>
      </c>
      <c r="U160" s="16" t="n">
        <f aca="false">MAX(0,S160-CADASTRO_CASAS_BOMBA!$I$11*HORAS_CAPTACAO_DIA-T159)</f>
        <v>0</v>
      </c>
      <c r="V160" s="16" t="n">
        <f aca="false">INDEX(AUX_MATRIZES!$C$14:$BP$14,MIN(N_SEMANAS,MAX(1,$C160)))/DIAS_POR_SEMANA</f>
        <v>0</v>
      </c>
      <c r="W160" s="16" t="n">
        <f aca="false">MIN(CADASTRO_CASAS_BOMBA!$O$12,MAX(0,W159+CADASTRO_CASAS_BOMBA!$I$12*HORAS_CAPTACAO_DIA-V160))</f>
        <v>440000</v>
      </c>
      <c r="X160" s="16" t="n">
        <f aca="false">MAX(0,V160-CADASTRO_CASAS_BOMBA!$I$12*HORAS_CAPTACAO_DIA-W159)</f>
        <v>0</v>
      </c>
      <c r="Y160" s="16" t="n">
        <f aca="false">INDEX(AUX_MATRIZES!$C$15:$BP$15,MIN(N_SEMANAS,MAX(1,$C160)))/DIAS_POR_SEMANA</f>
        <v>0</v>
      </c>
      <c r="Z160" s="16" t="n">
        <f aca="false">MIN(CADASTRO_CASAS_BOMBA!$O$13,MAX(0,Z159+CADASTRO_CASAS_BOMBA!$I$13*HORAS_CAPTACAO_DIA-Y160))</f>
        <v>74903</v>
      </c>
      <c r="AA160" s="16" t="n">
        <f aca="false">MAX(0,Y160-CADASTRO_CASAS_BOMBA!$I$13*HORAS_CAPTACAO_DIA-Z159)</f>
        <v>0</v>
      </c>
    </row>
    <row r="161" customFormat="false" ht="15" hidden="false" customHeight="false" outlineLevel="0" collapsed="false">
      <c r="B161" s="17" t="n">
        <f aca="false">DATA_INICIO_SAFRA+154</f>
        <v>46419</v>
      </c>
      <c r="C161" s="16" t="n">
        <f aca="false">MIN(N_SEMANAS,MAX(1,INT(($B161-DATA_INICIO_SAFRA)/DIAS_POR_SEMANA)+1))</f>
        <v>23</v>
      </c>
      <c r="D161" s="16" t="n">
        <f aca="false">INDEX(AUX_MATRIZES!$C$8:$BP$8,MIN(N_SEMANAS,MAX(1,$C161)))/DIAS_POR_SEMANA</f>
        <v>0</v>
      </c>
      <c r="E161" s="16" t="n">
        <f aca="false">MIN(CADASTRO_CASAS_BOMBA!$O$6,MAX(0,E160+CADASTRO_CASAS_BOMBA!$I$6*HORAS_CAPTACAO_DIA-D161))</f>
        <v>2600</v>
      </c>
      <c r="F161" s="16" t="n">
        <f aca="false">MAX(0,D161-CADASTRO_CASAS_BOMBA!$I$6*HORAS_CAPTACAO_DIA-E160)</f>
        <v>0</v>
      </c>
      <c r="G161" s="16" t="n">
        <f aca="false">INDEX(AUX_MATRIZES!$C$9:$BP$9,MIN(N_SEMANAS,MAX(1,$C161)))/DIAS_POR_SEMANA</f>
        <v>0</v>
      </c>
      <c r="H161" s="16" t="n">
        <f aca="false">MIN(CADASTRO_CASAS_BOMBA!$O$7,MAX(0,H160+CADASTRO_CASAS_BOMBA!$I$7*HORAS_CAPTACAO_DIA-G161))</f>
        <v>76648</v>
      </c>
      <c r="I161" s="16" t="n">
        <f aca="false">MAX(0,G161-CADASTRO_CASAS_BOMBA!$I$7*HORAS_CAPTACAO_DIA-H160)</f>
        <v>0</v>
      </c>
      <c r="J161" s="16" t="n">
        <f aca="false">INDEX(AUX_MATRIZES!$C$10:$BP$10,MIN(N_SEMANAS,MAX(1,$C161)))/DIAS_POR_SEMANA</f>
        <v>0</v>
      </c>
      <c r="K161" s="16" t="n">
        <f aca="false">MIN(CADASTRO_CASAS_BOMBA!$O$8,MAX(0,K160+CADASTRO_CASAS_BOMBA!$I$8*HORAS_CAPTACAO_DIA-J161))</f>
        <v>27377</v>
      </c>
      <c r="L161" s="16" t="n">
        <f aca="false">MAX(0,J161-CADASTRO_CASAS_BOMBA!$I$8*HORAS_CAPTACAO_DIA-K160)</f>
        <v>0</v>
      </c>
      <c r="M161" s="16" t="n">
        <f aca="false">INDEX(AUX_MATRIZES!$C$11:$BP$11,MIN(N_SEMANAS,MAX(1,$C161)))/DIAS_POR_SEMANA</f>
        <v>0</v>
      </c>
      <c r="N161" s="16" t="n">
        <f aca="false">MIN(CADASTRO_CASAS_BOMBA!$O$9,MAX(0,N160+CADASTRO_CASAS_BOMBA!$I$9*HORAS_CAPTACAO_DIA-M161))</f>
        <v>129000</v>
      </c>
      <c r="O161" s="16" t="n">
        <f aca="false">MAX(0,M161-CADASTRO_CASAS_BOMBA!$I$9*HORAS_CAPTACAO_DIA-N160)</f>
        <v>0</v>
      </c>
      <c r="P161" s="16" t="n">
        <f aca="false">INDEX(AUX_MATRIZES!$C$12:$BP$12,MIN(N_SEMANAS,MAX(1,$C161)))/DIAS_POR_SEMANA</f>
        <v>0</v>
      </c>
      <c r="Q161" s="16" t="n">
        <f aca="false">MIN(CADASTRO_CASAS_BOMBA!$O$10,MAX(0,Q160+CADASTRO_CASAS_BOMBA!$I$10*HORAS_CAPTACAO_DIA-P161))</f>
        <v>1000000</v>
      </c>
      <c r="R161" s="16" t="n">
        <f aca="false">MAX(0,P161-CADASTRO_CASAS_BOMBA!$I$10*HORAS_CAPTACAO_DIA-Q160)</f>
        <v>0</v>
      </c>
      <c r="S161" s="16" t="n">
        <f aca="false">INDEX(AUX_MATRIZES!$C$13:$BP$13,MIN(N_SEMANAS,MAX(1,$C161)))/DIAS_POR_SEMANA</f>
        <v>991.104470588236</v>
      </c>
      <c r="T161" s="16" t="n">
        <f aca="false">MIN(CADASTRO_CASAS_BOMBA!$O$11,MAX(0,T160+CADASTRO_CASAS_BOMBA!$I$11*HORAS_CAPTACAO_DIA-S161))</f>
        <v>469821</v>
      </c>
      <c r="U161" s="16" t="n">
        <f aca="false">MAX(0,S161-CADASTRO_CASAS_BOMBA!$I$11*HORAS_CAPTACAO_DIA-T160)</f>
        <v>0</v>
      </c>
      <c r="V161" s="16" t="n">
        <f aca="false">INDEX(AUX_MATRIZES!$C$14:$BP$14,MIN(N_SEMANAS,MAX(1,$C161)))/DIAS_POR_SEMANA</f>
        <v>0</v>
      </c>
      <c r="W161" s="16" t="n">
        <f aca="false">MIN(CADASTRO_CASAS_BOMBA!$O$12,MAX(0,W160+CADASTRO_CASAS_BOMBA!$I$12*HORAS_CAPTACAO_DIA-V161))</f>
        <v>440000</v>
      </c>
      <c r="X161" s="16" t="n">
        <f aca="false">MAX(0,V161-CADASTRO_CASAS_BOMBA!$I$12*HORAS_CAPTACAO_DIA-W160)</f>
        <v>0</v>
      </c>
      <c r="Y161" s="16" t="n">
        <f aca="false">INDEX(AUX_MATRIZES!$C$15:$BP$15,MIN(N_SEMANAS,MAX(1,$C161)))/DIAS_POR_SEMANA</f>
        <v>0</v>
      </c>
      <c r="Z161" s="16" t="n">
        <f aca="false">MIN(CADASTRO_CASAS_BOMBA!$O$13,MAX(0,Z160+CADASTRO_CASAS_BOMBA!$I$13*HORAS_CAPTACAO_DIA-Y161))</f>
        <v>74903</v>
      </c>
      <c r="AA161" s="16" t="n">
        <f aca="false">MAX(0,Y161-CADASTRO_CASAS_BOMBA!$I$13*HORAS_CAPTACAO_DIA-Z160)</f>
        <v>0</v>
      </c>
    </row>
    <row r="162" customFormat="false" ht="15" hidden="false" customHeight="false" outlineLevel="0" collapsed="false">
      <c r="B162" s="17" t="n">
        <f aca="false">DATA_INICIO_SAFRA+155</f>
        <v>46420</v>
      </c>
      <c r="C162" s="16" t="n">
        <f aca="false">MIN(N_SEMANAS,MAX(1,INT(($B162-DATA_INICIO_SAFRA)/DIAS_POR_SEMANA)+1))</f>
        <v>23</v>
      </c>
      <c r="D162" s="16" t="n">
        <f aca="false">INDEX(AUX_MATRIZES!$C$8:$BP$8,MIN(N_SEMANAS,MAX(1,$C162)))/DIAS_POR_SEMANA</f>
        <v>0</v>
      </c>
      <c r="E162" s="16" t="n">
        <f aca="false">MIN(CADASTRO_CASAS_BOMBA!$O$6,MAX(0,E161+CADASTRO_CASAS_BOMBA!$I$6*HORAS_CAPTACAO_DIA-D162))</f>
        <v>2600</v>
      </c>
      <c r="F162" s="16" t="n">
        <f aca="false">MAX(0,D162-CADASTRO_CASAS_BOMBA!$I$6*HORAS_CAPTACAO_DIA-E161)</f>
        <v>0</v>
      </c>
      <c r="G162" s="16" t="n">
        <f aca="false">INDEX(AUX_MATRIZES!$C$9:$BP$9,MIN(N_SEMANAS,MAX(1,$C162)))/DIAS_POR_SEMANA</f>
        <v>0</v>
      </c>
      <c r="H162" s="16" t="n">
        <f aca="false">MIN(CADASTRO_CASAS_BOMBA!$O$7,MAX(0,H161+CADASTRO_CASAS_BOMBA!$I$7*HORAS_CAPTACAO_DIA-G162))</f>
        <v>76648</v>
      </c>
      <c r="I162" s="16" t="n">
        <f aca="false">MAX(0,G162-CADASTRO_CASAS_BOMBA!$I$7*HORAS_CAPTACAO_DIA-H161)</f>
        <v>0</v>
      </c>
      <c r="J162" s="16" t="n">
        <f aca="false">INDEX(AUX_MATRIZES!$C$10:$BP$10,MIN(N_SEMANAS,MAX(1,$C162)))/DIAS_POR_SEMANA</f>
        <v>0</v>
      </c>
      <c r="K162" s="16" t="n">
        <f aca="false">MIN(CADASTRO_CASAS_BOMBA!$O$8,MAX(0,K161+CADASTRO_CASAS_BOMBA!$I$8*HORAS_CAPTACAO_DIA-J162))</f>
        <v>27377</v>
      </c>
      <c r="L162" s="16" t="n">
        <f aca="false">MAX(0,J162-CADASTRO_CASAS_BOMBA!$I$8*HORAS_CAPTACAO_DIA-K161)</f>
        <v>0</v>
      </c>
      <c r="M162" s="16" t="n">
        <f aca="false">INDEX(AUX_MATRIZES!$C$11:$BP$11,MIN(N_SEMANAS,MAX(1,$C162)))/DIAS_POR_SEMANA</f>
        <v>0</v>
      </c>
      <c r="N162" s="16" t="n">
        <f aca="false">MIN(CADASTRO_CASAS_BOMBA!$O$9,MAX(0,N161+CADASTRO_CASAS_BOMBA!$I$9*HORAS_CAPTACAO_DIA-M162))</f>
        <v>129000</v>
      </c>
      <c r="O162" s="16" t="n">
        <f aca="false">MAX(0,M162-CADASTRO_CASAS_BOMBA!$I$9*HORAS_CAPTACAO_DIA-N161)</f>
        <v>0</v>
      </c>
      <c r="P162" s="16" t="n">
        <f aca="false">INDEX(AUX_MATRIZES!$C$12:$BP$12,MIN(N_SEMANAS,MAX(1,$C162)))/DIAS_POR_SEMANA</f>
        <v>0</v>
      </c>
      <c r="Q162" s="16" t="n">
        <f aca="false">MIN(CADASTRO_CASAS_BOMBA!$O$10,MAX(0,Q161+CADASTRO_CASAS_BOMBA!$I$10*HORAS_CAPTACAO_DIA-P162))</f>
        <v>1000000</v>
      </c>
      <c r="R162" s="16" t="n">
        <f aca="false">MAX(0,P162-CADASTRO_CASAS_BOMBA!$I$10*HORAS_CAPTACAO_DIA-Q161)</f>
        <v>0</v>
      </c>
      <c r="S162" s="16" t="n">
        <f aca="false">INDEX(AUX_MATRIZES!$C$13:$BP$13,MIN(N_SEMANAS,MAX(1,$C162)))/DIAS_POR_SEMANA</f>
        <v>991.104470588236</v>
      </c>
      <c r="T162" s="16" t="n">
        <f aca="false">MIN(CADASTRO_CASAS_BOMBA!$O$11,MAX(0,T161+CADASTRO_CASAS_BOMBA!$I$11*HORAS_CAPTACAO_DIA-S162))</f>
        <v>469821</v>
      </c>
      <c r="U162" s="16" t="n">
        <f aca="false">MAX(0,S162-CADASTRO_CASAS_BOMBA!$I$11*HORAS_CAPTACAO_DIA-T161)</f>
        <v>0</v>
      </c>
      <c r="V162" s="16" t="n">
        <f aca="false">INDEX(AUX_MATRIZES!$C$14:$BP$14,MIN(N_SEMANAS,MAX(1,$C162)))/DIAS_POR_SEMANA</f>
        <v>0</v>
      </c>
      <c r="W162" s="16" t="n">
        <f aca="false">MIN(CADASTRO_CASAS_BOMBA!$O$12,MAX(0,W161+CADASTRO_CASAS_BOMBA!$I$12*HORAS_CAPTACAO_DIA-V162))</f>
        <v>440000</v>
      </c>
      <c r="X162" s="16" t="n">
        <f aca="false">MAX(0,V162-CADASTRO_CASAS_BOMBA!$I$12*HORAS_CAPTACAO_DIA-W161)</f>
        <v>0</v>
      </c>
      <c r="Y162" s="16" t="n">
        <f aca="false">INDEX(AUX_MATRIZES!$C$15:$BP$15,MIN(N_SEMANAS,MAX(1,$C162)))/DIAS_POR_SEMANA</f>
        <v>0</v>
      </c>
      <c r="Z162" s="16" t="n">
        <f aca="false">MIN(CADASTRO_CASAS_BOMBA!$O$13,MAX(0,Z161+CADASTRO_CASAS_BOMBA!$I$13*HORAS_CAPTACAO_DIA-Y162))</f>
        <v>74903</v>
      </c>
      <c r="AA162" s="16" t="n">
        <f aca="false">MAX(0,Y162-CADASTRO_CASAS_BOMBA!$I$13*HORAS_CAPTACAO_DIA-Z161)</f>
        <v>0</v>
      </c>
    </row>
    <row r="163" customFormat="false" ht="15" hidden="false" customHeight="false" outlineLevel="0" collapsed="false">
      <c r="B163" s="17" t="n">
        <f aca="false">DATA_INICIO_SAFRA+156</f>
        <v>46421</v>
      </c>
      <c r="C163" s="16" t="n">
        <f aca="false">MIN(N_SEMANAS,MAX(1,INT(($B163-DATA_INICIO_SAFRA)/DIAS_POR_SEMANA)+1))</f>
        <v>23</v>
      </c>
      <c r="D163" s="16" t="n">
        <f aca="false">INDEX(AUX_MATRIZES!$C$8:$BP$8,MIN(N_SEMANAS,MAX(1,$C163)))/DIAS_POR_SEMANA</f>
        <v>0</v>
      </c>
      <c r="E163" s="16" t="n">
        <f aca="false">MIN(CADASTRO_CASAS_BOMBA!$O$6,MAX(0,E162+CADASTRO_CASAS_BOMBA!$I$6*HORAS_CAPTACAO_DIA-D163))</f>
        <v>2600</v>
      </c>
      <c r="F163" s="16" t="n">
        <f aca="false">MAX(0,D163-CADASTRO_CASAS_BOMBA!$I$6*HORAS_CAPTACAO_DIA-E162)</f>
        <v>0</v>
      </c>
      <c r="G163" s="16" t="n">
        <f aca="false">INDEX(AUX_MATRIZES!$C$9:$BP$9,MIN(N_SEMANAS,MAX(1,$C163)))/DIAS_POR_SEMANA</f>
        <v>0</v>
      </c>
      <c r="H163" s="16" t="n">
        <f aca="false">MIN(CADASTRO_CASAS_BOMBA!$O$7,MAX(0,H162+CADASTRO_CASAS_BOMBA!$I$7*HORAS_CAPTACAO_DIA-G163))</f>
        <v>76648</v>
      </c>
      <c r="I163" s="16" t="n">
        <f aca="false">MAX(0,G163-CADASTRO_CASAS_BOMBA!$I$7*HORAS_CAPTACAO_DIA-H162)</f>
        <v>0</v>
      </c>
      <c r="J163" s="16" t="n">
        <f aca="false">INDEX(AUX_MATRIZES!$C$10:$BP$10,MIN(N_SEMANAS,MAX(1,$C163)))/DIAS_POR_SEMANA</f>
        <v>0</v>
      </c>
      <c r="K163" s="16" t="n">
        <f aca="false">MIN(CADASTRO_CASAS_BOMBA!$O$8,MAX(0,K162+CADASTRO_CASAS_BOMBA!$I$8*HORAS_CAPTACAO_DIA-J163))</f>
        <v>27377</v>
      </c>
      <c r="L163" s="16" t="n">
        <f aca="false">MAX(0,J163-CADASTRO_CASAS_BOMBA!$I$8*HORAS_CAPTACAO_DIA-K162)</f>
        <v>0</v>
      </c>
      <c r="M163" s="16" t="n">
        <f aca="false">INDEX(AUX_MATRIZES!$C$11:$BP$11,MIN(N_SEMANAS,MAX(1,$C163)))/DIAS_POR_SEMANA</f>
        <v>0</v>
      </c>
      <c r="N163" s="16" t="n">
        <f aca="false">MIN(CADASTRO_CASAS_BOMBA!$O$9,MAX(0,N162+CADASTRO_CASAS_BOMBA!$I$9*HORAS_CAPTACAO_DIA-M163))</f>
        <v>129000</v>
      </c>
      <c r="O163" s="16" t="n">
        <f aca="false">MAX(0,M163-CADASTRO_CASAS_BOMBA!$I$9*HORAS_CAPTACAO_DIA-N162)</f>
        <v>0</v>
      </c>
      <c r="P163" s="16" t="n">
        <f aca="false">INDEX(AUX_MATRIZES!$C$12:$BP$12,MIN(N_SEMANAS,MAX(1,$C163)))/DIAS_POR_SEMANA</f>
        <v>0</v>
      </c>
      <c r="Q163" s="16" t="n">
        <f aca="false">MIN(CADASTRO_CASAS_BOMBA!$O$10,MAX(0,Q162+CADASTRO_CASAS_BOMBA!$I$10*HORAS_CAPTACAO_DIA-P163))</f>
        <v>1000000</v>
      </c>
      <c r="R163" s="16" t="n">
        <f aca="false">MAX(0,P163-CADASTRO_CASAS_BOMBA!$I$10*HORAS_CAPTACAO_DIA-Q162)</f>
        <v>0</v>
      </c>
      <c r="S163" s="16" t="n">
        <f aca="false">INDEX(AUX_MATRIZES!$C$13:$BP$13,MIN(N_SEMANAS,MAX(1,$C163)))/DIAS_POR_SEMANA</f>
        <v>991.104470588236</v>
      </c>
      <c r="T163" s="16" t="n">
        <f aca="false">MIN(CADASTRO_CASAS_BOMBA!$O$11,MAX(0,T162+CADASTRO_CASAS_BOMBA!$I$11*HORAS_CAPTACAO_DIA-S163))</f>
        <v>469821</v>
      </c>
      <c r="U163" s="16" t="n">
        <f aca="false">MAX(0,S163-CADASTRO_CASAS_BOMBA!$I$11*HORAS_CAPTACAO_DIA-T162)</f>
        <v>0</v>
      </c>
      <c r="V163" s="16" t="n">
        <f aca="false">INDEX(AUX_MATRIZES!$C$14:$BP$14,MIN(N_SEMANAS,MAX(1,$C163)))/DIAS_POR_SEMANA</f>
        <v>0</v>
      </c>
      <c r="W163" s="16" t="n">
        <f aca="false">MIN(CADASTRO_CASAS_BOMBA!$O$12,MAX(0,W162+CADASTRO_CASAS_BOMBA!$I$12*HORAS_CAPTACAO_DIA-V163))</f>
        <v>440000</v>
      </c>
      <c r="X163" s="16" t="n">
        <f aca="false">MAX(0,V163-CADASTRO_CASAS_BOMBA!$I$12*HORAS_CAPTACAO_DIA-W162)</f>
        <v>0</v>
      </c>
      <c r="Y163" s="16" t="n">
        <f aca="false">INDEX(AUX_MATRIZES!$C$15:$BP$15,MIN(N_SEMANAS,MAX(1,$C163)))/DIAS_POR_SEMANA</f>
        <v>0</v>
      </c>
      <c r="Z163" s="16" t="n">
        <f aca="false">MIN(CADASTRO_CASAS_BOMBA!$O$13,MAX(0,Z162+CADASTRO_CASAS_BOMBA!$I$13*HORAS_CAPTACAO_DIA-Y163))</f>
        <v>74903</v>
      </c>
      <c r="AA163" s="16" t="n">
        <f aca="false">MAX(0,Y163-CADASTRO_CASAS_BOMBA!$I$13*HORAS_CAPTACAO_DIA-Z162)</f>
        <v>0</v>
      </c>
    </row>
    <row r="164" customFormat="false" ht="15" hidden="false" customHeight="false" outlineLevel="0" collapsed="false">
      <c r="B164" s="17" t="n">
        <f aca="false">DATA_INICIO_SAFRA+157</f>
        <v>46422</v>
      </c>
      <c r="C164" s="16" t="n">
        <f aca="false">MIN(N_SEMANAS,MAX(1,INT(($B164-DATA_INICIO_SAFRA)/DIAS_POR_SEMANA)+1))</f>
        <v>23</v>
      </c>
      <c r="D164" s="16" t="n">
        <f aca="false">INDEX(AUX_MATRIZES!$C$8:$BP$8,MIN(N_SEMANAS,MAX(1,$C164)))/DIAS_POR_SEMANA</f>
        <v>0</v>
      </c>
      <c r="E164" s="16" t="n">
        <f aca="false">MIN(CADASTRO_CASAS_BOMBA!$O$6,MAX(0,E163+CADASTRO_CASAS_BOMBA!$I$6*HORAS_CAPTACAO_DIA-D164))</f>
        <v>2600</v>
      </c>
      <c r="F164" s="16" t="n">
        <f aca="false">MAX(0,D164-CADASTRO_CASAS_BOMBA!$I$6*HORAS_CAPTACAO_DIA-E163)</f>
        <v>0</v>
      </c>
      <c r="G164" s="16" t="n">
        <f aca="false">INDEX(AUX_MATRIZES!$C$9:$BP$9,MIN(N_SEMANAS,MAX(1,$C164)))/DIAS_POR_SEMANA</f>
        <v>0</v>
      </c>
      <c r="H164" s="16" t="n">
        <f aca="false">MIN(CADASTRO_CASAS_BOMBA!$O$7,MAX(0,H163+CADASTRO_CASAS_BOMBA!$I$7*HORAS_CAPTACAO_DIA-G164))</f>
        <v>76648</v>
      </c>
      <c r="I164" s="16" t="n">
        <f aca="false">MAX(0,G164-CADASTRO_CASAS_BOMBA!$I$7*HORAS_CAPTACAO_DIA-H163)</f>
        <v>0</v>
      </c>
      <c r="J164" s="16" t="n">
        <f aca="false">INDEX(AUX_MATRIZES!$C$10:$BP$10,MIN(N_SEMANAS,MAX(1,$C164)))/DIAS_POR_SEMANA</f>
        <v>0</v>
      </c>
      <c r="K164" s="16" t="n">
        <f aca="false">MIN(CADASTRO_CASAS_BOMBA!$O$8,MAX(0,K163+CADASTRO_CASAS_BOMBA!$I$8*HORAS_CAPTACAO_DIA-J164))</f>
        <v>27377</v>
      </c>
      <c r="L164" s="16" t="n">
        <f aca="false">MAX(0,J164-CADASTRO_CASAS_BOMBA!$I$8*HORAS_CAPTACAO_DIA-K163)</f>
        <v>0</v>
      </c>
      <c r="M164" s="16" t="n">
        <f aca="false">INDEX(AUX_MATRIZES!$C$11:$BP$11,MIN(N_SEMANAS,MAX(1,$C164)))/DIAS_POR_SEMANA</f>
        <v>0</v>
      </c>
      <c r="N164" s="16" t="n">
        <f aca="false">MIN(CADASTRO_CASAS_BOMBA!$O$9,MAX(0,N163+CADASTRO_CASAS_BOMBA!$I$9*HORAS_CAPTACAO_DIA-M164))</f>
        <v>129000</v>
      </c>
      <c r="O164" s="16" t="n">
        <f aca="false">MAX(0,M164-CADASTRO_CASAS_BOMBA!$I$9*HORAS_CAPTACAO_DIA-N163)</f>
        <v>0</v>
      </c>
      <c r="P164" s="16" t="n">
        <f aca="false">INDEX(AUX_MATRIZES!$C$12:$BP$12,MIN(N_SEMANAS,MAX(1,$C164)))/DIAS_POR_SEMANA</f>
        <v>0</v>
      </c>
      <c r="Q164" s="16" t="n">
        <f aca="false">MIN(CADASTRO_CASAS_BOMBA!$O$10,MAX(0,Q163+CADASTRO_CASAS_BOMBA!$I$10*HORAS_CAPTACAO_DIA-P164))</f>
        <v>1000000</v>
      </c>
      <c r="R164" s="16" t="n">
        <f aca="false">MAX(0,P164-CADASTRO_CASAS_BOMBA!$I$10*HORAS_CAPTACAO_DIA-Q163)</f>
        <v>0</v>
      </c>
      <c r="S164" s="16" t="n">
        <f aca="false">INDEX(AUX_MATRIZES!$C$13:$BP$13,MIN(N_SEMANAS,MAX(1,$C164)))/DIAS_POR_SEMANA</f>
        <v>991.104470588236</v>
      </c>
      <c r="T164" s="16" t="n">
        <f aca="false">MIN(CADASTRO_CASAS_BOMBA!$O$11,MAX(0,T163+CADASTRO_CASAS_BOMBA!$I$11*HORAS_CAPTACAO_DIA-S164))</f>
        <v>469821</v>
      </c>
      <c r="U164" s="16" t="n">
        <f aca="false">MAX(0,S164-CADASTRO_CASAS_BOMBA!$I$11*HORAS_CAPTACAO_DIA-T163)</f>
        <v>0</v>
      </c>
      <c r="V164" s="16" t="n">
        <f aca="false">INDEX(AUX_MATRIZES!$C$14:$BP$14,MIN(N_SEMANAS,MAX(1,$C164)))/DIAS_POR_SEMANA</f>
        <v>0</v>
      </c>
      <c r="W164" s="16" t="n">
        <f aca="false">MIN(CADASTRO_CASAS_BOMBA!$O$12,MAX(0,W163+CADASTRO_CASAS_BOMBA!$I$12*HORAS_CAPTACAO_DIA-V164))</f>
        <v>440000</v>
      </c>
      <c r="X164" s="16" t="n">
        <f aca="false">MAX(0,V164-CADASTRO_CASAS_BOMBA!$I$12*HORAS_CAPTACAO_DIA-W163)</f>
        <v>0</v>
      </c>
      <c r="Y164" s="16" t="n">
        <f aca="false">INDEX(AUX_MATRIZES!$C$15:$BP$15,MIN(N_SEMANAS,MAX(1,$C164)))/DIAS_POR_SEMANA</f>
        <v>0</v>
      </c>
      <c r="Z164" s="16" t="n">
        <f aca="false">MIN(CADASTRO_CASAS_BOMBA!$O$13,MAX(0,Z163+CADASTRO_CASAS_BOMBA!$I$13*HORAS_CAPTACAO_DIA-Y164))</f>
        <v>74903</v>
      </c>
      <c r="AA164" s="16" t="n">
        <f aca="false">MAX(0,Y164-CADASTRO_CASAS_BOMBA!$I$13*HORAS_CAPTACAO_DIA-Z163)</f>
        <v>0</v>
      </c>
    </row>
    <row r="165" customFormat="false" ht="15" hidden="false" customHeight="false" outlineLevel="0" collapsed="false">
      <c r="B165" s="17" t="n">
        <f aca="false">DATA_INICIO_SAFRA+158</f>
        <v>46423</v>
      </c>
      <c r="C165" s="16" t="n">
        <f aca="false">MIN(N_SEMANAS,MAX(1,INT(($B165-DATA_INICIO_SAFRA)/DIAS_POR_SEMANA)+1))</f>
        <v>23</v>
      </c>
      <c r="D165" s="16" t="n">
        <f aca="false">INDEX(AUX_MATRIZES!$C$8:$BP$8,MIN(N_SEMANAS,MAX(1,$C165)))/DIAS_POR_SEMANA</f>
        <v>0</v>
      </c>
      <c r="E165" s="16" t="n">
        <f aca="false">MIN(CADASTRO_CASAS_BOMBA!$O$6,MAX(0,E164+CADASTRO_CASAS_BOMBA!$I$6*HORAS_CAPTACAO_DIA-D165))</f>
        <v>2600</v>
      </c>
      <c r="F165" s="16" t="n">
        <f aca="false">MAX(0,D165-CADASTRO_CASAS_BOMBA!$I$6*HORAS_CAPTACAO_DIA-E164)</f>
        <v>0</v>
      </c>
      <c r="G165" s="16" t="n">
        <f aca="false">INDEX(AUX_MATRIZES!$C$9:$BP$9,MIN(N_SEMANAS,MAX(1,$C165)))/DIAS_POR_SEMANA</f>
        <v>0</v>
      </c>
      <c r="H165" s="16" t="n">
        <f aca="false">MIN(CADASTRO_CASAS_BOMBA!$O$7,MAX(0,H164+CADASTRO_CASAS_BOMBA!$I$7*HORAS_CAPTACAO_DIA-G165))</f>
        <v>76648</v>
      </c>
      <c r="I165" s="16" t="n">
        <f aca="false">MAX(0,G165-CADASTRO_CASAS_BOMBA!$I$7*HORAS_CAPTACAO_DIA-H164)</f>
        <v>0</v>
      </c>
      <c r="J165" s="16" t="n">
        <f aca="false">INDEX(AUX_MATRIZES!$C$10:$BP$10,MIN(N_SEMANAS,MAX(1,$C165)))/DIAS_POR_SEMANA</f>
        <v>0</v>
      </c>
      <c r="K165" s="16" t="n">
        <f aca="false">MIN(CADASTRO_CASAS_BOMBA!$O$8,MAX(0,K164+CADASTRO_CASAS_BOMBA!$I$8*HORAS_CAPTACAO_DIA-J165))</f>
        <v>27377</v>
      </c>
      <c r="L165" s="16" t="n">
        <f aca="false">MAX(0,J165-CADASTRO_CASAS_BOMBA!$I$8*HORAS_CAPTACAO_DIA-K164)</f>
        <v>0</v>
      </c>
      <c r="M165" s="16" t="n">
        <f aca="false">INDEX(AUX_MATRIZES!$C$11:$BP$11,MIN(N_SEMANAS,MAX(1,$C165)))/DIAS_POR_SEMANA</f>
        <v>0</v>
      </c>
      <c r="N165" s="16" t="n">
        <f aca="false">MIN(CADASTRO_CASAS_BOMBA!$O$9,MAX(0,N164+CADASTRO_CASAS_BOMBA!$I$9*HORAS_CAPTACAO_DIA-M165))</f>
        <v>129000</v>
      </c>
      <c r="O165" s="16" t="n">
        <f aca="false">MAX(0,M165-CADASTRO_CASAS_BOMBA!$I$9*HORAS_CAPTACAO_DIA-N164)</f>
        <v>0</v>
      </c>
      <c r="P165" s="16" t="n">
        <f aca="false">INDEX(AUX_MATRIZES!$C$12:$BP$12,MIN(N_SEMANAS,MAX(1,$C165)))/DIAS_POR_SEMANA</f>
        <v>0</v>
      </c>
      <c r="Q165" s="16" t="n">
        <f aca="false">MIN(CADASTRO_CASAS_BOMBA!$O$10,MAX(0,Q164+CADASTRO_CASAS_BOMBA!$I$10*HORAS_CAPTACAO_DIA-P165))</f>
        <v>1000000</v>
      </c>
      <c r="R165" s="16" t="n">
        <f aca="false">MAX(0,P165-CADASTRO_CASAS_BOMBA!$I$10*HORAS_CAPTACAO_DIA-Q164)</f>
        <v>0</v>
      </c>
      <c r="S165" s="16" t="n">
        <f aca="false">INDEX(AUX_MATRIZES!$C$13:$BP$13,MIN(N_SEMANAS,MAX(1,$C165)))/DIAS_POR_SEMANA</f>
        <v>991.104470588236</v>
      </c>
      <c r="T165" s="16" t="n">
        <f aca="false">MIN(CADASTRO_CASAS_BOMBA!$O$11,MAX(0,T164+CADASTRO_CASAS_BOMBA!$I$11*HORAS_CAPTACAO_DIA-S165))</f>
        <v>469821</v>
      </c>
      <c r="U165" s="16" t="n">
        <f aca="false">MAX(0,S165-CADASTRO_CASAS_BOMBA!$I$11*HORAS_CAPTACAO_DIA-T164)</f>
        <v>0</v>
      </c>
      <c r="V165" s="16" t="n">
        <f aca="false">INDEX(AUX_MATRIZES!$C$14:$BP$14,MIN(N_SEMANAS,MAX(1,$C165)))/DIAS_POR_SEMANA</f>
        <v>0</v>
      </c>
      <c r="W165" s="16" t="n">
        <f aca="false">MIN(CADASTRO_CASAS_BOMBA!$O$12,MAX(0,W164+CADASTRO_CASAS_BOMBA!$I$12*HORAS_CAPTACAO_DIA-V165))</f>
        <v>440000</v>
      </c>
      <c r="X165" s="16" t="n">
        <f aca="false">MAX(0,V165-CADASTRO_CASAS_BOMBA!$I$12*HORAS_CAPTACAO_DIA-W164)</f>
        <v>0</v>
      </c>
      <c r="Y165" s="16" t="n">
        <f aca="false">INDEX(AUX_MATRIZES!$C$15:$BP$15,MIN(N_SEMANAS,MAX(1,$C165)))/DIAS_POR_SEMANA</f>
        <v>0</v>
      </c>
      <c r="Z165" s="16" t="n">
        <f aca="false">MIN(CADASTRO_CASAS_BOMBA!$O$13,MAX(0,Z164+CADASTRO_CASAS_BOMBA!$I$13*HORAS_CAPTACAO_DIA-Y165))</f>
        <v>74903</v>
      </c>
      <c r="AA165" s="16" t="n">
        <f aca="false">MAX(0,Y165-CADASTRO_CASAS_BOMBA!$I$13*HORAS_CAPTACAO_DIA-Z164)</f>
        <v>0</v>
      </c>
    </row>
    <row r="166" customFormat="false" ht="15" hidden="false" customHeight="false" outlineLevel="0" collapsed="false">
      <c r="B166" s="17" t="n">
        <f aca="false">DATA_INICIO_SAFRA+159</f>
        <v>46424</v>
      </c>
      <c r="C166" s="16" t="n">
        <f aca="false">MIN(N_SEMANAS,MAX(1,INT(($B166-DATA_INICIO_SAFRA)/DIAS_POR_SEMANA)+1))</f>
        <v>23</v>
      </c>
      <c r="D166" s="16" t="n">
        <f aca="false">INDEX(AUX_MATRIZES!$C$8:$BP$8,MIN(N_SEMANAS,MAX(1,$C166)))/DIAS_POR_SEMANA</f>
        <v>0</v>
      </c>
      <c r="E166" s="16" t="n">
        <f aca="false">MIN(CADASTRO_CASAS_BOMBA!$O$6,MAX(0,E165+CADASTRO_CASAS_BOMBA!$I$6*HORAS_CAPTACAO_DIA-D166))</f>
        <v>2600</v>
      </c>
      <c r="F166" s="16" t="n">
        <f aca="false">MAX(0,D166-CADASTRO_CASAS_BOMBA!$I$6*HORAS_CAPTACAO_DIA-E165)</f>
        <v>0</v>
      </c>
      <c r="G166" s="16" t="n">
        <f aca="false">INDEX(AUX_MATRIZES!$C$9:$BP$9,MIN(N_SEMANAS,MAX(1,$C166)))/DIAS_POR_SEMANA</f>
        <v>0</v>
      </c>
      <c r="H166" s="16" t="n">
        <f aca="false">MIN(CADASTRO_CASAS_BOMBA!$O$7,MAX(0,H165+CADASTRO_CASAS_BOMBA!$I$7*HORAS_CAPTACAO_DIA-G166))</f>
        <v>76648</v>
      </c>
      <c r="I166" s="16" t="n">
        <f aca="false">MAX(0,G166-CADASTRO_CASAS_BOMBA!$I$7*HORAS_CAPTACAO_DIA-H165)</f>
        <v>0</v>
      </c>
      <c r="J166" s="16" t="n">
        <f aca="false">INDEX(AUX_MATRIZES!$C$10:$BP$10,MIN(N_SEMANAS,MAX(1,$C166)))/DIAS_POR_SEMANA</f>
        <v>0</v>
      </c>
      <c r="K166" s="16" t="n">
        <f aca="false">MIN(CADASTRO_CASAS_BOMBA!$O$8,MAX(0,K165+CADASTRO_CASAS_BOMBA!$I$8*HORAS_CAPTACAO_DIA-J166))</f>
        <v>27377</v>
      </c>
      <c r="L166" s="16" t="n">
        <f aca="false">MAX(0,J166-CADASTRO_CASAS_BOMBA!$I$8*HORAS_CAPTACAO_DIA-K165)</f>
        <v>0</v>
      </c>
      <c r="M166" s="16" t="n">
        <f aca="false">INDEX(AUX_MATRIZES!$C$11:$BP$11,MIN(N_SEMANAS,MAX(1,$C166)))/DIAS_POR_SEMANA</f>
        <v>0</v>
      </c>
      <c r="N166" s="16" t="n">
        <f aca="false">MIN(CADASTRO_CASAS_BOMBA!$O$9,MAX(0,N165+CADASTRO_CASAS_BOMBA!$I$9*HORAS_CAPTACAO_DIA-M166))</f>
        <v>129000</v>
      </c>
      <c r="O166" s="16" t="n">
        <f aca="false">MAX(0,M166-CADASTRO_CASAS_BOMBA!$I$9*HORAS_CAPTACAO_DIA-N165)</f>
        <v>0</v>
      </c>
      <c r="P166" s="16" t="n">
        <f aca="false">INDEX(AUX_MATRIZES!$C$12:$BP$12,MIN(N_SEMANAS,MAX(1,$C166)))/DIAS_POR_SEMANA</f>
        <v>0</v>
      </c>
      <c r="Q166" s="16" t="n">
        <f aca="false">MIN(CADASTRO_CASAS_BOMBA!$O$10,MAX(0,Q165+CADASTRO_CASAS_BOMBA!$I$10*HORAS_CAPTACAO_DIA-P166))</f>
        <v>1000000</v>
      </c>
      <c r="R166" s="16" t="n">
        <f aca="false">MAX(0,P166-CADASTRO_CASAS_BOMBA!$I$10*HORAS_CAPTACAO_DIA-Q165)</f>
        <v>0</v>
      </c>
      <c r="S166" s="16" t="n">
        <f aca="false">INDEX(AUX_MATRIZES!$C$13:$BP$13,MIN(N_SEMANAS,MAX(1,$C166)))/DIAS_POR_SEMANA</f>
        <v>991.104470588236</v>
      </c>
      <c r="T166" s="16" t="n">
        <f aca="false">MIN(CADASTRO_CASAS_BOMBA!$O$11,MAX(0,T165+CADASTRO_CASAS_BOMBA!$I$11*HORAS_CAPTACAO_DIA-S166))</f>
        <v>469821</v>
      </c>
      <c r="U166" s="16" t="n">
        <f aca="false">MAX(0,S166-CADASTRO_CASAS_BOMBA!$I$11*HORAS_CAPTACAO_DIA-T165)</f>
        <v>0</v>
      </c>
      <c r="V166" s="16" t="n">
        <f aca="false">INDEX(AUX_MATRIZES!$C$14:$BP$14,MIN(N_SEMANAS,MAX(1,$C166)))/DIAS_POR_SEMANA</f>
        <v>0</v>
      </c>
      <c r="W166" s="16" t="n">
        <f aca="false">MIN(CADASTRO_CASAS_BOMBA!$O$12,MAX(0,W165+CADASTRO_CASAS_BOMBA!$I$12*HORAS_CAPTACAO_DIA-V166))</f>
        <v>440000</v>
      </c>
      <c r="X166" s="16" t="n">
        <f aca="false">MAX(0,V166-CADASTRO_CASAS_BOMBA!$I$12*HORAS_CAPTACAO_DIA-W165)</f>
        <v>0</v>
      </c>
      <c r="Y166" s="16" t="n">
        <f aca="false">INDEX(AUX_MATRIZES!$C$15:$BP$15,MIN(N_SEMANAS,MAX(1,$C166)))/DIAS_POR_SEMANA</f>
        <v>0</v>
      </c>
      <c r="Z166" s="16" t="n">
        <f aca="false">MIN(CADASTRO_CASAS_BOMBA!$O$13,MAX(0,Z165+CADASTRO_CASAS_BOMBA!$I$13*HORAS_CAPTACAO_DIA-Y166))</f>
        <v>74903</v>
      </c>
      <c r="AA166" s="16" t="n">
        <f aca="false">MAX(0,Y166-CADASTRO_CASAS_BOMBA!$I$13*HORAS_CAPTACAO_DIA-Z165)</f>
        <v>0</v>
      </c>
    </row>
    <row r="167" customFormat="false" ht="15" hidden="false" customHeight="false" outlineLevel="0" collapsed="false">
      <c r="B167" s="17" t="n">
        <f aca="false">DATA_INICIO_SAFRA+160</f>
        <v>46425</v>
      </c>
      <c r="C167" s="16" t="n">
        <f aca="false">MIN(N_SEMANAS,MAX(1,INT(($B167-DATA_INICIO_SAFRA)/DIAS_POR_SEMANA)+1))</f>
        <v>23</v>
      </c>
      <c r="D167" s="16" t="n">
        <f aca="false">INDEX(AUX_MATRIZES!$C$8:$BP$8,MIN(N_SEMANAS,MAX(1,$C167)))/DIAS_POR_SEMANA</f>
        <v>0</v>
      </c>
      <c r="E167" s="16" t="n">
        <f aca="false">MIN(CADASTRO_CASAS_BOMBA!$O$6,MAX(0,E166+CADASTRO_CASAS_BOMBA!$I$6*HORAS_CAPTACAO_DIA-D167))</f>
        <v>2600</v>
      </c>
      <c r="F167" s="16" t="n">
        <f aca="false">MAX(0,D167-CADASTRO_CASAS_BOMBA!$I$6*HORAS_CAPTACAO_DIA-E166)</f>
        <v>0</v>
      </c>
      <c r="G167" s="16" t="n">
        <f aca="false">INDEX(AUX_MATRIZES!$C$9:$BP$9,MIN(N_SEMANAS,MAX(1,$C167)))/DIAS_POR_SEMANA</f>
        <v>0</v>
      </c>
      <c r="H167" s="16" t="n">
        <f aca="false">MIN(CADASTRO_CASAS_BOMBA!$O$7,MAX(0,H166+CADASTRO_CASAS_BOMBA!$I$7*HORAS_CAPTACAO_DIA-G167))</f>
        <v>76648</v>
      </c>
      <c r="I167" s="16" t="n">
        <f aca="false">MAX(0,G167-CADASTRO_CASAS_BOMBA!$I$7*HORAS_CAPTACAO_DIA-H166)</f>
        <v>0</v>
      </c>
      <c r="J167" s="16" t="n">
        <f aca="false">INDEX(AUX_MATRIZES!$C$10:$BP$10,MIN(N_SEMANAS,MAX(1,$C167)))/DIAS_POR_SEMANA</f>
        <v>0</v>
      </c>
      <c r="K167" s="16" t="n">
        <f aca="false">MIN(CADASTRO_CASAS_BOMBA!$O$8,MAX(0,K166+CADASTRO_CASAS_BOMBA!$I$8*HORAS_CAPTACAO_DIA-J167))</f>
        <v>27377</v>
      </c>
      <c r="L167" s="16" t="n">
        <f aca="false">MAX(0,J167-CADASTRO_CASAS_BOMBA!$I$8*HORAS_CAPTACAO_DIA-K166)</f>
        <v>0</v>
      </c>
      <c r="M167" s="16" t="n">
        <f aca="false">INDEX(AUX_MATRIZES!$C$11:$BP$11,MIN(N_SEMANAS,MAX(1,$C167)))/DIAS_POR_SEMANA</f>
        <v>0</v>
      </c>
      <c r="N167" s="16" t="n">
        <f aca="false">MIN(CADASTRO_CASAS_BOMBA!$O$9,MAX(0,N166+CADASTRO_CASAS_BOMBA!$I$9*HORAS_CAPTACAO_DIA-M167))</f>
        <v>129000</v>
      </c>
      <c r="O167" s="16" t="n">
        <f aca="false">MAX(0,M167-CADASTRO_CASAS_BOMBA!$I$9*HORAS_CAPTACAO_DIA-N166)</f>
        <v>0</v>
      </c>
      <c r="P167" s="16" t="n">
        <f aca="false">INDEX(AUX_MATRIZES!$C$12:$BP$12,MIN(N_SEMANAS,MAX(1,$C167)))/DIAS_POR_SEMANA</f>
        <v>0</v>
      </c>
      <c r="Q167" s="16" t="n">
        <f aca="false">MIN(CADASTRO_CASAS_BOMBA!$O$10,MAX(0,Q166+CADASTRO_CASAS_BOMBA!$I$10*HORAS_CAPTACAO_DIA-P167))</f>
        <v>1000000</v>
      </c>
      <c r="R167" s="16" t="n">
        <f aca="false">MAX(0,P167-CADASTRO_CASAS_BOMBA!$I$10*HORAS_CAPTACAO_DIA-Q166)</f>
        <v>0</v>
      </c>
      <c r="S167" s="16" t="n">
        <f aca="false">INDEX(AUX_MATRIZES!$C$13:$BP$13,MIN(N_SEMANAS,MAX(1,$C167)))/DIAS_POR_SEMANA</f>
        <v>991.104470588236</v>
      </c>
      <c r="T167" s="16" t="n">
        <f aca="false">MIN(CADASTRO_CASAS_BOMBA!$O$11,MAX(0,T166+CADASTRO_CASAS_BOMBA!$I$11*HORAS_CAPTACAO_DIA-S167))</f>
        <v>469821</v>
      </c>
      <c r="U167" s="16" t="n">
        <f aca="false">MAX(0,S167-CADASTRO_CASAS_BOMBA!$I$11*HORAS_CAPTACAO_DIA-T166)</f>
        <v>0</v>
      </c>
      <c r="V167" s="16" t="n">
        <f aca="false">INDEX(AUX_MATRIZES!$C$14:$BP$14,MIN(N_SEMANAS,MAX(1,$C167)))/DIAS_POR_SEMANA</f>
        <v>0</v>
      </c>
      <c r="W167" s="16" t="n">
        <f aca="false">MIN(CADASTRO_CASAS_BOMBA!$O$12,MAX(0,W166+CADASTRO_CASAS_BOMBA!$I$12*HORAS_CAPTACAO_DIA-V167))</f>
        <v>440000</v>
      </c>
      <c r="X167" s="16" t="n">
        <f aca="false">MAX(0,V167-CADASTRO_CASAS_BOMBA!$I$12*HORAS_CAPTACAO_DIA-W166)</f>
        <v>0</v>
      </c>
      <c r="Y167" s="16" t="n">
        <f aca="false">INDEX(AUX_MATRIZES!$C$15:$BP$15,MIN(N_SEMANAS,MAX(1,$C167)))/DIAS_POR_SEMANA</f>
        <v>0</v>
      </c>
      <c r="Z167" s="16" t="n">
        <f aca="false">MIN(CADASTRO_CASAS_BOMBA!$O$13,MAX(0,Z166+CADASTRO_CASAS_BOMBA!$I$13*HORAS_CAPTACAO_DIA-Y167))</f>
        <v>74903</v>
      </c>
      <c r="AA167" s="16" t="n">
        <f aca="false">MAX(0,Y167-CADASTRO_CASAS_BOMBA!$I$13*HORAS_CAPTACAO_DIA-Z166)</f>
        <v>0</v>
      </c>
    </row>
    <row r="168" customFormat="false" ht="15" hidden="false" customHeight="false" outlineLevel="0" collapsed="false">
      <c r="B168" s="17" t="n">
        <f aca="false">DATA_INICIO_SAFRA+161</f>
        <v>46426</v>
      </c>
      <c r="C168" s="16" t="n">
        <f aca="false">MIN(N_SEMANAS,MAX(1,INT(($B168-DATA_INICIO_SAFRA)/DIAS_POR_SEMANA)+1))</f>
        <v>24</v>
      </c>
      <c r="D168" s="16" t="n">
        <f aca="false">INDEX(AUX_MATRIZES!$C$8:$BP$8,MIN(N_SEMANAS,MAX(1,$C168)))/DIAS_POR_SEMANA</f>
        <v>0</v>
      </c>
      <c r="E168" s="16" t="n">
        <f aca="false">MIN(CADASTRO_CASAS_BOMBA!$O$6,MAX(0,E167+CADASTRO_CASAS_BOMBA!$I$6*HORAS_CAPTACAO_DIA-D168))</f>
        <v>2600</v>
      </c>
      <c r="F168" s="16" t="n">
        <f aca="false">MAX(0,D168-CADASTRO_CASAS_BOMBA!$I$6*HORAS_CAPTACAO_DIA-E167)</f>
        <v>0</v>
      </c>
      <c r="G168" s="16" t="n">
        <f aca="false">INDEX(AUX_MATRIZES!$C$9:$BP$9,MIN(N_SEMANAS,MAX(1,$C168)))/DIAS_POR_SEMANA</f>
        <v>29.3458252697518</v>
      </c>
      <c r="H168" s="16" t="n">
        <f aca="false">MIN(CADASTRO_CASAS_BOMBA!$O$7,MAX(0,H167+CADASTRO_CASAS_BOMBA!$I$7*HORAS_CAPTACAO_DIA-G168))</f>
        <v>76648</v>
      </c>
      <c r="I168" s="16" t="n">
        <f aca="false">MAX(0,G168-CADASTRO_CASAS_BOMBA!$I$7*HORAS_CAPTACAO_DIA-H167)</f>
        <v>0</v>
      </c>
      <c r="J168" s="16" t="n">
        <f aca="false">INDEX(AUX_MATRIZES!$C$10:$BP$10,MIN(N_SEMANAS,MAX(1,$C168)))/DIAS_POR_SEMANA</f>
        <v>0</v>
      </c>
      <c r="K168" s="16" t="n">
        <f aca="false">MIN(CADASTRO_CASAS_BOMBA!$O$8,MAX(0,K167+CADASTRO_CASAS_BOMBA!$I$8*HORAS_CAPTACAO_DIA-J168))</f>
        <v>27377</v>
      </c>
      <c r="L168" s="16" t="n">
        <f aca="false">MAX(0,J168-CADASTRO_CASAS_BOMBA!$I$8*HORAS_CAPTACAO_DIA-K167)</f>
        <v>0</v>
      </c>
      <c r="M168" s="16" t="n">
        <f aca="false">INDEX(AUX_MATRIZES!$C$11:$BP$11,MIN(N_SEMANAS,MAX(1,$C168)))/DIAS_POR_SEMANA</f>
        <v>266.868821905091</v>
      </c>
      <c r="N168" s="16" t="n">
        <f aca="false">MIN(CADASTRO_CASAS_BOMBA!$O$9,MAX(0,N167+CADASTRO_CASAS_BOMBA!$I$9*HORAS_CAPTACAO_DIA-M168))</f>
        <v>129000</v>
      </c>
      <c r="O168" s="16" t="n">
        <f aca="false">MAX(0,M168-CADASTRO_CASAS_BOMBA!$I$9*HORAS_CAPTACAO_DIA-N167)</f>
        <v>0</v>
      </c>
      <c r="P168" s="16" t="n">
        <f aca="false">INDEX(AUX_MATRIZES!$C$12:$BP$12,MIN(N_SEMANAS,MAX(1,$C168)))/DIAS_POR_SEMANA</f>
        <v>1621.15784568975</v>
      </c>
      <c r="Q168" s="16" t="n">
        <f aca="false">MIN(CADASTRO_CASAS_BOMBA!$O$10,MAX(0,Q167+CADASTRO_CASAS_BOMBA!$I$10*HORAS_CAPTACAO_DIA-P168))</f>
        <v>1000000</v>
      </c>
      <c r="R168" s="16" t="n">
        <f aca="false">MAX(0,P168-CADASTRO_CASAS_BOMBA!$I$10*HORAS_CAPTACAO_DIA-Q167)</f>
        <v>0</v>
      </c>
      <c r="S168" s="16" t="n">
        <f aca="false">INDEX(AUX_MATRIZES!$C$13:$BP$13,MIN(N_SEMANAS,MAX(1,$C168)))/DIAS_POR_SEMANA</f>
        <v>2573.01794013226</v>
      </c>
      <c r="T168" s="16" t="n">
        <f aca="false">MIN(CADASTRO_CASAS_BOMBA!$O$11,MAX(0,T167+CADASTRO_CASAS_BOMBA!$I$11*HORAS_CAPTACAO_DIA-S168))</f>
        <v>469821</v>
      </c>
      <c r="U168" s="16" t="n">
        <f aca="false">MAX(0,S168-CADASTRO_CASAS_BOMBA!$I$11*HORAS_CAPTACAO_DIA-T167)</f>
        <v>0</v>
      </c>
      <c r="V168" s="16" t="n">
        <f aca="false">INDEX(AUX_MATRIZES!$C$14:$BP$14,MIN(N_SEMANAS,MAX(1,$C168)))/DIAS_POR_SEMANA</f>
        <v>579.123876087711</v>
      </c>
      <c r="W168" s="16" t="n">
        <f aca="false">MIN(CADASTRO_CASAS_BOMBA!$O$12,MAX(0,W167+CADASTRO_CASAS_BOMBA!$I$12*HORAS_CAPTACAO_DIA-V168))</f>
        <v>440000</v>
      </c>
      <c r="X168" s="16" t="n">
        <f aca="false">MAX(0,V168-CADASTRO_CASAS_BOMBA!$I$12*HORAS_CAPTACAO_DIA-W167)</f>
        <v>0</v>
      </c>
      <c r="Y168" s="16" t="n">
        <f aca="false">INDEX(AUX_MATRIZES!$C$15:$BP$15,MIN(N_SEMANAS,MAX(1,$C168)))/DIAS_POR_SEMANA</f>
        <v>0</v>
      </c>
      <c r="Z168" s="16" t="n">
        <f aca="false">MIN(CADASTRO_CASAS_BOMBA!$O$13,MAX(0,Z167+CADASTRO_CASAS_BOMBA!$I$13*HORAS_CAPTACAO_DIA-Y168))</f>
        <v>74903</v>
      </c>
      <c r="AA168" s="16" t="n">
        <f aca="false">MAX(0,Y168-CADASTRO_CASAS_BOMBA!$I$13*HORAS_CAPTACAO_DIA-Z167)</f>
        <v>0</v>
      </c>
    </row>
    <row r="169" customFormat="false" ht="15" hidden="false" customHeight="false" outlineLevel="0" collapsed="false">
      <c r="B169" s="17" t="n">
        <f aca="false">DATA_INICIO_SAFRA+162</f>
        <v>46427</v>
      </c>
      <c r="C169" s="16" t="n">
        <f aca="false">MIN(N_SEMANAS,MAX(1,INT(($B169-DATA_INICIO_SAFRA)/DIAS_POR_SEMANA)+1))</f>
        <v>24</v>
      </c>
      <c r="D169" s="16" t="n">
        <f aca="false">INDEX(AUX_MATRIZES!$C$8:$BP$8,MIN(N_SEMANAS,MAX(1,$C169)))/DIAS_POR_SEMANA</f>
        <v>0</v>
      </c>
      <c r="E169" s="16" t="n">
        <f aca="false">MIN(CADASTRO_CASAS_BOMBA!$O$6,MAX(0,E168+CADASTRO_CASAS_BOMBA!$I$6*HORAS_CAPTACAO_DIA-D169))</f>
        <v>2600</v>
      </c>
      <c r="F169" s="16" t="n">
        <f aca="false">MAX(0,D169-CADASTRO_CASAS_BOMBA!$I$6*HORAS_CAPTACAO_DIA-E168)</f>
        <v>0</v>
      </c>
      <c r="G169" s="16" t="n">
        <f aca="false">INDEX(AUX_MATRIZES!$C$9:$BP$9,MIN(N_SEMANAS,MAX(1,$C169)))/DIAS_POR_SEMANA</f>
        <v>29.3458252697518</v>
      </c>
      <c r="H169" s="16" t="n">
        <f aca="false">MIN(CADASTRO_CASAS_BOMBA!$O$7,MAX(0,H168+CADASTRO_CASAS_BOMBA!$I$7*HORAS_CAPTACAO_DIA-G169))</f>
        <v>76648</v>
      </c>
      <c r="I169" s="16" t="n">
        <f aca="false">MAX(0,G169-CADASTRO_CASAS_BOMBA!$I$7*HORAS_CAPTACAO_DIA-H168)</f>
        <v>0</v>
      </c>
      <c r="J169" s="16" t="n">
        <f aca="false">INDEX(AUX_MATRIZES!$C$10:$BP$10,MIN(N_SEMANAS,MAX(1,$C169)))/DIAS_POR_SEMANA</f>
        <v>0</v>
      </c>
      <c r="K169" s="16" t="n">
        <f aca="false">MIN(CADASTRO_CASAS_BOMBA!$O$8,MAX(0,K168+CADASTRO_CASAS_BOMBA!$I$8*HORAS_CAPTACAO_DIA-J169))</f>
        <v>27377</v>
      </c>
      <c r="L169" s="16" t="n">
        <f aca="false">MAX(0,J169-CADASTRO_CASAS_BOMBA!$I$8*HORAS_CAPTACAO_DIA-K168)</f>
        <v>0</v>
      </c>
      <c r="M169" s="16" t="n">
        <f aca="false">INDEX(AUX_MATRIZES!$C$11:$BP$11,MIN(N_SEMANAS,MAX(1,$C169)))/DIAS_POR_SEMANA</f>
        <v>266.868821905091</v>
      </c>
      <c r="N169" s="16" t="n">
        <f aca="false">MIN(CADASTRO_CASAS_BOMBA!$O$9,MAX(0,N168+CADASTRO_CASAS_BOMBA!$I$9*HORAS_CAPTACAO_DIA-M169))</f>
        <v>129000</v>
      </c>
      <c r="O169" s="16" t="n">
        <f aca="false">MAX(0,M169-CADASTRO_CASAS_BOMBA!$I$9*HORAS_CAPTACAO_DIA-N168)</f>
        <v>0</v>
      </c>
      <c r="P169" s="16" t="n">
        <f aca="false">INDEX(AUX_MATRIZES!$C$12:$BP$12,MIN(N_SEMANAS,MAX(1,$C169)))/DIAS_POR_SEMANA</f>
        <v>1621.15784568975</v>
      </c>
      <c r="Q169" s="16" t="n">
        <f aca="false">MIN(CADASTRO_CASAS_BOMBA!$O$10,MAX(0,Q168+CADASTRO_CASAS_BOMBA!$I$10*HORAS_CAPTACAO_DIA-P169))</f>
        <v>1000000</v>
      </c>
      <c r="R169" s="16" t="n">
        <f aca="false">MAX(0,P169-CADASTRO_CASAS_BOMBA!$I$10*HORAS_CAPTACAO_DIA-Q168)</f>
        <v>0</v>
      </c>
      <c r="S169" s="16" t="n">
        <f aca="false">INDEX(AUX_MATRIZES!$C$13:$BP$13,MIN(N_SEMANAS,MAX(1,$C169)))/DIAS_POR_SEMANA</f>
        <v>2573.01794013226</v>
      </c>
      <c r="T169" s="16" t="n">
        <f aca="false">MIN(CADASTRO_CASAS_BOMBA!$O$11,MAX(0,T168+CADASTRO_CASAS_BOMBA!$I$11*HORAS_CAPTACAO_DIA-S169))</f>
        <v>469821</v>
      </c>
      <c r="U169" s="16" t="n">
        <f aca="false">MAX(0,S169-CADASTRO_CASAS_BOMBA!$I$11*HORAS_CAPTACAO_DIA-T168)</f>
        <v>0</v>
      </c>
      <c r="V169" s="16" t="n">
        <f aca="false">INDEX(AUX_MATRIZES!$C$14:$BP$14,MIN(N_SEMANAS,MAX(1,$C169)))/DIAS_POR_SEMANA</f>
        <v>579.123876087711</v>
      </c>
      <c r="W169" s="16" t="n">
        <f aca="false">MIN(CADASTRO_CASAS_BOMBA!$O$12,MAX(0,W168+CADASTRO_CASAS_BOMBA!$I$12*HORAS_CAPTACAO_DIA-V169))</f>
        <v>440000</v>
      </c>
      <c r="X169" s="16" t="n">
        <f aca="false">MAX(0,V169-CADASTRO_CASAS_BOMBA!$I$12*HORAS_CAPTACAO_DIA-W168)</f>
        <v>0</v>
      </c>
      <c r="Y169" s="16" t="n">
        <f aca="false">INDEX(AUX_MATRIZES!$C$15:$BP$15,MIN(N_SEMANAS,MAX(1,$C169)))/DIAS_POR_SEMANA</f>
        <v>0</v>
      </c>
      <c r="Z169" s="16" t="n">
        <f aca="false">MIN(CADASTRO_CASAS_BOMBA!$O$13,MAX(0,Z168+CADASTRO_CASAS_BOMBA!$I$13*HORAS_CAPTACAO_DIA-Y169))</f>
        <v>74903</v>
      </c>
      <c r="AA169" s="16" t="n">
        <f aca="false">MAX(0,Y169-CADASTRO_CASAS_BOMBA!$I$13*HORAS_CAPTACAO_DIA-Z168)</f>
        <v>0</v>
      </c>
    </row>
    <row r="170" customFormat="false" ht="15" hidden="false" customHeight="false" outlineLevel="0" collapsed="false">
      <c r="B170" s="17" t="n">
        <f aca="false">DATA_INICIO_SAFRA+163</f>
        <v>46428</v>
      </c>
      <c r="C170" s="16" t="n">
        <f aca="false">MIN(N_SEMANAS,MAX(1,INT(($B170-DATA_INICIO_SAFRA)/DIAS_POR_SEMANA)+1))</f>
        <v>24</v>
      </c>
      <c r="D170" s="16" t="n">
        <f aca="false">INDEX(AUX_MATRIZES!$C$8:$BP$8,MIN(N_SEMANAS,MAX(1,$C170)))/DIAS_POR_SEMANA</f>
        <v>0</v>
      </c>
      <c r="E170" s="16" t="n">
        <f aca="false">MIN(CADASTRO_CASAS_BOMBA!$O$6,MAX(0,E169+CADASTRO_CASAS_BOMBA!$I$6*HORAS_CAPTACAO_DIA-D170))</f>
        <v>2600</v>
      </c>
      <c r="F170" s="16" t="n">
        <f aca="false">MAX(0,D170-CADASTRO_CASAS_BOMBA!$I$6*HORAS_CAPTACAO_DIA-E169)</f>
        <v>0</v>
      </c>
      <c r="G170" s="16" t="n">
        <f aca="false">INDEX(AUX_MATRIZES!$C$9:$BP$9,MIN(N_SEMANAS,MAX(1,$C170)))/DIAS_POR_SEMANA</f>
        <v>29.3458252697518</v>
      </c>
      <c r="H170" s="16" t="n">
        <f aca="false">MIN(CADASTRO_CASAS_BOMBA!$O$7,MAX(0,H169+CADASTRO_CASAS_BOMBA!$I$7*HORAS_CAPTACAO_DIA-G170))</f>
        <v>76648</v>
      </c>
      <c r="I170" s="16" t="n">
        <f aca="false">MAX(0,G170-CADASTRO_CASAS_BOMBA!$I$7*HORAS_CAPTACAO_DIA-H169)</f>
        <v>0</v>
      </c>
      <c r="J170" s="16" t="n">
        <f aca="false">INDEX(AUX_MATRIZES!$C$10:$BP$10,MIN(N_SEMANAS,MAX(1,$C170)))/DIAS_POR_SEMANA</f>
        <v>0</v>
      </c>
      <c r="K170" s="16" t="n">
        <f aca="false">MIN(CADASTRO_CASAS_BOMBA!$O$8,MAX(0,K169+CADASTRO_CASAS_BOMBA!$I$8*HORAS_CAPTACAO_DIA-J170))</f>
        <v>27377</v>
      </c>
      <c r="L170" s="16" t="n">
        <f aca="false">MAX(0,J170-CADASTRO_CASAS_BOMBA!$I$8*HORAS_CAPTACAO_DIA-K169)</f>
        <v>0</v>
      </c>
      <c r="M170" s="16" t="n">
        <f aca="false">INDEX(AUX_MATRIZES!$C$11:$BP$11,MIN(N_SEMANAS,MAX(1,$C170)))/DIAS_POR_SEMANA</f>
        <v>266.868821905091</v>
      </c>
      <c r="N170" s="16" t="n">
        <f aca="false">MIN(CADASTRO_CASAS_BOMBA!$O$9,MAX(0,N169+CADASTRO_CASAS_BOMBA!$I$9*HORAS_CAPTACAO_DIA-M170))</f>
        <v>129000</v>
      </c>
      <c r="O170" s="16" t="n">
        <f aca="false">MAX(0,M170-CADASTRO_CASAS_BOMBA!$I$9*HORAS_CAPTACAO_DIA-N169)</f>
        <v>0</v>
      </c>
      <c r="P170" s="16" t="n">
        <f aca="false">INDEX(AUX_MATRIZES!$C$12:$BP$12,MIN(N_SEMANAS,MAX(1,$C170)))/DIAS_POR_SEMANA</f>
        <v>1621.15784568975</v>
      </c>
      <c r="Q170" s="16" t="n">
        <f aca="false">MIN(CADASTRO_CASAS_BOMBA!$O$10,MAX(0,Q169+CADASTRO_CASAS_BOMBA!$I$10*HORAS_CAPTACAO_DIA-P170))</f>
        <v>1000000</v>
      </c>
      <c r="R170" s="16" t="n">
        <f aca="false">MAX(0,P170-CADASTRO_CASAS_BOMBA!$I$10*HORAS_CAPTACAO_DIA-Q169)</f>
        <v>0</v>
      </c>
      <c r="S170" s="16" t="n">
        <f aca="false">INDEX(AUX_MATRIZES!$C$13:$BP$13,MIN(N_SEMANAS,MAX(1,$C170)))/DIAS_POR_SEMANA</f>
        <v>2573.01794013226</v>
      </c>
      <c r="T170" s="16" t="n">
        <f aca="false">MIN(CADASTRO_CASAS_BOMBA!$O$11,MAX(0,T169+CADASTRO_CASAS_BOMBA!$I$11*HORAS_CAPTACAO_DIA-S170))</f>
        <v>469821</v>
      </c>
      <c r="U170" s="16" t="n">
        <f aca="false">MAX(0,S170-CADASTRO_CASAS_BOMBA!$I$11*HORAS_CAPTACAO_DIA-T169)</f>
        <v>0</v>
      </c>
      <c r="V170" s="16" t="n">
        <f aca="false">INDEX(AUX_MATRIZES!$C$14:$BP$14,MIN(N_SEMANAS,MAX(1,$C170)))/DIAS_POR_SEMANA</f>
        <v>579.123876087711</v>
      </c>
      <c r="W170" s="16" t="n">
        <f aca="false">MIN(CADASTRO_CASAS_BOMBA!$O$12,MAX(0,W169+CADASTRO_CASAS_BOMBA!$I$12*HORAS_CAPTACAO_DIA-V170))</f>
        <v>440000</v>
      </c>
      <c r="X170" s="16" t="n">
        <f aca="false">MAX(0,V170-CADASTRO_CASAS_BOMBA!$I$12*HORAS_CAPTACAO_DIA-W169)</f>
        <v>0</v>
      </c>
      <c r="Y170" s="16" t="n">
        <f aca="false">INDEX(AUX_MATRIZES!$C$15:$BP$15,MIN(N_SEMANAS,MAX(1,$C170)))/DIAS_POR_SEMANA</f>
        <v>0</v>
      </c>
      <c r="Z170" s="16" t="n">
        <f aca="false">MIN(CADASTRO_CASAS_BOMBA!$O$13,MAX(0,Z169+CADASTRO_CASAS_BOMBA!$I$13*HORAS_CAPTACAO_DIA-Y170))</f>
        <v>74903</v>
      </c>
      <c r="AA170" s="16" t="n">
        <f aca="false">MAX(0,Y170-CADASTRO_CASAS_BOMBA!$I$13*HORAS_CAPTACAO_DIA-Z169)</f>
        <v>0</v>
      </c>
    </row>
    <row r="171" customFormat="false" ht="15" hidden="false" customHeight="false" outlineLevel="0" collapsed="false">
      <c r="B171" s="17" t="n">
        <f aca="false">DATA_INICIO_SAFRA+164</f>
        <v>46429</v>
      </c>
      <c r="C171" s="16" t="n">
        <f aca="false">MIN(N_SEMANAS,MAX(1,INT(($B171-DATA_INICIO_SAFRA)/DIAS_POR_SEMANA)+1))</f>
        <v>24</v>
      </c>
      <c r="D171" s="16" t="n">
        <f aca="false">INDEX(AUX_MATRIZES!$C$8:$BP$8,MIN(N_SEMANAS,MAX(1,$C171)))/DIAS_POR_SEMANA</f>
        <v>0</v>
      </c>
      <c r="E171" s="16" t="n">
        <f aca="false">MIN(CADASTRO_CASAS_BOMBA!$O$6,MAX(0,E170+CADASTRO_CASAS_BOMBA!$I$6*HORAS_CAPTACAO_DIA-D171))</f>
        <v>2600</v>
      </c>
      <c r="F171" s="16" t="n">
        <f aca="false">MAX(0,D171-CADASTRO_CASAS_BOMBA!$I$6*HORAS_CAPTACAO_DIA-E170)</f>
        <v>0</v>
      </c>
      <c r="G171" s="16" t="n">
        <f aca="false">INDEX(AUX_MATRIZES!$C$9:$BP$9,MIN(N_SEMANAS,MAX(1,$C171)))/DIAS_POR_SEMANA</f>
        <v>29.3458252697518</v>
      </c>
      <c r="H171" s="16" t="n">
        <f aca="false">MIN(CADASTRO_CASAS_BOMBA!$O$7,MAX(0,H170+CADASTRO_CASAS_BOMBA!$I$7*HORAS_CAPTACAO_DIA-G171))</f>
        <v>76648</v>
      </c>
      <c r="I171" s="16" t="n">
        <f aca="false">MAX(0,G171-CADASTRO_CASAS_BOMBA!$I$7*HORAS_CAPTACAO_DIA-H170)</f>
        <v>0</v>
      </c>
      <c r="J171" s="16" t="n">
        <f aca="false">INDEX(AUX_MATRIZES!$C$10:$BP$10,MIN(N_SEMANAS,MAX(1,$C171)))/DIAS_POR_SEMANA</f>
        <v>0</v>
      </c>
      <c r="K171" s="16" t="n">
        <f aca="false">MIN(CADASTRO_CASAS_BOMBA!$O$8,MAX(0,K170+CADASTRO_CASAS_BOMBA!$I$8*HORAS_CAPTACAO_DIA-J171))</f>
        <v>27377</v>
      </c>
      <c r="L171" s="16" t="n">
        <f aca="false">MAX(0,J171-CADASTRO_CASAS_BOMBA!$I$8*HORAS_CAPTACAO_DIA-K170)</f>
        <v>0</v>
      </c>
      <c r="M171" s="16" t="n">
        <f aca="false">INDEX(AUX_MATRIZES!$C$11:$BP$11,MIN(N_SEMANAS,MAX(1,$C171)))/DIAS_POR_SEMANA</f>
        <v>266.868821905091</v>
      </c>
      <c r="N171" s="16" t="n">
        <f aca="false">MIN(CADASTRO_CASAS_BOMBA!$O$9,MAX(0,N170+CADASTRO_CASAS_BOMBA!$I$9*HORAS_CAPTACAO_DIA-M171))</f>
        <v>129000</v>
      </c>
      <c r="O171" s="16" t="n">
        <f aca="false">MAX(0,M171-CADASTRO_CASAS_BOMBA!$I$9*HORAS_CAPTACAO_DIA-N170)</f>
        <v>0</v>
      </c>
      <c r="P171" s="16" t="n">
        <f aca="false">INDEX(AUX_MATRIZES!$C$12:$BP$12,MIN(N_SEMANAS,MAX(1,$C171)))/DIAS_POR_SEMANA</f>
        <v>1621.15784568975</v>
      </c>
      <c r="Q171" s="16" t="n">
        <f aca="false">MIN(CADASTRO_CASAS_BOMBA!$O$10,MAX(0,Q170+CADASTRO_CASAS_BOMBA!$I$10*HORAS_CAPTACAO_DIA-P171))</f>
        <v>1000000</v>
      </c>
      <c r="R171" s="16" t="n">
        <f aca="false">MAX(0,P171-CADASTRO_CASAS_BOMBA!$I$10*HORAS_CAPTACAO_DIA-Q170)</f>
        <v>0</v>
      </c>
      <c r="S171" s="16" t="n">
        <f aca="false">INDEX(AUX_MATRIZES!$C$13:$BP$13,MIN(N_SEMANAS,MAX(1,$C171)))/DIAS_POR_SEMANA</f>
        <v>2573.01794013226</v>
      </c>
      <c r="T171" s="16" t="n">
        <f aca="false">MIN(CADASTRO_CASAS_BOMBA!$O$11,MAX(0,T170+CADASTRO_CASAS_BOMBA!$I$11*HORAS_CAPTACAO_DIA-S171))</f>
        <v>469821</v>
      </c>
      <c r="U171" s="16" t="n">
        <f aca="false">MAX(0,S171-CADASTRO_CASAS_BOMBA!$I$11*HORAS_CAPTACAO_DIA-T170)</f>
        <v>0</v>
      </c>
      <c r="V171" s="16" t="n">
        <f aca="false">INDEX(AUX_MATRIZES!$C$14:$BP$14,MIN(N_SEMANAS,MAX(1,$C171)))/DIAS_POR_SEMANA</f>
        <v>579.123876087711</v>
      </c>
      <c r="W171" s="16" t="n">
        <f aca="false">MIN(CADASTRO_CASAS_BOMBA!$O$12,MAX(0,W170+CADASTRO_CASAS_BOMBA!$I$12*HORAS_CAPTACAO_DIA-V171))</f>
        <v>440000</v>
      </c>
      <c r="X171" s="16" t="n">
        <f aca="false">MAX(0,V171-CADASTRO_CASAS_BOMBA!$I$12*HORAS_CAPTACAO_DIA-W170)</f>
        <v>0</v>
      </c>
      <c r="Y171" s="16" t="n">
        <f aca="false">INDEX(AUX_MATRIZES!$C$15:$BP$15,MIN(N_SEMANAS,MAX(1,$C171)))/DIAS_POR_SEMANA</f>
        <v>0</v>
      </c>
      <c r="Z171" s="16" t="n">
        <f aca="false">MIN(CADASTRO_CASAS_BOMBA!$O$13,MAX(0,Z170+CADASTRO_CASAS_BOMBA!$I$13*HORAS_CAPTACAO_DIA-Y171))</f>
        <v>74903</v>
      </c>
      <c r="AA171" s="16" t="n">
        <f aca="false">MAX(0,Y171-CADASTRO_CASAS_BOMBA!$I$13*HORAS_CAPTACAO_DIA-Z170)</f>
        <v>0</v>
      </c>
    </row>
    <row r="172" customFormat="false" ht="15" hidden="false" customHeight="false" outlineLevel="0" collapsed="false">
      <c r="B172" s="17" t="n">
        <f aca="false">DATA_INICIO_SAFRA+165</f>
        <v>46430</v>
      </c>
      <c r="C172" s="16" t="n">
        <f aca="false">MIN(N_SEMANAS,MAX(1,INT(($B172-DATA_INICIO_SAFRA)/DIAS_POR_SEMANA)+1))</f>
        <v>24</v>
      </c>
      <c r="D172" s="16" t="n">
        <f aca="false">INDEX(AUX_MATRIZES!$C$8:$BP$8,MIN(N_SEMANAS,MAX(1,$C172)))/DIAS_POR_SEMANA</f>
        <v>0</v>
      </c>
      <c r="E172" s="16" t="n">
        <f aca="false">MIN(CADASTRO_CASAS_BOMBA!$O$6,MAX(0,E171+CADASTRO_CASAS_BOMBA!$I$6*HORAS_CAPTACAO_DIA-D172))</f>
        <v>2600</v>
      </c>
      <c r="F172" s="16" t="n">
        <f aca="false">MAX(0,D172-CADASTRO_CASAS_BOMBA!$I$6*HORAS_CAPTACAO_DIA-E171)</f>
        <v>0</v>
      </c>
      <c r="G172" s="16" t="n">
        <f aca="false">INDEX(AUX_MATRIZES!$C$9:$BP$9,MIN(N_SEMANAS,MAX(1,$C172)))/DIAS_POR_SEMANA</f>
        <v>29.3458252697518</v>
      </c>
      <c r="H172" s="16" t="n">
        <f aca="false">MIN(CADASTRO_CASAS_BOMBA!$O$7,MAX(0,H171+CADASTRO_CASAS_BOMBA!$I$7*HORAS_CAPTACAO_DIA-G172))</f>
        <v>76648</v>
      </c>
      <c r="I172" s="16" t="n">
        <f aca="false">MAX(0,G172-CADASTRO_CASAS_BOMBA!$I$7*HORAS_CAPTACAO_DIA-H171)</f>
        <v>0</v>
      </c>
      <c r="J172" s="16" t="n">
        <f aca="false">INDEX(AUX_MATRIZES!$C$10:$BP$10,MIN(N_SEMANAS,MAX(1,$C172)))/DIAS_POR_SEMANA</f>
        <v>0</v>
      </c>
      <c r="K172" s="16" t="n">
        <f aca="false">MIN(CADASTRO_CASAS_BOMBA!$O$8,MAX(0,K171+CADASTRO_CASAS_BOMBA!$I$8*HORAS_CAPTACAO_DIA-J172))</f>
        <v>27377</v>
      </c>
      <c r="L172" s="16" t="n">
        <f aca="false">MAX(0,J172-CADASTRO_CASAS_BOMBA!$I$8*HORAS_CAPTACAO_DIA-K171)</f>
        <v>0</v>
      </c>
      <c r="M172" s="16" t="n">
        <f aca="false">INDEX(AUX_MATRIZES!$C$11:$BP$11,MIN(N_SEMANAS,MAX(1,$C172)))/DIAS_POR_SEMANA</f>
        <v>266.868821905091</v>
      </c>
      <c r="N172" s="16" t="n">
        <f aca="false">MIN(CADASTRO_CASAS_BOMBA!$O$9,MAX(0,N171+CADASTRO_CASAS_BOMBA!$I$9*HORAS_CAPTACAO_DIA-M172))</f>
        <v>129000</v>
      </c>
      <c r="O172" s="16" t="n">
        <f aca="false">MAX(0,M172-CADASTRO_CASAS_BOMBA!$I$9*HORAS_CAPTACAO_DIA-N171)</f>
        <v>0</v>
      </c>
      <c r="P172" s="16" t="n">
        <f aca="false">INDEX(AUX_MATRIZES!$C$12:$BP$12,MIN(N_SEMANAS,MAX(1,$C172)))/DIAS_POR_SEMANA</f>
        <v>1621.15784568975</v>
      </c>
      <c r="Q172" s="16" t="n">
        <f aca="false">MIN(CADASTRO_CASAS_BOMBA!$O$10,MAX(0,Q171+CADASTRO_CASAS_BOMBA!$I$10*HORAS_CAPTACAO_DIA-P172))</f>
        <v>1000000</v>
      </c>
      <c r="R172" s="16" t="n">
        <f aca="false">MAX(0,P172-CADASTRO_CASAS_BOMBA!$I$10*HORAS_CAPTACAO_DIA-Q171)</f>
        <v>0</v>
      </c>
      <c r="S172" s="16" t="n">
        <f aca="false">INDEX(AUX_MATRIZES!$C$13:$BP$13,MIN(N_SEMANAS,MAX(1,$C172)))/DIAS_POR_SEMANA</f>
        <v>2573.01794013226</v>
      </c>
      <c r="T172" s="16" t="n">
        <f aca="false">MIN(CADASTRO_CASAS_BOMBA!$O$11,MAX(0,T171+CADASTRO_CASAS_BOMBA!$I$11*HORAS_CAPTACAO_DIA-S172))</f>
        <v>469821</v>
      </c>
      <c r="U172" s="16" t="n">
        <f aca="false">MAX(0,S172-CADASTRO_CASAS_BOMBA!$I$11*HORAS_CAPTACAO_DIA-T171)</f>
        <v>0</v>
      </c>
      <c r="V172" s="16" t="n">
        <f aca="false">INDEX(AUX_MATRIZES!$C$14:$BP$14,MIN(N_SEMANAS,MAX(1,$C172)))/DIAS_POR_SEMANA</f>
        <v>579.123876087711</v>
      </c>
      <c r="W172" s="16" t="n">
        <f aca="false">MIN(CADASTRO_CASAS_BOMBA!$O$12,MAX(0,W171+CADASTRO_CASAS_BOMBA!$I$12*HORAS_CAPTACAO_DIA-V172))</f>
        <v>440000</v>
      </c>
      <c r="X172" s="16" t="n">
        <f aca="false">MAX(0,V172-CADASTRO_CASAS_BOMBA!$I$12*HORAS_CAPTACAO_DIA-W171)</f>
        <v>0</v>
      </c>
      <c r="Y172" s="16" t="n">
        <f aca="false">INDEX(AUX_MATRIZES!$C$15:$BP$15,MIN(N_SEMANAS,MAX(1,$C172)))/DIAS_POR_SEMANA</f>
        <v>0</v>
      </c>
      <c r="Z172" s="16" t="n">
        <f aca="false">MIN(CADASTRO_CASAS_BOMBA!$O$13,MAX(0,Z171+CADASTRO_CASAS_BOMBA!$I$13*HORAS_CAPTACAO_DIA-Y172))</f>
        <v>74903</v>
      </c>
      <c r="AA172" s="16" t="n">
        <f aca="false">MAX(0,Y172-CADASTRO_CASAS_BOMBA!$I$13*HORAS_CAPTACAO_DIA-Z171)</f>
        <v>0</v>
      </c>
    </row>
    <row r="173" customFormat="false" ht="15" hidden="false" customHeight="false" outlineLevel="0" collapsed="false">
      <c r="B173" s="17" t="n">
        <f aca="false">DATA_INICIO_SAFRA+166</f>
        <v>46431</v>
      </c>
      <c r="C173" s="16" t="n">
        <f aca="false">MIN(N_SEMANAS,MAX(1,INT(($B173-DATA_INICIO_SAFRA)/DIAS_POR_SEMANA)+1))</f>
        <v>24</v>
      </c>
      <c r="D173" s="16" t="n">
        <f aca="false">INDEX(AUX_MATRIZES!$C$8:$BP$8,MIN(N_SEMANAS,MAX(1,$C173)))/DIAS_POR_SEMANA</f>
        <v>0</v>
      </c>
      <c r="E173" s="16" t="n">
        <f aca="false">MIN(CADASTRO_CASAS_BOMBA!$O$6,MAX(0,E172+CADASTRO_CASAS_BOMBA!$I$6*HORAS_CAPTACAO_DIA-D173))</f>
        <v>2600</v>
      </c>
      <c r="F173" s="16" t="n">
        <f aca="false">MAX(0,D173-CADASTRO_CASAS_BOMBA!$I$6*HORAS_CAPTACAO_DIA-E172)</f>
        <v>0</v>
      </c>
      <c r="G173" s="16" t="n">
        <f aca="false">INDEX(AUX_MATRIZES!$C$9:$BP$9,MIN(N_SEMANAS,MAX(1,$C173)))/DIAS_POR_SEMANA</f>
        <v>29.3458252697518</v>
      </c>
      <c r="H173" s="16" t="n">
        <f aca="false">MIN(CADASTRO_CASAS_BOMBA!$O$7,MAX(0,H172+CADASTRO_CASAS_BOMBA!$I$7*HORAS_CAPTACAO_DIA-G173))</f>
        <v>76648</v>
      </c>
      <c r="I173" s="16" t="n">
        <f aca="false">MAX(0,G173-CADASTRO_CASAS_BOMBA!$I$7*HORAS_CAPTACAO_DIA-H172)</f>
        <v>0</v>
      </c>
      <c r="J173" s="16" t="n">
        <f aca="false">INDEX(AUX_MATRIZES!$C$10:$BP$10,MIN(N_SEMANAS,MAX(1,$C173)))/DIAS_POR_SEMANA</f>
        <v>0</v>
      </c>
      <c r="K173" s="16" t="n">
        <f aca="false">MIN(CADASTRO_CASAS_BOMBA!$O$8,MAX(0,K172+CADASTRO_CASAS_BOMBA!$I$8*HORAS_CAPTACAO_DIA-J173))</f>
        <v>27377</v>
      </c>
      <c r="L173" s="16" t="n">
        <f aca="false">MAX(0,J173-CADASTRO_CASAS_BOMBA!$I$8*HORAS_CAPTACAO_DIA-K172)</f>
        <v>0</v>
      </c>
      <c r="M173" s="16" t="n">
        <f aca="false">INDEX(AUX_MATRIZES!$C$11:$BP$11,MIN(N_SEMANAS,MAX(1,$C173)))/DIAS_POR_SEMANA</f>
        <v>266.868821905091</v>
      </c>
      <c r="N173" s="16" t="n">
        <f aca="false">MIN(CADASTRO_CASAS_BOMBA!$O$9,MAX(0,N172+CADASTRO_CASAS_BOMBA!$I$9*HORAS_CAPTACAO_DIA-M173))</f>
        <v>129000</v>
      </c>
      <c r="O173" s="16" t="n">
        <f aca="false">MAX(0,M173-CADASTRO_CASAS_BOMBA!$I$9*HORAS_CAPTACAO_DIA-N172)</f>
        <v>0</v>
      </c>
      <c r="P173" s="16" t="n">
        <f aca="false">INDEX(AUX_MATRIZES!$C$12:$BP$12,MIN(N_SEMANAS,MAX(1,$C173)))/DIAS_POR_SEMANA</f>
        <v>1621.15784568975</v>
      </c>
      <c r="Q173" s="16" t="n">
        <f aca="false">MIN(CADASTRO_CASAS_BOMBA!$O$10,MAX(0,Q172+CADASTRO_CASAS_BOMBA!$I$10*HORAS_CAPTACAO_DIA-P173))</f>
        <v>1000000</v>
      </c>
      <c r="R173" s="16" t="n">
        <f aca="false">MAX(0,P173-CADASTRO_CASAS_BOMBA!$I$10*HORAS_CAPTACAO_DIA-Q172)</f>
        <v>0</v>
      </c>
      <c r="S173" s="16" t="n">
        <f aca="false">INDEX(AUX_MATRIZES!$C$13:$BP$13,MIN(N_SEMANAS,MAX(1,$C173)))/DIAS_POR_SEMANA</f>
        <v>2573.01794013226</v>
      </c>
      <c r="T173" s="16" t="n">
        <f aca="false">MIN(CADASTRO_CASAS_BOMBA!$O$11,MAX(0,T172+CADASTRO_CASAS_BOMBA!$I$11*HORAS_CAPTACAO_DIA-S173))</f>
        <v>469821</v>
      </c>
      <c r="U173" s="16" t="n">
        <f aca="false">MAX(0,S173-CADASTRO_CASAS_BOMBA!$I$11*HORAS_CAPTACAO_DIA-T172)</f>
        <v>0</v>
      </c>
      <c r="V173" s="16" t="n">
        <f aca="false">INDEX(AUX_MATRIZES!$C$14:$BP$14,MIN(N_SEMANAS,MAX(1,$C173)))/DIAS_POR_SEMANA</f>
        <v>579.123876087711</v>
      </c>
      <c r="W173" s="16" t="n">
        <f aca="false">MIN(CADASTRO_CASAS_BOMBA!$O$12,MAX(0,W172+CADASTRO_CASAS_BOMBA!$I$12*HORAS_CAPTACAO_DIA-V173))</f>
        <v>440000</v>
      </c>
      <c r="X173" s="16" t="n">
        <f aca="false">MAX(0,V173-CADASTRO_CASAS_BOMBA!$I$12*HORAS_CAPTACAO_DIA-W172)</f>
        <v>0</v>
      </c>
      <c r="Y173" s="16" t="n">
        <f aca="false">INDEX(AUX_MATRIZES!$C$15:$BP$15,MIN(N_SEMANAS,MAX(1,$C173)))/DIAS_POR_SEMANA</f>
        <v>0</v>
      </c>
      <c r="Z173" s="16" t="n">
        <f aca="false">MIN(CADASTRO_CASAS_BOMBA!$O$13,MAX(0,Z172+CADASTRO_CASAS_BOMBA!$I$13*HORAS_CAPTACAO_DIA-Y173))</f>
        <v>74903</v>
      </c>
      <c r="AA173" s="16" t="n">
        <f aca="false">MAX(0,Y173-CADASTRO_CASAS_BOMBA!$I$13*HORAS_CAPTACAO_DIA-Z172)</f>
        <v>0</v>
      </c>
    </row>
    <row r="174" customFormat="false" ht="15" hidden="false" customHeight="false" outlineLevel="0" collapsed="false">
      <c r="B174" s="17" t="n">
        <f aca="false">DATA_INICIO_SAFRA+167</f>
        <v>46432</v>
      </c>
      <c r="C174" s="16" t="n">
        <f aca="false">MIN(N_SEMANAS,MAX(1,INT(($B174-DATA_INICIO_SAFRA)/DIAS_POR_SEMANA)+1))</f>
        <v>24</v>
      </c>
      <c r="D174" s="16" t="n">
        <f aca="false">INDEX(AUX_MATRIZES!$C$8:$BP$8,MIN(N_SEMANAS,MAX(1,$C174)))/DIAS_POR_SEMANA</f>
        <v>0</v>
      </c>
      <c r="E174" s="16" t="n">
        <f aca="false">MIN(CADASTRO_CASAS_BOMBA!$O$6,MAX(0,E173+CADASTRO_CASAS_BOMBA!$I$6*HORAS_CAPTACAO_DIA-D174))</f>
        <v>2600</v>
      </c>
      <c r="F174" s="16" t="n">
        <f aca="false">MAX(0,D174-CADASTRO_CASAS_BOMBA!$I$6*HORAS_CAPTACAO_DIA-E173)</f>
        <v>0</v>
      </c>
      <c r="G174" s="16" t="n">
        <f aca="false">INDEX(AUX_MATRIZES!$C$9:$BP$9,MIN(N_SEMANAS,MAX(1,$C174)))/DIAS_POR_SEMANA</f>
        <v>29.3458252697518</v>
      </c>
      <c r="H174" s="16" t="n">
        <f aca="false">MIN(CADASTRO_CASAS_BOMBA!$O$7,MAX(0,H173+CADASTRO_CASAS_BOMBA!$I$7*HORAS_CAPTACAO_DIA-G174))</f>
        <v>76648</v>
      </c>
      <c r="I174" s="16" t="n">
        <f aca="false">MAX(0,G174-CADASTRO_CASAS_BOMBA!$I$7*HORAS_CAPTACAO_DIA-H173)</f>
        <v>0</v>
      </c>
      <c r="J174" s="16" t="n">
        <f aca="false">INDEX(AUX_MATRIZES!$C$10:$BP$10,MIN(N_SEMANAS,MAX(1,$C174)))/DIAS_POR_SEMANA</f>
        <v>0</v>
      </c>
      <c r="K174" s="16" t="n">
        <f aca="false">MIN(CADASTRO_CASAS_BOMBA!$O$8,MAX(0,K173+CADASTRO_CASAS_BOMBA!$I$8*HORAS_CAPTACAO_DIA-J174))</f>
        <v>27377</v>
      </c>
      <c r="L174" s="16" t="n">
        <f aca="false">MAX(0,J174-CADASTRO_CASAS_BOMBA!$I$8*HORAS_CAPTACAO_DIA-K173)</f>
        <v>0</v>
      </c>
      <c r="M174" s="16" t="n">
        <f aca="false">INDEX(AUX_MATRIZES!$C$11:$BP$11,MIN(N_SEMANAS,MAX(1,$C174)))/DIAS_POR_SEMANA</f>
        <v>266.868821905091</v>
      </c>
      <c r="N174" s="16" t="n">
        <f aca="false">MIN(CADASTRO_CASAS_BOMBA!$O$9,MAX(0,N173+CADASTRO_CASAS_BOMBA!$I$9*HORAS_CAPTACAO_DIA-M174))</f>
        <v>129000</v>
      </c>
      <c r="O174" s="16" t="n">
        <f aca="false">MAX(0,M174-CADASTRO_CASAS_BOMBA!$I$9*HORAS_CAPTACAO_DIA-N173)</f>
        <v>0</v>
      </c>
      <c r="P174" s="16" t="n">
        <f aca="false">INDEX(AUX_MATRIZES!$C$12:$BP$12,MIN(N_SEMANAS,MAX(1,$C174)))/DIAS_POR_SEMANA</f>
        <v>1621.15784568975</v>
      </c>
      <c r="Q174" s="16" t="n">
        <f aca="false">MIN(CADASTRO_CASAS_BOMBA!$O$10,MAX(0,Q173+CADASTRO_CASAS_BOMBA!$I$10*HORAS_CAPTACAO_DIA-P174))</f>
        <v>1000000</v>
      </c>
      <c r="R174" s="16" t="n">
        <f aca="false">MAX(0,P174-CADASTRO_CASAS_BOMBA!$I$10*HORAS_CAPTACAO_DIA-Q173)</f>
        <v>0</v>
      </c>
      <c r="S174" s="16" t="n">
        <f aca="false">INDEX(AUX_MATRIZES!$C$13:$BP$13,MIN(N_SEMANAS,MAX(1,$C174)))/DIAS_POR_SEMANA</f>
        <v>2573.01794013226</v>
      </c>
      <c r="T174" s="16" t="n">
        <f aca="false">MIN(CADASTRO_CASAS_BOMBA!$O$11,MAX(0,T173+CADASTRO_CASAS_BOMBA!$I$11*HORAS_CAPTACAO_DIA-S174))</f>
        <v>469821</v>
      </c>
      <c r="U174" s="16" t="n">
        <f aca="false">MAX(0,S174-CADASTRO_CASAS_BOMBA!$I$11*HORAS_CAPTACAO_DIA-T173)</f>
        <v>0</v>
      </c>
      <c r="V174" s="16" t="n">
        <f aca="false">INDEX(AUX_MATRIZES!$C$14:$BP$14,MIN(N_SEMANAS,MAX(1,$C174)))/DIAS_POR_SEMANA</f>
        <v>579.123876087711</v>
      </c>
      <c r="W174" s="16" t="n">
        <f aca="false">MIN(CADASTRO_CASAS_BOMBA!$O$12,MAX(0,W173+CADASTRO_CASAS_BOMBA!$I$12*HORAS_CAPTACAO_DIA-V174))</f>
        <v>440000</v>
      </c>
      <c r="X174" s="16" t="n">
        <f aca="false">MAX(0,V174-CADASTRO_CASAS_BOMBA!$I$12*HORAS_CAPTACAO_DIA-W173)</f>
        <v>0</v>
      </c>
      <c r="Y174" s="16" t="n">
        <f aca="false">INDEX(AUX_MATRIZES!$C$15:$BP$15,MIN(N_SEMANAS,MAX(1,$C174)))/DIAS_POR_SEMANA</f>
        <v>0</v>
      </c>
      <c r="Z174" s="16" t="n">
        <f aca="false">MIN(CADASTRO_CASAS_BOMBA!$O$13,MAX(0,Z173+CADASTRO_CASAS_BOMBA!$I$13*HORAS_CAPTACAO_DIA-Y174))</f>
        <v>74903</v>
      </c>
      <c r="AA174" s="16" t="n">
        <f aca="false">MAX(0,Y174-CADASTRO_CASAS_BOMBA!$I$13*HORAS_CAPTACAO_DIA-Z173)</f>
        <v>0</v>
      </c>
    </row>
    <row r="175" customFormat="false" ht="15" hidden="false" customHeight="false" outlineLevel="0" collapsed="false">
      <c r="B175" s="17" t="n">
        <f aca="false">DATA_INICIO_SAFRA+168</f>
        <v>46433</v>
      </c>
      <c r="C175" s="16" t="n">
        <f aca="false">MIN(N_SEMANAS,MAX(1,INT(($B175-DATA_INICIO_SAFRA)/DIAS_POR_SEMANA)+1))</f>
        <v>25</v>
      </c>
      <c r="D175" s="16" t="n">
        <f aca="false">INDEX(AUX_MATRIZES!$C$8:$BP$8,MIN(N_SEMANAS,MAX(1,$C175)))/DIAS_POR_SEMANA</f>
        <v>0</v>
      </c>
      <c r="E175" s="16" t="n">
        <f aca="false">MIN(CADASTRO_CASAS_BOMBA!$O$6,MAX(0,E174+CADASTRO_CASAS_BOMBA!$I$6*HORAS_CAPTACAO_DIA-D175))</f>
        <v>2600</v>
      </c>
      <c r="F175" s="16" t="n">
        <f aca="false">MAX(0,D175-CADASTRO_CASAS_BOMBA!$I$6*HORAS_CAPTACAO_DIA-E174)</f>
        <v>0</v>
      </c>
      <c r="G175" s="16" t="n">
        <f aca="false">INDEX(AUX_MATRIZES!$C$9:$BP$9,MIN(N_SEMANAS,MAX(1,$C175)))/DIAS_POR_SEMANA</f>
        <v>640.455977259541</v>
      </c>
      <c r="H175" s="16" t="n">
        <f aca="false">MIN(CADASTRO_CASAS_BOMBA!$O$7,MAX(0,H174+CADASTRO_CASAS_BOMBA!$I$7*HORAS_CAPTACAO_DIA-G175))</f>
        <v>76648</v>
      </c>
      <c r="I175" s="16" t="n">
        <f aca="false">MAX(0,G175-CADASTRO_CASAS_BOMBA!$I$7*HORAS_CAPTACAO_DIA-H174)</f>
        <v>0</v>
      </c>
      <c r="J175" s="16" t="n">
        <f aca="false">INDEX(AUX_MATRIZES!$C$10:$BP$10,MIN(N_SEMANAS,MAX(1,$C175)))/DIAS_POR_SEMANA</f>
        <v>0</v>
      </c>
      <c r="K175" s="16" t="n">
        <f aca="false">MIN(CADASTRO_CASAS_BOMBA!$O$8,MAX(0,K174+CADASTRO_CASAS_BOMBA!$I$8*HORAS_CAPTACAO_DIA-J175))</f>
        <v>27377</v>
      </c>
      <c r="L175" s="16" t="n">
        <f aca="false">MAX(0,J175-CADASTRO_CASAS_BOMBA!$I$8*HORAS_CAPTACAO_DIA-K174)</f>
        <v>0</v>
      </c>
      <c r="M175" s="16" t="n">
        <f aca="false">INDEX(AUX_MATRIZES!$C$11:$BP$11,MIN(N_SEMANAS,MAX(1,$C175)))/DIAS_POR_SEMANA</f>
        <v>1694.33207123796</v>
      </c>
      <c r="N175" s="16" t="n">
        <f aca="false">MIN(CADASTRO_CASAS_BOMBA!$O$9,MAX(0,N174+CADASTRO_CASAS_BOMBA!$I$9*HORAS_CAPTACAO_DIA-M175))</f>
        <v>129000</v>
      </c>
      <c r="O175" s="16" t="n">
        <f aca="false">MAX(0,M175-CADASTRO_CASAS_BOMBA!$I$9*HORAS_CAPTACAO_DIA-N174)</f>
        <v>0</v>
      </c>
      <c r="P175" s="16" t="n">
        <f aca="false">INDEX(AUX_MATRIZES!$C$12:$BP$12,MIN(N_SEMANAS,MAX(1,$C175)))/DIAS_POR_SEMANA</f>
        <v>4486.16878431372</v>
      </c>
      <c r="Q175" s="16" t="n">
        <f aca="false">MIN(CADASTRO_CASAS_BOMBA!$O$10,MAX(0,Q174+CADASTRO_CASAS_BOMBA!$I$10*HORAS_CAPTACAO_DIA-P175))</f>
        <v>1000000</v>
      </c>
      <c r="R175" s="16" t="n">
        <f aca="false">MAX(0,P175-CADASTRO_CASAS_BOMBA!$I$10*HORAS_CAPTACAO_DIA-Q174)</f>
        <v>0</v>
      </c>
      <c r="S175" s="16" t="n">
        <f aca="false">INDEX(AUX_MATRIZES!$C$13:$BP$13,MIN(N_SEMANAS,MAX(1,$C175)))/DIAS_POR_SEMANA</f>
        <v>5179.78811764705</v>
      </c>
      <c r="T175" s="16" t="n">
        <f aca="false">MIN(CADASTRO_CASAS_BOMBA!$O$11,MAX(0,T174+CADASTRO_CASAS_BOMBA!$I$11*HORAS_CAPTACAO_DIA-S175))</f>
        <v>469821</v>
      </c>
      <c r="U175" s="16" t="n">
        <f aca="false">MAX(0,S175-CADASTRO_CASAS_BOMBA!$I$11*HORAS_CAPTACAO_DIA-T174)</f>
        <v>0</v>
      </c>
      <c r="V175" s="16" t="n">
        <f aca="false">INDEX(AUX_MATRIZES!$C$14:$BP$14,MIN(N_SEMANAS,MAX(1,$C175)))/DIAS_POR_SEMANA</f>
        <v>1844.99923608694</v>
      </c>
      <c r="W175" s="16" t="n">
        <f aca="false">MIN(CADASTRO_CASAS_BOMBA!$O$12,MAX(0,W174+CADASTRO_CASAS_BOMBA!$I$12*HORAS_CAPTACAO_DIA-V175))</f>
        <v>440000</v>
      </c>
      <c r="X175" s="16" t="n">
        <f aca="false">MAX(0,V175-CADASTRO_CASAS_BOMBA!$I$12*HORAS_CAPTACAO_DIA-W174)</f>
        <v>0</v>
      </c>
      <c r="Y175" s="16" t="n">
        <f aca="false">INDEX(AUX_MATRIZES!$C$15:$BP$15,MIN(N_SEMANAS,MAX(1,$C175)))/DIAS_POR_SEMANA</f>
        <v>0</v>
      </c>
      <c r="Z175" s="16" t="n">
        <f aca="false">MIN(CADASTRO_CASAS_BOMBA!$O$13,MAX(0,Z174+CADASTRO_CASAS_BOMBA!$I$13*HORAS_CAPTACAO_DIA-Y175))</f>
        <v>74903</v>
      </c>
      <c r="AA175" s="16" t="n">
        <f aca="false">MAX(0,Y175-CADASTRO_CASAS_BOMBA!$I$13*HORAS_CAPTACAO_DIA-Z174)</f>
        <v>0</v>
      </c>
    </row>
    <row r="176" customFormat="false" ht="15" hidden="false" customHeight="false" outlineLevel="0" collapsed="false">
      <c r="B176" s="17" t="n">
        <f aca="false">DATA_INICIO_SAFRA+169</f>
        <v>46434</v>
      </c>
      <c r="C176" s="16" t="n">
        <f aca="false">MIN(N_SEMANAS,MAX(1,INT(($B176-DATA_INICIO_SAFRA)/DIAS_POR_SEMANA)+1))</f>
        <v>25</v>
      </c>
      <c r="D176" s="16" t="n">
        <f aca="false">INDEX(AUX_MATRIZES!$C$8:$BP$8,MIN(N_SEMANAS,MAX(1,$C176)))/DIAS_POR_SEMANA</f>
        <v>0</v>
      </c>
      <c r="E176" s="16" t="n">
        <f aca="false">MIN(CADASTRO_CASAS_BOMBA!$O$6,MAX(0,E175+CADASTRO_CASAS_BOMBA!$I$6*HORAS_CAPTACAO_DIA-D176))</f>
        <v>2600</v>
      </c>
      <c r="F176" s="16" t="n">
        <f aca="false">MAX(0,D176-CADASTRO_CASAS_BOMBA!$I$6*HORAS_CAPTACAO_DIA-E175)</f>
        <v>0</v>
      </c>
      <c r="G176" s="16" t="n">
        <f aca="false">INDEX(AUX_MATRIZES!$C$9:$BP$9,MIN(N_SEMANAS,MAX(1,$C176)))/DIAS_POR_SEMANA</f>
        <v>640.455977259541</v>
      </c>
      <c r="H176" s="16" t="n">
        <f aca="false">MIN(CADASTRO_CASAS_BOMBA!$O$7,MAX(0,H175+CADASTRO_CASAS_BOMBA!$I$7*HORAS_CAPTACAO_DIA-G176))</f>
        <v>76648</v>
      </c>
      <c r="I176" s="16" t="n">
        <f aca="false">MAX(0,G176-CADASTRO_CASAS_BOMBA!$I$7*HORAS_CAPTACAO_DIA-H175)</f>
        <v>0</v>
      </c>
      <c r="J176" s="16" t="n">
        <f aca="false">INDEX(AUX_MATRIZES!$C$10:$BP$10,MIN(N_SEMANAS,MAX(1,$C176)))/DIAS_POR_SEMANA</f>
        <v>0</v>
      </c>
      <c r="K176" s="16" t="n">
        <f aca="false">MIN(CADASTRO_CASAS_BOMBA!$O$8,MAX(0,K175+CADASTRO_CASAS_BOMBA!$I$8*HORAS_CAPTACAO_DIA-J176))</f>
        <v>27377</v>
      </c>
      <c r="L176" s="16" t="n">
        <f aca="false">MAX(0,J176-CADASTRO_CASAS_BOMBA!$I$8*HORAS_CAPTACAO_DIA-K175)</f>
        <v>0</v>
      </c>
      <c r="M176" s="16" t="n">
        <f aca="false">INDEX(AUX_MATRIZES!$C$11:$BP$11,MIN(N_SEMANAS,MAX(1,$C176)))/DIAS_POR_SEMANA</f>
        <v>1694.33207123796</v>
      </c>
      <c r="N176" s="16" t="n">
        <f aca="false">MIN(CADASTRO_CASAS_BOMBA!$O$9,MAX(0,N175+CADASTRO_CASAS_BOMBA!$I$9*HORAS_CAPTACAO_DIA-M176))</f>
        <v>129000</v>
      </c>
      <c r="O176" s="16" t="n">
        <f aca="false">MAX(0,M176-CADASTRO_CASAS_BOMBA!$I$9*HORAS_CAPTACAO_DIA-N175)</f>
        <v>0</v>
      </c>
      <c r="P176" s="16" t="n">
        <f aca="false">INDEX(AUX_MATRIZES!$C$12:$BP$12,MIN(N_SEMANAS,MAX(1,$C176)))/DIAS_POR_SEMANA</f>
        <v>4486.16878431372</v>
      </c>
      <c r="Q176" s="16" t="n">
        <f aca="false">MIN(CADASTRO_CASAS_BOMBA!$O$10,MAX(0,Q175+CADASTRO_CASAS_BOMBA!$I$10*HORAS_CAPTACAO_DIA-P176))</f>
        <v>1000000</v>
      </c>
      <c r="R176" s="16" t="n">
        <f aca="false">MAX(0,P176-CADASTRO_CASAS_BOMBA!$I$10*HORAS_CAPTACAO_DIA-Q175)</f>
        <v>0</v>
      </c>
      <c r="S176" s="16" t="n">
        <f aca="false">INDEX(AUX_MATRIZES!$C$13:$BP$13,MIN(N_SEMANAS,MAX(1,$C176)))/DIAS_POR_SEMANA</f>
        <v>5179.78811764705</v>
      </c>
      <c r="T176" s="16" t="n">
        <f aca="false">MIN(CADASTRO_CASAS_BOMBA!$O$11,MAX(0,T175+CADASTRO_CASAS_BOMBA!$I$11*HORAS_CAPTACAO_DIA-S176))</f>
        <v>469821</v>
      </c>
      <c r="U176" s="16" t="n">
        <f aca="false">MAX(0,S176-CADASTRO_CASAS_BOMBA!$I$11*HORAS_CAPTACAO_DIA-T175)</f>
        <v>0</v>
      </c>
      <c r="V176" s="16" t="n">
        <f aca="false">INDEX(AUX_MATRIZES!$C$14:$BP$14,MIN(N_SEMANAS,MAX(1,$C176)))/DIAS_POR_SEMANA</f>
        <v>1844.99923608694</v>
      </c>
      <c r="W176" s="16" t="n">
        <f aca="false">MIN(CADASTRO_CASAS_BOMBA!$O$12,MAX(0,W175+CADASTRO_CASAS_BOMBA!$I$12*HORAS_CAPTACAO_DIA-V176))</f>
        <v>440000</v>
      </c>
      <c r="X176" s="16" t="n">
        <f aca="false">MAX(0,V176-CADASTRO_CASAS_BOMBA!$I$12*HORAS_CAPTACAO_DIA-W175)</f>
        <v>0</v>
      </c>
      <c r="Y176" s="16" t="n">
        <f aca="false">INDEX(AUX_MATRIZES!$C$15:$BP$15,MIN(N_SEMANAS,MAX(1,$C176)))/DIAS_POR_SEMANA</f>
        <v>0</v>
      </c>
      <c r="Z176" s="16" t="n">
        <f aca="false">MIN(CADASTRO_CASAS_BOMBA!$O$13,MAX(0,Z175+CADASTRO_CASAS_BOMBA!$I$13*HORAS_CAPTACAO_DIA-Y176))</f>
        <v>74903</v>
      </c>
      <c r="AA176" s="16" t="n">
        <f aca="false">MAX(0,Y176-CADASTRO_CASAS_BOMBA!$I$13*HORAS_CAPTACAO_DIA-Z175)</f>
        <v>0</v>
      </c>
    </row>
    <row r="177" customFormat="false" ht="15" hidden="false" customHeight="false" outlineLevel="0" collapsed="false">
      <c r="B177" s="17" t="n">
        <f aca="false">DATA_INICIO_SAFRA+170</f>
        <v>46435</v>
      </c>
      <c r="C177" s="16" t="n">
        <f aca="false">MIN(N_SEMANAS,MAX(1,INT(($B177-DATA_INICIO_SAFRA)/DIAS_POR_SEMANA)+1))</f>
        <v>25</v>
      </c>
      <c r="D177" s="16" t="n">
        <f aca="false">INDEX(AUX_MATRIZES!$C$8:$BP$8,MIN(N_SEMANAS,MAX(1,$C177)))/DIAS_POR_SEMANA</f>
        <v>0</v>
      </c>
      <c r="E177" s="16" t="n">
        <f aca="false">MIN(CADASTRO_CASAS_BOMBA!$O$6,MAX(0,E176+CADASTRO_CASAS_BOMBA!$I$6*HORAS_CAPTACAO_DIA-D177))</f>
        <v>2600</v>
      </c>
      <c r="F177" s="16" t="n">
        <f aca="false">MAX(0,D177-CADASTRO_CASAS_BOMBA!$I$6*HORAS_CAPTACAO_DIA-E176)</f>
        <v>0</v>
      </c>
      <c r="G177" s="16" t="n">
        <f aca="false">INDEX(AUX_MATRIZES!$C$9:$BP$9,MIN(N_SEMANAS,MAX(1,$C177)))/DIAS_POR_SEMANA</f>
        <v>640.455977259541</v>
      </c>
      <c r="H177" s="16" t="n">
        <f aca="false">MIN(CADASTRO_CASAS_BOMBA!$O$7,MAX(0,H176+CADASTRO_CASAS_BOMBA!$I$7*HORAS_CAPTACAO_DIA-G177))</f>
        <v>76648</v>
      </c>
      <c r="I177" s="16" t="n">
        <f aca="false">MAX(0,G177-CADASTRO_CASAS_BOMBA!$I$7*HORAS_CAPTACAO_DIA-H176)</f>
        <v>0</v>
      </c>
      <c r="J177" s="16" t="n">
        <f aca="false">INDEX(AUX_MATRIZES!$C$10:$BP$10,MIN(N_SEMANAS,MAX(1,$C177)))/DIAS_POR_SEMANA</f>
        <v>0</v>
      </c>
      <c r="K177" s="16" t="n">
        <f aca="false">MIN(CADASTRO_CASAS_BOMBA!$O$8,MAX(0,K176+CADASTRO_CASAS_BOMBA!$I$8*HORAS_CAPTACAO_DIA-J177))</f>
        <v>27377</v>
      </c>
      <c r="L177" s="16" t="n">
        <f aca="false">MAX(0,J177-CADASTRO_CASAS_BOMBA!$I$8*HORAS_CAPTACAO_DIA-K176)</f>
        <v>0</v>
      </c>
      <c r="M177" s="16" t="n">
        <f aca="false">INDEX(AUX_MATRIZES!$C$11:$BP$11,MIN(N_SEMANAS,MAX(1,$C177)))/DIAS_POR_SEMANA</f>
        <v>1694.33207123796</v>
      </c>
      <c r="N177" s="16" t="n">
        <f aca="false">MIN(CADASTRO_CASAS_BOMBA!$O$9,MAX(0,N176+CADASTRO_CASAS_BOMBA!$I$9*HORAS_CAPTACAO_DIA-M177))</f>
        <v>129000</v>
      </c>
      <c r="O177" s="16" t="n">
        <f aca="false">MAX(0,M177-CADASTRO_CASAS_BOMBA!$I$9*HORAS_CAPTACAO_DIA-N176)</f>
        <v>0</v>
      </c>
      <c r="P177" s="16" t="n">
        <f aca="false">INDEX(AUX_MATRIZES!$C$12:$BP$12,MIN(N_SEMANAS,MAX(1,$C177)))/DIAS_POR_SEMANA</f>
        <v>4486.16878431372</v>
      </c>
      <c r="Q177" s="16" t="n">
        <f aca="false">MIN(CADASTRO_CASAS_BOMBA!$O$10,MAX(0,Q176+CADASTRO_CASAS_BOMBA!$I$10*HORAS_CAPTACAO_DIA-P177))</f>
        <v>1000000</v>
      </c>
      <c r="R177" s="16" t="n">
        <f aca="false">MAX(0,P177-CADASTRO_CASAS_BOMBA!$I$10*HORAS_CAPTACAO_DIA-Q176)</f>
        <v>0</v>
      </c>
      <c r="S177" s="16" t="n">
        <f aca="false">INDEX(AUX_MATRIZES!$C$13:$BP$13,MIN(N_SEMANAS,MAX(1,$C177)))/DIAS_POR_SEMANA</f>
        <v>5179.78811764705</v>
      </c>
      <c r="T177" s="16" t="n">
        <f aca="false">MIN(CADASTRO_CASAS_BOMBA!$O$11,MAX(0,T176+CADASTRO_CASAS_BOMBA!$I$11*HORAS_CAPTACAO_DIA-S177))</f>
        <v>469821</v>
      </c>
      <c r="U177" s="16" t="n">
        <f aca="false">MAX(0,S177-CADASTRO_CASAS_BOMBA!$I$11*HORAS_CAPTACAO_DIA-T176)</f>
        <v>0</v>
      </c>
      <c r="V177" s="16" t="n">
        <f aca="false">INDEX(AUX_MATRIZES!$C$14:$BP$14,MIN(N_SEMANAS,MAX(1,$C177)))/DIAS_POR_SEMANA</f>
        <v>1844.99923608694</v>
      </c>
      <c r="W177" s="16" t="n">
        <f aca="false">MIN(CADASTRO_CASAS_BOMBA!$O$12,MAX(0,W176+CADASTRO_CASAS_BOMBA!$I$12*HORAS_CAPTACAO_DIA-V177))</f>
        <v>440000</v>
      </c>
      <c r="X177" s="16" t="n">
        <f aca="false">MAX(0,V177-CADASTRO_CASAS_BOMBA!$I$12*HORAS_CAPTACAO_DIA-W176)</f>
        <v>0</v>
      </c>
      <c r="Y177" s="16" t="n">
        <f aca="false">INDEX(AUX_MATRIZES!$C$15:$BP$15,MIN(N_SEMANAS,MAX(1,$C177)))/DIAS_POR_SEMANA</f>
        <v>0</v>
      </c>
      <c r="Z177" s="16" t="n">
        <f aca="false">MIN(CADASTRO_CASAS_BOMBA!$O$13,MAX(0,Z176+CADASTRO_CASAS_BOMBA!$I$13*HORAS_CAPTACAO_DIA-Y177))</f>
        <v>74903</v>
      </c>
      <c r="AA177" s="16" t="n">
        <f aca="false">MAX(0,Y177-CADASTRO_CASAS_BOMBA!$I$13*HORAS_CAPTACAO_DIA-Z176)</f>
        <v>0</v>
      </c>
    </row>
    <row r="178" customFormat="false" ht="15" hidden="false" customHeight="false" outlineLevel="0" collapsed="false">
      <c r="B178" s="17" t="n">
        <f aca="false">DATA_INICIO_SAFRA+171</f>
        <v>46436</v>
      </c>
      <c r="C178" s="16" t="n">
        <f aca="false">MIN(N_SEMANAS,MAX(1,INT(($B178-DATA_INICIO_SAFRA)/DIAS_POR_SEMANA)+1))</f>
        <v>25</v>
      </c>
      <c r="D178" s="16" t="n">
        <f aca="false">INDEX(AUX_MATRIZES!$C$8:$BP$8,MIN(N_SEMANAS,MAX(1,$C178)))/DIAS_POR_SEMANA</f>
        <v>0</v>
      </c>
      <c r="E178" s="16" t="n">
        <f aca="false">MIN(CADASTRO_CASAS_BOMBA!$O$6,MAX(0,E177+CADASTRO_CASAS_BOMBA!$I$6*HORAS_CAPTACAO_DIA-D178))</f>
        <v>2600</v>
      </c>
      <c r="F178" s="16" t="n">
        <f aca="false">MAX(0,D178-CADASTRO_CASAS_BOMBA!$I$6*HORAS_CAPTACAO_DIA-E177)</f>
        <v>0</v>
      </c>
      <c r="G178" s="16" t="n">
        <f aca="false">INDEX(AUX_MATRIZES!$C$9:$BP$9,MIN(N_SEMANAS,MAX(1,$C178)))/DIAS_POR_SEMANA</f>
        <v>640.455977259541</v>
      </c>
      <c r="H178" s="16" t="n">
        <f aca="false">MIN(CADASTRO_CASAS_BOMBA!$O$7,MAX(0,H177+CADASTRO_CASAS_BOMBA!$I$7*HORAS_CAPTACAO_DIA-G178))</f>
        <v>76648</v>
      </c>
      <c r="I178" s="16" t="n">
        <f aca="false">MAX(0,G178-CADASTRO_CASAS_BOMBA!$I$7*HORAS_CAPTACAO_DIA-H177)</f>
        <v>0</v>
      </c>
      <c r="J178" s="16" t="n">
        <f aca="false">INDEX(AUX_MATRIZES!$C$10:$BP$10,MIN(N_SEMANAS,MAX(1,$C178)))/DIAS_POR_SEMANA</f>
        <v>0</v>
      </c>
      <c r="K178" s="16" t="n">
        <f aca="false">MIN(CADASTRO_CASAS_BOMBA!$O$8,MAX(0,K177+CADASTRO_CASAS_BOMBA!$I$8*HORAS_CAPTACAO_DIA-J178))</f>
        <v>27377</v>
      </c>
      <c r="L178" s="16" t="n">
        <f aca="false">MAX(0,J178-CADASTRO_CASAS_BOMBA!$I$8*HORAS_CAPTACAO_DIA-K177)</f>
        <v>0</v>
      </c>
      <c r="M178" s="16" t="n">
        <f aca="false">INDEX(AUX_MATRIZES!$C$11:$BP$11,MIN(N_SEMANAS,MAX(1,$C178)))/DIAS_POR_SEMANA</f>
        <v>1694.33207123796</v>
      </c>
      <c r="N178" s="16" t="n">
        <f aca="false">MIN(CADASTRO_CASAS_BOMBA!$O$9,MAX(0,N177+CADASTRO_CASAS_BOMBA!$I$9*HORAS_CAPTACAO_DIA-M178))</f>
        <v>129000</v>
      </c>
      <c r="O178" s="16" t="n">
        <f aca="false">MAX(0,M178-CADASTRO_CASAS_BOMBA!$I$9*HORAS_CAPTACAO_DIA-N177)</f>
        <v>0</v>
      </c>
      <c r="P178" s="16" t="n">
        <f aca="false">INDEX(AUX_MATRIZES!$C$12:$BP$12,MIN(N_SEMANAS,MAX(1,$C178)))/DIAS_POR_SEMANA</f>
        <v>4486.16878431372</v>
      </c>
      <c r="Q178" s="16" t="n">
        <f aca="false">MIN(CADASTRO_CASAS_BOMBA!$O$10,MAX(0,Q177+CADASTRO_CASAS_BOMBA!$I$10*HORAS_CAPTACAO_DIA-P178))</f>
        <v>1000000</v>
      </c>
      <c r="R178" s="16" t="n">
        <f aca="false">MAX(0,P178-CADASTRO_CASAS_BOMBA!$I$10*HORAS_CAPTACAO_DIA-Q177)</f>
        <v>0</v>
      </c>
      <c r="S178" s="16" t="n">
        <f aca="false">INDEX(AUX_MATRIZES!$C$13:$BP$13,MIN(N_SEMANAS,MAX(1,$C178)))/DIAS_POR_SEMANA</f>
        <v>5179.78811764705</v>
      </c>
      <c r="T178" s="16" t="n">
        <f aca="false">MIN(CADASTRO_CASAS_BOMBA!$O$11,MAX(0,T177+CADASTRO_CASAS_BOMBA!$I$11*HORAS_CAPTACAO_DIA-S178))</f>
        <v>469821</v>
      </c>
      <c r="U178" s="16" t="n">
        <f aca="false">MAX(0,S178-CADASTRO_CASAS_BOMBA!$I$11*HORAS_CAPTACAO_DIA-T177)</f>
        <v>0</v>
      </c>
      <c r="V178" s="16" t="n">
        <f aca="false">INDEX(AUX_MATRIZES!$C$14:$BP$14,MIN(N_SEMANAS,MAX(1,$C178)))/DIAS_POR_SEMANA</f>
        <v>1844.99923608694</v>
      </c>
      <c r="W178" s="16" t="n">
        <f aca="false">MIN(CADASTRO_CASAS_BOMBA!$O$12,MAX(0,W177+CADASTRO_CASAS_BOMBA!$I$12*HORAS_CAPTACAO_DIA-V178))</f>
        <v>440000</v>
      </c>
      <c r="X178" s="16" t="n">
        <f aca="false">MAX(0,V178-CADASTRO_CASAS_BOMBA!$I$12*HORAS_CAPTACAO_DIA-W177)</f>
        <v>0</v>
      </c>
      <c r="Y178" s="16" t="n">
        <f aca="false">INDEX(AUX_MATRIZES!$C$15:$BP$15,MIN(N_SEMANAS,MAX(1,$C178)))/DIAS_POR_SEMANA</f>
        <v>0</v>
      </c>
      <c r="Z178" s="16" t="n">
        <f aca="false">MIN(CADASTRO_CASAS_BOMBA!$O$13,MAX(0,Z177+CADASTRO_CASAS_BOMBA!$I$13*HORAS_CAPTACAO_DIA-Y178))</f>
        <v>74903</v>
      </c>
      <c r="AA178" s="16" t="n">
        <f aca="false">MAX(0,Y178-CADASTRO_CASAS_BOMBA!$I$13*HORAS_CAPTACAO_DIA-Z177)</f>
        <v>0</v>
      </c>
    </row>
    <row r="179" customFormat="false" ht="15" hidden="false" customHeight="false" outlineLevel="0" collapsed="false">
      <c r="B179" s="17" t="n">
        <f aca="false">DATA_INICIO_SAFRA+172</f>
        <v>46437</v>
      </c>
      <c r="C179" s="16" t="n">
        <f aca="false">MIN(N_SEMANAS,MAX(1,INT(($B179-DATA_INICIO_SAFRA)/DIAS_POR_SEMANA)+1))</f>
        <v>25</v>
      </c>
      <c r="D179" s="16" t="n">
        <f aca="false">INDEX(AUX_MATRIZES!$C$8:$BP$8,MIN(N_SEMANAS,MAX(1,$C179)))/DIAS_POR_SEMANA</f>
        <v>0</v>
      </c>
      <c r="E179" s="16" t="n">
        <f aca="false">MIN(CADASTRO_CASAS_BOMBA!$O$6,MAX(0,E178+CADASTRO_CASAS_BOMBA!$I$6*HORAS_CAPTACAO_DIA-D179))</f>
        <v>2600</v>
      </c>
      <c r="F179" s="16" t="n">
        <f aca="false">MAX(0,D179-CADASTRO_CASAS_BOMBA!$I$6*HORAS_CAPTACAO_DIA-E178)</f>
        <v>0</v>
      </c>
      <c r="G179" s="16" t="n">
        <f aca="false">INDEX(AUX_MATRIZES!$C$9:$BP$9,MIN(N_SEMANAS,MAX(1,$C179)))/DIAS_POR_SEMANA</f>
        <v>640.455977259541</v>
      </c>
      <c r="H179" s="16" t="n">
        <f aca="false">MIN(CADASTRO_CASAS_BOMBA!$O$7,MAX(0,H178+CADASTRO_CASAS_BOMBA!$I$7*HORAS_CAPTACAO_DIA-G179))</f>
        <v>76648</v>
      </c>
      <c r="I179" s="16" t="n">
        <f aca="false">MAX(0,G179-CADASTRO_CASAS_BOMBA!$I$7*HORAS_CAPTACAO_DIA-H178)</f>
        <v>0</v>
      </c>
      <c r="J179" s="16" t="n">
        <f aca="false">INDEX(AUX_MATRIZES!$C$10:$BP$10,MIN(N_SEMANAS,MAX(1,$C179)))/DIAS_POR_SEMANA</f>
        <v>0</v>
      </c>
      <c r="K179" s="16" t="n">
        <f aca="false">MIN(CADASTRO_CASAS_BOMBA!$O$8,MAX(0,K178+CADASTRO_CASAS_BOMBA!$I$8*HORAS_CAPTACAO_DIA-J179))</f>
        <v>27377</v>
      </c>
      <c r="L179" s="16" t="n">
        <f aca="false">MAX(0,J179-CADASTRO_CASAS_BOMBA!$I$8*HORAS_CAPTACAO_DIA-K178)</f>
        <v>0</v>
      </c>
      <c r="M179" s="16" t="n">
        <f aca="false">INDEX(AUX_MATRIZES!$C$11:$BP$11,MIN(N_SEMANAS,MAX(1,$C179)))/DIAS_POR_SEMANA</f>
        <v>1694.33207123796</v>
      </c>
      <c r="N179" s="16" t="n">
        <f aca="false">MIN(CADASTRO_CASAS_BOMBA!$O$9,MAX(0,N178+CADASTRO_CASAS_BOMBA!$I$9*HORAS_CAPTACAO_DIA-M179))</f>
        <v>129000</v>
      </c>
      <c r="O179" s="16" t="n">
        <f aca="false">MAX(0,M179-CADASTRO_CASAS_BOMBA!$I$9*HORAS_CAPTACAO_DIA-N178)</f>
        <v>0</v>
      </c>
      <c r="P179" s="16" t="n">
        <f aca="false">INDEX(AUX_MATRIZES!$C$12:$BP$12,MIN(N_SEMANAS,MAX(1,$C179)))/DIAS_POR_SEMANA</f>
        <v>4486.16878431372</v>
      </c>
      <c r="Q179" s="16" t="n">
        <f aca="false">MIN(CADASTRO_CASAS_BOMBA!$O$10,MAX(0,Q178+CADASTRO_CASAS_BOMBA!$I$10*HORAS_CAPTACAO_DIA-P179))</f>
        <v>1000000</v>
      </c>
      <c r="R179" s="16" t="n">
        <f aca="false">MAX(0,P179-CADASTRO_CASAS_BOMBA!$I$10*HORAS_CAPTACAO_DIA-Q178)</f>
        <v>0</v>
      </c>
      <c r="S179" s="16" t="n">
        <f aca="false">INDEX(AUX_MATRIZES!$C$13:$BP$13,MIN(N_SEMANAS,MAX(1,$C179)))/DIAS_POR_SEMANA</f>
        <v>5179.78811764705</v>
      </c>
      <c r="T179" s="16" t="n">
        <f aca="false">MIN(CADASTRO_CASAS_BOMBA!$O$11,MAX(0,T178+CADASTRO_CASAS_BOMBA!$I$11*HORAS_CAPTACAO_DIA-S179))</f>
        <v>469821</v>
      </c>
      <c r="U179" s="16" t="n">
        <f aca="false">MAX(0,S179-CADASTRO_CASAS_BOMBA!$I$11*HORAS_CAPTACAO_DIA-T178)</f>
        <v>0</v>
      </c>
      <c r="V179" s="16" t="n">
        <f aca="false">INDEX(AUX_MATRIZES!$C$14:$BP$14,MIN(N_SEMANAS,MAX(1,$C179)))/DIAS_POR_SEMANA</f>
        <v>1844.99923608694</v>
      </c>
      <c r="W179" s="16" t="n">
        <f aca="false">MIN(CADASTRO_CASAS_BOMBA!$O$12,MAX(0,W178+CADASTRO_CASAS_BOMBA!$I$12*HORAS_CAPTACAO_DIA-V179))</f>
        <v>440000</v>
      </c>
      <c r="X179" s="16" t="n">
        <f aca="false">MAX(0,V179-CADASTRO_CASAS_BOMBA!$I$12*HORAS_CAPTACAO_DIA-W178)</f>
        <v>0</v>
      </c>
      <c r="Y179" s="16" t="n">
        <f aca="false">INDEX(AUX_MATRIZES!$C$15:$BP$15,MIN(N_SEMANAS,MAX(1,$C179)))/DIAS_POR_SEMANA</f>
        <v>0</v>
      </c>
      <c r="Z179" s="16" t="n">
        <f aca="false">MIN(CADASTRO_CASAS_BOMBA!$O$13,MAX(0,Z178+CADASTRO_CASAS_BOMBA!$I$13*HORAS_CAPTACAO_DIA-Y179))</f>
        <v>74903</v>
      </c>
      <c r="AA179" s="16" t="n">
        <f aca="false">MAX(0,Y179-CADASTRO_CASAS_BOMBA!$I$13*HORAS_CAPTACAO_DIA-Z178)</f>
        <v>0</v>
      </c>
    </row>
    <row r="180" customFormat="false" ht="15" hidden="false" customHeight="false" outlineLevel="0" collapsed="false">
      <c r="B180" s="17" t="n">
        <f aca="false">DATA_INICIO_SAFRA+173</f>
        <v>46438</v>
      </c>
      <c r="C180" s="16" t="n">
        <f aca="false">MIN(N_SEMANAS,MAX(1,INT(($B180-DATA_INICIO_SAFRA)/DIAS_POR_SEMANA)+1))</f>
        <v>25</v>
      </c>
      <c r="D180" s="16" t="n">
        <f aca="false">INDEX(AUX_MATRIZES!$C$8:$BP$8,MIN(N_SEMANAS,MAX(1,$C180)))/DIAS_POR_SEMANA</f>
        <v>0</v>
      </c>
      <c r="E180" s="16" t="n">
        <f aca="false">MIN(CADASTRO_CASAS_BOMBA!$O$6,MAX(0,E179+CADASTRO_CASAS_BOMBA!$I$6*HORAS_CAPTACAO_DIA-D180))</f>
        <v>2600</v>
      </c>
      <c r="F180" s="16" t="n">
        <f aca="false">MAX(0,D180-CADASTRO_CASAS_BOMBA!$I$6*HORAS_CAPTACAO_DIA-E179)</f>
        <v>0</v>
      </c>
      <c r="G180" s="16" t="n">
        <f aca="false">INDEX(AUX_MATRIZES!$C$9:$BP$9,MIN(N_SEMANAS,MAX(1,$C180)))/DIAS_POR_SEMANA</f>
        <v>640.455977259541</v>
      </c>
      <c r="H180" s="16" t="n">
        <f aca="false">MIN(CADASTRO_CASAS_BOMBA!$O$7,MAX(0,H179+CADASTRO_CASAS_BOMBA!$I$7*HORAS_CAPTACAO_DIA-G180))</f>
        <v>76648</v>
      </c>
      <c r="I180" s="16" t="n">
        <f aca="false">MAX(0,G180-CADASTRO_CASAS_BOMBA!$I$7*HORAS_CAPTACAO_DIA-H179)</f>
        <v>0</v>
      </c>
      <c r="J180" s="16" t="n">
        <f aca="false">INDEX(AUX_MATRIZES!$C$10:$BP$10,MIN(N_SEMANAS,MAX(1,$C180)))/DIAS_POR_SEMANA</f>
        <v>0</v>
      </c>
      <c r="K180" s="16" t="n">
        <f aca="false">MIN(CADASTRO_CASAS_BOMBA!$O$8,MAX(0,K179+CADASTRO_CASAS_BOMBA!$I$8*HORAS_CAPTACAO_DIA-J180))</f>
        <v>27377</v>
      </c>
      <c r="L180" s="16" t="n">
        <f aca="false">MAX(0,J180-CADASTRO_CASAS_BOMBA!$I$8*HORAS_CAPTACAO_DIA-K179)</f>
        <v>0</v>
      </c>
      <c r="M180" s="16" t="n">
        <f aca="false">INDEX(AUX_MATRIZES!$C$11:$BP$11,MIN(N_SEMANAS,MAX(1,$C180)))/DIAS_POR_SEMANA</f>
        <v>1694.33207123796</v>
      </c>
      <c r="N180" s="16" t="n">
        <f aca="false">MIN(CADASTRO_CASAS_BOMBA!$O$9,MAX(0,N179+CADASTRO_CASAS_BOMBA!$I$9*HORAS_CAPTACAO_DIA-M180))</f>
        <v>129000</v>
      </c>
      <c r="O180" s="16" t="n">
        <f aca="false">MAX(0,M180-CADASTRO_CASAS_BOMBA!$I$9*HORAS_CAPTACAO_DIA-N179)</f>
        <v>0</v>
      </c>
      <c r="P180" s="16" t="n">
        <f aca="false">INDEX(AUX_MATRIZES!$C$12:$BP$12,MIN(N_SEMANAS,MAX(1,$C180)))/DIAS_POR_SEMANA</f>
        <v>4486.16878431372</v>
      </c>
      <c r="Q180" s="16" t="n">
        <f aca="false">MIN(CADASTRO_CASAS_BOMBA!$O$10,MAX(0,Q179+CADASTRO_CASAS_BOMBA!$I$10*HORAS_CAPTACAO_DIA-P180))</f>
        <v>1000000</v>
      </c>
      <c r="R180" s="16" t="n">
        <f aca="false">MAX(0,P180-CADASTRO_CASAS_BOMBA!$I$10*HORAS_CAPTACAO_DIA-Q179)</f>
        <v>0</v>
      </c>
      <c r="S180" s="16" t="n">
        <f aca="false">INDEX(AUX_MATRIZES!$C$13:$BP$13,MIN(N_SEMANAS,MAX(1,$C180)))/DIAS_POR_SEMANA</f>
        <v>5179.78811764705</v>
      </c>
      <c r="T180" s="16" t="n">
        <f aca="false">MIN(CADASTRO_CASAS_BOMBA!$O$11,MAX(0,T179+CADASTRO_CASAS_BOMBA!$I$11*HORAS_CAPTACAO_DIA-S180))</f>
        <v>469821</v>
      </c>
      <c r="U180" s="16" t="n">
        <f aca="false">MAX(0,S180-CADASTRO_CASAS_BOMBA!$I$11*HORAS_CAPTACAO_DIA-T179)</f>
        <v>0</v>
      </c>
      <c r="V180" s="16" t="n">
        <f aca="false">INDEX(AUX_MATRIZES!$C$14:$BP$14,MIN(N_SEMANAS,MAX(1,$C180)))/DIAS_POR_SEMANA</f>
        <v>1844.99923608694</v>
      </c>
      <c r="W180" s="16" t="n">
        <f aca="false">MIN(CADASTRO_CASAS_BOMBA!$O$12,MAX(0,W179+CADASTRO_CASAS_BOMBA!$I$12*HORAS_CAPTACAO_DIA-V180))</f>
        <v>440000</v>
      </c>
      <c r="X180" s="16" t="n">
        <f aca="false">MAX(0,V180-CADASTRO_CASAS_BOMBA!$I$12*HORAS_CAPTACAO_DIA-W179)</f>
        <v>0</v>
      </c>
      <c r="Y180" s="16" t="n">
        <f aca="false">INDEX(AUX_MATRIZES!$C$15:$BP$15,MIN(N_SEMANAS,MAX(1,$C180)))/DIAS_POR_SEMANA</f>
        <v>0</v>
      </c>
      <c r="Z180" s="16" t="n">
        <f aca="false">MIN(CADASTRO_CASAS_BOMBA!$O$13,MAX(0,Z179+CADASTRO_CASAS_BOMBA!$I$13*HORAS_CAPTACAO_DIA-Y180))</f>
        <v>74903</v>
      </c>
      <c r="AA180" s="16" t="n">
        <f aca="false">MAX(0,Y180-CADASTRO_CASAS_BOMBA!$I$13*HORAS_CAPTACAO_DIA-Z179)</f>
        <v>0</v>
      </c>
    </row>
    <row r="181" customFormat="false" ht="15" hidden="false" customHeight="false" outlineLevel="0" collapsed="false">
      <c r="B181" s="17" t="n">
        <f aca="false">DATA_INICIO_SAFRA+174</f>
        <v>46439</v>
      </c>
      <c r="C181" s="16" t="n">
        <f aca="false">MIN(N_SEMANAS,MAX(1,INT(($B181-DATA_INICIO_SAFRA)/DIAS_POR_SEMANA)+1))</f>
        <v>25</v>
      </c>
      <c r="D181" s="16" t="n">
        <f aca="false">INDEX(AUX_MATRIZES!$C$8:$BP$8,MIN(N_SEMANAS,MAX(1,$C181)))/DIAS_POR_SEMANA</f>
        <v>0</v>
      </c>
      <c r="E181" s="16" t="n">
        <f aca="false">MIN(CADASTRO_CASAS_BOMBA!$O$6,MAX(0,E180+CADASTRO_CASAS_BOMBA!$I$6*HORAS_CAPTACAO_DIA-D181))</f>
        <v>2600</v>
      </c>
      <c r="F181" s="16" t="n">
        <f aca="false">MAX(0,D181-CADASTRO_CASAS_BOMBA!$I$6*HORAS_CAPTACAO_DIA-E180)</f>
        <v>0</v>
      </c>
      <c r="G181" s="16" t="n">
        <f aca="false">INDEX(AUX_MATRIZES!$C$9:$BP$9,MIN(N_SEMANAS,MAX(1,$C181)))/DIAS_POR_SEMANA</f>
        <v>640.455977259541</v>
      </c>
      <c r="H181" s="16" t="n">
        <f aca="false">MIN(CADASTRO_CASAS_BOMBA!$O$7,MAX(0,H180+CADASTRO_CASAS_BOMBA!$I$7*HORAS_CAPTACAO_DIA-G181))</f>
        <v>76648</v>
      </c>
      <c r="I181" s="16" t="n">
        <f aca="false">MAX(0,G181-CADASTRO_CASAS_BOMBA!$I$7*HORAS_CAPTACAO_DIA-H180)</f>
        <v>0</v>
      </c>
      <c r="J181" s="16" t="n">
        <f aca="false">INDEX(AUX_MATRIZES!$C$10:$BP$10,MIN(N_SEMANAS,MAX(1,$C181)))/DIAS_POR_SEMANA</f>
        <v>0</v>
      </c>
      <c r="K181" s="16" t="n">
        <f aca="false">MIN(CADASTRO_CASAS_BOMBA!$O$8,MAX(0,K180+CADASTRO_CASAS_BOMBA!$I$8*HORAS_CAPTACAO_DIA-J181))</f>
        <v>27377</v>
      </c>
      <c r="L181" s="16" t="n">
        <f aca="false">MAX(0,J181-CADASTRO_CASAS_BOMBA!$I$8*HORAS_CAPTACAO_DIA-K180)</f>
        <v>0</v>
      </c>
      <c r="M181" s="16" t="n">
        <f aca="false">INDEX(AUX_MATRIZES!$C$11:$BP$11,MIN(N_SEMANAS,MAX(1,$C181)))/DIAS_POR_SEMANA</f>
        <v>1694.33207123796</v>
      </c>
      <c r="N181" s="16" t="n">
        <f aca="false">MIN(CADASTRO_CASAS_BOMBA!$O$9,MAX(0,N180+CADASTRO_CASAS_BOMBA!$I$9*HORAS_CAPTACAO_DIA-M181))</f>
        <v>129000</v>
      </c>
      <c r="O181" s="16" t="n">
        <f aca="false">MAX(0,M181-CADASTRO_CASAS_BOMBA!$I$9*HORAS_CAPTACAO_DIA-N180)</f>
        <v>0</v>
      </c>
      <c r="P181" s="16" t="n">
        <f aca="false">INDEX(AUX_MATRIZES!$C$12:$BP$12,MIN(N_SEMANAS,MAX(1,$C181)))/DIAS_POR_SEMANA</f>
        <v>4486.16878431372</v>
      </c>
      <c r="Q181" s="16" t="n">
        <f aca="false">MIN(CADASTRO_CASAS_BOMBA!$O$10,MAX(0,Q180+CADASTRO_CASAS_BOMBA!$I$10*HORAS_CAPTACAO_DIA-P181))</f>
        <v>1000000</v>
      </c>
      <c r="R181" s="16" t="n">
        <f aca="false">MAX(0,P181-CADASTRO_CASAS_BOMBA!$I$10*HORAS_CAPTACAO_DIA-Q180)</f>
        <v>0</v>
      </c>
      <c r="S181" s="16" t="n">
        <f aca="false">INDEX(AUX_MATRIZES!$C$13:$BP$13,MIN(N_SEMANAS,MAX(1,$C181)))/DIAS_POR_SEMANA</f>
        <v>5179.78811764705</v>
      </c>
      <c r="T181" s="16" t="n">
        <f aca="false">MIN(CADASTRO_CASAS_BOMBA!$O$11,MAX(0,T180+CADASTRO_CASAS_BOMBA!$I$11*HORAS_CAPTACAO_DIA-S181))</f>
        <v>469821</v>
      </c>
      <c r="U181" s="16" t="n">
        <f aca="false">MAX(0,S181-CADASTRO_CASAS_BOMBA!$I$11*HORAS_CAPTACAO_DIA-T180)</f>
        <v>0</v>
      </c>
      <c r="V181" s="16" t="n">
        <f aca="false">INDEX(AUX_MATRIZES!$C$14:$BP$14,MIN(N_SEMANAS,MAX(1,$C181)))/DIAS_POR_SEMANA</f>
        <v>1844.99923608694</v>
      </c>
      <c r="W181" s="16" t="n">
        <f aca="false">MIN(CADASTRO_CASAS_BOMBA!$O$12,MAX(0,W180+CADASTRO_CASAS_BOMBA!$I$12*HORAS_CAPTACAO_DIA-V181))</f>
        <v>440000</v>
      </c>
      <c r="X181" s="16" t="n">
        <f aca="false">MAX(0,V181-CADASTRO_CASAS_BOMBA!$I$12*HORAS_CAPTACAO_DIA-W180)</f>
        <v>0</v>
      </c>
      <c r="Y181" s="16" t="n">
        <f aca="false">INDEX(AUX_MATRIZES!$C$15:$BP$15,MIN(N_SEMANAS,MAX(1,$C181)))/DIAS_POR_SEMANA</f>
        <v>0</v>
      </c>
      <c r="Z181" s="16" t="n">
        <f aca="false">MIN(CADASTRO_CASAS_BOMBA!$O$13,MAX(0,Z180+CADASTRO_CASAS_BOMBA!$I$13*HORAS_CAPTACAO_DIA-Y181))</f>
        <v>74903</v>
      </c>
      <c r="AA181" s="16" t="n">
        <f aca="false">MAX(0,Y181-CADASTRO_CASAS_BOMBA!$I$13*HORAS_CAPTACAO_DIA-Z180)</f>
        <v>0</v>
      </c>
    </row>
    <row r="182" customFormat="false" ht="15" hidden="false" customHeight="false" outlineLevel="0" collapsed="false">
      <c r="B182" s="17" t="n">
        <f aca="false">DATA_INICIO_SAFRA+175</f>
        <v>46440</v>
      </c>
      <c r="C182" s="16" t="n">
        <f aca="false">MIN(N_SEMANAS,MAX(1,INT(($B182-DATA_INICIO_SAFRA)/DIAS_POR_SEMANA)+1))</f>
        <v>26</v>
      </c>
      <c r="D182" s="16" t="n">
        <f aca="false">INDEX(AUX_MATRIZES!$C$8:$BP$8,MIN(N_SEMANAS,MAX(1,$C182)))/DIAS_POR_SEMANA</f>
        <v>0</v>
      </c>
      <c r="E182" s="16" t="n">
        <f aca="false">MIN(CADASTRO_CASAS_BOMBA!$O$6,MAX(0,E181+CADASTRO_CASAS_BOMBA!$I$6*HORAS_CAPTACAO_DIA-D182))</f>
        <v>2600</v>
      </c>
      <c r="F182" s="16" t="n">
        <f aca="false">MAX(0,D182-CADASTRO_CASAS_BOMBA!$I$6*HORAS_CAPTACAO_DIA-E181)</f>
        <v>0</v>
      </c>
      <c r="G182" s="16" t="n">
        <f aca="false">INDEX(AUX_MATRIZES!$C$9:$BP$9,MIN(N_SEMANAS,MAX(1,$C182)))/DIAS_POR_SEMANA</f>
        <v>985.296705882352</v>
      </c>
      <c r="H182" s="16" t="n">
        <f aca="false">MIN(CADASTRO_CASAS_BOMBA!$O$7,MAX(0,H181+CADASTRO_CASAS_BOMBA!$I$7*HORAS_CAPTACAO_DIA-G182))</f>
        <v>76648</v>
      </c>
      <c r="I182" s="16" t="n">
        <f aca="false">MAX(0,G182-CADASTRO_CASAS_BOMBA!$I$7*HORAS_CAPTACAO_DIA-H181)</f>
        <v>0</v>
      </c>
      <c r="J182" s="16" t="n">
        <f aca="false">INDEX(AUX_MATRIZES!$C$10:$BP$10,MIN(N_SEMANAS,MAX(1,$C182)))/DIAS_POR_SEMANA</f>
        <v>0</v>
      </c>
      <c r="K182" s="16" t="n">
        <f aca="false">MIN(CADASTRO_CASAS_BOMBA!$O$8,MAX(0,K181+CADASTRO_CASAS_BOMBA!$I$8*HORAS_CAPTACAO_DIA-J182))</f>
        <v>27377</v>
      </c>
      <c r="L182" s="16" t="n">
        <f aca="false">MAX(0,J182-CADASTRO_CASAS_BOMBA!$I$8*HORAS_CAPTACAO_DIA-K181)</f>
        <v>0</v>
      </c>
      <c r="M182" s="16" t="n">
        <f aca="false">INDEX(AUX_MATRIZES!$C$11:$BP$11,MIN(N_SEMANAS,MAX(1,$C182)))/DIAS_POR_SEMANA</f>
        <v>2894.7086903353</v>
      </c>
      <c r="N182" s="16" t="n">
        <f aca="false">MIN(CADASTRO_CASAS_BOMBA!$O$9,MAX(0,N181+CADASTRO_CASAS_BOMBA!$I$9*HORAS_CAPTACAO_DIA-M182))</f>
        <v>129000</v>
      </c>
      <c r="O182" s="16" t="n">
        <f aca="false">MAX(0,M182-CADASTRO_CASAS_BOMBA!$I$9*HORAS_CAPTACAO_DIA-N181)</f>
        <v>0</v>
      </c>
      <c r="P182" s="16" t="n">
        <f aca="false">INDEX(AUX_MATRIZES!$C$12:$BP$12,MIN(N_SEMANAS,MAX(1,$C182)))/DIAS_POR_SEMANA</f>
        <v>4626.54211764705</v>
      </c>
      <c r="Q182" s="16" t="n">
        <f aca="false">MIN(CADASTRO_CASAS_BOMBA!$O$10,MAX(0,Q181+CADASTRO_CASAS_BOMBA!$I$10*HORAS_CAPTACAO_DIA-P182))</f>
        <v>1000000</v>
      </c>
      <c r="R182" s="16" t="n">
        <f aca="false">MAX(0,P182-CADASTRO_CASAS_BOMBA!$I$10*HORAS_CAPTACAO_DIA-Q181)</f>
        <v>0</v>
      </c>
      <c r="S182" s="16" t="n">
        <f aca="false">INDEX(AUX_MATRIZES!$C$13:$BP$13,MIN(N_SEMANAS,MAX(1,$C182)))/DIAS_POR_SEMANA</f>
        <v>5416.66811764705</v>
      </c>
      <c r="T182" s="16" t="n">
        <f aca="false">MIN(CADASTRO_CASAS_BOMBA!$O$11,MAX(0,T181+CADASTRO_CASAS_BOMBA!$I$11*HORAS_CAPTACAO_DIA-S182))</f>
        <v>469821</v>
      </c>
      <c r="U182" s="16" t="n">
        <f aca="false">MAX(0,S182-CADASTRO_CASAS_BOMBA!$I$11*HORAS_CAPTACAO_DIA-T181)</f>
        <v>0</v>
      </c>
      <c r="V182" s="16" t="n">
        <f aca="false">INDEX(AUX_MATRIZES!$C$14:$BP$14,MIN(N_SEMANAS,MAX(1,$C182)))/DIAS_POR_SEMANA</f>
        <v>2950.27529411765</v>
      </c>
      <c r="W182" s="16" t="n">
        <f aca="false">MIN(CADASTRO_CASAS_BOMBA!$O$12,MAX(0,W181+CADASTRO_CASAS_BOMBA!$I$12*HORAS_CAPTACAO_DIA-V182))</f>
        <v>440000</v>
      </c>
      <c r="X182" s="16" t="n">
        <f aca="false">MAX(0,V182-CADASTRO_CASAS_BOMBA!$I$12*HORAS_CAPTACAO_DIA-W181)</f>
        <v>0</v>
      </c>
      <c r="Y182" s="16" t="n">
        <f aca="false">INDEX(AUX_MATRIZES!$C$15:$BP$15,MIN(N_SEMANAS,MAX(1,$C182)))/DIAS_POR_SEMANA</f>
        <v>0</v>
      </c>
      <c r="Z182" s="16" t="n">
        <f aca="false">MIN(CADASTRO_CASAS_BOMBA!$O$13,MAX(0,Z181+CADASTRO_CASAS_BOMBA!$I$13*HORAS_CAPTACAO_DIA-Y182))</f>
        <v>74903</v>
      </c>
      <c r="AA182" s="16" t="n">
        <f aca="false">MAX(0,Y182-CADASTRO_CASAS_BOMBA!$I$13*HORAS_CAPTACAO_DIA-Z181)</f>
        <v>0</v>
      </c>
    </row>
    <row r="183" customFormat="false" ht="15" hidden="false" customHeight="false" outlineLevel="0" collapsed="false">
      <c r="B183" s="17" t="n">
        <f aca="false">DATA_INICIO_SAFRA+176</f>
        <v>46441</v>
      </c>
      <c r="C183" s="16" t="n">
        <f aca="false">MIN(N_SEMANAS,MAX(1,INT(($B183-DATA_INICIO_SAFRA)/DIAS_POR_SEMANA)+1))</f>
        <v>26</v>
      </c>
      <c r="D183" s="16" t="n">
        <f aca="false">INDEX(AUX_MATRIZES!$C$8:$BP$8,MIN(N_SEMANAS,MAX(1,$C183)))/DIAS_POR_SEMANA</f>
        <v>0</v>
      </c>
      <c r="E183" s="16" t="n">
        <f aca="false">MIN(CADASTRO_CASAS_BOMBA!$O$6,MAX(0,E182+CADASTRO_CASAS_BOMBA!$I$6*HORAS_CAPTACAO_DIA-D183))</f>
        <v>2600</v>
      </c>
      <c r="F183" s="16" t="n">
        <f aca="false">MAX(0,D183-CADASTRO_CASAS_BOMBA!$I$6*HORAS_CAPTACAO_DIA-E182)</f>
        <v>0</v>
      </c>
      <c r="G183" s="16" t="n">
        <f aca="false">INDEX(AUX_MATRIZES!$C$9:$BP$9,MIN(N_SEMANAS,MAX(1,$C183)))/DIAS_POR_SEMANA</f>
        <v>985.296705882352</v>
      </c>
      <c r="H183" s="16" t="n">
        <f aca="false">MIN(CADASTRO_CASAS_BOMBA!$O$7,MAX(0,H182+CADASTRO_CASAS_BOMBA!$I$7*HORAS_CAPTACAO_DIA-G183))</f>
        <v>76648</v>
      </c>
      <c r="I183" s="16" t="n">
        <f aca="false">MAX(0,G183-CADASTRO_CASAS_BOMBA!$I$7*HORAS_CAPTACAO_DIA-H182)</f>
        <v>0</v>
      </c>
      <c r="J183" s="16" t="n">
        <f aca="false">INDEX(AUX_MATRIZES!$C$10:$BP$10,MIN(N_SEMANAS,MAX(1,$C183)))/DIAS_POR_SEMANA</f>
        <v>0</v>
      </c>
      <c r="K183" s="16" t="n">
        <f aca="false">MIN(CADASTRO_CASAS_BOMBA!$O$8,MAX(0,K182+CADASTRO_CASAS_BOMBA!$I$8*HORAS_CAPTACAO_DIA-J183))</f>
        <v>27377</v>
      </c>
      <c r="L183" s="16" t="n">
        <f aca="false">MAX(0,J183-CADASTRO_CASAS_BOMBA!$I$8*HORAS_CAPTACAO_DIA-K182)</f>
        <v>0</v>
      </c>
      <c r="M183" s="16" t="n">
        <f aca="false">INDEX(AUX_MATRIZES!$C$11:$BP$11,MIN(N_SEMANAS,MAX(1,$C183)))/DIAS_POR_SEMANA</f>
        <v>2894.7086903353</v>
      </c>
      <c r="N183" s="16" t="n">
        <f aca="false">MIN(CADASTRO_CASAS_BOMBA!$O$9,MAX(0,N182+CADASTRO_CASAS_BOMBA!$I$9*HORAS_CAPTACAO_DIA-M183))</f>
        <v>129000</v>
      </c>
      <c r="O183" s="16" t="n">
        <f aca="false">MAX(0,M183-CADASTRO_CASAS_BOMBA!$I$9*HORAS_CAPTACAO_DIA-N182)</f>
        <v>0</v>
      </c>
      <c r="P183" s="16" t="n">
        <f aca="false">INDEX(AUX_MATRIZES!$C$12:$BP$12,MIN(N_SEMANAS,MAX(1,$C183)))/DIAS_POR_SEMANA</f>
        <v>4626.54211764705</v>
      </c>
      <c r="Q183" s="16" t="n">
        <f aca="false">MIN(CADASTRO_CASAS_BOMBA!$O$10,MAX(0,Q182+CADASTRO_CASAS_BOMBA!$I$10*HORAS_CAPTACAO_DIA-P183))</f>
        <v>1000000</v>
      </c>
      <c r="R183" s="16" t="n">
        <f aca="false">MAX(0,P183-CADASTRO_CASAS_BOMBA!$I$10*HORAS_CAPTACAO_DIA-Q182)</f>
        <v>0</v>
      </c>
      <c r="S183" s="16" t="n">
        <f aca="false">INDEX(AUX_MATRIZES!$C$13:$BP$13,MIN(N_SEMANAS,MAX(1,$C183)))/DIAS_POR_SEMANA</f>
        <v>5416.66811764705</v>
      </c>
      <c r="T183" s="16" t="n">
        <f aca="false">MIN(CADASTRO_CASAS_BOMBA!$O$11,MAX(0,T182+CADASTRO_CASAS_BOMBA!$I$11*HORAS_CAPTACAO_DIA-S183))</f>
        <v>469821</v>
      </c>
      <c r="U183" s="16" t="n">
        <f aca="false">MAX(0,S183-CADASTRO_CASAS_BOMBA!$I$11*HORAS_CAPTACAO_DIA-T182)</f>
        <v>0</v>
      </c>
      <c r="V183" s="16" t="n">
        <f aca="false">INDEX(AUX_MATRIZES!$C$14:$BP$14,MIN(N_SEMANAS,MAX(1,$C183)))/DIAS_POR_SEMANA</f>
        <v>2950.27529411765</v>
      </c>
      <c r="W183" s="16" t="n">
        <f aca="false">MIN(CADASTRO_CASAS_BOMBA!$O$12,MAX(0,W182+CADASTRO_CASAS_BOMBA!$I$12*HORAS_CAPTACAO_DIA-V183))</f>
        <v>440000</v>
      </c>
      <c r="X183" s="16" t="n">
        <f aca="false">MAX(0,V183-CADASTRO_CASAS_BOMBA!$I$12*HORAS_CAPTACAO_DIA-W182)</f>
        <v>0</v>
      </c>
      <c r="Y183" s="16" t="n">
        <f aca="false">INDEX(AUX_MATRIZES!$C$15:$BP$15,MIN(N_SEMANAS,MAX(1,$C183)))/DIAS_POR_SEMANA</f>
        <v>0</v>
      </c>
      <c r="Z183" s="16" t="n">
        <f aca="false">MIN(CADASTRO_CASAS_BOMBA!$O$13,MAX(0,Z182+CADASTRO_CASAS_BOMBA!$I$13*HORAS_CAPTACAO_DIA-Y183))</f>
        <v>74903</v>
      </c>
      <c r="AA183" s="16" t="n">
        <f aca="false">MAX(0,Y183-CADASTRO_CASAS_BOMBA!$I$13*HORAS_CAPTACAO_DIA-Z182)</f>
        <v>0</v>
      </c>
    </row>
    <row r="184" customFormat="false" ht="15" hidden="false" customHeight="false" outlineLevel="0" collapsed="false">
      <c r="B184" s="17" t="n">
        <f aca="false">DATA_INICIO_SAFRA+177</f>
        <v>46442</v>
      </c>
      <c r="C184" s="16" t="n">
        <f aca="false">MIN(N_SEMANAS,MAX(1,INT(($B184-DATA_INICIO_SAFRA)/DIAS_POR_SEMANA)+1))</f>
        <v>26</v>
      </c>
      <c r="D184" s="16" t="n">
        <f aca="false">INDEX(AUX_MATRIZES!$C$8:$BP$8,MIN(N_SEMANAS,MAX(1,$C184)))/DIAS_POR_SEMANA</f>
        <v>0</v>
      </c>
      <c r="E184" s="16" t="n">
        <f aca="false">MIN(CADASTRO_CASAS_BOMBA!$O$6,MAX(0,E183+CADASTRO_CASAS_BOMBA!$I$6*HORAS_CAPTACAO_DIA-D184))</f>
        <v>2600</v>
      </c>
      <c r="F184" s="16" t="n">
        <f aca="false">MAX(0,D184-CADASTRO_CASAS_BOMBA!$I$6*HORAS_CAPTACAO_DIA-E183)</f>
        <v>0</v>
      </c>
      <c r="G184" s="16" t="n">
        <f aca="false">INDEX(AUX_MATRIZES!$C$9:$BP$9,MIN(N_SEMANAS,MAX(1,$C184)))/DIAS_POR_SEMANA</f>
        <v>985.296705882352</v>
      </c>
      <c r="H184" s="16" t="n">
        <f aca="false">MIN(CADASTRO_CASAS_BOMBA!$O$7,MAX(0,H183+CADASTRO_CASAS_BOMBA!$I$7*HORAS_CAPTACAO_DIA-G184))</f>
        <v>76648</v>
      </c>
      <c r="I184" s="16" t="n">
        <f aca="false">MAX(0,G184-CADASTRO_CASAS_BOMBA!$I$7*HORAS_CAPTACAO_DIA-H183)</f>
        <v>0</v>
      </c>
      <c r="J184" s="16" t="n">
        <f aca="false">INDEX(AUX_MATRIZES!$C$10:$BP$10,MIN(N_SEMANAS,MAX(1,$C184)))/DIAS_POR_SEMANA</f>
        <v>0</v>
      </c>
      <c r="K184" s="16" t="n">
        <f aca="false">MIN(CADASTRO_CASAS_BOMBA!$O$8,MAX(0,K183+CADASTRO_CASAS_BOMBA!$I$8*HORAS_CAPTACAO_DIA-J184))</f>
        <v>27377</v>
      </c>
      <c r="L184" s="16" t="n">
        <f aca="false">MAX(0,J184-CADASTRO_CASAS_BOMBA!$I$8*HORAS_CAPTACAO_DIA-K183)</f>
        <v>0</v>
      </c>
      <c r="M184" s="16" t="n">
        <f aca="false">INDEX(AUX_MATRIZES!$C$11:$BP$11,MIN(N_SEMANAS,MAX(1,$C184)))/DIAS_POR_SEMANA</f>
        <v>2894.7086903353</v>
      </c>
      <c r="N184" s="16" t="n">
        <f aca="false">MIN(CADASTRO_CASAS_BOMBA!$O$9,MAX(0,N183+CADASTRO_CASAS_BOMBA!$I$9*HORAS_CAPTACAO_DIA-M184))</f>
        <v>129000</v>
      </c>
      <c r="O184" s="16" t="n">
        <f aca="false">MAX(0,M184-CADASTRO_CASAS_BOMBA!$I$9*HORAS_CAPTACAO_DIA-N183)</f>
        <v>0</v>
      </c>
      <c r="P184" s="16" t="n">
        <f aca="false">INDEX(AUX_MATRIZES!$C$12:$BP$12,MIN(N_SEMANAS,MAX(1,$C184)))/DIAS_POR_SEMANA</f>
        <v>4626.54211764705</v>
      </c>
      <c r="Q184" s="16" t="n">
        <f aca="false">MIN(CADASTRO_CASAS_BOMBA!$O$10,MAX(0,Q183+CADASTRO_CASAS_BOMBA!$I$10*HORAS_CAPTACAO_DIA-P184))</f>
        <v>1000000</v>
      </c>
      <c r="R184" s="16" t="n">
        <f aca="false">MAX(0,P184-CADASTRO_CASAS_BOMBA!$I$10*HORAS_CAPTACAO_DIA-Q183)</f>
        <v>0</v>
      </c>
      <c r="S184" s="16" t="n">
        <f aca="false">INDEX(AUX_MATRIZES!$C$13:$BP$13,MIN(N_SEMANAS,MAX(1,$C184)))/DIAS_POR_SEMANA</f>
        <v>5416.66811764705</v>
      </c>
      <c r="T184" s="16" t="n">
        <f aca="false">MIN(CADASTRO_CASAS_BOMBA!$O$11,MAX(0,T183+CADASTRO_CASAS_BOMBA!$I$11*HORAS_CAPTACAO_DIA-S184))</f>
        <v>469821</v>
      </c>
      <c r="U184" s="16" t="n">
        <f aca="false">MAX(0,S184-CADASTRO_CASAS_BOMBA!$I$11*HORAS_CAPTACAO_DIA-T183)</f>
        <v>0</v>
      </c>
      <c r="V184" s="16" t="n">
        <f aca="false">INDEX(AUX_MATRIZES!$C$14:$BP$14,MIN(N_SEMANAS,MAX(1,$C184)))/DIAS_POR_SEMANA</f>
        <v>2950.27529411765</v>
      </c>
      <c r="W184" s="16" t="n">
        <f aca="false">MIN(CADASTRO_CASAS_BOMBA!$O$12,MAX(0,W183+CADASTRO_CASAS_BOMBA!$I$12*HORAS_CAPTACAO_DIA-V184))</f>
        <v>440000</v>
      </c>
      <c r="X184" s="16" t="n">
        <f aca="false">MAX(0,V184-CADASTRO_CASAS_BOMBA!$I$12*HORAS_CAPTACAO_DIA-W183)</f>
        <v>0</v>
      </c>
      <c r="Y184" s="16" t="n">
        <f aca="false">INDEX(AUX_MATRIZES!$C$15:$BP$15,MIN(N_SEMANAS,MAX(1,$C184)))/DIAS_POR_SEMANA</f>
        <v>0</v>
      </c>
      <c r="Z184" s="16" t="n">
        <f aca="false">MIN(CADASTRO_CASAS_BOMBA!$O$13,MAX(0,Z183+CADASTRO_CASAS_BOMBA!$I$13*HORAS_CAPTACAO_DIA-Y184))</f>
        <v>74903</v>
      </c>
      <c r="AA184" s="16" t="n">
        <f aca="false">MAX(0,Y184-CADASTRO_CASAS_BOMBA!$I$13*HORAS_CAPTACAO_DIA-Z183)</f>
        <v>0</v>
      </c>
    </row>
    <row r="185" customFormat="false" ht="15" hidden="false" customHeight="false" outlineLevel="0" collapsed="false">
      <c r="B185" s="17" t="n">
        <f aca="false">DATA_INICIO_SAFRA+178</f>
        <v>46443</v>
      </c>
      <c r="C185" s="16" t="n">
        <f aca="false">MIN(N_SEMANAS,MAX(1,INT(($B185-DATA_INICIO_SAFRA)/DIAS_POR_SEMANA)+1))</f>
        <v>26</v>
      </c>
      <c r="D185" s="16" t="n">
        <f aca="false">INDEX(AUX_MATRIZES!$C$8:$BP$8,MIN(N_SEMANAS,MAX(1,$C185)))/DIAS_POR_SEMANA</f>
        <v>0</v>
      </c>
      <c r="E185" s="16" t="n">
        <f aca="false">MIN(CADASTRO_CASAS_BOMBA!$O$6,MAX(0,E184+CADASTRO_CASAS_BOMBA!$I$6*HORAS_CAPTACAO_DIA-D185))</f>
        <v>2600</v>
      </c>
      <c r="F185" s="16" t="n">
        <f aca="false">MAX(0,D185-CADASTRO_CASAS_BOMBA!$I$6*HORAS_CAPTACAO_DIA-E184)</f>
        <v>0</v>
      </c>
      <c r="G185" s="16" t="n">
        <f aca="false">INDEX(AUX_MATRIZES!$C$9:$BP$9,MIN(N_SEMANAS,MAX(1,$C185)))/DIAS_POR_SEMANA</f>
        <v>985.296705882352</v>
      </c>
      <c r="H185" s="16" t="n">
        <f aca="false">MIN(CADASTRO_CASAS_BOMBA!$O$7,MAX(0,H184+CADASTRO_CASAS_BOMBA!$I$7*HORAS_CAPTACAO_DIA-G185))</f>
        <v>76648</v>
      </c>
      <c r="I185" s="16" t="n">
        <f aca="false">MAX(0,G185-CADASTRO_CASAS_BOMBA!$I$7*HORAS_CAPTACAO_DIA-H184)</f>
        <v>0</v>
      </c>
      <c r="J185" s="16" t="n">
        <f aca="false">INDEX(AUX_MATRIZES!$C$10:$BP$10,MIN(N_SEMANAS,MAX(1,$C185)))/DIAS_POR_SEMANA</f>
        <v>0</v>
      </c>
      <c r="K185" s="16" t="n">
        <f aca="false">MIN(CADASTRO_CASAS_BOMBA!$O$8,MAX(0,K184+CADASTRO_CASAS_BOMBA!$I$8*HORAS_CAPTACAO_DIA-J185))</f>
        <v>27377</v>
      </c>
      <c r="L185" s="16" t="n">
        <f aca="false">MAX(0,J185-CADASTRO_CASAS_BOMBA!$I$8*HORAS_CAPTACAO_DIA-K184)</f>
        <v>0</v>
      </c>
      <c r="M185" s="16" t="n">
        <f aca="false">INDEX(AUX_MATRIZES!$C$11:$BP$11,MIN(N_SEMANAS,MAX(1,$C185)))/DIAS_POR_SEMANA</f>
        <v>2894.7086903353</v>
      </c>
      <c r="N185" s="16" t="n">
        <f aca="false">MIN(CADASTRO_CASAS_BOMBA!$O$9,MAX(0,N184+CADASTRO_CASAS_BOMBA!$I$9*HORAS_CAPTACAO_DIA-M185))</f>
        <v>129000</v>
      </c>
      <c r="O185" s="16" t="n">
        <f aca="false">MAX(0,M185-CADASTRO_CASAS_BOMBA!$I$9*HORAS_CAPTACAO_DIA-N184)</f>
        <v>0</v>
      </c>
      <c r="P185" s="16" t="n">
        <f aca="false">INDEX(AUX_MATRIZES!$C$12:$BP$12,MIN(N_SEMANAS,MAX(1,$C185)))/DIAS_POR_SEMANA</f>
        <v>4626.54211764705</v>
      </c>
      <c r="Q185" s="16" t="n">
        <f aca="false">MIN(CADASTRO_CASAS_BOMBA!$O$10,MAX(0,Q184+CADASTRO_CASAS_BOMBA!$I$10*HORAS_CAPTACAO_DIA-P185))</f>
        <v>1000000</v>
      </c>
      <c r="R185" s="16" t="n">
        <f aca="false">MAX(0,P185-CADASTRO_CASAS_BOMBA!$I$10*HORAS_CAPTACAO_DIA-Q184)</f>
        <v>0</v>
      </c>
      <c r="S185" s="16" t="n">
        <f aca="false">INDEX(AUX_MATRIZES!$C$13:$BP$13,MIN(N_SEMANAS,MAX(1,$C185)))/DIAS_POR_SEMANA</f>
        <v>5416.66811764705</v>
      </c>
      <c r="T185" s="16" t="n">
        <f aca="false">MIN(CADASTRO_CASAS_BOMBA!$O$11,MAX(0,T184+CADASTRO_CASAS_BOMBA!$I$11*HORAS_CAPTACAO_DIA-S185))</f>
        <v>469821</v>
      </c>
      <c r="U185" s="16" t="n">
        <f aca="false">MAX(0,S185-CADASTRO_CASAS_BOMBA!$I$11*HORAS_CAPTACAO_DIA-T184)</f>
        <v>0</v>
      </c>
      <c r="V185" s="16" t="n">
        <f aca="false">INDEX(AUX_MATRIZES!$C$14:$BP$14,MIN(N_SEMANAS,MAX(1,$C185)))/DIAS_POR_SEMANA</f>
        <v>2950.27529411765</v>
      </c>
      <c r="W185" s="16" t="n">
        <f aca="false">MIN(CADASTRO_CASAS_BOMBA!$O$12,MAX(0,W184+CADASTRO_CASAS_BOMBA!$I$12*HORAS_CAPTACAO_DIA-V185))</f>
        <v>440000</v>
      </c>
      <c r="X185" s="16" t="n">
        <f aca="false">MAX(0,V185-CADASTRO_CASAS_BOMBA!$I$12*HORAS_CAPTACAO_DIA-W184)</f>
        <v>0</v>
      </c>
      <c r="Y185" s="16" t="n">
        <f aca="false">INDEX(AUX_MATRIZES!$C$15:$BP$15,MIN(N_SEMANAS,MAX(1,$C185)))/DIAS_POR_SEMANA</f>
        <v>0</v>
      </c>
      <c r="Z185" s="16" t="n">
        <f aca="false">MIN(CADASTRO_CASAS_BOMBA!$O$13,MAX(0,Z184+CADASTRO_CASAS_BOMBA!$I$13*HORAS_CAPTACAO_DIA-Y185))</f>
        <v>74903</v>
      </c>
      <c r="AA185" s="16" t="n">
        <f aca="false">MAX(0,Y185-CADASTRO_CASAS_BOMBA!$I$13*HORAS_CAPTACAO_DIA-Z184)</f>
        <v>0</v>
      </c>
    </row>
    <row r="186" customFormat="false" ht="15" hidden="false" customHeight="false" outlineLevel="0" collapsed="false">
      <c r="B186" s="17" t="n">
        <f aca="false">DATA_INICIO_SAFRA+179</f>
        <v>46444</v>
      </c>
      <c r="C186" s="16" t="n">
        <f aca="false">MIN(N_SEMANAS,MAX(1,INT(($B186-DATA_INICIO_SAFRA)/DIAS_POR_SEMANA)+1))</f>
        <v>26</v>
      </c>
      <c r="D186" s="16" t="n">
        <f aca="false">INDEX(AUX_MATRIZES!$C$8:$BP$8,MIN(N_SEMANAS,MAX(1,$C186)))/DIAS_POR_SEMANA</f>
        <v>0</v>
      </c>
      <c r="E186" s="16" t="n">
        <f aca="false">MIN(CADASTRO_CASAS_BOMBA!$O$6,MAX(0,E185+CADASTRO_CASAS_BOMBA!$I$6*HORAS_CAPTACAO_DIA-D186))</f>
        <v>2600</v>
      </c>
      <c r="F186" s="16" t="n">
        <f aca="false">MAX(0,D186-CADASTRO_CASAS_BOMBA!$I$6*HORAS_CAPTACAO_DIA-E185)</f>
        <v>0</v>
      </c>
      <c r="G186" s="16" t="n">
        <f aca="false">INDEX(AUX_MATRIZES!$C$9:$BP$9,MIN(N_SEMANAS,MAX(1,$C186)))/DIAS_POR_SEMANA</f>
        <v>985.296705882352</v>
      </c>
      <c r="H186" s="16" t="n">
        <f aca="false">MIN(CADASTRO_CASAS_BOMBA!$O$7,MAX(0,H185+CADASTRO_CASAS_BOMBA!$I$7*HORAS_CAPTACAO_DIA-G186))</f>
        <v>76648</v>
      </c>
      <c r="I186" s="16" t="n">
        <f aca="false">MAX(0,G186-CADASTRO_CASAS_BOMBA!$I$7*HORAS_CAPTACAO_DIA-H185)</f>
        <v>0</v>
      </c>
      <c r="J186" s="16" t="n">
        <f aca="false">INDEX(AUX_MATRIZES!$C$10:$BP$10,MIN(N_SEMANAS,MAX(1,$C186)))/DIAS_POR_SEMANA</f>
        <v>0</v>
      </c>
      <c r="K186" s="16" t="n">
        <f aca="false">MIN(CADASTRO_CASAS_BOMBA!$O$8,MAX(0,K185+CADASTRO_CASAS_BOMBA!$I$8*HORAS_CAPTACAO_DIA-J186))</f>
        <v>27377</v>
      </c>
      <c r="L186" s="16" t="n">
        <f aca="false">MAX(0,J186-CADASTRO_CASAS_BOMBA!$I$8*HORAS_CAPTACAO_DIA-K185)</f>
        <v>0</v>
      </c>
      <c r="M186" s="16" t="n">
        <f aca="false">INDEX(AUX_MATRIZES!$C$11:$BP$11,MIN(N_SEMANAS,MAX(1,$C186)))/DIAS_POR_SEMANA</f>
        <v>2894.7086903353</v>
      </c>
      <c r="N186" s="16" t="n">
        <f aca="false">MIN(CADASTRO_CASAS_BOMBA!$O$9,MAX(0,N185+CADASTRO_CASAS_BOMBA!$I$9*HORAS_CAPTACAO_DIA-M186))</f>
        <v>129000</v>
      </c>
      <c r="O186" s="16" t="n">
        <f aca="false">MAX(0,M186-CADASTRO_CASAS_BOMBA!$I$9*HORAS_CAPTACAO_DIA-N185)</f>
        <v>0</v>
      </c>
      <c r="P186" s="16" t="n">
        <f aca="false">INDEX(AUX_MATRIZES!$C$12:$BP$12,MIN(N_SEMANAS,MAX(1,$C186)))/DIAS_POR_SEMANA</f>
        <v>4626.54211764705</v>
      </c>
      <c r="Q186" s="16" t="n">
        <f aca="false">MIN(CADASTRO_CASAS_BOMBA!$O$10,MAX(0,Q185+CADASTRO_CASAS_BOMBA!$I$10*HORAS_CAPTACAO_DIA-P186))</f>
        <v>1000000</v>
      </c>
      <c r="R186" s="16" t="n">
        <f aca="false">MAX(0,P186-CADASTRO_CASAS_BOMBA!$I$10*HORAS_CAPTACAO_DIA-Q185)</f>
        <v>0</v>
      </c>
      <c r="S186" s="16" t="n">
        <f aca="false">INDEX(AUX_MATRIZES!$C$13:$BP$13,MIN(N_SEMANAS,MAX(1,$C186)))/DIAS_POR_SEMANA</f>
        <v>5416.66811764705</v>
      </c>
      <c r="T186" s="16" t="n">
        <f aca="false">MIN(CADASTRO_CASAS_BOMBA!$O$11,MAX(0,T185+CADASTRO_CASAS_BOMBA!$I$11*HORAS_CAPTACAO_DIA-S186))</f>
        <v>469821</v>
      </c>
      <c r="U186" s="16" t="n">
        <f aca="false">MAX(0,S186-CADASTRO_CASAS_BOMBA!$I$11*HORAS_CAPTACAO_DIA-T185)</f>
        <v>0</v>
      </c>
      <c r="V186" s="16" t="n">
        <f aca="false">INDEX(AUX_MATRIZES!$C$14:$BP$14,MIN(N_SEMANAS,MAX(1,$C186)))/DIAS_POR_SEMANA</f>
        <v>2950.27529411765</v>
      </c>
      <c r="W186" s="16" t="n">
        <f aca="false">MIN(CADASTRO_CASAS_BOMBA!$O$12,MAX(0,W185+CADASTRO_CASAS_BOMBA!$I$12*HORAS_CAPTACAO_DIA-V186))</f>
        <v>440000</v>
      </c>
      <c r="X186" s="16" t="n">
        <f aca="false">MAX(0,V186-CADASTRO_CASAS_BOMBA!$I$12*HORAS_CAPTACAO_DIA-W185)</f>
        <v>0</v>
      </c>
      <c r="Y186" s="16" t="n">
        <f aca="false">INDEX(AUX_MATRIZES!$C$15:$BP$15,MIN(N_SEMANAS,MAX(1,$C186)))/DIAS_POR_SEMANA</f>
        <v>0</v>
      </c>
      <c r="Z186" s="16" t="n">
        <f aca="false">MIN(CADASTRO_CASAS_BOMBA!$O$13,MAX(0,Z185+CADASTRO_CASAS_BOMBA!$I$13*HORAS_CAPTACAO_DIA-Y186))</f>
        <v>74903</v>
      </c>
      <c r="AA186" s="16" t="n">
        <f aca="false">MAX(0,Y186-CADASTRO_CASAS_BOMBA!$I$13*HORAS_CAPTACAO_DIA-Z185)</f>
        <v>0</v>
      </c>
    </row>
    <row r="187" customFormat="false" ht="15" hidden="false" customHeight="false" outlineLevel="0" collapsed="false">
      <c r="B187" s="17" t="n">
        <f aca="false">DATA_INICIO_SAFRA+180</f>
        <v>46445</v>
      </c>
      <c r="C187" s="16" t="n">
        <f aca="false">MIN(N_SEMANAS,MAX(1,INT(($B187-DATA_INICIO_SAFRA)/DIAS_POR_SEMANA)+1))</f>
        <v>26</v>
      </c>
      <c r="D187" s="16" t="n">
        <f aca="false">INDEX(AUX_MATRIZES!$C$8:$BP$8,MIN(N_SEMANAS,MAX(1,$C187)))/DIAS_POR_SEMANA</f>
        <v>0</v>
      </c>
      <c r="E187" s="16" t="n">
        <f aca="false">MIN(CADASTRO_CASAS_BOMBA!$O$6,MAX(0,E186+CADASTRO_CASAS_BOMBA!$I$6*HORAS_CAPTACAO_DIA-D187))</f>
        <v>2600</v>
      </c>
      <c r="F187" s="16" t="n">
        <f aca="false">MAX(0,D187-CADASTRO_CASAS_BOMBA!$I$6*HORAS_CAPTACAO_DIA-E186)</f>
        <v>0</v>
      </c>
      <c r="G187" s="16" t="n">
        <f aca="false">INDEX(AUX_MATRIZES!$C$9:$BP$9,MIN(N_SEMANAS,MAX(1,$C187)))/DIAS_POR_SEMANA</f>
        <v>985.296705882352</v>
      </c>
      <c r="H187" s="16" t="n">
        <f aca="false">MIN(CADASTRO_CASAS_BOMBA!$O$7,MAX(0,H186+CADASTRO_CASAS_BOMBA!$I$7*HORAS_CAPTACAO_DIA-G187))</f>
        <v>76648</v>
      </c>
      <c r="I187" s="16" t="n">
        <f aca="false">MAX(0,G187-CADASTRO_CASAS_BOMBA!$I$7*HORAS_CAPTACAO_DIA-H186)</f>
        <v>0</v>
      </c>
      <c r="J187" s="16" t="n">
        <f aca="false">INDEX(AUX_MATRIZES!$C$10:$BP$10,MIN(N_SEMANAS,MAX(1,$C187)))/DIAS_POR_SEMANA</f>
        <v>0</v>
      </c>
      <c r="K187" s="16" t="n">
        <f aca="false">MIN(CADASTRO_CASAS_BOMBA!$O$8,MAX(0,K186+CADASTRO_CASAS_BOMBA!$I$8*HORAS_CAPTACAO_DIA-J187))</f>
        <v>27377</v>
      </c>
      <c r="L187" s="16" t="n">
        <f aca="false">MAX(0,J187-CADASTRO_CASAS_BOMBA!$I$8*HORAS_CAPTACAO_DIA-K186)</f>
        <v>0</v>
      </c>
      <c r="M187" s="16" t="n">
        <f aca="false">INDEX(AUX_MATRIZES!$C$11:$BP$11,MIN(N_SEMANAS,MAX(1,$C187)))/DIAS_POR_SEMANA</f>
        <v>2894.7086903353</v>
      </c>
      <c r="N187" s="16" t="n">
        <f aca="false">MIN(CADASTRO_CASAS_BOMBA!$O$9,MAX(0,N186+CADASTRO_CASAS_BOMBA!$I$9*HORAS_CAPTACAO_DIA-M187))</f>
        <v>129000</v>
      </c>
      <c r="O187" s="16" t="n">
        <f aca="false">MAX(0,M187-CADASTRO_CASAS_BOMBA!$I$9*HORAS_CAPTACAO_DIA-N186)</f>
        <v>0</v>
      </c>
      <c r="P187" s="16" t="n">
        <f aca="false">INDEX(AUX_MATRIZES!$C$12:$BP$12,MIN(N_SEMANAS,MAX(1,$C187)))/DIAS_POR_SEMANA</f>
        <v>4626.54211764705</v>
      </c>
      <c r="Q187" s="16" t="n">
        <f aca="false">MIN(CADASTRO_CASAS_BOMBA!$O$10,MAX(0,Q186+CADASTRO_CASAS_BOMBA!$I$10*HORAS_CAPTACAO_DIA-P187))</f>
        <v>1000000</v>
      </c>
      <c r="R187" s="16" t="n">
        <f aca="false">MAX(0,P187-CADASTRO_CASAS_BOMBA!$I$10*HORAS_CAPTACAO_DIA-Q186)</f>
        <v>0</v>
      </c>
      <c r="S187" s="16" t="n">
        <f aca="false">INDEX(AUX_MATRIZES!$C$13:$BP$13,MIN(N_SEMANAS,MAX(1,$C187)))/DIAS_POR_SEMANA</f>
        <v>5416.66811764705</v>
      </c>
      <c r="T187" s="16" t="n">
        <f aca="false">MIN(CADASTRO_CASAS_BOMBA!$O$11,MAX(0,T186+CADASTRO_CASAS_BOMBA!$I$11*HORAS_CAPTACAO_DIA-S187))</f>
        <v>469821</v>
      </c>
      <c r="U187" s="16" t="n">
        <f aca="false">MAX(0,S187-CADASTRO_CASAS_BOMBA!$I$11*HORAS_CAPTACAO_DIA-T186)</f>
        <v>0</v>
      </c>
      <c r="V187" s="16" t="n">
        <f aca="false">INDEX(AUX_MATRIZES!$C$14:$BP$14,MIN(N_SEMANAS,MAX(1,$C187)))/DIAS_POR_SEMANA</f>
        <v>2950.27529411765</v>
      </c>
      <c r="W187" s="16" t="n">
        <f aca="false">MIN(CADASTRO_CASAS_BOMBA!$O$12,MAX(0,W186+CADASTRO_CASAS_BOMBA!$I$12*HORAS_CAPTACAO_DIA-V187))</f>
        <v>440000</v>
      </c>
      <c r="X187" s="16" t="n">
        <f aca="false">MAX(0,V187-CADASTRO_CASAS_BOMBA!$I$12*HORAS_CAPTACAO_DIA-W186)</f>
        <v>0</v>
      </c>
      <c r="Y187" s="16" t="n">
        <f aca="false">INDEX(AUX_MATRIZES!$C$15:$BP$15,MIN(N_SEMANAS,MAX(1,$C187)))/DIAS_POR_SEMANA</f>
        <v>0</v>
      </c>
      <c r="Z187" s="16" t="n">
        <f aca="false">MIN(CADASTRO_CASAS_BOMBA!$O$13,MAX(0,Z186+CADASTRO_CASAS_BOMBA!$I$13*HORAS_CAPTACAO_DIA-Y187))</f>
        <v>74903</v>
      </c>
      <c r="AA187" s="16" t="n">
        <f aca="false">MAX(0,Y187-CADASTRO_CASAS_BOMBA!$I$13*HORAS_CAPTACAO_DIA-Z186)</f>
        <v>0</v>
      </c>
    </row>
    <row r="188" customFormat="false" ht="15" hidden="false" customHeight="false" outlineLevel="0" collapsed="false">
      <c r="B188" s="17" t="n">
        <f aca="false">DATA_INICIO_SAFRA+181</f>
        <v>46446</v>
      </c>
      <c r="C188" s="16" t="n">
        <f aca="false">MIN(N_SEMANAS,MAX(1,INT(($B188-DATA_INICIO_SAFRA)/DIAS_POR_SEMANA)+1))</f>
        <v>26</v>
      </c>
      <c r="D188" s="16" t="n">
        <f aca="false">INDEX(AUX_MATRIZES!$C$8:$BP$8,MIN(N_SEMANAS,MAX(1,$C188)))/DIAS_POR_SEMANA</f>
        <v>0</v>
      </c>
      <c r="E188" s="16" t="n">
        <f aca="false">MIN(CADASTRO_CASAS_BOMBA!$O$6,MAX(0,E187+CADASTRO_CASAS_BOMBA!$I$6*HORAS_CAPTACAO_DIA-D188))</f>
        <v>2600</v>
      </c>
      <c r="F188" s="16" t="n">
        <f aca="false">MAX(0,D188-CADASTRO_CASAS_BOMBA!$I$6*HORAS_CAPTACAO_DIA-E187)</f>
        <v>0</v>
      </c>
      <c r="G188" s="16" t="n">
        <f aca="false">INDEX(AUX_MATRIZES!$C$9:$BP$9,MIN(N_SEMANAS,MAX(1,$C188)))/DIAS_POR_SEMANA</f>
        <v>985.296705882352</v>
      </c>
      <c r="H188" s="16" t="n">
        <f aca="false">MIN(CADASTRO_CASAS_BOMBA!$O$7,MAX(0,H187+CADASTRO_CASAS_BOMBA!$I$7*HORAS_CAPTACAO_DIA-G188))</f>
        <v>76648</v>
      </c>
      <c r="I188" s="16" t="n">
        <f aca="false">MAX(0,G188-CADASTRO_CASAS_BOMBA!$I$7*HORAS_CAPTACAO_DIA-H187)</f>
        <v>0</v>
      </c>
      <c r="J188" s="16" t="n">
        <f aca="false">INDEX(AUX_MATRIZES!$C$10:$BP$10,MIN(N_SEMANAS,MAX(1,$C188)))/DIAS_POR_SEMANA</f>
        <v>0</v>
      </c>
      <c r="K188" s="16" t="n">
        <f aca="false">MIN(CADASTRO_CASAS_BOMBA!$O$8,MAX(0,K187+CADASTRO_CASAS_BOMBA!$I$8*HORAS_CAPTACAO_DIA-J188))</f>
        <v>27377</v>
      </c>
      <c r="L188" s="16" t="n">
        <f aca="false">MAX(0,J188-CADASTRO_CASAS_BOMBA!$I$8*HORAS_CAPTACAO_DIA-K187)</f>
        <v>0</v>
      </c>
      <c r="M188" s="16" t="n">
        <f aca="false">INDEX(AUX_MATRIZES!$C$11:$BP$11,MIN(N_SEMANAS,MAX(1,$C188)))/DIAS_POR_SEMANA</f>
        <v>2894.7086903353</v>
      </c>
      <c r="N188" s="16" t="n">
        <f aca="false">MIN(CADASTRO_CASAS_BOMBA!$O$9,MAX(0,N187+CADASTRO_CASAS_BOMBA!$I$9*HORAS_CAPTACAO_DIA-M188))</f>
        <v>129000</v>
      </c>
      <c r="O188" s="16" t="n">
        <f aca="false">MAX(0,M188-CADASTRO_CASAS_BOMBA!$I$9*HORAS_CAPTACAO_DIA-N187)</f>
        <v>0</v>
      </c>
      <c r="P188" s="16" t="n">
        <f aca="false">INDEX(AUX_MATRIZES!$C$12:$BP$12,MIN(N_SEMANAS,MAX(1,$C188)))/DIAS_POR_SEMANA</f>
        <v>4626.54211764705</v>
      </c>
      <c r="Q188" s="16" t="n">
        <f aca="false">MIN(CADASTRO_CASAS_BOMBA!$O$10,MAX(0,Q187+CADASTRO_CASAS_BOMBA!$I$10*HORAS_CAPTACAO_DIA-P188))</f>
        <v>1000000</v>
      </c>
      <c r="R188" s="16" t="n">
        <f aca="false">MAX(0,P188-CADASTRO_CASAS_BOMBA!$I$10*HORAS_CAPTACAO_DIA-Q187)</f>
        <v>0</v>
      </c>
      <c r="S188" s="16" t="n">
        <f aca="false">INDEX(AUX_MATRIZES!$C$13:$BP$13,MIN(N_SEMANAS,MAX(1,$C188)))/DIAS_POR_SEMANA</f>
        <v>5416.66811764705</v>
      </c>
      <c r="T188" s="16" t="n">
        <f aca="false">MIN(CADASTRO_CASAS_BOMBA!$O$11,MAX(0,T187+CADASTRO_CASAS_BOMBA!$I$11*HORAS_CAPTACAO_DIA-S188))</f>
        <v>469821</v>
      </c>
      <c r="U188" s="16" t="n">
        <f aca="false">MAX(0,S188-CADASTRO_CASAS_BOMBA!$I$11*HORAS_CAPTACAO_DIA-T187)</f>
        <v>0</v>
      </c>
      <c r="V188" s="16" t="n">
        <f aca="false">INDEX(AUX_MATRIZES!$C$14:$BP$14,MIN(N_SEMANAS,MAX(1,$C188)))/DIAS_POR_SEMANA</f>
        <v>2950.27529411765</v>
      </c>
      <c r="W188" s="16" t="n">
        <f aca="false">MIN(CADASTRO_CASAS_BOMBA!$O$12,MAX(0,W187+CADASTRO_CASAS_BOMBA!$I$12*HORAS_CAPTACAO_DIA-V188))</f>
        <v>440000</v>
      </c>
      <c r="X188" s="16" t="n">
        <f aca="false">MAX(0,V188-CADASTRO_CASAS_BOMBA!$I$12*HORAS_CAPTACAO_DIA-W187)</f>
        <v>0</v>
      </c>
      <c r="Y188" s="16" t="n">
        <f aca="false">INDEX(AUX_MATRIZES!$C$15:$BP$15,MIN(N_SEMANAS,MAX(1,$C188)))/DIAS_POR_SEMANA</f>
        <v>0</v>
      </c>
      <c r="Z188" s="16" t="n">
        <f aca="false">MIN(CADASTRO_CASAS_BOMBA!$O$13,MAX(0,Z187+CADASTRO_CASAS_BOMBA!$I$13*HORAS_CAPTACAO_DIA-Y188))</f>
        <v>74903</v>
      </c>
      <c r="AA188" s="16" t="n">
        <f aca="false">MAX(0,Y188-CADASTRO_CASAS_BOMBA!$I$13*HORAS_CAPTACAO_DIA-Z187)</f>
        <v>0</v>
      </c>
    </row>
    <row r="189" customFormat="false" ht="15" hidden="false" customHeight="false" outlineLevel="0" collapsed="false">
      <c r="B189" s="17" t="n">
        <f aca="false">DATA_INICIO_SAFRA+182</f>
        <v>46447</v>
      </c>
      <c r="C189" s="16" t="n">
        <f aca="false">MIN(N_SEMANAS,MAX(1,INT(($B189-DATA_INICIO_SAFRA)/DIAS_POR_SEMANA)+1))</f>
        <v>27</v>
      </c>
      <c r="D189" s="16" t="n">
        <f aca="false">INDEX(AUX_MATRIZES!$C$8:$BP$8,MIN(N_SEMANAS,MAX(1,$C189)))/DIAS_POR_SEMANA</f>
        <v>0</v>
      </c>
      <c r="E189" s="16" t="n">
        <f aca="false">MIN(CADASTRO_CASAS_BOMBA!$O$6,MAX(0,E188+CADASTRO_CASAS_BOMBA!$I$6*HORAS_CAPTACAO_DIA-D189))</f>
        <v>2600</v>
      </c>
      <c r="F189" s="16" t="n">
        <f aca="false">MAX(0,D189-CADASTRO_CASAS_BOMBA!$I$6*HORAS_CAPTACAO_DIA-E188)</f>
        <v>0</v>
      </c>
      <c r="G189" s="16" t="n">
        <f aca="false">INDEX(AUX_MATRIZES!$C$9:$BP$9,MIN(N_SEMANAS,MAX(1,$C189)))/DIAS_POR_SEMANA</f>
        <v>1217.20047058823</v>
      </c>
      <c r="H189" s="16" t="n">
        <f aca="false">MIN(CADASTRO_CASAS_BOMBA!$O$7,MAX(0,H188+CADASTRO_CASAS_BOMBA!$I$7*HORAS_CAPTACAO_DIA-G189))</f>
        <v>76648</v>
      </c>
      <c r="I189" s="16" t="n">
        <f aca="false">MAX(0,G189-CADASTRO_CASAS_BOMBA!$I$7*HORAS_CAPTACAO_DIA-H188)</f>
        <v>0</v>
      </c>
      <c r="J189" s="16" t="n">
        <f aca="false">INDEX(AUX_MATRIZES!$C$10:$BP$10,MIN(N_SEMANAS,MAX(1,$C189)))/DIAS_POR_SEMANA</f>
        <v>0</v>
      </c>
      <c r="K189" s="16" t="n">
        <f aca="false">MIN(CADASTRO_CASAS_BOMBA!$O$8,MAX(0,K188+CADASTRO_CASAS_BOMBA!$I$8*HORAS_CAPTACAO_DIA-J189))</f>
        <v>27377</v>
      </c>
      <c r="L189" s="16" t="n">
        <f aca="false">MAX(0,J189-CADASTRO_CASAS_BOMBA!$I$8*HORAS_CAPTACAO_DIA-K188)</f>
        <v>0</v>
      </c>
      <c r="M189" s="16" t="n">
        <f aca="false">INDEX(AUX_MATRIZES!$C$11:$BP$11,MIN(N_SEMANAS,MAX(1,$C189)))/DIAS_POR_SEMANA</f>
        <v>4002.06658823529</v>
      </c>
      <c r="N189" s="16" t="n">
        <f aca="false">MIN(CADASTRO_CASAS_BOMBA!$O$9,MAX(0,N188+CADASTRO_CASAS_BOMBA!$I$9*HORAS_CAPTACAO_DIA-M189))</f>
        <v>129000</v>
      </c>
      <c r="O189" s="16" t="n">
        <f aca="false">MAX(0,M189-CADASTRO_CASAS_BOMBA!$I$9*HORAS_CAPTACAO_DIA-N188)</f>
        <v>0</v>
      </c>
      <c r="P189" s="16" t="n">
        <f aca="false">INDEX(AUX_MATRIZES!$C$12:$BP$12,MIN(N_SEMANAS,MAX(1,$C189)))/DIAS_POR_SEMANA</f>
        <v>5715.4654117647</v>
      </c>
      <c r="Q189" s="16" t="n">
        <f aca="false">MIN(CADASTRO_CASAS_BOMBA!$O$10,MAX(0,Q188+CADASTRO_CASAS_BOMBA!$I$10*HORAS_CAPTACAO_DIA-P189))</f>
        <v>1000000</v>
      </c>
      <c r="R189" s="16" t="n">
        <f aca="false">MAX(0,P189-CADASTRO_CASAS_BOMBA!$I$10*HORAS_CAPTACAO_DIA-Q188)</f>
        <v>0</v>
      </c>
      <c r="S189" s="16" t="n">
        <f aca="false">INDEX(AUX_MATRIZES!$C$13:$BP$13,MIN(N_SEMANAS,MAX(1,$C189)))/DIAS_POR_SEMANA</f>
        <v>7927.35752941176</v>
      </c>
      <c r="T189" s="16" t="n">
        <f aca="false">MIN(CADASTRO_CASAS_BOMBA!$O$11,MAX(0,T188+CADASTRO_CASAS_BOMBA!$I$11*HORAS_CAPTACAO_DIA-S189))</f>
        <v>469821</v>
      </c>
      <c r="U189" s="16" t="n">
        <f aca="false">MAX(0,S189-CADASTRO_CASAS_BOMBA!$I$11*HORAS_CAPTACAO_DIA-T188)</f>
        <v>0</v>
      </c>
      <c r="V189" s="16" t="n">
        <f aca="false">INDEX(AUX_MATRIZES!$C$14:$BP$14,MIN(N_SEMANAS,MAX(1,$C189)))/DIAS_POR_SEMANA</f>
        <v>3743.95764705882</v>
      </c>
      <c r="W189" s="16" t="n">
        <f aca="false">MIN(CADASTRO_CASAS_BOMBA!$O$12,MAX(0,W188+CADASTRO_CASAS_BOMBA!$I$12*HORAS_CAPTACAO_DIA-V189))</f>
        <v>440000</v>
      </c>
      <c r="X189" s="16" t="n">
        <f aca="false">MAX(0,V189-CADASTRO_CASAS_BOMBA!$I$12*HORAS_CAPTACAO_DIA-W188)</f>
        <v>0</v>
      </c>
      <c r="Y189" s="16" t="n">
        <f aca="false">INDEX(AUX_MATRIZES!$C$15:$BP$15,MIN(N_SEMANAS,MAX(1,$C189)))/DIAS_POR_SEMANA</f>
        <v>0</v>
      </c>
      <c r="Z189" s="16" t="n">
        <f aca="false">MIN(CADASTRO_CASAS_BOMBA!$O$13,MAX(0,Z188+CADASTRO_CASAS_BOMBA!$I$13*HORAS_CAPTACAO_DIA-Y189))</f>
        <v>74903</v>
      </c>
      <c r="AA189" s="16" t="n">
        <f aca="false">MAX(0,Y189-CADASTRO_CASAS_BOMBA!$I$13*HORAS_CAPTACAO_DIA-Z188)</f>
        <v>0</v>
      </c>
    </row>
    <row r="190" customFormat="false" ht="15" hidden="false" customHeight="false" outlineLevel="0" collapsed="false">
      <c r="B190" s="17" t="n">
        <f aca="false">DATA_INICIO_SAFRA+183</f>
        <v>46448</v>
      </c>
      <c r="C190" s="16" t="n">
        <f aca="false">MIN(N_SEMANAS,MAX(1,INT(($B190-DATA_INICIO_SAFRA)/DIAS_POR_SEMANA)+1))</f>
        <v>27</v>
      </c>
      <c r="D190" s="16" t="n">
        <f aca="false">INDEX(AUX_MATRIZES!$C$8:$BP$8,MIN(N_SEMANAS,MAX(1,$C190)))/DIAS_POR_SEMANA</f>
        <v>0</v>
      </c>
      <c r="E190" s="16" t="n">
        <f aca="false">MIN(CADASTRO_CASAS_BOMBA!$O$6,MAX(0,E189+CADASTRO_CASAS_BOMBA!$I$6*HORAS_CAPTACAO_DIA-D190))</f>
        <v>2600</v>
      </c>
      <c r="F190" s="16" t="n">
        <f aca="false">MAX(0,D190-CADASTRO_CASAS_BOMBA!$I$6*HORAS_CAPTACAO_DIA-E189)</f>
        <v>0</v>
      </c>
      <c r="G190" s="16" t="n">
        <f aca="false">INDEX(AUX_MATRIZES!$C$9:$BP$9,MIN(N_SEMANAS,MAX(1,$C190)))/DIAS_POR_SEMANA</f>
        <v>1217.20047058823</v>
      </c>
      <c r="H190" s="16" t="n">
        <f aca="false">MIN(CADASTRO_CASAS_BOMBA!$O$7,MAX(0,H189+CADASTRO_CASAS_BOMBA!$I$7*HORAS_CAPTACAO_DIA-G190))</f>
        <v>76648</v>
      </c>
      <c r="I190" s="16" t="n">
        <f aca="false">MAX(0,G190-CADASTRO_CASAS_BOMBA!$I$7*HORAS_CAPTACAO_DIA-H189)</f>
        <v>0</v>
      </c>
      <c r="J190" s="16" t="n">
        <f aca="false">INDEX(AUX_MATRIZES!$C$10:$BP$10,MIN(N_SEMANAS,MAX(1,$C190)))/DIAS_POR_SEMANA</f>
        <v>0</v>
      </c>
      <c r="K190" s="16" t="n">
        <f aca="false">MIN(CADASTRO_CASAS_BOMBA!$O$8,MAX(0,K189+CADASTRO_CASAS_BOMBA!$I$8*HORAS_CAPTACAO_DIA-J190))</f>
        <v>27377</v>
      </c>
      <c r="L190" s="16" t="n">
        <f aca="false">MAX(0,J190-CADASTRO_CASAS_BOMBA!$I$8*HORAS_CAPTACAO_DIA-K189)</f>
        <v>0</v>
      </c>
      <c r="M190" s="16" t="n">
        <f aca="false">INDEX(AUX_MATRIZES!$C$11:$BP$11,MIN(N_SEMANAS,MAX(1,$C190)))/DIAS_POR_SEMANA</f>
        <v>4002.06658823529</v>
      </c>
      <c r="N190" s="16" t="n">
        <f aca="false">MIN(CADASTRO_CASAS_BOMBA!$O$9,MAX(0,N189+CADASTRO_CASAS_BOMBA!$I$9*HORAS_CAPTACAO_DIA-M190))</f>
        <v>129000</v>
      </c>
      <c r="O190" s="16" t="n">
        <f aca="false">MAX(0,M190-CADASTRO_CASAS_BOMBA!$I$9*HORAS_CAPTACAO_DIA-N189)</f>
        <v>0</v>
      </c>
      <c r="P190" s="16" t="n">
        <f aca="false">INDEX(AUX_MATRIZES!$C$12:$BP$12,MIN(N_SEMANAS,MAX(1,$C190)))/DIAS_POR_SEMANA</f>
        <v>5715.4654117647</v>
      </c>
      <c r="Q190" s="16" t="n">
        <f aca="false">MIN(CADASTRO_CASAS_BOMBA!$O$10,MAX(0,Q189+CADASTRO_CASAS_BOMBA!$I$10*HORAS_CAPTACAO_DIA-P190))</f>
        <v>1000000</v>
      </c>
      <c r="R190" s="16" t="n">
        <f aca="false">MAX(0,P190-CADASTRO_CASAS_BOMBA!$I$10*HORAS_CAPTACAO_DIA-Q189)</f>
        <v>0</v>
      </c>
      <c r="S190" s="16" t="n">
        <f aca="false">INDEX(AUX_MATRIZES!$C$13:$BP$13,MIN(N_SEMANAS,MAX(1,$C190)))/DIAS_POR_SEMANA</f>
        <v>7927.35752941176</v>
      </c>
      <c r="T190" s="16" t="n">
        <f aca="false">MIN(CADASTRO_CASAS_BOMBA!$O$11,MAX(0,T189+CADASTRO_CASAS_BOMBA!$I$11*HORAS_CAPTACAO_DIA-S190))</f>
        <v>469821</v>
      </c>
      <c r="U190" s="16" t="n">
        <f aca="false">MAX(0,S190-CADASTRO_CASAS_BOMBA!$I$11*HORAS_CAPTACAO_DIA-T189)</f>
        <v>0</v>
      </c>
      <c r="V190" s="16" t="n">
        <f aca="false">INDEX(AUX_MATRIZES!$C$14:$BP$14,MIN(N_SEMANAS,MAX(1,$C190)))/DIAS_POR_SEMANA</f>
        <v>3743.95764705882</v>
      </c>
      <c r="W190" s="16" t="n">
        <f aca="false">MIN(CADASTRO_CASAS_BOMBA!$O$12,MAX(0,W189+CADASTRO_CASAS_BOMBA!$I$12*HORAS_CAPTACAO_DIA-V190))</f>
        <v>440000</v>
      </c>
      <c r="X190" s="16" t="n">
        <f aca="false">MAX(0,V190-CADASTRO_CASAS_BOMBA!$I$12*HORAS_CAPTACAO_DIA-W189)</f>
        <v>0</v>
      </c>
      <c r="Y190" s="16" t="n">
        <f aca="false">INDEX(AUX_MATRIZES!$C$15:$BP$15,MIN(N_SEMANAS,MAX(1,$C190)))/DIAS_POR_SEMANA</f>
        <v>0</v>
      </c>
      <c r="Z190" s="16" t="n">
        <f aca="false">MIN(CADASTRO_CASAS_BOMBA!$O$13,MAX(0,Z189+CADASTRO_CASAS_BOMBA!$I$13*HORAS_CAPTACAO_DIA-Y190))</f>
        <v>74903</v>
      </c>
      <c r="AA190" s="16" t="n">
        <f aca="false">MAX(0,Y190-CADASTRO_CASAS_BOMBA!$I$13*HORAS_CAPTACAO_DIA-Z189)</f>
        <v>0</v>
      </c>
    </row>
    <row r="191" customFormat="false" ht="15" hidden="false" customHeight="false" outlineLevel="0" collapsed="false">
      <c r="B191" s="17" t="n">
        <f aca="false">DATA_INICIO_SAFRA+184</f>
        <v>46449</v>
      </c>
      <c r="C191" s="16" t="n">
        <f aca="false">MIN(N_SEMANAS,MAX(1,INT(($B191-DATA_INICIO_SAFRA)/DIAS_POR_SEMANA)+1))</f>
        <v>27</v>
      </c>
      <c r="D191" s="16" t="n">
        <f aca="false">INDEX(AUX_MATRIZES!$C$8:$BP$8,MIN(N_SEMANAS,MAX(1,$C191)))/DIAS_POR_SEMANA</f>
        <v>0</v>
      </c>
      <c r="E191" s="16" t="n">
        <f aca="false">MIN(CADASTRO_CASAS_BOMBA!$O$6,MAX(0,E190+CADASTRO_CASAS_BOMBA!$I$6*HORAS_CAPTACAO_DIA-D191))</f>
        <v>2600</v>
      </c>
      <c r="F191" s="16" t="n">
        <f aca="false">MAX(0,D191-CADASTRO_CASAS_BOMBA!$I$6*HORAS_CAPTACAO_DIA-E190)</f>
        <v>0</v>
      </c>
      <c r="G191" s="16" t="n">
        <f aca="false">INDEX(AUX_MATRIZES!$C$9:$BP$9,MIN(N_SEMANAS,MAX(1,$C191)))/DIAS_POR_SEMANA</f>
        <v>1217.20047058823</v>
      </c>
      <c r="H191" s="16" t="n">
        <f aca="false">MIN(CADASTRO_CASAS_BOMBA!$O$7,MAX(0,H190+CADASTRO_CASAS_BOMBA!$I$7*HORAS_CAPTACAO_DIA-G191))</f>
        <v>76648</v>
      </c>
      <c r="I191" s="16" t="n">
        <f aca="false">MAX(0,G191-CADASTRO_CASAS_BOMBA!$I$7*HORAS_CAPTACAO_DIA-H190)</f>
        <v>0</v>
      </c>
      <c r="J191" s="16" t="n">
        <f aca="false">INDEX(AUX_MATRIZES!$C$10:$BP$10,MIN(N_SEMANAS,MAX(1,$C191)))/DIAS_POR_SEMANA</f>
        <v>0</v>
      </c>
      <c r="K191" s="16" t="n">
        <f aca="false">MIN(CADASTRO_CASAS_BOMBA!$O$8,MAX(0,K190+CADASTRO_CASAS_BOMBA!$I$8*HORAS_CAPTACAO_DIA-J191))</f>
        <v>27377</v>
      </c>
      <c r="L191" s="16" t="n">
        <f aca="false">MAX(0,J191-CADASTRO_CASAS_BOMBA!$I$8*HORAS_CAPTACAO_DIA-K190)</f>
        <v>0</v>
      </c>
      <c r="M191" s="16" t="n">
        <f aca="false">INDEX(AUX_MATRIZES!$C$11:$BP$11,MIN(N_SEMANAS,MAX(1,$C191)))/DIAS_POR_SEMANA</f>
        <v>4002.06658823529</v>
      </c>
      <c r="N191" s="16" t="n">
        <f aca="false">MIN(CADASTRO_CASAS_BOMBA!$O$9,MAX(0,N190+CADASTRO_CASAS_BOMBA!$I$9*HORAS_CAPTACAO_DIA-M191))</f>
        <v>129000</v>
      </c>
      <c r="O191" s="16" t="n">
        <f aca="false">MAX(0,M191-CADASTRO_CASAS_BOMBA!$I$9*HORAS_CAPTACAO_DIA-N190)</f>
        <v>0</v>
      </c>
      <c r="P191" s="16" t="n">
        <f aca="false">INDEX(AUX_MATRIZES!$C$12:$BP$12,MIN(N_SEMANAS,MAX(1,$C191)))/DIAS_POR_SEMANA</f>
        <v>5715.4654117647</v>
      </c>
      <c r="Q191" s="16" t="n">
        <f aca="false">MIN(CADASTRO_CASAS_BOMBA!$O$10,MAX(0,Q190+CADASTRO_CASAS_BOMBA!$I$10*HORAS_CAPTACAO_DIA-P191))</f>
        <v>1000000</v>
      </c>
      <c r="R191" s="16" t="n">
        <f aca="false">MAX(0,P191-CADASTRO_CASAS_BOMBA!$I$10*HORAS_CAPTACAO_DIA-Q190)</f>
        <v>0</v>
      </c>
      <c r="S191" s="16" t="n">
        <f aca="false">INDEX(AUX_MATRIZES!$C$13:$BP$13,MIN(N_SEMANAS,MAX(1,$C191)))/DIAS_POR_SEMANA</f>
        <v>7927.35752941176</v>
      </c>
      <c r="T191" s="16" t="n">
        <f aca="false">MIN(CADASTRO_CASAS_BOMBA!$O$11,MAX(0,T190+CADASTRO_CASAS_BOMBA!$I$11*HORAS_CAPTACAO_DIA-S191))</f>
        <v>469821</v>
      </c>
      <c r="U191" s="16" t="n">
        <f aca="false">MAX(0,S191-CADASTRO_CASAS_BOMBA!$I$11*HORAS_CAPTACAO_DIA-T190)</f>
        <v>0</v>
      </c>
      <c r="V191" s="16" t="n">
        <f aca="false">INDEX(AUX_MATRIZES!$C$14:$BP$14,MIN(N_SEMANAS,MAX(1,$C191)))/DIAS_POR_SEMANA</f>
        <v>3743.95764705882</v>
      </c>
      <c r="W191" s="16" t="n">
        <f aca="false">MIN(CADASTRO_CASAS_BOMBA!$O$12,MAX(0,W190+CADASTRO_CASAS_BOMBA!$I$12*HORAS_CAPTACAO_DIA-V191))</f>
        <v>440000</v>
      </c>
      <c r="X191" s="16" t="n">
        <f aca="false">MAX(0,V191-CADASTRO_CASAS_BOMBA!$I$12*HORAS_CAPTACAO_DIA-W190)</f>
        <v>0</v>
      </c>
      <c r="Y191" s="16" t="n">
        <f aca="false">INDEX(AUX_MATRIZES!$C$15:$BP$15,MIN(N_SEMANAS,MAX(1,$C191)))/DIAS_POR_SEMANA</f>
        <v>0</v>
      </c>
      <c r="Z191" s="16" t="n">
        <f aca="false">MIN(CADASTRO_CASAS_BOMBA!$O$13,MAX(0,Z190+CADASTRO_CASAS_BOMBA!$I$13*HORAS_CAPTACAO_DIA-Y191))</f>
        <v>74903</v>
      </c>
      <c r="AA191" s="16" t="n">
        <f aca="false">MAX(0,Y191-CADASTRO_CASAS_BOMBA!$I$13*HORAS_CAPTACAO_DIA-Z190)</f>
        <v>0</v>
      </c>
    </row>
    <row r="192" customFormat="false" ht="15" hidden="false" customHeight="false" outlineLevel="0" collapsed="false">
      <c r="B192" s="17" t="n">
        <f aca="false">DATA_INICIO_SAFRA+185</f>
        <v>46450</v>
      </c>
      <c r="C192" s="16" t="n">
        <f aca="false">MIN(N_SEMANAS,MAX(1,INT(($B192-DATA_INICIO_SAFRA)/DIAS_POR_SEMANA)+1))</f>
        <v>27</v>
      </c>
      <c r="D192" s="16" t="n">
        <f aca="false">INDEX(AUX_MATRIZES!$C$8:$BP$8,MIN(N_SEMANAS,MAX(1,$C192)))/DIAS_POR_SEMANA</f>
        <v>0</v>
      </c>
      <c r="E192" s="16" t="n">
        <f aca="false">MIN(CADASTRO_CASAS_BOMBA!$O$6,MAX(0,E191+CADASTRO_CASAS_BOMBA!$I$6*HORAS_CAPTACAO_DIA-D192))</f>
        <v>2600</v>
      </c>
      <c r="F192" s="16" t="n">
        <f aca="false">MAX(0,D192-CADASTRO_CASAS_BOMBA!$I$6*HORAS_CAPTACAO_DIA-E191)</f>
        <v>0</v>
      </c>
      <c r="G192" s="16" t="n">
        <f aca="false">INDEX(AUX_MATRIZES!$C$9:$BP$9,MIN(N_SEMANAS,MAX(1,$C192)))/DIAS_POR_SEMANA</f>
        <v>1217.20047058823</v>
      </c>
      <c r="H192" s="16" t="n">
        <f aca="false">MIN(CADASTRO_CASAS_BOMBA!$O$7,MAX(0,H191+CADASTRO_CASAS_BOMBA!$I$7*HORAS_CAPTACAO_DIA-G192))</f>
        <v>76648</v>
      </c>
      <c r="I192" s="16" t="n">
        <f aca="false">MAX(0,G192-CADASTRO_CASAS_BOMBA!$I$7*HORAS_CAPTACAO_DIA-H191)</f>
        <v>0</v>
      </c>
      <c r="J192" s="16" t="n">
        <f aca="false">INDEX(AUX_MATRIZES!$C$10:$BP$10,MIN(N_SEMANAS,MAX(1,$C192)))/DIAS_POR_SEMANA</f>
        <v>0</v>
      </c>
      <c r="K192" s="16" t="n">
        <f aca="false">MIN(CADASTRO_CASAS_BOMBA!$O$8,MAX(0,K191+CADASTRO_CASAS_BOMBA!$I$8*HORAS_CAPTACAO_DIA-J192))</f>
        <v>27377</v>
      </c>
      <c r="L192" s="16" t="n">
        <f aca="false">MAX(0,J192-CADASTRO_CASAS_BOMBA!$I$8*HORAS_CAPTACAO_DIA-K191)</f>
        <v>0</v>
      </c>
      <c r="M192" s="16" t="n">
        <f aca="false">INDEX(AUX_MATRIZES!$C$11:$BP$11,MIN(N_SEMANAS,MAX(1,$C192)))/DIAS_POR_SEMANA</f>
        <v>4002.06658823529</v>
      </c>
      <c r="N192" s="16" t="n">
        <f aca="false">MIN(CADASTRO_CASAS_BOMBA!$O$9,MAX(0,N191+CADASTRO_CASAS_BOMBA!$I$9*HORAS_CAPTACAO_DIA-M192))</f>
        <v>129000</v>
      </c>
      <c r="O192" s="16" t="n">
        <f aca="false">MAX(0,M192-CADASTRO_CASAS_BOMBA!$I$9*HORAS_CAPTACAO_DIA-N191)</f>
        <v>0</v>
      </c>
      <c r="P192" s="16" t="n">
        <f aca="false">INDEX(AUX_MATRIZES!$C$12:$BP$12,MIN(N_SEMANAS,MAX(1,$C192)))/DIAS_POR_SEMANA</f>
        <v>5715.4654117647</v>
      </c>
      <c r="Q192" s="16" t="n">
        <f aca="false">MIN(CADASTRO_CASAS_BOMBA!$O$10,MAX(0,Q191+CADASTRO_CASAS_BOMBA!$I$10*HORAS_CAPTACAO_DIA-P192))</f>
        <v>1000000</v>
      </c>
      <c r="R192" s="16" t="n">
        <f aca="false">MAX(0,P192-CADASTRO_CASAS_BOMBA!$I$10*HORAS_CAPTACAO_DIA-Q191)</f>
        <v>0</v>
      </c>
      <c r="S192" s="16" t="n">
        <f aca="false">INDEX(AUX_MATRIZES!$C$13:$BP$13,MIN(N_SEMANAS,MAX(1,$C192)))/DIAS_POR_SEMANA</f>
        <v>7927.35752941176</v>
      </c>
      <c r="T192" s="16" t="n">
        <f aca="false">MIN(CADASTRO_CASAS_BOMBA!$O$11,MAX(0,T191+CADASTRO_CASAS_BOMBA!$I$11*HORAS_CAPTACAO_DIA-S192))</f>
        <v>469821</v>
      </c>
      <c r="U192" s="16" t="n">
        <f aca="false">MAX(0,S192-CADASTRO_CASAS_BOMBA!$I$11*HORAS_CAPTACAO_DIA-T191)</f>
        <v>0</v>
      </c>
      <c r="V192" s="16" t="n">
        <f aca="false">INDEX(AUX_MATRIZES!$C$14:$BP$14,MIN(N_SEMANAS,MAX(1,$C192)))/DIAS_POR_SEMANA</f>
        <v>3743.95764705882</v>
      </c>
      <c r="W192" s="16" t="n">
        <f aca="false">MIN(CADASTRO_CASAS_BOMBA!$O$12,MAX(0,W191+CADASTRO_CASAS_BOMBA!$I$12*HORAS_CAPTACAO_DIA-V192))</f>
        <v>440000</v>
      </c>
      <c r="X192" s="16" t="n">
        <f aca="false">MAX(0,V192-CADASTRO_CASAS_BOMBA!$I$12*HORAS_CAPTACAO_DIA-W191)</f>
        <v>0</v>
      </c>
      <c r="Y192" s="16" t="n">
        <f aca="false">INDEX(AUX_MATRIZES!$C$15:$BP$15,MIN(N_SEMANAS,MAX(1,$C192)))/DIAS_POR_SEMANA</f>
        <v>0</v>
      </c>
      <c r="Z192" s="16" t="n">
        <f aca="false">MIN(CADASTRO_CASAS_BOMBA!$O$13,MAX(0,Z191+CADASTRO_CASAS_BOMBA!$I$13*HORAS_CAPTACAO_DIA-Y192))</f>
        <v>74903</v>
      </c>
      <c r="AA192" s="16" t="n">
        <f aca="false">MAX(0,Y192-CADASTRO_CASAS_BOMBA!$I$13*HORAS_CAPTACAO_DIA-Z191)</f>
        <v>0</v>
      </c>
    </row>
    <row r="193" customFormat="false" ht="15" hidden="false" customHeight="false" outlineLevel="0" collapsed="false">
      <c r="B193" s="17" t="n">
        <f aca="false">DATA_INICIO_SAFRA+186</f>
        <v>46451</v>
      </c>
      <c r="C193" s="16" t="n">
        <f aca="false">MIN(N_SEMANAS,MAX(1,INT(($B193-DATA_INICIO_SAFRA)/DIAS_POR_SEMANA)+1))</f>
        <v>27</v>
      </c>
      <c r="D193" s="16" t="n">
        <f aca="false">INDEX(AUX_MATRIZES!$C$8:$BP$8,MIN(N_SEMANAS,MAX(1,$C193)))/DIAS_POR_SEMANA</f>
        <v>0</v>
      </c>
      <c r="E193" s="16" t="n">
        <f aca="false">MIN(CADASTRO_CASAS_BOMBA!$O$6,MAX(0,E192+CADASTRO_CASAS_BOMBA!$I$6*HORAS_CAPTACAO_DIA-D193))</f>
        <v>2600</v>
      </c>
      <c r="F193" s="16" t="n">
        <f aca="false">MAX(0,D193-CADASTRO_CASAS_BOMBA!$I$6*HORAS_CAPTACAO_DIA-E192)</f>
        <v>0</v>
      </c>
      <c r="G193" s="16" t="n">
        <f aca="false">INDEX(AUX_MATRIZES!$C$9:$BP$9,MIN(N_SEMANAS,MAX(1,$C193)))/DIAS_POR_SEMANA</f>
        <v>1217.20047058823</v>
      </c>
      <c r="H193" s="16" t="n">
        <f aca="false">MIN(CADASTRO_CASAS_BOMBA!$O$7,MAX(0,H192+CADASTRO_CASAS_BOMBA!$I$7*HORAS_CAPTACAO_DIA-G193))</f>
        <v>76648</v>
      </c>
      <c r="I193" s="16" t="n">
        <f aca="false">MAX(0,G193-CADASTRO_CASAS_BOMBA!$I$7*HORAS_CAPTACAO_DIA-H192)</f>
        <v>0</v>
      </c>
      <c r="J193" s="16" t="n">
        <f aca="false">INDEX(AUX_MATRIZES!$C$10:$BP$10,MIN(N_SEMANAS,MAX(1,$C193)))/DIAS_POR_SEMANA</f>
        <v>0</v>
      </c>
      <c r="K193" s="16" t="n">
        <f aca="false">MIN(CADASTRO_CASAS_BOMBA!$O$8,MAX(0,K192+CADASTRO_CASAS_BOMBA!$I$8*HORAS_CAPTACAO_DIA-J193))</f>
        <v>27377</v>
      </c>
      <c r="L193" s="16" t="n">
        <f aca="false">MAX(0,J193-CADASTRO_CASAS_BOMBA!$I$8*HORAS_CAPTACAO_DIA-K192)</f>
        <v>0</v>
      </c>
      <c r="M193" s="16" t="n">
        <f aca="false">INDEX(AUX_MATRIZES!$C$11:$BP$11,MIN(N_SEMANAS,MAX(1,$C193)))/DIAS_POR_SEMANA</f>
        <v>4002.06658823529</v>
      </c>
      <c r="N193" s="16" t="n">
        <f aca="false">MIN(CADASTRO_CASAS_BOMBA!$O$9,MAX(0,N192+CADASTRO_CASAS_BOMBA!$I$9*HORAS_CAPTACAO_DIA-M193))</f>
        <v>129000</v>
      </c>
      <c r="O193" s="16" t="n">
        <f aca="false">MAX(0,M193-CADASTRO_CASAS_BOMBA!$I$9*HORAS_CAPTACAO_DIA-N192)</f>
        <v>0</v>
      </c>
      <c r="P193" s="16" t="n">
        <f aca="false">INDEX(AUX_MATRIZES!$C$12:$BP$12,MIN(N_SEMANAS,MAX(1,$C193)))/DIAS_POR_SEMANA</f>
        <v>5715.4654117647</v>
      </c>
      <c r="Q193" s="16" t="n">
        <f aca="false">MIN(CADASTRO_CASAS_BOMBA!$O$10,MAX(0,Q192+CADASTRO_CASAS_BOMBA!$I$10*HORAS_CAPTACAO_DIA-P193))</f>
        <v>1000000</v>
      </c>
      <c r="R193" s="16" t="n">
        <f aca="false">MAX(0,P193-CADASTRO_CASAS_BOMBA!$I$10*HORAS_CAPTACAO_DIA-Q192)</f>
        <v>0</v>
      </c>
      <c r="S193" s="16" t="n">
        <f aca="false">INDEX(AUX_MATRIZES!$C$13:$BP$13,MIN(N_SEMANAS,MAX(1,$C193)))/DIAS_POR_SEMANA</f>
        <v>7927.35752941176</v>
      </c>
      <c r="T193" s="16" t="n">
        <f aca="false">MIN(CADASTRO_CASAS_BOMBA!$O$11,MAX(0,T192+CADASTRO_CASAS_BOMBA!$I$11*HORAS_CAPTACAO_DIA-S193))</f>
        <v>469821</v>
      </c>
      <c r="U193" s="16" t="n">
        <f aca="false">MAX(0,S193-CADASTRO_CASAS_BOMBA!$I$11*HORAS_CAPTACAO_DIA-T192)</f>
        <v>0</v>
      </c>
      <c r="V193" s="16" t="n">
        <f aca="false">INDEX(AUX_MATRIZES!$C$14:$BP$14,MIN(N_SEMANAS,MAX(1,$C193)))/DIAS_POR_SEMANA</f>
        <v>3743.95764705882</v>
      </c>
      <c r="W193" s="16" t="n">
        <f aca="false">MIN(CADASTRO_CASAS_BOMBA!$O$12,MAX(0,W192+CADASTRO_CASAS_BOMBA!$I$12*HORAS_CAPTACAO_DIA-V193))</f>
        <v>440000</v>
      </c>
      <c r="X193" s="16" t="n">
        <f aca="false">MAX(0,V193-CADASTRO_CASAS_BOMBA!$I$12*HORAS_CAPTACAO_DIA-W192)</f>
        <v>0</v>
      </c>
      <c r="Y193" s="16" t="n">
        <f aca="false">INDEX(AUX_MATRIZES!$C$15:$BP$15,MIN(N_SEMANAS,MAX(1,$C193)))/DIAS_POR_SEMANA</f>
        <v>0</v>
      </c>
      <c r="Z193" s="16" t="n">
        <f aca="false">MIN(CADASTRO_CASAS_BOMBA!$O$13,MAX(0,Z192+CADASTRO_CASAS_BOMBA!$I$13*HORAS_CAPTACAO_DIA-Y193))</f>
        <v>74903</v>
      </c>
      <c r="AA193" s="16" t="n">
        <f aca="false">MAX(0,Y193-CADASTRO_CASAS_BOMBA!$I$13*HORAS_CAPTACAO_DIA-Z192)</f>
        <v>0</v>
      </c>
    </row>
    <row r="194" customFormat="false" ht="15" hidden="false" customHeight="false" outlineLevel="0" collapsed="false">
      <c r="B194" s="17" t="n">
        <f aca="false">DATA_INICIO_SAFRA+187</f>
        <v>46452</v>
      </c>
      <c r="C194" s="16" t="n">
        <f aca="false">MIN(N_SEMANAS,MAX(1,INT(($B194-DATA_INICIO_SAFRA)/DIAS_POR_SEMANA)+1))</f>
        <v>27</v>
      </c>
      <c r="D194" s="16" t="n">
        <f aca="false">INDEX(AUX_MATRIZES!$C$8:$BP$8,MIN(N_SEMANAS,MAX(1,$C194)))/DIAS_POR_SEMANA</f>
        <v>0</v>
      </c>
      <c r="E194" s="16" t="n">
        <f aca="false">MIN(CADASTRO_CASAS_BOMBA!$O$6,MAX(0,E193+CADASTRO_CASAS_BOMBA!$I$6*HORAS_CAPTACAO_DIA-D194))</f>
        <v>2600</v>
      </c>
      <c r="F194" s="16" t="n">
        <f aca="false">MAX(0,D194-CADASTRO_CASAS_BOMBA!$I$6*HORAS_CAPTACAO_DIA-E193)</f>
        <v>0</v>
      </c>
      <c r="G194" s="16" t="n">
        <f aca="false">INDEX(AUX_MATRIZES!$C$9:$BP$9,MIN(N_SEMANAS,MAX(1,$C194)))/DIAS_POR_SEMANA</f>
        <v>1217.20047058823</v>
      </c>
      <c r="H194" s="16" t="n">
        <f aca="false">MIN(CADASTRO_CASAS_BOMBA!$O$7,MAX(0,H193+CADASTRO_CASAS_BOMBA!$I$7*HORAS_CAPTACAO_DIA-G194))</f>
        <v>76648</v>
      </c>
      <c r="I194" s="16" t="n">
        <f aca="false">MAX(0,G194-CADASTRO_CASAS_BOMBA!$I$7*HORAS_CAPTACAO_DIA-H193)</f>
        <v>0</v>
      </c>
      <c r="J194" s="16" t="n">
        <f aca="false">INDEX(AUX_MATRIZES!$C$10:$BP$10,MIN(N_SEMANAS,MAX(1,$C194)))/DIAS_POR_SEMANA</f>
        <v>0</v>
      </c>
      <c r="K194" s="16" t="n">
        <f aca="false">MIN(CADASTRO_CASAS_BOMBA!$O$8,MAX(0,K193+CADASTRO_CASAS_BOMBA!$I$8*HORAS_CAPTACAO_DIA-J194))</f>
        <v>27377</v>
      </c>
      <c r="L194" s="16" t="n">
        <f aca="false">MAX(0,J194-CADASTRO_CASAS_BOMBA!$I$8*HORAS_CAPTACAO_DIA-K193)</f>
        <v>0</v>
      </c>
      <c r="M194" s="16" t="n">
        <f aca="false">INDEX(AUX_MATRIZES!$C$11:$BP$11,MIN(N_SEMANAS,MAX(1,$C194)))/DIAS_POR_SEMANA</f>
        <v>4002.06658823529</v>
      </c>
      <c r="N194" s="16" t="n">
        <f aca="false">MIN(CADASTRO_CASAS_BOMBA!$O$9,MAX(0,N193+CADASTRO_CASAS_BOMBA!$I$9*HORAS_CAPTACAO_DIA-M194))</f>
        <v>129000</v>
      </c>
      <c r="O194" s="16" t="n">
        <f aca="false">MAX(0,M194-CADASTRO_CASAS_BOMBA!$I$9*HORAS_CAPTACAO_DIA-N193)</f>
        <v>0</v>
      </c>
      <c r="P194" s="16" t="n">
        <f aca="false">INDEX(AUX_MATRIZES!$C$12:$BP$12,MIN(N_SEMANAS,MAX(1,$C194)))/DIAS_POR_SEMANA</f>
        <v>5715.4654117647</v>
      </c>
      <c r="Q194" s="16" t="n">
        <f aca="false">MIN(CADASTRO_CASAS_BOMBA!$O$10,MAX(0,Q193+CADASTRO_CASAS_BOMBA!$I$10*HORAS_CAPTACAO_DIA-P194))</f>
        <v>1000000</v>
      </c>
      <c r="R194" s="16" t="n">
        <f aca="false">MAX(0,P194-CADASTRO_CASAS_BOMBA!$I$10*HORAS_CAPTACAO_DIA-Q193)</f>
        <v>0</v>
      </c>
      <c r="S194" s="16" t="n">
        <f aca="false">INDEX(AUX_MATRIZES!$C$13:$BP$13,MIN(N_SEMANAS,MAX(1,$C194)))/DIAS_POR_SEMANA</f>
        <v>7927.35752941176</v>
      </c>
      <c r="T194" s="16" t="n">
        <f aca="false">MIN(CADASTRO_CASAS_BOMBA!$O$11,MAX(0,T193+CADASTRO_CASAS_BOMBA!$I$11*HORAS_CAPTACAO_DIA-S194))</f>
        <v>469821</v>
      </c>
      <c r="U194" s="16" t="n">
        <f aca="false">MAX(0,S194-CADASTRO_CASAS_BOMBA!$I$11*HORAS_CAPTACAO_DIA-T193)</f>
        <v>0</v>
      </c>
      <c r="V194" s="16" t="n">
        <f aca="false">INDEX(AUX_MATRIZES!$C$14:$BP$14,MIN(N_SEMANAS,MAX(1,$C194)))/DIAS_POR_SEMANA</f>
        <v>3743.95764705882</v>
      </c>
      <c r="W194" s="16" t="n">
        <f aca="false">MIN(CADASTRO_CASAS_BOMBA!$O$12,MAX(0,W193+CADASTRO_CASAS_BOMBA!$I$12*HORAS_CAPTACAO_DIA-V194))</f>
        <v>440000</v>
      </c>
      <c r="X194" s="16" t="n">
        <f aca="false">MAX(0,V194-CADASTRO_CASAS_BOMBA!$I$12*HORAS_CAPTACAO_DIA-W193)</f>
        <v>0</v>
      </c>
      <c r="Y194" s="16" t="n">
        <f aca="false">INDEX(AUX_MATRIZES!$C$15:$BP$15,MIN(N_SEMANAS,MAX(1,$C194)))/DIAS_POR_SEMANA</f>
        <v>0</v>
      </c>
      <c r="Z194" s="16" t="n">
        <f aca="false">MIN(CADASTRO_CASAS_BOMBA!$O$13,MAX(0,Z193+CADASTRO_CASAS_BOMBA!$I$13*HORAS_CAPTACAO_DIA-Y194))</f>
        <v>74903</v>
      </c>
      <c r="AA194" s="16" t="n">
        <f aca="false">MAX(0,Y194-CADASTRO_CASAS_BOMBA!$I$13*HORAS_CAPTACAO_DIA-Z193)</f>
        <v>0</v>
      </c>
    </row>
    <row r="195" customFormat="false" ht="15" hidden="false" customHeight="false" outlineLevel="0" collapsed="false">
      <c r="B195" s="17" t="n">
        <f aca="false">DATA_INICIO_SAFRA+188</f>
        <v>46453</v>
      </c>
      <c r="C195" s="16" t="n">
        <f aca="false">MIN(N_SEMANAS,MAX(1,INT(($B195-DATA_INICIO_SAFRA)/DIAS_POR_SEMANA)+1))</f>
        <v>27</v>
      </c>
      <c r="D195" s="16" t="n">
        <f aca="false">INDEX(AUX_MATRIZES!$C$8:$BP$8,MIN(N_SEMANAS,MAX(1,$C195)))/DIAS_POR_SEMANA</f>
        <v>0</v>
      </c>
      <c r="E195" s="16" t="n">
        <f aca="false">MIN(CADASTRO_CASAS_BOMBA!$O$6,MAX(0,E194+CADASTRO_CASAS_BOMBA!$I$6*HORAS_CAPTACAO_DIA-D195))</f>
        <v>2600</v>
      </c>
      <c r="F195" s="16" t="n">
        <f aca="false">MAX(0,D195-CADASTRO_CASAS_BOMBA!$I$6*HORAS_CAPTACAO_DIA-E194)</f>
        <v>0</v>
      </c>
      <c r="G195" s="16" t="n">
        <f aca="false">INDEX(AUX_MATRIZES!$C$9:$BP$9,MIN(N_SEMANAS,MAX(1,$C195)))/DIAS_POR_SEMANA</f>
        <v>1217.20047058823</v>
      </c>
      <c r="H195" s="16" t="n">
        <f aca="false">MIN(CADASTRO_CASAS_BOMBA!$O$7,MAX(0,H194+CADASTRO_CASAS_BOMBA!$I$7*HORAS_CAPTACAO_DIA-G195))</f>
        <v>76648</v>
      </c>
      <c r="I195" s="16" t="n">
        <f aca="false">MAX(0,G195-CADASTRO_CASAS_BOMBA!$I$7*HORAS_CAPTACAO_DIA-H194)</f>
        <v>0</v>
      </c>
      <c r="J195" s="16" t="n">
        <f aca="false">INDEX(AUX_MATRIZES!$C$10:$BP$10,MIN(N_SEMANAS,MAX(1,$C195)))/DIAS_POR_SEMANA</f>
        <v>0</v>
      </c>
      <c r="K195" s="16" t="n">
        <f aca="false">MIN(CADASTRO_CASAS_BOMBA!$O$8,MAX(0,K194+CADASTRO_CASAS_BOMBA!$I$8*HORAS_CAPTACAO_DIA-J195))</f>
        <v>27377</v>
      </c>
      <c r="L195" s="16" t="n">
        <f aca="false">MAX(0,J195-CADASTRO_CASAS_BOMBA!$I$8*HORAS_CAPTACAO_DIA-K194)</f>
        <v>0</v>
      </c>
      <c r="M195" s="16" t="n">
        <f aca="false">INDEX(AUX_MATRIZES!$C$11:$BP$11,MIN(N_SEMANAS,MAX(1,$C195)))/DIAS_POR_SEMANA</f>
        <v>4002.06658823529</v>
      </c>
      <c r="N195" s="16" t="n">
        <f aca="false">MIN(CADASTRO_CASAS_BOMBA!$O$9,MAX(0,N194+CADASTRO_CASAS_BOMBA!$I$9*HORAS_CAPTACAO_DIA-M195))</f>
        <v>129000</v>
      </c>
      <c r="O195" s="16" t="n">
        <f aca="false">MAX(0,M195-CADASTRO_CASAS_BOMBA!$I$9*HORAS_CAPTACAO_DIA-N194)</f>
        <v>0</v>
      </c>
      <c r="P195" s="16" t="n">
        <f aca="false">INDEX(AUX_MATRIZES!$C$12:$BP$12,MIN(N_SEMANAS,MAX(1,$C195)))/DIAS_POR_SEMANA</f>
        <v>5715.4654117647</v>
      </c>
      <c r="Q195" s="16" t="n">
        <f aca="false">MIN(CADASTRO_CASAS_BOMBA!$O$10,MAX(0,Q194+CADASTRO_CASAS_BOMBA!$I$10*HORAS_CAPTACAO_DIA-P195))</f>
        <v>1000000</v>
      </c>
      <c r="R195" s="16" t="n">
        <f aca="false">MAX(0,P195-CADASTRO_CASAS_BOMBA!$I$10*HORAS_CAPTACAO_DIA-Q194)</f>
        <v>0</v>
      </c>
      <c r="S195" s="16" t="n">
        <f aca="false">INDEX(AUX_MATRIZES!$C$13:$BP$13,MIN(N_SEMANAS,MAX(1,$C195)))/DIAS_POR_SEMANA</f>
        <v>7927.35752941176</v>
      </c>
      <c r="T195" s="16" t="n">
        <f aca="false">MIN(CADASTRO_CASAS_BOMBA!$O$11,MAX(0,T194+CADASTRO_CASAS_BOMBA!$I$11*HORAS_CAPTACAO_DIA-S195))</f>
        <v>469821</v>
      </c>
      <c r="U195" s="16" t="n">
        <f aca="false">MAX(0,S195-CADASTRO_CASAS_BOMBA!$I$11*HORAS_CAPTACAO_DIA-T194)</f>
        <v>0</v>
      </c>
      <c r="V195" s="16" t="n">
        <f aca="false">INDEX(AUX_MATRIZES!$C$14:$BP$14,MIN(N_SEMANAS,MAX(1,$C195)))/DIAS_POR_SEMANA</f>
        <v>3743.95764705882</v>
      </c>
      <c r="W195" s="16" t="n">
        <f aca="false">MIN(CADASTRO_CASAS_BOMBA!$O$12,MAX(0,W194+CADASTRO_CASAS_BOMBA!$I$12*HORAS_CAPTACAO_DIA-V195))</f>
        <v>440000</v>
      </c>
      <c r="X195" s="16" t="n">
        <f aca="false">MAX(0,V195-CADASTRO_CASAS_BOMBA!$I$12*HORAS_CAPTACAO_DIA-W194)</f>
        <v>0</v>
      </c>
      <c r="Y195" s="16" t="n">
        <f aca="false">INDEX(AUX_MATRIZES!$C$15:$BP$15,MIN(N_SEMANAS,MAX(1,$C195)))/DIAS_POR_SEMANA</f>
        <v>0</v>
      </c>
      <c r="Z195" s="16" t="n">
        <f aca="false">MIN(CADASTRO_CASAS_BOMBA!$O$13,MAX(0,Z194+CADASTRO_CASAS_BOMBA!$I$13*HORAS_CAPTACAO_DIA-Y195))</f>
        <v>74903</v>
      </c>
      <c r="AA195" s="16" t="n">
        <f aca="false">MAX(0,Y195-CADASTRO_CASAS_BOMBA!$I$13*HORAS_CAPTACAO_DIA-Z194)</f>
        <v>0</v>
      </c>
    </row>
    <row r="196" customFormat="false" ht="15" hidden="false" customHeight="false" outlineLevel="0" collapsed="false">
      <c r="B196" s="17" t="n">
        <f aca="false">DATA_INICIO_SAFRA+189</f>
        <v>46454</v>
      </c>
      <c r="C196" s="16" t="n">
        <f aca="false">MIN(N_SEMANAS,MAX(1,INT(($B196-DATA_INICIO_SAFRA)/DIAS_POR_SEMANA)+1))</f>
        <v>28</v>
      </c>
      <c r="D196" s="16" t="n">
        <f aca="false">INDEX(AUX_MATRIZES!$C$8:$BP$8,MIN(N_SEMANAS,MAX(1,$C196)))/DIAS_POR_SEMANA</f>
        <v>0</v>
      </c>
      <c r="E196" s="16" t="n">
        <f aca="false">MIN(CADASTRO_CASAS_BOMBA!$O$6,MAX(0,E195+CADASTRO_CASAS_BOMBA!$I$6*HORAS_CAPTACAO_DIA-D196))</f>
        <v>2600</v>
      </c>
      <c r="F196" s="16" t="n">
        <f aca="false">MAX(0,D196-CADASTRO_CASAS_BOMBA!$I$6*HORAS_CAPTACAO_DIA-E195)</f>
        <v>0</v>
      </c>
      <c r="G196" s="16" t="n">
        <f aca="false">INDEX(AUX_MATRIZES!$C$9:$BP$9,MIN(N_SEMANAS,MAX(1,$C196)))/DIAS_POR_SEMANA</f>
        <v>1217.20047058823</v>
      </c>
      <c r="H196" s="16" t="n">
        <f aca="false">MIN(CADASTRO_CASAS_BOMBA!$O$7,MAX(0,H195+CADASTRO_CASAS_BOMBA!$I$7*HORAS_CAPTACAO_DIA-G196))</f>
        <v>76648</v>
      </c>
      <c r="I196" s="16" t="n">
        <f aca="false">MAX(0,G196-CADASTRO_CASAS_BOMBA!$I$7*HORAS_CAPTACAO_DIA-H195)</f>
        <v>0</v>
      </c>
      <c r="J196" s="16" t="n">
        <f aca="false">INDEX(AUX_MATRIZES!$C$10:$BP$10,MIN(N_SEMANAS,MAX(1,$C196)))/DIAS_POR_SEMANA</f>
        <v>0</v>
      </c>
      <c r="K196" s="16" t="n">
        <f aca="false">MIN(CADASTRO_CASAS_BOMBA!$O$8,MAX(0,K195+CADASTRO_CASAS_BOMBA!$I$8*HORAS_CAPTACAO_DIA-J196))</f>
        <v>27377</v>
      </c>
      <c r="L196" s="16" t="n">
        <f aca="false">MAX(0,J196-CADASTRO_CASAS_BOMBA!$I$8*HORAS_CAPTACAO_DIA-K195)</f>
        <v>0</v>
      </c>
      <c r="M196" s="16" t="n">
        <f aca="false">INDEX(AUX_MATRIZES!$C$11:$BP$11,MIN(N_SEMANAS,MAX(1,$C196)))/DIAS_POR_SEMANA</f>
        <v>4002.06658823529</v>
      </c>
      <c r="N196" s="16" t="n">
        <f aca="false">MIN(CADASTRO_CASAS_BOMBA!$O$9,MAX(0,N195+CADASTRO_CASAS_BOMBA!$I$9*HORAS_CAPTACAO_DIA-M196))</f>
        <v>129000</v>
      </c>
      <c r="O196" s="16" t="n">
        <f aca="false">MAX(0,M196-CADASTRO_CASAS_BOMBA!$I$9*HORAS_CAPTACAO_DIA-N195)</f>
        <v>0</v>
      </c>
      <c r="P196" s="16" t="n">
        <f aca="false">INDEX(AUX_MATRIZES!$C$12:$BP$12,MIN(N_SEMANAS,MAX(1,$C196)))/DIAS_POR_SEMANA</f>
        <v>5715.4654117647</v>
      </c>
      <c r="Q196" s="16" t="n">
        <f aca="false">MIN(CADASTRO_CASAS_BOMBA!$O$10,MAX(0,Q195+CADASTRO_CASAS_BOMBA!$I$10*HORAS_CAPTACAO_DIA-P196))</f>
        <v>1000000</v>
      </c>
      <c r="R196" s="16" t="n">
        <f aca="false">MAX(0,P196-CADASTRO_CASAS_BOMBA!$I$10*HORAS_CAPTACAO_DIA-Q195)</f>
        <v>0</v>
      </c>
      <c r="S196" s="16" t="n">
        <f aca="false">INDEX(AUX_MATRIZES!$C$13:$BP$13,MIN(N_SEMANAS,MAX(1,$C196)))/DIAS_POR_SEMANA</f>
        <v>9044.1962745098</v>
      </c>
      <c r="T196" s="16" t="n">
        <f aca="false">MIN(CADASTRO_CASAS_BOMBA!$O$11,MAX(0,T195+CADASTRO_CASAS_BOMBA!$I$11*HORAS_CAPTACAO_DIA-S196))</f>
        <v>469821</v>
      </c>
      <c r="U196" s="16" t="n">
        <f aca="false">MAX(0,S196-CADASTRO_CASAS_BOMBA!$I$11*HORAS_CAPTACAO_DIA-T195)</f>
        <v>0</v>
      </c>
      <c r="V196" s="16" t="n">
        <f aca="false">INDEX(AUX_MATRIZES!$C$14:$BP$14,MIN(N_SEMANAS,MAX(1,$C196)))/DIAS_POR_SEMANA</f>
        <v>3743.95764705882</v>
      </c>
      <c r="W196" s="16" t="n">
        <f aca="false">MIN(CADASTRO_CASAS_BOMBA!$O$12,MAX(0,W195+CADASTRO_CASAS_BOMBA!$I$12*HORAS_CAPTACAO_DIA-V196))</f>
        <v>440000</v>
      </c>
      <c r="X196" s="16" t="n">
        <f aca="false">MAX(0,V196-CADASTRO_CASAS_BOMBA!$I$12*HORAS_CAPTACAO_DIA-W195)</f>
        <v>0</v>
      </c>
      <c r="Y196" s="16" t="n">
        <f aca="false">INDEX(AUX_MATRIZES!$C$15:$BP$15,MIN(N_SEMANAS,MAX(1,$C196)))/DIAS_POR_SEMANA</f>
        <v>0</v>
      </c>
      <c r="Z196" s="16" t="n">
        <f aca="false">MIN(CADASTRO_CASAS_BOMBA!$O$13,MAX(0,Z195+CADASTRO_CASAS_BOMBA!$I$13*HORAS_CAPTACAO_DIA-Y196))</f>
        <v>74903</v>
      </c>
      <c r="AA196" s="16" t="n">
        <f aca="false">MAX(0,Y196-CADASTRO_CASAS_BOMBA!$I$13*HORAS_CAPTACAO_DIA-Z195)</f>
        <v>0</v>
      </c>
    </row>
    <row r="197" customFormat="false" ht="15" hidden="false" customHeight="false" outlineLevel="0" collapsed="false">
      <c r="B197" s="17" t="n">
        <f aca="false">DATA_INICIO_SAFRA+190</f>
        <v>46455</v>
      </c>
      <c r="C197" s="16" t="n">
        <f aca="false">MIN(N_SEMANAS,MAX(1,INT(($B197-DATA_INICIO_SAFRA)/DIAS_POR_SEMANA)+1))</f>
        <v>28</v>
      </c>
      <c r="D197" s="16" t="n">
        <f aca="false">INDEX(AUX_MATRIZES!$C$8:$BP$8,MIN(N_SEMANAS,MAX(1,$C197)))/DIAS_POR_SEMANA</f>
        <v>0</v>
      </c>
      <c r="E197" s="16" t="n">
        <f aca="false">MIN(CADASTRO_CASAS_BOMBA!$O$6,MAX(0,E196+CADASTRO_CASAS_BOMBA!$I$6*HORAS_CAPTACAO_DIA-D197))</f>
        <v>2600</v>
      </c>
      <c r="F197" s="16" t="n">
        <f aca="false">MAX(0,D197-CADASTRO_CASAS_BOMBA!$I$6*HORAS_CAPTACAO_DIA-E196)</f>
        <v>0</v>
      </c>
      <c r="G197" s="16" t="n">
        <f aca="false">INDEX(AUX_MATRIZES!$C$9:$BP$9,MIN(N_SEMANAS,MAX(1,$C197)))/DIAS_POR_SEMANA</f>
        <v>1217.20047058823</v>
      </c>
      <c r="H197" s="16" t="n">
        <f aca="false">MIN(CADASTRO_CASAS_BOMBA!$O$7,MAX(0,H196+CADASTRO_CASAS_BOMBA!$I$7*HORAS_CAPTACAO_DIA-G197))</f>
        <v>76648</v>
      </c>
      <c r="I197" s="16" t="n">
        <f aca="false">MAX(0,G197-CADASTRO_CASAS_BOMBA!$I$7*HORAS_CAPTACAO_DIA-H196)</f>
        <v>0</v>
      </c>
      <c r="J197" s="16" t="n">
        <f aca="false">INDEX(AUX_MATRIZES!$C$10:$BP$10,MIN(N_SEMANAS,MAX(1,$C197)))/DIAS_POR_SEMANA</f>
        <v>0</v>
      </c>
      <c r="K197" s="16" t="n">
        <f aca="false">MIN(CADASTRO_CASAS_BOMBA!$O$8,MAX(0,K196+CADASTRO_CASAS_BOMBA!$I$8*HORAS_CAPTACAO_DIA-J197))</f>
        <v>27377</v>
      </c>
      <c r="L197" s="16" t="n">
        <f aca="false">MAX(0,J197-CADASTRO_CASAS_BOMBA!$I$8*HORAS_CAPTACAO_DIA-K196)</f>
        <v>0</v>
      </c>
      <c r="M197" s="16" t="n">
        <f aca="false">INDEX(AUX_MATRIZES!$C$11:$BP$11,MIN(N_SEMANAS,MAX(1,$C197)))/DIAS_POR_SEMANA</f>
        <v>4002.06658823529</v>
      </c>
      <c r="N197" s="16" t="n">
        <f aca="false">MIN(CADASTRO_CASAS_BOMBA!$O$9,MAX(0,N196+CADASTRO_CASAS_BOMBA!$I$9*HORAS_CAPTACAO_DIA-M197))</f>
        <v>129000</v>
      </c>
      <c r="O197" s="16" t="n">
        <f aca="false">MAX(0,M197-CADASTRO_CASAS_BOMBA!$I$9*HORAS_CAPTACAO_DIA-N196)</f>
        <v>0</v>
      </c>
      <c r="P197" s="16" t="n">
        <f aca="false">INDEX(AUX_MATRIZES!$C$12:$BP$12,MIN(N_SEMANAS,MAX(1,$C197)))/DIAS_POR_SEMANA</f>
        <v>5715.4654117647</v>
      </c>
      <c r="Q197" s="16" t="n">
        <f aca="false">MIN(CADASTRO_CASAS_BOMBA!$O$10,MAX(0,Q196+CADASTRO_CASAS_BOMBA!$I$10*HORAS_CAPTACAO_DIA-P197))</f>
        <v>1000000</v>
      </c>
      <c r="R197" s="16" t="n">
        <f aca="false">MAX(0,P197-CADASTRO_CASAS_BOMBA!$I$10*HORAS_CAPTACAO_DIA-Q196)</f>
        <v>0</v>
      </c>
      <c r="S197" s="16" t="n">
        <f aca="false">INDEX(AUX_MATRIZES!$C$13:$BP$13,MIN(N_SEMANAS,MAX(1,$C197)))/DIAS_POR_SEMANA</f>
        <v>9044.1962745098</v>
      </c>
      <c r="T197" s="16" t="n">
        <f aca="false">MIN(CADASTRO_CASAS_BOMBA!$O$11,MAX(0,T196+CADASTRO_CASAS_BOMBA!$I$11*HORAS_CAPTACAO_DIA-S197))</f>
        <v>469821</v>
      </c>
      <c r="U197" s="16" t="n">
        <f aca="false">MAX(0,S197-CADASTRO_CASAS_BOMBA!$I$11*HORAS_CAPTACAO_DIA-T196)</f>
        <v>0</v>
      </c>
      <c r="V197" s="16" t="n">
        <f aca="false">INDEX(AUX_MATRIZES!$C$14:$BP$14,MIN(N_SEMANAS,MAX(1,$C197)))/DIAS_POR_SEMANA</f>
        <v>3743.95764705882</v>
      </c>
      <c r="W197" s="16" t="n">
        <f aca="false">MIN(CADASTRO_CASAS_BOMBA!$O$12,MAX(0,W196+CADASTRO_CASAS_BOMBA!$I$12*HORAS_CAPTACAO_DIA-V197))</f>
        <v>440000</v>
      </c>
      <c r="X197" s="16" t="n">
        <f aca="false">MAX(0,V197-CADASTRO_CASAS_BOMBA!$I$12*HORAS_CAPTACAO_DIA-W196)</f>
        <v>0</v>
      </c>
      <c r="Y197" s="16" t="n">
        <f aca="false">INDEX(AUX_MATRIZES!$C$15:$BP$15,MIN(N_SEMANAS,MAX(1,$C197)))/DIAS_POR_SEMANA</f>
        <v>0</v>
      </c>
      <c r="Z197" s="16" t="n">
        <f aca="false">MIN(CADASTRO_CASAS_BOMBA!$O$13,MAX(0,Z196+CADASTRO_CASAS_BOMBA!$I$13*HORAS_CAPTACAO_DIA-Y197))</f>
        <v>74903</v>
      </c>
      <c r="AA197" s="16" t="n">
        <f aca="false">MAX(0,Y197-CADASTRO_CASAS_BOMBA!$I$13*HORAS_CAPTACAO_DIA-Z196)</f>
        <v>0</v>
      </c>
    </row>
    <row r="198" customFormat="false" ht="15" hidden="false" customHeight="false" outlineLevel="0" collapsed="false">
      <c r="B198" s="17" t="n">
        <f aca="false">DATA_INICIO_SAFRA+191</f>
        <v>46456</v>
      </c>
      <c r="C198" s="16" t="n">
        <f aca="false">MIN(N_SEMANAS,MAX(1,INT(($B198-DATA_INICIO_SAFRA)/DIAS_POR_SEMANA)+1))</f>
        <v>28</v>
      </c>
      <c r="D198" s="16" t="n">
        <f aca="false">INDEX(AUX_MATRIZES!$C$8:$BP$8,MIN(N_SEMANAS,MAX(1,$C198)))/DIAS_POR_SEMANA</f>
        <v>0</v>
      </c>
      <c r="E198" s="16" t="n">
        <f aca="false">MIN(CADASTRO_CASAS_BOMBA!$O$6,MAX(0,E197+CADASTRO_CASAS_BOMBA!$I$6*HORAS_CAPTACAO_DIA-D198))</f>
        <v>2600</v>
      </c>
      <c r="F198" s="16" t="n">
        <f aca="false">MAX(0,D198-CADASTRO_CASAS_BOMBA!$I$6*HORAS_CAPTACAO_DIA-E197)</f>
        <v>0</v>
      </c>
      <c r="G198" s="16" t="n">
        <f aca="false">INDEX(AUX_MATRIZES!$C$9:$BP$9,MIN(N_SEMANAS,MAX(1,$C198)))/DIAS_POR_SEMANA</f>
        <v>1217.20047058823</v>
      </c>
      <c r="H198" s="16" t="n">
        <f aca="false">MIN(CADASTRO_CASAS_BOMBA!$O$7,MAX(0,H197+CADASTRO_CASAS_BOMBA!$I$7*HORAS_CAPTACAO_DIA-G198))</f>
        <v>76648</v>
      </c>
      <c r="I198" s="16" t="n">
        <f aca="false">MAX(0,G198-CADASTRO_CASAS_BOMBA!$I$7*HORAS_CAPTACAO_DIA-H197)</f>
        <v>0</v>
      </c>
      <c r="J198" s="16" t="n">
        <f aca="false">INDEX(AUX_MATRIZES!$C$10:$BP$10,MIN(N_SEMANAS,MAX(1,$C198)))/DIAS_POR_SEMANA</f>
        <v>0</v>
      </c>
      <c r="K198" s="16" t="n">
        <f aca="false">MIN(CADASTRO_CASAS_BOMBA!$O$8,MAX(0,K197+CADASTRO_CASAS_BOMBA!$I$8*HORAS_CAPTACAO_DIA-J198))</f>
        <v>27377</v>
      </c>
      <c r="L198" s="16" t="n">
        <f aca="false">MAX(0,J198-CADASTRO_CASAS_BOMBA!$I$8*HORAS_CAPTACAO_DIA-K197)</f>
        <v>0</v>
      </c>
      <c r="M198" s="16" t="n">
        <f aca="false">INDEX(AUX_MATRIZES!$C$11:$BP$11,MIN(N_SEMANAS,MAX(1,$C198)))/DIAS_POR_SEMANA</f>
        <v>4002.06658823529</v>
      </c>
      <c r="N198" s="16" t="n">
        <f aca="false">MIN(CADASTRO_CASAS_BOMBA!$O$9,MAX(0,N197+CADASTRO_CASAS_BOMBA!$I$9*HORAS_CAPTACAO_DIA-M198))</f>
        <v>129000</v>
      </c>
      <c r="O198" s="16" t="n">
        <f aca="false">MAX(0,M198-CADASTRO_CASAS_BOMBA!$I$9*HORAS_CAPTACAO_DIA-N197)</f>
        <v>0</v>
      </c>
      <c r="P198" s="16" t="n">
        <f aca="false">INDEX(AUX_MATRIZES!$C$12:$BP$12,MIN(N_SEMANAS,MAX(1,$C198)))/DIAS_POR_SEMANA</f>
        <v>5715.4654117647</v>
      </c>
      <c r="Q198" s="16" t="n">
        <f aca="false">MIN(CADASTRO_CASAS_BOMBA!$O$10,MAX(0,Q197+CADASTRO_CASAS_BOMBA!$I$10*HORAS_CAPTACAO_DIA-P198))</f>
        <v>1000000</v>
      </c>
      <c r="R198" s="16" t="n">
        <f aca="false">MAX(0,P198-CADASTRO_CASAS_BOMBA!$I$10*HORAS_CAPTACAO_DIA-Q197)</f>
        <v>0</v>
      </c>
      <c r="S198" s="16" t="n">
        <f aca="false">INDEX(AUX_MATRIZES!$C$13:$BP$13,MIN(N_SEMANAS,MAX(1,$C198)))/DIAS_POR_SEMANA</f>
        <v>9044.1962745098</v>
      </c>
      <c r="T198" s="16" t="n">
        <f aca="false">MIN(CADASTRO_CASAS_BOMBA!$O$11,MAX(0,T197+CADASTRO_CASAS_BOMBA!$I$11*HORAS_CAPTACAO_DIA-S198))</f>
        <v>469821</v>
      </c>
      <c r="U198" s="16" t="n">
        <f aca="false">MAX(0,S198-CADASTRO_CASAS_BOMBA!$I$11*HORAS_CAPTACAO_DIA-T197)</f>
        <v>0</v>
      </c>
      <c r="V198" s="16" t="n">
        <f aca="false">INDEX(AUX_MATRIZES!$C$14:$BP$14,MIN(N_SEMANAS,MAX(1,$C198)))/DIAS_POR_SEMANA</f>
        <v>3743.95764705882</v>
      </c>
      <c r="W198" s="16" t="n">
        <f aca="false">MIN(CADASTRO_CASAS_BOMBA!$O$12,MAX(0,W197+CADASTRO_CASAS_BOMBA!$I$12*HORAS_CAPTACAO_DIA-V198))</f>
        <v>440000</v>
      </c>
      <c r="X198" s="16" t="n">
        <f aca="false">MAX(0,V198-CADASTRO_CASAS_BOMBA!$I$12*HORAS_CAPTACAO_DIA-W197)</f>
        <v>0</v>
      </c>
      <c r="Y198" s="16" t="n">
        <f aca="false">INDEX(AUX_MATRIZES!$C$15:$BP$15,MIN(N_SEMANAS,MAX(1,$C198)))/DIAS_POR_SEMANA</f>
        <v>0</v>
      </c>
      <c r="Z198" s="16" t="n">
        <f aca="false">MIN(CADASTRO_CASAS_BOMBA!$O$13,MAX(0,Z197+CADASTRO_CASAS_BOMBA!$I$13*HORAS_CAPTACAO_DIA-Y198))</f>
        <v>74903</v>
      </c>
      <c r="AA198" s="16" t="n">
        <f aca="false">MAX(0,Y198-CADASTRO_CASAS_BOMBA!$I$13*HORAS_CAPTACAO_DIA-Z197)</f>
        <v>0</v>
      </c>
    </row>
    <row r="199" customFormat="false" ht="15" hidden="false" customHeight="false" outlineLevel="0" collapsed="false">
      <c r="B199" s="17" t="n">
        <f aca="false">DATA_INICIO_SAFRA+192</f>
        <v>46457</v>
      </c>
      <c r="C199" s="16" t="n">
        <f aca="false">MIN(N_SEMANAS,MAX(1,INT(($B199-DATA_INICIO_SAFRA)/DIAS_POR_SEMANA)+1))</f>
        <v>28</v>
      </c>
      <c r="D199" s="16" t="n">
        <f aca="false">INDEX(AUX_MATRIZES!$C$8:$BP$8,MIN(N_SEMANAS,MAX(1,$C199)))/DIAS_POR_SEMANA</f>
        <v>0</v>
      </c>
      <c r="E199" s="16" t="n">
        <f aca="false">MIN(CADASTRO_CASAS_BOMBA!$O$6,MAX(0,E198+CADASTRO_CASAS_BOMBA!$I$6*HORAS_CAPTACAO_DIA-D199))</f>
        <v>2600</v>
      </c>
      <c r="F199" s="16" t="n">
        <f aca="false">MAX(0,D199-CADASTRO_CASAS_BOMBA!$I$6*HORAS_CAPTACAO_DIA-E198)</f>
        <v>0</v>
      </c>
      <c r="G199" s="16" t="n">
        <f aca="false">INDEX(AUX_MATRIZES!$C$9:$BP$9,MIN(N_SEMANAS,MAX(1,$C199)))/DIAS_POR_SEMANA</f>
        <v>1217.20047058823</v>
      </c>
      <c r="H199" s="16" t="n">
        <f aca="false">MIN(CADASTRO_CASAS_BOMBA!$O$7,MAX(0,H198+CADASTRO_CASAS_BOMBA!$I$7*HORAS_CAPTACAO_DIA-G199))</f>
        <v>76648</v>
      </c>
      <c r="I199" s="16" t="n">
        <f aca="false">MAX(0,G199-CADASTRO_CASAS_BOMBA!$I$7*HORAS_CAPTACAO_DIA-H198)</f>
        <v>0</v>
      </c>
      <c r="J199" s="16" t="n">
        <f aca="false">INDEX(AUX_MATRIZES!$C$10:$BP$10,MIN(N_SEMANAS,MAX(1,$C199)))/DIAS_POR_SEMANA</f>
        <v>0</v>
      </c>
      <c r="K199" s="16" t="n">
        <f aca="false">MIN(CADASTRO_CASAS_BOMBA!$O$8,MAX(0,K198+CADASTRO_CASAS_BOMBA!$I$8*HORAS_CAPTACAO_DIA-J199))</f>
        <v>27377</v>
      </c>
      <c r="L199" s="16" t="n">
        <f aca="false">MAX(0,J199-CADASTRO_CASAS_BOMBA!$I$8*HORAS_CAPTACAO_DIA-K198)</f>
        <v>0</v>
      </c>
      <c r="M199" s="16" t="n">
        <f aca="false">INDEX(AUX_MATRIZES!$C$11:$BP$11,MIN(N_SEMANAS,MAX(1,$C199)))/DIAS_POR_SEMANA</f>
        <v>4002.06658823529</v>
      </c>
      <c r="N199" s="16" t="n">
        <f aca="false">MIN(CADASTRO_CASAS_BOMBA!$O$9,MAX(0,N198+CADASTRO_CASAS_BOMBA!$I$9*HORAS_CAPTACAO_DIA-M199))</f>
        <v>129000</v>
      </c>
      <c r="O199" s="16" t="n">
        <f aca="false">MAX(0,M199-CADASTRO_CASAS_BOMBA!$I$9*HORAS_CAPTACAO_DIA-N198)</f>
        <v>0</v>
      </c>
      <c r="P199" s="16" t="n">
        <f aca="false">INDEX(AUX_MATRIZES!$C$12:$BP$12,MIN(N_SEMANAS,MAX(1,$C199)))/DIAS_POR_SEMANA</f>
        <v>5715.4654117647</v>
      </c>
      <c r="Q199" s="16" t="n">
        <f aca="false">MIN(CADASTRO_CASAS_BOMBA!$O$10,MAX(0,Q198+CADASTRO_CASAS_BOMBA!$I$10*HORAS_CAPTACAO_DIA-P199))</f>
        <v>1000000</v>
      </c>
      <c r="R199" s="16" t="n">
        <f aca="false">MAX(0,P199-CADASTRO_CASAS_BOMBA!$I$10*HORAS_CAPTACAO_DIA-Q198)</f>
        <v>0</v>
      </c>
      <c r="S199" s="16" t="n">
        <f aca="false">INDEX(AUX_MATRIZES!$C$13:$BP$13,MIN(N_SEMANAS,MAX(1,$C199)))/DIAS_POR_SEMANA</f>
        <v>9044.1962745098</v>
      </c>
      <c r="T199" s="16" t="n">
        <f aca="false">MIN(CADASTRO_CASAS_BOMBA!$O$11,MAX(0,T198+CADASTRO_CASAS_BOMBA!$I$11*HORAS_CAPTACAO_DIA-S199))</f>
        <v>469821</v>
      </c>
      <c r="U199" s="16" t="n">
        <f aca="false">MAX(0,S199-CADASTRO_CASAS_BOMBA!$I$11*HORAS_CAPTACAO_DIA-T198)</f>
        <v>0</v>
      </c>
      <c r="V199" s="16" t="n">
        <f aca="false">INDEX(AUX_MATRIZES!$C$14:$BP$14,MIN(N_SEMANAS,MAX(1,$C199)))/DIAS_POR_SEMANA</f>
        <v>3743.95764705882</v>
      </c>
      <c r="W199" s="16" t="n">
        <f aca="false">MIN(CADASTRO_CASAS_BOMBA!$O$12,MAX(0,W198+CADASTRO_CASAS_BOMBA!$I$12*HORAS_CAPTACAO_DIA-V199))</f>
        <v>440000</v>
      </c>
      <c r="X199" s="16" t="n">
        <f aca="false">MAX(0,V199-CADASTRO_CASAS_BOMBA!$I$12*HORAS_CAPTACAO_DIA-W198)</f>
        <v>0</v>
      </c>
      <c r="Y199" s="16" t="n">
        <f aca="false">INDEX(AUX_MATRIZES!$C$15:$BP$15,MIN(N_SEMANAS,MAX(1,$C199)))/DIAS_POR_SEMANA</f>
        <v>0</v>
      </c>
      <c r="Z199" s="16" t="n">
        <f aca="false">MIN(CADASTRO_CASAS_BOMBA!$O$13,MAX(0,Z198+CADASTRO_CASAS_BOMBA!$I$13*HORAS_CAPTACAO_DIA-Y199))</f>
        <v>74903</v>
      </c>
      <c r="AA199" s="16" t="n">
        <f aca="false">MAX(0,Y199-CADASTRO_CASAS_BOMBA!$I$13*HORAS_CAPTACAO_DIA-Z198)</f>
        <v>0</v>
      </c>
    </row>
    <row r="200" customFormat="false" ht="15" hidden="false" customHeight="false" outlineLevel="0" collapsed="false">
      <c r="B200" s="17" t="n">
        <f aca="false">DATA_INICIO_SAFRA+193</f>
        <v>46458</v>
      </c>
      <c r="C200" s="16" t="n">
        <f aca="false">MIN(N_SEMANAS,MAX(1,INT(($B200-DATA_INICIO_SAFRA)/DIAS_POR_SEMANA)+1))</f>
        <v>28</v>
      </c>
      <c r="D200" s="16" t="n">
        <f aca="false">INDEX(AUX_MATRIZES!$C$8:$BP$8,MIN(N_SEMANAS,MAX(1,$C200)))/DIAS_POR_SEMANA</f>
        <v>0</v>
      </c>
      <c r="E200" s="16" t="n">
        <f aca="false">MIN(CADASTRO_CASAS_BOMBA!$O$6,MAX(0,E199+CADASTRO_CASAS_BOMBA!$I$6*HORAS_CAPTACAO_DIA-D200))</f>
        <v>2600</v>
      </c>
      <c r="F200" s="16" t="n">
        <f aca="false">MAX(0,D200-CADASTRO_CASAS_BOMBA!$I$6*HORAS_CAPTACAO_DIA-E199)</f>
        <v>0</v>
      </c>
      <c r="G200" s="16" t="n">
        <f aca="false">INDEX(AUX_MATRIZES!$C$9:$BP$9,MIN(N_SEMANAS,MAX(1,$C200)))/DIAS_POR_SEMANA</f>
        <v>1217.20047058823</v>
      </c>
      <c r="H200" s="16" t="n">
        <f aca="false">MIN(CADASTRO_CASAS_BOMBA!$O$7,MAX(0,H199+CADASTRO_CASAS_BOMBA!$I$7*HORAS_CAPTACAO_DIA-G200))</f>
        <v>76648</v>
      </c>
      <c r="I200" s="16" t="n">
        <f aca="false">MAX(0,G200-CADASTRO_CASAS_BOMBA!$I$7*HORAS_CAPTACAO_DIA-H199)</f>
        <v>0</v>
      </c>
      <c r="J200" s="16" t="n">
        <f aca="false">INDEX(AUX_MATRIZES!$C$10:$BP$10,MIN(N_SEMANAS,MAX(1,$C200)))/DIAS_POR_SEMANA</f>
        <v>0</v>
      </c>
      <c r="K200" s="16" t="n">
        <f aca="false">MIN(CADASTRO_CASAS_BOMBA!$O$8,MAX(0,K199+CADASTRO_CASAS_BOMBA!$I$8*HORAS_CAPTACAO_DIA-J200))</f>
        <v>27377</v>
      </c>
      <c r="L200" s="16" t="n">
        <f aca="false">MAX(0,J200-CADASTRO_CASAS_BOMBA!$I$8*HORAS_CAPTACAO_DIA-K199)</f>
        <v>0</v>
      </c>
      <c r="M200" s="16" t="n">
        <f aca="false">INDEX(AUX_MATRIZES!$C$11:$BP$11,MIN(N_SEMANAS,MAX(1,$C200)))/DIAS_POR_SEMANA</f>
        <v>4002.06658823529</v>
      </c>
      <c r="N200" s="16" t="n">
        <f aca="false">MIN(CADASTRO_CASAS_BOMBA!$O$9,MAX(0,N199+CADASTRO_CASAS_BOMBA!$I$9*HORAS_CAPTACAO_DIA-M200))</f>
        <v>129000</v>
      </c>
      <c r="O200" s="16" t="n">
        <f aca="false">MAX(0,M200-CADASTRO_CASAS_BOMBA!$I$9*HORAS_CAPTACAO_DIA-N199)</f>
        <v>0</v>
      </c>
      <c r="P200" s="16" t="n">
        <f aca="false">INDEX(AUX_MATRIZES!$C$12:$BP$12,MIN(N_SEMANAS,MAX(1,$C200)))/DIAS_POR_SEMANA</f>
        <v>5715.4654117647</v>
      </c>
      <c r="Q200" s="16" t="n">
        <f aca="false">MIN(CADASTRO_CASAS_BOMBA!$O$10,MAX(0,Q199+CADASTRO_CASAS_BOMBA!$I$10*HORAS_CAPTACAO_DIA-P200))</f>
        <v>1000000</v>
      </c>
      <c r="R200" s="16" t="n">
        <f aca="false">MAX(0,P200-CADASTRO_CASAS_BOMBA!$I$10*HORAS_CAPTACAO_DIA-Q199)</f>
        <v>0</v>
      </c>
      <c r="S200" s="16" t="n">
        <f aca="false">INDEX(AUX_MATRIZES!$C$13:$BP$13,MIN(N_SEMANAS,MAX(1,$C200)))/DIAS_POR_SEMANA</f>
        <v>9044.1962745098</v>
      </c>
      <c r="T200" s="16" t="n">
        <f aca="false">MIN(CADASTRO_CASAS_BOMBA!$O$11,MAX(0,T199+CADASTRO_CASAS_BOMBA!$I$11*HORAS_CAPTACAO_DIA-S200))</f>
        <v>469821</v>
      </c>
      <c r="U200" s="16" t="n">
        <f aca="false">MAX(0,S200-CADASTRO_CASAS_BOMBA!$I$11*HORAS_CAPTACAO_DIA-T199)</f>
        <v>0</v>
      </c>
      <c r="V200" s="16" t="n">
        <f aca="false">INDEX(AUX_MATRIZES!$C$14:$BP$14,MIN(N_SEMANAS,MAX(1,$C200)))/DIAS_POR_SEMANA</f>
        <v>3743.95764705882</v>
      </c>
      <c r="W200" s="16" t="n">
        <f aca="false">MIN(CADASTRO_CASAS_BOMBA!$O$12,MAX(0,W199+CADASTRO_CASAS_BOMBA!$I$12*HORAS_CAPTACAO_DIA-V200))</f>
        <v>440000</v>
      </c>
      <c r="X200" s="16" t="n">
        <f aca="false">MAX(0,V200-CADASTRO_CASAS_BOMBA!$I$12*HORAS_CAPTACAO_DIA-W199)</f>
        <v>0</v>
      </c>
      <c r="Y200" s="16" t="n">
        <f aca="false">INDEX(AUX_MATRIZES!$C$15:$BP$15,MIN(N_SEMANAS,MAX(1,$C200)))/DIAS_POR_SEMANA</f>
        <v>0</v>
      </c>
      <c r="Z200" s="16" t="n">
        <f aca="false">MIN(CADASTRO_CASAS_BOMBA!$O$13,MAX(0,Z199+CADASTRO_CASAS_BOMBA!$I$13*HORAS_CAPTACAO_DIA-Y200))</f>
        <v>74903</v>
      </c>
      <c r="AA200" s="16" t="n">
        <f aca="false">MAX(0,Y200-CADASTRO_CASAS_BOMBA!$I$13*HORAS_CAPTACAO_DIA-Z199)</f>
        <v>0</v>
      </c>
    </row>
    <row r="201" customFormat="false" ht="15" hidden="false" customHeight="false" outlineLevel="0" collapsed="false">
      <c r="B201" s="17" t="n">
        <f aca="false">DATA_INICIO_SAFRA+194</f>
        <v>46459</v>
      </c>
      <c r="C201" s="16" t="n">
        <f aca="false">MIN(N_SEMANAS,MAX(1,INT(($B201-DATA_INICIO_SAFRA)/DIAS_POR_SEMANA)+1))</f>
        <v>28</v>
      </c>
      <c r="D201" s="16" t="n">
        <f aca="false">INDEX(AUX_MATRIZES!$C$8:$BP$8,MIN(N_SEMANAS,MAX(1,$C201)))/DIAS_POR_SEMANA</f>
        <v>0</v>
      </c>
      <c r="E201" s="16" t="n">
        <f aca="false">MIN(CADASTRO_CASAS_BOMBA!$O$6,MAX(0,E200+CADASTRO_CASAS_BOMBA!$I$6*HORAS_CAPTACAO_DIA-D201))</f>
        <v>2600</v>
      </c>
      <c r="F201" s="16" t="n">
        <f aca="false">MAX(0,D201-CADASTRO_CASAS_BOMBA!$I$6*HORAS_CAPTACAO_DIA-E200)</f>
        <v>0</v>
      </c>
      <c r="G201" s="16" t="n">
        <f aca="false">INDEX(AUX_MATRIZES!$C$9:$BP$9,MIN(N_SEMANAS,MAX(1,$C201)))/DIAS_POR_SEMANA</f>
        <v>1217.20047058823</v>
      </c>
      <c r="H201" s="16" t="n">
        <f aca="false">MIN(CADASTRO_CASAS_BOMBA!$O$7,MAX(0,H200+CADASTRO_CASAS_BOMBA!$I$7*HORAS_CAPTACAO_DIA-G201))</f>
        <v>76648</v>
      </c>
      <c r="I201" s="16" t="n">
        <f aca="false">MAX(0,G201-CADASTRO_CASAS_BOMBA!$I$7*HORAS_CAPTACAO_DIA-H200)</f>
        <v>0</v>
      </c>
      <c r="J201" s="16" t="n">
        <f aca="false">INDEX(AUX_MATRIZES!$C$10:$BP$10,MIN(N_SEMANAS,MAX(1,$C201)))/DIAS_POR_SEMANA</f>
        <v>0</v>
      </c>
      <c r="K201" s="16" t="n">
        <f aca="false">MIN(CADASTRO_CASAS_BOMBA!$O$8,MAX(0,K200+CADASTRO_CASAS_BOMBA!$I$8*HORAS_CAPTACAO_DIA-J201))</f>
        <v>27377</v>
      </c>
      <c r="L201" s="16" t="n">
        <f aca="false">MAX(0,J201-CADASTRO_CASAS_BOMBA!$I$8*HORAS_CAPTACAO_DIA-K200)</f>
        <v>0</v>
      </c>
      <c r="M201" s="16" t="n">
        <f aca="false">INDEX(AUX_MATRIZES!$C$11:$BP$11,MIN(N_SEMANAS,MAX(1,$C201)))/DIAS_POR_SEMANA</f>
        <v>4002.06658823529</v>
      </c>
      <c r="N201" s="16" t="n">
        <f aca="false">MIN(CADASTRO_CASAS_BOMBA!$O$9,MAX(0,N200+CADASTRO_CASAS_BOMBA!$I$9*HORAS_CAPTACAO_DIA-M201))</f>
        <v>129000</v>
      </c>
      <c r="O201" s="16" t="n">
        <f aca="false">MAX(0,M201-CADASTRO_CASAS_BOMBA!$I$9*HORAS_CAPTACAO_DIA-N200)</f>
        <v>0</v>
      </c>
      <c r="P201" s="16" t="n">
        <f aca="false">INDEX(AUX_MATRIZES!$C$12:$BP$12,MIN(N_SEMANAS,MAX(1,$C201)))/DIAS_POR_SEMANA</f>
        <v>5715.4654117647</v>
      </c>
      <c r="Q201" s="16" t="n">
        <f aca="false">MIN(CADASTRO_CASAS_BOMBA!$O$10,MAX(0,Q200+CADASTRO_CASAS_BOMBA!$I$10*HORAS_CAPTACAO_DIA-P201))</f>
        <v>1000000</v>
      </c>
      <c r="R201" s="16" t="n">
        <f aca="false">MAX(0,P201-CADASTRO_CASAS_BOMBA!$I$10*HORAS_CAPTACAO_DIA-Q200)</f>
        <v>0</v>
      </c>
      <c r="S201" s="16" t="n">
        <f aca="false">INDEX(AUX_MATRIZES!$C$13:$BP$13,MIN(N_SEMANAS,MAX(1,$C201)))/DIAS_POR_SEMANA</f>
        <v>9044.1962745098</v>
      </c>
      <c r="T201" s="16" t="n">
        <f aca="false">MIN(CADASTRO_CASAS_BOMBA!$O$11,MAX(0,T200+CADASTRO_CASAS_BOMBA!$I$11*HORAS_CAPTACAO_DIA-S201))</f>
        <v>469821</v>
      </c>
      <c r="U201" s="16" t="n">
        <f aca="false">MAX(0,S201-CADASTRO_CASAS_BOMBA!$I$11*HORAS_CAPTACAO_DIA-T200)</f>
        <v>0</v>
      </c>
      <c r="V201" s="16" t="n">
        <f aca="false">INDEX(AUX_MATRIZES!$C$14:$BP$14,MIN(N_SEMANAS,MAX(1,$C201)))/DIAS_POR_SEMANA</f>
        <v>3743.95764705882</v>
      </c>
      <c r="W201" s="16" t="n">
        <f aca="false">MIN(CADASTRO_CASAS_BOMBA!$O$12,MAX(0,W200+CADASTRO_CASAS_BOMBA!$I$12*HORAS_CAPTACAO_DIA-V201))</f>
        <v>440000</v>
      </c>
      <c r="X201" s="16" t="n">
        <f aca="false">MAX(0,V201-CADASTRO_CASAS_BOMBA!$I$12*HORAS_CAPTACAO_DIA-W200)</f>
        <v>0</v>
      </c>
      <c r="Y201" s="16" t="n">
        <f aca="false">INDEX(AUX_MATRIZES!$C$15:$BP$15,MIN(N_SEMANAS,MAX(1,$C201)))/DIAS_POR_SEMANA</f>
        <v>0</v>
      </c>
      <c r="Z201" s="16" t="n">
        <f aca="false">MIN(CADASTRO_CASAS_BOMBA!$O$13,MAX(0,Z200+CADASTRO_CASAS_BOMBA!$I$13*HORAS_CAPTACAO_DIA-Y201))</f>
        <v>74903</v>
      </c>
      <c r="AA201" s="16" t="n">
        <f aca="false">MAX(0,Y201-CADASTRO_CASAS_BOMBA!$I$13*HORAS_CAPTACAO_DIA-Z200)</f>
        <v>0</v>
      </c>
    </row>
    <row r="202" customFormat="false" ht="15" hidden="false" customHeight="false" outlineLevel="0" collapsed="false">
      <c r="B202" s="17" t="n">
        <f aca="false">DATA_INICIO_SAFRA+195</f>
        <v>46460</v>
      </c>
      <c r="C202" s="16" t="n">
        <f aca="false">MIN(N_SEMANAS,MAX(1,INT(($B202-DATA_INICIO_SAFRA)/DIAS_POR_SEMANA)+1))</f>
        <v>28</v>
      </c>
      <c r="D202" s="16" t="n">
        <f aca="false">INDEX(AUX_MATRIZES!$C$8:$BP$8,MIN(N_SEMANAS,MAX(1,$C202)))/DIAS_POR_SEMANA</f>
        <v>0</v>
      </c>
      <c r="E202" s="16" t="n">
        <f aca="false">MIN(CADASTRO_CASAS_BOMBA!$O$6,MAX(0,E201+CADASTRO_CASAS_BOMBA!$I$6*HORAS_CAPTACAO_DIA-D202))</f>
        <v>2600</v>
      </c>
      <c r="F202" s="16" t="n">
        <f aca="false">MAX(0,D202-CADASTRO_CASAS_BOMBA!$I$6*HORAS_CAPTACAO_DIA-E201)</f>
        <v>0</v>
      </c>
      <c r="G202" s="16" t="n">
        <f aca="false">INDEX(AUX_MATRIZES!$C$9:$BP$9,MIN(N_SEMANAS,MAX(1,$C202)))/DIAS_POR_SEMANA</f>
        <v>1217.20047058823</v>
      </c>
      <c r="H202" s="16" t="n">
        <f aca="false">MIN(CADASTRO_CASAS_BOMBA!$O$7,MAX(0,H201+CADASTRO_CASAS_BOMBA!$I$7*HORAS_CAPTACAO_DIA-G202))</f>
        <v>76648</v>
      </c>
      <c r="I202" s="16" t="n">
        <f aca="false">MAX(0,G202-CADASTRO_CASAS_BOMBA!$I$7*HORAS_CAPTACAO_DIA-H201)</f>
        <v>0</v>
      </c>
      <c r="J202" s="16" t="n">
        <f aca="false">INDEX(AUX_MATRIZES!$C$10:$BP$10,MIN(N_SEMANAS,MAX(1,$C202)))/DIAS_POR_SEMANA</f>
        <v>0</v>
      </c>
      <c r="K202" s="16" t="n">
        <f aca="false">MIN(CADASTRO_CASAS_BOMBA!$O$8,MAX(0,K201+CADASTRO_CASAS_BOMBA!$I$8*HORAS_CAPTACAO_DIA-J202))</f>
        <v>27377</v>
      </c>
      <c r="L202" s="16" t="n">
        <f aca="false">MAX(0,J202-CADASTRO_CASAS_BOMBA!$I$8*HORAS_CAPTACAO_DIA-K201)</f>
        <v>0</v>
      </c>
      <c r="M202" s="16" t="n">
        <f aca="false">INDEX(AUX_MATRIZES!$C$11:$BP$11,MIN(N_SEMANAS,MAX(1,$C202)))/DIAS_POR_SEMANA</f>
        <v>4002.06658823529</v>
      </c>
      <c r="N202" s="16" t="n">
        <f aca="false">MIN(CADASTRO_CASAS_BOMBA!$O$9,MAX(0,N201+CADASTRO_CASAS_BOMBA!$I$9*HORAS_CAPTACAO_DIA-M202))</f>
        <v>129000</v>
      </c>
      <c r="O202" s="16" t="n">
        <f aca="false">MAX(0,M202-CADASTRO_CASAS_BOMBA!$I$9*HORAS_CAPTACAO_DIA-N201)</f>
        <v>0</v>
      </c>
      <c r="P202" s="16" t="n">
        <f aca="false">INDEX(AUX_MATRIZES!$C$12:$BP$12,MIN(N_SEMANAS,MAX(1,$C202)))/DIAS_POR_SEMANA</f>
        <v>5715.4654117647</v>
      </c>
      <c r="Q202" s="16" t="n">
        <f aca="false">MIN(CADASTRO_CASAS_BOMBA!$O$10,MAX(0,Q201+CADASTRO_CASAS_BOMBA!$I$10*HORAS_CAPTACAO_DIA-P202))</f>
        <v>1000000</v>
      </c>
      <c r="R202" s="16" t="n">
        <f aca="false">MAX(0,P202-CADASTRO_CASAS_BOMBA!$I$10*HORAS_CAPTACAO_DIA-Q201)</f>
        <v>0</v>
      </c>
      <c r="S202" s="16" t="n">
        <f aca="false">INDEX(AUX_MATRIZES!$C$13:$BP$13,MIN(N_SEMANAS,MAX(1,$C202)))/DIAS_POR_SEMANA</f>
        <v>9044.1962745098</v>
      </c>
      <c r="T202" s="16" t="n">
        <f aca="false">MIN(CADASTRO_CASAS_BOMBA!$O$11,MAX(0,T201+CADASTRO_CASAS_BOMBA!$I$11*HORAS_CAPTACAO_DIA-S202))</f>
        <v>469821</v>
      </c>
      <c r="U202" s="16" t="n">
        <f aca="false">MAX(0,S202-CADASTRO_CASAS_BOMBA!$I$11*HORAS_CAPTACAO_DIA-T201)</f>
        <v>0</v>
      </c>
      <c r="V202" s="16" t="n">
        <f aca="false">INDEX(AUX_MATRIZES!$C$14:$BP$14,MIN(N_SEMANAS,MAX(1,$C202)))/DIAS_POR_SEMANA</f>
        <v>3743.95764705882</v>
      </c>
      <c r="W202" s="16" t="n">
        <f aca="false">MIN(CADASTRO_CASAS_BOMBA!$O$12,MAX(0,W201+CADASTRO_CASAS_BOMBA!$I$12*HORAS_CAPTACAO_DIA-V202))</f>
        <v>440000</v>
      </c>
      <c r="X202" s="16" t="n">
        <f aca="false">MAX(0,V202-CADASTRO_CASAS_BOMBA!$I$12*HORAS_CAPTACAO_DIA-W201)</f>
        <v>0</v>
      </c>
      <c r="Y202" s="16" t="n">
        <f aca="false">INDEX(AUX_MATRIZES!$C$15:$BP$15,MIN(N_SEMANAS,MAX(1,$C202)))/DIAS_POR_SEMANA</f>
        <v>0</v>
      </c>
      <c r="Z202" s="16" t="n">
        <f aca="false">MIN(CADASTRO_CASAS_BOMBA!$O$13,MAX(0,Z201+CADASTRO_CASAS_BOMBA!$I$13*HORAS_CAPTACAO_DIA-Y202))</f>
        <v>74903</v>
      </c>
      <c r="AA202" s="16" t="n">
        <f aca="false">MAX(0,Y202-CADASTRO_CASAS_BOMBA!$I$13*HORAS_CAPTACAO_DIA-Z201)</f>
        <v>0</v>
      </c>
    </row>
    <row r="203" customFormat="false" ht="15" hidden="false" customHeight="false" outlineLevel="0" collapsed="false">
      <c r="B203" s="17" t="n">
        <f aca="false">DATA_INICIO_SAFRA+196</f>
        <v>46461</v>
      </c>
      <c r="C203" s="16" t="n">
        <f aca="false">MIN(N_SEMANAS,MAX(1,INT(($B203-DATA_INICIO_SAFRA)/DIAS_POR_SEMANA)+1))</f>
        <v>29</v>
      </c>
      <c r="D203" s="16" t="n">
        <f aca="false">INDEX(AUX_MATRIZES!$C$8:$BP$8,MIN(N_SEMANAS,MAX(1,$C203)))/DIAS_POR_SEMANA</f>
        <v>0</v>
      </c>
      <c r="E203" s="16" t="n">
        <f aca="false">MIN(CADASTRO_CASAS_BOMBA!$O$6,MAX(0,E202+CADASTRO_CASAS_BOMBA!$I$6*HORAS_CAPTACAO_DIA-D203))</f>
        <v>2600</v>
      </c>
      <c r="F203" s="16" t="n">
        <f aca="false">MAX(0,D203-CADASTRO_CASAS_BOMBA!$I$6*HORAS_CAPTACAO_DIA-E202)</f>
        <v>0</v>
      </c>
      <c r="G203" s="16" t="n">
        <f aca="false">INDEX(AUX_MATRIZES!$C$9:$BP$9,MIN(N_SEMANAS,MAX(1,$C203)))/DIAS_POR_SEMANA</f>
        <v>1217.20047058823</v>
      </c>
      <c r="H203" s="16" t="n">
        <f aca="false">MIN(CADASTRO_CASAS_BOMBA!$O$7,MAX(0,H202+CADASTRO_CASAS_BOMBA!$I$7*HORAS_CAPTACAO_DIA-G203))</f>
        <v>76648</v>
      </c>
      <c r="I203" s="16" t="n">
        <f aca="false">MAX(0,G203-CADASTRO_CASAS_BOMBA!$I$7*HORAS_CAPTACAO_DIA-H202)</f>
        <v>0</v>
      </c>
      <c r="J203" s="16" t="n">
        <f aca="false">INDEX(AUX_MATRIZES!$C$10:$BP$10,MIN(N_SEMANAS,MAX(1,$C203)))/DIAS_POR_SEMANA</f>
        <v>0</v>
      </c>
      <c r="K203" s="16" t="n">
        <f aca="false">MIN(CADASTRO_CASAS_BOMBA!$O$8,MAX(0,K202+CADASTRO_CASAS_BOMBA!$I$8*HORAS_CAPTACAO_DIA-J203))</f>
        <v>27377</v>
      </c>
      <c r="L203" s="16" t="n">
        <f aca="false">MAX(0,J203-CADASTRO_CASAS_BOMBA!$I$8*HORAS_CAPTACAO_DIA-K202)</f>
        <v>0</v>
      </c>
      <c r="M203" s="16" t="n">
        <f aca="false">INDEX(AUX_MATRIZES!$C$11:$BP$11,MIN(N_SEMANAS,MAX(1,$C203)))/DIAS_POR_SEMANA</f>
        <v>4002.06658823529</v>
      </c>
      <c r="N203" s="16" t="n">
        <f aca="false">MIN(CADASTRO_CASAS_BOMBA!$O$9,MAX(0,N202+CADASTRO_CASAS_BOMBA!$I$9*HORAS_CAPTACAO_DIA-M203))</f>
        <v>129000</v>
      </c>
      <c r="O203" s="16" t="n">
        <f aca="false">MAX(0,M203-CADASTRO_CASAS_BOMBA!$I$9*HORAS_CAPTACAO_DIA-N202)</f>
        <v>0</v>
      </c>
      <c r="P203" s="16" t="n">
        <f aca="false">INDEX(AUX_MATRIZES!$C$12:$BP$12,MIN(N_SEMANAS,MAX(1,$C203)))/DIAS_POR_SEMANA</f>
        <v>5715.4654117647</v>
      </c>
      <c r="Q203" s="16" t="n">
        <f aca="false">MIN(CADASTRO_CASAS_BOMBA!$O$10,MAX(0,Q202+CADASTRO_CASAS_BOMBA!$I$10*HORAS_CAPTACAO_DIA-P203))</f>
        <v>1000000</v>
      </c>
      <c r="R203" s="16" t="n">
        <f aca="false">MAX(0,P203-CADASTRO_CASAS_BOMBA!$I$10*HORAS_CAPTACAO_DIA-Q202)</f>
        <v>0</v>
      </c>
      <c r="S203" s="16" t="n">
        <f aca="false">INDEX(AUX_MATRIZES!$C$13:$BP$13,MIN(N_SEMANAS,MAX(1,$C203)))/DIAS_POR_SEMANA</f>
        <v>9402.01909663865</v>
      </c>
      <c r="T203" s="16" t="n">
        <f aca="false">MIN(CADASTRO_CASAS_BOMBA!$O$11,MAX(0,T202+CADASTRO_CASAS_BOMBA!$I$11*HORAS_CAPTACAO_DIA-S203))</f>
        <v>469821</v>
      </c>
      <c r="U203" s="16" t="n">
        <f aca="false">MAX(0,S203-CADASTRO_CASAS_BOMBA!$I$11*HORAS_CAPTACAO_DIA-T202)</f>
        <v>0</v>
      </c>
      <c r="V203" s="16" t="n">
        <f aca="false">INDEX(AUX_MATRIZES!$C$14:$BP$14,MIN(N_SEMANAS,MAX(1,$C203)))/DIAS_POR_SEMANA</f>
        <v>4163.78239542483</v>
      </c>
      <c r="W203" s="16" t="n">
        <f aca="false">MIN(CADASTRO_CASAS_BOMBA!$O$12,MAX(0,W202+CADASTRO_CASAS_BOMBA!$I$12*HORAS_CAPTACAO_DIA-V203))</f>
        <v>440000</v>
      </c>
      <c r="X203" s="16" t="n">
        <f aca="false">MAX(0,V203-CADASTRO_CASAS_BOMBA!$I$12*HORAS_CAPTACAO_DIA-W202)</f>
        <v>0</v>
      </c>
      <c r="Y203" s="16" t="n">
        <f aca="false">INDEX(AUX_MATRIZES!$C$15:$BP$15,MIN(N_SEMANAS,MAX(1,$C203)))/DIAS_POR_SEMANA</f>
        <v>0</v>
      </c>
      <c r="Z203" s="16" t="n">
        <f aca="false">MIN(CADASTRO_CASAS_BOMBA!$O$13,MAX(0,Z202+CADASTRO_CASAS_BOMBA!$I$13*HORAS_CAPTACAO_DIA-Y203))</f>
        <v>74903</v>
      </c>
      <c r="AA203" s="16" t="n">
        <f aca="false">MAX(0,Y203-CADASTRO_CASAS_BOMBA!$I$13*HORAS_CAPTACAO_DIA-Z202)</f>
        <v>0</v>
      </c>
    </row>
    <row r="204" customFormat="false" ht="15" hidden="false" customHeight="false" outlineLevel="0" collapsed="false">
      <c r="B204" s="17" t="n">
        <f aca="false">DATA_INICIO_SAFRA+197</f>
        <v>46462</v>
      </c>
      <c r="C204" s="16" t="n">
        <f aca="false">MIN(N_SEMANAS,MAX(1,INT(($B204-DATA_INICIO_SAFRA)/DIAS_POR_SEMANA)+1))</f>
        <v>29</v>
      </c>
      <c r="D204" s="16" t="n">
        <f aca="false">INDEX(AUX_MATRIZES!$C$8:$BP$8,MIN(N_SEMANAS,MAX(1,$C204)))/DIAS_POR_SEMANA</f>
        <v>0</v>
      </c>
      <c r="E204" s="16" t="n">
        <f aca="false">MIN(CADASTRO_CASAS_BOMBA!$O$6,MAX(0,E203+CADASTRO_CASAS_BOMBA!$I$6*HORAS_CAPTACAO_DIA-D204))</f>
        <v>2600</v>
      </c>
      <c r="F204" s="16" t="n">
        <f aca="false">MAX(0,D204-CADASTRO_CASAS_BOMBA!$I$6*HORAS_CAPTACAO_DIA-E203)</f>
        <v>0</v>
      </c>
      <c r="G204" s="16" t="n">
        <f aca="false">INDEX(AUX_MATRIZES!$C$9:$BP$9,MIN(N_SEMANAS,MAX(1,$C204)))/DIAS_POR_SEMANA</f>
        <v>1217.20047058823</v>
      </c>
      <c r="H204" s="16" t="n">
        <f aca="false">MIN(CADASTRO_CASAS_BOMBA!$O$7,MAX(0,H203+CADASTRO_CASAS_BOMBA!$I$7*HORAS_CAPTACAO_DIA-G204))</f>
        <v>76648</v>
      </c>
      <c r="I204" s="16" t="n">
        <f aca="false">MAX(0,G204-CADASTRO_CASAS_BOMBA!$I$7*HORAS_CAPTACAO_DIA-H203)</f>
        <v>0</v>
      </c>
      <c r="J204" s="16" t="n">
        <f aca="false">INDEX(AUX_MATRIZES!$C$10:$BP$10,MIN(N_SEMANAS,MAX(1,$C204)))/DIAS_POR_SEMANA</f>
        <v>0</v>
      </c>
      <c r="K204" s="16" t="n">
        <f aca="false">MIN(CADASTRO_CASAS_BOMBA!$O$8,MAX(0,K203+CADASTRO_CASAS_BOMBA!$I$8*HORAS_CAPTACAO_DIA-J204))</f>
        <v>27377</v>
      </c>
      <c r="L204" s="16" t="n">
        <f aca="false">MAX(0,J204-CADASTRO_CASAS_BOMBA!$I$8*HORAS_CAPTACAO_DIA-K203)</f>
        <v>0</v>
      </c>
      <c r="M204" s="16" t="n">
        <f aca="false">INDEX(AUX_MATRIZES!$C$11:$BP$11,MIN(N_SEMANAS,MAX(1,$C204)))/DIAS_POR_SEMANA</f>
        <v>4002.06658823529</v>
      </c>
      <c r="N204" s="16" t="n">
        <f aca="false">MIN(CADASTRO_CASAS_BOMBA!$O$9,MAX(0,N203+CADASTRO_CASAS_BOMBA!$I$9*HORAS_CAPTACAO_DIA-M204))</f>
        <v>129000</v>
      </c>
      <c r="O204" s="16" t="n">
        <f aca="false">MAX(0,M204-CADASTRO_CASAS_BOMBA!$I$9*HORAS_CAPTACAO_DIA-N203)</f>
        <v>0</v>
      </c>
      <c r="P204" s="16" t="n">
        <f aca="false">INDEX(AUX_MATRIZES!$C$12:$BP$12,MIN(N_SEMANAS,MAX(1,$C204)))/DIAS_POR_SEMANA</f>
        <v>5715.4654117647</v>
      </c>
      <c r="Q204" s="16" t="n">
        <f aca="false">MIN(CADASTRO_CASAS_BOMBA!$O$10,MAX(0,Q203+CADASTRO_CASAS_BOMBA!$I$10*HORAS_CAPTACAO_DIA-P204))</f>
        <v>1000000</v>
      </c>
      <c r="R204" s="16" t="n">
        <f aca="false">MAX(0,P204-CADASTRO_CASAS_BOMBA!$I$10*HORAS_CAPTACAO_DIA-Q203)</f>
        <v>0</v>
      </c>
      <c r="S204" s="16" t="n">
        <f aca="false">INDEX(AUX_MATRIZES!$C$13:$BP$13,MIN(N_SEMANAS,MAX(1,$C204)))/DIAS_POR_SEMANA</f>
        <v>9402.01909663865</v>
      </c>
      <c r="T204" s="16" t="n">
        <f aca="false">MIN(CADASTRO_CASAS_BOMBA!$O$11,MAX(0,T203+CADASTRO_CASAS_BOMBA!$I$11*HORAS_CAPTACAO_DIA-S204))</f>
        <v>469821</v>
      </c>
      <c r="U204" s="16" t="n">
        <f aca="false">MAX(0,S204-CADASTRO_CASAS_BOMBA!$I$11*HORAS_CAPTACAO_DIA-T203)</f>
        <v>0</v>
      </c>
      <c r="V204" s="16" t="n">
        <f aca="false">INDEX(AUX_MATRIZES!$C$14:$BP$14,MIN(N_SEMANAS,MAX(1,$C204)))/DIAS_POR_SEMANA</f>
        <v>4163.78239542483</v>
      </c>
      <c r="W204" s="16" t="n">
        <f aca="false">MIN(CADASTRO_CASAS_BOMBA!$O$12,MAX(0,W203+CADASTRO_CASAS_BOMBA!$I$12*HORAS_CAPTACAO_DIA-V204))</f>
        <v>440000</v>
      </c>
      <c r="X204" s="16" t="n">
        <f aca="false">MAX(0,V204-CADASTRO_CASAS_BOMBA!$I$12*HORAS_CAPTACAO_DIA-W203)</f>
        <v>0</v>
      </c>
      <c r="Y204" s="16" t="n">
        <f aca="false">INDEX(AUX_MATRIZES!$C$15:$BP$15,MIN(N_SEMANAS,MAX(1,$C204)))/DIAS_POR_SEMANA</f>
        <v>0</v>
      </c>
      <c r="Z204" s="16" t="n">
        <f aca="false">MIN(CADASTRO_CASAS_BOMBA!$O$13,MAX(0,Z203+CADASTRO_CASAS_BOMBA!$I$13*HORAS_CAPTACAO_DIA-Y204))</f>
        <v>74903</v>
      </c>
      <c r="AA204" s="16" t="n">
        <f aca="false">MAX(0,Y204-CADASTRO_CASAS_BOMBA!$I$13*HORAS_CAPTACAO_DIA-Z203)</f>
        <v>0</v>
      </c>
    </row>
    <row r="205" customFormat="false" ht="15" hidden="false" customHeight="false" outlineLevel="0" collapsed="false">
      <c r="B205" s="17" t="n">
        <f aca="false">DATA_INICIO_SAFRA+198</f>
        <v>46463</v>
      </c>
      <c r="C205" s="16" t="n">
        <f aca="false">MIN(N_SEMANAS,MAX(1,INT(($B205-DATA_INICIO_SAFRA)/DIAS_POR_SEMANA)+1))</f>
        <v>29</v>
      </c>
      <c r="D205" s="16" t="n">
        <f aca="false">INDEX(AUX_MATRIZES!$C$8:$BP$8,MIN(N_SEMANAS,MAX(1,$C205)))/DIAS_POR_SEMANA</f>
        <v>0</v>
      </c>
      <c r="E205" s="16" t="n">
        <f aca="false">MIN(CADASTRO_CASAS_BOMBA!$O$6,MAX(0,E204+CADASTRO_CASAS_BOMBA!$I$6*HORAS_CAPTACAO_DIA-D205))</f>
        <v>2600</v>
      </c>
      <c r="F205" s="16" t="n">
        <f aca="false">MAX(0,D205-CADASTRO_CASAS_BOMBA!$I$6*HORAS_CAPTACAO_DIA-E204)</f>
        <v>0</v>
      </c>
      <c r="G205" s="16" t="n">
        <f aca="false">INDEX(AUX_MATRIZES!$C$9:$BP$9,MIN(N_SEMANAS,MAX(1,$C205)))/DIAS_POR_SEMANA</f>
        <v>1217.20047058823</v>
      </c>
      <c r="H205" s="16" t="n">
        <f aca="false">MIN(CADASTRO_CASAS_BOMBA!$O$7,MAX(0,H204+CADASTRO_CASAS_BOMBA!$I$7*HORAS_CAPTACAO_DIA-G205))</f>
        <v>76648</v>
      </c>
      <c r="I205" s="16" t="n">
        <f aca="false">MAX(0,G205-CADASTRO_CASAS_BOMBA!$I$7*HORAS_CAPTACAO_DIA-H204)</f>
        <v>0</v>
      </c>
      <c r="J205" s="16" t="n">
        <f aca="false">INDEX(AUX_MATRIZES!$C$10:$BP$10,MIN(N_SEMANAS,MAX(1,$C205)))/DIAS_POR_SEMANA</f>
        <v>0</v>
      </c>
      <c r="K205" s="16" t="n">
        <f aca="false">MIN(CADASTRO_CASAS_BOMBA!$O$8,MAX(0,K204+CADASTRO_CASAS_BOMBA!$I$8*HORAS_CAPTACAO_DIA-J205))</f>
        <v>27377</v>
      </c>
      <c r="L205" s="16" t="n">
        <f aca="false">MAX(0,J205-CADASTRO_CASAS_BOMBA!$I$8*HORAS_CAPTACAO_DIA-K204)</f>
        <v>0</v>
      </c>
      <c r="M205" s="16" t="n">
        <f aca="false">INDEX(AUX_MATRIZES!$C$11:$BP$11,MIN(N_SEMANAS,MAX(1,$C205)))/DIAS_POR_SEMANA</f>
        <v>4002.06658823529</v>
      </c>
      <c r="N205" s="16" t="n">
        <f aca="false">MIN(CADASTRO_CASAS_BOMBA!$O$9,MAX(0,N204+CADASTRO_CASAS_BOMBA!$I$9*HORAS_CAPTACAO_DIA-M205))</f>
        <v>129000</v>
      </c>
      <c r="O205" s="16" t="n">
        <f aca="false">MAX(0,M205-CADASTRO_CASAS_BOMBA!$I$9*HORAS_CAPTACAO_DIA-N204)</f>
        <v>0</v>
      </c>
      <c r="P205" s="16" t="n">
        <f aca="false">INDEX(AUX_MATRIZES!$C$12:$BP$12,MIN(N_SEMANAS,MAX(1,$C205)))/DIAS_POR_SEMANA</f>
        <v>5715.4654117647</v>
      </c>
      <c r="Q205" s="16" t="n">
        <f aca="false">MIN(CADASTRO_CASAS_BOMBA!$O$10,MAX(0,Q204+CADASTRO_CASAS_BOMBA!$I$10*HORAS_CAPTACAO_DIA-P205))</f>
        <v>1000000</v>
      </c>
      <c r="R205" s="16" t="n">
        <f aca="false">MAX(0,P205-CADASTRO_CASAS_BOMBA!$I$10*HORAS_CAPTACAO_DIA-Q204)</f>
        <v>0</v>
      </c>
      <c r="S205" s="16" t="n">
        <f aca="false">INDEX(AUX_MATRIZES!$C$13:$BP$13,MIN(N_SEMANAS,MAX(1,$C205)))/DIAS_POR_SEMANA</f>
        <v>9402.01909663865</v>
      </c>
      <c r="T205" s="16" t="n">
        <f aca="false">MIN(CADASTRO_CASAS_BOMBA!$O$11,MAX(0,T204+CADASTRO_CASAS_BOMBA!$I$11*HORAS_CAPTACAO_DIA-S205))</f>
        <v>469821</v>
      </c>
      <c r="U205" s="16" t="n">
        <f aca="false">MAX(0,S205-CADASTRO_CASAS_BOMBA!$I$11*HORAS_CAPTACAO_DIA-T204)</f>
        <v>0</v>
      </c>
      <c r="V205" s="16" t="n">
        <f aca="false">INDEX(AUX_MATRIZES!$C$14:$BP$14,MIN(N_SEMANAS,MAX(1,$C205)))/DIAS_POR_SEMANA</f>
        <v>4163.78239542483</v>
      </c>
      <c r="W205" s="16" t="n">
        <f aca="false">MIN(CADASTRO_CASAS_BOMBA!$O$12,MAX(0,W204+CADASTRO_CASAS_BOMBA!$I$12*HORAS_CAPTACAO_DIA-V205))</f>
        <v>440000</v>
      </c>
      <c r="X205" s="16" t="n">
        <f aca="false">MAX(0,V205-CADASTRO_CASAS_BOMBA!$I$12*HORAS_CAPTACAO_DIA-W204)</f>
        <v>0</v>
      </c>
      <c r="Y205" s="16" t="n">
        <f aca="false">INDEX(AUX_MATRIZES!$C$15:$BP$15,MIN(N_SEMANAS,MAX(1,$C205)))/DIAS_POR_SEMANA</f>
        <v>0</v>
      </c>
      <c r="Z205" s="16" t="n">
        <f aca="false">MIN(CADASTRO_CASAS_BOMBA!$O$13,MAX(0,Z204+CADASTRO_CASAS_BOMBA!$I$13*HORAS_CAPTACAO_DIA-Y205))</f>
        <v>74903</v>
      </c>
      <c r="AA205" s="16" t="n">
        <f aca="false">MAX(0,Y205-CADASTRO_CASAS_BOMBA!$I$13*HORAS_CAPTACAO_DIA-Z204)</f>
        <v>0</v>
      </c>
    </row>
    <row r="206" customFormat="false" ht="15" hidden="false" customHeight="false" outlineLevel="0" collapsed="false">
      <c r="B206" s="17" t="n">
        <f aca="false">DATA_INICIO_SAFRA+199</f>
        <v>46464</v>
      </c>
      <c r="C206" s="16" t="n">
        <f aca="false">MIN(N_SEMANAS,MAX(1,INT(($B206-DATA_INICIO_SAFRA)/DIAS_POR_SEMANA)+1))</f>
        <v>29</v>
      </c>
      <c r="D206" s="16" t="n">
        <f aca="false">INDEX(AUX_MATRIZES!$C$8:$BP$8,MIN(N_SEMANAS,MAX(1,$C206)))/DIAS_POR_SEMANA</f>
        <v>0</v>
      </c>
      <c r="E206" s="16" t="n">
        <f aca="false">MIN(CADASTRO_CASAS_BOMBA!$O$6,MAX(0,E205+CADASTRO_CASAS_BOMBA!$I$6*HORAS_CAPTACAO_DIA-D206))</f>
        <v>2600</v>
      </c>
      <c r="F206" s="16" t="n">
        <f aca="false">MAX(0,D206-CADASTRO_CASAS_BOMBA!$I$6*HORAS_CAPTACAO_DIA-E205)</f>
        <v>0</v>
      </c>
      <c r="G206" s="16" t="n">
        <f aca="false">INDEX(AUX_MATRIZES!$C$9:$BP$9,MIN(N_SEMANAS,MAX(1,$C206)))/DIAS_POR_SEMANA</f>
        <v>1217.20047058823</v>
      </c>
      <c r="H206" s="16" t="n">
        <f aca="false">MIN(CADASTRO_CASAS_BOMBA!$O$7,MAX(0,H205+CADASTRO_CASAS_BOMBA!$I$7*HORAS_CAPTACAO_DIA-G206))</f>
        <v>76648</v>
      </c>
      <c r="I206" s="16" t="n">
        <f aca="false">MAX(0,G206-CADASTRO_CASAS_BOMBA!$I$7*HORAS_CAPTACAO_DIA-H205)</f>
        <v>0</v>
      </c>
      <c r="J206" s="16" t="n">
        <f aca="false">INDEX(AUX_MATRIZES!$C$10:$BP$10,MIN(N_SEMANAS,MAX(1,$C206)))/DIAS_POR_SEMANA</f>
        <v>0</v>
      </c>
      <c r="K206" s="16" t="n">
        <f aca="false">MIN(CADASTRO_CASAS_BOMBA!$O$8,MAX(0,K205+CADASTRO_CASAS_BOMBA!$I$8*HORAS_CAPTACAO_DIA-J206))</f>
        <v>27377</v>
      </c>
      <c r="L206" s="16" t="n">
        <f aca="false">MAX(0,J206-CADASTRO_CASAS_BOMBA!$I$8*HORAS_CAPTACAO_DIA-K205)</f>
        <v>0</v>
      </c>
      <c r="M206" s="16" t="n">
        <f aca="false">INDEX(AUX_MATRIZES!$C$11:$BP$11,MIN(N_SEMANAS,MAX(1,$C206)))/DIAS_POR_SEMANA</f>
        <v>4002.06658823529</v>
      </c>
      <c r="N206" s="16" t="n">
        <f aca="false">MIN(CADASTRO_CASAS_BOMBA!$O$9,MAX(0,N205+CADASTRO_CASAS_BOMBA!$I$9*HORAS_CAPTACAO_DIA-M206))</f>
        <v>129000</v>
      </c>
      <c r="O206" s="16" t="n">
        <f aca="false">MAX(0,M206-CADASTRO_CASAS_BOMBA!$I$9*HORAS_CAPTACAO_DIA-N205)</f>
        <v>0</v>
      </c>
      <c r="P206" s="16" t="n">
        <f aca="false">INDEX(AUX_MATRIZES!$C$12:$BP$12,MIN(N_SEMANAS,MAX(1,$C206)))/DIAS_POR_SEMANA</f>
        <v>5715.4654117647</v>
      </c>
      <c r="Q206" s="16" t="n">
        <f aca="false">MIN(CADASTRO_CASAS_BOMBA!$O$10,MAX(0,Q205+CADASTRO_CASAS_BOMBA!$I$10*HORAS_CAPTACAO_DIA-P206))</f>
        <v>1000000</v>
      </c>
      <c r="R206" s="16" t="n">
        <f aca="false">MAX(0,P206-CADASTRO_CASAS_BOMBA!$I$10*HORAS_CAPTACAO_DIA-Q205)</f>
        <v>0</v>
      </c>
      <c r="S206" s="16" t="n">
        <f aca="false">INDEX(AUX_MATRIZES!$C$13:$BP$13,MIN(N_SEMANAS,MAX(1,$C206)))/DIAS_POR_SEMANA</f>
        <v>9402.01909663865</v>
      </c>
      <c r="T206" s="16" t="n">
        <f aca="false">MIN(CADASTRO_CASAS_BOMBA!$O$11,MAX(0,T205+CADASTRO_CASAS_BOMBA!$I$11*HORAS_CAPTACAO_DIA-S206))</f>
        <v>469821</v>
      </c>
      <c r="U206" s="16" t="n">
        <f aca="false">MAX(0,S206-CADASTRO_CASAS_BOMBA!$I$11*HORAS_CAPTACAO_DIA-T205)</f>
        <v>0</v>
      </c>
      <c r="V206" s="16" t="n">
        <f aca="false">INDEX(AUX_MATRIZES!$C$14:$BP$14,MIN(N_SEMANAS,MAX(1,$C206)))/DIAS_POR_SEMANA</f>
        <v>4163.78239542483</v>
      </c>
      <c r="W206" s="16" t="n">
        <f aca="false">MIN(CADASTRO_CASAS_BOMBA!$O$12,MAX(0,W205+CADASTRO_CASAS_BOMBA!$I$12*HORAS_CAPTACAO_DIA-V206))</f>
        <v>440000</v>
      </c>
      <c r="X206" s="16" t="n">
        <f aca="false">MAX(0,V206-CADASTRO_CASAS_BOMBA!$I$12*HORAS_CAPTACAO_DIA-W205)</f>
        <v>0</v>
      </c>
      <c r="Y206" s="16" t="n">
        <f aca="false">INDEX(AUX_MATRIZES!$C$15:$BP$15,MIN(N_SEMANAS,MAX(1,$C206)))/DIAS_POR_SEMANA</f>
        <v>0</v>
      </c>
      <c r="Z206" s="16" t="n">
        <f aca="false">MIN(CADASTRO_CASAS_BOMBA!$O$13,MAX(0,Z205+CADASTRO_CASAS_BOMBA!$I$13*HORAS_CAPTACAO_DIA-Y206))</f>
        <v>74903</v>
      </c>
      <c r="AA206" s="16" t="n">
        <f aca="false">MAX(0,Y206-CADASTRO_CASAS_BOMBA!$I$13*HORAS_CAPTACAO_DIA-Z205)</f>
        <v>0</v>
      </c>
    </row>
    <row r="207" customFormat="false" ht="15" hidden="false" customHeight="false" outlineLevel="0" collapsed="false">
      <c r="B207" s="17" t="n">
        <f aca="false">DATA_INICIO_SAFRA+200</f>
        <v>46465</v>
      </c>
      <c r="C207" s="16" t="n">
        <f aca="false">MIN(N_SEMANAS,MAX(1,INT(($B207-DATA_INICIO_SAFRA)/DIAS_POR_SEMANA)+1))</f>
        <v>29</v>
      </c>
      <c r="D207" s="16" t="n">
        <f aca="false">INDEX(AUX_MATRIZES!$C$8:$BP$8,MIN(N_SEMANAS,MAX(1,$C207)))/DIAS_POR_SEMANA</f>
        <v>0</v>
      </c>
      <c r="E207" s="16" t="n">
        <f aca="false">MIN(CADASTRO_CASAS_BOMBA!$O$6,MAX(0,E206+CADASTRO_CASAS_BOMBA!$I$6*HORAS_CAPTACAO_DIA-D207))</f>
        <v>2600</v>
      </c>
      <c r="F207" s="16" t="n">
        <f aca="false">MAX(0,D207-CADASTRO_CASAS_BOMBA!$I$6*HORAS_CAPTACAO_DIA-E206)</f>
        <v>0</v>
      </c>
      <c r="G207" s="16" t="n">
        <f aca="false">INDEX(AUX_MATRIZES!$C$9:$BP$9,MIN(N_SEMANAS,MAX(1,$C207)))/DIAS_POR_SEMANA</f>
        <v>1217.20047058823</v>
      </c>
      <c r="H207" s="16" t="n">
        <f aca="false">MIN(CADASTRO_CASAS_BOMBA!$O$7,MAX(0,H206+CADASTRO_CASAS_BOMBA!$I$7*HORAS_CAPTACAO_DIA-G207))</f>
        <v>76648</v>
      </c>
      <c r="I207" s="16" t="n">
        <f aca="false">MAX(0,G207-CADASTRO_CASAS_BOMBA!$I$7*HORAS_CAPTACAO_DIA-H206)</f>
        <v>0</v>
      </c>
      <c r="J207" s="16" t="n">
        <f aca="false">INDEX(AUX_MATRIZES!$C$10:$BP$10,MIN(N_SEMANAS,MAX(1,$C207)))/DIAS_POR_SEMANA</f>
        <v>0</v>
      </c>
      <c r="K207" s="16" t="n">
        <f aca="false">MIN(CADASTRO_CASAS_BOMBA!$O$8,MAX(0,K206+CADASTRO_CASAS_BOMBA!$I$8*HORAS_CAPTACAO_DIA-J207))</f>
        <v>27377</v>
      </c>
      <c r="L207" s="16" t="n">
        <f aca="false">MAX(0,J207-CADASTRO_CASAS_BOMBA!$I$8*HORAS_CAPTACAO_DIA-K206)</f>
        <v>0</v>
      </c>
      <c r="M207" s="16" t="n">
        <f aca="false">INDEX(AUX_MATRIZES!$C$11:$BP$11,MIN(N_SEMANAS,MAX(1,$C207)))/DIAS_POR_SEMANA</f>
        <v>4002.06658823529</v>
      </c>
      <c r="N207" s="16" t="n">
        <f aca="false">MIN(CADASTRO_CASAS_BOMBA!$O$9,MAX(0,N206+CADASTRO_CASAS_BOMBA!$I$9*HORAS_CAPTACAO_DIA-M207))</f>
        <v>129000</v>
      </c>
      <c r="O207" s="16" t="n">
        <f aca="false">MAX(0,M207-CADASTRO_CASAS_BOMBA!$I$9*HORAS_CAPTACAO_DIA-N206)</f>
        <v>0</v>
      </c>
      <c r="P207" s="16" t="n">
        <f aca="false">INDEX(AUX_MATRIZES!$C$12:$BP$12,MIN(N_SEMANAS,MAX(1,$C207)))/DIAS_POR_SEMANA</f>
        <v>5715.4654117647</v>
      </c>
      <c r="Q207" s="16" t="n">
        <f aca="false">MIN(CADASTRO_CASAS_BOMBA!$O$10,MAX(0,Q206+CADASTRO_CASAS_BOMBA!$I$10*HORAS_CAPTACAO_DIA-P207))</f>
        <v>1000000</v>
      </c>
      <c r="R207" s="16" t="n">
        <f aca="false">MAX(0,P207-CADASTRO_CASAS_BOMBA!$I$10*HORAS_CAPTACAO_DIA-Q206)</f>
        <v>0</v>
      </c>
      <c r="S207" s="16" t="n">
        <f aca="false">INDEX(AUX_MATRIZES!$C$13:$BP$13,MIN(N_SEMANAS,MAX(1,$C207)))/DIAS_POR_SEMANA</f>
        <v>9402.01909663865</v>
      </c>
      <c r="T207" s="16" t="n">
        <f aca="false">MIN(CADASTRO_CASAS_BOMBA!$O$11,MAX(0,T206+CADASTRO_CASAS_BOMBA!$I$11*HORAS_CAPTACAO_DIA-S207))</f>
        <v>469821</v>
      </c>
      <c r="U207" s="16" t="n">
        <f aca="false">MAX(0,S207-CADASTRO_CASAS_BOMBA!$I$11*HORAS_CAPTACAO_DIA-T206)</f>
        <v>0</v>
      </c>
      <c r="V207" s="16" t="n">
        <f aca="false">INDEX(AUX_MATRIZES!$C$14:$BP$14,MIN(N_SEMANAS,MAX(1,$C207)))/DIAS_POR_SEMANA</f>
        <v>4163.78239542483</v>
      </c>
      <c r="W207" s="16" t="n">
        <f aca="false">MIN(CADASTRO_CASAS_BOMBA!$O$12,MAX(0,W206+CADASTRO_CASAS_BOMBA!$I$12*HORAS_CAPTACAO_DIA-V207))</f>
        <v>440000</v>
      </c>
      <c r="X207" s="16" t="n">
        <f aca="false">MAX(0,V207-CADASTRO_CASAS_BOMBA!$I$12*HORAS_CAPTACAO_DIA-W206)</f>
        <v>0</v>
      </c>
      <c r="Y207" s="16" t="n">
        <f aca="false">INDEX(AUX_MATRIZES!$C$15:$BP$15,MIN(N_SEMANAS,MAX(1,$C207)))/DIAS_POR_SEMANA</f>
        <v>0</v>
      </c>
      <c r="Z207" s="16" t="n">
        <f aca="false">MIN(CADASTRO_CASAS_BOMBA!$O$13,MAX(0,Z206+CADASTRO_CASAS_BOMBA!$I$13*HORAS_CAPTACAO_DIA-Y207))</f>
        <v>74903</v>
      </c>
      <c r="AA207" s="16" t="n">
        <f aca="false">MAX(0,Y207-CADASTRO_CASAS_BOMBA!$I$13*HORAS_CAPTACAO_DIA-Z206)</f>
        <v>0</v>
      </c>
    </row>
    <row r="208" customFormat="false" ht="15" hidden="false" customHeight="false" outlineLevel="0" collapsed="false">
      <c r="B208" s="17" t="n">
        <f aca="false">DATA_INICIO_SAFRA+201</f>
        <v>46466</v>
      </c>
      <c r="C208" s="16" t="n">
        <f aca="false">MIN(N_SEMANAS,MAX(1,INT(($B208-DATA_INICIO_SAFRA)/DIAS_POR_SEMANA)+1))</f>
        <v>29</v>
      </c>
      <c r="D208" s="16" t="n">
        <f aca="false">INDEX(AUX_MATRIZES!$C$8:$BP$8,MIN(N_SEMANAS,MAX(1,$C208)))/DIAS_POR_SEMANA</f>
        <v>0</v>
      </c>
      <c r="E208" s="16" t="n">
        <f aca="false">MIN(CADASTRO_CASAS_BOMBA!$O$6,MAX(0,E207+CADASTRO_CASAS_BOMBA!$I$6*HORAS_CAPTACAO_DIA-D208))</f>
        <v>2600</v>
      </c>
      <c r="F208" s="16" t="n">
        <f aca="false">MAX(0,D208-CADASTRO_CASAS_BOMBA!$I$6*HORAS_CAPTACAO_DIA-E207)</f>
        <v>0</v>
      </c>
      <c r="G208" s="16" t="n">
        <f aca="false">INDEX(AUX_MATRIZES!$C$9:$BP$9,MIN(N_SEMANAS,MAX(1,$C208)))/DIAS_POR_SEMANA</f>
        <v>1217.20047058823</v>
      </c>
      <c r="H208" s="16" t="n">
        <f aca="false">MIN(CADASTRO_CASAS_BOMBA!$O$7,MAX(0,H207+CADASTRO_CASAS_BOMBA!$I$7*HORAS_CAPTACAO_DIA-G208))</f>
        <v>76648</v>
      </c>
      <c r="I208" s="16" t="n">
        <f aca="false">MAX(0,G208-CADASTRO_CASAS_BOMBA!$I$7*HORAS_CAPTACAO_DIA-H207)</f>
        <v>0</v>
      </c>
      <c r="J208" s="16" t="n">
        <f aca="false">INDEX(AUX_MATRIZES!$C$10:$BP$10,MIN(N_SEMANAS,MAX(1,$C208)))/DIAS_POR_SEMANA</f>
        <v>0</v>
      </c>
      <c r="K208" s="16" t="n">
        <f aca="false">MIN(CADASTRO_CASAS_BOMBA!$O$8,MAX(0,K207+CADASTRO_CASAS_BOMBA!$I$8*HORAS_CAPTACAO_DIA-J208))</f>
        <v>27377</v>
      </c>
      <c r="L208" s="16" t="n">
        <f aca="false">MAX(0,J208-CADASTRO_CASAS_BOMBA!$I$8*HORAS_CAPTACAO_DIA-K207)</f>
        <v>0</v>
      </c>
      <c r="M208" s="16" t="n">
        <f aca="false">INDEX(AUX_MATRIZES!$C$11:$BP$11,MIN(N_SEMANAS,MAX(1,$C208)))/DIAS_POR_SEMANA</f>
        <v>4002.06658823529</v>
      </c>
      <c r="N208" s="16" t="n">
        <f aca="false">MIN(CADASTRO_CASAS_BOMBA!$O$9,MAX(0,N207+CADASTRO_CASAS_BOMBA!$I$9*HORAS_CAPTACAO_DIA-M208))</f>
        <v>129000</v>
      </c>
      <c r="O208" s="16" t="n">
        <f aca="false">MAX(0,M208-CADASTRO_CASAS_BOMBA!$I$9*HORAS_CAPTACAO_DIA-N207)</f>
        <v>0</v>
      </c>
      <c r="P208" s="16" t="n">
        <f aca="false">INDEX(AUX_MATRIZES!$C$12:$BP$12,MIN(N_SEMANAS,MAX(1,$C208)))/DIAS_POR_SEMANA</f>
        <v>5715.4654117647</v>
      </c>
      <c r="Q208" s="16" t="n">
        <f aca="false">MIN(CADASTRO_CASAS_BOMBA!$O$10,MAX(0,Q207+CADASTRO_CASAS_BOMBA!$I$10*HORAS_CAPTACAO_DIA-P208))</f>
        <v>1000000</v>
      </c>
      <c r="R208" s="16" t="n">
        <f aca="false">MAX(0,P208-CADASTRO_CASAS_BOMBA!$I$10*HORAS_CAPTACAO_DIA-Q207)</f>
        <v>0</v>
      </c>
      <c r="S208" s="16" t="n">
        <f aca="false">INDEX(AUX_MATRIZES!$C$13:$BP$13,MIN(N_SEMANAS,MAX(1,$C208)))/DIAS_POR_SEMANA</f>
        <v>9402.01909663865</v>
      </c>
      <c r="T208" s="16" t="n">
        <f aca="false">MIN(CADASTRO_CASAS_BOMBA!$O$11,MAX(0,T207+CADASTRO_CASAS_BOMBA!$I$11*HORAS_CAPTACAO_DIA-S208))</f>
        <v>469821</v>
      </c>
      <c r="U208" s="16" t="n">
        <f aca="false">MAX(0,S208-CADASTRO_CASAS_BOMBA!$I$11*HORAS_CAPTACAO_DIA-T207)</f>
        <v>0</v>
      </c>
      <c r="V208" s="16" t="n">
        <f aca="false">INDEX(AUX_MATRIZES!$C$14:$BP$14,MIN(N_SEMANAS,MAX(1,$C208)))/DIAS_POR_SEMANA</f>
        <v>4163.78239542483</v>
      </c>
      <c r="W208" s="16" t="n">
        <f aca="false">MIN(CADASTRO_CASAS_BOMBA!$O$12,MAX(0,W207+CADASTRO_CASAS_BOMBA!$I$12*HORAS_CAPTACAO_DIA-V208))</f>
        <v>440000</v>
      </c>
      <c r="X208" s="16" t="n">
        <f aca="false">MAX(0,V208-CADASTRO_CASAS_BOMBA!$I$12*HORAS_CAPTACAO_DIA-W207)</f>
        <v>0</v>
      </c>
      <c r="Y208" s="16" t="n">
        <f aca="false">INDEX(AUX_MATRIZES!$C$15:$BP$15,MIN(N_SEMANAS,MAX(1,$C208)))/DIAS_POR_SEMANA</f>
        <v>0</v>
      </c>
      <c r="Z208" s="16" t="n">
        <f aca="false">MIN(CADASTRO_CASAS_BOMBA!$O$13,MAX(0,Z207+CADASTRO_CASAS_BOMBA!$I$13*HORAS_CAPTACAO_DIA-Y208))</f>
        <v>74903</v>
      </c>
      <c r="AA208" s="16" t="n">
        <f aca="false">MAX(0,Y208-CADASTRO_CASAS_BOMBA!$I$13*HORAS_CAPTACAO_DIA-Z207)</f>
        <v>0</v>
      </c>
    </row>
    <row r="209" customFormat="false" ht="15" hidden="false" customHeight="false" outlineLevel="0" collapsed="false">
      <c r="B209" s="17" t="n">
        <f aca="false">DATA_INICIO_SAFRA+202</f>
        <v>46467</v>
      </c>
      <c r="C209" s="16" t="n">
        <f aca="false">MIN(N_SEMANAS,MAX(1,INT(($B209-DATA_INICIO_SAFRA)/DIAS_POR_SEMANA)+1))</f>
        <v>29</v>
      </c>
      <c r="D209" s="16" t="n">
        <f aca="false">INDEX(AUX_MATRIZES!$C$8:$BP$8,MIN(N_SEMANAS,MAX(1,$C209)))/DIAS_POR_SEMANA</f>
        <v>0</v>
      </c>
      <c r="E209" s="16" t="n">
        <f aca="false">MIN(CADASTRO_CASAS_BOMBA!$O$6,MAX(0,E208+CADASTRO_CASAS_BOMBA!$I$6*HORAS_CAPTACAO_DIA-D209))</f>
        <v>2600</v>
      </c>
      <c r="F209" s="16" t="n">
        <f aca="false">MAX(0,D209-CADASTRO_CASAS_BOMBA!$I$6*HORAS_CAPTACAO_DIA-E208)</f>
        <v>0</v>
      </c>
      <c r="G209" s="16" t="n">
        <f aca="false">INDEX(AUX_MATRIZES!$C$9:$BP$9,MIN(N_SEMANAS,MAX(1,$C209)))/DIAS_POR_SEMANA</f>
        <v>1217.20047058823</v>
      </c>
      <c r="H209" s="16" t="n">
        <f aca="false">MIN(CADASTRO_CASAS_BOMBA!$O$7,MAX(0,H208+CADASTRO_CASAS_BOMBA!$I$7*HORAS_CAPTACAO_DIA-G209))</f>
        <v>76648</v>
      </c>
      <c r="I209" s="16" t="n">
        <f aca="false">MAX(0,G209-CADASTRO_CASAS_BOMBA!$I$7*HORAS_CAPTACAO_DIA-H208)</f>
        <v>0</v>
      </c>
      <c r="J209" s="16" t="n">
        <f aca="false">INDEX(AUX_MATRIZES!$C$10:$BP$10,MIN(N_SEMANAS,MAX(1,$C209)))/DIAS_POR_SEMANA</f>
        <v>0</v>
      </c>
      <c r="K209" s="16" t="n">
        <f aca="false">MIN(CADASTRO_CASAS_BOMBA!$O$8,MAX(0,K208+CADASTRO_CASAS_BOMBA!$I$8*HORAS_CAPTACAO_DIA-J209))</f>
        <v>27377</v>
      </c>
      <c r="L209" s="16" t="n">
        <f aca="false">MAX(0,J209-CADASTRO_CASAS_BOMBA!$I$8*HORAS_CAPTACAO_DIA-K208)</f>
        <v>0</v>
      </c>
      <c r="M209" s="16" t="n">
        <f aca="false">INDEX(AUX_MATRIZES!$C$11:$BP$11,MIN(N_SEMANAS,MAX(1,$C209)))/DIAS_POR_SEMANA</f>
        <v>4002.06658823529</v>
      </c>
      <c r="N209" s="16" t="n">
        <f aca="false">MIN(CADASTRO_CASAS_BOMBA!$O$9,MAX(0,N208+CADASTRO_CASAS_BOMBA!$I$9*HORAS_CAPTACAO_DIA-M209))</f>
        <v>129000</v>
      </c>
      <c r="O209" s="16" t="n">
        <f aca="false">MAX(0,M209-CADASTRO_CASAS_BOMBA!$I$9*HORAS_CAPTACAO_DIA-N208)</f>
        <v>0</v>
      </c>
      <c r="P209" s="16" t="n">
        <f aca="false">INDEX(AUX_MATRIZES!$C$12:$BP$12,MIN(N_SEMANAS,MAX(1,$C209)))/DIAS_POR_SEMANA</f>
        <v>5715.4654117647</v>
      </c>
      <c r="Q209" s="16" t="n">
        <f aca="false">MIN(CADASTRO_CASAS_BOMBA!$O$10,MAX(0,Q208+CADASTRO_CASAS_BOMBA!$I$10*HORAS_CAPTACAO_DIA-P209))</f>
        <v>1000000</v>
      </c>
      <c r="R209" s="16" t="n">
        <f aca="false">MAX(0,P209-CADASTRO_CASAS_BOMBA!$I$10*HORAS_CAPTACAO_DIA-Q208)</f>
        <v>0</v>
      </c>
      <c r="S209" s="16" t="n">
        <f aca="false">INDEX(AUX_MATRIZES!$C$13:$BP$13,MIN(N_SEMANAS,MAX(1,$C209)))/DIAS_POR_SEMANA</f>
        <v>9402.01909663865</v>
      </c>
      <c r="T209" s="16" t="n">
        <f aca="false">MIN(CADASTRO_CASAS_BOMBA!$O$11,MAX(0,T208+CADASTRO_CASAS_BOMBA!$I$11*HORAS_CAPTACAO_DIA-S209))</f>
        <v>469821</v>
      </c>
      <c r="U209" s="16" t="n">
        <f aca="false">MAX(0,S209-CADASTRO_CASAS_BOMBA!$I$11*HORAS_CAPTACAO_DIA-T208)</f>
        <v>0</v>
      </c>
      <c r="V209" s="16" t="n">
        <f aca="false">INDEX(AUX_MATRIZES!$C$14:$BP$14,MIN(N_SEMANAS,MAX(1,$C209)))/DIAS_POR_SEMANA</f>
        <v>4163.78239542483</v>
      </c>
      <c r="W209" s="16" t="n">
        <f aca="false">MIN(CADASTRO_CASAS_BOMBA!$O$12,MAX(0,W208+CADASTRO_CASAS_BOMBA!$I$12*HORAS_CAPTACAO_DIA-V209))</f>
        <v>440000</v>
      </c>
      <c r="X209" s="16" t="n">
        <f aca="false">MAX(0,V209-CADASTRO_CASAS_BOMBA!$I$12*HORAS_CAPTACAO_DIA-W208)</f>
        <v>0</v>
      </c>
      <c r="Y209" s="16" t="n">
        <f aca="false">INDEX(AUX_MATRIZES!$C$15:$BP$15,MIN(N_SEMANAS,MAX(1,$C209)))/DIAS_POR_SEMANA</f>
        <v>0</v>
      </c>
      <c r="Z209" s="16" t="n">
        <f aca="false">MIN(CADASTRO_CASAS_BOMBA!$O$13,MAX(0,Z208+CADASTRO_CASAS_BOMBA!$I$13*HORAS_CAPTACAO_DIA-Y209))</f>
        <v>74903</v>
      </c>
      <c r="AA209" s="16" t="n">
        <f aca="false">MAX(0,Y209-CADASTRO_CASAS_BOMBA!$I$13*HORAS_CAPTACAO_DIA-Z208)</f>
        <v>0</v>
      </c>
    </row>
    <row r="210" customFormat="false" ht="15" hidden="false" customHeight="false" outlineLevel="0" collapsed="false">
      <c r="B210" s="17" t="n">
        <f aca="false">DATA_INICIO_SAFRA+203</f>
        <v>46468</v>
      </c>
      <c r="C210" s="16" t="n">
        <f aca="false">MIN(N_SEMANAS,MAX(1,INT(($B210-DATA_INICIO_SAFRA)/DIAS_POR_SEMANA)+1))</f>
        <v>30</v>
      </c>
      <c r="D210" s="16" t="n">
        <f aca="false">INDEX(AUX_MATRIZES!$C$8:$BP$8,MIN(N_SEMANAS,MAX(1,$C210)))/DIAS_POR_SEMANA</f>
        <v>0</v>
      </c>
      <c r="E210" s="16" t="n">
        <f aca="false">MIN(CADASTRO_CASAS_BOMBA!$O$6,MAX(0,E209+CADASTRO_CASAS_BOMBA!$I$6*HORAS_CAPTACAO_DIA-D210))</f>
        <v>2600</v>
      </c>
      <c r="F210" s="16" t="n">
        <f aca="false">MAX(0,D210-CADASTRO_CASAS_BOMBA!$I$6*HORAS_CAPTACAO_DIA-E209)</f>
        <v>0</v>
      </c>
      <c r="G210" s="16" t="n">
        <f aca="false">INDEX(AUX_MATRIZES!$C$9:$BP$9,MIN(N_SEMANAS,MAX(1,$C210)))/DIAS_POR_SEMANA</f>
        <v>1217.20047058823</v>
      </c>
      <c r="H210" s="16" t="n">
        <f aca="false">MIN(CADASTRO_CASAS_BOMBA!$O$7,MAX(0,H209+CADASTRO_CASAS_BOMBA!$I$7*HORAS_CAPTACAO_DIA-G210))</f>
        <v>76648</v>
      </c>
      <c r="I210" s="16" t="n">
        <f aca="false">MAX(0,G210-CADASTRO_CASAS_BOMBA!$I$7*HORAS_CAPTACAO_DIA-H209)</f>
        <v>0</v>
      </c>
      <c r="J210" s="16" t="n">
        <f aca="false">INDEX(AUX_MATRIZES!$C$10:$BP$10,MIN(N_SEMANAS,MAX(1,$C210)))/DIAS_POR_SEMANA</f>
        <v>0</v>
      </c>
      <c r="K210" s="16" t="n">
        <f aca="false">MIN(CADASTRO_CASAS_BOMBA!$O$8,MAX(0,K209+CADASTRO_CASAS_BOMBA!$I$8*HORAS_CAPTACAO_DIA-J210))</f>
        <v>27377</v>
      </c>
      <c r="L210" s="16" t="n">
        <f aca="false">MAX(0,J210-CADASTRO_CASAS_BOMBA!$I$8*HORAS_CAPTACAO_DIA-K209)</f>
        <v>0</v>
      </c>
      <c r="M210" s="16" t="n">
        <f aca="false">INDEX(AUX_MATRIZES!$C$11:$BP$11,MIN(N_SEMANAS,MAX(1,$C210)))/DIAS_POR_SEMANA</f>
        <v>4002.06658823529</v>
      </c>
      <c r="N210" s="16" t="n">
        <f aca="false">MIN(CADASTRO_CASAS_BOMBA!$O$9,MAX(0,N209+CADASTRO_CASAS_BOMBA!$I$9*HORAS_CAPTACAO_DIA-M210))</f>
        <v>129000</v>
      </c>
      <c r="O210" s="16" t="n">
        <f aca="false">MAX(0,M210-CADASTRO_CASAS_BOMBA!$I$9*HORAS_CAPTACAO_DIA-N209)</f>
        <v>0</v>
      </c>
      <c r="P210" s="16" t="n">
        <f aca="false">INDEX(AUX_MATRIZES!$C$12:$BP$12,MIN(N_SEMANAS,MAX(1,$C210)))/DIAS_POR_SEMANA</f>
        <v>5715.4654117647</v>
      </c>
      <c r="Q210" s="16" t="n">
        <f aca="false">MIN(CADASTRO_CASAS_BOMBA!$O$10,MAX(0,Q209+CADASTRO_CASAS_BOMBA!$I$10*HORAS_CAPTACAO_DIA-P210))</f>
        <v>1000000</v>
      </c>
      <c r="R210" s="16" t="n">
        <f aca="false">MAX(0,P210-CADASTRO_CASAS_BOMBA!$I$10*HORAS_CAPTACAO_DIA-Q209)</f>
        <v>0</v>
      </c>
      <c r="S210" s="16" t="n">
        <f aca="false">INDEX(AUX_MATRIZES!$C$13:$BP$13,MIN(N_SEMANAS,MAX(1,$C210)))/DIAS_POR_SEMANA</f>
        <v>9047.02424369748</v>
      </c>
      <c r="T210" s="16" t="n">
        <f aca="false">MIN(CADASTRO_CASAS_BOMBA!$O$11,MAX(0,T209+CADASTRO_CASAS_BOMBA!$I$11*HORAS_CAPTACAO_DIA-S210))</f>
        <v>469821</v>
      </c>
      <c r="U210" s="16" t="n">
        <f aca="false">MAX(0,S210-CADASTRO_CASAS_BOMBA!$I$11*HORAS_CAPTACAO_DIA-T209)</f>
        <v>0</v>
      </c>
      <c r="V210" s="16" t="n">
        <f aca="false">INDEX(AUX_MATRIZES!$C$14:$BP$14,MIN(N_SEMANAS,MAX(1,$C210)))/DIAS_POR_SEMANA</f>
        <v>5121.82447058823</v>
      </c>
      <c r="W210" s="16" t="n">
        <f aca="false">MIN(CADASTRO_CASAS_BOMBA!$O$12,MAX(0,W209+CADASTRO_CASAS_BOMBA!$I$12*HORAS_CAPTACAO_DIA-V210))</f>
        <v>440000</v>
      </c>
      <c r="X210" s="16" t="n">
        <f aca="false">MAX(0,V210-CADASTRO_CASAS_BOMBA!$I$12*HORAS_CAPTACAO_DIA-W209)</f>
        <v>0</v>
      </c>
      <c r="Y210" s="16" t="n">
        <f aca="false">INDEX(AUX_MATRIZES!$C$15:$BP$15,MIN(N_SEMANAS,MAX(1,$C210)))/DIAS_POR_SEMANA</f>
        <v>0</v>
      </c>
      <c r="Z210" s="16" t="n">
        <f aca="false">MIN(CADASTRO_CASAS_BOMBA!$O$13,MAX(0,Z209+CADASTRO_CASAS_BOMBA!$I$13*HORAS_CAPTACAO_DIA-Y210))</f>
        <v>74903</v>
      </c>
      <c r="AA210" s="16" t="n">
        <f aca="false">MAX(0,Y210-CADASTRO_CASAS_BOMBA!$I$13*HORAS_CAPTACAO_DIA-Z209)</f>
        <v>0</v>
      </c>
    </row>
    <row r="211" customFormat="false" ht="15" hidden="false" customHeight="false" outlineLevel="0" collapsed="false">
      <c r="B211" s="17" t="n">
        <f aca="false">DATA_INICIO_SAFRA+204</f>
        <v>46469</v>
      </c>
      <c r="C211" s="16" t="n">
        <f aca="false">MIN(N_SEMANAS,MAX(1,INT(($B211-DATA_INICIO_SAFRA)/DIAS_POR_SEMANA)+1))</f>
        <v>30</v>
      </c>
      <c r="D211" s="16" t="n">
        <f aca="false">INDEX(AUX_MATRIZES!$C$8:$BP$8,MIN(N_SEMANAS,MAX(1,$C211)))/DIAS_POR_SEMANA</f>
        <v>0</v>
      </c>
      <c r="E211" s="16" t="n">
        <f aca="false">MIN(CADASTRO_CASAS_BOMBA!$O$6,MAX(0,E210+CADASTRO_CASAS_BOMBA!$I$6*HORAS_CAPTACAO_DIA-D211))</f>
        <v>2600</v>
      </c>
      <c r="F211" s="16" t="n">
        <f aca="false">MAX(0,D211-CADASTRO_CASAS_BOMBA!$I$6*HORAS_CAPTACAO_DIA-E210)</f>
        <v>0</v>
      </c>
      <c r="G211" s="16" t="n">
        <f aca="false">INDEX(AUX_MATRIZES!$C$9:$BP$9,MIN(N_SEMANAS,MAX(1,$C211)))/DIAS_POR_SEMANA</f>
        <v>1217.20047058823</v>
      </c>
      <c r="H211" s="16" t="n">
        <f aca="false">MIN(CADASTRO_CASAS_BOMBA!$O$7,MAX(0,H210+CADASTRO_CASAS_BOMBA!$I$7*HORAS_CAPTACAO_DIA-G211))</f>
        <v>76648</v>
      </c>
      <c r="I211" s="16" t="n">
        <f aca="false">MAX(0,G211-CADASTRO_CASAS_BOMBA!$I$7*HORAS_CAPTACAO_DIA-H210)</f>
        <v>0</v>
      </c>
      <c r="J211" s="16" t="n">
        <f aca="false">INDEX(AUX_MATRIZES!$C$10:$BP$10,MIN(N_SEMANAS,MAX(1,$C211)))/DIAS_POR_SEMANA</f>
        <v>0</v>
      </c>
      <c r="K211" s="16" t="n">
        <f aca="false">MIN(CADASTRO_CASAS_BOMBA!$O$8,MAX(0,K210+CADASTRO_CASAS_BOMBA!$I$8*HORAS_CAPTACAO_DIA-J211))</f>
        <v>27377</v>
      </c>
      <c r="L211" s="16" t="n">
        <f aca="false">MAX(0,J211-CADASTRO_CASAS_BOMBA!$I$8*HORAS_CAPTACAO_DIA-K210)</f>
        <v>0</v>
      </c>
      <c r="M211" s="16" t="n">
        <f aca="false">INDEX(AUX_MATRIZES!$C$11:$BP$11,MIN(N_SEMANAS,MAX(1,$C211)))/DIAS_POR_SEMANA</f>
        <v>4002.06658823529</v>
      </c>
      <c r="N211" s="16" t="n">
        <f aca="false">MIN(CADASTRO_CASAS_BOMBA!$O$9,MAX(0,N210+CADASTRO_CASAS_BOMBA!$I$9*HORAS_CAPTACAO_DIA-M211))</f>
        <v>129000</v>
      </c>
      <c r="O211" s="16" t="n">
        <f aca="false">MAX(0,M211-CADASTRO_CASAS_BOMBA!$I$9*HORAS_CAPTACAO_DIA-N210)</f>
        <v>0</v>
      </c>
      <c r="P211" s="16" t="n">
        <f aca="false">INDEX(AUX_MATRIZES!$C$12:$BP$12,MIN(N_SEMANAS,MAX(1,$C211)))/DIAS_POR_SEMANA</f>
        <v>5715.4654117647</v>
      </c>
      <c r="Q211" s="16" t="n">
        <f aca="false">MIN(CADASTRO_CASAS_BOMBA!$O$10,MAX(0,Q210+CADASTRO_CASAS_BOMBA!$I$10*HORAS_CAPTACAO_DIA-P211))</f>
        <v>1000000</v>
      </c>
      <c r="R211" s="16" t="n">
        <f aca="false">MAX(0,P211-CADASTRO_CASAS_BOMBA!$I$10*HORAS_CAPTACAO_DIA-Q210)</f>
        <v>0</v>
      </c>
      <c r="S211" s="16" t="n">
        <f aca="false">INDEX(AUX_MATRIZES!$C$13:$BP$13,MIN(N_SEMANAS,MAX(1,$C211)))/DIAS_POR_SEMANA</f>
        <v>9047.02424369748</v>
      </c>
      <c r="T211" s="16" t="n">
        <f aca="false">MIN(CADASTRO_CASAS_BOMBA!$O$11,MAX(0,T210+CADASTRO_CASAS_BOMBA!$I$11*HORAS_CAPTACAO_DIA-S211))</f>
        <v>469821</v>
      </c>
      <c r="U211" s="16" t="n">
        <f aca="false">MAX(0,S211-CADASTRO_CASAS_BOMBA!$I$11*HORAS_CAPTACAO_DIA-T210)</f>
        <v>0</v>
      </c>
      <c r="V211" s="16" t="n">
        <f aca="false">INDEX(AUX_MATRIZES!$C$14:$BP$14,MIN(N_SEMANAS,MAX(1,$C211)))/DIAS_POR_SEMANA</f>
        <v>5121.82447058823</v>
      </c>
      <c r="W211" s="16" t="n">
        <f aca="false">MIN(CADASTRO_CASAS_BOMBA!$O$12,MAX(0,W210+CADASTRO_CASAS_BOMBA!$I$12*HORAS_CAPTACAO_DIA-V211))</f>
        <v>440000</v>
      </c>
      <c r="X211" s="16" t="n">
        <f aca="false">MAX(0,V211-CADASTRO_CASAS_BOMBA!$I$12*HORAS_CAPTACAO_DIA-W210)</f>
        <v>0</v>
      </c>
      <c r="Y211" s="16" t="n">
        <f aca="false">INDEX(AUX_MATRIZES!$C$15:$BP$15,MIN(N_SEMANAS,MAX(1,$C211)))/DIAS_POR_SEMANA</f>
        <v>0</v>
      </c>
      <c r="Z211" s="16" t="n">
        <f aca="false">MIN(CADASTRO_CASAS_BOMBA!$O$13,MAX(0,Z210+CADASTRO_CASAS_BOMBA!$I$13*HORAS_CAPTACAO_DIA-Y211))</f>
        <v>74903</v>
      </c>
      <c r="AA211" s="16" t="n">
        <f aca="false">MAX(0,Y211-CADASTRO_CASAS_BOMBA!$I$13*HORAS_CAPTACAO_DIA-Z210)</f>
        <v>0</v>
      </c>
    </row>
    <row r="212" customFormat="false" ht="15" hidden="false" customHeight="false" outlineLevel="0" collapsed="false">
      <c r="B212" s="17" t="n">
        <f aca="false">DATA_INICIO_SAFRA+205</f>
        <v>46470</v>
      </c>
      <c r="C212" s="16" t="n">
        <f aca="false">MIN(N_SEMANAS,MAX(1,INT(($B212-DATA_INICIO_SAFRA)/DIAS_POR_SEMANA)+1))</f>
        <v>30</v>
      </c>
      <c r="D212" s="16" t="n">
        <f aca="false">INDEX(AUX_MATRIZES!$C$8:$BP$8,MIN(N_SEMANAS,MAX(1,$C212)))/DIAS_POR_SEMANA</f>
        <v>0</v>
      </c>
      <c r="E212" s="16" t="n">
        <f aca="false">MIN(CADASTRO_CASAS_BOMBA!$O$6,MAX(0,E211+CADASTRO_CASAS_BOMBA!$I$6*HORAS_CAPTACAO_DIA-D212))</f>
        <v>2600</v>
      </c>
      <c r="F212" s="16" t="n">
        <f aca="false">MAX(0,D212-CADASTRO_CASAS_BOMBA!$I$6*HORAS_CAPTACAO_DIA-E211)</f>
        <v>0</v>
      </c>
      <c r="G212" s="16" t="n">
        <f aca="false">INDEX(AUX_MATRIZES!$C$9:$BP$9,MIN(N_SEMANAS,MAX(1,$C212)))/DIAS_POR_SEMANA</f>
        <v>1217.20047058823</v>
      </c>
      <c r="H212" s="16" t="n">
        <f aca="false">MIN(CADASTRO_CASAS_BOMBA!$O$7,MAX(0,H211+CADASTRO_CASAS_BOMBA!$I$7*HORAS_CAPTACAO_DIA-G212))</f>
        <v>76648</v>
      </c>
      <c r="I212" s="16" t="n">
        <f aca="false">MAX(0,G212-CADASTRO_CASAS_BOMBA!$I$7*HORAS_CAPTACAO_DIA-H211)</f>
        <v>0</v>
      </c>
      <c r="J212" s="16" t="n">
        <f aca="false">INDEX(AUX_MATRIZES!$C$10:$BP$10,MIN(N_SEMANAS,MAX(1,$C212)))/DIAS_POR_SEMANA</f>
        <v>0</v>
      </c>
      <c r="K212" s="16" t="n">
        <f aca="false">MIN(CADASTRO_CASAS_BOMBA!$O$8,MAX(0,K211+CADASTRO_CASAS_BOMBA!$I$8*HORAS_CAPTACAO_DIA-J212))</f>
        <v>27377</v>
      </c>
      <c r="L212" s="16" t="n">
        <f aca="false">MAX(0,J212-CADASTRO_CASAS_BOMBA!$I$8*HORAS_CAPTACAO_DIA-K211)</f>
        <v>0</v>
      </c>
      <c r="M212" s="16" t="n">
        <f aca="false">INDEX(AUX_MATRIZES!$C$11:$BP$11,MIN(N_SEMANAS,MAX(1,$C212)))/DIAS_POR_SEMANA</f>
        <v>4002.06658823529</v>
      </c>
      <c r="N212" s="16" t="n">
        <f aca="false">MIN(CADASTRO_CASAS_BOMBA!$O$9,MAX(0,N211+CADASTRO_CASAS_BOMBA!$I$9*HORAS_CAPTACAO_DIA-M212))</f>
        <v>129000</v>
      </c>
      <c r="O212" s="16" t="n">
        <f aca="false">MAX(0,M212-CADASTRO_CASAS_BOMBA!$I$9*HORAS_CAPTACAO_DIA-N211)</f>
        <v>0</v>
      </c>
      <c r="P212" s="16" t="n">
        <f aca="false">INDEX(AUX_MATRIZES!$C$12:$BP$12,MIN(N_SEMANAS,MAX(1,$C212)))/DIAS_POR_SEMANA</f>
        <v>5715.4654117647</v>
      </c>
      <c r="Q212" s="16" t="n">
        <f aca="false">MIN(CADASTRO_CASAS_BOMBA!$O$10,MAX(0,Q211+CADASTRO_CASAS_BOMBA!$I$10*HORAS_CAPTACAO_DIA-P212))</f>
        <v>1000000</v>
      </c>
      <c r="R212" s="16" t="n">
        <f aca="false">MAX(0,P212-CADASTRO_CASAS_BOMBA!$I$10*HORAS_CAPTACAO_DIA-Q211)</f>
        <v>0</v>
      </c>
      <c r="S212" s="16" t="n">
        <f aca="false">INDEX(AUX_MATRIZES!$C$13:$BP$13,MIN(N_SEMANAS,MAX(1,$C212)))/DIAS_POR_SEMANA</f>
        <v>9047.02424369748</v>
      </c>
      <c r="T212" s="16" t="n">
        <f aca="false">MIN(CADASTRO_CASAS_BOMBA!$O$11,MAX(0,T211+CADASTRO_CASAS_BOMBA!$I$11*HORAS_CAPTACAO_DIA-S212))</f>
        <v>469821</v>
      </c>
      <c r="U212" s="16" t="n">
        <f aca="false">MAX(0,S212-CADASTRO_CASAS_BOMBA!$I$11*HORAS_CAPTACAO_DIA-T211)</f>
        <v>0</v>
      </c>
      <c r="V212" s="16" t="n">
        <f aca="false">INDEX(AUX_MATRIZES!$C$14:$BP$14,MIN(N_SEMANAS,MAX(1,$C212)))/DIAS_POR_SEMANA</f>
        <v>5121.82447058823</v>
      </c>
      <c r="W212" s="16" t="n">
        <f aca="false">MIN(CADASTRO_CASAS_BOMBA!$O$12,MAX(0,W211+CADASTRO_CASAS_BOMBA!$I$12*HORAS_CAPTACAO_DIA-V212))</f>
        <v>440000</v>
      </c>
      <c r="X212" s="16" t="n">
        <f aca="false">MAX(0,V212-CADASTRO_CASAS_BOMBA!$I$12*HORAS_CAPTACAO_DIA-W211)</f>
        <v>0</v>
      </c>
      <c r="Y212" s="16" t="n">
        <f aca="false">INDEX(AUX_MATRIZES!$C$15:$BP$15,MIN(N_SEMANAS,MAX(1,$C212)))/DIAS_POR_SEMANA</f>
        <v>0</v>
      </c>
      <c r="Z212" s="16" t="n">
        <f aca="false">MIN(CADASTRO_CASAS_BOMBA!$O$13,MAX(0,Z211+CADASTRO_CASAS_BOMBA!$I$13*HORAS_CAPTACAO_DIA-Y212))</f>
        <v>74903</v>
      </c>
      <c r="AA212" s="16" t="n">
        <f aca="false">MAX(0,Y212-CADASTRO_CASAS_BOMBA!$I$13*HORAS_CAPTACAO_DIA-Z211)</f>
        <v>0</v>
      </c>
    </row>
    <row r="213" customFormat="false" ht="15" hidden="false" customHeight="false" outlineLevel="0" collapsed="false">
      <c r="B213" s="17" t="n">
        <f aca="false">DATA_INICIO_SAFRA+206</f>
        <v>46471</v>
      </c>
      <c r="C213" s="16" t="n">
        <f aca="false">MIN(N_SEMANAS,MAX(1,INT(($B213-DATA_INICIO_SAFRA)/DIAS_POR_SEMANA)+1))</f>
        <v>30</v>
      </c>
      <c r="D213" s="16" t="n">
        <f aca="false">INDEX(AUX_MATRIZES!$C$8:$BP$8,MIN(N_SEMANAS,MAX(1,$C213)))/DIAS_POR_SEMANA</f>
        <v>0</v>
      </c>
      <c r="E213" s="16" t="n">
        <f aca="false">MIN(CADASTRO_CASAS_BOMBA!$O$6,MAX(0,E212+CADASTRO_CASAS_BOMBA!$I$6*HORAS_CAPTACAO_DIA-D213))</f>
        <v>2600</v>
      </c>
      <c r="F213" s="16" t="n">
        <f aca="false">MAX(0,D213-CADASTRO_CASAS_BOMBA!$I$6*HORAS_CAPTACAO_DIA-E212)</f>
        <v>0</v>
      </c>
      <c r="G213" s="16" t="n">
        <f aca="false">INDEX(AUX_MATRIZES!$C$9:$BP$9,MIN(N_SEMANAS,MAX(1,$C213)))/DIAS_POR_SEMANA</f>
        <v>1217.20047058823</v>
      </c>
      <c r="H213" s="16" t="n">
        <f aca="false">MIN(CADASTRO_CASAS_BOMBA!$O$7,MAX(0,H212+CADASTRO_CASAS_BOMBA!$I$7*HORAS_CAPTACAO_DIA-G213))</f>
        <v>76648</v>
      </c>
      <c r="I213" s="16" t="n">
        <f aca="false">MAX(0,G213-CADASTRO_CASAS_BOMBA!$I$7*HORAS_CAPTACAO_DIA-H212)</f>
        <v>0</v>
      </c>
      <c r="J213" s="16" t="n">
        <f aca="false">INDEX(AUX_MATRIZES!$C$10:$BP$10,MIN(N_SEMANAS,MAX(1,$C213)))/DIAS_POR_SEMANA</f>
        <v>0</v>
      </c>
      <c r="K213" s="16" t="n">
        <f aca="false">MIN(CADASTRO_CASAS_BOMBA!$O$8,MAX(0,K212+CADASTRO_CASAS_BOMBA!$I$8*HORAS_CAPTACAO_DIA-J213))</f>
        <v>27377</v>
      </c>
      <c r="L213" s="16" t="n">
        <f aca="false">MAX(0,J213-CADASTRO_CASAS_BOMBA!$I$8*HORAS_CAPTACAO_DIA-K212)</f>
        <v>0</v>
      </c>
      <c r="M213" s="16" t="n">
        <f aca="false">INDEX(AUX_MATRIZES!$C$11:$BP$11,MIN(N_SEMANAS,MAX(1,$C213)))/DIAS_POR_SEMANA</f>
        <v>4002.06658823529</v>
      </c>
      <c r="N213" s="16" t="n">
        <f aca="false">MIN(CADASTRO_CASAS_BOMBA!$O$9,MAX(0,N212+CADASTRO_CASAS_BOMBA!$I$9*HORAS_CAPTACAO_DIA-M213))</f>
        <v>129000</v>
      </c>
      <c r="O213" s="16" t="n">
        <f aca="false">MAX(0,M213-CADASTRO_CASAS_BOMBA!$I$9*HORAS_CAPTACAO_DIA-N212)</f>
        <v>0</v>
      </c>
      <c r="P213" s="16" t="n">
        <f aca="false">INDEX(AUX_MATRIZES!$C$12:$BP$12,MIN(N_SEMANAS,MAX(1,$C213)))/DIAS_POR_SEMANA</f>
        <v>5715.4654117647</v>
      </c>
      <c r="Q213" s="16" t="n">
        <f aca="false">MIN(CADASTRO_CASAS_BOMBA!$O$10,MAX(0,Q212+CADASTRO_CASAS_BOMBA!$I$10*HORAS_CAPTACAO_DIA-P213))</f>
        <v>1000000</v>
      </c>
      <c r="R213" s="16" t="n">
        <f aca="false">MAX(0,P213-CADASTRO_CASAS_BOMBA!$I$10*HORAS_CAPTACAO_DIA-Q212)</f>
        <v>0</v>
      </c>
      <c r="S213" s="16" t="n">
        <f aca="false">INDEX(AUX_MATRIZES!$C$13:$BP$13,MIN(N_SEMANAS,MAX(1,$C213)))/DIAS_POR_SEMANA</f>
        <v>9047.02424369748</v>
      </c>
      <c r="T213" s="16" t="n">
        <f aca="false">MIN(CADASTRO_CASAS_BOMBA!$O$11,MAX(0,T212+CADASTRO_CASAS_BOMBA!$I$11*HORAS_CAPTACAO_DIA-S213))</f>
        <v>469821</v>
      </c>
      <c r="U213" s="16" t="n">
        <f aca="false">MAX(0,S213-CADASTRO_CASAS_BOMBA!$I$11*HORAS_CAPTACAO_DIA-T212)</f>
        <v>0</v>
      </c>
      <c r="V213" s="16" t="n">
        <f aca="false">INDEX(AUX_MATRIZES!$C$14:$BP$14,MIN(N_SEMANAS,MAX(1,$C213)))/DIAS_POR_SEMANA</f>
        <v>5121.82447058823</v>
      </c>
      <c r="W213" s="16" t="n">
        <f aca="false">MIN(CADASTRO_CASAS_BOMBA!$O$12,MAX(0,W212+CADASTRO_CASAS_BOMBA!$I$12*HORAS_CAPTACAO_DIA-V213))</f>
        <v>440000</v>
      </c>
      <c r="X213" s="16" t="n">
        <f aca="false">MAX(0,V213-CADASTRO_CASAS_BOMBA!$I$12*HORAS_CAPTACAO_DIA-W212)</f>
        <v>0</v>
      </c>
      <c r="Y213" s="16" t="n">
        <f aca="false">INDEX(AUX_MATRIZES!$C$15:$BP$15,MIN(N_SEMANAS,MAX(1,$C213)))/DIAS_POR_SEMANA</f>
        <v>0</v>
      </c>
      <c r="Z213" s="16" t="n">
        <f aca="false">MIN(CADASTRO_CASAS_BOMBA!$O$13,MAX(0,Z212+CADASTRO_CASAS_BOMBA!$I$13*HORAS_CAPTACAO_DIA-Y213))</f>
        <v>74903</v>
      </c>
      <c r="AA213" s="16" t="n">
        <f aca="false">MAX(0,Y213-CADASTRO_CASAS_BOMBA!$I$13*HORAS_CAPTACAO_DIA-Z212)</f>
        <v>0</v>
      </c>
    </row>
    <row r="214" customFormat="false" ht="15" hidden="false" customHeight="false" outlineLevel="0" collapsed="false">
      <c r="B214" s="17" t="n">
        <f aca="false">DATA_INICIO_SAFRA+207</f>
        <v>46472</v>
      </c>
      <c r="C214" s="16" t="n">
        <f aca="false">MIN(N_SEMANAS,MAX(1,INT(($B214-DATA_INICIO_SAFRA)/DIAS_POR_SEMANA)+1))</f>
        <v>30</v>
      </c>
      <c r="D214" s="16" t="n">
        <f aca="false">INDEX(AUX_MATRIZES!$C$8:$BP$8,MIN(N_SEMANAS,MAX(1,$C214)))/DIAS_POR_SEMANA</f>
        <v>0</v>
      </c>
      <c r="E214" s="16" t="n">
        <f aca="false">MIN(CADASTRO_CASAS_BOMBA!$O$6,MAX(0,E213+CADASTRO_CASAS_BOMBA!$I$6*HORAS_CAPTACAO_DIA-D214))</f>
        <v>2600</v>
      </c>
      <c r="F214" s="16" t="n">
        <f aca="false">MAX(0,D214-CADASTRO_CASAS_BOMBA!$I$6*HORAS_CAPTACAO_DIA-E213)</f>
        <v>0</v>
      </c>
      <c r="G214" s="16" t="n">
        <f aca="false">INDEX(AUX_MATRIZES!$C$9:$BP$9,MIN(N_SEMANAS,MAX(1,$C214)))/DIAS_POR_SEMANA</f>
        <v>1217.20047058823</v>
      </c>
      <c r="H214" s="16" t="n">
        <f aca="false">MIN(CADASTRO_CASAS_BOMBA!$O$7,MAX(0,H213+CADASTRO_CASAS_BOMBA!$I$7*HORAS_CAPTACAO_DIA-G214))</f>
        <v>76648</v>
      </c>
      <c r="I214" s="16" t="n">
        <f aca="false">MAX(0,G214-CADASTRO_CASAS_BOMBA!$I$7*HORAS_CAPTACAO_DIA-H213)</f>
        <v>0</v>
      </c>
      <c r="J214" s="16" t="n">
        <f aca="false">INDEX(AUX_MATRIZES!$C$10:$BP$10,MIN(N_SEMANAS,MAX(1,$C214)))/DIAS_POR_SEMANA</f>
        <v>0</v>
      </c>
      <c r="K214" s="16" t="n">
        <f aca="false">MIN(CADASTRO_CASAS_BOMBA!$O$8,MAX(0,K213+CADASTRO_CASAS_BOMBA!$I$8*HORAS_CAPTACAO_DIA-J214))</f>
        <v>27377</v>
      </c>
      <c r="L214" s="16" t="n">
        <f aca="false">MAX(0,J214-CADASTRO_CASAS_BOMBA!$I$8*HORAS_CAPTACAO_DIA-K213)</f>
        <v>0</v>
      </c>
      <c r="M214" s="16" t="n">
        <f aca="false">INDEX(AUX_MATRIZES!$C$11:$BP$11,MIN(N_SEMANAS,MAX(1,$C214)))/DIAS_POR_SEMANA</f>
        <v>4002.06658823529</v>
      </c>
      <c r="N214" s="16" t="n">
        <f aca="false">MIN(CADASTRO_CASAS_BOMBA!$O$9,MAX(0,N213+CADASTRO_CASAS_BOMBA!$I$9*HORAS_CAPTACAO_DIA-M214))</f>
        <v>129000</v>
      </c>
      <c r="O214" s="16" t="n">
        <f aca="false">MAX(0,M214-CADASTRO_CASAS_BOMBA!$I$9*HORAS_CAPTACAO_DIA-N213)</f>
        <v>0</v>
      </c>
      <c r="P214" s="16" t="n">
        <f aca="false">INDEX(AUX_MATRIZES!$C$12:$BP$12,MIN(N_SEMANAS,MAX(1,$C214)))/DIAS_POR_SEMANA</f>
        <v>5715.4654117647</v>
      </c>
      <c r="Q214" s="16" t="n">
        <f aca="false">MIN(CADASTRO_CASAS_BOMBA!$O$10,MAX(0,Q213+CADASTRO_CASAS_BOMBA!$I$10*HORAS_CAPTACAO_DIA-P214))</f>
        <v>1000000</v>
      </c>
      <c r="R214" s="16" t="n">
        <f aca="false">MAX(0,P214-CADASTRO_CASAS_BOMBA!$I$10*HORAS_CAPTACAO_DIA-Q213)</f>
        <v>0</v>
      </c>
      <c r="S214" s="16" t="n">
        <f aca="false">INDEX(AUX_MATRIZES!$C$13:$BP$13,MIN(N_SEMANAS,MAX(1,$C214)))/DIAS_POR_SEMANA</f>
        <v>9047.02424369748</v>
      </c>
      <c r="T214" s="16" t="n">
        <f aca="false">MIN(CADASTRO_CASAS_BOMBA!$O$11,MAX(0,T213+CADASTRO_CASAS_BOMBA!$I$11*HORAS_CAPTACAO_DIA-S214))</f>
        <v>469821</v>
      </c>
      <c r="U214" s="16" t="n">
        <f aca="false">MAX(0,S214-CADASTRO_CASAS_BOMBA!$I$11*HORAS_CAPTACAO_DIA-T213)</f>
        <v>0</v>
      </c>
      <c r="V214" s="16" t="n">
        <f aca="false">INDEX(AUX_MATRIZES!$C$14:$BP$14,MIN(N_SEMANAS,MAX(1,$C214)))/DIAS_POR_SEMANA</f>
        <v>5121.82447058823</v>
      </c>
      <c r="W214" s="16" t="n">
        <f aca="false">MIN(CADASTRO_CASAS_BOMBA!$O$12,MAX(0,W213+CADASTRO_CASAS_BOMBA!$I$12*HORAS_CAPTACAO_DIA-V214))</f>
        <v>440000</v>
      </c>
      <c r="X214" s="16" t="n">
        <f aca="false">MAX(0,V214-CADASTRO_CASAS_BOMBA!$I$12*HORAS_CAPTACAO_DIA-W213)</f>
        <v>0</v>
      </c>
      <c r="Y214" s="16" t="n">
        <f aca="false">INDEX(AUX_MATRIZES!$C$15:$BP$15,MIN(N_SEMANAS,MAX(1,$C214)))/DIAS_POR_SEMANA</f>
        <v>0</v>
      </c>
      <c r="Z214" s="16" t="n">
        <f aca="false">MIN(CADASTRO_CASAS_BOMBA!$O$13,MAX(0,Z213+CADASTRO_CASAS_BOMBA!$I$13*HORAS_CAPTACAO_DIA-Y214))</f>
        <v>74903</v>
      </c>
      <c r="AA214" s="16" t="n">
        <f aca="false">MAX(0,Y214-CADASTRO_CASAS_BOMBA!$I$13*HORAS_CAPTACAO_DIA-Z213)</f>
        <v>0</v>
      </c>
    </row>
    <row r="215" customFormat="false" ht="15" hidden="false" customHeight="false" outlineLevel="0" collapsed="false">
      <c r="B215" s="17" t="n">
        <f aca="false">DATA_INICIO_SAFRA+208</f>
        <v>46473</v>
      </c>
      <c r="C215" s="16" t="n">
        <f aca="false">MIN(N_SEMANAS,MAX(1,INT(($B215-DATA_INICIO_SAFRA)/DIAS_POR_SEMANA)+1))</f>
        <v>30</v>
      </c>
      <c r="D215" s="16" t="n">
        <f aca="false">INDEX(AUX_MATRIZES!$C$8:$BP$8,MIN(N_SEMANAS,MAX(1,$C215)))/DIAS_POR_SEMANA</f>
        <v>0</v>
      </c>
      <c r="E215" s="16" t="n">
        <f aca="false">MIN(CADASTRO_CASAS_BOMBA!$O$6,MAX(0,E214+CADASTRO_CASAS_BOMBA!$I$6*HORAS_CAPTACAO_DIA-D215))</f>
        <v>2600</v>
      </c>
      <c r="F215" s="16" t="n">
        <f aca="false">MAX(0,D215-CADASTRO_CASAS_BOMBA!$I$6*HORAS_CAPTACAO_DIA-E214)</f>
        <v>0</v>
      </c>
      <c r="G215" s="16" t="n">
        <f aca="false">INDEX(AUX_MATRIZES!$C$9:$BP$9,MIN(N_SEMANAS,MAX(1,$C215)))/DIAS_POR_SEMANA</f>
        <v>1217.20047058823</v>
      </c>
      <c r="H215" s="16" t="n">
        <f aca="false">MIN(CADASTRO_CASAS_BOMBA!$O$7,MAX(0,H214+CADASTRO_CASAS_BOMBA!$I$7*HORAS_CAPTACAO_DIA-G215))</f>
        <v>76648</v>
      </c>
      <c r="I215" s="16" t="n">
        <f aca="false">MAX(0,G215-CADASTRO_CASAS_BOMBA!$I$7*HORAS_CAPTACAO_DIA-H214)</f>
        <v>0</v>
      </c>
      <c r="J215" s="16" t="n">
        <f aca="false">INDEX(AUX_MATRIZES!$C$10:$BP$10,MIN(N_SEMANAS,MAX(1,$C215)))/DIAS_POR_SEMANA</f>
        <v>0</v>
      </c>
      <c r="K215" s="16" t="n">
        <f aca="false">MIN(CADASTRO_CASAS_BOMBA!$O$8,MAX(0,K214+CADASTRO_CASAS_BOMBA!$I$8*HORAS_CAPTACAO_DIA-J215))</f>
        <v>27377</v>
      </c>
      <c r="L215" s="16" t="n">
        <f aca="false">MAX(0,J215-CADASTRO_CASAS_BOMBA!$I$8*HORAS_CAPTACAO_DIA-K214)</f>
        <v>0</v>
      </c>
      <c r="M215" s="16" t="n">
        <f aca="false">INDEX(AUX_MATRIZES!$C$11:$BP$11,MIN(N_SEMANAS,MAX(1,$C215)))/DIAS_POR_SEMANA</f>
        <v>4002.06658823529</v>
      </c>
      <c r="N215" s="16" t="n">
        <f aca="false">MIN(CADASTRO_CASAS_BOMBA!$O$9,MAX(0,N214+CADASTRO_CASAS_BOMBA!$I$9*HORAS_CAPTACAO_DIA-M215))</f>
        <v>129000</v>
      </c>
      <c r="O215" s="16" t="n">
        <f aca="false">MAX(0,M215-CADASTRO_CASAS_BOMBA!$I$9*HORAS_CAPTACAO_DIA-N214)</f>
        <v>0</v>
      </c>
      <c r="P215" s="16" t="n">
        <f aca="false">INDEX(AUX_MATRIZES!$C$12:$BP$12,MIN(N_SEMANAS,MAX(1,$C215)))/DIAS_POR_SEMANA</f>
        <v>5715.4654117647</v>
      </c>
      <c r="Q215" s="16" t="n">
        <f aca="false">MIN(CADASTRO_CASAS_BOMBA!$O$10,MAX(0,Q214+CADASTRO_CASAS_BOMBA!$I$10*HORAS_CAPTACAO_DIA-P215))</f>
        <v>1000000</v>
      </c>
      <c r="R215" s="16" t="n">
        <f aca="false">MAX(0,P215-CADASTRO_CASAS_BOMBA!$I$10*HORAS_CAPTACAO_DIA-Q214)</f>
        <v>0</v>
      </c>
      <c r="S215" s="16" t="n">
        <f aca="false">INDEX(AUX_MATRIZES!$C$13:$BP$13,MIN(N_SEMANAS,MAX(1,$C215)))/DIAS_POR_SEMANA</f>
        <v>9047.02424369748</v>
      </c>
      <c r="T215" s="16" t="n">
        <f aca="false">MIN(CADASTRO_CASAS_BOMBA!$O$11,MAX(0,T214+CADASTRO_CASAS_BOMBA!$I$11*HORAS_CAPTACAO_DIA-S215))</f>
        <v>469821</v>
      </c>
      <c r="U215" s="16" t="n">
        <f aca="false">MAX(0,S215-CADASTRO_CASAS_BOMBA!$I$11*HORAS_CAPTACAO_DIA-T214)</f>
        <v>0</v>
      </c>
      <c r="V215" s="16" t="n">
        <f aca="false">INDEX(AUX_MATRIZES!$C$14:$BP$14,MIN(N_SEMANAS,MAX(1,$C215)))/DIAS_POR_SEMANA</f>
        <v>5121.82447058823</v>
      </c>
      <c r="W215" s="16" t="n">
        <f aca="false">MIN(CADASTRO_CASAS_BOMBA!$O$12,MAX(0,W214+CADASTRO_CASAS_BOMBA!$I$12*HORAS_CAPTACAO_DIA-V215))</f>
        <v>440000</v>
      </c>
      <c r="X215" s="16" t="n">
        <f aca="false">MAX(0,V215-CADASTRO_CASAS_BOMBA!$I$12*HORAS_CAPTACAO_DIA-W214)</f>
        <v>0</v>
      </c>
      <c r="Y215" s="16" t="n">
        <f aca="false">INDEX(AUX_MATRIZES!$C$15:$BP$15,MIN(N_SEMANAS,MAX(1,$C215)))/DIAS_POR_SEMANA</f>
        <v>0</v>
      </c>
      <c r="Z215" s="16" t="n">
        <f aca="false">MIN(CADASTRO_CASAS_BOMBA!$O$13,MAX(0,Z214+CADASTRO_CASAS_BOMBA!$I$13*HORAS_CAPTACAO_DIA-Y215))</f>
        <v>74903</v>
      </c>
      <c r="AA215" s="16" t="n">
        <f aca="false">MAX(0,Y215-CADASTRO_CASAS_BOMBA!$I$13*HORAS_CAPTACAO_DIA-Z214)</f>
        <v>0</v>
      </c>
    </row>
    <row r="216" customFormat="false" ht="15" hidden="false" customHeight="false" outlineLevel="0" collapsed="false">
      <c r="B216" s="17" t="n">
        <f aca="false">DATA_INICIO_SAFRA+209</f>
        <v>46474</v>
      </c>
      <c r="C216" s="16" t="n">
        <f aca="false">MIN(N_SEMANAS,MAX(1,INT(($B216-DATA_INICIO_SAFRA)/DIAS_POR_SEMANA)+1))</f>
        <v>30</v>
      </c>
      <c r="D216" s="16" t="n">
        <f aca="false">INDEX(AUX_MATRIZES!$C$8:$BP$8,MIN(N_SEMANAS,MAX(1,$C216)))/DIAS_POR_SEMANA</f>
        <v>0</v>
      </c>
      <c r="E216" s="16" t="n">
        <f aca="false">MIN(CADASTRO_CASAS_BOMBA!$O$6,MAX(0,E215+CADASTRO_CASAS_BOMBA!$I$6*HORAS_CAPTACAO_DIA-D216))</f>
        <v>2600</v>
      </c>
      <c r="F216" s="16" t="n">
        <f aca="false">MAX(0,D216-CADASTRO_CASAS_BOMBA!$I$6*HORAS_CAPTACAO_DIA-E215)</f>
        <v>0</v>
      </c>
      <c r="G216" s="16" t="n">
        <f aca="false">INDEX(AUX_MATRIZES!$C$9:$BP$9,MIN(N_SEMANAS,MAX(1,$C216)))/DIAS_POR_SEMANA</f>
        <v>1217.20047058823</v>
      </c>
      <c r="H216" s="16" t="n">
        <f aca="false">MIN(CADASTRO_CASAS_BOMBA!$O$7,MAX(0,H215+CADASTRO_CASAS_BOMBA!$I$7*HORAS_CAPTACAO_DIA-G216))</f>
        <v>76648</v>
      </c>
      <c r="I216" s="16" t="n">
        <f aca="false">MAX(0,G216-CADASTRO_CASAS_BOMBA!$I$7*HORAS_CAPTACAO_DIA-H215)</f>
        <v>0</v>
      </c>
      <c r="J216" s="16" t="n">
        <f aca="false">INDEX(AUX_MATRIZES!$C$10:$BP$10,MIN(N_SEMANAS,MAX(1,$C216)))/DIAS_POR_SEMANA</f>
        <v>0</v>
      </c>
      <c r="K216" s="16" t="n">
        <f aca="false">MIN(CADASTRO_CASAS_BOMBA!$O$8,MAX(0,K215+CADASTRO_CASAS_BOMBA!$I$8*HORAS_CAPTACAO_DIA-J216))</f>
        <v>27377</v>
      </c>
      <c r="L216" s="16" t="n">
        <f aca="false">MAX(0,J216-CADASTRO_CASAS_BOMBA!$I$8*HORAS_CAPTACAO_DIA-K215)</f>
        <v>0</v>
      </c>
      <c r="M216" s="16" t="n">
        <f aca="false">INDEX(AUX_MATRIZES!$C$11:$BP$11,MIN(N_SEMANAS,MAX(1,$C216)))/DIAS_POR_SEMANA</f>
        <v>4002.06658823529</v>
      </c>
      <c r="N216" s="16" t="n">
        <f aca="false">MIN(CADASTRO_CASAS_BOMBA!$O$9,MAX(0,N215+CADASTRO_CASAS_BOMBA!$I$9*HORAS_CAPTACAO_DIA-M216))</f>
        <v>129000</v>
      </c>
      <c r="O216" s="16" t="n">
        <f aca="false">MAX(0,M216-CADASTRO_CASAS_BOMBA!$I$9*HORAS_CAPTACAO_DIA-N215)</f>
        <v>0</v>
      </c>
      <c r="P216" s="16" t="n">
        <f aca="false">INDEX(AUX_MATRIZES!$C$12:$BP$12,MIN(N_SEMANAS,MAX(1,$C216)))/DIAS_POR_SEMANA</f>
        <v>5715.4654117647</v>
      </c>
      <c r="Q216" s="16" t="n">
        <f aca="false">MIN(CADASTRO_CASAS_BOMBA!$O$10,MAX(0,Q215+CADASTRO_CASAS_BOMBA!$I$10*HORAS_CAPTACAO_DIA-P216))</f>
        <v>1000000</v>
      </c>
      <c r="R216" s="16" t="n">
        <f aca="false">MAX(0,P216-CADASTRO_CASAS_BOMBA!$I$10*HORAS_CAPTACAO_DIA-Q215)</f>
        <v>0</v>
      </c>
      <c r="S216" s="16" t="n">
        <f aca="false">INDEX(AUX_MATRIZES!$C$13:$BP$13,MIN(N_SEMANAS,MAX(1,$C216)))/DIAS_POR_SEMANA</f>
        <v>9047.02424369748</v>
      </c>
      <c r="T216" s="16" t="n">
        <f aca="false">MIN(CADASTRO_CASAS_BOMBA!$O$11,MAX(0,T215+CADASTRO_CASAS_BOMBA!$I$11*HORAS_CAPTACAO_DIA-S216))</f>
        <v>469821</v>
      </c>
      <c r="U216" s="16" t="n">
        <f aca="false">MAX(0,S216-CADASTRO_CASAS_BOMBA!$I$11*HORAS_CAPTACAO_DIA-T215)</f>
        <v>0</v>
      </c>
      <c r="V216" s="16" t="n">
        <f aca="false">INDEX(AUX_MATRIZES!$C$14:$BP$14,MIN(N_SEMANAS,MAX(1,$C216)))/DIAS_POR_SEMANA</f>
        <v>5121.82447058823</v>
      </c>
      <c r="W216" s="16" t="n">
        <f aca="false">MIN(CADASTRO_CASAS_BOMBA!$O$12,MAX(0,W215+CADASTRO_CASAS_BOMBA!$I$12*HORAS_CAPTACAO_DIA-V216))</f>
        <v>440000</v>
      </c>
      <c r="X216" s="16" t="n">
        <f aca="false">MAX(0,V216-CADASTRO_CASAS_BOMBA!$I$12*HORAS_CAPTACAO_DIA-W215)</f>
        <v>0</v>
      </c>
      <c r="Y216" s="16" t="n">
        <f aca="false">INDEX(AUX_MATRIZES!$C$15:$BP$15,MIN(N_SEMANAS,MAX(1,$C216)))/DIAS_POR_SEMANA</f>
        <v>0</v>
      </c>
      <c r="Z216" s="16" t="n">
        <f aca="false">MIN(CADASTRO_CASAS_BOMBA!$O$13,MAX(0,Z215+CADASTRO_CASAS_BOMBA!$I$13*HORAS_CAPTACAO_DIA-Y216))</f>
        <v>74903</v>
      </c>
      <c r="AA216" s="16" t="n">
        <f aca="false">MAX(0,Y216-CADASTRO_CASAS_BOMBA!$I$13*HORAS_CAPTACAO_DIA-Z215)</f>
        <v>0</v>
      </c>
    </row>
    <row r="217" customFormat="false" ht="15" hidden="false" customHeight="false" outlineLevel="0" collapsed="false">
      <c r="B217" s="17" t="n">
        <f aca="false">DATA_INICIO_SAFRA+210</f>
        <v>46475</v>
      </c>
      <c r="C217" s="16" t="n">
        <f aca="false">MIN(N_SEMANAS,MAX(1,INT(($B217-DATA_INICIO_SAFRA)/DIAS_POR_SEMANA)+1))</f>
        <v>31</v>
      </c>
      <c r="D217" s="16" t="n">
        <f aca="false">INDEX(AUX_MATRIZES!$C$8:$BP$8,MIN(N_SEMANAS,MAX(1,$C217)))/DIAS_POR_SEMANA</f>
        <v>715.18215245388</v>
      </c>
      <c r="E217" s="16" t="n">
        <f aca="false">MIN(CADASTRO_CASAS_BOMBA!$O$6,MAX(0,E216+CADASTRO_CASAS_BOMBA!$I$6*HORAS_CAPTACAO_DIA-D217))</f>
        <v>2600</v>
      </c>
      <c r="F217" s="16" t="n">
        <f aca="false">MAX(0,D217-CADASTRO_CASAS_BOMBA!$I$6*HORAS_CAPTACAO_DIA-E216)</f>
        <v>0</v>
      </c>
      <c r="G217" s="16" t="n">
        <f aca="false">INDEX(AUX_MATRIZES!$C$9:$BP$9,MIN(N_SEMANAS,MAX(1,$C217)))/DIAS_POR_SEMANA</f>
        <v>3370.73201991908</v>
      </c>
      <c r="H217" s="16" t="n">
        <f aca="false">MIN(CADASTRO_CASAS_BOMBA!$O$7,MAX(0,H216+CADASTRO_CASAS_BOMBA!$I$7*HORAS_CAPTACAO_DIA-G217))</f>
        <v>76648</v>
      </c>
      <c r="I217" s="16" t="n">
        <f aca="false">MAX(0,G217-CADASTRO_CASAS_BOMBA!$I$7*HORAS_CAPTACAO_DIA-H216)</f>
        <v>0</v>
      </c>
      <c r="J217" s="16" t="n">
        <f aca="false">INDEX(AUX_MATRIZES!$C$10:$BP$10,MIN(N_SEMANAS,MAX(1,$C217)))/DIAS_POR_SEMANA</f>
        <v>1105.21954074884</v>
      </c>
      <c r="K217" s="16" t="n">
        <f aca="false">MIN(CADASTRO_CASAS_BOMBA!$O$8,MAX(0,K216+CADASTRO_CASAS_BOMBA!$I$8*HORAS_CAPTACAO_DIA-J217))</f>
        <v>27377</v>
      </c>
      <c r="L217" s="16" t="n">
        <f aca="false">MAX(0,J217-CADASTRO_CASAS_BOMBA!$I$8*HORAS_CAPTACAO_DIA-K216)</f>
        <v>0</v>
      </c>
      <c r="M217" s="16" t="n">
        <f aca="false">INDEX(AUX_MATRIZES!$C$11:$BP$11,MIN(N_SEMANAS,MAX(1,$C217)))/DIAS_POR_SEMANA</f>
        <v>10459.069920018</v>
      </c>
      <c r="N217" s="16" t="n">
        <f aca="false">MIN(CADASTRO_CASAS_BOMBA!$O$9,MAX(0,N216+CADASTRO_CASAS_BOMBA!$I$9*HORAS_CAPTACAO_DIA-M217))</f>
        <v>129000</v>
      </c>
      <c r="O217" s="16" t="n">
        <f aca="false">MAX(0,M217-CADASTRO_CASAS_BOMBA!$I$9*HORAS_CAPTACAO_DIA-N216)</f>
        <v>0</v>
      </c>
      <c r="P217" s="16" t="n">
        <f aca="false">INDEX(AUX_MATRIZES!$C$12:$BP$12,MIN(N_SEMANAS,MAX(1,$C217)))/DIAS_POR_SEMANA</f>
        <v>12907.5708235294</v>
      </c>
      <c r="Q217" s="16" t="n">
        <f aca="false">MIN(CADASTRO_CASAS_BOMBA!$O$10,MAX(0,Q216+CADASTRO_CASAS_BOMBA!$I$10*HORAS_CAPTACAO_DIA-P217))</f>
        <v>1000000</v>
      </c>
      <c r="R217" s="16" t="n">
        <f aca="false">MAX(0,P217-CADASTRO_CASAS_BOMBA!$I$10*HORAS_CAPTACAO_DIA-Q216)</f>
        <v>0</v>
      </c>
      <c r="S217" s="16" t="n">
        <f aca="false">INDEX(AUX_MATRIZES!$C$13:$BP$13,MIN(N_SEMANAS,MAX(1,$C217)))/DIAS_POR_SEMANA</f>
        <v>22629.7895974612</v>
      </c>
      <c r="T217" s="16" t="n">
        <f aca="false">MIN(CADASTRO_CASAS_BOMBA!$O$11,MAX(0,T216+CADASTRO_CASAS_BOMBA!$I$11*HORAS_CAPTACAO_DIA-S217))</f>
        <v>468611.210402539</v>
      </c>
      <c r="U217" s="16" t="n">
        <f aca="false">MAX(0,S217-CADASTRO_CASAS_BOMBA!$I$11*HORAS_CAPTACAO_DIA-T216)</f>
        <v>0</v>
      </c>
      <c r="V217" s="16" t="n">
        <f aca="false">INDEX(AUX_MATRIZES!$C$14:$BP$14,MIN(N_SEMANAS,MAX(1,$C217)))/DIAS_POR_SEMANA</f>
        <v>16602.5501259467</v>
      </c>
      <c r="W217" s="16" t="n">
        <f aca="false">MIN(CADASTRO_CASAS_BOMBA!$O$12,MAX(0,W216+CADASTRO_CASAS_BOMBA!$I$12*HORAS_CAPTACAO_DIA-V217))</f>
        <v>440000</v>
      </c>
      <c r="X217" s="16" t="n">
        <f aca="false">MAX(0,V217-CADASTRO_CASAS_BOMBA!$I$12*HORAS_CAPTACAO_DIA-W216)</f>
        <v>0</v>
      </c>
      <c r="Y217" s="16" t="n">
        <f aca="false">INDEX(AUX_MATRIZES!$C$15:$BP$15,MIN(N_SEMANAS,MAX(1,$C217)))/DIAS_POR_SEMANA</f>
        <v>0</v>
      </c>
      <c r="Z217" s="16" t="n">
        <f aca="false">MIN(CADASTRO_CASAS_BOMBA!$O$13,MAX(0,Z216+CADASTRO_CASAS_BOMBA!$I$13*HORAS_CAPTACAO_DIA-Y217))</f>
        <v>74903</v>
      </c>
      <c r="AA217" s="16" t="n">
        <f aca="false">MAX(0,Y217-CADASTRO_CASAS_BOMBA!$I$13*HORAS_CAPTACAO_DIA-Z216)</f>
        <v>0</v>
      </c>
    </row>
    <row r="218" customFormat="false" ht="15" hidden="false" customHeight="false" outlineLevel="0" collapsed="false">
      <c r="B218" s="17" t="n">
        <f aca="false">DATA_INICIO_SAFRA+211</f>
        <v>46476</v>
      </c>
      <c r="C218" s="16" t="n">
        <f aca="false">MIN(N_SEMANAS,MAX(1,INT(($B218-DATA_INICIO_SAFRA)/DIAS_POR_SEMANA)+1))</f>
        <v>31</v>
      </c>
      <c r="D218" s="16" t="n">
        <f aca="false">INDEX(AUX_MATRIZES!$C$8:$BP$8,MIN(N_SEMANAS,MAX(1,$C218)))/DIAS_POR_SEMANA</f>
        <v>715.18215245388</v>
      </c>
      <c r="E218" s="16" t="n">
        <f aca="false">MIN(CADASTRO_CASAS_BOMBA!$O$6,MAX(0,E217+CADASTRO_CASAS_BOMBA!$I$6*HORAS_CAPTACAO_DIA-D218))</f>
        <v>2600</v>
      </c>
      <c r="F218" s="16" t="n">
        <f aca="false">MAX(0,D218-CADASTRO_CASAS_BOMBA!$I$6*HORAS_CAPTACAO_DIA-E217)</f>
        <v>0</v>
      </c>
      <c r="G218" s="16" t="n">
        <f aca="false">INDEX(AUX_MATRIZES!$C$9:$BP$9,MIN(N_SEMANAS,MAX(1,$C218)))/DIAS_POR_SEMANA</f>
        <v>3370.73201991908</v>
      </c>
      <c r="H218" s="16" t="n">
        <f aca="false">MIN(CADASTRO_CASAS_BOMBA!$O$7,MAX(0,H217+CADASTRO_CASAS_BOMBA!$I$7*HORAS_CAPTACAO_DIA-G218))</f>
        <v>76648</v>
      </c>
      <c r="I218" s="16" t="n">
        <f aca="false">MAX(0,G218-CADASTRO_CASAS_BOMBA!$I$7*HORAS_CAPTACAO_DIA-H217)</f>
        <v>0</v>
      </c>
      <c r="J218" s="16" t="n">
        <f aca="false">INDEX(AUX_MATRIZES!$C$10:$BP$10,MIN(N_SEMANAS,MAX(1,$C218)))/DIAS_POR_SEMANA</f>
        <v>1105.21954074884</v>
      </c>
      <c r="K218" s="16" t="n">
        <f aca="false">MIN(CADASTRO_CASAS_BOMBA!$O$8,MAX(0,K217+CADASTRO_CASAS_BOMBA!$I$8*HORAS_CAPTACAO_DIA-J218))</f>
        <v>27377</v>
      </c>
      <c r="L218" s="16" t="n">
        <f aca="false">MAX(0,J218-CADASTRO_CASAS_BOMBA!$I$8*HORAS_CAPTACAO_DIA-K217)</f>
        <v>0</v>
      </c>
      <c r="M218" s="16" t="n">
        <f aca="false">INDEX(AUX_MATRIZES!$C$11:$BP$11,MIN(N_SEMANAS,MAX(1,$C218)))/DIAS_POR_SEMANA</f>
        <v>10459.069920018</v>
      </c>
      <c r="N218" s="16" t="n">
        <f aca="false">MIN(CADASTRO_CASAS_BOMBA!$O$9,MAX(0,N217+CADASTRO_CASAS_BOMBA!$I$9*HORAS_CAPTACAO_DIA-M218))</f>
        <v>129000</v>
      </c>
      <c r="O218" s="16" t="n">
        <f aca="false">MAX(0,M218-CADASTRO_CASAS_BOMBA!$I$9*HORAS_CAPTACAO_DIA-N217)</f>
        <v>0</v>
      </c>
      <c r="P218" s="16" t="n">
        <f aca="false">INDEX(AUX_MATRIZES!$C$12:$BP$12,MIN(N_SEMANAS,MAX(1,$C218)))/DIAS_POR_SEMANA</f>
        <v>12907.5708235294</v>
      </c>
      <c r="Q218" s="16" t="n">
        <f aca="false">MIN(CADASTRO_CASAS_BOMBA!$O$10,MAX(0,Q217+CADASTRO_CASAS_BOMBA!$I$10*HORAS_CAPTACAO_DIA-P218))</f>
        <v>1000000</v>
      </c>
      <c r="R218" s="16" t="n">
        <f aca="false">MAX(0,P218-CADASTRO_CASAS_BOMBA!$I$10*HORAS_CAPTACAO_DIA-Q217)</f>
        <v>0</v>
      </c>
      <c r="S218" s="16" t="n">
        <f aca="false">INDEX(AUX_MATRIZES!$C$13:$BP$13,MIN(N_SEMANAS,MAX(1,$C218)))/DIAS_POR_SEMANA</f>
        <v>22629.7895974612</v>
      </c>
      <c r="T218" s="16" t="n">
        <f aca="false">MIN(CADASTRO_CASAS_BOMBA!$O$11,MAX(0,T217+CADASTRO_CASAS_BOMBA!$I$11*HORAS_CAPTACAO_DIA-S218))</f>
        <v>467401.420805078</v>
      </c>
      <c r="U218" s="16" t="n">
        <f aca="false">MAX(0,S218-CADASTRO_CASAS_BOMBA!$I$11*HORAS_CAPTACAO_DIA-T217)</f>
        <v>0</v>
      </c>
      <c r="V218" s="16" t="n">
        <f aca="false">INDEX(AUX_MATRIZES!$C$14:$BP$14,MIN(N_SEMANAS,MAX(1,$C218)))/DIAS_POR_SEMANA</f>
        <v>16602.5501259467</v>
      </c>
      <c r="W218" s="16" t="n">
        <f aca="false">MIN(CADASTRO_CASAS_BOMBA!$O$12,MAX(0,W217+CADASTRO_CASAS_BOMBA!$I$12*HORAS_CAPTACAO_DIA-V218))</f>
        <v>440000</v>
      </c>
      <c r="X218" s="16" t="n">
        <f aca="false">MAX(0,V218-CADASTRO_CASAS_BOMBA!$I$12*HORAS_CAPTACAO_DIA-W217)</f>
        <v>0</v>
      </c>
      <c r="Y218" s="16" t="n">
        <f aca="false">INDEX(AUX_MATRIZES!$C$15:$BP$15,MIN(N_SEMANAS,MAX(1,$C218)))/DIAS_POR_SEMANA</f>
        <v>0</v>
      </c>
      <c r="Z218" s="16" t="n">
        <f aca="false">MIN(CADASTRO_CASAS_BOMBA!$O$13,MAX(0,Z217+CADASTRO_CASAS_BOMBA!$I$13*HORAS_CAPTACAO_DIA-Y218))</f>
        <v>74903</v>
      </c>
      <c r="AA218" s="16" t="n">
        <f aca="false">MAX(0,Y218-CADASTRO_CASAS_BOMBA!$I$13*HORAS_CAPTACAO_DIA-Z217)</f>
        <v>0</v>
      </c>
    </row>
    <row r="219" customFormat="false" ht="15" hidden="false" customHeight="false" outlineLevel="0" collapsed="false">
      <c r="B219" s="17" t="n">
        <f aca="false">DATA_INICIO_SAFRA+212</f>
        <v>46477</v>
      </c>
      <c r="C219" s="16" t="n">
        <f aca="false">MIN(N_SEMANAS,MAX(1,INT(($B219-DATA_INICIO_SAFRA)/DIAS_POR_SEMANA)+1))</f>
        <v>31</v>
      </c>
      <c r="D219" s="16" t="n">
        <f aca="false">INDEX(AUX_MATRIZES!$C$8:$BP$8,MIN(N_SEMANAS,MAX(1,$C219)))/DIAS_POR_SEMANA</f>
        <v>715.18215245388</v>
      </c>
      <c r="E219" s="16" t="n">
        <f aca="false">MIN(CADASTRO_CASAS_BOMBA!$O$6,MAX(0,E218+CADASTRO_CASAS_BOMBA!$I$6*HORAS_CAPTACAO_DIA-D219))</f>
        <v>2600</v>
      </c>
      <c r="F219" s="16" t="n">
        <f aca="false">MAX(0,D219-CADASTRO_CASAS_BOMBA!$I$6*HORAS_CAPTACAO_DIA-E218)</f>
        <v>0</v>
      </c>
      <c r="G219" s="16" t="n">
        <f aca="false">INDEX(AUX_MATRIZES!$C$9:$BP$9,MIN(N_SEMANAS,MAX(1,$C219)))/DIAS_POR_SEMANA</f>
        <v>3370.73201991908</v>
      </c>
      <c r="H219" s="16" t="n">
        <f aca="false">MIN(CADASTRO_CASAS_BOMBA!$O$7,MAX(0,H218+CADASTRO_CASAS_BOMBA!$I$7*HORAS_CAPTACAO_DIA-G219))</f>
        <v>76648</v>
      </c>
      <c r="I219" s="16" t="n">
        <f aca="false">MAX(0,G219-CADASTRO_CASAS_BOMBA!$I$7*HORAS_CAPTACAO_DIA-H218)</f>
        <v>0</v>
      </c>
      <c r="J219" s="16" t="n">
        <f aca="false">INDEX(AUX_MATRIZES!$C$10:$BP$10,MIN(N_SEMANAS,MAX(1,$C219)))/DIAS_POR_SEMANA</f>
        <v>1105.21954074884</v>
      </c>
      <c r="K219" s="16" t="n">
        <f aca="false">MIN(CADASTRO_CASAS_BOMBA!$O$8,MAX(0,K218+CADASTRO_CASAS_BOMBA!$I$8*HORAS_CAPTACAO_DIA-J219))</f>
        <v>27377</v>
      </c>
      <c r="L219" s="16" t="n">
        <f aca="false">MAX(0,J219-CADASTRO_CASAS_BOMBA!$I$8*HORAS_CAPTACAO_DIA-K218)</f>
        <v>0</v>
      </c>
      <c r="M219" s="16" t="n">
        <f aca="false">INDEX(AUX_MATRIZES!$C$11:$BP$11,MIN(N_SEMANAS,MAX(1,$C219)))/DIAS_POR_SEMANA</f>
        <v>10459.069920018</v>
      </c>
      <c r="N219" s="16" t="n">
        <f aca="false">MIN(CADASTRO_CASAS_BOMBA!$O$9,MAX(0,N218+CADASTRO_CASAS_BOMBA!$I$9*HORAS_CAPTACAO_DIA-M219))</f>
        <v>129000</v>
      </c>
      <c r="O219" s="16" t="n">
        <f aca="false">MAX(0,M219-CADASTRO_CASAS_BOMBA!$I$9*HORAS_CAPTACAO_DIA-N218)</f>
        <v>0</v>
      </c>
      <c r="P219" s="16" t="n">
        <f aca="false">INDEX(AUX_MATRIZES!$C$12:$BP$12,MIN(N_SEMANAS,MAX(1,$C219)))/DIAS_POR_SEMANA</f>
        <v>12907.5708235294</v>
      </c>
      <c r="Q219" s="16" t="n">
        <f aca="false">MIN(CADASTRO_CASAS_BOMBA!$O$10,MAX(0,Q218+CADASTRO_CASAS_BOMBA!$I$10*HORAS_CAPTACAO_DIA-P219))</f>
        <v>1000000</v>
      </c>
      <c r="R219" s="16" t="n">
        <f aca="false">MAX(0,P219-CADASTRO_CASAS_BOMBA!$I$10*HORAS_CAPTACAO_DIA-Q218)</f>
        <v>0</v>
      </c>
      <c r="S219" s="16" t="n">
        <f aca="false">INDEX(AUX_MATRIZES!$C$13:$BP$13,MIN(N_SEMANAS,MAX(1,$C219)))/DIAS_POR_SEMANA</f>
        <v>22629.7895974612</v>
      </c>
      <c r="T219" s="16" t="n">
        <f aca="false">MIN(CADASTRO_CASAS_BOMBA!$O$11,MAX(0,T218+CADASTRO_CASAS_BOMBA!$I$11*HORAS_CAPTACAO_DIA-S219))</f>
        <v>466191.631207617</v>
      </c>
      <c r="U219" s="16" t="n">
        <f aca="false">MAX(0,S219-CADASTRO_CASAS_BOMBA!$I$11*HORAS_CAPTACAO_DIA-T218)</f>
        <v>0</v>
      </c>
      <c r="V219" s="16" t="n">
        <f aca="false">INDEX(AUX_MATRIZES!$C$14:$BP$14,MIN(N_SEMANAS,MAX(1,$C219)))/DIAS_POR_SEMANA</f>
        <v>16602.5501259467</v>
      </c>
      <c r="W219" s="16" t="n">
        <f aca="false">MIN(CADASTRO_CASAS_BOMBA!$O$12,MAX(0,W218+CADASTRO_CASAS_BOMBA!$I$12*HORAS_CAPTACAO_DIA-V219))</f>
        <v>440000</v>
      </c>
      <c r="X219" s="16" t="n">
        <f aca="false">MAX(0,V219-CADASTRO_CASAS_BOMBA!$I$12*HORAS_CAPTACAO_DIA-W218)</f>
        <v>0</v>
      </c>
      <c r="Y219" s="16" t="n">
        <f aca="false">INDEX(AUX_MATRIZES!$C$15:$BP$15,MIN(N_SEMANAS,MAX(1,$C219)))/DIAS_POR_SEMANA</f>
        <v>0</v>
      </c>
      <c r="Z219" s="16" t="n">
        <f aca="false">MIN(CADASTRO_CASAS_BOMBA!$O$13,MAX(0,Z218+CADASTRO_CASAS_BOMBA!$I$13*HORAS_CAPTACAO_DIA-Y219))</f>
        <v>74903</v>
      </c>
      <c r="AA219" s="16" t="n">
        <f aca="false">MAX(0,Y219-CADASTRO_CASAS_BOMBA!$I$13*HORAS_CAPTACAO_DIA-Z218)</f>
        <v>0</v>
      </c>
    </row>
    <row r="220" customFormat="false" ht="15" hidden="false" customHeight="false" outlineLevel="0" collapsed="false">
      <c r="B220" s="17" t="n">
        <f aca="false">DATA_INICIO_SAFRA+213</f>
        <v>46478</v>
      </c>
      <c r="C220" s="16" t="n">
        <f aca="false">MIN(N_SEMANAS,MAX(1,INT(($B220-DATA_INICIO_SAFRA)/DIAS_POR_SEMANA)+1))</f>
        <v>31</v>
      </c>
      <c r="D220" s="16" t="n">
        <f aca="false">INDEX(AUX_MATRIZES!$C$8:$BP$8,MIN(N_SEMANAS,MAX(1,$C220)))/DIAS_POR_SEMANA</f>
        <v>715.18215245388</v>
      </c>
      <c r="E220" s="16" t="n">
        <f aca="false">MIN(CADASTRO_CASAS_BOMBA!$O$6,MAX(0,E219+CADASTRO_CASAS_BOMBA!$I$6*HORAS_CAPTACAO_DIA-D220))</f>
        <v>2600</v>
      </c>
      <c r="F220" s="16" t="n">
        <f aca="false">MAX(0,D220-CADASTRO_CASAS_BOMBA!$I$6*HORAS_CAPTACAO_DIA-E219)</f>
        <v>0</v>
      </c>
      <c r="G220" s="16" t="n">
        <f aca="false">INDEX(AUX_MATRIZES!$C$9:$BP$9,MIN(N_SEMANAS,MAX(1,$C220)))/DIAS_POR_SEMANA</f>
        <v>3370.73201991908</v>
      </c>
      <c r="H220" s="16" t="n">
        <f aca="false">MIN(CADASTRO_CASAS_BOMBA!$O$7,MAX(0,H219+CADASTRO_CASAS_BOMBA!$I$7*HORAS_CAPTACAO_DIA-G220))</f>
        <v>76648</v>
      </c>
      <c r="I220" s="16" t="n">
        <f aca="false">MAX(0,G220-CADASTRO_CASAS_BOMBA!$I$7*HORAS_CAPTACAO_DIA-H219)</f>
        <v>0</v>
      </c>
      <c r="J220" s="16" t="n">
        <f aca="false">INDEX(AUX_MATRIZES!$C$10:$BP$10,MIN(N_SEMANAS,MAX(1,$C220)))/DIAS_POR_SEMANA</f>
        <v>1105.21954074884</v>
      </c>
      <c r="K220" s="16" t="n">
        <f aca="false">MIN(CADASTRO_CASAS_BOMBA!$O$8,MAX(0,K219+CADASTRO_CASAS_BOMBA!$I$8*HORAS_CAPTACAO_DIA-J220))</f>
        <v>27377</v>
      </c>
      <c r="L220" s="16" t="n">
        <f aca="false">MAX(0,J220-CADASTRO_CASAS_BOMBA!$I$8*HORAS_CAPTACAO_DIA-K219)</f>
        <v>0</v>
      </c>
      <c r="M220" s="16" t="n">
        <f aca="false">INDEX(AUX_MATRIZES!$C$11:$BP$11,MIN(N_SEMANAS,MAX(1,$C220)))/DIAS_POR_SEMANA</f>
        <v>10459.069920018</v>
      </c>
      <c r="N220" s="16" t="n">
        <f aca="false">MIN(CADASTRO_CASAS_BOMBA!$O$9,MAX(0,N219+CADASTRO_CASAS_BOMBA!$I$9*HORAS_CAPTACAO_DIA-M220))</f>
        <v>129000</v>
      </c>
      <c r="O220" s="16" t="n">
        <f aca="false">MAX(0,M220-CADASTRO_CASAS_BOMBA!$I$9*HORAS_CAPTACAO_DIA-N219)</f>
        <v>0</v>
      </c>
      <c r="P220" s="16" t="n">
        <f aca="false">INDEX(AUX_MATRIZES!$C$12:$BP$12,MIN(N_SEMANAS,MAX(1,$C220)))/DIAS_POR_SEMANA</f>
        <v>12907.5708235294</v>
      </c>
      <c r="Q220" s="16" t="n">
        <f aca="false">MIN(CADASTRO_CASAS_BOMBA!$O$10,MAX(0,Q219+CADASTRO_CASAS_BOMBA!$I$10*HORAS_CAPTACAO_DIA-P220))</f>
        <v>1000000</v>
      </c>
      <c r="R220" s="16" t="n">
        <f aca="false">MAX(0,P220-CADASTRO_CASAS_BOMBA!$I$10*HORAS_CAPTACAO_DIA-Q219)</f>
        <v>0</v>
      </c>
      <c r="S220" s="16" t="n">
        <f aca="false">INDEX(AUX_MATRIZES!$C$13:$BP$13,MIN(N_SEMANAS,MAX(1,$C220)))/DIAS_POR_SEMANA</f>
        <v>22629.7895974612</v>
      </c>
      <c r="T220" s="16" t="n">
        <f aca="false">MIN(CADASTRO_CASAS_BOMBA!$O$11,MAX(0,T219+CADASTRO_CASAS_BOMBA!$I$11*HORAS_CAPTACAO_DIA-S220))</f>
        <v>464981.841610155</v>
      </c>
      <c r="U220" s="16" t="n">
        <f aca="false">MAX(0,S220-CADASTRO_CASAS_BOMBA!$I$11*HORAS_CAPTACAO_DIA-T219)</f>
        <v>0</v>
      </c>
      <c r="V220" s="16" t="n">
        <f aca="false">INDEX(AUX_MATRIZES!$C$14:$BP$14,MIN(N_SEMANAS,MAX(1,$C220)))/DIAS_POR_SEMANA</f>
        <v>16602.5501259467</v>
      </c>
      <c r="W220" s="16" t="n">
        <f aca="false">MIN(CADASTRO_CASAS_BOMBA!$O$12,MAX(0,W219+CADASTRO_CASAS_BOMBA!$I$12*HORAS_CAPTACAO_DIA-V220))</f>
        <v>440000</v>
      </c>
      <c r="X220" s="16" t="n">
        <f aca="false">MAX(0,V220-CADASTRO_CASAS_BOMBA!$I$12*HORAS_CAPTACAO_DIA-W219)</f>
        <v>0</v>
      </c>
      <c r="Y220" s="16" t="n">
        <f aca="false">INDEX(AUX_MATRIZES!$C$15:$BP$15,MIN(N_SEMANAS,MAX(1,$C220)))/DIAS_POR_SEMANA</f>
        <v>0</v>
      </c>
      <c r="Z220" s="16" t="n">
        <f aca="false">MIN(CADASTRO_CASAS_BOMBA!$O$13,MAX(0,Z219+CADASTRO_CASAS_BOMBA!$I$13*HORAS_CAPTACAO_DIA-Y220))</f>
        <v>74903</v>
      </c>
      <c r="AA220" s="16" t="n">
        <f aca="false">MAX(0,Y220-CADASTRO_CASAS_BOMBA!$I$13*HORAS_CAPTACAO_DIA-Z219)</f>
        <v>0</v>
      </c>
    </row>
    <row r="221" customFormat="false" ht="15" hidden="false" customHeight="false" outlineLevel="0" collapsed="false">
      <c r="B221" s="17" t="n">
        <f aca="false">DATA_INICIO_SAFRA+214</f>
        <v>46479</v>
      </c>
      <c r="C221" s="16" t="n">
        <f aca="false">MIN(N_SEMANAS,MAX(1,INT(($B221-DATA_INICIO_SAFRA)/DIAS_POR_SEMANA)+1))</f>
        <v>31</v>
      </c>
      <c r="D221" s="16" t="n">
        <f aca="false">INDEX(AUX_MATRIZES!$C$8:$BP$8,MIN(N_SEMANAS,MAX(1,$C221)))/DIAS_POR_SEMANA</f>
        <v>715.18215245388</v>
      </c>
      <c r="E221" s="16" t="n">
        <f aca="false">MIN(CADASTRO_CASAS_BOMBA!$O$6,MAX(0,E220+CADASTRO_CASAS_BOMBA!$I$6*HORAS_CAPTACAO_DIA-D221))</f>
        <v>2600</v>
      </c>
      <c r="F221" s="16" t="n">
        <f aca="false">MAX(0,D221-CADASTRO_CASAS_BOMBA!$I$6*HORAS_CAPTACAO_DIA-E220)</f>
        <v>0</v>
      </c>
      <c r="G221" s="16" t="n">
        <f aca="false">INDEX(AUX_MATRIZES!$C$9:$BP$9,MIN(N_SEMANAS,MAX(1,$C221)))/DIAS_POR_SEMANA</f>
        <v>3370.73201991908</v>
      </c>
      <c r="H221" s="16" t="n">
        <f aca="false">MIN(CADASTRO_CASAS_BOMBA!$O$7,MAX(0,H220+CADASTRO_CASAS_BOMBA!$I$7*HORAS_CAPTACAO_DIA-G221))</f>
        <v>76648</v>
      </c>
      <c r="I221" s="16" t="n">
        <f aca="false">MAX(0,G221-CADASTRO_CASAS_BOMBA!$I$7*HORAS_CAPTACAO_DIA-H220)</f>
        <v>0</v>
      </c>
      <c r="J221" s="16" t="n">
        <f aca="false">INDEX(AUX_MATRIZES!$C$10:$BP$10,MIN(N_SEMANAS,MAX(1,$C221)))/DIAS_POR_SEMANA</f>
        <v>1105.21954074884</v>
      </c>
      <c r="K221" s="16" t="n">
        <f aca="false">MIN(CADASTRO_CASAS_BOMBA!$O$8,MAX(0,K220+CADASTRO_CASAS_BOMBA!$I$8*HORAS_CAPTACAO_DIA-J221))</f>
        <v>27377</v>
      </c>
      <c r="L221" s="16" t="n">
        <f aca="false">MAX(0,J221-CADASTRO_CASAS_BOMBA!$I$8*HORAS_CAPTACAO_DIA-K220)</f>
        <v>0</v>
      </c>
      <c r="M221" s="16" t="n">
        <f aca="false">INDEX(AUX_MATRIZES!$C$11:$BP$11,MIN(N_SEMANAS,MAX(1,$C221)))/DIAS_POR_SEMANA</f>
        <v>10459.069920018</v>
      </c>
      <c r="N221" s="16" t="n">
        <f aca="false">MIN(CADASTRO_CASAS_BOMBA!$O$9,MAX(0,N220+CADASTRO_CASAS_BOMBA!$I$9*HORAS_CAPTACAO_DIA-M221))</f>
        <v>129000</v>
      </c>
      <c r="O221" s="16" t="n">
        <f aca="false">MAX(0,M221-CADASTRO_CASAS_BOMBA!$I$9*HORAS_CAPTACAO_DIA-N220)</f>
        <v>0</v>
      </c>
      <c r="P221" s="16" t="n">
        <f aca="false">INDEX(AUX_MATRIZES!$C$12:$BP$12,MIN(N_SEMANAS,MAX(1,$C221)))/DIAS_POR_SEMANA</f>
        <v>12907.5708235294</v>
      </c>
      <c r="Q221" s="16" t="n">
        <f aca="false">MIN(CADASTRO_CASAS_BOMBA!$O$10,MAX(0,Q220+CADASTRO_CASAS_BOMBA!$I$10*HORAS_CAPTACAO_DIA-P221))</f>
        <v>1000000</v>
      </c>
      <c r="R221" s="16" t="n">
        <f aca="false">MAX(0,P221-CADASTRO_CASAS_BOMBA!$I$10*HORAS_CAPTACAO_DIA-Q220)</f>
        <v>0</v>
      </c>
      <c r="S221" s="16" t="n">
        <f aca="false">INDEX(AUX_MATRIZES!$C$13:$BP$13,MIN(N_SEMANAS,MAX(1,$C221)))/DIAS_POR_SEMANA</f>
        <v>22629.7895974612</v>
      </c>
      <c r="T221" s="16" t="n">
        <f aca="false">MIN(CADASTRO_CASAS_BOMBA!$O$11,MAX(0,T220+CADASTRO_CASAS_BOMBA!$I$11*HORAS_CAPTACAO_DIA-S221))</f>
        <v>463772.052012694</v>
      </c>
      <c r="U221" s="16" t="n">
        <f aca="false">MAX(0,S221-CADASTRO_CASAS_BOMBA!$I$11*HORAS_CAPTACAO_DIA-T220)</f>
        <v>0</v>
      </c>
      <c r="V221" s="16" t="n">
        <f aca="false">INDEX(AUX_MATRIZES!$C$14:$BP$14,MIN(N_SEMANAS,MAX(1,$C221)))/DIAS_POR_SEMANA</f>
        <v>16602.5501259467</v>
      </c>
      <c r="W221" s="16" t="n">
        <f aca="false">MIN(CADASTRO_CASAS_BOMBA!$O$12,MAX(0,W220+CADASTRO_CASAS_BOMBA!$I$12*HORAS_CAPTACAO_DIA-V221))</f>
        <v>440000</v>
      </c>
      <c r="X221" s="16" t="n">
        <f aca="false">MAX(0,V221-CADASTRO_CASAS_BOMBA!$I$12*HORAS_CAPTACAO_DIA-W220)</f>
        <v>0</v>
      </c>
      <c r="Y221" s="16" t="n">
        <f aca="false">INDEX(AUX_MATRIZES!$C$15:$BP$15,MIN(N_SEMANAS,MAX(1,$C221)))/DIAS_POR_SEMANA</f>
        <v>0</v>
      </c>
      <c r="Z221" s="16" t="n">
        <f aca="false">MIN(CADASTRO_CASAS_BOMBA!$O$13,MAX(0,Z220+CADASTRO_CASAS_BOMBA!$I$13*HORAS_CAPTACAO_DIA-Y221))</f>
        <v>74903</v>
      </c>
      <c r="AA221" s="16" t="n">
        <f aca="false">MAX(0,Y221-CADASTRO_CASAS_BOMBA!$I$13*HORAS_CAPTACAO_DIA-Z220)</f>
        <v>0</v>
      </c>
    </row>
    <row r="222" customFormat="false" ht="15" hidden="false" customHeight="false" outlineLevel="0" collapsed="false">
      <c r="B222" s="17" t="n">
        <f aca="false">DATA_INICIO_SAFRA+215</f>
        <v>46480</v>
      </c>
      <c r="C222" s="16" t="n">
        <f aca="false">MIN(N_SEMANAS,MAX(1,INT(($B222-DATA_INICIO_SAFRA)/DIAS_POR_SEMANA)+1))</f>
        <v>31</v>
      </c>
      <c r="D222" s="16" t="n">
        <f aca="false">INDEX(AUX_MATRIZES!$C$8:$BP$8,MIN(N_SEMANAS,MAX(1,$C222)))/DIAS_POR_SEMANA</f>
        <v>715.18215245388</v>
      </c>
      <c r="E222" s="16" t="n">
        <f aca="false">MIN(CADASTRO_CASAS_BOMBA!$O$6,MAX(0,E221+CADASTRO_CASAS_BOMBA!$I$6*HORAS_CAPTACAO_DIA-D222))</f>
        <v>2600</v>
      </c>
      <c r="F222" s="16" t="n">
        <f aca="false">MAX(0,D222-CADASTRO_CASAS_BOMBA!$I$6*HORAS_CAPTACAO_DIA-E221)</f>
        <v>0</v>
      </c>
      <c r="G222" s="16" t="n">
        <f aca="false">INDEX(AUX_MATRIZES!$C$9:$BP$9,MIN(N_SEMANAS,MAX(1,$C222)))/DIAS_POR_SEMANA</f>
        <v>3370.73201991908</v>
      </c>
      <c r="H222" s="16" t="n">
        <f aca="false">MIN(CADASTRO_CASAS_BOMBA!$O$7,MAX(0,H221+CADASTRO_CASAS_BOMBA!$I$7*HORAS_CAPTACAO_DIA-G222))</f>
        <v>76648</v>
      </c>
      <c r="I222" s="16" t="n">
        <f aca="false">MAX(0,G222-CADASTRO_CASAS_BOMBA!$I$7*HORAS_CAPTACAO_DIA-H221)</f>
        <v>0</v>
      </c>
      <c r="J222" s="16" t="n">
        <f aca="false">INDEX(AUX_MATRIZES!$C$10:$BP$10,MIN(N_SEMANAS,MAX(1,$C222)))/DIAS_POR_SEMANA</f>
        <v>1105.21954074884</v>
      </c>
      <c r="K222" s="16" t="n">
        <f aca="false">MIN(CADASTRO_CASAS_BOMBA!$O$8,MAX(0,K221+CADASTRO_CASAS_BOMBA!$I$8*HORAS_CAPTACAO_DIA-J222))</f>
        <v>27377</v>
      </c>
      <c r="L222" s="16" t="n">
        <f aca="false">MAX(0,J222-CADASTRO_CASAS_BOMBA!$I$8*HORAS_CAPTACAO_DIA-K221)</f>
        <v>0</v>
      </c>
      <c r="M222" s="16" t="n">
        <f aca="false">INDEX(AUX_MATRIZES!$C$11:$BP$11,MIN(N_SEMANAS,MAX(1,$C222)))/DIAS_POR_SEMANA</f>
        <v>10459.069920018</v>
      </c>
      <c r="N222" s="16" t="n">
        <f aca="false">MIN(CADASTRO_CASAS_BOMBA!$O$9,MAX(0,N221+CADASTRO_CASAS_BOMBA!$I$9*HORAS_CAPTACAO_DIA-M222))</f>
        <v>129000</v>
      </c>
      <c r="O222" s="16" t="n">
        <f aca="false">MAX(0,M222-CADASTRO_CASAS_BOMBA!$I$9*HORAS_CAPTACAO_DIA-N221)</f>
        <v>0</v>
      </c>
      <c r="P222" s="16" t="n">
        <f aca="false">INDEX(AUX_MATRIZES!$C$12:$BP$12,MIN(N_SEMANAS,MAX(1,$C222)))/DIAS_POR_SEMANA</f>
        <v>12907.5708235294</v>
      </c>
      <c r="Q222" s="16" t="n">
        <f aca="false">MIN(CADASTRO_CASAS_BOMBA!$O$10,MAX(0,Q221+CADASTRO_CASAS_BOMBA!$I$10*HORAS_CAPTACAO_DIA-P222))</f>
        <v>1000000</v>
      </c>
      <c r="R222" s="16" t="n">
        <f aca="false">MAX(0,P222-CADASTRO_CASAS_BOMBA!$I$10*HORAS_CAPTACAO_DIA-Q221)</f>
        <v>0</v>
      </c>
      <c r="S222" s="16" t="n">
        <f aca="false">INDEX(AUX_MATRIZES!$C$13:$BP$13,MIN(N_SEMANAS,MAX(1,$C222)))/DIAS_POR_SEMANA</f>
        <v>22629.7895974612</v>
      </c>
      <c r="T222" s="16" t="n">
        <f aca="false">MIN(CADASTRO_CASAS_BOMBA!$O$11,MAX(0,T221+CADASTRO_CASAS_BOMBA!$I$11*HORAS_CAPTACAO_DIA-S222))</f>
        <v>462562.262415233</v>
      </c>
      <c r="U222" s="16" t="n">
        <f aca="false">MAX(0,S222-CADASTRO_CASAS_BOMBA!$I$11*HORAS_CAPTACAO_DIA-T221)</f>
        <v>0</v>
      </c>
      <c r="V222" s="16" t="n">
        <f aca="false">INDEX(AUX_MATRIZES!$C$14:$BP$14,MIN(N_SEMANAS,MAX(1,$C222)))/DIAS_POR_SEMANA</f>
        <v>16602.5501259467</v>
      </c>
      <c r="W222" s="16" t="n">
        <f aca="false">MIN(CADASTRO_CASAS_BOMBA!$O$12,MAX(0,W221+CADASTRO_CASAS_BOMBA!$I$12*HORAS_CAPTACAO_DIA-V222))</f>
        <v>440000</v>
      </c>
      <c r="X222" s="16" t="n">
        <f aca="false">MAX(0,V222-CADASTRO_CASAS_BOMBA!$I$12*HORAS_CAPTACAO_DIA-W221)</f>
        <v>0</v>
      </c>
      <c r="Y222" s="16" t="n">
        <f aca="false">INDEX(AUX_MATRIZES!$C$15:$BP$15,MIN(N_SEMANAS,MAX(1,$C222)))/DIAS_POR_SEMANA</f>
        <v>0</v>
      </c>
      <c r="Z222" s="16" t="n">
        <f aca="false">MIN(CADASTRO_CASAS_BOMBA!$O$13,MAX(0,Z221+CADASTRO_CASAS_BOMBA!$I$13*HORAS_CAPTACAO_DIA-Y222))</f>
        <v>74903</v>
      </c>
      <c r="AA222" s="16" t="n">
        <f aca="false">MAX(0,Y222-CADASTRO_CASAS_BOMBA!$I$13*HORAS_CAPTACAO_DIA-Z221)</f>
        <v>0</v>
      </c>
    </row>
    <row r="223" customFormat="false" ht="15" hidden="false" customHeight="false" outlineLevel="0" collapsed="false">
      <c r="B223" s="17" t="n">
        <f aca="false">DATA_INICIO_SAFRA+216</f>
        <v>46481</v>
      </c>
      <c r="C223" s="16" t="n">
        <f aca="false">MIN(N_SEMANAS,MAX(1,INT(($B223-DATA_INICIO_SAFRA)/DIAS_POR_SEMANA)+1))</f>
        <v>31</v>
      </c>
      <c r="D223" s="16" t="n">
        <f aca="false">INDEX(AUX_MATRIZES!$C$8:$BP$8,MIN(N_SEMANAS,MAX(1,$C223)))/DIAS_POR_SEMANA</f>
        <v>715.18215245388</v>
      </c>
      <c r="E223" s="16" t="n">
        <f aca="false">MIN(CADASTRO_CASAS_BOMBA!$O$6,MAX(0,E222+CADASTRO_CASAS_BOMBA!$I$6*HORAS_CAPTACAO_DIA-D223))</f>
        <v>2600</v>
      </c>
      <c r="F223" s="16" t="n">
        <f aca="false">MAX(0,D223-CADASTRO_CASAS_BOMBA!$I$6*HORAS_CAPTACAO_DIA-E222)</f>
        <v>0</v>
      </c>
      <c r="G223" s="16" t="n">
        <f aca="false">INDEX(AUX_MATRIZES!$C$9:$BP$9,MIN(N_SEMANAS,MAX(1,$C223)))/DIAS_POR_SEMANA</f>
        <v>3370.73201991908</v>
      </c>
      <c r="H223" s="16" t="n">
        <f aca="false">MIN(CADASTRO_CASAS_BOMBA!$O$7,MAX(0,H222+CADASTRO_CASAS_BOMBA!$I$7*HORAS_CAPTACAO_DIA-G223))</f>
        <v>76648</v>
      </c>
      <c r="I223" s="16" t="n">
        <f aca="false">MAX(0,G223-CADASTRO_CASAS_BOMBA!$I$7*HORAS_CAPTACAO_DIA-H222)</f>
        <v>0</v>
      </c>
      <c r="J223" s="16" t="n">
        <f aca="false">INDEX(AUX_MATRIZES!$C$10:$BP$10,MIN(N_SEMANAS,MAX(1,$C223)))/DIAS_POR_SEMANA</f>
        <v>1105.21954074884</v>
      </c>
      <c r="K223" s="16" t="n">
        <f aca="false">MIN(CADASTRO_CASAS_BOMBA!$O$8,MAX(0,K222+CADASTRO_CASAS_BOMBA!$I$8*HORAS_CAPTACAO_DIA-J223))</f>
        <v>27377</v>
      </c>
      <c r="L223" s="16" t="n">
        <f aca="false">MAX(0,J223-CADASTRO_CASAS_BOMBA!$I$8*HORAS_CAPTACAO_DIA-K222)</f>
        <v>0</v>
      </c>
      <c r="M223" s="16" t="n">
        <f aca="false">INDEX(AUX_MATRIZES!$C$11:$BP$11,MIN(N_SEMANAS,MAX(1,$C223)))/DIAS_POR_SEMANA</f>
        <v>10459.069920018</v>
      </c>
      <c r="N223" s="16" t="n">
        <f aca="false">MIN(CADASTRO_CASAS_BOMBA!$O$9,MAX(0,N222+CADASTRO_CASAS_BOMBA!$I$9*HORAS_CAPTACAO_DIA-M223))</f>
        <v>129000</v>
      </c>
      <c r="O223" s="16" t="n">
        <f aca="false">MAX(0,M223-CADASTRO_CASAS_BOMBA!$I$9*HORAS_CAPTACAO_DIA-N222)</f>
        <v>0</v>
      </c>
      <c r="P223" s="16" t="n">
        <f aca="false">INDEX(AUX_MATRIZES!$C$12:$BP$12,MIN(N_SEMANAS,MAX(1,$C223)))/DIAS_POR_SEMANA</f>
        <v>12907.5708235294</v>
      </c>
      <c r="Q223" s="16" t="n">
        <f aca="false">MIN(CADASTRO_CASAS_BOMBA!$O$10,MAX(0,Q222+CADASTRO_CASAS_BOMBA!$I$10*HORAS_CAPTACAO_DIA-P223))</f>
        <v>1000000</v>
      </c>
      <c r="R223" s="16" t="n">
        <f aca="false">MAX(0,P223-CADASTRO_CASAS_BOMBA!$I$10*HORAS_CAPTACAO_DIA-Q222)</f>
        <v>0</v>
      </c>
      <c r="S223" s="16" t="n">
        <f aca="false">INDEX(AUX_MATRIZES!$C$13:$BP$13,MIN(N_SEMANAS,MAX(1,$C223)))/DIAS_POR_SEMANA</f>
        <v>22629.7895974612</v>
      </c>
      <c r="T223" s="16" t="n">
        <f aca="false">MIN(CADASTRO_CASAS_BOMBA!$O$11,MAX(0,T222+CADASTRO_CASAS_BOMBA!$I$11*HORAS_CAPTACAO_DIA-S223))</f>
        <v>461352.472817772</v>
      </c>
      <c r="U223" s="16" t="n">
        <f aca="false">MAX(0,S223-CADASTRO_CASAS_BOMBA!$I$11*HORAS_CAPTACAO_DIA-T222)</f>
        <v>0</v>
      </c>
      <c r="V223" s="16" t="n">
        <f aca="false">INDEX(AUX_MATRIZES!$C$14:$BP$14,MIN(N_SEMANAS,MAX(1,$C223)))/DIAS_POR_SEMANA</f>
        <v>16602.5501259467</v>
      </c>
      <c r="W223" s="16" t="n">
        <f aca="false">MIN(CADASTRO_CASAS_BOMBA!$O$12,MAX(0,W222+CADASTRO_CASAS_BOMBA!$I$12*HORAS_CAPTACAO_DIA-V223))</f>
        <v>440000</v>
      </c>
      <c r="X223" s="16" t="n">
        <f aca="false">MAX(0,V223-CADASTRO_CASAS_BOMBA!$I$12*HORAS_CAPTACAO_DIA-W222)</f>
        <v>0</v>
      </c>
      <c r="Y223" s="16" t="n">
        <f aca="false">INDEX(AUX_MATRIZES!$C$15:$BP$15,MIN(N_SEMANAS,MAX(1,$C223)))/DIAS_POR_SEMANA</f>
        <v>0</v>
      </c>
      <c r="Z223" s="16" t="n">
        <f aca="false">MIN(CADASTRO_CASAS_BOMBA!$O$13,MAX(0,Z222+CADASTRO_CASAS_BOMBA!$I$13*HORAS_CAPTACAO_DIA-Y223))</f>
        <v>74903</v>
      </c>
      <c r="AA223" s="16" t="n">
        <f aca="false">MAX(0,Y223-CADASTRO_CASAS_BOMBA!$I$13*HORAS_CAPTACAO_DIA-Z222)</f>
        <v>0</v>
      </c>
    </row>
    <row r="224" customFormat="false" ht="15" hidden="false" customHeight="false" outlineLevel="0" collapsed="false">
      <c r="B224" s="17" t="n">
        <f aca="false">DATA_INICIO_SAFRA+217</f>
        <v>46482</v>
      </c>
      <c r="C224" s="16" t="n">
        <f aca="false">MIN(N_SEMANAS,MAX(1,INT(($B224-DATA_INICIO_SAFRA)/DIAS_POR_SEMANA)+1))</f>
        <v>32</v>
      </c>
      <c r="D224" s="16" t="n">
        <f aca="false">INDEX(AUX_MATRIZES!$C$8:$BP$8,MIN(N_SEMANAS,MAX(1,$C224)))/DIAS_POR_SEMANA</f>
        <v>2437.45153428472</v>
      </c>
      <c r="E224" s="16" t="n">
        <f aca="false">MIN(CADASTRO_CASAS_BOMBA!$O$6,MAX(0,E223+CADASTRO_CASAS_BOMBA!$I$6*HORAS_CAPTACAO_DIA-D224))</f>
        <v>2600</v>
      </c>
      <c r="F224" s="16" t="n">
        <f aca="false">MAX(0,D224-CADASTRO_CASAS_BOMBA!$I$6*HORAS_CAPTACAO_DIA-E223)</f>
        <v>0</v>
      </c>
      <c r="G224" s="16" t="n">
        <f aca="false">INDEX(AUX_MATRIZES!$C$9:$BP$9,MIN(N_SEMANAS,MAX(1,$C224)))/DIAS_POR_SEMANA</f>
        <v>6308.15339869281</v>
      </c>
      <c r="H224" s="16" t="n">
        <f aca="false">MIN(CADASTRO_CASAS_BOMBA!$O$7,MAX(0,H223+CADASTRO_CASAS_BOMBA!$I$7*HORAS_CAPTACAO_DIA-G224))</f>
        <v>76648</v>
      </c>
      <c r="I224" s="16" t="n">
        <f aca="false">MAX(0,G224-CADASTRO_CASAS_BOMBA!$I$7*HORAS_CAPTACAO_DIA-H223)</f>
        <v>0</v>
      </c>
      <c r="J224" s="16" t="n">
        <f aca="false">INDEX(AUX_MATRIZES!$C$10:$BP$10,MIN(N_SEMANAS,MAX(1,$C224)))/DIAS_POR_SEMANA</f>
        <v>4573.22708109989</v>
      </c>
      <c r="K224" s="16" t="n">
        <f aca="false">MIN(CADASTRO_CASAS_BOMBA!$O$8,MAX(0,K223+CADASTRO_CASAS_BOMBA!$I$8*HORAS_CAPTACAO_DIA-J224))</f>
        <v>27377</v>
      </c>
      <c r="L224" s="16" t="n">
        <f aca="false">MAX(0,J224-CADASTRO_CASAS_BOMBA!$I$8*HORAS_CAPTACAO_DIA-K223)</f>
        <v>0</v>
      </c>
      <c r="M224" s="16" t="n">
        <f aca="false">INDEX(AUX_MATRIZES!$C$11:$BP$11,MIN(N_SEMANAS,MAX(1,$C224)))/DIAS_POR_SEMANA</f>
        <v>17948.6245844452</v>
      </c>
      <c r="N224" s="16" t="n">
        <f aca="false">MIN(CADASTRO_CASAS_BOMBA!$O$9,MAX(0,N223+CADASTRO_CASAS_BOMBA!$I$9*HORAS_CAPTACAO_DIA-M224))</f>
        <v>129000</v>
      </c>
      <c r="O224" s="16" t="n">
        <f aca="false">MAX(0,M224-CADASTRO_CASAS_BOMBA!$I$9*HORAS_CAPTACAO_DIA-N223)</f>
        <v>0</v>
      </c>
      <c r="P224" s="16" t="n">
        <f aca="false">INDEX(AUX_MATRIZES!$C$12:$BP$12,MIN(N_SEMANAS,MAX(1,$C224)))/DIAS_POR_SEMANA</f>
        <v>18301.6498823529</v>
      </c>
      <c r="Q224" s="16" t="n">
        <f aca="false">MIN(CADASTRO_CASAS_BOMBA!$O$10,MAX(0,Q223+CADASTRO_CASAS_BOMBA!$I$10*HORAS_CAPTACAO_DIA-P224))</f>
        <v>994780.750117647</v>
      </c>
      <c r="R224" s="16" t="n">
        <f aca="false">MAX(0,P224-CADASTRO_CASAS_BOMBA!$I$10*HORAS_CAPTACAO_DIA-Q223)</f>
        <v>0</v>
      </c>
      <c r="S224" s="16" t="n">
        <f aca="false">INDEX(AUX_MATRIZES!$C$13:$BP$13,MIN(N_SEMANAS,MAX(1,$C224)))/DIAS_POR_SEMANA</f>
        <v>34242.9072203548</v>
      </c>
      <c r="T224" s="16" t="n">
        <f aca="false">MIN(CADASTRO_CASAS_BOMBA!$O$11,MAX(0,T223+CADASTRO_CASAS_BOMBA!$I$11*HORAS_CAPTACAO_DIA-S224))</f>
        <v>448529.565597417</v>
      </c>
      <c r="U224" s="16" t="n">
        <f aca="false">MAX(0,S224-CADASTRO_CASAS_BOMBA!$I$11*HORAS_CAPTACAO_DIA-T223)</f>
        <v>0</v>
      </c>
      <c r="V224" s="16" t="n">
        <f aca="false">INDEX(AUX_MATRIZES!$C$14:$BP$14,MIN(N_SEMANAS,MAX(1,$C224)))/DIAS_POR_SEMANA</f>
        <v>33787.365869281</v>
      </c>
      <c r="W224" s="16" t="n">
        <f aca="false">MIN(CADASTRO_CASAS_BOMBA!$O$12,MAX(0,W223+CADASTRO_CASAS_BOMBA!$I$12*HORAS_CAPTACAO_DIA-V224))</f>
        <v>431592.634130719</v>
      </c>
      <c r="X224" s="16" t="n">
        <f aca="false">MAX(0,V224-CADASTRO_CASAS_BOMBA!$I$12*HORAS_CAPTACAO_DIA-W223)</f>
        <v>0</v>
      </c>
      <c r="Y224" s="16" t="n">
        <f aca="false">INDEX(AUX_MATRIZES!$C$15:$BP$15,MIN(N_SEMANAS,MAX(1,$C224)))/DIAS_POR_SEMANA</f>
        <v>0</v>
      </c>
      <c r="Z224" s="16" t="n">
        <f aca="false">MIN(CADASTRO_CASAS_BOMBA!$O$13,MAX(0,Z223+CADASTRO_CASAS_BOMBA!$I$13*HORAS_CAPTACAO_DIA-Y224))</f>
        <v>74903</v>
      </c>
      <c r="AA224" s="16" t="n">
        <f aca="false">MAX(0,Y224-CADASTRO_CASAS_BOMBA!$I$13*HORAS_CAPTACAO_DIA-Z223)</f>
        <v>0</v>
      </c>
    </row>
    <row r="225" customFormat="false" ht="15" hidden="false" customHeight="false" outlineLevel="0" collapsed="false">
      <c r="B225" s="17" t="n">
        <f aca="false">DATA_INICIO_SAFRA+218</f>
        <v>46483</v>
      </c>
      <c r="C225" s="16" t="n">
        <f aca="false">MIN(N_SEMANAS,MAX(1,INT(($B225-DATA_INICIO_SAFRA)/DIAS_POR_SEMANA)+1))</f>
        <v>32</v>
      </c>
      <c r="D225" s="16" t="n">
        <f aca="false">INDEX(AUX_MATRIZES!$C$8:$BP$8,MIN(N_SEMANAS,MAX(1,$C225)))/DIAS_POR_SEMANA</f>
        <v>2437.45153428472</v>
      </c>
      <c r="E225" s="16" t="n">
        <f aca="false">MIN(CADASTRO_CASAS_BOMBA!$O$6,MAX(0,E224+CADASTRO_CASAS_BOMBA!$I$6*HORAS_CAPTACAO_DIA-D225))</f>
        <v>2600</v>
      </c>
      <c r="F225" s="16" t="n">
        <f aca="false">MAX(0,D225-CADASTRO_CASAS_BOMBA!$I$6*HORAS_CAPTACAO_DIA-E224)</f>
        <v>0</v>
      </c>
      <c r="G225" s="16" t="n">
        <f aca="false">INDEX(AUX_MATRIZES!$C$9:$BP$9,MIN(N_SEMANAS,MAX(1,$C225)))/DIAS_POR_SEMANA</f>
        <v>6308.15339869281</v>
      </c>
      <c r="H225" s="16" t="n">
        <f aca="false">MIN(CADASTRO_CASAS_BOMBA!$O$7,MAX(0,H224+CADASTRO_CASAS_BOMBA!$I$7*HORAS_CAPTACAO_DIA-G225))</f>
        <v>76648</v>
      </c>
      <c r="I225" s="16" t="n">
        <f aca="false">MAX(0,G225-CADASTRO_CASAS_BOMBA!$I$7*HORAS_CAPTACAO_DIA-H224)</f>
        <v>0</v>
      </c>
      <c r="J225" s="16" t="n">
        <f aca="false">INDEX(AUX_MATRIZES!$C$10:$BP$10,MIN(N_SEMANAS,MAX(1,$C225)))/DIAS_POR_SEMANA</f>
        <v>4573.22708109989</v>
      </c>
      <c r="K225" s="16" t="n">
        <f aca="false">MIN(CADASTRO_CASAS_BOMBA!$O$8,MAX(0,K224+CADASTRO_CASAS_BOMBA!$I$8*HORAS_CAPTACAO_DIA-J225))</f>
        <v>27377</v>
      </c>
      <c r="L225" s="16" t="n">
        <f aca="false">MAX(0,J225-CADASTRO_CASAS_BOMBA!$I$8*HORAS_CAPTACAO_DIA-K224)</f>
        <v>0</v>
      </c>
      <c r="M225" s="16" t="n">
        <f aca="false">INDEX(AUX_MATRIZES!$C$11:$BP$11,MIN(N_SEMANAS,MAX(1,$C225)))/DIAS_POR_SEMANA</f>
        <v>17948.6245844452</v>
      </c>
      <c r="N225" s="16" t="n">
        <f aca="false">MIN(CADASTRO_CASAS_BOMBA!$O$9,MAX(0,N224+CADASTRO_CASAS_BOMBA!$I$9*HORAS_CAPTACAO_DIA-M225))</f>
        <v>129000</v>
      </c>
      <c r="O225" s="16" t="n">
        <f aca="false">MAX(0,M225-CADASTRO_CASAS_BOMBA!$I$9*HORAS_CAPTACAO_DIA-N224)</f>
        <v>0</v>
      </c>
      <c r="P225" s="16" t="n">
        <f aca="false">INDEX(AUX_MATRIZES!$C$12:$BP$12,MIN(N_SEMANAS,MAX(1,$C225)))/DIAS_POR_SEMANA</f>
        <v>18301.6498823529</v>
      </c>
      <c r="Q225" s="16" t="n">
        <f aca="false">MIN(CADASTRO_CASAS_BOMBA!$O$10,MAX(0,Q224+CADASTRO_CASAS_BOMBA!$I$10*HORAS_CAPTACAO_DIA-P225))</f>
        <v>989561.500235294</v>
      </c>
      <c r="R225" s="16" t="n">
        <f aca="false">MAX(0,P225-CADASTRO_CASAS_BOMBA!$I$10*HORAS_CAPTACAO_DIA-Q224)</f>
        <v>0</v>
      </c>
      <c r="S225" s="16" t="n">
        <f aca="false">INDEX(AUX_MATRIZES!$C$13:$BP$13,MIN(N_SEMANAS,MAX(1,$C225)))/DIAS_POR_SEMANA</f>
        <v>34242.9072203548</v>
      </c>
      <c r="T225" s="16" t="n">
        <f aca="false">MIN(CADASTRO_CASAS_BOMBA!$O$11,MAX(0,T224+CADASTRO_CASAS_BOMBA!$I$11*HORAS_CAPTACAO_DIA-S225))</f>
        <v>435706.658377062</v>
      </c>
      <c r="U225" s="16" t="n">
        <f aca="false">MAX(0,S225-CADASTRO_CASAS_BOMBA!$I$11*HORAS_CAPTACAO_DIA-T224)</f>
        <v>0</v>
      </c>
      <c r="V225" s="16" t="n">
        <f aca="false">INDEX(AUX_MATRIZES!$C$14:$BP$14,MIN(N_SEMANAS,MAX(1,$C225)))/DIAS_POR_SEMANA</f>
        <v>33787.365869281</v>
      </c>
      <c r="W225" s="16" t="n">
        <f aca="false">MIN(CADASTRO_CASAS_BOMBA!$O$12,MAX(0,W224+CADASTRO_CASAS_BOMBA!$I$12*HORAS_CAPTACAO_DIA-V225))</f>
        <v>423185.268261438</v>
      </c>
      <c r="X225" s="16" t="n">
        <f aca="false">MAX(0,V225-CADASTRO_CASAS_BOMBA!$I$12*HORAS_CAPTACAO_DIA-W224)</f>
        <v>0</v>
      </c>
      <c r="Y225" s="16" t="n">
        <f aca="false">INDEX(AUX_MATRIZES!$C$15:$BP$15,MIN(N_SEMANAS,MAX(1,$C225)))/DIAS_POR_SEMANA</f>
        <v>0</v>
      </c>
      <c r="Z225" s="16" t="n">
        <f aca="false">MIN(CADASTRO_CASAS_BOMBA!$O$13,MAX(0,Z224+CADASTRO_CASAS_BOMBA!$I$13*HORAS_CAPTACAO_DIA-Y225))</f>
        <v>74903</v>
      </c>
      <c r="AA225" s="16" t="n">
        <f aca="false">MAX(0,Y225-CADASTRO_CASAS_BOMBA!$I$13*HORAS_CAPTACAO_DIA-Z224)</f>
        <v>0</v>
      </c>
    </row>
    <row r="226" customFormat="false" ht="15" hidden="false" customHeight="false" outlineLevel="0" collapsed="false">
      <c r="B226" s="17" t="n">
        <f aca="false">DATA_INICIO_SAFRA+219</f>
        <v>46484</v>
      </c>
      <c r="C226" s="16" t="n">
        <f aca="false">MIN(N_SEMANAS,MAX(1,INT(($B226-DATA_INICIO_SAFRA)/DIAS_POR_SEMANA)+1))</f>
        <v>32</v>
      </c>
      <c r="D226" s="16" t="n">
        <f aca="false">INDEX(AUX_MATRIZES!$C$8:$BP$8,MIN(N_SEMANAS,MAX(1,$C226)))/DIAS_POR_SEMANA</f>
        <v>2437.45153428472</v>
      </c>
      <c r="E226" s="16" t="n">
        <f aca="false">MIN(CADASTRO_CASAS_BOMBA!$O$6,MAX(0,E225+CADASTRO_CASAS_BOMBA!$I$6*HORAS_CAPTACAO_DIA-D226))</f>
        <v>2600</v>
      </c>
      <c r="F226" s="16" t="n">
        <f aca="false">MAX(0,D226-CADASTRO_CASAS_BOMBA!$I$6*HORAS_CAPTACAO_DIA-E225)</f>
        <v>0</v>
      </c>
      <c r="G226" s="16" t="n">
        <f aca="false">INDEX(AUX_MATRIZES!$C$9:$BP$9,MIN(N_SEMANAS,MAX(1,$C226)))/DIAS_POR_SEMANA</f>
        <v>6308.15339869281</v>
      </c>
      <c r="H226" s="16" t="n">
        <f aca="false">MIN(CADASTRO_CASAS_BOMBA!$O$7,MAX(0,H225+CADASTRO_CASAS_BOMBA!$I$7*HORAS_CAPTACAO_DIA-G226))</f>
        <v>76648</v>
      </c>
      <c r="I226" s="16" t="n">
        <f aca="false">MAX(0,G226-CADASTRO_CASAS_BOMBA!$I$7*HORAS_CAPTACAO_DIA-H225)</f>
        <v>0</v>
      </c>
      <c r="J226" s="16" t="n">
        <f aca="false">INDEX(AUX_MATRIZES!$C$10:$BP$10,MIN(N_SEMANAS,MAX(1,$C226)))/DIAS_POR_SEMANA</f>
        <v>4573.22708109989</v>
      </c>
      <c r="K226" s="16" t="n">
        <f aca="false">MIN(CADASTRO_CASAS_BOMBA!$O$8,MAX(0,K225+CADASTRO_CASAS_BOMBA!$I$8*HORAS_CAPTACAO_DIA-J226))</f>
        <v>27377</v>
      </c>
      <c r="L226" s="16" t="n">
        <f aca="false">MAX(0,J226-CADASTRO_CASAS_BOMBA!$I$8*HORAS_CAPTACAO_DIA-K225)</f>
        <v>0</v>
      </c>
      <c r="M226" s="16" t="n">
        <f aca="false">INDEX(AUX_MATRIZES!$C$11:$BP$11,MIN(N_SEMANAS,MAX(1,$C226)))/DIAS_POR_SEMANA</f>
        <v>17948.6245844452</v>
      </c>
      <c r="N226" s="16" t="n">
        <f aca="false">MIN(CADASTRO_CASAS_BOMBA!$O$9,MAX(0,N225+CADASTRO_CASAS_BOMBA!$I$9*HORAS_CAPTACAO_DIA-M226))</f>
        <v>129000</v>
      </c>
      <c r="O226" s="16" t="n">
        <f aca="false">MAX(0,M226-CADASTRO_CASAS_BOMBA!$I$9*HORAS_CAPTACAO_DIA-N225)</f>
        <v>0</v>
      </c>
      <c r="P226" s="16" t="n">
        <f aca="false">INDEX(AUX_MATRIZES!$C$12:$BP$12,MIN(N_SEMANAS,MAX(1,$C226)))/DIAS_POR_SEMANA</f>
        <v>18301.6498823529</v>
      </c>
      <c r="Q226" s="16" t="n">
        <f aca="false">MIN(CADASTRO_CASAS_BOMBA!$O$10,MAX(0,Q225+CADASTRO_CASAS_BOMBA!$I$10*HORAS_CAPTACAO_DIA-P226))</f>
        <v>984342.250352941</v>
      </c>
      <c r="R226" s="16" t="n">
        <f aca="false">MAX(0,P226-CADASTRO_CASAS_BOMBA!$I$10*HORAS_CAPTACAO_DIA-Q225)</f>
        <v>0</v>
      </c>
      <c r="S226" s="16" t="n">
        <f aca="false">INDEX(AUX_MATRIZES!$C$13:$BP$13,MIN(N_SEMANAS,MAX(1,$C226)))/DIAS_POR_SEMANA</f>
        <v>34242.9072203548</v>
      </c>
      <c r="T226" s="16" t="n">
        <f aca="false">MIN(CADASTRO_CASAS_BOMBA!$O$11,MAX(0,T225+CADASTRO_CASAS_BOMBA!$I$11*HORAS_CAPTACAO_DIA-S226))</f>
        <v>422883.751156707</v>
      </c>
      <c r="U226" s="16" t="n">
        <f aca="false">MAX(0,S226-CADASTRO_CASAS_BOMBA!$I$11*HORAS_CAPTACAO_DIA-T225)</f>
        <v>0</v>
      </c>
      <c r="V226" s="16" t="n">
        <f aca="false">INDEX(AUX_MATRIZES!$C$14:$BP$14,MIN(N_SEMANAS,MAX(1,$C226)))/DIAS_POR_SEMANA</f>
        <v>33787.365869281</v>
      </c>
      <c r="W226" s="16" t="n">
        <f aca="false">MIN(CADASTRO_CASAS_BOMBA!$O$12,MAX(0,W225+CADASTRO_CASAS_BOMBA!$I$12*HORAS_CAPTACAO_DIA-V226))</f>
        <v>414777.902392157</v>
      </c>
      <c r="X226" s="16" t="n">
        <f aca="false">MAX(0,V226-CADASTRO_CASAS_BOMBA!$I$12*HORAS_CAPTACAO_DIA-W225)</f>
        <v>0</v>
      </c>
      <c r="Y226" s="16" t="n">
        <f aca="false">INDEX(AUX_MATRIZES!$C$15:$BP$15,MIN(N_SEMANAS,MAX(1,$C226)))/DIAS_POR_SEMANA</f>
        <v>0</v>
      </c>
      <c r="Z226" s="16" t="n">
        <f aca="false">MIN(CADASTRO_CASAS_BOMBA!$O$13,MAX(0,Z225+CADASTRO_CASAS_BOMBA!$I$13*HORAS_CAPTACAO_DIA-Y226))</f>
        <v>74903</v>
      </c>
      <c r="AA226" s="16" t="n">
        <f aca="false">MAX(0,Y226-CADASTRO_CASAS_BOMBA!$I$13*HORAS_CAPTACAO_DIA-Z225)</f>
        <v>0</v>
      </c>
    </row>
    <row r="227" customFormat="false" ht="15" hidden="false" customHeight="false" outlineLevel="0" collapsed="false">
      <c r="B227" s="17" t="n">
        <f aca="false">DATA_INICIO_SAFRA+220</f>
        <v>46485</v>
      </c>
      <c r="C227" s="16" t="n">
        <f aca="false">MIN(N_SEMANAS,MAX(1,INT(($B227-DATA_INICIO_SAFRA)/DIAS_POR_SEMANA)+1))</f>
        <v>32</v>
      </c>
      <c r="D227" s="16" t="n">
        <f aca="false">INDEX(AUX_MATRIZES!$C$8:$BP$8,MIN(N_SEMANAS,MAX(1,$C227)))/DIAS_POR_SEMANA</f>
        <v>2437.45153428472</v>
      </c>
      <c r="E227" s="16" t="n">
        <f aca="false">MIN(CADASTRO_CASAS_BOMBA!$O$6,MAX(0,E226+CADASTRO_CASAS_BOMBA!$I$6*HORAS_CAPTACAO_DIA-D227))</f>
        <v>2600</v>
      </c>
      <c r="F227" s="16" t="n">
        <f aca="false">MAX(0,D227-CADASTRO_CASAS_BOMBA!$I$6*HORAS_CAPTACAO_DIA-E226)</f>
        <v>0</v>
      </c>
      <c r="G227" s="16" t="n">
        <f aca="false">INDEX(AUX_MATRIZES!$C$9:$BP$9,MIN(N_SEMANAS,MAX(1,$C227)))/DIAS_POR_SEMANA</f>
        <v>6308.15339869281</v>
      </c>
      <c r="H227" s="16" t="n">
        <f aca="false">MIN(CADASTRO_CASAS_BOMBA!$O$7,MAX(0,H226+CADASTRO_CASAS_BOMBA!$I$7*HORAS_CAPTACAO_DIA-G227))</f>
        <v>76648</v>
      </c>
      <c r="I227" s="16" t="n">
        <f aca="false">MAX(0,G227-CADASTRO_CASAS_BOMBA!$I$7*HORAS_CAPTACAO_DIA-H226)</f>
        <v>0</v>
      </c>
      <c r="J227" s="16" t="n">
        <f aca="false">INDEX(AUX_MATRIZES!$C$10:$BP$10,MIN(N_SEMANAS,MAX(1,$C227)))/DIAS_POR_SEMANA</f>
        <v>4573.22708109989</v>
      </c>
      <c r="K227" s="16" t="n">
        <f aca="false">MIN(CADASTRO_CASAS_BOMBA!$O$8,MAX(0,K226+CADASTRO_CASAS_BOMBA!$I$8*HORAS_CAPTACAO_DIA-J227))</f>
        <v>27377</v>
      </c>
      <c r="L227" s="16" t="n">
        <f aca="false">MAX(0,J227-CADASTRO_CASAS_BOMBA!$I$8*HORAS_CAPTACAO_DIA-K226)</f>
        <v>0</v>
      </c>
      <c r="M227" s="16" t="n">
        <f aca="false">INDEX(AUX_MATRIZES!$C$11:$BP$11,MIN(N_SEMANAS,MAX(1,$C227)))/DIAS_POR_SEMANA</f>
        <v>17948.6245844452</v>
      </c>
      <c r="N227" s="16" t="n">
        <f aca="false">MIN(CADASTRO_CASAS_BOMBA!$O$9,MAX(0,N226+CADASTRO_CASAS_BOMBA!$I$9*HORAS_CAPTACAO_DIA-M227))</f>
        <v>129000</v>
      </c>
      <c r="O227" s="16" t="n">
        <f aca="false">MAX(0,M227-CADASTRO_CASAS_BOMBA!$I$9*HORAS_CAPTACAO_DIA-N226)</f>
        <v>0</v>
      </c>
      <c r="P227" s="16" t="n">
        <f aca="false">INDEX(AUX_MATRIZES!$C$12:$BP$12,MIN(N_SEMANAS,MAX(1,$C227)))/DIAS_POR_SEMANA</f>
        <v>18301.6498823529</v>
      </c>
      <c r="Q227" s="16" t="n">
        <f aca="false">MIN(CADASTRO_CASAS_BOMBA!$O$10,MAX(0,Q226+CADASTRO_CASAS_BOMBA!$I$10*HORAS_CAPTACAO_DIA-P227))</f>
        <v>979123.000470588</v>
      </c>
      <c r="R227" s="16" t="n">
        <f aca="false">MAX(0,P227-CADASTRO_CASAS_BOMBA!$I$10*HORAS_CAPTACAO_DIA-Q226)</f>
        <v>0</v>
      </c>
      <c r="S227" s="16" t="n">
        <f aca="false">INDEX(AUX_MATRIZES!$C$13:$BP$13,MIN(N_SEMANAS,MAX(1,$C227)))/DIAS_POR_SEMANA</f>
        <v>34242.9072203548</v>
      </c>
      <c r="T227" s="16" t="n">
        <f aca="false">MIN(CADASTRO_CASAS_BOMBA!$O$11,MAX(0,T226+CADASTRO_CASAS_BOMBA!$I$11*HORAS_CAPTACAO_DIA-S227))</f>
        <v>410060.843936352</v>
      </c>
      <c r="U227" s="16" t="n">
        <f aca="false">MAX(0,S227-CADASTRO_CASAS_BOMBA!$I$11*HORAS_CAPTACAO_DIA-T226)</f>
        <v>0</v>
      </c>
      <c r="V227" s="16" t="n">
        <f aca="false">INDEX(AUX_MATRIZES!$C$14:$BP$14,MIN(N_SEMANAS,MAX(1,$C227)))/DIAS_POR_SEMANA</f>
        <v>33787.365869281</v>
      </c>
      <c r="W227" s="16" t="n">
        <f aca="false">MIN(CADASTRO_CASAS_BOMBA!$O$12,MAX(0,W226+CADASTRO_CASAS_BOMBA!$I$12*HORAS_CAPTACAO_DIA-V227))</f>
        <v>406370.536522876</v>
      </c>
      <c r="X227" s="16" t="n">
        <f aca="false">MAX(0,V227-CADASTRO_CASAS_BOMBA!$I$12*HORAS_CAPTACAO_DIA-W226)</f>
        <v>0</v>
      </c>
      <c r="Y227" s="16" t="n">
        <f aca="false">INDEX(AUX_MATRIZES!$C$15:$BP$15,MIN(N_SEMANAS,MAX(1,$C227)))/DIAS_POR_SEMANA</f>
        <v>0</v>
      </c>
      <c r="Z227" s="16" t="n">
        <f aca="false">MIN(CADASTRO_CASAS_BOMBA!$O$13,MAX(0,Z226+CADASTRO_CASAS_BOMBA!$I$13*HORAS_CAPTACAO_DIA-Y227))</f>
        <v>74903</v>
      </c>
      <c r="AA227" s="16" t="n">
        <f aca="false">MAX(0,Y227-CADASTRO_CASAS_BOMBA!$I$13*HORAS_CAPTACAO_DIA-Z226)</f>
        <v>0</v>
      </c>
    </row>
    <row r="228" customFormat="false" ht="15" hidden="false" customHeight="false" outlineLevel="0" collapsed="false">
      <c r="B228" s="17" t="n">
        <f aca="false">DATA_INICIO_SAFRA+221</f>
        <v>46486</v>
      </c>
      <c r="C228" s="16" t="n">
        <f aca="false">MIN(N_SEMANAS,MAX(1,INT(($B228-DATA_INICIO_SAFRA)/DIAS_POR_SEMANA)+1))</f>
        <v>32</v>
      </c>
      <c r="D228" s="16" t="n">
        <f aca="false">INDEX(AUX_MATRIZES!$C$8:$BP$8,MIN(N_SEMANAS,MAX(1,$C228)))/DIAS_POR_SEMANA</f>
        <v>2437.45153428472</v>
      </c>
      <c r="E228" s="16" t="n">
        <f aca="false">MIN(CADASTRO_CASAS_BOMBA!$O$6,MAX(0,E227+CADASTRO_CASAS_BOMBA!$I$6*HORAS_CAPTACAO_DIA-D228))</f>
        <v>2600</v>
      </c>
      <c r="F228" s="16" t="n">
        <f aca="false">MAX(0,D228-CADASTRO_CASAS_BOMBA!$I$6*HORAS_CAPTACAO_DIA-E227)</f>
        <v>0</v>
      </c>
      <c r="G228" s="16" t="n">
        <f aca="false">INDEX(AUX_MATRIZES!$C$9:$BP$9,MIN(N_SEMANAS,MAX(1,$C228)))/DIAS_POR_SEMANA</f>
        <v>6308.15339869281</v>
      </c>
      <c r="H228" s="16" t="n">
        <f aca="false">MIN(CADASTRO_CASAS_BOMBA!$O$7,MAX(0,H227+CADASTRO_CASAS_BOMBA!$I$7*HORAS_CAPTACAO_DIA-G228))</f>
        <v>76648</v>
      </c>
      <c r="I228" s="16" t="n">
        <f aca="false">MAX(0,G228-CADASTRO_CASAS_BOMBA!$I$7*HORAS_CAPTACAO_DIA-H227)</f>
        <v>0</v>
      </c>
      <c r="J228" s="16" t="n">
        <f aca="false">INDEX(AUX_MATRIZES!$C$10:$BP$10,MIN(N_SEMANAS,MAX(1,$C228)))/DIAS_POR_SEMANA</f>
        <v>4573.22708109989</v>
      </c>
      <c r="K228" s="16" t="n">
        <f aca="false">MIN(CADASTRO_CASAS_BOMBA!$O$8,MAX(0,K227+CADASTRO_CASAS_BOMBA!$I$8*HORAS_CAPTACAO_DIA-J228))</f>
        <v>27377</v>
      </c>
      <c r="L228" s="16" t="n">
        <f aca="false">MAX(0,J228-CADASTRO_CASAS_BOMBA!$I$8*HORAS_CAPTACAO_DIA-K227)</f>
        <v>0</v>
      </c>
      <c r="M228" s="16" t="n">
        <f aca="false">INDEX(AUX_MATRIZES!$C$11:$BP$11,MIN(N_SEMANAS,MAX(1,$C228)))/DIAS_POR_SEMANA</f>
        <v>17948.6245844452</v>
      </c>
      <c r="N228" s="16" t="n">
        <f aca="false">MIN(CADASTRO_CASAS_BOMBA!$O$9,MAX(0,N227+CADASTRO_CASAS_BOMBA!$I$9*HORAS_CAPTACAO_DIA-M228))</f>
        <v>129000</v>
      </c>
      <c r="O228" s="16" t="n">
        <f aca="false">MAX(0,M228-CADASTRO_CASAS_BOMBA!$I$9*HORAS_CAPTACAO_DIA-N227)</f>
        <v>0</v>
      </c>
      <c r="P228" s="16" t="n">
        <f aca="false">INDEX(AUX_MATRIZES!$C$12:$BP$12,MIN(N_SEMANAS,MAX(1,$C228)))/DIAS_POR_SEMANA</f>
        <v>18301.6498823529</v>
      </c>
      <c r="Q228" s="16" t="n">
        <f aca="false">MIN(CADASTRO_CASAS_BOMBA!$O$10,MAX(0,Q227+CADASTRO_CASAS_BOMBA!$I$10*HORAS_CAPTACAO_DIA-P228))</f>
        <v>973903.750588236</v>
      </c>
      <c r="R228" s="16" t="n">
        <f aca="false">MAX(0,P228-CADASTRO_CASAS_BOMBA!$I$10*HORAS_CAPTACAO_DIA-Q227)</f>
        <v>0</v>
      </c>
      <c r="S228" s="16" t="n">
        <f aca="false">INDEX(AUX_MATRIZES!$C$13:$BP$13,MIN(N_SEMANAS,MAX(1,$C228)))/DIAS_POR_SEMANA</f>
        <v>34242.9072203548</v>
      </c>
      <c r="T228" s="16" t="n">
        <f aca="false">MIN(CADASTRO_CASAS_BOMBA!$O$11,MAX(0,T227+CADASTRO_CASAS_BOMBA!$I$11*HORAS_CAPTACAO_DIA-S228))</f>
        <v>397237.936715998</v>
      </c>
      <c r="U228" s="16" t="n">
        <f aca="false">MAX(0,S228-CADASTRO_CASAS_BOMBA!$I$11*HORAS_CAPTACAO_DIA-T227)</f>
        <v>0</v>
      </c>
      <c r="V228" s="16" t="n">
        <f aca="false">INDEX(AUX_MATRIZES!$C$14:$BP$14,MIN(N_SEMANAS,MAX(1,$C228)))/DIAS_POR_SEMANA</f>
        <v>33787.365869281</v>
      </c>
      <c r="W228" s="16" t="n">
        <f aca="false">MIN(CADASTRO_CASAS_BOMBA!$O$12,MAX(0,W227+CADASTRO_CASAS_BOMBA!$I$12*HORAS_CAPTACAO_DIA-V228))</f>
        <v>397963.170653595</v>
      </c>
      <c r="X228" s="16" t="n">
        <f aca="false">MAX(0,V228-CADASTRO_CASAS_BOMBA!$I$12*HORAS_CAPTACAO_DIA-W227)</f>
        <v>0</v>
      </c>
      <c r="Y228" s="16" t="n">
        <f aca="false">INDEX(AUX_MATRIZES!$C$15:$BP$15,MIN(N_SEMANAS,MAX(1,$C228)))/DIAS_POR_SEMANA</f>
        <v>0</v>
      </c>
      <c r="Z228" s="16" t="n">
        <f aca="false">MIN(CADASTRO_CASAS_BOMBA!$O$13,MAX(0,Z227+CADASTRO_CASAS_BOMBA!$I$13*HORAS_CAPTACAO_DIA-Y228))</f>
        <v>74903</v>
      </c>
      <c r="AA228" s="16" t="n">
        <f aca="false">MAX(0,Y228-CADASTRO_CASAS_BOMBA!$I$13*HORAS_CAPTACAO_DIA-Z227)</f>
        <v>0</v>
      </c>
    </row>
    <row r="229" customFormat="false" ht="15" hidden="false" customHeight="false" outlineLevel="0" collapsed="false">
      <c r="B229" s="17" t="n">
        <f aca="false">DATA_INICIO_SAFRA+222</f>
        <v>46487</v>
      </c>
      <c r="C229" s="16" t="n">
        <f aca="false">MIN(N_SEMANAS,MAX(1,INT(($B229-DATA_INICIO_SAFRA)/DIAS_POR_SEMANA)+1))</f>
        <v>32</v>
      </c>
      <c r="D229" s="16" t="n">
        <f aca="false">INDEX(AUX_MATRIZES!$C$8:$BP$8,MIN(N_SEMANAS,MAX(1,$C229)))/DIAS_POR_SEMANA</f>
        <v>2437.45153428472</v>
      </c>
      <c r="E229" s="16" t="n">
        <f aca="false">MIN(CADASTRO_CASAS_BOMBA!$O$6,MAX(0,E228+CADASTRO_CASAS_BOMBA!$I$6*HORAS_CAPTACAO_DIA-D229))</f>
        <v>2600</v>
      </c>
      <c r="F229" s="16" t="n">
        <f aca="false">MAX(0,D229-CADASTRO_CASAS_BOMBA!$I$6*HORAS_CAPTACAO_DIA-E228)</f>
        <v>0</v>
      </c>
      <c r="G229" s="16" t="n">
        <f aca="false">INDEX(AUX_MATRIZES!$C$9:$BP$9,MIN(N_SEMANAS,MAX(1,$C229)))/DIAS_POR_SEMANA</f>
        <v>6308.15339869281</v>
      </c>
      <c r="H229" s="16" t="n">
        <f aca="false">MIN(CADASTRO_CASAS_BOMBA!$O$7,MAX(0,H228+CADASTRO_CASAS_BOMBA!$I$7*HORAS_CAPTACAO_DIA-G229))</f>
        <v>76648</v>
      </c>
      <c r="I229" s="16" t="n">
        <f aca="false">MAX(0,G229-CADASTRO_CASAS_BOMBA!$I$7*HORAS_CAPTACAO_DIA-H228)</f>
        <v>0</v>
      </c>
      <c r="J229" s="16" t="n">
        <f aca="false">INDEX(AUX_MATRIZES!$C$10:$BP$10,MIN(N_SEMANAS,MAX(1,$C229)))/DIAS_POR_SEMANA</f>
        <v>4573.22708109989</v>
      </c>
      <c r="K229" s="16" t="n">
        <f aca="false">MIN(CADASTRO_CASAS_BOMBA!$O$8,MAX(0,K228+CADASTRO_CASAS_BOMBA!$I$8*HORAS_CAPTACAO_DIA-J229))</f>
        <v>27377</v>
      </c>
      <c r="L229" s="16" t="n">
        <f aca="false">MAX(0,J229-CADASTRO_CASAS_BOMBA!$I$8*HORAS_CAPTACAO_DIA-K228)</f>
        <v>0</v>
      </c>
      <c r="M229" s="16" t="n">
        <f aca="false">INDEX(AUX_MATRIZES!$C$11:$BP$11,MIN(N_SEMANAS,MAX(1,$C229)))/DIAS_POR_SEMANA</f>
        <v>17948.6245844452</v>
      </c>
      <c r="N229" s="16" t="n">
        <f aca="false">MIN(CADASTRO_CASAS_BOMBA!$O$9,MAX(0,N228+CADASTRO_CASAS_BOMBA!$I$9*HORAS_CAPTACAO_DIA-M229))</f>
        <v>129000</v>
      </c>
      <c r="O229" s="16" t="n">
        <f aca="false">MAX(0,M229-CADASTRO_CASAS_BOMBA!$I$9*HORAS_CAPTACAO_DIA-N228)</f>
        <v>0</v>
      </c>
      <c r="P229" s="16" t="n">
        <f aca="false">INDEX(AUX_MATRIZES!$C$12:$BP$12,MIN(N_SEMANAS,MAX(1,$C229)))/DIAS_POR_SEMANA</f>
        <v>18301.6498823529</v>
      </c>
      <c r="Q229" s="16" t="n">
        <f aca="false">MIN(CADASTRO_CASAS_BOMBA!$O$10,MAX(0,Q228+CADASTRO_CASAS_BOMBA!$I$10*HORAS_CAPTACAO_DIA-P229))</f>
        <v>968684.500705883</v>
      </c>
      <c r="R229" s="16" t="n">
        <f aca="false">MAX(0,P229-CADASTRO_CASAS_BOMBA!$I$10*HORAS_CAPTACAO_DIA-Q228)</f>
        <v>0</v>
      </c>
      <c r="S229" s="16" t="n">
        <f aca="false">INDEX(AUX_MATRIZES!$C$13:$BP$13,MIN(N_SEMANAS,MAX(1,$C229)))/DIAS_POR_SEMANA</f>
        <v>34242.9072203548</v>
      </c>
      <c r="T229" s="16" t="n">
        <f aca="false">MIN(CADASTRO_CASAS_BOMBA!$O$11,MAX(0,T228+CADASTRO_CASAS_BOMBA!$I$11*HORAS_CAPTACAO_DIA-S229))</f>
        <v>384415.029495643</v>
      </c>
      <c r="U229" s="16" t="n">
        <f aca="false">MAX(0,S229-CADASTRO_CASAS_BOMBA!$I$11*HORAS_CAPTACAO_DIA-T228)</f>
        <v>0</v>
      </c>
      <c r="V229" s="16" t="n">
        <f aca="false">INDEX(AUX_MATRIZES!$C$14:$BP$14,MIN(N_SEMANAS,MAX(1,$C229)))/DIAS_POR_SEMANA</f>
        <v>33787.365869281</v>
      </c>
      <c r="W229" s="16" t="n">
        <f aca="false">MIN(CADASTRO_CASAS_BOMBA!$O$12,MAX(0,W228+CADASTRO_CASAS_BOMBA!$I$12*HORAS_CAPTACAO_DIA-V229))</f>
        <v>389555.804784314</v>
      </c>
      <c r="X229" s="16" t="n">
        <f aca="false">MAX(0,V229-CADASTRO_CASAS_BOMBA!$I$12*HORAS_CAPTACAO_DIA-W228)</f>
        <v>0</v>
      </c>
      <c r="Y229" s="16" t="n">
        <f aca="false">INDEX(AUX_MATRIZES!$C$15:$BP$15,MIN(N_SEMANAS,MAX(1,$C229)))/DIAS_POR_SEMANA</f>
        <v>0</v>
      </c>
      <c r="Z229" s="16" t="n">
        <f aca="false">MIN(CADASTRO_CASAS_BOMBA!$O$13,MAX(0,Z228+CADASTRO_CASAS_BOMBA!$I$13*HORAS_CAPTACAO_DIA-Y229))</f>
        <v>74903</v>
      </c>
      <c r="AA229" s="16" t="n">
        <f aca="false">MAX(0,Y229-CADASTRO_CASAS_BOMBA!$I$13*HORAS_CAPTACAO_DIA-Z228)</f>
        <v>0</v>
      </c>
    </row>
    <row r="230" customFormat="false" ht="15" hidden="false" customHeight="false" outlineLevel="0" collapsed="false">
      <c r="B230" s="17" t="n">
        <f aca="false">DATA_INICIO_SAFRA+223</f>
        <v>46488</v>
      </c>
      <c r="C230" s="16" t="n">
        <f aca="false">MIN(N_SEMANAS,MAX(1,INT(($B230-DATA_INICIO_SAFRA)/DIAS_POR_SEMANA)+1))</f>
        <v>32</v>
      </c>
      <c r="D230" s="16" t="n">
        <f aca="false">INDEX(AUX_MATRIZES!$C$8:$BP$8,MIN(N_SEMANAS,MAX(1,$C230)))/DIAS_POR_SEMANA</f>
        <v>2437.45153428472</v>
      </c>
      <c r="E230" s="16" t="n">
        <f aca="false">MIN(CADASTRO_CASAS_BOMBA!$O$6,MAX(0,E229+CADASTRO_CASAS_BOMBA!$I$6*HORAS_CAPTACAO_DIA-D230))</f>
        <v>2600</v>
      </c>
      <c r="F230" s="16" t="n">
        <f aca="false">MAX(0,D230-CADASTRO_CASAS_BOMBA!$I$6*HORAS_CAPTACAO_DIA-E229)</f>
        <v>0</v>
      </c>
      <c r="G230" s="16" t="n">
        <f aca="false">INDEX(AUX_MATRIZES!$C$9:$BP$9,MIN(N_SEMANAS,MAX(1,$C230)))/DIAS_POR_SEMANA</f>
        <v>6308.15339869281</v>
      </c>
      <c r="H230" s="16" t="n">
        <f aca="false">MIN(CADASTRO_CASAS_BOMBA!$O$7,MAX(0,H229+CADASTRO_CASAS_BOMBA!$I$7*HORAS_CAPTACAO_DIA-G230))</f>
        <v>76648</v>
      </c>
      <c r="I230" s="16" t="n">
        <f aca="false">MAX(0,G230-CADASTRO_CASAS_BOMBA!$I$7*HORAS_CAPTACAO_DIA-H229)</f>
        <v>0</v>
      </c>
      <c r="J230" s="16" t="n">
        <f aca="false">INDEX(AUX_MATRIZES!$C$10:$BP$10,MIN(N_SEMANAS,MAX(1,$C230)))/DIAS_POR_SEMANA</f>
        <v>4573.22708109989</v>
      </c>
      <c r="K230" s="16" t="n">
        <f aca="false">MIN(CADASTRO_CASAS_BOMBA!$O$8,MAX(0,K229+CADASTRO_CASAS_BOMBA!$I$8*HORAS_CAPTACAO_DIA-J230))</f>
        <v>27377</v>
      </c>
      <c r="L230" s="16" t="n">
        <f aca="false">MAX(0,J230-CADASTRO_CASAS_BOMBA!$I$8*HORAS_CAPTACAO_DIA-K229)</f>
        <v>0</v>
      </c>
      <c r="M230" s="16" t="n">
        <f aca="false">INDEX(AUX_MATRIZES!$C$11:$BP$11,MIN(N_SEMANAS,MAX(1,$C230)))/DIAS_POR_SEMANA</f>
        <v>17948.6245844452</v>
      </c>
      <c r="N230" s="16" t="n">
        <f aca="false">MIN(CADASTRO_CASAS_BOMBA!$O$9,MAX(0,N229+CADASTRO_CASAS_BOMBA!$I$9*HORAS_CAPTACAO_DIA-M230))</f>
        <v>129000</v>
      </c>
      <c r="O230" s="16" t="n">
        <f aca="false">MAX(0,M230-CADASTRO_CASAS_BOMBA!$I$9*HORAS_CAPTACAO_DIA-N229)</f>
        <v>0</v>
      </c>
      <c r="P230" s="16" t="n">
        <f aca="false">INDEX(AUX_MATRIZES!$C$12:$BP$12,MIN(N_SEMANAS,MAX(1,$C230)))/DIAS_POR_SEMANA</f>
        <v>18301.6498823529</v>
      </c>
      <c r="Q230" s="16" t="n">
        <f aca="false">MIN(CADASTRO_CASAS_BOMBA!$O$10,MAX(0,Q229+CADASTRO_CASAS_BOMBA!$I$10*HORAS_CAPTACAO_DIA-P230))</f>
        <v>963465.25082353</v>
      </c>
      <c r="R230" s="16" t="n">
        <f aca="false">MAX(0,P230-CADASTRO_CASAS_BOMBA!$I$10*HORAS_CAPTACAO_DIA-Q229)</f>
        <v>0</v>
      </c>
      <c r="S230" s="16" t="n">
        <f aca="false">INDEX(AUX_MATRIZES!$C$13:$BP$13,MIN(N_SEMANAS,MAX(1,$C230)))/DIAS_POR_SEMANA</f>
        <v>34242.9072203548</v>
      </c>
      <c r="T230" s="16" t="n">
        <f aca="false">MIN(CADASTRO_CASAS_BOMBA!$O$11,MAX(0,T229+CADASTRO_CASAS_BOMBA!$I$11*HORAS_CAPTACAO_DIA-S230))</f>
        <v>371592.122275288</v>
      </c>
      <c r="U230" s="16" t="n">
        <f aca="false">MAX(0,S230-CADASTRO_CASAS_BOMBA!$I$11*HORAS_CAPTACAO_DIA-T229)</f>
        <v>0</v>
      </c>
      <c r="V230" s="16" t="n">
        <f aca="false">INDEX(AUX_MATRIZES!$C$14:$BP$14,MIN(N_SEMANAS,MAX(1,$C230)))/DIAS_POR_SEMANA</f>
        <v>33787.365869281</v>
      </c>
      <c r="W230" s="16" t="n">
        <f aca="false">MIN(CADASTRO_CASAS_BOMBA!$O$12,MAX(0,W229+CADASTRO_CASAS_BOMBA!$I$12*HORAS_CAPTACAO_DIA-V230))</f>
        <v>381148.438915033</v>
      </c>
      <c r="X230" s="16" t="n">
        <f aca="false">MAX(0,V230-CADASTRO_CASAS_BOMBA!$I$12*HORAS_CAPTACAO_DIA-W229)</f>
        <v>0</v>
      </c>
      <c r="Y230" s="16" t="n">
        <f aca="false">INDEX(AUX_MATRIZES!$C$15:$BP$15,MIN(N_SEMANAS,MAX(1,$C230)))/DIAS_POR_SEMANA</f>
        <v>0</v>
      </c>
      <c r="Z230" s="16" t="n">
        <f aca="false">MIN(CADASTRO_CASAS_BOMBA!$O$13,MAX(0,Z229+CADASTRO_CASAS_BOMBA!$I$13*HORAS_CAPTACAO_DIA-Y230))</f>
        <v>74903</v>
      </c>
      <c r="AA230" s="16" t="n">
        <f aca="false">MAX(0,Y230-CADASTRO_CASAS_BOMBA!$I$13*HORAS_CAPTACAO_DIA-Z229)</f>
        <v>0</v>
      </c>
    </row>
    <row r="231" customFormat="false" ht="15" hidden="false" customHeight="false" outlineLevel="0" collapsed="false">
      <c r="B231" s="17" t="n">
        <f aca="false">DATA_INICIO_SAFRA+224</f>
        <v>46489</v>
      </c>
      <c r="C231" s="16" t="n">
        <f aca="false">MIN(N_SEMANAS,MAX(1,INT(($B231-DATA_INICIO_SAFRA)/DIAS_POR_SEMANA)+1))</f>
        <v>33</v>
      </c>
      <c r="D231" s="16" t="n">
        <f aca="false">INDEX(AUX_MATRIZES!$C$8:$BP$8,MIN(N_SEMANAS,MAX(1,$C231)))/DIAS_POR_SEMANA</f>
        <v>3012.32379324748</v>
      </c>
      <c r="E231" s="16" t="n">
        <f aca="false">MIN(CADASTRO_CASAS_BOMBA!$O$6,MAX(0,E230+CADASTRO_CASAS_BOMBA!$I$6*HORAS_CAPTACAO_DIA-D231))</f>
        <v>2600</v>
      </c>
      <c r="F231" s="16" t="n">
        <f aca="false">MAX(0,D231-CADASTRO_CASAS_BOMBA!$I$6*HORAS_CAPTACAO_DIA-E230)</f>
        <v>0</v>
      </c>
      <c r="G231" s="16" t="n">
        <f aca="false">INDEX(AUX_MATRIZES!$C$9:$BP$9,MIN(N_SEMANAS,MAX(1,$C231)))/DIAS_POR_SEMANA</f>
        <v>6921.77431372549</v>
      </c>
      <c r="H231" s="16" t="n">
        <f aca="false">MIN(CADASTRO_CASAS_BOMBA!$O$7,MAX(0,H230+CADASTRO_CASAS_BOMBA!$I$7*HORAS_CAPTACAO_DIA-G231))</f>
        <v>76648</v>
      </c>
      <c r="I231" s="16" t="n">
        <f aca="false">MAX(0,G231-CADASTRO_CASAS_BOMBA!$I$7*HORAS_CAPTACAO_DIA-H230)</f>
        <v>0</v>
      </c>
      <c r="J231" s="16" t="n">
        <f aca="false">INDEX(AUX_MATRIZES!$C$10:$BP$10,MIN(N_SEMANAS,MAX(1,$C231)))/DIAS_POR_SEMANA</f>
        <v>5729.75475252349</v>
      </c>
      <c r="K231" s="16" t="n">
        <f aca="false">MIN(CADASTRO_CASAS_BOMBA!$O$8,MAX(0,K230+CADASTRO_CASAS_BOMBA!$I$8*HORAS_CAPTACAO_DIA-J231))</f>
        <v>27377</v>
      </c>
      <c r="L231" s="16" t="n">
        <f aca="false">MAX(0,J231-CADASTRO_CASAS_BOMBA!$I$8*HORAS_CAPTACAO_DIA-K230)</f>
        <v>0</v>
      </c>
      <c r="M231" s="16" t="n">
        <f aca="false">INDEX(AUX_MATRIZES!$C$11:$BP$11,MIN(N_SEMANAS,MAX(1,$C231)))/DIAS_POR_SEMANA</f>
        <v>19204.3775333565</v>
      </c>
      <c r="N231" s="16" t="n">
        <f aca="false">MIN(CADASTRO_CASAS_BOMBA!$O$9,MAX(0,N230+CADASTRO_CASAS_BOMBA!$I$9*HORAS_CAPTACAO_DIA-M231))</f>
        <v>129000</v>
      </c>
      <c r="O231" s="16" t="n">
        <f aca="false">MAX(0,M231-CADASTRO_CASAS_BOMBA!$I$9*HORAS_CAPTACAO_DIA-N230)</f>
        <v>0</v>
      </c>
      <c r="P231" s="16" t="n">
        <f aca="false">INDEX(AUX_MATRIZES!$C$12:$BP$12,MIN(N_SEMANAS,MAX(1,$C231)))/DIAS_POR_SEMANA</f>
        <v>18301.6498823529</v>
      </c>
      <c r="Q231" s="16" t="n">
        <f aca="false">MIN(CADASTRO_CASAS_BOMBA!$O$10,MAX(0,Q230+CADASTRO_CASAS_BOMBA!$I$10*HORAS_CAPTACAO_DIA-P231))</f>
        <v>958246.000941177</v>
      </c>
      <c r="R231" s="16" t="n">
        <f aca="false">MAX(0,P231-CADASTRO_CASAS_BOMBA!$I$10*HORAS_CAPTACAO_DIA-Q230)</f>
        <v>0</v>
      </c>
      <c r="S231" s="16" t="n">
        <f aca="false">INDEX(AUX_MATRIZES!$C$13:$BP$13,MIN(N_SEMANAS,MAX(1,$C231)))/DIAS_POR_SEMANA</f>
        <v>34502.479320028</v>
      </c>
      <c r="T231" s="16" t="n">
        <f aca="false">MIN(CADASTRO_CASAS_BOMBA!$O$11,MAX(0,T230+CADASTRO_CASAS_BOMBA!$I$11*HORAS_CAPTACAO_DIA-S231))</f>
        <v>358509.64295526</v>
      </c>
      <c r="U231" s="16" t="n">
        <f aca="false">MAX(0,S231-CADASTRO_CASAS_BOMBA!$I$11*HORAS_CAPTACAO_DIA-T230)</f>
        <v>0</v>
      </c>
      <c r="V231" s="16" t="n">
        <f aca="false">INDEX(AUX_MATRIZES!$C$14:$BP$14,MIN(N_SEMANAS,MAX(1,$C231)))/DIAS_POR_SEMANA</f>
        <v>37747.1422912387</v>
      </c>
      <c r="W231" s="16" t="n">
        <f aca="false">MIN(CADASTRO_CASAS_BOMBA!$O$12,MAX(0,W230+CADASTRO_CASAS_BOMBA!$I$12*HORAS_CAPTACAO_DIA-V231))</f>
        <v>368781.296623794</v>
      </c>
      <c r="X231" s="16" t="n">
        <f aca="false">MAX(0,V231-CADASTRO_CASAS_BOMBA!$I$12*HORAS_CAPTACAO_DIA-W230)</f>
        <v>0</v>
      </c>
      <c r="Y231" s="16" t="n">
        <f aca="false">INDEX(AUX_MATRIZES!$C$15:$BP$15,MIN(N_SEMANAS,MAX(1,$C231)))/DIAS_POR_SEMANA</f>
        <v>0</v>
      </c>
      <c r="Z231" s="16" t="n">
        <f aca="false">MIN(CADASTRO_CASAS_BOMBA!$O$13,MAX(0,Z230+CADASTRO_CASAS_BOMBA!$I$13*HORAS_CAPTACAO_DIA-Y231))</f>
        <v>74903</v>
      </c>
      <c r="AA231" s="16" t="n">
        <f aca="false">MAX(0,Y231-CADASTRO_CASAS_BOMBA!$I$13*HORAS_CAPTACAO_DIA-Z230)</f>
        <v>0</v>
      </c>
    </row>
    <row r="232" customFormat="false" ht="15" hidden="false" customHeight="false" outlineLevel="0" collapsed="false">
      <c r="B232" s="17" t="n">
        <f aca="false">DATA_INICIO_SAFRA+225</f>
        <v>46490</v>
      </c>
      <c r="C232" s="16" t="n">
        <f aca="false">MIN(N_SEMANAS,MAX(1,INT(($B232-DATA_INICIO_SAFRA)/DIAS_POR_SEMANA)+1))</f>
        <v>33</v>
      </c>
      <c r="D232" s="16" t="n">
        <f aca="false">INDEX(AUX_MATRIZES!$C$8:$BP$8,MIN(N_SEMANAS,MAX(1,$C232)))/DIAS_POR_SEMANA</f>
        <v>3012.32379324748</v>
      </c>
      <c r="E232" s="16" t="n">
        <f aca="false">MIN(CADASTRO_CASAS_BOMBA!$O$6,MAX(0,E231+CADASTRO_CASAS_BOMBA!$I$6*HORAS_CAPTACAO_DIA-D232))</f>
        <v>2600</v>
      </c>
      <c r="F232" s="16" t="n">
        <f aca="false">MAX(0,D232-CADASTRO_CASAS_BOMBA!$I$6*HORAS_CAPTACAO_DIA-E231)</f>
        <v>0</v>
      </c>
      <c r="G232" s="16" t="n">
        <f aca="false">INDEX(AUX_MATRIZES!$C$9:$BP$9,MIN(N_SEMANAS,MAX(1,$C232)))/DIAS_POR_SEMANA</f>
        <v>6921.77431372549</v>
      </c>
      <c r="H232" s="16" t="n">
        <f aca="false">MIN(CADASTRO_CASAS_BOMBA!$O$7,MAX(0,H231+CADASTRO_CASAS_BOMBA!$I$7*HORAS_CAPTACAO_DIA-G232))</f>
        <v>76648</v>
      </c>
      <c r="I232" s="16" t="n">
        <f aca="false">MAX(0,G232-CADASTRO_CASAS_BOMBA!$I$7*HORAS_CAPTACAO_DIA-H231)</f>
        <v>0</v>
      </c>
      <c r="J232" s="16" t="n">
        <f aca="false">INDEX(AUX_MATRIZES!$C$10:$BP$10,MIN(N_SEMANAS,MAX(1,$C232)))/DIAS_POR_SEMANA</f>
        <v>5729.75475252349</v>
      </c>
      <c r="K232" s="16" t="n">
        <f aca="false">MIN(CADASTRO_CASAS_BOMBA!$O$8,MAX(0,K231+CADASTRO_CASAS_BOMBA!$I$8*HORAS_CAPTACAO_DIA-J232))</f>
        <v>27377</v>
      </c>
      <c r="L232" s="16" t="n">
        <f aca="false">MAX(0,J232-CADASTRO_CASAS_BOMBA!$I$8*HORAS_CAPTACAO_DIA-K231)</f>
        <v>0</v>
      </c>
      <c r="M232" s="16" t="n">
        <f aca="false">INDEX(AUX_MATRIZES!$C$11:$BP$11,MIN(N_SEMANAS,MAX(1,$C232)))/DIAS_POR_SEMANA</f>
        <v>19204.3775333565</v>
      </c>
      <c r="N232" s="16" t="n">
        <f aca="false">MIN(CADASTRO_CASAS_BOMBA!$O$9,MAX(0,N231+CADASTRO_CASAS_BOMBA!$I$9*HORAS_CAPTACAO_DIA-M232))</f>
        <v>129000</v>
      </c>
      <c r="O232" s="16" t="n">
        <f aca="false">MAX(0,M232-CADASTRO_CASAS_BOMBA!$I$9*HORAS_CAPTACAO_DIA-N231)</f>
        <v>0</v>
      </c>
      <c r="P232" s="16" t="n">
        <f aca="false">INDEX(AUX_MATRIZES!$C$12:$BP$12,MIN(N_SEMANAS,MAX(1,$C232)))/DIAS_POR_SEMANA</f>
        <v>18301.6498823529</v>
      </c>
      <c r="Q232" s="16" t="n">
        <f aca="false">MIN(CADASTRO_CASAS_BOMBA!$O$10,MAX(0,Q231+CADASTRO_CASAS_BOMBA!$I$10*HORAS_CAPTACAO_DIA-P232))</f>
        <v>953026.751058824</v>
      </c>
      <c r="R232" s="16" t="n">
        <f aca="false">MAX(0,P232-CADASTRO_CASAS_BOMBA!$I$10*HORAS_CAPTACAO_DIA-Q231)</f>
        <v>0</v>
      </c>
      <c r="S232" s="16" t="n">
        <f aca="false">INDEX(AUX_MATRIZES!$C$13:$BP$13,MIN(N_SEMANAS,MAX(1,$C232)))/DIAS_POR_SEMANA</f>
        <v>34502.479320028</v>
      </c>
      <c r="T232" s="16" t="n">
        <f aca="false">MIN(CADASTRO_CASAS_BOMBA!$O$11,MAX(0,T231+CADASTRO_CASAS_BOMBA!$I$11*HORAS_CAPTACAO_DIA-S232))</f>
        <v>345427.163635232</v>
      </c>
      <c r="U232" s="16" t="n">
        <f aca="false">MAX(0,S232-CADASTRO_CASAS_BOMBA!$I$11*HORAS_CAPTACAO_DIA-T231)</f>
        <v>0</v>
      </c>
      <c r="V232" s="16" t="n">
        <f aca="false">INDEX(AUX_MATRIZES!$C$14:$BP$14,MIN(N_SEMANAS,MAX(1,$C232)))/DIAS_POR_SEMANA</f>
        <v>37747.1422912387</v>
      </c>
      <c r="W232" s="16" t="n">
        <f aca="false">MIN(CADASTRO_CASAS_BOMBA!$O$12,MAX(0,W231+CADASTRO_CASAS_BOMBA!$I$12*HORAS_CAPTACAO_DIA-V232))</f>
        <v>356414.154332555</v>
      </c>
      <c r="X232" s="16" t="n">
        <f aca="false">MAX(0,V232-CADASTRO_CASAS_BOMBA!$I$12*HORAS_CAPTACAO_DIA-W231)</f>
        <v>0</v>
      </c>
      <c r="Y232" s="16" t="n">
        <f aca="false">INDEX(AUX_MATRIZES!$C$15:$BP$15,MIN(N_SEMANAS,MAX(1,$C232)))/DIAS_POR_SEMANA</f>
        <v>0</v>
      </c>
      <c r="Z232" s="16" t="n">
        <f aca="false">MIN(CADASTRO_CASAS_BOMBA!$O$13,MAX(0,Z231+CADASTRO_CASAS_BOMBA!$I$13*HORAS_CAPTACAO_DIA-Y232))</f>
        <v>74903</v>
      </c>
      <c r="AA232" s="16" t="n">
        <f aca="false">MAX(0,Y232-CADASTRO_CASAS_BOMBA!$I$13*HORAS_CAPTACAO_DIA-Z231)</f>
        <v>0</v>
      </c>
    </row>
    <row r="233" customFormat="false" ht="15" hidden="false" customHeight="false" outlineLevel="0" collapsed="false">
      <c r="B233" s="17" t="n">
        <f aca="false">DATA_INICIO_SAFRA+226</f>
        <v>46491</v>
      </c>
      <c r="C233" s="16" t="n">
        <f aca="false">MIN(N_SEMANAS,MAX(1,INT(($B233-DATA_INICIO_SAFRA)/DIAS_POR_SEMANA)+1))</f>
        <v>33</v>
      </c>
      <c r="D233" s="16" t="n">
        <f aca="false">INDEX(AUX_MATRIZES!$C$8:$BP$8,MIN(N_SEMANAS,MAX(1,$C233)))/DIAS_POR_SEMANA</f>
        <v>3012.32379324748</v>
      </c>
      <c r="E233" s="16" t="n">
        <f aca="false">MIN(CADASTRO_CASAS_BOMBA!$O$6,MAX(0,E232+CADASTRO_CASAS_BOMBA!$I$6*HORAS_CAPTACAO_DIA-D233))</f>
        <v>2600</v>
      </c>
      <c r="F233" s="16" t="n">
        <f aca="false">MAX(0,D233-CADASTRO_CASAS_BOMBA!$I$6*HORAS_CAPTACAO_DIA-E232)</f>
        <v>0</v>
      </c>
      <c r="G233" s="16" t="n">
        <f aca="false">INDEX(AUX_MATRIZES!$C$9:$BP$9,MIN(N_SEMANAS,MAX(1,$C233)))/DIAS_POR_SEMANA</f>
        <v>6921.77431372549</v>
      </c>
      <c r="H233" s="16" t="n">
        <f aca="false">MIN(CADASTRO_CASAS_BOMBA!$O$7,MAX(0,H232+CADASTRO_CASAS_BOMBA!$I$7*HORAS_CAPTACAO_DIA-G233))</f>
        <v>76648</v>
      </c>
      <c r="I233" s="16" t="n">
        <f aca="false">MAX(0,G233-CADASTRO_CASAS_BOMBA!$I$7*HORAS_CAPTACAO_DIA-H232)</f>
        <v>0</v>
      </c>
      <c r="J233" s="16" t="n">
        <f aca="false">INDEX(AUX_MATRIZES!$C$10:$BP$10,MIN(N_SEMANAS,MAX(1,$C233)))/DIAS_POR_SEMANA</f>
        <v>5729.75475252349</v>
      </c>
      <c r="K233" s="16" t="n">
        <f aca="false">MIN(CADASTRO_CASAS_BOMBA!$O$8,MAX(0,K232+CADASTRO_CASAS_BOMBA!$I$8*HORAS_CAPTACAO_DIA-J233))</f>
        <v>27377</v>
      </c>
      <c r="L233" s="16" t="n">
        <f aca="false">MAX(0,J233-CADASTRO_CASAS_BOMBA!$I$8*HORAS_CAPTACAO_DIA-K232)</f>
        <v>0</v>
      </c>
      <c r="M233" s="16" t="n">
        <f aca="false">INDEX(AUX_MATRIZES!$C$11:$BP$11,MIN(N_SEMANAS,MAX(1,$C233)))/DIAS_POR_SEMANA</f>
        <v>19204.3775333565</v>
      </c>
      <c r="N233" s="16" t="n">
        <f aca="false">MIN(CADASTRO_CASAS_BOMBA!$O$9,MAX(0,N232+CADASTRO_CASAS_BOMBA!$I$9*HORAS_CAPTACAO_DIA-M233))</f>
        <v>129000</v>
      </c>
      <c r="O233" s="16" t="n">
        <f aca="false">MAX(0,M233-CADASTRO_CASAS_BOMBA!$I$9*HORAS_CAPTACAO_DIA-N232)</f>
        <v>0</v>
      </c>
      <c r="P233" s="16" t="n">
        <f aca="false">INDEX(AUX_MATRIZES!$C$12:$BP$12,MIN(N_SEMANAS,MAX(1,$C233)))/DIAS_POR_SEMANA</f>
        <v>18301.6498823529</v>
      </c>
      <c r="Q233" s="16" t="n">
        <f aca="false">MIN(CADASTRO_CASAS_BOMBA!$O$10,MAX(0,Q232+CADASTRO_CASAS_BOMBA!$I$10*HORAS_CAPTACAO_DIA-P233))</f>
        <v>947807.501176471</v>
      </c>
      <c r="R233" s="16" t="n">
        <f aca="false">MAX(0,P233-CADASTRO_CASAS_BOMBA!$I$10*HORAS_CAPTACAO_DIA-Q232)</f>
        <v>0</v>
      </c>
      <c r="S233" s="16" t="n">
        <f aca="false">INDEX(AUX_MATRIZES!$C$13:$BP$13,MIN(N_SEMANAS,MAX(1,$C233)))/DIAS_POR_SEMANA</f>
        <v>34502.479320028</v>
      </c>
      <c r="T233" s="16" t="n">
        <f aca="false">MIN(CADASTRO_CASAS_BOMBA!$O$11,MAX(0,T232+CADASTRO_CASAS_BOMBA!$I$11*HORAS_CAPTACAO_DIA-S233))</f>
        <v>332344.684315204</v>
      </c>
      <c r="U233" s="16" t="n">
        <f aca="false">MAX(0,S233-CADASTRO_CASAS_BOMBA!$I$11*HORAS_CAPTACAO_DIA-T232)</f>
        <v>0</v>
      </c>
      <c r="V233" s="16" t="n">
        <f aca="false">INDEX(AUX_MATRIZES!$C$14:$BP$14,MIN(N_SEMANAS,MAX(1,$C233)))/DIAS_POR_SEMANA</f>
        <v>37747.1422912387</v>
      </c>
      <c r="W233" s="16" t="n">
        <f aca="false">MIN(CADASTRO_CASAS_BOMBA!$O$12,MAX(0,W232+CADASTRO_CASAS_BOMBA!$I$12*HORAS_CAPTACAO_DIA-V233))</f>
        <v>344047.012041317</v>
      </c>
      <c r="X233" s="16" t="n">
        <f aca="false">MAX(0,V233-CADASTRO_CASAS_BOMBA!$I$12*HORAS_CAPTACAO_DIA-W232)</f>
        <v>0</v>
      </c>
      <c r="Y233" s="16" t="n">
        <f aca="false">INDEX(AUX_MATRIZES!$C$15:$BP$15,MIN(N_SEMANAS,MAX(1,$C233)))/DIAS_POR_SEMANA</f>
        <v>0</v>
      </c>
      <c r="Z233" s="16" t="n">
        <f aca="false">MIN(CADASTRO_CASAS_BOMBA!$O$13,MAX(0,Z232+CADASTRO_CASAS_BOMBA!$I$13*HORAS_CAPTACAO_DIA-Y233))</f>
        <v>74903</v>
      </c>
      <c r="AA233" s="16" t="n">
        <f aca="false">MAX(0,Y233-CADASTRO_CASAS_BOMBA!$I$13*HORAS_CAPTACAO_DIA-Z232)</f>
        <v>0</v>
      </c>
    </row>
    <row r="234" customFormat="false" ht="15" hidden="false" customHeight="false" outlineLevel="0" collapsed="false">
      <c r="B234" s="17" t="n">
        <f aca="false">DATA_INICIO_SAFRA+227</f>
        <v>46492</v>
      </c>
      <c r="C234" s="16" t="n">
        <f aca="false">MIN(N_SEMANAS,MAX(1,INT(($B234-DATA_INICIO_SAFRA)/DIAS_POR_SEMANA)+1))</f>
        <v>33</v>
      </c>
      <c r="D234" s="16" t="n">
        <f aca="false">INDEX(AUX_MATRIZES!$C$8:$BP$8,MIN(N_SEMANAS,MAX(1,$C234)))/DIAS_POR_SEMANA</f>
        <v>3012.32379324748</v>
      </c>
      <c r="E234" s="16" t="n">
        <f aca="false">MIN(CADASTRO_CASAS_BOMBA!$O$6,MAX(0,E233+CADASTRO_CASAS_BOMBA!$I$6*HORAS_CAPTACAO_DIA-D234))</f>
        <v>2600</v>
      </c>
      <c r="F234" s="16" t="n">
        <f aca="false">MAX(0,D234-CADASTRO_CASAS_BOMBA!$I$6*HORAS_CAPTACAO_DIA-E233)</f>
        <v>0</v>
      </c>
      <c r="G234" s="16" t="n">
        <f aca="false">INDEX(AUX_MATRIZES!$C$9:$BP$9,MIN(N_SEMANAS,MAX(1,$C234)))/DIAS_POR_SEMANA</f>
        <v>6921.77431372549</v>
      </c>
      <c r="H234" s="16" t="n">
        <f aca="false">MIN(CADASTRO_CASAS_BOMBA!$O$7,MAX(0,H233+CADASTRO_CASAS_BOMBA!$I$7*HORAS_CAPTACAO_DIA-G234))</f>
        <v>76648</v>
      </c>
      <c r="I234" s="16" t="n">
        <f aca="false">MAX(0,G234-CADASTRO_CASAS_BOMBA!$I$7*HORAS_CAPTACAO_DIA-H233)</f>
        <v>0</v>
      </c>
      <c r="J234" s="16" t="n">
        <f aca="false">INDEX(AUX_MATRIZES!$C$10:$BP$10,MIN(N_SEMANAS,MAX(1,$C234)))/DIAS_POR_SEMANA</f>
        <v>5729.75475252349</v>
      </c>
      <c r="K234" s="16" t="n">
        <f aca="false">MIN(CADASTRO_CASAS_BOMBA!$O$8,MAX(0,K233+CADASTRO_CASAS_BOMBA!$I$8*HORAS_CAPTACAO_DIA-J234))</f>
        <v>27377</v>
      </c>
      <c r="L234" s="16" t="n">
        <f aca="false">MAX(0,J234-CADASTRO_CASAS_BOMBA!$I$8*HORAS_CAPTACAO_DIA-K233)</f>
        <v>0</v>
      </c>
      <c r="M234" s="16" t="n">
        <f aca="false">INDEX(AUX_MATRIZES!$C$11:$BP$11,MIN(N_SEMANAS,MAX(1,$C234)))/DIAS_POR_SEMANA</f>
        <v>19204.3775333565</v>
      </c>
      <c r="N234" s="16" t="n">
        <f aca="false">MIN(CADASTRO_CASAS_BOMBA!$O$9,MAX(0,N233+CADASTRO_CASAS_BOMBA!$I$9*HORAS_CAPTACAO_DIA-M234))</f>
        <v>129000</v>
      </c>
      <c r="O234" s="16" t="n">
        <f aca="false">MAX(0,M234-CADASTRO_CASAS_BOMBA!$I$9*HORAS_CAPTACAO_DIA-N233)</f>
        <v>0</v>
      </c>
      <c r="P234" s="16" t="n">
        <f aca="false">INDEX(AUX_MATRIZES!$C$12:$BP$12,MIN(N_SEMANAS,MAX(1,$C234)))/DIAS_POR_SEMANA</f>
        <v>18301.6498823529</v>
      </c>
      <c r="Q234" s="16" t="n">
        <f aca="false">MIN(CADASTRO_CASAS_BOMBA!$O$10,MAX(0,Q233+CADASTRO_CASAS_BOMBA!$I$10*HORAS_CAPTACAO_DIA-P234))</f>
        <v>942588.251294118</v>
      </c>
      <c r="R234" s="16" t="n">
        <f aca="false">MAX(0,P234-CADASTRO_CASAS_BOMBA!$I$10*HORAS_CAPTACAO_DIA-Q233)</f>
        <v>0</v>
      </c>
      <c r="S234" s="16" t="n">
        <f aca="false">INDEX(AUX_MATRIZES!$C$13:$BP$13,MIN(N_SEMANAS,MAX(1,$C234)))/DIAS_POR_SEMANA</f>
        <v>34502.479320028</v>
      </c>
      <c r="T234" s="16" t="n">
        <f aca="false">MIN(CADASTRO_CASAS_BOMBA!$O$11,MAX(0,T233+CADASTRO_CASAS_BOMBA!$I$11*HORAS_CAPTACAO_DIA-S234))</f>
        <v>319262.204995176</v>
      </c>
      <c r="U234" s="16" t="n">
        <f aca="false">MAX(0,S234-CADASTRO_CASAS_BOMBA!$I$11*HORAS_CAPTACAO_DIA-T233)</f>
        <v>0</v>
      </c>
      <c r="V234" s="16" t="n">
        <f aca="false">INDEX(AUX_MATRIZES!$C$14:$BP$14,MIN(N_SEMANAS,MAX(1,$C234)))/DIAS_POR_SEMANA</f>
        <v>37747.1422912387</v>
      </c>
      <c r="W234" s="16" t="n">
        <f aca="false">MIN(CADASTRO_CASAS_BOMBA!$O$12,MAX(0,W233+CADASTRO_CASAS_BOMBA!$I$12*HORAS_CAPTACAO_DIA-V234))</f>
        <v>331679.869750078</v>
      </c>
      <c r="X234" s="16" t="n">
        <f aca="false">MAX(0,V234-CADASTRO_CASAS_BOMBA!$I$12*HORAS_CAPTACAO_DIA-W233)</f>
        <v>0</v>
      </c>
      <c r="Y234" s="16" t="n">
        <f aca="false">INDEX(AUX_MATRIZES!$C$15:$BP$15,MIN(N_SEMANAS,MAX(1,$C234)))/DIAS_POR_SEMANA</f>
        <v>0</v>
      </c>
      <c r="Z234" s="16" t="n">
        <f aca="false">MIN(CADASTRO_CASAS_BOMBA!$O$13,MAX(0,Z233+CADASTRO_CASAS_BOMBA!$I$13*HORAS_CAPTACAO_DIA-Y234))</f>
        <v>74903</v>
      </c>
      <c r="AA234" s="16" t="n">
        <f aca="false">MAX(0,Y234-CADASTRO_CASAS_BOMBA!$I$13*HORAS_CAPTACAO_DIA-Z233)</f>
        <v>0</v>
      </c>
    </row>
    <row r="235" customFormat="false" ht="15" hidden="false" customHeight="false" outlineLevel="0" collapsed="false">
      <c r="B235" s="17" t="n">
        <f aca="false">DATA_INICIO_SAFRA+228</f>
        <v>46493</v>
      </c>
      <c r="C235" s="16" t="n">
        <f aca="false">MIN(N_SEMANAS,MAX(1,INT(($B235-DATA_INICIO_SAFRA)/DIAS_POR_SEMANA)+1))</f>
        <v>33</v>
      </c>
      <c r="D235" s="16" t="n">
        <f aca="false">INDEX(AUX_MATRIZES!$C$8:$BP$8,MIN(N_SEMANAS,MAX(1,$C235)))/DIAS_POR_SEMANA</f>
        <v>3012.32379324748</v>
      </c>
      <c r="E235" s="16" t="n">
        <f aca="false">MIN(CADASTRO_CASAS_BOMBA!$O$6,MAX(0,E234+CADASTRO_CASAS_BOMBA!$I$6*HORAS_CAPTACAO_DIA-D235))</f>
        <v>2600</v>
      </c>
      <c r="F235" s="16" t="n">
        <f aca="false">MAX(0,D235-CADASTRO_CASAS_BOMBA!$I$6*HORAS_CAPTACAO_DIA-E234)</f>
        <v>0</v>
      </c>
      <c r="G235" s="16" t="n">
        <f aca="false">INDEX(AUX_MATRIZES!$C$9:$BP$9,MIN(N_SEMANAS,MAX(1,$C235)))/DIAS_POR_SEMANA</f>
        <v>6921.77431372549</v>
      </c>
      <c r="H235" s="16" t="n">
        <f aca="false">MIN(CADASTRO_CASAS_BOMBA!$O$7,MAX(0,H234+CADASTRO_CASAS_BOMBA!$I$7*HORAS_CAPTACAO_DIA-G235))</f>
        <v>76648</v>
      </c>
      <c r="I235" s="16" t="n">
        <f aca="false">MAX(0,G235-CADASTRO_CASAS_BOMBA!$I$7*HORAS_CAPTACAO_DIA-H234)</f>
        <v>0</v>
      </c>
      <c r="J235" s="16" t="n">
        <f aca="false">INDEX(AUX_MATRIZES!$C$10:$BP$10,MIN(N_SEMANAS,MAX(1,$C235)))/DIAS_POR_SEMANA</f>
        <v>5729.75475252349</v>
      </c>
      <c r="K235" s="16" t="n">
        <f aca="false">MIN(CADASTRO_CASAS_BOMBA!$O$8,MAX(0,K234+CADASTRO_CASAS_BOMBA!$I$8*HORAS_CAPTACAO_DIA-J235))</f>
        <v>27377</v>
      </c>
      <c r="L235" s="16" t="n">
        <f aca="false">MAX(0,J235-CADASTRO_CASAS_BOMBA!$I$8*HORAS_CAPTACAO_DIA-K234)</f>
        <v>0</v>
      </c>
      <c r="M235" s="16" t="n">
        <f aca="false">INDEX(AUX_MATRIZES!$C$11:$BP$11,MIN(N_SEMANAS,MAX(1,$C235)))/DIAS_POR_SEMANA</f>
        <v>19204.3775333565</v>
      </c>
      <c r="N235" s="16" t="n">
        <f aca="false">MIN(CADASTRO_CASAS_BOMBA!$O$9,MAX(0,N234+CADASTRO_CASAS_BOMBA!$I$9*HORAS_CAPTACAO_DIA-M235))</f>
        <v>129000</v>
      </c>
      <c r="O235" s="16" t="n">
        <f aca="false">MAX(0,M235-CADASTRO_CASAS_BOMBA!$I$9*HORAS_CAPTACAO_DIA-N234)</f>
        <v>0</v>
      </c>
      <c r="P235" s="16" t="n">
        <f aca="false">INDEX(AUX_MATRIZES!$C$12:$BP$12,MIN(N_SEMANAS,MAX(1,$C235)))/DIAS_POR_SEMANA</f>
        <v>18301.6498823529</v>
      </c>
      <c r="Q235" s="16" t="n">
        <f aca="false">MIN(CADASTRO_CASAS_BOMBA!$O$10,MAX(0,Q234+CADASTRO_CASAS_BOMBA!$I$10*HORAS_CAPTACAO_DIA-P235))</f>
        <v>937369.001411765</v>
      </c>
      <c r="R235" s="16" t="n">
        <f aca="false">MAX(0,P235-CADASTRO_CASAS_BOMBA!$I$10*HORAS_CAPTACAO_DIA-Q234)</f>
        <v>0</v>
      </c>
      <c r="S235" s="16" t="n">
        <f aca="false">INDEX(AUX_MATRIZES!$C$13:$BP$13,MIN(N_SEMANAS,MAX(1,$C235)))/DIAS_POR_SEMANA</f>
        <v>34502.479320028</v>
      </c>
      <c r="T235" s="16" t="n">
        <f aca="false">MIN(CADASTRO_CASAS_BOMBA!$O$11,MAX(0,T234+CADASTRO_CASAS_BOMBA!$I$11*HORAS_CAPTACAO_DIA-S235))</f>
        <v>306179.725675148</v>
      </c>
      <c r="U235" s="16" t="n">
        <f aca="false">MAX(0,S235-CADASTRO_CASAS_BOMBA!$I$11*HORAS_CAPTACAO_DIA-T234)</f>
        <v>0</v>
      </c>
      <c r="V235" s="16" t="n">
        <f aca="false">INDEX(AUX_MATRIZES!$C$14:$BP$14,MIN(N_SEMANAS,MAX(1,$C235)))/DIAS_POR_SEMANA</f>
        <v>37747.1422912387</v>
      </c>
      <c r="W235" s="16" t="n">
        <f aca="false">MIN(CADASTRO_CASAS_BOMBA!$O$12,MAX(0,W234+CADASTRO_CASAS_BOMBA!$I$12*HORAS_CAPTACAO_DIA-V235))</f>
        <v>319312.727458839</v>
      </c>
      <c r="X235" s="16" t="n">
        <f aca="false">MAX(0,V235-CADASTRO_CASAS_BOMBA!$I$12*HORAS_CAPTACAO_DIA-W234)</f>
        <v>0</v>
      </c>
      <c r="Y235" s="16" t="n">
        <f aca="false">INDEX(AUX_MATRIZES!$C$15:$BP$15,MIN(N_SEMANAS,MAX(1,$C235)))/DIAS_POR_SEMANA</f>
        <v>0</v>
      </c>
      <c r="Z235" s="16" t="n">
        <f aca="false">MIN(CADASTRO_CASAS_BOMBA!$O$13,MAX(0,Z234+CADASTRO_CASAS_BOMBA!$I$13*HORAS_CAPTACAO_DIA-Y235))</f>
        <v>74903</v>
      </c>
      <c r="AA235" s="16" t="n">
        <f aca="false">MAX(0,Y235-CADASTRO_CASAS_BOMBA!$I$13*HORAS_CAPTACAO_DIA-Z234)</f>
        <v>0</v>
      </c>
    </row>
    <row r="236" customFormat="false" ht="15" hidden="false" customHeight="false" outlineLevel="0" collapsed="false">
      <c r="B236" s="17" t="n">
        <f aca="false">DATA_INICIO_SAFRA+229</f>
        <v>46494</v>
      </c>
      <c r="C236" s="16" t="n">
        <f aca="false">MIN(N_SEMANAS,MAX(1,INT(($B236-DATA_INICIO_SAFRA)/DIAS_POR_SEMANA)+1))</f>
        <v>33</v>
      </c>
      <c r="D236" s="16" t="n">
        <f aca="false">INDEX(AUX_MATRIZES!$C$8:$BP$8,MIN(N_SEMANAS,MAX(1,$C236)))/DIAS_POR_SEMANA</f>
        <v>3012.32379324748</v>
      </c>
      <c r="E236" s="16" t="n">
        <f aca="false">MIN(CADASTRO_CASAS_BOMBA!$O$6,MAX(0,E235+CADASTRO_CASAS_BOMBA!$I$6*HORAS_CAPTACAO_DIA-D236))</f>
        <v>2600</v>
      </c>
      <c r="F236" s="16" t="n">
        <f aca="false">MAX(0,D236-CADASTRO_CASAS_BOMBA!$I$6*HORAS_CAPTACAO_DIA-E235)</f>
        <v>0</v>
      </c>
      <c r="G236" s="16" t="n">
        <f aca="false">INDEX(AUX_MATRIZES!$C$9:$BP$9,MIN(N_SEMANAS,MAX(1,$C236)))/DIAS_POR_SEMANA</f>
        <v>6921.77431372549</v>
      </c>
      <c r="H236" s="16" t="n">
        <f aca="false">MIN(CADASTRO_CASAS_BOMBA!$O$7,MAX(0,H235+CADASTRO_CASAS_BOMBA!$I$7*HORAS_CAPTACAO_DIA-G236))</f>
        <v>76648</v>
      </c>
      <c r="I236" s="16" t="n">
        <f aca="false">MAX(0,G236-CADASTRO_CASAS_BOMBA!$I$7*HORAS_CAPTACAO_DIA-H235)</f>
        <v>0</v>
      </c>
      <c r="J236" s="16" t="n">
        <f aca="false">INDEX(AUX_MATRIZES!$C$10:$BP$10,MIN(N_SEMANAS,MAX(1,$C236)))/DIAS_POR_SEMANA</f>
        <v>5729.75475252349</v>
      </c>
      <c r="K236" s="16" t="n">
        <f aca="false">MIN(CADASTRO_CASAS_BOMBA!$O$8,MAX(0,K235+CADASTRO_CASAS_BOMBA!$I$8*HORAS_CAPTACAO_DIA-J236))</f>
        <v>27377</v>
      </c>
      <c r="L236" s="16" t="n">
        <f aca="false">MAX(0,J236-CADASTRO_CASAS_BOMBA!$I$8*HORAS_CAPTACAO_DIA-K235)</f>
        <v>0</v>
      </c>
      <c r="M236" s="16" t="n">
        <f aca="false">INDEX(AUX_MATRIZES!$C$11:$BP$11,MIN(N_SEMANAS,MAX(1,$C236)))/DIAS_POR_SEMANA</f>
        <v>19204.3775333565</v>
      </c>
      <c r="N236" s="16" t="n">
        <f aca="false">MIN(CADASTRO_CASAS_BOMBA!$O$9,MAX(0,N235+CADASTRO_CASAS_BOMBA!$I$9*HORAS_CAPTACAO_DIA-M236))</f>
        <v>129000</v>
      </c>
      <c r="O236" s="16" t="n">
        <f aca="false">MAX(0,M236-CADASTRO_CASAS_BOMBA!$I$9*HORAS_CAPTACAO_DIA-N235)</f>
        <v>0</v>
      </c>
      <c r="P236" s="16" t="n">
        <f aca="false">INDEX(AUX_MATRIZES!$C$12:$BP$12,MIN(N_SEMANAS,MAX(1,$C236)))/DIAS_POR_SEMANA</f>
        <v>18301.6498823529</v>
      </c>
      <c r="Q236" s="16" t="n">
        <f aca="false">MIN(CADASTRO_CASAS_BOMBA!$O$10,MAX(0,Q235+CADASTRO_CASAS_BOMBA!$I$10*HORAS_CAPTACAO_DIA-P236))</f>
        <v>932149.751529413</v>
      </c>
      <c r="R236" s="16" t="n">
        <f aca="false">MAX(0,P236-CADASTRO_CASAS_BOMBA!$I$10*HORAS_CAPTACAO_DIA-Q235)</f>
        <v>0</v>
      </c>
      <c r="S236" s="16" t="n">
        <f aca="false">INDEX(AUX_MATRIZES!$C$13:$BP$13,MIN(N_SEMANAS,MAX(1,$C236)))/DIAS_POR_SEMANA</f>
        <v>34502.479320028</v>
      </c>
      <c r="T236" s="16" t="n">
        <f aca="false">MIN(CADASTRO_CASAS_BOMBA!$O$11,MAX(0,T235+CADASTRO_CASAS_BOMBA!$I$11*HORAS_CAPTACAO_DIA-S236))</f>
        <v>293097.24635512</v>
      </c>
      <c r="U236" s="16" t="n">
        <f aca="false">MAX(0,S236-CADASTRO_CASAS_BOMBA!$I$11*HORAS_CAPTACAO_DIA-T235)</f>
        <v>0</v>
      </c>
      <c r="V236" s="16" t="n">
        <f aca="false">INDEX(AUX_MATRIZES!$C$14:$BP$14,MIN(N_SEMANAS,MAX(1,$C236)))/DIAS_POR_SEMANA</f>
        <v>37747.1422912387</v>
      </c>
      <c r="W236" s="16" t="n">
        <f aca="false">MIN(CADASTRO_CASAS_BOMBA!$O$12,MAX(0,W235+CADASTRO_CASAS_BOMBA!$I$12*HORAS_CAPTACAO_DIA-V236))</f>
        <v>306945.5851676</v>
      </c>
      <c r="X236" s="16" t="n">
        <f aca="false">MAX(0,V236-CADASTRO_CASAS_BOMBA!$I$12*HORAS_CAPTACAO_DIA-W235)</f>
        <v>0</v>
      </c>
      <c r="Y236" s="16" t="n">
        <f aca="false">INDEX(AUX_MATRIZES!$C$15:$BP$15,MIN(N_SEMANAS,MAX(1,$C236)))/DIAS_POR_SEMANA</f>
        <v>0</v>
      </c>
      <c r="Z236" s="16" t="n">
        <f aca="false">MIN(CADASTRO_CASAS_BOMBA!$O$13,MAX(0,Z235+CADASTRO_CASAS_BOMBA!$I$13*HORAS_CAPTACAO_DIA-Y236))</f>
        <v>74903</v>
      </c>
      <c r="AA236" s="16" t="n">
        <f aca="false">MAX(0,Y236-CADASTRO_CASAS_BOMBA!$I$13*HORAS_CAPTACAO_DIA-Z235)</f>
        <v>0</v>
      </c>
    </row>
    <row r="237" customFormat="false" ht="15" hidden="false" customHeight="false" outlineLevel="0" collapsed="false">
      <c r="B237" s="17" t="n">
        <f aca="false">DATA_INICIO_SAFRA+230</f>
        <v>46495</v>
      </c>
      <c r="C237" s="16" t="n">
        <f aca="false">MIN(N_SEMANAS,MAX(1,INT(($B237-DATA_INICIO_SAFRA)/DIAS_POR_SEMANA)+1))</f>
        <v>33</v>
      </c>
      <c r="D237" s="16" t="n">
        <f aca="false">INDEX(AUX_MATRIZES!$C$8:$BP$8,MIN(N_SEMANAS,MAX(1,$C237)))/DIAS_POR_SEMANA</f>
        <v>3012.32379324748</v>
      </c>
      <c r="E237" s="16" t="n">
        <f aca="false">MIN(CADASTRO_CASAS_BOMBA!$O$6,MAX(0,E236+CADASTRO_CASAS_BOMBA!$I$6*HORAS_CAPTACAO_DIA-D237))</f>
        <v>2600</v>
      </c>
      <c r="F237" s="16" t="n">
        <f aca="false">MAX(0,D237-CADASTRO_CASAS_BOMBA!$I$6*HORAS_CAPTACAO_DIA-E236)</f>
        <v>0</v>
      </c>
      <c r="G237" s="16" t="n">
        <f aca="false">INDEX(AUX_MATRIZES!$C$9:$BP$9,MIN(N_SEMANAS,MAX(1,$C237)))/DIAS_POR_SEMANA</f>
        <v>6921.77431372549</v>
      </c>
      <c r="H237" s="16" t="n">
        <f aca="false">MIN(CADASTRO_CASAS_BOMBA!$O$7,MAX(0,H236+CADASTRO_CASAS_BOMBA!$I$7*HORAS_CAPTACAO_DIA-G237))</f>
        <v>76648</v>
      </c>
      <c r="I237" s="16" t="n">
        <f aca="false">MAX(0,G237-CADASTRO_CASAS_BOMBA!$I$7*HORAS_CAPTACAO_DIA-H236)</f>
        <v>0</v>
      </c>
      <c r="J237" s="16" t="n">
        <f aca="false">INDEX(AUX_MATRIZES!$C$10:$BP$10,MIN(N_SEMANAS,MAX(1,$C237)))/DIAS_POR_SEMANA</f>
        <v>5729.75475252349</v>
      </c>
      <c r="K237" s="16" t="n">
        <f aca="false">MIN(CADASTRO_CASAS_BOMBA!$O$8,MAX(0,K236+CADASTRO_CASAS_BOMBA!$I$8*HORAS_CAPTACAO_DIA-J237))</f>
        <v>27377</v>
      </c>
      <c r="L237" s="16" t="n">
        <f aca="false">MAX(0,J237-CADASTRO_CASAS_BOMBA!$I$8*HORAS_CAPTACAO_DIA-K236)</f>
        <v>0</v>
      </c>
      <c r="M237" s="16" t="n">
        <f aca="false">INDEX(AUX_MATRIZES!$C$11:$BP$11,MIN(N_SEMANAS,MAX(1,$C237)))/DIAS_POR_SEMANA</f>
        <v>19204.3775333565</v>
      </c>
      <c r="N237" s="16" t="n">
        <f aca="false">MIN(CADASTRO_CASAS_BOMBA!$O$9,MAX(0,N236+CADASTRO_CASAS_BOMBA!$I$9*HORAS_CAPTACAO_DIA-M237))</f>
        <v>129000</v>
      </c>
      <c r="O237" s="16" t="n">
        <f aca="false">MAX(0,M237-CADASTRO_CASAS_BOMBA!$I$9*HORAS_CAPTACAO_DIA-N236)</f>
        <v>0</v>
      </c>
      <c r="P237" s="16" t="n">
        <f aca="false">INDEX(AUX_MATRIZES!$C$12:$BP$12,MIN(N_SEMANAS,MAX(1,$C237)))/DIAS_POR_SEMANA</f>
        <v>18301.6498823529</v>
      </c>
      <c r="Q237" s="16" t="n">
        <f aca="false">MIN(CADASTRO_CASAS_BOMBA!$O$10,MAX(0,Q236+CADASTRO_CASAS_BOMBA!$I$10*HORAS_CAPTACAO_DIA-P237))</f>
        <v>926930.50164706</v>
      </c>
      <c r="R237" s="16" t="n">
        <f aca="false">MAX(0,P237-CADASTRO_CASAS_BOMBA!$I$10*HORAS_CAPTACAO_DIA-Q236)</f>
        <v>0</v>
      </c>
      <c r="S237" s="16" t="n">
        <f aca="false">INDEX(AUX_MATRIZES!$C$13:$BP$13,MIN(N_SEMANAS,MAX(1,$C237)))/DIAS_POR_SEMANA</f>
        <v>34502.479320028</v>
      </c>
      <c r="T237" s="16" t="n">
        <f aca="false">MIN(CADASTRO_CASAS_BOMBA!$O$11,MAX(0,T236+CADASTRO_CASAS_BOMBA!$I$11*HORAS_CAPTACAO_DIA-S237))</f>
        <v>280014.767035092</v>
      </c>
      <c r="U237" s="16" t="n">
        <f aca="false">MAX(0,S237-CADASTRO_CASAS_BOMBA!$I$11*HORAS_CAPTACAO_DIA-T236)</f>
        <v>0</v>
      </c>
      <c r="V237" s="16" t="n">
        <f aca="false">INDEX(AUX_MATRIZES!$C$14:$BP$14,MIN(N_SEMANAS,MAX(1,$C237)))/DIAS_POR_SEMANA</f>
        <v>37747.1422912387</v>
      </c>
      <c r="W237" s="16" t="n">
        <f aca="false">MIN(CADASTRO_CASAS_BOMBA!$O$12,MAX(0,W236+CADASTRO_CASAS_BOMBA!$I$12*HORAS_CAPTACAO_DIA-V237))</f>
        <v>294578.442876362</v>
      </c>
      <c r="X237" s="16" t="n">
        <f aca="false">MAX(0,V237-CADASTRO_CASAS_BOMBA!$I$12*HORAS_CAPTACAO_DIA-W236)</f>
        <v>0</v>
      </c>
      <c r="Y237" s="16" t="n">
        <f aca="false">INDEX(AUX_MATRIZES!$C$15:$BP$15,MIN(N_SEMANAS,MAX(1,$C237)))/DIAS_POR_SEMANA</f>
        <v>0</v>
      </c>
      <c r="Z237" s="16" t="n">
        <f aca="false">MIN(CADASTRO_CASAS_BOMBA!$O$13,MAX(0,Z236+CADASTRO_CASAS_BOMBA!$I$13*HORAS_CAPTACAO_DIA-Y237))</f>
        <v>74903</v>
      </c>
      <c r="AA237" s="16" t="n">
        <f aca="false">MAX(0,Y237-CADASTRO_CASAS_BOMBA!$I$13*HORAS_CAPTACAO_DIA-Z236)</f>
        <v>0</v>
      </c>
    </row>
    <row r="238" customFormat="false" ht="15" hidden="false" customHeight="false" outlineLevel="0" collapsed="false">
      <c r="B238" s="17" t="n">
        <f aca="false">DATA_INICIO_SAFRA+231</f>
        <v>46496</v>
      </c>
      <c r="C238" s="16" t="n">
        <f aca="false">MIN(N_SEMANAS,MAX(1,INT(($B238-DATA_INICIO_SAFRA)/DIAS_POR_SEMANA)+1))</f>
        <v>34</v>
      </c>
      <c r="D238" s="16" t="n">
        <f aca="false">INDEX(AUX_MATRIZES!$C$8:$BP$8,MIN(N_SEMANAS,MAX(1,$C238)))/DIAS_POR_SEMANA</f>
        <v>3587.19605221023</v>
      </c>
      <c r="E238" s="16" t="n">
        <f aca="false">MIN(CADASTRO_CASAS_BOMBA!$O$6,MAX(0,E237+CADASTRO_CASAS_BOMBA!$I$6*HORAS_CAPTACAO_DIA-D238))</f>
        <v>2600</v>
      </c>
      <c r="F238" s="16" t="n">
        <f aca="false">MAX(0,D238-CADASTRO_CASAS_BOMBA!$I$6*HORAS_CAPTACAO_DIA-E237)</f>
        <v>0</v>
      </c>
      <c r="G238" s="16" t="n">
        <f aca="false">INDEX(AUX_MATRIZES!$C$9:$BP$9,MIN(N_SEMANAS,MAX(1,$C238)))/DIAS_POR_SEMANA</f>
        <v>7535.39522875817</v>
      </c>
      <c r="H238" s="16" t="n">
        <f aca="false">MIN(CADASTRO_CASAS_BOMBA!$O$7,MAX(0,H237+CADASTRO_CASAS_BOMBA!$I$7*HORAS_CAPTACAO_DIA-G238))</f>
        <v>76648</v>
      </c>
      <c r="I238" s="16" t="n">
        <f aca="false">MAX(0,G238-CADASTRO_CASAS_BOMBA!$I$7*HORAS_CAPTACAO_DIA-H237)</f>
        <v>0</v>
      </c>
      <c r="J238" s="16" t="n">
        <f aca="false">INDEX(AUX_MATRIZES!$C$10:$BP$10,MIN(N_SEMANAS,MAX(1,$C238)))/DIAS_POR_SEMANA</f>
        <v>6886.28242394709</v>
      </c>
      <c r="K238" s="16" t="n">
        <f aca="false">MIN(CADASTRO_CASAS_BOMBA!$O$8,MAX(0,K237+CADASTRO_CASAS_BOMBA!$I$8*HORAS_CAPTACAO_DIA-J238))</f>
        <v>27377</v>
      </c>
      <c r="L238" s="16" t="n">
        <f aca="false">MAX(0,J238-CADASTRO_CASAS_BOMBA!$I$8*HORAS_CAPTACAO_DIA-K237)</f>
        <v>0</v>
      </c>
      <c r="M238" s="16" t="n">
        <f aca="false">INDEX(AUX_MATRIZES!$C$11:$BP$11,MIN(N_SEMANAS,MAX(1,$C238)))/DIAS_POR_SEMANA</f>
        <v>20460.1304822679</v>
      </c>
      <c r="N238" s="16" t="n">
        <f aca="false">MIN(CADASTRO_CASAS_BOMBA!$O$9,MAX(0,N237+CADASTRO_CASAS_BOMBA!$I$9*HORAS_CAPTACAO_DIA-M238))</f>
        <v>129000</v>
      </c>
      <c r="O238" s="16" t="n">
        <f aca="false">MAX(0,M238-CADASTRO_CASAS_BOMBA!$I$9*HORAS_CAPTACAO_DIA-N237)</f>
        <v>0</v>
      </c>
      <c r="P238" s="16" t="n">
        <f aca="false">INDEX(AUX_MATRIZES!$C$12:$BP$12,MIN(N_SEMANAS,MAX(1,$C238)))/DIAS_POR_SEMANA</f>
        <v>17927.3910588235</v>
      </c>
      <c r="Q238" s="16" t="n">
        <f aca="false">MIN(CADASTRO_CASAS_BOMBA!$O$10,MAX(0,Q237+CADASTRO_CASAS_BOMBA!$I$10*HORAS_CAPTACAO_DIA-P238))</f>
        <v>922085.510588236</v>
      </c>
      <c r="R238" s="16" t="n">
        <f aca="false">MAX(0,P238-CADASTRO_CASAS_BOMBA!$I$10*HORAS_CAPTACAO_DIA-Q237)</f>
        <v>0</v>
      </c>
      <c r="S238" s="16" t="n">
        <f aca="false">INDEX(AUX_MATRIZES!$C$13:$BP$13,MIN(N_SEMANAS,MAX(1,$C238)))/DIAS_POR_SEMANA</f>
        <v>34065.0448707355</v>
      </c>
      <c r="T238" s="16" t="n">
        <f aca="false">MIN(CADASTRO_CASAS_BOMBA!$O$11,MAX(0,T237+CADASTRO_CASAS_BOMBA!$I$11*HORAS_CAPTACAO_DIA-S238))</f>
        <v>267369.722164357</v>
      </c>
      <c r="U238" s="16" t="n">
        <f aca="false">MAX(0,S238-CADASTRO_CASAS_BOMBA!$I$11*HORAS_CAPTACAO_DIA-T237)</f>
        <v>0</v>
      </c>
      <c r="V238" s="16" t="n">
        <f aca="false">INDEX(AUX_MATRIZES!$C$14:$BP$14,MIN(N_SEMANAS,MAX(1,$C238)))/DIAS_POR_SEMANA</f>
        <v>40484.4556631473</v>
      </c>
      <c r="W238" s="16" t="n">
        <f aca="false">MIN(CADASTRO_CASAS_BOMBA!$O$12,MAX(0,W237+CADASTRO_CASAS_BOMBA!$I$12*HORAS_CAPTACAO_DIA-V238))</f>
        <v>279473.987213214</v>
      </c>
      <c r="X238" s="16" t="n">
        <f aca="false">MAX(0,V238-CADASTRO_CASAS_BOMBA!$I$12*HORAS_CAPTACAO_DIA-W237)</f>
        <v>0</v>
      </c>
      <c r="Y238" s="16" t="n">
        <f aca="false">INDEX(AUX_MATRIZES!$C$15:$BP$15,MIN(N_SEMANAS,MAX(1,$C238)))/DIAS_POR_SEMANA</f>
        <v>0</v>
      </c>
      <c r="Z238" s="16" t="n">
        <f aca="false">MIN(CADASTRO_CASAS_BOMBA!$O$13,MAX(0,Z237+CADASTRO_CASAS_BOMBA!$I$13*HORAS_CAPTACAO_DIA-Y238))</f>
        <v>74903</v>
      </c>
      <c r="AA238" s="16" t="n">
        <f aca="false">MAX(0,Y238-CADASTRO_CASAS_BOMBA!$I$13*HORAS_CAPTACAO_DIA-Z237)</f>
        <v>0</v>
      </c>
    </row>
    <row r="239" customFormat="false" ht="15" hidden="false" customHeight="false" outlineLevel="0" collapsed="false">
      <c r="B239" s="17" t="n">
        <f aca="false">DATA_INICIO_SAFRA+232</f>
        <v>46497</v>
      </c>
      <c r="C239" s="16" t="n">
        <f aca="false">MIN(N_SEMANAS,MAX(1,INT(($B239-DATA_INICIO_SAFRA)/DIAS_POR_SEMANA)+1))</f>
        <v>34</v>
      </c>
      <c r="D239" s="16" t="n">
        <f aca="false">INDEX(AUX_MATRIZES!$C$8:$BP$8,MIN(N_SEMANAS,MAX(1,$C239)))/DIAS_POR_SEMANA</f>
        <v>3587.19605221023</v>
      </c>
      <c r="E239" s="16" t="n">
        <f aca="false">MIN(CADASTRO_CASAS_BOMBA!$O$6,MAX(0,E238+CADASTRO_CASAS_BOMBA!$I$6*HORAS_CAPTACAO_DIA-D239))</f>
        <v>2600</v>
      </c>
      <c r="F239" s="16" t="n">
        <f aca="false">MAX(0,D239-CADASTRO_CASAS_BOMBA!$I$6*HORAS_CAPTACAO_DIA-E238)</f>
        <v>0</v>
      </c>
      <c r="G239" s="16" t="n">
        <f aca="false">INDEX(AUX_MATRIZES!$C$9:$BP$9,MIN(N_SEMANAS,MAX(1,$C239)))/DIAS_POR_SEMANA</f>
        <v>7535.39522875817</v>
      </c>
      <c r="H239" s="16" t="n">
        <f aca="false">MIN(CADASTRO_CASAS_BOMBA!$O$7,MAX(0,H238+CADASTRO_CASAS_BOMBA!$I$7*HORAS_CAPTACAO_DIA-G239))</f>
        <v>76648</v>
      </c>
      <c r="I239" s="16" t="n">
        <f aca="false">MAX(0,G239-CADASTRO_CASAS_BOMBA!$I$7*HORAS_CAPTACAO_DIA-H238)</f>
        <v>0</v>
      </c>
      <c r="J239" s="16" t="n">
        <f aca="false">INDEX(AUX_MATRIZES!$C$10:$BP$10,MIN(N_SEMANAS,MAX(1,$C239)))/DIAS_POR_SEMANA</f>
        <v>6886.28242394709</v>
      </c>
      <c r="K239" s="16" t="n">
        <f aca="false">MIN(CADASTRO_CASAS_BOMBA!$O$8,MAX(0,K238+CADASTRO_CASAS_BOMBA!$I$8*HORAS_CAPTACAO_DIA-J239))</f>
        <v>27377</v>
      </c>
      <c r="L239" s="16" t="n">
        <f aca="false">MAX(0,J239-CADASTRO_CASAS_BOMBA!$I$8*HORAS_CAPTACAO_DIA-K238)</f>
        <v>0</v>
      </c>
      <c r="M239" s="16" t="n">
        <f aca="false">INDEX(AUX_MATRIZES!$C$11:$BP$11,MIN(N_SEMANAS,MAX(1,$C239)))/DIAS_POR_SEMANA</f>
        <v>20460.1304822679</v>
      </c>
      <c r="N239" s="16" t="n">
        <f aca="false">MIN(CADASTRO_CASAS_BOMBA!$O$9,MAX(0,N238+CADASTRO_CASAS_BOMBA!$I$9*HORAS_CAPTACAO_DIA-M239))</f>
        <v>129000</v>
      </c>
      <c r="O239" s="16" t="n">
        <f aca="false">MAX(0,M239-CADASTRO_CASAS_BOMBA!$I$9*HORAS_CAPTACAO_DIA-N238)</f>
        <v>0</v>
      </c>
      <c r="P239" s="16" t="n">
        <f aca="false">INDEX(AUX_MATRIZES!$C$12:$BP$12,MIN(N_SEMANAS,MAX(1,$C239)))/DIAS_POR_SEMANA</f>
        <v>17927.3910588235</v>
      </c>
      <c r="Q239" s="16" t="n">
        <f aca="false">MIN(CADASTRO_CASAS_BOMBA!$O$10,MAX(0,Q238+CADASTRO_CASAS_BOMBA!$I$10*HORAS_CAPTACAO_DIA-P239))</f>
        <v>917240.519529413</v>
      </c>
      <c r="R239" s="16" t="n">
        <f aca="false">MAX(0,P239-CADASTRO_CASAS_BOMBA!$I$10*HORAS_CAPTACAO_DIA-Q238)</f>
        <v>0</v>
      </c>
      <c r="S239" s="16" t="n">
        <f aca="false">INDEX(AUX_MATRIZES!$C$13:$BP$13,MIN(N_SEMANAS,MAX(1,$C239)))/DIAS_POR_SEMANA</f>
        <v>34065.0448707355</v>
      </c>
      <c r="T239" s="16" t="n">
        <f aca="false">MIN(CADASTRO_CASAS_BOMBA!$O$11,MAX(0,T238+CADASTRO_CASAS_BOMBA!$I$11*HORAS_CAPTACAO_DIA-S239))</f>
        <v>254724.677293621</v>
      </c>
      <c r="U239" s="16" t="n">
        <f aca="false">MAX(0,S239-CADASTRO_CASAS_BOMBA!$I$11*HORAS_CAPTACAO_DIA-T238)</f>
        <v>0</v>
      </c>
      <c r="V239" s="16" t="n">
        <f aca="false">INDEX(AUX_MATRIZES!$C$14:$BP$14,MIN(N_SEMANAS,MAX(1,$C239)))/DIAS_POR_SEMANA</f>
        <v>40484.4556631473</v>
      </c>
      <c r="W239" s="16" t="n">
        <f aca="false">MIN(CADASTRO_CASAS_BOMBA!$O$12,MAX(0,W238+CADASTRO_CASAS_BOMBA!$I$12*HORAS_CAPTACAO_DIA-V239))</f>
        <v>264369.531550067</v>
      </c>
      <c r="X239" s="16" t="n">
        <f aca="false">MAX(0,V239-CADASTRO_CASAS_BOMBA!$I$12*HORAS_CAPTACAO_DIA-W238)</f>
        <v>0</v>
      </c>
      <c r="Y239" s="16" t="n">
        <f aca="false">INDEX(AUX_MATRIZES!$C$15:$BP$15,MIN(N_SEMANAS,MAX(1,$C239)))/DIAS_POR_SEMANA</f>
        <v>0</v>
      </c>
      <c r="Z239" s="16" t="n">
        <f aca="false">MIN(CADASTRO_CASAS_BOMBA!$O$13,MAX(0,Z238+CADASTRO_CASAS_BOMBA!$I$13*HORAS_CAPTACAO_DIA-Y239))</f>
        <v>74903</v>
      </c>
      <c r="AA239" s="16" t="n">
        <f aca="false">MAX(0,Y239-CADASTRO_CASAS_BOMBA!$I$13*HORAS_CAPTACAO_DIA-Z238)</f>
        <v>0</v>
      </c>
    </row>
    <row r="240" customFormat="false" ht="15" hidden="false" customHeight="false" outlineLevel="0" collapsed="false">
      <c r="B240" s="17" t="n">
        <f aca="false">DATA_INICIO_SAFRA+233</f>
        <v>46498</v>
      </c>
      <c r="C240" s="16" t="n">
        <f aca="false">MIN(N_SEMANAS,MAX(1,INT(($B240-DATA_INICIO_SAFRA)/DIAS_POR_SEMANA)+1))</f>
        <v>34</v>
      </c>
      <c r="D240" s="16" t="n">
        <f aca="false">INDEX(AUX_MATRIZES!$C$8:$BP$8,MIN(N_SEMANAS,MAX(1,$C240)))/DIAS_POR_SEMANA</f>
        <v>3587.19605221023</v>
      </c>
      <c r="E240" s="16" t="n">
        <f aca="false">MIN(CADASTRO_CASAS_BOMBA!$O$6,MAX(0,E239+CADASTRO_CASAS_BOMBA!$I$6*HORAS_CAPTACAO_DIA-D240))</f>
        <v>2600</v>
      </c>
      <c r="F240" s="16" t="n">
        <f aca="false">MAX(0,D240-CADASTRO_CASAS_BOMBA!$I$6*HORAS_CAPTACAO_DIA-E239)</f>
        <v>0</v>
      </c>
      <c r="G240" s="16" t="n">
        <f aca="false">INDEX(AUX_MATRIZES!$C$9:$BP$9,MIN(N_SEMANAS,MAX(1,$C240)))/DIAS_POR_SEMANA</f>
        <v>7535.39522875817</v>
      </c>
      <c r="H240" s="16" t="n">
        <f aca="false">MIN(CADASTRO_CASAS_BOMBA!$O$7,MAX(0,H239+CADASTRO_CASAS_BOMBA!$I$7*HORAS_CAPTACAO_DIA-G240))</f>
        <v>76648</v>
      </c>
      <c r="I240" s="16" t="n">
        <f aca="false">MAX(0,G240-CADASTRO_CASAS_BOMBA!$I$7*HORAS_CAPTACAO_DIA-H239)</f>
        <v>0</v>
      </c>
      <c r="J240" s="16" t="n">
        <f aca="false">INDEX(AUX_MATRIZES!$C$10:$BP$10,MIN(N_SEMANAS,MAX(1,$C240)))/DIAS_POR_SEMANA</f>
        <v>6886.28242394709</v>
      </c>
      <c r="K240" s="16" t="n">
        <f aca="false">MIN(CADASTRO_CASAS_BOMBA!$O$8,MAX(0,K239+CADASTRO_CASAS_BOMBA!$I$8*HORAS_CAPTACAO_DIA-J240))</f>
        <v>27377</v>
      </c>
      <c r="L240" s="16" t="n">
        <f aca="false">MAX(0,J240-CADASTRO_CASAS_BOMBA!$I$8*HORAS_CAPTACAO_DIA-K239)</f>
        <v>0</v>
      </c>
      <c r="M240" s="16" t="n">
        <f aca="false">INDEX(AUX_MATRIZES!$C$11:$BP$11,MIN(N_SEMANAS,MAX(1,$C240)))/DIAS_POR_SEMANA</f>
        <v>20460.1304822679</v>
      </c>
      <c r="N240" s="16" t="n">
        <f aca="false">MIN(CADASTRO_CASAS_BOMBA!$O$9,MAX(0,N239+CADASTRO_CASAS_BOMBA!$I$9*HORAS_CAPTACAO_DIA-M240))</f>
        <v>129000</v>
      </c>
      <c r="O240" s="16" t="n">
        <f aca="false">MAX(0,M240-CADASTRO_CASAS_BOMBA!$I$9*HORAS_CAPTACAO_DIA-N239)</f>
        <v>0</v>
      </c>
      <c r="P240" s="16" t="n">
        <f aca="false">INDEX(AUX_MATRIZES!$C$12:$BP$12,MIN(N_SEMANAS,MAX(1,$C240)))/DIAS_POR_SEMANA</f>
        <v>17927.3910588235</v>
      </c>
      <c r="Q240" s="16" t="n">
        <f aca="false">MIN(CADASTRO_CASAS_BOMBA!$O$10,MAX(0,Q239+CADASTRO_CASAS_BOMBA!$I$10*HORAS_CAPTACAO_DIA-P240))</f>
        <v>912395.528470589</v>
      </c>
      <c r="R240" s="16" t="n">
        <f aca="false">MAX(0,P240-CADASTRO_CASAS_BOMBA!$I$10*HORAS_CAPTACAO_DIA-Q239)</f>
        <v>0</v>
      </c>
      <c r="S240" s="16" t="n">
        <f aca="false">INDEX(AUX_MATRIZES!$C$13:$BP$13,MIN(N_SEMANAS,MAX(1,$C240)))/DIAS_POR_SEMANA</f>
        <v>34065.0448707355</v>
      </c>
      <c r="T240" s="16" t="n">
        <f aca="false">MIN(CADASTRO_CASAS_BOMBA!$O$11,MAX(0,T239+CADASTRO_CASAS_BOMBA!$I$11*HORAS_CAPTACAO_DIA-S240))</f>
        <v>242079.632422886</v>
      </c>
      <c r="U240" s="16" t="n">
        <f aca="false">MAX(0,S240-CADASTRO_CASAS_BOMBA!$I$11*HORAS_CAPTACAO_DIA-T239)</f>
        <v>0</v>
      </c>
      <c r="V240" s="16" t="n">
        <f aca="false">INDEX(AUX_MATRIZES!$C$14:$BP$14,MIN(N_SEMANAS,MAX(1,$C240)))/DIAS_POR_SEMANA</f>
        <v>40484.4556631473</v>
      </c>
      <c r="W240" s="16" t="n">
        <f aca="false">MIN(CADASTRO_CASAS_BOMBA!$O$12,MAX(0,W239+CADASTRO_CASAS_BOMBA!$I$12*HORAS_CAPTACAO_DIA-V240))</f>
        <v>249265.07588692</v>
      </c>
      <c r="X240" s="16" t="n">
        <f aca="false">MAX(0,V240-CADASTRO_CASAS_BOMBA!$I$12*HORAS_CAPTACAO_DIA-W239)</f>
        <v>0</v>
      </c>
      <c r="Y240" s="16" t="n">
        <f aca="false">INDEX(AUX_MATRIZES!$C$15:$BP$15,MIN(N_SEMANAS,MAX(1,$C240)))/DIAS_POR_SEMANA</f>
        <v>0</v>
      </c>
      <c r="Z240" s="16" t="n">
        <f aca="false">MIN(CADASTRO_CASAS_BOMBA!$O$13,MAX(0,Z239+CADASTRO_CASAS_BOMBA!$I$13*HORAS_CAPTACAO_DIA-Y240))</f>
        <v>74903</v>
      </c>
      <c r="AA240" s="16" t="n">
        <f aca="false">MAX(0,Y240-CADASTRO_CASAS_BOMBA!$I$13*HORAS_CAPTACAO_DIA-Z239)</f>
        <v>0</v>
      </c>
    </row>
    <row r="241" customFormat="false" ht="15" hidden="false" customHeight="false" outlineLevel="0" collapsed="false">
      <c r="B241" s="17" t="n">
        <f aca="false">DATA_INICIO_SAFRA+234</f>
        <v>46499</v>
      </c>
      <c r="C241" s="16" t="n">
        <f aca="false">MIN(N_SEMANAS,MAX(1,INT(($B241-DATA_INICIO_SAFRA)/DIAS_POR_SEMANA)+1))</f>
        <v>34</v>
      </c>
      <c r="D241" s="16" t="n">
        <f aca="false">INDEX(AUX_MATRIZES!$C$8:$BP$8,MIN(N_SEMANAS,MAX(1,$C241)))/DIAS_POR_SEMANA</f>
        <v>3587.19605221023</v>
      </c>
      <c r="E241" s="16" t="n">
        <f aca="false">MIN(CADASTRO_CASAS_BOMBA!$O$6,MAX(0,E240+CADASTRO_CASAS_BOMBA!$I$6*HORAS_CAPTACAO_DIA-D241))</f>
        <v>2600</v>
      </c>
      <c r="F241" s="16" t="n">
        <f aca="false">MAX(0,D241-CADASTRO_CASAS_BOMBA!$I$6*HORAS_CAPTACAO_DIA-E240)</f>
        <v>0</v>
      </c>
      <c r="G241" s="16" t="n">
        <f aca="false">INDEX(AUX_MATRIZES!$C$9:$BP$9,MIN(N_SEMANAS,MAX(1,$C241)))/DIAS_POR_SEMANA</f>
        <v>7535.39522875817</v>
      </c>
      <c r="H241" s="16" t="n">
        <f aca="false">MIN(CADASTRO_CASAS_BOMBA!$O$7,MAX(0,H240+CADASTRO_CASAS_BOMBA!$I$7*HORAS_CAPTACAO_DIA-G241))</f>
        <v>76648</v>
      </c>
      <c r="I241" s="16" t="n">
        <f aca="false">MAX(0,G241-CADASTRO_CASAS_BOMBA!$I$7*HORAS_CAPTACAO_DIA-H240)</f>
        <v>0</v>
      </c>
      <c r="J241" s="16" t="n">
        <f aca="false">INDEX(AUX_MATRIZES!$C$10:$BP$10,MIN(N_SEMANAS,MAX(1,$C241)))/DIAS_POR_SEMANA</f>
        <v>6886.28242394709</v>
      </c>
      <c r="K241" s="16" t="n">
        <f aca="false">MIN(CADASTRO_CASAS_BOMBA!$O$8,MAX(0,K240+CADASTRO_CASAS_BOMBA!$I$8*HORAS_CAPTACAO_DIA-J241))</f>
        <v>27377</v>
      </c>
      <c r="L241" s="16" t="n">
        <f aca="false">MAX(0,J241-CADASTRO_CASAS_BOMBA!$I$8*HORAS_CAPTACAO_DIA-K240)</f>
        <v>0</v>
      </c>
      <c r="M241" s="16" t="n">
        <f aca="false">INDEX(AUX_MATRIZES!$C$11:$BP$11,MIN(N_SEMANAS,MAX(1,$C241)))/DIAS_POR_SEMANA</f>
        <v>20460.1304822679</v>
      </c>
      <c r="N241" s="16" t="n">
        <f aca="false">MIN(CADASTRO_CASAS_BOMBA!$O$9,MAX(0,N240+CADASTRO_CASAS_BOMBA!$I$9*HORAS_CAPTACAO_DIA-M241))</f>
        <v>129000</v>
      </c>
      <c r="O241" s="16" t="n">
        <f aca="false">MAX(0,M241-CADASTRO_CASAS_BOMBA!$I$9*HORAS_CAPTACAO_DIA-N240)</f>
        <v>0</v>
      </c>
      <c r="P241" s="16" t="n">
        <f aca="false">INDEX(AUX_MATRIZES!$C$12:$BP$12,MIN(N_SEMANAS,MAX(1,$C241)))/DIAS_POR_SEMANA</f>
        <v>17927.3910588235</v>
      </c>
      <c r="Q241" s="16" t="n">
        <f aca="false">MIN(CADASTRO_CASAS_BOMBA!$O$10,MAX(0,Q240+CADASTRO_CASAS_BOMBA!$I$10*HORAS_CAPTACAO_DIA-P241))</f>
        <v>907550.537411765</v>
      </c>
      <c r="R241" s="16" t="n">
        <f aca="false">MAX(0,P241-CADASTRO_CASAS_BOMBA!$I$10*HORAS_CAPTACAO_DIA-Q240)</f>
        <v>0</v>
      </c>
      <c r="S241" s="16" t="n">
        <f aca="false">INDEX(AUX_MATRIZES!$C$13:$BP$13,MIN(N_SEMANAS,MAX(1,$C241)))/DIAS_POR_SEMANA</f>
        <v>34065.0448707355</v>
      </c>
      <c r="T241" s="16" t="n">
        <f aca="false">MIN(CADASTRO_CASAS_BOMBA!$O$11,MAX(0,T240+CADASTRO_CASAS_BOMBA!$I$11*HORAS_CAPTACAO_DIA-S241))</f>
        <v>229434.58755215</v>
      </c>
      <c r="U241" s="16" t="n">
        <f aca="false">MAX(0,S241-CADASTRO_CASAS_BOMBA!$I$11*HORAS_CAPTACAO_DIA-T240)</f>
        <v>0</v>
      </c>
      <c r="V241" s="16" t="n">
        <f aca="false">INDEX(AUX_MATRIZES!$C$14:$BP$14,MIN(N_SEMANAS,MAX(1,$C241)))/DIAS_POR_SEMANA</f>
        <v>40484.4556631473</v>
      </c>
      <c r="W241" s="16" t="n">
        <f aca="false">MIN(CADASTRO_CASAS_BOMBA!$O$12,MAX(0,W240+CADASTRO_CASAS_BOMBA!$I$12*HORAS_CAPTACAO_DIA-V241))</f>
        <v>234160.620223772</v>
      </c>
      <c r="X241" s="16" t="n">
        <f aca="false">MAX(0,V241-CADASTRO_CASAS_BOMBA!$I$12*HORAS_CAPTACAO_DIA-W240)</f>
        <v>0</v>
      </c>
      <c r="Y241" s="16" t="n">
        <f aca="false">INDEX(AUX_MATRIZES!$C$15:$BP$15,MIN(N_SEMANAS,MAX(1,$C241)))/DIAS_POR_SEMANA</f>
        <v>0</v>
      </c>
      <c r="Z241" s="16" t="n">
        <f aca="false">MIN(CADASTRO_CASAS_BOMBA!$O$13,MAX(0,Z240+CADASTRO_CASAS_BOMBA!$I$13*HORAS_CAPTACAO_DIA-Y241))</f>
        <v>74903</v>
      </c>
      <c r="AA241" s="16" t="n">
        <f aca="false">MAX(0,Y241-CADASTRO_CASAS_BOMBA!$I$13*HORAS_CAPTACAO_DIA-Z240)</f>
        <v>0</v>
      </c>
    </row>
    <row r="242" customFormat="false" ht="15" hidden="false" customHeight="false" outlineLevel="0" collapsed="false">
      <c r="B242" s="17" t="n">
        <f aca="false">DATA_INICIO_SAFRA+235</f>
        <v>46500</v>
      </c>
      <c r="C242" s="16" t="n">
        <f aca="false">MIN(N_SEMANAS,MAX(1,INT(($B242-DATA_INICIO_SAFRA)/DIAS_POR_SEMANA)+1))</f>
        <v>34</v>
      </c>
      <c r="D242" s="16" t="n">
        <f aca="false">INDEX(AUX_MATRIZES!$C$8:$BP$8,MIN(N_SEMANAS,MAX(1,$C242)))/DIAS_POR_SEMANA</f>
        <v>3587.19605221023</v>
      </c>
      <c r="E242" s="16" t="n">
        <f aca="false">MIN(CADASTRO_CASAS_BOMBA!$O$6,MAX(0,E241+CADASTRO_CASAS_BOMBA!$I$6*HORAS_CAPTACAO_DIA-D242))</f>
        <v>2600</v>
      </c>
      <c r="F242" s="16" t="n">
        <f aca="false">MAX(0,D242-CADASTRO_CASAS_BOMBA!$I$6*HORAS_CAPTACAO_DIA-E241)</f>
        <v>0</v>
      </c>
      <c r="G242" s="16" t="n">
        <f aca="false">INDEX(AUX_MATRIZES!$C$9:$BP$9,MIN(N_SEMANAS,MAX(1,$C242)))/DIAS_POR_SEMANA</f>
        <v>7535.39522875817</v>
      </c>
      <c r="H242" s="16" t="n">
        <f aca="false">MIN(CADASTRO_CASAS_BOMBA!$O$7,MAX(0,H241+CADASTRO_CASAS_BOMBA!$I$7*HORAS_CAPTACAO_DIA-G242))</f>
        <v>76648</v>
      </c>
      <c r="I242" s="16" t="n">
        <f aca="false">MAX(0,G242-CADASTRO_CASAS_BOMBA!$I$7*HORAS_CAPTACAO_DIA-H241)</f>
        <v>0</v>
      </c>
      <c r="J242" s="16" t="n">
        <f aca="false">INDEX(AUX_MATRIZES!$C$10:$BP$10,MIN(N_SEMANAS,MAX(1,$C242)))/DIAS_POR_SEMANA</f>
        <v>6886.28242394709</v>
      </c>
      <c r="K242" s="16" t="n">
        <f aca="false">MIN(CADASTRO_CASAS_BOMBA!$O$8,MAX(0,K241+CADASTRO_CASAS_BOMBA!$I$8*HORAS_CAPTACAO_DIA-J242))</f>
        <v>27377</v>
      </c>
      <c r="L242" s="16" t="n">
        <f aca="false">MAX(0,J242-CADASTRO_CASAS_BOMBA!$I$8*HORAS_CAPTACAO_DIA-K241)</f>
        <v>0</v>
      </c>
      <c r="M242" s="16" t="n">
        <f aca="false">INDEX(AUX_MATRIZES!$C$11:$BP$11,MIN(N_SEMANAS,MAX(1,$C242)))/DIAS_POR_SEMANA</f>
        <v>20460.1304822679</v>
      </c>
      <c r="N242" s="16" t="n">
        <f aca="false">MIN(CADASTRO_CASAS_BOMBA!$O$9,MAX(0,N241+CADASTRO_CASAS_BOMBA!$I$9*HORAS_CAPTACAO_DIA-M242))</f>
        <v>129000</v>
      </c>
      <c r="O242" s="16" t="n">
        <f aca="false">MAX(0,M242-CADASTRO_CASAS_BOMBA!$I$9*HORAS_CAPTACAO_DIA-N241)</f>
        <v>0</v>
      </c>
      <c r="P242" s="16" t="n">
        <f aca="false">INDEX(AUX_MATRIZES!$C$12:$BP$12,MIN(N_SEMANAS,MAX(1,$C242)))/DIAS_POR_SEMANA</f>
        <v>17927.3910588235</v>
      </c>
      <c r="Q242" s="16" t="n">
        <f aca="false">MIN(CADASTRO_CASAS_BOMBA!$O$10,MAX(0,Q241+CADASTRO_CASAS_BOMBA!$I$10*HORAS_CAPTACAO_DIA-P242))</f>
        <v>902705.546352942</v>
      </c>
      <c r="R242" s="16" t="n">
        <f aca="false">MAX(0,P242-CADASTRO_CASAS_BOMBA!$I$10*HORAS_CAPTACAO_DIA-Q241)</f>
        <v>0</v>
      </c>
      <c r="S242" s="16" t="n">
        <f aca="false">INDEX(AUX_MATRIZES!$C$13:$BP$13,MIN(N_SEMANAS,MAX(1,$C242)))/DIAS_POR_SEMANA</f>
        <v>34065.0448707355</v>
      </c>
      <c r="T242" s="16" t="n">
        <f aca="false">MIN(CADASTRO_CASAS_BOMBA!$O$11,MAX(0,T241+CADASTRO_CASAS_BOMBA!$I$11*HORAS_CAPTACAO_DIA-S242))</f>
        <v>216789.542681415</v>
      </c>
      <c r="U242" s="16" t="n">
        <f aca="false">MAX(0,S242-CADASTRO_CASAS_BOMBA!$I$11*HORAS_CAPTACAO_DIA-T241)</f>
        <v>0</v>
      </c>
      <c r="V242" s="16" t="n">
        <f aca="false">INDEX(AUX_MATRIZES!$C$14:$BP$14,MIN(N_SEMANAS,MAX(1,$C242)))/DIAS_POR_SEMANA</f>
        <v>40484.4556631473</v>
      </c>
      <c r="W242" s="16" t="n">
        <f aca="false">MIN(CADASTRO_CASAS_BOMBA!$O$12,MAX(0,W241+CADASTRO_CASAS_BOMBA!$I$12*HORAS_CAPTACAO_DIA-V242))</f>
        <v>219056.164560625</v>
      </c>
      <c r="X242" s="16" t="n">
        <f aca="false">MAX(0,V242-CADASTRO_CASAS_BOMBA!$I$12*HORAS_CAPTACAO_DIA-W241)</f>
        <v>0</v>
      </c>
      <c r="Y242" s="16" t="n">
        <f aca="false">INDEX(AUX_MATRIZES!$C$15:$BP$15,MIN(N_SEMANAS,MAX(1,$C242)))/DIAS_POR_SEMANA</f>
        <v>0</v>
      </c>
      <c r="Z242" s="16" t="n">
        <f aca="false">MIN(CADASTRO_CASAS_BOMBA!$O$13,MAX(0,Z241+CADASTRO_CASAS_BOMBA!$I$13*HORAS_CAPTACAO_DIA-Y242))</f>
        <v>74903</v>
      </c>
      <c r="AA242" s="16" t="n">
        <f aca="false">MAX(0,Y242-CADASTRO_CASAS_BOMBA!$I$13*HORAS_CAPTACAO_DIA-Z241)</f>
        <v>0</v>
      </c>
    </row>
    <row r="243" customFormat="false" ht="15" hidden="false" customHeight="false" outlineLevel="0" collapsed="false">
      <c r="B243" s="17" t="n">
        <f aca="false">DATA_INICIO_SAFRA+236</f>
        <v>46501</v>
      </c>
      <c r="C243" s="16" t="n">
        <f aca="false">MIN(N_SEMANAS,MAX(1,INT(($B243-DATA_INICIO_SAFRA)/DIAS_POR_SEMANA)+1))</f>
        <v>34</v>
      </c>
      <c r="D243" s="16" t="n">
        <f aca="false">INDEX(AUX_MATRIZES!$C$8:$BP$8,MIN(N_SEMANAS,MAX(1,$C243)))/DIAS_POR_SEMANA</f>
        <v>3587.19605221023</v>
      </c>
      <c r="E243" s="16" t="n">
        <f aca="false">MIN(CADASTRO_CASAS_BOMBA!$O$6,MAX(0,E242+CADASTRO_CASAS_BOMBA!$I$6*HORAS_CAPTACAO_DIA-D243))</f>
        <v>2600</v>
      </c>
      <c r="F243" s="16" t="n">
        <f aca="false">MAX(0,D243-CADASTRO_CASAS_BOMBA!$I$6*HORAS_CAPTACAO_DIA-E242)</f>
        <v>0</v>
      </c>
      <c r="G243" s="16" t="n">
        <f aca="false">INDEX(AUX_MATRIZES!$C$9:$BP$9,MIN(N_SEMANAS,MAX(1,$C243)))/DIAS_POR_SEMANA</f>
        <v>7535.39522875817</v>
      </c>
      <c r="H243" s="16" t="n">
        <f aca="false">MIN(CADASTRO_CASAS_BOMBA!$O$7,MAX(0,H242+CADASTRO_CASAS_BOMBA!$I$7*HORAS_CAPTACAO_DIA-G243))</f>
        <v>76648</v>
      </c>
      <c r="I243" s="16" t="n">
        <f aca="false">MAX(0,G243-CADASTRO_CASAS_BOMBA!$I$7*HORAS_CAPTACAO_DIA-H242)</f>
        <v>0</v>
      </c>
      <c r="J243" s="16" t="n">
        <f aca="false">INDEX(AUX_MATRIZES!$C$10:$BP$10,MIN(N_SEMANAS,MAX(1,$C243)))/DIAS_POR_SEMANA</f>
        <v>6886.28242394709</v>
      </c>
      <c r="K243" s="16" t="n">
        <f aca="false">MIN(CADASTRO_CASAS_BOMBA!$O$8,MAX(0,K242+CADASTRO_CASAS_BOMBA!$I$8*HORAS_CAPTACAO_DIA-J243))</f>
        <v>27377</v>
      </c>
      <c r="L243" s="16" t="n">
        <f aca="false">MAX(0,J243-CADASTRO_CASAS_BOMBA!$I$8*HORAS_CAPTACAO_DIA-K242)</f>
        <v>0</v>
      </c>
      <c r="M243" s="16" t="n">
        <f aca="false">INDEX(AUX_MATRIZES!$C$11:$BP$11,MIN(N_SEMANAS,MAX(1,$C243)))/DIAS_POR_SEMANA</f>
        <v>20460.1304822679</v>
      </c>
      <c r="N243" s="16" t="n">
        <f aca="false">MIN(CADASTRO_CASAS_BOMBA!$O$9,MAX(0,N242+CADASTRO_CASAS_BOMBA!$I$9*HORAS_CAPTACAO_DIA-M243))</f>
        <v>129000</v>
      </c>
      <c r="O243" s="16" t="n">
        <f aca="false">MAX(0,M243-CADASTRO_CASAS_BOMBA!$I$9*HORAS_CAPTACAO_DIA-N242)</f>
        <v>0</v>
      </c>
      <c r="P243" s="16" t="n">
        <f aca="false">INDEX(AUX_MATRIZES!$C$12:$BP$12,MIN(N_SEMANAS,MAX(1,$C243)))/DIAS_POR_SEMANA</f>
        <v>17927.3910588235</v>
      </c>
      <c r="Q243" s="16" t="n">
        <f aca="false">MIN(CADASTRO_CASAS_BOMBA!$O$10,MAX(0,Q242+CADASTRO_CASAS_BOMBA!$I$10*HORAS_CAPTACAO_DIA-P243))</f>
        <v>897860.555294118</v>
      </c>
      <c r="R243" s="16" t="n">
        <f aca="false">MAX(0,P243-CADASTRO_CASAS_BOMBA!$I$10*HORAS_CAPTACAO_DIA-Q242)</f>
        <v>0</v>
      </c>
      <c r="S243" s="16" t="n">
        <f aca="false">INDEX(AUX_MATRIZES!$C$13:$BP$13,MIN(N_SEMANAS,MAX(1,$C243)))/DIAS_POR_SEMANA</f>
        <v>34065.0448707355</v>
      </c>
      <c r="T243" s="16" t="n">
        <f aca="false">MIN(CADASTRO_CASAS_BOMBA!$O$11,MAX(0,T242+CADASTRO_CASAS_BOMBA!$I$11*HORAS_CAPTACAO_DIA-S243))</f>
        <v>204144.497810679</v>
      </c>
      <c r="U243" s="16" t="n">
        <f aca="false">MAX(0,S243-CADASTRO_CASAS_BOMBA!$I$11*HORAS_CAPTACAO_DIA-T242)</f>
        <v>0</v>
      </c>
      <c r="V243" s="16" t="n">
        <f aca="false">INDEX(AUX_MATRIZES!$C$14:$BP$14,MIN(N_SEMANAS,MAX(1,$C243)))/DIAS_POR_SEMANA</f>
        <v>40484.4556631473</v>
      </c>
      <c r="W243" s="16" t="n">
        <f aca="false">MIN(CADASTRO_CASAS_BOMBA!$O$12,MAX(0,W242+CADASTRO_CASAS_BOMBA!$I$12*HORAS_CAPTACAO_DIA-V243))</f>
        <v>203951.708897478</v>
      </c>
      <c r="X243" s="16" t="n">
        <f aca="false">MAX(0,V243-CADASTRO_CASAS_BOMBA!$I$12*HORAS_CAPTACAO_DIA-W242)</f>
        <v>0</v>
      </c>
      <c r="Y243" s="16" t="n">
        <f aca="false">INDEX(AUX_MATRIZES!$C$15:$BP$15,MIN(N_SEMANAS,MAX(1,$C243)))/DIAS_POR_SEMANA</f>
        <v>0</v>
      </c>
      <c r="Z243" s="16" t="n">
        <f aca="false">MIN(CADASTRO_CASAS_BOMBA!$O$13,MAX(0,Z242+CADASTRO_CASAS_BOMBA!$I$13*HORAS_CAPTACAO_DIA-Y243))</f>
        <v>74903</v>
      </c>
      <c r="AA243" s="16" t="n">
        <f aca="false">MAX(0,Y243-CADASTRO_CASAS_BOMBA!$I$13*HORAS_CAPTACAO_DIA-Z242)</f>
        <v>0</v>
      </c>
    </row>
    <row r="244" customFormat="false" ht="15" hidden="false" customHeight="false" outlineLevel="0" collapsed="false">
      <c r="B244" s="17" t="n">
        <f aca="false">DATA_INICIO_SAFRA+237</f>
        <v>46502</v>
      </c>
      <c r="C244" s="16" t="n">
        <f aca="false">MIN(N_SEMANAS,MAX(1,INT(($B244-DATA_INICIO_SAFRA)/DIAS_POR_SEMANA)+1))</f>
        <v>34</v>
      </c>
      <c r="D244" s="16" t="n">
        <f aca="false">INDEX(AUX_MATRIZES!$C$8:$BP$8,MIN(N_SEMANAS,MAX(1,$C244)))/DIAS_POR_SEMANA</f>
        <v>3587.19605221023</v>
      </c>
      <c r="E244" s="16" t="n">
        <f aca="false">MIN(CADASTRO_CASAS_BOMBA!$O$6,MAX(0,E243+CADASTRO_CASAS_BOMBA!$I$6*HORAS_CAPTACAO_DIA-D244))</f>
        <v>2600</v>
      </c>
      <c r="F244" s="16" t="n">
        <f aca="false">MAX(0,D244-CADASTRO_CASAS_BOMBA!$I$6*HORAS_CAPTACAO_DIA-E243)</f>
        <v>0</v>
      </c>
      <c r="G244" s="16" t="n">
        <f aca="false">INDEX(AUX_MATRIZES!$C$9:$BP$9,MIN(N_SEMANAS,MAX(1,$C244)))/DIAS_POR_SEMANA</f>
        <v>7535.39522875817</v>
      </c>
      <c r="H244" s="16" t="n">
        <f aca="false">MIN(CADASTRO_CASAS_BOMBA!$O$7,MAX(0,H243+CADASTRO_CASAS_BOMBA!$I$7*HORAS_CAPTACAO_DIA-G244))</f>
        <v>76648</v>
      </c>
      <c r="I244" s="16" t="n">
        <f aca="false">MAX(0,G244-CADASTRO_CASAS_BOMBA!$I$7*HORAS_CAPTACAO_DIA-H243)</f>
        <v>0</v>
      </c>
      <c r="J244" s="16" t="n">
        <f aca="false">INDEX(AUX_MATRIZES!$C$10:$BP$10,MIN(N_SEMANAS,MAX(1,$C244)))/DIAS_POR_SEMANA</f>
        <v>6886.28242394709</v>
      </c>
      <c r="K244" s="16" t="n">
        <f aca="false">MIN(CADASTRO_CASAS_BOMBA!$O$8,MAX(0,K243+CADASTRO_CASAS_BOMBA!$I$8*HORAS_CAPTACAO_DIA-J244))</f>
        <v>27377</v>
      </c>
      <c r="L244" s="16" t="n">
        <f aca="false">MAX(0,J244-CADASTRO_CASAS_BOMBA!$I$8*HORAS_CAPTACAO_DIA-K243)</f>
        <v>0</v>
      </c>
      <c r="M244" s="16" t="n">
        <f aca="false">INDEX(AUX_MATRIZES!$C$11:$BP$11,MIN(N_SEMANAS,MAX(1,$C244)))/DIAS_POR_SEMANA</f>
        <v>20460.1304822679</v>
      </c>
      <c r="N244" s="16" t="n">
        <f aca="false">MIN(CADASTRO_CASAS_BOMBA!$O$9,MAX(0,N243+CADASTRO_CASAS_BOMBA!$I$9*HORAS_CAPTACAO_DIA-M244))</f>
        <v>129000</v>
      </c>
      <c r="O244" s="16" t="n">
        <f aca="false">MAX(0,M244-CADASTRO_CASAS_BOMBA!$I$9*HORAS_CAPTACAO_DIA-N243)</f>
        <v>0</v>
      </c>
      <c r="P244" s="16" t="n">
        <f aca="false">INDEX(AUX_MATRIZES!$C$12:$BP$12,MIN(N_SEMANAS,MAX(1,$C244)))/DIAS_POR_SEMANA</f>
        <v>17927.3910588235</v>
      </c>
      <c r="Q244" s="16" t="n">
        <f aca="false">MIN(CADASTRO_CASAS_BOMBA!$O$10,MAX(0,Q243+CADASTRO_CASAS_BOMBA!$I$10*HORAS_CAPTACAO_DIA-P244))</f>
        <v>893015.564235295</v>
      </c>
      <c r="R244" s="16" t="n">
        <f aca="false">MAX(0,P244-CADASTRO_CASAS_BOMBA!$I$10*HORAS_CAPTACAO_DIA-Q243)</f>
        <v>0</v>
      </c>
      <c r="S244" s="16" t="n">
        <f aca="false">INDEX(AUX_MATRIZES!$C$13:$BP$13,MIN(N_SEMANAS,MAX(1,$C244)))/DIAS_POR_SEMANA</f>
        <v>34065.0448707355</v>
      </c>
      <c r="T244" s="16" t="n">
        <f aca="false">MIN(CADASTRO_CASAS_BOMBA!$O$11,MAX(0,T243+CADASTRO_CASAS_BOMBA!$I$11*HORAS_CAPTACAO_DIA-S244))</f>
        <v>191499.452939944</v>
      </c>
      <c r="U244" s="16" t="n">
        <f aca="false">MAX(0,S244-CADASTRO_CASAS_BOMBA!$I$11*HORAS_CAPTACAO_DIA-T243)</f>
        <v>0</v>
      </c>
      <c r="V244" s="16" t="n">
        <f aca="false">INDEX(AUX_MATRIZES!$C$14:$BP$14,MIN(N_SEMANAS,MAX(1,$C244)))/DIAS_POR_SEMANA</f>
        <v>40484.4556631473</v>
      </c>
      <c r="W244" s="16" t="n">
        <f aca="false">MIN(CADASTRO_CASAS_BOMBA!$O$12,MAX(0,W243+CADASTRO_CASAS_BOMBA!$I$12*HORAS_CAPTACAO_DIA-V244))</f>
        <v>188847.253234331</v>
      </c>
      <c r="X244" s="16" t="n">
        <f aca="false">MAX(0,V244-CADASTRO_CASAS_BOMBA!$I$12*HORAS_CAPTACAO_DIA-W243)</f>
        <v>0</v>
      </c>
      <c r="Y244" s="16" t="n">
        <f aca="false">INDEX(AUX_MATRIZES!$C$15:$BP$15,MIN(N_SEMANAS,MAX(1,$C244)))/DIAS_POR_SEMANA</f>
        <v>0</v>
      </c>
      <c r="Z244" s="16" t="n">
        <f aca="false">MIN(CADASTRO_CASAS_BOMBA!$O$13,MAX(0,Z243+CADASTRO_CASAS_BOMBA!$I$13*HORAS_CAPTACAO_DIA-Y244))</f>
        <v>74903</v>
      </c>
      <c r="AA244" s="16" t="n">
        <f aca="false">MAX(0,Y244-CADASTRO_CASAS_BOMBA!$I$13*HORAS_CAPTACAO_DIA-Z243)</f>
        <v>0</v>
      </c>
    </row>
    <row r="245" customFormat="false" ht="15" hidden="false" customHeight="false" outlineLevel="0" collapsed="false">
      <c r="B245" s="17" t="n">
        <f aca="false">DATA_INICIO_SAFRA+238</f>
        <v>46503</v>
      </c>
      <c r="C245" s="16" t="n">
        <f aca="false">MIN(N_SEMANAS,MAX(1,INT(($B245-DATA_INICIO_SAFRA)/DIAS_POR_SEMANA)+1))</f>
        <v>35</v>
      </c>
      <c r="D245" s="16" t="n">
        <f aca="false">INDEX(AUX_MATRIZES!$C$8:$BP$8,MIN(N_SEMANAS,MAX(1,$C245)))/DIAS_POR_SEMANA</f>
        <v>4204.52868907563</v>
      </c>
      <c r="E245" s="16" t="n">
        <f aca="false">MIN(CADASTRO_CASAS_BOMBA!$O$6,MAX(0,E244+CADASTRO_CASAS_BOMBA!$I$6*HORAS_CAPTACAO_DIA-D245))</f>
        <v>2600</v>
      </c>
      <c r="F245" s="16" t="n">
        <f aca="false">MAX(0,D245-CADASTRO_CASAS_BOMBA!$I$6*HORAS_CAPTACAO_DIA-E244)</f>
        <v>0</v>
      </c>
      <c r="G245" s="16" t="n">
        <f aca="false">INDEX(AUX_MATRIZES!$C$9:$BP$9,MIN(N_SEMANAS,MAX(1,$C245)))/DIAS_POR_SEMANA</f>
        <v>8288.28281189399</v>
      </c>
      <c r="H245" s="16" t="n">
        <f aca="false">MIN(CADASTRO_CASAS_BOMBA!$O$7,MAX(0,H244+CADASTRO_CASAS_BOMBA!$I$7*HORAS_CAPTACAO_DIA-G245))</f>
        <v>76648</v>
      </c>
      <c r="I245" s="16" t="n">
        <f aca="false">MAX(0,G245-CADASTRO_CASAS_BOMBA!$I$7*HORAS_CAPTACAO_DIA-H244)</f>
        <v>0</v>
      </c>
      <c r="J245" s="16" t="n">
        <f aca="false">INDEX(AUX_MATRIZES!$C$10:$BP$10,MIN(N_SEMANAS,MAX(1,$C245)))/DIAS_POR_SEMANA</f>
        <v>8458.66833613445</v>
      </c>
      <c r="K245" s="16" t="n">
        <f aca="false">MIN(CADASTRO_CASAS_BOMBA!$O$8,MAX(0,K244+CADASTRO_CASAS_BOMBA!$I$8*HORAS_CAPTACAO_DIA-J245))</f>
        <v>27377</v>
      </c>
      <c r="L245" s="16" t="n">
        <f aca="false">MAX(0,J245-CADASTRO_CASAS_BOMBA!$I$8*HORAS_CAPTACAO_DIA-K244)</f>
        <v>0</v>
      </c>
      <c r="M245" s="16" t="n">
        <f aca="false">INDEX(AUX_MATRIZES!$C$11:$BP$11,MIN(N_SEMANAS,MAX(1,$C245)))/DIAS_POR_SEMANA</f>
        <v>22278.7094727122</v>
      </c>
      <c r="N245" s="16" t="n">
        <f aca="false">MIN(CADASTRO_CASAS_BOMBA!$O$9,MAX(0,N244+CADASTRO_CASAS_BOMBA!$I$9*HORAS_CAPTACAO_DIA-M245))</f>
        <v>128351.890527288</v>
      </c>
      <c r="O245" s="16" t="n">
        <f aca="false">MAX(0,M245-CADASTRO_CASAS_BOMBA!$I$9*HORAS_CAPTACAO_DIA-N244)</f>
        <v>0</v>
      </c>
      <c r="P245" s="16" t="n">
        <f aca="false">INDEX(AUX_MATRIZES!$C$12:$BP$12,MIN(N_SEMANAS,MAX(1,$C245)))/DIAS_POR_SEMANA</f>
        <v>18738.5914725275</v>
      </c>
      <c r="Q245" s="16" t="n">
        <f aca="false">MIN(CADASTRO_CASAS_BOMBA!$O$10,MAX(0,Q244+CADASTRO_CASAS_BOMBA!$I$10*HORAS_CAPTACAO_DIA-P245))</f>
        <v>887359.372762767</v>
      </c>
      <c r="R245" s="16" t="n">
        <f aca="false">MAX(0,P245-CADASTRO_CASAS_BOMBA!$I$10*HORAS_CAPTACAO_DIA-Q244)</f>
        <v>0</v>
      </c>
      <c r="S245" s="16" t="n">
        <f aca="false">INDEX(AUX_MATRIZES!$C$13:$BP$13,MIN(N_SEMANAS,MAX(1,$C245)))/DIAS_POR_SEMANA</f>
        <v>33146.6904240119</v>
      </c>
      <c r="T245" s="16" t="n">
        <f aca="false">MIN(CADASTRO_CASAS_BOMBA!$O$11,MAX(0,T244+CADASTRO_CASAS_BOMBA!$I$11*HORAS_CAPTACAO_DIA-S245))</f>
        <v>179772.762515932</v>
      </c>
      <c r="U245" s="16" t="n">
        <f aca="false">MAX(0,S245-CADASTRO_CASAS_BOMBA!$I$11*HORAS_CAPTACAO_DIA-T244)</f>
        <v>0</v>
      </c>
      <c r="V245" s="16" t="n">
        <f aca="false">INDEX(AUX_MATRIZES!$C$14:$BP$14,MIN(N_SEMANAS,MAX(1,$C245)))/DIAS_POR_SEMANA</f>
        <v>46329.2191890976</v>
      </c>
      <c r="W245" s="16" t="n">
        <f aca="false">MIN(CADASTRO_CASAS_BOMBA!$O$12,MAX(0,W244+CADASTRO_CASAS_BOMBA!$I$12*HORAS_CAPTACAO_DIA-V245))</f>
        <v>167898.034045233</v>
      </c>
      <c r="X245" s="16" t="n">
        <f aca="false">MAX(0,V245-CADASTRO_CASAS_BOMBA!$I$12*HORAS_CAPTACAO_DIA-W244)</f>
        <v>0</v>
      </c>
      <c r="Y245" s="16" t="n">
        <f aca="false">INDEX(AUX_MATRIZES!$C$15:$BP$15,MIN(N_SEMANAS,MAX(1,$C245)))/DIAS_POR_SEMANA</f>
        <v>0</v>
      </c>
      <c r="Z245" s="16" t="n">
        <f aca="false">MIN(CADASTRO_CASAS_BOMBA!$O$13,MAX(0,Z244+CADASTRO_CASAS_BOMBA!$I$13*HORAS_CAPTACAO_DIA-Y245))</f>
        <v>74903</v>
      </c>
      <c r="AA245" s="16" t="n">
        <f aca="false">MAX(0,Y245-CADASTRO_CASAS_BOMBA!$I$13*HORAS_CAPTACAO_DIA-Z244)</f>
        <v>0</v>
      </c>
    </row>
    <row r="246" customFormat="false" ht="15" hidden="false" customHeight="false" outlineLevel="0" collapsed="false">
      <c r="B246" s="17" t="n">
        <f aca="false">DATA_INICIO_SAFRA+239</f>
        <v>46504</v>
      </c>
      <c r="C246" s="16" t="n">
        <f aca="false">MIN(N_SEMANAS,MAX(1,INT(($B246-DATA_INICIO_SAFRA)/DIAS_POR_SEMANA)+1))</f>
        <v>35</v>
      </c>
      <c r="D246" s="16" t="n">
        <f aca="false">INDEX(AUX_MATRIZES!$C$8:$BP$8,MIN(N_SEMANAS,MAX(1,$C246)))/DIAS_POR_SEMANA</f>
        <v>4204.52868907563</v>
      </c>
      <c r="E246" s="16" t="n">
        <f aca="false">MIN(CADASTRO_CASAS_BOMBA!$O$6,MAX(0,E245+CADASTRO_CASAS_BOMBA!$I$6*HORAS_CAPTACAO_DIA-D246))</f>
        <v>2600</v>
      </c>
      <c r="F246" s="16" t="n">
        <f aca="false">MAX(0,D246-CADASTRO_CASAS_BOMBA!$I$6*HORAS_CAPTACAO_DIA-E245)</f>
        <v>0</v>
      </c>
      <c r="G246" s="16" t="n">
        <f aca="false">INDEX(AUX_MATRIZES!$C$9:$BP$9,MIN(N_SEMANAS,MAX(1,$C246)))/DIAS_POR_SEMANA</f>
        <v>8288.28281189399</v>
      </c>
      <c r="H246" s="16" t="n">
        <f aca="false">MIN(CADASTRO_CASAS_BOMBA!$O$7,MAX(0,H245+CADASTRO_CASAS_BOMBA!$I$7*HORAS_CAPTACAO_DIA-G246))</f>
        <v>76648</v>
      </c>
      <c r="I246" s="16" t="n">
        <f aca="false">MAX(0,G246-CADASTRO_CASAS_BOMBA!$I$7*HORAS_CAPTACAO_DIA-H245)</f>
        <v>0</v>
      </c>
      <c r="J246" s="16" t="n">
        <f aca="false">INDEX(AUX_MATRIZES!$C$10:$BP$10,MIN(N_SEMANAS,MAX(1,$C246)))/DIAS_POR_SEMANA</f>
        <v>8458.66833613445</v>
      </c>
      <c r="K246" s="16" t="n">
        <f aca="false">MIN(CADASTRO_CASAS_BOMBA!$O$8,MAX(0,K245+CADASTRO_CASAS_BOMBA!$I$8*HORAS_CAPTACAO_DIA-J246))</f>
        <v>27377</v>
      </c>
      <c r="L246" s="16" t="n">
        <f aca="false">MAX(0,J246-CADASTRO_CASAS_BOMBA!$I$8*HORAS_CAPTACAO_DIA-K245)</f>
        <v>0</v>
      </c>
      <c r="M246" s="16" t="n">
        <f aca="false">INDEX(AUX_MATRIZES!$C$11:$BP$11,MIN(N_SEMANAS,MAX(1,$C246)))/DIAS_POR_SEMANA</f>
        <v>22278.7094727122</v>
      </c>
      <c r="N246" s="16" t="n">
        <f aca="false">MIN(CADASTRO_CASAS_BOMBA!$O$9,MAX(0,N245+CADASTRO_CASAS_BOMBA!$I$9*HORAS_CAPTACAO_DIA-M246))</f>
        <v>127703.781054576</v>
      </c>
      <c r="O246" s="16" t="n">
        <f aca="false">MAX(0,M246-CADASTRO_CASAS_BOMBA!$I$9*HORAS_CAPTACAO_DIA-N245)</f>
        <v>0</v>
      </c>
      <c r="P246" s="16" t="n">
        <f aca="false">INDEX(AUX_MATRIZES!$C$12:$BP$12,MIN(N_SEMANAS,MAX(1,$C246)))/DIAS_POR_SEMANA</f>
        <v>18738.5914725275</v>
      </c>
      <c r="Q246" s="16" t="n">
        <f aca="false">MIN(CADASTRO_CASAS_BOMBA!$O$10,MAX(0,Q245+CADASTRO_CASAS_BOMBA!$I$10*HORAS_CAPTACAO_DIA-P246))</f>
        <v>881703.18129024</v>
      </c>
      <c r="R246" s="16" t="n">
        <f aca="false">MAX(0,P246-CADASTRO_CASAS_BOMBA!$I$10*HORAS_CAPTACAO_DIA-Q245)</f>
        <v>0</v>
      </c>
      <c r="S246" s="16" t="n">
        <f aca="false">INDEX(AUX_MATRIZES!$C$13:$BP$13,MIN(N_SEMANAS,MAX(1,$C246)))/DIAS_POR_SEMANA</f>
        <v>33146.6904240119</v>
      </c>
      <c r="T246" s="16" t="n">
        <f aca="false">MIN(CADASTRO_CASAS_BOMBA!$O$11,MAX(0,T245+CADASTRO_CASAS_BOMBA!$I$11*HORAS_CAPTACAO_DIA-S246))</f>
        <v>168046.07209192</v>
      </c>
      <c r="U246" s="16" t="n">
        <f aca="false">MAX(0,S246-CADASTRO_CASAS_BOMBA!$I$11*HORAS_CAPTACAO_DIA-T245)</f>
        <v>0</v>
      </c>
      <c r="V246" s="16" t="n">
        <f aca="false">INDEX(AUX_MATRIZES!$C$14:$BP$14,MIN(N_SEMANAS,MAX(1,$C246)))/DIAS_POR_SEMANA</f>
        <v>46329.2191890976</v>
      </c>
      <c r="W246" s="16" t="n">
        <f aca="false">MIN(CADASTRO_CASAS_BOMBA!$O$12,MAX(0,W245+CADASTRO_CASAS_BOMBA!$I$12*HORAS_CAPTACAO_DIA-V246))</f>
        <v>146948.814856135</v>
      </c>
      <c r="X246" s="16" t="n">
        <f aca="false">MAX(0,V246-CADASTRO_CASAS_BOMBA!$I$12*HORAS_CAPTACAO_DIA-W245)</f>
        <v>0</v>
      </c>
      <c r="Y246" s="16" t="n">
        <f aca="false">INDEX(AUX_MATRIZES!$C$15:$BP$15,MIN(N_SEMANAS,MAX(1,$C246)))/DIAS_POR_SEMANA</f>
        <v>0</v>
      </c>
      <c r="Z246" s="16" t="n">
        <f aca="false">MIN(CADASTRO_CASAS_BOMBA!$O$13,MAX(0,Z245+CADASTRO_CASAS_BOMBA!$I$13*HORAS_CAPTACAO_DIA-Y246))</f>
        <v>74903</v>
      </c>
      <c r="AA246" s="16" t="n">
        <f aca="false">MAX(0,Y246-CADASTRO_CASAS_BOMBA!$I$13*HORAS_CAPTACAO_DIA-Z245)</f>
        <v>0</v>
      </c>
    </row>
    <row r="247" customFormat="false" ht="15" hidden="false" customHeight="false" outlineLevel="0" collapsed="false">
      <c r="B247" s="17" t="n">
        <f aca="false">DATA_INICIO_SAFRA+240</f>
        <v>46505</v>
      </c>
      <c r="C247" s="16" t="n">
        <f aca="false">MIN(N_SEMANAS,MAX(1,INT(($B247-DATA_INICIO_SAFRA)/DIAS_POR_SEMANA)+1))</f>
        <v>35</v>
      </c>
      <c r="D247" s="16" t="n">
        <f aca="false">INDEX(AUX_MATRIZES!$C$8:$BP$8,MIN(N_SEMANAS,MAX(1,$C247)))/DIAS_POR_SEMANA</f>
        <v>4204.52868907563</v>
      </c>
      <c r="E247" s="16" t="n">
        <f aca="false">MIN(CADASTRO_CASAS_BOMBA!$O$6,MAX(0,E246+CADASTRO_CASAS_BOMBA!$I$6*HORAS_CAPTACAO_DIA-D247))</f>
        <v>2600</v>
      </c>
      <c r="F247" s="16" t="n">
        <f aca="false">MAX(0,D247-CADASTRO_CASAS_BOMBA!$I$6*HORAS_CAPTACAO_DIA-E246)</f>
        <v>0</v>
      </c>
      <c r="G247" s="16" t="n">
        <f aca="false">INDEX(AUX_MATRIZES!$C$9:$BP$9,MIN(N_SEMANAS,MAX(1,$C247)))/DIAS_POR_SEMANA</f>
        <v>8288.28281189399</v>
      </c>
      <c r="H247" s="16" t="n">
        <f aca="false">MIN(CADASTRO_CASAS_BOMBA!$O$7,MAX(0,H246+CADASTRO_CASAS_BOMBA!$I$7*HORAS_CAPTACAO_DIA-G247))</f>
        <v>76648</v>
      </c>
      <c r="I247" s="16" t="n">
        <f aca="false">MAX(0,G247-CADASTRO_CASAS_BOMBA!$I$7*HORAS_CAPTACAO_DIA-H246)</f>
        <v>0</v>
      </c>
      <c r="J247" s="16" t="n">
        <f aca="false">INDEX(AUX_MATRIZES!$C$10:$BP$10,MIN(N_SEMANAS,MAX(1,$C247)))/DIAS_POR_SEMANA</f>
        <v>8458.66833613445</v>
      </c>
      <c r="K247" s="16" t="n">
        <f aca="false">MIN(CADASTRO_CASAS_BOMBA!$O$8,MAX(0,K246+CADASTRO_CASAS_BOMBA!$I$8*HORAS_CAPTACAO_DIA-J247))</f>
        <v>27377</v>
      </c>
      <c r="L247" s="16" t="n">
        <f aca="false">MAX(0,J247-CADASTRO_CASAS_BOMBA!$I$8*HORAS_CAPTACAO_DIA-K246)</f>
        <v>0</v>
      </c>
      <c r="M247" s="16" t="n">
        <f aca="false">INDEX(AUX_MATRIZES!$C$11:$BP$11,MIN(N_SEMANAS,MAX(1,$C247)))/DIAS_POR_SEMANA</f>
        <v>22278.7094727122</v>
      </c>
      <c r="N247" s="16" t="n">
        <f aca="false">MIN(CADASTRO_CASAS_BOMBA!$O$9,MAX(0,N246+CADASTRO_CASAS_BOMBA!$I$9*HORAS_CAPTACAO_DIA-M247))</f>
        <v>127055.671581864</v>
      </c>
      <c r="O247" s="16" t="n">
        <f aca="false">MAX(0,M247-CADASTRO_CASAS_BOMBA!$I$9*HORAS_CAPTACAO_DIA-N246)</f>
        <v>0</v>
      </c>
      <c r="P247" s="16" t="n">
        <f aca="false">INDEX(AUX_MATRIZES!$C$12:$BP$12,MIN(N_SEMANAS,MAX(1,$C247)))/DIAS_POR_SEMANA</f>
        <v>18738.5914725275</v>
      </c>
      <c r="Q247" s="16" t="n">
        <f aca="false">MIN(CADASTRO_CASAS_BOMBA!$O$10,MAX(0,Q246+CADASTRO_CASAS_BOMBA!$I$10*HORAS_CAPTACAO_DIA-P247))</f>
        <v>876046.989817713</v>
      </c>
      <c r="R247" s="16" t="n">
        <f aca="false">MAX(0,P247-CADASTRO_CASAS_BOMBA!$I$10*HORAS_CAPTACAO_DIA-Q246)</f>
        <v>0</v>
      </c>
      <c r="S247" s="16" t="n">
        <f aca="false">INDEX(AUX_MATRIZES!$C$13:$BP$13,MIN(N_SEMANAS,MAX(1,$C247)))/DIAS_POR_SEMANA</f>
        <v>33146.6904240119</v>
      </c>
      <c r="T247" s="16" t="n">
        <f aca="false">MIN(CADASTRO_CASAS_BOMBA!$O$11,MAX(0,T246+CADASTRO_CASAS_BOMBA!$I$11*HORAS_CAPTACAO_DIA-S247))</f>
        <v>156319.381667908</v>
      </c>
      <c r="U247" s="16" t="n">
        <f aca="false">MAX(0,S247-CADASTRO_CASAS_BOMBA!$I$11*HORAS_CAPTACAO_DIA-T246)</f>
        <v>0</v>
      </c>
      <c r="V247" s="16" t="n">
        <f aca="false">INDEX(AUX_MATRIZES!$C$14:$BP$14,MIN(N_SEMANAS,MAX(1,$C247)))/DIAS_POR_SEMANA</f>
        <v>46329.2191890976</v>
      </c>
      <c r="W247" s="16" t="n">
        <f aca="false">MIN(CADASTRO_CASAS_BOMBA!$O$12,MAX(0,W246+CADASTRO_CASAS_BOMBA!$I$12*HORAS_CAPTACAO_DIA-V247))</f>
        <v>125999.595667038</v>
      </c>
      <c r="X247" s="16" t="n">
        <f aca="false">MAX(0,V247-CADASTRO_CASAS_BOMBA!$I$12*HORAS_CAPTACAO_DIA-W246)</f>
        <v>0</v>
      </c>
      <c r="Y247" s="16" t="n">
        <f aca="false">INDEX(AUX_MATRIZES!$C$15:$BP$15,MIN(N_SEMANAS,MAX(1,$C247)))/DIAS_POR_SEMANA</f>
        <v>0</v>
      </c>
      <c r="Z247" s="16" t="n">
        <f aca="false">MIN(CADASTRO_CASAS_BOMBA!$O$13,MAX(0,Z246+CADASTRO_CASAS_BOMBA!$I$13*HORAS_CAPTACAO_DIA-Y247))</f>
        <v>74903</v>
      </c>
      <c r="AA247" s="16" t="n">
        <f aca="false">MAX(0,Y247-CADASTRO_CASAS_BOMBA!$I$13*HORAS_CAPTACAO_DIA-Z246)</f>
        <v>0</v>
      </c>
    </row>
    <row r="248" customFormat="false" ht="15" hidden="false" customHeight="false" outlineLevel="0" collapsed="false">
      <c r="B248" s="17" t="n">
        <f aca="false">DATA_INICIO_SAFRA+241</f>
        <v>46506</v>
      </c>
      <c r="C248" s="16" t="n">
        <f aca="false">MIN(N_SEMANAS,MAX(1,INT(($B248-DATA_INICIO_SAFRA)/DIAS_POR_SEMANA)+1))</f>
        <v>35</v>
      </c>
      <c r="D248" s="16" t="n">
        <f aca="false">INDEX(AUX_MATRIZES!$C$8:$BP$8,MIN(N_SEMANAS,MAX(1,$C248)))/DIAS_POR_SEMANA</f>
        <v>4204.52868907563</v>
      </c>
      <c r="E248" s="16" t="n">
        <f aca="false">MIN(CADASTRO_CASAS_BOMBA!$O$6,MAX(0,E247+CADASTRO_CASAS_BOMBA!$I$6*HORAS_CAPTACAO_DIA-D248))</f>
        <v>2600</v>
      </c>
      <c r="F248" s="16" t="n">
        <f aca="false">MAX(0,D248-CADASTRO_CASAS_BOMBA!$I$6*HORAS_CAPTACAO_DIA-E247)</f>
        <v>0</v>
      </c>
      <c r="G248" s="16" t="n">
        <f aca="false">INDEX(AUX_MATRIZES!$C$9:$BP$9,MIN(N_SEMANAS,MAX(1,$C248)))/DIAS_POR_SEMANA</f>
        <v>8288.28281189399</v>
      </c>
      <c r="H248" s="16" t="n">
        <f aca="false">MIN(CADASTRO_CASAS_BOMBA!$O$7,MAX(0,H247+CADASTRO_CASAS_BOMBA!$I$7*HORAS_CAPTACAO_DIA-G248))</f>
        <v>76648</v>
      </c>
      <c r="I248" s="16" t="n">
        <f aca="false">MAX(0,G248-CADASTRO_CASAS_BOMBA!$I$7*HORAS_CAPTACAO_DIA-H247)</f>
        <v>0</v>
      </c>
      <c r="J248" s="16" t="n">
        <f aca="false">INDEX(AUX_MATRIZES!$C$10:$BP$10,MIN(N_SEMANAS,MAX(1,$C248)))/DIAS_POR_SEMANA</f>
        <v>8458.66833613445</v>
      </c>
      <c r="K248" s="16" t="n">
        <f aca="false">MIN(CADASTRO_CASAS_BOMBA!$O$8,MAX(0,K247+CADASTRO_CASAS_BOMBA!$I$8*HORAS_CAPTACAO_DIA-J248))</f>
        <v>27377</v>
      </c>
      <c r="L248" s="16" t="n">
        <f aca="false">MAX(0,J248-CADASTRO_CASAS_BOMBA!$I$8*HORAS_CAPTACAO_DIA-K247)</f>
        <v>0</v>
      </c>
      <c r="M248" s="16" t="n">
        <f aca="false">INDEX(AUX_MATRIZES!$C$11:$BP$11,MIN(N_SEMANAS,MAX(1,$C248)))/DIAS_POR_SEMANA</f>
        <v>22278.7094727122</v>
      </c>
      <c r="N248" s="16" t="n">
        <f aca="false">MIN(CADASTRO_CASAS_BOMBA!$O$9,MAX(0,N247+CADASTRO_CASAS_BOMBA!$I$9*HORAS_CAPTACAO_DIA-M248))</f>
        <v>126407.562109151</v>
      </c>
      <c r="O248" s="16" t="n">
        <f aca="false">MAX(0,M248-CADASTRO_CASAS_BOMBA!$I$9*HORAS_CAPTACAO_DIA-N247)</f>
        <v>0</v>
      </c>
      <c r="P248" s="16" t="n">
        <f aca="false">INDEX(AUX_MATRIZES!$C$12:$BP$12,MIN(N_SEMANAS,MAX(1,$C248)))/DIAS_POR_SEMANA</f>
        <v>18738.5914725275</v>
      </c>
      <c r="Q248" s="16" t="n">
        <f aca="false">MIN(CADASTRO_CASAS_BOMBA!$O$10,MAX(0,Q247+CADASTRO_CASAS_BOMBA!$I$10*HORAS_CAPTACAO_DIA-P248))</f>
        <v>870390.798345185</v>
      </c>
      <c r="R248" s="16" t="n">
        <f aca="false">MAX(0,P248-CADASTRO_CASAS_BOMBA!$I$10*HORAS_CAPTACAO_DIA-Q247)</f>
        <v>0</v>
      </c>
      <c r="S248" s="16" t="n">
        <f aca="false">INDEX(AUX_MATRIZES!$C$13:$BP$13,MIN(N_SEMANAS,MAX(1,$C248)))/DIAS_POR_SEMANA</f>
        <v>33146.6904240119</v>
      </c>
      <c r="T248" s="16" t="n">
        <f aca="false">MIN(CADASTRO_CASAS_BOMBA!$O$11,MAX(0,T247+CADASTRO_CASAS_BOMBA!$I$11*HORAS_CAPTACAO_DIA-S248))</f>
        <v>144592.691243896</v>
      </c>
      <c r="U248" s="16" t="n">
        <f aca="false">MAX(0,S248-CADASTRO_CASAS_BOMBA!$I$11*HORAS_CAPTACAO_DIA-T247)</f>
        <v>0</v>
      </c>
      <c r="V248" s="16" t="n">
        <f aca="false">INDEX(AUX_MATRIZES!$C$14:$BP$14,MIN(N_SEMANAS,MAX(1,$C248)))/DIAS_POR_SEMANA</f>
        <v>46329.2191890976</v>
      </c>
      <c r="W248" s="16" t="n">
        <f aca="false">MIN(CADASTRO_CASAS_BOMBA!$O$12,MAX(0,W247+CADASTRO_CASAS_BOMBA!$I$12*HORAS_CAPTACAO_DIA-V248))</f>
        <v>105050.37647794</v>
      </c>
      <c r="X248" s="16" t="n">
        <f aca="false">MAX(0,V248-CADASTRO_CASAS_BOMBA!$I$12*HORAS_CAPTACAO_DIA-W247)</f>
        <v>0</v>
      </c>
      <c r="Y248" s="16" t="n">
        <f aca="false">INDEX(AUX_MATRIZES!$C$15:$BP$15,MIN(N_SEMANAS,MAX(1,$C248)))/DIAS_POR_SEMANA</f>
        <v>0</v>
      </c>
      <c r="Z248" s="16" t="n">
        <f aca="false">MIN(CADASTRO_CASAS_BOMBA!$O$13,MAX(0,Z247+CADASTRO_CASAS_BOMBA!$I$13*HORAS_CAPTACAO_DIA-Y248))</f>
        <v>74903</v>
      </c>
      <c r="AA248" s="16" t="n">
        <f aca="false">MAX(0,Y248-CADASTRO_CASAS_BOMBA!$I$13*HORAS_CAPTACAO_DIA-Z247)</f>
        <v>0</v>
      </c>
    </row>
    <row r="249" customFormat="false" ht="15" hidden="false" customHeight="false" outlineLevel="0" collapsed="false">
      <c r="B249" s="17" t="n">
        <f aca="false">DATA_INICIO_SAFRA+242</f>
        <v>46507</v>
      </c>
      <c r="C249" s="16" t="n">
        <f aca="false">MIN(N_SEMANAS,MAX(1,INT(($B249-DATA_INICIO_SAFRA)/DIAS_POR_SEMANA)+1))</f>
        <v>35</v>
      </c>
      <c r="D249" s="16" t="n">
        <f aca="false">INDEX(AUX_MATRIZES!$C$8:$BP$8,MIN(N_SEMANAS,MAX(1,$C249)))/DIAS_POR_SEMANA</f>
        <v>4204.52868907563</v>
      </c>
      <c r="E249" s="16" t="n">
        <f aca="false">MIN(CADASTRO_CASAS_BOMBA!$O$6,MAX(0,E248+CADASTRO_CASAS_BOMBA!$I$6*HORAS_CAPTACAO_DIA-D249))</f>
        <v>2600</v>
      </c>
      <c r="F249" s="16" t="n">
        <f aca="false">MAX(0,D249-CADASTRO_CASAS_BOMBA!$I$6*HORAS_CAPTACAO_DIA-E248)</f>
        <v>0</v>
      </c>
      <c r="G249" s="16" t="n">
        <f aca="false">INDEX(AUX_MATRIZES!$C$9:$BP$9,MIN(N_SEMANAS,MAX(1,$C249)))/DIAS_POR_SEMANA</f>
        <v>8288.28281189399</v>
      </c>
      <c r="H249" s="16" t="n">
        <f aca="false">MIN(CADASTRO_CASAS_BOMBA!$O$7,MAX(0,H248+CADASTRO_CASAS_BOMBA!$I$7*HORAS_CAPTACAO_DIA-G249))</f>
        <v>76648</v>
      </c>
      <c r="I249" s="16" t="n">
        <f aca="false">MAX(0,G249-CADASTRO_CASAS_BOMBA!$I$7*HORAS_CAPTACAO_DIA-H248)</f>
        <v>0</v>
      </c>
      <c r="J249" s="16" t="n">
        <f aca="false">INDEX(AUX_MATRIZES!$C$10:$BP$10,MIN(N_SEMANAS,MAX(1,$C249)))/DIAS_POR_SEMANA</f>
        <v>8458.66833613445</v>
      </c>
      <c r="K249" s="16" t="n">
        <f aca="false">MIN(CADASTRO_CASAS_BOMBA!$O$8,MAX(0,K248+CADASTRO_CASAS_BOMBA!$I$8*HORAS_CAPTACAO_DIA-J249))</f>
        <v>27377</v>
      </c>
      <c r="L249" s="16" t="n">
        <f aca="false">MAX(0,J249-CADASTRO_CASAS_BOMBA!$I$8*HORAS_CAPTACAO_DIA-K248)</f>
        <v>0</v>
      </c>
      <c r="M249" s="16" t="n">
        <f aca="false">INDEX(AUX_MATRIZES!$C$11:$BP$11,MIN(N_SEMANAS,MAX(1,$C249)))/DIAS_POR_SEMANA</f>
        <v>22278.7094727122</v>
      </c>
      <c r="N249" s="16" t="n">
        <f aca="false">MIN(CADASTRO_CASAS_BOMBA!$O$9,MAX(0,N248+CADASTRO_CASAS_BOMBA!$I$9*HORAS_CAPTACAO_DIA-M249))</f>
        <v>125759.452636439</v>
      </c>
      <c r="O249" s="16" t="n">
        <f aca="false">MAX(0,M249-CADASTRO_CASAS_BOMBA!$I$9*HORAS_CAPTACAO_DIA-N248)</f>
        <v>0</v>
      </c>
      <c r="P249" s="16" t="n">
        <f aca="false">INDEX(AUX_MATRIZES!$C$12:$BP$12,MIN(N_SEMANAS,MAX(1,$C249)))/DIAS_POR_SEMANA</f>
        <v>18738.5914725275</v>
      </c>
      <c r="Q249" s="16" t="n">
        <f aca="false">MIN(CADASTRO_CASAS_BOMBA!$O$10,MAX(0,Q248+CADASTRO_CASAS_BOMBA!$I$10*HORAS_CAPTACAO_DIA-P249))</f>
        <v>864734.606872658</v>
      </c>
      <c r="R249" s="16" t="n">
        <f aca="false">MAX(0,P249-CADASTRO_CASAS_BOMBA!$I$10*HORAS_CAPTACAO_DIA-Q248)</f>
        <v>0</v>
      </c>
      <c r="S249" s="16" t="n">
        <f aca="false">INDEX(AUX_MATRIZES!$C$13:$BP$13,MIN(N_SEMANAS,MAX(1,$C249)))/DIAS_POR_SEMANA</f>
        <v>33146.6904240119</v>
      </c>
      <c r="T249" s="16" t="n">
        <f aca="false">MIN(CADASTRO_CASAS_BOMBA!$O$11,MAX(0,T248+CADASTRO_CASAS_BOMBA!$I$11*HORAS_CAPTACAO_DIA-S249))</f>
        <v>132866.000819884</v>
      </c>
      <c r="U249" s="16" t="n">
        <f aca="false">MAX(0,S249-CADASTRO_CASAS_BOMBA!$I$11*HORAS_CAPTACAO_DIA-T248)</f>
        <v>0</v>
      </c>
      <c r="V249" s="16" t="n">
        <f aca="false">INDEX(AUX_MATRIZES!$C$14:$BP$14,MIN(N_SEMANAS,MAX(1,$C249)))/DIAS_POR_SEMANA</f>
        <v>46329.2191890976</v>
      </c>
      <c r="W249" s="16" t="n">
        <f aca="false">MIN(CADASTRO_CASAS_BOMBA!$O$12,MAX(0,W248+CADASTRO_CASAS_BOMBA!$I$12*HORAS_CAPTACAO_DIA-V249))</f>
        <v>84101.1572888427</v>
      </c>
      <c r="X249" s="16" t="n">
        <f aca="false">MAX(0,V249-CADASTRO_CASAS_BOMBA!$I$12*HORAS_CAPTACAO_DIA-W248)</f>
        <v>0</v>
      </c>
      <c r="Y249" s="16" t="n">
        <f aca="false">INDEX(AUX_MATRIZES!$C$15:$BP$15,MIN(N_SEMANAS,MAX(1,$C249)))/DIAS_POR_SEMANA</f>
        <v>0</v>
      </c>
      <c r="Z249" s="16" t="n">
        <f aca="false">MIN(CADASTRO_CASAS_BOMBA!$O$13,MAX(0,Z248+CADASTRO_CASAS_BOMBA!$I$13*HORAS_CAPTACAO_DIA-Y249))</f>
        <v>74903</v>
      </c>
      <c r="AA249" s="16" t="n">
        <f aca="false">MAX(0,Y249-CADASTRO_CASAS_BOMBA!$I$13*HORAS_CAPTACAO_DIA-Z248)</f>
        <v>0</v>
      </c>
    </row>
    <row r="250" customFormat="false" ht="15" hidden="false" customHeight="false" outlineLevel="0" collapsed="false">
      <c r="B250" s="17" t="n">
        <f aca="false">DATA_INICIO_SAFRA+243</f>
        <v>46508</v>
      </c>
      <c r="C250" s="16" t="n">
        <f aca="false">MIN(N_SEMANAS,MAX(1,INT(($B250-DATA_INICIO_SAFRA)/DIAS_POR_SEMANA)+1))</f>
        <v>35</v>
      </c>
      <c r="D250" s="16" t="n">
        <f aca="false">INDEX(AUX_MATRIZES!$C$8:$BP$8,MIN(N_SEMANAS,MAX(1,$C250)))/DIAS_POR_SEMANA</f>
        <v>4204.52868907563</v>
      </c>
      <c r="E250" s="16" t="n">
        <f aca="false">MIN(CADASTRO_CASAS_BOMBA!$O$6,MAX(0,E249+CADASTRO_CASAS_BOMBA!$I$6*HORAS_CAPTACAO_DIA-D250))</f>
        <v>2600</v>
      </c>
      <c r="F250" s="16" t="n">
        <f aca="false">MAX(0,D250-CADASTRO_CASAS_BOMBA!$I$6*HORAS_CAPTACAO_DIA-E249)</f>
        <v>0</v>
      </c>
      <c r="G250" s="16" t="n">
        <f aca="false">INDEX(AUX_MATRIZES!$C$9:$BP$9,MIN(N_SEMANAS,MAX(1,$C250)))/DIAS_POR_SEMANA</f>
        <v>8288.28281189399</v>
      </c>
      <c r="H250" s="16" t="n">
        <f aca="false">MIN(CADASTRO_CASAS_BOMBA!$O$7,MAX(0,H249+CADASTRO_CASAS_BOMBA!$I$7*HORAS_CAPTACAO_DIA-G250))</f>
        <v>76648</v>
      </c>
      <c r="I250" s="16" t="n">
        <f aca="false">MAX(0,G250-CADASTRO_CASAS_BOMBA!$I$7*HORAS_CAPTACAO_DIA-H249)</f>
        <v>0</v>
      </c>
      <c r="J250" s="16" t="n">
        <f aca="false">INDEX(AUX_MATRIZES!$C$10:$BP$10,MIN(N_SEMANAS,MAX(1,$C250)))/DIAS_POR_SEMANA</f>
        <v>8458.66833613445</v>
      </c>
      <c r="K250" s="16" t="n">
        <f aca="false">MIN(CADASTRO_CASAS_BOMBA!$O$8,MAX(0,K249+CADASTRO_CASAS_BOMBA!$I$8*HORAS_CAPTACAO_DIA-J250))</f>
        <v>27377</v>
      </c>
      <c r="L250" s="16" t="n">
        <f aca="false">MAX(0,J250-CADASTRO_CASAS_BOMBA!$I$8*HORAS_CAPTACAO_DIA-K249)</f>
        <v>0</v>
      </c>
      <c r="M250" s="16" t="n">
        <f aca="false">INDEX(AUX_MATRIZES!$C$11:$BP$11,MIN(N_SEMANAS,MAX(1,$C250)))/DIAS_POR_SEMANA</f>
        <v>22278.7094727122</v>
      </c>
      <c r="N250" s="16" t="n">
        <f aca="false">MIN(CADASTRO_CASAS_BOMBA!$O$9,MAX(0,N249+CADASTRO_CASAS_BOMBA!$I$9*HORAS_CAPTACAO_DIA-M250))</f>
        <v>125111.343163727</v>
      </c>
      <c r="O250" s="16" t="n">
        <f aca="false">MAX(0,M250-CADASTRO_CASAS_BOMBA!$I$9*HORAS_CAPTACAO_DIA-N249)</f>
        <v>0</v>
      </c>
      <c r="P250" s="16" t="n">
        <f aca="false">INDEX(AUX_MATRIZES!$C$12:$BP$12,MIN(N_SEMANAS,MAX(1,$C250)))/DIAS_POR_SEMANA</f>
        <v>18738.5914725275</v>
      </c>
      <c r="Q250" s="16" t="n">
        <f aca="false">MIN(CADASTRO_CASAS_BOMBA!$O$10,MAX(0,Q249+CADASTRO_CASAS_BOMBA!$I$10*HORAS_CAPTACAO_DIA-P250))</f>
        <v>859078.41540013</v>
      </c>
      <c r="R250" s="16" t="n">
        <f aca="false">MAX(0,P250-CADASTRO_CASAS_BOMBA!$I$10*HORAS_CAPTACAO_DIA-Q249)</f>
        <v>0</v>
      </c>
      <c r="S250" s="16" t="n">
        <f aca="false">INDEX(AUX_MATRIZES!$C$13:$BP$13,MIN(N_SEMANAS,MAX(1,$C250)))/DIAS_POR_SEMANA</f>
        <v>33146.6904240119</v>
      </c>
      <c r="T250" s="16" t="n">
        <f aca="false">MIN(CADASTRO_CASAS_BOMBA!$O$11,MAX(0,T249+CADASTRO_CASAS_BOMBA!$I$11*HORAS_CAPTACAO_DIA-S250))</f>
        <v>121139.310395872</v>
      </c>
      <c r="U250" s="16" t="n">
        <f aca="false">MAX(0,S250-CADASTRO_CASAS_BOMBA!$I$11*HORAS_CAPTACAO_DIA-T249)</f>
        <v>0</v>
      </c>
      <c r="V250" s="16" t="n">
        <f aca="false">INDEX(AUX_MATRIZES!$C$14:$BP$14,MIN(N_SEMANAS,MAX(1,$C250)))/DIAS_POR_SEMANA</f>
        <v>46329.2191890976</v>
      </c>
      <c r="W250" s="16" t="n">
        <f aca="false">MIN(CADASTRO_CASAS_BOMBA!$O$12,MAX(0,W249+CADASTRO_CASAS_BOMBA!$I$12*HORAS_CAPTACAO_DIA-V250))</f>
        <v>63151.9380997451</v>
      </c>
      <c r="X250" s="16" t="n">
        <f aca="false">MAX(0,V250-CADASTRO_CASAS_BOMBA!$I$12*HORAS_CAPTACAO_DIA-W249)</f>
        <v>0</v>
      </c>
      <c r="Y250" s="16" t="n">
        <f aca="false">INDEX(AUX_MATRIZES!$C$15:$BP$15,MIN(N_SEMANAS,MAX(1,$C250)))/DIAS_POR_SEMANA</f>
        <v>0</v>
      </c>
      <c r="Z250" s="16" t="n">
        <f aca="false">MIN(CADASTRO_CASAS_BOMBA!$O$13,MAX(0,Z249+CADASTRO_CASAS_BOMBA!$I$13*HORAS_CAPTACAO_DIA-Y250))</f>
        <v>74903</v>
      </c>
      <c r="AA250" s="16" t="n">
        <f aca="false">MAX(0,Y250-CADASTRO_CASAS_BOMBA!$I$13*HORAS_CAPTACAO_DIA-Z249)</f>
        <v>0</v>
      </c>
    </row>
    <row r="251" customFormat="false" ht="15" hidden="false" customHeight="false" outlineLevel="0" collapsed="false">
      <c r="B251" s="17" t="n">
        <f aca="false">DATA_INICIO_SAFRA+244</f>
        <v>46509</v>
      </c>
      <c r="C251" s="16" t="n">
        <f aca="false">MIN(N_SEMANAS,MAX(1,INT(($B251-DATA_INICIO_SAFRA)/DIAS_POR_SEMANA)+1))</f>
        <v>35</v>
      </c>
      <c r="D251" s="16" t="n">
        <f aca="false">INDEX(AUX_MATRIZES!$C$8:$BP$8,MIN(N_SEMANAS,MAX(1,$C251)))/DIAS_POR_SEMANA</f>
        <v>4204.52868907563</v>
      </c>
      <c r="E251" s="16" t="n">
        <f aca="false">MIN(CADASTRO_CASAS_BOMBA!$O$6,MAX(0,E250+CADASTRO_CASAS_BOMBA!$I$6*HORAS_CAPTACAO_DIA-D251))</f>
        <v>2600</v>
      </c>
      <c r="F251" s="16" t="n">
        <f aca="false">MAX(0,D251-CADASTRO_CASAS_BOMBA!$I$6*HORAS_CAPTACAO_DIA-E250)</f>
        <v>0</v>
      </c>
      <c r="G251" s="16" t="n">
        <f aca="false">INDEX(AUX_MATRIZES!$C$9:$BP$9,MIN(N_SEMANAS,MAX(1,$C251)))/DIAS_POR_SEMANA</f>
        <v>8288.28281189399</v>
      </c>
      <c r="H251" s="16" t="n">
        <f aca="false">MIN(CADASTRO_CASAS_BOMBA!$O$7,MAX(0,H250+CADASTRO_CASAS_BOMBA!$I$7*HORAS_CAPTACAO_DIA-G251))</f>
        <v>76648</v>
      </c>
      <c r="I251" s="16" t="n">
        <f aca="false">MAX(0,G251-CADASTRO_CASAS_BOMBA!$I$7*HORAS_CAPTACAO_DIA-H250)</f>
        <v>0</v>
      </c>
      <c r="J251" s="16" t="n">
        <f aca="false">INDEX(AUX_MATRIZES!$C$10:$BP$10,MIN(N_SEMANAS,MAX(1,$C251)))/DIAS_POR_SEMANA</f>
        <v>8458.66833613445</v>
      </c>
      <c r="K251" s="16" t="n">
        <f aca="false">MIN(CADASTRO_CASAS_BOMBA!$O$8,MAX(0,K250+CADASTRO_CASAS_BOMBA!$I$8*HORAS_CAPTACAO_DIA-J251))</f>
        <v>27377</v>
      </c>
      <c r="L251" s="16" t="n">
        <f aca="false">MAX(0,J251-CADASTRO_CASAS_BOMBA!$I$8*HORAS_CAPTACAO_DIA-K250)</f>
        <v>0</v>
      </c>
      <c r="M251" s="16" t="n">
        <f aca="false">INDEX(AUX_MATRIZES!$C$11:$BP$11,MIN(N_SEMANAS,MAX(1,$C251)))/DIAS_POR_SEMANA</f>
        <v>22278.7094727122</v>
      </c>
      <c r="N251" s="16" t="n">
        <f aca="false">MIN(CADASTRO_CASAS_BOMBA!$O$9,MAX(0,N250+CADASTRO_CASAS_BOMBA!$I$9*HORAS_CAPTACAO_DIA-M251))</f>
        <v>124463.233691015</v>
      </c>
      <c r="O251" s="16" t="n">
        <f aca="false">MAX(0,M251-CADASTRO_CASAS_BOMBA!$I$9*HORAS_CAPTACAO_DIA-N250)</f>
        <v>0</v>
      </c>
      <c r="P251" s="16" t="n">
        <f aca="false">INDEX(AUX_MATRIZES!$C$12:$BP$12,MIN(N_SEMANAS,MAX(1,$C251)))/DIAS_POR_SEMANA</f>
        <v>18738.5914725275</v>
      </c>
      <c r="Q251" s="16" t="n">
        <f aca="false">MIN(CADASTRO_CASAS_BOMBA!$O$10,MAX(0,Q250+CADASTRO_CASAS_BOMBA!$I$10*HORAS_CAPTACAO_DIA-P251))</f>
        <v>853422.223927603</v>
      </c>
      <c r="R251" s="16" t="n">
        <f aca="false">MAX(0,P251-CADASTRO_CASAS_BOMBA!$I$10*HORAS_CAPTACAO_DIA-Q250)</f>
        <v>0</v>
      </c>
      <c r="S251" s="16" t="n">
        <f aca="false">INDEX(AUX_MATRIZES!$C$13:$BP$13,MIN(N_SEMANAS,MAX(1,$C251)))/DIAS_POR_SEMANA</f>
        <v>33146.6904240119</v>
      </c>
      <c r="T251" s="16" t="n">
        <f aca="false">MIN(CADASTRO_CASAS_BOMBA!$O$11,MAX(0,T250+CADASTRO_CASAS_BOMBA!$I$11*HORAS_CAPTACAO_DIA-S251))</f>
        <v>109412.61997186</v>
      </c>
      <c r="U251" s="16" t="n">
        <f aca="false">MAX(0,S251-CADASTRO_CASAS_BOMBA!$I$11*HORAS_CAPTACAO_DIA-T250)</f>
        <v>0</v>
      </c>
      <c r="V251" s="16" t="n">
        <f aca="false">INDEX(AUX_MATRIZES!$C$14:$BP$14,MIN(N_SEMANAS,MAX(1,$C251)))/DIAS_POR_SEMANA</f>
        <v>46329.2191890976</v>
      </c>
      <c r="W251" s="16" t="n">
        <f aca="false">MIN(CADASTRO_CASAS_BOMBA!$O$12,MAX(0,W250+CADASTRO_CASAS_BOMBA!$I$12*HORAS_CAPTACAO_DIA-V251))</f>
        <v>42202.7189106476</v>
      </c>
      <c r="X251" s="16" t="n">
        <f aca="false">MAX(0,V251-CADASTRO_CASAS_BOMBA!$I$12*HORAS_CAPTACAO_DIA-W250)</f>
        <v>0</v>
      </c>
      <c r="Y251" s="16" t="n">
        <f aca="false">INDEX(AUX_MATRIZES!$C$15:$BP$15,MIN(N_SEMANAS,MAX(1,$C251)))/DIAS_POR_SEMANA</f>
        <v>0</v>
      </c>
      <c r="Z251" s="16" t="n">
        <f aca="false">MIN(CADASTRO_CASAS_BOMBA!$O$13,MAX(0,Z250+CADASTRO_CASAS_BOMBA!$I$13*HORAS_CAPTACAO_DIA-Y251))</f>
        <v>74903</v>
      </c>
      <c r="AA251" s="16" t="n">
        <f aca="false">MAX(0,Y251-CADASTRO_CASAS_BOMBA!$I$13*HORAS_CAPTACAO_DIA-Z250)</f>
        <v>0</v>
      </c>
    </row>
    <row r="252" customFormat="false" ht="15" hidden="false" customHeight="false" outlineLevel="0" collapsed="false">
      <c r="B252" s="17" t="n">
        <f aca="false">DATA_INICIO_SAFRA+245</f>
        <v>46510</v>
      </c>
      <c r="C252" s="16" t="n">
        <f aca="false">MIN(N_SEMANAS,MAX(1,INT(($B252-DATA_INICIO_SAFRA)/DIAS_POR_SEMANA)+1))</f>
        <v>36</v>
      </c>
      <c r="D252" s="16" t="n">
        <f aca="false">INDEX(AUX_MATRIZES!$C$8:$BP$8,MIN(N_SEMANAS,MAX(1,$C252)))/DIAS_POR_SEMANA</f>
        <v>5142.19129411765</v>
      </c>
      <c r="E252" s="16" t="n">
        <f aca="false">MIN(CADASTRO_CASAS_BOMBA!$O$6,MAX(0,E251+CADASTRO_CASAS_BOMBA!$I$6*HORAS_CAPTACAO_DIA-D252))</f>
        <v>2600</v>
      </c>
      <c r="F252" s="16" t="n">
        <f aca="false">MAX(0,D252-CADASTRO_CASAS_BOMBA!$I$6*HORAS_CAPTACAO_DIA-E251)</f>
        <v>0</v>
      </c>
      <c r="G252" s="16" t="n">
        <f aca="false">INDEX(AUX_MATRIZES!$C$9:$BP$9,MIN(N_SEMANAS,MAX(1,$C252)))/DIAS_POR_SEMANA</f>
        <v>9867.64968325792</v>
      </c>
      <c r="H252" s="16" t="n">
        <f aca="false">MIN(CADASTRO_CASAS_BOMBA!$O$7,MAX(0,H251+CADASTRO_CASAS_BOMBA!$I$7*HORAS_CAPTACAO_DIA-G252))</f>
        <v>76648</v>
      </c>
      <c r="I252" s="16" t="n">
        <f aca="false">MAX(0,G252-CADASTRO_CASAS_BOMBA!$I$7*HORAS_CAPTACAO_DIA-H251)</f>
        <v>0</v>
      </c>
      <c r="J252" s="16" t="n">
        <f aca="false">INDEX(AUX_MATRIZES!$C$10:$BP$10,MIN(N_SEMANAS,MAX(1,$C252)))/DIAS_POR_SEMANA</f>
        <v>10345.0574117647</v>
      </c>
      <c r="K252" s="16" t="n">
        <f aca="false">MIN(CADASTRO_CASAS_BOMBA!$O$8,MAX(0,K251+CADASTRO_CASAS_BOMBA!$I$8*HORAS_CAPTACAO_DIA-J252))</f>
        <v>27377</v>
      </c>
      <c r="L252" s="16" t="n">
        <f aca="false">MAX(0,J252-CADASTRO_CASAS_BOMBA!$I$8*HORAS_CAPTACAO_DIA-K251)</f>
        <v>0</v>
      </c>
      <c r="M252" s="16" t="n">
        <f aca="false">INDEX(AUX_MATRIZES!$C$11:$BP$11,MIN(N_SEMANAS,MAX(1,$C252)))/DIAS_POR_SEMANA</f>
        <v>26385.2524886878</v>
      </c>
      <c r="N252" s="16" t="n">
        <f aca="false">MIN(CADASTRO_CASAS_BOMBA!$O$9,MAX(0,N251+CADASTRO_CASAS_BOMBA!$I$9*HORAS_CAPTACAO_DIA-M252))</f>
        <v>119708.581202327</v>
      </c>
      <c r="O252" s="16" t="n">
        <f aca="false">MAX(0,M252-CADASTRO_CASAS_BOMBA!$I$9*HORAS_CAPTACAO_DIA-N251)</f>
        <v>0</v>
      </c>
      <c r="P252" s="16" t="n">
        <f aca="false">INDEX(AUX_MATRIZES!$C$12:$BP$12,MIN(N_SEMANAS,MAX(1,$C252)))/DIAS_POR_SEMANA</f>
        <v>21729.6218592604</v>
      </c>
      <c r="Q252" s="16" t="n">
        <f aca="false">MIN(CADASTRO_CASAS_BOMBA!$O$10,MAX(0,Q251+CADASTRO_CASAS_BOMBA!$I$10*HORAS_CAPTACAO_DIA-P252))</f>
        <v>844775.002068342</v>
      </c>
      <c r="R252" s="16" t="n">
        <f aca="false">MAX(0,P252-CADASTRO_CASAS_BOMBA!$I$10*HORAS_CAPTACAO_DIA-Q251)</f>
        <v>0</v>
      </c>
      <c r="S252" s="16" t="n">
        <f aca="false">INDEX(AUX_MATRIZES!$C$13:$BP$13,MIN(N_SEMANAS,MAX(1,$C252)))/DIAS_POR_SEMANA</f>
        <v>39230.5243342955</v>
      </c>
      <c r="T252" s="16" t="n">
        <f aca="false">MIN(CADASTRO_CASAS_BOMBA!$O$11,MAX(0,T251+CADASTRO_CASAS_BOMBA!$I$11*HORAS_CAPTACAO_DIA-S252))</f>
        <v>91602.0956375649</v>
      </c>
      <c r="U252" s="16" t="n">
        <f aca="false">MAX(0,S252-CADASTRO_CASAS_BOMBA!$I$11*HORAS_CAPTACAO_DIA-T251)</f>
        <v>0</v>
      </c>
      <c r="V252" s="16" t="n">
        <f aca="false">INDEX(AUX_MATRIZES!$C$14:$BP$14,MIN(N_SEMANAS,MAX(1,$C252)))/DIAS_POR_SEMANA</f>
        <v>58274.4951176471</v>
      </c>
      <c r="W252" s="16" t="n">
        <f aca="false">MIN(CADASTRO_CASAS_BOMBA!$O$12,MAX(0,W251+CADASTRO_CASAS_BOMBA!$I$12*HORAS_CAPTACAO_DIA-V252))</f>
        <v>9308.22379300049</v>
      </c>
      <c r="X252" s="16" t="n">
        <f aca="false">MAX(0,V252-CADASTRO_CASAS_BOMBA!$I$12*HORAS_CAPTACAO_DIA-W251)</f>
        <v>0</v>
      </c>
      <c r="Y252" s="16" t="n">
        <f aca="false">INDEX(AUX_MATRIZES!$C$15:$BP$15,MIN(N_SEMANAS,MAX(1,$C252)))/DIAS_POR_SEMANA</f>
        <v>0</v>
      </c>
      <c r="Z252" s="16" t="n">
        <f aca="false">MIN(CADASTRO_CASAS_BOMBA!$O$13,MAX(0,Z251+CADASTRO_CASAS_BOMBA!$I$13*HORAS_CAPTACAO_DIA-Y252))</f>
        <v>74903</v>
      </c>
      <c r="AA252" s="16" t="n">
        <f aca="false">MAX(0,Y252-CADASTRO_CASAS_BOMBA!$I$13*HORAS_CAPTACAO_DIA-Z251)</f>
        <v>0</v>
      </c>
    </row>
    <row r="253" customFormat="false" ht="15" hidden="false" customHeight="false" outlineLevel="0" collapsed="false">
      <c r="B253" s="17" t="n">
        <f aca="false">DATA_INICIO_SAFRA+246</f>
        <v>46511</v>
      </c>
      <c r="C253" s="16" t="n">
        <f aca="false">MIN(N_SEMANAS,MAX(1,INT(($B253-DATA_INICIO_SAFRA)/DIAS_POR_SEMANA)+1))</f>
        <v>36</v>
      </c>
      <c r="D253" s="16" t="n">
        <f aca="false">INDEX(AUX_MATRIZES!$C$8:$BP$8,MIN(N_SEMANAS,MAX(1,$C253)))/DIAS_POR_SEMANA</f>
        <v>5142.19129411765</v>
      </c>
      <c r="E253" s="16" t="n">
        <f aca="false">MIN(CADASTRO_CASAS_BOMBA!$O$6,MAX(0,E252+CADASTRO_CASAS_BOMBA!$I$6*HORAS_CAPTACAO_DIA-D253))</f>
        <v>2600</v>
      </c>
      <c r="F253" s="16" t="n">
        <f aca="false">MAX(0,D253-CADASTRO_CASAS_BOMBA!$I$6*HORAS_CAPTACAO_DIA-E252)</f>
        <v>0</v>
      </c>
      <c r="G253" s="16" t="n">
        <f aca="false">INDEX(AUX_MATRIZES!$C$9:$BP$9,MIN(N_SEMANAS,MAX(1,$C253)))/DIAS_POR_SEMANA</f>
        <v>9867.64968325792</v>
      </c>
      <c r="H253" s="16" t="n">
        <f aca="false">MIN(CADASTRO_CASAS_BOMBA!$O$7,MAX(0,H252+CADASTRO_CASAS_BOMBA!$I$7*HORAS_CAPTACAO_DIA-G253))</f>
        <v>76648</v>
      </c>
      <c r="I253" s="16" t="n">
        <f aca="false">MAX(0,G253-CADASTRO_CASAS_BOMBA!$I$7*HORAS_CAPTACAO_DIA-H252)</f>
        <v>0</v>
      </c>
      <c r="J253" s="16" t="n">
        <f aca="false">INDEX(AUX_MATRIZES!$C$10:$BP$10,MIN(N_SEMANAS,MAX(1,$C253)))/DIAS_POR_SEMANA</f>
        <v>10345.0574117647</v>
      </c>
      <c r="K253" s="16" t="n">
        <f aca="false">MIN(CADASTRO_CASAS_BOMBA!$O$8,MAX(0,K252+CADASTRO_CASAS_BOMBA!$I$8*HORAS_CAPTACAO_DIA-J253))</f>
        <v>27377</v>
      </c>
      <c r="L253" s="16" t="n">
        <f aca="false">MAX(0,J253-CADASTRO_CASAS_BOMBA!$I$8*HORAS_CAPTACAO_DIA-K252)</f>
        <v>0</v>
      </c>
      <c r="M253" s="16" t="n">
        <f aca="false">INDEX(AUX_MATRIZES!$C$11:$BP$11,MIN(N_SEMANAS,MAX(1,$C253)))/DIAS_POR_SEMANA</f>
        <v>26385.2524886878</v>
      </c>
      <c r="N253" s="16" t="n">
        <f aca="false">MIN(CADASTRO_CASAS_BOMBA!$O$9,MAX(0,N252+CADASTRO_CASAS_BOMBA!$I$9*HORAS_CAPTACAO_DIA-M253))</f>
        <v>114953.928713639</v>
      </c>
      <c r="O253" s="16" t="n">
        <f aca="false">MAX(0,M253-CADASTRO_CASAS_BOMBA!$I$9*HORAS_CAPTACAO_DIA-N252)</f>
        <v>0</v>
      </c>
      <c r="P253" s="16" t="n">
        <f aca="false">INDEX(AUX_MATRIZES!$C$12:$BP$12,MIN(N_SEMANAS,MAX(1,$C253)))/DIAS_POR_SEMANA</f>
        <v>21729.6218592604</v>
      </c>
      <c r="Q253" s="16" t="n">
        <f aca="false">MIN(CADASTRO_CASAS_BOMBA!$O$10,MAX(0,Q252+CADASTRO_CASAS_BOMBA!$I$10*HORAS_CAPTACAO_DIA-P253))</f>
        <v>836127.780209082</v>
      </c>
      <c r="R253" s="16" t="n">
        <f aca="false">MAX(0,P253-CADASTRO_CASAS_BOMBA!$I$10*HORAS_CAPTACAO_DIA-Q252)</f>
        <v>0</v>
      </c>
      <c r="S253" s="16" t="n">
        <f aca="false">INDEX(AUX_MATRIZES!$C$13:$BP$13,MIN(N_SEMANAS,MAX(1,$C253)))/DIAS_POR_SEMANA</f>
        <v>39230.5243342955</v>
      </c>
      <c r="T253" s="16" t="n">
        <f aca="false">MIN(CADASTRO_CASAS_BOMBA!$O$11,MAX(0,T252+CADASTRO_CASAS_BOMBA!$I$11*HORAS_CAPTACAO_DIA-S253))</f>
        <v>73791.5713032694</v>
      </c>
      <c r="U253" s="16" t="n">
        <f aca="false">MAX(0,S253-CADASTRO_CASAS_BOMBA!$I$11*HORAS_CAPTACAO_DIA-T252)</f>
        <v>0</v>
      </c>
      <c r="V253" s="16" t="n">
        <f aca="false">INDEX(AUX_MATRIZES!$C$14:$BP$14,MIN(N_SEMANAS,MAX(1,$C253)))/DIAS_POR_SEMANA</f>
        <v>58274.4951176471</v>
      </c>
      <c r="W253" s="16" t="n">
        <f aca="false">MIN(CADASTRO_CASAS_BOMBA!$O$12,MAX(0,W252+CADASTRO_CASAS_BOMBA!$I$12*HORAS_CAPTACAO_DIA-V253))</f>
        <v>0</v>
      </c>
      <c r="X253" s="16" t="n">
        <f aca="false">MAX(0,V253-CADASTRO_CASAS_BOMBA!$I$12*HORAS_CAPTACAO_DIA-W252)</f>
        <v>23586.2713246466</v>
      </c>
      <c r="Y253" s="16" t="n">
        <f aca="false">INDEX(AUX_MATRIZES!$C$15:$BP$15,MIN(N_SEMANAS,MAX(1,$C253)))/DIAS_POR_SEMANA</f>
        <v>0</v>
      </c>
      <c r="Z253" s="16" t="n">
        <f aca="false">MIN(CADASTRO_CASAS_BOMBA!$O$13,MAX(0,Z252+CADASTRO_CASAS_BOMBA!$I$13*HORAS_CAPTACAO_DIA-Y253))</f>
        <v>74903</v>
      </c>
      <c r="AA253" s="16" t="n">
        <f aca="false">MAX(0,Y253-CADASTRO_CASAS_BOMBA!$I$13*HORAS_CAPTACAO_DIA-Z252)</f>
        <v>0</v>
      </c>
    </row>
    <row r="254" customFormat="false" ht="15" hidden="false" customHeight="false" outlineLevel="0" collapsed="false">
      <c r="B254" s="17" t="n">
        <f aca="false">DATA_INICIO_SAFRA+247</f>
        <v>46512</v>
      </c>
      <c r="C254" s="16" t="n">
        <f aca="false">MIN(N_SEMANAS,MAX(1,INT(($B254-DATA_INICIO_SAFRA)/DIAS_POR_SEMANA)+1))</f>
        <v>36</v>
      </c>
      <c r="D254" s="16" t="n">
        <f aca="false">INDEX(AUX_MATRIZES!$C$8:$BP$8,MIN(N_SEMANAS,MAX(1,$C254)))/DIAS_POR_SEMANA</f>
        <v>5142.19129411765</v>
      </c>
      <c r="E254" s="16" t="n">
        <f aca="false">MIN(CADASTRO_CASAS_BOMBA!$O$6,MAX(0,E253+CADASTRO_CASAS_BOMBA!$I$6*HORAS_CAPTACAO_DIA-D254))</f>
        <v>2600</v>
      </c>
      <c r="F254" s="16" t="n">
        <f aca="false">MAX(0,D254-CADASTRO_CASAS_BOMBA!$I$6*HORAS_CAPTACAO_DIA-E253)</f>
        <v>0</v>
      </c>
      <c r="G254" s="16" t="n">
        <f aca="false">INDEX(AUX_MATRIZES!$C$9:$BP$9,MIN(N_SEMANAS,MAX(1,$C254)))/DIAS_POR_SEMANA</f>
        <v>9867.64968325792</v>
      </c>
      <c r="H254" s="16" t="n">
        <f aca="false">MIN(CADASTRO_CASAS_BOMBA!$O$7,MAX(0,H253+CADASTRO_CASAS_BOMBA!$I$7*HORAS_CAPTACAO_DIA-G254))</f>
        <v>76648</v>
      </c>
      <c r="I254" s="16" t="n">
        <f aca="false">MAX(0,G254-CADASTRO_CASAS_BOMBA!$I$7*HORAS_CAPTACAO_DIA-H253)</f>
        <v>0</v>
      </c>
      <c r="J254" s="16" t="n">
        <f aca="false">INDEX(AUX_MATRIZES!$C$10:$BP$10,MIN(N_SEMANAS,MAX(1,$C254)))/DIAS_POR_SEMANA</f>
        <v>10345.0574117647</v>
      </c>
      <c r="K254" s="16" t="n">
        <f aca="false">MIN(CADASTRO_CASAS_BOMBA!$O$8,MAX(0,K253+CADASTRO_CASAS_BOMBA!$I$8*HORAS_CAPTACAO_DIA-J254))</f>
        <v>27377</v>
      </c>
      <c r="L254" s="16" t="n">
        <f aca="false">MAX(0,J254-CADASTRO_CASAS_BOMBA!$I$8*HORAS_CAPTACAO_DIA-K253)</f>
        <v>0</v>
      </c>
      <c r="M254" s="16" t="n">
        <f aca="false">INDEX(AUX_MATRIZES!$C$11:$BP$11,MIN(N_SEMANAS,MAX(1,$C254)))/DIAS_POR_SEMANA</f>
        <v>26385.2524886878</v>
      </c>
      <c r="N254" s="16" t="n">
        <f aca="false">MIN(CADASTRO_CASAS_BOMBA!$O$9,MAX(0,N253+CADASTRO_CASAS_BOMBA!$I$9*HORAS_CAPTACAO_DIA-M254))</f>
        <v>110199.276224952</v>
      </c>
      <c r="O254" s="16" t="n">
        <f aca="false">MAX(0,M254-CADASTRO_CASAS_BOMBA!$I$9*HORAS_CAPTACAO_DIA-N253)</f>
        <v>0</v>
      </c>
      <c r="P254" s="16" t="n">
        <f aca="false">INDEX(AUX_MATRIZES!$C$12:$BP$12,MIN(N_SEMANAS,MAX(1,$C254)))/DIAS_POR_SEMANA</f>
        <v>21729.6218592604</v>
      </c>
      <c r="Q254" s="16" t="n">
        <f aca="false">MIN(CADASTRO_CASAS_BOMBA!$O$10,MAX(0,Q253+CADASTRO_CASAS_BOMBA!$I$10*HORAS_CAPTACAO_DIA-P254))</f>
        <v>827480.558349822</v>
      </c>
      <c r="R254" s="16" t="n">
        <f aca="false">MAX(0,P254-CADASTRO_CASAS_BOMBA!$I$10*HORAS_CAPTACAO_DIA-Q253)</f>
        <v>0</v>
      </c>
      <c r="S254" s="16" t="n">
        <f aca="false">INDEX(AUX_MATRIZES!$C$13:$BP$13,MIN(N_SEMANAS,MAX(1,$C254)))/DIAS_POR_SEMANA</f>
        <v>39230.5243342955</v>
      </c>
      <c r="T254" s="16" t="n">
        <f aca="false">MIN(CADASTRO_CASAS_BOMBA!$O$11,MAX(0,T253+CADASTRO_CASAS_BOMBA!$I$11*HORAS_CAPTACAO_DIA-S254))</f>
        <v>55981.0469689738</v>
      </c>
      <c r="U254" s="16" t="n">
        <f aca="false">MAX(0,S254-CADASTRO_CASAS_BOMBA!$I$11*HORAS_CAPTACAO_DIA-T253)</f>
        <v>0</v>
      </c>
      <c r="V254" s="16" t="n">
        <f aca="false">INDEX(AUX_MATRIZES!$C$14:$BP$14,MIN(N_SEMANAS,MAX(1,$C254)))/DIAS_POR_SEMANA</f>
        <v>58274.4951176471</v>
      </c>
      <c r="W254" s="16" t="n">
        <f aca="false">MIN(CADASTRO_CASAS_BOMBA!$O$12,MAX(0,W253+CADASTRO_CASAS_BOMBA!$I$12*HORAS_CAPTACAO_DIA-V254))</f>
        <v>0</v>
      </c>
      <c r="X254" s="16" t="n">
        <f aca="false">MAX(0,V254-CADASTRO_CASAS_BOMBA!$I$12*HORAS_CAPTACAO_DIA-W253)</f>
        <v>32894.4951176471</v>
      </c>
      <c r="Y254" s="16" t="n">
        <f aca="false">INDEX(AUX_MATRIZES!$C$15:$BP$15,MIN(N_SEMANAS,MAX(1,$C254)))/DIAS_POR_SEMANA</f>
        <v>0</v>
      </c>
      <c r="Z254" s="16" t="n">
        <f aca="false">MIN(CADASTRO_CASAS_BOMBA!$O$13,MAX(0,Z253+CADASTRO_CASAS_BOMBA!$I$13*HORAS_CAPTACAO_DIA-Y254))</f>
        <v>74903</v>
      </c>
      <c r="AA254" s="16" t="n">
        <f aca="false">MAX(0,Y254-CADASTRO_CASAS_BOMBA!$I$13*HORAS_CAPTACAO_DIA-Z253)</f>
        <v>0</v>
      </c>
    </row>
    <row r="255" customFormat="false" ht="15" hidden="false" customHeight="false" outlineLevel="0" collapsed="false">
      <c r="B255" s="17" t="n">
        <f aca="false">DATA_INICIO_SAFRA+248</f>
        <v>46513</v>
      </c>
      <c r="C255" s="16" t="n">
        <f aca="false">MIN(N_SEMANAS,MAX(1,INT(($B255-DATA_INICIO_SAFRA)/DIAS_POR_SEMANA)+1))</f>
        <v>36</v>
      </c>
      <c r="D255" s="16" t="n">
        <f aca="false">INDEX(AUX_MATRIZES!$C$8:$BP$8,MIN(N_SEMANAS,MAX(1,$C255)))/DIAS_POR_SEMANA</f>
        <v>5142.19129411765</v>
      </c>
      <c r="E255" s="16" t="n">
        <f aca="false">MIN(CADASTRO_CASAS_BOMBA!$O$6,MAX(0,E254+CADASTRO_CASAS_BOMBA!$I$6*HORAS_CAPTACAO_DIA-D255))</f>
        <v>2600</v>
      </c>
      <c r="F255" s="16" t="n">
        <f aca="false">MAX(0,D255-CADASTRO_CASAS_BOMBA!$I$6*HORAS_CAPTACAO_DIA-E254)</f>
        <v>0</v>
      </c>
      <c r="G255" s="16" t="n">
        <f aca="false">INDEX(AUX_MATRIZES!$C$9:$BP$9,MIN(N_SEMANAS,MAX(1,$C255)))/DIAS_POR_SEMANA</f>
        <v>9867.64968325792</v>
      </c>
      <c r="H255" s="16" t="n">
        <f aca="false">MIN(CADASTRO_CASAS_BOMBA!$O$7,MAX(0,H254+CADASTRO_CASAS_BOMBA!$I$7*HORAS_CAPTACAO_DIA-G255))</f>
        <v>76648</v>
      </c>
      <c r="I255" s="16" t="n">
        <f aca="false">MAX(0,G255-CADASTRO_CASAS_BOMBA!$I$7*HORAS_CAPTACAO_DIA-H254)</f>
        <v>0</v>
      </c>
      <c r="J255" s="16" t="n">
        <f aca="false">INDEX(AUX_MATRIZES!$C$10:$BP$10,MIN(N_SEMANAS,MAX(1,$C255)))/DIAS_POR_SEMANA</f>
        <v>10345.0574117647</v>
      </c>
      <c r="K255" s="16" t="n">
        <f aca="false">MIN(CADASTRO_CASAS_BOMBA!$O$8,MAX(0,K254+CADASTRO_CASAS_BOMBA!$I$8*HORAS_CAPTACAO_DIA-J255))</f>
        <v>27377</v>
      </c>
      <c r="L255" s="16" t="n">
        <f aca="false">MAX(0,J255-CADASTRO_CASAS_BOMBA!$I$8*HORAS_CAPTACAO_DIA-K254)</f>
        <v>0</v>
      </c>
      <c r="M255" s="16" t="n">
        <f aca="false">INDEX(AUX_MATRIZES!$C$11:$BP$11,MIN(N_SEMANAS,MAX(1,$C255)))/DIAS_POR_SEMANA</f>
        <v>26385.2524886878</v>
      </c>
      <c r="N255" s="16" t="n">
        <f aca="false">MIN(CADASTRO_CASAS_BOMBA!$O$9,MAX(0,N254+CADASTRO_CASAS_BOMBA!$I$9*HORAS_CAPTACAO_DIA-M255))</f>
        <v>105444.623736264</v>
      </c>
      <c r="O255" s="16" t="n">
        <f aca="false">MAX(0,M255-CADASTRO_CASAS_BOMBA!$I$9*HORAS_CAPTACAO_DIA-N254)</f>
        <v>0</v>
      </c>
      <c r="P255" s="16" t="n">
        <f aca="false">INDEX(AUX_MATRIZES!$C$12:$BP$12,MIN(N_SEMANAS,MAX(1,$C255)))/DIAS_POR_SEMANA</f>
        <v>21729.6218592604</v>
      </c>
      <c r="Q255" s="16" t="n">
        <f aca="false">MIN(CADASTRO_CASAS_BOMBA!$O$10,MAX(0,Q254+CADASTRO_CASAS_BOMBA!$I$10*HORAS_CAPTACAO_DIA-P255))</f>
        <v>818833.336490561</v>
      </c>
      <c r="R255" s="16" t="n">
        <f aca="false">MAX(0,P255-CADASTRO_CASAS_BOMBA!$I$10*HORAS_CAPTACAO_DIA-Q254)</f>
        <v>0</v>
      </c>
      <c r="S255" s="16" t="n">
        <f aca="false">INDEX(AUX_MATRIZES!$C$13:$BP$13,MIN(N_SEMANAS,MAX(1,$C255)))/DIAS_POR_SEMANA</f>
        <v>39230.5243342955</v>
      </c>
      <c r="T255" s="16" t="n">
        <f aca="false">MIN(CADASTRO_CASAS_BOMBA!$O$11,MAX(0,T254+CADASTRO_CASAS_BOMBA!$I$11*HORAS_CAPTACAO_DIA-S255))</f>
        <v>38170.5226346783</v>
      </c>
      <c r="U255" s="16" t="n">
        <f aca="false">MAX(0,S255-CADASTRO_CASAS_BOMBA!$I$11*HORAS_CAPTACAO_DIA-T254)</f>
        <v>0</v>
      </c>
      <c r="V255" s="16" t="n">
        <f aca="false">INDEX(AUX_MATRIZES!$C$14:$BP$14,MIN(N_SEMANAS,MAX(1,$C255)))/DIAS_POR_SEMANA</f>
        <v>58274.4951176471</v>
      </c>
      <c r="W255" s="16" t="n">
        <f aca="false">MIN(CADASTRO_CASAS_BOMBA!$O$12,MAX(0,W254+CADASTRO_CASAS_BOMBA!$I$12*HORAS_CAPTACAO_DIA-V255))</f>
        <v>0</v>
      </c>
      <c r="X255" s="16" t="n">
        <f aca="false">MAX(0,V255-CADASTRO_CASAS_BOMBA!$I$12*HORAS_CAPTACAO_DIA-W254)</f>
        <v>32894.4951176471</v>
      </c>
      <c r="Y255" s="16" t="n">
        <f aca="false">INDEX(AUX_MATRIZES!$C$15:$BP$15,MIN(N_SEMANAS,MAX(1,$C255)))/DIAS_POR_SEMANA</f>
        <v>0</v>
      </c>
      <c r="Z255" s="16" t="n">
        <f aca="false">MIN(CADASTRO_CASAS_BOMBA!$O$13,MAX(0,Z254+CADASTRO_CASAS_BOMBA!$I$13*HORAS_CAPTACAO_DIA-Y255))</f>
        <v>74903</v>
      </c>
      <c r="AA255" s="16" t="n">
        <f aca="false">MAX(0,Y255-CADASTRO_CASAS_BOMBA!$I$13*HORAS_CAPTACAO_DIA-Z254)</f>
        <v>0</v>
      </c>
    </row>
    <row r="256" customFormat="false" ht="15" hidden="false" customHeight="false" outlineLevel="0" collapsed="false">
      <c r="B256" s="17" t="n">
        <f aca="false">DATA_INICIO_SAFRA+249</f>
        <v>46514</v>
      </c>
      <c r="C256" s="16" t="n">
        <f aca="false">MIN(N_SEMANAS,MAX(1,INT(($B256-DATA_INICIO_SAFRA)/DIAS_POR_SEMANA)+1))</f>
        <v>36</v>
      </c>
      <c r="D256" s="16" t="n">
        <f aca="false">INDEX(AUX_MATRIZES!$C$8:$BP$8,MIN(N_SEMANAS,MAX(1,$C256)))/DIAS_POR_SEMANA</f>
        <v>5142.19129411765</v>
      </c>
      <c r="E256" s="16" t="n">
        <f aca="false">MIN(CADASTRO_CASAS_BOMBA!$O$6,MAX(0,E255+CADASTRO_CASAS_BOMBA!$I$6*HORAS_CAPTACAO_DIA-D256))</f>
        <v>2600</v>
      </c>
      <c r="F256" s="16" t="n">
        <f aca="false">MAX(0,D256-CADASTRO_CASAS_BOMBA!$I$6*HORAS_CAPTACAO_DIA-E255)</f>
        <v>0</v>
      </c>
      <c r="G256" s="16" t="n">
        <f aca="false">INDEX(AUX_MATRIZES!$C$9:$BP$9,MIN(N_SEMANAS,MAX(1,$C256)))/DIAS_POR_SEMANA</f>
        <v>9867.64968325792</v>
      </c>
      <c r="H256" s="16" t="n">
        <f aca="false">MIN(CADASTRO_CASAS_BOMBA!$O$7,MAX(0,H255+CADASTRO_CASAS_BOMBA!$I$7*HORAS_CAPTACAO_DIA-G256))</f>
        <v>76648</v>
      </c>
      <c r="I256" s="16" t="n">
        <f aca="false">MAX(0,G256-CADASTRO_CASAS_BOMBA!$I$7*HORAS_CAPTACAO_DIA-H255)</f>
        <v>0</v>
      </c>
      <c r="J256" s="16" t="n">
        <f aca="false">INDEX(AUX_MATRIZES!$C$10:$BP$10,MIN(N_SEMANAS,MAX(1,$C256)))/DIAS_POR_SEMANA</f>
        <v>10345.0574117647</v>
      </c>
      <c r="K256" s="16" t="n">
        <f aca="false">MIN(CADASTRO_CASAS_BOMBA!$O$8,MAX(0,K255+CADASTRO_CASAS_BOMBA!$I$8*HORAS_CAPTACAO_DIA-J256))</f>
        <v>27377</v>
      </c>
      <c r="L256" s="16" t="n">
        <f aca="false">MAX(0,J256-CADASTRO_CASAS_BOMBA!$I$8*HORAS_CAPTACAO_DIA-K255)</f>
        <v>0</v>
      </c>
      <c r="M256" s="16" t="n">
        <f aca="false">INDEX(AUX_MATRIZES!$C$11:$BP$11,MIN(N_SEMANAS,MAX(1,$C256)))/DIAS_POR_SEMANA</f>
        <v>26385.2524886878</v>
      </c>
      <c r="N256" s="16" t="n">
        <f aca="false">MIN(CADASTRO_CASAS_BOMBA!$O$9,MAX(0,N255+CADASTRO_CASAS_BOMBA!$I$9*HORAS_CAPTACAO_DIA-M256))</f>
        <v>100689.971247576</v>
      </c>
      <c r="O256" s="16" t="n">
        <f aca="false">MAX(0,M256-CADASTRO_CASAS_BOMBA!$I$9*HORAS_CAPTACAO_DIA-N255)</f>
        <v>0</v>
      </c>
      <c r="P256" s="16" t="n">
        <f aca="false">INDEX(AUX_MATRIZES!$C$12:$BP$12,MIN(N_SEMANAS,MAX(1,$C256)))/DIAS_POR_SEMANA</f>
        <v>21729.6218592604</v>
      </c>
      <c r="Q256" s="16" t="n">
        <f aca="false">MIN(CADASTRO_CASAS_BOMBA!$O$10,MAX(0,Q255+CADASTRO_CASAS_BOMBA!$I$10*HORAS_CAPTACAO_DIA-P256))</f>
        <v>810186.114631301</v>
      </c>
      <c r="R256" s="16" t="n">
        <f aca="false">MAX(0,P256-CADASTRO_CASAS_BOMBA!$I$10*HORAS_CAPTACAO_DIA-Q255)</f>
        <v>0</v>
      </c>
      <c r="S256" s="16" t="n">
        <f aca="false">INDEX(AUX_MATRIZES!$C$13:$BP$13,MIN(N_SEMANAS,MAX(1,$C256)))/DIAS_POR_SEMANA</f>
        <v>39230.5243342955</v>
      </c>
      <c r="T256" s="16" t="n">
        <f aca="false">MIN(CADASTRO_CASAS_BOMBA!$O$11,MAX(0,T255+CADASTRO_CASAS_BOMBA!$I$11*HORAS_CAPTACAO_DIA-S256))</f>
        <v>20359.9983003828</v>
      </c>
      <c r="U256" s="16" t="n">
        <f aca="false">MAX(0,S256-CADASTRO_CASAS_BOMBA!$I$11*HORAS_CAPTACAO_DIA-T255)</f>
        <v>0</v>
      </c>
      <c r="V256" s="16" t="n">
        <f aca="false">INDEX(AUX_MATRIZES!$C$14:$BP$14,MIN(N_SEMANAS,MAX(1,$C256)))/DIAS_POR_SEMANA</f>
        <v>58274.4951176471</v>
      </c>
      <c r="W256" s="16" t="n">
        <f aca="false">MIN(CADASTRO_CASAS_BOMBA!$O$12,MAX(0,W255+CADASTRO_CASAS_BOMBA!$I$12*HORAS_CAPTACAO_DIA-V256))</f>
        <v>0</v>
      </c>
      <c r="X256" s="16" t="n">
        <f aca="false">MAX(0,V256-CADASTRO_CASAS_BOMBA!$I$12*HORAS_CAPTACAO_DIA-W255)</f>
        <v>32894.4951176471</v>
      </c>
      <c r="Y256" s="16" t="n">
        <f aca="false">INDEX(AUX_MATRIZES!$C$15:$BP$15,MIN(N_SEMANAS,MAX(1,$C256)))/DIAS_POR_SEMANA</f>
        <v>0</v>
      </c>
      <c r="Z256" s="16" t="n">
        <f aca="false">MIN(CADASTRO_CASAS_BOMBA!$O$13,MAX(0,Z255+CADASTRO_CASAS_BOMBA!$I$13*HORAS_CAPTACAO_DIA-Y256))</f>
        <v>74903</v>
      </c>
      <c r="AA256" s="16" t="n">
        <f aca="false">MAX(0,Y256-CADASTRO_CASAS_BOMBA!$I$13*HORAS_CAPTACAO_DIA-Z255)</f>
        <v>0</v>
      </c>
    </row>
    <row r="257" customFormat="false" ht="15" hidden="false" customHeight="false" outlineLevel="0" collapsed="false">
      <c r="B257" s="17" t="n">
        <f aca="false">DATA_INICIO_SAFRA+250</f>
        <v>46515</v>
      </c>
      <c r="C257" s="16" t="n">
        <f aca="false">MIN(N_SEMANAS,MAX(1,INT(($B257-DATA_INICIO_SAFRA)/DIAS_POR_SEMANA)+1))</f>
        <v>36</v>
      </c>
      <c r="D257" s="16" t="n">
        <f aca="false">INDEX(AUX_MATRIZES!$C$8:$BP$8,MIN(N_SEMANAS,MAX(1,$C257)))/DIAS_POR_SEMANA</f>
        <v>5142.19129411765</v>
      </c>
      <c r="E257" s="16" t="n">
        <f aca="false">MIN(CADASTRO_CASAS_BOMBA!$O$6,MAX(0,E256+CADASTRO_CASAS_BOMBA!$I$6*HORAS_CAPTACAO_DIA-D257))</f>
        <v>2600</v>
      </c>
      <c r="F257" s="16" t="n">
        <f aca="false">MAX(0,D257-CADASTRO_CASAS_BOMBA!$I$6*HORAS_CAPTACAO_DIA-E256)</f>
        <v>0</v>
      </c>
      <c r="G257" s="16" t="n">
        <f aca="false">INDEX(AUX_MATRIZES!$C$9:$BP$9,MIN(N_SEMANAS,MAX(1,$C257)))/DIAS_POR_SEMANA</f>
        <v>9867.64968325792</v>
      </c>
      <c r="H257" s="16" t="n">
        <f aca="false">MIN(CADASTRO_CASAS_BOMBA!$O$7,MAX(0,H256+CADASTRO_CASAS_BOMBA!$I$7*HORAS_CAPTACAO_DIA-G257))</f>
        <v>76648</v>
      </c>
      <c r="I257" s="16" t="n">
        <f aca="false">MAX(0,G257-CADASTRO_CASAS_BOMBA!$I$7*HORAS_CAPTACAO_DIA-H256)</f>
        <v>0</v>
      </c>
      <c r="J257" s="16" t="n">
        <f aca="false">INDEX(AUX_MATRIZES!$C$10:$BP$10,MIN(N_SEMANAS,MAX(1,$C257)))/DIAS_POR_SEMANA</f>
        <v>10345.0574117647</v>
      </c>
      <c r="K257" s="16" t="n">
        <f aca="false">MIN(CADASTRO_CASAS_BOMBA!$O$8,MAX(0,K256+CADASTRO_CASAS_BOMBA!$I$8*HORAS_CAPTACAO_DIA-J257))</f>
        <v>27377</v>
      </c>
      <c r="L257" s="16" t="n">
        <f aca="false">MAX(0,J257-CADASTRO_CASAS_BOMBA!$I$8*HORAS_CAPTACAO_DIA-K256)</f>
        <v>0</v>
      </c>
      <c r="M257" s="16" t="n">
        <f aca="false">INDEX(AUX_MATRIZES!$C$11:$BP$11,MIN(N_SEMANAS,MAX(1,$C257)))/DIAS_POR_SEMANA</f>
        <v>26385.2524886878</v>
      </c>
      <c r="N257" s="16" t="n">
        <f aca="false">MIN(CADASTRO_CASAS_BOMBA!$O$9,MAX(0,N256+CADASTRO_CASAS_BOMBA!$I$9*HORAS_CAPTACAO_DIA-M257))</f>
        <v>95935.3187588883</v>
      </c>
      <c r="O257" s="16" t="n">
        <f aca="false">MAX(0,M257-CADASTRO_CASAS_BOMBA!$I$9*HORAS_CAPTACAO_DIA-N256)</f>
        <v>0</v>
      </c>
      <c r="P257" s="16" t="n">
        <f aca="false">INDEX(AUX_MATRIZES!$C$12:$BP$12,MIN(N_SEMANAS,MAX(1,$C257)))/DIAS_POR_SEMANA</f>
        <v>21729.6218592604</v>
      </c>
      <c r="Q257" s="16" t="n">
        <f aca="false">MIN(CADASTRO_CASAS_BOMBA!$O$10,MAX(0,Q256+CADASTRO_CASAS_BOMBA!$I$10*HORAS_CAPTACAO_DIA-P257))</f>
        <v>801538.892772041</v>
      </c>
      <c r="R257" s="16" t="n">
        <f aca="false">MAX(0,P257-CADASTRO_CASAS_BOMBA!$I$10*HORAS_CAPTACAO_DIA-Q256)</f>
        <v>0</v>
      </c>
      <c r="S257" s="16" t="n">
        <f aca="false">INDEX(AUX_MATRIZES!$C$13:$BP$13,MIN(N_SEMANAS,MAX(1,$C257)))/DIAS_POR_SEMANA</f>
        <v>39230.5243342955</v>
      </c>
      <c r="T257" s="16" t="n">
        <f aca="false">MIN(CADASTRO_CASAS_BOMBA!$O$11,MAX(0,T256+CADASTRO_CASAS_BOMBA!$I$11*HORAS_CAPTACAO_DIA-S257))</f>
        <v>2549.47396608724</v>
      </c>
      <c r="U257" s="16" t="n">
        <f aca="false">MAX(0,S257-CADASTRO_CASAS_BOMBA!$I$11*HORAS_CAPTACAO_DIA-T256)</f>
        <v>0</v>
      </c>
      <c r="V257" s="16" t="n">
        <f aca="false">INDEX(AUX_MATRIZES!$C$14:$BP$14,MIN(N_SEMANAS,MAX(1,$C257)))/DIAS_POR_SEMANA</f>
        <v>58274.4951176471</v>
      </c>
      <c r="W257" s="16" t="n">
        <f aca="false">MIN(CADASTRO_CASAS_BOMBA!$O$12,MAX(0,W256+CADASTRO_CASAS_BOMBA!$I$12*HORAS_CAPTACAO_DIA-V257))</f>
        <v>0</v>
      </c>
      <c r="X257" s="16" t="n">
        <f aca="false">MAX(0,V257-CADASTRO_CASAS_BOMBA!$I$12*HORAS_CAPTACAO_DIA-W256)</f>
        <v>32894.4951176471</v>
      </c>
      <c r="Y257" s="16" t="n">
        <f aca="false">INDEX(AUX_MATRIZES!$C$15:$BP$15,MIN(N_SEMANAS,MAX(1,$C257)))/DIAS_POR_SEMANA</f>
        <v>0</v>
      </c>
      <c r="Z257" s="16" t="n">
        <f aca="false">MIN(CADASTRO_CASAS_BOMBA!$O$13,MAX(0,Z256+CADASTRO_CASAS_BOMBA!$I$13*HORAS_CAPTACAO_DIA-Y257))</f>
        <v>74903</v>
      </c>
      <c r="AA257" s="16" t="n">
        <f aca="false">MAX(0,Y257-CADASTRO_CASAS_BOMBA!$I$13*HORAS_CAPTACAO_DIA-Z256)</f>
        <v>0</v>
      </c>
    </row>
    <row r="258" customFormat="false" ht="15" hidden="false" customHeight="false" outlineLevel="0" collapsed="false">
      <c r="B258" s="17" t="n">
        <f aca="false">DATA_INICIO_SAFRA+251</f>
        <v>46516</v>
      </c>
      <c r="C258" s="16" t="n">
        <f aca="false">MIN(N_SEMANAS,MAX(1,INT(($B258-DATA_INICIO_SAFRA)/DIAS_POR_SEMANA)+1))</f>
        <v>36</v>
      </c>
      <c r="D258" s="16" t="n">
        <f aca="false">INDEX(AUX_MATRIZES!$C$8:$BP$8,MIN(N_SEMANAS,MAX(1,$C258)))/DIAS_POR_SEMANA</f>
        <v>5142.19129411765</v>
      </c>
      <c r="E258" s="16" t="n">
        <f aca="false">MIN(CADASTRO_CASAS_BOMBA!$O$6,MAX(0,E257+CADASTRO_CASAS_BOMBA!$I$6*HORAS_CAPTACAO_DIA-D258))</f>
        <v>2600</v>
      </c>
      <c r="F258" s="16" t="n">
        <f aca="false">MAX(0,D258-CADASTRO_CASAS_BOMBA!$I$6*HORAS_CAPTACAO_DIA-E257)</f>
        <v>0</v>
      </c>
      <c r="G258" s="16" t="n">
        <f aca="false">INDEX(AUX_MATRIZES!$C$9:$BP$9,MIN(N_SEMANAS,MAX(1,$C258)))/DIAS_POR_SEMANA</f>
        <v>9867.64968325792</v>
      </c>
      <c r="H258" s="16" t="n">
        <f aca="false">MIN(CADASTRO_CASAS_BOMBA!$O$7,MAX(0,H257+CADASTRO_CASAS_BOMBA!$I$7*HORAS_CAPTACAO_DIA-G258))</f>
        <v>76648</v>
      </c>
      <c r="I258" s="16" t="n">
        <f aca="false">MAX(0,G258-CADASTRO_CASAS_BOMBA!$I$7*HORAS_CAPTACAO_DIA-H257)</f>
        <v>0</v>
      </c>
      <c r="J258" s="16" t="n">
        <f aca="false">INDEX(AUX_MATRIZES!$C$10:$BP$10,MIN(N_SEMANAS,MAX(1,$C258)))/DIAS_POR_SEMANA</f>
        <v>10345.0574117647</v>
      </c>
      <c r="K258" s="16" t="n">
        <f aca="false">MIN(CADASTRO_CASAS_BOMBA!$O$8,MAX(0,K257+CADASTRO_CASAS_BOMBA!$I$8*HORAS_CAPTACAO_DIA-J258))</f>
        <v>27377</v>
      </c>
      <c r="L258" s="16" t="n">
        <f aca="false">MAX(0,J258-CADASTRO_CASAS_BOMBA!$I$8*HORAS_CAPTACAO_DIA-K257)</f>
        <v>0</v>
      </c>
      <c r="M258" s="16" t="n">
        <f aca="false">INDEX(AUX_MATRIZES!$C$11:$BP$11,MIN(N_SEMANAS,MAX(1,$C258)))/DIAS_POR_SEMANA</f>
        <v>26385.2524886878</v>
      </c>
      <c r="N258" s="16" t="n">
        <f aca="false">MIN(CADASTRO_CASAS_BOMBA!$O$9,MAX(0,N257+CADASTRO_CASAS_BOMBA!$I$9*HORAS_CAPTACAO_DIA-M258))</f>
        <v>91180.6662702005</v>
      </c>
      <c r="O258" s="16" t="n">
        <f aca="false">MAX(0,M258-CADASTRO_CASAS_BOMBA!$I$9*HORAS_CAPTACAO_DIA-N257)</f>
        <v>0</v>
      </c>
      <c r="P258" s="16" t="n">
        <f aca="false">INDEX(AUX_MATRIZES!$C$12:$BP$12,MIN(N_SEMANAS,MAX(1,$C258)))/DIAS_POR_SEMANA</f>
        <v>21729.6218592604</v>
      </c>
      <c r="Q258" s="16" t="n">
        <f aca="false">MIN(CADASTRO_CASAS_BOMBA!$O$10,MAX(0,Q257+CADASTRO_CASAS_BOMBA!$I$10*HORAS_CAPTACAO_DIA-P258))</f>
        <v>792891.67091278</v>
      </c>
      <c r="R258" s="16" t="n">
        <f aca="false">MAX(0,P258-CADASTRO_CASAS_BOMBA!$I$10*HORAS_CAPTACAO_DIA-Q257)</f>
        <v>0</v>
      </c>
      <c r="S258" s="16" t="n">
        <f aca="false">INDEX(AUX_MATRIZES!$C$13:$BP$13,MIN(N_SEMANAS,MAX(1,$C258)))/DIAS_POR_SEMANA</f>
        <v>39230.5243342955</v>
      </c>
      <c r="T258" s="16" t="n">
        <f aca="false">MIN(CADASTRO_CASAS_BOMBA!$O$11,MAX(0,T257+CADASTRO_CASAS_BOMBA!$I$11*HORAS_CAPTACAO_DIA-S258))</f>
        <v>0</v>
      </c>
      <c r="U258" s="16" t="n">
        <f aca="false">MAX(0,S258-CADASTRO_CASAS_BOMBA!$I$11*HORAS_CAPTACAO_DIA-T257)</f>
        <v>15261.0503682083</v>
      </c>
      <c r="V258" s="16" t="n">
        <f aca="false">INDEX(AUX_MATRIZES!$C$14:$BP$14,MIN(N_SEMANAS,MAX(1,$C258)))/DIAS_POR_SEMANA</f>
        <v>58274.4951176471</v>
      </c>
      <c r="W258" s="16" t="n">
        <f aca="false">MIN(CADASTRO_CASAS_BOMBA!$O$12,MAX(0,W257+CADASTRO_CASAS_BOMBA!$I$12*HORAS_CAPTACAO_DIA-V258))</f>
        <v>0</v>
      </c>
      <c r="X258" s="16" t="n">
        <f aca="false">MAX(0,V258-CADASTRO_CASAS_BOMBA!$I$12*HORAS_CAPTACAO_DIA-W257)</f>
        <v>32894.4951176471</v>
      </c>
      <c r="Y258" s="16" t="n">
        <f aca="false">INDEX(AUX_MATRIZES!$C$15:$BP$15,MIN(N_SEMANAS,MAX(1,$C258)))/DIAS_POR_SEMANA</f>
        <v>0</v>
      </c>
      <c r="Z258" s="16" t="n">
        <f aca="false">MIN(CADASTRO_CASAS_BOMBA!$O$13,MAX(0,Z257+CADASTRO_CASAS_BOMBA!$I$13*HORAS_CAPTACAO_DIA-Y258))</f>
        <v>74903</v>
      </c>
      <c r="AA258" s="16" t="n">
        <f aca="false">MAX(0,Y258-CADASTRO_CASAS_BOMBA!$I$13*HORAS_CAPTACAO_DIA-Z257)</f>
        <v>0</v>
      </c>
    </row>
    <row r="259" customFormat="false" ht="15" hidden="false" customHeight="false" outlineLevel="0" collapsed="false">
      <c r="B259" s="17" t="n">
        <f aca="false">DATA_INICIO_SAFRA+252</f>
        <v>46517</v>
      </c>
      <c r="C259" s="16" t="n">
        <f aca="false">MIN(N_SEMANAS,MAX(1,INT(($B259-DATA_INICIO_SAFRA)/DIAS_POR_SEMANA)+1))</f>
        <v>37</v>
      </c>
      <c r="D259" s="16" t="n">
        <f aca="false">INDEX(AUX_MATRIZES!$C$8:$BP$8,MIN(N_SEMANAS,MAX(1,$C259)))/DIAS_POR_SEMANA</f>
        <v>5142.19129411765</v>
      </c>
      <c r="E259" s="16" t="n">
        <f aca="false">MIN(CADASTRO_CASAS_BOMBA!$O$6,MAX(0,E258+CADASTRO_CASAS_BOMBA!$I$6*HORAS_CAPTACAO_DIA-D259))</f>
        <v>2600</v>
      </c>
      <c r="F259" s="16" t="n">
        <f aca="false">MAX(0,D259-CADASTRO_CASAS_BOMBA!$I$6*HORAS_CAPTACAO_DIA-E258)</f>
        <v>0</v>
      </c>
      <c r="G259" s="16" t="n">
        <f aca="false">INDEX(AUX_MATRIZES!$C$9:$BP$9,MIN(N_SEMANAS,MAX(1,$C259)))/DIAS_POR_SEMANA</f>
        <v>9519.02434389141</v>
      </c>
      <c r="H259" s="16" t="n">
        <f aca="false">MIN(CADASTRO_CASAS_BOMBA!$O$7,MAX(0,H258+CADASTRO_CASAS_BOMBA!$I$7*HORAS_CAPTACAO_DIA-G259))</f>
        <v>76648</v>
      </c>
      <c r="I259" s="16" t="n">
        <f aca="false">MAX(0,G259-CADASTRO_CASAS_BOMBA!$I$7*HORAS_CAPTACAO_DIA-H258)</f>
        <v>0</v>
      </c>
      <c r="J259" s="16" t="n">
        <f aca="false">INDEX(AUX_MATRIZES!$C$10:$BP$10,MIN(N_SEMANAS,MAX(1,$C259)))/DIAS_POR_SEMANA</f>
        <v>10345.0574117647</v>
      </c>
      <c r="K259" s="16" t="n">
        <f aca="false">MIN(CADASTRO_CASAS_BOMBA!$O$8,MAX(0,K258+CADASTRO_CASAS_BOMBA!$I$8*HORAS_CAPTACAO_DIA-J259))</f>
        <v>27377</v>
      </c>
      <c r="L259" s="16" t="n">
        <f aca="false">MAX(0,J259-CADASTRO_CASAS_BOMBA!$I$8*HORAS_CAPTACAO_DIA-K258)</f>
        <v>0</v>
      </c>
      <c r="M259" s="16" t="n">
        <f aca="false">INDEX(AUX_MATRIZES!$C$11:$BP$11,MIN(N_SEMANAS,MAX(1,$C259)))/DIAS_POR_SEMANA</f>
        <v>25238.9977375566</v>
      </c>
      <c r="N259" s="16" t="n">
        <f aca="false">MIN(CADASTRO_CASAS_BOMBA!$O$9,MAX(0,N258+CADASTRO_CASAS_BOMBA!$I$9*HORAS_CAPTACAO_DIA-M259))</f>
        <v>87572.268532644</v>
      </c>
      <c r="O259" s="16" t="n">
        <f aca="false">MAX(0,M259-CADASTRO_CASAS_BOMBA!$I$9*HORAS_CAPTACAO_DIA-N258)</f>
        <v>0</v>
      </c>
      <c r="P259" s="16" t="n">
        <f aca="false">INDEX(AUX_MATRIZES!$C$12:$BP$12,MIN(N_SEMANAS,MAX(1,$C259)))/DIAS_POR_SEMANA</f>
        <v>20164.6800586675</v>
      </c>
      <c r="Q259" s="16" t="n">
        <f aca="false">MIN(CADASTRO_CASAS_BOMBA!$O$10,MAX(0,Q258+CADASTRO_CASAS_BOMBA!$I$10*HORAS_CAPTACAO_DIA-P259))</f>
        <v>785809.390854113</v>
      </c>
      <c r="R259" s="16" t="n">
        <f aca="false">MAX(0,P259-CADASTRO_CASAS_BOMBA!$I$10*HORAS_CAPTACAO_DIA-Q258)</f>
        <v>0</v>
      </c>
      <c r="S259" s="16" t="n">
        <f aca="false">INDEX(AUX_MATRIZES!$C$13:$BP$13,MIN(N_SEMANAS,MAX(1,$C259)))/DIAS_POR_SEMANA</f>
        <v>38474.3009600952</v>
      </c>
      <c r="T259" s="16" t="n">
        <f aca="false">MIN(CADASTRO_CASAS_BOMBA!$O$11,MAX(0,T258+CADASTRO_CASAS_BOMBA!$I$11*HORAS_CAPTACAO_DIA-S259))</f>
        <v>0</v>
      </c>
      <c r="U259" s="16" t="n">
        <f aca="false">MAX(0,S259-CADASTRO_CASAS_BOMBA!$I$11*HORAS_CAPTACAO_DIA-T258)</f>
        <v>17054.3009600952</v>
      </c>
      <c r="V259" s="16" t="n">
        <f aca="false">INDEX(AUX_MATRIZES!$C$14:$BP$14,MIN(N_SEMANAS,MAX(1,$C259)))/DIAS_POR_SEMANA</f>
        <v>56977.6024649321</v>
      </c>
      <c r="W259" s="16" t="n">
        <f aca="false">MIN(CADASTRO_CASAS_BOMBA!$O$12,MAX(0,W258+CADASTRO_CASAS_BOMBA!$I$12*HORAS_CAPTACAO_DIA-V259))</f>
        <v>0</v>
      </c>
      <c r="X259" s="16" t="n">
        <f aca="false">MAX(0,V259-CADASTRO_CASAS_BOMBA!$I$12*HORAS_CAPTACAO_DIA-W258)</f>
        <v>31597.6024649321</v>
      </c>
      <c r="Y259" s="16" t="n">
        <f aca="false">INDEX(AUX_MATRIZES!$C$15:$BP$15,MIN(N_SEMANAS,MAX(1,$C259)))/DIAS_POR_SEMANA</f>
        <v>0</v>
      </c>
      <c r="Z259" s="16" t="n">
        <f aca="false">MIN(CADASTRO_CASAS_BOMBA!$O$13,MAX(0,Z258+CADASTRO_CASAS_BOMBA!$I$13*HORAS_CAPTACAO_DIA-Y259))</f>
        <v>74903</v>
      </c>
      <c r="AA259" s="16" t="n">
        <f aca="false">MAX(0,Y259-CADASTRO_CASAS_BOMBA!$I$13*HORAS_CAPTACAO_DIA-Z258)</f>
        <v>0</v>
      </c>
    </row>
    <row r="260" customFormat="false" ht="15" hidden="false" customHeight="false" outlineLevel="0" collapsed="false">
      <c r="B260" s="17" t="n">
        <f aca="false">DATA_INICIO_SAFRA+253</f>
        <v>46518</v>
      </c>
      <c r="C260" s="16" t="n">
        <f aca="false">MIN(N_SEMANAS,MAX(1,INT(($B260-DATA_INICIO_SAFRA)/DIAS_POR_SEMANA)+1))</f>
        <v>37</v>
      </c>
      <c r="D260" s="16" t="n">
        <f aca="false">INDEX(AUX_MATRIZES!$C$8:$BP$8,MIN(N_SEMANAS,MAX(1,$C260)))/DIAS_POR_SEMANA</f>
        <v>5142.19129411765</v>
      </c>
      <c r="E260" s="16" t="n">
        <f aca="false">MIN(CADASTRO_CASAS_BOMBA!$O$6,MAX(0,E259+CADASTRO_CASAS_BOMBA!$I$6*HORAS_CAPTACAO_DIA-D260))</f>
        <v>2600</v>
      </c>
      <c r="F260" s="16" t="n">
        <f aca="false">MAX(0,D260-CADASTRO_CASAS_BOMBA!$I$6*HORAS_CAPTACAO_DIA-E259)</f>
        <v>0</v>
      </c>
      <c r="G260" s="16" t="n">
        <f aca="false">INDEX(AUX_MATRIZES!$C$9:$BP$9,MIN(N_SEMANAS,MAX(1,$C260)))/DIAS_POR_SEMANA</f>
        <v>9519.02434389141</v>
      </c>
      <c r="H260" s="16" t="n">
        <f aca="false">MIN(CADASTRO_CASAS_BOMBA!$O$7,MAX(0,H259+CADASTRO_CASAS_BOMBA!$I$7*HORAS_CAPTACAO_DIA-G260))</f>
        <v>76648</v>
      </c>
      <c r="I260" s="16" t="n">
        <f aca="false">MAX(0,G260-CADASTRO_CASAS_BOMBA!$I$7*HORAS_CAPTACAO_DIA-H259)</f>
        <v>0</v>
      </c>
      <c r="J260" s="16" t="n">
        <f aca="false">INDEX(AUX_MATRIZES!$C$10:$BP$10,MIN(N_SEMANAS,MAX(1,$C260)))/DIAS_POR_SEMANA</f>
        <v>10345.0574117647</v>
      </c>
      <c r="K260" s="16" t="n">
        <f aca="false">MIN(CADASTRO_CASAS_BOMBA!$O$8,MAX(0,K259+CADASTRO_CASAS_BOMBA!$I$8*HORAS_CAPTACAO_DIA-J260))</f>
        <v>27377</v>
      </c>
      <c r="L260" s="16" t="n">
        <f aca="false">MAX(0,J260-CADASTRO_CASAS_BOMBA!$I$8*HORAS_CAPTACAO_DIA-K259)</f>
        <v>0</v>
      </c>
      <c r="M260" s="16" t="n">
        <f aca="false">INDEX(AUX_MATRIZES!$C$11:$BP$11,MIN(N_SEMANAS,MAX(1,$C260)))/DIAS_POR_SEMANA</f>
        <v>25238.9977375566</v>
      </c>
      <c r="N260" s="16" t="n">
        <f aca="false">MIN(CADASTRO_CASAS_BOMBA!$O$9,MAX(0,N259+CADASTRO_CASAS_BOMBA!$I$9*HORAS_CAPTACAO_DIA-M260))</f>
        <v>83963.8707950874</v>
      </c>
      <c r="O260" s="16" t="n">
        <f aca="false">MAX(0,M260-CADASTRO_CASAS_BOMBA!$I$9*HORAS_CAPTACAO_DIA-N259)</f>
        <v>0</v>
      </c>
      <c r="P260" s="16" t="n">
        <f aca="false">INDEX(AUX_MATRIZES!$C$12:$BP$12,MIN(N_SEMANAS,MAX(1,$C260)))/DIAS_POR_SEMANA</f>
        <v>20164.6800586675</v>
      </c>
      <c r="Q260" s="16" t="n">
        <f aca="false">MIN(CADASTRO_CASAS_BOMBA!$O$10,MAX(0,Q259+CADASTRO_CASAS_BOMBA!$I$10*HORAS_CAPTACAO_DIA-P260))</f>
        <v>778727.110795445</v>
      </c>
      <c r="R260" s="16" t="n">
        <f aca="false">MAX(0,P260-CADASTRO_CASAS_BOMBA!$I$10*HORAS_CAPTACAO_DIA-Q259)</f>
        <v>0</v>
      </c>
      <c r="S260" s="16" t="n">
        <f aca="false">INDEX(AUX_MATRIZES!$C$13:$BP$13,MIN(N_SEMANAS,MAX(1,$C260)))/DIAS_POR_SEMANA</f>
        <v>38474.3009600952</v>
      </c>
      <c r="T260" s="16" t="n">
        <f aca="false">MIN(CADASTRO_CASAS_BOMBA!$O$11,MAX(0,T259+CADASTRO_CASAS_BOMBA!$I$11*HORAS_CAPTACAO_DIA-S260))</f>
        <v>0</v>
      </c>
      <c r="U260" s="16" t="n">
        <f aca="false">MAX(0,S260-CADASTRO_CASAS_BOMBA!$I$11*HORAS_CAPTACAO_DIA-T259)</f>
        <v>17054.3009600952</v>
      </c>
      <c r="V260" s="16" t="n">
        <f aca="false">INDEX(AUX_MATRIZES!$C$14:$BP$14,MIN(N_SEMANAS,MAX(1,$C260)))/DIAS_POR_SEMANA</f>
        <v>56977.6024649321</v>
      </c>
      <c r="W260" s="16" t="n">
        <f aca="false">MIN(CADASTRO_CASAS_BOMBA!$O$12,MAX(0,W259+CADASTRO_CASAS_BOMBA!$I$12*HORAS_CAPTACAO_DIA-V260))</f>
        <v>0</v>
      </c>
      <c r="X260" s="16" t="n">
        <f aca="false">MAX(0,V260-CADASTRO_CASAS_BOMBA!$I$12*HORAS_CAPTACAO_DIA-W259)</f>
        <v>31597.6024649321</v>
      </c>
      <c r="Y260" s="16" t="n">
        <f aca="false">INDEX(AUX_MATRIZES!$C$15:$BP$15,MIN(N_SEMANAS,MAX(1,$C260)))/DIAS_POR_SEMANA</f>
        <v>0</v>
      </c>
      <c r="Z260" s="16" t="n">
        <f aca="false">MIN(CADASTRO_CASAS_BOMBA!$O$13,MAX(0,Z259+CADASTRO_CASAS_BOMBA!$I$13*HORAS_CAPTACAO_DIA-Y260))</f>
        <v>74903</v>
      </c>
      <c r="AA260" s="16" t="n">
        <f aca="false">MAX(0,Y260-CADASTRO_CASAS_BOMBA!$I$13*HORAS_CAPTACAO_DIA-Z259)</f>
        <v>0</v>
      </c>
    </row>
    <row r="261" customFormat="false" ht="15" hidden="false" customHeight="false" outlineLevel="0" collapsed="false">
      <c r="B261" s="17" t="n">
        <f aca="false">DATA_INICIO_SAFRA+254</f>
        <v>46519</v>
      </c>
      <c r="C261" s="16" t="n">
        <f aca="false">MIN(N_SEMANAS,MAX(1,INT(($B261-DATA_INICIO_SAFRA)/DIAS_POR_SEMANA)+1))</f>
        <v>37</v>
      </c>
      <c r="D261" s="16" t="n">
        <f aca="false">INDEX(AUX_MATRIZES!$C$8:$BP$8,MIN(N_SEMANAS,MAX(1,$C261)))/DIAS_POR_SEMANA</f>
        <v>5142.19129411765</v>
      </c>
      <c r="E261" s="16" t="n">
        <f aca="false">MIN(CADASTRO_CASAS_BOMBA!$O$6,MAX(0,E260+CADASTRO_CASAS_BOMBA!$I$6*HORAS_CAPTACAO_DIA-D261))</f>
        <v>2600</v>
      </c>
      <c r="F261" s="16" t="n">
        <f aca="false">MAX(0,D261-CADASTRO_CASAS_BOMBA!$I$6*HORAS_CAPTACAO_DIA-E260)</f>
        <v>0</v>
      </c>
      <c r="G261" s="16" t="n">
        <f aca="false">INDEX(AUX_MATRIZES!$C$9:$BP$9,MIN(N_SEMANAS,MAX(1,$C261)))/DIAS_POR_SEMANA</f>
        <v>9519.02434389141</v>
      </c>
      <c r="H261" s="16" t="n">
        <f aca="false">MIN(CADASTRO_CASAS_BOMBA!$O$7,MAX(0,H260+CADASTRO_CASAS_BOMBA!$I$7*HORAS_CAPTACAO_DIA-G261))</f>
        <v>76648</v>
      </c>
      <c r="I261" s="16" t="n">
        <f aca="false">MAX(0,G261-CADASTRO_CASAS_BOMBA!$I$7*HORAS_CAPTACAO_DIA-H260)</f>
        <v>0</v>
      </c>
      <c r="J261" s="16" t="n">
        <f aca="false">INDEX(AUX_MATRIZES!$C$10:$BP$10,MIN(N_SEMANAS,MAX(1,$C261)))/DIAS_POR_SEMANA</f>
        <v>10345.0574117647</v>
      </c>
      <c r="K261" s="16" t="n">
        <f aca="false">MIN(CADASTRO_CASAS_BOMBA!$O$8,MAX(0,K260+CADASTRO_CASAS_BOMBA!$I$8*HORAS_CAPTACAO_DIA-J261))</f>
        <v>27377</v>
      </c>
      <c r="L261" s="16" t="n">
        <f aca="false">MAX(0,J261-CADASTRO_CASAS_BOMBA!$I$8*HORAS_CAPTACAO_DIA-K260)</f>
        <v>0</v>
      </c>
      <c r="M261" s="16" t="n">
        <f aca="false">INDEX(AUX_MATRIZES!$C$11:$BP$11,MIN(N_SEMANAS,MAX(1,$C261)))/DIAS_POR_SEMANA</f>
        <v>25238.9977375566</v>
      </c>
      <c r="N261" s="16" t="n">
        <f aca="false">MIN(CADASTRO_CASAS_BOMBA!$O$9,MAX(0,N260+CADASTRO_CASAS_BOMBA!$I$9*HORAS_CAPTACAO_DIA-M261))</f>
        <v>80355.4730575308</v>
      </c>
      <c r="O261" s="16" t="n">
        <f aca="false">MAX(0,M261-CADASTRO_CASAS_BOMBA!$I$9*HORAS_CAPTACAO_DIA-N260)</f>
        <v>0</v>
      </c>
      <c r="P261" s="16" t="n">
        <f aca="false">INDEX(AUX_MATRIZES!$C$12:$BP$12,MIN(N_SEMANAS,MAX(1,$C261)))/DIAS_POR_SEMANA</f>
        <v>20164.6800586675</v>
      </c>
      <c r="Q261" s="16" t="n">
        <f aca="false">MIN(CADASTRO_CASAS_BOMBA!$O$10,MAX(0,Q260+CADASTRO_CASAS_BOMBA!$I$10*HORAS_CAPTACAO_DIA-P261))</f>
        <v>771644.830736778</v>
      </c>
      <c r="R261" s="16" t="n">
        <f aca="false">MAX(0,P261-CADASTRO_CASAS_BOMBA!$I$10*HORAS_CAPTACAO_DIA-Q260)</f>
        <v>0</v>
      </c>
      <c r="S261" s="16" t="n">
        <f aca="false">INDEX(AUX_MATRIZES!$C$13:$BP$13,MIN(N_SEMANAS,MAX(1,$C261)))/DIAS_POR_SEMANA</f>
        <v>38474.3009600952</v>
      </c>
      <c r="T261" s="16" t="n">
        <f aca="false">MIN(CADASTRO_CASAS_BOMBA!$O$11,MAX(0,T260+CADASTRO_CASAS_BOMBA!$I$11*HORAS_CAPTACAO_DIA-S261))</f>
        <v>0</v>
      </c>
      <c r="U261" s="16" t="n">
        <f aca="false">MAX(0,S261-CADASTRO_CASAS_BOMBA!$I$11*HORAS_CAPTACAO_DIA-T260)</f>
        <v>17054.3009600952</v>
      </c>
      <c r="V261" s="16" t="n">
        <f aca="false">INDEX(AUX_MATRIZES!$C$14:$BP$14,MIN(N_SEMANAS,MAX(1,$C261)))/DIAS_POR_SEMANA</f>
        <v>56977.6024649321</v>
      </c>
      <c r="W261" s="16" t="n">
        <f aca="false">MIN(CADASTRO_CASAS_BOMBA!$O$12,MAX(0,W260+CADASTRO_CASAS_BOMBA!$I$12*HORAS_CAPTACAO_DIA-V261))</f>
        <v>0</v>
      </c>
      <c r="X261" s="16" t="n">
        <f aca="false">MAX(0,V261-CADASTRO_CASAS_BOMBA!$I$12*HORAS_CAPTACAO_DIA-W260)</f>
        <v>31597.6024649321</v>
      </c>
      <c r="Y261" s="16" t="n">
        <f aca="false">INDEX(AUX_MATRIZES!$C$15:$BP$15,MIN(N_SEMANAS,MAX(1,$C261)))/DIAS_POR_SEMANA</f>
        <v>0</v>
      </c>
      <c r="Z261" s="16" t="n">
        <f aca="false">MIN(CADASTRO_CASAS_BOMBA!$O$13,MAX(0,Z260+CADASTRO_CASAS_BOMBA!$I$13*HORAS_CAPTACAO_DIA-Y261))</f>
        <v>74903</v>
      </c>
      <c r="AA261" s="16" t="n">
        <f aca="false">MAX(0,Y261-CADASTRO_CASAS_BOMBA!$I$13*HORAS_CAPTACAO_DIA-Z260)</f>
        <v>0</v>
      </c>
    </row>
    <row r="262" customFormat="false" ht="15" hidden="false" customHeight="false" outlineLevel="0" collapsed="false">
      <c r="B262" s="17" t="n">
        <f aca="false">DATA_INICIO_SAFRA+255</f>
        <v>46520</v>
      </c>
      <c r="C262" s="16" t="n">
        <f aca="false">MIN(N_SEMANAS,MAX(1,INT(($B262-DATA_INICIO_SAFRA)/DIAS_POR_SEMANA)+1))</f>
        <v>37</v>
      </c>
      <c r="D262" s="16" t="n">
        <f aca="false">INDEX(AUX_MATRIZES!$C$8:$BP$8,MIN(N_SEMANAS,MAX(1,$C262)))/DIAS_POR_SEMANA</f>
        <v>5142.19129411765</v>
      </c>
      <c r="E262" s="16" t="n">
        <f aca="false">MIN(CADASTRO_CASAS_BOMBA!$O$6,MAX(0,E261+CADASTRO_CASAS_BOMBA!$I$6*HORAS_CAPTACAO_DIA-D262))</f>
        <v>2600</v>
      </c>
      <c r="F262" s="16" t="n">
        <f aca="false">MAX(0,D262-CADASTRO_CASAS_BOMBA!$I$6*HORAS_CAPTACAO_DIA-E261)</f>
        <v>0</v>
      </c>
      <c r="G262" s="16" t="n">
        <f aca="false">INDEX(AUX_MATRIZES!$C$9:$BP$9,MIN(N_SEMANAS,MAX(1,$C262)))/DIAS_POR_SEMANA</f>
        <v>9519.02434389141</v>
      </c>
      <c r="H262" s="16" t="n">
        <f aca="false">MIN(CADASTRO_CASAS_BOMBA!$O$7,MAX(0,H261+CADASTRO_CASAS_BOMBA!$I$7*HORAS_CAPTACAO_DIA-G262))</f>
        <v>76648</v>
      </c>
      <c r="I262" s="16" t="n">
        <f aca="false">MAX(0,G262-CADASTRO_CASAS_BOMBA!$I$7*HORAS_CAPTACAO_DIA-H261)</f>
        <v>0</v>
      </c>
      <c r="J262" s="16" t="n">
        <f aca="false">INDEX(AUX_MATRIZES!$C$10:$BP$10,MIN(N_SEMANAS,MAX(1,$C262)))/DIAS_POR_SEMANA</f>
        <v>10345.0574117647</v>
      </c>
      <c r="K262" s="16" t="n">
        <f aca="false">MIN(CADASTRO_CASAS_BOMBA!$O$8,MAX(0,K261+CADASTRO_CASAS_BOMBA!$I$8*HORAS_CAPTACAO_DIA-J262))</f>
        <v>27377</v>
      </c>
      <c r="L262" s="16" t="n">
        <f aca="false">MAX(0,J262-CADASTRO_CASAS_BOMBA!$I$8*HORAS_CAPTACAO_DIA-K261)</f>
        <v>0</v>
      </c>
      <c r="M262" s="16" t="n">
        <f aca="false">INDEX(AUX_MATRIZES!$C$11:$BP$11,MIN(N_SEMANAS,MAX(1,$C262)))/DIAS_POR_SEMANA</f>
        <v>25238.9977375566</v>
      </c>
      <c r="N262" s="16" t="n">
        <f aca="false">MIN(CADASTRO_CASAS_BOMBA!$O$9,MAX(0,N261+CADASTRO_CASAS_BOMBA!$I$9*HORAS_CAPTACAO_DIA-M262))</f>
        <v>76747.0753199743</v>
      </c>
      <c r="O262" s="16" t="n">
        <f aca="false">MAX(0,M262-CADASTRO_CASAS_BOMBA!$I$9*HORAS_CAPTACAO_DIA-N261)</f>
        <v>0</v>
      </c>
      <c r="P262" s="16" t="n">
        <f aca="false">INDEX(AUX_MATRIZES!$C$12:$BP$12,MIN(N_SEMANAS,MAX(1,$C262)))/DIAS_POR_SEMANA</f>
        <v>20164.6800586675</v>
      </c>
      <c r="Q262" s="16" t="n">
        <f aca="false">MIN(CADASTRO_CASAS_BOMBA!$O$10,MAX(0,Q261+CADASTRO_CASAS_BOMBA!$I$10*HORAS_CAPTACAO_DIA-P262))</f>
        <v>764562.55067811</v>
      </c>
      <c r="R262" s="16" t="n">
        <f aca="false">MAX(0,P262-CADASTRO_CASAS_BOMBA!$I$10*HORAS_CAPTACAO_DIA-Q261)</f>
        <v>0</v>
      </c>
      <c r="S262" s="16" t="n">
        <f aca="false">INDEX(AUX_MATRIZES!$C$13:$BP$13,MIN(N_SEMANAS,MAX(1,$C262)))/DIAS_POR_SEMANA</f>
        <v>38474.3009600952</v>
      </c>
      <c r="T262" s="16" t="n">
        <f aca="false">MIN(CADASTRO_CASAS_BOMBA!$O$11,MAX(0,T261+CADASTRO_CASAS_BOMBA!$I$11*HORAS_CAPTACAO_DIA-S262))</f>
        <v>0</v>
      </c>
      <c r="U262" s="16" t="n">
        <f aca="false">MAX(0,S262-CADASTRO_CASAS_BOMBA!$I$11*HORAS_CAPTACAO_DIA-T261)</f>
        <v>17054.3009600952</v>
      </c>
      <c r="V262" s="16" t="n">
        <f aca="false">INDEX(AUX_MATRIZES!$C$14:$BP$14,MIN(N_SEMANAS,MAX(1,$C262)))/DIAS_POR_SEMANA</f>
        <v>56977.6024649321</v>
      </c>
      <c r="W262" s="16" t="n">
        <f aca="false">MIN(CADASTRO_CASAS_BOMBA!$O$12,MAX(0,W261+CADASTRO_CASAS_BOMBA!$I$12*HORAS_CAPTACAO_DIA-V262))</f>
        <v>0</v>
      </c>
      <c r="X262" s="16" t="n">
        <f aca="false">MAX(0,V262-CADASTRO_CASAS_BOMBA!$I$12*HORAS_CAPTACAO_DIA-W261)</f>
        <v>31597.6024649321</v>
      </c>
      <c r="Y262" s="16" t="n">
        <f aca="false">INDEX(AUX_MATRIZES!$C$15:$BP$15,MIN(N_SEMANAS,MAX(1,$C262)))/DIAS_POR_SEMANA</f>
        <v>0</v>
      </c>
      <c r="Z262" s="16" t="n">
        <f aca="false">MIN(CADASTRO_CASAS_BOMBA!$O$13,MAX(0,Z261+CADASTRO_CASAS_BOMBA!$I$13*HORAS_CAPTACAO_DIA-Y262))</f>
        <v>74903</v>
      </c>
      <c r="AA262" s="16" t="n">
        <f aca="false">MAX(0,Y262-CADASTRO_CASAS_BOMBA!$I$13*HORAS_CAPTACAO_DIA-Z261)</f>
        <v>0</v>
      </c>
    </row>
    <row r="263" customFormat="false" ht="15" hidden="false" customHeight="false" outlineLevel="0" collapsed="false">
      <c r="B263" s="17" t="n">
        <f aca="false">DATA_INICIO_SAFRA+256</f>
        <v>46521</v>
      </c>
      <c r="C263" s="16" t="n">
        <f aca="false">MIN(N_SEMANAS,MAX(1,INT(($B263-DATA_INICIO_SAFRA)/DIAS_POR_SEMANA)+1))</f>
        <v>37</v>
      </c>
      <c r="D263" s="16" t="n">
        <f aca="false">INDEX(AUX_MATRIZES!$C$8:$BP$8,MIN(N_SEMANAS,MAX(1,$C263)))/DIAS_POR_SEMANA</f>
        <v>5142.19129411765</v>
      </c>
      <c r="E263" s="16" t="n">
        <f aca="false">MIN(CADASTRO_CASAS_BOMBA!$O$6,MAX(0,E262+CADASTRO_CASAS_BOMBA!$I$6*HORAS_CAPTACAO_DIA-D263))</f>
        <v>2600</v>
      </c>
      <c r="F263" s="16" t="n">
        <f aca="false">MAX(0,D263-CADASTRO_CASAS_BOMBA!$I$6*HORAS_CAPTACAO_DIA-E262)</f>
        <v>0</v>
      </c>
      <c r="G263" s="16" t="n">
        <f aca="false">INDEX(AUX_MATRIZES!$C$9:$BP$9,MIN(N_SEMANAS,MAX(1,$C263)))/DIAS_POR_SEMANA</f>
        <v>9519.02434389141</v>
      </c>
      <c r="H263" s="16" t="n">
        <f aca="false">MIN(CADASTRO_CASAS_BOMBA!$O$7,MAX(0,H262+CADASTRO_CASAS_BOMBA!$I$7*HORAS_CAPTACAO_DIA-G263))</f>
        <v>76648</v>
      </c>
      <c r="I263" s="16" t="n">
        <f aca="false">MAX(0,G263-CADASTRO_CASAS_BOMBA!$I$7*HORAS_CAPTACAO_DIA-H262)</f>
        <v>0</v>
      </c>
      <c r="J263" s="16" t="n">
        <f aca="false">INDEX(AUX_MATRIZES!$C$10:$BP$10,MIN(N_SEMANAS,MAX(1,$C263)))/DIAS_POR_SEMANA</f>
        <v>10345.0574117647</v>
      </c>
      <c r="K263" s="16" t="n">
        <f aca="false">MIN(CADASTRO_CASAS_BOMBA!$O$8,MAX(0,K262+CADASTRO_CASAS_BOMBA!$I$8*HORAS_CAPTACAO_DIA-J263))</f>
        <v>27377</v>
      </c>
      <c r="L263" s="16" t="n">
        <f aca="false">MAX(0,J263-CADASTRO_CASAS_BOMBA!$I$8*HORAS_CAPTACAO_DIA-K262)</f>
        <v>0</v>
      </c>
      <c r="M263" s="16" t="n">
        <f aca="false">INDEX(AUX_MATRIZES!$C$11:$BP$11,MIN(N_SEMANAS,MAX(1,$C263)))/DIAS_POR_SEMANA</f>
        <v>25238.9977375566</v>
      </c>
      <c r="N263" s="16" t="n">
        <f aca="false">MIN(CADASTRO_CASAS_BOMBA!$O$9,MAX(0,N262+CADASTRO_CASAS_BOMBA!$I$9*HORAS_CAPTACAO_DIA-M263))</f>
        <v>73138.6775824177</v>
      </c>
      <c r="O263" s="16" t="n">
        <f aca="false">MAX(0,M263-CADASTRO_CASAS_BOMBA!$I$9*HORAS_CAPTACAO_DIA-N262)</f>
        <v>0</v>
      </c>
      <c r="P263" s="16" t="n">
        <f aca="false">INDEX(AUX_MATRIZES!$C$12:$BP$12,MIN(N_SEMANAS,MAX(1,$C263)))/DIAS_POR_SEMANA</f>
        <v>20164.6800586675</v>
      </c>
      <c r="Q263" s="16" t="n">
        <f aca="false">MIN(CADASTRO_CASAS_BOMBA!$O$10,MAX(0,Q262+CADASTRO_CASAS_BOMBA!$I$10*HORAS_CAPTACAO_DIA-P263))</f>
        <v>757480.270619443</v>
      </c>
      <c r="R263" s="16" t="n">
        <f aca="false">MAX(0,P263-CADASTRO_CASAS_BOMBA!$I$10*HORAS_CAPTACAO_DIA-Q262)</f>
        <v>0</v>
      </c>
      <c r="S263" s="16" t="n">
        <f aca="false">INDEX(AUX_MATRIZES!$C$13:$BP$13,MIN(N_SEMANAS,MAX(1,$C263)))/DIAS_POR_SEMANA</f>
        <v>38474.3009600952</v>
      </c>
      <c r="T263" s="16" t="n">
        <f aca="false">MIN(CADASTRO_CASAS_BOMBA!$O$11,MAX(0,T262+CADASTRO_CASAS_BOMBA!$I$11*HORAS_CAPTACAO_DIA-S263))</f>
        <v>0</v>
      </c>
      <c r="U263" s="16" t="n">
        <f aca="false">MAX(0,S263-CADASTRO_CASAS_BOMBA!$I$11*HORAS_CAPTACAO_DIA-T262)</f>
        <v>17054.3009600952</v>
      </c>
      <c r="V263" s="16" t="n">
        <f aca="false">INDEX(AUX_MATRIZES!$C$14:$BP$14,MIN(N_SEMANAS,MAX(1,$C263)))/DIAS_POR_SEMANA</f>
        <v>56977.6024649321</v>
      </c>
      <c r="W263" s="16" t="n">
        <f aca="false">MIN(CADASTRO_CASAS_BOMBA!$O$12,MAX(0,W262+CADASTRO_CASAS_BOMBA!$I$12*HORAS_CAPTACAO_DIA-V263))</f>
        <v>0</v>
      </c>
      <c r="X263" s="16" t="n">
        <f aca="false">MAX(0,V263-CADASTRO_CASAS_BOMBA!$I$12*HORAS_CAPTACAO_DIA-W262)</f>
        <v>31597.6024649321</v>
      </c>
      <c r="Y263" s="16" t="n">
        <f aca="false">INDEX(AUX_MATRIZES!$C$15:$BP$15,MIN(N_SEMANAS,MAX(1,$C263)))/DIAS_POR_SEMANA</f>
        <v>0</v>
      </c>
      <c r="Z263" s="16" t="n">
        <f aca="false">MIN(CADASTRO_CASAS_BOMBA!$O$13,MAX(0,Z262+CADASTRO_CASAS_BOMBA!$I$13*HORAS_CAPTACAO_DIA-Y263))</f>
        <v>74903</v>
      </c>
      <c r="AA263" s="16" t="n">
        <f aca="false">MAX(0,Y263-CADASTRO_CASAS_BOMBA!$I$13*HORAS_CAPTACAO_DIA-Z262)</f>
        <v>0</v>
      </c>
    </row>
    <row r="264" customFormat="false" ht="15" hidden="false" customHeight="false" outlineLevel="0" collapsed="false">
      <c r="B264" s="17" t="n">
        <f aca="false">DATA_INICIO_SAFRA+257</f>
        <v>46522</v>
      </c>
      <c r="C264" s="16" t="n">
        <f aca="false">MIN(N_SEMANAS,MAX(1,INT(($B264-DATA_INICIO_SAFRA)/DIAS_POR_SEMANA)+1))</f>
        <v>37</v>
      </c>
      <c r="D264" s="16" t="n">
        <f aca="false">INDEX(AUX_MATRIZES!$C$8:$BP$8,MIN(N_SEMANAS,MAX(1,$C264)))/DIAS_POR_SEMANA</f>
        <v>5142.19129411765</v>
      </c>
      <c r="E264" s="16" t="n">
        <f aca="false">MIN(CADASTRO_CASAS_BOMBA!$O$6,MAX(0,E263+CADASTRO_CASAS_BOMBA!$I$6*HORAS_CAPTACAO_DIA-D264))</f>
        <v>2600</v>
      </c>
      <c r="F264" s="16" t="n">
        <f aca="false">MAX(0,D264-CADASTRO_CASAS_BOMBA!$I$6*HORAS_CAPTACAO_DIA-E263)</f>
        <v>0</v>
      </c>
      <c r="G264" s="16" t="n">
        <f aca="false">INDEX(AUX_MATRIZES!$C$9:$BP$9,MIN(N_SEMANAS,MAX(1,$C264)))/DIAS_POR_SEMANA</f>
        <v>9519.02434389141</v>
      </c>
      <c r="H264" s="16" t="n">
        <f aca="false">MIN(CADASTRO_CASAS_BOMBA!$O$7,MAX(0,H263+CADASTRO_CASAS_BOMBA!$I$7*HORAS_CAPTACAO_DIA-G264))</f>
        <v>76648</v>
      </c>
      <c r="I264" s="16" t="n">
        <f aca="false">MAX(0,G264-CADASTRO_CASAS_BOMBA!$I$7*HORAS_CAPTACAO_DIA-H263)</f>
        <v>0</v>
      </c>
      <c r="J264" s="16" t="n">
        <f aca="false">INDEX(AUX_MATRIZES!$C$10:$BP$10,MIN(N_SEMANAS,MAX(1,$C264)))/DIAS_POR_SEMANA</f>
        <v>10345.0574117647</v>
      </c>
      <c r="K264" s="16" t="n">
        <f aca="false">MIN(CADASTRO_CASAS_BOMBA!$O$8,MAX(0,K263+CADASTRO_CASAS_BOMBA!$I$8*HORAS_CAPTACAO_DIA-J264))</f>
        <v>27377</v>
      </c>
      <c r="L264" s="16" t="n">
        <f aca="false">MAX(0,J264-CADASTRO_CASAS_BOMBA!$I$8*HORAS_CAPTACAO_DIA-K263)</f>
        <v>0</v>
      </c>
      <c r="M264" s="16" t="n">
        <f aca="false">INDEX(AUX_MATRIZES!$C$11:$BP$11,MIN(N_SEMANAS,MAX(1,$C264)))/DIAS_POR_SEMANA</f>
        <v>25238.9977375566</v>
      </c>
      <c r="N264" s="16" t="n">
        <f aca="false">MIN(CADASTRO_CASAS_BOMBA!$O$9,MAX(0,N263+CADASTRO_CASAS_BOMBA!$I$9*HORAS_CAPTACAO_DIA-M264))</f>
        <v>69530.2798448612</v>
      </c>
      <c r="O264" s="16" t="n">
        <f aca="false">MAX(0,M264-CADASTRO_CASAS_BOMBA!$I$9*HORAS_CAPTACAO_DIA-N263)</f>
        <v>0</v>
      </c>
      <c r="P264" s="16" t="n">
        <f aca="false">INDEX(AUX_MATRIZES!$C$12:$BP$12,MIN(N_SEMANAS,MAX(1,$C264)))/DIAS_POR_SEMANA</f>
        <v>20164.6800586675</v>
      </c>
      <c r="Q264" s="16" t="n">
        <f aca="false">MIN(CADASTRO_CASAS_BOMBA!$O$10,MAX(0,Q263+CADASTRO_CASAS_BOMBA!$I$10*HORAS_CAPTACAO_DIA-P264))</f>
        <v>750397.990560775</v>
      </c>
      <c r="R264" s="16" t="n">
        <f aca="false">MAX(0,P264-CADASTRO_CASAS_BOMBA!$I$10*HORAS_CAPTACAO_DIA-Q263)</f>
        <v>0</v>
      </c>
      <c r="S264" s="16" t="n">
        <f aca="false">INDEX(AUX_MATRIZES!$C$13:$BP$13,MIN(N_SEMANAS,MAX(1,$C264)))/DIAS_POR_SEMANA</f>
        <v>38474.3009600952</v>
      </c>
      <c r="T264" s="16" t="n">
        <f aca="false">MIN(CADASTRO_CASAS_BOMBA!$O$11,MAX(0,T263+CADASTRO_CASAS_BOMBA!$I$11*HORAS_CAPTACAO_DIA-S264))</f>
        <v>0</v>
      </c>
      <c r="U264" s="16" t="n">
        <f aca="false">MAX(0,S264-CADASTRO_CASAS_BOMBA!$I$11*HORAS_CAPTACAO_DIA-T263)</f>
        <v>17054.3009600952</v>
      </c>
      <c r="V264" s="16" t="n">
        <f aca="false">INDEX(AUX_MATRIZES!$C$14:$BP$14,MIN(N_SEMANAS,MAX(1,$C264)))/DIAS_POR_SEMANA</f>
        <v>56977.6024649321</v>
      </c>
      <c r="W264" s="16" t="n">
        <f aca="false">MIN(CADASTRO_CASAS_BOMBA!$O$12,MAX(0,W263+CADASTRO_CASAS_BOMBA!$I$12*HORAS_CAPTACAO_DIA-V264))</f>
        <v>0</v>
      </c>
      <c r="X264" s="16" t="n">
        <f aca="false">MAX(0,V264-CADASTRO_CASAS_BOMBA!$I$12*HORAS_CAPTACAO_DIA-W263)</f>
        <v>31597.6024649321</v>
      </c>
      <c r="Y264" s="16" t="n">
        <f aca="false">INDEX(AUX_MATRIZES!$C$15:$BP$15,MIN(N_SEMANAS,MAX(1,$C264)))/DIAS_POR_SEMANA</f>
        <v>0</v>
      </c>
      <c r="Z264" s="16" t="n">
        <f aca="false">MIN(CADASTRO_CASAS_BOMBA!$O$13,MAX(0,Z263+CADASTRO_CASAS_BOMBA!$I$13*HORAS_CAPTACAO_DIA-Y264))</f>
        <v>74903</v>
      </c>
      <c r="AA264" s="16" t="n">
        <f aca="false">MAX(0,Y264-CADASTRO_CASAS_BOMBA!$I$13*HORAS_CAPTACAO_DIA-Z263)</f>
        <v>0</v>
      </c>
    </row>
    <row r="265" customFormat="false" ht="15" hidden="false" customHeight="false" outlineLevel="0" collapsed="false">
      <c r="B265" s="17" t="n">
        <f aca="false">DATA_INICIO_SAFRA+258</f>
        <v>46523</v>
      </c>
      <c r="C265" s="16" t="n">
        <f aca="false">MIN(N_SEMANAS,MAX(1,INT(($B265-DATA_INICIO_SAFRA)/DIAS_POR_SEMANA)+1))</f>
        <v>37</v>
      </c>
      <c r="D265" s="16" t="n">
        <f aca="false">INDEX(AUX_MATRIZES!$C$8:$BP$8,MIN(N_SEMANAS,MAX(1,$C265)))/DIAS_POR_SEMANA</f>
        <v>5142.19129411765</v>
      </c>
      <c r="E265" s="16" t="n">
        <f aca="false">MIN(CADASTRO_CASAS_BOMBA!$O$6,MAX(0,E264+CADASTRO_CASAS_BOMBA!$I$6*HORAS_CAPTACAO_DIA-D265))</f>
        <v>2600</v>
      </c>
      <c r="F265" s="16" t="n">
        <f aca="false">MAX(0,D265-CADASTRO_CASAS_BOMBA!$I$6*HORAS_CAPTACAO_DIA-E264)</f>
        <v>0</v>
      </c>
      <c r="G265" s="16" t="n">
        <f aca="false">INDEX(AUX_MATRIZES!$C$9:$BP$9,MIN(N_SEMANAS,MAX(1,$C265)))/DIAS_POR_SEMANA</f>
        <v>9519.02434389141</v>
      </c>
      <c r="H265" s="16" t="n">
        <f aca="false">MIN(CADASTRO_CASAS_BOMBA!$O$7,MAX(0,H264+CADASTRO_CASAS_BOMBA!$I$7*HORAS_CAPTACAO_DIA-G265))</f>
        <v>76648</v>
      </c>
      <c r="I265" s="16" t="n">
        <f aca="false">MAX(0,G265-CADASTRO_CASAS_BOMBA!$I$7*HORAS_CAPTACAO_DIA-H264)</f>
        <v>0</v>
      </c>
      <c r="J265" s="16" t="n">
        <f aca="false">INDEX(AUX_MATRIZES!$C$10:$BP$10,MIN(N_SEMANAS,MAX(1,$C265)))/DIAS_POR_SEMANA</f>
        <v>10345.0574117647</v>
      </c>
      <c r="K265" s="16" t="n">
        <f aca="false">MIN(CADASTRO_CASAS_BOMBA!$O$8,MAX(0,K264+CADASTRO_CASAS_BOMBA!$I$8*HORAS_CAPTACAO_DIA-J265))</f>
        <v>27377</v>
      </c>
      <c r="L265" s="16" t="n">
        <f aca="false">MAX(0,J265-CADASTRO_CASAS_BOMBA!$I$8*HORAS_CAPTACAO_DIA-K264)</f>
        <v>0</v>
      </c>
      <c r="M265" s="16" t="n">
        <f aca="false">INDEX(AUX_MATRIZES!$C$11:$BP$11,MIN(N_SEMANAS,MAX(1,$C265)))/DIAS_POR_SEMANA</f>
        <v>25238.9977375566</v>
      </c>
      <c r="N265" s="16" t="n">
        <f aca="false">MIN(CADASTRO_CASAS_BOMBA!$O$9,MAX(0,N264+CADASTRO_CASAS_BOMBA!$I$9*HORAS_CAPTACAO_DIA-M265))</f>
        <v>65921.8821073046</v>
      </c>
      <c r="O265" s="16" t="n">
        <f aca="false">MAX(0,M265-CADASTRO_CASAS_BOMBA!$I$9*HORAS_CAPTACAO_DIA-N264)</f>
        <v>0</v>
      </c>
      <c r="P265" s="16" t="n">
        <f aca="false">INDEX(AUX_MATRIZES!$C$12:$BP$12,MIN(N_SEMANAS,MAX(1,$C265)))/DIAS_POR_SEMANA</f>
        <v>20164.6800586675</v>
      </c>
      <c r="Q265" s="16" t="n">
        <f aca="false">MIN(CADASTRO_CASAS_BOMBA!$O$10,MAX(0,Q264+CADASTRO_CASAS_BOMBA!$I$10*HORAS_CAPTACAO_DIA-P265))</f>
        <v>743315.710502108</v>
      </c>
      <c r="R265" s="16" t="n">
        <f aca="false">MAX(0,P265-CADASTRO_CASAS_BOMBA!$I$10*HORAS_CAPTACAO_DIA-Q264)</f>
        <v>0</v>
      </c>
      <c r="S265" s="16" t="n">
        <f aca="false">INDEX(AUX_MATRIZES!$C$13:$BP$13,MIN(N_SEMANAS,MAX(1,$C265)))/DIAS_POR_SEMANA</f>
        <v>38474.3009600952</v>
      </c>
      <c r="T265" s="16" t="n">
        <f aca="false">MIN(CADASTRO_CASAS_BOMBA!$O$11,MAX(0,T264+CADASTRO_CASAS_BOMBA!$I$11*HORAS_CAPTACAO_DIA-S265))</f>
        <v>0</v>
      </c>
      <c r="U265" s="16" t="n">
        <f aca="false">MAX(0,S265-CADASTRO_CASAS_BOMBA!$I$11*HORAS_CAPTACAO_DIA-T264)</f>
        <v>17054.3009600952</v>
      </c>
      <c r="V265" s="16" t="n">
        <f aca="false">INDEX(AUX_MATRIZES!$C$14:$BP$14,MIN(N_SEMANAS,MAX(1,$C265)))/DIAS_POR_SEMANA</f>
        <v>56977.6024649321</v>
      </c>
      <c r="W265" s="16" t="n">
        <f aca="false">MIN(CADASTRO_CASAS_BOMBA!$O$12,MAX(0,W264+CADASTRO_CASAS_BOMBA!$I$12*HORAS_CAPTACAO_DIA-V265))</f>
        <v>0</v>
      </c>
      <c r="X265" s="16" t="n">
        <f aca="false">MAX(0,V265-CADASTRO_CASAS_BOMBA!$I$12*HORAS_CAPTACAO_DIA-W264)</f>
        <v>31597.6024649321</v>
      </c>
      <c r="Y265" s="16" t="n">
        <f aca="false">INDEX(AUX_MATRIZES!$C$15:$BP$15,MIN(N_SEMANAS,MAX(1,$C265)))/DIAS_POR_SEMANA</f>
        <v>0</v>
      </c>
      <c r="Z265" s="16" t="n">
        <f aca="false">MIN(CADASTRO_CASAS_BOMBA!$O$13,MAX(0,Z264+CADASTRO_CASAS_BOMBA!$I$13*HORAS_CAPTACAO_DIA-Y265))</f>
        <v>74903</v>
      </c>
      <c r="AA265" s="16" t="n">
        <f aca="false">MAX(0,Y265-CADASTRO_CASAS_BOMBA!$I$13*HORAS_CAPTACAO_DIA-Z264)</f>
        <v>0</v>
      </c>
    </row>
    <row r="266" customFormat="false" ht="15" hidden="false" customHeight="false" outlineLevel="0" collapsed="false">
      <c r="B266" s="17" t="n">
        <f aca="false">DATA_INICIO_SAFRA+259</f>
        <v>46524</v>
      </c>
      <c r="C266" s="16" t="n">
        <f aca="false">MIN(N_SEMANAS,MAX(1,INT(($B266-DATA_INICIO_SAFRA)/DIAS_POR_SEMANA)+1))</f>
        <v>38</v>
      </c>
      <c r="D266" s="16" t="n">
        <f aca="false">INDEX(AUX_MATRIZES!$C$8:$BP$8,MIN(N_SEMANAS,MAX(1,$C266)))/DIAS_POR_SEMANA</f>
        <v>5142.19129411765</v>
      </c>
      <c r="E266" s="16" t="n">
        <f aca="false">MIN(CADASTRO_CASAS_BOMBA!$O$6,MAX(0,E265+CADASTRO_CASAS_BOMBA!$I$6*HORAS_CAPTACAO_DIA-D266))</f>
        <v>2600</v>
      </c>
      <c r="F266" s="16" t="n">
        <f aca="false">MAX(0,D266-CADASTRO_CASAS_BOMBA!$I$6*HORAS_CAPTACAO_DIA-E265)</f>
        <v>0</v>
      </c>
      <c r="G266" s="16" t="n">
        <f aca="false">INDEX(AUX_MATRIZES!$C$9:$BP$9,MIN(N_SEMANAS,MAX(1,$C266)))/DIAS_POR_SEMANA</f>
        <v>9170.39900452489</v>
      </c>
      <c r="H266" s="16" t="n">
        <f aca="false">MIN(CADASTRO_CASAS_BOMBA!$O$7,MAX(0,H265+CADASTRO_CASAS_BOMBA!$I$7*HORAS_CAPTACAO_DIA-G266))</f>
        <v>76648</v>
      </c>
      <c r="I266" s="16" t="n">
        <f aca="false">MAX(0,G266-CADASTRO_CASAS_BOMBA!$I$7*HORAS_CAPTACAO_DIA-H265)</f>
        <v>0</v>
      </c>
      <c r="J266" s="16" t="n">
        <f aca="false">INDEX(AUX_MATRIZES!$C$10:$BP$10,MIN(N_SEMANAS,MAX(1,$C266)))/DIAS_POR_SEMANA</f>
        <v>10345.0574117647</v>
      </c>
      <c r="K266" s="16" t="n">
        <f aca="false">MIN(CADASTRO_CASAS_BOMBA!$O$8,MAX(0,K265+CADASTRO_CASAS_BOMBA!$I$8*HORAS_CAPTACAO_DIA-J266))</f>
        <v>27377</v>
      </c>
      <c r="L266" s="16" t="n">
        <f aca="false">MAX(0,J266-CADASTRO_CASAS_BOMBA!$I$8*HORAS_CAPTACAO_DIA-K265)</f>
        <v>0</v>
      </c>
      <c r="M266" s="16" t="n">
        <f aca="false">INDEX(AUX_MATRIZES!$C$11:$BP$11,MIN(N_SEMANAS,MAX(1,$C266)))/DIAS_POR_SEMANA</f>
        <v>24092.7429864253</v>
      </c>
      <c r="N266" s="16" t="n">
        <f aca="false">MIN(CADASTRO_CASAS_BOMBA!$O$9,MAX(0,N265+CADASTRO_CASAS_BOMBA!$I$9*HORAS_CAPTACAO_DIA-M266))</f>
        <v>63459.7391208793</v>
      </c>
      <c r="O266" s="16" t="n">
        <f aca="false">MAX(0,M266-CADASTRO_CASAS_BOMBA!$I$9*HORAS_CAPTACAO_DIA-N265)</f>
        <v>0</v>
      </c>
      <c r="P266" s="16" t="n">
        <f aca="false">INDEX(AUX_MATRIZES!$C$12:$BP$12,MIN(N_SEMANAS,MAX(1,$C266)))/DIAS_POR_SEMANA</f>
        <v>18599.7382580746</v>
      </c>
      <c r="Q266" s="16" t="n">
        <f aca="false">MIN(CADASTRO_CASAS_BOMBA!$O$10,MAX(0,Q265+CADASTRO_CASAS_BOMBA!$I$10*HORAS_CAPTACAO_DIA-P266))</f>
        <v>737798.372244033</v>
      </c>
      <c r="R266" s="16" t="n">
        <f aca="false">MAX(0,P266-CADASTRO_CASAS_BOMBA!$I$10*HORAS_CAPTACAO_DIA-Q265)</f>
        <v>0</v>
      </c>
      <c r="S266" s="16" t="n">
        <f aca="false">INDEX(AUX_MATRIZES!$C$13:$BP$13,MIN(N_SEMANAS,MAX(1,$C266)))/DIAS_POR_SEMANA</f>
        <v>36275.8724094243</v>
      </c>
      <c r="T266" s="16" t="n">
        <f aca="false">MIN(CADASTRO_CASAS_BOMBA!$O$11,MAX(0,T265+CADASTRO_CASAS_BOMBA!$I$11*HORAS_CAPTACAO_DIA-S266))</f>
        <v>0</v>
      </c>
      <c r="U266" s="16" t="n">
        <f aca="false">MAX(0,S266-CADASTRO_CASAS_BOMBA!$I$11*HORAS_CAPTACAO_DIA-T265)</f>
        <v>14855.8724094243</v>
      </c>
      <c r="V266" s="16" t="n">
        <f aca="false">INDEX(AUX_MATRIZES!$C$14:$BP$14,MIN(N_SEMANAS,MAX(1,$C266)))/DIAS_POR_SEMANA</f>
        <v>55622.8702533937</v>
      </c>
      <c r="W266" s="16" t="n">
        <f aca="false">MIN(CADASTRO_CASAS_BOMBA!$O$12,MAX(0,W265+CADASTRO_CASAS_BOMBA!$I$12*HORAS_CAPTACAO_DIA-V266))</f>
        <v>0</v>
      </c>
      <c r="X266" s="16" t="n">
        <f aca="false">MAX(0,V266-CADASTRO_CASAS_BOMBA!$I$12*HORAS_CAPTACAO_DIA-W265)</f>
        <v>30242.8702533937</v>
      </c>
      <c r="Y266" s="16" t="n">
        <f aca="false">INDEX(AUX_MATRIZES!$C$15:$BP$15,MIN(N_SEMANAS,MAX(1,$C266)))/DIAS_POR_SEMANA</f>
        <v>0</v>
      </c>
      <c r="Z266" s="16" t="n">
        <f aca="false">MIN(CADASTRO_CASAS_BOMBA!$O$13,MAX(0,Z265+CADASTRO_CASAS_BOMBA!$I$13*HORAS_CAPTACAO_DIA-Y266))</f>
        <v>74903</v>
      </c>
      <c r="AA266" s="16" t="n">
        <f aca="false">MAX(0,Y266-CADASTRO_CASAS_BOMBA!$I$13*HORAS_CAPTACAO_DIA-Z265)</f>
        <v>0</v>
      </c>
    </row>
    <row r="267" customFormat="false" ht="15" hidden="false" customHeight="false" outlineLevel="0" collapsed="false">
      <c r="B267" s="17" t="n">
        <f aca="false">DATA_INICIO_SAFRA+260</f>
        <v>46525</v>
      </c>
      <c r="C267" s="16" t="n">
        <f aca="false">MIN(N_SEMANAS,MAX(1,INT(($B267-DATA_INICIO_SAFRA)/DIAS_POR_SEMANA)+1))</f>
        <v>38</v>
      </c>
      <c r="D267" s="16" t="n">
        <f aca="false">INDEX(AUX_MATRIZES!$C$8:$BP$8,MIN(N_SEMANAS,MAX(1,$C267)))/DIAS_POR_SEMANA</f>
        <v>5142.19129411765</v>
      </c>
      <c r="E267" s="16" t="n">
        <f aca="false">MIN(CADASTRO_CASAS_BOMBA!$O$6,MAX(0,E266+CADASTRO_CASAS_BOMBA!$I$6*HORAS_CAPTACAO_DIA-D267))</f>
        <v>2600</v>
      </c>
      <c r="F267" s="16" t="n">
        <f aca="false">MAX(0,D267-CADASTRO_CASAS_BOMBA!$I$6*HORAS_CAPTACAO_DIA-E266)</f>
        <v>0</v>
      </c>
      <c r="G267" s="16" t="n">
        <f aca="false">INDEX(AUX_MATRIZES!$C$9:$BP$9,MIN(N_SEMANAS,MAX(1,$C267)))/DIAS_POR_SEMANA</f>
        <v>9170.39900452489</v>
      </c>
      <c r="H267" s="16" t="n">
        <f aca="false">MIN(CADASTRO_CASAS_BOMBA!$O$7,MAX(0,H266+CADASTRO_CASAS_BOMBA!$I$7*HORAS_CAPTACAO_DIA-G267))</f>
        <v>76648</v>
      </c>
      <c r="I267" s="16" t="n">
        <f aca="false">MAX(0,G267-CADASTRO_CASAS_BOMBA!$I$7*HORAS_CAPTACAO_DIA-H266)</f>
        <v>0</v>
      </c>
      <c r="J267" s="16" t="n">
        <f aca="false">INDEX(AUX_MATRIZES!$C$10:$BP$10,MIN(N_SEMANAS,MAX(1,$C267)))/DIAS_POR_SEMANA</f>
        <v>10345.0574117647</v>
      </c>
      <c r="K267" s="16" t="n">
        <f aca="false">MIN(CADASTRO_CASAS_BOMBA!$O$8,MAX(0,K266+CADASTRO_CASAS_BOMBA!$I$8*HORAS_CAPTACAO_DIA-J267))</f>
        <v>27377</v>
      </c>
      <c r="L267" s="16" t="n">
        <f aca="false">MAX(0,J267-CADASTRO_CASAS_BOMBA!$I$8*HORAS_CAPTACAO_DIA-K266)</f>
        <v>0</v>
      </c>
      <c r="M267" s="16" t="n">
        <f aca="false">INDEX(AUX_MATRIZES!$C$11:$BP$11,MIN(N_SEMANAS,MAX(1,$C267)))/DIAS_POR_SEMANA</f>
        <v>24092.7429864253</v>
      </c>
      <c r="N267" s="16" t="n">
        <f aca="false">MIN(CADASTRO_CASAS_BOMBA!$O$9,MAX(0,N266+CADASTRO_CASAS_BOMBA!$I$9*HORAS_CAPTACAO_DIA-M267))</f>
        <v>60997.5961344539</v>
      </c>
      <c r="O267" s="16" t="n">
        <f aca="false">MAX(0,M267-CADASTRO_CASAS_BOMBA!$I$9*HORAS_CAPTACAO_DIA-N266)</f>
        <v>0</v>
      </c>
      <c r="P267" s="16" t="n">
        <f aca="false">INDEX(AUX_MATRIZES!$C$12:$BP$12,MIN(N_SEMANAS,MAX(1,$C267)))/DIAS_POR_SEMANA</f>
        <v>18599.7382580746</v>
      </c>
      <c r="Q267" s="16" t="n">
        <f aca="false">MIN(CADASTRO_CASAS_BOMBA!$O$10,MAX(0,Q266+CADASTRO_CASAS_BOMBA!$I$10*HORAS_CAPTACAO_DIA-P267))</f>
        <v>732281.033985958</v>
      </c>
      <c r="R267" s="16" t="n">
        <f aca="false">MAX(0,P267-CADASTRO_CASAS_BOMBA!$I$10*HORAS_CAPTACAO_DIA-Q266)</f>
        <v>0</v>
      </c>
      <c r="S267" s="16" t="n">
        <f aca="false">INDEX(AUX_MATRIZES!$C$13:$BP$13,MIN(N_SEMANAS,MAX(1,$C267)))/DIAS_POR_SEMANA</f>
        <v>36275.8724094243</v>
      </c>
      <c r="T267" s="16" t="n">
        <f aca="false">MIN(CADASTRO_CASAS_BOMBA!$O$11,MAX(0,T266+CADASTRO_CASAS_BOMBA!$I$11*HORAS_CAPTACAO_DIA-S267))</f>
        <v>0</v>
      </c>
      <c r="U267" s="16" t="n">
        <f aca="false">MAX(0,S267-CADASTRO_CASAS_BOMBA!$I$11*HORAS_CAPTACAO_DIA-T266)</f>
        <v>14855.8724094243</v>
      </c>
      <c r="V267" s="16" t="n">
        <f aca="false">INDEX(AUX_MATRIZES!$C$14:$BP$14,MIN(N_SEMANAS,MAX(1,$C267)))/DIAS_POR_SEMANA</f>
        <v>55622.8702533937</v>
      </c>
      <c r="W267" s="16" t="n">
        <f aca="false">MIN(CADASTRO_CASAS_BOMBA!$O$12,MAX(0,W266+CADASTRO_CASAS_BOMBA!$I$12*HORAS_CAPTACAO_DIA-V267))</f>
        <v>0</v>
      </c>
      <c r="X267" s="16" t="n">
        <f aca="false">MAX(0,V267-CADASTRO_CASAS_BOMBA!$I$12*HORAS_CAPTACAO_DIA-W266)</f>
        <v>30242.8702533937</v>
      </c>
      <c r="Y267" s="16" t="n">
        <f aca="false">INDEX(AUX_MATRIZES!$C$15:$BP$15,MIN(N_SEMANAS,MAX(1,$C267)))/DIAS_POR_SEMANA</f>
        <v>0</v>
      </c>
      <c r="Z267" s="16" t="n">
        <f aca="false">MIN(CADASTRO_CASAS_BOMBA!$O$13,MAX(0,Z266+CADASTRO_CASAS_BOMBA!$I$13*HORAS_CAPTACAO_DIA-Y267))</f>
        <v>74903</v>
      </c>
      <c r="AA267" s="16" t="n">
        <f aca="false">MAX(0,Y267-CADASTRO_CASAS_BOMBA!$I$13*HORAS_CAPTACAO_DIA-Z266)</f>
        <v>0</v>
      </c>
    </row>
    <row r="268" customFormat="false" ht="15" hidden="false" customHeight="false" outlineLevel="0" collapsed="false">
      <c r="B268" s="17" t="n">
        <f aca="false">DATA_INICIO_SAFRA+261</f>
        <v>46526</v>
      </c>
      <c r="C268" s="16" t="n">
        <f aca="false">MIN(N_SEMANAS,MAX(1,INT(($B268-DATA_INICIO_SAFRA)/DIAS_POR_SEMANA)+1))</f>
        <v>38</v>
      </c>
      <c r="D268" s="16" t="n">
        <f aca="false">INDEX(AUX_MATRIZES!$C$8:$BP$8,MIN(N_SEMANAS,MAX(1,$C268)))/DIAS_POR_SEMANA</f>
        <v>5142.19129411765</v>
      </c>
      <c r="E268" s="16" t="n">
        <f aca="false">MIN(CADASTRO_CASAS_BOMBA!$O$6,MAX(0,E267+CADASTRO_CASAS_BOMBA!$I$6*HORAS_CAPTACAO_DIA-D268))</f>
        <v>2600</v>
      </c>
      <c r="F268" s="16" t="n">
        <f aca="false">MAX(0,D268-CADASTRO_CASAS_BOMBA!$I$6*HORAS_CAPTACAO_DIA-E267)</f>
        <v>0</v>
      </c>
      <c r="G268" s="16" t="n">
        <f aca="false">INDEX(AUX_MATRIZES!$C$9:$BP$9,MIN(N_SEMANAS,MAX(1,$C268)))/DIAS_POR_SEMANA</f>
        <v>9170.39900452489</v>
      </c>
      <c r="H268" s="16" t="n">
        <f aca="false">MIN(CADASTRO_CASAS_BOMBA!$O$7,MAX(0,H267+CADASTRO_CASAS_BOMBA!$I$7*HORAS_CAPTACAO_DIA-G268))</f>
        <v>76648</v>
      </c>
      <c r="I268" s="16" t="n">
        <f aca="false">MAX(0,G268-CADASTRO_CASAS_BOMBA!$I$7*HORAS_CAPTACAO_DIA-H267)</f>
        <v>0</v>
      </c>
      <c r="J268" s="16" t="n">
        <f aca="false">INDEX(AUX_MATRIZES!$C$10:$BP$10,MIN(N_SEMANAS,MAX(1,$C268)))/DIAS_POR_SEMANA</f>
        <v>10345.0574117647</v>
      </c>
      <c r="K268" s="16" t="n">
        <f aca="false">MIN(CADASTRO_CASAS_BOMBA!$O$8,MAX(0,K267+CADASTRO_CASAS_BOMBA!$I$8*HORAS_CAPTACAO_DIA-J268))</f>
        <v>27377</v>
      </c>
      <c r="L268" s="16" t="n">
        <f aca="false">MAX(0,J268-CADASTRO_CASAS_BOMBA!$I$8*HORAS_CAPTACAO_DIA-K267)</f>
        <v>0</v>
      </c>
      <c r="M268" s="16" t="n">
        <f aca="false">INDEX(AUX_MATRIZES!$C$11:$BP$11,MIN(N_SEMANAS,MAX(1,$C268)))/DIAS_POR_SEMANA</f>
        <v>24092.7429864253</v>
      </c>
      <c r="N268" s="16" t="n">
        <f aca="false">MIN(CADASTRO_CASAS_BOMBA!$O$9,MAX(0,N267+CADASTRO_CASAS_BOMBA!$I$9*HORAS_CAPTACAO_DIA-M268))</f>
        <v>58535.4531480286</v>
      </c>
      <c r="O268" s="16" t="n">
        <f aca="false">MAX(0,M268-CADASTRO_CASAS_BOMBA!$I$9*HORAS_CAPTACAO_DIA-N267)</f>
        <v>0</v>
      </c>
      <c r="P268" s="16" t="n">
        <f aca="false">INDEX(AUX_MATRIZES!$C$12:$BP$12,MIN(N_SEMANAS,MAX(1,$C268)))/DIAS_POR_SEMANA</f>
        <v>18599.7382580746</v>
      </c>
      <c r="Q268" s="16" t="n">
        <f aca="false">MIN(CADASTRO_CASAS_BOMBA!$O$10,MAX(0,Q267+CADASTRO_CASAS_BOMBA!$I$10*HORAS_CAPTACAO_DIA-P268))</f>
        <v>726763.695727884</v>
      </c>
      <c r="R268" s="16" t="n">
        <f aca="false">MAX(0,P268-CADASTRO_CASAS_BOMBA!$I$10*HORAS_CAPTACAO_DIA-Q267)</f>
        <v>0</v>
      </c>
      <c r="S268" s="16" t="n">
        <f aca="false">INDEX(AUX_MATRIZES!$C$13:$BP$13,MIN(N_SEMANAS,MAX(1,$C268)))/DIAS_POR_SEMANA</f>
        <v>36275.8724094243</v>
      </c>
      <c r="T268" s="16" t="n">
        <f aca="false">MIN(CADASTRO_CASAS_BOMBA!$O$11,MAX(0,T267+CADASTRO_CASAS_BOMBA!$I$11*HORAS_CAPTACAO_DIA-S268))</f>
        <v>0</v>
      </c>
      <c r="U268" s="16" t="n">
        <f aca="false">MAX(0,S268-CADASTRO_CASAS_BOMBA!$I$11*HORAS_CAPTACAO_DIA-T267)</f>
        <v>14855.8724094243</v>
      </c>
      <c r="V268" s="16" t="n">
        <f aca="false">INDEX(AUX_MATRIZES!$C$14:$BP$14,MIN(N_SEMANAS,MAX(1,$C268)))/DIAS_POR_SEMANA</f>
        <v>55622.8702533937</v>
      </c>
      <c r="W268" s="16" t="n">
        <f aca="false">MIN(CADASTRO_CASAS_BOMBA!$O$12,MAX(0,W267+CADASTRO_CASAS_BOMBA!$I$12*HORAS_CAPTACAO_DIA-V268))</f>
        <v>0</v>
      </c>
      <c r="X268" s="16" t="n">
        <f aca="false">MAX(0,V268-CADASTRO_CASAS_BOMBA!$I$12*HORAS_CAPTACAO_DIA-W267)</f>
        <v>30242.8702533937</v>
      </c>
      <c r="Y268" s="16" t="n">
        <f aca="false">INDEX(AUX_MATRIZES!$C$15:$BP$15,MIN(N_SEMANAS,MAX(1,$C268)))/DIAS_POR_SEMANA</f>
        <v>0</v>
      </c>
      <c r="Z268" s="16" t="n">
        <f aca="false">MIN(CADASTRO_CASAS_BOMBA!$O$13,MAX(0,Z267+CADASTRO_CASAS_BOMBA!$I$13*HORAS_CAPTACAO_DIA-Y268))</f>
        <v>74903</v>
      </c>
      <c r="AA268" s="16" t="n">
        <f aca="false">MAX(0,Y268-CADASTRO_CASAS_BOMBA!$I$13*HORAS_CAPTACAO_DIA-Z267)</f>
        <v>0</v>
      </c>
    </row>
    <row r="269" customFormat="false" ht="15" hidden="false" customHeight="false" outlineLevel="0" collapsed="false">
      <c r="B269" s="17" t="n">
        <f aca="false">DATA_INICIO_SAFRA+262</f>
        <v>46527</v>
      </c>
      <c r="C269" s="16" t="n">
        <f aca="false">MIN(N_SEMANAS,MAX(1,INT(($B269-DATA_INICIO_SAFRA)/DIAS_POR_SEMANA)+1))</f>
        <v>38</v>
      </c>
      <c r="D269" s="16" t="n">
        <f aca="false">INDEX(AUX_MATRIZES!$C$8:$BP$8,MIN(N_SEMANAS,MAX(1,$C269)))/DIAS_POR_SEMANA</f>
        <v>5142.19129411765</v>
      </c>
      <c r="E269" s="16" t="n">
        <f aca="false">MIN(CADASTRO_CASAS_BOMBA!$O$6,MAX(0,E268+CADASTRO_CASAS_BOMBA!$I$6*HORAS_CAPTACAO_DIA-D269))</f>
        <v>2600</v>
      </c>
      <c r="F269" s="16" t="n">
        <f aca="false">MAX(0,D269-CADASTRO_CASAS_BOMBA!$I$6*HORAS_CAPTACAO_DIA-E268)</f>
        <v>0</v>
      </c>
      <c r="G269" s="16" t="n">
        <f aca="false">INDEX(AUX_MATRIZES!$C$9:$BP$9,MIN(N_SEMANAS,MAX(1,$C269)))/DIAS_POR_SEMANA</f>
        <v>9170.39900452489</v>
      </c>
      <c r="H269" s="16" t="n">
        <f aca="false">MIN(CADASTRO_CASAS_BOMBA!$O$7,MAX(0,H268+CADASTRO_CASAS_BOMBA!$I$7*HORAS_CAPTACAO_DIA-G269))</f>
        <v>76648</v>
      </c>
      <c r="I269" s="16" t="n">
        <f aca="false">MAX(0,G269-CADASTRO_CASAS_BOMBA!$I$7*HORAS_CAPTACAO_DIA-H268)</f>
        <v>0</v>
      </c>
      <c r="J269" s="16" t="n">
        <f aca="false">INDEX(AUX_MATRIZES!$C$10:$BP$10,MIN(N_SEMANAS,MAX(1,$C269)))/DIAS_POR_SEMANA</f>
        <v>10345.0574117647</v>
      </c>
      <c r="K269" s="16" t="n">
        <f aca="false">MIN(CADASTRO_CASAS_BOMBA!$O$8,MAX(0,K268+CADASTRO_CASAS_BOMBA!$I$8*HORAS_CAPTACAO_DIA-J269))</f>
        <v>27377</v>
      </c>
      <c r="L269" s="16" t="n">
        <f aca="false">MAX(0,J269-CADASTRO_CASAS_BOMBA!$I$8*HORAS_CAPTACAO_DIA-K268)</f>
        <v>0</v>
      </c>
      <c r="M269" s="16" t="n">
        <f aca="false">INDEX(AUX_MATRIZES!$C$11:$BP$11,MIN(N_SEMANAS,MAX(1,$C269)))/DIAS_POR_SEMANA</f>
        <v>24092.7429864253</v>
      </c>
      <c r="N269" s="16" t="n">
        <f aca="false">MIN(CADASTRO_CASAS_BOMBA!$O$9,MAX(0,N268+CADASTRO_CASAS_BOMBA!$I$9*HORAS_CAPTACAO_DIA-M269))</f>
        <v>56073.3101616032</v>
      </c>
      <c r="O269" s="16" t="n">
        <f aca="false">MAX(0,M269-CADASTRO_CASAS_BOMBA!$I$9*HORAS_CAPTACAO_DIA-N268)</f>
        <v>0</v>
      </c>
      <c r="P269" s="16" t="n">
        <f aca="false">INDEX(AUX_MATRIZES!$C$12:$BP$12,MIN(N_SEMANAS,MAX(1,$C269)))/DIAS_POR_SEMANA</f>
        <v>18599.7382580746</v>
      </c>
      <c r="Q269" s="16" t="n">
        <f aca="false">MIN(CADASTRO_CASAS_BOMBA!$O$10,MAX(0,Q268+CADASTRO_CASAS_BOMBA!$I$10*HORAS_CAPTACAO_DIA-P269))</f>
        <v>721246.357469809</v>
      </c>
      <c r="R269" s="16" t="n">
        <f aca="false">MAX(0,P269-CADASTRO_CASAS_BOMBA!$I$10*HORAS_CAPTACAO_DIA-Q268)</f>
        <v>0</v>
      </c>
      <c r="S269" s="16" t="n">
        <f aca="false">INDEX(AUX_MATRIZES!$C$13:$BP$13,MIN(N_SEMANAS,MAX(1,$C269)))/DIAS_POR_SEMANA</f>
        <v>36275.8724094243</v>
      </c>
      <c r="T269" s="16" t="n">
        <f aca="false">MIN(CADASTRO_CASAS_BOMBA!$O$11,MAX(0,T268+CADASTRO_CASAS_BOMBA!$I$11*HORAS_CAPTACAO_DIA-S269))</f>
        <v>0</v>
      </c>
      <c r="U269" s="16" t="n">
        <f aca="false">MAX(0,S269-CADASTRO_CASAS_BOMBA!$I$11*HORAS_CAPTACAO_DIA-T268)</f>
        <v>14855.8724094243</v>
      </c>
      <c r="V269" s="16" t="n">
        <f aca="false">INDEX(AUX_MATRIZES!$C$14:$BP$14,MIN(N_SEMANAS,MAX(1,$C269)))/DIAS_POR_SEMANA</f>
        <v>55622.8702533937</v>
      </c>
      <c r="W269" s="16" t="n">
        <f aca="false">MIN(CADASTRO_CASAS_BOMBA!$O$12,MAX(0,W268+CADASTRO_CASAS_BOMBA!$I$12*HORAS_CAPTACAO_DIA-V269))</f>
        <v>0</v>
      </c>
      <c r="X269" s="16" t="n">
        <f aca="false">MAX(0,V269-CADASTRO_CASAS_BOMBA!$I$12*HORAS_CAPTACAO_DIA-W268)</f>
        <v>30242.8702533937</v>
      </c>
      <c r="Y269" s="16" t="n">
        <f aca="false">INDEX(AUX_MATRIZES!$C$15:$BP$15,MIN(N_SEMANAS,MAX(1,$C269)))/DIAS_POR_SEMANA</f>
        <v>0</v>
      </c>
      <c r="Z269" s="16" t="n">
        <f aca="false">MIN(CADASTRO_CASAS_BOMBA!$O$13,MAX(0,Z268+CADASTRO_CASAS_BOMBA!$I$13*HORAS_CAPTACAO_DIA-Y269))</f>
        <v>74903</v>
      </c>
      <c r="AA269" s="16" t="n">
        <f aca="false">MAX(0,Y269-CADASTRO_CASAS_BOMBA!$I$13*HORAS_CAPTACAO_DIA-Z268)</f>
        <v>0</v>
      </c>
    </row>
    <row r="270" customFormat="false" ht="15" hidden="false" customHeight="false" outlineLevel="0" collapsed="false">
      <c r="B270" s="17" t="n">
        <f aca="false">DATA_INICIO_SAFRA+263</f>
        <v>46528</v>
      </c>
      <c r="C270" s="16" t="n">
        <f aca="false">MIN(N_SEMANAS,MAX(1,INT(($B270-DATA_INICIO_SAFRA)/DIAS_POR_SEMANA)+1))</f>
        <v>38</v>
      </c>
      <c r="D270" s="16" t="n">
        <f aca="false">INDEX(AUX_MATRIZES!$C$8:$BP$8,MIN(N_SEMANAS,MAX(1,$C270)))/DIAS_POR_SEMANA</f>
        <v>5142.19129411765</v>
      </c>
      <c r="E270" s="16" t="n">
        <f aca="false">MIN(CADASTRO_CASAS_BOMBA!$O$6,MAX(0,E269+CADASTRO_CASAS_BOMBA!$I$6*HORAS_CAPTACAO_DIA-D270))</f>
        <v>2600</v>
      </c>
      <c r="F270" s="16" t="n">
        <f aca="false">MAX(0,D270-CADASTRO_CASAS_BOMBA!$I$6*HORAS_CAPTACAO_DIA-E269)</f>
        <v>0</v>
      </c>
      <c r="G270" s="16" t="n">
        <f aca="false">INDEX(AUX_MATRIZES!$C$9:$BP$9,MIN(N_SEMANAS,MAX(1,$C270)))/DIAS_POR_SEMANA</f>
        <v>9170.39900452489</v>
      </c>
      <c r="H270" s="16" t="n">
        <f aca="false">MIN(CADASTRO_CASAS_BOMBA!$O$7,MAX(0,H269+CADASTRO_CASAS_BOMBA!$I$7*HORAS_CAPTACAO_DIA-G270))</f>
        <v>76648</v>
      </c>
      <c r="I270" s="16" t="n">
        <f aca="false">MAX(0,G270-CADASTRO_CASAS_BOMBA!$I$7*HORAS_CAPTACAO_DIA-H269)</f>
        <v>0</v>
      </c>
      <c r="J270" s="16" t="n">
        <f aca="false">INDEX(AUX_MATRIZES!$C$10:$BP$10,MIN(N_SEMANAS,MAX(1,$C270)))/DIAS_POR_SEMANA</f>
        <v>10345.0574117647</v>
      </c>
      <c r="K270" s="16" t="n">
        <f aca="false">MIN(CADASTRO_CASAS_BOMBA!$O$8,MAX(0,K269+CADASTRO_CASAS_BOMBA!$I$8*HORAS_CAPTACAO_DIA-J270))</f>
        <v>27377</v>
      </c>
      <c r="L270" s="16" t="n">
        <f aca="false">MAX(0,J270-CADASTRO_CASAS_BOMBA!$I$8*HORAS_CAPTACAO_DIA-K269)</f>
        <v>0</v>
      </c>
      <c r="M270" s="16" t="n">
        <f aca="false">INDEX(AUX_MATRIZES!$C$11:$BP$11,MIN(N_SEMANAS,MAX(1,$C270)))/DIAS_POR_SEMANA</f>
        <v>24092.7429864253</v>
      </c>
      <c r="N270" s="16" t="n">
        <f aca="false">MIN(CADASTRO_CASAS_BOMBA!$O$9,MAX(0,N269+CADASTRO_CASAS_BOMBA!$I$9*HORAS_CAPTACAO_DIA-M270))</f>
        <v>53611.1671751779</v>
      </c>
      <c r="O270" s="16" t="n">
        <f aca="false">MAX(0,M270-CADASTRO_CASAS_BOMBA!$I$9*HORAS_CAPTACAO_DIA-N269)</f>
        <v>0</v>
      </c>
      <c r="P270" s="16" t="n">
        <f aca="false">INDEX(AUX_MATRIZES!$C$12:$BP$12,MIN(N_SEMANAS,MAX(1,$C270)))/DIAS_POR_SEMANA</f>
        <v>18599.7382580746</v>
      </c>
      <c r="Q270" s="16" t="n">
        <f aca="false">MIN(CADASTRO_CASAS_BOMBA!$O$10,MAX(0,Q269+CADASTRO_CASAS_BOMBA!$I$10*HORAS_CAPTACAO_DIA-P270))</f>
        <v>715729.019211735</v>
      </c>
      <c r="R270" s="16" t="n">
        <f aca="false">MAX(0,P270-CADASTRO_CASAS_BOMBA!$I$10*HORAS_CAPTACAO_DIA-Q269)</f>
        <v>0</v>
      </c>
      <c r="S270" s="16" t="n">
        <f aca="false">INDEX(AUX_MATRIZES!$C$13:$BP$13,MIN(N_SEMANAS,MAX(1,$C270)))/DIAS_POR_SEMANA</f>
        <v>36275.8724094243</v>
      </c>
      <c r="T270" s="16" t="n">
        <f aca="false">MIN(CADASTRO_CASAS_BOMBA!$O$11,MAX(0,T269+CADASTRO_CASAS_BOMBA!$I$11*HORAS_CAPTACAO_DIA-S270))</f>
        <v>0</v>
      </c>
      <c r="U270" s="16" t="n">
        <f aca="false">MAX(0,S270-CADASTRO_CASAS_BOMBA!$I$11*HORAS_CAPTACAO_DIA-T269)</f>
        <v>14855.8724094243</v>
      </c>
      <c r="V270" s="16" t="n">
        <f aca="false">INDEX(AUX_MATRIZES!$C$14:$BP$14,MIN(N_SEMANAS,MAX(1,$C270)))/DIAS_POR_SEMANA</f>
        <v>55622.8702533937</v>
      </c>
      <c r="W270" s="16" t="n">
        <f aca="false">MIN(CADASTRO_CASAS_BOMBA!$O$12,MAX(0,W269+CADASTRO_CASAS_BOMBA!$I$12*HORAS_CAPTACAO_DIA-V270))</f>
        <v>0</v>
      </c>
      <c r="X270" s="16" t="n">
        <f aca="false">MAX(0,V270-CADASTRO_CASAS_BOMBA!$I$12*HORAS_CAPTACAO_DIA-W269)</f>
        <v>30242.8702533937</v>
      </c>
      <c r="Y270" s="16" t="n">
        <f aca="false">INDEX(AUX_MATRIZES!$C$15:$BP$15,MIN(N_SEMANAS,MAX(1,$C270)))/DIAS_POR_SEMANA</f>
        <v>0</v>
      </c>
      <c r="Z270" s="16" t="n">
        <f aca="false">MIN(CADASTRO_CASAS_BOMBA!$O$13,MAX(0,Z269+CADASTRO_CASAS_BOMBA!$I$13*HORAS_CAPTACAO_DIA-Y270))</f>
        <v>74903</v>
      </c>
      <c r="AA270" s="16" t="n">
        <f aca="false">MAX(0,Y270-CADASTRO_CASAS_BOMBA!$I$13*HORAS_CAPTACAO_DIA-Z269)</f>
        <v>0</v>
      </c>
    </row>
    <row r="271" customFormat="false" ht="15" hidden="false" customHeight="false" outlineLevel="0" collapsed="false">
      <c r="B271" s="17" t="n">
        <f aca="false">DATA_INICIO_SAFRA+264</f>
        <v>46529</v>
      </c>
      <c r="C271" s="16" t="n">
        <f aca="false">MIN(N_SEMANAS,MAX(1,INT(($B271-DATA_INICIO_SAFRA)/DIAS_POR_SEMANA)+1))</f>
        <v>38</v>
      </c>
      <c r="D271" s="16" t="n">
        <f aca="false">INDEX(AUX_MATRIZES!$C$8:$BP$8,MIN(N_SEMANAS,MAX(1,$C271)))/DIAS_POR_SEMANA</f>
        <v>5142.19129411765</v>
      </c>
      <c r="E271" s="16" t="n">
        <f aca="false">MIN(CADASTRO_CASAS_BOMBA!$O$6,MAX(0,E270+CADASTRO_CASAS_BOMBA!$I$6*HORAS_CAPTACAO_DIA-D271))</f>
        <v>2600</v>
      </c>
      <c r="F271" s="16" t="n">
        <f aca="false">MAX(0,D271-CADASTRO_CASAS_BOMBA!$I$6*HORAS_CAPTACAO_DIA-E270)</f>
        <v>0</v>
      </c>
      <c r="G271" s="16" t="n">
        <f aca="false">INDEX(AUX_MATRIZES!$C$9:$BP$9,MIN(N_SEMANAS,MAX(1,$C271)))/DIAS_POR_SEMANA</f>
        <v>9170.39900452489</v>
      </c>
      <c r="H271" s="16" t="n">
        <f aca="false">MIN(CADASTRO_CASAS_BOMBA!$O$7,MAX(0,H270+CADASTRO_CASAS_BOMBA!$I$7*HORAS_CAPTACAO_DIA-G271))</f>
        <v>76648</v>
      </c>
      <c r="I271" s="16" t="n">
        <f aca="false">MAX(0,G271-CADASTRO_CASAS_BOMBA!$I$7*HORAS_CAPTACAO_DIA-H270)</f>
        <v>0</v>
      </c>
      <c r="J271" s="16" t="n">
        <f aca="false">INDEX(AUX_MATRIZES!$C$10:$BP$10,MIN(N_SEMANAS,MAX(1,$C271)))/DIAS_POR_SEMANA</f>
        <v>10345.0574117647</v>
      </c>
      <c r="K271" s="16" t="n">
        <f aca="false">MIN(CADASTRO_CASAS_BOMBA!$O$8,MAX(0,K270+CADASTRO_CASAS_BOMBA!$I$8*HORAS_CAPTACAO_DIA-J271))</f>
        <v>27377</v>
      </c>
      <c r="L271" s="16" t="n">
        <f aca="false">MAX(0,J271-CADASTRO_CASAS_BOMBA!$I$8*HORAS_CAPTACAO_DIA-K270)</f>
        <v>0</v>
      </c>
      <c r="M271" s="16" t="n">
        <f aca="false">INDEX(AUX_MATRIZES!$C$11:$BP$11,MIN(N_SEMANAS,MAX(1,$C271)))/DIAS_POR_SEMANA</f>
        <v>24092.7429864253</v>
      </c>
      <c r="N271" s="16" t="n">
        <f aca="false">MIN(CADASTRO_CASAS_BOMBA!$O$9,MAX(0,N270+CADASTRO_CASAS_BOMBA!$I$9*HORAS_CAPTACAO_DIA-M271))</f>
        <v>51149.0241887525</v>
      </c>
      <c r="O271" s="16" t="n">
        <f aca="false">MAX(0,M271-CADASTRO_CASAS_BOMBA!$I$9*HORAS_CAPTACAO_DIA-N270)</f>
        <v>0</v>
      </c>
      <c r="P271" s="16" t="n">
        <f aca="false">INDEX(AUX_MATRIZES!$C$12:$BP$12,MIN(N_SEMANAS,MAX(1,$C271)))/DIAS_POR_SEMANA</f>
        <v>18599.7382580746</v>
      </c>
      <c r="Q271" s="16" t="n">
        <f aca="false">MIN(CADASTRO_CASAS_BOMBA!$O$10,MAX(0,Q270+CADASTRO_CASAS_BOMBA!$I$10*HORAS_CAPTACAO_DIA-P271))</f>
        <v>710211.68095366</v>
      </c>
      <c r="R271" s="16" t="n">
        <f aca="false">MAX(0,P271-CADASTRO_CASAS_BOMBA!$I$10*HORAS_CAPTACAO_DIA-Q270)</f>
        <v>0</v>
      </c>
      <c r="S271" s="16" t="n">
        <f aca="false">INDEX(AUX_MATRIZES!$C$13:$BP$13,MIN(N_SEMANAS,MAX(1,$C271)))/DIAS_POR_SEMANA</f>
        <v>36275.8724094243</v>
      </c>
      <c r="T271" s="16" t="n">
        <f aca="false">MIN(CADASTRO_CASAS_BOMBA!$O$11,MAX(0,T270+CADASTRO_CASAS_BOMBA!$I$11*HORAS_CAPTACAO_DIA-S271))</f>
        <v>0</v>
      </c>
      <c r="U271" s="16" t="n">
        <f aca="false">MAX(0,S271-CADASTRO_CASAS_BOMBA!$I$11*HORAS_CAPTACAO_DIA-T270)</f>
        <v>14855.8724094243</v>
      </c>
      <c r="V271" s="16" t="n">
        <f aca="false">INDEX(AUX_MATRIZES!$C$14:$BP$14,MIN(N_SEMANAS,MAX(1,$C271)))/DIAS_POR_SEMANA</f>
        <v>55622.8702533937</v>
      </c>
      <c r="W271" s="16" t="n">
        <f aca="false">MIN(CADASTRO_CASAS_BOMBA!$O$12,MAX(0,W270+CADASTRO_CASAS_BOMBA!$I$12*HORAS_CAPTACAO_DIA-V271))</f>
        <v>0</v>
      </c>
      <c r="X271" s="16" t="n">
        <f aca="false">MAX(0,V271-CADASTRO_CASAS_BOMBA!$I$12*HORAS_CAPTACAO_DIA-W270)</f>
        <v>30242.8702533937</v>
      </c>
      <c r="Y271" s="16" t="n">
        <f aca="false">INDEX(AUX_MATRIZES!$C$15:$BP$15,MIN(N_SEMANAS,MAX(1,$C271)))/DIAS_POR_SEMANA</f>
        <v>0</v>
      </c>
      <c r="Z271" s="16" t="n">
        <f aca="false">MIN(CADASTRO_CASAS_BOMBA!$O$13,MAX(0,Z270+CADASTRO_CASAS_BOMBA!$I$13*HORAS_CAPTACAO_DIA-Y271))</f>
        <v>74903</v>
      </c>
      <c r="AA271" s="16" t="n">
        <f aca="false">MAX(0,Y271-CADASTRO_CASAS_BOMBA!$I$13*HORAS_CAPTACAO_DIA-Z270)</f>
        <v>0</v>
      </c>
    </row>
    <row r="272" customFormat="false" ht="15" hidden="false" customHeight="false" outlineLevel="0" collapsed="false">
      <c r="B272" s="17" t="n">
        <f aca="false">DATA_INICIO_SAFRA+265</f>
        <v>46530</v>
      </c>
      <c r="C272" s="16" t="n">
        <f aca="false">MIN(N_SEMANAS,MAX(1,INT(($B272-DATA_INICIO_SAFRA)/DIAS_POR_SEMANA)+1))</f>
        <v>38</v>
      </c>
      <c r="D272" s="16" t="n">
        <f aca="false">INDEX(AUX_MATRIZES!$C$8:$BP$8,MIN(N_SEMANAS,MAX(1,$C272)))/DIAS_POR_SEMANA</f>
        <v>5142.19129411765</v>
      </c>
      <c r="E272" s="16" t="n">
        <f aca="false">MIN(CADASTRO_CASAS_BOMBA!$O$6,MAX(0,E271+CADASTRO_CASAS_BOMBA!$I$6*HORAS_CAPTACAO_DIA-D272))</f>
        <v>2600</v>
      </c>
      <c r="F272" s="16" t="n">
        <f aca="false">MAX(0,D272-CADASTRO_CASAS_BOMBA!$I$6*HORAS_CAPTACAO_DIA-E271)</f>
        <v>0</v>
      </c>
      <c r="G272" s="16" t="n">
        <f aca="false">INDEX(AUX_MATRIZES!$C$9:$BP$9,MIN(N_SEMANAS,MAX(1,$C272)))/DIAS_POR_SEMANA</f>
        <v>9170.39900452489</v>
      </c>
      <c r="H272" s="16" t="n">
        <f aca="false">MIN(CADASTRO_CASAS_BOMBA!$O$7,MAX(0,H271+CADASTRO_CASAS_BOMBA!$I$7*HORAS_CAPTACAO_DIA-G272))</f>
        <v>76648</v>
      </c>
      <c r="I272" s="16" t="n">
        <f aca="false">MAX(0,G272-CADASTRO_CASAS_BOMBA!$I$7*HORAS_CAPTACAO_DIA-H271)</f>
        <v>0</v>
      </c>
      <c r="J272" s="16" t="n">
        <f aca="false">INDEX(AUX_MATRIZES!$C$10:$BP$10,MIN(N_SEMANAS,MAX(1,$C272)))/DIAS_POR_SEMANA</f>
        <v>10345.0574117647</v>
      </c>
      <c r="K272" s="16" t="n">
        <f aca="false">MIN(CADASTRO_CASAS_BOMBA!$O$8,MAX(0,K271+CADASTRO_CASAS_BOMBA!$I$8*HORAS_CAPTACAO_DIA-J272))</f>
        <v>27377</v>
      </c>
      <c r="L272" s="16" t="n">
        <f aca="false">MAX(0,J272-CADASTRO_CASAS_BOMBA!$I$8*HORAS_CAPTACAO_DIA-K271)</f>
        <v>0</v>
      </c>
      <c r="M272" s="16" t="n">
        <f aca="false">INDEX(AUX_MATRIZES!$C$11:$BP$11,MIN(N_SEMANAS,MAX(1,$C272)))/DIAS_POR_SEMANA</f>
        <v>24092.7429864253</v>
      </c>
      <c r="N272" s="16" t="n">
        <f aca="false">MIN(CADASTRO_CASAS_BOMBA!$O$9,MAX(0,N271+CADASTRO_CASAS_BOMBA!$I$9*HORAS_CAPTACAO_DIA-M272))</f>
        <v>48686.8812023272</v>
      </c>
      <c r="O272" s="16" t="n">
        <f aca="false">MAX(0,M272-CADASTRO_CASAS_BOMBA!$I$9*HORAS_CAPTACAO_DIA-N271)</f>
        <v>0</v>
      </c>
      <c r="P272" s="16" t="n">
        <f aca="false">INDEX(AUX_MATRIZES!$C$12:$BP$12,MIN(N_SEMANAS,MAX(1,$C272)))/DIAS_POR_SEMANA</f>
        <v>18599.7382580746</v>
      </c>
      <c r="Q272" s="16" t="n">
        <f aca="false">MIN(CADASTRO_CASAS_BOMBA!$O$10,MAX(0,Q271+CADASTRO_CASAS_BOMBA!$I$10*HORAS_CAPTACAO_DIA-P272))</f>
        <v>704694.342695585</v>
      </c>
      <c r="R272" s="16" t="n">
        <f aca="false">MAX(0,P272-CADASTRO_CASAS_BOMBA!$I$10*HORAS_CAPTACAO_DIA-Q271)</f>
        <v>0</v>
      </c>
      <c r="S272" s="16" t="n">
        <f aca="false">INDEX(AUX_MATRIZES!$C$13:$BP$13,MIN(N_SEMANAS,MAX(1,$C272)))/DIAS_POR_SEMANA</f>
        <v>36275.8724094243</v>
      </c>
      <c r="T272" s="16" t="n">
        <f aca="false">MIN(CADASTRO_CASAS_BOMBA!$O$11,MAX(0,T271+CADASTRO_CASAS_BOMBA!$I$11*HORAS_CAPTACAO_DIA-S272))</f>
        <v>0</v>
      </c>
      <c r="U272" s="16" t="n">
        <f aca="false">MAX(0,S272-CADASTRO_CASAS_BOMBA!$I$11*HORAS_CAPTACAO_DIA-T271)</f>
        <v>14855.8724094243</v>
      </c>
      <c r="V272" s="16" t="n">
        <f aca="false">INDEX(AUX_MATRIZES!$C$14:$BP$14,MIN(N_SEMANAS,MAX(1,$C272)))/DIAS_POR_SEMANA</f>
        <v>55622.8702533937</v>
      </c>
      <c r="W272" s="16" t="n">
        <f aca="false">MIN(CADASTRO_CASAS_BOMBA!$O$12,MAX(0,W271+CADASTRO_CASAS_BOMBA!$I$12*HORAS_CAPTACAO_DIA-V272))</f>
        <v>0</v>
      </c>
      <c r="X272" s="16" t="n">
        <f aca="false">MAX(0,V272-CADASTRO_CASAS_BOMBA!$I$12*HORAS_CAPTACAO_DIA-W271)</f>
        <v>30242.8702533937</v>
      </c>
      <c r="Y272" s="16" t="n">
        <f aca="false">INDEX(AUX_MATRIZES!$C$15:$BP$15,MIN(N_SEMANAS,MAX(1,$C272)))/DIAS_POR_SEMANA</f>
        <v>0</v>
      </c>
      <c r="Z272" s="16" t="n">
        <f aca="false">MIN(CADASTRO_CASAS_BOMBA!$O$13,MAX(0,Z271+CADASTRO_CASAS_BOMBA!$I$13*HORAS_CAPTACAO_DIA-Y272))</f>
        <v>74903</v>
      </c>
      <c r="AA272" s="16" t="n">
        <f aca="false">MAX(0,Y272-CADASTRO_CASAS_BOMBA!$I$13*HORAS_CAPTACAO_DIA-Z271)</f>
        <v>0</v>
      </c>
    </row>
    <row r="273" customFormat="false" ht="15" hidden="false" customHeight="false" outlineLevel="0" collapsed="false">
      <c r="B273" s="17" t="n">
        <f aca="false">DATA_INICIO_SAFRA+266</f>
        <v>46531</v>
      </c>
      <c r="C273" s="16" t="n">
        <f aca="false">MIN(N_SEMANAS,MAX(1,INT(($B273-DATA_INICIO_SAFRA)/DIAS_POR_SEMANA)+1))</f>
        <v>39</v>
      </c>
      <c r="D273" s="16" t="n">
        <f aca="false">INDEX(AUX_MATRIZES!$C$8:$BP$8,MIN(N_SEMANAS,MAX(1,$C273)))/DIAS_POR_SEMANA</f>
        <v>5142.19129411765</v>
      </c>
      <c r="E273" s="16" t="n">
        <f aca="false">MIN(CADASTRO_CASAS_BOMBA!$O$6,MAX(0,E272+CADASTRO_CASAS_BOMBA!$I$6*HORAS_CAPTACAO_DIA-D273))</f>
        <v>2600</v>
      </c>
      <c r="F273" s="16" t="n">
        <f aca="false">MAX(0,D273-CADASTRO_CASAS_BOMBA!$I$6*HORAS_CAPTACAO_DIA-E272)</f>
        <v>0</v>
      </c>
      <c r="G273" s="16" t="n">
        <f aca="false">INDEX(AUX_MATRIZES!$C$9:$BP$9,MIN(N_SEMANAS,MAX(1,$C273)))/DIAS_POR_SEMANA</f>
        <v>8821.77366515837</v>
      </c>
      <c r="H273" s="16" t="n">
        <f aca="false">MIN(CADASTRO_CASAS_BOMBA!$O$7,MAX(0,H272+CADASTRO_CASAS_BOMBA!$I$7*HORAS_CAPTACAO_DIA-G273))</f>
        <v>76648</v>
      </c>
      <c r="I273" s="16" t="n">
        <f aca="false">MAX(0,G273-CADASTRO_CASAS_BOMBA!$I$7*HORAS_CAPTACAO_DIA-H272)</f>
        <v>0</v>
      </c>
      <c r="J273" s="16" t="n">
        <f aca="false">INDEX(AUX_MATRIZES!$C$10:$BP$10,MIN(N_SEMANAS,MAX(1,$C273)))/DIAS_POR_SEMANA</f>
        <v>10345.0574117647</v>
      </c>
      <c r="K273" s="16" t="n">
        <f aca="false">MIN(CADASTRO_CASAS_BOMBA!$O$8,MAX(0,K272+CADASTRO_CASAS_BOMBA!$I$8*HORAS_CAPTACAO_DIA-J273))</f>
        <v>27377</v>
      </c>
      <c r="L273" s="16" t="n">
        <f aca="false">MAX(0,J273-CADASTRO_CASAS_BOMBA!$I$8*HORAS_CAPTACAO_DIA-K272)</f>
        <v>0</v>
      </c>
      <c r="M273" s="16" t="n">
        <f aca="false">INDEX(AUX_MATRIZES!$C$11:$BP$11,MIN(N_SEMANAS,MAX(1,$C273)))/DIAS_POR_SEMANA</f>
        <v>22946.4882352941</v>
      </c>
      <c r="N273" s="16" t="n">
        <f aca="false">MIN(CADASTRO_CASAS_BOMBA!$O$9,MAX(0,N272+CADASTRO_CASAS_BOMBA!$I$9*HORAS_CAPTACAO_DIA-M273))</f>
        <v>47370.9929670331</v>
      </c>
      <c r="O273" s="16" t="n">
        <f aca="false">MAX(0,M273-CADASTRO_CASAS_BOMBA!$I$9*HORAS_CAPTACAO_DIA-N272)</f>
        <v>0</v>
      </c>
      <c r="P273" s="16" t="n">
        <f aca="false">INDEX(AUX_MATRIZES!$C$12:$BP$12,MIN(N_SEMANAS,MAX(1,$C273)))/DIAS_POR_SEMANA</f>
        <v>17034.7964574817</v>
      </c>
      <c r="Q273" s="16" t="n">
        <f aca="false">MIN(CADASTRO_CASAS_BOMBA!$O$10,MAX(0,Q272+CADASTRO_CASAS_BOMBA!$I$10*HORAS_CAPTACAO_DIA-P273))</f>
        <v>700741.946238104</v>
      </c>
      <c r="R273" s="16" t="n">
        <f aca="false">MAX(0,P273-CADASTRO_CASAS_BOMBA!$I$10*HORAS_CAPTACAO_DIA-Q272)</f>
        <v>0</v>
      </c>
      <c r="S273" s="16" t="n">
        <f aca="false">INDEX(AUX_MATRIZES!$C$13:$BP$13,MIN(N_SEMANAS,MAX(1,$C273)))/DIAS_POR_SEMANA</f>
        <v>34077.4438587533</v>
      </c>
      <c r="T273" s="16" t="n">
        <f aca="false">MIN(CADASTRO_CASAS_BOMBA!$O$11,MAX(0,T272+CADASTRO_CASAS_BOMBA!$I$11*HORAS_CAPTACAO_DIA-S273))</f>
        <v>0</v>
      </c>
      <c r="U273" s="16" t="n">
        <f aca="false">MAX(0,S273-CADASTRO_CASAS_BOMBA!$I$11*HORAS_CAPTACAO_DIA-T272)</f>
        <v>12657.4438587533</v>
      </c>
      <c r="V273" s="16" t="n">
        <f aca="false">INDEX(AUX_MATRIZES!$C$14:$BP$14,MIN(N_SEMANAS,MAX(1,$C273)))/DIAS_POR_SEMANA</f>
        <v>49507.5027183258</v>
      </c>
      <c r="W273" s="16" t="n">
        <f aca="false">MIN(CADASTRO_CASAS_BOMBA!$O$12,MAX(0,W272+CADASTRO_CASAS_BOMBA!$I$12*HORAS_CAPTACAO_DIA-V273))</f>
        <v>0</v>
      </c>
      <c r="X273" s="16" t="n">
        <f aca="false">MAX(0,V273-CADASTRO_CASAS_BOMBA!$I$12*HORAS_CAPTACAO_DIA-W272)</f>
        <v>24127.5027183258</v>
      </c>
      <c r="Y273" s="16" t="n">
        <f aca="false">INDEX(AUX_MATRIZES!$C$15:$BP$15,MIN(N_SEMANAS,MAX(1,$C273)))/DIAS_POR_SEMANA</f>
        <v>0</v>
      </c>
      <c r="Z273" s="16" t="n">
        <f aca="false">MIN(CADASTRO_CASAS_BOMBA!$O$13,MAX(0,Z272+CADASTRO_CASAS_BOMBA!$I$13*HORAS_CAPTACAO_DIA-Y273))</f>
        <v>74903</v>
      </c>
      <c r="AA273" s="16" t="n">
        <f aca="false">MAX(0,Y273-CADASTRO_CASAS_BOMBA!$I$13*HORAS_CAPTACAO_DIA-Z272)</f>
        <v>0</v>
      </c>
    </row>
    <row r="274" customFormat="false" ht="15" hidden="false" customHeight="false" outlineLevel="0" collapsed="false">
      <c r="B274" s="17" t="n">
        <f aca="false">DATA_INICIO_SAFRA+267</f>
        <v>46532</v>
      </c>
      <c r="C274" s="16" t="n">
        <f aca="false">MIN(N_SEMANAS,MAX(1,INT(($B274-DATA_INICIO_SAFRA)/DIAS_POR_SEMANA)+1))</f>
        <v>39</v>
      </c>
      <c r="D274" s="16" t="n">
        <f aca="false">INDEX(AUX_MATRIZES!$C$8:$BP$8,MIN(N_SEMANAS,MAX(1,$C274)))/DIAS_POR_SEMANA</f>
        <v>5142.19129411765</v>
      </c>
      <c r="E274" s="16" t="n">
        <f aca="false">MIN(CADASTRO_CASAS_BOMBA!$O$6,MAX(0,E273+CADASTRO_CASAS_BOMBA!$I$6*HORAS_CAPTACAO_DIA-D274))</f>
        <v>2600</v>
      </c>
      <c r="F274" s="16" t="n">
        <f aca="false">MAX(0,D274-CADASTRO_CASAS_BOMBA!$I$6*HORAS_CAPTACAO_DIA-E273)</f>
        <v>0</v>
      </c>
      <c r="G274" s="16" t="n">
        <f aca="false">INDEX(AUX_MATRIZES!$C$9:$BP$9,MIN(N_SEMANAS,MAX(1,$C274)))/DIAS_POR_SEMANA</f>
        <v>8821.77366515837</v>
      </c>
      <c r="H274" s="16" t="n">
        <f aca="false">MIN(CADASTRO_CASAS_BOMBA!$O$7,MAX(0,H273+CADASTRO_CASAS_BOMBA!$I$7*HORAS_CAPTACAO_DIA-G274))</f>
        <v>76648</v>
      </c>
      <c r="I274" s="16" t="n">
        <f aca="false">MAX(0,G274-CADASTRO_CASAS_BOMBA!$I$7*HORAS_CAPTACAO_DIA-H273)</f>
        <v>0</v>
      </c>
      <c r="J274" s="16" t="n">
        <f aca="false">INDEX(AUX_MATRIZES!$C$10:$BP$10,MIN(N_SEMANAS,MAX(1,$C274)))/DIAS_POR_SEMANA</f>
        <v>10345.0574117647</v>
      </c>
      <c r="K274" s="16" t="n">
        <f aca="false">MIN(CADASTRO_CASAS_BOMBA!$O$8,MAX(0,K273+CADASTRO_CASAS_BOMBA!$I$8*HORAS_CAPTACAO_DIA-J274))</f>
        <v>27377</v>
      </c>
      <c r="L274" s="16" t="n">
        <f aca="false">MAX(0,J274-CADASTRO_CASAS_BOMBA!$I$8*HORAS_CAPTACAO_DIA-K273)</f>
        <v>0</v>
      </c>
      <c r="M274" s="16" t="n">
        <f aca="false">INDEX(AUX_MATRIZES!$C$11:$BP$11,MIN(N_SEMANAS,MAX(1,$C274)))/DIAS_POR_SEMANA</f>
        <v>22946.4882352941</v>
      </c>
      <c r="N274" s="16" t="n">
        <f aca="false">MIN(CADASTRO_CASAS_BOMBA!$O$9,MAX(0,N273+CADASTRO_CASAS_BOMBA!$I$9*HORAS_CAPTACAO_DIA-M274))</f>
        <v>46055.104731739</v>
      </c>
      <c r="O274" s="16" t="n">
        <f aca="false">MAX(0,M274-CADASTRO_CASAS_BOMBA!$I$9*HORAS_CAPTACAO_DIA-N273)</f>
        <v>0</v>
      </c>
      <c r="P274" s="16" t="n">
        <f aca="false">INDEX(AUX_MATRIZES!$C$12:$BP$12,MIN(N_SEMANAS,MAX(1,$C274)))/DIAS_POR_SEMANA</f>
        <v>17034.7964574817</v>
      </c>
      <c r="Q274" s="16" t="n">
        <f aca="false">MIN(CADASTRO_CASAS_BOMBA!$O$10,MAX(0,Q273+CADASTRO_CASAS_BOMBA!$I$10*HORAS_CAPTACAO_DIA-P274))</f>
        <v>696789.549780622</v>
      </c>
      <c r="R274" s="16" t="n">
        <f aca="false">MAX(0,P274-CADASTRO_CASAS_BOMBA!$I$10*HORAS_CAPTACAO_DIA-Q273)</f>
        <v>0</v>
      </c>
      <c r="S274" s="16" t="n">
        <f aca="false">INDEX(AUX_MATRIZES!$C$13:$BP$13,MIN(N_SEMANAS,MAX(1,$C274)))/DIAS_POR_SEMANA</f>
        <v>34077.4438587533</v>
      </c>
      <c r="T274" s="16" t="n">
        <f aca="false">MIN(CADASTRO_CASAS_BOMBA!$O$11,MAX(0,T273+CADASTRO_CASAS_BOMBA!$I$11*HORAS_CAPTACAO_DIA-S274))</f>
        <v>0</v>
      </c>
      <c r="U274" s="16" t="n">
        <f aca="false">MAX(0,S274-CADASTRO_CASAS_BOMBA!$I$11*HORAS_CAPTACAO_DIA-T273)</f>
        <v>12657.4438587533</v>
      </c>
      <c r="V274" s="16" t="n">
        <f aca="false">INDEX(AUX_MATRIZES!$C$14:$BP$14,MIN(N_SEMANAS,MAX(1,$C274)))/DIAS_POR_SEMANA</f>
        <v>49507.5027183258</v>
      </c>
      <c r="W274" s="16" t="n">
        <f aca="false">MIN(CADASTRO_CASAS_BOMBA!$O$12,MAX(0,W273+CADASTRO_CASAS_BOMBA!$I$12*HORAS_CAPTACAO_DIA-V274))</f>
        <v>0</v>
      </c>
      <c r="X274" s="16" t="n">
        <f aca="false">MAX(0,V274-CADASTRO_CASAS_BOMBA!$I$12*HORAS_CAPTACAO_DIA-W273)</f>
        <v>24127.5027183258</v>
      </c>
      <c r="Y274" s="16" t="n">
        <f aca="false">INDEX(AUX_MATRIZES!$C$15:$BP$15,MIN(N_SEMANAS,MAX(1,$C274)))/DIAS_POR_SEMANA</f>
        <v>0</v>
      </c>
      <c r="Z274" s="16" t="n">
        <f aca="false">MIN(CADASTRO_CASAS_BOMBA!$O$13,MAX(0,Z273+CADASTRO_CASAS_BOMBA!$I$13*HORAS_CAPTACAO_DIA-Y274))</f>
        <v>74903</v>
      </c>
      <c r="AA274" s="16" t="n">
        <f aca="false">MAX(0,Y274-CADASTRO_CASAS_BOMBA!$I$13*HORAS_CAPTACAO_DIA-Z273)</f>
        <v>0</v>
      </c>
    </row>
    <row r="275" customFormat="false" ht="15" hidden="false" customHeight="false" outlineLevel="0" collapsed="false">
      <c r="B275" s="17" t="n">
        <f aca="false">DATA_INICIO_SAFRA+268</f>
        <v>46533</v>
      </c>
      <c r="C275" s="16" t="n">
        <f aca="false">MIN(N_SEMANAS,MAX(1,INT(($B275-DATA_INICIO_SAFRA)/DIAS_POR_SEMANA)+1))</f>
        <v>39</v>
      </c>
      <c r="D275" s="16" t="n">
        <f aca="false">INDEX(AUX_MATRIZES!$C$8:$BP$8,MIN(N_SEMANAS,MAX(1,$C275)))/DIAS_POR_SEMANA</f>
        <v>5142.19129411765</v>
      </c>
      <c r="E275" s="16" t="n">
        <f aca="false">MIN(CADASTRO_CASAS_BOMBA!$O$6,MAX(0,E274+CADASTRO_CASAS_BOMBA!$I$6*HORAS_CAPTACAO_DIA-D275))</f>
        <v>2600</v>
      </c>
      <c r="F275" s="16" t="n">
        <f aca="false">MAX(0,D275-CADASTRO_CASAS_BOMBA!$I$6*HORAS_CAPTACAO_DIA-E274)</f>
        <v>0</v>
      </c>
      <c r="G275" s="16" t="n">
        <f aca="false">INDEX(AUX_MATRIZES!$C$9:$BP$9,MIN(N_SEMANAS,MAX(1,$C275)))/DIAS_POR_SEMANA</f>
        <v>8821.77366515837</v>
      </c>
      <c r="H275" s="16" t="n">
        <f aca="false">MIN(CADASTRO_CASAS_BOMBA!$O$7,MAX(0,H274+CADASTRO_CASAS_BOMBA!$I$7*HORAS_CAPTACAO_DIA-G275))</f>
        <v>76648</v>
      </c>
      <c r="I275" s="16" t="n">
        <f aca="false">MAX(0,G275-CADASTRO_CASAS_BOMBA!$I$7*HORAS_CAPTACAO_DIA-H274)</f>
        <v>0</v>
      </c>
      <c r="J275" s="16" t="n">
        <f aca="false">INDEX(AUX_MATRIZES!$C$10:$BP$10,MIN(N_SEMANAS,MAX(1,$C275)))/DIAS_POR_SEMANA</f>
        <v>10345.0574117647</v>
      </c>
      <c r="K275" s="16" t="n">
        <f aca="false">MIN(CADASTRO_CASAS_BOMBA!$O$8,MAX(0,K274+CADASTRO_CASAS_BOMBA!$I$8*HORAS_CAPTACAO_DIA-J275))</f>
        <v>27377</v>
      </c>
      <c r="L275" s="16" t="n">
        <f aca="false">MAX(0,J275-CADASTRO_CASAS_BOMBA!$I$8*HORAS_CAPTACAO_DIA-K274)</f>
        <v>0</v>
      </c>
      <c r="M275" s="16" t="n">
        <f aca="false">INDEX(AUX_MATRIZES!$C$11:$BP$11,MIN(N_SEMANAS,MAX(1,$C275)))/DIAS_POR_SEMANA</f>
        <v>22946.4882352941</v>
      </c>
      <c r="N275" s="16" t="n">
        <f aca="false">MIN(CADASTRO_CASAS_BOMBA!$O$9,MAX(0,N274+CADASTRO_CASAS_BOMBA!$I$9*HORAS_CAPTACAO_DIA-M275))</f>
        <v>44739.2164964448</v>
      </c>
      <c r="O275" s="16" t="n">
        <f aca="false">MAX(0,M275-CADASTRO_CASAS_BOMBA!$I$9*HORAS_CAPTACAO_DIA-N274)</f>
        <v>0</v>
      </c>
      <c r="P275" s="16" t="n">
        <f aca="false">INDEX(AUX_MATRIZES!$C$12:$BP$12,MIN(N_SEMANAS,MAX(1,$C275)))/DIAS_POR_SEMANA</f>
        <v>17034.7964574817</v>
      </c>
      <c r="Q275" s="16" t="n">
        <f aca="false">MIN(CADASTRO_CASAS_BOMBA!$O$10,MAX(0,Q274+CADASTRO_CASAS_BOMBA!$I$10*HORAS_CAPTACAO_DIA-P275))</f>
        <v>692837.15332314</v>
      </c>
      <c r="R275" s="16" t="n">
        <f aca="false">MAX(0,P275-CADASTRO_CASAS_BOMBA!$I$10*HORAS_CAPTACAO_DIA-Q274)</f>
        <v>0</v>
      </c>
      <c r="S275" s="16" t="n">
        <f aca="false">INDEX(AUX_MATRIZES!$C$13:$BP$13,MIN(N_SEMANAS,MAX(1,$C275)))/DIAS_POR_SEMANA</f>
        <v>34077.4438587533</v>
      </c>
      <c r="T275" s="16" t="n">
        <f aca="false">MIN(CADASTRO_CASAS_BOMBA!$O$11,MAX(0,T274+CADASTRO_CASAS_BOMBA!$I$11*HORAS_CAPTACAO_DIA-S275))</f>
        <v>0</v>
      </c>
      <c r="U275" s="16" t="n">
        <f aca="false">MAX(0,S275-CADASTRO_CASAS_BOMBA!$I$11*HORAS_CAPTACAO_DIA-T274)</f>
        <v>12657.4438587533</v>
      </c>
      <c r="V275" s="16" t="n">
        <f aca="false">INDEX(AUX_MATRIZES!$C$14:$BP$14,MIN(N_SEMANAS,MAX(1,$C275)))/DIAS_POR_SEMANA</f>
        <v>49507.5027183258</v>
      </c>
      <c r="W275" s="16" t="n">
        <f aca="false">MIN(CADASTRO_CASAS_BOMBA!$O$12,MAX(0,W274+CADASTRO_CASAS_BOMBA!$I$12*HORAS_CAPTACAO_DIA-V275))</f>
        <v>0</v>
      </c>
      <c r="X275" s="16" t="n">
        <f aca="false">MAX(0,V275-CADASTRO_CASAS_BOMBA!$I$12*HORAS_CAPTACAO_DIA-W274)</f>
        <v>24127.5027183258</v>
      </c>
      <c r="Y275" s="16" t="n">
        <f aca="false">INDEX(AUX_MATRIZES!$C$15:$BP$15,MIN(N_SEMANAS,MAX(1,$C275)))/DIAS_POR_SEMANA</f>
        <v>0</v>
      </c>
      <c r="Z275" s="16" t="n">
        <f aca="false">MIN(CADASTRO_CASAS_BOMBA!$O$13,MAX(0,Z274+CADASTRO_CASAS_BOMBA!$I$13*HORAS_CAPTACAO_DIA-Y275))</f>
        <v>74903</v>
      </c>
      <c r="AA275" s="16" t="n">
        <f aca="false">MAX(0,Y275-CADASTRO_CASAS_BOMBA!$I$13*HORAS_CAPTACAO_DIA-Z274)</f>
        <v>0</v>
      </c>
    </row>
    <row r="276" customFormat="false" ht="15" hidden="false" customHeight="false" outlineLevel="0" collapsed="false">
      <c r="B276" s="17" t="n">
        <f aca="false">DATA_INICIO_SAFRA+269</f>
        <v>46534</v>
      </c>
      <c r="C276" s="16" t="n">
        <f aca="false">MIN(N_SEMANAS,MAX(1,INT(($B276-DATA_INICIO_SAFRA)/DIAS_POR_SEMANA)+1))</f>
        <v>39</v>
      </c>
      <c r="D276" s="16" t="n">
        <f aca="false">INDEX(AUX_MATRIZES!$C$8:$BP$8,MIN(N_SEMANAS,MAX(1,$C276)))/DIAS_POR_SEMANA</f>
        <v>5142.19129411765</v>
      </c>
      <c r="E276" s="16" t="n">
        <f aca="false">MIN(CADASTRO_CASAS_BOMBA!$O$6,MAX(0,E275+CADASTRO_CASAS_BOMBA!$I$6*HORAS_CAPTACAO_DIA-D276))</f>
        <v>2600</v>
      </c>
      <c r="F276" s="16" t="n">
        <f aca="false">MAX(0,D276-CADASTRO_CASAS_BOMBA!$I$6*HORAS_CAPTACAO_DIA-E275)</f>
        <v>0</v>
      </c>
      <c r="G276" s="16" t="n">
        <f aca="false">INDEX(AUX_MATRIZES!$C$9:$BP$9,MIN(N_SEMANAS,MAX(1,$C276)))/DIAS_POR_SEMANA</f>
        <v>8821.77366515837</v>
      </c>
      <c r="H276" s="16" t="n">
        <f aca="false">MIN(CADASTRO_CASAS_BOMBA!$O$7,MAX(0,H275+CADASTRO_CASAS_BOMBA!$I$7*HORAS_CAPTACAO_DIA-G276))</f>
        <v>76648</v>
      </c>
      <c r="I276" s="16" t="n">
        <f aca="false">MAX(0,G276-CADASTRO_CASAS_BOMBA!$I$7*HORAS_CAPTACAO_DIA-H275)</f>
        <v>0</v>
      </c>
      <c r="J276" s="16" t="n">
        <f aca="false">INDEX(AUX_MATRIZES!$C$10:$BP$10,MIN(N_SEMANAS,MAX(1,$C276)))/DIAS_POR_SEMANA</f>
        <v>10345.0574117647</v>
      </c>
      <c r="K276" s="16" t="n">
        <f aca="false">MIN(CADASTRO_CASAS_BOMBA!$O$8,MAX(0,K275+CADASTRO_CASAS_BOMBA!$I$8*HORAS_CAPTACAO_DIA-J276))</f>
        <v>27377</v>
      </c>
      <c r="L276" s="16" t="n">
        <f aca="false">MAX(0,J276-CADASTRO_CASAS_BOMBA!$I$8*HORAS_CAPTACAO_DIA-K275)</f>
        <v>0</v>
      </c>
      <c r="M276" s="16" t="n">
        <f aca="false">INDEX(AUX_MATRIZES!$C$11:$BP$11,MIN(N_SEMANAS,MAX(1,$C276)))/DIAS_POR_SEMANA</f>
        <v>22946.4882352941</v>
      </c>
      <c r="N276" s="16" t="n">
        <f aca="false">MIN(CADASTRO_CASAS_BOMBA!$O$9,MAX(0,N275+CADASTRO_CASAS_BOMBA!$I$9*HORAS_CAPTACAO_DIA-M276))</f>
        <v>43423.3282611507</v>
      </c>
      <c r="O276" s="16" t="n">
        <f aca="false">MAX(0,M276-CADASTRO_CASAS_BOMBA!$I$9*HORAS_CAPTACAO_DIA-N275)</f>
        <v>0</v>
      </c>
      <c r="P276" s="16" t="n">
        <f aca="false">INDEX(AUX_MATRIZES!$C$12:$BP$12,MIN(N_SEMANAS,MAX(1,$C276)))/DIAS_POR_SEMANA</f>
        <v>17034.7964574817</v>
      </c>
      <c r="Q276" s="16" t="n">
        <f aca="false">MIN(CADASTRO_CASAS_BOMBA!$O$10,MAX(0,Q275+CADASTRO_CASAS_BOMBA!$I$10*HORAS_CAPTACAO_DIA-P276))</f>
        <v>688884.756865659</v>
      </c>
      <c r="R276" s="16" t="n">
        <f aca="false">MAX(0,P276-CADASTRO_CASAS_BOMBA!$I$10*HORAS_CAPTACAO_DIA-Q275)</f>
        <v>0</v>
      </c>
      <c r="S276" s="16" t="n">
        <f aca="false">INDEX(AUX_MATRIZES!$C$13:$BP$13,MIN(N_SEMANAS,MAX(1,$C276)))/DIAS_POR_SEMANA</f>
        <v>34077.4438587533</v>
      </c>
      <c r="T276" s="16" t="n">
        <f aca="false">MIN(CADASTRO_CASAS_BOMBA!$O$11,MAX(0,T275+CADASTRO_CASAS_BOMBA!$I$11*HORAS_CAPTACAO_DIA-S276))</f>
        <v>0</v>
      </c>
      <c r="U276" s="16" t="n">
        <f aca="false">MAX(0,S276-CADASTRO_CASAS_BOMBA!$I$11*HORAS_CAPTACAO_DIA-T275)</f>
        <v>12657.4438587533</v>
      </c>
      <c r="V276" s="16" t="n">
        <f aca="false">INDEX(AUX_MATRIZES!$C$14:$BP$14,MIN(N_SEMANAS,MAX(1,$C276)))/DIAS_POR_SEMANA</f>
        <v>49507.5027183258</v>
      </c>
      <c r="W276" s="16" t="n">
        <f aca="false">MIN(CADASTRO_CASAS_BOMBA!$O$12,MAX(0,W275+CADASTRO_CASAS_BOMBA!$I$12*HORAS_CAPTACAO_DIA-V276))</f>
        <v>0</v>
      </c>
      <c r="X276" s="16" t="n">
        <f aca="false">MAX(0,V276-CADASTRO_CASAS_BOMBA!$I$12*HORAS_CAPTACAO_DIA-W275)</f>
        <v>24127.5027183258</v>
      </c>
      <c r="Y276" s="16" t="n">
        <f aca="false">INDEX(AUX_MATRIZES!$C$15:$BP$15,MIN(N_SEMANAS,MAX(1,$C276)))/DIAS_POR_SEMANA</f>
        <v>0</v>
      </c>
      <c r="Z276" s="16" t="n">
        <f aca="false">MIN(CADASTRO_CASAS_BOMBA!$O$13,MAX(0,Z275+CADASTRO_CASAS_BOMBA!$I$13*HORAS_CAPTACAO_DIA-Y276))</f>
        <v>74903</v>
      </c>
      <c r="AA276" s="16" t="n">
        <f aca="false">MAX(0,Y276-CADASTRO_CASAS_BOMBA!$I$13*HORAS_CAPTACAO_DIA-Z275)</f>
        <v>0</v>
      </c>
    </row>
    <row r="277" customFormat="false" ht="15" hidden="false" customHeight="false" outlineLevel="0" collapsed="false">
      <c r="B277" s="17" t="n">
        <f aca="false">DATA_INICIO_SAFRA+270</f>
        <v>46535</v>
      </c>
      <c r="C277" s="16" t="n">
        <f aca="false">MIN(N_SEMANAS,MAX(1,INT(($B277-DATA_INICIO_SAFRA)/DIAS_POR_SEMANA)+1))</f>
        <v>39</v>
      </c>
      <c r="D277" s="16" t="n">
        <f aca="false">INDEX(AUX_MATRIZES!$C$8:$BP$8,MIN(N_SEMANAS,MAX(1,$C277)))/DIAS_POR_SEMANA</f>
        <v>5142.19129411765</v>
      </c>
      <c r="E277" s="16" t="n">
        <f aca="false">MIN(CADASTRO_CASAS_BOMBA!$O$6,MAX(0,E276+CADASTRO_CASAS_BOMBA!$I$6*HORAS_CAPTACAO_DIA-D277))</f>
        <v>2600</v>
      </c>
      <c r="F277" s="16" t="n">
        <f aca="false">MAX(0,D277-CADASTRO_CASAS_BOMBA!$I$6*HORAS_CAPTACAO_DIA-E276)</f>
        <v>0</v>
      </c>
      <c r="G277" s="16" t="n">
        <f aca="false">INDEX(AUX_MATRIZES!$C$9:$BP$9,MIN(N_SEMANAS,MAX(1,$C277)))/DIAS_POR_SEMANA</f>
        <v>8821.77366515837</v>
      </c>
      <c r="H277" s="16" t="n">
        <f aca="false">MIN(CADASTRO_CASAS_BOMBA!$O$7,MAX(0,H276+CADASTRO_CASAS_BOMBA!$I$7*HORAS_CAPTACAO_DIA-G277))</f>
        <v>76648</v>
      </c>
      <c r="I277" s="16" t="n">
        <f aca="false">MAX(0,G277-CADASTRO_CASAS_BOMBA!$I$7*HORAS_CAPTACAO_DIA-H276)</f>
        <v>0</v>
      </c>
      <c r="J277" s="16" t="n">
        <f aca="false">INDEX(AUX_MATRIZES!$C$10:$BP$10,MIN(N_SEMANAS,MAX(1,$C277)))/DIAS_POR_SEMANA</f>
        <v>10345.0574117647</v>
      </c>
      <c r="K277" s="16" t="n">
        <f aca="false">MIN(CADASTRO_CASAS_BOMBA!$O$8,MAX(0,K276+CADASTRO_CASAS_BOMBA!$I$8*HORAS_CAPTACAO_DIA-J277))</f>
        <v>27377</v>
      </c>
      <c r="L277" s="16" t="n">
        <f aca="false">MAX(0,J277-CADASTRO_CASAS_BOMBA!$I$8*HORAS_CAPTACAO_DIA-K276)</f>
        <v>0</v>
      </c>
      <c r="M277" s="16" t="n">
        <f aca="false">INDEX(AUX_MATRIZES!$C$11:$BP$11,MIN(N_SEMANAS,MAX(1,$C277)))/DIAS_POR_SEMANA</f>
        <v>22946.4882352941</v>
      </c>
      <c r="N277" s="16" t="n">
        <f aca="false">MIN(CADASTRO_CASAS_BOMBA!$O$9,MAX(0,N276+CADASTRO_CASAS_BOMBA!$I$9*HORAS_CAPTACAO_DIA-M277))</f>
        <v>42107.4400258566</v>
      </c>
      <c r="O277" s="16" t="n">
        <f aca="false">MAX(0,M277-CADASTRO_CASAS_BOMBA!$I$9*HORAS_CAPTACAO_DIA-N276)</f>
        <v>0</v>
      </c>
      <c r="P277" s="16" t="n">
        <f aca="false">INDEX(AUX_MATRIZES!$C$12:$BP$12,MIN(N_SEMANAS,MAX(1,$C277)))/DIAS_POR_SEMANA</f>
        <v>17034.7964574817</v>
      </c>
      <c r="Q277" s="16" t="n">
        <f aca="false">MIN(CADASTRO_CASAS_BOMBA!$O$10,MAX(0,Q276+CADASTRO_CASAS_BOMBA!$I$10*HORAS_CAPTACAO_DIA-P277))</f>
        <v>684932.360408177</v>
      </c>
      <c r="R277" s="16" t="n">
        <f aca="false">MAX(0,P277-CADASTRO_CASAS_BOMBA!$I$10*HORAS_CAPTACAO_DIA-Q276)</f>
        <v>0</v>
      </c>
      <c r="S277" s="16" t="n">
        <f aca="false">INDEX(AUX_MATRIZES!$C$13:$BP$13,MIN(N_SEMANAS,MAX(1,$C277)))/DIAS_POR_SEMANA</f>
        <v>34077.4438587533</v>
      </c>
      <c r="T277" s="16" t="n">
        <f aca="false">MIN(CADASTRO_CASAS_BOMBA!$O$11,MAX(0,T276+CADASTRO_CASAS_BOMBA!$I$11*HORAS_CAPTACAO_DIA-S277))</f>
        <v>0</v>
      </c>
      <c r="U277" s="16" t="n">
        <f aca="false">MAX(0,S277-CADASTRO_CASAS_BOMBA!$I$11*HORAS_CAPTACAO_DIA-T276)</f>
        <v>12657.4438587533</v>
      </c>
      <c r="V277" s="16" t="n">
        <f aca="false">INDEX(AUX_MATRIZES!$C$14:$BP$14,MIN(N_SEMANAS,MAX(1,$C277)))/DIAS_POR_SEMANA</f>
        <v>49507.5027183258</v>
      </c>
      <c r="W277" s="16" t="n">
        <f aca="false">MIN(CADASTRO_CASAS_BOMBA!$O$12,MAX(0,W276+CADASTRO_CASAS_BOMBA!$I$12*HORAS_CAPTACAO_DIA-V277))</f>
        <v>0</v>
      </c>
      <c r="X277" s="16" t="n">
        <f aca="false">MAX(0,V277-CADASTRO_CASAS_BOMBA!$I$12*HORAS_CAPTACAO_DIA-W276)</f>
        <v>24127.5027183258</v>
      </c>
      <c r="Y277" s="16" t="n">
        <f aca="false">INDEX(AUX_MATRIZES!$C$15:$BP$15,MIN(N_SEMANAS,MAX(1,$C277)))/DIAS_POR_SEMANA</f>
        <v>0</v>
      </c>
      <c r="Z277" s="16" t="n">
        <f aca="false">MIN(CADASTRO_CASAS_BOMBA!$O$13,MAX(0,Z276+CADASTRO_CASAS_BOMBA!$I$13*HORAS_CAPTACAO_DIA-Y277))</f>
        <v>74903</v>
      </c>
      <c r="AA277" s="16" t="n">
        <f aca="false">MAX(0,Y277-CADASTRO_CASAS_BOMBA!$I$13*HORAS_CAPTACAO_DIA-Z276)</f>
        <v>0</v>
      </c>
    </row>
    <row r="278" customFormat="false" ht="15" hidden="false" customHeight="false" outlineLevel="0" collapsed="false">
      <c r="B278" s="17" t="n">
        <f aca="false">DATA_INICIO_SAFRA+271</f>
        <v>46536</v>
      </c>
      <c r="C278" s="16" t="n">
        <f aca="false">MIN(N_SEMANAS,MAX(1,INT(($B278-DATA_INICIO_SAFRA)/DIAS_POR_SEMANA)+1))</f>
        <v>39</v>
      </c>
      <c r="D278" s="16" t="n">
        <f aca="false">INDEX(AUX_MATRIZES!$C$8:$BP$8,MIN(N_SEMANAS,MAX(1,$C278)))/DIAS_POR_SEMANA</f>
        <v>5142.19129411765</v>
      </c>
      <c r="E278" s="16" t="n">
        <f aca="false">MIN(CADASTRO_CASAS_BOMBA!$O$6,MAX(0,E277+CADASTRO_CASAS_BOMBA!$I$6*HORAS_CAPTACAO_DIA-D278))</f>
        <v>2600</v>
      </c>
      <c r="F278" s="16" t="n">
        <f aca="false">MAX(0,D278-CADASTRO_CASAS_BOMBA!$I$6*HORAS_CAPTACAO_DIA-E277)</f>
        <v>0</v>
      </c>
      <c r="G278" s="16" t="n">
        <f aca="false">INDEX(AUX_MATRIZES!$C$9:$BP$9,MIN(N_SEMANAS,MAX(1,$C278)))/DIAS_POR_SEMANA</f>
        <v>8821.77366515837</v>
      </c>
      <c r="H278" s="16" t="n">
        <f aca="false">MIN(CADASTRO_CASAS_BOMBA!$O$7,MAX(0,H277+CADASTRO_CASAS_BOMBA!$I$7*HORAS_CAPTACAO_DIA-G278))</f>
        <v>76648</v>
      </c>
      <c r="I278" s="16" t="n">
        <f aca="false">MAX(0,G278-CADASTRO_CASAS_BOMBA!$I$7*HORAS_CAPTACAO_DIA-H277)</f>
        <v>0</v>
      </c>
      <c r="J278" s="16" t="n">
        <f aca="false">INDEX(AUX_MATRIZES!$C$10:$BP$10,MIN(N_SEMANAS,MAX(1,$C278)))/DIAS_POR_SEMANA</f>
        <v>10345.0574117647</v>
      </c>
      <c r="K278" s="16" t="n">
        <f aca="false">MIN(CADASTRO_CASAS_BOMBA!$O$8,MAX(0,K277+CADASTRO_CASAS_BOMBA!$I$8*HORAS_CAPTACAO_DIA-J278))</f>
        <v>27377</v>
      </c>
      <c r="L278" s="16" t="n">
        <f aca="false">MAX(0,J278-CADASTRO_CASAS_BOMBA!$I$8*HORAS_CAPTACAO_DIA-K277)</f>
        <v>0</v>
      </c>
      <c r="M278" s="16" t="n">
        <f aca="false">INDEX(AUX_MATRIZES!$C$11:$BP$11,MIN(N_SEMANAS,MAX(1,$C278)))/DIAS_POR_SEMANA</f>
        <v>22946.4882352941</v>
      </c>
      <c r="N278" s="16" t="n">
        <f aca="false">MIN(CADASTRO_CASAS_BOMBA!$O$9,MAX(0,N277+CADASTRO_CASAS_BOMBA!$I$9*HORAS_CAPTACAO_DIA-M278))</f>
        <v>40791.5517905625</v>
      </c>
      <c r="O278" s="16" t="n">
        <f aca="false">MAX(0,M278-CADASTRO_CASAS_BOMBA!$I$9*HORAS_CAPTACAO_DIA-N277)</f>
        <v>0</v>
      </c>
      <c r="P278" s="16" t="n">
        <f aca="false">INDEX(AUX_MATRIZES!$C$12:$BP$12,MIN(N_SEMANAS,MAX(1,$C278)))/DIAS_POR_SEMANA</f>
        <v>17034.7964574817</v>
      </c>
      <c r="Q278" s="16" t="n">
        <f aca="false">MIN(CADASTRO_CASAS_BOMBA!$O$10,MAX(0,Q277+CADASTRO_CASAS_BOMBA!$I$10*HORAS_CAPTACAO_DIA-P278))</f>
        <v>680979.963950695</v>
      </c>
      <c r="R278" s="16" t="n">
        <f aca="false">MAX(0,P278-CADASTRO_CASAS_BOMBA!$I$10*HORAS_CAPTACAO_DIA-Q277)</f>
        <v>0</v>
      </c>
      <c r="S278" s="16" t="n">
        <f aca="false">INDEX(AUX_MATRIZES!$C$13:$BP$13,MIN(N_SEMANAS,MAX(1,$C278)))/DIAS_POR_SEMANA</f>
        <v>34077.4438587533</v>
      </c>
      <c r="T278" s="16" t="n">
        <f aca="false">MIN(CADASTRO_CASAS_BOMBA!$O$11,MAX(0,T277+CADASTRO_CASAS_BOMBA!$I$11*HORAS_CAPTACAO_DIA-S278))</f>
        <v>0</v>
      </c>
      <c r="U278" s="16" t="n">
        <f aca="false">MAX(0,S278-CADASTRO_CASAS_BOMBA!$I$11*HORAS_CAPTACAO_DIA-T277)</f>
        <v>12657.4438587533</v>
      </c>
      <c r="V278" s="16" t="n">
        <f aca="false">INDEX(AUX_MATRIZES!$C$14:$BP$14,MIN(N_SEMANAS,MAX(1,$C278)))/DIAS_POR_SEMANA</f>
        <v>49507.5027183258</v>
      </c>
      <c r="W278" s="16" t="n">
        <f aca="false">MIN(CADASTRO_CASAS_BOMBA!$O$12,MAX(0,W277+CADASTRO_CASAS_BOMBA!$I$12*HORAS_CAPTACAO_DIA-V278))</f>
        <v>0</v>
      </c>
      <c r="X278" s="16" t="n">
        <f aca="false">MAX(0,V278-CADASTRO_CASAS_BOMBA!$I$12*HORAS_CAPTACAO_DIA-W277)</f>
        <v>24127.5027183258</v>
      </c>
      <c r="Y278" s="16" t="n">
        <f aca="false">INDEX(AUX_MATRIZES!$C$15:$BP$15,MIN(N_SEMANAS,MAX(1,$C278)))/DIAS_POR_SEMANA</f>
        <v>0</v>
      </c>
      <c r="Z278" s="16" t="n">
        <f aca="false">MIN(CADASTRO_CASAS_BOMBA!$O$13,MAX(0,Z277+CADASTRO_CASAS_BOMBA!$I$13*HORAS_CAPTACAO_DIA-Y278))</f>
        <v>74903</v>
      </c>
      <c r="AA278" s="16" t="n">
        <f aca="false">MAX(0,Y278-CADASTRO_CASAS_BOMBA!$I$13*HORAS_CAPTACAO_DIA-Z277)</f>
        <v>0</v>
      </c>
    </row>
    <row r="279" customFormat="false" ht="15" hidden="false" customHeight="false" outlineLevel="0" collapsed="false">
      <c r="B279" s="17" t="n">
        <f aca="false">DATA_INICIO_SAFRA+272</f>
        <v>46537</v>
      </c>
      <c r="C279" s="16" t="n">
        <f aca="false">MIN(N_SEMANAS,MAX(1,INT(($B279-DATA_INICIO_SAFRA)/DIAS_POR_SEMANA)+1))</f>
        <v>39</v>
      </c>
      <c r="D279" s="16" t="n">
        <f aca="false">INDEX(AUX_MATRIZES!$C$8:$BP$8,MIN(N_SEMANAS,MAX(1,$C279)))/DIAS_POR_SEMANA</f>
        <v>5142.19129411765</v>
      </c>
      <c r="E279" s="16" t="n">
        <f aca="false">MIN(CADASTRO_CASAS_BOMBA!$O$6,MAX(0,E278+CADASTRO_CASAS_BOMBA!$I$6*HORAS_CAPTACAO_DIA-D279))</f>
        <v>2600</v>
      </c>
      <c r="F279" s="16" t="n">
        <f aca="false">MAX(0,D279-CADASTRO_CASAS_BOMBA!$I$6*HORAS_CAPTACAO_DIA-E278)</f>
        <v>0</v>
      </c>
      <c r="G279" s="16" t="n">
        <f aca="false">INDEX(AUX_MATRIZES!$C$9:$BP$9,MIN(N_SEMANAS,MAX(1,$C279)))/DIAS_POR_SEMANA</f>
        <v>8821.77366515837</v>
      </c>
      <c r="H279" s="16" t="n">
        <f aca="false">MIN(CADASTRO_CASAS_BOMBA!$O$7,MAX(0,H278+CADASTRO_CASAS_BOMBA!$I$7*HORAS_CAPTACAO_DIA-G279))</f>
        <v>76648</v>
      </c>
      <c r="I279" s="16" t="n">
        <f aca="false">MAX(0,G279-CADASTRO_CASAS_BOMBA!$I$7*HORAS_CAPTACAO_DIA-H278)</f>
        <v>0</v>
      </c>
      <c r="J279" s="16" t="n">
        <f aca="false">INDEX(AUX_MATRIZES!$C$10:$BP$10,MIN(N_SEMANAS,MAX(1,$C279)))/DIAS_POR_SEMANA</f>
        <v>10345.0574117647</v>
      </c>
      <c r="K279" s="16" t="n">
        <f aca="false">MIN(CADASTRO_CASAS_BOMBA!$O$8,MAX(0,K278+CADASTRO_CASAS_BOMBA!$I$8*HORAS_CAPTACAO_DIA-J279))</f>
        <v>27377</v>
      </c>
      <c r="L279" s="16" t="n">
        <f aca="false">MAX(0,J279-CADASTRO_CASAS_BOMBA!$I$8*HORAS_CAPTACAO_DIA-K278)</f>
        <v>0</v>
      </c>
      <c r="M279" s="16" t="n">
        <f aca="false">INDEX(AUX_MATRIZES!$C$11:$BP$11,MIN(N_SEMANAS,MAX(1,$C279)))/DIAS_POR_SEMANA</f>
        <v>22946.4882352941</v>
      </c>
      <c r="N279" s="16" t="n">
        <f aca="false">MIN(CADASTRO_CASAS_BOMBA!$O$9,MAX(0,N278+CADASTRO_CASAS_BOMBA!$I$9*HORAS_CAPTACAO_DIA-M279))</f>
        <v>39475.6635552684</v>
      </c>
      <c r="O279" s="16" t="n">
        <f aca="false">MAX(0,M279-CADASTRO_CASAS_BOMBA!$I$9*HORAS_CAPTACAO_DIA-N278)</f>
        <v>0</v>
      </c>
      <c r="P279" s="16" t="n">
        <f aca="false">INDEX(AUX_MATRIZES!$C$12:$BP$12,MIN(N_SEMANAS,MAX(1,$C279)))/DIAS_POR_SEMANA</f>
        <v>17034.7964574817</v>
      </c>
      <c r="Q279" s="16" t="n">
        <f aca="false">MIN(CADASTRO_CASAS_BOMBA!$O$10,MAX(0,Q278+CADASTRO_CASAS_BOMBA!$I$10*HORAS_CAPTACAO_DIA-P279))</f>
        <v>677027.567493214</v>
      </c>
      <c r="R279" s="16" t="n">
        <f aca="false">MAX(0,P279-CADASTRO_CASAS_BOMBA!$I$10*HORAS_CAPTACAO_DIA-Q278)</f>
        <v>0</v>
      </c>
      <c r="S279" s="16" t="n">
        <f aca="false">INDEX(AUX_MATRIZES!$C$13:$BP$13,MIN(N_SEMANAS,MAX(1,$C279)))/DIAS_POR_SEMANA</f>
        <v>34077.4438587533</v>
      </c>
      <c r="T279" s="16" t="n">
        <f aca="false">MIN(CADASTRO_CASAS_BOMBA!$O$11,MAX(0,T278+CADASTRO_CASAS_BOMBA!$I$11*HORAS_CAPTACAO_DIA-S279))</f>
        <v>0</v>
      </c>
      <c r="U279" s="16" t="n">
        <f aca="false">MAX(0,S279-CADASTRO_CASAS_BOMBA!$I$11*HORAS_CAPTACAO_DIA-T278)</f>
        <v>12657.4438587533</v>
      </c>
      <c r="V279" s="16" t="n">
        <f aca="false">INDEX(AUX_MATRIZES!$C$14:$BP$14,MIN(N_SEMANAS,MAX(1,$C279)))/DIAS_POR_SEMANA</f>
        <v>49507.5027183258</v>
      </c>
      <c r="W279" s="16" t="n">
        <f aca="false">MIN(CADASTRO_CASAS_BOMBA!$O$12,MAX(0,W278+CADASTRO_CASAS_BOMBA!$I$12*HORAS_CAPTACAO_DIA-V279))</f>
        <v>0</v>
      </c>
      <c r="X279" s="16" t="n">
        <f aca="false">MAX(0,V279-CADASTRO_CASAS_BOMBA!$I$12*HORAS_CAPTACAO_DIA-W278)</f>
        <v>24127.5027183258</v>
      </c>
      <c r="Y279" s="16" t="n">
        <f aca="false">INDEX(AUX_MATRIZES!$C$15:$BP$15,MIN(N_SEMANAS,MAX(1,$C279)))/DIAS_POR_SEMANA</f>
        <v>0</v>
      </c>
      <c r="Z279" s="16" t="n">
        <f aca="false">MIN(CADASTRO_CASAS_BOMBA!$O$13,MAX(0,Z278+CADASTRO_CASAS_BOMBA!$I$13*HORAS_CAPTACAO_DIA-Y279))</f>
        <v>74903</v>
      </c>
      <c r="AA279" s="16" t="n">
        <f aca="false">MAX(0,Y279-CADASTRO_CASAS_BOMBA!$I$13*HORAS_CAPTACAO_DIA-Z278)</f>
        <v>0</v>
      </c>
    </row>
    <row r="280" customFormat="false" ht="15" hidden="false" customHeight="false" outlineLevel="0" collapsed="false">
      <c r="B280" s="17" t="n">
        <f aca="false">DATA_INICIO_SAFRA+273</f>
        <v>46538</v>
      </c>
      <c r="C280" s="16" t="n">
        <f aca="false">MIN(N_SEMANAS,MAX(1,INT(($B280-DATA_INICIO_SAFRA)/DIAS_POR_SEMANA)+1))</f>
        <v>40</v>
      </c>
      <c r="D280" s="16" t="n">
        <f aca="false">INDEX(AUX_MATRIZES!$C$8:$BP$8,MIN(N_SEMANAS,MAX(1,$C280)))/DIAS_POR_SEMANA</f>
        <v>5160.03579831933</v>
      </c>
      <c r="E280" s="16" t="n">
        <f aca="false">MIN(CADASTRO_CASAS_BOMBA!$O$6,MAX(0,E279+CADASTRO_CASAS_BOMBA!$I$6*HORAS_CAPTACAO_DIA-D280))</f>
        <v>2600</v>
      </c>
      <c r="F280" s="16" t="n">
        <f aca="false">MAX(0,D280-CADASTRO_CASAS_BOMBA!$I$6*HORAS_CAPTACAO_DIA-E279)</f>
        <v>0</v>
      </c>
      <c r="G280" s="16" t="n">
        <f aca="false">INDEX(AUX_MATRIZES!$C$9:$BP$9,MIN(N_SEMANAS,MAX(1,$C280)))/DIAS_POR_SEMANA</f>
        <v>8592.10054298643</v>
      </c>
      <c r="H280" s="16" t="n">
        <f aca="false">MIN(CADASTRO_CASAS_BOMBA!$O$7,MAX(0,H279+CADASTRO_CASAS_BOMBA!$I$7*HORAS_CAPTACAO_DIA-G280))</f>
        <v>76648</v>
      </c>
      <c r="I280" s="16" t="n">
        <f aca="false">MAX(0,G280-CADASTRO_CASAS_BOMBA!$I$7*HORAS_CAPTACAO_DIA-H279)</f>
        <v>0</v>
      </c>
      <c r="J280" s="16" t="n">
        <f aca="false">INDEX(AUX_MATRIZES!$C$10:$BP$10,MIN(N_SEMANAS,MAX(1,$C280)))/DIAS_POR_SEMANA</f>
        <v>10380.9569747899</v>
      </c>
      <c r="K280" s="16" t="n">
        <f aca="false">MIN(CADASTRO_CASAS_BOMBA!$O$8,MAX(0,K279+CADASTRO_CASAS_BOMBA!$I$8*HORAS_CAPTACAO_DIA-J280))</f>
        <v>27377</v>
      </c>
      <c r="L280" s="16" t="n">
        <f aca="false">MAX(0,J280-CADASTRO_CASAS_BOMBA!$I$8*HORAS_CAPTACAO_DIA-K279)</f>
        <v>0</v>
      </c>
      <c r="M280" s="16" t="n">
        <f aca="false">INDEX(AUX_MATRIZES!$C$11:$BP$11,MIN(N_SEMANAS,MAX(1,$C280)))/DIAS_POR_SEMANA</f>
        <v>22159.9193203435</v>
      </c>
      <c r="N280" s="16" t="n">
        <f aca="false">MIN(CADASTRO_CASAS_BOMBA!$O$9,MAX(0,N279+CADASTRO_CASAS_BOMBA!$I$9*HORAS_CAPTACAO_DIA-M280))</f>
        <v>38946.3442349249</v>
      </c>
      <c r="O280" s="16" t="n">
        <f aca="false">MAX(0,M280-CADASTRO_CASAS_BOMBA!$I$9*HORAS_CAPTACAO_DIA-N279)</f>
        <v>0</v>
      </c>
      <c r="P280" s="16" t="n">
        <f aca="false">INDEX(AUX_MATRIZES!$C$12:$BP$12,MIN(N_SEMANAS,MAX(1,$C280)))/DIAS_POR_SEMANA</f>
        <v>17756.7993455632</v>
      </c>
      <c r="Q280" s="16" t="n">
        <f aca="false">MIN(CADASTRO_CASAS_BOMBA!$O$10,MAX(0,Q279+CADASTRO_CASAS_BOMBA!$I$10*HORAS_CAPTACAO_DIA-P280))</f>
        <v>672353.168147651</v>
      </c>
      <c r="R280" s="16" t="n">
        <f aca="false">MAX(0,P280-CADASTRO_CASAS_BOMBA!$I$10*HORAS_CAPTACAO_DIA-Q279)</f>
        <v>0</v>
      </c>
      <c r="S280" s="16" t="n">
        <f aca="false">INDEX(AUX_MATRIZES!$C$13:$BP$13,MIN(N_SEMANAS,MAX(1,$C280)))/DIAS_POR_SEMANA</f>
        <v>27525.0469947873</v>
      </c>
      <c r="T280" s="16" t="n">
        <f aca="false">MIN(CADASTRO_CASAS_BOMBA!$O$11,MAX(0,T279+CADASTRO_CASAS_BOMBA!$I$11*HORAS_CAPTACAO_DIA-S280))</f>
        <v>0</v>
      </c>
      <c r="U280" s="16" t="n">
        <f aca="false">MAX(0,S280-CADASTRO_CASAS_BOMBA!$I$11*HORAS_CAPTACAO_DIA-T279)</f>
        <v>6105.04699478731</v>
      </c>
      <c r="V280" s="16" t="n">
        <f aca="false">INDEX(AUX_MATRIZES!$C$14:$BP$14,MIN(N_SEMANAS,MAX(1,$C280)))/DIAS_POR_SEMANA</f>
        <v>50616.9861817804</v>
      </c>
      <c r="W280" s="16" t="n">
        <f aca="false">MIN(CADASTRO_CASAS_BOMBA!$O$12,MAX(0,W279+CADASTRO_CASAS_BOMBA!$I$12*HORAS_CAPTACAO_DIA-V280))</f>
        <v>0</v>
      </c>
      <c r="X280" s="16" t="n">
        <f aca="false">MAX(0,V280-CADASTRO_CASAS_BOMBA!$I$12*HORAS_CAPTACAO_DIA-W279)</f>
        <v>25236.9861817804</v>
      </c>
      <c r="Y280" s="16" t="n">
        <f aca="false">INDEX(AUX_MATRIZES!$C$15:$BP$15,MIN(N_SEMANAS,MAX(1,$C280)))/DIAS_POR_SEMANA</f>
        <v>0</v>
      </c>
      <c r="Z280" s="16" t="n">
        <f aca="false">MIN(CADASTRO_CASAS_BOMBA!$O$13,MAX(0,Z279+CADASTRO_CASAS_BOMBA!$I$13*HORAS_CAPTACAO_DIA-Y280))</f>
        <v>74903</v>
      </c>
      <c r="AA280" s="16" t="n">
        <f aca="false">MAX(0,Y280-CADASTRO_CASAS_BOMBA!$I$13*HORAS_CAPTACAO_DIA-Z279)</f>
        <v>0</v>
      </c>
    </row>
    <row r="281" customFormat="false" ht="15" hidden="false" customHeight="false" outlineLevel="0" collapsed="false">
      <c r="B281" s="17" t="n">
        <f aca="false">DATA_INICIO_SAFRA+274</f>
        <v>46539</v>
      </c>
      <c r="C281" s="16" t="n">
        <f aca="false">MIN(N_SEMANAS,MAX(1,INT(($B281-DATA_INICIO_SAFRA)/DIAS_POR_SEMANA)+1))</f>
        <v>40</v>
      </c>
      <c r="D281" s="16" t="n">
        <f aca="false">INDEX(AUX_MATRIZES!$C$8:$BP$8,MIN(N_SEMANAS,MAX(1,$C281)))/DIAS_POR_SEMANA</f>
        <v>5160.03579831933</v>
      </c>
      <c r="E281" s="16" t="n">
        <f aca="false">MIN(CADASTRO_CASAS_BOMBA!$O$6,MAX(0,E280+CADASTRO_CASAS_BOMBA!$I$6*HORAS_CAPTACAO_DIA-D281))</f>
        <v>2600</v>
      </c>
      <c r="F281" s="16" t="n">
        <f aca="false">MAX(0,D281-CADASTRO_CASAS_BOMBA!$I$6*HORAS_CAPTACAO_DIA-E280)</f>
        <v>0</v>
      </c>
      <c r="G281" s="16" t="n">
        <f aca="false">INDEX(AUX_MATRIZES!$C$9:$BP$9,MIN(N_SEMANAS,MAX(1,$C281)))/DIAS_POR_SEMANA</f>
        <v>8592.10054298643</v>
      </c>
      <c r="H281" s="16" t="n">
        <f aca="false">MIN(CADASTRO_CASAS_BOMBA!$O$7,MAX(0,H280+CADASTRO_CASAS_BOMBA!$I$7*HORAS_CAPTACAO_DIA-G281))</f>
        <v>76648</v>
      </c>
      <c r="I281" s="16" t="n">
        <f aca="false">MAX(0,G281-CADASTRO_CASAS_BOMBA!$I$7*HORAS_CAPTACAO_DIA-H280)</f>
        <v>0</v>
      </c>
      <c r="J281" s="16" t="n">
        <f aca="false">INDEX(AUX_MATRIZES!$C$10:$BP$10,MIN(N_SEMANAS,MAX(1,$C281)))/DIAS_POR_SEMANA</f>
        <v>10380.9569747899</v>
      </c>
      <c r="K281" s="16" t="n">
        <f aca="false">MIN(CADASTRO_CASAS_BOMBA!$O$8,MAX(0,K280+CADASTRO_CASAS_BOMBA!$I$8*HORAS_CAPTACAO_DIA-J281))</f>
        <v>27377</v>
      </c>
      <c r="L281" s="16" t="n">
        <f aca="false">MAX(0,J281-CADASTRO_CASAS_BOMBA!$I$8*HORAS_CAPTACAO_DIA-K280)</f>
        <v>0</v>
      </c>
      <c r="M281" s="16" t="n">
        <f aca="false">INDEX(AUX_MATRIZES!$C$11:$BP$11,MIN(N_SEMANAS,MAX(1,$C281)))/DIAS_POR_SEMANA</f>
        <v>22159.9193203435</v>
      </c>
      <c r="N281" s="16" t="n">
        <f aca="false">MIN(CADASTRO_CASAS_BOMBA!$O$9,MAX(0,N280+CADASTRO_CASAS_BOMBA!$I$9*HORAS_CAPTACAO_DIA-M281))</f>
        <v>38417.0249145813</v>
      </c>
      <c r="O281" s="16" t="n">
        <f aca="false">MAX(0,M281-CADASTRO_CASAS_BOMBA!$I$9*HORAS_CAPTACAO_DIA-N280)</f>
        <v>0</v>
      </c>
      <c r="P281" s="16" t="n">
        <f aca="false">INDEX(AUX_MATRIZES!$C$12:$BP$12,MIN(N_SEMANAS,MAX(1,$C281)))/DIAS_POR_SEMANA</f>
        <v>17756.7993455632</v>
      </c>
      <c r="Q281" s="16" t="n">
        <f aca="false">MIN(CADASTRO_CASAS_BOMBA!$O$10,MAX(0,Q280+CADASTRO_CASAS_BOMBA!$I$10*HORAS_CAPTACAO_DIA-P281))</f>
        <v>667678.768802087</v>
      </c>
      <c r="R281" s="16" t="n">
        <f aca="false">MAX(0,P281-CADASTRO_CASAS_BOMBA!$I$10*HORAS_CAPTACAO_DIA-Q280)</f>
        <v>0</v>
      </c>
      <c r="S281" s="16" t="n">
        <f aca="false">INDEX(AUX_MATRIZES!$C$13:$BP$13,MIN(N_SEMANAS,MAX(1,$C281)))/DIAS_POR_SEMANA</f>
        <v>27525.0469947873</v>
      </c>
      <c r="T281" s="16" t="n">
        <f aca="false">MIN(CADASTRO_CASAS_BOMBA!$O$11,MAX(0,T280+CADASTRO_CASAS_BOMBA!$I$11*HORAS_CAPTACAO_DIA-S281))</f>
        <v>0</v>
      </c>
      <c r="U281" s="16" t="n">
        <f aca="false">MAX(0,S281-CADASTRO_CASAS_BOMBA!$I$11*HORAS_CAPTACAO_DIA-T280)</f>
        <v>6105.04699478731</v>
      </c>
      <c r="V281" s="16" t="n">
        <f aca="false">INDEX(AUX_MATRIZES!$C$14:$BP$14,MIN(N_SEMANAS,MAX(1,$C281)))/DIAS_POR_SEMANA</f>
        <v>50616.9861817804</v>
      </c>
      <c r="W281" s="16" t="n">
        <f aca="false">MIN(CADASTRO_CASAS_BOMBA!$O$12,MAX(0,W280+CADASTRO_CASAS_BOMBA!$I$12*HORAS_CAPTACAO_DIA-V281))</f>
        <v>0</v>
      </c>
      <c r="X281" s="16" t="n">
        <f aca="false">MAX(0,V281-CADASTRO_CASAS_BOMBA!$I$12*HORAS_CAPTACAO_DIA-W280)</f>
        <v>25236.9861817804</v>
      </c>
      <c r="Y281" s="16" t="n">
        <f aca="false">INDEX(AUX_MATRIZES!$C$15:$BP$15,MIN(N_SEMANAS,MAX(1,$C281)))/DIAS_POR_SEMANA</f>
        <v>0</v>
      </c>
      <c r="Z281" s="16" t="n">
        <f aca="false">MIN(CADASTRO_CASAS_BOMBA!$O$13,MAX(0,Z280+CADASTRO_CASAS_BOMBA!$I$13*HORAS_CAPTACAO_DIA-Y281))</f>
        <v>74903</v>
      </c>
      <c r="AA281" s="16" t="n">
        <f aca="false">MAX(0,Y281-CADASTRO_CASAS_BOMBA!$I$13*HORAS_CAPTACAO_DIA-Z280)</f>
        <v>0</v>
      </c>
    </row>
    <row r="282" customFormat="false" ht="15" hidden="false" customHeight="false" outlineLevel="0" collapsed="false">
      <c r="B282" s="17" t="n">
        <f aca="false">DATA_INICIO_SAFRA+275</f>
        <v>46540</v>
      </c>
      <c r="C282" s="16" t="n">
        <f aca="false">MIN(N_SEMANAS,MAX(1,INT(($B282-DATA_INICIO_SAFRA)/DIAS_POR_SEMANA)+1))</f>
        <v>40</v>
      </c>
      <c r="D282" s="16" t="n">
        <f aca="false">INDEX(AUX_MATRIZES!$C$8:$BP$8,MIN(N_SEMANAS,MAX(1,$C282)))/DIAS_POR_SEMANA</f>
        <v>5160.03579831933</v>
      </c>
      <c r="E282" s="16" t="n">
        <f aca="false">MIN(CADASTRO_CASAS_BOMBA!$O$6,MAX(0,E281+CADASTRO_CASAS_BOMBA!$I$6*HORAS_CAPTACAO_DIA-D282))</f>
        <v>2600</v>
      </c>
      <c r="F282" s="16" t="n">
        <f aca="false">MAX(0,D282-CADASTRO_CASAS_BOMBA!$I$6*HORAS_CAPTACAO_DIA-E281)</f>
        <v>0</v>
      </c>
      <c r="G282" s="16" t="n">
        <f aca="false">INDEX(AUX_MATRIZES!$C$9:$BP$9,MIN(N_SEMANAS,MAX(1,$C282)))/DIAS_POR_SEMANA</f>
        <v>8592.10054298643</v>
      </c>
      <c r="H282" s="16" t="n">
        <f aca="false">MIN(CADASTRO_CASAS_BOMBA!$O$7,MAX(0,H281+CADASTRO_CASAS_BOMBA!$I$7*HORAS_CAPTACAO_DIA-G282))</f>
        <v>76648</v>
      </c>
      <c r="I282" s="16" t="n">
        <f aca="false">MAX(0,G282-CADASTRO_CASAS_BOMBA!$I$7*HORAS_CAPTACAO_DIA-H281)</f>
        <v>0</v>
      </c>
      <c r="J282" s="16" t="n">
        <f aca="false">INDEX(AUX_MATRIZES!$C$10:$BP$10,MIN(N_SEMANAS,MAX(1,$C282)))/DIAS_POR_SEMANA</f>
        <v>10380.9569747899</v>
      </c>
      <c r="K282" s="16" t="n">
        <f aca="false">MIN(CADASTRO_CASAS_BOMBA!$O$8,MAX(0,K281+CADASTRO_CASAS_BOMBA!$I$8*HORAS_CAPTACAO_DIA-J282))</f>
        <v>27377</v>
      </c>
      <c r="L282" s="16" t="n">
        <f aca="false">MAX(0,J282-CADASTRO_CASAS_BOMBA!$I$8*HORAS_CAPTACAO_DIA-K281)</f>
        <v>0</v>
      </c>
      <c r="M282" s="16" t="n">
        <f aca="false">INDEX(AUX_MATRIZES!$C$11:$BP$11,MIN(N_SEMANAS,MAX(1,$C282)))/DIAS_POR_SEMANA</f>
        <v>22159.9193203435</v>
      </c>
      <c r="N282" s="16" t="n">
        <f aca="false">MIN(CADASTRO_CASAS_BOMBA!$O$9,MAX(0,N281+CADASTRO_CASAS_BOMBA!$I$9*HORAS_CAPTACAO_DIA-M282))</f>
        <v>37887.7055942378</v>
      </c>
      <c r="O282" s="16" t="n">
        <f aca="false">MAX(0,M282-CADASTRO_CASAS_BOMBA!$I$9*HORAS_CAPTACAO_DIA-N281)</f>
        <v>0</v>
      </c>
      <c r="P282" s="16" t="n">
        <f aca="false">INDEX(AUX_MATRIZES!$C$12:$BP$12,MIN(N_SEMANAS,MAX(1,$C282)))/DIAS_POR_SEMANA</f>
        <v>17756.7993455632</v>
      </c>
      <c r="Q282" s="16" t="n">
        <f aca="false">MIN(CADASTRO_CASAS_BOMBA!$O$10,MAX(0,Q281+CADASTRO_CASAS_BOMBA!$I$10*HORAS_CAPTACAO_DIA-P282))</f>
        <v>663004.369456524</v>
      </c>
      <c r="R282" s="16" t="n">
        <f aca="false">MAX(0,P282-CADASTRO_CASAS_BOMBA!$I$10*HORAS_CAPTACAO_DIA-Q281)</f>
        <v>0</v>
      </c>
      <c r="S282" s="16" t="n">
        <f aca="false">INDEX(AUX_MATRIZES!$C$13:$BP$13,MIN(N_SEMANAS,MAX(1,$C282)))/DIAS_POR_SEMANA</f>
        <v>27525.0469947873</v>
      </c>
      <c r="T282" s="16" t="n">
        <f aca="false">MIN(CADASTRO_CASAS_BOMBA!$O$11,MAX(0,T281+CADASTRO_CASAS_BOMBA!$I$11*HORAS_CAPTACAO_DIA-S282))</f>
        <v>0</v>
      </c>
      <c r="U282" s="16" t="n">
        <f aca="false">MAX(0,S282-CADASTRO_CASAS_BOMBA!$I$11*HORAS_CAPTACAO_DIA-T281)</f>
        <v>6105.04699478731</v>
      </c>
      <c r="V282" s="16" t="n">
        <f aca="false">INDEX(AUX_MATRIZES!$C$14:$BP$14,MIN(N_SEMANAS,MAX(1,$C282)))/DIAS_POR_SEMANA</f>
        <v>50616.9861817804</v>
      </c>
      <c r="W282" s="16" t="n">
        <f aca="false">MIN(CADASTRO_CASAS_BOMBA!$O$12,MAX(0,W281+CADASTRO_CASAS_BOMBA!$I$12*HORAS_CAPTACAO_DIA-V282))</f>
        <v>0</v>
      </c>
      <c r="X282" s="16" t="n">
        <f aca="false">MAX(0,V282-CADASTRO_CASAS_BOMBA!$I$12*HORAS_CAPTACAO_DIA-W281)</f>
        <v>25236.9861817804</v>
      </c>
      <c r="Y282" s="16" t="n">
        <f aca="false">INDEX(AUX_MATRIZES!$C$15:$BP$15,MIN(N_SEMANAS,MAX(1,$C282)))/DIAS_POR_SEMANA</f>
        <v>0</v>
      </c>
      <c r="Z282" s="16" t="n">
        <f aca="false">MIN(CADASTRO_CASAS_BOMBA!$O$13,MAX(0,Z281+CADASTRO_CASAS_BOMBA!$I$13*HORAS_CAPTACAO_DIA-Y282))</f>
        <v>74903</v>
      </c>
      <c r="AA282" s="16" t="n">
        <f aca="false">MAX(0,Y282-CADASTRO_CASAS_BOMBA!$I$13*HORAS_CAPTACAO_DIA-Z281)</f>
        <v>0</v>
      </c>
    </row>
    <row r="283" customFormat="false" ht="15" hidden="false" customHeight="false" outlineLevel="0" collapsed="false">
      <c r="B283" s="17" t="n">
        <f aca="false">DATA_INICIO_SAFRA+276</f>
        <v>46541</v>
      </c>
      <c r="C283" s="16" t="n">
        <f aca="false">MIN(N_SEMANAS,MAX(1,INT(($B283-DATA_INICIO_SAFRA)/DIAS_POR_SEMANA)+1))</f>
        <v>40</v>
      </c>
      <c r="D283" s="16" t="n">
        <f aca="false">INDEX(AUX_MATRIZES!$C$8:$BP$8,MIN(N_SEMANAS,MAX(1,$C283)))/DIAS_POR_SEMANA</f>
        <v>5160.03579831933</v>
      </c>
      <c r="E283" s="16" t="n">
        <f aca="false">MIN(CADASTRO_CASAS_BOMBA!$O$6,MAX(0,E282+CADASTRO_CASAS_BOMBA!$I$6*HORAS_CAPTACAO_DIA-D283))</f>
        <v>2600</v>
      </c>
      <c r="F283" s="16" t="n">
        <f aca="false">MAX(0,D283-CADASTRO_CASAS_BOMBA!$I$6*HORAS_CAPTACAO_DIA-E282)</f>
        <v>0</v>
      </c>
      <c r="G283" s="16" t="n">
        <f aca="false">INDEX(AUX_MATRIZES!$C$9:$BP$9,MIN(N_SEMANAS,MAX(1,$C283)))/DIAS_POR_SEMANA</f>
        <v>8592.10054298643</v>
      </c>
      <c r="H283" s="16" t="n">
        <f aca="false">MIN(CADASTRO_CASAS_BOMBA!$O$7,MAX(0,H282+CADASTRO_CASAS_BOMBA!$I$7*HORAS_CAPTACAO_DIA-G283))</f>
        <v>76648</v>
      </c>
      <c r="I283" s="16" t="n">
        <f aca="false">MAX(0,G283-CADASTRO_CASAS_BOMBA!$I$7*HORAS_CAPTACAO_DIA-H282)</f>
        <v>0</v>
      </c>
      <c r="J283" s="16" t="n">
        <f aca="false">INDEX(AUX_MATRIZES!$C$10:$BP$10,MIN(N_SEMANAS,MAX(1,$C283)))/DIAS_POR_SEMANA</f>
        <v>10380.9569747899</v>
      </c>
      <c r="K283" s="16" t="n">
        <f aca="false">MIN(CADASTRO_CASAS_BOMBA!$O$8,MAX(0,K282+CADASTRO_CASAS_BOMBA!$I$8*HORAS_CAPTACAO_DIA-J283))</f>
        <v>27377</v>
      </c>
      <c r="L283" s="16" t="n">
        <f aca="false">MAX(0,J283-CADASTRO_CASAS_BOMBA!$I$8*HORAS_CAPTACAO_DIA-K282)</f>
        <v>0</v>
      </c>
      <c r="M283" s="16" t="n">
        <f aca="false">INDEX(AUX_MATRIZES!$C$11:$BP$11,MIN(N_SEMANAS,MAX(1,$C283)))/DIAS_POR_SEMANA</f>
        <v>22159.9193203435</v>
      </c>
      <c r="N283" s="16" t="n">
        <f aca="false">MIN(CADASTRO_CASAS_BOMBA!$O$9,MAX(0,N282+CADASTRO_CASAS_BOMBA!$I$9*HORAS_CAPTACAO_DIA-M283))</f>
        <v>37358.3862738943</v>
      </c>
      <c r="O283" s="16" t="n">
        <f aca="false">MAX(0,M283-CADASTRO_CASAS_BOMBA!$I$9*HORAS_CAPTACAO_DIA-N282)</f>
        <v>0</v>
      </c>
      <c r="P283" s="16" t="n">
        <f aca="false">INDEX(AUX_MATRIZES!$C$12:$BP$12,MIN(N_SEMANAS,MAX(1,$C283)))/DIAS_POR_SEMANA</f>
        <v>17756.7993455632</v>
      </c>
      <c r="Q283" s="16" t="n">
        <f aca="false">MIN(CADASTRO_CASAS_BOMBA!$O$10,MAX(0,Q282+CADASTRO_CASAS_BOMBA!$I$10*HORAS_CAPTACAO_DIA-P283))</f>
        <v>658329.970110961</v>
      </c>
      <c r="R283" s="16" t="n">
        <f aca="false">MAX(0,P283-CADASTRO_CASAS_BOMBA!$I$10*HORAS_CAPTACAO_DIA-Q282)</f>
        <v>0</v>
      </c>
      <c r="S283" s="16" t="n">
        <f aca="false">INDEX(AUX_MATRIZES!$C$13:$BP$13,MIN(N_SEMANAS,MAX(1,$C283)))/DIAS_POR_SEMANA</f>
        <v>27525.0469947873</v>
      </c>
      <c r="T283" s="16" t="n">
        <f aca="false">MIN(CADASTRO_CASAS_BOMBA!$O$11,MAX(0,T282+CADASTRO_CASAS_BOMBA!$I$11*HORAS_CAPTACAO_DIA-S283))</f>
        <v>0</v>
      </c>
      <c r="U283" s="16" t="n">
        <f aca="false">MAX(0,S283-CADASTRO_CASAS_BOMBA!$I$11*HORAS_CAPTACAO_DIA-T282)</f>
        <v>6105.04699478731</v>
      </c>
      <c r="V283" s="16" t="n">
        <f aca="false">INDEX(AUX_MATRIZES!$C$14:$BP$14,MIN(N_SEMANAS,MAX(1,$C283)))/DIAS_POR_SEMANA</f>
        <v>50616.9861817804</v>
      </c>
      <c r="W283" s="16" t="n">
        <f aca="false">MIN(CADASTRO_CASAS_BOMBA!$O$12,MAX(0,W282+CADASTRO_CASAS_BOMBA!$I$12*HORAS_CAPTACAO_DIA-V283))</f>
        <v>0</v>
      </c>
      <c r="X283" s="16" t="n">
        <f aca="false">MAX(0,V283-CADASTRO_CASAS_BOMBA!$I$12*HORAS_CAPTACAO_DIA-W282)</f>
        <v>25236.9861817804</v>
      </c>
      <c r="Y283" s="16" t="n">
        <f aca="false">INDEX(AUX_MATRIZES!$C$15:$BP$15,MIN(N_SEMANAS,MAX(1,$C283)))/DIAS_POR_SEMANA</f>
        <v>0</v>
      </c>
      <c r="Z283" s="16" t="n">
        <f aca="false">MIN(CADASTRO_CASAS_BOMBA!$O$13,MAX(0,Z282+CADASTRO_CASAS_BOMBA!$I$13*HORAS_CAPTACAO_DIA-Y283))</f>
        <v>74903</v>
      </c>
      <c r="AA283" s="16" t="n">
        <f aca="false">MAX(0,Y283-CADASTRO_CASAS_BOMBA!$I$13*HORAS_CAPTACAO_DIA-Z282)</f>
        <v>0</v>
      </c>
    </row>
    <row r="284" customFormat="false" ht="15" hidden="false" customHeight="false" outlineLevel="0" collapsed="false">
      <c r="B284" s="17" t="n">
        <f aca="false">DATA_INICIO_SAFRA+277</f>
        <v>46542</v>
      </c>
      <c r="C284" s="16" t="n">
        <f aca="false">MIN(N_SEMANAS,MAX(1,INT(($B284-DATA_INICIO_SAFRA)/DIAS_POR_SEMANA)+1))</f>
        <v>40</v>
      </c>
      <c r="D284" s="16" t="n">
        <f aca="false">INDEX(AUX_MATRIZES!$C$8:$BP$8,MIN(N_SEMANAS,MAX(1,$C284)))/DIAS_POR_SEMANA</f>
        <v>5160.03579831933</v>
      </c>
      <c r="E284" s="16" t="n">
        <f aca="false">MIN(CADASTRO_CASAS_BOMBA!$O$6,MAX(0,E283+CADASTRO_CASAS_BOMBA!$I$6*HORAS_CAPTACAO_DIA-D284))</f>
        <v>2600</v>
      </c>
      <c r="F284" s="16" t="n">
        <f aca="false">MAX(0,D284-CADASTRO_CASAS_BOMBA!$I$6*HORAS_CAPTACAO_DIA-E283)</f>
        <v>0</v>
      </c>
      <c r="G284" s="16" t="n">
        <f aca="false">INDEX(AUX_MATRIZES!$C$9:$BP$9,MIN(N_SEMANAS,MAX(1,$C284)))/DIAS_POR_SEMANA</f>
        <v>8592.10054298643</v>
      </c>
      <c r="H284" s="16" t="n">
        <f aca="false">MIN(CADASTRO_CASAS_BOMBA!$O$7,MAX(0,H283+CADASTRO_CASAS_BOMBA!$I$7*HORAS_CAPTACAO_DIA-G284))</f>
        <v>76648</v>
      </c>
      <c r="I284" s="16" t="n">
        <f aca="false">MAX(0,G284-CADASTRO_CASAS_BOMBA!$I$7*HORAS_CAPTACAO_DIA-H283)</f>
        <v>0</v>
      </c>
      <c r="J284" s="16" t="n">
        <f aca="false">INDEX(AUX_MATRIZES!$C$10:$BP$10,MIN(N_SEMANAS,MAX(1,$C284)))/DIAS_POR_SEMANA</f>
        <v>10380.9569747899</v>
      </c>
      <c r="K284" s="16" t="n">
        <f aca="false">MIN(CADASTRO_CASAS_BOMBA!$O$8,MAX(0,K283+CADASTRO_CASAS_BOMBA!$I$8*HORAS_CAPTACAO_DIA-J284))</f>
        <v>27377</v>
      </c>
      <c r="L284" s="16" t="n">
        <f aca="false">MAX(0,J284-CADASTRO_CASAS_BOMBA!$I$8*HORAS_CAPTACAO_DIA-K283)</f>
        <v>0</v>
      </c>
      <c r="M284" s="16" t="n">
        <f aca="false">INDEX(AUX_MATRIZES!$C$11:$BP$11,MIN(N_SEMANAS,MAX(1,$C284)))/DIAS_POR_SEMANA</f>
        <v>22159.9193203435</v>
      </c>
      <c r="N284" s="16" t="n">
        <f aca="false">MIN(CADASTRO_CASAS_BOMBA!$O$9,MAX(0,N283+CADASTRO_CASAS_BOMBA!$I$9*HORAS_CAPTACAO_DIA-M284))</f>
        <v>36829.0669535508</v>
      </c>
      <c r="O284" s="16" t="n">
        <f aca="false">MAX(0,M284-CADASTRO_CASAS_BOMBA!$I$9*HORAS_CAPTACAO_DIA-N283)</f>
        <v>0</v>
      </c>
      <c r="P284" s="16" t="n">
        <f aca="false">INDEX(AUX_MATRIZES!$C$12:$BP$12,MIN(N_SEMANAS,MAX(1,$C284)))/DIAS_POR_SEMANA</f>
        <v>17756.7993455632</v>
      </c>
      <c r="Q284" s="16" t="n">
        <f aca="false">MIN(CADASTRO_CASAS_BOMBA!$O$10,MAX(0,Q283+CADASTRO_CASAS_BOMBA!$I$10*HORAS_CAPTACAO_DIA-P284))</f>
        <v>653655.570765398</v>
      </c>
      <c r="R284" s="16" t="n">
        <f aca="false">MAX(0,P284-CADASTRO_CASAS_BOMBA!$I$10*HORAS_CAPTACAO_DIA-Q283)</f>
        <v>0</v>
      </c>
      <c r="S284" s="16" t="n">
        <f aca="false">INDEX(AUX_MATRIZES!$C$13:$BP$13,MIN(N_SEMANAS,MAX(1,$C284)))/DIAS_POR_SEMANA</f>
        <v>27525.0469947873</v>
      </c>
      <c r="T284" s="16" t="n">
        <f aca="false">MIN(CADASTRO_CASAS_BOMBA!$O$11,MAX(0,T283+CADASTRO_CASAS_BOMBA!$I$11*HORAS_CAPTACAO_DIA-S284))</f>
        <v>0</v>
      </c>
      <c r="U284" s="16" t="n">
        <f aca="false">MAX(0,S284-CADASTRO_CASAS_BOMBA!$I$11*HORAS_CAPTACAO_DIA-T283)</f>
        <v>6105.04699478731</v>
      </c>
      <c r="V284" s="16" t="n">
        <f aca="false">INDEX(AUX_MATRIZES!$C$14:$BP$14,MIN(N_SEMANAS,MAX(1,$C284)))/DIAS_POR_SEMANA</f>
        <v>50616.9861817804</v>
      </c>
      <c r="W284" s="16" t="n">
        <f aca="false">MIN(CADASTRO_CASAS_BOMBA!$O$12,MAX(0,W283+CADASTRO_CASAS_BOMBA!$I$12*HORAS_CAPTACAO_DIA-V284))</f>
        <v>0</v>
      </c>
      <c r="X284" s="16" t="n">
        <f aca="false">MAX(0,V284-CADASTRO_CASAS_BOMBA!$I$12*HORAS_CAPTACAO_DIA-W283)</f>
        <v>25236.9861817804</v>
      </c>
      <c r="Y284" s="16" t="n">
        <f aca="false">INDEX(AUX_MATRIZES!$C$15:$BP$15,MIN(N_SEMANAS,MAX(1,$C284)))/DIAS_POR_SEMANA</f>
        <v>0</v>
      </c>
      <c r="Z284" s="16" t="n">
        <f aca="false">MIN(CADASTRO_CASAS_BOMBA!$O$13,MAX(0,Z283+CADASTRO_CASAS_BOMBA!$I$13*HORAS_CAPTACAO_DIA-Y284))</f>
        <v>74903</v>
      </c>
      <c r="AA284" s="16" t="n">
        <f aca="false">MAX(0,Y284-CADASTRO_CASAS_BOMBA!$I$13*HORAS_CAPTACAO_DIA-Z283)</f>
        <v>0</v>
      </c>
    </row>
    <row r="285" customFormat="false" ht="15" hidden="false" customHeight="false" outlineLevel="0" collapsed="false">
      <c r="B285" s="17" t="n">
        <f aca="false">DATA_INICIO_SAFRA+278</f>
        <v>46543</v>
      </c>
      <c r="C285" s="16" t="n">
        <f aca="false">MIN(N_SEMANAS,MAX(1,INT(($B285-DATA_INICIO_SAFRA)/DIAS_POR_SEMANA)+1))</f>
        <v>40</v>
      </c>
      <c r="D285" s="16" t="n">
        <f aca="false">INDEX(AUX_MATRIZES!$C$8:$BP$8,MIN(N_SEMANAS,MAX(1,$C285)))/DIAS_POR_SEMANA</f>
        <v>5160.03579831933</v>
      </c>
      <c r="E285" s="16" t="n">
        <f aca="false">MIN(CADASTRO_CASAS_BOMBA!$O$6,MAX(0,E284+CADASTRO_CASAS_BOMBA!$I$6*HORAS_CAPTACAO_DIA-D285))</f>
        <v>2600</v>
      </c>
      <c r="F285" s="16" t="n">
        <f aca="false">MAX(0,D285-CADASTRO_CASAS_BOMBA!$I$6*HORAS_CAPTACAO_DIA-E284)</f>
        <v>0</v>
      </c>
      <c r="G285" s="16" t="n">
        <f aca="false">INDEX(AUX_MATRIZES!$C$9:$BP$9,MIN(N_SEMANAS,MAX(1,$C285)))/DIAS_POR_SEMANA</f>
        <v>8592.10054298643</v>
      </c>
      <c r="H285" s="16" t="n">
        <f aca="false">MIN(CADASTRO_CASAS_BOMBA!$O$7,MAX(0,H284+CADASTRO_CASAS_BOMBA!$I$7*HORAS_CAPTACAO_DIA-G285))</f>
        <v>76648</v>
      </c>
      <c r="I285" s="16" t="n">
        <f aca="false">MAX(0,G285-CADASTRO_CASAS_BOMBA!$I$7*HORAS_CAPTACAO_DIA-H284)</f>
        <v>0</v>
      </c>
      <c r="J285" s="16" t="n">
        <f aca="false">INDEX(AUX_MATRIZES!$C$10:$BP$10,MIN(N_SEMANAS,MAX(1,$C285)))/DIAS_POR_SEMANA</f>
        <v>10380.9569747899</v>
      </c>
      <c r="K285" s="16" t="n">
        <f aca="false">MIN(CADASTRO_CASAS_BOMBA!$O$8,MAX(0,K284+CADASTRO_CASAS_BOMBA!$I$8*HORAS_CAPTACAO_DIA-J285))</f>
        <v>27377</v>
      </c>
      <c r="L285" s="16" t="n">
        <f aca="false">MAX(0,J285-CADASTRO_CASAS_BOMBA!$I$8*HORAS_CAPTACAO_DIA-K284)</f>
        <v>0</v>
      </c>
      <c r="M285" s="16" t="n">
        <f aca="false">INDEX(AUX_MATRIZES!$C$11:$BP$11,MIN(N_SEMANAS,MAX(1,$C285)))/DIAS_POR_SEMANA</f>
        <v>22159.9193203435</v>
      </c>
      <c r="N285" s="16" t="n">
        <f aca="false">MIN(CADASTRO_CASAS_BOMBA!$O$9,MAX(0,N284+CADASTRO_CASAS_BOMBA!$I$9*HORAS_CAPTACAO_DIA-M285))</f>
        <v>36299.7476332073</v>
      </c>
      <c r="O285" s="16" t="n">
        <f aca="false">MAX(0,M285-CADASTRO_CASAS_BOMBA!$I$9*HORAS_CAPTACAO_DIA-N284)</f>
        <v>0</v>
      </c>
      <c r="P285" s="16" t="n">
        <f aca="false">INDEX(AUX_MATRIZES!$C$12:$BP$12,MIN(N_SEMANAS,MAX(1,$C285)))/DIAS_POR_SEMANA</f>
        <v>17756.7993455632</v>
      </c>
      <c r="Q285" s="16" t="n">
        <f aca="false">MIN(CADASTRO_CASAS_BOMBA!$O$10,MAX(0,Q284+CADASTRO_CASAS_BOMBA!$I$10*HORAS_CAPTACAO_DIA-P285))</f>
        <v>648981.171419835</v>
      </c>
      <c r="R285" s="16" t="n">
        <f aca="false">MAX(0,P285-CADASTRO_CASAS_BOMBA!$I$10*HORAS_CAPTACAO_DIA-Q284)</f>
        <v>0</v>
      </c>
      <c r="S285" s="16" t="n">
        <f aca="false">INDEX(AUX_MATRIZES!$C$13:$BP$13,MIN(N_SEMANAS,MAX(1,$C285)))/DIAS_POR_SEMANA</f>
        <v>27525.0469947873</v>
      </c>
      <c r="T285" s="16" t="n">
        <f aca="false">MIN(CADASTRO_CASAS_BOMBA!$O$11,MAX(0,T284+CADASTRO_CASAS_BOMBA!$I$11*HORAS_CAPTACAO_DIA-S285))</f>
        <v>0</v>
      </c>
      <c r="U285" s="16" t="n">
        <f aca="false">MAX(0,S285-CADASTRO_CASAS_BOMBA!$I$11*HORAS_CAPTACAO_DIA-T284)</f>
        <v>6105.04699478731</v>
      </c>
      <c r="V285" s="16" t="n">
        <f aca="false">INDEX(AUX_MATRIZES!$C$14:$BP$14,MIN(N_SEMANAS,MAX(1,$C285)))/DIAS_POR_SEMANA</f>
        <v>50616.9861817804</v>
      </c>
      <c r="W285" s="16" t="n">
        <f aca="false">MIN(CADASTRO_CASAS_BOMBA!$O$12,MAX(0,W284+CADASTRO_CASAS_BOMBA!$I$12*HORAS_CAPTACAO_DIA-V285))</f>
        <v>0</v>
      </c>
      <c r="X285" s="16" t="n">
        <f aca="false">MAX(0,V285-CADASTRO_CASAS_BOMBA!$I$12*HORAS_CAPTACAO_DIA-W284)</f>
        <v>25236.9861817804</v>
      </c>
      <c r="Y285" s="16" t="n">
        <f aca="false">INDEX(AUX_MATRIZES!$C$15:$BP$15,MIN(N_SEMANAS,MAX(1,$C285)))/DIAS_POR_SEMANA</f>
        <v>0</v>
      </c>
      <c r="Z285" s="16" t="n">
        <f aca="false">MIN(CADASTRO_CASAS_BOMBA!$O$13,MAX(0,Z284+CADASTRO_CASAS_BOMBA!$I$13*HORAS_CAPTACAO_DIA-Y285))</f>
        <v>74903</v>
      </c>
      <c r="AA285" s="16" t="n">
        <f aca="false">MAX(0,Y285-CADASTRO_CASAS_BOMBA!$I$13*HORAS_CAPTACAO_DIA-Z284)</f>
        <v>0</v>
      </c>
    </row>
    <row r="286" customFormat="false" ht="15" hidden="false" customHeight="false" outlineLevel="0" collapsed="false">
      <c r="B286" s="17" t="n">
        <f aca="false">DATA_INICIO_SAFRA+279</f>
        <v>46544</v>
      </c>
      <c r="C286" s="16" t="n">
        <f aca="false">MIN(N_SEMANAS,MAX(1,INT(($B286-DATA_INICIO_SAFRA)/DIAS_POR_SEMANA)+1))</f>
        <v>40</v>
      </c>
      <c r="D286" s="16" t="n">
        <f aca="false">INDEX(AUX_MATRIZES!$C$8:$BP$8,MIN(N_SEMANAS,MAX(1,$C286)))/DIAS_POR_SEMANA</f>
        <v>5160.03579831933</v>
      </c>
      <c r="E286" s="16" t="n">
        <f aca="false">MIN(CADASTRO_CASAS_BOMBA!$O$6,MAX(0,E285+CADASTRO_CASAS_BOMBA!$I$6*HORAS_CAPTACAO_DIA-D286))</f>
        <v>2600</v>
      </c>
      <c r="F286" s="16" t="n">
        <f aca="false">MAX(0,D286-CADASTRO_CASAS_BOMBA!$I$6*HORAS_CAPTACAO_DIA-E285)</f>
        <v>0</v>
      </c>
      <c r="G286" s="16" t="n">
        <f aca="false">INDEX(AUX_MATRIZES!$C$9:$BP$9,MIN(N_SEMANAS,MAX(1,$C286)))/DIAS_POR_SEMANA</f>
        <v>8592.10054298643</v>
      </c>
      <c r="H286" s="16" t="n">
        <f aca="false">MIN(CADASTRO_CASAS_BOMBA!$O$7,MAX(0,H285+CADASTRO_CASAS_BOMBA!$I$7*HORAS_CAPTACAO_DIA-G286))</f>
        <v>76648</v>
      </c>
      <c r="I286" s="16" t="n">
        <f aca="false">MAX(0,G286-CADASTRO_CASAS_BOMBA!$I$7*HORAS_CAPTACAO_DIA-H285)</f>
        <v>0</v>
      </c>
      <c r="J286" s="16" t="n">
        <f aca="false">INDEX(AUX_MATRIZES!$C$10:$BP$10,MIN(N_SEMANAS,MAX(1,$C286)))/DIAS_POR_SEMANA</f>
        <v>10380.9569747899</v>
      </c>
      <c r="K286" s="16" t="n">
        <f aca="false">MIN(CADASTRO_CASAS_BOMBA!$O$8,MAX(0,K285+CADASTRO_CASAS_BOMBA!$I$8*HORAS_CAPTACAO_DIA-J286))</f>
        <v>27377</v>
      </c>
      <c r="L286" s="16" t="n">
        <f aca="false">MAX(0,J286-CADASTRO_CASAS_BOMBA!$I$8*HORAS_CAPTACAO_DIA-K285)</f>
        <v>0</v>
      </c>
      <c r="M286" s="16" t="n">
        <f aca="false">INDEX(AUX_MATRIZES!$C$11:$BP$11,MIN(N_SEMANAS,MAX(1,$C286)))/DIAS_POR_SEMANA</f>
        <v>22159.9193203435</v>
      </c>
      <c r="N286" s="16" t="n">
        <f aca="false">MIN(CADASTRO_CASAS_BOMBA!$O$9,MAX(0,N285+CADASTRO_CASAS_BOMBA!$I$9*HORAS_CAPTACAO_DIA-M286))</f>
        <v>35770.4283128637</v>
      </c>
      <c r="O286" s="16" t="n">
        <f aca="false">MAX(0,M286-CADASTRO_CASAS_BOMBA!$I$9*HORAS_CAPTACAO_DIA-N285)</f>
        <v>0</v>
      </c>
      <c r="P286" s="16" t="n">
        <f aca="false">INDEX(AUX_MATRIZES!$C$12:$BP$12,MIN(N_SEMANAS,MAX(1,$C286)))/DIAS_POR_SEMANA</f>
        <v>17756.7993455632</v>
      </c>
      <c r="Q286" s="16" t="n">
        <f aca="false">MIN(CADASTRO_CASAS_BOMBA!$O$10,MAX(0,Q285+CADASTRO_CASAS_BOMBA!$I$10*HORAS_CAPTACAO_DIA-P286))</f>
        <v>644306.772074272</v>
      </c>
      <c r="R286" s="16" t="n">
        <f aca="false">MAX(0,P286-CADASTRO_CASAS_BOMBA!$I$10*HORAS_CAPTACAO_DIA-Q285)</f>
        <v>0</v>
      </c>
      <c r="S286" s="16" t="n">
        <f aca="false">INDEX(AUX_MATRIZES!$C$13:$BP$13,MIN(N_SEMANAS,MAX(1,$C286)))/DIAS_POR_SEMANA</f>
        <v>27525.0469947873</v>
      </c>
      <c r="T286" s="16" t="n">
        <f aca="false">MIN(CADASTRO_CASAS_BOMBA!$O$11,MAX(0,T285+CADASTRO_CASAS_BOMBA!$I$11*HORAS_CAPTACAO_DIA-S286))</f>
        <v>0</v>
      </c>
      <c r="U286" s="16" t="n">
        <f aca="false">MAX(0,S286-CADASTRO_CASAS_BOMBA!$I$11*HORAS_CAPTACAO_DIA-T285)</f>
        <v>6105.04699478731</v>
      </c>
      <c r="V286" s="16" t="n">
        <f aca="false">INDEX(AUX_MATRIZES!$C$14:$BP$14,MIN(N_SEMANAS,MAX(1,$C286)))/DIAS_POR_SEMANA</f>
        <v>50616.9861817804</v>
      </c>
      <c r="W286" s="16" t="n">
        <f aca="false">MIN(CADASTRO_CASAS_BOMBA!$O$12,MAX(0,W285+CADASTRO_CASAS_BOMBA!$I$12*HORAS_CAPTACAO_DIA-V286))</f>
        <v>0</v>
      </c>
      <c r="X286" s="16" t="n">
        <f aca="false">MAX(0,V286-CADASTRO_CASAS_BOMBA!$I$12*HORAS_CAPTACAO_DIA-W285)</f>
        <v>25236.9861817804</v>
      </c>
      <c r="Y286" s="16" t="n">
        <f aca="false">INDEX(AUX_MATRIZES!$C$15:$BP$15,MIN(N_SEMANAS,MAX(1,$C286)))/DIAS_POR_SEMANA</f>
        <v>0</v>
      </c>
      <c r="Z286" s="16" t="n">
        <f aca="false">MIN(CADASTRO_CASAS_BOMBA!$O$13,MAX(0,Z285+CADASTRO_CASAS_BOMBA!$I$13*HORAS_CAPTACAO_DIA-Y286))</f>
        <v>74903</v>
      </c>
      <c r="AA286" s="16" t="n">
        <f aca="false">MAX(0,Y286-CADASTRO_CASAS_BOMBA!$I$13*HORAS_CAPTACAO_DIA-Z285)</f>
        <v>0</v>
      </c>
    </row>
    <row r="287" customFormat="false" ht="15" hidden="false" customHeight="false" outlineLevel="0" collapsed="false">
      <c r="B287" s="17" t="n">
        <f aca="false">DATA_INICIO_SAFRA+280</f>
        <v>46545</v>
      </c>
      <c r="C287" s="16" t="n">
        <f aca="false">MIN(N_SEMANAS,MAX(1,INT(($B287-DATA_INICIO_SAFRA)/DIAS_POR_SEMANA)+1))</f>
        <v>41</v>
      </c>
      <c r="D287" s="16" t="n">
        <f aca="false">INDEX(AUX_MATRIZES!$C$8:$BP$8,MIN(N_SEMANAS,MAX(1,$C287)))/DIAS_POR_SEMANA</f>
        <v>5163.00988235294</v>
      </c>
      <c r="E287" s="16" t="n">
        <f aca="false">MIN(CADASTRO_CASAS_BOMBA!$O$6,MAX(0,E286+CADASTRO_CASAS_BOMBA!$I$6*HORAS_CAPTACAO_DIA-D287))</f>
        <v>2600</v>
      </c>
      <c r="F287" s="16" t="n">
        <f aca="false">MAX(0,D287-CADASTRO_CASAS_BOMBA!$I$6*HORAS_CAPTACAO_DIA-E286)</f>
        <v>0</v>
      </c>
      <c r="G287" s="16" t="n">
        <f aca="false">INDEX(AUX_MATRIZES!$C$9:$BP$9,MIN(N_SEMANAS,MAX(1,$C287)))/DIAS_POR_SEMANA</f>
        <v>8279.90177978884</v>
      </c>
      <c r="H287" s="16" t="n">
        <f aca="false">MIN(CADASTRO_CASAS_BOMBA!$O$7,MAX(0,H286+CADASTRO_CASAS_BOMBA!$I$7*HORAS_CAPTACAO_DIA-G287))</f>
        <v>76648</v>
      </c>
      <c r="I287" s="16" t="n">
        <f aca="false">MAX(0,G287-CADASTRO_CASAS_BOMBA!$I$7*HORAS_CAPTACAO_DIA-H286)</f>
        <v>0</v>
      </c>
      <c r="J287" s="16" t="n">
        <f aca="false">INDEX(AUX_MATRIZES!$C$10:$BP$10,MIN(N_SEMANAS,MAX(1,$C287)))/DIAS_POR_SEMANA</f>
        <v>10386.9402352941</v>
      </c>
      <c r="K287" s="16" t="n">
        <f aca="false">MIN(CADASTRO_CASAS_BOMBA!$O$8,MAX(0,K286+CADASTRO_CASAS_BOMBA!$I$8*HORAS_CAPTACAO_DIA-J287))</f>
        <v>27377</v>
      </c>
      <c r="L287" s="16" t="n">
        <f aca="false">MAX(0,J287-CADASTRO_CASAS_BOMBA!$I$8*HORAS_CAPTACAO_DIA-K286)</f>
        <v>0</v>
      </c>
      <c r="M287" s="16" t="n">
        <f aca="false">INDEX(AUX_MATRIZES!$C$11:$BP$11,MIN(N_SEMANAS,MAX(1,$C287)))/DIAS_POR_SEMANA</f>
        <v>21128.1957681534</v>
      </c>
      <c r="N287" s="16" t="n">
        <f aca="false">MIN(CADASTRO_CASAS_BOMBA!$O$9,MAX(0,N286+CADASTRO_CASAS_BOMBA!$I$9*HORAS_CAPTACAO_DIA-M287))</f>
        <v>36272.8325447103</v>
      </c>
      <c r="O287" s="16" t="n">
        <f aca="false">MAX(0,M287-CADASTRO_CASAS_BOMBA!$I$9*HORAS_CAPTACAO_DIA-N286)</f>
        <v>0</v>
      </c>
      <c r="P287" s="16" t="n">
        <f aca="false">INDEX(AUX_MATRIZES!$C$12:$BP$12,MIN(N_SEMANAS,MAX(1,$C287)))/DIAS_POR_SEMANA</f>
        <v>18267.3200312061</v>
      </c>
      <c r="Q287" s="16" t="n">
        <f aca="false">MIN(CADASTRO_CASAS_BOMBA!$O$10,MAX(0,Q286+CADASTRO_CASAS_BOMBA!$I$10*HORAS_CAPTACAO_DIA-P287))</f>
        <v>639121.852043066</v>
      </c>
      <c r="R287" s="16" t="n">
        <f aca="false">MAX(0,P287-CADASTRO_CASAS_BOMBA!$I$10*HORAS_CAPTACAO_DIA-Q286)</f>
        <v>0</v>
      </c>
      <c r="S287" s="16" t="n">
        <f aca="false">INDEX(AUX_MATRIZES!$C$13:$BP$13,MIN(N_SEMANAS,MAX(1,$C287)))/DIAS_POR_SEMANA</f>
        <v>26288.315970644</v>
      </c>
      <c r="T287" s="16" t="n">
        <f aca="false">MIN(CADASTRO_CASAS_BOMBA!$O$11,MAX(0,T286+CADASTRO_CASAS_BOMBA!$I$11*HORAS_CAPTACAO_DIA-S287))</f>
        <v>0</v>
      </c>
      <c r="U287" s="16" t="n">
        <f aca="false">MAX(0,S287-CADASTRO_CASAS_BOMBA!$I$11*HORAS_CAPTACAO_DIA-T286)</f>
        <v>4868.31597064396</v>
      </c>
      <c r="V287" s="16" t="n">
        <f aca="false">INDEX(AUX_MATRIZES!$C$14:$BP$14,MIN(N_SEMANAS,MAX(1,$C287)))/DIAS_POR_SEMANA</f>
        <v>49751.7703316096</v>
      </c>
      <c r="W287" s="16" t="n">
        <f aca="false">MIN(CADASTRO_CASAS_BOMBA!$O$12,MAX(0,W286+CADASTRO_CASAS_BOMBA!$I$12*HORAS_CAPTACAO_DIA-V287))</f>
        <v>0</v>
      </c>
      <c r="X287" s="16" t="n">
        <f aca="false">MAX(0,V287-CADASTRO_CASAS_BOMBA!$I$12*HORAS_CAPTACAO_DIA-W286)</f>
        <v>24371.7703316096</v>
      </c>
      <c r="Y287" s="16" t="n">
        <f aca="false">INDEX(AUX_MATRIZES!$C$15:$BP$15,MIN(N_SEMANAS,MAX(1,$C287)))/DIAS_POR_SEMANA</f>
        <v>0</v>
      </c>
      <c r="Z287" s="16" t="n">
        <f aca="false">MIN(CADASTRO_CASAS_BOMBA!$O$13,MAX(0,Z286+CADASTRO_CASAS_BOMBA!$I$13*HORAS_CAPTACAO_DIA-Y287))</f>
        <v>74903</v>
      </c>
      <c r="AA287" s="16" t="n">
        <f aca="false">MAX(0,Y287-CADASTRO_CASAS_BOMBA!$I$13*HORAS_CAPTACAO_DIA-Z286)</f>
        <v>0</v>
      </c>
    </row>
    <row r="288" customFormat="false" ht="15" hidden="false" customHeight="false" outlineLevel="0" collapsed="false">
      <c r="B288" s="17" t="n">
        <f aca="false">DATA_INICIO_SAFRA+281</f>
        <v>46546</v>
      </c>
      <c r="C288" s="16" t="n">
        <f aca="false">MIN(N_SEMANAS,MAX(1,INT(($B288-DATA_INICIO_SAFRA)/DIAS_POR_SEMANA)+1))</f>
        <v>41</v>
      </c>
      <c r="D288" s="16" t="n">
        <f aca="false">INDEX(AUX_MATRIZES!$C$8:$BP$8,MIN(N_SEMANAS,MAX(1,$C288)))/DIAS_POR_SEMANA</f>
        <v>5163.00988235294</v>
      </c>
      <c r="E288" s="16" t="n">
        <f aca="false">MIN(CADASTRO_CASAS_BOMBA!$O$6,MAX(0,E287+CADASTRO_CASAS_BOMBA!$I$6*HORAS_CAPTACAO_DIA-D288))</f>
        <v>2600</v>
      </c>
      <c r="F288" s="16" t="n">
        <f aca="false">MAX(0,D288-CADASTRO_CASAS_BOMBA!$I$6*HORAS_CAPTACAO_DIA-E287)</f>
        <v>0</v>
      </c>
      <c r="G288" s="16" t="n">
        <f aca="false">INDEX(AUX_MATRIZES!$C$9:$BP$9,MIN(N_SEMANAS,MAX(1,$C288)))/DIAS_POR_SEMANA</f>
        <v>8279.90177978884</v>
      </c>
      <c r="H288" s="16" t="n">
        <f aca="false">MIN(CADASTRO_CASAS_BOMBA!$O$7,MAX(0,H287+CADASTRO_CASAS_BOMBA!$I$7*HORAS_CAPTACAO_DIA-G288))</f>
        <v>76648</v>
      </c>
      <c r="I288" s="16" t="n">
        <f aca="false">MAX(0,G288-CADASTRO_CASAS_BOMBA!$I$7*HORAS_CAPTACAO_DIA-H287)</f>
        <v>0</v>
      </c>
      <c r="J288" s="16" t="n">
        <f aca="false">INDEX(AUX_MATRIZES!$C$10:$BP$10,MIN(N_SEMANAS,MAX(1,$C288)))/DIAS_POR_SEMANA</f>
        <v>10386.9402352941</v>
      </c>
      <c r="K288" s="16" t="n">
        <f aca="false">MIN(CADASTRO_CASAS_BOMBA!$O$8,MAX(0,K287+CADASTRO_CASAS_BOMBA!$I$8*HORAS_CAPTACAO_DIA-J288))</f>
        <v>27377</v>
      </c>
      <c r="L288" s="16" t="n">
        <f aca="false">MAX(0,J288-CADASTRO_CASAS_BOMBA!$I$8*HORAS_CAPTACAO_DIA-K287)</f>
        <v>0</v>
      </c>
      <c r="M288" s="16" t="n">
        <f aca="false">INDEX(AUX_MATRIZES!$C$11:$BP$11,MIN(N_SEMANAS,MAX(1,$C288)))/DIAS_POR_SEMANA</f>
        <v>21128.1957681534</v>
      </c>
      <c r="N288" s="16" t="n">
        <f aca="false">MIN(CADASTRO_CASAS_BOMBA!$O$9,MAX(0,N287+CADASTRO_CASAS_BOMBA!$I$9*HORAS_CAPTACAO_DIA-M288))</f>
        <v>36775.2367765569</v>
      </c>
      <c r="O288" s="16" t="n">
        <f aca="false">MAX(0,M288-CADASTRO_CASAS_BOMBA!$I$9*HORAS_CAPTACAO_DIA-N287)</f>
        <v>0</v>
      </c>
      <c r="P288" s="16" t="n">
        <f aca="false">INDEX(AUX_MATRIZES!$C$12:$BP$12,MIN(N_SEMANAS,MAX(1,$C288)))/DIAS_POR_SEMANA</f>
        <v>18267.3200312061</v>
      </c>
      <c r="Q288" s="16" t="n">
        <f aca="false">MIN(CADASTRO_CASAS_BOMBA!$O$10,MAX(0,Q287+CADASTRO_CASAS_BOMBA!$I$10*HORAS_CAPTACAO_DIA-P288))</f>
        <v>633936.93201186</v>
      </c>
      <c r="R288" s="16" t="n">
        <f aca="false">MAX(0,P288-CADASTRO_CASAS_BOMBA!$I$10*HORAS_CAPTACAO_DIA-Q287)</f>
        <v>0</v>
      </c>
      <c r="S288" s="16" t="n">
        <f aca="false">INDEX(AUX_MATRIZES!$C$13:$BP$13,MIN(N_SEMANAS,MAX(1,$C288)))/DIAS_POR_SEMANA</f>
        <v>26288.315970644</v>
      </c>
      <c r="T288" s="16" t="n">
        <f aca="false">MIN(CADASTRO_CASAS_BOMBA!$O$11,MAX(0,T287+CADASTRO_CASAS_BOMBA!$I$11*HORAS_CAPTACAO_DIA-S288))</f>
        <v>0</v>
      </c>
      <c r="U288" s="16" t="n">
        <f aca="false">MAX(0,S288-CADASTRO_CASAS_BOMBA!$I$11*HORAS_CAPTACAO_DIA-T287)</f>
        <v>4868.31597064396</v>
      </c>
      <c r="V288" s="16" t="n">
        <f aca="false">INDEX(AUX_MATRIZES!$C$14:$BP$14,MIN(N_SEMANAS,MAX(1,$C288)))/DIAS_POR_SEMANA</f>
        <v>49751.7703316096</v>
      </c>
      <c r="W288" s="16" t="n">
        <f aca="false">MIN(CADASTRO_CASAS_BOMBA!$O$12,MAX(0,W287+CADASTRO_CASAS_BOMBA!$I$12*HORAS_CAPTACAO_DIA-V288))</f>
        <v>0</v>
      </c>
      <c r="X288" s="16" t="n">
        <f aca="false">MAX(0,V288-CADASTRO_CASAS_BOMBA!$I$12*HORAS_CAPTACAO_DIA-W287)</f>
        <v>24371.7703316096</v>
      </c>
      <c r="Y288" s="16" t="n">
        <f aca="false">INDEX(AUX_MATRIZES!$C$15:$BP$15,MIN(N_SEMANAS,MAX(1,$C288)))/DIAS_POR_SEMANA</f>
        <v>0</v>
      </c>
      <c r="Z288" s="16" t="n">
        <f aca="false">MIN(CADASTRO_CASAS_BOMBA!$O$13,MAX(0,Z287+CADASTRO_CASAS_BOMBA!$I$13*HORAS_CAPTACAO_DIA-Y288))</f>
        <v>74903</v>
      </c>
      <c r="AA288" s="16" t="n">
        <f aca="false">MAX(0,Y288-CADASTRO_CASAS_BOMBA!$I$13*HORAS_CAPTACAO_DIA-Z287)</f>
        <v>0</v>
      </c>
    </row>
    <row r="289" customFormat="false" ht="15" hidden="false" customHeight="false" outlineLevel="0" collapsed="false">
      <c r="B289" s="17" t="n">
        <f aca="false">DATA_INICIO_SAFRA+282</f>
        <v>46547</v>
      </c>
      <c r="C289" s="16" t="n">
        <f aca="false">MIN(N_SEMANAS,MAX(1,INT(($B289-DATA_INICIO_SAFRA)/DIAS_POR_SEMANA)+1))</f>
        <v>41</v>
      </c>
      <c r="D289" s="16" t="n">
        <f aca="false">INDEX(AUX_MATRIZES!$C$8:$BP$8,MIN(N_SEMANAS,MAX(1,$C289)))/DIAS_POR_SEMANA</f>
        <v>5163.00988235294</v>
      </c>
      <c r="E289" s="16" t="n">
        <f aca="false">MIN(CADASTRO_CASAS_BOMBA!$O$6,MAX(0,E288+CADASTRO_CASAS_BOMBA!$I$6*HORAS_CAPTACAO_DIA-D289))</f>
        <v>2600</v>
      </c>
      <c r="F289" s="16" t="n">
        <f aca="false">MAX(0,D289-CADASTRO_CASAS_BOMBA!$I$6*HORAS_CAPTACAO_DIA-E288)</f>
        <v>0</v>
      </c>
      <c r="G289" s="16" t="n">
        <f aca="false">INDEX(AUX_MATRIZES!$C$9:$BP$9,MIN(N_SEMANAS,MAX(1,$C289)))/DIAS_POR_SEMANA</f>
        <v>8279.90177978884</v>
      </c>
      <c r="H289" s="16" t="n">
        <f aca="false">MIN(CADASTRO_CASAS_BOMBA!$O$7,MAX(0,H288+CADASTRO_CASAS_BOMBA!$I$7*HORAS_CAPTACAO_DIA-G289))</f>
        <v>76648</v>
      </c>
      <c r="I289" s="16" t="n">
        <f aca="false">MAX(0,G289-CADASTRO_CASAS_BOMBA!$I$7*HORAS_CAPTACAO_DIA-H288)</f>
        <v>0</v>
      </c>
      <c r="J289" s="16" t="n">
        <f aca="false">INDEX(AUX_MATRIZES!$C$10:$BP$10,MIN(N_SEMANAS,MAX(1,$C289)))/DIAS_POR_SEMANA</f>
        <v>10386.9402352941</v>
      </c>
      <c r="K289" s="16" t="n">
        <f aca="false">MIN(CADASTRO_CASAS_BOMBA!$O$8,MAX(0,K288+CADASTRO_CASAS_BOMBA!$I$8*HORAS_CAPTACAO_DIA-J289))</f>
        <v>27377</v>
      </c>
      <c r="L289" s="16" t="n">
        <f aca="false">MAX(0,J289-CADASTRO_CASAS_BOMBA!$I$8*HORAS_CAPTACAO_DIA-K288)</f>
        <v>0</v>
      </c>
      <c r="M289" s="16" t="n">
        <f aca="false">INDEX(AUX_MATRIZES!$C$11:$BP$11,MIN(N_SEMANAS,MAX(1,$C289)))/DIAS_POR_SEMANA</f>
        <v>21128.1957681534</v>
      </c>
      <c r="N289" s="16" t="n">
        <f aca="false">MIN(CADASTRO_CASAS_BOMBA!$O$9,MAX(0,N288+CADASTRO_CASAS_BOMBA!$I$9*HORAS_CAPTACAO_DIA-M289))</f>
        <v>37277.6410084035</v>
      </c>
      <c r="O289" s="16" t="n">
        <f aca="false">MAX(0,M289-CADASTRO_CASAS_BOMBA!$I$9*HORAS_CAPTACAO_DIA-N288)</f>
        <v>0</v>
      </c>
      <c r="P289" s="16" t="n">
        <f aca="false">INDEX(AUX_MATRIZES!$C$12:$BP$12,MIN(N_SEMANAS,MAX(1,$C289)))/DIAS_POR_SEMANA</f>
        <v>18267.3200312061</v>
      </c>
      <c r="Q289" s="16" t="n">
        <f aca="false">MIN(CADASTRO_CASAS_BOMBA!$O$10,MAX(0,Q288+CADASTRO_CASAS_BOMBA!$I$10*HORAS_CAPTACAO_DIA-P289))</f>
        <v>628752.011980653</v>
      </c>
      <c r="R289" s="16" t="n">
        <f aca="false">MAX(0,P289-CADASTRO_CASAS_BOMBA!$I$10*HORAS_CAPTACAO_DIA-Q288)</f>
        <v>0</v>
      </c>
      <c r="S289" s="16" t="n">
        <f aca="false">INDEX(AUX_MATRIZES!$C$13:$BP$13,MIN(N_SEMANAS,MAX(1,$C289)))/DIAS_POR_SEMANA</f>
        <v>26288.315970644</v>
      </c>
      <c r="T289" s="16" t="n">
        <f aca="false">MIN(CADASTRO_CASAS_BOMBA!$O$11,MAX(0,T288+CADASTRO_CASAS_BOMBA!$I$11*HORAS_CAPTACAO_DIA-S289))</f>
        <v>0</v>
      </c>
      <c r="U289" s="16" t="n">
        <f aca="false">MAX(0,S289-CADASTRO_CASAS_BOMBA!$I$11*HORAS_CAPTACAO_DIA-T288)</f>
        <v>4868.31597064396</v>
      </c>
      <c r="V289" s="16" t="n">
        <f aca="false">INDEX(AUX_MATRIZES!$C$14:$BP$14,MIN(N_SEMANAS,MAX(1,$C289)))/DIAS_POR_SEMANA</f>
        <v>49751.7703316096</v>
      </c>
      <c r="W289" s="16" t="n">
        <f aca="false">MIN(CADASTRO_CASAS_BOMBA!$O$12,MAX(0,W288+CADASTRO_CASAS_BOMBA!$I$12*HORAS_CAPTACAO_DIA-V289))</f>
        <v>0</v>
      </c>
      <c r="X289" s="16" t="n">
        <f aca="false">MAX(0,V289-CADASTRO_CASAS_BOMBA!$I$12*HORAS_CAPTACAO_DIA-W288)</f>
        <v>24371.7703316096</v>
      </c>
      <c r="Y289" s="16" t="n">
        <f aca="false">INDEX(AUX_MATRIZES!$C$15:$BP$15,MIN(N_SEMANAS,MAX(1,$C289)))/DIAS_POR_SEMANA</f>
        <v>0</v>
      </c>
      <c r="Z289" s="16" t="n">
        <f aca="false">MIN(CADASTRO_CASAS_BOMBA!$O$13,MAX(0,Z288+CADASTRO_CASAS_BOMBA!$I$13*HORAS_CAPTACAO_DIA-Y289))</f>
        <v>74903</v>
      </c>
      <c r="AA289" s="16" t="n">
        <f aca="false">MAX(0,Y289-CADASTRO_CASAS_BOMBA!$I$13*HORAS_CAPTACAO_DIA-Z288)</f>
        <v>0</v>
      </c>
    </row>
    <row r="290" customFormat="false" ht="15" hidden="false" customHeight="false" outlineLevel="0" collapsed="false">
      <c r="B290" s="17" t="n">
        <f aca="false">DATA_INICIO_SAFRA+283</f>
        <v>46548</v>
      </c>
      <c r="C290" s="16" t="n">
        <f aca="false">MIN(N_SEMANAS,MAX(1,INT(($B290-DATA_INICIO_SAFRA)/DIAS_POR_SEMANA)+1))</f>
        <v>41</v>
      </c>
      <c r="D290" s="16" t="n">
        <f aca="false">INDEX(AUX_MATRIZES!$C$8:$BP$8,MIN(N_SEMANAS,MAX(1,$C290)))/DIAS_POR_SEMANA</f>
        <v>5163.00988235294</v>
      </c>
      <c r="E290" s="16" t="n">
        <f aca="false">MIN(CADASTRO_CASAS_BOMBA!$O$6,MAX(0,E289+CADASTRO_CASAS_BOMBA!$I$6*HORAS_CAPTACAO_DIA-D290))</f>
        <v>2600</v>
      </c>
      <c r="F290" s="16" t="n">
        <f aca="false">MAX(0,D290-CADASTRO_CASAS_BOMBA!$I$6*HORAS_CAPTACAO_DIA-E289)</f>
        <v>0</v>
      </c>
      <c r="G290" s="16" t="n">
        <f aca="false">INDEX(AUX_MATRIZES!$C$9:$BP$9,MIN(N_SEMANAS,MAX(1,$C290)))/DIAS_POR_SEMANA</f>
        <v>8279.90177978884</v>
      </c>
      <c r="H290" s="16" t="n">
        <f aca="false">MIN(CADASTRO_CASAS_BOMBA!$O$7,MAX(0,H289+CADASTRO_CASAS_BOMBA!$I$7*HORAS_CAPTACAO_DIA-G290))</f>
        <v>76648</v>
      </c>
      <c r="I290" s="16" t="n">
        <f aca="false">MAX(0,G290-CADASTRO_CASAS_BOMBA!$I$7*HORAS_CAPTACAO_DIA-H289)</f>
        <v>0</v>
      </c>
      <c r="J290" s="16" t="n">
        <f aca="false">INDEX(AUX_MATRIZES!$C$10:$BP$10,MIN(N_SEMANAS,MAX(1,$C290)))/DIAS_POR_SEMANA</f>
        <v>10386.9402352941</v>
      </c>
      <c r="K290" s="16" t="n">
        <f aca="false">MIN(CADASTRO_CASAS_BOMBA!$O$8,MAX(0,K289+CADASTRO_CASAS_BOMBA!$I$8*HORAS_CAPTACAO_DIA-J290))</f>
        <v>27377</v>
      </c>
      <c r="L290" s="16" t="n">
        <f aca="false">MAX(0,J290-CADASTRO_CASAS_BOMBA!$I$8*HORAS_CAPTACAO_DIA-K289)</f>
        <v>0</v>
      </c>
      <c r="M290" s="16" t="n">
        <f aca="false">INDEX(AUX_MATRIZES!$C$11:$BP$11,MIN(N_SEMANAS,MAX(1,$C290)))/DIAS_POR_SEMANA</f>
        <v>21128.1957681534</v>
      </c>
      <c r="N290" s="16" t="n">
        <f aca="false">MIN(CADASTRO_CASAS_BOMBA!$O$9,MAX(0,N289+CADASTRO_CASAS_BOMBA!$I$9*HORAS_CAPTACAO_DIA-M290))</f>
        <v>37780.0452402501</v>
      </c>
      <c r="O290" s="16" t="n">
        <f aca="false">MAX(0,M290-CADASTRO_CASAS_BOMBA!$I$9*HORAS_CAPTACAO_DIA-N289)</f>
        <v>0</v>
      </c>
      <c r="P290" s="16" t="n">
        <f aca="false">INDEX(AUX_MATRIZES!$C$12:$BP$12,MIN(N_SEMANAS,MAX(1,$C290)))/DIAS_POR_SEMANA</f>
        <v>18267.3200312061</v>
      </c>
      <c r="Q290" s="16" t="n">
        <f aca="false">MIN(CADASTRO_CASAS_BOMBA!$O$10,MAX(0,Q289+CADASTRO_CASAS_BOMBA!$I$10*HORAS_CAPTACAO_DIA-P290))</f>
        <v>623567.091949447</v>
      </c>
      <c r="R290" s="16" t="n">
        <f aca="false">MAX(0,P290-CADASTRO_CASAS_BOMBA!$I$10*HORAS_CAPTACAO_DIA-Q289)</f>
        <v>0</v>
      </c>
      <c r="S290" s="16" t="n">
        <f aca="false">INDEX(AUX_MATRIZES!$C$13:$BP$13,MIN(N_SEMANAS,MAX(1,$C290)))/DIAS_POR_SEMANA</f>
        <v>26288.315970644</v>
      </c>
      <c r="T290" s="16" t="n">
        <f aca="false">MIN(CADASTRO_CASAS_BOMBA!$O$11,MAX(0,T289+CADASTRO_CASAS_BOMBA!$I$11*HORAS_CAPTACAO_DIA-S290))</f>
        <v>0</v>
      </c>
      <c r="U290" s="16" t="n">
        <f aca="false">MAX(0,S290-CADASTRO_CASAS_BOMBA!$I$11*HORAS_CAPTACAO_DIA-T289)</f>
        <v>4868.31597064396</v>
      </c>
      <c r="V290" s="16" t="n">
        <f aca="false">INDEX(AUX_MATRIZES!$C$14:$BP$14,MIN(N_SEMANAS,MAX(1,$C290)))/DIAS_POR_SEMANA</f>
        <v>49751.7703316096</v>
      </c>
      <c r="W290" s="16" t="n">
        <f aca="false">MIN(CADASTRO_CASAS_BOMBA!$O$12,MAX(0,W289+CADASTRO_CASAS_BOMBA!$I$12*HORAS_CAPTACAO_DIA-V290))</f>
        <v>0</v>
      </c>
      <c r="X290" s="16" t="n">
        <f aca="false">MAX(0,V290-CADASTRO_CASAS_BOMBA!$I$12*HORAS_CAPTACAO_DIA-W289)</f>
        <v>24371.7703316096</v>
      </c>
      <c r="Y290" s="16" t="n">
        <f aca="false">INDEX(AUX_MATRIZES!$C$15:$BP$15,MIN(N_SEMANAS,MAX(1,$C290)))/DIAS_POR_SEMANA</f>
        <v>0</v>
      </c>
      <c r="Z290" s="16" t="n">
        <f aca="false">MIN(CADASTRO_CASAS_BOMBA!$O$13,MAX(0,Z289+CADASTRO_CASAS_BOMBA!$I$13*HORAS_CAPTACAO_DIA-Y290))</f>
        <v>74903</v>
      </c>
      <c r="AA290" s="16" t="n">
        <f aca="false">MAX(0,Y290-CADASTRO_CASAS_BOMBA!$I$13*HORAS_CAPTACAO_DIA-Z289)</f>
        <v>0</v>
      </c>
    </row>
    <row r="291" customFormat="false" ht="15" hidden="false" customHeight="false" outlineLevel="0" collapsed="false">
      <c r="B291" s="17" t="n">
        <f aca="false">DATA_INICIO_SAFRA+284</f>
        <v>46549</v>
      </c>
      <c r="C291" s="16" t="n">
        <f aca="false">MIN(N_SEMANAS,MAX(1,INT(($B291-DATA_INICIO_SAFRA)/DIAS_POR_SEMANA)+1))</f>
        <v>41</v>
      </c>
      <c r="D291" s="16" t="n">
        <f aca="false">INDEX(AUX_MATRIZES!$C$8:$BP$8,MIN(N_SEMANAS,MAX(1,$C291)))/DIAS_POR_SEMANA</f>
        <v>5163.00988235294</v>
      </c>
      <c r="E291" s="16" t="n">
        <f aca="false">MIN(CADASTRO_CASAS_BOMBA!$O$6,MAX(0,E290+CADASTRO_CASAS_BOMBA!$I$6*HORAS_CAPTACAO_DIA-D291))</f>
        <v>2600</v>
      </c>
      <c r="F291" s="16" t="n">
        <f aca="false">MAX(0,D291-CADASTRO_CASAS_BOMBA!$I$6*HORAS_CAPTACAO_DIA-E290)</f>
        <v>0</v>
      </c>
      <c r="G291" s="16" t="n">
        <f aca="false">INDEX(AUX_MATRIZES!$C$9:$BP$9,MIN(N_SEMANAS,MAX(1,$C291)))/DIAS_POR_SEMANA</f>
        <v>8279.90177978884</v>
      </c>
      <c r="H291" s="16" t="n">
        <f aca="false">MIN(CADASTRO_CASAS_BOMBA!$O$7,MAX(0,H290+CADASTRO_CASAS_BOMBA!$I$7*HORAS_CAPTACAO_DIA-G291))</f>
        <v>76648</v>
      </c>
      <c r="I291" s="16" t="n">
        <f aca="false">MAX(0,G291-CADASTRO_CASAS_BOMBA!$I$7*HORAS_CAPTACAO_DIA-H290)</f>
        <v>0</v>
      </c>
      <c r="J291" s="16" t="n">
        <f aca="false">INDEX(AUX_MATRIZES!$C$10:$BP$10,MIN(N_SEMANAS,MAX(1,$C291)))/DIAS_POR_SEMANA</f>
        <v>10386.9402352941</v>
      </c>
      <c r="K291" s="16" t="n">
        <f aca="false">MIN(CADASTRO_CASAS_BOMBA!$O$8,MAX(0,K290+CADASTRO_CASAS_BOMBA!$I$8*HORAS_CAPTACAO_DIA-J291))</f>
        <v>27377</v>
      </c>
      <c r="L291" s="16" t="n">
        <f aca="false">MAX(0,J291-CADASTRO_CASAS_BOMBA!$I$8*HORAS_CAPTACAO_DIA-K290)</f>
        <v>0</v>
      </c>
      <c r="M291" s="16" t="n">
        <f aca="false">INDEX(AUX_MATRIZES!$C$11:$BP$11,MIN(N_SEMANAS,MAX(1,$C291)))/DIAS_POR_SEMANA</f>
        <v>21128.1957681534</v>
      </c>
      <c r="N291" s="16" t="n">
        <f aca="false">MIN(CADASTRO_CASAS_BOMBA!$O$9,MAX(0,N290+CADASTRO_CASAS_BOMBA!$I$9*HORAS_CAPTACAO_DIA-M291))</f>
        <v>38282.4494720967</v>
      </c>
      <c r="O291" s="16" t="n">
        <f aca="false">MAX(0,M291-CADASTRO_CASAS_BOMBA!$I$9*HORAS_CAPTACAO_DIA-N290)</f>
        <v>0</v>
      </c>
      <c r="P291" s="16" t="n">
        <f aca="false">INDEX(AUX_MATRIZES!$C$12:$BP$12,MIN(N_SEMANAS,MAX(1,$C291)))/DIAS_POR_SEMANA</f>
        <v>18267.3200312061</v>
      </c>
      <c r="Q291" s="16" t="n">
        <f aca="false">MIN(CADASTRO_CASAS_BOMBA!$O$10,MAX(0,Q290+CADASTRO_CASAS_BOMBA!$I$10*HORAS_CAPTACAO_DIA-P291))</f>
        <v>618382.171918241</v>
      </c>
      <c r="R291" s="16" t="n">
        <f aca="false">MAX(0,P291-CADASTRO_CASAS_BOMBA!$I$10*HORAS_CAPTACAO_DIA-Q290)</f>
        <v>0</v>
      </c>
      <c r="S291" s="16" t="n">
        <f aca="false">INDEX(AUX_MATRIZES!$C$13:$BP$13,MIN(N_SEMANAS,MAX(1,$C291)))/DIAS_POR_SEMANA</f>
        <v>26288.315970644</v>
      </c>
      <c r="T291" s="16" t="n">
        <f aca="false">MIN(CADASTRO_CASAS_BOMBA!$O$11,MAX(0,T290+CADASTRO_CASAS_BOMBA!$I$11*HORAS_CAPTACAO_DIA-S291))</f>
        <v>0</v>
      </c>
      <c r="U291" s="16" t="n">
        <f aca="false">MAX(0,S291-CADASTRO_CASAS_BOMBA!$I$11*HORAS_CAPTACAO_DIA-T290)</f>
        <v>4868.31597064396</v>
      </c>
      <c r="V291" s="16" t="n">
        <f aca="false">INDEX(AUX_MATRIZES!$C$14:$BP$14,MIN(N_SEMANAS,MAX(1,$C291)))/DIAS_POR_SEMANA</f>
        <v>49751.7703316096</v>
      </c>
      <c r="W291" s="16" t="n">
        <f aca="false">MIN(CADASTRO_CASAS_BOMBA!$O$12,MAX(0,W290+CADASTRO_CASAS_BOMBA!$I$12*HORAS_CAPTACAO_DIA-V291))</f>
        <v>0</v>
      </c>
      <c r="X291" s="16" t="n">
        <f aca="false">MAX(0,V291-CADASTRO_CASAS_BOMBA!$I$12*HORAS_CAPTACAO_DIA-W290)</f>
        <v>24371.7703316096</v>
      </c>
      <c r="Y291" s="16" t="n">
        <f aca="false">INDEX(AUX_MATRIZES!$C$15:$BP$15,MIN(N_SEMANAS,MAX(1,$C291)))/DIAS_POR_SEMANA</f>
        <v>0</v>
      </c>
      <c r="Z291" s="16" t="n">
        <f aca="false">MIN(CADASTRO_CASAS_BOMBA!$O$13,MAX(0,Z290+CADASTRO_CASAS_BOMBA!$I$13*HORAS_CAPTACAO_DIA-Y291))</f>
        <v>74903</v>
      </c>
      <c r="AA291" s="16" t="n">
        <f aca="false">MAX(0,Y291-CADASTRO_CASAS_BOMBA!$I$13*HORAS_CAPTACAO_DIA-Z290)</f>
        <v>0</v>
      </c>
    </row>
    <row r="292" customFormat="false" ht="15" hidden="false" customHeight="false" outlineLevel="0" collapsed="false">
      <c r="B292" s="17" t="n">
        <f aca="false">DATA_INICIO_SAFRA+285</f>
        <v>46550</v>
      </c>
      <c r="C292" s="16" t="n">
        <f aca="false">MIN(N_SEMANAS,MAX(1,INT(($B292-DATA_INICIO_SAFRA)/DIAS_POR_SEMANA)+1))</f>
        <v>41</v>
      </c>
      <c r="D292" s="16" t="n">
        <f aca="false">INDEX(AUX_MATRIZES!$C$8:$BP$8,MIN(N_SEMANAS,MAX(1,$C292)))/DIAS_POR_SEMANA</f>
        <v>5163.00988235294</v>
      </c>
      <c r="E292" s="16" t="n">
        <f aca="false">MIN(CADASTRO_CASAS_BOMBA!$O$6,MAX(0,E291+CADASTRO_CASAS_BOMBA!$I$6*HORAS_CAPTACAO_DIA-D292))</f>
        <v>2600</v>
      </c>
      <c r="F292" s="16" t="n">
        <f aca="false">MAX(0,D292-CADASTRO_CASAS_BOMBA!$I$6*HORAS_CAPTACAO_DIA-E291)</f>
        <v>0</v>
      </c>
      <c r="G292" s="16" t="n">
        <f aca="false">INDEX(AUX_MATRIZES!$C$9:$BP$9,MIN(N_SEMANAS,MAX(1,$C292)))/DIAS_POR_SEMANA</f>
        <v>8279.90177978884</v>
      </c>
      <c r="H292" s="16" t="n">
        <f aca="false">MIN(CADASTRO_CASAS_BOMBA!$O$7,MAX(0,H291+CADASTRO_CASAS_BOMBA!$I$7*HORAS_CAPTACAO_DIA-G292))</f>
        <v>76648</v>
      </c>
      <c r="I292" s="16" t="n">
        <f aca="false">MAX(0,G292-CADASTRO_CASAS_BOMBA!$I$7*HORAS_CAPTACAO_DIA-H291)</f>
        <v>0</v>
      </c>
      <c r="J292" s="16" t="n">
        <f aca="false">INDEX(AUX_MATRIZES!$C$10:$BP$10,MIN(N_SEMANAS,MAX(1,$C292)))/DIAS_POR_SEMANA</f>
        <v>10386.9402352941</v>
      </c>
      <c r="K292" s="16" t="n">
        <f aca="false">MIN(CADASTRO_CASAS_BOMBA!$O$8,MAX(0,K291+CADASTRO_CASAS_BOMBA!$I$8*HORAS_CAPTACAO_DIA-J292))</f>
        <v>27377</v>
      </c>
      <c r="L292" s="16" t="n">
        <f aca="false">MAX(0,J292-CADASTRO_CASAS_BOMBA!$I$8*HORAS_CAPTACAO_DIA-K291)</f>
        <v>0</v>
      </c>
      <c r="M292" s="16" t="n">
        <f aca="false">INDEX(AUX_MATRIZES!$C$11:$BP$11,MIN(N_SEMANAS,MAX(1,$C292)))/DIAS_POR_SEMANA</f>
        <v>21128.1957681534</v>
      </c>
      <c r="N292" s="16" t="n">
        <f aca="false">MIN(CADASTRO_CASAS_BOMBA!$O$9,MAX(0,N291+CADASTRO_CASAS_BOMBA!$I$9*HORAS_CAPTACAO_DIA-M292))</f>
        <v>38784.8537039433</v>
      </c>
      <c r="O292" s="16" t="n">
        <f aca="false">MAX(0,M292-CADASTRO_CASAS_BOMBA!$I$9*HORAS_CAPTACAO_DIA-N291)</f>
        <v>0</v>
      </c>
      <c r="P292" s="16" t="n">
        <f aca="false">INDEX(AUX_MATRIZES!$C$12:$BP$12,MIN(N_SEMANAS,MAX(1,$C292)))/DIAS_POR_SEMANA</f>
        <v>18267.3200312061</v>
      </c>
      <c r="Q292" s="16" t="n">
        <f aca="false">MIN(CADASTRO_CASAS_BOMBA!$O$10,MAX(0,Q291+CADASTRO_CASAS_BOMBA!$I$10*HORAS_CAPTACAO_DIA-P292))</f>
        <v>613197.251887035</v>
      </c>
      <c r="R292" s="16" t="n">
        <f aca="false">MAX(0,P292-CADASTRO_CASAS_BOMBA!$I$10*HORAS_CAPTACAO_DIA-Q291)</f>
        <v>0</v>
      </c>
      <c r="S292" s="16" t="n">
        <f aca="false">INDEX(AUX_MATRIZES!$C$13:$BP$13,MIN(N_SEMANAS,MAX(1,$C292)))/DIAS_POR_SEMANA</f>
        <v>26288.315970644</v>
      </c>
      <c r="T292" s="16" t="n">
        <f aca="false">MIN(CADASTRO_CASAS_BOMBA!$O$11,MAX(0,T291+CADASTRO_CASAS_BOMBA!$I$11*HORAS_CAPTACAO_DIA-S292))</f>
        <v>0</v>
      </c>
      <c r="U292" s="16" t="n">
        <f aca="false">MAX(0,S292-CADASTRO_CASAS_BOMBA!$I$11*HORAS_CAPTACAO_DIA-T291)</f>
        <v>4868.31597064396</v>
      </c>
      <c r="V292" s="16" t="n">
        <f aca="false">INDEX(AUX_MATRIZES!$C$14:$BP$14,MIN(N_SEMANAS,MAX(1,$C292)))/DIAS_POR_SEMANA</f>
        <v>49751.7703316096</v>
      </c>
      <c r="W292" s="16" t="n">
        <f aca="false">MIN(CADASTRO_CASAS_BOMBA!$O$12,MAX(0,W291+CADASTRO_CASAS_BOMBA!$I$12*HORAS_CAPTACAO_DIA-V292))</f>
        <v>0</v>
      </c>
      <c r="X292" s="16" t="n">
        <f aca="false">MAX(0,V292-CADASTRO_CASAS_BOMBA!$I$12*HORAS_CAPTACAO_DIA-W291)</f>
        <v>24371.7703316096</v>
      </c>
      <c r="Y292" s="16" t="n">
        <f aca="false">INDEX(AUX_MATRIZES!$C$15:$BP$15,MIN(N_SEMANAS,MAX(1,$C292)))/DIAS_POR_SEMANA</f>
        <v>0</v>
      </c>
      <c r="Z292" s="16" t="n">
        <f aca="false">MIN(CADASTRO_CASAS_BOMBA!$O$13,MAX(0,Z291+CADASTRO_CASAS_BOMBA!$I$13*HORAS_CAPTACAO_DIA-Y292))</f>
        <v>74903</v>
      </c>
      <c r="AA292" s="16" t="n">
        <f aca="false">MAX(0,Y292-CADASTRO_CASAS_BOMBA!$I$13*HORAS_CAPTACAO_DIA-Z291)</f>
        <v>0</v>
      </c>
    </row>
    <row r="293" customFormat="false" ht="15" hidden="false" customHeight="false" outlineLevel="0" collapsed="false">
      <c r="B293" s="17" t="n">
        <f aca="false">DATA_INICIO_SAFRA+286</f>
        <v>46551</v>
      </c>
      <c r="C293" s="16" t="n">
        <f aca="false">MIN(N_SEMANAS,MAX(1,INT(($B293-DATA_INICIO_SAFRA)/DIAS_POR_SEMANA)+1))</f>
        <v>41</v>
      </c>
      <c r="D293" s="16" t="n">
        <f aca="false">INDEX(AUX_MATRIZES!$C$8:$BP$8,MIN(N_SEMANAS,MAX(1,$C293)))/DIAS_POR_SEMANA</f>
        <v>5163.00988235294</v>
      </c>
      <c r="E293" s="16" t="n">
        <f aca="false">MIN(CADASTRO_CASAS_BOMBA!$O$6,MAX(0,E292+CADASTRO_CASAS_BOMBA!$I$6*HORAS_CAPTACAO_DIA-D293))</f>
        <v>2600</v>
      </c>
      <c r="F293" s="16" t="n">
        <f aca="false">MAX(0,D293-CADASTRO_CASAS_BOMBA!$I$6*HORAS_CAPTACAO_DIA-E292)</f>
        <v>0</v>
      </c>
      <c r="G293" s="16" t="n">
        <f aca="false">INDEX(AUX_MATRIZES!$C$9:$BP$9,MIN(N_SEMANAS,MAX(1,$C293)))/DIAS_POR_SEMANA</f>
        <v>8279.90177978884</v>
      </c>
      <c r="H293" s="16" t="n">
        <f aca="false">MIN(CADASTRO_CASAS_BOMBA!$O$7,MAX(0,H292+CADASTRO_CASAS_BOMBA!$I$7*HORAS_CAPTACAO_DIA-G293))</f>
        <v>76648</v>
      </c>
      <c r="I293" s="16" t="n">
        <f aca="false">MAX(0,G293-CADASTRO_CASAS_BOMBA!$I$7*HORAS_CAPTACAO_DIA-H292)</f>
        <v>0</v>
      </c>
      <c r="J293" s="16" t="n">
        <f aca="false">INDEX(AUX_MATRIZES!$C$10:$BP$10,MIN(N_SEMANAS,MAX(1,$C293)))/DIAS_POR_SEMANA</f>
        <v>10386.9402352941</v>
      </c>
      <c r="K293" s="16" t="n">
        <f aca="false">MIN(CADASTRO_CASAS_BOMBA!$O$8,MAX(0,K292+CADASTRO_CASAS_BOMBA!$I$8*HORAS_CAPTACAO_DIA-J293))</f>
        <v>27377</v>
      </c>
      <c r="L293" s="16" t="n">
        <f aca="false">MAX(0,J293-CADASTRO_CASAS_BOMBA!$I$8*HORAS_CAPTACAO_DIA-K292)</f>
        <v>0</v>
      </c>
      <c r="M293" s="16" t="n">
        <f aca="false">INDEX(AUX_MATRIZES!$C$11:$BP$11,MIN(N_SEMANAS,MAX(1,$C293)))/DIAS_POR_SEMANA</f>
        <v>21128.1957681534</v>
      </c>
      <c r="N293" s="16" t="n">
        <f aca="false">MIN(CADASTRO_CASAS_BOMBA!$O$9,MAX(0,N292+CADASTRO_CASAS_BOMBA!$I$9*HORAS_CAPTACAO_DIA-M293))</f>
        <v>39287.2579357899</v>
      </c>
      <c r="O293" s="16" t="n">
        <f aca="false">MAX(0,M293-CADASTRO_CASAS_BOMBA!$I$9*HORAS_CAPTACAO_DIA-N292)</f>
        <v>0</v>
      </c>
      <c r="P293" s="16" t="n">
        <f aca="false">INDEX(AUX_MATRIZES!$C$12:$BP$12,MIN(N_SEMANAS,MAX(1,$C293)))/DIAS_POR_SEMANA</f>
        <v>18267.3200312061</v>
      </c>
      <c r="Q293" s="16" t="n">
        <f aca="false">MIN(CADASTRO_CASAS_BOMBA!$O$10,MAX(0,Q292+CADASTRO_CASAS_BOMBA!$I$10*HORAS_CAPTACAO_DIA-P293))</f>
        <v>608012.331855829</v>
      </c>
      <c r="R293" s="16" t="n">
        <f aca="false">MAX(0,P293-CADASTRO_CASAS_BOMBA!$I$10*HORAS_CAPTACAO_DIA-Q292)</f>
        <v>0</v>
      </c>
      <c r="S293" s="16" t="n">
        <f aca="false">INDEX(AUX_MATRIZES!$C$13:$BP$13,MIN(N_SEMANAS,MAX(1,$C293)))/DIAS_POR_SEMANA</f>
        <v>26288.315970644</v>
      </c>
      <c r="T293" s="16" t="n">
        <f aca="false">MIN(CADASTRO_CASAS_BOMBA!$O$11,MAX(0,T292+CADASTRO_CASAS_BOMBA!$I$11*HORAS_CAPTACAO_DIA-S293))</f>
        <v>0</v>
      </c>
      <c r="U293" s="16" t="n">
        <f aca="false">MAX(0,S293-CADASTRO_CASAS_BOMBA!$I$11*HORAS_CAPTACAO_DIA-T292)</f>
        <v>4868.31597064396</v>
      </c>
      <c r="V293" s="16" t="n">
        <f aca="false">INDEX(AUX_MATRIZES!$C$14:$BP$14,MIN(N_SEMANAS,MAX(1,$C293)))/DIAS_POR_SEMANA</f>
        <v>49751.7703316096</v>
      </c>
      <c r="W293" s="16" t="n">
        <f aca="false">MIN(CADASTRO_CASAS_BOMBA!$O$12,MAX(0,W292+CADASTRO_CASAS_BOMBA!$I$12*HORAS_CAPTACAO_DIA-V293))</f>
        <v>0</v>
      </c>
      <c r="X293" s="16" t="n">
        <f aca="false">MAX(0,V293-CADASTRO_CASAS_BOMBA!$I$12*HORAS_CAPTACAO_DIA-W292)</f>
        <v>24371.7703316096</v>
      </c>
      <c r="Y293" s="16" t="n">
        <f aca="false">INDEX(AUX_MATRIZES!$C$15:$BP$15,MIN(N_SEMANAS,MAX(1,$C293)))/DIAS_POR_SEMANA</f>
        <v>0</v>
      </c>
      <c r="Z293" s="16" t="n">
        <f aca="false">MIN(CADASTRO_CASAS_BOMBA!$O$13,MAX(0,Z292+CADASTRO_CASAS_BOMBA!$I$13*HORAS_CAPTACAO_DIA-Y293))</f>
        <v>74903</v>
      </c>
      <c r="AA293" s="16" t="n">
        <f aca="false">MAX(0,Y293-CADASTRO_CASAS_BOMBA!$I$13*HORAS_CAPTACAO_DIA-Z292)</f>
        <v>0</v>
      </c>
    </row>
    <row r="294" customFormat="false" ht="15" hidden="false" customHeight="false" outlineLevel="0" collapsed="false">
      <c r="B294" s="17" t="n">
        <f aca="false">DATA_INICIO_SAFRA+287</f>
        <v>46552</v>
      </c>
      <c r="C294" s="16" t="n">
        <f aca="false">MIN(N_SEMANAS,MAX(1,INT(($B294-DATA_INICIO_SAFRA)/DIAS_POR_SEMANA)+1))</f>
        <v>42</v>
      </c>
      <c r="D294" s="16" t="n">
        <f aca="false">INDEX(AUX_MATRIZES!$C$8:$BP$8,MIN(N_SEMANAS,MAX(1,$C294)))/DIAS_POR_SEMANA</f>
        <v>5163.00988235294</v>
      </c>
      <c r="E294" s="16" t="n">
        <f aca="false">MIN(CADASTRO_CASAS_BOMBA!$O$6,MAX(0,E293+CADASTRO_CASAS_BOMBA!$I$6*HORAS_CAPTACAO_DIA-D294))</f>
        <v>2600</v>
      </c>
      <c r="F294" s="16" t="n">
        <f aca="false">MAX(0,D294-CADASTRO_CASAS_BOMBA!$I$6*HORAS_CAPTACAO_DIA-E293)</f>
        <v>0</v>
      </c>
      <c r="G294" s="16" t="n">
        <f aca="false">INDEX(AUX_MATRIZES!$C$9:$BP$9,MIN(N_SEMANAS,MAX(1,$C294)))/DIAS_POR_SEMANA</f>
        <v>7947.87764705883</v>
      </c>
      <c r="H294" s="16" t="n">
        <f aca="false">MIN(CADASTRO_CASAS_BOMBA!$O$7,MAX(0,H293+CADASTRO_CASAS_BOMBA!$I$7*HORAS_CAPTACAO_DIA-G294))</f>
        <v>76648</v>
      </c>
      <c r="I294" s="16" t="n">
        <f aca="false">MAX(0,G294-CADASTRO_CASAS_BOMBA!$I$7*HORAS_CAPTACAO_DIA-H293)</f>
        <v>0</v>
      </c>
      <c r="J294" s="16" t="n">
        <f aca="false">INDEX(AUX_MATRIZES!$C$10:$BP$10,MIN(N_SEMANAS,MAX(1,$C294)))/DIAS_POR_SEMANA</f>
        <v>10386.9402352941</v>
      </c>
      <c r="K294" s="16" t="n">
        <f aca="false">MIN(CADASTRO_CASAS_BOMBA!$O$8,MAX(0,K293+CADASTRO_CASAS_BOMBA!$I$8*HORAS_CAPTACAO_DIA-J294))</f>
        <v>27377</v>
      </c>
      <c r="L294" s="16" t="n">
        <f aca="false">MAX(0,J294-CADASTRO_CASAS_BOMBA!$I$8*HORAS_CAPTACAO_DIA-K293)</f>
        <v>0</v>
      </c>
      <c r="M294" s="16" t="n">
        <f aca="false">INDEX(AUX_MATRIZES!$C$11:$BP$11,MIN(N_SEMANAS,MAX(1,$C294)))/DIAS_POR_SEMANA</f>
        <v>14047.6893152338</v>
      </c>
      <c r="N294" s="16" t="n">
        <f aca="false">MIN(CADASTRO_CASAS_BOMBA!$O$9,MAX(0,N293+CADASTRO_CASAS_BOMBA!$I$9*HORAS_CAPTACAO_DIA-M294))</f>
        <v>46870.1686205561</v>
      </c>
      <c r="O294" s="16" t="n">
        <f aca="false">MAX(0,M294-CADASTRO_CASAS_BOMBA!$I$9*HORAS_CAPTACAO_DIA-N293)</f>
        <v>0</v>
      </c>
      <c r="P294" s="16" t="n">
        <f aca="false">INDEX(AUX_MATRIZES!$C$12:$BP$12,MIN(N_SEMANAS,MAX(1,$C294)))/DIAS_POR_SEMANA</f>
        <v>10099.3076186613</v>
      </c>
      <c r="Q294" s="16" t="n">
        <f aca="false">MIN(CADASTRO_CASAS_BOMBA!$O$10,MAX(0,Q293+CADASTRO_CASAS_BOMBA!$I$10*HORAS_CAPTACAO_DIA-P294))</f>
        <v>610995.424237168</v>
      </c>
      <c r="R294" s="16" t="n">
        <f aca="false">MAX(0,P294-CADASTRO_CASAS_BOMBA!$I$10*HORAS_CAPTACAO_DIA-Q293)</f>
        <v>0</v>
      </c>
      <c r="S294" s="16" t="n">
        <f aca="false">INDEX(AUX_MATRIZES!$C$13:$BP$13,MIN(N_SEMANAS,MAX(1,$C294)))/DIAS_POR_SEMANA</f>
        <v>15097.6297931034</v>
      </c>
      <c r="T294" s="16" t="n">
        <f aca="false">MIN(CADASTRO_CASAS_BOMBA!$O$11,MAX(0,T293+CADASTRO_CASAS_BOMBA!$I$11*HORAS_CAPTACAO_DIA-S294))</f>
        <v>6322.37020689655</v>
      </c>
      <c r="U294" s="16" t="n">
        <f aca="false">MAX(0,S294-CADASTRO_CASAS_BOMBA!$I$11*HORAS_CAPTACAO_DIA-T293)</f>
        <v>0</v>
      </c>
      <c r="V294" s="16" t="n">
        <f aca="false">INDEX(AUX_MATRIZES!$C$14:$BP$14,MIN(N_SEMANAS,MAX(1,$C294)))/DIAS_POR_SEMANA</f>
        <v>43063.8356862745</v>
      </c>
      <c r="W294" s="16" t="n">
        <f aca="false">MIN(CADASTRO_CASAS_BOMBA!$O$12,MAX(0,W293+CADASTRO_CASAS_BOMBA!$I$12*HORAS_CAPTACAO_DIA-V294))</f>
        <v>0</v>
      </c>
      <c r="X294" s="16" t="n">
        <f aca="false">MAX(0,V294-CADASTRO_CASAS_BOMBA!$I$12*HORAS_CAPTACAO_DIA-W293)</f>
        <v>17683.8356862745</v>
      </c>
      <c r="Y294" s="16" t="n">
        <f aca="false">INDEX(AUX_MATRIZES!$C$15:$BP$15,MIN(N_SEMANAS,MAX(1,$C294)))/DIAS_POR_SEMANA</f>
        <v>0</v>
      </c>
      <c r="Z294" s="16" t="n">
        <f aca="false">MIN(CADASTRO_CASAS_BOMBA!$O$13,MAX(0,Z293+CADASTRO_CASAS_BOMBA!$I$13*HORAS_CAPTACAO_DIA-Y294))</f>
        <v>74903</v>
      </c>
      <c r="AA294" s="16" t="n">
        <f aca="false">MAX(0,Y294-CADASTRO_CASAS_BOMBA!$I$13*HORAS_CAPTACAO_DIA-Z293)</f>
        <v>0</v>
      </c>
    </row>
    <row r="295" customFormat="false" ht="15" hidden="false" customHeight="false" outlineLevel="0" collapsed="false">
      <c r="B295" s="17" t="n">
        <f aca="false">DATA_INICIO_SAFRA+288</f>
        <v>46553</v>
      </c>
      <c r="C295" s="16" t="n">
        <f aca="false">MIN(N_SEMANAS,MAX(1,INT(($B295-DATA_INICIO_SAFRA)/DIAS_POR_SEMANA)+1))</f>
        <v>42</v>
      </c>
      <c r="D295" s="16" t="n">
        <f aca="false">INDEX(AUX_MATRIZES!$C$8:$BP$8,MIN(N_SEMANAS,MAX(1,$C295)))/DIAS_POR_SEMANA</f>
        <v>5163.00988235294</v>
      </c>
      <c r="E295" s="16" t="n">
        <f aca="false">MIN(CADASTRO_CASAS_BOMBA!$O$6,MAX(0,E294+CADASTRO_CASAS_BOMBA!$I$6*HORAS_CAPTACAO_DIA-D295))</f>
        <v>2600</v>
      </c>
      <c r="F295" s="16" t="n">
        <f aca="false">MAX(0,D295-CADASTRO_CASAS_BOMBA!$I$6*HORAS_CAPTACAO_DIA-E294)</f>
        <v>0</v>
      </c>
      <c r="G295" s="16" t="n">
        <f aca="false">INDEX(AUX_MATRIZES!$C$9:$BP$9,MIN(N_SEMANAS,MAX(1,$C295)))/DIAS_POR_SEMANA</f>
        <v>7947.87764705883</v>
      </c>
      <c r="H295" s="16" t="n">
        <f aca="false">MIN(CADASTRO_CASAS_BOMBA!$O$7,MAX(0,H294+CADASTRO_CASAS_BOMBA!$I$7*HORAS_CAPTACAO_DIA-G295))</f>
        <v>76648</v>
      </c>
      <c r="I295" s="16" t="n">
        <f aca="false">MAX(0,G295-CADASTRO_CASAS_BOMBA!$I$7*HORAS_CAPTACAO_DIA-H294)</f>
        <v>0</v>
      </c>
      <c r="J295" s="16" t="n">
        <f aca="false">INDEX(AUX_MATRIZES!$C$10:$BP$10,MIN(N_SEMANAS,MAX(1,$C295)))/DIAS_POR_SEMANA</f>
        <v>10386.9402352941</v>
      </c>
      <c r="K295" s="16" t="n">
        <f aca="false">MIN(CADASTRO_CASAS_BOMBA!$O$8,MAX(0,K294+CADASTRO_CASAS_BOMBA!$I$8*HORAS_CAPTACAO_DIA-J295))</f>
        <v>27377</v>
      </c>
      <c r="L295" s="16" t="n">
        <f aca="false">MAX(0,J295-CADASTRO_CASAS_BOMBA!$I$8*HORAS_CAPTACAO_DIA-K294)</f>
        <v>0</v>
      </c>
      <c r="M295" s="16" t="n">
        <f aca="false">INDEX(AUX_MATRIZES!$C$11:$BP$11,MIN(N_SEMANAS,MAX(1,$C295)))/DIAS_POR_SEMANA</f>
        <v>14047.6893152338</v>
      </c>
      <c r="N295" s="16" t="n">
        <f aca="false">MIN(CADASTRO_CASAS_BOMBA!$O$9,MAX(0,N294+CADASTRO_CASAS_BOMBA!$I$9*HORAS_CAPTACAO_DIA-M295))</f>
        <v>54453.0793053223</v>
      </c>
      <c r="O295" s="16" t="n">
        <f aca="false">MAX(0,M295-CADASTRO_CASAS_BOMBA!$I$9*HORAS_CAPTACAO_DIA-N294)</f>
        <v>0</v>
      </c>
      <c r="P295" s="16" t="n">
        <f aca="false">INDEX(AUX_MATRIZES!$C$12:$BP$12,MIN(N_SEMANAS,MAX(1,$C295)))/DIAS_POR_SEMANA</f>
        <v>10099.3076186613</v>
      </c>
      <c r="Q295" s="16" t="n">
        <f aca="false">MIN(CADASTRO_CASAS_BOMBA!$O$10,MAX(0,Q294+CADASTRO_CASAS_BOMBA!$I$10*HORAS_CAPTACAO_DIA-P295))</f>
        <v>613978.516618507</v>
      </c>
      <c r="R295" s="16" t="n">
        <f aca="false">MAX(0,P295-CADASTRO_CASAS_BOMBA!$I$10*HORAS_CAPTACAO_DIA-Q294)</f>
        <v>0</v>
      </c>
      <c r="S295" s="16" t="n">
        <f aca="false">INDEX(AUX_MATRIZES!$C$13:$BP$13,MIN(N_SEMANAS,MAX(1,$C295)))/DIAS_POR_SEMANA</f>
        <v>15097.6297931034</v>
      </c>
      <c r="T295" s="16" t="n">
        <f aca="false">MIN(CADASTRO_CASAS_BOMBA!$O$11,MAX(0,T294+CADASTRO_CASAS_BOMBA!$I$11*HORAS_CAPTACAO_DIA-S295))</f>
        <v>12644.7404137931</v>
      </c>
      <c r="U295" s="16" t="n">
        <f aca="false">MAX(0,S295-CADASTRO_CASAS_BOMBA!$I$11*HORAS_CAPTACAO_DIA-T294)</f>
        <v>0</v>
      </c>
      <c r="V295" s="16" t="n">
        <f aca="false">INDEX(AUX_MATRIZES!$C$14:$BP$14,MIN(N_SEMANAS,MAX(1,$C295)))/DIAS_POR_SEMANA</f>
        <v>43063.8356862745</v>
      </c>
      <c r="W295" s="16" t="n">
        <f aca="false">MIN(CADASTRO_CASAS_BOMBA!$O$12,MAX(0,W294+CADASTRO_CASAS_BOMBA!$I$12*HORAS_CAPTACAO_DIA-V295))</f>
        <v>0</v>
      </c>
      <c r="X295" s="16" t="n">
        <f aca="false">MAX(0,V295-CADASTRO_CASAS_BOMBA!$I$12*HORAS_CAPTACAO_DIA-W294)</f>
        <v>17683.8356862745</v>
      </c>
      <c r="Y295" s="16" t="n">
        <f aca="false">INDEX(AUX_MATRIZES!$C$15:$BP$15,MIN(N_SEMANAS,MAX(1,$C295)))/DIAS_POR_SEMANA</f>
        <v>0</v>
      </c>
      <c r="Z295" s="16" t="n">
        <f aca="false">MIN(CADASTRO_CASAS_BOMBA!$O$13,MAX(0,Z294+CADASTRO_CASAS_BOMBA!$I$13*HORAS_CAPTACAO_DIA-Y295))</f>
        <v>74903</v>
      </c>
      <c r="AA295" s="16" t="n">
        <f aca="false">MAX(0,Y295-CADASTRO_CASAS_BOMBA!$I$13*HORAS_CAPTACAO_DIA-Z294)</f>
        <v>0</v>
      </c>
    </row>
    <row r="296" customFormat="false" ht="15" hidden="false" customHeight="false" outlineLevel="0" collapsed="false">
      <c r="B296" s="17" t="n">
        <f aca="false">DATA_INICIO_SAFRA+289</f>
        <v>46554</v>
      </c>
      <c r="C296" s="16" t="n">
        <f aca="false">MIN(N_SEMANAS,MAX(1,INT(($B296-DATA_INICIO_SAFRA)/DIAS_POR_SEMANA)+1))</f>
        <v>42</v>
      </c>
      <c r="D296" s="16" t="n">
        <f aca="false">INDEX(AUX_MATRIZES!$C$8:$BP$8,MIN(N_SEMANAS,MAX(1,$C296)))/DIAS_POR_SEMANA</f>
        <v>5163.00988235294</v>
      </c>
      <c r="E296" s="16" t="n">
        <f aca="false">MIN(CADASTRO_CASAS_BOMBA!$O$6,MAX(0,E295+CADASTRO_CASAS_BOMBA!$I$6*HORAS_CAPTACAO_DIA-D296))</f>
        <v>2600</v>
      </c>
      <c r="F296" s="16" t="n">
        <f aca="false">MAX(0,D296-CADASTRO_CASAS_BOMBA!$I$6*HORAS_CAPTACAO_DIA-E295)</f>
        <v>0</v>
      </c>
      <c r="G296" s="16" t="n">
        <f aca="false">INDEX(AUX_MATRIZES!$C$9:$BP$9,MIN(N_SEMANAS,MAX(1,$C296)))/DIAS_POR_SEMANA</f>
        <v>7947.87764705883</v>
      </c>
      <c r="H296" s="16" t="n">
        <f aca="false">MIN(CADASTRO_CASAS_BOMBA!$O$7,MAX(0,H295+CADASTRO_CASAS_BOMBA!$I$7*HORAS_CAPTACAO_DIA-G296))</f>
        <v>76648</v>
      </c>
      <c r="I296" s="16" t="n">
        <f aca="false">MAX(0,G296-CADASTRO_CASAS_BOMBA!$I$7*HORAS_CAPTACAO_DIA-H295)</f>
        <v>0</v>
      </c>
      <c r="J296" s="16" t="n">
        <f aca="false">INDEX(AUX_MATRIZES!$C$10:$BP$10,MIN(N_SEMANAS,MAX(1,$C296)))/DIAS_POR_SEMANA</f>
        <v>10386.9402352941</v>
      </c>
      <c r="K296" s="16" t="n">
        <f aca="false">MIN(CADASTRO_CASAS_BOMBA!$O$8,MAX(0,K295+CADASTRO_CASAS_BOMBA!$I$8*HORAS_CAPTACAO_DIA-J296))</f>
        <v>27377</v>
      </c>
      <c r="L296" s="16" t="n">
        <f aca="false">MAX(0,J296-CADASTRO_CASAS_BOMBA!$I$8*HORAS_CAPTACAO_DIA-K295)</f>
        <v>0</v>
      </c>
      <c r="M296" s="16" t="n">
        <f aca="false">INDEX(AUX_MATRIZES!$C$11:$BP$11,MIN(N_SEMANAS,MAX(1,$C296)))/DIAS_POR_SEMANA</f>
        <v>14047.6893152338</v>
      </c>
      <c r="N296" s="16" t="n">
        <f aca="false">MIN(CADASTRO_CASAS_BOMBA!$O$9,MAX(0,N295+CADASTRO_CASAS_BOMBA!$I$9*HORAS_CAPTACAO_DIA-M296))</f>
        <v>62035.9899900886</v>
      </c>
      <c r="O296" s="16" t="n">
        <f aca="false">MAX(0,M296-CADASTRO_CASAS_BOMBA!$I$9*HORAS_CAPTACAO_DIA-N295)</f>
        <v>0</v>
      </c>
      <c r="P296" s="16" t="n">
        <f aca="false">INDEX(AUX_MATRIZES!$C$12:$BP$12,MIN(N_SEMANAS,MAX(1,$C296)))/DIAS_POR_SEMANA</f>
        <v>10099.3076186613</v>
      </c>
      <c r="Q296" s="16" t="n">
        <f aca="false">MIN(CADASTRO_CASAS_BOMBA!$O$10,MAX(0,Q295+CADASTRO_CASAS_BOMBA!$I$10*HORAS_CAPTACAO_DIA-P296))</f>
        <v>616961.608999846</v>
      </c>
      <c r="R296" s="16" t="n">
        <f aca="false">MAX(0,P296-CADASTRO_CASAS_BOMBA!$I$10*HORAS_CAPTACAO_DIA-Q295)</f>
        <v>0</v>
      </c>
      <c r="S296" s="16" t="n">
        <f aca="false">INDEX(AUX_MATRIZES!$C$13:$BP$13,MIN(N_SEMANAS,MAX(1,$C296)))/DIAS_POR_SEMANA</f>
        <v>15097.6297931034</v>
      </c>
      <c r="T296" s="16" t="n">
        <f aca="false">MIN(CADASTRO_CASAS_BOMBA!$O$11,MAX(0,T295+CADASTRO_CASAS_BOMBA!$I$11*HORAS_CAPTACAO_DIA-S296))</f>
        <v>18967.1106206897</v>
      </c>
      <c r="U296" s="16" t="n">
        <f aca="false">MAX(0,S296-CADASTRO_CASAS_BOMBA!$I$11*HORAS_CAPTACAO_DIA-T295)</f>
        <v>0</v>
      </c>
      <c r="V296" s="16" t="n">
        <f aca="false">INDEX(AUX_MATRIZES!$C$14:$BP$14,MIN(N_SEMANAS,MAX(1,$C296)))/DIAS_POR_SEMANA</f>
        <v>43063.8356862745</v>
      </c>
      <c r="W296" s="16" t="n">
        <f aca="false">MIN(CADASTRO_CASAS_BOMBA!$O$12,MAX(0,W295+CADASTRO_CASAS_BOMBA!$I$12*HORAS_CAPTACAO_DIA-V296))</f>
        <v>0</v>
      </c>
      <c r="X296" s="16" t="n">
        <f aca="false">MAX(0,V296-CADASTRO_CASAS_BOMBA!$I$12*HORAS_CAPTACAO_DIA-W295)</f>
        <v>17683.8356862745</v>
      </c>
      <c r="Y296" s="16" t="n">
        <f aca="false">INDEX(AUX_MATRIZES!$C$15:$BP$15,MIN(N_SEMANAS,MAX(1,$C296)))/DIAS_POR_SEMANA</f>
        <v>0</v>
      </c>
      <c r="Z296" s="16" t="n">
        <f aca="false">MIN(CADASTRO_CASAS_BOMBA!$O$13,MAX(0,Z295+CADASTRO_CASAS_BOMBA!$I$13*HORAS_CAPTACAO_DIA-Y296))</f>
        <v>74903</v>
      </c>
      <c r="AA296" s="16" t="n">
        <f aca="false">MAX(0,Y296-CADASTRO_CASAS_BOMBA!$I$13*HORAS_CAPTACAO_DIA-Z295)</f>
        <v>0</v>
      </c>
    </row>
    <row r="297" customFormat="false" ht="15" hidden="false" customHeight="false" outlineLevel="0" collapsed="false">
      <c r="B297" s="17" t="n">
        <f aca="false">DATA_INICIO_SAFRA+290</f>
        <v>46555</v>
      </c>
      <c r="C297" s="16" t="n">
        <f aca="false">MIN(N_SEMANAS,MAX(1,INT(($B297-DATA_INICIO_SAFRA)/DIAS_POR_SEMANA)+1))</f>
        <v>42</v>
      </c>
      <c r="D297" s="16" t="n">
        <f aca="false">INDEX(AUX_MATRIZES!$C$8:$BP$8,MIN(N_SEMANAS,MAX(1,$C297)))/DIAS_POR_SEMANA</f>
        <v>5163.00988235294</v>
      </c>
      <c r="E297" s="16" t="n">
        <f aca="false">MIN(CADASTRO_CASAS_BOMBA!$O$6,MAX(0,E296+CADASTRO_CASAS_BOMBA!$I$6*HORAS_CAPTACAO_DIA-D297))</f>
        <v>2600</v>
      </c>
      <c r="F297" s="16" t="n">
        <f aca="false">MAX(0,D297-CADASTRO_CASAS_BOMBA!$I$6*HORAS_CAPTACAO_DIA-E296)</f>
        <v>0</v>
      </c>
      <c r="G297" s="16" t="n">
        <f aca="false">INDEX(AUX_MATRIZES!$C$9:$BP$9,MIN(N_SEMANAS,MAX(1,$C297)))/DIAS_POR_SEMANA</f>
        <v>7947.87764705883</v>
      </c>
      <c r="H297" s="16" t="n">
        <f aca="false">MIN(CADASTRO_CASAS_BOMBA!$O$7,MAX(0,H296+CADASTRO_CASAS_BOMBA!$I$7*HORAS_CAPTACAO_DIA-G297))</f>
        <v>76648</v>
      </c>
      <c r="I297" s="16" t="n">
        <f aca="false">MAX(0,G297-CADASTRO_CASAS_BOMBA!$I$7*HORAS_CAPTACAO_DIA-H296)</f>
        <v>0</v>
      </c>
      <c r="J297" s="16" t="n">
        <f aca="false">INDEX(AUX_MATRIZES!$C$10:$BP$10,MIN(N_SEMANAS,MAX(1,$C297)))/DIAS_POR_SEMANA</f>
        <v>10386.9402352941</v>
      </c>
      <c r="K297" s="16" t="n">
        <f aca="false">MIN(CADASTRO_CASAS_BOMBA!$O$8,MAX(0,K296+CADASTRO_CASAS_BOMBA!$I$8*HORAS_CAPTACAO_DIA-J297))</f>
        <v>27377</v>
      </c>
      <c r="L297" s="16" t="n">
        <f aca="false">MAX(0,J297-CADASTRO_CASAS_BOMBA!$I$8*HORAS_CAPTACAO_DIA-K296)</f>
        <v>0</v>
      </c>
      <c r="M297" s="16" t="n">
        <f aca="false">INDEX(AUX_MATRIZES!$C$11:$BP$11,MIN(N_SEMANAS,MAX(1,$C297)))/DIAS_POR_SEMANA</f>
        <v>14047.6893152338</v>
      </c>
      <c r="N297" s="16" t="n">
        <f aca="false">MIN(CADASTRO_CASAS_BOMBA!$O$9,MAX(0,N296+CADASTRO_CASAS_BOMBA!$I$9*HORAS_CAPTACAO_DIA-M297))</f>
        <v>69618.9006748548</v>
      </c>
      <c r="O297" s="16" t="n">
        <f aca="false">MAX(0,M297-CADASTRO_CASAS_BOMBA!$I$9*HORAS_CAPTACAO_DIA-N296)</f>
        <v>0</v>
      </c>
      <c r="P297" s="16" t="n">
        <f aca="false">INDEX(AUX_MATRIZES!$C$12:$BP$12,MIN(N_SEMANAS,MAX(1,$C297)))/DIAS_POR_SEMANA</f>
        <v>10099.3076186613</v>
      </c>
      <c r="Q297" s="16" t="n">
        <f aca="false">MIN(CADASTRO_CASAS_BOMBA!$O$10,MAX(0,Q296+CADASTRO_CASAS_BOMBA!$I$10*HORAS_CAPTACAO_DIA-P297))</f>
        <v>619944.701381184</v>
      </c>
      <c r="R297" s="16" t="n">
        <f aca="false">MAX(0,P297-CADASTRO_CASAS_BOMBA!$I$10*HORAS_CAPTACAO_DIA-Q296)</f>
        <v>0</v>
      </c>
      <c r="S297" s="16" t="n">
        <f aca="false">INDEX(AUX_MATRIZES!$C$13:$BP$13,MIN(N_SEMANAS,MAX(1,$C297)))/DIAS_POR_SEMANA</f>
        <v>15097.6297931034</v>
      </c>
      <c r="T297" s="16" t="n">
        <f aca="false">MIN(CADASTRO_CASAS_BOMBA!$O$11,MAX(0,T296+CADASTRO_CASAS_BOMBA!$I$11*HORAS_CAPTACAO_DIA-S297))</f>
        <v>25289.4808275862</v>
      </c>
      <c r="U297" s="16" t="n">
        <f aca="false">MAX(0,S297-CADASTRO_CASAS_BOMBA!$I$11*HORAS_CAPTACAO_DIA-T296)</f>
        <v>0</v>
      </c>
      <c r="V297" s="16" t="n">
        <f aca="false">INDEX(AUX_MATRIZES!$C$14:$BP$14,MIN(N_SEMANAS,MAX(1,$C297)))/DIAS_POR_SEMANA</f>
        <v>43063.8356862745</v>
      </c>
      <c r="W297" s="16" t="n">
        <f aca="false">MIN(CADASTRO_CASAS_BOMBA!$O$12,MAX(0,W296+CADASTRO_CASAS_BOMBA!$I$12*HORAS_CAPTACAO_DIA-V297))</f>
        <v>0</v>
      </c>
      <c r="X297" s="16" t="n">
        <f aca="false">MAX(0,V297-CADASTRO_CASAS_BOMBA!$I$12*HORAS_CAPTACAO_DIA-W296)</f>
        <v>17683.8356862745</v>
      </c>
      <c r="Y297" s="16" t="n">
        <f aca="false">INDEX(AUX_MATRIZES!$C$15:$BP$15,MIN(N_SEMANAS,MAX(1,$C297)))/DIAS_POR_SEMANA</f>
        <v>0</v>
      </c>
      <c r="Z297" s="16" t="n">
        <f aca="false">MIN(CADASTRO_CASAS_BOMBA!$O$13,MAX(0,Z296+CADASTRO_CASAS_BOMBA!$I$13*HORAS_CAPTACAO_DIA-Y297))</f>
        <v>74903</v>
      </c>
      <c r="AA297" s="16" t="n">
        <f aca="false">MAX(0,Y297-CADASTRO_CASAS_BOMBA!$I$13*HORAS_CAPTACAO_DIA-Z296)</f>
        <v>0</v>
      </c>
    </row>
    <row r="298" customFormat="false" ht="15" hidden="false" customHeight="false" outlineLevel="0" collapsed="false">
      <c r="B298" s="17" t="n">
        <f aca="false">DATA_INICIO_SAFRA+291</f>
        <v>46556</v>
      </c>
      <c r="C298" s="16" t="n">
        <f aca="false">MIN(N_SEMANAS,MAX(1,INT(($B298-DATA_INICIO_SAFRA)/DIAS_POR_SEMANA)+1))</f>
        <v>42</v>
      </c>
      <c r="D298" s="16" t="n">
        <f aca="false">INDEX(AUX_MATRIZES!$C$8:$BP$8,MIN(N_SEMANAS,MAX(1,$C298)))/DIAS_POR_SEMANA</f>
        <v>5163.00988235294</v>
      </c>
      <c r="E298" s="16" t="n">
        <f aca="false">MIN(CADASTRO_CASAS_BOMBA!$O$6,MAX(0,E297+CADASTRO_CASAS_BOMBA!$I$6*HORAS_CAPTACAO_DIA-D298))</f>
        <v>2600</v>
      </c>
      <c r="F298" s="16" t="n">
        <f aca="false">MAX(0,D298-CADASTRO_CASAS_BOMBA!$I$6*HORAS_CAPTACAO_DIA-E297)</f>
        <v>0</v>
      </c>
      <c r="G298" s="16" t="n">
        <f aca="false">INDEX(AUX_MATRIZES!$C$9:$BP$9,MIN(N_SEMANAS,MAX(1,$C298)))/DIAS_POR_SEMANA</f>
        <v>7947.87764705883</v>
      </c>
      <c r="H298" s="16" t="n">
        <f aca="false">MIN(CADASTRO_CASAS_BOMBA!$O$7,MAX(0,H297+CADASTRO_CASAS_BOMBA!$I$7*HORAS_CAPTACAO_DIA-G298))</f>
        <v>76648</v>
      </c>
      <c r="I298" s="16" t="n">
        <f aca="false">MAX(0,G298-CADASTRO_CASAS_BOMBA!$I$7*HORAS_CAPTACAO_DIA-H297)</f>
        <v>0</v>
      </c>
      <c r="J298" s="16" t="n">
        <f aca="false">INDEX(AUX_MATRIZES!$C$10:$BP$10,MIN(N_SEMANAS,MAX(1,$C298)))/DIAS_POR_SEMANA</f>
        <v>10386.9402352941</v>
      </c>
      <c r="K298" s="16" t="n">
        <f aca="false">MIN(CADASTRO_CASAS_BOMBA!$O$8,MAX(0,K297+CADASTRO_CASAS_BOMBA!$I$8*HORAS_CAPTACAO_DIA-J298))</f>
        <v>27377</v>
      </c>
      <c r="L298" s="16" t="n">
        <f aca="false">MAX(0,J298-CADASTRO_CASAS_BOMBA!$I$8*HORAS_CAPTACAO_DIA-K297)</f>
        <v>0</v>
      </c>
      <c r="M298" s="16" t="n">
        <f aca="false">INDEX(AUX_MATRIZES!$C$11:$BP$11,MIN(N_SEMANAS,MAX(1,$C298)))/DIAS_POR_SEMANA</f>
        <v>14047.6893152338</v>
      </c>
      <c r="N298" s="16" t="n">
        <f aca="false">MIN(CADASTRO_CASAS_BOMBA!$O$9,MAX(0,N297+CADASTRO_CASAS_BOMBA!$I$9*HORAS_CAPTACAO_DIA-M298))</f>
        <v>77201.811359621</v>
      </c>
      <c r="O298" s="16" t="n">
        <f aca="false">MAX(0,M298-CADASTRO_CASAS_BOMBA!$I$9*HORAS_CAPTACAO_DIA-N297)</f>
        <v>0</v>
      </c>
      <c r="P298" s="16" t="n">
        <f aca="false">INDEX(AUX_MATRIZES!$C$12:$BP$12,MIN(N_SEMANAS,MAX(1,$C298)))/DIAS_POR_SEMANA</f>
        <v>10099.3076186613</v>
      </c>
      <c r="Q298" s="16" t="n">
        <f aca="false">MIN(CADASTRO_CASAS_BOMBA!$O$10,MAX(0,Q297+CADASTRO_CASAS_BOMBA!$I$10*HORAS_CAPTACAO_DIA-P298))</f>
        <v>622927.793762523</v>
      </c>
      <c r="R298" s="16" t="n">
        <f aca="false">MAX(0,P298-CADASTRO_CASAS_BOMBA!$I$10*HORAS_CAPTACAO_DIA-Q297)</f>
        <v>0</v>
      </c>
      <c r="S298" s="16" t="n">
        <f aca="false">INDEX(AUX_MATRIZES!$C$13:$BP$13,MIN(N_SEMANAS,MAX(1,$C298)))/DIAS_POR_SEMANA</f>
        <v>15097.6297931034</v>
      </c>
      <c r="T298" s="16" t="n">
        <f aca="false">MIN(CADASTRO_CASAS_BOMBA!$O$11,MAX(0,T297+CADASTRO_CASAS_BOMBA!$I$11*HORAS_CAPTACAO_DIA-S298))</f>
        <v>31611.8510344828</v>
      </c>
      <c r="U298" s="16" t="n">
        <f aca="false">MAX(0,S298-CADASTRO_CASAS_BOMBA!$I$11*HORAS_CAPTACAO_DIA-T297)</f>
        <v>0</v>
      </c>
      <c r="V298" s="16" t="n">
        <f aca="false">INDEX(AUX_MATRIZES!$C$14:$BP$14,MIN(N_SEMANAS,MAX(1,$C298)))/DIAS_POR_SEMANA</f>
        <v>43063.8356862745</v>
      </c>
      <c r="W298" s="16" t="n">
        <f aca="false">MIN(CADASTRO_CASAS_BOMBA!$O$12,MAX(0,W297+CADASTRO_CASAS_BOMBA!$I$12*HORAS_CAPTACAO_DIA-V298))</f>
        <v>0</v>
      </c>
      <c r="X298" s="16" t="n">
        <f aca="false">MAX(0,V298-CADASTRO_CASAS_BOMBA!$I$12*HORAS_CAPTACAO_DIA-W297)</f>
        <v>17683.8356862745</v>
      </c>
      <c r="Y298" s="16" t="n">
        <f aca="false">INDEX(AUX_MATRIZES!$C$15:$BP$15,MIN(N_SEMANAS,MAX(1,$C298)))/DIAS_POR_SEMANA</f>
        <v>0</v>
      </c>
      <c r="Z298" s="16" t="n">
        <f aca="false">MIN(CADASTRO_CASAS_BOMBA!$O$13,MAX(0,Z297+CADASTRO_CASAS_BOMBA!$I$13*HORAS_CAPTACAO_DIA-Y298))</f>
        <v>74903</v>
      </c>
      <c r="AA298" s="16" t="n">
        <f aca="false">MAX(0,Y298-CADASTRO_CASAS_BOMBA!$I$13*HORAS_CAPTACAO_DIA-Z297)</f>
        <v>0</v>
      </c>
    </row>
    <row r="299" customFormat="false" ht="15" hidden="false" customHeight="false" outlineLevel="0" collapsed="false">
      <c r="B299" s="17" t="n">
        <f aca="false">DATA_INICIO_SAFRA+292</f>
        <v>46557</v>
      </c>
      <c r="C299" s="16" t="n">
        <f aca="false">MIN(N_SEMANAS,MAX(1,INT(($B299-DATA_INICIO_SAFRA)/DIAS_POR_SEMANA)+1))</f>
        <v>42</v>
      </c>
      <c r="D299" s="16" t="n">
        <f aca="false">INDEX(AUX_MATRIZES!$C$8:$BP$8,MIN(N_SEMANAS,MAX(1,$C299)))/DIAS_POR_SEMANA</f>
        <v>5163.00988235294</v>
      </c>
      <c r="E299" s="16" t="n">
        <f aca="false">MIN(CADASTRO_CASAS_BOMBA!$O$6,MAX(0,E298+CADASTRO_CASAS_BOMBA!$I$6*HORAS_CAPTACAO_DIA-D299))</f>
        <v>2600</v>
      </c>
      <c r="F299" s="16" t="n">
        <f aca="false">MAX(0,D299-CADASTRO_CASAS_BOMBA!$I$6*HORAS_CAPTACAO_DIA-E298)</f>
        <v>0</v>
      </c>
      <c r="G299" s="16" t="n">
        <f aca="false">INDEX(AUX_MATRIZES!$C$9:$BP$9,MIN(N_SEMANAS,MAX(1,$C299)))/DIAS_POR_SEMANA</f>
        <v>7947.87764705883</v>
      </c>
      <c r="H299" s="16" t="n">
        <f aca="false">MIN(CADASTRO_CASAS_BOMBA!$O$7,MAX(0,H298+CADASTRO_CASAS_BOMBA!$I$7*HORAS_CAPTACAO_DIA-G299))</f>
        <v>76648</v>
      </c>
      <c r="I299" s="16" t="n">
        <f aca="false">MAX(0,G299-CADASTRO_CASAS_BOMBA!$I$7*HORAS_CAPTACAO_DIA-H298)</f>
        <v>0</v>
      </c>
      <c r="J299" s="16" t="n">
        <f aca="false">INDEX(AUX_MATRIZES!$C$10:$BP$10,MIN(N_SEMANAS,MAX(1,$C299)))/DIAS_POR_SEMANA</f>
        <v>10386.9402352941</v>
      </c>
      <c r="K299" s="16" t="n">
        <f aca="false">MIN(CADASTRO_CASAS_BOMBA!$O$8,MAX(0,K298+CADASTRO_CASAS_BOMBA!$I$8*HORAS_CAPTACAO_DIA-J299))</f>
        <v>27377</v>
      </c>
      <c r="L299" s="16" t="n">
        <f aca="false">MAX(0,J299-CADASTRO_CASAS_BOMBA!$I$8*HORAS_CAPTACAO_DIA-K298)</f>
        <v>0</v>
      </c>
      <c r="M299" s="16" t="n">
        <f aca="false">INDEX(AUX_MATRIZES!$C$11:$BP$11,MIN(N_SEMANAS,MAX(1,$C299)))/DIAS_POR_SEMANA</f>
        <v>14047.6893152338</v>
      </c>
      <c r="N299" s="16" t="n">
        <f aca="false">MIN(CADASTRO_CASAS_BOMBA!$O$9,MAX(0,N298+CADASTRO_CASAS_BOMBA!$I$9*HORAS_CAPTACAO_DIA-M299))</f>
        <v>84784.7220443872</v>
      </c>
      <c r="O299" s="16" t="n">
        <f aca="false">MAX(0,M299-CADASTRO_CASAS_BOMBA!$I$9*HORAS_CAPTACAO_DIA-N298)</f>
        <v>0</v>
      </c>
      <c r="P299" s="16" t="n">
        <f aca="false">INDEX(AUX_MATRIZES!$C$12:$BP$12,MIN(N_SEMANAS,MAX(1,$C299)))/DIAS_POR_SEMANA</f>
        <v>10099.3076186613</v>
      </c>
      <c r="Q299" s="16" t="n">
        <f aca="false">MIN(CADASTRO_CASAS_BOMBA!$O$10,MAX(0,Q298+CADASTRO_CASAS_BOMBA!$I$10*HORAS_CAPTACAO_DIA-P299))</f>
        <v>625910.886143862</v>
      </c>
      <c r="R299" s="16" t="n">
        <f aca="false">MAX(0,P299-CADASTRO_CASAS_BOMBA!$I$10*HORAS_CAPTACAO_DIA-Q298)</f>
        <v>0</v>
      </c>
      <c r="S299" s="16" t="n">
        <f aca="false">INDEX(AUX_MATRIZES!$C$13:$BP$13,MIN(N_SEMANAS,MAX(1,$C299)))/DIAS_POR_SEMANA</f>
        <v>15097.6297931034</v>
      </c>
      <c r="T299" s="16" t="n">
        <f aca="false">MIN(CADASTRO_CASAS_BOMBA!$O$11,MAX(0,T298+CADASTRO_CASAS_BOMBA!$I$11*HORAS_CAPTACAO_DIA-S299))</f>
        <v>37934.2212413793</v>
      </c>
      <c r="U299" s="16" t="n">
        <f aca="false">MAX(0,S299-CADASTRO_CASAS_BOMBA!$I$11*HORAS_CAPTACAO_DIA-T298)</f>
        <v>0</v>
      </c>
      <c r="V299" s="16" t="n">
        <f aca="false">INDEX(AUX_MATRIZES!$C$14:$BP$14,MIN(N_SEMANAS,MAX(1,$C299)))/DIAS_POR_SEMANA</f>
        <v>43063.8356862745</v>
      </c>
      <c r="W299" s="16" t="n">
        <f aca="false">MIN(CADASTRO_CASAS_BOMBA!$O$12,MAX(0,W298+CADASTRO_CASAS_BOMBA!$I$12*HORAS_CAPTACAO_DIA-V299))</f>
        <v>0</v>
      </c>
      <c r="X299" s="16" t="n">
        <f aca="false">MAX(0,V299-CADASTRO_CASAS_BOMBA!$I$12*HORAS_CAPTACAO_DIA-W298)</f>
        <v>17683.8356862745</v>
      </c>
      <c r="Y299" s="16" t="n">
        <f aca="false">INDEX(AUX_MATRIZES!$C$15:$BP$15,MIN(N_SEMANAS,MAX(1,$C299)))/DIAS_POR_SEMANA</f>
        <v>0</v>
      </c>
      <c r="Z299" s="16" t="n">
        <f aca="false">MIN(CADASTRO_CASAS_BOMBA!$O$13,MAX(0,Z298+CADASTRO_CASAS_BOMBA!$I$13*HORAS_CAPTACAO_DIA-Y299))</f>
        <v>74903</v>
      </c>
      <c r="AA299" s="16" t="n">
        <f aca="false">MAX(0,Y299-CADASTRO_CASAS_BOMBA!$I$13*HORAS_CAPTACAO_DIA-Z298)</f>
        <v>0</v>
      </c>
    </row>
    <row r="300" customFormat="false" ht="15" hidden="false" customHeight="false" outlineLevel="0" collapsed="false">
      <c r="B300" s="17" t="n">
        <f aca="false">DATA_INICIO_SAFRA+293</f>
        <v>46558</v>
      </c>
      <c r="C300" s="16" t="n">
        <f aca="false">MIN(N_SEMANAS,MAX(1,INT(($B300-DATA_INICIO_SAFRA)/DIAS_POR_SEMANA)+1))</f>
        <v>42</v>
      </c>
      <c r="D300" s="16" t="n">
        <f aca="false">INDEX(AUX_MATRIZES!$C$8:$BP$8,MIN(N_SEMANAS,MAX(1,$C300)))/DIAS_POR_SEMANA</f>
        <v>5163.00988235294</v>
      </c>
      <c r="E300" s="16" t="n">
        <f aca="false">MIN(CADASTRO_CASAS_BOMBA!$O$6,MAX(0,E299+CADASTRO_CASAS_BOMBA!$I$6*HORAS_CAPTACAO_DIA-D300))</f>
        <v>2600</v>
      </c>
      <c r="F300" s="16" t="n">
        <f aca="false">MAX(0,D300-CADASTRO_CASAS_BOMBA!$I$6*HORAS_CAPTACAO_DIA-E299)</f>
        <v>0</v>
      </c>
      <c r="G300" s="16" t="n">
        <f aca="false">INDEX(AUX_MATRIZES!$C$9:$BP$9,MIN(N_SEMANAS,MAX(1,$C300)))/DIAS_POR_SEMANA</f>
        <v>7947.87764705883</v>
      </c>
      <c r="H300" s="16" t="n">
        <f aca="false">MIN(CADASTRO_CASAS_BOMBA!$O$7,MAX(0,H299+CADASTRO_CASAS_BOMBA!$I$7*HORAS_CAPTACAO_DIA-G300))</f>
        <v>76648</v>
      </c>
      <c r="I300" s="16" t="n">
        <f aca="false">MAX(0,G300-CADASTRO_CASAS_BOMBA!$I$7*HORAS_CAPTACAO_DIA-H299)</f>
        <v>0</v>
      </c>
      <c r="J300" s="16" t="n">
        <f aca="false">INDEX(AUX_MATRIZES!$C$10:$BP$10,MIN(N_SEMANAS,MAX(1,$C300)))/DIAS_POR_SEMANA</f>
        <v>10386.9402352941</v>
      </c>
      <c r="K300" s="16" t="n">
        <f aca="false">MIN(CADASTRO_CASAS_BOMBA!$O$8,MAX(0,K299+CADASTRO_CASAS_BOMBA!$I$8*HORAS_CAPTACAO_DIA-J300))</f>
        <v>27377</v>
      </c>
      <c r="L300" s="16" t="n">
        <f aca="false">MAX(0,J300-CADASTRO_CASAS_BOMBA!$I$8*HORAS_CAPTACAO_DIA-K299)</f>
        <v>0</v>
      </c>
      <c r="M300" s="16" t="n">
        <f aca="false">INDEX(AUX_MATRIZES!$C$11:$BP$11,MIN(N_SEMANAS,MAX(1,$C300)))/DIAS_POR_SEMANA</f>
        <v>14047.6893152338</v>
      </c>
      <c r="N300" s="16" t="n">
        <f aca="false">MIN(CADASTRO_CASAS_BOMBA!$O$9,MAX(0,N299+CADASTRO_CASAS_BOMBA!$I$9*HORAS_CAPTACAO_DIA-M300))</f>
        <v>92367.6327291534</v>
      </c>
      <c r="O300" s="16" t="n">
        <f aca="false">MAX(0,M300-CADASTRO_CASAS_BOMBA!$I$9*HORAS_CAPTACAO_DIA-N299)</f>
        <v>0</v>
      </c>
      <c r="P300" s="16" t="n">
        <f aca="false">INDEX(AUX_MATRIZES!$C$12:$BP$12,MIN(N_SEMANAS,MAX(1,$C300)))/DIAS_POR_SEMANA</f>
        <v>10099.3076186613</v>
      </c>
      <c r="Q300" s="16" t="n">
        <f aca="false">MIN(CADASTRO_CASAS_BOMBA!$O$10,MAX(0,Q299+CADASTRO_CASAS_BOMBA!$I$10*HORAS_CAPTACAO_DIA-P300))</f>
        <v>628893.978525201</v>
      </c>
      <c r="R300" s="16" t="n">
        <f aca="false">MAX(0,P300-CADASTRO_CASAS_BOMBA!$I$10*HORAS_CAPTACAO_DIA-Q299)</f>
        <v>0</v>
      </c>
      <c r="S300" s="16" t="n">
        <f aca="false">INDEX(AUX_MATRIZES!$C$13:$BP$13,MIN(N_SEMANAS,MAX(1,$C300)))/DIAS_POR_SEMANA</f>
        <v>15097.6297931034</v>
      </c>
      <c r="T300" s="16" t="n">
        <f aca="false">MIN(CADASTRO_CASAS_BOMBA!$O$11,MAX(0,T299+CADASTRO_CASAS_BOMBA!$I$11*HORAS_CAPTACAO_DIA-S300))</f>
        <v>44256.5914482759</v>
      </c>
      <c r="U300" s="16" t="n">
        <f aca="false">MAX(0,S300-CADASTRO_CASAS_BOMBA!$I$11*HORAS_CAPTACAO_DIA-T299)</f>
        <v>0</v>
      </c>
      <c r="V300" s="16" t="n">
        <f aca="false">INDEX(AUX_MATRIZES!$C$14:$BP$14,MIN(N_SEMANAS,MAX(1,$C300)))/DIAS_POR_SEMANA</f>
        <v>43063.8356862745</v>
      </c>
      <c r="W300" s="16" t="n">
        <f aca="false">MIN(CADASTRO_CASAS_BOMBA!$O$12,MAX(0,W299+CADASTRO_CASAS_BOMBA!$I$12*HORAS_CAPTACAO_DIA-V300))</f>
        <v>0</v>
      </c>
      <c r="X300" s="16" t="n">
        <f aca="false">MAX(0,V300-CADASTRO_CASAS_BOMBA!$I$12*HORAS_CAPTACAO_DIA-W299)</f>
        <v>17683.8356862745</v>
      </c>
      <c r="Y300" s="16" t="n">
        <f aca="false">INDEX(AUX_MATRIZES!$C$15:$BP$15,MIN(N_SEMANAS,MAX(1,$C300)))/DIAS_POR_SEMANA</f>
        <v>0</v>
      </c>
      <c r="Z300" s="16" t="n">
        <f aca="false">MIN(CADASTRO_CASAS_BOMBA!$O$13,MAX(0,Z299+CADASTRO_CASAS_BOMBA!$I$13*HORAS_CAPTACAO_DIA-Y300))</f>
        <v>74903</v>
      </c>
      <c r="AA300" s="16" t="n">
        <f aca="false">MAX(0,Y300-CADASTRO_CASAS_BOMBA!$I$13*HORAS_CAPTACAO_DIA-Z299)</f>
        <v>0</v>
      </c>
    </row>
    <row r="301" customFormat="false" ht="15" hidden="false" customHeight="false" outlineLevel="0" collapsed="false">
      <c r="B301" s="17" t="n">
        <f aca="false">DATA_INICIO_SAFRA+294</f>
        <v>46559</v>
      </c>
      <c r="C301" s="16" t="n">
        <f aca="false">MIN(N_SEMANAS,MAX(1,INT(($B301-DATA_INICIO_SAFRA)/DIAS_POR_SEMANA)+1))</f>
        <v>43</v>
      </c>
      <c r="D301" s="16" t="n">
        <f aca="false">INDEX(AUX_MATRIZES!$C$8:$BP$8,MIN(N_SEMANAS,MAX(1,$C301)))/DIAS_POR_SEMANA</f>
        <v>5163.00988235294</v>
      </c>
      <c r="E301" s="16" t="n">
        <f aca="false">MIN(CADASTRO_CASAS_BOMBA!$O$6,MAX(0,E300+CADASTRO_CASAS_BOMBA!$I$6*HORAS_CAPTACAO_DIA-D301))</f>
        <v>2600</v>
      </c>
      <c r="F301" s="16" t="n">
        <f aca="false">MAX(0,D301-CADASTRO_CASAS_BOMBA!$I$6*HORAS_CAPTACAO_DIA-E300)</f>
        <v>0</v>
      </c>
      <c r="G301" s="16" t="n">
        <f aca="false">INDEX(AUX_MATRIZES!$C$9:$BP$9,MIN(N_SEMANAS,MAX(1,$C301)))/DIAS_POR_SEMANA</f>
        <v>5051.32737254902</v>
      </c>
      <c r="H301" s="16" t="n">
        <f aca="false">MIN(CADASTRO_CASAS_BOMBA!$O$7,MAX(0,H300+CADASTRO_CASAS_BOMBA!$I$7*HORAS_CAPTACAO_DIA-G301))</f>
        <v>76648</v>
      </c>
      <c r="I301" s="16" t="n">
        <f aca="false">MAX(0,G301-CADASTRO_CASAS_BOMBA!$I$7*HORAS_CAPTACAO_DIA-H300)</f>
        <v>0</v>
      </c>
      <c r="J301" s="16" t="n">
        <f aca="false">INDEX(AUX_MATRIZES!$C$10:$BP$10,MIN(N_SEMANAS,MAX(1,$C301)))/DIAS_POR_SEMANA</f>
        <v>10386.9402352941</v>
      </c>
      <c r="K301" s="16" t="n">
        <f aca="false">MIN(CADASTRO_CASAS_BOMBA!$O$8,MAX(0,K300+CADASTRO_CASAS_BOMBA!$I$8*HORAS_CAPTACAO_DIA-J301))</f>
        <v>27377</v>
      </c>
      <c r="L301" s="16" t="n">
        <f aca="false">MAX(0,J301-CADASTRO_CASAS_BOMBA!$I$8*HORAS_CAPTACAO_DIA-K300)</f>
        <v>0</v>
      </c>
      <c r="M301" s="16" t="n">
        <f aca="false">INDEX(AUX_MATRIZES!$C$11:$BP$11,MIN(N_SEMANAS,MAX(1,$C301)))/DIAS_POR_SEMANA</f>
        <v>13484.623372549</v>
      </c>
      <c r="N301" s="16" t="n">
        <f aca="false">MIN(CADASTRO_CASAS_BOMBA!$O$9,MAX(0,N300+CADASTRO_CASAS_BOMBA!$I$9*HORAS_CAPTACAO_DIA-M301))</f>
        <v>100513.609356604</v>
      </c>
      <c r="O301" s="16" t="n">
        <f aca="false">MAX(0,M301-CADASTRO_CASAS_BOMBA!$I$9*HORAS_CAPTACAO_DIA-N300)</f>
        <v>0</v>
      </c>
      <c r="P301" s="16" t="n">
        <f aca="false">INDEX(AUX_MATRIZES!$C$12:$BP$12,MIN(N_SEMANAS,MAX(1,$C301)))/DIAS_POR_SEMANA</f>
        <v>9504.5489979716</v>
      </c>
      <c r="Q301" s="16" t="n">
        <f aca="false">MIN(CADASTRO_CASAS_BOMBA!$O$10,MAX(0,Q300+CADASTRO_CASAS_BOMBA!$I$10*HORAS_CAPTACAO_DIA-P301))</f>
        <v>632471.829527229</v>
      </c>
      <c r="R301" s="16" t="n">
        <f aca="false">MAX(0,P301-CADASTRO_CASAS_BOMBA!$I$10*HORAS_CAPTACAO_DIA-Q300)</f>
        <v>0</v>
      </c>
      <c r="S301" s="16" t="n">
        <f aca="false">INDEX(AUX_MATRIZES!$C$13:$BP$13,MIN(N_SEMANAS,MAX(1,$C301)))/DIAS_POR_SEMANA</f>
        <v>17465.2560432725</v>
      </c>
      <c r="T301" s="16" t="n">
        <f aca="false">MIN(CADASTRO_CASAS_BOMBA!$O$11,MAX(0,T300+CADASTRO_CASAS_BOMBA!$I$11*HORAS_CAPTACAO_DIA-S301))</f>
        <v>48211.3354050034</v>
      </c>
      <c r="U301" s="16" t="n">
        <f aca="false">MAX(0,S301-CADASTRO_CASAS_BOMBA!$I$11*HORAS_CAPTACAO_DIA-T300)</f>
        <v>0</v>
      </c>
      <c r="V301" s="16" t="n">
        <f aca="false">INDEX(AUX_MATRIZES!$C$14:$BP$14,MIN(N_SEMANAS,MAX(1,$C301)))/DIAS_POR_SEMANA</f>
        <v>37609.7602091503</v>
      </c>
      <c r="W301" s="16" t="n">
        <f aca="false">MIN(CADASTRO_CASAS_BOMBA!$O$12,MAX(0,W300+CADASTRO_CASAS_BOMBA!$I$12*HORAS_CAPTACAO_DIA-V301))</f>
        <v>0</v>
      </c>
      <c r="X301" s="16" t="n">
        <f aca="false">MAX(0,V301-CADASTRO_CASAS_BOMBA!$I$12*HORAS_CAPTACAO_DIA-W300)</f>
        <v>12229.7602091503</v>
      </c>
      <c r="Y301" s="16" t="n">
        <f aca="false">INDEX(AUX_MATRIZES!$C$15:$BP$15,MIN(N_SEMANAS,MAX(1,$C301)))/DIAS_POR_SEMANA</f>
        <v>0</v>
      </c>
      <c r="Z301" s="16" t="n">
        <f aca="false">MIN(CADASTRO_CASAS_BOMBA!$O$13,MAX(0,Z300+CADASTRO_CASAS_BOMBA!$I$13*HORAS_CAPTACAO_DIA-Y301))</f>
        <v>74903</v>
      </c>
      <c r="AA301" s="16" t="n">
        <f aca="false">MAX(0,Y301-CADASTRO_CASAS_BOMBA!$I$13*HORAS_CAPTACAO_DIA-Z300)</f>
        <v>0</v>
      </c>
    </row>
    <row r="302" customFormat="false" ht="15" hidden="false" customHeight="false" outlineLevel="0" collapsed="false">
      <c r="B302" s="17" t="n">
        <f aca="false">DATA_INICIO_SAFRA+295</f>
        <v>46560</v>
      </c>
      <c r="C302" s="16" t="n">
        <f aca="false">MIN(N_SEMANAS,MAX(1,INT(($B302-DATA_INICIO_SAFRA)/DIAS_POR_SEMANA)+1))</f>
        <v>43</v>
      </c>
      <c r="D302" s="16" t="n">
        <f aca="false">INDEX(AUX_MATRIZES!$C$8:$BP$8,MIN(N_SEMANAS,MAX(1,$C302)))/DIAS_POR_SEMANA</f>
        <v>5163.00988235294</v>
      </c>
      <c r="E302" s="16" t="n">
        <f aca="false">MIN(CADASTRO_CASAS_BOMBA!$O$6,MAX(0,E301+CADASTRO_CASAS_BOMBA!$I$6*HORAS_CAPTACAO_DIA-D302))</f>
        <v>2600</v>
      </c>
      <c r="F302" s="16" t="n">
        <f aca="false">MAX(0,D302-CADASTRO_CASAS_BOMBA!$I$6*HORAS_CAPTACAO_DIA-E301)</f>
        <v>0</v>
      </c>
      <c r="G302" s="16" t="n">
        <f aca="false">INDEX(AUX_MATRIZES!$C$9:$BP$9,MIN(N_SEMANAS,MAX(1,$C302)))/DIAS_POR_SEMANA</f>
        <v>5051.32737254902</v>
      </c>
      <c r="H302" s="16" t="n">
        <f aca="false">MIN(CADASTRO_CASAS_BOMBA!$O$7,MAX(0,H301+CADASTRO_CASAS_BOMBA!$I$7*HORAS_CAPTACAO_DIA-G302))</f>
        <v>76648</v>
      </c>
      <c r="I302" s="16" t="n">
        <f aca="false">MAX(0,G302-CADASTRO_CASAS_BOMBA!$I$7*HORAS_CAPTACAO_DIA-H301)</f>
        <v>0</v>
      </c>
      <c r="J302" s="16" t="n">
        <f aca="false">INDEX(AUX_MATRIZES!$C$10:$BP$10,MIN(N_SEMANAS,MAX(1,$C302)))/DIAS_POR_SEMANA</f>
        <v>10386.9402352941</v>
      </c>
      <c r="K302" s="16" t="n">
        <f aca="false">MIN(CADASTRO_CASAS_BOMBA!$O$8,MAX(0,K301+CADASTRO_CASAS_BOMBA!$I$8*HORAS_CAPTACAO_DIA-J302))</f>
        <v>27377</v>
      </c>
      <c r="L302" s="16" t="n">
        <f aca="false">MAX(0,J302-CADASTRO_CASAS_BOMBA!$I$8*HORAS_CAPTACAO_DIA-K301)</f>
        <v>0</v>
      </c>
      <c r="M302" s="16" t="n">
        <f aca="false">INDEX(AUX_MATRIZES!$C$11:$BP$11,MIN(N_SEMANAS,MAX(1,$C302)))/DIAS_POR_SEMANA</f>
        <v>13484.623372549</v>
      </c>
      <c r="N302" s="16" t="n">
        <f aca="false">MIN(CADASTRO_CASAS_BOMBA!$O$9,MAX(0,N301+CADASTRO_CASAS_BOMBA!$I$9*HORAS_CAPTACAO_DIA-M302))</f>
        <v>108659.585984055</v>
      </c>
      <c r="O302" s="16" t="n">
        <f aca="false">MAX(0,M302-CADASTRO_CASAS_BOMBA!$I$9*HORAS_CAPTACAO_DIA-N301)</f>
        <v>0</v>
      </c>
      <c r="P302" s="16" t="n">
        <f aca="false">INDEX(AUX_MATRIZES!$C$12:$BP$12,MIN(N_SEMANAS,MAX(1,$C302)))/DIAS_POR_SEMANA</f>
        <v>9504.5489979716</v>
      </c>
      <c r="Q302" s="16" t="n">
        <f aca="false">MIN(CADASTRO_CASAS_BOMBA!$O$10,MAX(0,Q301+CADASTRO_CASAS_BOMBA!$I$10*HORAS_CAPTACAO_DIA-P302))</f>
        <v>636049.680529258</v>
      </c>
      <c r="R302" s="16" t="n">
        <f aca="false">MAX(0,P302-CADASTRO_CASAS_BOMBA!$I$10*HORAS_CAPTACAO_DIA-Q301)</f>
        <v>0</v>
      </c>
      <c r="S302" s="16" t="n">
        <f aca="false">INDEX(AUX_MATRIZES!$C$13:$BP$13,MIN(N_SEMANAS,MAX(1,$C302)))/DIAS_POR_SEMANA</f>
        <v>17465.2560432725</v>
      </c>
      <c r="T302" s="16" t="n">
        <f aca="false">MIN(CADASTRO_CASAS_BOMBA!$O$11,MAX(0,T301+CADASTRO_CASAS_BOMBA!$I$11*HORAS_CAPTACAO_DIA-S302))</f>
        <v>52166.0793617309</v>
      </c>
      <c r="U302" s="16" t="n">
        <f aca="false">MAX(0,S302-CADASTRO_CASAS_BOMBA!$I$11*HORAS_CAPTACAO_DIA-T301)</f>
        <v>0</v>
      </c>
      <c r="V302" s="16" t="n">
        <f aca="false">INDEX(AUX_MATRIZES!$C$14:$BP$14,MIN(N_SEMANAS,MAX(1,$C302)))/DIAS_POR_SEMANA</f>
        <v>37609.7602091503</v>
      </c>
      <c r="W302" s="16" t="n">
        <f aca="false">MIN(CADASTRO_CASAS_BOMBA!$O$12,MAX(0,W301+CADASTRO_CASAS_BOMBA!$I$12*HORAS_CAPTACAO_DIA-V302))</f>
        <v>0</v>
      </c>
      <c r="X302" s="16" t="n">
        <f aca="false">MAX(0,V302-CADASTRO_CASAS_BOMBA!$I$12*HORAS_CAPTACAO_DIA-W301)</f>
        <v>12229.7602091503</v>
      </c>
      <c r="Y302" s="16" t="n">
        <f aca="false">INDEX(AUX_MATRIZES!$C$15:$BP$15,MIN(N_SEMANAS,MAX(1,$C302)))/DIAS_POR_SEMANA</f>
        <v>0</v>
      </c>
      <c r="Z302" s="16" t="n">
        <f aca="false">MIN(CADASTRO_CASAS_BOMBA!$O$13,MAX(0,Z301+CADASTRO_CASAS_BOMBA!$I$13*HORAS_CAPTACAO_DIA-Y302))</f>
        <v>74903</v>
      </c>
      <c r="AA302" s="16" t="n">
        <f aca="false">MAX(0,Y302-CADASTRO_CASAS_BOMBA!$I$13*HORAS_CAPTACAO_DIA-Z301)</f>
        <v>0</v>
      </c>
    </row>
    <row r="303" customFormat="false" ht="15" hidden="false" customHeight="false" outlineLevel="0" collapsed="false">
      <c r="B303" s="17" t="n">
        <f aca="false">DATA_INICIO_SAFRA+296</f>
        <v>46561</v>
      </c>
      <c r="C303" s="16" t="n">
        <f aca="false">MIN(N_SEMANAS,MAX(1,INT(($B303-DATA_INICIO_SAFRA)/DIAS_POR_SEMANA)+1))</f>
        <v>43</v>
      </c>
      <c r="D303" s="16" t="n">
        <f aca="false">INDEX(AUX_MATRIZES!$C$8:$BP$8,MIN(N_SEMANAS,MAX(1,$C303)))/DIAS_POR_SEMANA</f>
        <v>5163.00988235294</v>
      </c>
      <c r="E303" s="16" t="n">
        <f aca="false">MIN(CADASTRO_CASAS_BOMBA!$O$6,MAX(0,E302+CADASTRO_CASAS_BOMBA!$I$6*HORAS_CAPTACAO_DIA-D303))</f>
        <v>2600</v>
      </c>
      <c r="F303" s="16" t="n">
        <f aca="false">MAX(0,D303-CADASTRO_CASAS_BOMBA!$I$6*HORAS_CAPTACAO_DIA-E302)</f>
        <v>0</v>
      </c>
      <c r="G303" s="16" t="n">
        <f aca="false">INDEX(AUX_MATRIZES!$C$9:$BP$9,MIN(N_SEMANAS,MAX(1,$C303)))/DIAS_POR_SEMANA</f>
        <v>5051.32737254902</v>
      </c>
      <c r="H303" s="16" t="n">
        <f aca="false">MIN(CADASTRO_CASAS_BOMBA!$O$7,MAX(0,H302+CADASTRO_CASAS_BOMBA!$I$7*HORAS_CAPTACAO_DIA-G303))</f>
        <v>76648</v>
      </c>
      <c r="I303" s="16" t="n">
        <f aca="false">MAX(0,G303-CADASTRO_CASAS_BOMBA!$I$7*HORAS_CAPTACAO_DIA-H302)</f>
        <v>0</v>
      </c>
      <c r="J303" s="16" t="n">
        <f aca="false">INDEX(AUX_MATRIZES!$C$10:$BP$10,MIN(N_SEMANAS,MAX(1,$C303)))/DIAS_POR_SEMANA</f>
        <v>10386.9402352941</v>
      </c>
      <c r="K303" s="16" t="n">
        <f aca="false">MIN(CADASTRO_CASAS_BOMBA!$O$8,MAX(0,K302+CADASTRO_CASAS_BOMBA!$I$8*HORAS_CAPTACAO_DIA-J303))</f>
        <v>27377</v>
      </c>
      <c r="L303" s="16" t="n">
        <f aca="false">MAX(0,J303-CADASTRO_CASAS_BOMBA!$I$8*HORAS_CAPTACAO_DIA-K302)</f>
        <v>0</v>
      </c>
      <c r="M303" s="16" t="n">
        <f aca="false">INDEX(AUX_MATRIZES!$C$11:$BP$11,MIN(N_SEMANAS,MAX(1,$C303)))/DIAS_POR_SEMANA</f>
        <v>13484.623372549</v>
      </c>
      <c r="N303" s="16" t="n">
        <f aca="false">MIN(CADASTRO_CASAS_BOMBA!$O$9,MAX(0,N302+CADASTRO_CASAS_BOMBA!$I$9*HORAS_CAPTACAO_DIA-M303))</f>
        <v>116805.562611506</v>
      </c>
      <c r="O303" s="16" t="n">
        <f aca="false">MAX(0,M303-CADASTRO_CASAS_BOMBA!$I$9*HORAS_CAPTACAO_DIA-N302)</f>
        <v>0</v>
      </c>
      <c r="P303" s="16" t="n">
        <f aca="false">INDEX(AUX_MATRIZES!$C$12:$BP$12,MIN(N_SEMANAS,MAX(1,$C303)))/DIAS_POR_SEMANA</f>
        <v>9504.5489979716</v>
      </c>
      <c r="Q303" s="16" t="n">
        <f aca="false">MIN(CADASTRO_CASAS_BOMBA!$O$10,MAX(0,Q302+CADASTRO_CASAS_BOMBA!$I$10*HORAS_CAPTACAO_DIA-P303))</f>
        <v>639627.531531286</v>
      </c>
      <c r="R303" s="16" t="n">
        <f aca="false">MAX(0,P303-CADASTRO_CASAS_BOMBA!$I$10*HORAS_CAPTACAO_DIA-Q302)</f>
        <v>0</v>
      </c>
      <c r="S303" s="16" t="n">
        <f aca="false">INDEX(AUX_MATRIZES!$C$13:$BP$13,MIN(N_SEMANAS,MAX(1,$C303)))/DIAS_POR_SEMANA</f>
        <v>17465.2560432725</v>
      </c>
      <c r="T303" s="16" t="n">
        <f aca="false">MIN(CADASTRO_CASAS_BOMBA!$O$11,MAX(0,T302+CADASTRO_CASAS_BOMBA!$I$11*HORAS_CAPTACAO_DIA-S303))</f>
        <v>56120.8233184584</v>
      </c>
      <c r="U303" s="16" t="n">
        <f aca="false">MAX(0,S303-CADASTRO_CASAS_BOMBA!$I$11*HORAS_CAPTACAO_DIA-T302)</f>
        <v>0</v>
      </c>
      <c r="V303" s="16" t="n">
        <f aca="false">INDEX(AUX_MATRIZES!$C$14:$BP$14,MIN(N_SEMANAS,MAX(1,$C303)))/DIAS_POR_SEMANA</f>
        <v>37609.7602091503</v>
      </c>
      <c r="W303" s="16" t="n">
        <f aca="false">MIN(CADASTRO_CASAS_BOMBA!$O$12,MAX(0,W302+CADASTRO_CASAS_BOMBA!$I$12*HORAS_CAPTACAO_DIA-V303))</f>
        <v>0</v>
      </c>
      <c r="X303" s="16" t="n">
        <f aca="false">MAX(0,V303-CADASTRO_CASAS_BOMBA!$I$12*HORAS_CAPTACAO_DIA-W302)</f>
        <v>12229.7602091503</v>
      </c>
      <c r="Y303" s="16" t="n">
        <f aca="false">INDEX(AUX_MATRIZES!$C$15:$BP$15,MIN(N_SEMANAS,MAX(1,$C303)))/DIAS_POR_SEMANA</f>
        <v>0</v>
      </c>
      <c r="Z303" s="16" t="n">
        <f aca="false">MIN(CADASTRO_CASAS_BOMBA!$O$13,MAX(0,Z302+CADASTRO_CASAS_BOMBA!$I$13*HORAS_CAPTACAO_DIA-Y303))</f>
        <v>74903</v>
      </c>
      <c r="AA303" s="16" t="n">
        <f aca="false">MAX(0,Y303-CADASTRO_CASAS_BOMBA!$I$13*HORAS_CAPTACAO_DIA-Z302)</f>
        <v>0</v>
      </c>
    </row>
    <row r="304" customFormat="false" ht="15" hidden="false" customHeight="false" outlineLevel="0" collapsed="false">
      <c r="B304" s="17" t="n">
        <f aca="false">DATA_INICIO_SAFRA+297</f>
        <v>46562</v>
      </c>
      <c r="C304" s="16" t="n">
        <f aca="false">MIN(N_SEMANAS,MAX(1,INT(($B304-DATA_INICIO_SAFRA)/DIAS_POR_SEMANA)+1))</f>
        <v>43</v>
      </c>
      <c r="D304" s="16" t="n">
        <f aca="false">INDEX(AUX_MATRIZES!$C$8:$BP$8,MIN(N_SEMANAS,MAX(1,$C304)))/DIAS_POR_SEMANA</f>
        <v>5163.00988235294</v>
      </c>
      <c r="E304" s="16" t="n">
        <f aca="false">MIN(CADASTRO_CASAS_BOMBA!$O$6,MAX(0,E303+CADASTRO_CASAS_BOMBA!$I$6*HORAS_CAPTACAO_DIA-D304))</f>
        <v>2600</v>
      </c>
      <c r="F304" s="16" t="n">
        <f aca="false">MAX(0,D304-CADASTRO_CASAS_BOMBA!$I$6*HORAS_CAPTACAO_DIA-E303)</f>
        <v>0</v>
      </c>
      <c r="G304" s="16" t="n">
        <f aca="false">INDEX(AUX_MATRIZES!$C$9:$BP$9,MIN(N_SEMANAS,MAX(1,$C304)))/DIAS_POR_SEMANA</f>
        <v>5051.32737254902</v>
      </c>
      <c r="H304" s="16" t="n">
        <f aca="false">MIN(CADASTRO_CASAS_BOMBA!$O$7,MAX(0,H303+CADASTRO_CASAS_BOMBA!$I$7*HORAS_CAPTACAO_DIA-G304))</f>
        <v>76648</v>
      </c>
      <c r="I304" s="16" t="n">
        <f aca="false">MAX(0,G304-CADASTRO_CASAS_BOMBA!$I$7*HORAS_CAPTACAO_DIA-H303)</f>
        <v>0</v>
      </c>
      <c r="J304" s="16" t="n">
        <f aca="false">INDEX(AUX_MATRIZES!$C$10:$BP$10,MIN(N_SEMANAS,MAX(1,$C304)))/DIAS_POR_SEMANA</f>
        <v>10386.9402352941</v>
      </c>
      <c r="K304" s="16" t="n">
        <f aca="false">MIN(CADASTRO_CASAS_BOMBA!$O$8,MAX(0,K303+CADASTRO_CASAS_BOMBA!$I$8*HORAS_CAPTACAO_DIA-J304))</f>
        <v>27377</v>
      </c>
      <c r="L304" s="16" t="n">
        <f aca="false">MAX(0,J304-CADASTRO_CASAS_BOMBA!$I$8*HORAS_CAPTACAO_DIA-K303)</f>
        <v>0</v>
      </c>
      <c r="M304" s="16" t="n">
        <f aca="false">INDEX(AUX_MATRIZES!$C$11:$BP$11,MIN(N_SEMANAS,MAX(1,$C304)))/DIAS_POR_SEMANA</f>
        <v>13484.623372549</v>
      </c>
      <c r="N304" s="16" t="n">
        <f aca="false">MIN(CADASTRO_CASAS_BOMBA!$O$9,MAX(0,N303+CADASTRO_CASAS_BOMBA!$I$9*HORAS_CAPTACAO_DIA-M304))</f>
        <v>124951.539238957</v>
      </c>
      <c r="O304" s="16" t="n">
        <f aca="false">MAX(0,M304-CADASTRO_CASAS_BOMBA!$I$9*HORAS_CAPTACAO_DIA-N303)</f>
        <v>0</v>
      </c>
      <c r="P304" s="16" t="n">
        <f aca="false">INDEX(AUX_MATRIZES!$C$12:$BP$12,MIN(N_SEMANAS,MAX(1,$C304)))/DIAS_POR_SEMANA</f>
        <v>9504.5489979716</v>
      </c>
      <c r="Q304" s="16" t="n">
        <f aca="false">MIN(CADASTRO_CASAS_BOMBA!$O$10,MAX(0,Q303+CADASTRO_CASAS_BOMBA!$I$10*HORAS_CAPTACAO_DIA-P304))</f>
        <v>643205.382533315</v>
      </c>
      <c r="R304" s="16" t="n">
        <f aca="false">MAX(0,P304-CADASTRO_CASAS_BOMBA!$I$10*HORAS_CAPTACAO_DIA-Q303)</f>
        <v>0</v>
      </c>
      <c r="S304" s="16" t="n">
        <f aca="false">INDEX(AUX_MATRIZES!$C$13:$BP$13,MIN(N_SEMANAS,MAX(1,$C304)))/DIAS_POR_SEMANA</f>
        <v>17465.2560432725</v>
      </c>
      <c r="T304" s="16" t="n">
        <f aca="false">MIN(CADASTRO_CASAS_BOMBA!$O$11,MAX(0,T303+CADASTRO_CASAS_BOMBA!$I$11*HORAS_CAPTACAO_DIA-S304))</f>
        <v>60075.5672751859</v>
      </c>
      <c r="U304" s="16" t="n">
        <f aca="false">MAX(0,S304-CADASTRO_CASAS_BOMBA!$I$11*HORAS_CAPTACAO_DIA-T303)</f>
        <v>0</v>
      </c>
      <c r="V304" s="16" t="n">
        <f aca="false">INDEX(AUX_MATRIZES!$C$14:$BP$14,MIN(N_SEMANAS,MAX(1,$C304)))/DIAS_POR_SEMANA</f>
        <v>37609.7602091503</v>
      </c>
      <c r="W304" s="16" t="n">
        <f aca="false">MIN(CADASTRO_CASAS_BOMBA!$O$12,MAX(0,W303+CADASTRO_CASAS_BOMBA!$I$12*HORAS_CAPTACAO_DIA-V304))</f>
        <v>0</v>
      </c>
      <c r="X304" s="16" t="n">
        <f aca="false">MAX(0,V304-CADASTRO_CASAS_BOMBA!$I$12*HORAS_CAPTACAO_DIA-W303)</f>
        <v>12229.7602091503</v>
      </c>
      <c r="Y304" s="16" t="n">
        <f aca="false">INDEX(AUX_MATRIZES!$C$15:$BP$15,MIN(N_SEMANAS,MAX(1,$C304)))/DIAS_POR_SEMANA</f>
        <v>0</v>
      </c>
      <c r="Z304" s="16" t="n">
        <f aca="false">MIN(CADASTRO_CASAS_BOMBA!$O$13,MAX(0,Z303+CADASTRO_CASAS_BOMBA!$I$13*HORAS_CAPTACAO_DIA-Y304))</f>
        <v>74903</v>
      </c>
      <c r="AA304" s="16" t="n">
        <f aca="false">MAX(0,Y304-CADASTRO_CASAS_BOMBA!$I$13*HORAS_CAPTACAO_DIA-Z303)</f>
        <v>0</v>
      </c>
    </row>
    <row r="305" customFormat="false" ht="15" hidden="false" customHeight="false" outlineLevel="0" collapsed="false">
      <c r="B305" s="17" t="n">
        <f aca="false">DATA_INICIO_SAFRA+298</f>
        <v>46563</v>
      </c>
      <c r="C305" s="16" t="n">
        <f aca="false">MIN(N_SEMANAS,MAX(1,INT(($B305-DATA_INICIO_SAFRA)/DIAS_POR_SEMANA)+1))</f>
        <v>43</v>
      </c>
      <c r="D305" s="16" t="n">
        <f aca="false">INDEX(AUX_MATRIZES!$C$8:$BP$8,MIN(N_SEMANAS,MAX(1,$C305)))/DIAS_POR_SEMANA</f>
        <v>5163.00988235294</v>
      </c>
      <c r="E305" s="16" t="n">
        <f aca="false">MIN(CADASTRO_CASAS_BOMBA!$O$6,MAX(0,E304+CADASTRO_CASAS_BOMBA!$I$6*HORAS_CAPTACAO_DIA-D305))</f>
        <v>2600</v>
      </c>
      <c r="F305" s="16" t="n">
        <f aca="false">MAX(0,D305-CADASTRO_CASAS_BOMBA!$I$6*HORAS_CAPTACAO_DIA-E304)</f>
        <v>0</v>
      </c>
      <c r="G305" s="16" t="n">
        <f aca="false">INDEX(AUX_MATRIZES!$C$9:$BP$9,MIN(N_SEMANAS,MAX(1,$C305)))/DIAS_POR_SEMANA</f>
        <v>5051.32737254902</v>
      </c>
      <c r="H305" s="16" t="n">
        <f aca="false">MIN(CADASTRO_CASAS_BOMBA!$O$7,MAX(0,H304+CADASTRO_CASAS_BOMBA!$I$7*HORAS_CAPTACAO_DIA-G305))</f>
        <v>76648</v>
      </c>
      <c r="I305" s="16" t="n">
        <f aca="false">MAX(0,G305-CADASTRO_CASAS_BOMBA!$I$7*HORAS_CAPTACAO_DIA-H304)</f>
        <v>0</v>
      </c>
      <c r="J305" s="16" t="n">
        <f aca="false">INDEX(AUX_MATRIZES!$C$10:$BP$10,MIN(N_SEMANAS,MAX(1,$C305)))/DIAS_POR_SEMANA</f>
        <v>10386.9402352941</v>
      </c>
      <c r="K305" s="16" t="n">
        <f aca="false">MIN(CADASTRO_CASAS_BOMBA!$O$8,MAX(0,K304+CADASTRO_CASAS_BOMBA!$I$8*HORAS_CAPTACAO_DIA-J305))</f>
        <v>27377</v>
      </c>
      <c r="L305" s="16" t="n">
        <f aca="false">MAX(0,J305-CADASTRO_CASAS_BOMBA!$I$8*HORAS_CAPTACAO_DIA-K304)</f>
        <v>0</v>
      </c>
      <c r="M305" s="16" t="n">
        <f aca="false">INDEX(AUX_MATRIZES!$C$11:$BP$11,MIN(N_SEMANAS,MAX(1,$C305)))/DIAS_POR_SEMANA</f>
        <v>13484.623372549</v>
      </c>
      <c r="N305" s="16" t="n">
        <f aca="false">MIN(CADASTRO_CASAS_BOMBA!$O$9,MAX(0,N304+CADASTRO_CASAS_BOMBA!$I$9*HORAS_CAPTACAO_DIA-M305))</f>
        <v>129000</v>
      </c>
      <c r="O305" s="16" t="n">
        <f aca="false">MAX(0,M305-CADASTRO_CASAS_BOMBA!$I$9*HORAS_CAPTACAO_DIA-N304)</f>
        <v>0</v>
      </c>
      <c r="P305" s="16" t="n">
        <f aca="false">INDEX(AUX_MATRIZES!$C$12:$BP$12,MIN(N_SEMANAS,MAX(1,$C305)))/DIAS_POR_SEMANA</f>
        <v>9504.5489979716</v>
      </c>
      <c r="Q305" s="16" t="n">
        <f aca="false">MIN(CADASTRO_CASAS_BOMBA!$O$10,MAX(0,Q304+CADASTRO_CASAS_BOMBA!$I$10*HORAS_CAPTACAO_DIA-P305))</f>
        <v>646783.233535343</v>
      </c>
      <c r="R305" s="16" t="n">
        <f aca="false">MAX(0,P305-CADASTRO_CASAS_BOMBA!$I$10*HORAS_CAPTACAO_DIA-Q304)</f>
        <v>0</v>
      </c>
      <c r="S305" s="16" t="n">
        <f aca="false">INDEX(AUX_MATRIZES!$C$13:$BP$13,MIN(N_SEMANAS,MAX(1,$C305)))/DIAS_POR_SEMANA</f>
        <v>17465.2560432725</v>
      </c>
      <c r="T305" s="16" t="n">
        <f aca="false">MIN(CADASTRO_CASAS_BOMBA!$O$11,MAX(0,T304+CADASTRO_CASAS_BOMBA!$I$11*HORAS_CAPTACAO_DIA-S305))</f>
        <v>64030.3112319134</v>
      </c>
      <c r="U305" s="16" t="n">
        <f aca="false">MAX(0,S305-CADASTRO_CASAS_BOMBA!$I$11*HORAS_CAPTACAO_DIA-T304)</f>
        <v>0</v>
      </c>
      <c r="V305" s="16" t="n">
        <f aca="false">INDEX(AUX_MATRIZES!$C$14:$BP$14,MIN(N_SEMANAS,MAX(1,$C305)))/DIAS_POR_SEMANA</f>
        <v>37609.7602091503</v>
      </c>
      <c r="W305" s="16" t="n">
        <f aca="false">MIN(CADASTRO_CASAS_BOMBA!$O$12,MAX(0,W304+CADASTRO_CASAS_BOMBA!$I$12*HORAS_CAPTACAO_DIA-V305))</f>
        <v>0</v>
      </c>
      <c r="X305" s="16" t="n">
        <f aca="false">MAX(0,V305-CADASTRO_CASAS_BOMBA!$I$12*HORAS_CAPTACAO_DIA-W304)</f>
        <v>12229.7602091503</v>
      </c>
      <c r="Y305" s="16" t="n">
        <f aca="false">INDEX(AUX_MATRIZES!$C$15:$BP$15,MIN(N_SEMANAS,MAX(1,$C305)))/DIAS_POR_SEMANA</f>
        <v>0</v>
      </c>
      <c r="Z305" s="16" t="n">
        <f aca="false">MIN(CADASTRO_CASAS_BOMBA!$O$13,MAX(0,Z304+CADASTRO_CASAS_BOMBA!$I$13*HORAS_CAPTACAO_DIA-Y305))</f>
        <v>74903</v>
      </c>
      <c r="AA305" s="16" t="n">
        <f aca="false">MAX(0,Y305-CADASTRO_CASAS_BOMBA!$I$13*HORAS_CAPTACAO_DIA-Z304)</f>
        <v>0</v>
      </c>
    </row>
    <row r="306" customFormat="false" ht="15" hidden="false" customHeight="false" outlineLevel="0" collapsed="false">
      <c r="B306" s="17" t="n">
        <f aca="false">DATA_INICIO_SAFRA+299</f>
        <v>46564</v>
      </c>
      <c r="C306" s="16" t="n">
        <f aca="false">MIN(N_SEMANAS,MAX(1,INT(($B306-DATA_INICIO_SAFRA)/DIAS_POR_SEMANA)+1))</f>
        <v>43</v>
      </c>
      <c r="D306" s="16" t="n">
        <f aca="false">INDEX(AUX_MATRIZES!$C$8:$BP$8,MIN(N_SEMANAS,MAX(1,$C306)))/DIAS_POR_SEMANA</f>
        <v>5163.00988235294</v>
      </c>
      <c r="E306" s="16" t="n">
        <f aca="false">MIN(CADASTRO_CASAS_BOMBA!$O$6,MAX(0,E305+CADASTRO_CASAS_BOMBA!$I$6*HORAS_CAPTACAO_DIA-D306))</f>
        <v>2600</v>
      </c>
      <c r="F306" s="16" t="n">
        <f aca="false">MAX(0,D306-CADASTRO_CASAS_BOMBA!$I$6*HORAS_CAPTACAO_DIA-E305)</f>
        <v>0</v>
      </c>
      <c r="G306" s="16" t="n">
        <f aca="false">INDEX(AUX_MATRIZES!$C$9:$BP$9,MIN(N_SEMANAS,MAX(1,$C306)))/DIAS_POR_SEMANA</f>
        <v>5051.32737254902</v>
      </c>
      <c r="H306" s="16" t="n">
        <f aca="false">MIN(CADASTRO_CASAS_BOMBA!$O$7,MAX(0,H305+CADASTRO_CASAS_BOMBA!$I$7*HORAS_CAPTACAO_DIA-G306))</f>
        <v>76648</v>
      </c>
      <c r="I306" s="16" t="n">
        <f aca="false">MAX(0,G306-CADASTRO_CASAS_BOMBA!$I$7*HORAS_CAPTACAO_DIA-H305)</f>
        <v>0</v>
      </c>
      <c r="J306" s="16" t="n">
        <f aca="false">INDEX(AUX_MATRIZES!$C$10:$BP$10,MIN(N_SEMANAS,MAX(1,$C306)))/DIAS_POR_SEMANA</f>
        <v>10386.9402352941</v>
      </c>
      <c r="K306" s="16" t="n">
        <f aca="false">MIN(CADASTRO_CASAS_BOMBA!$O$8,MAX(0,K305+CADASTRO_CASAS_BOMBA!$I$8*HORAS_CAPTACAO_DIA-J306))</f>
        <v>27377</v>
      </c>
      <c r="L306" s="16" t="n">
        <f aca="false">MAX(0,J306-CADASTRO_CASAS_BOMBA!$I$8*HORAS_CAPTACAO_DIA-K305)</f>
        <v>0</v>
      </c>
      <c r="M306" s="16" t="n">
        <f aca="false">INDEX(AUX_MATRIZES!$C$11:$BP$11,MIN(N_SEMANAS,MAX(1,$C306)))/DIAS_POR_SEMANA</f>
        <v>13484.623372549</v>
      </c>
      <c r="N306" s="16" t="n">
        <f aca="false">MIN(CADASTRO_CASAS_BOMBA!$O$9,MAX(0,N305+CADASTRO_CASAS_BOMBA!$I$9*HORAS_CAPTACAO_DIA-M306))</f>
        <v>129000</v>
      </c>
      <c r="O306" s="16" t="n">
        <f aca="false">MAX(0,M306-CADASTRO_CASAS_BOMBA!$I$9*HORAS_CAPTACAO_DIA-N305)</f>
        <v>0</v>
      </c>
      <c r="P306" s="16" t="n">
        <f aca="false">INDEX(AUX_MATRIZES!$C$12:$BP$12,MIN(N_SEMANAS,MAX(1,$C306)))/DIAS_POR_SEMANA</f>
        <v>9504.5489979716</v>
      </c>
      <c r="Q306" s="16" t="n">
        <f aca="false">MIN(CADASTRO_CASAS_BOMBA!$O$10,MAX(0,Q305+CADASTRO_CASAS_BOMBA!$I$10*HORAS_CAPTACAO_DIA-P306))</f>
        <v>650361.084537371</v>
      </c>
      <c r="R306" s="16" t="n">
        <f aca="false">MAX(0,P306-CADASTRO_CASAS_BOMBA!$I$10*HORAS_CAPTACAO_DIA-Q305)</f>
        <v>0</v>
      </c>
      <c r="S306" s="16" t="n">
        <f aca="false">INDEX(AUX_MATRIZES!$C$13:$BP$13,MIN(N_SEMANAS,MAX(1,$C306)))/DIAS_POR_SEMANA</f>
        <v>17465.2560432725</v>
      </c>
      <c r="T306" s="16" t="n">
        <f aca="false">MIN(CADASTRO_CASAS_BOMBA!$O$11,MAX(0,T305+CADASTRO_CASAS_BOMBA!$I$11*HORAS_CAPTACAO_DIA-S306))</f>
        <v>67985.0551886409</v>
      </c>
      <c r="U306" s="16" t="n">
        <f aca="false">MAX(0,S306-CADASTRO_CASAS_BOMBA!$I$11*HORAS_CAPTACAO_DIA-T305)</f>
        <v>0</v>
      </c>
      <c r="V306" s="16" t="n">
        <f aca="false">INDEX(AUX_MATRIZES!$C$14:$BP$14,MIN(N_SEMANAS,MAX(1,$C306)))/DIAS_POR_SEMANA</f>
        <v>37609.7602091503</v>
      </c>
      <c r="W306" s="16" t="n">
        <f aca="false">MIN(CADASTRO_CASAS_BOMBA!$O$12,MAX(0,W305+CADASTRO_CASAS_BOMBA!$I$12*HORAS_CAPTACAO_DIA-V306))</f>
        <v>0</v>
      </c>
      <c r="X306" s="16" t="n">
        <f aca="false">MAX(0,V306-CADASTRO_CASAS_BOMBA!$I$12*HORAS_CAPTACAO_DIA-W305)</f>
        <v>12229.7602091503</v>
      </c>
      <c r="Y306" s="16" t="n">
        <f aca="false">INDEX(AUX_MATRIZES!$C$15:$BP$15,MIN(N_SEMANAS,MAX(1,$C306)))/DIAS_POR_SEMANA</f>
        <v>0</v>
      </c>
      <c r="Z306" s="16" t="n">
        <f aca="false">MIN(CADASTRO_CASAS_BOMBA!$O$13,MAX(0,Z305+CADASTRO_CASAS_BOMBA!$I$13*HORAS_CAPTACAO_DIA-Y306))</f>
        <v>74903</v>
      </c>
      <c r="AA306" s="16" t="n">
        <f aca="false">MAX(0,Y306-CADASTRO_CASAS_BOMBA!$I$13*HORAS_CAPTACAO_DIA-Z305)</f>
        <v>0</v>
      </c>
    </row>
    <row r="307" customFormat="false" ht="15" hidden="false" customHeight="false" outlineLevel="0" collapsed="false">
      <c r="B307" s="17" t="n">
        <f aca="false">DATA_INICIO_SAFRA+300</f>
        <v>46565</v>
      </c>
      <c r="C307" s="16" t="n">
        <f aca="false">MIN(N_SEMANAS,MAX(1,INT(($B307-DATA_INICIO_SAFRA)/DIAS_POR_SEMANA)+1))</f>
        <v>43</v>
      </c>
      <c r="D307" s="16" t="n">
        <f aca="false">INDEX(AUX_MATRIZES!$C$8:$BP$8,MIN(N_SEMANAS,MAX(1,$C307)))/DIAS_POR_SEMANA</f>
        <v>5163.00988235294</v>
      </c>
      <c r="E307" s="16" t="n">
        <f aca="false">MIN(CADASTRO_CASAS_BOMBA!$O$6,MAX(0,E306+CADASTRO_CASAS_BOMBA!$I$6*HORAS_CAPTACAO_DIA-D307))</f>
        <v>2600</v>
      </c>
      <c r="F307" s="16" t="n">
        <f aca="false">MAX(0,D307-CADASTRO_CASAS_BOMBA!$I$6*HORAS_CAPTACAO_DIA-E306)</f>
        <v>0</v>
      </c>
      <c r="G307" s="16" t="n">
        <f aca="false">INDEX(AUX_MATRIZES!$C$9:$BP$9,MIN(N_SEMANAS,MAX(1,$C307)))/DIAS_POR_SEMANA</f>
        <v>5051.32737254902</v>
      </c>
      <c r="H307" s="16" t="n">
        <f aca="false">MIN(CADASTRO_CASAS_BOMBA!$O$7,MAX(0,H306+CADASTRO_CASAS_BOMBA!$I$7*HORAS_CAPTACAO_DIA-G307))</f>
        <v>76648</v>
      </c>
      <c r="I307" s="16" t="n">
        <f aca="false">MAX(0,G307-CADASTRO_CASAS_BOMBA!$I$7*HORAS_CAPTACAO_DIA-H306)</f>
        <v>0</v>
      </c>
      <c r="J307" s="16" t="n">
        <f aca="false">INDEX(AUX_MATRIZES!$C$10:$BP$10,MIN(N_SEMANAS,MAX(1,$C307)))/DIAS_POR_SEMANA</f>
        <v>10386.9402352941</v>
      </c>
      <c r="K307" s="16" t="n">
        <f aca="false">MIN(CADASTRO_CASAS_BOMBA!$O$8,MAX(0,K306+CADASTRO_CASAS_BOMBA!$I$8*HORAS_CAPTACAO_DIA-J307))</f>
        <v>27377</v>
      </c>
      <c r="L307" s="16" t="n">
        <f aca="false">MAX(0,J307-CADASTRO_CASAS_BOMBA!$I$8*HORAS_CAPTACAO_DIA-K306)</f>
        <v>0</v>
      </c>
      <c r="M307" s="16" t="n">
        <f aca="false">INDEX(AUX_MATRIZES!$C$11:$BP$11,MIN(N_SEMANAS,MAX(1,$C307)))/DIAS_POR_SEMANA</f>
        <v>13484.623372549</v>
      </c>
      <c r="N307" s="16" t="n">
        <f aca="false">MIN(CADASTRO_CASAS_BOMBA!$O$9,MAX(0,N306+CADASTRO_CASAS_BOMBA!$I$9*HORAS_CAPTACAO_DIA-M307))</f>
        <v>129000</v>
      </c>
      <c r="O307" s="16" t="n">
        <f aca="false">MAX(0,M307-CADASTRO_CASAS_BOMBA!$I$9*HORAS_CAPTACAO_DIA-N306)</f>
        <v>0</v>
      </c>
      <c r="P307" s="16" t="n">
        <f aca="false">INDEX(AUX_MATRIZES!$C$12:$BP$12,MIN(N_SEMANAS,MAX(1,$C307)))/DIAS_POR_SEMANA</f>
        <v>9504.5489979716</v>
      </c>
      <c r="Q307" s="16" t="n">
        <f aca="false">MIN(CADASTRO_CASAS_BOMBA!$O$10,MAX(0,Q306+CADASTRO_CASAS_BOMBA!$I$10*HORAS_CAPTACAO_DIA-P307))</f>
        <v>653938.9355394</v>
      </c>
      <c r="R307" s="16" t="n">
        <f aca="false">MAX(0,P307-CADASTRO_CASAS_BOMBA!$I$10*HORAS_CAPTACAO_DIA-Q306)</f>
        <v>0</v>
      </c>
      <c r="S307" s="16" t="n">
        <f aca="false">INDEX(AUX_MATRIZES!$C$13:$BP$13,MIN(N_SEMANAS,MAX(1,$C307)))/DIAS_POR_SEMANA</f>
        <v>17465.2560432725</v>
      </c>
      <c r="T307" s="16" t="n">
        <f aca="false">MIN(CADASTRO_CASAS_BOMBA!$O$11,MAX(0,T306+CADASTRO_CASAS_BOMBA!$I$11*HORAS_CAPTACAO_DIA-S307))</f>
        <v>71939.7991453685</v>
      </c>
      <c r="U307" s="16" t="n">
        <f aca="false">MAX(0,S307-CADASTRO_CASAS_BOMBA!$I$11*HORAS_CAPTACAO_DIA-T306)</f>
        <v>0</v>
      </c>
      <c r="V307" s="16" t="n">
        <f aca="false">INDEX(AUX_MATRIZES!$C$14:$BP$14,MIN(N_SEMANAS,MAX(1,$C307)))/DIAS_POR_SEMANA</f>
        <v>37609.7602091503</v>
      </c>
      <c r="W307" s="16" t="n">
        <f aca="false">MIN(CADASTRO_CASAS_BOMBA!$O$12,MAX(0,W306+CADASTRO_CASAS_BOMBA!$I$12*HORAS_CAPTACAO_DIA-V307))</f>
        <v>0</v>
      </c>
      <c r="X307" s="16" t="n">
        <f aca="false">MAX(0,V307-CADASTRO_CASAS_BOMBA!$I$12*HORAS_CAPTACAO_DIA-W306)</f>
        <v>12229.7602091503</v>
      </c>
      <c r="Y307" s="16" t="n">
        <f aca="false">INDEX(AUX_MATRIZES!$C$15:$BP$15,MIN(N_SEMANAS,MAX(1,$C307)))/DIAS_POR_SEMANA</f>
        <v>0</v>
      </c>
      <c r="Z307" s="16" t="n">
        <f aca="false">MIN(CADASTRO_CASAS_BOMBA!$O$13,MAX(0,Z306+CADASTRO_CASAS_BOMBA!$I$13*HORAS_CAPTACAO_DIA-Y307))</f>
        <v>74903</v>
      </c>
      <c r="AA307" s="16" t="n">
        <f aca="false">MAX(0,Y307-CADASTRO_CASAS_BOMBA!$I$13*HORAS_CAPTACAO_DIA-Z306)</f>
        <v>0</v>
      </c>
    </row>
    <row r="308" customFormat="false" ht="15" hidden="false" customHeight="false" outlineLevel="0" collapsed="false">
      <c r="B308" s="17" t="n">
        <f aca="false">DATA_INICIO_SAFRA+301</f>
        <v>46566</v>
      </c>
      <c r="C308" s="16" t="n">
        <f aca="false">MIN(N_SEMANAS,MAX(1,INT(($B308-DATA_INICIO_SAFRA)/DIAS_POR_SEMANA)+1))</f>
        <v>44</v>
      </c>
      <c r="D308" s="16" t="n">
        <f aca="false">INDEX(AUX_MATRIZES!$C$8:$BP$8,MIN(N_SEMANAS,MAX(1,$C308)))/DIAS_POR_SEMANA</f>
        <v>5107.27576544464</v>
      </c>
      <c r="E308" s="16" t="n">
        <f aca="false">MIN(CADASTRO_CASAS_BOMBA!$O$6,MAX(0,E307+CADASTRO_CASAS_BOMBA!$I$6*HORAS_CAPTACAO_DIA-D308))</f>
        <v>2600</v>
      </c>
      <c r="F308" s="16" t="n">
        <f aca="false">MAX(0,D308-CADASTRO_CASAS_BOMBA!$I$6*HORAS_CAPTACAO_DIA-E307)</f>
        <v>0</v>
      </c>
      <c r="G308" s="16" t="n">
        <f aca="false">INDEX(AUX_MATRIZES!$C$9:$BP$9,MIN(N_SEMANAS,MAX(1,$C308)))/DIAS_POR_SEMANA</f>
        <v>4890.23309803921</v>
      </c>
      <c r="H308" s="16" t="n">
        <f aca="false">MIN(CADASTRO_CASAS_BOMBA!$O$7,MAX(0,H307+CADASTRO_CASAS_BOMBA!$I$7*HORAS_CAPTACAO_DIA-G308))</f>
        <v>76648</v>
      </c>
      <c r="I308" s="16" t="n">
        <f aca="false">MAX(0,G308-CADASTRO_CASAS_BOMBA!$I$7*HORAS_CAPTACAO_DIA-H307)</f>
        <v>0</v>
      </c>
      <c r="J308" s="16" t="n">
        <f aca="false">INDEX(AUX_MATRIZES!$C$10:$BP$10,MIN(N_SEMANAS,MAX(1,$C308)))/DIAS_POR_SEMANA</f>
        <v>10470.3600854496</v>
      </c>
      <c r="K308" s="16" t="n">
        <f aca="false">MIN(CADASTRO_CASAS_BOMBA!$O$8,MAX(0,K307+CADASTRO_CASAS_BOMBA!$I$8*HORAS_CAPTACAO_DIA-J308))</f>
        <v>27377</v>
      </c>
      <c r="L308" s="16" t="n">
        <f aca="false">MAX(0,J308-CADASTRO_CASAS_BOMBA!$I$8*HORAS_CAPTACAO_DIA-K307)</f>
        <v>0</v>
      </c>
      <c r="M308" s="16" t="n">
        <f aca="false">INDEX(AUX_MATRIZES!$C$11:$BP$11,MIN(N_SEMANAS,MAX(1,$C308)))/DIAS_POR_SEMANA</f>
        <v>10596.0620477114</v>
      </c>
      <c r="N308" s="16" t="n">
        <f aca="false">MIN(CADASTRO_CASAS_BOMBA!$O$9,MAX(0,N307+CADASTRO_CASAS_BOMBA!$I$9*HORAS_CAPTACAO_DIA-M308))</f>
        <v>129000</v>
      </c>
      <c r="O308" s="16" t="n">
        <f aca="false">MAX(0,M308-CADASTRO_CASAS_BOMBA!$I$9*HORAS_CAPTACAO_DIA-N307)</f>
        <v>0</v>
      </c>
      <c r="P308" s="16" t="n">
        <f aca="false">INDEX(AUX_MATRIZES!$C$12:$BP$12,MIN(N_SEMANAS,MAX(1,$C308)))/DIAS_POR_SEMANA</f>
        <v>5821.42409829035</v>
      </c>
      <c r="Q308" s="16" t="n">
        <f aca="false">MIN(CADASTRO_CASAS_BOMBA!$O$10,MAX(0,Q307+CADASTRO_CASAS_BOMBA!$I$10*HORAS_CAPTACAO_DIA-P308))</f>
        <v>661199.91144111</v>
      </c>
      <c r="R308" s="16" t="n">
        <f aca="false">MAX(0,P308-CADASTRO_CASAS_BOMBA!$I$10*HORAS_CAPTACAO_DIA-Q307)</f>
        <v>0</v>
      </c>
      <c r="S308" s="16" t="n">
        <f aca="false">INDEX(AUX_MATRIZES!$C$13:$BP$13,MIN(N_SEMANAS,MAX(1,$C308)))/DIAS_POR_SEMANA</f>
        <v>14552.6252683473</v>
      </c>
      <c r="T308" s="16" t="n">
        <f aca="false">MIN(CADASTRO_CASAS_BOMBA!$O$11,MAX(0,T307+CADASTRO_CASAS_BOMBA!$I$11*HORAS_CAPTACAO_DIA-S308))</f>
        <v>78807.1738770211</v>
      </c>
      <c r="U308" s="16" t="n">
        <f aca="false">MAX(0,S308-CADASTRO_CASAS_BOMBA!$I$11*HORAS_CAPTACAO_DIA-T307)</f>
        <v>0</v>
      </c>
      <c r="V308" s="16" t="n">
        <f aca="false">INDEX(AUX_MATRIZES!$C$14:$BP$14,MIN(N_SEMANAS,MAX(1,$C308)))/DIAS_POR_SEMANA</f>
        <v>39749.4234621849</v>
      </c>
      <c r="W308" s="16" t="n">
        <f aca="false">MIN(CADASTRO_CASAS_BOMBA!$O$12,MAX(0,W307+CADASTRO_CASAS_BOMBA!$I$12*HORAS_CAPTACAO_DIA-V308))</f>
        <v>0</v>
      </c>
      <c r="X308" s="16" t="n">
        <f aca="false">MAX(0,V308-CADASTRO_CASAS_BOMBA!$I$12*HORAS_CAPTACAO_DIA-W307)</f>
        <v>14369.4234621849</v>
      </c>
      <c r="Y308" s="16" t="n">
        <f aca="false">INDEX(AUX_MATRIZES!$C$15:$BP$15,MIN(N_SEMANAS,MAX(1,$C308)))/DIAS_POR_SEMANA</f>
        <v>0</v>
      </c>
      <c r="Z308" s="16" t="n">
        <f aca="false">MIN(CADASTRO_CASAS_BOMBA!$O$13,MAX(0,Z307+CADASTRO_CASAS_BOMBA!$I$13*HORAS_CAPTACAO_DIA-Y308))</f>
        <v>74903</v>
      </c>
      <c r="AA308" s="16" t="n">
        <f aca="false">MAX(0,Y308-CADASTRO_CASAS_BOMBA!$I$13*HORAS_CAPTACAO_DIA-Z307)</f>
        <v>0</v>
      </c>
    </row>
    <row r="309" customFormat="false" ht="15" hidden="false" customHeight="false" outlineLevel="0" collapsed="false">
      <c r="B309" s="17" t="n">
        <f aca="false">DATA_INICIO_SAFRA+302</f>
        <v>46567</v>
      </c>
      <c r="C309" s="16" t="n">
        <f aca="false">MIN(N_SEMANAS,MAX(1,INT(($B309-DATA_INICIO_SAFRA)/DIAS_POR_SEMANA)+1))</f>
        <v>44</v>
      </c>
      <c r="D309" s="16" t="n">
        <f aca="false">INDEX(AUX_MATRIZES!$C$8:$BP$8,MIN(N_SEMANAS,MAX(1,$C309)))/DIAS_POR_SEMANA</f>
        <v>5107.27576544464</v>
      </c>
      <c r="E309" s="16" t="n">
        <f aca="false">MIN(CADASTRO_CASAS_BOMBA!$O$6,MAX(0,E308+CADASTRO_CASAS_BOMBA!$I$6*HORAS_CAPTACAO_DIA-D309))</f>
        <v>2600</v>
      </c>
      <c r="F309" s="16" t="n">
        <f aca="false">MAX(0,D309-CADASTRO_CASAS_BOMBA!$I$6*HORAS_CAPTACAO_DIA-E308)</f>
        <v>0</v>
      </c>
      <c r="G309" s="16" t="n">
        <f aca="false">INDEX(AUX_MATRIZES!$C$9:$BP$9,MIN(N_SEMANAS,MAX(1,$C309)))/DIAS_POR_SEMANA</f>
        <v>4890.23309803921</v>
      </c>
      <c r="H309" s="16" t="n">
        <f aca="false">MIN(CADASTRO_CASAS_BOMBA!$O$7,MAX(0,H308+CADASTRO_CASAS_BOMBA!$I$7*HORAS_CAPTACAO_DIA-G309))</f>
        <v>76648</v>
      </c>
      <c r="I309" s="16" t="n">
        <f aca="false">MAX(0,G309-CADASTRO_CASAS_BOMBA!$I$7*HORAS_CAPTACAO_DIA-H308)</f>
        <v>0</v>
      </c>
      <c r="J309" s="16" t="n">
        <f aca="false">INDEX(AUX_MATRIZES!$C$10:$BP$10,MIN(N_SEMANAS,MAX(1,$C309)))/DIAS_POR_SEMANA</f>
        <v>10470.3600854496</v>
      </c>
      <c r="K309" s="16" t="n">
        <f aca="false">MIN(CADASTRO_CASAS_BOMBA!$O$8,MAX(0,K308+CADASTRO_CASAS_BOMBA!$I$8*HORAS_CAPTACAO_DIA-J309))</f>
        <v>27377</v>
      </c>
      <c r="L309" s="16" t="n">
        <f aca="false">MAX(0,J309-CADASTRO_CASAS_BOMBA!$I$8*HORAS_CAPTACAO_DIA-K308)</f>
        <v>0</v>
      </c>
      <c r="M309" s="16" t="n">
        <f aca="false">INDEX(AUX_MATRIZES!$C$11:$BP$11,MIN(N_SEMANAS,MAX(1,$C309)))/DIAS_POR_SEMANA</f>
        <v>10596.0620477114</v>
      </c>
      <c r="N309" s="16" t="n">
        <f aca="false">MIN(CADASTRO_CASAS_BOMBA!$O$9,MAX(0,N308+CADASTRO_CASAS_BOMBA!$I$9*HORAS_CAPTACAO_DIA-M309))</f>
        <v>129000</v>
      </c>
      <c r="O309" s="16" t="n">
        <f aca="false">MAX(0,M309-CADASTRO_CASAS_BOMBA!$I$9*HORAS_CAPTACAO_DIA-N308)</f>
        <v>0</v>
      </c>
      <c r="P309" s="16" t="n">
        <f aca="false">INDEX(AUX_MATRIZES!$C$12:$BP$12,MIN(N_SEMANAS,MAX(1,$C309)))/DIAS_POR_SEMANA</f>
        <v>5821.42409829035</v>
      </c>
      <c r="Q309" s="16" t="n">
        <f aca="false">MIN(CADASTRO_CASAS_BOMBA!$O$10,MAX(0,Q308+CADASTRO_CASAS_BOMBA!$I$10*HORAS_CAPTACAO_DIA-P309))</f>
        <v>668460.887342819</v>
      </c>
      <c r="R309" s="16" t="n">
        <f aca="false">MAX(0,P309-CADASTRO_CASAS_BOMBA!$I$10*HORAS_CAPTACAO_DIA-Q308)</f>
        <v>0</v>
      </c>
      <c r="S309" s="16" t="n">
        <f aca="false">INDEX(AUX_MATRIZES!$C$13:$BP$13,MIN(N_SEMANAS,MAX(1,$C309)))/DIAS_POR_SEMANA</f>
        <v>14552.6252683473</v>
      </c>
      <c r="T309" s="16" t="n">
        <f aca="false">MIN(CADASTRO_CASAS_BOMBA!$O$11,MAX(0,T308+CADASTRO_CASAS_BOMBA!$I$11*HORAS_CAPTACAO_DIA-S309))</f>
        <v>85674.5486086738</v>
      </c>
      <c r="U309" s="16" t="n">
        <f aca="false">MAX(0,S309-CADASTRO_CASAS_BOMBA!$I$11*HORAS_CAPTACAO_DIA-T308)</f>
        <v>0</v>
      </c>
      <c r="V309" s="16" t="n">
        <f aca="false">INDEX(AUX_MATRIZES!$C$14:$BP$14,MIN(N_SEMANAS,MAX(1,$C309)))/DIAS_POR_SEMANA</f>
        <v>39749.4234621849</v>
      </c>
      <c r="W309" s="16" t="n">
        <f aca="false">MIN(CADASTRO_CASAS_BOMBA!$O$12,MAX(0,W308+CADASTRO_CASAS_BOMBA!$I$12*HORAS_CAPTACAO_DIA-V309))</f>
        <v>0</v>
      </c>
      <c r="X309" s="16" t="n">
        <f aca="false">MAX(0,V309-CADASTRO_CASAS_BOMBA!$I$12*HORAS_CAPTACAO_DIA-W308)</f>
        <v>14369.4234621849</v>
      </c>
      <c r="Y309" s="16" t="n">
        <f aca="false">INDEX(AUX_MATRIZES!$C$15:$BP$15,MIN(N_SEMANAS,MAX(1,$C309)))/DIAS_POR_SEMANA</f>
        <v>0</v>
      </c>
      <c r="Z309" s="16" t="n">
        <f aca="false">MIN(CADASTRO_CASAS_BOMBA!$O$13,MAX(0,Z308+CADASTRO_CASAS_BOMBA!$I$13*HORAS_CAPTACAO_DIA-Y309))</f>
        <v>74903</v>
      </c>
      <c r="AA309" s="16" t="n">
        <f aca="false">MAX(0,Y309-CADASTRO_CASAS_BOMBA!$I$13*HORAS_CAPTACAO_DIA-Z308)</f>
        <v>0</v>
      </c>
    </row>
    <row r="310" customFormat="false" ht="15" hidden="false" customHeight="false" outlineLevel="0" collapsed="false">
      <c r="B310" s="17" t="n">
        <f aca="false">DATA_INICIO_SAFRA+303</f>
        <v>46568</v>
      </c>
      <c r="C310" s="16" t="n">
        <f aca="false">MIN(N_SEMANAS,MAX(1,INT(($B310-DATA_INICIO_SAFRA)/DIAS_POR_SEMANA)+1))</f>
        <v>44</v>
      </c>
      <c r="D310" s="16" t="n">
        <f aca="false">INDEX(AUX_MATRIZES!$C$8:$BP$8,MIN(N_SEMANAS,MAX(1,$C310)))/DIAS_POR_SEMANA</f>
        <v>5107.27576544464</v>
      </c>
      <c r="E310" s="16" t="n">
        <f aca="false">MIN(CADASTRO_CASAS_BOMBA!$O$6,MAX(0,E309+CADASTRO_CASAS_BOMBA!$I$6*HORAS_CAPTACAO_DIA-D310))</f>
        <v>2600</v>
      </c>
      <c r="F310" s="16" t="n">
        <f aca="false">MAX(0,D310-CADASTRO_CASAS_BOMBA!$I$6*HORAS_CAPTACAO_DIA-E309)</f>
        <v>0</v>
      </c>
      <c r="G310" s="16" t="n">
        <f aca="false">INDEX(AUX_MATRIZES!$C$9:$BP$9,MIN(N_SEMANAS,MAX(1,$C310)))/DIAS_POR_SEMANA</f>
        <v>4890.23309803921</v>
      </c>
      <c r="H310" s="16" t="n">
        <f aca="false">MIN(CADASTRO_CASAS_BOMBA!$O$7,MAX(0,H309+CADASTRO_CASAS_BOMBA!$I$7*HORAS_CAPTACAO_DIA-G310))</f>
        <v>76648</v>
      </c>
      <c r="I310" s="16" t="n">
        <f aca="false">MAX(0,G310-CADASTRO_CASAS_BOMBA!$I$7*HORAS_CAPTACAO_DIA-H309)</f>
        <v>0</v>
      </c>
      <c r="J310" s="16" t="n">
        <f aca="false">INDEX(AUX_MATRIZES!$C$10:$BP$10,MIN(N_SEMANAS,MAX(1,$C310)))/DIAS_POR_SEMANA</f>
        <v>10470.3600854496</v>
      </c>
      <c r="K310" s="16" t="n">
        <f aca="false">MIN(CADASTRO_CASAS_BOMBA!$O$8,MAX(0,K309+CADASTRO_CASAS_BOMBA!$I$8*HORAS_CAPTACAO_DIA-J310))</f>
        <v>27377</v>
      </c>
      <c r="L310" s="16" t="n">
        <f aca="false">MAX(0,J310-CADASTRO_CASAS_BOMBA!$I$8*HORAS_CAPTACAO_DIA-K309)</f>
        <v>0</v>
      </c>
      <c r="M310" s="16" t="n">
        <f aca="false">INDEX(AUX_MATRIZES!$C$11:$BP$11,MIN(N_SEMANAS,MAX(1,$C310)))/DIAS_POR_SEMANA</f>
        <v>10596.0620477114</v>
      </c>
      <c r="N310" s="16" t="n">
        <f aca="false">MIN(CADASTRO_CASAS_BOMBA!$O$9,MAX(0,N309+CADASTRO_CASAS_BOMBA!$I$9*HORAS_CAPTACAO_DIA-M310))</f>
        <v>129000</v>
      </c>
      <c r="O310" s="16" t="n">
        <f aca="false">MAX(0,M310-CADASTRO_CASAS_BOMBA!$I$9*HORAS_CAPTACAO_DIA-N309)</f>
        <v>0</v>
      </c>
      <c r="P310" s="16" t="n">
        <f aca="false">INDEX(AUX_MATRIZES!$C$12:$BP$12,MIN(N_SEMANAS,MAX(1,$C310)))/DIAS_POR_SEMANA</f>
        <v>5821.42409829035</v>
      </c>
      <c r="Q310" s="16" t="n">
        <f aca="false">MIN(CADASTRO_CASAS_BOMBA!$O$10,MAX(0,Q309+CADASTRO_CASAS_BOMBA!$I$10*HORAS_CAPTACAO_DIA-P310))</f>
        <v>675721.863244529</v>
      </c>
      <c r="R310" s="16" t="n">
        <f aca="false">MAX(0,P310-CADASTRO_CASAS_BOMBA!$I$10*HORAS_CAPTACAO_DIA-Q309)</f>
        <v>0</v>
      </c>
      <c r="S310" s="16" t="n">
        <f aca="false">INDEX(AUX_MATRIZES!$C$13:$BP$13,MIN(N_SEMANAS,MAX(1,$C310)))/DIAS_POR_SEMANA</f>
        <v>14552.6252683473</v>
      </c>
      <c r="T310" s="16" t="n">
        <f aca="false">MIN(CADASTRO_CASAS_BOMBA!$O$11,MAX(0,T309+CADASTRO_CASAS_BOMBA!$I$11*HORAS_CAPTACAO_DIA-S310))</f>
        <v>92541.9233403264</v>
      </c>
      <c r="U310" s="16" t="n">
        <f aca="false">MAX(0,S310-CADASTRO_CASAS_BOMBA!$I$11*HORAS_CAPTACAO_DIA-T309)</f>
        <v>0</v>
      </c>
      <c r="V310" s="16" t="n">
        <f aca="false">INDEX(AUX_MATRIZES!$C$14:$BP$14,MIN(N_SEMANAS,MAX(1,$C310)))/DIAS_POR_SEMANA</f>
        <v>39749.4234621849</v>
      </c>
      <c r="W310" s="16" t="n">
        <f aca="false">MIN(CADASTRO_CASAS_BOMBA!$O$12,MAX(0,W309+CADASTRO_CASAS_BOMBA!$I$12*HORAS_CAPTACAO_DIA-V310))</f>
        <v>0</v>
      </c>
      <c r="X310" s="16" t="n">
        <f aca="false">MAX(0,V310-CADASTRO_CASAS_BOMBA!$I$12*HORAS_CAPTACAO_DIA-W309)</f>
        <v>14369.4234621849</v>
      </c>
      <c r="Y310" s="16" t="n">
        <f aca="false">INDEX(AUX_MATRIZES!$C$15:$BP$15,MIN(N_SEMANAS,MAX(1,$C310)))/DIAS_POR_SEMANA</f>
        <v>0</v>
      </c>
      <c r="Z310" s="16" t="n">
        <f aca="false">MIN(CADASTRO_CASAS_BOMBA!$O$13,MAX(0,Z309+CADASTRO_CASAS_BOMBA!$I$13*HORAS_CAPTACAO_DIA-Y310))</f>
        <v>74903</v>
      </c>
      <c r="AA310" s="16" t="n">
        <f aca="false">MAX(0,Y310-CADASTRO_CASAS_BOMBA!$I$13*HORAS_CAPTACAO_DIA-Z309)</f>
        <v>0</v>
      </c>
    </row>
    <row r="311" customFormat="false" ht="15" hidden="false" customHeight="false" outlineLevel="0" collapsed="false">
      <c r="B311" s="17" t="n">
        <f aca="false">DATA_INICIO_SAFRA+304</f>
        <v>46569</v>
      </c>
      <c r="C311" s="16" t="n">
        <f aca="false">MIN(N_SEMANAS,MAX(1,INT(($B311-DATA_INICIO_SAFRA)/DIAS_POR_SEMANA)+1))</f>
        <v>44</v>
      </c>
      <c r="D311" s="16" t="n">
        <f aca="false">INDEX(AUX_MATRIZES!$C$8:$BP$8,MIN(N_SEMANAS,MAX(1,$C311)))/DIAS_POR_SEMANA</f>
        <v>5107.27576544464</v>
      </c>
      <c r="E311" s="16" t="n">
        <f aca="false">MIN(CADASTRO_CASAS_BOMBA!$O$6,MAX(0,E310+CADASTRO_CASAS_BOMBA!$I$6*HORAS_CAPTACAO_DIA-D311))</f>
        <v>2600</v>
      </c>
      <c r="F311" s="16" t="n">
        <f aca="false">MAX(0,D311-CADASTRO_CASAS_BOMBA!$I$6*HORAS_CAPTACAO_DIA-E310)</f>
        <v>0</v>
      </c>
      <c r="G311" s="16" t="n">
        <f aca="false">INDEX(AUX_MATRIZES!$C$9:$BP$9,MIN(N_SEMANAS,MAX(1,$C311)))/DIAS_POR_SEMANA</f>
        <v>4890.23309803921</v>
      </c>
      <c r="H311" s="16" t="n">
        <f aca="false">MIN(CADASTRO_CASAS_BOMBA!$O$7,MAX(0,H310+CADASTRO_CASAS_BOMBA!$I$7*HORAS_CAPTACAO_DIA-G311))</f>
        <v>76648</v>
      </c>
      <c r="I311" s="16" t="n">
        <f aca="false">MAX(0,G311-CADASTRO_CASAS_BOMBA!$I$7*HORAS_CAPTACAO_DIA-H310)</f>
        <v>0</v>
      </c>
      <c r="J311" s="16" t="n">
        <f aca="false">INDEX(AUX_MATRIZES!$C$10:$BP$10,MIN(N_SEMANAS,MAX(1,$C311)))/DIAS_POR_SEMANA</f>
        <v>10470.3600854496</v>
      </c>
      <c r="K311" s="16" t="n">
        <f aca="false">MIN(CADASTRO_CASAS_BOMBA!$O$8,MAX(0,K310+CADASTRO_CASAS_BOMBA!$I$8*HORAS_CAPTACAO_DIA-J311))</f>
        <v>27377</v>
      </c>
      <c r="L311" s="16" t="n">
        <f aca="false">MAX(0,J311-CADASTRO_CASAS_BOMBA!$I$8*HORAS_CAPTACAO_DIA-K310)</f>
        <v>0</v>
      </c>
      <c r="M311" s="16" t="n">
        <f aca="false">INDEX(AUX_MATRIZES!$C$11:$BP$11,MIN(N_SEMANAS,MAX(1,$C311)))/DIAS_POR_SEMANA</f>
        <v>10596.0620477114</v>
      </c>
      <c r="N311" s="16" t="n">
        <f aca="false">MIN(CADASTRO_CASAS_BOMBA!$O$9,MAX(0,N310+CADASTRO_CASAS_BOMBA!$I$9*HORAS_CAPTACAO_DIA-M311))</f>
        <v>129000</v>
      </c>
      <c r="O311" s="16" t="n">
        <f aca="false">MAX(0,M311-CADASTRO_CASAS_BOMBA!$I$9*HORAS_CAPTACAO_DIA-N310)</f>
        <v>0</v>
      </c>
      <c r="P311" s="16" t="n">
        <f aca="false">INDEX(AUX_MATRIZES!$C$12:$BP$12,MIN(N_SEMANAS,MAX(1,$C311)))/DIAS_POR_SEMANA</f>
        <v>5821.42409829035</v>
      </c>
      <c r="Q311" s="16" t="n">
        <f aca="false">MIN(CADASTRO_CASAS_BOMBA!$O$10,MAX(0,Q310+CADASTRO_CASAS_BOMBA!$I$10*HORAS_CAPTACAO_DIA-P311))</f>
        <v>682982.839146238</v>
      </c>
      <c r="R311" s="16" t="n">
        <f aca="false">MAX(0,P311-CADASTRO_CASAS_BOMBA!$I$10*HORAS_CAPTACAO_DIA-Q310)</f>
        <v>0</v>
      </c>
      <c r="S311" s="16" t="n">
        <f aca="false">INDEX(AUX_MATRIZES!$C$13:$BP$13,MIN(N_SEMANAS,MAX(1,$C311)))/DIAS_POR_SEMANA</f>
        <v>14552.6252683473</v>
      </c>
      <c r="T311" s="16" t="n">
        <f aca="false">MIN(CADASTRO_CASAS_BOMBA!$O$11,MAX(0,T310+CADASTRO_CASAS_BOMBA!$I$11*HORAS_CAPTACAO_DIA-S311))</f>
        <v>99409.2980719791</v>
      </c>
      <c r="U311" s="16" t="n">
        <f aca="false">MAX(0,S311-CADASTRO_CASAS_BOMBA!$I$11*HORAS_CAPTACAO_DIA-T310)</f>
        <v>0</v>
      </c>
      <c r="V311" s="16" t="n">
        <f aca="false">INDEX(AUX_MATRIZES!$C$14:$BP$14,MIN(N_SEMANAS,MAX(1,$C311)))/DIAS_POR_SEMANA</f>
        <v>39749.4234621849</v>
      </c>
      <c r="W311" s="16" t="n">
        <f aca="false">MIN(CADASTRO_CASAS_BOMBA!$O$12,MAX(0,W310+CADASTRO_CASAS_BOMBA!$I$12*HORAS_CAPTACAO_DIA-V311))</f>
        <v>0</v>
      </c>
      <c r="X311" s="16" t="n">
        <f aca="false">MAX(0,V311-CADASTRO_CASAS_BOMBA!$I$12*HORAS_CAPTACAO_DIA-W310)</f>
        <v>14369.4234621849</v>
      </c>
      <c r="Y311" s="16" t="n">
        <f aca="false">INDEX(AUX_MATRIZES!$C$15:$BP$15,MIN(N_SEMANAS,MAX(1,$C311)))/DIAS_POR_SEMANA</f>
        <v>0</v>
      </c>
      <c r="Z311" s="16" t="n">
        <f aca="false">MIN(CADASTRO_CASAS_BOMBA!$O$13,MAX(0,Z310+CADASTRO_CASAS_BOMBA!$I$13*HORAS_CAPTACAO_DIA-Y311))</f>
        <v>74903</v>
      </c>
      <c r="AA311" s="16" t="n">
        <f aca="false">MAX(0,Y311-CADASTRO_CASAS_BOMBA!$I$13*HORAS_CAPTACAO_DIA-Z310)</f>
        <v>0</v>
      </c>
    </row>
    <row r="312" customFormat="false" ht="15" hidden="false" customHeight="false" outlineLevel="0" collapsed="false">
      <c r="B312" s="17" t="n">
        <f aca="false">DATA_INICIO_SAFRA+305</f>
        <v>46570</v>
      </c>
      <c r="C312" s="16" t="n">
        <f aca="false">MIN(N_SEMANAS,MAX(1,INT(($B312-DATA_INICIO_SAFRA)/DIAS_POR_SEMANA)+1))</f>
        <v>44</v>
      </c>
      <c r="D312" s="16" t="n">
        <f aca="false">INDEX(AUX_MATRIZES!$C$8:$BP$8,MIN(N_SEMANAS,MAX(1,$C312)))/DIAS_POR_SEMANA</f>
        <v>5107.27576544464</v>
      </c>
      <c r="E312" s="16" t="n">
        <f aca="false">MIN(CADASTRO_CASAS_BOMBA!$O$6,MAX(0,E311+CADASTRO_CASAS_BOMBA!$I$6*HORAS_CAPTACAO_DIA-D312))</f>
        <v>2600</v>
      </c>
      <c r="F312" s="16" t="n">
        <f aca="false">MAX(0,D312-CADASTRO_CASAS_BOMBA!$I$6*HORAS_CAPTACAO_DIA-E311)</f>
        <v>0</v>
      </c>
      <c r="G312" s="16" t="n">
        <f aca="false">INDEX(AUX_MATRIZES!$C$9:$BP$9,MIN(N_SEMANAS,MAX(1,$C312)))/DIAS_POR_SEMANA</f>
        <v>4890.23309803921</v>
      </c>
      <c r="H312" s="16" t="n">
        <f aca="false">MIN(CADASTRO_CASAS_BOMBA!$O$7,MAX(0,H311+CADASTRO_CASAS_BOMBA!$I$7*HORAS_CAPTACAO_DIA-G312))</f>
        <v>76648</v>
      </c>
      <c r="I312" s="16" t="n">
        <f aca="false">MAX(0,G312-CADASTRO_CASAS_BOMBA!$I$7*HORAS_CAPTACAO_DIA-H311)</f>
        <v>0</v>
      </c>
      <c r="J312" s="16" t="n">
        <f aca="false">INDEX(AUX_MATRIZES!$C$10:$BP$10,MIN(N_SEMANAS,MAX(1,$C312)))/DIAS_POR_SEMANA</f>
        <v>10470.3600854496</v>
      </c>
      <c r="K312" s="16" t="n">
        <f aca="false">MIN(CADASTRO_CASAS_BOMBA!$O$8,MAX(0,K311+CADASTRO_CASAS_BOMBA!$I$8*HORAS_CAPTACAO_DIA-J312))</f>
        <v>27377</v>
      </c>
      <c r="L312" s="16" t="n">
        <f aca="false">MAX(0,J312-CADASTRO_CASAS_BOMBA!$I$8*HORAS_CAPTACAO_DIA-K311)</f>
        <v>0</v>
      </c>
      <c r="M312" s="16" t="n">
        <f aca="false">INDEX(AUX_MATRIZES!$C$11:$BP$11,MIN(N_SEMANAS,MAX(1,$C312)))/DIAS_POR_SEMANA</f>
        <v>10596.0620477114</v>
      </c>
      <c r="N312" s="16" t="n">
        <f aca="false">MIN(CADASTRO_CASAS_BOMBA!$O$9,MAX(0,N311+CADASTRO_CASAS_BOMBA!$I$9*HORAS_CAPTACAO_DIA-M312))</f>
        <v>129000</v>
      </c>
      <c r="O312" s="16" t="n">
        <f aca="false">MAX(0,M312-CADASTRO_CASAS_BOMBA!$I$9*HORAS_CAPTACAO_DIA-N311)</f>
        <v>0</v>
      </c>
      <c r="P312" s="16" t="n">
        <f aca="false">INDEX(AUX_MATRIZES!$C$12:$BP$12,MIN(N_SEMANAS,MAX(1,$C312)))/DIAS_POR_SEMANA</f>
        <v>5821.42409829035</v>
      </c>
      <c r="Q312" s="16" t="n">
        <f aca="false">MIN(CADASTRO_CASAS_BOMBA!$O$10,MAX(0,Q311+CADASTRO_CASAS_BOMBA!$I$10*HORAS_CAPTACAO_DIA-P312))</f>
        <v>690243.815047948</v>
      </c>
      <c r="R312" s="16" t="n">
        <f aca="false">MAX(0,P312-CADASTRO_CASAS_BOMBA!$I$10*HORAS_CAPTACAO_DIA-Q311)</f>
        <v>0</v>
      </c>
      <c r="S312" s="16" t="n">
        <f aca="false">INDEX(AUX_MATRIZES!$C$13:$BP$13,MIN(N_SEMANAS,MAX(1,$C312)))/DIAS_POR_SEMANA</f>
        <v>14552.6252683473</v>
      </c>
      <c r="T312" s="16" t="n">
        <f aca="false">MIN(CADASTRO_CASAS_BOMBA!$O$11,MAX(0,T311+CADASTRO_CASAS_BOMBA!$I$11*HORAS_CAPTACAO_DIA-S312))</f>
        <v>106276.672803632</v>
      </c>
      <c r="U312" s="16" t="n">
        <f aca="false">MAX(0,S312-CADASTRO_CASAS_BOMBA!$I$11*HORAS_CAPTACAO_DIA-T311)</f>
        <v>0</v>
      </c>
      <c r="V312" s="16" t="n">
        <f aca="false">INDEX(AUX_MATRIZES!$C$14:$BP$14,MIN(N_SEMANAS,MAX(1,$C312)))/DIAS_POR_SEMANA</f>
        <v>39749.4234621849</v>
      </c>
      <c r="W312" s="16" t="n">
        <f aca="false">MIN(CADASTRO_CASAS_BOMBA!$O$12,MAX(0,W311+CADASTRO_CASAS_BOMBA!$I$12*HORAS_CAPTACAO_DIA-V312))</f>
        <v>0</v>
      </c>
      <c r="X312" s="16" t="n">
        <f aca="false">MAX(0,V312-CADASTRO_CASAS_BOMBA!$I$12*HORAS_CAPTACAO_DIA-W311)</f>
        <v>14369.4234621849</v>
      </c>
      <c r="Y312" s="16" t="n">
        <f aca="false">INDEX(AUX_MATRIZES!$C$15:$BP$15,MIN(N_SEMANAS,MAX(1,$C312)))/DIAS_POR_SEMANA</f>
        <v>0</v>
      </c>
      <c r="Z312" s="16" t="n">
        <f aca="false">MIN(CADASTRO_CASAS_BOMBA!$O$13,MAX(0,Z311+CADASTRO_CASAS_BOMBA!$I$13*HORAS_CAPTACAO_DIA-Y312))</f>
        <v>74903</v>
      </c>
      <c r="AA312" s="16" t="n">
        <f aca="false">MAX(0,Y312-CADASTRO_CASAS_BOMBA!$I$13*HORAS_CAPTACAO_DIA-Z311)</f>
        <v>0</v>
      </c>
    </row>
    <row r="313" customFormat="false" ht="15" hidden="false" customHeight="false" outlineLevel="0" collapsed="false">
      <c r="B313" s="17" t="n">
        <f aca="false">DATA_INICIO_SAFRA+306</f>
        <v>46571</v>
      </c>
      <c r="C313" s="16" t="n">
        <f aca="false">MIN(N_SEMANAS,MAX(1,INT(($B313-DATA_INICIO_SAFRA)/DIAS_POR_SEMANA)+1))</f>
        <v>44</v>
      </c>
      <c r="D313" s="16" t="n">
        <f aca="false">INDEX(AUX_MATRIZES!$C$8:$BP$8,MIN(N_SEMANAS,MAX(1,$C313)))/DIAS_POR_SEMANA</f>
        <v>5107.27576544464</v>
      </c>
      <c r="E313" s="16" t="n">
        <f aca="false">MIN(CADASTRO_CASAS_BOMBA!$O$6,MAX(0,E312+CADASTRO_CASAS_BOMBA!$I$6*HORAS_CAPTACAO_DIA-D313))</f>
        <v>2600</v>
      </c>
      <c r="F313" s="16" t="n">
        <f aca="false">MAX(0,D313-CADASTRO_CASAS_BOMBA!$I$6*HORAS_CAPTACAO_DIA-E312)</f>
        <v>0</v>
      </c>
      <c r="G313" s="16" t="n">
        <f aca="false">INDEX(AUX_MATRIZES!$C$9:$BP$9,MIN(N_SEMANAS,MAX(1,$C313)))/DIAS_POR_SEMANA</f>
        <v>4890.23309803921</v>
      </c>
      <c r="H313" s="16" t="n">
        <f aca="false">MIN(CADASTRO_CASAS_BOMBA!$O$7,MAX(0,H312+CADASTRO_CASAS_BOMBA!$I$7*HORAS_CAPTACAO_DIA-G313))</f>
        <v>76648</v>
      </c>
      <c r="I313" s="16" t="n">
        <f aca="false">MAX(0,G313-CADASTRO_CASAS_BOMBA!$I$7*HORAS_CAPTACAO_DIA-H312)</f>
        <v>0</v>
      </c>
      <c r="J313" s="16" t="n">
        <f aca="false">INDEX(AUX_MATRIZES!$C$10:$BP$10,MIN(N_SEMANAS,MAX(1,$C313)))/DIAS_POR_SEMANA</f>
        <v>10470.3600854496</v>
      </c>
      <c r="K313" s="16" t="n">
        <f aca="false">MIN(CADASTRO_CASAS_BOMBA!$O$8,MAX(0,K312+CADASTRO_CASAS_BOMBA!$I$8*HORAS_CAPTACAO_DIA-J313))</f>
        <v>27377</v>
      </c>
      <c r="L313" s="16" t="n">
        <f aca="false">MAX(0,J313-CADASTRO_CASAS_BOMBA!$I$8*HORAS_CAPTACAO_DIA-K312)</f>
        <v>0</v>
      </c>
      <c r="M313" s="16" t="n">
        <f aca="false">INDEX(AUX_MATRIZES!$C$11:$BP$11,MIN(N_SEMANAS,MAX(1,$C313)))/DIAS_POR_SEMANA</f>
        <v>10596.0620477114</v>
      </c>
      <c r="N313" s="16" t="n">
        <f aca="false">MIN(CADASTRO_CASAS_BOMBA!$O$9,MAX(0,N312+CADASTRO_CASAS_BOMBA!$I$9*HORAS_CAPTACAO_DIA-M313))</f>
        <v>129000</v>
      </c>
      <c r="O313" s="16" t="n">
        <f aca="false">MAX(0,M313-CADASTRO_CASAS_BOMBA!$I$9*HORAS_CAPTACAO_DIA-N312)</f>
        <v>0</v>
      </c>
      <c r="P313" s="16" t="n">
        <f aca="false">INDEX(AUX_MATRIZES!$C$12:$BP$12,MIN(N_SEMANAS,MAX(1,$C313)))/DIAS_POR_SEMANA</f>
        <v>5821.42409829035</v>
      </c>
      <c r="Q313" s="16" t="n">
        <f aca="false">MIN(CADASTRO_CASAS_BOMBA!$O$10,MAX(0,Q312+CADASTRO_CASAS_BOMBA!$I$10*HORAS_CAPTACAO_DIA-P313))</f>
        <v>697504.790949658</v>
      </c>
      <c r="R313" s="16" t="n">
        <f aca="false">MAX(0,P313-CADASTRO_CASAS_BOMBA!$I$10*HORAS_CAPTACAO_DIA-Q312)</f>
        <v>0</v>
      </c>
      <c r="S313" s="16" t="n">
        <f aca="false">INDEX(AUX_MATRIZES!$C$13:$BP$13,MIN(N_SEMANAS,MAX(1,$C313)))/DIAS_POR_SEMANA</f>
        <v>14552.6252683473</v>
      </c>
      <c r="T313" s="16" t="n">
        <f aca="false">MIN(CADASTRO_CASAS_BOMBA!$O$11,MAX(0,T312+CADASTRO_CASAS_BOMBA!$I$11*HORAS_CAPTACAO_DIA-S313))</f>
        <v>113144.047535284</v>
      </c>
      <c r="U313" s="16" t="n">
        <f aca="false">MAX(0,S313-CADASTRO_CASAS_BOMBA!$I$11*HORAS_CAPTACAO_DIA-T312)</f>
        <v>0</v>
      </c>
      <c r="V313" s="16" t="n">
        <f aca="false">INDEX(AUX_MATRIZES!$C$14:$BP$14,MIN(N_SEMANAS,MAX(1,$C313)))/DIAS_POR_SEMANA</f>
        <v>39749.4234621849</v>
      </c>
      <c r="W313" s="16" t="n">
        <f aca="false">MIN(CADASTRO_CASAS_BOMBA!$O$12,MAX(0,W312+CADASTRO_CASAS_BOMBA!$I$12*HORAS_CAPTACAO_DIA-V313))</f>
        <v>0</v>
      </c>
      <c r="X313" s="16" t="n">
        <f aca="false">MAX(0,V313-CADASTRO_CASAS_BOMBA!$I$12*HORAS_CAPTACAO_DIA-W312)</f>
        <v>14369.4234621849</v>
      </c>
      <c r="Y313" s="16" t="n">
        <f aca="false">INDEX(AUX_MATRIZES!$C$15:$BP$15,MIN(N_SEMANAS,MAX(1,$C313)))/DIAS_POR_SEMANA</f>
        <v>0</v>
      </c>
      <c r="Z313" s="16" t="n">
        <f aca="false">MIN(CADASTRO_CASAS_BOMBA!$O$13,MAX(0,Z312+CADASTRO_CASAS_BOMBA!$I$13*HORAS_CAPTACAO_DIA-Y313))</f>
        <v>74903</v>
      </c>
      <c r="AA313" s="16" t="n">
        <f aca="false">MAX(0,Y313-CADASTRO_CASAS_BOMBA!$I$13*HORAS_CAPTACAO_DIA-Z312)</f>
        <v>0</v>
      </c>
    </row>
    <row r="314" customFormat="false" ht="15" hidden="false" customHeight="false" outlineLevel="0" collapsed="false">
      <c r="B314" s="17" t="n">
        <f aca="false">DATA_INICIO_SAFRA+307</f>
        <v>46572</v>
      </c>
      <c r="C314" s="16" t="n">
        <f aca="false">MIN(N_SEMANAS,MAX(1,INT(($B314-DATA_INICIO_SAFRA)/DIAS_POR_SEMANA)+1))</f>
        <v>44</v>
      </c>
      <c r="D314" s="16" t="n">
        <f aca="false">INDEX(AUX_MATRIZES!$C$8:$BP$8,MIN(N_SEMANAS,MAX(1,$C314)))/DIAS_POR_SEMANA</f>
        <v>5107.27576544464</v>
      </c>
      <c r="E314" s="16" t="n">
        <f aca="false">MIN(CADASTRO_CASAS_BOMBA!$O$6,MAX(0,E313+CADASTRO_CASAS_BOMBA!$I$6*HORAS_CAPTACAO_DIA-D314))</f>
        <v>2600</v>
      </c>
      <c r="F314" s="16" t="n">
        <f aca="false">MAX(0,D314-CADASTRO_CASAS_BOMBA!$I$6*HORAS_CAPTACAO_DIA-E313)</f>
        <v>0</v>
      </c>
      <c r="G314" s="16" t="n">
        <f aca="false">INDEX(AUX_MATRIZES!$C$9:$BP$9,MIN(N_SEMANAS,MAX(1,$C314)))/DIAS_POR_SEMANA</f>
        <v>4890.23309803921</v>
      </c>
      <c r="H314" s="16" t="n">
        <f aca="false">MIN(CADASTRO_CASAS_BOMBA!$O$7,MAX(0,H313+CADASTRO_CASAS_BOMBA!$I$7*HORAS_CAPTACAO_DIA-G314))</f>
        <v>76648</v>
      </c>
      <c r="I314" s="16" t="n">
        <f aca="false">MAX(0,G314-CADASTRO_CASAS_BOMBA!$I$7*HORAS_CAPTACAO_DIA-H313)</f>
        <v>0</v>
      </c>
      <c r="J314" s="16" t="n">
        <f aca="false">INDEX(AUX_MATRIZES!$C$10:$BP$10,MIN(N_SEMANAS,MAX(1,$C314)))/DIAS_POR_SEMANA</f>
        <v>10470.3600854496</v>
      </c>
      <c r="K314" s="16" t="n">
        <f aca="false">MIN(CADASTRO_CASAS_BOMBA!$O$8,MAX(0,K313+CADASTRO_CASAS_BOMBA!$I$8*HORAS_CAPTACAO_DIA-J314))</f>
        <v>27377</v>
      </c>
      <c r="L314" s="16" t="n">
        <f aca="false">MAX(0,J314-CADASTRO_CASAS_BOMBA!$I$8*HORAS_CAPTACAO_DIA-K313)</f>
        <v>0</v>
      </c>
      <c r="M314" s="16" t="n">
        <f aca="false">INDEX(AUX_MATRIZES!$C$11:$BP$11,MIN(N_SEMANAS,MAX(1,$C314)))/DIAS_POR_SEMANA</f>
        <v>10596.0620477114</v>
      </c>
      <c r="N314" s="16" t="n">
        <f aca="false">MIN(CADASTRO_CASAS_BOMBA!$O$9,MAX(0,N313+CADASTRO_CASAS_BOMBA!$I$9*HORAS_CAPTACAO_DIA-M314))</f>
        <v>129000</v>
      </c>
      <c r="O314" s="16" t="n">
        <f aca="false">MAX(0,M314-CADASTRO_CASAS_BOMBA!$I$9*HORAS_CAPTACAO_DIA-N313)</f>
        <v>0</v>
      </c>
      <c r="P314" s="16" t="n">
        <f aca="false">INDEX(AUX_MATRIZES!$C$12:$BP$12,MIN(N_SEMANAS,MAX(1,$C314)))/DIAS_POR_SEMANA</f>
        <v>5821.42409829035</v>
      </c>
      <c r="Q314" s="16" t="n">
        <f aca="false">MIN(CADASTRO_CASAS_BOMBA!$O$10,MAX(0,Q313+CADASTRO_CASAS_BOMBA!$I$10*HORAS_CAPTACAO_DIA-P314))</f>
        <v>704765.766851367</v>
      </c>
      <c r="R314" s="16" t="n">
        <f aca="false">MAX(0,P314-CADASTRO_CASAS_BOMBA!$I$10*HORAS_CAPTACAO_DIA-Q313)</f>
        <v>0</v>
      </c>
      <c r="S314" s="16" t="n">
        <f aca="false">INDEX(AUX_MATRIZES!$C$13:$BP$13,MIN(N_SEMANAS,MAX(1,$C314)))/DIAS_POR_SEMANA</f>
        <v>14552.6252683473</v>
      </c>
      <c r="T314" s="16" t="n">
        <f aca="false">MIN(CADASTRO_CASAS_BOMBA!$O$11,MAX(0,T313+CADASTRO_CASAS_BOMBA!$I$11*HORAS_CAPTACAO_DIA-S314))</f>
        <v>120011.422266937</v>
      </c>
      <c r="U314" s="16" t="n">
        <f aca="false">MAX(0,S314-CADASTRO_CASAS_BOMBA!$I$11*HORAS_CAPTACAO_DIA-T313)</f>
        <v>0</v>
      </c>
      <c r="V314" s="16" t="n">
        <f aca="false">INDEX(AUX_MATRIZES!$C$14:$BP$14,MIN(N_SEMANAS,MAX(1,$C314)))/DIAS_POR_SEMANA</f>
        <v>39749.4234621849</v>
      </c>
      <c r="W314" s="16" t="n">
        <f aca="false">MIN(CADASTRO_CASAS_BOMBA!$O$12,MAX(0,W313+CADASTRO_CASAS_BOMBA!$I$12*HORAS_CAPTACAO_DIA-V314))</f>
        <v>0</v>
      </c>
      <c r="X314" s="16" t="n">
        <f aca="false">MAX(0,V314-CADASTRO_CASAS_BOMBA!$I$12*HORAS_CAPTACAO_DIA-W313)</f>
        <v>14369.4234621849</v>
      </c>
      <c r="Y314" s="16" t="n">
        <f aca="false">INDEX(AUX_MATRIZES!$C$15:$BP$15,MIN(N_SEMANAS,MAX(1,$C314)))/DIAS_POR_SEMANA</f>
        <v>0</v>
      </c>
      <c r="Z314" s="16" t="n">
        <f aca="false">MIN(CADASTRO_CASAS_BOMBA!$O$13,MAX(0,Z313+CADASTRO_CASAS_BOMBA!$I$13*HORAS_CAPTACAO_DIA-Y314))</f>
        <v>74903</v>
      </c>
      <c r="AA314" s="16" t="n">
        <f aca="false">MAX(0,Y314-CADASTRO_CASAS_BOMBA!$I$13*HORAS_CAPTACAO_DIA-Z313)</f>
        <v>0</v>
      </c>
    </row>
    <row r="315" customFormat="false" ht="15" hidden="false" customHeight="false" outlineLevel="0" collapsed="false">
      <c r="B315" s="17" t="n">
        <f aca="false">DATA_INICIO_SAFRA+308</f>
        <v>46573</v>
      </c>
      <c r="C315" s="16" t="n">
        <f aca="false">MIN(N_SEMANAS,MAX(1,INT(($B315-DATA_INICIO_SAFRA)/DIAS_POR_SEMANA)+1))</f>
        <v>45</v>
      </c>
      <c r="D315" s="16" t="n">
        <f aca="false">INDEX(AUX_MATRIZES!$C$8:$BP$8,MIN(N_SEMANAS,MAX(1,$C315)))/DIAS_POR_SEMANA</f>
        <v>4945.47385261797</v>
      </c>
      <c r="E315" s="16" t="n">
        <f aca="false">MIN(CADASTRO_CASAS_BOMBA!$O$6,MAX(0,E314+CADASTRO_CASAS_BOMBA!$I$6*HORAS_CAPTACAO_DIA-D315))</f>
        <v>2600</v>
      </c>
      <c r="F315" s="16" t="n">
        <f aca="false">MAX(0,D315-CADASTRO_CASAS_BOMBA!$I$6*HORAS_CAPTACAO_DIA-E314)</f>
        <v>0</v>
      </c>
      <c r="G315" s="16" t="n">
        <f aca="false">INDEX(AUX_MATRIZES!$C$9:$BP$9,MIN(N_SEMANAS,MAX(1,$C315)))/DIAS_POR_SEMANA</f>
        <v>4637.79070588235</v>
      </c>
      <c r="H315" s="16" t="n">
        <f aca="false">MIN(CADASTRO_CASAS_BOMBA!$O$7,MAX(0,H314+CADASTRO_CASAS_BOMBA!$I$7*HORAS_CAPTACAO_DIA-G315))</f>
        <v>76648</v>
      </c>
      <c r="I315" s="16" t="n">
        <f aca="false">MAX(0,G315-CADASTRO_CASAS_BOMBA!$I$7*HORAS_CAPTACAO_DIA-H314)</f>
        <v>0</v>
      </c>
      <c r="J315" s="16" t="n">
        <f aca="false">INDEX(AUX_MATRIZES!$C$10:$BP$10,MIN(N_SEMANAS,MAX(1,$C315)))/DIAS_POR_SEMANA</f>
        <v>10150.8741865977</v>
      </c>
      <c r="K315" s="16" t="n">
        <f aca="false">MIN(CADASTRO_CASAS_BOMBA!$O$8,MAX(0,K314+CADASTRO_CASAS_BOMBA!$I$8*HORAS_CAPTACAO_DIA-J315))</f>
        <v>27377</v>
      </c>
      <c r="L315" s="16" t="n">
        <f aca="false">MAX(0,J315-CADASTRO_CASAS_BOMBA!$I$8*HORAS_CAPTACAO_DIA-K314)</f>
        <v>0</v>
      </c>
      <c r="M315" s="16" t="n">
        <f aca="false">INDEX(AUX_MATRIZES!$C$11:$BP$11,MIN(N_SEMANAS,MAX(1,$C315)))/DIAS_POR_SEMANA</f>
        <v>10163.0296776557</v>
      </c>
      <c r="N315" s="16" t="n">
        <f aca="false">MIN(CADASTRO_CASAS_BOMBA!$O$9,MAX(0,N314+CADASTRO_CASAS_BOMBA!$I$9*HORAS_CAPTACAO_DIA-M315))</f>
        <v>129000</v>
      </c>
      <c r="O315" s="16" t="n">
        <f aca="false">MAX(0,M315-CADASTRO_CASAS_BOMBA!$I$9*HORAS_CAPTACAO_DIA-N314)</f>
        <v>0</v>
      </c>
      <c r="P315" s="16" t="n">
        <f aca="false">INDEX(AUX_MATRIZES!$C$12:$BP$12,MIN(N_SEMANAS,MAX(1,$C315)))/DIAS_POR_SEMANA</f>
        <v>9944.66505801217</v>
      </c>
      <c r="Q315" s="16" t="n">
        <f aca="false">MIN(CADASTRO_CASAS_BOMBA!$O$10,MAX(0,Q314+CADASTRO_CASAS_BOMBA!$I$10*HORAS_CAPTACAO_DIA-P315))</f>
        <v>707903.501793355</v>
      </c>
      <c r="R315" s="16" t="n">
        <f aca="false">MAX(0,P315-CADASTRO_CASAS_BOMBA!$I$10*HORAS_CAPTACAO_DIA-Q314)</f>
        <v>0</v>
      </c>
      <c r="S315" s="16" t="n">
        <f aca="false">INDEX(AUX_MATRIZES!$C$13:$BP$13,MIN(N_SEMANAS,MAX(1,$C315)))/DIAS_POR_SEMANA</f>
        <v>15857.1043176471</v>
      </c>
      <c r="T315" s="16" t="n">
        <f aca="false">MIN(CADASTRO_CASAS_BOMBA!$O$11,MAX(0,T314+CADASTRO_CASAS_BOMBA!$I$11*HORAS_CAPTACAO_DIA-S315))</f>
        <v>125574.31794929</v>
      </c>
      <c r="U315" s="16" t="n">
        <f aca="false">MAX(0,S315-CADASTRO_CASAS_BOMBA!$I$11*HORAS_CAPTACAO_DIA-T314)</f>
        <v>0</v>
      </c>
      <c r="V315" s="16" t="n">
        <f aca="false">INDEX(AUX_MATRIZES!$C$14:$BP$14,MIN(N_SEMANAS,MAX(1,$C315)))/DIAS_POR_SEMANA</f>
        <v>39039.7816771242</v>
      </c>
      <c r="W315" s="16" t="n">
        <f aca="false">MIN(CADASTRO_CASAS_BOMBA!$O$12,MAX(0,W314+CADASTRO_CASAS_BOMBA!$I$12*HORAS_CAPTACAO_DIA-V315))</f>
        <v>0</v>
      </c>
      <c r="X315" s="16" t="n">
        <f aca="false">MAX(0,V315-CADASTRO_CASAS_BOMBA!$I$12*HORAS_CAPTACAO_DIA-W314)</f>
        <v>13659.7816771242</v>
      </c>
      <c r="Y315" s="16" t="n">
        <f aca="false">INDEX(AUX_MATRIZES!$C$15:$BP$15,MIN(N_SEMANAS,MAX(1,$C315)))/DIAS_POR_SEMANA</f>
        <v>0</v>
      </c>
      <c r="Z315" s="16" t="n">
        <f aca="false">MIN(CADASTRO_CASAS_BOMBA!$O$13,MAX(0,Z314+CADASTRO_CASAS_BOMBA!$I$13*HORAS_CAPTACAO_DIA-Y315))</f>
        <v>74903</v>
      </c>
      <c r="AA315" s="16" t="n">
        <f aca="false">MAX(0,Y315-CADASTRO_CASAS_BOMBA!$I$13*HORAS_CAPTACAO_DIA-Z314)</f>
        <v>0</v>
      </c>
    </row>
    <row r="316" customFormat="false" ht="15" hidden="false" customHeight="false" outlineLevel="0" collapsed="false">
      <c r="B316" s="17" t="n">
        <f aca="false">DATA_INICIO_SAFRA+309</f>
        <v>46574</v>
      </c>
      <c r="C316" s="16" t="n">
        <f aca="false">MIN(N_SEMANAS,MAX(1,INT(($B316-DATA_INICIO_SAFRA)/DIAS_POR_SEMANA)+1))</f>
        <v>45</v>
      </c>
      <c r="D316" s="16" t="n">
        <f aca="false">INDEX(AUX_MATRIZES!$C$8:$BP$8,MIN(N_SEMANAS,MAX(1,$C316)))/DIAS_POR_SEMANA</f>
        <v>4945.47385261797</v>
      </c>
      <c r="E316" s="16" t="n">
        <f aca="false">MIN(CADASTRO_CASAS_BOMBA!$O$6,MAX(0,E315+CADASTRO_CASAS_BOMBA!$I$6*HORAS_CAPTACAO_DIA-D316))</f>
        <v>2600</v>
      </c>
      <c r="F316" s="16" t="n">
        <f aca="false">MAX(0,D316-CADASTRO_CASAS_BOMBA!$I$6*HORAS_CAPTACAO_DIA-E315)</f>
        <v>0</v>
      </c>
      <c r="G316" s="16" t="n">
        <f aca="false">INDEX(AUX_MATRIZES!$C$9:$BP$9,MIN(N_SEMANAS,MAX(1,$C316)))/DIAS_POR_SEMANA</f>
        <v>4637.79070588235</v>
      </c>
      <c r="H316" s="16" t="n">
        <f aca="false">MIN(CADASTRO_CASAS_BOMBA!$O$7,MAX(0,H315+CADASTRO_CASAS_BOMBA!$I$7*HORAS_CAPTACAO_DIA-G316))</f>
        <v>76648</v>
      </c>
      <c r="I316" s="16" t="n">
        <f aca="false">MAX(0,G316-CADASTRO_CASAS_BOMBA!$I$7*HORAS_CAPTACAO_DIA-H315)</f>
        <v>0</v>
      </c>
      <c r="J316" s="16" t="n">
        <f aca="false">INDEX(AUX_MATRIZES!$C$10:$BP$10,MIN(N_SEMANAS,MAX(1,$C316)))/DIAS_POR_SEMANA</f>
        <v>10150.8741865977</v>
      </c>
      <c r="K316" s="16" t="n">
        <f aca="false">MIN(CADASTRO_CASAS_BOMBA!$O$8,MAX(0,K315+CADASTRO_CASAS_BOMBA!$I$8*HORAS_CAPTACAO_DIA-J316))</f>
        <v>27377</v>
      </c>
      <c r="L316" s="16" t="n">
        <f aca="false">MAX(0,J316-CADASTRO_CASAS_BOMBA!$I$8*HORAS_CAPTACAO_DIA-K315)</f>
        <v>0</v>
      </c>
      <c r="M316" s="16" t="n">
        <f aca="false">INDEX(AUX_MATRIZES!$C$11:$BP$11,MIN(N_SEMANAS,MAX(1,$C316)))/DIAS_POR_SEMANA</f>
        <v>10163.0296776557</v>
      </c>
      <c r="N316" s="16" t="n">
        <f aca="false">MIN(CADASTRO_CASAS_BOMBA!$O$9,MAX(0,N315+CADASTRO_CASAS_BOMBA!$I$9*HORAS_CAPTACAO_DIA-M316))</f>
        <v>129000</v>
      </c>
      <c r="O316" s="16" t="n">
        <f aca="false">MAX(0,M316-CADASTRO_CASAS_BOMBA!$I$9*HORAS_CAPTACAO_DIA-N315)</f>
        <v>0</v>
      </c>
      <c r="P316" s="16" t="n">
        <f aca="false">INDEX(AUX_MATRIZES!$C$12:$BP$12,MIN(N_SEMANAS,MAX(1,$C316)))/DIAS_POR_SEMANA</f>
        <v>9944.66505801217</v>
      </c>
      <c r="Q316" s="16" t="n">
        <f aca="false">MIN(CADASTRO_CASAS_BOMBA!$O$10,MAX(0,Q315+CADASTRO_CASAS_BOMBA!$I$10*HORAS_CAPTACAO_DIA-P316))</f>
        <v>711041.236735343</v>
      </c>
      <c r="R316" s="16" t="n">
        <f aca="false">MAX(0,P316-CADASTRO_CASAS_BOMBA!$I$10*HORAS_CAPTACAO_DIA-Q315)</f>
        <v>0</v>
      </c>
      <c r="S316" s="16" t="n">
        <f aca="false">INDEX(AUX_MATRIZES!$C$13:$BP$13,MIN(N_SEMANAS,MAX(1,$C316)))/DIAS_POR_SEMANA</f>
        <v>15857.1043176471</v>
      </c>
      <c r="T316" s="16" t="n">
        <f aca="false">MIN(CADASTRO_CASAS_BOMBA!$O$11,MAX(0,T315+CADASTRO_CASAS_BOMBA!$I$11*HORAS_CAPTACAO_DIA-S316))</f>
        <v>131137.213631643</v>
      </c>
      <c r="U316" s="16" t="n">
        <f aca="false">MAX(0,S316-CADASTRO_CASAS_BOMBA!$I$11*HORAS_CAPTACAO_DIA-T315)</f>
        <v>0</v>
      </c>
      <c r="V316" s="16" t="n">
        <f aca="false">INDEX(AUX_MATRIZES!$C$14:$BP$14,MIN(N_SEMANAS,MAX(1,$C316)))/DIAS_POR_SEMANA</f>
        <v>39039.7816771242</v>
      </c>
      <c r="W316" s="16" t="n">
        <f aca="false">MIN(CADASTRO_CASAS_BOMBA!$O$12,MAX(0,W315+CADASTRO_CASAS_BOMBA!$I$12*HORAS_CAPTACAO_DIA-V316))</f>
        <v>0</v>
      </c>
      <c r="X316" s="16" t="n">
        <f aca="false">MAX(0,V316-CADASTRO_CASAS_BOMBA!$I$12*HORAS_CAPTACAO_DIA-W315)</f>
        <v>13659.7816771242</v>
      </c>
      <c r="Y316" s="16" t="n">
        <f aca="false">INDEX(AUX_MATRIZES!$C$15:$BP$15,MIN(N_SEMANAS,MAX(1,$C316)))/DIAS_POR_SEMANA</f>
        <v>0</v>
      </c>
      <c r="Z316" s="16" t="n">
        <f aca="false">MIN(CADASTRO_CASAS_BOMBA!$O$13,MAX(0,Z315+CADASTRO_CASAS_BOMBA!$I$13*HORAS_CAPTACAO_DIA-Y316))</f>
        <v>74903</v>
      </c>
      <c r="AA316" s="16" t="n">
        <f aca="false">MAX(0,Y316-CADASTRO_CASAS_BOMBA!$I$13*HORAS_CAPTACAO_DIA-Z315)</f>
        <v>0</v>
      </c>
    </row>
    <row r="317" customFormat="false" ht="15" hidden="false" customHeight="false" outlineLevel="0" collapsed="false">
      <c r="B317" s="17" t="n">
        <f aca="false">DATA_INICIO_SAFRA+310</f>
        <v>46575</v>
      </c>
      <c r="C317" s="16" t="n">
        <f aca="false">MIN(N_SEMANAS,MAX(1,INT(($B317-DATA_INICIO_SAFRA)/DIAS_POR_SEMANA)+1))</f>
        <v>45</v>
      </c>
      <c r="D317" s="16" t="n">
        <f aca="false">INDEX(AUX_MATRIZES!$C$8:$BP$8,MIN(N_SEMANAS,MAX(1,$C317)))/DIAS_POR_SEMANA</f>
        <v>4945.47385261797</v>
      </c>
      <c r="E317" s="16" t="n">
        <f aca="false">MIN(CADASTRO_CASAS_BOMBA!$O$6,MAX(0,E316+CADASTRO_CASAS_BOMBA!$I$6*HORAS_CAPTACAO_DIA-D317))</f>
        <v>2600</v>
      </c>
      <c r="F317" s="16" t="n">
        <f aca="false">MAX(0,D317-CADASTRO_CASAS_BOMBA!$I$6*HORAS_CAPTACAO_DIA-E316)</f>
        <v>0</v>
      </c>
      <c r="G317" s="16" t="n">
        <f aca="false">INDEX(AUX_MATRIZES!$C$9:$BP$9,MIN(N_SEMANAS,MAX(1,$C317)))/DIAS_POR_SEMANA</f>
        <v>4637.79070588235</v>
      </c>
      <c r="H317" s="16" t="n">
        <f aca="false">MIN(CADASTRO_CASAS_BOMBA!$O$7,MAX(0,H316+CADASTRO_CASAS_BOMBA!$I$7*HORAS_CAPTACAO_DIA-G317))</f>
        <v>76648</v>
      </c>
      <c r="I317" s="16" t="n">
        <f aca="false">MAX(0,G317-CADASTRO_CASAS_BOMBA!$I$7*HORAS_CAPTACAO_DIA-H316)</f>
        <v>0</v>
      </c>
      <c r="J317" s="16" t="n">
        <f aca="false">INDEX(AUX_MATRIZES!$C$10:$BP$10,MIN(N_SEMANAS,MAX(1,$C317)))/DIAS_POR_SEMANA</f>
        <v>10150.8741865977</v>
      </c>
      <c r="K317" s="16" t="n">
        <f aca="false">MIN(CADASTRO_CASAS_BOMBA!$O$8,MAX(0,K316+CADASTRO_CASAS_BOMBA!$I$8*HORAS_CAPTACAO_DIA-J317))</f>
        <v>27377</v>
      </c>
      <c r="L317" s="16" t="n">
        <f aca="false">MAX(0,J317-CADASTRO_CASAS_BOMBA!$I$8*HORAS_CAPTACAO_DIA-K316)</f>
        <v>0</v>
      </c>
      <c r="M317" s="16" t="n">
        <f aca="false">INDEX(AUX_MATRIZES!$C$11:$BP$11,MIN(N_SEMANAS,MAX(1,$C317)))/DIAS_POR_SEMANA</f>
        <v>10163.0296776557</v>
      </c>
      <c r="N317" s="16" t="n">
        <f aca="false">MIN(CADASTRO_CASAS_BOMBA!$O$9,MAX(0,N316+CADASTRO_CASAS_BOMBA!$I$9*HORAS_CAPTACAO_DIA-M317))</f>
        <v>129000</v>
      </c>
      <c r="O317" s="16" t="n">
        <f aca="false">MAX(0,M317-CADASTRO_CASAS_BOMBA!$I$9*HORAS_CAPTACAO_DIA-N316)</f>
        <v>0</v>
      </c>
      <c r="P317" s="16" t="n">
        <f aca="false">INDEX(AUX_MATRIZES!$C$12:$BP$12,MIN(N_SEMANAS,MAX(1,$C317)))/DIAS_POR_SEMANA</f>
        <v>9944.66505801217</v>
      </c>
      <c r="Q317" s="16" t="n">
        <f aca="false">MIN(CADASTRO_CASAS_BOMBA!$O$10,MAX(0,Q316+CADASTRO_CASAS_BOMBA!$I$10*HORAS_CAPTACAO_DIA-P317))</f>
        <v>714178.971677331</v>
      </c>
      <c r="R317" s="16" t="n">
        <f aca="false">MAX(0,P317-CADASTRO_CASAS_BOMBA!$I$10*HORAS_CAPTACAO_DIA-Q316)</f>
        <v>0</v>
      </c>
      <c r="S317" s="16" t="n">
        <f aca="false">INDEX(AUX_MATRIZES!$C$13:$BP$13,MIN(N_SEMANAS,MAX(1,$C317)))/DIAS_POR_SEMANA</f>
        <v>15857.1043176471</v>
      </c>
      <c r="T317" s="16" t="n">
        <f aca="false">MIN(CADASTRO_CASAS_BOMBA!$O$11,MAX(0,T316+CADASTRO_CASAS_BOMBA!$I$11*HORAS_CAPTACAO_DIA-S317))</f>
        <v>136700.109313996</v>
      </c>
      <c r="U317" s="16" t="n">
        <f aca="false">MAX(0,S317-CADASTRO_CASAS_BOMBA!$I$11*HORAS_CAPTACAO_DIA-T316)</f>
        <v>0</v>
      </c>
      <c r="V317" s="16" t="n">
        <f aca="false">INDEX(AUX_MATRIZES!$C$14:$BP$14,MIN(N_SEMANAS,MAX(1,$C317)))/DIAS_POR_SEMANA</f>
        <v>39039.7816771242</v>
      </c>
      <c r="W317" s="16" t="n">
        <f aca="false">MIN(CADASTRO_CASAS_BOMBA!$O$12,MAX(0,W316+CADASTRO_CASAS_BOMBA!$I$12*HORAS_CAPTACAO_DIA-V317))</f>
        <v>0</v>
      </c>
      <c r="X317" s="16" t="n">
        <f aca="false">MAX(0,V317-CADASTRO_CASAS_BOMBA!$I$12*HORAS_CAPTACAO_DIA-W316)</f>
        <v>13659.7816771242</v>
      </c>
      <c r="Y317" s="16" t="n">
        <f aca="false">INDEX(AUX_MATRIZES!$C$15:$BP$15,MIN(N_SEMANAS,MAX(1,$C317)))/DIAS_POR_SEMANA</f>
        <v>0</v>
      </c>
      <c r="Z317" s="16" t="n">
        <f aca="false">MIN(CADASTRO_CASAS_BOMBA!$O$13,MAX(0,Z316+CADASTRO_CASAS_BOMBA!$I$13*HORAS_CAPTACAO_DIA-Y317))</f>
        <v>74903</v>
      </c>
      <c r="AA317" s="16" t="n">
        <f aca="false">MAX(0,Y317-CADASTRO_CASAS_BOMBA!$I$13*HORAS_CAPTACAO_DIA-Z316)</f>
        <v>0</v>
      </c>
    </row>
    <row r="318" customFormat="false" ht="15" hidden="false" customHeight="false" outlineLevel="0" collapsed="false">
      <c r="B318" s="17" t="n">
        <f aca="false">DATA_INICIO_SAFRA+311</f>
        <v>46576</v>
      </c>
      <c r="C318" s="16" t="n">
        <f aca="false">MIN(N_SEMANAS,MAX(1,INT(($B318-DATA_INICIO_SAFRA)/DIAS_POR_SEMANA)+1))</f>
        <v>45</v>
      </c>
      <c r="D318" s="16" t="n">
        <f aca="false">INDEX(AUX_MATRIZES!$C$8:$BP$8,MIN(N_SEMANAS,MAX(1,$C318)))/DIAS_POR_SEMANA</f>
        <v>4945.47385261797</v>
      </c>
      <c r="E318" s="16" t="n">
        <f aca="false">MIN(CADASTRO_CASAS_BOMBA!$O$6,MAX(0,E317+CADASTRO_CASAS_BOMBA!$I$6*HORAS_CAPTACAO_DIA-D318))</f>
        <v>2600</v>
      </c>
      <c r="F318" s="16" t="n">
        <f aca="false">MAX(0,D318-CADASTRO_CASAS_BOMBA!$I$6*HORAS_CAPTACAO_DIA-E317)</f>
        <v>0</v>
      </c>
      <c r="G318" s="16" t="n">
        <f aca="false">INDEX(AUX_MATRIZES!$C$9:$BP$9,MIN(N_SEMANAS,MAX(1,$C318)))/DIAS_POR_SEMANA</f>
        <v>4637.79070588235</v>
      </c>
      <c r="H318" s="16" t="n">
        <f aca="false">MIN(CADASTRO_CASAS_BOMBA!$O$7,MAX(0,H317+CADASTRO_CASAS_BOMBA!$I$7*HORAS_CAPTACAO_DIA-G318))</f>
        <v>76648</v>
      </c>
      <c r="I318" s="16" t="n">
        <f aca="false">MAX(0,G318-CADASTRO_CASAS_BOMBA!$I$7*HORAS_CAPTACAO_DIA-H317)</f>
        <v>0</v>
      </c>
      <c r="J318" s="16" t="n">
        <f aca="false">INDEX(AUX_MATRIZES!$C$10:$BP$10,MIN(N_SEMANAS,MAX(1,$C318)))/DIAS_POR_SEMANA</f>
        <v>10150.8741865977</v>
      </c>
      <c r="K318" s="16" t="n">
        <f aca="false">MIN(CADASTRO_CASAS_BOMBA!$O$8,MAX(0,K317+CADASTRO_CASAS_BOMBA!$I$8*HORAS_CAPTACAO_DIA-J318))</f>
        <v>27377</v>
      </c>
      <c r="L318" s="16" t="n">
        <f aca="false">MAX(0,J318-CADASTRO_CASAS_BOMBA!$I$8*HORAS_CAPTACAO_DIA-K317)</f>
        <v>0</v>
      </c>
      <c r="M318" s="16" t="n">
        <f aca="false">INDEX(AUX_MATRIZES!$C$11:$BP$11,MIN(N_SEMANAS,MAX(1,$C318)))/DIAS_POR_SEMANA</f>
        <v>10163.0296776557</v>
      </c>
      <c r="N318" s="16" t="n">
        <f aca="false">MIN(CADASTRO_CASAS_BOMBA!$O$9,MAX(0,N317+CADASTRO_CASAS_BOMBA!$I$9*HORAS_CAPTACAO_DIA-M318))</f>
        <v>129000</v>
      </c>
      <c r="O318" s="16" t="n">
        <f aca="false">MAX(0,M318-CADASTRO_CASAS_BOMBA!$I$9*HORAS_CAPTACAO_DIA-N317)</f>
        <v>0</v>
      </c>
      <c r="P318" s="16" t="n">
        <f aca="false">INDEX(AUX_MATRIZES!$C$12:$BP$12,MIN(N_SEMANAS,MAX(1,$C318)))/DIAS_POR_SEMANA</f>
        <v>9944.66505801217</v>
      </c>
      <c r="Q318" s="16" t="n">
        <f aca="false">MIN(CADASTRO_CASAS_BOMBA!$O$10,MAX(0,Q317+CADASTRO_CASAS_BOMBA!$I$10*HORAS_CAPTACAO_DIA-P318))</f>
        <v>717316.706619319</v>
      </c>
      <c r="R318" s="16" t="n">
        <f aca="false">MAX(0,P318-CADASTRO_CASAS_BOMBA!$I$10*HORAS_CAPTACAO_DIA-Q317)</f>
        <v>0</v>
      </c>
      <c r="S318" s="16" t="n">
        <f aca="false">INDEX(AUX_MATRIZES!$C$13:$BP$13,MIN(N_SEMANAS,MAX(1,$C318)))/DIAS_POR_SEMANA</f>
        <v>15857.1043176471</v>
      </c>
      <c r="T318" s="16" t="n">
        <f aca="false">MIN(CADASTRO_CASAS_BOMBA!$O$11,MAX(0,T317+CADASTRO_CASAS_BOMBA!$I$11*HORAS_CAPTACAO_DIA-S318))</f>
        <v>142263.004996349</v>
      </c>
      <c r="U318" s="16" t="n">
        <f aca="false">MAX(0,S318-CADASTRO_CASAS_BOMBA!$I$11*HORAS_CAPTACAO_DIA-T317)</f>
        <v>0</v>
      </c>
      <c r="V318" s="16" t="n">
        <f aca="false">INDEX(AUX_MATRIZES!$C$14:$BP$14,MIN(N_SEMANAS,MAX(1,$C318)))/DIAS_POR_SEMANA</f>
        <v>39039.7816771242</v>
      </c>
      <c r="W318" s="16" t="n">
        <f aca="false">MIN(CADASTRO_CASAS_BOMBA!$O$12,MAX(0,W317+CADASTRO_CASAS_BOMBA!$I$12*HORAS_CAPTACAO_DIA-V318))</f>
        <v>0</v>
      </c>
      <c r="X318" s="16" t="n">
        <f aca="false">MAX(0,V318-CADASTRO_CASAS_BOMBA!$I$12*HORAS_CAPTACAO_DIA-W317)</f>
        <v>13659.7816771242</v>
      </c>
      <c r="Y318" s="16" t="n">
        <f aca="false">INDEX(AUX_MATRIZES!$C$15:$BP$15,MIN(N_SEMANAS,MAX(1,$C318)))/DIAS_POR_SEMANA</f>
        <v>0</v>
      </c>
      <c r="Z318" s="16" t="n">
        <f aca="false">MIN(CADASTRO_CASAS_BOMBA!$O$13,MAX(0,Z317+CADASTRO_CASAS_BOMBA!$I$13*HORAS_CAPTACAO_DIA-Y318))</f>
        <v>74903</v>
      </c>
      <c r="AA318" s="16" t="n">
        <f aca="false">MAX(0,Y318-CADASTRO_CASAS_BOMBA!$I$13*HORAS_CAPTACAO_DIA-Z317)</f>
        <v>0</v>
      </c>
    </row>
    <row r="319" customFormat="false" ht="15" hidden="false" customHeight="false" outlineLevel="0" collapsed="false">
      <c r="B319" s="17" t="n">
        <f aca="false">DATA_INICIO_SAFRA+312</f>
        <v>46577</v>
      </c>
      <c r="C319" s="16" t="n">
        <f aca="false">MIN(N_SEMANAS,MAX(1,INT(($B319-DATA_INICIO_SAFRA)/DIAS_POR_SEMANA)+1))</f>
        <v>45</v>
      </c>
      <c r="D319" s="16" t="n">
        <f aca="false">INDEX(AUX_MATRIZES!$C$8:$BP$8,MIN(N_SEMANAS,MAX(1,$C319)))/DIAS_POR_SEMANA</f>
        <v>4945.47385261797</v>
      </c>
      <c r="E319" s="16" t="n">
        <f aca="false">MIN(CADASTRO_CASAS_BOMBA!$O$6,MAX(0,E318+CADASTRO_CASAS_BOMBA!$I$6*HORAS_CAPTACAO_DIA-D319))</f>
        <v>2600</v>
      </c>
      <c r="F319" s="16" t="n">
        <f aca="false">MAX(0,D319-CADASTRO_CASAS_BOMBA!$I$6*HORAS_CAPTACAO_DIA-E318)</f>
        <v>0</v>
      </c>
      <c r="G319" s="16" t="n">
        <f aca="false">INDEX(AUX_MATRIZES!$C$9:$BP$9,MIN(N_SEMANAS,MAX(1,$C319)))/DIAS_POR_SEMANA</f>
        <v>4637.79070588235</v>
      </c>
      <c r="H319" s="16" t="n">
        <f aca="false">MIN(CADASTRO_CASAS_BOMBA!$O$7,MAX(0,H318+CADASTRO_CASAS_BOMBA!$I$7*HORAS_CAPTACAO_DIA-G319))</f>
        <v>76648</v>
      </c>
      <c r="I319" s="16" t="n">
        <f aca="false">MAX(0,G319-CADASTRO_CASAS_BOMBA!$I$7*HORAS_CAPTACAO_DIA-H318)</f>
        <v>0</v>
      </c>
      <c r="J319" s="16" t="n">
        <f aca="false">INDEX(AUX_MATRIZES!$C$10:$BP$10,MIN(N_SEMANAS,MAX(1,$C319)))/DIAS_POR_SEMANA</f>
        <v>10150.8741865977</v>
      </c>
      <c r="K319" s="16" t="n">
        <f aca="false">MIN(CADASTRO_CASAS_BOMBA!$O$8,MAX(0,K318+CADASTRO_CASAS_BOMBA!$I$8*HORAS_CAPTACAO_DIA-J319))</f>
        <v>27377</v>
      </c>
      <c r="L319" s="16" t="n">
        <f aca="false">MAX(0,J319-CADASTRO_CASAS_BOMBA!$I$8*HORAS_CAPTACAO_DIA-K318)</f>
        <v>0</v>
      </c>
      <c r="M319" s="16" t="n">
        <f aca="false">INDEX(AUX_MATRIZES!$C$11:$BP$11,MIN(N_SEMANAS,MAX(1,$C319)))/DIAS_POR_SEMANA</f>
        <v>10163.0296776557</v>
      </c>
      <c r="N319" s="16" t="n">
        <f aca="false">MIN(CADASTRO_CASAS_BOMBA!$O$9,MAX(0,N318+CADASTRO_CASAS_BOMBA!$I$9*HORAS_CAPTACAO_DIA-M319))</f>
        <v>129000</v>
      </c>
      <c r="O319" s="16" t="n">
        <f aca="false">MAX(0,M319-CADASTRO_CASAS_BOMBA!$I$9*HORAS_CAPTACAO_DIA-N318)</f>
        <v>0</v>
      </c>
      <c r="P319" s="16" t="n">
        <f aca="false">INDEX(AUX_MATRIZES!$C$12:$BP$12,MIN(N_SEMANAS,MAX(1,$C319)))/DIAS_POR_SEMANA</f>
        <v>9944.66505801217</v>
      </c>
      <c r="Q319" s="16" t="n">
        <f aca="false">MIN(CADASTRO_CASAS_BOMBA!$O$10,MAX(0,Q318+CADASTRO_CASAS_BOMBA!$I$10*HORAS_CAPTACAO_DIA-P319))</f>
        <v>720454.441561307</v>
      </c>
      <c r="R319" s="16" t="n">
        <f aca="false">MAX(0,P319-CADASTRO_CASAS_BOMBA!$I$10*HORAS_CAPTACAO_DIA-Q318)</f>
        <v>0</v>
      </c>
      <c r="S319" s="16" t="n">
        <f aca="false">INDEX(AUX_MATRIZES!$C$13:$BP$13,MIN(N_SEMANAS,MAX(1,$C319)))/DIAS_POR_SEMANA</f>
        <v>15857.1043176471</v>
      </c>
      <c r="T319" s="16" t="n">
        <f aca="false">MIN(CADASTRO_CASAS_BOMBA!$O$11,MAX(0,T318+CADASTRO_CASAS_BOMBA!$I$11*HORAS_CAPTACAO_DIA-S319))</f>
        <v>147825.900678702</v>
      </c>
      <c r="U319" s="16" t="n">
        <f aca="false">MAX(0,S319-CADASTRO_CASAS_BOMBA!$I$11*HORAS_CAPTACAO_DIA-T318)</f>
        <v>0</v>
      </c>
      <c r="V319" s="16" t="n">
        <f aca="false">INDEX(AUX_MATRIZES!$C$14:$BP$14,MIN(N_SEMANAS,MAX(1,$C319)))/DIAS_POR_SEMANA</f>
        <v>39039.7816771242</v>
      </c>
      <c r="W319" s="16" t="n">
        <f aca="false">MIN(CADASTRO_CASAS_BOMBA!$O$12,MAX(0,W318+CADASTRO_CASAS_BOMBA!$I$12*HORAS_CAPTACAO_DIA-V319))</f>
        <v>0</v>
      </c>
      <c r="X319" s="16" t="n">
        <f aca="false">MAX(0,V319-CADASTRO_CASAS_BOMBA!$I$12*HORAS_CAPTACAO_DIA-W318)</f>
        <v>13659.7816771242</v>
      </c>
      <c r="Y319" s="16" t="n">
        <f aca="false">INDEX(AUX_MATRIZES!$C$15:$BP$15,MIN(N_SEMANAS,MAX(1,$C319)))/DIAS_POR_SEMANA</f>
        <v>0</v>
      </c>
      <c r="Z319" s="16" t="n">
        <f aca="false">MIN(CADASTRO_CASAS_BOMBA!$O$13,MAX(0,Z318+CADASTRO_CASAS_BOMBA!$I$13*HORAS_CAPTACAO_DIA-Y319))</f>
        <v>74903</v>
      </c>
      <c r="AA319" s="16" t="n">
        <f aca="false">MAX(0,Y319-CADASTRO_CASAS_BOMBA!$I$13*HORAS_CAPTACAO_DIA-Z318)</f>
        <v>0</v>
      </c>
    </row>
    <row r="320" customFormat="false" ht="15" hidden="false" customHeight="false" outlineLevel="0" collapsed="false">
      <c r="B320" s="17" t="n">
        <f aca="false">DATA_INICIO_SAFRA+313</f>
        <v>46578</v>
      </c>
      <c r="C320" s="16" t="n">
        <f aca="false">MIN(N_SEMANAS,MAX(1,INT(($B320-DATA_INICIO_SAFRA)/DIAS_POR_SEMANA)+1))</f>
        <v>45</v>
      </c>
      <c r="D320" s="16" t="n">
        <f aca="false">INDEX(AUX_MATRIZES!$C$8:$BP$8,MIN(N_SEMANAS,MAX(1,$C320)))/DIAS_POR_SEMANA</f>
        <v>4945.47385261797</v>
      </c>
      <c r="E320" s="16" t="n">
        <f aca="false">MIN(CADASTRO_CASAS_BOMBA!$O$6,MAX(0,E319+CADASTRO_CASAS_BOMBA!$I$6*HORAS_CAPTACAO_DIA-D320))</f>
        <v>2600</v>
      </c>
      <c r="F320" s="16" t="n">
        <f aca="false">MAX(0,D320-CADASTRO_CASAS_BOMBA!$I$6*HORAS_CAPTACAO_DIA-E319)</f>
        <v>0</v>
      </c>
      <c r="G320" s="16" t="n">
        <f aca="false">INDEX(AUX_MATRIZES!$C$9:$BP$9,MIN(N_SEMANAS,MAX(1,$C320)))/DIAS_POR_SEMANA</f>
        <v>4637.79070588235</v>
      </c>
      <c r="H320" s="16" t="n">
        <f aca="false">MIN(CADASTRO_CASAS_BOMBA!$O$7,MAX(0,H319+CADASTRO_CASAS_BOMBA!$I$7*HORAS_CAPTACAO_DIA-G320))</f>
        <v>76648</v>
      </c>
      <c r="I320" s="16" t="n">
        <f aca="false">MAX(0,G320-CADASTRO_CASAS_BOMBA!$I$7*HORAS_CAPTACAO_DIA-H319)</f>
        <v>0</v>
      </c>
      <c r="J320" s="16" t="n">
        <f aca="false">INDEX(AUX_MATRIZES!$C$10:$BP$10,MIN(N_SEMANAS,MAX(1,$C320)))/DIAS_POR_SEMANA</f>
        <v>10150.8741865977</v>
      </c>
      <c r="K320" s="16" t="n">
        <f aca="false">MIN(CADASTRO_CASAS_BOMBA!$O$8,MAX(0,K319+CADASTRO_CASAS_BOMBA!$I$8*HORAS_CAPTACAO_DIA-J320))</f>
        <v>27377</v>
      </c>
      <c r="L320" s="16" t="n">
        <f aca="false">MAX(0,J320-CADASTRO_CASAS_BOMBA!$I$8*HORAS_CAPTACAO_DIA-K319)</f>
        <v>0</v>
      </c>
      <c r="M320" s="16" t="n">
        <f aca="false">INDEX(AUX_MATRIZES!$C$11:$BP$11,MIN(N_SEMANAS,MAX(1,$C320)))/DIAS_POR_SEMANA</f>
        <v>10163.0296776557</v>
      </c>
      <c r="N320" s="16" t="n">
        <f aca="false">MIN(CADASTRO_CASAS_BOMBA!$O$9,MAX(0,N319+CADASTRO_CASAS_BOMBA!$I$9*HORAS_CAPTACAO_DIA-M320))</f>
        <v>129000</v>
      </c>
      <c r="O320" s="16" t="n">
        <f aca="false">MAX(0,M320-CADASTRO_CASAS_BOMBA!$I$9*HORAS_CAPTACAO_DIA-N319)</f>
        <v>0</v>
      </c>
      <c r="P320" s="16" t="n">
        <f aca="false">INDEX(AUX_MATRIZES!$C$12:$BP$12,MIN(N_SEMANAS,MAX(1,$C320)))/DIAS_POR_SEMANA</f>
        <v>9944.66505801217</v>
      </c>
      <c r="Q320" s="16" t="n">
        <f aca="false">MIN(CADASTRO_CASAS_BOMBA!$O$10,MAX(0,Q319+CADASTRO_CASAS_BOMBA!$I$10*HORAS_CAPTACAO_DIA-P320))</f>
        <v>723592.176503295</v>
      </c>
      <c r="R320" s="16" t="n">
        <f aca="false">MAX(0,P320-CADASTRO_CASAS_BOMBA!$I$10*HORAS_CAPTACAO_DIA-Q319)</f>
        <v>0</v>
      </c>
      <c r="S320" s="16" t="n">
        <f aca="false">INDEX(AUX_MATRIZES!$C$13:$BP$13,MIN(N_SEMANAS,MAX(1,$C320)))/DIAS_POR_SEMANA</f>
        <v>15857.1043176471</v>
      </c>
      <c r="T320" s="16" t="n">
        <f aca="false">MIN(CADASTRO_CASAS_BOMBA!$O$11,MAX(0,T319+CADASTRO_CASAS_BOMBA!$I$11*HORAS_CAPTACAO_DIA-S320))</f>
        <v>153388.796361055</v>
      </c>
      <c r="U320" s="16" t="n">
        <f aca="false">MAX(0,S320-CADASTRO_CASAS_BOMBA!$I$11*HORAS_CAPTACAO_DIA-T319)</f>
        <v>0</v>
      </c>
      <c r="V320" s="16" t="n">
        <f aca="false">INDEX(AUX_MATRIZES!$C$14:$BP$14,MIN(N_SEMANAS,MAX(1,$C320)))/DIAS_POR_SEMANA</f>
        <v>39039.7816771242</v>
      </c>
      <c r="W320" s="16" t="n">
        <f aca="false">MIN(CADASTRO_CASAS_BOMBA!$O$12,MAX(0,W319+CADASTRO_CASAS_BOMBA!$I$12*HORAS_CAPTACAO_DIA-V320))</f>
        <v>0</v>
      </c>
      <c r="X320" s="16" t="n">
        <f aca="false">MAX(0,V320-CADASTRO_CASAS_BOMBA!$I$12*HORAS_CAPTACAO_DIA-W319)</f>
        <v>13659.7816771242</v>
      </c>
      <c r="Y320" s="16" t="n">
        <f aca="false">INDEX(AUX_MATRIZES!$C$15:$BP$15,MIN(N_SEMANAS,MAX(1,$C320)))/DIAS_POR_SEMANA</f>
        <v>0</v>
      </c>
      <c r="Z320" s="16" t="n">
        <f aca="false">MIN(CADASTRO_CASAS_BOMBA!$O$13,MAX(0,Z319+CADASTRO_CASAS_BOMBA!$I$13*HORAS_CAPTACAO_DIA-Y320))</f>
        <v>74903</v>
      </c>
      <c r="AA320" s="16" t="n">
        <f aca="false">MAX(0,Y320-CADASTRO_CASAS_BOMBA!$I$13*HORAS_CAPTACAO_DIA-Z319)</f>
        <v>0</v>
      </c>
    </row>
    <row r="321" customFormat="false" ht="15" hidden="false" customHeight="false" outlineLevel="0" collapsed="false">
      <c r="B321" s="17" t="n">
        <f aca="false">DATA_INICIO_SAFRA+314</f>
        <v>46579</v>
      </c>
      <c r="C321" s="16" t="n">
        <f aca="false">MIN(N_SEMANAS,MAX(1,INT(($B321-DATA_INICIO_SAFRA)/DIAS_POR_SEMANA)+1))</f>
        <v>45</v>
      </c>
      <c r="D321" s="16" t="n">
        <f aca="false">INDEX(AUX_MATRIZES!$C$8:$BP$8,MIN(N_SEMANAS,MAX(1,$C321)))/DIAS_POR_SEMANA</f>
        <v>4945.47385261797</v>
      </c>
      <c r="E321" s="16" t="n">
        <f aca="false">MIN(CADASTRO_CASAS_BOMBA!$O$6,MAX(0,E320+CADASTRO_CASAS_BOMBA!$I$6*HORAS_CAPTACAO_DIA-D321))</f>
        <v>2600</v>
      </c>
      <c r="F321" s="16" t="n">
        <f aca="false">MAX(0,D321-CADASTRO_CASAS_BOMBA!$I$6*HORAS_CAPTACAO_DIA-E320)</f>
        <v>0</v>
      </c>
      <c r="G321" s="16" t="n">
        <f aca="false">INDEX(AUX_MATRIZES!$C$9:$BP$9,MIN(N_SEMANAS,MAX(1,$C321)))/DIAS_POR_SEMANA</f>
        <v>4637.79070588235</v>
      </c>
      <c r="H321" s="16" t="n">
        <f aca="false">MIN(CADASTRO_CASAS_BOMBA!$O$7,MAX(0,H320+CADASTRO_CASAS_BOMBA!$I$7*HORAS_CAPTACAO_DIA-G321))</f>
        <v>76648</v>
      </c>
      <c r="I321" s="16" t="n">
        <f aca="false">MAX(0,G321-CADASTRO_CASAS_BOMBA!$I$7*HORAS_CAPTACAO_DIA-H320)</f>
        <v>0</v>
      </c>
      <c r="J321" s="16" t="n">
        <f aca="false">INDEX(AUX_MATRIZES!$C$10:$BP$10,MIN(N_SEMANAS,MAX(1,$C321)))/DIAS_POR_SEMANA</f>
        <v>10150.8741865977</v>
      </c>
      <c r="K321" s="16" t="n">
        <f aca="false">MIN(CADASTRO_CASAS_BOMBA!$O$8,MAX(0,K320+CADASTRO_CASAS_BOMBA!$I$8*HORAS_CAPTACAO_DIA-J321))</f>
        <v>27377</v>
      </c>
      <c r="L321" s="16" t="n">
        <f aca="false">MAX(0,J321-CADASTRO_CASAS_BOMBA!$I$8*HORAS_CAPTACAO_DIA-K320)</f>
        <v>0</v>
      </c>
      <c r="M321" s="16" t="n">
        <f aca="false">INDEX(AUX_MATRIZES!$C$11:$BP$11,MIN(N_SEMANAS,MAX(1,$C321)))/DIAS_POR_SEMANA</f>
        <v>10163.0296776557</v>
      </c>
      <c r="N321" s="16" t="n">
        <f aca="false">MIN(CADASTRO_CASAS_BOMBA!$O$9,MAX(0,N320+CADASTRO_CASAS_BOMBA!$I$9*HORAS_CAPTACAO_DIA-M321))</f>
        <v>129000</v>
      </c>
      <c r="O321" s="16" t="n">
        <f aca="false">MAX(0,M321-CADASTRO_CASAS_BOMBA!$I$9*HORAS_CAPTACAO_DIA-N320)</f>
        <v>0</v>
      </c>
      <c r="P321" s="16" t="n">
        <f aca="false">INDEX(AUX_MATRIZES!$C$12:$BP$12,MIN(N_SEMANAS,MAX(1,$C321)))/DIAS_POR_SEMANA</f>
        <v>9944.66505801217</v>
      </c>
      <c r="Q321" s="16" t="n">
        <f aca="false">MIN(CADASTRO_CASAS_BOMBA!$O$10,MAX(0,Q320+CADASTRO_CASAS_BOMBA!$I$10*HORAS_CAPTACAO_DIA-P321))</f>
        <v>726729.911445283</v>
      </c>
      <c r="R321" s="16" t="n">
        <f aca="false">MAX(0,P321-CADASTRO_CASAS_BOMBA!$I$10*HORAS_CAPTACAO_DIA-Q320)</f>
        <v>0</v>
      </c>
      <c r="S321" s="16" t="n">
        <f aca="false">INDEX(AUX_MATRIZES!$C$13:$BP$13,MIN(N_SEMANAS,MAX(1,$C321)))/DIAS_POR_SEMANA</f>
        <v>15857.1043176471</v>
      </c>
      <c r="T321" s="16" t="n">
        <f aca="false">MIN(CADASTRO_CASAS_BOMBA!$O$11,MAX(0,T320+CADASTRO_CASAS_BOMBA!$I$11*HORAS_CAPTACAO_DIA-S321))</f>
        <v>158951.692043408</v>
      </c>
      <c r="U321" s="16" t="n">
        <f aca="false">MAX(0,S321-CADASTRO_CASAS_BOMBA!$I$11*HORAS_CAPTACAO_DIA-T320)</f>
        <v>0</v>
      </c>
      <c r="V321" s="16" t="n">
        <f aca="false">INDEX(AUX_MATRIZES!$C$14:$BP$14,MIN(N_SEMANAS,MAX(1,$C321)))/DIAS_POR_SEMANA</f>
        <v>39039.7816771242</v>
      </c>
      <c r="W321" s="16" t="n">
        <f aca="false">MIN(CADASTRO_CASAS_BOMBA!$O$12,MAX(0,W320+CADASTRO_CASAS_BOMBA!$I$12*HORAS_CAPTACAO_DIA-V321))</f>
        <v>0</v>
      </c>
      <c r="X321" s="16" t="n">
        <f aca="false">MAX(0,V321-CADASTRO_CASAS_BOMBA!$I$12*HORAS_CAPTACAO_DIA-W320)</f>
        <v>13659.7816771242</v>
      </c>
      <c r="Y321" s="16" t="n">
        <f aca="false">INDEX(AUX_MATRIZES!$C$15:$BP$15,MIN(N_SEMANAS,MAX(1,$C321)))/DIAS_POR_SEMANA</f>
        <v>0</v>
      </c>
      <c r="Z321" s="16" t="n">
        <f aca="false">MIN(CADASTRO_CASAS_BOMBA!$O$13,MAX(0,Z320+CADASTRO_CASAS_BOMBA!$I$13*HORAS_CAPTACAO_DIA-Y321))</f>
        <v>74903</v>
      </c>
      <c r="AA321" s="16" t="n">
        <f aca="false">MAX(0,Y321-CADASTRO_CASAS_BOMBA!$I$13*HORAS_CAPTACAO_DIA-Z320)</f>
        <v>0</v>
      </c>
    </row>
    <row r="322" customFormat="false" ht="15" hidden="false" customHeight="false" outlineLevel="0" collapsed="false">
      <c r="B322" s="17" t="n">
        <f aca="false">DATA_INICIO_SAFRA+315</f>
        <v>46580</v>
      </c>
      <c r="C322" s="16" t="n">
        <f aca="false">MIN(N_SEMANAS,MAX(1,INT(($B322-DATA_INICIO_SAFRA)/DIAS_POR_SEMANA)+1))</f>
        <v>46</v>
      </c>
      <c r="D322" s="16" t="n">
        <f aca="false">INDEX(AUX_MATRIZES!$C$8:$BP$8,MIN(N_SEMANAS,MAX(1,$C322)))/DIAS_POR_SEMANA</f>
        <v>4594.79036845508</v>
      </c>
      <c r="E322" s="16" t="n">
        <f aca="false">MIN(CADASTRO_CASAS_BOMBA!$O$6,MAX(0,E321+CADASTRO_CASAS_BOMBA!$I$6*HORAS_CAPTACAO_DIA-D322))</f>
        <v>2600</v>
      </c>
      <c r="F322" s="16" t="n">
        <f aca="false">MAX(0,D322-CADASTRO_CASAS_BOMBA!$I$6*HORAS_CAPTACAO_DIA-E321)</f>
        <v>0</v>
      </c>
      <c r="G322" s="16" t="n">
        <f aca="false">INDEX(AUX_MATRIZES!$C$9:$BP$9,MIN(N_SEMANAS,MAX(1,$C322)))/DIAS_POR_SEMANA</f>
        <v>4202.42666666667</v>
      </c>
      <c r="H322" s="16" t="n">
        <f aca="false">MIN(CADASTRO_CASAS_BOMBA!$O$7,MAX(0,H321+CADASTRO_CASAS_BOMBA!$I$7*HORAS_CAPTACAO_DIA-G322))</f>
        <v>76648</v>
      </c>
      <c r="I322" s="16" t="n">
        <f aca="false">MAX(0,G322-CADASTRO_CASAS_BOMBA!$I$7*HORAS_CAPTACAO_DIA-H321)</f>
        <v>0</v>
      </c>
      <c r="J322" s="16" t="n">
        <f aca="false">INDEX(AUX_MATRIZES!$C$10:$BP$10,MIN(N_SEMANAS,MAX(1,$C322)))/DIAS_POR_SEMANA</f>
        <v>9445.36936005171</v>
      </c>
      <c r="K322" s="16" t="n">
        <f aca="false">MIN(CADASTRO_CASAS_BOMBA!$O$8,MAX(0,K321+CADASTRO_CASAS_BOMBA!$I$8*HORAS_CAPTACAO_DIA-J322))</f>
        <v>27377</v>
      </c>
      <c r="L322" s="16" t="n">
        <f aca="false">MAX(0,J322-CADASTRO_CASAS_BOMBA!$I$8*HORAS_CAPTACAO_DIA-K321)</f>
        <v>0</v>
      </c>
      <c r="M322" s="16" t="n">
        <f aca="false">INDEX(AUX_MATRIZES!$C$11:$BP$11,MIN(N_SEMANAS,MAX(1,$C322)))/DIAS_POR_SEMANA</f>
        <v>9336.06159017453</v>
      </c>
      <c r="N322" s="16" t="n">
        <f aca="false">MIN(CADASTRO_CASAS_BOMBA!$O$9,MAX(0,N321+CADASTRO_CASAS_BOMBA!$I$9*HORAS_CAPTACAO_DIA-M322))</f>
        <v>129000</v>
      </c>
      <c r="O322" s="16" t="n">
        <f aca="false">MAX(0,M322-CADASTRO_CASAS_BOMBA!$I$9*HORAS_CAPTACAO_DIA-N321)</f>
        <v>0</v>
      </c>
      <c r="P322" s="16" t="n">
        <f aca="false">INDEX(AUX_MATRIZES!$C$12:$BP$12,MIN(N_SEMANAS,MAX(1,$C322)))/DIAS_POR_SEMANA</f>
        <v>12435.3674028398</v>
      </c>
      <c r="Q322" s="16" t="n">
        <f aca="false">MIN(CADASTRO_CASAS_BOMBA!$O$10,MAX(0,Q321+CADASTRO_CASAS_BOMBA!$I$10*HORAS_CAPTACAO_DIA-P322))</f>
        <v>727376.944042443</v>
      </c>
      <c r="R322" s="16" t="n">
        <f aca="false">MAX(0,P322-CADASTRO_CASAS_BOMBA!$I$10*HORAS_CAPTACAO_DIA-Q321)</f>
        <v>0</v>
      </c>
      <c r="S322" s="16" t="n">
        <f aca="false">INDEX(AUX_MATRIZES!$C$13:$BP$13,MIN(N_SEMANAS,MAX(1,$C322)))/DIAS_POR_SEMANA</f>
        <v>16985.2712039216</v>
      </c>
      <c r="T322" s="16" t="n">
        <f aca="false">MIN(CADASTRO_CASAS_BOMBA!$O$11,MAX(0,T321+CADASTRO_CASAS_BOMBA!$I$11*HORAS_CAPTACAO_DIA-S322))</f>
        <v>163386.420839486</v>
      </c>
      <c r="U322" s="16" t="n">
        <f aca="false">MAX(0,S322-CADASTRO_CASAS_BOMBA!$I$11*HORAS_CAPTACAO_DIA-T321)</f>
        <v>0</v>
      </c>
      <c r="V322" s="16" t="n">
        <f aca="false">INDEX(AUX_MATRIZES!$C$14:$BP$14,MIN(N_SEMANAS,MAX(1,$C322)))/DIAS_POR_SEMANA</f>
        <v>37141.1582718954</v>
      </c>
      <c r="W322" s="16" t="n">
        <f aca="false">MIN(CADASTRO_CASAS_BOMBA!$O$12,MAX(0,W321+CADASTRO_CASAS_BOMBA!$I$12*HORAS_CAPTACAO_DIA-V322))</f>
        <v>0</v>
      </c>
      <c r="X322" s="16" t="n">
        <f aca="false">MAX(0,V322-CADASTRO_CASAS_BOMBA!$I$12*HORAS_CAPTACAO_DIA-W321)</f>
        <v>11761.1582718954</v>
      </c>
      <c r="Y322" s="16" t="n">
        <f aca="false">INDEX(AUX_MATRIZES!$C$15:$BP$15,MIN(N_SEMANAS,MAX(1,$C322)))/DIAS_POR_SEMANA</f>
        <v>0</v>
      </c>
      <c r="Z322" s="16" t="n">
        <f aca="false">MIN(CADASTRO_CASAS_BOMBA!$O$13,MAX(0,Z321+CADASTRO_CASAS_BOMBA!$I$13*HORAS_CAPTACAO_DIA-Y322))</f>
        <v>74903</v>
      </c>
      <c r="AA322" s="16" t="n">
        <f aca="false">MAX(0,Y322-CADASTRO_CASAS_BOMBA!$I$13*HORAS_CAPTACAO_DIA-Z321)</f>
        <v>0</v>
      </c>
    </row>
    <row r="323" customFormat="false" ht="15" hidden="false" customHeight="false" outlineLevel="0" collapsed="false">
      <c r="B323" s="17" t="n">
        <f aca="false">DATA_INICIO_SAFRA+316</f>
        <v>46581</v>
      </c>
      <c r="C323" s="16" t="n">
        <f aca="false">MIN(N_SEMANAS,MAX(1,INT(($B323-DATA_INICIO_SAFRA)/DIAS_POR_SEMANA)+1))</f>
        <v>46</v>
      </c>
      <c r="D323" s="16" t="n">
        <f aca="false">INDEX(AUX_MATRIZES!$C$8:$BP$8,MIN(N_SEMANAS,MAX(1,$C323)))/DIAS_POR_SEMANA</f>
        <v>4594.79036845508</v>
      </c>
      <c r="E323" s="16" t="n">
        <f aca="false">MIN(CADASTRO_CASAS_BOMBA!$O$6,MAX(0,E322+CADASTRO_CASAS_BOMBA!$I$6*HORAS_CAPTACAO_DIA-D323))</f>
        <v>2600</v>
      </c>
      <c r="F323" s="16" t="n">
        <f aca="false">MAX(0,D323-CADASTRO_CASAS_BOMBA!$I$6*HORAS_CAPTACAO_DIA-E322)</f>
        <v>0</v>
      </c>
      <c r="G323" s="16" t="n">
        <f aca="false">INDEX(AUX_MATRIZES!$C$9:$BP$9,MIN(N_SEMANAS,MAX(1,$C323)))/DIAS_POR_SEMANA</f>
        <v>4202.42666666667</v>
      </c>
      <c r="H323" s="16" t="n">
        <f aca="false">MIN(CADASTRO_CASAS_BOMBA!$O$7,MAX(0,H322+CADASTRO_CASAS_BOMBA!$I$7*HORAS_CAPTACAO_DIA-G323))</f>
        <v>76648</v>
      </c>
      <c r="I323" s="16" t="n">
        <f aca="false">MAX(0,G323-CADASTRO_CASAS_BOMBA!$I$7*HORAS_CAPTACAO_DIA-H322)</f>
        <v>0</v>
      </c>
      <c r="J323" s="16" t="n">
        <f aca="false">INDEX(AUX_MATRIZES!$C$10:$BP$10,MIN(N_SEMANAS,MAX(1,$C323)))/DIAS_POR_SEMANA</f>
        <v>9445.36936005171</v>
      </c>
      <c r="K323" s="16" t="n">
        <f aca="false">MIN(CADASTRO_CASAS_BOMBA!$O$8,MAX(0,K322+CADASTRO_CASAS_BOMBA!$I$8*HORAS_CAPTACAO_DIA-J323))</f>
        <v>27377</v>
      </c>
      <c r="L323" s="16" t="n">
        <f aca="false">MAX(0,J323-CADASTRO_CASAS_BOMBA!$I$8*HORAS_CAPTACAO_DIA-K322)</f>
        <v>0</v>
      </c>
      <c r="M323" s="16" t="n">
        <f aca="false">INDEX(AUX_MATRIZES!$C$11:$BP$11,MIN(N_SEMANAS,MAX(1,$C323)))/DIAS_POR_SEMANA</f>
        <v>9336.06159017453</v>
      </c>
      <c r="N323" s="16" t="n">
        <f aca="false">MIN(CADASTRO_CASAS_BOMBA!$O$9,MAX(0,N322+CADASTRO_CASAS_BOMBA!$I$9*HORAS_CAPTACAO_DIA-M323))</f>
        <v>129000</v>
      </c>
      <c r="O323" s="16" t="n">
        <f aca="false">MAX(0,M323-CADASTRO_CASAS_BOMBA!$I$9*HORAS_CAPTACAO_DIA-N322)</f>
        <v>0</v>
      </c>
      <c r="P323" s="16" t="n">
        <f aca="false">INDEX(AUX_MATRIZES!$C$12:$BP$12,MIN(N_SEMANAS,MAX(1,$C323)))/DIAS_POR_SEMANA</f>
        <v>12435.3674028398</v>
      </c>
      <c r="Q323" s="16" t="n">
        <f aca="false">MIN(CADASTRO_CASAS_BOMBA!$O$10,MAX(0,Q322+CADASTRO_CASAS_BOMBA!$I$10*HORAS_CAPTACAO_DIA-P323))</f>
        <v>728023.976639603</v>
      </c>
      <c r="R323" s="16" t="n">
        <f aca="false">MAX(0,P323-CADASTRO_CASAS_BOMBA!$I$10*HORAS_CAPTACAO_DIA-Q322)</f>
        <v>0</v>
      </c>
      <c r="S323" s="16" t="n">
        <f aca="false">INDEX(AUX_MATRIZES!$C$13:$BP$13,MIN(N_SEMANAS,MAX(1,$C323)))/DIAS_POR_SEMANA</f>
        <v>16985.2712039216</v>
      </c>
      <c r="T323" s="16" t="n">
        <f aca="false">MIN(CADASTRO_CASAS_BOMBA!$O$11,MAX(0,T322+CADASTRO_CASAS_BOMBA!$I$11*HORAS_CAPTACAO_DIA-S323))</f>
        <v>167821.149635565</v>
      </c>
      <c r="U323" s="16" t="n">
        <f aca="false">MAX(0,S323-CADASTRO_CASAS_BOMBA!$I$11*HORAS_CAPTACAO_DIA-T322)</f>
        <v>0</v>
      </c>
      <c r="V323" s="16" t="n">
        <f aca="false">INDEX(AUX_MATRIZES!$C$14:$BP$14,MIN(N_SEMANAS,MAX(1,$C323)))/DIAS_POR_SEMANA</f>
        <v>37141.1582718954</v>
      </c>
      <c r="W323" s="16" t="n">
        <f aca="false">MIN(CADASTRO_CASAS_BOMBA!$O$12,MAX(0,W322+CADASTRO_CASAS_BOMBA!$I$12*HORAS_CAPTACAO_DIA-V323))</f>
        <v>0</v>
      </c>
      <c r="X323" s="16" t="n">
        <f aca="false">MAX(0,V323-CADASTRO_CASAS_BOMBA!$I$12*HORAS_CAPTACAO_DIA-W322)</f>
        <v>11761.1582718954</v>
      </c>
      <c r="Y323" s="16" t="n">
        <f aca="false">INDEX(AUX_MATRIZES!$C$15:$BP$15,MIN(N_SEMANAS,MAX(1,$C323)))/DIAS_POR_SEMANA</f>
        <v>0</v>
      </c>
      <c r="Z323" s="16" t="n">
        <f aca="false">MIN(CADASTRO_CASAS_BOMBA!$O$13,MAX(0,Z322+CADASTRO_CASAS_BOMBA!$I$13*HORAS_CAPTACAO_DIA-Y323))</f>
        <v>74903</v>
      </c>
      <c r="AA323" s="16" t="n">
        <f aca="false">MAX(0,Y323-CADASTRO_CASAS_BOMBA!$I$13*HORAS_CAPTACAO_DIA-Z322)</f>
        <v>0</v>
      </c>
    </row>
    <row r="324" customFormat="false" ht="15" hidden="false" customHeight="false" outlineLevel="0" collapsed="false">
      <c r="B324" s="17" t="n">
        <f aca="false">DATA_INICIO_SAFRA+317</f>
        <v>46582</v>
      </c>
      <c r="C324" s="16" t="n">
        <f aca="false">MIN(N_SEMANAS,MAX(1,INT(($B324-DATA_INICIO_SAFRA)/DIAS_POR_SEMANA)+1))</f>
        <v>46</v>
      </c>
      <c r="D324" s="16" t="n">
        <f aca="false">INDEX(AUX_MATRIZES!$C$8:$BP$8,MIN(N_SEMANAS,MAX(1,$C324)))/DIAS_POR_SEMANA</f>
        <v>4594.79036845508</v>
      </c>
      <c r="E324" s="16" t="n">
        <f aca="false">MIN(CADASTRO_CASAS_BOMBA!$O$6,MAX(0,E323+CADASTRO_CASAS_BOMBA!$I$6*HORAS_CAPTACAO_DIA-D324))</f>
        <v>2600</v>
      </c>
      <c r="F324" s="16" t="n">
        <f aca="false">MAX(0,D324-CADASTRO_CASAS_BOMBA!$I$6*HORAS_CAPTACAO_DIA-E323)</f>
        <v>0</v>
      </c>
      <c r="G324" s="16" t="n">
        <f aca="false">INDEX(AUX_MATRIZES!$C$9:$BP$9,MIN(N_SEMANAS,MAX(1,$C324)))/DIAS_POR_SEMANA</f>
        <v>4202.42666666667</v>
      </c>
      <c r="H324" s="16" t="n">
        <f aca="false">MIN(CADASTRO_CASAS_BOMBA!$O$7,MAX(0,H323+CADASTRO_CASAS_BOMBA!$I$7*HORAS_CAPTACAO_DIA-G324))</f>
        <v>76648</v>
      </c>
      <c r="I324" s="16" t="n">
        <f aca="false">MAX(0,G324-CADASTRO_CASAS_BOMBA!$I$7*HORAS_CAPTACAO_DIA-H323)</f>
        <v>0</v>
      </c>
      <c r="J324" s="16" t="n">
        <f aca="false">INDEX(AUX_MATRIZES!$C$10:$BP$10,MIN(N_SEMANAS,MAX(1,$C324)))/DIAS_POR_SEMANA</f>
        <v>9445.36936005171</v>
      </c>
      <c r="K324" s="16" t="n">
        <f aca="false">MIN(CADASTRO_CASAS_BOMBA!$O$8,MAX(0,K323+CADASTRO_CASAS_BOMBA!$I$8*HORAS_CAPTACAO_DIA-J324))</f>
        <v>27377</v>
      </c>
      <c r="L324" s="16" t="n">
        <f aca="false">MAX(0,J324-CADASTRO_CASAS_BOMBA!$I$8*HORAS_CAPTACAO_DIA-K323)</f>
        <v>0</v>
      </c>
      <c r="M324" s="16" t="n">
        <f aca="false">INDEX(AUX_MATRIZES!$C$11:$BP$11,MIN(N_SEMANAS,MAX(1,$C324)))/DIAS_POR_SEMANA</f>
        <v>9336.06159017453</v>
      </c>
      <c r="N324" s="16" t="n">
        <f aca="false">MIN(CADASTRO_CASAS_BOMBA!$O$9,MAX(0,N323+CADASTRO_CASAS_BOMBA!$I$9*HORAS_CAPTACAO_DIA-M324))</f>
        <v>129000</v>
      </c>
      <c r="O324" s="16" t="n">
        <f aca="false">MAX(0,M324-CADASTRO_CASAS_BOMBA!$I$9*HORAS_CAPTACAO_DIA-N323)</f>
        <v>0</v>
      </c>
      <c r="P324" s="16" t="n">
        <f aca="false">INDEX(AUX_MATRIZES!$C$12:$BP$12,MIN(N_SEMANAS,MAX(1,$C324)))/DIAS_POR_SEMANA</f>
        <v>12435.3674028398</v>
      </c>
      <c r="Q324" s="16" t="n">
        <f aca="false">MIN(CADASTRO_CASAS_BOMBA!$O$10,MAX(0,Q323+CADASTRO_CASAS_BOMBA!$I$10*HORAS_CAPTACAO_DIA-P324))</f>
        <v>728671.009236764</v>
      </c>
      <c r="R324" s="16" t="n">
        <f aca="false">MAX(0,P324-CADASTRO_CASAS_BOMBA!$I$10*HORAS_CAPTACAO_DIA-Q323)</f>
        <v>0</v>
      </c>
      <c r="S324" s="16" t="n">
        <f aca="false">INDEX(AUX_MATRIZES!$C$13:$BP$13,MIN(N_SEMANAS,MAX(1,$C324)))/DIAS_POR_SEMANA</f>
        <v>16985.2712039216</v>
      </c>
      <c r="T324" s="16" t="n">
        <f aca="false">MIN(CADASTRO_CASAS_BOMBA!$O$11,MAX(0,T323+CADASTRO_CASAS_BOMBA!$I$11*HORAS_CAPTACAO_DIA-S324))</f>
        <v>172255.878431643</v>
      </c>
      <c r="U324" s="16" t="n">
        <f aca="false">MAX(0,S324-CADASTRO_CASAS_BOMBA!$I$11*HORAS_CAPTACAO_DIA-T323)</f>
        <v>0</v>
      </c>
      <c r="V324" s="16" t="n">
        <f aca="false">INDEX(AUX_MATRIZES!$C$14:$BP$14,MIN(N_SEMANAS,MAX(1,$C324)))/DIAS_POR_SEMANA</f>
        <v>37141.1582718954</v>
      </c>
      <c r="W324" s="16" t="n">
        <f aca="false">MIN(CADASTRO_CASAS_BOMBA!$O$12,MAX(0,W323+CADASTRO_CASAS_BOMBA!$I$12*HORAS_CAPTACAO_DIA-V324))</f>
        <v>0</v>
      </c>
      <c r="X324" s="16" t="n">
        <f aca="false">MAX(0,V324-CADASTRO_CASAS_BOMBA!$I$12*HORAS_CAPTACAO_DIA-W323)</f>
        <v>11761.1582718954</v>
      </c>
      <c r="Y324" s="16" t="n">
        <f aca="false">INDEX(AUX_MATRIZES!$C$15:$BP$15,MIN(N_SEMANAS,MAX(1,$C324)))/DIAS_POR_SEMANA</f>
        <v>0</v>
      </c>
      <c r="Z324" s="16" t="n">
        <f aca="false">MIN(CADASTRO_CASAS_BOMBA!$O$13,MAX(0,Z323+CADASTRO_CASAS_BOMBA!$I$13*HORAS_CAPTACAO_DIA-Y324))</f>
        <v>74903</v>
      </c>
      <c r="AA324" s="16" t="n">
        <f aca="false">MAX(0,Y324-CADASTRO_CASAS_BOMBA!$I$13*HORAS_CAPTACAO_DIA-Z323)</f>
        <v>0</v>
      </c>
    </row>
    <row r="325" customFormat="false" ht="15" hidden="false" customHeight="false" outlineLevel="0" collapsed="false">
      <c r="B325" s="17" t="n">
        <f aca="false">DATA_INICIO_SAFRA+318</f>
        <v>46583</v>
      </c>
      <c r="C325" s="16" t="n">
        <f aca="false">MIN(N_SEMANAS,MAX(1,INT(($B325-DATA_INICIO_SAFRA)/DIAS_POR_SEMANA)+1))</f>
        <v>46</v>
      </c>
      <c r="D325" s="16" t="n">
        <f aca="false">INDEX(AUX_MATRIZES!$C$8:$BP$8,MIN(N_SEMANAS,MAX(1,$C325)))/DIAS_POR_SEMANA</f>
        <v>4594.79036845508</v>
      </c>
      <c r="E325" s="16" t="n">
        <f aca="false">MIN(CADASTRO_CASAS_BOMBA!$O$6,MAX(0,E324+CADASTRO_CASAS_BOMBA!$I$6*HORAS_CAPTACAO_DIA-D325))</f>
        <v>2600</v>
      </c>
      <c r="F325" s="16" t="n">
        <f aca="false">MAX(0,D325-CADASTRO_CASAS_BOMBA!$I$6*HORAS_CAPTACAO_DIA-E324)</f>
        <v>0</v>
      </c>
      <c r="G325" s="16" t="n">
        <f aca="false">INDEX(AUX_MATRIZES!$C$9:$BP$9,MIN(N_SEMANAS,MAX(1,$C325)))/DIAS_POR_SEMANA</f>
        <v>4202.42666666667</v>
      </c>
      <c r="H325" s="16" t="n">
        <f aca="false">MIN(CADASTRO_CASAS_BOMBA!$O$7,MAX(0,H324+CADASTRO_CASAS_BOMBA!$I$7*HORAS_CAPTACAO_DIA-G325))</f>
        <v>76648</v>
      </c>
      <c r="I325" s="16" t="n">
        <f aca="false">MAX(0,G325-CADASTRO_CASAS_BOMBA!$I$7*HORAS_CAPTACAO_DIA-H324)</f>
        <v>0</v>
      </c>
      <c r="J325" s="16" t="n">
        <f aca="false">INDEX(AUX_MATRIZES!$C$10:$BP$10,MIN(N_SEMANAS,MAX(1,$C325)))/DIAS_POR_SEMANA</f>
        <v>9445.36936005171</v>
      </c>
      <c r="K325" s="16" t="n">
        <f aca="false">MIN(CADASTRO_CASAS_BOMBA!$O$8,MAX(0,K324+CADASTRO_CASAS_BOMBA!$I$8*HORAS_CAPTACAO_DIA-J325))</f>
        <v>27377</v>
      </c>
      <c r="L325" s="16" t="n">
        <f aca="false">MAX(0,J325-CADASTRO_CASAS_BOMBA!$I$8*HORAS_CAPTACAO_DIA-K324)</f>
        <v>0</v>
      </c>
      <c r="M325" s="16" t="n">
        <f aca="false">INDEX(AUX_MATRIZES!$C$11:$BP$11,MIN(N_SEMANAS,MAX(1,$C325)))/DIAS_POR_SEMANA</f>
        <v>9336.06159017453</v>
      </c>
      <c r="N325" s="16" t="n">
        <f aca="false">MIN(CADASTRO_CASAS_BOMBA!$O$9,MAX(0,N324+CADASTRO_CASAS_BOMBA!$I$9*HORAS_CAPTACAO_DIA-M325))</f>
        <v>129000</v>
      </c>
      <c r="O325" s="16" t="n">
        <f aca="false">MAX(0,M325-CADASTRO_CASAS_BOMBA!$I$9*HORAS_CAPTACAO_DIA-N324)</f>
        <v>0</v>
      </c>
      <c r="P325" s="16" t="n">
        <f aca="false">INDEX(AUX_MATRIZES!$C$12:$BP$12,MIN(N_SEMANAS,MAX(1,$C325)))/DIAS_POR_SEMANA</f>
        <v>12435.3674028398</v>
      </c>
      <c r="Q325" s="16" t="n">
        <f aca="false">MIN(CADASTRO_CASAS_BOMBA!$O$10,MAX(0,Q324+CADASTRO_CASAS_BOMBA!$I$10*HORAS_CAPTACAO_DIA-P325))</f>
        <v>729318.041833924</v>
      </c>
      <c r="R325" s="16" t="n">
        <f aca="false">MAX(0,P325-CADASTRO_CASAS_BOMBA!$I$10*HORAS_CAPTACAO_DIA-Q324)</f>
        <v>0</v>
      </c>
      <c r="S325" s="16" t="n">
        <f aca="false">INDEX(AUX_MATRIZES!$C$13:$BP$13,MIN(N_SEMANAS,MAX(1,$C325)))/DIAS_POR_SEMANA</f>
        <v>16985.2712039216</v>
      </c>
      <c r="T325" s="16" t="n">
        <f aca="false">MIN(CADASTRO_CASAS_BOMBA!$O$11,MAX(0,T324+CADASTRO_CASAS_BOMBA!$I$11*HORAS_CAPTACAO_DIA-S325))</f>
        <v>176690.607227721</v>
      </c>
      <c r="U325" s="16" t="n">
        <f aca="false">MAX(0,S325-CADASTRO_CASAS_BOMBA!$I$11*HORAS_CAPTACAO_DIA-T324)</f>
        <v>0</v>
      </c>
      <c r="V325" s="16" t="n">
        <f aca="false">INDEX(AUX_MATRIZES!$C$14:$BP$14,MIN(N_SEMANAS,MAX(1,$C325)))/DIAS_POR_SEMANA</f>
        <v>37141.1582718954</v>
      </c>
      <c r="W325" s="16" t="n">
        <f aca="false">MIN(CADASTRO_CASAS_BOMBA!$O$12,MAX(0,W324+CADASTRO_CASAS_BOMBA!$I$12*HORAS_CAPTACAO_DIA-V325))</f>
        <v>0</v>
      </c>
      <c r="X325" s="16" t="n">
        <f aca="false">MAX(0,V325-CADASTRO_CASAS_BOMBA!$I$12*HORAS_CAPTACAO_DIA-W324)</f>
        <v>11761.1582718954</v>
      </c>
      <c r="Y325" s="16" t="n">
        <f aca="false">INDEX(AUX_MATRIZES!$C$15:$BP$15,MIN(N_SEMANAS,MAX(1,$C325)))/DIAS_POR_SEMANA</f>
        <v>0</v>
      </c>
      <c r="Z325" s="16" t="n">
        <f aca="false">MIN(CADASTRO_CASAS_BOMBA!$O$13,MAX(0,Z324+CADASTRO_CASAS_BOMBA!$I$13*HORAS_CAPTACAO_DIA-Y325))</f>
        <v>74903</v>
      </c>
      <c r="AA325" s="16" t="n">
        <f aca="false">MAX(0,Y325-CADASTRO_CASAS_BOMBA!$I$13*HORAS_CAPTACAO_DIA-Z324)</f>
        <v>0</v>
      </c>
    </row>
    <row r="326" customFormat="false" ht="15" hidden="false" customHeight="false" outlineLevel="0" collapsed="false">
      <c r="B326" s="17" t="n">
        <f aca="false">DATA_INICIO_SAFRA+319</f>
        <v>46584</v>
      </c>
      <c r="C326" s="16" t="n">
        <f aca="false">MIN(N_SEMANAS,MAX(1,INT(($B326-DATA_INICIO_SAFRA)/DIAS_POR_SEMANA)+1))</f>
        <v>46</v>
      </c>
      <c r="D326" s="16" t="n">
        <f aca="false">INDEX(AUX_MATRIZES!$C$8:$BP$8,MIN(N_SEMANAS,MAX(1,$C326)))/DIAS_POR_SEMANA</f>
        <v>4594.79036845508</v>
      </c>
      <c r="E326" s="16" t="n">
        <f aca="false">MIN(CADASTRO_CASAS_BOMBA!$O$6,MAX(0,E325+CADASTRO_CASAS_BOMBA!$I$6*HORAS_CAPTACAO_DIA-D326))</f>
        <v>2600</v>
      </c>
      <c r="F326" s="16" t="n">
        <f aca="false">MAX(0,D326-CADASTRO_CASAS_BOMBA!$I$6*HORAS_CAPTACAO_DIA-E325)</f>
        <v>0</v>
      </c>
      <c r="G326" s="16" t="n">
        <f aca="false">INDEX(AUX_MATRIZES!$C$9:$BP$9,MIN(N_SEMANAS,MAX(1,$C326)))/DIAS_POR_SEMANA</f>
        <v>4202.42666666667</v>
      </c>
      <c r="H326" s="16" t="n">
        <f aca="false">MIN(CADASTRO_CASAS_BOMBA!$O$7,MAX(0,H325+CADASTRO_CASAS_BOMBA!$I$7*HORAS_CAPTACAO_DIA-G326))</f>
        <v>76648</v>
      </c>
      <c r="I326" s="16" t="n">
        <f aca="false">MAX(0,G326-CADASTRO_CASAS_BOMBA!$I$7*HORAS_CAPTACAO_DIA-H325)</f>
        <v>0</v>
      </c>
      <c r="J326" s="16" t="n">
        <f aca="false">INDEX(AUX_MATRIZES!$C$10:$BP$10,MIN(N_SEMANAS,MAX(1,$C326)))/DIAS_POR_SEMANA</f>
        <v>9445.36936005171</v>
      </c>
      <c r="K326" s="16" t="n">
        <f aca="false">MIN(CADASTRO_CASAS_BOMBA!$O$8,MAX(0,K325+CADASTRO_CASAS_BOMBA!$I$8*HORAS_CAPTACAO_DIA-J326))</f>
        <v>27377</v>
      </c>
      <c r="L326" s="16" t="n">
        <f aca="false">MAX(0,J326-CADASTRO_CASAS_BOMBA!$I$8*HORAS_CAPTACAO_DIA-K325)</f>
        <v>0</v>
      </c>
      <c r="M326" s="16" t="n">
        <f aca="false">INDEX(AUX_MATRIZES!$C$11:$BP$11,MIN(N_SEMANAS,MAX(1,$C326)))/DIAS_POR_SEMANA</f>
        <v>9336.06159017453</v>
      </c>
      <c r="N326" s="16" t="n">
        <f aca="false">MIN(CADASTRO_CASAS_BOMBA!$O$9,MAX(0,N325+CADASTRO_CASAS_BOMBA!$I$9*HORAS_CAPTACAO_DIA-M326))</f>
        <v>129000</v>
      </c>
      <c r="O326" s="16" t="n">
        <f aca="false">MAX(0,M326-CADASTRO_CASAS_BOMBA!$I$9*HORAS_CAPTACAO_DIA-N325)</f>
        <v>0</v>
      </c>
      <c r="P326" s="16" t="n">
        <f aca="false">INDEX(AUX_MATRIZES!$C$12:$BP$12,MIN(N_SEMANAS,MAX(1,$C326)))/DIAS_POR_SEMANA</f>
        <v>12435.3674028398</v>
      </c>
      <c r="Q326" s="16" t="n">
        <f aca="false">MIN(CADASTRO_CASAS_BOMBA!$O$10,MAX(0,Q325+CADASTRO_CASAS_BOMBA!$I$10*HORAS_CAPTACAO_DIA-P326))</f>
        <v>729965.074431084</v>
      </c>
      <c r="R326" s="16" t="n">
        <f aca="false">MAX(0,P326-CADASTRO_CASAS_BOMBA!$I$10*HORAS_CAPTACAO_DIA-Q325)</f>
        <v>0</v>
      </c>
      <c r="S326" s="16" t="n">
        <f aca="false">INDEX(AUX_MATRIZES!$C$13:$BP$13,MIN(N_SEMANAS,MAX(1,$C326)))/DIAS_POR_SEMANA</f>
        <v>16985.2712039216</v>
      </c>
      <c r="T326" s="16" t="n">
        <f aca="false">MIN(CADASTRO_CASAS_BOMBA!$O$11,MAX(0,T325+CADASTRO_CASAS_BOMBA!$I$11*HORAS_CAPTACAO_DIA-S326))</f>
        <v>181125.3360238</v>
      </c>
      <c r="U326" s="16" t="n">
        <f aca="false">MAX(0,S326-CADASTRO_CASAS_BOMBA!$I$11*HORAS_CAPTACAO_DIA-T325)</f>
        <v>0</v>
      </c>
      <c r="V326" s="16" t="n">
        <f aca="false">INDEX(AUX_MATRIZES!$C$14:$BP$14,MIN(N_SEMANAS,MAX(1,$C326)))/DIAS_POR_SEMANA</f>
        <v>37141.1582718954</v>
      </c>
      <c r="W326" s="16" t="n">
        <f aca="false">MIN(CADASTRO_CASAS_BOMBA!$O$12,MAX(0,W325+CADASTRO_CASAS_BOMBA!$I$12*HORAS_CAPTACAO_DIA-V326))</f>
        <v>0</v>
      </c>
      <c r="X326" s="16" t="n">
        <f aca="false">MAX(0,V326-CADASTRO_CASAS_BOMBA!$I$12*HORAS_CAPTACAO_DIA-W325)</f>
        <v>11761.1582718954</v>
      </c>
      <c r="Y326" s="16" t="n">
        <f aca="false">INDEX(AUX_MATRIZES!$C$15:$BP$15,MIN(N_SEMANAS,MAX(1,$C326)))/DIAS_POR_SEMANA</f>
        <v>0</v>
      </c>
      <c r="Z326" s="16" t="n">
        <f aca="false">MIN(CADASTRO_CASAS_BOMBA!$O$13,MAX(0,Z325+CADASTRO_CASAS_BOMBA!$I$13*HORAS_CAPTACAO_DIA-Y326))</f>
        <v>74903</v>
      </c>
      <c r="AA326" s="16" t="n">
        <f aca="false">MAX(0,Y326-CADASTRO_CASAS_BOMBA!$I$13*HORAS_CAPTACAO_DIA-Z325)</f>
        <v>0</v>
      </c>
    </row>
    <row r="327" customFormat="false" ht="15" hidden="false" customHeight="false" outlineLevel="0" collapsed="false">
      <c r="B327" s="17" t="n">
        <f aca="false">DATA_INICIO_SAFRA+320</f>
        <v>46585</v>
      </c>
      <c r="C327" s="16" t="n">
        <f aca="false">MIN(N_SEMANAS,MAX(1,INT(($B327-DATA_INICIO_SAFRA)/DIAS_POR_SEMANA)+1))</f>
        <v>46</v>
      </c>
      <c r="D327" s="16" t="n">
        <f aca="false">INDEX(AUX_MATRIZES!$C$8:$BP$8,MIN(N_SEMANAS,MAX(1,$C327)))/DIAS_POR_SEMANA</f>
        <v>4594.79036845508</v>
      </c>
      <c r="E327" s="16" t="n">
        <f aca="false">MIN(CADASTRO_CASAS_BOMBA!$O$6,MAX(0,E326+CADASTRO_CASAS_BOMBA!$I$6*HORAS_CAPTACAO_DIA-D327))</f>
        <v>2600</v>
      </c>
      <c r="F327" s="16" t="n">
        <f aca="false">MAX(0,D327-CADASTRO_CASAS_BOMBA!$I$6*HORAS_CAPTACAO_DIA-E326)</f>
        <v>0</v>
      </c>
      <c r="G327" s="16" t="n">
        <f aca="false">INDEX(AUX_MATRIZES!$C$9:$BP$9,MIN(N_SEMANAS,MAX(1,$C327)))/DIAS_POR_SEMANA</f>
        <v>4202.42666666667</v>
      </c>
      <c r="H327" s="16" t="n">
        <f aca="false">MIN(CADASTRO_CASAS_BOMBA!$O$7,MAX(0,H326+CADASTRO_CASAS_BOMBA!$I$7*HORAS_CAPTACAO_DIA-G327))</f>
        <v>76648</v>
      </c>
      <c r="I327" s="16" t="n">
        <f aca="false">MAX(0,G327-CADASTRO_CASAS_BOMBA!$I$7*HORAS_CAPTACAO_DIA-H326)</f>
        <v>0</v>
      </c>
      <c r="J327" s="16" t="n">
        <f aca="false">INDEX(AUX_MATRIZES!$C$10:$BP$10,MIN(N_SEMANAS,MAX(1,$C327)))/DIAS_POR_SEMANA</f>
        <v>9445.36936005171</v>
      </c>
      <c r="K327" s="16" t="n">
        <f aca="false">MIN(CADASTRO_CASAS_BOMBA!$O$8,MAX(0,K326+CADASTRO_CASAS_BOMBA!$I$8*HORAS_CAPTACAO_DIA-J327))</f>
        <v>27377</v>
      </c>
      <c r="L327" s="16" t="n">
        <f aca="false">MAX(0,J327-CADASTRO_CASAS_BOMBA!$I$8*HORAS_CAPTACAO_DIA-K326)</f>
        <v>0</v>
      </c>
      <c r="M327" s="16" t="n">
        <f aca="false">INDEX(AUX_MATRIZES!$C$11:$BP$11,MIN(N_SEMANAS,MAX(1,$C327)))/DIAS_POR_SEMANA</f>
        <v>9336.06159017453</v>
      </c>
      <c r="N327" s="16" t="n">
        <f aca="false">MIN(CADASTRO_CASAS_BOMBA!$O$9,MAX(0,N326+CADASTRO_CASAS_BOMBA!$I$9*HORAS_CAPTACAO_DIA-M327))</f>
        <v>129000</v>
      </c>
      <c r="O327" s="16" t="n">
        <f aca="false">MAX(0,M327-CADASTRO_CASAS_BOMBA!$I$9*HORAS_CAPTACAO_DIA-N326)</f>
        <v>0</v>
      </c>
      <c r="P327" s="16" t="n">
        <f aca="false">INDEX(AUX_MATRIZES!$C$12:$BP$12,MIN(N_SEMANAS,MAX(1,$C327)))/DIAS_POR_SEMANA</f>
        <v>12435.3674028398</v>
      </c>
      <c r="Q327" s="16" t="n">
        <f aca="false">MIN(CADASTRO_CASAS_BOMBA!$O$10,MAX(0,Q326+CADASTRO_CASAS_BOMBA!$I$10*HORAS_CAPTACAO_DIA-P327))</f>
        <v>730612.107028245</v>
      </c>
      <c r="R327" s="16" t="n">
        <f aca="false">MAX(0,P327-CADASTRO_CASAS_BOMBA!$I$10*HORAS_CAPTACAO_DIA-Q326)</f>
        <v>0</v>
      </c>
      <c r="S327" s="16" t="n">
        <f aca="false">INDEX(AUX_MATRIZES!$C$13:$BP$13,MIN(N_SEMANAS,MAX(1,$C327)))/DIAS_POR_SEMANA</f>
        <v>16985.2712039216</v>
      </c>
      <c r="T327" s="16" t="n">
        <f aca="false">MIN(CADASTRO_CASAS_BOMBA!$O$11,MAX(0,T326+CADASTRO_CASAS_BOMBA!$I$11*HORAS_CAPTACAO_DIA-S327))</f>
        <v>185560.064819878</v>
      </c>
      <c r="U327" s="16" t="n">
        <f aca="false">MAX(0,S327-CADASTRO_CASAS_BOMBA!$I$11*HORAS_CAPTACAO_DIA-T326)</f>
        <v>0</v>
      </c>
      <c r="V327" s="16" t="n">
        <f aca="false">INDEX(AUX_MATRIZES!$C$14:$BP$14,MIN(N_SEMANAS,MAX(1,$C327)))/DIAS_POR_SEMANA</f>
        <v>37141.1582718954</v>
      </c>
      <c r="W327" s="16" t="n">
        <f aca="false">MIN(CADASTRO_CASAS_BOMBA!$O$12,MAX(0,W326+CADASTRO_CASAS_BOMBA!$I$12*HORAS_CAPTACAO_DIA-V327))</f>
        <v>0</v>
      </c>
      <c r="X327" s="16" t="n">
        <f aca="false">MAX(0,V327-CADASTRO_CASAS_BOMBA!$I$12*HORAS_CAPTACAO_DIA-W326)</f>
        <v>11761.1582718954</v>
      </c>
      <c r="Y327" s="16" t="n">
        <f aca="false">INDEX(AUX_MATRIZES!$C$15:$BP$15,MIN(N_SEMANAS,MAX(1,$C327)))/DIAS_POR_SEMANA</f>
        <v>0</v>
      </c>
      <c r="Z327" s="16" t="n">
        <f aca="false">MIN(CADASTRO_CASAS_BOMBA!$O$13,MAX(0,Z326+CADASTRO_CASAS_BOMBA!$I$13*HORAS_CAPTACAO_DIA-Y327))</f>
        <v>74903</v>
      </c>
      <c r="AA327" s="16" t="n">
        <f aca="false">MAX(0,Y327-CADASTRO_CASAS_BOMBA!$I$13*HORAS_CAPTACAO_DIA-Z326)</f>
        <v>0</v>
      </c>
    </row>
    <row r="328" customFormat="false" ht="15" hidden="false" customHeight="false" outlineLevel="0" collapsed="false">
      <c r="B328" s="17" t="n">
        <f aca="false">DATA_INICIO_SAFRA+321</f>
        <v>46586</v>
      </c>
      <c r="C328" s="16" t="n">
        <f aca="false">MIN(N_SEMANAS,MAX(1,INT(($B328-DATA_INICIO_SAFRA)/DIAS_POR_SEMANA)+1))</f>
        <v>46</v>
      </c>
      <c r="D328" s="16" t="n">
        <f aca="false">INDEX(AUX_MATRIZES!$C$8:$BP$8,MIN(N_SEMANAS,MAX(1,$C328)))/DIAS_POR_SEMANA</f>
        <v>4594.79036845508</v>
      </c>
      <c r="E328" s="16" t="n">
        <f aca="false">MIN(CADASTRO_CASAS_BOMBA!$O$6,MAX(0,E327+CADASTRO_CASAS_BOMBA!$I$6*HORAS_CAPTACAO_DIA-D328))</f>
        <v>2600</v>
      </c>
      <c r="F328" s="16" t="n">
        <f aca="false">MAX(0,D328-CADASTRO_CASAS_BOMBA!$I$6*HORAS_CAPTACAO_DIA-E327)</f>
        <v>0</v>
      </c>
      <c r="G328" s="16" t="n">
        <f aca="false">INDEX(AUX_MATRIZES!$C$9:$BP$9,MIN(N_SEMANAS,MAX(1,$C328)))/DIAS_POR_SEMANA</f>
        <v>4202.42666666667</v>
      </c>
      <c r="H328" s="16" t="n">
        <f aca="false">MIN(CADASTRO_CASAS_BOMBA!$O$7,MAX(0,H327+CADASTRO_CASAS_BOMBA!$I$7*HORAS_CAPTACAO_DIA-G328))</f>
        <v>76648</v>
      </c>
      <c r="I328" s="16" t="n">
        <f aca="false">MAX(0,G328-CADASTRO_CASAS_BOMBA!$I$7*HORAS_CAPTACAO_DIA-H327)</f>
        <v>0</v>
      </c>
      <c r="J328" s="16" t="n">
        <f aca="false">INDEX(AUX_MATRIZES!$C$10:$BP$10,MIN(N_SEMANAS,MAX(1,$C328)))/DIAS_POR_SEMANA</f>
        <v>9445.36936005171</v>
      </c>
      <c r="K328" s="16" t="n">
        <f aca="false">MIN(CADASTRO_CASAS_BOMBA!$O$8,MAX(0,K327+CADASTRO_CASAS_BOMBA!$I$8*HORAS_CAPTACAO_DIA-J328))</f>
        <v>27377</v>
      </c>
      <c r="L328" s="16" t="n">
        <f aca="false">MAX(0,J328-CADASTRO_CASAS_BOMBA!$I$8*HORAS_CAPTACAO_DIA-K327)</f>
        <v>0</v>
      </c>
      <c r="M328" s="16" t="n">
        <f aca="false">INDEX(AUX_MATRIZES!$C$11:$BP$11,MIN(N_SEMANAS,MAX(1,$C328)))/DIAS_POR_SEMANA</f>
        <v>9336.06159017453</v>
      </c>
      <c r="N328" s="16" t="n">
        <f aca="false">MIN(CADASTRO_CASAS_BOMBA!$O$9,MAX(0,N327+CADASTRO_CASAS_BOMBA!$I$9*HORAS_CAPTACAO_DIA-M328))</f>
        <v>129000</v>
      </c>
      <c r="O328" s="16" t="n">
        <f aca="false">MAX(0,M328-CADASTRO_CASAS_BOMBA!$I$9*HORAS_CAPTACAO_DIA-N327)</f>
        <v>0</v>
      </c>
      <c r="P328" s="16" t="n">
        <f aca="false">INDEX(AUX_MATRIZES!$C$12:$BP$12,MIN(N_SEMANAS,MAX(1,$C328)))/DIAS_POR_SEMANA</f>
        <v>12435.3674028398</v>
      </c>
      <c r="Q328" s="16" t="n">
        <f aca="false">MIN(CADASTRO_CASAS_BOMBA!$O$10,MAX(0,Q327+CADASTRO_CASAS_BOMBA!$I$10*HORAS_CAPTACAO_DIA-P328))</f>
        <v>731259.139625405</v>
      </c>
      <c r="R328" s="16" t="n">
        <f aca="false">MAX(0,P328-CADASTRO_CASAS_BOMBA!$I$10*HORAS_CAPTACAO_DIA-Q327)</f>
        <v>0</v>
      </c>
      <c r="S328" s="16" t="n">
        <f aca="false">INDEX(AUX_MATRIZES!$C$13:$BP$13,MIN(N_SEMANAS,MAX(1,$C328)))/DIAS_POR_SEMANA</f>
        <v>16985.2712039216</v>
      </c>
      <c r="T328" s="16" t="n">
        <f aca="false">MIN(CADASTRO_CASAS_BOMBA!$O$11,MAX(0,T327+CADASTRO_CASAS_BOMBA!$I$11*HORAS_CAPTACAO_DIA-S328))</f>
        <v>189994.793615957</v>
      </c>
      <c r="U328" s="16" t="n">
        <f aca="false">MAX(0,S328-CADASTRO_CASAS_BOMBA!$I$11*HORAS_CAPTACAO_DIA-T327)</f>
        <v>0</v>
      </c>
      <c r="V328" s="16" t="n">
        <f aca="false">INDEX(AUX_MATRIZES!$C$14:$BP$14,MIN(N_SEMANAS,MAX(1,$C328)))/DIAS_POR_SEMANA</f>
        <v>37141.1582718954</v>
      </c>
      <c r="W328" s="16" t="n">
        <f aca="false">MIN(CADASTRO_CASAS_BOMBA!$O$12,MAX(0,W327+CADASTRO_CASAS_BOMBA!$I$12*HORAS_CAPTACAO_DIA-V328))</f>
        <v>0</v>
      </c>
      <c r="X328" s="16" t="n">
        <f aca="false">MAX(0,V328-CADASTRO_CASAS_BOMBA!$I$12*HORAS_CAPTACAO_DIA-W327)</f>
        <v>11761.1582718954</v>
      </c>
      <c r="Y328" s="16" t="n">
        <f aca="false">INDEX(AUX_MATRIZES!$C$15:$BP$15,MIN(N_SEMANAS,MAX(1,$C328)))/DIAS_POR_SEMANA</f>
        <v>0</v>
      </c>
      <c r="Z328" s="16" t="n">
        <f aca="false">MIN(CADASTRO_CASAS_BOMBA!$O$13,MAX(0,Z327+CADASTRO_CASAS_BOMBA!$I$13*HORAS_CAPTACAO_DIA-Y328))</f>
        <v>74903</v>
      </c>
      <c r="AA328" s="16" t="n">
        <f aca="false">MAX(0,Y328-CADASTRO_CASAS_BOMBA!$I$13*HORAS_CAPTACAO_DIA-Z327)</f>
        <v>0</v>
      </c>
    </row>
    <row r="329" customFormat="false" ht="15" hidden="false" customHeight="false" outlineLevel="0" collapsed="false">
      <c r="B329" s="17" t="n">
        <f aca="false">DATA_INICIO_SAFRA+322</f>
        <v>46587</v>
      </c>
      <c r="C329" s="16" t="n">
        <f aca="false">MIN(N_SEMANAS,MAX(1,INT(($B329-DATA_INICIO_SAFRA)/DIAS_POR_SEMANA)+1))</f>
        <v>47</v>
      </c>
      <c r="D329" s="16" t="n">
        <f aca="false">INDEX(AUX_MATRIZES!$C$8:$BP$8,MIN(N_SEMANAS,MAX(1,$C329)))/DIAS_POR_SEMANA</f>
        <v>4244.10688429218</v>
      </c>
      <c r="E329" s="16" t="n">
        <f aca="false">MIN(CADASTRO_CASAS_BOMBA!$O$6,MAX(0,E328+CADASTRO_CASAS_BOMBA!$I$6*HORAS_CAPTACAO_DIA-D329))</f>
        <v>2600</v>
      </c>
      <c r="F329" s="16" t="n">
        <f aca="false">MAX(0,D329-CADASTRO_CASAS_BOMBA!$I$6*HORAS_CAPTACAO_DIA-E328)</f>
        <v>0</v>
      </c>
      <c r="G329" s="16" t="n">
        <f aca="false">INDEX(AUX_MATRIZES!$C$9:$BP$9,MIN(N_SEMANAS,MAX(1,$C329)))/DIAS_POR_SEMANA</f>
        <v>3767.06262745098</v>
      </c>
      <c r="H329" s="16" t="n">
        <f aca="false">MIN(CADASTRO_CASAS_BOMBA!$O$7,MAX(0,H328+CADASTRO_CASAS_BOMBA!$I$7*HORAS_CAPTACAO_DIA-G329))</f>
        <v>76648</v>
      </c>
      <c r="I329" s="16" t="n">
        <f aca="false">MAX(0,G329-CADASTRO_CASAS_BOMBA!$I$7*HORAS_CAPTACAO_DIA-H328)</f>
        <v>0</v>
      </c>
      <c r="J329" s="16" t="n">
        <f aca="false">INDEX(AUX_MATRIZES!$C$10:$BP$10,MIN(N_SEMANAS,MAX(1,$C329)))/DIAS_POR_SEMANA</f>
        <v>8739.86453350571</v>
      </c>
      <c r="K329" s="16" t="n">
        <f aca="false">MIN(CADASTRO_CASAS_BOMBA!$O$8,MAX(0,K328+CADASTRO_CASAS_BOMBA!$I$8*HORAS_CAPTACAO_DIA-J329))</f>
        <v>27377</v>
      </c>
      <c r="L329" s="16" t="n">
        <f aca="false">MAX(0,J329-CADASTRO_CASAS_BOMBA!$I$8*HORAS_CAPTACAO_DIA-K328)</f>
        <v>0</v>
      </c>
      <c r="M329" s="16" t="n">
        <f aca="false">INDEX(AUX_MATRIZES!$C$11:$BP$11,MIN(N_SEMANAS,MAX(1,$C329)))/DIAS_POR_SEMANA</f>
        <v>8509.09350269339</v>
      </c>
      <c r="N329" s="16" t="n">
        <f aca="false">MIN(CADASTRO_CASAS_BOMBA!$O$9,MAX(0,N328+CADASTRO_CASAS_BOMBA!$I$9*HORAS_CAPTACAO_DIA-M329))</f>
        <v>129000</v>
      </c>
      <c r="O329" s="16" t="n">
        <f aca="false">MAX(0,M329-CADASTRO_CASAS_BOMBA!$I$9*HORAS_CAPTACAO_DIA-N328)</f>
        <v>0</v>
      </c>
      <c r="P329" s="16" t="n">
        <f aca="false">INDEX(AUX_MATRIZES!$C$12:$BP$12,MIN(N_SEMANAS,MAX(1,$C329)))/DIAS_POR_SEMANA</f>
        <v>14926.0697476673</v>
      </c>
      <c r="Q329" s="16" t="n">
        <f aca="false">MIN(CADASTRO_CASAS_BOMBA!$O$10,MAX(0,Q328+CADASTRO_CASAS_BOMBA!$I$10*HORAS_CAPTACAO_DIA-P329))</f>
        <v>729415.469877738</v>
      </c>
      <c r="R329" s="16" t="n">
        <f aca="false">MAX(0,P329-CADASTRO_CASAS_BOMBA!$I$10*HORAS_CAPTACAO_DIA-Q328)</f>
        <v>0</v>
      </c>
      <c r="S329" s="16" t="n">
        <f aca="false">INDEX(AUX_MATRIZES!$C$13:$BP$13,MIN(N_SEMANAS,MAX(1,$C329)))/DIAS_POR_SEMANA</f>
        <v>18231.7075666667</v>
      </c>
      <c r="T329" s="16" t="n">
        <f aca="false">MIN(CADASTRO_CASAS_BOMBA!$O$11,MAX(0,T328+CADASTRO_CASAS_BOMBA!$I$11*HORAS_CAPTACAO_DIA-S329))</f>
        <v>193183.08604929</v>
      </c>
      <c r="U329" s="16" t="n">
        <f aca="false">MAX(0,S329-CADASTRO_CASAS_BOMBA!$I$11*HORAS_CAPTACAO_DIA-T328)</f>
        <v>0</v>
      </c>
      <c r="V329" s="16" t="n">
        <f aca="false">INDEX(AUX_MATRIZES!$C$14:$BP$14,MIN(N_SEMANAS,MAX(1,$C329)))/DIAS_POR_SEMANA</f>
        <v>35295.6366045977</v>
      </c>
      <c r="W329" s="16" t="n">
        <f aca="false">MIN(CADASTRO_CASAS_BOMBA!$O$12,MAX(0,W328+CADASTRO_CASAS_BOMBA!$I$12*HORAS_CAPTACAO_DIA-V329))</f>
        <v>0</v>
      </c>
      <c r="X329" s="16" t="n">
        <f aca="false">MAX(0,V329-CADASTRO_CASAS_BOMBA!$I$12*HORAS_CAPTACAO_DIA-W328)</f>
        <v>9915.6366045977</v>
      </c>
      <c r="Y329" s="16" t="n">
        <f aca="false">INDEX(AUX_MATRIZES!$C$15:$BP$15,MIN(N_SEMANAS,MAX(1,$C329)))/DIAS_POR_SEMANA</f>
        <v>0</v>
      </c>
      <c r="Z329" s="16" t="n">
        <f aca="false">MIN(CADASTRO_CASAS_BOMBA!$O$13,MAX(0,Z328+CADASTRO_CASAS_BOMBA!$I$13*HORAS_CAPTACAO_DIA-Y329))</f>
        <v>74903</v>
      </c>
      <c r="AA329" s="16" t="n">
        <f aca="false">MAX(0,Y329-CADASTRO_CASAS_BOMBA!$I$13*HORAS_CAPTACAO_DIA-Z328)</f>
        <v>0</v>
      </c>
    </row>
    <row r="330" customFormat="false" ht="15" hidden="false" customHeight="false" outlineLevel="0" collapsed="false">
      <c r="B330" s="17" t="n">
        <f aca="false">DATA_INICIO_SAFRA+323</f>
        <v>46588</v>
      </c>
      <c r="C330" s="16" t="n">
        <f aca="false">MIN(N_SEMANAS,MAX(1,INT(($B330-DATA_INICIO_SAFRA)/DIAS_POR_SEMANA)+1))</f>
        <v>47</v>
      </c>
      <c r="D330" s="16" t="n">
        <f aca="false">INDEX(AUX_MATRIZES!$C$8:$BP$8,MIN(N_SEMANAS,MAX(1,$C330)))/DIAS_POR_SEMANA</f>
        <v>4244.10688429218</v>
      </c>
      <c r="E330" s="16" t="n">
        <f aca="false">MIN(CADASTRO_CASAS_BOMBA!$O$6,MAX(0,E329+CADASTRO_CASAS_BOMBA!$I$6*HORAS_CAPTACAO_DIA-D330))</f>
        <v>2600</v>
      </c>
      <c r="F330" s="16" t="n">
        <f aca="false">MAX(0,D330-CADASTRO_CASAS_BOMBA!$I$6*HORAS_CAPTACAO_DIA-E329)</f>
        <v>0</v>
      </c>
      <c r="G330" s="16" t="n">
        <f aca="false">INDEX(AUX_MATRIZES!$C$9:$BP$9,MIN(N_SEMANAS,MAX(1,$C330)))/DIAS_POR_SEMANA</f>
        <v>3767.06262745098</v>
      </c>
      <c r="H330" s="16" t="n">
        <f aca="false">MIN(CADASTRO_CASAS_BOMBA!$O$7,MAX(0,H329+CADASTRO_CASAS_BOMBA!$I$7*HORAS_CAPTACAO_DIA-G330))</f>
        <v>76648</v>
      </c>
      <c r="I330" s="16" t="n">
        <f aca="false">MAX(0,G330-CADASTRO_CASAS_BOMBA!$I$7*HORAS_CAPTACAO_DIA-H329)</f>
        <v>0</v>
      </c>
      <c r="J330" s="16" t="n">
        <f aca="false">INDEX(AUX_MATRIZES!$C$10:$BP$10,MIN(N_SEMANAS,MAX(1,$C330)))/DIAS_POR_SEMANA</f>
        <v>8739.86453350571</v>
      </c>
      <c r="K330" s="16" t="n">
        <f aca="false">MIN(CADASTRO_CASAS_BOMBA!$O$8,MAX(0,K329+CADASTRO_CASAS_BOMBA!$I$8*HORAS_CAPTACAO_DIA-J330))</f>
        <v>27377</v>
      </c>
      <c r="L330" s="16" t="n">
        <f aca="false">MAX(0,J330-CADASTRO_CASAS_BOMBA!$I$8*HORAS_CAPTACAO_DIA-K329)</f>
        <v>0</v>
      </c>
      <c r="M330" s="16" t="n">
        <f aca="false">INDEX(AUX_MATRIZES!$C$11:$BP$11,MIN(N_SEMANAS,MAX(1,$C330)))/DIAS_POR_SEMANA</f>
        <v>8509.09350269339</v>
      </c>
      <c r="N330" s="16" t="n">
        <f aca="false">MIN(CADASTRO_CASAS_BOMBA!$O$9,MAX(0,N329+CADASTRO_CASAS_BOMBA!$I$9*HORAS_CAPTACAO_DIA-M330))</f>
        <v>129000</v>
      </c>
      <c r="O330" s="16" t="n">
        <f aca="false">MAX(0,M330-CADASTRO_CASAS_BOMBA!$I$9*HORAS_CAPTACAO_DIA-N329)</f>
        <v>0</v>
      </c>
      <c r="P330" s="16" t="n">
        <f aca="false">INDEX(AUX_MATRIZES!$C$12:$BP$12,MIN(N_SEMANAS,MAX(1,$C330)))/DIAS_POR_SEMANA</f>
        <v>14926.0697476673</v>
      </c>
      <c r="Q330" s="16" t="n">
        <f aca="false">MIN(CADASTRO_CASAS_BOMBA!$O$10,MAX(0,Q329+CADASTRO_CASAS_BOMBA!$I$10*HORAS_CAPTACAO_DIA-P330))</f>
        <v>727571.80013007</v>
      </c>
      <c r="R330" s="16" t="n">
        <f aca="false">MAX(0,P330-CADASTRO_CASAS_BOMBA!$I$10*HORAS_CAPTACAO_DIA-Q329)</f>
        <v>0</v>
      </c>
      <c r="S330" s="16" t="n">
        <f aca="false">INDEX(AUX_MATRIZES!$C$13:$BP$13,MIN(N_SEMANAS,MAX(1,$C330)))/DIAS_POR_SEMANA</f>
        <v>18231.7075666667</v>
      </c>
      <c r="T330" s="16" t="n">
        <f aca="false">MIN(CADASTRO_CASAS_BOMBA!$O$11,MAX(0,T329+CADASTRO_CASAS_BOMBA!$I$11*HORAS_CAPTACAO_DIA-S330))</f>
        <v>196371.378482623</v>
      </c>
      <c r="U330" s="16" t="n">
        <f aca="false">MAX(0,S330-CADASTRO_CASAS_BOMBA!$I$11*HORAS_CAPTACAO_DIA-T329)</f>
        <v>0</v>
      </c>
      <c r="V330" s="16" t="n">
        <f aca="false">INDEX(AUX_MATRIZES!$C$14:$BP$14,MIN(N_SEMANAS,MAX(1,$C330)))/DIAS_POR_SEMANA</f>
        <v>35295.6366045977</v>
      </c>
      <c r="W330" s="16" t="n">
        <f aca="false">MIN(CADASTRO_CASAS_BOMBA!$O$12,MAX(0,W329+CADASTRO_CASAS_BOMBA!$I$12*HORAS_CAPTACAO_DIA-V330))</f>
        <v>0</v>
      </c>
      <c r="X330" s="16" t="n">
        <f aca="false">MAX(0,V330-CADASTRO_CASAS_BOMBA!$I$12*HORAS_CAPTACAO_DIA-W329)</f>
        <v>9915.6366045977</v>
      </c>
      <c r="Y330" s="16" t="n">
        <f aca="false">INDEX(AUX_MATRIZES!$C$15:$BP$15,MIN(N_SEMANAS,MAX(1,$C330)))/DIAS_POR_SEMANA</f>
        <v>0</v>
      </c>
      <c r="Z330" s="16" t="n">
        <f aca="false">MIN(CADASTRO_CASAS_BOMBA!$O$13,MAX(0,Z329+CADASTRO_CASAS_BOMBA!$I$13*HORAS_CAPTACAO_DIA-Y330))</f>
        <v>74903</v>
      </c>
      <c r="AA330" s="16" t="n">
        <f aca="false">MAX(0,Y330-CADASTRO_CASAS_BOMBA!$I$13*HORAS_CAPTACAO_DIA-Z329)</f>
        <v>0</v>
      </c>
    </row>
    <row r="331" customFormat="false" ht="15" hidden="false" customHeight="false" outlineLevel="0" collapsed="false">
      <c r="B331" s="17" t="n">
        <f aca="false">DATA_INICIO_SAFRA+324</f>
        <v>46589</v>
      </c>
      <c r="C331" s="16" t="n">
        <f aca="false">MIN(N_SEMANAS,MAX(1,INT(($B331-DATA_INICIO_SAFRA)/DIAS_POR_SEMANA)+1))</f>
        <v>47</v>
      </c>
      <c r="D331" s="16" t="n">
        <f aca="false">INDEX(AUX_MATRIZES!$C$8:$BP$8,MIN(N_SEMANAS,MAX(1,$C331)))/DIAS_POR_SEMANA</f>
        <v>4244.10688429218</v>
      </c>
      <c r="E331" s="16" t="n">
        <f aca="false">MIN(CADASTRO_CASAS_BOMBA!$O$6,MAX(0,E330+CADASTRO_CASAS_BOMBA!$I$6*HORAS_CAPTACAO_DIA-D331))</f>
        <v>2600</v>
      </c>
      <c r="F331" s="16" t="n">
        <f aca="false">MAX(0,D331-CADASTRO_CASAS_BOMBA!$I$6*HORAS_CAPTACAO_DIA-E330)</f>
        <v>0</v>
      </c>
      <c r="G331" s="16" t="n">
        <f aca="false">INDEX(AUX_MATRIZES!$C$9:$BP$9,MIN(N_SEMANAS,MAX(1,$C331)))/DIAS_POR_SEMANA</f>
        <v>3767.06262745098</v>
      </c>
      <c r="H331" s="16" t="n">
        <f aca="false">MIN(CADASTRO_CASAS_BOMBA!$O$7,MAX(0,H330+CADASTRO_CASAS_BOMBA!$I$7*HORAS_CAPTACAO_DIA-G331))</f>
        <v>76648</v>
      </c>
      <c r="I331" s="16" t="n">
        <f aca="false">MAX(0,G331-CADASTRO_CASAS_BOMBA!$I$7*HORAS_CAPTACAO_DIA-H330)</f>
        <v>0</v>
      </c>
      <c r="J331" s="16" t="n">
        <f aca="false">INDEX(AUX_MATRIZES!$C$10:$BP$10,MIN(N_SEMANAS,MAX(1,$C331)))/DIAS_POR_SEMANA</f>
        <v>8739.86453350571</v>
      </c>
      <c r="K331" s="16" t="n">
        <f aca="false">MIN(CADASTRO_CASAS_BOMBA!$O$8,MAX(0,K330+CADASTRO_CASAS_BOMBA!$I$8*HORAS_CAPTACAO_DIA-J331))</f>
        <v>27377</v>
      </c>
      <c r="L331" s="16" t="n">
        <f aca="false">MAX(0,J331-CADASTRO_CASAS_BOMBA!$I$8*HORAS_CAPTACAO_DIA-K330)</f>
        <v>0</v>
      </c>
      <c r="M331" s="16" t="n">
        <f aca="false">INDEX(AUX_MATRIZES!$C$11:$BP$11,MIN(N_SEMANAS,MAX(1,$C331)))/DIAS_POR_SEMANA</f>
        <v>8509.09350269339</v>
      </c>
      <c r="N331" s="16" t="n">
        <f aca="false">MIN(CADASTRO_CASAS_BOMBA!$O$9,MAX(0,N330+CADASTRO_CASAS_BOMBA!$I$9*HORAS_CAPTACAO_DIA-M331))</f>
        <v>129000</v>
      </c>
      <c r="O331" s="16" t="n">
        <f aca="false">MAX(0,M331-CADASTRO_CASAS_BOMBA!$I$9*HORAS_CAPTACAO_DIA-N330)</f>
        <v>0</v>
      </c>
      <c r="P331" s="16" t="n">
        <f aca="false">INDEX(AUX_MATRIZES!$C$12:$BP$12,MIN(N_SEMANAS,MAX(1,$C331)))/DIAS_POR_SEMANA</f>
        <v>14926.0697476673</v>
      </c>
      <c r="Q331" s="16" t="n">
        <f aca="false">MIN(CADASTRO_CASAS_BOMBA!$O$10,MAX(0,Q330+CADASTRO_CASAS_BOMBA!$I$10*HORAS_CAPTACAO_DIA-P331))</f>
        <v>725728.130382403</v>
      </c>
      <c r="R331" s="16" t="n">
        <f aca="false">MAX(0,P331-CADASTRO_CASAS_BOMBA!$I$10*HORAS_CAPTACAO_DIA-Q330)</f>
        <v>0</v>
      </c>
      <c r="S331" s="16" t="n">
        <f aca="false">INDEX(AUX_MATRIZES!$C$13:$BP$13,MIN(N_SEMANAS,MAX(1,$C331)))/DIAS_POR_SEMANA</f>
        <v>18231.7075666667</v>
      </c>
      <c r="T331" s="16" t="n">
        <f aca="false">MIN(CADASTRO_CASAS_BOMBA!$O$11,MAX(0,T330+CADASTRO_CASAS_BOMBA!$I$11*HORAS_CAPTACAO_DIA-S331))</f>
        <v>199559.670915957</v>
      </c>
      <c r="U331" s="16" t="n">
        <f aca="false">MAX(0,S331-CADASTRO_CASAS_BOMBA!$I$11*HORAS_CAPTACAO_DIA-T330)</f>
        <v>0</v>
      </c>
      <c r="V331" s="16" t="n">
        <f aca="false">INDEX(AUX_MATRIZES!$C$14:$BP$14,MIN(N_SEMANAS,MAX(1,$C331)))/DIAS_POR_SEMANA</f>
        <v>35295.6366045977</v>
      </c>
      <c r="W331" s="16" t="n">
        <f aca="false">MIN(CADASTRO_CASAS_BOMBA!$O$12,MAX(0,W330+CADASTRO_CASAS_BOMBA!$I$12*HORAS_CAPTACAO_DIA-V331))</f>
        <v>0</v>
      </c>
      <c r="X331" s="16" t="n">
        <f aca="false">MAX(0,V331-CADASTRO_CASAS_BOMBA!$I$12*HORAS_CAPTACAO_DIA-W330)</f>
        <v>9915.6366045977</v>
      </c>
      <c r="Y331" s="16" t="n">
        <f aca="false">INDEX(AUX_MATRIZES!$C$15:$BP$15,MIN(N_SEMANAS,MAX(1,$C331)))/DIAS_POR_SEMANA</f>
        <v>0</v>
      </c>
      <c r="Z331" s="16" t="n">
        <f aca="false">MIN(CADASTRO_CASAS_BOMBA!$O$13,MAX(0,Z330+CADASTRO_CASAS_BOMBA!$I$13*HORAS_CAPTACAO_DIA-Y331))</f>
        <v>74903</v>
      </c>
      <c r="AA331" s="16" t="n">
        <f aca="false">MAX(0,Y331-CADASTRO_CASAS_BOMBA!$I$13*HORAS_CAPTACAO_DIA-Z330)</f>
        <v>0</v>
      </c>
    </row>
    <row r="332" customFormat="false" ht="15" hidden="false" customHeight="false" outlineLevel="0" collapsed="false">
      <c r="B332" s="17" t="n">
        <f aca="false">DATA_INICIO_SAFRA+325</f>
        <v>46590</v>
      </c>
      <c r="C332" s="16" t="n">
        <f aca="false">MIN(N_SEMANAS,MAX(1,INT(($B332-DATA_INICIO_SAFRA)/DIAS_POR_SEMANA)+1))</f>
        <v>47</v>
      </c>
      <c r="D332" s="16" t="n">
        <f aca="false">INDEX(AUX_MATRIZES!$C$8:$BP$8,MIN(N_SEMANAS,MAX(1,$C332)))/DIAS_POR_SEMANA</f>
        <v>4244.10688429218</v>
      </c>
      <c r="E332" s="16" t="n">
        <f aca="false">MIN(CADASTRO_CASAS_BOMBA!$O$6,MAX(0,E331+CADASTRO_CASAS_BOMBA!$I$6*HORAS_CAPTACAO_DIA-D332))</f>
        <v>2600</v>
      </c>
      <c r="F332" s="16" t="n">
        <f aca="false">MAX(0,D332-CADASTRO_CASAS_BOMBA!$I$6*HORAS_CAPTACAO_DIA-E331)</f>
        <v>0</v>
      </c>
      <c r="G332" s="16" t="n">
        <f aca="false">INDEX(AUX_MATRIZES!$C$9:$BP$9,MIN(N_SEMANAS,MAX(1,$C332)))/DIAS_POR_SEMANA</f>
        <v>3767.06262745098</v>
      </c>
      <c r="H332" s="16" t="n">
        <f aca="false">MIN(CADASTRO_CASAS_BOMBA!$O$7,MAX(0,H331+CADASTRO_CASAS_BOMBA!$I$7*HORAS_CAPTACAO_DIA-G332))</f>
        <v>76648</v>
      </c>
      <c r="I332" s="16" t="n">
        <f aca="false">MAX(0,G332-CADASTRO_CASAS_BOMBA!$I$7*HORAS_CAPTACAO_DIA-H331)</f>
        <v>0</v>
      </c>
      <c r="J332" s="16" t="n">
        <f aca="false">INDEX(AUX_MATRIZES!$C$10:$BP$10,MIN(N_SEMANAS,MAX(1,$C332)))/DIAS_POR_SEMANA</f>
        <v>8739.86453350571</v>
      </c>
      <c r="K332" s="16" t="n">
        <f aca="false">MIN(CADASTRO_CASAS_BOMBA!$O$8,MAX(0,K331+CADASTRO_CASAS_BOMBA!$I$8*HORAS_CAPTACAO_DIA-J332))</f>
        <v>27377</v>
      </c>
      <c r="L332" s="16" t="n">
        <f aca="false">MAX(0,J332-CADASTRO_CASAS_BOMBA!$I$8*HORAS_CAPTACAO_DIA-K331)</f>
        <v>0</v>
      </c>
      <c r="M332" s="16" t="n">
        <f aca="false">INDEX(AUX_MATRIZES!$C$11:$BP$11,MIN(N_SEMANAS,MAX(1,$C332)))/DIAS_POR_SEMANA</f>
        <v>8509.09350269339</v>
      </c>
      <c r="N332" s="16" t="n">
        <f aca="false">MIN(CADASTRO_CASAS_BOMBA!$O$9,MAX(0,N331+CADASTRO_CASAS_BOMBA!$I$9*HORAS_CAPTACAO_DIA-M332))</f>
        <v>129000</v>
      </c>
      <c r="O332" s="16" t="n">
        <f aca="false">MAX(0,M332-CADASTRO_CASAS_BOMBA!$I$9*HORAS_CAPTACAO_DIA-N331)</f>
        <v>0</v>
      </c>
      <c r="P332" s="16" t="n">
        <f aca="false">INDEX(AUX_MATRIZES!$C$12:$BP$12,MIN(N_SEMANAS,MAX(1,$C332)))/DIAS_POR_SEMANA</f>
        <v>14926.0697476673</v>
      </c>
      <c r="Q332" s="16" t="n">
        <f aca="false">MIN(CADASTRO_CASAS_BOMBA!$O$10,MAX(0,Q331+CADASTRO_CASAS_BOMBA!$I$10*HORAS_CAPTACAO_DIA-P332))</f>
        <v>723884.460634736</v>
      </c>
      <c r="R332" s="16" t="n">
        <f aca="false">MAX(0,P332-CADASTRO_CASAS_BOMBA!$I$10*HORAS_CAPTACAO_DIA-Q331)</f>
        <v>0</v>
      </c>
      <c r="S332" s="16" t="n">
        <f aca="false">INDEX(AUX_MATRIZES!$C$13:$BP$13,MIN(N_SEMANAS,MAX(1,$C332)))/DIAS_POR_SEMANA</f>
        <v>18231.7075666667</v>
      </c>
      <c r="T332" s="16" t="n">
        <f aca="false">MIN(CADASTRO_CASAS_BOMBA!$O$11,MAX(0,T331+CADASTRO_CASAS_BOMBA!$I$11*HORAS_CAPTACAO_DIA-S332))</f>
        <v>202747.96334929</v>
      </c>
      <c r="U332" s="16" t="n">
        <f aca="false">MAX(0,S332-CADASTRO_CASAS_BOMBA!$I$11*HORAS_CAPTACAO_DIA-T331)</f>
        <v>0</v>
      </c>
      <c r="V332" s="16" t="n">
        <f aca="false">INDEX(AUX_MATRIZES!$C$14:$BP$14,MIN(N_SEMANAS,MAX(1,$C332)))/DIAS_POR_SEMANA</f>
        <v>35295.6366045977</v>
      </c>
      <c r="W332" s="16" t="n">
        <f aca="false">MIN(CADASTRO_CASAS_BOMBA!$O$12,MAX(0,W331+CADASTRO_CASAS_BOMBA!$I$12*HORAS_CAPTACAO_DIA-V332))</f>
        <v>0</v>
      </c>
      <c r="X332" s="16" t="n">
        <f aca="false">MAX(0,V332-CADASTRO_CASAS_BOMBA!$I$12*HORAS_CAPTACAO_DIA-W331)</f>
        <v>9915.6366045977</v>
      </c>
      <c r="Y332" s="16" t="n">
        <f aca="false">INDEX(AUX_MATRIZES!$C$15:$BP$15,MIN(N_SEMANAS,MAX(1,$C332)))/DIAS_POR_SEMANA</f>
        <v>0</v>
      </c>
      <c r="Z332" s="16" t="n">
        <f aca="false">MIN(CADASTRO_CASAS_BOMBA!$O$13,MAX(0,Z331+CADASTRO_CASAS_BOMBA!$I$13*HORAS_CAPTACAO_DIA-Y332))</f>
        <v>74903</v>
      </c>
      <c r="AA332" s="16" t="n">
        <f aca="false">MAX(0,Y332-CADASTRO_CASAS_BOMBA!$I$13*HORAS_CAPTACAO_DIA-Z331)</f>
        <v>0</v>
      </c>
    </row>
    <row r="333" customFormat="false" ht="15" hidden="false" customHeight="false" outlineLevel="0" collapsed="false">
      <c r="B333" s="17" t="n">
        <f aca="false">DATA_INICIO_SAFRA+326</f>
        <v>46591</v>
      </c>
      <c r="C333" s="16" t="n">
        <f aca="false">MIN(N_SEMANAS,MAX(1,INT(($B333-DATA_INICIO_SAFRA)/DIAS_POR_SEMANA)+1))</f>
        <v>47</v>
      </c>
      <c r="D333" s="16" t="n">
        <f aca="false">INDEX(AUX_MATRIZES!$C$8:$BP$8,MIN(N_SEMANAS,MAX(1,$C333)))/DIAS_POR_SEMANA</f>
        <v>4244.10688429218</v>
      </c>
      <c r="E333" s="16" t="n">
        <f aca="false">MIN(CADASTRO_CASAS_BOMBA!$O$6,MAX(0,E332+CADASTRO_CASAS_BOMBA!$I$6*HORAS_CAPTACAO_DIA-D333))</f>
        <v>2600</v>
      </c>
      <c r="F333" s="16" t="n">
        <f aca="false">MAX(0,D333-CADASTRO_CASAS_BOMBA!$I$6*HORAS_CAPTACAO_DIA-E332)</f>
        <v>0</v>
      </c>
      <c r="G333" s="16" t="n">
        <f aca="false">INDEX(AUX_MATRIZES!$C$9:$BP$9,MIN(N_SEMANAS,MAX(1,$C333)))/DIAS_POR_SEMANA</f>
        <v>3767.06262745098</v>
      </c>
      <c r="H333" s="16" t="n">
        <f aca="false">MIN(CADASTRO_CASAS_BOMBA!$O$7,MAX(0,H332+CADASTRO_CASAS_BOMBA!$I$7*HORAS_CAPTACAO_DIA-G333))</f>
        <v>76648</v>
      </c>
      <c r="I333" s="16" t="n">
        <f aca="false">MAX(0,G333-CADASTRO_CASAS_BOMBA!$I$7*HORAS_CAPTACAO_DIA-H332)</f>
        <v>0</v>
      </c>
      <c r="J333" s="16" t="n">
        <f aca="false">INDEX(AUX_MATRIZES!$C$10:$BP$10,MIN(N_SEMANAS,MAX(1,$C333)))/DIAS_POR_SEMANA</f>
        <v>8739.86453350571</v>
      </c>
      <c r="K333" s="16" t="n">
        <f aca="false">MIN(CADASTRO_CASAS_BOMBA!$O$8,MAX(0,K332+CADASTRO_CASAS_BOMBA!$I$8*HORAS_CAPTACAO_DIA-J333))</f>
        <v>27377</v>
      </c>
      <c r="L333" s="16" t="n">
        <f aca="false">MAX(0,J333-CADASTRO_CASAS_BOMBA!$I$8*HORAS_CAPTACAO_DIA-K332)</f>
        <v>0</v>
      </c>
      <c r="M333" s="16" t="n">
        <f aca="false">INDEX(AUX_MATRIZES!$C$11:$BP$11,MIN(N_SEMANAS,MAX(1,$C333)))/DIAS_POR_SEMANA</f>
        <v>8509.09350269339</v>
      </c>
      <c r="N333" s="16" t="n">
        <f aca="false">MIN(CADASTRO_CASAS_BOMBA!$O$9,MAX(0,N332+CADASTRO_CASAS_BOMBA!$I$9*HORAS_CAPTACAO_DIA-M333))</f>
        <v>129000</v>
      </c>
      <c r="O333" s="16" t="n">
        <f aca="false">MAX(0,M333-CADASTRO_CASAS_BOMBA!$I$9*HORAS_CAPTACAO_DIA-N332)</f>
        <v>0</v>
      </c>
      <c r="P333" s="16" t="n">
        <f aca="false">INDEX(AUX_MATRIZES!$C$12:$BP$12,MIN(N_SEMANAS,MAX(1,$C333)))/DIAS_POR_SEMANA</f>
        <v>14926.0697476673</v>
      </c>
      <c r="Q333" s="16" t="n">
        <f aca="false">MIN(CADASTRO_CASAS_BOMBA!$O$10,MAX(0,Q332+CADASTRO_CASAS_BOMBA!$I$10*HORAS_CAPTACAO_DIA-P333))</f>
        <v>722040.790887069</v>
      </c>
      <c r="R333" s="16" t="n">
        <f aca="false">MAX(0,P333-CADASTRO_CASAS_BOMBA!$I$10*HORAS_CAPTACAO_DIA-Q332)</f>
        <v>0</v>
      </c>
      <c r="S333" s="16" t="n">
        <f aca="false">INDEX(AUX_MATRIZES!$C$13:$BP$13,MIN(N_SEMANAS,MAX(1,$C333)))/DIAS_POR_SEMANA</f>
        <v>18231.7075666667</v>
      </c>
      <c r="T333" s="16" t="n">
        <f aca="false">MIN(CADASTRO_CASAS_BOMBA!$O$11,MAX(0,T332+CADASTRO_CASAS_BOMBA!$I$11*HORAS_CAPTACAO_DIA-S333))</f>
        <v>205936.255782623</v>
      </c>
      <c r="U333" s="16" t="n">
        <f aca="false">MAX(0,S333-CADASTRO_CASAS_BOMBA!$I$11*HORAS_CAPTACAO_DIA-T332)</f>
        <v>0</v>
      </c>
      <c r="V333" s="16" t="n">
        <f aca="false">INDEX(AUX_MATRIZES!$C$14:$BP$14,MIN(N_SEMANAS,MAX(1,$C333)))/DIAS_POR_SEMANA</f>
        <v>35295.6366045977</v>
      </c>
      <c r="W333" s="16" t="n">
        <f aca="false">MIN(CADASTRO_CASAS_BOMBA!$O$12,MAX(0,W332+CADASTRO_CASAS_BOMBA!$I$12*HORAS_CAPTACAO_DIA-V333))</f>
        <v>0</v>
      </c>
      <c r="X333" s="16" t="n">
        <f aca="false">MAX(0,V333-CADASTRO_CASAS_BOMBA!$I$12*HORAS_CAPTACAO_DIA-W332)</f>
        <v>9915.6366045977</v>
      </c>
      <c r="Y333" s="16" t="n">
        <f aca="false">INDEX(AUX_MATRIZES!$C$15:$BP$15,MIN(N_SEMANAS,MAX(1,$C333)))/DIAS_POR_SEMANA</f>
        <v>0</v>
      </c>
      <c r="Z333" s="16" t="n">
        <f aca="false">MIN(CADASTRO_CASAS_BOMBA!$O$13,MAX(0,Z332+CADASTRO_CASAS_BOMBA!$I$13*HORAS_CAPTACAO_DIA-Y333))</f>
        <v>74903</v>
      </c>
      <c r="AA333" s="16" t="n">
        <f aca="false">MAX(0,Y333-CADASTRO_CASAS_BOMBA!$I$13*HORAS_CAPTACAO_DIA-Z332)</f>
        <v>0</v>
      </c>
    </row>
    <row r="334" customFormat="false" ht="15" hidden="false" customHeight="false" outlineLevel="0" collapsed="false">
      <c r="B334" s="17" t="n">
        <f aca="false">DATA_INICIO_SAFRA+327</f>
        <v>46592</v>
      </c>
      <c r="C334" s="16" t="n">
        <f aca="false">MIN(N_SEMANAS,MAX(1,INT(($B334-DATA_INICIO_SAFRA)/DIAS_POR_SEMANA)+1))</f>
        <v>47</v>
      </c>
      <c r="D334" s="16" t="n">
        <f aca="false">INDEX(AUX_MATRIZES!$C$8:$BP$8,MIN(N_SEMANAS,MAX(1,$C334)))/DIAS_POR_SEMANA</f>
        <v>4244.10688429218</v>
      </c>
      <c r="E334" s="16" t="n">
        <f aca="false">MIN(CADASTRO_CASAS_BOMBA!$O$6,MAX(0,E333+CADASTRO_CASAS_BOMBA!$I$6*HORAS_CAPTACAO_DIA-D334))</f>
        <v>2600</v>
      </c>
      <c r="F334" s="16" t="n">
        <f aca="false">MAX(0,D334-CADASTRO_CASAS_BOMBA!$I$6*HORAS_CAPTACAO_DIA-E333)</f>
        <v>0</v>
      </c>
      <c r="G334" s="16" t="n">
        <f aca="false">INDEX(AUX_MATRIZES!$C$9:$BP$9,MIN(N_SEMANAS,MAX(1,$C334)))/DIAS_POR_SEMANA</f>
        <v>3767.06262745098</v>
      </c>
      <c r="H334" s="16" t="n">
        <f aca="false">MIN(CADASTRO_CASAS_BOMBA!$O$7,MAX(0,H333+CADASTRO_CASAS_BOMBA!$I$7*HORAS_CAPTACAO_DIA-G334))</f>
        <v>76648</v>
      </c>
      <c r="I334" s="16" t="n">
        <f aca="false">MAX(0,G334-CADASTRO_CASAS_BOMBA!$I$7*HORAS_CAPTACAO_DIA-H333)</f>
        <v>0</v>
      </c>
      <c r="J334" s="16" t="n">
        <f aca="false">INDEX(AUX_MATRIZES!$C$10:$BP$10,MIN(N_SEMANAS,MAX(1,$C334)))/DIAS_POR_SEMANA</f>
        <v>8739.86453350571</v>
      </c>
      <c r="K334" s="16" t="n">
        <f aca="false">MIN(CADASTRO_CASAS_BOMBA!$O$8,MAX(0,K333+CADASTRO_CASAS_BOMBA!$I$8*HORAS_CAPTACAO_DIA-J334))</f>
        <v>27377</v>
      </c>
      <c r="L334" s="16" t="n">
        <f aca="false">MAX(0,J334-CADASTRO_CASAS_BOMBA!$I$8*HORAS_CAPTACAO_DIA-K333)</f>
        <v>0</v>
      </c>
      <c r="M334" s="16" t="n">
        <f aca="false">INDEX(AUX_MATRIZES!$C$11:$BP$11,MIN(N_SEMANAS,MAX(1,$C334)))/DIAS_POR_SEMANA</f>
        <v>8509.09350269339</v>
      </c>
      <c r="N334" s="16" t="n">
        <f aca="false">MIN(CADASTRO_CASAS_BOMBA!$O$9,MAX(0,N333+CADASTRO_CASAS_BOMBA!$I$9*HORAS_CAPTACAO_DIA-M334))</f>
        <v>129000</v>
      </c>
      <c r="O334" s="16" t="n">
        <f aca="false">MAX(0,M334-CADASTRO_CASAS_BOMBA!$I$9*HORAS_CAPTACAO_DIA-N333)</f>
        <v>0</v>
      </c>
      <c r="P334" s="16" t="n">
        <f aca="false">INDEX(AUX_MATRIZES!$C$12:$BP$12,MIN(N_SEMANAS,MAX(1,$C334)))/DIAS_POR_SEMANA</f>
        <v>14926.0697476673</v>
      </c>
      <c r="Q334" s="16" t="n">
        <f aca="false">MIN(CADASTRO_CASAS_BOMBA!$O$10,MAX(0,Q333+CADASTRO_CASAS_BOMBA!$I$10*HORAS_CAPTACAO_DIA-P334))</f>
        <v>720197.121139401</v>
      </c>
      <c r="R334" s="16" t="n">
        <f aca="false">MAX(0,P334-CADASTRO_CASAS_BOMBA!$I$10*HORAS_CAPTACAO_DIA-Q333)</f>
        <v>0</v>
      </c>
      <c r="S334" s="16" t="n">
        <f aca="false">INDEX(AUX_MATRIZES!$C$13:$BP$13,MIN(N_SEMANAS,MAX(1,$C334)))/DIAS_POR_SEMANA</f>
        <v>18231.7075666667</v>
      </c>
      <c r="T334" s="16" t="n">
        <f aca="false">MIN(CADASTRO_CASAS_BOMBA!$O$11,MAX(0,T333+CADASTRO_CASAS_BOMBA!$I$11*HORAS_CAPTACAO_DIA-S334))</f>
        <v>209124.548215957</v>
      </c>
      <c r="U334" s="16" t="n">
        <f aca="false">MAX(0,S334-CADASTRO_CASAS_BOMBA!$I$11*HORAS_CAPTACAO_DIA-T333)</f>
        <v>0</v>
      </c>
      <c r="V334" s="16" t="n">
        <f aca="false">INDEX(AUX_MATRIZES!$C$14:$BP$14,MIN(N_SEMANAS,MAX(1,$C334)))/DIAS_POR_SEMANA</f>
        <v>35295.6366045977</v>
      </c>
      <c r="W334" s="16" t="n">
        <f aca="false">MIN(CADASTRO_CASAS_BOMBA!$O$12,MAX(0,W333+CADASTRO_CASAS_BOMBA!$I$12*HORAS_CAPTACAO_DIA-V334))</f>
        <v>0</v>
      </c>
      <c r="X334" s="16" t="n">
        <f aca="false">MAX(0,V334-CADASTRO_CASAS_BOMBA!$I$12*HORAS_CAPTACAO_DIA-W333)</f>
        <v>9915.6366045977</v>
      </c>
      <c r="Y334" s="16" t="n">
        <f aca="false">INDEX(AUX_MATRIZES!$C$15:$BP$15,MIN(N_SEMANAS,MAX(1,$C334)))/DIAS_POR_SEMANA</f>
        <v>0</v>
      </c>
      <c r="Z334" s="16" t="n">
        <f aca="false">MIN(CADASTRO_CASAS_BOMBA!$O$13,MAX(0,Z333+CADASTRO_CASAS_BOMBA!$I$13*HORAS_CAPTACAO_DIA-Y334))</f>
        <v>74903</v>
      </c>
      <c r="AA334" s="16" t="n">
        <f aca="false">MAX(0,Y334-CADASTRO_CASAS_BOMBA!$I$13*HORAS_CAPTACAO_DIA-Z333)</f>
        <v>0</v>
      </c>
    </row>
    <row r="335" customFormat="false" ht="15" hidden="false" customHeight="false" outlineLevel="0" collapsed="false">
      <c r="B335" s="17" t="n">
        <f aca="false">DATA_INICIO_SAFRA+328</f>
        <v>46593</v>
      </c>
      <c r="C335" s="16" t="n">
        <f aca="false">MIN(N_SEMANAS,MAX(1,INT(($B335-DATA_INICIO_SAFRA)/DIAS_POR_SEMANA)+1))</f>
        <v>47</v>
      </c>
      <c r="D335" s="16" t="n">
        <f aca="false">INDEX(AUX_MATRIZES!$C$8:$BP$8,MIN(N_SEMANAS,MAX(1,$C335)))/DIAS_POR_SEMANA</f>
        <v>4244.10688429218</v>
      </c>
      <c r="E335" s="16" t="n">
        <f aca="false">MIN(CADASTRO_CASAS_BOMBA!$O$6,MAX(0,E334+CADASTRO_CASAS_BOMBA!$I$6*HORAS_CAPTACAO_DIA-D335))</f>
        <v>2600</v>
      </c>
      <c r="F335" s="16" t="n">
        <f aca="false">MAX(0,D335-CADASTRO_CASAS_BOMBA!$I$6*HORAS_CAPTACAO_DIA-E334)</f>
        <v>0</v>
      </c>
      <c r="G335" s="16" t="n">
        <f aca="false">INDEX(AUX_MATRIZES!$C$9:$BP$9,MIN(N_SEMANAS,MAX(1,$C335)))/DIAS_POR_SEMANA</f>
        <v>3767.06262745098</v>
      </c>
      <c r="H335" s="16" t="n">
        <f aca="false">MIN(CADASTRO_CASAS_BOMBA!$O$7,MAX(0,H334+CADASTRO_CASAS_BOMBA!$I$7*HORAS_CAPTACAO_DIA-G335))</f>
        <v>76648</v>
      </c>
      <c r="I335" s="16" t="n">
        <f aca="false">MAX(0,G335-CADASTRO_CASAS_BOMBA!$I$7*HORAS_CAPTACAO_DIA-H334)</f>
        <v>0</v>
      </c>
      <c r="J335" s="16" t="n">
        <f aca="false">INDEX(AUX_MATRIZES!$C$10:$BP$10,MIN(N_SEMANAS,MAX(1,$C335)))/DIAS_POR_SEMANA</f>
        <v>8739.86453350571</v>
      </c>
      <c r="K335" s="16" t="n">
        <f aca="false">MIN(CADASTRO_CASAS_BOMBA!$O$8,MAX(0,K334+CADASTRO_CASAS_BOMBA!$I$8*HORAS_CAPTACAO_DIA-J335))</f>
        <v>27377</v>
      </c>
      <c r="L335" s="16" t="n">
        <f aca="false">MAX(0,J335-CADASTRO_CASAS_BOMBA!$I$8*HORAS_CAPTACAO_DIA-K334)</f>
        <v>0</v>
      </c>
      <c r="M335" s="16" t="n">
        <f aca="false">INDEX(AUX_MATRIZES!$C$11:$BP$11,MIN(N_SEMANAS,MAX(1,$C335)))/DIAS_POR_SEMANA</f>
        <v>8509.09350269339</v>
      </c>
      <c r="N335" s="16" t="n">
        <f aca="false">MIN(CADASTRO_CASAS_BOMBA!$O$9,MAX(0,N334+CADASTRO_CASAS_BOMBA!$I$9*HORAS_CAPTACAO_DIA-M335))</f>
        <v>129000</v>
      </c>
      <c r="O335" s="16" t="n">
        <f aca="false">MAX(0,M335-CADASTRO_CASAS_BOMBA!$I$9*HORAS_CAPTACAO_DIA-N334)</f>
        <v>0</v>
      </c>
      <c r="P335" s="16" t="n">
        <f aca="false">INDEX(AUX_MATRIZES!$C$12:$BP$12,MIN(N_SEMANAS,MAX(1,$C335)))/DIAS_POR_SEMANA</f>
        <v>14926.0697476673</v>
      </c>
      <c r="Q335" s="16" t="n">
        <f aca="false">MIN(CADASTRO_CASAS_BOMBA!$O$10,MAX(0,Q334+CADASTRO_CASAS_BOMBA!$I$10*HORAS_CAPTACAO_DIA-P335))</f>
        <v>718353.451391734</v>
      </c>
      <c r="R335" s="16" t="n">
        <f aca="false">MAX(0,P335-CADASTRO_CASAS_BOMBA!$I$10*HORAS_CAPTACAO_DIA-Q334)</f>
        <v>0</v>
      </c>
      <c r="S335" s="16" t="n">
        <f aca="false">INDEX(AUX_MATRIZES!$C$13:$BP$13,MIN(N_SEMANAS,MAX(1,$C335)))/DIAS_POR_SEMANA</f>
        <v>18231.7075666667</v>
      </c>
      <c r="T335" s="16" t="n">
        <f aca="false">MIN(CADASTRO_CASAS_BOMBA!$O$11,MAX(0,T334+CADASTRO_CASAS_BOMBA!$I$11*HORAS_CAPTACAO_DIA-S335))</f>
        <v>212312.84064929</v>
      </c>
      <c r="U335" s="16" t="n">
        <f aca="false">MAX(0,S335-CADASTRO_CASAS_BOMBA!$I$11*HORAS_CAPTACAO_DIA-T334)</f>
        <v>0</v>
      </c>
      <c r="V335" s="16" t="n">
        <f aca="false">INDEX(AUX_MATRIZES!$C$14:$BP$14,MIN(N_SEMANAS,MAX(1,$C335)))/DIAS_POR_SEMANA</f>
        <v>35295.6366045977</v>
      </c>
      <c r="W335" s="16" t="n">
        <f aca="false">MIN(CADASTRO_CASAS_BOMBA!$O$12,MAX(0,W334+CADASTRO_CASAS_BOMBA!$I$12*HORAS_CAPTACAO_DIA-V335))</f>
        <v>0</v>
      </c>
      <c r="X335" s="16" t="n">
        <f aca="false">MAX(0,V335-CADASTRO_CASAS_BOMBA!$I$12*HORAS_CAPTACAO_DIA-W334)</f>
        <v>9915.6366045977</v>
      </c>
      <c r="Y335" s="16" t="n">
        <f aca="false">INDEX(AUX_MATRIZES!$C$15:$BP$15,MIN(N_SEMANAS,MAX(1,$C335)))/DIAS_POR_SEMANA</f>
        <v>0</v>
      </c>
      <c r="Z335" s="16" t="n">
        <f aca="false">MIN(CADASTRO_CASAS_BOMBA!$O$13,MAX(0,Z334+CADASTRO_CASAS_BOMBA!$I$13*HORAS_CAPTACAO_DIA-Y335))</f>
        <v>74903</v>
      </c>
      <c r="AA335" s="16" t="n">
        <f aca="false">MAX(0,Y335-CADASTRO_CASAS_BOMBA!$I$13*HORAS_CAPTACAO_DIA-Z334)</f>
        <v>0</v>
      </c>
    </row>
    <row r="336" customFormat="false" ht="15" hidden="false" customHeight="false" outlineLevel="0" collapsed="false">
      <c r="B336" s="17" t="n">
        <f aca="false">DATA_INICIO_SAFRA+329</f>
        <v>46594</v>
      </c>
      <c r="C336" s="16" t="n">
        <f aca="false">MIN(N_SEMANAS,MAX(1,INT(($B336-DATA_INICIO_SAFRA)/DIAS_POR_SEMANA)+1))</f>
        <v>48</v>
      </c>
      <c r="D336" s="16" t="n">
        <f aca="false">INDEX(AUX_MATRIZES!$C$8:$BP$8,MIN(N_SEMANAS,MAX(1,$C336)))/DIAS_POR_SEMANA</f>
        <v>4004.6737523317</v>
      </c>
      <c r="E336" s="16" t="n">
        <f aca="false">MIN(CADASTRO_CASAS_BOMBA!$O$6,MAX(0,E335+CADASTRO_CASAS_BOMBA!$I$6*HORAS_CAPTACAO_DIA-D336))</f>
        <v>2600</v>
      </c>
      <c r="F336" s="16" t="n">
        <f aca="false">MAX(0,D336-CADASTRO_CASAS_BOMBA!$I$6*HORAS_CAPTACAO_DIA-E335)</f>
        <v>0</v>
      </c>
      <c r="G336" s="16" t="n">
        <f aca="false">INDEX(AUX_MATRIZES!$C$9:$BP$9,MIN(N_SEMANAS,MAX(1,$C336)))/DIAS_POR_SEMANA</f>
        <v>3426.03341176471</v>
      </c>
      <c r="H336" s="16" t="n">
        <f aca="false">MIN(CADASTRO_CASAS_BOMBA!$O$7,MAX(0,H335+CADASTRO_CASAS_BOMBA!$I$7*HORAS_CAPTACAO_DIA-G336))</f>
        <v>76648</v>
      </c>
      <c r="I336" s="16" t="n">
        <f aca="false">MAX(0,G336-CADASTRO_CASAS_BOMBA!$I$7*HORAS_CAPTACAO_DIA-H335)</f>
        <v>0</v>
      </c>
      <c r="J336" s="16" t="n">
        <f aca="false">INDEX(AUX_MATRIZES!$C$10:$BP$10,MIN(N_SEMANAS,MAX(1,$C336)))/DIAS_POR_SEMANA</f>
        <v>8264.2001938006</v>
      </c>
      <c r="K336" s="16" t="n">
        <f aca="false">MIN(CADASTRO_CASAS_BOMBA!$O$8,MAX(0,K335+CADASTRO_CASAS_BOMBA!$I$8*HORAS_CAPTACAO_DIA-J336))</f>
        <v>27377</v>
      </c>
      <c r="L336" s="16" t="n">
        <f aca="false">MAX(0,J336-CADASTRO_CASAS_BOMBA!$I$8*HORAS_CAPTACAO_DIA-K335)</f>
        <v>0</v>
      </c>
      <c r="M336" s="16" t="n">
        <f aca="false">INDEX(AUX_MATRIZES!$C$11:$BP$11,MIN(N_SEMANAS,MAX(1,$C336)))/DIAS_POR_SEMANA</f>
        <v>7900.77051596023</v>
      </c>
      <c r="N336" s="16" t="n">
        <f aca="false">MIN(CADASTRO_CASAS_BOMBA!$O$9,MAX(0,N335+CADASTRO_CASAS_BOMBA!$I$9*HORAS_CAPTACAO_DIA-M336))</f>
        <v>129000</v>
      </c>
      <c r="O336" s="16" t="n">
        <f aca="false">MAX(0,M336-CADASTRO_CASAS_BOMBA!$I$9*HORAS_CAPTACAO_DIA-N335)</f>
        <v>0</v>
      </c>
      <c r="P336" s="16" t="n">
        <f aca="false">INDEX(AUX_MATRIZES!$C$12:$BP$12,MIN(N_SEMANAS,MAX(1,$C336)))/DIAS_POR_SEMANA</f>
        <v>18332.5895195595</v>
      </c>
      <c r="Q336" s="16" t="n">
        <f aca="false">MIN(CADASTRO_CASAS_BOMBA!$O$10,MAX(0,Q335+CADASTRO_CASAS_BOMBA!$I$10*HORAS_CAPTACAO_DIA-P336))</f>
        <v>713103.261872175</v>
      </c>
      <c r="R336" s="16" t="n">
        <f aca="false">MAX(0,P336-CADASTRO_CASAS_BOMBA!$I$10*HORAS_CAPTACAO_DIA-Q335)</f>
        <v>0</v>
      </c>
      <c r="S336" s="16" t="n">
        <f aca="false">INDEX(AUX_MATRIZES!$C$13:$BP$13,MIN(N_SEMANAS,MAX(1,$C336)))/DIAS_POR_SEMANA</f>
        <v>20737.7290420168</v>
      </c>
      <c r="T336" s="16" t="n">
        <f aca="false">MIN(CADASTRO_CASAS_BOMBA!$O$11,MAX(0,T335+CADASTRO_CASAS_BOMBA!$I$11*HORAS_CAPTACAO_DIA-S336))</f>
        <v>212995.111607273</v>
      </c>
      <c r="U336" s="16" t="n">
        <f aca="false">MAX(0,S336-CADASTRO_CASAS_BOMBA!$I$11*HORAS_CAPTACAO_DIA-T335)</f>
        <v>0</v>
      </c>
      <c r="V336" s="16" t="n">
        <f aca="false">INDEX(AUX_MATRIZES!$C$14:$BP$14,MIN(N_SEMANAS,MAX(1,$C336)))/DIAS_POR_SEMANA</f>
        <v>30846.4907720146</v>
      </c>
      <c r="W336" s="16" t="n">
        <f aca="false">MIN(CADASTRO_CASAS_BOMBA!$O$12,MAX(0,W335+CADASTRO_CASAS_BOMBA!$I$12*HORAS_CAPTACAO_DIA-V336))</f>
        <v>0</v>
      </c>
      <c r="X336" s="16" t="n">
        <f aca="false">MAX(0,V336-CADASTRO_CASAS_BOMBA!$I$12*HORAS_CAPTACAO_DIA-W335)</f>
        <v>5466.49077201455</v>
      </c>
      <c r="Y336" s="16" t="n">
        <f aca="false">INDEX(AUX_MATRIZES!$C$15:$BP$15,MIN(N_SEMANAS,MAX(1,$C336)))/DIAS_POR_SEMANA</f>
        <v>0</v>
      </c>
      <c r="Z336" s="16" t="n">
        <f aca="false">MIN(CADASTRO_CASAS_BOMBA!$O$13,MAX(0,Z335+CADASTRO_CASAS_BOMBA!$I$13*HORAS_CAPTACAO_DIA-Y336))</f>
        <v>74903</v>
      </c>
      <c r="AA336" s="16" t="n">
        <f aca="false">MAX(0,Y336-CADASTRO_CASAS_BOMBA!$I$13*HORAS_CAPTACAO_DIA-Z335)</f>
        <v>0</v>
      </c>
    </row>
    <row r="337" customFormat="false" ht="15" hidden="false" customHeight="false" outlineLevel="0" collapsed="false">
      <c r="B337" s="17" t="n">
        <f aca="false">DATA_INICIO_SAFRA+330</f>
        <v>46595</v>
      </c>
      <c r="C337" s="16" t="n">
        <f aca="false">MIN(N_SEMANAS,MAX(1,INT(($B337-DATA_INICIO_SAFRA)/DIAS_POR_SEMANA)+1))</f>
        <v>48</v>
      </c>
      <c r="D337" s="16" t="n">
        <f aca="false">INDEX(AUX_MATRIZES!$C$8:$BP$8,MIN(N_SEMANAS,MAX(1,$C337)))/DIAS_POR_SEMANA</f>
        <v>4004.6737523317</v>
      </c>
      <c r="E337" s="16" t="n">
        <f aca="false">MIN(CADASTRO_CASAS_BOMBA!$O$6,MAX(0,E336+CADASTRO_CASAS_BOMBA!$I$6*HORAS_CAPTACAO_DIA-D337))</f>
        <v>2600</v>
      </c>
      <c r="F337" s="16" t="n">
        <f aca="false">MAX(0,D337-CADASTRO_CASAS_BOMBA!$I$6*HORAS_CAPTACAO_DIA-E336)</f>
        <v>0</v>
      </c>
      <c r="G337" s="16" t="n">
        <f aca="false">INDEX(AUX_MATRIZES!$C$9:$BP$9,MIN(N_SEMANAS,MAX(1,$C337)))/DIAS_POR_SEMANA</f>
        <v>3426.03341176471</v>
      </c>
      <c r="H337" s="16" t="n">
        <f aca="false">MIN(CADASTRO_CASAS_BOMBA!$O$7,MAX(0,H336+CADASTRO_CASAS_BOMBA!$I$7*HORAS_CAPTACAO_DIA-G337))</f>
        <v>76648</v>
      </c>
      <c r="I337" s="16" t="n">
        <f aca="false">MAX(0,G337-CADASTRO_CASAS_BOMBA!$I$7*HORAS_CAPTACAO_DIA-H336)</f>
        <v>0</v>
      </c>
      <c r="J337" s="16" t="n">
        <f aca="false">INDEX(AUX_MATRIZES!$C$10:$BP$10,MIN(N_SEMANAS,MAX(1,$C337)))/DIAS_POR_SEMANA</f>
        <v>8264.2001938006</v>
      </c>
      <c r="K337" s="16" t="n">
        <f aca="false">MIN(CADASTRO_CASAS_BOMBA!$O$8,MAX(0,K336+CADASTRO_CASAS_BOMBA!$I$8*HORAS_CAPTACAO_DIA-J337))</f>
        <v>27377</v>
      </c>
      <c r="L337" s="16" t="n">
        <f aca="false">MAX(0,J337-CADASTRO_CASAS_BOMBA!$I$8*HORAS_CAPTACAO_DIA-K336)</f>
        <v>0</v>
      </c>
      <c r="M337" s="16" t="n">
        <f aca="false">INDEX(AUX_MATRIZES!$C$11:$BP$11,MIN(N_SEMANAS,MAX(1,$C337)))/DIAS_POR_SEMANA</f>
        <v>7900.77051596023</v>
      </c>
      <c r="N337" s="16" t="n">
        <f aca="false">MIN(CADASTRO_CASAS_BOMBA!$O$9,MAX(0,N336+CADASTRO_CASAS_BOMBA!$I$9*HORAS_CAPTACAO_DIA-M337))</f>
        <v>129000</v>
      </c>
      <c r="O337" s="16" t="n">
        <f aca="false">MAX(0,M337-CADASTRO_CASAS_BOMBA!$I$9*HORAS_CAPTACAO_DIA-N336)</f>
        <v>0</v>
      </c>
      <c r="P337" s="16" t="n">
        <f aca="false">INDEX(AUX_MATRIZES!$C$12:$BP$12,MIN(N_SEMANAS,MAX(1,$C337)))/DIAS_POR_SEMANA</f>
        <v>18332.5895195595</v>
      </c>
      <c r="Q337" s="16" t="n">
        <f aca="false">MIN(CADASTRO_CASAS_BOMBA!$O$10,MAX(0,Q336+CADASTRO_CASAS_BOMBA!$I$10*HORAS_CAPTACAO_DIA-P337))</f>
        <v>707853.072352615</v>
      </c>
      <c r="R337" s="16" t="n">
        <f aca="false">MAX(0,P337-CADASTRO_CASAS_BOMBA!$I$10*HORAS_CAPTACAO_DIA-Q336)</f>
        <v>0</v>
      </c>
      <c r="S337" s="16" t="n">
        <f aca="false">INDEX(AUX_MATRIZES!$C$13:$BP$13,MIN(N_SEMANAS,MAX(1,$C337)))/DIAS_POR_SEMANA</f>
        <v>20737.7290420168</v>
      </c>
      <c r="T337" s="16" t="n">
        <f aca="false">MIN(CADASTRO_CASAS_BOMBA!$O$11,MAX(0,T336+CADASTRO_CASAS_BOMBA!$I$11*HORAS_CAPTACAO_DIA-S337))</f>
        <v>213677.382565257</v>
      </c>
      <c r="U337" s="16" t="n">
        <f aca="false">MAX(0,S337-CADASTRO_CASAS_BOMBA!$I$11*HORAS_CAPTACAO_DIA-T336)</f>
        <v>0</v>
      </c>
      <c r="V337" s="16" t="n">
        <f aca="false">INDEX(AUX_MATRIZES!$C$14:$BP$14,MIN(N_SEMANAS,MAX(1,$C337)))/DIAS_POR_SEMANA</f>
        <v>30846.4907720146</v>
      </c>
      <c r="W337" s="16" t="n">
        <f aca="false">MIN(CADASTRO_CASAS_BOMBA!$O$12,MAX(0,W336+CADASTRO_CASAS_BOMBA!$I$12*HORAS_CAPTACAO_DIA-V337))</f>
        <v>0</v>
      </c>
      <c r="X337" s="16" t="n">
        <f aca="false">MAX(0,V337-CADASTRO_CASAS_BOMBA!$I$12*HORAS_CAPTACAO_DIA-W336)</f>
        <v>5466.49077201455</v>
      </c>
      <c r="Y337" s="16" t="n">
        <f aca="false">INDEX(AUX_MATRIZES!$C$15:$BP$15,MIN(N_SEMANAS,MAX(1,$C337)))/DIAS_POR_SEMANA</f>
        <v>0</v>
      </c>
      <c r="Z337" s="16" t="n">
        <f aca="false">MIN(CADASTRO_CASAS_BOMBA!$O$13,MAX(0,Z336+CADASTRO_CASAS_BOMBA!$I$13*HORAS_CAPTACAO_DIA-Y337))</f>
        <v>74903</v>
      </c>
      <c r="AA337" s="16" t="n">
        <f aca="false">MAX(0,Y337-CADASTRO_CASAS_BOMBA!$I$13*HORAS_CAPTACAO_DIA-Z336)</f>
        <v>0</v>
      </c>
    </row>
    <row r="338" customFormat="false" ht="15" hidden="false" customHeight="false" outlineLevel="0" collapsed="false">
      <c r="B338" s="17" t="n">
        <f aca="false">DATA_INICIO_SAFRA+331</f>
        <v>46596</v>
      </c>
      <c r="C338" s="16" t="n">
        <f aca="false">MIN(N_SEMANAS,MAX(1,INT(($B338-DATA_INICIO_SAFRA)/DIAS_POR_SEMANA)+1))</f>
        <v>48</v>
      </c>
      <c r="D338" s="16" t="n">
        <f aca="false">INDEX(AUX_MATRIZES!$C$8:$BP$8,MIN(N_SEMANAS,MAX(1,$C338)))/DIAS_POR_SEMANA</f>
        <v>4004.6737523317</v>
      </c>
      <c r="E338" s="16" t="n">
        <f aca="false">MIN(CADASTRO_CASAS_BOMBA!$O$6,MAX(0,E337+CADASTRO_CASAS_BOMBA!$I$6*HORAS_CAPTACAO_DIA-D338))</f>
        <v>2600</v>
      </c>
      <c r="F338" s="16" t="n">
        <f aca="false">MAX(0,D338-CADASTRO_CASAS_BOMBA!$I$6*HORAS_CAPTACAO_DIA-E337)</f>
        <v>0</v>
      </c>
      <c r="G338" s="16" t="n">
        <f aca="false">INDEX(AUX_MATRIZES!$C$9:$BP$9,MIN(N_SEMANAS,MAX(1,$C338)))/DIAS_POR_SEMANA</f>
        <v>3426.03341176471</v>
      </c>
      <c r="H338" s="16" t="n">
        <f aca="false">MIN(CADASTRO_CASAS_BOMBA!$O$7,MAX(0,H337+CADASTRO_CASAS_BOMBA!$I$7*HORAS_CAPTACAO_DIA-G338))</f>
        <v>76648</v>
      </c>
      <c r="I338" s="16" t="n">
        <f aca="false">MAX(0,G338-CADASTRO_CASAS_BOMBA!$I$7*HORAS_CAPTACAO_DIA-H337)</f>
        <v>0</v>
      </c>
      <c r="J338" s="16" t="n">
        <f aca="false">INDEX(AUX_MATRIZES!$C$10:$BP$10,MIN(N_SEMANAS,MAX(1,$C338)))/DIAS_POR_SEMANA</f>
        <v>8264.2001938006</v>
      </c>
      <c r="K338" s="16" t="n">
        <f aca="false">MIN(CADASTRO_CASAS_BOMBA!$O$8,MAX(0,K337+CADASTRO_CASAS_BOMBA!$I$8*HORAS_CAPTACAO_DIA-J338))</f>
        <v>27377</v>
      </c>
      <c r="L338" s="16" t="n">
        <f aca="false">MAX(0,J338-CADASTRO_CASAS_BOMBA!$I$8*HORAS_CAPTACAO_DIA-K337)</f>
        <v>0</v>
      </c>
      <c r="M338" s="16" t="n">
        <f aca="false">INDEX(AUX_MATRIZES!$C$11:$BP$11,MIN(N_SEMANAS,MAX(1,$C338)))/DIAS_POR_SEMANA</f>
        <v>7900.77051596023</v>
      </c>
      <c r="N338" s="16" t="n">
        <f aca="false">MIN(CADASTRO_CASAS_BOMBA!$O$9,MAX(0,N337+CADASTRO_CASAS_BOMBA!$I$9*HORAS_CAPTACAO_DIA-M338))</f>
        <v>129000</v>
      </c>
      <c r="O338" s="16" t="n">
        <f aca="false">MAX(0,M338-CADASTRO_CASAS_BOMBA!$I$9*HORAS_CAPTACAO_DIA-N337)</f>
        <v>0</v>
      </c>
      <c r="P338" s="16" t="n">
        <f aca="false">INDEX(AUX_MATRIZES!$C$12:$BP$12,MIN(N_SEMANAS,MAX(1,$C338)))/DIAS_POR_SEMANA</f>
        <v>18332.5895195595</v>
      </c>
      <c r="Q338" s="16" t="n">
        <f aca="false">MIN(CADASTRO_CASAS_BOMBA!$O$10,MAX(0,Q337+CADASTRO_CASAS_BOMBA!$I$10*HORAS_CAPTACAO_DIA-P338))</f>
        <v>702602.882833056</v>
      </c>
      <c r="R338" s="16" t="n">
        <f aca="false">MAX(0,P338-CADASTRO_CASAS_BOMBA!$I$10*HORAS_CAPTACAO_DIA-Q337)</f>
        <v>0</v>
      </c>
      <c r="S338" s="16" t="n">
        <f aca="false">INDEX(AUX_MATRIZES!$C$13:$BP$13,MIN(N_SEMANAS,MAX(1,$C338)))/DIAS_POR_SEMANA</f>
        <v>20737.7290420168</v>
      </c>
      <c r="T338" s="16" t="n">
        <f aca="false">MIN(CADASTRO_CASAS_BOMBA!$O$11,MAX(0,T337+CADASTRO_CASAS_BOMBA!$I$11*HORAS_CAPTACAO_DIA-S338))</f>
        <v>214359.65352324</v>
      </c>
      <c r="U338" s="16" t="n">
        <f aca="false">MAX(0,S338-CADASTRO_CASAS_BOMBA!$I$11*HORAS_CAPTACAO_DIA-T337)</f>
        <v>0</v>
      </c>
      <c r="V338" s="16" t="n">
        <f aca="false">INDEX(AUX_MATRIZES!$C$14:$BP$14,MIN(N_SEMANAS,MAX(1,$C338)))/DIAS_POR_SEMANA</f>
        <v>30846.4907720146</v>
      </c>
      <c r="W338" s="16" t="n">
        <f aca="false">MIN(CADASTRO_CASAS_BOMBA!$O$12,MAX(0,W337+CADASTRO_CASAS_BOMBA!$I$12*HORAS_CAPTACAO_DIA-V338))</f>
        <v>0</v>
      </c>
      <c r="X338" s="16" t="n">
        <f aca="false">MAX(0,V338-CADASTRO_CASAS_BOMBA!$I$12*HORAS_CAPTACAO_DIA-W337)</f>
        <v>5466.49077201455</v>
      </c>
      <c r="Y338" s="16" t="n">
        <f aca="false">INDEX(AUX_MATRIZES!$C$15:$BP$15,MIN(N_SEMANAS,MAX(1,$C338)))/DIAS_POR_SEMANA</f>
        <v>0</v>
      </c>
      <c r="Z338" s="16" t="n">
        <f aca="false">MIN(CADASTRO_CASAS_BOMBA!$O$13,MAX(0,Z337+CADASTRO_CASAS_BOMBA!$I$13*HORAS_CAPTACAO_DIA-Y338))</f>
        <v>74903</v>
      </c>
      <c r="AA338" s="16" t="n">
        <f aca="false">MAX(0,Y338-CADASTRO_CASAS_BOMBA!$I$13*HORAS_CAPTACAO_DIA-Z337)</f>
        <v>0</v>
      </c>
    </row>
    <row r="339" customFormat="false" ht="15" hidden="false" customHeight="false" outlineLevel="0" collapsed="false">
      <c r="B339" s="17" t="n">
        <f aca="false">DATA_INICIO_SAFRA+332</f>
        <v>46597</v>
      </c>
      <c r="C339" s="16" t="n">
        <f aca="false">MIN(N_SEMANAS,MAX(1,INT(($B339-DATA_INICIO_SAFRA)/DIAS_POR_SEMANA)+1))</f>
        <v>48</v>
      </c>
      <c r="D339" s="16" t="n">
        <f aca="false">INDEX(AUX_MATRIZES!$C$8:$BP$8,MIN(N_SEMANAS,MAX(1,$C339)))/DIAS_POR_SEMANA</f>
        <v>4004.6737523317</v>
      </c>
      <c r="E339" s="16" t="n">
        <f aca="false">MIN(CADASTRO_CASAS_BOMBA!$O$6,MAX(0,E338+CADASTRO_CASAS_BOMBA!$I$6*HORAS_CAPTACAO_DIA-D339))</f>
        <v>2600</v>
      </c>
      <c r="F339" s="16" t="n">
        <f aca="false">MAX(0,D339-CADASTRO_CASAS_BOMBA!$I$6*HORAS_CAPTACAO_DIA-E338)</f>
        <v>0</v>
      </c>
      <c r="G339" s="16" t="n">
        <f aca="false">INDEX(AUX_MATRIZES!$C$9:$BP$9,MIN(N_SEMANAS,MAX(1,$C339)))/DIAS_POR_SEMANA</f>
        <v>3426.03341176471</v>
      </c>
      <c r="H339" s="16" t="n">
        <f aca="false">MIN(CADASTRO_CASAS_BOMBA!$O$7,MAX(0,H338+CADASTRO_CASAS_BOMBA!$I$7*HORAS_CAPTACAO_DIA-G339))</f>
        <v>76648</v>
      </c>
      <c r="I339" s="16" t="n">
        <f aca="false">MAX(0,G339-CADASTRO_CASAS_BOMBA!$I$7*HORAS_CAPTACAO_DIA-H338)</f>
        <v>0</v>
      </c>
      <c r="J339" s="16" t="n">
        <f aca="false">INDEX(AUX_MATRIZES!$C$10:$BP$10,MIN(N_SEMANAS,MAX(1,$C339)))/DIAS_POR_SEMANA</f>
        <v>8264.2001938006</v>
      </c>
      <c r="K339" s="16" t="n">
        <f aca="false">MIN(CADASTRO_CASAS_BOMBA!$O$8,MAX(0,K338+CADASTRO_CASAS_BOMBA!$I$8*HORAS_CAPTACAO_DIA-J339))</f>
        <v>27377</v>
      </c>
      <c r="L339" s="16" t="n">
        <f aca="false">MAX(0,J339-CADASTRO_CASAS_BOMBA!$I$8*HORAS_CAPTACAO_DIA-K338)</f>
        <v>0</v>
      </c>
      <c r="M339" s="16" t="n">
        <f aca="false">INDEX(AUX_MATRIZES!$C$11:$BP$11,MIN(N_SEMANAS,MAX(1,$C339)))/DIAS_POR_SEMANA</f>
        <v>7900.77051596023</v>
      </c>
      <c r="N339" s="16" t="n">
        <f aca="false">MIN(CADASTRO_CASAS_BOMBA!$O$9,MAX(0,N338+CADASTRO_CASAS_BOMBA!$I$9*HORAS_CAPTACAO_DIA-M339))</f>
        <v>129000</v>
      </c>
      <c r="O339" s="16" t="n">
        <f aca="false">MAX(0,M339-CADASTRO_CASAS_BOMBA!$I$9*HORAS_CAPTACAO_DIA-N338)</f>
        <v>0</v>
      </c>
      <c r="P339" s="16" t="n">
        <f aca="false">INDEX(AUX_MATRIZES!$C$12:$BP$12,MIN(N_SEMANAS,MAX(1,$C339)))/DIAS_POR_SEMANA</f>
        <v>18332.5895195595</v>
      </c>
      <c r="Q339" s="16" t="n">
        <f aca="false">MIN(CADASTRO_CASAS_BOMBA!$O$10,MAX(0,Q338+CADASTRO_CASAS_BOMBA!$I$10*HORAS_CAPTACAO_DIA-P339))</f>
        <v>697352.693313496</v>
      </c>
      <c r="R339" s="16" t="n">
        <f aca="false">MAX(0,P339-CADASTRO_CASAS_BOMBA!$I$10*HORAS_CAPTACAO_DIA-Q338)</f>
        <v>0</v>
      </c>
      <c r="S339" s="16" t="n">
        <f aca="false">INDEX(AUX_MATRIZES!$C$13:$BP$13,MIN(N_SEMANAS,MAX(1,$C339)))/DIAS_POR_SEMANA</f>
        <v>20737.7290420168</v>
      </c>
      <c r="T339" s="16" t="n">
        <f aca="false">MIN(CADASTRO_CASAS_BOMBA!$O$11,MAX(0,T338+CADASTRO_CASAS_BOMBA!$I$11*HORAS_CAPTACAO_DIA-S339))</f>
        <v>215041.924481223</v>
      </c>
      <c r="U339" s="16" t="n">
        <f aca="false">MAX(0,S339-CADASTRO_CASAS_BOMBA!$I$11*HORAS_CAPTACAO_DIA-T338)</f>
        <v>0</v>
      </c>
      <c r="V339" s="16" t="n">
        <f aca="false">INDEX(AUX_MATRIZES!$C$14:$BP$14,MIN(N_SEMANAS,MAX(1,$C339)))/DIAS_POR_SEMANA</f>
        <v>30846.4907720146</v>
      </c>
      <c r="W339" s="16" t="n">
        <f aca="false">MIN(CADASTRO_CASAS_BOMBA!$O$12,MAX(0,W338+CADASTRO_CASAS_BOMBA!$I$12*HORAS_CAPTACAO_DIA-V339))</f>
        <v>0</v>
      </c>
      <c r="X339" s="16" t="n">
        <f aca="false">MAX(0,V339-CADASTRO_CASAS_BOMBA!$I$12*HORAS_CAPTACAO_DIA-W338)</f>
        <v>5466.49077201455</v>
      </c>
      <c r="Y339" s="16" t="n">
        <f aca="false">INDEX(AUX_MATRIZES!$C$15:$BP$15,MIN(N_SEMANAS,MAX(1,$C339)))/DIAS_POR_SEMANA</f>
        <v>0</v>
      </c>
      <c r="Z339" s="16" t="n">
        <f aca="false">MIN(CADASTRO_CASAS_BOMBA!$O$13,MAX(0,Z338+CADASTRO_CASAS_BOMBA!$I$13*HORAS_CAPTACAO_DIA-Y339))</f>
        <v>74903</v>
      </c>
      <c r="AA339" s="16" t="n">
        <f aca="false">MAX(0,Y339-CADASTRO_CASAS_BOMBA!$I$13*HORAS_CAPTACAO_DIA-Z338)</f>
        <v>0</v>
      </c>
    </row>
    <row r="340" customFormat="false" ht="15" hidden="false" customHeight="false" outlineLevel="0" collapsed="false">
      <c r="B340" s="17" t="n">
        <f aca="false">DATA_INICIO_SAFRA+333</f>
        <v>46598</v>
      </c>
      <c r="C340" s="16" t="n">
        <f aca="false">MIN(N_SEMANAS,MAX(1,INT(($B340-DATA_INICIO_SAFRA)/DIAS_POR_SEMANA)+1))</f>
        <v>48</v>
      </c>
      <c r="D340" s="16" t="n">
        <f aca="false">INDEX(AUX_MATRIZES!$C$8:$BP$8,MIN(N_SEMANAS,MAX(1,$C340)))/DIAS_POR_SEMANA</f>
        <v>4004.6737523317</v>
      </c>
      <c r="E340" s="16" t="n">
        <f aca="false">MIN(CADASTRO_CASAS_BOMBA!$O$6,MAX(0,E339+CADASTRO_CASAS_BOMBA!$I$6*HORAS_CAPTACAO_DIA-D340))</f>
        <v>2600</v>
      </c>
      <c r="F340" s="16" t="n">
        <f aca="false">MAX(0,D340-CADASTRO_CASAS_BOMBA!$I$6*HORAS_CAPTACAO_DIA-E339)</f>
        <v>0</v>
      </c>
      <c r="G340" s="16" t="n">
        <f aca="false">INDEX(AUX_MATRIZES!$C$9:$BP$9,MIN(N_SEMANAS,MAX(1,$C340)))/DIAS_POR_SEMANA</f>
        <v>3426.03341176471</v>
      </c>
      <c r="H340" s="16" t="n">
        <f aca="false">MIN(CADASTRO_CASAS_BOMBA!$O$7,MAX(0,H339+CADASTRO_CASAS_BOMBA!$I$7*HORAS_CAPTACAO_DIA-G340))</f>
        <v>76648</v>
      </c>
      <c r="I340" s="16" t="n">
        <f aca="false">MAX(0,G340-CADASTRO_CASAS_BOMBA!$I$7*HORAS_CAPTACAO_DIA-H339)</f>
        <v>0</v>
      </c>
      <c r="J340" s="16" t="n">
        <f aca="false">INDEX(AUX_MATRIZES!$C$10:$BP$10,MIN(N_SEMANAS,MAX(1,$C340)))/DIAS_POR_SEMANA</f>
        <v>8264.2001938006</v>
      </c>
      <c r="K340" s="16" t="n">
        <f aca="false">MIN(CADASTRO_CASAS_BOMBA!$O$8,MAX(0,K339+CADASTRO_CASAS_BOMBA!$I$8*HORAS_CAPTACAO_DIA-J340))</f>
        <v>27377</v>
      </c>
      <c r="L340" s="16" t="n">
        <f aca="false">MAX(0,J340-CADASTRO_CASAS_BOMBA!$I$8*HORAS_CAPTACAO_DIA-K339)</f>
        <v>0</v>
      </c>
      <c r="M340" s="16" t="n">
        <f aca="false">INDEX(AUX_MATRIZES!$C$11:$BP$11,MIN(N_SEMANAS,MAX(1,$C340)))/DIAS_POR_SEMANA</f>
        <v>7900.77051596023</v>
      </c>
      <c r="N340" s="16" t="n">
        <f aca="false">MIN(CADASTRO_CASAS_BOMBA!$O$9,MAX(0,N339+CADASTRO_CASAS_BOMBA!$I$9*HORAS_CAPTACAO_DIA-M340))</f>
        <v>129000</v>
      </c>
      <c r="O340" s="16" t="n">
        <f aca="false">MAX(0,M340-CADASTRO_CASAS_BOMBA!$I$9*HORAS_CAPTACAO_DIA-N339)</f>
        <v>0</v>
      </c>
      <c r="P340" s="16" t="n">
        <f aca="false">INDEX(AUX_MATRIZES!$C$12:$BP$12,MIN(N_SEMANAS,MAX(1,$C340)))/DIAS_POR_SEMANA</f>
        <v>18332.5895195595</v>
      </c>
      <c r="Q340" s="16" t="n">
        <f aca="false">MIN(CADASTRO_CASAS_BOMBA!$O$10,MAX(0,Q339+CADASTRO_CASAS_BOMBA!$I$10*HORAS_CAPTACAO_DIA-P340))</f>
        <v>692102.503793937</v>
      </c>
      <c r="R340" s="16" t="n">
        <f aca="false">MAX(0,P340-CADASTRO_CASAS_BOMBA!$I$10*HORAS_CAPTACAO_DIA-Q339)</f>
        <v>0</v>
      </c>
      <c r="S340" s="16" t="n">
        <f aca="false">INDEX(AUX_MATRIZES!$C$13:$BP$13,MIN(N_SEMANAS,MAX(1,$C340)))/DIAS_POR_SEMANA</f>
        <v>20737.7290420168</v>
      </c>
      <c r="T340" s="16" t="n">
        <f aca="false">MIN(CADASTRO_CASAS_BOMBA!$O$11,MAX(0,T339+CADASTRO_CASAS_BOMBA!$I$11*HORAS_CAPTACAO_DIA-S340))</f>
        <v>215724.195439206</v>
      </c>
      <c r="U340" s="16" t="n">
        <f aca="false">MAX(0,S340-CADASTRO_CASAS_BOMBA!$I$11*HORAS_CAPTACAO_DIA-T339)</f>
        <v>0</v>
      </c>
      <c r="V340" s="16" t="n">
        <f aca="false">INDEX(AUX_MATRIZES!$C$14:$BP$14,MIN(N_SEMANAS,MAX(1,$C340)))/DIAS_POR_SEMANA</f>
        <v>30846.4907720146</v>
      </c>
      <c r="W340" s="16" t="n">
        <f aca="false">MIN(CADASTRO_CASAS_BOMBA!$O$12,MAX(0,W339+CADASTRO_CASAS_BOMBA!$I$12*HORAS_CAPTACAO_DIA-V340))</f>
        <v>0</v>
      </c>
      <c r="X340" s="16" t="n">
        <f aca="false">MAX(0,V340-CADASTRO_CASAS_BOMBA!$I$12*HORAS_CAPTACAO_DIA-W339)</f>
        <v>5466.49077201455</v>
      </c>
      <c r="Y340" s="16" t="n">
        <f aca="false">INDEX(AUX_MATRIZES!$C$15:$BP$15,MIN(N_SEMANAS,MAX(1,$C340)))/DIAS_POR_SEMANA</f>
        <v>0</v>
      </c>
      <c r="Z340" s="16" t="n">
        <f aca="false">MIN(CADASTRO_CASAS_BOMBA!$O$13,MAX(0,Z339+CADASTRO_CASAS_BOMBA!$I$13*HORAS_CAPTACAO_DIA-Y340))</f>
        <v>74903</v>
      </c>
      <c r="AA340" s="16" t="n">
        <f aca="false">MAX(0,Y340-CADASTRO_CASAS_BOMBA!$I$13*HORAS_CAPTACAO_DIA-Z339)</f>
        <v>0</v>
      </c>
    </row>
    <row r="341" customFormat="false" ht="15" hidden="false" customHeight="false" outlineLevel="0" collapsed="false">
      <c r="B341" s="17" t="n">
        <f aca="false">DATA_INICIO_SAFRA+334</f>
        <v>46599</v>
      </c>
      <c r="C341" s="16" t="n">
        <f aca="false">MIN(N_SEMANAS,MAX(1,INT(($B341-DATA_INICIO_SAFRA)/DIAS_POR_SEMANA)+1))</f>
        <v>48</v>
      </c>
      <c r="D341" s="16" t="n">
        <f aca="false">INDEX(AUX_MATRIZES!$C$8:$BP$8,MIN(N_SEMANAS,MAX(1,$C341)))/DIAS_POR_SEMANA</f>
        <v>4004.6737523317</v>
      </c>
      <c r="E341" s="16" t="n">
        <f aca="false">MIN(CADASTRO_CASAS_BOMBA!$O$6,MAX(0,E340+CADASTRO_CASAS_BOMBA!$I$6*HORAS_CAPTACAO_DIA-D341))</f>
        <v>2600</v>
      </c>
      <c r="F341" s="16" t="n">
        <f aca="false">MAX(0,D341-CADASTRO_CASAS_BOMBA!$I$6*HORAS_CAPTACAO_DIA-E340)</f>
        <v>0</v>
      </c>
      <c r="G341" s="16" t="n">
        <f aca="false">INDEX(AUX_MATRIZES!$C$9:$BP$9,MIN(N_SEMANAS,MAX(1,$C341)))/DIAS_POR_SEMANA</f>
        <v>3426.03341176471</v>
      </c>
      <c r="H341" s="16" t="n">
        <f aca="false">MIN(CADASTRO_CASAS_BOMBA!$O$7,MAX(0,H340+CADASTRO_CASAS_BOMBA!$I$7*HORAS_CAPTACAO_DIA-G341))</f>
        <v>76648</v>
      </c>
      <c r="I341" s="16" t="n">
        <f aca="false">MAX(0,G341-CADASTRO_CASAS_BOMBA!$I$7*HORAS_CAPTACAO_DIA-H340)</f>
        <v>0</v>
      </c>
      <c r="J341" s="16" t="n">
        <f aca="false">INDEX(AUX_MATRIZES!$C$10:$BP$10,MIN(N_SEMANAS,MAX(1,$C341)))/DIAS_POR_SEMANA</f>
        <v>8264.2001938006</v>
      </c>
      <c r="K341" s="16" t="n">
        <f aca="false">MIN(CADASTRO_CASAS_BOMBA!$O$8,MAX(0,K340+CADASTRO_CASAS_BOMBA!$I$8*HORAS_CAPTACAO_DIA-J341))</f>
        <v>27377</v>
      </c>
      <c r="L341" s="16" t="n">
        <f aca="false">MAX(0,J341-CADASTRO_CASAS_BOMBA!$I$8*HORAS_CAPTACAO_DIA-K340)</f>
        <v>0</v>
      </c>
      <c r="M341" s="16" t="n">
        <f aca="false">INDEX(AUX_MATRIZES!$C$11:$BP$11,MIN(N_SEMANAS,MAX(1,$C341)))/DIAS_POR_SEMANA</f>
        <v>7900.77051596023</v>
      </c>
      <c r="N341" s="16" t="n">
        <f aca="false">MIN(CADASTRO_CASAS_BOMBA!$O$9,MAX(0,N340+CADASTRO_CASAS_BOMBA!$I$9*HORAS_CAPTACAO_DIA-M341))</f>
        <v>129000</v>
      </c>
      <c r="O341" s="16" t="n">
        <f aca="false">MAX(0,M341-CADASTRO_CASAS_BOMBA!$I$9*HORAS_CAPTACAO_DIA-N340)</f>
        <v>0</v>
      </c>
      <c r="P341" s="16" t="n">
        <f aca="false">INDEX(AUX_MATRIZES!$C$12:$BP$12,MIN(N_SEMANAS,MAX(1,$C341)))/DIAS_POR_SEMANA</f>
        <v>18332.5895195595</v>
      </c>
      <c r="Q341" s="16" t="n">
        <f aca="false">MIN(CADASTRO_CASAS_BOMBA!$O$10,MAX(0,Q340+CADASTRO_CASAS_BOMBA!$I$10*HORAS_CAPTACAO_DIA-P341))</f>
        <v>686852.314274377</v>
      </c>
      <c r="R341" s="16" t="n">
        <f aca="false">MAX(0,P341-CADASTRO_CASAS_BOMBA!$I$10*HORAS_CAPTACAO_DIA-Q340)</f>
        <v>0</v>
      </c>
      <c r="S341" s="16" t="n">
        <f aca="false">INDEX(AUX_MATRIZES!$C$13:$BP$13,MIN(N_SEMANAS,MAX(1,$C341)))/DIAS_POR_SEMANA</f>
        <v>20737.7290420168</v>
      </c>
      <c r="T341" s="16" t="n">
        <f aca="false">MIN(CADASTRO_CASAS_BOMBA!$O$11,MAX(0,T340+CADASTRO_CASAS_BOMBA!$I$11*HORAS_CAPTACAO_DIA-S341))</f>
        <v>216406.466397189</v>
      </c>
      <c r="U341" s="16" t="n">
        <f aca="false">MAX(0,S341-CADASTRO_CASAS_BOMBA!$I$11*HORAS_CAPTACAO_DIA-T340)</f>
        <v>0</v>
      </c>
      <c r="V341" s="16" t="n">
        <f aca="false">INDEX(AUX_MATRIZES!$C$14:$BP$14,MIN(N_SEMANAS,MAX(1,$C341)))/DIAS_POR_SEMANA</f>
        <v>30846.4907720146</v>
      </c>
      <c r="W341" s="16" t="n">
        <f aca="false">MIN(CADASTRO_CASAS_BOMBA!$O$12,MAX(0,W340+CADASTRO_CASAS_BOMBA!$I$12*HORAS_CAPTACAO_DIA-V341))</f>
        <v>0</v>
      </c>
      <c r="X341" s="16" t="n">
        <f aca="false">MAX(0,V341-CADASTRO_CASAS_BOMBA!$I$12*HORAS_CAPTACAO_DIA-W340)</f>
        <v>5466.49077201455</v>
      </c>
      <c r="Y341" s="16" t="n">
        <f aca="false">INDEX(AUX_MATRIZES!$C$15:$BP$15,MIN(N_SEMANAS,MAX(1,$C341)))/DIAS_POR_SEMANA</f>
        <v>0</v>
      </c>
      <c r="Z341" s="16" t="n">
        <f aca="false">MIN(CADASTRO_CASAS_BOMBA!$O$13,MAX(0,Z340+CADASTRO_CASAS_BOMBA!$I$13*HORAS_CAPTACAO_DIA-Y341))</f>
        <v>74903</v>
      </c>
      <c r="AA341" s="16" t="n">
        <f aca="false">MAX(0,Y341-CADASTRO_CASAS_BOMBA!$I$13*HORAS_CAPTACAO_DIA-Z340)</f>
        <v>0</v>
      </c>
    </row>
    <row r="342" customFormat="false" ht="15" hidden="false" customHeight="false" outlineLevel="0" collapsed="false">
      <c r="B342" s="17" t="n">
        <f aca="false">DATA_INICIO_SAFRA+335</f>
        <v>46600</v>
      </c>
      <c r="C342" s="16" t="n">
        <f aca="false">MIN(N_SEMANAS,MAX(1,INT(($B342-DATA_INICIO_SAFRA)/DIAS_POR_SEMANA)+1))</f>
        <v>48</v>
      </c>
      <c r="D342" s="16" t="n">
        <f aca="false">INDEX(AUX_MATRIZES!$C$8:$BP$8,MIN(N_SEMANAS,MAX(1,$C342)))/DIAS_POR_SEMANA</f>
        <v>4004.6737523317</v>
      </c>
      <c r="E342" s="16" t="n">
        <f aca="false">MIN(CADASTRO_CASAS_BOMBA!$O$6,MAX(0,E341+CADASTRO_CASAS_BOMBA!$I$6*HORAS_CAPTACAO_DIA-D342))</f>
        <v>2600</v>
      </c>
      <c r="F342" s="16" t="n">
        <f aca="false">MAX(0,D342-CADASTRO_CASAS_BOMBA!$I$6*HORAS_CAPTACAO_DIA-E341)</f>
        <v>0</v>
      </c>
      <c r="G342" s="16" t="n">
        <f aca="false">INDEX(AUX_MATRIZES!$C$9:$BP$9,MIN(N_SEMANAS,MAX(1,$C342)))/DIAS_POR_SEMANA</f>
        <v>3426.03341176471</v>
      </c>
      <c r="H342" s="16" t="n">
        <f aca="false">MIN(CADASTRO_CASAS_BOMBA!$O$7,MAX(0,H341+CADASTRO_CASAS_BOMBA!$I$7*HORAS_CAPTACAO_DIA-G342))</f>
        <v>76648</v>
      </c>
      <c r="I342" s="16" t="n">
        <f aca="false">MAX(0,G342-CADASTRO_CASAS_BOMBA!$I$7*HORAS_CAPTACAO_DIA-H341)</f>
        <v>0</v>
      </c>
      <c r="J342" s="16" t="n">
        <f aca="false">INDEX(AUX_MATRIZES!$C$10:$BP$10,MIN(N_SEMANAS,MAX(1,$C342)))/DIAS_POR_SEMANA</f>
        <v>8264.2001938006</v>
      </c>
      <c r="K342" s="16" t="n">
        <f aca="false">MIN(CADASTRO_CASAS_BOMBA!$O$8,MAX(0,K341+CADASTRO_CASAS_BOMBA!$I$8*HORAS_CAPTACAO_DIA-J342))</f>
        <v>27377</v>
      </c>
      <c r="L342" s="16" t="n">
        <f aca="false">MAX(0,J342-CADASTRO_CASAS_BOMBA!$I$8*HORAS_CAPTACAO_DIA-K341)</f>
        <v>0</v>
      </c>
      <c r="M342" s="16" t="n">
        <f aca="false">INDEX(AUX_MATRIZES!$C$11:$BP$11,MIN(N_SEMANAS,MAX(1,$C342)))/DIAS_POR_SEMANA</f>
        <v>7900.77051596023</v>
      </c>
      <c r="N342" s="16" t="n">
        <f aca="false">MIN(CADASTRO_CASAS_BOMBA!$O$9,MAX(0,N341+CADASTRO_CASAS_BOMBA!$I$9*HORAS_CAPTACAO_DIA-M342))</f>
        <v>129000</v>
      </c>
      <c r="O342" s="16" t="n">
        <f aca="false">MAX(0,M342-CADASTRO_CASAS_BOMBA!$I$9*HORAS_CAPTACAO_DIA-N341)</f>
        <v>0</v>
      </c>
      <c r="P342" s="16" t="n">
        <f aca="false">INDEX(AUX_MATRIZES!$C$12:$BP$12,MIN(N_SEMANAS,MAX(1,$C342)))/DIAS_POR_SEMANA</f>
        <v>18332.5895195595</v>
      </c>
      <c r="Q342" s="16" t="n">
        <f aca="false">MIN(CADASTRO_CASAS_BOMBA!$O$10,MAX(0,Q341+CADASTRO_CASAS_BOMBA!$I$10*HORAS_CAPTACAO_DIA-P342))</f>
        <v>681602.124754818</v>
      </c>
      <c r="R342" s="16" t="n">
        <f aca="false">MAX(0,P342-CADASTRO_CASAS_BOMBA!$I$10*HORAS_CAPTACAO_DIA-Q341)</f>
        <v>0</v>
      </c>
      <c r="S342" s="16" t="n">
        <f aca="false">INDEX(AUX_MATRIZES!$C$13:$BP$13,MIN(N_SEMANAS,MAX(1,$C342)))/DIAS_POR_SEMANA</f>
        <v>20737.7290420168</v>
      </c>
      <c r="T342" s="16" t="n">
        <f aca="false">MIN(CADASTRO_CASAS_BOMBA!$O$11,MAX(0,T341+CADASTRO_CASAS_BOMBA!$I$11*HORAS_CAPTACAO_DIA-S342))</f>
        <v>217088.737355173</v>
      </c>
      <c r="U342" s="16" t="n">
        <f aca="false">MAX(0,S342-CADASTRO_CASAS_BOMBA!$I$11*HORAS_CAPTACAO_DIA-T341)</f>
        <v>0</v>
      </c>
      <c r="V342" s="16" t="n">
        <f aca="false">INDEX(AUX_MATRIZES!$C$14:$BP$14,MIN(N_SEMANAS,MAX(1,$C342)))/DIAS_POR_SEMANA</f>
        <v>30846.4907720146</v>
      </c>
      <c r="W342" s="16" t="n">
        <f aca="false">MIN(CADASTRO_CASAS_BOMBA!$O$12,MAX(0,W341+CADASTRO_CASAS_BOMBA!$I$12*HORAS_CAPTACAO_DIA-V342))</f>
        <v>0</v>
      </c>
      <c r="X342" s="16" t="n">
        <f aca="false">MAX(0,V342-CADASTRO_CASAS_BOMBA!$I$12*HORAS_CAPTACAO_DIA-W341)</f>
        <v>5466.49077201455</v>
      </c>
      <c r="Y342" s="16" t="n">
        <f aca="false">INDEX(AUX_MATRIZES!$C$15:$BP$15,MIN(N_SEMANAS,MAX(1,$C342)))/DIAS_POR_SEMANA</f>
        <v>0</v>
      </c>
      <c r="Z342" s="16" t="n">
        <f aca="false">MIN(CADASTRO_CASAS_BOMBA!$O$13,MAX(0,Z341+CADASTRO_CASAS_BOMBA!$I$13*HORAS_CAPTACAO_DIA-Y342))</f>
        <v>74903</v>
      </c>
      <c r="AA342" s="16" t="n">
        <f aca="false">MAX(0,Y342-CADASTRO_CASAS_BOMBA!$I$13*HORAS_CAPTACAO_DIA-Z341)</f>
        <v>0</v>
      </c>
    </row>
    <row r="343" customFormat="false" ht="15" hidden="false" customHeight="false" outlineLevel="0" collapsed="false">
      <c r="B343" s="17" t="n">
        <f aca="false">DATA_INICIO_SAFRA+336</f>
        <v>46601</v>
      </c>
      <c r="C343" s="16" t="n">
        <f aca="false">MIN(N_SEMANAS,MAX(1,INT(($B343-DATA_INICIO_SAFRA)/DIAS_POR_SEMANA)+1))</f>
        <v>49</v>
      </c>
      <c r="D343" s="16" t="n">
        <f aca="false">INDEX(AUX_MATRIZES!$C$8:$BP$8,MIN(N_SEMANAS,MAX(1,$C343)))/DIAS_POR_SEMANA</f>
        <v>4248.09351260504</v>
      </c>
      <c r="E343" s="16" t="n">
        <f aca="false">MIN(CADASTRO_CASAS_BOMBA!$O$6,MAX(0,E342+CADASTRO_CASAS_BOMBA!$I$6*HORAS_CAPTACAO_DIA-D343))</f>
        <v>2600</v>
      </c>
      <c r="F343" s="16" t="n">
        <f aca="false">MAX(0,D343-CADASTRO_CASAS_BOMBA!$I$6*HORAS_CAPTACAO_DIA-E342)</f>
        <v>0</v>
      </c>
      <c r="G343" s="16" t="n">
        <f aca="false">INDEX(AUX_MATRIZES!$C$9:$BP$9,MIN(N_SEMANAS,MAX(1,$C343)))/DIAS_POR_SEMANA</f>
        <v>0</v>
      </c>
      <c r="H343" s="16" t="n">
        <f aca="false">MIN(CADASTRO_CASAS_BOMBA!$O$7,MAX(0,H342+CADASTRO_CASAS_BOMBA!$I$7*HORAS_CAPTACAO_DIA-G343))</f>
        <v>76648</v>
      </c>
      <c r="I343" s="16" t="n">
        <f aca="false">MAX(0,G343-CADASTRO_CASAS_BOMBA!$I$7*HORAS_CAPTACAO_DIA-H342)</f>
        <v>0</v>
      </c>
      <c r="J343" s="16" t="n">
        <f aca="false">INDEX(AUX_MATRIZES!$C$10:$BP$10,MIN(N_SEMANAS,MAX(1,$C343)))/DIAS_POR_SEMANA</f>
        <v>8790.07448739496</v>
      </c>
      <c r="K343" s="16" t="n">
        <f aca="false">MIN(CADASTRO_CASAS_BOMBA!$O$8,MAX(0,K342+CADASTRO_CASAS_BOMBA!$I$8*HORAS_CAPTACAO_DIA-J343))</f>
        <v>27377</v>
      </c>
      <c r="L343" s="16" t="n">
        <f aca="false">MAX(0,J343-CADASTRO_CASAS_BOMBA!$I$8*HORAS_CAPTACAO_DIA-K342)</f>
        <v>0</v>
      </c>
      <c r="M343" s="16" t="n">
        <f aca="false">INDEX(AUX_MATRIZES!$C$11:$BP$11,MIN(N_SEMANAS,MAX(1,$C343)))/DIAS_POR_SEMANA</f>
        <v>4753.2324929972</v>
      </c>
      <c r="N343" s="16" t="n">
        <f aca="false">MIN(CADASTRO_CASAS_BOMBA!$O$9,MAX(0,N342+CADASTRO_CASAS_BOMBA!$I$9*HORAS_CAPTACAO_DIA-M343))</f>
        <v>129000</v>
      </c>
      <c r="O343" s="16" t="n">
        <f aca="false">MAX(0,M343-CADASTRO_CASAS_BOMBA!$I$9*HORAS_CAPTACAO_DIA-N342)</f>
        <v>0</v>
      </c>
      <c r="P343" s="16" t="n">
        <f aca="false">INDEX(AUX_MATRIZES!$C$12:$BP$12,MIN(N_SEMANAS,MAX(1,$C343)))/DIAS_POR_SEMANA</f>
        <v>26055.4752129817</v>
      </c>
      <c r="Q343" s="16" t="n">
        <f aca="false">MIN(CADASTRO_CASAS_BOMBA!$O$10,MAX(0,Q342+CADASTRO_CASAS_BOMBA!$I$10*HORAS_CAPTACAO_DIA-P343))</f>
        <v>668629.049541836</v>
      </c>
      <c r="R343" s="16" t="n">
        <f aca="false">MAX(0,P343-CADASTRO_CASAS_BOMBA!$I$10*HORAS_CAPTACAO_DIA-Q342)</f>
        <v>0</v>
      </c>
      <c r="S343" s="16" t="n">
        <f aca="false">INDEX(AUX_MATRIZES!$C$13:$BP$13,MIN(N_SEMANAS,MAX(1,$C343)))/DIAS_POR_SEMANA</f>
        <v>26521.6324627451</v>
      </c>
      <c r="T343" s="16" t="n">
        <f aca="false">MIN(CADASTRO_CASAS_BOMBA!$O$11,MAX(0,T342+CADASTRO_CASAS_BOMBA!$I$11*HORAS_CAPTACAO_DIA-S343))</f>
        <v>211987.104892427</v>
      </c>
      <c r="U343" s="16" t="n">
        <f aca="false">MAX(0,S343-CADASTRO_CASAS_BOMBA!$I$11*HORAS_CAPTACAO_DIA-T342)</f>
        <v>0</v>
      </c>
      <c r="V343" s="16" t="n">
        <f aca="false">INDEX(AUX_MATRIZES!$C$14:$BP$14,MIN(N_SEMANAS,MAX(1,$C343)))/DIAS_POR_SEMANA</f>
        <v>31850.4342396214</v>
      </c>
      <c r="W343" s="16" t="n">
        <f aca="false">MIN(CADASTRO_CASAS_BOMBA!$O$12,MAX(0,W342+CADASTRO_CASAS_BOMBA!$I$12*HORAS_CAPTACAO_DIA-V343))</f>
        <v>0</v>
      </c>
      <c r="X343" s="16" t="n">
        <f aca="false">MAX(0,V343-CADASTRO_CASAS_BOMBA!$I$12*HORAS_CAPTACAO_DIA-W342)</f>
        <v>6470.43423962137</v>
      </c>
      <c r="Y343" s="16" t="n">
        <f aca="false">INDEX(AUX_MATRIZES!$C$15:$BP$15,MIN(N_SEMANAS,MAX(1,$C343)))/DIAS_POR_SEMANA</f>
        <v>0</v>
      </c>
      <c r="Z343" s="16" t="n">
        <f aca="false">MIN(CADASTRO_CASAS_BOMBA!$O$13,MAX(0,Z342+CADASTRO_CASAS_BOMBA!$I$13*HORAS_CAPTACAO_DIA-Y343))</f>
        <v>74903</v>
      </c>
      <c r="AA343" s="16" t="n">
        <f aca="false">MAX(0,Y343-CADASTRO_CASAS_BOMBA!$I$13*HORAS_CAPTACAO_DIA-Z342)</f>
        <v>0</v>
      </c>
    </row>
    <row r="344" customFormat="false" ht="15" hidden="false" customHeight="false" outlineLevel="0" collapsed="false">
      <c r="B344" s="17" t="n">
        <f aca="false">DATA_INICIO_SAFRA+337</f>
        <v>46602</v>
      </c>
      <c r="C344" s="16" t="n">
        <f aca="false">MIN(N_SEMANAS,MAX(1,INT(($B344-DATA_INICIO_SAFRA)/DIAS_POR_SEMANA)+1))</f>
        <v>49</v>
      </c>
      <c r="D344" s="16" t="n">
        <f aca="false">INDEX(AUX_MATRIZES!$C$8:$BP$8,MIN(N_SEMANAS,MAX(1,$C344)))/DIAS_POR_SEMANA</f>
        <v>4248.09351260504</v>
      </c>
      <c r="E344" s="16" t="n">
        <f aca="false">MIN(CADASTRO_CASAS_BOMBA!$O$6,MAX(0,E343+CADASTRO_CASAS_BOMBA!$I$6*HORAS_CAPTACAO_DIA-D344))</f>
        <v>2600</v>
      </c>
      <c r="F344" s="16" t="n">
        <f aca="false">MAX(0,D344-CADASTRO_CASAS_BOMBA!$I$6*HORAS_CAPTACAO_DIA-E343)</f>
        <v>0</v>
      </c>
      <c r="G344" s="16" t="n">
        <f aca="false">INDEX(AUX_MATRIZES!$C$9:$BP$9,MIN(N_SEMANAS,MAX(1,$C344)))/DIAS_POR_SEMANA</f>
        <v>0</v>
      </c>
      <c r="H344" s="16" t="n">
        <f aca="false">MIN(CADASTRO_CASAS_BOMBA!$O$7,MAX(0,H343+CADASTRO_CASAS_BOMBA!$I$7*HORAS_CAPTACAO_DIA-G344))</f>
        <v>76648</v>
      </c>
      <c r="I344" s="16" t="n">
        <f aca="false">MAX(0,G344-CADASTRO_CASAS_BOMBA!$I$7*HORAS_CAPTACAO_DIA-H343)</f>
        <v>0</v>
      </c>
      <c r="J344" s="16" t="n">
        <f aca="false">INDEX(AUX_MATRIZES!$C$10:$BP$10,MIN(N_SEMANAS,MAX(1,$C344)))/DIAS_POR_SEMANA</f>
        <v>8790.07448739496</v>
      </c>
      <c r="K344" s="16" t="n">
        <f aca="false">MIN(CADASTRO_CASAS_BOMBA!$O$8,MAX(0,K343+CADASTRO_CASAS_BOMBA!$I$8*HORAS_CAPTACAO_DIA-J344))</f>
        <v>27377</v>
      </c>
      <c r="L344" s="16" t="n">
        <f aca="false">MAX(0,J344-CADASTRO_CASAS_BOMBA!$I$8*HORAS_CAPTACAO_DIA-K343)</f>
        <v>0</v>
      </c>
      <c r="M344" s="16" t="n">
        <f aca="false">INDEX(AUX_MATRIZES!$C$11:$BP$11,MIN(N_SEMANAS,MAX(1,$C344)))/DIAS_POR_SEMANA</f>
        <v>4753.2324929972</v>
      </c>
      <c r="N344" s="16" t="n">
        <f aca="false">MIN(CADASTRO_CASAS_BOMBA!$O$9,MAX(0,N343+CADASTRO_CASAS_BOMBA!$I$9*HORAS_CAPTACAO_DIA-M344))</f>
        <v>129000</v>
      </c>
      <c r="O344" s="16" t="n">
        <f aca="false">MAX(0,M344-CADASTRO_CASAS_BOMBA!$I$9*HORAS_CAPTACAO_DIA-N343)</f>
        <v>0</v>
      </c>
      <c r="P344" s="16" t="n">
        <f aca="false">INDEX(AUX_MATRIZES!$C$12:$BP$12,MIN(N_SEMANAS,MAX(1,$C344)))/DIAS_POR_SEMANA</f>
        <v>26055.4752129817</v>
      </c>
      <c r="Q344" s="16" t="n">
        <f aca="false">MIN(CADASTRO_CASAS_BOMBA!$O$10,MAX(0,Q343+CADASTRO_CASAS_BOMBA!$I$10*HORAS_CAPTACAO_DIA-P344))</f>
        <v>655655.974328854</v>
      </c>
      <c r="R344" s="16" t="n">
        <f aca="false">MAX(0,P344-CADASTRO_CASAS_BOMBA!$I$10*HORAS_CAPTACAO_DIA-Q343)</f>
        <v>0</v>
      </c>
      <c r="S344" s="16" t="n">
        <f aca="false">INDEX(AUX_MATRIZES!$C$13:$BP$13,MIN(N_SEMANAS,MAX(1,$C344)))/DIAS_POR_SEMANA</f>
        <v>26521.6324627451</v>
      </c>
      <c r="T344" s="16" t="n">
        <f aca="false">MIN(CADASTRO_CASAS_BOMBA!$O$11,MAX(0,T343+CADASTRO_CASAS_BOMBA!$I$11*HORAS_CAPTACAO_DIA-S344))</f>
        <v>206885.472429682</v>
      </c>
      <c r="U344" s="16" t="n">
        <f aca="false">MAX(0,S344-CADASTRO_CASAS_BOMBA!$I$11*HORAS_CAPTACAO_DIA-T343)</f>
        <v>0</v>
      </c>
      <c r="V344" s="16" t="n">
        <f aca="false">INDEX(AUX_MATRIZES!$C$14:$BP$14,MIN(N_SEMANAS,MAX(1,$C344)))/DIAS_POR_SEMANA</f>
        <v>31850.4342396214</v>
      </c>
      <c r="W344" s="16" t="n">
        <f aca="false">MIN(CADASTRO_CASAS_BOMBA!$O$12,MAX(0,W343+CADASTRO_CASAS_BOMBA!$I$12*HORAS_CAPTACAO_DIA-V344))</f>
        <v>0</v>
      </c>
      <c r="X344" s="16" t="n">
        <f aca="false">MAX(0,V344-CADASTRO_CASAS_BOMBA!$I$12*HORAS_CAPTACAO_DIA-W343)</f>
        <v>6470.43423962137</v>
      </c>
      <c r="Y344" s="16" t="n">
        <f aca="false">INDEX(AUX_MATRIZES!$C$15:$BP$15,MIN(N_SEMANAS,MAX(1,$C344)))/DIAS_POR_SEMANA</f>
        <v>0</v>
      </c>
      <c r="Z344" s="16" t="n">
        <f aca="false">MIN(CADASTRO_CASAS_BOMBA!$O$13,MAX(0,Z343+CADASTRO_CASAS_BOMBA!$I$13*HORAS_CAPTACAO_DIA-Y344))</f>
        <v>74903</v>
      </c>
      <c r="AA344" s="16" t="n">
        <f aca="false">MAX(0,Y344-CADASTRO_CASAS_BOMBA!$I$13*HORAS_CAPTACAO_DIA-Z343)</f>
        <v>0</v>
      </c>
    </row>
    <row r="345" customFormat="false" ht="15" hidden="false" customHeight="false" outlineLevel="0" collapsed="false">
      <c r="B345" s="17" t="n">
        <f aca="false">DATA_INICIO_SAFRA+338</f>
        <v>46603</v>
      </c>
      <c r="C345" s="16" t="n">
        <f aca="false">MIN(N_SEMANAS,MAX(1,INT(($B345-DATA_INICIO_SAFRA)/DIAS_POR_SEMANA)+1))</f>
        <v>49</v>
      </c>
      <c r="D345" s="16" t="n">
        <f aca="false">INDEX(AUX_MATRIZES!$C$8:$BP$8,MIN(N_SEMANAS,MAX(1,$C345)))/DIAS_POR_SEMANA</f>
        <v>4248.09351260504</v>
      </c>
      <c r="E345" s="16" t="n">
        <f aca="false">MIN(CADASTRO_CASAS_BOMBA!$O$6,MAX(0,E344+CADASTRO_CASAS_BOMBA!$I$6*HORAS_CAPTACAO_DIA-D345))</f>
        <v>2600</v>
      </c>
      <c r="F345" s="16" t="n">
        <f aca="false">MAX(0,D345-CADASTRO_CASAS_BOMBA!$I$6*HORAS_CAPTACAO_DIA-E344)</f>
        <v>0</v>
      </c>
      <c r="G345" s="16" t="n">
        <f aca="false">INDEX(AUX_MATRIZES!$C$9:$BP$9,MIN(N_SEMANAS,MAX(1,$C345)))/DIAS_POR_SEMANA</f>
        <v>0</v>
      </c>
      <c r="H345" s="16" t="n">
        <f aca="false">MIN(CADASTRO_CASAS_BOMBA!$O$7,MAX(0,H344+CADASTRO_CASAS_BOMBA!$I$7*HORAS_CAPTACAO_DIA-G345))</f>
        <v>76648</v>
      </c>
      <c r="I345" s="16" t="n">
        <f aca="false">MAX(0,G345-CADASTRO_CASAS_BOMBA!$I$7*HORAS_CAPTACAO_DIA-H344)</f>
        <v>0</v>
      </c>
      <c r="J345" s="16" t="n">
        <f aca="false">INDEX(AUX_MATRIZES!$C$10:$BP$10,MIN(N_SEMANAS,MAX(1,$C345)))/DIAS_POR_SEMANA</f>
        <v>8790.07448739496</v>
      </c>
      <c r="K345" s="16" t="n">
        <f aca="false">MIN(CADASTRO_CASAS_BOMBA!$O$8,MAX(0,K344+CADASTRO_CASAS_BOMBA!$I$8*HORAS_CAPTACAO_DIA-J345))</f>
        <v>27377</v>
      </c>
      <c r="L345" s="16" t="n">
        <f aca="false">MAX(0,J345-CADASTRO_CASAS_BOMBA!$I$8*HORAS_CAPTACAO_DIA-K344)</f>
        <v>0</v>
      </c>
      <c r="M345" s="16" t="n">
        <f aca="false">INDEX(AUX_MATRIZES!$C$11:$BP$11,MIN(N_SEMANAS,MAX(1,$C345)))/DIAS_POR_SEMANA</f>
        <v>4753.2324929972</v>
      </c>
      <c r="N345" s="16" t="n">
        <f aca="false">MIN(CADASTRO_CASAS_BOMBA!$O$9,MAX(0,N344+CADASTRO_CASAS_BOMBA!$I$9*HORAS_CAPTACAO_DIA-M345))</f>
        <v>129000</v>
      </c>
      <c r="O345" s="16" t="n">
        <f aca="false">MAX(0,M345-CADASTRO_CASAS_BOMBA!$I$9*HORAS_CAPTACAO_DIA-N344)</f>
        <v>0</v>
      </c>
      <c r="P345" s="16" t="n">
        <f aca="false">INDEX(AUX_MATRIZES!$C$12:$BP$12,MIN(N_SEMANAS,MAX(1,$C345)))/DIAS_POR_SEMANA</f>
        <v>26055.4752129817</v>
      </c>
      <c r="Q345" s="16" t="n">
        <f aca="false">MIN(CADASTRO_CASAS_BOMBA!$O$10,MAX(0,Q344+CADASTRO_CASAS_BOMBA!$I$10*HORAS_CAPTACAO_DIA-P345))</f>
        <v>642682.899115873</v>
      </c>
      <c r="R345" s="16" t="n">
        <f aca="false">MAX(0,P345-CADASTRO_CASAS_BOMBA!$I$10*HORAS_CAPTACAO_DIA-Q344)</f>
        <v>0</v>
      </c>
      <c r="S345" s="16" t="n">
        <f aca="false">INDEX(AUX_MATRIZES!$C$13:$BP$13,MIN(N_SEMANAS,MAX(1,$C345)))/DIAS_POR_SEMANA</f>
        <v>26521.6324627451</v>
      </c>
      <c r="T345" s="16" t="n">
        <f aca="false">MIN(CADASTRO_CASAS_BOMBA!$O$11,MAX(0,T344+CADASTRO_CASAS_BOMBA!$I$11*HORAS_CAPTACAO_DIA-S345))</f>
        <v>201783.839966937</v>
      </c>
      <c r="U345" s="16" t="n">
        <f aca="false">MAX(0,S345-CADASTRO_CASAS_BOMBA!$I$11*HORAS_CAPTACAO_DIA-T344)</f>
        <v>0</v>
      </c>
      <c r="V345" s="16" t="n">
        <f aca="false">INDEX(AUX_MATRIZES!$C$14:$BP$14,MIN(N_SEMANAS,MAX(1,$C345)))/DIAS_POR_SEMANA</f>
        <v>31850.4342396214</v>
      </c>
      <c r="W345" s="16" t="n">
        <f aca="false">MIN(CADASTRO_CASAS_BOMBA!$O$12,MAX(0,W344+CADASTRO_CASAS_BOMBA!$I$12*HORAS_CAPTACAO_DIA-V345))</f>
        <v>0</v>
      </c>
      <c r="X345" s="16" t="n">
        <f aca="false">MAX(0,V345-CADASTRO_CASAS_BOMBA!$I$12*HORAS_CAPTACAO_DIA-W344)</f>
        <v>6470.43423962137</v>
      </c>
      <c r="Y345" s="16" t="n">
        <f aca="false">INDEX(AUX_MATRIZES!$C$15:$BP$15,MIN(N_SEMANAS,MAX(1,$C345)))/DIAS_POR_SEMANA</f>
        <v>0</v>
      </c>
      <c r="Z345" s="16" t="n">
        <f aca="false">MIN(CADASTRO_CASAS_BOMBA!$O$13,MAX(0,Z344+CADASTRO_CASAS_BOMBA!$I$13*HORAS_CAPTACAO_DIA-Y345))</f>
        <v>74903</v>
      </c>
      <c r="AA345" s="16" t="n">
        <f aca="false">MAX(0,Y345-CADASTRO_CASAS_BOMBA!$I$13*HORAS_CAPTACAO_DIA-Z344)</f>
        <v>0</v>
      </c>
    </row>
    <row r="346" customFormat="false" ht="15" hidden="false" customHeight="false" outlineLevel="0" collapsed="false">
      <c r="B346" s="17" t="n">
        <f aca="false">DATA_INICIO_SAFRA+339</f>
        <v>46604</v>
      </c>
      <c r="C346" s="16" t="n">
        <f aca="false">MIN(N_SEMANAS,MAX(1,INT(($B346-DATA_INICIO_SAFRA)/DIAS_POR_SEMANA)+1))</f>
        <v>49</v>
      </c>
      <c r="D346" s="16" t="n">
        <f aca="false">INDEX(AUX_MATRIZES!$C$8:$BP$8,MIN(N_SEMANAS,MAX(1,$C346)))/DIAS_POR_SEMANA</f>
        <v>4248.09351260504</v>
      </c>
      <c r="E346" s="16" t="n">
        <f aca="false">MIN(CADASTRO_CASAS_BOMBA!$O$6,MAX(0,E345+CADASTRO_CASAS_BOMBA!$I$6*HORAS_CAPTACAO_DIA-D346))</f>
        <v>2600</v>
      </c>
      <c r="F346" s="16" t="n">
        <f aca="false">MAX(0,D346-CADASTRO_CASAS_BOMBA!$I$6*HORAS_CAPTACAO_DIA-E345)</f>
        <v>0</v>
      </c>
      <c r="G346" s="16" t="n">
        <f aca="false">INDEX(AUX_MATRIZES!$C$9:$BP$9,MIN(N_SEMANAS,MAX(1,$C346)))/DIAS_POR_SEMANA</f>
        <v>0</v>
      </c>
      <c r="H346" s="16" t="n">
        <f aca="false">MIN(CADASTRO_CASAS_BOMBA!$O$7,MAX(0,H345+CADASTRO_CASAS_BOMBA!$I$7*HORAS_CAPTACAO_DIA-G346))</f>
        <v>76648</v>
      </c>
      <c r="I346" s="16" t="n">
        <f aca="false">MAX(0,G346-CADASTRO_CASAS_BOMBA!$I$7*HORAS_CAPTACAO_DIA-H345)</f>
        <v>0</v>
      </c>
      <c r="J346" s="16" t="n">
        <f aca="false">INDEX(AUX_MATRIZES!$C$10:$BP$10,MIN(N_SEMANAS,MAX(1,$C346)))/DIAS_POR_SEMANA</f>
        <v>8790.07448739496</v>
      </c>
      <c r="K346" s="16" t="n">
        <f aca="false">MIN(CADASTRO_CASAS_BOMBA!$O$8,MAX(0,K345+CADASTRO_CASAS_BOMBA!$I$8*HORAS_CAPTACAO_DIA-J346))</f>
        <v>27377</v>
      </c>
      <c r="L346" s="16" t="n">
        <f aca="false">MAX(0,J346-CADASTRO_CASAS_BOMBA!$I$8*HORAS_CAPTACAO_DIA-K345)</f>
        <v>0</v>
      </c>
      <c r="M346" s="16" t="n">
        <f aca="false">INDEX(AUX_MATRIZES!$C$11:$BP$11,MIN(N_SEMANAS,MAX(1,$C346)))/DIAS_POR_SEMANA</f>
        <v>4753.2324929972</v>
      </c>
      <c r="N346" s="16" t="n">
        <f aca="false">MIN(CADASTRO_CASAS_BOMBA!$O$9,MAX(0,N345+CADASTRO_CASAS_BOMBA!$I$9*HORAS_CAPTACAO_DIA-M346))</f>
        <v>129000</v>
      </c>
      <c r="O346" s="16" t="n">
        <f aca="false">MAX(0,M346-CADASTRO_CASAS_BOMBA!$I$9*HORAS_CAPTACAO_DIA-N345)</f>
        <v>0</v>
      </c>
      <c r="P346" s="16" t="n">
        <f aca="false">INDEX(AUX_MATRIZES!$C$12:$BP$12,MIN(N_SEMANAS,MAX(1,$C346)))/DIAS_POR_SEMANA</f>
        <v>26055.4752129817</v>
      </c>
      <c r="Q346" s="16" t="n">
        <f aca="false">MIN(CADASTRO_CASAS_BOMBA!$O$10,MAX(0,Q345+CADASTRO_CASAS_BOMBA!$I$10*HORAS_CAPTACAO_DIA-P346))</f>
        <v>629709.823902891</v>
      </c>
      <c r="R346" s="16" t="n">
        <f aca="false">MAX(0,P346-CADASTRO_CASAS_BOMBA!$I$10*HORAS_CAPTACAO_DIA-Q345)</f>
        <v>0</v>
      </c>
      <c r="S346" s="16" t="n">
        <f aca="false">INDEX(AUX_MATRIZES!$C$13:$BP$13,MIN(N_SEMANAS,MAX(1,$C346)))/DIAS_POR_SEMANA</f>
        <v>26521.6324627451</v>
      </c>
      <c r="T346" s="16" t="n">
        <f aca="false">MIN(CADASTRO_CASAS_BOMBA!$O$11,MAX(0,T345+CADASTRO_CASAS_BOMBA!$I$11*HORAS_CAPTACAO_DIA-S346))</f>
        <v>196682.207504192</v>
      </c>
      <c r="U346" s="16" t="n">
        <f aca="false">MAX(0,S346-CADASTRO_CASAS_BOMBA!$I$11*HORAS_CAPTACAO_DIA-T345)</f>
        <v>0</v>
      </c>
      <c r="V346" s="16" t="n">
        <f aca="false">INDEX(AUX_MATRIZES!$C$14:$BP$14,MIN(N_SEMANAS,MAX(1,$C346)))/DIAS_POR_SEMANA</f>
        <v>31850.4342396214</v>
      </c>
      <c r="W346" s="16" t="n">
        <f aca="false">MIN(CADASTRO_CASAS_BOMBA!$O$12,MAX(0,W345+CADASTRO_CASAS_BOMBA!$I$12*HORAS_CAPTACAO_DIA-V346))</f>
        <v>0</v>
      </c>
      <c r="X346" s="16" t="n">
        <f aca="false">MAX(0,V346-CADASTRO_CASAS_BOMBA!$I$12*HORAS_CAPTACAO_DIA-W345)</f>
        <v>6470.43423962137</v>
      </c>
      <c r="Y346" s="16" t="n">
        <f aca="false">INDEX(AUX_MATRIZES!$C$15:$BP$15,MIN(N_SEMANAS,MAX(1,$C346)))/DIAS_POR_SEMANA</f>
        <v>0</v>
      </c>
      <c r="Z346" s="16" t="n">
        <f aca="false">MIN(CADASTRO_CASAS_BOMBA!$O$13,MAX(0,Z345+CADASTRO_CASAS_BOMBA!$I$13*HORAS_CAPTACAO_DIA-Y346))</f>
        <v>74903</v>
      </c>
      <c r="AA346" s="16" t="n">
        <f aca="false">MAX(0,Y346-CADASTRO_CASAS_BOMBA!$I$13*HORAS_CAPTACAO_DIA-Z345)</f>
        <v>0</v>
      </c>
    </row>
    <row r="347" customFormat="false" ht="15" hidden="false" customHeight="false" outlineLevel="0" collapsed="false">
      <c r="B347" s="17" t="n">
        <f aca="false">DATA_INICIO_SAFRA+340</f>
        <v>46605</v>
      </c>
      <c r="C347" s="16" t="n">
        <f aca="false">MIN(N_SEMANAS,MAX(1,INT(($B347-DATA_INICIO_SAFRA)/DIAS_POR_SEMANA)+1))</f>
        <v>49</v>
      </c>
      <c r="D347" s="16" t="n">
        <f aca="false">INDEX(AUX_MATRIZES!$C$8:$BP$8,MIN(N_SEMANAS,MAX(1,$C347)))/DIAS_POR_SEMANA</f>
        <v>4248.09351260504</v>
      </c>
      <c r="E347" s="16" t="n">
        <f aca="false">MIN(CADASTRO_CASAS_BOMBA!$O$6,MAX(0,E346+CADASTRO_CASAS_BOMBA!$I$6*HORAS_CAPTACAO_DIA-D347))</f>
        <v>2600</v>
      </c>
      <c r="F347" s="16" t="n">
        <f aca="false">MAX(0,D347-CADASTRO_CASAS_BOMBA!$I$6*HORAS_CAPTACAO_DIA-E346)</f>
        <v>0</v>
      </c>
      <c r="G347" s="16" t="n">
        <f aca="false">INDEX(AUX_MATRIZES!$C$9:$BP$9,MIN(N_SEMANAS,MAX(1,$C347)))/DIAS_POR_SEMANA</f>
        <v>0</v>
      </c>
      <c r="H347" s="16" t="n">
        <f aca="false">MIN(CADASTRO_CASAS_BOMBA!$O$7,MAX(0,H346+CADASTRO_CASAS_BOMBA!$I$7*HORAS_CAPTACAO_DIA-G347))</f>
        <v>76648</v>
      </c>
      <c r="I347" s="16" t="n">
        <f aca="false">MAX(0,G347-CADASTRO_CASAS_BOMBA!$I$7*HORAS_CAPTACAO_DIA-H346)</f>
        <v>0</v>
      </c>
      <c r="J347" s="16" t="n">
        <f aca="false">INDEX(AUX_MATRIZES!$C$10:$BP$10,MIN(N_SEMANAS,MAX(1,$C347)))/DIAS_POR_SEMANA</f>
        <v>8790.07448739496</v>
      </c>
      <c r="K347" s="16" t="n">
        <f aca="false">MIN(CADASTRO_CASAS_BOMBA!$O$8,MAX(0,K346+CADASTRO_CASAS_BOMBA!$I$8*HORAS_CAPTACAO_DIA-J347))</f>
        <v>27377</v>
      </c>
      <c r="L347" s="16" t="n">
        <f aca="false">MAX(0,J347-CADASTRO_CASAS_BOMBA!$I$8*HORAS_CAPTACAO_DIA-K346)</f>
        <v>0</v>
      </c>
      <c r="M347" s="16" t="n">
        <f aca="false">INDEX(AUX_MATRIZES!$C$11:$BP$11,MIN(N_SEMANAS,MAX(1,$C347)))/DIAS_POR_SEMANA</f>
        <v>4753.2324929972</v>
      </c>
      <c r="N347" s="16" t="n">
        <f aca="false">MIN(CADASTRO_CASAS_BOMBA!$O$9,MAX(0,N346+CADASTRO_CASAS_BOMBA!$I$9*HORAS_CAPTACAO_DIA-M347))</f>
        <v>129000</v>
      </c>
      <c r="O347" s="16" t="n">
        <f aca="false">MAX(0,M347-CADASTRO_CASAS_BOMBA!$I$9*HORAS_CAPTACAO_DIA-N346)</f>
        <v>0</v>
      </c>
      <c r="P347" s="16" t="n">
        <f aca="false">INDEX(AUX_MATRIZES!$C$12:$BP$12,MIN(N_SEMANAS,MAX(1,$C347)))/DIAS_POR_SEMANA</f>
        <v>26055.4752129817</v>
      </c>
      <c r="Q347" s="16" t="n">
        <f aca="false">MIN(CADASTRO_CASAS_BOMBA!$O$10,MAX(0,Q346+CADASTRO_CASAS_BOMBA!$I$10*HORAS_CAPTACAO_DIA-P347))</f>
        <v>616736.748689909</v>
      </c>
      <c r="R347" s="16" t="n">
        <f aca="false">MAX(0,P347-CADASTRO_CASAS_BOMBA!$I$10*HORAS_CAPTACAO_DIA-Q346)</f>
        <v>0</v>
      </c>
      <c r="S347" s="16" t="n">
        <f aca="false">INDEX(AUX_MATRIZES!$C$13:$BP$13,MIN(N_SEMANAS,MAX(1,$C347)))/DIAS_POR_SEMANA</f>
        <v>26521.6324627451</v>
      </c>
      <c r="T347" s="16" t="n">
        <f aca="false">MIN(CADASTRO_CASAS_BOMBA!$O$11,MAX(0,T346+CADASTRO_CASAS_BOMBA!$I$11*HORAS_CAPTACAO_DIA-S347))</f>
        <v>191580.575041447</v>
      </c>
      <c r="U347" s="16" t="n">
        <f aca="false">MAX(0,S347-CADASTRO_CASAS_BOMBA!$I$11*HORAS_CAPTACAO_DIA-T346)</f>
        <v>0</v>
      </c>
      <c r="V347" s="16" t="n">
        <f aca="false">INDEX(AUX_MATRIZES!$C$14:$BP$14,MIN(N_SEMANAS,MAX(1,$C347)))/DIAS_POR_SEMANA</f>
        <v>31850.4342396214</v>
      </c>
      <c r="W347" s="16" t="n">
        <f aca="false">MIN(CADASTRO_CASAS_BOMBA!$O$12,MAX(0,W346+CADASTRO_CASAS_BOMBA!$I$12*HORAS_CAPTACAO_DIA-V347))</f>
        <v>0</v>
      </c>
      <c r="X347" s="16" t="n">
        <f aca="false">MAX(0,V347-CADASTRO_CASAS_BOMBA!$I$12*HORAS_CAPTACAO_DIA-W346)</f>
        <v>6470.43423962137</v>
      </c>
      <c r="Y347" s="16" t="n">
        <f aca="false">INDEX(AUX_MATRIZES!$C$15:$BP$15,MIN(N_SEMANAS,MAX(1,$C347)))/DIAS_POR_SEMANA</f>
        <v>0</v>
      </c>
      <c r="Z347" s="16" t="n">
        <f aca="false">MIN(CADASTRO_CASAS_BOMBA!$O$13,MAX(0,Z346+CADASTRO_CASAS_BOMBA!$I$13*HORAS_CAPTACAO_DIA-Y347))</f>
        <v>74903</v>
      </c>
      <c r="AA347" s="16" t="n">
        <f aca="false">MAX(0,Y347-CADASTRO_CASAS_BOMBA!$I$13*HORAS_CAPTACAO_DIA-Z346)</f>
        <v>0</v>
      </c>
    </row>
    <row r="348" customFormat="false" ht="15" hidden="false" customHeight="false" outlineLevel="0" collapsed="false">
      <c r="B348" s="17" t="n">
        <f aca="false">DATA_INICIO_SAFRA+341</f>
        <v>46606</v>
      </c>
      <c r="C348" s="16" t="n">
        <f aca="false">MIN(N_SEMANAS,MAX(1,INT(($B348-DATA_INICIO_SAFRA)/DIAS_POR_SEMANA)+1))</f>
        <v>49</v>
      </c>
      <c r="D348" s="16" t="n">
        <f aca="false">INDEX(AUX_MATRIZES!$C$8:$BP$8,MIN(N_SEMANAS,MAX(1,$C348)))/DIAS_POR_SEMANA</f>
        <v>4248.09351260504</v>
      </c>
      <c r="E348" s="16" t="n">
        <f aca="false">MIN(CADASTRO_CASAS_BOMBA!$O$6,MAX(0,E347+CADASTRO_CASAS_BOMBA!$I$6*HORAS_CAPTACAO_DIA-D348))</f>
        <v>2600</v>
      </c>
      <c r="F348" s="16" t="n">
        <f aca="false">MAX(0,D348-CADASTRO_CASAS_BOMBA!$I$6*HORAS_CAPTACAO_DIA-E347)</f>
        <v>0</v>
      </c>
      <c r="G348" s="16" t="n">
        <f aca="false">INDEX(AUX_MATRIZES!$C$9:$BP$9,MIN(N_SEMANAS,MAX(1,$C348)))/DIAS_POR_SEMANA</f>
        <v>0</v>
      </c>
      <c r="H348" s="16" t="n">
        <f aca="false">MIN(CADASTRO_CASAS_BOMBA!$O$7,MAX(0,H347+CADASTRO_CASAS_BOMBA!$I$7*HORAS_CAPTACAO_DIA-G348))</f>
        <v>76648</v>
      </c>
      <c r="I348" s="16" t="n">
        <f aca="false">MAX(0,G348-CADASTRO_CASAS_BOMBA!$I$7*HORAS_CAPTACAO_DIA-H347)</f>
        <v>0</v>
      </c>
      <c r="J348" s="16" t="n">
        <f aca="false">INDEX(AUX_MATRIZES!$C$10:$BP$10,MIN(N_SEMANAS,MAX(1,$C348)))/DIAS_POR_SEMANA</f>
        <v>8790.07448739496</v>
      </c>
      <c r="K348" s="16" t="n">
        <f aca="false">MIN(CADASTRO_CASAS_BOMBA!$O$8,MAX(0,K347+CADASTRO_CASAS_BOMBA!$I$8*HORAS_CAPTACAO_DIA-J348))</f>
        <v>27377</v>
      </c>
      <c r="L348" s="16" t="n">
        <f aca="false">MAX(0,J348-CADASTRO_CASAS_BOMBA!$I$8*HORAS_CAPTACAO_DIA-K347)</f>
        <v>0</v>
      </c>
      <c r="M348" s="16" t="n">
        <f aca="false">INDEX(AUX_MATRIZES!$C$11:$BP$11,MIN(N_SEMANAS,MAX(1,$C348)))/DIAS_POR_SEMANA</f>
        <v>4753.2324929972</v>
      </c>
      <c r="N348" s="16" t="n">
        <f aca="false">MIN(CADASTRO_CASAS_BOMBA!$O$9,MAX(0,N347+CADASTRO_CASAS_BOMBA!$I$9*HORAS_CAPTACAO_DIA-M348))</f>
        <v>129000</v>
      </c>
      <c r="O348" s="16" t="n">
        <f aca="false">MAX(0,M348-CADASTRO_CASAS_BOMBA!$I$9*HORAS_CAPTACAO_DIA-N347)</f>
        <v>0</v>
      </c>
      <c r="P348" s="16" t="n">
        <f aca="false">INDEX(AUX_MATRIZES!$C$12:$BP$12,MIN(N_SEMANAS,MAX(1,$C348)))/DIAS_POR_SEMANA</f>
        <v>26055.4752129817</v>
      </c>
      <c r="Q348" s="16" t="n">
        <f aca="false">MIN(CADASTRO_CASAS_BOMBA!$O$10,MAX(0,Q347+CADASTRO_CASAS_BOMBA!$I$10*HORAS_CAPTACAO_DIA-P348))</f>
        <v>603763.673476927</v>
      </c>
      <c r="R348" s="16" t="n">
        <f aca="false">MAX(0,P348-CADASTRO_CASAS_BOMBA!$I$10*HORAS_CAPTACAO_DIA-Q347)</f>
        <v>0</v>
      </c>
      <c r="S348" s="16" t="n">
        <f aca="false">INDEX(AUX_MATRIZES!$C$13:$BP$13,MIN(N_SEMANAS,MAX(1,$C348)))/DIAS_POR_SEMANA</f>
        <v>26521.6324627451</v>
      </c>
      <c r="T348" s="16" t="n">
        <f aca="false">MIN(CADASTRO_CASAS_BOMBA!$O$11,MAX(0,T347+CADASTRO_CASAS_BOMBA!$I$11*HORAS_CAPTACAO_DIA-S348))</f>
        <v>186478.942578702</v>
      </c>
      <c r="U348" s="16" t="n">
        <f aca="false">MAX(0,S348-CADASTRO_CASAS_BOMBA!$I$11*HORAS_CAPTACAO_DIA-T347)</f>
        <v>0</v>
      </c>
      <c r="V348" s="16" t="n">
        <f aca="false">INDEX(AUX_MATRIZES!$C$14:$BP$14,MIN(N_SEMANAS,MAX(1,$C348)))/DIAS_POR_SEMANA</f>
        <v>31850.4342396214</v>
      </c>
      <c r="W348" s="16" t="n">
        <f aca="false">MIN(CADASTRO_CASAS_BOMBA!$O$12,MAX(0,W347+CADASTRO_CASAS_BOMBA!$I$12*HORAS_CAPTACAO_DIA-V348))</f>
        <v>0</v>
      </c>
      <c r="X348" s="16" t="n">
        <f aca="false">MAX(0,V348-CADASTRO_CASAS_BOMBA!$I$12*HORAS_CAPTACAO_DIA-W347)</f>
        <v>6470.43423962137</v>
      </c>
      <c r="Y348" s="16" t="n">
        <f aca="false">INDEX(AUX_MATRIZES!$C$15:$BP$15,MIN(N_SEMANAS,MAX(1,$C348)))/DIAS_POR_SEMANA</f>
        <v>0</v>
      </c>
      <c r="Z348" s="16" t="n">
        <f aca="false">MIN(CADASTRO_CASAS_BOMBA!$O$13,MAX(0,Z347+CADASTRO_CASAS_BOMBA!$I$13*HORAS_CAPTACAO_DIA-Y348))</f>
        <v>74903</v>
      </c>
      <c r="AA348" s="16" t="n">
        <f aca="false">MAX(0,Y348-CADASTRO_CASAS_BOMBA!$I$13*HORAS_CAPTACAO_DIA-Z347)</f>
        <v>0</v>
      </c>
    </row>
    <row r="349" customFormat="false" ht="15" hidden="false" customHeight="false" outlineLevel="0" collapsed="false">
      <c r="B349" s="17" t="n">
        <f aca="false">DATA_INICIO_SAFRA+342</f>
        <v>46607</v>
      </c>
      <c r="C349" s="16" t="n">
        <f aca="false">MIN(N_SEMANAS,MAX(1,INT(($B349-DATA_INICIO_SAFRA)/DIAS_POR_SEMANA)+1))</f>
        <v>49</v>
      </c>
      <c r="D349" s="16" t="n">
        <f aca="false">INDEX(AUX_MATRIZES!$C$8:$BP$8,MIN(N_SEMANAS,MAX(1,$C349)))/DIAS_POR_SEMANA</f>
        <v>4248.09351260504</v>
      </c>
      <c r="E349" s="16" t="n">
        <f aca="false">MIN(CADASTRO_CASAS_BOMBA!$O$6,MAX(0,E348+CADASTRO_CASAS_BOMBA!$I$6*HORAS_CAPTACAO_DIA-D349))</f>
        <v>2600</v>
      </c>
      <c r="F349" s="16" t="n">
        <f aca="false">MAX(0,D349-CADASTRO_CASAS_BOMBA!$I$6*HORAS_CAPTACAO_DIA-E348)</f>
        <v>0</v>
      </c>
      <c r="G349" s="16" t="n">
        <f aca="false">INDEX(AUX_MATRIZES!$C$9:$BP$9,MIN(N_SEMANAS,MAX(1,$C349)))/DIAS_POR_SEMANA</f>
        <v>0</v>
      </c>
      <c r="H349" s="16" t="n">
        <f aca="false">MIN(CADASTRO_CASAS_BOMBA!$O$7,MAX(0,H348+CADASTRO_CASAS_BOMBA!$I$7*HORAS_CAPTACAO_DIA-G349))</f>
        <v>76648</v>
      </c>
      <c r="I349" s="16" t="n">
        <f aca="false">MAX(0,G349-CADASTRO_CASAS_BOMBA!$I$7*HORAS_CAPTACAO_DIA-H348)</f>
        <v>0</v>
      </c>
      <c r="J349" s="16" t="n">
        <f aca="false">INDEX(AUX_MATRIZES!$C$10:$BP$10,MIN(N_SEMANAS,MAX(1,$C349)))/DIAS_POR_SEMANA</f>
        <v>8790.07448739496</v>
      </c>
      <c r="K349" s="16" t="n">
        <f aca="false">MIN(CADASTRO_CASAS_BOMBA!$O$8,MAX(0,K348+CADASTRO_CASAS_BOMBA!$I$8*HORAS_CAPTACAO_DIA-J349))</f>
        <v>27377</v>
      </c>
      <c r="L349" s="16" t="n">
        <f aca="false">MAX(0,J349-CADASTRO_CASAS_BOMBA!$I$8*HORAS_CAPTACAO_DIA-K348)</f>
        <v>0</v>
      </c>
      <c r="M349" s="16" t="n">
        <f aca="false">INDEX(AUX_MATRIZES!$C$11:$BP$11,MIN(N_SEMANAS,MAX(1,$C349)))/DIAS_POR_SEMANA</f>
        <v>4753.2324929972</v>
      </c>
      <c r="N349" s="16" t="n">
        <f aca="false">MIN(CADASTRO_CASAS_BOMBA!$O$9,MAX(0,N348+CADASTRO_CASAS_BOMBA!$I$9*HORAS_CAPTACAO_DIA-M349))</f>
        <v>129000</v>
      </c>
      <c r="O349" s="16" t="n">
        <f aca="false">MAX(0,M349-CADASTRO_CASAS_BOMBA!$I$9*HORAS_CAPTACAO_DIA-N348)</f>
        <v>0</v>
      </c>
      <c r="P349" s="16" t="n">
        <f aca="false">INDEX(AUX_MATRIZES!$C$12:$BP$12,MIN(N_SEMANAS,MAX(1,$C349)))/DIAS_POR_SEMANA</f>
        <v>26055.4752129817</v>
      </c>
      <c r="Q349" s="16" t="n">
        <f aca="false">MIN(CADASTRO_CASAS_BOMBA!$O$10,MAX(0,Q348+CADASTRO_CASAS_BOMBA!$I$10*HORAS_CAPTACAO_DIA-P349))</f>
        <v>590790.598263946</v>
      </c>
      <c r="R349" s="16" t="n">
        <f aca="false">MAX(0,P349-CADASTRO_CASAS_BOMBA!$I$10*HORAS_CAPTACAO_DIA-Q348)</f>
        <v>0</v>
      </c>
      <c r="S349" s="16" t="n">
        <f aca="false">INDEX(AUX_MATRIZES!$C$13:$BP$13,MIN(N_SEMANAS,MAX(1,$C349)))/DIAS_POR_SEMANA</f>
        <v>26521.6324627451</v>
      </c>
      <c r="T349" s="16" t="n">
        <f aca="false">MIN(CADASTRO_CASAS_BOMBA!$O$11,MAX(0,T348+CADASTRO_CASAS_BOMBA!$I$11*HORAS_CAPTACAO_DIA-S349))</f>
        <v>181377.310115957</v>
      </c>
      <c r="U349" s="16" t="n">
        <f aca="false">MAX(0,S349-CADASTRO_CASAS_BOMBA!$I$11*HORAS_CAPTACAO_DIA-T348)</f>
        <v>0</v>
      </c>
      <c r="V349" s="16" t="n">
        <f aca="false">INDEX(AUX_MATRIZES!$C$14:$BP$14,MIN(N_SEMANAS,MAX(1,$C349)))/DIAS_POR_SEMANA</f>
        <v>31850.4342396214</v>
      </c>
      <c r="W349" s="16" t="n">
        <f aca="false">MIN(CADASTRO_CASAS_BOMBA!$O$12,MAX(0,W348+CADASTRO_CASAS_BOMBA!$I$12*HORAS_CAPTACAO_DIA-V349))</f>
        <v>0</v>
      </c>
      <c r="X349" s="16" t="n">
        <f aca="false">MAX(0,V349-CADASTRO_CASAS_BOMBA!$I$12*HORAS_CAPTACAO_DIA-W348)</f>
        <v>6470.43423962137</v>
      </c>
      <c r="Y349" s="16" t="n">
        <f aca="false">INDEX(AUX_MATRIZES!$C$15:$BP$15,MIN(N_SEMANAS,MAX(1,$C349)))/DIAS_POR_SEMANA</f>
        <v>0</v>
      </c>
      <c r="Z349" s="16" t="n">
        <f aca="false">MIN(CADASTRO_CASAS_BOMBA!$O$13,MAX(0,Z348+CADASTRO_CASAS_BOMBA!$I$13*HORAS_CAPTACAO_DIA-Y349))</f>
        <v>74903</v>
      </c>
      <c r="AA349" s="16" t="n">
        <f aca="false">MAX(0,Y349-CADASTRO_CASAS_BOMBA!$I$13*HORAS_CAPTACAO_DIA-Z348)</f>
        <v>0</v>
      </c>
    </row>
    <row r="350" customFormat="false" ht="15" hidden="false" customHeight="false" outlineLevel="0" collapsed="false">
      <c r="B350" s="17" t="n">
        <f aca="false">DATA_INICIO_SAFRA+343</f>
        <v>46608</v>
      </c>
      <c r="C350" s="16" t="n">
        <f aca="false">MIN(N_SEMANAS,MAX(1,INT(($B350-DATA_INICIO_SAFRA)/DIAS_POR_SEMANA)+1))</f>
        <v>50</v>
      </c>
      <c r="D350" s="16" t="n">
        <f aca="false">INDEX(AUX_MATRIZES!$C$8:$BP$8,MIN(N_SEMANAS,MAX(1,$C350)))/DIAS_POR_SEMANA</f>
        <v>3824.01115966387</v>
      </c>
      <c r="E350" s="16" t="n">
        <f aca="false">MIN(CADASTRO_CASAS_BOMBA!$O$6,MAX(0,E349+CADASTRO_CASAS_BOMBA!$I$6*HORAS_CAPTACAO_DIA-D350))</f>
        <v>2600</v>
      </c>
      <c r="F350" s="16" t="n">
        <f aca="false">MAX(0,D350-CADASTRO_CASAS_BOMBA!$I$6*HORAS_CAPTACAO_DIA-E349)</f>
        <v>0</v>
      </c>
      <c r="G350" s="16" t="n">
        <f aca="false">INDEX(AUX_MATRIZES!$C$9:$BP$9,MIN(N_SEMANAS,MAX(1,$C350)))/DIAS_POR_SEMANA</f>
        <v>0</v>
      </c>
      <c r="H350" s="16" t="n">
        <f aca="false">MIN(CADASTRO_CASAS_BOMBA!$O$7,MAX(0,H349+CADASTRO_CASAS_BOMBA!$I$7*HORAS_CAPTACAO_DIA-G350))</f>
        <v>76648</v>
      </c>
      <c r="I350" s="16" t="n">
        <f aca="false">MAX(0,G350-CADASTRO_CASAS_BOMBA!$I$7*HORAS_CAPTACAO_DIA-H349)</f>
        <v>0</v>
      </c>
      <c r="J350" s="16" t="n">
        <f aca="false">INDEX(AUX_MATRIZES!$C$10:$BP$10,MIN(N_SEMANAS,MAX(1,$C350)))/DIAS_POR_SEMANA</f>
        <v>7936.90585994398</v>
      </c>
      <c r="K350" s="16" t="n">
        <f aca="false">MIN(CADASTRO_CASAS_BOMBA!$O$8,MAX(0,K349+CADASTRO_CASAS_BOMBA!$I$8*HORAS_CAPTACAO_DIA-J350))</f>
        <v>27377</v>
      </c>
      <c r="L350" s="16" t="n">
        <f aca="false">MAX(0,J350-CADASTRO_CASAS_BOMBA!$I$8*HORAS_CAPTACAO_DIA-K349)</f>
        <v>0</v>
      </c>
      <c r="M350" s="16" t="n">
        <f aca="false">INDEX(AUX_MATRIZES!$C$11:$BP$11,MIN(N_SEMANAS,MAX(1,$C350)))/DIAS_POR_SEMANA</f>
        <v>4278.72268907563</v>
      </c>
      <c r="N350" s="16" t="n">
        <f aca="false">MIN(CADASTRO_CASAS_BOMBA!$O$9,MAX(0,N349+CADASTRO_CASAS_BOMBA!$I$9*HORAS_CAPTACAO_DIA-M350))</f>
        <v>129000</v>
      </c>
      <c r="O350" s="16" t="n">
        <f aca="false">MAX(0,M350-CADASTRO_CASAS_BOMBA!$I$9*HORAS_CAPTACAO_DIA-N349)</f>
        <v>0</v>
      </c>
      <c r="P350" s="16" t="n">
        <f aca="false">INDEX(AUX_MATRIZES!$C$12:$BP$12,MIN(N_SEMANAS,MAX(1,$C350)))/DIAS_POR_SEMANA</f>
        <v>28450.2064681542</v>
      </c>
      <c r="Q350" s="16" t="n">
        <f aca="false">MIN(CADASTRO_CASAS_BOMBA!$O$10,MAX(0,Q349+CADASTRO_CASAS_BOMBA!$I$10*HORAS_CAPTACAO_DIA-P350))</f>
        <v>575422.791795792</v>
      </c>
      <c r="R350" s="16" t="n">
        <f aca="false">MAX(0,P350-CADASTRO_CASAS_BOMBA!$I$10*HORAS_CAPTACAO_DIA-Q349)</f>
        <v>0</v>
      </c>
      <c r="S350" s="16" t="n">
        <f aca="false">INDEX(AUX_MATRIZES!$C$13:$BP$13,MIN(N_SEMANAS,MAX(1,$C350)))/DIAS_POR_SEMANA</f>
        <v>25727.3618352941</v>
      </c>
      <c r="T350" s="16" t="n">
        <f aca="false">MIN(CADASTRO_CASAS_BOMBA!$O$11,MAX(0,T349+CADASTRO_CASAS_BOMBA!$I$11*HORAS_CAPTACAO_DIA-S350))</f>
        <v>177069.948280663</v>
      </c>
      <c r="U350" s="16" t="n">
        <f aca="false">MAX(0,S350-CADASTRO_CASAS_BOMBA!$I$11*HORAS_CAPTACAO_DIA-T349)</f>
        <v>0</v>
      </c>
      <c r="V350" s="16" t="n">
        <f aca="false">INDEX(AUX_MATRIZES!$C$14:$BP$14,MIN(N_SEMANAS,MAX(1,$C350)))/DIAS_POR_SEMANA</f>
        <v>30396.9077645256</v>
      </c>
      <c r="W350" s="16" t="n">
        <f aca="false">MIN(CADASTRO_CASAS_BOMBA!$O$12,MAX(0,W349+CADASTRO_CASAS_BOMBA!$I$12*HORAS_CAPTACAO_DIA-V350))</f>
        <v>0</v>
      </c>
      <c r="X350" s="16" t="n">
        <f aca="false">MAX(0,V350-CADASTRO_CASAS_BOMBA!$I$12*HORAS_CAPTACAO_DIA-W349)</f>
        <v>5016.90776452558</v>
      </c>
      <c r="Y350" s="16" t="n">
        <f aca="false">INDEX(AUX_MATRIZES!$C$15:$BP$15,MIN(N_SEMANAS,MAX(1,$C350)))/DIAS_POR_SEMANA</f>
        <v>0</v>
      </c>
      <c r="Z350" s="16" t="n">
        <f aca="false">MIN(CADASTRO_CASAS_BOMBA!$O$13,MAX(0,Z349+CADASTRO_CASAS_BOMBA!$I$13*HORAS_CAPTACAO_DIA-Y350))</f>
        <v>74903</v>
      </c>
      <c r="AA350" s="16" t="n">
        <f aca="false">MAX(0,Y350-CADASTRO_CASAS_BOMBA!$I$13*HORAS_CAPTACAO_DIA-Z349)</f>
        <v>0</v>
      </c>
    </row>
    <row r="351" customFormat="false" ht="15" hidden="false" customHeight="false" outlineLevel="0" collapsed="false">
      <c r="B351" s="17" t="n">
        <f aca="false">DATA_INICIO_SAFRA+344</f>
        <v>46609</v>
      </c>
      <c r="C351" s="16" t="n">
        <f aca="false">MIN(N_SEMANAS,MAX(1,INT(($B351-DATA_INICIO_SAFRA)/DIAS_POR_SEMANA)+1))</f>
        <v>50</v>
      </c>
      <c r="D351" s="16" t="n">
        <f aca="false">INDEX(AUX_MATRIZES!$C$8:$BP$8,MIN(N_SEMANAS,MAX(1,$C351)))/DIAS_POR_SEMANA</f>
        <v>3824.01115966387</v>
      </c>
      <c r="E351" s="16" t="n">
        <f aca="false">MIN(CADASTRO_CASAS_BOMBA!$O$6,MAX(0,E350+CADASTRO_CASAS_BOMBA!$I$6*HORAS_CAPTACAO_DIA-D351))</f>
        <v>2600</v>
      </c>
      <c r="F351" s="16" t="n">
        <f aca="false">MAX(0,D351-CADASTRO_CASAS_BOMBA!$I$6*HORAS_CAPTACAO_DIA-E350)</f>
        <v>0</v>
      </c>
      <c r="G351" s="16" t="n">
        <f aca="false">INDEX(AUX_MATRIZES!$C$9:$BP$9,MIN(N_SEMANAS,MAX(1,$C351)))/DIAS_POR_SEMANA</f>
        <v>0</v>
      </c>
      <c r="H351" s="16" t="n">
        <f aca="false">MIN(CADASTRO_CASAS_BOMBA!$O$7,MAX(0,H350+CADASTRO_CASAS_BOMBA!$I$7*HORAS_CAPTACAO_DIA-G351))</f>
        <v>76648</v>
      </c>
      <c r="I351" s="16" t="n">
        <f aca="false">MAX(0,G351-CADASTRO_CASAS_BOMBA!$I$7*HORAS_CAPTACAO_DIA-H350)</f>
        <v>0</v>
      </c>
      <c r="J351" s="16" t="n">
        <f aca="false">INDEX(AUX_MATRIZES!$C$10:$BP$10,MIN(N_SEMANAS,MAX(1,$C351)))/DIAS_POR_SEMANA</f>
        <v>7936.90585994398</v>
      </c>
      <c r="K351" s="16" t="n">
        <f aca="false">MIN(CADASTRO_CASAS_BOMBA!$O$8,MAX(0,K350+CADASTRO_CASAS_BOMBA!$I$8*HORAS_CAPTACAO_DIA-J351))</f>
        <v>27377</v>
      </c>
      <c r="L351" s="16" t="n">
        <f aca="false">MAX(0,J351-CADASTRO_CASAS_BOMBA!$I$8*HORAS_CAPTACAO_DIA-K350)</f>
        <v>0</v>
      </c>
      <c r="M351" s="16" t="n">
        <f aca="false">INDEX(AUX_MATRIZES!$C$11:$BP$11,MIN(N_SEMANAS,MAX(1,$C351)))/DIAS_POR_SEMANA</f>
        <v>4278.72268907563</v>
      </c>
      <c r="N351" s="16" t="n">
        <f aca="false">MIN(CADASTRO_CASAS_BOMBA!$O$9,MAX(0,N350+CADASTRO_CASAS_BOMBA!$I$9*HORAS_CAPTACAO_DIA-M351))</f>
        <v>129000</v>
      </c>
      <c r="O351" s="16" t="n">
        <f aca="false">MAX(0,M351-CADASTRO_CASAS_BOMBA!$I$9*HORAS_CAPTACAO_DIA-N350)</f>
        <v>0</v>
      </c>
      <c r="P351" s="16" t="n">
        <f aca="false">INDEX(AUX_MATRIZES!$C$12:$BP$12,MIN(N_SEMANAS,MAX(1,$C351)))/DIAS_POR_SEMANA</f>
        <v>28450.2064681542</v>
      </c>
      <c r="Q351" s="16" t="n">
        <f aca="false">MIN(CADASTRO_CASAS_BOMBA!$O$10,MAX(0,Q350+CADASTRO_CASAS_BOMBA!$I$10*HORAS_CAPTACAO_DIA-P351))</f>
        <v>560054.985327638</v>
      </c>
      <c r="R351" s="16" t="n">
        <f aca="false">MAX(0,P351-CADASTRO_CASAS_BOMBA!$I$10*HORAS_CAPTACAO_DIA-Q350)</f>
        <v>0</v>
      </c>
      <c r="S351" s="16" t="n">
        <f aca="false">INDEX(AUX_MATRIZES!$C$13:$BP$13,MIN(N_SEMANAS,MAX(1,$C351)))/DIAS_POR_SEMANA</f>
        <v>25727.3618352941</v>
      </c>
      <c r="T351" s="16" t="n">
        <f aca="false">MIN(CADASTRO_CASAS_BOMBA!$O$11,MAX(0,T350+CADASTRO_CASAS_BOMBA!$I$11*HORAS_CAPTACAO_DIA-S351))</f>
        <v>172762.586445369</v>
      </c>
      <c r="U351" s="16" t="n">
        <f aca="false">MAX(0,S351-CADASTRO_CASAS_BOMBA!$I$11*HORAS_CAPTACAO_DIA-T350)</f>
        <v>0</v>
      </c>
      <c r="V351" s="16" t="n">
        <f aca="false">INDEX(AUX_MATRIZES!$C$14:$BP$14,MIN(N_SEMANAS,MAX(1,$C351)))/DIAS_POR_SEMANA</f>
        <v>30396.9077645256</v>
      </c>
      <c r="W351" s="16" t="n">
        <f aca="false">MIN(CADASTRO_CASAS_BOMBA!$O$12,MAX(0,W350+CADASTRO_CASAS_BOMBA!$I$12*HORAS_CAPTACAO_DIA-V351))</f>
        <v>0</v>
      </c>
      <c r="X351" s="16" t="n">
        <f aca="false">MAX(0,V351-CADASTRO_CASAS_BOMBA!$I$12*HORAS_CAPTACAO_DIA-W350)</f>
        <v>5016.90776452558</v>
      </c>
      <c r="Y351" s="16" t="n">
        <f aca="false">INDEX(AUX_MATRIZES!$C$15:$BP$15,MIN(N_SEMANAS,MAX(1,$C351)))/DIAS_POR_SEMANA</f>
        <v>0</v>
      </c>
      <c r="Z351" s="16" t="n">
        <f aca="false">MIN(CADASTRO_CASAS_BOMBA!$O$13,MAX(0,Z350+CADASTRO_CASAS_BOMBA!$I$13*HORAS_CAPTACAO_DIA-Y351))</f>
        <v>74903</v>
      </c>
      <c r="AA351" s="16" t="n">
        <f aca="false">MAX(0,Y351-CADASTRO_CASAS_BOMBA!$I$13*HORAS_CAPTACAO_DIA-Z350)</f>
        <v>0</v>
      </c>
    </row>
    <row r="352" customFormat="false" ht="15" hidden="false" customHeight="false" outlineLevel="0" collapsed="false">
      <c r="B352" s="17" t="n">
        <f aca="false">DATA_INICIO_SAFRA+345</f>
        <v>46610</v>
      </c>
      <c r="C352" s="16" t="n">
        <f aca="false">MIN(N_SEMANAS,MAX(1,INT(($B352-DATA_INICIO_SAFRA)/DIAS_POR_SEMANA)+1))</f>
        <v>50</v>
      </c>
      <c r="D352" s="16" t="n">
        <f aca="false">INDEX(AUX_MATRIZES!$C$8:$BP$8,MIN(N_SEMANAS,MAX(1,$C352)))/DIAS_POR_SEMANA</f>
        <v>3824.01115966387</v>
      </c>
      <c r="E352" s="16" t="n">
        <f aca="false">MIN(CADASTRO_CASAS_BOMBA!$O$6,MAX(0,E351+CADASTRO_CASAS_BOMBA!$I$6*HORAS_CAPTACAO_DIA-D352))</f>
        <v>2600</v>
      </c>
      <c r="F352" s="16" t="n">
        <f aca="false">MAX(0,D352-CADASTRO_CASAS_BOMBA!$I$6*HORAS_CAPTACAO_DIA-E351)</f>
        <v>0</v>
      </c>
      <c r="G352" s="16" t="n">
        <f aca="false">INDEX(AUX_MATRIZES!$C$9:$BP$9,MIN(N_SEMANAS,MAX(1,$C352)))/DIAS_POR_SEMANA</f>
        <v>0</v>
      </c>
      <c r="H352" s="16" t="n">
        <f aca="false">MIN(CADASTRO_CASAS_BOMBA!$O$7,MAX(0,H351+CADASTRO_CASAS_BOMBA!$I$7*HORAS_CAPTACAO_DIA-G352))</f>
        <v>76648</v>
      </c>
      <c r="I352" s="16" t="n">
        <f aca="false">MAX(0,G352-CADASTRO_CASAS_BOMBA!$I$7*HORAS_CAPTACAO_DIA-H351)</f>
        <v>0</v>
      </c>
      <c r="J352" s="16" t="n">
        <f aca="false">INDEX(AUX_MATRIZES!$C$10:$BP$10,MIN(N_SEMANAS,MAX(1,$C352)))/DIAS_POR_SEMANA</f>
        <v>7936.90585994398</v>
      </c>
      <c r="K352" s="16" t="n">
        <f aca="false">MIN(CADASTRO_CASAS_BOMBA!$O$8,MAX(0,K351+CADASTRO_CASAS_BOMBA!$I$8*HORAS_CAPTACAO_DIA-J352))</f>
        <v>27377</v>
      </c>
      <c r="L352" s="16" t="n">
        <f aca="false">MAX(0,J352-CADASTRO_CASAS_BOMBA!$I$8*HORAS_CAPTACAO_DIA-K351)</f>
        <v>0</v>
      </c>
      <c r="M352" s="16" t="n">
        <f aca="false">INDEX(AUX_MATRIZES!$C$11:$BP$11,MIN(N_SEMANAS,MAX(1,$C352)))/DIAS_POR_SEMANA</f>
        <v>4278.72268907563</v>
      </c>
      <c r="N352" s="16" t="n">
        <f aca="false">MIN(CADASTRO_CASAS_BOMBA!$O$9,MAX(0,N351+CADASTRO_CASAS_BOMBA!$I$9*HORAS_CAPTACAO_DIA-M352))</f>
        <v>129000</v>
      </c>
      <c r="O352" s="16" t="n">
        <f aca="false">MAX(0,M352-CADASTRO_CASAS_BOMBA!$I$9*HORAS_CAPTACAO_DIA-N351)</f>
        <v>0</v>
      </c>
      <c r="P352" s="16" t="n">
        <f aca="false">INDEX(AUX_MATRIZES!$C$12:$BP$12,MIN(N_SEMANAS,MAX(1,$C352)))/DIAS_POR_SEMANA</f>
        <v>28450.2064681542</v>
      </c>
      <c r="Q352" s="16" t="n">
        <f aca="false">MIN(CADASTRO_CASAS_BOMBA!$O$10,MAX(0,Q351+CADASTRO_CASAS_BOMBA!$I$10*HORAS_CAPTACAO_DIA-P352))</f>
        <v>544687.178859484</v>
      </c>
      <c r="R352" s="16" t="n">
        <f aca="false">MAX(0,P352-CADASTRO_CASAS_BOMBA!$I$10*HORAS_CAPTACAO_DIA-Q351)</f>
        <v>0</v>
      </c>
      <c r="S352" s="16" t="n">
        <f aca="false">INDEX(AUX_MATRIZES!$C$13:$BP$13,MIN(N_SEMANAS,MAX(1,$C352)))/DIAS_POR_SEMANA</f>
        <v>25727.3618352941</v>
      </c>
      <c r="T352" s="16" t="n">
        <f aca="false">MIN(CADASTRO_CASAS_BOMBA!$O$11,MAX(0,T351+CADASTRO_CASAS_BOMBA!$I$11*HORAS_CAPTACAO_DIA-S352))</f>
        <v>168455.224610074</v>
      </c>
      <c r="U352" s="16" t="n">
        <f aca="false">MAX(0,S352-CADASTRO_CASAS_BOMBA!$I$11*HORAS_CAPTACAO_DIA-T351)</f>
        <v>0</v>
      </c>
      <c r="V352" s="16" t="n">
        <f aca="false">INDEX(AUX_MATRIZES!$C$14:$BP$14,MIN(N_SEMANAS,MAX(1,$C352)))/DIAS_POR_SEMANA</f>
        <v>30396.9077645256</v>
      </c>
      <c r="W352" s="16" t="n">
        <f aca="false">MIN(CADASTRO_CASAS_BOMBA!$O$12,MAX(0,W351+CADASTRO_CASAS_BOMBA!$I$12*HORAS_CAPTACAO_DIA-V352))</f>
        <v>0</v>
      </c>
      <c r="X352" s="16" t="n">
        <f aca="false">MAX(0,V352-CADASTRO_CASAS_BOMBA!$I$12*HORAS_CAPTACAO_DIA-W351)</f>
        <v>5016.90776452558</v>
      </c>
      <c r="Y352" s="16" t="n">
        <f aca="false">INDEX(AUX_MATRIZES!$C$15:$BP$15,MIN(N_SEMANAS,MAX(1,$C352)))/DIAS_POR_SEMANA</f>
        <v>0</v>
      </c>
      <c r="Z352" s="16" t="n">
        <f aca="false">MIN(CADASTRO_CASAS_BOMBA!$O$13,MAX(0,Z351+CADASTRO_CASAS_BOMBA!$I$13*HORAS_CAPTACAO_DIA-Y352))</f>
        <v>74903</v>
      </c>
      <c r="AA352" s="16" t="n">
        <f aca="false">MAX(0,Y352-CADASTRO_CASAS_BOMBA!$I$13*HORAS_CAPTACAO_DIA-Z351)</f>
        <v>0</v>
      </c>
    </row>
    <row r="353" customFormat="false" ht="15" hidden="false" customHeight="false" outlineLevel="0" collapsed="false">
      <c r="B353" s="17" t="n">
        <f aca="false">DATA_INICIO_SAFRA+346</f>
        <v>46611</v>
      </c>
      <c r="C353" s="16" t="n">
        <f aca="false">MIN(N_SEMANAS,MAX(1,INT(($B353-DATA_INICIO_SAFRA)/DIAS_POR_SEMANA)+1))</f>
        <v>50</v>
      </c>
      <c r="D353" s="16" t="n">
        <f aca="false">INDEX(AUX_MATRIZES!$C$8:$BP$8,MIN(N_SEMANAS,MAX(1,$C353)))/DIAS_POR_SEMANA</f>
        <v>3824.01115966387</v>
      </c>
      <c r="E353" s="16" t="n">
        <f aca="false">MIN(CADASTRO_CASAS_BOMBA!$O$6,MAX(0,E352+CADASTRO_CASAS_BOMBA!$I$6*HORAS_CAPTACAO_DIA-D353))</f>
        <v>2600</v>
      </c>
      <c r="F353" s="16" t="n">
        <f aca="false">MAX(0,D353-CADASTRO_CASAS_BOMBA!$I$6*HORAS_CAPTACAO_DIA-E352)</f>
        <v>0</v>
      </c>
      <c r="G353" s="16" t="n">
        <f aca="false">INDEX(AUX_MATRIZES!$C$9:$BP$9,MIN(N_SEMANAS,MAX(1,$C353)))/DIAS_POR_SEMANA</f>
        <v>0</v>
      </c>
      <c r="H353" s="16" t="n">
        <f aca="false">MIN(CADASTRO_CASAS_BOMBA!$O$7,MAX(0,H352+CADASTRO_CASAS_BOMBA!$I$7*HORAS_CAPTACAO_DIA-G353))</f>
        <v>76648</v>
      </c>
      <c r="I353" s="16" t="n">
        <f aca="false">MAX(0,G353-CADASTRO_CASAS_BOMBA!$I$7*HORAS_CAPTACAO_DIA-H352)</f>
        <v>0</v>
      </c>
      <c r="J353" s="16" t="n">
        <f aca="false">INDEX(AUX_MATRIZES!$C$10:$BP$10,MIN(N_SEMANAS,MAX(1,$C353)))/DIAS_POR_SEMANA</f>
        <v>7936.90585994398</v>
      </c>
      <c r="K353" s="16" t="n">
        <f aca="false">MIN(CADASTRO_CASAS_BOMBA!$O$8,MAX(0,K352+CADASTRO_CASAS_BOMBA!$I$8*HORAS_CAPTACAO_DIA-J353))</f>
        <v>27377</v>
      </c>
      <c r="L353" s="16" t="n">
        <f aca="false">MAX(0,J353-CADASTRO_CASAS_BOMBA!$I$8*HORAS_CAPTACAO_DIA-K352)</f>
        <v>0</v>
      </c>
      <c r="M353" s="16" t="n">
        <f aca="false">INDEX(AUX_MATRIZES!$C$11:$BP$11,MIN(N_SEMANAS,MAX(1,$C353)))/DIAS_POR_SEMANA</f>
        <v>4278.72268907563</v>
      </c>
      <c r="N353" s="16" t="n">
        <f aca="false">MIN(CADASTRO_CASAS_BOMBA!$O$9,MAX(0,N352+CADASTRO_CASAS_BOMBA!$I$9*HORAS_CAPTACAO_DIA-M353))</f>
        <v>129000</v>
      </c>
      <c r="O353" s="16" t="n">
        <f aca="false">MAX(0,M353-CADASTRO_CASAS_BOMBA!$I$9*HORAS_CAPTACAO_DIA-N352)</f>
        <v>0</v>
      </c>
      <c r="P353" s="16" t="n">
        <f aca="false">INDEX(AUX_MATRIZES!$C$12:$BP$12,MIN(N_SEMANAS,MAX(1,$C353)))/DIAS_POR_SEMANA</f>
        <v>28450.2064681542</v>
      </c>
      <c r="Q353" s="16" t="n">
        <f aca="false">MIN(CADASTRO_CASAS_BOMBA!$O$10,MAX(0,Q352+CADASTRO_CASAS_BOMBA!$I$10*HORAS_CAPTACAO_DIA-P353))</f>
        <v>529319.372391329</v>
      </c>
      <c r="R353" s="16" t="n">
        <f aca="false">MAX(0,P353-CADASTRO_CASAS_BOMBA!$I$10*HORAS_CAPTACAO_DIA-Q352)</f>
        <v>0</v>
      </c>
      <c r="S353" s="16" t="n">
        <f aca="false">INDEX(AUX_MATRIZES!$C$13:$BP$13,MIN(N_SEMANAS,MAX(1,$C353)))/DIAS_POR_SEMANA</f>
        <v>25727.3618352941</v>
      </c>
      <c r="T353" s="16" t="n">
        <f aca="false">MIN(CADASTRO_CASAS_BOMBA!$O$11,MAX(0,T352+CADASTRO_CASAS_BOMBA!$I$11*HORAS_CAPTACAO_DIA-S353))</f>
        <v>164147.86277478</v>
      </c>
      <c r="U353" s="16" t="n">
        <f aca="false">MAX(0,S353-CADASTRO_CASAS_BOMBA!$I$11*HORAS_CAPTACAO_DIA-T352)</f>
        <v>0</v>
      </c>
      <c r="V353" s="16" t="n">
        <f aca="false">INDEX(AUX_MATRIZES!$C$14:$BP$14,MIN(N_SEMANAS,MAX(1,$C353)))/DIAS_POR_SEMANA</f>
        <v>30396.9077645256</v>
      </c>
      <c r="W353" s="16" t="n">
        <f aca="false">MIN(CADASTRO_CASAS_BOMBA!$O$12,MAX(0,W352+CADASTRO_CASAS_BOMBA!$I$12*HORAS_CAPTACAO_DIA-V353))</f>
        <v>0</v>
      </c>
      <c r="X353" s="16" t="n">
        <f aca="false">MAX(0,V353-CADASTRO_CASAS_BOMBA!$I$12*HORAS_CAPTACAO_DIA-W352)</f>
        <v>5016.90776452558</v>
      </c>
      <c r="Y353" s="16" t="n">
        <f aca="false">INDEX(AUX_MATRIZES!$C$15:$BP$15,MIN(N_SEMANAS,MAX(1,$C353)))/DIAS_POR_SEMANA</f>
        <v>0</v>
      </c>
      <c r="Z353" s="16" t="n">
        <f aca="false">MIN(CADASTRO_CASAS_BOMBA!$O$13,MAX(0,Z352+CADASTRO_CASAS_BOMBA!$I$13*HORAS_CAPTACAO_DIA-Y353))</f>
        <v>74903</v>
      </c>
      <c r="AA353" s="16" t="n">
        <f aca="false">MAX(0,Y353-CADASTRO_CASAS_BOMBA!$I$13*HORAS_CAPTACAO_DIA-Z352)</f>
        <v>0</v>
      </c>
    </row>
    <row r="354" customFormat="false" ht="15" hidden="false" customHeight="false" outlineLevel="0" collapsed="false">
      <c r="B354" s="17" t="n">
        <f aca="false">DATA_INICIO_SAFRA+347</f>
        <v>46612</v>
      </c>
      <c r="C354" s="16" t="n">
        <f aca="false">MIN(N_SEMANAS,MAX(1,INT(($B354-DATA_INICIO_SAFRA)/DIAS_POR_SEMANA)+1))</f>
        <v>50</v>
      </c>
      <c r="D354" s="16" t="n">
        <f aca="false">INDEX(AUX_MATRIZES!$C$8:$BP$8,MIN(N_SEMANAS,MAX(1,$C354)))/DIAS_POR_SEMANA</f>
        <v>3824.01115966387</v>
      </c>
      <c r="E354" s="16" t="n">
        <f aca="false">MIN(CADASTRO_CASAS_BOMBA!$O$6,MAX(0,E353+CADASTRO_CASAS_BOMBA!$I$6*HORAS_CAPTACAO_DIA-D354))</f>
        <v>2600</v>
      </c>
      <c r="F354" s="16" t="n">
        <f aca="false">MAX(0,D354-CADASTRO_CASAS_BOMBA!$I$6*HORAS_CAPTACAO_DIA-E353)</f>
        <v>0</v>
      </c>
      <c r="G354" s="16" t="n">
        <f aca="false">INDEX(AUX_MATRIZES!$C$9:$BP$9,MIN(N_SEMANAS,MAX(1,$C354)))/DIAS_POR_SEMANA</f>
        <v>0</v>
      </c>
      <c r="H354" s="16" t="n">
        <f aca="false">MIN(CADASTRO_CASAS_BOMBA!$O$7,MAX(0,H353+CADASTRO_CASAS_BOMBA!$I$7*HORAS_CAPTACAO_DIA-G354))</f>
        <v>76648</v>
      </c>
      <c r="I354" s="16" t="n">
        <f aca="false">MAX(0,G354-CADASTRO_CASAS_BOMBA!$I$7*HORAS_CAPTACAO_DIA-H353)</f>
        <v>0</v>
      </c>
      <c r="J354" s="16" t="n">
        <f aca="false">INDEX(AUX_MATRIZES!$C$10:$BP$10,MIN(N_SEMANAS,MAX(1,$C354)))/DIAS_POR_SEMANA</f>
        <v>7936.90585994398</v>
      </c>
      <c r="K354" s="16" t="n">
        <f aca="false">MIN(CADASTRO_CASAS_BOMBA!$O$8,MAX(0,K353+CADASTRO_CASAS_BOMBA!$I$8*HORAS_CAPTACAO_DIA-J354))</f>
        <v>27377</v>
      </c>
      <c r="L354" s="16" t="n">
        <f aca="false">MAX(0,J354-CADASTRO_CASAS_BOMBA!$I$8*HORAS_CAPTACAO_DIA-K353)</f>
        <v>0</v>
      </c>
      <c r="M354" s="16" t="n">
        <f aca="false">INDEX(AUX_MATRIZES!$C$11:$BP$11,MIN(N_SEMANAS,MAX(1,$C354)))/DIAS_POR_SEMANA</f>
        <v>4278.72268907563</v>
      </c>
      <c r="N354" s="16" t="n">
        <f aca="false">MIN(CADASTRO_CASAS_BOMBA!$O$9,MAX(0,N353+CADASTRO_CASAS_BOMBA!$I$9*HORAS_CAPTACAO_DIA-M354))</f>
        <v>129000</v>
      </c>
      <c r="O354" s="16" t="n">
        <f aca="false">MAX(0,M354-CADASTRO_CASAS_BOMBA!$I$9*HORAS_CAPTACAO_DIA-N353)</f>
        <v>0</v>
      </c>
      <c r="P354" s="16" t="n">
        <f aca="false">INDEX(AUX_MATRIZES!$C$12:$BP$12,MIN(N_SEMANAS,MAX(1,$C354)))/DIAS_POR_SEMANA</f>
        <v>28450.2064681542</v>
      </c>
      <c r="Q354" s="16" t="n">
        <f aca="false">MIN(CADASTRO_CASAS_BOMBA!$O$10,MAX(0,Q353+CADASTRO_CASAS_BOMBA!$I$10*HORAS_CAPTACAO_DIA-P354))</f>
        <v>513951.565923175</v>
      </c>
      <c r="R354" s="16" t="n">
        <f aca="false">MAX(0,P354-CADASTRO_CASAS_BOMBA!$I$10*HORAS_CAPTACAO_DIA-Q353)</f>
        <v>0</v>
      </c>
      <c r="S354" s="16" t="n">
        <f aca="false">INDEX(AUX_MATRIZES!$C$13:$BP$13,MIN(N_SEMANAS,MAX(1,$C354)))/DIAS_POR_SEMANA</f>
        <v>25727.3618352941</v>
      </c>
      <c r="T354" s="16" t="n">
        <f aca="false">MIN(CADASTRO_CASAS_BOMBA!$O$11,MAX(0,T353+CADASTRO_CASAS_BOMBA!$I$11*HORAS_CAPTACAO_DIA-S354))</f>
        <v>159840.500939486</v>
      </c>
      <c r="U354" s="16" t="n">
        <f aca="false">MAX(0,S354-CADASTRO_CASAS_BOMBA!$I$11*HORAS_CAPTACAO_DIA-T353)</f>
        <v>0</v>
      </c>
      <c r="V354" s="16" t="n">
        <f aca="false">INDEX(AUX_MATRIZES!$C$14:$BP$14,MIN(N_SEMANAS,MAX(1,$C354)))/DIAS_POR_SEMANA</f>
        <v>30396.9077645256</v>
      </c>
      <c r="W354" s="16" t="n">
        <f aca="false">MIN(CADASTRO_CASAS_BOMBA!$O$12,MAX(0,W353+CADASTRO_CASAS_BOMBA!$I$12*HORAS_CAPTACAO_DIA-V354))</f>
        <v>0</v>
      </c>
      <c r="X354" s="16" t="n">
        <f aca="false">MAX(0,V354-CADASTRO_CASAS_BOMBA!$I$12*HORAS_CAPTACAO_DIA-W353)</f>
        <v>5016.90776452558</v>
      </c>
      <c r="Y354" s="16" t="n">
        <f aca="false">INDEX(AUX_MATRIZES!$C$15:$BP$15,MIN(N_SEMANAS,MAX(1,$C354)))/DIAS_POR_SEMANA</f>
        <v>0</v>
      </c>
      <c r="Z354" s="16" t="n">
        <f aca="false">MIN(CADASTRO_CASAS_BOMBA!$O$13,MAX(0,Z353+CADASTRO_CASAS_BOMBA!$I$13*HORAS_CAPTACAO_DIA-Y354))</f>
        <v>74903</v>
      </c>
      <c r="AA354" s="16" t="n">
        <f aca="false">MAX(0,Y354-CADASTRO_CASAS_BOMBA!$I$13*HORAS_CAPTACAO_DIA-Z353)</f>
        <v>0</v>
      </c>
    </row>
    <row r="355" customFormat="false" ht="15" hidden="false" customHeight="false" outlineLevel="0" collapsed="false">
      <c r="B355" s="17" t="n">
        <f aca="false">DATA_INICIO_SAFRA+348</f>
        <v>46613</v>
      </c>
      <c r="C355" s="16" t="n">
        <f aca="false">MIN(N_SEMANAS,MAX(1,INT(($B355-DATA_INICIO_SAFRA)/DIAS_POR_SEMANA)+1))</f>
        <v>50</v>
      </c>
      <c r="D355" s="16" t="n">
        <f aca="false">INDEX(AUX_MATRIZES!$C$8:$BP$8,MIN(N_SEMANAS,MAX(1,$C355)))/DIAS_POR_SEMANA</f>
        <v>3824.01115966387</v>
      </c>
      <c r="E355" s="16" t="n">
        <f aca="false">MIN(CADASTRO_CASAS_BOMBA!$O$6,MAX(0,E354+CADASTRO_CASAS_BOMBA!$I$6*HORAS_CAPTACAO_DIA-D355))</f>
        <v>2600</v>
      </c>
      <c r="F355" s="16" t="n">
        <f aca="false">MAX(0,D355-CADASTRO_CASAS_BOMBA!$I$6*HORAS_CAPTACAO_DIA-E354)</f>
        <v>0</v>
      </c>
      <c r="G355" s="16" t="n">
        <f aca="false">INDEX(AUX_MATRIZES!$C$9:$BP$9,MIN(N_SEMANAS,MAX(1,$C355)))/DIAS_POR_SEMANA</f>
        <v>0</v>
      </c>
      <c r="H355" s="16" t="n">
        <f aca="false">MIN(CADASTRO_CASAS_BOMBA!$O$7,MAX(0,H354+CADASTRO_CASAS_BOMBA!$I$7*HORAS_CAPTACAO_DIA-G355))</f>
        <v>76648</v>
      </c>
      <c r="I355" s="16" t="n">
        <f aca="false">MAX(0,G355-CADASTRO_CASAS_BOMBA!$I$7*HORAS_CAPTACAO_DIA-H354)</f>
        <v>0</v>
      </c>
      <c r="J355" s="16" t="n">
        <f aca="false">INDEX(AUX_MATRIZES!$C$10:$BP$10,MIN(N_SEMANAS,MAX(1,$C355)))/DIAS_POR_SEMANA</f>
        <v>7936.90585994398</v>
      </c>
      <c r="K355" s="16" t="n">
        <f aca="false">MIN(CADASTRO_CASAS_BOMBA!$O$8,MAX(0,K354+CADASTRO_CASAS_BOMBA!$I$8*HORAS_CAPTACAO_DIA-J355))</f>
        <v>27377</v>
      </c>
      <c r="L355" s="16" t="n">
        <f aca="false">MAX(0,J355-CADASTRO_CASAS_BOMBA!$I$8*HORAS_CAPTACAO_DIA-K354)</f>
        <v>0</v>
      </c>
      <c r="M355" s="16" t="n">
        <f aca="false">INDEX(AUX_MATRIZES!$C$11:$BP$11,MIN(N_SEMANAS,MAX(1,$C355)))/DIAS_POR_SEMANA</f>
        <v>4278.72268907563</v>
      </c>
      <c r="N355" s="16" t="n">
        <f aca="false">MIN(CADASTRO_CASAS_BOMBA!$O$9,MAX(0,N354+CADASTRO_CASAS_BOMBA!$I$9*HORAS_CAPTACAO_DIA-M355))</f>
        <v>129000</v>
      </c>
      <c r="O355" s="16" t="n">
        <f aca="false">MAX(0,M355-CADASTRO_CASAS_BOMBA!$I$9*HORAS_CAPTACAO_DIA-N354)</f>
        <v>0</v>
      </c>
      <c r="P355" s="16" t="n">
        <f aca="false">INDEX(AUX_MATRIZES!$C$12:$BP$12,MIN(N_SEMANAS,MAX(1,$C355)))/DIAS_POR_SEMANA</f>
        <v>28450.2064681542</v>
      </c>
      <c r="Q355" s="16" t="n">
        <f aca="false">MIN(CADASTRO_CASAS_BOMBA!$O$10,MAX(0,Q354+CADASTRO_CASAS_BOMBA!$I$10*HORAS_CAPTACAO_DIA-P355))</f>
        <v>498583.759455021</v>
      </c>
      <c r="R355" s="16" t="n">
        <f aca="false">MAX(0,P355-CADASTRO_CASAS_BOMBA!$I$10*HORAS_CAPTACAO_DIA-Q354)</f>
        <v>0</v>
      </c>
      <c r="S355" s="16" t="n">
        <f aca="false">INDEX(AUX_MATRIZES!$C$13:$BP$13,MIN(N_SEMANAS,MAX(1,$C355)))/DIAS_POR_SEMANA</f>
        <v>25727.3618352941</v>
      </c>
      <c r="T355" s="16" t="n">
        <f aca="false">MIN(CADASTRO_CASAS_BOMBA!$O$11,MAX(0,T354+CADASTRO_CASAS_BOMBA!$I$11*HORAS_CAPTACAO_DIA-S355))</f>
        <v>155533.139104192</v>
      </c>
      <c r="U355" s="16" t="n">
        <f aca="false">MAX(0,S355-CADASTRO_CASAS_BOMBA!$I$11*HORAS_CAPTACAO_DIA-T354)</f>
        <v>0</v>
      </c>
      <c r="V355" s="16" t="n">
        <f aca="false">INDEX(AUX_MATRIZES!$C$14:$BP$14,MIN(N_SEMANAS,MAX(1,$C355)))/DIAS_POR_SEMANA</f>
        <v>30396.9077645256</v>
      </c>
      <c r="W355" s="16" t="n">
        <f aca="false">MIN(CADASTRO_CASAS_BOMBA!$O$12,MAX(0,W354+CADASTRO_CASAS_BOMBA!$I$12*HORAS_CAPTACAO_DIA-V355))</f>
        <v>0</v>
      </c>
      <c r="X355" s="16" t="n">
        <f aca="false">MAX(0,V355-CADASTRO_CASAS_BOMBA!$I$12*HORAS_CAPTACAO_DIA-W354)</f>
        <v>5016.90776452558</v>
      </c>
      <c r="Y355" s="16" t="n">
        <f aca="false">INDEX(AUX_MATRIZES!$C$15:$BP$15,MIN(N_SEMANAS,MAX(1,$C355)))/DIAS_POR_SEMANA</f>
        <v>0</v>
      </c>
      <c r="Z355" s="16" t="n">
        <f aca="false">MIN(CADASTRO_CASAS_BOMBA!$O$13,MAX(0,Z354+CADASTRO_CASAS_BOMBA!$I$13*HORAS_CAPTACAO_DIA-Y355))</f>
        <v>74903</v>
      </c>
      <c r="AA355" s="16" t="n">
        <f aca="false">MAX(0,Y355-CADASTRO_CASAS_BOMBA!$I$13*HORAS_CAPTACAO_DIA-Z354)</f>
        <v>0</v>
      </c>
    </row>
    <row r="356" customFormat="false" ht="15" hidden="false" customHeight="false" outlineLevel="0" collapsed="false">
      <c r="B356" s="17" t="n">
        <f aca="false">DATA_INICIO_SAFRA+349</f>
        <v>46614</v>
      </c>
      <c r="C356" s="16" t="n">
        <f aca="false">MIN(N_SEMANAS,MAX(1,INT(($B356-DATA_INICIO_SAFRA)/DIAS_POR_SEMANA)+1))</f>
        <v>50</v>
      </c>
      <c r="D356" s="16" t="n">
        <f aca="false">INDEX(AUX_MATRIZES!$C$8:$BP$8,MIN(N_SEMANAS,MAX(1,$C356)))/DIAS_POR_SEMANA</f>
        <v>3824.01115966387</v>
      </c>
      <c r="E356" s="16" t="n">
        <f aca="false">MIN(CADASTRO_CASAS_BOMBA!$O$6,MAX(0,E355+CADASTRO_CASAS_BOMBA!$I$6*HORAS_CAPTACAO_DIA-D356))</f>
        <v>2600</v>
      </c>
      <c r="F356" s="16" t="n">
        <f aca="false">MAX(0,D356-CADASTRO_CASAS_BOMBA!$I$6*HORAS_CAPTACAO_DIA-E355)</f>
        <v>0</v>
      </c>
      <c r="G356" s="16" t="n">
        <f aca="false">INDEX(AUX_MATRIZES!$C$9:$BP$9,MIN(N_SEMANAS,MAX(1,$C356)))/DIAS_POR_SEMANA</f>
        <v>0</v>
      </c>
      <c r="H356" s="16" t="n">
        <f aca="false">MIN(CADASTRO_CASAS_BOMBA!$O$7,MAX(0,H355+CADASTRO_CASAS_BOMBA!$I$7*HORAS_CAPTACAO_DIA-G356))</f>
        <v>76648</v>
      </c>
      <c r="I356" s="16" t="n">
        <f aca="false">MAX(0,G356-CADASTRO_CASAS_BOMBA!$I$7*HORAS_CAPTACAO_DIA-H355)</f>
        <v>0</v>
      </c>
      <c r="J356" s="16" t="n">
        <f aca="false">INDEX(AUX_MATRIZES!$C$10:$BP$10,MIN(N_SEMANAS,MAX(1,$C356)))/DIAS_POR_SEMANA</f>
        <v>7936.90585994398</v>
      </c>
      <c r="K356" s="16" t="n">
        <f aca="false">MIN(CADASTRO_CASAS_BOMBA!$O$8,MAX(0,K355+CADASTRO_CASAS_BOMBA!$I$8*HORAS_CAPTACAO_DIA-J356))</f>
        <v>27377</v>
      </c>
      <c r="L356" s="16" t="n">
        <f aca="false">MAX(0,J356-CADASTRO_CASAS_BOMBA!$I$8*HORAS_CAPTACAO_DIA-K355)</f>
        <v>0</v>
      </c>
      <c r="M356" s="16" t="n">
        <f aca="false">INDEX(AUX_MATRIZES!$C$11:$BP$11,MIN(N_SEMANAS,MAX(1,$C356)))/DIAS_POR_SEMANA</f>
        <v>4278.72268907563</v>
      </c>
      <c r="N356" s="16" t="n">
        <f aca="false">MIN(CADASTRO_CASAS_BOMBA!$O$9,MAX(0,N355+CADASTRO_CASAS_BOMBA!$I$9*HORAS_CAPTACAO_DIA-M356))</f>
        <v>129000</v>
      </c>
      <c r="O356" s="16" t="n">
        <f aca="false">MAX(0,M356-CADASTRO_CASAS_BOMBA!$I$9*HORAS_CAPTACAO_DIA-N355)</f>
        <v>0</v>
      </c>
      <c r="P356" s="16" t="n">
        <f aca="false">INDEX(AUX_MATRIZES!$C$12:$BP$12,MIN(N_SEMANAS,MAX(1,$C356)))/DIAS_POR_SEMANA</f>
        <v>28450.2064681542</v>
      </c>
      <c r="Q356" s="16" t="n">
        <f aca="false">MIN(CADASTRO_CASAS_BOMBA!$O$10,MAX(0,Q355+CADASTRO_CASAS_BOMBA!$I$10*HORAS_CAPTACAO_DIA-P356))</f>
        <v>483215.952986867</v>
      </c>
      <c r="R356" s="16" t="n">
        <f aca="false">MAX(0,P356-CADASTRO_CASAS_BOMBA!$I$10*HORAS_CAPTACAO_DIA-Q355)</f>
        <v>0</v>
      </c>
      <c r="S356" s="16" t="n">
        <f aca="false">INDEX(AUX_MATRIZES!$C$13:$BP$13,MIN(N_SEMANAS,MAX(1,$C356)))/DIAS_POR_SEMANA</f>
        <v>25727.3618352941</v>
      </c>
      <c r="T356" s="16" t="n">
        <f aca="false">MIN(CADASTRO_CASAS_BOMBA!$O$11,MAX(0,T355+CADASTRO_CASAS_BOMBA!$I$11*HORAS_CAPTACAO_DIA-S356))</f>
        <v>151225.777268898</v>
      </c>
      <c r="U356" s="16" t="n">
        <f aca="false">MAX(0,S356-CADASTRO_CASAS_BOMBA!$I$11*HORAS_CAPTACAO_DIA-T355)</f>
        <v>0</v>
      </c>
      <c r="V356" s="16" t="n">
        <f aca="false">INDEX(AUX_MATRIZES!$C$14:$BP$14,MIN(N_SEMANAS,MAX(1,$C356)))/DIAS_POR_SEMANA</f>
        <v>30396.9077645256</v>
      </c>
      <c r="W356" s="16" t="n">
        <f aca="false">MIN(CADASTRO_CASAS_BOMBA!$O$12,MAX(0,W355+CADASTRO_CASAS_BOMBA!$I$12*HORAS_CAPTACAO_DIA-V356))</f>
        <v>0</v>
      </c>
      <c r="X356" s="16" t="n">
        <f aca="false">MAX(0,V356-CADASTRO_CASAS_BOMBA!$I$12*HORAS_CAPTACAO_DIA-W355)</f>
        <v>5016.90776452558</v>
      </c>
      <c r="Y356" s="16" t="n">
        <f aca="false">INDEX(AUX_MATRIZES!$C$15:$BP$15,MIN(N_SEMANAS,MAX(1,$C356)))/DIAS_POR_SEMANA</f>
        <v>0</v>
      </c>
      <c r="Z356" s="16" t="n">
        <f aca="false">MIN(CADASTRO_CASAS_BOMBA!$O$13,MAX(0,Z355+CADASTRO_CASAS_BOMBA!$I$13*HORAS_CAPTACAO_DIA-Y356))</f>
        <v>74903</v>
      </c>
      <c r="AA356" s="16" t="n">
        <f aca="false">MAX(0,Y356-CADASTRO_CASAS_BOMBA!$I$13*HORAS_CAPTACAO_DIA-Z355)</f>
        <v>0</v>
      </c>
    </row>
    <row r="357" customFormat="false" ht="15" hidden="false" customHeight="false" outlineLevel="0" collapsed="false">
      <c r="B357" s="17" t="n">
        <f aca="false">DATA_INICIO_SAFRA+350</f>
        <v>46615</v>
      </c>
      <c r="C357" s="16" t="n">
        <f aca="false">MIN(N_SEMANAS,MAX(1,INT(($B357-DATA_INICIO_SAFRA)/DIAS_POR_SEMANA)+1))</f>
        <v>51</v>
      </c>
      <c r="D357" s="16" t="n">
        <f aca="false">INDEX(AUX_MATRIZES!$C$8:$BP$8,MIN(N_SEMANAS,MAX(1,$C357)))/DIAS_POR_SEMANA</f>
        <v>0</v>
      </c>
      <c r="E357" s="16" t="n">
        <f aca="false">MIN(CADASTRO_CASAS_BOMBA!$O$6,MAX(0,E356+CADASTRO_CASAS_BOMBA!$I$6*HORAS_CAPTACAO_DIA-D357))</f>
        <v>2600</v>
      </c>
      <c r="F357" s="16" t="n">
        <f aca="false">MAX(0,D357-CADASTRO_CASAS_BOMBA!$I$6*HORAS_CAPTACAO_DIA-E356)</f>
        <v>0</v>
      </c>
      <c r="G357" s="16" t="n">
        <f aca="false">INDEX(AUX_MATRIZES!$C$9:$BP$9,MIN(N_SEMANAS,MAX(1,$C357)))/DIAS_POR_SEMANA</f>
        <v>0</v>
      </c>
      <c r="H357" s="16" t="n">
        <f aca="false">MIN(CADASTRO_CASAS_BOMBA!$O$7,MAX(0,H356+CADASTRO_CASAS_BOMBA!$I$7*HORAS_CAPTACAO_DIA-G357))</f>
        <v>76648</v>
      </c>
      <c r="I357" s="16" t="n">
        <f aca="false">MAX(0,G357-CADASTRO_CASAS_BOMBA!$I$7*HORAS_CAPTACAO_DIA-H356)</f>
        <v>0</v>
      </c>
      <c r="J357" s="16" t="n">
        <f aca="false">INDEX(AUX_MATRIZES!$C$10:$BP$10,MIN(N_SEMANAS,MAX(1,$C357)))/DIAS_POR_SEMANA</f>
        <v>7083.737232493</v>
      </c>
      <c r="K357" s="16" t="n">
        <f aca="false">MIN(CADASTRO_CASAS_BOMBA!$O$8,MAX(0,K356+CADASTRO_CASAS_BOMBA!$I$8*HORAS_CAPTACAO_DIA-J357))</f>
        <v>27377</v>
      </c>
      <c r="L357" s="16" t="n">
        <f aca="false">MAX(0,J357-CADASTRO_CASAS_BOMBA!$I$8*HORAS_CAPTACAO_DIA-K356)</f>
        <v>0</v>
      </c>
      <c r="M357" s="16" t="n">
        <f aca="false">INDEX(AUX_MATRIZES!$C$11:$BP$11,MIN(N_SEMANAS,MAX(1,$C357)))/DIAS_POR_SEMANA</f>
        <v>0</v>
      </c>
      <c r="N357" s="16" t="n">
        <f aca="false">MIN(CADASTRO_CASAS_BOMBA!$O$9,MAX(0,N356+CADASTRO_CASAS_BOMBA!$I$9*HORAS_CAPTACAO_DIA-M357))</f>
        <v>129000</v>
      </c>
      <c r="O357" s="16" t="n">
        <f aca="false">MAX(0,M357-CADASTRO_CASAS_BOMBA!$I$9*HORAS_CAPTACAO_DIA-N356)</f>
        <v>0</v>
      </c>
      <c r="P357" s="16" t="n">
        <f aca="false">INDEX(AUX_MATRIZES!$C$12:$BP$12,MIN(N_SEMANAS,MAX(1,$C357)))/DIAS_POR_SEMANA</f>
        <v>30457.6790198783</v>
      </c>
      <c r="Q357" s="16" t="n">
        <f aca="false">MIN(CADASTRO_CASAS_BOMBA!$O$10,MAX(0,Q356+CADASTRO_CASAS_BOMBA!$I$10*HORAS_CAPTACAO_DIA-P357))</f>
        <v>465840.673966989</v>
      </c>
      <c r="R357" s="16" t="n">
        <f aca="false">MAX(0,P357-CADASTRO_CASAS_BOMBA!$I$10*HORAS_CAPTACAO_DIA-Q356)</f>
        <v>0</v>
      </c>
      <c r="S357" s="16" t="n">
        <f aca="false">INDEX(AUX_MATRIZES!$C$13:$BP$13,MIN(N_SEMANAS,MAX(1,$C357)))/DIAS_POR_SEMANA</f>
        <v>28583.5520705882</v>
      </c>
      <c r="T357" s="16" t="n">
        <f aca="false">MIN(CADASTRO_CASAS_BOMBA!$O$11,MAX(0,T356+CADASTRO_CASAS_BOMBA!$I$11*HORAS_CAPTACAO_DIA-S357))</f>
        <v>144062.22519831</v>
      </c>
      <c r="U357" s="16" t="n">
        <f aca="false">MAX(0,S357-CADASTRO_CASAS_BOMBA!$I$11*HORAS_CAPTACAO_DIA-T356)</f>
        <v>0</v>
      </c>
      <c r="V357" s="16" t="n">
        <f aca="false">INDEX(AUX_MATRIZES!$C$14:$BP$14,MIN(N_SEMANAS,MAX(1,$C357)))/DIAS_POR_SEMANA</f>
        <v>21981.9421103448</v>
      </c>
      <c r="W357" s="16" t="n">
        <f aca="false">MIN(CADASTRO_CASAS_BOMBA!$O$12,MAX(0,W356+CADASTRO_CASAS_BOMBA!$I$12*HORAS_CAPTACAO_DIA-V357))</f>
        <v>3398.05788965517</v>
      </c>
      <c r="X357" s="16" t="n">
        <f aca="false">MAX(0,V357-CADASTRO_CASAS_BOMBA!$I$12*HORAS_CAPTACAO_DIA-W356)</f>
        <v>0</v>
      </c>
      <c r="Y357" s="16" t="n">
        <f aca="false">INDEX(AUX_MATRIZES!$C$15:$BP$15,MIN(N_SEMANAS,MAX(1,$C357)))/DIAS_POR_SEMANA</f>
        <v>0</v>
      </c>
      <c r="Z357" s="16" t="n">
        <f aca="false">MIN(CADASTRO_CASAS_BOMBA!$O$13,MAX(0,Z356+CADASTRO_CASAS_BOMBA!$I$13*HORAS_CAPTACAO_DIA-Y357))</f>
        <v>74903</v>
      </c>
      <c r="AA357" s="16" t="n">
        <f aca="false">MAX(0,Y357-CADASTRO_CASAS_BOMBA!$I$13*HORAS_CAPTACAO_DIA-Z356)</f>
        <v>0</v>
      </c>
    </row>
    <row r="358" customFormat="false" ht="15" hidden="false" customHeight="false" outlineLevel="0" collapsed="false">
      <c r="B358" s="17" t="n">
        <f aca="false">DATA_INICIO_SAFRA+351</f>
        <v>46616</v>
      </c>
      <c r="C358" s="16" t="n">
        <f aca="false">MIN(N_SEMANAS,MAX(1,INT(($B358-DATA_INICIO_SAFRA)/DIAS_POR_SEMANA)+1))</f>
        <v>51</v>
      </c>
      <c r="D358" s="16" t="n">
        <f aca="false">INDEX(AUX_MATRIZES!$C$8:$BP$8,MIN(N_SEMANAS,MAX(1,$C358)))/DIAS_POR_SEMANA</f>
        <v>0</v>
      </c>
      <c r="E358" s="16" t="n">
        <f aca="false">MIN(CADASTRO_CASAS_BOMBA!$O$6,MAX(0,E357+CADASTRO_CASAS_BOMBA!$I$6*HORAS_CAPTACAO_DIA-D358))</f>
        <v>2600</v>
      </c>
      <c r="F358" s="16" t="n">
        <f aca="false">MAX(0,D358-CADASTRO_CASAS_BOMBA!$I$6*HORAS_CAPTACAO_DIA-E357)</f>
        <v>0</v>
      </c>
      <c r="G358" s="16" t="n">
        <f aca="false">INDEX(AUX_MATRIZES!$C$9:$BP$9,MIN(N_SEMANAS,MAX(1,$C358)))/DIAS_POR_SEMANA</f>
        <v>0</v>
      </c>
      <c r="H358" s="16" t="n">
        <f aca="false">MIN(CADASTRO_CASAS_BOMBA!$O$7,MAX(0,H357+CADASTRO_CASAS_BOMBA!$I$7*HORAS_CAPTACAO_DIA-G358))</f>
        <v>76648</v>
      </c>
      <c r="I358" s="16" t="n">
        <f aca="false">MAX(0,G358-CADASTRO_CASAS_BOMBA!$I$7*HORAS_CAPTACAO_DIA-H357)</f>
        <v>0</v>
      </c>
      <c r="J358" s="16" t="n">
        <f aca="false">INDEX(AUX_MATRIZES!$C$10:$BP$10,MIN(N_SEMANAS,MAX(1,$C358)))/DIAS_POR_SEMANA</f>
        <v>7083.737232493</v>
      </c>
      <c r="K358" s="16" t="n">
        <f aca="false">MIN(CADASTRO_CASAS_BOMBA!$O$8,MAX(0,K357+CADASTRO_CASAS_BOMBA!$I$8*HORAS_CAPTACAO_DIA-J358))</f>
        <v>27377</v>
      </c>
      <c r="L358" s="16" t="n">
        <f aca="false">MAX(0,J358-CADASTRO_CASAS_BOMBA!$I$8*HORAS_CAPTACAO_DIA-K357)</f>
        <v>0</v>
      </c>
      <c r="M358" s="16" t="n">
        <f aca="false">INDEX(AUX_MATRIZES!$C$11:$BP$11,MIN(N_SEMANAS,MAX(1,$C358)))/DIAS_POR_SEMANA</f>
        <v>0</v>
      </c>
      <c r="N358" s="16" t="n">
        <f aca="false">MIN(CADASTRO_CASAS_BOMBA!$O$9,MAX(0,N357+CADASTRO_CASAS_BOMBA!$I$9*HORAS_CAPTACAO_DIA-M358))</f>
        <v>129000</v>
      </c>
      <c r="O358" s="16" t="n">
        <f aca="false">MAX(0,M358-CADASTRO_CASAS_BOMBA!$I$9*HORAS_CAPTACAO_DIA-N357)</f>
        <v>0</v>
      </c>
      <c r="P358" s="16" t="n">
        <f aca="false">INDEX(AUX_MATRIZES!$C$12:$BP$12,MIN(N_SEMANAS,MAX(1,$C358)))/DIAS_POR_SEMANA</f>
        <v>30457.6790198783</v>
      </c>
      <c r="Q358" s="16" t="n">
        <f aca="false">MIN(CADASTRO_CASAS_BOMBA!$O$10,MAX(0,Q357+CADASTRO_CASAS_BOMBA!$I$10*HORAS_CAPTACAO_DIA-P358))</f>
        <v>448465.39494711</v>
      </c>
      <c r="R358" s="16" t="n">
        <f aca="false">MAX(0,P358-CADASTRO_CASAS_BOMBA!$I$10*HORAS_CAPTACAO_DIA-Q357)</f>
        <v>0</v>
      </c>
      <c r="S358" s="16" t="n">
        <f aca="false">INDEX(AUX_MATRIZES!$C$13:$BP$13,MIN(N_SEMANAS,MAX(1,$C358)))/DIAS_POR_SEMANA</f>
        <v>28583.5520705882</v>
      </c>
      <c r="T358" s="16" t="n">
        <f aca="false">MIN(CADASTRO_CASAS_BOMBA!$O$11,MAX(0,T357+CADASTRO_CASAS_BOMBA!$I$11*HORAS_CAPTACAO_DIA-S358))</f>
        <v>136898.673127722</v>
      </c>
      <c r="U358" s="16" t="n">
        <f aca="false">MAX(0,S358-CADASTRO_CASAS_BOMBA!$I$11*HORAS_CAPTACAO_DIA-T357)</f>
        <v>0</v>
      </c>
      <c r="V358" s="16" t="n">
        <f aca="false">INDEX(AUX_MATRIZES!$C$14:$BP$14,MIN(N_SEMANAS,MAX(1,$C358)))/DIAS_POR_SEMANA</f>
        <v>21981.9421103448</v>
      </c>
      <c r="W358" s="16" t="n">
        <f aca="false">MIN(CADASTRO_CASAS_BOMBA!$O$12,MAX(0,W357+CADASTRO_CASAS_BOMBA!$I$12*HORAS_CAPTACAO_DIA-V358))</f>
        <v>6796.11577931035</v>
      </c>
      <c r="X358" s="16" t="n">
        <f aca="false">MAX(0,V358-CADASTRO_CASAS_BOMBA!$I$12*HORAS_CAPTACAO_DIA-W357)</f>
        <v>0</v>
      </c>
      <c r="Y358" s="16" t="n">
        <f aca="false">INDEX(AUX_MATRIZES!$C$15:$BP$15,MIN(N_SEMANAS,MAX(1,$C358)))/DIAS_POR_SEMANA</f>
        <v>0</v>
      </c>
      <c r="Z358" s="16" t="n">
        <f aca="false">MIN(CADASTRO_CASAS_BOMBA!$O$13,MAX(0,Z357+CADASTRO_CASAS_BOMBA!$I$13*HORAS_CAPTACAO_DIA-Y358))</f>
        <v>74903</v>
      </c>
      <c r="AA358" s="16" t="n">
        <f aca="false">MAX(0,Y358-CADASTRO_CASAS_BOMBA!$I$13*HORAS_CAPTACAO_DIA-Z357)</f>
        <v>0</v>
      </c>
    </row>
    <row r="359" customFormat="false" ht="15" hidden="false" customHeight="false" outlineLevel="0" collapsed="false">
      <c r="B359" s="17" t="n">
        <f aca="false">DATA_INICIO_SAFRA+352</f>
        <v>46617</v>
      </c>
      <c r="C359" s="16" t="n">
        <f aca="false">MIN(N_SEMANAS,MAX(1,INT(($B359-DATA_INICIO_SAFRA)/DIAS_POR_SEMANA)+1))</f>
        <v>51</v>
      </c>
      <c r="D359" s="16" t="n">
        <f aca="false">INDEX(AUX_MATRIZES!$C$8:$BP$8,MIN(N_SEMANAS,MAX(1,$C359)))/DIAS_POR_SEMANA</f>
        <v>0</v>
      </c>
      <c r="E359" s="16" t="n">
        <f aca="false">MIN(CADASTRO_CASAS_BOMBA!$O$6,MAX(0,E358+CADASTRO_CASAS_BOMBA!$I$6*HORAS_CAPTACAO_DIA-D359))</f>
        <v>2600</v>
      </c>
      <c r="F359" s="16" t="n">
        <f aca="false">MAX(0,D359-CADASTRO_CASAS_BOMBA!$I$6*HORAS_CAPTACAO_DIA-E358)</f>
        <v>0</v>
      </c>
      <c r="G359" s="16" t="n">
        <f aca="false">INDEX(AUX_MATRIZES!$C$9:$BP$9,MIN(N_SEMANAS,MAX(1,$C359)))/DIAS_POR_SEMANA</f>
        <v>0</v>
      </c>
      <c r="H359" s="16" t="n">
        <f aca="false">MIN(CADASTRO_CASAS_BOMBA!$O$7,MAX(0,H358+CADASTRO_CASAS_BOMBA!$I$7*HORAS_CAPTACAO_DIA-G359))</f>
        <v>76648</v>
      </c>
      <c r="I359" s="16" t="n">
        <f aca="false">MAX(0,G359-CADASTRO_CASAS_BOMBA!$I$7*HORAS_CAPTACAO_DIA-H358)</f>
        <v>0</v>
      </c>
      <c r="J359" s="16" t="n">
        <f aca="false">INDEX(AUX_MATRIZES!$C$10:$BP$10,MIN(N_SEMANAS,MAX(1,$C359)))/DIAS_POR_SEMANA</f>
        <v>7083.737232493</v>
      </c>
      <c r="K359" s="16" t="n">
        <f aca="false">MIN(CADASTRO_CASAS_BOMBA!$O$8,MAX(0,K358+CADASTRO_CASAS_BOMBA!$I$8*HORAS_CAPTACAO_DIA-J359))</f>
        <v>27377</v>
      </c>
      <c r="L359" s="16" t="n">
        <f aca="false">MAX(0,J359-CADASTRO_CASAS_BOMBA!$I$8*HORAS_CAPTACAO_DIA-K358)</f>
        <v>0</v>
      </c>
      <c r="M359" s="16" t="n">
        <f aca="false">INDEX(AUX_MATRIZES!$C$11:$BP$11,MIN(N_SEMANAS,MAX(1,$C359)))/DIAS_POR_SEMANA</f>
        <v>0</v>
      </c>
      <c r="N359" s="16" t="n">
        <f aca="false">MIN(CADASTRO_CASAS_BOMBA!$O$9,MAX(0,N358+CADASTRO_CASAS_BOMBA!$I$9*HORAS_CAPTACAO_DIA-M359))</f>
        <v>129000</v>
      </c>
      <c r="O359" s="16" t="n">
        <f aca="false">MAX(0,M359-CADASTRO_CASAS_BOMBA!$I$9*HORAS_CAPTACAO_DIA-N358)</f>
        <v>0</v>
      </c>
      <c r="P359" s="16" t="n">
        <f aca="false">INDEX(AUX_MATRIZES!$C$12:$BP$12,MIN(N_SEMANAS,MAX(1,$C359)))/DIAS_POR_SEMANA</f>
        <v>30457.6790198783</v>
      </c>
      <c r="Q359" s="16" t="n">
        <f aca="false">MIN(CADASTRO_CASAS_BOMBA!$O$10,MAX(0,Q358+CADASTRO_CASAS_BOMBA!$I$10*HORAS_CAPTACAO_DIA-P359))</f>
        <v>431090.115927232</v>
      </c>
      <c r="R359" s="16" t="n">
        <f aca="false">MAX(0,P359-CADASTRO_CASAS_BOMBA!$I$10*HORAS_CAPTACAO_DIA-Q358)</f>
        <v>0</v>
      </c>
      <c r="S359" s="16" t="n">
        <f aca="false">INDEX(AUX_MATRIZES!$C$13:$BP$13,MIN(N_SEMANAS,MAX(1,$C359)))/DIAS_POR_SEMANA</f>
        <v>28583.5520705882</v>
      </c>
      <c r="T359" s="16" t="n">
        <f aca="false">MIN(CADASTRO_CASAS_BOMBA!$O$11,MAX(0,T358+CADASTRO_CASAS_BOMBA!$I$11*HORAS_CAPTACAO_DIA-S359))</f>
        <v>129735.121057133</v>
      </c>
      <c r="U359" s="16" t="n">
        <f aca="false">MAX(0,S359-CADASTRO_CASAS_BOMBA!$I$11*HORAS_CAPTACAO_DIA-T358)</f>
        <v>0</v>
      </c>
      <c r="V359" s="16" t="n">
        <f aca="false">INDEX(AUX_MATRIZES!$C$14:$BP$14,MIN(N_SEMANAS,MAX(1,$C359)))/DIAS_POR_SEMANA</f>
        <v>21981.9421103448</v>
      </c>
      <c r="W359" s="16" t="n">
        <f aca="false">MIN(CADASTRO_CASAS_BOMBA!$O$12,MAX(0,W358+CADASTRO_CASAS_BOMBA!$I$12*HORAS_CAPTACAO_DIA-V359))</f>
        <v>10194.1736689655</v>
      </c>
      <c r="X359" s="16" t="n">
        <f aca="false">MAX(0,V359-CADASTRO_CASAS_BOMBA!$I$12*HORAS_CAPTACAO_DIA-W358)</f>
        <v>0</v>
      </c>
      <c r="Y359" s="16" t="n">
        <f aca="false">INDEX(AUX_MATRIZES!$C$15:$BP$15,MIN(N_SEMANAS,MAX(1,$C359)))/DIAS_POR_SEMANA</f>
        <v>0</v>
      </c>
      <c r="Z359" s="16" t="n">
        <f aca="false">MIN(CADASTRO_CASAS_BOMBA!$O$13,MAX(0,Z358+CADASTRO_CASAS_BOMBA!$I$13*HORAS_CAPTACAO_DIA-Y359))</f>
        <v>74903</v>
      </c>
      <c r="AA359" s="16" t="n">
        <f aca="false">MAX(0,Y359-CADASTRO_CASAS_BOMBA!$I$13*HORAS_CAPTACAO_DIA-Z358)</f>
        <v>0</v>
      </c>
    </row>
    <row r="360" customFormat="false" ht="15" hidden="false" customHeight="false" outlineLevel="0" collapsed="false">
      <c r="B360" s="17" t="n">
        <f aca="false">DATA_INICIO_SAFRA+353</f>
        <v>46618</v>
      </c>
      <c r="C360" s="16" t="n">
        <f aca="false">MIN(N_SEMANAS,MAX(1,INT(($B360-DATA_INICIO_SAFRA)/DIAS_POR_SEMANA)+1))</f>
        <v>51</v>
      </c>
      <c r="D360" s="16" t="n">
        <f aca="false">INDEX(AUX_MATRIZES!$C$8:$BP$8,MIN(N_SEMANAS,MAX(1,$C360)))/DIAS_POR_SEMANA</f>
        <v>0</v>
      </c>
      <c r="E360" s="16" t="n">
        <f aca="false">MIN(CADASTRO_CASAS_BOMBA!$O$6,MAX(0,E359+CADASTRO_CASAS_BOMBA!$I$6*HORAS_CAPTACAO_DIA-D360))</f>
        <v>2600</v>
      </c>
      <c r="F360" s="16" t="n">
        <f aca="false">MAX(0,D360-CADASTRO_CASAS_BOMBA!$I$6*HORAS_CAPTACAO_DIA-E359)</f>
        <v>0</v>
      </c>
      <c r="G360" s="16" t="n">
        <f aca="false">INDEX(AUX_MATRIZES!$C$9:$BP$9,MIN(N_SEMANAS,MAX(1,$C360)))/DIAS_POR_SEMANA</f>
        <v>0</v>
      </c>
      <c r="H360" s="16" t="n">
        <f aca="false">MIN(CADASTRO_CASAS_BOMBA!$O$7,MAX(0,H359+CADASTRO_CASAS_BOMBA!$I$7*HORAS_CAPTACAO_DIA-G360))</f>
        <v>76648</v>
      </c>
      <c r="I360" s="16" t="n">
        <f aca="false">MAX(0,G360-CADASTRO_CASAS_BOMBA!$I$7*HORAS_CAPTACAO_DIA-H359)</f>
        <v>0</v>
      </c>
      <c r="J360" s="16" t="n">
        <f aca="false">INDEX(AUX_MATRIZES!$C$10:$BP$10,MIN(N_SEMANAS,MAX(1,$C360)))/DIAS_POR_SEMANA</f>
        <v>7083.737232493</v>
      </c>
      <c r="K360" s="16" t="n">
        <f aca="false">MIN(CADASTRO_CASAS_BOMBA!$O$8,MAX(0,K359+CADASTRO_CASAS_BOMBA!$I$8*HORAS_CAPTACAO_DIA-J360))</f>
        <v>27377</v>
      </c>
      <c r="L360" s="16" t="n">
        <f aca="false">MAX(0,J360-CADASTRO_CASAS_BOMBA!$I$8*HORAS_CAPTACAO_DIA-K359)</f>
        <v>0</v>
      </c>
      <c r="M360" s="16" t="n">
        <f aca="false">INDEX(AUX_MATRIZES!$C$11:$BP$11,MIN(N_SEMANAS,MAX(1,$C360)))/DIAS_POR_SEMANA</f>
        <v>0</v>
      </c>
      <c r="N360" s="16" t="n">
        <f aca="false">MIN(CADASTRO_CASAS_BOMBA!$O$9,MAX(0,N359+CADASTRO_CASAS_BOMBA!$I$9*HORAS_CAPTACAO_DIA-M360))</f>
        <v>129000</v>
      </c>
      <c r="O360" s="16" t="n">
        <f aca="false">MAX(0,M360-CADASTRO_CASAS_BOMBA!$I$9*HORAS_CAPTACAO_DIA-N359)</f>
        <v>0</v>
      </c>
      <c r="P360" s="16" t="n">
        <f aca="false">INDEX(AUX_MATRIZES!$C$12:$BP$12,MIN(N_SEMANAS,MAX(1,$C360)))/DIAS_POR_SEMANA</f>
        <v>30457.6790198783</v>
      </c>
      <c r="Q360" s="16" t="n">
        <f aca="false">MIN(CADASTRO_CASAS_BOMBA!$O$10,MAX(0,Q359+CADASTRO_CASAS_BOMBA!$I$10*HORAS_CAPTACAO_DIA-P360))</f>
        <v>413714.836907354</v>
      </c>
      <c r="R360" s="16" t="n">
        <f aca="false">MAX(0,P360-CADASTRO_CASAS_BOMBA!$I$10*HORAS_CAPTACAO_DIA-Q359)</f>
        <v>0</v>
      </c>
      <c r="S360" s="16" t="n">
        <f aca="false">INDEX(AUX_MATRIZES!$C$13:$BP$13,MIN(N_SEMANAS,MAX(1,$C360)))/DIAS_POR_SEMANA</f>
        <v>28583.5520705882</v>
      </c>
      <c r="T360" s="16" t="n">
        <f aca="false">MIN(CADASTRO_CASAS_BOMBA!$O$11,MAX(0,T359+CADASTRO_CASAS_BOMBA!$I$11*HORAS_CAPTACAO_DIA-S360))</f>
        <v>122571.568986545</v>
      </c>
      <c r="U360" s="16" t="n">
        <f aca="false">MAX(0,S360-CADASTRO_CASAS_BOMBA!$I$11*HORAS_CAPTACAO_DIA-T359)</f>
        <v>0</v>
      </c>
      <c r="V360" s="16" t="n">
        <f aca="false">INDEX(AUX_MATRIZES!$C$14:$BP$14,MIN(N_SEMANAS,MAX(1,$C360)))/DIAS_POR_SEMANA</f>
        <v>21981.9421103448</v>
      </c>
      <c r="W360" s="16" t="n">
        <f aca="false">MIN(CADASTRO_CASAS_BOMBA!$O$12,MAX(0,W359+CADASTRO_CASAS_BOMBA!$I$12*HORAS_CAPTACAO_DIA-V360))</f>
        <v>13592.2315586207</v>
      </c>
      <c r="X360" s="16" t="n">
        <f aca="false">MAX(0,V360-CADASTRO_CASAS_BOMBA!$I$12*HORAS_CAPTACAO_DIA-W359)</f>
        <v>0</v>
      </c>
      <c r="Y360" s="16" t="n">
        <f aca="false">INDEX(AUX_MATRIZES!$C$15:$BP$15,MIN(N_SEMANAS,MAX(1,$C360)))/DIAS_POR_SEMANA</f>
        <v>0</v>
      </c>
      <c r="Z360" s="16" t="n">
        <f aca="false">MIN(CADASTRO_CASAS_BOMBA!$O$13,MAX(0,Z359+CADASTRO_CASAS_BOMBA!$I$13*HORAS_CAPTACAO_DIA-Y360))</f>
        <v>74903</v>
      </c>
      <c r="AA360" s="16" t="n">
        <f aca="false">MAX(0,Y360-CADASTRO_CASAS_BOMBA!$I$13*HORAS_CAPTACAO_DIA-Z359)</f>
        <v>0</v>
      </c>
    </row>
    <row r="361" customFormat="false" ht="15" hidden="false" customHeight="false" outlineLevel="0" collapsed="false">
      <c r="B361" s="17" t="n">
        <f aca="false">DATA_INICIO_SAFRA+354</f>
        <v>46619</v>
      </c>
      <c r="C361" s="16" t="n">
        <f aca="false">MIN(N_SEMANAS,MAX(1,INT(($B361-DATA_INICIO_SAFRA)/DIAS_POR_SEMANA)+1))</f>
        <v>51</v>
      </c>
      <c r="D361" s="16" t="n">
        <f aca="false">INDEX(AUX_MATRIZES!$C$8:$BP$8,MIN(N_SEMANAS,MAX(1,$C361)))/DIAS_POR_SEMANA</f>
        <v>0</v>
      </c>
      <c r="E361" s="16" t="n">
        <f aca="false">MIN(CADASTRO_CASAS_BOMBA!$O$6,MAX(0,E360+CADASTRO_CASAS_BOMBA!$I$6*HORAS_CAPTACAO_DIA-D361))</f>
        <v>2600</v>
      </c>
      <c r="F361" s="16" t="n">
        <f aca="false">MAX(0,D361-CADASTRO_CASAS_BOMBA!$I$6*HORAS_CAPTACAO_DIA-E360)</f>
        <v>0</v>
      </c>
      <c r="G361" s="16" t="n">
        <f aca="false">INDEX(AUX_MATRIZES!$C$9:$BP$9,MIN(N_SEMANAS,MAX(1,$C361)))/DIAS_POR_SEMANA</f>
        <v>0</v>
      </c>
      <c r="H361" s="16" t="n">
        <f aca="false">MIN(CADASTRO_CASAS_BOMBA!$O$7,MAX(0,H360+CADASTRO_CASAS_BOMBA!$I$7*HORAS_CAPTACAO_DIA-G361))</f>
        <v>76648</v>
      </c>
      <c r="I361" s="16" t="n">
        <f aca="false">MAX(0,G361-CADASTRO_CASAS_BOMBA!$I$7*HORAS_CAPTACAO_DIA-H360)</f>
        <v>0</v>
      </c>
      <c r="J361" s="16" t="n">
        <f aca="false">INDEX(AUX_MATRIZES!$C$10:$BP$10,MIN(N_SEMANAS,MAX(1,$C361)))/DIAS_POR_SEMANA</f>
        <v>7083.737232493</v>
      </c>
      <c r="K361" s="16" t="n">
        <f aca="false">MIN(CADASTRO_CASAS_BOMBA!$O$8,MAX(0,K360+CADASTRO_CASAS_BOMBA!$I$8*HORAS_CAPTACAO_DIA-J361))</f>
        <v>27377</v>
      </c>
      <c r="L361" s="16" t="n">
        <f aca="false">MAX(0,J361-CADASTRO_CASAS_BOMBA!$I$8*HORAS_CAPTACAO_DIA-K360)</f>
        <v>0</v>
      </c>
      <c r="M361" s="16" t="n">
        <f aca="false">INDEX(AUX_MATRIZES!$C$11:$BP$11,MIN(N_SEMANAS,MAX(1,$C361)))/DIAS_POR_SEMANA</f>
        <v>0</v>
      </c>
      <c r="N361" s="16" t="n">
        <f aca="false">MIN(CADASTRO_CASAS_BOMBA!$O$9,MAX(0,N360+CADASTRO_CASAS_BOMBA!$I$9*HORAS_CAPTACAO_DIA-M361))</f>
        <v>129000</v>
      </c>
      <c r="O361" s="16" t="n">
        <f aca="false">MAX(0,M361-CADASTRO_CASAS_BOMBA!$I$9*HORAS_CAPTACAO_DIA-N360)</f>
        <v>0</v>
      </c>
      <c r="P361" s="16" t="n">
        <f aca="false">INDEX(AUX_MATRIZES!$C$12:$BP$12,MIN(N_SEMANAS,MAX(1,$C361)))/DIAS_POR_SEMANA</f>
        <v>30457.6790198783</v>
      </c>
      <c r="Q361" s="16" t="n">
        <f aca="false">MIN(CADASTRO_CASAS_BOMBA!$O$10,MAX(0,Q360+CADASTRO_CASAS_BOMBA!$I$10*HORAS_CAPTACAO_DIA-P361))</f>
        <v>396339.557887476</v>
      </c>
      <c r="R361" s="16" t="n">
        <f aca="false">MAX(0,P361-CADASTRO_CASAS_BOMBA!$I$10*HORAS_CAPTACAO_DIA-Q360)</f>
        <v>0</v>
      </c>
      <c r="S361" s="16" t="n">
        <f aca="false">INDEX(AUX_MATRIZES!$C$13:$BP$13,MIN(N_SEMANAS,MAX(1,$C361)))/DIAS_POR_SEMANA</f>
        <v>28583.5520705882</v>
      </c>
      <c r="T361" s="16" t="n">
        <f aca="false">MIN(CADASTRO_CASAS_BOMBA!$O$11,MAX(0,T360+CADASTRO_CASAS_BOMBA!$I$11*HORAS_CAPTACAO_DIA-S361))</f>
        <v>115408.016915957</v>
      </c>
      <c r="U361" s="16" t="n">
        <f aca="false">MAX(0,S361-CADASTRO_CASAS_BOMBA!$I$11*HORAS_CAPTACAO_DIA-T360)</f>
        <v>0</v>
      </c>
      <c r="V361" s="16" t="n">
        <f aca="false">INDEX(AUX_MATRIZES!$C$14:$BP$14,MIN(N_SEMANAS,MAX(1,$C361)))/DIAS_POR_SEMANA</f>
        <v>21981.9421103448</v>
      </c>
      <c r="W361" s="16" t="n">
        <f aca="false">MIN(CADASTRO_CASAS_BOMBA!$O$12,MAX(0,W360+CADASTRO_CASAS_BOMBA!$I$12*HORAS_CAPTACAO_DIA-V361))</f>
        <v>16990.2894482759</v>
      </c>
      <c r="X361" s="16" t="n">
        <f aca="false">MAX(0,V361-CADASTRO_CASAS_BOMBA!$I$12*HORAS_CAPTACAO_DIA-W360)</f>
        <v>0</v>
      </c>
      <c r="Y361" s="16" t="n">
        <f aca="false">INDEX(AUX_MATRIZES!$C$15:$BP$15,MIN(N_SEMANAS,MAX(1,$C361)))/DIAS_POR_SEMANA</f>
        <v>0</v>
      </c>
      <c r="Z361" s="16" t="n">
        <f aca="false">MIN(CADASTRO_CASAS_BOMBA!$O$13,MAX(0,Z360+CADASTRO_CASAS_BOMBA!$I$13*HORAS_CAPTACAO_DIA-Y361))</f>
        <v>74903</v>
      </c>
      <c r="AA361" s="16" t="n">
        <f aca="false">MAX(0,Y361-CADASTRO_CASAS_BOMBA!$I$13*HORAS_CAPTACAO_DIA-Z360)</f>
        <v>0</v>
      </c>
    </row>
    <row r="362" customFormat="false" ht="15" hidden="false" customHeight="false" outlineLevel="0" collapsed="false">
      <c r="B362" s="17" t="n">
        <f aca="false">DATA_INICIO_SAFRA+355</f>
        <v>46620</v>
      </c>
      <c r="C362" s="16" t="n">
        <f aca="false">MIN(N_SEMANAS,MAX(1,INT(($B362-DATA_INICIO_SAFRA)/DIAS_POR_SEMANA)+1))</f>
        <v>51</v>
      </c>
      <c r="D362" s="16" t="n">
        <f aca="false">INDEX(AUX_MATRIZES!$C$8:$BP$8,MIN(N_SEMANAS,MAX(1,$C362)))/DIAS_POR_SEMANA</f>
        <v>0</v>
      </c>
      <c r="E362" s="16" t="n">
        <f aca="false">MIN(CADASTRO_CASAS_BOMBA!$O$6,MAX(0,E361+CADASTRO_CASAS_BOMBA!$I$6*HORAS_CAPTACAO_DIA-D362))</f>
        <v>2600</v>
      </c>
      <c r="F362" s="16" t="n">
        <f aca="false">MAX(0,D362-CADASTRO_CASAS_BOMBA!$I$6*HORAS_CAPTACAO_DIA-E361)</f>
        <v>0</v>
      </c>
      <c r="G362" s="16" t="n">
        <f aca="false">INDEX(AUX_MATRIZES!$C$9:$BP$9,MIN(N_SEMANAS,MAX(1,$C362)))/DIAS_POR_SEMANA</f>
        <v>0</v>
      </c>
      <c r="H362" s="16" t="n">
        <f aca="false">MIN(CADASTRO_CASAS_BOMBA!$O$7,MAX(0,H361+CADASTRO_CASAS_BOMBA!$I$7*HORAS_CAPTACAO_DIA-G362))</f>
        <v>76648</v>
      </c>
      <c r="I362" s="16" t="n">
        <f aca="false">MAX(0,G362-CADASTRO_CASAS_BOMBA!$I$7*HORAS_CAPTACAO_DIA-H361)</f>
        <v>0</v>
      </c>
      <c r="J362" s="16" t="n">
        <f aca="false">INDEX(AUX_MATRIZES!$C$10:$BP$10,MIN(N_SEMANAS,MAX(1,$C362)))/DIAS_POR_SEMANA</f>
        <v>7083.737232493</v>
      </c>
      <c r="K362" s="16" t="n">
        <f aca="false">MIN(CADASTRO_CASAS_BOMBA!$O$8,MAX(0,K361+CADASTRO_CASAS_BOMBA!$I$8*HORAS_CAPTACAO_DIA-J362))</f>
        <v>27377</v>
      </c>
      <c r="L362" s="16" t="n">
        <f aca="false">MAX(0,J362-CADASTRO_CASAS_BOMBA!$I$8*HORAS_CAPTACAO_DIA-K361)</f>
        <v>0</v>
      </c>
      <c r="M362" s="16" t="n">
        <f aca="false">INDEX(AUX_MATRIZES!$C$11:$BP$11,MIN(N_SEMANAS,MAX(1,$C362)))/DIAS_POR_SEMANA</f>
        <v>0</v>
      </c>
      <c r="N362" s="16" t="n">
        <f aca="false">MIN(CADASTRO_CASAS_BOMBA!$O$9,MAX(0,N361+CADASTRO_CASAS_BOMBA!$I$9*HORAS_CAPTACAO_DIA-M362))</f>
        <v>129000</v>
      </c>
      <c r="O362" s="16" t="n">
        <f aca="false">MAX(0,M362-CADASTRO_CASAS_BOMBA!$I$9*HORAS_CAPTACAO_DIA-N361)</f>
        <v>0</v>
      </c>
      <c r="P362" s="16" t="n">
        <f aca="false">INDEX(AUX_MATRIZES!$C$12:$BP$12,MIN(N_SEMANAS,MAX(1,$C362)))/DIAS_POR_SEMANA</f>
        <v>30457.6790198783</v>
      </c>
      <c r="Q362" s="16" t="n">
        <f aca="false">MIN(CADASTRO_CASAS_BOMBA!$O$10,MAX(0,Q361+CADASTRO_CASAS_BOMBA!$I$10*HORAS_CAPTACAO_DIA-P362))</f>
        <v>378964.278867597</v>
      </c>
      <c r="R362" s="16" t="n">
        <f aca="false">MAX(0,P362-CADASTRO_CASAS_BOMBA!$I$10*HORAS_CAPTACAO_DIA-Q361)</f>
        <v>0</v>
      </c>
      <c r="S362" s="16" t="n">
        <f aca="false">INDEX(AUX_MATRIZES!$C$13:$BP$13,MIN(N_SEMANAS,MAX(1,$C362)))/DIAS_POR_SEMANA</f>
        <v>28583.5520705882</v>
      </c>
      <c r="T362" s="16" t="n">
        <f aca="false">MIN(CADASTRO_CASAS_BOMBA!$O$11,MAX(0,T361+CADASTRO_CASAS_BOMBA!$I$11*HORAS_CAPTACAO_DIA-S362))</f>
        <v>108244.464845369</v>
      </c>
      <c r="U362" s="16" t="n">
        <f aca="false">MAX(0,S362-CADASTRO_CASAS_BOMBA!$I$11*HORAS_CAPTACAO_DIA-T361)</f>
        <v>0</v>
      </c>
      <c r="V362" s="16" t="n">
        <f aca="false">INDEX(AUX_MATRIZES!$C$14:$BP$14,MIN(N_SEMANAS,MAX(1,$C362)))/DIAS_POR_SEMANA</f>
        <v>21981.9421103448</v>
      </c>
      <c r="W362" s="16" t="n">
        <f aca="false">MIN(CADASTRO_CASAS_BOMBA!$O$12,MAX(0,W361+CADASTRO_CASAS_BOMBA!$I$12*HORAS_CAPTACAO_DIA-V362))</f>
        <v>20388.347337931</v>
      </c>
      <c r="X362" s="16" t="n">
        <f aca="false">MAX(0,V362-CADASTRO_CASAS_BOMBA!$I$12*HORAS_CAPTACAO_DIA-W361)</f>
        <v>0</v>
      </c>
      <c r="Y362" s="16" t="n">
        <f aca="false">INDEX(AUX_MATRIZES!$C$15:$BP$15,MIN(N_SEMANAS,MAX(1,$C362)))/DIAS_POR_SEMANA</f>
        <v>0</v>
      </c>
      <c r="Z362" s="16" t="n">
        <f aca="false">MIN(CADASTRO_CASAS_BOMBA!$O$13,MAX(0,Z361+CADASTRO_CASAS_BOMBA!$I$13*HORAS_CAPTACAO_DIA-Y362))</f>
        <v>74903</v>
      </c>
      <c r="AA362" s="16" t="n">
        <f aca="false">MAX(0,Y362-CADASTRO_CASAS_BOMBA!$I$13*HORAS_CAPTACAO_DIA-Z361)</f>
        <v>0</v>
      </c>
    </row>
    <row r="363" customFormat="false" ht="15" hidden="false" customHeight="false" outlineLevel="0" collapsed="false">
      <c r="B363" s="17" t="n">
        <f aca="false">DATA_INICIO_SAFRA+356</f>
        <v>46621</v>
      </c>
      <c r="C363" s="16" t="n">
        <f aca="false">MIN(N_SEMANAS,MAX(1,INT(($B363-DATA_INICIO_SAFRA)/DIAS_POR_SEMANA)+1))</f>
        <v>51</v>
      </c>
      <c r="D363" s="16" t="n">
        <f aca="false">INDEX(AUX_MATRIZES!$C$8:$BP$8,MIN(N_SEMANAS,MAX(1,$C363)))/DIAS_POR_SEMANA</f>
        <v>0</v>
      </c>
      <c r="E363" s="16" t="n">
        <f aca="false">MIN(CADASTRO_CASAS_BOMBA!$O$6,MAX(0,E362+CADASTRO_CASAS_BOMBA!$I$6*HORAS_CAPTACAO_DIA-D363))</f>
        <v>2600</v>
      </c>
      <c r="F363" s="16" t="n">
        <f aca="false">MAX(0,D363-CADASTRO_CASAS_BOMBA!$I$6*HORAS_CAPTACAO_DIA-E362)</f>
        <v>0</v>
      </c>
      <c r="G363" s="16" t="n">
        <f aca="false">INDEX(AUX_MATRIZES!$C$9:$BP$9,MIN(N_SEMANAS,MAX(1,$C363)))/DIAS_POR_SEMANA</f>
        <v>0</v>
      </c>
      <c r="H363" s="16" t="n">
        <f aca="false">MIN(CADASTRO_CASAS_BOMBA!$O$7,MAX(0,H362+CADASTRO_CASAS_BOMBA!$I$7*HORAS_CAPTACAO_DIA-G363))</f>
        <v>76648</v>
      </c>
      <c r="I363" s="16" t="n">
        <f aca="false">MAX(0,G363-CADASTRO_CASAS_BOMBA!$I$7*HORAS_CAPTACAO_DIA-H362)</f>
        <v>0</v>
      </c>
      <c r="J363" s="16" t="n">
        <f aca="false">INDEX(AUX_MATRIZES!$C$10:$BP$10,MIN(N_SEMANAS,MAX(1,$C363)))/DIAS_POR_SEMANA</f>
        <v>7083.737232493</v>
      </c>
      <c r="K363" s="16" t="n">
        <f aca="false">MIN(CADASTRO_CASAS_BOMBA!$O$8,MAX(0,K362+CADASTRO_CASAS_BOMBA!$I$8*HORAS_CAPTACAO_DIA-J363))</f>
        <v>27377</v>
      </c>
      <c r="L363" s="16" t="n">
        <f aca="false">MAX(0,J363-CADASTRO_CASAS_BOMBA!$I$8*HORAS_CAPTACAO_DIA-K362)</f>
        <v>0</v>
      </c>
      <c r="M363" s="16" t="n">
        <f aca="false">INDEX(AUX_MATRIZES!$C$11:$BP$11,MIN(N_SEMANAS,MAX(1,$C363)))/DIAS_POR_SEMANA</f>
        <v>0</v>
      </c>
      <c r="N363" s="16" t="n">
        <f aca="false">MIN(CADASTRO_CASAS_BOMBA!$O$9,MAX(0,N362+CADASTRO_CASAS_BOMBA!$I$9*HORAS_CAPTACAO_DIA-M363))</f>
        <v>129000</v>
      </c>
      <c r="O363" s="16" t="n">
        <f aca="false">MAX(0,M363-CADASTRO_CASAS_BOMBA!$I$9*HORAS_CAPTACAO_DIA-N362)</f>
        <v>0</v>
      </c>
      <c r="P363" s="16" t="n">
        <f aca="false">INDEX(AUX_MATRIZES!$C$12:$BP$12,MIN(N_SEMANAS,MAX(1,$C363)))/DIAS_POR_SEMANA</f>
        <v>30457.6790198783</v>
      </c>
      <c r="Q363" s="16" t="n">
        <f aca="false">MIN(CADASTRO_CASAS_BOMBA!$O$10,MAX(0,Q362+CADASTRO_CASAS_BOMBA!$I$10*HORAS_CAPTACAO_DIA-P363))</f>
        <v>361588.999847719</v>
      </c>
      <c r="R363" s="16" t="n">
        <f aca="false">MAX(0,P363-CADASTRO_CASAS_BOMBA!$I$10*HORAS_CAPTACAO_DIA-Q362)</f>
        <v>0</v>
      </c>
      <c r="S363" s="16" t="n">
        <f aca="false">INDEX(AUX_MATRIZES!$C$13:$BP$13,MIN(N_SEMANAS,MAX(1,$C363)))/DIAS_POR_SEMANA</f>
        <v>28583.5520705882</v>
      </c>
      <c r="T363" s="16" t="n">
        <f aca="false">MIN(CADASTRO_CASAS_BOMBA!$O$11,MAX(0,T362+CADASTRO_CASAS_BOMBA!$I$11*HORAS_CAPTACAO_DIA-S363))</f>
        <v>101080.91277478</v>
      </c>
      <c r="U363" s="16" t="n">
        <f aca="false">MAX(0,S363-CADASTRO_CASAS_BOMBA!$I$11*HORAS_CAPTACAO_DIA-T362)</f>
        <v>0</v>
      </c>
      <c r="V363" s="16" t="n">
        <f aca="false">INDEX(AUX_MATRIZES!$C$14:$BP$14,MIN(N_SEMANAS,MAX(1,$C363)))/DIAS_POR_SEMANA</f>
        <v>21981.9421103448</v>
      </c>
      <c r="W363" s="16" t="n">
        <f aca="false">MIN(CADASTRO_CASAS_BOMBA!$O$12,MAX(0,W362+CADASTRO_CASAS_BOMBA!$I$12*HORAS_CAPTACAO_DIA-V363))</f>
        <v>23786.4052275862</v>
      </c>
      <c r="X363" s="16" t="n">
        <f aca="false">MAX(0,V363-CADASTRO_CASAS_BOMBA!$I$12*HORAS_CAPTACAO_DIA-W362)</f>
        <v>0</v>
      </c>
      <c r="Y363" s="16" t="n">
        <f aca="false">INDEX(AUX_MATRIZES!$C$15:$BP$15,MIN(N_SEMANAS,MAX(1,$C363)))/DIAS_POR_SEMANA</f>
        <v>0</v>
      </c>
      <c r="Z363" s="16" t="n">
        <f aca="false">MIN(CADASTRO_CASAS_BOMBA!$O$13,MAX(0,Z362+CADASTRO_CASAS_BOMBA!$I$13*HORAS_CAPTACAO_DIA-Y363))</f>
        <v>74903</v>
      </c>
      <c r="AA363" s="16" t="n">
        <f aca="false">MAX(0,Y363-CADASTRO_CASAS_BOMBA!$I$13*HORAS_CAPTACAO_DIA-Z362)</f>
        <v>0</v>
      </c>
    </row>
    <row r="364" customFormat="false" ht="15" hidden="false" customHeight="false" outlineLevel="0" collapsed="false">
      <c r="B364" s="17" t="n">
        <f aca="false">DATA_INICIO_SAFRA+357</f>
        <v>46622</v>
      </c>
      <c r="C364" s="16" t="n">
        <f aca="false">MIN(N_SEMANAS,MAX(1,INT(($B364-DATA_INICIO_SAFRA)/DIAS_POR_SEMANA)+1))</f>
        <v>52</v>
      </c>
      <c r="D364" s="16" t="n">
        <f aca="false">INDEX(AUX_MATRIZES!$C$8:$BP$8,MIN(N_SEMANAS,MAX(1,$C364)))/DIAS_POR_SEMANA</f>
        <v>0</v>
      </c>
      <c r="E364" s="16" t="n">
        <f aca="false">MIN(CADASTRO_CASAS_BOMBA!$O$6,MAX(0,E363+CADASTRO_CASAS_BOMBA!$I$6*HORAS_CAPTACAO_DIA-D364))</f>
        <v>2600</v>
      </c>
      <c r="F364" s="16" t="n">
        <f aca="false">MAX(0,D364-CADASTRO_CASAS_BOMBA!$I$6*HORAS_CAPTACAO_DIA-E363)</f>
        <v>0</v>
      </c>
      <c r="G364" s="16" t="n">
        <f aca="false">INDEX(AUX_MATRIZES!$C$9:$BP$9,MIN(N_SEMANAS,MAX(1,$C364)))/DIAS_POR_SEMANA</f>
        <v>0</v>
      </c>
      <c r="H364" s="16" t="n">
        <f aca="false">MIN(CADASTRO_CASAS_BOMBA!$O$7,MAX(0,H363+CADASTRO_CASAS_BOMBA!$I$7*HORAS_CAPTACAO_DIA-G364))</f>
        <v>76648</v>
      </c>
      <c r="I364" s="16" t="n">
        <f aca="false">MAX(0,G364-CADASTRO_CASAS_BOMBA!$I$7*HORAS_CAPTACAO_DIA-H363)</f>
        <v>0</v>
      </c>
      <c r="J364" s="16" t="n">
        <f aca="false">INDEX(AUX_MATRIZES!$C$10:$BP$10,MIN(N_SEMANAS,MAX(1,$C364)))/DIAS_POR_SEMANA</f>
        <v>0</v>
      </c>
      <c r="K364" s="16" t="n">
        <f aca="false">MIN(CADASTRO_CASAS_BOMBA!$O$8,MAX(0,K363+CADASTRO_CASAS_BOMBA!$I$8*HORAS_CAPTACAO_DIA-J364))</f>
        <v>27377</v>
      </c>
      <c r="L364" s="16" t="n">
        <f aca="false">MAX(0,J364-CADASTRO_CASAS_BOMBA!$I$8*HORAS_CAPTACAO_DIA-K363)</f>
        <v>0</v>
      </c>
      <c r="M364" s="16" t="n">
        <f aca="false">INDEX(AUX_MATRIZES!$C$11:$BP$11,MIN(N_SEMANAS,MAX(1,$C364)))/DIAS_POR_SEMANA</f>
        <v>0</v>
      </c>
      <c r="N364" s="16" t="n">
        <f aca="false">MIN(CADASTRO_CASAS_BOMBA!$O$9,MAX(0,N363+CADASTRO_CASAS_BOMBA!$I$9*HORAS_CAPTACAO_DIA-M364))</f>
        <v>129000</v>
      </c>
      <c r="O364" s="16" t="n">
        <f aca="false">MAX(0,M364-CADASTRO_CASAS_BOMBA!$I$9*HORAS_CAPTACAO_DIA-N363)</f>
        <v>0</v>
      </c>
      <c r="P364" s="16" t="n">
        <f aca="false">INDEX(AUX_MATRIZES!$C$12:$BP$12,MIN(N_SEMANAS,MAX(1,$C364)))/DIAS_POR_SEMANA</f>
        <v>32465.1515716024</v>
      </c>
      <c r="Q364" s="16" t="n">
        <f aca="false">MIN(CADASTRO_CASAS_BOMBA!$O$10,MAX(0,Q363+CADASTRO_CASAS_BOMBA!$I$10*HORAS_CAPTACAO_DIA-P364))</f>
        <v>342206.248276117</v>
      </c>
      <c r="R364" s="16" t="n">
        <f aca="false">MAX(0,P364-CADASTRO_CASAS_BOMBA!$I$10*HORAS_CAPTACAO_DIA-Q363)</f>
        <v>0</v>
      </c>
      <c r="S364" s="16" t="n">
        <f aca="false">INDEX(AUX_MATRIZES!$C$13:$BP$13,MIN(N_SEMANAS,MAX(1,$C364)))/DIAS_POR_SEMANA</f>
        <v>30490.3575058824</v>
      </c>
      <c r="T364" s="16" t="n">
        <f aca="false">MIN(CADASTRO_CASAS_BOMBA!$O$11,MAX(0,T363+CADASTRO_CASAS_BOMBA!$I$11*HORAS_CAPTACAO_DIA-S364))</f>
        <v>92010.5552688981</v>
      </c>
      <c r="U364" s="16" t="n">
        <f aca="false">MAX(0,S364-CADASTRO_CASAS_BOMBA!$I$11*HORAS_CAPTACAO_DIA-T363)</f>
        <v>0</v>
      </c>
      <c r="V364" s="16" t="n">
        <f aca="false">INDEX(AUX_MATRIZES!$C$14:$BP$14,MIN(N_SEMANAS,MAX(1,$C364)))/DIAS_POR_SEMANA</f>
        <v>24384.4318182556</v>
      </c>
      <c r="W364" s="16" t="n">
        <f aca="false">MIN(CADASTRO_CASAS_BOMBA!$O$12,MAX(0,W363+CADASTRO_CASAS_BOMBA!$I$12*HORAS_CAPTACAO_DIA-V364))</f>
        <v>24781.9734093306</v>
      </c>
      <c r="X364" s="16" t="n">
        <f aca="false">MAX(0,V364-CADASTRO_CASAS_BOMBA!$I$12*HORAS_CAPTACAO_DIA-W363)</f>
        <v>0</v>
      </c>
      <c r="Y364" s="16" t="n">
        <f aca="false">INDEX(AUX_MATRIZES!$C$15:$BP$15,MIN(N_SEMANAS,MAX(1,$C364)))/DIAS_POR_SEMANA</f>
        <v>0</v>
      </c>
      <c r="Z364" s="16" t="n">
        <f aca="false">MIN(CADASTRO_CASAS_BOMBA!$O$13,MAX(0,Z363+CADASTRO_CASAS_BOMBA!$I$13*HORAS_CAPTACAO_DIA-Y364))</f>
        <v>74903</v>
      </c>
      <c r="AA364" s="16" t="n">
        <f aca="false">MAX(0,Y364-CADASTRO_CASAS_BOMBA!$I$13*HORAS_CAPTACAO_DIA-Z363)</f>
        <v>0</v>
      </c>
    </row>
    <row r="365" customFormat="false" ht="15" hidden="false" customHeight="false" outlineLevel="0" collapsed="false">
      <c r="B365" s="17" t="n">
        <f aca="false">DATA_INICIO_SAFRA+358</f>
        <v>46623</v>
      </c>
      <c r="C365" s="16" t="n">
        <f aca="false">MIN(N_SEMANAS,MAX(1,INT(($B365-DATA_INICIO_SAFRA)/DIAS_POR_SEMANA)+1))</f>
        <v>52</v>
      </c>
      <c r="D365" s="16" t="n">
        <f aca="false">INDEX(AUX_MATRIZES!$C$8:$BP$8,MIN(N_SEMANAS,MAX(1,$C365)))/DIAS_POR_SEMANA</f>
        <v>0</v>
      </c>
      <c r="E365" s="16" t="n">
        <f aca="false">MIN(CADASTRO_CASAS_BOMBA!$O$6,MAX(0,E364+CADASTRO_CASAS_BOMBA!$I$6*HORAS_CAPTACAO_DIA-D365))</f>
        <v>2600</v>
      </c>
      <c r="F365" s="16" t="n">
        <f aca="false">MAX(0,D365-CADASTRO_CASAS_BOMBA!$I$6*HORAS_CAPTACAO_DIA-E364)</f>
        <v>0</v>
      </c>
      <c r="G365" s="16" t="n">
        <f aca="false">INDEX(AUX_MATRIZES!$C$9:$BP$9,MIN(N_SEMANAS,MAX(1,$C365)))/DIAS_POR_SEMANA</f>
        <v>0</v>
      </c>
      <c r="H365" s="16" t="n">
        <f aca="false">MIN(CADASTRO_CASAS_BOMBA!$O$7,MAX(0,H364+CADASTRO_CASAS_BOMBA!$I$7*HORAS_CAPTACAO_DIA-G365))</f>
        <v>76648</v>
      </c>
      <c r="I365" s="16" t="n">
        <f aca="false">MAX(0,G365-CADASTRO_CASAS_BOMBA!$I$7*HORAS_CAPTACAO_DIA-H364)</f>
        <v>0</v>
      </c>
      <c r="J365" s="16" t="n">
        <f aca="false">INDEX(AUX_MATRIZES!$C$10:$BP$10,MIN(N_SEMANAS,MAX(1,$C365)))/DIAS_POR_SEMANA</f>
        <v>0</v>
      </c>
      <c r="K365" s="16" t="n">
        <f aca="false">MIN(CADASTRO_CASAS_BOMBA!$O$8,MAX(0,K364+CADASTRO_CASAS_BOMBA!$I$8*HORAS_CAPTACAO_DIA-J365))</f>
        <v>27377</v>
      </c>
      <c r="L365" s="16" t="n">
        <f aca="false">MAX(0,J365-CADASTRO_CASAS_BOMBA!$I$8*HORAS_CAPTACAO_DIA-K364)</f>
        <v>0</v>
      </c>
      <c r="M365" s="16" t="n">
        <f aca="false">INDEX(AUX_MATRIZES!$C$11:$BP$11,MIN(N_SEMANAS,MAX(1,$C365)))/DIAS_POR_SEMANA</f>
        <v>0</v>
      </c>
      <c r="N365" s="16" t="n">
        <f aca="false">MIN(CADASTRO_CASAS_BOMBA!$O$9,MAX(0,N364+CADASTRO_CASAS_BOMBA!$I$9*HORAS_CAPTACAO_DIA-M365))</f>
        <v>129000</v>
      </c>
      <c r="O365" s="16" t="n">
        <f aca="false">MAX(0,M365-CADASTRO_CASAS_BOMBA!$I$9*HORAS_CAPTACAO_DIA-N364)</f>
        <v>0</v>
      </c>
      <c r="P365" s="16" t="n">
        <f aca="false">INDEX(AUX_MATRIZES!$C$12:$BP$12,MIN(N_SEMANAS,MAX(1,$C365)))/DIAS_POR_SEMANA</f>
        <v>32465.1515716024</v>
      </c>
      <c r="Q365" s="16" t="n">
        <f aca="false">MIN(CADASTRO_CASAS_BOMBA!$O$10,MAX(0,Q364+CADASTRO_CASAS_BOMBA!$I$10*HORAS_CAPTACAO_DIA-P365))</f>
        <v>322823.496704514</v>
      </c>
      <c r="R365" s="16" t="n">
        <f aca="false">MAX(0,P365-CADASTRO_CASAS_BOMBA!$I$10*HORAS_CAPTACAO_DIA-Q364)</f>
        <v>0</v>
      </c>
      <c r="S365" s="16" t="n">
        <f aca="false">INDEX(AUX_MATRIZES!$C$13:$BP$13,MIN(N_SEMANAS,MAX(1,$C365)))/DIAS_POR_SEMANA</f>
        <v>30490.3575058824</v>
      </c>
      <c r="T365" s="16" t="n">
        <f aca="false">MIN(CADASTRO_CASAS_BOMBA!$O$11,MAX(0,T364+CADASTRO_CASAS_BOMBA!$I$11*HORAS_CAPTACAO_DIA-S365))</f>
        <v>82940.1977630158</v>
      </c>
      <c r="U365" s="16" t="n">
        <f aca="false">MAX(0,S365-CADASTRO_CASAS_BOMBA!$I$11*HORAS_CAPTACAO_DIA-T364)</f>
        <v>0</v>
      </c>
      <c r="V365" s="16" t="n">
        <f aca="false">INDEX(AUX_MATRIZES!$C$14:$BP$14,MIN(N_SEMANAS,MAX(1,$C365)))/DIAS_POR_SEMANA</f>
        <v>24384.4318182556</v>
      </c>
      <c r="W365" s="16" t="n">
        <f aca="false">MIN(CADASTRO_CASAS_BOMBA!$O$12,MAX(0,W364+CADASTRO_CASAS_BOMBA!$I$12*HORAS_CAPTACAO_DIA-V365))</f>
        <v>25777.5415910751</v>
      </c>
      <c r="X365" s="16" t="n">
        <f aca="false">MAX(0,V365-CADASTRO_CASAS_BOMBA!$I$12*HORAS_CAPTACAO_DIA-W364)</f>
        <v>0</v>
      </c>
      <c r="Y365" s="16" t="n">
        <f aca="false">INDEX(AUX_MATRIZES!$C$15:$BP$15,MIN(N_SEMANAS,MAX(1,$C365)))/DIAS_POR_SEMANA</f>
        <v>0</v>
      </c>
      <c r="Z365" s="16" t="n">
        <f aca="false">MIN(CADASTRO_CASAS_BOMBA!$O$13,MAX(0,Z364+CADASTRO_CASAS_BOMBA!$I$13*HORAS_CAPTACAO_DIA-Y365))</f>
        <v>74903</v>
      </c>
      <c r="AA365" s="16" t="n">
        <f aca="false">MAX(0,Y365-CADASTRO_CASAS_BOMBA!$I$13*HORAS_CAPTACAO_DIA-Z364)</f>
        <v>0</v>
      </c>
    </row>
    <row r="366" customFormat="false" ht="15" hidden="false" customHeight="false" outlineLevel="0" collapsed="false">
      <c r="B366" s="17" t="n">
        <f aca="false">DATA_INICIO_SAFRA+359</f>
        <v>46624</v>
      </c>
      <c r="C366" s="16" t="n">
        <f aca="false">MIN(N_SEMANAS,MAX(1,INT(($B366-DATA_INICIO_SAFRA)/DIAS_POR_SEMANA)+1))</f>
        <v>52</v>
      </c>
      <c r="D366" s="16" t="n">
        <f aca="false">INDEX(AUX_MATRIZES!$C$8:$BP$8,MIN(N_SEMANAS,MAX(1,$C366)))/DIAS_POR_SEMANA</f>
        <v>0</v>
      </c>
      <c r="E366" s="16" t="n">
        <f aca="false">MIN(CADASTRO_CASAS_BOMBA!$O$6,MAX(0,E365+CADASTRO_CASAS_BOMBA!$I$6*HORAS_CAPTACAO_DIA-D366))</f>
        <v>2600</v>
      </c>
      <c r="F366" s="16" t="n">
        <f aca="false">MAX(0,D366-CADASTRO_CASAS_BOMBA!$I$6*HORAS_CAPTACAO_DIA-E365)</f>
        <v>0</v>
      </c>
      <c r="G366" s="16" t="n">
        <f aca="false">INDEX(AUX_MATRIZES!$C$9:$BP$9,MIN(N_SEMANAS,MAX(1,$C366)))/DIAS_POR_SEMANA</f>
        <v>0</v>
      </c>
      <c r="H366" s="16" t="n">
        <f aca="false">MIN(CADASTRO_CASAS_BOMBA!$O$7,MAX(0,H365+CADASTRO_CASAS_BOMBA!$I$7*HORAS_CAPTACAO_DIA-G366))</f>
        <v>76648</v>
      </c>
      <c r="I366" s="16" t="n">
        <f aca="false">MAX(0,G366-CADASTRO_CASAS_BOMBA!$I$7*HORAS_CAPTACAO_DIA-H365)</f>
        <v>0</v>
      </c>
      <c r="J366" s="16" t="n">
        <f aca="false">INDEX(AUX_MATRIZES!$C$10:$BP$10,MIN(N_SEMANAS,MAX(1,$C366)))/DIAS_POR_SEMANA</f>
        <v>0</v>
      </c>
      <c r="K366" s="16" t="n">
        <f aca="false">MIN(CADASTRO_CASAS_BOMBA!$O$8,MAX(0,K365+CADASTRO_CASAS_BOMBA!$I$8*HORAS_CAPTACAO_DIA-J366))</f>
        <v>27377</v>
      </c>
      <c r="L366" s="16" t="n">
        <f aca="false">MAX(0,J366-CADASTRO_CASAS_BOMBA!$I$8*HORAS_CAPTACAO_DIA-K365)</f>
        <v>0</v>
      </c>
      <c r="M366" s="16" t="n">
        <f aca="false">INDEX(AUX_MATRIZES!$C$11:$BP$11,MIN(N_SEMANAS,MAX(1,$C366)))/DIAS_POR_SEMANA</f>
        <v>0</v>
      </c>
      <c r="N366" s="16" t="n">
        <f aca="false">MIN(CADASTRO_CASAS_BOMBA!$O$9,MAX(0,N365+CADASTRO_CASAS_BOMBA!$I$9*HORAS_CAPTACAO_DIA-M366))</f>
        <v>129000</v>
      </c>
      <c r="O366" s="16" t="n">
        <f aca="false">MAX(0,M366-CADASTRO_CASAS_BOMBA!$I$9*HORAS_CAPTACAO_DIA-N365)</f>
        <v>0</v>
      </c>
      <c r="P366" s="16" t="n">
        <f aca="false">INDEX(AUX_MATRIZES!$C$12:$BP$12,MIN(N_SEMANAS,MAX(1,$C366)))/DIAS_POR_SEMANA</f>
        <v>32465.1515716024</v>
      </c>
      <c r="Q366" s="16" t="n">
        <f aca="false">MIN(CADASTRO_CASAS_BOMBA!$O$10,MAX(0,Q365+CADASTRO_CASAS_BOMBA!$I$10*HORAS_CAPTACAO_DIA-P366))</f>
        <v>303440.745132912</v>
      </c>
      <c r="R366" s="16" t="n">
        <f aca="false">MAX(0,P366-CADASTRO_CASAS_BOMBA!$I$10*HORAS_CAPTACAO_DIA-Q365)</f>
        <v>0</v>
      </c>
      <c r="S366" s="16" t="n">
        <f aca="false">INDEX(AUX_MATRIZES!$C$13:$BP$13,MIN(N_SEMANAS,MAX(1,$C366)))/DIAS_POR_SEMANA</f>
        <v>30490.3575058824</v>
      </c>
      <c r="T366" s="16" t="n">
        <f aca="false">MIN(CADASTRO_CASAS_BOMBA!$O$11,MAX(0,T365+CADASTRO_CASAS_BOMBA!$I$11*HORAS_CAPTACAO_DIA-S366))</f>
        <v>73869.8402571334</v>
      </c>
      <c r="U366" s="16" t="n">
        <f aca="false">MAX(0,S366-CADASTRO_CASAS_BOMBA!$I$11*HORAS_CAPTACAO_DIA-T365)</f>
        <v>0</v>
      </c>
      <c r="V366" s="16" t="n">
        <f aca="false">INDEX(AUX_MATRIZES!$C$14:$BP$14,MIN(N_SEMANAS,MAX(1,$C366)))/DIAS_POR_SEMANA</f>
        <v>24384.4318182556</v>
      </c>
      <c r="W366" s="16" t="n">
        <f aca="false">MIN(CADASTRO_CASAS_BOMBA!$O$12,MAX(0,W365+CADASTRO_CASAS_BOMBA!$I$12*HORAS_CAPTACAO_DIA-V366))</f>
        <v>26773.1097728195</v>
      </c>
      <c r="X366" s="16" t="n">
        <f aca="false">MAX(0,V366-CADASTRO_CASAS_BOMBA!$I$12*HORAS_CAPTACAO_DIA-W365)</f>
        <v>0</v>
      </c>
      <c r="Y366" s="16" t="n">
        <f aca="false">INDEX(AUX_MATRIZES!$C$15:$BP$15,MIN(N_SEMANAS,MAX(1,$C366)))/DIAS_POR_SEMANA</f>
        <v>0</v>
      </c>
      <c r="Z366" s="16" t="n">
        <f aca="false">MIN(CADASTRO_CASAS_BOMBA!$O$13,MAX(0,Z365+CADASTRO_CASAS_BOMBA!$I$13*HORAS_CAPTACAO_DIA-Y366))</f>
        <v>74903</v>
      </c>
      <c r="AA366" s="16" t="n">
        <f aca="false">MAX(0,Y366-CADASTRO_CASAS_BOMBA!$I$13*HORAS_CAPTACAO_DIA-Z365)</f>
        <v>0</v>
      </c>
    </row>
    <row r="367" customFormat="false" ht="15" hidden="false" customHeight="false" outlineLevel="0" collapsed="false">
      <c r="B367" s="17" t="n">
        <f aca="false">DATA_INICIO_SAFRA+360</f>
        <v>46625</v>
      </c>
      <c r="C367" s="16" t="n">
        <f aca="false">MIN(N_SEMANAS,MAX(1,INT(($B367-DATA_INICIO_SAFRA)/DIAS_POR_SEMANA)+1))</f>
        <v>52</v>
      </c>
      <c r="D367" s="16" t="n">
        <f aca="false">INDEX(AUX_MATRIZES!$C$8:$BP$8,MIN(N_SEMANAS,MAX(1,$C367)))/DIAS_POR_SEMANA</f>
        <v>0</v>
      </c>
      <c r="E367" s="16" t="n">
        <f aca="false">MIN(CADASTRO_CASAS_BOMBA!$O$6,MAX(0,E366+CADASTRO_CASAS_BOMBA!$I$6*HORAS_CAPTACAO_DIA-D367))</f>
        <v>2600</v>
      </c>
      <c r="F367" s="16" t="n">
        <f aca="false">MAX(0,D367-CADASTRO_CASAS_BOMBA!$I$6*HORAS_CAPTACAO_DIA-E366)</f>
        <v>0</v>
      </c>
      <c r="G367" s="16" t="n">
        <f aca="false">INDEX(AUX_MATRIZES!$C$9:$BP$9,MIN(N_SEMANAS,MAX(1,$C367)))/DIAS_POR_SEMANA</f>
        <v>0</v>
      </c>
      <c r="H367" s="16" t="n">
        <f aca="false">MIN(CADASTRO_CASAS_BOMBA!$O$7,MAX(0,H366+CADASTRO_CASAS_BOMBA!$I$7*HORAS_CAPTACAO_DIA-G367))</f>
        <v>76648</v>
      </c>
      <c r="I367" s="16" t="n">
        <f aca="false">MAX(0,G367-CADASTRO_CASAS_BOMBA!$I$7*HORAS_CAPTACAO_DIA-H366)</f>
        <v>0</v>
      </c>
      <c r="J367" s="16" t="n">
        <f aca="false">INDEX(AUX_MATRIZES!$C$10:$BP$10,MIN(N_SEMANAS,MAX(1,$C367)))/DIAS_POR_SEMANA</f>
        <v>0</v>
      </c>
      <c r="K367" s="16" t="n">
        <f aca="false">MIN(CADASTRO_CASAS_BOMBA!$O$8,MAX(0,K366+CADASTRO_CASAS_BOMBA!$I$8*HORAS_CAPTACAO_DIA-J367))</f>
        <v>27377</v>
      </c>
      <c r="L367" s="16" t="n">
        <f aca="false">MAX(0,J367-CADASTRO_CASAS_BOMBA!$I$8*HORAS_CAPTACAO_DIA-K366)</f>
        <v>0</v>
      </c>
      <c r="M367" s="16" t="n">
        <f aca="false">INDEX(AUX_MATRIZES!$C$11:$BP$11,MIN(N_SEMANAS,MAX(1,$C367)))/DIAS_POR_SEMANA</f>
        <v>0</v>
      </c>
      <c r="N367" s="16" t="n">
        <f aca="false">MIN(CADASTRO_CASAS_BOMBA!$O$9,MAX(0,N366+CADASTRO_CASAS_BOMBA!$I$9*HORAS_CAPTACAO_DIA-M367))</f>
        <v>129000</v>
      </c>
      <c r="O367" s="16" t="n">
        <f aca="false">MAX(0,M367-CADASTRO_CASAS_BOMBA!$I$9*HORAS_CAPTACAO_DIA-N366)</f>
        <v>0</v>
      </c>
      <c r="P367" s="16" t="n">
        <f aca="false">INDEX(AUX_MATRIZES!$C$12:$BP$12,MIN(N_SEMANAS,MAX(1,$C367)))/DIAS_POR_SEMANA</f>
        <v>32465.1515716024</v>
      </c>
      <c r="Q367" s="16" t="n">
        <f aca="false">MIN(CADASTRO_CASAS_BOMBA!$O$10,MAX(0,Q366+CADASTRO_CASAS_BOMBA!$I$10*HORAS_CAPTACAO_DIA-P367))</f>
        <v>284057.99356131</v>
      </c>
      <c r="R367" s="16" t="n">
        <f aca="false">MAX(0,P367-CADASTRO_CASAS_BOMBA!$I$10*HORAS_CAPTACAO_DIA-Q366)</f>
        <v>0</v>
      </c>
      <c r="S367" s="16" t="n">
        <f aca="false">INDEX(AUX_MATRIZES!$C$13:$BP$13,MIN(N_SEMANAS,MAX(1,$C367)))/DIAS_POR_SEMANA</f>
        <v>30490.3575058824</v>
      </c>
      <c r="T367" s="16" t="n">
        <f aca="false">MIN(CADASTRO_CASAS_BOMBA!$O$11,MAX(0,T366+CADASTRO_CASAS_BOMBA!$I$11*HORAS_CAPTACAO_DIA-S367))</f>
        <v>64799.4827512511</v>
      </c>
      <c r="U367" s="16" t="n">
        <f aca="false">MAX(0,S367-CADASTRO_CASAS_BOMBA!$I$11*HORAS_CAPTACAO_DIA-T366)</f>
        <v>0</v>
      </c>
      <c r="V367" s="16" t="n">
        <f aca="false">INDEX(AUX_MATRIZES!$C$14:$BP$14,MIN(N_SEMANAS,MAX(1,$C367)))/DIAS_POR_SEMANA</f>
        <v>24384.4318182556</v>
      </c>
      <c r="W367" s="16" t="n">
        <f aca="false">MIN(CADASTRO_CASAS_BOMBA!$O$12,MAX(0,W366+CADASTRO_CASAS_BOMBA!$I$12*HORAS_CAPTACAO_DIA-V367))</f>
        <v>27768.6779545639</v>
      </c>
      <c r="X367" s="16" t="n">
        <f aca="false">MAX(0,V367-CADASTRO_CASAS_BOMBA!$I$12*HORAS_CAPTACAO_DIA-W366)</f>
        <v>0</v>
      </c>
      <c r="Y367" s="16" t="n">
        <f aca="false">INDEX(AUX_MATRIZES!$C$15:$BP$15,MIN(N_SEMANAS,MAX(1,$C367)))/DIAS_POR_SEMANA</f>
        <v>0</v>
      </c>
      <c r="Z367" s="16" t="n">
        <f aca="false">MIN(CADASTRO_CASAS_BOMBA!$O$13,MAX(0,Z366+CADASTRO_CASAS_BOMBA!$I$13*HORAS_CAPTACAO_DIA-Y367))</f>
        <v>74903</v>
      </c>
      <c r="AA367" s="16" t="n">
        <f aca="false">MAX(0,Y367-CADASTRO_CASAS_BOMBA!$I$13*HORAS_CAPTACAO_DIA-Z366)</f>
        <v>0</v>
      </c>
    </row>
    <row r="368" customFormat="false" ht="15" hidden="false" customHeight="false" outlineLevel="0" collapsed="false">
      <c r="B368" s="17" t="n">
        <f aca="false">DATA_INICIO_SAFRA+361</f>
        <v>46626</v>
      </c>
      <c r="C368" s="16" t="n">
        <f aca="false">MIN(N_SEMANAS,MAX(1,INT(($B368-DATA_INICIO_SAFRA)/DIAS_POR_SEMANA)+1))</f>
        <v>52</v>
      </c>
      <c r="D368" s="16" t="n">
        <f aca="false">INDEX(AUX_MATRIZES!$C$8:$BP$8,MIN(N_SEMANAS,MAX(1,$C368)))/DIAS_POR_SEMANA</f>
        <v>0</v>
      </c>
      <c r="E368" s="16" t="n">
        <f aca="false">MIN(CADASTRO_CASAS_BOMBA!$O$6,MAX(0,E367+CADASTRO_CASAS_BOMBA!$I$6*HORAS_CAPTACAO_DIA-D368))</f>
        <v>2600</v>
      </c>
      <c r="F368" s="16" t="n">
        <f aca="false">MAX(0,D368-CADASTRO_CASAS_BOMBA!$I$6*HORAS_CAPTACAO_DIA-E367)</f>
        <v>0</v>
      </c>
      <c r="G368" s="16" t="n">
        <f aca="false">INDEX(AUX_MATRIZES!$C$9:$BP$9,MIN(N_SEMANAS,MAX(1,$C368)))/DIAS_POR_SEMANA</f>
        <v>0</v>
      </c>
      <c r="H368" s="16" t="n">
        <f aca="false">MIN(CADASTRO_CASAS_BOMBA!$O$7,MAX(0,H367+CADASTRO_CASAS_BOMBA!$I$7*HORAS_CAPTACAO_DIA-G368))</f>
        <v>76648</v>
      </c>
      <c r="I368" s="16" t="n">
        <f aca="false">MAX(0,G368-CADASTRO_CASAS_BOMBA!$I$7*HORAS_CAPTACAO_DIA-H367)</f>
        <v>0</v>
      </c>
      <c r="J368" s="16" t="n">
        <f aca="false">INDEX(AUX_MATRIZES!$C$10:$BP$10,MIN(N_SEMANAS,MAX(1,$C368)))/DIAS_POR_SEMANA</f>
        <v>0</v>
      </c>
      <c r="K368" s="16" t="n">
        <f aca="false">MIN(CADASTRO_CASAS_BOMBA!$O$8,MAX(0,K367+CADASTRO_CASAS_BOMBA!$I$8*HORAS_CAPTACAO_DIA-J368))</f>
        <v>27377</v>
      </c>
      <c r="L368" s="16" t="n">
        <f aca="false">MAX(0,J368-CADASTRO_CASAS_BOMBA!$I$8*HORAS_CAPTACAO_DIA-K367)</f>
        <v>0</v>
      </c>
      <c r="M368" s="16" t="n">
        <f aca="false">INDEX(AUX_MATRIZES!$C$11:$BP$11,MIN(N_SEMANAS,MAX(1,$C368)))/DIAS_POR_SEMANA</f>
        <v>0</v>
      </c>
      <c r="N368" s="16" t="n">
        <f aca="false">MIN(CADASTRO_CASAS_BOMBA!$O$9,MAX(0,N367+CADASTRO_CASAS_BOMBA!$I$9*HORAS_CAPTACAO_DIA-M368))</f>
        <v>129000</v>
      </c>
      <c r="O368" s="16" t="n">
        <f aca="false">MAX(0,M368-CADASTRO_CASAS_BOMBA!$I$9*HORAS_CAPTACAO_DIA-N367)</f>
        <v>0</v>
      </c>
      <c r="P368" s="16" t="n">
        <f aca="false">INDEX(AUX_MATRIZES!$C$12:$BP$12,MIN(N_SEMANAS,MAX(1,$C368)))/DIAS_POR_SEMANA</f>
        <v>32465.1515716024</v>
      </c>
      <c r="Q368" s="16" t="n">
        <f aca="false">MIN(CADASTRO_CASAS_BOMBA!$O$10,MAX(0,Q367+CADASTRO_CASAS_BOMBA!$I$10*HORAS_CAPTACAO_DIA-P368))</f>
        <v>264675.241989707</v>
      </c>
      <c r="R368" s="16" t="n">
        <f aca="false">MAX(0,P368-CADASTRO_CASAS_BOMBA!$I$10*HORAS_CAPTACAO_DIA-Q367)</f>
        <v>0</v>
      </c>
      <c r="S368" s="16" t="n">
        <f aca="false">INDEX(AUX_MATRIZES!$C$13:$BP$13,MIN(N_SEMANAS,MAX(1,$C368)))/DIAS_POR_SEMANA</f>
        <v>30490.3575058824</v>
      </c>
      <c r="T368" s="16" t="n">
        <f aca="false">MIN(CADASTRO_CASAS_BOMBA!$O$11,MAX(0,T367+CADASTRO_CASAS_BOMBA!$I$11*HORAS_CAPTACAO_DIA-S368))</f>
        <v>55729.1252453687</v>
      </c>
      <c r="U368" s="16" t="n">
        <f aca="false">MAX(0,S368-CADASTRO_CASAS_BOMBA!$I$11*HORAS_CAPTACAO_DIA-T367)</f>
        <v>0</v>
      </c>
      <c r="V368" s="16" t="n">
        <f aca="false">INDEX(AUX_MATRIZES!$C$14:$BP$14,MIN(N_SEMANAS,MAX(1,$C368)))/DIAS_POR_SEMANA</f>
        <v>24384.4318182556</v>
      </c>
      <c r="W368" s="16" t="n">
        <f aca="false">MIN(CADASTRO_CASAS_BOMBA!$O$12,MAX(0,W367+CADASTRO_CASAS_BOMBA!$I$12*HORAS_CAPTACAO_DIA-V368))</f>
        <v>28764.2461363084</v>
      </c>
      <c r="X368" s="16" t="n">
        <f aca="false">MAX(0,V368-CADASTRO_CASAS_BOMBA!$I$12*HORAS_CAPTACAO_DIA-W367)</f>
        <v>0</v>
      </c>
      <c r="Y368" s="16" t="n">
        <f aca="false">INDEX(AUX_MATRIZES!$C$15:$BP$15,MIN(N_SEMANAS,MAX(1,$C368)))/DIAS_POR_SEMANA</f>
        <v>0</v>
      </c>
      <c r="Z368" s="16" t="n">
        <f aca="false">MIN(CADASTRO_CASAS_BOMBA!$O$13,MAX(0,Z367+CADASTRO_CASAS_BOMBA!$I$13*HORAS_CAPTACAO_DIA-Y368))</f>
        <v>74903</v>
      </c>
      <c r="AA368" s="16" t="n">
        <f aca="false">MAX(0,Y368-CADASTRO_CASAS_BOMBA!$I$13*HORAS_CAPTACAO_DIA-Z367)</f>
        <v>0</v>
      </c>
    </row>
    <row r="369" customFormat="false" ht="15" hidden="false" customHeight="false" outlineLevel="0" collapsed="false">
      <c r="B369" s="17" t="n">
        <f aca="false">DATA_INICIO_SAFRA+362</f>
        <v>46627</v>
      </c>
      <c r="C369" s="16" t="n">
        <f aca="false">MIN(N_SEMANAS,MAX(1,INT(($B369-DATA_INICIO_SAFRA)/DIAS_POR_SEMANA)+1))</f>
        <v>52</v>
      </c>
      <c r="D369" s="16" t="n">
        <f aca="false">INDEX(AUX_MATRIZES!$C$8:$BP$8,MIN(N_SEMANAS,MAX(1,$C369)))/DIAS_POR_SEMANA</f>
        <v>0</v>
      </c>
      <c r="E369" s="16" t="n">
        <f aca="false">MIN(CADASTRO_CASAS_BOMBA!$O$6,MAX(0,E368+CADASTRO_CASAS_BOMBA!$I$6*HORAS_CAPTACAO_DIA-D369))</f>
        <v>2600</v>
      </c>
      <c r="F369" s="16" t="n">
        <f aca="false">MAX(0,D369-CADASTRO_CASAS_BOMBA!$I$6*HORAS_CAPTACAO_DIA-E368)</f>
        <v>0</v>
      </c>
      <c r="G369" s="16" t="n">
        <f aca="false">INDEX(AUX_MATRIZES!$C$9:$BP$9,MIN(N_SEMANAS,MAX(1,$C369)))/DIAS_POR_SEMANA</f>
        <v>0</v>
      </c>
      <c r="H369" s="16" t="n">
        <f aca="false">MIN(CADASTRO_CASAS_BOMBA!$O$7,MAX(0,H368+CADASTRO_CASAS_BOMBA!$I$7*HORAS_CAPTACAO_DIA-G369))</f>
        <v>76648</v>
      </c>
      <c r="I369" s="16" t="n">
        <f aca="false">MAX(0,G369-CADASTRO_CASAS_BOMBA!$I$7*HORAS_CAPTACAO_DIA-H368)</f>
        <v>0</v>
      </c>
      <c r="J369" s="16" t="n">
        <f aca="false">INDEX(AUX_MATRIZES!$C$10:$BP$10,MIN(N_SEMANAS,MAX(1,$C369)))/DIAS_POR_SEMANA</f>
        <v>0</v>
      </c>
      <c r="K369" s="16" t="n">
        <f aca="false">MIN(CADASTRO_CASAS_BOMBA!$O$8,MAX(0,K368+CADASTRO_CASAS_BOMBA!$I$8*HORAS_CAPTACAO_DIA-J369))</f>
        <v>27377</v>
      </c>
      <c r="L369" s="16" t="n">
        <f aca="false">MAX(0,J369-CADASTRO_CASAS_BOMBA!$I$8*HORAS_CAPTACAO_DIA-K368)</f>
        <v>0</v>
      </c>
      <c r="M369" s="16" t="n">
        <f aca="false">INDEX(AUX_MATRIZES!$C$11:$BP$11,MIN(N_SEMANAS,MAX(1,$C369)))/DIAS_POR_SEMANA</f>
        <v>0</v>
      </c>
      <c r="N369" s="16" t="n">
        <f aca="false">MIN(CADASTRO_CASAS_BOMBA!$O$9,MAX(0,N368+CADASTRO_CASAS_BOMBA!$I$9*HORAS_CAPTACAO_DIA-M369))</f>
        <v>129000</v>
      </c>
      <c r="O369" s="16" t="n">
        <f aca="false">MAX(0,M369-CADASTRO_CASAS_BOMBA!$I$9*HORAS_CAPTACAO_DIA-N368)</f>
        <v>0</v>
      </c>
      <c r="P369" s="16" t="n">
        <f aca="false">INDEX(AUX_MATRIZES!$C$12:$BP$12,MIN(N_SEMANAS,MAX(1,$C369)))/DIAS_POR_SEMANA</f>
        <v>32465.1515716024</v>
      </c>
      <c r="Q369" s="16" t="n">
        <f aca="false">MIN(CADASTRO_CASAS_BOMBA!$O$10,MAX(0,Q368+CADASTRO_CASAS_BOMBA!$I$10*HORAS_CAPTACAO_DIA-P369))</f>
        <v>245292.490418105</v>
      </c>
      <c r="R369" s="16" t="n">
        <f aca="false">MAX(0,P369-CADASTRO_CASAS_BOMBA!$I$10*HORAS_CAPTACAO_DIA-Q368)</f>
        <v>0</v>
      </c>
      <c r="S369" s="16" t="n">
        <f aca="false">INDEX(AUX_MATRIZES!$C$13:$BP$13,MIN(N_SEMANAS,MAX(1,$C369)))/DIAS_POR_SEMANA</f>
        <v>30490.3575058824</v>
      </c>
      <c r="T369" s="16" t="n">
        <f aca="false">MIN(CADASTRO_CASAS_BOMBA!$O$11,MAX(0,T368+CADASTRO_CASAS_BOMBA!$I$11*HORAS_CAPTACAO_DIA-S369))</f>
        <v>46658.7677394864</v>
      </c>
      <c r="U369" s="16" t="n">
        <f aca="false">MAX(0,S369-CADASTRO_CASAS_BOMBA!$I$11*HORAS_CAPTACAO_DIA-T368)</f>
        <v>0</v>
      </c>
      <c r="V369" s="16" t="n">
        <f aca="false">INDEX(AUX_MATRIZES!$C$14:$BP$14,MIN(N_SEMANAS,MAX(1,$C369)))/DIAS_POR_SEMANA</f>
        <v>24384.4318182556</v>
      </c>
      <c r="W369" s="16" t="n">
        <f aca="false">MIN(CADASTRO_CASAS_BOMBA!$O$12,MAX(0,W368+CADASTRO_CASAS_BOMBA!$I$12*HORAS_CAPTACAO_DIA-V369))</f>
        <v>29759.8143180528</v>
      </c>
      <c r="X369" s="16" t="n">
        <f aca="false">MAX(0,V369-CADASTRO_CASAS_BOMBA!$I$12*HORAS_CAPTACAO_DIA-W368)</f>
        <v>0</v>
      </c>
      <c r="Y369" s="16" t="n">
        <f aca="false">INDEX(AUX_MATRIZES!$C$15:$BP$15,MIN(N_SEMANAS,MAX(1,$C369)))/DIAS_POR_SEMANA</f>
        <v>0</v>
      </c>
      <c r="Z369" s="16" t="n">
        <f aca="false">MIN(CADASTRO_CASAS_BOMBA!$O$13,MAX(0,Z368+CADASTRO_CASAS_BOMBA!$I$13*HORAS_CAPTACAO_DIA-Y369))</f>
        <v>74903</v>
      </c>
      <c r="AA369" s="16" t="n">
        <f aca="false">MAX(0,Y369-CADASTRO_CASAS_BOMBA!$I$13*HORAS_CAPTACAO_DIA-Z368)</f>
        <v>0</v>
      </c>
    </row>
    <row r="370" customFormat="false" ht="15" hidden="false" customHeight="false" outlineLevel="0" collapsed="false">
      <c r="B370" s="17" t="n">
        <f aca="false">DATA_INICIO_SAFRA+363</f>
        <v>46628</v>
      </c>
      <c r="C370" s="16" t="n">
        <f aca="false">MIN(N_SEMANAS,MAX(1,INT(($B370-DATA_INICIO_SAFRA)/DIAS_POR_SEMANA)+1))</f>
        <v>52</v>
      </c>
      <c r="D370" s="16" t="n">
        <f aca="false">INDEX(AUX_MATRIZES!$C$8:$BP$8,MIN(N_SEMANAS,MAX(1,$C370)))/DIAS_POR_SEMANA</f>
        <v>0</v>
      </c>
      <c r="E370" s="16" t="n">
        <f aca="false">MIN(CADASTRO_CASAS_BOMBA!$O$6,MAX(0,E369+CADASTRO_CASAS_BOMBA!$I$6*HORAS_CAPTACAO_DIA-D370))</f>
        <v>2600</v>
      </c>
      <c r="F370" s="16" t="n">
        <f aca="false">MAX(0,D370-CADASTRO_CASAS_BOMBA!$I$6*HORAS_CAPTACAO_DIA-E369)</f>
        <v>0</v>
      </c>
      <c r="G370" s="16" t="n">
        <f aca="false">INDEX(AUX_MATRIZES!$C$9:$BP$9,MIN(N_SEMANAS,MAX(1,$C370)))/DIAS_POR_SEMANA</f>
        <v>0</v>
      </c>
      <c r="H370" s="16" t="n">
        <f aca="false">MIN(CADASTRO_CASAS_BOMBA!$O$7,MAX(0,H369+CADASTRO_CASAS_BOMBA!$I$7*HORAS_CAPTACAO_DIA-G370))</f>
        <v>76648</v>
      </c>
      <c r="I370" s="16" t="n">
        <f aca="false">MAX(0,G370-CADASTRO_CASAS_BOMBA!$I$7*HORAS_CAPTACAO_DIA-H369)</f>
        <v>0</v>
      </c>
      <c r="J370" s="16" t="n">
        <f aca="false">INDEX(AUX_MATRIZES!$C$10:$BP$10,MIN(N_SEMANAS,MAX(1,$C370)))/DIAS_POR_SEMANA</f>
        <v>0</v>
      </c>
      <c r="K370" s="16" t="n">
        <f aca="false">MIN(CADASTRO_CASAS_BOMBA!$O$8,MAX(0,K369+CADASTRO_CASAS_BOMBA!$I$8*HORAS_CAPTACAO_DIA-J370))</f>
        <v>27377</v>
      </c>
      <c r="L370" s="16" t="n">
        <f aca="false">MAX(0,J370-CADASTRO_CASAS_BOMBA!$I$8*HORAS_CAPTACAO_DIA-K369)</f>
        <v>0</v>
      </c>
      <c r="M370" s="16" t="n">
        <f aca="false">INDEX(AUX_MATRIZES!$C$11:$BP$11,MIN(N_SEMANAS,MAX(1,$C370)))/DIAS_POR_SEMANA</f>
        <v>0</v>
      </c>
      <c r="N370" s="16" t="n">
        <f aca="false">MIN(CADASTRO_CASAS_BOMBA!$O$9,MAX(0,N369+CADASTRO_CASAS_BOMBA!$I$9*HORAS_CAPTACAO_DIA-M370))</f>
        <v>129000</v>
      </c>
      <c r="O370" s="16" t="n">
        <f aca="false">MAX(0,M370-CADASTRO_CASAS_BOMBA!$I$9*HORAS_CAPTACAO_DIA-N369)</f>
        <v>0</v>
      </c>
      <c r="P370" s="16" t="n">
        <f aca="false">INDEX(AUX_MATRIZES!$C$12:$BP$12,MIN(N_SEMANAS,MAX(1,$C370)))/DIAS_POR_SEMANA</f>
        <v>32465.1515716024</v>
      </c>
      <c r="Q370" s="16" t="n">
        <f aca="false">MIN(CADASTRO_CASAS_BOMBA!$O$10,MAX(0,Q369+CADASTRO_CASAS_BOMBA!$I$10*HORAS_CAPTACAO_DIA-P370))</f>
        <v>225909.738846502</v>
      </c>
      <c r="R370" s="16" t="n">
        <f aca="false">MAX(0,P370-CADASTRO_CASAS_BOMBA!$I$10*HORAS_CAPTACAO_DIA-Q369)</f>
        <v>0</v>
      </c>
      <c r="S370" s="16" t="n">
        <f aca="false">INDEX(AUX_MATRIZES!$C$13:$BP$13,MIN(N_SEMANAS,MAX(1,$C370)))/DIAS_POR_SEMANA</f>
        <v>30490.3575058824</v>
      </c>
      <c r="T370" s="16" t="n">
        <f aca="false">MIN(CADASTRO_CASAS_BOMBA!$O$11,MAX(0,T369+CADASTRO_CASAS_BOMBA!$I$11*HORAS_CAPTACAO_DIA-S370))</f>
        <v>37588.410233604</v>
      </c>
      <c r="U370" s="16" t="n">
        <f aca="false">MAX(0,S370-CADASTRO_CASAS_BOMBA!$I$11*HORAS_CAPTACAO_DIA-T369)</f>
        <v>0</v>
      </c>
      <c r="V370" s="16" t="n">
        <f aca="false">INDEX(AUX_MATRIZES!$C$14:$BP$14,MIN(N_SEMANAS,MAX(1,$C370)))/DIAS_POR_SEMANA</f>
        <v>24384.4318182556</v>
      </c>
      <c r="W370" s="16" t="n">
        <f aca="false">MIN(CADASTRO_CASAS_BOMBA!$O$12,MAX(0,W369+CADASTRO_CASAS_BOMBA!$I$12*HORAS_CAPTACAO_DIA-V370))</f>
        <v>30755.3824997972</v>
      </c>
      <c r="X370" s="16" t="n">
        <f aca="false">MAX(0,V370-CADASTRO_CASAS_BOMBA!$I$12*HORAS_CAPTACAO_DIA-W369)</f>
        <v>0</v>
      </c>
      <c r="Y370" s="16" t="n">
        <f aca="false">INDEX(AUX_MATRIZES!$C$15:$BP$15,MIN(N_SEMANAS,MAX(1,$C370)))/DIAS_POR_SEMANA</f>
        <v>0</v>
      </c>
      <c r="Z370" s="16" t="n">
        <f aca="false">MIN(CADASTRO_CASAS_BOMBA!$O$13,MAX(0,Z369+CADASTRO_CASAS_BOMBA!$I$13*HORAS_CAPTACAO_DIA-Y370))</f>
        <v>74903</v>
      </c>
      <c r="AA370" s="16" t="n">
        <f aca="false">MAX(0,Y370-CADASTRO_CASAS_BOMBA!$I$13*HORAS_CAPTACAO_DIA-Z369)</f>
        <v>0</v>
      </c>
    </row>
    <row r="371" customFormat="false" ht="15" hidden="false" customHeight="false" outlineLevel="0" collapsed="false">
      <c r="B371" s="17" t="n">
        <f aca="false">DATA_INICIO_SAFRA+364</f>
        <v>46629</v>
      </c>
      <c r="C371" s="16" t="n">
        <f aca="false">MIN(N_SEMANAS,MAX(1,INT(($B371-DATA_INICIO_SAFRA)/DIAS_POR_SEMANA)+1))</f>
        <v>53</v>
      </c>
      <c r="D371" s="16" t="n">
        <f aca="false">INDEX(AUX_MATRIZES!$C$8:$BP$8,MIN(N_SEMANAS,MAX(1,$C371)))/DIAS_POR_SEMANA</f>
        <v>0</v>
      </c>
      <c r="E371" s="16" t="n">
        <f aca="false">MIN(CADASTRO_CASAS_BOMBA!$O$6,MAX(0,E370+CADASTRO_CASAS_BOMBA!$I$6*HORAS_CAPTACAO_DIA-D371))</f>
        <v>2600</v>
      </c>
      <c r="F371" s="16" t="n">
        <f aca="false">MAX(0,D371-CADASTRO_CASAS_BOMBA!$I$6*HORAS_CAPTACAO_DIA-E370)</f>
        <v>0</v>
      </c>
      <c r="G371" s="16" t="n">
        <f aca="false">INDEX(AUX_MATRIZES!$C$9:$BP$9,MIN(N_SEMANAS,MAX(1,$C371)))/DIAS_POR_SEMANA</f>
        <v>0</v>
      </c>
      <c r="H371" s="16" t="n">
        <f aca="false">MIN(CADASTRO_CASAS_BOMBA!$O$7,MAX(0,H370+CADASTRO_CASAS_BOMBA!$I$7*HORAS_CAPTACAO_DIA-G371))</f>
        <v>76648</v>
      </c>
      <c r="I371" s="16" t="n">
        <f aca="false">MAX(0,G371-CADASTRO_CASAS_BOMBA!$I$7*HORAS_CAPTACAO_DIA-H370)</f>
        <v>0</v>
      </c>
      <c r="J371" s="16" t="n">
        <f aca="false">INDEX(AUX_MATRIZES!$C$10:$BP$10,MIN(N_SEMANAS,MAX(1,$C371)))/DIAS_POR_SEMANA</f>
        <v>0</v>
      </c>
      <c r="K371" s="16" t="n">
        <f aca="false">MIN(CADASTRO_CASAS_BOMBA!$O$8,MAX(0,K370+CADASTRO_CASAS_BOMBA!$I$8*HORAS_CAPTACAO_DIA-J371))</f>
        <v>27377</v>
      </c>
      <c r="L371" s="16" t="n">
        <f aca="false">MAX(0,J371-CADASTRO_CASAS_BOMBA!$I$8*HORAS_CAPTACAO_DIA-K370)</f>
        <v>0</v>
      </c>
      <c r="M371" s="16" t="n">
        <f aca="false">INDEX(AUX_MATRIZES!$C$11:$BP$11,MIN(N_SEMANAS,MAX(1,$C371)))/DIAS_POR_SEMANA</f>
        <v>0</v>
      </c>
      <c r="N371" s="16" t="n">
        <f aca="false">MIN(CADASTRO_CASAS_BOMBA!$O$9,MAX(0,N370+CADASTRO_CASAS_BOMBA!$I$9*HORAS_CAPTACAO_DIA-M371))</f>
        <v>129000</v>
      </c>
      <c r="O371" s="16" t="n">
        <f aca="false">MAX(0,M371-CADASTRO_CASAS_BOMBA!$I$9*HORAS_CAPTACAO_DIA-N370)</f>
        <v>0</v>
      </c>
      <c r="P371" s="16" t="n">
        <f aca="false">INDEX(AUX_MATRIZES!$C$12:$BP$12,MIN(N_SEMANAS,MAX(1,$C371)))/DIAS_POR_SEMANA</f>
        <v>34211.503975891</v>
      </c>
      <c r="Q371" s="16" t="n">
        <f aca="false">MIN(CADASTRO_CASAS_BOMBA!$O$10,MAX(0,Q370+CADASTRO_CASAS_BOMBA!$I$10*HORAS_CAPTACAO_DIA-P371))</f>
        <v>204780.634870611</v>
      </c>
      <c r="R371" s="16" t="n">
        <f aca="false">MAX(0,P371-CADASTRO_CASAS_BOMBA!$I$10*HORAS_CAPTACAO_DIA-Q370)</f>
        <v>0</v>
      </c>
      <c r="S371" s="16" t="n">
        <f aca="false">INDEX(AUX_MATRIZES!$C$13:$BP$13,MIN(N_SEMANAS,MAX(1,$C371)))/DIAS_POR_SEMANA</f>
        <v>31553.5846722689</v>
      </c>
      <c r="T371" s="16" t="n">
        <f aca="false">MIN(CADASTRO_CASAS_BOMBA!$O$11,MAX(0,T370+CADASTRO_CASAS_BOMBA!$I$11*HORAS_CAPTACAO_DIA-S371))</f>
        <v>27454.8255613351</v>
      </c>
      <c r="U371" s="16" t="n">
        <f aca="false">MAX(0,S371-CADASTRO_CASAS_BOMBA!$I$11*HORAS_CAPTACAO_DIA-T370)</f>
        <v>0</v>
      </c>
      <c r="V371" s="16" t="n">
        <f aca="false">INDEX(AUX_MATRIZES!$C$14:$BP$14,MIN(N_SEMANAS,MAX(1,$C371)))/DIAS_POR_SEMANA</f>
        <v>25910.1290638655</v>
      </c>
      <c r="W371" s="16" t="n">
        <f aca="false">MIN(CADASTRO_CASAS_BOMBA!$O$12,MAX(0,W370+CADASTRO_CASAS_BOMBA!$I$12*HORAS_CAPTACAO_DIA-V371))</f>
        <v>30225.2534359317</v>
      </c>
      <c r="X371" s="16" t="n">
        <f aca="false">MAX(0,V371-CADASTRO_CASAS_BOMBA!$I$12*HORAS_CAPTACAO_DIA-W370)</f>
        <v>0</v>
      </c>
      <c r="Y371" s="16" t="n">
        <f aca="false">INDEX(AUX_MATRIZES!$C$15:$BP$15,MIN(N_SEMANAS,MAX(1,$C371)))/DIAS_POR_SEMANA</f>
        <v>0</v>
      </c>
      <c r="Z371" s="16" t="n">
        <f aca="false">MIN(CADASTRO_CASAS_BOMBA!$O$13,MAX(0,Z370+CADASTRO_CASAS_BOMBA!$I$13*HORAS_CAPTACAO_DIA-Y371))</f>
        <v>74903</v>
      </c>
      <c r="AA371" s="16" t="n">
        <f aca="false">MAX(0,Y371-CADASTRO_CASAS_BOMBA!$I$13*HORAS_CAPTACAO_DIA-Z370)</f>
        <v>0</v>
      </c>
    </row>
    <row r="372" customFormat="false" ht="15" hidden="false" customHeight="false" outlineLevel="0" collapsed="false">
      <c r="B372" s="17" t="n">
        <f aca="false">DATA_INICIO_SAFRA+365</f>
        <v>46630</v>
      </c>
      <c r="C372" s="16" t="n">
        <f aca="false">MIN(N_SEMANAS,MAX(1,INT(($B372-DATA_INICIO_SAFRA)/DIAS_POR_SEMANA)+1))</f>
        <v>53</v>
      </c>
      <c r="D372" s="16" t="n">
        <f aca="false">INDEX(AUX_MATRIZES!$C$8:$BP$8,MIN(N_SEMANAS,MAX(1,$C372)))/DIAS_POR_SEMANA</f>
        <v>0</v>
      </c>
      <c r="E372" s="16" t="n">
        <f aca="false">MIN(CADASTRO_CASAS_BOMBA!$O$6,MAX(0,E371+CADASTRO_CASAS_BOMBA!$I$6*HORAS_CAPTACAO_DIA-D372))</f>
        <v>2600</v>
      </c>
      <c r="F372" s="16" t="n">
        <f aca="false">MAX(0,D372-CADASTRO_CASAS_BOMBA!$I$6*HORAS_CAPTACAO_DIA-E371)</f>
        <v>0</v>
      </c>
      <c r="G372" s="16" t="n">
        <f aca="false">INDEX(AUX_MATRIZES!$C$9:$BP$9,MIN(N_SEMANAS,MAX(1,$C372)))/DIAS_POR_SEMANA</f>
        <v>0</v>
      </c>
      <c r="H372" s="16" t="n">
        <f aca="false">MIN(CADASTRO_CASAS_BOMBA!$O$7,MAX(0,H371+CADASTRO_CASAS_BOMBA!$I$7*HORAS_CAPTACAO_DIA-G372))</f>
        <v>76648</v>
      </c>
      <c r="I372" s="16" t="n">
        <f aca="false">MAX(0,G372-CADASTRO_CASAS_BOMBA!$I$7*HORAS_CAPTACAO_DIA-H371)</f>
        <v>0</v>
      </c>
      <c r="J372" s="16" t="n">
        <f aca="false">INDEX(AUX_MATRIZES!$C$10:$BP$10,MIN(N_SEMANAS,MAX(1,$C372)))/DIAS_POR_SEMANA</f>
        <v>0</v>
      </c>
      <c r="K372" s="16" t="n">
        <f aca="false">MIN(CADASTRO_CASAS_BOMBA!$O$8,MAX(0,K371+CADASTRO_CASAS_BOMBA!$I$8*HORAS_CAPTACAO_DIA-J372))</f>
        <v>27377</v>
      </c>
      <c r="L372" s="16" t="n">
        <f aca="false">MAX(0,J372-CADASTRO_CASAS_BOMBA!$I$8*HORAS_CAPTACAO_DIA-K371)</f>
        <v>0</v>
      </c>
      <c r="M372" s="16" t="n">
        <f aca="false">INDEX(AUX_MATRIZES!$C$11:$BP$11,MIN(N_SEMANAS,MAX(1,$C372)))/DIAS_POR_SEMANA</f>
        <v>0</v>
      </c>
      <c r="N372" s="16" t="n">
        <f aca="false">MIN(CADASTRO_CASAS_BOMBA!$O$9,MAX(0,N371+CADASTRO_CASAS_BOMBA!$I$9*HORAS_CAPTACAO_DIA-M372))</f>
        <v>129000</v>
      </c>
      <c r="O372" s="16" t="n">
        <f aca="false">MAX(0,M372-CADASTRO_CASAS_BOMBA!$I$9*HORAS_CAPTACAO_DIA-N371)</f>
        <v>0</v>
      </c>
      <c r="P372" s="16" t="n">
        <f aca="false">INDEX(AUX_MATRIZES!$C$12:$BP$12,MIN(N_SEMANAS,MAX(1,$C372)))/DIAS_POR_SEMANA</f>
        <v>34211.503975891</v>
      </c>
      <c r="Q372" s="16" t="n">
        <f aca="false">MIN(CADASTRO_CASAS_BOMBA!$O$10,MAX(0,Q371+CADASTRO_CASAS_BOMBA!$I$10*HORAS_CAPTACAO_DIA-P372))</f>
        <v>183651.53089472</v>
      </c>
      <c r="R372" s="16" t="n">
        <f aca="false">MAX(0,P372-CADASTRO_CASAS_BOMBA!$I$10*HORAS_CAPTACAO_DIA-Q371)</f>
        <v>0</v>
      </c>
      <c r="S372" s="16" t="n">
        <f aca="false">INDEX(AUX_MATRIZES!$C$13:$BP$13,MIN(N_SEMANAS,MAX(1,$C372)))/DIAS_POR_SEMANA</f>
        <v>31553.5846722689</v>
      </c>
      <c r="T372" s="16" t="n">
        <f aca="false">MIN(CADASTRO_CASAS_BOMBA!$O$11,MAX(0,T371+CADASTRO_CASAS_BOMBA!$I$11*HORAS_CAPTACAO_DIA-S372))</f>
        <v>17321.2408890662</v>
      </c>
      <c r="U372" s="16" t="n">
        <f aca="false">MAX(0,S372-CADASTRO_CASAS_BOMBA!$I$11*HORAS_CAPTACAO_DIA-T371)</f>
        <v>0</v>
      </c>
      <c r="V372" s="16" t="n">
        <f aca="false">INDEX(AUX_MATRIZES!$C$14:$BP$14,MIN(N_SEMANAS,MAX(1,$C372)))/DIAS_POR_SEMANA</f>
        <v>25910.1290638655</v>
      </c>
      <c r="W372" s="16" t="n">
        <f aca="false">MIN(CADASTRO_CASAS_BOMBA!$O$12,MAX(0,W371+CADASTRO_CASAS_BOMBA!$I$12*HORAS_CAPTACAO_DIA-V372))</f>
        <v>29695.1243720661</v>
      </c>
      <c r="X372" s="16" t="n">
        <f aca="false">MAX(0,V372-CADASTRO_CASAS_BOMBA!$I$12*HORAS_CAPTACAO_DIA-W371)</f>
        <v>0</v>
      </c>
      <c r="Y372" s="16" t="n">
        <f aca="false">INDEX(AUX_MATRIZES!$C$15:$BP$15,MIN(N_SEMANAS,MAX(1,$C372)))/DIAS_POR_SEMANA</f>
        <v>0</v>
      </c>
      <c r="Z372" s="16" t="n">
        <f aca="false">MIN(CADASTRO_CASAS_BOMBA!$O$13,MAX(0,Z371+CADASTRO_CASAS_BOMBA!$I$13*HORAS_CAPTACAO_DIA-Y372))</f>
        <v>74903</v>
      </c>
      <c r="AA372" s="16" t="n">
        <f aca="false">MAX(0,Y372-CADASTRO_CASAS_BOMBA!$I$13*HORAS_CAPTACAO_DIA-Z371)</f>
        <v>0</v>
      </c>
    </row>
    <row r="373" customFormat="false" ht="15" hidden="false" customHeight="false" outlineLevel="0" collapsed="false">
      <c r="B373" s="17" t="n">
        <f aca="false">DATA_INICIO_SAFRA+366</f>
        <v>46631</v>
      </c>
      <c r="C373" s="16" t="n">
        <f aca="false">MIN(N_SEMANAS,MAX(1,INT(($B373-DATA_INICIO_SAFRA)/DIAS_POR_SEMANA)+1))</f>
        <v>53</v>
      </c>
      <c r="D373" s="16" t="n">
        <f aca="false">INDEX(AUX_MATRIZES!$C$8:$BP$8,MIN(N_SEMANAS,MAX(1,$C373)))/DIAS_POR_SEMANA</f>
        <v>0</v>
      </c>
      <c r="E373" s="16" t="n">
        <f aca="false">MIN(CADASTRO_CASAS_BOMBA!$O$6,MAX(0,E372+CADASTRO_CASAS_BOMBA!$I$6*HORAS_CAPTACAO_DIA-D373))</f>
        <v>2600</v>
      </c>
      <c r="F373" s="16" t="n">
        <f aca="false">MAX(0,D373-CADASTRO_CASAS_BOMBA!$I$6*HORAS_CAPTACAO_DIA-E372)</f>
        <v>0</v>
      </c>
      <c r="G373" s="16" t="n">
        <f aca="false">INDEX(AUX_MATRIZES!$C$9:$BP$9,MIN(N_SEMANAS,MAX(1,$C373)))/DIAS_POR_SEMANA</f>
        <v>0</v>
      </c>
      <c r="H373" s="16" t="n">
        <f aca="false">MIN(CADASTRO_CASAS_BOMBA!$O$7,MAX(0,H372+CADASTRO_CASAS_BOMBA!$I$7*HORAS_CAPTACAO_DIA-G373))</f>
        <v>76648</v>
      </c>
      <c r="I373" s="16" t="n">
        <f aca="false">MAX(0,G373-CADASTRO_CASAS_BOMBA!$I$7*HORAS_CAPTACAO_DIA-H372)</f>
        <v>0</v>
      </c>
      <c r="J373" s="16" t="n">
        <f aca="false">INDEX(AUX_MATRIZES!$C$10:$BP$10,MIN(N_SEMANAS,MAX(1,$C373)))/DIAS_POR_SEMANA</f>
        <v>0</v>
      </c>
      <c r="K373" s="16" t="n">
        <f aca="false">MIN(CADASTRO_CASAS_BOMBA!$O$8,MAX(0,K372+CADASTRO_CASAS_BOMBA!$I$8*HORAS_CAPTACAO_DIA-J373))</f>
        <v>27377</v>
      </c>
      <c r="L373" s="16" t="n">
        <f aca="false">MAX(0,J373-CADASTRO_CASAS_BOMBA!$I$8*HORAS_CAPTACAO_DIA-K372)</f>
        <v>0</v>
      </c>
      <c r="M373" s="16" t="n">
        <f aca="false">INDEX(AUX_MATRIZES!$C$11:$BP$11,MIN(N_SEMANAS,MAX(1,$C373)))/DIAS_POR_SEMANA</f>
        <v>0</v>
      </c>
      <c r="N373" s="16" t="n">
        <f aca="false">MIN(CADASTRO_CASAS_BOMBA!$O$9,MAX(0,N372+CADASTRO_CASAS_BOMBA!$I$9*HORAS_CAPTACAO_DIA-M373))</f>
        <v>129000</v>
      </c>
      <c r="O373" s="16" t="n">
        <f aca="false">MAX(0,M373-CADASTRO_CASAS_BOMBA!$I$9*HORAS_CAPTACAO_DIA-N372)</f>
        <v>0</v>
      </c>
      <c r="P373" s="16" t="n">
        <f aca="false">INDEX(AUX_MATRIZES!$C$12:$BP$12,MIN(N_SEMANAS,MAX(1,$C373)))/DIAS_POR_SEMANA</f>
        <v>34211.503975891</v>
      </c>
      <c r="Q373" s="16" t="n">
        <f aca="false">MIN(CADASTRO_CASAS_BOMBA!$O$10,MAX(0,Q372+CADASTRO_CASAS_BOMBA!$I$10*HORAS_CAPTACAO_DIA-P373))</f>
        <v>162522.426918829</v>
      </c>
      <c r="R373" s="16" t="n">
        <f aca="false">MAX(0,P373-CADASTRO_CASAS_BOMBA!$I$10*HORAS_CAPTACAO_DIA-Q372)</f>
        <v>0</v>
      </c>
      <c r="S373" s="16" t="n">
        <f aca="false">INDEX(AUX_MATRIZES!$C$13:$BP$13,MIN(N_SEMANAS,MAX(1,$C373)))/DIAS_POR_SEMANA</f>
        <v>31553.5846722689</v>
      </c>
      <c r="T373" s="16" t="n">
        <f aca="false">MIN(CADASTRO_CASAS_BOMBA!$O$11,MAX(0,T372+CADASTRO_CASAS_BOMBA!$I$11*HORAS_CAPTACAO_DIA-S373))</f>
        <v>7187.6562167973</v>
      </c>
      <c r="U373" s="16" t="n">
        <f aca="false">MAX(0,S373-CADASTRO_CASAS_BOMBA!$I$11*HORAS_CAPTACAO_DIA-T372)</f>
        <v>0</v>
      </c>
      <c r="V373" s="16" t="n">
        <f aca="false">INDEX(AUX_MATRIZES!$C$14:$BP$14,MIN(N_SEMANAS,MAX(1,$C373)))/DIAS_POR_SEMANA</f>
        <v>25910.1290638655</v>
      </c>
      <c r="W373" s="16" t="n">
        <f aca="false">MIN(CADASTRO_CASAS_BOMBA!$O$12,MAX(0,W372+CADASTRO_CASAS_BOMBA!$I$12*HORAS_CAPTACAO_DIA-V373))</f>
        <v>29164.9953082006</v>
      </c>
      <c r="X373" s="16" t="n">
        <f aca="false">MAX(0,V373-CADASTRO_CASAS_BOMBA!$I$12*HORAS_CAPTACAO_DIA-W372)</f>
        <v>0</v>
      </c>
      <c r="Y373" s="16" t="n">
        <f aca="false">INDEX(AUX_MATRIZES!$C$15:$BP$15,MIN(N_SEMANAS,MAX(1,$C373)))/DIAS_POR_SEMANA</f>
        <v>0</v>
      </c>
      <c r="Z373" s="16" t="n">
        <f aca="false">MIN(CADASTRO_CASAS_BOMBA!$O$13,MAX(0,Z372+CADASTRO_CASAS_BOMBA!$I$13*HORAS_CAPTACAO_DIA-Y373))</f>
        <v>74903</v>
      </c>
      <c r="AA373" s="16" t="n">
        <f aca="false">MAX(0,Y373-CADASTRO_CASAS_BOMBA!$I$13*HORAS_CAPTACAO_DIA-Z372)</f>
        <v>0</v>
      </c>
    </row>
    <row r="374" customFormat="false" ht="15" hidden="false" customHeight="false" outlineLevel="0" collapsed="false">
      <c r="B374" s="17" t="n">
        <f aca="false">DATA_INICIO_SAFRA+367</f>
        <v>46632</v>
      </c>
      <c r="C374" s="16" t="n">
        <f aca="false">MIN(N_SEMANAS,MAX(1,INT(($B374-DATA_INICIO_SAFRA)/DIAS_POR_SEMANA)+1))</f>
        <v>53</v>
      </c>
      <c r="D374" s="16" t="n">
        <f aca="false">INDEX(AUX_MATRIZES!$C$8:$BP$8,MIN(N_SEMANAS,MAX(1,$C374)))/DIAS_POR_SEMANA</f>
        <v>0</v>
      </c>
      <c r="E374" s="16" t="n">
        <f aca="false">MIN(CADASTRO_CASAS_BOMBA!$O$6,MAX(0,E373+CADASTRO_CASAS_BOMBA!$I$6*HORAS_CAPTACAO_DIA-D374))</f>
        <v>2600</v>
      </c>
      <c r="F374" s="16" t="n">
        <f aca="false">MAX(0,D374-CADASTRO_CASAS_BOMBA!$I$6*HORAS_CAPTACAO_DIA-E373)</f>
        <v>0</v>
      </c>
      <c r="G374" s="16" t="n">
        <f aca="false">INDEX(AUX_MATRIZES!$C$9:$BP$9,MIN(N_SEMANAS,MAX(1,$C374)))/DIAS_POR_SEMANA</f>
        <v>0</v>
      </c>
      <c r="H374" s="16" t="n">
        <f aca="false">MIN(CADASTRO_CASAS_BOMBA!$O$7,MAX(0,H373+CADASTRO_CASAS_BOMBA!$I$7*HORAS_CAPTACAO_DIA-G374))</f>
        <v>76648</v>
      </c>
      <c r="I374" s="16" t="n">
        <f aca="false">MAX(0,G374-CADASTRO_CASAS_BOMBA!$I$7*HORAS_CAPTACAO_DIA-H373)</f>
        <v>0</v>
      </c>
      <c r="J374" s="16" t="n">
        <f aca="false">INDEX(AUX_MATRIZES!$C$10:$BP$10,MIN(N_SEMANAS,MAX(1,$C374)))/DIAS_POR_SEMANA</f>
        <v>0</v>
      </c>
      <c r="K374" s="16" t="n">
        <f aca="false">MIN(CADASTRO_CASAS_BOMBA!$O$8,MAX(0,K373+CADASTRO_CASAS_BOMBA!$I$8*HORAS_CAPTACAO_DIA-J374))</f>
        <v>27377</v>
      </c>
      <c r="L374" s="16" t="n">
        <f aca="false">MAX(0,J374-CADASTRO_CASAS_BOMBA!$I$8*HORAS_CAPTACAO_DIA-K373)</f>
        <v>0</v>
      </c>
      <c r="M374" s="16" t="n">
        <f aca="false">INDEX(AUX_MATRIZES!$C$11:$BP$11,MIN(N_SEMANAS,MAX(1,$C374)))/DIAS_POR_SEMANA</f>
        <v>0</v>
      </c>
      <c r="N374" s="16" t="n">
        <f aca="false">MIN(CADASTRO_CASAS_BOMBA!$O$9,MAX(0,N373+CADASTRO_CASAS_BOMBA!$I$9*HORAS_CAPTACAO_DIA-M374))</f>
        <v>129000</v>
      </c>
      <c r="O374" s="16" t="n">
        <f aca="false">MAX(0,M374-CADASTRO_CASAS_BOMBA!$I$9*HORAS_CAPTACAO_DIA-N373)</f>
        <v>0</v>
      </c>
      <c r="P374" s="16" t="n">
        <f aca="false">INDEX(AUX_MATRIZES!$C$12:$BP$12,MIN(N_SEMANAS,MAX(1,$C374)))/DIAS_POR_SEMANA</f>
        <v>34211.503975891</v>
      </c>
      <c r="Q374" s="16" t="n">
        <f aca="false">MIN(CADASTRO_CASAS_BOMBA!$O$10,MAX(0,Q373+CADASTRO_CASAS_BOMBA!$I$10*HORAS_CAPTACAO_DIA-P374))</f>
        <v>141393.322942938</v>
      </c>
      <c r="R374" s="16" t="n">
        <f aca="false">MAX(0,P374-CADASTRO_CASAS_BOMBA!$I$10*HORAS_CAPTACAO_DIA-Q373)</f>
        <v>0</v>
      </c>
      <c r="S374" s="16" t="n">
        <f aca="false">INDEX(AUX_MATRIZES!$C$13:$BP$13,MIN(N_SEMANAS,MAX(1,$C374)))/DIAS_POR_SEMANA</f>
        <v>31553.5846722689</v>
      </c>
      <c r="T374" s="16" t="n">
        <f aca="false">MIN(CADASTRO_CASAS_BOMBA!$O$11,MAX(0,T373+CADASTRO_CASAS_BOMBA!$I$11*HORAS_CAPTACAO_DIA-S374))</f>
        <v>0</v>
      </c>
      <c r="U374" s="16" t="n">
        <f aca="false">MAX(0,S374-CADASTRO_CASAS_BOMBA!$I$11*HORAS_CAPTACAO_DIA-T373)</f>
        <v>2945.92845547161</v>
      </c>
      <c r="V374" s="16" t="n">
        <f aca="false">INDEX(AUX_MATRIZES!$C$14:$BP$14,MIN(N_SEMANAS,MAX(1,$C374)))/DIAS_POR_SEMANA</f>
        <v>25910.1290638655</v>
      </c>
      <c r="W374" s="16" t="n">
        <f aca="false">MIN(CADASTRO_CASAS_BOMBA!$O$12,MAX(0,W373+CADASTRO_CASAS_BOMBA!$I$12*HORAS_CAPTACAO_DIA-V374))</f>
        <v>28634.866244335</v>
      </c>
      <c r="X374" s="16" t="n">
        <f aca="false">MAX(0,V374-CADASTRO_CASAS_BOMBA!$I$12*HORAS_CAPTACAO_DIA-W373)</f>
        <v>0</v>
      </c>
      <c r="Y374" s="16" t="n">
        <f aca="false">INDEX(AUX_MATRIZES!$C$15:$BP$15,MIN(N_SEMANAS,MAX(1,$C374)))/DIAS_POR_SEMANA</f>
        <v>0</v>
      </c>
      <c r="Z374" s="16" t="n">
        <f aca="false">MIN(CADASTRO_CASAS_BOMBA!$O$13,MAX(0,Z373+CADASTRO_CASAS_BOMBA!$I$13*HORAS_CAPTACAO_DIA-Y374))</f>
        <v>74903</v>
      </c>
      <c r="AA374" s="16" t="n">
        <f aca="false">MAX(0,Y374-CADASTRO_CASAS_BOMBA!$I$13*HORAS_CAPTACAO_DIA-Z373)</f>
        <v>0</v>
      </c>
    </row>
    <row r="375" customFormat="false" ht="15" hidden="false" customHeight="false" outlineLevel="0" collapsed="false">
      <c r="B375" s="17" t="n">
        <f aca="false">DATA_INICIO_SAFRA+368</f>
        <v>46633</v>
      </c>
      <c r="C375" s="16" t="n">
        <f aca="false">MIN(N_SEMANAS,MAX(1,INT(($B375-DATA_INICIO_SAFRA)/DIAS_POR_SEMANA)+1))</f>
        <v>53</v>
      </c>
      <c r="D375" s="16" t="n">
        <f aca="false">INDEX(AUX_MATRIZES!$C$8:$BP$8,MIN(N_SEMANAS,MAX(1,$C375)))/DIAS_POR_SEMANA</f>
        <v>0</v>
      </c>
      <c r="E375" s="16" t="n">
        <f aca="false">MIN(CADASTRO_CASAS_BOMBA!$O$6,MAX(0,E374+CADASTRO_CASAS_BOMBA!$I$6*HORAS_CAPTACAO_DIA-D375))</f>
        <v>2600</v>
      </c>
      <c r="F375" s="16" t="n">
        <f aca="false">MAX(0,D375-CADASTRO_CASAS_BOMBA!$I$6*HORAS_CAPTACAO_DIA-E374)</f>
        <v>0</v>
      </c>
      <c r="G375" s="16" t="n">
        <f aca="false">INDEX(AUX_MATRIZES!$C$9:$BP$9,MIN(N_SEMANAS,MAX(1,$C375)))/DIAS_POR_SEMANA</f>
        <v>0</v>
      </c>
      <c r="H375" s="16" t="n">
        <f aca="false">MIN(CADASTRO_CASAS_BOMBA!$O$7,MAX(0,H374+CADASTRO_CASAS_BOMBA!$I$7*HORAS_CAPTACAO_DIA-G375))</f>
        <v>76648</v>
      </c>
      <c r="I375" s="16" t="n">
        <f aca="false">MAX(0,G375-CADASTRO_CASAS_BOMBA!$I$7*HORAS_CAPTACAO_DIA-H374)</f>
        <v>0</v>
      </c>
      <c r="J375" s="16" t="n">
        <f aca="false">INDEX(AUX_MATRIZES!$C$10:$BP$10,MIN(N_SEMANAS,MAX(1,$C375)))/DIAS_POR_SEMANA</f>
        <v>0</v>
      </c>
      <c r="K375" s="16" t="n">
        <f aca="false">MIN(CADASTRO_CASAS_BOMBA!$O$8,MAX(0,K374+CADASTRO_CASAS_BOMBA!$I$8*HORAS_CAPTACAO_DIA-J375))</f>
        <v>27377</v>
      </c>
      <c r="L375" s="16" t="n">
        <f aca="false">MAX(0,J375-CADASTRO_CASAS_BOMBA!$I$8*HORAS_CAPTACAO_DIA-K374)</f>
        <v>0</v>
      </c>
      <c r="M375" s="16" t="n">
        <f aca="false">INDEX(AUX_MATRIZES!$C$11:$BP$11,MIN(N_SEMANAS,MAX(1,$C375)))/DIAS_POR_SEMANA</f>
        <v>0</v>
      </c>
      <c r="N375" s="16" t="n">
        <f aca="false">MIN(CADASTRO_CASAS_BOMBA!$O$9,MAX(0,N374+CADASTRO_CASAS_BOMBA!$I$9*HORAS_CAPTACAO_DIA-M375))</f>
        <v>129000</v>
      </c>
      <c r="O375" s="16" t="n">
        <f aca="false">MAX(0,M375-CADASTRO_CASAS_BOMBA!$I$9*HORAS_CAPTACAO_DIA-N374)</f>
        <v>0</v>
      </c>
      <c r="P375" s="16" t="n">
        <f aca="false">INDEX(AUX_MATRIZES!$C$12:$BP$12,MIN(N_SEMANAS,MAX(1,$C375)))/DIAS_POR_SEMANA</f>
        <v>34211.503975891</v>
      </c>
      <c r="Q375" s="16" t="n">
        <f aca="false">MIN(CADASTRO_CASAS_BOMBA!$O$10,MAX(0,Q374+CADASTRO_CASAS_BOMBA!$I$10*HORAS_CAPTACAO_DIA-P375))</f>
        <v>120264.218967047</v>
      </c>
      <c r="R375" s="16" t="n">
        <f aca="false">MAX(0,P375-CADASTRO_CASAS_BOMBA!$I$10*HORAS_CAPTACAO_DIA-Q374)</f>
        <v>0</v>
      </c>
      <c r="S375" s="16" t="n">
        <f aca="false">INDEX(AUX_MATRIZES!$C$13:$BP$13,MIN(N_SEMANAS,MAX(1,$C375)))/DIAS_POR_SEMANA</f>
        <v>31553.5846722689</v>
      </c>
      <c r="T375" s="16" t="n">
        <f aca="false">MIN(CADASTRO_CASAS_BOMBA!$O$11,MAX(0,T374+CADASTRO_CASAS_BOMBA!$I$11*HORAS_CAPTACAO_DIA-S375))</f>
        <v>0</v>
      </c>
      <c r="U375" s="16" t="n">
        <f aca="false">MAX(0,S375-CADASTRO_CASAS_BOMBA!$I$11*HORAS_CAPTACAO_DIA-T374)</f>
        <v>10133.5846722689</v>
      </c>
      <c r="V375" s="16" t="n">
        <f aca="false">INDEX(AUX_MATRIZES!$C$14:$BP$14,MIN(N_SEMANAS,MAX(1,$C375)))/DIAS_POR_SEMANA</f>
        <v>25910.1290638655</v>
      </c>
      <c r="W375" s="16" t="n">
        <f aca="false">MIN(CADASTRO_CASAS_BOMBA!$O$12,MAX(0,W374+CADASTRO_CASAS_BOMBA!$I$12*HORAS_CAPTACAO_DIA-V375))</f>
        <v>28104.7371804695</v>
      </c>
      <c r="X375" s="16" t="n">
        <f aca="false">MAX(0,V375-CADASTRO_CASAS_BOMBA!$I$12*HORAS_CAPTACAO_DIA-W374)</f>
        <v>0</v>
      </c>
      <c r="Y375" s="16" t="n">
        <f aca="false">INDEX(AUX_MATRIZES!$C$15:$BP$15,MIN(N_SEMANAS,MAX(1,$C375)))/DIAS_POR_SEMANA</f>
        <v>0</v>
      </c>
      <c r="Z375" s="16" t="n">
        <f aca="false">MIN(CADASTRO_CASAS_BOMBA!$O$13,MAX(0,Z374+CADASTRO_CASAS_BOMBA!$I$13*HORAS_CAPTACAO_DIA-Y375))</f>
        <v>74903</v>
      </c>
      <c r="AA375" s="16" t="n">
        <f aca="false">MAX(0,Y375-CADASTRO_CASAS_BOMBA!$I$13*HORAS_CAPTACAO_DIA-Z374)</f>
        <v>0</v>
      </c>
    </row>
    <row r="376" customFormat="false" ht="15" hidden="false" customHeight="false" outlineLevel="0" collapsed="false">
      <c r="B376" s="17" t="n">
        <f aca="false">DATA_INICIO_SAFRA+369</f>
        <v>46634</v>
      </c>
      <c r="C376" s="16" t="n">
        <f aca="false">MIN(N_SEMANAS,MAX(1,INT(($B376-DATA_INICIO_SAFRA)/DIAS_POR_SEMANA)+1))</f>
        <v>53</v>
      </c>
      <c r="D376" s="16" t="n">
        <f aca="false">INDEX(AUX_MATRIZES!$C$8:$BP$8,MIN(N_SEMANAS,MAX(1,$C376)))/DIAS_POR_SEMANA</f>
        <v>0</v>
      </c>
      <c r="E376" s="16" t="n">
        <f aca="false">MIN(CADASTRO_CASAS_BOMBA!$O$6,MAX(0,E375+CADASTRO_CASAS_BOMBA!$I$6*HORAS_CAPTACAO_DIA-D376))</f>
        <v>2600</v>
      </c>
      <c r="F376" s="16" t="n">
        <f aca="false">MAX(0,D376-CADASTRO_CASAS_BOMBA!$I$6*HORAS_CAPTACAO_DIA-E375)</f>
        <v>0</v>
      </c>
      <c r="G376" s="16" t="n">
        <f aca="false">INDEX(AUX_MATRIZES!$C$9:$BP$9,MIN(N_SEMANAS,MAX(1,$C376)))/DIAS_POR_SEMANA</f>
        <v>0</v>
      </c>
      <c r="H376" s="16" t="n">
        <f aca="false">MIN(CADASTRO_CASAS_BOMBA!$O$7,MAX(0,H375+CADASTRO_CASAS_BOMBA!$I$7*HORAS_CAPTACAO_DIA-G376))</f>
        <v>76648</v>
      </c>
      <c r="I376" s="16" t="n">
        <f aca="false">MAX(0,G376-CADASTRO_CASAS_BOMBA!$I$7*HORAS_CAPTACAO_DIA-H375)</f>
        <v>0</v>
      </c>
      <c r="J376" s="16" t="n">
        <f aca="false">INDEX(AUX_MATRIZES!$C$10:$BP$10,MIN(N_SEMANAS,MAX(1,$C376)))/DIAS_POR_SEMANA</f>
        <v>0</v>
      </c>
      <c r="K376" s="16" t="n">
        <f aca="false">MIN(CADASTRO_CASAS_BOMBA!$O$8,MAX(0,K375+CADASTRO_CASAS_BOMBA!$I$8*HORAS_CAPTACAO_DIA-J376))</f>
        <v>27377</v>
      </c>
      <c r="L376" s="16" t="n">
        <f aca="false">MAX(0,J376-CADASTRO_CASAS_BOMBA!$I$8*HORAS_CAPTACAO_DIA-K375)</f>
        <v>0</v>
      </c>
      <c r="M376" s="16" t="n">
        <f aca="false">INDEX(AUX_MATRIZES!$C$11:$BP$11,MIN(N_SEMANAS,MAX(1,$C376)))/DIAS_POR_SEMANA</f>
        <v>0</v>
      </c>
      <c r="N376" s="16" t="n">
        <f aca="false">MIN(CADASTRO_CASAS_BOMBA!$O$9,MAX(0,N375+CADASTRO_CASAS_BOMBA!$I$9*HORAS_CAPTACAO_DIA-M376))</f>
        <v>129000</v>
      </c>
      <c r="O376" s="16" t="n">
        <f aca="false">MAX(0,M376-CADASTRO_CASAS_BOMBA!$I$9*HORAS_CAPTACAO_DIA-N375)</f>
        <v>0</v>
      </c>
      <c r="P376" s="16" t="n">
        <f aca="false">INDEX(AUX_MATRIZES!$C$12:$BP$12,MIN(N_SEMANAS,MAX(1,$C376)))/DIAS_POR_SEMANA</f>
        <v>34211.503975891</v>
      </c>
      <c r="Q376" s="16" t="n">
        <f aca="false">MIN(CADASTRO_CASAS_BOMBA!$O$10,MAX(0,Q375+CADASTRO_CASAS_BOMBA!$I$10*HORAS_CAPTACAO_DIA-P376))</f>
        <v>99135.114991156</v>
      </c>
      <c r="R376" s="16" t="n">
        <f aca="false">MAX(0,P376-CADASTRO_CASAS_BOMBA!$I$10*HORAS_CAPTACAO_DIA-Q375)</f>
        <v>0</v>
      </c>
      <c r="S376" s="16" t="n">
        <f aca="false">INDEX(AUX_MATRIZES!$C$13:$BP$13,MIN(N_SEMANAS,MAX(1,$C376)))/DIAS_POR_SEMANA</f>
        <v>31553.5846722689</v>
      </c>
      <c r="T376" s="16" t="n">
        <f aca="false">MIN(CADASTRO_CASAS_BOMBA!$O$11,MAX(0,T375+CADASTRO_CASAS_BOMBA!$I$11*HORAS_CAPTACAO_DIA-S376))</f>
        <v>0</v>
      </c>
      <c r="U376" s="16" t="n">
        <f aca="false">MAX(0,S376-CADASTRO_CASAS_BOMBA!$I$11*HORAS_CAPTACAO_DIA-T375)</f>
        <v>10133.5846722689</v>
      </c>
      <c r="V376" s="16" t="n">
        <f aca="false">INDEX(AUX_MATRIZES!$C$14:$BP$14,MIN(N_SEMANAS,MAX(1,$C376)))/DIAS_POR_SEMANA</f>
        <v>25910.1290638655</v>
      </c>
      <c r="W376" s="16" t="n">
        <f aca="false">MIN(CADASTRO_CASAS_BOMBA!$O$12,MAX(0,W375+CADASTRO_CASAS_BOMBA!$I$12*HORAS_CAPTACAO_DIA-V376))</f>
        <v>27574.6081166039</v>
      </c>
      <c r="X376" s="16" t="n">
        <f aca="false">MAX(0,V376-CADASTRO_CASAS_BOMBA!$I$12*HORAS_CAPTACAO_DIA-W375)</f>
        <v>0</v>
      </c>
      <c r="Y376" s="16" t="n">
        <f aca="false">INDEX(AUX_MATRIZES!$C$15:$BP$15,MIN(N_SEMANAS,MAX(1,$C376)))/DIAS_POR_SEMANA</f>
        <v>0</v>
      </c>
      <c r="Z376" s="16" t="n">
        <f aca="false">MIN(CADASTRO_CASAS_BOMBA!$O$13,MAX(0,Z375+CADASTRO_CASAS_BOMBA!$I$13*HORAS_CAPTACAO_DIA-Y376))</f>
        <v>74903</v>
      </c>
      <c r="AA376" s="16" t="n">
        <f aca="false">MAX(0,Y376-CADASTRO_CASAS_BOMBA!$I$13*HORAS_CAPTACAO_DIA-Z375)</f>
        <v>0</v>
      </c>
    </row>
    <row r="377" customFormat="false" ht="15" hidden="false" customHeight="false" outlineLevel="0" collapsed="false">
      <c r="B377" s="17" t="n">
        <f aca="false">DATA_INICIO_SAFRA+370</f>
        <v>46635</v>
      </c>
      <c r="C377" s="16" t="n">
        <f aca="false">MIN(N_SEMANAS,MAX(1,INT(($B377-DATA_INICIO_SAFRA)/DIAS_POR_SEMANA)+1))</f>
        <v>53</v>
      </c>
      <c r="D377" s="16" t="n">
        <f aca="false">INDEX(AUX_MATRIZES!$C$8:$BP$8,MIN(N_SEMANAS,MAX(1,$C377)))/DIAS_POR_SEMANA</f>
        <v>0</v>
      </c>
      <c r="E377" s="16" t="n">
        <f aca="false">MIN(CADASTRO_CASAS_BOMBA!$O$6,MAX(0,E376+CADASTRO_CASAS_BOMBA!$I$6*HORAS_CAPTACAO_DIA-D377))</f>
        <v>2600</v>
      </c>
      <c r="F377" s="16" t="n">
        <f aca="false">MAX(0,D377-CADASTRO_CASAS_BOMBA!$I$6*HORAS_CAPTACAO_DIA-E376)</f>
        <v>0</v>
      </c>
      <c r="G377" s="16" t="n">
        <f aca="false">INDEX(AUX_MATRIZES!$C$9:$BP$9,MIN(N_SEMANAS,MAX(1,$C377)))/DIAS_POR_SEMANA</f>
        <v>0</v>
      </c>
      <c r="H377" s="16" t="n">
        <f aca="false">MIN(CADASTRO_CASAS_BOMBA!$O$7,MAX(0,H376+CADASTRO_CASAS_BOMBA!$I$7*HORAS_CAPTACAO_DIA-G377))</f>
        <v>76648</v>
      </c>
      <c r="I377" s="16" t="n">
        <f aca="false">MAX(0,G377-CADASTRO_CASAS_BOMBA!$I$7*HORAS_CAPTACAO_DIA-H376)</f>
        <v>0</v>
      </c>
      <c r="J377" s="16" t="n">
        <f aca="false">INDEX(AUX_MATRIZES!$C$10:$BP$10,MIN(N_SEMANAS,MAX(1,$C377)))/DIAS_POR_SEMANA</f>
        <v>0</v>
      </c>
      <c r="K377" s="16" t="n">
        <f aca="false">MIN(CADASTRO_CASAS_BOMBA!$O$8,MAX(0,K376+CADASTRO_CASAS_BOMBA!$I$8*HORAS_CAPTACAO_DIA-J377))</f>
        <v>27377</v>
      </c>
      <c r="L377" s="16" t="n">
        <f aca="false">MAX(0,J377-CADASTRO_CASAS_BOMBA!$I$8*HORAS_CAPTACAO_DIA-K376)</f>
        <v>0</v>
      </c>
      <c r="M377" s="16" t="n">
        <f aca="false">INDEX(AUX_MATRIZES!$C$11:$BP$11,MIN(N_SEMANAS,MAX(1,$C377)))/DIAS_POR_SEMANA</f>
        <v>0</v>
      </c>
      <c r="N377" s="16" t="n">
        <f aca="false">MIN(CADASTRO_CASAS_BOMBA!$O$9,MAX(0,N376+CADASTRO_CASAS_BOMBA!$I$9*HORAS_CAPTACAO_DIA-M377))</f>
        <v>129000</v>
      </c>
      <c r="O377" s="16" t="n">
        <f aca="false">MAX(0,M377-CADASTRO_CASAS_BOMBA!$I$9*HORAS_CAPTACAO_DIA-N376)</f>
        <v>0</v>
      </c>
      <c r="P377" s="16" t="n">
        <f aca="false">INDEX(AUX_MATRIZES!$C$12:$BP$12,MIN(N_SEMANAS,MAX(1,$C377)))/DIAS_POR_SEMANA</f>
        <v>34211.503975891</v>
      </c>
      <c r="Q377" s="16" t="n">
        <f aca="false">MIN(CADASTRO_CASAS_BOMBA!$O$10,MAX(0,Q376+CADASTRO_CASAS_BOMBA!$I$10*HORAS_CAPTACAO_DIA-P377))</f>
        <v>78006.011015265</v>
      </c>
      <c r="R377" s="16" t="n">
        <f aca="false">MAX(0,P377-CADASTRO_CASAS_BOMBA!$I$10*HORAS_CAPTACAO_DIA-Q376)</f>
        <v>0</v>
      </c>
      <c r="S377" s="16" t="n">
        <f aca="false">INDEX(AUX_MATRIZES!$C$13:$BP$13,MIN(N_SEMANAS,MAX(1,$C377)))/DIAS_POR_SEMANA</f>
        <v>31553.5846722689</v>
      </c>
      <c r="T377" s="16" t="n">
        <f aca="false">MIN(CADASTRO_CASAS_BOMBA!$O$11,MAX(0,T376+CADASTRO_CASAS_BOMBA!$I$11*HORAS_CAPTACAO_DIA-S377))</f>
        <v>0</v>
      </c>
      <c r="U377" s="16" t="n">
        <f aca="false">MAX(0,S377-CADASTRO_CASAS_BOMBA!$I$11*HORAS_CAPTACAO_DIA-T376)</f>
        <v>10133.5846722689</v>
      </c>
      <c r="V377" s="16" t="n">
        <f aca="false">INDEX(AUX_MATRIZES!$C$14:$BP$14,MIN(N_SEMANAS,MAX(1,$C377)))/DIAS_POR_SEMANA</f>
        <v>25910.1290638655</v>
      </c>
      <c r="W377" s="16" t="n">
        <f aca="false">MIN(CADASTRO_CASAS_BOMBA!$O$12,MAX(0,W376+CADASTRO_CASAS_BOMBA!$I$12*HORAS_CAPTACAO_DIA-V377))</f>
        <v>27044.4790527384</v>
      </c>
      <c r="X377" s="16" t="n">
        <f aca="false">MAX(0,V377-CADASTRO_CASAS_BOMBA!$I$12*HORAS_CAPTACAO_DIA-W376)</f>
        <v>0</v>
      </c>
      <c r="Y377" s="16" t="n">
        <f aca="false">INDEX(AUX_MATRIZES!$C$15:$BP$15,MIN(N_SEMANAS,MAX(1,$C377)))/DIAS_POR_SEMANA</f>
        <v>0</v>
      </c>
      <c r="Z377" s="16" t="n">
        <f aca="false">MIN(CADASTRO_CASAS_BOMBA!$O$13,MAX(0,Z376+CADASTRO_CASAS_BOMBA!$I$13*HORAS_CAPTACAO_DIA-Y377))</f>
        <v>74903</v>
      </c>
      <c r="AA377" s="16" t="n">
        <f aca="false">MAX(0,Y377-CADASTRO_CASAS_BOMBA!$I$13*HORAS_CAPTACAO_DIA-Z376)</f>
        <v>0</v>
      </c>
    </row>
    <row r="378" customFormat="false" ht="15" hidden="false" customHeight="false" outlineLevel="0" collapsed="false">
      <c r="B378" s="17" t="n">
        <f aca="false">DATA_INICIO_SAFRA+371</f>
        <v>46636</v>
      </c>
      <c r="C378" s="16" t="n">
        <f aca="false">MIN(N_SEMANAS,MAX(1,INT(($B378-DATA_INICIO_SAFRA)/DIAS_POR_SEMANA)+1))</f>
        <v>54</v>
      </c>
      <c r="D378" s="16" t="n">
        <f aca="false">INDEX(AUX_MATRIZES!$C$8:$BP$8,MIN(N_SEMANAS,MAX(1,$C378)))/DIAS_POR_SEMANA</f>
        <v>0</v>
      </c>
      <c r="E378" s="16" t="n">
        <f aca="false">MIN(CADASTRO_CASAS_BOMBA!$O$6,MAX(0,E377+CADASTRO_CASAS_BOMBA!$I$6*HORAS_CAPTACAO_DIA-D378))</f>
        <v>2600</v>
      </c>
      <c r="F378" s="16" t="n">
        <f aca="false">MAX(0,D378-CADASTRO_CASAS_BOMBA!$I$6*HORAS_CAPTACAO_DIA-E377)</f>
        <v>0</v>
      </c>
      <c r="G378" s="16" t="n">
        <f aca="false">INDEX(AUX_MATRIZES!$C$9:$BP$9,MIN(N_SEMANAS,MAX(1,$C378)))/DIAS_POR_SEMANA</f>
        <v>0</v>
      </c>
      <c r="H378" s="16" t="n">
        <f aca="false">MIN(CADASTRO_CASAS_BOMBA!$O$7,MAX(0,H377+CADASTRO_CASAS_BOMBA!$I$7*HORAS_CAPTACAO_DIA-G378))</f>
        <v>76648</v>
      </c>
      <c r="I378" s="16" t="n">
        <f aca="false">MAX(0,G378-CADASTRO_CASAS_BOMBA!$I$7*HORAS_CAPTACAO_DIA-H377)</f>
        <v>0</v>
      </c>
      <c r="J378" s="16" t="n">
        <f aca="false">INDEX(AUX_MATRIZES!$C$10:$BP$10,MIN(N_SEMANAS,MAX(1,$C378)))/DIAS_POR_SEMANA</f>
        <v>0</v>
      </c>
      <c r="K378" s="16" t="n">
        <f aca="false">MIN(CADASTRO_CASAS_BOMBA!$O$8,MAX(0,K377+CADASTRO_CASAS_BOMBA!$I$8*HORAS_CAPTACAO_DIA-J378))</f>
        <v>27377</v>
      </c>
      <c r="L378" s="16" t="n">
        <f aca="false">MAX(0,J378-CADASTRO_CASAS_BOMBA!$I$8*HORAS_CAPTACAO_DIA-K377)</f>
        <v>0</v>
      </c>
      <c r="M378" s="16" t="n">
        <f aca="false">INDEX(AUX_MATRIZES!$C$11:$BP$11,MIN(N_SEMANAS,MAX(1,$C378)))/DIAS_POR_SEMANA</f>
        <v>0</v>
      </c>
      <c r="N378" s="16" t="n">
        <f aca="false">MIN(CADASTRO_CASAS_BOMBA!$O$9,MAX(0,N377+CADASTRO_CASAS_BOMBA!$I$9*HORAS_CAPTACAO_DIA-M378))</f>
        <v>129000</v>
      </c>
      <c r="O378" s="16" t="n">
        <f aca="false">MAX(0,M378-CADASTRO_CASAS_BOMBA!$I$9*HORAS_CAPTACAO_DIA-N377)</f>
        <v>0</v>
      </c>
      <c r="P378" s="16" t="n">
        <f aca="false">INDEX(AUX_MATRIZES!$C$12:$BP$12,MIN(N_SEMANAS,MAX(1,$C378)))/DIAS_POR_SEMANA</f>
        <v>34521.1247058824</v>
      </c>
      <c r="Q378" s="16" t="n">
        <f aca="false">MIN(CADASTRO_CASAS_BOMBA!$O$10,MAX(0,Q377+CADASTRO_CASAS_BOMBA!$I$10*HORAS_CAPTACAO_DIA-P378))</f>
        <v>56567.2863093826</v>
      </c>
      <c r="R378" s="16" t="n">
        <f aca="false">MAX(0,P378-CADASTRO_CASAS_BOMBA!$I$10*HORAS_CAPTACAO_DIA-Q377)</f>
        <v>0</v>
      </c>
      <c r="S378" s="16" t="n">
        <f aca="false">INDEX(AUX_MATRIZES!$C$13:$BP$13,MIN(N_SEMANAS,MAX(1,$C378)))/DIAS_POR_SEMANA</f>
        <v>31051.0597647059</v>
      </c>
      <c r="T378" s="16" t="n">
        <f aca="false">MIN(CADASTRO_CASAS_BOMBA!$O$11,MAX(0,T377+CADASTRO_CASAS_BOMBA!$I$11*HORAS_CAPTACAO_DIA-S378))</f>
        <v>0</v>
      </c>
      <c r="U378" s="16" t="n">
        <f aca="false">MAX(0,S378-CADASTRO_CASAS_BOMBA!$I$11*HORAS_CAPTACAO_DIA-T377)</f>
        <v>9631.05976470588</v>
      </c>
      <c r="V378" s="16" t="n">
        <f aca="false">INDEX(AUX_MATRIZES!$C$14:$BP$14,MIN(N_SEMANAS,MAX(1,$C378)))/DIAS_POR_SEMANA</f>
        <v>27478.8379529412</v>
      </c>
      <c r="W378" s="16" t="n">
        <f aca="false">MIN(CADASTRO_CASAS_BOMBA!$O$12,MAX(0,W377+CADASTRO_CASAS_BOMBA!$I$12*HORAS_CAPTACAO_DIA-V378))</f>
        <v>24945.6410997972</v>
      </c>
      <c r="X378" s="16" t="n">
        <f aca="false">MAX(0,V378-CADASTRO_CASAS_BOMBA!$I$12*HORAS_CAPTACAO_DIA-W377)</f>
        <v>0</v>
      </c>
      <c r="Y378" s="16" t="n">
        <f aca="false">INDEX(AUX_MATRIZES!$C$15:$BP$15,MIN(N_SEMANAS,MAX(1,$C378)))/DIAS_POR_SEMANA</f>
        <v>0</v>
      </c>
      <c r="Z378" s="16" t="n">
        <f aca="false">MIN(CADASTRO_CASAS_BOMBA!$O$13,MAX(0,Z377+CADASTRO_CASAS_BOMBA!$I$13*HORAS_CAPTACAO_DIA-Y378))</f>
        <v>74903</v>
      </c>
      <c r="AA378" s="16" t="n">
        <f aca="false">MAX(0,Y378-CADASTRO_CASAS_BOMBA!$I$13*HORAS_CAPTACAO_DIA-Z377)</f>
        <v>0</v>
      </c>
    </row>
    <row r="379" customFormat="false" ht="15" hidden="false" customHeight="false" outlineLevel="0" collapsed="false">
      <c r="B379" s="17" t="n">
        <f aca="false">DATA_INICIO_SAFRA+372</f>
        <v>46637</v>
      </c>
      <c r="C379" s="16" t="n">
        <f aca="false">MIN(N_SEMANAS,MAX(1,INT(($B379-DATA_INICIO_SAFRA)/DIAS_POR_SEMANA)+1))</f>
        <v>54</v>
      </c>
      <c r="D379" s="16" t="n">
        <f aca="false">INDEX(AUX_MATRIZES!$C$8:$BP$8,MIN(N_SEMANAS,MAX(1,$C379)))/DIAS_POR_SEMANA</f>
        <v>0</v>
      </c>
      <c r="E379" s="16" t="n">
        <f aca="false">MIN(CADASTRO_CASAS_BOMBA!$O$6,MAX(0,E378+CADASTRO_CASAS_BOMBA!$I$6*HORAS_CAPTACAO_DIA-D379))</f>
        <v>2600</v>
      </c>
      <c r="F379" s="16" t="n">
        <f aca="false">MAX(0,D379-CADASTRO_CASAS_BOMBA!$I$6*HORAS_CAPTACAO_DIA-E378)</f>
        <v>0</v>
      </c>
      <c r="G379" s="16" t="n">
        <f aca="false">INDEX(AUX_MATRIZES!$C$9:$BP$9,MIN(N_SEMANAS,MAX(1,$C379)))/DIAS_POR_SEMANA</f>
        <v>0</v>
      </c>
      <c r="H379" s="16" t="n">
        <f aca="false">MIN(CADASTRO_CASAS_BOMBA!$O$7,MAX(0,H378+CADASTRO_CASAS_BOMBA!$I$7*HORAS_CAPTACAO_DIA-G379))</f>
        <v>76648</v>
      </c>
      <c r="I379" s="16" t="n">
        <f aca="false">MAX(0,G379-CADASTRO_CASAS_BOMBA!$I$7*HORAS_CAPTACAO_DIA-H378)</f>
        <v>0</v>
      </c>
      <c r="J379" s="16" t="n">
        <f aca="false">INDEX(AUX_MATRIZES!$C$10:$BP$10,MIN(N_SEMANAS,MAX(1,$C379)))/DIAS_POR_SEMANA</f>
        <v>0</v>
      </c>
      <c r="K379" s="16" t="n">
        <f aca="false">MIN(CADASTRO_CASAS_BOMBA!$O$8,MAX(0,K378+CADASTRO_CASAS_BOMBA!$I$8*HORAS_CAPTACAO_DIA-J379))</f>
        <v>27377</v>
      </c>
      <c r="L379" s="16" t="n">
        <f aca="false">MAX(0,J379-CADASTRO_CASAS_BOMBA!$I$8*HORAS_CAPTACAO_DIA-K378)</f>
        <v>0</v>
      </c>
      <c r="M379" s="16" t="n">
        <f aca="false">INDEX(AUX_MATRIZES!$C$11:$BP$11,MIN(N_SEMANAS,MAX(1,$C379)))/DIAS_POR_SEMANA</f>
        <v>0</v>
      </c>
      <c r="N379" s="16" t="n">
        <f aca="false">MIN(CADASTRO_CASAS_BOMBA!$O$9,MAX(0,N378+CADASTRO_CASAS_BOMBA!$I$9*HORAS_CAPTACAO_DIA-M379))</f>
        <v>129000</v>
      </c>
      <c r="O379" s="16" t="n">
        <f aca="false">MAX(0,M379-CADASTRO_CASAS_BOMBA!$I$9*HORAS_CAPTACAO_DIA-N378)</f>
        <v>0</v>
      </c>
      <c r="P379" s="16" t="n">
        <f aca="false">INDEX(AUX_MATRIZES!$C$12:$BP$12,MIN(N_SEMANAS,MAX(1,$C379)))/DIAS_POR_SEMANA</f>
        <v>34521.1247058824</v>
      </c>
      <c r="Q379" s="16" t="n">
        <f aca="false">MIN(CADASTRO_CASAS_BOMBA!$O$10,MAX(0,Q378+CADASTRO_CASAS_BOMBA!$I$10*HORAS_CAPTACAO_DIA-P379))</f>
        <v>35128.5616035002</v>
      </c>
      <c r="R379" s="16" t="n">
        <f aca="false">MAX(0,P379-CADASTRO_CASAS_BOMBA!$I$10*HORAS_CAPTACAO_DIA-Q378)</f>
        <v>0</v>
      </c>
      <c r="S379" s="16" t="n">
        <f aca="false">INDEX(AUX_MATRIZES!$C$13:$BP$13,MIN(N_SEMANAS,MAX(1,$C379)))/DIAS_POR_SEMANA</f>
        <v>31051.0597647059</v>
      </c>
      <c r="T379" s="16" t="n">
        <f aca="false">MIN(CADASTRO_CASAS_BOMBA!$O$11,MAX(0,T378+CADASTRO_CASAS_BOMBA!$I$11*HORAS_CAPTACAO_DIA-S379))</f>
        <v>0</v>
      </c>
      <c r="U379" s="16" t="n">
        <f aca="false">MAX(0,S379-CADASTRO_CASAS_BOMBA!$I$11*HORAS_CAPTACAO_DIA-T378)</f>
        <v>9631.05976470588</v>
      </c>
      <c r="V379" s="16" t="n">
        <f aca="false">INDEX(AUX_MATRIZES!$C$14:$BP$14,MIN(N_SEMANAS,MAX(1,$C379)))/DIAS_POR_SEMANA</f>
        <v>27478.8379529412</v>
      </c>
      <c r="W379" s="16" t="n">
        <f aca="false">MIN(CADASTRO_CASAS_BOMBA!$O$12,MAX(0,W378+CADASTRO_CASAS_BOMBA!$I$12*HORAS_CAPTACAO_DIA-V379))</f>
        <v>22846.803146856</v>
      </c>
      <c r="X379" s="16" t="n">
        <f aca="false">MAX(0,V379-CADASTRO_CASAS_BOMBA!$I$12*HORAS_CAPTACAO_DIA-W378)</f>
        <v>0</v>
      </c>
      <c r="Y379" s="16" t="n">
        <f aca="false">INDEX(AUX_MATRIZES!$C$15:$BP$15,MIN(N_SEMANAS,MAX(1,$C379)))/DIAS_POR_SEMANA</f>
        <v>0</v>
      </c>
      <c r="Z379" s="16" t="n">
        <f aca="false">MIN(CADASTRO_CASAS_BOMBA!$O$13,MAX(0,Z378+CADASTRO_CASAS_BOMBA!$I$13*HORAS_CAPTACAO_DIA-Y379))</f>
        <v>74903</v>
      </c>
      <c r="AA379" s="16" t="n">
        <f aca="false">MAX(0,Y379-CADASTRO_CASAS_BOMBA!$I$13*HORAS_CAPTACAO_DIA-Z378)</f>
        <v>0</v>
      </c>
    </row>
    <row r="380" customFormat="false" ht="15" hidden="false" customHeight="false" outlineLevel="0" collapsed="false">
      <c r="B380" s="17" t="n">
        <f aca="false">DATA_INICIO_SAFRA+373</f>
        <v>46638</v>
      </c>
      <c r="C380" s="16" t="n">
        <f aca="false">MIN(N_SEMANAS,MAX(1,INT(($B380-DATA_INICIO_SAFRA)/DIAS_POR_SEMANA)+1))</f>
        <v>54</v>
      </c>
      <c r="D380" s="16" t="n">
        <f aca="false">INDEX(AUX_MATRIZES!$C$8:$BP$8,MIN(N_SEMANAS,MAX(1,$C380)))/DIAS_POR_SEMANA</f>
        <v>0</v>
      </c>
      <c r="E380" s="16" t="n">
        <f aca="false">MIN(CADASTRO_CASAS_BOMBA!$O$6,MAX(0,E379+CADASTRO_CASAS_BOMBA!$I$6*HORAS_CAPTACAO_DIA-D380))</f>
        <v>2600</v>
      </c>
      <c r="F380" s="16" t="n">
        <f aca="false">MAX(0,D380-CADASTRO_CASAS_BOMBA!$I$6*HORAS_CAPTACAO_DIA-E379)</f>
        <v>0</v>
      </c>
      <c r="G380" s="16" t="n">
        <f aca="false">INDEX(AUX_MATRIZES!$C$9:$BP$9,MIN(N_SEMANAS,MAX(1,$C380)))/DIAS_POR_SEMANA</f>
        <v>0</v>
      </c>
      <c r="H380" s="16" t="n">
        <f aca="false">MIN(CADASTRO_CASAS_BOMBA!$O$7,MAX(0,H379+CADASTRO_CASAS_BOMBA!$I$7*HORAS_CAPTACAO_DIA-G380))</f>
        <v>76648</v>
      </c>
      <c r="I380" s="16" t="n">
        <f aca="false">MAX(0,G380-CADASTRO_CASAS_BOMBA!$I$7*HORAS_CAPTACAO_DIA-H379)</f>
        <v>0</v>
      </c>
      <c r="J380" s="16" t="n">
        <f aca="false">INDEX(AUX_MATRIZES!$C$10:$BP$10,MIN(N_SEMANAS,MAX(1,$C380)))/DIAS_POR_SEMANA</f>
        <v>0</v>
      </c>
      <c r="K380" s="16" t="n">
        <f aca="false">MIN(CADASTRO_CASAS_BOMBA!$O$8,MAX(0,K379+CADASTRO_CASAS_BOMBA!$I$8*HORAS_CAPTACAO_DIA-J380))</f>
        <v>27377</v>
      </c>
      <c r="L380" s="16" t="n">
        <f aca="false">MAX(0,J380-CADASTRO_CASAS_BOMBA!$I$8*HORAS_CAPTACAO_DIA-K379)</f>
        <v>0</v>
      </c>
      <c r="M380" s="16" t="n">
        <f aca="false">INDEX(AUX_MATRIZES!$C$11:$BP$11,MIN(N_SEMANAS,MAX(1,$C380)))/DIAS_POR_SEMANA</f>
        <v>0</v>
      </c>
      <c r="N380" s="16" t="n">
        <f aca="false">MIN(CADASTRO_CASAS_BOMBA!$O$9,MAX(0,N379+CADASTRO_CASAS_BOMBA!$I$9*HORAS_CAPTACAO_DIA-M380))</f>
        <v>129000</v>
      </c>
      <c r="O380" s="16" t="n">
        <f aca="false">MAX(0,M380-CADASTRO_CASAS_BOMBA!$I$9*HORAS_CAPTACAO_DIA-N379)</f>
        <v>0</v>
      </c>
      <c r="P380" s="16" t="n">
        <f aca="false">INDEX(AUX_MATRIZES!$C$12:$BP$12,MIN(N_SEMANAS,MAX(1,$C380)))/DIAS_POR_SEMANA</f>
        <v>34521.1247058824</v>
      </c>
      <c r="Q380" s="16" t="n">
        <f aca="false">MIN(CADASTRO_CASAS_BOMBA!$O$10,MAX(0,Q379+CADASTRO_CASAS_BOMBA!$I$10*HORAS_CAPTACAO_DIA-P380))</f>
        <v>13689.8368976179</v>
      </c>
      <c r="R380" s="16" t="n">
        <f aca="false">MAX(0,P380-CADASTRO_CASAS_BOMBA!$I$10*HORAS_CAPTACAO_DIA-Q379)</f>
        <v>0</v>
      </c>
      <c r="S380" s="16" t="n">
        <f aca="false">INDEX(AUX_MATRIZES!$C$13:$BP$13,MIN(N_SEMANAS,MAX(1,$C380)))/DIAS_POR_SEMANA</f>
        <v>31051.0597647059</v>
      </c>
      <c r="T380" s="16" t="n">
        <f aca="false">MIN(CADASTRO_CASAS_BOMBA!$O$11,MAX(0,T379+CADASTRO_CASAS_BOMBA!$I$11*HORAS_CAPTACAO_DIA-S380))</f>
        <v>0</v>
      </c>
      <c r="U380" s="16" t="n">
        <f aca="false">MAX(0,S380-CADASTRO_CASAS_BOMBA!$I$11*HORAS_CAPTACAO_DIA-T379)</f>
        <v>9631.05976470588</v>
      </c>
      <c r="V380" s="16" t="n">
        <f aca="false">INDEX(AUX_MATRIZES!$C$14:$BP$14,MIN(N_SEMANAS,MAX(1,$C380)))/DIAS_POR_SEMANA</f>
        <v>27478.8379529412</v>
      </c>
      <c r="W380" s="16" t="n">
        <f aca="false">MIN(CADASTRO_CASAS_BOMBA!$O$12,MAX(0,W379+CADASTRO_CASAS_BOMBA!$I$12*HORAS_CAPTACAO_DIA-V380))</f>
        <v>20747.9651939149</v>
      </c>
      <c r="X380" s="16" t="n">
        <f aca="false">MAX(0,V380-CADASTRO_CASAS_BOMBA!$I$12*HORAS_CAPTACAO_DIA-W379)</f>
        <v>0</v>
      </c>
      <c r="Y380" s="16" t="n">
        <f aca="false">INDEX(AUX_MATRIZES!$C$15:$BP$15,MIN(N_SEMANAS,MAX(1,$C380)))/DIAS_POR_SEMANA</f>
        <v>0</v>
      </c>
      <c r="Z380" s="16" t="n">
        <f aca="false">MIN(CADASTRO_CASAS_BOMBA!$O$13,MAX(0,Z379+CADASTRO_CASAS_BOMBA!$I$13*HORAS_CAPTACAO_DIA-Y380))</f>
        <v>74903</v>
      </c>
      <c r="AA380" s="16" t="n">
        <f aca="false">MAX(0,Y380-CADASTRO_CASAS_BOMBA!$I$13*HORAS_CAPTACAO_DIA-Z379)</f>
        <v>0</v>
      </c>
    </row>
    <row r="381" customFormat="false" ht="15" hidden="false" customHeight="false" outlineLevel="0" collapsed="false">
      <c r="B381" s="17" t="n">
        <f aca="false">DATA_INICIO_SAFRA+374</f>
        <v>46639</v>
      </c>
      <c r="C381" s="16" t="n">
        <f aca="false">MIN(N_SEMANAS,MAX(1,INT(($B381-DATA_INICIO_SAFRA)/DIAS_POR_SEMANA)+1))</f>
        <v>54</v>
      </c>
      <c r="D381" s="16" t="n">
        <f aca="false">INDEX(AUX_MATRIZES!$C$8:$BP$8,MIN(N_SEMANAS,MAX(1,$C381)))/DIAS_POR_SEMANA</f>
        <v>0</v>
      </c>
      <c r="E381" s="16" t="n">
        <f aca="false">MIN(CADASTRO_CASAS_BOMBA!$O$6,MAX(0,E380+CADASTRO_CASAS_BOMBA!$I$6*HORAS_CAPTACAO_DIA-D381))</f>
        <v>2600</v>
      </c>
      <c r="F381" s="16" t="n">
        <f aca="false">MAX(0,D381-CADASTRO_CASAS_BOMBA!$I$6*HORAS_CAPTACAO_DIA-E380)</f>
        <v>0</v>
      </c>
      <c r="G381" s="16" t="n">
        <f aca="false">INDEX(AUX_MATRIZES!$C$9:$BP$9,MIN(N_SEMANAS,MAX(1,$C381)))/DIAS_POR_SEMANA</f>
        <v>0</v>
      </c>
      <c r="H381" s="16" t="n">
        <f aca="false">MIN(CADASTRO_CASAS_BOMBA!$O$7,MAX(0,H380+CADASTRO_CASAS_BOMBA!$I$7*HORAS_CAPTACAO_DIA-G381))</f>
        <v>76648</v>
      </c>
      <c r="I381" s="16" t="n">
        <f aca="false">MAX(0,G381-CADASTRO_CASAS_BOMBA!$I$7*HORAS_CAPTACAO_DIA-H380)</f>
        <v>0</v>
      </c>
      <c r="J381" s="16" t="n">
        <f aca="false">INDEX(AUX_MATRIZES!$C$10:$BP$10,MIN(N_SEMANAS,MAX(1,$C381)))/DIAS_POR_SEMANA</f>
        <v>0</v>
      </c>
      <c r="K381" s="16" t="n">
        <f aca="false">MIN(CADASTRO_CASAS_BOMBA!$O$8,MAX(0,K380+CADASTRO_CASAS_BOMBA!$I$8*HORAS_CAPTACAO_DIA-J381))</f>
        <v>27377</v>
      </c>
      <c r="L381" s="16" t="n">
        <f aca="false">MAX(0,J381-CADASTRO_CASAS_BOMBA!$I$8*HORAS_CAPTACAO_DIA-K380)</f>
        <v>0</v>
      </c>
      <c r="M381" s="16" t="n">
        <f aca="false">INDEX(AUX_MATRIZES!$C$11:$BP$11,MIN(N_SEMANAS,MAX(1,$C381)))/DIAS_POR_SEMANA</f>
        <v>0</v>
      </c>
      <c r="N381" s="16" t="n">
        <f aca="false">MIN(CADASTRO_CASAS_BOMBA!$O$9,MAX(0,N380+CADASTRO_CASAS_BOMBA!$I$9*HORAS_CAPTACAO_DIA-M381))</f>
        <v>129000</v>
      </c>
      <c r="O381" s="16" t="n">
        <f aca="false">MAX(0,M381-CADASTRO_CASAS_BOMBA!$I$9*HORAS_CAPTACAO_DIA-N380)</f>
        <v>0</v>
      </c>
      <c r="P381" s="16" t="n">
        <f aca="false">INDEX(AUX_MATRIZES!$C$12:$BP$12,MIN(N_SEMANAS,MAX(1,$C381)))/DIAS_POR_SEMANA</f>
        <v>34521.1247058824</v>
      </c>
      <c r="Q381" s="16" t="n">
        <f aca="false">MIN(CADASTRO_CASAS_BOMBA!$O$10,MAX(0,Q380+CADASTRO_CASAS_BOMBA!$I$10*HORAS_CAPTACAO_DIA-P381))</f>
        <v>0</v>
      </c>
      <c r="R381" s="16" t="n">
        <f aca="false">MAX(0,P381-CADASTRO_CASAS_BOMBA!$I$10*HORAS_CAPTACAO_DIA-Q380)</f>
        <v>7748.88780826445</v>
      </c>
      <c r="S381" s="16" t="n">
        <f aca="false">INDEX(AUX_MATRIZES!$C$13:$BP$13,MIN(N_SEMANAS,MAX(1,$C381)))/DIAS_POR_SEMANA</f>
        <v>31051.0597647059</v>
      </c>
      <c r="T381" s="16" t="n">
        <f aca="false">MIN(CADASTRO_CASAS_BOMBA!$O$11,MAX(0,T380+CADASTRO_CASAS_BOMBA!$I$11*HORAS_CAPTACAO_DIA-S381))</f>
        <v>0</v>
      </c>
      <c r="U381" s="16" t="n">
        <f aca="false">MAX(0,S381-CADASTRO_CASAS_BOMBA!$I$11*HORAS_CAPTACAO_DIA-T380)</f>
        <v>9631.05976470588</v>
      </c>
      <c r="V381" s="16" t="n">
        <f aca="false">INDEX(AUX_MATRIZES!$C$14:$BP$14,MIN(N_SEMANAS,MAX(1,$C381)))/DIAS_POR_SEMANA</f>
        <v>27478.8379529412</v>
      </c>
      <c r="W381" s="16" t="n">
        <f aca="false">MIN(CADASTRO_CASAS_BOMBA!$O$12,MAX(0,W380+CADASTRO_CASAS_BOMBA!$I$12*HORAS_CAPTACAO_DIA-V381))</f>
        <v>18649.1272409737</v>
      </c>
      <c r="X381" s="16" t="n">
        <f aca="false">MAX(0,V381-CADASTRO_CASAS_BOMBA!$I$12*HORAS_CAPTACAO_DIA-W380)</f>
        <v>0</v>
      </c>
      <c r="Y381" s="16" t="n">
        <f aca="false">INDEX(AUX_MATRIZES!$C$15:$BP$15,MIN(N_SEMANAS,MAX(1,$C381)))/DIAS_POR_SEMANA</f>
        <v>0</v>
      </c>
      <c r="Z381" s="16" t="n">
        <f aca="false">MIN(CADASTRO_CASAS_BOMBA!$O$13,MAX(0,Z380+CADASTRO_CASAS_BOMBA!$I$13*HORAS_CAPTACAO_DIA-Y381))</f>
        <v>74903</v>
      </c>
      <c r="AA381" s="16" t="n">
        <f aca="false">MAX(0,Y381-CADASTRO_CASAS_BOMBA!$I$13*HORAS_CAPTACAO_DIA-Z380)</f>
        <v>0</v>
      </c>
    </row>
    <row r="382" customFormat="false" ht="15" hidden="false" customHeight="false" outlineLevel="0" collapsed="false">
      <c r="B382" s="17" t="n">
        <f aca="false">DATA_INICIO_SAFRA+375</f>
        <v>46640</v>
      </c>
      <c r="C382" s="16" t="n">
        <f aca="false">MIN(N_SEMANAS,MAX(1,INT(($B382-DATA_INICIO_SAFRA)/DIAS_POR_SEMANA)+1))</f>
        <v>54</v>
      </c>
      <c r="D382" s="16" t="n">
        <f aca="false">INDEX(AUX_MATRIZES!$C$8:$BP$8,MIN(N_SEMANAS,MAX(1,$C382)))/DIAS_POR_SEMANA</f>
        <v>0</v>
      </c>
      <c r="E382" s="16" t="n">
        <f aca="false">MIN(CADASTRO_CASAS_BOMBA!$O$6,MAX(0,E381+CADASTRO_CASAS_BOMBA!$I$6*HORAS_CAPTACAO_DIA-D382))</f>
        <v>2600</v>
      </c>
      <c r="F382" s="16" t="n">
        <f aca="false">MAX(0,D382-CADASTRO_CASAS_BOMBA!$I$6*HORAS_CAPTACAO_DIA-E381)</f>
        <v>0</v>
      </c>
      <c r="G382" s="16" t="n">
        <f aca="false">INDEX(AUX_MATRIZES!$C$9:$BP$9,MIN(N_SEMANAS,MAX(1,$C382)))/DIAS_POR_SEMANA</f>
        <v>0</v>
      </c>
      <c r="H382" s="16" t="n">
        <f aca="false">MIN(CADASTRO_CASAS_BOMBA!$O$7,MAX(0,H381+CADASTRO_CASAS_BOMBA!$I$7*HORAS_CAPTACAO_DIA-G382))</f>
        <v>76648</v>
      </c>
      <c r="I382" s="16" t="n">
        <f aca="false">MAX(0,G382-CADASTRO_CASAS_BOMBA!$I$7*HORAS_CAPTACAO_DIA-H381)</f>
        <v>0</v>
      </c>
      <c r="J382" s="16" t="n">
        <f aca="false">INDEX(AUX_MATRIZES!$C$10:$BP$10,MIN(N_SEMANAS,MAX(1,$C382)))/DIAS_POR_SEMANA</f>
        <v>0</v>
      </c>
      <c r="K382" s="16" t="n">
        <f aca="false">MIN(CADASTRO_CASAS_BOMBA!$O$8,MAX(0,K381+CADASTRO_CASAS_BOMBA!$I$8*HORAS_CAPTACAO_DIA-J382))</f>
        <v>27377</v>
      </c>
      <c r="L382" s="16" t="n">
        <f aca="false">MAX(0,J382-CADASTRO_CASAS_BOMBA!$I$8*HORAS_CAPTACAO_DIA-K381)</f>
        <v>0</v>
      </c>
      <c r="M382" s="16" t="n">
        <f aca="false">INDEX(AUX_MATRIZES!$C$11:$BP$11,MIN(N_SEMANAS,MAX(1,$C382)))/DIAS_POR_SEMANA</f>
        <v>0</v>
      </c>
      <c r="N382" s="16" t="n">
        <f aca="false">MIN(CADASTRO_CASAS_BOMBA!$O$9,MAX(0,N381+CADASTRO_CASAS_BOMBA!$I$9*HORAS_CAPTACAO_DIA-M382))</f>
        <v>129000</v>
      </c>
      <c r="O382" s="16" t="n">
        <f aca="false">MAX(0,M382-CADASTRO_CASAS_BOMBA!$I$9*HORAS_CAPTACAO_DIA-N381)</f>
        <v>0</v>
      </c>
      <c r="P382" s="16" t="n">
        <f aca="false">INDEX(AUX_MATRIZES!$C$12:$BP$12,MIN(N_SEMANAS,MAX(1,$C382)))/DIAS_POR_SEMANA</f>
        <v>34521.1247058824</v>
      </c>
      <c r="Q382" s="16" t="n">
        <f aca="false">MIN(CADASTRO_CASAS_BOMBA!$O$10,MAX(0,Q381+CADASTRO_CASAS_BOMBA!$I$10*HORAS_CAPTACAO_DIA-P382))</f>
        <v>0</v>
      </c>
      <c r="R382" s="16" t="n">
        <f aca="false">MAX(0,P382-CADASTRO_CASAS_BOMBA!$I$10*HORAS_CAPTACAO_DIA-Q381)</f>
        <v>21438.7247058824</v>
      </c>
      <c r="S382" s="16" t="n">
        <f aca="false">INDEX(AUX_MATRIZES!$C$13:$BP$13,MIN(N_SEMANAS,MAX(1,$C382)))/DIAS_POR_SEMANA</f>
        <v>31051.0597647059</v>
      </c>
      <c r="T382" s="16" t="n">
        <f aca="false">MIN(CADASTRO_CASAS_BOMBA!$O$11,MAX(0,T381+CADASTRO_CASAS_BOMBA!$I$11*HORAS_CAPTACAO_DIA-S382))</f>
        <v>0</v>
      </c>
      <c r="U382" s="16" t="n">
        <f aca="false">MAX(0,S382-CADASTRO_CASAS_BOMBA!$I$11*HORAS_CAPTACAO_DIA-T381)</f>
        <v>9631.05976470588</v>
      </c>
      <c r="V382" s="16" t="n">
        <f aca="false">INDEX(AUX_MATRIZES!$C$14:$BP$14,MIN(N_SEMANAS,MAX(1,$C382)))/DIAS_POR_SEMANA</f>
        <v>27478.8379529412</v>
      </c>
      <c r="W382" s="16" t="n">
        <f aca="false">MIN(CADASTRO_CASAS_BOMBA!$O$12,MAX(0,W381+CADASTRO_CASAS_BOMBA!$I$12*HORAS_CAPTACAO_DIA-V382))</f>
        <v>16550.2892880325</v>
      </c>
      <c r="X382" s="16" t="n">
        <f aca="false">MAX(0,V382-CADASTRO_CASAS_BOMBA!$I$12*HORAS_CAPTACAO_DIA-W381)</f>
        <v>0</v>
      </c>
      <c r="Y382" s="16" t="n">
        <f aca="false">INDEX(AUX_MATRIZES!$C$15:$BP$15,MIN(N_SEMANAS,MAX(1,$C382)))/DIAS_POR_SEMANA</f>
        <v>0</v>
      </c>
      <c r="Z382" s="16" t="n">
        <f aca="false">MIN(CADASTRO_CASAS_BOMBA!$O$13,MAX(0,Z381+CADASTRO_CASAS_BOMBA!$I$13*HORAS_CAPTACAO_DIA-Y382))</f>
        <v>74903</v>
      </c>
      <c r="AA382" s="16" t="n">
        <f aca="false">MAX(0,Y382-CADASTRO_CASAS_BOMBA!$I$13*HORAS_CAPTACAO_DIA-Z381)</f>
        <v>0</v>
      </c>
    </row>
    <row r="383" customFormat="false" ht="15" hidden="false" customHeight="false" outlineLevel="0" collapsed="false">
      <c r="B383" s="17" t="n">
        <f aca="false">DATA_INICIO_SAFRA+376</f>
        <v>46641</v>
      </c>
      <c r="C383" s="16" t="n">
        <f aca="false">MIN(N_SEMANAS,MAX(1,INT(($B383-DATA_INICIO_SAFRA)/DIAS_POR_SEMANA)+1))</f>
        <v>54</v>
      </c>
      <c r="D383" s="16" t="n">
        <f aca="false">INDEX(AUX_MATRIZES!$C$8:$BP$8,MIN(N_SEMANAS,MAX(1,$C383)))/DIAS_POR_SEMANA</f>
        <v>0</v>
      </c>
      <c r="E383" s="16" t="n">
        <f aca="false">MIN(CADASTRO_CASAS_BOMBA!$O$6,MAX(0,E382+CADASTRO_CASAS_BOMBA!$I$6*HORAS_CAPTACAO_DIA-D383))</f>
        <v>2600</v>
      </c>
      <c r="F383" s="16" t="n">
        <f aca="false">MAX(0,D383-CADASTRO_CASAS_BOMBA!$I$6*HORAS_CAPTACAO_DIA-E382)</f>
        <v>0</v>
      </c>
      <c r="G383" s="16" t="n">
        <f aca="false">INDEX(AUX_MATRIZES!$C$9:$BP$9,MIN(N_SEMANAS,MAX(1,$C383)))/DIAS_POR_SEMANA</f>
        <v>0</v>
      </c>
      <c r="H383" s="16" t="n">
        <f aca="false">MIN(CADASTRO_CASAS_BOMBA!$O$7,MAX(0,H382+CADASTRO_CASAS_BOMBA!$I$7*HORAS_CAPTACAO_DIA-G383))</f>
        <v>76648</v>
      </c>
      <c r="I383" s="16" t="n">
        <f aca="false">MAX(0,G383-CADASTRO_CASAS_BOMBA!$I$7*HORAS_CAPTACAO_DIA-H382)</f>
        <v>0</v>
      </c>
      <c r="J383" s="16" t="n">
        <f aca="false">INDEX(AUX_MATRIZES!$C$10:$BP$10,MIN(N_SEMANAS,MAX(1,$C383)))/DIAS_POR_SEMANA</f>
        <v>0</v>
      </c>
      <c r="K383" s="16" t="n">
        <f aca="false">MIN(CADASTRO_CASAS_BOMBA!$O$8,MAX(0,K382+CADASTRO_CASAS_BOMBA!$I$8*HORAS_CAPTACAO_DIA-J383))</f>
        <v>27377</v>
      </c>
      <c r="L383" s="16" t="n">
        <f aca="false">MAX(0,J383-CADASTRO_CASAS_BOMBA!$I$8*HORAS_CAPTACAO_DIA-K382)</f>
        <v>0</v>
      </c>
      <c r="M383" s="16" t="n">
        <f aca="false">INDEX(AUX_MATRIZES!$C$11:$BP$11,MIN(N_SEMANAS,MAX(1,$C383)))/DIAS_POR_SEMANA</f>
        <v>0</v>
      </c>
      <c r="N383" s="16" t="n">
        <f aca="false">MIN(CADASTRO_CASAS_BOMBA!$O$9,MAX(0,N382+CADASTRO_CASAS_BOMBA!$I$9*HORAS_CAPTACAO_DIA-M383))</f>
        <v>129000</v>
      </c>
      <c r="O383" s="16" t="n">
        <f aca="false">MAX(0,M383-CADASTRO_CASAS_BOMBA!$I$9*HORAS_CAPTACAO_DIA-N382)</f>
        <v>0</v>
      </c>
      <c r="P383" s="16" t="n">
        <f aca="false">INDEX(AUX_MATRIZES!$C$12:$BP$12,MIN(N_SEMANAS,MAX(1,$C383)))/DIAS_POR_SEMANA</f>
        <v>34521.1247058824</v>
      </c>
      <c r="Q383" s="16" t="n">
        <f aca="false">MIN(CADASTRO_CASAS_BOMBA!$O$10,MAX(0,Q382+CADASTRO_CASAS_BOMBA!$I$10*HORAS_CAPTACAO_DIA-P383))</f>
        <v>0</v>
      </c>
      <c r="R383" s="16" t="n">
        <f aca="false">MAX(0,P383-CADASTRO_CASAS_BOMBA!$I$10*HORAS_CAPTACAO_DIA-Q382)</f>
        <v>21438.7247058824</v>
      </c>
      <c r="S383" s="16" t="n">
        <f aca="false">INDEX(AUX_MATRIZES!$C$13:$BP$13,MIN(N_SEMANAS,MAX(1,$C383)))/DIAS_POR_SEMANA</f>
        <v>31051.0597647059</v>
      </c>
      <c r="T383" s="16" t="n">
        <f aca="false">MIN(CADASTRO_CASAS_BOMBA!$O$11,MAX(0,T382+CADASTRO_CASAS_BOMBA!$I$11*HORAS_CAPTACAO_DIA-S383))</f>
        <v>0</v>
      </c>
      <c r="U383" s="16" t="n">
        <f aca="false">MAX(0,S383-CADASTRO_CASAS_BOMBA!$I$11*HORAS_CAPTACAO_DIA-T382)</f>
        <v>9631.05976470588</v>
      </c>
      <c r="V383" s="16" t="n">
        <f aca="false">INDEX(AUX_MATRIZES!$C$14:$BP$14,MIN(N_SEMANAS,MAX(1,$C383)))/DIAS_POR_SEMANA</f>
        <v>27478.8379529412</v>
      </c>
      <c r="W383" s="16" t="n">
        <f aca="false">MIN(CADASTRO_CASAS_BOMBA!$O$12,MAX(0,W382+CADASTRO_CASAS_BOMBA!$I$12*HORAS_CAPTACAO_DIA-V383))</f>
        <v>14451.4513350913</v>
      </c>
      <c r="X383" s="16" t="n">
        <f aca="false">MAX(0,V383-CADASTRO_CASAS_BOMBA!$I$12*HORAS_CAPTACAO_DIA-W382)</f>
        <v>0</v>
      </c>
      <c r="Y383" s="16" t="n">
        <f aca="false">INDEX(AUX_MATRIZES!$C$15:$BP$15,MIN(N_SEMANAS,MAX(1,$C383)))/DIAS_POR_SEMANA</f>
        <v>0</v>
      </c>
      <c r="Z383" s="16" t="n">
        <f aca="false">MIN(CADASTRO_CASAS_BOMBA!$O$13,MAX(0,Z382+CADASTRO_CASAS_BOMBA!$I$13*HORAS_CAPTACAO_DIA-Y383))</f>
        <v>74903</v>
      </c>
      <c r="AA383" s="16" t="n">
        <f aca="false">MAX(0,Y383-CADASTRO_CASAS_BOMBA!$I$13*HORAS_CAPTACAO_DIA-Z382)</f>
        <v>0</v>
      </c>
    </row>
    <row r="384" customFormat="false" ht="15" hidden="false" customHeight="false" outlineLevel="0" collapsed="false">
      <c r="B384" s="17" t="n">
        <f aca="false">DATA_INICIO_SAFRA+377</f>
        <v>46642</v>
      </c>
      <c r="C384" s="16" t="n">
        <f aca="false">MIN(N_SEMANAS,MAX(1,INT(($B384-DATA_INICIO_SAFRA)/DIAS_POR_SEMANA)+1))</f>
        <v>54</v>
      </c>
      <c r="D384" s="16" t="n">
        <f aca="false">INDEX(AUX_MATRIZES!$C$8:$BP$8,MIN(N_SEMANAS,MAX(1,$C384)))/DIAS_POR_SEMANA</f>
        <v>0</v>
      </c>
      <c r="E384" s="16" t="n">
        <f aca="false">MIN(CADASTRO_CASAS_BOMBA!$O$6,MAX(0,E383+CADASTRO_CASAS_BOMBA!$I$6*HORAS_CAPTACAO_DIA-D384))</f>
        <v>2600</v>
      </c>
      <c r="F384" s="16" t="n">
        <f aca="false">MAX(0,D384-CADASTRO_CASAS_BOMBA!$I$6*HORAS_CAPTACAO_DIA-E383)</f>
        <v>0</v>
      </c>
      <c r="G384" s="16" t="n">
        <f aca="false">INDEX(AUX_MATRIZES!$C$9:$BP$9,MIN(N_SEMANAS,MAX(1,$C384)))/DIAS_POR_SEMANA</f>
        <v>0</v>
      </c>
      <c r="H384" s="16" t="n">
        <f aca="false">MIN(CADASTRO_CASAS_BOMBA!$O$7,MAX(0,H383+CADASTRO_CASAS_BOMBA!$I$7*HORAS_CAPTACAO_DIA-G384))</f>
        <v>76648</v>
      </c>
      <c r="I384" s="16" t="n">
        <f aca="false">MAX(0,G384-CADASTRO_CASAS_BOMBA!$I$7*HORAS_CAPTACAO_DIA-H383)</f>
        <v>0</v>
      </c>
      <c r="J384" s="16" t="n">
        <f aca="false">INDEX(AUX_MATRIZES!$C$10:$BP$10,MIN(N_SEMANAS,MAX(1,$C384)))/DIAS_POR_SEMANA</f>
        <v>0</v>
      </c>
      <c r="K384" s="16" t="n">
        <f aca="false">MIN(CADASTRO_CASAS_BOMBA!$O$8,MAX(0,K383+CADASTRO_CASAS_BOMBA!$I$8*HORAS_CAPTACAO_DIA-J384))</f>
        <v>27377</v>
      </c>
      <c r="L384" s="16" t="n">
        <f aca="false">MAX(0,J384-CADASTRO_CASAS_BOMBA!$I$8*HORAS_CAPTACAO_DIA-K383)</f>
        <v>0</v>
      </c>
      <c r="M384" s="16" t="n">
        <f aca="false">INDEX(AUX_MATRIZES!$C$11:$BP$11,MIN(N_SEMANAS,MAX(1,$C384)))/DIAS_POR_SEMANA</f>
        <v>0</v>
      </c>
      <c r="N384" s="16" t="n">
        <f aca="false">MIN(CADASTRO_CASAS_BOMBA!$O$9,MAX(0,N383+CADASTRO_CASAS_BOMBA!$I$9*HORAS_CAPTACAO_DIA-M384))</f>
        <v>129000</v>
      </c>
      <c r="O384" s="16" t="n">
        <f aca="false">MAX(0,M384-CADASTRO_CASAS_BOMBA!$I$9*HORAS_CAPTACAO_DIA-N383)</f>
        <v>0</v>
      </c>
      <c r="P384" s="16" t="n">
        <f aca="false">INDEX(AUX_MATRIZES!$C$12:$BP$12,MIN(N_SEMANAS,MAX(1,$C384)))/DIAS_POR_SEMANA</f>
        <v>34521.1247058824</v>
      </c>
      <c r="Q384" s="16" t="n">
        <f aca="false">MIN(CADASTRO_CASAS_BOMBA!$O$10,MAX(0,Q383+CADASTRO_CASAS_BOMBA!$I$10*HORAS_CAPTACAO_DIA-P384))</f>
        <v>0</v>
      </c>
      <c r="R384" s="16" t="n">
        <f aca="false">MAX(0,P384-CADASTRO_CASAS_BOMBA!$I$10*HORAS_CAPTACAO_DIA-Q383)</f>
        <v>21438.7247058824</v>
      </c>
      <c r="S384" s="16" t="n">
        <f aca="false">INDEX(AUX_MATRIZES!$C$13:$BP$13,MIN(N_SEMANAS,MAX(1,$C384)))/DIAS_POR_SEMANA</f>
        <v>31051.0597647059</v>
      </c>
      <c r="T384" s="16" t="n">
        <f aca="false">MIN(CADASTRO_CASAS_BOMBA!$O$11,MAX(0,T383+CADASTRO_CASAS_BOMBA!$I$11*HORAS_CAPTACAO_DIA-S384))</f>
        <v>0</v>
      </c>
      <c r="U384" s="16" t="n">
        <f aca="false">MAX(0,S384-CADASTRO_CASAS_BOMBA!$I$11*HORAS_CAPTACAO_DIA-T383)</f>
        <v>9631.05976470588</v>
      </c>
      <c r="V384" s="16" t="n">
        <f aca="false">INDEX(AUX_MATRIZES!$C$14:$BP$14,MIN(N_SEMANAS,MAX(1,$C384)))/DIAS_POR_SEMANA</f>
        <v>27478.8379529412</v>
      </c>
      <c r="W384" s="16" t="n">
        <f aca="false">MIN(CADASTRO_CASAS_BOMBA!$O$12,MAX(0,W383+CADASTRO_CASAS_BOMBA!$I$12*HORAS_CAPTACAO_DIA-V384))</f>
        <v>12352.6133821501</v>
      </c>
      <c r="X384" s="16" t="n">
        <f aca="false">MAX(0,V384-CADASTRO_CASAS_BOMBA!$I$12*HORAS_CAPTACAO_DIA-W383)</f>
        <v>0</v>
      </c>
      <c r="Y384" s="16" t="n">
        <f aca="false">INDEX(AUX_MATRIZES!$C$15:$BP$15,MIN(N_SEMANAS,MAX(1,$C384)))/DIAS_POR_SEMANA</f>
        <v>0</v>
      </c>
      <c r="Z384" s="16" t="n">
        <f aca="false">MIN(CADASTRO_CASAS_BOMBA!$O$13,MAX(0,Z383+CADASTRO_CASAS_BOMBA!$I$13*HORAS_CAPTACAO_DIA-Y384))</f>
        <v>74903</v>
      </c>
      <c r="AA384" s="16" t="n">
        <f aca="false">MAX(0,Y384-CADASTRO_CASAS_BOMBA!$I$13*HORAS_CAPTACAO_DIA-Z383)</f>
        <v>0</v>
      </c>
    </row>
    <row r="385" customFormat="false" ht="15" hidden="false" customHeight="false" outlineLevel="0" collapsed="false">
      <c r="B385" s="17" t="n">
        <f aca="false">DATA_INICIO_SAFRA+378</f>
        <v>46643</v>
      </c>
      <c r="C385" s="16" t="n">
        <f aca="false">MIN(N_SEMANAS,MAX(1,INT(($B385-DATA_INICIO_SAFRA)/DIAS_POR_SEMANA)+1))</f>
        <v>55</v>
      </c>
      <c r="D385" s="16" t="n">
        <f aca="false">INDEX(AUX_MATRIZES!$C$8:$BP$8,MIN(N_SEMANAS,MAX(1,$C385)))/DIAS_POR_SEMANA</f>
        <v>0</v>
      </c>
      <c r="E385" s="16" t="n">
        <f aca="false">MIN(CADASTRO_CASAS_BOMBA!$O$6,MAX(0,E384+CADASTRO_CASAS_BOMBA!$I$6*HORAS_CAPTACAO_DIA-D385))</f>
        <v>2600</v>
      </c>
      <c r="F385" s="16" t="n">
        <f aca="false">MAX(0,D385-CADASTRO_CASAS_BOMBA!$I$6*HORAS_CAPTACAO_DIA-E384)</f>
        <v>0</v>
      </c>
      <c r="G385" s="16" t="n">
        <f aca="false">INDEX(AUX_MATRIZES!$C$9:$BP$9,MIN(N_SEMANAS,MAX(1,$C385)))/DIAS_POR_SEMANA</f>
        <v>0</v>
      </c>
      <c r="H385" s="16" t="n">
        <f aca="false">MIN(CADASTRO_CASAS_BOMBA!$O$7,MAX(0,H384+CADASTRO_CASAS_BOMBA!$I$7*HORAS_CAPTACAO_DIA-G385))</f>
        <v>76648</v>
      </c>
      <c r="I385" s="16" t="n">
        <f aca="false">MAX(0,G385-CADASTRO_CASAS_BOMBA!$I$7*HORAS_CAPTACAO_DIA-H384)</f>
        <v>0</v>
      </c>
      <c r="J385" s="16" t="n">
        <f aca="false">INDEX(AUX_MATRIZES!$C$10:$BP$10,MIN(N_SEMANAS,MAX(1,$C385)))/DIAS_POR_SEMANA</f>
        <v>0</v>
      </c>
      <c r="K385" s="16" t="n">
        <f aca="false">MIN(CADASTRO_CASAS_BOMBA!$O$8,MAX(0,K384+CADASTRO_CASAS_BOMBA!$I$8*HORAS_CAPTACAO_DIA-J385))</f>
        <v>27377</v>
      </c>
      <c r="L385" s="16" t="n">
        <f aca="false">MAX(0,J385-CADASTRO_CASAS_BOMBA!$I$8*HORAS_CAPTACAO_DIA-K384)</f>
        <v>0</v>
      </c>
      <c r="M385" s="16" t="n">
        <f aca="false">INDEX(AUX_MATRIZES!$C$11:$BP$11,MIN(N_SEMANAS,MAX(1,$C385)))/DIAS_POR_SEMANA</f>
        <v>0</v>
      </c>
      <c r="N385" s="16" t="n">
        <f aca="false">MIN(CADASTRO_CASAS_BOMBA!$O$9,MAX(0,N384+CADASTRO_CASAS_BOMBA!$I$9*HORAS_CAPTACAO_DIA-M385))</f>
        <v>129000</v>
      </c>
      <c r="O385" s="16" t="n">
        <f aca="false">MAX(0,M385-CADASTRO_CASAS_BOMBA!$I$9*HORAS_CAPTACAO_DIA-N384)</f>
        <v>0</v>
      </c>
      <c r="P385" s="16" t="n">
        <f aca="false">INDEX(AUX_MATRIZES!$C$12:$BP$12,MIN(N_SEMANAS,MAX(1,$C385)))/DIAS_POR_SEMANA</f>
        <v>34521.1247058824</v>
      </c>
      <c r="Q385" s="16" t="n">
        <f aca="false">MIN(CADASTRO_CASAS_BOMBA!$O$10,MAX(0,Q384+CADASTRO_CASAS_BOMBA!$I$10*HORAS_CAPTACAO_DIA-P385))</f>
        <v>0</v>
      </c>
      <c r="R385" s="16" t="n">
        <f aca="false">MAX(0,P385-CADASTRO_CASAS_BOMBA!$I$10*HORAS_CAPTACAO_DIA-Q384)</f>
        <v>21438.7247058824</v>
      </c>
      <c r="S385" s="16" t="n">
        <f aca="false">INDEX(AUX_MATRIZES!$C$13:$BP$13,MIN(N_SEMANAS,MAX(1,$C385)))/DIAS_POR_SEMANA</f>
        <v>30048.4308235294</v>
      </c>
      <c r="T385" s="16" t="n">
        <f aca="false">MIN(CADASTRO_CASAS_BOMBA!$O$11,MAX(0,T384+CADASTRO_CASAS_BOMBA!$I$11*HORAS_CAPTACAO_DIA-S385))</f>
        <v>0</v>
      </c>
      <c r="U385" s="16" t="n">
        <f aca="false">MAX(0,S385-CADASTRO_CASAS_BOMBA!$I$11*HORAS_CAPTACAO_DIA-T384)</f>
        <v>8628.43082352941</v>
      </c>
      <c r="V385" s="16" t="n">
        <f aca="false">INDEX(AUX_MATRIZES!$C$14:$BP$14,MIN(N_SEMANAS,MAX(1,$C385)))/DIAS_POR_SEMANA</f>
        <v>27568.2964705882</v>
      </c>
      <c r="W385" s="16" t="n">
        <f aca="false">MIN(CADASTRO_CASAS_BOMBA!$O$12,MAX(0,W384+CADASTRO_CASAS_BOMBA!$I$12*HORAS_CAPTACAO_DIA-V385))</f>
        <v>10164.3169115619</v>
      </c>
      <c r="X385" s="16" t="n">
        <f aca="false">MAX(0,V385-CADASTRO_CASAS_BOMBA!$I$12*HORAS_CAPTACAO_DIA-W384)</f>
        <v>0</v>
      </c>
      <c r="Y385" s="16" t="n">
        <f aca="false">INDEX(AUX_MATRIZES!$C$15:$BP$15,MIN(N_SEMANAS,MAX(1,$C385)))/DIAS_POR_SEMANA</f>
        <v>0</v>
      </c>
      <c r="Z385" s="16" t="n">
        <f aca="false">MIN(CADASTRO_CASAS_BOMBA!$O$13,MAX(0,Z384+CADASTRO_CASAS_BOMBA!$I$13*HORAS_CAPTACAO_DIA-Y385))</f>
        <v>74903</v>
      </c>
      <c r="AA385" s="16" t="n">
        <f aca="false">MAX(0,Y385-CADASTRO_CASAS_BOMBA!$I$13*HORAS_CAPTACAO_DIA-Z384)</f>
        <v>0</v>
      </c>
    </row>
    <row r="386" customFormat="false" ht="15" hidden="false" customHeight="false" outlineLevel="0" collapsed="false">
      <c r="B386" s="17" t="n">
        <f aca="false">DATA_INICIO_SAFRA+379</f>
        <v>46644</v>
      </c>
      <c r="C386" s="16" t="n">
        <f aca="false">MIN(N_SEMANAS,MAX(1,INT(($B386-DATA_INICIO_SAFRA)/DIAS_POR_SEMANA)+1))</f>
        <v>55</v>
      </c>
      <c r="D386" s="16" t="n">
        <f aca="false">INDEX(AUX_MATRIZES!$C$8:$BP$8,MIN(N_SEMANAS,MAX(1,$C386)))/DIAS_POR_SEMANA</f>
        <v>0</v>
      </c>
      <c r="E386" s="16" t="n">
        <f aca="false">MIN(CADASTRO_CASAS_BOMBA!$O$6,MAX(0,E385+CADASTRO_CASAS_BOMBA!$I$6*HORAS_CAPTACAO_DIA-D386))</f>
        <v>2600</v>
      </c>
      <c r="F386" s="16" t="n">
        <f aca="false">MAX(0,D386-CADASTRO_CASAS_BOMBA!$I$6*HORAS_CAPTACAO_DIA-E385)</f>
        <v>0</v>
      </c>
      <c r="G386" s="16" t="n">
        <f aca="false">INDEX(AUX_MATRIZES!$C$9:$BP$9,MIN(N_SEMANAS,MAX(1,$C386)))/DIAS_POR_SEMANA</f>
        <v>0</v>
      </c>
      <c r="H386" s="16" t="n">
        <f aca="false">MIN(CADASTRO_CASAS_BOMBA!$O$7,MAX(0,H385+CADASTRO_CASAS_BOMBA!$I$7*HORAS_CAPTACAO_DIA-G386))</f>
        <v>76648</v>
      </c>
      <c r="I386" s="16" t="n">
        <f aca="false">MAX(0,G386-CADASTRO_CASAS_BOMBA!$I$7*HORAS_CAPTACAO_DIA-H385)</f>
        <v>0</v>
      </c>
      <c r="J386" s="16" t="n">
        <f aca="false">INDEX(AUX_MATRIZES!$C$10:$BP$10,MIN(N_SEMANAS,MAX(1,$C386)))/DIAS_POR_SEMANA</f>
        <v>0</v>
      </c>
      <c r="K386" s="16" t="n">
        <f aca="false">MIN(CADASTRO_CASAS_BOMBA!$O$8,MAX(0,K385+CADASTRO_CASAS_BOMBA!$I$8*HORAS_CAPTACAO_DIA-J386))</f>
        <v>27377</v>
      </c>
      <c r="L386" s="16" t="n">
        <f aca="false">MAX(0,J386-CADASTRO_CASAS_BOMBA!$I$8*HORAS_CAPTACAO_DIA-K385)</f>
        <v>0</v>
      </c>
      <c r="M386" s="16" t="n">
        <f aca="false">INDEX(AUX_MATRIZES!$C$11:$BP$11,MIN(N_SEMANAS,MAX(1,$C386)))/DIAS_POR_SEMANA</f>
        <v>0</v>
      </c>
      <c r="N386" s="16" t="n">
        <f aca="false">MIN(CADASTRO_CASAS_BOMBA!$O$9,MAX(0,N385+CADASTRO_CASAS_BOMBA!$I$9*HORAS_CAPTACAO_DIA-M386))</f>
        <v>129000</v>
      </c>
      <c r="O386" s="16" t="n">
        <f aca="false">MAX(0,M386-CADASTRO_CASAS_BOMBA!$I$9*HORAS_CAPTACAO_DIA-N385)</f>
        <v>0</v>
      </c>
      <c r="P386" s="16" t="n">
        <f aca="false">INDEX(AUX_MATRIZES!$C$12:$BP$12,MIN(N_SEMANAS,MAX(1,$C386)))/DIAS_POR_SEMANA</f>
        <v>34521.1247058824</v>
      </c>
      <c r="Q386" s="16" t="n">
        <f aca="false">MIN(CADASTRO_CASAS_BOMBA!$O$10,MAX(0,Q385+CADASTRO_CASAS_BOMBA!$I$10*HORAS_CAPTACAO_DIA-P386))</f>
        <v>0</v>
      </c>
      <c r="R386" s="16" t="n">
        <f aca="false">MAX(0,P386-CADASTRO_CASAS_BOMBA!$I$10*HORAS_CAPTACAO_DIA-Q385)</f>
        <v>21438.7247058824</v>
      </c>
      <c r="S386" s="16" t="n">
        <f aca="false">INDEX(AUX_MATRIZES!$C$13:$BP$13,MIN(N_SEMANAS,MAX(1,$C386)))/DIAS_POR_SEMANA</f>
        <v>30048.4308235294</v>
      </c>
      <c r="T386" s="16" t="n">
        <f aca="false">MIN(CADASTRO_CASAS_BOMBA!$O$11,MAX(0,T385+CADASTRO_CASAS_BOMBA!$I$11*HORAS_CAPTACAO_DIA-S386))</f>
        <v>0</v>
      </c>
      <c r="U386" s="16" t="n">
        <f aca="false">MAX(0,S386-CADASTRO_CASAS_BOMBA!$I$11*HORAS_CAPTACAO_DIA-T385)</f>
        <v>8628.43082352941</v>
      </c>
      <c r="V386" s="16" t="n">
        <f aca="false">INDEX(AUX_MATRIZES!$C$14:$BP$14,MIN(N_SEMANAS,MAX(1,$C386)))/DIAS_POR_SEMANA</f>
        <v>27568.2964705882</v>
      </c>
      <c r="W386" s="16" t="n">
        <f aca="false">MIN(CADASTRO_CASAS_BOMBA!$O$12,MAX(0,W385+CADASTRO_CASAS_BOMBA!$I$12*HORAS_CAPTACAO_DIA-V386))</f>
        <v>7976.02044097368</v>
      </c>
      <c r="X386" s="16" t="n">
        <f aca="false">MAX(0,V386-CADASTRO_CASAS_BOMBA!$I$12*HORAS_CAPTACAO_DIA-W385)</f>
        <v>0</v>
      </c>
      <c r="Y386" s="16" t="n">
        <f aca="false">INDEX(AUX_MATRIZES!$C$15:$BP$15,MIN(N_SEMANAS,MAX(1,$C386)))/DIAS_POR_SEMANA</f>
        <v>0</v>
      </c>
      <c r="Z386" s="16" t="n">
        <f aca="false">MIN(CADASTRO_CASAS_BOMBA!$O$13,MAX(0,Z385+CADASTRO_CASAS_BOMBA!$I$13*HORAS_CAPTACAO_DIA-Y386))</f>
        <v>74903</v>
      </c>
      <c r="AA386" s="16" t="n">
        <f aca="false">MAX(0,Y386-CADASTRO_CASAS_BOMBA!$I$13*HORAS_CAPTACAO_DIA-Z385)</f>
        <v>0</v>
      </c>
    </row>
    <row r="387" customFormat="false" ht="15" hidden="false" customHeight="false" outlineLevel="0" collapsed="false">
      <c r="B387" s="17" t="n">
        <f aca="false">DATA_INICIO_SAFRA+380</f>
        <v>46645</v>
      </c>
      <c r="C387" s="16" t="n">
        <f aca="false">MIN(N_SEMANAS,MAX(1,INT(($B387-DATA_INICIO_SAFRA)/DIAS_POR_SEMANA)+1))</f>
        <v>55</v>
      </c>
      <c r="D387" s="16" t="n">
        <f aca="false">INDEX(AUX_MATRIZES!$C$8:$BP$8,MIN(N_SEMANAS,MAX(1,$C387)))/DIAS_POR_SEMANA</f>
        <v>0</v>
      </c>
      <c r="E387" s="16" t="n">
        <f aca="false">MIN(CADASTRO_CASAS_BOMBA!$O$6,MAX(0,E386+CADASTRO_CASAS_BOMBA!$I$6*HORAS_CAPTACAO_DIA-D387))</f>
        <v>2600</v>
      </c>
      <c r="F387" s="16" t="n">
        <f aca="false">MAX(0,D387-CADASTRO_CASAS_BOMBA!$I$6*HORAS_CAPTACAO_DIA-E386)</f>
        <v>0</v>
      </c>
      <c r="G387" s="16" t="n">
        <f aca="false">INDEX(AUX_MATRIZES!$C$9:$BP$9,MIN(N_SEMANAS,MAX(1,$C387)))/DIAS_POR_SEMANA</f>
        <v>0</v>
      </c>
      <c r="H387" s="16" t="n">
        <f aca="false">MIN(CADASTRO_CASAS_BOMBA!$O$7,MAX(0,H386+CADASTRO_CASAS_BOMBA!$I$7*HORAS_CAPTACAO_DIA-G387))</f>
        <v>76648</v>
      </c>
      <c r="I387" s="16" t="n">
        <f aca="false">MAX(0,G387-CADASTRO_CASAS_BOMBA!$I$7*HORAS_CAPTACAO_DIA-H386)</f>
        <v>0</v>
      </c>
      <c r="J387" s="16" t="n">
        <f aca="false">INDEX(AUX_MATRIZES!$C$10:$BP$10,MIN(N_SEMANAS,MAX(1,$C387)))/DIAS_POR_SEMANA</f>
        <v>0</v>
      </c>
      <c r="K387" s="16" t="n">
        <f aca="false">MIN(CADASTRO_CASAS_BOMBA!$O$8,MAX(0,K386+CADASTRO_CASAS_BOMBA!$I$8*HORAS_CAPTACAO_DIA-J387))</f>
        <v>27377</v>
      </c>
      <c r="L387" s="16" t="n">
        <f aca="false">MAX(0,J387-CADASTRO_CASAS_BOMBA!$I$8*HORAS_CAPTACAO_DIA-K386)</f>
        <v>0</v>
      </c>
      <c r="M387" s="16" t="n">
        <f aca="false">INDEX(AUX_MATRIZES!$C$11:$BP$11,MIN(N_SEMANAS,MAX(1,$C387)))/DIAS_POR_SEMANA</f>
        <v>0</v>
      </c>
      <c r="N387" s="16" t="n">
        <f aca="false">MIN(CADASTRO_CASAS_BOMBA!$O$9,MAX(0,N386+CADASTRO_CASAS_BOMBA!$I$9*HORAS_CAPTACAO_DIA-M387))</f>
        <v>129000</v>
      </c>
      <c r="O387" s="16" t="n">
        <f aca="false">MAX(0,M387-CADASTRO_CASAS_BOMBA!$I$9*HORAS_CAPTACAO_DIA-N386)</f>
        <v>0</v>
      </c>
      <c r="P387" s="16" t="n">
        <f aca="false">INDEX(AUX_MATRIZES!$C$12:$BP$12,MIN(N_SEMANAS,MAX(1,$C387)))/DIAS_POR_SEMANA</f>
        <v>34521.1247058824</v>
      </c>
      <c r="Q387" s="16" t="n">
        <f aca="false">MIN(CADASTRO_CASAS_BOMBA!$O$10,MAX(0,Q386+CADASTRO_CASAS_BOMBA!$I$10*HORAS_CAPTACAO_DIA-P387))</f>
        <v>0</v>
      </c>
      <c r="R387" s="16" t="n">
        <f aca="false">MAX(0,P387-CADASTRO_CASAS_BOMBA!$I$10*HORAS_CAPTACAO_DIA-Q386)</f>
        <v>21438.7247058824</v>
      </c>
      <c r="S387" s="16" t="n">
        <f aca="false">INDEX(AUX_MATRIZES!$C$13:$BP$13,MIN(N_SEMANAS,MAX(1,$C387)))/DIAS_POR_SEMANA</f>
        <v>30048.4308235294</v>
      </c>
      <c r="T387" s="16" t="n">
        <f aca="false">MIN(CADASTRO_CASAS_BOMBA!$O$11,MAX(0,T386+CADASTRO_CASAS_BOMBA!$I$11*HORAS_CAPTACAO_DIA-S387))</f>
        <v>0</v>
      </c>
      <c r="U387" s="16" t="n">
        <f aca="false">MAX(0,S387-CADASTRO_CASAS_BOMBA!$I$11*HORAS_CAPTACAO_DIA-T386)</f>
        <v>8628.43082352941</v>
      </c>
      <c r="V387" s="16" t="n">
        <f aca="false">INDEX(AUX_MATRIZES!$C$14:$BP$14,MIN(N_SEMANAS,MAX(1,$C387)))/DIAS_POR_SEMANA</f>
        <v>27568.2964705882</v>
      </c>
      <c r="W387" s="16" t="n">
        <f aca="false">MIN(CADASTRO_CASAS_BOMBA!$O$12,MAX(0,W386+CADASTRO_CASAS_BOMBA!$I$12*HORAS_CAPTACAO_DIA-V387))</f>
        <v>5787.72397038545</v>
      </c>
      <c r="X387" s="16" t="n">
        <f aca="false">MAX(0,V387-CADASTRO_CASAS_BOMBA!$I$12*HORAS_CAPTACAO_DIA-W386)</f>
        <v>0</v>
      </c>
      <c r="Y387" s="16" t="n">
        <f aca="false">INDEX(AUX_MATRIZES!$C$15:$BP$15,MIN(N_SEMANAS,MAX(1,$C387)))/DIAS_POR_SEMANA</f>
        <v>0</v>
      </c>
      <c r="Z387" s="16" t="n">
        <f aca="false">MIN(CADASTRO_CASAS_BOMBA!$O$13,MAX(0,Z386+CADASTRO_CASAS_BOMBA!$I$13*HORAS_CAPTACAO_DIA-Y387))</f>
        <v>74903</v>
      </c>
      <c r="AA387" s="16" t="n">
        <f aca="false">MAX(0,Y387-CADASTRO_CASAS_BOMBA!$I$13*HORAS_CAPTACAO_DIA-Z386)</f>
        <v>0</v>
      </c>
    </row>
    <row r="388" customFormat="false" ht="15" hidden="false" customHeight="false" outlineLevel="0" collapsed="false">
      <c r="B388" s="17" t="n">
        <f aca="false">DATA_INICIO_SAFRA+381</f>
        <v>46646</v>
      </c>
      <c r="C388" s="16" t="n">
        <f aca="false">MIN(N_SEMANAS,MAX(1,INT(($B388-DATA_INICIO_SAFRA)/DIAS_POR_SEMANA)+1))</f>
        <v>55</v>
      </c>
      <c r="D388" s="16" t="n">
        <f aca="false">INDEX(AUX_MATRIZES!$C$8:$BP$8,MIN(N_SEMANAS,MAX(1,$C388)))/DIAS_POR_SEMANA</f>
        <v>0</v>
      </c>
      <c r="E388" s="16" t="n">
        <f aca="false">MIN(CADASTRO_CASAS_BOMBA!$O$6,MAX(0,E387+CADASTRO_CASAS_BOMBA!$I$6*HORAS_CAPTACAO_DIA-D388))</f>
        <v>2600</v>
      </c>
      <c r="F388" s="16" t="n">
        <f aca="false">MAX(0,D388-CADASTRO_CASAS_BOMBA!$I$6*HORAS_CAPTACAO_DIA-E387)</f>
        <v>0</v>
      </c>
      <c r="G388" s="16" t="n">
        <f aca="false">INDEX(AUX_MATRIZES!$C$9:$BP$9,MIN(N_SEMANAS,MAX(1,$C388)))/DIAS_POR_SEMANA</f>
        <v>0</v>
      </c>
      <c r="H388" s="16" t="n">
        <f aca="false">MIN(CADASTRO_CASAS_BOMBA!$O$7,MAX(0,H387+CADASTRO_CASAS_BOMBA!$I$7*HORAS_CAPTACAO_DIA-G388))</f>
        <v>76648</v>
      </c>
      <c r="I388" s="16" t="n">
        <f aca="false">MAX(0,G388-CADASTRO_CASAS_BOMBA!$I$7*HORAS_CAPTACAO_DIA-H387)</f>
        <v>0</v>
      </c>
      <c r="J388" s="16" t="n">
        <f aca="false">INDEX(AUX_MATRIZES!$C$10:$BP$10,MIN(N_SEMANAS,MAX(1,$C388)))/DIAS_POR_SEMANA</f>
        <v>0</v>
      </c>
      <c r="K388" s="16" t="n">
        <f aca="false">MIN(CADASTRO_CASAS_BOMBA!$O$8,MAX(0,K387+CADASTRO_CASAS_BOMBA!$I$8*HORAS_CAPTACAO_DIA-J388))</f>
        <v>27377</v>
      </c>
      <c r="L388" s="16" t="n">
        <f aca="false">MAX(0,J388-CADASTRO_CASAS_BOMBA!$I$8*HORAS_CAPTACAO_DIA-K387)</f>
        <v>0</v>
      </c>
      <c r="M388" s="16" t="n">
        <f aca="false">INDEX(AUX_MATRIZES!$C$11:$BP$11,MIN(N_SEMANAS,MAX(1,$C388)))/DIAS_POR_SEMANA</f>
        <v>0</v>
      </c>
      <c r="N388" s="16" t="n">
        <f aca="false">MIN(CADASTRO_CASAS_BOMBA!$O$9,MAX(0,N387+CADASTRO_CASAS_BOMBA!$I$9*HORAS_CAPTACAO_DIA-M388))</f>
        <v>129000</v>
      </c>
      <c r="O388" s="16" t="n">
        <f aca="false">MAX(0,M388-CADASTRO_CASAS_BOMBA!$I$9*HORAS_CAPTACAO_DIA-N387)</f>
        <v>0</v>
      </c>
      <c r="P388" s="16" t="n">
        <f aca="false">INDEX(AUX_MATRIZES!$C$12:$BP$12,MIN(N_SEMANAS,MAX(1,$C388)))/DIAS_POR_SEMANA</f>
        <v>34521.1247058824</v>
      </c>
      <c r="Q388" s="16" t="n">
        <f aca="false">MIN(CADASTRO_CASAS_BOMBA!$O$10,MAX(0,Q387+CADASTRO_CASAS_BOMBA!$I$10*HORAS_CAPTACAO_DIA-P388))</f>
        <v>0</v>
      </c>
      <c r="R388" s="16" t="n">
        <f aca="false">MAX(0,P388-CADASTRO_CASAS_BOMBA!$I$10*HORAS_CAPTACAO_DIA-Q387)</f>
        <v>21438.7247058824</v>
      </c>
      <c r="S388" s="16" t="n">
        <f aca="false">INDEX(AUX_MATRIZES!$C$13:$BP$13,MIN(N_SEMANAS,MAX(1,$C388)))/DIAS_POR_SEMANA</f>
        <v>30048.4308235294</v>
      </c>
      <c r="T388" s="16" t="n">
        <f aca="false">MIN(CADASTRO_CASAS_BOMBA!$O$11,MAX(0,T387+CADASTRO_CASAS_BOMBA!$I$11*HORAS_CAPTACAO_DIA-S388))</f>
        <v>0</v>
      </c>
      <c r="U388" s="16" t="n">
        <f aca="false">MAX(0,S388-CADASTRO_CASAS_BOMBA!$I$11*HORAS_CAPTACAO_DIA-T387)</f>
        <v>8628.43082352941</v>
      </c>
      <c r="V388" s="16" t="n">
        <f aca="false">INDEX(AUX_MATRIZES!$C$14:$BP$14,MIN(N_SEMANAS,MAX(1,$C388)))/DIAS_POR_SEMANA</f>
        <v>27568.2964705882</v>
      </c>
      <c r="W388" s="16" t="n">
        <f aca="false">MIN(CADASTRO_CASAS_BOMBA!$O$12,MAX(0,W387+CADASTRO_CASAS_BOMBA!$I$12*HORAS_CAPTACAO_DIA-V388))</f>
        <v>3599.42749979722</v>
      </c>
      <c r="X388" s="16" t="n">
        <f aca="false">MAX(0,V388-CADASTRO_CASAS_BOMBA!$I$12*HORAS_CAPTACAO_DIA-W387)</f>
        <v>0</v>
      </c>
      <c r="Y388" s="16" t="n">
        <f aca="false">INDEX(AUX_MATRIZES!$C$15:$BP$15,MIN(N_SEMANAS,MAX(1,$C388)))/DIAS_POR_SEMANA</f>
        <v>0</v>
      </c>
      <c r="Z388" s="16" t="n">
        <f aca="false">MIN(CADASTRO_CASAS_BOMBA!$O$13,MAX(0,Z387+CADASTRO_CASAS_BOMBA!$I$13*HORAS_CAPTACAO_DIA-Y388))</f>
        <v>74903</v>
      </c>
      <c r="AA388" s="16" t="n">
        <f aca="false">MAX(0,Y388-CADASTRO_CASAS_BOMBA!$I$13*HORAS_CAPTACAO_DIA-Z387)</f>
        <v>0</v>
      </c>
    </row>
    <row r="389" customFormat="false" ht="15" hidden="false" customHeight="false" outlineLevel="0" collapsed="false">
      <c r="B389" s="17" t="n">
        <f aca="false">DATA_INICIO_SAFRA+382</f>
        <v>46647</v>
      </c>
      <c r="C389" s="16" t="n">
        <f aca="false">MIN(N_SEMANAS,MAX(1,INT(($B389-DATA_INICIO_SAFRA)/DIAS_POR_SEMANA)+1))</f>
        <v>55</v>
      </c>
      <c r="D389" s="16" t="n">
        <f aca="false">INDEX(AUX_MATRIZES!$C$8:$BP$8,MIN(N_SEMANAS,MAX(1,$C389)))/DIAS_POR_SEMANA</f>
        <v>0</v>
      </c>
      <c r="E389" s="16" t="n">
        <f aca="false">MIN(CADASTRO_CASAS_BOMBA!$O$6,MAX(0,E388+CADASTRO_CASAS_BOMBA!$I$6*HORAS_CAPTACAO_DIA-D389))</f>
        <v>2600</v>
      </c>
      <c r="F389" s="16" t="n">
        <f aca="false">MAX(0,D389-CADASTRO_CASAS_BOMBA!$I$6*HORAS_CAPTACAO_DIA-E388)</f>
        <v>0</v>
      </c>
      <c r="G389" s="16" t="n">
        <f aca="false">INDEX(AUX_MATRIZES!$C$9:$BP$9,MIN(N_SEMANAS,MAX(1,$C389)))/DIAS_POR_SEMANA</f>
        <v>0</v>
      </c>
      <c r="H389" s="16" t="n">
        <f aca="false">MIN(CADASTRO_CASAS_BOMBA!$O$7,MAX(0,H388+CADASTRO_CASAS_BOMBA!$I$7*HORAS_CAPTACAO_DIA-G389))</f>
        <v>76648</v>
      </c>
      <c r="I389" s="16" t="n">
        <f aca="false">MAX(0,G389-CADASTRO_CASAS_BOMBA!$I$7*HORAS_CAPTACAO_DIA-H388)</f>
        <v>0</v>
      </c>
      <c r="J389" s="16" t="n">
        <f aca="false">INDEX(AUX_MATRIZES!$C$10:$BP$10,MIN(N_SEMANAS,MAX(1,$C389)))/DIAS_POR_SEMANA</f>
        <v>0</v>
      </c>
      <c r="K389" s="16" t="n">
        <f aca="false">MIN(CADASTRO_CASAS_BOMBA!$O$8,MAX(0,K388+CADASTRO_CASAS_BOMBA!$I$8*HORAS_CAPTACAO_DIA-J389))</f>
        <v>27377</v>
      </c>
      <c r="L389" s="16" t="n">
        <f aca="false">MAX(0,J389-CADASTRO_CASAS_BOMBA!$I$8*HORAS_CAPTACAO_DIA-K388)</f>
        <v>0</v>
      </c>
      <c r="M389" s="16" t="n">
        <f aca="false">INDEX(AUX_MATRIZES!$C$11:$BP$11,MIN(N_SEMANAS,MAX(1,$C389)))/DIAS_POR_SEMANA</f>
        <v>0</v>
      </c>
      <c r="N389" s="16" t="n">
        <f aca="false">MIN(CADASTRO_CASAS_BOMBA!$O$9,MAX(0,N388+CADASTRO_CASAS_BOMBA!$I$9*HORAS_CAPTACAO_DIA-M389))</f>
        <v>129000</v>
      </c>
      <c r="O389" s="16" t="n">
        <f aca="false">MAX(0,M389-CADASTRO_CASAS_BOMBA!$I$9*HORAS_CAPTACAO_DIA-N388)</f>
        <v>0</v>
      </c>
      <c r="P389" s="16" t="n">
        <f aca="false">INDEX(AUX_MATRIZES!$C$12:$BP$12,MIN(N_SEMANAS,MAX(1,$C389)))/DIAS_POR_SEMANA</f>
        <v>34521.1247058824</v>
      </c>
      <c r="Q389" s="16" t="n">
        <f aca="false">MIN(CADASTRO_CASAS_BOMBA!$O$10,MAX(0,Q388+CADASTRO_CASAS_BOMBA!$I$10*HORAS_CAPTACAO_DIA-P389))</f>
        <v>0</v>
      </c>
      <c r="R389" s="16" t="n">
        <f aca="false">MAX(0,P389-CADASTRO_CASAS_BOMBA!$I$10*HORAS_CAPTACAO_DIA-Q388)</f>
        <v>21438.7247058824</v>
      </c>
      <c r="S389" s="16" t="n">
        <f aca="false">INDEX(AUX_MATRIZES!$C$13:$BP$13,MIN(N_SEMANAS,MAX(1,$C389)))/DIAS_POR_SEMANA</f>
        <v>30048.4308235294</v>
      </c>
      <c r="T389" s="16" t="n">
        <f aca="false">MIN(CADASTRO_CASAS_BOMBA!$O$11,MAX(0,T388+CADASTRO_CASAS_BOMBA!$I$11*HORAS_CAPTACAO_DIA-S389))</f>
        <v>0</v>
      </c>
      <c r="U389" s="16" t="n">
        <f aca="false">MAX(0,S389-CADASTRO_CASAS_BOMBA!$I$11*HORAS_CAPTACAO_DIA-T388)</f>
        <v>8628.43082352941</v>
      </c>
      <c r="V389" s="16" t="n">
        <f aca="false">INDEX(AUX_MATRIZES!$C$14:$BP$14,MIN(N_SEMANAS,MAX(1,$C389)))/DIAS_POR_SEMANA</f>
        <v>27568.2964705882</v>
      </c>
      <c r="W389" s="16" t="n">
        <f aca="false">MIN(CADASTRO_CASAS_BOMBA!$O$12,MAX(0,W388+CADASTRO_CASAS_BOMBA!$I$12*HORAS_CAPTACAO_DIA-V389))</f>
        <v>1411.13102920899</v>
      </c>
      <c r="X389" s="16" t="n">
        <f aca="false">MAX(0,V389-CADASTRO_CASAS_BOMBA!$I$12*HORAS_CAPTACAO_DIA-W388)</f>
        <v>0</v>
      </c>
      <c r="Y389" s="16" t="n">
        <f aca="false">INDEX(AUX_MATRIZES!$C$15:$BP$15,MIN(N_SEMANAS,MAX(1,$C389)))/DIAS_POR_SEMANA</f>
        <v>0</v>
      </c>
      <c r="Z389" s="16" t="n">
        <f aca="false">MIN(CADASTRO_CASAS_BOMBA!$O$13,MAX(0,Z388+CADASTRO_CASAS_BOMBA!$I$13*HORAS_CAPTACAO_DIA-Y389))</f>
        <v>74903</v>
      </c>
      <c r="AA389" s="16" t="n">
        <f aca="false">MAX(0,Y389-CADASTRO_CASAS_BOMBA!$I$13*HORAS_CAPTACAO_DIA-Z388)</f>
        <v>0</v>
      </c>
    </row>
    <row r="390" customFormat="false" ht="15" hidden="false" customHeight="false" outlineLevel="0" collapsed="false">
      <c r="B390" s="17" t="n">
        <f aca="false">DATA_INICIO_SAFRA+383</f>
        <v>46648</v>
      </c>
      <c r="C390" s="16" t="n">
        <f aca="false">MIN(N_SEMANAS,MAX(1,INT(($B390-DATA_INICIO_SAFRA)/DIAS_POR_SEMANA)+1))</f>
        <v>55</v>
      </c>
      <c r="D390" s="16" t="n">
        <f aca="false">INDEX(AUX_MATRIZES!$C$8:$BP$8,MIN(N_SEMANAS,MAX(1,$C390)))/DIAS_POR_SEMANA</f>
        <v>0</v>
      </c>
      <c r="E390" s="16" t="n">
        <f aca="false">MIN(CADASTRO_CASAS_BOMBA!$O$6,MAX(0,E389+CADASTRO_CASAS_BOMBA!$I$6*HORAS_CAPTACAO_DIA-D390))</f>
        <v>2600</v>
      </c>
      <c r="F390" s="16" t="n">
        <f aca="false">MAX(0,D390-CADASTRO_CASAS_BOMBA!$I$6*HORAS_CAPTACAO_DIA-E389)</f>
        <v>0</v>
      </c>
      <c r="G390" s="16" t="n">
        <f aca="false">INDEX(AUX_MATRIZES!$C$9:$BP$9,MIN(N_SEMANAS,MAX(1,$C390)))/DIAS_POR_SEMANA</f>
        <v>0</v>
      </c>
      <c r="H390" s="16" t="n">
        <f aca="false">MIN(CADASTRO_CASAS_BOMBA!$O$7,MAX(0,H389+CADASTRO_CASAS_BOMBA!$I$7*HORAS_CAPTACAO_DIA-G390))</f>
        <v>76648</v>
      </c>
      <c r="I390" s="16" t="n">
        <f aca="false">MAX(0,G390-CADASTRO_CASAS_BOMBA!$I$7*HORAS_CAPTACAO_DIA-H389)</f>
        <v>0</v>
      </c>
      <c r="J390" s="16" t="n">
        <f aca="false">INDEX(AUX_MATRIZES!$C$10:$BP$10,MIN(N_SEMANAS,MAX(1,$C390)))/DIAS_POR_SEMANA</f>
        <v>0</v>
      </c>
      <c r="K390" s="16" t="n">
        <f aca="false">MIN(CADASTRO_CASAS_BOMBA!$O$8,MAX(0,K389+CADASTRO_CASAS_BOMBA!$I$8*HORAS_CAPTACAO_DIA-J390))</f>
        <v>27377</v>
      </c>
      <c r="L390" s="16" t="n">
        <f aca="false">MAX(0,J390-CADASTRO_CASAS_BOMBA!$I$8*HORAS_CAPTACAO_DIA-K389)</f>
        <v>0</v>
      </c>
      <c r="M390" s="16" t="n">
        <f aca="false">INDEX(AUX_MATRIZES!$C$11:$BP$11,MIN(N_SEMANAS,MAX(1,$C390)))/DIAS_POR_SEMANA</f>
        <v>0</v>
      </c>
      <c r="N390" s="16" t="n">
        <f aca="false">MIN(CADASTRO_CASAS_BOMBA!$O$9,MAX(0,N389+CADASTRO_CASAS_BOMBA!$I$9*HORAS_CAPTACAO_DIA-M390))</f>
        <v>129000</v>
      </c>
      <c r="O390" s="16" t="n">
        <f aca="false">MAX(0,M390-CADASTRO_CASAS_BOMBA!$I$9*HORAS_CAPTACAO_DIA-N389)</f>
        <v>0</v>
      </c>
      <c r="P390" s="16" t="n">
        <f aca="false">INDEX(AUX_MATRIZES!$C$12:$BP$12,MIN(N_SEMANAS,MAX(1,$C390)))/DIAS_POR_SEMANA</f>
        <v>34521.1247058824</v>
      </c>
      <c r="Q390" s="16" t="n">
        <f aca="false">MIN(CADASTRO_CASAS_BOMBA!$O$10,MAX(0,Q389+CADASTRO_CASAS_BOMBA!$I$10*HORAS_CAPTACAO_DIA-P390))</f>
        <v>0</v>
      </c>
      <c r="R390" s="16" t="n">
        <f aca="false">MAX(0,P390-CADASTRO_CASAS_BOMBA!$I$10*HORAS_CAPTACAO_DIA-Q389)</f>
        <v>21438.7247058824</v>
      </c>
      <c r="S390" s="16" t="n">
        <f aca="false">INDEX(AUX_MATRIZES!$C$13:$BP$13,MIN(N_SEMANAS,MAX(1,$C390)))/DIAS_POR_SEMANA</f>
        <v>30048.4308235294</v>
      </c>
      <c r="T390" s="16" t="n">
        <f aca="false">MIN(CADASTRO_CASAS_BOMBA!$O$11,MAX(0,T389+CADASTRO_CASAS_BOMBA!$I$11*HORAS_CAPTACAO_DIA-S390))</f>
        <v>0</v>
      </c>
      <c r="U390" s="16" t="n">
        <f aca="false">MAX(0,S390-CADASTRO_CASAS_BOMBA!$I$11*HORAS_CAPTACAO_DIA-T389)</f>
        <v>8628.43082352941</v>
      </c>
      <c r="V390" s="16" t="n">
        <f aca="false">INDEX(AUX_MATRIZES!$C$14:$BP$14,MIN(N_SEMANAS,MAX(1,$C390)))/DIAS_POR_SEMANA</f>
        <v>27568.2964705882</v>
      </c>
      <c r="W390" s="16" t="n">
        <f aca="false">MIN(CADASTRO_CASAS_BOMBA!$O$12,MAX(0,W389+CADASTRO_CASAS_BOMBA!$I$12*HORAS_CAPTACAO_DIA-V390))</f>
        <v>0</v>
      </c>
      <c r="X390" s="16" t="n">
        <f aca="false">MAX(0,V390-CADASTRO_CASAS_BOMBA!$I$12*HORAS_CAPTACAO_DIA-W389)</f>
        <v>777.165441379242</v>
      </c>
      <c r="Y390" s="16" t="n">
        <f aca="false">INDEX(AUX_MATRIZES!$C$15:$BP$15,MIN(N_SEMANAS,MAX(1,$C390)))/DIAS_POR_SEMANA</f>
        <v>0</v>
      </c>
      <c r="Z390" s="16" t="n">
        <f aca="false">MIN(CADASTRO_CASAS_BOMBA!$O$13,MAX(0,Z389+CADASTRO_CASAS_BOMBA!$I$13*HORAS_CAPTACAO_DIA-Y390))</f>
        <v>74903</v>
      </c>
      <c r="AA390" s="16" t="n">
        <f aca="false">MAX(0,Y390-CADASTRO_CASAS_BOMBA!$I$13*HORAS_CAPTACAO_DIA-Z389)</f>
        <v>0</v>
      </c>
    </row>
    <row r="391" customFormat="false" ht="15" hidden="false" customHeight="false" outlineLevel="0" collapsed="false">
      <c r="B391" s="17" t="n">
        <f aca="false">DATA_INICIO_SAFRA+384</f>
        <v>46649</v>
      </c>
      <c r="C391" s="16" t="n">
        <f aca="false">MIN(N_SEMANAS,MAX(1,INT(($B391-DATA_INICIO_SAFRA)/DIAS_POR_SEMANA)+1))</f>
        <v>55</v>
      </c>
      <c r="D391" s="16" t="n">
        <f aca="false">INDEX(AUX_MATRIZES!$C$8:$BP$8,MIN(N_SEMANAS,MAX(1,$C391)))/DIAS_POR_SEMANA</f>
        <v>0</v>
      </c>
      <c r="E391" s="16" t="n">
        <f aca="false">MIN(CADASTRO_CASAS_BOMBA!$O$6,MAX(0,E390+CADASTRO_CASAS_BOMBA!$I$6*HORAS_CAPTACAO_DIA-D391))</f>
        <v>2600</v>
      </c>
      <c r="F391" s="16" t="n">
        <f aca="false">MAX(0,D391-CADASTRO_CASAS_BOMBA!$I$6*HORAS_CAPTACAO_DIA-E390)</f>
        <v>0</v>
      </c>
      <c r="G391" s="16" t="n">
        <f aca="false">INDEX(AUX_MATRIZES!$C$9:$BP$9,MIN(N_SEMANAS,MAX(1,$C391)))/DIAS_POR_SEMANA</f>
        <v>0</v>
      </c>
      <c r="H391" s="16" t="n">
        <f aca="false">MIN(CADASTRO_CASAS_BOMBA!$O$7,MAX(0,H390+CADASTRO_CASAS_BOMBA!$I$7*HORAS_CAPTACAO_DIA-G391))</f>
        <v>76648</v>
      </c>
      <c r="I391" s="16" t="n">
        <f aca="false">MAX(0,G391-CADASTRO_CASAS_BOMBA!$I$7*HORAS_CAPTACAO_DIA-H390)</f>
        <v>0</v>
      </c>
      <c r="J391" s="16" t="n">
        <f aca="false">INDEX(AUX_MATRIZES!$C$10:$BP$10,MIN(N_SEMANAS,MAX(1,$C391)))/DIAS_POR_SEMANA</f>
        <v>0</v>
      </c>
      <c r="K391" s="16" t="n">
        <f aca="false">MIN(CADASTRO_CASAS_BOMBA!$O$8,MAX(0,K390+CADASTRO_CASAS_BOMBA!$I$8*HORAS_CAPTACAO_DIA-J391))</f>
        <v>27377</v>
      </c>
      <c r="L391" s="16" t="n">
        <f aca="false">MAX(0,J391-CADASTRO_CASAS_BOMBA!$I$8*HORAS_CAPTACAO_DIA-K390)</f>
        <v>0</v>
      </c>
      <c r="M391" s="16" t="n">
        <f aca="false">INDEX(AUX_MATRIZES!$C$11:$BP$11,MIN(N_SEMANAS,MAX(1,$C391)))/DIAS_POR_SEMANA</f>
        <v>0</v>
      </c>
      <c r="N391" s="16" t="n">
        <f aca="false">MIN(CADASTRO_CASAS_BOMBA!$O$9,MAX(0,N390+CADASTRO_CASAS_BOMBA!$I$9*HORAS_CAPTACAO_DIA-M391))</f>
        <v>129000</v>
      </c>
      <c r="O391" s="16" t="n">
        <f aca="false">MAX(0,M391-CADASTRO_CASAS_BOMBA!$I$9*HORAS_CAPTACAO_DIA-N390)</f>
        <v>0</v>
      </c>
      <c r="P391" s="16" t="n">
        <f aca="false">INDEX(AUX_MATRIZES!$C$12:$BP$12,MIN(N_SEMANAS,MAX(1,$C391)))/DIAS_POR_SEMANA</f>
        <v>34521.1247058824</v>
      </c>
      <c r="Q391" s="16" t="n">
        <f aca="false">MIN(CADASTRO_CASAS_BOMBA!$O$10,MAX(0,Q390+CADASTRO_CASAS_BOMBA!$I$10*HORAS_CAPTACAO_DIA-P391))</f>
        <v>0</v>
      </c>
      <c r="R391" s="16" t="n">
        <f aca="false">MAX(0,P391-CADASTRO_CASAS_BOMBA!$I$10*HORAS_CAPTACAO_DIA-Q390)</f>
        <v>21438.7247058824</v>
      </c>
      <c r="S391" s="16" t="n">
        <f aca="false">INDEX(AUX_MATRIZES!$C$13:$BP$13,MIN(N_SEMANAS,MAX(1,$C391)))/DIAS_POR_SEMANA</f>
        <v>30048.4308235294</v>
      </c>
      <c r="T391" s="16" t="n">
        <f aca="false">MIN(CADASTRO_CASAS_BOMBA!$O$11,MAX(0,T390+CADASTRO_CASAS_BOMBA!$I$11*HORAS_CAPTACAO_DIA-S391))</f>
        <v>0</v>
      </c>
      <c r="U391" s="16" t="n">
        <f aca="false">MAX(0,S391-CADASTRO_CASAS_BOMBA!$I$11*HORAS_CAPTACAO_DIA-T390)</f>
        <v>8628.43082352941</v>
      </c>
      <c r="V391" s="16" t="n">
        <f aca="false">INDEX(AUX_MATRIZES!$C$14:$BP$14,MIN(N_SEMANAS,MAX(1,$C391)))/DIAS_POR_SEMANA</f>
        <v>27568.2964705882</v>
      </c>
      <c r="W391" s="16" t="n">
        <f aca="false">MIN(CADASTRO_CASAS_BOMBA!$O$12,MAX(0,W390+CADASTRO_CASAS_BOMBA!$I$12*HORAS_CAPTACAO_DIA-V391))</f>
        <v>0</v>
      </c>
      <c r="X391" s="16" t="n">
        <f aca="false">MAX(0,V391-CADASTRO_CASAS_BOMBA!$I$12*HORAS_CAPTACAO_DIA-W390)</f>
        <v>2188.29647058823</v>
      </c>
      <c r="Y391" s="16" t="n">
        <f aca="false">INDEX(AUX_MATRIZES!$C$15:$BP$15,MIN(N_SEMANAS,MAX(1,$C391)))/DIAS_POR_SEMANA</f>
        <v>0</v>
      </c>
      <c r="Z391" s="16" t="n">
        <f aca="false">MIN(CADASTRO_CASAS_BOMBA!$O$13,MAX(0,Z390+CADASTRO_CASAS_BOMBA!$I$13*HORAS_CAPTACAO_DIA-Y391))</f>
        <v>74903</v>
      </c>
      <c r="AA391" s="16" t="n">
        <f aca="false">MAX(0,Y391-CADASTRO_CASAS_BOMBA!$I$13*HORAS_CAPTACAO_DIA-Z390)</f>
        <v>0</v>
      </c>
    </row>
    <row r="392" customFormat="false" ht="15" hidden="false" customHeight="false" outlineLevel="0" collapsed="false">
      <c r="B392" s="17" t="n">
        <f aca="false">DATA_INICIO_SAFRA+385</f>
        <v>46650</v>
      </c>
      <c r="C392" s="16" t="n">
        <f aca="false">MIN(N_SEMANAS,MAX(1,INT(($B392-DATA_INICIO_SAFRA)/DIAS_POR_SEMANA)+1))</f>
        <v>56</v>
      </c>
      <c r="D392" s="16" t="n">
        <f aca="false">INDEX(AUX_MATRIZES!$C$8:$BP$8,MIN(N_SEMANAS,MAX(1,$C392)))/DIAS_POR_SEMANA</f>
        <v>0</v>
      </c>
      <c r="E392" s="16" t="n">
        <f aca="false">MIN(CADASTRO_CASAS_BOMBA!$O$6,MAX(0,E391+CADASTRO_CASAS_BOMBA!$I$6*HORAS_CAPTACAO_DIA-D392))</f>
        <v>2600</v>
      </c>
      <c r="F392" s="16" t="n">
        <f aca="false">MAX(0,D392-CADASTRO_CASAS_BOMBA!$I$6*HORAS_CAPTACAO_DIA-E391)</f>
        <v>0</v>
      </c>
      <c r="G392" s="16" t="n">
        <f aca="false">INDEX(AUX_MATRIZES!$C$9:$BP$9,MIN(N_SEMANAS,MAX(1,$C392)))/DIAS_POR_SEMANA</f>
        <v>0</v>
      </c>
      <c r="H392" s="16" t="n">
        <f aca="false">MIN(CADASTRO_CASAS_BOMBA!$O$7,MAX(0,H391+CADASTRO_CASAS_BOMBA!$I$7*HORAS_CAPTACAO_DIA-G392))</f>
        <v>76648</v>
      </c>
      <c r="I392" s="16" t="n">
        <f aca="false">MAX(0,G392-CADASTRO_CASAS_BOMBA!$I$7*HORAS_CAPTACAO_DIA-H391)</f>
        <v>0</v>
      </c>
      <c r="J392" s="16" t="n">
        <f aca="false">INDEX(AUX_MATRIZES!$C$10:$BP$10,MIN(N_SEMANAS,MAX(1,$C392)))/DIAS_POR_SEMANA</f>
        <v>0</v>
      </c>
      <c r="K392" s="16" t="n">
        <f aca="false">MIN(CADASTRO_CASAS_BOMBA!$O$8,MAX(0,K391+CADASTRO_CASAS_BOMBA!$I$8*HORAS_CAPTACAO_DIA-J392))</f>
        <v>27377</v>
      </c>
      <c r="L392" s="16" t="n">
        <f aca="false">MAX(0,J392-CADASTRO_CASAS_BOMBA!$I$8*HORAS_CAPTACAO_DIA-K391)</f>
        <v>0</v>
      </c>
      <c r="M392" s="16" t="n">
        <f aca="false">INDEX(AUX_MATRIZES!$C$11:$BP$11,MIN(N_SEMANAS,MAX(1,$C392)))/DIAS_POR_SEMANA</f>
        <v>0</v>
      </c>
      <c r="N392" s="16" t="n">
        <f aca="false">MIN(CADASTRO_CASAS_BOMBA!$O$9,MAX(0,N391+CADASTRO_CASAS_BOMBA!$I$9*HORAS_CAPTACAO_DIA-M392))</f>
        <v>129000</v>
      </c>
      <c r="O392" s="16" t="n">
        <f aca="false">MAX(0,M392-CADASTRO_CASAS_BOMBA!$I$9*HORAS_CAPTACAO_DIA-N391)</f>
        <v>0</v>
      </c>
      <c r="P392" s="16" t="n">
        <f aca="false">INDEX(AUX_MATRIZES!$C$12:$BP$12,MIN(N_SEMANAS,MAX(1,$C392)))/DIAS_POR_SEMANA</f>
        <v>33356.5741176471</v>
      </c>
      <c r="Q392" s="16" t="n">
        <f aca="false">MIN(CADASTRO_CASAS_BOMBA!$O$10,MAX(0,Q391+CADASTRO_CASAS_BOMBA!$I$10*HORAS_CAPTACAO_DIA-P392))</f>
        <v>0</v>
      </c>
      <c r="R392" s="16" t="n">
        <f aca="false">MAX(0,P392-CADASTRO_CASAS_BOMBA!$I$10*HORAS_CAPTACAO_DIA-Q391)</f>
        <v>20274.1741176471</v>
      </c>
      <c r="S392" s="16" t="n">
        <f aca="false">INDEX(AUX_MATRIZES!$C$13:$BP$13,MIN(N_SEMANAS,MAX(1,$C392)))/DIAS_POR_SEMANA</f>
        <v>29045.8018823529</v>
      </c>
      <c r="T392" s="16" t="n">
        <f aca="false">MIN(CADASTRO_CASAS_BOMBA!$O$11,MAX(0,T391+CADASTRO_CASAS_BOMBA!$I$11*HORAS_CAPTACAO_DIA-S392))</f>
        <v>0</v>
      </c>
      <c r="U392" s="16" t="n">
        <f aca="false">MAX(0,S392-CADASTRO_CASAS_BOMBA!$I$11*HORAS_CAPTACAO_DIA-T391)</f>
        <v>7625.80188235294</v>
      </c>
      <c r="V392" s="16" t="n">
        <f aca="false">INDEX(AUX_MATRIZES!$C$14:$BP$14,MIN(N_SEMANAS,MAX(1,$C392)))/DIAS_POR_SEMANA</f>
        <v>27568.2964705882</v>
      </c>
      <c r="W392" s="16" t="n">
        <f aca="false">MIN(CADASTRO_CASAS_BOMBA!$O$12,MAX(0,W391+CADASTRO_CASAS_BOMBA!$I$12*HORAS_CAPTACAO_DIA-V392))</f>
        <v>0</v>
      </c>
      <c r="X392" s="16" t="n">
        <f aca="false">MAX(0,V392-CADASTRO_CASAS_BOMBA!$I$12*HORAS_CAPTACAO_DIA-W391)</f>
        <v>2188.29647058823</v>
      </c>
      <c r="Y392" s="16" t="n">
        <f aca="false">INDEX(AUX_MATRIZES!$C$15:$BP$15,MIN(N_SEMANAS,MAX(1,$C392)))/DIAS_POR_SEMANA</f>
        <v>0</v>
      </c>
      <c r="Z392" s="16" t="n">
        <f aca="false">MIN(CADASTRO_CASAS_BOMBA!$O$13,MAX(0,Z391+CADASTRO_CASAS_BOMBA!$I$13*HORAS_CAPTACAO_DIA-Y392))</f>
        <v>74903</v>
      </c>
      <c r="AA392" s="16" t="n">
        <f aca="false">MAX(0,Y392-CADASTRO_CASAS_BOMBA!$I$13*HORAS_CAPTACAO_DIA-Z391)</f>
        <v>0</v>
      </c>
    </row>
    <row r="393" customFormat="false" ht="15" hidden="false" customHeight="false" outlineLevel="0" collapsed="false">
      <c r="B393" s="17" t="n">
        <f aca="false">DATA_INICIO_SAFRA+386</f>
        <v>46651</v>
      </c>
      <c r="C393" s="16" t="n">
        <f aca="false">MIN(N_SEMANAS,MAX(1,INT(($B393-DATA_INICIO_SAFRA)/DIAS_POR_SEMANA)+1))</f>
        <v>56</v>
      </c>
      <c r="D393" s="16" t="n">
        <f aca="false">INDEX(AUX_MATRIZES!$C$8:$BP$8,MIN(N_SEMANAS,MAX(1,$C393)))/DIAS_POR_SEMANA</f>
        <v>0</v>
      </c>
      <c r="E393" s="16" t="n">
        <f aca="false">MIN(CADASTRO_CASAS_BOMBA!$O$6,MAX(0,E392+CADASTRO_CASAS_BOMBA!$I$6*HORAS_CAPTACAO_DIA-D393))</f>
        <v>2600</v>
      </c>
      <c r="F393" s="16" t="n">
        <f aca="false">MAX(0,D393-CADASTRO_CASAS_BOMBA!$I$6*HORAS_CAPTACAO_DIA-E392)</f>
        <v>0</v>
      </c>
      <c r="G393" s="16" t="n">
        <f aca="false">INDEX(AUX_MATRIZES!$C$9:$BP$9,MIN(N_SEMANAS,MAX(1,$C393)))/DIAS_POR_SEMANA</f>
        <v>0</v>
      </c>
      <c r="H393" s="16" t="n">
        <f aca="false">MIN(CADASTRO_CASAS_BOMBA!$O$7,MAX(0,H392+CADASTRO_CASAS_BOMBA!$I$7*HORAS_CAPTACAO_DIA-G393))</f>
        <v>76648</v>
      </c>
      <c r="I393" s="16" t="n">
        <f aca="false">MAX(0,G393-CADASTRO_CASAS_BOMBA!$I$7*HORAS_CAPTACAO_DIA-H392)</f>
        <v>0</v>
      </c>
      <c r="J393" s="16" t="n">
        <f aca="false">INDEX(AUX_MATRIZES!$C$10:$BP$10,MIN(N_SEMANAS,MAX(1,$C393)))/DIAS_POR_SEMANA</f>
        <v>0</v>
      </c>
      <c r="K393" s="16" t="n">
        <f aca="false">MIN(CADASTRO_CASAS_BOMBA!$O$8,MAX(0,K392+CADASTRO_CASAS_BOMBA!$I$8*HORAS_CAPTACAO_DIA-J393))</f>
        <v>27377</v>
      </c>
      <c r="L393" s="16" t="n">
        <f aca="false">MAX(0,J393-CADASTRO_CASAS_BOMBA!$I$8*HORAS_CAPTACAO_DIA-K392)</f>
        <v>0</v>
      </c>
      <c r="M393" s="16" t="n">
        <f aca="false">INDEX(AUX_MATRIZES!$C$11:$BP$11,MIN(N_SEMANAS,MAX(1,$C393)))/DIAS_POR_SEMANA</f>
        <v>0</v>
      </c>
      <c r="N393" s="16" t="n">
        <f aca="false">MIN(CADASTRO_CASAS_BOMBA!$O$9,MAX(0,N392+CADASTRO_CASAS_BOMBA!$I$9*HORAS_CAPTACAO_DIA-M393))</f>
        <v>129000</v>
      </c>
      <c r="O393" s="16" t="n">
        <f aca="false">MAX(0,M393-CADASTRO_CASAS_BOMBA!$I$9*HORAS_CAPTACAO_DIA-N392)</f>
        <v>0</v>
      </c>
      <c r="P393" s="16" t="n">
        <f aca="false">INDEX(AUX_MATRIZES!$C$12:$BP$12,MIN(N_SEMANAS,MAX(1,$C393)))/DIAS_POR_SEMANA</f>
        <v>33356.5741176471</v>
      </c>
      <c r="Q393" s="16" t="n">
        <f aca="false">MIN(CADASTRO_CASAS_BOMBA!$O$10,MAX(0,Q392+CADASTRO_CASAS_BOMBA!$I$10*HORAS_CAPTACAO_DIA-P393))</f>
        <v>0</v>
      </c>
      <c r="R393" s="16" t="n">
        <f aca="false">MAX(0,P393-CADASTRO_CASAS_BOMBA!$I$10*HORAS_CAPTACAO_DIA-Q392)</f>
        <v>20274.1741176471</v>
      </c>
      <c r="S393" s="16" t="n">
        <f aca="false">INDEX(AUX_MATRIZES!$C$13:$BP$13,MIN(N_SEMANAS,MAX(1,$C393)))/DIAS_POR_SEMANA</f>
        <v>29045.8018823529</v>
      </c>
      <c r="T393" s="16" t="n">
        <f aca="false">MIN(CADASTRO_CASAS_BOMBA!$O$11,MAX(0,T392+CADASTRO_CASAS_BOMBA!$I$11*HORAS_CAPTACAO_DIA-S393))</f>
        <v>0</v>
      </c>
      <c r="U393" s="16" t="n">
        <f aca="false">MAX(0,S393-CADASTRO_CASAS_BOMBA!$I$11*HORAS_CAPTACAO_DIA-T392)</f>
        <v>7625.80188235294</v>
      </c>
      <c r="V393" s="16" t="n">
        <f aca="false">INDEX(AUX_MATRIZES!$C$14:$BP$14,MIN(N_SEMANAS,MAX(1,$C393)))/DIAS_POR_SEMANA</f>
        <v>27568.2964705882</v>
      </c>
      <c r="W393" s="16" t="n">
        <f aca="false">MIN(CADASTRO_CASAS_BOMBA!$O$12,MAX(0,W392+CADASTRO_CASAS_BOMBA!$I$12*HORAS_CAPTACAO_DIA-V393))</f>
        <v>0</v>
      </c>
      <c r="X393" s="16" t="n">
        <f aca="false">MAX(0,V393-CADASTRO_CASAS_BOMBA!$I$12*HORAS_CAPTACAO_DIA-W392)</f>
        <v>2188.29647058823</v>
      </c>
      <c r="Y393" s="16" t="n">
        <f aca="false">INDEX(AUX_MATRIZES!$C$15:$BP$15,MIN(N_SEMANAS,MAX(1,$C393)))/DIAS_POR_SEMANA</f>
        <v>0</v>
      </c>
      <c r="Z393" s="16" t="n">
        <f aca="false">MIN(CADASTRO_CASAS_BOMBA!$O$13,MAX(0,Z392+CADASTRO_CASAS_BOMBA!$I$13*HORAS_CAPTACAO_DIA-Y393))</f>
        <v>74903</v>
      </c>
      <c r="AA393" s="16" t="n">
        <f aca="false">MAX(0,Y393-CADASTRO_CASAS_BOMBA!$I$13*HORAS_CAPTACAO_DIA-Z392)</f>
        <v>0</v>
      </c>
    </row>
    <row r="394" customFormat="false" ht="15" hidden="false" customHeight="false" outlineLevel="0" collapsed="false">
      <c r="B394" s="17" t="n">
        <f aca="false">DATA_INICIO_SAFRA+387</f>
        <v>46652</v>
      </c>
      <c r="C394" s="16" t="n">
        <f aca="false">MIN(N_SEMANAS,MAX(1,INT(($B394-DATA_INICIO_SAFRA)/DIAS_POR_SEMANA)+1))</f>
        <v>56</v>
      </c>
      <c r="D394" s="16" t="n">
        <f aca="false">INDEX(AUX_MATRIZES!$C$8:$BP$8,MIN(N_SEMANAS,MAX(1,$C394)))/DIAS_POR_SEMANA</f>
        <v>0</v>
      </c>
      <c r="E394" s="16" t="n">
        <f aca="false">MIN(CADASTRO_CASAS_BOMBA!$O$6,MAX(0,E393+CADASTRO_CASAS_BOMBA!$I$6*HORAS_CAPTACAO_DIA-D394))</f>
        <v>2600</v>
      </c>
      <c r="F394" s="16" t="n">
        <f aca="false">MAX(0,D394-CADASTRO_CASAS_BOMBA!$I$6*HORAS_CAPTACAO_DIA-E393)</f>
        <v>0</v>
      </c>
      <c r="G394" s="16" t="n">
        <f aca="false">INDEX(AUX_MATRIZES!$C$9:$BP$9,MIN(N_SEMANAS,MAX(1,$C394)))/DIAS_POR_SEMANA</f>
        <v>0</v>
      </c>
      <c r="H394" s="16" t="n">
        <f aca="false">MIN(CADASTRO_CASAS_BOMBA!$O$7,MAX(0,H393+CADASTRO_CASAS_BOMBA!$I$7*HORAS_CAPTACAO_DIA-G394))</f>
        <v>76648</v>
      </c>
      <c r="I394" s="16" t="n">
        <f aca="false">MAX(0,G394-CADASTRO_CASAS_BOMBA!$I$7*HORAS_CAPTACAO_DIA-H393)</f>
        <v>0</v>
      </c>
      <c r="J394" s="16" t="n">
        <f aca="false">INDEX(AUX_MATRIZES!$C$10:$BP$10,MIN(N_SEMANAS,MAX(1,$C394)))/DIAS_POR_SEMANA</f>
        <v>0</v>
      </c>
      <c r="K394" s="16" t="n">
        <f aca="false">MIN(CADASTRO_CASAS_BOMBA!$O$8,MAX(0,K393+CADASTRO_CASAS_BOMBA!$I$8*HORAS_CAPTACAO_DIA-J394))</f>
        <v>27377</v>
      </c>
      <c r="L394" s="16" t="n">
        <f aca="false">MAX(0,J394-CADASTRO_CASAS_BOMBA!$I$8*HORAS_CAPTACAO_DIA-K393)</f>
        <v>0</v>
      </c>
      <c r="M394" s="16" t="n">
        <f aca="false">INDEX(AUX_MATRIZES!$C$11:$BP$11,MIN(N_SEMANAS,MAX(1,$C394)))/DIAS_POR_SEMANA</f>
        <v>0</v>
      </c>
      <c r="N394" s="16" t="n">
        <f aca="false">MIN(CADASTRO_CASAS_BOMBA!$O$9,MAX(0,N393+CADASTRO_CASAS_BOMBA!$I$9*HORAS_CAPTACAO_DIA-M394))</f>
        <v>129000</v>
      </c>
      <c r="O394" s="16" t="n">
        <f aca="false">MAX(0,M394-CADASTRO_CASAS_BOMBA!$I$9*HORAS_CAPTACAO_DIA-N393)</f>
        <v>0</v>
      </c>
      <c r="P394" s="16" t="n">
        <f aca="false">INDEX(AUX_MATRIZES!$C$12:$BP$12,MIN(N_SEMANAS,MAX(1,$C394)))/DIAS_POR_SEMANA</f>
        <v>33356.5741176471</v>
      </c>
      <c r="Q394" s="16" t="n">
        <f aca="false">MIN(CADASTRO_CASAS_BOMBA!$O$10,MAX(0,Q393+CADASTRO_CASAS_BOMBA!$I$10*HORAS_CAPTACAO_DIA-P394))</f>
        <v>0</v>
      </c>
      <c r="R394" s="16" t="n">
        <f aca="false">MAX(0,P394-CADASTRO_CASAS_BOMBA!$I$10*HORAS_CAPTACAO_DIA-Q393)</f>
        <v>20274.1741176471</v>
      </c>
      <c r="S394" s="16" t="n">
        <f aca="false">INDEX(AUX_MATRIZES!$C$13:$BP$13,MIN(N_SEMANAS,MAX(1,$C394)))/DIAS_POR_SEMANA</f>
        <v>29045.8018823529</v>
      </c>
      <c r="T394" s="16" t="n">
        <f aca="false">MIN(CADASTRO_CASAS_BOMBA!$O$11,MAX(0,T393+CADASTRO_CASAS_BOMBA!$I$11*HORAS_CAPTACAO_DIA-S394))</f>
        <v>0</v>
      </c>
      <c r="U394" s="16" t="n">
        <f aca="false">MAX(0,S394-CADASTRO_CASAS_BOMBA!$I$11*HORAS_CAPTACAO_DIA-T393)</f>
        <v>7625.80188235294</v>
      </c>
      <c r="V394" s="16" t="n">
        <f aca="false">INDEX(AUX_MATRIZES!$C$14:$BP$14,MIN(N_SEMANAS,MAX(1,$C394)))/DIAS_POR_SEMANA</f>
        <v>27568.2964705882</v>
      </c>
      <c r="W394" s="16" t="n">
        <f aca="false">MIN(CADASTRO_CASAS_BOMBA!$O$12,MAX(0,W393+CADASTRO_CASAS_BOMBA!$I$12*HORAS_CAPTACAO_DIA-V394))</f>
        <v>0</v>
      </c>
      <c r="X394" s="16" t="n">
        <f aca="false">MAX(0,V394-CADASTRO_CASAS_BOMBA!$I$12*HORAS_CAPTACAO_DIA-W393)</f>
        <v>2188.29647058823</v>
      </c>
      <c r="Y394" s="16" t="n">
        <f aca="false">INDEX(AUX_MATRIZES!$C$15:$BP$15,MIN(N_SEMANAS,MAX(1,$C394)))/DIAS_POR_SEMANA</f>
        <v>0</v>
      </c>
      <c r="Z394" s="16" t="n">
        <f aca="false">MIN(CADASTRO_CASAS_BOMBA!$O$13,MAX(0,Z393+CADASTRO_CASAS_BOMBA!$I$13*HORAS_CAPTACAO_DIA-Y394))</f>
        <v>74903</v>
      </c>
      <c r="AA394" s="16" t="n">
        <f aca="false">MAX(0,Y394-CADASTRO_CASAS_BOMBA!$I$13*HORAS_CAPTACAO_DIA-Z393)</f>
        <v>0</v>
      </c>
    </row>
    <row r="395" customFormat="false" ht="15" hidden="false" customHeight="false" outlineLevel="0" collapsed="false">
      <c r="B395" s="17" t="n">
        <f aca="false">DATA_INICIO_SAFRA+388</f>
        <v>46653</v>
      </c>
      <c r="C395" s="16" t="n">
        <f aca="false">MIN(N_SEMANAS,MAX(1,INT(($B395-DATA_INICIO_SAFRA)/DIAS_POR_SEMANA)+1))</f>
        <v>56</v>
      </c>
      <c r="D395" s="16" t="n">
        <f aca="false">INDEX(AUX_MATRIZES!$C$8:$BP$8,MIN(N_SEMANAS,MAX(1,$C395)))/DIAS_POR_SEMANA</f>
        <v>0</v>
      </c>
      <c r="E395" s="16" t="n">
        <f aca="false">MIN(CADASTRO_CASAS_BOMBA!$O$6,MAX(0,E394+CADASTRO_CASAS_BOMBA!$I$6*HORAS_CAPTACAO_DIA-D395))</f>
        <v>2600</v>
      </c>
      <c r="F395" s="16" t="n">
        <f aca="false">MAX(0,D395-CADASTRO_CASAS_BOMBA!$I$6*HORAS_CAPTACAO_DIA-E394)</f>
        <v>0</v>
      </c>
      <c r="G395" s="16" t="n">
        <f aca="false">INDEX(AUX_MATRIZES!$C$9:$BP$9,MIN(N_SEMANAS,MAX(1,$C395)))/DIAS_POR_SEMANA</f>
        <v>0</v>
      </c>
      <c r="H395" s="16" t="n">
        <f aca="false">MIN(CADASTRO_CASAS_BOMBA!$O$7,MAX(0,H394+CADASTRO_CASAS_BOMBA!$I$7*HORAS_CAPTACAO_DIA-G395))</f>
        <v>76648</v>
      </c>
      <c r="I395" s="16" t="n">
        <f aca="false">MAX(0,G395-CADASTRO_CASAS_BOMBA!$I$7*HORAS_CAPTACAO_DIA-H394)</f>
        <v>0</v>
      </c>
      <c r="J395" s="16" t="n">
        <f aca="false">INDEX(AUX_MATRIZES!$C$10:$BP$10,MIN(N_SEMANAS,MAX(1,$C395)))/DIAS_POR_SEMANA</f>
        <v>0</v>
      </c>
      <c r="K395" s="16" t="n">
        <f aca="false">MIN(CADASTRO_CASAS_BOMBA!$O$8,MAX(0,K394+CADASTRO_CASAS_BOMBA!$I$8*HORAS_CAPTACAO_DIA-J395))</f>
        <v>27377</v>
      </c>
      <c r="L395" s="16" t="n">
        <f aca="false">MAX(0,J395-CADASTRO_CASAS_BOMBA!$I$8*HORAS_CAPTACAO_DIA-K394)</f>
        <v>0</v>
      </c>
      <c r="M395" s="16" t="n">
        <f aca="false">INDEX(AUX_MATRIZES!$C$11:$BP$11,MIN(N_SEMANAS,MAX(1,$C395)))/DIAS_POR_SEMANA</f>
        <v>0</v>
      </c>
      <c r="N395" s="16" t="n">
        <f aca="false">MIN(CADASTRO_CASAS_BOMBA!$O$9,MAX(0,N394+CADASTRO_CASAS_BOMBA!$I$9*HORAS_CAPTACAO_DIA-M395))</f>
        <v>129000</v>
      </c>
      <c r="O395" s="16" t="n">
        <f aca="false">MAX(0,M395-CADASTRO_CASAS_BOMBA!$I$9*HORAS_CAPTACAO_DIA-N394)</f>
        <v>0</v>
      </c>
      <c r="P395" s="16" t="n">
        <f aca="false">INDEX(AUX_MATRIZES!$C$12:$BP$12,MIN(N_SEMANAS,MAX(1,$C395)))/DIAS_POR_SEMANA</f>
        <v>33356.5741176471</v>
      </c>
      <c r="Q395" s="16" t="n">
        <f aca="false">MIN(CADASTRO_CASAS_BOMBA!$O$10,MAX(0,Q394+CADASTRO_CASAS_BOMBA!$I$10*HORAS_CAPTACAO_DIA-P395))</f>
        <v>0</v>
      </c>
      <c r="R395" s="16" t="n">
        <f aca="false">MAX(0,P395-CADASTRO_CASAS_BOMBA!$I$10*HORAS_CAPTACAO_DIA-Q394)</f>
        <v>20274.1741176471</v>
      </c>
      <c r="S395" s="16" t="n">
        <f aca="false">INDEX(AUX_MATRIZES!$C$13:$BP$13,MIN(N_SEMANAS,MAX(1,$C395)))/DIAS_POR_SEMANA</f>
        <v>29045.8018823529</v>
      </c>
      <c r="T395" s="16" t="n">
        <f aca="false">MIN(CADASTRO_CASAS_BOMBA!$O$11,MAX(0,T394+CADASTRO_CASAS_BOMBA!$I$11*HORAS_CAPTACAO_DIA-S395))</f>
        <v>0</v>
      </c>
      <c r="U395" s="16" t="n">
        <f aca="false">MAX(0,S395-CADASTRO_CASAS_BOMBA!$I$11*HORAS_CAPTACAO_DIA-T394)</f>
        <v>7625.80188235294</v>
      </c>
      <c r="V395" s="16" t="n">
        <f aca="false">INDEX(AUX_MATRIZES!$C$14:$BP$14,MIN(N_SEMANAS,MAX(1,$C395)))/DIAS_POR_SEMANA</f>
        <v>27568.2964705882</v>
      </c>
      <c r="W395" s="16" t="n">
        <f aca="false">MIN(CADASTRO_CASAS_BOMBA!$O$12,MAX(0,W394+CADASTRO_CASAS_BOMBA!$I$12*HORAS_CAPTACAO_DIA-V395))</f>
        <v>0</v>
      </c>
      <c r="X395" s="16" t="n">
        <f aca="false">MAX(0,V395-CADASTRO_CASAS_BOMBA!$I$12*HORAS_CAPTACAO_DIA-W394)</f>
        <v>2188.29647058823</v>
      </c>
      <c r="Y395" s="16" t="n">
        <f aca="false">INDEX(AUX_MATRIZES!$C$15:$BP$15,MIN(N_SEMANAS,MAX(1,$C395)))/DIAS_POR_SEMANA</f>
        <v>0</v>
      </c>
      <c r="Z395" s="16" t="n">
        <f aca="false">MIN(CADASTRO_CASAS_BOMBA!$O$13,MAX(0,Z394+CADASTRO_CASAS_BOMBA!$I$13*HORAS_CAPTACAO_DIA-Y395))</f>
        <v>74903</v>
      </c>
      <c r="AA395" s="16" t="n">
        <f aca="false">MAX(0,Y395-CADASTRO_CASAS_BOMBA!$I$13*HORAS_CAPTACAO_DIA-Z394)</f>
        <v>0</v>
      </c>
    </row>
    <row r="396" customFormat="false" ht="15" hidden="false" customHeight="false" outlineLevel="0" collapsed="false">
      <c r="B396" s="17" t="n">
        <f aca="false">DATA_INICIO_SAFRA+389</f>
        <v>46654</v>
      </c>
      <c r="C396" s="16" t="n">
        <f aca="false">MIN(N_SEMANAS,MAX(1,INT(($B396-DATA_INICIO_SAFRA)/DIAS_POR_SEMANA)+1))</f>
        <v>56</v>
      </c>
      <c r="D396" s="16" t="n">
        <f aca="false">INDEX(AUX_MATRIZES!$C$8:$BP$8,MIN(N_SEMANAS,MAX(1,$C396)))/DIAS_POR_SEMANA</f>
        <v>0</v>
      </c>
      <c r="E396" s="16" t="n">
        <f aca="false">MIN(CADASTRO_CASAS_BOMBA!$O$6,MAX(0,E395+CADASTRO_CASAS_BOMBA!$I$6*HORAS_CAPTACAO_DIA-D396))</f>
        <v>2600</v>
      </c>
      <c r="F396" s="16" t="n">
        <f aca="false">MAX(0,D396-CADASTRO_CASAS_BOMBA!$I$6*HORAS_CAPTACAO_DIA-E395)</f>
        <v>0</v>
      </c>
      <c r="G396" s="16" t="n">
        <f aca="false">INDEX(AUX_MATRIZES!$C$9:$BP$9,MIN(N_SEMANAS,MAX(1,$C396)))/DIAS_POR_SEMANA</f>
        <v>0</v>
      </c>
      <c r="H396" s="16" t="n">
        <f aca="false">MIN(CADASTRO_CASAS_BOMBA!$O$7,MAX(0,H395+CADASTRO_CASAS_BOMBA!$I$7*HORAS_CAPTACAO_DIA-G396))</f>
        <v>76648</v>
      </c>
      <c r="I396" s="16" t="n">
        <f aca="false">MAX(0,G396-CADASTRO_CASAS_BOMBA!$I$7*HORAS_CAPTACAO_DIA-H395)</f>
        <v>0</v>
      </c>
      <c r="J396" s="16" t="n">
        <f aca="false">INDEX(AUX_MATRIZES!$C$10:$BP$10,MIN(N_SEMANAS,MAX(1,$C396)))/DIAS_POR_SEMANA</f>
        <v>0</v>
      </c>
      <c r="K396" s="16" t="n">
        <f aca="false">MIN(CADASTRO_CASAS_BOMBA!$O$8,MAX(0,K395+CADASTRO_CASAS_BOMBA!$I$8*HORAS_CAPTACAO_DIA-J396))</f>
        <v>27377</v>
      </c>
      <c r="L396" s="16" t="n">
        <f aca="false">MAX(0,J396-CADASTRO_CASAS_BOMBA!$I$8*HORAS_CAPTACAO_DIA-K395)</f>
        <v>0</v>
      </c>
      <c r="M396" s="16" t="n">
        <f aca="false">INDEX(AUX_MATRIZES!$C$11:$BP$11,MIN(N_SEMANAS,MAX(1,$C396)))/DIAS_POR_SEMANA</f>
        <v>0</v>
      </c>
      <c r="N396" s="16" t="n">
        <f aca="false">MIN(CADASTRO_CASAS_BOMBA!$O$9,MAX(0,N395+CADASTRO_CASAS_BOMBA!$I$9*HORAS_CAPTACAO_DIA-M396))</f>
        <v>129000</v>
      </c>
      <c r="O396" s="16" t="n">
        <f aca="false">MAX(0,M396-CADASTRO_CASAS_BOMBA!$I$9*HORAS_CAPTACAO_DIA-N395)</f>
        <v>0</v>
      </c>
      <c r="P396" s="16" t="n">
        <f aca="false">INDEX(AUX_MATRIZES!$C$12:$BP$12,MIN(N_SEMANAS,MAX(1,$C396)))/DIAS_POR_SEMANA</f>
        <v>33356.5741176471</v>
      </c>
      <c r="Q396" s="16" t="n">
        <f aca="false">MIN(CADASTRO_CASAS_BOMBA!$O$10,MAX(0,Q395+CADASTRO_CASAS_BOMBA!$I$10*HORAS_CAPTACAO_DIA-P396))</f>
        <v>0</v>
      </c>
      <c r="R396" s="16" t="n">
        <f aca="false">MAX(0,P396-CADASTRO_CASAS_BOMBA!$I$10*HORAS_CAPTACAO_DIA-Q395)</f>
        <v>20274.1741176471</v>
      </c>
      <c r="S396" s="16" t="n">
        <f aca="false">INDEX(AUX_MATRIZES!$C$13:$BP$13,MIN(N_SEMANAS,MAX(1,$C396)))/DIAS_POR_SEMANA</f>
        <v>29045.8018823529</v>
      </c>
      <c r="T396" s="16" t="n">
        <f aca="false">MIN(CADASTRO_CASAS_BOMBA!$O$11,MAX(0,T395+CADASTRO_CASAS_BOMBA!$I$11*HORAS_CAPTACAO_DIA-S396))</f>
        <v>0</v>
      </c>
      <c r="U396" s="16" t="n">
        <f aca="false">MAX(0,S396-CADASTRO_CASAS_BOMBA!$I$11*HORAS_CAPTACAO_DIA-T395)</f>
        <v>7625.80188235294</v>
      </c>
      <c r="V396" s="16" t="n">
        <f aca="false">INDEX(AUX_MATRIZES!$C$14:$BP$14,MIN(N_SEMANAS,MAX(1,$C396)))/DIAS_POR_SEMANA</f>
        <v>27568.2964705882</v>
      </c>
      <c r="W396" s="16" t="n">
        <f aca="false">MIN(CADASTRO_CASAS_BOMBA!$O$12,MAX(0,W395+CADASTRO_CASAS_BOMBA!$I$12*HORAS_CAPTACAO_DIA-V396))</f>
        <v>0</v>
      </c>
      <c r="X396" s="16" t="n">
        <f aca="false">MAX(0,V396-CADASTRO_CASAS_BOMBA!$I$12*HORAS_CAPTACAO_DIA-W395)</f>
        <v>2188.29647058823</v>
      </c>
      <c r="Y396" s="16" t="n">
        <f aca="false">INDEX(AUX_MATRIZES!$C$15:$BP$15,MIN(N_SEMANAS,MAX(1,$C396)))/DIAS_POR_SEMANA</f>
        <v>0</v>
      </c>
      <c r="Z396" s="16" t="n">
        <f aca="false">MIN(CADASTRO_CASAS_BOMBA!$O$13,MAX(0,Z395+CADASTRO_CASAS_BOMBA!$I$13*HORAS_CAPTACAO_DIA-Y396))</f>
        <v>74903</v>
      </c>
      <c r="AA396" s="16" t="n">
        <f aca="false">MAX(0,Y396-CADASTRO_CASAS_BOMBA!$I$13*HORAS_CAPTACAO_DIA-Z395)</f>
        <v>0</v>
      </c>
    </row>
    <row r="397" customFormat="false" ht="15" hidden="false" customHeight="false" outlineLevel="0" collapsed="false">
      <c r="B397" s="17" t="n">
        <f aca="false">DATA_INICIO_SAFRA+390</f>
        <v>46655</v>
      </c>
      <c r="C397" s="16" t="n">
        <f aca="false">MIN(N_SEMANAS,MAX(1,INT(($B397-DATA_INICIO_SAFRA)/DIAS_POR_SEMANA)+1))</f>
        <v>56</v>
      </c>
      <c r="D397" s="16" t="n">
        <f aca="false">INDEX(AUX_MATRIZES!$C$8:$BP$8,MIN(N_SEMANAS,MAX(1,$C397)))/DIAS_POR_SEMANA</f>
        <v>0</v>
      </c>
      <c r="E397" s="16" t="n">
        <f aca="false">MIN(CADASTRO_CASAS_BOMBA!$O$6,MAX(0,E396+CADASTRO_CASAS_BOMBA!$I$6*HORAS_CAPTACAO_DIA-D397))</f>
        <v>2600</v>
      </c>
      <c r="F397" s="16" t="n">
        <f aca="false">MAX(0,D397-CADASTRO_CASAS_BOMBA!$I$6*HORAS_CAPTACAO_DIA-E396)</f>
        <v>0</v>
      </c>
      <c r="G397" s="16" t="n">
        <f aca="false">INDEX(AUX_MATRIZES!$C$9:$BP$9,MIN(N_SEMANAS,MAX(1,$C397)))/DIAS_POR_SEMANA</f>
        <v>0</v>
      </c>
      <c r="H397" s="16" t="n">
        <f aca="false">MIN(CADASTRO_CASAS_BOMBA!$O$7,MAX(0,H396+CADASTRO_CASAS_BOMBA!$I$7*HORAS_CAPTACAO_DIA-G397))</f>
        <v>76648</v>
      </c>
      <c r="I397" s="16" t="n">
        <f aca="false">MAX(0,G397-CADASTRO_CASAS_BOMBA!$I$7*HORAS_CAPTACAO_DIA-H396)</f>
        <v>0</v>
      </c>
      <c r="J397" s="16" t="n">
        <f aca="false">INDEX(AUX_MATRIZES!$C$10:$BP$10,MIN(N_SEMANAS,MAX(1,$C397)))/DIAS_POR_SEMANA</f>
        <v>0</v>
      </c>
      <c r="K397" s="16" t="n">
        <f aca="false">MIN(CADASTRO_CASAS_BOMBA!$O$8,MAX(0,K396+CADASTRO_CASAS_BOMBA!$I$8*HORAS_CAPTACAO_DIA-J397))</f>
        <v>27377</v>
      </c>
      <c r="L397" s="16" t="n">
        <f aca="false">MAX(0,J397-CADASTRO_CASAS_BOMBA!$I$8*HORAS_CAPTACAO_DIA-K396)</f>
        <v>0</v>
      </c>
      <c r="M397" s="16" t="n">
        <f aca="false">INDEX(AUX_MATRIZES!$C$11:$BP$11,MIN(N_SEMANAS,MAX(1,$C397)))/DIAS_POR_SEMANA</f>
        <v>0</v>
      </c>
      <c r="N397" s="16" t="n">
        <f aca="false">MIN(CADASTRO_CASAS_BOMBA!$O$9,MAX(0,N396+CADASTRO_CASAS_BOMBA!$I$9*HORAS_CAPTACAO_DIA-M397))</f>
        <v>129000</v>
      </c>
      <c r="O397" s="16" t="n">
        <f aca="false">MAX(0,M397-CADASTRO_CASAS_BOMBA!$I$9*HORAS_CAPTACAO_DIA-N396)</f>
        <v>0</v>
      </c>
      <c r="P397" s="16" t="n">
        <f aca="false">INDEX(AUX_MATRIZES!$C$12:$BP$12,MIN(N_SEMANAS,MAX(1,$C397)))/DIAS_POR_SEMANA</f>
        <v>33356.5741176471</v>
      </c>
      <c r="Q397" s="16" t="n">
        <f aca="false">MIN(CADASTRO_CASAS_BOMBA!$O$10,MAX(0,Q396+CADASTRO_CASAS_BOMBA!$I$10*HORAS_CAPTACAO_DIA-P397))</f>
        <v>0</v>
      </c>
      <c r="R397" s="16" t="n">
        <f aca="false">MAX(0,P397-CADASTRO_CASAS_BOMBA!$I$10*HORAS_CAPTACAO_DIA-Q396)</f>
        <v>20274.1741176471</v>
      </c>
      <c r="S397" s="16" t="n">
        <f aca="false">INDEX(AUX_MATRIZES!$C$13:$BP$13,MIN(N_SEMANAS,MAX(1,$C397)))/DIAS_POR_SEMANA</f>
        <v>29045.8018823529</v>
      </c>
      <c r="T397" s="16" t="n">
        <f aca="false">MIN(CADASTRO_CASAS_BOMBA!$O$11,MAX(0,T396+CADASTRO_CASAS_BOMBA!$I$11*HORAS_CAPTACAO_DIA-S397))</f>
        <v>0</v>
      </c>
      <c r="U397" s="16" t="n">
        <f aca="false">MAX(0,S397-CADASTRO_CASAS_BOMBA!$I$11*HORAS_CAPTACAO_DIA-T396)</f>
        <v>7625.80188235294</v>
      </c>
      <c r="V397" s="16" t="n">
        <f aca="false">INDEX(AUX_MATRIZES!$C$14:$BP$14,MIN(N_SEMANAS,MAX(1,$C397)))/DIAS_POR_SEMANA</f>
        <v>27568.2964705882</v>
      </c>
      <c r="W397" s="16" t="n">
        <f aca="false">MIN(CADASTRO_CASAS_BOMBA!$O$12,MAX(0,W396+CADASTRO_CASAS_BOMBA!$I$12*HORAS_CAPTACAO_DIA-V397))</f>
        <v>0</v>
      </c>
      <c r="X397" s="16" t="n">
        <f aca="false">MAX(0,V397-CADASTRO_CASAS_BOMBA!$I$12*HORAS_CAPTACAO_DIA-W396)</f>
        <v>2188.29647058823</v>
      </c>
      <c r="Y397" s="16" t="n">
        <f aca="false">INDEX(AUX_MATRIZES!$C$15:$BP$15,MIN(N_SEMANAS,MAX(1,$C397)))/DIAS_POR_SEMANA</f>
        <v>0</v>
      </c>
      <c r="Z397" s="16" t="n">
        <f aca="false">MIN(CADASTRO_CASAS_BOMBA!$O$13,MAX(0,Z396+CADASTRO_CASAS_BOMBA!$I$13*HORAS_CAPTACAO_DIA-Y397))</f>
        <v>74903</v>
      </c>
      <c r="AA397" s="16" t="n">
        <f aca="false">MAX(0,Y397-CADASTRO_CASAS_BOMBA!$I$13*HORAS_CAPTACAO_DIA-Z396)</f>
        <v>0</v>
      </c>
    </row>
    <row r="398" customFormat="false" ht="15" hidden="false" customHeight="false" outlineLevel="0" collapsed="false">
      <c r="B398" s="17" t="n">
        <f aca="false">DATA_INICIO_SAFRA+391</f>
        <v>46656</v>
      </c>
      <c r="C398" s="16" t="n">
        <f aca="false">MIN(N_SEMANAS,MAX(1,INT(($B398-DATA_INICIO_SAFRA)/DIAS_POR_SEMANA)+1))</f>
        <v>56</v>
      </c>
      <c r="D398" s="16" t="n">
        <f aca="false">INDEX(AUX_MATRIZES!$C$8:$BP$8,MIN(N_SEMANAS,MAX(1,$C398)))/DIAS_POR_SEMANA</f>
        <v>0</v>
      </c>
      <c r="E398" s="16" t="n">
        <f aca="false">MIN(CADASTRO_CASAS_BOMBA!$O$6,MAX(0,E397+CADASTRO_CASAS_BOMBA!$I$6*HORAS_CAPTACAO_DIA-D398))</f>
        <v>2600</v>
      </c>
      <c r="F398" s="16" t="n">
        <f aca="false">MAX(0,D398-CADASTRO_CASAS_BOMBA!$I$6*HORAS_CAPTACAO_DIA-E397)</f>
        <v>0</v>
      </c>
      <c r="G398" s="16" t="n">
        <f aca="false">INDEX(AUX_MATRIZES!$C$9:$BP$9,MIN(N_SEMANAS,MAX(1,$C398)))/DIAS_POR_SEMANA</f>
        <v>0</v>
      </c>
      <c r="H398" s="16" t="n">
        <f aca="false">MIN(CADASTRO_CASAS_BOMBA!$O$7,MAX(0,H397+CADASTRO_CASAS_BOMBA!$I$7*HORAS_CAPTACAO_DIA-G398))</f>
        <v>76648</v>
      </c>
      <c r="I398" s="16" t="n">
        <f aca="false">MAX(0,G398-CADASTRO_CASAS_BOMBA!$I$7*HORAS_CAPTACAO_DIA-H397)</f>
        <v>0</v>
      </c>
      <c r="J398" s="16" t="n">
        <f aca="false">INDEX(AUX_MATRIZES!$C$10:$BP$10,MIN(N_SEMANAS,MAX(1,$C398)))/DIAS_POR_SEMANA</f>
        <v>0</v>
      </c>
      <c r="K398" s="16" t="n">
        <f aca="false">MIN(CADASTRO_CASAS_BOMBA!$O$8,MAX(0,K397+CADASTRO_CASAS_BOMBA!$I$8*HORAS_CAPTACAO_DIA-J398))</f>
        <v>27377</v>
      </c>
      <c r="L398" s="16" t="n">
        <f aca="false">MAX(0,J398-CADASTRO_CASAS_BOMBA!$I$8*HORAS_CAPTACAO_DIA-K397)</f>
        <v>0</v>
      </c>
      <c r="M398" s="16" t="n">
        <f aca="false">INDEX(AUX_MATRIZES!$C$11:$BP$11,MIN(N_SEMANAS,MAX(1,$C398)))/DIAS_POR_SEMANA</f>
        <v>0</v>
      </c>
      <c r="N398" s="16" t="n">
        <f aca="false">MIN(CADASTRO_CASAS_BOMBA!$O$9,MAX(0,N397+CADASTRO_CASAS_BOMBA!$I$9*HORAS_CAPTACAO_DIA-M398))</f>
        <v>129000</v>
      </c>
      <c r="O398" s="16" t="n">
        <f aca="false">MAX(0,M398-CADASTRO_CASAS_BOMBA!$I$9*HORAS_CAPTACAO_DIA-N397)</f>
        <v>0</v>
      </c>
      <c r="P398" s="16" t="n">
        <f aca="false">INDEX(AUX_MATRIZES!$C$12:$BP$12,MIN(N_SEMANAS,MAX(1,$C398)))/DIAS_POR_SEMANA</f>
        <v>33356.5741176471</v>
      </c>
      <c r="Q398" s="16" t="n">
        <f aca="false">MIN(CADASTRO_CASAS_BOMBA!$O$10,MAX(0,Q397+CADASTRO_CASAS_BOMBA!$I$10*HORAS_CAPTACAO_DIA-P398))</f>
        <v>0</v>
      </c>
      <c r="R398" s="16" t="n">
        <f aca="false">MAX(0,P398-CADASTRO_CASAS_BOMBA!$I$10*HORAS_CAPTACAO_DIA-Q397)</f>
        <v>20274.1741176471</v>
      </c>
      <c r="S398" s="16" t="n">
        <f aca="false">INDEX(AUX_MATRIZES!$C$13:$BP$13,MIN(N_SEMANAS,MAX(1,$C398)))/DIAS_POR_SEMANA</f>
        <v>29045.8018823529</v>
      </c>
      <c r="T398" s="16" t="n">
        <f aca="false">MIN(CADASTRO_CASAS_BOMBA!$O$11,MAX(0,T397+CADASTRO_CASAS_BOMBA!$I$11*HORAS_CAPTACAO_DIA-S398))</f>
        <v>0</v>
      </c>
      <c r="U398" s="16" t="n">
        <f aca="false">MAX(0,S398-CADASTRO_CASAS_BOMBA!$I$11*HORAS_CAPTACAO_DIA-T397)</f>
        <v>7625.80188235294</v>
      </c>
      <c r="V398" s="16" t="n">
        <f aca="false">INDEX(AUX_MATRIZES!$C$14:$BP$14,MIN(N_SEMANAS,MAX(1,$C398)))/DIAS_POR_SEMANA</f>
        <v>27568.2964705882</v>
      </c>
      <c r="W398" s="16" t="n">
        <f aca="false">MIN(CADASTRO_CASAS_BOMBA!$O$12,MAX(0,W397+CADASTRO_CASAS_BOMBA!$I$12*HORAS_CAPTACAO_DIA-V398))</f>
        <v>0</v>
      </c>
      <c r="X398" s="16" t="n">
        <f aca="false">MAX(0,V398-CADASTRO_CASAS_BOMBA!$I$12*HORAS_CAPTACAO_DIA-W397)</f>
        <v>2188.29647058823</v>
      </c>
      <c r="Y398" s="16" t="n">
        <f aca="false">INDEX(AUX_MATRIZES!$C$15:$BP$15,MIN(N_SEMANAS,MAX(1,$C398)))/DIAS_POR_SEMANA</f>
        <v>0</v>
      </c>
      <c r="Z398" s="16" t="n">
        <f aca="false">MIN(CADASTRO_CASAS_BOMBA!$O$13,MAX(0,Z397+CADASTRO_CASAS_BOMBA!$I$13*HORAS_CAPTACAO_DIA-Y398))</f>
        <v>74903</v>
      </c>
      <c r="AA398" s="16" t="n">
        <f aca="false">MAX(0,Y398-CADASTRO_CASAS_BOMBA!$I$13*HORAS_CAPTACAO_DIA-Z397)</f>
        <v>0</v>
      </c>
    </row>
    <row r="399" customFormat="false" ht="15" hidden="false" customHeight="false" outlineLevel="0" collapsed="false">
      <c r="B399" s="17" t="n">
        <f aca="false">DATA_INICIO_SAFRA+392</f>
        <v>46657</v>
      </c>
      <c r="C399" s="16" t="n">
        <f aca="false">MIN(N_SEMANAS,MAX(1,INT(($B399-DATA_INICIO_SAFRA)/DIAS_POR_SEMANA)+1))</f>
        <v>57</v>
      </c>
      <c r="D399" s="16" t="n">
        <f aca="false">INDEX(AUX_MATRIZES!$C$8:$BP$8,MIN(N_SEMANAS,MAX(1,$C399)))/DIAS_POR_SEMANA</f>
        <v>0</v>
      </c>
      <c r="E399" s="16" t="n">
        <f aca="false">MIN(CADASTRO_CASAS_BOMBA!$O$6,MAX(0,E398+CADASTRO_CASAS_BOMBA!$I$6*HORAS_CAPTACAO_DIA-D399))</f>
        <v>2600</v>
      </c>
      <c r="F399" s="16" t="n">
        <f aca="false">MAX(0,D399-CADASTRO_CASAS_BOMBA!$I$6*HORAS_CAPTACAO_DIA-E398)</f>
        <v>0</v>
      </c>
      <c r="G399" s="16" t="n">
        <f aca="false">INDEX(AUX_MATRIZES!$C$9:$BP$9,MIN(N_SEMANAS,MAX(1,$C399)))/DIAS_POR_SEMANA</f>
        <v>0</v>
      </c>
      <c r="H399" s="16" t="n">
        <f aca="false">MIN(CADASTRO_CASAS_BOMBA!$O$7,MAX(0,H398+CADASTRO_CASAS_BOMBA!$I$7*HORAS_CAPTACAO_DIA-G399))</f>
        <v>76648</v>
      </c>
      <c r="I399" s="16" t="n">
        <f aca="false">MAX(0,G399-CADASTRO_CASAS_BOMBA!$I$7*HORAS_CAPTACAO_DIA-H398)</f>
        <v>0</v>
      </c>
      <c r="J399" s="16" t="n">
        <f aca="false">INDEX(AUX_MATRIZES!$C$10:$BP$10,MIN(N_SEMANAS,MAX(1,$C399)))/DIAS_POR_SEMANA</f>
        <v>0</v>
      </c>
      <c r="K399" s="16" t="n">
        <f aca="false">MIN(CADASTRO_CASAS_BOMBA!$O$8,MAX(0,K398+CADASTRO_CASAS_BOMBA!$I$8*HORAS_CAPTACAO_DIA-J399))</f>
        <v>27377</v>
      </c>
      <c r="L399" s="16" t="n">
        <f aca="false">MAX(0,J399-CADASTRO_CASAS_BOMBA!$I$8*HORAS_CAPTACAO_DIA-K398)</f>
        <v>0</v>
      </c>
      <c r="M399" s="16" t="n">
        <f aca="false">INDEX(AUX_MATRIZES!$C$11:$BP$11,MIN(N_SEMANAS,MAX(1,$C399)))/DIAS_POR_SEMANA</f>
        <v>0</v>
      </c>
      <c r="N399" s="16" t="n">
        <f aca="false">MIN(CADASTRO_CASAS_BOMBA!$O$9,MAX(0,N398+CADASTRO_CASAS_BOMBA!$I$9*HORAS_CAPTACAO_DIA-M399))</f>
        <v>129000</v>
      </c>
      <c r="O399" s="16" t="n">
        <f aca="false">MAX(0,M399-CADASTRO_CASAS_BOMBA!$I$9*HORAS_CAPTACAO_DIA-N398)</f>
        <v>0</v>
      </c>
      <c r="P399" s="16" t="n">
        <f aca="false">INDEX(AUX_MATRIZES!$C$12:$BP$12,MIN(N_SEMANAS,MAX(1,$C399)))/DIAS_POR_SEMANA</f>
        <v>24865.5431028687</v>
      </c>
      <c r="Q399" s="16" t="n">
        <f aca="false">MIN(CADASTRO_CASAS_BOMBA!$O$10,MAX(0,Q398+CADASTRO_CASAS_BOMBA!$I$10*HORAS_CAPTACAO_DIA-P399))</f>
        <v>0</v>
      </c>
      <c r="R399" s="16" t="n">
        <f aca="false">MAX(0,P399-CADASTRO_CASAS_BOMBA!$I$10*HORAS_CAPTACAO_DIA-Q398)</f>
        <v>11783.1431028687</v>
      </c>
      <c r="S399" s="16" t="n">
        <f aca="false">INDEX(AUX_MATRIZES!$C$13:$BP$13,MIN(N_SEMANAS,MAX(1,$C399)))/DIAS_POR_SEMANA</f>
        <v>22516.4225882353</v>
      </c>
      <c r="T399" s="16" t="n">
        <f aca="false">MIN(CADASTRO_CASAS_BOMBA!$O$11,MAX(0,T398+CADASTRO_CASAS_BOMBA!$I$11*HORAS_CAPTACAO_DIA-S399))</f>
        <v>0</v>
      </c>
      <c r="U399" s="16" t="n">
        <f aca="false">MAX(0,S399-CADASTRO_CASAS_BOMBA!$I$11*HORAS_CAPTACAO_DIA-T398)</f>
        <v>1096.42258823529</v>
      </c>
      <c r="V399" s="16" t="n">
        <f aca="false">INDEX(AUX_MATRIZES!$C$14:$BP$14,MIN(N_SEMANAS,MAX(1,$C399)))/DIAS_POR_SEMANA</f>
        <v>22649.3379495798</v>
      </c>
      <c r="W399" s="16" t="n">
        <f aca="false">MIN(CADASTRO_CASAS_BOMBA!$O$12,MAX(0,W398+CADASTRO_CASAS_BOMBA!$I$12*HORAS_CAPTACAO_DIA-V399))</f>
        <v>2730.66205042017</v>
      </c>
      <c r="X399" s="16" t="n">
        <f aca="false">MAX(0,V399-CADASTRO_CASAS_BOMBA!$I$12*HORAS_CAPTACAO_DIA-W398)</f>
        <v>0</v>
      </c>
      <c r="Y399" s="16" t="n">
        <f aca="false">INDEX(AUX_MATRIZES!$C$15:$BP$15,MIN(N_SEMANAS,MAX(1,$C399)))/DIAS_POR_SEMANA</f>
        <v>0</v>
      </c>
      <c r="Z399" s="16" t="n">
        <f aca="false">MIN(CADASTRO_CASAS_BOMBA!$O$13,MAX(0,Z398+CADASTRO_CASAS_BOMBA!$I$13*HORAS_CAPTACAO_DIA-Y399))</f>
        <v>74903</v>
      </c>
      <c r="AA399" s="16" t="n">
        <f aca="false">MAX(0,Y399-CADASTRO_CASAS_BOMBA!$I$13*HORAS_CAPTACAO_DIA-Z398)</f>
        <v>0</v>
      </c>
    </row>
    <row r="400" customFormat="false" ht="15" hidden="false" customHeight="false" outlineLevel="0" collapsed="false">
      <c r="B400" s="17" t="n">
        <f aca="false">DATA_INICIO_SAFRA+393</f>
        <v>46658</v>
      </c>
      <c r="C400" s="16" t="n">
        <f aca="false">MIN(N_SEMANAS,MAX(1,INT(($B400-DATA_INICIO_SAFRA)/DIAS_POR_SEMANA)+1))</f>
        <v>57</v>
      </c>
      <c r="D400" s="16" t="n">
        <f aca="false">INDEX(AUX_MATRIZES!$C$8:$BP$8,MIN(N_SEMANAS,MAX(1,$C400)))/DIAS_POR_SEMANA</f>
        <v>0</v>
      </c>
      <c r="E400" s="16" t="n">
        <f aca="false">MIN(CADASTRO_CASAS_BOMBA!$O$6,MAX(0,E399+CADASTRO_CASAS_BOMBA!$I$6*HORAS_CAPTACAO_DIA-D400))</f>
        <v>2600</v>
      </c>
      <c r="F400" s="16" t="n">
        <f aca="false">MAX(0,D400-CADASTRO_CASAS_BOMBA!$I$6*HORAS_CAPTACAO_DIA-E399)</f>
        <v>0</v>
      </c>
      <c r="G400" s="16" t="n">
        <f aca="false">INDEX(AUX_MATRIZES!$C$9:$BP$9,MIN(N_SEMANAS,MAX(1,$C400)))/DIAS_POR_SEMANA</f>
        <v>0</v>
      </c>
      <c r="H400" s="16" t="n">
        <f aca="false">MIN(CADASTRO_CASAS_BOMBA!$O$7,MAX(0,H399+CADASTRO_CASAS_BOMBA!$I$7*HORAS_CAPTACAO_DIA-G400))</f>
        <v>76648</v>
      </c>
      <c r="I400" s="16" t="n">
        <f aca="false">MAX(0,G400-CADASTRO_CASAS_BOMBA!$I$7*HORAS_CAPTACAO_DIA-H399)</f>
        <v>0</v>
      </c>
      <c r="J400" s="16" t="n">
        <f aca="false">INDEX(AUX_MATRIZES!$C$10:$BP$10,MIN(N_SEMANAS,MAX(1,$C400)))/DIAS_POR_SEMANA</f>
        <v>0</v>
      </c>
      <c r="K400" s="16" t="n">
        <f aca="false">MIN(CADASTRO_CASAS_BOMBA!$O$8,MAX(0,K399+CADASTRO_CASAS_BOMBA!$I$8*HORAS_CAPTACAO_DIA-J400))</f>
        <v>27377</v>
      </c>
      <c r="L400" s="16" t="n">
        <f aca="false">MAX(0,J400-CADASTRO_CASAS_BOMBA!$I$8*HORAS_CAPTACAO_DIA-K399)</f>
        <v>0</v>
      </c>
      <c r="M400" s="16" t="n">
        <f aca="false">INDEX(AUX_MATRIZES!$C$11:$BP$11,MIN(N_SEMANAS,MAX(1,$C400)))/DIAS_POR_SEMANA</f>
        <v>0</v>
      </c>
      <c r="N400" s="16" t="n">
        <f aca="false">MIN(CADASTRO_CASAS_BOMBA!$O$9,MAX(0,N399+CADASTRO_CASAS_BOMBA!$I$9*HORAS_CAPTACAO_DIA-M400))</f>
        <v>129000</v>
      </c>
      <c r="O400" s="16" t="n">
        <f aca="false">MAX(0,M400-CADASTRO_CASAS_BOMBA!$I$9*HORAS_CAPTACAO_DIA-N399)</f>
        <v>0</v>
      </c>
      <c r="P400" s="16" t="n">
        <f aca="false">INDEX(AUX_MATRIZES!$C$12:$BP$12,MIN(N_SEMANAS,MAX(1,$C400)))/DIAS_POR_SEMANA</f>
        <v>24865.5431028687</v>
      </c>
      <c r="Q400" s="16" t="n">
        <f aca="false">MIN(CADASTRO_CASAS_BOMBA!$O$10,MAX(0,Q399+CADASTRO_CASAS_BOMBA!$I$10*HORAS_CAPTACAO_DIA-P400))</f>
        <v>0</v>
      </c>
      <c r="R400" s="16" t="n">
        <f aca="false">MAX(0,P400-CADASTRO_CASAS_BOMBA!$I$10*HORAS_CAPTACAO_DIA-Q399)</f>
        <v>11783.1431028687</v>
      </c>
      <c r="S400" s="16" t="n">
        <f aca="false">INDEX(AUX_MATRIZES!$C$13:$BP$13,MIN(N_SEMANAS,MAX(1,$C400)))/DIAS_POR_SEMANA</f>
        <v>22516.4225882353</v>
      </c>
      <c r="T400" s="16" t="n">
        <f aca="false">MIN(CADASTRO_CASAS_BOMBA!$O$11,MAX(0,T399+CADASTRO_CASAS_BOMBA!$I$11*HORAS_CAPTACAO_DIA-S400))</f>
        <v>0</v>
      </c>
      <c r="U400" s="16" t="n">
        <f aca="false">MAX(0,S400-CADASTRO_CASAS_BOMBA!$I$11*HORAS_CAPTACAO_DIA-T399)</f>
        <v>1096.42258823529</v>
      </c>
      <c r="V400" s="16" t="n">
        <f aca="false">INDEX(AUX_MATRIZES!$C$14:$BP$14,MIN(N_SEMANAS,MAX(1,$C400)))/DIAS_POR_SEMANA</f>
        <v>22649.3379495798</v>
      </c>
      <c r="W400" s="16" t="n">
        <f aca="false">MIN(CADASTRO_CASAS_BOMBA!$O$12,MAX(0,W399+CADASTRO_CASAS_BOMBA!$I$12*HORAS_CAPTACAO_DIA-V400))</f>
        <v>5461.32410084034</v>
      </c>
      <c r="X400" s="16" t="n">
        <f aca="false">MAX(0,V400-CADASTRO_CASAS_BOMBA!$I$12*HORAS_CAPTACAO_DIA-W399)</f>
        <v>0</v>
      </c>
      <c r="Y400" s="16" t="n">
        <f aca="false">INDEX(AUX_MATRIZES!$C$15:$BP$15,MIN(N_SEMANAS,MAX(1,$C400)))/DIAS_POR_SEMANA</f>
        <v>0</v>
      </c>
      <c r="Z400" s="16" t="n">
        <f aca="false">MIN(CADASTRO_CASAS_BOMBA!$O$13,MAX(0,Z399+CADASTRO_CASAS_BOMBA!$I$13*HORAS_CAPTACAO_DIA-Y400))</f>
        <v>74903</v>
      </c>
      <c r="AA400" s="16" t="n">
        <f aca="false">MAX(0,Y400-CADASTRO_CASAS_BOMBA!$I$13*HORAS_CAPTACAO_DIA-Z399)</f>
        <v>0</v>
      </c>
    </row>
    <row r="401" customFormat="false" ht="15" hidden="false" customHeight="false" outlineLevel="0" collapsed="false">
      <c r="B401" s="17" t="n">
        <f aca="false">DATA_INICIO_SAFRA+394</f>
        <v>46659</v>
      </c>
      <c r="C401" s="16" t="n">
        <f aca="false">MIN(N_SEMANAS,MAX(1,INT(($B401-DATA_INICIO_SAFRA)/DIAS_POR_SEMANA)+1))</f>
        <v>57</v>
      </c>
      <c r="D401" s="16" t="n">
        <f aca="false">INDEX(AUX_MATRIZES!$C$8:$BP$8,MIN(N_SEMANAS,MAX(1,$C401)))/DIAS_POR_SEMANA</f>
        <v>0</v>
      </c>
      <c r="E401" s="16" t="n">
        <f aca="false">MIN(CADASTRO_CASAS_BOMBA!$O$6,MAX(0,E400+CADASTRO_CASAS_BOMBA!$I$6*HORAS_CAPTACAO_DIA-D401))</f>
        <v>2600</v>
      </c>
      <c r="F401" s="16" t="n">
        <f aca="false">MAX(0,D401-CADASTRO_CASAS_BOMBA!$I$6*HORAS_CAPTACAO_DIA-E400)</f>
        <v>0</v>
      </c>
      <c r="G401" s="16" t="n">
        <f aca="false">INDEX(AUX_MATRIZES!$C$9:$BP$9,MIN(N_SEMANAS,MAX(1,$C401)))/DIAS_POR_SEMANA</f>
        <v>0</v>
      </c>
      <c r="H401" s="16" t="n">
        <f aca="false">MIN(CADASTRO_CASAS_BOMBA!$O$7,MAX(0,H400+CADASTRO_CASAS_BOMBA!$I$7*HORAS_CAPTACAO_DIA-G401))</f>
        <v>76648</v>
      </c>
      <c r="I401" s="16" t="n">
        <f aca="false">MAX(0,G401-CADASTRO_CASAS_BOMBA!$I$7*HORAS_CAPTACAO_DIA-H400)</f>
        <v>0</v>
      </c>
      <c r="J401" s="16" t="n">
        <f aca="false">INDEX(AUX_MATRIZES!$C$10:$BP$10,MIN(N_SEMANAS,MAX(1,$C401)))/DIAS_POR_SEMANA</f>
        <v>0</v>
      </c>
      <c r="K401" s="16" t="n">
        <f aca="false">MIN(CADASTRO_CASAS_BOMBA!$O$8,MAX(0,K400+CADASTRO_CASAS_BOMBA!$I$8*HORAS_CAPTACAO_DIA-J401))</f>
        <v>27377</v>
      </c>
      <c r="L401" s="16" t="n">
        <f aca="false">MAX(0,J401-CADASTRO_CASAS_BOMBA!$I$8*HORAS_CAPTACAO_DIA-K400)</f>
        <v>0</v>
      </c>
      <c r="M401" s="16" t="n">
        <f aca="false">INDEX(AUX_MATRIZES!$C$11:$BP$11,MIN(N_SEMANAS,MAX(1,$C401)))/DIAS_POR_SEMANA</f>
        <v>0</v>
      </c>
      <c r="N401" s="16" t="n">
        <f aca="false">MIN(CADASTRO_CASAS_BOMBA!$O$9,MAX(0,N400+CADASTRO_CASAS_BOMBA!$I$9*HORAS_CAPTACAO_DIA-M401))</f>
        <v>129000</v>
      </c>
      <c r="O401" s="16" t="n">
        <f aca="false">MAX(0,M401-CADASTRO_CASAS_BOMBA!$I$9*HORAS_CAPTACAO_DIA-N400)</f>
        <v>0</v>
      </c>
      <c r="P401" s="16" t="n">
        <f aca="false">INDEX(AUX_MATRIZES!$C$12:$BP$12,MIN(N_SEMANAS,MAX(1,$C401)))/DIAS_POR_SEMANA</f>
        <v>24865.5431028687</v>
      </c>
      <c r="Q401" s="16" t="n">
        <f aca="false">MIN(CADASTRO_CASAS_BOMBA!$O$10,MAX(0,Q400+CADASTRO_CASAS_BOMBA!$I$10*HORAS_CAPTACAO_DIA-P401))</f>
        <v>0</v>
      </c>
      <c r="R401" s="16" t="n">
        <f aca="false">MAX(0,P401-CADASTRO_CASAS_BOMBA!$I$10*HORAS_CAPTACAO_DIA-Q400)</f>
        <v>11783.1431028687</v>
      </c>
      <c r="S401" s="16" t="n">
        <f aca="false">INDEX(AUX_MATRIZES!$C$13:$BP$13,MIN(N_SEMANAS,MAX(1,$C401)))/DIAS_POR_SEMANA</f>
        <v>22516.4225882353</v>
      </c>
      <c r="T401" s="16" t="n">
        <f aca="false">MIN(CADASTRO_CASAS_BOMBA!$O$11,MAX(0,T400+CADASTRO_CASAS_BOMBA!$I$11*HORAS_CAPTACAO_DIA-S401))</f>
        <v>0</v>
      </c>
      <c r="U401" s="16" t="n">
        <f aca="false">MAX(0,S401-CADASTRO_CASAS_BOMBA!$I$11*HORAS_CAPTACAO_DIA-T400)</f>
        <v>1096.42258823529</v>
      </c>
      <c r="V401" s="16" t="n">
        <f aca="false">INDEX(AUX_MATRIZES!$C$14:$BP$14,MIN(N_SEMANAS,MAX(1,$C401)))/DIAS_POR_SEMANA</f>
        <v>22649.3379495798</v>
      </c>
      <c r="W401" s="16" t="n">
        <f aca="false">MIN(CADASTRO_CASAS_BOMBA!$O$12,MAX(0,W400+CADASTRO_CASAS_BOMBA!$I$12*HORAS_CAPTACAO_DIA-V401))</f>
        <v>8191.9861512605</v>
      </c>
      <c r="X401" s="16" t="n">
        <f aca="false">MAX(0,V401-CADASTRO_CASAS_BOMBA!$I$12*HORAS_CAPTACAO_DIA-W400)</f>
        <v>0</v>
      </c>
      <c r="Y401" s="16" t="n">
        <f aca="false">INDEX(AUX_MATRIZES!$C$15:$BP$15,MIN(N_SEMANAS,MAX(1,$C401)))/DIAS_POR_SEMANA</f>
        <v>0</v>
      </c>
      <c r="Z401" s="16" t="n">
        <f aca="false">MIN(CADASTRO_CASAS_BOMBA!$O$13,MAX(0,Z400+CADASTRO_CASAS_BOMBA!$I$13*HORAS_CAPTACAO_DIA-Y401))</f>
        <v>74903</v>
      </c>
      <c r="AA401" s="16" t="n">
        <f aca="false">MAX(0,Y401-CADASTRO_CASAS_BOMBA!$I$13*HORAS_CAPTACAO_DIA-Z400)</f>
        <v>0</v>
      </c>
    </row>
    <row r="402" customFormat="false" ht="15" hidden="false" customHeight="false" outlineLevel="0" collapsed="false">
      <c r="B402" s="17" t="n">
        <f aca="false">DATA_INICIO_SAFRA+395</f>
        <v>46660</v>
      </c>
      <c r="C402" s="16" t="n">
        <f aca="false">MIN(N_SEMANAS,MAX(1,INT(($B402-DATA_INICIO_SAFRA)/DIAS_POR_SEMANA)+1))</f>
        <v>57</v>
      </c>
      <c r="D402" s="16" t="n">
        <f aca="false">INDEX(AUX_MATRIZES!$C$8:$BP$8,MIN(N_SEMANAS,MAX(1,$C402)))/DIAS_POR_SEMANA</f>
        <v>0</v>
      </c>
      <c r="E402" s="16" t="n">
        <f aca="false">MIN(CADASTRO_CASAS_BOMBA!$O$6,MAX(0,E401+CADASTRO_CASAS_BOMBA!$I$6*HORAS_CAPTACAO_DIA-D402))</f>
        <v>2600</v>
      </c>
      <c r="F402" s="16" t="n">
        <f aca="false">MAX(0,D402-CADASTRO_CASAS_BOMBA!$I$6*HORAS_CAPTACAO_DIA-E401)</f>
        <v>0</v>
      </c>
      <c r="G402" s="16" t="n">
        <f aca="false">INDEX(AUX_MATRIZES!$C$9:$BP$9,MIN(N_SEMANAS,MAX(1,$C402)))/DIAS_POR_SEMANA</f>
        <v>0</v>
      </c>
      <c r="H402" s="16" t="n">
        <f aca="false">MIN(CADASTRO_CASAS_BOMBA!$O$7,MAX(0,H401+CADASTRO_CASAS_BOMBA!$I$7*HORAS_CAPTACAO_DIA-G402))</f>
        <v>76648</v>
      </c>
      <c r="I402" s="16" t="n">
        <f aca="false">MAX(0,G402-CADASTRO_CASAS_BOMBA!$I$7*HORAS_CAPTACAO_DIA-H401)</f>
        <v>0</v>
      </c>
      <c r="J402" s="16" t="n">
        <f aca="false">INDEX(AUX_MATRIZES!$C$10:$BP$10,MIN(N_SEMANAS,MAX(1,$C402)))/DIAS_POR_SEMANA</f>
        <v>0</v>
      </c>
      <c r="K402" s="16" t="n">
        <f aca="false">MIN(CADASTRO_CASAS_BOMBA!$O$8,MAX(0,K401+CADASTRO_CASAS_BOMBA!$I$8*HORAS_CAPTACAO_DIA-J402))</f>
        <v>27377</v>
      </c>
      <c r="L402" s="16" t="n">
        <f aca="false">MAX(0,J402-CADASTRO_CASAS_BOMBA!$I$8*HORAS_CAPTACAO_DIA-K401)</f>
        <v>0</v>
      </c>
      <c r="M402" s="16" t="n">
        <f aca="false">INDEX(AUX_MATRIZES!$C$11:$BP$11,MIN(N_SEMANAS,MAX(1,$C402)))/DIAS_POR_SEMANA</f>
        <v>0</v>
      </c>
      <c r="N402" s="16" t="n">
        <f aca="false">MIN(CADASTRO_CASAS_BOMBA!$O$9,MAX(0,N401+CADASTRO_CASAS_BOMBA!$I$9*HORAS_CAPTACAO_DIA-M402))</f>
        <v>129000</v>
      </c>
      <c r="O402" s="16" t="n">
        <f aca="false">MAX(0,M402-CADASTRO_CASAS_BOMBA!$I$9*HORAS_CAPTACAO_DIA-N401)</f>
        <v>0</v>
      </c>
      <c r="P402" s="16" t="n">
        <f aca="false">INDEX(AUX_MATRIZES!$C$12:$BP$12,MIN(N_SEMANAS,MAX(1,$C402)))/DIAS_POR_SEMANA</f>
        <v>24865.5431028687</v>
      </c>
      <c r="Q402" s="16" t="n">
        <f aca="false">MIN(CADASTRO_CASAS_BOMBA!$O$10,MAX(0,Q401+CADASTRO_CASAS_BOMBA!$I$10*HORAS_CAPTACAO_DIA-P402))</f>
        <v>0</v>
      </c>
      <c r="R402" s="16" t="n">
        <f aca="false">MAX(0,P402-CADASTRO_CASAS_BOMBA!$I$10*HORAS_CAPTACAO_DIA-Q401)</f>
        <v>11783.1431028687</v>
      </c>
      <c r="S402" s="16" t="n">
        <f aca="false">INDEX(AUX_MATRIZES!$C$13:$BP$13,MIN(N_SEMANAS,MAX(1,$C402)))/DIAS_POR_SEMANA</f>
        <v>22516.4225882353</v>
      </c>
      <c r="T402" s="16" t="n">
        <f aca="false">MIN(CADASTRO_CASAS_BOMBA!$O$11,MAX(0,T401+CADASTRO_CASAS_BOMBA!$I$11*HORAS_CAPTACAO_DIA-S402))</f>
        <v>0</v>
      </c>
      <c r="U402" s="16" t="n">
        <f aca="false">MAX(0,S402-CADASTRO_CASAS_BOMBA!$I$11*HORAS_CAPTACAO_DIA-T401)</f>
        <v>1096.42258823529</v>
      </c>
      <c r="V402" s="16" t="n">
        <f aca="false">INDEX(AUX_MATRIZES!$C$14:$BP$14,MIN(N_SEMANAS,MAX(1,$C402)))/DIAS_POR_SEMANA</f>
        <v>22649.3379495798</v>
      </c>
      <c r="W402" s="16" t="n">
        <f aca="false">MIN(CADASTRO_CASAS_BOMBA!$O$12,MAX(0,W401+CADASTRO_CASAS_BOMBA!$I$12*HORAS_CAPTACAO_DIA-V402))</f>
        <v>10922.6482016807</v>
      </c>
      <c r="X402" s="16" t="n">
        <f aca="false">MAX(0,V402-CADASTRO_CASAS_BOMBA!$I$12*HORAS_CAPTACAO_DIA-W401)</f>
        <v>0</v>
      </c>
      <c r="Y402" s="16" t="n">
        <f aca="false">INDEX(AUX_MATRIZES!$C$15:$BP$15,MIN(N_SEMANAS,MAX(1,$C402)))/DIAS_POR_SEMANA</f>
        <v>0</v>
      </c>
      <c r="Z402" s="16" t="n">
        <f aca="false">MIN(CADASTRO_CASAS_BOMBA!$O$13,MAX(0,Z401+CADASTRO_CASAS_BOMBA!$I$13*HORAS_CAPTACAO_DIA-Y402))</f>
        <v>74903</v>
      </c>
      <c r="AA402" s="16" t="n">
        <f aca="false">MAX(0,Y402-CADASTRO_CASAS_BOMBA!$I$13*HORAS_CAPTACAO_DIA-Z401)</f>
        <v>0</v>
      </c>
    </row>
    <row r="403" customFormat="false" ht="15" hidden="false" customHeight="false" outlineLevel="0" collapsed="false">
      <c r="B403" s="17" t="n">
        <f aca="false">DATA_INICIO_SAFRA+396</f>
        <v>46661</v>
      </c>
      <c r="C403" s="16" t="n">
        <f aca="false">MIN(N_SEMANAS,MAX(1,INT(($B403-DATA_INICIO_SAFRA)/DIAS_POR_SEMANA)+1))</f>
        <v>57</v>
      </c>
      <c r="D403" s="16" t="n">
        <f aca="false">INDEX(AUX_MATRIZES!$C$8:$BP$8,MIN(N_SEMANAS,MAX(1,$C403)))/DIAS_POR_SEMANA</f>
        <v>0</v>
      </c>
      <c r="E403" s="16" t="n">
        <f aca="false">MIN(CADASTRO_CASAS_BOMBA!$O$6,MAX(0,E402+CADASTRO_CASAS_BOMBA!$I$6*HORAS_CAPTACAO_DIA-D403))</f>
        <v>2600</v>
      </c>
      <c r="F403" s="16" t="n">
        <f aca="false">MAX(0,D403-CADASTRO_CASAS_BOMBA!$I$6*HORAS_CAPTACAO_DIA-E402)</f>
        <v>0</v>
      </c>
      <c r="G403" s="16" t="n">
        <f aca="false">INDEX(AUX_MATRIZES!$C$9:$BP$9,MIN(N_SEMANAS,MAX(1,$C403)))/DIAS_POR_SEMANA</f>
        <v>0</v>
      </c>
      <c r="H403" s="16" t="n">
        <f aca="false">MIN(CADASTRO_CASAS_BOMBA!$O$7,MAX(0,H402+CADASTRO_CASAS_BOMBA!$I$7*HORAS_CAPTACAO_DIA-G403))</f>
        <v>76648</v>
      </c>
      <c r="I403" s="16" t="n">
        <f aca="false">MAX(0,G403-CADASTRO_CASAS_BOMBA!$I$7*HORAS_CAPTACAO_DIA-H402)</f>
        <v>0</v>
      </c>
      <c r="J403" s="16" t="n">
        <f aca="false">INDEX(AUX_MATRIZES!$C$10:$BP$10,MIN(N_SEMANAS,MAX(1,$C403)))/DIAS_POR_SEMANA</f>
        <v>0</v>
      </c>
      <c r="K403" s="16" t="n">
        <f aca="false">MIN(CADASTRO_CASAS_BOMBA!$O$8,MAX(0,K402+CADASTRO_CASAS_BOMBA!$I$8*HORAS_CAPTACAO_DIA-J403))</f>
        <v>27377</v>
      </c>
      <c r="L403" s="16" t="n">
        <f aca="false">MAX(0,J403-CADASTRO_CASAS_BOMBA!$I$8*HORAS_CAPTACAO_DIA-K402)</f>
        <v>0</v>
      </c>
      <c r="M403" s="16" t="n">
        <f aca="false">INDEX(AUX_MATRIZES!$C$11:$BP$11,MIN(N_SEMANAS,MAX(1,$C403)))/DIAS_POR_SEMANA</f>
        <v>0</v>
      </c>
      <c r="N403" s="16" t="n">
        <f aca="false">MIN(CADASTRO_CASAS_BOMBA!$O$9,MAX(0,N402+CADASTRO_CASAS_BOMBA!$I$9*HORAS_CAPTACAO_DIA-M403))</f>
        <v>129000</v>
      </c>
      <c r="O403" s="16" t="n">
        <f aca="false">MAX(0,M403-CADASTRO_CASAS_BOMBA!$I$9*HORAS_CAPTACAO_DIA-N402)</f>
        <v>0</v>
      </c>
      <c r="P403" s="16" t="n">
        <f aca="false">INDEX(AUX_MATRIZES!$C$12:$BP$12,MIN(N_SEMANAS,MAX(1,$C403)))/DIAS_POR_SEMANA</f>
        <v>24865.5431028687</v>
      </c>
      <c r="Q403" s="16" t="n">
        <f aca="false">MIN(CADASTRO_CASAS_BOMBA!$O$10,MAX(0,Q402+CADASTRO_CASAS_BOMBA!$I$10*HORAS_CAPTACAO_DIA-P403))</f>
        <v>0</v>
      </c>
      <c r="R403" s="16" t="n">
        <f aca="false">MAX(0,P403-CADASTRO_CASAS_BOMBA!$I$10*HORAS_CAPTACAO_DIA-Q402)</f>
        <v>11783.1431028687</v>
      </c>
      <c r="S403" s="16" t="n">
        <f aca="false">INDEX(AUX_MATRIZES!$C$13:$BP$13,MIN(N_SEMANAS,MAX(1,$C403)))/DIAS_POR_SEMANA</f>
        <v>22516.4225882353</v>
      </c>
      <c r="T403" s="16" t="n">
        <f aca="false">MIN(CADASTRO_CASAS_BOMBA!$O$11,MAX(0,T402+CADASTRO_CASAS_BOMBA!$I$11*HORAS_CAPTACAO_DIA-S403))</f>
        <v>0</v>
      </c>
      <c r="U403" s="16" t="n">
        <f aca="false">MAX(0,S403-CADASTRO_CASAS_BOMBA!$I$11*HORAS_CAPTACAO_DIA-T402)</f>
        <v>1096.42258823529</v>
      </c>
      <c r="V403" s="16" t="n">
        <f aca="false">INDEX(AUX_MATRIZES!$C$14:$BP$14,MIN(N_SEMANAS,MAX(1,$C403)))/DIAS_POR_SEMANA</f>
        <v>22649.3379495798</v>
      </c>
      <c r="W403" s="16" t="n">
        <f aca="false">MIN(CADASTRO_CASAS_BOMBA!$O$12,MAX(0,W402+CADASTRO_CASAS_BOMBA!$I$12*HORAS_CAPTACAO_DIA-V403))</f>
        <v>13653.3102521008</v>
      </c>
      <c r="X403" s="16" t="n">
        <f aca="false">MAX(0,V403-CADASTRO_CASAS_BOMBA!$I$12*HORAS_CAPTACAO_DIA-W402)</f>
        <v>0</v>
      </c>
      <c r="Y403" s="16" t="n">
        <f aca="false">INDEX(AUX_MATRIZES!$C$15:$BP$15,MIN(N_SEMANAS,MAX(1,$C403)))/DIAS_POR_SEMANA</f>
        <v>0</v>
      </c>
      <c r="Z403" s="16" t="n">
        <f aca="false">MIN(CADASTRO_CASAS_BOMBA!$O$13,MAX(0,Z402+CADASTRO_CASAS_BOMBA!$I$13*HORAS_CAPTACAO_DIA-Y403))</f>
        <v>74903</v>
      </c>
      <c r="AA403" s="16" t="n">
        <f aca="false">MAX(0,Y403-CADASTRO_CASAS_BOMBA!$I$13*HORAS_CAPTACAO_DIA-Z402)</f>
        <v>0</v>
      </c>
    </row>
    <row r="404" customFormat="false" ht="15" hidden="false" customHeight="false" outlineLevel="0" collapsed="false">
      <c r="B404" s="17" t="n">
        <f aca="false">DATA_INICIO_SAFRA+397</f>
        <v>46662</v>
      </c>
      <c r="C404" s="16" t="n">
        <f aca="false">MIN(N_SEMANAS,MAX(1,INT(($B404-DATA_INICIO_SAFRA)/DIAS_POR_SEMANA)+1))</f>
        <v>57</v>
      </c>
      <c r="D404" s="16" t="n">
        <f aca="false">INDEX(AUX_MATRIZES!$C$8:$BP$8,MIN(N_SEMANAS,MAX(1,$C404)))/DIAS_POR_SEMANA</f>
        <v>0</v>
      </c>
      <c r="E404" s="16" t="n">
        <f aca="false">MIN(CADASTRO_CASAS_BOMBA!$O$6,MAX(0,E403+CADASTRO_CASAS_BOMBA!$I$6*HORAS_CAPTACAO_DIA-D404))</f>
        <v>2600</v>
      </c>
      <c r="F404" s="16" t="n">
        <f aca="false">MAX(0,D404-CADASTRO_CASAS_BOMBA!$I$6*HORAS_CAPTACAO_DIA-E403)</f>
        <v>0</v>
      </c>
      <c r="G404" s="16" t="n">
        <f aca="false">INDEX(AUX_MATRIZES!$C$9:$BP$9,MIN(N_SEMANAS,MAX(1,$C404)))/DIAS_POR_SEMANA</f>
        <v>0</v>
      </c>
      <c r="H404" s="16" t="n">
        <f aca="false">MIN(CADASTRO_CASAS_BOMBA!$O$7,MAX(0,H403+CADASTRO_CASAS_BOMBA!$I$7*HORAS_CAPTACAO_DIA-G404))</f>
        <v>76648</v>
      </c>
      <c r="I404" s="16" t="n">
        <f aca="false">MAX(0,G404-CADASTRO_CASAS_BOMBA!$I$7*HORAS_CAPTACAO_DIA-H403)</f>
        <v>0</v>
      </c>
      <c r="J404" s="16" t="n">
        <f aca="false">INDEX(AUX_MATRIZES!$C$10:$BP$10,MIN(N_SEMANAS,MAX(1,$C404)))/DIAS_POR_SEMANA</f>
        <v>0</v>
      </c>
      <c r="K404" s="16" t="n">
        <f aca="false">MIN(CADASTRO_CASAS_BOMBA!$O$8,MAX(0,K403+CADASTRO_CASAS_BOMBA!$I$8*HORAS_CAPTACAO_DIA-J404))</f>
        <v>27377</v>
      </c>
      <c r="L404" s="16" t="n">
        <f aca="false">MAX(0,J404-CADASTRO_CASAS_BOMBA!$I$8*HORAS_CAPTACAO_DIA-K403)</f>
        <v>0</v>
      </c>
      <c r="M404" s="16" t="n">
        <f aca="false">INDEX(AUX_MATRIZES!$C$11:$BP$11,MIN(N_SEMANAS,MAX(1,$C404)))/DIAS_POR_SEMANA</f>
        <v>0</v>
      </c>
      <c r="N404" s="16" t="n">
        <f aca="false">MIN(CADASTRO_CASAS_BOMBA!$O$9,MAX(0,N403+CADASTRO_CASAS_BOMBA!$I$9*HORAS_CAPTACAO_DIA-M404))</f>
        <v>129000</v>
      </c>
      <c r="O404" s="16" t="n">
        <f aca="false">MAX(0,M404-CADASTRO_CASAS_BOMBA!$I$9*HORAS_CAPTACAO_DIA-N403)</f>
        <v>0</v>
      </c>
      <c r="P404" s="16" t="n">
        <f aca="false">INDEX(AUX_MATRIZES!$C$12:$BP$12,MIN(N_SEMANAS,MAX(1,$C404)))/DIAS_POR_SEMANA</f>
        <v>24865.5431028687</v>
      </c>
      <c r="Q404" s="16" t="n">
        <f aca="false">MIN(CADASTRO_CASAS_BOMBA!$O$10,MAX(0,Q403+CADASTRO_CASAS_BOMBA!$I$10*HORAS_CAPTACAO_DIA-P404))</f>
        <v>0</v>
      </c>
      <c r="R404" s="16" t="n">
        <f aca="false">MAX(0,P404-CADASTRO_CASAS_BOMBA!$I$10*HORAS_CAPTACAO_DIA-Q403)</f>
        <v>11783.1431028687</v>
      </c>
      <c r="S404" s="16" t="n">
        <f aca="false">INDEX(AUX_MATRIZES!$C$13:$BP$13,MIN(N_SEMANAS,MAX(1,$C404)))/DIAS_POR_SEMANA</f>
        <v>22516.4225882353</v>
      </c>
      <c r="T404" s="16" t="n">
        <f aca="false">MIN(CADASTRO_CASAS_BOMBA!$O$11,MAX(0,T403+CADASTRO_CASAS_BOMBA!$I$11*HORAS_CAPTACAO_DIA-S404))</f>
        <v>0</v>
      </c>
      <c r="U404" s="16" t="n">
        <f aca="false">MAX(0,S404-CADASTRO_CASAS_BOMBA!$I$11*HORAS_CAPTACAO_DIA-T403)</f>
        <v>1096.42258823529</v>
      </c>
      <c r="V404" s="16" t="n">
        <f aca="false">INDEX(AUX_MATRIZES!$C$14:$BP$14,MIN(N_SEMANAS,MAX(1,$C404)))/DIAS_POR_SEMANA</f>
        <v>22649.3379495798</v>
      </c>
      <c r="W404" s="16" t="n">
        <f aca="false">MIN(CADASTRO_CASAS_BOMBA!$O$12,MAX(0,W403+CADASTRO_CASAS_BOMBA!$I$12*HORAS_CAPTACAO_DIA-V404))</f>
        <v>16383.972302521</v>
      </c>
      <c r="X404" s="16" t="n">
        <f aca="false">MAX(0,V404-CADASTRO_CASAS_BOMBA!$I$12*HORAS_CAPTACAO_DIA-W403)</f>
        <v>0</v>
      </c>
      <c r="Y404" s="16" t="n">
        <f aca="false">INDEX(AUX_MATRIZES!$C$15:$BP$15,MIN(N_SEMANAS,MAX(1,$C404)))/DIAS_POR_SEMANA</f>
        <v>0</v>
      </c>
      <c r="Z404" s="16" t="n">
        <f aca="false">MIN(CADASTRO_CASAS_BOMBA!$O$13,MAX(0,Z403+CADASTRO_CASAS_BOMBA!$I$13*HORAS_CAPTACAO_DIA-Y404))</f>
        <v>74903</v>
      </c>
      <c r="AA404" s="16" t="n">
        <f aca="false">MAX(0,Y404-CADASTRO_CASAS_BOMBA!$I$13*HORAS_CAPTACAO_DIA-Z403)</f>
        <v>0</v>
      </c>
    </row>
    <row r="405" customFormat="false" ht="15" hidden="false" customHeight="false" outlineLevel="0" collapsed="false">
      <c r="B405" s="17" t="n">
        <f aca="false">DATA_INICIO_SAFRA+398</f>
        <v>46663</v>
      </c>
      <c r="C405" s="16" t="n">
        <f aca="false">MIN(N_SEMANAS,MAX(1,INT(($B405-DATA_INICIO_SAFRA)/DIAS_POR_SEMANA)+1))</f>
        <v>57</v>
      </c>
      <c r="D405" s="16" t="n">
        <f aca="false">INDEX(AUX_MATRIZES!$C$8:$BP$8,MIN(N_SEMANAS,MAX(1,$C405)))/DIAS_POR_SEMANA</f>
        <v>0</v>
      </c>
      <c r="E405" s="16" t="n">
        <f aca="false">MIN(CADASTRO_CASAS_BOMBA!$O$6,MAX(0,E404+CADASTRO_CASAS_BOMBA!$I$6*HORAS_CAPTACAO_DIA-D405))</f>
        <v>2600</v>
      </c>
      <c r="F405" s="16" t="n">
        <f aca="false">MAX(0,D405-CADASTRO_CASAS_BOMBA!$I$6*HORAS_CAPTACAO_DIA-E404)</f>
        <v>0</v>
      </c>
      <c r="G405" s="16" t="n">
        <f aca="false">INDEX(AUX_MATRIZES!$C$9:$BP$9,MIN(N_SEMANAS,MAX(1,$C405)))/DIAS_POR_SEMANA</f>
        <v>0</v>
      </c>
      <c r="H405" s="16" t="n">
        <f aca="false">MIN(CADASTRO_CASAS_BOMBA!$O$7,MAX(0,H404+CADASTRO_CASAS_BOMBA!$I$7*HORAS_CAPTACAO_DIA-G405))</f>
        <v>76648</v>
      </c>
      <c r="I405" s="16" t="n">
        <f aca="false">MAX(0,G405-CADASTRO_CASAS_BOMBA!$I$7*HORAS_CAPTACAO_DIA-H404)</f>
        <v>0</v>
      </c>
      <c r="J405" s="16" t="n">
        <f aca="false">INDEX(AUX_MATRIZES!$C$10:$BP$10,MIN(N_SEMANAS,MAX(1,$C405)))/DIAS_POR_SEMANA</f>
        <v>0</v>
      </c>
      <c r="K405" s="16" t="n">
        <f aca="false">MIN(CADASTRO_CASAS_BOMBA!$O$8,MAX(0,K404+CADASTRO_CASAS_BOMBA!$I$8*HORAS_CAPTACAO_DIA-J405))</f>
        <v>27377</v>
      </c>
      <c r="L405" s="16" t="n">
        <f aca="false">MAX(0,J405-CADASTRO_CASAS_BOMBA!$I$8*HORAS_CAPTACAO_DIA-K404)</f>
        <v>0</v>
      </c>
      <c r="M405" s="16" t="n">
        <f aca="false">INDEX(AUX_MATRIZES!$C$11:$BP$11,MIN(N_SEMANAS,MAX(1,$C405)))/DIAS_POR_SEMANA</f>
        <v>0</v>
      </c>
      <c r="N405" s="16" t="n">
        <f aca="false">MIN(CADASTRO_CASAS_BOMBA!$O$9,MAX(0,N404+CADASTRO_CASAS_BOMBA!$I$9*HORAS_CAPTACAO_DIA-M405))</f>
        <v>129000</v>
      </c>
      <c r="O405" s="16" t="n">
        <f aca="false">MAX(0,M405-CADASTRO_CASAS_BOMBA!$I$9*HORAS_CAPTACAO_DIA-N404)</f>
        <v>0</v>
      </c>
      <c r="P405" s="16" t="n">
        <f aca="false">INDEX(AUX_MATRIZES!$C$12:$BP$12,MIN(N_SEMANAS,MAX(1,$C405)))/DIAS_POR_SEMANA</f>
        <v>24865.5431028687</v>
      </c>
      <c r="Q405" s="16" t="n">
        <f aca="false">MIN(CADASTRO_CASAS_BOMBA!$O$10,MAX(0,Q404+CADASTRO_CASAS_BOMBA!$I$10*HORAS_CAPTACAO_DIA-P405))</f>
        <v>0</v>
      </c>
      <c r="R405" s="16" t="n">
        <f aca="false">MAX(0,P405-CADASTRO_CASAS_BOMBA!$I$10*HORAS_CAPTACAO_DIA-Q404)</f>
        <v>11783.1431028687</v>
      </c>
      <c r="S405" s="16" t="n">
        <f aca="false">INDEX(AUX_MATRIZES!$C$13:$BP$13,MIN(N_SEMANAS,MAX(1,$C405)))/DIAS_POR_SEMANA</f>
        <v>22516.4225882353</v>
      </c>
      <c r="T405" s="16" t="n">
        <f aca="false">MIN(CADASTRO_CASAS_BOMBA!$O$11,MAX(0,T404+CADASTRO_CASAS_BOMBA!$I$11*HORAS_CAPTACAO_DIA-S405))</f>
        <v>0</v>
      </c>
      <c r="U405" s="16" t="n">
        <f aca="false">MAX(0,S405-CADASTRO_CASAS_BOMBA!$I$11*HORAS_CAPTACAO_DIA-T404)</f>
        <v>1096.42258823529</v>
      </c>
      <c r="V405" s="16" t="n">
        <f aca="false">INDEX(AUX_MATRIZES!$C$14:$BP$14,MIN(N_SEMANAS,MAX(1,$C405)))/DIAS_POR_SEMANA</f>
        <v>22649.3379495798</v>
      </c>
      <c r="W405" s="16" t="n">
        <f aca="false">MIN(CADASTRO_CASAS_BOMBA!$O$12,MAX(0,W404+CADASTRO_CASAS_BOMBA!$I$12*HORAS_CAPTACAO_DIA-V405))</f>
        <v>19114.6343529412</v>
      </c>
      <c r="X405" s="16" t="n">
        <f aca="false">MAX(0,V405-CADASTRO_CASAS_BOMBA!$I$12*HORAS_CAPTACAO_DIA-W404)</f>
        <v>0</v>
      </c>
      <c r="Y405" s="16" t="n">
        <f aca="false">INDEX(AUX_MATRIZES!$C$15:$BP$15,MIN(N_SEMANAS,MAX(1,$C405)))/DIAS_POR_SEMANA</f>
        <v>0</v>
      </c>
      <c r="Z405" s="16" t="n">
        <f aca="false">MIN(CADASTRO_CASAS_BOMBA!$O$13,MAX(0,Z404+CADASTRO_CASAS_BOMBA!$I$13*HORAS_CAPTACAO_DIA-Y405))</f>
        <v>74903</v>
      </c>
      <c r="AA405" s="16" t="n">
        <f aca="false">MAX(0,Y405-CADASTRO_CASAS_BOMBA!$I$13*HORAS_CAPTACAO_DIA-Z404)</f>
        <v>0</v>
      </c>
    </row>
    <row r="406" customFormat="false" ht="15" hidden="false" customHeight="false" outlineLevel="0" collapsed="false">
      <c r="B406" s="17" t="n">
        <f aca="false">DATA_INICIO_SAFRA+399</f>
        <v>46664</v>
      </c>
      <c r="C406" s="16" t="n">
        <f aca="false">MIN(N_SEMANAS,MAX(1,INT(($B406-DATA_INICIO_SAFRA)/DIAS_POR_SEMANA)+1))</f>
        <v>58</v>
      </c>
      <c r="D406" s="16" t="n">
        <f aca="false">INDEX(AUX_MATRIZES!$C$8:$BP$8,MIN(N_SEMANAS,MAX(1,$C406)))/DIAS_POR_SEMANA</f>
        <v>0</v>
      </c>
      <c r="E406" s="16" t="n">
        <f aca="false">MIN(CADASTRO_CASAS_BOMBA!$O$6,MAX(0,E405+CADASTRO_CASAS_BOMBA!$I$6*HORAS_CAPTACAO_DIA-D406))</f>
        <v>2600</v>
      </c>
      <c r="F406" s="16" t="n">
        <f aca="false">MAX(0,D406-CADASTRO_CASAS_BOMBA!$I$6*HORAS_CAPTACAO_DIA-E405)</f>
        <v>0</v>
      </c>
      <c r="G406" s="16" t="n">
        <f aca="false">INDEX(AUX_MATRIZES!$C$9:$BP$9,MIN(N_SEMANAS,MAX(1,$C406)))/DIAS_POR_SEMANA</f>
        <v>0</v>
      </c>
      <c r="H406" s="16" t="n">
        <f aca="false">MIN(CADASTRO_CASAS_BOMBA!$O$7,MAX(0,H405+CADASTRO_CASAS_BOMBA!$I$7*HORAS_CAPTACAO_DIA-G406))</f>
        <v>76648</v>
      </c>
      <c r="I406" s="16" t="n">
        <f aca="false">MAX(0,G406-CADASTRO_CASAS_BOMBA!$I$7*HORAS_CAPTACAO_DIA-H405)</f>
        <v>0</v>
      </c>
      <c r="J406" s="16" t="n">
        <f aca="false">INDEX(AUX_MATRIZES!$C$10:$BP$10,MIN(N_SEMANAS,MAX(1,$C406)))/DIAS_POR_SEMANA</f>
        <v>0</v>
      </c>
      <c r="K406" s="16" t="n">
        <f aca="false">MIN(CADASTRO_CASAS_BOMBA!$O$8,MAX(0,K405+CADASTRO_CASAS_BOMBA!$I$8*HORAS_CAPTACAO_DIA-J406))</f>
        <v>27377</v>
      </c>
      <c r="L406" s="16" t="n">
        <f aca="false">MAX(0,J406-CADASTRO_CASAS_BOMBA!$I$8*HORAS_CAPTACAO_DIA-K405)</f>
        <v>0</v>
      </c>
      <c r="M406" s="16" t="n">
        <f aca="false">INDEX(AUX_MATRIZES!$C$11:$BP$11,MIN(N_SEMANAS,MAX(1,$C406)))/DIAS_POR_SEMANA</f>
        <v>0</v>
      </c>
      <c r="N406" s="16" t="n">
        <f aca="false">MIN(CADASTRO_CASAS_BOMBA!$O$9,MAX(0,N405+CADASTRO_CASAS_BOMBA!$I$9*HORAS_CAPTACAO_DIA-M406))</f>
        <v>129000</v>
      </c>
      <c r="O406" s="16" t="n">
        <f aca="false">MAX(0,M406-CADASTRO_CASAS_BOMBA!$I$9*HORAS_CAPTACAO_DIA-N405)</f>
        <v>0</v>
      </c>
      <c r="P406" s="16" t="n">
        <f aca="false">INDEX(AUX_MATRIZES!$C$12:$BP$12,MIN(N_SEMANAS,MAX(1,$C406)))/DIAS_POR_SEMANA</f>
        <v>14343.7372494929</v>
      </c>
      <c r="Q406" s="16" t="n">
        <f aca="false">MIN(CADASTRO_CASAS_BOMBA!$O$10,MAX(0,Q405+CADASTRO_CASAS_BOMBA!$I$10*HORAS_CAPTACAO_DIA-P406))</f>
        <v>0</v>
      </c>
      <c r="R406" s="16" t="n">
        <f aca="false">MAX(0,P406-CADASTRO_CASAS_BOMBA!$I$10*HORAS_CAPTACAO_DIA-Q405)</f>
        <v>1261.33724949289</v>
      </c>
      <c r="S406" s="16" t="n">
        <f aca="false">INDEX(AUX_MATRIZES!$C$13:$BP$13,MIN(N_SEMANAS,MAX(1,$C406)))/DIAS_POR_SEMANA</f>
        <v>14179.3665882353</v>
      </c>
      <c r="T406" s="16" t="n">
        <f aca="false">MIN(CADASTRO_CASAS_BOMBA!$O$11,MAX(0,T405+CADASTRO_CASAS_BOMBA!$I$11*HORAS_CAPTACAO_DIA-S406))</f>
        <v>7240.63341176471</v>
      </c>
      <c r="U406" s="16" t="n">
        <f aca="false">MAX(0,S406-CADASTRO_CASAS_BOMBA!$I$11*HORAS_CAPTACAO_DIA-T405)</f>
        <v>0</v>
      </c>
      <c r="V406" s="16" t="n">
        <f aca="false">INDEX(AUX_MATRIZES!$C$14:$BP$14,MIN(N_SEMANAS,MAX(1,$C406)))/DIAS_POR_SEMANA</f>
        <v>15260.9647058824</v>
      </c>
      <c r="W406" s="16" t="n">
        <f aca="false">MIN(CADASTRO_CASAS_BOMBA!$O$12,MAX(0,W405+CADASTRO_CASAS_BOMBA!$I$12*HORAS_CAPTACAO_DIA-V406))</f>
        <v>29233.6696470588</v>
      </c>
      <c r="X406" s="16" t="n">
        <f aca="false">MAX(0,V406-CADASTRO_CASAS_BOMBA!$I$12*HORAS_CAPTACAO_DIA-W405)</f>
        <v>0</v>
      </c>
      <c r="Y406" s="16" t="n">
        <f aca="false">INDEX(AUX_MATRIZES!$C$15:$BP$15,MIN(N_SEMANAS,MAX(1,$C406)))/DIAS_POR_SEMANA</f>
        <v>0</v>
      </c>
      <c r="Z406" s="16" t="n">
        <f aca="false">MIN(CADASTRO_CASAS_BOMBA!$O$13,MAX(0,Z405+CADASTRO_CASAS_BOMBA!$I$13*HORAS_CAPTACAO_DIA-Y406))</f>
        <v>74903</v>
      </c>
      <c r="AA406" s="16" t="n">
        <f aca="false">MAX(0,Y406-CADASTRO_CASAS_BOMBA!$I$13*HORAS_CAPTACAO_DIA-Z405)</f>
        <v>0</v>
      </c>
    </row>
    <row r="407" customFormat="false" ht="15" hidden="false" customHeight="false" outlineLevel="0" collapsed="false">
      <c r="B407" s="17" t="n">
        <f aca="false">DATA_INICIO_SAFRA+400</f>
        <v>46665</v>
      </c>
      <c r="C407" s="16" t="n">
        <f aca="false">MIN(N_SEMANAS,MAX(1,INT(($B407-DATA_INICIO_SAFRA)/DIAS_POR_SEMANA)+1))</f>
        <v>58</v>
      </c>
      <c r="D407" s="16" t="n">
        <f aca="false">INDEX(AUX_MATRIZES!$C$8:$BP$8,MIN(N_SEMANAS,MAX(1,$C407)))/DIAS_POR_SEMANA</f>
        <v>0</v>
      </c>
      <c r="E407" s="16" t="n">
        <f aca="false">MIN(CADASTRO_CASAS_BOMBA!$O$6,MAX(0,E406+CADASTRO_CASAS_BOMBA!$I$6*HORAS_CAPTACAO_DIA-D407))</f>
        <v>2600</v>
      </c>
      <c r="F407" s="16" t="n">
        <f aca="false">MAX(0,D407-CADASTRO_CASAS_BOMBA!$I$6*HORAS_CAPTACAO_DIA-E406)</f>
        <v>0</v>
      </c>
      <c r="G407" s="16" t="n">
        <f aca="false">INDEX(AUX_MATRIZES!$C$9:$BP$9,MIN(N_SEMANAS,MAX(1,$C407)))/DIAS_POR_SEMANA</f>
        <v>0</v>
      </c>
      <c r="H407" s="16" t="n">
        <f aca="false">MIN(CADASTRO_CASAS_BOMBA!$O$7,MAX(0,H406+CADASTRO_CASAS_BOMBA!$I$7*HORAS_CAPTACAO_DIA-G407))</f>
        <v>76648</v>
      </c>
      <c r="I407" s="16" t="n">
        <f aca="false">MAX(0,G407-CADASTRO_CASAS_BOMBA!$I$7*HORAS_CAPTACAO_DIA-H406)</f>
        <v>0</v>
      </c>
      <c r="J407" s="16" t="n">
        <f aca="false">INDEX(AUX_MATRIZES!$C$10:$BP$10,MIN(N_SEMANAS,MAX(1,$C407)))/DIAS_POR_SEMANA</f>
        <v>0</v>
      </c>
      <c r="K407" s="16" t="n">
        <f aca="false">MIN(CADASTRO_CASAS_BOMBA!$O$8,MAX(0,K406+CADASTRO_CASAS_BOMBA!$I$8*HORAS_CAPTACAO_DIA-J407))</f>
        <v>27377</v>
      </c>
      <c r="L407" s="16" t="n">
        <f aca="false">MAX(0,J407-CADASTRO_CASAS_BOMBA!$I$8*HORAS_CAPTACAO_DIA-K406)</f>
        <v>0</v>
      </c>
      <c r="M407" s="16" t="n">
        <f aca="false">INDEX(AUX_MATRIZES!$C$11:$BP$11,MIN(N_SEMANAS,MAX(1,$C407)))/DIAS_POR_SEMANA</f>
        <v>0</v>
      </c>
      <c r="N407" s="16" t="n">
        <f aca="false">MIN(CADASTRO_CASAS_BOMBA!$O$9,MAX(0,N406+CADASTRO_CASAS_BOMBA!$I$9*HORAS_CAPTACAO_DIA-M407))</f>
        <v>129000</v>
      </c>
      <c r="O407" s="16" t="n">
        <f aca="false">MAX(0,M407-CADASTRO_CASAS_BOMBA!$I$9*HORAS_CAPTACAO_DIA-N406)</f>
        <v>0</v>
      </c>
      <c r="P407" s="16" t="n">
        <f aca="false">INDEX(AUX_MATRIZES!$C$12:$BP$12,MIN(N_SEMANAS,MAX(1,$C407)))/DIAS_POR_SEMANA</f>
        <v>14343.7372494929</v>
      </c>
      <c r="Q407" s="16" t="n">
        <f aca="false">MIN(CADASTRO_CASAS_BOMBA!$O$10,MAX(0,Q406+CADASTRO_CASAS_BOMBA!$I$10*HORAS_CAPTACAO_DIA-P407))</f>
        <v>0</v>
      </c>
      <c r="R407" s="16" t="n">
        <f aca="false">MAX(0,P407-CADASTRO_CASAS_BOMBA!$I$10*HORAS_CAPTACAO_DIA-Q406)</f>
        <v>1261.33724949289</v>
      </c>
      <c r="S407" s="16" t="n">
        <f aca="false">INDEX(AUX_MATRIZES!$C$13:$BP$13,MIN(N_SEMANAS,MAX(1,$C407)))/DIAS_POR_SEMANA</f>
        <v>14179.3665882353</v>
      </c>
      <c r="T407" s="16" t="n">
        <f aca="false">MIN(CADASTRO_CASAS_BOMBA!$O$11,MAX(0,T406+CADASTRO_CASAS_BOMBA!$I$11*HORAS_CAPTACAO_DIA-S407))</f>
        <v>14481.2668235294</v>
      </c>
      <c r="U407" s="16" t="n">
        <f aca="false">MAX(0,S407-CADASTRO_CASAS_BOMBA!$I$11*HORAS_CAPTACAO_DIA-T406)</f>
        <v>0</v>
      </c>
      <c r="V407" s="16" t="n">
        <f aca="false">INDEX(AUX_MATRIZES!$C$14:$BP$14,MIN(N_SEMANAS,MAX(1,$C407)))/DIAS_POR_SEMANA</f>
        <v>15260.9647058824</v>
      </c>
      <c r="W407" s="16" t="n">
        <f aca="false">MIN(CADASTRO_CASAS_BOMBA!$O$12,MAX(0,W406+CADASTRO_CASAS_BOMBA!$I$12*HORAS_CAPTACAO_DIA-V407))</f>
        <v>39352.7049411765</v>
      </c>
      <c r="X407" s="16" t="n">
        <f aca="false">MAX(0,V407-CADASTRO_CASAS_BOMBA!$I$12*HORAS_CAPTACAO_DIA-W406)</f>
        <v>0</v>
      </c>
      <c r="Y407" s="16" t="n">
        <f aca="false">INDEX(AUX_MATRIZES!$C$15:$BP$15,MIN(N_SEMANAS,MAX(1,$C407)))/DIAS_POR_SEMANA</f>
        <v>0</v>
      </c>
      <c r="Z407" s="16" t="n">
        <f aca="false">MIN(CADASTRO_CASAS_BOMBA!$O$13,MAX(0,Z406+CADASTRO_CASAS_BOMBA!$I$13*HORAS_CAPTACAO_DIA-Y407))</f>
        <v>74903</v>
      </c>
      <c r="AA407" s="16" t="n">
        <f aca="false">MAX(0,Y407-CADASTRO_CASAS_BOMBA!$I$13*HORAS_CAPTACAO_DIA-Z406)</f>
        <v>0</v>
      </c>
    </row>
    <row r="408" customFormat="false" ht="15" hidden="false" customHeight="false" outlineLevel="0" collapsed="false">
      <c r="B408" s="17" t="n">
        <f aca="false">DATA_INICIO_SAFRA+401</f>
        <v>46666</v>
      </c>
      <c r="C408" s="16" t="n">
        <f aca="false">MIN(N_SEMANAS,MAX(1,INT(($B408-DATA_INICIO_SAFRA)/DIAS_POR_SEMANA)+1))</f>
        <v>58</v>
      </c>
      <c r="D408" s="16" t="n">
        <f aca="false">INDEX(AUX_MATRIZES!$C$8:$BP$8,MIN(N_SEMANAS,MAX(1,$C408)))/DIAS_POR_SEMANA</f>
        <v>0</v>
      </c>
      <c r="E408" s="16" t="n">
        <f aca="false">MIN(CADASTRO_CASAS_BOMBA!$O$6,MAX(0,E407+CADASTRO_CASAS_BOMBA!$I$6*HORAS_CAPTACAO_DIA-D408))</f>
        <v>2600</v>
      </c>
      <c r="F408" s="16" t="n">
        <f aca="false">MAX(0,D408-CADASTRO_CASAS_BOMBA!$I$6*HORAS_CAPTACAO_DIA-E407)</f>
        <v>0</v>
      </c>
      <c r="G408" s="16" t="n">
        <f aca="false">INDEX(AUX_MATRIZES!$C$9:$BP$9,MIN(N_SEMANAS,MAX(1,$C408)))/DIAS_POR_SEMANA</f>
        <v>0</v>
      </c>
      <c r="H408" s="16" t="n">
        <f aca="false">MIN(CADASTRO_CASAS_BOMBA!$O$7,MAX(0,H407+CADASTRO_CASAS_BOMBA!$I$7*HORAS_CAPTACAO_DIA-G408))</f>
        <v>76648</v>
      </c>
      <c r="I408" s="16" t="n">
        <f aca="false">MAX(0,G408-CADASTRO_CASAS_BOMBA!$I$7*HORAS_CAPTACAO_DIA-H407)</f>
        <v>0</v>
      </c>
      <c r="J408" s="16" t="n">
        <f aca="false">INDEX(AUX_MATRIZES!$C$10:$BP$10,MIN(N_SEMANAS,MAX(1,$C408)))/DIAS_POR_SEMANA</f>
        <v>0</v>
      </c>
      <c r="K408" s="16" t="n">
        <f aca="false">MIN(CADASTRO_CASAS_BOMBA!$O$8,MAX(0,K407+CADASTRO_CASAS_BOMBA!$I$8*HORAS_CAPTACAO_DIA-J408))</f>
        <v>27377</v>
      </c>
      <c r="L408" s="16" t="n">
        <f aca="false">MAX(0,J408-CADASTRO_CASAS_BOMBA!$I$8*HORAS_CAPTACAO_DIA-K407)</f>
        <v>0</v>
      </c>
      <c r="M408" s="16" t="n">
        <f aca="false">INDEX(AUX_MATRIZES!$C$11:$BP$11,MIN(N_SEMANAS,MAX(1,$C408)))/DIAS_POR_SEMANA</f>
        <v>0</v>
      </c>
      <c r="N408" s="16" t="n">
        <f aca="false">MIN(CADASTRO_CASAS_BOMBA!$O$9,MAX(0,N407+CADASTRO_CASAS_BOMBA!$I$9*HORAS_CAPTACAO_DIA-M408))</f>
        <v>129000</v>
      </c>
      <c r="O408" s="16" t="n">
        <f aca="false">MAX(0,M408-CADASTRO_CASAS_BOMBA!$I$9*HORAS_CAPTACAO_DIA-N407)</f>
        <v>0</v>
      </c>
      <c r="P408" s="16" t="n">
        <f aca="false">INDEX(AUX_MATRIZES!$C$12:$BP$12,MIN(N_SEMANAS,MAX(1,$C408)))/DIAS_POR_SEMANA</f>
        <v>14343.7372494929</v>
      </c>
      <c r="Q408" s="16" t="n">
        <f aca="false">MIN(CADASTRO_CASAS_BOMBA!$O$10,MAX(0,Q407+CADASTRO_CASAS_BOMBA!$I$10*HORAS_CAPTACAO_DIA-P408))</f>
        <v>0</v>
      </c>
      <c r="R408" s="16" t="n">
        <f aca="false">MAX(0,P408-CADASTRO_CASAS_BOMBA!$I$10*HORAS_CAPTACAO_DIA-Q407)</f>
        <v>1261.33724949289</v>
      </c>
      <c r="S408" s="16" t="n">
        <f aca="false">INDEX(AUX_MATRIZES!$C$13:$BP$13,MIN(N_SEMANAS,MAX(1,$C408)))/DIAS_POR_SEMANA</f>
        <v>14179.3665882353</v>
      </c>
      <c r="T408" s="16" t="n">
        <f aca="false">MIN(CADASTRO_CASAS_BOMBA!$O$11,MAX(0,T407+CADASTRO_CASAS_BOMBA!$I$11*HORAS_CAPTACAO_DIA-S408))</f>
        <v>21721.9002352941</v>
      </c>
      <c r="U408" s="16" t="n">
        <f aca="false">MAX(0,S408-CADASTRO_CASAS_BOMBA!$I$11*HORAS_CAPTACAO_DIA-T407)</f>
        <v>0</v>
      </c>
      <c r="V408" s="16" t="n">
        <f aca="false">INDEX(AUX_MATRIZES!$C$14:$BP$14,MIN(N_SEMANAS,MAX(1,$C408)))/DIAS_POR_SEMANA</f>
        <v>15260.9647058824</v>
      </c>
      <c r="W408" s="16" t="n">
        <f aca="false">MIN(CADASTRO_CASAS_BOMBA!$O$12,MAX(0,W407+CADASTRO_CASAS_BOMBA!$I$12*HORAS_CAPTACAO_DIA-V408))</f>
        <v>49471.7402352941</v>
      </c>
      <c r="X408" s="16" t="n">
        <f aca="false">MAX(0,V408-CADASTRO_CASAS_BOMBA!$I$12*HORAS_CAPTACAO_DIA-W407)</f>
        <v>0</v>
      </c>
      <c r="Y408" s="16" t="n">
        <f aca="false">INDEX(AUX_MATRIZES!$C$15:$BP$15,MIN(N_SEMANAS,MAX(1,$C408)))/DIAS_POR_SEMANA</f>
        <v>0</v>
      </c>
      <c r="Z408" s="16" t="n">
        <f aca="false">MIN(CADASTRO_CASAS_BOMBA!$O$13,MAX(0,Z407+CADASTRO_CASAS_BOMBA!$I$13*HORAS_CAPTACAO_DIA-Y408))</f>
        <v>74903</v>
      </c>
      <c r="AA408" s="16" t="n">
        <f aca="false">MAX(0,Y408-CADASTRO_CASAS_BOMBA!$I$13*HORAS_CAPTACAO_DIA-Z407)</f>
        <v>0</v>
      </c>
    </row>
    <row r="409" customFormat="false" ht="15" hidden="false" customHeight="false" outlineLevel="0" collapsed="false">
      <c r="B409" s="17" t="n">
        <f aca="false">DATA_INICIO_SAFRA+402</f>
        <v>46667</v>
      </c>
      <c r="C409" s="16" t="n">
        <f aca="false">MIN(N_SEMANAS,MAX(1,INT(($B409-DATA_INICIO_SAFRA)/DIAS_POR_SEMANA)+1))</f>
        <v>58</v>
      </c>
      <c r="D409" s="16" t="n">
        <f aca="false">INDEX(AUX_MATRIZES!$C$8:$BP$8,MIN(N_SEMANAS,MAX(1,$C409)))/DIAS_POR_SEMANA</f>
        <v>0</v>
      </c>
      <c r="E409" s="16" t="n">
        <f aca="false">MIN(CADASTRO_CASAS_BOMBA!$O$6,MAX(0,E408+CADASTRO_CASAS_BOMBA!$I$6*HORAS_CAPTACAO_DIA-D409))</f>
        <v>2600</v>
      </c>
      <c r="F409" s="16" t="n">
        <f aca="false">MAX(0,D409-CADASTRO_CASAS_BOMBA!$I$6*HORAS_CAPTACAO_DIA-E408)</f>
        <v>0</v>
      </c>
      <c r="G409" s="16" t="n">
        <f aca="false">INDEX(AUX_MATRIZES!$C$9:$BP$9,MIN(N_SEMANAS,MAX(1,$C409)))/DIAS_POR_SEMANA</f>
        <v>0</v>
      </c>
      <c r="H409" s="16" t="n">
        <f aca="false">MIN(CADASTRO_CASAS_BOMBA!$O$7,MAX(0,H408+CADASTRO_CASAS_BOMBA!$I$7*HORAS_CAPTACAO_DIA-G409))</f>
        <v>76648</v>
      </c>
      <c r="I409" s="16" t="n">
        <f aca="false">MAX(0,G409-CADASTRO_CASAS_BOMBA!$I$7*HORAS_CAPTACAO_DIA-H408)</f>
        <v>0</v>
      </c>
      <c r="J409" s="16" t="n">
        <f aca="false">INDEX(AUX_MATRIZES!$C$10:$BP$10,MIN(N_SEMANAS,MAX(1,$C409)))/DIAS_POR_SEMANA</f>
        <v>0</v>
      </c>
      <c r="K409" s="16" t="n">
        <f aca="false">MIN(CADASTRO_CASAS_BOMBA!$O$8,MAX(0,K408+CADASTRO_CASAS_BOMBA!$I$8*HORAS_CAPTACAO_DIA-J409))</f>
        <v>27377</v>
      </c>
      <c r="L409" s="16" t="n">
        <f aca="false">MAX(0,J409-CADASTRO_CASAS_BOMBA!$I$8*HORAS_CAPTACAO_DIA-K408)</f>
        <v>0</v>
      </c>
      <c r="M409" s="16" t="n">
        <f aca="false">INDEX(AUX_MATRIZES!$C$11:$BP$11,MIN(N_SEMANAS,MAX(1,$C409)))/DIAS_POR_SEMANA</f>
        <v>0</v>
      </c>
      <c r="N409" s="16" t="n">
        <f aca="false">MIN(CADASTRO_CASAS_BOMBA!$O$9,MAX(0,N408+CADASTRO_CASAS_BOMBA!$I$9*HORAS_CAPTACAO_DIA-M409))</f>
        <v>129000</v>
      </c>
      <c r="O409" s="16" t="n">
        <f aca="false">MAX(0,M409-CADASTRO_CASAS_BOMBA!$I$9*HORAS_CAPTACAO_DIA-N408)</f>
        <v>0</v>
      </c>
      <c r="P409" s="16" t="n">
        <f aca="false">INDEX(AUX_MATRIZES!$C$12:$BP$12,MIN(N_SEMANAS,MAX(1,$C409)))/DIAS_POR_SEMANA</f>
        <v>14343.7372494929</v>
      </c>
      <c r="Q409" s="16" t="n">
        <f aca="false">MIN(CADASTRO_CASAS_BOMBA!$O$10,MAX(0,Q408+CADASTRO_CASAS_BOMBA!$I$10*HORAS_CAPTACAO_DIA-P409))</f>
        <v>0</v>
      </c>
      <c r="R409" s="16" t="n">
        <f aca="false">MAX(0,P409-CADASTRO_CASAS_BOMBA!$I$10*HORAS_CAPTACAO_DIA-Q408)</f>
        <v>1261.33724949289</v>
      </c>
      <c r="S409" s="16" t="n">
        <f aca="false">INDEX(AUX_MATRIZES!$C$13:$BP$13,MIN(N_SEMANAS,MAX(1,$C409)))/DIAS_POR_SEMANA</f>
        <v>14179.3665882353</v>
      </c>
      <c r="T409" s="16" t="n">
        <f aca="false">MIN(CADASTRO_CASAS_BOMBA!$O$11,MAX(0,T408+CADASTRO_CASAS_BOMBA!$I$11*HORAS_CAPTACAO_DIA-S409))</f>
        <v>28962.5336470588</v>
      </c>
      <c r="U409" s="16" t="n">
        <f aca="false">MAX(0,S409-CADASTRO_CASAS_BOMBA!$I$11*HORAS_CAPTACAO_DIA-T408)</f>
        <v>0</v>
      </c>
      <c r="V409" s="16" t="n">
        <f aca="false">INDEX(AUX_MATRIZES!$C$14:$BP$14,MIN(N_SEMANAS,MAX(1,$C409)))/DIAS_POR_SEMANA</f>
        <v>15260.9647058824</v>
      </c>
      <c r="W409" s="16" t="n">
        <f aca="false">MIN(CADASTRO_CASAS_BOMBA!$O$12,MAX(0,W408+CADASTRO_CASAS_BOMBA!$I$12*HORAS_CAPTACAO_DIA-V409))</f>
        <v>59590.7755294118</v>
      </c>
      <c r="X409" s="16" t="n">
        <f aca="false">MAX(0,V409-CADASTRO_CASAS_BOMBA!$I$12*HORAS_CAPTACAO_DIA-W408)</f>
        <v>0</v>
      </c>
      <c r="Y409" s="16" t="n">
        <f aca="false">INDEX(AUX_MATRIZES!$C$15:$BP$15,MIN(N_SEMANAS,MAX(1,$C409)))/DIAS_POR_SEMANA</f>
        <v>0</v>
      </c>
      <c r="Z409" s="16" t="n">
        <f aca="false">MIN(CADASTRO_CASAS_BOMBA!$O$13,MAX(0,Z408+CADASTRO_CASAS_BOMBA!$I$13*HORAS_CAPTACAO_DIA-Y409))</f>
        <v>74903</v>
      </c>
      <c r="AA409" s="16" t="n">
        <f aca="false">MAX(0,Y409-CADASTRO_CASAS_BOMBA!$I$13*HORAS_CAPTACAO_DIA-Z408)</f>
        <v>0</v>
      </c>
    </row>
    <row r="410" customFormat="false" ht="15" hidden="false" customHeight="false" outlineLevel="0" collapsed="false">
      <c r="B410" s="17" t="n">
        <f aca="false">DATA_INICIO_SAFRA+403</f>
        <v>46668</v>
      </c>
      <c r="C410" s="16" t="n">
        <f aca="false">MIN(N_SEMANAS,MAX(1,INT(($B410-DATA_INICIO_SAFRA)/DIAS_POR_SEMANA)+1))</f>
        <v>58</v>
      </c>
      <c r="D410" s="16" t="n">
        <f aca="false">INDEX(AUX_MATRIZES!$C$8:$BP$8,MIN(N_SEMANAS,MAX(1,$C410)))/DIAS_POR_SEMANA</f>
        <v>0</v>
      </c>
      <c r="E410" s="16" t="n">
        <f aca="false">MIN(CADASTRO_CASAS_BOMBA!$O$6,MAX(0,E409+CADASTRO_CASAS_BOMBA!$I$6*HORAS_CAPTACAO_DIA-D410))</f>
        <v>2600</v>
      </c>
      <c r="F410" s="16" t="n">
        <f aca="false">MAX(0,D410-CADASTRO_CASAS_BOMBA!$I$6*HORAS_CAPTACAO_DIA-E409)</f>
        <v>0</v>
      </c>
      <c r="G410" s="16" t="n">
        <f aca="false">INDEX(AUX_MATRIZES!$C$9:$BP$9,MIN(N_SEMANAS,MAX(1,$C410)))/DIAS_POR_SEMANA</f>
        <v>0</v>
      </c>
      <c r="H410" s="16" t="n">
        <f aca="false">MIN(CADASTRO_CASAS_BOMBA!$O$7,MAX(0,H409+CADASTRO_CASAS_BOMBA!$I$7*HORAS_CAPTACAO_DIA-G410))</f>
        <v>76648</v>
      </c>
      <c r="I410" s="16" t="n">
        <f aca="false">MAX(0,G410-CADASTRO_CASAS_BOMBA!$I$7*HORAS_CAPTACAO_DIA-H409)</f>
        <v>0</v>
      </c>
      <c r="J410" s="16" t="n">
        <f aca="false">INDEX(AUX_MATRIZES!$C$10:$BP$10,MIN(N_SEMANAS,MAX(1,$C410)))/DIAS_POR_SEMANA</f>
        <v>0</v>
      </c>
      <c r="K410" s="16" t="n">
        <f aca="false">MIN(CADASTRO_CASAS_BOMBA!$O$8,MAX(0,K409+CADASTRO_CASAS_BOMBA!$I$8*HORAS_CAPTACAO_DIA-J410))</f>
        <v>27377</v>
      </c>
      <c r="L410" s="16" t="n">
        <f aca="false">MAX(0,J410-CADASTRO_CASAS_BOMBA!$I$8*HORAS_CAPTACAO_DIA-K409)</f>
        <v>0</v>
      </c>
      <c r="M410" s="16" t="n">
        <f aca="false">INDEX(AUX_MATRIZES!$C$11:$BP$11,MIN(N_SEMANAS,MAX(1,$C410)))/DIAS_POR_SEMANA</f>
        <v>0</v>
      </c>
      <c r="N410" s="16" t="n">
        <f aca="false">MIN(CADASTRO_CASAS_BOMBA!$O$9,MAX(0,N409+CADASTRO_CASAS_BOMBA!$I$9*HORAS_CAPTACAO_DIA-M410))</f>
        <v>129000</v>
      </c>
      <c r="O410" s="16" t="n">
        <f aca="false">MAX(0,M410-CADASTRO_CASAS_BOMBA!$I$9*HORAS_CAPTACAO_DIA-N409)</f>
        <v>0</v>
      </c>
      <c r="P410" s="16" t="n">
        <f aca="false">INDEX(AUX_MATRIZES!$C$12:$BP$12,MIN(N_SEMANAS,MAX(1,$C410)))/DIAS_POR_SEMANA</f>
        <v>14343.7372494929</v>
      </c>
      <c r="Q410" s="16" t="n">
        <f aca="false">MIN(CADASTRO_CASAS_BOMBA!$O$10,MAX(0,Q409+CADASTRO_CASAS_BOMBA!$I$10*HORAS_CAPTACAO_DIA-P410))</f>
        <v>0</v>
      </c>
      <c r="R410" s="16" t="n">
        <f aca="false">MAX(0,P410-CADASTRO_CASAS_BOMBA!$I$10*HORAS_CAPTACAO_DIA-Q409)</f>
        <v>1261.33724949289</v>
      </c>
      <c r="S410" s="16" t="n">
        <f aca="false">INDEX(AUX_MATRIZES!$C$13:$BP$13,MIN(N_SEMANAS,MAX(1,$C410)))/DIAS_POR_SEMANA</f>
        <v>14179.3665882353</v>
      </c>
      <c r="T410" s="16" t="n">
        <f aca="false">MIN(CADASTRO_CASAS_BOMBA!$O$11,MAX(0,T409+CADASTRO_CASAS_BOMBA!$I$11*HORAS_CAPTACAO_DIA-S410))</f>
        <v>36203.1670588235</v>
      </c>
      <c r="U410" s="16" t="n">
        <f aca="false">MAX(0,S410-CADASTRO_CASAS_BOMBA!$I$11*HORAS_CAPTACAO_DIA-T409)</f>
        <v>0</v>
      </c>
      <c r="V410" s="16" t="n">
        <f aca="false">INDEX(AUX_MATRIZES!$C$14:$BP$14,MIN(N_SEMANAS,MAX(1,$C410)))/DIAS_POR_SEMANA</f>
        <v>15260.9647058824</v>
      </c>
      <c r="W410" s="16" t="n">
        <f aca="false">MIN(CADASTRO_CASAS_BOMBA!$O$12,MAX(0,W409+CADASTRO_CASAS_BOMBA!$I$12*HORAS_CAPTACAO_DIA-V410))</f>
        <v>69709.8108235295</v>
      </c>
      <c r="X410" s="16" t="n">
        <f aca="false">MAX(0,V410-CADASTRO_CASAS_BOMBA!$I$12*HORAS_CAPTACAO_DIA-W409)</f>
        <v>0</v>
      </c>
      <c r="Y410" s="16" t="n">
        <f aca="false">INDEX(AUX_MATRIZES!$C$15:$BP$15,MIN(N_SEMANAS,MAX(1,$C410)))/DIAS_POR_SEMANA</f>
        <v>0</v>
      </c>
      <c r="Z410" s="16" t="n">
        <f aca="false">MIN(CADASTRO_CASAS_BOMBA!$O$13,MAX(0,Z409+CADASTRO_CASAS_BOMBA!$I$13*HORAS_CAPTACAO_DIA-Y410))</f>
        <v>74903</v>
      </c>
      <c r="AA410" s="16" t="n">
        <f aca="false">MAX(0,Y410-CADASTRO_CASAS_BOMBA!$I$13*HORAS_CAPTACAO_DIA-Z409)</f>
        <v>0</v>
      </c>
    </row>
    <row r="411" customFormat="false" ht="15" hidden="false" customHeight="false" outlineLevel="0" collapsed="false">
      <c r="B411" s="17" t="n">
        <f aca="false">DATA_INICIO_SAFRA+404</f>
        <v>46669</v>
      </c>
      <c r="C411" s="16" t="n">
        <f aca="false">MIN(N_SEMANAS,MAX(1,INT(($B411-DATA_INICIO_SAFRA)/DIAS_POR_SEMANA)+1))</f>
        <v>58</v>
      </c>
      <c r="D411" s="16" t="n">
        <f aca="false">INDEX(AUX_MATRIZES!$C$8:$BP$8,MIN(N_SEMANAS,MAX(1,$C411)))/DIAS_POR_SEMANA</f>
        <v>0</v>
      </c>
      <c r="E411" s="16" t="n">
        <f aca="false">MIN(CADASTRO_CASAS_BOMBA!$O$6,MAX(0,E410+CADASTRO_CASAS_BOMBA!$I$6*HORAS_CAPTACAO_DIA-D411))</f>
        <v>2600</v>
      </c>
      <c r="F411" s="16" t="n">
        <f aca="false">MAX(0,D411-CADASTRO_CASAS_BOMBA!$I$6*HORAS_CAPTACAO_DIA-E410)</f>
        <v>0</v>
      </c>
      <c r="G411" s="16" t="n">
        <f aca="false">INDEX(AUX_MATRIZES!$C$9:$BP$9,MIN(N_SEMANAS,MAX(1,$C411)))/DIAS_POR_SEMANA</f>
        <v>0</v>
      </c>
      <c r="H411" s="16" t="n">
        <f aca="false">MIN(CADASTRO_CASAS_BOMBA!$O$7,MAX(0,H410+CADASTRO_CASAS_BOMBA!$I$7*HORAS_CAPTACAO_DIA-G411))</f>
        <v>76648</v>
      </c>
      <c r="I411" s="16" t="n">
        <f aca="false">MAX(0,G411-CADASTRO_CASAS_BOMBA!$I$7*HORAS_CAPTACAO_DIA-H410)</f>
        <v>0</v>
      </c>
      <c r="J411" s="16" t="n">
        <f aca="false">INDEX(AUX_MATRIZES!$C$10:$BP$10,MIN(N_SEMANAS,MAX(1,$C411)))/DIAS_POR_SEMANA</f>
        <v>0</v>
      </c>
      <c r="K411" s="16" t="n">
        <f aca="false">MIN(CADASTRO_CASAS_BOMBA!$O$8,MAX(0,K410+CADASTRO_CASAS_BOMBA!$I$8*HORAS_CAPTACAO_DIA-J411))</f>
        <v>27377</v>
      </c>
      <c r="L411" s="16" t="n">
        <f aca="false">MAX(0,J411-CADASTRO_CASAS_BOMBA!$I$8*HORAS_CAPTACAO_DIA-K410)</f>
        <v>0</v>
      </c>
      <c r="M411" s="16" t="n">
        <f aca="false">INDEX(AUX_MATRIZES!$C$11:$BP$11,MIN(N_SEMANAS,MAX(1,$C411)))/DIAS_POR_SEMANA</f>
        <v>0</v>
      </c>
      <c r="N411" s="16" t="n">
        <f aca="false">MIN(CADASTRO_CASAS_BOMBA!$O$9,MAX(0,N410+CADASTRO_CASAS_BOMBA!$I$9*HORAS_CAPTACAO_DIA-M411))</f>
        <v>129000</v>
      </c>
      <c r="O411" s="16" t="n">
        <f aca="false">MAX(0,M411-CADASTRO_CASAS_BOMBA!$I$9*HORAS_CAPTACAO_DIA-N410)</f>
        <v>0</v>
      </c>
      <c r="P411" s="16" t="n">
        <f aca="false">INDEX(AUX_MATRIZES!$C$12:$BP$12,MIN(N_SEMANAS,MAX(1,$C411)))/DIAS_POR_SEMANA</f>
        <v>14343.7372494929</v>
      </c>
      <c r="Q411" s="16" t="n">
        <f aca="false">MIN(CADASTRO_CASAS_BOMBA!$O$10,MAX(0,Q410+CADASTRO_CASAS_BOMBA!$I$10*HORAS_CAPTACAO_DIA-P411))</f>
        <v>0</v>
      </c>
      <c r="R411" s="16" t="n">
        <f aca="false">MAX(0,P411-CADASTRO_CASAS_BOMBA!$I$10*HORAS_CAPTACAO_DIA-Q410)</f>
        <v>1261.33724949289</v>
      </c>
      <c r="S411" s="16" t="n">
        <f aca="false">INDEX(AUX_MATRIZES!$C$13:$BP$13,MIN(N_SEMANAS,MAX(1,$C411)))/DIAS_POR_SEMANA</f>
        <v>14179.3665882353</v>
      </c>
      <c r="T411" s="16" t="n">
        <f aca="false">MIN(CADASTRO_CASAS_BOMBA!$O$11,MAX(0,T410+CADASTRO_CASAS_BOMBA!$I$11*HORAS_CAPTACAO_DIA-S411))</f>
        <v>43443.8004705883</v>
      </c>
      <c r="U411" s="16" t="n">
        <f aca="false">MAX(0,S411-CADASTRO_CASAS_BOMBA!$I$11*HORAS_CAPTACAO_DIA-T410)</f>
        <v>0</v>
      </c>
      <c r="V411" s="16" t="n">
        <f aca="false">INDEX(AUX_MATRIZES!$C$14:$BP$14,MIN(N_SEMANAS,MAX(1,$C411)))/DIAS_POR_SEMANA</f>
        <v>15260.9647058824</v>
      </c>
      <c r="W411" s="16" t="n">
        <f aca="false">MIN(CADASTRO_CASAS_BOMBA!$O$12,MAX(0,W410+CADASTRO_CASAS_BOMBA!$I$12*HORAS_CAPTACAO_DIA-V411))</f>
        <v>79828.8461176471</v>
      </c>
      <c r="X411" s="16" t="n">
        <f aca="false">MAX(0,V411-CADASTRO_CASAS_BOMBA!$I$12*HORAS_CAPTACAO_DIA-W410)</f>
        <v>0</v>
      </c>
      <c r="Y411" s="16" t="n">
        <f aca="false">INDEX(AUX_MATRIZES!$C$15:$BP$15,MIN(N_SEMANAS,MAX(1,$C411)))/DIAS_POR_SEMANA</f>
        <v>0</v>
      </c>
      <c r="Z411" s="16" t="n">
        <f aca="false">MIN(CADASTRO_CASAS_BOMBA!$O$13,MAX(0,Z410+CADASTRO_CASAS_BOMBA!$I$13*HORAS_CAPTACAO_DIA-Y411))</f>
        <v>74903</v>
      </c>
      <c r="AA411" s="16" t="n">
        <f aca="false">MAX(0,Y411-CADASTRO_CASAS_BOMBA!$I$13*HORAS_CAPTACAO_DIA-Z410)</f>
        <v>0</v>
      </c>
    </row>
    <row r="412" customFormat="false" ht="15" hidden="false" customHeight="false" outlineLevel="0" collapsed="false">
      <c r="B412" s="17" t="n">
        <f aca="false">DATA_INICIO_SAFRA+405</f>
        <v>46670</v>
      </c>
      <c r="C412" s="16" t="n">
        <f aca="false">MIN(N_SEMANAS,MAX(1,INT(($B412-DATA_INICIO_SAFRA)/DIAS_POR_SEMANA)+1))</f>
        <v>58</v>
      </c>
      <c r="D412" s="16" t="n">
        <f aca="false">INDEX(AUX_MATRIZES!$C$8:$BP$8,MIN(N_SEMANAS,MAX(1,$C412)))/DIAS_POR_SEMANA</f>
        <v>0</v>
      </c>
      <c r="E412" s="16" t="n">
        <f aca="false">MIN(CADASTRO_CASAS_BOMBA!$O$6,MAX(0,E411+CADASTRO_CASAS_BOMBA!$I$6*HORAS_CAPTACAO_DIA-D412))</f>
        <v>2600</v>
      </c>
      <c r="F412" s="16" t="n">
        <f aca="false">MAX(0,D412-CADASTRO_CASAS_BOMBA!$I$6*HORAS_CAPTACAO_DIA-E411)</f>
        <v>0</v>
      </c>
      <c r="G412" s="16" t="n">
        <f aca="false">INDEX(AUX_MATRIZES!$C$9:$BP$9,MIN(N_SEMANAS,MAX(1,$C412)))/DIAS_POR_SEMANA</f>
        <v>0</v>
      </c>
      <c r="H412" s="16" t="n">
        <f aca="false">MIN(CADASTRO_CASAS_BOMBA!$O$7,MAX(0,H411+CADASTRO_CASAS_BOMBA!$I$7*HORAS_CAPTACAO_DIA-G412))</f>
        <v>76648</v>
      </c>
      <c r="I412" s="16" t="n">
        <f aca="false">MAX(0,G412-CADASTRO_CASAS_BOMBA!$I$7*HORAS_CAPTACAO_DIA-H411)</f>
        <v>0</v>
      </c>
      <c r="J412" s="16" t="n">
        <f aca="false">INDEX(AUX_MATRIZES!$C$10:$BP$10,MIN(N_SEMANAS,MAX(1,$C412)))/DIAS_POR_SEMANA</f>
        <v>0</v>
      </c>
      <c r="K412" s="16" t="n">
        <f aca="false">MIN(CADASTRO_CASAS_BOMBA!$O$8,MAX(0,K411+CADASTRO_CASAS_BOMBA!$I$8*HORAS_CAPTACAO_DIA-J412))</f>
        <v>27377</v>
      </c>
      <c r="L412" s="16" t="n">
        <f aca="false">MAX(0,J412-CADASTRO_CASAS_BOMBA!$I$8*HORAS_CAPTACAO_DIA-K411)</f>
        <v>0</v>
      </c>
      <c r="M412" s="16" t="n">
        <f aca="false">INDEX(AUX_MATRIZES!$C$11:$BP$11,MIN(N_SEMANAS,MAX(1,$C412)))/DIAS_POR_SEMANA</f>
        <v>0</v>
      </c>
      <c r="N412" s="16" t="n">
        <f aca="false">MIN(CADASTRO_CASAS_BOMBA!$O$9,MAX(0,N411+CADASTRO_CASAS_BOMBA!$I$9*HORAS_CAPTACAO_DIA-M412))</f>
        <v>129000</v>
      </c>
      <c r="O412" s="16" t="n">
        <f aca="false">MAX(0,M412-CADASTRO_CASAS_BOMBA!$I$9*HORAS_CAPTACAO_DIA-N411)</f>
        <v>0</v>
      </c>
      <c r="P412" s="16" t="n">
        <f aca="false">INDEX(AUX_MATRIZES!$C$12:$BP$12,MIN(N_SEMANAS,MAX(1,$C412)))/DIAS_POR_SEMANA</f>
        <v>14343.7372494929</v>
      </c>
      <c r="Q412" s="16" t="n">
        <f aca="false">MIN(CADASTRO_CASAS_BOMBA!$O$10,MAX(0,Q411+CADASTRO_CASAS_BOMBA!$I$10*HORAS_CAPTACAO_DIA-P412))</f>
        <v>0</v>
      </c>
      <c r="R412" s="16" t="n">
        <f aca="false">MAX(0,P412-CADASTRO_CASAS_BOMBA!$I$10*HORAS_CAPTACAO_DIA-Q411)</f>
        <v>1261.33724949289</v>
      </c>
      <c r="S412" s="16" t="n">
        <f aca="false">INDEX(AUX_MATRIZES!$C$13:$BP$13,MIN(N_SEMANAS,MAX(1,$C412)))/DIAS_POR_SEMANA</f>
        <v>14179.3665882353</v>
      </c>
      <c r="T412" s="16" t="n">
        <f aca="false">MIN(CADASTRO_CASAS_BOMBA!$O$11,MAX(0,T411+CADASTRO_CASAS_BOMBA!$I$11*HORAS_CAPTACAO_DIA-S412))</f>
        <v>50684.433882353</v>
      </c>
      <c r="U412" s="16" t="n">
        <f aca="false">MAX(0,S412-CADASTRO_CASAS_BOMBA!$I$11*HORAS_CAPTACAO_DIA-T411)</f>
        <v>0</v>
      </c>
      <c r="V412" s="16" t="n">
        <f aca="false">INDEX(AUX_MATRIZES!$C$14:$BP$14,MIN(N_SEMANAS,MAX(1,$C412)))/DIAS_POR_SEMANA</f>
        <v>15260.9647058824</v>
      </c>
      <c r="W412" s="16" t="n">
        <f aca="false">MIN(CADASTRO_CASAS_BOMBA!$O$12,MAX(0,W411+CADASTRO_CASAS_BOMBA!$I$12*HORAS_CAPTACAO_DIA-V412))</f>
        <v>89947.8814117648</v>
      </c>
      <c r="X412" s="16" t="n">
        <f aca="false">MAX(0,V412-CADASTRO_CASAS_BOMBA!$I$12*HORAS_CAPTACAO_DIA-W411)</f>
        <v>0</v>
      </c>
      <c r="Y412" s="16" t="n">
        <f aca="false">INDEX(AUX_MATRIZES!$C$15:$BP$15,MIN(N_SEMANAS,MAX(1,$C412)))/DIAS_POR_SEMANA</f>
        <v>0</v>
      </c>
      <c r="Z412" s="16" t="n">
        <f aca="false">MIN(CADASTRO_CASAS_BOMBA!$O$13,MAX(0,Z411+CADASTRO_CASAS_BOMBA!$I$13*HORAS_CAPTACAO_DIA-Y412))</f>
        <v>74903</v>
      </c>
      <c r="AA412" s="16" t="n">
        <f aca="false">MAX(0,Y412-CADASTRO_CASAS_BOMBA!$I$13*HORAS_CAPTACAO_DIA-Z411)</f>
        <v>0</v>
      </c>
    </row>
    <row r="413" customFormat="false" ht="15" hidden="false" customHeight="false" outlineLevel="0" collapsed="false">
      <c r="B413" s="17" t="n">
        <f aca="false">DATA_INICIO_SAFRA+406</f>
        <v>46671</v>
      </c>
      <c r="C413" s="16" t="n">
        <f aca="false">MIN(N_SEMANAS,MAX(1,INT(($B413-DATA_INICIO_SAFRA)/DIAS_POR_SEMANA)+1))</f>
        <v>59</v>
      </c>
      <c r="D413" s="16" t="n">
        <f aca="false">INDEX(AUX_MATRIZES!$C$8:$BP$8,MIN(N_SEMANAS,MAX(1,$C413)))/DIAS_POR_SEMANA</f>
        <v>0</v>
      </c>
      <c r="E413" s="16" t="n">
        <f aca="false">MIN(CADASTRO_CASAS_BOMBA!$O$6,MAX(0,E412+CADASTRO_CASAS_BOMBA!$I$6*HORAS_CAPTACAO_DIA-D413))</f>
        <v>2600</v>
      </c>
      <c r="F413" s="16" t="n">
        <f aca="false">MAX(0,D413-CADASTRO_CASAS_BOMBA!$I$6*HORAS_CAPTACAO_DIA-E412)</f>
        <v>0</v>
      </c>
      <c r="G413" s="16" t="n">
        <f aca="false">INDEX(AUX_MATRIZES!$C$9:$BP$9,MIN(N_SEMANAS,MAX(1,$C413)))/DIAS_POR_SEMANA</f>
        <v>0</v>
      </c>
      <c r="H413" s="16" t="n">
        <f aca="false">MIN(CADASTRO_CASAS_BOMBA!$O$7,MAX(0,H412+CADASTRO_CASAS_BOMBA!$I$7*HORAS_CAPTACAO_DIA-G413))</f>
        <v>76648</v>
      </c>
      <c r="I413" s="16" t="n">
        <f aca="false">MAX(0,G413-CADASTRO_CASAS_BOMBA!$I$7*HORAS_CAPTACAO_DIA-H412)</f>
        <v>0</v>
      </c>
      <c r="J413" s="16" t="n">
        <f aca="false">INDEX(AUX_MATRIZES!$C$10:$BP$10,MIN(N_SEMANAS,MAX(1,$C413)))/DIAS_POR_SEMANA</f>
        <v>0</v>
      </c>
      <c r="K413" s="16" t="n">
        <f aca="false">MIN(CADASTRO_CASAS_BOMBA!$O$8,MAX(0,K412+CADASTRO_CASAS_BOMBA!$I$8*HORAS_CAPTACAO_DIA-J413))</f>
        <v>27377</v>
      </c>
      <c r="L413" s="16" t="n">
        <f aca="false">MAX(0,J413-CADASTRO_CASAS_BOMBA!$I$8*HORAS_CAPTACAO_DIA-K412)</f>
        <v>0</v>
      </c>
      <c r="M413" s="16" t="n">
        <f aca="false">INDEX(AUX_MATRIZES!$C$11:$BP$11,MIN(N_SEMANAS,MAX(1,$C413)))/DIAS_POR_SEMANA</f>
        <v>0</v>
      </c>
      <c r="N413" s="16" t="n">
        <f aca="false">MIN(CADASTRO_CASAS_BOMBA!$O$9,MAX(0,N412+CADASTRO_CASAS_BOMBA!$I$9*HORAS_CAPTACAO_DIA-M413))</f>
        <v>129000</v>
      </c>
      <c r="O413" s="16" t="n">
        <f aca="false">MAX(0,M413-CADASTRO_CASAS_BOMBA!$I$9*HORAS_CAPTACAO_DIA-N412)</f>
        <v>0</v>
      </c>
      <c r="P413" s="16" t="n">
        <f aca="false">INDEX(AUX_MATRIZES!$C$12:$BP$12,MIN(N_SEMANAS,MAX(1,$C413)))/DIAS_POR_SEMANA</f>
        <v>12244.8690628803</v>
      </c>
      <c r="Q413" s="16" t="n">
        <f aca="false">MIN(CADASTRO_CASAS_BOMBA!$O$10,MAX(0,Q412+CADASTRO_CASAS_BOMBA!$I$10*HORAS_CAPTACAO_DIA-P413))</f>
        <v>837.530937119682</v>
      </c>
      <c r="R413" s="16" t="n">
        <f aca="false">MAX(0,P413-CADASTRO_CASAS_BOMBA!$I$10*HORAS_CAPTACAO_DIA-Q412)</f>
        <v>0</v>
      </c>
      <c r="S413" s="16" t="n">
        <f aca="false">INDEX(AUX_MATRIZES!$C$13:$BP$13,MIN(N_SEMANAS,MAX(1,$C413)))/DIAS_POR_SEMANA</f>
        <v>12618.6070588235</v>
      </c>
      <c r="T413" s="16" t="n">
        <f aca="false">MIN(CADASTRO_CASAS_BOMBA!$O$11,MAX(0,T412+CADASTRO_CASAS_BOMBA!$I$11*HORAS_CAPTACAO_DIA-S413))</f>
        <v>59485.8268235294</v>
      </c>
      <c r="U413" s="16" t="n">
        <f aca="false">MAX(0,S413-CADASTRO_CASAS_BOMBA!$I$11*HORAS_CAPTACAO_DIA-T412)</f>
        <v>0</v>
      </c>
      <c r="V413" s="16" t="n">
        <f aca="false">INDEX(AUX_MATRIZES!$C$14:$BP$14,MIN(N_SEMANAS,MAX(1,$C413)))/DIAS_POR_SEMANA</f>
        <v>13969.730336714</v>
      </c>
      <c r="W413" s="16" t="n">
        <f aca="false">MIN(CADASTRO_CASAS_BOMBA!$O$12,MAX(0,W412+CADASTRO_CASAS_BOMBA!$I$12*HORAS_CAPTACAO_DIA-V413))</f>
        <v>101358.151075051</v>
      </c>
      <c r="X413" s="16" t="n">
        <f aca="false">MAX(0,V413-CADASTRO_CASAS_BOMBA!$I$12*HORAS_CAPTACAO_DIA-W412)</f>
        <v>0</v>
      </c>
      <c r="Y413" s="16" t="n">
        <f aca="false">INDEX(AUX_MATRIZES!$C$15:$BP$15,MIN(N_SEMANAS,MAX(1,$C413)))/DIAS_POR_SEMANA</f>
        <v>0</v>
      </c>
      <c r="Z413" s="16" t="n">
        <f aca="false">MIN(CADASTRO_CASAS_BOMBA!$O$13,MAX(0,Z412+CADASTRO_CASAS_BOMBA!$I$13*HORAS_CAPTACAO_DIA-Y413))</f>
        <v>74903</v>
      </c>
      <c r="AA413" s="16" t="n">
        <f aca="false">MAX(0,Y413-CADASTRO_CASAS_BOMBA!$I$13*HORAS_CAPTACAO_DIA-Z412)</f>
        <v>0</v>
      </c>
    </row>
    <row r="414" customFormat="false" ht="15" hidden="false" customHeight="false" outlineLevel="0" collapsed="false">
      <c r="B414" s="17" t="n">
        <f aca="false">DATA_INICIO_SAFRA+407</f>
        <v>46672</v>
      </c>
      <c r="C414" s="16" t="n">
        <f aca="false">MIN(N_SEMANAS,MAX(1,INT(($B414-DATA_INICIO_SAFRA)/DIAS_POR_SEMANA)+1))</f>
        <v>59</v>
      </c>
      <c r="D414" s="16" t="n">
        <f aca="false">INDEX(AUX_MATRIZES!$C$8:$BP$8,MIN(N_SEMANAS,MAX(1,$C414)))/DIAS_POR_SEMANA</f>
        <v>0</v>
      </c>
      <c r="E414" s="16" t="n">
        <f aca="false">MIN(CADASTRO_CASAS_BOMBA!$O$6,MAX(0,E413+CADASTRO_CASAS_BOMBA!$I$6*HORAS_CAPTACAO_DIA-D414))</f>
        <v>2600</v>
      </c>
      <c r="F414" s="16" t="n">
        <f aca="false">MAX(0,D414-CADASTRO_CASAS_BOMBA!$I$6*HORAS_CAPTACAO_DIA-E413)</f>
        <v>0</v>
      </c>
      <c r="G414" s="16" t="n">
        <f aca="false">INDEX(AUX_MATRIZES!$C$9:$BP$9,MIN(N_SEMANAS,MAX(1,$C414)))/DIAS_POR_SEMANA</f>
        <v>0</v>
      </c>
      <c r="H414" s="16" t="n">
        <f aca="false">MIN(CADASTRO_CASAS_BOMBA!$O$7,MAX(0,H413+CADASTRO_CASAS_BOMBA!$I$7*HORAS_CAPTACAO_DIA-G414))</f>
        <v>76648</v>
      </c>
      <c r="I414" s="16" t="n">
        <f aca="false">MAX(0,G414-CADASTRO_CASAS_BOMBA!$I$7*HORAS_CAPTACAO_DIA-H413)</f>
        <v>0</v>
      </c>
      <c r="J414" s="16" t="n">
        <f aca="false">INDEX(AUX_MATRIZES!$C$10:$BP$10,MIN(N_SEMANAS,MAX(1,$C414)))/DIAS_POR_SEMANA</f>
        <v>0</v>
      </c>
      <c r="K414" s="16" t="n">
        <f aca="false">MIN(CADASTRO_CASAS_BOMBA!$O$8,MAX(0,K413+CADASTRO_CASAS_BOMBA!$I$8*HORAS_CAPTACAO_DIA-J414))</f>
        <v>27377</v>
      </c>
      <c r="L414" s="16" t="n">
        <f aca="false">MAX(0,J414-CADASTRO_CASAS_BOMBA!$I$8*HORAS_CAPTACAO_DIA-K413)</f>
        <v>0</v>
      </c>
      <c r="M414" s="16" t="n">
        <f aca="false">INDEX(AUX_MATRIZES!$C$11:$BP$11,MIN(N_SEMANAS,MAX(1,$C414)))/DIAS_POR_SEMANA</f>
        <v>0</v>
      </c>
      <c r="N414" s="16" t="n">
        <f aca="false">MIN(CADASTRO_CASAS_BOMBA!$O$9,MAX(0,N413+CADASTRO_CASAS_BOMBA!$I$9*HORAS_CAPTACAO_DIA-M414))</f>
        <v>129000</v>
      </c>
      <c r="O414" s="16" t="n">
        <f aca="false">MAX(0,M414-CADASTRO_CASAS_BOMBA!$I$9*HORAS_CAPTACAO_DIA-N413)</f>
        <v>0</v>
      </c>
      <c r="P414" s="16" t="n">
        <f aca="false">INDEX(AUX_MATRIZES!$C$12:$BP$12,MIN(N_SEMANAS,MAX(1,$C414)))/DIAS_POR_SEMANA</f>
        <v>12244.8690628803</v>
      </c>
      <c r="Q414" s="16" t="n">
        <f aca="false">MIN(CADASTRO_CASAS_BOMBA!$O$10,MAX(0,Q413+CADASTRO_CASAS_BOMBA!$I$10*HORAS_CAPTACAO_DIA-P414))</f>
        <v>1675.06187423936</v>
      </c>
      <c r="R414" s="16" t="n">
        <f aca="false">MAX(0,P414-CADASTRO_CASAS_BOMBA!$I$10*HORAS_CAPTACAO_DIA-Q413)</f>
        <v>0</v>
      </c>
      <c r="S414" s="16" t="n">
        <f aca="false">INDEX(AUX_MATRIZES!$C$13:$BP$13,MIN(N_SEMANAS,MAX(1,$C414)))/DIAS_POR_SEMANA</f>
        <v>12618.6070588235</v>
      </c>
      <c r="T414" s="16" t="n">
        <f aca="false">MIN(CADASTRO_CASAS_BOMBA!$O$11,MAX(0,T413+CADASTRO_CASAS_BOMBA!$I$11*HORAS_CAPTACAO_DIA-S414))</f>
        <v>68287.2197647059</v>
      </c>
      <c r="U414" s="16" t="n">
        <f aca="false">MAX(0,S414-CADASTRO_CASAS_BOMBA!$I$11*HORAS_CAPTACAO_DIA-T413)</f>
        <v>0</v>
      </c>
      <c r="V414" s="16" t="n">
        <f aca="false">INDEX(AUX_MATRIZES!$C$14:$BP$14,MIN(N_SEMANAS,MAX(1,$C414)))/DIAS_POR_SEMANA</f>
        <v>13969.730336714</v>
      </c>
      <c r="W414" s="16" t="n">
        <f aca="false">MIN(CADASTRO_CASAS_BOMBA!$O$12,MAX(0,W413+CADASTRO_CASAS_BOMBA!$I$12*HORAS_CAPTACAO_DIA-V414))</f>
        <v>112768.420738337</v>
      </c>
      <c r="X414" s="16" t="n">
        <f aca="false">MAX(0,V414-CADASTRO_CASAS_BOMBA!$I$12*HORAS_CAPTACAO_DIA-W413)</f>
        <v>0</v>
      </c>
      <c r="Y414" s="16" t="n">
        <f aca="false">INDEX(AUX_MATRIZES!$C$15:$BP$15,MIN(N_SEMANAS,MAX(1,$C414)))/DIAS_POR_SEMANA</f>
        <v>0</v>
      </c>
      <c r="Z414" s="16" t="n">
        <f aca="false">MIN(CADASTRO_CASAS_BOMBA!$O$13,MAX(0,Z413+CADASTRO_CASAS_BOMBA!$I$13*HORAS_CAPTACAO_DIA-Y414))</f>
        <v>74903</v>
      </c>
      <c r="AA414" s="16" t="n">
        <f aca="false">MAX(0,Y414-CADASTRO_CASAS_BOMBA!$I$13*HORAS_CAPTACAO_DIA-Z413)</f>
        <v>0</v>
      </c>
    </row>
    <row r="415" customFormat="false" ht="15" hidden="false" customHeight="false" outlineLevel="0" collapsed="false">
      <c r="B415" s="17" t="n">
        <f aca="false">DATA_INICIO_SAFRA+408</f>
        <v>46673</v>
      </c>
      <c r="C415" s="16" t="n">
        <f aca="false">MIN(N_SEMANAS,MAX(1,INT(($B415-DATA_INICIO_SAFRA)/DIAS_POR_SEMANA)+1))</f>
        <v>59</v>
      </c>
      <c r="D415" s="16" t="n">
        <f aca="false">INDEX(AUX_MATRIZES!$C$8:$BP$8,MIN(N_SEMANAS,MAX(1,$C415)))/DIAS_POR_SEMANA</f>
        <v>0</v>
      </c>
      <c r="E415" s="16" t="n">
        <f aca="false">MIN(CADASTRO_CASAS_BOMBA!$O$6,MAX(0,E414+CADASTRO_CASAS_BOMBA!$I$6*HORAS_CAPTACAO_DIA-D415))</f>
        <v>2600</v>
      </c>
      <c r="F415" s="16" t="n">
        <f aca="false">MAX(0,D415-CADASTRO_CASAS_BOMBA!$I$6*HORAS_CAPTACAO_DIA-E414)</f>
        <v>0</v>
      </c>
      <c r="G415" s="16" t="n">
        <f aca="false">INDEX(AUX_MATRIZES!$C$9:$BP$9,MIN(N_SEMANAS,MAX(1,$C415)))/DIAS_POR_SEMANA</f>
        <v>0</v>
      </c>
      <c r="H415" s="16" t="n">
        <f aca="false">MIN(CADASTRO_CASAS_BOMBA!$O$7,MAX(0,H414+CADASTRO_CASAS_BOMBA!$I$7*HORAS_CAPTACAO_DIA-G415))</f>
        <v>76648</v>
      </c>
      <c r="I415" s="16" t="n">
        <f aca="false">MAX(0,G415-CADASTRO_CASAS_BOMBA!$I$7*HORAS_CAPTACAO_DIA-H414)</f>
        <v>0</v>
      </c>
      <c r="J415" s="16" t="n">
        <f aca="false">INDEX(AUX_MATRIZES!$C$10:$BP$10,MIN(N_SEMANAS,MAX(1,$C415)))/DIAS_POR_SEMANA</f>
        <v>0</v>
      </c>
      <c r="K415" s="16" t="n">
        <f aca="false">MIN(CADASTRO_CASAS_BOMBA!$O$8,MAX(0,K414+CADASTRO_CASAS_BOMBA!$I$8*HORAS_CAPTACAO_DIA-J415))</f>
        <v>27377</v>
      </c>
      <c r="L415" s="16" t="n">
        <f aca="false">MAX(0,J415-CADASTRO_CASAS_BOMBA!$I$8*HORAS_CAPTACAO_DIA-K414)</f>
        <v>0</v>
      </c>
      <c r="M415" s="16" t="n">
        <f aca="false">INDEX(AUX_MATRIZES!$C$11:$BP$11,MIN(N_SEMANAS,MAX(1,$C415)))/DIAS_POR_SEMANA</f>
        <v>0</v>
      </c>
      <c r="N415" s="16" t="n">
        <f aca="false">MIN(CADASTRO_CASAS_BOMBA!$O$9,MAX(0,N414+CADASTRO_CASAS_BOMBA!$I$9*HORAS_CAPTACAO_DIA-M415))</f>
        <v>129000</v>
      </c>
      <c r="O415" s="16" t="n">
        <f aca="false">MAX(0,M415-CADASTRO_CASAS_BOMBA!$I$9*HORAS_CAPTACAO_DIA-N414)</f>
        <v>0</v>
      </c>
      <c r="P415" s="16" t="n">
        <f aca="false">INDEX(AUX_MATRIZES!$C$12:$BP$12,MIN(N_SEMANAS,MAX(1,$C415)))/DIAS_POR_SEMANA</f>
        <v>12244.8690628803</v>
      </c>
      <c r="Q415" s="16" t="n">
        <f aca="false">MIN(CADASTRO_CASAS_BOMBA!$O$10,MAX(0,Q414+CADASTRO_CASAS_BOMBA!$I$10*HORAS_CAPTACAO_DIA-P415))</f>
        <v>2512.59281135905</v>
      </c>
      <c r="R415" s="16" t="n">
        <f aca="false">MAX(0,P415-CADASTRO_CASAS_BOMBA!$I$10*HORAS_CAPTACAO_DIA-Q414)</f>
        <v>0</v>
      </c>
      <c r="S415" s="16" t="n">
        <f aca="false">INDEX(AUX_MATRIZES!$C$13:$BP$13,MIN(N_SEMANAS,MAX(1,$C415)))/DIAS_POR_SEMANA</f>
        <v>12618.6070588235</v>
      </c>
      <c r="T415" s="16" t="n">
        <f aca="false">MIN(CADASTRO_CASAS_BOMBA!$O$11,MAX(0,T414+CADASTRO_CASAS_BOMBA!$I$11*HORAS_CAPTACAO_DIA-S415))</f>
        <v>77088.6127058824</v>
      </c>
      <c r="U415" s="16" t="n">
        <f aca="false">MAX(0,S415-CADASTRO_CASAS_BOMBA!$I$11*HORAS_CAPTACAO_DIA-T414)</f>
        <v>0</v>
      </c>
      <c r="V415" s="16" t="n">
        <f aca="false">INDEX(AUX_MATRIZES!$C$14:$BP$14,MIN(N_SEMANAS,MAX(1,$C415)))/DIAS_POR_SEMANA</f>
        <v>13969.730336714</v>
      </c>
      <c r="W415" s="16" t="n">
        <f aca="false">MIN(CADASTRO_CASAS_BOMBA!$O$12,MAX(0,W414+CADASTRO_CASAS_BOMBA!$I$12*HORAS_CAPTACAO_DIA-V415))</f>
        <v>124178.690401623</v>
      </c>
      <c r="X415" s="16" t="n">
        <f aca="false">MAX(0,V415-CADASTRO_CASAS_BOMBA!$I$12*HORAS_CAPTACAO_DIA-W414)</f>
        <v>0</v>
      </c>
      <c r="Y415" s="16" t="n">
        <f aca="false">INDEX(AUX_MATRIZES!$C$15:$BP$15,MIN(N_SEMANAS,MAX(1,$C415)))/DIAS_POR_SEMANA</f>
        <v>0</v>
      </c>
      <c r="Z415" s="16" t="n">
        <f aca="false">MIN(CADASTRO_CASAS_BOMBA!$O$13,MAX(0,Z414+CADASTRO_CASAS_BOMBA!$I$13*HORAS_CAPTACAO_DIA-Y415))</f>
        <v>74903</v>
      </c>
      <c r="AA415" s="16" t="n">
        <f aca="false">MAX(0,Y415-CADASTRO_CASAS_BOMBA!$I$13*HORAS_CAPTACAO_DIA-Z414)</f>
        <v>0</v>
      </c>
    </row>
    <row r="416" customFormat="false" ht="15" hidden="false" customHeight="false" outlineLevel="0" collapsed="false">
      <c r="B416" s="17" t="n">
        <f aca="false">DATA_INICIO_SAFRA+409</f>
        <v>46674</v>
      </c>
      <c r="C416" s="16" t="n">
        <f aca="false">MIN(N_SEMANAS,MAX(1,INT(($B416-DATA_INICIO_SAFRA)/DIAS_POR_SEMANA)+1))</f>
        <v>59</v>
      </c>
      <c r="D416" s="16" t="n">
        <f aca="false">INDEX(AUX_MATRIZES!$C$8:$BP$8,MIN(N_SEMANAS,MAX(1,$C416)))/DIAS_POR_SEMANA</f>
        <v>0</v>
      </c>
      <c r="E416" s="16" t="n">
        <f aca="false">MIN(CADASTRO_CASAS_BOMBA!$O$6,MAX(0,E415+CADASTRO_CASAS_BOMBA!$I$6*HORAS_CAPTACAO_DIA-D416))</f>
        <v>2600</v>
      </c>
      <c r="F416" s="16" t="n">
        <f aca="false">MAX(0,D416-CADASTRO_CASAS_BOMBA!$I$6*HORAS_CAPTACAO_DIA-E415)</f>
        <v>0</v>
      </c>
      <c r="G416" s="16" t="n">
        <f aca="false">INDEX(AUX_MATRIZES!$C$9:$BP$9,MIN(N_SEMANAS,MAX(1,$C416)))/DIAS_POR_SEMANA</f>
        <v>0</v>
      </c>
      <c r="H416" s="16" t="n">
        <f aca="false">MIN(CADASTRO_CASAS_BOMBA!$O$7,MAX(0,H415+CADASTRO_CASAS_BOMBA!$I$7*HORAS_CAPTACAO_DIA-G416))</f>
        <v>76648</v>
      </c>
      <c r="I416" s="16" t="n">
        <f aca="false">MAX(0,G416-CADASTRO_CASAS_BOMBA!$I$7*HORAS_CAPTACAO_DIA-H415)</f>
        <v>0</v>
      </c>
      <c r="J416" s="16" t="n">
        <f aca="false">INDEX(AUX_MATRIZES!$C$10:$BP$10,MIN(N_SEMANAS,MAX(1,$C416)))/DIAS_POR_SEMANA</f>
        <v>0</v>
      </c>
      <c r="K416" s="16" t="n">
        <f aca="false">MIN(CADASTRO_CASAS_BOMBA!$O$8,MAX(0,K415+CADASTRO_CASAS_BOMBA!$I$8*HORAS_CAPTACAO_DIA-J416))</f>
        <v>27377</v>
      </c>
      <c r="L416" s="16" t="n">
        <f aca="false">MAX(0,J416-CADASTRO_CASAS_BOMBA!$I$8*HORAS_CAPTACAO_DIA-K415)</f>
        <v>0</v>
      </c>
      <c r="M416" s="16" t="n">
        <f aca="false">INDEX(AUX_MATRIZES!$C$11:$BP$11,MIN(N_SEMANAS,MAX(1,$C416)))/DIAS_POR_SEMANA</f>
        <v>0</v>
      </c>
      <c r="N416" s="16" t="n">
        <f aca="false">MIN(CADASTRO_CASAS_BOMBA!$O$9,MAX(0,N415+CADASTRO_CASAS_BOMBA!$I$9*HORAS_CAPTACAO_DIA-M416))</f>
        <v>129000</v>
      </c>
      <c r="O416" s="16" t="n">
        <f aca="false">MAX(0,M416-CADASTRO_CASAS_BOMBA!$I$9*HORAS_CAPTACAO_DIA-N415)</f>
        <v>0</v>
      </c>
      <c r="P416" s="16" t="n">
        <f aca="false">INDEX(AUX_MATRIZES!$C$12:$BP$12,MIN(N_SEMANAS,MAX(1,$C416)))/DIAS_POR_SEMANA</f>
        <v>12244.8690628803</v>
      </c>
      <c r="Q416" s="16" t="n">
        <f aca="false">MIN(CADASTRO_CASAS_BOMBA!$O$10,MAX(0,Q415+CADASTRO_CASAS_BOMBA!$I$10*HORAS_CAPTACAO_DIA-P416))</f>
        <v>3350.12374847873</v>
      </c>
      <c r="R416" s="16" t="n">
        <f aca="false">MAX(0,P416-CADASTRO_CASAS_BOMBA!$I$10*HORAS_CAPTACAO_DIA-Q415)</f>
        <v>0</v>
      </c>
      <c r="S416" s="16" t="n">
        <f aca="false">INDEX(AUX_MATRIZES!$C$13:$BP$13,MIN(N_SEMANAS,MAX(1,$C416)))/DIAS_POR_SEMANA</f>
        <v>12618.6070588235</v>
      </c>
      <c r="T416" s="16" t="n">
        <f aca="false">MIN(CADASTRO_CASAS_BOMBA!$O$11,MAX(0,T415+CADASTRO_CASAS_BOMBA!$I$11*HORAS_CAPTACAO_DIA-S416))</f>
        <v>85890.0056470588</v>
      </c>
      <c r="U416" s="16" t="n">
        <f aca="false">MAX(0,S416-CADASTRO_CASAS_BOMBA!$I$11*HORAS_CAPTACAO_DIA-T415)</f>
        <v>0</v>
      </c>
      <c r="V416" s="16" t="n">
        <f aca="false">INDEX(AUX_MATRIZES!$C$14:$BP$14,MIN(N_SEMANAS,MAX(1,$C416)))/DIAS_POR_SEMANA</f>
        <v>13969.730336714</v>
      </c>
      <c r="W416" s="16" t="n">
        <f aca="false">MIN(CADASTRO_CASAS_BOMBA!$O$12,MAX(0,W415+CADASTRO_CASAS_BOMBA!$I$12*HORAS_CAPTACAO_DIA-V416))</f>
        <v>135588.960064909</v>
      </c>
      <c r="X416" s="16" t="n">
        <f aca="false">MAX(0,V416-CADASTRO_CASAS_BOMBA!$I$12*HORAS_CAPTACAO_DIA-W415)</f>
        <v>0</v>
      </c>
      <c r="Y416" s="16" t="n">
        <f aca="false">INDEX(AUX_MATRIZES!$C$15:$BP$15,MIN(N_SEMANAS,MAX(1,$C416)))/DIAS_POR_SEMANA</f>
        <v>0</v>
      </c>
      <c r="Z416" s="16" t="n">
        <f aca="false">MIN(CADASTRO_CASAS_BOMBA!$O$13,MAX(0,Z415+CADASTRO_CASAS_BOMBA!$I$13*HORAS_CAPTACAO_DIA-Y416))</f>
        <v>74903</v>
      </c>
      <c r="AA416" s="16" t="n">
        <f aca="false">MAX(0,Y416-CADASTRO_CASAS_BOMBA!$I$13*HORAS_CAPTACAO_DIA-Z415)</f>
        <v>0</v>
      </c>
    </row>
    <row r="417" customFormat="false" ht="15" hidden="false" customHeight="false" outlineLevel="0" collapsed="false">
      <c r="B417" s="17" t="n">
        <f aca="false">DATA_INICIO_SAFRA+410</f>
        <v>46675</v>
      </c>
      <c r="C417" s="16" t="n">
        <f aca="false">MIN(N_SEMANAS,MAX(1,INT(($B417-DATA_INICIO_SAFRA)/DIAS_POR_SEMANA)+1))</f>
        <v>59</v>
      </c>
      <c r="D417" s="16" t="n">
        <f aca="false">INDEX(AUX_MATRIZES!$C$8:$BP$8,MIN(N_SEMANAS,MAX(1,$C417)))/DIAS_POR_SEMANA</f>
        <v>0</v>
      </c>
      <c r="E417" s="16" t="n">
        <f aca="false">MIN(CADASTRO_CASAS_BOMBA!$O$6,MAX(0,E416+CADASTRO_CASAS_BOMBA!$I$6*HORAS_CAPTACAO_DIA-D417))</f>
        <v>2600</v>
      </c>
      <c r="F417" s="16" t="n">
        <f aca="false">MAX(0,D417-CADASTRO_CASAS_BOMBA!$I$6*HORAS_CAPTACAO_DIA-E416)</f>
        <v>0</v>
      </c>
      <c r="G417" s="16" t="n">
        <f aca="false">INDEX(AUX_MATRIZES!$C$9:$BP$9,MIN(N_SEMANAS,MAX(1,$C417)))/DIAS_POR_SEMANA</f>
        <v>0</v>
      </c>
      <c r="H417" s="16" t="n">
        <f aca="false">MIN(CADASTRO_CASAS_BOMBA!$O$7,MAX(0,H416+CADASTRO_CASAS_BOMBA!$I$7*HORAS_CAPTACAO_DIA-G417))</f>
        <v>76648</v>
      </c>
      <c r="I417" s="16" t="n">
        <f aca="false">MAX(0,G417-CADASTRO_CASAS_BOMBA!$I$7*HORAS_CAPTACAO_DIA-H416)</f>
        <v>0</v>
      </c>
      <c r="J417" s="16" t="n">
        <f aca="false">INDEX(AUX_MATRIZES!$C$10:$BP$10,MIN(N_SEMANAS,MAX(1,$C417)))/DIAS_POR_SEMANA</f>
        <v>0</v>
      </c>
      <c r="K417" s="16" t="n">
        <f aca="false">MIN(CADASTRO_CASAS_BOMBA!$O$8,MAX(0,K416+CADASTRO_CASAS_BOMBA!$I$8*HORAS_CAPTACAO_DIA-J417))</f>
        <v>27377</v>
      </c>
      <c r="L417" s="16" t="n">
        <f aca="false">MAX(0,J417-CADASTRO_CASAS_BOMBA!$I$8*HORAS_CAPTACAO_DIA-K416)</f>
        <v>0</v>
      </c>
      <c r="M417" s="16" t="n">
        <f aca="false">INDEX(AUX_MATRIZES!$C$11:$BP$11,MIN(N_SEMANAS,MAX(1,$C417)))/DIAS_POR_SEMANA</f>
        <v>0</v>
      </c>
      <c r="N417" s="16" t="n">
        <f aca="false">MIN(CADASTRO_CASAS_BOMBA!$O$9,MAX(0,N416+CADASTRO_CASAS_BOMBA!$I$9*HORAS_CAPTACAO_DIA-M417))</f>
        <v>129000</v>
      </c>
      <c r="O417" s="16" t="n">
        <f aca="false">MAX(0,M417-CADASTRO_CASAS_BOMBA!$I$9*HORAS_CAPTACAO_DIA-N416)</f>
        <v>0</v>
      </c>
      <c r="P417" s="16" t="n">
        <f aca="false">INDEX(AUX_MATRIZES!$C$12:$BP$12,MIN(N_SEMANAS,MAX(1,$C417)))/DIAS_POR_SEMANA</f>
        <v>12244.8690628803</v>
      </c>
      <c r="Q417" s="16" t="n">
        <f aca="false">MIN(CADASTRO_CASAS_BOMBA!$O$10,MAX(0,Q416+CADASTRO_CASAS_BOMBA!$I$10*HORAS_CAPTACAO_DIA-P417))</f>
        <v>4187.65468559841</v>
      </c>
      <c r="R417" s="16" t="n">
        <f aca="false">MAX(0,P417-CADASTRO_CASAS_BOMBA!$I$10*HORAS_CAPTACAO_DIA-Q416)</f>
        <v>0</v>
      </c>
      <c r="S417" s="16" t="n">
        <f aca="false">INDEX(AUX_MATRIZES!$C$13:$BP$13,MIN(N_SEMANAS,MAX(1,$C417)))/DIAS_POR_SEMANA</f>
        <v>12618.6070588235</v>
      </c>
      <c r="T417" s="16" t="n">
        <f aca="false">MIN(CADASTRO_CASAS_BOMBA!$O$11,MAX(0,T416+CADASTRO_CASAS_BOMBA!$I$11*HORAS_CAPTACAO_DIA-S417))</f>
        <v>94691.3985882353</v>
      </c>
      <c r="U417" s="16" t="n">
        <f aca="false">MAX(0,S417-CADASTRO_CASAS_BOMBA!$I$11*HORAS_CAPTACAO_DIA-T416)</f>
        <v>0</v>
      </c>
      <c r="V417" s="16" t="n">
        <f aca="false">INDEX(AUX_MATRIZES!$C$14:$BP$14,MIN(N_SEMANAS,MAX(1,$C417)))/DIAS_POR_SEMANA</f>
        <v>13969.730336714</v>
      </c>
      <c r="W417" s="16" t="n">
        <f aca="false">MIN(CADASTRO_CASAS_BOMBA!$O$12,MAX(0,W416+CADASTRO_CASAS_BOMBA!$I$12*HORAS_CAPTACAO_DIA-V417))</f>
        <v>146999.229728195</v>
      </c>
      <c r="X417" s="16" t="n">
        <f aca="false">MAX(0,V417-CADASTRO_CASAS_BOMBA!$I$12*HORAS_CAPTACAO_DIA-W416)</f>
        <v>0</v>
      </c>
      <c r="Y417" s="16" t="n">
        <f aca="false">INDEX(AUX_MATRIZES!$C$15:$BP$15,MIN(N_SEMANAS,MAX(1,$C417)))/DIAS_POR_SEMANA</f>
        <v>0</v>
      </c>
      <c r="Z417" s="16" t="n">
        <f aca="false">MIN(CADASTRO_CASAS_BOMBA!$O$13,MAX(0,Z416+CADASTRO_CASAS_BOMBA!$I$13*HORAS_CAPTACAO_DIA-Y417))</f>
        <v>74903</v>
      </c>
      <c r="AA417" s="16" t="n">
        <f aca="false">MAX(0,Y417-CADASTRO_CASAS_BOMBA!$I$13*HORAS_CAPTACAO_DIA-Z416)</f>
        <v>0</v>
      </c>
    </row>
    <row r="418" customFormat="false" ht="15" hidden="false" customHeight="false" outlineLevel="0" collapsed="false">
      <c r="B418" s="17" t="n">
        <f aca="false">DATA_INICIO_SAFRA+411</f>
        <v>46676</v>
      </c>
      <c r="C418" s="16" t="n">
        <f aca="false">MIN(N_SEMANAS,MAX(1,INT(($B418-DATA_INICIO_SAFRA)/DIAS_POR_SEMANA)+1))</f>
        <v>59</v>
      </c>
      <c r="D418" s="16" t="n">
        <f aca="false">INDEX(AUX_MATRIZES!$C$8:$BP$8,MIN(N_SEMANAS,MAX(1,$C418)))/DIAS_POR_SEMANA</f>
        <v>0</v>
      </c>
      <c r="E418" s="16" t="n">
        <f aca="false">MIN(CADASTRO_CASAS_BOMBA!$O$6,MAX(0,E417+CADASTRO_CASAS_BOMBA!$I$6*HORAS_CAPTACAO_DIA-D418))</f>
        <v>2600</v>
      </c>
      <c r="F418" s="16" t="n">
        <f aca="false">MAX(0,D418-CADASTRO_CASAS_BOMBA!$I$6*HORAS_CAPTACAO_DIA-E417)</f>
        <v>0</v>
      </c>
      <c r="G418" s="16" t="n">
        <f aca="false">INDEX(AUX_MATRIZES!$C$9:$BP$9,MIN(N_SEMANAS,MAX(1,$C418)))/DIAS_POR_SEMANA</f>
        <v>0</v>
      </c>
      <c r="H418" s="16" t="n">
        <f aca="false">MIN(CADASTRO_CASAS_BOMBA!$O$7,MAX(0,H417+CADASTRO_CASAS_BOMBA!$I$7*HORAS_CAPTACAO_DIA-G418))</f>
        <v>76648</v>
      </c>
      <c r="I418" s="16" t="n">
        <f aca="false">MAX(0,G418-CADASTRO_CASAS_BOMBA!$I$7*HORAS_CAPTACAO_DIA-H417)</f>
        <v>0</v>
      </c>
      <c r="J418" s="16" t="n">
        <f aca="false">INDEX(AUX_MATRIZES!$C$10:$BP$10,MIN(N_SEMANAS,MAX(1,$C418)))/DIAS_POR_SEMANA</f>
        <v>0</v>
      </c>
      <c r="K418" s="16" t="n">
        <f aca="false">MIN(CADASTRO_CASAS_BOMBA!$O$8,MAX(0,K417+CADASTRO_CASAS_BOMBA!$I$8*HORAS_CAPTACAO_DIA-J418))</f>
        <v>27377</v>
      </c>
      <c r="L418" s="16" t="n">
        <f aca="false">MAX(0,J418-CADASTRO_CASAS_BOMBA!$I$8*HORAS_CAPTACAO_DIA-K417)</f>
        <v>0</v>
      </c>
      <c r="M418" s="16" t="n">
        <f aca="false">INDEX(AUX_MATRIZES!$C$11:$BP$11,MIN(N_SEMANAS,MAX(1,$C418)))/DIAS_POR_SEMANA</f>
        <v>0</v>
      </c>
      <c r="N418" s="16" t="n">
        <f aca="false">MIN(CADASTRO_CASAS_BOMBA!$O$9,MAX(0,N417+CADASTRO_CASAS_BOMBA!$I$9*HORAS_CAPTACAO_DIA-M418))</f>
        <v>129000</v>
      </c>
      <c r="O418" s="16" t="n">
        <f aca="false">MAX(0,M418-CADASTRO_CASAS_BOMBA!$I$9*HORAS_CAPTACAO_DIA-N417)</f>
        <v>0</v>
      </c>
      <c r="P418" s="16" t="n">
        <f aca="false">INDEX(AUX_MATRIZES!$C$12:$BP$12,MIN(N_SEMANAS,MAX(1,$C418)))/DIAS_POR_SEMANA</f>
        <v>12244.8690628803</v>
      </c>
      <c r="Q418" s="16" t="n">
        <f aca="false">MIN(CADASTRO_CASAS_BOMBA!$O$10,MAX(0,Q417+CADASTRO_CASAS_BOMBA!$I$10*HORAS_CAPTACAO_DIA-P418))</f>
        <v>5025.18562271809</v>
      </c>
      <c r="R418" s="16" t="n">
        <f aca="false">MAX(0,P418-CADASTRO_CASAS_BOMBA!$I$10*HORAS_CAPTACAO_DIA-Q417)</f>
        <v>0</v>
      </c>
      <c r="S418" s="16" t="n">
        <f aca="false">INDEX(AUX_MATRIZES!$C$13:$BP$13,MIN(N_SEMANAS,MAX(1,$C418)))/DIAS_POR_SEMANA</f>
        <v>12618.6070588235</v>
      </c>
      <c r="T418" s="16" t="n">
        <f aca="false">MIN(CADASTRO_CASAS_BOMBA!$O$11,MAX(0,T417+CADASTRO_CASAS_BOMBA!$I$11*HORAS_CAPTACAO_DIA-S418))</f>
        <v>103492.791529412</v>
      </c>
      <c r="U418" s="16" t="n">
        <f aca="false">MAX(0,S418-CADASTRO_CASAS_BOMBA!$I$11*HORAS_CAPTACAO_DIA-T417)</f>
        <v>0</v>
      </c>
      <c r="V418" s="16" t="n">
        <f aca="false">INDEX(AUX_MATRIZES!$C$14:$BP$14,MIN(N_SEMANAS,MAX(1,$C418)))/DIAS_POR_SEMANA</f>
        <v>13969.730336714</v>
      </c>
      <c r="W418" s="16" t="n">
        <f aca="false">MIN(CADASTRO_CASAS_BOMBA!$O$12,MAX(0,W417+CADASTRO_CASAS_BOMBA!$I$12*HORAS_CAPTACAO_DIA-V418))</f>
        <v>158409.499391481</v>
      </c>
      <c r="X418" s="16" t="n">
        <f aca="false">MAX(0,V418-CADASTRO_CASAS_BOMBA!$I$12*HORAS_CAPTACAO_DIA-W417)</f>
        <v>0</v>
      </c>
      <c r="Y418" s="16" t="n">
        <f aca="false">INDEX(AUX_MATRIZES!$C$15:$BP$15,MIN(N_SEMANAS,MAX(1,$C418)))/DIAS_POR_SEMANA</f>
        <v>0</v>
      </c>
      <c r="Z418" s="16" t="n">
        <f aca="false">MIN(CADASTRO_CASAS_BOMBA!$O$13,MAX(0,Z417+CADASTRO_CASAS_BOMBA!$I$13*HORAS_CAPTACAO_DIA-Y418))</f>
        <v>74903</v>
      </c>
      <c r="AA418" s="16" t="n">
        <f aca="false">MAX(0,Y418-CADASTRO_CASAS_BOMBA!$I$13*HORAS_CAPTACAO_DIA-Z417)</f>
        <v>0</v>
      </c>
    </row>
    <row r="419" customFormat="false" ht="15" hidden="false" customHeight="false" outlineLevel="0" collapsed="false">
      <c r="B419" s="17" t="n">
        <f aca="false">DATA_INICIO_SAFRA+412</f>
        <v>46677</v>
      </c>
      <c r="C419" s="16" t="n">
        <f aca="false">MIN(N_SEMANAS,MAX(1,INT(($B419-DATA_INICIO_SAFRA)/DIAS_POR_SEMANA)+1))</f>
        <v>59</v>
      </c>
      <c r="D419" s="16" t="n">
        <f aca="false">INDEX(AUX_MATRIZES!$C$8:$BP$8,MIN(N_SEMANAS,MAX(1,$C419)))/DIAS_POR_SEMANA</f>
        <v>0</v>
      </c>
      <c r="E419" s="16" t="n">
        <f aca="false">MIN(CADASTRO_CASAS_BOMBA!$O$6,MAX(0,E418+CADASTRO_CASAS_BOMBA!$I$6*HORAS_CAPTACAO_DIA-D419))</f>
        <v>2600</v>
      </c>
      <c r="F419" s="16" t="n">
        <f aca="false">MAX(0,D419-CADASTRO_CASAS_BOMBA!$I$6*HORAS_CAPTACAO_DIA-E418)</f>
        <v>0</v>
      </c>
      <c r="G419" s="16" t="n">
        <f aca="false">INDEX(AUX_MATRIZES!$C$9:$BP$9,MIN(N_SEMANAS,MAX(1,$C419)))/DIAS_POR_SEMANA</f>
        <v>0</v>
      </c>
      <c r="H419" s="16" t="n">
        <f aca="false">MIN(CADASTRO_CASAS_BOMBA!$O$7,MAX(0,H418+CADASTRO_CASAS_BOMBA!$I$7*HORAS_CAPTACAO_DIA-G419))</f>
        <v>76648</v>
      </c>
      <c r="I419" s="16" t="n">
        <f aca="false">MAX(0,G419-CADASTRO_CASAS_BOMBA!$I$7*HORAS_CAPTACAO_DIA-H418)</f>
        <v>0</v>
      </c>
      <c r="J419" s="16" t="n">
        <f aca="false">INDEX(AUX_MATRIZES!$C$10:$BP$10,MIN(N_SEMANAS,MAX(1,$C419)))/DIAS_POR_SEMANA</f>
        <v>0</v>
      </c>
      <c r="K419" s="16" t="n">
        <f aca="false">MIN(CADASTRO_CASAS_BOMBA!$O$8,MAX(0,K418+CADASTRO_CASAS_BOMBA!$I$8*HORAS_CAPTACAO_DIA-J419))</f>
        <v>27377</v>
      </c>
      <c r="L419" s="16" t="n">
        <f aca="false">MAX(0,J419-CADASTRO_CASAS_BOMBA!$I$8*HORAS_CAPTACAO_DIA-K418)</f>
        <v>0</v>
      </c>
      <c r="M419" s="16" t="n">
        <f aca="false">INDEX(AUX_MATRIZES!$C$11:$BP$11,MIN(N_SEMANAS,MAX(1,$C419)))/DIAS_POR_SEMANA</f>
        <v>0</v>
      </c>
      <c r="N419" s="16" t="n">
        <f aca="false">MIN(CADASTRO_CASAS_BOMBA!$O$9,MAX(0,N418+CADASTRO_CASAS_BOMBA!$I$9*HORAS_CAPTACAO_DIA-M419))</f>
        <v>129000</v>
      </c>
      <c r="O419" s="16" t="n">
        <f aca="false">MAX(0,M419-CADASTRO_CASAS_BOMBA!$I$9*HORAS_CAPTACAO_DIA-N418)</f>
        <v>0</v>
      </c>
      <c r="P419" s="16" t="n">
        <f aca="false">INDEX(AUX_MATRIZES!$C$12:$BP$12,MIN(N_SEMANAS,MAX(1,$C419)))/DIAS_POR_SEMANA</f>
        <v>12244.8690628803</v>
      </c>
      <c r="Q419" s="16" t="n">
        <f aca="false">MIN(CADASTRO_CASAS_BOMBA!$O$10,MAX(0,Q418+CADASTRO_CASAS_BOMBA!$I$10*HORAS_CAPTACAO_DIA-P419))</f>
        <v>5862.71655983777</v>
      </c>
      <c r="R419" s="16" t="n">
        <f aca="false">MAX(0,P419-CADASTRO_CASAS_BOMBA!$I$10*HORAS_CAPTACAO_DIA-Q418)</f>
        <v>0</v>
      </c>
      <c r="S419" s="16" t="n">
        <f aca="false">INDEX(AUX_MATRIZES!$C$13:$BP$13,MIN(N_SEMANAS,MAX(1,$C419)))/DIAS_POR_SEMANA</f>
        <v>12618.6070588235</v>
      </c>
      <c r="T419" s="16" t="n">
        <f aca="false">MIN(CADASTRO_CASAS_BOMBA!$O$11,MAX(0,T418+CADASTRO_CASAS_BOMBA!$I$11*HORAS_CAPTACAO_DIA-S419))</f>
        <v>112294.184470588</v>
      </c>
      <c r="U419" s="16" t="n">
        <f aca="false">MAX(0,S419-CADASTRO_CASAS_BOMBA!$I$11*HORAS_CAPTACAO_DIA-T418)</f>
        <v>0</v>
      </c>
      <c r="V419" s="16" t="n">
        <f aca="false">INDEX(AUX_MATRIZES!$C$14:$BP$14,MIN(N_SEMANAS,MAX(1,$C419)))/DIAS_POR_SEMANA</f>
        <v>13969.730336714</v>
      </c>
      <c r="W419" s="16" t="n">
        <f aca="false">MIN(CADASTRO_CASAS_BOMBA!$O$12,MAX(0,W418+CADASTRO_CASAS_BOMBA!$I$12*HORAS_CAPTACAO_DIA-V419))</f>
        <v>169819.769054767</v>
      </c>
      <c r="X419" s="16" t="n">
        <f aca="false">MAX(0,V419-CADASTRO_CASAS_BOMBA!$I$12*HORAS_CAPTACAO_DIA-W418)</f>
        <v>0</v>
      </c>
      <c r="Y419" s="16" t="n">
        <f aca="false">INDEX(AUX_MATRIZES!$C$15:$BP$15,MIN(N_SEMANAS,MAX(1,$C419)))/DIAS_POR_SEMANA</f>
        <v>0</v>
      </c>
      <c r="Z419" s="16" t="n">
        <f aca="false">MIN(CADASTRO_CASAS_BOMBA!$O$13,MAX(0,Z418+CADASTRO_CASAS_BOMBA!$I$13*HORAS_CAPTACAO_DIA-Y419))</f>
        <v>74903</v>
      </c>
      <c r="AA419" s="16" t="n">
        <f aca="false">MAX(0,Y419-CADASTRO_CASAS_BOMBA!$I$13*HORAS_CAPTACAO_DIA-Z418)</f>
        <v>0</v>
      </c>
    </row>
    <row r="420" customFormat="false" ht="15" hidden="false" customHeight="false" outlineLevel="0" collapsed="false">
      <c r="B420" s="17" t="n">
        <f aca="false">DATA_INICIO_SAFRA+413</f>
        <v>46678</v>
      </c>
      <c r="C420" s="16" t="n">
        <f aca="false">MIN(N_SEMANAS,MAX(1,INT(($B420-DATA_INICIO_SAFRA)/DIAS_POR_SEMANA)+1))</f>
        <v>60</v>
      </c>
      <c r="D420" s="16" t="n">
        <f aca="false">INDEX(AUX_MATRIZES!$C$8:$BP$8,MIN(N_SEMANAS,MAX(1,$C420)))/DIAS_POR_SEMANA</f>
        <v>0</v>
      </c>
      <c r="E420" s="16" t="n">
        <f aca="false">MIN(CADASTRO_CASAS_BOMBA!$O$6,MAX(0,E419+CADASTRO_CASAS_BOMBA!$I$6*HORAS_CAPTACAO_DIA-D420))</f>
        <v>2600</v>
      </c>
      <c r="F420" s="16" t="n">
        <f aca="false">MAX(0,D420-CADASTRO_CASAS_BOMBA!$I$6*HORAS_CAPTACAO_DIA-E419)</f>
        <v>0</v>
      </c>
      <c r="G420" s="16" t="n">
        <f aca="false">INDEX(AUX_MATRIZES!$C$9:$BP$9,MIN(N_SEMANAS,MAX(1,$C420)))/DIAS_POR_SEMANA</f>
        <v>0</v>
      </c>
      <c r="H420" s="16" t="n">
        <f aca="false">MIN(CADASTRO_CASAS_BOMBA!$O$7,MAX(0,H419+CADASTRO_CASAS_BOMBA!$I$7*HORAS_CAPTACAO_DIA-G420))</f>
        <v>76648</v>
      </c>
      <c r="I420" s="16" t="n">
        <f aca="false">MAX(0,G420-CADASTRO_CASAS_BOMBA!$I$7*HORAS_CAPTACAO_DIA-H419)</f>
        <v>0</v>
      </c>
      <c r="J420" s="16" t="n">
        <f aca="false">INDEX(AUX_MATRIZES!$C$10:$BP$10,MIN(N_SEMANAS,MAX(1,$C420)))/DIAS_POR_SEMANA</f>
        <v>0</v>
      </c>
      <c r="K420" s="16" t="n">
        <f aca="false">MIN(CADASTRO_CASAS_BOMBA!$O$8,MAX(0,K419+CADASTRO_CASAS_BOMBA!$I$8*HORAS_CAPTACAO_DIA-J420))</f>
        <v>27377</v>
      </c>
      <c r="L420" s="16" t="n">
        <f aca="false">MAX(0,J420-CADASTRO_CASAS_BOMBA!$I$8*HORAS_CAPTACAO_DIA-K419)</f>
        <v>0</v>
      </c>
      <c r="M420" s="16" t="n">
        <f aca="false">INDEX(AUX_MATRIZES!$C$11:$BP$11,MIN(N_SEMANAS,MAX(1,$C420)))/DIAS_POR_SEMANA</f>
        <v>0</v>
      </c>
      <c r="N420" s="16" t="n">
        <f aca="false">MIN(CADASTRO_CASAS_BOMBA!$O$9,MAX(0,N419+CADASTRO_CASAS_BOMBA!$I$9*HORAS_CAPTACAO_DIA-M420))</f>
        <v>129000</v>
      </c>
      <c r="O420" s="16" t="n">
        <f aca="false">MAX(0,M420-CADASTRO_CASAS_BOMBA!$I$9*HORAS_CAPTACAO_DIA-N419)</f>
        <v>0</v>
      </c>
      <c r="P420" s="16" t="n">
        <f aca="false">INDEX(AUX_MATRIZES!$C$12:$BP$12,MIN(N_SEMANAS,MAX(1,$C420)))/DIAS_POR_SEMANA</f>
        <v>9296.68556592292</v>
      </c>
      <c r="Q420" s="16" t="n">
        <f aca="false">MIN(CADASTRO_CASAS_BOMBA!$O$10,MAX(0,Q419+CADASTRO_CASAS_BOMBA!$I$10*HORAS_CAPTACAO_DIA-P420))</f>
        <v>9648.43099391486</v>
      </c>
      <c r="R420" s="16" t="n">
        <f aca="false">MAX(0,P420-CADASTRO_CASAS_BOMBA!$I$10*HORAS_CAPTACAO_DIA-Q419)</f>
        <v>0</v>
      </c>
      <c r="S420" s="16" t="n">
        <f aca="false">INDEX(AUX_MATRIZES!$C$13:$BP$13,MIN(N_SEMANAS,MAX(1,$C420)))/DIAS_POR_SEMANA</f>
        <v>10718.9110588235</v>
      </c>
      <c r="T420" s="16" t="n">
        <f aca="false">MIN(CADASTRO_CASAS_BOMBA!$O$11,MAX(0,T419+CADASTRO_CASAS_BOMBA!$I$11*HORAS_CAPTACAO_DIA-S420))</f>
        <v>122995.273411765</v>
      </c>
      <c r="U420" s="16" t="n">
        <f aca="false">MAX(0,S420-CADASTRO_CASAS_BOMBA!$I$11*HORAS_CAPTACAO_DIA-T419)</f>
        <v>0</v>
      </c>
      <c r="V420" s="16" t="n">
        <f aca="false">INDEX(AUX_MATRIZES!$C$14:$BP$14,MIN(N_SEMANAS,MAX(1,$C420)))/DIAS_POR_SEMANA</f>
        <v>12305.597306288</v>
      </c>
      <c r="W420" s="16" t="n">
        <f aca="false">MIN(CADASTRO_CASAS_BOMBA!$O$12,MAX(0,W419+CADASTRO_CASAS_BOMBA!$I$12*HORAS_CAPTACAO_DIA-V420))</f>
        <v>182894.171748479</v>
      </c>
      <c r="X420" s="16" t="n">
        <f aca="false">MAX(0,V420-CADASTRO_CASAS_BOMBA!$I$12*HORAS_CAPTACAO_DIA-W419)</f>
        <v>0</v>
      </c>
      <c r="Y420" s="16" t="n">
        <f aca="false">INDEX(AUX_MATRIZES!$C$15:$BP$15,MIN(N_SEMANAS,MAX(1,$C420)))/DIAS_POR_SEMANA</f>
        <v>0</v>
      </c>
      <c r="Z420" s="16" t="n">
        <f aca="false">MIN(CADASTRO_CASAS_BOMBA!$O$13,MAX(0,Z419+CADASTRO_CASAS_BOMBA!$I$13*HORAS_CAPTACAO_DIA-Y420))</f>
        <v>74903</v>
      </c>
      <c r="AA420" s="16" t="n">
        <f aca="false">MAX(0,Y420-CADASTRO_CASAS_BOMBA!$I$13*HORAS_CAPTACAO_DIA-Z419)</f>
        <v>0</v>
      </c>
    </row>
    <row r="421" customFormat="false" ht="15" hidden="false" customHeight="false" outlineLevel="0" collapsed="false">
      <c r="B421" s="17" t="n">
        <f aca="false">DATA_INICIO_SAFRA+414</f>
        <v>46679</v>
      </c>
      <c r="C421" s="16" t="n">
        <f aca="false">MIN(N_SEMANAS,MAX(1,INT(($B421-DATA_INICIO_SAFRA)/DIAS_POR_SEMANA)+1))</f>
        <v>60</v>
      </c>
      <c r="D421" s="16" t="n">
        <f aca="false">INDEX(AUX_MATRIZES!$C$8:$BP$8,MIN(N_SEMANAS,MAX(1,$C421)))/DIAS_POR_SEMANA</f>
        <v>0</v>
      </c>
      <c r="E421" s="16" t="n">
        <f aca="false">MIN(CADASTRO_CASAS_BOMBA!$O$6,MAX(0,E420+CADASTRO_CASAS_BOMBA!$I$6*HORAS_CAPTACAO_DIA-D421))</f>
        <v>2600</v>
      </c>
      <c r="F421" s="16" t="n">
        <f aca="false">MAX(0,D421-CADASTRO_CASAS_BOMBA!$I$6*HORAS_CAPTACAO_DIA-E420)</f>
        <v>0</v>
      </c>
      <c r="G421" s="16" t="n">
        <f aca="false">INDEX(AUX_MATRIZES!$C$9:$BP$9,MIN(N_SEMANAS,MAX(1,$C421)))/DIAS_POR_SEMANA</f>
        <v>0</v>
      </c>
      <c r="H421" s="16" t="n">
        <f aca="false">MIN(CADASTRO_CASAS_BOMBA!$O$7,MAX(0,H420+CADASTRO_CASAS_BOMBA!$I$7*HORAS_CAPTACAO_DIA-G421))</f>
        <v>76648</v>
      </c>
      <c r="I421" s="16" t="n">
        <f aca="false">MAX(0,G421-CADASTRO_CASAS_BOMBA!$I$7*HORAS_CAPTACAO_DIA-H420)</f>
        <v>0</v>
      </c>
      <c r="J421" s="16" t="n">
        <f aca="false">INDEX(AUX_MATRIZES!$C$10:$BP$10,MIN(N_SEMANAS,MAX(1,$C421)))/DIAS_POR_SEMANA</f>
        <v>0</v>
      </c>
      <c r="K421" s="16" t="n">
        <f aca="false">MIN(CADASTRO_CASAS_BOMBA!$O$8,MAX(0,K420+CADASTRO_CASAS_BOMBA!$I$8*HORAS_CAPTACAO_DIA-J421))</f>
        <v>27377</v>
      </c>
      <c r="L421" s="16" t="n">
        <f aca="false">MAX(0,J421-CADASTRO_CASAS_BOMBA!$I$8*HORAS_CAPTACAO_DIA-K420)</f>
        <v>0</v>
      </c>
      <c r="M421" s="16" t="n">
        <f aca="false">INDEX(AUX_MATRIZES!$C$11:$BP$11,MIN(N_SEMANAS,MAX(1,$C421)))/DIAS_POR_SEMANA</f>
        <v>0</v>
      </c>
      <c r="N421" s="16" t="n">
        <f aca="false">MIN(CADASTRO_CASAS_BOMBA!$O$9,MAX(0,N420+CADASTRO_CASAS_BOMBA!$I$9*HORAS_CAPTACAO_DIA-M421))</f>
        <v>129000</v>
      </c>
      <c r="O421" s="16" t="n">
        <f aca="false">MAX(0,M421-CADASTRO_CASAS_BOMBA!$I$9*HORAS_CAPTACAO_DIA-N420)</f>
        <v>0</v>
      </c>
      <c r="P421" s="16" t="n">
        <f aca="false">INDEX(AUX_MATRIZES!$C$12:$BP$12,MIN(N_SEMANAS,MAX(1,$C421)))/DIAS_POR_SEMANA</f>
        <v>9296.68556592292</v>
      </c>
      <c r="Q421" s="16" t="n">
        <f aca="false">MIN(CADASTRO_CASAS_BOMBA!$O$10,MAX(0,Q420+CADASTRO_CASAS_BOMBA!$I$10*HORAS_CAPTACAO_DIA-P421))</f>
        <v>13434.1454279919</v>
      </c>
      <c r="R421" s="16" t="n">
        <f aca="false">MAX(0,P421-CADASTRO_CASAS_BOMBA!$I$10*HORAS_CAPTACAO_DIA-Q420)</f>
        <v>0</v>
      </c>
      <c r="S421" s="16" t="n">
        <f aca="false">INDEX(AUX_MATRIZES!$C$13:$BP$13,MIN(N_SEMANAS,MAX(1,$C421)))/DIAS_POR_SEMANA</f>
        <v>10718.9110588235</v>
      </c>
      <c r="T421" s="16" t="n">
        <f aca="false">MIN(CADASTRO_CASAS_BOMBA!$O$11,MAX(0,T420+CADASTRO_CASAS_BOMBA!$I$11*HORAS_CAPTACAO_DIA-S421))</f>
        <v>133696.362352941</v>
      </c>
      <c r="U421" s="16" t="n">
        <f aca="false">MAX(0,S421-CADASTRO_CASAS_BOMBA!$I$11*HORAS_CAPTACAO_DIA-T420)</f>
        <v>0</v>
      </c>
      <c r="V421" s="16" t="n">
        <f aca="false">INDEX(AUX_MATRIZES!$C$14:$BP$14,MIN(N_SEMANAS,MAX(1,$C421)))/DIAS_POR_SEMANA</f>
        <v>12305.597306288</v>
      </c>
      <c r="W421" s="16" t="n">
        <f aca="false">MIN(CADASTRO_CASAS_BOMBA!$O$12,MAX(0,W420+CADASTRO_CASAS_BOMBA!$I$12*HORAS_CAPTACAO_DIA-V421))</f>
        <v>195968.574442191</v>
      </c>
      <c r="X421" s="16" t="n">
        <f aca="false">MAX(0,V421-CADASTRO_CASAS_BOMBA!$I$12*HORAS_CAPTACAO_DIA-W420)</f>
        <v>0</v>
      </c>
      <c r="Y421" s="16" t="n">
        <f aca="false">INDEX(AUX_MATRIZES!$C$15:$BP$15,MIN(N_SEMANAS,MAX(1,$C421)))/DIAS_POR_SEMANA</f>
        <v>0</v>
      </c>
      <c r="Z421" s="16" t="n">
        <f aca="false">MIN(CADASTRO_CASAS_BOMBA!$O$13,MAX(0,Z420+CADASTRO_CASAS_BOMBA!$I$13*HORAS_CAPTACAO_DIA-Y421))</f>
        <v>74903</v>
      </c>
      <c r="AA421" s="16" t="n">
        <f aca="false">MAX(0,Y421-CADASTRO_CASAS_BOMBA!$I$13*HORAS_CAPTACAO_DIA-Z420)</f>
        <v>0</v>
      </c>
    </row>
    <row r="422" customFormat="false" ht="15" hidden="false" customHeight="false" outlineLevel="0" collapsed="false">
      <c r="B422" s="17" t="n">
        <f aca="false">DATA_INICIO_SAFRA+415</f>
        <v>46680</v>
      </c>
      <c r="C422" s="16" t="n">
        <f aca="false">MIN(N_SEMANAS,MAX(1,INT(($B422-DATA_INICIO_SAFRA)/DIAS_POR_SEMANA)+1))</f>
        <v>60</v>
      </c>
      <c r="D422" s="16" t="n">
        <f aca="false">INDEX(AUX_MATRIZES!$C$8:$BP$8,MIN(N_SEMANAS,MAX(1,$C422)))/DIAS_POR_SEMANA</f>
        <v>0</v>
      </c>
      <c r="E422" s="16" t="n">
        <f aca="false">MIN(CADASTRO_CASAS_BOMBA!$O$6,MAX(0,E421+CADASTRO_CASAS_BOMBA!$I$6*HORAS_CAPTACAO_DIA-D422))</f>
        <v>2600</v>
      </c>
      <c r="F422" s="16" t="n">
        <f aca="false">MAX(0,D422-CADASTRO_CASAS_BOMBA!$I$6*HORAS_CAPTACAO_DIA-E421)</f>
        <v>0</v>
      </c>
      <c r="G422" s="16" t="n">
        <f aca="false">INDEX(AUX_MATRIZES!$C$9:$BP$9,MIN(N_SEMANAS,MAX(1,$C422)))/DIAS_POR_SEMANA</f>
        <v>0</v>
      </c>
      <c r="H422" s="16" t="n">
        <f aca="false">MIN(CADASTRO_CASAS_BOMBA!$O$7,MAX(0,H421+CADASTRO_CASAS_BOMBA!$I$7*HORAS_CAPTACAO_DIA-G422))</f>
        <v>76648</v>
      </c>
      <c r="I422" s="16" t="n">
        <f aca="false">MAX(0,G422-CADASTRO_CASAS_BOMBA!$I$7*HORAS_CAPTACAO_DIA-H421)</f>
        <v>0</v>
      </c>
      <c r="J422" s="16" t="n">
        <f aca="false">INDEX(AUX_MATRIZES!$C$10:$BP$10,MIN(N_SEMANAS,MAX(1,$C422)))/DIAS_POR_SEMANA</f>
        <v>0</v>
      </c>
      <c r="K422" s="16" t="n">
        <f aca="false">MIN(CADASTRO_CASAS_BOMBA!$O$8,MAX(0,K421+CADASTRO_CASAS_BOMBA!$I$8*HORAS_CAPTACAO_DIA-J422))</f>
        <v>27377</v>
      </c>
      <c r="L422" s="16" t="n">
        <f aca="false">MAX(0,J422-CADASTRO_CASAS_BOMBA!$I$8*HORAS_CAPTACAO_DIA-K421)</f>
        <v>0</v>
      </c>
      <c r="M422" s="16" t="n">
        <f aca="false">INDEX(AUX_MATRIZES!$C$11:$BP$11,MIN(N_SEMANAS,MAX(1,$C422)))/DIAS_POR_SEMANA</f>
        <v>0</v>
      </c>
      <c r="N422" s="16" t="n">
        <f aca="false">MIN(CADASTRO_CASAS_BOMBA!$O$9,MAX(0,N421+CADASTRO_CASAS_BOMBA!$I$9*HORAS_CAPTACAO_DIA-M422))</f>
        <v>129000</v>
      </c>
      <c r="O422" s="16" t="n">
        <f aca="false">MAX(0,M422-CADASTRO_CASAS_BOMBA!$I$9*HORAS_CAPTACAO_DIA-N421)</f>
        <v>0</v>
      </c>
      <c r="P422" s="16" t="n">
        <f aca="false">INDEX(AUX_MATRIZES!$C$12:$BP$12,MIN(N_SEMANAS,MAX(1,$C422)))/DIAS_POR_SEMANA</f>
        <v>9296.68556592292</v>
      </c>
      <c r="Q422" s="16" t="n">
        <f aca="false">MIN(CADASTRO_CASAS_BOMBA!$O$10,MAX(0,Q421+CADASTRO_CASAS_BOMBA!$I$10*HORAS_CAPTACAO_DIA-P422))</f>
        <v>17219.859862069</v>
      </c>
      <c r="R422" s="16" t="n">
        <f aca="false">MAX(0,P422-CADASTRO_CASAS_BOMBA!$I$10*HORAS_CAPTACAO_DIA-Q421)</f>
        <v>0</v>
      </c>
      <c r="S422" s="16" t="n">
        <f aca="false">INDEX(AUX_MATRIZES!$C$13:$BP$13,MIN(N_SEMANAS,MAX(1,$C422)))/DIAS_POR_SEMANA</f>
        <v>10718.9110588235</v>
      </c>
      <c r="T422" s="16" t="n">
        <f aca="false">MIN(CADASTRO_CASAS_BOMBA!$O$11,MAX(0,T421+CADASTRO_CASAS_BOMBA!$I$11*HORAS_CAPTACAO_DIA-S422))</f>
        <v>144397.451294118</v>
      </c>
      <c r="U422" s="16" t="n">
        <f aca="false">MAX(0,S422-CADASTRO_CASAS_BOMBA!$I$11*HORAS_CAPTACAO_DIA-T421)</f>
        <v>0</v>
      </c>
      <c r="V422" s="16" t="n">
        <f aca="false">INDEX(AUX_MATRIZES!$C$14:$BP$14,MIN(N_SEMANAS,MAX(1,$C422)))/DIAS_POR_SEMANA</f>
        <v>12305.597306288</v>
      </c>
      <c r="W422" s="16" t="n">
        <f aca="false">MIN(CADASTRO_CASAS_BOMBA!$O$12,MAX(0,W421+CADASTRO_CASAS_BOMBA!$I$12*HORAS_CAPTACAO_DIA-V422))</f>
        <v>209042.977135903</v>
      </c>
      <c r="X422" s="16" t="n">
        <f aca="false">MAX(0,V422-CADASTRO_CASAS_BOMBA!$I$12*HORAS_CAPTACAO_DIA-W421)</f>
        <v>0</v>
      </c>
      <c r="Y422" s="16" t="n">
        <f aca="false">INDEX(AUX_MATRIZES!$C$15:$BP$15,MIN(N_SEMANAS,MAX(1,$C422)))/DIAS_POR_SEMANA</f>
        <v>0</v>
      </c>
      <c r="Z422" s="16" t="n">
        <f aca="false">MIN(CADASTRO_CASAS_BOMBA!$O$13,MAX(0,Z421+CADASTRO_CASAS_BOMBA!$I$13*HORAS_CAPTACAO_DIA-Y422))</f>
        <v>74903</v>
      </c>
      <c r="AA422" s="16" t="n">
        <f aca="false">MAX(0,Y422-CADASTRO_CASAS_BOMBA!$I$13*HORAS_CAPTACAO_DIA-Z421)</f>
        <v>0</v>
      </c>
    </row>
    <row r="423" customFormat="false" ht="15" hidden="false" customHeight="false" outlineLevel="0" collapsed="false">
      <c r="B423" s="17" t="n">
        <f aca="false">DATA_INICIO_SAFRA+416</f>
        <v>46681</v>
      </c>
      <c r="C423" s="16" t="n">
        <f aca="false">MIN(N_SEMANAS,MAX(1,INT(($B423-DATA_INICIO_SAFRA)/DIAS_POR_SEMANA)+1))</f>
        <v>60</v>
      </c>
      <c r="D423" s="16" t="n">
        <f aca="false">INDEX(AUX_MATRIZES!$C$8:$BP$8,MIN(N_SEMANAS,MAX(1,$C423)))/DIAS_POR_SEMANA</f>
        <v>0</v>
      </c>
      <c r="E423" s="16" t="n">
        <f aca="false">MIN(CADASTRO_CASAS_BOMBA!$O$6,MAX(0,E422+CADASTRO_CASAS_BOMBA!$I$6*HORAS_CAPTACAO_DIA-D423))</f>
        <v>2600</v>
      </c>
      <c r="F423" s="16" t="n">
        <f aca="false">MAX(0,D423-CADASTRO_CASAS_BOMBA!$I$6*HORAS_CAPTACAO_DIA-E422)</f>
        <v>0</v>
      </c>
      <c r="G423" s="16" t="n">
        <f aca="false">INDEX(AUX_MATRIZES!$C$9:$BP$9,MIN(N_SEMANAS,MAX(1,$C423)))/DIAS_POR_SEMANA</f>
        <v>0</v>
      </c>
      <c r="H423" s="16" t="n">
        <f aca="false">MIN(CADASTRO_CASAS_BOMBA!$O$7,MAX(0,H422+CADASTRO_CASAS_BOMBA!$I$7*HORAS_CAPTACAO_DIA-G423))</f>
        <v>76648</v>
      </c>
      <c r="I423" s="16" t="n">
        <f aca="false">MAX(0,G423-CADASTRO_CASAS_BOMBA!$I$7*HORAS_CAPTACAO_DIA-H422)</f>
        <v>0</v>
      </c>
      <c r="J423" s="16" t="n">
        <f aca="false">INDEX(AUX_MATRIZES!$C$10:$BP$10,MIN(N_SEMANAS,MAX(1,$C423)))/DIAS_POR_SEMANA</f>
        <v>0</v>
      </c>
      <c r="K423" s="16" t="n">
        <f aca="false">MIN(CADASTRO_CASAS_BOMBA!$O$8,MAX(0,K422+CADASTRO_CASAS_BOMBA!$I$8*HORAS_CAPTACAO_DIA-J423))</f>
        <v>27377</v>
      </c>
      <c r="L423" s="16" t="n">
        <f aca="false">MAX(0,J423-CADASTRO_CASAS_BOMBA!$I$8*HORAS_CAPTACAO_DIA-K422)</f>
        <v>0</v>
      </c>
      <c r="M423" s="16" t="n">
        <f aca="false">INDEX(AUX_MATRIZES!$C$11:$BP$11,MIN(N_SEMANAS,MAX(1,$C423)))/DIAS_POR_SEMANA</f>
        <v>0</v>
      </c>
      <c r="N423" s="16" t="n">
        <f aca="false">MIN(CADASTRO_CASAS_BOMBA!$O$9,MAX(0,N422+CADASTRO_CASAS_BOMBA!$I$9*HORAS_CAPTACAO_DIA-M423))</f>
        <v>129000</v>
      </c>
      <c r="O423" s="16" t="n">
        <f aca="false">MAX(0,M423-CADASTRO_CASAS_BOMBA!$I$9*HORAS_CAPTACAO_DIA-N422)</f>
        <v>0</v>
      </c>
      <c r="P423" s="16" t="n">
        <f aca="false">INDEX(AUX_MATRIZES!$C$12:$BP$12,MIN(N_SEMANAS,MAX(1,$C423)))/DIAS_POR_SEMANA</f>
        <v>9296.68556592292</v>
      </c>
      <c r="Q423" s="16" t="n">
        <f aca="false">MIN(CADASTRO_CASAS_BOMBA!$O$10,MAX(0,Q422+CADASTRO_CASAS_BOMBA!$I$10*HORAS_CAPTACAO_DIA-P423))</f>
        <v>21005.5742961461</v>
      </c>
      <c r="R423" s="16" t="n">
        <f aca="false">MAX(0,P423-CADASTRO_CASAS_BOMBA!$I$10*HORAS_CAPTACAO_DIA-Q422)</f>
        <v>0</v>
      </c>
      <c r="S423" s="16" t="n">
        <f aca="false">INDEX(AUX_MATRIZES!$C$13:$BP$13,MIN(N_SEMANAS,MAX(1,$C423)))/DIAS_POR_SEMANA</f>
        <v>10718.9110588235</v>
      </c>
      <c r="T423" s="16" t="n">
        <f aca="false">MIN(CADASTRO_CASAS_BOMBA!$O$11,MAX(0,T422+CADASTRO_CASAS_BOMBA!$I$11*HORAS_CAPTACAO_DIA-S423))</f>
        <v>155098.540235294</v>
      </c>
      <c r="U423" s="16" t="n">
        <f aca="false">MAX(0,S423-CADASTRO_CASAS_BOMBA!$I$11*HORAS_CAPTACAO_DIA-T422)</f>
        <v>0</v>
      </c>
      <c r="V423" s="16" t="n">
        <f aca="false">INDEX(AUX_MATRIZES!$C$14:$BP$14,MIN(N_SEMANAS,MAX(1,$C423)))/DIAS_POR_SEMANA</f>
        <v>12305.597306288</v>
      </c>
      <c r="W423" s="16" t="n">
        <f aca="false">MIN(CADASTRO_CASAS_BOMBA!$O$12,MAX(0,W422+CADASTRO_CASAS_BOMBA!$I$12*HORAS_CAPTACAO_DIA-V423))</f>
        <v>222117.379829615</v>
      </c>
      <c r="X423" s="16" t="n">
        <f aca="false">MAX(0,V423-CADASTRO_CASAS_BOMBA!$I$12*HORAS_CAPTACAO_DIA-W422)</f>
        <v>0</v>
      </c>
      <c r="Y423" s="16" t="n">
        <f aca="false">INDEX(AUX_MATRIZES!$C$15:$BP$15,MIN(N_SEMANAS,MAX(1,$C423)))/DIAS_POR_SEMANA</f>
        <v>0</v>
      </c>
      <c r="Z423" s="16" t="n">
        <f aca="false">MIN(CADASTRO_CASAS_BOMBA!$O$13,MAX(0,Z422+CADASTRO_CASAS_BOMBA!$I$13*HORAS_CAPTACAO_DIA-Y423))</f>
        <v>74903</v>
      </c>
      <c r="AA423" s="16" t="n">
        <f aca="false">MAX(0,Y423-CADASTRO_CASAS_BOMBA!$I$13*HORAS_CAPTACAO_DIA-Z422)</f>
        <v>0</v>
      </c>
    </row>
    <row r="424" customFormat="false" ht="15" hidden="false" customHeight="false" outlineLevel="0" collapsed="false">
      <c r="B424" s="17" t="n">
        <f aca="false">DATA_INICIO_SAFRA+417</f>
        <v>46682</v>
      </c>
      <c r="C424" s="16" t="n">
        <f aca="false">MIN(N_SEMANAS,MAX(1,INT(($B424-DATA_INICIO_SAFRA)/DIAS_POR_SEMANA)+1))</f>
        <v>60</v>
      </c>
      <c r="D424" s="16" t="n">
        <f aca="false">INDEX(AUX_MATRIZES!$C$8:$BP$8,MIN(N_SEMANAS,MAX(1,$C424)))/DIAS_POR_SEMANA</f>
        <v>0</v>
      </c>
      <c r="E424" s="16" t="n">
        <f aca="false">MIN(CADASTRO_CASAS_BOMBA!$O$6,MAX(0,E423+CADASTRO_CASAS_BOMBA!$I$6*HORAS_CAPTACAO_DIA-D424))</f>
        <v>2600</v>
      </c>
      <c r="F424" s="16" t="n">
        <f aca="false">MAX(0,D424-CADASTRO_CASAS_BOMBA!$I$6*HORAS_CAPTACAO_DIA-E423)</f>
        <v>0</v>
      </c>
      <c r="G424" s="16" t="n">
        <f aca="false">INDEX(AUX_MATRIZES!$C$9:$BP$9,MIN(N_SEMANAS,MAX(1,$C424)))/DIAS_POR_SEMANA</f>
        <v>0</v>
      </c>
      <c r="H424" s="16" t="n">
        <f aca="false">MIN(CADASTRO_CASAS_BOMBA!$O$7,MAX(0,H423+CADASTRO_CASAS_BOMBA!$I$7*HORAS_CAPTACAO_DIA-G424))</f>
        <v>76648</v>
      </c>
      <c r="I424" s="16" t="n">
        <f aca="false">MAX(0,G424-CADASTRO_CASAS_BOMBA!$I$7*HORAS_CAPTACAO_DIA-H423)</f>
        <v>0</v>
      </c>
      <c r="J424" s="16" t="n">
        <f aca="false">INDEX(AUX_MATRIZES!$C$10:$BP$10,MIN(N_SEMANAS,MAX(1,$C424)))/DIAS_POR_SEMANA</f>
        <v>0</v>
      </c>
      <c r="K424" s="16" t="n">
        <f aca="false">MIN(CADASTRO_CASAS_BOMBA!$O$8,MAX(0,K423+CADASTRO_CASAS_BOMBA!$I$8*HORAS_CAPTACAO_DIA-J424))</f>
        <v>27377</v>
      </c>
      <c r="L424" s="16" t="n">
        <f aca="false">MAX(0,J424-CADASTRO_CASAS_BOMBA!$I$8*HORAS_CAPTACAO_DIA-K423)</f>
        <v>0</v>
      </c>
      <c r="M424" s="16" t="n">
        <f aca="false">INDEX(AUX_MATRIZES!$C$11:$BP$11,MIN(N_SEMANAS,MAX(1,$C424)))/DIAS_POR_SEMANA</f>
        <v>0</v>
      </c>
      <c r="N424" s="16" t="n">
        <f aca="false">MIN(CADASTRO_CASAS_BOMBA!$O$9,MAX(0,N423+CADASTRO_CASAS_BOMBA!$I$9*HORAS_CAPTACAO_DIA-M424))</f>
        <v>129000</v>
      </c>
      <c r="O424" s="16" t="n">
        <f aca="false">MAX(0,M424-CADASTRO_CASAS_BOMBA!$I$9*HORAS_CAPTACAO_DIA-N423)</f>
        <v>0</v>
      </c>
      <c r="P424" s="16" t="n">
        <f aca="false">INDEX(AUX_MATRIZES!$C$12:$BP$12,MIN(N_SEMANAS,MAX(1,$C424)))/DIAS_POR_SEMANA</f>
        <v>9296.68556592292</v>
      </c>
      <c r="Q424" s="16" t="n">
        <f aca="false">MIN(CADASTRO_CASAS_BOMBA!$O$10,MAX(0,Q423+CADASTRO_CASAS_BOMBA!$I$10*HORAS_CAPTACAO_DIA-P424))</f>
        <v>24791.2887302232</v>
      </c>
      <c r="R424" s="16" t="n">
        <f aca="false">MAX(0,P424-CADASTRO_CASAS_BOMBA!$I$10*HORAS_CAPTACAO_DIA-Q423)</f>
        <v>0</v>
      </c>
      <c r="S424" s="16" t="n">
        <f aca="false">INDEX(AUX_MATRIZES!$C$13:$BP$13,MIN(N_SEMANAS,MAX(1,$C424)))/DIAS_POR_SEMANA</f>
        <v>10718.9110588235</v>
      </c>
      <c r="T424" s="16" t="n">
        <f aca="false">MIN(CADASTRO_CASAS_BOMBA!$O$11,MAX(0,T423+CADASTRO_CASAS_BOMBA!$I$11*HORAS_CAPTACAO_DIA-S424))</f>
        <v>165799.629176471</v>
      </c>
      <c r="U424" s="16" t="n">
        <f aca="false">MAX(0,S424-CADASTRO_CASAS_BOMBA!$I$11*HORAS_CAPTACAO_DIA-T423)</f>
        <v>0</v>
      </c>
      <c r="V424" s="16" t="n">
        <f aca="false">INDEX(AUX_MATRIZES!$C$14:$BP$14,MIN(N_SEMANAS,MAX(1,$C424)))/DIAS_POR_SEMANA</f>
        <v>12305.597306288</v>
      </c>
      <c r="W424" s="16" t="n">
        <f aca="false">MIN(CADASTRO_CASAS_BOMBA!$O$12,MAX(0,W423+CADASTRO_CASAS_BOMBA!$I$12*HORAS_CAPTACAO_DIA-V424))</f>
        <v>235191.782523327</v>
      </c>
      <c r="X424" s="16" t="n">
        <f aca="false">MAX(0,V424-CADASTRO_CASAS_BOMBA!$I$12*HORAS_CAPTACAO_DIA-W423)</f>
        <v>0</v>
      </c>
      <c r="Y424" s="16" t="n">
        <f aca="false">INDEX(AUX_MATRIZES!$C$15:$BP$15,MIN(N_SEMANAS,MAX(1,$C424)))/DIAS_POR_SEMANA</f>
        <v>0</v>
      </c>
      <c r="Z424" s="16" t="n">
        <f aca="false">MIN(CADASTRO_CASAS_BOMBA!$O$13,MAX(0,Z423+CADASTRO_CASAS_BOMBA!$I$13*HORAS_CAPTACAO_DIA-Y424))</f>
        <v>74903</v>
      </c>
      <c r="AA424" s="16" t="n">
        <f aca="false">MAX(0,Y424-CADASTRO_CASAS_BOMBA!$I$13*HORAS_CAPTACAO_DIA-Z423)</f>
        <v>0</v>
      </c>
    </row>
    <row r="425" customFormat="false" ht="15" hidden="false" customHeight="false" outlineLevel="0" collapsed="false">
      <c r="B425" s="17" t="n">
        <f aca="false">DATA_INICIO_SAFRA+418</f>
        <v>46683</v>
      </c>
      <c r="C425" s="16" t="n">
        <f aca="false">MIN(N_SEMANAS,MAX(1,INT(($B425-DATA_INICIO_SAFRA)/DIAS_POR_SEMANA)+1))</f>
        <v>60</v>
      </c>
      <c r="D425" s="16" t="n">
        <f aca="false">INDEX(AUX_MATRIZES!$C$8:$BP$8,MIN(N_SEMANAS,MAX(1,$C425)))/DIAS_POR_SEMANA</f>
        <v>0</v>
      </c>
      <c r="E425" s="16" t="n">
        <f aca="false">MIN(CADASTRO_CASAS_BOMBA!$O$6,MAX(0,E424+CADASTRO_CASAS_BOMBA!$I$6*HORAS_CAPTACAO_DIA-D425))</f>
        <v>2600</v>
      </c>
      <c r="F425" s="16" t="n">
        <f aca="false">MAX(0,D425-CADASTRO_CASAS_BOMBA!$I$6*HORAS_CAPTACAO_DIA-E424)</f>
        <v>0</v>
      </c>
      <c r="G425" s="16" t="n">
        <f aca="false">INDEX(AUX_MATRIZES!$C$9:$BP$9,MIN(N_SEMANAS,MAX(1,$C425)))/DIAS_POR_SEMANA</f>
        <v>0</v>
      </c>
      <c r="H425" s="16" t="n">
        <f aca="false">MIN(CADASTRO_CASAS_BOMBA!$O$7,MAX(0,H424+CADASTRO_CASAS_BOMBA!$I$7*HORAS_CAPTACAO_DIA-G425))</f>
        <v>76648</v>
      </c>
      <c r="I425" s="16" t="n">
        <f aca="false">MAX(0,G425-CADASTRO_CASAS_BOMBA!$I$7*HORAS_CAPTACAO_DIA-H424)</f>
        <v>0</v>
      </c>
      <c r="J425" s="16" t="n">
        <f aca="false">INDEX(AUX_MATRIZES!$C$10:$BP$10,MIN(N_SEMANAS,MAX(1,$C425)))/DIAS_POR_SEMANA</f>
        <v>0</v>
      </c>
      <c r="K425" s="16" t="n">
        <f aca="false">MIN(CADASTRO_CASAS_BOMBA!$O$8,MAX(0,K424+CADASTRO_CASAS_BOMBA!$I$8*HORAS_CAPTACAO_DIA-J425))</f>
        <v>27377</v>
      </c>
      <c r="L425" s="16" t="n">
        <f aca="false">MAX(0,J425-CADASTRO_CASAS_BOMBA!$I$8*HORAS_CAPTACAO_DIA-K424)</f>
        <v>0</v>
      </c>
      <c r="M425" s="16" t="n">
        <f aca="false">INDEX(AUX_MATRIZES!$C$11:$BP$11,MIN(N_SEMANAS,MAX(1,$C425)))/DIAS_POR_SEMANA</f>
        <v>0</v>
      </c>
      <c r="N425" s="16" t="n">
        <f aca="false">MIN(CADASTRO_CASAS_BOMBA!$O$9,MAX(0,N424+CADASTRO_CASAS_BOMBA!$I$9*HORAS_CAPTACAO_DIA-M425))</f>
        <v>129000</v>
      </c>
      <c r="O425" s="16" t="n">
        <f aca="false">MAX(0,M425-CADASTRO_CASAS_BOMBA!$I$9*HORAS_CAPTACAO_DIA-N424)</f>
        <v>0</v>
      </c>
      <c r="P425" s="16" t="n">
        <f aca="false">INDEX(AUX_MATRIZES!$C$12:$BP$12,MIN(N_SEMANAS,MAX(1,$C425)))/DIAS_POR_SEMANA</f>
        <v>9296.68556592292</v>
      </c>
      <c r="Q425" s="16" t="n">
        <f aca="false">MIN(CADASTRO_CASAS_BOMBA!$O$10,MAX(0,Q424+CADASTRO_CASAS_BOMBA!$I$10*HORAS_CAPTACAO_DIA-P425))</f>
        <v>28577.0031643003</v>
      </c>
      <c r="R425" s="16" t="n">
        <f aca="false">MAX(0,P425-CADASTRO_CASAS_BOMBA!$I$10*HORAS_CAPTACAO_DIA-Q424)</f>
        <v>0</v>
      </c>
      <c r="S425" s="16" t="n">
        <f aca="false">INDEX(AUX_MATRIZES!$C$13:$BP$13,MIN(N_SEMANAS,MAX(1,$C425)))/DIAS_POR_SEMANA</f>
        <v>10718.9110588235</v>
      </c>
      <c r="T425" s="16" t="n">
        <f aca="false">MIN(CADASTRO_CASAS_BOMBA!$O$11,MAX(0,T424+CADASTRO_CASAS_BOMBA!$I$11*HORAS_CAPTACAO_DIA-S425))</f>
        <v>176500.718117647</v>
      </c>
      <c r="U425" s="16" t="n">
        <f aca="false">MAX(0,S425-CADASTRO_CASAS_BOMBA!$I$11*HORAS_CAPTACAO_DIA-T424)</f>
        <v>0</v>
      </c>
      <c r="V425" s="16" t="n">
        <f aca="false">INDEX(AUX_MATRIZES!$C$14:$BP$14,MIN(N_SEMANAS,MAX(1,$C425)))/DIAS_POR_SEMANA</f>
        <v>12305.597306288</v>
      </c>
      <c r="W425" s="16" t="n">
        <f aca="false">MIN(CADASTRO_CASAS_BOMBA!$O$12,MAX(0,W424+CADASTRO_CASAS_BOMBA!$I$12*HORAS_CAPTACAO_DIA-V425))</f>
        <v>248266.185217039</v>
      </c>
      <c r="X425" s="16" t="n">
        <f aca="false">MAX(0,V425-CADASTRO_CASAS_BOMBA!$I$12*HORAS_CAPTACAO_DIA-W424)</f>
        <v>0</v>
      </c>
      <c r="Y425" s="16" t="n">
        <f aca="false">INDEX(AUX_MATRIZES!$C$15:$BP$15,MIN(N_SEMANAS,MAX(1,$C425)))/DIAS_POR_SEMANA</f>
        <v>0</v>
      </c>
      <c r="Z425" s="16" t="n">
        <f aca="false">MIN(CADASTRO_CASAS_BOMBA!$O$13,MAX(0,Z424+CADASTRO_CASAS_BOMBA!$I$13*HORAS_CAPTACAO_DIA-Y425))</f>
        <v>74903</v>
      </c>
      <c r="AA425" s="16" t="n">
        <f aca="false">MAX(0,Y425-CADASTRO_CASAS_BOMBA!$I$13*HORAS_CAPTACAO_DIA-Z424)</f>
        <v>0</v>
      </c>
    </row>
    <row r="426" customFormat="false" ht="15" hidden="false" customHeight="false" outlineLevel="0" collapsed="false">
      <c r="B426" s="17" t="n">
        <f aca="false">DATA_INICIO_SAFRA+419</f>
        <v>46684</v>
      </c>
      <c r="C426" s="16" t="n">
        <f aca="false">MIN(N_SEMANAS,MAX(1,INT(($B426-DATA_INICIO_SAFRA)/DIAS_POR_SEMANA)+1))</f>
        <v>60</v>
      </c>
      <c r="D426" s="16" t="n">
        <f aca="false">INDEX(AUX_MATRIZES!$C$8:$BP$8,MIN(N_SEMANAS,MAX(1,$C426)))/DIAS_POR_SEMANA</f>
        <v>0</v>
      </c>
      <c r="E426" s="16" t="n">
        <f aca="false">MIN(CADASTRO_CASAS_BOMBA!$O$6,MAX(0,E425+CADASTRO_CASAS_BOMBA!$I$6*HORAS_CAPTACAO_DIA-D426))</f>
        <v>2600</v>
      </c>
      <c r="F426" s="16" t="n">
        <f aca="false">MAX(0,D426-CADASTRO_CASAS_BOMBA!$I$6*HORAS_CAPTACAO_DIA-E425)</f>
        <v>0</v>
      </c>
      <c r="G426" s="16" t="n">
        <f aca="false">INDEX(AUX_MATRIZES!$C$9:$BP$9,MIN(N_SEMANAS,MAX(1,$C426)))/DIAS_POR_SEMANA</f>
        <v>0</v>
      </c>
      <c r="H426" s="16" t="n">
        <f aca="false">MIN(CADASTRO_CASAS_BOMBA!$O$7,MAX(0,H425+CADASTRO_CASAS_BOMBA!$I$7*HORAS_CAPTACAO_DIA-G426))</f>
        <v>76648</v>
      </c>
      <c r="I426" s="16" t="n">
        <f aca="false">MAX(0,G426-CADASTRO_CASAS_BOMBA!$I$7*HORAS_CAPTACAO_DIA-H425)</f>
        <v>0</v>
      </c>
      <c r="J426" s="16" t="n">
        <f aca="false">INDEX(AUX_MATRIZES!$C$10:$BP$10,MIN(N_SEMANAS,MAX(1,$C426)))/DIAS_POR_SEMANA</f>
        <v>0</v>
      </c>
      <c r="K426" s="16" t="n">
        <f aca="false">MIN(CADASTRO_CASAS_BOMBA!$O$8,MAX(0,K425+CADASTRO_CASAS_BOMBA!$I$8*HORAS_CAPTACAO_DIA-J426))</f>
        <v>27377</v>
      </c>
      <c r="L426" s="16" t="n">
        <f aca="false">MAX(0,J426-CADASTRO_CASAS_BOMBA!$I$8*HORAS_CAPTACAO_DIA-K425)</f>
        <v>0</v>
      </c>
      <c r="M426" s="16" t="n">
        <f aca="false">INDEX(AUX_MATRIZES!$C$11:$BP$11,MIN(N_SEMANAS,MAX(1,$C426)))/DIAS_POR_SEMANA</f>
        <v>0</v>
      </c>
      <c r="N426" s="16" t="n">
        <f aca="false">MIN(CADASTRO_CASAS_BOMBA!$O$9,MAX(0,N425+CADASTRO_CASAS_BOMBA!$I$9*HORAS_CAPTACAO_DIA-M426))</f>
        <v>129000</v>
      </c>
      <c r="O426" s="16" t="n">
        <f aca="false">MAX(0,M426-CADASTRO_CASAS_BOMBA!$I$9*HORAS_CAPTACAO_DIA-N425)</f>
        <v>0</v>
      </c>
      <c r="P426" s="16" t="n">
        <f aca="false">INDEX(AUX_MATRIZES!$C$12:$BP$12,MIN(N_SEMANAS,MAX(1,$C426)))/DIAS_POR_SEMANA</f>
        <v>9296.68556592292</v>
      </c>
      <c r="Q426" s="16" t="n">
        <f aca="false">MIN(CADASTRO_CASAS_BOMBA!$O$10,MAX(0,Q425+CADASTRO_CASAS_BOMBA!$I$10*HORAS_CAPTACAO_DIA-P426))</f>
        <v>32362.7175983774</v>
      </c>
      <c r="R426" s="16" t="n">
        <f aca="false">MAX(0,P426-CADASTRO_CASAS_BOMBA!$I$10*HORAS_CAPTACAO_DIA-Q425)</f>
        <v>0</v>
      </c>
      <c r="S426" s="16" t="n">
        <f aca="false">INDEX(AUX_MATRIZES!$C$13:$BP$13,MIN(N_SEMANAS,MAX(1,$C426)))/DIAS_POR_SEMANA</f>
        <v>10718.9110588235</v>
      </c>
      <c r="T426" s="16" t="n">
        <f aca="false">MIN(CADASTRO_CASAS_BOMBA!$O$11,MAX(0,T425+CADASTRO_CASAS_BOMBA!$I$11*HORAS_CAPTACAO_DIA-S426))</f>
        <v>187201.807058824</v>
      </c>
      <c r="U426" s="16" t="n">
        <f aca="false">MAX(0,S426-CADASTRO_CASAS_BOMBA!$I$11*HORAS_CAPTACAO_DIA-T425)</f>
        <v>0</v>
      </c>
      <c r="V426" s="16" t="n">
        <f aca="false">INDEX(AUX_MATRIZES!$C$14:$BP$14,MIN(N_SEMANAS,MAX(1,$C426)))/DIAS_POR_SEMANA</f>
        <v>12305.597306288</v>
      </c>
      <c r="W426" s="16" t="n">
        <f aca="false">MIN(CADASTRO_CASAS_BOMBA!$O$12,MAX(0,W425+CADASTRO_CASAS_BOMBA!$I$12*HORAS_CAPTACAO_DIA-V426))</f>
        <v>261340.587910751</v>
      </c>
      <c r="X426" s="16" t="n">
        <f aca="false">MAX(0,V426-CADASTRO_CASAS_BOMBA!$I$12*HORAS_CAPTACAO_DIA-W425)</f>
        <v>0</v>
      </c>
      <c r="Y426" s="16" t="n">
        <f aca="false">INDEX(AUX_MATRIZES!$C$15:$BP$15,MIN(N_SEMANAS,MAX(1,$C426)))/DIAS_POR_SEMANA</f>
        <v>0</v>
      </c>
      <c r="Z426" s="16" t="n">
        <f aca="false">MIN(CADASTRO_CASAS_BOMBA!$O$13,MAX(0,Z425+CADASTRO_CASAS_BOMBA!$I$13*HORAS_CAPTACAO_DIA-Y426))</f>
        <v>74903</v>
      </c>
      <c r="AA426" s="16" t="n">
        <f aca="false">MAX(0,Y426-CADASTRO_CASAS_BOMBA!$I$13*HORAS_CAPTACAO_DIA-Z425)</f>
        <v>0</v>
      </c>
    </row>
    <row r="427" customFormat="false" ht="15" hidden="false" customHeight="false" outlineLevel="0" collapsed="false">
      <c r="B427" s="17" t="n">
        <f aca="false">DATA_INICIO_SAFRA+420</f>
        <v>46685</v>
      </c>
      <c r="C427" s="16" t="n">
        <f aca="false">MIN(N_SEMANAS,MAX(1,INT(($B427-DATA_INICIO_SAFRA)/DIAS_POR_SEMANA)+1))</f>
        <v>61</v>
      </c>
      <c r="D427" s="16" t="n">
        <f aca="false">INDEX(AUX_MATRIZES!$C$8:$BP$8,MIN(N_SEMANAS,MAX(1,$C427)))/DIAS_POR_SEMANA</f>
        <v>0</v>
      </c>
      <c r="E427" s="16" t="n">
        <f aca="false">MIN(CADASTRO_CASAS_BOMBA!$O$6,MAX(0,E426+CADASTRO_CASAS_BOMBA!$I$6*HORAS_CAPTACAO_DIA-D427))</f>
        <v>2600</v>
      </c>
      <c r="F427" s="16" t="n">
        <f aca="false">MAX(0,D427-CADASTRO_CASAS_BOMBA!$I$6*HORAS_CAPTACAO_DIA-E426)</f>
        <v>0</v>
      </c>
      <c r="G427" s="16" t="n">
        <f aca="false">INDEX(AUX_MATRIZES!$C$9:$BP$9,MIN(N_SEMANAS,MAX(1,$C427)))/DIAS_POR_SEMANA</f>
        <v>0</v>
      </c>
      <c r="H427" s="16" t="n">
        <f aca="false">MIN(CADASTRO_CASAS_BOMBA!$O$7,MAX(0,H426+CADASTRO_CASAS_BOMBA!$I$7*HORAS_CAPTACAO_DIA-G427))</f>
        <v>76648</v>
      </c>
      <c r="I427" s="16" t="n">
        <f aca="false">MAX(0,G427-CADASTRO_CASAS_BOMBA!$I$7*HORAS_CAPTACAO_DIA-H426)</f>
        <v>0</v>
      </c>
      <c r="J427" s="16" t="n">
        <f aca="false">INDEX(AUX_MATRIZES!$C$10:$BP$10,MIN(N_SEMANAS,MAX(1,$C427)))/DIAS_POR_SEMANA</f>
        <v>0</v>
      </c>
      <c r="K427" s="16" t="n">
        <f aca="false">MIN(CADASTRO_CASAS_BOMBA!$O$8,MAX(0,K426+CADASTRO_CASAS_BOMBA!$I$8*HORAS_CAPTACAO_DIA-J427))</f>
        <v>27377</v>
      </c>
      <c r="L427" s="16" t="n">
        <f aca="false">MAX(0,J427-CADASTRO_CASAS_BOMBA!$I$8*HORAS_CAPTACAO_DIA-K426)</f>
        <v>0</v>
      </c>
      <c r="M427" s="16" t="n">
        <f aca="false">INDEX(AUX_MATRIZES!$C$11:$BP$11,MIN(N_SEMANAS,MAX(1,$C427)))/DIAS_POR_SEMANA</f>
        <v>0</v>
      </c>
      <c r="N427" s="16" t="n">
        <f aca="false">MIN(CADASTRO_CASAS_BOMBA!$O$9,MAX(0,N426+CADASTRO_CASAS_BOMBA!$I$9*HORAS_CAPTACAO_DIA-M427))</f>
        <v>129000</v>
      </c>
      <c r="O427" s="16" t="n">
        <f aca="false">MAX(0,M427-CADASTRO_CASAS_BOMBA!$I$9*HORAS_CAPTACAO_DIA-N426)</f>
        <v>0</v>
      </c>
      <c r="P427" s="16" t="n">
        <f aca="false">INDEX(AUX_MATRIZES!$C$12:$BP$12,MIN(N_SEMANAS,MAX(1,$C427)))/DIAS_POR_SEMANA</f>
        <v>5616.9004137931</v>
      </c>
      <c r="Q427" s="16" t="n">
        <f aca="false">MIN(CADASTRO_CASAS_BOMBA!$O$10,MAX(0,Q426+CADASTRO_CASAS_BOMBA!$I$10*HORAS_CAPTACAO_DIA-P427))</f>
        <v>39828.2171845843</v>
      </c>
      <c r="R427" s="16" t="n">
        <f aca="false">MAX(0,P427-CADASTRO_CASAS_BOMBA!$I$10*HORAS_CAPTACAO_DIA-Q426)</f>
        <v>0</v>
      </c>
      <c r="S427" s="16" t="n">
        <f aca="false">INDEX(AUX_MATRIZES!$C$13:$BP$13,MIN(N_SEMANAS,MAX(1,$C427)))/DIAS_POR_SEMANA</f>
        <v>8668.31294117646</v>
      </c>
      <c r="T427" s="16" t="n">
        <f aca="false">MIN(CADASTRO_CASAS_BOMBA!$O$11,MAX(0,T426+CADASTRO_CASAS_BOMBA!$I$11*HORAS_CAPTACAO_DIA-S427))</f>
        <v>199953.494117647</v>
      </c>
      <c r="U427" s="16" t="n">
        <f aca="false">MAX(0,S427-CADASTRO_CASAS_BOMBA!$I$11*HORAS_CAPTACAO_DIA-T426)</f>
        <v>0</v>
      </c>
      <c r="V427" s="16" t="n">
        <f aca="false">INDEX(AUX_MATRIZES!$C$14:$BP$14,MIN(N_SEMANAS,MAX(1,$C427)))/DIAS_POR_SEMANA</f>
        <v>10641.4642758621</v>
      </c>
      <c r="W427" s="16" t="n">
        <f aca="false">MIN(CADASTRO_CASAS_BOMBA!$O$12,MAX(0,W426+CADASTRO_CASAS_BOMBA!$I$12*HORAS_CAPTACAO_DIA-V427))</f>
        <v>276079.123634889</v>
      </c>
      <c r="X427" s="16" t="n">
        <f aca="false">MAX(0,V427-CADASTRO_CASAS_BOMBA!$I$12*HORAS_CAPTACAO_DIA-W426)</f>
        <v>0</v>
      </c>
      <c r="Y427" s="16" t="n">
        <f aca="false">INDEX(AUX_MATRIZES!$C$15:$BP$15,MIN(N_SEMANAS,MAX(1,$C427)))/DIAS_POR_SEMANA</f>
        <v>0</v>
      </c>
      <c r="Z427" s="16" t="n">
        <f aca="false">MIN(CADASTRO_CASAS_BOMBA!$O$13,MAX(0,Z426+CADASTRO_CASAS_BOMBA!$I$13*HORAS_CAPTACAO_DIA-Y427))</f>
        <v>74903</v>
      </c>
      <c r="AA427" s="16" t="n">
        <f aca="false">MAX(0,Y427-CADASTRO_CASAS_BOMBA!$I$13*HORAS_CAPTACAO_DIA-Z426)</f>
        <v>0</v>
      </c>
    </row>
    <row r="428" customFormat="false" ht="15" hidden="false" customHeight="false" outlineLevel="0" collapsed="false">
      <c r="B428" s="17" t="n">
        <f aca="false">DATA_INICIO_SAFRA+421</f>
        <v>46686</v>
      </c>
      <c r="C428" s="16" t="n">
        <f aca="false">MIN(N_SEMANAS,MAX(1,INT(($B428-DATA_INICIO_SAFRA)/DIAS_POR_SEMANA)+1))</f>
        <v>61</v>
      </c>
      <c r="D428" s="16" t="n">
        <f aca="false">INDEX(AUX_MATRIZES!$C$8:$BP$8,MIN(N_SEMANAS,MAX(1,$C428)))/DIAS_POR_SEMANA</f>
        <v>0</v>
      </c>
      <c r="E428" s="16" t="n">
        <f aca="false">MIN(CADASTRO_CASAS_BOMBA!$O$6,MAX(0,E427+CADASTRO_CASAS_BOMBA!$I$6*HORAS_CAPTACAO_DIA-D428))</f>
        <v>2600</v>
      </c>
      <c r="F428" s="16" t="n">
        <f aca="false">MAX(0,D428-CADASTRO_CASAS_BOMBA!$I$6*HORAS_CAPTACAO_DIA-E427)</f>
        <v>0</v>
      </c>
      <c r="G428" s="16" t="n">
        <f aca="false">INDEX(AUX_MATRIZES!$C$9:$BP$9,MIN(N_SEMANAS,MAX(1,$C428)))/DIAS_POR_SEMANA</f>
        <v>0</v>
      </c>
      <c r="H428" s="16" t="n">
        <f aca="false">MIN(CADASTRO_CASAS_BOMBA!$O$7,MAX(0,H427+CADASTRO_CASAS_BOMBA!$I$7*HORAS_CAPTACAO_DIA-G428))</f>
        <v>76648</v>
      </c>
      <c r="I428" s="16" t="n">
        <f aca="false">MAX(0,G428-CADASTRO_CASAS_BOMBA!$I$7*HORAS_CAPTACAO_DIA-H427)</f>
        <v>0</v>
      </c>
      <c r="J428" s="16" t="n">
        <f aca="false">INDEX(AUX_MATRIZES!$C$10:$BP$10,MIN(N_SEMANAS,MAX(1,$C428)))/DIAS_POR_SEMANA</f>
        <v>0</v>
      </c>
      <c r="K428" s="16" t="n">
        <f aca="false">MIN(CADASTRO_CASAS_BOMBA!$O$8,MAX(0,K427+CADASTRO_CASAS_BOMBA!$I$8*HORAS_CAPTACAO_DIA-J428))</f>
        <v>27377</v>
      </c>
      <c r="L428" s="16" t="n">
        <f aca="false">MAX(0,J428-CADASTRO_CASAS_BOMBA!$I$8*HORAS_CAPTACAO_DIA-K427)</f>
        <v>0</v>
      </c>
      <c r="M428" s="16" t="n">
        <f aca="false">INDEX(AUX_MATRIZES!$C$11:$BP$11,MIN(N_SEMANAS,MAX(1,$C428)))/DIAS_POR_SEMANA</f>
        <v>0</v>
      </c>
      <c r="N428" s="16" t="n">
        <f aca="false">MIN(CADASTRO_CASAS_BOMBA!$O$9,MAX(0,N427+CADASTRO_CASAS_BOMBA!$I$9*HORAS_CAPTACAO_DIA-M428))</f>
        <v>129000</v>
      </c>
      <c r="O428" s="16" t="n">
        <f aca="false">MAX(0,M428-CADASTRO_CASAS_BOMBA!$I$9*HORAS_CAPTACAO_DIA-N427)</f>
        <v>0</v>
      </c>
      <c r="P428" s="16" t="n">
        <f aca="false">INDEX(AUX_MATRIZES!$C$12:$BP$12,MIN(N_SEMANAS,MAX(1,$C428)))/DIAS_POR_SEMANA</f>
        <v>5616.9004137931</v>
      </c>
      <c r="Q428" s="16" t="n">
        <f aca="false">MIN(CADASTRO_CASAS_BOMBA!$O$10,MAX(0,Q427+CADASTRO_CASAS_BOMBA!$I$10*HORAS_CAPTACAO_DIA-P428))</f>
        <v>47293.7167707912</v>
      </c>
      <c r="R428" s="16" t="n">
        <f aca="false">MAX(0,P428-CADASTRO_CASAS_BOMBA!$I$10*HORAS_CAPTACAO_DIA-Q427)</f>
        <v>0</v>
      </c>
      <c r="S428" s="16" t="n">
        <f aca="false">INDEX(AUX_MATRIZES!$C$13:$BP$13,MIN(N_SEMANAS,MAX(1,$C428)))/DIAS_POR_SEMANA</f>
        <v>8668.31294117646</v>
      </c>
      <c r="T428" s="16" t="n">
        <f aca="false">MIN(CADASTRO_CASAS_BOMBA!$O$11,MAX(0,T427+CADASTRO_CASAS_BOMBA!$I$11*HORAS_CAPTACAO_DIA-S428))</f>
        <v>212705.181176471</v>
      </c>
      <c r="U428" s="16" t="n">
        <f aca="false">MAX(0,S428-CADASTRO_CASAS_BOMBA!$I$11*HORAS_CAPTACAO_DIA-T427)</f>
        <v>0</v>
      </c>
      <c r="V428" s="16" t="n">
        <f aca="false">INDEX(AUX_MATRIZES!$C$14:$BP$14,MIN(N_SEMANAS,MAX(1,$C428)))/DIAS_POR_SEMANA</f>
        <v>10641.4642758621</v>
      </c>
      <c r="W428" s="16" t="n">
        <f aca="false">MIN(CADASTRO_CASAS_BOMBA!$O$12,MAX(0,W427+CADASTRO_CASAS_BOMBA!$I$12*HORAS_CAPTACAO_DIA-V428))</f>
        <v>290817.659359027</v>
      </c>
      <c r="X428" s="16" t="n">
        <f aca="false">MAX(0,V428-CADASTRO_CASAS_BOMBA!$I$12*HORAS_CAPTACAO_DIA-W427)</f>
        <v>0</v>
      </c>
      <c r="Y428" s="16" t="n">
        <f aca="false">INDEX(AUX_MATRIZES!$C$15:$BP$15,MIN(N_SEMANAS,MAX(1,$C428)))/DIAS_POR_SEMANA</f>
        <v>0</v>
      </c>
      <c r="Z428" s="16" t="n">
        <f aca="false">MIN(CADASTRO_CASAS_BOMBA!$O$13,MAX(0,Z427+CADASTRO_CASAS_BOMBA!$I$13*HORAS_CAPTACAO_DIA-Y428))</f>
        <v>74903</v>
      </c>
      <c r="AA428" s="16" t="n">
        <f aca="false">MAX(0,Y428-CADASTRO_CASAS_BOMBA!$I$13*HORAS_CAPTACAO_DIA-Z427)</f>
        <v>0</v>
      </c>
    </row>
    <row r="429" customFormat="false" ht="15" hidden="false" customHeight="false" outlineLevel="0" collapsed="false">
      <c r="B429" s="17" t="n">
        <f aca="false">DATA_INICIO_SAFRA+422</f>
        <v>46687</v>
      </c>
      <c r="C429" s="16" t="n">
        <f aca="false">MIN(N_SEMANAS,MAX(1,INT(($B429-DATA_INICIO_SAFRA)/DIAS_POR_SEMANA)+1))</f>
        <v>61</v>
      </c>
      <c r="D429" s="16" t="n">
        <f aca="false">INDEX(AUX_MATRIZES!$C$8:$BP$8,MIN(N_SEMANAS,MAX(1,$C429)))/DIAS_POR_SEMANA</f>
        <v>0</v>
      </c>
      <c r="E429" s="16" t="n">
        <f aca="false">MIN(CADASTRO_CASAS_BOMBA!$O$6,MAX(0,E428+CADASTRO_CASAS_BOMBA!$I$6*HORAS_CAPTACAO_DIA-D429))</f>
        <v>2600</v>
      </c>
      <c r="F429" s="16" t="n">
        <f aca="false">MAX(0,D429-CADASTRO_CASAS_BOMBA!$I$6*HORAS_CAPTACAO_DIA-E428)</f>
        <v>0</v>
      </c>
      <c r="G429" s="16" t="n">
        <f aca="false">INDEX(AUX_MATRIZES!$C$9:$BP$9,MIN(N_SEMANAS,MAX(1,$C429)))/DIAS_POR_SEMANA</f>
        <v>0</v>
      </c>
      <c r="H429" s="16" t="n">
        <f aca="false">MIN(CADASTRO_CASAS_BOMBA!$O$7,MAX(0,H428+CADASTRO_CASAS_BOMBA!$I$7*HORAS_CAPTACAO_DIA-G429))</f>
        <v>76648</v>
      </c>
      <c r="I429" s="16" t="n">
        <f aca="false">MAX(0,G429-CADASTRO_CASAS_BOMBA!$I$7*HORAS_CAPTACAO_DIA-H428)</f>
        <v>0</v>
      </c>
      <c r="J429" s="16" t="n">
        <f aca="false">INDEX(AUX_MATRIZES!$C$10:$BP$10,MIN(N_SEMANAS,MAX(1,$C429)))/DIAS_POR_SEMANA</f>
        <v>0</v>
      </c>
      <c r="K429" s="16" t="n">
        <f aca="false">MIN(CADASTRO_CASAS_BOMBA!$O$8,MAX(0,K428+CADASTRO_CASAS_BOMBA!$I$8*HORAS_CAPTACAO_DIA-J429))</f>
        <v>27377</v>
      </c>
      <c r="L429" s="16" t="n">
        <f aca="false">MAX(0,J429-CADASTRO_CASAS_BOMBA!$I$8*HORAS_CAPTACAO_DIA-K428)</f>
        <v>0</v>
      </c>
      <c r="M429" s="16" t="n">
        <f aca="false">INDEX(AUX_MATRIZES!$C$11:$BP$11,MIN(N_SEMANAS,MAX(1,$C429)))/DIAS_POR_SEMANA</f>
        <v>0</v>
      </c>
      <c r="N429" s="16" t="n">
        <f aca="false">MIN(CADASTRO_CASAS_BOMBA!$O$9,MAX(0,N428+CADASTRO_CASAS_BOMBA!$I$9*HORAS_CAPTACAO_DIA-M429))</f>
        <v>129000</v>
      </c>
      <c r="O429" s="16" t="n">
        <f aca="false">MAX(0,M429-CADASTRO_CASAS_BOMBA!$I$9*HORAS_CAPTACAO_DIA-N428)</f>
        <v>0</v>
      </c>
      <c r="P429" s="16" t="n">
        <f aca="false">INDEX(AUX_MATRIZES!$C$12:$BP$12,MIN(N_SEMANAS,MAX(1,$C429)))/DIAS_POR_SEMANA</f>
        <v>5616.9004137931</v>
      </c>
      <c r="Q429" s="16" t="n">
        <f aca="false">MIN(CADASTRO_CASAS_BOMBA!$O$10,MAX(0,Q428+CADASTRO_CASAS_BOMBA!$I$10*HORAS_CAPTACAO_DIA-P429))</f>
        <v>54759.2163569981</v>
      </c>
      <c r="R429" s="16" t="n">
        <f aca="false">MAX(0,P429-CADASTRO_CASAS_BOMBA!$I$10*HORAS_CAPTACAO_DIA-Q428)</f>
        <v>0</v>
      </c>
      <c r="S429" s="16" t="n">
        <f aca="false">INDEX(AUX_MATRIZES!$C$13:$BP$13,MIN(N_SEMANAS,MAX(1,$C429)))/DIAS_POR_SEMANA</f>
        <v>8668.31294117646</v>
      </c>
      <c r="T429" s="16" t="n">
        <f aca="false">MIN(CADASTRO_CASAS_BOMBA!$O$11,MAX(0,T428+CADASTRO_CASAS_BOMBA!$I$11*HORAS_CAPTACAO_DIA-S429))</f>
        <v>225456.868235294</v>
      </c>
      <c r="U429" s="16" t="n">
        <f aca="false">MAX(0,S429-CADASTRO_CASAS_BOMBA!$I$11*HORAS_CAPTACAO_DIA-T428)</f>
        <v>0</v>
      </c>
      <c r="V429" s="16" t="n">
        <f aca="false">INDEX(AUX_MATRIZES!$C$14:$BP$14,MIN(N_SEMANAS,MAX(1,$C429)))/DIAS_POR_SEMANA</f>
        <v>10641.4642758621</v>
      </c>
      <c r="W429" s="16" t="n">
        <f aca="false">MIN(CADASTRO_CASAS_BOMBA!$O$12,MAX(0,W428+CADASTRO_CASAS_BOMBA!$I$12*HORAS_CAPTACAO_DIA-V429))</f>
        <v>305556.195083164</v>
      </c>
      <c r="X429" s="16" t="n">
        <f aca="false">MAX(0,V429-CADASTRO_CASAS_BOMBA!$I$12*HORAS_CAPTACAO_DIA-W428)</f>
        <v>0</v>
      </c>
      <c r="Y429" s="16" t="n">
        <f aca="false">INDEX(AUX_MATRIZES!$C$15:$BP$15,MIN(N_SEMANAS,MAX(1,$C429)))/DIAS_POR_SEMANA</f>
        <v>0</v>
      </c>
      <c r="Z429" s="16" t="n">
        <f aca="false">MIN(CADASTRO_CASAS_BOMBA!$O$13,MAX(0,Z428+CADASTRO_CASAS_BOMBA!$I$13*HORAS_CAPTACAO_DIA-Y429))</f>
        <v>74903</v>
      </c>
      <c r="AA429" s="16" t="n">
        <f aca="false">MAX(0,Y429-CADASTRO_CASAS_BOMBA!$I$13*HORAS_CAPTACAO_DIA-Z428)</f>
        <v>0</v>
      </c>
    </row>
    <row r="430" customFormat="false" ht="15" hidden="false" customHeight="false" outlineLevel="0" collapsed="false">
      <c r="B430" s="17" t="n">
        <f aca="false">DATA_INICIO_SAFRA+423</f>
        <v>46688</v>
      </c>
      <c r="C430" s="16" t="n">
        <f aca="false">MIN(N_SEMANAS,MAX(1,INT(($B430-DATA_INICIO_SAFRA)/DIAS_POR_SEMANA)+1))</f>
        <v>61</v>
      </c>
      <c r="D430" s="16" t="n">
        <f aca="false">INDEX(AUX_MATRIZES!$C$8:$BP$8,MIN(N_SEMANAS,MAX(1,$C430)))/DIAS_POR_SEMANA</f>
        <v>0</v>
      </c>
      <c r="E430" s="16" t="n">
        <f aca="false">MIN(CADASTRO_CASAS_BOMBA!$O$6,MAX(0,E429+CADASTRO_CASAS_BOMBA!$I$6*HORAS_CAPTACAO_DIA-D430))</f>
        <v>2600</v>
      </c>
      <c r="F430" s="16" t="n">
        <f aca="false">MAX(0,D430-CADASTRO_CASAS_BOMBA!$I$6*HORAS_CAPTACAO_DIA-E429)</f>
        <v>0</v>
      </c>
      <c r="G430" s="16" t="n">
        <f aca="false">INDEX(AUX_MATRIZES!$C$9:$BP$9,MIN(N_SEMANAS,MAX(1,$C430)))/DIAS_POR_SEMANA</f>
        <v>0</v>
      </c>
      <c r="H430" s="16" t="n">
        <f aca="false">MIN(CADASTRO_CASAS_BOMBA!$O$7,MAX(0,H429+CADASTRO_CASAS_BOMBA!$I$7*HORAS_CAPTACAO_DIA-G430))</f>
        <v>76648</v>
      </c>
      <c r="I430" s="16" t="n">
        <f aca="false">MAX(0,G430-CADASTRO_CASAS_BOMBA!$I$7*HORAS_CAPTACAO_DIA-H429)</f>
        <v>0</v>
      </c>
      <c r="J430" s="16" t="n">
        <f aca="false">INDEX(AUX_MATRIZES!$C$10:$BP$10,MIN(N_SEMANAS,MAX(1,$C430)))/DIAS_POR_SEMANA</f>
        <v>0</v>
      </c>
      <c r="K430" s="16" t="n">
        <f aca="false">MIN(CADASTRO_CASAS_BOMBA!$O$8,MAX(0,K429+CADASTRO_CASAS_BOMBA!$I$8*HORAS_CAPTACAO_DIA-J430))</f>
        <v>27377</v>
      </c>
      <c r="L430" s="16" t="n">
        <f aca="false">MAX(0,J430-CADASTRO_CASAS_BOMBA!$I$8*HORAS_CAPTACAO_DIA-K429)</f>
        <v>0</v>
      </c>
      <c r="M430" s="16" t="n">
        <f aca="false">INDEX(AUX_MATRIZES!$C$11:$BP$11,MIN(N_SEMANAS,MAX(1,$C430)))/DIAS_POR_SEMANA</f>
        <v>0</v>
      </c>
      <c r="N430" s="16" t="n">
        <f aca="false">MIN(CADASTRO_CASAS_BOMBA!$O$9,MAX(0,N429+CADASTRO_CASAS_BOMBA!$I$9*HORAS_CAPTACAO_DIA-M430))</f>
        <v>129000</v>
      </c>
      <c r="O430" s="16" t="n">
        <f aca="false">MAX(0,M430-CADASTRO_CASAS_BOMBA!$I$9*HORAS_CAPTACAO_DIA-N429)</f>
        <v>0</v>
      </c>
      <c r="P430" s="16" t="n">
        <f aca="false">INDEX(AUX_MATRIZES!$C$12:$BP$12,MIN(N_SEMANAS,MAX(1,$C430)))/DIAS_POR_SEMANA</f>
        <v>5616.9004137931</v>
      </c>
      <c r="Q430" s="16" t="n">
        <f aca="false">MIN(CADASTRO_CASAS_BOMBA!$O$10,MAX(0,Q429+CADASTRO_CASAS_BOMBA!$I$10*HORAS_CAPTACAO_DIA-P430))</f>
        <v>62224.7159432049</v>
      </c>
      <c r="R430" s="16" t="n">
        <f aca="false">MAX(0,P430-CADASTRO_CASAS_BOMBA!$I$10*HORAS_CAPTACAO_DIA-Q429)</f>
        <v>0</v>
      </c>
      <c r="S430" s="16" t="n">
        <f aca="false">INDEX(AUX_MATRIZES!$C$13:$BP$13,MIN(N_SEMANAS,MAX(1,$C430)))/DIAS_POR_SEMANA</f>
        <v>8668.31294117646</v>
      </c>
      <c r="T430" s="16" t="n">
        <f aca="false">MIN(CADASTRO_CASAS_BOMBA!$O$11,MAX(0,T429+CADASTRO_CASAS_BOMBA!$I$11*HORAS_CAPTACAO_DIA-S430))</f>
        <v>238208.555294118</v>
      </c>
      <c r="U430" s="16" t="n">
        <f aca="false">MAX(0,S430-CADASTRO_CASAS_BOMBA!$I$11*HORAS_CAPTACAO_DIA-T429)</f>
        <v>0</v>
      </c>
      <c r="V430" s="16" t="n">
        <f aca="false">INDEX(AUX_MATRIZES!$C$14:$BP$14,MIN(N_SEMANAS,MAX(1,$C430)))/DIAS_POR_SEMANA</f>
        <v>10641.4642758621</v>
      </c>
      <c r="W430" s="16" t="n">
        <f aca="false">MIN(CADASTRO_CASAS_BOMBA!$O$12,MAX(0,W429+CADASTRO_CASAS_BOMBA!$I$12*HORAS_CAPTACAO_DIA-V430))</f>
        <v>320294.730807302</v>
      </c>
      <c r="X430" s="16" t="n">
        <f aca="false">MAX(0,V430-CADASTRO_CASAS_BOMBA!$I$12*HORAS_CAPTACAO_DIA-W429)</f>
        <v>0</v>
      </c>
      <c r="Y430" s="16" t="n">
        <f aca="false">INDEX(AUX_MATRIZES!$C$15:$BP$15,MIN(N_SEMANAS,MAX(1,$C430)))/DIAS_POR_SEMANA</f>
        <v>0</v>
      </c>
      <c r="Z430" s="16" t="n">
        <f aca="false">MIN(CADASTRO_CASAS_BOMBA!$O$13,MAX(0,Z429+CADASTRO_CASAS_BOMBA!$I$13*HORAS_CAPTACAO_DIA-Y430))</f>
        <v>74903</v>
      </c>
      <c r="AA430" s="16" t="n">
        <f aca="false">MAX(0,Y430-CADASTRO_CASAS_BOMBA!$I$13*HORAS_CAPTACAO_DIA-Z429)</f>
        <v>0</v>
      </c>
    </row>
    <row r="431" customFormat="false" ht="15" hidden="false" customHeight="false" outlineLevel="0" collapsed="false">
      <c r="B431" s="17" t="n">
        <f aca="false">DATA_INICIO_SAFRA+424</f>
        <v>46689</v>
      </c>
      <c r="C431" s="16" t="n">
        <f aca="false">MIN(N_SEMANAS,MAX(1,INT(($B431-DATA_INICIO_SAFRA)/DIAS_POR_SEMANA)+1))</f>
        <v>61</v>
      </c>
      <c r="D431" s="16" t="n">
        <f aca="false">INDEX(AUX_MATRIZES!$C$8:$BP$8,MIN(N_SEMANAS,MAX(1,$C431)))/DIAS_POR_SEMANA</f>
        <v>0</v>
      </c>
      <c r="E431" s="16" t="n">
        <f aca="false">MIN(CADASTRO_CASAS_BOMBA!$O$6,MAX(0,E430+CADASTRO_CASAS_BOMBA!$I$6*HORAS_CAPTACAO_DIA-D431))</f>
        <v>2600</v>
      </c>
      <c r="F431" s="16" t="n">
        <f aca="false">MAX(0,D431-CADASTRO_CASAS_BOMBA!$I$6*HORAS_CAPTACAO_DIA-E430)</f>
        <v>0</v>
      </c>
      <c r="G431" s="16" t="n">
        <f aca="false">INDEX(AUX_MATRIZES!$C$9:$BP$9,MIN(N_SEMANAS,MAX(1,$C431)))/DIAS_POR_SEMANA</f>
        <v>0</v>
      </c>
      <c r="H431" s="16" t="n">
        <f aca="false">MIN(CADASTRO_CASAS_BOMBA!$O$7,MAX(0,H430+CADASTRO_CASAS_BOMBA!$I$7*HORAS_CAPTACAO_DIA-G431))</f>
        <v>76648</v>
      </c>
      <c r="I431" s="16" t="n">
        <f aca="false">MAX(0,G431-CADASTRO_CASAS_BOMBA!$I$7*HORAS_CAPTACAO_DIA-H430)</f>
        <v>0</v>
      </c>
      <c r="J431" s="16" t="n">
        <f aca="false">INDEX(AUX_MATRIZES!$C$10:$BP$10,MIN(N_SEMANAS,MAX(1,$C431)))/DIAS_POR_SEMANA</f>
        <v>0</v>
      </c>
      <c r="K431" s="16" t="n">
        <f aca="false">MIN(CADASTRO_CASAS_BOMBA!$O$8,MAX(0,K430+CADASTRO_CASAS_BOMBA!$I$8*HORAS_CAPTACAO_DIA-J431))</f>
        <v>27377</v>
      </c>
      <c r="L431" s="16" t="n">
        <f aca="false">MAX(0,J431-CADASTRO_CASAS_BOMBA!$I$8*HORAS_CAPTACAO_DIA-K430)</f>
        <v>0</v>
      </c>
      <c r="M431" s="16" t="n">
        <f aca="false">INDEX(AUX_MATRIZES!$C$11:$BP$11,MIN(N_SEMANAS,MAX(1,$C431)))/DIAS_POR_SEMANA</f>
        <v>0</v>
      </c>
      <c r="N431" s="16" t="n">
        <f aca="false">MIN(CADASTRO_CASAS_BOMBA!$O$9,MAX(0,N430+CADASTRO_CASAS_BOMBA!$I$9*HORAS_CAPTACAO_DIA-M431))</f>
        <v>129000</v>
      </c>
      <c r="O431" s="16" t="n">
        <f aca="false">MAX(0,M431-CADASTRO_CASAS_BOMBA!$I$9*HORAS_CAPTACAO_DIA-N430)</f>
        <v>0</v>
      </c>
      <c r="P431" s="16" t="n">
        <f aca="false">INDEX(AUX_MATRIZES!$C$12:$BP$12,MIN(N_SEMANAS,MAX(1,$C431)))/DIAS_POR_SEMANA</f>
        <v>5616.9004137931</v>
      </c>
      <c r="Q431" s="16" t="n">
        <f aca="false">MIN(CADASTRO_CASAS_BOMBA!$O$10,MAX(0,Q430+CADASTRO_CASAS_BOMBA!$I$10*HORAS_CAPTACAO_DIA-P431))</f>
        <v>69690.2155294118</v>
      </c>
      <c r="R431" s="16" t="n">
        <f aca="false">MAX(0,P431-CADASTRO_CASAS_BOMBA!$I$10*HORAS_CAPTACAO_DIA-Q430)</f>
        <v>0</v>
      </c>
      <c r="S431" s="16" t="n">
        <f aca="false">INDEX(AUX_MATRIZES!$C$13:$BP$13,MIN(N_SEMANAS,MAX(1,$C431)))/DIAS_POR_SEMANA</f>
        <v>8668.31294117646</v>
      </c>
      <c r="T431" s="16" t="n">
        <f aca="false">MIN(CADASTRO_CASAS_BOMBA!$O$11,MAX(0,T430+CADASTRO_CASAS_BOMBA!$I$11*HORAS_CAPTACAO_DIA-S431))</f>
        <v>250960.242352941</v>
      </c>
      <c r="U431" s="16" t="n">
        <f aca="false">MAX(0,S431-CADASTRO_CASAS_BOMBA!$I$11*HORAS_CAPTACAO_DIA-T430)</f>
        <v>0</v>
      </c>
      <c r="V431" s="16" t="n">
        <f aca="false">INDEX(AUX_MATRIZES!$C$14:$BP$14,MIN(N_SEMANAS,MAX(1,$C431)))/DIAS_POR_SEMANA</f>
        <v>10641.4642758621</v>
      </c>
      <c r="W431" s="16" t="n">
        <f aca="false">MIN(CADASTRO_CASAS_BOMBA!$O$12,MAX(0,W430+CADASTRO_CASAS_BOMBA!$I$12*HORAS_CAPTACAO_DIA-V431))</f>
        <v>335033.26653144</v>
      </c>
      <c r="X431" s="16" t="n">
        <f aca="false">MAX(0,V431-CADASTRO_CASAS_BOMBA!$I$12*HORAS_CAPTACAO_DIA-W430)</f>
        <v>0</v>
      </c>
      <c r="Y431" s="16" t="n">
        <f aca="false">INDEX(AUX_MATRIZES!$C$15:$BP$15,MIN(N_SEMANAS,MAX(1,$C431)))/DIAS_POR_SEMANA</f>
        <v>0</v>
      </c>
      <c r="Z431" s="16" t="n">
        <f aca="false">MIN(CADASTRO_CASAS_BOMBA!$O$13,MAX(0,Z430+CADASTRO_CASAS_BOMBA!$I$13*HORAS_CAPTACAO_DIA-Y431))</f>
        <v>74903</v>
      </c>
      <c r="AA431" s="16" t="n">
        <f aca="false">MAX(0,Y431-CADASTRO_CASAS_BOMBA!$I$13*HORAS_CAPTACAO_DIA-Z430)</f>
        <v>0</v>
      </c>
    </row>
    <row r="432" customFormat="false" ht="15" hidden="false" customHeight="false" outlineLevel="0" collapsed="false">
      <c r="B432" s="17" t="n">
        <f aca="false">DATA_INICIO_SAFRA+425</f>
        <v>46690</v>
      </c>
      <c r="C432" s="16" t="n">
        <f aca="false">MIN(N_SEMANAS,MAX(1,INT(($B432-DATA_INICIO_SAFRA)/DIAS_POR_SEMANA)+1))</f>
        <v>61</v>
      </c>
      <c r="D432" s="16" t="n">
        <f aca="false">INDEX(AUX_MATRIZES!$C$8:$BP$8,MIN(N_SEMANAS,MAX(1,$C432)))/DIAS_POR_SEMANA</f>
        <v>0</v>
      </c>
      <c r="E432" s="16" t="n">
        <f aca="false">MIN(CADASTRO_CASAS_BOMBA!$O$6,MAX(0,E431+CADASTRO_CASAS_BOMBA!$I$6*HORAS_CAPTACAO_DIA-D432))</f>
        <v>2600</v>
      </c>
      <c r="F432" s="16" t="n">
        <f aca="false">MAX(0,D432-CADASTRO_CASAS_BOMBA!$I$6*HORAS_CAPTACAO_DIA-E431)</f>
        <v>0</v>
      </c>
      <c r="G432" s="16" t="n">
        <f aca="false">INDEX(AUX_MATRIZES!$C$9:$BP$9,MIN(N_SEMANAS,MAX(1,$C432)))/DIAS_POR_SEMANA</f>
        <v>0</v>
      </c>
      <c r="H432" s="16" t="n">
        <f aca="false">MIN(CADASTRO_CASAS_BOMBA!$O$7,MAX(0,H431+CADASTRO_CASAS_BOMBA!$I$7*HORAS_CAPTACAO_DIA-G432))</f>
        <v>76648</v>
      </c>
      <c r="I432" s="16" t="n">
        <f aca="false">MAX(0,G432-CADASTRO_CASAS_BOMBA!$I$7*HORAS_CAPTACAO_DIA-H431)</f>
        <v>0</v>
      </c>
      <c r="J432" s="16" t="n">
        <f aca="false">INDEX(AUX_MATRIZES!$C$10:$BP$10,MIN(N_SEMANAS,MAX(1,$C432)))/DIAS_POR_SEMANA</f>
        <v>0</v>
      </c>
      <c r="K432" s="16" t="n">
        <f aca="false">MIN(CADASTRO_CASAS_BOMBA!$O$8,MAX(0,K431+CADASTRO_CASAS_BOMBA!$I$8*HORAS_CAPTACAO_DIA-J432))</f>
        <v>27377</v>
      </c>
      <c r="L432" s="16" t="n">
        <f aca="false">MAX(0,J432-CADASTRO_CASAS_BOMBA!$I$8*HORAS_CAPTACAO_DIA-K431)</f>
        <v>0</v>
      </c>
      <c r="M432" s="16" t="n">
        <f aca="false">INDEX(AUX_MATRIZES!$C$11:$BP$11,MIN(N_SEMANAS,MAX(1,$C432)))/DIAS_POR_SEMANA</f>
        <v>0</v>
      </c>
      <c r="N432" s="16" t="n">
        <f aca="false">MIN(CADASTRO_CASAS_BOMBA!$O$9,MAX(0,N431+CADASTRO_CASAS_BOMBA!$I$9*HORAS_CAPTACAO_DIA-M432))</f>
        <v>129000</v>
      </c>
      <c r="O432" s="16" t="n">
        <f aca="false">MAX(0,M432-CADASTRO_CASAS_BOMBA!$I$9*HORAS_CAPTACAO_DIA-N431)</f>
        <v>0</v>
      </c>
      <c r="P432" s="16" t="n">
        <f aca="false">INDEX(AUX_MATRIZES!$C$12:$BP$12,MIN(N_SEMANAS,MAX(1,$C432)))/DIAS_POR_SEMANA</f>
        <v>5616.9004137931</v>
      </c>
      <c r="Q432" s="16" t="n">
        <f aca="false">MIN(CADASTRO_CASAS_BOMBA!$O$10,MAX(0,Q431+CADASTRO_CASAS_BOMBA!$I$10*HORAS_CAPTACAO_DIA-P432))</f>
        <v>77155.7151156187</v>
      </c>
      <c r="R432" s="16" t="n">
        <f aca="false">MAX(0,P432-CADASTRO_CASAS_BOMBA!$I$10*HORAS_CAPTACAO_DIA-Q431)</f>
        <v>0</v>
      </c>
      <c r="S432" s="16" t="n">
        <f aca="false">INDEX(AUX_MATRIZES!$C$13:$BP$13,MIN(N_SEMANAS,MAX(1,$C432)))/DIAS_POR_SEMANA</f>
        <v>8668.31294117646</v>
      </c>
      <c r="T432" s="16" t="n">
        <f aca="false">MIN(CADASTRO_CASAS_BOMBA!$O$11,MAX(0,T431+CADASTRO_CASAS_BOMBA!$I$11*HORAS_CAPTACAO_DIA-S432))</f>
        <v>263711.929411765</v>
      </c>
      <c r="U432" s="16" t="n">
        <f aca="false">MAX(0,S432-CADASTRO_CASAS_BOMBA!$I$11*HORAS_CAPTACAO_DIA-T431)</f>
        <v>0</v>
      </c>
      <c r="V432" s="16" t="n">
        <f aca="false">INDEX(AUX_MATRIZES!$C$14:$BP$14,MIN(N_SEMANAS,MAX(1,$C432)))/DIAS_POR_SEMANA</f>
        <v>10641.4642758621</v>
      </c>
      <c r="W432" s="16" t="n">
        <f aca="false">MIN(CADASTRO_CASAS_BOMBA!$O$12,MAX(0,W431+CADASTRO_CASAS_BOMBA!$I$12*HORAS_CAPTACAO_DIA-V432))</f>
        <v>349771.802255578</v>
      </c>
      <c r="X432" s="16" t="n">
        <f aca="false">MAX(0,V432-CADASTRO_CASAS_BOMBA!$I$12*HORAS_CAPTACAO_DIA-W431)</f>
        <v>0</v>
      </c>
      <c r="Y432" s="16" t="n">
        <f aca="false">INDEX(AUX_MATRIZES!$C$15:$BP$15,MIN(N_SEMANAS,MAX(1,$C432)))/DIAS_POR_SEMANA</f>
        <v>0</v>
      </c>
      <c r="Z432" s="16" t="n">
        <f aca="false">MIN(CADASTRO_CASAS_BOMBA!$O$13,MAX(0,Z431+CADASTRO_CASAS_BOMBA!$I$13*HORAS_CAPTACAO_DIA-Y432))</f>
        <v>74903</v>
      </c>
      <c r="AA432" s="16" t="n">
        <f aca="false">MAX(0,Y432-CADASTRO_CASAS_BOMBA!$I$13*HORAS_CAPTACAO_DIA-Z431)</f>
        <v>0</v>
      </c>
    </row>
    <row r="433" customFormat="false" ht="15" hidden="false" customHeight="false" outlineLevel="0" collapsed="false">
      <c r="B433" s="17" t="n">
        <f aca="false">DATA_INICIO_SAFRA+426</f>
        <v>46691</v>
      </c>
      <c r="C433" s="16" t="n">
        <f aca="false">MIN(N_SEMANAS,MAX(1,INT(($B433-DATA_INICIO_SAFRA)/DIAS_POR_SEMANA)+1))</f>
        <v>61</v>
      </c>
      <c r="D433" s="16" t="n">
        <f aca="false">INDEX(AUX_MATRIZES!$C$8:$BP$8,MIN(N_SEMANAS,MAX(1,$C433)))/DIAS_POR_SEMANA</f>
        <v>0</v>
      </c>
      <c r="E433" s="16" t="n">
        <f aca="false">MIN(CADASTRO_CASAS_BOMBA!$O$6,MAX(0,E432+CADASTRO_CASAS_BOMBA!$I$6*HORAS_CAPTACAO_DIA-D433))</f>
        <v>2600</v>
      </c>
      <c r="F433" s="16" t="n">
        <f aca="false">MAX(0,D433-CADASTRO_CASAS_BOMBA!$I$6*HORAS_CAPTACAO_DIA-E432)</f>
        <v>0</v>
      </c>
      <c r="G433" s="16" t="n">
        <f aca="false">INDEX(AUX_MATRIZES!$C$9:$BP$9,MIN(N_SEMANAS,MAX(1,$C433)))/DIAS_POR_SEMANA</f>
        <v>0</v>
      </c>
      <c r="H433" s="16" t="n">
        <f aca="false">MIN(CADASTRO_CASAS_BOMBA!$O$7,MAX(0,H432+CADASTRO_CASAS_BOMBA!$I$7*HORAS_CAPTACAO_DIA-G433))</f>
        <v>76648</v>
      </c>
      <c r="I433" s="16" t="n">
        <f aca="false">MAX(0,G433-CADASTRO_CASAS_BOMBA!$I$7*HORAS_CAPTACAO_DIA-H432)</f>
        <v>0</v>
      </c>
      <c r="J433" s="16" t="n">
        <f aca="false">INDEX(AUX_MATRIZES!$C$10:$BP$10,MIN(N_SEMANAS,MAX(1,$C433)))/DIAS_POR_SEMANA</f>
        <v>0</v>
      </c>
      <c r="K433" s="16" t="n">
        <f aca="false">MIN(CADASTRO_CASAS_BOMBA!$O$8,MAX(0,K432+CADASTRO_CASAS_BOMBA!$I$8*HORAS_CAPTACAO_DIA-J433))</f>
        <v>27377</v>
      </c>
      <c r="L433" s="16" t="n">
        <f aca="false">MAX(0,J433-CADASTRO_CASAS_BOMBA!$I$8*HORAS_CAPTACAO_DIA-K432)</f>
        <v>0</v>
      </c>
      <c r="M433" s="16" t="n">
        <f aca="false">INDEX(AUX_MATRIZES!$C$11:$BP$11,MIN(N_SEMANAS,MAX(1,$C433)))/DIAS_POR_SEMANA</f>
        <v>0</v>
      </c>
      <c r="N433" s="16" t="n">
        <f aca="false">MIN(CADASTRO_CASAS_BOMBA!$O$9,MAX(0,N432+CADASTRO_CASAS_BOMBA!$I$9*HORAS_CAPTACAO_DIA-M433))</f>
        <v>129000</v>
      </c>
      <c r="O433" s="16" t="n">
        <f aca="false">MAX(0,M433-CADASTRO_CASAS_BOMBA!$I$9*HORAS_CAPTACAO_DIA-N432)</f>
        <v>0</v>
      </c>
      <c r="P433" s="16" t="n">
        <f aca="false">INDEX(AUX_MATRIZES!$C$12:$BP$12,MIN(N_SEMANAS,MAX(1,$C433)))/DIAS_POR_SEMANA</f>
        <v>5616.9004137931</v>
      </c>
      <c r="Q433" s="16" t="n">
        <f aca="false">MIN(CADASTRO_CASAS_BOMBA!$O$10,MAX(0,Q432+CADASTRO_CASAS_BOMBA!$I$10*HORAS_CAPTACAO_DIA-P433))</f>
        <v>84621.2147018256</v>
      </c>
      <c r="R433" s="16" t="n">
        <f aca="false">MAX(0,P433-CADASTRO_CASAS_BOMBA!$I$10*HORAS_CAPTACAO_DIA-Q432)</f>
        <v>0</v>
      </c>
      <c r="S433" s="16" t="n">
        <f aca="false">INDEX(AUX_MATRIZES!$C$13:$BP$13,MIN(N_SEMANAS,MAX(1,$C433)))/DIAS_POR_SEMANA</f>
        <v>8668.31294117646</v>
      </c>
      <c r="T433" s="16" t="n">
        <f aca="false">MIN(CADASTRO_CASAS_BOMBA!$O$11,MAX(0,T432+CADASTRO_CASAS_BOMBA!$I$11*HORAS_CAPTACAO_DIA-S433))</f>
        <v>276463.616470588</v>
      </c>
      <c r="U433" s="16" t="n">
        <f aca="false">MAX(0,S433-CADASTRO_CASAS_BOMBA!$I$11*HORAS_CAPTACAO_DIA-T432)</f>
        <v>0</v>
      </c>
      <c r="V433" s="16" t="n">
        <f aca="false">INDEX(AUX_MATRIZES!$C$14:$BP$14,MIN(N_SEMANAS,MAX(1,$C433)))/DIAS_POR_SEMANA</f>
        <v>10641.4642758621</v>
      </c>
      <c r="W433" s="16" t="n">
        <f aca="false">MIN(CADASTRO_CASAS_BOMBA!$O$12,MAX(0,W432+CADASTRO_CASAS_BOMBA!$I$12*HORAS_CAPTACAO_DIA-V433))</f>
        <v>364510.337979716</v>
      </c>
      <c r="X433" s="16" t="n">
        <f aca="false">MAX(0,V433-CADASTRO_CASAS_BOMBA!$I$12*HORAS_CAPTACAO_DIA-W432)</f>
        <v>0</v>
      </c>
      <c r="Y433" s="16" t="n">
        <f aca="false">INDEX(AUX_MATRIZES!$C$15:$BP$15,MIN(N_SEMANAS,MAX(1,$C433)))/DIAS_POR_SEMANA</f>
        <v>0</v>
      </c>
      <c r="Z433" s="16" t="n">
        <f aca="false">MIN(CADASTRO_CASAS_BOMBA!$O$13,MAX(0,Z432+CADASTRO_CASAS_BOMBA!$I$13*HORAS_CAPTACAO_DIA-Y433))</f>
        <v>74903</v>
      </c>
      <c r="AA433" s="16" t="n">
        <f aca="false">MAX(0,Y433-CADASTRO_CASAS_BOMBA!$I$13*HORAS_CAPTACAO_DIA-Z432)</f>
        <v>0</v>
      </c>
    </row>
    <row r="434" customFormat="false" ht="15" hidden="false" customHeight="false" outlineLevel="0" collapsed="false">
      <c r="B434" s="17" t="n">
        <f aca="false">DATA_INICIO_SAFRA+427</f>
        <v>46692</v>
      </c>
      <c r="C434" s="16" t="n">
        <f aca="false">MIN(N_SEMANAS,MAX(1,INT(($B434-DATA_INICIO_SAFRA)/DIAS_POR_SEMANA)+1))</f>
        <v>62</v>
      </c>
      <c r="D434" s="16" t="n">
        <f aca="false">INDEX(AUX_MATRIZES!$C$8:$BP$8,MIN(N_SEMANAS,MAX(1,$C434)))/DIAS_POR_SEMANA</f>
        <v>0</v>
      </c>
      <c r="E434" s="16" t="n">
        <f aca="false">MIN(CADASTRO_CASAS_BOMBA!$O$6,MAX(0,E433+CADASTRO_CASAS_BOMBA!$I$6*HORAS_CAPTACAO_DIA-D434))</f>
        <v>2600</v>
      </c>
      <c r="F434" s="16" t="n">
        <f aca="false">MAX(0,D434-CADASTRO_CASAS_BOMBA!$I$6*HORAS_CAPTACAO_DIA-E433)</f>
        <v>0</v>
      </c>
      <c r="G434" s="16" t="n">
        <f aca="false">INDEX(AUX_MATRIZES!$C$9:$BP$9,MIN(N_SEMANAS,MAX(1,$C434)))/DIAS_POR_SEMANA</f>
        <v>0</v>
      </c>
      <c r="H434" s="16" t="n">
        <f aca="false">MIN(CADASTRO_CASAS_BOMBA!$O$7,MAX(0,H433+CADASTRO_CASAS_BOMBA!$I$7*HORAS_CAPTACAO_DIA-G434))</f>
        <v>76648</v>
      </c>
      <c r="I434" s="16" t="n">
        <f aca="false">MAX(0,G434-CADASTRO_CASAS_BOMBA!$I$7*HORAS_CAPTACAO_DIA-H433)</f>
        <v>0</v>
      </c>
      <c r="J434" s="16" t="n">
        <f aca="false">INDEX(AUX_MATRIZES!$C$10:$BP$10,MIN(N_SEMANAS,MAX(1,$C434)))/DIAS_POR_SEMANA</f>
        <v>0</v>
      </c>
      <c r="K434" s="16" t="n">
        <f aca="false">MIN(CADASTRO_CASAS_BOMBA!$O$8,MAX(0,K433+CADASTRO_CASAS_BOMBA!$I$8*HORAS_CAPTACAO_DIA-J434))</f>
        <v>27377</v>
      </c>
      <c r="L434" s="16" t="n">
        <f aca="false">MAX(0,J434-CADASTRO_CASAS_BOMBA!$I$8*HORAS_CAPTACAO_DIA-K433)</f>
        <v>0</v>
      </c>
      <c r="M434" s="16" t="n">
        <f aca="false">INDEX(AUX_MATRIZES!$C$11:$BP$11,MIN(N_SEMANAS,MAX(1,$C434)))/DIAS_POR_SEMANA</f>
        <v>0</v>
      </c>
      <c r="N434" s="16" t="n">
        <f aca="false">MIN(CADASTRO_CASAS_BOMBA!$O$9,MAX(0,N433+CADASTRO_CASAS_BOMBA!$I$9*HORAS_CAPTACAO_DIA-M434))</f>
        <v>129000</v>
      </c>
      <c r="O434" s="16" t="n">
        <f aca="false">MAX(0,M434-CADASTRO_CASAS_BOMBA!$I$9*HORAS_CAPTACAO_DIA-N433)</f>
        <v>0</v>
      </c>
      <c r="P434" s="16" t="n">
        <f aca="false">INDEX(AUX_MATRIZES!$C$12:$BP$12,MIN(N_SEMANAS,MAX(1,$C434)))/DIAS_POR_SEMANA</f>
        <v>0</v>
      </c>
      <c r="Q434" s="16" t="n">
        <f aca="false">MIN(CADASTRO_CASAS_BOMBA!$O$10,MAX(0,Q433+CADASTRO_CASAS_BOMBA!$I$10*HORAS_CAPTACAO_DIA-P434))</f>
        <v>97703.6147018256</v>
      </c>
      <c r="R434" s="16" t="n">
        <f aca="false">MAX(0,P434-CADASTRO_CASAS_BOMBA!$I$10*HORAS_CAPTACAO_DIA-Q433)</f>
        <v>0</v>
      </c>
      <c r="S434" s="16" t="n">
        <f aca="false">INDEX(AUX_MATRIZES!$C$13:$BP$13,MIN(N_SEMANAS,MAX(1,$C434)))/DIAS_POR_SEMANA</f>
        <v>0</v>
      </c>
      <c r="T434" s="16" t="n">
        <f aca="false">MIN(CADASTRO_CASAS_BOMBA!$O$11,MAX(0,T433+CADASTRO_CASAS_BOMBA!$I$11*HORAS_CAPTACAO_DIA-S434))</f>
        <v>297883.616470588</v>
      </c>
      <c r="U434" s="16" t="n">
        <f aca="false">MAX(0,S434-CADASTRO_CASAS_BOMBA!$I$11*HORAS_CAPTACAO_DIA-T433)</f>
        <v>0</v>
      </c>
      <c r="V434" s="16" t="n">
        <f aca="false">INDEX(AUX_MATRIZES!$C$14:$BP$14,MIN(N_SEMANAS,MAX(1,$C434)))/DIAS_POR_SEMANA</f>
        <v>176.517764705883</v>
      </c>
      <c r="W434" s="16" t="n">
        <f aca="false">MIN(CADASTRO_CASAS_BOMBA!$O$12,MAX(0,W433+CADASTRO_CASAS_BOMBA!$I$12*HORAS_CAPTACAO_DIA-V434))</f>
        <v>389713.82021501</v>
      </c>
      <c r="X434" s="16" t="n">
        <f aca="false">MAX(0,V434-CADASTRO_CASAS_BOMBA!$I$12*HORAS_CAPTACAO_DIA-W433)</f>
        <v>0</v>
      </c>
      <c r="Y434" s="16" t="n">
        <f aca="false">INDEX(AUX_MATRIZES!$C$15:$BP$15,MIN(N_SEMANAS,MAX(1,$C434)))/DIAS_POR_SEMANA</f>
        <v>0</v>
      </c>
      <c r="Z434" s="16" t="n">
        <f aca="false">MIN(CADASTRO_CASAS_BOMBA!$O$13,MAX(0,Z433+CADASTRO_CASAS_BOMBA!$I$13*HORAS_CAPTACAO_DIA-Y434))</f>
        <v>74903</v>
      </c>
      <c r="AA434" s="16" t="n">
        <f aca="false">MAX(0,Y434-CADASTRO_CASAS_BOMBA!$I$13*HORAS_CAPTACAO_DIA-Z433)</f>
        <v>0</v>
      </c>
    </row>
    <row r="435" customFormat="false" ht="15" hidden="false" customHeight="false" outlineLevel="0" collapsed="false">
      <c r="B435" s="17" t="n">
        <f aca="false">DATA_INICIO_SAFRA+428</f>
        <v>46693</v>
      </c>
      <c r="C435" s="16" t="n">
        <f aca="false">MIN(N_SEMANAS,MAX(1,INT(($B435-DATA_INICIO_SAFRA)/DIAS_POR_SEMANA)+1))</f>
        <v>62</v>
      </c>
      <c r="D435" s="16" t="n">
        <f aca="false">INDEX(AUX_MATRIZES!$C$8:$BP$8,MIN(N_SEMANAS,MAX(1,$C435)))/DIAS_POR_SEMANA</f>
        <v>0</v>
      </c>
      <c r="E435" s="16" t="n">
        <f aca="false">MIN(CADASTRO_CASAS_BOMBA!$O$6,MAX(0,E434+CADASTRO_CASAS_BOMBA!$I$6*HORAS_CAPTACAO_DIA-D435))</f>
        <v>2600</v>
      </c>
      <c r="F435" s="16" t="n">
        <f aca="false">MAX(0,D435-CADASTRO_CASAS_BOMBA!$I$6*HORAS_CAPTACAO_DIA-E434)</f>
        <v>0</v>
      </c>
      <c r="G435" s="16" t="n">
        <f aca="false">INDEX(AUX_MATRIZES!$C$9:$BP$9,MIN(N_SEMANAS,MAX(1,$C435)))/DIAS_POR_SEMANA</f>
        <v>0</v>
      </c>
      <c r="H435" s="16" t="n">
        <f aca="false">MIN(CADASTRO_CASAS_BOMBA!$O$7,MAX(0,H434+CADASTRO_CASAS_BOMBA!$I$7*HORAS_CAPTACAO_DIA-G435))</f>
        <v>76648</v>
      </c>
      <c r="I435" s="16" t="n">
        <f aca="false">MAX(0,G435-CADASTRO_CASAS_BOMBA!$I$7*HORAS_CAPTACAO_DIA-H434)</f>
        <v>0</v>
      </c>
      <c r="J435" s="16" t="n">
        <f aca="false">INDEX(AUX_MATRIZES!$C$10:$BP$10,MIN(N_SEMANAS,MAX(1,$C435)))/DIAS_POR_SEMANA</f>
        <v>0</v>
      </c>
      <c r="K435" s="16" t="n">
        <f aca="false">MIN(CADASTRO_CASAS_BOMBA!$O$8,MAX(0,K434+CADASTRO_CASAS_BOMBA!$I$8*HORAS_CAPTACAO_DIA-J435))</f>
        <v>27377</v>
      </c>
      <c r="L435" s="16" t="n">
        <f aca="false">MAX(0,J435-CADASTRO_CASAS_BOMBA!$I$8*HORAS_CAPTACAO_DIA-K434)</f>
        <v>0</v>
      </c>
      <c r="M435" s="16" t="n">
        <f aca="false">INDEX(AUX_MATRIZES!$C$11:$BP$11,MIN(N_SEMANAS,MAX(1,$C435)))/DIAS_POR_SEMANA</f>
        <v>0</v>
      </c>
      <c r="N435" s="16" t="n">
        <f aca="false">MIN(CADASTRO_CASAS_BOMBA!$O$9,MAX(0,N434+CADASTRO_CASAS_BOMBA!$I$9*HORAS_CAPTACAO_DIA-M435))</f>
        <v>129000</v>
      </c>
      <c r="O435" s="16" t="n">
        <f aca="false">MAX(0,M435-CADASTRO_CASAS_BOMBA!$I$9*HORAS_CAPTACAO_DIA-N434)</f>
        <v>0</v>
      </c>
      <c r="P435" s="16" t="n">
        <f aca="false">INDEX(AUX_MATRIZES!$C$12:$BP$12,MIN(N_SEMANAS,MAX(1,$C435)))/DIAS_POR_SEMANA</f>
        <v>0</v>
      </c>
      <c r="Q435" s="16" t="n">
        <f aca="false">MIN(CADASTRO_CASAS_BOMBA!$O$10,MAX(0,Q434+CADASTRO_CASAS_BOMBA!$I$10*HORAS_CAPTACAO_DIA-P435))</f>
        <v>110786.014701826</v>
      </c>
      <c r="R435" s="16" t="n">
        <f aca="false">MAX(0,P435-CADASTRO_CASAS_BOMBA!$I$10*HORAS_CAPTACAO_DIA-Q434)</f>
        <v>0</v>
      </c>
      <c r="S435" s="16" t="n">
        <f aca="false">INDEX(AUX_MATRIZES!$C$13:$BP$13,MIN(N_SEMANAS,MAX(1,$C435)))/DIAS_POR_SEMANA</f>
        <v>0</v>
      </c>
      <c r="T435" s="16" t="n">
        <f aca="false">MIN(CADASTRO_CASAS_BOMBA!$O$11,MAX(0,T434+CADASTRO_CASAS_BOMBA!$I$11*HORAS_CAPTACAO_DIA-S435))</f>
        <v>319303.616470588</v>
      </c>
      <c r="U435" s="16" t="n">
        <f aca="false">MAX(0,S435-CADASTRO_CASAS_BOMBA!$I$11*HORAS_CAPTACAO_DIA-T434)</f>
        <v>0</v>
      </c>
      <c r="V435" s="16" t="n">
        <f aca="false">INDEX(AUX_MATRIZES!$C$14:$BP$14,MIN(N_SEMANAS,MAX(1,$C435)))/DIAS_POR_SEMANA</f>
        <v>176.517764705883</v>
      </c>
      <c r="W435" s="16" t="n">
        <f aca="false">MIN(CADASTRO_CASAS_BOMBA!$O$12,MAX(0,W434+CADASTRO_CASAS_BOMBA!$I$12*HORAS_CAPTACAO_DIA-V435))</f>
        <v>414917.302450304</v>
      </c>
      <c r="X435" s="16" t="n">
        <f aca="false">MAX(0,V435-CADASTRO_CASAS_BOMBA!$I$12*HORAS_CAPTACAO_DIA-W434)</f>
        <v>0</v>
      </c>
      <c r="Y435" s="16" t="n">
        <f aca="false">INDEX(AUX_MATRIZES!$C$15:$BP$15,MIN(N_SEMANAS,MAX(1,$C435)))/DIAS_POR_SEMANA</f>
        <v>0</v>
      </c>
      <c r="Z435" s="16" t="n">
        <f aca="false">MIN(CADASTRO_CASAS_BOMBA!$O$13,MAX(0,Z434+CADASTRO_CASAS_BOMBA!$I$13*HORAS_CAPTACAO_DIA-Y435))</f>
        <v>74903</v>
      </c>
      <c r="AA435" s="16" t="n">
        <f aca="false">MAX(0,Y435-CADASTRO_CASAS_BOMBA!$I$13*HORAS_CAPTACAO_DIA-Z434)</f>
        <v>0</v>
      </c>
    </row>
    <row r="436" customFormat="false" ht="15" hidden="false" customHeight="false" outlineLevel="0" collapsed="false">
      <c r="B436" s="17" t="n">
        <f aca="false">DATA_INICIO_SAFRA+429</f>
        <v>46694</v>
      </c>
      <c r="C436" s="16" t="n">
        <f aca="false">MIN(N_SEMANAS,MAX(1,INT(($B436-DATA_INICIO_SAFRA)/DIAS_POR_SEMANA)+1))</f>
        <v>62</v>
      </c>
      <c r="D436" s="16" t="n">
        <f aca="false">INDEX(AUX_MATRIZES!$C$8:$BP$8,MIN(N_SEMANAS,MAX(1,$C436)))/DIAS_POR_SEMANA</f>
        <v>0</v>
      </c>
      <c r="E436" s="16" t="n">
        <f aca="false">MIN(CADASTRO_CASAS_BOMBA!$O$6,MAX(0,E435+CADASTRO_CASAS_BOMBA!$I$6*HORAS_CAPTACAO_DIA-D436))</f>
        <v>2600</v>
      </c>
      <c r="F436" s="16" t="n">
        <f aca="false">MAX(0,D436-CADASTRO_CASAS_BOMBA!$I$6*HORAS_CAPTACAO_DIA-E435)</f>
        <v>0</v>
      </c>
      <c r="G436" s="16" t="n">
        <f aca="false">INDEX(AUX_MATRIZES!$C$9:$BP$9,MIN(N_SEMANAS,MAX(1,$C436)))/DIAS_POR_SEMANA</f>
        <v>0</v>
      </c>
      <c r="H436" s="16" t="n">
        <f aca="false">MIN(CADASTRO_CASAS_BOMBA!$O$7,MAX(0,H435+CADASTRO_CASAS_BOMBA!$I$7*HORAS_CAPTACAO_DIA-G436))</f>
        <v>76648</v>
      </c>
      <c r="I436" s="16" t="n">
        <f aca="false">MAX(0,G436-CADASTRO_CASAS_BOMBA!$I$7*HORAS_CAPTACAO_DIA-H435)</f>
        <v>0</v>
      </c>
      <c r="J436" s="16" t="n">
        <f aca="false">INDEX(AUX_MATRIZES!$C$10:$BP$10,MIN(N_SEMANAS,MAX(1,$C436)))/DIAS_POR_SEMANA</f>
        <v>0</v>
      </c>
      <c r="K436" s="16" t="n">
        <f aca="false">MIN(CADASTRO_CASAS_BOMBA!$O$8,MAX(0,K435+CADASTRO_CASAS_BOMBA!$I$8*HORAS_CAPTACAO_DIA-J436))</f>
        <v>27377</v>
      </c>
      <c r="L436" s="16" t="n">
        <f aca="false">MAX(0,J436-CADASTRO_CASAS_BOMBA!$I$8*HORAS_CAPTACAO_DIA-K435)</f>
        <v>0</v>
      </c>
      <c r="M436" s="16" t="n">
        <f aca="false">INDEX(AUX_MATRIZES!$C$11:$BP$11,MIN(N_SEMANAS,MAX(1,$C436)))/DIAS_POR_SEMANA</f>
        <v>0</v>
      </c>
      <c r="N436" s="16" t="n">
        <f aca="false">MIN(CADASTRO_CASAS_BOMBA!$O$9,MAX(0,N435+CADASTRO_CASAS_BOMBA!$I$9*HORAS_CAPTACAO_DIA-M436))</f>
        <v>129000</v>
      </c>
      <c r="O436" s="16" t="n">
        <f aca="false">MAX(0,M436-CADASTRO_CASAS_BOMBA!$I$9*HORAS_CAPTACAO_DIA-N435)</f>
        <v>0</v>
      </c>
      <c r="P436" s="16" t="n">
        <f aca="false">INDEX(AUX_MATRIZES!$C$12:$BP$12,MIN(N_SEMANAS,MAX(1,$C436)))/DIAS_POR_SEMANA</f>
        <v>0</v>
      </c>
      <c r="Q436" s="16" t="n">
        <f aca="false">MIN(CADASTRO_CASAS_BOMBA!$O$10,MAX(0,Q435+CADASTRO_CASAS_BOMBA!$I$10*HORAS_CAPTACAO_DIA-P436))</f>
        <v>123868.414701826</v>
      </c>
      <c r="R436" s="16" t="n">
        <f aca="false">MAX(0,P436-CADASTRO_CASAS_BOMBA!$I$10*HORAS_CAPTACAO_DIA-Q435)</f>
        <v>0</v>
      </c>
      <c r="S436" s="16" t="n">
        <f aca="false">INDEX(AUX_MATRIZES!$C$13:$BP$13,MIN(N_SEMANAS,MAX(1,$C436)))/DIAS_POR_SEMANA</f>
        <v>0</v>
      </c>
      <c r="T436" s="16" t="n">
        <f aca="false">MIN(CADASTRO_CASAS_BOMBA!$O$11,MAX(0,T435+CADASTRO_CASAS_BOMBA!$I$11*HORAS_CAPTACAO_DIA-S436))</f>
        <v>340723.616470588</v>
      </c>
      <c r="U436" s="16" t="n">
        <f aca="false">MAX(0,S436-CADASTRO_CASAS_BOMBA!$I$11*HORAS_CAPTACAO_DIA-T435)</f>
        <v>0</v>
      </c>
      <c r="V436" s="16" t="n">
        <f aca="false">INDEX(AUX_MATRIZES!$C$14:$BP$14,MIN(N_SEMANAS,MAX(1,$C436)))/DIAS_POR_SEMANA</f>
        <v>176.517764705883</v>
      </c>
      <c r="W436" s="16" t="n">
        <f aca="false">MIN(CADASTRO_CASAS_BOMBA!$O$12,MAX(0,W435+CADASTRO_CASAS_BOMBA!$I$12*HORAS_CAPTACAO_DIA-V436))</f>
        <v>440000</v>
      </c>
      <c r="X436" s="16" t="n">
        <f aca="false">MAX(0,V436-CADASTRO_CASAS_BOMBA!$I$12*HORAS_CAPTACAO_DIA-W435)</f>
        <v>0</v>
      </c>
      <c r="Y436" s="16" t="n">
        <f aca="false">INDEX(AUX_MATRIZES!$C$15:$BP$15,MIN(N_SEMANAS,MAX(1,$C436)))/DIAS_POR_SEMANA</f>
        <v>0</v>
      </c>
      <c r="Z436" s="16" t="n">
        <f aca="false">MIN(CADASTRO_CASAS_BOMBA!$O$13,MAX(0,Z435+CADASTRO_CASAS_BOMBA!$I$13*HORAS_CAPTACAO_DIA-Y436))</f>
        <v>74903</v>
      </c>
      <c r="AA436" s="16" t="n">
        <f aca="false">MAX(0,Y436-CADASTRO_CASAS_BOMBA!$I$13*HORAS_CAPTACAO_DIA-Z435)</f>
        <v>0</v>
      </c>
    </row>
    <row r="437" customFormat="false" ht="15" hidden="false" customHeight="false" outlineLevel="0" collapsed="false">
      <c r="B437" s="17" t="n">
        <f aca="false">DATA_INICIO_SAFRA+430</f>
        <v>46695</v>
      </c>
      <c r="C437" s="16" t="n">
        <f aca="false">MIN(N_SEMANAS,MAX(1,INT(($B437-DATA_INICIO_SAFRA)/DIAS_POR_SEMANA)+1))</f>
        <v>62</v>
      </c>
      <c r="D437" s="16" t="n">
        <f aca="false">INDEX(AUX_MATRIZES!$C$8:$BP$8,MIN(N_SEMANAS,MAX(1,$C437)))/DIAS_POR_SEMANA</f>
        <v>0</v>
      </c>
      <c r="E437" s="16" t="n">
        <f aca="false">MIN(CADASTRO_CASAS_BOMBA!$O$6,MAX(0,E436+CADASTRO_CASAS_BOMBA!$I$6*HORAS_CAPTACAO_DIA-D437))</f>
        <v>2600</v>
      </c>
      <c r="F437" s="16" t="n">
        <f aca="false">MAX(0,D437-CADASTRO_CASAS_BOMBA!$I$6*HORAS_CAPTACAO_DIA-E436)</f>
        <v>0</v>
      </c>
      <c r="G437" s="16" t="n">
        <f aca="false">INDEX(AUX_MATRIZES!$C$9:$BP$9,MIN(N_SEMANAS,MAX(1,$C437)))/DIAS_POR_SEMANA</f>
        <v>0</v>
      </c>
      <c r="H437" s="16" t="n">
        <f aca="false">MIN(CADASTRO_CASAS_BOMBA!$O$7,MAX(0,H436+CADASTRO_CASAS_BOMBA!$I$7*HORAS_CAPTACAO_DIA-G437))</f>
        <v>76648</v>
      </c>
      <c r="I437" s="16" t="n">
        <f aca="false">MAX(0,G437-CADASTRO_CASAS_BOMBA!$I$7*HORAS_CAPTACAO_DIA-H436)</f>
        <v>0</v>
      </c>
      <c r="J437" s="16" t="n">
        <f aca="false">INDEX(AUX_MATRIZES!$C$10:$BP$10,MIN(N_SEMANAS,MAX(1,$C437)))/DIAS_POR_SEMANA</f>
        <v>0</v>
      </c>
      <c r="K437" s="16" t="n">
        <f aca="false">MIN(CADASTRO_CASAS_BOMBA!$O$8,MAX(0,K436+CADASTRO_CASAS_BOMBA!$I$8*HORAS_CAPTACAO_DIA-J437))</f>
        <v>27377</v>
      </c>
      <c r="L437" s="16" t="n">
        <f aca="false">MAX(0,J437-CADASTRO_CASAS_BOMBA!$I$8*HORAS_CAPTACAO_DIA-K436)</f>
        <v>0</v>
      </c>
      <c r="M437" s="16" t="n">
        <f aca="false">INDEX(AUX_MATRIZES!$C$11:$BP$11,MIN(N_SEMANAS,MAX(1,$C437)))/DIAS_POR_SEMANA</f>
        <v>0</v>
      </c>
      <c r="N437" s="16" t="n">
        <f aca="false">MIN(CADASTRO_CASAS_BOMBA!$O$9,MAX(0,N436+CADASTRO_CASAS_BOMBA!$I$9*HORAS_CAPTACAO_DIA-M437))</f>
        <v>129000</v>
      </c>
      <c r="O437" s="16" t="n">
        <f aca="false">MAX(0,M437-CADASTRO_CASAS_BOMBA!$I$9*HORAS_CAPTACAO_DIA-N436)</f>
        <v>0</v>
      </c>
      <c r="P437" s="16" t="n">
        <f aca="false">INDEX(AUX_MATRIZES!$C$12:$BP$12,MIN(N_SEMANAS,MAX(1,$C437)))/DIAS_POR_SEMANA</f>
        <v>0</v>
      </c>
      <c r="Q437" s="16" t="n">
        <f aca="false">MIN(CADASTRO_CASAS_BOMBA!$O$10,MAX(0,Q436+CADASTRO_CASAS_BOMBA!$I$10*HORAS_CAPTACAO_DIA-P437))</f>
        <v>136950.814701826</v>
      </c>
      <c r="R437" s="16" t="n">
        <f aca="false">MAX(0,P437-CADASTRO_CASAS_BOMBA!$I$10*HORAS_CAPTACAO_DIA-Q436)</f>
        <v>0</v>
      </c>
      <c r="S437" s="16" t="n">
        <f aca="false">INDEX(AUX_MATRIZES!$C$13:$BP$13,MIN(N_SEMANAS,MAX(1,$C437)))/DIAS_POR_SEMANA</f>
        <v>0</v>
      </c>
      <c r="T437" s="16" t="n">
        <f aca="false">MIN(CADASTRO_CASAS_BOMBA!$O$11,MAX(0,T436+CADASTRO_CASAS_BOMBA!$I$11*HORAS_CAPTACAO_DIA-S437))</f>
        <v>362143.616470588</v>
      </c>
      <c r="U437" s="16" t="n">
        <f aca="false">MAX(0,S437-CADASTRO_CASAS_BOMBA!$I$11*HORAS_CAPTACAO_DIA-T436)</f>
        <v>0</v>
      </c>
      <c r="V437" s="16" t="n">
        <f aca="false">INDEX(AUX_MATRIZES!$C$14:$BP$14,MIN(N_SEMANAS,MAX(1,$C437)))/DIAS_POR_SEMANA</f>
        <v>176.517764705883</v>
      </c>
      <c r="W437" s="16" t="n">
        <f aca="false">MIN(CADASTRO_CASAS_BOMBA!$O$12,MAX(0,W436+CADASTRO_CASAS_BOMBA!$I$12*HORAS_CAPTACAO_DIA-V437))</f>
        <v>440000</v>
      </c>
      <c r="X437" s="16" t="n">
        <f aca="false">MAX(0,V437-CADASTRO_CASAS_BOMBA!$I$12*HORAS_CAPTACAO_DIA-W436)</f>
        <v>0</v>
      </c>
      <c r="Y437" s="16" t="n">
        <f aca="false">INDEX(AUX_MATRIZES!$C$15:$BP$15,MIN(N_SEMANAS,MAX(1,$C437)))/DIAS_POR_SEMANA</f>
        <v>0</v>
      </c>
      <c r="Z437" s="16" t="n">
        <f aca="false">MIN(CADASTRO_CASAS_BOMBA!$O$13,MAX(0,Z436+CADASTRO_CASAS_BOMBA!$I$13*HORAS_CAPTACAO_DIA-Y437))</f>
        <v>74903</v>
      </c>
      <c r="AA437" s="16" t="n">
        <f aca="false">MAX(0,Y437-CADASTRO_CASAS_BOMBA!$I$13*HORAS_CAPTACAO_DIA-Z436)</f>
        <v>0</v>
      </c>
    </row>
    <row r="438" customFormat="false" ht="15" hidden="false" customHeight="false" outlineLevel="0" collapsed="false">
      <c r="B438" s="17" t="n">
        <f aca="false">DATA_INICIO_SAFRA+431</f>
        <v>46696</v>
      </c>
      <c r="C438" s="16" t="n">
        <f aca="false">MIN(N_SEMANAS,MAX(1,INT(($B438-DATA_INICIO_SAFRA)/DIAS_POR_SEMANA)+1))</f>
        <v>62</v>
      </c>
      <c r="D438" s="16" t="n">
        <f aca="false">INDEX(AUX_MATRIZES!$C$8:$BP$8,MIN(N_SEMANAS,MAX(1,$C438)))/DIAS_POR_SEMANA</f>
        <v>0</v>
      </c>
      <c r="E438" s="16" t="n">
        <f aca="false">MIN(CADASTRO_CASAS_BOMBA!$O$6,MAX(0,E437+CADASTRO_CASAS_BOMBA!$I$6*HORAS_CAPTACAO_DIA-D438))</f>
        <v>2600</v>
      </c>
      <c r="F438" s="16" t="n">
        <f aca="false">MAX(0,D438-CADASTRO_CASAS_BOMBA!$I$6*HORAS_CAPTACAO_DIA-E437)</f>
        <v>0</v>
      </c>
      <c r="G438" s="16" t="n">
        <f aca="false">INDEX(AUX_MATRIZES!$C$9:$BP$9,MIN(N_SEMANAS,MAX(1,$C438)))/DIAS_POR_SEMANA</f>
        <v>0</v>
      </c>
      <c r="H438" s="16" t="n">
        <f aca="false">MIN(CADASTRO_CASAS_BOMBA!$O$7,MAX(0,H437+CADASTRO_CASAS_BOMBA!$I$7*HORAS_CAPTACAO_DIA-G438))</f>
        <v>76648</v>
      </c>
      <c r="I438" s="16" t="n">
        <f aca="false">MAX(0,G438-CADASTRO_CASAS_BOMBA!$I$7*HORAS_CAPTACAO_DIA-H437)</f>
        <v>0</v>
      </c>
      <c r="J438" s="16" t="n">
        <f aca="false">INDEX(AUX_MATRIZES!$C$10:$BP$10,MIN(N_SEMANAS,MAX(1,$C438)))/DIAS_POR_SEMANA</f>
        <v>0</v>
      </c>
      <c r="K438" s="16" t="n">
        <f aca="false">MIN(CADASTRO_CASAS_BOMBA!$O$8,MAX(0,K437+CADASTRO_CASAS_BOMBA!$I$8*HORAS_CAPTACAO_DIA-J438))</f>
        <v>27377</v>
      </c>
      <c r="L438" s="16" t="n">
        <f aca="false">MAX(0,J438-CADASTRO_CASAS_BOMBA!$I$8*HORAS_CAPTACAO_DIA-K437)</f>
        <v>0</v>
      </c>
      <c r="M438" s="16" t="n">
        <f aca="false">INDEX(AUX_MATRIZES!$C$11:$BP$11,MIN(N_SEMANAS,MAX(1,$C438)))/DIAS_POR_SEMANA</f>
        <v>0</v>
      </c>
      <c r="N438" s="16" t="n">
        <f aca="false">MIN(CADASTRO_CASAS_BOMBA!$O$9,MAX(0,N437+CADASTRO_CASAS_BOMBA!$I$9*HORAS_CAPTACAO_DIA-M438))</f>
        <v>129000</v>
      </c>
      <c r="O438" s="16" t="n">
        <f aca="false">MAX(0,M438-CADASTRO_CASAS_BOMBA!$I$9*HORAS_CAPTACAO_DIA-N437)</f>
        <v>0</v>
      </c>
      <c r="P438" s="16" t="n">
        <f aca="false">INDEX(AUX_MATRIZES!$C$12:$BP$12,MIN(N_SEMANAS,MAX(1,$C438)))/DIAS_POR_SEMANA</f>
        <v>0</v>
      </c>
      <c r="Q438" s="16" t="n">
        <f aca="false">MIN(CADASTRO_CASAS_BOMBA!$O$10,MAX(0,Q437+CADASTRO_CASAS_BOMBA!$I$10*HORAS_CAPTACAO_DIA-P438))</f>
        <v>150033.214701826</v>
      </c>
      <c r="R438" s="16" t="n">
        <f aca="false">MAX(0,P438-CADASTRO_CASAS_BOMBA!$I$10*HORAS_CAPTACAO_DIA-Q437)</f>
        <v>0</v>
      </c>
      <c r="S438" s="16" t="n">
        <f aca="false">INDEX(AUX_MATRIZES!$C$13:$BP$13,MIN(N_SEMANAS,MAX(1,$C438)))/DIAS_POR_SEMANA</f>
        <v>0</v>
      </c>
      <c r="T438" s="16" t="n">
        <f aca="false">MIN(CADASTRO_CASAS_BOMBA!$O$11,MAX(0,T437+CADASTRO_CASAS_BOMBA!$I$11*HORAS_CAPTACAO_DIA-S438))</f>
        <v>383563.616470588</v>
      </c>
      <c r="U438" s="16" t="n">
        <f aca="false">MAX(0,S438-CADASTRO_CASAS_BOMBA!$I$11*HORAS_CAPTACAO_DIA-T437)</f>
        <v>0</v>
      </c>
      <c r="V438" s="16" t="n">
        <f aca="false">INDEX(AUX_MATRIZES!$C$14:$BP$14,MIN(N_SEMANAS,MAX(1,$C438)))/DIAS_POR_SEMANA</f>
        <v>176.517764705883</v>
      </c>
      <c r="W438" s="16" t="n">
        <f aca="false">MIN(CADASTRO_CASAS_BOMBA!$O$12,MAX(0,W437+CADASTRO_CASAS_BOMBA!$I$12*HORAS_CAPTACAO_DIA-V438))</f>
        <v>440000</v>
      </c>
      <c r="X438" s="16" t="n">
        <f aca="false">MAX(0,V438-CADASTRO_CASAS_BOMBA!$I$12*HORAS_CAPTACAO_DIA-W437)</f>
        <v>0</v>
      </c>
      <c r="Y438" s="16" t="n">
        <f aca="false">INDEX(AUX_MATRIZES!$C$15:$BP$15,MIN(N_SEMANAS,MAX(1,$C438)))/DIAS_POR_SEMANA</f>
        <v>0</v>
      </c>
      <c r="Z438" s="16" t="n">
        <f aca="false">MIN(CADASTRO_CASAS_BOMBA!$O$13,MAX(0,Z437+CADASTRO_CASAS_BOMBA!$I$13*HORAS_CAPTACAO_DIA-Y438))</f>
        <v>74903</v>
      </c>
      <c r="AA438" s="16" t="n">
        <f aca="false">MAX(0,Y438-CADASTRO_CASAS_BOMBA!$I$13*HORAS_CAPTACAO_DIA-Z437)</f>
        <v>0</v>
      </c>
    </row>
    <row r="439" customFormat="false" ht="15" hidden="false" customHeight="false" outlineLevel="0" collapsed="false">
      <c r="B439" s="17" t="n">
        <f aca="false">DATA_INICIO_SAFRA+432</f>
        <v>46697</v>
      </c>
      <c r="C439" s="16" t="n">
        <f aca="false">MIN(N_SEMANAS,MAX(1,INT(($B439-DATA_INICIO_SAFRA)/DIAS_POR_SEMANA)+1))</f>
        <v>62</v>
      </c>
      <c r="D439" s="16" t="n">
        <f aca="false">INDEX(AUX_MATRIZES!$C$8:$BP$8,MIN(N_SEMANAS,MAX(1,$C439)))/DIAS_POR_SEMANA</f>
        <v>0</v>
      </c>
      <c r="E439" s="16" t="n">
        <f aca="false">MIN(CADASTRO_CASAS_BOMBA!$O$6,MAX(0,E438+CADASTRO_CASAS_BOMBA!$I$6*HORAS_CAPTACAO_DIA-D439))</f>
        <v>2600</v>
      </c>
      <c r="F439" s="16" t="n">
        <f aca="false">MAX(0,D439-CADASTRO_CASAS_BOMBA!$I$6*HORAS_CAPTACAO_DIA-E438)</f>
        <v>0</v>
      </c>
      <c r="G439" s="16" t="n">
        <f aca="false">INDEX(AUX_MATRIZES!$C$9:$BP$9,MIN(N_SEMANAS,MAX(1,$C439)))/DIAS_POR_SEMANA</f>
        <v>0</v>
      </c>
      <c r="H439" s="16" t="n">
        <f aca="false">MIN(CADASTRO_CASAS_BOMBA!$O$7,MAX(0,H438+CADASTRO_CASAS_BOMBA!$I$7*HORAS_CAPTACAO_DIA-G439))</f>
        <v>76648</v>
      </c>
      <c r="I439" s="16" t="n">
        <f aca="false">MAX(0,G439-CADASTRO_CASAS_BOMBA!$I$7*HORAS_CAPTACAO_DIA-H438)</f>
        <v>0</v>
      </c>
      <c r="J439" s="16" t="n">
        <f aca="false">INDEX(AUX_MATRIZES!$C$10:$BP$10,MIN(N_SEMANAS,MAX(1,$C439)))/DIAS_POR_SEMANA</f>
        <v>0</v>
      </c>
      <c r="K439" s="16" t="n">
        <f aca="false">MIN(CADASTRO_CASAS_BOMBA!$O$8,MAX(0,K438+CADASTRO_CASAS_BOMBA!$I$8*HORAS_CAPTACAO_DIA-J439))</f>
        <v>27377</v>
      </c>
      <c r="L439" s="16" t="n">
        <f aca="false">MAX(0,J439-CADASTRO_CASAS_BOMBA!$I$8*HORAS_CAPTACAO_DIA-K438)</f>
        <v>0</v>
      </c>
      <c r="M439" s="16" t="n">
        <f aca="false">INDEX(AUX_MATRIZES!$C$11:$BP$11,MIN(N_SEMANAS,MAX(1,$C439)))/DIAS_POR_SEMANA</f>
        <v>0</v>
      </c>
      <c r="N439" s="16" t="n">
        <f aca="false">MIN(CADASTRO_CASAS_BOMBA!$O$9,MAX(0,N438+CADASTRO_CASAS_BOMBA!$I$9*HORAS_CAPTACAO_DIA-M439))</f>
        <v>129000</v>
      </c>
      <c r="O439" s="16" t="n">
        <f aca="false">MAX(0,M439-CADASTRO_CASAS_BOMBA!$I$9*HORAS_CAPTACAO_DIA-N438)</f>
        <v>0</v>
      </c>
      <c r="P439" s="16" t="n">
        <f aca="false">INDEX(AUX_MATRIZES!$C$12:$BP$12,MIN(N_SEMANAS,MAX(1,$C439)))/DIAS_POR_SEMANA</f>
        <v>0</v>
      </c>
      <c r="Q439" s="16" t="n">
        <f aca="false">MIN(CADASTRO_CASAS_BOMBA!$O$10,MAX(0,Q438+CADASTRO_CASAS_BOMBA!$I$10*HORAS_CAPTACAO_DIA-P439))</f>
        <v>163115.614701826</v>
      </c>
      <c r="R439" s="16" t="n">
        <f aca="false">MAX(0,P439-CADASTRO_CASAS_BOMBA!$I$10*HORAS_CAPTACAO_DIA-Q438)</f>
        <v>0</v>
      </c>
      <c r="S439" s="16" t="n">
        <f aca="false">INDEX(AUX_MATRIZES!$C$13:$BP$13,MIN(N_SEMANAS,MAX(1,$C439)))/DIAS_POR_SEMANA</f>
        <v>0</v>
      </c>
      <c r="T439" s="16" t="n">
        <f aca="false">MIN(CADASTRO_CASAS_BOMBA!$O$11,MAX(0,T438+CADASTRO_CASAS_BOMBA!$I$11*HORAS_CAPTACAO_DIA-S439))</f>
        <v>404983.616470588</v>
      </c>
      <c r="U439" s="16" t="n">
        <f aca="false">MAX(0,S439-CADASTRO_CASAS_BOMBA!$I$11*HORAS_CAPTACAO_DIA-T438)</f>
        <v>0</v>
      </c>
      <c r="V439" s="16" t="n">
        <f aca="false">INDEX(AUX_MATRIZES!$C$14:$BP$14,MIN(N_SEMANAS,MAX(1,$C439)))/DIAS_POR_SEMANA</f>
        <v>176.517764705883</v>
      </c>
      <c r="W439" s="16" t="n">
        <f aca="false">MIN(CADASTRO_CASAS_BOMBA!$O$12,MAX(0,W438+CADASTRO_CASAS_BOMBA!$I$12*HORAS_CAPTACAO_DIA-V439))</f>
        <v>440000</v>
      </c>
      <c r="X439" s="16" t="n">
        <f aca="false">MAX(0,V439-CADASTRO_CASAS_BOMBA!$I$12*HORAS_CAPTACAO_DIA-W438)</f>
        <v>0</v>
      </c>
      <c r="Y439" s="16" t="n">
        <f aca="false">INDEX(AUX_MATRIZES!$C$15:$BP$15,MIN(N_SEMANAS,MAX(1,$C439)))/DIAS_POR_SEMANA</f>
        <v>0</v>
      </c>
      <c r="Z439" s="16" t="n">
        <f aca="false">MIN(CADASTRO_CASAS_BOMBA!$O$13,MAX(0,Z438+CADASTRO_CASAS_BOMBA!$I$13*HORAS_CAPTACAO_DIA-Y439))</f>
        <v>74903</v>
      </c>
      <c r="AA439" s="16" t="n">
        <f aca="false">MAX(0,Y439-CADASTRO_CASAS_BOMBA!$I$13*HORAS_CAPTACAO_DIA-Z438)</f>
        <v>0</v>
      </c>
    </row>
    <row r="440" customFormat="false" ht="15" hidden="false" customHeight="false" outlineLevel="0" collapsed="false">
      <c r="B440" s="17" t="n">
        <f aca="false">DATA_INICIO_SAFRA+433</f>
        <v>46698</v>
      </c>
      <c r="C440" s="16" t="n">
        <f aca="false">MIN(N_SEMANAS,MAX(1,INT(($B440-DATA_INICIO_SAFRA)/DIAS_POR_SEMANA)+1))</f>
        <v>62</v>
      </c>
      <c r="D440" s="16" t="n">
        <f aca="false">INDEX(AUX_MATRIZES!$C$8:$BP$8,MIN(N_SEMANAS,MAX(1,$C440)))/DIAS_POR_SEMANA</f>
        <v>0</v>
      </c>
      <c r="E440" s="16" t="n">
        <f aca="false">MIN(CADASTRO_CASAS_BOMBA!$O$6,MAX(0,E439+CADASTRO_CASAS_BOMBA!$I$6*HORAS_CAPTACAO_DIA-D440))</f>
        <v>2600</v>
      </c>
      <c r="F440" s="16" t="n">
        <f aca="false">MAX(0,D440-CADASTRO_CASAS_BOMBA!$I$6*HORAS_CAPTACAO_DIA-E439)</f>
        <v>0</v>
      </c>
      <c r="G440" s="16" t="n">
        <f aca="false">INDEX(AUX_MATRIZES!$C$9:$BP$9,MIN(N_SEMANAS,MAX(1,$C440)))/DIAS_POR_SEMANA</f>
        <v>0</v>
      </c>
      <c r="H440" s="16" t="n">
        <f aca="false">MIN(CADASTRO_CASAS_BOMBA!$O$7,MAX(0,H439+CADASTRO_CASAS_BOMBA!$I$7*HORAS_CAPTACAO_DIA-G440))</f>
        <v>76648</v>
      </c>
      <c r="I440" s="16" t="n">
        <f aca="false">MAX(0,G440-CADASTRO_CASAS_BOMBA!$I$7*HORAS_CAPTACAO_DIA-H439)</f>
        <v>0</v>
      </c>
      <c r="J440" s="16" t="n">
        <f aca="false">INDEX(AUX_MATRIZES!$C$10:$BP$10,MIN(N_SEMANAS,MAX(1,$C440)))/DIAS_POR_SEMANA</f>
        <v>0</v>
      </c>
      <c r="K440" s="16" t="n">
        <f aca="false">MIN(CADASTRO_CASAS_BOMBA!$O$8,MAX(0,K439+CADASTRO_CASAS_BOMBA!$I$8*HORAS_CAPTACAO_DIA-J440))</f>
        <v>27377</v>
      </c>
      <c r="L440" s="16" t="n">
        <f aca="false">MAX(0,J440-CADASTRO_CASAS_BOMBA!$I$8*HORAS_CAPTACAO_DIA-K439)</f>
        <v>0</v>
      </c>
      <c r="M440" s="16" t="n">
        <f aca="false">INDEX(AUX_MATRIZES!$C$11:$BP$11,MIN(N_SEMANAS,MAX(1,$C440)))/DIAS_POR_SEMANA</f>
        <v>0</v>
      </c>
      <c r="N440" s="16" t="n">
        <f aca="false">MIN(CADASTRO_CASAS_BOMBA!$O$9,MAX(0,N439+CADASTRO_CASAS_BOMBA!$I$9*HORAS_CAPTACAO_DIA-M440))</f>
        <v>129000</v>
      </c>
      <c r="O440" s="16" t="n">
        <f aca="false">MAX(0,M440-CADASTRO_CASAS_BOMBA!$I$9*HORAS_CAPTACAO_DIA-N439)</f>
        <v>0</v>
      </c>
      <c r="P440" s="16" t="n">
        <f aca="false">INDEX(AUX_MATRIZES!$C$12:$BP$12,MIN(N_SEMANAS,MAX(1,$C440)))/DIAS_POR_SEMANA</f>
        <v>0</v>
      </c>
      <c r="Q440" s="16" t="n">
        <f aca="false">MIN(CADASTRO_CASAS_BOMBA!$O$10,MAX(0,Q439+CADASTRO_CASAS_BOMBA!$I$10*HORAS_CAPTACAO_DIA-P440))</f>
        <v>176198.014701826</v>
      </c>
      <c r="R440" s="16" t="n">
        <f aca="false">MAX(0,P440-CADASTRO_CASAS_BOMBA!$I$10*HORAS_CAPTACAO_DIA-Q439)</f>
        <v>0</v>
      </c>
      <c r="S440" s="16" t="n">
        <f aca="false">INDEX(AUX_MATRIZES!$C$13:$BP$13,MIN(N_SEMANAS,MAX(1,$C440)))/DIAS_POR_SEMANA</f>
        <v>0</v>
      </c>
      <c r="T440" s="16" t="n">
        <f aca="false">MIN(CADASTRO_CASAS_BOMBA!$O$11,MAX(0,T439+CADASTRO_CASAS_BOMBA!$I$11*HORAS_CAPTACAO_DIA-S440))</f>
        <v>426403.616470588</v>
      </c>
      <c r="U440" s="16" t="n">
        <f aca="false">MAX(0,S440-CADASTRO_CASAS_BOMBA!$I$11*HORAS_CAPTACAO_DIA-T439)</f>
        <v>0</v>
      </c>
      <c r="V440" s="16" t="n">
        <f aca="false">INDEX(AUX_MATRIZES!$C$14:$BP$14,MIN(N_SEMANAS,MAX(1,$C440)))/DIAS_POR_SEMANA</f>
        <v>176.517764705883</v>
      </c>
      <c r="W440" s="16" t="n">
        <f aca="false">MIN(CADASTRO_CASAS_BOMBA!$O$12,MAX(0,W439+CADASTRO_CASAS_BOMBA!$I$12*HORAS_CAPTACAO_DIA-V440))</f>
        <v>440000</v>
      </c>
      <c r="X440" s="16" t="n">
        <f aca="false">MAX(0,V440-CADASTRO_CASAS_BOMBA!$I$12*HORAS_CAPTACAO_DIA-W439)</f>
        <v>0</v>
      </c>
      <c r="Y440" s="16" t="n">
        <f aca="false">INDEX(AUX_MATRIZES!$C$15:$BP$15,MIN(N_SEMANAS,MAX(1,$C440)))/DIAS_POR_SEMANA</f>
        <v>0</v>
      </c>
      <c r="Z440" s="16" t="n">
        <f aca="false">MIN(CADASTRO_CASAS_BOMBA!$O$13,MAX(0,Z439+CADASTRO_CASAS_BOMBA!$I$13*HORAS_CAPTACAO_DIA-Y440))</f>
        <v>74903</v>
      </c>
      <c r="AA440" s="16" t="n">
        <f aca="false">MAX(0,Y440-CADASTRO_CASAS_BOMBA!$I$13*HORAS_CAPTACAO_DIA-Z439)</f>
        <v>0</v>
      </c>
    </row>
    <row r="441" customFormat="false" ht="15" hidden="false" customHeight="false" outlineLevel="0" collapsed="false">
      <c r="B441" s="17" t="n">
        <f aca="false">DATA_INICIO_SAFRA+434</f>
        <v>46699</v>
      </c>
      <c r="C441" s="16" t="n">
        <f aca="false">MIN(N_SEMANAS,MAX(1,INT(($B441-DATA_INICIO_SAFRA)/DIAS_POR_SEMANA)+1))</f>
        <v>63</v>
      </c>
      <c r="D441" s="16" t="n">
        <f aca="false">INDEX(AUX_MATRIZES!$C$8:$BP$8,MIN(N_SEMANAS,MAX(1,$C441)))/DIAS_POR_SEMANA</f>
        <v>0</v>
      </c>
      <c r="E441" s="16" t="n">
        <f aca="false">MIN(CADASTRO_CASAS_BOMBA!$O$6,MAX(0,E440+CADASTRO_CASAS_BOMBA!$I$6*HORAS_CAPTACAO_DIA-D441))</f>
        <v>2600</v>
      </c>
      <c r="F441" s="16" t="n">
        <f aca="false">MAX(0,D441-CADASTRO_CASAS_BOMBA!$I$6*HORAS_CAPTACAO_DIA-E440)</f>
        <v>0</v>
      </c>
      <c r="G441" s="16" t="n">
        <f aca="false">INDEX(AUX_MATRIZES!$C$9:$BP$9,MIN(N_SEMANAS,MAX(1,$C441)))/DIAS_POR_SEMANA</f>
        <v>0</v>
      </c>
      <c r="H441" s="16" t="n">
        <f aca="false">MIN(CADASTRO_CASAS_BOMBA!$O$7,MAX(0,H440+CADASTRO_CASAS_BOMBA!$I$7*HORAS_CAPTACAO_DIA-G441))</f>
        <v>76648</v>
      </c>
      <c r="I441" s="16" t="n">
        <f aca="false">MAX(0,G441-CADASTRO_CASAS_BOMBA!$I$7*HORAS_CAPTACAO_DIA-H440)</f>
        <v>0</v>
      </c>
      <c r="J441" s="16" t="n">
        <f aca="false">INDEX(AUX_MATRIZES!$C$10:$BP$10,MIN(N_SEMANAS,MAX(1,$C441)))/DIAS_POR_SEMANA</f>
        <v>0</v>
      </c>
      <c r="K441" s="16" t="n">
        <f aca="false">MIN(CADASTRO_CASAS_BOMBA!$O$8,MAX(0,K440+CADASTRO_CASAS_BOMBA!$I$8*HORAS_CAPTACAO_DIA-J441))</f>
        <v>27377</v>
      </c>
      <c r="L441" s="16" t="n">
        <f aca="false">MAX(0,J441-CADASTRO_CASAS_BOMBA!$I$8*HORAS_CAPTACAO_DIA-K440)</f>
        <v>0</v>
      </c>
      <c r="M441" s="16" t="n">
        <f aca="false">INDEX(AUX_MATRIZES!$C$11:$BP$11,MIN(N_SEMANAS,MAX(1,$C441)))/DIAS_POR_SEMANA</f>
        <v>0</v>
      </c>
      <c r="N441" s="16" t="n">
        <f aca="false">MIN(CADASTRO_CASAS_BOMBA!$O$9,MAX(0,N440+CADASTRO_CASAS_BOMBA!$I$9*HORAS_CAPTACAO_DIA-M441))</f>
        <v>129000</v>
      </c>
      <c r="O441" s="16" t="n">
        <f aca="false">MAX(0,M441-CADASTRO_CASAS_BOMBA!$I$9*HORAS_CAPTACAO_DIA-N440)</f>
        <v>0</v>
      </c>
      <c r="P441" s="16" t="n">
        <f aca="false">INDEX(AUX_MATRIZES!$C$12:$BP$12,MIN(N_SEMANAS,MAX(1,$C441)))/DIAS_POR_SEMANA</f>
        <v>0</v>
      </c>
      <c r="Q441" s="16" t="n">
        <f aca="false">MIN(CADASTRO_CASAS_BOMBA!$O$10,MAX(0,Q440+CADASTRO_CASAS_BOMBA!$I$10*HORAS_CAPTACAO_DIA-P441))</f>
        <v>189280.414701826</v>
      </c>
      <c r="R441" s="16" t="n">
        <f aca="false">MAX(0,P441-CADASTRO_CASAS_BOMBA!$I$10*HORAS_CAPTACAO_DIA-Q440)</f>
        <v>0</v>
      </c>
      <c r="S441" s="16" t="n">
        <f aca="false">INDEX(AUX_MATRIZES!$C$13:$BP$13,MIN(N_SEMANAS,MAX(1,$C441)))/DIAS_POR_SEMANA</f>
        <v>0</v>
      </c>
      <c r="T441" s="16" t="n">
        <f aca="false">MIN(CADASTRO_CASAS_BOMBA!$O$11,MAX(0,T440+CADASTRO_CASAS_BOMBA!$I$11*HORAS_CAPTACAO_DIA-S441))</f>
        <v>447823.616470588</v>
      </c>
      <c r="U441" s="16" t="n">
        <f aca="false">MAX(0,S441-CADASTRO_CASAS_BOMBA!$I$11*HORAS_CAPTACAO_DIA-T440)</f>
        <v>0</v>
      </c>
      <c r="V441" s="16" t="n">
        <f aca="false">INDEX(AUX_MATRIZES!$C$14:$BP$14,MIN(N_SEMANAS,MAX(1,$C441)))/DIAS_POR_SEMANA</f>
        <v>0</v>
      </c>
      <c r="W441" s="16" t="n">
        <f aca="false">MIN(CADASTRO_CASAS_BOMBA!$O$12,MAX(0,W440+CADASTRO_CASAS_BOMBA!$I$12*HORAS_CAPTACAO_DIA-V441))</f>
        <v>440000</v>
      </c>
      <c r="X441" s="16" t="n">
        <f aca="false">MAX(0,V441-CADASTRO_CASAS_BOMBA!$I$12*HORAS_CAPTACAO_DIA-W440)</f>
        <v>0</v>
      </c>
      <c r="Y441" s="16" t="n">
        <f aca="false">INDEX(AUX_MATRIZES!$C$15:$BP$15,MIN(N_SEMANAS,MAX(1,$C441)))/DIAS_POR_SEMANA</f>
        <v>0</v>
      </c>
      <c r="Z441" s="16" t="n">
        <f aca="false">MIN(CADASTRO_CASAS_BOMBA!$O$13,MAX(0,Z440+CADASTRO_CASAS_BOMBA!$I$13*HORAS_CAPTACAO_DIA-Y441))</f>
        <v>74903</v>
      </c>
      <c r="AA441" s="16" t="n">
        <f aca="false">MAX(0,Y441-CADASTRO_CASAS_BOMBA!$I$13*HORAS_CAPTACAO_DIA-Z440)</f>
        <v>0</v>
      </c>
    </row>
    <row r="442" customFormat="false" ht="15" hidden="false" customHeight="false" outlineLevel="0" collapsed="false">
      <c r="B442" s="17" t="n">
        <f aca="false">DATA_INICIO_SAFRA+435</f>
        <v>46700</v>
      </c>
      <c r="C442" s="16" t="n">
        <f aca="false">MIN(N_SEMANAS,MAX(1,INT(($B442-DATA_INICIO_SAFRA)/DIAS_POR_SEMANA)+1))</f>
        <v>63</v>
      </c>
      <c r="D442" s="16" t="n">
        <f aca="false">INDEX(AUX_MATRIZES!$C$8:$BP$8,MIN(N_SEMANAS,MAX(1,$C442)))/DIAS_POR_SEMANA</f>
        <v>0</v>
      </c>
      <c r="E442" s="16" t="n">
        <f aca="false">MIN(CADASTRO_CASAS_BOMBA!$O$6,MAX(0,E441+CADASTRO_CASAS_BOMBA!$I$6*HORAS_CAPTACAO_DIA-D442))</f>
        <v>2600</v>
      </c>
      <c r="F442" s="16" t="n">
        <f aca="false">MAX(0,D442-CADASTRO_CASAS_BOMBA!$I$6*HORAS_CAPTACAO_DIA-E441)</f>
        <v>0</v>
      </c>
      <c r="G442" s="16" t="n">
        <f aca="false">INDEX(AUX_MATRIZES!$C$9:$BP$9,MIN(N_SEMANAS,MAX(1,$C442)))/DIAS_POR_SEMANA</f>
        <v>0</v>
      </c>
      <c r="H442" s="16" t="n">
        <f aca="false">MIN(CADASTRO_CASAS_BOMBA!$O$7,MAX(0,H441+CADASTRO_CASAS_BOMBA!$I$7*HORAS_CAPTACAO_DIA-G442))</f>
        <v>76648</v>
      </c>
      <c r="I442" s="16" t="n">
        <f aca="false">MAX(0,G442-CADASTRO_CASAS_BOMBA!$I$7*HORAS_CAPTACAO_DIA-H441)</f>
        <v>0</v>
      </c>
      <c r="J442" s="16" t="n">
        <f aca="false">INDEX(AUX_MATRIZES!$C$10:$BP$10,MIN(N_SEMANAS,MAX(1,$C442)))/DIAS_POR_SEMANA</f>
        <v>0</v>
      </c>
      <c r="K442" s="16" t="n">
        <f aca="false">MIN(CADASTRO_CASAS_BOMBA!$O$8,MAX(0,K441+CADASTRO_CASAS_BOMBA!$I$8*HORAS_CAPTACAO_DIA-J442))</f>
        <v>27377</v>
      </c>
      <c r="L442" s="16" t="n">
        <f aca="false">MAX(0,J442-CADASTRO_CASAS_BOMBA!$I$8*HORAS_CAPTACAO_DIA-K441)</f>
        <v>0</v>
      </c>
      <c r="M442" s="16" t="n">
        <f aca="false">INDEX(AUX_MATRIZES!$C$11:$BP$11,MIN(N_SEMANAS,MAX(1,$C442)))/DIAS_POR_SEMANA</f>
        <v>0</v>
      </c>
      <c r="N442" s="16" t="n">
        <f aca="false">MIN(CADASTRO_CASAS_BOMBA!$O$9,MAX(0,N441+CADASTRO_CASAS_BOMBA!$I$9*HORAS_CAPTACAO_DIA-M442))</f>
        <v>129000</v>
      </c>
      <c r="O442" s="16" t="n">
        <f aca="false">MAX(0,M442-CADASTRO_CASAS_BOMBA!$I$9*HORAS_CAPTACAO_DIA-N441)</f>
        <v>0</v>
      </c>
      <c r="P442" s="16" t="n">
        <f aca="false">INDEX(AUX_MATRIZES!$C$12:$BP$12,MIN(N_SEMANAS,MAX(1,$C442)))/DIAS_POR_SEMANA</f>
        <v>0</v>
      </c>
      <c r="Q442" s="16" t="n">
        <f aca="false">MIN(CADASTRO_CASAS_BOMBA!$O$10,MAX(0,Q441+CADASTRO_CASAS_BOMBA!$I$10*HORAS_CAPTACAO_DIA-P442))</f>
        <v>202362.814701826</v>
      </c>
      <c r="R442" s="16" t="n">
        <f aca="false">MAX(0,P442-CADASTRO_CASAS_BOMBA!$I$10*HORAS_CAPTACAO_DIA-Q441)</f>
        <v>0</v>
      </c>
      <c r="S442" s="16" t="n">
        <f aca="false">INDEX(AUX_MATRIZES!$C$13:$BP$13,MIN(N_SEMANAS,MAX(1,$C442)))/DIAS_POR_SEMANA</f>
        <v>0</v>
      </c>
      <c r="T442" s="16" t="n">
        <f aca="false">MIN(CADASTRO_CASAS_BOMBA!$O$11,MAX(0,T441+CADASTRO_CASAS_BOMBA!$I$11*HORAS_CAPTACAO_DIA-S442))</f>
        <v>469243.616470588</v>
      </c>
      <c r="U442" s="16" t="n">
        <f aca="false">MAX(0,S442-CADASTRO_CASAS_BOMBA!$I$11*HORAS_CAPTACAO_DIA-T441)</f>
        <v>0</v>
      </c>
      <c r="V442" s="16" t="n">
        <f aca="false">INDEX(AUX_MATRIZES!$C$14:$BP$14,MIN(N_SEMANAS,MAX(1,$C442)))/DIAS_POR_SEMANA</f>
        <v>0</v>
      </c>
      <c r="W442" s="16" t="n">
        <f aca="false">MIN(CADASTRO_CASAS_BOMBA!$O$12,MAX(0,W441+CADASTRO_CASAS_BOMBA!$I$12*HORAS_CAPTACAO_DIA-V442))</f>
        <v>440000</v>
      </c>
      <c r="X442" s="16" t="n">
        <f aca="false">MAX(0,V442-CADASTRO_CASAS_BOMBA!$I$12*HORAS_CAPTACAO_DIA-W441)</f>
        <v>0</v>
      </c>
      <c r="Y442" s="16" t="n">
        <f aca="false">INDEX(AUX_MATRIZES!$C$15:$BP$15,MIN(N_SEMANAS,MAX(1,$C442)))/DIAS_POR_SEMANA</f>
        <v>0</v>
      </c>
      <c r="Z442" s="16" t="n">
        <f aca="false">MIN(CADASTRO_CASAS_BOMBA!$O$13,MAX(0,Z441+CADASTRO_CASAS_BOMBA!$I$13*HORAS_CAPTACAO_DIA-Y442))</f>
        <v>74903</v>
      </c>
      <c r="AA442" s="16" t="n">
        <f aca="false">MAX(0,Y442-CADASTRO_CASAS_BOMBA!$I$13*HORAS_CAPTACAO_DIA-Z441)</f>
        <v>0</v>
      </c>
    </row>
    <row r="443" customFormat="false" ht="15" hidden="false" customHeight="false" outlineLevel="0" collapsed="false">
      <c r="B443" s="17" t="n">
        <f aca="false">DATA_INICIO_SAFRA+436</f>
        <v>46701</v>
      </c>
      <c r="C443" s="16" t="n">
        <f aca="false">MIN(N_SEMANAS,MAX(1,INT(($B443-DATA_INICIO_SAFRA)/DIAS_POR_SEMANA)+1))</f>
        <v>63</v>
      </c>
      <c r="D443" s="16" t="n">
        <f aca="false">INDEX(AUX_MATRIZES!$C$8:$BP$8,MIN(N_SEMANAS,MAX(1,$C443)))/DIAS_POR_SEMANA</f>
        <v>0</v>
      </c>
      <c r="E443" s="16" t="n">
        <f aca="false">MIN(CADASTRO_CASAS_BOMBA!$O$6,MAX(0,E442+CADASTRO_CASAS_BOMBA!$I$6*HORAS_CAPTACAO_DIA-D443))</f>
        <v>2600</v>
      </c>
      <c r="F443" s="16" t="n">
        <f aca="false">MAX(0,D443-CADASTRO_CASAS_BOMBA!$I$6*HORAS_CAPTACAO_DIA-E442)</f>
        <v>0</v>
      </c>
      <c r="G443" s="16" t="n">
        <f aca="false">INDEX(AUX_MATRIZES!$C$9:$BP$9,MIN(N_SEMANAS,MAX(1,$C443)))/DIAS_POR_SEMANA</f>
        <v>0</v>
      </c>
      <c r="H443" s="16" t="n">
        <f aca="false">MIN(CADASTRO_CASAS_BOMBA!$O$7,MAX(0,H442+CADASTRO_CASAS_BOMBA!$I$7*HORAS_CAPTACAO_DIA-G443))</f>
        <v>76648</v>
      </c>
      <c r="I443" s="16" t="n">
        <f aca="false">MAX(0,G443-CADASTRO_CASAS_BOMBA!$I$7*HORAS_CAPTACAO_DIA-H442)</f>
        <v>0</v>
      </c>
      <c r="J443" s="16" t="n">
        <f aca="false">INDEX(AUX_MATRIZES!$C$10:$BP$10,MIN(N_SEMANAS,MAX(1,$C443)))/DIAS_POR_SEMANA</f>
        <v>0</v>
      </c>
      <c r="K443" s="16" t="n">
        <f aca="false">MIN(CADASTRO_CASAS_BOMBA!$O$8,MAX(0,K442+CADASTRO_CASAS_BOMBA!$I$8*HORAS_CAPTACAO_DIA-J443))</f>
        <v>27377</v>
      </c>
      <c r="L443" s="16" t="n">
        <f aca="false">MAX(0,J443-CADASTRO_CASAS_BOMBA!$I$8*HORAS_CAPTACAO_DIA-K442)</f>
        <v>0</v>
      </c>
      <c r="M443" s="16" t="n">
        <f aca="false">INDEX(AUX_MATRIZES!$C$11:$BP$11,MIN(N_SEMANAS,MAX(1,$C443)))/DIAS_POR_SEMANA</f>
        <v>0</v>
      </c>
      <c r="N443" s="16" t="n">
        <f aca="false">MIN(CADASTRO_CASAS_BOMBA!$O$9,MAX(0,N442+CADASTRO_CASAS_BOMBA!$I$9*HORAS_CAPTACAO_DIA-M443))</f>
        <v>129000</v>
      </c>
      <c r="O443" s="16" t="n">
        <f aca="false">MAX(0,M443-CADASTRO_CASAS_BOMBA!$I$9*HORAS_CAPTACAO_DIA-N442)</f>
        <v>0</v>
      </c>
      <c r="P443" s="16" t="n">
        <f aca="false">INDEX(AUX_MATRIZES!$C$12:$BP$12,MIN(N_SEMANAS,MAX(1,$C443)))/DIAS_POR_SEMANA</f>
        <v>0</v>
      </c>
      <c r="Q443" s="16" t="n">
        <f aca="false">MIN(CADASTRO_CASAS_BOMBA!$O$10,MAX(0,Q442+CADASTRO_CASAS_BOMBA!$I$10*HORAS_CAPTACAO_DIA-P443))</f>
        <v>215445.214701826</v>
      </c>
      <c r="R443" s="16" t="n">
        <f aca="false">MAX(0,P443-CADASTRO_CASAS_BOMBA!$I$10*HORAS_CAPTACAO_DIA-Q442)</f>
        <v>0</v>
      </c>
      <c r="S443" s="16" t="n">
        <f aca="false">INDEX(AUX_MATRIZES!$C$13:$BP$13,MIN(N_SEMANAS,MAX(1,$C443)))/DIAS_POR_SEMANA</f>
        <v>0</v>
      </c>
      <c r="T443" s="16" t="n">
        <f aca="false">MIN(CADASTRO_CASAS_BOMBA!$O$11,MAX(0,T442+CADASTRO_CASAS_BOMBA!$I$11*HORAS_CAPTACAO_DIA-S443))</f>
        <v>469821</v>
      </c>
      <c r="U443" s="16" t="n">
        <f aca="false">MAX(0,S443-CADASTRO_CASAS_BOMBA!$I$11*HORAS_CAPTACAO_DIA-T442)</f>
        <v>0</v>
      </c>
      <c r="V443" s="16" t="n">
        <f aca="false">INDEX(AUX_MATRIZES!$C$14:$BP$14,MIN(N_SEMANAS,MAX(1,$C443)))/DIAS_POR_SEMANA</f>
        <v>0</v>
      </c>
      <c r="W443" s="16" t="n">
        <f aca="false">MIN(CADASTRO_CASAS_BOMBA!$O$12,MAX(0,W442+CADASTRO_CASAS_BOMBA!$I$12*HORAS_CAPTACAO_DIA-V443))</f>
        <v>440000</v>
      </c>
      <c r="X443" s="16" t="n">
        <f aca="false">MAX(0,V443-CADASTRO_CASAS_BOMBA!$I$12*HORAS_CAPTACAO_DIA-W442)</f>
        <v>0</v>
      </c>
      <c r="Y443" s="16" t="n">
        <f aca="false">INDEX(AUX_MATRIZES!$C$15:$BP$15,MIN(N_SEMANAS,MAX(1,$C443)))/DIAS_POR_SEMANA</f>
        <v>0</v>
      </c>
      <c r="Z443" s="16" t="n">
        <f aca="false">MIN(CADASTRO_CASAS_BOMBA!$O$13,MAX(0,Z442+CADASTRO_CASAS_BOMBA!$I$13*HORAS_CAPTACAO_DIA-Y443))</f>
        <v>74903</v>
      </c>
      <c r="AA443" s="16" t="n">
        <f aca="false">MAX(0,Y443-CADASTRO_CASAS_BOMBA!$I$13*HORAS_CAPTACAO_DIA-Z442)</f>
        <v>0</v>
      </c>
    </row>
    <row r="444" customFormat="false" ht="15" hidden="false" customHeight="false" outlineLevel="0" collapsed="false">
      <c r="B444" s="17" t="n">
        <f aca="false">DATA_INICIO_SAFRA+437</f>
        <v>46702</v>
      </c>
      <c r="C444" s="16" t="n">
        <f aca="false">MIN(N_SEMANAS,MAX(1,INT(($B444-DATA_INICIO_SAFRA)/DIAS_POR_SEMANA)+1))</f>
        <v>63</v>
      </c>
      <c r="D444" s="16" t="n">
        <f aca="false">INDEX(AUX_MATRIZES!$C$8:$BP$8,MIN(N_SEMANAS,MAX(1,$C444)))/DIAS_POR_SEMANA</f>
        <v>0</v>
      </c>
      <c r="E444" s="16" t="n">
        <f aca="false">MIN(CADASTRO_CASAS_BOMBA!$O$6,MAX(0,E443+CADASTRO_CASAS_BOMBA!$I$6*HORAS_CAPTACAO_DIA-D444))</f>
        <v>2600</v>
      </c>
      <c r="F444" s="16" t="n">
        <f aca="false">MAX(0,D444-CADASTRO_CASAS_BOMBA!$I$6*HORAS_CAPTACAO_DIA-E443)</f>
        <v>0</v>
      </c>
      <c r="G444" s="16" t="n">
        <f aca="false">INDEX(AUX_MATRIZES!$C$9:$BP$9,MIN(N_SEMANAS,MAX(1,$C444)))/DIAS_POR_SEMANA</f>
        <v>0</v>
      </c>
      <c r="H444" s="16" t="n">
        <f aca="false">MIN(CADASTRO_CASAS_BOMBA!$O$7,MAX(0,H443+CADASTRO_CASAS_BOMBA!$I$7*HORAS_CAPTACAO_DIA-G444))</f>
        <v>76648</v>
      </c>
      <c r="I444" s="16" t="n">
        <f aca="false">MAX(0,G444-CADASTRO_CASAS_BOMBA!$I$7*HORAS_CAPTACAO_DIA-H443)</f>
        <v>0</v>
      </c>
      <c r="J444" s="16" t="n">
        <f aca="false">INDEX(AUX_MATRIZES!$C$10:$BP$10,MIN(N_SEMANAS,MAX(1,$C444)))/DIAS_POR_SEMANA</f>
        <v>0</v>
      </c>
      <c r="K444" s="16" t="n">
        <f aca="false">MIN(CADASTRO_CASAS_BOMBA!$O$8,MAX(0,K443+CADASTRO_CASAS_BOMBA!$I$8*HORAS_CAPTACAO_DIA-J444))</f>
        <v>27377</v>
      </c>
      <c r="L444" s="16" t="n">
        <f aca="false">MAX(0,J444-CADASTRO_CASAS_BOMBA!$I$8*HORAS_CAPTACAO_DIA-K443)</f>
        <v>0</v>
      </c>
      <c r="M444" s="16" t="n">
        <f aca="false">INDEX(AUX_MATRIZES!$C$11:$BP$11,MIN(N_SEMANAS,MAX(1,$C444)))/DIAS_POR_SEMANA</f>
        <v>0</v>
      </c>
      <c r="N444" s="16" t="n">
        <f aca="false">MIN(CADASTRO_CASAS_BOMBA!$O$9,MAX(0,N443+CADASTRO_CASAS_BOMBA!$I$9*HORAS_CAPTACAO_DIA-M444))</f>
        <v>129000</v>
      </c>
      <c r="O444" s="16" t="n">
        <f aca="false">MAX(0,M444-CADASTRO_CASAS_BOMBA!$I$9*HORAS_CAPTACAO_DIA-N443)</f>
        <v>0</v>
      </c>
      <c r="P444" s="16" t="n">
        <f aca="false">INDEX(AUX_MATRIZES!$C$12:$BP$12,MIN(N_SEMANAS,MAX(1,$C444)))/DIAS_POR_SEMANA</f>
        <v>0</v>
      </c>
      <c r="Q444" s="16" t="n">
        <f aca="false">MIN(CADASTRO_CASAS_BOMBA!$O$10,MAX(0,Q443+CADASTRO_CASAS_BOMBA!$I$10*HORAS_CAPTACAO_DIA-P444))</f>
        <v>228527.614701826</v>
      </c>
      <c r="R444" s="16" t="n">
        <f aca="false">MAX(0,P444-CADASTRO_CASAS_BOMBA!$I$10*HORAS_CAPTACAO_DIA-Q443)</f>
        <v>0</v>
      </c>
      <c r="S444" s="16" t="n">
        <f aca="false">INDEX(AUX_MATRIZES!$C$13:$BP$13,MIN(N_SEMANAS,MAX(1,$C444)))/DIAS_POR_SEMANA</f>
        <v>0</v>
      </c>
      <c r="T444" s="16" t="n">
        <f aca="false">MIN(CADASTRO_CASAS_BOMBA!$O$11,MAX(0,T443+CADASTRO_CASAS_BOMBA!$I$11*HORAS_CAPTACAO_DIA-S444))</f>
        <v>469821</v>
      </c>
      <c r="U444" s="16" t="n">
        <f aca="false">MAX(0,S444-CADASTRO_CASAS_BOMBA!$I$11*HORAS_CAPTACAO_DIA-T443)</f>
        <v>0</v>
      </c>
      <c r="V444" s="16" t="n">
        <f aca="false">INDEX(AUX_MATRIZES!$C$14:$BP$14,MIN(N_SEMANAS,MAX(1,$C444)))/DIAS_POR_SEMANA</f>
        <v>0</v>
      </c>
      <c r="W444" s="16" t="n">
        <f aca="false">MIN(CADASTRO_CASAS_BOMBA!$O$12,MAX(0,W443+CADASTRO_CASAS_BOMBA!$I$12*HORAS_CAPTACAO_DIA-V444))</f>
        <v>440000</v>
      </c>
      <c r="X444" s="16" t="n">
        <f aca="false">MAX(0,V444-CADASTRO_CASAS_BOMBA!$I$12*HORAS_CAPTACAO_DIA-W443)</f>
        <v>0</v>
      </c>
      <c r="Y444" s="16" t="n">
        <f aca="false">INDEX(AUX_MATRIZES!$C$15:$BP$15,MIN(N_SEMANAS,MAX(1,$C444)))/DIAS_POR_SEMANA</f>
        <v>0</v>
      </c>
      <c r="Z444" s="16" t="n">
        <f aca="false">MIN(CADASTRO_CASAS_BOMBA!$O$13,MAX(0,Z443+CADASTRO_CASAS_BOMBA!$I$13*HORAS_CAPTACAO_DIA-Y444))</f>
        <v>74903</v>
      </c>
      <c r="AA444" s="16" t="n">
        <f aca="false">MAX(0,Y444-CADASTRO_CASAS_BOMBA!$I$13*HORAS_CAPTACAO_DIA-Z443)</f>
        <v>0</v>
      </c>
    </row>
    <row r="445" customFormat="false" ht="15" hidden="false" customHeight="false" outlineLevel="0" collapsed="false">
      <c r="B445" s="17" t="n">
        <f aca="false">DATA_INICIO_SAFRA+438</f>
        <v>46703</v>
      </c>
      <c r="C445" s="16" t="n">
        <f aca="false">MIN(N_SEMANAS,MAX(1,INT(($B445-DATA_INICIO_SAFRA)/DIAS_POR_SEMANA)+1))</f>
        <v>63</v>
      </c>
      <c r="D445" s="16" t="n">
        <f aca="false">INDEX(AUX_MATRIZES!$C$8:$BP$8,MIN(N_SEMANAS,MAX(1,$C445)))/DIAS_POR_SEMANA</f>
        <v>0</v>
      </c>
      <c r="E445" s="16" t="n">
        <f aca="false">MIN(CADASTRO_CASAS_BOMBA!$O$6,MAX(0,E444+CADASTRO_CASAS_BOMBA!$I$6*HORAS_CAPTACAO_DIA-D445))</f>
        <v>2600</v>
      </c>
      <c r="F445" s="16" t="n">
        <f aca="false">MAX(0,D445-CADASTRO_CASAS_BOMBA!$I$6*HORAS_CAPTACAO_DIA-E444)</f>
        <v>0</v>
      </c>
      <c r="G445" s="16" t="n">
        <f aca="false">INDEX(AUX_MATRIZES!$C$9:$BP$9,MIN(N_SEMANAS,MAX(1,$C445)))/DIAS_POR_SEMANA</f>
        <v>0</v>
      </c>
      <c r="H445" s="16" t="n">
        <f aca="false">MIN(CADASTRO_CASAS_BOMBA!$O$7,MAX(0,H444+CADASTRO_CASAS_BOMBA!$I$7*HORAS_CAPTACAO_DIA-G445))</f>
        <v>76648</v>
      </c>
      <c r="I445" s="16" t="n">
        <f aca="false">MAX(0,G445-CADASTRO_CASAS_BOMBA!$I$7*HORAS_CAPTACAO_DIA-H444)</f>
        <v>0</v>
      </c>
      <c r="J445" s="16" t="n">
        <f aca="false">INDEX(AUX_MATRIZES!$C$10:$BP$10,MIN(N_SEMANAS,MAX(1,$C445)))/DIAS_POR_SEMANA</f>
        <v>0</v>
      </c>
      <c r="K445" s="16" t="n">
        <f aca="false">MIN(CADASTRO_CASAS_BOMBA!$O$8,MAX(0,K444+CADASTRO_CASAS_BOMBA!$I$8*HORAS_CAPTACAO_DIA-J445))</f>
        <v>27377</v>
      </c>
      <c r="L445" s="16" t="n">
        <f aca="false">MAX(0,J445-CADASTRO_CASAS_BOMBA!$I$8*HORAS_CAPTACAO_DIA-K444)</f>
        <v>0</v>
      </c>
      <c r="M445" s="16" t="n">
        <f aca="false">INDEX(AUX_MATRIZES!$C$11:$BP$11,MIN(N_SEMANAS,MAX(1,$C445)))/DIAS_POR_SEMANA</f>
        <v>0</v>
      </c>
      <c r="N445" s="16" t="n">
        <f aca="false">MIN(CADASTRO_CASAS_BOMBA!$O$9,MAX(0,N444+CADASTRO_CASAS_BOMBA!$I$9*HORAS_CAPTACAO_DIA-M445))</f>
        <v>129000</v>
      </c>
      <c r="O445" s="16" t="n">
        <f aca="false">MAX(0,M445-CADASTRO_CASAS_BOMBA!$I$9*HORAS_CAPTACAO_DIA-N444)</f>
        <v>0</v>
      </c>
      <c r="P445" s="16" t="n">
        <f aca="false">INDEX(AUX_MATRIZES!$C$12:$BP$12,MIN(N_SEMANAS,MAX(1,$C445)))/DIAS_POR_SEMANA</f>
        <v>0</v>
      </c>
      <c r="Q445" s="16" t="n">
        <f aca="false">MIN(CADASTRO_CASAS_BOMBA!$O$10,MAX(0,Q444+CADASTRO_CASAS_BOMBA!$I$10*HORAS_CAPTACAO_DIA-P445))</f>
        <v>241610.014701826</v>
      </c>
      <c r="R445" s="16" t="n">
        <f aca="false">MAX(0,P445-CADASTRO_CASAS_BOMBA!$I$10*HORAS_CAPTACAO_DIA-Q444)</f>
        <v>0</v>
      </c>
      <c r="S445" s="16" t="n">
        <f aca="false">INDEX(AUX_MATRIZES!$C$13:$BP$13,MIN(N_SEMANAS,MAX(1,$C445)))/DIAS_POR_SEMANA</f>
        <v>0</v>
      </c>
      <c r="T445" s="16" t="n">
        <f aca="false">MIN(CADASTRO_CASAS_BOMBA!$O$11,MAX(0,T444+CADASTRO_CASAS_BOMBA!$I$11*HORAS_CAPTACAO_DIA-S445))</f>
        <v>469821</v>
      </c>
      <c r="U445" s="16" t="n">
        <f aca="false">MAX(0,S445-CADASTRO_CASAS_BOMBA!$I$11*HORAS_CAPTACAO_DIA-T444)</f>
        <v>0</v>
      </c>
      <c r="V445" s="16" t="n">
        <f aca="false">INDEX(AUX_MATRIZES!$C$14:$BP$14,MIN(N_SEMANAS,MAX(1,$C445)))/DIAS_POR_SEMANA</f>
        <v>0</v>
      </c>
      <c r="W445" s="16" t="n">
        <f aca="false">MIN(CADASTRO_CASAS_BOMBA!$O$12,MAX(0,W444+CADASTRO_CASAS_BOMBA!$I$12*HORAS_CAPTACAO_DIA-V445))</f>
        <v>440000</v>
      </c>
      <c r="X445" s="16" t="n">
        <f aca="false">MAX(0,V445-CADASTRO_CASAS_BOMBA!$I$12*HORAS_CAPTACAO_DIA-W444)</f>
        <v>0</v>
      </c>
      <c r="Y445" s="16" t="n">
        <f aca="false">INDEX(AUX_MATRIZES!$C$15:$BP$15,MIN(N_SEMANAS,MAX(1,$C445)))/DIAS_POR_SEMANA</f>
        <v>0</v>
      </c>
      <c r="Z445" s="16" t="n">
        <f aca="false">MIN(CADASTRO_CASAS_BOMBA!$O$13,MAX(0,Z444+CADASTRO_CASAS_BOMBA!$I$13*HORAS_CAPTACAO_DIA-Y445))</f>
        <v>74903</v>
      </c>
      <c r="AA445" s="16" t="n">
        <f aca="false">MAX(0,Y445-CADASTRO_CASAS_BOMBA!$I$13*HORAS_CAPTACAO_DIA-Z444)</f>
        <v>0</v>
      </c>
    </row>
    <row r="446" customFormat="false" ht="15" hidden="false" customHeight="false" outlineLevel="0" collapsed="false">
      <c r="B446" s="17" t="n">
        <f aca="false">DATA_INICIO_SAFRA+439</f>
        <v>46704</v>
      </c>
      <c r="C446" s="16" t="n">
        <f aca="false">MIN(N_SEMANAS,MAX(1,INT(($B446-DATA_INICIO_SAFRA)/DIAS_POR_SEMANA)+1))</f>
        <v>63</v>
      </c>
      <c r="D446" s="16" t="n">
        <f aca="false">INDEX(AUX_MATRIZES!$C$8:$BP$8,MIN(N_SEMANAS,MAX(1,$C446)))/DIAS_POR_SEMANA</f>
        <v>0</v>
      </c>
      <c r="E446" s="16" t="n">
        <f aca="false">MIN(CADASTRO_CASAS_BOMBA!$O$6,MAX(0,E445+CADASTRO_CASAS_BOMBA!$I$6*HORAS_CAPTACAO_DIA-D446))</f>
        <v>2600</v>
      </c>
      <c r="F446" s="16" t="n">
        <f aca="false">MAX(0,D446-CADASTRO_CASAS_BOMBA!$I$6*HORAS_CAPTACAO_DIA-E445)</f>
        <v>0</v>
      </c>
      <c r="G446" s="16" t="n">
        <f aca="false">INDEX(AUX_MATRIZES!$C$9:$BP$9,MIN(N_SEMANAS,MAX(1,$C446)))/DIAS_POR_SEMANA</f>
        <v>0</v>
      </c>
      <c r="H446" s="16" t="n">
        <f aca="false">MIN(CADASTRO_CASAS_BOMBA!$O$7,MAX(0,H445+CADASTRO_CASAS_BOMBA!$I$7*HORAS_CAPTACAO_DIA-G446))</f>
        <v>76648</v>
      </c>
      <c r="I446" s="16" t="n">
        <f aca="false">MAX(0,G446-CADASTRO_CASAS_BOMBA!$I$7*HORAS_CAPTACAO_DIA-H445)</f>
        <v>0</v>
      </c>
      <c r="J446" s="16" t="n">
        <f aca="false">INDEX(AUX_MATRIZES!$C$10:$BP$10,MIN(N_SEMANAS,MAX(1,$C446)))/DIAS_POR_SEMANA</f>
        <v>0</v>
      </c>
      <c r="K446" s="16" t="n">
        <f aca="false">MIN(CADASTRO_CASAS_BOMBA!$O$8,MAX(0,K445+CADASTRO_CASAS_BOMBA!$I$8*HORAS_CAPTACAO_DIA-J446))</f>
        <v>27377</v>
      </c>
      <c r="L446" s="16" t="n">
        <f aca="false">MAX(0,J446-CADASTRO_CASAS_BOMBA!$I$8*HORAS_CAPTACAO_DIA-K445)</f>
        <v>0</v>
      </c>
      <c r="M446" s="16" t="n">
        <f aca="false">INDEX(AUX_MATRIZES!$C$11:$BP$11,MIN(N_SEMANAS,MAX(1,$C446)))/DIAS_POR_SEMANA</f>
        <v>0</v>
      </c>
      <c r="N446" s="16" t="n">
        <f aca="false">MIN(CADASTRO_CASAS_BOMBA!$O$9,MAX(0,N445+CADASTRO_CASAS_BOMBA!$I$9*HORAS_CAPTACAO_DIA-M446))</f>
        <v>129000</v>
      </c>
      <c r="O446" s="16" t="n">
        <f aca="false">MAX(0,M446-CADASTRO_CASAS_BOMBA!$I$9*HORAS_CAPTACAO_DIA-N445)</f>
        <v>0</v>
      </c>
      <c r="P446" s="16" t="n">
        <f aca="false">INDEX(AUX_MATRIZES!$C$12:$BP$12,MIN(N_SEMANAS,MAX(1,$C446)))/DIAS_POR_SEMANA</f>
        <v>0</v>
      </c>
      <c r="Q446" s="16" t="n">
        <f aca="false">MIN(CADASTRO_CASAS_BOMBA!$O$10,MAX(0,Q445+CADASTRO_CASAS_BOMBA!$I$10*HORAS_CAPTACAO_DIA-P446))</f>
        <v>254692.414701826</v>
      </c>
      <c r="R446" s="16" t="n">
        <f aca="false">MAX(0,P446-CADASTRO_CASAS_BOMBA!$I$10*HORAS_CAPTACAO_DIA-Q445)</f>
        <v>0</v>
      </c>
      <c r="S446" s="16" t="n">
        <f aca="false">INDEX(AUX_MATRIZES!$C$13:$BP$13,MIN(N_SEMANAS,MAX(1,$C446)))/DIAS_POR_SEMANA</f>
        <v>0</v>
      </c>
      <c r="T446" s="16" t="n">
        <f aca="false">MIN(CADASTRO_CASAS_BOMBA!$O$11,MAX(0,T445+CADASTRO_CASAS_BOMBA!$I$11*HORAS_CAPTACAO_DIA-S446))</f>
        <v>469821</v>
      </c>
      <c r="U446" s="16" t="n">
        <f aca="false">MAX(0,S446-CADASTRO_CASAS_BOMBA!$I$11*HORAS_CAPTACAO_DIA-T445)</f>
        <v>0</v>
      </c>
      <c r="V446" s="16" t="n">
        <f aca="false">INDEX(AUX_MATRIZES!$C$14:$BP$14,MIN(N_SEMANAS,MAX(1,$C446)))/DIAS_POR_SEMANA</f>
        <v>0</v>
      </c>
      <c r="W446" s="16" t="n">
        <f aca="false">MIN(CADASTRO_CASAS_BOMBA!$O$12,MAX(0,W445+CADASTRO_CASAS_BOMBA!$I$12*HORAS_CAPTACAO_DIA-V446))</f>
        <v>440000</v>
      </c>
      <c r="X446" s="16" t="n">
        <f aca="false">MAX(0,V446-CADASTRO_CASAS_BOMBA!$I$12*HORAS_CAPTACAO_DIA-W445)</f>
        <v>0</v>
      </c>
      <c r="Y446" s="16" t="n">
        <f aca="false">INDEX(AUX_MATRIZES!$C$15:$BP$15,MIN(N_SEMANAS,MAX(1,$C446)))/DIAS_POR_SEMANA</f>
        <v>0</v>
      </c>
      <c r="Z446" s="16" t="n">
        <f aca="false">MIN(CADASTRO_CASAS_BOMBA!$O$13,MAX(0,Z445+CADASTRO_CASAS_BOMBA!$I$13*HORAS_CAPTACAO_DIA-Y446))</f>
        <v>74903</v>
      </c>
      <c r="AA446" s="16" t="n">
        <f aca="false">MAX(0,Y446-CADASTRO_CASAS_BOMBA!$I$13*HORAS_CAPTACAO_DIA-Z445)</f>
        <v>0</v>
      </c>
    </row>
    <row r="447" customFormat="false" ht="15" hidden="false" customHeight="false" outlineLevel="0" collapsed="false">
      <c r="B447" s="17" t="n">
        <f aca="false">DATA_INICIO_SAFRA+440</f>
        <v>46705</v>
      </c>
      <c r="C447" s="16" t="n">
        <f aca="false">MIN(N_SEMANAS,MAX(1,INT(($B447-DATA_INICIO_SAFRA)/DIAS_POR_SEMANA)+1))</f>
        <v>63</v>
      </c>
      <c r="D447" s="16" t="n">
        <f aca="false">INDEX(AUX_MATRIZES!$C$8:$BP$8,MIN(N_SEMANAS,MAX(1,$C447)))/DIAS_POR_SEMANA</f>
        <v>0</v>
      </c>
      <c r="E447" s="16" t="n">
        <f aca="false">MIN(CADASTRO_CASAS_BOMBA!$O$6,MAX(0,E446+CADASTRO_CASAS_BOMBA!$I$6*HORAS_CAPTACAO_DIA-D447))</f>
        <v>2600</v>
      </c>
      <c r="F447" s="16" t="n">
        <f aca="false">MAX(0,D447-CADASTRO_CASAS_BOMBA!$I$6*HORAS_CAPTACAO_DIA-E446)</f>
        <v>0</v>
      </c>
      <c r="G447" s="16" t="n">
        <f aca="false">INDEX(AUX_MATRIZES!$C$9:$BP$9,MIN(N_SEMANAS,MAX(1,$C447)))/DIAS_POR_SEMANA</f>
        <v>0</v>
      </c>
      <c r="H447" s="16" t="n">
        <f aca="false">MIN(CADASTRO_CASAS_BOMBA!$O$7,MAX(0,H446+CADASTRO_CASAS_BOMBA!$I$7*HORAS_CAPTACAO_DIA-G447))</f>
        <v>76648</v>
      </c>
      <c r="I447" s="16" t="n">
        <f aca="false">MAX(0,G447-CADASTRO_CASAS_BOMBA!$I$7*HORAS_CAPTACAO_DIA-H446)</f>
        <v>0</v>
      </c>
      <c r="J447" s="16" t="n">
        <f aca="false">INDEX(AUX_MATRIZES!$C$10:$BP$10,MIN(N_SEMANAS,MAX(1,$C447)))/DIAS_POR_SEMANA</f>
        <v>0</v>
      </c>
      <c r="K447" s="16" t="n">
        <f aca="false">MIN(CADASTRO_CASAS_BOMBA!$O$8,MAX(0,K446+CADASTRO_CASAS_BOMBA!$I$8*HORAS_CAPTACAO_DIA-J447))</f>
        <v>27377</v>
      </c>
      <c r="L447" s="16" t="n">
        <f aca="false">MAX(0,J447-CADASTRO_CASAS_BOMBA!$I$8*HORAS_CAPTACAO_DIA-K446)</f>
        <v>0</v>
      </c>
      <c r="M447" s="16" t="n">
        <f aca="false">INDEX(AUX_MATRIZES!$C$11:$BP$11,MIN(N_SEMANAS,MAX(1,$C447)))/DIAS_POR_SEMANA</f>
        <v>0</v>
      </c>
      <c r="N447" s="16" t="n">
        <f aca="false">MIN(CADASTRO_CASAS_BOMBA!$O$9,MAX(0,N446+CADASTRO_CASAS_BOMBA!$I$9*HORAS_CAPTACAO_DIA-M447))</f>
        <v>129000</v>
      </c>
      <c r="O447" s="16" t="n">
        <f aca="false">MAX(0,M447-CADASTRO_CASAS_BOMBA!$I$9*HORAS_CAPTACAO_DIA-N446)</f>
        <v>0</v>
      </c>
      <c r="P447" s="16" t="n">
        <f aca="false">INDEX(AUX_MATRIZES!$C$12:$BP$12,MIN(N_SEMANAS,MAX(1,$C447)))/DIAS_POR_SEMANA</f>
        <v>0</v>
      </c>
      <c r="Q447" s="16" t="n">
        <f aca="false">MIN(CADASTRO_CASAS_BOMBA!$O$10,MAX(0,Q446+CADASTRO_CASAS_BOMBA!$I$10*HORAS_CAPTACAO_DIA-P447))</f>
        <v>267774.814701826</v>
      </c>
      <c r="R447" s="16" t="n">
        <f aca="false">MAX(0,P447-CADASTRO_CASAS_BOMBA!$I$10*HORAS_CAPTACAO_DIA-Q446)</f>
        <v>0</v>
      </c>
      <c r="S447" s="16" t="n">
        <f aca="false">INDEX(AUX_MATRIZES!$C$13:$BP$13,MIN(N_SEMANAS,MAX(1,$C447)))/DIAS_POR_SEMANA</f>
        <v>0</v>
      </c>
      <c r="T447" s="16" t="n">
        <f aca="false">MIN(CADASTRO_CASAS_BOMBA!$O$11,MAX(0,T446+CADASTRO_CASAS_BOMBA!$I$11*HORAS_CAPTACAO_DIA-S447))</f>
        <v>469821</v>
      </c>
      <c r="U447" s="16" t="n">
        <f aca="false">MAX(0,S447-CADASTRO_CASAS_BOMBA!$I$11*HORAS_CAPTACAO_DIA-T446)</f>
        <v>0</v>
      </c>
      <c r="V447" s="16" t="n">
        <f aca="false">INDEX(AUX_MATRIZES!$C$14:$BP$14,MIN(N_SEMANAS,MAX(1,$C447)))/DIAS_POR_SEMANA</f>
        <v>0</v>
      </c>
      <c r="W447" s="16" t="n">
        <f aca="false">MIN(CADASTRO_CASAS_BOMBA!$O$12,MAX(0,W446+CADASTRO_CASAS_BOMBA!$I$12*HORAS_CAPTACAO_DIA-V447))</f>
        <v>440000</v>
      </c>
      <c r="X447" s="16" t="n">
        <f aca="false">MAX(0,V447-CADASTRO_CASAS_BOMBA!$I$12*HORAS_CAPTACAO_DIA-W446)</f>
        <v>0</v>
      </c>
      <c r="Y447" s="16" t="n">
        <f aca="false">INDEX(AUX_MATRIZES!$C$15:$BP$15,MIN(N_SEMANAS,MAX(1,$C447)))/DIAS_POR_SEMANA</f>
        <v>0</v>
      </c>
      <c r="Z447" s="16" t="n">
        <f aca="false">MIN(CADASTRO_CASAS_BOMBA!$O$13,MAX(0,Z446+CADASTRO_CASAS_BOMBA!$I$13*HORAS_CAPTACAO_DIA-Y447))</f>
        <v>74903</v>
      </c>
      <c r="AA447" s="16" t="n">
        <f aca="false">MAX(0,Y447-CADASTRO_CASAS_BOMBA!$I$13*HORAS_CAPTACAO_DIA-Z446)</f>
        <v>0</v>
      </c>
    </row>
    <row r="448" customFormat="false" ht="15" hidden="false" customHeight="false" outlineLevel="0" collapsed="false">
      <c r="B448" s="17" t="n">
        <f aca="false">DATA_INICIO_SAFRA+441</f>
        <v>46706</v>
      </c>
      <c r="C448" s="16" t="n">
        <f aca="false">MIN(N_SEMANAS,MAX(1,INT(($B448-DATA_INICIO_SAFRA)/DIAS_POR_SEMANA)+1))</f>
        <v>64</v>
      </c>
      <c r="D448" s="16" t="n">
        <f aca="false">INDEX(AUX_MATRIZES!$C$8:$BP$8,MIN(N_SEMANAS,MAX(1,$C448)))/DIAS_POR_SEMANA</f>
        <v>0</v>
      </c>
      <c r="E448" s="16" t="n">
        <f aca="false">MIN(CADASTRO_CASAS_BOMBA!$O$6,MAX(0,E447+CADASTRO_CASAS_BOMBA!$I$6*HORAS_CAPTACAO_DIA-D448))</f>
        <v>2600</v>
      </c>
      <c r="F448" s="16" t="n">
        <f aca="false">MAX(0,D448-CADASTRO_CASAS_BOMBA!$I$6*HORAS_CAPTACAO_DIA-E447)</f>
        <v>0</v>
      </c>
      <c r="G448" s="16" t="n">
        <f aca="false">INDEX(AUX_MATRIZES!$C$9:$BP$9,MIN(N_SEMANAS,MAX(1,$C448)))/DIAS_POR_SEMANA</f>
        <v>0</v>
      </c>
      <c r="H448" s="16" t="n">
        <f aca="false">MIN(CADASTRO_CASAS_BOMBA!$O$7,MAX(0,H447+CADASTRO_CASAS_BOMBA!$I$7*HORAS_CAPTACAO_DIA-G448))</f>
        <v>76648</v>
      </c>
      <c r="I448" s="16" t="n">
        <f aca="false">MAX(0,G448-CADASTRO_CASAS_BOMBA!$I$7*HORAS_CAPTACAO_DIA-H447)</f>
        <v>0</v>
      </c>
      <c r="J448" s="16" t="n">
        <f aca="false">INDEX(AUX_MATRIZES!$C$10:$BP$10,MIN(N_SEMANAS,MAX(1,$C448)))/DIAS_POR_SEMANA</f>
        <v>0</v>
      </c>
      <c r="K448" s="16" t="n">
        <f aca="false">MIN(CADASTRO_CASAS_BOMBA!$O$8,MAX(0,K447+CADASTRO_CASAS_BOMBA!$I$8*HORAS_CAPTACAO_DIA-J448))</f>
        <v>27377</v>
      </c>
      <c r="L448" s="16" t="n">
        <f aca="false">MAX(0,J448-CADASTRO_CASAS_BOMBA!$I$8*HORAS_CAPTACAO_DIA-K447)</f>
        <v>0</v>
      </c>
      <c r="M448" s="16" t="n">
        <f aca="false">INDEX(AUX_MATRIZES!$C$11:$BP$11,MIN(N_SEMANAS,MAX(1,$C448)))/DIAS_POR_SEMANA</f>
        <v>0</v>
      </c>
      <c r="N448" s="16" t="n">
        <f aca="false">MIN(CADASTRO_CASAS_BOMBA!$O$9,MAX(0,N447+CADASTRO_CASAS_BOMBA!$I$9*HORAS_CAPTACAO_DIA-M448))</f>
        <v>129000</v>
      </c>
      <c r="O448" s="16" t="n">
        <f aca="false">MAX(0,M448-CADASTRO_CASAS_BOMBA!$I$9*HORAS_CAPTACAO_DIA-N447)</f>
        <v>0</v>
      </c>
      <c r="P448" s="16" t="n">
        <f aca="false">INDEX(AUX_MATRIZES!$C$12:$BP$12,MIN(N_SEMANAS,MAX(1,$C448)))/DIAS_POR_SEMANA</f>
        <v>0</v>
      </c>
      <c r="Q448" s="16" t="n">
        <f aca="false">MIN(CADASTRO_CASAS_BOMBA!$O$10,MAX(0,Q447+CADASTRO_CASAS_BOMBA!$I$10*HORAS_CAPTACAO_DIA-P448))</f>
        <v>280857.214701826</v>
      </c>
      <c r="R448" s="16" t="n">
        <f aca="false">MAX(0,P448-CADASTRO_CASAS_BOMBA!$I$10*HORAS_CAPTACAO_DIA-Q447)</f>
        <v>0</v>
      </c>
      <c r="S448" s="16" t="n">
        <f aca="false">INDEX(AUX_MATRIZES!$C$13:$BP$13,MIN(N_SEMANAS,MAX(1,$C448)))/DIAS_POR_SEMANA</f>
        <v>0</v>
      </c>
      <c r="T448" s="16" t="n">
        <f aca="false">MIN(CADASTRO_CASAS_BOMBA!$O$11,MAX(0,T447+CADASTRO_CASAS_BOMBA!$I$11*HORAS_CAPTACAO_DIA-S448))</f>
        <v>469821</v>
      </c>
      <c r="U448" s="16" t="n">
        <f aca="false">MAX(0,S448-CADASTRO_CASAS_BOMBA!$I$11*HORAS_CAPTACAO_DIA-T447)</f>
        <v>0</v>
      </c>
      <c r="V448" s="16" t="n">
        <f aca="false">INDEX(AUX_MATRIZES!$C$14:$BP$14,MIN(N_SEMANAS,MAX(1,$C448)))/DIAS_POR_SEMANA</f>
        <v>0</v>
      </c>
      <c r="W448" s="16" t="n">
        <f aca="false">MIN(CADASTRO_CASAS_BOMBA!$O$12,MAX(0,W447+CADASTRO_CASAS_BOMBA!$I$12*HORAS_CAPTACAO_DIA-V448))</f>
        <v>440000</v>
      </c>
      <c r="X448" s="16" t="n">
        <f aca="false">MAX(0,V448-CADASTRO_CASAS_BOMBA!$I$12*HORAS_CAPTACAO_DIA-W447)</f>
        <v>0</v>
      </c>
      <c r="Y448" s="16" t="n">
        <f aca="false">INDEX(AUX_MATRIZES!$C$15:$BP$15,MIN(N_SEMANAS,MAX(1,$C448)))/DIAS_POR_SEMANA</f>
        <v>0</v>
      </c>
      <c r="Z448" s="16" t="n">
        <f aca="false">MIN(CADASTRO_CASAS_BOMBA!$O$13,MAX(0,Z447+CADASTRO_CASAS_BOMBA!$I$13*HORAS_CAPTACAO_DIA-Y448))</f>
        <v>74903</v>
      </c>
      <c r="AA448" s="16" t="n">
        <f aca="false">MAX(0,Y448-CADASTRO_CASAS_BOMBA!$I$13*HORAS_CAPTACAO_DIA-Z447)</f>
        <v>0</v>
      </c>
    </row>
    <row r="449" customFormat="false" ht="15" hidden="false" customHeight="false" outlineLevel="0" collapsed="false">
      <c r="B449" s="17" t="n">
        <f aca="false">DATA_INICIO_SAFRA+442</f>
        <v>46707</v>
      </c>
      <c r="C449" s="16" t="n">
        <f aca="false">MIN(N_SEMANAS,MAX(1,INT(($B449-DATA_INICIO_SAFRA)/DIAS_POR_SEMANA)+1))</f>
        <v>64</v>
      </c>
      <c r="D449" s="16" t="n">
        <f aca="false">INDEX(AUX_MATRIZES!$C$8:$BP$8,MIN(N_SEMANAS,MAX(1,$C449)))/DIAS_POR_SEMANA</f>
        <v>0</v>
      </c>
      <c r="E449" s="16" t="n">
        <f aca="false">MIN(CADASTRO_CASAS_BOMBA!$O$6,MAX(0,E448+CADASTRO_CASAS_BOMBA!$I$6*HORAS_CAPTACAO_DIA-D449))</f>
        <v>2600</v>
      </c>
      <c r="F449" s="16" t="n">
        <f aca="false">MAX(0,D449-CADASTRO_CASAS_BOMBA!$I$6*HORAS_CAPTACAO_DIA-E448)</f>
        <v>0</v>
      </c>
      <c r="G449" s="16" t="n">
        <f aca="false">INDEX(AUX_MATRIZES!$C$9:$BP$9,MIN(N_SEMANAS,MAX(1,$C449)))/DIAS_POR_SEMANA</f>
        <v>0</v>
      </c>
      <c r="H449" s="16" t="n">
        <f aca="false">MIN(CADASTRO_CASAS_BOMBA!$O$7,MAX(0,H448+CADASTRO_CASAS_BOMBA!$I$7*HORAS_CAPTACAO_DIA-G449))</f>
        <v>76648</v>
      </c>
      <c r="I449" s="16" t="n">
        <f aca="false">MAX(0,G449-CADASTRO_CASAS_BOMBA!$I$7*HORAS_CAPTACAO_DIA-H448)</f>
        <v>0</v>
      </c>
      <c r="J449" s="16" t="n">
        <f aca="false">INDEX(AUX_MATRIZES!$C$10:$BP$10,MIN(N_SEMANAS,MAX(1,$C449)))/DIAS_POR_SEMANA</f>
        <v>0</v>
      </c>
      <c r="K449" s="16" t="n">
        <f aca="false">MIN(CADASTRO_CASAS_BOMBA!$O$8,MAX(0,K448+CADASTRO_CASAS_BOMBA!$I$8*HORAS_CAPTACAO_DIA-J449))</f>
        <v>27377</v>
      </c>
      <c r="L449" s="16" t="n">
        <f aca="false">MAX(0,J449-CADASTRO_CASAS_BOMBA!$I$8*HORAS_CAPTACAO_DIA-K448)</f>
        <v>0</v>
      </c>
      <c r="M449" s="16" t="n">
        <f aca="false">INDEX(AUX_MATRIZES!$C$11:$BP$11,MIN(N_SEMANAS,MAX(1,$C449)))/DIAS_POR_SEMANA</f>
        <v>0</v>
      </c>
      <c r="N449" s="16" t="n">
        <f aca="false">MIN(CADASTRO_CASAS_BOMBA!$O$9,MAX(0,N448+CADASTRO_CASAS_BOMBA!$I$9*HORAS_CAPTACAO_DIA-M449))</f>
        <v>129000</v>
      </c>
      <c r="O449" s="16" t="n">
        <f aca="false">MAX(0,M449-CADASTRO_CASAS_BOMBA!$I$9*HORAS_CAPTACAO_DIA-N448)</f>
        <v>0</v>
      </c>
      <c r="P449" s="16" t="n">
        <f aca="false">INDEX(AUX_MATRIZES!$C$12:$BP$12,MIN(N_SEMANAS,MAX(1,$C449)))/DIAS_POR_SEMANA</f>
        <v>0</v>
      </c>
      <c r="Q449" s="16" t="n">
        <f aca="false">MIN(CADASTRO_CASAS_BOMBA!$O$10,MAX(0,Q448+CADASTRO_CASAS_BOMBA!$I$10*HORAS_CAPTACAO_DIA-P449))</f>
        <v>293939.614701826</v>
      </c>
      <c r="R449" s="16" t="n">
        <f aca="false">MAX(0,P449-CADASTRO_CASAS_BOMBA!$I$10*HORAS_CAPTACAO_DIA-Q448)</f>
        <v>0</v>
      </c>
      <c r="S449" s="16" t="n">
        <f aca="false">INDEX(AUX_MATRIZES!$C$13:$BP$13,MIN(N_SEMANAS,MAX(1,$C449)))/DIAS_POR_SEMANA</f>
        <v>0</v>
      </c>
      <c r="T449" s="16" t="n">
        <f aca="false">MIN(CADASTRO_CASAS_BOMBA!$O$11,MAX(0,T448+CADASTRO_CASAS_BOMBA!$I$11*HORAS_CAPTACAO_DIA-S449))</f>
        <v>469821</v>
      </c>
      <c r="U449" s="16" t="n">
        <f aca="false">MAX(0,S449-CADASTRO_CASAS_BOMBA!$I$11*HORAS_CAPTACAO_DIA-T448)</f>
        <v>0</v>
      </c>
      <c r="V449" s="16" t="n">
        <f aca="false">INDEX(AUX_MATRIZES!$C$14:$BP$14,MIN(N_SEMANAS,MAX(1,$C449)))/DIAS_POR_SEMANA</f>
        <v>0</v>
      </c>
      <c r="W449" s="16" t="n">
        <f aca="false">MIN(CADASTRO_CASAS_BOMBA!$O$12,MAX(0,W448+CADASTRO_CASAS_BOMBA!$I$12*HORAS_CAPTACAO_DIA-V449))</f>
        <v>440000</v>
      </c>
      <c r="X449" s="16" t="n">
        <f aca="false">MAX(0,V449-CADASTRO_CASAS_BOMBA!$I$12*HORAS_CAPTACAO_DIA-W448)</f>
        <v>0</v>
      </c>
      <c r="Y449" s="16" t="n">
        <f aca="false">INDEX(AUX_MATRIZES!$C$15:$BP$15,MIN(N_SEMANAS,MAX(1,$C449)))/DIAS_POR_SEMANA</f>
        <v>0</v>
      </c>
      <c r="Z449" s="16" t="n">
        <f aca="false">MIN(CADASTRO_CASAS_BOMBA!$O$13,MAX(0,Z448+CADASTRO_CASAS_BOMBA!$I$13*HORAS_CAPTACAO_DIA-Y449))</f>
        <v>74903</v>
      </c>
      <c r="AA449" s="16" t="n">
        <f aca="false">MAX(0,Y449-CADASTRO_CASAS_BOMBA!$I$13*HORAS_CAPTACAO_DIA-Z448)</f>
        <v>0</v>
      </c>
    </row>
    <row r="450" customFormat="false" ht="15" hidden="false" customHeight="false" outlineLevel="0" collapsed="false">
      <c r="B450" s="17" t="n">
        <f aca="false">DATA_INICIO_SAFRA+443</f>
        <v>46708</v>
      </c>
      <c r="C450" s="16" t="n">
        <f aca="false">MIN(N_SEMANAS,MAX(1,INT(($B450-DATA_INICIO_SAFRA)/DIAS_POR_SEMANA)+1))</f>
        <v>64</v>
      </c>
      <c r="D450" s="16" t="n">
        <f aca="false">INDEX(AUX_MATRIZES!$C$8:$BP$8,MIN(N_SEMANAS,MAX(1,$C450)))/DIAS_POR_SEMANA</f>
        <v>0</v>
      </c>
      <c r="E450" s="16" t="n">
        <f aca="false">MIN(CADASTRO_CASAS_BOMBA!$O$6,MAX(0,E449+CADASTRO_CASAS_BOMBA!$I$6*HORAS_CAPTACAO_DIA-D450))</f>
        <v>2600</v>
      </c>
      <c r="F450" s="16" t="n">
        <f aca="false">MAX(0,D450-CADASTRO_CASAS_BOMBA!$I$6*HORAS_CAPTACAO_DIA-E449)</f>
        <v>0</v>
      </c>
      <c r="G450" s="16" t="n">
        <f aca="false">INDEX(AUX_MATRIZES!$C$9:$BP$9,MIN(N_SEMANAS,MAX(1,$C450)))/DIAS_POR_SEMANA</f>
        <v>0</v>
      </c>
      <c r="H450" s="16" t="n">
        <f aca="false">MIN(CADASTRO_CASAS_BOMBA!$O$7,MAX(0,H449+CADASTRO_CASAS_BOMBA!$I$7*HORAS_CAPTACAO_DIA-G450))</f>
        <v>76648</v>
      </c>
      <c r="I450" s="16" t="n">
        <f aca="false">MAX(0,G450-CADASTRO_CASAS_BOMBA!$I$7*HORAS_CAPTACAO_DIA-H449)</f>
        <v>0</v>
      </c>
      <c r="J450" s="16" t="n">
        <f aca="false">INDEX(AUX_MATRIZES!$C$10:$BP$10,MIN(N_SEMANAS,MAX(1,$C450)))/DIAS_POR_SEMANA</f>
        <v>0</v>
      </c>
      <c r="K450" s="16" t="n">
        <f aca="false">MIN(CADASTRO_CASAS_BOMBA!$O$8,MAX(0,K449+CADASTRO_CASAS_BOMBA!$I$8*HORAS_CAPTACAO_DIA-J450))</f>
        <v>27377</v>
      </c>
      <c r="L450" s="16" t="n">
        <f aca="false">MAX(0,J450-CADASTRO_CASAS_BOMBA!$I$8*HORAS_CAPTACAO_DIA-K449)</f>
        <v>0</v>
      </c>
      <c r="M450" s="16" t="n">
        <f aca="false">INDEX(AUX_MATRIZES!$C$11:$BP$11,MIN(N_SEMANAS,MAX(1,$C450)))/DIAS_POR_SEMANA</f>
        <v>0</v>
      </c>
      <c r="N450" s="16" t="n">
        <f aca="false">MIN(CADASTRO_CASAS_BOMBA!$O$9,MAX(0,N449+CADASTRO_CASAS_BOMBA!$I$9*HORAS_CAPTACAO_DIA-M450))</f>
        <v>129000</v>
      </c>
      <c r="O450" s="16" t="n">
        <f aca="false">MAX(0,M450-CADASTRO_CASAS_BOMBA!$I$9*HORAS_CAPTACAO_DIA-N449)</f>
        <v>0</v>
      </c>
      <c r="P450" s="16" t="n">
        <f aca="false">INDEX(AUX_MATRIZES!$C$12:$BP$12,MIN(N_SEMANAS,MAX(1,$C450)))/DIAS_POR_SEMANA</f>
        <v>0</v>
      </c>
      <c r="Q450" s="16" t="n">
        <f aca="false">MIN(CADASTRO_CASAS_BOMBA!$O$10,MAX(0,Q449+CADASTRO_CASAS_BOMBA!$I$10*HORAS_CAPTACAO_DIA-P450))</f>
        <v>307022.014701826</v>
      </c>
      <c r="R450" s="16" t="n">
        <f aca="false">MAX(0,P450-CADASTRO_CASAS_BOMBA!$I$10*HORAS_CAPTACAO_DIA-Q449)</f>
        <v>0</v>
      </c>
      <c r="S450" s="16" t="n">
        <f aca="false">INDEX(AUX_MATRIZES!$C$13:$BP$13,MIN(N_SEMANAS,MAX(1,$C450)))/DIAS_POR_SEMANA</f>
        <v>0</v>
      </c>
      <c r="T450" s="16" t="n">
        <f aca="false">MIN(CADASTRO_CASAS_BOMBA!$O$11,MAX(0,T449+CADASTRO_CASAS_BOMBA!$I$11*HORAS_CAPTACAO_DIA-S450))</f>
        <v>469821</v>
      </c>
      <c r="U450" s="16" t="n">
        <f aca="false">MAX(0,S450-CADASTRO_CASAS_BOMBA!$I$11*HORAS_CAPTACAO_DIA-T449)</f>
        <v>0</v>
      </c>
      <c r="V450" s="16" t="n">
        <f aca="false">INDEX(AUX_MATRIZES!$C$14:$BP$14,MIN(N_SEMANAS,MAX(1,$C450)))/DIAS_POR_SEMANA</f>
        <v>0</v>
      </c>
      <c r="W450" s="16" t="n">
        <f aca="false">MIN(CADASTRO_CASAS_BOMBA!$O$12,MAX(0,W449+CADASTRO_CASAS_BOMBA!$I$12*HORAS_CAPTACAO_DIA-V450))</f>
        <v>440000</v>
      </c>
      <c r="X450" s="16" t="n">
        <f aca="false">MAX(0,V450-CADASTRO_CASAS_BOMBA!$I$12*HORAS_CAPTACAO_DIA-W449)</f>
        <v>0</v>
      </c>
      <c r="Y450" s="16" t="n">
        <f aca="false">INDEX(AUX_MATRIZES!$C$15:$BP$15,MIN(N_SEMANAS,MAX(1,$C450)))/DIAS_POR_SEMANA</f>
        <v>0</v>
      </c>
      <c r="Z450" s="16" t="n">
        <f aca="false">MIN(CADASTRO_CASAS_BOMBA!$O$13,MAX(0,Z449+CADASTRO_CASAS_BOMBA!$I$13*HORAS_CAPTACAO_DIA-Y450))</f>
        <v>74903</v>
      </c>
      <c r="AA450" s="16" t="n">
        <f aca="false">MAX(0,Y450-CADASTRO_CASAS_BOMBA!$I$13*HORAS_CAPTACAO_DIA-Z449)</f>
        <v>0</v>
      </c>
    </row>
    <row r="451" customFormat="false" ht="15" hidden="false" customHeight="false" outlineLevel="0" collapsed="false">
      <c r="B451" s="17" t="n">
        <f aca="false">DATA_INICIO_SAFRA+444</f>
        <v>46709</v>
      </c>
      <c r="C451" s="16" t="n">
        <f aca="false">MIN(N_SEMANAS,MAX(1,INT(($B451-DATA_INICIO_SAFRA)/DIAS_POR_SEMANA)+1))</f>
        <v>64</v>
      </c>
      <c r="D451" s="16" t="n">
        <f aca="false">INDEX(AUX_MATRIZES!$C$8:$BP$8,MIN(N_SEMANAS,MAX(1,$C451)))/DIAS_POR_SEMANA</f>
        <v>0</v>
      </c>
      <c r="E451" s="16" t="n">
        <f aca="false">MIN(CADASTRO_CASAS_BOMBA!$O$6,MAX(0,E450+CADASTRO_CASAS_BOMBA!$I$6*HORAS_CAPTACAO_DIA-D451))</f>
        <v>2600</v>
      </c>
      <c r="F451" s="16" t="n">
        <f aca="false">MAX(0,D451-CADASTRO_CASAS_BOMBA!$I$6*HORAS_CAPTACAO_DIA-E450)</f>
        <v>0</v>
      </c>
      <c r="G451" s="16" t="n">
        <f aca="false">INDEX(AUX_MATRIZES!$C$9:$BP$9,MIN(N_SEMANAS,MAX(1,$C451)))/DIAS_POR_SEMANA</f>
        <v>0</v>
      </c>
      <c r="H451" s="16" t="n">
        <f aca="false">MIN(CADASTRO_CASAS_BOMBA!$O$7,MAX(0,H450+CADASTRO_CASAS_BOMBA!$I$7*HORAS_CAPTACAO_DIA-G451))</f>
        <v>76648</v>
      </c>
      <c r="I451" s="16" t="n">
        <f aca="false">MAX(0,G451-CADASTRO_CASAS_BOMBA!$I$7*HORAS_CAPTACAO_DIA-H450)</f>
        <v>0</v>
      </c>
      <c r="J451" s="16" t="n">
        <f aca="false">INDEX(AUX_MATRIZES!$C$10:$BP$10,MIN(N_SEMANAS,MAX(1,$C451)))/DIAS_POR_SEMANA</f>
        <v>0</v>
      </c>
      <c r="K451" s="16" t="n">
        <f aca="false">MIN(CADASTRO_CASAS_BOMBA!$O$8,MAX(0,K450+CADASTRO_CASAS_BOMBA!$I$8*HORAS_CAPTACAO_DIA-J451))</f>
        <v>27377</v>
      </c>
      <c r="L451" s="16" t="n">
        <f aca="false">MAX(0,J451-CADASTRO_CASAS_BOMBA!$I$8*HORAS_CAPTACAO_DIA-K450)</f>
        <v>0</v>
      </c>
      <c r="M451" s="16" t="n">
        <f aca="false">INDEX(AUX_MATRIZES!$C$11:$BP$11,MIN(N_SEMANAS,MAX(1,$C451)))/DIAS_POR_SEMANA</f>
        <v>0</v>
      </c>
      <c r="N451" s="16" t="n">
        <f aca="false">MIN(CADASTRO_CASAS_BOMBA!$O$9,MAX(0,N450+CADASTRO_CASAS_BOMBA!$I$9*HORAS_CAPTACAO_DIA-M451))</f>
        <v>129000</v>
      </c>
      <c r="O451" s="16" t="n">
        <f aca="false">MAX(0,M451-CADASTRO_CASAS_BOMBA!$I$9*HORAS_CAPTACAO_DIA-N450)</f>
        <v>0</v>
      </c>
      <c r="P451" s="16" t="n">
        <f aca="false">INDEX(AUX_MATRIZES!$C$12:$BP$12,MIN(N_SEMANAS,MAX(1,$C451)))/DIAS_POR_SEMANA</f>
        <v>0</v>
      </c>
      <c r="Q451" s="16" t="n">
        <f aca="false">MIN(CADASTRO_CASAS_BOMBA!$O$10,MAX(0,Q450+CADASTRO_CASAS_BOMBA!$I$10*HORAS_CAPTACAO_DIA-P451))</f>
        <v>320104.414701826</v>
      </c>
      <c r="R451" s="16" t="n">
        <f aca="false">MAX(0,P451-CADASTRO_CASAS_BOMBA!$I$10*HORAS_CAPTACAO_DIA-Q450)</f>
        <v>0</v>
      </c>
      <c r="S451" s="16" t="n">
        <f aca="false">INDEX(AUX_MATRIZES!$C$13:$BP$13,MIN(N_SEMANAS,MAX(1,$C451)))/DIAS_POR_SEMANA</f>
        <v>0</v>
      </c>
      <c r="T451" s="16" t="n">
        <f aca="false">MIN(CADASTRO_CASAS_BOMBA!$O$11,MAX(0,T450+CADASTRO_CASAS_BOMBA!$I$11*HORAS_CAPTACAO_DIA-S451))</f>
        <v>469821</v>
      </c>
      <c r="U451" s="16" t="n">
        <f aca="false">MAX(0,S451-CADASTRO_CASAS_BOMBA!$I$11*HORAS_CAPTACAO_DIA-T450)</f>
        <v>0</v>
      </c>
      <c r="V451" s="16" t="n">
        <f aca="false">INDEX(AUX_MATRIZES!$C$14:$BP$14,MIN(N_SEMANAS,MAX(1,$C451)))/DIAS_POR_SEMANA</f>
        <v>0</v>
      </c>
      <c r="W451" s="16" t="n">
        <f aca="false">MIN(CADASTRO_CASAS_BOMBA!$O$12,MAX(0,W450+CADASTRO_CASAS_BOMBA!$I$12*HORAS_CAPTACAO_DIA-V451))</f>
        <v>440000</v>
      </c>
      <c r="X451" s="16" t="n">
        <f aca="false">MAX(0,V451-CADASTRO_CASAS_BOMBA!$I$12*HORAS_CAPTACAO_DIA-W450)</f>
        <v>0</v>
      </c>
      <c r="Y451" s="16" t="n">
        <f aca="false">INDEX(AUX_MATRIZES!$C$15:$BP$15,MIN(N_SEMANAS,MAX(1,$C451)))/DIAS_POR_SEMANA</f>
        <v>0</v>
      </c>
      <c r="Z451" s="16" t="n">
        <f aca="false">MIN(CADASTRO_CASAS_BOMBA!$O$13,MAX(0,Z450+CADASTRO_CASAS_BOMBA!$I$13*HORAS_CAPTACAO_DIA-Y451))</f>
        <v>74903</v>
      </c>
      <c r="AA451" s="16" t="n">
        <f aca="false">MAX(0,Y451-CADASTRO_CASAS_BOMBA!$I$13*HORAS_CAPTACAO_DIA-Z450)</f>
        <v>0</v>
      </c>
    </row>
    <row r="452" customFormat="false" ht="15" hidden="false" customHeight="false" outlineLevel="0" collapsed="false">
      <c r="B452" s="17" t="n">
        <f aca="false">DATA_INICIO_SAFRA+445</f>
        <v>46710</v>
      </c>
      <c r="C452" s="16" t="n">
        <f aca="false">MIN(N_SEMANAS,MAX(1,INT(($B452-DATA_INICIO_SAFRA)/DIAS_POR_SEMANA)+1))</f>
        <v>64</v>
      </c>
      <c r="D452" s="16" t="n">
        <f aca="false">INDEX(AUX_MATRIZES!$C$8:$BP$8,MIN(N_SEMANAS,MAX(1,$C452)))/DIAS_POR_SEMANA</f>
        <v>0</v>
      </c>
      <c r="E452" s="16" t="n">
        <f aca="false">MIN(CADASTRO_CASAS_BOMBA!$O$6,MAX(0,E451+CADASTRO_CASAS_BOMBA!$I$6*HORAS_CAPTACAO_DIA-D452))</f>
        <v>2600</v>
      </c>
      <c r="F452" s="16" t="n">
        <f aca="false">MAX(0,D452-CADASTRO_CASAS_BOMBA!$I$6*HORAS_CAPTACAO_DIA-E451)</f>
        <v>0</v>
      </c>
      <c r="G452" s="16" t="n">
        <f aca="false">INDEX(AUX_MATRIZES!$C$9:$BP$9,MIN(N_SEMANAS,MAX(1,$C452)))/DIAS_POR_SEMANA</f>
        <v>0</v>
      </c>
      <c r="H452" s="16" t="n">
        <f aca="false">MIN(CADASTRO_CASAS_BOMBA!$O$7,MAX(0,H451+CADASTRO_CASAS_BOMBA!$I$7*HORAS_CAPTACAO_DIA-G452))</f>
        <v>76648</v>
      </c>
      <c r="I452" s="16" t="n">
        <f aca="false">MAX(0,G452-CADASTRO_CASAS_BOMBA!$I$7*HORAS_CAPTACAO_DIA-H451)</f>
        <v>0</v>
      </c>
      <c r="J452" s="16" t="n">
        <f aca="false">INDEX(AUX_MATRIZES!$C$10:$BP$10,MIN(N_SEMANAS,MAX(1,$C452)))/DIAS_POR_SEMANA</f>
        <v>0</v>
      </c>
      <c r="K452" s="16" t="n">
        <f aca="false">MIN(CADASTRO_CASAS_BOMBA!$O$8,MAX(0,K451+CADASTRO_CASAS_BOMBA!$I$8*HORAS_CAPTACAO_DIA-J452))</f>
        <v>27377</v>
      </c>
      <c r="L452" s="16" t="n">
        <f aca="false">MAX(0,J452-CADASTRO_CASAS_BOMBA!$I$8*HORAS_CAPTACAO_DIA-K451)</f>
        <v>0</v>
      </c>
      <c r="M452" s="16" t="n">
        <f aca="false">INDEX(AUX_MATRIZES!$C$11:$BP$11,MIN(N_SEMANAS,MAX(1,$C452)))/DIAS_POR_SEMANA</f>
        <v>0</v>
      </c>
      <c r="N452" s="16" t="n">
        <f aca="false">MIN(CADASTRO_CASAS_BOMBA!$O$9,MAX(0,N451+CADASTRO_CASAS_BOMBA!$I$9*HORAS_CAPTACAO_DIA-M452))</f>
        <v>129000</v>
      </c>
      <c r="O452" s="16" t="n">
        <f aca="false">MAX(0,M452-CADASTRO_CASAS_BOMBA!$I$9*HORAS_CAPTACAO_DIA-N451)</f>
        <v>0</v>
      </c>
      <c r="P452" s="16" t="n">
        <f aca="false">INDEX(AUX_MATRIZES!$C$12:$BP$12,MIN(N_SEMANAS,MAX(1,$C452)))/DIAS_POR_SEMANA</f>
        <v>0</v>
      </c>
      <c r="Q452" s="16" t="n">
        <f aca="false">MIN(CADASTRO_CASAS_BOMBA!$O$10,MAX(0,Q451+CADASTRO_CASAS_BOMBA!$I$10*HORAS_CAPTACAO_DIA-P452))</f>
        <v>333186.814701826</v>
      </c>
      <c r="R452" s="16" t="n">
        <f aca="false">MAX(0,P452-CADASTRO_CASAS_BOMBA!$I$10*HORAS_CAPTACAO_DIA-Q451)</f>
        <v>0</v>
      </c>
      <c r="S452" s="16" t="n">
        <f aca="false">INDEX(AUX_MATRIZES!$C$13:$BP$13,MIN(N_SEMANAS,MAX(1,$C452)))/DIAS_POR_SEMANA</f>
        <v>0</v>
      </c>
      <c r="T452" s="16" t="n">
        <f aca="false">MIN(CADASTRO_CASAS_BOMBA!$O$11,MAX(0,T451+CADASTRO_CASAS_BOMBA!$I$11*HORAS_CAPTACAO_DIA-S452))</f>
        <v>469821</v>
      </c>
      <c r="U452" s="16" t="n">
        <f aca="false">MAX(0,S452-CADASTRO_CASAS_BOMBA!$I$11*HORAS_CAPTACAO_DIA-T451)</f>
        <v>0</v>
      </c>
      <c r="V452" s="16" t="n">
        <f aca="false">INDEX(AUX_MATRIZES!$C$14:$BP$14,MIN(N_SEMANAS,MAX(1,$C452)))/DIAS_POR_SEMANA</f>
        <v>0</v>
      </c>
      <c r="W452" s="16" t="n">
        <f aca="false">MIN(CADASTRO_CASAS_BOMBA!$O$12,MAX(0,W451+CADASTRO_CASAS_BOMBA!$I$12*HORAS_CAPTACAO_DIA-V452))</f>
        <v>440000</v>
      </c>
      <c r="X452" s="16" t="n">
        <f aca="false">MAX(0,V452-CADASTRO_CASAS_BOMBA!$I$12*HORAS_CAPTACAO_DIA-W451)</f>
        <v>0</v>
      </c>
      <c r="Y452" s="16" t="n">
        <f aca="false">INDEX(AUX_MATRIZES!$C$15:$BP$15,MIN(N_SEMANAS,MAX(1,$C452)))/DIAS_POR_SEMANA</f>
        <v>0</v>
      </c>
      <c r="Z452" s="16" t="n">
        <f aca="false">MIN(CADASTRO_CASAS_BOMBA!$O$13,MAX(0,Z451+CADASTRO_CASAS_BOMBA!$I$13*HORAS_CAPTACAO_DIA-Y452))</f>
        <v>74903</v>
      </c>
      <c r="AA452" s="16" t="n">
        <f aca="false">MAX(0,Y452-CADASTRO_CASAS_BOMBA!$I$13*HORAS_CAPTACAO_DIA-Z451)</f>
        <v>0</v>
      </c>
    </row>
    <row r="453" customFormat="false" ht="15" hidden="false" customHeight="false" outlineLevel="0" collapsed="false">
      <c r="B453" s="17" t="n">
        <f aca="false">DATA_INICIO_SAFRA+446</f>
        <v>46711</v>
      </c>
      <c r="C453" s="16" t="n">
        <f aca="false">MIN(N_SEMANAS,MAX(1,INT(($B453-DATA_INICIO_SAFRA)/DIAS_POR_SEMANA)+1))</f>
        <v>64</v>
      </c>
      <c r="D453" s="16" t="n">
        <f aca="false">INDEX(AUX_MATRIZES!$C$8:$BP$8,MIN(N_SEMANAS,MAX(1,$C453)))/DIAS_POR_SEMANA</f>
        <v>0</v>
      </c>
      <c r="E453" s="16" t="n">
        <f aca="false">MIN(CADASTRO_CASAS_BOMBA!$O$6,MAX(0,E452+CADASTRO_CASAS_BOMBA!$I$6*HORAS_CAPTACAO_DIA-D453))</f>
        <v>2600</v>
      </c>
      <c r="F453" s="16" t="n">
        <f aca="false">MAX(0,D453-CADASTRO_CASAS_BOMBA!$I$6*HORAS_CAPTACAO_DIA-E452)</f>
        <v>0</v>
      </c>
      <c r="G453" s="16" t="n">
        <f aca="false">INDEX(AUX_MATRIZES!$C$9:$BP$9,MIN(N_SEMANAS,MAX(1,$C453)))/DIAS_POR_SEMANA</f>
        <v>0</v>
      </c>
      <c r="H453" s="16" t="n">
        <f aca="false">MIN(CADASTRO_CASAS_BOMBA!$O$7,MAX(0,H452+CADASTRO_CASAS_BOMBA!$I$7*HORAS_CAPTACAO_DIA-G453))</f>
        <v>76648</v>
      </c>
      <c r="I453" s="16" t="n">
        <f aca="false">MAX(0,G453-CADASTRO_CASAS_BOMBA!$I$7*HORAS_CAPTACAO_DIA-H452)</f>
        <v>0</v>
      </c>
      <c r="J453" s="16" t="n">
        <f aca="false">INDEX(AUX_MATRIZES!$C$10:$BP$10,MIN(N_SEMANAS,MAX(1,$C453)))/DIAS_POR_SEMANA</f>
        <v>0</v>
      </c>
      <c r="K453" s="16" t="n">
        <f aca="false">MIN(CADASTRO_CASAS_BOMBA!$O$8,MAX(0,K452+CADASTRO_CASAS_BOMBA!$I$8*HORAS_CAPTACAO_DIA-J453))</f>
        <v>27377</v>
      </c>
      <c r="L453" s="16" t="n">
        <f aca="false">MAX(0,J453-CADASTRO_CASAS_BOMBA!$I$8*HORAS_CAPTACAO_DIA-K452)</f>
        <v>0</v>
      </c>
      <c r="M453" s="16" t="n">
        <f aca="false">INDEX(AUX_MATRIZES!$C$11:$BP$11,MIN(N_SEMANAS,MAX(1,$C453)))/DIAS_POR_SEMANA</f>
        <v>0</v>
      </c>
      <c r="N453" s="16" t="n">
        <f aca="false">MIN(CADASTRO_CASAS_BOMBA!$O$9,MAX(0,N452+CADASTRO_CASAS_BOMBA!$I$9*HORAS_CAPTACAO_DIA-M453))</f>
        <v>129000</v>
      </c>
      <c r="O453" s="16" t="n">
        <f aca="false">MAX(0,M453-CADASTRO_CASAS_BOMBA!$I$9*HORAS_CAPTACAO_DIA-N452)</f>
        <v>0</v>
      </c>
      <c r="P453" s="16" t="n">
        <f aca="false">INDEX(AUX_MATRIZES!$C$12:$BP$12,MIN(N_SEMANAS,MAX(1,$C453)))/DIAS_POR_SEMANA</f>
        <v>0</v>
      </c>
      <c r="Q453" s="16" t="n">
        <f aca="false">MIN(CADASTRO_CASAS_BOMBA!$O$10,MAX(0,Q452+CADASTRO_CASAS_BOMBA!$I$10*HORAS_CAPTACAO_DIA-P453))</f>
        <v>346269.214701826</v>
      </c>
      <c r="R453" s="16" t="n">
        <f aca="false">MAX(0,P453-CADASTRO_CASAS_BOMBA!$I$10*HORAS_CAPTACAO_DIA-Q452)</f>
        <v>0</v>
      </c>
      <c r="S453" s="16" t="n">
        <f aca="false">INDEX(AUX_MATRIZES!$C$13:$BP$13,MIN(N_SEMANAS,MAX(1,$C453)))/DIAS_POR_SEMANA</f>
        <v>0</v>
      </c>
      <c r="T453" s="16" t="n">
        <f aca="false">MIN(CADASTRO_CASAS_BOMBA!$O$11,MAX(0,T452+CADASTRO_CASAS_BOMBA!$I$11*HORAS_CAPTACAO_DIA-S453))</f>
        <v>469821</v>
      </c>
      <c r="U453" s="16" t="n">
        <f aca="false">MAX(0,S453-CADASTRO_CASAS_BOMBA!$I$11*HORAS_CAPTACAO_DIA-T452)</f>
        <v>0</v>
      </c>
      <c r="V453" s="16" t="n">
        <f aca="false">INDEX(AUX_MATRIZES!$C$14:$BP$14,MIN(N_SEMANAS,MAX(1,$C453)))/DIAS_POR_SEMANA</f>
        <v>0</v>
      </c>
      <c r="W453" s="16" t="n">
        <f aca="false">MIN(CADASTRO_CASAS_BOMBA!$O$12,MAX(0,W452+CADASTRO_CASAS_BOMBA!$I$12*HORAS_CAPTACAO_DIA-V453))</f>
        <v>440000</v>
      </c>
      <c r="X453" s="16" t="n">
        <f aca="false">MAX(0,V453-CADASTRO_CASAS_BOMBA!$I$12*HORAS_CAPTACAO_DIA-W452)</f>
        <v>0</v>
      </c>
      <c r="Y453" s="16" t="n">
        <f aca="false">INDEX(AUX_MATRIZES!$C$15:$BP$15,MIN(N_SEMANAS,MAX(1,$C453)))/DIAS_POR_SEMANA</f>
        <v>0</v>
      </c>
      <c r="Z453" s="16" t="n">
        <f aca="false">MIN(CADASTRO_CASAS_BOMBA!$O$13,MAX(0,Z452+CADASTRO_CASAS_BOMBA!$I$13*HORAS_CAPTACAO_DIA-Y453))</f>
        <v>74903</v>
      </c>
      <c r="AA453" s="16" t="n">
        <f aca="false">MAX(0,Y453-CADASTRO_CASAS_BOMBA!$I$13*HORAS_CAPTACAO_DIA-Z452)</f>
        <v>0</v>
      </c>
    </row>
    <row r="454" customFormat="false" ht="15" hidden="false" customHeight="false" outlineLevel="0" collapsed="false">
      <c r="B454" s="17" t="n">
        <f aca="false">DATA_INICIO_SAFRA+447</f>
        <v>46712</v>
      </c>
      <c r="C454" s="16" t="n">
        <f aca="false">MIN(N_SEMANAS,MAX(1,INT(($B454-DATA_INICIO_SAFRA)/DIAS_POR_SEMANA)+1))</f>
        <v>64</v>
      </c>
      <c r="D454" s="16" t="n">
        <f aca="false">INDEX(AUX_MATRIZES!$C$8:$BP$8,MIN(N_SEMANAS,MAX(1,$C454)))/DIAS_POR_SEMANA</f>
        <v>0</v>
      </c>
      <c r="E454" s="16" t="n">
        <f aca="false">MIN(CADASTRO_CASAS_BOMBA!$O$6,MAX(0,E453+CADASTRO_CASAS_BOMBA!$I$6*HORAS_CAPTACAO_DIA-D454))</f>
        <v>2600</v>
      </c>
      <c r="F454" s="16" t="n">
        <f aca="false">MAX(0,D454-CADASTRO_CASAS_BOMBA!$I$6*HORAS_CAPTACAO_DIA-E453)</f>
        <v>0</v>
      </c>
      <c r="G454" s="16" t="n">
        <f aca="false">INDEX(AUX_MATRIZES!$C$9:$BP$9,MIN(N_SEMANAS,MAX(1,$C454)))/DIAS_POR_SEMANA</f>
        <v>0</v>
      </c>
      <c r="H454" s="16" t="n">
        <f aca="false">MIN(CADASTRO_CASAS_BOMBA!$O$7,MAX(0,H453+CADASTRO_CASAS_BOMBA!$I$7*HORAS_CAPTACAO_DIA-G454))</f>
        <v>76648</v>
      </c>
      <c r="I454" s="16" t="n">
        <f aca="false">MAX(0,G454-CADASTRO_CASAS_BOMBA!$I$7*HORAS_CAPTACAO_DIA-H453)</f>
        <v>0</v>
      </c>
      <c r="J454" s="16" t="n">
        <f aca="false">INDEX(AUX_MATRIZES!$C$10:$BP$10,MIN(N_SEMANAS,MAX(1,$C454)))/DIAS_POR_SEMANA</f>
        <v>0</v>
      </c>
      <c r="K454" s="16" t="n">
        <f aca="false">MIN(CADASTRO_CASAS_BOMBA!$O$8,MAX(0,K453+CADASTRO_CASAS_BOMBA!$I$8*HORAS_CAPTACAO_DIA-J454))</f>
        <v>27377</v>
      </c>
      <c r="L454" s="16" t="n">
        <f aca="false">MAX(0,J454-CADASTRO_CASAS_BOMBA!$I$8*HORAS_CAPTACAO_DIA-K453)</f>
        <v>0</v>
      </c>
      <c r="M454" s="16" t="n">
        <f aca="false">INDEX(AUX_MATRIZES!$C$11:$BP$11,MIN(N_SEMANAS,MAX(1,$C454)))/DIAS_POR_SEMANA</f>
        <v>0</v>
      </c>
      <c r="N454" s="16" t="n">
        <f aca="false">MIN(CADASTRO_CASAS_BOMBA!$O$9,MAX(0,N453+CADASTRO_CASAS_BOMBA!$I$9*HORAS_CAPTACAO_DIA-M454))</f>
        <v>129000</v>
      </c>
      <c r="O454" s="16" t="n">
        <f aca="false">MAX(0,M454-CADASTRO_CASAS_BOMBA!$I$9*HORAS_CAPTACAO_DIA-N453)</f>
        <v>0</v>
      </c>
      <c r="P454" s="16" t="n">
        <f aca="false">INDEX(AUX_MATRIZES!$C$12:$BP$12,MIN(N_SEMANAS,MAX(1,$C454)))/DIAS_POR_SEMANA</f>
        <v>0</v>
      </c>
      <c r="Q454" s="16" t="n">
        <f aca="false">MIN(CADASTRO_CASAS_BOMBA!$O$10,MAX(0,Q453+CADASTRO_CASAS_BOMBA!$I$10*HORAS_CAPTACAO_DIA-P454))</f>
        <v>359351.614701826</v>
      </c>
      <c r="R454" s="16" t="n">
        <f aca="false">MAX(0,P454-CADASTRO_CASAS_BOMBA!$I$10*HORAS_CAPTACAO_DIA-Q453)</f>
        <v>0</v>
      </c>
      <c r="S454" s="16" t="n">
        <f aca="false">INDEX(AUX_MATRIZES!$C$13:$BP$13,MIN(N_SEMANAS,MAX(1,$C454)))/DIAS_POR_SEMANA</f>
        <v>0</v>
      </c>
      <c r="T454" s="16" t="n">
        <f aca="false">MIN(CADASTRO_CASAS_BOMBA!$O$11,MAX(0,T453+CADASTRO_CASAS_BOMBA!$I$11*HORAS_CAPTACAO_DIA-S454))</f>
        <v>469821</v>
      </c>
      <c r="U454" s="16" t="n">
        <f aca="false">MAX(0,S454-CADASTRO_CASAS_BOMBA!$I$11*HORAS_CAPTACAO_DIA-T453)</f>
        <v>0</v>
      </c>
      <c r="V454" s="16" t="n">
        <f aca="false">INDEX(AUX_MATRIZES!$C$14:$BP$14,MIN(N_SEMANAS,MAX(1,$C454)))/DIAS_POR_SEMANA</f>
        <v>0</v>
      </c>
      <c r="W454" s="16" t="n">
        <f aca="false">MIN(CADASTRO_CASAS_BOMBA!$O$12,MAX(0,W453+CADASTRO_CASAS_BOMBA!$I$12*HORAS_CAPTACAO_DIA-V454))</f>
        <v>440000</v>
      </c>
      <c r="X454" s="16" t="n">
        <f aca="false">MAX(0,V454-CADASTRO_CASAS_BOMBA!$I$12*HORAS_CAPTACAO_DIA-W453)</f>
        <v>0</v>
      </c>
      <c r="Y454" s="16" t="n">
        <f aca="false">INDEX(AUX_MATRIZES!$C$15:$BP$15,MIN(N_SEMANAS,MAX(1,$C454)))/DIAS_POR_SEMANA</f>
        <v>0</v>
      </c>
      <c r="Z454" s="16" t="n">
        <f aca="false">MIN(CADASTRO_CASAS_BOMBA!$O$13,MAX(0,Z453+CADASTRO_CASAS_BOMBA!$I$13*HORAS_CAPTACAO_DIA-Y454))</f>
        <v>74903</v>
      </c>
      <c r="AA454" s="16" t="n">
        <f aca="false">MAX(0,Y454-CADASTRO_CASAS_BOMBA!$I$13*HORAS_CAPTACAO_DIA-Z453)</f>
        <v>0</v>
      </c>
    </row>
    <row r="455" customFormat="false" ht="15" hidden="false" customHeight="false" outlineLevel="0" collapsed="false">
      <c r="B455" s="17" t="n">
        <f aca="false">DATA_INICIO_SAFRA+448</f>
        <v>46713</v>
      </c>
      <c r="C455" s="16" t="n">
        <f aca="false">MIN(N_SEMANAS,MAX(1,INT(($B455-DATA_INICIO_SAFRA)/DIAS_POR_SEMANA)+1))</f>
        <v>65</v>
      </c>
      <c r="D455" s="16" t="n">
        <f aca="false">INDEX(AUX_MATRIZES!$C$8:$BP$8,MIN(N_SEMANAS,MAX(1,$C455)))/DIAS_POR_SEMANA</f>
        <v>0</v>
      </c>
      <c r="E455" s="16" t="n">
        <f aca="false">MIN(CADASTRO_CASAS_BOMBA!$O$6,MAX(0,E454+CADASTRO_CASAS_BOMBA!$I$6*HORAS_CAPTACAO_DIA-D455))</f>
        <v>2600</v>
      </c>
      <c r="F455" s="16" t="n">
        <f aca="false">MAX(0,D455-CADASTRO_CASAS_BOMBA!$I$6*HORAS_CAPTACAO_DIA-E454)</f>
        <v>0</v>
      </c>
      <c r="G455" s="16" t="n">
        <f aca="false">INDEX(AUX_MATRIZES!$C$9:$BP$9,MIN(N_SEMANAS,MAX(1,$C455)))/DIAS_POR_SEMANA</f>
        <v>0</v>
      </c>
      <c r="H455" s="16" t="n">
        <f aca="false">MIN(CADASTRO_CASAS_BOMBA!$O$7,MAX(0,H454+CADASTRO_CASAS_BOMBA!$I$7*HORAS_CAPTACAO_DIA-G455))</f>
        <v>76648</v>
      </c>
      <c r="I455" s="16" t="n">
        <f aca="false">MAX(0,G455-CADASTRO_CASAS_BOMBA!$I$7*HORAS_CAPTACAO_DIA-H454)</f>
        <v>0</v>
      </c>
      <c r="J455" s="16" t="n">
        <f aca="false">INDEX(AUX_MATRIZES!$C$10:$BP$10,MIN(N_SEMANAS,MAX(1,$C455)))/DIAS_POR_SEMANA</f>
        <v>0</v>
      </c>
      <c r="K455" s="16" t="n">
        <f aca="false">MIN(CADASTRO_CASAS_BOMBA!$O$8,MAX(0,K454+CADASTRO_CASAS_BOMBA!$I$8*HORAS_CAPTACAO_DIA-J455))</f>
        <v>27377</v>
      </c>
      <c r="L455" s="16" t="n">
        <f aca="false">MAX(0,J455-CADASTRO_CASAS_BOMBA!$I$8*HORAS_CAPTACAO_DIA-K454)</f>
        <v>0</v>
      </c>
      <c r="M455" s="16" t="n">
        <f aca="false">INDEX(AUX_MATRIZES!$C$11:$BP$11,MIN(N_SEMANAS,MAX(1,$C455)))/DIAS_POR_SEMANA</f>
        <v>0</v>
      </c>
      <c r="N455" s="16" t="n">
        <f aca="false">MIN(CADASTRO_CASAS_BOMBA!$O$9,MAX(0,N454+CADASTRO_CASAS_BOMBA!$I$9*HORAS_CAPTACAO_DIA-M455))</f>
        <v>129000</v>
      </c>
      <c r="O455" s="16" t="n">
        <f aca="false">MAX(0,M455-CADASTRO_CASAS_BOMBA!$I$9*HORAS_CAPTACAO_DIA-N454)</f>
        <v>0</v>
      </c>
      <c r="P455" s="16" t="n">
        <f aca="false">INDEX(AUX_MATRIZES!$C$12:$BP$12,MIN(N_SEMANAS,MAX(1,$C455)))/DIAS_POR_SEMANA</f>
        <v>0</v>
      </c>
      <c r="Q455" s="16" t="n">
        <f aca="false">MIN(CADASTRO_CASAS_BOMBA!$O$10,MAX(0,Q454+CADASTRO_CASAS_BOMBA!$I$10*HORAS_CAPTACAO_DIA-P455))</f>
        <v>372434.014701826</v>
      </c>
      <c r="R455" s="16" t="n">
        <f aca="false">MAX(0,P455-CADASTRO_CASAS_BOMBA!$I$10*HORAS_CAPTACAO_DIA-Q454)</f>
        <v>0</v>
      </c>
      <c r="S455" s="16" t="n">
        <f aca="false">INDEX(AUX_MATRIZES!$C$13:$BP$13,MIN(N_SEMANAS,MAX(1,$C455)))/DIAS_POR_SEMANA</f>
        <v>0</v>
      </c>
      <c r="T455" s="16" t="n">
        <f aca="false">MIN(CADASTRO_CASAS_BOMBA!$O$11,MAX(0,T454+CADASTRO_CASAS_BOMBA!$I$11*HORAS_CAPTACAO_DIA-S455))</f>
        <v>469821</v>
      </c>
      <c r="U455" s="16" t="n">
        <f aca="false">MAX(0,S455-CADASTRO_CASAS_BOMBA!$I$11*HORAS_CAPTACAO_DIA-T454)</f>
        <v>0</v>
      </c>
      <c r="V455" s="16" t="n">
        <f aca="false">INDEX(AUX_MATRIZES!$C$14:$BP$14,MIN(N_SEMANAS,MAX(1,$C455)))/DIAS_POR_SEMANA</f>
        <v>0</v>
      </c>
      <c r="W455" s="16" t="n">
        <f aca="false">MIN(CADASTRO_CASAS_BOMBA!$O$12,MAX(0,W454+CADASTRO_CASAS_BOMBA!$I$12*HORAS_CAPTACAO_DIA-V455))</f>
        <v>440000</v>
      </c>
      <c r="X455" s="16" t="n">
        <f aca="false">MAX(0,V455-CADASTRO_CASAS_BOMBA!$I$12*HORAS_CAPTACAO_DIA-W454)</f>
        <v>0</v>
      </c>
      <c r="Y455" s="16" t="n">
        <f aca="false">INDEX(AUX_MATRIZES!$C$15:$BP$15,MIN(N_SEMANAS,MAX(1,$C455)))/DIAS_POR_SEMANA</f>
        <v>0</v>
      </c>
      <c r="Z455" s="16" t="n">
        <f aca="false">MIN(CADASTRO_CASAS_BOMBA!$O$13,MAX(0,Z454+CADASTRO_CASAS_BOMBA!$I$13*HORAS_CAPTACAO_DIA-Y455))</f>
        <v>74903</v>
      </c>
      <c r="AA455" s="16" t="n">
        <f aca="false">MAX(0,Y455-CADASTRO_CASAS_BOMBA!$I$13*HORAS_CAPTACAO_DIA-Z454)</f>
        <v>0</v>
      </c>
    </row>
    <row r="456" customFormat="false" ht="15" hidden="false" customHeight="false" outlineLevel="0" collapsed="false">
      <c r="B456" s="17" t="n">
        <f aca="false">DATA_INICIO_SAFRA+449</f>
        <v>46714</v>
      </c>
      <c r="C456" s="16" t="n">
        <f aca="false">MIN(N_SEMANAS,MAX(1,INT(($B456-DATA_INICIO_SAFRA)/DIAS_POR_SEMANA)+1))</f>
        <v>65</v>
      </c>
      <c r="D456" s="16" t="n">
        <f aca="false">INDEX(AUX_MATRIZES!$C$8:$BP$8,MIN(N_SEMANAS,MAX(1,$C456)))/DIAS_POR_SEMANA</f>
        <v>0</v>
      </c>
      <c r="E456" s="16" t="n">
        <f aca="false">MIN(CADASTRO_CASAS_BOMBA!$O$6,MAX(0,E455+CADASTRO_CASAS_BOMBA!$I$6*HORAS_CAPTACAO_DIA-D456))</f>
        <v>2600</v>
      </c>
      <c r="F456" s="16" t="n">
        <f aca="false">MAX(0,D456-CADASTRO_CASAS_BOMBA!$I$6*HORAS_CAPTACAO_DIA-E455)</f>
        <v>0</v>
      </c>
      <c r="G456" s="16" t="n">
        <f aca="false">INDEX(AUX_MATRIZES!$C$9:$BP$9,MIN(N_SEMANAS,MAX(1,$C456)))/DIAS_POR_SEMANA</f>
        <v>0</v>
      </c>
      <c r="H456" s="16" t="n">
        <f aca="false">MIN(CADASTRO_CASAS_BOMBA!$O$7,MAX(0,H455+CADASTRO_CASAS_BOMBA!$I$7*HORAS_CAPTACAO_DIA-G456))</f>
        <v>76648</v>
      </c>
      <c r="I456" s="16" t="n">
        <f aca="false">MAX(0,G456-CADASTRO_CASAS_BOMBA!$I$7*HORAS_CAPTACAO_DIA-H455)</f>
        <v>0</v>
      </c>
      <c r="J456" s="16" t="n">
        <f aca="false">INDEX(AUX_MATRIZES!$C$10:$BP$10,MIN(N_SEMANAS,MAX(1,$C456)))/DIAS_POR_SEMANA</f>
        <v>0</v>
      </c>
      <c r="K456" s="16" t="n">
        <f aca="false">MIN(CADASTRO_CASAS_BOMBA!$O$8,MAX(0,K455+CADASTRO_CASAS_BOMBA!$I$8*HORAS_CAPTACAO_DIA-J456))</f>
        <v>27377</v>
      </c>
      <c r="L456" s="16" t="n">
        <f aca="false">MAX(0,J456-CADASTRO_CASAS_BOMBA!$I$8*HORAS_CAPTACAO_DIA-K455)</f>
        <v>0</v>
      </c>
      <c r="M456" s="16" t="n">
        <f aca="false">INDEX(AUX_MATRIZES!$C$11:$BP$11,MIN(N_SEMANAS,MAX(1,$C456)))/DIAS_POR_SEMANA</f>
        <v>0</v>
      </c>
      <c r="N456" s="16" t="n">
        <f aca="false">MIN(CADASTRO_CASAS_BOMBA!$O$9,MAX(0,N455+CADASTRO_CASAS_BOMBA!$I$9*HORAS_CAPTACAO_DIA-M456))</f>
        <v>129000</v>
      </c>
      <c r="O456" s="16" t="n">
        <f aca="false">MAX(0,M456-CADASTRO_CASAS_BOMBA!$I$9*HORAS_CAPTACAO_DIA-N455)</f>
        <v>0</v>
      </c>
      <c r="P456" s="16" t="n">
        <f aca="false">INDEX(AUX_MATRIZES!$C$12:$BP$12,MIN(N_SEMANAS,MAX(1,$C456)))/DIAS_POR_SEMANA</f>
        <v>0</v>
      </c>
      <c r="Q456" s="16" t="n">
        <f aca="false">MIN(CADASTRO_CASAS_BOMBA!$O$10,MAX(0,Q455+CADASTRO_CASAS_BOMBA!$I$10*HORAS_CAPTACAO_DIA-P456))</f>
        <v>385516.414701826</v>
      </c>
      <c r="R456" s="16" t="n">
        <f aca="false">MAX(0,P456-CADASTRO_CASAS_BOMBA!$I$10*HORAS_CAPTACAO_DIA-Q455)</f>
        <v>0</v>
      </c>
      <c r="S456" s="16" t="n">
        <f aca="false">INDEX(AUX_MATRIZES!$C$13:$BP$13,MIN(N_SEMANAS,MAX(1,$C456)))/DIAS_POR_SEMANA</f>
        <v>0</v>
      </c>
      <c r="T456" s="16" t="n">
        <f aca="false">MIN(CADASTRO_CASAS_BOMBA!$O$11,MAX(0,T455+CADASTRO_CASAS_BOMBA!$I$11*HORAS_CAPTACAO_DIA-S456))</f>
        <v>469821</v>
      </c>
      <c r="U456" s="16" t="n">
        <f aca="false">MAX(0,S456-CADASTRO_CASAS_BOMBA!$I$11*HORAS_CAPTACAO_DIA-T455)</f>
        <v>0</v>
      </c>
      <c r="V456" s="16" t="n">
        <f aca="false">INDEX(AUX_MATRIZES!$C$14:$BP$14,MIN(N_SEMANAS,MAX(1,$C456)))/DIAS_POR_SEMANA</f>
        <v>0</v>
      </c>
      <c r="W456" s="16" t="n">
        <f aca="false">MIN(CADASTRO_CASAS_BOMBA!$O$12,MAX(0,W455+CADASTRO_CASAS_BOMBA!$I$12*HORAS_CAPTACAO_DIA-V456))</f>
        <v>440000</v>
      </c>
      <c r="X456" s="16" t="n">
        <f aca="false">MAX(0,V456-CADASTRO_CASAS_BOMBA!$I$12*HORAS_CAPTACAO_DIA-W455)</f>
        <v>0</v>
      </c>
      <c r="Y456" s="16" t="n">
        <f aca="false">INDEX(AUX_MATRIZES!$C$15:$BP$15,MIN(N_SEMANAS,MAX(1,$C456)))/DIAS_POR_SEMANA</f>
        <v>0</v>
      </c>
      <c r="Z456" s="16" t="n">
        <f aca="false">MIN(CADASTRO_CASAS_BOMBA!$O$13,MAX(0,Z455+CADASTRO_CASAS_BOMBA!$I$13*HORAS_CAPTACAO_DIA-Y456))</f>
        <v>74903</v>
      </c>
      <c r="AA456" s="16" t="n">
        <f aca="false">MAX(0,Y456-CADASTRO_CASAS_BOMBA!$I$13*HORAS_CAPTACAO_DIA-Z455)</f>
        <v>0</v>
      </c>
    </row>
    <row r="457" customFormat="false" ht="15" hidden="false" customHeight="false" outlineLevel="0" collapsed="false">
      <c r="B457" s="17" t="n">
        <f aca="false">DATA_INICIO_SAFRA+450</f>
        <v>46715</v>
      </c>
      <c r="C457" s="16" t="n">
        <f aca="false">MIN(N_SEMANAS,MAX(1,INT(($B457-DATA_INICIO_SAFRA)/DIAS_POR_SEMANA)+1))</f>
        <v>65</v>
      </c>
      <c r="D457" s="16" t="n">
        <f aca="false">INDEX(AUX_MATRIZES!$C$8:$BP$8,MIN(N_SEMANAS,MAX(1,$C457)))/DIAS_POR_SEMANA</f>
        <v>0</v>
      </c>
      <c r="E457" s="16" t="n">
        <f aca="false">MIN(CADASTRO_CASAS_BOMBA!$O$6,MAX(0,E456+CADASTRO_CASAS_BOMBA!$I$6*HORAS_CAPTACAO_DIA-D457))</f>
        <v>2600</v>
      </c>
      <c r="F457" s="16" t="n">
        <f aca="false">MAX(0,D457-CADASTRO_CASAS_BOMBA!$I$6*HORAS_CAPTACAO_DIA-E456)</f>
        <v>0</v>
      </c>
      <c r="G457" s="16" t="n">
        <f aca="false">INDEX(AUX_MATRIZES!$C$9:$BP$9,MIN(N_SEMANAS,MAX(1,$C457)))/DIAS_POR_SEMANA</f>
        <v>0</v>
      </c>
      <c r="H457" s="16" t="n">
        <f aca="false">MIN(CADASTRO_CASAS_BOMBA!$O$7,MAX(0,H456+CADASTRO_CASAS_BOMBA!$I$7*HORAS_CAPTACAO_DIA-G457))</f>
        <v>76648</v>
      </c>
      <c r="I457" s="16" t="n">
        <f aca="false">MAX(0,G457-CADASTRO_CASAS_BOMBA!$I$7*HORAS_CAPTACAO_DIA-H456)</f>
        <v>0</v>
      </c>
      <c r="J457" s="16" t="n">
        <f aca="false">INDEX(AUX_MATRIZES!$C$10:$BP$10,MIN(N_SEMANAS,MAX(1,$C457)))/DIAS_POR_SEMANA</f>
        <v>0</v>
      </c>
      <c r="K457" s="16" t="n">
        <f aca="false">MIN(CADASTRO_CASAS_BOMBA!$O$8,MAX(0,K456+CADASTRO_CASAS_BOMBA!$I$8*HORAS_CAPTACAO_DIA-J457))</f>
        <v>27377</v>
      </c>
      <c r="L457" s="16" t="n">
        <f aca="false">MAX(0,J457-CADASTRO_CASAS_BOMBA!$I$8*HORAS_CAPTACAO_DIA-K456)</f>
        <v>0</v>
      </c>
      <c r="M457" s="16" t="n">
        <f aca="false">INDEX(AUX_MATRIZES!$C$11:$BP$11,MIN(N_SEMANAS,MAX(1,$C457)))/DIAS_POR_SEMANA</f>
        <v>0</v>
      </c>
      <c r="N457" s="16" t="n">
        <f aca="false">MIN(CADASTRO_CASAS_BOMBA!$O$9,MAX(0,N456+CADASTRO_CASAS_BOMBA!$I$9*HORAS_CAPTACAO_DIA-M457))</f>
        <v>129000</v>
      </c>
      <c r="O457" s="16" t="n">
        <f aca="false">MAX(0,M457-CADASTRO_CASAS_BOMBA!$I$9*HORAS_CAPTACAO_DIA-N456)</f>
        <v>0</v>
      </c>
      <c r="P457" s="16" t="n">
        <f aca="false">INDEX(AUX_MATRIZES!$C$12:$BP$12,MIN(N_SEMANAS,MAX(1,$C457)))/DIAS_POR_SEMANA</f>
        <v>0</v>
      </c>
      <c r="Q457" s="16" t="n">
        <f aca="false">MIN(CADASTRO_CASAS_BOMBA!$O$10,MAX(0,Q456+CADASTRO_CASAS_BOMBA!$I$10*HORAS_CAPTACAO_DIA-P457))</f>
        <v>398598.814701826</v>
      </c>
      <c r="R457" s="16" t="n">
        <f aca="false">MAX(0,P457-CADASTRO_CASAS_BOMBA!$I$10*HORAS_CAPTACAO_DIA-Q456)</f>
        <v>0</v>
      </c>
      <c r="S457" s="16" t="n">
        <f aca="false">INDEX(AUX_MATRIZES!$C$13:$BP$13,MIN(N_SEMANAS,MAX(1,$C457)))/DIAS_POR_SEMANA</f>
        <v>0</v>
      </c>
      <c r="T457" s="16" t="n">
        <f aca="false">MIN(CADASTRO_CASAS_BOMBA!$O$11,MAX(0,T456+CADASTRO_CASAS_BOMBA!$I$11*HORAS_CAPTACAO_DIA-S457))</f>
        <v>469821</v>
      </c>
      <c r="U457" s="16" t="n">
        <f aca="false">MAX(0,S457-CADASTRO_CASAS_BOMBA!$I$11*HORAS_CAPTACAO_DIA-T456)</f>
        <v>0</v>
      </c>
      <c r="V457" s="16" t="n">
        <f aca="false">INDEX(AUX_MATRIZES!$C$14:$BP$14,MIN(N_SEMANAS,MAX(1,$C457)))/DIAS_POR_SEMANA</f>
        <v>0</v>
      </c>
      <c r="W457" s="16" t="n">
        <f aca="false">MIN(CADASTRO_CASAS_BOMBA!$O$12,MAX(0,W456+CADASTRO_CASAS_BOMBA!$I$12*HORAS_CAPTACAO_DIA-V457))</f>
        <v>440000</v>
      </c>
      <c r="X457" s="16" t="n">
        <f aca="false">MAX(0,V457-CADASTRO_CASAS_BOMBA!$I$12*HORAS_CAPTACAO_DIA-W456)</f>
        <v>0</v>
      </c>
      <c r="Y457" s="16" t="n">
        <f aca="false">INDEX(AUX_MATRIZES!$C$15:$BP$15,MIN(N_SEMANAS,MAX(1,$C457)))/DIAS_POR_SEMANA</f>
        <v>0</v>
      </c>
      <c r="Z457" s="16" t="n">
        <f aca="false">MIN(CADASTRO_CASAS_BOMBA!$O$13,MAX(0,Z456+CADASTRO_CASAS_BOMBA!$I$13*HORAS_CAPTACAO_DIA-Y457))</f>
        <v>74903</v>
      </c>
      <c r="AA457" s="16" t="n">
        <f aca="false">MAX(0,Y457-CADASTRO_CASAS_BOMBA!$I$13*HORAS_CAPTACAO_DIA-Z456)</f>
        <v>0</v>
      </c>
    </row>
    <row r="458" customFormat="false" ht="15" hidden="false" customHeight="false" outlineLevel="0" collapsed="false">
      <c r="B458" s="17" t="n">
        <f aca="false">DATA_INICIO_SAFRA+451</f>
        <v>46716</v>
      </c>
      <c r="C458" s="16" t="n">
        <f aca="false">MIN(N_SEMANAS,MAX(1,INT(($B458-DATA_INICIO_SAFRA)/DIAS_POR_SEMANA)+1))</f>
        <v>65</v>
      </c>
      <c r="D458" s="16" t="n">
        <f aca="false">INDEX(AUX_MATRIZES!$C$8:$BP$8,MIN(N_SEMANAS,MAX(1,$C458)))/DIAS_POR_SEMANA</f>
        <v>0</v>
      </c>
      <c r="E458" s="16" t="n">
        <f aca="false">MIN(CADASTRO_CASAS_BOMBA!$O$6,MAX(0,E457+CADASTRO_CASAS_BOMBA!$I$6*HORAS_CAPTACAO_DIA-D458))</f>
        <v>2600</v>
      </c>
      <c r="F458" s="16" t="n">
        <f aca="false">MAX(0,D458-CADASTRO_CASAS_BOMBA!$I$6*HORAS_CAPTACAO_DIA-E457)</f>
        <v>0</v>
      </c>
      <c r="G458" s="16" t="n">
        <f aca="false">INDEX(AUX_MATRIZES!$C$9:$BP$9,MIN(N_SEMANAS,MAX(1,$C458)))/DIAS_POR_SEMANA</f>
        <v>0</v>
      </c>
      <c r="H458" s="16" t="n">
        <f aca="false">MIN(CADASTRO_CASAS_BOMBA!$O$7,MAX(0,H457+CADASTRO_CASAS_BOMBA!$I$7*HORAS_CAPTACAO_DIA-G458))</f>
        <v>76648</v>
      </c>
      <c r="I458" s="16" t="n">
        <f aca="false">MAX(0,G458-CADASTRO_CASAS_BOMBA!$I$7*HORAS_CAPTACAO_DIA-H457)</f>
        <v>0</v>
      </c>
      <c r="J458" s="16" t="n">
        <f aca="false">INDEX(AUX_MATRIZES!$C$10:$BP$10,MIN(N_SEMANAS,MAX(1,$C458)))/DIAS_POR_SEMANA</f>
        <v>0</v>
      </c>
      <c r="K458" s="16" t="n">
        <f aca="false">MIN(CADASTRO_CASAS_BOMBA!$O$8,MAX(0,K457+CADASTRO_CASAS_BOMBA!$I$8*HORAS_CAPTACAO_DIA-J458))</f>
        <v>27377</v>
      </c>
      <c r="L458" s="16" t="n">
        <f aca="false">MAX(0,J458-CADASTRO_CASAS_BOMBA!$I$8*HORAS_CAPTACAO_DIA-K457)</f>
        <v>0</v>
      </c>
      <c r="M458" s="16" t="n">
        <f aca="false">INDEX(AUX_MATRIZES!$C$11:$BP$11,MIN(N_SEMANAS,MAX(1,$C458)))/DIAS_POR_SEMANA</f>
        <v>0</v>
      </c>
      <c r="N458" s="16" t="n">
        <f aca="false">MIN(CADASTRO_CASAS_BOMBA!$O$9,MAX(0,N457+CADASTRO_CASAS_BOMBA!$I$9*HORAS_CAPTACAO_DIA-M458))</f>
        <v>129000</v>
      </c>
      <c r="O458" s="16" t="n">
        <f aca="false">MAX(0,M458-CADASTRO_CASAS_BOMBA!$I$9*HORAS_CAPTACAO_DIA-N457)</f>
        <v>0</v>
      </c>
      <c r="P458" s="16" t="n">
        <f aca="false">INDEX(AUX_MATRIZES!$C$12:$BP$12,MIN(N_SEMANAS,MAX(1,$C458)))/DIAS_POR_SEMANA</f>
        <v>0</v>
      </c>
      <c r="Q458" s="16" t="n">
        <f aca="false">MIN(CADASTRO_CASAS_BOMBA!$O$10,MAX(0,Q457+CADASTRO_CASAS_BOMBA!$I$10*HORAS_CAPTACAO_DIA-P458))</f>
        <v>411681.214701826</v>
      </c>
      <c r="R458" s="16" t="n">
        <f aca="false">MAX(0,P458-CADASTRO_CASAS_BOMBA!$I$10*HORAS_CAPTACAO_DIA-Q457)</f>
        <v>0</v>
      </c>
      <c r="S458" s="16" t="n">
        <f aca="false">INDEX(AUX_MATRIZES!$C$13:$BP$13,MIN(N_SEMANAS,MAX(1,$C458)))/DIAS_POR_SEMANA</f>
        <v>0</v>
      </c>
      <c r="T458" s="16" t="n">
        <f aca="false">MIN(CADASTRO_CASAS_BOMBA!$O$11,MAX(0,T457+CADASTRO_CASAS_BOMBA!$I$11*HORAS_CAPTACAO_DIA-S458))</f>
        <v>469821</v>
      </c>
      <c r="U458" s="16" t="n">
        <f aca="false">MAX(0,S458-CADASTRO_CASAS_BOMBA!$I$11*HORAS_CAPTACAO_DIA-T457)</f>
        <v>0</v>
      </c>
      <c r="V458" s="16" t="n">
        <f aca="false">INDEX(AUX_MATRIZES!$C$14:$BP$14,MIN(N_SEMANAS,MAX(1,$C458)))/DIAS_POR_SEMANA</f>
        <v>0</v>
      </c>
      <c r="W458" s="16" t="n">
        <f aca="false">MIN(CADASTRO_CASAS_BOMBA!$O$12,MAX(0,W457+CADASTRO_CASAS_BOMBA!$I$12*HORAS_CAPTACAO_DIA-V458))</f>
        <v>440000</v>
      </c>
      <c r="X458" s="16" t="n">
        <f aca="false">MAX(0,V458-CADASTRO_CASAS_BOMBA!$I$12*HORAS_CAPTACAO_DIA-W457)</f>
        <v>0</v>
      </c>
      <c r="Y458" s="16" t="n">
        <f aca="false">INDEX(AUX_MATRIZES!$C$15:$BP$15,MIN(N_SEMANAS,MAX(1,$C458)))/DIAS_POR_SEMANA</f>
        <v>0</v>
      </c>
      <c r="Z458" s="16" t="n">
        <f aca="false">MIN(CADASTRO_CASAS_BOMBA!$O$13,MAX(0,Z457+CADASTRO_CASAS_BOMBA!$I$13*HORAS_CAPTACAO_DIA-Y458))</f>
        <v>74903</v>
      </c>
      <c r="AA458" s="16" t="n">
        <f aca="false">MAX(0,Y458-CADASTRO_CASAS_BOMBA!$I$13*HORAS_CAPTACAO_DIA-Z457)</f>
        <v>0</v>
      </c>
    </row>
    <row r="459" customFormat="false" ht="15" hidden="false" customHeight="false" outlineLevel="0" collapsed="false">
      <c r="B459" s="17" t="n">
        <f aca="false">DATA_INICIO_SAFRA+452</f>
        <v>46717</v>
      </c>
      <c r="C459" s="16" t="n">
        <f aca="false">MIN(N_SEMANAS,MAX(1,INT(($B459-DATA_INICIO_SAFRA)/DIAS_POR_SEMANA)+1))</f>
        <v>65</v>
      </c>
      <c r="D459" s="16" t="n">
        <f aca="false">INDEX(AUX_MATRIZES!$C$8:$BP$8,MIN(N_SEMANAS,MAX(1,$C459)))/DIAS_POR_SEMANA</f>
        <v>0</v>
      </c>
      <c r="E459" s="16" t="n">
        <f aca="false">MIN(CADASTRO_CASAS_BOMBA!$O$6,MAX(0,E458+CADASTRO_CASAS_BOMBA!$I$6*HORAS_CAPTACAO_DIA-D459))</f>
        <v>2600</v>
      </c>
      <c r="F459" s="16" t="n">
        <f aca="false">MAX(0,D459-CADASTRO_CASAS_BOMBA!$I$6*HORAS_CAPTACAO_DIA-E458)</f>
        <v>0</v>
      </c>
      <c r="G459" s="16" t="n">
        <f aca="false">INDEX(AUX_MATRIZES!$C$9:$BP$9,MIN(N_SEMANAS,MAX(1,$C459)))/DIAS_POR_SEMANA</f>
        <v>0</v>
      </c>
      <c r="H459" s="16" t="n">
        <f aca="false">MIN(CADASTRO_CASAS_BOMBA!$O$7,MAX(0,H458+CADASTRO_CASAS_BOMBA!$I$7*HORAS_CAPTACAO_DIA-G459))</f>
        <v>76648</v>
      </c>
      <c r="I459" s="16" t="n">
        <f aca="false">MAX(0,G459-CADASTRO_CASAS_BOMBA!$I$7*HORAS_CAPTACAO_DIA-H458)</f>
        <v>0</v>
      </c>
      <c r="J459" s="16" t="n">
        <f aca="false">INDEX(AUX_MATRIZES!$C$10:$BP$10,MIN(N_SEMANAS,MAX(1,$C459)))/DIAS_POR_SEMANA</f>
        <v>0</v>
      </c>
      <c r="K459" s="16" t="n">
        <f aca="false">MIN(CADASTRO_CASAS_BOMBA!$O$8,MAX(0,K458+CADASTRO_CASAS_BOMBA!$I$8*HORAS_CAPTACAO_DIA-J459))</f>
        <v>27377</v>
      </c>
      <c r="L459" s="16" t="n">
        <f aca="false">MAX(0,J459-CADASTRO_CASAS_BOMBA!$I$8*HORAS_CAPTACAO_DIA-K458)</f>
        <v>0</v>
      </c>
      <c r="M459" s="16" t="n">
        <f aca="false">INDEX(AUX_MATRIZES!$C$11:$BP$11,MIN(N_SEMANAS,MAX(1,$C459)))/DIAS_POR_SEMANA</f>
        <v>0</v>
      </c>
      <c r="N459" s="16" t="n">
        <f aca="false">MIN(CADASTRO_CASAS_BOMBA!$O$9,MAX(0,N458+CADASTRO_CASAS_BOMBA!$I$9*HORAS_CAPTACAO_DIA-M459))</f>
        <v>129000</v>
      </c>
      <c r="O459" s="16" t="n">
        <f aca="false">MAX(0,M459-CADASTRO_CASAS_BOMBA!$I$9*HORAS_CAPTACAO_DIA-N458)</f>
        <v>0</v>
      </c>
      <c r="P459" s="16" t="n">
        <f aca="false">INDEX(AUX_MATRIZES!$C$12:$BP$12,MIN(N_SEMANAS,MAX(1,$C459)))/DIAS_POR_SEMANA</f>
        <v>0</v>
      </c>
      <c r="Q459" s="16" t="n">
        <f aca="false">MIN(CADASTRO_CASAS_BOMBA!$O$10,MAX(0,Q458+CADASTRO_CASAS_BOMBA!$I$10*HORAS_CAPTACAO_DIA-P459))</f>
        <v>424763.614701826</v>
      </c>
      <c r="R459" s="16" t="n">
        <f aca="false">MAX(0,P459-CADASTRO_CASAS_BOMBA!$I$10*HORAS_CAPTACAO_DIA-Q458)</f>
        <v>0</v>
      </c>
      <c r="S459" s="16" t="n">
        <f aca="false">INDEX(AUX_MATRIZES!$C$13:$BP$13,MIN(N_SEMANAS,MAX(1,$C459)))/DIAS_POR_SEMANA</f>
        <v>0</v>
      </c>
      <c r="T459" s="16" t="n">
        <f aca="false">MIN(CADASTRO_CASAS_BOMBA!$O$11,MAX(0,T458+CADASTRO_CASAS_BOMBA!$I$11*HORAS_CAPTACAO_DIA-S459))</f>
        <v>469821</v>
      </c>
      <c r="U459" s="16" t="n">
        <f aca="false">MAX(0,S459-CADASTRO_CASAS_BOMBA!$I$11*HORAS_CAPTACAO_DIA-T458)</f>
        <v>0</v>
      </c>
      <c r="V459" s="16" t="n">
        <f aca="false">INDEX(AUX_MATRIZES!$C$14:$BP$14,MIN(N_SEMANAS,MAX(1,$C459)))/DIAS_POR_SEMANA</f>
        <v>0</v>
      </c>
      <c r="W459" s="16" t="n">
        <f aca="false">MIN(CADASTRO_CASAS_BOMBA!$O$12,MAX(0,W458+CADASTRO_CASAS_BOMBA!$I$12*HORAS_CAPTACAO_DIA-V459))</f>
        <v>440000</v>
      </c>
      <c r="X459" s="16" t="n">
        <f aca="false">MAX(0,V459-CADASTRO_CASAS_BOMBA!$I$12*HORAS_CAPTACAO_DIA-W458)</f>
        <v>0</v>
      </c>
      <c r="Y459" s="16" t="n">
        <f aca="false">INDEX(AUX_MATRIZES!$C$15:$BP$15,MIN(N_SEMANAS,MAX(1,$C459)))/DIAS_POR_SEMANA</f>
        <v>0</v>
      </c>
      <c r="Z459" s="16" t="n">
        <f aca="false">MIN(CADASTRO_CASAS_BOMBA!$O$13,MAX(0,Z458+CADASTRO_CASAS_BOMBA!$I$13*HORAS_CAPTACAO_DIA-Y459))</f>
        <v>74903</v>
      </c>
      <c r="AA459" s="16" t="n">
        <f aca="false">MAX(0,Y459-CADASTRO_CASAS_BOMBA!$I$13*HORAS_CAPTACAO_DIA-Z458)</f>
        <v>0</v>
      </c>
    </row>
    <row r="460" customFormat="false" ht="15" hidden="false" customHeight="false" outlineLevel="0" collapsed="false">
      <c r="B460" s="17" t="n">
        <f aca="false">DATA_INICIO_SAFRA+453</f>
        <v>46718</v>
      </c>
      <c r="C460" s="16" t="n">
        <f aca="false">MIN(N_SEMANAS,MAX(1,INT(($B460-DATA_INICIO_SAFRA)/DIAS_POR_SEMANA)+1))</f>
        <v>65</v>
      </c>
      <c r="D460" s="16" t="n">
        <f aca="false">INDEX(AUX_MATRIZES!$C$8:$BP$8,MIN(N_SEMANAS,MAX(1,$C460)))/DIAS_POR_SEMANA</f>
        <v>0</v>
      </c>
      <c r="E460" s="16" t="n">
        <f aca="false">MIN(CADASTRO_CASAS_BOMBA!$O$6,MAX(0,E459+CADASTRO_CASAS_BOMBA!$I$6*HORAS_CAPTACAO_DIA-D460))</f>
        <v>2600</v>
      </c>
      <c r="F460" s="16" t="n">
        <f aca="false">MAX(0,D460-CADASTRO_CASAS_BOMBA!$I$6*HORAS_CAPTACAO_DIA-E459)</f>
        <v>0</v>
      </c>
      <c r="G460" s="16" t="n">
        <f aca="false">INDEX(AUX_MATRIZES!$C$9:$BP$9,MIN(N_SEMANAS,MAX(1,$C460)))/DIAS_POR_SEMANA</f>
        <v>0</v>
      </c>
      <c r="H460" s="16" t="n">
        <f aca="false">MIN(CADASTRO_CASAS_BOMBA!$O$7,MAX(0,H459+CADASTRO_CASAS_BOMBA!$I$7*HORAS_CAPTACAO_DIA-G460))</f>
        <v>76648</v>
      </c>
      <c r="I460" s="16" t="n">
        <f aca="false">MAX(0,G460-CADASTRO_CASAS_BOMBA!$I$7*HORAS_CAPTACAO_DIA-H459)</f>
        <v>0</v>
      </c>
      <c r="J460" s="16" t="n">
        <f aca="false">INDEX(AUX_MATRIZES!$C$10:$BP$10,MIN(N_SEMANAS,MAX(1,$C460)))/DIAS_POR_SEMANA</f>
        <v>0</v>
      </c>
      <c r="K460" s="16" t="n">
        <f aca="false">MIN(CADASTRO_CASAS_BOMBA!$O$8,MAX(0,K459+CADASTRO_CASAS_BOMBA!$I$8*HORAS_CAPTACAO_DIA-J460))</f>
        <v>27377</v>
      </c>
      <c r="L460" s="16" t="n">
        <f aca="false">MAX(0,J460-CADASTRO_CASAS_BOMBA!$I$8*HORAS_CAPTACAO_DIA-K459)</f>
        <v>0</v>
      </c>
      <c r="M460" s="16" t="n">
        <f aca="false">INDEX(AUX_MATRIZES!$C$11:$BP$11,MIN(N_SEMANAS,MAX(1,$C460)))/DIAS_POR_SEMANA</f>
        <v>0</v>
      </c>
      <c r="N460" s="16" t="n">
        <f aca="false">MIN(CADASTRO_CASAS_BOMBA!$O$9,MAX(0,N459+CADASTRO_CASAS_BOMBA!$I$9*HORAS_CAPTACAO_DIA-M460))</f>
        <v>129000</v>
      </c>
      <c r="O460" s="16" t="n">
        <f aca="false">MAX(0,M460-CADASTRO_CASAS_BOMBA!$I$9*HORAS_CAPTACAO_DIA-N459)</f>
        <v>0</v>
      </c>
      <c r="P460" s="16" t="n">
        <f aca="false">INDEX(AUX_MATRIZES!$C$12:$BP$12,MIN(N_SEMANAS,MAX(1,$C460)))/DIAS_POR_SEMANA</f>
        <v>0</v>
      </c>
      <c r="Q460" s="16" t="n">
        <f aca="false">MIN(CADASTRO_CASAS_BOMBA!$O$10,MAX(0,Q459+CADASTRO_CASAS_BOMBA!$I$10*HORAS_CAPTACAO_DIA-P460))</f>
        <v>437846.014701826</v>
      </c>
      <c r="R460" s="16" t="n">
        <f aca="false">MAX(0,P460-CADASTRO_CASAS_BOMBA!$I$10*HORAS_CAPTACAO_DIA-Q459)</f>
        <v>0</v>
      </c>
      <c r="S460" s="16" t="n">
        <f aca="false">INDEX(AUX_MATRIZES!$C$13:$BP$13,MIN(N_SEMANAS,MAX(1,$C460)))/DIAS_POR_SEMANA</f>
        <v>0</v>
      </c>
      <c r="T460" s="16" t="n">
        <f aca="false">MIN(CADASTRO_CASAS_BOMBA!$O$11,MAX(0,T459+CADASTRO_CASAS_BOMBA!$I$11*HORAS_CAPTACAO_DIA-S460))</f>
        <v>469821</v>
      </c>
      <c r="U460" s="16" t="n">
        <f aca="false">MAX(0,S460-CADASTRO_CASAS_BOMBA!$I$11*HORAS_CAPTACAO_DIA-T459)</f>
        <v>0</v>
      </c>
      <c r="V460" s="16" t="n">
        <f aca="false">INDEX(AUX_MATRIZES!$C$14:$BP$14,MIN(N_SEMANAS,MAX(1,$C460)))/DIAS_POR_SEMANA</f>
        <v>0</v>
      </c>
      <c r="W460" s="16" t="n">
        <f aca="false">MIN(CADASTRO_CASAS_BOMBA!$O$12,MAX(0,W459+CADASTRO_CASAS_BOMBA!$I$12*HORAS_CAPTACAO_DIA-V460))</f>
        <v>440000</v>
      </c>
      <c r="X460" s="16" t="n">
        <f aca="false">MAX(0,V460-CADASTRO_CASAS_BOMBA!$I$12*HORAS_CAPTACAO_DIA-W459)</f>
        <v>0</v>
      </c>
      <c r="Y460" s="16" t="n">
        <f aca="false">INDEX(AUX_MATRIZES!$C$15:$BP$15,MIN(N_SEMANAS,MAX(1,$C460)))/DIAS_POR_SEMANA</f>
        <v>0</v>
      </c>
      <c r="Z460" s="16" t="n">
        <f aca="false">MIN(CADASTRO_CASAS_BOMBA!$O$13,MAX(0,Z459+CADASTRO_CASAS_BOMBA!$I$13*HORAS_CAPTACAO_DIA-Y460))</f>
        <v>74903</v>
      </c>
      <c r="AA460" s="16" t="n">
        <f aca="false">MAX(0,Y460-CADASTRO_CASAS_BOMBA!$I$13*HORAS_CAPTACAO_DIA-Z459)</f>
        <v>0</v>
      </c>
    </row>
    <row r="461" customFormat="false" ht="15" hidden="false" customHeight="false" outlineLevel="0" collapsed="false">
      <c r="B461" s="17" t="n">
        <f aca="false">DATA_INICIO_SAFRA+454</f>
        <v>46719</v>
      </c>
      <c r="C461" s="16" t="n">
        <f aca="false">MIN(N_SEMANAS,MAX(1,INT(($B461-DATA_INICIO_SAFRA)/DIAS_POR_SEMANA)+1))</f>
        <v>65</v>
      </c>
      <c r="D461" s="16" t="n">
        <f aca="false">INDEX(AUX_MATRIZES!$C$8:$BP$8,MIN(N_SEMANAS,MAX(1,$C461)))/DIAS_POR_SEMANA</f>
        <v>0</v>
      </c>
      <c r="E461" s="16" t="n">
        <f aca="false">MIN(CADASTRO_CASAS_BOMBA!$O$6,MAX(0,E460+CADASTRO_CASAS_BOMBA!$I$6*HORAS_CAPTACAO_DIA-D461))</f>
        <v>2600</v>
      </c>
      <c r="F461" s="16" t="n">
        <f aca="false">MAX(0,D461-CADASTRO_CASAS_BOMBA!$I$6*HORAS_CAPTACAO_DIA-E460)</f>
        <v>0</v>
      </c>
      <c r="G461" s="16" t="n">
        <f aca="false">INDEX(AUX_MATRIZES!$C$9:$BP$9,MIN(N_SEMANAS,MAX(1,$C461)))/DIAS_POR_SEMANA</f>
        <v>0</v>
      </c>
      <c r="H461" s="16" t="n">
        <f aca="false">MIN(CADASTRO_CASAS_BOMBA!$O$7,MAX(0,H460+CADASTRO_CASAS_BOMBA!$I$7*HORAS_CAPTACAO_DIA-G461))</f>
        <v>76648</v>
      </c>
      <c r="I461" s="16" t="n">
        <f aca="false">MAX(0,G461-CADASTRO_CASAS_BOMBA!$I$7*HORAS_CAPTACAO_DIA-H460)</f>
        <v>0</v>
      </c>
      <c r="J461" s="16" t="n">
        <f aca="false">INDEX(AUX_MATRIZES!$C$10:$BP$10,MIN(N_SEMANAS,MAX(1,$C461)))/DIAS_POR_SEMANA</f>
        <v>0</v>
      </c>
      <c r="K461" s="16" t="n">
        <f aca="false">MIN(CADASTRO_CASAS_BOMBA!$O$8,MAX(0,K460+CADASTRO_CASAS_BOMBA!$I$8*HORAS_CAPTACAO_DIA-J461))</f>
        <v>27377</v>
      </c>
      <c r="L461" s="16" t="n">
        <f aca="false">MAX(0,J461-CADASTRO_CASAS_BOMBA!$I$8*HORAS_CAPTACAO_DIA-K460)</f>
        <v>0</v>
      </c>
      <c r="M461" s="16" t="n">
        <f aca="false">INDEX(AUX_MATRIZES!$C$11:$BP$11,MIN(N_SEMANAS,MAX(1,$C461)))/DIAS_POR_SEMANA</f>
        <v>0</v>
      </c>
      <c r="N461" s="16" t="n">
        <f aca="false">MIN(CADASTRO_CASAS_BOMBA!$O$9,MAX(0,N460+CADASTRO_CASAS_BOMBA!$I$9*HORAS_CAPTACAO_DIA-M461))</f>
        <v>129000</v>
      </c>
      <c r="O461" s="16" t="n">
        <f aca="false">MAX(0,M461-CADASTRO_CASAS_BOMBA!$I$9*HORAS_CAPTACAO_DIA-N460)</f>
        <v>0</v>
      </c>
      <c r="P461" s="16" t="n">
        <f aca="false">INDEX(AUX_MATRIZES!$C$12:$BP$12,MIN(N_SEMANAS,MAX(1,$C461)))/DIAS_POR_SEMANA</f>
        <v>0</v>
      </c>
      <c r="Q461" s="16" t="n">
        <f aca="false">MIN(CADASTRO_CASAS_BOMBA!$O$10,MAX(0,Q460+CADASTRO_CASAS_BOMBA!$I$10*HORAS_CAPTACAO_DIA-P461))</f>
        <v>450928.414701826</v>
      </c>
      <c r="R461" s="16" t="n">
        <f aca="false">MAX(0,P461-CADASTRO_CASAS_BOMBA!$I$10*HORAS_CAPTACAO_DIA-Q460)</f>
        <v>0</v>
      </c>
      <c r="S461" s="16" t="n">
        <f aca="false">INDEX(AUX_MATRIZES!$C$13:$BP$13,MIN(N_SEMANAS,MAX(1,$C461)))/DIAS_POR_SEMANA</f>
        <v>0</v>
      </c>
      <c r="T461" s="16" t="n">
        <f aca="false">MIN(CADASTRO_CASAS_BOMBA!$O$11,MAX(0,T460+CADASTRO_CASAS_BOMBA!$I$11*HORAS_CAPTACAO_DIA-S461))</f>
        <v>469821</v>
      </c>
      <c r="U461" s="16" t="n">
        <f aca="false">MAX(0,S461-CADASTRO_CASAS_BOMBA!$I$11*HORAS_CAPTACAO_DIA-T460)</f>
        <v>0</v>
      </c>
      <c r="V461" s="16" t="n">
        <f aca="false">INDEX(AUX_MATRIZES!$C$14:$BP$14,MIN(N_SEMANAS,MAX(1,$C461)))/DIAS_POR_SEMANA</f>
        <v>0</v>
      </c>
      <c r="W461" s="16" t="n">
        <f aca="false">MIN(CADASTRO_CASAS_BOMBA!$O$12,MAX(0,W460+CADASTRO_CASAS_BOMBA!$I$12*HORAS_CAPTACAO_DIA-V461))</f>
        <v>440000</v>
      </c>
      <c r="X461" s="16" t="n">
        <f aca="false">MAX(0,V461-CADASTRO_CASAS_BOMBA!$I$12*HORAS_CAPTACAO_DIA-W460)</f>
        <v>0</v>
      </c>
      <c r="Y461" s="16" t="n">
        <f aca="false">INDEX(AUX_MATRIZES!$C$15:$BP$15,MIN(N_SEMANAS,MAX(1,$C461)))/DIAS_POR_SEMANA</f>
        <v>0</v>
      </c>
      <c r="Z461" s="16" t="n">
        <f aca="false">MIN(CADASTRO_CASAS_BOMBA!$O$13,MAX(0,Z460+CADASTRO_CASAS_BOMBA!$I$13*HORAS_CAPTACAO_DIA-Y461))</f>
        <v>74903</v>
      </c>
      <c r="AA461" s="16" t="n">
        <f aca="false">MAX(0,Y461-CADASTRO_CASAS_BOMBA!$I$13*HORAS_CAPTACAO_DIA-Z460)</f>
        <v>0</v>
      </c>
    </row>
    <row r="462" customFormat="false" ht="15" hidden="false" customHeight="false" outlineLevel="0" collapsed="false">
      <c r="B462" s="17" t="n">
        <f aca="false">DATA_INICIO_SAFRA+455</f>
        <v>46720</v>
      </c>
      <c r="C462" s="16" t="n">
        <f aca="false">MIN(N_SEMANAS,MAX(1,INT(($B462-DATA_INICIO_SAFRA)/DIAS_POR_SEMANA)+1))</f>
        <v>66</v>
      </c>
      <c r="D462" s="16" t="n">
        <f aca="false">INDEX(AUX_MATRIZES!$C$8:$BP$8,MIN(N_SEMANAS,MAX(1,$C462)))/DIAS_POR_SEMANA</f>
        <v>0</v>
      </c>
      <c r="E462" s="16" t="n">
        <f aca="false">MIN(CADASTRO_CASAS_BOMBA!$O$6,MAX(0,E461+CADASTRO_CASAS_BOMBA!$I$6*HORAS_CAPTACAO_DIA-D462))</f>
        <v>2600</v>
      </c>
      <c r="F462" s="16" t="n">
        <f aca="false">MAX(0,D462-CADASTRO_CASAS_BOMBA!$I$6*HORAS_CAPTACAO_DIA-E461)</f>
        <v>0</v>
      </c>
      <c r="G462" s="16" t="n">
        <f aca="false">INDEX(AUX_MATRIZES!$C$9:$BP$9,MIN(N_SEMANAS,MAX(1,$C462)))/DIAS_POR_SEMANA</f>
        <v>0</v>
      </c>
      <c r="H462" s="16" t="n">
        <f aca="false">MIN(CADASTRO_CASAS_BOMBA!$O$7,MAX(0,H461+CADASTRO_CASAS_BOMBA!$I$7*HORAS_CAPTACAO_DIA-G462))</f>
        <v>76648</v>
      </c>
      <c r="I462" s="16" t="n">
        <f aca="false">MAX(0,G462-CADASTRO_CASAS_BOMBA!$I$7*HORAS_CAPTACAO_DIA-H461)</f>
        <v>0</v>
      </c>
      <c r="J462" s="16" t="n">
        <f aca="false">INDEX(AUX_MATRIZES!$C$10:$BP$10,MIN(N_SEMANAS,MAX(1,$C462)))/DIAS_POR_SEMANA</f>
        <v>0</v>
      </c>
      <c r="K462" s="16" t="n">
        <f aca="false">MIN(CADASTRO_CASAS_BOMBA!$O$8,MAX(0,K461+CADASTRO_CASAS_BOMBA!$I$8*HORAS_CAPTACAO_DIA-J462))</f>
        <v>27377</v>
      </c>
      <c r="L462" s="16" t="n">
        <f aca="false">MAX(0,J462-CADASTRO_CASAS_BOMBA!$I$8*HORAS_CAPTACAO_DIA-K461)</f>
        <v>0</v>
      </c>
      <c r="M462" s="16" t="n">
        <f aca="false">INDEX(AUX_MATRIZES!$C$11:$BP$11,MIN(N_SEMANAS,MAX(1,$C462)))/DIAS_POR_SEMANA</f>
        <v>0</v>
      </c>
      <c r="N462" s="16" t="n">
        <f aca="false">MIN(CADASTRO_CASAS_BOMBA!$O$9,MAX(0,N461+CADASTRO_CASAS_BOMBA!$I$9*HORAS_CAPTACAO_DIA-M462))</f>
        <v>129000</v>
      </c>
      <c r="O462" s="16" t="n">
        <f aca="false">MAX(0,M462-CADASTRO_CASAS_BOMBA!$I$9*HORAS_CAPTACAO_DIA-N461)</f>
        <v>0</v>
      </c>
      <c r="P462" s="16" t="n">
        <f aca="false">INDEX(AUX_MATRIZES!$C$12:$BP$12,MIN(N_SEMANAS,MAX(1,$C462)))/DIAS_POR_SEMANA</f>
        <v>0</v>
      </c>
      <c r="Q462" s="16" t="n">
        <f aca="false">MIN(CADASTRO_CASAS_BOMBA!$O$10,MAX(0,Q461+CADASTRO_CASAS_BOMBA!$I$10*HORAS_CAPTACAO_DIA-P462))</f>
        <v>464010.814701826</v>
      </c>
      <c r="R462" s="16" t="n">
        <f aca="false">MAX(0,P462-CADASTRO_CASAS_BOMBA!$I$10*HORAS_CAPTACAO_DIA-Q461)</f>
        <v>0</v>
      </c>
      <c r="S462" s="16" t="n">
        <f aca="false">INDEX(AUX_MATRIZES!$C$13:$BP$13,MIN(N_SEMANAS,MAX(1,$C462)))/DIAS_POR_SEMANA</f>
        <v>0</v>
      </c>
      <c r="T462" s="16" t="n">
        <f aca="false">MIN(CADASTRO_CASAS_BOMBA!$O$11,MAX(0,T461+CADASTRO_CASAS_BOMBA!$I$11*HORAS_CAPTACAO_DIA-S462))</f>
        <v>469821</v>
      </c>
      <c r="U462" s="16" t="n">
        <f aca="false">MAX(0,S462-CADASTRO_CASAS_BOMBA!$I$11*HORAS_CAPTACAO_DIA-T461)</f>
        <v>0</v>
      </c>
      <c r="V462" s="16" t="n">
        <f aca="false">INDEX(AUX_MATRIZES!$C$14:$BP$14,MIN(N_SEMANAS,MAX(1,$C462)))/DIAS_POR_SEMANA</f>
        <v>0</v>
      </c>
      <c r="W462" s="16" t="n">
        <f aca="false">MIN(CADASTRO_CASAS_BOMBA!$O$12,MAX(0,W461+CADASTRO_CASAS_BOMBA!$I$12*HORAS_CAPTACAO_DIA-V462))</f>
        <v>440000</v>
      </c>
      <c r="X462" s="16" t="n">
        <f aca="false">MAX(0,V462-CADASTRO_CASAS_BOMBA!$I$12*HORAS_CAPTACAO_DIA-W461)</f>
        <v>0</v>
      </c>
      <c r="Y462" s="16" t="n">
        <f aca="false">INDEX(AUX_MATRIZES!$C$15:$BP$15,MIN(N_SEMANAS,MAX(1,$C462)))/DIAS_POR_SEMANA</f>
        <v>0</v>
      </c>
      <c r="Z462" s="16" t="n">
        <f aca="false">MIN(CADASTRO_CASAS_BOMBA!$O$13,MAX(0,Z461+CADASTRO_CASAS_BOMBA!$I$13*HORAS_CAPTACAO_DIA-Y462))</f>
        <v>74903</v>
      </c>
      <c r="AA462" s="16" t="n">
        <f aca="false">MAX(0,Y462-CADASTRO_CASAS_BOMBA!$I$13*HORAS_CAPTACAO_DIA-Z461)</f>
        <v>0</v>
      </c>
    </row>
    <row r="463" customFormat="false" ht="15" hidden="false" customHeight="false" outlineLevel="0" collapsed="false">
      <c r="B463" s="17" t="n">
        <f aca="false">DATA_INICIO_SAFRA+456</f>
        <v>46721</v>
      </c>
      <c r="C463" s="16" t="n">
        <f aca="false">MIN(N_SEMANAS,MAX(1,INT(($B463-DATA_INICIO_SAFRA)/DIAS_POR_SEMANA)+1))</f>
        <v>66</v>
      </c>
      <c r="D463" s="16" t="n">
        <f aca="false">INDEX(AUX_MATRIZES!$C$8:$BP$8,MIN(N_SEMANAS,MAX(1,$C463)))/DIAS_POR_SEMANA</f>
        <v>0</v>
      </c>
      <c r="E463" s="16" t="n">
        <f aca="false">MIN(CADASTRO_CASAS_BOMBA!$O$6,MAX(0,E462+CADASTRO_CASAS_BOMBA!$I$6*HORAS_CAPTACAO_DIA-D463))</f>
        <v>2600</v>
      </c>
      <c r="F463" s="16" t="n">
        <f aca="false">MAX(0,D463-CADASTRO_CASAS_BOMBA!$I$6*HORAS_CAPTACAO_DIA-E462)</f>
        <v>0</v>
      </c>
      <c r="G463" s="16" t="n">
        <f aca="false">INDEX(AUX_MATRIZES!$C$9:$BP$9,MIN(N_SEMANAS,MAX(1,$C463)))/DIAS_POR_SEMANA</f>
        <v>0</v>
      </c>
      <c r="H463" s="16" t="n">
        <f aca="false">MIN(CADASTRO_CASAS_BOMBA!$O$7,MAX(0,H462+CADASTRO_CASAS_BOMBA!$I$7*HORAS_CAPTACAO_DIA-G463))</f>
        <v>76648</v>
      </c>
      <c r="I463" s="16" t="n">
        <f aca="false">MAX(0,G463-CADASTRO_CASAS_BOMBA!$I$7*HORAS_CAPTACAO_DIA-H462)</f>
        <v>0</v>
      </c>
      <c r="J463" s="16" t="n">
        <f aca="false">INDEX(AUX_MATRIZES!$C$10:$BP$10,MIN(N_SEMANAS,MAX(1,$C463)))/DIAS_POR_SEMANA</f>
        <v>0</v>
      </c>
      <c r="K463" s="16" t="n">
        <f aca="false">MIN(CADASTRO_CASAS_BOMBA!$O$8,MAX(0,K462+CADASTRO_CASAS_BOMBA!$I$8*HORAS_CAPTACAO_DIA-J463))</f>
        <v>27377</v>
      </c>
      <c r="L463" s="16" t="n">
        <f aca="false">MAX(0,J463-CADASTRO_CASAS_BOMBA!$I$8*HORAS_CAPTACAO_DIA-K462)</f>
        <v>0</v>
      </c>
      <c r="M463" s="16" t="n">
        <f aca="false">INDEX(AUX_MATRIZES!$C$11:$BP$11,MIN(N_SEMANAS,MAX(1,$C463)))/DIAS_POR_SEMANA</f>
        <v>0</v>
      </c>
      <c r="N463" s="16" t="n">
        <f aca="false">MIN(CADASTRO_CASAS_BOMBA!$O$9,MAX(0,N462+CADASTRO_CASAS_BOMBA!$I$9*HORAS_CAPTACAO_DIA-M463))</f>
        <v>129000</v>
      </c>
      <c r="O463" s="16" t="n">
        <f aca="false">MAX(0,M463-CADASTRO_CASAS_BOMBA!$I$9*HORAS_CAPTACAO_DIA-N462)</f>
        <v>0</v>
      </c>
      <c r="P463" s="16" t="n">
        <f aca="false">INDEX(AUX_MATRIZES!$C$12:$BP$12,MIN(N_SEMANAS,MAX(1,$C463)))/DIAS_POR_SEMANA</f>
        <v>0</v>
      </c>
      <c r="Q463" s="16" t="n">
        <f aca="false">MIN(CADASTRO_CASAS_BOMBA!$O$10,MAX(0,Q462+CADASTRO_CASAS_BOMBA!$I$10*HORAS_CAPTACAO_DIA-P463))</f>
        <v>477093.214701826</v>
      </c>
      <c r="R463" s="16" t="n">
        <f aca="false">MAX(0,P463-CADASTRO_CASAS_BOMBA!$I$10*HORAS_CAPTACAO_DIA-Q462)</f>
        <v>0</v>
      </c>
      <c r="S463" s="16" t="n">
        <f aca="false">INDEX(AUX_MATRIZES!$C$13:$BP$13,MIN(N_SEMANAS,MAX(1,$C463)))/DIAS_POR_SEMANA</f>
        <v>0</v>
      </c>
      <c r="T463" s="16" t="n">
        <f aca="false">MIN(CADASTRO_CASAS_BOMBA!$O$11,MAX(0,T462+CADASTRO_CASAS_BOMBA!$I$11*HORAS_CAPTACAO_DIA-S463))</f>
        <v>469821</v>
      </c>
      <c r="U463" s="16" t="n">
        <f aca="false">MAX(0,S463-CADASTRO_CASAS_BOMBA!$I$11*HORAS_CAPTACAO_DIA-T462)</f>
        <v>0</v>
      </c>
      <c r="V463" s="16" t="n">
        <f aca="false">INDEX(AUX_MATRIZES!$C$14:$BP$14,MIN(N_SEMANAS,MAX(1,$C463)))/DIAS_POR_SEMANA</f>
        <v>0</v>
      </c>
      <c r="W463" s="16" t="n">
        <f aca="false">MIN(CADASTRO_CASAS_BOMBA!$O$12,MAX(0,W462+CADASTRO_CASAS_BOMBA!$I$12*HORAS_CAPTACAO_DIA-V463))</f>
        <v>440000</v>
      </c>
      <c r="X463" s="16" t="n">
        <f aca="false">MAX(0,V463-CADASTRO_CASAS_BOMBA!$I$12*HORAS_CAPTACAO_DIA-W462)</f>
        <v>0</v>
      </c>
      <c r="Y463" s="16" t="n">
        <f aca="false">INDEX(AUX_MATRIZES!$C$15:$BP$15,MIN(N_SEMANAS,MAX(1,$C463)))/DIAS_POR_SEMANA</f>
        <v>0</v>
      </c>
      <c r="Z463" s="16" t="n">
        <f aca="false">MIN(CADASTRO_CASAS_BOMBA!$O$13,MAX(0,Z462+CADASTRO_CASAS_BOMBA!$I$13*HORAS_CAPTACAO_DIA-Y463))</f>
        <v>74903</v>
      </c>
      <c r="AA463" s="16" t="n">
        <f aca="false">MAX(0,Y463-CADASTRO_CASAS_BOMBA!$I$13*HORAS_CAPTACAO_DIA-Z462)</f>
        <v>0</v>
      </c>
    </row>
    <row r="464" customFormat="false" ht="15" hidden="false" customHeight="false" outlineLevel="0" collapsed="false">
      <c r="B464" s="17" t="n">
        <f aca="false">DATA_INICIO_SAFRA+457</f>
        <v>46722</v>
      </c>
      <c r="C464" s="16" t="n">
        <f aca="false">MIN(N_SEMANAS,MAX(1,INT(($B464-DATA_INICIO_SAFRA)/DIAS_POR_SEMANA)+1))</f>
        <v>66</v>
      </c>
      <c r="D464" s="16" t="n">
        <f aca="false">INDEX(AUX_MATRIZES!$C$8:$BP$8,MIN(N_SEMANAS,MAX(1,$C464)))/DIAS_POR_SEMANA</f>
        <v>0</v>
      </c>
      <c r="E464" s="16" t="n">
        <f aca="false">MIN(CADASTRO_CASAS_BOMBA!$O$6,MAX(0,E463+CADASTRO_CASAS_BOMBA!$I$6*HORAS_CAPTACAO_DIA-D464))</f>
        <v>2600</v>
      </c>
      <c r="F464" s="16" t="n">
        <f aca="false">MAX(0,D464-CADASTRO_CASAS_BOMBA!$I$6*HORAS_CAPTACAO_DIA-E463)</f>
        <v>0</v>
      </c>
      <c r="G464" s="16" t="n">
        <f aca="false">INDEX(AUX_MATRIZES!$C$9:$BP$9,MIN(N_SEMANAS,MAX(1,$C464)))/DIAS_POR_SEMANA</f>
        <v>0</v>
      </c>
      <c r="H464" s="16" t="n">
        <f aca="false">MIN(CADASTRO_CASAS_BOMBA!$O$7,MAX(0,H463+CADASTRO_CASAS_BOMBA!$I$7*HORAS_CAPTACAO_DIA-G464))</f>
        <v>76648</v>
      </c>
      <c r="I464" s="16" t="n">
        <f aca="false">MAX(0,G464-CADASTRO_CASAS_BOMBA!$I$7*HORAS_CAPTACAO_DIA-H463)</f>
        <v>0</v>
      </c>
      <c r="J464" s="16" t="n">
        <f aca="false">INDEX(AUX_MATRIZES!$C$10:$BP$10,MIN(N_SEMANAS,MAX(1,$C464)))/DIAS_POR_SEMANA</f>
        <v>0</v>
      </c>
      <c r="K464" s="16" t="n">
        <f aca="false">MIN(CADASTRO_CASAS_BOMBA!$O$8,MAX(0,K463+CADASTRO_CASAS_BOMBA!$I$8*HORAS_CAPTACAO_DIA-J464))</f>
        <v>27377</v>
      </c>
      <c r="L464" s="16" t="n">
        <f aca="false">MAX(0,J464-CADASTRO_CASAS_BOMBA!$I$8*HORAS_CAPTACAO_DIA-K463)</f>
        <v>0</v>
      </c>
      <c r="M464" s="16" t="n">
        <f aca="false">INDEX(AUX_MATRIZES!$C$11:$BP$11,MIN(N_SEMANAS,MAX(1,$C464)))/DIAS_POR_SEMANA</f>
        <v>0</v>
      </c>
      <c r="N464" s="16" t="n">
        <f aca="false">MIN(CADASTRO_CASAS_BOMBA!$O$9,MAX(0,N463+CADASTRO_CASAS_BOMBA!$I$9*HORAS_CAPTACAO_DIA-M464))</f>
        <v>129000</v>
      </c>
      <c r="O464" s="16" t="n">
        <f aca="false">MAX(0,M464-CADASTRO_CASAS_BOMBA!$I$9*HORAS_CAPTACAO_DIA-N463)</f>
        <v>0</v>
      </c>
      <c r="P464" s="16" t="n">
        <f aca="false">INDEX(AUX_MATRIZES!$C$12:$BP$12,MIN(N_SEMANAS,MAX(1,$C464)))/DIAS_POR_SEMANA</f>
        <v>0</v>
      </c>
      <c r="Q464" s="16" t="n">
        <f aca="false">MIN(CADASTRO_CASAS_BOMBA!$O$10,MAX(0,Q463+CADASTRO_CASAS_BOMBA!$I$10*HORAS_CAPTACAO_DIA-P464))</f>
        <v>490175.614701826</v>
      </c>
      <c r="R464" s="16" t="n">
        <f aca="false">MAX(0,P464-CADASTRO_CASAS_BOMBA!$I$10*HORAS_CAPTACAO_DIA-Q463)</f>
        <v>0</v>
      </c>
      <c r="S464" s="16" t="n">
        <f aca="false">INDEX(AUX_MATRIZES!$C$13:$BP$13,MIN(N_SEMANAS,MAX(1,$C464)))/DIAS_POR_SEMANA</f>
        <v>0</v>
      </c>
      <c r="T464" s="16" t="n">
        <f aca="false">MIN(CADASTRO_CASAS_BOMBA!$O$11,MAX(0,T463+CADASTRO_CASAS_BOMBA!$I$11*HORAS_CAPTACAO_DIA-S464))</f>
        <v>469821</v>
      </c>
      <c r="U464" s="16" t="n">
        <f aca="false">MAX(0,S464-CADASTRO_CASAS_BOMBA!$I$11*HORAS_CAPTACAO_DIA-T463)</f>
        <v>0</v>
      </c>
      <c r="V464" s="16" t="n">
        <f aca="false">INDEX(AUX_MATRIZES!$C$14:$BP$14,MIN(N_SEMANAS,MAX(1,$C464)))/DIAS_POR_SEMANA</f>
        <v>0</v>
      </c>
      <c r="W464" s="16" t="n">
        <f aca="false">MIN(CADASTRO_CASAS_BOMBA!$O$12,MAX(0,W463+CADASTRO_CASAS_BOMBA!$I$12*HORAS_CAPTACAO_DIA-V464))</f>
        <v>440000</v>
      </c>
      <c r="X464" s="16" t="n">
        <f aca="false">MAX(0,V464-CADASTRO_CASAS_BOMBA!$I$12*HORAS_CAPTACAO_DIA-W463)</f>
        <v>0</v>
      </c>
      <c r="Y464" s="16" t="n">
        <f aca="false">INDEX(AUX_MATRIZES!$C$15:$BP$15,MIN(N_SEMANAS,MAX(1,$C464)))/DIAS_POR_SEMANA</f>
        <v>0</v>
      </c>
      <c r="Z464" s="16" t="n">
        <f aca="false">MIN(CADASTRO_CASAS_BOMBA!$O$13,MAX(0,Z463+CADASTRO_CASAS_BOMBA!$I$13*HORAS_CAPTACAO_DIA-Y464))</f>
        <v>74903</v>
      </c>
      <c r="AA464" s="16" t="n">
        <f aca="false">MAX(0,Y464-CADASTRO_CASAS_BOMBA!$I$13*HORAS_CAPTACAO_DIA-Z463)</f>
        <v>0</v>
      </c>
    </row>
    <row r="465" customFormat="false" ht="15" hidden="false" customHeight="false" outlineLevel="0" collapsed="false">
      <c r="B465" s="17" t="n">
        <f aca="false">DATA_INICIO_SAFRA+458</f>
        <v>46723</v>
      </c>
      <c r="C465" s="16" t="n">
        <f aca="false">MIN(N_SEMANAS,MAX(1,INT(($B465-DATA_INICIO_SAFRA)/DIAS_POR_SEMANA)+1))</f>
        <v>66</v>
      </c>
      <c r="D465" s="16" t="n">
        <f aca="false">INDEX(AUX_MATRIZES!$C$8:$BP$8,MIN(N_SEMANAS,MAX(1,$C465)))/DIAS_POR_SEMANA</f>
        <v>0</v>
      </c>
      <c r="E465" s="16" t="n">
        <f aca="false">MIN(CADASTRO_CASAS_BOMBA!$O$6,MAX(0,E464+CADASTRO_CASAS_BOMBA!$I$6*HORAS_CAPTACAO_DIA-D465))</f>
        <v>2600</v>
      </c>
      <c r="F465" s="16" t="n">
        <f aca="false">MAX(0,D465-CADASTRO_CASAS_BOMBA!$I$6*HORAS_CAPTACAO_DIA-E464)</f>
        <v>0</v>
      </c>
      <c r="G465" s="16" t="n">
        <f aca="false">INDEX(AUX_MATRIZES!$C$9:$BP$9,MIN(N_SEMANAS,MAX(1,$C465)))/DIAS_POR_SEMANA</f>
        <v>0</v>
      </c>
      <c r="H465" s="16" t="n">
        <f aca="false">MIN(CADASTRO_CASAS_BOMBA!$O$7,MAX(0,H464+CADASTRO_CASAS_BOMBA!$I$7*HORAS_CAPTACAO_DIA-G465))</f>
        <v>76648</v>
      </c>
      <c r="I465" s="16" t="n">
        <f aca="false">MAX(0,G465-CADASTRO_CASAS_BOMBA!$I$7*HORAS_CAPTACAO_DIA-H464)</f>
        <v>0</v>
      </c>
      <c r="J465" s="16" t="n">
        <f aca="false">INDEX(AUX_MATRIZES!$C$10:$BP$10,MIN(N_SEMANAS,MAX(1,$C465)))/DIAS_POR_SEMANA</f>
        <v>0</v>
      </c>
      <c r="K465" s="16" t="n">
        <f aca="false">MIN(CADASTRO_CASAS_BOMBA!$O$8,MAX(0,K464+CADASTRO_CASAS_BOMBA!$I$8*HORAS_CAPTACAO_DIA-J465))</f>
        <v>27377</v>
      </c>
      <c r="L465" s="16" t="n">
        <f aca="false">MAX(0,J465-CADASTRO_CASAS_BOMBA!$I$8*HORAS_CAPTACAO_DIA-K464)</f>
        <v>0</v>
      </c>
      <c r="M465" s="16" t="n">
        <f aca="false">INDEX(AUX_MATRIZES!$C$11:$BP$11,MIN(N_SEMANAS,MAX(1,$C465)))/DIAS_POR_SEMANA</f>
        <v>0</v>
      </c>
      <c r="N465" s="16" t="n">
        <f aca="false">MIN(CADASTRO_CASAS_BOMBA!$O$9,MAX(0,N464+CADASTRO_CASAS_BOMBA!$I$9*HORAS_CAPTACAO_DIA-M465))</f>
        <v>129000</v>
      </c>
      <c r="O465" s="16" t="n">
        <f aca="false">MAX(0,M465-CADASTRO_CASAS_BOMBA!$I$9*HORAS_CAPTACAO_DIA-N464)</f>
        <v>0</v>
      </c>
      <c r="P465" s="16" t="n">
        <f aca="false">INDEX(AUX_MATRIZES!$C$12:$BP$12,MIN(N_SEMANAS,MAX(1,$C465)))/DIAS_POR_SEMANA</f>
        <v>0</v>
      </c>
      <c r="Q465" s="16" t="n">
        <f aca="false">MIN(CADASTRO_CASAS_BOMBA!$O$10,MAX(0,Q464+CADASTRO_CASAS_BOMBA!$I$10*HORAS_CAPTACAO_DIA-P465))</f>
        <v>503258.014701826</v>
      </c>
      <c r="R465" s="16" t="n">
        <f aca="false">MAX(0,P465-CADASTRO_CASAS_BOMBA!$I$10*HORAS_CAPTACAO_DIA-Q464)</f>
        <v>0</v>
      </c>
      <c r="S465" s="16" t="n">
        <f aca="false">INDEX(AUX_MATRIZES!$C$13:$BP$13,MIN(N_SEMANAS,MAX(1,$C465)))/DIAS_POR_SEMANA</f>
        <v>0</v>
      </c>
      <c r="T465" s="16" t="n">
        <f aca="false">MIN(CADASTRO_CASAS_BOMBA!$O$11,MAX(0,T464+CADASTRO_CASAS_BOMBA!$I$11*HORAS_CAPTACAO_DIA-S465))</f>
        <v>469821</v>
      </c>
      <c r="U465" s="16" t="n">
        <f aca="false">MAX(0,S465-CADASTRO_CASAS_BOMBA!$I$11*HORAS_CAPTACAO_DIA-T464)</f>
        <v>0</v>
      </c>
      <c r="V465" s="16" t="n">
        <f aca="false">INDEX(AUX_MATRIZES!$C$14:$BP$14,MIN(N_SEMANAS,MAX(1,$C465)))/DIAS_POR_SEMANA</f>
        <v>0</v>
      </c>
      <c r="W465" s="16" t="n">
        <f aca="false">MIN(CADASTRO_CASAS_BOMBA!$O$12,MAX(0,W464+CADASTRO_CASAS_BOMBA!$I$12*HORAS_CAPTACAO_DIA-V465))</f>
        <v>440000</v>
      </c>
      <c r="X465" s="16" t="n">
        <f aca="false">MAX(0,V465-CADASTRO_CASAS_BOMBA!$I$12*HORAS_CAPTACAO_DIA-W464)</f>
        <v>0</v>
      </c>
      <c r="Y465" s="16" t="n">
        <f aca="false">INDEX(AUX_MATRIZES!$C$15:$BP$15,MIN(N_SEMANAS,MAX(1,$C465)))/DIAS_POR_SEMANA</f>
        <v>0</v>
      </c>
      <c r="Z465" s="16" t="n">
        <f aca="false">MIN(CADASTRO_CASAS_BOMBA!$O$13,MAX(0,Z464+CADASTRO_CASAS_BOMBA!$I$13*HORAS_CAPTACAO_DIA-Y465))</f>
        <v>74903</v>
      </c>
      <c r="AA465" s="16" t="n">
        <f aca="false">MAX(0,Y465-CADASTRO_CASAS_BOMBA!$I$13*HORAS_CAPTACAO_DIA-Z464)</f>
        <v>0</v>
      </c>
    </row>
    <row r="466" customFormat="false" ht="15" hidden="false" customHeight="false" outlineLevel="0" collapsed="false">
      <c r="B466" s="17" t="n">
        <f aca="false">DATA_INICIO_SAFRA+459</f>
        <v>46724</v>
      </c>
      <c r="C466" s="16" t="n">
        <f aca="false">MIN(N_SEMANAS,MAX(1,INT(($B466-DATA_INICIO_SAFRA)/DIAS_POR_SEMANA)+1))</f>
        <v>66</v>
      </c>
      <c r="D466" s="16" t="n">
        <f aca="false">INDEX(AUX_MATRIZES!$C$8:$BP$8,MIN(N_SEMANAS,MAX(1,$C466)))/DIAS_POR_SEMANA</f>
        <v>0</v>
      </c>
      <c r="E466" s="16" t="n">
        <f aca="false">MIN(CADASTRO_CASAS_BOMBA!$O$6,MAX(0,E465+CADASTRO_CASAS_BOMBA!$I$6*HORAS_CAPTACAO_DIA-D466))</f>
        <v>2600</v>
      </c>
      <c r="F466" s="16" t="n">
        <f aca="false">MAX(0,D466-CADASTRO_CASAS_BOMBA!$I$6*HORAS_CAPTACAO_DIA-E465)</f>
        <v>0</v>
      </c>
      <c r="G466" s="16" t="n">
        <f aca="false">INDEX(AUX_MATRIZES!$C$9:$BP$9,MIN(N_SEMANAS,MAX(1,$C466)))/DIAS_POR_SEMANA</f>
        <v>0</v>
      </c>
      <c r="H466" s="16" t="n">
        <f aca="false">MIN(CADASTRO_CASAS_BOMBA!$O$7,MAX(0,H465+CADASTRO_CASAS_BOMBA!$I$7*HORAS_CAPTACAO_DIA-G466))</f>
        <v>76648</v>
      </c>
      <c r="I466" s="16" t="n">
        <f aca="false">MAX(0,G466-CADASTRO_CASAS_BOMBA!$I$7*HORAS_CAPTACAO_DIA-H465)</f>
        <v>0</v>
      </c>
      <c r="J466" s="16" t="n">
        <f aca="false">INDEX(AUX_MATRIZES!$C$10:$BP$10,MIN(N_SEMANAS,MAX(1,$C466)))/DIAS_POR_SEMANA</f>
        <v>0</v>
      </c>
      <c r="K466" s="16" t="n">
        <f aca="false">MIN(CADASTRO_CASAS_BOMBA!$O$8,MAX(0,K465+CADASTRO_CASAS_BOMBA!$I$8*HORAS_CAPTACAO_DIA-J466))</f>
        <v>27377</v>
      </c>
      <c r="L466" s="16" t="n">
        <f aca="false">MAX(0,J466-CADASTRO_CASAS_BOMBA!$I$8*HORAS_CAPTACAO_DIA-K465)</f>
        <v>0</v>
      </c>
      <c r="M466" s="16" t="n">
        <f aca="false">INDEX(AUX_MATRIZES!$C$11:$BP$11,MIN(N_SEMANAS,MAX(1,$C466)))/DIAS_POR_SEMANA</f>
        <v>0</v>
      </c>
      <c r="N466" s="16" t="n">
        <f aca="false">MIN(CADASTRO_CASAS_BOMBA!$O$9,MAX(0,N465+CADASTRO_CASAS_BOMBA!$I$9*HORAS_CAPTACAO_DIA-M466))</f>
        <v>129000</v>
      </c>
      <c r="O466" s="16" t="n">
        <f aca="false">MAX(0,M466-CADASTRO_CASAS_BOMBA!$I$9*HORAS_CAPTACAO_DIA-N465)</f>
        <v>0</v>
      </c>
      <c r="P466" s="16" t="n">
        <f aca="false">INDEX(AUX_MATRIZES!$C$12:$BP$12,MIN(N_SEMANAS,MAX(1,$C466)))/DIAS_POR_SEMANA</f>
        <v>0</v>
      </c>
      <c r="Q466" s="16" t="n">
        <f aca="false">MIN(CADASTRO_CASAS_BOMBA!$O$10,MAX(0,Q465+CADASTRO_CASAS_BOMBA!$I$10*HORAS_CAPTACAO_DIA-P466))</f>
        <v>516340.414701826</v>
      </c>
      <c r="R466" s="16" t="n">
        <f aca="false">MAX(0,P466-CADASTRO_CASAS_BOMBA!$I$10*HORAS_CAPTACAO_DIA-Q465)</f>
        <v>0</v>
      </c>
      <c r="S466" s="16" t="n">
        <f aca="false">INDEX(AUX_MATRIZES!$C$13:$BP$13,MIN(N_SEMANAS,MAX(1,$C466)))/DIAS_POR_SEMANA</f>
        <v>0</v>
      </c>
      <c r="T466" s="16" t="n">
        <f aca="false">MIN(CADASTRO_CASAS_BOMBA!$O$11,MAX(0,T465+CADASTRO_CASAS_BOMBA!$I$11*HORAS_CAPTACAO_DIA-S466))</f>
        <v>469821</v>
      </c>
      <c r="U466" s="16" t="n">
        <f aca="false">MAX(0,S466-CADASTRO_CASAS_BOMBA!$I$11*HORAS_CAPTACAO_DIA-T465)</f>
        <v>0</v>
      </c>
      <c r="V466" s="16" t="n">
        <f aca="false">INDEX(AUX_MATRIZES!$C$14:$BP$14,MIN(N_SEMANAS,MAX(1,$C466)))/DIAS_POR_SEMANA</f>
        <v>0</v>
      </c>
      <c r="W466" s="16" t="n">
        <f aca="false">MIN(CADASTRO_CASAS_BOMBA!$O$12,MAX(0,W465+CADASTRO_CASAS_BOMBA!$I$12*HORAS_CAPTACAO_DIA-V466))</f>
        <v>440000</v>
      </c>
      <c r="X466" s="16" t="n">
        <f aca="false">MAX(0,V466-CADASTRO_CASAS_BOMBA!$I$12*HORAS_CAPTACAO_DIA-W465)</f>
        <v>0</v>
      </c>
      <c r="Y466" s="16" t="n">
        <f aca="false">INDEX(AUX_MATRIZES!$C$15:$BP$15,MIN(N_SEMANAS,MAX(1,$C466)))/DIAS_POR_SEMANA</f>
        <v>0</v>
      </c>
      <c r="Z466" s="16" t="n">
        <f aca="false">MIN(CADASTRO_CASAS_BOMBA!$O$13,MAX(0,Z465+CADASTRO_CASAS_BOMBA!$I$13*HORAS_CAPTACAO_DIA-Y466))</f>
        <v>74903</v>
      </c>
      <c r="AA466" s="16" t="n">
        <f aca="false">MAX(0,Y466-CADASTRO_CASAS_BOMBA!$I$13*HORAS_CAPTACAO_DIA-Z465)</f>
        <v>0</v>
      </c>
    </row>
    <row r="467" customFormat="false" ht="15" hidden="false" customHeight="false" outlineLevel="0" collapsed="false">
      <c r="B467" s="17" t="n">
        <f aca="false">DATA_INICIO_SAFRA+460</f>
        <v>46725</v>
      </c>
      <c r="C467" s="16" t="n">
        <f aca="false">MIN(N_SEMANAS,MAX(1,INT(($B467-DATA_INICIO_SAFRA)/DIAS_POR_SEMANA)+1))</f>
        <v>66</v>
      </c>
      <c r="D467" s="16" t="n">
        <f aca="false">INDEX(AUX_MATRIZES!$C$8:$BP$8,MIN(N_SEMANAS,MAX(1,$C467)))/DIAS_POR_SEMANA</f>
        <v>0</v>
      </c>
      <c r="E467" s="16" t="n">
        <f aca="false">MIN(CADASTRO_CASAS_BOMBA!$O$6,MAX(0,E466+CADASTRO_CASAS_BOMBA!$I$6*HORAS_CAPTACAO_DIA-D467))</f>
        <v>2600</v>
      </c>
      <c r="F467" s="16" t="n">
        <f aca="false">MAX(0,D467-CADASTRO_CASAS_BOMBA!$I$6*HORAS_CAPTACAO_DIA-E466)</f>
        <v>0</v>
      </c>
      <c r="G467" s="16" t="n">
        <f aca="false">INDEX(AUX_MATRIZES!$C$9:$BP$9,MIN(N_SEMANAS,MAX(1,$C467)))/DIAS_POR_SEMANA</f>
        <v>0</v>
      </c>
      <c r="H467" s="16" t="n">
        <f aca="false">MIN(CADASTRO_CASAS_BOMBA!$O$7,MAX(0,H466+CADASTRO_CASAS_BOMBA!$I$7*HORAS_CAPTACAO_DIA-G467))</f>
        <v>76648</v>
      </c>
      <c r="I467" s="16" t="n">
        <f aca="false">MAX(0,G467-CADASTRO_CASAS_BOMBA!$I$7*HORAS_CAPTACAO_DIA-H466)</f>
        <v>0</v>
      </c>
      <c r="J467" s="16" t="n">
        <f aca="false">INDEX(AUX_MATRIZES!$C$10:$BP$10,MIN(N_SEMANAS,MAX(1,$C467)))/DIAS_POR_SEMANA</f>
        <v>0</v>
      </c>
      <c r="K467" s="16" t="n">
        <f aca="false">MIN(CADASTRO_CASAS_BOMBA!$O$8,MAX(0,K466+CADASTRO_CASAS_BOMBA!$I$8*HORAS_CAPTACAO_DIA-J467))</f>
        <v>27377</v>
      </c>
      <c r="L467" s="16" t="n">
        <f aca="false">MAX(0,J467-CADASTRO_CASAS_BOMBA!$I$8*HORAS_CAPTACAO_DIA-K466)</f>
        <v>0</v>
      </c>
      <c r="M467" s="16" t="n">
        <f aca="false">INDEX(AUX_MATRIZES!$C$11:$BP$11,MIN(N_SEMANAS,MAX(1,$C467)))/DIAS_POR_SEMANA</f>
        <v>0</v>
      </c>
      <c r="N467" s="16" t="n">
        <f aca="false">MIN(CADASTRO_CASAS_BOMBA!$O$9,MAX(0,N466+CADASTRO_CASAS_BOMBA!$I$9*HORAS_CAPTACAO_DIA-M467))</f>
        <v>129000</v>
      </c>
      <c r="O467" s="16" t="n">
        <f aca="false">MAX(0,M467-CADASTRO_CASAS_BOMBA!$I$9*HORAS_CAPTACAO_DIA-N466)</f>
        <v>0</v>
      </c>
      <c r="P467" s="16" t="n">
        <f aca="false">INDEX(AUX_MATRIZES!$C$12:$BP$12,MIN(N_SEMANAS,MAX(1,$C467)))/DIAS_POR_SEMANA</f>
        <v>0</v>
      </c>
      <c r="Q467" s="16" t="n">
        <f aca="false">MIN(CADASTRO_CASAS_BOMBA!$O$10,MAX(0,Q466+CADASTRO_CASAS_BOMBA!$I$10*HORAS_CAPTACAO_DIA-P467))</f>
        <v>529422.814701826</v>
      </c>
      <c r="R467" s="16" t="n">
        <f aca="false">MAX(0,P467-CADASTRO_CASAS_BOMBA!$I$10*HORAS_CAPTACAO_DIA-Q466)</f>
        <v>0</v>
      </c>
      <c r="S467" s="16" t="n">
        <f aca="false">INDEX(AUX_MATRIZES!$C$13:$BP$13,MIN(N_SEMANAS,MAX(1,$C467)))/DIAS_POR_SEMANA</f>
        <v>0</v>
      </c>
      <c r="T467" s="16" t="n">
        <f aca="false">MIN(CADASTRO_CASAS_BOMBA!$O$11,MAX(0,T466+CADASTRO_CASAS_BOMBA!$I$11*HORAS_CAPTACAO_DIA-S467))</f>
        <v>469821</v>
      </c>
      <c r="U467" s="16" t="n">
        <f aca="false">MAX(0,S467-CADASTRO_CASAS_BOMBA!$I$11*HORAS_CAPTACAO_DIA-T466)</f>
        <v>0</v>
      </c>
      <c r="V467" s="16" t="n">
        <f aca="false">INDEX(AUX_MATRIZES!$C$14:$BP$14,MIN(N_SEMANAS,MAX(1,$C467)))/DIAS_POR_SEMANA</f>
        <v>0</v>
      </c>
      <c r="W467" s="16" t="n">
        <f aca="false">MIN(CADASTRO_CASAS_BOMBA!$O$12,MAX(0,W466+CADASTRO_CASAS_BOMBA!$I$12*HORAS_CAPTACAO_DIA-V467))</f>
        <v>440000</v>
      </c>
      <c r="X467" s="16" t="n">
        <f aca="false">MAX(0,V467-CADASTRO_CASAS_BOMBA!$I$12*HORAS_CAPTACAO_DIA-W466)</f>
        <v>0</v>
      </c>
      <c r="Y467" s="16" t="n">
        <f aca="false">INDEX(AUX_MATRIZES!$C$15:$BP$15,MIN(N_SEMANAS,MAX(1,$C467)))/DIAS_POR_SEMANA</f>
        <v>0</v>
      </c>
      <c r="Z467" s="16" t="n">
        <f aca="false">MIN(CADASTRO_CASAS_BOMBA!$O$13,MAX(0,Z466+CADASTRO_CASAS_BOMBA!$I$13*HORAS_CAPTACAO_DIA-Y467))</f>
        <v>74903</v>
      </c>
      <c r="AA467" s="16" t="n">
        <f aca="false">MAX(0,Y467-CADASTRO_CASAS_BOMBA!$I$13*HORAS_CAPTACAO_DIA-Z466)</f>
        <v>0</v>
      </c>
    </row>
    <row r="468" customFormat="false" ht="15" hidden="false" customHeight="false" outlineLevel="0" collapsed="false">
      <c r="B468" s="17" t="n">
        <f aca="false">DATA_INICIO_SAFRA+461</f>
        <v>46726</v>
      </c>
      <c r="C468" s="16" t="n">
        <f aca="false">MIN(N_SEMANAS,MAX(1,INT(($B468-DATA_INICIO_SAFRA)/DIAS_POR_SEMANA)+1))</f>
        <v>66</v>
      </c>
      <c r="D468" s="16" t="n">
        <f aca="false">INDEX(AUX_MATRIZES!$C$8:$BP$8,MIN(N_SEMANAS,MAX(1,$C468)))/DIAS_POR_SEMANA</f>
        <v>0</v>
      </c>
      <c r="E468" s="16" t="n">
        <f aca="false">MIN(CADASTRO_CASAS_BOMBA!$O$6,MAX(0,E467+CADASTRO_CASAS_BOMBA!$I$6*HORAS_CAPTACAO_DIA-D468))</f>
        <v>2600</v>
      </c>
      <c r="F468" s="16" t="n">
        <f aca="false">MAX(0,D468-CADASTRO_CASAS_BOMBA!$I$6*HORAS_CAPTACAO_DIA-E467)</f>
        <v>0</v>
      </c>
      <c r="G468" s="16" t="n">
        <f aca="false">INDEX(AUX_MATRIZES!$C$9:$BP$9,MIN(N_SEMANAS,MAX(1,$C468)))/DIAS_POR_SEMANA</f>
        <v>0</v>
      </c>
      <c r="H468" s="16" t="n">
        <f aca="false">MIN(CADASTRO_CASAS_BOMBA!$O$7,MAX(0,H467+CADASTRO_CASAS_BOMBA!$I$7*HORAS_CAPTACAO_DIA-G468))</f>
        <v>76648</v>
      </c>
      <c r="I468" s="16" t="n">
        <f aca="false">MAX(0,G468-CADASTRO_CASAS_BOMBA!$I$7*HORAS_CAPTACAO_DIA-H467)</f>
        <v>0</v>
      </c>
      <c r="J468" s="16" t="n">
        <f aca="false">INDEX(AUX_MATRIZES!$C$10:$BP$10,MIN(N_SEMANAS,MAX(1,$C468)))/DIAS_POR_SEMANA</f>
        <v>0</v>
      </c>
      <c r="K468" s="16" t="n">
        <f aca="false">MIN(CADASTRO_CASAS_BOMBA!$O$8,MAX(0,K467+CADASTRO_CASAS_BOMBA!$I$8*HORAS_CAPTACAO_DIA-J468))</f>
        <v>27377</v>
      </c>
      <c r="L468" s="16" t="n">
        <f aca="false">MAX(0,J468-CADASTRO_CASAS_BOMBA!$I$8*HORAS_CAPTACAO_DIA-K467)</f>
        <v>0</v>
      </c>
      <c r="M468" s="16" t="n">
        <f aca="false">INDEX(AUX_MATRIZES!$C$11:$BP$11,MIN(N_SEMANAS,MAX(1,$C468)))/DIAS_POR_SEMANA</f>
        <v>0</v>
      </c>
      <c r="N468" s="16" t="n">
        <f aca="false">MIN(CADASTRO_CASAS_BOMBA!$O$9,MAX(0,N467+CADASTRO_CASAS_BOMBA!$I$9*HORAS_CAPTACAO_DIA-M468))</f>
        <v>129000</v>
      </c>
      <c r="O468" s="16" t="n">
        <f aca="false">MAX(0,M468-CADASTRO_CASAS_BOMBA!$I$9*HORAS_CAPTACAO_DIA-N467)</f>
        <v>0</v>
      </c>
      <c r="P468" s="16" t="n">
        <f aca="false">INDEX(AUX_MATRIZES!$C$12:$BP$12,MIN(N_SEMANAS,MAX(1,$C468)))/DIAS_POR_SEMANA</f>
        <v>0</v>
      </c>
      <c r="Q468" s="16" t="n">
        <f aca="false">MIN(CADASTRO_CASAS_BOMBA!$O$10,MAX(0,Q467+CADASTRO_CASAS_BOMBA!$I$10*HORAS_CAPTACAO_DIA-P468))</f>
        <v>542505.214701826</v>
      </c>
      <c r="R468" s="16" t="n">
        <f aca="false">MAX(0,P468-CADASTRO_CASAS_BOMBA!$I$10*HORAS_CAPTACAO_DIA-Q467)</f>
        <v>0</v>
      </c>
      <c r="S468" s="16" t="n">
        <f aca="false">INDEX(AUX_MATRIZES!$C$13:$BP$13,MIN(N_SEMANAS,MAX(1,$C468)))/DIAS_POR_SEMANA</f>
        <v>0</v>
      </c>
      <c r="T468" s="16" t="n">
        <f aca="false">MIN(CADASTRO_CASAS_BOMBA!$O$11,MAX(0,T467+CADASTRO_CASAS_BOMBA!$I$11*HORAS_CAPTACAO_DIA-S468))</f>
        <v>469821</v>
      </c>
      <c r="U468" s="16" t="n">
        <f aca="false">MAX(0,S468-CADASTRO_CASAS_BOMBA!$I$11*HORAS_CAPTACAO_DIA-T467)</f>
        <v>0</v>
      </c>
      <c r="V468" s="16" t="n">
        <f aca="false">INDEX(AUX_MATRIZES!$C$14:$BP$14,MIN(N_SEMANAS,MAX(1,$C468)))/DIAS_POR_SEMANA</f>
        <v>0</v>
      </c>
      <c r="W468" s="16" t="n">
        <f aca="false">MIN(CADASTRO_CASAS_BOMBA!$O$12,MAX(0,W467+CADASTRO_CASAS_BOMBA!$I$12*HORAS_CAPTACAO_DIA-V468))</f>
        <v>440000</v>
      </c>
      <c r="X468" s="16" t="n">
        <f aca="false">MAX(0,V468-CADASTRO_CASAS_BOMBA!$I$12*HORAS_CAPTACAO_DIA-W467)</f>
        <v>0</v>
      </c>
      <c r="Y468" s="16" t="n">
        <f aca="false">INDEX(AUX_MATRIZES!$C$15:$BP$15,MIN(N_SEMANAS,MAX(1,$C468)))/DIAS_POR_SEMANA</f>
        <v>0</v>
      </c>
      <c r="Z468" s="16" t="n">
        <f aca="false">MIN(CADASTRO_CASAS_BOMBA!$O$13,MAX(0,Z467+CADASTRO_CASAS_BOMBA!$I$13*HORAS_CAPTACAO_DIA-Y468))</f>
        <v>74903</v>
      </c>
      <c r="AA468" s="16" t="n">
        <f aca="false">MAX(0,Y468-CADASTRO_CASAS_BOMBA!$I$13*HORAS_CAPTACAO_DIA-Z467)</f>
        <v>0</v>
      </c>
    </row>
  </sheetData>
  <mergeCells count="10">
    <mergeCell ref="B2:X2"/>
    <mergeCell ref="B3:X3"/>
    <mergeCell ref="D5:F5"/>
    <mergeCell ref="G5:I5"/>
    <mergeCell ref="J5:L5"/>
    <mergeCell ref="M5:O5"/>
    <mergeCell ref="P5:R5"/>
    <mergeCell ref="S5:U5"/>
    <mergeCell ref="V5:X5"/>
    <mergeCell ref="Y5:AA5"/>
  </mergeCells>
  <conditionalFormatting sqref="E7:E468">
    <cfRule type="colorScale" priority="2">
      <colorScale>
        <cfvo type="num" val="0"/>
        <cfvo type="percentile" val="50"/>
        <cfvo type="max" val="0"/>
        <color rgb="FFF8696B"/>
        <color rgb="FFFFEB9C"/>
        <color rgb="FFC6EFCE"/>
      </colorScale>
    </cfRule>
  </conditionalFormatting>
  <conditionalFormatting sqref="F7:F468">
    <cfRule type="cellIs" priority="3" operator="greaterThan" aboveAverage="0" equalAverage="0" bottom="0" percent="0" rank="0" text="" dxfId="0">
      <formula>0</formula>
    </cfRule>
  </conditionalFormatting>
  <conditionalFormatting sqref="H7:H468">
    <cfRule type="colorScale" priority="4">
      <colorScale>
        <cfvo type="num" val="0"/>
        <cfvo type="percentile" val="50"/>
        <cfvo type="max" val="0"/>
        <color rgb="FFF8696B"/>
        <color rgb="FFFFEB9C"/>
        <color rgb="FFC6EFCE"/>
      </colorScale>
    </cfRule>
  </conditionalFormatting>
  <conditionalFormatting sqref="I7:I468">
    <cfRule type="cellIs" priority="5" operator="greaterThan" aboveAverage="0" equalAverage="0" bottom="0" percent="0" rank="0" text="" dxfId="0">
      <formula>0</formula>
    </cfRule>
  </conditionalFormatting>
  <conditionalFormatting sqref="K7:K468">
    <cfRule type="colorScale" priority="6">
      <colorScale>
        <cfvo type="num" val="0"/>
        <cfvo type="percentile" val="50"/>
        <cfvo type="max" val="0"/>
        <color rgb="FFF8696B"/>
        <color rgb="FFFFEB9C"/>
        <color rgb="FFC6EFCE"/>
      </colorScale>
    </cfRule>
  </conditionalFormatting>
  <conditionalFormatting sqref="L7:L468">
    <cfRule type="cellIs" priority="7" operator="greaterThan" aboveAverage="0" equalAverage="0" bottom="0" percent="0" rank="0" text="" dxfId="0">
      <formula>0</formula>
    </cfRule>
  </conditionalFormatting>
  <conditionalFormatting sqref="N7:N468">
    <cfRule type="colorScale" priority="8">
      <colorScale>
        <cfvo type="num" val="0"/>
        <cfvo type="percentile" val="50"/>
        <cfvo type="max" val="0"/>
        <color rgb="FFF8696B"/>
        <color rgb="FFFFEB9C"/>
        <color rgb="FFC6EFCE"/>
      </colorScale>
    </cfRule>
  </conditionalFormatting>
  <conditionalFormatting sqref="O7:O468">
    <cfRule type="cellIs" priority="9" operator="greaterThan" aboveAverage="0" equalAverage="0" bottom="0" percent="0" rank="0" text="" dxfId="0">
      <formula>0</formula>
    </cfRule>
  </conditionalFormatting>
  <conditionalFormatting sqref="Q7:Q468">
    <cfRule type="colorScale" priority="10">
      <colorScale>
        <cfvo type="num" val="0"/>
        <cfvo type="percentile" val="50"/>
        <cfvo type="max" val="0"/>
        <color rgb="FFF8696B"/>
        <color rgb="FFFFEB9C"/>
        <color rgb="FFC6EFCE"/>
      </colorScale>
    </cfRule>
  </conditionalFormatting>
  <conditionalFormatting sqref="R7:R468">
    <cfRule type="cellIs" priority="11" operator="greaterThan" aboveAverage="0" equalAverage="0" bottom="0" percent="0" rank="0" text="" dxfId="0">
      <formula>0</formula>
    </cfRule>
  </conditionalFormatting>
  <conditionalFormatting sqref="T7:T468">
    <cfRule type="colorScale" priority="12">
      <colorScale>
        <cfvo type="num" val="0"/>
        <cfvo type="percentile" val="50"/>
        <cfvo type="max" val="0"/>
        <color rgb="FFF8696B"/>
        <color rgb="FFFFEB9C"/>
        <color rgb="FFC6EFCE"/>
      </colorScale>
    </cfRule>
  </conditionalFormatting>
  <conditionalFormatting sqref="U7:U468">
    <cfRule type="cellIs" priority="13" operator="greaterThan" aboveAverage="0" equalAverage="0" bottom="0" percent="0" rank="0" text="" dxfId="0">
      <formula>0</formula>
    </cfRule>
  </conditionalFormatting>
  <conditionalFormatting sqref="W7:W468">
    <cfRule type="colorScale" priority="14">
      <colorScale>
        <cfvo type="num" val="0"/>
        <cfvo type="percentile" val="50"/>
        <cfvo type="max" val="0"/>
        <color rgb="FFF8696B"/>
        <color rgb="FFFFEB9C"/>
        <color rgb="FFC6EFCE"/>
      </colorScale>
    </cfRule>
  </conditionalFormatting>
  <conditionalFormatting sqref="X7:X468">
    <cfRule type="cellIs" priority="15" operator="greaterThan" aboveAverage="0" equalAverage="0" bottom="0" percent="0" rank="0" text="" dxfId="0">
      <formula>0</formula>
    </cfRule>
  </conditionalFormatting>
  <conditionalFormatting sqref="Z7:Z468">
    <cfRule type="colorScale" priority="16">
      <colorScale>
        <cfvo type="num" val="0"/>
        <cfvo type="percentile" val="50"/>
        <cfvo type="max" val="0"/>
        <color rgb="FFF8696B"/>
        <color rgb="FFFFEB9C"/>
        <color rgb="FFC6EFCE"/>
      </colorScale>
    </cfRule>
  </conditionalFormatting>
  <conditionalFormatting sqref="AA7:AA468">
    <cfRule type="cellIs" priority="17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2" customFormat="false" ht="30" hidden="false" customHeight="true" outlineLevel="0" collapsed="false">
      <c r="B2" s="1" t="s">
        <v>165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5.5" hidden="false" customHeight="true" outlineLevel="0" collapsed="false">
      <c r="B3" s="2" t="s">
        <v>166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P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68" min="3" style="0" width="9"/>
  </cols>
  <sheetData>
    <row r="2" customFormat="false" ht="30" hidden="false" customHeight="true" outlineLevel="0" collapsed="false">
      <c r="B2" s="1" t="s">
        <v>167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5.5" hidden="false" customHeight="true" outlineLevel="0" collapsed="false">
      <c r="B3" s="2" t="s">
        <v>168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B5" s="3" t="s">
        <v>169</v>
      </c>
    </row>
    <row r="6" customFormat="false" ht="15" hidden="false" customHeight="false" outlineLevel="0" collapsed="false">
      <c r="B6" s="14" t="s">
        <v>170</v>
      </c>
      <c r="C6" s="22" t="n">
        <f aca="false">SEMANAS!$B$6</f>
        <v>1</v>
      </c>
      <c r="D6" s="22" t="n">
        <f aca="false">SEMANAS!$B$7</f>
        <v>2</v>
      </c>
      <c r="E6" s="22" t="n">
        <f aca="false">SEMANAS!$B$8</f>
        <v>3</v>
      </c>
      <c r="F6" s="22" t="n">
        <f aca="false">SEMANAS!$B$9</f>
        <v>4</v>
      </c>
      <c r="G6" s="22" t="n">
        <f aca="false">SEMANAS!$B$10</f>
        <v>5</v>
      </c>
      <c r="H6" s="22" t="n">
        <f aca="false">SEMANAS!$B$11</f>
        <v>6</v>
      </c>
      <c r="I6" s="22" t="n">
        <f aca="false">SEMANAS!$B$12</f>
        <v>7</v>
      </c>
      <c r="J6" s="22" t="n">
        <f aca="false">SEMANAS!$B$13</f>
        <v>8</v>
      </c>
      <c r="K6" s="22" t="n">
        <f aca="false">SEMANAS!$B$14</f>
        <v>9</v>
      </c>
      <c r="L6" s="22" t="n">
        <f aca="false">SEMANAS!$B$15</f>
        <v>10</v>
      </c>
      <c r="M6" s="22" t="n">
        <f aca="false">SEMANAS!$B$16</f>
        <v>11</v>
      </c>
      <c r="N6" s="22" t="n">
        <f aca="false">SEMANAS!$B$17</f>
        <v>12</v>
      </c>
      <c r="O6" s="22" t="n">
        <f aca="false">SEMANAS!$B$18</f>
        <v>13</v>
      </c>
      <c r="P6" s="22" t="n">
        <f aca="false">SEMANAS!$B$19</f>
        <v>14</v>
      </c>
      <c r="Q6" s="22" t="n">
        <f aca="false">SEMANAS!$B$20</f>
        <v>15</v>
      </c>
      <c r="R6" s="22" t="n">
        <f aca="false">SEMANAS!$B$21</f>
        <v>16</v>
      </c>
      <c r="S6" s="22" t="n">
        <f aca="false">SEMANAS!$B$22</f>
        <v>17</v>
      </c>
      <c r="T6" s="22" t="n">
        <f aca="false">SEMANAS!$B$23</f>
        <v>18</v>
      </c>
      <c r="U6" s="22" t="n">
        <f aca="false">SEMANAS!$B$24</f>
        <v>19</v>
      </c>
      <c r="V6" s="22" t="n">
        <f aca="false">SEMANAS!$B$25</f>
        <v>20</v>
      </c>
      <c r="W6" s="22" t="n">
        <f aca="false">SEMANAS!$B$26</f>
        <v>21</v>
      </c>
      <c r="X6" s="22" t="n">
        <f aca="false">SEMANAS!$B$27</f>
        <v>22</v>
      </c>
      <c r="Y6" s="22" t="n">
        <f aca="false">SEMANAS!$B$28</f>
        <v>23</v>
      </c>
      <c r="Z6" s="22" t="n">
        <f aca="false">SEMANAS!$B$29</f>
        <v>24</v>
      </c>
      <c r="AA6" s="22" t="n">
        <f aca="false">SEMANAS!$B$30</f>
        <v>25</v>
      </c>
      <c r="AB6" s="22" t="n">
        <f aca="false">SEMANAS!$B$31</f>
        <v>26</v>
      </c>
      <c r="AC6" s="22" t="n">
        <f aca="false">SEMANAS!$B$32</f>
        <v>27</v>
      </c>
      <c r="AD6" s="22" t="n">
        <f aca="false">SEMANAS!$B$33</f>
        <v>28</v>
      </c>
      <c r="AE6" s="22" t="n">
        <f aca="false">SEMANAS!$B$34</f>
        <v>29</v>
      </c>
      <c r="AF6" s="22" t="n">
        <f aca="false">SEMANAS!$B$35</f>
        <v>30</v>
      </c>
      <c r="AG6" s="22" t="n">
        <f aca="false">SEMANAS!$B$36</f>
        <v>31</v>
      </c>
      <c r="AH6" s="22" t="n">
        <f aca="false">SEMANAS!$B$37</f>
        <v>32</v>
      </c>
      <c r="AI6" s="22" t="n">
        <f aca="false">SEMANAS!$B$38</f>
        <v>33</v>
      </c>
      <c r="AJ6" s="22" t="n">
        <f aca="false">SEMANAS!$B$39</f>
        <v>34</v>
      </c>
      <c r="AK6" s="22" t="n">
        <f aca="false">SEMANAS!$B$40</f>
        <v>35</v>
      </c>
      <c r="AL6" s="22" t="n">
        <f aca="false">SEMANAS!$B$41</f>
        <v>36</v>
      </c>
      <c r="AM6" s="22" t="n">
        <f aca="false">SEMANAS!$B$42</f>
        <v>37</v>
      </c>
      <c r="AN6" s="22" t="n">
        <f aca="false">SEMANAS!$B$43</f>
        <v>38</v>
      </c>
      <c r="AO6" s="22" t="n">
        <f aca="false">SEMANAS!$B$44</f>
        <v>39</v>
      </c>
      <c r="AP6" s="22" t="n">
        <f aca="false">SEMANAS!$B$45</f>
        <v>40</v>
      </c>
      <c r="AQ6" s="22" t="n">
        <f aca="false">SEMANAS!$B$46</f>
        <v>41</v>
      </c>
      <c r="AR6" s="22" t="n">
        <f aca="false">SEMANAS!$B$47</f>
        <v>42</v>
      </c>
      <c r="AS6" s="22" t="n">
        <f aca="false">SEMANAS!$B$48</f>
        <v>43</v>
      </c>
      <c r="AT6" s="22" t="n">
        <f aca="false">SEMANAS!$B$49</f>
        <v>44</v>
      </c>
      <c r="AU6" s="22" t="n">
        <f aca="false">SEMANAS!$B$50</f>
        <v>45</v>
      </c>
      <c r="AV6" s="22" t="n">
        <f aca="false">SEMANAS!$B$51</f>
        <v>46</v>
      </c>
      <c r="AW6" s="22" t="n">
        <f aca="false">SEMANAS!$B$52</f>
        <v>47</v>
      </c>
      <c r="AX6" s="22" t="n">
        <f aca="false">SEMANAS!$B$53</f>
        <v>48</v>
      </c>
      <c r="AY6" s="22" t="n">
        <f aca="false">SEMANAS!$B$54</f>
        <v>49</v>
      </c>
      <c r="AZ6" s="22" t="n">
        <f aca="false">SEMANAS!$B$55</f>
        <v>50</v>
      </c>
      <c r="BA6" s="22" t="n">
        <f aca="false">SEMANAS!$B$56</f>
        <v>51</v>
      </c>
      <c r="BB6" s="22" t="n">
        <f aca="false">SEMANAS!$B$57</f>
        <v>52</v>
      </c>
      <c r="BC6" s="22" t="n">
        <f aca="false">SEMANAS!$B$58</f>
        <v>53</v>
      </c>
      <c r="BD6" s="22" t="n">
        <f aca="false">SEMANAS!$B$59</f>
        <v>54</v>
      </c>
      <c r="BE6" s="22" t="n">
        <f aca="false">SEMANAS!$B$60</f>
        <v>55</v>
      </c>
      <c r="BF6" s="22" t="n">
        <f aca="false">SEMANAS!$B$61</f>
        <v>56</v>
      </c>
      <c r="BG6" s="22" t="n">
        <f aca="false">SEMANAS!$B$62</f>
        <v>57</v>
      </c>
      <c r="BH6" s="22" t="n">
        <f aca="false">SEMANAS!$B$63</f>
        <v>58</v>
      </c>
      <c r="BI6" s="22" t="n">
        <f aca="false">SEMANAS!$B$64</f>
        <v>59</v>
      </c>
      <c r="BJ6" s="22" t="n">
        <f aca="false">SEMANAS!$B$65</f>
        <v>60</v>
      </c>
      <c r="BK6" s="22" t="n">
        <f aca="false">SEMANAS!$B$66</f>
        <v>61</v>
      </c>
      <c r="BL6" s="22" t="n">
        <f aca="false">SEMANAS!$B$67</f>
        <v>62</v>
      </c>
      <c r="BM6" s="22" t="n">
        <f aca="false">SEMANAS!$B$68</f>
        <v>63</v>
      </c>
      <c r="BN6" s="22" t="n">
        <f aca="false">SEMANAS!$B$69</f>
        <v>64</v>
      </c>
      <c r="BO6" s="22" t="n">
        <f aca="false">SEMANAS!$B$70</f>
        <v>65</v>
      </c>
      <c r="BP6" s="22" t="n">
        <f aca="false">SEMANAS!$B$71</f>
        <v>66</v>
      </c>
    </row>
    <row r="7" customFormat="false" ht="15" hidden="false" customHeight="false" outlineLevel="0" collapsed="false">
      <c r="B7" s="15" t="s">
        <v>171</v>
      </c>
      <c r="C7" s="16" t="n">
        <f aca="false">AUX_MATRIZES!C80</f>
        <v>0</v>
      </c>
      <c r="D7" s="16" t="n">
        <f aca="false">AUX_MATRIZES!D80</f>
        <v>0</v>
      </c>
      <c r="E7" s="16" t="n">
        <f aca="false">AUX_MATRIZES!E80</f>
        <v>0</v>
      </c>
      <c r="F7" s="16" t="n">
        <f aca="false">AUX_MATRIZES!F80</f>
        <v>0</v>
      </c>
      <c r="G7" s="16" t="n">
        <f aca="false">AUX_MATRIZES!G80</f>
        <v>1313.88423529412</v>
      </c>
      <c r="H7" s="16" t="n">
        <f aca="false">AUX_MATRIZES!H80</f>
        <v>0</v>
      </c>
      <c r="I7" s="16" t="n">
        <f aca="false">AUX_MATRIZES!I80</f>
        <v>0</v>
      </c>
      <c r="J7" s="16" t="n">
        <f aca="false">AUX_MATRIZES!J80</f>
        <v>2987.4674117647</v>
      </c>
      <c r="K7" s="16" t="n">
        <f aca="false">AUX_MATRIZES!K80</f>
        <v>8914.87502614379</v>
      </c>
      <c r="L7" s="16" t="n">
        <f aca="false">AUX_MATRIZES!L80</f>
        <v>0</v>
      </c>
      <c r="M7" s="16" t="n">
        <f aca="false">AUX_MATRIZES!M80</f>
        <v>2420.73917647058</v>
      </c>
      <c r="N7" s="16" t="n">
        <f aca="false">AUX_MATRIZES!N80</f>
        <v>2420.73917647058</v>
      </c>
      <c r="O7" s="16" t="n">
        <f aca="false">AUX_MATRIZES!O80</f>
        <v>2420.73917647058</v>
      </c>
      <c r="P7" s="16" t="n">
        <f aca="false">AUX_MATRIZES!P80</f>
        <v>0</v>
      </c>
      <c r="Q7" s="16" t="n">
        <f aca="false">AUX_MATRIZES!Q80</f>
        <v>0</v>
      </c>
      <c r="R7" s="16" t="n">
        <f aca="false">AUX_MATRIZES!R80</f>
        <v>0</v>
      </c>
      <c r="S7" s="16" t="n">
        <f aca="false">AUX_MATRIZES!S80</f>
        <v>0</v>
      </c>
      <c r="T7" s="16" t="n">
        <f aca="false">AUX_MATRIZES!T80</f>
        <v>0</v>
      </c>
      <c r="U7" s="16" t="n">
        <f aca="false">AUX_MATRIZES!U80</f>
        <v>0</v>
      </c>
      <c r="V7" s="16" t="n">
        <f aca="false">AUX_MATRIZES!V80</f>
        <v>0</v>
      </c>
      <c r="W7" s="16" t="n">
        <f aca="false">AUX_MATRIZES!W80</f>
        <v>0</v>
      </c>
      <c r="X7" s="16" t="n">
        <f aca="false">AUX_MATRIZES!X80</f>
        <v>0</v>
      </c>
      <c r="Y7" s="16" t="n">
        <f aca="false">AUX_MATRIZES!Y80</f>
        <v>0</v>
      </c>
      <c r="Z7" s="16" t="n">
        <f aca="false">AUX_MATRIZES!Z80</f>
        <v>0</v>
      </c>
      <c r="AA7" s="16" t="n">
        <f aca="false">AUX_MATRIZES!AA80</f>
        <v>0</v>
      </c>
      <c r="AB7" s="16" t="n">
        <f aca="false">AUX_MATRIZES!AB80</f>
        <v>0</v>
      </c>
      <c r="AC7" s="16" t="n">
        <f aca="false">AUX_MATRIZES!AC80</f>
        <v>0</v>
      </c>
      <c r="AD7" s="16" t="n">
        <f aca="false">AUX_MATRIZES!AD80</f>
        <v>0</v>
      </c>
      <c r="AE7" s="16" t="n">
        <f aca="false">AUX_MATRIZES!AE80</f>
        <v>0</v>
      </c>
      <c r="AF7" s="16" t="n">
        <f aca="false">AUX_MATRIZES!AF80</f>
        <v>0</v>
      </c>
      <c r="AG7" s="16" t="n">
        <f aca="false">AUX_MATRIZES!AG80</f>
        <v>5006.27506717716</v>
      </c>
      <c r="AH7" s="16" t="n">
        <f aca="false">AUX_MATRIZES!AH80</f>
        <v>17062.160739993</v>
      </c>
      <c r="AI7" s="16" t="n">
        <f aca="false">AUX_MATRIZES!AI80</f>
        <v>21086.2665527323</v>
      </c>
      <c r="AJ7" s="16" t="n">
        <f aca="false">AUX_MATRIZES!AJ80</f>
        <v>25110.3723654716</v>
      </c>
      <c r="AK7" s="16" t="n">
        <f aca="false">AUX_MATRIZES!AK80</f>
        <v>29431.7008235294</v>
      </c>
      <c r="AL7" s="16" t="n">
        <f aca="false">AUX_MATRIZES!AL80</f>
        <v>35995.3390588235</v>
      </c>
      <c r="AM7" s="16" t="n">
        <f aca="false">AUX_MATRIZES!AM80</f>
        <v>35995.3390588235</v>
      </c>
      <c r="AN7" s="16" t="n">
        <f aca="false">AUX_MATRIZES!AN80</f>
        <v>35995.3390588235</v>
      </c>
      <c r="AO7" s="16" t="n">
        <f aca="false">AUX_MATRIZES!AO80</f>
        <v>35995.3390588235</v>
      </c>
      <c r="AP7" s="16" t="n">
        <f aca="false">AUX_MATRIZES!AP80</f>
        <v>36120.2505882353</v>
      </c>
      <c r="AQ7" s="16" t="n">
        <f aca="false">AUX_MATRIZES!AQ80</f>
        <v>36141.0691764706</v>
      </c>
      <c r="AR7" s="16" t="n">
        <f aca="false">AUX_MATRIZES!AR80</f>
        <v>36141.0691764706</v>
      </c>
      <c r="AS7" s="16" t="n">
        <f aca="false">AUX_MATRIZES!AS80</f>
        <v>36141.0691764706</v>
      </c>
      <c r="AT7" s="16" t="n">
        <f aca="false">AUX_MATRIZES!AT80</f>
        <v>35750.9303581125</v>
      </c>
      <c r="AU7" s="16" t="n">
        <f aca="false">AUX_MATRIZES!AU80</f>
        <v>34618.3169683258</v>
      </c>
      <c r="AV7" s="16" t="n">
        <f aca="false">AUX_MATRIZES!AV80</f>
        <v>32163.5325791855</v>
      </c>
      <c r="AW7" s="16" t="n">
        <f aca="false">AUX_MATRIZES!AW80</f>
        <v>29708.7481900452</v>
      </c>
      <c r="AX7" s="16" t="n">
        <f aca="false">AUX_MATRIZES!AX80</f>
        <v>28032.7162663219</v>
      </c>
      <c r="AY7" s="16" t="n">
        <f aca="false">AUX_MATRIZES!AY80</f>
        <v>29736.6545882353</v>
      </c>
      <c r="AZ7" s="16" t="n">
        <f aca="false">AUX_MATRIZES!AZ80</f>
        <v>26768.0781176471</v>
      </c>
      <c r="BA7" s="16" t="n">
        <f aca="false">AUX_MATRIZES!BA80</f>
        <v>0</v>
      </c>
      <c r="BB7" s="16" t="n">
        <f aca="false">AUX_MATRIZES!BB80</f>
        <v>0</v>
      </c>
      <c r="BC7" s="16" t="n">
        <f aca="false">AUX_MATRIZES!BC80</f>
        <v>0</v>
      </c>
      <c r="BD7" s="16" t="n">
        <f aca="false">AUX_MATRIZES!BD80</f>
        <v>0</v>
      </c>
      <c r="BE7" s="16" t="n">
        <f aca="false">AUX_MATRIZES!BE80</f>
        <v>0</v>
      </c>
      <c r="BF7" s="16" t="n">
        <f aca="false">AUX_MATRIZES!BF80</f>
        <v>0</v>
      </c>
      <c r="BG7" s="16" t="n">
        <f aca="false">AUX_MATRIZES!BG80</f>
        <v>0</v>
      </c>
      <c r="BH7" s="16" t="n">
        <f aca="false">AUX_MATRIZES!BH80</f>
        <v>0</v>
      </c>
      <c r="BI7" s="16" t="n">
        <f aca="false">AUX_MATRIZES!BI80</f>
        <v>0</v>
      </c>
      <c r="BJ7" s="16" t="n">
        <f aca="false">AUX_MATRIZES!BJ80</f>
        <v>0</v>
      </c>
      <c r="BK7" s="16" t="n">
        <f aca="false">AUX_MATRIZES!BK80</f>
        <v>0</v>
      </c>
      <c r="BL7" s="16" t="n">
        <f aca="false">AUX_MATRIZES!BL80</f>
        <v>0</v>
      </c>
      <c r="BM7" s="16" t="n">
        <f aca="false">AUX_MATRIZES!BM80</f>
        <v>0</v>
      </c>
      <c r="BN7" s="16" t="n">
        <f aca="false">AUX_MATRIZES!BN80</f>
        <v>0</v>
      </c>
      <c r="BO7" s="16" t="n">
        <f aca="false">AUX_MATRIZES!BO80</f>
        <v>0</v>
      </c>
      <c r="BP7" s="16" t="n">
        <f aca="false">AUX_MATRIZES!BP80</f>
        <v>0</v>
      </c>
    </row>
    <row r="8" customFormat="false" ht="15" hidden="false" customHeight="false" outlineLevel="0" collapsed="false">
      <c r="B8" s="15" t="s">
        <v>172</v>
      </c>
      <c r="C8" s="16" t="n">
        <f aca="false">AUX_MATRIZES!C81</f>
        <v>22570.0291764706</v>
      </c>
      <c r="D8" s="16" t="n">
        <f aca="false">AUX_MATRIZES!D81</f>
        <v>0</v>
      </c>
      <c r="E8" s="16" t="n">
        <f aca="false">AUX_MATRIZES!E81</f>
        <v>0</v>
      </c>
      <c r="F8" s="16" t="n">
        <f aca="false">AUX_MATRIZES!F81</f>
        <v>0</v>
      </c>
      <c r="G8" s="16" t="n">
        <f aca="false">AUX_MATRIZES!G81</f>
        <v>1344.35576470588</v>
      </c>
      <c r="H8" s="16" t="n">
        <f aca="false">AUX_MATRIZES!H81</f>
        <v>0</v>
      </c>
      <c r="I8" s="16" t="n">
        <f aca="false">AUX_MATRIZES!I81</f>
        <v>0</v>
      </c>
      <c r="J8" s="16" t="n">
        <f aca="false">AUX_MATRIZES!J81</f>
        <v>2611.19894593879</v>
      </c>
      <c r="K8" s="16" t="n">
        <f aca="false">AUX_MATRIZES!K81</f>
        <v>8421.15634341653</v>
      </c>
      <c r="L8" s="16" t="n">
        <f aca="false">AUX_MATRIZES!L81</f>
        <v>0</v>
      </c>
      <c r="M8" s="16" t="n">
        <f aca="false">AUX_MATRIZES!M81</f>
        <v>2476.88082352941</v>
      </c>
      <c r="N8" s="16" t="n">
        <f aca="false">AUX_MATRIZES!N81</f>
        <v>2476.88082352941</v>
      </c>
      <c r="O8" s="16" t="n">
        <f aca="false">AUX_MATRIZES!O81</f>
        <v>2476.88082352941</v>
      </c>
      <c r="P8" s="16" t="n">
        <f aca="false">AUX_MATRIZES!P81</f>
        <v>0</v>
      </c>
      <c r="Q8" s="16" t="n">
        <f aca="false">AUX_MATRIZES!Q81</f>
        <v>0</v>
      </c>
      <c r="R8" s="16" t="n">
        <f aca="false">AUX_MATRIZES!R81</f>
        <v>0</v>
      </c>
      <c r="S8" s="16" t="n">
        <f aca="false">AUX_MATRIZES!S81</f>
        <v>0</v>
      </c>
      <c r="T8" s="16" t="n">
        <f aca="false">AUX_MATRIZES!T81</f>
        <v>0</v>
      </c>
      <c r="U8" s="16" t="n">
        <f aca="false">AUX_MATRIZES!U81</f>
        <v>0</v>
      </c>
      <c r="V8" s="16" t="n">
        <f aca="false">AUX_MATRIZES!V81</f>
        <v>0</v>
      </c>
      <c r="W8" s="16" t="n">
        <f aca="false">AUX_MATRIZES!W81</f>
        <v>0</v>
      </c>
      <c r="X8" s="16" t="n">
        <f aca="false">AUX_MATRIZES!X81</f>
        <v>0</v>
      </c>
      <c r="Y8" s="16" t="n">
        <f aca="false">AUX_MATRIZES!Y81</f>
        <v>0</v>
      </c>
      <c r="Z8" s="16" t="n">
        <f aca="false">AUX_MATRIZES!Z81</f>
        <v>205.420776888263</v>
      </c>
      <c r="AA8" s="16" t="n">
        <f aca="false">AUX_MATRIZES!AA81</f>
        <v>4483.19184081679</v>
      </c>
      <c r="AB8" s="16" t="n">
        <f aca="false">AUX_MATRIZES!AB81</f>
        <v>6897.07694117646</v>
      </c>
      <c r="AC8" s="16" t="n">
        <f aca="false">AUX_MATRIZES!AC81</f>
        <v>8520.40329411764</v>
      </c>
      <c r="AD8" s="16" t="n">
        <f aca="false">AUX_MATRIZES!AD81</f>
        <v>8520.40329411764</v>
      </c>
      <c r="AE8" s="16" t="n">
        <f aca="false">AUX_MATRIZES!AE81</f>
        <v>8520.40329411764</v>
      </c>
      <c r="AF8" s="16" t="n">
        <f aca="false">AUX_MATRIZES!AF81</f>
        <v>8520.40329411764</v>
      </c>
      <c r="AG8" s="16" t="n">
        <f aca="false">AUX_MATRIZES!AG81</f>
        <v>23595.1241394335</v>
      </c>
      <c r="AH8" s="16" t="n">
        <f aca="false">AUX_MATRIZES!AH81</f>
        <v>44157.0737908497</v>
      </c>
      <c r="AI8" s="16" t="n">
        <f aca="false">AUX_MATRIZES!AI81</f>
        <v>48452.4201960784</v>
      </c>
      <c r="AJ8" s="16" t="n">
        <f aca="false">AUX_MATRIZES!AJ81</f>
        <v>52747.7666013072</v>
      </c>
      <c r="AK8" s="16" t="n">
        <f aca="false">AUX_MATRIZES!AK81</f>
        <v>58017.9796832579</v>
      </c>
      <c r="AL8" s="16" t="n">
        <f aca="false">AUX_MATRIZES!AL81</f>
        <v>69073.5477828054</v>
      </c>
      <c r="AM8" s="16" t="n">
        <f aca="false">AUX_MATRIZES!AM81</f>
        <v>66633.1704072398</v>
      </c>
      <c r="AN8" s="16" t="n">
        <f aca="false">AUX_MATRIZES!AN81</f>
        <v>64192.7930316742</v>
      </c>
      <c r="AO8" s="16" t="n">
        <f aca="false">AUX_MATRIZES!AO81</f>
        <v>61752.4156561086</v>
      </c>
      <c r="AP8" s="16" t="n">
        <f aca="false">AUX_MATRIZES!AP81</f>
        <v>60144.703800905</v>
      </c>
      <c r="AQ8" s="16" t="n">
        <f aca="false">AUX_MATRIZES!AQ81</f>
        <v>57959.3124585219</v>
      </c>
      <c r="AR8" s="16" t="n">
        <f aca="false">AUX_MATRIZES!AR81</f>
        <v>55635.1435294118</v>
      </c>
      <c r="AS8" s="16" t="n">
        <f aca="false">AUX_MATRIZES!AS81</f>
        <v>35359.2916078431</v>
      </c>
      <c r="AT8" s="16" t="n">
        <f aca="false">AUX_MATRIZES!AT81</f>
        <v>34231.6316862745</v>
      </c>
      <c r="AU8" s="16" t="n">
        <f aca="false">AUX_MATRIZES!AU81</f>
        <v>32464.5349411765</v>
      </c>
      <c r="AV8" s="16" t="n">
        <f aca="false">AUX_MATRIZES!AV81</f>
        <v>29416.9866666667</v>
      </c>
      <c r="AW8" s="16" t="n">
        <f aca="false">AUX_MATRIZES!AW81</f>
        <v>26369.4383921569</v>
      </c>
      <c r="AX8" s="16" t="n">
        <f aca="false">AUX_MATRIZES!AX81</f>
        <v>23982.2338823529</v>
      </c>
      <c r="AY8" s="16" t="n">
        <f aca="false">AUX_MATRIZES!AY81</f>
        <v>0</v>
      </c>
      <c r="AZ8" s="16" t="n">
        <f aca="false">AUX_MATRIZES!AZ81</f>
        <v>0</v>
      </c>
      <c r="BA8" s="16" t="n">
        <f aca="false">AUX_MATRIZES!BA81</f>
        <v>0</v>
      </c>
      <c r="BB8" s="16" t="n">
        <f aca="false">AUX_MATRIZES!BB81</f>
        <v>0</v>
      </c>
      <c r="BC8" s="16" t="n">
        <f aca="false">AUX_MATRIZES!BC81</f>
        <v>0</v>
      </c>
      <c r="BD8" s="16" t="n">
        <f aca="false">AUX_MATRIZES!BD81</f>
        <v>0</v>
      </c>
      <c r="BE8" s="16" t="n">
        <f aca="false">AUX_MATRIZES!BE81</f>
        <v>0</v>
      </c>
      <c r="BF8" s="16" t="n">
        <f aca="false">AUX_MATRIZES!BF81</f>
        <v>0</v>
      </c>
      <c r="BG8" s="16" t="n">
        <f aca="false">AUX_MATRIZES!BG81</f>
        <v>0</v>
      </c>
      <c r="BH8" s="16" t="n">
        <f aca="false">AUX_MATRIZES!BH81</f>
        <v>0</v>
      </c>
      <c r="BI8" s="16" t="n">
        <f aca="false">AUX_MATRIZES!BI81</f>
        <v>0</v>
      </c>
      <c r="BJ8" s="16" t="n">
        <f aca="false">AUX_MATRIZES!BJ81</f>
        <v>0</v>
      </c>
      <c r="BK8" s="16" t="n">
        <f aca="false">AUX_MATRIZES!BK81</f>
        <v>0</v>
      </c>
      <c r="BL8" s="16" t="n">
        <f aca="false">AUX_MATRIZES!BL81</f>
        <v>0</v>
      </c>
      <c r="BM8" s="16" t="n">
        <f aca="false">AUX_MATRIZES!BM81</f>
        <v>0</v>
      </c>
      <c r="BN8" s="16" t="n">
        <f aca="false">AUX_MATRIZES!BN81</f>
        <v>0</v>
      </c>
      <c r="BO8" s="16" t="n">
        <f aca="false">AUX_MATRIZES!BO81</f>
        <v>0</v>
      </c>
      <c r="BP8" s="16" t="n">
        <f aca="false">AUX_MATRIZES!BP81</f>
        <v>0</v>
      </c>
    </row>
    <row r="9" customFormat="false" ht="15" hidden="false" customHeight="false" outlineLevel="0" collapsed="false">
      <c r="B9" s="15" t="s">
        <v>173</v>
      </c>
      <c r="C9" s="16" t="n">
        <f aca="false">AUX_MATRIZES!C82</f>
        <v>0</v>
      </c>
      <c r="D9" s="16" t="n">
        <f aca="false">AUX_MATRIZES!D82</f>
        <v>0</v>
      </c>
      <c r="E9" s="16" t="n">
        <f aca="false">AUX_MATRIZES!E82</f>
        <v>0</v>
      </c>
      <c r="F9" s="16" t="n">
        <f aca="false">AUX_MATRIZES!F82</f>
        <v>0</v>
      </c>
      <c r="G9" s="16" t="n">
        <f aca="false">AUX_MATRIZES!G82</f>
        <v>2643.27152941176</v>
      </c>
      <c r="H9" s="16" t="n">
        <f aca="false">AUX_MATRIZES!H82</f>
        <v>0</v>
      </c>
      <c r="I9" s="16" t="n">
        <f aca="false">AUX_MATRIZES!I82</f>
        <v>0</v>
      </c>
      <c r="J9" s="16" t="n">
        <f aca="false">AUX_MATRIZES!J82</f>
        <v>542.087695025542</v>
      </c>
      <c r="K9" s="16" t="n">
        <f aca="false">AUX_MATRIZES!K82</f>
        <v>12201.1742158828</v>
      </c>
      <c r="L9" s="16" t="n">
        <f aca="false">AUX_MATRIZES!L82</f>
        <v>0</v>
      </c>
      <c r="M9" s="16" t="n">
        <f aca="false">AUX_MATRIZES!M82</f>
        <v>4598.93885139783</v>
      </c>
      <c r="N9" s="16" t="n">
        <f aca="false">AUX_MATRIZES!N82</f>
        <v>4870.04164705882</v>
      </c>
      <c r="O9" s="16" t="n">
        <f aca="false">AUX_MATRIZES!O82</f>
        <v>4870.04164705882</v>
      </c>
      <c r="P9" s="16" t="n">
        <f aca="false">AUX_MATRIZES!P82</f>
        <v>0</v>
      </c>
      <c r="Q9" s="16" t="n">
        <f aca="false">AUX_MATRIZES!Q82</f>
        <v>0</v>
      </c>
      <c r="R9" s="16" t="n">
        <f aca="false">AUX_MATRIZES!R82</f>
        <v>0</v>
      </c>
      <c r="S9" s="16" t="n">
        <f aca="false">AUX_MATRIZES!S82</f>
        <v>0</v>
      </c>
      <c r="T9" s="16" t="n">
        <f aca="false">AUX_MATRIZES!T82</f>
        <v>530.509340450525</v>
      </c>
      <c r="U9" s="16" t="n">
        <f aca="false">AUX_MATRIZES!U82</f>
        <v>0</v>
      </c>
      <c r="V9" s="16" t="n">
        <f aca="false">AUX_MATRIZES!V82</f>
        <v>0</v>
      </c>
      <c r="W9" s="16" t="n">
        <f aca="false">AUX_MATRIZES!W82</f>
        <v>0</v>
      </c>
      <c r="X9" s="16" t="n">
        <f aca="false">AUX_MATRIZES!X82</f>
        <v>0</v>
      </c>
      <c r="Y9" s="16" t="n">
        <f aca="false">AUX_MATRIZES!Y82</f>
        <v>0</v>
      </c>
      <c r="Z9" s="16" t="n">
        <f aca="false">AUX_MATRIZES!Z82</f>
        <v>0</v>
      </c>
      <c r="AA9" s="16" t="n">
        <f aca="false">AUX_MATRIZES!AA82</f>
        <v>0</v>
      </c>
      <c r="AB9" s="16" t="n">
        <f aca="false">AUX_MATRIZES!AB82</f>
        <v>0</v>
      </c>
      <c r="AC9" s="16" t="n">
        <f aca="false">AUX_MATRIZES!AC82</f>
        <v>0</v>
      </c>
      <c r="AD9" s="16" t="n">
        <f aca="false">AUX_MATRIZES!AD82</f>
        <v>0</v>
      </c>
      <c r="AE9" s="16" t="n">
        <f aca="false">AUX_MATRIZES!AE82</f>
        <v>0</v>
      </c>
      <c r="AF9" s="16" t="n">
        <f aca="false">AUX_MATRIZES!AF82</f>
        <v>0</v>
      </c>
      <c r="AG9" s="16" t="n">
        <f aca="false">AUX_MATRIZES!AG82</f>
        <v>7736.53678524191</v>
      </c>
      <c r="AH9" s="16" t="n">
        <f aca="false">AUX_MATRIZES!AH82</f>
        <v>32012.5895676993</v>
      </c>
      <c r="AI9" s="16" t="n">
        <f aca="false">AUX_MATRIZES!AI82</f>
        <v>40108.2832676645</v>
      </c>
      <c r="AJ9" s="16" t="n">
        <f aca="false">AUX_MATRIZES!AJ82</f>
        <v>48203.9769676296</v>
      </c>
      <c r="AK9" s="16" t="n">
        <f aca="false">AUX_MATRIZES!AK82</f>
        <v>59210.6783529412</v>
      </c>
      <c r="AL9" s="16" t="n">
        <f aca="false">AUX_MATRIZES!AL82</f>
        <v>72415.401882353</v>
      </c>
      <c r="AM9" s="16" t="n">
        <f aca="false">AUX_MATRIZES!AM82</f>
        <v>72415.401882353</v>
      </c>
      <c r="AN9" s="16" t="n">
        <f aca="false">AUX_MATRIZES!AN82</f>
        <v>72415.401882353</v>
      </c>
      <c r="AO9" s="16" t="n">
        <f aca="false">AUX_MATRIZES!AO82</f>
        <v>72415.401882353</v>
      </c>
      <c r="AP9" s="16" t="n">
        <f aca="false">AUX_MATRIZES!AP82</f>
        <v>72666.6988235294</v>
      </c>
      <c r="AQ9" s="16" t="n">
        <f aca="false">AUX_MATRIZES!AQ82</f>
        <v>72708.5816470588</v>
      </c>
      <c r="AR9" s="16" t="n">
        <f aca="false">AUX_MATRIZES!AR82</f>
        <v>72708.5816470588</v>
      </c>
      <c r="AS9" s="16" t="n">
        <f aca="false">AUX_MATRIZES!AS82</f>
        <v>72708.5816470588</v>
      </c>
      <c r="AT9" s="16" t="n">
        <f aca="false">AUX_MATRIZES!AT82</f>
        <v>73292.520598147</v>
      </c>
      <c r="AU9" s="16" t="n">
        <f aca="false">AUX_MATRIZES!AU82</f>
        <v>71056.119306184</v>
      </c>
      <c r="AV9" s="16" t="n">
        <f aca="false">AUX_MATRIZES!AV82</f>
        <v>66117.585520362</v>
      </c>
      <c r="AW9" s="16" t="n">
        <f aca="false">AUX_MATRIZES!AW82</f>
        <v>61179.05173454</v>
      </c>
      <c r="AX9" s="16" t="n">
        <f aca="false">AUX_MATRIZES!AX82</f>
        <v>57849.4013566042</v>
      </c>
      <c r="AY9" s="16" t="n">
        <f aca="false">AUX_MATRIZES!AY82</f>
        <v>61530.5214117647</v>
      </c>
      <c r="AZ9" s="16" t="n">
        <f aca="false">AUX_MATRIZES!AZ82</f>
        <v>55558.3410196078</v>
      </c>
      <c r="BA9" s="16" t="n">
        <f aca="false">AUX_MATRIZES!BA82</f>
        <v>49586.160627451</v>
      </c>
      <c r="BB9" s="16" t="n">
        <f aca="false">AUX_MATRIZES!BB82</f>
        <v>0</v>
      </c>
      <c r="BC9" s="16" t="n">
        <f aca="false">AUX_MATRIZES!BC82</f>
        <v>0</v>
      </c>
      <c r="BD9" s="16" t="n">
        <f aca="false">AUX_MATRIZES!BD82</f>
        <v>0</v>
      </c>
      <c r="BE9" s="16" t="n">
        <f aca="false">AUX_MATRIZES!BE82</f>
        <v>0</v>
      </c>
      <c r="BF9" s="16" t="n">
        <f aca="false">AUX_MATRIZES!BF82</f>
        <v>0</v>
      </c>
      <c r="BG9" s="16" t="n">
        <f aca="false">AUX_MATRIZES!BG82</f>
        <v>0</v>
      </c>
      <c r="BH9" s="16" t="n">
        <f aca="false">AUX_MATRIZES!BH82</f>
        <v>0</v>
      </c>
      <c r="BI9" s="16" t="n">
        <f aca="false">AUX_MATRIZES!BI82</f>
        <v>0</v>
      </c>
      <c r="BJ9" s="16" t="n">
        <f aca="false">AUX_MATRIZES!BJ82</f>
        <v>0</v>
      </c>
      <c r="BK9" s="16" t="n">
        <f aca="false">AUX_MATRIZES!BK82</f>
        <v>0</v>
      </c>
      <c r="BL9" s="16" t="n">
        <f aca="false">AUX_MATRIZES!BL82</f>
        <v>0</v>
      </c>
      <c r="BM9" s="16" t="n">
        <f aca="false">AUX_MATRIZES!BM82</f>
        <v>0</v>
      </c>
      <c r="BN9" s="16" t="n">
        <f aca="false">AUX_MATRIZES!BN82</f>
        <v>0</v>
      </c>
      <c r="BO9" s="16" t="n">
        <f aca="false">AUX_MATRIZES!BO82</f>
        <v>0</v>
      </c>
      <c r="BP9" s="16" t="n">
        <f aca="false">AUX_MATRIZES!BP82</f>
        <v>0</v>
      </c>
    </row>
    <row r="10" customFormat="false" ht="15" hidden="false" customHeight="false" outlineLevel="0" collapsed="false">
      <c r="B10" s="15" t="s">
        <v>174</v>
      </c>
      <c r="C10" s="16" t="n">
        <f aca="false">AUX_MATRIZES!C83</f>
        <v>45952.144</v>
      </c>
      <c r="D10" s="16" t="n">
        <f aca="false">AUX_MATRIZES!D83</f>
        <v>48375.0152941176</v>
      </c>
      <c r="E10" s="16" t="n">
        <f aca="false">AUX_MATRIZES!E83</f>
        <v>48375.0152941176</v>
      </c>
      <c r="F10" s="16" t="n">
        <f aca="false">AUX_MATRIZES!F83</f>
        <v>48375.0152941176</v>
      </c>
      <c r="G10" s="16" t="n">
        <f aca="false">AUX_MATRIZES!G83</f>
        <v>39291.7032941176</v>
      </c>
      <c r="H10" s="16" t="n">
        <f aca="false">AUX_MATRIZES!H83</f>
        <v>27558.1007058823</v>
      </c>
      <c r="I10" s="16" t="n">
        <f aca="false">AUX_MATRIZES!I83</f>
        <v>27558.1007058823</v>
      </c>
      <c r="J10" s="16" t="n">
        <f aca="false">AUX_MATRIZES!J83</f>
        <v>34101.1026539238</v>
      </c>
      <c r="K10" s="16" t="n">
        <f aca="false">AUX_MATRIZES!K83</f>
        <v>40601.5190841048</v>
      </c>
      <c r="L10" s="16" t="n">
        <f aca="false">AUX_MATRIZES!L83</f>
        <v>0</v>
      </c>
      <c r="M10" s="16" t="n">
        <f aca="false">AUX_MATRIZES!M83</f>
        <v>5181.0368235294</v>
      </c>
      <c r="N10" s="16" t="n">
        <f aca="false">AUX_MATRIZES!N83</f>
        <v>5181.0368235294</v>
      </c>
      <c r="O10" s="16" t="n">
        <f aca="false">AUX_MATRIZES!O83</f>
        <v>5181.0368235294</v>
      </c>
      <c r="P10" s="16" t="n">
        <f aca="false">AUX_MATRIZES!P83</f>
        <v>0</v>
      </c>
      <c r="Q10" s="16" t="n">
        <f aca="false">AUX_MATRIZES!Q83</f>
        <v>0</v>
      </c>
      <c r="R10" s="16" t="n">
        <f aca="false">AUX_MATRIZES!R83</f>
        <v>0</v>
      </c>
      <c r="S10" s="16" t="n">
        <f aca="false">AUX_MATRIZES!S83</f>
        <v>0</v>
      </c>
      <c r="T10" s="16" t="n">
        <f aca="false">AUX_MATRIZES!T83</f>
        <v>0</v>
      </c>
      <c r="U10" s="16" t="n">
        <f aca="false">AUX_MATRIZES!U83</f>
        <v>0</v>
      </c>
      <c r="V10" s="16" t="n">
        <f aca="false">AUX_MATRIZES!V83</f>
        <v>0</v>
      </c>
      <c r="W10" s="16" t="n">
        <f aca="false">AUX_MATRIZES!W83</f>
        <v>0</v>
      </c>
      <c r="X10" s="16" t="n">
        <f aca="false">AUX_MATRIZES!X83</f>
        <v>0</v>
      </c>
      <c r="Y10" s="16" t="n">
        <f aca="false">AUX_MATRIZES!Y83</f>
        <v>0</v>
      </c>
      <c r="Z10" s="16" t="n">
        <f aca="false">AUX_MATRIZES!Z83</f>
        <v>1868.08175333564</v>
      </c>
      <c r="AA10" s="16" t="n">
        <f aca="false">AUX_MATRIZES!AA83</f>
        <v>11860.3244986657</v>
      </c>
      <c r="AB10" s="16" t="n">
        <f aca="false">AUX_MATRIZES!AB83</f>
        <v>20262.9608323471</v>
      </c>
      <c r="AC10" s="16" t="n">
        <f aca="false">AUX_MATRIZES!AC83</f>
        <v>28014.466117647</v>
      </c>
      <c r="AD10" s="16" t="n">
        <f aca="false">AUX_MATRIZES!AD83</f>
        <v>28014.466117647</v>
      </c>
      <c r="AE10" s="16" t="n">
        <f aca="false">AUX_MATRIZES!AE83</f>
        <v>28014.466117647</v>
      </c>
      <c r="AF10" s="16" t="n">
        <f aca="false">AUX_MATRIZES!AF83</f>
        <v>28014.466117647</v>
      </c>
      <c r="AG10" s="16" t="n">
        <f aca="false">AUX_MATRIZES!AG83</f>
        <v>73213.4894401258</v>
      </c>
      <c r="AH10" s="16" t="n">
        <f aca="false">AUX_MATRIZES!AH83</f>
        <v>125640.372091116</v>
      </c>
      <c r="AI10" s="16" t="n">
        <f aca="false">AUX_MATRIZES!AI83</f>
        <v>134430.642733496</v>
      </c>
      <c r="AJ10" s="16" t="n">
        <f aca="false">AUX_MATRIZES!AJ83</f>
        <v>143220.913375875</v>
      </c>
      <c r="AK10" s="16" t="n">
        <f aca="false">AUX_MATRIZES!AK83</f>
        <v>155950.966308985</v>
      </c>
      <c r="AL10" s="16" t="n">
        <f aca="false">AUX_MATRIZES!AL83</f>
        <v>184696.767420815</v>
      </c>
      <c r="AM10" s="16" t="n">
        <f aca="false">AUX_MATRIZES!AM83</f>
        <v>176672.984162896</v>
      </c>
      <c r="AN10" s="16" t="n">
        <f aca="false">AUX_MATRIZES!AN83</f>
        <v>168649.200904977</v>
      </c>
      <c r="AO10" s="16" t="n">
        <f aca="false">AUX_MATRIZES!AO83</f>
        <v>160625.417647059</v>
      </c>
      <c r="AP10" s="16" t="n">
        <f aca="false">AUX_MATRIZES!AP83</f>
        <v>155119.435242405</v>
      </c>
      <c r="AQ10" s="16" t="n">
        <f aca="false">AUX_MATRIZES!AQ83</f>
        <v>147897.370377074</v>
      </c>
      <c r="AR10" s="16" t="n">
        <f aca="false">AUX_MATRIZES!AR83</f>
        <v>98333.8252066365</v>
      </c>
      <c r="AS10" s="16" t="n">
        <f aca="false">AUX_MATRIZES!AS83</f>
        <v>94392.3636078431</v>
      </c>
      <c r="AT10" s="16" t="n">
        <f aca="false">AUX_MATRIZES!AT83</f>
        <v>74172.4343339797</v>
      </c>
      <c r="AU10" s="16" t="n">
        <f aca="false">AUX_MATRIZES!AU83</f>
        <v>71141.2077435897</v>
      </c>
      <c r="AV10" s="16" t="n">
        <f aca="false">AUX_MATRIZES!AV83</f>
        <v>65352.4311312217</v>
      </c>
      <c r="AW10" s="16" t="n">
        <f aca="false">AUX_MATRIZES!AW83</f>
        <v>59563.6545188537</v>
      </c>
      <c r="AX10" s="16" t="n">
        <f aca="false">AUX_MATRIZES!AX83</f>
        <v>55305.3936117216</v>
      </c>
      <c r="AY10" s="16" t="n">
        <f aca="false">AUX_MATRIZES!AY83</f>
        <v>33272.6274509804</v>
      </c>
      <c r="AZ10" s="16" t="n">
        <f aca="false">AUX_MATRIZES!AZ83</f>
        <v>29951.0588235294</v>
      </c>
      <c r="BA10" s="16" t="n">
        <f aca="false">AUX_MATRIZES!BA83</f>
        <v>0</v>
      </c>
      <c r="BB10" s="16" t="n">
        <f aca="false">AUX_MATRIZES!BB83</f>
        <v>0</v>
      </c>
      <c r="BC10" s="16" t="n">
        <f aca="false">AUX_MATRIZES!BC83</f>
        <v>0</v>
      </c>
      <c r="BD10" s="16" t="n">
        <f aca="false">AUX_MATRIZES!BD83</f>
        <v>0</v>
      </c>
      <c r="BE10" s="16" t="n">
        <f aca="false">AUX_MATRIZES!BE83</f>
        <v>0</v>
      </c>
      <c r="BF10" s="16" t="n">
        <f aca="false">AUX_MATRIZES!BF83</f>
        <v>0</v>
      </c>
      <c r="BG10" s="16" t="n">
        <f aca="false">AUX_MATRIZES!BG83</f>
        <v>0</v>
      </c>
      <c r="BH10" s="16" t="n">
        <f aca="false">AUX_MATRIZES!BH83</f>
        <v>0</v>
      </c>
      <c r="BI10" s="16" t="n">
        <f aca="false">AUX_MATRIZES!BI83</f>
        <v>0</v>
      </c>
      <c r="BJ10" s="16" t="n">
        <f aca="false">AUX_MATRIZES!BJ83</f>
        <v>0</v>
      </c>
      <c r="BK10" s="16" t="n">
        <f aca="false">AUX_MATRIZES!BK83</f>
        <v>0</v>
      </c>
      <c r="BL10" s="16" t="n">
        <f aca="false">AUX_MATRIZES!BL83</f>
        <v>0</v>
      </c>
      <c r="BM10" s="16" t="n">
        <f aca="false">AUX_MATRIZES!BM83</f>
        <v>0</v>
      </c>
      <c r="BN10" s="16" t="n">
        <f aca="false">AUX_MATRIZES!BN83</f>
        <v>0</v>
      </c>
      <c r="BO10" s="16" t="n">
        <f aca="false">AUX_MATRIZES!BO83</f>
        <v>0</v>
      </c>
      <c r="BP10" s="16" t="n">
        <f aca="false">AUX_MATRIZES!BP83</f>
        <v>0</v>
      </c>
    </row>
    <row r="11" customFormat="false" ht="15" hidden="false" customHeight="false" outlineLevel="0" collapsed="false">
      <c r="B11" s="15" t="s">
        <v>175</v>
      </c>
      <c r="C11" s="16" t="n">
        <f aca="false">AUX_MATRIZES!C84</f>
        <v>96601.344</v>
      </c>
      <c r="D11" s="16" t="n">
        <f aca="false">AUX_MATRIZES!D84</f>
        <v>96643.68</v>
      </c>
      <c r="E11" s="16" t="n">
        <f aca="false">AUX_MATRIZES!E84</f>
        <v>96643.68</v>
      </c>
      <c r="F11" s="16" t="n">
        <f aca="false">AUX_MATRIZES!F84</f>
        <v>96643.68</v>
      </c>
      <c r="G11" s="16" t="n">
        <f aca="false">AUX_MATRIZES!G84</f>
        <v>72879.072</v>
      </c>
      <c r="H11" s="16" t="n">
        <f aca="false">AUX_MATRIZES!H84</f>
        <v>55055.616</v>
      </c>
      <c r="I11" s="16" t="n">
        <f aca="false">AUX_MATRIZES!I84</f>
        <v>55055.616</v>
      </c>
      <c r="J11" s="16" t="n">
        <f aca="false">AUX_MATRIZES!J84</f>
        <v>47449.248</v>
      </c>
      <c r="K11" s="16" t="n">
        <f aca="false">AUX_MATRIZES!K84</f>
        <v>31707.606</v>
      </c>
      <c r="L11" s="16" t="n">
        <f aca="false">AUX_MATRIZES!L84</f>
        <v>0</v>
      </c>
      <c r="M11" s="16" t="n">
        <f aca="false">AUX_MATRIZES!M84</f>
        <v>0</v>
      </c>
      <c r="N11" s="16" t="n">
        <f aca="false">AUX_MATRIZES!N84</f>
        <v>0</v>
      </c>
      <c r="O11" s="16" t="n">
        <f aca="false">AUX_MATRIZES!O84</f>
        <v>6569.44409136608</v>
      </c>
      <c r="P11" s="16" t="n">
        <f aca="false">AUX_MATRIZES!P84</f>
        <v>0</v>
      </c>
      <c r="Q11" s="16" t="n">
        <f aca="false">AUX_MATRIZES!Q84</f>
        <v>0</v>
      </c>
      <c r="R11" s="16" t="n">
        <f aca="false">AUX_MATRIZES!R84</f>
        <v>0</v>
      </c>
      <c r="S11" s="16" t="n">
        <f aca="false">AUX_MATRIZES!S84</f>
        <v>0</v>
      </c>
      <c r="T11" s="16" t="n">
        <f aca="false">AUX_MATRIZES!T84</f>
        <v>1736.23905882352</v>
      </c>
      <c r="U11" s="16" t="n">
        <f aca="false">AUX_MATRIZES!U84</f>
        <v>8892.93176470587</v>
      </c>
      <c r="V11" s="16" t="n">
        <f aca="false">AUX_MATRIZES!V84</f>
        <v>8753.05504003416</v>
      </c>
      <c r="W11" s="16" t="n">
        <f aca="false">AUX_MATRIZES!W84</f>
        <v>0</v>
      </c>
      <c r="X11" s="16" t="n">
        <f aca="false">AUX_MATRIZES!X84</f>
        <v>0</v>
      </c>
      <c r="Y11" s="16" t="n">
        <f aca="false">AUX_MATRIZES!Y84</f>
        <v>0</v>
      </c>
      <c r="Z11" s="16" t="n">
        <f aca="false">AUX_MATRIZES!Z84</f>
        <v>11348.1049198283</v>
      </c>
      <c r="AA11" s="16" t="n">
        <f aca="false">AUX_MATRIZES!AA84</f>
        <v>31403.181490196</v>
      </c>
      <c r="AB11" s="16" t="n">
        <f aca="false">AUX_MATRIZES!AB84</f>
        <v>32385.7948235294</v>
      </c>
      <c r="AC11" s="16" t="n">
        <f aca="false">AUX_MATRIZES!AC84</f>
        <v>40008.2578823529</v>
      </c>
      <c r="AD11" s="16" t="n">
        <f aca="false">AUX_MATRIZES!AD84</f>
        <v>40008.2578823529</v>
      </c>
      <c r="AE11" s="16" t="n">
        <f aca="false">AUX_MATRIZES!AE84</f>
        <v>40008.2578823529</v>
      </c>
      <c r="AF11" s="16" t="n">
        <f aca="false">AUX_MATRIZES!AF84</f>
        <v>40008.2578823529</v>
      </c>
      <c r="AG11" s="16" t="n">
        <f aca="false">AUX_MATRIZES!AG84</f>
        <v>90352.9957647059</v>
      </c>
      <c r="AH11" s="16" t="n">
        <f aca="false">AUX_MATRIZES!AH84</f>
        <v>128111.549176471</v>
      </c>
      <c r="AI11" s="16" t="n">
        <f aca="false">AUX_MATRIZES!AI84</f>
        <v>128111.549176471</v>
      </c>
      <c r="AJ11" s="16" t="n">
        <f aca="false">AUX_MATRIZES!AJ84</f>
        <v>125491.737411765</v>
      </c>
      <c r="AK11" s="16" t="n">
        <f aca="false">AUX_MATRIZES!AK84</f>
        <v>131170.140307692</v>
      </c>
      <c r="AL11" s="16" t="n">
        <f aca="false">AUX_MATRIZES!AL84</f>
        <v>152107.353014823</v>
      </c>
      <c r="AM11" s="16" t="n">
        <f aca="false">AUX_MATRIZES!AM84</f>
        <v>141152.760410673</v>
      </c>
      <c r="AN11" s="16" t="n">
        <f aca="false">AUX_MATRIZES!AN84</f>
        <v>130198.167806522</v>
      </c>
      <c r="AO11" s="16" t="n">
        <f aca="false">AUX_MATRIZES!AO84</f>
        <v>119243.575202372</v>
      </c>
      <c r="AP11" s="16" t="n">
        <f aca="false">AUX_MATRIZES!AP84</f>
        <v>124297.595418942</v>
      </c>
      <c r="AQ11" s="16" t="n">
        <f aca="false">AUX_MATRIZES!AQ84</f>
        <v>127871.240218443</v>
      </c>
      <c r="AR11" s="16" t="n">
        <f aca="false">AUX_MATRIZES!AR84</f>
        <v>70695.1533306288</v>
      </c>
      <c r="AS11" s="16" t="n">
        <f aca="false">AUX_MATRIZES!AS84</f>
        <v>66531.8429858012</v>
      </c>
      <c r="AT11" s="16" t="n">
        <f aca="false">AUX_MATRIZES!AT84</f>
        <v>40749.9686880325</v>
      </c>
      <c r="AU11" s="16" t="n">
        <f aca="false">AUX_MATRIZES!AU84</f>
        <v>69612.6554060852</v>
      </c>
      <c r="AV11" s="16" t="n">
        <f aca="false">AUX_MATRIZES!AV84</f>
        <v>87047.5718198783</v>
      </c>
      <c r="AW11" s="16" t="n">
        <f aca="false">AUX_MATRIZES!AW84</f>
        <v>104482.488233671</v>
      </c>
      <c r="AX11" s="16" t="n">
        <f aca="false">AUX_MATRIZES!AX84</f>
        <v>128328.126636917</v>
      </c>
      <c r="AY11" s="16" t="n">
        <f aca="false">AUX_MATRIZES!AY84</f>
        <v>182388.326490872</v>
      </c>
      <c r="AZ11" s="16" t="n">
        <f aca="false">AUX_MATRIZES!AZ84</f>
        <v>199151.445277079</v>
      </c>
      <c r="BA11" s="16" t="n">
        <f aca="false">AUX_MATRIZES!BA84</f>
        <v>213203.753139148</v>
      </c>
      <c r="BB11" s="16" t="n">
        <f aca="false">AUX_MATRIZES!BB84</f>
        <v>227256.061001217</v>
      </c>
      <c r="BC11" s="16" t="n">
        <f aca="false">AUX_MATRIZES!BC84</f>
        <v>239480.527831237</v>
      </c>
      <c r="BD11" s="16" t="n">
        <f aca="false">AUX_MATRIZES!BD84</f>
        <v>241647.872941176</v>
      </c>
      <c r="BE11" s="16" t="n">
        <f aca="false">AUX_MATRIZES!BE84</f>
        <v>241647.872941176</v>
      </c>
      <c r="BF11" s="16" t="n">
        <f aca="false">AUX_MATRIZES!BF84</f>
        <v>233496.018823529</v>
      </c>
      <c r="BG11" s="16" t="n">
        <f aca="false">AUX_MATRIZES!BG84</f>
        <v>174058.801720081</v>
      </c>
      <c r="BH11" s="16" t="n">
        <f aca="false">AUX_MATRIZES!BH84</f>
        <v>100406.16074645</v>
      </c>
      <c r="BI11" s="16" t="n">
        <f aca="false">AUX_MATRIZES!BI84</f>
        <v>85714.0834401622</v>
      </c>
      <c r="BJ11" s="16" t="n">
        <f aca="false">AUX_MATRIZES!BJ84</f>
        <v>65076.7989614604</v>
      </c>
      <c r="BK11" s="16" t="n">
        <f aca="false">AUX_MATRIZES!BK84</f>
        <v>39318.3028965517</v>
      </c>
      <c r="BL11" s="16" t="n">
        <f aca="false">AUX_MATRIZES!BL84</f>
        <v>0</v>
      </c>
      <c r="BM11" s="16" t="n">
        <f aca="false">AUX_MATRIZES!BM84</f>
        <v>0</v>
      </c>
      <c r="BN11" s="16" t="n">
        <f aca="false">AUX_MATRIZES!BN84</f>
        <v>0</v>
      </c>
      <c r="BO11" s="16" t="n">
        <f aca="false">AUX_MATRIZES!BO84</f>
        <v>0</v>
      </c>
      <c r="BP11" s="16" t="n">
        <f aca="false">AUX_MATRIZES!BP84</f>
        <v>0</v>
      </c>
    </row>
    <row r="12" customFormat="false" ht="15" hidden="false" customHeight="false" outlineLevel="0" collapsed="false">
      <c r="B12" s="15" t="s">
        <v>176</v>
      </c>
      <c r="C12" s="16" t="n">
        <f aca="false">AUX_MATRIZES!C85</f>
        <v>148517.964621022</v>
      </c>
      <c r="D12" s="16" t="n">
        <f aca="false">AUX_MATRIZES!D85</f>
        <v>106348.07147541</v>
      </c>
      <c r="E12" s="16" t="n">
        <f aca="false">AUX_MATRIZES!E85</f>
        <v>72482.76</v>
      </c>
      <c r="F12" s="16" t="n">
        <f aca="false">AUX_MATRIZES!F85</f>
        <v>67558.995</v>
      </c>
      <c r="G12" s="16" t="n">
        <f aca="false">AUX_MATRIZES!G85</f>
        <v>43075.116</v>
      </c>
      <c r="H12" s="16" t="n">
        <f aca="false">AUX_MATRIZES!H85</f>
        <v>23226.588</v>
      </c>
      <c r="I12" s="16" t="n">
        <f aca="false">AUX_MATRIZES!I85</f>
        <v>16571.016</v>
      </c>
      <c r="J12" s="16" t="n">
        <f aca="false">AUX_MATRIZES!J85</f>
        <v>9915.44399999998</v>
      </c>
      <c r="K12" s="16" t="n">
        <f aca="false">AUX_MATRIZES!K85</f>
        <v>0</v>
      </c>
      <c r="L12" s="16" t="n">
        <f aca="false">AUX_MATRIZES!L85</f>
        <v>0</v>
      </c>
      <c r="M12" s="16" t="n">
        <f aca="false">AUX_MATRIZES!M85</f>
        <v>0</v>
      </c>
      <c r="N12" s="16" t="n">
        <f aca="false">AUX_MATRIZES!N85</f>
        <v>0</v>
      </c>
      <c r="O12" s="16" t="n">
        <f aca="false">AUX_MATRIZES!O85</f>
        <v>1050.25753382132</v>
      </c>
      <c r="P12" s="16" t="n">
        <f aca="false">AUX_MATRIZES!P85</f>
        <v>0</v>
      </c>
      <c r="Q12" s="16" t="n">
        <f aca="false">AUX_MATRIZES!Q85</f>
        <v>0</v>
      </c>
      <c r="R12" s="16" t="n">
        <f aca="false">AUX_MATRIZES!R85</f>
        <v>0</v>
      </c>
      <c r="S12" s="16" t="n">
        <f aca="false">AUX_MATRIZES!S85</f>
        <v>0</v>
      </c>
      <c r="T12" s="16" t="n">
        <f aca="false">AUX_MATRIZES!T85</f>
        <v>575.813647058821</v>
      </c>
      <c r="U12" s="16" t="n">
        <f aca="false">AUX_MATRIZES!U85</f>
        <v>2949.2894117647</v>
      </c>
      <c r="V12" s="16" t="n">
        <f aca="false">AUX_MATRIZES!V85</f>
        <v>2949.2894117647</v>
      </c>
      <c r="W12" s="16" t="n">
        <f aca="false">AUX_MATRIZES!W85</f>
        <v>0</v>
      </c>
      <c r="X12" s="16" t="n">
        <f aca="false">AUX_MATRIZES!X85</f>
        <v>0</v>
      </c>
      <c r="Y12" s="16" t="n">
        <f aca="false">AUX_MATRIZES!Y85</f>
        <v>6937.73129411765</v>
      </c>
      <c r="Z12" s="16" t="n">
        <f aca="false">AUX_MATRIZES!Z85</f>
        <v>18011.1255809258</v>
      </c>
      <c r="AA12" s="16" t="n">
        <f aca="false">AUX_MATRIZES!AA85</f>
        <v>36258.5168235294</v>
      </c>
      <c r="AB12" s="16" t="n">
        <f aca="false">AUX_MATRIZES!AB85</f>
        <v>37916.6768235294</v>
      </c>
      <c r="AC12" s="16" t="n">
        <f aca="false">AUX_MATRIZES!AC85</f>
        <v>55491.5027058823</v>
      </c>
      <c r="AD12" s="16" t="n">
        <f aca="false">AUX_MATRIZES!AD85</f>
        <v>63309.3739215686</v>
      </c>
      <c r="AE12" s="16" t="n">
        <f aca="false">AUX_MATRIZES!AE85</f>
        <v>65814.1336764706</v>
      </c>
      <c r="AF12" s="16" t="n">
        <f aca="false">AUX_MATRIZES!AF85</f>
        <v>63329.1697058823</v>
      </c>
      <c r="AG12" s="16" t="n">
        <f aca="false">AUX_MATRIZES!AG85</f>
        <v>158408.527182228</v>
      </c>
      <c r="AH12" s="16" t="n">
        <f aca="false">AUX_MATRIZES!AH85</f>
        <v>239700.350542484</v>
      </c>
      <c r="AI12" s="16" t="n">
        <f aca="false">AUX_MATRIZES!AI85</f>
        <v>241517.355240196</v>
      </c>
      <c r="AJ12" s="16" t="n">
        <f aca="false">AUX_MATRIZES!AJ85</f>
        <v>238455.314095148</v>
      </c>
      <c r="AK12" s="16" t="n">
        <f aca="false">AUX_MATRIZES!AK85</f>
        <v>232026.832968083</v>
      </c>
      <c r="AL12" s="16" t="n">
        <f aca="false">AUX_MATRIZES!AL85</f>
        <v>274613.670340069</v>
      </c>
      <c r="AM12" s="16" t="n">
        <f aca="false">AUX_MATRIZES!AM85</f>
        <v>269320.106720666</v>
      </c>
      <c r="AN12" s="16" t="n">
        <f aca="false">AUX_MATRIZES!AN85</f>
        <v>253931.10686597</v>
      </c>
      <c r="AO12" s="16" t="n">
        <f aca="false">AUX_MATRIZES!AO85</f>
        <v>238542.107011273</v>
      </c>
      <c r="AP12" s="16" t="n">
        <f aca="false">AUX_MATRIZES!AP85</f>
        <v>192675.328963511</v>
      </c>
      <c r="AQ12" s="16" t="n">
        <f aca="false">AUX_MATRIZES!AQ85</f>
        <v>184018.211794508</v>
      </c>
      <c r="AR12" s="16" t="n">
        <f aca="false">AUX_MATRIZES!AR85</f>
        <v>105683.408551724</v>
      </c>
      <c r="AS12" s="16" t="n">
        <f aca="false">AUX_MATRIZES!AS85</f>
        <v>122256.792302907</v>
      </c>
      <c r="AT12" s="16" t="n">
        <f aca="false">AUX_MATRIZES!AT85</f>
        <v>101868.376878431</v>
      </c>
      <c r="AU12" s="16" t="n">
        <f aca="false">AUX_MATRIZES!AU85</f>
        <v>110999.730223529</v>
      </c>
      <c r="AV12" s="16" t="n">
        <f aca="false">AUX_MATRIZES!AV85</f>
        <v>118896.898427451</v>
      </c>
      <c r="AW12" s="16" t="n">
        <f aca="false">AUX_MATRIZES!AW85</f>
        <v>127621.952966667</v>
      </c>
      <c r="AX12" s="16" t="n">
        <f aca="false">AUX_MATRIZES!AX85</f>
        <v>145164.103294118</v>
      </c>
      <c r="AY12" s="16" t="n">
        <f aca="false">AUX_MATRIZES!AY85</f>
        <v>185651.427239216</v>
      </c>
      <c r="AZ12" s="16" t="n">
        <f aca="false">AUX_MATRIZES!AZ85</f>
        <v>180091.532847059</v>
      </c>
      <c r="BA12" s="16" t="n">
        <f aca="false">AUX_MATRIZES!BA85</f>
        <v>200084.864494118</v>
      </c>
      <c r="BB12" s="16" t="n">
        <f aca="false">AUX_MATRIZES!BB85</f>
        <v>213432.502541176</v>
      </c>
      <c r="BC12" s="16" t="n">
        <f aca="false">AUX_MATRIZES!BC85</f>
        <v>220875.092705882</v>
      </c>
      <c r="BD12" s="16" t="n">
        <f aca="false">AUX_MATRIZES!BD85</f>
        <v>217357.418352941</v>
      </c>
      <c r="BE12" s="16" t="n">
        <f aca="false">AUX_MATRIZES!BE85</f>
        <v>210339.015764706</v>
      </c>
      <c r="BF12" s="16" t="n">
        <f aca="false">AUX_MATRIZES!BF85</f>
        <v>203320.613176471</v>
      </c>
      <c r="BG12" s="16" t="n">
        <f aca="false">AUX_MATRIZES!BG85</f>
        <v>157614.958117647</v>
      </c>
      <c r="BH12" s="16" t="n">
        <f aca="false">AUX_MATRIZES!BH85</f>
        <v>99255.566117647</v>
      </c>
      <c r="BI12" s="16" t="n">
        <f aca="false">AUX_MATRIZES!BI85</f>
        <v>88330.2494117647</v>
      </c>
      <c r="BJ12" s="16" t="n">
        <f aca="false">AUX_MATRIZES!BJ85</f>
        <v>75032.3774117647</v>
      </c>
      <c r="BK12" s="16" t="n">
        <f aca="false">AUX_MATRIZES!BK85</f>
        <v>60678.1905882352</v>
      </c>
      <c r="BL12" s="16" t="n">
        <f aca="false">AUX_MATRIZES!BL85</f>
        <v>0</v>
      </c>
      <c r="BM12" s="16" t="n">
        <f aca="false">AUX_MATRIZES!BM85</f>
        <v>0</v>
      </c>
      <c r="BN12" s="16" t="n">
        <f aca="false">AUX_MATRIZES!BN85</f>
        <v>0</v>
      </c>
      <c r="BO12" s="16" t="n">
        <f aca="false">AUX_MATRIZES!BO85</f>
        <v>0</v>
      </c>
      <c r="BP12" s="16" t="n">
        <f aca="false">AUX_MATRIZES!BP85</f>
        <v>0</v>
      </c>
    </row>
    <row r="13" customFormat="false" ht="15" hidden="false" customHeight="false" outlineLevel="0" collapsed="false">
      <c r="B13" s="15" t="s">
        <v>177</v>
      </c>
      <c r="C13" s="16" t="n">
        <f aca="false">AUX_MATRIZES!C86</f>
        <v>172736.158296919</v>
      </c>
      <c r="D13" s="16" t="n">
        <f aca="false">AUX_MATRIZES!D86</f>
        <v>152721.743398693</v>
      </c>
      <c r="E13" s="16" t="n">
        <f aca="false">AUX_MATRIZES!E86</f>
        <v>101244.383189542</v>
      </c>
      <c r="F13" s="16" t="n">
        <f aca="false">AUX_MATRIZES!F86</f>
        <v>58285.332</v>
      </c>
      <c r="G13" s="16" t="n">
        <f aca="false">AUX_MATRIZES!G86</f>
        <v>26414.8658823529</v>
      </c>
      <c r="H13" s="16" t="n">
        <f aca="false">AUX_MATRIZES!H86</f>
        <v>0</v>
      </c>
      <c r="I13" s="16" t="n">
        <f aca="false">AUX_MATRIZES!I86</f>
        <v>0</v>
      </c>
      <c r="J13" s="16" t="n">
        <f aca="false">AUX_MATRIZES!J86</f>
        <v>0</v>
      </c>
      <c r="K13" s="16" t="n">
        <f aca="false">AUX_MATRIZES!K86</f>
        <v>0</v>
      </c>
      <c r="L13" s="16" t="n">
        <f aca="false">AUX_MATRIZES!L86</f>
        <v>0</v>
      </c>
      <c r="M13" s="16" t="n">
        <f aca="false">AUX_MATRIZES!M86</f>
        <v>0</v>
      </c>
      <c r="N13" s="16" t="n">
        <f aca="false">AUX_MATRIZES!N86</f>
        <v>0</v>
      </c>
      <c r="O13" s="16" t="n">
        <f aca="false">AUX_MATRIZES!O86</f>
        <v>1050.25753382132</v>
      </c>
      <c r="P13" s="16" t="n">
        <f aca="false">AUX_MATRIZES!P86</f>
        <v>0</v>
      </c>
      <c r="Q13" s="16" t="n">
        <f aca="false">AUX_MATRIZES!Q86</f>
        <v>0</v>
      </c>
      <c r="R13" s="16" t="n">
        <f aca="false">AUX_MATRIZES!R86</f>
        <v>0</v>
      </c>
      <c r="S13" s="16" t="n">
        <f aca="false">AUX_MATRIZES!S86</f>
        <v>0</v>
      </c>
      <c r="T13" s="16" t="n">
        <f aca="false">AUX_MATRIZES!T86</f>
        <v>4030.29035294116</v>
      </c>
      <c r="U13" s="16" t="n">
        <f aca="false">AUX_MATRIZES!U86</f>
        <v>20642.9505882353</v>
      </c>
      <c r="V13" s="16" t="n">
        <f aca="false">AUX_MATRIZES!V86</f>
        <v>20642.9505882353</v>
      </c>
      <c r="W13" s="16" t="n">
        <f aca="false">AUX_MATRIZES!W86</f>
        <v>8508.71637009591</v>
      </c>
      <c r="X13" s="16" t="n">
        <f aca="false">AUX_MATRIZES!X86</f>
        <v>0</v>
      </c>
      <c r="Y13" s="16" t="n">
        <f aca="false">AUX_MATRIZES!Y86</f>
        <v>0</v>
      </c>
      <c r="Z13" s="16" t="n">
        <f aca="false">AUX_MATRIZES!Z86</f>
        <v>4053.86713261398</v>
      </c>
      <c r="AA13" s="16" t="n">
        <f aca="false">AUX_MATRIZES!AA86</f>
        <v>12914.9946526086</v>
      </c>
      <c r="AB13" s="16" t="n">
        <f aca="false">AUX_MATRIZES!AB86</f>
        <v>20651.9270588235</v>
      </c>
      <c r="AC13" s="16" t="n">
        <f aca="false">AUX_MATRIZES!AC86</f>
        <v>26207.7035294118</v>
      </c>
      <c r="AD13" s="16" t="n">
        <f aca="false">AUX_MATRIZES!AD86</f>
        <v>26207.7035294118</v>
      </c>
      <c r="AE13" s="16" t="n">
        <f aca="false">AUX_MATRIZES!AE86</f>
        <v>29146.4767679738</v>
      </c>
      <c r="AF13" s="16" t="n">
        <f aca="false">AUX_MATRIZES!AF86</f>
        <v>35852.7712941176</v>
      </c>
      <c r="AG13" s="16" t="n">
        <f aca="false">AUX_MATRIZES!AG86</f>
        <v>116217.850881627</v>
      </c>
      <c r="AH13" s="16" t="n">
        <f aca="false">AUX_MATRIZES!AH86</f>
        <v>236511.561084967</v>
      </c>
      <c r="AI13" s="16" t="n">
        <f aca="false">AUX_MATRIZES!AI86</f>
        <v>264229.996038671</v>
      </c>
      <c r="AJ13" s="16" t="n">
        <f aca="false">AUX_MATRIZES!AJ86</f>
        <v>283391.189642031</v>
      </c>
      <c r="AK13" s="16" t="n">
        <f aca="false">AUX_MATRIZES!AK86</f>
        <v>324304.534323683</v>
      </c>
      <c r="AL13" s="16" t="n">
        <f aca="false">AUX_MATRIZES!AL86</f>
        <v>407921.465823529</v>
      </c>
      <c r="AM13" s="16" t="n">
        <f aca="false">AUX_MATRIZES!AM86</f>
        <v>398843.217254525</v>
      </c>
      <c r="AN13" s="16" t="n">
        <f aca="false">AUX_MATRIZES!AN86</f>
        <v>389360.091773756</v>
      </c>
      <c r="AO13" s="16" t="n">
        <f aca="false">AUX_MATRIZES!AO86</f>
        <v>346552.519028281</v>
      </c>
      <c r="AP13" s="16" t="n">
        <f aca="false">AUX_MATRIZES!AP86</f>
        <v>354318.903272463</v>
      </c>
      <c r="AQ13" s="16" t="n">
        <f aca="false">AUX_MATRIZES!AQ86</f>
        <v>348262.392321267</v>
      </c>
      <c r="AR13" s="16" t="n">
        <f aca="false">AUX_MATRIZES!AR86</f>
        <v>301446.849803922</v>
      </c>
      <c r="AS13" s="16" t="n">
        <f aca="false">AUX_MATRIZES!AS86</f>
        <v>263268.321464052</v>
      </c>
      <c r="AT13" s="16" t="n">
        <f aca="false">AUX_MATRIZES!AT86</f>
        <v>278245.964235294</v>
      </c>
      <c r="AU13" s="16" t="n">
        <f aca="false">AUX_MATRIZES!AU86</f>
        <v>273278.471739869</v>
      </c>
      <c r="AV13" s="16" t="n">
        <f aca="false">AUX_MATRIZES!AV86</f>
        <v>259988.107903268</v>
      </c>
      <c r="AW13" s="16" t="n">
        <f aca="false">AUX_MATRIZES!AW86</f>
        <v>247069.456232184</v>
      </c>
      <c r="AX13" s="16" t="n">
        <f aca="false">AUX_MATRIZES!AX86</f>
        <v>215925.435404102</v>
      </c>
      <c r="AY13" s="16" t="n">
        <f aca="false">AUX_MATRIZES!AY86</f>
        <v>222953.03967735</v>
      </c>
      <c r="AZ13" s="16" t="n">
        <f aca="false">AUX_MATRIZES!AZ86</f>
        <v>212778.354351679</v>
      </c>
      <c r="BA13" s="16" t="n">
        <f aca="false">AUX_MATRIZES!BA86</f>
        <v>153873.594772414</v>
      </c>
      <c r="BB13" s="16" t="n">
        <f aca="false">AUX_MATRIZES!BB86</f>
        <v>170691.022727789</v>
      </c>
      <c r="BC13" s="16" t="n">
        <f aca="false">AUX_MATRIZES!BC86</f>
        <v>181370.903447059</v>
      </c>
      <c r="BD13" s="16" t="n">
        <f aca="false">AUX_MATRIZES!BD86</f>
        <v>192351.865670588</v>
      </c>
      <c r="BE13" s="16" t="n">
        <f aca="false">AUX_MATRIZES!BE86</f>
        <v>192978.075294118</v>
      </c>
      <c r="BF13" s="16" t="n">
        <f aca="false">AUX_MATRIZES!BF86</f>
        <v>192978.075294118</v>
      </c>
      <c r="BG13" s="16" t="n">
        <f aca="false">AUX_MATRIZES!BG86</f>
        <v>158545.365647059</v>
      </c>
      <c r="BH13" s="16" t="n">
        <f aca="false">AUX_MATRIZES!BH86</f>
        <v>106826.752941176</v>
      </c>
      <c r="BI13" s="16" t="n">
        <f aca="false">AUX_MATRIZES!BI86</f>
        <v>97788.1123569979</v>
      </c>
      <c r="BJ13" s="16" t="n">
        <f aca="false">AUX_MATRIZES!BJ86</f>
        <v>86139.1811440162</v>
      </c>
      <c r="BK13" s="16" t="n">
        <f aca="false">AUX_MATRIZES!BK86</f>
        <v>74490.2499310345</v>
      </c>
      <c r="BL13" s="16" t="n">
        <f aca="false">AUX_MATRIZES!BL86</f>
        <v>1235.62435294118</v>
      </c>
      <c r="BM13" s="16" t="n">
        <f aca="false">AUX_MATRIZES!BM86</f>
        <v>0</v>
      </c>
      <c r="BN13" s="16" t="n">
        <f aca="false">AUX_MATRIZES!BN86</f>
        <v>0</v>
      </c>
      <c r="BO13" s="16" t="n">
        <f aca="false">AUX_MATRIZES!BO86</f>
        <v>0</v>
      </c>
      <c r="BP13" s="16" t="n">
        <f aca="false">AUX_MATRIZES!BP86</f>
        <v>0</v>
      </c>
    </row>
    <row r="14" customFormat="false" ht="15" hidden="false" customHeight="false" outlineLevel="0" collapsed="false">
      <c r="B14" s="15" t="s">
        <v>178</v>
      </c>
      <c r="C14" s="16" t="n">
        <f aca="false">AUX_MATRIZES!C87</f>
        <v>0</v>
      </c>
      <c r="D14" s="16" t="n">
        <f aca="false">AUX_MATRIZES!D87</f>
        <v>0</v>
      </c>
      <c r="E14" s="16" t="n">
        <f aca="false">AUX_MATRIZES!E87</f>
        <v>0</v>
      </c>
      <c r="F14" s="16" t="n">
        <f aca="false">AUX_MATRIZES!F87</f>
        <v>0</v>
      </c>
      <c r="G14" s="16" t="n">
        <f aca="false">AUX_MATRIZES!G87</f>
        <v>0</v>
      </c>
      <c r="H14" s="16" t="n">
        <f aca="false">AUX_MATRIZES!H87</f>
        <v>0</v>
      </c>
      <c r="I14" s="16" t="n">
        <f aca="false">AUX_MATRIZES!I87</f>
        <v>0</v>
      </c>
      <c r="J14" s="16" t="n">
        <f aca="false">AUX_MATRIZES!J87</f>
        <v>0</v>
      </c>
      <c r="K14" s="16" t="n">
        <f aca="false">AUX_MATRIZES!K87</f>
        <v>0</v>
      </c>
      <c r="L14" s="16" t="n">
        <f aca="false">AUX_MATRIZES!L87</f>
        <v>0</v>
      </c>
      <c r="M14" s="16" t="n">
        <f aca="false">AUX_MATRIZES!M87</f>
        <v>0</v>
      </c>
      <c r="N14" s="16" t="n">
        <f aca="false">AUX_MATRIZES!N87</f>
        <v>0</v>
      </c>
      <c r="O14" s="16" t="n">
        <f aca="false">AUX_MATRIZES!O87</f>
        <v>0</v>
      </c>
      <c r="P14" s="16" t="n">
        <f aca="false">AUX_MATRIZES!P87</f>
        <v>0</v>
      </c>
      <c r="Q14" s="16" t="n">
        <f aca="false">AUX_MATRIZES!Q87</f>
        <v>0</v>
      </c>
      <c r="R14" s="16" t="n">
        <f aca="false">AUX_MATRIZES!R87</f>
        <v>0</v>
      </c>
      <c r="S14" s="16" t="n">
        <f aca="false">AUX_MATRIZES!S87</f>
        <v>0</v>
      </c>
      <c r="T14" s="16" t="n">
        <f aca="false">AUX_MATRIZES!T87</f>
        <v>0</v>
      </c>
      <c r="U14" s="16" t="n">
        <f aca="false">AUX_MATRIZES!U87</f>
        <v>0</v>
      </c>
      <c r="V14" s="16" t="n">
        <f aca="false">AUX_MATRIZES!V87</f>
        <v>0</v>
      </c>
      <c r="W14" s="16" t="n">
        <f aca="false">AUX_MATRIZES!W87</f>
        <v>0</v>
      </c>
      <c r="X14" s="16" t="n">
        <f aca="false">AUX_MATRIZES!X87</f>
        <v>0</v>
      </c>
      <c r="Y14" s="16" t="n">
        <f aca="false">AUX_MATRIZES!Y87</f>
        <v>0</v>
      </c>
      <c r="Z14" s="16" t="n">
        <f aca="false">AUX_MATRIZES!Z87</f>
        <v>0</v>
      </c>
      <c r="AA14" s="16" t="n">
        <f aca="false">AUX_MATRIZES!AA87</f>
        <v>0</v>
      </c>
      <c r="AB14" s="16" t="n">
        <f aca="false">AUX_MATRIZES!AB87</f>
        <v>0</v>
      </c>
      <c r="AC14" s="16" t="n">
        <f aca="false">AUX_MATRIZES!AC87</f>
        <v>0</v>
      </c>
      <c r="AD14" s="16" t="n">
        <f aca="false">AUX_MATRIZES!AD87</f>
        <v>0</v>
      </c>
      <c r="AE14" s="16" t="n">
        <f aca="false">AUX_MATRIZES!AE87</f>
        <v>0</v>
      </c>
      <c r="AF14" s="16" t="n">
        <f aca="false">AUX_MATRIZES!AF87</f>
        <v>0</v>
      </c>
      <c r="AG14" s="16" t="n">
        <f aca="false">AUX_MATRIZES!AG87</f>
        <v>0</v>
      </c>
      <c r="AH14" s="16" t="n">
        <f aca="false">AUX_MATRIZES!AH87</f>
        <v>0</v>
      </c>
      <c r="AI14" s="16" t="n">
        <f aca="false">AUX_MATRIZES!AI87</f>
        <v>0</v>
      </c>
      <c r="AJ14" s="16" t="n">
        <f aca="false">AUX_MATRIZES!AJ87</f>
        <v>0</v>
      </c>
      <c r="AK14" s="16" t="n">
        <f aca="false">AUX_MATRIZES!AK87</f>
        <v>0</v>
      </c>
      <c r="AL14" s="16" t="n">
        <f aca="false">AUX_MATRIZES!AL87</f>
        <v>0</v>
      </c>
      <c r="AM14" s="16" t="n">
        <f aca="false">AUX_MATRIZES!AM87</f>
        <v>0</v>
      </c>
      <c r="AN14" s="16" t="n">
        <f aca="false">AUX_MATRIZES!AN87</f>
        <v>0</v>
      </c>
      <c r="AO14" s="16" t="n">
        <f aca="false">AUX_MATRIZES!AO87</f>
        <v>0</v>
      </c>
      <c r="AP14" s="16" t="n">
        <f aca="false">AUX_MATRIZES!AP87</f>
        <v>0</v>
      </c>
      <c r="AQ14" s="16" t="n">
        <f aca="false">AUX_MATRIZES!AQ87</f>
        <v>0</v>
      </c>
      <c r="AR14" s="16" t="n">
        <f aca="false">AUX_MATRIZES!AR87</f>
        <v>0</v>
      </c>
      <c r="AS14" s="16" t="n">
        <f aca="false">AUX_MATRIZES!AS87</f>
        <v>0</v>
      </c>
      <c r="AT14" s="16" t="n">
        <f aca="false">AUX_MATRIZES!AT87</f>
        <v>0</v>
      </c>
      <c r="AU14" s="16" t="n">
        <f aca="false">AUX_MATRIZES!AU87</f>
        <v>0</v>
      </c>
      <c r="AV14" s="16" t="n">
        <f aca="false">AUX_MATRIZES!AV87</f>
        <v>0</v>
      </c>
      <c r="AW14" s="16" t="n">
        <f aca="false">AUX_MATRIZES!AW87</f>
        <v>0</v>
      </c>
      <c r="AX14" s="16" t="n">
        <f aca="false">AUX_MATRIZES!AX87</f>
        <v>0</v>
      </c>
      <c r="AY14" s="16" t="n">
        <f aca="false">AUX_MATRIZES!AY87</f>
        <v>0</v>
      </c>
      <c r="AZ14" s="16" t="n">
        <f aca="false">AUX_MATRIZES!AZ87</f>
        <v>0</v>
      </c>
      <c r="BA14" s="16" t="n">
        <f aca="false">AUX_MATRIZES!BA87</f>
        <v>0</v>
      </c>
      <c r="BB14" s="16" t="n">
        <f aca="false">AUX_MATRIZES!BB87</f>
        <v>0</v>
      </c>
      <c r="BC14" s="16" t="n">
        <f aca="false">AUX_MATRIZES!BC87</f>
        <v>0</v>
      </c>
      <c r="BD14" s="16" t="n">
        <f aca="false">AUX_MATRIZES!BD87</f>
        <v>0</v>
      </c>
      <c r="BE14" s="16" t="n">
        <f aca="false">AUX_MATRIZES!BE87</f>
        <v>0</v>
      </c>
      <c r="BF14" s="16" t="n">
        <f aca="false">AUX_MATRIZES!BF87</f>
        <v>0</v>
      </c>
      <c r="BG14" s="16" t="n">
        <f aca="false">AUX_MATRIZES!BG87</f>
        <v>0</v>
      </c>
      <c r="BH14" s="16" t="n">
        <f aca="false">AUX_MATRIZES!BH87</f>
        <v>0</v>
      </c>
      <c r="BI14" s="16" t="n">
        <f aca="false">AUX_MATRIZES!BI87</f>
        <v>0</v>
      </c>
      <c r="BJ14" s="16" t="n">
        <f aca="false">AUX_MATRIZES!BJ87</f>
        <v>0</v>
      </c>
      <c r="BK14" s="16" t="n">
        <f aca="false">AUX_MATRIZES!BK87</f>
        <v>0</v>
      </c>
      <c r="BL14" s="16" t="n">
        <f aca="false">AUX_MATRIZES!BL87</f>
        <v>0</v>
      </c>
      <c r="BM14" s="16" t="n">
        <f aca="false">AUX_MATRIZES!BM87</f>
        <v>0</v>
      </c>
      <c r="BN14" s="16" t="n">
        <f aca="false">AUX_MATRIZES!BN87</f>
        <v>0</v>
      </c>
      <c r="BO14" s="16" t="n">
        <f aca="false">AUX_MATRIZES!BO87</f>
        <v>0</v>
      </c>
      <c r="BP14" s="16" t="n">
        <f aca="false">AUX_MATRIZES!BP87</f>
        <v>0</v>
      </c>
    </row>
    <row r="17" customFormat="false" ht="15" hidden="false" customHeight="false" outlineLevel="0" collapsed="false">
      <c r="B17" s="3" t="s">
        <v>179</v>
      </c>
    </row>
    <row r="18" customFormat="false" ht="15" hidden="false" customHeight="false" outlineLevel="0" collapsed="false">
      <c r="B18" s="14" t="s">
        <v>170</v>
      </c>
      <c r="C18" s="22" t="n">
        <f aca="false">SEMANAS!$B$6</f>
        <v>1</v>
      </c>
      <c r="D18" s="22" t="n">
        <f aca="false">SEMANAS!$B$7</f>
        <v>2</v>
      </c>
      <c r="E18" s="22" t="n">
        <f aca="false">SEMANAS!$B$8</f>
        <v>3</v>
      </c>
      <c r="F18" s="22" t="n">
        <f aca="false">SEMANAS!$B$9</f>
        <v>4</v>
      </c>
      <c r="G18" s="22" t="n">
        <f aca="false">SEMANAS!$B$10</f>
        <v>5</v>
      </c>
      <c r="H18" s="22" t="n">
        <f aca="false">SEMANAS!$B$11</f>
        <v>6</v>
      </c>
      <c r="I18" s="22" t="n">
        <f aca="false">SEMANAS!$B$12</f>
        <v>7</v>
      </c>
      <c r="J18" s="22" t="n">
        <f aca="false">SEMANAS!$B$13</f>
        <v>8</v>
      </c>
      <c r="K18" s="22" t="n">
        <f aca="false">SEMANAS!$B$14</f>
        <v>9</v>
      </c>
      <c r="L18" s="22" t="n">
        <f aca="false">SEMANAS!$B$15</f>
        <v>10</v>
      </c>
      <c r="M18" s="22" t="n">
        <f aca="false">SEMANAS!$B$16</f>
        <v>11</v>
      </c>
      <c r="N18" s="22" t="n">
        <f aca="false">SEMANAS!$B$17</f>
        <v>12</v>
      </c>
      <c r="O18" s="22" t="n">
        <f aca="false">SEMANAS!$B$18</f>
        <v>13</v>
      </c>
      <c r="P18" s="22" t="n">
        <f aca="false">SEMANAS!$B$19</f>
        <v>14</v>
      </c>
      <c r="Q18" s="22" t="n">
        <f aca="false">SEMANAS!$B$20</f>
        <v>15</v>
      </c>
      <c r="R18" s="22" t="n">
        <f aca="false">SEMANAS!$B$21</f>
        <v>16</v>
      </c>
      <c r="S18" s="22" t="n">
        <f aca="false">SEMANAS!$B$22</f>
        <v>17</v>
      </c>
      <c r="T18" s="22" t="n">
        <f aca="false">SEMANAS!$B$23</f>
        <v>18</v>
      </c>
      <c r="U18" s="22" t="n">
        <f aca="false">SEMANAS!$B$24</f>
        <v>19</v>
      </c>
      <c r="V18" s="22" t="n">
        <f aca="false">SEMANAS!$B$25</f>
        <v>20</v>
      </c>
      <c r="W18" s="22" t="n">
        <f aca="false">SEMANAS!$B$26</f>
        <v>21</v>
      </c>
      <c r="X18" s="22" t="n">
        <f aca="false">SEMANAS!$B$27</f>
        <v>22</v>
      </c>
      <c r="Y18" s="22" t="n">
        <f aca="false">SEMANAS!$B$28</f>
        <v>23</v>
      </c>
      <c r="Z18" s="22" t="n">
        <f aca="false">SEMANAS!$B$29</f>
        <v>24</v>
      </c>
      <c r="AA18" s="22" t="n">
        <f aca="false">SEMANAS!$B$30</f>
        <v>25</v>
      </c>
      <c r="AB18" s="22" t="n">
        <f aca="false">SEMANAS!$B$31</f>
        <v>26</v>
      </c>
      <c r="AC18" s="22" t="n">
        <f aca="false">SEMANAS!$B$32</f>
        <v>27</v>
      </c>
      <c r="AD18" s="22" t="n">
        <f aca="false">SEMANAS!$B$33</f>
        <v>28</v>
      </c>
      <c r="AE18" s="22" t="n">
        <f aca="false">SEMANAS!$B$34</f>
        <v>29</v>
      </c>
      <c r="AF18" s="22" t="n">
        <f aca="false">SEMANAS!$B$35</f>
        <v>30</v>
      </c>
      <c r="AG18" s="22" t="n">
        <f aca="false">SEMANAS!$B$36</f>
        <v>31</v>
      </c>
      <c r="AH18" s="22" t="n">
        <f aca="false">SEMANAS!$B$37</f>
        <v>32</v>
      </c>
      <c r="AI18" s="22" t="n">
        <f aca="false">SEMANAS!$B$38</f>
        <v>33</v>
      </c>
      <c r="AJ18" s="22" t="n">
        <f aca="false">SEMANAS!$B$39</f>
        <v>34</v>
      </c>
      <c r="AK18" s="22" t="n">
        <f aca="false">SEMANAS!$B$40</f>
        <v>35</v>
      </c>
      <c r="AL18" s="22" t="n">
        <f aca="false">SEMANAS!$B$41</f>
        <v>36</v>
      </c>
      <c r="AM18" s="22" t="n">
        <f aca="false">SEMANAS!$B$42</f>
        <v>37</v>
      </c>
      <c r="AN18" s="22" t="n">
        <f aca="false">SEMANAS!$B$43</f>
        <v>38</v>
      </c>
      <c r="AO18" s="22" t="n">
        <f aca="false">SEMANAS!$B$44</f>
        <v>39</v>
      </c>
      <c r="AP18" s="22" t="n">
        <f aca="false">SEMANAS!$B$45</f>
        <v>40</v>
      </c>
      <c r="AQ18" s="22" t="n">
        <f aca="false">SEMANAS!$B$46</f>
        <v>41</v>
      </c>
      <c r="AR18" s="22" t="n">
        <f aca="false">SEMANAS!$B$47</f>
        <v>42</v>
      </c>
      <c r="AS18" s="22" t="n">
        <f aca="false">SEMANAS!$B$48</f>
        <v>43</v>
      </c>
      <c r="AT18" s="22" t="n">
        <f aca="false">SEMANAS!$B$49</f>
        <v>44</v>
      </c>
      <c r="AU18" s="22" t="n">
        <f aca="false">SEMANAS!$B$50</f>
        <v>45</v>
      </c>
      <c r="AV18" s="22" t="n">
        <f aca="false">SEMANAS!$B$51</f>
        <v>46</v>
      </c>
      <c r="AW18" s="22" t="n">
        <f aca="false">SEMANAS!$B$52</f>
        <v>47</v>
      </c>
      <c r="AX18" s="22" t="n">
        <f aca="false">SEMANAS!$B$53</f>
        <v>48</v>
      </c>
      <c r="AY18" s="22" t="n">
        <f aca="false">SEMANAS!$B$54</f>
        <v>49</v>
      </c>
      <c r="AZ18" s="22" t="n">
        <f aca="false">SEMANAS!$B$55</f>
        <v>50</v>
      </c>
      <c r="BA18" s="22" t="n">
        <f aca="false">SEMANAS!$B$56</f>
        <v>51</v>
      </c>
      <c r="BB18" s="22" t="n">
        <f aca="false">SEMANAS!$B$57</f>
        <v>52</v>
      </c>
      <c r="BC18" s="22" t="n">
        <f aca="false">SEMANAS!$B$58</f>
        <v>53</v>
      </c>
      <c r="BD18" s="22" t="n">
        <f aca="false">SEMANAS!$B$59</f>
        <v>54</v>
      </c>
      <c r="BE18" s="22" t="n">
        <f aca="false">SEMANAS!$B$60</f>
        <v>55</v>
      </c>
      <c r="BF18" s="22" t="n">
        <f aca="false">SEMANAS!$B$61</f>
        <v>56</v>
      </c>
      <c r="BG18" s="22" t="n">
        <f aca="false">SEMANAS!$B$62</f>
        <v>57</v>
      </c>
      <c r="BH18" s="22" t="n">
        <f aca="false">SEMANAS!$B$63</f>
        <v>58</v>
      </c>
      <c r="BI18" s="22" t="n">
        <f aca="false">SEMANAS!$B$64</f>
        <v>59</v>
      </c>
      <c r="BJ18" s="22" t="n">
        <f aca="false">SEMANAS!$B$65</f>
        <v>60</v>
      </c>
      <c r="BK18" s="22" t="n">
        <f aca="false">SEMANAS!$B$66</f>
        <v>61</v>
      </c>
      <c r="BL18" s="22" t="n">
        <f aca="false">SEMANAS!$B$67</f>
        <v>62</v>
      </c>
      <c r="BM18" s="22" t="n">
        <f aca="false">SEMANAS!$B$68</f>
        <v>63</v>
      </c>
      <c r="BN18" s="22" t="n">
        <f aca="false">SEMANAS!$B$69</f>
        <v>64</v>
      </c>
      <c r="BO18" s="22" t="n">
        <f aca="false">SEMANAS!$B$70</f>
        <v>65</v>
      </c>
      <c r="BP18" s="22" t="n">
        <f aca="false">SEMANAS!$B$71</f>
        <v>66</v>
      </c>
    </row>
    <row r="19" customFormat="false" ht="15" hidden="false" customHeight="false" outlineLevel="0" collapsed="false">
      <c r="B19" s="15" t="s">
        <v>171</v>
      </c>
      <c r="C19" s="18" t="n">
        <f aca="false">AUX_MATRIZES!C92</f>
        <v>0</v>
      </c>
      <c r="D19" s="18" t="n">
        <f aca="false">AUX_MATRIZES!D92</f>
        <v>0</v>
      </c>
      <c r="E19" s="18" t="n">
        <f aca="false">AUX_MATRIZES!E92</f>
        <v>0</v>
      </c>
      <c r="F19" s="18" t="n">
        <f aca="false">AUX_MATRIZES!F92</f>
        <v>0</v>
      </c>
      <c r="G19" s="18" t="n">
        <f aca="false">AUX_MATRIZES!G92</f>
        <v>8.93798799519808</v>
      </c>
      <c r="H19" s="18" t="n">
        <f aca="false">AUX_MATRIZES!H92</f>
        <v>0</v>
      </c>
      <c r="I19" s="18" t="n">
        <f aca="false">AUX_MATRIZES!I92</f>
        <v>0</v>
      </c>
      <c r="J19" s="18" t="n">
        <f aca="false">AUX_MATRIZES!J92</f>
        <v>20.3229075630252</v>
      </c>
      <c r="K19" s="18" t="n">
        <f aca="false">AUX_MATRIZES!K92</f>
        <v>60.6454083411142</v>
      </c>
      <c r="L19" s="18" t="n">
        <f aca="false">AUX_MATRIZES!L92</f>
        <v>0</v>
      </c>
      <c r="M19" s="18" t="n">
        <f aca="false">AUX_MATRIZES!M92</f>
        <v>16.4676134453781</v>
      </c>
      <c r="N19" s="18" t="n">
        <f aca="false">AUX_MATRIZES!N92</f>
        <v>16.4676134453781</v>
      </c>
      <c r="O19" s="18" t="n">
        <f aca="false">AUX_MATRIZES!O92</f>
        <v>16.4676134453781</v>
      </c>
      <c r="P19" s="18" t="n">
        <f aca="false">AUX_MATRIZES!P92</f>
        <v>0</v>
      </c>
      <c r="Q19" s="18" t="n">
        <f aca="false">AUX_MATRIZES!Q92</f>
        <v>0</v>
      </c>
      <c r="R19" s="18" t="n">
        <f aca="false">AUX_MATRIZES!R92</f>
        <v>0</v>
      </c>
      <c r="S19" s="18" t="n">
        <f aca="false">AUX_MATRIZES!S92</f>
        <v>0</v>
      </c>
      <c r="T19" s="18" t="n">
        <f aca="false">AUX_MATRIZES!T92</f>
        <v>0</v>
      </c>
      <c r="U19" s="18" t="n">
        <f aca="false">AUX_MATRIZES!U92</f>
        <v>0</v>
      </c>
      <c r="V19" s="18" t="n">
        <f aca="false">AUX_MATRIZES!V92</f>
        <v>0</v>
      </c>
      <c r="W19" s="18" t="n">
        <f aca="false">AUX_MATRIZES!W92</f>
        <v>0</v>
      </c>
      <c r="X19" s="18" t="n">
        <f aca="false">AUX_MATRIZES!X92</f>
        <v>0</v>
      </c>
      <c r="Y19" s="18" t="n">
        <f aca="false">AUX_MATRIZES!Y92</f>
        <v>0</v>
      </c>
      <c r="Z19" s="18" t="n">
        <f aca="false">AUX_MATRIZES!Z92</f>
        <v>0</v>
      </c>
      <c r="AA19" s="18" t="n">
        <f aca="false">AUX_MATRIZES!AA92</f>
        <v>0</v>
      </c>
      <c r="AB19" s="18" t="n">
        <f aca="false">AUX_MATRIZES!AB92</f>
        <v>0</v>
      </c>
      <c r="AC19" s="18" t="n">
        <f aca="false">AUX_MATRIZES!AC92</f>
        <v>0</v>
      </c>
      <c r="AD19" s="18" t="n">
        <f aca="false">AUX_MATRIZES!AD92</f>
        <v>0</v>
      </c>
      <c r="AE19" s="18" t="n">
        <f aca="false">AUX_MATRIZES!AE92</f>
        <v>0</v>
      </c>
      <c r="AF19" s="18" t="n">
        <f aca="false">AUX_MATRIZES!AF92</f>
        <v>0</v>
      </c>
      <c r="AG19" s="18" t="n">
        <f aca="false">AUX_MATRIZES!AG92</f>
        <v>34.0562929739943</v>
      </c>
      <c r="AH19" s="18" t="n">
        <f aca="false">AUX_MATRIZES!AH92</f>
        <v>116.069120680225</v>
      </c>
      <c r="AI19" s="18" t="n">
        <f aca="false">AUX_MATRIZES!AI92</f>
        <v>143.443990154642</v>
      </c>
      <c r="AJ19" s="18" t="n">
        <f aca="false">AUX_MATRIZES!AJ92</f>
        <v>170.818859629059</v>
      </c>
      <c r="AK19" s="18" t="n">
        <f aca="false">AUX_MATRIZES!AK92</f>
        <v>200.215651860744</v>
      </c>
      <c r="AL19" s="18" t="n">
        <f aca="false">AUX_MATRIZES!AL92</f>
        <v>244.86625210084</v>
      </c>
      <c r="AM19" s="18" t="n">
        <f aca="false">AUX_MATRIZES!AM92</f>
        <v>244.86625210084</v>
      </c>
      <c r="AN19" s="18" t="n">
        <f aca="false">AUX_MATRIZES!AN92</f>
        <v>244.86625210084</v>
      </c>
      <c r="AO19" s="18" t="n">
        <f aca="false">AUX_MATRIZES!AO92</f>
        <v>244.86625210084</v>
      </c>
      <c r="AP19" s="18" t="n">
        <f aca="false">AUX_MATRIZES!AP92</f>
        <v>245.715990396158</v>
      </c>
      <c r="AQ19" s="18" t="n">
        <f aca="false">AUX_MATRIZES!AQ92</f>
        <v>245.857613445378</v>
      </c>
      <c r="AR19" s="18" t="n">
        <f aca="false">AUX_MATRIZES!AR92</f>
        <v>245.857613445378</v>
      </c>
      <c r="AS19" s="18" t="n">
        <f aca="false">AUX_MATRIZES!AS92</f>
        <v>245.857613445378</v>
      </c>
      <c r="AT19" s="18" t="n">
        <f aca="false">AUX_MATRIZES!AT92</f>
        <v>243.203607878316</v>
      </c>
      <c r="AU19" s="18" t="n">
        <f aca="false">AUX_MATRIZES!AU92</f>
        <v>235.49875488657</v>
      </c>
      <c r="AV19" s="18" t="n">
        <f aca="false">AUX_MATRIZES!AV92</f>
        <v>218.799541355004</v>
      </c>
      <c r="AW19" s="18" t="n">
        <f aca="false">AUX_MATRIZES!AW92</f>
        <v>202.100327823437</v>
      </c>
      <c r="AX19" s="18" t="n">
        <f aca="false">AUX_MATRIZES!AX92</f>
        <v>190.698750111033</v>
      </c>
      <c r="AY19" s="18" t="n">
        <f aca="false">AUX_MATRIZES!AY92</f>
        <v>202.290167266907</v>
      </c>
      <c r="AZ19" s="18" t="n">
        <f aca="false">AUX_MATRIZES!AZ92</f>
        <v>182.095769507803</v>
      </c>
      <c r="BA19" s="18" t="n">
        <f aca="false">AUX_MATRIZES!BA92</f>
        <v>0</v>
      </c>
      <c r="BB19" s="18" t="n">
        <f aca="false">AUX_MATRIZES!BB92</f>
        <v>0</v>
      </c>
      <c r="BC19" s="18" t="n">
        <f aca="false">AUX_MATRIZES!BC92</f>
        <v>0</v>
      </c>
      <c r="BD19" s="18" t="n">
        <f aca="false">AUX_MATRIZES!BD92</f>
        <v>0</v>
      </c>
      <c r="BE19" s="18" t="n">
        <f aca="false">AUX_MATRIZES!BE92</f>
        <v>0</v>
      </c>
      <c r="BF19" s="18" t="n">
        <f aca="false">AUX_MATRIZES!BF92</f>
        <v>0</v>
      </c>
      <c r="BG19" s="18" t="n">
        <f aca="false">AUX_MATRIZES!BG92</f>
        <v>0</v>
      </c>
      <c r="BH19" s="18" t="n">
        <f aca="false">AUX_MATRIZES!BH92</f>
        <v>0</v>
      </c>
      <c r="BI19" s="18" t="n">
        <f aca="false">AUX_MATRIZES!BI92</f>
        <v>0</v>
      </c>
      <c r="BJ19" s="18" t="n">
        <f aca="false">AUX_MATRIZES!BJ92</f>
        <v>0</v>
      </c>
      <c r="BK19" s="18" t="n">
        <f aca="false">AUX_MATRIZES!BK92</f>
        <v>0</v>
      </c>
      <c r="BL19" s="18" t="n">
        <f aca="false">AUX_MATRIZES!BL92</f>
        <v>0</v>
      </c>
      <c r="BM19" s="18" t="n">
        <f aca="false">AUX_MATRIZES!BM92</f>
        <v>0</v>
      </c>
      <c r="BN19" s="18" t="n">
        <f aca="false">AUX_MATRIZES!BN92</f>
        <v>0</v>
      </c>
      <c r="BO19" s="18" t="n">
        <f aca="false">AUX_MATRIZES!BO92</f>
        <v>0</v>
      </c>
      <c r="BP19" s="18" t="n">
        <f aca="false">AUX_MATRIZES!BP92</f>
        <v>0</v>
      </c>
    </row>
    <row r="20" customFormat="false" ht="15" hidden="false" customHeight="false" outlineLevel="0" collapsed="false">
      <c r="B20" s="15" t="s">
        <v>172</v>
      </c>
      <c r="C20" s="18" t="n">
        <f aca="false">AUX_MATRIZES!C93</f>
        <v>153.537613445378</v>
      </c>
      <c r="D20" s="18" t="n">
        <f aca="false">AUX_MATRIZES!D93</f>
        <v>0</v>
      </c>
      <c r="E20" s="18" t="n">
        <f aca="false">AUX_MATRIZES!E93</f>
        <v>0</v>
      </c>
      <c r="F20" s="18" t="n">
        <f aca="false">AUX_MATRIZES!F93</f>
        <v>0</v>
      </c>
      <c r="G20" s="18" t="n">
        <f aca="false">AUX_MATRIZES!G93</f>
        <v>9.14527731092436</v>
      </c>
      <c r="H20" s="18" t="n">
        <f aca="false">AUX_MATRIZES!H93</f>
        <v>0</v>
      </c>
      <c r="I20" s="18" t="n">
        <f aca="false">AUX_MATRIZES!I93</f>
        <v>0</v>
      </c>
      <c r="J20" s="18" t="n">
        <f aca="false">AUX_MATRIZES!J93</f>
        <v>17.763258135638</v>
      </c>
      <c r="K20" s="18" t="n">
        <f aca="false">AUX_MATRIZES!K93</f>
        <v>57.2867778463709</v>
      </c>
      <c r="L20" s="18" t="n">
        <f aca="false">AUX_MATRIZES!L93</f>
        <v>0</v>
      </c>
      <c r="M20" s="18" t="n">
        <f aca="false">AUX_MATRIZES!M93</f>
        <v>16.8495294117647</v>
      </c>
      <c r="N20" s="18" t="n">
        <f aca="false">AUX_MATRIZES!N93</f>
        <v>16.8495294117647</v>
      </c>
      <c r="O20" s="18" t="n">
        <f aca="false">AUX_MATRIZES!O93</f>
        <v>16.8495294117647</v>
      </c>
      <c r="P20" s="18" t="n">
        <f aca="false">AUX_MATRIZES!P93</f>
        <v>0</v>
      </c>
      <c r="Q20" s="18" t="n">
        <f aca="false">AUX_MATRIZES!Q93</f>
        <v>0</v>
      </c>
      <c r="R20" s="18" t="n">
        <f aca="false">AUX_MATRIZES!R93</f>
        <v>0</v>
      </c>
      <c r="S20" s="18" t="n">
        <f aca="false">AUX_MATRIZES!S93</f>
        <v>0</v>
      </c>
      <c r="T20" s="18" t="n">
        <f aca="false">AUX_MATRIZES!T93</f>
        <v>0</v>
      </c>
      <c r="U20" s="18" t="n">
        <f aca="false">AUX_MATRIZES!U93</f>
        <v>0</v>
      </c>
      <c r="V20" s="18" t="n">
        <f aca="false">AUX_MATRIZES!V93</f>
        <v>0</v>
      </c>
      <c r="W20" s="18" t="n">
        <f aca="false">AUX_MATRIZES!W93</f>
        <v>0</v>
      </c>
      <c r="X20" s="18" t="n">
        <f aca="false">AUX_MATRIZES!X93</f>
        <v>0</v>
      </c>
      <c r="Y20" s="18" t="n">
        <f aca="false">AUX_MATRIZES!Y93</f>
        <v>0</v>
      </c>
      <c r="Z20" s="18" t="n">
        <f aca="false">AUX_MATRIZES!Z93</f>
        <v>1.39742025094056</v>
      </c>
      <c r="AA20" s="18" t="n">
        <f aca="false">AUX_MATRIZES!AA93</f>
        <v>30.4979036790258</v>
      </c>
      <c r="AB20" s="18" t="n">
        <f aca="false">AUX_MATRIZES!AB93</f>
        <v>46.9188907563025</v>
      </c>
      <c r="AC20" s="18" t="n">
        <f aca="false">AUX_MATRIZES!AC93</f>
        <v>57.9619271708683</v>
      </c>
      <c r="AD20" s="18" t="n">
        <f aca="false">AUX_MATRIZES!AD93</f>
        <v>57.9619271708683</v>
      </c>
      <c r="AE20" s="18" t="n">
        <f aca="false">AUX_MATRIZES!AE93</f>
        <v>57.9619271708683</v>
      </c>
      <c r="AF20" s="18" t="n">
        <f aca="false">AUX_MATRIZES!AF93</f>
        <v>57.9619271708683</v>
      </c>
      <c r="AG20" s="18" t="n">
        <f aca="false">AUX_MATRIZES!AG93</f>
        <v>160.511048567575</v>
      </c>
      <c r="AH20" s="18" t="n">
        <f aca="false">AUX_MATRIZES!AH93</f>
        <v>300.38825708061</v>
      </c>
      <c r="AI20" s="18" t="n">
        <f aca="false">AUX_MATRIZES!AI93</f>
        <v>329.608300653595</v>
      </c>
      <c r="AJ20" s="18" t="n">
        <f aca="false">AUX_MATRIZES!AJ93</f>
        <v>358.82834422658</v>
      </c>
      <c r="AK20" s="18" t="n">
        <f aca="false">AUX_MATRIZES!AK93</f>
        <v>394.680133899714</v>
      </c>
      <c r="AL20" s="18" t="n">
        <f aca="false">AUX_MATRIZES!AL93</f>
        <v>469.888080155139</v>
      </c>
      <c r="AM20" s="18" t="n">
        <f aca="false">AUX_MATRIZES!AM93</f>
        <v>453.286873518638</v>
      </c>
      <c r="AN20" s="18" t="n">
        <f aca="false">AUX_MATRIZES!AN93</f>
        <v>436.685666882138</v>
      </c>
      <c r="AO20" s="18" t="n">
        <f aca="false">AUX_MATRIZES!AO93</f>
        <v>420.084460245637</v>
      </c>
      <c r="AP20" s="18" t="n">
        <f aca="false">AUX_MATRIZES!AP93</f>
        <v>409.147644904116</v>
      </c>
      <c r="AQ20" s="18" t="n">
        <f aca="false">AUX_MATRIZES!AQ93</f>
        <v>394.281037132802</v>
      </c>
      <c r="AR20" s="18" t="n">
        <f aca="false">AUX_MATRIZES!AR93</f>
        <v>378.470364145658</v>
      </c>
      <c r="AS20" s="18" t="n">
        <f aca="false">AUX_MATRIZES!AS93</f>
        <v>240.53939869281</v>
      </c>
      <c r="AT20" s="18" t="n">
        <f aca="false">AUX_MATRIZES!AT93</f>
        <v>232.868242763772</v>
      </c>
      <c r="AU20" s="18" t="n">
        <f aca="false">AUX_MATRIZES!AU93</f>
        <v>220.847176470588</v>
      </c>
      <c r="AV20" s="18" t="n">
        <f aca="false">AUX_MATRIZES!AV93</f>
        <v>200.115555555556</v>
      </c>
      <c r="AW20" s="18" t="n">
        <f aca="false">AUX_MATRIZES!AW93</f>
        <v>179.383934640523</v>
      </c>
      <c r="AX20" s="18" t="n">
        <f aca="false">AUX_MATRIZES!AX93</f>
        <v>163.144448179272</v>
      </c>
      <c r="AY20" s="18" t="n">
        <f aca="false">AUX_MATRIZES!AY93</f>
        <v>0</v>
      </c>
      <c r="AZ20" s="18" t="n">
        <f aca="false">AUX_MATRIZES!AZ93</f>
        <v>0</v>
      </c>
      <c r="BA20" s="18" t="n">
        <f aca="false">AUX_MATRIZES!BA93</f>
        <v>0</v>
      </c>
      <c r="BB20" s="18" t="n">
        <f aca="false">AUX_MATRIZES!BB93</f>
        <v>0</v>
      </c>
      <c r="BC20" s="18" t="n">
        <f aca="false">AUX_MATRIZES!BC93</f>
        <v>0</v>
      </c>
      <c r="BD20" s="18" t="n">
        <f aca="false">AUX_MATRIZES!BD93</f>
        <v>0</v>
      </c>
      <c r="BE20" s="18" t="n">
        <f aca="false">AUX_MATRIZES!BE93</f>
        <v>0</v>
      </c>
      <c r="BF20" s="18" t="n">
        <f aca="false">AUX_MATRIZES!BF93</f>
        <v>0</v>
      </c>
      <c r="BG20" s="18" t="n">
        <f aca="false">AUX_MATRIZES!BG93</f>
        <v>0</v>
      </c>
      <c r="BH20" s="18" t="n">
        <f aca="false">AUX_MATRIZES!BH93</f>
        <v>0</v>
      </c>
      <c r="BI20" s="18" t="n">
        <f aca="false">AUX_MATRIZES!BI93</f>
        <v>0</v>
      </c>
      <c r="BJ20" s="18" t="n">
        <f aca="false">AUX_MATRIZES!BJ93</f>
        <v>0</v>
      </c>
      <c r="BK20" s="18" t="n">
        <f aca="false">AUX_MATRIZES!BK93</f>
        <v>0</v>
      </c>
      <c r="BL20" s="18" t="n">
        <f aca="false">AUX_MATRIZES!BL93</f>
        <v>0</v>
      </c>
      <c r="BM20" s="18" t="n">
        <f aca="false">AUX_MATRIZES!BM93</f>
        <v>0</v>
      </c>
      <c r="BN20" s="18" t="n">
        <f aca="false">AUX_MATRIZES!BN93</f>
        <v>0</v>
      </c>
      <c r="BO20" s="18" t="n">
        <f aca="false">AUX_MATRIZES!BO93</f>
        <v>0</v>
      </c>
      <c r="BP20" s="18" t="n">
        <f aca="false">AUX_MATRIZES!BP93</f>
        <v>0</v>
      </c>
    </row>
    <row r="21" customFormat="false" ht="15" hidden="false" customHeight="false" outlineLevel="0" collapsed="false">
      <c r="B21" s="15" t="s">
        <v>173</v>
      </c>
      <c r="C21" s="18" t="n">
        <f aca="false">AUX_MATRIZES!C94</f>
        <v>0</v>
      </c>
      <c r="D21" s="18" t="n">
        <f aca="false">AUX_MATRIZES!D94</f>
        <v>0</v>
      </c>
      <c r="E21" s="18" t="n">
        <f aca="false">AUX_MATRIZES!E94</f>
        <v>0</v>
      </c>
      <c r="F21" s="18" t="n">
        <f aca="false">AUX_MATRIZES!F94</f>
        <v>0</v>
      </c>
      <c r="G21" s="18" t="n">
        <f aca="false">AUX_MATRIZES!G94</f>
        <v>17.9814389755902</v>
      </c>
      <c r="H21" s="18" t="n">
        <f aca="false">AUX_MATRIZES!H94</f>
        <v>0</v>
      </c>
      <c r="I21" s="18" t="n">
        <f aca="false">AUX_MATRIZES!I94</f>
        <v>0</v>
      </c>
      <c r="J21" s="18" t="n">
        <f aca="false">AUX_MATRIZES!J94</f>
        <v>3.68767139473158</v>
      </c>
      <c r="K21" s="18" t="n">
        <f aca="false">AUX_MATRIZES!K94</f>
        <v>83.0011851420597</v>
      </c>
      <c r="L21" s="18" t="n">
        <f aca="false">AUX_MATRIZES!L94</f>
        <v>0</v>
      </c>
      <c r="M21" s="18" t="n">
        <f aca="false">AUX_MATRIZES!M94</f>
        <v>31.2852983088287</v>
      </c>
      <c r="N21" s="18" t="n">
        <f aca="false">AUX_MATRIZES!N94</f>
        <v>33.1295350140056</v>
      </c>
      <c r="O21" s="18" t="n">
        <f aca="false">AUX_MATRIZES!O94</f>
        <v>33.1295350140056</v>
      </c>
      <c r="P21" s="18" t="n">
        <f aca="false">AUX_MATRIZES!P94</f>
        <v>0</v>
      </c>
      <c r="Q21" s="18" t="n">
        <f aca="false">AUX_MATRIZES!Q94</f>
        <v>0</v>
      </c>
      <c r="R21" s="18" t="n">
        <f aca="false">AUX_MATRIZES!R94</f>
        <v>0</v>
      </c>
      <c r="S21" s="18" t="n">
        <f aca="false">AUX_MATRIZES!S94</f>
        <v>0</v>
      </c>
      <c r="T21" s="18" t="n">
        <f aca="false">AUX_MATRIZES!T94</f>
        <v>3.60890707789473</v>
      </c>
      <c r="U21" s="18" t="n">
        <f aca="false">AUX_MATRIZES!U94</f>
        <v>0</v>
      </c>
      <c r="V21" s="18" t="n">
        <f aca="false">AUX_MATRIZES!V94</f>
        <v>0</v>
      </c>
      <c r="W21" s="18" t="n">
        <f aca="false">AUX_MATRIZES!W94</f>
        <v>0</v>
      </c>
      <c r="X21" s="18" t="n">
        <f aca="false">AUX_MATRIZES!X94</f>
        <v>0</v>
      </c>
      <c r="Y21" s="18" t="n">
        <f aca="false">AUX_MATRIZES!Y94</f>
        <v>0</v>
      </c>
      <c r="Z21" s="18" t="n">
        <f aca="false">AUX_MATRIZES!Z94</f>
        <v>0</v>
      </c>
      <c r="AA21" s="18" t="n">
        <f aca="false">AUX_MATRIZES!AA94</f>
        <v>0</v>
      </c>
      <c r="AB21" s="18" t="n">
        <f aca="false">AUX_MATRIZES!AB94</f>
        <v>0</v>
      </c>
      <c r="AC21" s="18" t="n">
        <f aca="false">AUX_MATRIZES!AC94</f>
        <v>0</v>
      </c>
      <c r="AD21" s="18" t="n">
        <f aca="false">AUX_MATRIZES!AD94</f>
        <v>0</v>
      </c>
      <c r="AE21" s="18" t="n">
        <f aca="false">AUX_MATRIZES!AE94</f>
        <v>0</v>
      </c>
      <c r="AF21" s="18" t="n">
        <f aca="false">AUX_MATRIZES!AF94</f>
        <v>0</v>
      </c>
      <c r="AG21" s="18" t="n">
        <f aca="false">AUX_MATRIZES!AG94</f>
        <v>52.6295019404211</v>
      </c>
      <c r="AH21" s="18" t="n">
        <f aca="false">AUX_MATRIZES!AH94</f>
        <v>217.772718147614</v>
      </c>
      <c r="AI21" s="18" t="n">
        <f aca="false">AUX_MATRIZES!AI94</f>
        <v>272.845464405881</v>
      </c>
      <c r="AJ21" s="18" t="n">
        <f aca="false">AUX_MATRIZES!AJ94</f>
        <v>327.918210664147</v>
      </c>
      <c r="AK21" s="18" t="n">
        <f aca="false">AUX_MATRIZES!AK94</f>
        <v>402.793730292117</v>
      </c>
      <c r="AL21" s="18" t="n">
        <f aca="false">AUX_MATRIZES!AL94</f>
        <v>492.621781512605</v>
      </c>
      <c r="AM21" s="18" t="n">
        <f aca="false">AUX_MATRIZES!AM94</f>
        <v>492.621781512605</v>
      </c>
      <c r="AN21" s="18" t="n">
        <f aca="false">AUX_MATRIZES!AN94</f>
        <v>492.621781512605</v>
      </c>
      <c r="AO21" s="18" t="n">
        <f aca="false">AUX_MATRIZES!AO94</f>
        <v>492.621781512605</v>
      </c>
      <c r="AP21" s="18" t="n">
        <f aca="false">AUX_MATRIZES!AP94</f>
        <v>494.331284513806</v>
      </c>
      <c r="AQ21" s="18" t="n">
        <f aca="false">AUX_MATRIZES!AQ94</f>
        <v>494.616201680672</v>
      </c>
      <c r="AR21" s="18" t="n">
        <f aca="false">AUX_MATRIZES!AR94</f>
        <v>494.616201680672</v>
      </c>
      <c r="AS21" s="18" t="n">
        <f aca="false">AUX_MATRIZES!AS94</f>
        <v>494.616201680672</v>
      </c>
      <c r="AT21" s="18" t="n">
        <f aca="false">AUX_MATRIZES!AT94</f>
        <v>498.588575497598</v>
      </c>
      <c r="AU21" s="18" t="n">
        <f aca="false">AUX_MATRIZES!AU94</f>
        <v>483.374961266558</v>
      </c>
      <c r="AV21" s="18" t="n">
        <f aca="false">AUX_MATRIZES!AV94</f>
        <v>449.779493335796</v>
      </c>
      <c r="AW21" s="18" t="n">
        <f aca="false">AUX_MATRIZES!AW94</f>
        <v>416.184025405034</v>
      </c>
      <c r="AX21" s="18" t="n">
        <f aca="false">AUX_MATRIZES!AX94</f>
        <v>393.533342561933</v>
      </c>
      <c r="AY21" s="18" t="n">
        <f aca="false">AUX_MATRIZES!AY94</f>
        <v>418.574975590236</v>
      </c>
      <c r="AZ21" s="18" t="n">
        <f aca="false">AUX_MATRIZES!AZ94</f>
        <v>377.94789809257</v>
      </c>
      <c r="BA21" s="18" t="n">
        <f aca="false">AUX_MATRIZES!BA94</f>
        <v>337.320820594905</v>
      </c>
      <c r="BB21" s="18" t="n">
        <f aca="false">AUX_MATRIZES!BB94</f>
        <v>0</v>
      </c>
      <c r="BC21" s="18" t="n">
        <f aca="false">AUX_MATRIZES!BC94</f>
        <v>0</v>
      </c>
      <c r="BD21" s="18" t="n">
        <f aca="false">AUX_MATRIZES!BD94</f>
        <v>0</v>
      </c>
      <c r="BE21" s="18" t="n">
        <f aca="false">AUX_MATRIZES!BE94</f>
        <v>0</v>
      </c>
      <c r="BF21" s="18" t="n">
        <f aca="false">AUX_MATRIZES!BF94</f>
        <v>0</v>
      </c>
      <c r="BG21" s="18" t="n">
        <f aca="false">AUX_MATRIZES!BG94</f>
        <v>0</v>
      </c>
      <c r="BH21" s="18" t="n">
        <f aca="false">AUX_MATRIZES!BH94</f>
        <v>0</v>
      </c>
      <c r="BI21" s="18" t="n">
        <f aca="false">AUX_MATRIZES!BI94</f>
        <v>0</v>
      </c>
      <c r="BJ21" s="18" t="n">
        <f aca="false">AUX_MATRIZES!BJ94</f>
        <v>0</v>
      </c>
      <c r="BK21" s="18" t="n">
        <f aca="false">AUX_MATRIZES!BK94</f>
        <v>0</v>
      </c>
      <c r="BL21" s="18" t="n">
        <f aca="false">AUX_MATRIZES!BL94</f>
        <v>0</v>
      </c>
      <c r="BM21" s="18" t="n">
        <f aca="false">AUX_MATRIZES!BM94</f>
        <v>0</v>
      </c>
      <c r="BN21" s="18" t="n">
        <f aca="false">AUX_MATRIZES!BN94</f>
        <v>0</v>
      </c>
      <c r="BO21" s="18" t="n">
        <f aca="false">AUX_MATRIZES!BO94</f>
        <v>0</v>
      </c>
      <c r="BP21" s="18" t="n">
        <f aca="false">AUX_MATRIZES!BP94</f>
        <v>0</v>
      </c>
    </row>
    <row r="22" customFormat="false" ht="15" hidden="false" customHeight="false" outlineLevel="0" collapsed="false">
      <c r="B22" s="15" t="s">
        <v>174</v>
      </c>
      <c r="C22" s="18" t="n">
        <f aca="false">AUX_MATRIZES!C95</f>
        <v>312.599619047619</v>
      </c>
      <c r="D22" s="18" t="n">
        <f aca="false">AUX_MATRIZES!D95</f>
        <v>329.081736694678</v>
      </c>
      <c r="E22" s="18" t="n">
        <f aca="false">AUX_MATRIZES!E95</f>
        <v>329.081736694678</v>
      </c>
      <c r="F22" s="18" t="n">
        <f aca="false">AUX_MATRIZES!F95</f>
        <v>329.081736694678</v>
      </c>
      <c r="G22" s="18" t="n">
        <f aca="false">AUX_MATRIZES!G95</f>
        <v>267.29049859944</v>
      </c>
      <c r="H22" s="18" t="n">
        <f aca="false">AUX_MATRIZES!H95</f>
        <v>187.470072829132</v>
      </c>
      <c r="I22" s="18" t="n">
        <f aca="false">AUX_MATRIZES!I95</f>
        <v>187.470072829132</v>
      </c>
      <c r="J22" s="18" t="n">
        <f aca="false">AUX_MATRIZES!J95</f>
        <v>231.980290162747</v>
      </c>
      <c r="K22" s="18" t="n">
        <f aca="false">AUX_MATRIZES!K95</f>
        <v>276.200810095951</v>
      </c>
      <c r="L22" s="18" t="n">
        <f aca="false">AUX_MATRIZES!L95</f>
        <v>0</v>
      </c>
      <c r="M22" s="18" t="n">
        <f aca="false">AUX_MATRIZES!M95</f>
        <v>35.2451484593837</v>
      </c>
      <c r="N22" s="18" t="n">
        <f aca="false">AUX_MATRIZES!N95</f>
        <v>35.2451484593837</v>
      </c>
      <c r="O22" s="18" t="n">
        <f aca="false">AUX_MATRIZES!O95</f>
        <v>35.2451484593837</v>
      </c>
      <c r="P22" s="18" t="n">
        <f aca="false">AUX_MATRIZES!P95</f>
        <v>0</v>
      </c>
      <c r="Q22" s="18" t="n">
        <f aca="false">AUX_MATRIZES!Q95</f>
        <v>0</v>
      </c>
      <c r="R22" s="18" t="n">
        <f aca="false">AUX_MATRIZES!R95</f>
        <v>0</v>
      </c>
      <c r="S22" s="18" t="n">
        <f aca="false">AUX_MATRIZES!S95</f>
        <v>0</v>
      </c>
      <c r="T22" s="18" t="n">
        <f aca="false">AUX_MATRIZES!T95</f>
        <v>0</v>
      </c>
      <c r="U22" s="18" t="n">
        <f aca="false">AUX_MATRIZES!U95</f>
        <v>0</v>
      </c>
      <c r="V22" s="18" t="n">
        <f aca="false">AUX_MATRIZES!V95</f>
        <v>0</v>
      </c>
      <c r="W22" s="18" t="n">
        <f aca="false">AUX_MATRIZES!W95</f>
        <v>0</v>
      </c>
      <c r="X22" s="18" t="n">
        <f aca="false">AUX_MATRIZES!X95</f>
        <v>0</v>
      </c>
      <c r="Y22" s="18" t="n">
        <f aca="false">AUX_MATRIZES!Y95</f>
        <v>0</v>
      </c>
      <c r="Z22" s="18" t="n">
        <f aca="false">AUX_MATRIZES!Z95</f>
        <v>12.7080391383377</v>
      </c>
      <c r="AA22" s="18" t="n">
        <f aca="false">AUX_MATRIZES!AA95</f>
        <v>80.68247958276</v>
      </c>
      <c r="AB22" s="18" t="n">
        <f aca="false">AUX_MATRIZES!AB95</f>
        <v>137.843270968348</v>
      </c>
      <c r="AC22" s="18" t="n">
        <f aca="false">AUX_MATRIZES!AC95</f>
        <v>190.574599439776</v>
      </c>
      <c r="AD22" s="18" t="n">
        <f aca="false">AUX_MATRIZES!AD95</f>
        <v>190.574599439776</v>
      </c>
      <c r="AE22" s="18" t="n">
        <f aca="false">AUX_MATRIZES!AE95</f>
        <v>190.574599439776</v>
      </c>
      <c r="AF22" s="18" t="n">
        <f aca="false">AUX_MATRIZES!AF95</f>
        <v>190.574599439776</v>
      </c>
      <c r="AG22" s="18" t="n">
        <f aca="false">AUX_MATRIZES!AG95</f>
        <v>498.050948572284</v>
      </c>
      <c r="AH22" s="18" t="n">
        <f aca="false">AUX_MATRIZES!AH95</f>
        <v>854.696408783105</v>
      </c>
      <c r="AI22" s="18" t="n">
        <f aca="false">AUX_MATRIZES!AI95</f>
        <v>914.494168255073</v>
      </c>
      <c r="AJ22" s="18" t="n">
        <f aca="false">AUX_MATRIZES!AJ95</f>
        <v>974.291927727041</v>
      </c>
      <c r="AK22" s="18" t="n">
        <f aca="false">AUX_MATRIZES!AK95</f>
        <v>1060.89092727201</v>
      </c>
      <c r="AL22" s="18" t="n">
        <f aca="false">AUX_MATRIZES!AL95</f>
        <v>1256.44059469942</v>
      </c>
      <c r="AM22" s="18" t="n">
        <f aca="false">AUX_MATRIZES!AM95</f>
        <v>1201.85703512174</v>
      </c>
      <c r="AN22" s="18" t="n">
        <f aca="false">AUX_MATRIZES!AN95</f>
        <v>1147.27347554406</v>
      </c>
      <c r="AO22" s="18" t="n">
        <f aca="false">AUX_MATRIZES!AO95</f>
        <v>1092.68991596639</v>
      </c>
      <c r="AP22" s="18" t="n">
        <f aca="false">AUX_MATRIZES!AP95</f>
        <v>1055.23425334969</v>
      </c>
      <c r="AQ22" s="18" t="n">
        <f aca="false">AUX_MATRIZES!AQ95</f>
        <v>1006.10456038826</v>
      </c>
      <c r="AR22" s="18" t="n">
        <f aca="false">AUX_MATRIZES!AR95</f>
        <v>668.937586439704</v>
      </c>
      <c r="AS22" s="18" t="n">
        <f aca="false">AUX_MATRIZES!AS95</f>
        <v>642.124922502334</v>
      </c>
      <c r="AT22" s="18" t="n">
        <f aca="false">AUX_MATRIZES!AT95</f>
        <v>504.574383224352</v>
      </c>
      <c r="AU22" s="18" t="n">
        <f aca="false">AUX_MATRIZES!AU95</f>
        <v>483.95379417408</v>
      </c>
      <c r="AV22" s="18" t="n">
        <f aca="false">AUX_MATRIZES!AV95</f>
        <v>444.574361436883</v>
      </c>
      <c r="AW22" s="18" t="n">
        <f aca="false">AUX_MATRIZES!AW95</f>
        <v>405.194928699685</v>
      </c>
      <c r="AX22" s="18" t="n">
        <f aca="false">AUX_MATRIZES!AX95</f>
        <v>376.227167426678</v>
      </c>
      <c r="AY22" s="18" t="n">
        <f aca="false">AUX_MATRIZES!AY95</f>
        <v>226.344404428438</v>
      </c>
      <c r="AZ22" s="18" t="n">
        <f aca="false">AUX_MATRIZES!AZ95</f>
        <v>203.748699479792</v>
      </c>
      <c r="BA22" s="18" t="n">
        <f aca="false">AUX_MATRIZES!BA95</f>
        <v>0</v>
      </c>
      <c r="BB22" s="18" t="n">
        <f aca="false">AUX_MATRIZES!BB95</f>
        <v>0</v>
      </c>
      <c r="BC22" s="18" t="n">
        <f aca="false">AUX_MATRIZES!BC95</f>
        <v>0</v>
      </c>
      <c r="BD22" s="18" t="n">
        <f aca="false">AUX_MATRIZES!BD95</f>
        <v>0</v>
      </c>
      <c r="BE22" s="18" t="n">
        <f aca="false">AUX_MATRIZES!BE95</f>
        <v>0</v>
      </c>
      <c r="BF22" s="18" t="n">
        <f aca="false">AUX_MATRIZES!BF95</f>
        <v>0</v>
      </c>
      <c r="BG22" s="18" t="n">
        <f aca="false">AUX_MATRIZES!BG95</f>
        <v>0</v>
      </c>
      <c r="BH22" s="18" t="n">
        <f aca="false">AUX_MATRIZES!BH95</f>
        <v>0</v>
      </c>
      <c r="BI22" s="18" t="n">
        <f aca="false">AUX_MATRIZES!BI95</f>
        <v>0</v>
      </c>
      <c r="BJ22" s="18" t="n">
        <f aca="false">AUX_MATRIZES!BJ95</f>
        <v>0</v>
      </c>
      <c r="BK22" s="18" t="n">
        <f aca="false">AUX_MATRIZES!BK95</f>
        <v>0</v>
      </c>
      <c r="BL22" s="18" t="n">
        <f aca="false">AUX_MATRIZES!BL95</f>
        <v>0</v>
      </c>
      <c r="BM22" s="18" t="n">
        <f aca="false">AUX_MATRIZES!BM95</f>
        <v>0</v>
      </c>
      <c r="BN22" s="18" t="n">
        <f aca="false">AUX_MATRIZES!BN95</f>
        <v>0</v>
      </c>
      <c r="BO22" s="18" t="n">
        <f aca="false">AUX_MATRIZES!BO95</f>
        <v>0</v>
      </c>
      <c r="BP22" s="18" t="n">
        <f aca="false">AUX_MATRIZES!BP95</f>
        <v>0</v>
      </c>
    </row>
    <row r="23" customFormat="false" ht="15" hidden="false" customHeight="false" outlineLevel="0" collapsed="false">
      <c r="B23" s="15" t="s">
        <v>175</v>
      </c>
      <c r="C23" s="18" t="n">
        <f aca="false">AUX_MATRIZES!C96</f>
        <v>657.152</v>
      </c>
      <c r="D23" s="18" t="n">
        <f aca="false">AUX_MATRIZES!D96</f>
        <v>657.44</v>
      </c>
      <c r="E23" s="18" t="n">
        <f aca="false">AUX_MATRIZES!E96</f>
        <v>657.44</v>
      </c>
      <c r="F23" s="18" t="n">
        <f aca="false">AUX_MATRIZES!F96</f>
        <v>657.44</v>
      </c>
      <c r="G23" s="18" t="n">
        <f aca="false">AUX_MATRIZES!G96</f>
        <v>495.776</v>
      </c>
      <c r="H23" s="18" t="n">
        <f aca="false">AUX_MATRIZES!H96</f>
        <v>374.528</v>
      </c>
      <c r="I23" s="18" t="n">
        <f aca="false">AUX_MATRIZES!I96</f>
        <v>374.528</v>
      </c>
      <c r="J23" s="18" t="n">
        <f aca="false">AUX_MATRIZES!J96</f>
        <v>322.784</v>
      </c>
      <c r="K23" s="18" t="n">
        <f aca="false">AUX_MATRIZES!K96</f>
        <v>215.698</v>
      </c>
      <c r="L23" s="18" t="n">
        <f aca="false">AUX_MATRIZES!L96</f>
        <v>0</v>
      </c>
      <c r="M23" s="18" t="n">
        <f aca="false">AUX_MATRIZES!M96</f>
        <v>0</v>
      </c>
      <c r="N23" s="18" t="n">
        <f aca="false">AUX_MATRIZES!N96</f>
        <v>0</v>
      </c>
      <c r="O23" s="18" t="n">
        <f aca="false">AUX_MATRIZES!O96</f>
        <v>44.6900958596332</v>
      </c>
      <c r="P23" s="18" t="n">
        <f aca="false">AUX_MATRIZES!P96</f>
        <v>0</v>
      </c>
      <c r="Q23" s="18" t="n">
        <f aca="false">AUX_MATRIZES!Q96</f>
        <v>0</v>
      </c>
      <c r="R23" s="18" t="n">
        <f aca="false">AUX_MATRIZES!R96</f>
        <v>0</v>
      </c>
      <c r="S23" s="18" t="n">
        <f aca="false">AUX_MATRIZES!S96</f>
        <v>0</v>
      </c>
      <c r="T23" s="18" t="n">
        <f aca="false">AUX_MATRIZES!T96</f>
        <v>11.8111500600239</v>
      </c>
      <c r="U23" s="18" t="n">
        <f aca="false">AUX_MATRIZES!U96</f>
        <v>60.4961344537814</v>
      </c>
      <c r="V23" s="18" t="n">
        <f aca="false">AUX_MATRIZES!V96</f>
        <v>59.5445921090759</v>
      </c>
      <c r="W23" s="18" t="n">
        <f aca="false">AUX_MATRIZES!W96</f>
        <v>0</v>
      </c>
      <c r="X23" s="18" t="n">
        <f aca="false">AUX_MATRIZES!X96</f>
        <v>0</v>
      </c>
      <c r="Y23" s="18" t="n">
        <f aca="false">AUX_MATRIZES!Y96</f>
        <v>0</v>
      </c>
      <c r="Z23" s="18" t="n">
        <f aca="false">AUX_MATRIZES!Z96</f>
        <v>77.1979926518929</v>
      </c>
      <c r="AA23" s="18" t="n">
        <f aca="false">AUX_MATRIZES!AA96</f>
        <v>213.62708496732</v>
      </c>
      <c r="AB23" s="18" t="n">
        <f aca="false">AUX_MATRIZES!AB96</f>
        <v>220.311529411764</v>
      </c>
      <c r="AC23" s="18" t="n">
        <f aca="false">AUX_MATRIZES!AC96</f>
        <v>272.165019607843</v>
      </c>
      <c r="AD23" s="18" t="n">
        <f aca="false">AUX_MATRIZES!AD96</f>
        <v>272.165019607843</v>
      </c>
      <c r="AE23" s="18" t="n">
        <f aca="false">AUX_MATRIZES!AE96</f>
        <v>272.165019607843</v>
      </c>
      <c r="AF23" s="18" t="n">
        <f aca="false">AUX_MATRIZES!AF96</f>
        <v>272.165019607843</v>
      </c>
      <c r="AG23" s="18" t="n">
        <f aca="false">AUX_MATRIZES!AG96</f>
        <v>614.646229691877</v>
      </c>
      <c r="AH23" s="18" t="n">
        <f aca="false">AUX_MATRIZES!AH96</f>
        <v>871.507137254902</v>
      </c>
      <c r="AI23" s="18" t="n">
        <f aca="false">AUX_MATRIZES!AI96</f>
        <v>871.507137254902</v>
      </c>
      <c r="AJ23" s="18" t="n">
        <f aca="false">AUX_MATRIZES!AJ96</f>
        <v>853.685288515406</v>
      </c>
      <c r="AK23" s="18" t="n">
        <f aca="false">AUX_MATRIZES!AK96</f>
        <v>892.313879644165</v>
      </c>
      <c r="AL23" s="18" t="n">
        <f aca="false">AUX_MATRIZES!AL96</f>
        <v>1034.74389806002</v>
      </c>
      <c r="AM23" s="18" t="n">
        <f aca="false">AUX_MATRIZES!AM96</f>
        <v>960.222859936548</v>
      </c>
      <c r="AN23" s="18" t="n">
        <f aca="false">AUX_MATRIZES!AN96</f>
        <v>885.701821813076</v>
      </c>
      <c r="AO23" s="18" t="n">
        <f aca="false">AUX_MATRIZES!AO96</f>
        <v>811.180783689603</v>
      </c>
      <c r="AP23" s="18" t="n">
        <f aca="false">AUX_MATRIZES!AP96</f>
        <v>845.561873598246</v>
      </c>
      <c r="AQ23" s="18" t="n">
        <f aca="false">AUX_MATRIZES!AQ96</f>
        <v>869.872382438387</v>
      </c>
      <c r="AR23" s="18" t="n">
        <f aca="false">AUX_MATRIZES!AR96</f>
        <v>480.919410412441</v>
      </c>
      <c r="AS23" s="18" t="n">
        <f aca="false">AUX_MATRIZES!AS96</f>
        <v>452.597571331981</v>
      </c>
      <c r="AT23" s="18" t="n">
        <f aca="false">AUX_MATRIZES!AT96</f>
        <v>277.21067134716</v>
      </c>
      <c r="AU23" s="18" t="n">
        <f aca="false">AUX_MATRIZES!AU96</f>
        <v>473.55547895296</v>
      </c>
      <c r="AV23" s="18" t="n">
        <f aca="false">AUX_MATRIZES!AV96</f>
        <v>592.160352516179</v>
      </c>
      <c r="AW23" s="18" t="n">
        <f aca="false">AUX_MATRIZES!AW96</f>
        <v>710.765226079397</v>
      </c>
      <c r="AX23" s="18" t="n">
        <f aca="false">AUX_MATRIZES!AX96</f>
        <v>872.980453312359</v>
      </c>
      <c r="AY23" s="18" t="n">
        <f aca="false">AUX_MATRIZES!AY96</f>
        <v>1240.73691490389</v>
      </c>
      <c r="AZ23" s="18" t="n">
        <f aca="false">AUX_MATRIZES!AZ96</f>
        <v>1354.77173657877</v>
      </c>
      <c r="BA23" s="18" t="n">
        <f aca="false">AUX_MATRIZES!BA96</f>
        <v>1450.36566761325</v>
      </c>
      <c r="BB23" s="18" t="n">
        <f aca="false">AUX_MATRIZES!BB96</f>
        <v>1545.95959864773</v>
      </c>
      <c r="BC23" s="18" t="n">
        <f aca="false">AUX_MATRIZES!BC96</f>
        <v>1629.11923694719</v>
      </c>
      <c r="BD23" s="18" t="n">
        <f aca="false">AUX_MATRIZES!BD96</f>
        <v>1643.86308123249</v>
      </c>
      <c r="BE23" s="18" t="n">
        <f aca="false">AUX_MATRIZES!BE96</f>
        <v>1643.86308123249</v>
      </c>
      <c r="BF23" s="18" t="n">
        <f aca="false">AUX_MATRIZES!BF96</f>
        <v>1588.40829131653</v>
      </c>
      <c r="BG23" s="18" t="n">
        <f aca="false">AUX_MATRIZES!BG96</f>
        <v>1184.07348108899</v>
      </c>
      <c r="BH23" s="18" t="n">
        <f aca="false">AUX_MATRIZES!BH96</f>
        <v>683.035107118709</v>
      </c>
      <c r="BI23" s="18" t="n">
        <f aca="false">AUX_MATRIZES!BI96</f>
        <v>583.089002994301</v>
      </c>
      <c r="BJ23" s="18" t="n">
        <f aca="false">AUX_MATRIZES!BJ96</f>
        <v>442.699312662996</v>
      </c>
      <c r="BK23" s="18" t="n">
        <f aca="false">AUX_MATRIZES!BK96</f>
        <v>267.471448275862</v>
      </c>
      <c r="BL23" s="18" t="n">
        <f aca="false">AUX_MATRIZES!BL96</f>
        <v>0</v>
      </c>
      <c r="BM23" s="18" t="n">
        <f aca="false">AUX_MATRIZES!BM96</f>
        <v>0</v>
      </c>
      <c r="BN23" s="18" t="n">
        <f aca="false">AUX_MATRIZES!BN96</f>
        <v>0</v>
      </c>
      <c r="BO23" s="18" t="n">
        <f aca="false">AUX_MATRIZES!BO96</f>
        <v>0</v>
      </c>
      <c r="BP23" s="18" t="n">
        <f aca="false">AUX_MATRIZES!BP96</f>
        <v>0</v>
      </c>
    </row>
    <row r="24" customFormat="false" ht="15" hidden="false" customHeight="false" outlineLevel="0" collapsed="false">
      <c r="B24" s="15" t="s">
        <v>176</v>
      </c>
      <c r="C24" s="18" t="n">
        <f aca="false">AUX_MATRIZES!C97</f>
        <v>1010.32628993893</v>
      </c>
      <c r="D24" s="18" t="n">
        <f aca="false">AUX_MATRIZES!D97</f>
        <v>723.456268540203</v>
      </c>
      <c r="E24" s="18" t="n">
        <f aca="false">AUX_MATRIZES!E97</f>
        <v>493.08</v>
      </c>
      <c r="F24" s="18" t="n">
        <f aca="false">AUX_MATRIZES!F97</f>
        <v>459.585</v>
      </c>
      <c r="G24" s="18" t="n">
        <f aca="false">AUX_MATRIZES!G97</f>
        <v>293.028</v>
      </c>
      <c r="H24" s="18" t="n">
        <f aca="false">AUX_MATRIZES!H97</f>
        <v>158.004</v>
      </c>
      <c r="I24" s="18" t="n">
        <f aca="false">AUX_MATRIZES!I97</f>
        <v>112.728</v>
      </c>
      <c r="J24" s="18" t="n">
        <f aca="false">AUX_MATRIZES!J97</f>
        <v>67.4519999999999</v>
      </c>
      <c r="K24" s="18" t="n">
        <f aca="false">AUX_MATRIZES!K97</f>
        <v>0</v>
      </c>
      <c r="L24" s="18" t="n">
        <f aca="false">AUX_MATRIZES!L97</f>
        <v>0</v>
      </c>
      <c r="M24" s="18" t="n">
        <f aca="false">AUX_MATRIZES!M97</f>
        <v>0</v>
      </c>
      <c r="N24" s="18" t="n">
        <f aca="false">AUX_MATRIZES!N97</f>
        <v>0</v>
      </c>
      <c r="O24" s="18" t="n">
        <f aca="false">AUX_MATRIZES!O97</f>
        <v>7.14460907361445</v>
      </c>
      <c r="P24" s="18" t="n">
        <f aca="false">AUX_MATRIZES!P97</f>
        <v>0</v>
      </c>
      <c r="Q24" s="18" t="n">
        <f aca="false">AUX_MATRIZES!Q97</f>
        <v>0</v>
      </c>
      <c r="R24" s="18" t="n">
        <f aca="false">AUX_MATRIZES!R97</f>
        <v>0</v>
      </c>
      <c r="S24" s="18" t="n">
        <f aca="false">AUX_MATRIZES!S97</f>
        <v>0</v>
      </c>
      <c r="T24" s="18" t="n">
        <f aca="false">AUX_MATRIZES!T97</f>
        <v>3.91709963985592</v>
      </c>
      <c r="U24" s="18" t="n">
        <f aca="false">AUX_MATRIZES!U97</f>
        <v>20.0631932773109</v>
      </c>
      <c r="V24" s="18" t="n">
        <f aca="false">AUX_MATRIZES!V97</f>
        <v>20.0631932773109</v>
      </c>
      <c r="W24" s="18" t="n">
        <f aca="false">AUX_MATRIZES!W97</f>
        <v>0</v>
      </c>
      <c r="X24" s="18" t="n">
        <f aca="false">AUX_MATRIZES!X97</f>
        <v>0</v>
      </c>
      <c r="Y24" s="18" t="n">
        <f aca="false">AUX_MATRIZES!Y97</f>
        <v>47.1954509803922</v>
      </c>
      <c r="Z24" s="18" t="n">
        <f aca="false">AUX_MATRIZES!Z97</f>
        <v>122.524663815822</v>
      </c>
      <c r="AA24" s="18" t="n">
        <f aca="false">AUX_MATRIZES!AA97</f>
        <v>246.656577030812</v>
      </c>
      <c r="AB24" s="18" t="n">
        <f aca="false">AUX_MATRIZES!AB97</f>
        <v>257.936577030812</v>
      </c>
      <c r="AC24" s="18" t="n">
        <f aca="false">AUX_MATRIZES!AC97</f>
        <v>377.493215686274</v>
      </c>
      <c r="AD24" s="18" t="n">
        <f aca="false">AUX_MATRIZES!AD97</f>
        <v>430.676013071895</v>
      </c>
      <c r="AE24" s="18" t="n">
        <f aca="false">AUX_MATRIZES!AE97</f>
        <v>447.715195078031</v>
      </c>
      <c r="AF24" s="18" t="n">
        <f aca="false">AUX_MATRIZES!AF97</f>
        <v>430.810678271308</v>
      </c>
      <c r="AG24" s="18" t="n">
        <f aca="false">AUX_MATRIZES!AG97</f>
        <v>1077.60902845053</v>
      </c>
      <c r="AH24" s="18" t="n">
        <f aca="false">AUX_MATRIZES!AH97</f>
        <v>1630.61462954071</v>
      </c>
      <c r="AI24" s="18" t="n">
        <f aca="false">AUX_MATRIZES!AI97</f>
        <v>1642.97520571562</v>
      </c>
      <c r="AJ24" s="18" t="n">
        <f aca="false">AUX_MATRIZES!AJ97</f>
        <v>1622.14499384455</v>
      </c>
      <c r="AK24" s="18" t="n">
        <f aca="false">AUX_MATRIZES!AK97</f>
        <v>1578.41382971485</v>
      </c>
      <c r="AL24" s="18" t="n">
        <f aca="false">AUX_MATRIZES!AL97</f>
        <v>1868.12020639503</v>
      </c>
      <c r="AM24" s="18" t="n">
        <f aca="false">AUX_MATRIZES!AM97</f>
        <v>1832.10956952834</v>
      </c>
      <c r="AN24" s="18" t="n">
        <f aca="false">AUX_MATRIZES!AN97</f>
        <v>1727.42249568687</v>
      </c>
      <c r="AO24" s="18" t="n">
        <f aca="false">AUX_MATRIZES!AO97</f>
        <v>1622.7354218454</v>
      </c>
      <c r="AP24" s="18" t="n">
        <f aca="false">AUX_MATRIZES!AP97</f>
        <v>1310.7165235613</v>
      </c>
      <c r="AQ24" s="18" t="n">
        <f aca="false">AUX_MATRIZES!AQ97</f>
        <v>1251.82457003066</v>
      </c>
      <c r="AR24" s="18" t="n">
        <f aca="false">AUX_MATRIZES!AR97</f>
        <v>718.934752052545</v>
      </c>
      <c r="AS24" s="18" t="n">
        <f aca="false">AUX_MATRIZES!AS97</f>
        <v>831.678859203452</v>
      </c>
      <c r="AT24" s="18" t="n">
        <f aca="false">AUX_MATRIZES!AT97</f>
        <v>692.982155635588</v>
      </c>
      <c r="AU24" s="18" t="n">
        <f aca="false">AUX_MATRIZES!AU97</f>
        <v>755.100205602241</v>
      </c>
      <c r="AV24" s="18" t="n">
        <f aca="false">AUX_MATRIZES!AV97</f>
        <v>808.822438281979</v>
      </c>
      <c r="AW24" s="18" t="n">
        <f aca="false">AUX_MATRIZES!AW97</f>
        <v>868.176550793651</v>
      </c>
      <c r="AX24" s="18" t="n">
        <f aca="false">AUX_MATRIZES!AX97</f>
        <v>987.510906762705</v>
      </c>
      <c r="AY24" s="18" t="n">
        <f aca="false">AUX_MATRIZES!AY97</f>
        <v>1262.93487917834</v>
      </c>
      <c r="AZ24" s="18" t="n">
        <f aca="false">AUX_MATRIZES!AZ97</f>
        <v>1225.11246834734</v>
      </c>
      <c r="BA24" s="18" t="n">
        <f aca="false">AUX_MATRIZES!BA97</f>
        <v>1361.12152717087</v>
      </c>
      <c r="BB24" s="18" t="n">
        <f aca="false">AUX_MATRIZES!BB97</f>
        <v>1451.9217859944</v>
      </c>
      <c r="BC24" s="18" t="n">
        <f aca="false">AUX_MATRIZES!BC97</f>
        <v>1502.55165106042</v>
      </c>
      <c r="BD24" s="18" t="n">
        <f aca="false">AUX_MATRIZES!BD97</f>
        <v>1478.62189355742</v>
      </c>
      <c r="BE24" s="18" t="n">
        <f aca="false">AUX_MATRIZES!BE97</f>
        <v>1430.87765826331</v>
      </c>
      <c r="BF24" s="18" t="n">
        <f aca="false">AUX_MATRIZES!BF97</f>
        <v>1383.13342296919</v>
      </c>
      <c r="BG24" s="18" t="n">
        <f aca="false">AUX_MATRIZES!BG97</f>
        <v>1072.21059943978</v>
      </c>
      <c r="BH24" s="18" t="n">
        <f aca="false">AUX_MATRIZES!BH97</f>
        <v>675.207932773109</v>
      </c>
      <c r="BI24" s="18" t="n">
        <f aca="false">AUX_MATRIZES!BI97</f>
        <v>600.886050420168</v>
      </c>
      <c r="BJ24" s="18" t="n">
        <f aca="false">AUX_MATRIZES!BJ97</f>
        <v>510.424336134454</v>
      </c>
      <c r="BK24" s="18" t="n">
        <f aca="false">AUX_MATRIZES!BK97</f>
        <v>412.776806722689</v>
      </c>
      <c r="BL24" s="18" t="n">
        <f aca="false">AUX_MATRIZES!BL97</f>
        <v>0</v>
      </c>
      <c r="BM24" s="18" t="n">
        <f aca="false">AUX_MATRIZES!BM97</f>
        <v>0</v>
      </c>
      <c r="BN24" s="18" t="n">
        <f aca="false">AUX_MATRIZES!BN97</f>
        <v>0</v>
      </c>
      <c r="BO24" s="18" t="n">
        <f aca="false">AUX_MATRIZES!BO97</f>
        <v>0</v>
      </c>
      <c r="BP24" s="18" t="n">
        <f aca="false">AUX_MATRIZES!BP97</f>
        <v>0</v>
      </c>
    </row>
    <row r="25" customFormat="false" ht="15" hidden="false" customHeight="false" outlineLevel="0" collapsed="false">
      <c r="B25" s="15" t="s">
        <v>177</v>
      </c>
      <c r="C25" s="18" t="n">
        <f aca="false">AUX_MATRIZES!C98</f>
        <v>1175.07590678176</v>
      </c>
      <c r="D25" s="18" t="n">
        <f aca="false">AUX_MATRIZES!D98</f>
        <v>1038.9234244809</v>
      </c>
      <c r="E25" s="18" t="n">
        <f aca="false">AUX_MATRIZES!E98</f>
        <v>688.737300609133</v>
      </c>
      <c r="F25" s="18" t="n">
        <f aca="false">AUX_MATRIZES!F98</f>
        <v>396.498857142857</v>
      </c>
      <c r="G25" s="18" t="n">
        <f aca="false">AUX_MATRIZES!G98</f>
        <v>179.692965186074</v>
      </c>
      <c r="H25" s="18" t="n">
        <f aca="false">AUX_MATRIZES!H98</f>
        <v>0</v>
      </c>
      <c r="I25" s="18" t="n">
        <f aca="false">AUX_MATRIZES!I98</f>
        <v>0</v>
      </c>
      <c r="J25" s="18" t="n">
        <f aca="false">AUX_MATRIZES!J98</f>
        <v>0</v>
      </c>
      <c r="K25" s="18" t="n">
        <f aca="false">AUX_MATRIZES!K98</f>
        <v>0</v>
      </c>
      <c r="L25" s="18" t="n">
        <f aca="false">AUX_MATRIZES!L98</f>
        <v>0</v>
      </c>
      <c r="M25" s="18" t="n">
        <f aca="false">AUX_MATRIZES!M98</f>
        <v>0</v>
      </c>
      <c r="N25" s="18" t="n">
        <f aca="false">AUX_MATRIZES!N98</f>
        <v>0</v>
      </c>
      <c r="O25" s="18" t="n">
        <f aca="false">AUX_MATRIZES!O98</f>
        <v>7.14460907361445</v>
      </c>
      <c r="P25" s="18" t="n">
        <f aca="false">AUX_MATRIZES!P98</f>
        <v>0</v>
      </c>
      <c r="Q25" s="18" t="n">
        <f aca="false">AUX_MATRIZES!Q98</f>
        <v>0</v>
      </c>
      <c r="R25" s="18" t="n">
        <f aca="false">AUX_MATRIZES!R98</f>
        <v>0</v>
      </c>
      <c r="S25" s="18" t="n">
        <f aca="false">AUX_MATRIZES!S98</f>
        <v>0</v>
      </c>
      <c r="T25" s="18" t="n">
        <f aca="false">AUX_MATRIZES!T98</f>
        <v>27.4169411764704</v>
      </c>
      <c r="U25" s="18" t="n">
        <f aca="false">AUX_MATRIZES!U98</f>
        <v>140.428235294117</v>
      </c>
      <c r="V25" s="18" t="n">
        <f aca="false">AUX_MATRIZES!V98</f>
        <v>140.428235294117</v>
      </c>
      <c r="W25" s="18" t="n">
        <f aca="false">AUX_MATRIZES!W98</f>
        <v>57.8824242863668</v>
      </c>
      <c r="X25" s="18" t="n">
        <f aca="false">AUX_MATRIZES!X98</f>
        <v>0</v>
      </c>
      <c r="Y25" s="18" t="n">
        <f aca="false">AUX_MATRIZES!Y98</f>
        <v>0</v>
      </c>
      <c r="Z25" s="18" t="n">
        <f aca="false">AUX_MATRIZES!Z98</f>
        <v>27.5773274327482</v>
      </c>
      <c r="AA25" s="18" t="n">
        <f aca="false">AUX_MATRIZES!AA98</f>
        <v>87.8571064803303</v>
      </c>
      <c r="AB25" s="18" t="n">
        <f aca="false">AUX_MATRIZES!AB98</f>
        <v>140.489299719888</v>
      </c>
      <c r="AC25" s="18" t="n">
        <f aca="false">AUX_MATRIZES!AC98</f>
        <v>178.283697478991</v>
      </c>
      <c r="AD25" s="18" t="n">
        <f aca="false">AUX_MATRIZES!AD98</f>
        <v>178.283697478991</v>
      </c>
      <c r="AE25" s="18" t="n">
        <f aca="false">AUX_MATRIZES!AE98</f>
        <v>198.275352163087</v>
      </c>
      <c r="AF25" s="18" t="n">
        <f aca="false">AUX_MATRIZES!AF98</f>
        <v>243.896403361344</v>
      </c>
      <c r="AG25" s="18" t="n">
        <f aca="false">AUX_MATRIZES!AG98</f>
        <v>790.597625045079</v>
      </c>
      <c r="AH25" s="18" t="n">
        <f aca="false">AUX_MATRIZES!AH98</f>
        <v>1608.92218425148</v>
      </c>
      <c r="AI25" s="18" t="n">
        <f aca="false">AUX_MATRIZES!AI98</f>
        <v>1797.48296624946</v>
      </c>
      <c r="AJ25" s="18" t="n">
        <f aca="false">AUX_MATRIZES!AJ98</f>
        <v>1927.83122205463</v>
      </c>
      <c r="AK25" s="18" t="n">
        <f aca="false">AUX_MATRIZES!AK98</f>
        <v>2206.15329471893</v>
      </c>
      <c r="AL25" s="18" t="n">
        <f aca="false">AUX_MATRIZES!AL98</f>
        <v>2774.97595798319</v>
      </c>
      <c r="AM25" s="18" t="n">
        <f aca="false">AUX_MATRIZES!AM98</f>
        <v>2713.21916499677</v>
      </c>
      <c r="AN25" s="18" t="n">
        <f aca="false">AUX_MATRIZES!AN98</f>
        <v>2648.70810730446</v>
      </c>
      <c r="AO25" s="18" t="n">
        <f aca="false">AUX_MATRIZES!AO98</f>
        <v>2357.50012944409</v>
      </c>
      <c r="AP25" s="18" t="n">
        <f aca="false">AUX_MATRIZES!AP98</f>
        <v>2410.33267532288</v>
      </c>
      <c r="AQ25" s="18" t="n">
        <f aca="false">AUX_MATRIZES!AQ98</f>
        <v>2369.13192055284</v>
      </c>
      <c r="AR25" s="18" t="n">
        <f aca="false">AUX_MATRIZES!AR98</f>
        <v>2050.65884220355</v>
      </c>
      <c r="AS25" s="18" t="n">
        <f aca="false">AUX_MATRIZES!AS98</f>
        <v>1790.94096234049</v>
      </c>
      <c r="AT25" s="18" t="n">
        <f aca="false">AUX_MATRIZES!AT98</f>
        <v>1892.82968867547</v>
      </c>
      <c r="AU25" s="18" t="n">
        <f aca="false">AUX_MATRIZES!AU98</f>
        <v>1859.0372227202</v>
      </c>
      <c r="AV25" s="18" t="n">
        <f aca="false">AUX_MATRIZES!AV98</f>
        <v>1768.62658437597</v>
      </c>
      <c r="AW25" s="18" t="n">
        <f aca="false">AUX_MATRIZES!AW98</f>
        <v>1680.74460021894</v>
      </c>
      <c r="AX25" s="18" t="n">
        <f aca="false">AUX_MATRIZES!AX98</f>
        <v>1468.88051295307</v>
      </c>
      <c r="AY25" s="18" t="n">
        <f aca="false">AUX_MATRIZES!AY98</f>
        <v>1516.68734474387</v>
      </c>
      <c r="AZ25" s="18" t="n">
        <f aca="false">AUX_MATRIZES!AZ98</f>
        <v>1447.47179831074</v>
      </c>
      <c r="BA25" s="18" t="n">
        <f aca="false">AUX_MATRIZES!BA98</f>
        <v>1046.75914811166</v>
      </c>
      <c r="BB25" s="18" t="n">
        <f aca="false">AUX_MATRIZES!BB98</f>
        <v>1161.16341991693</v>
      </c>
      <c r="BC25" s="18" t="n">
        <f aca="false">AUX_MATRIZES!BC98</f>
        <v>1233.81566970788</v>
      </c>
      <c r="BD25" s="18" t="n">
        <f aca="false">AUX_MATRIZES!BD98</f>
        <v>1308.5160929972</v>
      </c>
      <c r="BE25" s="18" t="n">
        <f aca="false">AUX_MATRIZES!BE98</f>
        <v>1312.77602240896</v>
      </c>
      <c r="BF25" s="18" t="n">
        <f aca="false">AUX_MATRIZES!BF98</f>
        <v>1312.77602240896</v>
      </c>
      <c r="BG25" s="18" t="n">
        <f aca="false">AUX_MATRIZES!BG98</f>
        <v>1078.53990236094</v>
      </c>
      <c r="BH25" s="18" t="n">
        <f aca="false">AUX_MATRIZES!BH98</f>
        <v>726.712605042017</v>
      </c>
      <c r="BI25" s="18" t="n">
        <f aca="false">AUX_MATRIZES!BI98</f>
        <v>665.225254129237</v>
      </c>
      <c r="BJ25" s="18" t="n">
        <f aca="false">AUX_MATRIZES!BJ98</f>
        <v>585.980824108954</v>
      </c>
      <c r="BK25" s="18" t="n">
        <f aca="false">AUX_MATRIZES!BK98</f>
        <v>506.73639408867</v>
      </c>
      <c r="BL25" s="18" t="n">
        <f aca="false">AUX_MATRIZES!BL98</f>
        <v>8.4056078431373</v>
      </c>
      <c r="BM25" s="18" t="n">
        <f aca="false">AUX_MATRIZES!BM98</f>
        <v>0</v>
      </c>
      <c r="BN25" s="18" t="n">
        <f aca="false">AUX_MATRIZES!BN98</f>
        <v>0</v>
      </c>
      <c r="BO25" s="18" t="n">
        <f aca="false">AUX_MATRIZES!BO98</f>
        <v>0</v>
      </c>
      <c r="BP25" s="18" t="n">
        <f aca="false">AUX_MATRIZES!BP98</f>
        <v>0</v>
      </c>
    </row>
    <row r="26" customFormat="false" ht="15" hidden="false" customHeight="false" outlineLevel="0" collapsed="false">
      <c r="B26" s="15" t="s">
        <v>178</v>
      </c>
      <c r="C26" s="18" t="n">
        <f aca="false">AUX_MATRIZES!C99</f>
        <v>0</v>
      </c>
      <c r="D26" s="18" t="n">
        <f aca="false">AUX_MATRIZES!D99</f>
        <v>0</v>
      </c>
      <c r="E26" s="18" t="n">
        <f aca="false">AUX_MATRIZES!E99</f>
        <v>0</v>
      </c>
      <c r="F26" s="18" t="n">
        <f aca="false">AUX_MATRIZES!F99</f>
        <v>0</v>
      </c>
      <c r="G26" s="18" t="n">
        <f aca="false">AUX_MATRIZES!G99</f>
        <v>0</v>
      </c>
      <c r="H26" s="18" t="n">
        <f aca="false">AUX_MATRIZES!H99</f>
        <v>0</v>
      </c>
      <c r="I26" s="18" t="n">
        <f aca="false">AUX_MATRIZES!I99</f>
        <v>0</v>
      </c>
      <c r="J26" s="18" t="n">
        <f aca="false">AUX_MATRIZES!J99</f>
        <v>0</v>
      </c>
      <c r="K26" s="18" t="n">
        <f aca="false">AUX_MATRIZES!K99</f>
        <v>0</v>
      </c>
      <c r="L26" s="18" t="n">
        <f aca="false">AUX_MATRIZES!L99</f>
        <v>0</v>
      </c>
      <c r="M26" s="18" t="n">
        <f aca="false">AUX_MATRIZES!M99</f>
        <v>0</v>
      </c>
      <c r="N26" s="18" t="n">
        <f aca="false">AUX_MATRIZES!N99</f>
        <v>0</v>
      </c>
      <c r="O26" s="18" t="n">
        <f aca="false">AUX_MATRIZES!O99</f>
        <v>0</v>
      </c>
      <c r="P26" s="18" t="n">
        <f aca="false">AUX_MATRIZES!P99</f>
        <v>0</v>
      </c>
      <c r="Q26" s="18" t="n">
        <f aca="false">AUX_MATRIZES!Q99</f>
        <v>0</v>
      </c>
      <c r="R26" s="18" t="n">
        <f aca="false">AUX_MATRIZES!R99</f>
        <v>0</v>
      </c>
      <c r="S26" s="18" t="n">
        <f aca="false">AUX_MATRIZES!S99</f>
        <v>0</v>
      </c>
      <c r="T26" s="18" t="n">
        <f aca="false">AUX_MATRIZES!T99</f>
        <v>0</v>
      </c>
      <c r="U26" s="18" t="n">
        <f aca="false">AUX_MATRIZES!U99</f>
        <v>0</v>
      </c>
      <c r="V26" s="18" t="n">
        <f aca="false">AUX_MATRIZES!V99</f>
        <v>0</v>
      </c>
      <c r="W26" s="18" t="n">
        <f aca="false">AUX_MATRIZES!W99</f>
        <v>0</v>
      </c>
      <c r="X26" s="18" t="n">
        <f aca="false">AUX_MATRIZES!X99</f>
        <v>0</v>
      </c>
      <c r="Y26" s="18" t="n">
        <f aca="false">AUX_MATRIZES!Y99</f>
        <v>0</v>
      </c>
      <c r="Z26" s="18" t="n">
        <f aca="false">AUX_MATRIZES!Z99</f>
        <v>0</v>
      </c>
      <c r="AA26" s="18" t="n">
        <f aca="false">AUX_MATRIZES!AA99</f>
        <v>0</v>
      </c>
      <c r="AB26" s="18" t="n">
        <f aca="false">AUX_MATRIZES!AB99</f>
        <v>0</v>
      </c>
      <c r="AC26" s="18" t="n">
        <f aca="false">AUX_MATRIZES!AC99</f>
        <v>0</v>
      </c>
      <c r="AD26" s="18" t="n">
        <f aca="false">AUX_MATRIZES!AD99</f>
        <v>0</v>
      </c>
      <c r="AE26" s="18" t="n">
        <f aca="false">AUX_MATRIZES!AE99</f>
        <v>0</v>
      </c>
      <c r="AF26" s="18" t="n">
        <f aca="false">AUX_MATRIZES!AF99</f>
        <v>0</v>
      </c>
      <c r="AG26" s="18" t="n">
        <f aca="false">AUX_MATRIZES!AG99</f>
        <v>0</v>
      </c>
      <c r="AH26" s="18" t="n">
        <f aca="false">AUX_MATRIZES!AH99</f>
        <v>0</v>
      </c>
      <c r="AI26" s="18" t="n">
        <f aca="false">AUX_MATRIZES!AI99</f>
        <v>0</v>
      </c>
      <c r="AJ26" s="18" t="n">
        <f aca="false">AUX_MATRIZES!AJ99</f>
        <v>0</v>
      </c>
      <c r="AK26" s="18" t="n">
        <f aca="false">AUX_MATRIZES!AK99</f>
        <v>0</v>
      </c>
      <c r="AL26" s="18" t="n">
        <f aca="false">AUX_MATRIZES!AL99</f>
        <v>0</v>
      </c>
      <c r="AM26" s="18" t="n">
        <f aca="false">AUX_MATRIZES!AM99</f>
        <v>0</v>
      </c>
      <c r="AN26" s="18" t="n">
        <f aca="false">AUX_MATRIZES!AN99</f>
        <v>0</v>
      </c>
      <c r="AO26" s="18" t="n">
        <f aca="false">AUX_MATRIZES!AO99</f>
        <v>0</v>
      </c>
      <c r="AP26" s="18" t="n">
        <f aca="false">AUX_MATRIZES!AP99</f>
        <v>0</v>
      </c>
      <c r="AQ26" s="18" t="n">
        <f aca="false">AUX_MATRIZES!AQ99</f>
        <v>0</v>
      </c>
      <c r="AR26" s="18" t="n">
        <f aca="false">AUX_MATRIZES!AR99</f>
        <v>0</v>
      </c>
      <c r="AS26" s="18" t="n">
        <f aca="false">AUX_MATRIZES!AS99</f>
        <v>0</v>
      </c>
      <c r="AT26" s="18" t="n">
        <f aca="false">AUX_MATRIZES!AT99</f>
        <v>0</v>
      </c>
      <c r="AU26" s="18" t="n">
        <f aca="false">AUX_MATRIZES!AU99</f>
        <v>0</v>
      </c>
      <c r="AV26" s="18" t="n">
        <f aca="false">AUX_MATRIZES!AV99</f>
        <v>0</v>
      </c>
      <c r="AW26" s="18" t="n">
        <f aca="false">AUX_MATRIZES!AW99</f>
        <v>0</v>
      </c>
      <c r="AX26" s="18" t="n">
        <f aca="false">AUX_MATRIZES!AX99</f>
        <v>0</v>
      </c>
      <c r="AY26" s="18" t="n">
        <f aca="false">AUX_MATRIZES!AY99</f>
        <v>0</v>
      </c>
      <c r="AZ26" s="18" t="n">
        <f aca="false">AUX_MATRIZES!AZ99</f>
        <v>0</v>
      </c>
      <c r="BA26" s="18" t="n">
        <f aca="false">AUX_MATRIZES!BA99</f>
        <v>0</v>
      </c>
      <c r="BB26" s="18" t="n">
        <f aca="false">AUX_MATRIZES!BB99</f>
        <v>0</v>
      </c>
      <c r="BC26" s="18" t="n">
        <f aca="false">AUX_MATRIZES!BC99</f>
        <v>0</v>
      </c>
      <c r="BD26" s="18" t="n">
        <f aca="false">AUX_MATRIZES!BD99</f>
        <v>0</v>
      </c>
      <c r="BE26" s="18" t="n">
        <f aca="false">AUX_MATRIZES!BE99</f>
        <v>0</v>
      </c>
      <c r="BF26" s="18" t="n">
        <f aca="false">AUX_MATRIZES!BF99</f>
        <v>0</v>
      </c>
      <c r="BG26" s="18" t="n">
        <f aca="false">AUX_MATRIZES!BG99</f>
        <v>0</v>
      </c>
      <c r="BH26" s="18" t="n">
        <f aca="false">AUX_MATRIZES!BH99</f>
        <v>0</v>
      </c>
      <c r="BI26" s="18" t="n">
        <f aca="false">AUX_MATRIZES!BI99</f>
        <v>0</v>
      </c>
      <c r="BJ26" s="18" t="n">
        <f aca="false">AUX_MATRIZES!BJ99</f>
        <v>0</v>
      </c>
      <c r="BK26" s="18" t="n">
        <f aca="false">AUX_MATRIZES!BK99</f>
        <v>0</v>
      </c>
      <c r="BL26" s="18" t="n">
        <f aca="false">AUX_MATRIZES!BL99</f>
        <v>0</v>
      </c>
      <c r="BM26" s="18" t="n">
        <f aca="false">AUX_MATRIZES!BM99</f>
        <v>0</v>
      </c>
      <c r="BN26" s="18" t="n">
        <f aca="false">AUX_MATRIZES!BN99</f>
        <v>0</v>
      </c>
      <c r="BO26" s="18" t="n">
        <f aca="false">AUX_MATRIZES!BO99</f>
        <v>0</v>
      </c>
      <c r="BP26" s="18" t="n">
        <f aca="false">AUX_MATRIZES!BP99</f>
        <v>0</v>
      </c>
    </row>
    <row r="29" customFormat="false" ht="15" hidden="false" customHeight="false" outlineLevel="0" collapsed="false">
      <c r="B29" s="3" t="s">
        <v>180</v>
      </c>
    </row>
    <row r="30" customFormat="false" ht="15" hidden="false" customHeight="false" outlineLevel="0" collapsed="false">
      <c r="B30" s="14" t="s">
        <v>170</v>
      </c>
      <c r="C30" s="22" t="n">
        <f aca="false">SEMANAS!$B$6</f>
        <v>1</v>
      </c>
      <c r="D30" s="22" t="n">
        <f aca="false">SEMANAS!$B$7</f>
        <v>2</v>
      </c>
      <c r="E30" s="22" t="n">
        <f aca="false">SEMANAS!$B$8</f>
        <v>3</v>
      </c>
      <c r="F30" s="22" t="n">
        <f aca="false">SEMANAS!$B$9</f>
        <v>4</v>
      </c>
      <c r="G30" s="22" t="n">
        <f aca="false">SEMANAS!$B$10</f>
        <v>5</v>
      </c>
      <c r="H30" s="22" t="n">
        <f aca="false">SEMANAS!$B$11</f>
        <v>6</v>
      </c>
      <c r="I30" s="22" t="n">
        <f aca="false">SEMANAS!$B$12</f>
        <v>7</v>
      </c>
      <c r="J30" s="22" t="n">
        <f aca="false">SEMANAS!$B$13</f>
        <v>8</v>
      </c>
      <c r="K30" s="22" t="n">
        <f aca="false">SEMANAS!$B$14</f>
        <v>9</v>
      </c>
      <c r="L30" s="22" t="n">
        <f aca="false">SEMANAS!$B$15</f>
        <v>10</v>
      </c>
      <c r="M30" s="22" t="n">
        <f aca="false">SEMANAS!$B$16</f>
        <v>11</v>
      </c>
      <c r="N30" s="22" t="n">
        <f aca="false">SEMANAS!$B$17</f>
        <v>12</v>
      </c>
      <c r="O30" s="22" t="n">
        <f aca="false">SEMANAS!$B$18</f>
        <v>13</v>
      </c>
      <c r="P30" s="22" t="n">
        <f aca="false">SEMANAS!$B$19</f>
        <v>14</v>
      </c>
      <c r="Q30" s="22" t="n">
        <f aca="false">SEMANAS!$B$20</f>
        <v>15</v>
      </c>
      <c r="R30" s="22" t="n">
        <f aca="false">SEMANAS!$B$21</f>
        <v>16</v>
      </c>
      <c r="S30" s="22" t="n">
        <f aca="false">SEMANAS!$B$22</f>
        <v>17</v>
      </c>
      <c r="T30" s="22" t="n">
        <f aca="false">SEMANAS!$B$23</f>
        <v>18</v>
      </c>
      <c r="U30" s="22" t="n">
        <f aca="false">SEMANAS!$B$24</f>
        <v>19</v>
      </c>
      <c r="V30" s="22" t="n">
        <f aca="false">SEMANAS!$B$25</f>
        <v>20</v>
      </c>
      <c r="W30" s="22" t="n">
        <f aca="false">SEMANAS!$B$26</f>
        <v>21</v>
      </c>
      <c r="X30" s="22" t="n">
        <f aca="false">SEMANAS!$B$27</f>
        <v>22</v>
      </c>
      <c r="Y30" s="22" t="n">
        <f aca="false">SEMANAS!$B$28</f>
        <v>23</v>
      </c>
      <c r="Z30" s="22" t="n">
        <f aca="false">SEMANAS!$B$29</f>
        <v>24</v>
      </c>
      <c r="AA30" s="22" t="n">
        <f aca="false">SEMANAS!$B$30</f>
        <v>25</v>
      </c>
      <c r="AB30" s="22" t="n">
        <f aca="false">SEMANAS!$B$31</f>
        <v>26</v>
      </c>
      <c r="AC30" s="22" t="n">
        <f aca="false">SEMANAS!$B$32</f>
        <v>27</v>
      </c>
      <c r="AD30" s="22" t="n">
        <f aca="false">SEMANAS!$B$33</f>
        <v>28</v>
      </c>
      <c r="AE30" s="22" t="n">
        <f aca="false">SEMANAS!$B$34</f>
        <v>29</v>
      </c>
      <c r="AF30" s="22" t="n">
        <f aca="false">SEMANAS!$B$35</f>
        <v>30</v>
      </c>
      <c r="AG30" s="22" t="n">
        <f aca="false">SEMANAS!$B$36</f>
        <v>31</v>
      </c>
      <c r="AH30" s="22" t="n">
        <f aca="false">SEMANAS!$B$37</f>
        <v>32</v>
      </c>
      <c r="AI30" s="22" t="n">
        <f aca="false">SEMANAS!$B$38</f>
        <v>33</v>
      </c>
      <c r="AJ30" s="22" t="n">
        <f aca="false">SEMANAS!$B$39</f>
        <v>34</v>
      </c>
      <c r="AK30" s="22" t="n">
        <f aca="false">SEMANAS!$B$40</f>
        <v>35</v>
      </c>
      <c r="AL30" s="22" t="n">
        <f aca="false">SEMANAS!$B$41</f>
        <v>36</v>
      </c>
      <c r="AM30" s="22" t="n">
        <f aca="false">SEMANAS!$B$42</f>
        <v>37</v>
      </c>
      <c r="AN30" s="22" t="n">
        <f aca="false">SEMANAS!$B$43</f>
        <v>38</v>
      </c>
      <c r="AO30" s="22" t="n">
        <f aca="false">SEMANAS!$B$44</f>
        <v>39</v>
      </c>
      <c r="AP30" s="22" t="n">
        <f aca="false">SEMANAS!$B$45</f>
        <v>40</v>
      </c>
      <c r="AQ30" s="22" t="n">
        <f aca="false">SEMANAS!$B$46</f>
        <v>41</v>
      </c>
      <c r="AR30" s="22" t="n">
        <f aca="false">SEMANAS!$B$47</f>
        <v>42</v>
      </c>
      <c r="AS30" s="22" t="n">
        <f aca="false">SEMANAS!$B$48</f>
        <v>43</v>
      </c>
      <c r="AT30" s="22" t="n">
        <f aca="false">SEMANAS!$B$49</f>
        <v>44</v>
      </c>
      <c r="AU30" s="22" t="n">
        <f aca="false">SEMANAS!$B$50</f>
        <v>45</v>
      </c>
      <c r="AV30" s="22" t="n">
        <f aca="false">SEMANAS!$B$51</f>
        <v>46</v>
      </c>
      <c r="AW30" s="22" t="n">
        <f aca="false">SEMANAS!$B$52</f>
        <v>47</v>
      </c>
      <c r="AX30" s="22" t="n">
        <f aca="false">SEMANAS!$B$53</f>
        <v>48</v>
      </c>
      <c r="AY30" s="22" t="n">
        <f aca="false">SEMANAS!$B$54</f>
        <v>49</v>
      </c>
      <c r="AZ30" s="22" t="n">
        <f aca="false">SEMANAS!$B$55</f>
        <v>50</v>
      </c>
      <c r="BA30" s="22" t="n">
        <f aca="false">SEMANAS!$B$56</f>
        <v>51</v>
      </c>
      <c r="BB30" s="22" t="n">
        <f aca="false">SEMANAS!$B$57</f>
        <v>52</v>
      </c>
      <c r="BC30" s="22" t="n">
        <f aca="false">SEMANAS!$B$58</f>
        <v>53</v>
      </c>
      <c r="BD30" s="22" t="n">
        <f aca="false">SEMANAS!$B$59</f>
        <v>54</v>
      </c>
      <c r="BE30" s="22" t="n">
        <f aca="false">SEMANAS!$B$60</f>
        <v>55</v>
      </c>
      <c r="BF30" s="22" t="n">
        <f aca="false">SEMANAS!$B$61</f>
        <v>56</v>
      </c>
      <c r="BG30" s="22" t="n">
        <f aca="false">SEMANAS!$B$62</f>
        <v>57</v>
      </c>
      <c r="BH30" s="22" t="n">
        <f aca="false">SEMANAS!$B$63</f>
        <v>58</v>
      </c>
      <c r="BI30" s="22" t="n">
        <f aca="false">SEMANAS!$B$64</f>
        <v>59</v>
      </c>
      <c r="BJ30" s="22" t="n">
        <f aca="false">SEMANAS!$B$65</f>
        <v>60</v>
      </c>
      <c r="BK30" s="22" t="n">
        <f aca="false">SEMANAS!$B$66</f>
        <v>61</v>
      </c>
      <c r="BL30" s="22" t="n">
        <f aca="false">SEMANAS!$B$67</f>
        <v>62</v>
      </c>
      <c r="BM30" s="22" t="n">
        <f aca="false">SEMANAS!$B$68</f>
        <v>63</v>
      </c>
      <c r="BN30" s="22" t="n">
        <f aca="false">SEMANAS!$B$69</f>
        <v>64</v>
      </c>
      <c r="BO30" s="22" t="n">
        <f aca="false">SEMANAS!$B$70</f>
        <v>65</v>
      </c>
      <c r="BP30" s="22" t="n">
        <f aca="false">SEMANAS!$B$71</f>
        <v>66</v>
      </c>
    </row>
    <row r="31" customFormat="false" ht="15" hidden="false" customHeight="false" outlineLevel="0" collapsed="false">
      <c r="B31" s="15" t="s">
        <v>171</v>
      </c>
      <c r="C31" s="18" t="n">
        <f aca="false">AUX_MATRIZES!C104</f>
        <v>702.214285714286</v>
      </c>
      <c r="D31" s="18" t="n">
        <f aca="false">AUX_MATRIZES!D104</f>
        <v>702.214285714286</v>
      </c>
      <c r="E31" s="18" t="n">
        <f aca="false">AUX_MATRIZES!E104</f>
        <v>702.214285714286</v>
      </c>
      <c r="F31" s="18" t="n">
        <f aca="false">AUX_MATRIZES!F104</f>
        <v>702.214285714286</v>
      </c>
      <c r="G31" s="18" t="n">
        <f aca="false">AUX_MATRIZES!G104</f>
        <v>702.214285714286</v>
      </c>
      <c r="H31" s="18" t="n">
        <f aca="false">AUX_MATRIZES!H104</f>
        <v>702.214285714286</v>
      </c>
      <c r="I31" s="18" t="n">
        <f aca="false">AUX_MATRIZES!I104</f>
        <v>702.214285714286</v>
      </c>
      <c r="J31" s="18" t="n">
        <f aca="false">AUX_MATRIZES!J104</f>
        <v>702.214285714286</v>
      </c>
      <c r="K31" s="18" t="n">
        <f aca="false">AUX_MATRIZES!K104</f>
        <v>702.214285714286</v>
      </c>
      <c r="L31" s="18" t="n">
        <f aca="false">AUX_MATRIZES!L104</f>
        <v>702.214285714286</v>
      </c>
      <c r="M31" s="18" t="n">
        <f aca="false">AUX_MATRIZES!M104</f>
        <v>702.214285714286</v>
      </c>
      <c r="N31" s="18" t="n">
        <f aca="false">AUX_MATRIZES!N104</f>
        <v>702.214285714286</v>
      </c>
      <c r="O31" s="18" t="n">
        <f aca="false">AUX_MATRIZES!O104</f>
        <v>702.214285714286</v>
      </c>
      <c r="P31" s="18" t="n">
        <f aca="false">AUX_MATRIZES!P104</f>
        <v>702.214285714286</v>
      </c>
      <c r="Q31" s="18" t="n">
        <f aca="false">AUX_MATRIZES!Q104</f>
        <v>702.214285714286</v>
      </c>
      <c r="R31" s="18" t="n">
        <f aca="false">AUX_MATRIZES!R104</f>
        <v>702.214285714286</v>
      </c>
      <c r="S31" s="18" t="n">
        <f aca="false">AUX_MATRIZES!S104</f>
        <v>702.214285714286</v>
      </c>
      <c r="T31" s="18" t="n">
        <f aca="false">AUX_MATRIZES!T104</f>
        <v>702.214285714286</v>
      </c>
      <c r="U31" s="18" t="n">
        <f aca="false">AUX_MATRIZES!U104</f>
        <v>702.214285714286</v>
      </c>
      <c r="V31" s="18" t="n">
        <f aca="false">AUX_MATRIZES!V104</f>
        <v>702.214285714286</v>
      </c>
      <c r="W31" s="18" t="n">
        <f aca="false">AUX_MATRIZES!W104</f>
        <v>702.214285714286</v>
      </c>
      <c r="X31" s="18" t="n">
        <f aca="false">AUX_MATRIZES!X104</f>
        <v>702.214285714286</v>
      </c>
      <c r="Y31" s="18" t="n">
        <f aca="false">AUX_MATRIZES!Y104</f>
        <v>702.214285714286</v>
      </c>
      <c r="Z31" s="18" t="n">
        <f aca="false">AUX_MATRIZES!Z104</f>
        <v>702.214285714286</v>
      </c>
      <c r="AA31" s="18" t="n">
        <f aca="false">AUX_MATRIZES!AA104</f>
        <v>702.214285714286</v>
      </c>
      <c r="AB31" s="18" t="n">
        <f aca="false">AUX_MATRIZES!AB104</f>
        <v>702.214285714286</v>
      </c>
      <c r="AC31" s="18" t="n">
        <f aca="false">AUX_MATRIZES!AC104</f>
        <v>702.214285714286</v>
      </c>
      <c r="AD31" s="18" t="n">
        <f aca="false">AUX_MATRIZES!AD104</f>
        <v>702.214285714286</v>
      </c>
      <c r="AE31" s="18" t="n">
        <f aca="false">AUX_MATRIZES!AE104</f>
        <v>702.214285714286</v>
      </c>
      <c r="AF31" s="18" t="n">
        <f aca="false">AUX_MATRIZES!AF104</f>
        <v>702.214285714286</v>
      </c>
      <c r="AG31" s="18" t="n">
        <f aca="false">AUX_MATRIZES!AG104</f>
        <v>702.214285714286</v>
      </c>
      <c r="AH31" s="18" t="n">
        <f aca="false">AUX_MATRIZES!AH104</f>
        <v>702.214285714286</v>
      </c>
      <c r="AI31" s="18" t="n">
        <f aca="false">AUX_MATRIZES!AI104</f>
        <v>702.214285714286</v>
      </c>
      <c r="AJ31" s="18" t="n">
        <f aca="false">AUX_MATRIZES!AJ104</f>
        <v>702.214285714286</v>
      </c>
      <c r="AK31" s="18" t="n">
        <f aca="false">AUX_MATRIZES!AK104</f>
        <v>702.214285714286</v>
      </c>
      <c r="AL31" s="18" t="n">
        <f aca="false">AUX_MATRIZES!AL104</f>
        <v>702.214285714286</v>
      </c>
      <c r="AM31" s="18" t="n">
        <f aca="false">AUX_MATRIZES!AM104</f>
        <v>702.214285714286</v>
      </c>
      <c r="AN31" s="18" t="n">
        <f aca="false">AUX_MATRIZES!AN104</f>
        <v>702.214285714286</v>
      </c>
      <c r="AO31" s="18" t="n">
        <f aca="false">AUX_MATRIZES!AO104</f>
        <v>702.214285714286</v>
      </c>
      <c r="AP31" s="18" t="n">
        <f aca="false">AUX_MATRIZES!AP104</f>
        <v>702.214285714286</v>
      </c>
      <c r="AQ31" s="18" t="n">
        <f aca="false">AUX_MATRIZES!AQ104</f>
        <v>702.214285714286</v>
      </c>
      <c r="AR31" s="18" t="n">
        <f aca="false">AUX_MATRIZES!AR104</f>
        <v>702.214285714286</v>
      </c>
      <c r="AS31" s="18" t="n">
        <f aca="false">AUX_MATRIZES!AS104</f>
        <v>702.214285714286</v>
      </c>
      <c r="AT31" s="18" t="n">
        <f aca="false">AUX_MATRIZES!AT104</f>
        <v>702.214285714286</v>
      </c>
      <c r="AU31" s="18" t="n">
        <f aca="false">AUX_MATRIZES!AU104</f>
        <v>702.214285714286</v>
      </c>
      <c r="AV31" s="18" t="n">
        <f aca="false">AUX_MATRIZES!AV104</f>
        <v>702.214285714286</v>
      </c>
      <c r="AW31" s="18" t="n">
        <f aca="false">AUX_MATRIZES!AW104</f>
        <v>702.214285714286</v>
      </c>
      <c r="AX31" s="18" t="n">
        <f aca="false">AUX_MATRIZES!AX104</f>
        <v>702.214285714286</v>
      </c>
      <c r="AY31" s="18" t="n">
        <f aca="false">AUX_MATRIZES!AY104</f>
        <v>702.214285714286</v>
      </c>
      <c r="AZ31" s="18" t="n">
        <f aca="false">AUX_MATRIZES!AZ104</f>
        <v>702.214285714286</v>
      </c>
      <c r="BA31" s="18" t="n">
        <f aca="false">AUX_MATRIZES!BA104</f>
        <v>702.214285714286</v>
      </c>
      <c r="BB31" s="18" t="n">
        <f aca="false">AUX_MATRIZES!BB104</f>
        <v>702.214285714286</v>
      </c>
      <c r="BC31" s="18" t="n">
        <f aca="false">AUX_MATRIZES!BC104</f>
        <v>702.214285714286</v>
      </c>
      <c r="BD31" s="18" t="n">
        <f aca="false">AUX_MATRIZES!BD104</f>
        <v>702.214285714286</v>
      </c>
      <c r="BE31" s="18" t="n">
        <f aca="false">AUX_MATRIZES!BE104</f>
        <v>702.214285714286</v>
      </c>
      <c r="BF31" s="18" t="n">
        <f aca="false">AUX_MATRIZES!BF104</f>
        <v>702.214285714286</v>
      </c>
      <c r="BG31" s="18" t="n">
        <f aca="false">AUX_MATRIZES!BG104</f>
        <v>702.214285714286</v>
      </c>
      <c r="BH31" s="18" t="n">
        <f aca="false">AUX_MATRIZES!BH104</f>
        <v>702.214285714286</v>
      </c>
      <c r="BI31" s="18" t="n">
        <f aca="false">AUX_MATRIZES!BI104</f>
        <v>702.214285714286</v>
      </c>
      <c r="BJ31" s="18" t="n">
        <f aca="false">AUX_MATRIZES!BJ104</f>
        <v>702.214285714286</v>
      </c>
      <c r="BK31" s="18" t="n">
        <f aca="false">AUX_MATRIZES!BK104</f>
        <v>702.214285714286</v>
      </c>
      <c r="BL31" s="18" t="n">
        <f aca="false">AUX_MATRIZES!BL104</f>
        <v>702.214285714286</v>
      </c>
      <c r="BM31" s="18" t="n">
        <f aca="false">AUX_MATRIZES!BM104</f>
        <v>702.214285714286</v>
      </c>
      <c r="BN31" s="18" t="n">
        <f aca="false">AUX_MATRIZES!BN104</f>
        <v>702.214285714286</v>
      </c>
      <c r="BO31" s="18" t="n">
        <f aca="false">AUX_MATRIZES!BO104</f>
        <v>702.214285714286</v>
      </c>
      <c r="BP31" s="18" t="n">
        <f aca="false">AUX_MATRIZES!BP104</f>
        <v>702.214285714286</v>
      </c>
    </row>
    <row r="32" customFormat="false" ht="15" hidden="false" customHeight="false" outlineLevel="0" collapsed="false">
      <c r="B32" s="15" t="s">
        <v>172</v>
      </c>
      <c r="C32" s="18" t="n">
        <f aca="false">AUX_MATRIZES!C105</f>
        <v>1433.21428571429</v>
      </c>
      <c r="D32" s="18" t="n">
        <f aca="false">AUX_MATRIZES!D105</f>
        <v>1433.21428571429</v>
      </c>
      <c r="E32" s="18" t="n">
        <f aca="false">AUX_MATRIZES!E105</f>
        <v>1433.21428571429</v>
      </c>
      <c r="F32" s="18" t="n">
        <f aca="false">AUX_MATRIZES!F105</f>
        <v>1433.21428571429</v>
      </c>
      <c r="G32" s="18" t="n">
        <f aca="false">AUX_MATRIZES!G105</f>
        <v>1433.21428571429</v>
      </c>
      <c r="H32" s="18" t="n">
        <f aca="false">AUX_MATRIZES!H105</f>
        <v>1433.21428571429</v>
      </c>
      <c r="I32" s="18" t="n">
        <f aca="false">AUX_MATRIZES!I105</f>
        <v>1433.21428571429</v>
      </c>
      <c r="J32" s="18" t="n">
        <f aca="false">AUX_MATRIZES!J105</f>
        <v>1433.21428571429</v>
      </c>
      <c r="K32" s="18" t="n">
        <f aca="false">AUX_MATRIZES!K105</f>
        <v>1433.21428571429</v>
      </c>
      <c r="L32" s="18" t="n">
        <f aca="false">AUX_MATRIZES!L105</f>
        <v>1433.21428571429</v>
      </c>
      <c r="M32" s="18" t="n">
        <f aca="false">AUX_MATRIZES!M105</f>
        <v>1433.21428571429</v>
      </c>
      <c r="N32" s="18" t="n">
        <f aca="false">AUX_MATRIZES!N105</f>
        <v>1433.21428571429</v>
      </c>
      <c r="O32" s="18" t="n">
        <f aca="false">AUX_MATRIZES!O105</f>
        <v>1433.21428571429</v>
      </c>
      <c r="P32" s="18" t="n">
        <f aca="false">AUX_MATRIZES!P105</f>
        <v>1433.21428571429</v>
      </c>
      <c r="Q32" s="18" t="n">
        <f aca="false">AUX_MATRIZES!Q105</f>
        <v>1433.21428571429</v>
      </c>
      <c r="R32" s="18" t="n">
        <f aca="false">AUX_MATRIZES!R105</f>
        <v>1433.21428571429</v>
      </c>
      <c r="S32" s="18" t="n">
        <f aca="false">AUX_MATRIZES!S105</f>
        <v>1433.21428571429</v>
      </c>
      <c r="T32" s="18" t="n">
        <f aca="false">AUX_MATRIZES!T105</f>
        <v>1433.21428571429</v>
      </c>
      <c r="U32" s="18" t="n">
        <f aca="false">AUX_MATRIZES!U105</f>
        <v>1433.21428571429</v>
      </c>
      <c r="V32" s="18" t="n">
        <f aca="false">AUX_MATRIZES!V105</f>
        <v>1433.21428571429</v>
      </c>
      <c r="W32" s="18" t="n">
        <f aca="false">AUX_MATRIZES!W105</f>
        <v>1433.21428571429</v>
      </c>
      <c r="X32" s="18" t="n">
        <f aca="false">AUX_MATRIZES!X105</f>
        <v>1433.21428571429</v>
      </c>
      <c r="Y32" s="18" t="n">
        <f aca="false">AUX_MATRIZES!Y105</f>
        <v>1433.21428571429</v>
      </c>
      <c r="Z32" s="18" t="n">
        <f aca="false">AUX_MATRIZES!Z105</f>
        <v>1433.21428571429</v>
      </c>
      <c r="AA32" s="18" t="n">
        <f aca="false">AUX_MATRIZES!AA105</f>
        <v>1433.21428571429</v>
      </c>
      <c r="AB32" s="18" t="n">
        <f aca="false">AUX_MATRIZES!AB105</f>
        <v>1433.21428571429</v>
      </c>
      <c r="AC32" s="18" t="n">
        <f aca="false">AUX_MATRIZES!AC105</f>
        <v>1433.21428571429</v>
      </c>
      <c r="AD32" s="18" t="n">
        <f aca="false">AUX_MATRIZES!AD105</f>
        <v>1433.21428571429</v>
      </c>
      <c r="AE32" s="18" t="n">
        <f aca="false">AUX_MATRIZES!AE105</f>
        <v>1433.21428571429</v>
      </c>
      <c r="AF32" s="18" t="n">
        <f aca="false">AUX_MATRIZES!AF105</f>
        <v>1433.21428571429</v>
      </c>
      <c r="AG32" s="18" t="n">
        <f aca="false">AUX_MATRIZES!AG105</f>
        <v>1433.21428571429</v>
      </c>
      <c r="AH32" s="18" t="n">
        <f aca="false">AUX_MATRIZES!AH105</f>
        <v>1433.21428571429</v>
      </c>
      <c r="AI32" s="18" t="n">
        <f aca="false">AUX_MATRIZES!AI105</f>
        <v>1433.21428571429</v>
      </c>
      <c r="AJ32" s="18" t="n">
        <f aca="false">AUX_MATRIZES!AJ105</f>
        <v>1433.21428571429</v>
      </c>
      <c r="AK32" s="18" t="n">
        <f aca="false">AUX_MATRIZES!AK105</f>
        <v>1433.21428571429</v>
      </c>
      <c r="AL32" s="18" t="n">
        <f aca="false">AUX_MATRIZES!AL105</f>
        <v>1433.21428571429</v>
      </c>
      <c r="AM32" s="18" t="n">
        <f aca="false">AUX_MATRIZES!AM105</f>
        <v>1433.21428571429</v>
      </c>
      <c r="AN32" s="18" t="n">
        <f aca="false">AUX_MATRIZES!AN105</f>
        <v>1433.21428571429</v>
      </c>
      <c r="AO32" s="18" t="n">
        <f aca="false">AUX_MATRIZES!AO105</f>
        <v>1433.21428571429</v>
      </c>
      <c r="AP32" s="18" t="n">
        <f aca="false">AUX_MATRIZES!AP105</f>
        <v>1433.21428571429</v>
      </c>
      <c r="AQ32" s="18" t="n">
        <f aca="false">AUX_MATRIZES!AQ105</f>
        <v>1433.21428571429</v>
      </c>
      <c r="AR32" s="18" t="n">
        <f aca="false">AUX_MATRIZES!AR105</f>
        <v>1433.21428571429</v>
      </c>
      <c r="AS32" s="18" t="n">
        <f aca="false">AUX_MATRIZES!AS105</f>
        <v>1433.21428571429</v>
      </c>
      <c r="AT32" s="18" t="n">
        <f aca="false">AUX_MATRIZES!AT105</f>
        <v>1433.21428571429</v>
      </c>
      <c r="AU32" s="18" t="n">
        <f aca="false">AUX_MATRIZES!AU105</f>
        <v>1433.21428571429</v>
      </c>
      <c r="AV32" s="18" t="n">
        <f aca="false">AUX_MATRIZES!AV105</f>
        <v>1433.21428571429</v>
      </c>
      <c r="AW32" s="18" t="n">
        <f aca="false">AUX_MATRIZES!AW105</f>
        <v>1433.21428571429</v>
      </c>
      <c r="AX32" s="18" t="n">
        <f aca="false">AUX_MATRIZES!AX105</f>
        <v>1433.21428571429</v>
      </c>
      <c r="AY32" s="18" t="n">
        <f aca="false">AUX_MATRIZES!AY105</f>
        <v>1433.21428571429</v>
      </c>
      <c r="AZ32" s="18" t="n">
        <f aca="false">AUX_MATRIZES!AZ105</f>
        <v>1433.21428571429</v>
      </c>
      <c r="BA32" s="18" t="n">
        <f aca="false">AUX_MATRIZES!BA105</f>
        <v>1433.21428571429</v>
      </c>
      <c r="BB32" s="18" t="n">
        <f aca="false">AUX_MATRIZES!BB105</f>
        <v>1433.21428571429</v>
      </c>
      <c r="BC32" s="18" t="n">
        <f aca="false">AUX_MATRIZES!BC105</f>
        <v>1433.21428571429</v>
      </c>
      <c r="BD32" s="18" t="n">
        <f aca="false">AUX_MATRIZES!BD105</f>
        <v>1433.21428571429</v>
      </c>
      <c r="BE32" s="18" t="n">
        <f aca="false">AUX_MATRIZES!BE105</f>
        <v>1433.21428571429</v>
      </c>
      <c r="BF32" s="18" t="n">
        <f aca="false">AUX_MATRIZES!BF105</f>
        <v>1433.21428571429</v>
      </c>
      <c r="BG32" s="18" t="n">
        <f aca="false">AUX_MATRIZES!BG105</f>
        <v>1433.21428571429</v>
      </c>
      <c r="BH32" s="18" t="n">
        <f aca="false">AUX_MATRIZES!BH105</f>
        <v>1433.21428571429</v>
      </c>
      <c r="BI32" s="18" t="n">
        <f aca="false">AUX_MATRIZES!BI105</f>
        <v>1433.21428571429</v>
      </c>
      <c r="BJ32" s="18" t="n">
        <f aca="false">AUX_MATRIZES!BJ105</f>
        <v>1433.21428571429</v>
      </c>
      <c r="BK32" s="18" t="n">
        <f aca="false">AUX_MATRIZES!BK105</f>
        <v>1433.21428571429</v>
      </c>
      <c r="BL32" s="18" t="n">
        <f aca="false">AUX_MATRIZES!BL105</f>
        <v>1433.21428571429</v>
      </c>
      <c r="BM32" s="18" t="n">
        <f aca="false">AUX_MATRIZES!BM105</f>
        <v>1433.21428571429</v>
      </c>
      <c r="BN32" s="18" t="n">
        <f aca="false">AUX_MATRIZES!BN105</f>
        <v>1433.21428571429</v>
      </c>
      <c r="BO32" s="18" t="n">
        <f aca="false">AUX_MATRIZES!BO105</f>
        <v>1433.21428571429</v>
      </c>
      <c r="BP32" s="18" t="n">
        <f aca="false">AUX_MATRIZES!BP105</f>
        <v>1433.21428571429</v>
      </c>
    </row>
    <row r="33" customFormat="false" ht="15" hidden="false" customHeight="false" outlineLevel="0" collapsed="false">
      <c r="B33" s="15" t="s">
        <v>173</v>
      </c>
      <c r="C33" s="18" t="n">
        <f aca="false">AUX_MATRIZES!C106</f>
        <v>1412.71428571429</v>
      </c>
      <c r="D33" s="18" t="n">
        <f aca="false">AUX_MATRIZES!D106</f>
        <v>1412.71428571429</v>
      </c>
      <c r="E33" s="18" t="n">
        <f aca="false">AUX_MATRIZES!E106</f>
        <v>1412.71428571429</v>
      </c>
      <c r="F33" s="18" t="n">
        <f aca="false">AUX_MATRIZES!F106</f>
        <v>1412.71428571429</v>
      </c>
      <c r="G33" s="18" t="n">
        <f aca="false">AUX_MATRIZES!G106</f>
        <v>1412.71428571429</v>
      </c>
      <c r="H33" s="18" t="n">
        <f aca="false">AUX_MATRIZES!H106</f>
        <v>1412.71428571429</v>
      </c>
      <c r="I33" s="18" t="n">
        <f aca="false">AUX_MATRIZES!I106</f>
        <v>1412.71428571429</v>
      </c>
      <c r="J33" s="18" t="n">
        <f aca="false">AUX_MATRIZES!J106</f>
        <v>1412.71428571429</v>
      </c>
      <c r="K33" s="18" t="n">
        <f aca="false">AUX_MATRIZES!K106</f>
        <v>1412.71428571429</v>
      </c>
      <c r="L33" s="18" t="n">
        <f aca="false">AUX_MATRIZES!L106</f>
        <v>1412.71428571429</v>
      </c>
      <c r="M33" s="18" t="n">
        <f aca="false">AUX_MATRIZES!M106</f>
        <v>1412.71428571429</v>
      </c>
      <c r="N33" s="18" t="n">
        <f aca="false">AUX_MATRIZES!N106</f>
        <v>1412.71428571429</v>
      </c>
      <c r="O33" s="18" t="n">
        <f aca="false">AUX_MATRIZES!O106</f>
        <v>1412.71428571429</v>
      </c>
      <c r="P33" s="18" t="n">
        <f aca="false">AUX_MATRIZES!P106</f>
        <v>1412.71428571429</v>
      </c>
      <c r="Q33" s="18" t="n">
        <f aca="false">AUX_MATRIZES!Q106</f>
        <v>1412.71428571429</v>
      </c>
      <c r="R33" s="18" t="n">
        <f aca="false">AUX_MATRIZES!R106</f>
        <v>1412.71428571429</v>
      </c>
      <c r="S33" s="18" t="n">
        <f aca="false">AUX_MATRIZES!S106</f>
        <v>1412.71428571429</v>
      </c>
      <c r="T33" s="18" t="n">
        <f aca="false">AUX_MATRIZES!T106</f>
        <v>1412.71428571429</v>
      </c>
      <c r="U33" s="18" t="n">
        <f aca="false">AUX_MATRIZES!U106</f>
        <v>1412.71428571429</v>
      </c>
      <c r="V33" s="18" t="n">
        <f aca="false">AUX_MATRIZES!V106</f>
        <v>1412.71428571429</v>
      </c>
      <c r="W33" s="18" t="n">
        <f aca="false">AUX_MATRIZES!W106</f>
        <v>1412.71428571429</v>
      </c>
      <c r="X33" s="18" t="n">
        <f aca="false">AUX_MATRIZES!X106</f>
        <v>1412.71428571429</v>
      </c>
      <c r="Y33" s="18" t="n">
        <f aca="false">AUX_MATRIZES!Y106</f>
        <v>1412.71428571429</v>
      </c>
      <c r="Z33" s="18" t="n">
        <f aca="false">AUX_MATRIZES!Z106</f>
        <v>1412.71428571429</v>
      </c>
      <c r="AA33" s="18" t="n">
        <f aca="false">AUX_MATRIZES!AA106</f>
        <v>1412.71428571429</v>
      </c>
      <c r="AB33" s="18" t="n">
        <f aca="false">AUX_MATRIZES!AB106</f>
        <v>1412.71428571429</v>
      </c>
      <c r="AC33" s="18" t="n">
        <f aca="false">AUX_MATRIZES!AC106</f>
        <v>1412.71428571429</v>
      </c>
      <c r="AD33" s="18" t="n">
        <f aca="false">AUX_MATRIZES!AD106</f>
        <v>1412.71428571429</v>
      </c>
      <c r="AE33" s="18" t="n">
        <f aca="false">AUX_MATRIZES!AE106</f>
        <v>1412.71428571429</v>
      </c>
      <c r="AF33" s="18" t="n">
        <f aca="false">AUX_MATRIZES!AF106</f>
        <v>1412.71428571429</v>
      </c>
      <c r="AG33" s="18" t="n">
        <f aca="false">AUX_MATRIZES!AG106</f>
        <v>1412.71428571429</v>
      </c>
      <c r="AH33" s="18" t="n">
        <f aca="false">AUX_MATRIZES!AH106</f>
        <v>1412.71428571429</v>
      </c>
      <c r="AI33" s="18" t="n">
        <f aca="false">AUX_MATRIZES!AI106</f>
        <v>1412.71428571429</v>
      </c>
      <c r="AJ33" s="18" t="n">
        <f aca="false">AUX_MATRIZES!AJ106</f>
        <v>1412.71428571429</v>
      </c>
      <c r="AK33" s="18" t="n">
        <f aca="false">AUX_MATRIZES!AK106</f>
        <v>1412.71428571429</v>
      </c>
      <c r="AL33" s="18" t="n">
        <f aca="false">AUX_MATRIZES!AL106</f>
        <v>1412.71428571429</v>
      </c>
      <c r="AM33" s="18" t="n">
        <f aca="false">AUX_MATRIZES!AM106</f>
        <v>1412.71428571429</v>
      </c>
      <c r="AN33" s="18" t="n">
        <f aca="false">AUX_MATRIZES!AN106</f>
        <v>1412.71428571429</v>
      </c>
      <c r="AO33" s="18" t="n">
        <f aca="false">AUX_MATRIZES!AO106</f>
        <v>1412.71428571429</v>
      </c>
      <c r="AP33" s="18" t="n">
        <f aca="false">AUX_MATRIZES!AP106</f>
        <v>1412.71428571429</v>
      </c>
      <c r="AQ33" s="18" t="n">
        <f aca="false">AUX_MATRIZES!AQ106</f>
        <v>1412.71428571429</v>
      </c>
      <c r="AR33" s="18" t="n">
        <f aca="false">AUX_MATRIZES!AR106</f>
        <v>1412.71428571429</v>
      </c>
      <c r="AS33" s="18" t="n">
        <f aca="false">AUX_MATRIZES!AS106</f>
        <v>1412.71428571429</v>
      </c>
      <c r="AT33" s="18" t="n">
        <f aca="false">AUX_MATRIZES!AT106</f>
        <v>1412.71428571429</v>
      </c>
      <c r="AU33" s="18" t="n">
        <f aca="false">AUX_MATRIZES!AU106</f>
        <v>1412.71428571429</v>
      </c>
      <c r="AV33" s="18" t="n">
        <f aca="false">AUX_MATRIZES!AV106</f>
        <v>1412.71428571429</v>
      </c>
      <c r="AW33" s="18" t="n">
        <f aca="false">AUX_MATRIZES!AW106</f>
        <v>1412.71428571429</v>
      </c>
      <c r="AX33" s="18" t="n">
        <f aca="false">AUX_MATRIZES!AX106</f>
        <v>1412.71428571429</v>
      </c>
      <c r="AY33" s="18" t="n">
        <f aca="false">AUX_MATRIZES!AY106</f>
        <v>1412.71428571429</v>
      </c>
      <c r="AZ33" s="18" t="n">
        <f aca="false">AUX_MATRIZES!AZ106</f>
        <v>1412.71428571429</v>
      </c>
      <c r="BA33" s="18" t="n">
        <f aca="false">AUX_MATRIZES!BA106</f>
        <v>1412.71428571429</v>
      </c>
      <c r="BB33" s="18" t="n">
        <f aca="false">AUX_MATRIZES!BB106</f>
        <v>1412.71428571429</v>
      </c>
      <c r="BC33" s="18" t="n">
        <f aca="false">AUX_MATRIZES!BC106</f>
        <v>1412.71428571429</v>
      </c>
      <c r="BD33" s="18" t="n">
        <f aca="false">AUX_MATRIZES!BD106</f>
        <v>1412.71428571429</v>
      </c>
      <c r="BE33" s="18" t="n">
        <f aca="false">AUX_MATRIZES!BE106</f>
        <v>1412.71428571429</v>
      </c>
      <c r="BF33" s="18" t="n">
        <f aca="false">AUX_MATRIZES!BF106</f>
        <v>1412.71428571429</v>
      </c>
      <c r="BG33" s="18" t="n">
        <f aca="false">AUX_MATRIZES!BG106</f>
        <v>1412.71428571429</v>
      </c>
      <c r="BH33" s="18" t="n">
        <f aca="false">AUX_MATRIZES!BH106</f>
        <v>1412.71428571429</v>
      </c>
      <c r="BI33" s="18" t="n">
        <f aca="false">AUX_MATRIZES!BI106</f>
        <v>1412.71428571429</v>
      </c>
      <c r="BJ33" s="18" t="n">
        <f aca="false">AUX_MATRIZES!BJ106</f>
        <v>1412.71428571429</v>
      </c>
      <c r="BK33" s="18" t="n">
        <f aca="false">AUX_MATRIZES!BK106</f>
        <v>1412.71428571429</v>
      </c>
      <c r="BL33" s="18" t="n">
        <f aca="false">AUX_MATRIZES!BL106</f>
        <v>1412.71428571429</v>
      </c>
      <c r="BM33" s="18" t="n">
        <f aca="false">AUX_MATRIZES!BM106</f>
        <v>1412.71428571429</v>
      </c>
      <c r="BN33" s="18" t="n">
        <f aca="false">AUX_MATRIZES!BN106</f>
        <v>1412.71428571429</v>
      </c>
      <c r="BO33" s="18" t="n">
        <f aca="false">AUX_MATRIZES!BO106</f>
        <v>1412.71428571429</v>
      </c>
      <c r="BP33" s="18" t="n">
        <f aca="false">AUX_MATRIZES!BP106</f>
        <v>1412.71428571429</v>
      </c>
    </row>
    <row r="34" customFormat="false" ht="15" hidden="false" customHeight="false" outlineLevel="0" collapsed="false">
      <c r="B34" s="15" t="s">
        <v>174</v>
      </c>
      <c r="C34" s="18" t="n">
        <f aca="false">AUX_MATRIZES!C107</f>
        <v>3852.85714285714</v>
      </c>
      <c r="D34" s="18" t="n">
        <f aca="false">AUX_MATRIZES!D107</f>
        <v>3852.85714285714</v>
      </c>
      <c r="E34" s="18" t="n">
        <f aca="false">AUX_MATRIZES!E107</f>
        <v>3852.85714285714</v>
      </c>
      <c r="F34" s="18" t="n">
        <f aca="false">AUX_MATRIZES!F107</f>
        <v>3852.85714285714</v>
      </c>
      <c r="G34" s="18" t="n">
        <f aca="false">AUX_MATRIZES!G107</f>
        <v>3852.85714285714</v>
      </c>
      <c r="H34" s="18" t="n">
        <f aca="false">AUX_MATRIZES!H107</f>
        <v>3852.85714285714</v>
      </c>
      <c r="I34" s="18" t="n">
        <f aca="false">AUX_MATRIZES!I107</f>
        <v>3852.85714285714</v>
      </c>
      <c r="J34" s="18" t="n">
        <f aca="false">AUX_MATRIZES!J107</f>
        <v>3852.85714285714</v>
      </c>
      <c r="K34" s="18" t="n">
        <f aca="false">AUX_MATRIZES!K107</f>
        <v>3852.85714285714</v>
      </c>
      <c r="L34" s="18" t="n">
        <f aca="false">AUX_MATRIZES!L107</f>
        <v>3852.85714285714</v>
      </c>
      <c r="M34" s="18" t="n">
        <f aca="false">AUX_MATRIZES!M107</f>
        <v>3852.85714285714</v>
      </c>
      <c r="N34" s="18" t="n">
        <f aca="false">AUX_MATRIZES!N107</f>
        <v>3852.85714285714</v>
      </c>
      <c r="O34" s="18" t="n">
        <f aca="false">AUX_MATRIZES!O107</f>
        <v>3852.85714285714</v>
      </c>
      <c r="P34" s="18" t="n">
        <f aca="false">AUX_MATRIZES!P107</f>
        <v>3852.85714285714</v>
      </c>
      <c r="Q34" s="18" t="n">
        <f aca="false">AUX_MATRIZES!Q107</f>
        <v>3852.85714285714</v>
      </c>
      <c r="R34" s="18" t="n">
        <f aca="false">AUX_MATRIZES!R107</f>
        <v>3852.85714285714</v>
      </c>
      <c r="S34" s="18" t="n">
        <f aca="false">AUX_MATRIZES!S107</f>
        <v>3852.85714285714</v>
      </c>
      <c r="T34" s="18" t="n">
        <f aca="false">AUX_MATRIZES!T107</f>
        <v>3852.85714285714</v>
      </c>
      <c r="U34" s="18" t="n">
        <f aca="false">AUX_MATRIZES!U107</f>
        <v>3852.85714285714</v>
      </c>
      <c r="V34" s="18" t="n">
        <f aca="false">AUX_MATRIZES!V107</f>
        <v>3852.85714285714</v>
      </c>
      <c r="W34" s="18" t="n">
        <f aca="false">AUX_MATRIZES!W107</f>
        <v>3852.85714285714</v>
      </c>
      <c r="X34" s="18" t="n">
        <f aca="false">AUX_MATRIZES!X107</f>
        <v>3852.85714285714</v>
      </c>
      <c r="Y34" s="18" t="n">
        <f aca="false">AUX_MATRIZES!Y107</f>
        <v>3852.85714285714</v>
      </c>
      <c r="Z34" s="18" t="n">
        <f aca="false">AUX_MATRIZES!Z107</f>
        <v>3852.85714285714</v>
      </c>
      <c r="AA34" s="18" t="n">
        <f aca="false">AUX_MATRIZES!AA107</f>
        <v>3852.85714285714</v>
      </c>
      <c r="AB34" s="18" t="n">
        <f aca="false">AUX_MATRIZES!AB107</f>
        <v>3852.85714285714</v>
      </c>
      <c r="AC34" s="18" t="n">
        <f aca="false">AUX_MATRIZES!AC107</f>
        <v>3852.85714285714</v>
      </c>
      <c r="AD34" s="18" t="n">
        <f aca="false">AUX_MATRIZES!AD107</f>
        <v>3852.85714285714</v>
      </c>
      <c r="AE34" s="18" t="n">
        <f aca="false">AUX_MATRIZES!AE107</f>
        <v>3852.85714285714</v>
      </c>
      <c r="AF34" s="18" t="n">
        <f aca="false">AUX_MATRIZES!AF107</f>
        <v>3852.85714285714</v>
      </c>
      <c r="AG34" s="18" t="n">
        <f aca="false">AUX_MATRIZES!AG107</f>
        <v>3852.85714285714</v>
      </c>
      <c r="AH34" s="18" t="n">
        <f aca="false">AUX_MATRIZES!AH107</f>
        <v>3852.85714285714</v>
      </c>
      <c r="AI34" s="18" t="n">
        <f aca="false">AUX_MATRIZES!AI107</f>
        <v>3852.85714285714</v>
      </c>
      <c r="AJ34" s="18" t="n">
        <f aca="false">AUX_MATRIZES!AJ107</f>
        <v>3852.85714285714</v>
      </c>
      <c r="AK34" s="18" t="n">
        <f aca="false">AUX_MATRIZES!AK107</f>
        <v>3852.85714285714</v>
      </c>
      <c r="AL34" s="18" t="n">
        <f aca="false">AUX_MATRIZES!AL107</f>
        <v>3852.85714285714</v>
      </c>
      <c r="AM34" s="18" t="n">
        <f aca="false">AUX_MATRIZES!AM107</f>
        <v>3852.85714285714</v>
      </c>
      <c r="AN34" s="18" t="n">
        <f aca="false">AUX_MATRIZES!AN107</f>
        <v>3852.85714285714</v>
      </c>
      <c r="AO34" s="18" t="n">
        <f aca="false">AUX_MATRIZES!AO107</f>
        <v>3852.85714285714</v>
      </c>
      <c r="AP34" s="18" t="n">
        <f aca="false">AUX_MATRIZES!AP107</f>
        <v>3852.85714285714</v>
      </c>
      <c r="AQ34" s="18" t="n">
        <f aca="false">AUX_MATRIZES!AQ107</f>
        <v>3852.85714285714</v>
      </c>
      <c r="AR34" s="18" t="n">
        <f aca="false">AUX_MATRIZES!AR107</f>
        <v>3852.85714285714</v>
      </c>
      <c r="AS34" s="18" t="n">
        <f aca="false">AUX_MATRIZES!AS107</f>
        <v>3852.85714285714</v>
      </c>
      <c r="AT34" s="18" t="n">
        <f aca="false">AUX_MATRIZES!AT107</f>
        <v>3852.85714285714</v>
      </c>
      <c r="AU34" s="18" t="n">
        <f aca="false">AUX_MATRIZES!AU107</f>
        <v>3852.85714285714</v>
      </c>
      <c r="AV34" s="18" t="n">
        <f aca="false">AUX_MATRIZES!AV107</f>
        <v>3852.85714285714</v>
      </c>
      <c r="AW34" s="18" t="n">
        <f aca="false">AUX_MATRIZES!AW107</f>
        <v>3852.85714285714</v>
      </c>
      <c r="AX34" s="18" t="n">
        <f aca="false">AUX_MATRIZES!AX107</f>
        <v>3852.85714285714</v>
      </c>
      <c r="AY34" s="18" t="n">
        <f aca="false">AUX_MATRIZES!AY107</f>
        <v>3852.85714285714</v>
      </c>
      <c r="AZ34" s="18" t="n">
        <f aca="false">AUX_MATRIZES!AZ107</f>
        <v>3852.85714285714</v>
      </c>
      <c r="BA34" s="18" t="n">
        <f aca="false">AUX_MATRIZES!BA107</f>
        <v>3852.85714285714</v>
      </c>
      <c r="BB34" s="18" t="n">
        <f aca="false">AUX_MATRIZES!BB107</f>
        <v>3852.85714285714</v>
      </c>
      <c r="BC34" s="18" t="n">
        <f aca="false">AUX_MATRIZES!BC107</f>
        <v>3852.85714285714</v>
      </c>
      <c r="BD34" s="18" t="n">
        <f aca="false">AUX_MATRIZES!BD107</f>
        <v>3852.85714285714</v>
      </c>
      <c r="BE34" s="18" t="n">
        <f aca="false">AUX_MATRIZES!BE107</f>
        <v>3852.85714285714</v>
      </c>
      <c r="BF34" s="18" t="n">
        <f aca="false">AUX_MATRIZES!BF107</f>
        <v>3852.85714285714</v>
      </c>
      <c r="BG34" s="18" t="n">
        <f aca="false">AUX_MATRIZES!BG107</f>
        <v>3852.85714285714</v>
      </c>
      <c r="BH34" s="18" t="n">
        <f aca="false">AUX_MATRIZES!BH107</f>
        <v>3852.85714285714</v>
      </c>
      <c r="BI34" s="18" t="n">
        <f aca="false">AUX_MATRIZES!BI107</f>
        <v>3852.85714285714</v>
      </c>
      <c r="BJ34" s="18" t="n">
        <f aca="false">AUX_MATRIZES!BJ107</f>
        <v>3852.85714285714</v>
      </c>
      <c r="BK34" s="18" t="n">
        <f aca="false">AUX_MATRIZES!BK107</f>
        <v>3852.85714285714</v>
      </c>
      <c r="BL34" s="18" t="n">
        <f aca="false">AUX_MATRIZES!BL107</f>
        <v>3852.85714285714</v>
      </c>
      <c r="BM34" s="18" t="n">
        <f aca="false">AUX_MATRIZES!BM107</f>
        <v>3852.85714285714</v>
      </c>
      <c r="BN34" s="18" t="n">
        <f aca="false">AUX_MATRIZES!BN107</f>
        <v>3852.85714285714</v>
      </c>
      <c r="BO34" s="18" t="n">
        <f aca="false">AUX_MATRIZES!BO107</f>
        <v>3852.85714285714</v>
      </c>
      <c r="BP34" s="18" t="n">
        <f aca="false">AUX_MATRIZES!BP107</f>
        <v>3852.85714285714</v>
      </c>
    </row>
    <row r="35" customFormat="false" ht="15" hidden="false" customHeight="false" outlineLevel="0" collapsed="false">
      <c r="B35" s="15" t="s">
        <v>175</v>
      </c>
      <c r="C35" s="18" t="n">
        <f aca="false">AUX_MATRIZES!C108</f>
        <v>5212.93333333333</v>
      </c>
      <c r="D35" s="18" t="n">
        <f aca="false">AUX_MATRIZES!D108</f>
        <v>5212.93333333333</v>
      </c>
      <c r="E35" s="18" t="n">
        <f aca="false">AUX_MATRIZES!E108</f>
        <v>5212.93333333333</v>
      </c>
      <c r="F35" s="18" t="n">
        <f aca="false">AUX_MATRIZES!F108</f>
        <v>5212.93333333333</v>
      </c>
      <c r="G35" s="18" t="n">
        <f aca="false">AUX_MATRIZES!G108</f>
        <v>5212.93333333333</v>
      </c>
      <c r="H35" s="18" t="n">
        <f aca="false">AUX_MATRIZES!H108</f>
        <v>5212.93333333333</v>
      </c>
      <c r="I35" s="18" t="n">
        <f aca="false">AUX_MATRIZES!I108</f>
        <v>5212.93333333333</v>
      </c>
      <c r="J35" s="18" t="n">
        <f aca="false">AUX_MATRIZES!J108</f>
        <v>5212.93333333333</v>
      </c>
      <c r="K35" s="18" t="n">
        <f aca="false">AUX_MATRIZES!K108</f>
        <v>5212.93333333333</v>
      </c>
      <c r="L35" s="18" t="n">
        <f aca="false">AUX_MATRIZES!L108</f>
        <v>5212.93333333333</v>
      </c>
      <c r="M35" s="18" t="n">
        <f aca="false">AUX_MATRIZES!M108</f>
        <v>5212.93333333333</v>
      </c>
      <c r="N35" s="18" t="n">
        <f aca="false">AUX_MATRIZES!N108</f>
        <v>5212.93333333333</v>
      </c>
      <c r="O35" s="18" t="n">
        <f aca="false">AUX_MATRIZES!O108</f>
        <v>5212.93333333333</v>
      </c>
      <c r="P35" s="18" t="n">
        <f aca="false">AUX_MATRIZES!P108</f>
        <v>5212.93333333333</v>
      </c>
      <c r="Q35" s="18" t="n">
        <f aca="false">AUX_MATRIZES!Q108</f>
        <v>5212.93333333333</v>
      </c>
      <c r="R35" s="18" t="n">
        <f aca="false">AUX_MATRIZES!R108</f>
        <v>5212.93333333333</v>
      </c>
      <c r="S35" s="18" t="n">
        <f aca="false">AUX_MATRIZES!S108</f>
        <v>5212.93333333333</v>
      </c>
      <c r="T35" s="18" t="n">
        <f aca="false">AUX_MATRIZES!T108</f>
        <v>5212.93333333333</v>
      </c>
      <c r="U35" s="18" t="n">
        <f aca="false">AUX_MATRIZES!U108</f>
        <v>5212.93333333333</v>
      </c>
      <c r="V35" s="18" t="n">
        <f aca="false">AUX_MATRIZES!V108</f>
        <v>5212.93333333333</v>
      </c>
      <c r="W35" s="18" t="n">
        <f aca="false">AUX_MATRIZES!W108</f>
        <v>5212.93333333333</v>
      </c>
      <c r="X35" s="18" t="n">
        <f aca="false">AUX_MATRIZES!X108</f>
        <v>5212.93333333333</v>
      </c>
      <c r="Y35" s="18" t="n">
        <f aca="false">AUX_MATRIZES!Y108</f>
        <v>5212.93333333333</v>
      </c>
      <c r="Z35" s="18" t="n">
        <f aca="false">AUX_MATRIZES!Z108</f>
        <v>5212.93333333333</v>
      </c>
      <c r="AA35" s="18" t="n">
        <f aca="false">AUX_MATRIZES!AA108</f>
        <v>5212.93333333333</v>
      </c>
      <c r="AB35" s="18" t="n">
        <f aca="false">AUX_MATRIZES!AB108</f>
        <v>5212.93333333333</v>
      </c>
      <c r="AC35" s="18" t="n">
        <f aca="false">AUX_MATRIZES!AC108</f>
        <v>5212.93333333333</v>
      </c>
      <c r="AD35" s="18" t="n">
        <f aca="false">AUX_MATRIZES!AD108</f>
        <v>5212.93333333333</v>
      </c>
      <c r="AE35" s="18" t="n">
        <f aca="false">AUX_MATRIZES!AE108</f>
        <v>5212.93333333333</v>
      </c>
      <c r="AF35" s="18" t="n">
        <f aca="false">AUX_MATRIZES!AF108</f>
        <v>5212.93333333333</v>
      </c>
      <c r="AG35" s="18" t="n">
        <f aca="false">AUX_MATRIZES!AG108</f>
        <v>5212.93333333333</v>
      </c>
      <c r="AH35" s="18" t="n">
        <f aca="false">AUX_MATRIZES!AH108</f>
        <v>5212.93333333333</v>
      </c>
      <c r="AI35" s="18" t="n">
        <f aca="false">AUX_MATRIZES!AI108</f>
        <v>5212.93333333333</v>
      </c>
      <c r="AJ35" s="18" t="n">
        <f aca="false">AUX_MATRIZES!AJ108</f>
        <v>5212.93333333333</v>
      </c>
      <c r="AK35" s="18" t="n">
        <f aca="false">AUX_MATRIZES!AK108</f>
        <v>5212.93333333333</v>
      </c>
      <c r="AL35" s="18" t="n">
        <f aca="false">AUX_MATRIZES!AL108</f>
        <v>5212.93333333333</v>
      </c>
      <c r="AM35" s="18" t="n">
        <f aca="false">AUX_MATRIZES!AM108</f>
        <v>5212.93333333333</v>
      </c>
      <c r="AN35" s="18" t="n">
        <f aca="false">AUX_MATRIZES!AN108</f>
        <v>5212.93333333333</v>
      </c>
      <c r="AO35" s="18" t="n">
        <f aca="false">AUX_MATRIZES!AO108</f>
        <v>5212.93333333333</v>
      </c>
      <c r="AP35" s="18" t="n">
        <f aca="false">AUX_MATRIZES!AP108</f>
        <v>5212.93333333333</v>
      </c>
      <c r="AQ35" s="18" t="n">
        <f aca="false">AUX_MATRIZES!AQ108</f>
        <v>5212.93333333333</v>
      </c>
      <c r="AR35" s="18" t="n">
        <f aca="false">AUX_MATRIZES!AR108</f>
        <v>5212.93333333333</v>
      </c>
      <c r="AS35" s="18" t="n">
        <f aca="false">AUX_MATRIZES!AS108</f>
        <v>5212.93333333333</v>
      </c>
      <c r="AT35" s="18" t="n">
        <f aca="false">AUX_MATRIZES!AT108</f>
        <v>5212.93333333333</v>
      </c>
      <c r="AU35" s="18" t="n">
        <f aca="false">AUX_MATRIZES!AU108</f>
        <v>5212.93333333333</v>
      </c>
      <c r="AV35" s="18" t="n">
        <f aca="false">AUX_MATRIZES!AV108</f>
        <v>5212.93333333333</v>
      </c>
      <c r="AW35" s="18" t="n">
        <f aca="false">AUX_MATRIZES!AW108</f>
        <v>5212.93333333333</v>
      </c>
      <c r="AX35" s="18" t="n">
        <f aca="false">AUX_MATRIZES!AX108</f>
        <v>5212.93333333333</v>
      </c>
      <c r="AY35" s="18" t="n">
        <f aca="false">AUX_MATRIZES!AY108</f>
        <v>5212.93333333333</v>
      </c>
      <c r="AZ35" s="18" t="n">
        <f aca="false">AUX_MATRIZES!AZ108</f>
        <v>5212.93333333333</v>
      </c>
      <c r="BA35" s="18" t="n">
        <f aca="false">AUX_MATRIZES!BA108</f>
        <v>5212.93333333333</v>
      </c>
      <c r="BB35" s="18" t="n">
        <f aca="false">AUX_MATRIZES!BB108</f>
        <v>5212.93333333333</v>
      </c>
      <c r="BC35" s="18" t="n">
        <f aca="false">AUX_MATRIZES!BC108</f>
        <v>5212.93333333333</v>
      </c>
      <c r="BD35" s="18" t="n">
        <f aca="false">AUX_MATRIZES!BD108</f>
        <v>5212.93333333333</v>
      </c>
      <c r="BE35" s="18" t="n">
        <f aca="false">AUX_MATRIZES!BE108</f>
        <v>5212.93333333333</v>
      </c>
      <c r="BF35" s="18" t="n">
        <f aca="false">AUX_MATRIZES!BF108</f>
        <v>5212.93333333333</v>
      </c>
      <c r="BG35" s="18" t="n">
        <f aca="false">AUX_MATRIZES!BG108</f>
        <v>5212.93333333333</v>
      </c>
      <c r="BH35" s="18" t="n">
        <f aca="false">AUX_MATRIZES!BH108</f>
        <v>5212.93333333333</v>
      </c>
      <c r="BI35" s="18" t="n">
        <f aca="false">AUX_MATRIZES!BI108</f>
        <v>5212.93333333333</v>
      </c>
      <c r="BJ35" s="18" t="n">
        <f aca="false">AUX_MATRIZES!BJ108</f>
        <v>5212.93333333333</v>
      </c>
      <c r="BK35" s="18" t="n">
        <f aca="false">AUX_MATRIZES!BK108</f>
        <v>5212.93333333333</v>
      </c>
      <c r="BL35" s="18" t="n">
        <f aca="false">AUX_MATRIZES!BL108</f>
        <v>5212.93333333333</v>
      </c>
      <c r="BM35" s="18" t="n">
        <f aca="false">AUX_MATRIZES!BM108</f>
        <v>5212.93333333333</v>
      </c>
      <c r="BN35" s="18" t="n">
        <f aca="false">AUX_MATRIZES!BN108</f>
        <v>5212.93333333333</v>
      </c>
      <c r="BO35" s="18" t="n">
        <f aca="false">AUX_MATRIZES!BO108</f>
        <v>5212.93333333333</v>
      </c>
      <c r="BP35" s="18" t="n">
        <f aca="false">AUX_MATRIZES!BP108</f>
        <v>5212.93333333333</v>
      </c>
    </row>
    <row r="36" customFormat="false" ht="15" hidden="false" customHeight="false" outlineLevel="0" collapsed="false">
      <c r="B36" s="15" t="s">
        <v>176</v>
      </c>
      <c r="C36" s="18" t="n">
        <f aca="false">AUX_MATRIZES!C109</f>
        <v>6831.56190476191</v>
      </c>
      <c r="D36" s="18" t="n">
        <f aca="false">AUX_MATRIZES!D109</f>
        <v>6831.56190476191</v>
      </c>
      <c r="E36" s="18" t="n">
        <f aca="false">AUX_MATRIZES!E109</f>
        <v>6831.56190476191</v>
      </c>
      <c r="F36" s="18" t="n">
        <f aca="false">AUX_MATRIZES!F109</f>
        <v>6831.56190476191</v>
      </c>
      <c r="G36" s="18" t="n">
        <f aca="false">AUX_MATRIZES!G109</f>
        <v>6831.56190476191</v>
      </c>
      <c r="H36" s="18" t="n">
        <f aca="false">AUX_MATRIZES!H109</f>
        <v>6831.56190476191</v>
      </c>
      <c r="I36" s="18" t="n">
        <f aca="false">AUX_MATRIZES!I109</f>
        <v>6831.56190476191</v>
      </c>
      <c r="J36" s="18" t="n">
        <f aca="false">AUX_MATRIZES!J109</f>
        <v>6831.56190476191</v>
      </c>
      <c r="K36" s="18" t="n">
        <f aca="false">AUX_MATRIZES!K109</f>
        <v>6831.56190476191</v>
      </c>
      <c r="L36" s="18" t="n">
        <f aca="false">AUX_MATRIZES!L109</f>
        <v>6831.56190476191</v>
      </c>
      <c r="M36" s="18" t="n">
        <f aca="false">AUX_MATRIZES!M109</f>
        <v>6831.56190476191</v>
      </c>
      <c r="N36" s="18" t="n">
        <f aca="false">AUX_MATRIZES!N109</f>
        <v>6831.56190476191</v>
      </c>
      <c r="O36" s="18" t="n">
        <f aca="false">AUX_MATRIZES!O109</f>
        <v>6831.56190476191</v>
      </c>
      <c r="P36" s="18" t="n">
        <f aca="false">AUX_MATRIZES!P109</f>
        <v>6831.56190476191</v>
      </c>
      <c r="Q36" s="18" t="n">
        <f aca="false">AUX_MATRIZES!Q109</f>
        <v>6831.56190476191</v>
      </c>
      <c r="R36" s="18" t="n">
        <f aca="false">AUX_MATRIZES!R109</f>
        <v>6831.56190476191</v>
      </c>
      <c r="S36" s="18" t="n">
        <f aca="false">AUX_MATRIZES!S109</f>
        <v>6831.56190476191</v>
      </c>
      <c r="T36" s="18" t="n">
        <f aca="false">AUX_MATRIZES!T109</f>
        <v>6831.56190476191</v>
      </c>
      <c r="U36" s="18" t="n">
        <f aca="false">AUX_MATRIZES!U109</f>
        <v>6831.56190476191</v>
      </c>
      <c r="V36" s="18" t="n">
        <f aca="false">AUX_MATRIZES!V109</f>
        <v>6831.56190476191</v>
      </c>
      <c r="W36" s="18" t="n">
        <f aca="false">AUX_MATRIZES!W109</f>
        <v>6831.56190476191</v>
      </c>
      <c r="X36" s="18" t="n">
        <f aca="false">AUX_MATRIZES!X109</f>
        <v>6831.56190476191</v>
      </c>
      <c r="Y36" s="18" t="n">
        <f aca="false">AUX_MATRIZES!Y109</f>
        <v>6831.56190476191</v>
      </c>
      <c r="Z36" s="18" t="n">
        <f aca="false">AUX_MATRIZES!Z109</f>
        <v>6831.56190476191</v>
      </c>
      <c r="AA36" s="18" t="n">
        <f aca="false">AUX_MATRIZES!AA109</f>
        <v>6831.56190476191</v>
      </c>
      <c r="AB36" s="18" t="n">
        <f aca="false">AUX_MATRIZES!AB109</f>
        <v>6831.56190476191</v>
      </c>
      <c r="AC36" s="18" t="n">
        <f aca="false">AUX_MATRIZES!AC109</f>
        <v>6831.56190476191</v>
      </c>
      <c r="AD36" s="18" t="n">
        <f aca="false">AUX_MATRIZES!AD109</f>
        <v>6831.56190476191</v>
      </c>
      <c r="AE36" s="18" t="n">
        <f aca="false">AUX_MATRIZES!AE109</f>
        <v>6831.56190476191</v>
      </c>
      <c r="AF36" s="18" t="n">
        <f aca="false">AUX_MATRIZES!AF109</f>
        <v>6831.56190476191</v>
      </c>
      <c r="AG36" s="18" t="n">
        <f aca="false">AUX_MATRIZES!AG109</f>
        <v>6831.56190476191</v>
      </c>
      <c r="AH36" s="18" t="n">
        <f aca="false">AUX_MATRIZES!AH109</f>
        <v>6831.56190476191</v>
      </c>
      <c r="AI36" s="18" t="n">
        <f aca="false">AUX_MATRIZES!AI109</f>
        <v>6831.56190476191</v>
      </c>
      <c r="AJ36" s="18" t="n">
        <f aca="false">AUX_MATRIZES!AJ109</f>
        <v>6831.56190476191</v>
      </c>
      <c r="AK36" s="18" t="n">
        <f aca="false">AUX_MATRIZES!AK109</f>
        <v>6831.56190476191</v>
      </c>
      <c r="AL36" s="18" t="n">
        <f aca="false">AUX_MATRIZES!AL109</f>
        <v>6831.56190476191</v>
      </c>
      <c r="AM36" s="18" t="n">
        <f aca="false">AUX_MATRIZES!AM109</f>
        <v>6831.56190476191</v>
      </c>
      <c r="AN36" s="18" t="n">
        <f aca="false">AUX_MATRIZES!AN109</f>
        <v>6831.56190476191</v>
      </c>
      <c r="AO36" s="18" t="n">
        <f aca="false">AUX_MATRIZES!AO109</f>
        <v>6831.56190476191</v>
      </c>
      <c r="AP36" s="18" t="n">
        <f aca="false">AUX_MATRIZES!AP109</f>
        <v>6831.56190476191</v>
      </c>
      <c r="AQ36" s="18" t="n">
        <f aca="false">AUX_MATRIZES!AQ109</f>
        <v>6831.56190476191</v>
      </c>
      <c r="AR36" s="18" t="n">
        <f aca="false">AUX_MATRIZES!AR109</f>
        <v>6831.56190476191</v>
      </c>
      <c r="AS36" s="18" t="n">
        <f aca="false">AUX_MATRIZES!AS109</f>
        <v>6831.56190476191</v>
      </c>
      <c r="AT36" s="18" t="n">
        <f aca="false">AUX_MATRIZES!AT109</f>
        <v>6831.56190476191</v>
      </c>
      <c r="AU36" s="18" t="n">
        <f aca="false">AUX_MATRIZES!AU109</f>
        <v>6831.56190476191</v>
      </c>
      <c r="AV36" s="18" t="n">
        <f aca="false">AUX_MATRIZES!AV109</f>
        <v>6831.56190476191</v>
      </c>
      <c r="AW36" s="18" t="n">
        <f aca="false">AUX_MATRIZES!AW109</f>
        <v>6831.56190476191</v>
      </c>
      <c r="AX36" s="18" t="n">
        <f aca="false">AUX_MATRIZES!AX109</f>
        <v>6831.56190476191</v>
      </c>
      <c r="AY36" s="18" t="n">
        <f aca="false">AUX_MATRIZES!AY109</f>
        <v>6831.56190476191</v>
      </c>
      <c r="AZ36" s="18" t="n">
        <f aca="false">AUX_MATRIZES!AZ109</f>
        <v>6831.56190476191</v>
      </c>
      <c r="BA36" s="18" t="n">
        <f aca="false">AUX_MATRIZES!BA109</f>
        <v>6831.56190476191</v>
      </c>
      <c r="BB36" s="18" t="n">
        <f aca="false">AUX_MATRIZES!BB109</f>
        <v>6831.56190476191</v>
      </c>
      <c r="BC36" s="18" t="n">
        <f aca="false">AUX_MATRIZES!BC109</f>
        <v>6831.56190476191</v>
      </c>
      <c r="BD36" s="18" t="n">
        <f aca="false">AUX_MATRIZES!BD109</f>
        <v>6831.56190476191</v>
      </c>
      <c r="BE36" s="18" t="n">
        <f aca="false">AUX_MATRIZES!BE109</f>
        <v>6831.56190476191</v>
      </c>
      <c r="BF36" s="18" t="n">
        <f aca="false">AUX_MATRIZES!BF109</f>
        <v>6831.56190476191</v>
      </c>
      <c r="BG36" s="18" t="n">
        <f aca="false">AUX_MATRIZES!BG109</f>
        <v>6831.56190476191</v>
      </c>
      <c r="BH36" s="18" t="n">
        <f aca="false">AUX_MATRIZES!BH109</f>
        <v>6831.56190476191</v>
      </c>
      <c r="BI36" s="18" t="n">
        <f aca="false">AUX_MATRIZES!BI109</f>
        <v>6831.56190476191</v>
      </c>
      <c r="BJ36" s="18" t="n">
        <f aca="false">AUX_MATRIZES!BJ109</f>
        <v>6831.56190476191</v>
      </c>
      <c r="BK36" s="18" t="n">
        <f aca="false">AUX_MATRIZES!BK109</f>
        <v>6831.56190476191</v>
      </c>
      <c r="BL36" s="18" t="n">
        <f aca="false">AUX_MATRIZES!BL109</f>
        <v>6831.56190476191</v>
      </c>
      <c r="BM36" s="18" t="n">
        <f aca="false">AUX_MATRIZES!BM109</f>
        <v>6831.56190476191</v>
      </c>
      <c r="BN36" s="18" t="n">
        <f aca="false">AUX_MATRIZES!BN109</f>
        <v>6831.56190476191</v>
      </c>
      <c r="BO36" s="18" t="n">
        <f aca="false">AUX_MATRIZES!BO109</f>
        <v>6831.56190476191</v>
      </c>
      <c r="BP36" s="18" t="n">
        <f aca="false">AUX_MATRIZES!BP109</f>
        <v>6831.56190476191</v>
      </c>
    </row>
    <row r="37" customFormat="false" ht="15" hidden="false" customHeight="false" outlineLevel="0" collapsed="false">
      <c r="B37" s="15" t="s">
        <v>177</v>
      </c>
      <c r="C37" s="18" t="n">
        <f aca="false">AUX_MATRIZES!C110</f>
        <v>8298.70952380952</v>
      </c>
      <c r="D37" s="18" t="n">
        <f aca="false">AUX_MATRIZES!D110</f>
        <v>8298.70952380952</v>
      </c>
      <c r="E37" s="18" t="n">
        <f aca="false">AUX_MATRIZES!E110</f>
        <v>8298.70952380952</v>
      </c>
      <c r="F37" s="18" t="n">
        <f aca="false">AUX_MATRIZES!F110</f>
        <v>8298.70952380952</v>
      </c>
      <c r="G37" s="18" t="n">
        <f aca="false">AUX_MATRIZES!G110</f>
        <v>8298.70952380952</v>
      </c>
      <c r="H37" s="18" t="n">
        <f aca="false">AUX_MATRIZES!H110</f>
        <v>8298.70952380952</v>
      </c>
      <c r="I37" s="18" t="n">
        <f aca="false">AUX_MATRIZES!I110</f>
        <v>8298.70952380952</v>
      </c>
      <c r="J37" s="18" t="n">
        <f aca="false">AUX_MATRIZES!J110</f>
        <v>8298.70952380952</v>
      </c>
      <c r="K37" s="18" t="n">
        <f aca="false">AUX_MATRIZES!K110</f>
        <v>8298.70952380952</v>
      </c>
      <c r="L37" s="18" t="n">
        <f aca="false">AUX_MATRIZES!L110</f>
        <v>8298.70952380952</v>
      </c>
      <c r="M37" s="18" t="n">
        <f aca="false">AUX_MATRIZES!M110</f>
        <v>8298.70952380952</v>
      </c>
      <c r="N37" s="18" t="n">
        <f aca="false">AUX_MATRIZES!N110</f>
        <v>8298.70952380952</v>
      </c>
      <c r="O37" s="18" t="n">
        <f aca="false">AUX_MATRIZES!O110</f>
        <v>8298.70952380952</v>
      </c>
      <c r="P37" s="18" t="n">
        <f aca="false">AUX_MATRIZES!P110</f>
        <v>8298.70952380952</v>
      </c>
      <c r="Q37" s="18" t="n">
        <f aca="false">AUX_MATRIZES!Q110</f>
        <v>8298.70952380952</v>
      </c>
      <c r="R37" s="18" t="n">
        <f aca="false">AUX_MATRIZES!R110</f>
        <v>8298.70952380952</v>
      </c>
      <c r="S37" s="18" t="n">
        <f aca="false">AUX_MATRIZES!S110</f>
        <v>8298.70952380952</v>
      </c>
      <c r="T37" s="18" t="n">
        <f aca="false">AUX_MATRIZES!T110</f>
        <v>8298.70952380952</v>
      </c>
      <c r="U37" s="18" t="n">
        <f aca="false">AUX_MATRIZES!U110</f>
        <v>8298.70952380952</v>
      </c>
      <c r="V37" s="18" t="n">
        <f aca="false">AUX_MATRIZES!V110</f>
        <v>8298.70952380952</v>
      </c>
      <c r="W37" s="18" t="n">
        <f aca="false">AUX_MATRIZES!W110</f>
        <v>8298.70952380952</v>
      </c>
      <c r="X37" s="18" t="n">
        <f aca="false">AUX_MATRIZES!X110</f>
        <v>8298.70952380952</v>
      </c>
      <c r="Y37" s="18" t="n">
        <f aca="false">AUX_MATRIZES!Y110</f>
        <v>8298.70952380952</v>
      </c>
      <c r="Z37" s="18" t="n">
        <f aca="false">AUX_MATRIZES!Z110</f>
        <v>8298.70952380952</v>
      </c>
      <c r="AA37" s="18" t="n">
        <f aca="false">AUX_MATRIZES!AA110</f>
        <v>8298.70952380952</v>
      </c>
      <c r="AB37" s="18" t="n">
        <f aca="false">AUX_MATRIZES!AB110</f>
        <v>8298.70952380952</v>
      </c>
      <c r="AC37" s="18" t="n">
        <f aca="false">AUX_MATRIZES!AC110</f>
        <v>8298.70952380952</v>
      </c>
      <c r="AD37" s="18" t="n">
        <f aca="false">AUX_MATRIZES!AD110</f>
        <v>8298.70952380952</v>
      </c>
      <c r="AE37" s="18" t="n">
        <f aca="false">AUX_MATRIZES!AE110</f>
        <v>8298.70952380952</v>
      </c>
      <c r="AF37" s="18" t="n">
        <f aca="false">AUX_MATRIZES!AF110</f>
        <v>8298.70952380952</v>
      </c>
      <c r="AG37" s="18" t="n">
        <f aca="false">AUX_MATRIZES!AG110</f>
        <v>8298.70952380952</v>
      </c>
      <c r="AH37" s="18" t="n">
        <f aca="false">AUX_MATRIZES!AH110</f>
        <v>8298.70952380952</v>
      </c>
      <c r="AI37" s="18" t="n">
        <f aca="false">AUX_MATRIZES!AI110</f>
        <v>8298.70952380952</v>
      </c>
      <c r="AJ37" s="18" t="n">
        <f aca="false">AUX_MATRIZES!AJ110</f>
        <v>8298.70952380952</v>
      </c>
      <c r="AK37" s="18" t="n">
        <f aca="false">AUX_MATRIZES!AK110</f>
        <v>8298.70952380952</v>
      </c>
      <c r="AL37" s="18" t="n">
        <f aca="false">AUX_MATRIZES!AL110</f>
        <v>8298.70952380952</v>
      </c>
      <c r="AM37" s="18" t="n">
        <f aca="false">AUX_MATRIZES!AM110</f>
        <v>8298.70952380952</v>
      </c>
      <c r="AN37" s="18" t="n">
        <f aca="false">AUX_MATRIZES!AN110</f>
        <v>8298.70952380952</v>
      </c>
      <c r="AO37" s="18" t="n">
        <f aca="false">AUX_MATRIZES!AO110</f>
        <v>8298.70952380952</v>
      </c>
      <c r="AP37" s="18" t="n">
        <f aca="false">AUX_MATRIZES!AP110</f>
        <v>8298.70952380952</v>
      </c>
      <c r="AQ37" s="18" t="n">
        <f aca="false">AUX_MATRIZES!AQ110</f>
        <v>8298.70952380952</v>
      </c>
      <c r="AR37" s="18" t="n">
        <f aca="false">AUX_MATRIZES!AR110</f>
        <v>8298.70952380952</v>
      </c>
      <c r="AS37" s="18" t="n">
        <f aca="false">AUX_MATRIZES!AS110</f>
        <v>8298.70952380952</v>
      </c>
      <c r="AT37" s="18" t="n">
        <f aca="false">AUX_MATRIZES!AT110</f>
        <v>8298.70952380952</v>
      </c>
      <c r="AU37" s="18" t="n">
        <f aca="false">AUX_MATRIZES!AU110</f>
        <v>8298.70952380952</v>
      </c>
      <c r="AV37" s="18" t="n">
        <f aca="false">AUX_MATRIZES!AV110</f>
        <v>8298.70952380952</v>
      </c>
      <c r="AW37" s="18" t="n">
        <f aca="false">AUX_MATRIZES!AW110</f>
        <v>8298.70952380952</v>
      </c>
      <c r="AX37" s="18" t="n">
        <f aca="false">AUX_MATRIZES!AX110</f>
        <v>8298.70952380952</v>
      </c>
      <c r="AY37" s="18" t="n">
        <f aca="false">AUX_MATRIZES!AY110</f>
        <v>8298.70952380952</v>
      </c>
      <c r="AZ37" s="18" t="n">
        <f aca="false">AUX_MATRIZES!AZ110</f>
        <v>8298.70952380952</v>
      </c>
      <c r="BA37" s="18" t="n">
        <f aca="false">AUX_MATRIZES!BA110</f>
        <v>8298.70952380952</v>
      </c>
      <c r="BB37" s="18" t="n">
        <f aca="false">AUX_MATRIZES!BB110</f>
        <v>8298.70952380952</v>
      </c>
      <c r="BC37" s="18" t="n">
        <f aca="false">AUX_MATRIZES!BC110</f>
        <v>8298.70952380952</v>
      </c>
      <c r="BD37" s="18" t="n">
        <f aca="false">AUX_MATRIZES!BD110</f>
        <v>8298.70952380952</v>
      </c>
      <c r="BE37" s="18" t="n">
        <f aca="false">AUX_MATRIZES!BE110</f>
        <v>8298.70952380952</v>
      </c>
      <c r="BF37" s="18" t="n">
        <f aca="false">AUX_MATRIZES!BF110</f>
        <v>8298.70952380952</v>
      </c>
      <c r="BG37" s="18" t="n">
        <f aca="false">AUX_MATRIZES!BG110</f>
        <v>8298.70952380952</v>
      </c>
      <c r="BH37" s="18" t="n">
        <f aca="false">AUX_MATRIZES!BH110</f>
        <v>8298.70952380952</v>
      </c>
      <c r="BI37" s="18" t="n">
        <f aca="false">AUX_MATRIZES!BI110</f>
        <v>8298.70952380952</v>
      </c>
      <c r="BJ37" s="18" t="n">
        <f aca="false">AUX_MATRIZES!BJ110</f>
        <v>8298.70952380952</v>
      </c>
      <c r="BK37" s="18" t="n">
        <f aca="false">AUX_MATRIZES!BK110</f>
        <v>8298.70952380952</v>
      </c>
      <c r="BL37" s="18" t="n">
        <f aca="false">AUX_MATRIZES!BL110</f>
        <v>8298.70952380952</v>
      </c>
      <c r="BM37" s="18" t="n">
        <f aca="false">AUX_MATRIZES!BM110</f>
        <v>8298.70952380952</v>
      </c>
      <c r="BN37" s="18" t="n">
        <f aca="false">AUX_MATRIZES!BN110</f>
        <v>8298.70952380952</v>
      </c>
      <c r="BO37" s="18" t="n">
        <f aca="false">AUX_MATRIZES!BO110</f>
        <v>8298.70952380952</v>
      </c>
      <c r="BP37" s="18" t="n">
        <f aca="false">AUX_MATRIZES!BP110</f>
        <v>8298.70952380952</v>
      </c>
    </row>
    <row r="38" customFormat="false" ht="15" hidden="false" customHeight="false" outlineLevel="0" collapsed="false">
      <c r="B38" s="15" t="s">
        <v>178</v>
      </c>
      <c r="C38" s="18" t="n">
        <f aca="false">AUX_MATRIZES!C111</f>
        <v>2669.52380952381</v>
      </c>
      <c r="D38" s="18" t="n">
        <f aca="false">AUX_MATRIZES!D111</f>
        <v>2669.52380952381</v>
      </c>
      <c r="E38" s="18" t="n">
        <f aca="false">AUX_MATRIZES!E111</f>
        <v>2669.52380952381</v>
      </c>
      <c r="F38" s="18" t="n">
        <f aca="false">AUX_MATRIZES!F111</f>
        <v>2669.52380952381</v>
      </c>
      <c r="G38" s="18" t="n">
        <f aca="false">AUX_MATRIZES!G111</f>
        <v>2669.52380952381</v>
      </c>
      <c r="H38" s="18" t="n">
        <f aca="false">AUX_MATRIZES!H111</f>
        <v>2669.52380952381</v>
      </c>
      <c r="I38" s="18" t="n">
        <f aca="false">AUX_MATRIZES!I111</f>
        <v>2669.52380952381</v>
      </c>
      <c r="J38" s="18" t="n">
        <f aca="false">AUX_MATRIZES!J111</f>
        <v>2669.52380952381</v>
      </c>
      <c r="K38" s="18" t="n">
        <f aca="false">AUX_MATRIZES!K111</f>
        <v>2669.52380952381</v>
      </c>
      <c r="L38" s="18" t="n">
        <f aca="false">AUX_MATRIZES!L111</f>
        <v>2669.52380952381</v>
      </c>
      <c r="M38" s="18" t="n">
        <f aca="false">AUX_MATRIZES!M111</f>
        <v>2669.52380952381</v>
      </c>
      <c r="N38" s="18" t="n">
        <f aca="false">AUX_MATRIZES!N111</f>
        <v>2669.52380952381</v>
      </c>
      <c r="O38" s="18" t="n">
        <f aca="false">AUX_MATRIZES!O111</f>
        <v>2669.52380952381</v>
      </c>
      <c r="P38" s="18" t="n">
        <f aca="false">AUX_MATRIZES!P111</f>
        <v>2669.52380952381</v>
      </c>
      <c r="Q38" s="18" t="n">
        <f aca="false">AUX_MATRIZES!Q111</f>
        <v>2669.52380952381</v>
      </c>
      <c r="R38" s="18" t="n">
        <f aca="false">AUX_MATRIZES!R111</f>
        <v>2669.52380952381</v>
      </c>
      <c r="S38" s="18" t="n">
        <f aca="false">AUX_MATRIZES!S111</f>
        <v>2669.52380952381</v>
      </c>
      <c r="T38" s="18" t="n">
        <f aca="false">AUX_MATRIZES!T111</f>
        <v>2669.52380952381</v>
      </c>
      <c r="U38" s="18" t="n">
        <f aca="false">AUX_MATRIZES!U111</f>
        <v>2669.52380952381</v>
      </c>
      <c r="V38" s="18" t="n">
        <f aca="false">AUX_MATRIZES!V111</f>
        <v>2669.52380952381</v>
      </c>
      <c r="W38" s="18" t="n">
        <f aca="false">AUX_MATRIZES!W111</f>
        <v>2669.52380952381</v>
      </c>
      <c r="X38" s="18" t="n">
        <f aca="false">AUX_MATRIZES!X111</f>
        <v>2669.52380952381</v>
      </c>
      <c r="Y38" s="18" t="n">
        <f aca="false">AUX_MATRIZES!Y111</f>
        <v>2669.52380952381</v>
      </c>
      <c r="Z38" s="18" t="n">
        <f aca="false">AUX_MATRIZES!Z111</f>
        <v>2669.52380952381</v>
      </c>
      <c r="AA38" s="18" t="n">
        <f aca="false">AUX_MATRIZES!AA111</f>
        <v>2669.52380952381</v>
      </c>
      <c r="AB38" s="18" t="n">
        <f aca="false">AUX_MATRIZES!AB111</f>
        <v>2669.52380952381</v>
      </c>
      <c r="AC38" s="18" t="n">
        <f aca="false">AUX_MATRIZES!AC111</f>
        <v>2669.52380952381</v>
      </c>
      <c r="AD38" s="18" t="n">
        <f aca="false">AUX_MATRIZES!AD111</f>
        <v>2669.52380952381</v>
      </c>
      <c r="AE38" s="18" t="n">
        <f aca="false">AUX_MATRIZES!AE111</f>
        <v>2669.52380952381</v>
      </c>
      <c r="AF38" s="18" t="n">
        <f aca="false">AUX_MATRIZES!AF111</f>
        <v>2669.52380952381</v>
      </c>
      <c r="AG38" s="18" t="n">
        <f aca="false">AUX_MATRIZES!AG111</f>
        <v>2669.52380952381</v>
      </c>
      <c r="AH38" s="18" t="n">
        <f aca="false">AUX_MATRIZES!AH111</f>
        <v>2669.52380952381</v>
      </c>
      <c r="AI38" s="18" t="n">
        <f aca="false">AUX_MATRIZES!AI111</f>
        <v>2669.52380952381</v>
      </c>
      <c r="AJ38" s="18" t="n">
        <f aca="false">AUX_MATRIZES!AJ111</f>
        <v>2669.52380952381</v>
      </c>
      <c r="AK38" s="18" t="n">
        <f aca="false">AUX_MATRIZES!AK111</f>
        <v>2669.52380952381</v>
      </c>
      <c r="AL38" s="18" t="n">
        <f aca="false">AUX_MATRIZES!AL111</f>
        <v>2669.52380952381</v>
      </c>
      <c r="AM38" s="18" t="n">
        <f aca="false">AUX_MATRIZES!AM111</f>
        <v>2669.52380952381</v>
      </c>
      <c r="AN38" s="18" t="n">
        <f aca="false">AUX_MATRIZES!AN111</f>
        <v>2669.52380952381</v>
      </c>
      <c r="AO38" s="18" t="n">
        <f aca="false">AUX_MATRIZES!AO111</f>
        <v>2669.52380952381</v>
      </c>
      <c r="AP38" s="18" t="n">
        <f aca="false">AUX_MATRIZES!AP111</f>
        <v>2669.52380952381</v>
      </c>
      <c r="AQ38" s="18" t="n">
        <f aca="false">AUX_MATRIZES!AQ111</f>
        <v>2669.52380952381</v>
      </c>
      <c r="AR38" s="18" t="n">
        <f aca="false">AUX_MATRIZES!AR111</f>
        <v>2669.52380952381</v>
      </c>
      <c r="AS38" s="18" t="n">
        <f aca="false">AUX_MATRIZES!AS111</f>
        <v>2669.52380952381</v>
      </c>
      <c r="AT38" s="18" t="n">
        <f aca="false">AUX_MATRIZES!AT111</f>
        <v>2669.52380952381</v>
      </c>
      <c r="AU38" s="18" t="n">
        <f aca="false">AUX_MATRIZES!AU111</f>
        <v>2669.52380952381</v>
      </c>
      <c r="AV38" s="18" t="n">
        <f aca="false">AUX_MATRIZES!AV111</f>
        <v>2669.52380952381</v>
      </c>
      <c r="AW38" s="18" t="n">
        <f aca="false">AUX_MATRIZES!AW111</f>
        <v>2669.52380952381</v>
      </c>
      <c r="AX38" s="18" t="n">
        <f aca="false">AUX_MATRIZES!AX111</f>
        <v>2669.52380952381</v>
      </c>
      <c r="AY38" s="18" t="n">
        <f aca="false">AUX_MATRIZES!AY111</f>
        <v>2669.52380952381</v>
      </c>
      <c r="AZ38" s="18" t="n">
        <f aca="false">AUX_MATRIZES!AZ111</f>
        <v>2669.52380952381</v>
      </c>
      <c r="BA38" s="18" t="n">
        <f aca="false">AUX_MATRIZES!BA111</f>
        <v>2669.52380952381</v>
      </c>
      <c r="BB38" s="18" t="n">
        <f aca="false">AUX_MATRIZES!BB111</f>
        <v>2669.52380952381</v>
      </c>
      <c r="BC38" s="18" t="n">
        <f aca="false">AUX_MATRIZES!BC111</f>
        <v>2669.52380952381</v>
      </c>
      <c r="BD38" s="18" t="n">
        <f aca="false">AUX_MATRIZES!BD111</f>
        <v>2669.52380952381</v>
      </c>
      <c r="BE38" s="18" t="n">
        <f aca="false">AUX_MATRIZES!BE111</f>
        <v>2669.52380952381</v>
      </c>
      <c r="BF38" s="18" t="n">
        <f aca="false">AUX_MATRIZES!BF111</f>
        <v>2669.52380952381</v>
      </c>
      <c r="BG38" s="18" t="n">
        <f aca="false">AUX_MATRIZES!BG111</f>
        <v>2669.52380952381</v>
      </c>
      <c r="BH38" s="18" t="n">
        <f aca="false">AUX_MATRIZES!BH111</f>
        <v>2669.52380952381</v>
      </c>
      <c r="BI38" s="18" t="n">
        <f aca="false">AUX_MATRIZES!BI111</f>
        <v>2669.52380952381</v>
      </c>
      <c r="BJ38" s="18" t="n">
        <f aca="false">AUX_MATRIZES!BJ111</f>
        <v>2669.52380952381</v>
      </c>
      <c r="BK38" s="18" t="n">
        <f aca="false">AUX_MATRIZES!BK111</f>
        <v>2669.52380952381</v>
      </c>
      <c r="BL38" s="18" t="n">
        <f aca="false">AUX_MATRIZES!BL111</f>
        <v>2669.52380952381</v>
      </c>
      <c r="BM38" s="18" t="n">
        <f aca="false">AUX_MATRIZES!BM111</f>
        <v>2669.52380952381</v>
      </c>
      <c r="BN38" s="18" t="n">
        <f aca="false">AUX_MATRIZES!BN111</f>
        <v>2669.52380952381</v>
      </c>
      <c r="BO38" s="18" t="n">
        <f aca="false">AUX_MATRIZES!BO111</f>
        <v>2669.52380952381</v>
      </c>
      <c r="BP38" s="18" t="n">
        <f aca="false">AUX_MATRIZES!BP111</f>
        <v>2669.52380952381</v>
      </c>
    </row>
    <row r="41" customFormat="false" ht="15" hidden="false" customHeight="false" outlineLevel="0" collapsed="false">
      <c r="B41" s="3" t="s">
        <v>181</v>
      </c>
    </row>
    <row r="42" customFormat="false" ht="15" hidden="false" customHeight="false" outlineLevel="0" collapsed="false">
      <c r="B42" s="14" t="s">
        <v>170</v>
      </c>
      <c r="C42" s="22" t="n">
        <f aca="false">SEMANAS!$B$6</f>
        <v>1</v>
      </c>
      <c r="D42" s="22" t="n">
        <f aca="false">SEMANAS!$B$7</f>
        <v>2</v>
      </c>
      <c r="E42" s="22" t="n">
        <f aca="false">SEMANAS!$B$8</f>
        <v>3</v>
      </c>
      <c r="F42" s="22" t="n">
        <f aca="false">SEMANAS!$B$9</f>
        <v>4</v>
      </c>
      <c r="G42" s="22" t="n">
        <f aca="false">SEMANAS!$B$10</f>
        <v>5</v>
      </c>
      <c r="H42" s="22" t="n">
        <f aca="false">SEMANAS!$B$11</f>
        <v>6</v>
      </c>
      <c r="I42" s="22" t="n">
        <f aca="false">SEMANAS!$B$12</f>
        <v>7</v>
      </c>
      <c r="J42" s="22" t="n">
        <f aca="false">SEMANAS!$B$13</f>
        <v>8</v>
      </c>
      <c r="K42" s="22" t="n">
        <f aca="false">SEMANAS!$B$14</f>
        <v>9</v>
      </c>
      <c r="L42" s="22" t="n">
        <f aca="false">SEMANAS!$B$15</f>
        <v>10</v>
      </c>
      <c r="M42" s="22" t="n">
        <f aca="false">SEMANAS!$B$16</f>
        <v>11</v>
      </c>
      <c r="N42" s="22" t="n">
        <f aca="false">SEMANAS!$B$17</f>
        <v>12</v>
      </c>
      <c r="O42" s="22" t="n">
        <f aca="false">SEMANAS!$B$18</f>
        <v>13</v>
      </c>
      <c r="P42" s="22" t="n">
        <f aca="false">SEMANAS!$B$19</f>
        <v>14</v>
      </c>
      <c r="Q42" s="22" t="n">
        <f aca="false">SEMANAS!$B$20</f>
        <v>15</v>
      </c>
      <c r="R42" s="22" t="n">
        <f aca="false">SEMANAS!$B$21</f>
        <v>16</v>
      </c>
      <c r="S42" s="22" t="n">
        <f aca="false">SEMANAS!$B$22</f>
        <v>17</v>
      </c>
      <c r="T42" s="22" t="n">
        <f aca="false">SEMANAS!$B$23</f>
        <v>18</v>
      </c>
      <c r="U42" s="22" t="n">
        <f aca="false">SEMANAS!$B$24</f>
        <v>19</v>
      </c>
      <c r="V42" s="22" t="n">
        <f aca="false">SEMANAS!$B$25</f>
        <v>20</v>
      </c>
      <c r="W42" s="22" t="n">
        <f aca="false">SEMANAS!$B$26</f>
        <v>21</v>
      </c>
      <c r="X42" s="22" t="n">
        <f aca="false">SEMANAS!$B$27</f>
        <v>22</v>
      </c>
      <c r="Y42" s="22" t="n">
        <f aca="false">SEMANAS!$B$28</f>
        <v>23</v>
      </c>
      <c r="Z42" s="22" t="n">
        <f aca="false">SEMANAS!$B$29</f>
        <v>24</v>
      </c>
      <c r="AA42" s="22" t="n">
        <f aca="false">SEMANAS!$B$30</f>
        <v>25</v>
      </c>
      <c r="AB42" s="22" t="n">
        <f aca="false">SEMANAS!$B$31</f>
        <v>26</v>
      </c>
      <c r="AC42" s="22" t="n">
        <f aca="false">SEMANAS!$B$32</f>
        <v>27</v>
      </c>
      <c r="AD42" s="22" t="n">
        <f aca="false">SEMANAS!$B$33</f>
        <v>28</v>
      </c>
      <c r="AE42" s="22" t="n">
        <f aca="false">SEMANAS!$B$34</f>
        <v>29</v>
      </c>
      <c r="AF42" s="22" t="n">
        <f aca="false">SEMANAS!$B$35</f>
        <v>30</v>
      </c>
      <c r="AG42" s="22" t="n">
        <f aca="false">SEMANAS!$B$36</f>
        <v>31</v>
      </c>
      <c r="AH42" s="22" t="n">
        <f aca="false">SEMANAS!$B$37</f>
        <v>32</v>
      </c>
      <c r="AI42" s="22" t="n">
        <f aca="false">SEMANAS!$B$38</f>
        <v>33</v>
      </c>
      <c r="AJ42" s="22" t="n">
        <f aca="false">SEMANAS!$B$39</f>
        <v>34</v>
      </c>
      <c r="AK42" s="22" t="n">
        <f aca="false">SEMANAS!$B$40</f>
        <v>35</v>
      </c>
      <c r="AL42" s="22" t="n">
        <f aca="false">SEMANAS!$B$41</f>
        <v>36</v>
      </c>
      <c r="AM42" s="22" t="n">
        <f aca="false">SEMANAS!$B$42</f>
        <v>37</v>
      </c>
      <c r="AN42" s="22" t="n">
        <f aca="false">SEMANAS!$B$43</f>
        <v>38</v>
      </c>
      <c r="AO42" s="22" t="n">
        <f aca="false">SEMANAS!$B$44</f>
        <v>39</v>
      </c>
      <c r="AP42" s="22" t="n">
        <f aca="false">SEMANAS!$B$45</f>
        <v>40</v>
      </c>
      <c r="AQ42" s="22" t="n">
        <f aca="false">SEMANAS!$B$46</f>
        <v>41</v>
      </c>
      <c r="AR42" s="22" t="n">
        <f aca="false">SEMANAS!$B$47</f>
        <v>42</v>
      </c>
      <c r="AS42" s="22" t="n">
        <f aca="false">SEMANAS!$B$48</f>
        <v>43</v>
      </c>
      <c r="AT42" s="22" t="n">
        <f aca="false">SEMANAS!$B$49</f>
        <v>44</v>
      </c>
      <c r="AU42" s="22" t="n">
        <f aca="false">SEMANAS!$B$50</f>
        <v>45</v>
      </c>
      <c r="AV42" s="22" t="n">
        <f aca="false">SEMANAS!$B$51</f>
        <v>46</v>
      </c>
      <c r="AW42" s="22" t="n">
        <f aca="false">SEMANAS!$B$52</f>
        <v>47</v>
      </c>
      <c r="AX42" s="22" t="n">
        <f aca="false">SEMANAS!$B$53</f>
        <v>48</v>
      </c>
      <c r="AY42" s="22" t="n">
        <f aca="false">SEMANAS!$B$54</f>
        <v>49</v>
      </c>
      <c r="AZ42" s="22" t="n">
        <f aca="false">SEMANAS!$B$55</f>
        <v>50</v>
      </c>
      <c r="BA42" s="22" t="n">
        <f aca="false">SEMANAS!$B$56</f>
        <v>51</v>
      </c>
      <c r="BB42" s="22" t="n">
        <f aca="false">SEMANAS!$B$57</f>
        <v>52</v>
      </c>
      <c r="BC42" s="22" t="n">
        <f aca="false">SEMANAS!$B$58</f>
        <v>53</v>
      </c>
      <c r="BD42" s="22" t="n">
        <f aca="false">SEMANAS!$B$59</f>
        <v>54</v>
      </c>
      <c r="BE42" s="22" t="n">
        <f aca="false">SEMANAS!$B$60</f>
        <v>55</v>
      </c>
      <c r="BF42" s="22" t="n">
        <f aca="false">SEMANAS!$B$61</f>
        <v>56</v>
      </c>
      <c r="BG42" s="22" t="n">
        <f aca="false">SEMANAS!$B$62</f>
        <v>57</v>
      </c>
      <c r="BH42" s="22" t="n">
        <f aca="false">SEMANAS!$B$63</f>
        <v>58</v>
      </c>
      <c r="BI42" s="22" t="n">
        <f aca="false">SEMANAS!$B$64</f>
        <v>59</v>
      </c>
      <c r="BJ42" s="22" t="n">
        <f aca="false">SEMANAS!$B$65</f>
        <v>60</v>
      </c>
      <c r="BK42" s="22" t="n">
        <f aca="false">SEMANAS!$B$66</f>
        <v>61</v>
      </c>
      <c r="BL42" s="22" t="n">
        <f aca="false">SEMANAS!$B$67</f>
        <v>62</v>
      </c>
      <c r="BM42" s="22" t="n">
        <f aca="false">SEMANAS!$B$68</f>
        <v>63</v>
      </c>
      <c r="BN42" s="22" t="n">
        <f aca="false">SEMANAS!$B$69</f>
        <v>64</v>
      </c>
      <c r="BO42" s="22" t="n">
        <f aca="false">SEMANAS!$B$70</f>
        <v>65</v>
      </c>
      <c r="BP42" s="22" t="n">
        <f aca="false">SEMANAS!$B$71</f>
        <v>66</v>
      </c>
    </row>
    <row r="43" customFormat="false" ht="15" hidden="false" customHeight="false" outlineLevel="0" collapsed="false">
      <c r="B43" s="15" t="s">
        <v>171</v>
      </c>
      <c r="C43" s="19" t="n">
        <f aca="false">AUX_MATRIZES!C116</f>
        <v>0</v>
      </c>
      <c r="D43" s="19" t="n">
        <f aca="false">AUX_MATRIZES!D116</f>
        <v>0</v>
      </c>
      <c r="E43" s="19" t="n">
        <f aca="false">AUX_MATRIZES!E116</f>
        <v>0</v>
      </c>
      <c r="F43" s="19" t="n">
        <f aca="false">AUX_MATRIZES!F116</f>
        <v>0</v>
      </c>
      <c r="G43" s="19" t="n">
        <f aca="false">AUX_MATRIZES!G116</f>
        <v>0.0127282913165266</v>
      </c>
      <c r="H43" s="19" t="n">
        <f aca="false">AUX_MATRIZES!H116</f>
        <v>0</v>
      </c>
      <c r="I43" s="19" t="n">
        <f aca="false">AUX_MATRIZES!I116</f>
        <v>0</v>
      </c>
      <c r="J43" s="19" t="n">
        <f aca="false">AUX_MATRIZES!J116</f>
        <v>0.0289411764705882</v>
      </c>
      <c r="K43" s="19" t="n">
        <f aca="false">AUX_MATRIZES!K116</f>
        <v>0.0863631082062455</v>
      </c>
      <c r="L43" s="19" t="n">
        <f aca="false">AUX_MATRIZES!L116</f>
        <v>0</v>
      </c>
      <c r="M43" s="19" t="n">
        <f aca="false">AUX_MATRIZES!M116</f>
        <v>0.0234509803921568</v>
      </c>
      <c r="N43" s="19" t="n">
        <f aca="false">AUX_MATRIZES!N116</f>
        <v>0.0234509803921568</v>
      </c>
      <c r="O43" s="19" t="n">
        <f aca="false">AUX_MATRIZES!O116</f>
        <v>0.0234509803921568</v>
      </c>
      <c r="P43" s="19" t="n">
        <f aca="false">AUX_MATRIZES!P116</f>
        <v>0</v>
      </c>
      <c r="Q43" s="19" t="n">
        <f aca="false">AUX_MATRIZES!Q116</f>
        <v>0</v>
      </c>
      <c r="R43" s="19" t="n">
        <f aca="false">AUX_MATRIZES!R116</f>
        <v>0</v>
      </c>
      <c r="S43" s="19" t="n">
        <f aca="false">AUX_MATRIZES!S116</f>
        <v>0</v>
      </c>
      <c r="T43" s="19" t="n">
        <f aca="false">AUX_MATRIZES!T116</f>
        <v>0</v>
      </c>
      <c r="U43" s="19" t="n">
        <f aca="false">AUX_MATRIZES!U116</f>
        <v>0</v>
      </c>
      <c r="V43" s="19" t="n">
        <f aca="false">AUX_MATRIZES!V116</f>
        <v>0</v>
      </c>
      <c r="W43" s="19" t="n">
        <f aca="false">AUX_MATRIZES!W116</f>
        <v>0</v>
      </c>
      <c r="X43" s="19" t="n">
        <f aca="false">AUX_MATRIZES!X116</f>
        <v>0</v>
      </c>
      <c r="Y43" s="19" t="n">
        <f aca="false">AUX_MATRIZES!Y116</f>
        <v>0</v>
      </c>
      <c r="Z43" s="19" t="n">
        <f aca="false">AUX_MATRIZES!Z116</f>
        <v>0</v>
      </c>
      <c r="AA43" s="19" t="n">
        <f aca="false">AUX_MATRIZES!AA116</f>
        <v>0</v>
      </c>
      <c r="AB43" s="19" t="n">
        <f aca="false">AUX_MATRIZES!AB116</f>
        <v>0</v>
      </c>
      <c r="AC43" s="19" t="n">
        <f aca="false">AUX_MATRIZES!AC116</f>
        <v>0</v>
      </c>
      <c r="AD43" s="19" t="n">
        <f aca="false">AUX_MATRIZES!AD116</f>
        <v>0</v>
      </c>
      <c r="AE43" s="19" t="n">
        <f aca="false">AUX_MATRIZES!AE116</f>
        <v>0</v>
      </c>
      <c r="AF43" s="19" t="n">
        <f aca="false">AUX_MATRIZES!AF116</f>
        <v>0</v>
      </c>
      <c r="AG43" s="19" t="n">
        <f aca="false">AUX_MATRIZES!AG116</f>
        <v>0.0484984336930038</v>
      </c>
      <c r="AH43" s="19" t="n">
        <f aca="false">AUX_MATRIZES!AH116</f>
        <v>0.165290172873883</v>
      </c>
      <c r="AI43" s="19" t="n">
        <f aca="false">AUX_MATRIZES!AI116</f>
        <v>0.204273813667479</v>
      </c>
      <c r="AJ43" s="19" t="n">
        <f aca="false">AUX_MATRIZES!AJ116</f>
        <v>0.243257454461074</v>
      </c>
      <c r="AK43" s="19" t="n">
        <f aca="false">AUX_MATRIZES!AK116</f>
        <v>0.285120448179272</v>
      </c>
      <c r="AL43" s="19" t="n">
        <f aca="false">AUX_MATRIZES!AL116</f>
        <v>0.348705882352941</v>
      </c>
      <c r="AM43" s="19" t="n">
        <f aca="false">AUX_MATRIZES!AM116</f>
        <v>0.348705882352941</v>
      </c>
      <c r="AN43" s="19" t="n">
        <f aca="false">AUX_MATRIZES!AN116</f>
        <v>0.348705882352941</v>
      </c>
      <c r="AO43" s="19" t="n">
        <f aca="false">AUX_MATRIZES!AO116</f>
        <v>0.348705882352941</v>
      </c>
      <c r="AP43" s="19" t="n">
        <f aca="false">AUX_MATRIZES!AP116</f>
        <v>0.349915966386555</v>
      </c>
      <c r="AQ43" s="19" t="n">
        <f aca="false">AUX_MATRIZES!AQ116</f>
        <v>0.350117647058824</v>
      </c>
      <c r="AR43" s="19" t="n">
        <f aca="false">AUX_MATRIZES!AR116</f>
        <v>0.350117647058824</v>
      </c>
      <c r="AS43" s="19" t="n">
        <f aca="false">AUX_MATRIZES!AS116</f>
        <v>0.350117647058824</v>
      </c>
      <c r="AT43" s="19" t="n">
        <f aca="false">AUX_MATRIZES!AT116</f>
        <v>0.346338166035645</v>
      </c>
      <c r="AU43" s="19" t="n">
        <f aca="false">AUX_MATRIZES!AU116</f>
        <v>0.335365941248294</v>
      </c>
      <c r="AV43" s="19" t="n">
        <f aca="false">AUX_MATRIZES!AV116</f>
        <v>0.311585146879265</v>
      </c>
      <c r="AW43" s="19" t="n">
        <f aca="false">AUX_MATRIZES!AW116</f>
        <v>0.287804352510235</v>
      </c>
      <c r="AX43" s="19" t="n">
        <f aca="false">AUX_MATRIZES!AX116</f>
        <v>0.271567745046737</v>
      </c>
      <c r="AY43" s="19" t="n">
        <f aca="false">AUX_MATRIZES!AY116</f>
        <v>0.288074696545285</v>
      </c>
      <c r="AZ43" s="19" t="n">
        <f aca="false">AUX_MATRIZES!AZ116</f>
        <v>0.259316526610644</v>
      </c>
      <c r="BA43" s="19" t="n">
        <f aca="false">AUX_MATRIZES!BA116</f>
        <v>0</v>
      </c>
      <c r="BB43" s="19" t="n">
        <f aca="false">AUX_MATRIZES!BB116</f>
        <v>0</v>
      </c>
      <c r="BC43" s="19" t="n">
        <f aca="false">AUX_MATRIZES!BC116</f>
        <v>0</v>
      </c>
      <c r="BD43" s="19" t="n">
        <f aca="false">AUX_MATRIZES!BD116</f>
        <v>0</v>
      </c>
      <c r="BE43" s="19" t="n">
        <f aca="false">AUX_MATRIZES!BE116</f>
        <v>0</v>
      </c>
      <c r="BF43" s="19" t="n">
        <f aca="false">AUX_MATRIZES!BF116</f>
        <v>0</v>
      </c>
      <c r="BG43" s="19" t="n">
        <f aca="false">AUX_MATRIZES!BG116</f>
        <v>0</v>
      </c>
      <c r="BH43" s="19" t="n">
        <f aca="false">AUX_MATRIZES!BH116</f>
        <v>0</v>
      </c>
      <c r="BI43" s="19" t="n">
        <f aca="false">AUX_MATRIZES!BI116</f>
        <v>0</v>
      </c>
      <c r="BJ43" s="19" t="n">
        <f aca="false">AUX_MATRIZES!BJ116</f>
        <v>0</v>
      </c>
      <c r="BK43" s="19" t="n">
        <f aca="false">AUX_MATRIZES!BK116</f>
        <v>0</v>
      </c>
      <c r="BL43" s="19" t="n">
        <f aca="false">AUX_MATRIZES!BL116</f>
        <v>0</v>
      </c>
      <c r="BM43" s="19" t="n">
        <f aca="false">AUX_MATRIZES!BM116</f>
        <v>0</v>
      </c>
      <c r="BN43" s="19" t="n">
        <f aca="false">AUX_MATRIZES!BN116</f>
        <v>0</v>
      </c>
      <c r="BO43" s="19" t="n">
        <f aca="false">AUX_MATRIZES!BO116</f>
        <v>0</v>
      </c>
      <c r="BP43" s="19" t="n">
        <f aca="false">AUX_MATRIZES!BP116</f>
        <v>0</v>
      </c>
    </row>
    <row r="44" customFormat="false" ht="15" hidden="false" customHeight="false" outlineLevel="0" collapsed="false">
      <c r="B44" s="15" t="s">
        <v>172</v>
      </c>
      <c r="C44" s="19" t="n">
        <f aca="false">AUX_MATRIZES!C117</f>
        <v>0.107128162882397</v>
      </c>
      <c r="D44" s="19" t="n">
        <f aca="false">AUX_MATRIZES!D117</f>
        <v>0</v>
      </c>
      <c r="E44" s="19" t="n">
        <f aca="false">AUX_MATRIZES!E117</f>
        <v>0</v>
      </c>
      <c r="F44" s="19" t="n">
        <f aca="false">AUX_MATRIZES!F117</f>
        <v>0</v>
      </c>
      <c r="G44" s="19" t="n">
        <f aca="false">AUX_MATRIZES!G117</f>
        <v>0.00638095601061256</v>
      </c>
      <c r="H44" s="19" t="n">
        <f aca="false">AUX_MATRIZES!H117</f>
        <v>0</v>
      </c>
      <c r="I44" s="19" t="n">
        <f aca="false">AUX_MATRIZES!I117</f>
        <v>0</v>
      </c>
      <c r="J44" s="19" t="n">
        <f aca="false">AUX_MATRIZES!J117</f>
        <v>0.0123940001943151</v>
      </c>
      <c r="K44" s="19" t="n">
        <f aca="false">AUX_MATRIZES!K117</f>
        <v>0.0399708392648489</v>
      </c>
      <c r="L44" s="19" t="n">
        <f aca="false">AUX_MATRIZES!L117</f>
        <v>0</v>
      </c>
      <c r="M44" s="19" t="n">
        <f aca="false">AUX_MATRIZES!M117</f>
        <v>0.0117564620864543</v>
      </c>
      <c r="N44" s="19" t="n">
        <f aca="false">AUX_MATRIZES!N117</f>
        <v>0.0117564620864543</v>
      </c>
      <c r="O44" s="19" t="n">
        <f aca="false">AUX_MATRIZES!O117</f>
        <v>0.0117564620864543</v>
      </c>
      <c r="P44" s="19" t="n">
        <f aca="false">AUX_MATRIZES!P117</f>
        <v>0</v>
      </c>
      <c r="Q44" s="19" t="n">
        <f aca="false">AUX_MATRIZES!Q117</f>
        <v>0</v>
      </c>
      <c r="R44" s="19" t="n">
        <f aca="false">AUX_MATRIZES!R117</f>
        <v>0</v>
      </c>
      <c r="S44" s="19" t="n">
        <f aca="false">AUX_MATRIZES!S117</f>
        <v>0</v>
      </c>
      <c r="T44" s="19" t="n">
        <f aca="false">AUX_MATRIZES!T117</f>
        <v>0</v>
      </c>
      <c r="U44" s="19" t="n">
        <f aca="false">AUX_MATRIZES!U117</f>
        <v>0</v>
      </c>
      <c r="V44" s="19" t="n">
        <f aca="false">AUX_MATRIZES!V117</f>
        <v>0</v>
      </c>
      <c r="W44" s="19" t="n">
        <f aca="false">AUX_MATRIZES!W117</f>
        <v>0</v>
      </c>
      <c r="X44" s="19" t="n">
        <f aca="false">AUX_MATRIZES!X117</f>
        <v>0</v>
      </c>
      <c r="Y44" s="19" t="n">
        <f aca="false">AUX_MATRIZES!Y117</f>
        <v>0</v>
      </c>
      <c r="Z44" s="19" t="n">
        <f aca="false">AUX_MATRIZES!Z117</f>
        <v>0.000975025343292693</v>
      </c>
      <c r="AA44" s="19" t="n">
        <f aca="false">AUX_MATRIZES!AA117</f>
        <v>0.0212793746078425</v>
      </c>
      <c r="AB44" s="19" t="n">
        <f aca="false">AUX_MATRIZES!AB117</f>
        <v>0.0327368288356957</v>
      </c>
      <c r="AC44" s="19" t="n">
        <f aca="false">AUX_MATRIZES!AC117</f>
        <v>0.0404419128029981</v>
      </c>
      <c r="AD44" s="19" t="n">
        <f aca="false">AUX_MATRIZES!AD117</f>
        <v>0.0404419128029981</v>
      </c>
      <c r="AE44" s="19" t="n">
        <f aca="false">AUX_MATRIZES!AE117</f>
        <v>0.0404419128029981</v>
      </c>
      <c r="AF44" s="19" t="n">
        <f aca="false">AUX_MATRIZES!AF117</f>
        <v>0.0404419128029981</v>
      </c>
      <c r="AG44" s="19" t="n">
        <f aca="false">AUX_MATRIZES!AG117</f>
        <v>0.111993754295841</v>
      </c>
      <c r="AH44" s="19" t="n">
        <f aca="false">AUX_MATRIZES!AH117</f>
        <v>0.209590610472392</v>
      </c>
      <c r="AI44" s="19" t="n">
        <f aca="false">AUX_MATRIZES!AI117</f>
        <v>0.229978380720176</v>
      </c>
      <c r="AJ44" s="19" t="n">
        <f aca="false">AUX_MATRIZES!AJ117</f>
        <v>0.25036615096796</v>
      </c>
      <c r="AK44" s="19" t="n">
        <f aca="false">AUX_MATRIZES!AK117</f>
        <v>0.275381105138101</v>
      </c>
      <c r="AL44" s="19" t="n">
        <f aca="false">AUX_MATRIZES!AL117</f>
        <v>0.327856123706551</v>
      </c>
      <c r="AM44" s="19" t="n">
        <f aca="false">AUX_MATRIZES!AM117</f>
        <v>0.316272924458557</v>
      </c>
      <c r="AN44" s="19" t="n">
        <f aca="false">AUX_MATRIZES!AN117</f>
        <v>0.304689725210562</v>
      </c>
      <c r="AO44" s="19" t="n">
        <f aca="false">AUX_MATRIZES!AO117</f>
        <v>0.293106525962567</v>
      </c>
      <c r="AP44" s="19" t="n">
        <f aca="false">AUX_MATRIZES!AP117</f>
        <v>0.285475555876283</v>
      </c>
      <c r="AQ44" s="19" t="n">
        <f aca="false">AUX_MATRIZES!AQ117</f>
        <v>0.275102642405145</v>
      </c>
      <c r="AR44" s="19" t="n">
        <f aca="false">AUX_MATRIZES!AR117</f>
        <v>0.264071024073721</v>
      </c>
      <c r="AS44" s="19" t="n">
        <f aca="false">AUX_MATRIZES!AS117</f>
        <v>0.167832124679758</v>
      </c>
      <c r="AT44" s="19" t="n">
        <f aca="false">AUX_MATRIZES!AT117</f>
        <v>0.162479710874299</v>
      </c>
      <c r="AU44" s="19" t="n">
        <f aca="false">AUX_MATRIZES!AU117</f>
        <v>0.154092223802055</v>
      </c>
      <c r="AV44" s="19" t="n">
        <f aca="false">AUX_MATRIZES!AV117</f>
        <v>0.139627100811252</v>
      </c>
      <c r="AW44" s="19" t="n">
        <f aca="false">AUX_MATRIZES!AW117</f>
        <v>0.12516197782045</v>
      </c>
      <c r="AX44" s="19" t="n">
        <f aca="false">AUX_MATRIZES!AX117</f>
        <v>0.113831162447536</v>
      </c>
      <c r="AY44" s="19" t="n">
        <f aca="false">AUX_MATRIZES!AY117</f>
        <v>0</v>
      </c>
      <c r="AZ44" s="19" t="n">
        <f aca="false">AUX_MATRIZES!AZ117</f>
        <v>0</v>
      </c>
      <c r="BA44" s="19" t="n">
        <f aca="false">AUX_MATRIZES!BA117</f>
        <v>0</v>
      </c>
      <c r="BB44" s="19" t="n">
        <f aca="false">AUX_MATRIZES!BB117</f>
        <v>0</v>
      </c>
      <c r="BC44" s="19" t="n">
        <f aca="false">AUX_MATRIZES!BC117</f>
        <v>0</v>
      </c>
      <c r="BD44" s="19" t="n">
        <f aca="false">AUX_MATRIZES!BD117</f>
        <v>0</v>
      </c>
      <c r="BE44" s="19" t="n">
        <f aca="false">AUX_MATRIZES!BE117</f>
        <v>0</v>
      </c>
      <c r="BF44" s="19" t="n">
        <f aca="false">AUX_MATRIZES!BF117</f>
        <v>0</v>
      </c>
      <c r="BG44" s="19" t="n">
        <f aca="false">AUX_MATRIZES!BG117</f>
        <v>0</v>
      </c>
      <c r="BH44" s="19" t="n">
        <f aca="false">AUX_MATRIZES!BH117</f>
        <v>0</v>
      </c>
      <c r="BI44" s="19" t="n">
        <f aca="false">AUX_MATRIZES!BI117</f>
        <v>0</v>
      </c>
      <c r="BJ44" s="19" t="n">
        <f aca="false">AUX_MATRIZES!BJ117</f>
        <v>0</v>
      </c>
      <c r="BK44" s="19" t="n">
        <f aca="false">AUX_MATRIZES!BK117</f>
        <v>0</v>
      </c>
      <c r="BL44" s="19" t="n">
        <f aca="false">AUX_MATRIZES!BL117</f>
        <v>0</v>
      </c>
      <c r="BM44" s="19" t="n">
        <f aca="false">AUX_MATRIZES!BM117</f>
        <v>0</v>
      </c>
      <c r="BN44" s="19" t="n">
        <f aca="false">AUX_MATRIZES!BN117</f>
        <v>0</v>
      </c>
      <c r="BO44" s="19" t="n">
        <f aca="false">AUX_MATRIZES!BO117</f>
        <v>0</v>
      </c>
      <c r="BP44" s="19" t="n">
        <f aca="false">AUX_MATRIZES!BP117</f>
        <v>0</v>
      </c>
    </row>
    <row r="45" customFormat="false" ht="15" hidden="false" customHeight="false" outlineLevel="0" collapsed="false">
      <c r="B45" s="15" t="s">
        <v>173</v>
      </c>
      <c r="C45" s="19" t="n">
        <f aca="false">AUX_MATRIZES!C118</f>
        <v>0</v>
      </c>
      <c r="D45" s="19" t="n">
        <f aca="false">AUX_MATRIZES!D118</f>
        <v>0</v>
      </c>
      <c r="E45" s="19" t="n">
        <f aca="false">AUX_MATRIZES!E118</f>
        <v>0</v>
      </c>
      <c r="F45" s="19" t="n">
        <f aca="false">AUX_MATRIZES!F118</f>
        <v>0</v>
      </c>
      <c r="G45" s="19" t="n">
        <f aca="false">AUX_MATRIZES!G118</f>
        <v>0.0127282913165266</v>
      </c>
      <c r="H45" s="19" t="n">
        <f aca="false">AUX_MATRIZES!H118</f>
        <v>0</v>
      </c>
      <c r="I45" s="19" t="n">
        <f aca="false">AUX_MATRIZES!I118</f>
        <v>0</v>
      </c>
      <c r="J45" s="19" t="n">
        <f aca="false">AUX_MATRIZES!J118</f>
        <v>0.00261034480363243</v>
      </c>
      <c r="K45" s="19" t="n">
        <f aca="false">AUX_MATRIZES!K118</f>
        <v>0.0587529877636179</v>
      </c>
      <c r="L45" s="19" t="n">
        <f aca="false">AUX_MATRIZES!L118</f>
        <v>0</v>
      </c>
      <c r="M45" s="19" t="n">
        <f aca="false">AUX_MATRIZES!M118</f>
        <v>0.0221455241340683</v>
      </c>
      <c r="N45" s="19" t="n">
        <f aca="false">AUX_MATRIZES!N118</f>
        <v>0.0234509803921568</v>
      </c>
      <c r="O45" s="19" t="n">
        <f aca="false">AUX_MATRIZES!O118</f>
        <v>0.0234509803921568</v>
      </c>
      <c r="P45" s="19" t="n">
        <f aca="false">AUX_MATRIZES!P118</f>
        <v>0</v>
      </c>
      <c r="Q45" s="19" t="n">
        <f aca="false">AUX_MATRIZES!Q118</f>
        <v>0</v>
      </c>
      <c r="R45" s="19" t="n">
        <f aca="false">AUX_MATRIZES!R118</f>
        <v>0</v>
      </c>
      <c r="S45" s="19" t="n">
        <f aca="false">AUX_MATRIZES!S118</f>
        <v>0</v>
      </c>
      <c r="T45" s="19" t="n">
        <f aca="false">AUX_MATRIZES!T118</f>
        <v>0.00255459091366802</v>
      </c>
      <c r="U45" s="19" t="n">
        <f aca="false">AUX_MATRIZES!U118</f>
        <v>0</v>
      </c>
      <c r="V45" s="19" t="n">
        <f aca="false">AUX_MATRIZES!V118</f>
        <v>0</v>
      </c>
      <c r="W45" s="19" t="n">
        <f aca="false">AUX_MATRIZES!W118</f>
        <v>0</v>
      </c>
      <c r="X45" s="19" t="n">
        <f aca="false">AUX_MATRIZES!X118</f>
        <v>0</v>
      </c>
      <c r="Y45" s="19" t="n">
        <f aca="false">AUX_MATRIZES!Y118</f>
        <v>0</v>
      </c>
      <c r="Z45" s="19" t="n">
        <f aca="false">AUX_MATRIZES!Z118</f>
        <v>0</v>
      </c>
      <c r="AA45" s="19" t="n">
        <f aca="false">AUX_MATRIZES!AA118</f>
        <v>0</v>
      </c>
      <c r="AB45" s="19" t="n">
        <f aca="false">AUX_MATRIZES!AB118</f>
        <v>0</v>
      </c>
      <c r="AC45" s="19" t="n">
        <f aca="false">AUX_MATRIZES!AC118</f>
        <v>0</v>
      </c>
      <c r="AD45" s="19" t="n">
        <f aca="false">AUX_MATRIZES!AD118</f>
        <v>0</v>
      </c>
      <c r="AE45" s="19" t="n">
        <f aca="false">AUX_MATRIZES!AE118</f>
        <v>0</v>
      </c>
      <c r="AF45" s="19" t="n">
        <f aca="false">AUX_MATRIZES!AF118</f>
        <v>0</v>
      </c>
      <c r="AG45" s="19" t="n">
        <f aca="false">AUX_MATRIZES!AG118</f>
        <v>0.0372541726749872</v>
      </c>
      <c r="AH45" s="19" t="n">
        <f aca="false">AUX_MATRIZES!AH118</f>
        <v>0.154151989789999</v>
      </c>
      <c r="AI45" s="19" t="n">
        <f aca="false">AUX_MATRIZES!AI118</f>
        <v>0.193135630583594</v>
      </c>
      <c r="AJ45" s="19" t="n">
        <f aca="false">AUX_MATRIZES!AJ118</f>
        <v>0.23211927137719</v>
      </c>
      <c r="AK45" s="19" t="n">
        <f aca="false">AUX_MATRIZES!AK118</f>
        <v>0.285120448179272</v>
      </c>
      <c r="AL45" s="19" t="n">
        <f aca="false">AUX_MATRIZES!AL118</f>
        <v>0.348705882352941</v>
      </c>
      <c r="AM45" s="19" t="n">
        <f aca="false">AUX_MATRIZES!AM118</f>
        <v>0.348705882352941</v>
      </c>
      <c r="AN45" s="19" t="n">
        <f aca="false">AUX_MATRIZES!AN118</f>
        <v>0.348705882352941</v>
      </c>
      <c r="AO45" s="19" t="n">
        <f aca="false">AUX_MATRIZES!AO118</f>
        <v>0.348705882352941</v>
      </c>
      <c r="AP45" s="19" t="n">
        <f aca="false">AUX_MATRIZES!AP118</f>
        <v>0.349915966386555</v>
      </c>
      <c r="AQ45" s="19" t="n">
        <f aca="false">AUX_MATRIZES!AQ118</f>
        <v>0.350117647058823</v>
      </c>
      <c r="AR45" s="19" t="n">
        <f aca="false">AUX_MATRIZES!AR118</f>
        <v>0.350117647058823</v>
      </c>
      <c r="AS45" s="19" t="n">
        <f aca="false">AUX_MATRIZES!AS118</f>
        <v>0.350117647058823</v>
      </c>
      <c r="AT45" s="19" t="n">
        <f aca="false">AUX_MATRIZES!AT118</f>
        <v>0.352929520526159</v>
      </c>
      <c r="AU45" s="19" t="n">
        <f aca="false">AUX_MATRIZES!AU118</f>
        <v>0.34216045392516</v>
      </c>
      <c r="AV45" s="19" t="n">
        <f aca="false">AUX_MATRIZES!AV118</f>
        <v>0.31837965955613</v>
      </c>
      <c r="AW45" s="19" t="n">
        <f aca="false">AUX_MATRIZES!AW118</f>
        <v>0.294598865187101</v>
      </c>
      <c r="AX45" s="19" t="n">
        <f aca="false">AUX_MATRIZES!AX118</f>
        <v>0.278565415909954</v>
      </c>
      <c r="AY45" s="19" t="n">
        <f aca="false">AUX_MATRIZES!AY118</f>
        <v>0.296291316526611</v>
      </c>
      <c r="AZ45" s="19" t="n">
        <f aca="false">AUX_MATRIZES!AZ118</f>
        <v>0.26753314659197</v>
      </c>
      <c r="BA45" s="19" t="n">
        <f aca="false">AUX_MATRIZES!BA118</f>
        <v>0.23877497665733</v>
      </c>
      <c r="BB45" s="19" t="n">
        <f aca="false">AUX_MATRIZES!BB118</f>
        <v>0</v>
      </c>
      <c r="BC45" s="19" t="n">
        <f aca="false">AUX_MATRIZES!BC118</f>
        <v>0</v>
      </c>
      <c r="BD45" s="19" t="n">
        <f aca="false">AUX_MATRIZES!BD118</f>
        <v>0</v>
      </c>
      <c r="BE45" s="19" t="n">
        <f aca="false">AUX_MATRIZES!BE118</f>
        <v>0</v>
      </c>
      <c r="BF45" s="19" t="n">
        <f aca="false">AUX_MATRIZES!BF118</f>
        <v>0</v>
      </c>
      <c r="BG45" s="19" t="n">
        <f aca="false">AUX_MATRIZES!BG118</f>
        <v>0</v>
      </c>
      <c r="BH45" s="19" t="n">
        <f aca="false">AUX_MATRIZES!BH118</f>
        <v>0</v>
      </c>
      <c r="BI45" s="19" t="n">
        <f aca="false">AUX_MATRIZES!BI118</f>
        <v>0</v>
      </c>
      <c r="BJ45" s="19" t="n">
        <f aca="false">AUX_MATRIZES!BJ118</f>
        <v>0</v>
      </c>
      <c r="BK45" s="19" t="n">
        <f aca="false">AUX_MATRIZES!BK118</f>
        <v>0</v>
      </c>
      <c r="BL45" s="19" t="n">
        <f aca="false">AUX_MATRIZES!BL118</f>
        <v>0</v>
      </c>
      <c r="BM45" s="19" t="n">
        <f aca="false">AUX_MATRIZES!BM118</f>
        <v>0</v>
      </c>
      <c r="BN45" s="19" t="n">
        <f aca="false">AUX_MATRIZES!BN118</f>
        <v>0</v>
      </c>
      <c r="BO45" s="19" t="n">
        <f aca="false">AUX_MATRIZES!BO118</f>
        <v>0</v>
      </c>
      <c r="BP45" s="19" t="n">
        <f aca="false">AUX_MATRIZES!BP118</f>
        <v>0</v>
      </c>
    </row>
    <row r="46" customFormat="false" ht="15" hidden="false" customHeight="false" outlineLevel="0" collapsed="false">
      <c r="B46" s="15" t="s">
        <v>174</v>
      </c>
      <c r="C46" s="19" t="n">
        <f aca="false">AUX_MATRIZES!C119</f>
        <v>0.0811344951180324</v>
      </c>
      <c r="D46" s="19" t="n">
        <f aca="false">AUX_MATRIZES!D119</f>
        <v>0.0854123899467091</v>
      </c>
      <c r="E46" s="19" t="n">
        <f aca="false">AUX_MATRIZES!E119</f>
        <v>0.0854123899467091</v>
      </c>
      <c r="F46" s="19" t="n">
        <f aca="false">AUX_MATRIZES!F119</f>
        <v>0.0854123899467091</v>
      </c>
      <c r="G46" s="19" t="n">
        <f aca="false">AUX_MATRIZES!G119</f>
        <v>0.0693746195845784</v>
      </c>
      <c r="H46" s="19" t="n">
        <f aca="false">AUX_MATRIZES!H119</f>
        <v>0.0486574160105273</v>
      </c>
      <c r="I46" s="19" t="n">
        <f aca="false">AUX_MATRIZES!I119</f>
        <v>0.0486574160105273</v>
      </c>
      <c r="J46" s="19" t="n">
        <f aca="false">AUX_MATRIZES!J119</f>
        <v>0.060209938121588</v>
      </c>
      <c r="K46" s="19" t="n">
        <f aca="false">AUX_MATRIZES!K119</f>
        <v>0.0716872699544553</v>
      </c>
      <c r="L46" s="19" t="n">
        <f aca="false">AUX_MATRIZES!L119</f>
        <v>0</v>
      </c>
      <c r="M46" s="19" t="n">
        <f aca="false">AUX_MATRIZES!M119</f>
        <v>0.0091477952990614</v>
      </c>
      <c r="N46" s="19" t="n">
        <f aca="false">AUX_MATRIZES!N119</f>
        <v>0.0091477952990614</v>
      </c>
      <c r="O46" s="19" t="n">
        <f aca="false">AUX_MATRIZES!O119</f>
        <v>0.0091477952990614</v>
      </c>
      <c r="P46" s="19" t="n">
        <f aca="false">AUX_MATRIZES!P119</f>
        <v>0</v>
      </c>
      <c r="Q46" s="19" t="n">
        <f aca="false">AUX_MATRIZES!Q119</f>
        <v>0</v>
      </c>
      <c r="R46" s="19" t="n">
        <f aca="false">AUX_MATRIZES!R119</f>
        <v>0</v>
      </c>
      <c r="S46" s="19" t="n">
        <f aca="false">AUX_MATRIZES!S119</f>
        <v>0</v>
      </c>
      <c r="T46" s="19" t="n">
        <f aca="false">AUX_MATRIZES!T119</f>
        <v>0</v>
      </c>
      <c r="U46" s="19" t="n">
        <f aca="false">AUX_MATRIZES!U119</f>
        <v>0</v>
      </c>
      <c r="V46" s="19" t="n">
        <f aca="false">AUX_MATRIZES!V119</f>
        <v>0</v>
      </c>
      <c r="W46" s="19" t="n">
        <f aca="false">AUX_MATRIZES!W119</f>
        <v>0</v>
      </c>
      <c r="X46" s="19" t="n">
        <f aca="false">AUX_MATRIZES!X119</f>
        <v>0</v>
      </c>
      <c r="Y46" s="19" t="n">
        <f aca="false">AUX_MATRIZES!Y119</f>
        <v>0</v>
      </c>
      <c r="Z46" s="19" t="n">
        <f aca="false">AUX_MATRIZES!Z119</f>
        <v>0.00329834163768497</v>
      </c>
      <c r="AA46" s="19" t="n">
        <f aca="false">AUX_MATRIZES!AA119</f>
        <v>0.0209409476113949</v>
      </c>
      <c r="AB46" s="19" t="n">
        <f aca="false">AUX_MATRIZES!AB119</f>
        <v>0.0357768964322741</v>
      </c>
      <c r="AC46" s="19" t="n">
        <f aca="false">AUX_MATRIZES!AC119</f>
        <v>0.0494631885828117</v>
      </c>
      <c r="AD46" s="19" t="n">
        <f aca="false">AUX_MATRIZES!AD119</f>
        <v>0.0494631885828117</v>
      </c>
      <c r="AE46" s="19" t="n">
        <f aca="false">AUX_MATRIZES!AE119</f>
        <v>0.0494631885828117</v>
      </c>
      <c r="AF46" s="19" t="n">
        <f aca="false">AUX_MATRIZES!AF119</f>
        <v>0.0494631885828117</v>
      </c>
      <c r="AG46" s="19" t="n">
        <f aca="false">AUX_MATRIZES!AG119</f>
        <v>0.129267951056952</v>
      </c>
      <c r="AH46" s="19" t="n">
        <f aca="false">AUX_MATRIZES!AH119</f>
        <v>0.221834440544373</v>
      </c>
      <c r="AI46" s="19" t="n">
        <f aca="false">AUX_MATRIZES!AI119</f>
        <v>0.237354808223415</v>
      </c>
      <c r="AJ46" s="19" t="n">
        <f aca="false">AUX_MATRIZES!AJ119</f>
        <v>0.252875175902458</v>
      </c>
      <c r="AK46" s="19" t="n">
        <f aca="false">AUX_MATRIZES!AK119</f>
        <v>0.275351742339787</v>
      </c>
      <c r="AL46" s="19" t="n">
        <f aca="false">AUX_MATRIZES!AL119</f>
        <v>0.326106198105151</v>
      </c>
      <c r="AM46" s="19" t="n">
        <f aca="false">AUX_MATRIZES!AM119</f>
        <v>0.311939163732006</v>
      </c>
      <c r="AN46" s="19" t="n">
        <f aca="false">AUX_MATRIZES!AN119</f>
        <v>0.29777212935886</v>
      </c>
      <c r="AO46" s="19" t="n">
        <f aca="false">AUX_MATRIZES!AO119</f>
        <v>0.283605094985714</v>
      </c>
      <c r="AP46" s="19" t="n">
        <f aca="false">AUX_MATRIZES!AP119</f>
        <v>0.273883565941707</v>
      </c>
      <c r="AQ46" s="19" t="n">
        <f aca="false">AUX_MATRIZES!AQ119</f>
        <v>0.261132069807853</v>
      </c>
      <c r="AR46" s="19" t="n">
        <f aca="false">AUX_MATRIZES!AR119</f>
        <v>0.173621175568333</v>
      </c>
      <c r="AS46" s="19" t="n">
        <f aca="false">AUX_MATRIZES!AS119</f>
        <v>0.166662011772946</v>
      </c>
      <c r="AT46" s="19" t="n">
        <f aca="false">AUX_MATRIZES!AT119</f>
        <v>0.130961093161678</v>
      </c>
      <c r="AU46" s="19" t="n">
        <f aca="false">AUX_MATRIZES!AU119</f>
        <v>0.125609067824196</v>
      </c>
      <c r="AV46" s="19" t="n">
        <f aca="false">AUX_MATRIZES!AV119</f>
        <v>0.115388228774868</v>
      </c>
      <c r="AW46" s="19" t="n">
        <f aca="false">AUX_MATRIZES!AW119</f>
        <v>0.105167389725539</v>
      </c>
      <c r="AX46" s="19" t="n">
        <f aca="false">AUX_MATRIZES!AX119</f>
        <v>0.0976488754907951</v>
      </c>
      <c r="AY46" s="19" t="n">
        <f aca="false">AUX_MATRIZES!AY119</f>
        <v>0.0587471572487603</v>
      </c>
      <c r="AZ46" s="19" t="n">
        <f aca="false">AUX_MATRIZES!AZ119</f>
        <v>0.0528824952302018</v>
      </c>
      <c r="BA46" s="19" t="n">
        <f aca="false">AUX_MATRIZES!BA119</f>
        <v>0</v>
      </c>
      <c r="BB46" s="19" t="n">
        <f aca="false">AUX_MATRIZES!BB119</f>
        <v>0</v>
      </c>
      <c r="BC46" s="19" t="n">
        <f aca="false">AUX_MATRIZES!BC119</f>
        <v>0</v>
      </c>
      <c r="BD46" s="19" t="n">
        <f aca="false">AUX_MATRIZES!BD119</f>
        <v>0</v>
      </c>
      <c r="BE46" s="19" t="n">
        <f aca="false">AUX_MATRIZES!BE119</f>
        <v>0</v>
      </c>
      <c r="BF46" s="19" t="n">
        <f aca="false">AUX_MATRIZES!BF119</f>
        <v>0</v>
      </c>
      <c r="BG46" s="19" t="n">
        <f aca="false">AUX_MATRIZES!BG119</f>
        <v>0</v>
      </c>
      <c r="BH46" s="19" t="n">
        <f aca="false">AUX_MATRIZES!BH119</f>
        <v>0</v>
      </c>
      <c r="BI46" s="19" t="n">
        <f aca="false">AUX_MATRIZES!BI119</f>
        <v>0</v>
      </c>
      <c r="BJ46" s="19" t="n">
        <f aca="false">AUX_MATRIZES!BJ119</f>
        <v>0</v>
      </c>
      <c r="BK46" s="19" t="n">
        <f aca="false">AUX_MATRIZES!BK119</f>
        <v>0</v>
      </c>
      <c r="BL46" s="19" t="n">
        <f aca="false">AUX_MATRIZES!BL119</f>
        <v>0</v>
      </c>
      <c r="BM46" s="19" t="n">
        <f aca="false">AUX_MATRIZES!BM119</f>
        <v>0</v>
      </c>
      <c r="BN46" s="19" t="n">
        <f aca="false">AUX_MATRIZES!BN119</f>
        <v>0</v>
      </c>
      <c r="BO46" s="19" t="n">
        <f aca="false">AUX_MATRIZES!BO119</f>
        <v>0</v>
      </c>
      <c r="BP46" s="19" t="n">
        <f aca="false">AUX_MATRIZES!BP119</f>
        <v>0</v>
      </c>
    </row>
    <row r="47" customFormat="false" ht="15" hidden="false" customHeight="false" outlineLevel="0" collapsed="false">
      <c r="B47" s="15" t="s">
        <v>175</v>
      </c>
      <c r="C47" s="19" t="n">
        <f aca="false">AUX_MATRIZES!C120</f>
        <v>0.126061846177456</v>
      </c>
      <c r="D47" s="19" t="n">
        <f aca="false">AUX_MATRIZES!D120</f>
        <v>0.126117093383124</v>
      </c>
      <c r="E47" s="19" t="n">
        <f aca="false">AUX_MATRIZES!E120</f>
        <v>0.126117093383124</v>
      </c>
      <c r="F47" s="19" t="n">
        <f aca="false">AUX_MATRIZES!F120</f>
        <v>0.126117093383124</v>
      </c>
      <c r="G47" s="19" t="n">
        <f aca="false">AUX_MATRIZES!G120</f>
        <v>0.0951049952681792</v>
      </c>
      <c r="H47" s="19" t="n">
        <f aca="false">AUX_MATRIZES!H120</f>
        <v>0.0718459216819705</v>
      </c>
      <c r="I47" s="19" t="n">
        <f aca="false">AUX_MATRIZES!I120</f>
        <v>0.0718459216819705</v>
      </c>
      <c r="J47" s="19" t="n">
        <f aca="false">AUX_MATRIZES!J120</f>
        <v>0.0619198403969614</v>
      </c>
      <c r="K47" s="19" t="n">
        <f aca="false">AUX_MATRIZES!K120</f>
        <v>0.0413774714172443</v>
      </c>
      <c r="L47" s="19" t="n">
        <f aca="false">AUX_MATRIZES!L120</f>
        <v>0</v>
      </c>
      <c r="M47" s="19" t="n">
        <f aca="false">AUX_MATRIZES!M120</f>
        <v>0</v>
      </c>
      <c r="N47" s="19" t="n">
        <f aca="false">AUX_MATRIZES!N120</f>
        <v>0</v>
      </c>
      <c r="O47" s="19" t="n">
        <f aca="false">AUX_MATRIZES!O120</f>
        <v>0.00857292679610325</v>
      </c>
      <c r="P47" s="19" t="n">
        <f aca="false">AUX_MATRIZES!P120</f>
        <v>0</v>
      </c>
      <c r="Q47" s="19" t="n">
        <f aca="false">AUX_MATRIZES!Q120</f>
        <v>0</v>
      </c>
      <c r="R47" s="19" t="n">
        <f aca="false">AUX_MATRIZES!R120</f>
        <v>0</v>
      </c>
      <c r="S47" s="19" t="n">
        <f aca="false">AUX_MATRIZES!S120</f>
        <v>0</v>
      </c>
      <c r="T47" s="19" t="n">
        <f aca="false">AUX_MATRIZES!T120</f>
        <v>0.00226573971021254</v>
      </c>
      <c r="U47" s="19" t="n">
        <f aca="false">AUX_MATRIZES!U120</f>
        <v>0.0116050082718204</v>
      </c>
      <c r="V47" s="19" t="n">
        <f aca="false">AUX_MATRIZES!V120</f>
        <v>0.0114224733564741</v>
      </c>
      <c r="W47" s="19" t="n">
        <f aca="false">AUX_MATRIZES!W120</f>
        <v>0</v>
      </c>
      <c r="X47" s="19" t="n">
        <f aca="false">AUX_MATRIZES!X120</f>
        <v>0</v>
      </c>
      <c r="Y47" s="19" t="n">
        <f aca="false">AUX_MATRIZES!Y120</f>
        <v>0</v>
      </c>
      <c r="Z47" s="19" t="n">
        <f aca="false">AUX_MATRIZES!Z120</f>
        <v>0.0148089353374734</v>
      </c>
      <c r="AA47" s="19" t="n">
        <f aca="false">AUX_MATRIZES!AA120</f>
        <v>0.0409802065952605</v>
      </c>
      <c r="AB47" s="19" t="n">
        <f aca="false">AUX_MATRIZES!AB120</f>
        <v>0.042262487418171</v>
      </c>
      <c r="AC47" s="19" t="n">
        <f aca="false">AUX_MATRIZES!AC120</f>
        <v>0.0522095722704766</v>
      </c>
      <c r="AD47" s="19" t="n">
        <f aca="false">AUX_MATRIZES!AD120</f>
        <v>0.0522095722704766</v>
      </c>
      <c r="AE47" s="19" t="n">
        <f aca="false">AUX_MATRIZES!AE120</f>
        <v>0.0522095722704766</v>
      </c>
      <c r="AF47" s="19" t="n">
        <f aca="false">AUX_MATRIZES!AF120</f>
        <v>0.0522095722704766</v>
      </c>
      <c r="AG47" s="19" t="n">
        <f aca="false">AUX_MATRIZES!AG120</f>
        <v>0.117907939808402</v>
      </c>
      <c r="AH47" s="19" t="n">
        <f aca="false">AUX_MATRIZES!AH120</f>
        <v>0.167181715461845</v>
      </c>
      <c r="AI47" s="19" t="n">
        <f aca="false">AUX_MATRIZES!AI120</f>
        <v>0.167181715461845</v>
      </c>
      <c r="AJ47" s="19" t="n">
        <f aca="false">AUX_MATRIZES!AJ120</f>
        <v>0.16376293996638</v>
      </c>
      <c r="AK47" s="19" t="n">
        <f aca="false">AUX_MATRIZES!AK120</f>
        <v>0.171173084823164</v>
      </c>
      <c r="AL47" s="19" t="n">
        <f aca="false">AUX_MATRIZES!AL120</f>
        <v>0.198495517186745</v>
      </c>
      <c r="AM47" s="19" t="n">
        <f aca="false">AUX_MATRIZES!AM120</f>
        <v>0.184200103576339</v>
      </c>
      <c r="AN47" s="19" t="n">
        <f aca="false">AUX_MATRIZES!AN120</f>
        <v>0.169904689965933</v>
      </c>
      <c r="AO47" s="19" t="n">
        <f aca="false">AUX_MATRIZES!AO120</f>
        <v>0.155609276355527</v>
      </c>
      <c r="AP47" s="19" t="n">
        <f aca="false">AUX_MATRIZES!AP120</f>
        <v>0.162204620609941</v>
      </c>
      <c r="AQ47" s="19" t="n">
        <f aca="false">AUX_MATRIZES!AQ120</f>
        <v>0.166868119505023</v>
      </c>
      <c r="AR47" s="19" t="n">
        <f aca="false">AUX_MATRIZES!AR120</f>
        <v>0.0922550471415532</v>
      </c>
      <c r="AS47" s="19" t="n">
        <f aca="false">AUX_MATRIZES!AS120</f>
        <v>0.0868220524590086</v>
      </c>
      <c r="AT47" s="19" t="n">
        <f aca="false">AUX_MATRIZES!AT120</f>
        <v>0.0531774825460699</v>
      </c>
      <c r="AU47" s="19" t="n">
        <f aca="false">AUX_MATRIZES!AU120</f>
        <v>0.090842419933683</v>
      </c>
      <c r="AV47" s="19" t="n">
        <f aca="false">AUX_MATRIZES!AV120</f>
        <v>0.113594461055102</v>
      </c>
      <c r="AW47" s="19" t="n">
        <f aca="false">AUX_MATRIZES!AW120</f>
        <v>0.136346502176522</v>
      </c>
      <c r="AX47" s="19" t="n">
        <f aca="false">AUX_MATRIZES!AX120</f>
        <v>0.167464342528652</v>
      </c>
      <c r="AY47" s="19" t="n">
        <f aca="false">AUX_MATRIZES!AY120</f>
        <v>0.238011276102494</v>
      </c>
      <c r="AZ47" s="19" t="n">
        <f aca="false">AUX_MATRIZES!AZ120</f>
        <v>0.259886641541314</v>
      </c>
      <c r="BA47" s="19" t="n">
        <f aca="false">AUX_MATRIZES!BA120</f>
        <v>0.278224480320725</v>
      </c>
      <c r="BB47" s="19" t="n">
        <f aca="false">AUX_MATRIZES!BB120</f>
        <v>0.296562319100136</v>
      </c>
      <c r="BC47" s="19" t="n">
        <f aca="false">AUX_MATRIZES!BC120</f>
        <v>0.312514880351535</v>
      </c>
      <c r="BD47" s="19" t="n">
        <f aca="false">AUX_MATRIZES!BD120</f>
        <v>0.315343200481973</v>
      </c>
      <c r="BE47" s="19" t="n">
        <f aca="false">AUX_MATRIZES!BE120</f>
        <v>0.315343200481973</v>
      </c>
      <c r="BF47" s="19" t="n">
        <f aca="false">AUX_MATRIZES!BF120</f>
        <v>0.304705276232804</v>
      </c>
      <c r="BG47" s="19" t="n">
        <f aca="false">AUX_MATRIZES!BG120</f>
        <v>0.227141496998936</v>
      </c>
      <c r="BH47" s="19" t="n">
        <f aca="false">AUX_MATRIZES!BH120</f>
        <v>0.131027017504932</v>
      </c>
      <c r="BI47" s="19" t="n">
        <f aca="false">AUX_MATRIZES!BI120</f>
        <v>0.111854298858154</v>
      </c>
      <c r="BJ47" s="19" t="n">
        <f aca="false">AUX_MATRIZES!BJ120</f>
        <v>0.0849232638047029</v>
      </c>
      <c r="BK47" s="19" t="n">
        <f aca="false">AUX_MATRIZES!BK120</f>
        <v>0.0513092017819517</v>
      </c>
      <c r="BL47" s="19" t="n">
        <f aca="false">AUX_MATRIZES!BL120</f>
        <v>0</v>
      </c>
      <c r="BM47" s="19" t="n">
        <f aca="false">AUX_MATRIZES!BM120</f>
        <v>0</v>
      </c>
      <c r="BN47" s="19" t="n">
        <f aca="false">AUX_MATRIZES!BN120</f>
        <v>0</v>
      </c>
      <c r="BO47" s="19" t="n">
        <f aca="false">AUX_MATRIZES!BO120</f>
        <v>0</v>
      </c>
      <c r="BP47" s="19" t="n">
        <f aca="false">AUX_MATRIZES!BP120</f>
        <v>0</v>
      </c>
    </row>
    <row r="48" customFormat="false" ht="15" hidden="false" customHeight="false" outlineLevel="0" collapsed="false">
      <c r="B48" s="15" t="s">
        <v>176</v>
      </c>
      <c r="C48" s="19" t="n">
        <f aca="false">AUX_MATRIZES!C121</f>
        <v>0.147890966081224</v>
      </c>
      <c r="D48" s="19" t="n">
        <f aca="false">AUX_MATRIZES!D121</f>
        <v>0.10589910164408</v>
      </c>
      <c r="E48" s="19" t="n">
        <f aca="false">AUX_MATRIZES!E121</f>
        <v>0.072176759410802</v>
      </c>
      <c r="F48" s="19" t="n">
        <f aca="false">AUX_MATRIZES!F121</f>
        <v>0.0672737810777428</v>
      </c>
      <c r="G48" s="19" t="n">
        <f aca="false">AUX_MATRIZES!G121</f>
        <v>0.0428932657106929</v>
      </c>
      <c r="H48" s="19" t="n">
        <f aca="false">AUX_MATRIZES!H121</f>
        <v>0.0231285322745687</v>
      </c>
      <c r="I48" s="19" t="n">
        <f aca="false">AUX_MATRIZES!I121</f>
        <v>0.0165010581140198</v>
      </c>
      <c r="J48" s="19" t="n">
        <f aca="false">AUX_MATRIZES!J121</f>
        <v>0.00987358395347084</v>
      </c>
      <c r="K48" s="19" t="n">
        <f aca="false">AUX_MATRIZES!K121</f>
        <v>0</v>
      </c>
      <c r="L48" s="19" t="n">
        <f aca="false">AUX_MATRIZES!L121</f>
        <v>0</v>
      </c>
      <c r="M48" s="19" t="n">
        <f aca="false">AUX_MATRIZES!M121</f>
        <v>0</v>
      </c>
      <c r="N48" s="19" t="n">
        <f aca="false">AUX_MATRIZES!N121</f>
        <v>0</v>
      </c>
      <c r="O48" s="19" t="n">
        <f aca="false">AUX_MATRIZES!O121</f>
        <v>0.0010458236598331</v>
      </c>
      <c r="P48" s="19" t="n">
        <f aca="false">AUX_MATRIZES!P121</f>
        <v>0</v>
      </c>
      <c r="Q48" s="19" t="n">
        <f aca="false">AUX_MATRIZES!Q121</f>
        <v>0</v>
      </c>
      <c r="R48" s="19" t="n">
        <f aca="false">AUX_MATRIZES!R121</f>
        <v>0</v>
      </c>
      <c r="S48" s="19" t="n">
        <f aca="false">AUX_MATRIZES!S121</f>
        <v>0</v>
      </c>
      <c r="T48" s="19" t="n">
        <f aca="false">AUX_MATRIZES!T121</f>
        <v>0.000573382733621359</v>
      </c>
      <c r="U48" s="19" t="n">
        <f aca="false">AUX_MATRIZES!U121</f>
        <v>0.00293683839171917</v>
      </c>
      <c r="V48" s="19" t="n">
        <f aca="false">AUX_MATRIZES!V121</f>
        <v>0.00293683839171917</v>
      </c>
      <c r="W48" s="19" t="n">
        <f aca="false">AUX_MATRIZES!W121</f>
        <v>0</v>
      </c>
      <c r="X48" s="19" t="n">
        <f aca="false">AUX_MATRIZES!X121</f>
        <v>0</v>
      </c>
      <c r="Y48" s="19" t="n">
        <f aca="false">AUX_MATRIZES!Y121</f>
        <v>0.00690844226230239</v>
      </c>
      <c r="Z48" s="19" t="n">
        <f aca="false">AUX_MATRIZES!Z121</f>
        <v>0.0179350879819177</v>
      </c>
      <c r="AA48" s="19" t="n">
        <f aca="false">AUX_MATRIZES!AA121</f>
        <v>0.0361054441823738</v>
      </c>
      <c r="AB48" s="19" t="n">
        <f aca="false">AUX_MATRIZES!AB121</f>
        <v>0.0377566039255267</v>
      </c>
      <c r="AC48" s="19" t="n">
        <f aca="false">AUX_MATRIZES!AC121</f>
        <v>0.0552572341360392</v>
      </c>
      <c r="AD48" s="19" t="n">
        <f aca="false">AUX_MATRIZES!AD121</f>
        <v>0.0630421006317303</v>
      </c>
      <c r="AE48" s="19" t="n">
        <f aca="false">AUX_MATRIZES!AE121</f>
        <v>0.0655362860381831</v>
      </c>
      <c r="AF48" s="19" t="n">
        <f aca="false">AUX_MATRIZES!AF121</f>
        <v>0.0630618128441483</v>
      </c>
      <c r="AG48" s="19" t="n">
        <f aca="false">AUX_MATRIZES!AG121</f>
        <v>0.157739773637913</v>
      </c>
      <c r="AH48" s="19" t="n">
        <f aca="false">AUX_MATRIZES!AH121</f>
        <v>0.23868840717144</v>
      </c>
      <c r="AI48" s="19" t="n">
        <f aca="false">AUX_MATRIZES!AI121</f>
        <v>0.240497741017379</v>
      </c>
      <c r="AJ48" s="19" t="n">
        <f aca="false">AUX_MATRIZES!AJ121</f>
        <v>0.237448626896558</v>
      </c>
      <c r="AK48" s="19" t="n">
        <f aca="false">AUX_MATRIZES!AK121</f>
        <v>0.231047284899025</v>
      </c>
      <c r="AL48" s="19" t="n">
        <f aca="false">AUX_MATRIZES!AL121</f>
        <v>0.273454333348405</v>
      </c>
      <c r="AM48" s="19" t="n">
        <f aca="false">AUX_MATRIZES!AM121</f>
        <v>0.268183117575394</v>
      </c>
      <c r="AN48" s="19" t="n">
        <f aca="false">AUX_MATRIZES!AN121</f>
        <v>0.252859085487139</v>
      </c>
      <c r="AO48" s="19" t="n">
        <f aca="false">AUX_MATRIZES!AO121</f>
        <v>0.237535053398883</v>
      </c>
      <c r="AP48" s="19" t="n">
        <f aca="false">AUX_MATRIZES!AP121</f>
        <v>0.191861911204767</v>
      </c>
      <c r="AQ48" s="19" t="n">
        <f aca="false">AUX_MATRIZES!AQ121</f>
        <v>0.183241341801805</v>
      </c>
      <c r="AR48" s="19" t="n">
        <f aca="false">AUX_MATRIZES!AR121</f>
        <v>0.105237244728971</v>
      </c>
      <c r="AS48" s="19" t="n">
        <f aca="false">AUX_MATRIZES!AS121</f>
        <v>0.121740660598235</v>
      </c>
      <c r="AT48" s="19" t="n">
        <f aca="false">AUX_MATRIZES!AT121</f>
        <v>0.101438318981278</v>
      </c>
      <c r="AU48" s="19" t="n">
        <f aca="false">AUX_MATRIZES!AU121</f>
        <v>0.110531122476677</v>
      </c>
      <c r="AV48" s="19" t="n">
        <f aca="false">AUX_MATRIZES!AV121</f>
        <v>0.118394951192376</v>
      </c>
      <c r="AW48" s="19" t="n">
        <f aca="false">AUX_MATRIZES!AW121</f>
        <v>0.127083171154241</v>
      </c>
      <c r="AX48" s="19" t="n">
        <f aca="false">AUX_MATRIZES!AX121</f>
        <v>0.144551263756296</v>
      </c>
      <c r="AY48" s="19" t="n">
        <f aca="false">AUX_MATRIZES!AY121</f>
        <v>0.184867662298137</v>
      </c>
      <c r="AZ48" s="19" t="n">
        <f aca="false">AUX_MATRIZES!AZ121</f>
        <v>0.17933124012144</v>
      </c>
      <c r="BA48" s="19" t="n">
        <f aca="false">AUX_MATRIZES!BA121</f>
        <v>0.199240165886824</v>
      </c>
      <c r="BB48" s="19" t="n">
        <f aca="false">AUX_MATRIZES!BB121</f>
        <v>0.212531454188001</v>
      </c>
      <c r="BC48" s="19" t="n">
        <f aca="false">AUX_MATRIZES!BC121</f>
        <v>0.219942623957353</v>
      </c>
      <c r="BD48" s="19" t="n">
        <f aca="false">AUX_MATRIZES!BD121</f>
        <v>0.216439800176115</v>
      </c>
      <c r="BE48" s="19" t="n">
        <f aca="false">AUX_MATRIZES!BE121</f>
        <v>0.209451027189832</v>
      </c>
      <c r="BF48" s="19" t="n">
        <f aca="false">AUX_MATRIZES!BF121</f>
        <v>0.202462254203549</v>
      </c>
      <c r="BG48" s="19" t="n">
        <f aca="false">AUX_MATRIZES!BG121</f>
        <v>0.15694955478518</v>
      </c>
      <c r="BH48" s="19" t="n">
        <f aca="false">AUX_MATRIZES!BH121</f>
        <v>0.0988365387280556</v>
      </c>
      <c r="BI48" s="19" t="n">
        <f aca="false">AUX_MATRIZES!BI121</f>
        <v>0.0879573454499949</v>
      </c>
      <c r="BJ48" s="19" t="n">
        <f aca="false">AUX_MATRIZES!BJ121</f>
        <v>0.0747156130984724</v>
      </c>
      <c r="BK48" s="19" t="n">
        <f aca="false">AUX_MATRIZES!BK121</f>
        <v>0.0604220253694788</v>
      </c>
      <c r="BL48" s="19" t="n">
        <f aca="false">AUX_MATRIZES!BL121</f>
        <v>0</v>
      </c>
      <c r="BM48" s="19" t="n">
        <f aca="false">AUX_MATRIZES!BM121</f>
        <v>0</v>
      </c>
      <c r="BN48" s="19" t="n">
        <f aca="false">AUX_MATRIZES!BN121</f>
        <v>0</v>
      </c>
      <c r="BO48" s="19" t="n">
        <f aca="false">AUX_MATRIZES!BO121</f>
        <v>0</v>
      </c>
      <c r="BP48" s="19" t="n">
        <f aca="false">AUX_MATRIZES!BP121</f>
        <v>0</v>
      </c>
    </row>
    <row r="49" customFormat="false" ht="15" hidden="false" customHeight="false" outlineLevel="0" collapsed="false">
      <c r="B49" s="15" t="s">
        <v>177</v>
      </c>
      <c r="C49" s="19" t="n">
        <f aca="false">AUX_MATRIZES!C122</f>
        <v>0.141597425890181</v>
      </c>
      <c r="D49" s="19" t="n">
        <f aca="false">AUX_MATRIZES!D122</f>
        <v>0.125190961498311</v>
      </c>
      <c r="E49" s="19" t="n">
        <f aca="false">AUX_MATRIZES!E122</f>
        <v>0.0829933013841612</v>
      </c>
      <c r="F49" s="19" t="n">
        <f aca="false">AUX_MATRIZES!F122</f>
        <v>0.0477783751805358</v>
      </c>
      <c r="G49" s="19" t="n">
        <f aca="false">AUX_MATRIZES!G122</f>
        <v>0.021653121448645</v>
      </c>
      <c r="H49" s="19" t="n">
        <f aca="false">AUX_MATRIZES!H122</f>
        <v>0</v>
      </c>
      <c r="I49" s="19" t="n">
        <f aca="false">AUX_MATRIZES!I122</f>
        <v>0</v>
      </c>
      <c r="J49" s="19" t="n">
        <f aca="false">AUX_MATRIZES!J122</f>
        <v>0</v>
      </c>
      <c r="K49" s="19" t="n">
        <f aca="false">AUX_MATRIZES!K122</f>
        <v>0</v>
      </c>
      <c r="L49" s="19" t="n">
        <f aca="false">AUX_MATRIZES!L122</f>
        <v>0</v>
      </c>
      <c r="M49" s="19" t="n">
        <f aca="false">AUX_MATRIZES!M122</f>
        <v>0</v>
      </c>
      <c r="N49" s="19" t="n">
        <f aca="false">AUX_MATRIZES!N122</f>
        <v>0</v>
      </c>
      <c r="O49" s="19" t="n">
        <f aca="false">AUX_MATRIZES!O122</f>
        <v>0.000860930130536092</v>
      </c>
      <c r="P49" s="19" t="n">
        <f aca="false">AUX_MATRIZES!P122</f>
        <v>0</v>
      </c>
      <c r="Q49" s="19" t="n">
        <f aca="false">AUX_MATRIZES!Q122</f>
        <v>0</v>
      </c>
      <c r="R49" s="19" t="n">
        <f aca="false">AUX_MATRIZES!R122</f>
        <v>0</v>
      </c>
      <c r="S49" s="19" t="n">
        <f aca="false">AUX_MATRIZES!S122</f>
        <v>0</v>
      </c>
      <c r="T49" s="19" t="n">
        <f aca="false">AUX_MATRIZES!T122</f>
        <v>0.00330375959030853</v>
      </c>
      <c r="U49" s="19" t="n">
        <f aca="false">AUX_MATRIZES!U122</f>
        <v>0.0169216954625559</v>
      </c>
      <c r="V49" s="19" t="n">
        <f aca="false">AUX_MATRIZES!V122</f>
        <v>0.0169216954625559</v>
      </c>
      <c r="W49" s="19" t="n">
        <f aca="false">AUX_MATRIZES!W122</f>
        <v>0.00697487050490181</v>
      </c>
      <c r="X49" s="19" t="n">
        <f aca="false">AUX_MATRIZES!X122</f>
        <v>0</v>
      </c>
      <c r="Y49" s="19" t="n">
        <f aca="false">AUX_MATRIZES!Y122</f>
        <v>0</v>
      </c>
      <c r="Z49" s="19" t="n">
        <f aca="false">AUX_MATRIZES!Z122</f>
        <v>0.00332308624053259</v>
      </c>
      <c r="AA49" s="19" t="n">
        <f aca="false">AUX_MATRIZES!AA122</f>
        <v>0.0105868395837043</v>
      </c>
      <c r="AB49" s="19" t="n">
        <f aca="false">AUX_MATRIZES!AB122</f>
        <v>0.0169290537663495</v>
      </c>
      <c r="AC49" s="19" t="n">
        <f aca="false">AUX_MATRIZES!AC122</f>
        <v>0.0214833037555399</v>
      </c>
      <c r="AD49" s="19" t="n">
        <f aca="false">AUX_MATRIZES!AD122</f>
        <v>0.0214833037555399</v>
      </c>
      <c r="AE49" s="19" t="n">
        <f aca="false">AUX_MATRIZES!AE122</f>
        <v>0.0238923114002512</v>
      </c>
      <c r="AF49" s="19" t="n">
        <f aca="false">AUX_MATRIZES!AF122</f>
        <v>0.0293896783182482</v>
      </c>
      <c r="AG49" s="19" t="n">
        <f aca="false">AUX_MATRIZES!AG122</f>
        <v>0.0952675380162186</v>
      </c>
      <c r="AH49" s="19" t="n">
        <f aca="false">AUX_MATRIZES!AH122</f>
        <v>0.193876189982958</v>
      </c>
      <c r="AI49" s="19" t="n">
        <f aca="false">AUX_MATRIZES!AI122</f>
        <v>0.21659788923716</v>
      </c>
      <c r="AJ49" s="19" t="n">
        <f aca="false">AUX_MATRIZES!AJ122</f>
        <v>0.232304940487863</v>
      </c>
      <c r="AK49" s="19" t="n">
        <f aca="false">AUX_MATRIZES!AK122</f>
        <v>0.265842934782732</v>
      </c>
      <c r="AL49" s="19" t="n">
        <f aca="false">AUX_MATRIZES!AL122</f>
        <v>0.334386442858569</v>
      </c>
      <c r="AM49" s="19" t="n">
        <f aca="false">AUX_MATRIZES!AM122</f>
        <v>0.326944708356446</v>
      </c>
      <c r="AN49" s="19" t="n">
        <f aca="false">AUX_MATRIZES!AN122</f>
        <v>0.319171083131076</v>
      </c>
      <c r="AO49" s="19" t="n">
        <f aca="false">AUX_MATRIZES!AO122</f>
        <v>0.284080328716202</v>
      </c>
      <c r="AP49" s="19" t="n">
        <f aca="false">AUX_MATRIZES!AP122</f>
        <v>0.290446685524717</v>
      </c>
      <c r="AQ49" s="19" t="n">
        <f aca="false">AUX_MATRIZES!AQ122</f>
        <v>0.285481967257156</v>
      </c>
      <c r="AR49" s="19" t="n">
        <f aca="false">AUX_MATRIZES!AR122</f>
        <v>0.2471057501555</v>
      </c>
      <c r="AS49" s="19" t="n">
        <f aca="false">AUX_MATRIZES!AS122</f>
        <v>0.215809573428515</v>
      </c>
      <c r="AT49" s="19" t="n">
        <f aca="false">AUX_MATRIZES!AT122</f>
        <v>0.228087232508238</v>
      </c>
      <c r="AU49" s="19" t="n">
        <f aca="false">AUX_MATRIZES!AU122</f>
        <v>0.224015217954852</v>
      </c>
      <c r="AV49" s="19" t="n">
        <f aca="false">AUX_MATRIZES!AV122</f>
        <v>0.213120676088453</v>
      </c>
      <c r="AW49" s="19" t="n">
        <f aca="false">AUX_MATRIZES!AW122</f>
        <v>0.202530838728211</v>
      </c>
      <c r="AX49" s="19" t="n">
        <f aca="false">AUX_MATRIZES!AX122</f>
        <v>0.177001075738193</v>
      </c>
      <c r="AY49" s="19" t="n">
        <f aca="false">AUX_MATRIZES!AY122</f>
        <v>0.182761830666853</v>
      </c>
      <c r="AZ49" s="19" t="n">
        <f aca="false">AUX_MATRIZES!AZ122</f>
        <v>0.174421311428946</v>
      </c>
      <c r="BA49" s="19" t="n">
        <f aca="false">AUX_MATRIZES!BA122</f>
        <v>0.126135171391219</v>
      </c>
      <c r="BB49" s="19" t="n">
        <f aca="false">AUX_MATRIZES!BB122</f>
        <v>0.139920961998426</v>
      </c>
      <c r="BC49" s="19" t="n">
        <f aca="false">AUX_MATRIZES!BC122</f>
        <v>0.148675606269624</v>
      </c>
      <c r="BD49" s="19" t="n">
        <f aca="false">AUX_MATRIZES!BD122</f>
        <v>0.157677056805396</v>
      </c>
      <c r="BE49" s="19" t="n">
        <f aca="false">AUX_MATRIZES!BE122</f>
        <v>0.15819038112402</v>
      </c>
      <c r="BF49" s="19" t="n">
        <f aca="false">AUX_MATRIZES!BF122</f>
        <v>0.15819038112402</v>
      </c>
      <c r="BG49" s="19" t="n">
        <f aca="false">AUX_MATRIZES!BG122</f>
        <v>0.129964773350187</v>
      </c>
      <c r="BH49" s="19" t="n">
        <f aca="false">AUX_MATRIZES!BH122</f>
        <v>0.0875693507474906</v>
      </c>
      <c r="BI49" s="19" t="n">
        <f aca="false">AUX_MATRIZES!BI122</f>
        <v>0.0801600841938935</v>
      </c>
      <c r="BJ49" s="19" t="n">
        <f aca="false">AUX_MATRIZES!BJ122</f>
        <v>0.0706110778341786</v>
      </c>
      <c r="BK49" s="19" t="n">
        <f aca="false">AUX_MATRIZES!BK122</f>
        <v>0.0610620714744637</v>
      </c>
      <c r="BL49" s="19" t="n">
        <f aca="false">AUX_MATRIZES!BL122</f>
        <v>0.00101288131835692</v>
      </c>
      <c r="BM49" s="19" t="n">
        <f aca="false">AUX_MATRIZES!BM122</f>
        <v>0</v>
      </c>
      <c r="BN49" s="19" t="n">
        <f aca="false">AUX_MATRIZES!BN122</f>
        <v>0</v>
      </c>
      <c r="BO49" s="19" t="n">
        <f aca="false">AUX_MATRIZES!BO122</f>
        <v>0</v>
      </c>
      <c r="BP49" s="19" t="n">
        <f aca="false">AUX_MATRIZES!BP122</f>
        <v>0</v>
      </c>
    </row>
    <row r="50" customFormat="false" ht="15" hidden="false" customHeight="false" outlineLevel="0" collapsed="false">
      <c r="B50" s="15" t="s">
        <v>178</v>
      </c>
      <c r="C50" s="19" t="n">
        <f aca="false">AUX_MATRIZES!C123</f>
        <v>0</v>
      </c>
      <c r="D50" s="19" t="n">
        <f aca="false">AUX_MATRIZES!D123</f>
        <v>0</v>
      </c>
      <c r="E50" s="19" t="n">
        <f aca="false">AUX_MATRIZES!E123</f>
        <v>0</v>
      </c>
      <c r="F50" s="19" t="n">
        <f aca="false">AUX_MATRIZES!F123</f>
        <v>0</v>
      </c>
      <c r="G50" s="19" t="n">
        <f aca="false">AUX_MATRIZES!G123</f>
        <v>0</v>
      </c>
      <c r="H50" s="19" t="n">
        <f aca="false">AUX_MATRIZES!H123</f>
        <v>0</v>
      </c>
      <c r="I50" s="19" t="n">
        <f aca="false">AUX_MATRIZES!I123</f>
        <v>0</v>
      </c>
      <c r="J50" s="19" t="n">
        <f aca="false">AUX_MATRIZES!J123</f>
        <v>0</v>
      </c>
      <c r="K50" s="19" t="n">
        <f aca="false">AUX_MATRIZES!K123</f>
        <v>0</v>
      </c>
      <c r="L50" s="19" t="n">
        <f aca="false">AUX_MATRIZES!L123</f>
        <v>0</v>
      </c>
      <c r="M50" s="19" t="n">
        <f aca="false">AUX_MATRIZES!M123</f>
        <v>0</v>
      </c>
      <c r="N50" s="19" t="n">
        <f aca="false">AUX_MATRIZES!N123</f>
        <v>0</v>
      </c>
      <c r="O50" s="19" t="n">
        <f aca="false">AUX_MATRIZES!O123</f>
        <v>0</v>
      </c>
      <c r="P50" s="19" t="n">
        <f aca="false">AUX_MATRIZES!P123</f>
        <v>0</v>
      </c>
      <c r="Q50" s="19" t="n">
        <f aca="false">AUX_MATRIZES!Q123</f>
        <v>0</v>
      </c>
      <c r="R50" s="19" t="n">
        <f aca="false">AUX_MATRIZES!R123</f>
        <v>0</v>
      </c>
      <c r="S50" s="19" t="n">
        <f aca="false">AUX_MATRIZES!S123</f>
        <v>0</v>
      </c>
      <c r="T50" s="19" t="n">
        <f aca="false">AUX_MATRIZES!T123</f>
        <v>0</v>
      </c>
      <c r="U50" s="19" t="n">
        <f aca="false">AUX_MATRIZES!U123</f>
        <v>0</v>
      </c>
      <c r="V50" s="19" t="n">
        <f aca="false">AUX_MATRIZES!V123</f>
        <v>0</v>
      </c>
      <c r="W50" s="19" t="n">
        <f aca="false">AUX_MATRIZES!W123</f>
        <v>0</v>
      </c>
      <c r="X50" s="19" t="n">
        <f aca="false">AUX_MATRIZES!X123</f>
        <v>0</v>
      </c>
      <c r="Y50" s="19" t="n">
        <f aca="false">AUX_MATRIZES!Y123</f>
        <v>0</v>
      </c>
      <c r="Z50" s="19" t="n">
        <f aca="false">AUX_MATRIZES!Z123</f>
        <v>0</v>
      </c>
      <c r="AA50" s="19" t="n">
        <f aca="false">AUX_MATRIZES!AA123</f>
        <v>0</v>
      </c>
      <c r="AB50" s="19" t="n">
        <f aca="false">AUX_MATRIZES!AB123</f>
        <v>0</v>
      </c>
      <c r="AC50" s="19" t="n">
        <f aca="false">AUX_MATRIZES!AC123</f>
        <v>0</v>
      </c>
      <c r="AD50" s="19" t="n">
        <f aca="false">AUX_MATRIZES!AD123</f>
        <v>0</v>
      </c>
      <c r="AE50" s="19" t="n">
        <f aca="false">AUX_MATRIZES!AE123</f>
        <v>0</v>
      </c>
      <c r="AF50" s="19" t="n">
        <f aca="false">AUX_MATRIZES!AF123</f>
        <v>0</v>
      </c>
      <c r="AG50" s="19" t="n">
        <f aca="false">AUX_MATRIZES!AG123</f>
        <v>0</v>
      </c>
      <c r="AH50" s="19" t="n">
        <f aca="false">AUX_MATRIZES!AH123</f>
        <v>0</v>
      </c>
      <c r="AI50" s="19" t="n">
        <f aca="false">AUX_MATRIZES!AI123</f>
        <v>0</v>
      </c>
      <c r="AJ50" s="19" t="n">
        <f aca="false">AUX_MATRIZES!AJ123</f>
        <v>0</v>
      </c>
      <c r="AK50" s="19" t="n">
        <f aca="false">AUX_MATRIZES!AK123</f>
        <v>0</v>
      </c>
      <c r="AL50" s="19" t="n">
        <f aca="false">AUX_MATRIZES!AL123</f>
        <v>0</v>
      </c>
      <c r="AM50" s="19" t="n">
        <f aca="false">AUX_MATRIZES!AM123</f>
        <v>0</v>
      </c>
      <c r="AN50" s="19" t="n">
        <f aca="false">AUX_MATRIZES!AN123</f>
        <v>0</v>
      </c>
      <c r="AO50" s="19" t="n">
        <f aca="false">AUX_MATRIZES!AO123</f>
        <v>0</v>
      </c>
      <c r="AP50" s="19" t="n">
        <f aca="false">AUX_MATRIZES!AP123</f>
        <v>0</v>
      </c>
      <c r="AQ50" s="19" t="n">
        <f aca="false">AUX_MATRIZES!AQ123</f>
        <v>0</v>
      </c>
      <c r="AR50" s="19" t="n">
        <f aca="false">AUX_MATRIZES!AR123</f>
        <v>0</v>
      </c>
      <c r="AS50" s="19" t="n">
        <f aca="false">AUX_MATRIZES!AS123</f>
        <v>0</v>
      </c>
      <c r="AT50" s="19" t="n">
        <f aca="false">AUX_MATRIZES!AT123</f>
        <v>0</v>
      </c>
      <c r="AU50" s="19" t="n">
        <f aca="false">AUX_MATRIZES!AU123</f>
        <v>0</v>
      </c>
      <c r="AV50" s="19" t="n">
        <f aca="false">AUX_MATRIZES!AV123</f>
        <v>0</v>
      </c>
      <c r="AW50" s="19" t="n">
        <f aca="false">AUX_MATRIZES!AW123</f>
        <v>0</v>
      </c>
      <c r="AX50" s="19" t="n">
        <f aca="false">AUX_MATRIZES!AX123</f>
        <v>0</v>
      </c>
      <c r="AY50" s="19" t="n">
        <f aca="false">AUX_MATRIZES!AY123</f>
        <v>0</v>
      </c>
      <c r="AZ50" s="19" t="n">
        <f aca="false">AUX_MATRIZES!AZ123</f>
        <v>0</v>
      </c>
      <c r="BA50" s="19" t="n">
        <f aca="false">AUX_MATRIZES!BA123</f>
        <v>0</v>
      </c>
      <c r="BB50" s="19" t="n">
        <f aca="false">AUX_MATRIZES!BB123</f>
        <v>0</v>
      </c>
      <c r="BC50" s="19" t="n">
        <f aca="false">AUX_MATRIZES!BC123</f>
        <v>0</v>
      </c>
      <c r="BD50" s="19" t="n">
        <f aca="false">AUX_MATRIZES!BD123</f>
        <v>0</v>
      </c>
      <c r="BE50" s="19" t="n">
        <f aca="false">AUX_MATRIZES!BE123</f>
        <v>0</v>
      </c>
      <c r="BF50" s="19" t="n">
        <f aca="false">AUX_MATRIZES!BF123</f>
        <v>0</v>
      </c>
      <c r="BG50" s="19" t="n">
        <f aca="false">AUX_MATRIZES!BG123</f>
        <v>0</v>
      </c>
      <c r="BH50" s="19" t="n">
        <f aca="false">AUX_MATRIZES!BH123</f>
        <v>0</v>
      </c>
      <c r="BI50" s="19" t="n">
        <f aca="false">AUX_MATRIZES!BI123</f>
        <v>0</v>
      </c>
      <c r="BJ50" s="19" t="n">
        <f aca="false">AUX_MATRIZES!BJ123</f>
        <v>0</v>
      </c>
      <c r="BK50" s="19" t="n">
        <f aca="false">AUX_MATRIZES!BK123</f>
        <v>0</v>
      </c>
      <c r="BL50" s="19" t="n">
        <f aca="false">AUX_MATRIZES!BL123</f>
        <v>0</v>
      </c>
      <c r="BM50" s="19" t="n">
        <f aca="false">AUX_MATRIZES!BM123</f>
        <v>0</v>
      </c>
      <c r="BN50" s="19" t="n">
        <f aca="false">AUX_MATRIZES!BN123</f>
        <v>0</v>
      </c>
      <c r="BO50" s="19" t="n">
        <f aca="false">AUX_MATRIZES!BO123</f>
        <v>0</v>
      </c>
      <c r="BP50" s="19" t="n">
        <f aca="false">AUX_MATRIZES!BP123</f>
        <v>0</v>
      </c>
    </row>
    <row r="53" customFormat="false" ht="15" hidden="false" customHeight="false" outlineLevel="0" collapsed="false">
      <c r="B53" s="3" t="s">
        <v>182</v>
      </c>
    </row>
    <row r="54" customFormat="false" ht="15" hidden="false" customHeight="false" outlineLevel="0" collapsed="false">
      <c r="B54" s="14" t="s">
        <v>170</v>
      </c>
      <c r="C54" s="22" t="n">
        <f aca="false">SEMANAS!$B$6</f>
        <v>1</v>
      </c>
      <c r="D54" s="22" t="n">
        <f aca="false">SEMANAS!$B$7</f>
        <v>2</v>
      </c>
      <c r="E54" s="22" t="n">
        <f aca="false">SEMANAS!$B$8</f>
        <v>3</v>
      </c>
      <c r="F54" s="22" t="n">
        <f aca="false">SEMANAS!$B$9</f>
        <v>4</v>
      </c>
      <c r="G54" s="22" t="n">
        <f aca="false">SEMANAS!$B$10</f>
        <v>5</v>
      </c>
      <c r="H54" s="22" t="n">
        <f aca="false">SEMANAS!$B$11</f>
        <v>6</v>
      </c>
      <c r="I54" s="22" t="n">
        <f aca="false">SEMANAS!$B$12</f>
        <v>7</v>
      </c>
      <c r="J54" s="22" t="n">
        <f aca="false">SEMANAS!$B$13</f>
        <v>8</v>
      </c>
      <c r="K54" s="22" t="n">
        <f aca="false">SEMANAS!$B$14</f>
        <v>9</v>
      </c>
      <c r="L54" s="22" t="n">
        <f aca="false">SEMANAS!$B$15</f>
        <v>10</v>
      </c>
      <c r="M54" s="22" t="n">
        <f aca="false">SEMANAS!$B$16</f>
        <v>11</v>
      </c>
      <c r="N54" s="22" t="n">
        <f aca="false">SEMANAS!$B$17</f>
        <v>12</v>
      </c>
      <c r="O54" s="22" t="n">
        <f aca="false">SEMANAS!$B$18</f>
        <v>13</v>
      </c>
      <c r="P54" s="22" t="n">
        <f aca="false">SEMANAS!$B$19</f>
        <v>14</v>
      </c>
      <c r="Q54" s="22" t="n">
        <f aca="false">SEMANAS!$B$20</f>
        <v>15</v>
      </c>
      <c r="R54" s="22" t="n">
        <f aca="false">SEMANAS!$B$21</f>
        <v>16</v>
      </c>
      <c r="S54" s="22" t="n">
        <f aca="false">SEMANAS!$B$22</f>
        <v>17</v>
      </c>
      <c r="T54" s="22" t="n">
        <f aca="false">SEMANAS!$B$23</f>
        <v>18</v>
      </c>
      <c r="U54" s="22" t="n">
        <f aca="false">SEMANAS!$B$24</f>
        <v>19</v>
      </c>
      <c r="V54" s="22" t="n">
        <f aca="false">SEMANAS!$B$25</f>
        <v>20</v>
      </c>
      <c r="W54" s="22" t="n">
        <f aca="false">SEMANAS!$B$26</f>
        <v>21</v>
      </c>
      <c r="X54" s="22" t="n">
        <f aca="false">SEMANAS!$B$27</f>
        <v>22</v>
      </c>
      <c r="Y54" s="22" t="n">
        <f aca="false">SEMANAS!$B$28</f>
        <v>23</v>
      </c>
      <c r="Z54" s="22" t="n">
        <f aca="false">SEMANAS!$B$29</f>
        <v>24</v>
      </c>
      <c r="AA54" s="22" t="n">
        <f aca="false">SEMANAS!$B$30</f>
        <v>25</v>
      </c>
      <c r="AB54" s="22" t="n">
        <f aca="false">SEMANAS!$B$31</f>
        <v>26</v>
      </c>
      <c r="AC54" s="22" t="n">
        <f aca="false">SEMANAS!$B$32</f>
        <v>27</v>
      </c>
      <c r="AD54" s="22" t="n">
        <f aca="false">SEMANAS!$B$33</f>
        <v>28</v>
      </c>
      <c r="AE54" s="22" t="n">
        <f aca="false">SEMANAS!$B$34</f>
        <v>29</v>
      </c>
      <c r="AF54" s="22" t="n">
        <f aca="false">SEMANAS!$B$35</f>
        <v>30</v>
      </c>
      <c r="AG54" s="22" t="n">
        <f aca="false">SEMANAS!$B$36</f>
        <v>31</v>
      </c>
      <c r="AH54" s="22" t="n">
        <f aca="false">SEMANAS!$B$37</f>
        <v>32</v>
      </c>
      <c r="AI54" s="22" t="n">
        <f aca="false">SEMANAS!$B$38</f>
        <v>33</v>
      </c>
      <c r="AJ54" s="22" t="n">
        <f aca="false">SEMANAS!$B$39</f>
        <v>34</v>
      </c>
      <c r="AK54" s="22" t="n">
        <f aca="false">SEMANAS!$B$40</f>
        <v>35</v>
      </c>
      <c r="AL54" s="22" t="n">
        <f aca="false">SEMANAS!$B$41</f>
        <v>36</v>
      </c>
      <c r="AM54" s="22" t="n">
        <f aca="false">SEMANAS!$B$42</f>
        <v>37</v>
      </c>
      <c r="AN54" s="22" t="n">
        <f aca="false">SEMANAS!$B$43</f>
        <v>38</v>
      </c>
      <c r="AO54" s="22" t="n">
        <f aca="false">SEMANAS!$B$44</f>
        <v>39</v>
      </c>
      <c r="AP54" s="22" t="n">
        <f aca="false">SEMANAS!$B$45</f>
        <v>40</v>
      </c>
      <c r="AQ54" s="22" t="n">
        <f aca="false">SEMANAS!$B$46</f>
        <v>41</v>
      </c>
      <c r="AR54" s="22" t="n">
        <f aca="false">SEMANAS!$B$47</f>
        <v>42</v>
      </c>
      <c r="AS54" s="22" t="n">
        <f aca="false">SEMANAS!$B$48</f>
        <v>43</v>
      </c>
      <c r="AT54" s="22" t="n">
        <f aca="false">SEMANAS!$B$49</f>
        <v>44</v>
      </c>
      <c r="AU54" s="22" t="n">
        <f aca="false">SEMANAS!$B$50</f>
        <v>45</v>
      </c>
      <c r="AV54" s="22" t="n">
        <f aca="false">SEMANAS!$B$51</f>
        <v>46</v>
      </c>
      <c r="AW54" s="22" t="n">
        <f aca="false">SEMANAS!$B$52</f>
        <v>47</v>
      </c>
      <c r="AX54" s="22" t="n">
        <f aca="false">SEMANAS!$B$53</f>
        <v>48</v>
      </c>
      <c r="AY54" s="22" t="n">
        <f aca="false">SEMANAS!$B$54</f>
        <v>49</v>
      </c>
      <c r="AZ54" s="22" t="n">
        <f aca="false">SEMANAS!$B$55</f>
        <v>50</v>
      </c>
      <c r="BA54" s="22" t="n">
        <f aca="false">SEMANAS!$B$56</f>
        <v>51</v>
      </c>
      <c r="BB54" s="22" t="n">
        <f aca="false">SEMANAS!$B$57</f>
        <v>52</v>
      </c>
      <c r="BC54" s="22" t="n">
        <f aca="false">SEMANAS!$B$58</f>
        <v>53</v>
      </c>
      <c r="BD54" s="22" t="n">
        <f aca="false">SEMANAS!$B$59</f>
        <v>54</v>
      </c>
      <c r="BE54" s="22" t="n">
        <f aca="false">SEMANAS!$B$60</f>
        <v>55</v>
      </c>
      <c r="BF54" s="22" t="n">
        <f aca="false">SEMANAS!$B$61</f>
        <v>56</v>
      </c>
      <c r="BG54" s="22" t="n">
        <f aca="false">SEMANAS!$B$62</f>
        <v>57</v>
      </c>
      <c r="BH54" s="22" t="n">
        <f aca="false">SEMANAS!$B$63</f>
        <v>58</v>
      </c>
      <c r="BI54" s="22" t="n">
        <f aca="false">SEMANAS!$B$64</f>
        <v>59</v>
      </c>
      <c r="BJ54" s="22" t="n">
        <f aca="false">SEMANAS!$B$65</f>
        <v>60</v>
      </c>
      <c r="BK54" s="22" t="n">
        <f aca="false">SEMANAS!$B$66</f>
        <v>61</v>
      </c>
      <c r="BL54" s="22" t="n">
        <f aca="false">SEMANAS!$B$67</f>
        <v>62</v>
      </c>
      <c r="BM54" s="22" t="n">
        <f aca="false">SEMANAS!$B$68</f>
        <v>63</v>
      </c>
      <c r="BN54" s="22" t="n">
        <f aca="false">SEMANAS!$B$69</f>
        <v>64</v>
      </c>
      <c r="BO54" s="22" t="n">
        <f aca="false">SEMANAS!$B$70</f>
        <v>65</v>
      </c>
      <c r="BP54" s="22" t="n">
        <f aca="false">SEMANAS!$B$71</f>
        <v>66</v>
      </c>
    </row>
    <row r="55" customFormat="false" ht="15" hidden="false" customHeight="false" outlineLevel="0" collapsed="false">
      <c r="B55" s="15" t="s">
        <v>171</v>
      </c>
      <c r="C55" s="18" t="n">
        <f aca="false">AUX_MATRIZES!C128</f>
        <v>-702.214285714286</v>
      </c>
      <c r="D55" s="18" t="n">
        <f aca="false">AUX_MATRIZES!D128</f>
        <v>-702.214285714286</v>
      </c>
      <c r="E55" s="18" t="n">
        <f aca="false">AUX_MATRIZES!E128</f>
        <v>-702.214285714286</v>
      </c>
      <c r="F55" s="18" t="n">
        <f aca="false">AUX_MATRIZES!F128</f>
        <v>-702.214285714286</v>
      </c>
      <c r="G55" s="18" t="n">
        <f aca="false">AUX_MATRIZES!G128</f>
        <v>-693.276297719088</v>
      </c>
      <c r="H55" s="18" t="n">
        <f aca="false">AUX_MATRIZES!H128</f>
        <v>-702.214285714286</v>
      </c>
      <c r="I55" s="18" t="n">
        <f aca="false">AUX_MATRIZES!I128</f>
        <v>-702.214285714286</v>
      </c>
      <c r="J55" s="18" t="n">
        <f aca="false">AUX_MATRIZES!J128</f>
        <v>-681.891378151261</v>
      </c>
      <c r="K55" s="18" t="n">
        <f aca="false">AUX_MATRIZES!K128</f>
        <v>-641.568877373171</v>
      </c>
      <c r="L55" s="18" t="n">
        <f aca="false">AUX_MATRIZES!L128</f>
        <v>-702.214285714286</v>
      </c>
      <c r="M55" s="18" t="n">
        <f aca="false">AUX_MATRIZES!M128</f>
        <v>-685.746672268908</v>
      </c>
      <c r="N55" s="18" t="n">
        <f aca="false">AUX_MATRIZES!N128</f>
        <v>-685.746672268908</v>
      </c>
      <c r="O55" s="18" t="n">
        <f aca="false">AUX_MATRIZES!O128</f>
        <v>-685.746672268908</v>
      </c>
      <c r="P55" s="18" t="n">
        <f aca="false">AUX_MATRIZES!P128</f>
        <v>-702.214285714286</v>
      </c>
      <c r="Q55" s="18" t="n">
        <f aca="false">AUX_MATRIZES!Q128</f>
        <v>-702.214285714286</v>
      </c>
      <c r="R55" s="18" t="n">
        <f aca="false">AUX_MATRIZES!R128</f>
        <v>-702.214285714286</v>
      </c>
      <c r="S55" s="18" t="n">
        <f aca="false">AUX_MATRIZES!S128</f>
        <v>-702.214285714286</v>
      </c>
      <c r="T55" s="18" t="n">
        <f aca="false">AUX_MATRIZES!T128</f>
        <v>-702.214285714286</v>
      </c>
      <c r="U55" s="18" t="n">
        <f aca="false">AUX_MATRIZES!U128</f>
        <v>-702.214285714286</v>
      </c>
      <c r="V55" s="18" t="n">
        <f aca="false">AUX_MATRIZES!V128</f>
        <v>-702.214285714286</v>
      </c>
      <c r="W55" s="18" t="n">
        <f aca="false">AUX_MATRIZES!W128</f>
        <v>-702.214285714286</v>
      </c>
      <c r="X55" s="18" t="n">
        <f aca="false">AUX_MATRIZES!X128</f>
        <v>-702.214285714286</v>
      </c>
      <c r="Y55" s="18" t="n">
        <f aca="false">AUX_MATRIZES!Y128</f>
        <v>-702.214285714286</v>
      </c>
      <c r="Z55" s="18" t="n">
        <f aca="false">AUX_MATRIZES!Z128</f>
        <v>-702.214285714286</v>
      </c>
      <c r="AA55" s="18" t="n">
        <f aca="false">AUX_MATRIZES!AA128</f>
        <v>-702.214285714286</v>
      </c>
      <c r="AB55" s="18" t="n">
        <f aca="false">AUX_MATRIZES!AB128</f>
        <v>-702.214285714286</v>
      </c>
      <c r="AC55" s="18" t="n">
        <f aca="false">AUX_MATRIZES!AC128</f>
        <v>-702.214285714286</v>
      </c>
      <c r="AD55" s="18" t="n">
        <f aca="false">AUX_MATRIZES!AD128</f>
        <v>-702.214285714286</v>
      </c>
      <c r="AE55" s="18" t="n">
        <f aca="false">AUX_MATRIZES!AE128</f>
        <v>-702.214285714286</v>
      </c>
      <c r="AF55" s="18" t="n">
        <f aca="false">AUX_MATRIZES!AF128</f>
        <v>-702.214285714286</v>
      </c>
      <c r="AG55" s="18" t="n">
        <f aca="false">AUX_MATRIZES!AG128</f>
        <v>-668.157992740291</v>
      </c>
      <c r="AH55" s="18" t="n">
        <f aca="false">AUX_MATRIZES!AH128</f>
        <v>-586.145165034061</v>
      </c>
      <c r="AI55" s="18" t="n">
        <f aca="false">AUX_MATRIZES!AI128</f>
        <v>-558.770295559644</v>
      </c>
      <c r="AJ55" s="18" t="n">
        <f aca="false">AUX_MATRIZES!AJ128</f>
        <v>-531.395426085227</v>
      </c>
      <c r="AK55" s="18" t="n">
        <f aca="false">AUX_MATRIZES!AK128</f>
        <v>-501.998633853541</v>
      </c>
      <c r="AL55" s="18" t="n">
        <f aca="false">AUX_MATRIZES!AL128</f>
        <v>-457.348033613445</v>
      </c>
      <c r="AM55" s="18" t="n">
        <f aca="false">AUX_MATRIZES!AM128</f>
        <v>-457.348033613445</v>
      </c>
      <c r="AN55" s="18" t="n">
        <f aca="false">AUX_MATRIZES!AN128</f>
        <v>-457.348033613445</v>
      </c>
      <c r="AO55" s="18" t="n">
        <f aca="false">AUX_MATRIZES!AO128</f>
        <v>-457.348033613445</v>
      </c>
      <c r="AP55" s="18" t="n">
        <f aca="false">AUX_MATRIZES!AP128</f>
        <v>-456.498295318127</v>
      </c>
      <c r="AQ55" s="18" t="n">
        <f aca="false">AUX_MATRIZES!AQ128</f>
        <v>-456.356672268908</v>
      </c>
      <c r="AR55" s="18" t="n">
        <f aca="false">AUX_MATRIZES!AR128</f>
        <v>-456.356672268908</v>
      </c>
      <c r="AS55" s="18" t="n">
        <f aca="false">AUX_MATRIZES!AS128</f>
        <v>-456.356672268908</v>
      </c>
      <c r="AT55" s="18" t="n">
        <f aca="false">AUX_MATRIZES!AT128</f>
        <v>-459.01067783597</v>
      </c>
      <c r="AU55" s="18" t="n">
        <f aca="false">AUX_MATRIZES!AU128</f>
        <v>-466.715530827716</v>
      </c>
      <c r="AV55" s="18" t="n">
        <f aca="false">AUX_MATRIZES!AV128</f>
        <v>-483.414744359282</v>
      </c>
      <c r="AW55" s="18" t="n">
        <f aca="false">AUX_MATRIZES!AW128</f>
        <v>-500.113957890849</v>
      </c>
      <c r="AX55" s="18" t="n">
        <f aca="false">AUX_MATRIZES!AX128</f>
        <v>-511.515535603252</v>
      </c>
      <c r="AY55" s="18" t="n">
        <f aca="false">AUX_MATRIZES!AY128</f>
        <v>-499.924118447379</v>
      </c>
      <c r="AZ55" s="18" t="n">
        <f aca="false">AUX_MATRIZES!AZ128</f>
        <v>-520.118516206483</v>
      </c>
      <c r="BA55" s="18" t="n">
        <f aca="false">AUX_MATRIZES!BA128</f>
        <v>-702.214285714286</v>
      </c>
      <c r="BB55" s="18" t="n">
        <f aca="false">AUX_MATRIZES!BB128</f>
        <v>-702.214285714286</v>
      </c>
      <c r="BC55" s="18" t="n">
        <f aca="false">AUX_MATRIZES!BC128</f>
        <v>-702.214285714286</v>
      </c>
      <c r="BD55" s="18" t="n">
        <f aca="false">AUX_MATRIZES!BD128</f>
        <v>-702.214285714286</v>
      </c>
      <c r="BE55" s="18" t="n">
        <f aca="false">AUX_MATRIZES!BE128</f>
        <v>-702.214285714286</v>
      </c>
      <c r="BF55" s="18" t="n">
        <f aca="false">AUX_MATRIZES!BF128</f>
        <v>-702.214285714286</v>
      </c>
      <c r="BG55" s="18" t="n">
        <f aca="false">AUX_MATRIZES!BG128</f>
        <v>-702.214285714286</v>
      </c>
      <c r="BH55" s="18" t="n">
        <f aca="false">AUX_MATRIZES!BH128</f>
        <v>-702.214285714286</v>
      </c>
      <c r="BI55" s="18" t="n">
        <f aca="false">AUX_MATRIZES!BI128</f>
        <v>-702.214285714286</v>
      </c>
      <c r="BJ55" s="18" t="n">
        <f aca="false">AUX_MATRIZES!BJ128</f>
        <v>-702.214285714286</v>
      </c>
      <c r="BK55" s="18" t="n">
        <f aca="false">AUX_MATRIZES!BK128</f>
        <v>-702.214285714286</v>
      </c>
      <c r="BL55" s="18" t="n">
        <f aca="false">AUX_MATRIZES!BL128</f>
        <v>-702.214285714286</v>
      </c>
      <c r="BM55" s="18" t="n">
        <f aca="false">AUX_MATRIZES!BM128</f>
        <v>-702.214285714286</v>
      </c>
      <c r="BN55" s="18" t="n">
        <f aca="false">AUX_MATRIZES!BN128</f>
        <v>-702.214285714286</v>
      </c>
      <c r="BO55" s="18" t="n">
        <f aca="false">AUX_MATRIZES!BO128</f>
        <v>-702.214285714286</v>
      </c>
      <c r="BP55" s="18" t="n">
        <f aca="false">AUX_MATRIZES!BP128</f>
        <v>-702.214285714286</v>
      </c>
    </row>
    <row r="56" customFormat="false" ht="15" hidden="false" customHeight="false" outlineLevel="0" collapsed="false">
      <c r="B56" s="15" t="s">
        <v>172</v>
      </c>
      <c r="C56" s="18" t="n">
        <f aca="false">AUX_MATRIZES!C129</f>
        <v>-1279.67667226891</v>
      </c>
      <c r="D56" s="18" t="n">
        <f aca="false">AUX_MATRIZES!D129</f>
        <v>-1433.21428571429</v>
      </c>
      <c r="E56" s="18" t="n">
        <f aca="false">AUX_MATRIZES!E129</f>
        <v>-1433.21428571429</v>
      </c>
      <c r="F56" s="18" t="n">
        <f aca="false">AUX_MATRIZES!F129</f>
        <v>-1433.21428571429</v>
      </c>
      <c r="G56" s="18" t="n">
        <f aca="false">AUX_MATRIZES!G129</f>
        <v>-1424.06900840336</v>
      </c>
      <c r="H56" s="18" t="n">
        <f aca="false">AUX_MATRIZES!H129</f>
        <v>-1433.21428571429</v>
      </c>
      <c r="I56" s="18" t="n">
        <f aca="false">AUX_MATRIZES!I129</f>
        <v>-1433.21428571429</v>
      </c>
      <c r="J56" s="18" t="n">
        <f aca="false">AUX_MATRIZES!J129</f>
        <v>-1415.45102757865</v>
      </c>
      <c r="K56" s="18" t="n">
        <f aca="false">AUX_MATRIZES!K129</f>
        <v>-1375.92750786791</v>
      </c>
      <c r="L56" s="18" t="n">
        <f aca="false">AUX_MATRIZES!L129</f>
        <v>-1433.21428571429</v>
      </c>
      <c r="M56" s="18" t="n">
        <f aca="false">AUX_MATRIZES!M129</f>
        <v>-1416.36475630252</v>
      </c>
      <c r="N56" s="18" t="n">
        <f aca="false">AUX_MATRIZES!N129</f>
        <v>-1416.36475630252</v>
      </c>
      <c r="O56" s="18" t="n">
        <f aca="false">AUX_MATRIZES!O129</f>
        <v>-1416.36475630252</v>
      </c>
      <c r="P56" s="18" t="n">
        <f aca="false">AUX_MATRIZES!P129</f>
        <v>-1433.21428571429</v>
      </c>
      <c r="Q56" s="18" t="n">
        <f aca="false">AUX_MATRIZES!Q129</f>
        <v>-1433.21428571429</v>
      </c>
      <c r="R56" s="18" t="n">
        <f aca="false">AUX_MATRIZES!R129</f>
        <v>-1433.21428571429</v>
      </c>
      <c r="S56" s="18" t="n">
        <f aca="false">AUX_MATRIZES!S129</f>
        <v>-1433.21428571429</v>
      </c>
      <c r="T56" s="18" t="n">
        <f aca="false">AUX_MATRIZES!T129</f>
        <v>-1433.21428571429</v>
      </c>
      <c r="U56" s="18" t="n">
        <f aca="false">AUX_MATRIZES!U129</f>
        <v>-1433.21428571429</v>
      </c>
      <c r="V56" s="18" t="n">
        <f aca="false">AUX_MATRIZES!V129</f>
        <v>-1433.21428571429</v>
      </c>
      <c r="W56" s="18" t="n">
        <f aca="false">AUX_MATRIZES!W129</f>
        <v>-1433.21428571429</v>
      </c>
      <c r="X56" s="18" t="n">
        <f aca="false">AUX_MATRIZES!X129</f>
        <v>-1433.21428571429</v>
      </c>
      <c r="Y56" s="18" t="n">
        <f aca="false">AUX_MATRIZES!Y129</f>
        <v>-1433.21428571429</v>
      </c>
      <c r="Z56" s="18" t="n">
        <f aca="false">AUX_MATRIZES!Z129</f>
        <v>-1431.81686546335</v>
      </c>
      <c r="AA56" s="18" t="n">
        <f aca="false">AUX_MATRIZES!AA129</f>
        <v>-1402.71638203526</v>
      </c>
      <c r="AB56" s="18" t="n">
        <f aca="false">AUX_MATRIZES!AB129</f>
        <v>-1386.29539495798</v>
      </c>
      <c r="AC56" s="18" t="n">
        <f aca="false">AUX_MATRIZES!AC129</f>
        <v>-1375.25235854342</v>
      </c>
      <c r="AD56" s="18" t="n">
        <f aca="false">AUX_MATRIZES!AD129</f>
        <v>-1375.25235854342</v>
      </c>
      <c r="AE56" s="18" t="n">
        <f aca="false">AUX_MATRIZES!AE129</f>
        <v>-1375.25235854342</v>
      </c>
      <c r="AF56" s="18" t="n">
        <f aca="false">AUX_MATRIZES!AF129</f>
        <v>-1375.25235854342</v>
      </c>
      <c r="AG56" s="18" t="n">
        <f aca="false">AUX_MATRIZES!AG129</f>
        <v>-1272.70323714671</v>
      </c>
      <c r="AH56" s="18" t="n">
        <f aca="false">AUX_MATRIZES!AH129</f>
        <v>-1132.82602863368</v>
      </c>
      <c r="AI56" s="18" t="n">
        <f aca="false">AUX_MATRIZES!AI129</f>
        <v>-1103.60598506069</v>
      </c>
      <c r="AJ56" s="18" t="n">
        <f aca="false">AUX_MATRIZES!AJ129</f>
        <v>-1074.38594148771</v>
      </c>
      <c r="AK56" s="18" t="n">
        <f aca="false">AUX_MATRIZES!AK129</f>
        <v>-1038.53415181457</v>
      </c>
      <c r="AL56" s="18" t="n">
        <f aca="false">AUX_MATRIZES!AL129</f>
        <v>-963.326205559147</v>
      </c>
      <c r="AM56" s="18" t="n">
        <f aca="false">AUX_MATRIZES!AM129</f>
        <v>-979.927412195647</v>
      </c>
      <c r="AN56" s="18" t="n">
        <f aca="false">AUX_MATRIZES!AN129</f>
        <v>-996.528618832148</v>
      </c>
      <c r="AO56" s="18" t="n">
        <f aca="false">AUX_MATRIZES!AO129</f>
        <v>-1013.12982546865</v>
      </c>
      <c r="AP56" s="18" t="n">
        <f aca="false">AUX_MATRIZES!AP129</f>
        <v>-1024.06664081017</v>
      </c>
      <c r="AQ56" s="18" t="n">
        <f aca="false">AUX_MATRIZES!AQ129</f>
        <v>-1038.93324858148</v>
      </c>
      <c r="AR56" s="18" t="n">
        <f aca="false">AUX_MATRIZES!AR129</f>
        <v>-1054.74392156863</v>
      </c>
      <c r="AS56" s="18" t="n">
        <f aca="false">AUX_MATRIZES!AS129</f>
        <v>-1192.67488702148</v>
      </c>
      <c r="AT56" s="18" t="n">
        <f aca="false">AUX_MATRIZES!AT129</f>
        <v>-1200.34604295051</v>
      </c>
      <c r="AU56" s="18" t="n">
        <f aca="false">AUX_MATRIZES!AU129</f>
        <v>-1212.3671092437</v>
      </c>
      <c r="AV56" s="18" t="n">
        <f aca="false">AUX_MATRIZES!AV129</f>
        <v>-1233.09873015873</v>
      </c>
      <c r="AW56" s="18" t="n">
        <f aca="false">AUX_MATRIZES!AW129</f>
        <v>-1253.83035107376</v>
      </c>
      <c r="AX56" s="18" t="n">
        <f aca="false">AUX_MATRIZES!AX129</f>
        <v>-1270.06983753501</v>
      </c>
      <c r="AY56" s="18" t="n">
        <f aca="false">AUX_MATRIZES!AY129</f>
        <v>-1433.21428571429</v>
      </c>
      <c r="AZ56" s="18" t="n">
        <f aca="false">AUX_MATRIZES!AZ129</f>
        <v>-1433.21428571429</v>
      </c>
      <c r="BA56" s="18" t="n">
        <f aca="false">AUX_MATRIZES!BA129</f>
        <v>-1433.21428571429</v>
      </c>
      <c r="BB56" s="18" t="n">
        <f aca="false">AUX_MATRIZES!BB129</f>
        <v>-1433.21428571429</v>
      </c>
      <c r="BC56" s="18" t="n">
        <f aca="false">AUX_MATRIZES!BC129</f>
        <v>-1433.21428571429</v>
      </c>
      <c r="BD56" s="18" t="n">
        <f aca="false">AUX_MATRIZES!BD129</f>
        <v>-1433.21428571429</v>
      </c>
      <c r="BE56" s="18" t="n">
        <f aca="false">AUX_MATRIZES!BE129</f>
        <v>-1433.21428571429</v>
      </c>
      <c r="BF56" s="18" t="n">
        <f aca="false">AUX_MATRIZES!BF129</f>
        <v>-1433.21428571429</v>
      </c>
      <c r="BG56" s="18" t="n">
        <f aca="false">AUX_MATRIZES!BG129</f>
        <v>-1433.21428571429</v>
      </c>
      <c r="BH56" s="18" t="n">
        <f aca="false">AUX_MATRIZES!BH129</f>
        <v>-1433.21428571429</v>
      </c>
      <c r="BI56" s="18" t="n">
        <f aca="false">AUX_MATRIZES!BI129</f>
        <v>-1433.21428571429</v>
      </c>
      <c r="BJ56" s="18" t="n">
        <f aca="false">AUX_MATRIZES!BJ129</f>
        <v>-1433.21428571429</v>
      </c>
      <c r="BK56" s="18" t="n">
        <f aca="false">AUX_MATRIZES!BK129</f>
        <v>-1433.21428571429</v>
      </c>
      <c r="BL56" s="18" t="n">
        <f aca="false">AUX_MATRIZES!BL129</f>
        <v>-1433.21428571429</v>
      </c>
      <c r="BM56" s="18" t="n">
        <f aca="false">AUX_MATRIZES!BM129</f>
        <v>-1433.21428571429</v>
      </c>
      <c r="BN56" s="18" t="n">
        <f aca="false">AUX_MATRIZES!BN129</f>
        <v>-1433.21428571429</v>
      </c>
      <c r="BO56" s="18" t="n">
        <f aca="false">AUX_MATRIZES!BO129</f>
        <v>-1433.21428571429</v>
      </c>
      <c r="BP56" s="18" t="n">
        <f aca="false">AUX_MATRIZES!BP129</f>
        <v>-1433.21428571429</v>
      </c>
    </row>
    <row r="57" customFormat="false" ht="15" hidden="false" customHeight="false" outlineLevel="0" collapsed="false">
      <c r="B57" s="15" t="s">
        <v>173</v>
      </c>
      <c r="C57" s="18" t="n">
        <f aca="false">AUX_MATRIZES!C130</f>
        <v>-1412.71428571429</v>
      </c>
      <c r="D57" s="18" t="n">
        <f aca="false">AUX_MATRIZES!D130</f>
        <v>-1412.71428571429</v>
      </c>
      <c r="E57" s="18" t="n">
        <f aca="false">AUX_MATRIZES!E130</f>
        <v>-1412.71428571429</v>
      </c>
      <c r="F57" s="18" t="n">
        <f aca="false">AUX_MATRIZES!F130</f>
        <v>-1412.71428571429</v>
      </c>
      <c r="G57" s="18" t="n">
        <f aca="false">AUX_MATRIZES!G130</f>
        <v>-1394.7328467387</v>
      </c>
      <c r="H57" s="18" t="n">
        <f aca="false">AUX_MATRIZES!H130</f>
        <v>-1412.71428571429</v>
      </c>
      <c r="I57" s="18" t="n">
        <f aca="false">AUX_MATRIZES!I130</f>
        <v>-1412.71428571429</v>
      </c>
      <c r="J57" s="18" t="n">
        <f aca="false">AUX_MATRIZES!J130</f>
        <v>-1409.02661431955</v>
      </c>
      <c r="K57" s="18" t="n">
        <f aca="false">AUX_MATRIZES!K130</f>
        <v>-1329.71310057223</v>
      </c>
      <c r="L57" s="18" t="n">
        <f aca="false">AUX_MATRIZES!L130</f>
        <v>-1412.71428571429</v>
      </c>
      <c r="M57" s="18" t="n">
        <f aca="false">AUX_MATRIZES!M130</f>
        <v>-1381.42898740546</v>
      </c>
      <c r="N57" s="18" t="n">
        <f aca="false">AUX_MATRIZES!N130</f>
        <v>-1379.58475070028</v>
      </c>
      <c r="O57" s="18" t="n">
        <f aca="false">AUX_MATRIZES!O130</f>
        <v>-1379.58475070028</v>
      </c>
      <c r="P57" s="18" t="n">
        <f aca="false">AUX_MATRIZES!P130</f>
        <v>-1412.71428571429</v>
      </c>
      <c r="Q57" s="18" t="n">
        <f aca="false">AUX_MATRIZES!Q130</f>
        <v>-1412.71428571429</v>
      </c>
      <c r="R57" s="18" t="n">
        <f aca="false">AUX_MATRIZES!R130</f>
        <v>-1412.71428571429</v>
      </c>
      <c r="S57" s="18" t="n">
        <f aca="false">AUX_MATRIZES!S130</f>
        <v>-1412.71428571429</v>
      </c>
      <c r="T57" s="18" t="n">
        <f aca="false">AUX_MATRIZES!T130</f>
        <v>-1409.10537863639</v>
      </c>
      <c r="U57" s="18" t="n">
        <f aca="false">AUX_MATRIZES!U130</f>
        <v>-1412.71428571429</v>
      </c>
      <c r="V57" s="18" t="n">
        <f aca="false">AUX_MATRIZES!V130</f>
        <v>-1412.71428571429</v>
      </c>
      <c r="W57" s="18" t="n">
        <f aca="false">AUX_MATRIZES!W130</f>
        <v>-1412.71428571429</v>
      </c>
      <c r="X57" s="18" t="n">
        <f aca="false">AUX_MATRIZES!X130</f>
        <v>-1412.71428571429</v>
      </c>
      <c r="Y57" s="18" t="n">
        <f aca="false">AUX_MATRIZES!Y130</f>
        <v>-1412.71428571429</v>
      </c>
      <c r="Z57" s="18" t="n">
        <f aca="false">AUX_MATRIZES!Z130</f>
        <v>-1412.71428571429</v>
      </c>
      <c r="AA57" s="18" t="n">
        <f aca="false">AUX_MATRIZES!AA130</f>
        <v>-1412.71428571429</v>
      </c>
      <c r="AB57" s="18" t="n">
        <f aca="false">AUX_MATRIZES!AB130</f>
        <v>-1412.71428571429</v>
      </c>
      <c r="AC57" s="18" t="n">
        <f aca="false">AUX_MATRIZES!AC130</f>
        <v>-1412.71428571429</v>
      </c>
      <c r="AD57" s="18" t="n">
        <f aca="false">AUX_MATRIZES!AD130</f>
        <v>-1412.71428571429</v>
      </c>
      <c r="AE57" s="18" t="n">
        <f aca="false">AUX_MATRIZES!AE130</f>
        <v>-1412.71428571429</v>
      </c>
      <c r="AF57" s="18" t="n">
        <f aca="false">AUX_MATRIZES!AF130</f>
        <v>-1412.71428571429</v>
      </c>
      <c r="AG57" s="18" t="n">
        <f aca="false">AUX_MATRIZES!AG130</f>
        <v>-1360.08478377386</v>
      </c>
      <c r="AH57" s="18" t="n">
        <f aca="false">AUX_MATRIZES!AH130</f>
        <v>-1194.94156756667</v>
      </c>
      <c r="AI57" s="18" t="n">
        <f aca="false">AUX_MATRIZES!AI130</f>
        <v>-1139.86882130841</v>
      </c>
      <c r="AJ57" s="18" t="n">
        <f aca="false">AUX_MATRIZES!AJ130</f>
        <v>-1084.79607505014</v>
      </c>
      <c r="AK57" s="18" t="n">
        <f aca="false">AUX_MATRIZES!AK130</f>
        <v>-1009.92055542217</v>
      </c>
      <c r="AL57" s="18" t="n">
        <f aca="false">AUX_MATRIZES!AL130</f>
        <v>-920.092504201681</v>
      </c>
      <c r="AM57" s="18" t="n">
        <f aca="false">AUX_MATRIZES!AM130</f>
        <v>-920.092504201681</v>
      </c>
      <c r="AN57" s="18" t="n">
        <f aca="false">AUX_MATRIZES!AN130</f>
        <v>-920.092504201681</v>
      </c>
      <c r="AO57" s="18" t="n">
        <f aca="false">AUX_MATRIZES!AO130</f>
        <v>-920.092504201681</v>
      </c>
      <c r="AP57" s="18" t="n">
        <f aca="false">AUX_MATRIZES!AP130</f>
        <v>-918.38300120048</v>
      </c>
      <c r="AQ57" s="18" t="n">
        <f aca="false">AUX_MATRIZES!AQ130</f>
        <v>-918.098084033614</v>
      </c>
      <c r="AR57" s="18" t="n">
        <f aca="false">AUX_MATRIZES!AR130</f>
        <v>-918.098084033614</v>
      </c>
      <c r="AS57" s="18" t="n">
        <f aca="false">AUX_MATRIZES!AS130</f>
        <v>-918.098084033614</v>
      </c>
      <c r="AT57" s="18" t="n">
        <f aca="false">AUX_MATRIZES!AT130</f>
        <v>-914.125710216688</v>
      </c>
      <c r="AU57" s="18" t="n">
        <f aca="false">AUX_MATRIZES!AU130</f>
        <v>-929.339324447728</v>
      </c>
      <c r="AV57" s="18" t="n">
        <f aca="false">AUX_MATRIZES!AV130</f>
        <v>-962.93479237849</v>
      </c>
      <c r="AW57" s="18" t="n">
        <f aca="false">AUX_MATRIZES!AW130</f>
        <v>-996.530260309252</v>
      </c>
      <c r="AX57" s="18" t="n">
        <f aca="false">AUX_MATRIZES!AX130</f>
        <v>-1019.18094315235</v>
      </c>
      <c r="AY57" s="18" t="n">
        <f aca="false">AUX_MATRIZES!AY130</f>
        <v>-994.13931012405</v>
      </c>
      <c r="AZ57" s="18" t="n">
        <f aca="false">AUX_MATRIZES!AZ130</f>
        <v>-1034.76638762172</v>
      </c>
      <c r="BA57" s="18" t="n">
        <f aca="false">AUX_MATRIZES!BA130</f>
        <v>-1075.39346511938</v>
      </c>
      <c r="BB57" s="18" t="n">
        <f aca="false">AUX_MATRIZES!BB130</f>
        <v>-1412.71428571429</v>
      </c>
      <c r="BC57" s="18" t="n">
        <f aca="false">AUX_MATRIZES!BC130</f>
        <v>-1412.71428571429</v>
      </c>
      <c r="BD57" s="18" t="n">
        <f aca="false">AUX_MATRIZES!BD130</f>
        <v>-1412.71428571429</v>
      </c>
      <c r="BE57" s="18" t="n">
        <f aca="false">AUX_MATRIZES!BE130</f>
        <v>-1412.71428571429</v>
      </c>
      <c r="BF57" s="18" t="n">
        <f aca="false">AUX_MATRIZES!BF130</f>
        <v>-1412.71428571429</v>
      </c>
      <c r="BG57" s="18" t="n">
        <f aca="false">AUX_MATRIZES!BG130</f>
        <v>-1412.71428571429</v>
      </c>
      <c r="BH57" s="18" t="n">
        <f aca="false">AUX_MATRIZES!BH130</f>
        <v>-1412.71428571429</v>
      </c>
      <c r="BI57" s="18" t="n">
        <f aca="false">AUX_MATRIZES!BI130</f>
        <v>-1412.71428571429</v>
      </c>
      <c r="BJ57" s="18" t="n">
        <f aca="false">AUX_MATRIZES!BJ130</f>
        <v>-1412.71428571429</v>
      </c>
      <c r="BK57" s="18" t="n">
        <f aca="false">AUX_MATRIZES!BK130</f>
        <v>-1412.71428571429</v>
      </c>
      <c r="BL57" s="18" t="n">
        <f aca="false">AUX_MATRIZES!BL130</f>
        <v>-1412.71428571429</v>
      </c>
      <c r="BM57" s="18" t="n">
        <f aca="false">AUX_MATRIZES!BM130</f>
        <v>-1412.71428571429</v>
      </c>
      <c r="BN57" s="18" t="n">
        <f aca="false">AUX_MATRIZES!BN130</f>
        <v>-1412.71428571429</v>
      </c>
      <c r="BO57" s="18" t="n">
        <f aca="false">AUX_MATRIZES!BO130</f>
        <v>-1412.71428571429</v>
      </c>
      <c r="BP57" s="18" t="n">
        <f aca="false">AUX_MATRIZES!BP130</f>
        <v>-1412.71428571429</v>
      </c>
    </row>
    <row r="58" customFormat="false" ht="15" hidden="false" customHeight="false" outlineLevel="0" collapsed="false">
      <c r="B58" s="15" t="s">
        <v>174</v>
      </c>
      <c r="C58" s="18" t="n">
        <f aca="false">AUX_MATRIZES!C131</f>
        <v>-3540.25752380952</v>
      </c>
      <c r="D58" s="18" t="n">
        <f aca="false">AUX_MATRIZES!D131</f>
        <v>-3523.77540616247</v>
      </c>
      <c r="E58" s="18" t="n">
        <f aca="false">AUX_MATRIZES!E131</f>
        <v>-3523.77540616247</v>
      </c>
      <c r="F58" s="18" t="n">
        <f aca="false">AUX_MATRIZES!F131</f>
        <v>-3523.77540616247</v>
      </c>
      <c r="G58" s="18" t="n">
        <f aca="false">AUX_MATRIZES!G131</f>
        <v>-3585.5666442577</v>
      </c>
      <c r="H58" s="18" t="n">
        <f aca="false">AUX_MATRIZES!H131</f>
        <v>-3665.38707002801</v>
      </c>
      <c r="I58" s="18" t="n">
        <f aca="false">AUX_MATRIZES!I131</f>
        <v>-3665.38707002801</v>
      </c>
      <c r="J58" s="18" t="n">
        <f aca="false">AUX_MATRIZES!J131</f>
        <v>-3620.8768526944</v>
      </c>
      <c r="K58" s="18" t="n">
        <f aca="false">AUX_MATRIZES!K131</f>
        <v>-3576.65633276119</v>
      </c>
      <c r="L58" s="18" t="n">
        <f aca="false">AUX_MATRIZES!L131</f>
        <v>-3852.85714285714</v>
      </c>
      <c r="M58" s="18" t="n">
        <f aca="false">AUX_MATRIZES!M131</f>
        <v>-3817.61199439776</v>
      </c>
      <c r="N58" s="18" t="n">
        <f aca="false">AUX_MATRIZES!N131</f>
        <v>-3817.61199439776</v>
      </c>
      <c r="O58" s="18" t="n">
        <f aca="false">AUX_MATRIZES!O131</f>
        <v>-3817.61199439776</v>
      </c>
      <c r="P58" s="18" t="n">
        <f aca="false">AUX_MATRIZES!P131</f>
        <v>-3852.85714285714</v>
      </c>
      <c r="Q58" s="18" t="n">
        <f aca="false">AUX_MATRIZES!Q131</f>
        <v>-3852.85714285714</v>
      </c>
      <c r="R58" s="18" t="n">
        <f aca="false">AUX_MATRIZES!R131</f>
        <v>-3852.85714285714</v>
      </c>
      <c r="S58" s="18" t="n">
        <f aca="false">AUX_MATRIZES!S131</f>
        <v>-3852.85714285714</v>
      </c>
      <c r="T58" s="18" t="n">
        <f aca="false">AUX_MATRIZES!T131</f>
        <v>-3852.85714285714</v>
      </c>
      <c r="U58" s="18" t="n">
        <f aca="false">AUX_MATRIZES!U131</f>
        <v>-3852.85714285714</v>
      </c>
      <c r="V58" s="18" t="n">
        <f aca="false">AUX_MATRIZES!V131</f>
        <v>-3852.85714285714</v>
      </c>
      <c r="W58" s="18" t="n">
        <f aca="false">AUX_MATRIZES!W131</f>
        <v>-3852.85714285714</v>
      </c>
      <c r="X58" s="18" t="n">
        <f aca="false">AUX_MATRIZES!X131</f>
        <v>-3852.85714285714</v>
      </c>
      <c r="Y58" s="18" t="n">
        <f aca="false">AUX_MATRIZES!Y131</f>
        <v>-3852.85714285714</v>
      </c>
      <c r="Z58" s="18" t="n">
        <f aca="false">AUX_MATRIZES!Z131</f>
        <v>-3840.14910371881</v>
      </c>
      <c r="AA58" s="18" t="n">
        <f aca="false">AUX_MATRIZES!AA131</f>
        <v>-3772.17466327438</v>
      </c>
      <c r="AB58" s="18" t="n">
        <f aca="false">AUX_MATRIZES!AB131</f>
        <v>-3715.0138718888</v>
      </c>
      <c r="AC58" s="18" t="n">
        <f aca="false">AUX_MATRIZES!AC131</f>
        <v>-3662.28254341737</v>
      </c>
      <c r="AD58" s="18" t="n">
        <f aca="false">AUX_MATRIZES!AD131</f>
        <v>-3662.28254341737</v>
      </c>
      <c r="AE58" s="18" t="n">
        <f aca="false">AUX_MATRIZES!AE131</f>
        <v>-3662.28254341737</v>
      </c>
      <c r="AF58" s="18" t="n">
        <f aca="false">AUX_MATRIZES!AF131</f>
        <v>-3662.28254341737</v>
      </c>
      <c r="AG58" s="18" t="n">
        <f aca="false">AUX_MATRIZES!AG131</f>
        <v>-3354.80619428486</v>
      </c>
      <c r="AH58" s="18" t="n">
        <f aca="false">AUX_MATRIZES!AH131</f>
        <v>-2998.16073407404</v>
      </c>
      <c r="AI58" s="18" t="n">
        <f aca="false">AUX_MATRIZES!AI131</f>
        <v>-2938.36297460207</v>
      </c>
      <c r="AJ58" s="18" t="n">
        <f aca="false">AUX_MATRIZES!AJ131</f>
        <v>-2878.5652151301</v>
      </c>
      <c r="AK58" s="18" t="n">
        <f aca="false">AUX_MATRIZES!AK131</f>
        <v>-2791.96621558514</v>
      </c>
      <c r="AL58" s="18" t="n">
        <f aca="false">AUX_MATRIZES!AL131</f>
        <v>-2596.41654815772</v>
      </c>
      <c r="AM58" s="18" t="n">
        <f aca="false">AUX_MATRIZES!AM131</f>
        <v>-2651.0001077354</v>
      </c>
      <c r="AN58" s="18" t="n">
        <f aca="false">AUX_MATRIZES!AN131</f>
        <v>-2705.58366731308</v>
      </c>
      <c r="AO58" s="18" t="n">
        <f aca="false">AUX_MATRIZES!AO131</f>
        <v>-2760.16722689076</v>
      </c>
      <c r="AP58" s="18" t="n">
        <f aca="false">AUX_MATRIZES!AP131</f>
        <v>-2797.62288950745</v>
      </c>
      <c r="AQ58" s="18" t="n">
        <f aca="false">AUX_MATRIZES!AQ131</f>
        <v>-2846.75258246889</v>
      </c>
      <c r="AR58" s="18" t="n">
        <f aca="false">AUX_MATRIZES!AR131</f>
        <v>-3183.91955641744</v>
      </c>
      <c r="AS58" s="18" t="n">
        <f aca="false">AUX_MATRIZES!AS131</f>
        <v>-3210.73222035481</v>
      </c>
      <c r="AT58" s="18" t="n">
        <f aca="false">AUX_MATRIZES!AT131</f>
        <v>-3348.28275963279</v>
      </c>
      <c r="AU58" s="18" t="n">
        <f aca="false">AUX_MATRIZES!AU131</f>
        <v>-3368.90334868306</v>
      </c>
      <c r="AV58" s="18" t="n">
        <f aca="false">AUX_MATRIZES!AV131</f>
        <v>-3408.28278142026</v>
      </c>
      <c r="AW58" s="18" t="n">
        <f aca="false">AUX_MATRIZES!AW131</f>
        <v>-3447.66221415746</v>
      </c>
      <c r="AX58" s="18" t="n">
        <f aca="false">AUX_MATRIZES!AX131</f>
        <v>-3476.62997543047</v>
      </c>
      <c r="AY58" s="18" t="n">
        <f aca="false">AUX_MATRIZES!AY131</f>
        <v>-3626.51273842871</v>
      </c>
      <c r="AZ58" s="18" t="n">
        <f aca="false">AUX_MATRIZES!AZ131</f>
        <v>-3649.10844337735</v>
      </c>
      <c r="BA58" s="18" t="n">
        <f aca="false">AUX_MATRIZES!BA131</f>
        <v>-3852.85714285714</v>
      </c>
      <c r="BB58" s="18" t="n">
        <f aca="false">AUX_MATRIZES!BB131</f>
        <v>-3852.85714285714</v>
      </c>
      <c r="BC58" s="18" t="n">
        <f aca="false">AUX_MATRIZES!BC131</f>
        <v>-3852.85714285714</v>
      </c>
      <c r="BD58" s="18" t="n">
        <f aca="false">AUX_MATRIZES!BD131</f>
        <v>-3852.85714285714</v>
      </c>
      <c r="BE58" s="18" t="n">
        <f aca="false">AUX_MATRIZES!BE131</f>
        <v>-3852.85714285714</v>
      </c>
      <c r="BF58" s="18" t="n">
        <f aca="false">AUX_MATRIZES!BF131</f>
        <v>-3852.85714285714</v>
      </c>
      <c r="BG58" s="18" t="n">
        <f aca="false">AUX_MATRIZES!BG131</f>
        <v>-3852.85714285714</v>
      </c>
      <c r="BH58" s="18" t="n">
        <f aca="false">AUX_MATRIZES!BH131</f>
        <v>-3852.85714285714</v>
      </c>
      <c r="BI58" s="18" t="n">
        <f aca="false">AUX_MATRIZES!BI131</f>
        <v>-3852.85714285714</v>
      </c>
      <c r="BJ58" s="18" t="n">
        <f aca="false">AUX_MATRIZES!BJ131</f>
        <v>-3852.85714285714</v>
      </c>
      <c r="BK58" s="18" t="n">
        <f aca="false">AUX_MATRIZES!BK131</f>
        <v>-3852.85714285714</v>
      </c>
      <c r="BL58" s="18" t="n">
        <f aca="false">AUX_MATRIZES!BL131</f>
        <v>-3852.85714285714</v>
      </c>
      <c r="BM58" s="18" t="n">
        <f aca="false">AUX_MATRIZES!BM131</f>
        <v>-3852.85714285714</v>
      </c>
      <c r="BN58" s="18" t="n">
        <f aca="false">AUX_MATRIZES!BN131</f>
        <v>-3852.85714285714</v>
      </c>
      <c r="BO58" s="18" t="n">
        <f aca="false">AUX_MATRIZES!BO131</f>
        <v>-3852.85714285714</v>
      </c>
      <c r="BP58" s="18" t="n">
        <f aca="false">AUX_MATRIZES!BP131</f>
        <v>-3852.85714285714</v>
      </c>
    </row>
    <row r="59" customFormat="false" ht="15" hidden="false" customHeight="false" outlineLevel="0" collapsed="false">
      <c r="B59" s="15" t="s">
        <v>175</v>
      </c>
      <c r="C59" s="18" t="n">
        <f aca="false">AUX_MATRIZES!C132</f>
        <v>-4555.78133333333</v>
      </c>
      <c r="D59" s="18" t="n">
        <f aca="false">AUX_MATRIZES!D132</f>
        <v>-4555.49333333333</v>
      </c>
      <c r="E59" s="18" t="n">
        <f aca="false">AUX_MATRIZES!E132</f>
        <v>-4555.49333333333</v>
      </c>
      <c r="F59" s="18" t="n">
        <f aca="false">AUX_MATRIZES!F132</f>
        <v>-4555.49333333333</v>
      </c>
      <c r="G59" s="18" t="n">
        <f aca="false">AUX_MATRIZES!G132</f>
        <v>-4717.15733333333</v>
      </c>
      <c r="H59" s="18" t="n">
        <f aca="false">AUX_MATRIZES!H132</f>
        <v>-4838.40533333333</v>
      </c>
      <c r="I59" s="18" t="n">
        <f aca="false">AUX_MATRIZES!I132</f>
        <v>-4838.40533333333</v>
      </c>
      <c r="J59" s="18" t="n">
        <f aca="false">AUX_MATRIZES!J132</f>
        <v>-4890.14933333333</v>
      </c>
      <c r="K59" s="18" t="n">
        <f aca="false">AUX_MATRIZES!K132</f>
        <v>-4997.23533333333</v>
      </c>
      <c r="L59" s="18" t="n">
        <f aca="false">AUX_MATRIZES!L132</f>
        <v>-5212.93333333333</v>
      </c>
      <c r="M59" s="18" t="n">
        <f aca="false">AUX_MATRIZES!M132</f>
        <v>-5212.93333333333</v>
      </c>
      <c r="N59" s="18" t="n">
        <f aca="false">AUX_MATRIZES!N132</f>
        <v>-5212.93333333333</v>
      </c>
      <c r="O59" s="18" t="n">
        <f aca="false">AUX_MATRIZES!O132</f>
        <v>-5168.2432374737</v>
      </c>
      <c r="P59" s="18" t="n">
        <f aca="false">AUX_MATRIZES!P132</f>
        <v>-5212.93333333333</v>
      </c>
      <c r="Q59" s="18" t="n">
        <f aca="false">AUX_MATRIZES!Q132</f>
        <v>-5212.93333333333</v>
      </c>
      <c r="R59" s="18" t="n">
        <f aca="false">AUX_MATRIZES!R132</f>
        <v>-5212.93333333333</v>
      </c>
      <c r="S59" s="18" t="n">
        <f aca="false">AUX_MATRIZES!S132</f>
        <v>-5212.93333333333</v>
      </c>
      <c r="T59" s="18" t="n">
        <f aca="false">AUX_MATRIZES!T132</f>
        <v>-5201.12218327331</v>
      </c>
      <c r="U59" s="18" t="n">
        <f aca="false">AUX_MATRIZES!U132</f>
        <v>-5152.43719887955</v>
      </c>
      <c r="V59" s="18" t="n">
        <f aca="false">AUX_MATRIZES!V132</f>
        <v>-5153.38874122426</v>
      </c>
      <c r="W59" s="18" t="n">
        <f aca="false">AUX_MATRIZES!W132</f>
        <v>-5212.93333333333</v>
      </c>
      <c r="X59" s="18" t="n">
        <f aca="false">AUX_MATRIZES!X132</f>
        <v>-5212.93333333333</v>
      </c>
      <c r="Y59" s="18" t="n">
        <f aca="false">AUX_MATRIZES!Y132</f>
        <v>-5212.93333333333</v>
      </c>
      <c r="Z59" s="18" t="n">
        <f aca="false">AUX_MATRIZES!Z132</f>
        <v>-5135.73534068144</v>
      </c>
      <c r="AA59" s="18" t="n">
        <f aca="false">AUX_MATRIZES!AA132</f>
        <v>-4999.30624836601</v>
      </c>
      <c r="AB59" s="18" t="n">
        <f aca="false">AUX_MATRIZES!AB132</f>
        <v>-4992.62180392157</v>
      </c>
      <c r="AC59" s="18" t="n">
        <f aca="false">AUX_MATRIZES!AC132</f>
        <v>-4940.76831372549</v>
      </c>
      <c r="AD59" s="18" t="n">
        <f aca="false">AUX_MATRIZES!AD132</f>
        <v>-4940.76831372549</v>
      </c>
      <c r="AE59" s="18" t="n">
        <f aca="false">AUX_MATRIZES!AE132</f>
        <v>-4940.76831372549</v>
      </c>
      <c r="AF59" s="18" t="n">
        <f aca="false">AUX_MATRIZES!AF132</f>
        <v>-4940.76831372549</v>
      </c>
      <c r="AG59" s="18" t="n">
        <f aca="false">AUX_MATRIZES!AG132</f>
        <v>-4598.28710364146</v>
      </c>
      <c r="AH59" s="18" t="n">
        <f aca="false">AUX_MATRIZES!AH132</f>
        <v>-4341.42619607843</v>
      </c>
      <c r="AI59" s="18" t="n">
        <f aca="false">AUX_MATRIZES!AI132</f>
        <v>-4341.42619607843</v>
      </c>
      <c r="AJ59" s="18" t="n">
        <f aca="false">AUX_MATRIZES!AJ132</f>
        <v>-4359.24804481793</v>
      </c>
      <c r="AK59" s="18" t="n">
        <f aca="false">AUX_MATRIZES!AK132</f>
        <v>-4320.61945368917</v>
      </c>
      <c r="AL59" s="18" t="n">
        <f aca="false">AUX_MATRIZES!AL132</f>
        <v>-4178.18943527331</v>
      </c>
      <c r="AM59" s="18" t="n">
        <f aca="false">AUX_MATRIZES!AM132</f>
        <v>-4252.71047339678</v>
      </c>
      <c r="AN59" s="18" t="n">
        <f aca="false">AUX_MATRIZES!AN132</f>
        <v>-4327.23151152026</v>
      </c>
      <c r="AO59" s="18" t="n">
        <f aca="false">AUX_MATRIZES!AO132</f>
        <v>-4401.75254964373</v>
      </c>
      <c r="AP59" s="18" t="n">
        <f aca="false">AUX_MATRIZES!AP132</f>
        <v>-4367.37145973509</v>
      </c>
      <c r="AQ59" s="18" t="n">
        <f aca="false">AUX_MATRIZES!AQ132</f>
        <v>-4343.06095089495</v>
      </c>
      <c r="AR59" s="18" t="n">
        <f aca="false">AUX_MATRIZES!AR132</f>
        <v>-4732.01392292089</v>
      </c>
      <c r="AS59" s="18" t="n">
        <f aca="false">AUX_MATRIZES!AS132</f>
        <v>-4760.33576200135</v>
      </c>
      <c r="AT59" s="18" t="n">
        <f aca="false">AUX_MATRIZES!AT132</f>
        <v>-4935.72266198617</v>
      </c>
      <c r="AU59" s="18" t="n">
        <f aca="false">AUX_MATRIZES!AU132</f>
        <v>-4739.37785438037</v>
      </c>
      <c r="AV59" s="18" t="n">
        <f aca="false">AUX_MATRIZES!AV132</f>
        <v>-4620.77298081715</v>
      </c>
      <c r="AW59" s="18" t="n">
        <f aca="false">AUX_MATRIZES!AW132</f>
        <v>-4502.16810725394</v>
      </c>
      <c r="AX59" s="18" t="n">
        <f aca="false">AUX_MATRIZES!AX132</f>
        <v>-4339.95288002097</v>
      </c>
      <c r="AY59" s="18" t="n">
        <f aca="false">AUX_MATRIZES!AY132</f>
        <v>-3972.19641842944</v>
      </c>
      <c r="AZ59" s="18" t="n">
        <f aca="false">AUX_MATRIZES!AZ132</f>
        <v>-3858.16159675456</v>
      </c>
      <c r="BA59" s="18" t="n">
        <f aca="false">AUX_MATRIZES!BA132</f>
        <v>-3762.56766572008</v>
      </c>
      <c r="BB59" s="18" t="n">
        <f aca="false">AUX_MATRIZES!BB132</f>
        <v>-3666.9737346856</v>
      </c>
      <c r="BC59" s="18" t="n">
        <f aca="false">AUX_MATRIZES!BC132</f>
        <v>-3583.81409638614</v>
      </c>
      <c r="BD59" s="18" t="n">
        <f aca="false">AUX_MATRIZES!BD132</f>
        <v>-3569.07025210084</v>
      </c>
      <c r="BE59" s="18" t="n">
        <f aca="false">AUX_MATRIZES!BE132</f>
        <v>-3569.07025210084</v>
      </c>
      <c r="BF59" s="18" t="n">
        <f aca="false">AUX_MATRIZES!BF132</f>
        <v>-3624.52504201681</v>
      </c>
      <c r="BG59" s="18" t="n">
        <f aca="false">AUX_MATRIZES!BG132</f>
        <v>-4028.85985224435</v>
      </c>
      <c r="BH59" s="18" t="n">
        <f aca="false">AUX_MATRIZES!BH132</f>
        <v>-4529.89822621462</v>
      </c>
      <c r="BI59" s="18" t="n">
        <f aca="false">AUX_MATRIZES!BI132</f>
        <v>-4629.84433033903</v>
      </c>
      <c r="BJ59" s="18" t="n">
        <f aca="false">AUX_MATRIZES!BJ132</f>
        <v>-4770.23402067034</v>
      </c>
      <c r="BK59" s="18" t="n">
        <f aca="false">AUX_MATRIZES!BK132</f>
        <v>-4945.46188505747</v>
      </c>
      <c r="BL59" s="18" t="n">
        <f aca="false">AUX_MATRIZES!BL132</f>
        <v>-5212.93333333333</v>
      </c>
      <c r="BM59" s="18" t="n">
        <f aca="false">AUX_MATRIZES!BM132</f>
        <v>-5212.93333333333</v>
      </c>
      <c r="BN59" s="18" t="n">
        <f aca="false">AUX_MATRIZES!BN132</f>
        <v>-5212.93333333333</v>
      </c>
      <c r="BO59" s="18" t="n">
        <f aca="false">AUX_MATRIZES!BO132</f>
        <v>-5212.93333333333</v>
      </c>
      <c r="BP59" s="18" t="n">
        <f aca="false">AUX_MATRIZES!BP132</f>
        <v>-5212.93333333333</v>
      </c>
    </row>
    <row r="60" customFormat="false" ht="15" hidden="false" customHeight="false" outlineLevel="0" collapsed="false">
      <c r="B60" s="15" t="s">
        <v>176</v>
      </c>
      <c r="C60" s="18" t="n">
        <f aca="false">AUX_MATRIZES!C133</f>
        <v>-5821.23561482298</v>
      </c>
      <c r="D60" s="18" t="n">
        <f aca="false">AUX_MATRIZES!D133</f>
        <v>-6108.1056362217</v>
      </c>
      <c r="E60" s="18" t="n">
        <f aca="false">AUX_MATRIZES!E133</f>
        <v>-6338.48190476191</v>
      </c>
      <c r="F60" s="18" t="n">
        <f aca="false">AUX_MATRIZES!F133</f>
        <v>-6371.97690476191</v>
      </c>
      <c r="G60" s="18" t="n">
        <f aca="false">AUX_MATRIZES!G133</f>
        <v>-6538.5339047619</v>
      </c>
      <c r="H60" s="18" t="n">
        <f aca="false">AUX_MATRIZES!H133</f>
        <v>-6673.55790476191</v>
      </c>
      <c r="I60" s="18" t="n">
        <f aca="false">AUX_MATRIZES!I133</f>
        <v>-6718.83390476191</v>
      </c>
      <c r="J60" s="18" t="n">
        <f aca="false">AUX_MATRIZES!J133</f>
        <v>-6764.1099047619</v>
      </c>
      <c r="K60" s="18" t="n">
        <f aca="false">AUX_MATRIZES!K133</f>
        <v>-6831.56190476191</v>
      </c>
      <c r="L60" s="18" t="n">
        <f aca="false">AUX_MATRIZES!L133</f>
        <v>-6831.56190476191</v>
      </c>
      <c r="M60" s="18" t="n">
        <f aca="false">AUX_MATRIZES!M133</f>
        <v>-6831.56190476191</v>
      </c>
      <c r="N60" s="18" t="n">
        <f aca="false">AUX_MATRIZES!N133</f>
        <v>-6831.56190476191</v>
      </c>
      <c r="O60" s="18" t="n">
        <f aca="false">AUX_MATRIZES!O133</f>
        <v>-6824.41729568829</v>
      </c>
      <c r="P60" s="18" t="n">
        <f aca="false">AUX_MATRIZES!P133</f>
        <v>-6831.56190476191</v>
      </c>
      <c r="Q60" s="18" t="n">
        <f aca="false">AUX_MATRIZES!Q133</f>
        <v>-6831.56190476191</v>
      </c>
      <c r="R60" s="18" t="n">
        <f aca="false">AUX_MATRIZES!R133</f>
        <v>-6831.56190476191</v>
      </c>
      <c r="S60" s="18" t="n">
        <f aca="false">AUX_MATRIZES!S133</f>
        <v>-6831.56190476191</v>
      </c>
      <c r="T60" s="18" t="n">
        <f aca="false">AUX_MATRIZES!T133</f>
        <v>-6827.64480512205</v>
      </c>
      <c r="U60" s="18" t="n">
        <f aca="false">AUX_MATRIZES!U133</f>
        <v>-6811.49871148459</v>
      </c>
      <c r="V60" s="18" t="n">
        <f aca="false">AUX_MATRIZES!V133</f>
        <v>-6811.49871148459</v>
      </c>
      <c r="W60" s="18" t="n">
        <f aca="false">AUX_MATRIZES!W133</f>
        <v>-6831.56190476191</v>
      </c>
      <c r="X60" s="18" t="n">
        <f aca="false">AUX_MATRIZES!X133</f>
        <v>-6831.56190476191</v>
      </c>
      <c r="Y60" s="18" t="n">
        <f aca="false">AUX_MATRIZES!Y133</f>
        <v>-6784.36645378151</v>
      </c>
      <c r="Z60" s="18" t="n">
        <f aca="false">AUX_MATRIZES!Z133</f>
        <v>-6709.03724094608</v>
      </c>
      <c r="AA60" s="18" t="n">
        <f aca="false">AUX_MATRIZES!AA133</f>
        <v>-6584.90532773109</v>
      </c>
      <c r="AB60" s="18" t="n">
        <f aca="false">AUX_MATRIZES!AB133</f>
        <v>-6573.62532773109</v>
      </c>
      <c r="AC60" s="18" t="n">
        <f aca="false">AUX_MATRIZES!AC133</f>
        <v>-6454.06868907563</v>
      </c>
      <c r="AD60" s="18" t="n">
        <f aca="false">AUX_MATRIZES!AD133</f>
        <v>-6400.88589169001</v>
      </c>
      <c r="AE60" s="18" t="n">
        <f aca="false">AUX_MATRIZES!AE133</f>
        <v>-6383.84670968387</v>
      </c>
      <c r="AF60" s="18" t="n">
        <f aca="false">AUX_MATRIZES!AF133</f>
        <v>-6400.7512264906</v>
      </c>
      <c r="AG60" s="18" t="n">
        <f aca="false">AUX_MATRIZES!AG133</f>
        <v>-5753.95287631137</v>
      </c>
      <c r="AH60" s="18" t="n">
        <f aca="false">AUX_MATRIZES!AH133</f>
        <v>-5200.9472752212</v>
      </c>
      <c r="AI60" s="18" t="n">
        <f aca="false">AUX_MATRIZES!AI133</f>
        <v>-5188.58669904629</v>
      </c>
      <c r="AJ60" s="18" t="n">
        <f aca="false">AUX_MATRIZES!AJ133</f>
        <v>-5209.41691091736</v>
      </c>
      <c r="AK60" s="18" t="n">
        <f aca="false">AUX_MATRIZES!AK133</f>
        <v>-5253.14807504705</v>
      </c>
      <c r="AL60" s="18" t="n">
        <f aca="false">AUX_MATRIZES!AL133</f>
        <v>-4963.44169836688</v>
      </c>
      <c r="AM60" s="18" t="n">
        <f aca="false">AUX_MATRIZES!AM133</f>
        <v>-4999.45233523356</v>
      </c>
      <c r="AN60" s="18" t="n">
        <f aca="false">AUX_MATRIZES!AN133</f>
        <v>-5104.13940907504</v>
      </c>
      <c r="AO60" s="18" t="n">
        <f aca="false">AUX_MATRIZES!AO133</f>
        <v>-5208.82648291651</v>
      </c>
      <c r="AP60" s="18" t="n">
        <f aca="false">AUX_MATRIZES!AP133</f>
        <v>-5520.84538120061</v>
      </c>
      <c r="AQ60" s="18" t="n">
        <f aca="false">AUX_MATRIZES!AQ133</f>
        <v>-5579.73733473124</v>
      </c>
      <c r="AR60" s="18" t="n">
        <f aca="false">AUX_MATRIZES!AR133</f>
        <v>-6112.62715270936</v>
      </c>
      <c r="AS60" s="18" t="n">
        <f aca="false">AUX_MATRIZES!AS133</f>
        <v>-5999.88304555845</v>
      </c>
      <c r="AT60" s="18" t="n">
        <f aca="false">AUX_MATRIZES!AT133</f>
        <v>-6138.57974912632</v>
      </c>
      <c r="AU60" s="18" t="n">
        <f aca="false">AUX_MATRIZES!AU133</f>
        <v>-6076.46169915966</v>
      </c>
      <c r="AV60" s="18" t="n">
        <f aca="false">AUX_MATRIZES!AV133</f>
        <v>-6022.73946647993</v>
      </c>
      <c r="AW60" s="18" t="n">
        <f aca="false">AUX_MATRIZES!AW133</f>
        <v>-5963.38535396825</v>
      </c>
      <c r="AX60" s="18" t="n">
        <f aca="false">AUX_MATRIZES!AX133</f>
        <v>-5844.0509979992</v>
      </c>
      <c r="AY60" s="18" t="n">
        <f aca="false">AUX_MATRIZES!AY133</f>
        <v>-5568.62702558357</v>
      </c>
      <c r="AZ60" s="18" t="n">
        <f aca="false">AUX_MATRIZES!AZ133</f>
        <v>-5606.44943641457</v>
      </c>
      <c r="BA60" s="18" t="n">
        <f aca="false">AUX_MATRIZES!BA133</f>
        <v>-5470.44037759104</v>
      </c>
      <c r="BB60" s="18" t="n">
        <f aca="false">AUX_MATRIZES!BB133</f>
        <v>-5379.64011876751</v>
      </c>
      <c r="BC60" s="18" t="n">
        <f aca="false">AUX_MATRIZES!BC133</f>
        <v>-5329.01025370148</v>
      </c>
      <c r="BD60" s="18" t="n">
        <f aca="false">AUX_MATRIZES!BD133</f>
        <v>-5352.94001120448</v>
      </c>
      <c r="BE60" s="18" t="n">
        <f aca="false">AUX_MATRIZES!BE133</f>
        <v>-5400.6842464986</v>
      </c>
      <c r="BF60" s="18" t="n">
        <f aca="false">AUX_MATRIZES!BF133</f>
        <v>-5448.42848179272</v>
      </c>
      <c r="BG60" s="18" t="n">
        <f aca="false">AUX_MATRIZES!BG133</f>
        <v>-5759.35130532213</v>
      </c>
      <c r="BH60" s="18" t="n">
        <f aca="false">AUX_MATRIZES!BH133</f>
        <v>-6156.3539719888</v>
      </c>
      <c r="BI60" s="18" t="n">
        <f aca="false">AUX_MATRIZES!BI133</f>
        <v>-6230.67585434174</v>
      </c>
      <c r="BJ60" s="18" t="n">
        <f aca="false">AUX_MATRIZES!BJ133</f>
        <v>-6321.13756862745</v>
      </c>
      <c r="BK60" s="18" t="n">
        <f aca="false">AUX_MATRIZES!BK133</f>
        <v>-6418.78509803922</v>
      </c>
      <c r="BL60" s="18" t="n">
        <f aca="false">AUX_MATRIZES!BL133</f>
        <v>-6831.56190476191</v>
      </c>
      <c r="BM60" s="18" t="n">
        <f aca="false">AUX_MATRIZES!BM133</f>
        <v>-6831.56190476191</v>
      </c>
      <c r="BN60" s="18" t="n">
        <f aca="false">AUX_MATRIZES!BN133</f>
        <v>-6831.56190476191</v>
      </c>
      <c r="BO60" s="18" t="n">
        <f aca="false">AUX_MATRIZES!BO133</f>
        <v>-6831.56190476191</v>
      </c>
      <c r="BP60" s="18" t="n">
        <f aca="false">AUX_MATRIZES!BP133</f>
        <v>-6831.56190476191</v>
      </c>
    </row>
    <row r="61" customFormat="false" ht="15" hidden="false" customHeight="false" outlineLevel="0" collapsed="false">
      <c r="B61" s="15" t="s">
        <v>177</v>
      </c>
      <c r="C61" s="18" t="n">
        <f aca="false">AUX_MATRIZES!C134</f>
        <v>-7123.63361702777</v>
      </c>
      <c r="D61" s="18" t="n">
        <f aca="false">AUX_MATRIZES!D134</f>
        <v>-7259.78609932862</v>
      </c>
      <c r="E61" s="18" t="n">
        <f aca="false">AUX_MATRIZES!E134</f>
        <v>-7609.97222320039</v>
      </c>
      <c r="F61" s="18" t="n">
        <f aca="false">AUX_MATRIZES!F134</f>
        <v>-7902.21066666667</v>
      </c>
      <c r="G61" s="18" t="n">
        <f aca="false">AUX_MATRIZES!G134</f>
        <v>-8119.01655862345</v>
      </c>
      <c r="H61" s="18" t="n">
        <f aca="false">AUX_MATRIZES!H134</f>
        <v>-8298.70952380952</v>
      </c>
      <c r="I61" s="18" t="n">
        <f aca="false">AUX_MATRIZES!I134</f>
        <v>-8298.70952380952</v>
      </c>
      <c r="J61" s="18" t="n">
        <f aca="false">AUX_MATRIZES!J134</f>
        <v>-8298.70952380952</v>
      </c>
      <c r="K61" s="18" t="n">
        <f aca="false">AUX_MATRIZES!K134</f>
        <v>-8298.70952380952</v>
      </c>
      <c r="L61" s="18" t="n">
        <f aca="false">AUX_MATRIZES!L134</f>
        <v>-8298.70952380952</v>
      </c>
      <c r="M61" s="18" t="n">
        <f aca="false">AUX_MATRIZES!M134</f>
        <v>-8298.70952380952</v>
      </c>
      <c r="N61" s="18" t="n">
        <f aca="false">AUX_MATRIZES!N134</f>
        <v>-8298.70952380952</v>
      </c>
      <c r="O61" s="18" t="n">
        <f aca="false">AUX_MATRIZES!O134</f>
        <v>-8291.56491473591</v>
      </c>
      <c r="P61" s="18" t="n">
        <f aca="false">AUX_MATRIZES!P134</f>
        <v>-8298.70952380952</v>
      </c>
      <c r="Q61" s="18" t="n">
        <f aca="false">AUX_MATRIZES!Q134</f>
        <v>-8298.70952380952</v>
      </c>
      <c r="R61" s="18" t="n">
        <f aca="false">AUX_MATRIZES!R134</f>
        <v>-8298.70952380952</v>
      </c>
      <c r="S61" s="18" t="n">
        <f aca="false">AUX_MATRIZES!S134</f>
        <v>-8298.70952380952</v>
      </c>
      <c r="T61" s="18" t="n">
        <f aca="false">AUX_MATRIZES!T134</f>
        <v>-8271.29258263305</v>
      </c>
      <c r="U61" s="18" t="n">
        <f aca="false">AUX_MATRIZES!U134</f>
        <v>-8158.28128851541</v>
      </c>
      <c r="V61" s="18" t="n">
        <f aca="false">AUX_MATRIZES!V134</f>
        <v>-8158.28128851541</v>
      </c>
      <c r="W61" s="18" t="n">
        <f aca="false">AUX_MATRIZES!W134</f>
        <v>-8240.82709952316</v>
      </c>
      <c r="X61" s="18" t="n">
        <f aca="false">AUX_MATRIZES!X134</f>
        <v>-8298.70952380952</v>
      </c>
      <c r="Y61" s="18" t="n">
        <f aca="false">AUX_MATRIZES!Y134</f>
        <v>-8298.70952380952</v>
      </c>
      <c r="Z61" s="18" t="n">
        <f aca="false">AUX_MATRIZES!Z134</f>
        <v>-8271.13219637678</v>
      </c>
      <c r="AA61" s="18" t="n">
        <f aca="false">AUX_MATRIZES!AA134</f>
        <v>-8210.85241732919</v>
      </c>
      <c r="AB61" s="18" t="n">
        <f aca="false">AUX_MATRIZES!AB134</f>
        <v>-8158.22022408964</v>
      </c>
      <c r="AC61" s="18" t="n">
        <f aca="false">AUX_MATRIZES!AC134</f>
        <v>-8120.42582633053</v>
      </c>
      <c r="AD61" s="18" t="n">
        <f aca="false">AUX_MATRIZES!AD134</f>
        <v>-8120.42582633053</v>
      </c>
      <c r="AE61" s="18" t="n">
        <f aca="false">AUX_MATRIZES!AE134</f>
        <v>-8100.43417164644</v>
      </c>
      <c r="AF61" s="18" t="n">
        <f aca="false">AUX_MATRIZES!AF134</f>
        <v>-8054.81312044818</v>
      </c>
      <c r="AG61" s="18" t="n">
        <f aca="false">AUX_MATRIZES!AG134</f>
        <v>-7508.11189876445</v>
      </c>
      <c r="AH61" s="18" t="n">
        <f aca="false">AUX_MATRIZES!AH134</f>
        <v>-6689.78733955805</v>
      </c>
      <c r="AI61" s="18" t="n">
        <f aca="false">AUX_MATRIZES!AI134</f>
        <v>-6501.22655756006</v>
      </c>
      <c r="AJ61" s="18" t="n">
        <f aca="false">AUX_MATRIZES!AJ134</f>
        <v>-6370.87830175489</v>
      </c>
      <c r="AK61" s="18" t="n">
        <f aca="false">AUX_MATRIZES!AK134</f>
        <v>-6092.55622909059</v>
      </c>
      <c r="AL61" s="18" t="n">
        <f aca="false">AUX_MATRIZES!AL134</f>
        <v>-5523.73356582633</v>
      </c>
      <c r="AM61" s="18" t="n">
        <f aca="false">AUX_MATRIZES!AM134</f>
        <v>-5585.49035881276</v>
      </c>
      <c r="AN61" s="18" t="n">
        <f aca="false">AUX_MATRIZES!AN134</f>
        <v>-5650.00141650506</v>
      </c>
      <c r="AO61" s="18" t="n">
        <f aca="false">AUX_MATRIZES!AO134</f>
        <v>-5941.20939436544</v>
      </c>
      <c r="AP61" s="18" t="n">
        <f aca="false">AUX_MATRIZES!AP134</f>
        <v>-5888.37684848665</v>
      </c>
      <c r="AQ61" s="18" t="n">
        <f aca="false">AUX_MATRIZES!AQ134</f>
        <v>-5929.57760325669</v>
      </c>
      <c r="AR61" s="18" t="n">
        <f aca="false">AUX_MATRIZES!AR134</f>
        <v>-6248.05068160598</v>
      </c>
      <c r="AS61" s="18" t="n">
        <f aca="false">AUX_MATRIZES!AS134</f>
        <v>-6507.76856146903</v>
      </c>
      <c r="AT61" s="18" t="n">
        <f aca="false">AUX_MATRIZES!AT134</f>
        <v>-6405.87983513406</v>
      </c>
      <c r="AU61" s="18" t="n">
        <f aca="false">AUX_MATRIZES!AU134</f>
        <v>-6439.67230108933</v>
      </c>
      <c r="AV61" s="18" t="n">
        <f aca="false">AUX_MATRIZES!AV134</f>
        <v>-6530.08293943355</v>
      </c>
      <c r="AW61" s="18" t="n">
        <f aca="false">AUX_MATRIZES!AW134</f>
        <v>-6617.96492359059</v>
      </c>
      <c r="AX61" s="18" t="n">
        <f aca="false">AUX_MATRIZES!AX134</f>
        <v>-6829.82901085645</v>
      </c>
      <c r="AY61" s="18" t="n">
        <f aca="false">AUX_MATRIZES!AY134</f>
        <v>-6782.02217906565</v>
      </c>
      <c r="AZ61" s="18" t="n">
        <f aca="false">AUX_MATRIZES!AZ134</f>
        <v>-6851.23772549878</v>
      </c>
      <c r="BA61" s="18" t="n">
        <f aca="false">AUX_MATRIZES!BA134</f>
        <v>-7251.95037569787</v>
      </c>
      <c r="BB61" s="18" t="n">
        <f aca="false">AUX_MATRIZES!BB134</f>
        <v>-7137.54610389259</v>
      </c>
      <c r="BC61" s="18" t="n">
        <f aca="false">AUX_MATRIZES!BC134</f>
        <v>-7064.89385410164</v>
      </c>
      <c r="BD61" s="18" t="n">
        <f aca="false">AUX_MATRIZES!BD134</f>
        <v>-6990.19343081233</v>
      </c>
      <c r="BE61" s="18" t="n">
        <f aca="false">AUX_MATRIZES!BE134</f>
        <v>-6985.93350140056</v>
      </c>
      <c r="BF61" s="18" t="n">
        <f aca="false">AUX_MATRIZES!BF134</f>
        <v>-6985.93350140056</v>
      </c>
      <c r="BG61" s="18" t="n">
        <f aca="false">AUX_MATRIZES!BG134</f>
        <v>-7220.16962144858</v>
      </c>
      <c r="BH61" s="18" t="n">
        <f aca="false">AUX_MATRIZES!BH134</f>
        <v>-7571.99691876751</v>
      </c>
      <c r="BI61" s="18" t="n">
        <f aca="false">AUX_MATRIZES!BI134</f>
        <v>-7633.48426968029</v>
      </c>
      <c r="BJ61" s="18" t="n">
        <f aca="false">AUX_MATRIZES!BJ134</f>
        <v>-7712.72869970057</v>
      </c>
      <c r="BK61" s="18" t="n">
        <f aca="false">AUX_MATRIZES!BK134</f>
        <v>-7791.97312972086</v>
      </c>
      <c r="BL61" s="18" t="n">
        <f aca="false">AUX_MATRIZES!BL134</f>
        <v>-8290.30391596639</v>
      </c>
      <c r="BM61" s="18" t="n">
        <f aca="false">AUX_MATRIZES!BM134</f>
        <v>-8298.70952380952</v>
      </c>
      <c r="BN61" s="18" t="n">
        <f aca="false">AUX_MATRIZES!BN134</f>
        <v>-8298.70952380952</v>
      </c>
      <c r="BO61" s="18" t="n">
        <f aca="false">AUX_MATRIZES!BO134</f>
        <v>-8298.70952380952</v>
      </c>
      <c r="BP61" s="18" t="n">
        <f aca="false">AUX_MATRIZES!BP134</f>
        <v>-8298.70952380952</v>
      </c>
    </row>
    <row r="62" customFormat="false" ht="15" hidden="false" customHeight="false" outlineLevel="0" collapsed="false">
      <c r="B62" s="15" t="s">
        <v>178</v>
      </c>
      <c r="C62" s="18" t="n">
        <f aca="false">AUX_MATRIZES!C135</f>
        <v>-2669.52380952381</v>
      </c>
      <c r="D62" s="18" t="n">
        <f aca="false">AUX_MATRIZES!D135</f>
        <v>-2669.52380952381</v>
      </c>
      <c r="E62" s="18" t="n">
        <f aca="false">AUX_MATRIZES!E135</f>
        <v>-2669.52380952381</v>
      </c>
      <c r="F62" s="18" t="n">
        <f aca="false">AUX_MATRIZES!F135</f>
        <v>-2669.52380952381</v>
      </c>
      <c r="G62" s="18" t="n">
        <f aca="false">AUX_MATRIZES!G135</f>
        <v>-2669.52380952381</v>
      </c>
      <c r="H62" s="18" t="n">
        <f aca="false">AUX_MATRIZES!H135</f>
        <v>-2669.52380952381</v>
      </c>
      <c r="I62" s="18" t="n">
        <f aca="false">AUX_MATRIZES!I135</f>
        <v>-2669.52380952381</v>
      </c>
      <c r="J62" s="18" t="n">
        <f aca="false">AUX_MATRIZES!J135</f>
        <v>-2669.52380952381</v>
      </c>
      <c r="K62" s="18" t="n">
        <f aca="false">AUX_MATRIZES!K135</f>
        <v>-2669.52380952381</v>
      </c>
      <c r="L62" s="18" t="n">
        <f aca="false">AUX_MATRIZES!L135</f>
        <v>-2669.52380952381</v>
      </c>
      <c r="M62" s="18" t="n">
        <f aca="false">AUX_MATRIZES!M135</f>
        <v>-2669.52380952381</v>
      </c>
      <c r="N62" s="18" t="n">
        <f aca="false">AUX_MATRIZES!N135</f>
        <v>-2669.52380952381</v>
      </c>
      <c r="O62" s="18" t="n">
        <f aca="false">AUX_MATRIZES!O135</f>
        <v>-2669.52380952381</v>
      </c>
      <c r="P62" s="18" t="n">
        <f aca="false">AUX_MATRIZES!P135</f>
        <v>-2669.52380952381</v>
      </c>
      <c r="Q62" s="18" t="n">
        <f aca="false">AUX_MATRIZES!Q135</f>
        <v>-2669.52380952381</v>
      </c>
      <c r="R62" s="18" t="n">
        <f aca="false">AUX_MATRIZES!R135</f>
        <v>-2669.52380952381</v>
      </c>
      <c r="S62" s="18" t="n">
        <f aca="false">AUX_MATRIZES!S135</f>
        <v>-2669.52380952381</v>
      </c>
      <c r="T62" s="18" t="n">
        <f aca="false">AUX_MATRIZES!T135</f>
        <v>-2669.52380952381</v>
      </c>
      <c r="U62" s="18" t="n">
        <f aca="false">AUX_MATRIZES!U135</f>
        <v>-2669.52380952381</v>
      </c>
      <c r="V62" s="18" t="n">
        <f aca="false">AUX_MATRIZES!V135</f>
        <v>-2669.52380952381</v>
      </c>
      <c r="W62" s="18" t="n">
        <f aca="false">AUX_MATRIZES!W135</f>
        <v>-2669.52380952381</v>
      </c>
      <c r="X62" s="18" t="n">
        <f aca="false">AUX_MATRIZES!X135</f>
        <v>-2669.52380952381</v>
      </c>
      <c r="Y62" s="18" t="n">
        <f aca="false">AUX_MATRIZES!Y135</f>
        <v>-2669.52380952381</v>
      </c>
      <c r="Z62" s="18" t="n">
        <f aca="false">AUX_MATRIZES!Z135</f>
        <v>-2669.52380952381</v>
      </c>
      <c r="AA62" s="18" t="n">
        <f aca="false">AUX_MATRIZES!AA135</f>
        <v>-2669.52380952381</v>
      </c>
      <c r="AB62" s="18" t="n">
        <f aca="false">AUX_MATRIZES!AB135</f>
        <v>-2669.52380952381</v>
      </c>
      <c r="AC62" s="18" t="n">
        <f aca="false">AUX_MATRIZES!AC135</f>
        <v>-2669.52380952381</v>
      </c>
      <c r="AD62" s="18" t="n">
        <f aca="false">AUX_MATRIZES!AD135</f>
        <v>-2669.52380952381</v>
      </c>
      <c r="AE62" s="18" t="n">
        <f aca="false">AUX_MATRIZES!AE135</f>
        <v>-2669.52380952381</v>
      </c>
      <c r="AF62" s="18" t="n">
        <f aca="false">AUX_MATRIZES!AF135</f>
        <v>-2669.52380952381</v>
      </c>
      <c r="AG62" s="18" t="n">
        <f aca="false">AUX_MATRIZES!AG135</f>
        <v>-2669.52380952381</v>
      </c>
      <c r="AH62" s="18" t="n">
        <f aca="false">AUX_MATRIZES!AH135</f>
        <v>-2669.52380952381</v>
      </c>
      <c r="AI62" s="18" t="n">
        <f aca="false">AUX_MATRIZES!AI135</f>
        <v>-2669.52380952381</v>
      </c>
      <c r="AJ62" s="18" t="n">
        <f aca="false">AUX_MATRIZES!AJ135</f>
        <v>-2669.52380952381</v>
      </c>
      <c r="AK62" s="18" t="n">
        <f aca="false">AUX_MATRIZES!AK135</f>
        <v>-2669.52380952381</v>
      </c>
      <c r="AL62" s="18" t="n">
        <f aca="false">AUX_MATRIZES!AL135</f>
        <v>-2669.52380952381</v>
      </c>
      <c r="AM62" s="18" t="n">
        <f aca="false">AUX_MATRIZES!AM135</f>
        <v>-2669.52380952381</v>
      </c>
      <c r="AN62" s="18" t="n">
        <f aca="false">AUX_MATRIZES!AN135</f>
        <v>-2669.52380952381</v>
      </c>
      <c r="AO62" s="18" t="n">
        <f aca="false">AUX_MATRIZES!AO135</f>
        <v>-2669.52380952381</v>
      </c>
      <c r="AP62" s="18" t="n">
        <f aca="false">AUX_MATRIZES!AP135</f>
        <v>-2669.52380952381</v>
      </c>
      <c r="AQ62" s="18" t="n">
        <f aca="false">AUX_MATRIZES!AQ135</f>
        <v>-2669.52380952381</v>
      </c>
      <c r="AR62" s="18" t="n">
        <f aca="false">AUX_MATRIZES!AR135</f>
        <v>-2669.52380952381</v>
      </c>
      <c r="AS62" s="18" t="n">
        <f aca="false">AUX_MATRIZES!AS135</f>
        <v>-2669.52380952381</v>
      </c>
      <c r="AT62" s="18" t="n">
        <f aca="false">AUX_MATRIZES!AT135</f>
        <v>-2669.52380952381</v>
      </c>
      <c r="AU62" s="18" t="n">
        <f aca="false">AUX_MATRIZES!AU135</f>
        <v>-2669.52380952381</v>
      </c>
      <c r="AV62" s="18" t="n">
        <f aca="false">AUX_MATRIZES!AV135</f>
        <v>-2669.52380952381</v>
      </c>
      <c r="AW62" s="18" t="n">
        <f aca="false">AUX_MATRIZES!AW135</f>
        <v>-2669.52380952381</v>
      </c>
      <c r="AX62" s="18" t="n">
        <f aca="false">AUX_MATRIZES!AX135</f>
        <v>-2669.52380952381</v>
      </c>
      <c r="AY62" s="18" t="n">
        <f aca="false">AUX_MATRIZES!AY135</f>
        <v>-2669.52380952381</v>
      </c>
      <c r="AZ62" s="18" t="n">
        <f aca="false">AUX_MATRIZES!AZ135</f>
        <v>-2669.52380952381</v>
      </c>
      <c r="BA62" s="18" t="n">
        <f aca="false">AUX_MATRIZES!BA135</f>
        <v>-2669.52380952381</v>
      </c>
      <c r="BB62" s="18" t="n">
        <f aca="false">AUX_MATRIZES!BB135</f>
        <v>-2669.52380952381</v>
      </c>
      <c r="BC62" s="18" t="n">
        <f aca="false">AUX_MATRIZES!BC135</f>
        <v>-2669.52380952381</v>
      </c>
      <c r="BD62" s="18" t="n">
        <f aca="false">AUX_MATRIZES!BD135</f>
        <v>-2669.52380952381</v>
      </c>
      <c r="BE62" s="18" t="n">
        <f aca="false">AUX_MATRIZES!BE135</f>
        <v>-2669.52380952381</v>
      </c>
      <c r="BF62" s="18" t="n">
        <f aca="false">AUX_MATRIZES!BF135</f>
        <v>-2669.52380952381</v>
      </c>
      <c r="BG62" s="18" t="n">
        <f aca="false">AUX_MATRIZES!BG135</f>
        <v>-2669.52380952381</v>
      </c>
      <c r="BH62" s="18" t="n">
        <f aca="false">AUX_MATRIZES!BH135</f>
        <v>-2669.52380952381</v>
      </c>
      <c r="BI62" s="18" t="n">
        <f aca="false">AUX_MATRIZES!BI135</f>
        <v>-2669.52380952381</v>
      </c>
      <c r="BJ62" s="18" t="n">
        <f aca="false">AUX_MATRIZES!BJ135</f>
        <v>-2669.52380952381</v>
      </c>
      <c r="BK62" s="18" t="n">
        <f aca="false">AUX_MATRIZES!BK135</f>
        <v>-2669.52380952381</v>
      </c>
      <c r="BL62" s="18" t="n">
        <f aca="false">AUX_MATRIZES!BL135</f>
        <v>-2669.52380952381</v>
      </c>
      <c r="BM62" s="18" t="n">
        <f aca="false">AUX_MATRIZES!BM135</f>
        <v>-2669.52380952381</v>
      </c>
      <c r="BN62" s="18" t="n">
        <f aca="false">AUX_MATRIZES!BN135</f>
        <v>-2669.52380952381</v>
      </c>
      <c r="BO62" s="18" t="n">
        <f aca="false">AUX_MATRIZES!BO135</f>
        <v>-2669.52380952381</v>
      </c>
      <c r="BP62" s="18" t="n">
        <f aca="false">AUX_MATRIZES!BP135</f>
        <v>-2669.52380952381</v>
      </c>
    </row>
    <row r="65" customFormat="false" ht="30" hidden="false" customHeight="true" outlineLevel="0" collapsed="false">
      <c r="B65" s="5" t="s">
        <v>183</v>
      </c>
      <c r="C65" s="5"/>
      <c r="D65" s="5"/>
      <c r="E65" s="5"/>
      <c r="F65" s="5"/>
      <c r="G65" s="5"/>
      <c r="H65" s="5"/>
      <c r="I65" s="5"/>
      <c r="J65" s="5"/>
      <c r="K65" s="5"/>
      <c r="L65" s="5"/>
    </row>
  </sheetData>
  <mergeCells count="3">
    <mergeCell ref="B2:L2"/>
    <mergeCell ref="B3:L3"/>
    <mergeCell ref="B65:L65"/>
  </mergeCells>
  <conditionalFormatting sqref="C43:BP50">
    <cfRule type="colorScale" priority="2">
      <colorScale>
        <cfvo type="num" val="0"/>
        <cfvo type="num" val="0.9"/>
        <cfvo type="num" val="1"/>
        <color rgb="FFC6EFCE"/>
        <color rgb="FFFFEB9C"/>
        <color rgb="FFF8696B"/>
      </colorScale>
    </cfRule>
  </conditionalFormatting>
  <conditionalFormatting sqref="C55:BP62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68" min="3" style="0" width="6"/>
  </cols>
  <sheetData>
    <row r="2" customFormat="false" ht="30" hidden="false" customHeight="true" outlineLevel="0" collapsed="false">
      <c r="B2" s="1" t="s">
        <v>184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5.5" hidden="false" customHeight="true" outlineLevel="0" collapsed="false">
      <c r="B3" s="2" t="s">
        <v>185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B5" s="3" t="s">
        <v>186</v>
      </c>
    </row>
    <row r="6" customFormat="false" ht="15" hidden="false" customHeight="false" outlineLevel="0" collapsed="false">
      <c r="B6" s="14" t="s">
        <v>187</v>
      </c>
      <c r="C6" s="22" t="n">
        <f aca="false">SEMANAS!$B$6</f>
        <v>1</v>
      </c>
      <c r="D6" s="22" t="n">
        <f aca="false">SEMANAS!$B$7</f>
        <v>2</v>
      </c>
      <c r="E6" s="22" t="n">
        <f aca="false">SEMANAS!$B$8</f>
        <v>3</v>
      </c>
      <c r="F6" s="22" t="n">
        <f aca="false">SEMANAS!$B$9</f>
        <v>4</v>
      </c>
      <c r="G6" s="22" t="n">
        <f aca="false">SEMANAS!$B$10</f>
        <v>5</v>
      </c>
      <c r="H6" s="22" t="n">
        <f aca="false">SEMANAS!$B$11</f>
        <v>6</v>
      </c>
      <c r="I6" s="22" t="n">
        <f aca="false">SEMANAS!$B$12</f>
        <v>7</v>
      </c>
      <c r="J6" s="22" t="n">
        <f aca="false">SEMANAS!$B$13</f>
        <v>8</v>
      </c>
      <c r="K6" s="22" t="n">
        <f aca="false">SEMANAS!$B$14</f>
        <v>9</v>
      </c>
      <c r="L6" s="22" t="n">
        <f aca="false">SEMANAS!$B$15</f>
        <v>10</v>
      </c>
      <c r="M6" s="22" t="n">
        <f aca="false">SEMANAS!$B$16</f>
        <v>11</v>
      </c>
      <c r="N6" s="22" t="n">
        <f aca="false">SEMANAS!$B$17</f>
        <v>12</v>
      </c>
      <c r="O6" s="22" t="n">
        <f aca="false">SEMANAS!$B$18</f>
        <v>13</v>
      </c>
      <c r="P6" s="22" t="n">
        <f aca="false">SEMANAS!$B$19</f>
        <v>14</v>
      </c>
      <c r="Q6" s="22" t="n">
        <f aca="false">SEMANAS!$B$20</f>
        <v>15</v>
      </c>
      <c r="R6" s="22" t="n">
        <f aca="false">SEMANAS!$B$21</f>
        <v>16</v>
      </c>
      <c r="S6" s="22" t="n">
        <f aca="false">SEMANAS!$B$22</f>
        <v>17</v>
      </c>
      <c r="T6" s="22" t="n">
        <f aca="false">SEMANAS!$B$23</f>
        <v>18</v>
      </c>
      <c r="U6" s="22" t="n">
        <f aca="false">SEMANAS!$B$24</f>
        <v>19</v>
      </c>
      <c r="V6" s="22" t="n">
        <f aca="false">SEMANAS!$B$25</f>
        <v>20</v>
      </c>
      <c r="W6" s="22" t="n">
        <f aca="false">SEMANAS!$B$26</f>
        <v>21</v>
      </c>
      <c r="X6" s="22" t="n">
        <f aca="false">SEMANAS!$B$27</f>
        <v>22</v>
      </c>
      <c r="Y6" s="22" t="n">
        <f aca="false">SEMANAS!$B$28</f>
        <v>23</v>
      </c>
      <c r="Z6" s="22" t="n">
        <f aca="false">SEMANAS!$B$29</f>
        <v>24</v>
      </c>
      <c r="AA6" s="22" t="n">
        <f aca="false">SEMANAS!$B$30</f>
        <v>25</v>
      </c>
      <c r="AB6" s="22" t="n">
        <f aca="false">SEMANAS!$B$31</f>
        <v>26</v>
      </c>
      <c r="AC6" s="22" t="n">
        <f aca="false">SEMANAS!$B$32</f>
        <v>27</v>
      </c>
      <c r="AD6" s="22" t="n">
        <f aca="false">SEMANAS!$B$33</f>
        <v>28</v>
      </c>
      <c r="AE6" s="22" t="n">
        <f aca="false">SEMANAS!$B$34</f>
        <v>29</v>
      </c>
      <c r="AF6" s="22" t="n">
        <f aca="false">SEMANAS!$B$35</f>
        <v>30</v>
      </c>
      <c r="AG6" s="22" t="n">
        <f aca="false">SEMANAS!$B$36</f>
        <v>31</v>
      </c>
      <c r="AH6" s="22" t="n">
        <f aca="false">SEMANAS!$B$37</f>
        <v>32</v>
      </c>
      <c r="AI6" s="22" t="n">
        <f aca="false">SEMANAS!$B$38</f>
        <v>33</v>
      </c>
      <c r="AJ6" s="22" t="n">
        <f aca="false">SEMANAS!$B$39</f>
        <v>34</v>
      </c>
      <c r="AK6" s="22" t="n">
        <f aca="false">SEMANAS!$B$40</f>
        <v>35</v>
      </c>
      <c r="AL6" s="22" t="n">
        <f aca="false">SEMANAS!$B$41</f>
        <v>36</v>
      </c>
      <c r="AM6" s="22" t="n">
        <f aca="false">SEMANAS!$B$42</f>
        <v>37</v>
      </c>
      <c r="AN6" s="22" t="n">
        <f aca="false">SEMANAS!$B$43</f>
        <v>38</v>
      </c>
      <c r="AO6" s="22" t="n">
        <f aca="false">SEMANAS!$B$44</f>
        <v>39</v>
      </c>
      <c r="AP6" s="22" t="n">
        <f aca="false">SEMANAS!$B$45</f>
        <v>40</v>
      </c>
      <c r="AQ6" s="22" t="n">
        <f aca="false">SEMANAS!$B$46</f>
        <v>41</v>
      </c>
      <c r="AR6" s="22" t="n">
        <f aca="false">SEMANAS!$B$47</f>
        <v>42</v>
      </c>
      <c r="AS6" s="22" t="n">
        <f aca="false">SEMANAS!$B$48</f>
        <v>43</v>
      </c>
      <c r="AT6" s="22" t="n">
        <f aca="false">SEMANAS!$B$49</f>
        <v>44</v>
      </c>
      <c r="AU6" s="22" t="n">
        <f aca="false">SEMANAS!$B$50</f>
        <v>45</v>
      </c>
      <c r="AV6" s="22" t="n">
        <f aca="false">SEMANAS!$B$51</f>
        <v>46</v>
      </c>
      <c r="AW6" s="22" t="n">
        <f aca="false">SEMANAS!$B$52</f>
        <v>47</v>
      </c>
      <c r="AX6" s="22" t="n">
        <f aca="false">SEMANAS!$B$53</f>
        <v>48</v>
      </c>
      <c r="AY6" s="22" t="n">
        <f aca="false">SEMANAS!$B$54</f>
        <v>49</v>
      </c>
      <c r="AZ6" s="22" t="n">
        <f aca="false">SEMANAS!$B$55</f>
        <v>50</v>
      </c>
      <c r="BA6" s="22" t="n">
        <f aca="false">SEMANAS!$B$56</f>
        <v>51</v>
      </c>
      <c r="BB6" s="22" t="n">
        <f aca="false">SEMANAS!$B$57</f>
        <v>52</v>
      </c>
      <c r="BC6" s="22" t="n">
        <f aca="false">SEMANAS!$B$58</f>
        <v>53</v>
      </c>
      <c r="BD6" s="22" t="n">
        <f aca="false">SEMANAS!$B$59</f>
        <v>54</v>
      </c>
      <c r="BE6" s="22" t="n">
        <f aca="false">SEMANAS!$B$60</f>
        <v>55</v>
      </c>
      <c r="BF6" s="22" t="n">
        <f aca="false">SEMANAS!$B$61</f>
        <v>56</v>
      </c>
      <c r="BG6" s="22" t="n">
        <f aca="false">SEMANAS!$B$62</f>
        <v>57</v>
      </c>
      <c r="BH6" s="22" t="n">
        <f aca="false">SEMANAS!$B$63</f>
        <v>58</v>
      </c>
      <c r="BI6" s="22" t="n">
        <f aca="false">SEMANAS!$B$64</f>
        <v>59</v>
      </c>
      <c r="BJ6" s="22" t="n">
        <f aca="false">SEMANAS!$B$65</f>
        <v>60</v>
      </c>
      <c r="BK6" s="22" t="n">
        <f aca="false">SEMANAS!$B$66</f>
        <v>61</v>
      </c>
      <c r="BL6" s="22" t="n">
        <f aca="false">SEMANAS!$B$67</f>
        <v>62</v>
      </c>
      <c r="BM6" s="22" t="n">
        <f aca="false">SEMANAS!$B$68</f>
        <v>63</v>
      </c>
      <c r="BN6" s="22" t="n">
        <f aca="false">SEMANAS!$B$69</f>
        <v>64</v>
      </c>
      <c r="BO6" s="22" t="n">
        <f aca="false">SEMANAS!$B$70</f>
        <v>65</v>
      </c>
      <c r="BP6" s="22" t="n">
        <f aca="false">SEMANAS!$B$71</f>
        <v>66</v>
      </c>
    </row>
    <row r="7" customFormat="false" ht="15" hidden="false" customHeight="false" outlineLevel="0" collapsed="false">
      <c r="B7" s="15" t="s">
        <v>128</v>
      </c>
      <c r="C7" s="19" t="n">
        <f aca="false">AUX_MATRIZES!C56</f>
        <v>0</v>
      </c>
      <c r="D7" s="19" t="n">
        <f aca="false">AUX_MATRIZES!D56</f>
        <v>0</v>
      </c>
      <c r="E7" s="19" t="n">
        <f aca="false">AUX_MATRIZES!E56</f>
        <v>0</v>
      </c>
      <c r="F7" s="19" t="n">
        <f aca="false">AUX_MATRIZES!F56</f>
        <v>0</v>
      </c>
      <c r="G7" s="19" t="n">
        <f aca="false">AUX_MATRIZES!G56</f>
        <v>0.0127282913165266</v>
      </c>
      <c r="H7" s="19" t="n">
        <f aca="false">AUX_MATRIZES!H56</f>
        <v>0</v>
      </c>
      <c r="I7" s="19" t="n">
        <f aca="false">AUX_MATRIZES!I56</f>
        <v>0</v>
      </c>
      <c r="J7" s="19" t="n">
        <f aca="false">AUX_MATRIZES!J56</f>
        <v>0.0289411764705882</v>
      </c>
      <c r="K7" s="19" t="n">
        <f aca="false">AUX_MATRIZES!K56</f>
        <v>0.0863631082062455</v>
      </c>
      <c r="L7" s="19" t="n">
        <f aca="false">AUX_MATRIZES!L56</f>
        <v>0</v>
      </c>
      <c r="M7" s="19" t="n">
        <f aca="false">AUX_MATRIZES!M56</f>
        <v>0.0234509803921568</v>
      </c>
      <c r="N7" s="19" t="n">
        <f aca="false">AUX_MATRIZES!N56</f>
        <v>0.0234509803921568</v>
      </c>
      <c r="O7" s="19" t="n">
        <f aca="false">AUX_MATRIZES!O56</f>
        <v>0.0234509803921568</v>
      </c>
      <c r="P7" s="19" t="n">
        <f aca="false">AUX_MATRIZES!P56</f>
        <v>0</v>
      </c>
      <c r="Q7" s="19" t="n">
        <f aca="false">AUX_MATRIZES!Q56</f>
        <v>0</v>
      </c>
      <c r="R7" s="19" t="n">
        <f aca="false">AUX_MATRIZES!R56</f>
        <v>0</v>
      </c>
      <c r="S7" s="19" t="n">
        <f aca="false">AUX_MATRIZES!S56</f>
        <v>0</v>
      </c>
      <c r="T7" s="19" t="n">
        <f aca="false">AUX_MATRIZES!T56</f>
        <v>0</v>
      </c>
      <c r="U7" s="19" t="n">
        <f aca="false">AUX_MATRIZES!U56</f>
        <v>0</v>
      </c>
      <c r="V7" s="19" t="n">
        <f aca="false">AUX_MATRIZES!V56</f>
        <v>0</v>
      </c>
      <c r="W7" s="19" t="n">
        <f aca="false">AUX_MATRIZES!W56</f>
        <v>0</v>
      </c>
      <c r="X7" s="19" t="n">
        <f aca="false">AUX_MATRIZES!X56</f>
        <v>0</v>
      </c>
      <c r="Y7" s="19" t="n">
        <f aca="false">AUX_MATRIZES!Y56</f>
        <v>0</v>
      </c>
      <c r="Z7" s="19" t="n">
        <f aca="false">AUX_MATRIZES!Z56</f>
        <v>0</v>
      </c>
      <c r="AA7" s="19" t="n">
        <f aca="false">AUX_MATRIZES!AA56</f>
        <v>0</v>
      </c>
      <c r="AB7" s="19" t="n">
        <f aca="false">AUX_MATRIZES!AB56</f>
        <v>0</v>
      </c>
      <c r="AC7" s="19" t="n">
        <f aca="false">AUX_MATRIZES!AC56</f>
        <v>0</v>
      </c>
      <c r="AD7" s="19" t="n">
        <f aca="false">AUX_MATRIZES!AD56</f>
        <v>0</v>
      </c>
      <c r="AE7" s="19" t="n">
        <f aca="false">AUX_MATRIZES!AE56</f>
        <v>0</v>
      </c>
      <c r="AF7" s="19" t="n">
        <f aca="false">AUX_MATRIZES!AF56</f>
        <v>0</v>
      </c>
      <c r="AG7" s="19" t="n">
        <f aca="false">AUX_MATRIZES!AG56</f>
        <v>0.0484984336930038</v>
      </c>
      <c r="AH7" s="19" t="n">
        <f aca="false">AUX_MATRIZES!AH56</f>
        <v>0.165290172873883</v>
      </c>
      <c r="AI7" s="19" t="n">
        <f aca="false">AUX_MATRIZES!AI56</f>
        <v>0.204273813667479</v>
      </c>
      <c r="AJ7" s="19" t="n">
        <f aca="false">AUX_MATRIZES!AJ56</f>
        <v>0.243257454461074</v>
      </c>
      <c r="AK7" s="19" t="n">
        <f aca="false">AUX_MATRIZES!AK56</f>
        <v>0.285120448179272</v>
      </c>
      <c r="AL7" s="19" t="n">
        <f aca="false">AUX_MATRIZES!AL56</f>
        <v>0.348705882352941</v>
      </c>
      <c r="AM7" s="19" t="n">
        <f aca="false">AUX_MATRIZES!AM56</f>
        <v>0.348705882352941</v>
      </c>
      <c r="AN7" s="19" t="n">
        <f aca="false">AUX_MATRIZES!AN56</f>
        <v>0.348705882352941</v>
      </c>
      <c r="AO7" s="19" t="n">
        <f aca="false">AUX_MATRIZES!AO56</f>
        <v>0.348705882352941</v>
      </c>
      <c r="AP7" s="19" t="n">
        <f aca="false">AUX_MATRIZES!AP56</f>
        <v>0.349915966386555</v>
      </c>
      <c r="AQ7" s="19" t="n">
        <f aca="false">AUX_MATRIZES!AQ56</f>
        <v>0.350117647058824</v>
      </c>
      <c r="AR7" s="19" t="n">
        <f aca="false">AUX_MATRIZES!AR56</f>
        <v>0.350117647058824</v>
      </c>
      <c r="AS7" s="19" t="n">
        <f aca="false">AUX_MATRIZES!AS56</f>
        <v>0.350117647058824</v>
      </c>
      <c r="AT7" s="19" t="n">
        <f aca="false">AUX_MATRIZES!AT56</f>
        <v>0.346338166035645</v>
      </c>
      <c r="AU7" s="19" t="n">
        <f aca="false">AUX_MATRIZES!AU56</f>
        <v>0.335365941248294</v>
      </c>
      <c r="AV7" s="19" t="n">
        <f aca="false">AUX_MATRIZES!AV56</f>
        <v>0.311585146879265</v>
      </c>
      <c r="AW7" s="19" t="n">
        <f aca="false">AUX_MATRIZES!AW56</f>
        <v>0.287804352510235</v>
      </c>
      <c r="AX7" s="19" t="n">
        <f aca="false">AUX_MATRIZES!AX56</f>
        <v>0.271567745046737</v>
      </c>
      <c r="AY7" s="19" t="n">
        <f aca="false">AUX_MATRIZES!AY56</f>
        <v>0.288074696545285</v>
      </c>
      <c r="AZ7" s="19" t="n">
        <f aca="false">AUX_MATRIZES!AZ56</f>
        <v>0.259316526610644</v>
      </c>
      <c r="BA7" s="19" t="n">
        <f aca="false">AUX_MATRIZES!BA56</f>
        <v>0</v>
      </c>
      <c r="BB7" s="19" t="n">
        <f aca="false">AUX_MATRIZES!BB56</f>
        <v>0</v>
      </c>
      <c r="BC7" s="19" t="n">
        <f aca="false">AUX_MATRIZES!BC56</f>
        <v>0</v>
      </c>
      <c r="BD7" s="19" t="n">
        <f aca="false">AUX_MATRIZES!BD56</f>
        <v>0</v>
      </c>
      <c r="BE7" s="19" t="n">
        <f aca="false">AUX_MATRIZES!BE56</f>
        <v>0</v>
      </c>
      <c r="BF7" s="19" t="n">
        <f aca="false">AUX_MATRIZES!BF56</f>
        <v>0</v>
      </c>
      <c r="BG7" s="19" t="n">
        <f aca="false">AUX_MATRIZES!BG56</f>
        <v>0</v>
      </c>
      <c r="BH7" s="19" t="n">
        <f aca="false">AUX_MATRIZES!BH56</f>
        <v>0</v>
      </c>
      <c r="BI7" s="19" t="n">
        <f aca="false">AUX_MATRIZES!BI56</f>
        <v>0</v>
      </c>
      <c r="BJ7" s="19" t="n">
        <f aca="false">AUX_MATRIZES!BJ56</f>
        <v>0</v>
      </c>
      <c r="BK7" s="19" t="n">
        <f aca="false">AUX_MATRIZES!BK56</f>
        <v>0</v>
      </c>
      <c r="BL7" s="19" t="n">
        <f aca="false">AUX_MATRIZES!BL56</f>
        <v>0</v>
      </c>
      <c r="BM7" s="19" t="n">
        <f aca="false">AUX_MATRIZES!BM56</f>
        <v>0</v>
      </c>
      <c r="BN7" s="19" t="n">
        <f aca="false">AUX_MATRIZES!BN56</f>
        <v>0</v>
      </c>
      <c r="BO7" s="19" t="n">
        <f aca="false">AUX_MATRIZES!BO56</f>
        <v>0</v>
      </c>
      <c r="BP7" s="19" t="n">
        <f aca="false">AUX_MATRIZES!BP56</f>
        <v>0</v>
      </c>
    </row>
    <row r="8" customFormat="false" ht="15" hidden="false" customHeight="false" outlineLevel="0" collapsed="false">
      <c r="B8" s="15" t="s">
        <v>129</v>
      </c>
      <c r="C8" s="19" t="n">
        <f aca="false">AUX_MATRIZES!C57</f>
        <v>0.107128162882397</v>
      </c>
      <c r="D8" s="19" t="n">
        <f aca="false">AUX_MATRIZES!D57</f>
        <v>0</v>
      </c>
      <c r="E8" s="19" t="n">
        <f aca="false">AUX_MATRIZES!E57</f>
        <v>0</v>
      </c>
      <c r="F8" s="19" t="n">
        <f aca="false">AUX_MATRIZES!F57</f>
        <v>0</v>
      </c>
      <c r="G8" s="19" t="n">
        <f aca="false">AUX_MATRIZES!G57</f>
        <v>0.00638095601061256</v>
      </c>
      <c r="H8" s="19" t="n">
        <f aca="false">AUX_MATRIZES!H57</f>
        <v>0</v>
      </c>
      <c r="I8" s="19" t="n">
        <f aca="false">AUX_MATRIZES!I57</f>
        <v>0</v>
      </c>
      <c r="J8" s="19" t="n">
        <f aca="false">AUX_MATRIZES!J57</f>
        <v>0.0123940001943151</v>
      </c>
      <c r="K8" s="19" t="n">
        <f aca="false">AUX_MATRIZES!K57</f>
        <v>0.0399708392648489</v>
      </c>
      <c r="L8" s="19" t="n">
        <f aca="false">AUX_MATRIZES!L57</f>
        <v>0</v>
      </c>
      <c r="M8" s="19" t="n">
        <f aca="false">AUX_MATRIZES!M57</f>
        <v>0.0117564620864543</v>
      </c>
      <c r="N8" s="19" t="n">
        <f aca="false">AUX_MATRIZES!N57</f>
        <v>0.0117564620864543</v>
      </c>
      <c r="O8" s="19" t="n">
        <f aca="false">AUX_MATRIZES!O57</f>
        <v>0.0117564620864543</v>
      </c>
      <c r="P8" s="19" t="n">
        <f aca="false">AUX_MATRIZES!P57</f>
        <v>0</v>
      </c>
      <c r="Q8" s="19" t="n">
        <f aca="false">AUX_MATRIZES!Q57</f>
        <v>0</v>
      </c>
      <c r="R8" s="19" t="n">
        <f aca="false">AUX_MATRIZES!R57</f>
        <v>0</v>
      </c>
      <c r="S8" s="19" t="n">
        <f aca="false">AUX_MATRIZES!S57</f>
        <v>0</v>
      </c>
      <c r="T8" s="19" t="n">
        <f aca="false">AUX_MATRIZES!T57</f>
        <v>0</v>
      </c>
      <c r="U8" s="19" t="n">
        <f aca="false">AUX_MATRIZES!U57</f>
        <v>0</v>
      </c>
      <c r="V8" s="19" t="n">
        <f aca="false">AUX_MATRIZES!V57</f>
        <v>0</v>
      </c>
      <c r="W8" s="19" t="n">
        <f aca="false">AUX_MATRIZES!W57</f>
        <v>0</v>
      </c>
      <c r="X8" s="19" t="n">
        <f aca="false">AUX_MATRIZES!X57</f>
        <v>0</v>
      </c>
      <c r="Y8" s="19" t="n">
        <f aca="false">AUX_MATRIZES!Y57</f>
        <v>0</v>
      </c>
      <c r="Z8" s="19" t="n">
        <f aca="false">AUX_MATRIZES!Z57</f>
        <v>0.000975025343292693</v>
      </c>
      <c r="AA8" s="19" t="n">
        <f aca="false">AUX_MATRIZES!AA57</f>
        <v>0.0212793746078425</v>
      </c>
      <c r="AB8" s="19" t="n">
        <f aca="false">AUX_MATRIZES!AB57</f>
        <v>0.0327368288356957</v>
      </c>
      <c r="AC8" s="19" t="n">
        <f aca="false">AUX_MATRIZES!AC57</f>
        <v>0.0404419128029981</v>
      </c>
      <c r="AD8" s="19" t="n">
        <f aca="false">AUX_MATRIZES!AD57</f>
        <v>0.0404419128029981</v>
      </c>
      <c r="AE8" s="19" t="n">
        <f aca="false">AUX_MATRIZES!AE57</f>
        <v>0.0404419128029981</v>
      </c>
      <c r="AF8" s="19" t="n">
        <f aca="false">AUX_MATRIZES!AF57</f>
        <v>0.0404419128029981</v>
      </c>
      <c r="AG8" s="19" t="n">
        <f aca="false">AUX_MATRIZES!AG57</f>
        <v>0.111993754295841</v>
      </c>
      <c r="AH8" s="19" t="n">
        <f aca="false">AUX_MATRIZES!AH57</f>
        <v>0.209590610472392</v>
      </c>
      <c r="AI8" s="19" t="n">
        <f aca="false">AUX_MATRIZES!AI57</f>
        <v>0.229978380720176</v>
      </c>
      <c r="AJ8" s="19" t="n">
        <f aca="false">AUX_MATRIZES!AJ57</f>
        <v>0.25036615096796</v>
      </c>
      <c r="AK8" s="19" t="n">
        <f aca="false">AUX_MATRIZES!AK57</f>
        <v>0.275381105138101</v>
      </c>
      <c r="AL8" s="19" t="n">
        <f aca="false">AUX_MATRIZES!AL57</f>
        <v>0.327856123706551</v>
      </c>
      <c r="AM8" s="19" t="n">
        <f aca="false">AUX_MATRIZES!AM57</f>
        <v>0.316272924458557</v>
      </c>
      <c r="AN8" s="19" t="n">
        <f aca="false">AUX_MATRIZES!AN57</f>
        <v>0.304689725210562</v>
      </c>
      <c r="AO8" s="19" t="n">
        <f aca="false">AUX_MATRIZES!AO57</f>
        <v>0.293106525962567</v>
      </c>
      <c r="AP8" s="19" t="n">
        <f aca="false">AUX_MATRIZES!AP57</f>
        <v>0.285475555876283</v>
      </c>
      <c r="AQ8" s="19" t="n">
        <f aca="false">AUX_MATRIZES!AQ57</f>
        <v>0.275102642405145</v>
      </c>
      <c r="AR8" s="19" t="n">
        <f aca="false">AUX_MATRIZES!AR57</f>
        <v>0.264071024073721</v>
      </c>
      <c r="AS8" s="19" t="n">
        <f aca="false">AUX_MATRIZES!AS57</f>
        <v>0.167832124679758</v>
      </c>
      <c r="AT8" s="19" t="n">
        <f aca="false">AUX_MATRIZES!AT57</f>
        <v>0.162479710874299</v>
      </c>
      <c r="AU8" s="19" t="n">
        <f aca="false">AUX_MATRIZES!AU57</f>
        <v>0.154092223802055</v>
      </c>
      <c r="AV8" s="19" t="n">
        <f aca="false">AUX_MATRIZES!AV57</f>
        <v>0.139627100811252</v>
      </c>
      <c r="AW8" s="19" t="n">
        <f aca="false">AUX_MATRIZES!AW57</f>
        <v>0.12516197782045</v>
      </c>
      <c r="AX8" s="19" t="n">
        <f aca="false">AUX_MATRIZES!AX57</f>
        <v>0.113831162447536</v>
      </c>
      <c r="AY8" s="19" t="n">
        <f aca="false">AUX_MATRIZES!AY57</f>
        <v>0</v>
      </c>
      <c r="AZ8" s="19" t="n">
        <f aca="false">AUX_MATRIZES!AZ57</f>
        <v>0</v>
      </c>
      <c r="BA8" s="19" t="n">
        <f aca="false">AUX_MATRIZES!BA57</f>
        <v>0</v>
      </c>
      <c r="BB8" s="19" t="n">
        <f aca="false">AUX_MATRIZES!BB57</f>
        <v>0</v>
      </c>
      <c r="BC8" s="19" t="n">
        <f aca="false">AUX_MATRIZES!BC57</f>
        <v>0</v>
      </c>
      <c r="BD8" s="19" t="n">
        <f aca="false">AUX_MATRIZES!BD57</f>
        <v>0</v>
      </c>
      <c r="BE8" s="19" t="n">
        <f aca="false">AUX_MATRIZES!BE57</f>
        <v>0</v>
      </c>
      <c r="BF8" s="19" t="n">
        <f aca="false">AUX_MATRIZES!BF57</f>
        <v>0</v>
      </c>
      <c r="BG8" s="19" t="n">
        <f aca="false">AUX_MATRIZES!BG57</f>
        <v>0</v>
      </c>
      <c r="BH8" s="19" t="n">
        <f aca="false">AUX_MATRIZES!BH57</f>
        <v>0</v>
      </c>
      <c r="BI8" s="19" t="n">
        <f aca="false">AUX_MATRIZES!BI57</f>
        <v>0</v>
      </c>
      <c r="BJ8" s="19" t="n">
        <f aca="false">AUX_MATRIZES!BJ57</f>
        <v>0</v>
      </c>
      <c r="BK8" s="19" t="n">
        <f aca="false">AUX_MATRIZES!BK57</f>
        <v>0</v>
      </c>
      <c r="BL8" s="19" t="n">
        <f aca="false">AUX_MATRIZES!BL57</f>
        <v>0</v>
      </c>
      <c r="BM8" s="19" t="n">
        <f aca="false">AUX_MATRIZES!BM57</f>
        <v>0</v>
      </c>
      <c r="BN8" s="19" t="n">
        <f aca="false">AUX_MATRIZES!BN57</f>
        <v>0</v>
      </c>
      <c r="BO8" s="19" t="n">
        <f aca="false">AUX_MATRIZES!BO57</f>
        <v>0</v>
      </c>
      <c r="BP8" s="19" t="n">
        <f aca="false">AUX_MATRIZES!BP57</f>
        <v>0</v>
      </c>
    </row>
    <row r="9" customFormat="false" ht="15" hidden="false" customHeight="false" outlineLevel="0" collapsed="false">
      <c r="B9" s="15" t="s">
        <v>130</v>
      </c>
      <c r="C9" s="19" t="n">
        <f aca="false">AUX_MATRIZES!C58</f>
        <v>0</v>
      </c>
      <c r="D9" s="19" t="n">
        <f aca="false">AUX_MATRIZES!D58</f>
        <v>0</v>
      </c>
      <c r="E9" s="19" t="n">
        <f aca="false">AUX_MATRIZES!E58</f>
        <v>0</v>
      </c>
      <c r="F9" s="19" t="n">
        <f aca="false">AUX_MATRIZES!F58</f>
        <v>0</v>
      </c>
      <c r="G9" s="19" t="n">
        <f aca="false">AUX_MATRIZES!G58</f>
        <v>0.0127282913165266</v>
      </c>
      <c r="H9" s="19" t="n">
        <f aca="false">AUX_MATRIZES!H58</f>
        <v>0</v>
      </c>
      <c r="I9" s="19" t="n">
        <f aca="false">AUX_MATRIZES!I58</f>
        <v>0</v>
      </c>
      <c r="J9" s="19" t="n">
        <f aca="false">AUX_MATRIZES!J58</f>
        <v>0.00261034480363243</v>
      </c>
      <c r="K9" s="19" t="n">
        <f aca="false">AUX_MATRIZES!K58</f>
        <v>0.0587529877636179</v>
      </c>
      <c r="L9" s="19" t="n">
        <f aca="false">AUX_MATRIZES!L58</f>
        <v>0</v>
      </c>
      <c r="M9" s="19" t="n">
        <f aca="false">AUX_MATRIZES!M58</f>
        <v>0.0221455241340683</v>
      </c>
      <c r="N9" s="19" t="n">
        <f aca="false">AUX_MATRIZES!N58</f>
        <v>0.0234509803921568</v>
      </c>
      <c r="O9" s="19" t="n">
        <f aca="false">AUX_MATRIZES!O58</f>
        <v>0.0234509803921568</v>
      </c>
      <c r="P9" s="19" t="n">
        <f aca="false">AUX_MATRIZES!P58</f>
        <v>0</v>
      </c>
      <c r="Q9" s="19" t="n">
        <f aca="false">AUX_MATRIZES!Q58</f>
        <v>0</v>
      </c>
      <c r="R9" s="19" t="n">
        <f aca="false">AUX_MATRIZES!R58</f>
        <v>0</v>
      </c>
      <c r="S9" s="19" t="n">
        <f aca="false">AUX_MATRIZES!S58</f>
        <v>0</v>
      </c>
      <c r="T9" s="19" t="n">
        <f aca="false">AUX_MATRIZES!T58</f>
        <v>0.00255459091366802</v>
      </c>
      <c r="U9" s="19" t="n">
        <f aca="false">AUX_MATRIZES!U58</f>
        <v>0</v>
      </c>
      <c r="V9" s="19" t="n">
        <f aca="false">AUX_MATRIZES!V58</f>
        <v>0</v>
      </c>
      <c r="W9" s="19" t="n">
        <f aca="false">AUX_MATRIZES!W58</f>
        <v>0</v>
      </c>
      <c r="X9" s="19" t="n">
        <f aca="false">AUX_MATRIZES!X58</f>
        <v>0</v>
      </c>
      <c r="Y9" s="19" t="n">
        <f aca="false">AUX_MATRIZES!Y58</f>
        <v>0</v>
      </c>
      <c r="Z9" s="19" t="n">
        <f aca="false">AUX_MATRIZES!Z58</f>
        <v>0</v>
      </c>
      <c r="AA9" s="19" t="n">
        <f aca="false">AUX_MATRIZES!AA58</f>
        <v>0</v>
      </c>
      <c r="AB9" s="19" t="n">
        <f aca="false">AUX_MATRIZES!AB58</f>
        <v>0</v>
      </c>
      <c r="AC9" s="19" t="n">
        <f aca="false">AUX_MATRIZES!AC58</f>
        <v>0</v>
      </c>
      <c r="AD9" s="19" t="n">
        <f aca="false">AUX_MATRIZES!AD58</f>
        <v>0</v>
      </c>
      <c r="AE9" s="19" t="n">
        <f aca="false">AUX_MATRIZES!AE58</f>
        <v>0</v>
      </c>
      <c r="AF9" s="19" t="n">
        <f aca="false">AUX_MATRIZES!AF58</f>
        <v>0</v>
      </c>
      <c r="AG9" s="19" t="n">
        <f aca="false">AUX_MATRIZES!AG58</f>
        <v>0.0372541726749872</v>
      </c>
      <c r="AH9" s="19" t="n">
        <f aca="false">AUX_MATRIZES!AH58</f>
        <v>0.154151989789999</v>
      </c>
      <c r="AI9" s="19" t="n">
        <f aca="false">AUX_MATRIZES!AI58</f>
        <v>0.193135630583594</v>
      </c>
      <c r="AJ9" s="19" t="n">
        <f aca="false">AUX_MATRIZES!AJ58</f>
        <v>0.23211927137719</v>
      </c>
      <c r="AK9" s="19" t="n">
        <f aca="false">AUX_MATRIZES!AK58</f>
        <v>0.285120448179272</v>
      </c>
      <c r="AL9" s="19" t="n">
        <f aca="false">AUX_MATRIZES!AL58</f>
        <v>0.348705882352941</v>
      </c>
      <c r="AM9" s="19" t="n">
        <f aca="false">AUX_MATRIZES!AM58</f>
        <v>0.348705882352941</v>
      </c>
      <c r="AN9" s="19" t="n">
        <f aca="false">AUX_MATRIZES!AN58</f>
        <v>0.348705882352941</v>
      </c>
      <c r="AO9" s="19" t="n">
        <f aca="false">AUX_MATRIZES!AO58</f>
        <v>0.348705882352941</v>
      </c>
      <c r="AP9" s="19" t="n">
        <f aca="false">AUX_MATRIZES!AP58</f>
        <v>0.349915966386555</v>
      </c>
      <c r="AQ9" s="19" t="n">
        <f aca="false">AUX_MATRIZES!AQ58</f>
        <v>0.350117647058823</v>
      </c>
      <c r="AR9" s="19" t="n">
        <f aca="false">AUX_MATRIZES!AR58</f>
        <v>0.350117647058823</v>
      </c>
      <c r="AS9" s="19" t="n">
        <f aca="false">AUX_MATRIZES!AS58</f>
        <v>0.350117647058823</v>
      </c>
      <c r="AT9" s="19" t="n">
        <f aca="false">AUX_MATRIZES!AT58</f>
        <v>0.352929520526159</v>
      </c>
      <c r="AU9" s="19" t="n">
        <f aca="false">AUX_MATRIZES!AU58</f>
        <v>0.34216045392516</v>
      </c>
      <c r="AV9" s="19" t="n">
        <f aca="false">AUX_MATRIZES!AV58</f>
        <v>0.31837965955613</v>
      </c>
      <c r="AW9" s="19" t="n">
        <f aca="false">AUX_MATRIZES!AW58</f>
        <v>0.294598865187101</v>
      </c>
      <c r="AX9" s="19" t="n">
        <f aca="false">AUX_MATRIZES!AX58</f>
        <v>0.278565415909954</v>
      </c>
      <c r="AY9" s="19" t="n">
        <f aca="false">AUX_MATRIZES!AY58</f>
        <v>0.296291316526611</v>
      </c>
      <c r="AZ9" s="19" t="n">
        <f aca="false">AUX_MATRIZES!AZ58</f>
        <v>0.26753314659197</v>
      </c>
      <c r="BA9" s="19" t="n">
        <f aca="false">AUX_MATRIZES!BA58</f>
        <v>0.23877497665733</v>
      </c>
      <c r="BB9" s="19" t="n">
        <f aca="false">AUX_MATRIZES!BB58</f>
        <v>0</v>
      </c>
      <c r="BC9" s="19" t="n">
        <f aca="false">AUX_MATRIZES!BC58</f>
        <v>0</v>
      </c>
      <c r="BD9" s="19" t="n">
        <f aca="false">AUX_MATRIZES!BD58</f>
        <v>0</v>
      </c>
      <c r="BE9" s="19" t="n">
        <f aca="false">AUX_MATRIZES!BE58</f>
        <v>0</v>
      </c>
      <c r="BF9" s="19" t="n">
        <f aca="false">AUX_MATRIZES!BF58</f>
        <v>0</v>
      </c>
      <c r="BG9" s="19" t="n">
        <f aca="false">AUX_MATRIZES!BG58</f>
        <v>0</v>
      </c>
      <c r="BH9" s="19" t="n">
        <f aca="false">AUX_MATRIZES!BH58</f>
        <v>0</v>
      </c>
      <c r="BI9" s="19" t="n">
        <f aca="false">AUX_MATRIZES!BI58</f>
        <v>0</v>
      </c>
      <c r="BJ9" s="19" t="n">
        <f aca="false">AUX_MATRIZES!BJ58</f>
        <v>0</v>
      </c>
      <c r="BK9" s="19" t="n">
        <f aca="false">AUX_MATRIZES!BK58</f>
        <v>0</v>
      </c>
      <c r="BL9" s="19" t="n">
        <f aca="false">AUX_MATRIZES!BL58</f>
        <v>0</v>
      </c>
      <c r="BM9" s="19" t="n">
        <f aca="false">AUX_MATRIZES!BM58</f>
        <v>0</v>
      </c>
      <c r="BN9" s="19" t="n">
        <f aca="false">AUX_MATRIZES!BN58</f>
        <v>0</v>
      </c>
      <c r="BO9" s="19" t="n">
        <f aca="false">AUX_MATRIZES!BO58</f>
        <v>0</v>
      </c>
      <c r="BP9" s="19" t="n">
        <f aca="false">AUX_MATRIZES!BP58</f>
        <v>0</v>
      </c>
    </row>
    <row r="10" customFormat="false" ht="15" hidden="false" customHeight="false" outlineLevel="0" collapsed="false">
      <c r="B10" s="15" t="s">
        <v>131</v>
      </c>
      <c r="C10" s="19" t="n">
        <f aca="false">AUX_MATRIZES!C59</f>
        <v>0.0811344951180324</v>
      </c>
      <c r="D10" s="19" t="n">
        <f aca="false">AUX_MATRIZES!D59</f>
        <v>0.0854123899467091</v>
      </c>
      <c r="E10" s="19" t="n">
        <f aca="false">AUX_MATRIZES!E59</f>
        <v>0.0854123899467091</v>
      </c>
      <c r="F10" s="19" t="n">
        <f aca="false">AUX_MATRIZES!F59</f>
        <v>0.0854123899467091</v>
      </c>
      <c r="G10" s="19" t="n">
        <f aca="false">AUX_MATRIZES!G59</f>
        <v>0.0693746195845784</v>
      </c>
      <c r="H10" s="19" t="n">
        <f aca="false">AUX_MATRIZES!H59</f>
        <v>0.0486574160105273</v>
      </c>
      <c r="I10" s="19" t="n">
        <f aca="false">AUX_MATRIZES!I59</f>
        <v>0.0486574160105273</v>
      </c>
      <c r="J10" s="19" t="n">
        <f aca="false">AUX_MATRIZES!J59</f>
        <v>0.060209938121588</v>
      </c>
      <c r="K10" s="19" t="n">
        <f aca="false">AUX_MATRIZES!K59</f>
        <v>0.0716872699544553</v>
      </c>
      <c r="L10" s="19" t="n">
        <f aca="false">AUX_MATRIZES!L59</f>
        <v>0</v>
      </c>
      <c r="M10" s="19" t="n">
        <f aca="false">AUX_MATRIZES!M59</f>
        <v>0.0091477952990614</v>
      </c>
      <c r="N10" s="19" t="n">
        <f aca="false">AUX_MATRIZES!N59</f>
        <v>0.0091477952990614</v>
      </c>
      <c r="O10" s="19" t="n">
        <f aca="false">AUX_MATRIZES!O59</f>
        <v>0.0091477952990614</v>
      </c>
      <c r="P10" s="19" t="n">
        <f aca="false">AUX_MATRIZES!P59</f>
        <v>0</v>
      </c>
      <c r="Q10" s="19" t="n">
        <f aca="false">AUX_MATRIZES!Q59</f>
        <v>0</v>
      </c>
      <c r="R10" s="19" t="n">
        <f aca="false">AUX_MATRIZES!R59</f>
        <v>0</v>
      </c>
      <c r="S10" s="19" t="n">
        <f aca="false">AUX_MATRIZES!S59</f>
        <v>0</v>
      </c>
      <c r="T10" s="19" t="n">
        <f aca="false">AUX_MATRIZES!T59</f>
        <v>0</v>
      </c>
      <c r="U10" s="19" t="n">
        <f aca="false">AUX_MATRIZES!U59</f>
        <v>0</v>
      </c>
      <c r="V10" s="19" t="n">
        <f aca="false">AUX_MATRIZES!V59</f>
        <v>0</v>
      </c>
      <c r="W10" s="19" t="n">
        <f aca="false">AUX_MATRIZES!W59</f>
        <v>0</v>
      </c>
      <c r="X10" s="19" t="n">
        <f aca="false">AUX_MATRIZES!X59</f>
        <v>0</v>
      </c>
      <c r="Y10" s="19" t="n">
        <f aca="false">AUX_MATRIZES!Y59</f>
        <v>0</v>
      </c>
      <c r="Z10" s="19" t="n">
        <f aca="false">AUX_MATRIZES!Z59</f>
        <v>0.00329834163768497</v>
      </c>
      <c r="AA10" s="19" t="n">
        <f aca="false">AUX_MATRIZES!AA59</f>
        <v>0.0209409476113949</v>
      </c>
      <c r="AB10" s="19" t="n">
        <f aca="false">AUX_MATRIZES!AB59</f>
        <v>0.0357768964322741</v>
      </c>
      <c r="AC10" s="19" t="n">
        <f aca="false">AUX_MATRIZES!AC59</f>
        <v>0.0494631885828117</v>
      </c>
      <c r="AD10" s="19" t="n">
        <f aca="false">AUX_MATRIZES!AD59</f>
        <v>0.0494631885828117</v>
      </c>
      <c r="AE10" s="19" t="n">
        <f aca="false">AUX_MATRIZES!AE59</f>
        <v>0.0494631885828117</v>
      </c>
      <c r="AF10" s="19" t="n">
        <f aca="false">AUX_MATRIZES!AF59</f>
        <v>0.0494631885828117</v>
      </c>
      <c r="AG10" s="19" t="n">
        <f aca="false">AUX_MATRIZES!AG59</f>
        <v>0.129267951056952</v>
      </c>
      <c r="AH10" s="19" t="n">
        <f aca="false">AUX_MATRIZES!AH59</f>
        <v>0.221834440544373</v>
      </c>
      <c r="AI10" s="19" t="n">
        <f aca="false">AUX_MATRIZES!AI59</f>
        <v>0.237354808223415</v>
      </c>
      <c r="AJ10" s="19" t="n">
        <f aca="false">AUX_MATRIZES!AJ59</f>
        <v>0.252875175902458</v>
      </c>
      <c r="AK10" s="19" t="n">
        <f aca="false">AUX_MATRIZES!AK59</f>
        <v>0.275351742339787</v>
      </c>
      <c r="AL10" s="19" t="n">
        <f aca="false">AUX_MATRIZES!AL59</f>
        <v>0.326106198105151</v>
      </c>
      <c r="AM10" s="19" t="n">
        <f aca="false">AUX_MATRIZES!AM59</f>
        <v>0.311939163732006</v>
      </c>
      <c r="AN10" s="19" t="n">
        <f aca="false">AUX_MATRIZES!AN59</f>
        <v>0.29777212935886</v>
      </c>
      <c r="AO10" s="19" t="n">
        <f aca="false">AUX_MATRIZES!AO59</f>
        <v>0.283605094985714</v>
      </c>
      <c r="AP10" s="19" t="n">
        <f aca="false">AUX_MATRIZES!AP59</f>
        <v>0.273883565941707</v>
      </c>
      <c r="AQ10" s="19" t="n">
        <f aca="false">AUX_MATRIZES!AQ59</f>
        <v>0.261132069807853</v>
      </c>
      <c r="AR10" s="19" t="n">
        <f aca="false">AUX_MATRIZES!AR59</f>
        <v>0.173621175568333</v>
      </c>
      <c r="AS10" s="19" t="n">
        <f aca="false">AUX_MATRIZES!AS59</f>
        <v>0.166662011772946</v>
      </c>
      <c r="AT10" s="19" t="n">
        <f aca="false">AUX_MATRIZES!AT59</f>
        <v>0.130961093161678</v>
      </c>
      <c r="AU10" s="19" t="n">
        <f aca="false">AUX_MATRIZES!AU59</f>
        <v>0.125609067824196</v>
      </c>
      <c r="AV10" s="19" t="n">
        <f aca="false">AUX_MATRIZES!AV59</f>
        <v>0.115388228774868</v>
      </c>
      <c r="AW10" s="19" t="n">
        <f aca="false">AUX_MATRIZES!AW59</f>
        <v>0.105167389725539</v>
      </c>
      <c r="AX10" s="19" t="n">
        <f aca="false">AUX_MATRIZES!AX59</f>
        <v>0.0976488754907951</v>
      </c>
      <c r="AY10" s="19" t="n">
        <f aca="false">AUX_MATRIZES!AY59</f>
        <v>0.0587471572487603</v>
      </c>
      <c r="AZ10" s="19" t="n">
        <f aca="false">AUX_MATRIZES!AZ59</f>
        <v>0.0528824952302018</v>
      </c>
      <c r="BA10" s="19" t="n">
        <f aca="false">AUX_MATRIZES!BA59</f>
        <v>0</v>
      </c>
      <c r="BB10" s="19" t="n">
        <f aca="false">AUX_MATRIZES!BB59</f>
        <v>0</v>
      </c>
      <c r="BC10" s="19" t="n">
        <f aca="false">AUX_MATRIZES!BC59</f>
        <v>0</v>
      </c>
      <c r="BD10" s="19" t="n">
        <f aca="false">AUX_MATRIZES!BD59</f>
        <v>0</v>
      </c>
      <c r="BE10" s="19" t="n">
        <f aca="false">AUX_MATRIZES!BE59</f>
        <v>0</v>
      </c>
      <c r="BF10" s="19" t="n">
        <f aca="false">AUX_MATRIZES!BF59</f>
        <v>0</v>
      </c>
      <c r="BG10" s="19" t="n">
        <f aca="false">AUX_MATRIZES!BG59</f>
        <v>0</v>
      </c>
      <c r="BH10" s="19" t="n">
        <f aca="false">AUX_MATRIZES!BH59</f>
        <v>0</v>
      </c>
      <c r="BI10" s="19" t="n">
        <f aca="false">AUX_MATRIZES!BI59</f>
        <v>0</v>
      </c>
      <c r="BJ10" s="19" t="n">
        <f aca="false">AUX_MATRIZES!BJ59</f>
        <v>0</v>
      </c>
      <c r="BK10" s="19" t="n">
        <f aca="false">AUX_MATRIZES!BK59</f>
        <v>0</v>
      </c>
      <c r="BL10" s="19" t="n">
        <f aca="false">AUX_MATRIZES!BL59</f>
        <v>0</v>
      </c>
      <c r="BM10" s="19" t="n">
        <f aca="false">AUX_MATRIZES!BM59</f>
        <v>0</v>
      </c>
      <c r="BN10" s="19" t="n">
        <f aca="false">AUX_MATRIZES!BN59</f>
        <v>0</v>
      </c>
      <c r="BO10" s="19" t="n">
        <f aca="false">AUX_MATRIZES!BO59</f>
        <v>0</v>
      </c>
      <c r="BP10" s="19" t="n">
        <f aca="false">AUX_MATRIZES!BP59</f>
        <v>0</v>
      </c>
    </row>
    <row r="11" customFormat="false" ht="15" hidden="false" customHeight="false" outlineLevel="0" collapsed="false">
      <c r="B11" s="15" t="s">
        <v>132</v>
      </c>
      <c r="C11" s="19" t="n">
        <f aca="false">AUX_MATRIZES!C60</f>
        <v>0.126061846177456</v>
      </c>
      <c r="D11" s="19" t="n">
        <f aca="false">AUX_MATRIZES!D60</f>
        <v>0.126117093383124</v>
      </c>
      <c r="E11" s="19" t="n">
        <f aca="false">AUX_MATRIZES!E60</f>
        <v>0.126117093383124</v>
      </c>
      <c r="F11" s="19" t="n">
        <f aca="false">AUX_MATRIZES!F60</f>
        <v>0.126117093383124</v>
      </c>
      <c r="G11" s="19" t="n">
        <f aca="false">AUX_MATRIZES!G60</f>
        <v>0.0951049952681792</v>
      </c>
      <c r="H11" s="19" t="n">
        <f aca="false">AUX_MATRIZES!H60</f>
        <v>0.0718459216819705</v>
      </c>
      <c r="I11" s="19" t="n">
        <f aca="false">AUX_MATRIZES!I60</f>
        <v>0.0718459216819705</v>
      </c>
      <c r="J11" s="19" t="n">
        <f aca="false">AUX_MATRIZES!J60</f>
        <v>0.0619198403969614</v>
      </c>
      <c r="K11" s="19" t="n">
        <f aca="false">AUX_MATRIZES!K60</f>
        <v>0.0413774714172443</v>
      </c>
      <c r="L11" s="19" t="n">
        <f aca="false">AUX_MATRIZES!L60</f>
        <v>0</v>
      </c>
      <c r="M11" s="19" t="n">
        <f aca="false">AUX_MATRIZES!M60</f>
        <v>0</v>
      </c>
      <c r="N11" s="19" t="n">
        <f aca="false">AUX_MATRIZES!N60</f>
        <v>0</v>
      </c>
      <c r="O11" s="19" t="n">
        <f aca="false">AUX_MATRIZES!O60</f>
        <v>0.00857292679610325</v>
      </c>
      <c r="P11" s="19" t="n">
        <f aca="false">AUX_MATRIZES!P60</f>
        <v>0</v>
      </c>
      <c r="Q11" s="19" t="n">
        <f aca="false">AUX_MATRIZES!Q60</f>
        <v>0</v>
      </c>
      <c r="R11" s="19" t="n">
        <f aca="false">AUX_MATRIZES!R60</f>
        <v>0</v>
      </c>
      <c r="S11" s="19" t="n">
        <f aca="false">AUX_MATRIZES!S60</f>
        <v>0</v>
      </c>
      <c r="T11" s="19" t="n">
        <f aca="false">AUX_MATRIZES!T60</f>
        <v>0.00226573971021254</v>
      </c>
      <c r="U11" s="19" t="n">
        <f aca="false">AUX_MATRIZES!U60</f>
        <v>0.0116050082718204</v>
      </c>
      <c r="V11" s="19" t="n">
        <f aca="false">AUX_MATRIZES!V60</f>
        <v>0.0114224733564741</v>
      </c>
      <c r="W11" s="19" t="n">
        <f aca="false">AUX_MATRIZES!W60</f>
        <v>0</v>
      </c>
      <c r="X11" s="19" t="n">
        <f aca="false">AUX_MATRIZES!X60</f>
        <v>0</v>
      </c>
      <c r="Y11" s="19" t="n">
        <f aca="false">AUX_MATRIZES!Y60</f>
        <v>0</v>
      </c>
      <c r="Z11" s="19" t="n">
        <f aca="false">AUX_MATRIZES!Z60</f>
        <v>0.0148089353374734</v>
      </c>
      <c r="AA11" s="19" t="n">
        <f aca="false">AUX_MATRIZES!AA60</f>
        <v>0.0409802065952605</v>
      </c>
      <c r="AB11" s="19" t="n">
        <f aca="false">AUX_MATRIZES!AB60</f>
        <v>0.042262487418171</v>
      </c>
      <c r="AC11" s="19" t="n">
        <f aca="false">AUX_MATRIZES!AC60</f>
        <v>0.0522095722704766</v>
      </c>
      <c r="AD11" s="19" t="n">
        <f aca="false">AUX_MATRIZES!AD60</f>
        <v>0.0522095722704766</v>
      </c>
      <c r="AE11" s="19" t="n">
        <f aca="false">AUX_MATRIZES!AE60</f>
        <v>0.0522095722704766</v>
      </c>
      <c r="AF11" s="19" t="n">
        <f aca="false">AUX_MATRIZES!AF60</f>
        <v>0.0522095722704766</v>
      </c>
      <c r="AG11" s="19" t="n">
        <f aca="false">AUX_MATRIZES!AG60</f>
        <v>0.117907939808402</v>
      </c>
      <c r="AH11" s="19" t="n">
        <f aca="false">AUX_MATRIZES!AH60</f>
        <v>0.167181715461845</v>
      </c>
      <c r="AI11" s="19" t="n">
        <f aca="false">AUX_MATRIZES!AI60</f>
        <v>0.167181715461845</v>
      </c>
      <c r="AJ11" s="19" t="n">
        <f aca="false">AUX_MATRIZES!AJ60</f>
        <v>0.16376293996638</v>
      </c>
      <c r="AK11" s="19" t="n">
        <f aca="false">AUX_MATRIZES!AK60</f>
        <v>0.171173084823164</v>
      </c>
      <c r="AL11" s="19" t="n">
        <f aca="false">AUX_MATRIZES!AL60</f>
        <v>0.198495517186745</v>
      </c>
      <c r="AM11" s="19" t="n">
        <f aca="false">AUX_MATRIZES!AM60</f>
        <v>0.184200103576339</v>
      </c>
      <c r="AN11" s="19" t="n">
        <f aca="false">AUX_MATRIZES!AN60</f>
        <v>0.169904689965933</v>
      </c>
      <c r="AO11" s="19" t="n">
        <f aca="false">AUX_MATRIZES!AO60</f>
        <v>0.155609276355527</v>
      </c>
      <c r="AP11" s="19" t="n">
        <f aca="false">AUX_MATRIZES!AP60</f>
        <v>0.162204620609941</v>
      </c>
      <c r="AQ11" s="19" t="n">
        <f aca="false">AUX_MATRIZES!AQ60</f>
        <v>0.166868119505023</v>
      </c>
      <c r="AR11" s="19" t="n">
        <f aca="false">AUX_MATRIZES!AR60</f>
        <v>0.0922550471415532</v>
      </c>
      <c r="AS11" s="19" t="n">
        <f aca="false">AUX_MATRIZES!AS60</f>
        <v>0.0868220524590086</v>
      </c>
      <c r="AT11" s="19" t="n">
        <f aca="false">AUX_MATRIZES!AT60</f>
        <v>0.0531774825460699</v>
      </c>
      <c r="AU11" s="19" t="n">
        <f aca="false">AUX_MATRIZES!AU60</f>
        <v>0.090842419933683</v>
      </c>
      <c r="AV11" s="19" t="n">
        <f aca="false">AUX_MATRIZES!AV60</f>
        <v>0.113594461055102</v>
      </c>
      <c r="AW11" s="19" t="n">
        <f aca="false">AUX_MATRIZES!AW60</f>
        <v>0.136346502176522</v>
      </c>
      <c r="AX11" s="19" t="n">
        <f aca="false">AUX_MATRIZES!AX60</f>
        <v>0.167464342528652</v>
      </c>
      <c r="AY11" s="19" t="n">
        <f aca="false">AUX_MATRIZES!AY60</f>
        <v>0.238011276102494</v>
      </c>
      <c r="AZ11" s="19" t="n">
        <f aca="false">AUX_MATRIZES!AZ60</f>
        <v>0.259886641541314</v>
      </c>
      <c r="BA11" s="19" t="n">
        <f aca="false">AUX_MATRIZES!BA60</f>
        <v>0.278224480320725</v>
      </c>
      <c r="BB11" s="19" t="n">
        <f aca="false">AUX_MATRIZES!BB60</f>
        <v>0.296562319100136</v>
      </c>
      <c r="BC11" s="19" t="n">
        <f aca="false">AUX_MATRIZES!BC60</f>
        <v>0.312514880351535</v>
      </c>
      <c r="BD11" s="19" t="n">
        <f aca="false">AUX_MATRIZES!BD60</f>
        <v>0.315343200481973</v>
      </c>
      <c r="BE11" s="19" t="n">
        <f aca="false">AUX_MATRIZES!BE60</f>
        <v>0.315343200481973</v>
      </c>
      <c r="BF11" s="19" t="n">
        <f aca="false">AUX_MATRIZES!BF60</f>
        <v>0.304705276232804</v>
      </c>
      <c r="BG11" s="19" t="n">
        <f aca="false">AUX_MATRIZES!BG60</f>
        <v>0.227141496998936</v>
      </c>
      <c r="BH11" s="19" t="n">
        <f aca="false">AUX_MATRIZES!BH60</f>
        <v>0.131027017504932</v>
      </c>
      <c r="BI11" s="19" t="n">
        <f aca="false">AUX_MATRIZES!BI60</f>
        <v>0.111854298858154</v>
      </c>
      <c r="BJ11" s="19" t="n">
        <f aca="false">AUX_MATRIZES!BJ60</f>
        <v>0.0849232638047029</v>
      </c>
      <c r="BK11" s="19" t="n">
        <f aca="false">AUX_MATRIZES!BK60</f>
        <v>0.0513092017819517</v>
      </c>
      <c r="BL11" s="19" t="n">
        <f aca="false">AUX_MATRIZES!BL60</f>
        <v>0</v>
      </c>
      <c r="BM11" s="19" t="n">
        <f aca="false">AUX_MATRIZES!BM60</f>
        <v>0</v>
      </c>
      <c r="BN11" s="19" t="n">
        <f aca="false">AUX_MATRIZES!BN60</f>
        <v>0</v>
      </c>
      <c r="BO11" s="19" t="n">
        <f aca="false">AUX_MATRIZES!BO60</f>
        <v>0</v>
      </c>
      <c r="BP11" s="19" t="n">
        <f aca="false">AUX_MATRIZES!BP60</f>
        <v>0</v>
      </c>
    </row>
    <row r="12" customFormat="false" ht="15" hidden="false" customHeight="false" outlineLevel="0" collapsed="false">
      <c r="B12" s="15" t="s">
        <v>133</v>
      </c>
      <c r="C12" s="19" t="n">
        <f aca="false">AUX_MATRIZES!C61</f>
        <v>0.147890966081224</v>
      </c>
      <c r="D12" s="19" t="n">
        <f aca="false">AUX_MATRIZES!D61</f>
        <v>0.10589910164408</v>
      </c>
      <c r="E12" s="19" t="n">
        <f aca="false">AUX_MATRIZES!E61</f>
        <v>0.072176759410802</v>
      </c>
      <c r="F12" s="19" t="n">
        <f aca="false">AUX_MATRIZES!F61</f>
        <v>0.0672737810777428</v>
      </c>
      <c r="G12" s="19" t="n">
        <f aca="false">AUX_MATRIZES!G61</f>
        <v>0.0428932657106929</v>
      </c>
      <c r="H12" s="19" t="n">
        <f aca="false">AUX_MATRIZES!H61</f>
        <v>0.0231285322745687</v>
      </c>
      <c r="I12" s="19" t="n">
        <f aca="false">AUX_MATRIZES!I61</f>
        <v>0.0165010581140198</v>
      </c>
      <c r="J12" s="19" t="n">
        <f aca="false">AUX_MATRIZES!J61</f>
        <v>0.00987358395347084</v>
      </c>
      <c r="K12" s="19" t="n">
        <f aca="false">AUX_MATRIZES!K61</f>
        <v>0</v>
      </c>
      <c r="L12" s="19" t="n">
        <f aca="false">AUX_MATRIZES!L61</f>
        <v>0</v>
      </c>
      <c r="M12" s="19" t="n">
        <f aca="false">AUX_MATRIZES!M61</f>
        <v>0</v>
      </c>
      <c r="N12" s="19" t="n">
        <f aca="false">AUX_MATRIZES!N61</f>
        <v>0</v>
      </c>
      <c r="O12" s="19" t="n">
        <f aca="false">AUX_MATRIZES!O61</f>
        <v>0.0010458236598331</v>
      </c>
      <c r="P12" s="19" t="n">
        <f aca="false">AUX_MATRIZES!P61</f>
        <v>0</v>
      </c>
      <c r="Q12" s="19" t="n">
        <f aca="false">AUX_MATRIZES!Q61</f>
        <v>0</v>
      </c>
      <c r="R12" s="19" t="n">
        <f aca="false">AUX_MATRIZES!R61</f>
        <v>0</v>
      </c>
      <c r="S12" s="19" t="n">
        <f aca="false">AUX_MATRIZES!S61</f>
        <v>0</v>
      </c>
      <c r="T12" s="19" t="n">
        <f aca="false">AUX_MATRIZES!T61</f>
        <v>0.000573382733621359</v>
      </c>
      <c r="U12" s="19" t="n">
        <f aca="false">AUX_MATRIZES!U61</f>
        <v>0.00293683839171917</v>
      </c>
      <c r="V12" s="19" t="n">
        <f aca="false">AUX_MATRIZES!V61</f>
        <v>0.00293683839171917</v>
      </c>
      <c r="W12" s="19" t="n">
        <f aca="false">AUX_MATRIZES!W61</f>
        <v>0</v>
      </c>
      <c r="X12" s="19" t="n">
        <f aca="false">AUX_MATRIZES!X61</f>
        <v>0</v>
      </c>
      <c r="Y12" s="19" t="n">
        <f aca="false">AUX_MATRIZES!Y61</f>
        <v>0.00690844226230239</v>
      </c>
      <c r="Z12" s="19" t="n">
        <f aca="false">AUX_MATRIZES!Z61</f>
        <v>0.0179350879819177</v>
      </c>
      <c r="AA12" s="19" t="n">
        <f aca="false">AUX_MATRIZES!AA61</f>
        <v>0.0361054441823738</v>
      </c>
      <c r="AB12" s="19" t="n">
        <f aca="false">AUX_MATRIZES!AB61</f>
        <v>0.0377566039255267</v>
      </c>
      <c r="AC12" s="19" t="n">
        <f aca="false">AUX_MATRIZES!AC61</f>
        <v>0.0552572341360392</v>
      </c>
      <c r="AD12" s="19" t="n">
        <f aca="false">AUX_MATRIZES!AD61</f>
        <v>0.0630421006317303</v>
      </c>
      <c r="AE12" s="19" t="n">
        <f aca="false">AUX_MATRIZES!AE61</f>
        <v>0.0655362860381831</v>
      </c>
      <c r="AF12" s="19" t="n">
        <f aca="false">AUX_MATRIZES!AF61</f>
        <v>0.0630618128441483</v>
      </c>
      <c r="AG12" s="19" t="n">
        <f aca="false">AUX_MATRIZES!AG61</f>
        <v>0.157739773637913</v>
      </c>
      <c r="AH12" s="19" t="n">
        <f aca="false">AUX_MATRIZES!AH61</f>
        <v>0.23868840717144</v>
      </c>
      <c r="AI12" s="19" t="n">
        <f aca="false">AUX_MATRIZES!AI61</f>
        <v>0.240497741017379</v>
      </c>
      <c r="AJ12" s="19" t="n">
        <f aca="false">AUX_MATRIZES!AJ61</f>
        <v>0.237448626896558</v>
      </c>
      <c r="AK12" s="19" t="n">
        <f aca="false">AUX_MATRIZES!AK61</f>
        <v>0.231047284899025</v>
      </c>
      <c r="AL12" s="19" t="n">
        <f aca="false">AUX_MATRIZES!AL61</f>
        <v>0.273454333348405</v>
      </c>
      <c r="AM12" s="19" t="n">
        <f aca="false">AUX_MATRIZES!AM61</f>
        <v>0.268183117575394</v>
      </c>
      <c r="AN12" s="19" t="n">
        <f aca="false">AUX_MATRIZES!AN61</f>
        <v>0.252859085487139</v>
      </c>
      <c r="AO12" s="19" t="n">
        <f aca="false">AUX_MATRIZES!AO61</f>
        <v>0.237535053398883</v>
      </c>
      <c r="AP12" s="19" t="n">
        <f aca="false">AUX_MATRIZES!AP61</f>
        <v>0.191861911204767</v>
      </c>
      <c r="AQ12" s="19" t="n">
        <f aca="false">AUX_MATRIZES!AQ61</f>
        <v>0.183241341801805</v>
      </c>
      <c r="AR12" s="19" t="n">
        <f aca="false">AUX_MATRIZES!AR61</f>
        <v>0.105237244728971</v>
      </c>
      <c r="AS12" s="19" t="n">
        <f aca="false">AUX_MATRIZES!AS61</f>
        <v>0.121740660598235</v>
      </c>
      <c r="AT12" s="19" t="n">
        <f aca="false">AUX_MATRIZES!AT61</f>
        <v>0.101438318981278</v>
      </c>
      <c r="AU12" s="19" t="n">
        <f aca="false">AUX_MATRIZES!AU61</f>
        <v>0.110531122476677</v>
      </c>
      <c r="AV12" s="19" t="n">
        <f aca="false">AUX_MATRIZES!AV61</f>
        <v>0.118394951192376</v>
      </c>
      <c r="AW12" s="19" t="n">
        <f aca="false">AUX_MATRIZES!AW61</f>
        <v>0.127083171154241</v>
      </c>
      <c r="AX12" s="19" t="n">
        <f aca="false">AUX_MATRIZES!AX61</f>
        <v>0.144551263756296</v>
      </c>
      <c r="AY12" s="19" t="n">
        <f aca="false">AUX_MATRIZES!AY61</f>
        <v>0.184867662298137</v>
      </c>
      <c r="AZ12" s="19" t="n">
        <f aca="false">AUX_MATRIZES!AZ61</f>
        <v>0.17933124012144</v>
      </c>
      <c r="BA12" s="19" t="n">
        <f aca="false">AUX_MATRIZES!BA61</f>
        <v>0.199240165886824</v>
      </c>
      <c r="BB12" s="19" t="n">
        <f aca="false">AUX_MATRIZES!BB61</f>
        <v>0.212531454188001</v>
      </c>
      <c r="BC12" s="19" t="n">
        <f aca="false">AUX_MATRIZES!BC61</f>
        <v>0.219942623957353</v>
      </c>
      <c r="BD12" s="19" t="n">
        <f aca="false">AUX_MATRIZES!BD61</f>
        <v>0.216439800176115</v>
      </c>
      <c r="BE12" s="19" t="n">
        <f aca="false">AUX_MATRIZES!BE61</f>
        <v>0.209451027189832</v>
      </c>
      <c r="BF12" s="19" t="n">
        <f aca="false">AUX_MATRIZES!BF61</f>
        <v>0.202462254203549</v>
      </c>
      <c r="BG12" s="19" t="n">
        <f aca="false">AUX_MATRIZES!BG61</f>
        <v>0.15694955478518</v>
      </c>
      <c r="BH12" s="19" t="n">
        <f aca="false">AUX_MATRIZES!BH61</f>
        <v>0.0988365387280556</v>
      </c>
      <c r="BI12" s="19" t="n">
        <f aca="false">AUX_MATRIZES!BI61</f>
        <v>0.0879573454499949</v>
      </c>
      <c r="BJ12" s="19" t="n">
        <f aca="false">AUX_MATRIZES!BJ61</f>
        <v>0.0747156130984724</v>
      </c>
      <c r="BK12" s="19" t="n">
        <f aca="false">AUX_MATRIZES!BK61</f>
        <v>0.0604220253694788</v>
      </c>
      <c r="BL12" s="19" t="n">
        <f aca="false">AUX_MATRIZES!BL61</f>
        <v>0</v>
      </c>
      <c r="BM12" s="19" t="n">
        <f aca="false">AUX_MATRIZES!BM61</f>
        <v>0</v>
      </c>
      <c r="BN12" s="19" t="n">
        <f aca="false">AUX_MATRIZES!BN61</f>
        <v>0</v>
      </c>
      <c r="BO12" s="19" t="n">
        <f aca="false">AUX_MATRIZES!BO61</f>
        <v>0</v>
      </c>
      <c r="BP12" s="19" t="n">
        <f aca="false">AUX_MATRIZES!BP61</f>
        <v>0</v>
      </c>
    </row>
    <row r="13" customFormat="false" ht="15" hidden="false" customHeight="false" outlineLevel="0" collapsed="false">
      <c r="B13" s="15" t="s">
        <v>134</v>
      </c>
      <c r="C13" s="19" t="n">
        <f aca="false">AUX_MATRIZES!C62</f>
        <v>0.141597425890181</v>
      </c>
      <c r="D13" s="19" t="n">
        <f aca="false">AUX_MATRIZES!D62</f>
        <v>0.125190961498311</v>
      </c>
      <c r="E13" s="19" t="n">
        <f aca="false">AUX_MATRIZES!E62</f>
        <v>0.0829933013841612</v>
      </c>
      <c r="F13" s="19" t="n">
        <f aca="false">AUX_MATRIZES!F62</f>
        <v>0.0477783751805358</v>
      </c>
      <c r="G13" s="19" t="n">
        <f aca="false">AUX_MATRIZES!G62</f>
        <v>0.021653121448645</v>
      </c>
      <c r="H13" s="19" t="n">
        <f aca="false">AUX_MATRIZES!H62</f>
        <v>0</v>
      </c>
      <c r="I13" s="19" t="n">
        <f aca="false">AUX_MATRIZES!I62</f>
        <v>0</v>
      </c>
      <c r="J13" s="19" t="n">
        <f aca="false">AUX_MATRIZES!J62</f>
        <v>0</v>
      </c>
      <c r="K13" s="19" t="n">
        <f aca="false">AUX_MATRIZES!K62</f>
        <v>0</v>
      </c>
      <c r="L13" s="19" t="n">
        <f aca="false">AUX_MATRIZES!L62</f>
        <v>0</v>
      </c>
      <c r="M13" s="19" t="n">
        <f aca="false">AUX_MATRIZES!M62</f>
        <v>0</v>
      </c>
      <c r="N13" s="19" t="n">
        <f aca="false">AUX_MATRIZES!N62</f>
        <v>0</v>
      </c>
      <c r="O13" s="19" t="n">
        <f aca="false">AUX_MATRIZES!O62</f>
        <v>0.000860930130536092</v>
      </c>
      <c r="P13" s="19" t="n">
        <f aca="false">AUX_MATRIZES!P62</f>
        <v>0</v>
      </c>
      <c r="Q13" s="19" t="n">
        <f aca="false">AUX_MATRIZES!Q62</f>
        <v>0</v>
      </c>
      <c r="R13" s="19" t="n">
        <f aca="false">AUX_MATRIZES!R62</f>
        <v>0</v>
      </c>
      <c r="S13" s="19" t="n">
        <f aca="false">AUX_MATRIZES!S62</f>
        <v>0</v>
      </c>
      <c r="T13" s="19" t="n">
        <f aca="false">AUX_MATRIZES!T62</f>
        <v>0.00330375959030853</v>
      </c>
      <c r="U13" s="19" t="n">
        <f aca="false">AUX_MATRIZES!U62</f>
        <v>0.0169216954625559</v>
      </c>
      <c r="V13" s="19" t="n">
        <f aca="false">AUX_MATRIZES!V62</f>
        <v>0.0169216954625559</v>
      </c>
      <c r="W13" s="19" t="n">
        <f aca="false">AUX_MATRIZES!W62</f>
        <v>0.00697487050490181</v>
      </c>
      <c r="X13" s="19" t="n">
        <f aca="false">AUX_MATRIZES!X62</f>
        <v>0</v>
      </c>
      <c r="Y13" s="19" t="n">
        <f aca="false">AUX_MATRIZES!Y62</f>
        <v>0</v>
      </c>
      <c r="Z13" s="19" t="n">
        <f aca="false">AUX_MATRIZES!Z62</f>
        <v>0.00332308624053259</v>
      </c>
      <c r="AA13" s="19" t="n">
        <f aca="false">AUX_MATRIZES!AA62</f>
        <v>0.0105868395837043</v>
      </c>
      <c r="AB13" s="19" t="n">
        <f aca="false">AUX_MATRIZES!AB62</f>
        <v>0.0169290537663495</v>
      </c>
      <c r="AC13" s="19" t="n">
        <f aca="false">AUX_MATRIZES!AC62</f>
        <v>0.0214833037555399</v>
      </c>
      <c r="AD13" s="19" t="n">
        <f aca="false">AUX_MATRIZES!AD62</f>
        <v>0.0214833037555399</v>
      </c>
      <c r="AE13" s="19" t="n">
        <f aca="false">AUX_MATRIZES!AE62</f>
        <v>0.0238923114002512</v>
      </c>
      <c r="AF13" s="19" t="n">
        <f aca="false">AUX_MATRIZES!AF62</f>
        <v>0.0293896783182482</v>
      </c>
      <c r="AG13" s="19" t="n">
        <f aca="false">AUX_MATRIZES!AG62</f>
        <v>0.0952675380162186</v>
      </c>
      <c r="AH13" s="19" t="n">
        <f aca="false">AUX_MATRIZES!AH62</f>
        <v>0.193876189982958</v>
      </c>
      <c r="AI13" s="19" t="n">
        <f aca="false">AUX_MATRIZES!AI62</f>
        <v>0.21659788923716</v>
      </c>
      <c r="AJ13" s="19" t="n">
        <f aca="false">AUX_MATRIZES!AJ62</f>
        <v>0.232304940487863</v>
      </c>
      <c r="AK13" s="19" t="n">
        <f aca="false">AUX_MATRIZES!AK62</f>
        <v>0.265842934782732</v>
      </c>
      <c r="AL13" s="19" t="n">
        <f aca="false">AUX_MATRIZES!AL62</f>
        <v>0.334386442858569</v>
      </c>
      <c r="AM13" s="19" t="n">
        <f aca="false">AUX_MATRIZES!AM62</f>
        <v>0.326944708356446</v>
      </c>
      <c r="AN13" s="19" t="n">
        <f aca="false">AUX_MATRIZES!AN62</f>
        <v>0.319171083131076</v>
      </c>
      <c r="AO13" s="19" t="n">
        <f aca="false">AUX_MATRIZES!AO62</f>
        <v>0.284080328716202</v>
      </c>
      <c r="AP13" s="19" t="n">
        <f aca="false">AUX_MATRIZES!AP62</f>
        <v>0.290446685524717</v>
      </c>
      <c r="AQ13" s="19" t="n">
        <f aca="false">AUX_MATRIZES!AQ62</f>
        <v>0.285481967257156</v>
      </c>
      <c r="AR13" s="19" t="n">
        <f aca="false">AUX_MATRIZES!AR62</f>
        <v>0.2471057501555</v>
      </c>
      <c r="AS13" s="19" t="n">
        <f aca="false">AUX_MATRIZES!AS62</f>
        <v>0.215809573428515</v>
      </c>
      <c r="AT13" s="19" t="n">
        <f aca="false">AUX_MATRIZES!AT62</f>
        <v>0.228087232508238</v>
      </c>
      <c r="AU13" s="19" t="n">
        <f aca="false">AUX_MATRIZES!AU62</f>
        <v>0.224015217954852</v>
      </c>
      <c r="AV13" s="19" t="n">
        <f aca="false">AUX_MATRIZES!AV62</f>
        <v>0.213120676088453</v>
      </c>
      <c r="AW13" s="19" t="n">
        <f aca="false">AUX_MATRIZES!AW62</f>
        <v>0.202530838728211</v>
      </c>
      <c r="AX13" s="19" t="n">
        <f aca="false">AUX_MATRIZES!AX62</f>
        <v>0.177001075738193</v>
      </c>
      <c r="AY13" s="19" t="n">
        <f aca="false">AUX_MATRIZES!AY62</f>
        <v>0.182761830666853</v>
      </c>
      <c r="AZ13" s="19" t="n">
        <f aca="false">AUX_MATRIZES!AZ62</f>
        <v>0.174421311428946</v>
      </c>
      <c r="BA13" s="19" t="n">
        <f aca="false">AUX_MATRIZES!BA62</f>
        <v>0.126135171391219</v>
      </c>
      <c r="BB13" s="19" t="n">
        <f aca="false">AUX_MATRIZES!BB62</f>
        <v>0.139920961998426</v>
      </c>
      <c r="BC13" s="19" t="n">
        <f aca="false">AUX_MATRIZES!BC62</f>
        <v>0.148675606269624</v>
      </c>
      <c r="BD13" s="19" t="n">
        <f aca="false">AUX_MATRIZES!BD62</f>
        <v>0.157677056805396</v>
      </c>
      <c r="BE13" s="19" t="n">
        <f aca="false">AUX_MATRIZES!BE62</f>
        <v>0.15819038112402</v>
      </c>
      <c r="BF13" s="19" t="n">
        <f aca="false">AUX_MATRIZES!BF62</f>
        <v>0.15819038112402</v>
      </c>
      <c r="BG13" s="19" t="n">
        <f aca="false">AUX_MATRIZES!BG62</f>
        <v>0.129964773350187</v>
      </c>
      <c r="BH13" s="19" t="n">
        <f aca="false">AUX_MATRIZES!BH62</f>
        <v>0.0875693507474906</v>
      </c>
      <c r="BI13" s="19" t="n">
        <f aca="false">AUX_MATRIZES!BI62</f>
        <v>0.0801600841938935</v>
      </c>
      <c r="BJ13" s="19" t="n">
        <f aca="false">AUX_MATRIZES!BJ62</f>
        <v>0.0706110778341786</v>
      </c>
      <c r="BK13" s="19" t="n">
        <f aca="false">AUX_MATRIZES!BK62</f>
        <v>0.0610620714744637</v>
      </c>
      <c r="BL13" s="19" t="n">
        <f aca="false">AUX_MATRIZES!BL62</f>
        <v>0.00101288131835692</v>
      </c>
      <c r="BM13" s="19" t="n">
        <f aca="false">AUX_MATRIZES!BM62</f>
        <v>0</v>
      </c>
      <c r="BN13" s="19" t="n">
        <f aca="false">AUX_MATRIZES!BN62</f>
        <v>0</v>
      </c>
      <c r="BO13" s="19" t="n">
        <f aca="false">AUX_MATRIZES!BO62</f>
        <v>0</v>
      </c>
      <c r="BP13" s="19" t="n">
        <f aca="false">AUX_MATRIZES!BP62</f>
        <v>0</v>
      </c>
    </row>
    <row r="14" customFormat="false" ht="15" hidden="false" customHeight="false" outlineLevel="0" collapsed="false">
      <c r="B14" s="15" t="s">
        <v>135</v>
      </c>
      <c r="C14" s="19" t="n">
        <f aca="false">AUX_MATRIZES!C63</f>
        <v>0</v>
      </c>
      <c r="D14" s="19" t="n">
        <f aca="false">AUX_MATRIZES!D63</f>
        <v>0</v>
      </c>
      <c r="E14" s="19" t="n">
        <f aca="false">AUX_MATRIZES!E63</f>
        <v>0</v>
      </c>
      <c r="F14" s="19" t="n">
        <f aca="false">AUX_MATRIZES!F63</f>
        <v>0</v>
      </c>
      <c r="G14" s="19" t="n">
        <f aca="false">AUX_MATRIZES!G63</f>
        <v>0</v>
      </c>
      <c r="H14" s="19" t="n">
        <f aca="false">AUX_MATRIZES!H63</f>
        <v>0</v>
      </c>
      <c r="I14" s="19" t="n">
        <f aca="false">AUX_MATRIZES!I63</f>
        <v>0</v>
      </c>
      <c r="J14" s="19" t="n">
        <f aca="false">AUX_MATRIZES!J63</f>
        <v>0</v>
      </c>
      <c r="K14" s="19" t="n">
        <f aca="false">AUX_MATRIZES!K63</f>
        <v>0</v>
      </c>
      <c r="L14" s="19" t="n">
        <f aca="false">AUX_MATRIZES!L63</f>
        <v>0</v>
      </c>
      <c r="M14" s="19" t="n">
        <f aca="false">AUX_MATRIZES!M63</f>
        <v>0</v>
      </c>
      <c r="N14" s="19" t="n">
        <f aca="false">AUX_MATRIZES!N63</f>
        <v>0</v>
      </c>
      <c r="O14" s="19" t="n">
        <f aca="false">AUX_MATRIZES!O63</f>
        <v>0</v>
      </c>
      <c r="P14" s="19" t="n">
        <f aca="false">AUX_MATRIZES!P63</f>
        <v>0</v>
      </c>
      <c r="Q14" s="19" t="n">
        <f aca="false">AUX_MATRIZES!Q63</f>
        <v>0</v>
      </c>
      <c r="R14" s="19" t="n">
        <f aca="false">AUX_MATRIZES!R63</f>
        <v>0</v>
      </c>
      <c r="S14" s="19" t="n">
        <f aca="false">AUX_MATRIZES!S63</f>
        <v>0</v>
      </c>
      <c r="T14" s="19" t="n">
        <f aca="false">AUX_MATRIZES!T63</f>
        <v>0</v>
      </c>
      <c r="U14" s="19" t="n">
        <f aca="false">AUX_MATRIZES!U63</f>
        <v>0</v>
      </c>
      <c r="V14" s="19" t="n">
        <f aca="false">AUX_MATRIZES!V63</f>
        <v>0</v>
      </c>
      <c r="W14" s="19" t="n">
        <f aca="false">AUX_MATRIZES!W63</f>
        <v>0</v>
      </c>
      <c r="X14" s="19" t="n">
        <f aca="false">AUX_MATRIZES!X63</f>
        <v>0</v>
      </c>
      <c r="Y14" s="19" t="n">
        <f aca="false">AUX_MATRIZES!Y63</f>
        <v>0</v>
      </c>
      <c r="Z14" s="19" t="n">
        <f aca="false">AUX_MATRIZES!Z63</f>
        <v>0</v>
      </c>
      <c r="AA14" s="19" t="n">
        <f aca="false">AUX_MATRIZES!AA63</f>
        <v>0</v>
      </c>
      <c r="AB14" s="19" t="n">
        <f aca="false">AUX_MATRIZES!AB63</f>
        <v>0</v>
      </c>
      <c r="AC14" s="19" t="n">
        <f aca="false">AUX_MATRIZES!AC63</f>
        <v>0</v>
      </c>
      <c r="AD14" s="19" t="n">
        <f aca="false">AUX_MATRIZES!AD63</f>
        <v>0</v>
      </c>
      <c r="AE14" s="19" t="n">
        <f aca="false">AUX_MATRIZES!AE63</f>
        <v>0</v>
      </c>
      <c r="AF14" s="19" t="n">
        <f aca="false">AUX_MATRIZES!AF63</f>
        <v>0</v>
      </c>
      <c r="AG14" s="19" t="n">
        <f aca="false">AUX_MATRIZES!AG63</f>
        <v>0</v>
      </c>
      <c r="AH14" s="19" t="n">
        <f aca="false">AUX_MATRIZES!AH63</f>
        <v>0</v>
      </c>
      <c r="AI14" s="19" t="n">
        <f aca="false">AUX_MATRIZES!AI63</f>
        <v>0</v>
      </c>
      <c r="AJ14" s="19" t="n">
        <f aca="false">AUX_MATRIZES!AJ63</f>
        <v>0</v>
      </c>
      <c r="AK14" s="19" t="n">
        <f aca="false">AUX_MATRIZES!AK63</f>
        <v>0</v>
      </c>
      <c r="AL14" s="19" t="n">
        <f aca="false">AUX_MATRIZES!AL63</f>
        <v>0</v>
      </c>
      <c r="AM14" s="19" t="n">
        <f aca="false">AUX_MATRIZES!AM63</f>
        <v>0</v>
      </c>
      <c r="AN14" s="19" t="n">
        <f aca="false">AUX_MATRIZES!AN63</f>
        <v>0</v>
      </c>
      <c r="AO14" s="19" t="n">
        <f aca="false">AUX_MATRIZES!AO63</f>
        <v>0</v>
      </c>
      <c r="AP14" s="19" t="n">
        <f aca="false">AUX_MATRIZES!AP63</f>
        <v>0</v>
      </c>
      <c r="AQ14" s="19" t="n">
        <f aca="false">AUX_MATRIZES!AQ63</f>
        <v>0</v>
      </c>
      <c r="AR14" s="19" t="n">
        <f aca="false">AUX_MATRIZES!AR63</f>
        <v>0</v>
      </c>
      <c r="AS14" s="19" t="n">
        <f aca="false">AUX_MATRIZES!AS63</f>
        <v>0</v>
      </c>
      <c r="AT14" s="19" t="n">
        <f aca="false">AUX_MATRIZES!AT63</f>
        <v>0</v>
      </c>
      <c r="AU14" s="19" t="n">
        <f aca="false">AUX_MATRIZES!AU63</f>
        <v>0</v>
      </c>
      <c r="AV14" s="19" t="n">
        <f aca="false">AUX_MATRIZES!AV63</f>
        <v>0</v>
      </c>
      <c r="AW14" s="19" t="n">
        <f aca="false">AUX_MATRIZES!AW63</f>
        <v>0</v>
      </c>
      <c r="AX14" s="19" t="n">
        <f aca="false">AUX_MATRIZES!AX63</f>
        <v>0</v>
      </c>
      <c r="AY14" s="19" t="n">
        <f aca="false">AUX_MATRIZES!AY63</f>
        <v>0</v>
      </c>
      <c r="AZ14" s="19" t="n">
        <f aca="false">AUX_MATRIZES!AZ63</f>
        <v>0</v>
      </c>
      <c r="BA14" s="19" t="n">
        <f aca="false">AUX_MATRIZES!BA63</f>
        <v>0</v>
      </c>
      <c r="BB14" s="19" t="n">
        <f aca="false">AUX_MATRIZES!BB63</f>
        <v>0</v>
      </c>
      <c r="BC14" s="19" t="n">
        <f aca="false">AUX_MATRIZES!BC63</f>
        <v>0</v>
      </c>
      <c r="BD14" s="19" t="n">
        <f aca="false">AUX_MATRIZES!BD63</f>
        <v>0</v>
      </c>
      <c r="BE14" s="19" t="n">
        <f aca="false">AUX_MATRIZES!BE63</f>
        <v>0</v>
      </c>
      <c r="BF14" s="19" t="n">
        <f aca="false">AUX_MATRIZES!BF63</f>
        <v>0</v>
      </c>
      <c r="BG14" s="19" t="n">
        <f aca="false">AUX_MATRIZES!BG63</f>
        <v>0</v>
      </c>
      <c r="BH14" s="19" t="n">
        <f aca="false">AUX_MATRIZES!BH63</f>
        <v>0</v>
      </c>
      <c r="BI14" s="19" t="n">
        <f aca="false">AUX_MATRIZES!BI63</f>
        <v>0</v>
      </c>
      <c r="BJ14" s="19" t="n">
        <f aca="false">AUX_MATRIZES!BJ63</f>
        <v>0</v>
      </c>
      <c r="BK14" s="19" t="n">
        <f aca="false">AUX_MATRIZES!BK63</f>
        <v>0</v>
      </c>
      <c r="BL14" s="19" t="n">
        <f aca="false">AUX_MATRIZES!BL63</f>
        <v>0</v>
      </c>
      <c r="BM14" s="19" t="n">
        <f aca="false">AUX_MATRIZES!BM63</f>
        <v>0</v>
      </c>
      <c r="BN14" s="19" t="n">
        <f aca="false">AUX_MATRIZES!BN63</f>
        <v>0</v>
      </c>
      <c r="BO14" s="19" t="n">
        <f aca="false">AUX_MATRIZES!BO63</f>
        <v>0</v>
      </c>
      <c r="BP14" s="19" t="n">
        <f aca="false">AUX_MATRIZES!BP63</f>
        <v>0</v>
      </c>
    </row>
    <row r="17" customFormat="false" ht="15" hidden="false" customHeight="false" outlineLevel="0" collapsed="false">
      <c r="B17" s="3" t="s">
        <v>188</v>
      </c>
    </row>
    <row r="18" customFormat="false" ht="15" hidden="false" customHeight="false" outlineLevel="0" collapsed="false">
      <c r="B18" s="14" t="s">
        <v>187</v>
      </c>
      <c r="C18" s="22" t="n">
        <f aca="false">SEMANAS!$B$6</f>
        <v>1</v>
      </c>
      <c r="D18" s="22" t="n">
        <f aca="false">SEMANAS!$B$7</f>
        <v>2</v>
      </c>
      <c r="E18" s="22" t="n">
        <f aca="false">SEMANAS!$B$8</f>
        <v>3</v>
      </c>
      <c r="F18" s="22" t="n">
        <f aca="false">SEMANAS!$B$9</f>
        <v>4</v>
      </c>
      <c r="G18" s="22" t="n">
        <f aca="false">SEMANAS!$B$10</f>
        <v>5</v>
      </c>
      <c r="H18" s="22" t="n">
        <f aca="false">SEMANAS!$B$11</f>
        <v>6</v>
      </c>
      <c r="I18" s="22" t="n">
        <f aca="false">SEMANAS!$B$12</f>
        <v>7</v>
      </c>
      <c r="J18" s="22" t="n">
        <f aca="false">SEMANAS!$B$13</f>
        <v>8</v>
      </c>
      <c r="K18" s="22" t="n">
        <f aca="false">SEMANAS!$B$14</f>
        <v>9</v>
      </c>
      <c r="L18" s="22" t="n">
        <f aca="false">SEMANAS!$B$15</f>
        <v>10</v>
      </c>
      <c r="M18" s="22" t="n">
        <f aca="false">SEMANAS!$B$16</f>
        <v>11</v>
      </c>
      <c r="N18" s="22" t="n">
        <f aca="false">SEMANAS!$B$17</f>
        <v>12</v>
      </c>
      <c r="O18" s="22" t="n">
        <f aca="false">SEMANAS!$B$18</f>
        <v>13</v>
      </c>
      <c r="P18" s="22" t="n">
        <f aca="false">SEMANAS!$B$19</f>
        <v>14</v>
      </c>
      <c r="Q18" s="22" t="n">
        <f aca="false">SEMANAS!$B$20</f>
        <v>15</v>
      </c>
      <c r="R18" s="22" t="n">
        <f aca="false">SEMANAS!$B$21</f>
        <v>16</v>
      </c>
      <c r="S18" s="22" t="n">
        <f aca="false">SEMANAS!$B$22</f>
        <v>17</v>
      </c>
      <c r="T18" s="22" t="n">
        <f aca="false">SEMANAS!$B$23</f>
        <v>18</v>
      </c>
      <c r="U18" s="22" t="n">
        <f aca="false">SEMANAS!$B$24</f>
        <v>19</v>
      </c>
      <c r="V18" s="22" t="n">
        <f aca="false">SEMANAS!$B$25</f>
        <v>20</v>
      </c>
      <c r="W18" s="22" t="n">
        <f aca="false">SEMANAS!$B$26</f>
        <v>21</v>
      </c>
      <c r="X18" s="22" t="n">
        <f aca="false">SEMANAS!$B$27</f>
        <v>22</v>
      </c>
      <c r="Y18" s="22" t="n">
        <f aca="false">SEMANAS!$B$28</f>
        <v>23</v>
      </c>
      <c r="Z18" s="22" t="n">
        <f aca="false">SEMANAS!$B$29</f>
        <v>24</v>
      </c>
      <c r="AA18" s="22" t="n">
        <f aca="false">SEMANAS!$B$30</f>
        <v>25</v>
      </c>
      <c r="AB18" s="22" t="n">
        <f aca="false">SEMANAS!$B$31</f>
        <v>26</v>
      </c>
      <c r="AC18" s="22" t="n">
        <f aca="false">SEMANAS!$B$32</f>
        <v>27</v>
      </c>
      <c r="AD18" s="22" t="n">
        <f aca="false">SEMANAS!$B$33</f>
        <v>28</v>
      </c>
      <c r="AE18" s="22" t="n">
        <f aca="false">SEMANAS!$B$34</f>
        <v>29</v>
      </c>
      <c r="AF18" s="22" t="n">
        <f aca="false">SEMANAS!$B$35</f>
        <v>30</v>
      </c>
      <c r="AG18" s="22" t="n">
        <f aca="false">SEMANAS!$B$36</f>
        <v>31</v>
      </c>
      <c r="AH18" s="22" t="n">
        <f aca="false">SEMANAS!$B$37</f>
        <v>32</v>
      </c>
      <c r="AI18" s="22" t="n">
        <f aca="false">SEMANAS!$B$38</f>
        <v>33</v>
      </c>
      <c r="AJ18" s="22" t="n">
        <f aca="false">SEMANAS!$B$39</f>
        <v>34</v>
      </c>
      <c r="AK18" s="22" t="n">
        <f aca="false">SEMANAS!$B$40</f>
        <v>35</v>
      </c>
      <c r="AL18" s="22" t="n">
        <f aca="false">SEMANAS!$B$41</f>
        <v>36</v>
      </c>
      <c r="AM18" s="22" t="n">
        <f aca="false">SEMANAS!$B$42</f>
        <v>37</v>
      </c>
      <c r="AN18" s="22" t="n">
        <f aca="false">SEMANAS!$B$43</f>
        <v>38</v>
      </c>
      <c r="AO18" s="22" t="n">
        <f aca="false">SEMANAS!$B$44</f>
        <v>39</v>
      </c>
      <c r="AP18" s="22" t="n">
        <f aca="false">SEMANAS!$B$45</f>
        <v>40</v>
      </c>
      <c r="AQ18" s="22" t="n">
        <f aca="false">SEMANAS!$B$46</f>
        <v>41</v>
      </c>
      <c r="AR18" s="22" t="n">
        <f aca="false">SEMANAS!$B$47</f>
        <v>42</v>
      </c>
      <c r="AS18" s="22" t="n">
        <f aca="false">SEMANAS!$B$48</f>
        <v>43</v>
      </c>
      <c r="AT18" s="22" t="n">
        <f aca="false">SEMANAS!$B$49</f>
        <v>44</v>
      </c>
      <c r="AU18" s="22" t="n">
        <f aca="false">SEMANAS!$B$50</f>
        <v>45</v>
      </c>
      <c r="AV18" s="22" t="n">
        <f aca="false">SEMANAS!$B$51</f>
        <v>46</v>
      </c>
      <c r="AW18" s="22" t="n">
        <f aca="false">SEMANAS!$B$52</f>
        <v>47</v>
      </c>
      <c r="AX18" s="22" t="n">
        <f aca="false">SEMANAS!$B$53</f>
        <v>48</v>
      </c>
      <c r="AY18" s="22" t="n">
        <f aca="false">SEMANAS!$B$54</f>
        <v>49</v>
      </c>
      <c r="AZ18" s="22" t="n">
        <f aca="false">SEMANAS!$B$55</f>
        <v>50</v>
      </c>
      <c r="BA18" s="22" t="n">
        <f aca="false">SEMANAS!$B$56</f>
        <v>51</v>
      </c>
      <c r="BB18" s="22" t="n">
        <f aca="false">SEMANAS!$B$57</f>
        <v>52</v>
      </c>
      <c r="BC18" s="22" t="n">
        <f aca="false">SEMANAS!$B$58</f>
        <v>53</v>
      </c>
      <c r="BD18" s="22" t="n">
        <f aca="false">SEMANAS!$B$59</f>
        <v>54</v>
      </c>
      <c r="BE18" s="22" t="n">
        <f aca="false">SEMANAS!$B$60</f>
        <v>55</v>
      </c>
      <c r="BF18" s="22" t="n">
        <f aca="false">SEMANAS!$B$61</f>
        <v>56</v>
      </c>
      <c r="BG18" s="22" t="n">
        <f aca="false">SEMANAS!$B$62</f>
        <v>57</v>
      </c>
      <c r="BH18" s="22" t="n">
        <f aca="false">SEMANAS!$B$63</f>
        <v>58</v>
      </c>
      <c r="BI18" s="22" t="n">
        <f aca="false">SEMANAS!$B$64</f>
        <v>59</v>
      </c>
      <c r="BJ18" s="22" t="n">
        <f aca="false">SEMANAS!$B$65</f>
        <v>60</v>
      </c>
      <c r="BK18" s="22" t="n">
        <f aca="false">SEMANAS!$B$66</f>
        <v>61</v>
      </c>
      <c r="BL18" s="22" t="n">
        <f aca="false">SEMANAS!$B$67</f>
        <v>62</v>
      </c>
      <c r="BM18" s="22" t="n">
        <f aca="false">SEMANAS!$B$68</f>
        <v>63</v>
      </c>
      <c r="BN18" s="22" t="n">
        <f aca="false">SEMANAS!$B$69</f>
        <v>64</v>
      </c>
      <c r="BO18" s="22" t="n">
        <f aca="false">SEMANAS!$B$70</f>
        <v>65</v>
      </c>
      <c r="BP18" s="22" t="n">
        <f aca="false">SEMANAS!$B$71</f>
        <v>66</v>
      </c>
    </row>
    <row r="19" customFormat="false" ht="15" hidden="false" customHeight="false" outlineLevel="0" collapsed="false">
      <c r="B19" s="15" t="s">
        <v>171</v>
      </c>
      <c r="C19" s="19" t="n">
        <f aca="false">AUX_MATRIZES!C116</f>
        <v>0</v>
      </c>
      <c r="D19" s="19" t="n">
        <f aca="false">AUX_MATRIZES!D116</f>
        <v>0</v>
      </c>
      <c r="E19" s="19" t="n">
        <f aca="false">AUX_MATRIZES!E116</f>
        <v>0</v>
      </c>
      <c r="F19" s="19" t="n">
        <f aca="false">AUX_MATRIZES!F116</f>
        <v>0</v>
      </c>
      <c r="G19" s="19" t="n">
        <f aca="false">AUX_MATRIZES!G116</f>
        <v>0.0127282913165266</v>
      </c>
      <c r="H19" s="19" t="n">
        <f aca="false">AUX_MATRIZES!H116</f>
        <v>0</v>
      </c>
      <c r="I19" s="19" t="n">
        <f aca="false">AUX_MATRIZES!I116</f>
        <v>0</v>
      </c>
      <c r="J19" s="19" t="n">
        <f aca="false">AUX_MATRIZES!J116</f>
        <v>0.0289411764705882</v>
      </c>
      <c r="K19" s="19" t="n">
        <f aca="false">AUX_MATRIZES!K116</f>
        <v>0.0863631082062455</v>
      </c>
      <c r="L19" s="19" t="n">
        <f aca="false">AUX_MATRIZES!L116</f>
        <v>0</v>
      </c>
      <c r="M19" s="19" t="n">
        <f aca="false">AUX_MATRIZES!M116</f>
        <v>0.0234509803921568</v>
      </c>
      <c r="N19" s="19" t="n">
        <f aca="false">AUX_MATRIZES!N116</f>
        <v>0.0234509803921568</v>
      </c>
      <c r="O19" s="19" t="n">
        <f aca="false">AUX_MATRIZES!O116</f>
        <v>0.0234509803921568</v>
      </c>
      <c r="P19" s="19" t="n">
        <f aca="false">AUX_MATRIZES!P116</f>
        <v>0</v>
      </c>
      <c r="Q19" s="19" t="n">
        <f aca="false">AUX_MATRIZES!Q116</f>
        <v>0</v>
      </c>
      <c r="R19" s="19" t="n">
        <f aca="false">AUX_MATRIZES!R116</f>
        <v>0</v>
      </c>
      <c r="S19" s="19" t="n">
        <f aca="false">AUX_MATRIZES!S116</f>
        <v>0</v>
      </c>
      <c r="T19" s="19" t="n">
        <f aca="false">AUX_MATRIZES!T116</f>
        <v>0</v>
      </c>
      <c r="U19" s="19" t="n">
        <f aca="false">AUX_MATRIZES!U116</f>
        <v>0</v>
      </c>
      <c r="V19" s="19" t="n">
        <f aca="false">AUX_MATRIZES!V116</f>
        <v>0</v>
      </c>
      <c r="W19" s="19" t="n">
        <f aca="false">AUX_MATRIZES!W116</f>
        <v>0</v>
      </c>
      <c r="X19" s="19" t="n">
        <f aca="false">AUX_MATRIZES!X116</f>
        <v>0</v>
      </c>
      <c r="Y19" s="19" t="n">
        <f aca="false">AUX_MATRIZES!Y116</f>
        <v>0</v>
      </c>
      <c r="Z19" s="19" t="n">
        <f aca="false">AUX_MATRIZES!Z116</f>
        <v>0</v>
      </c>
      <c r="AA19" s="19" t="n">
        <f aca="false">AUX_MATRIZES!AA116</f>
        <v>0</v>
      </c>
      <c r="AB19" s="19" t="n">
        <f aca="false">AUX_MATRIZES!AB116</f>
        <v>0</v>
      </c>
      <c r="AC19" s="19" t="n">
        <f aca="false">AUX_MATRIZES!AC116</f>
        <v>0</v>
      </c>
      <c r="AD19" s="19" t="n">
        <f aca="false">AUX_MATRIZES!AD116</f>
        <v>0</v>
      </c>
      <c r="AE19" s="19" t="n">
        <f aca="false">AUX_MATRIZES!AE116</f>
        <v>0</v>
      </c>
      <c r="AF19" s="19" t="n">
        <f aca="false">AUX_MATRIZES!AF116</f>
        <v>0</v>
      </c>
      <c r="AG19" s="19" t="n">
        <f aca="false">AUX_MATRIZES!AG116</f>
        <v>0.0484984336930038</v>
      </c>
      <c r="AH19" s="19" t="n">
        <f aca="false">AUX_MATRIZES!AH116</f>
        <v>0.165290172873883</v>
      </c>
      <c r="AI19" s="19" t="n">
        <f aca="false">AUX_MATRIZES!AI116</f>
        <v>0.204273813667479</v>
      </c>
      <c r="AJ19" s="19" t="n">
        <f aca="false">AUX_MATRIZES!AJ116</f>
        <v>0.243257454461074</v>
      </c>
      <c r="AK19" s="19" t="n">
        <f aca="false">AUX_MATRIZES!AK116</f>
        <v>0.285120448179272</v>
      </c>
      <c r="AL19" s="19" t="n">
        <f aca="false">AUX_MATRIZES!AL116</f>
        <v>0.348705882352941</v>
      </c>
      <c r="AM19" s="19" t="n">
        <f aca="false">AUX_MATRIZES!AM116</f>
        <v>0.348705882352941</v>
      </c>
      <c r="AN19" s="19" t="n">
        <f aca="false">AUX_MATRIZES!AN116</f>
        <v>0.348705882352941</v>
      </c>
      <c r="AO19" s="19" t="n">
        <f aca="false">AUX_MATRIZES!AO116</f>
        <v>0.348705882352941</v>
      </c>
      <c r="AP19" s="19" t="n">
        <f aca="false">AUX_MATRIZES!AP116</f>
        <v>0.349915966386555</v>
      </c>
      <c r="AQ19" s="19" t="n">
        <f aca="false">AUX_MATRIZES!AQ116</f>
        <v>0.350117647058824</v>
      </c>
      <c r="AR19" s="19" t="n">
        <f aca="false">AUX_MATRIZES!AR116</f>
        <v>0.350117647058824</v>
      </c>
      <c r="AS19" s="19" t="n">
        <f aca="false">AUX_MATRIZES!AS116</f>
        <v>0.350117647058824</v>
      </c>
      <c r="AT19" s="19" t="n">
        <f aca="false">AUX_MATRIZES!AT116</f>
        <v>0.346338166035645</v>
      </c>
      <c r="AU19" s="19" t="n">
        <f aca="false">AUX_MATRIZES!AU116</f>
        <v>0.335365941248294</v>
      </c>
      <c r="AV19" s="19" t="n">
        <f aca="false">AUX_MATRIZES!AV116</f>
        <v>0.311585146879265</v>
      </c>
      <c r="AW19" s="19" t="n">
        <f aca="false">AUX_MATRIZES!AW116</f>
        <v>0.287804352510235</v>
      </c>
      <c r="AX19" s="19" t="n">
        <f aca="false">AUX_MATRIZES!AX116</f>
        <v>0.271567745046737</v>
      </c>
      <c r="AY19" s="19" t="n">
        <f aca="false">AUX_MATRIZES!AY116</f>
        <v>0.288074696545285</v>
      </c>
      <c r="AZ19" s="19" t="n">
        <f aca="false">AUX_MATRIZES!AZ116</f>
        <v>0.259316526610644</v>
      </c>
      <c r="BA19" s="19" t="n">
        <f aca="false">AUX_MATRIZES!BA116</f>
        <v>0</v>
      </c>
      <c r="BB19" s="19" t="n">
        <f aca="false">AUX_MATRIZES!BB116</f>
        <v>0</v>
      </c>
      <c r="BC19" s="19" t="n">
        <f aca="false">AUX_MATRIZES!BC116</f>
        <v>0</v>
      </c>
      <c r="BD19" s="19" t="n">
        <f aca="false">AUX_MATRIZES!BD116</f>
        <v>0</v>
      </c>
      <c r="BE19" s="19" t="n">
        <f aca="false">AUX_MATRIZES!BE116</f>
        <v>0</v>
      </c>
      <c r="BF19" s="19" t="n">
        <f aca="false">AUX_MATRIZES!BF116</f>
        <v>0</v>
      </c>
      <c r="BG19" s="19" t="n">
        <f aca="false">AUX_MATRIZES!BG116</f>
        <v>0</v>
      </c>
      <c r="BH19" s="19" t="n">
        <f aca="false">AUX_MATRIZES!BH116</f>
        <v>0</v>
      </c>
      <c r="BI19" s="19" t="n">
        <f aca="false">AUX_MATRIZES!BI116</f>
        <v>0</v>
      </c>
      <c r="BJ19" s="19" t="n">
        <f aca="false">AUX_MATRIZES!BJ116</f>
        <v>0</v>
      </c>
      <c r="BK19" s="19" t="n">
        <f aca="false">AUX_MATRIZES!BK116</f>
        <v>0</v>
      </c>
      <c r="BL19" s="19" t="n">
        <f aca="false">AUX_MATRIZES!BL116</f>
        <v>0</v>
      </c>
      <c r="BM19" s="19" t="n">
        <f aca="false">AUX_MATRIZES!BM116</f>
        <v>0</v>
      </c>
      <c r="BN19" s="19" t="n">
        <f aca="false">AUX_MATRIZES!BN116</f>
        <v>0</v>
      </c>
      <c r="BO19" s="19" t="n">
        <f aca="false">AUX_MATRIZES!BO116</f>
        <v>0</v>
      </c>
      <c r="BP19" s="19" t="n">
        <f aca="false">AUX_MATRIZES!BP116</f>
        <v>0</v>
      </c>
    </row>
    <row r="20" customFormat="false" ht="15" hidden="false" customHeight="false" outlineLevel="0" collapsed="false">
      <c r="B20" s="15" t="s">
        <v>172</v>
      </c>
      <c r="C20" s="19" t="n">
        <f aca="false">AUX_MATRIZES!C117</f>
        <v>0.107128162882397</v>
      </c>
      <c r="D20" s="19" t="n">
        <f aca="false">AUX_MATRIZES!D117</f>
        <v>0</v>
      </c>
      <c r="E20" s="19" t="n">
        <f aca="false">AUX_MATRIZES!E117</f>
        <v>0</v>
      </c>
      <c r="F20" s="19" t="n">
        <f aca="false">AUX_MATRIZES!F117</f>
        <v>0</v>
      </c>
      <c r="G20" s="19" t="n">
        <f aca="false">AUX_MATRIZES!G117</f>
        <v>0.00638095601061256</v>
      </c>
      <c r="H20" s="19" t="n">
        <f aca="false">AUX_MATRIZES!H117</f>
        <v>0</v>
      </c>
      <c r="I20" s="19" t="n">
        <f aca="false">AUX_MATRIZES!I117</f>
        <v>0</v>
      </c>
      <c r="J20" s="19" t="n">
        <f aca="false">AUX_MATRIZES!J117</f>
        <v>0.0123940001943151</v>
      </c>
      <c r="K20" s="19" t="n">
        <f aca="false">AUX_MATRIZES!K117</f>
        <v>0.0399708392648489</v>
      </c>
      <c r="L20" s="19" t="n">
        <f aca="false">AUX_MATRIZES!L117</f>
        <v>0</v>
      </c>
      <c r="M20" s="19" t="n">
        <f aca="false">AUX_MATRIZES!M117</f>
        <v>0.0117564620864543</v>
      </c>
      <c r="N20" s="19" t="n">
        <f aca="false">AUX_MATRIZES!N117</f>
        <v>0.0117564620864543</v>
      </c>
      <c r="O20" s="19" t="n">
        <f aca="false">AUX_MATRIZES!O117</f>
        <v>0.0117564620864543</v>
      </c>
      <c r="P20" s="19" t="n">
        <f aca="false">AUX_MATRIZES!P117</f>
        <v>0</v>
      </c>
      <c r="Q20" s="19" t="n">
        <f aca="false">AUX_MATRIZES!Q117</f>
        <v>0</v>
      </c>
      <c r="R20" s="19" t="n">
        <f aca="false">AUX_MATRIZES!R117</f>
        <v>0</v>
      </c>
      <c r="S20" s="19" t="n">
        <f aca="false">AUX_MATRIZES!S117</f>
        <v>0</v>
      </c>
      <c r="T20" s="19" t="n">
        <f aca="false">AUX_MATRIZES!T117</f>
        <v>0</v>
      </c>
      <c r="U20" s="19" t="n">
        <f aca="false">AUX_MATRIZES!U117</f>
        <v>0</v>
      </c>
      <c r="V20" s="19" t="n">
        <f aca="false">AUX_MATRIZES!V117</f>
        <v>0</v>
      </c>
      <c r="W20" s="19" t="n">
        <f aca="false">AUX_MATRIZES!W117</f>
        <v>0</v>
      </c>
      <c r="X20" s="19" t="n">
        <f aca="false">AUX_MATRIZES!X117</f>
        <v>0</v>
      </c>
      <c r="Y20" s="19" t="n">
        <f aca="false">AUX_MATRIZES!Y117</f>
        <v>0</v>
      </c>
      <c r="Z20" s="19" t="n">
        <f aca="false">AUX_MATRIZES!Z117</f>
        <v>0.000975025343292693</v>
      </c>
      <c r="AA20" s="19" t="n">
        <f aca="false">AUX_MATRIZES!AA117</f>
        <v>0.0212793746078425</v>
      </c>
      <c r="AB20" s="19" t="n">
        <f aca="false">AUX_MATRIZES!AB117</f>
        <v>0.0327368288356957</v>
      </c>
      <c r="AC20" s="19" t="n">
        <f aca="false">AUX_MATRIZES!AC117</f>
        <v>0.0404419128029981</v>
      </c>
      <c r="AD20" s="19" t="n">
        <f aca="false">AUX_MATRIZES!AD117</f>
        <v>0.0404419128029981</v>
      </c>
      <c r="AE20" s="19" t="n">
        <f aca="false">AUX_MATRIZES!AE117</f>
        <v>0.0404419128029981</v>
      </c>
      <c r="AF20" s="19" t="n">
        <f aca="false">AUX_MATRIZES!AF117</f>
        <v>0.0404419128029981</v>
      </c>
      <c r="AG20" s="19" t="n">
        <f aca="false">AUX_MATRIZES!AG117</f>
        <v>0.111993754295841</v>
      </c>
      <c r="AH20" s="19" t="n">
        <f aca="false">AUX_MATRIZES!AH117</f>
        <v>0.209590610472392</v>
      </c>
      <c r="AI20" s="19" t="n">
        <f aca="false">AUX_MATRIZES!AI117</f>
        <v>0.229978380720176</v>
      </c>
      <c r="AJ20" s="19" t="n">
        <f aca="false">AUX_MATRIZES!AJ117</f>
        <v>0.25036615096796</v>
      </c>
      <c r="AK20" s="19" t="n">
        <f aca="false">AUX_MATRIZES!AK117</f>
        <v>0.275381105138101</v>
      </c>
      <c r="AL20" s="19" t="n">
        <f aca="false">AUX_MATRIZES!AL117</f>
        <v>0.327856123706551</v>
      </c>
      <c r="AM20" s="19" t="n">
        <f aca="false">AUX_MATRIZES!AM117</f>
        <v>0.316272924458557</v>
      </c>
      <c r="AN20" s="19" t="n">
        <f aca="false">AUX_MATRIZES!AN117</f>
        <v>0.304689725210562</v>
      </c>
      <c r="AO20" s="19" t="n">
        <f aca="false">AUX_MATRIZES!AO117</f>
        <v>0.293106525962567</v>
      </c>
      <c r="AP20" s="19" t="n">
        <f aca="false">AUX_MATRIZES!AP117</f>
        <v>0.285475555876283</v>
      </c>
      <c r="AQ20" s="19" t="n">
        <f aca="false">AUX_MATRIZES!AQ117</f>
        <v>0.275102642405145</v>
      </c>
      <c r="AR20" s="19" t="n">
        <f aca="false">AUX_MATRIZES!AR117</f>
        <v>0.264071024073721</v>
      </c>
      <c r="AS20" s="19" t="n">
        <f aca="false">AUX_MATRIZES!AS117</f>
        <v>0.167832124679758</v>
      </c>
      <c r="AT20" s="19" t="n">
        <f aca="false">AUX_MATRIZES!AT117</f>
        <v>0.162479710874299</v>
      </c>
      <c r="AU20" s="19" t="n">
        <f aca="false">AUX_MATRIZES!AU117</f>
        <v>0.154092223802055</v>
      </c>
      <c r="AV20" s="19" t="n">
        <f aca="false">AUX_MATRIZES!AV117</f>
        <v>0.139627100811252</v>
      </c>
      <c r="AW20" s="19" t="n">
        <f aca="false">AUX_MATRIZES!AW117</f>
        <v>0.12516197782045</v>
      </c>
      <c r="AX20" s="19" t="n">
        <f aca="false">AUX_MATRIZES!AX117</f>
        <v>0.113831162447536</v>
      </c>
      <c r="AY20" s="19" t="n">
        <f aca="false">AUX_MATRIZES!AY117</f>
        <v>0</v>
      </c>
      <c r="AZ20" s="19" t="n">
        <f aca="false">AUX_MATRIZES!AZ117</f>
        <v>0</v>
      </c>
      <c r="BA20" s="19" t="n">
        <f aca="false">AUX_MATRIZES!BA117</f>
        <v>0</v>
      </c>
      <c r="BB20" s="19" t="n">
        <f aca="false">AUX_MATRIZES!BB117</f>
        <v>0</v>
      </c>
      <c r="BC20" s="19" t="n">
        <f aca="false">AUX_MATRIZES!BC117</f>
        <v>0</v>
      </c>
      <c r="BD20" s="19" t="n">
        <f aca="false">AUX_MATRIZES!BD117</f>
        <v>0</v>
      </c>
      <c r="BE20" s="19" t="n">
        <f aca="false">AUX_MATRIZES!BE117</f>
        <v>0</v>
      </c>
      <c r="BF20" s="19" t="n">
        <f aca="false">AUX_MATRIZES!BF117</f>
        <v>0</v>
      </c>
      <c r="BG20" s="19" t="n">
        <f aca="false">AUX_MATRIZES!BG117</f>
        <v>0</v>
      </c>
      <c r="BH20" s="19" t="n">
        <f aca="false">AUX_MATRIZES!BH117</f>
        <v>0</v>
      </c>
      <c r="BI20" s="19" t="n">
        <f aca="false">AUX_MATRIZES!BI117</f>
        <v>0</v>
      </c>
      <c r="BJ20" s="19" t="n">
        <f aca="false">AUX_MATRIZES!BJ117</f>
        <v>0</v>
      </c>
      <c r="BK20" s="19" t="n">
        <f aca="false">AUX_MATRIZES!BK117</f>
        <v>0</v>
      </c>
      <c r="BL20" s="19" t="n">
        <f aca="false">AUX_MATRIZES!BL117</f>
        <v>0</v>
      </c>
      <c r="BM20" s="19" t="n">
        <f aca="false">AUX_MATRIZES!BM117</f>
        <v>0</v>
      </c>
      <c r="BN20" s="19" t="n">
        <f aca="false">AUX_MATRIZES!BN117</f>
        <v>0</v>
      </c>
      <c r="BO20" s="19" t="n">
        <f aca="false">AUX_MATRIZES!BO117</f>
        <v>0</v>
      </c>
      <c r="BP20" s="19" t="n">
        <f aca="false">AUX_MATRIZES!BP117</f>
        <v>0</v>
      </c>
    </row>
    <row r="21" customFormat="false" ht="15" hidden="false" customHeight="false" outlineLevel="0" collapsed="false">
      <c r="B21" s="15" t="s">
        <v>173</v>
      </c>
      <c r="C21" s="19" t="n">
        <f aca="false">AUX_MATRIZES!C118</f>
        <v>0</v>
      </c>
      <c r="D21" s="19" t="n">
        <f aca="false">AUX_MATRIZES!D118</f>
        <v>0</v>
      </c>
      <c r="E21" s="19" t="n">
        <f aca="false">AUX_MATRIZES!E118</f>
        <v>0</v>
      </c>
      <c r="F21" s="19" t="n">
        <f aca="false">AUX_MATRIZES!F118</f>
        <v>0</v>
      </c>
      <c r="G21" s="19" t="n">
        <f aca="false">AUX_MATRIZES!G118</f>
        <v>0.0127282913165266</v>
      </c>
      <c r="H21" s="19" t="n">
        <f aca="false">AUX_MATRIZES!H118</f>
        <v>0</v>
      </c>
      <c r="I21" s="19" t="n">
        <f aca="false">AUX_MATRIZES!I118</f>
        <v>0</v>
      </c>
      <c r="J21" s="19" t="n">
        <f aca="false">AUX_MATRIZES!J118</f>
        <v>0.00261034480363243</v>
      </c>
      <c r="K21" s="19" t="n">
        <f aca="false">AUX_MATRIZES!K118</f>
        <v>0.0587529877636179</v>
      </c>
      <c r="L21" s="19" t="n">
        <f aca="false">AUX_MATRIZES!L118</f>
        <v>0</v>
      </c>
      <c r="M21" s="19" t="n">
        <f aca="false">AUX_MATRIZES!M118</f>
        <v>0.0221455241340683</v>
      </c>
      <c r="N21" s="19" t="n">
        <f aca="false">AUX_MATRIZES!N118</f>
        <v>0.0234509803921568</v>
      </c>
      <c r="O21" s="19" t="n">
        <f aca="false">AUX_MATRIZES!O118</f>
        <v>0.0234509803921568</v>
      </c>
      <c r="P21" s="19" t="n">
        <f aca="false">AUX_MATRIZES!P118</f>
        <v>0</v>
      </c>
      <c r="Q21" s="19" t="n">
        <f aca="false">AUX_MATRIZES!Q118</f>
        <v>0</v>
      </c>
      <c r="R21" s="19" t="n">
        <f aca="false">AUX_MATRIZES!R118</f>
        <v>0</v>
      </c>
      <c r="S21" s="19" t="n">
        <f aca="false">AUX_MATRIZES!S118</f>
        <v>0</v>
      </c>
      <c r="T21" s="19" t="n">
        <f aca="false">AUX_MATRIZES!T118</f>
        <v>0.00255459091366802</v>
      </c>
      <c r="U21" s="19" t="n">
        <f aca="false">AUX_MATRIZES!U118</f>
        <v>0</v>
      </c>
      <c r="V21" s="19" t="n">
        <f aca="false">AUX_MATRIZES!V118</f>
        <v>0</v>
      </c>
      <c r="W21" s="19" t="n">
        <f aca="false">AUX_MATRIZES!W118</f>
        <v>0</v>
      </c>
      <c r="X21" s="19" t="n">
        <f aca="false">AUX_MATRIZES!X118</f>
        <v>0</v>
      </c>
      <c r="Y21" s="19" t="n">
        <f aca="false">AUX_MATRIZES!Y118</f>
        <v>0</v>
      </c>
      <c r="Z21" s="19" t="n">
        <f aca="false">AUX_MATRIZES!Z118</f>
        <v>0</v>
      </c>
      <c r="AA21" s="19" t="n">
        <f aca="false">AUX_MATRIZES!AA118</f>
        <v>0</v>
      </c>
      <c r="AB21" s="19" t="n">
        <f aca="false">AUX_MATRIZES!AB118</f>
        <v>0</v>
      </c>
      <c r="AC21" s="19" t="n">
        <f aca="false">AUX_MATRIZES!AC118</f>
        <v>0</v>
      </c>
      <c r="AD21" s="19" t="n">
        <f aca="false">AUX_MATRIZES!AD118</f>
        <v>0</v>
      </c>
      <c r="AE21" s="19" t="n">
        <f aca="false">AUX_MATRIZES!AE118</f>
        <v>0</v>
      </c>
      <c r="AF21" s="19" t="n">
        <f aca="false">AUX_MATRIZES!AF118</f>
        <v>0</v>
      </c>
      <c r="AG21" s="19" t="n">
        <f aca="false">AUX_MATRIZES!AG118</f>
        <v>0.0372541726749872</v>
      </c>
      <c r="AH21" s="19" t="n">
        <f aca="false">AUX_MATRIZES!AH118</f>
        <v>0.154151989789999</v>
      </c>
      <c r="AI21" s="19" t="n">
        <f aca="false">AUX_MATRIZES!AI118</f>
        <v>0.193135630583594</v>
      </c>
      <c r="AJ21" s="19" t="n">
        <f aca="false">AUX_MATRIZES!AJ118</f>
        <v>0.23211927137719</v>
      </c>
      <c r="AK21" s="19" t="n">
        <f aca="false">AUX_MATRIZES!AK118</f>
        <v>0.285120448179272</v>
      </c>
      <c r="AL21" s="19" t="n">
        <f aca="false">AUX_MATRIZES!AL118</f>
        <v>0.348705882352941</v>
      </c>
      <c r="AM21" s="19" t="n">
        <f aca="false">AUX_MATRIZES!AM118</f>
        <v>0.348705882352941</v>
      </c>
      <c r="AN21" s="19" t="n">
        <f aca="false">AUX_MATRIZES!AN118</f>
        <v>0.348705882352941</v>
      </c>
      <c r="AO21" s="19" t="n">
        <f aca="false">AUX_MATRIZES!AO118</f>
        <v>0.348705882352941</v>
      </c>
      <c r="AP21" s="19" t="n">
        <f aca="false">AUX_MATRIZES!AP118</f>
        <v>0.349915966386555</v>
      </c>
      <c r="AQ21" s="19" t="n">
        <f aca="false">AUX_MATRIZES!AQ118</f>
        <v>0.350117647058823</v>
      </c>
      <c r="AR21" s="19" t="n">
        <f aca="false">AUX_MATRIZES!AR118</f>
        <v>0.350117647058823</v>
      </c>
      <c r="AS21" s="19" t="n">
        <f aca="false">AUX_MATRIZES!AS118</f>
        <v>0.350117647058823</v>
      </c>
      <c r="AT21" s="19" t="n">
        <f aca="false">AUX_MATRIZES!AT118</f>
        <v>0.352929520526159</v>
      </c>
      <c r="AU21" s="19" t="n">
        <f aca="false">AUX_MATRIZES!AU118</f>
        <v>0.34216045392516</v>
      </c>
      <c r="AV21" s="19" t="n">
        <f aca="false">AUX_MATRIZES!AV118</f>
        <v>0.31837965955613</v>
      </c>
      <c r="AW21" s="19" t="n">
        <f aca="false">AUX_MATRIZES!AW118</f>
        <v>0.294598865187101</v>
      </c>
      <c r="AX21" s="19" t="n">
        <f aca="false">AUX_MATRIZES!AX118</f>
        <v>0.278565415909954</v>
      </c>
      <c r="AY21" s="19" t="n">
        <f aca="false">AUX_MATRIZES!AY118</f>
        <v>0.296291316526611</v>
      </c>
      <c r="AZ21" s="19" t="n">
        <f aca="false">AUX_MATRIZES!AZ118</f>
        <v>0.26753314659197</v>
      </c>
      <c r="BA21" s="19" t="n">
        <f aca="false">AUX_MATRIZES!BA118</f>
        <v>0.23877497665733</v>
      </c>
      <c r="BB21" s="19" t="n">
        <f aca="false">AUX_MATRIZES!BB118</f>
        <v>0</v>
      </c>
      <c r="BC21" s="19" t="n">
        <f aca="false">AUX_MATRIZES!BC118</f>
        <v>0</v>
      </c>
      <c r="BD21" s="19" t="n">
        <f aca="false">AUX_MATRIZES!BD118</f>
        <v>0</v>
      </c>
      <c r="BE21" s="19" t="n">
        <f aca="false">AUX_MATRIZES!BE118</f>
        <v>0</v>
      </c>
      <c r="BF21" s="19" t="n">
        <f aca="false">AUX_MATRIZES!BF118</f>
        <v>0</v>
      </c>
      <c r="BG21" s="19" t="n">
        <f aca="false">AUX_MATRIZES!BG118</f>
        <v>0</v>
      </c>
      <c r="BH21" s="19" t="n">
        <f aca="false">AUX_MATRIZES!BH118</f>
        <v>0</v>
      </c>
      <c r="BI21" s="19" t="n">
        <f aca="false">AUX_MATRIZES!BI118</f>
        <v>0</v>
      </c>
      <c r="BJ21" s="19" t="n">
        <f aca="false">AUX_MATRIZES!BJ118</f>
        <v>0</v>
      </c>
      <c r="BK21" s="19" t="n">
        <f aca="false">AUX_MATRIZES!BK118</f>
        <v>0</v>
      </c>
      <c r="BL21" s="19" t="n">
        <f aca="false">AUX_MATRIZES!BL118</f>
        <v>0</v>
      </c>
      <c r="BM21" s="19" t="n">
        <f aca="false">AUX_MATRIZES!BM118</f>
        <v>0</v>
      </c>
      <c r="BN21" s="19" t="n">
        <f aca="false">AUX_MATRIZES!BN118</f>
        <v>0</v>
      </c>
      <c r="BO21" s="19" t="n">
        <f aca="false">AUX_MATRIZES!BO118</f>
        <v>0</v>
      </c>
      <c r="BP21" s="19" t="n">
        <f aca="false">AUX_MATRIZES!BP118</f>
        <v>0</v>
      </c>
    </row>
    <row r="22" customFormat="false" ht="15" hidden="false" customHeight="false" outlineLevel="0" collapsed="false">
      <c r="B22" s="15" t="s">
        <v>174</v>
      </c>
      <c r="C22" s="19" t="n">
        <f aca="false">AUX_MATRIZES!C119</f>
        <v>0.0811344951180324</v>
      </c>
      <c r="D22" s="19" t="n">
        <f aca="false">AUX_MATRIZES!D119</f>
        <v>0.0854123899467091</v>
      </c>
      <c r="E22" s="19" t="n">
        <f aca="false">AUX_MATRIZES!E119</f>
        <v>0.0854123899467091</v>
      </c>
      <c r="F22" s="19" t="n">
        <f aca="false">AUX_MATRIZES!F119</f>
        <v>0.0854123899467091</v>
      </c>
      <c r="G22" s="19" t="n">
        <f aca="false">AUX_MATRIZES!G119</f>
        <v>0.0693746195845784</v>
      </c>
      <c r="H22" s="19" t="n">
        <f aca="false">AUX_MATRIZES!H119</f>
        <v>0.0486574160105273</v>
      </c>
      <c r="I22" s="19" t="n">
        <f aca="false">AUX_MATRIZES!I119</f>
        <v>0.0486574160105273</v>
      </c>
      <c r="J22" s="19" t="n">
        <f aca="false">AUX_MATRIZES!J119</f>
        <v>0.060209938121588</v>
      </c>
      <c r="K22" s="19" t="n">
        <f aca="false">AUX_MATRIZES!K119</f>
        <v>0.0716872699544553</v>
      </c>
      <c r="L22" s="19" t="n">
        <f aca="false">AUX_MATRIZES!L119</f>
        <v>0</v>
      </c>
      <c r="M22" s="19" t="n">
        <f aca="false">AUX_MATRIZES!M119</f>
        <v>0.0091477952990614</v>
      </c>
      <c r="N22" s="19" t="n">
        <f aca="false">AUX_MATRIZES!N119</f>
        <v>0.0091477952990614</v>
      </c>
      <c r="O22" s="19" t="n">
        <f aca="false">AUX_MATRIZES!O119</f>
        <v>0.0091477952990614</v>
      </c>
      <c r="P22" s="19" t="n">
        <f aca="false">AUX_MATRIZES!P119</f>
        <v>0</v>
      </c>
      <c r="Q22" s="19" t="n">
        <f aca="false">AUX_MATRIZES!Q119</f>
        <v>0</v>
      </c>
      <c r="R22" s="19" t="n">
        <f aca="false">AUX_MATRIZES!R119</f>
        <v>0</v>
      </c>
      <c r="S22" s="19" t="n">
        <f aca="false">AUX_MATRIZES!S119</f>
        <v>0</v>
      </c>
      <c r="T22" s="19" t="n">
        <f aca="false">AUX_MATRIZES!T119</f>
        <v>0</v>
      </c>
      <c r="U22" s="19" t="n">
        <f aca="false">AUX_MATRIZES!U119</f>
        <v>0</v>
      </c>
      <c r="V22" s="19" t="n">
        <f aca="false">AUX_MATRIZES!V119</f>
        <v>0</v>
      </c>
      <c r="W22" s="19" t="n">
        <f aca="false">AUX_MATRIZES!W119</f>
        <v>0</v>
      </c>
      <c r="X22" s="19" t="n">
        <f aca="false">AUX_MATRIZES!X119</f>
        <v>0</v>
      </c>
      <c r="Y22" s="19" t="n">
        <f aca="false">AUX_MATRIZES!Y119</f>
        <v>0</v>
      </c>
      <c r="Z22" s="19" t="n">
        <f aca="false">AUX_MATRIZES!Z119</f>
        <v>0.00329834163768497</v>
      </c>
      <c r="AA22" s="19" t="n">
        <f aca="false">AUX_MATRIZES!AA119</f>
        <v>0.0209409476113949</v>
      </c>
      <c r="AB22" s="19" t="n">
        <f aca="false">AUX_MATRIZES!AB119</f>
        <v>0.0357768964322741</v>
      </c>
      <c r="AC22" s="19" t="n">
        <f aca="false">AUX_MATRIZES!AC119</f>
        <v>0.0494631885828117</v>
      </c>
      <c r="AD22" s="19" t="n">
        <f aca="false">AUX_MATRIZES!AD119</f>
        <v>0.0494631885828117</v>
      </c>
      <c r="AE22" s="19" t="n">
        <f aca="false">AUX_MATRIZES!AE119</f>
        <v>0.0494631885828117</v>
      </c>
      <c r="AF22" s="19" t="n">
        <f aca="false">AUX_MATRIZES!AF119</f>
        <v>0.0494631885828117</v>
      </c>
      <c r="AG22" s="19" t="n">
        <f aca="false">AUX_MATRIZES!AG119</f>
        <v>0.129267951056952</v>
      </c>
      <c r="AH22" s="19" t="n">
        <f aca="false">AUX_MATRIZES!AH119</f>
        <v>0.221834440544373</v>
      </c>
      <c r="AI22" s="19" t="n">
        <f aca="false">AUX_MATRIZES!AI119</f>
        <v>0.237354808223415</v>
      </c>
      <c r="AJ22" s="19" t="n">
        <f aca="false">AUX_MATRIZES!AJ119</f>
        <v>0.252875175902458</v>
      </c>
      <c r="AK22" s="19" t="n">
        <f aca="false">AUX_MATRIZES!AK119</f>
        <v>0.275351742339787</v>
      </c>
      <c r="AL22" s="19" t="n">
        <f aca="false">AUX_MATRIZES!AL119</f>
        <v>0.326106198105151</v>
      </c>
      <c r="AM22" s="19" t="n">
        <f aca="false">AUX_MATRIZES!AM119</f>
        <v>0.311939163732006</v>
      </c>
      <c r="AN22" s="19" t="n">
        <f aca="false">AUX_MATRIZES!AN119</f>
        <v>0.29777212935886</v>
      </c>
      <c r="AO22" s="19" t="n">
        <f aca="false">AUX_MATRIZES!AO119</f>
        <v>0.283605094985714</v>
      </c>
      <c r="AP22" s="19" t="n">
        <f aca="false">AUX_MATRIZES!AP119</f>
        <v>0.273883565941707</v>
      </c>
      <c r="AQ22" s="19" t="n">
        <f aca="false">AUX_MATRIZES!AQ119</f>
        <v>0.261132069807853</v>
      </c>
      <c r="AR22" s="19" t="n">
        <f aca="false">AUX_MATRIZES!AR119</f>
        <v>0.173621175568333</v>
      </c>
      <c r="AS22" s="19" t="n">
        <f aca="false">AUX_MATRIZES!AS119</f>
        <v>0.166662011772946</v>
      </c>
      <c r="AT22" s="19" t="n">
        <f aca="false">AUX_MATRIZES!AT119</f>
        <v>0.130961093161678</v>
      </c>
      <c r="AU22" s="19" t="n">
        <f aca="false">AUX_MATRIZES!AU119</f>
        <v>0.125609067824196</v>
      </c>
      <c r="AV22" s="19" t="n">
        <f aca="false">AUX_MATRIZES!AV119</f>
        <v>0.115388228774868</v>
      </c>
      <c r="AW22" s="19" t="n">
        <f aca="false">AUX_MATRIZES!AW119</f>
        <v>0.105167389725539</v>
      </c>
      <c r="AX22" s="19" t="n">
        <f aca="false">AUX_MATRIZES!AX119</f>
        <v>0.0976488754907951</v>
      </c>
      <c r="AY22" s="19" t="n">
        <f aca="false">AUX_MATRIZES!AY119</f>
        <v>0.0587471572487603</v>
      </c>
      <c r="AZ22" s="19" t="n">
        <f aca="false">AUX_MATRIZES!AZ119</f>
        <v>0.0528824952302018</v>
      </c>
      <c r="BA22" s="19" t="n">
        <f aca="false">AUX_MATRIZES!BA119</f>
        <v>0</v>
      </c>
      <c r="BB22" s="19" t="n">
        <f aca="false">AUX_MATRIZES!BB119</f>
        <v>0</v>
      </c>
      <c r="BC22" s="19" t="n">
        <f aca="false">AUX_MATRIZES!BC119</f>
        <v>0</v>
      </c>
      <c r="BD22" s="19" t="n">
        <f aca="false">AUX_MATRIZES!BD119</f>
        <v>0</v>
      </c>
      <c r="BE22" s="19" t="n">
        <f aca="false">AUX_MATRIZES!BE119</f>
        <v>0</v>
      </c>
      <c r="BF22" s="19" t="n">
        <f aca="false">AUX_MATRIZES!BF119</f>
        <v>0</v>
      </c>
      <c r="BG22" s="19" t="n">
        <f aca="false">AUX_MATRIZES!BG119</f>
        <v>0</v>
      </c>
      <c r="BH22" s="19" t="n">
        <f aca="false">AUX_MATRIZES!BH119</f>
        <v>0</v>
      </c>
      <c r="BI22" s="19" t="n">
        <f aca="false">AUX_MATRIZES!BI119</f>
        <v>0</v>
      </c>
      <c r="BJ22" s="19" t="n">
        <f aca="false">AUX_MATRIZES!BJ119</f>
        <v>0</v>
      </c>
      <c r="BK22" s="19" t="n">
        <f aca="false">AUX_MATRIZES!BK119</f>
        <v>0</v>
      </c>
      <c r="BL22" s="19" t="n">
        <f aca="false">AUX_MATRIZES!BL119</f>
        <v>0</v>
      </c>
      <c r="BM22" s="19" t="n">
        <f aca="false">AUX_MATRIZES!BM119</f>
        <v>0</v>
      </c>
      <c r="BN22" s="19" t="n">
        <f aca="false">AUX_MATRIZES!BN119</f>
        <v>0</v>
      </c>
      <c r="BO22" s="19" t="n">
        <f aca="false">AUX_MATRIZES!BO119</f>
        <v>0</v>
      </c>
      <c r="BP22" s="19" t="n">
        <f aca="false">AUX_MATRIZES!BP119</f>
        <v>0</v>
      </c>
    </row>
    <row r="23" customFormat="false" ht="15" hidden="false" customHeight="false" outlineLevel="0" collapsed="false">
      <c r="B23" s="15" t="s">
        <v>175</v>
      </c>
      <c r="C23" s="19" t="n">
        <f aca="false">AUX_MATRIZES!C120</f>
        <v>0.126061846177456</v>
      </c>
      <c r="D23" s="19" t="n">
        <f aca="false">AUX_MATRIZES!D120</f>
        <v>0.126117093383124</v>
      </c>
      <c r="E23" s="19" t="n">
        <f aca="false">AUX_MATRIZES!E120</f>
        <v>0.126117093383124</v>
      </c>
      <c r="F23" s="19" t="n">
        <f aca="false">AUX_MATRIZES!F120</f>
        <v>0.126117093383124</v>
      </c>
      <c r="G23" s="19" t="n">
        <f aca="false">AUX_MATRIZES!G120</f>
        <v>0.0951049952681792</v>
      </c>
      <c r="H23" s="19" t="n">
        <f aca="false">AUX_MATRIZES!H120</f>
        <v>0.0718459216819705</v>
      </c>
      <c r="I23" s="19" t="n">
        <f aca="false">AUX_MATRIZES!I120</f>
        <v>0.0718459216819705</v>
      </c>
      <c r="J23" s="19" t="n">
        <f aca="false">AUX_MATRIZES!J120</f>
        <v>0.0619198403969614</v>
      </c>
      <c r="K23" s="19" t="n">
        <f aca="false">AUX_MATRIZES!K120</f>
        <v>0.0413774714172443</v>
      </c>
      <c r="L23" s="19" t="n">
        <f aca="false">AUX_MATRIZES!L120</f>
        <v>0</v>
      </c>
      <c r="M23" s="19" t="n">
        <f aca="false">AUX_MATRIZES!M120</f>
        <v>0</v>
      </c>
      <c r="N23" s="19" t="n">
        <f aca="false">AUX_MATRIZES!N120</f>
        <v>0</v>
      </c>
      <c r="O23" s="19" t="n">
        <f aca="false">AUX_MATRIZES!O120</f>
        <v>0.00857292679610325</v>
      </c>
      <c r="P23" s="19" t="n">
        <f aca="false">AUX_MATRIZES!P120</f>
        <v>0</v>
      </c>
      <c r="Q23" s="19" t="n">
        <f aca="false">AUX_MATRIZES!Q120</f>
        <v>0</v>
      </c>
      <c r="R23" s="19" t="n">
        <f aca="false">AUX_MATRIZES!R120</f>
        <v>0</v>
      </c>
      <c r="S23" s="19" t="n">
        <f aca="false">AUX_MATRIZES!S120</f>
        <v>0</v>
      </c>
      <c r="T23" s="19" t="n">
        <f aca="false">AUX_MATRIZES!T120</f>
        <v>0.00226573971021254</v>
      </c>
      <c r="U23" s="19" t="n">
        <f aca="false">AUX_MATRIZES!U120</f>
        <v>0.0116050082718204</v>
      </c>
      <c r="V23" s="19" t="n">
        <f aca="false">AUX_MATRIZES!V120</f>
        <v>0.0114224733564741</v>
      </c>
      <c r="W23" s="19" t="n">
        <f aca="false">AUX_MATRIZES!W120</f>
        <v>0</v>
      </c>
      <c r="X23" s="19" t="n">
        <f aca="false">AUX_MATRIZES!X120</f>
        <v>0</v>
      </c>
      <c r="Y23" s="19" t="n">
        <f aca="false">AUX_MATRIZES!Y120</f>
        <v>0</v>
      </c>
      <c r="Z23" s="19" t="n">
        <f aca="false">AUX_MATRIZES!Z120</f>
        <v>0.0148089353374734</v>
      </c>
      <c r="AA23" s="19" t="n">
        <f aca="false">AUX_MATRIZES!AA120</f>
        <v>0.0409802065952605</v>
      </c>
      <c r="AB23" s="19" t="n">
        <f aca="false">AUX_MATRIZES!AB120</f>
        <v>0.042262487418171</v>
      </c>
      <c r="AC23" s="19" t="n">
        <f aca="false">AUX_MATRIZES!AC120</f>
        <v>0.0522095722704766</v>
      </c>
      <c r="AD23" s="19" t="n">
        <f aca="false">AUX_MATRIZES!AD120</f>
        <v>0.0522095722704766</v>
      </c>
      <c r="AE23" s="19" t="n">
        <f aca="false">AUX_MATRIZES!AE120</f>
        <v>0.0522095722704766</v>
      </c>
      <c r="AF23" s="19" t="n">
        <f aca="false">AUX_MATRIZES!AF120</f>
        <v>0.0522095722704766</v>
      </c>
      <c r="AG23" s="19" t="n">
        <f aca="false">AUX_MATRIZES!AG120</f>
        <v>0.117907939808402</v>
      </c>
      <c r="AH23" s="19" t="n">
        <f aca="false">AUX_MATRIZES!AH120</f>
        <v>0.167181715461845</v>
      </c>
      <c r="AI23" s="19" t="n">
        <f aca="false">AUX_MATRIZES!AI120</f>
        <v>0.167181715461845</v>
      </c>
      <c r="AJ23" s="19" t="n">
        <f aca="false">AUX_MATRIZES!AJ120</f>
        <v>0.16376293996638</v>
      </c>
      <c r="AK23" s="19" t="n">
        <f aca="false">AUX_MATRIZES!AK120</f>
        <v>0.171173084823164</v>
      </c>
      <c r="AL23" s="19" t="n">
        <f aca="false">AUX_MATRIZES!AL120</f>
        <v>0.198495517186745</v>
      </c>
      <c r="AM23" s="19" t="n">
        <f aca="false">AUX_MATRIZES!AM120</f>
        <v>0.184200103576339</v>
      </c>
      <c r="AN23" s="19" t="n">
        <f aca="false">AUX_MATRIZES!AN120</f>
        <v>0.169904689965933</v>
      </c>
      <c r="AO23" s="19" t="n">
        <f aca="false">AUX_MATRIZES!AO120</f>
        <v>0.155609276355527</v>
      </c>
      <c r="AP23" s="19" t="n">
        <f aca="false">AUX_MATRIZES!AP120</f>
        <v>0.162204620609941</v>
      </c>
      <c r="AQ23" s="19" t="n">
        <f aca="false">AUX_MATRIZES!AQ120</f>
        <v>0.166868119505023</v>
      </c>
      <c r="AR23" s="19" t="n">
        <f aca="false">AUX_MATRIZES!AR120</f>
        <v>0.0922550471415532</v>
      </c>
      <c r="AS23" s="19" t="n">
        <f aca="false">AUX_MATRIZES!AS120</f>
        <v>0.0868220524590086</v>
      </c>
      <c r="AT23" s="19" t="n">
        <f aca="false">AUX_MATRIZES!AT120</f>
        <v>0.0531774825460699</v>
      </c>
      <c r="AU23" s="19" t="n">
        <f aca="false">AUX_MATRIZES!AU120</f>
        <v>0.090842419933683</v>
      </c>
      <c r="AV23" s="19" t="n">
        <f aca="false">AUX_MATRIZES!AV120</f>
        <v>0.113594461055102</v>
      </c>
      <c r="AW23" s="19" t="n">
        <f aca="false">AUX_MATRIZES!AW120</f>
        <v>0.136346502176522</v>
      </c>
      <c r="AX23" s="19" t="n">
        <f aca="false">AUX_MATRIZES!AX120</f>
        <v>0.167464342528652</v>
      </c>
      <c r="AY23" s="19" t="n">
        <f aca="false">AUX_MATRIZES!AY120</f>
        <v>0.238011276102494</v>
      </c>
      <c r="AZ23" s="19" t="n">
        <f aca="false">AUX_MATRIZES!AZ120</f>
        <v>0.259886641541314</v>
      </c>
      <c r="BA23" s="19" t="n">
        <f aca="false">AUX_MATRIZES!BA120</f>
        <v>0.278224480320725</v>
      </c>
      <c r="BB23" s="19" t="n">
        <f aca="false">AUX_MATRIZES!BB120</f>
        <v>0.296562319100136</v>
      </c>
      <c r="BC23" s="19" t="n">
        <f aca="false">AUX_MATRIZES!BC120</f>
        <v>0.312514880351535</v>
      </c>
      <c r="BD23" s="19" t="n">
        <f aca="false">AUX_MATRIZES!BD120</f>
        <v>0.315343200481973</v>
      </c>
      <c r="BE23" s="19" t="n">
        <f aca="false">AUX_MATRIZES!BE120</f>
        <v>0.315343200481973</v>
      </c>
      <c r="BF23" s="19" t="n">
        <f aca="false">AUX_MATRIZES!BF120</f>
        <v>0.304705276232804</v>
      </c>
      <c r="BG23" s="19" t="n">
        <f aca="false">AUX_MATRIZES!BG120</f>
        <v>0.227141496998936</v>
      </c>
      <c r="BH23" s="19" t="n">
        <f aca="false">AUX_MATRIZES!BH120</f>
        <v>0.131027017504932</v>
      </c>
      <c r="BI23" s="19" t="n">
        <f aca="false">AUX_MATRIZES!BI120</f>
        <v>0.111854298858154</v>
      </c>
      <c r="BJ23" s="19" t="n">
        <f aca="false">AUX_MATRIZES!BJ120</f>
        <v>0.0849232638047029</v>
      </c>
      <c r="BK23" s="19" t="n">
        <f aca="false">AUX_MATRIZES!BK120</f>
        <v>0.0513092017819517</v>
      </c>
      <c r="BL23" s="19" t="n">
        <f aca="false">AUX_MATRIZES!BL120</f>
        <v>0</v>
      </c>
      <c r="BM23" s="19" t="n">
        <f aca="false">AUX_MATRIZES!BM120</f>
        <v>0</v>
      </c>
      <c r="BN23" s="19" t="n">
        <f aca="false">AUX_MATRIZES!BN120</f>
        <v>0</v>
      </c>
      <c r="BO23" s="19" t="n">
        <f aca="false">AUX_MATRIZES!BO120</f>
        <v>0</v>
      </c>
      <c r="BP23" s="19" t="n">
        <f aca="false">AUX_MATRIZES!BP120</f>
        <v>0</v>
      </c>
    </row>
    <row r="24" customFormat="false" ht="15" hidden="false" customHeight="false" outlineLevel="0" collapsed="false">
      <c r="B24" s="15" t="s">
        <v>176</v>
      </c>
      <c r="C24" s="19" t="n">
        <f aca="false">AUX_MATRIZES!C121</f>
        <v>0.147890966081224</v>
      </c>
      <c r="D24" s="19" t="n">
        <f aca="false">AUX_MATRIZES!D121</f>
        <v>0.10589910164408</v>
      </c>
      <c r="E24" s="19" t="n">
        <f aca="false">AUX_MATRIZES!E121</f>
        <v>0.072176759410802</v>
      </c>
      <c r="F24" s="19" t="n">
        <f aca="false">AUX_MATRIZES!F121</f>
        <v>0.0672737810777428</v>
      </c>
      <c r="G24" s="19" t="n">
        <f aca="false">AUX_MATRIZES!G121</f>
        <v>0.0428932657106929</v>
      </c>
      <c r="H24" s="19" t="n">
        <f aca="false">AUX_MATRIZES!H121</f>
        <v>0.0231285322745687</v>
      </c>
      <c r="I24" s="19" t="n">
        <f aca="false">AUX_MATRIZES!I121</f>
        <v>0.0165010581140198</v>
      </c>
      <c r="J24" s="19" t="n">
        <f aca="false">AUX_MATRIZES!J121</f>
        <v>0.00987358395347084</v>
      </c>
      <c r="K24" s="19" t="n">
        <f aca="false">AUX_MATRIZES!K121</f>
        <v>0</v>
      </c>
      <c r="L24" s="19" t="n">
        <f aca="false">AUX_MATRIZES!L121</f>
        <v>0</v>
      </c>
      <c r="M24" s="19" t="n">
        <f aca="false">AUX_MATRIZES!M121</f>
        <v>0</v>
      </c>
      <c r="N24" s="19" t="n">
        <f aca="false">AUX_MATRIZES!N121</f>
        <v>0</v>
      </c>
      <c r="O24" s="19" t="n">
        <f aca="false">AUX_MATRIZES!O121</f>
        <v>0.0010458236598331</v>
      </c>
      <c r="P24" s="19" t="n">
        <f aca="false">AUX_MATRIZES!P121</f>
        <v>0</v>
      </c>
      <c r="Q24" s="19" t="n">
        <f aca="false">AUX_MATRIZES!Q121</f>
        <v>0</v>
      </c>
      <c r="R24" s="19" t="n">
        <f aca="false">AUX_MATRIZES!R121</f>
        <v>0</v>
      </c>
      <c r="S24" s="19" t="n">
        <f aca="false">AUX_MATRIZES!S121</f>
        <v>0</v>
      </c>
      <c r="T24" s="19" t="n">
        <f aca="false">AUX_MATRIZES!T121</f>
        <v>0.000573382733621359</v>
      </c>
      <c r="U24" s="19" t="n">
        <f aca="false">AUX_MATRIZES!U121</f>
        <v>0.00293683839171917</v>
      </c>
      <c r="V24" s="19" t="n">
        <f aca="false">AUX_MATRIZES!V121</f>
        <v>0.00293683839171917</v>
      </c>
      <c r="W24" s="19" t="n">
        <f aca="false">AUX_MATRIZES!W121</f>
        <v>0</v>
      </c>
      <c r="X24" s="19" t="n">
        <f aca="false">AUX_MATRIZES!X121</f>
        <v>0</v>
      </c>
      <c r="Y24" s="19" t="n">
        <f aca="false">AUX_MATRIZES!Y121</f>
        <v>0.00690844226230239</v>
      </c>
      <c r="Z24" s="19" t="n">
        <f aca="false">AUX_MATRIZES!Z121</f>
        <v>0.0179350879819177</v>
      </c>
      <c r="AA24" s="19" t="n">
        <f aca="false">AUX_MATRIZES!AA121</f>
        <v>0.0361054441823738</v>
      </c>
      <c r="AB24" s="19" t="n">
        <f aca="false">AUX_MATRIZES!AB121</f>
        <v>0.0377566039255267</v>
      </c>
      <c r="AC24" s="19" t="n">
        <f aca="false">AUX_MATRIZES!AC121</f>
        <v>0.0552572341360392</v>
      </c>
      <c r="AD24" s="19" t="n">
        <f aca="false">AUX_MATRIZES!AD121</f>
        <v>0.0630421006317303</v>
      </c>
      <c r="AE24" s="19" t="n">
        <f aca="false">AUX_MATRIZES!AE121</f>
        <v>0.0655362860381831</v>
      </c>
      <c r="AF24" s="19" t="n">
        <f aca="false">AUX_MATRIZES!AF121</f>
        <v>0.0630618128441483</v>
      </c>
      <c r="AG24" s="19" t="n">
        <f aca="false">AUX_MATRIZES!AG121</f>
        <v>0.157739773637913</v>
      </c>
      <c r="AH24" s="19" t="n">
        <f aca="false">AUX_MATRIZES!AH121</f>
        <v>0.23868840717144</v>
      </c>
      <c r="AI24" s="19" t="n">
        <f aca="false">AUX_MATRIZES!AI121</f>
        <v>0.240497741017379</v>
      </c>
      <c r="AJ24" s="19" t="n">
        <f aca="false">AUX_MATRIZES!AJ121</f>
        <v>0.237448626896558</v>
      </c>
      <c r="AK24" s="19" t="n">
        <f aca="false">AUX_MATRIZES!AK121</f>
        <v>0.231047284899025</v>
      </c>
      <c r="AL24" s="19" t="n">
        <f aca="false">AUX_MATRIZES!AL121</f>
        <v>0.273454333348405</v>
      </c>
      <c r="AM24" s="19" t="n">
        <f aca="false">AUX_MATRIZES!AM121</f>
        <v>0.268183117575394</v>
      </c>
      <c r="AN24" s="19" t="n">
        <f aca="false">AUX_MATRIZES!AN121</f>
        <v>0.252859085487139</v>
      </c>
      <c r="AO24" s="19" t="n">
        <f aca="false">AUX_MATRIZES!AO121</f>
        <v>0.237535053398883</v>
      </c>
      <c r="AP24" s="19" t="n">
        <f aca="false">AUX_MATRIZES!AP121</f>
        <v>0.191861911204767</v>
      </c>
      <c r="AQ24" s="19" t="n">
        <f aca="false">AUX_MATRIZES!AQ121</f>
        <v>0.183241341801805</v>
      </c>
      <c r="AR24" s="19" t="n">
        <f aca="false">AUX_MATRIZES!AR121</f>
        <v>0.105237244728971</v>
      </c>
      <c r="AS24" s="19" t="n">
        <f aca="false">AUX_MATRIZES!AS121</f>
        <v>0.121740660598235</v>
      </c>
      <c r="AT24" s="19" t="n">
        <f aca="false">AUX_MATRIZES!AT121</f>
        <v>0.101438318981278</v>
      </c>
      <c r="AU24" s="19" t="n">
        <f aca="false">AUX_MATRIZES!AU121</f>
        <v>0.110531122476677</v>
      </c>
      <c r="AV24" s="19" t="n">
        <f aca="false">AUX_MATRIZES!AV121</f>
        <v>0.118394951192376</v>
      </c>
      <c r="AW24" s="19" t="n">
        <f aca="false">AUX_MATRIZES!AW121</f>
        <v>0.127083171154241</v>
      </c>
      <c r="AX24" s="19" t="n">
        <f aca="false">AUX_MATRIZES!AX121</f>
        <v>0.144551263756296</v>
      </c>
      <c r="AY24" s="19" t="n">
        <f aca="false">AUX_MATRIZES!AY121</f>
        <v>0.184867662298137</v>
      </c>
      <c r="AZ24" s="19" t="n">
        <f aca="false">AUX_MATRIZES!AZ121</f>
        <v>0.17933124012144</v>
      </c>
      <c r="BA24" s="19" t="n">
        <f aca="false">AUX_MATRIZES!BA121</f>
        <v>0.199240165886824</v>
      </c>
      <c r="BB24" s="19" t="n">
        <f aca="false">AUX_MATRIZES!BB121</f>
        <v>0.212531454188001</v>
      </c>
      <c r="BC24" s="19" t="n">
        <f aca="false">AUX_MATRIZES!BC121</f>
        <v>0.219942623957353</v>
      </c>
      <c r="BD24" s="19" t="n">
        <f aca="false">AUX_MATRIZES!BD121</f>
        <v>0.216439800176115</v>
      </c>
      <c r="BE24" s="19" t="n">
        <f aca="false">AUX_MATRIZES!BE121</f>
        <v>0.209451027189832</v>
      </c>
      <c r="BF24" s="19" t="n">
        <f aca="false">AUX_MATRIZES!BF121</f>
        <v>0.202462254203549</v>
      </c>
      <c r="BG24" s="19" t="n">
        <f aca="false">AUX_MATRIZES!BG121</f>
        <v>0.15694955478518</v>
      </c>
      <c r="BH24" s="19" t="n">
        <f aca="false">AUX_MATRIZES!BH121</f>
        <v>0.0988365387280556</v>
      </c>
      <c r="BI24" s="19" t="n">
        <f aca="false">AUX_MATRIZES!BI121</f>
        <v>0.0879573454499949</v>
      </c>
      <c r="BJ24" s="19" t="n">
        <f aca="false">AUX_MATRIZES!BJ121</f>
        <v>0.0747156130984724</v>
      </c>
      <c r="BK24" s="19" t="n">
        <f aca="false">AUX_MATRIZES!BK121</f>
        <v>0.0604220253694788</v>
      </c>
      <c r="BL24" s="19" t="n">
        <f aca="false">AUX_MATRIZES!BL121</f>
        <v>0</v>
      </c>
      <c r="BM24" s="19" t="n">
        <f aca="false">AUX_MATRIZES!BM121</f>
        <v>0</v>
      </c>
      <c r="BN24" s="19" t="n">
        <f aca="false">AUX_MATRIZES!BN121</f>
        <v>0</v>
      </c>
      <c r="BO24" s="19" t="n">
        <f aca="false">AUX_MATRIZES!BO121</f>
        <v>0</v>
      </c>
      <c r="BP24" s="19" t="n">
        <f aca="false">AUX_MATRIZES!BP121</f>
        <v>0</v>
      </c>
    </row>
    <row r="25" customFormat="false" ht="15" hidden="false" customHeight="false" outlineLevel="0" collapsed="false">
      <c r="B25" s="15" t="s">
        <v>177</v>
      </c>
      <c r="C25" s="19" t="n">
        <f aca="false">AUX_MATRIZES!C122</f>
        <v>0.141597425890181</v>
      </c>
      <c r="D25" s="19" t="n">
        <f aca="false">AUX_MATRIZES!D122</f>
        <v>0.125190961498311</v>
      </c>
      <c r="E25" s="19" t="n">
        <f aca="false">AUX_MATRIZES!E122</f>
        <v>0.0829933013841612</v>
      </c>
      <c r="F25" s="19" t="n">
        <f aca="false">AUX_MATRIZES!F122</f>
        <v>0.0477783751805358</v>
      </c>
      <c r="G25" s="19" t="n">
        <f aca="false">AUX_MATRIZES!G122</f>
        <v>0.021653121448645</v>
      </c>
      <c r="H25" s="19" t="n">
        <f aca="false">AUX_MATRIZES!H122</f>
        <v>0</v>
      </c>
      <c r="I25" s="19" t="n">
        <f aca="false">AUX_MATRIZES!I122</f>
        <v>0</v>
      </c>
      <c r="J25" s="19" t="n">
        <f aca="false">AUX_MATRIZES!J122</f>
        <v>0</v>
      </c>
      <c r="K25" s="19" t="n">
        <f aca="false">AUX_MATRIZES!K122</f>
        <v>0</v>
      </c>
      <c r="L25" s="19" t="n">
        <f aca="false">AUX_MATRIZES!L122</f>
        <v>0</v>
      </c>
      <c r="M25" s="19" t="n">
        <f aca="false">AUX_MATRIZES!M122</f>
        <v>0</v>
      </c>
      <c r="N25" s="19" t="n">
        <f aca="false">AUX_MATRIZES!N122</f>
        <v>0</v>
      </c>
      <c r="O25" s="19" t="n">
        <f aca="false">AUX_MATRIZES!O122</f>
        <v>0.000860930130536092</v>
      </c>
      <c r="P25" s="19" t="n">
        <f aca="false">AUX_MATRIZES!P122</f>
        <v>0</v>
      </c>
      <c r="Q25" s="19" t="n">
        <f aca="false">AUX_MATRIZES!Q122</f>
        <v>0</v>
      </c>
      <c r="R25" s="19" t="n">
        <f aca="false">AUX_MATRIZES!R122</f>
        <v>0</v>
      </c>
      <c r="S25" s="19" t="n">
        <f aca="false">AUX_MATRIZES!S122</f>
        <v>0</v>
      </c>
      <c r="T25" s="19" t="n">
        <f aca="false">AUX_MATRIZES!T122</f>
        <v>0.00330375959030853</v>
      </c>
      <c r="U25" s="19" t="n">
        <f aca="false">AUX_MATRIZES!U122</f>
        <v>0.0169216954625559</v>
      </c>
      <c r="V25" s="19" t="n">
        <f aca="false">AUX_MATRIZES!V122</f>
        <v>0.0169216954625559</v>
      </c>
      <c r="W25" s="19" t="n">
        <f aca="false">AUX_MATRIZES!W122</f>
        <v>0.00697487050490181</v>
      </c>
      <c r="X25" s="19" t="n">
        <f aca="false">AUX_MATRIZES!X122</f>
        <v>0</v>
      </c>
      <c r="Y25" s="19" t="n">
        <f aca="false">AUX_MATRIZES!Y122</f>
        <v>0</v>
      </c>
      <c r="Z25" s="19" t="n">
        <f aca="false">AUX_MATRIZES!Z122</f>
        <v>0.00332308624053259</v>
      </c>
      <c r="AA25" s="19" t="n">
        <f aca="false">AUX_MATRIZES!AA122</f>
        <v>0.0105868395837043</v>
      </c>
      <c r="AB25" s="19" t="n">
        <f aca="false">AUX_MATRIZES!AB122</f>
        <v>0.0169290537663495</v>
      </c>
      <c r="AC25" s="19" t="n">
        <f aca="false">AUX_MATRIZES!AC122</f>
        <v>0.0214833037555399</v>
      </c>
      <c r="AD25" s="19" t="n">
        <f aca="false">AUX_MATRIZES!AD122</f>
        <v>0.0214833037555399</v>
      </c>
      <c r="AE25" s="19" t="n">
        <f aca="false">AUX_MATRIZES!AE122</f>
        <v>0.0238923114002512</v>
      </c>
      <c r="AF25" s="19" t="n">
        <f aca="false">AUX_MATRIZES!AF122</f>
        <v>0.0293896783182482</v>
      </c>
      <c r="AG25" s="19" t="n">
        <f aca="false">AUX_MATRIZES!AG122</f>
        <v>0.0952675380162186</v>
      </c>
      <c r="AH25" s="19" t="n">
        <f aca="false">AUX_MATRIZES!AH122</f>
        <v>0.193876189982958</v>
      </c>
      <c r="AI25" s="19" t="n">
        <f aca="false">AUX_MATRIZES!AI122</f>
        <v>0.21659788923716</v>
      </c>
      <c r="AJ25" s="19" t="n">
        <f aca="false">AUX_MATRIZES!AJ122</f>
        <v>0.232304940487863</v>
      </c>
      <c r="AK25" s="19" t="n">
        <f aca="false">AUX_MATRIZES!AK122</f>
        <v>0.265842934782732</v>
      </c>
      <c r="AL25" s="19" t="n">
        <f aca="false">AUX_MATRIZES!AL122</f>
        <v>0.334386442858569</v>
      </c>
      <c r="AM25" s="19" t="n">
        <f aca="false">AUX_MATRIZES!AM122</f>
        <v>0.326944708356446</v>
      </c>
      <c r="AN25" s="19" t="n">
        <f aca="false">AUX_MATRIZES!AN122</f>
        <v>0.319171083131076</v>
      </c>
      <c r="AO25" s="19" t="n">
        <f aca="false">AUX_MATRIZES!AO122</f>
        <v>0.284080328716202</v>
      </c>
      <c r="AP25" s="19" t="n">
        <f aca="false">AUX_MATRIZES!AP122</f>
        <v>0.290446685524717</v>
      </c>
      <c r="AQ25" s="19" t="n">
        <f aca="false">AUX_MATRIZES!AQ122</f>
        <v>0.285481967257156</v>
      </c>
      <c r="AR25" s="19" t="n">
        <f aca="false">AUX_MATRIZES!AR122</f>
        <v>0.2471057501555</v>
      </c>
      <c r="AS25" s="19" t="n">
        <f aca="false">AUX_MATRIZES!AS122</f>
        <v>0.215809573428515</v>
      </c>
      <c r="AT25" s="19" t="n">
        <f aca="false">AUX_MATRIZES!AT122</f>
        <v>0.228087232508238</v>
      </c>
      <c r="AU25" s="19" t="n">
        <f aca="false">AUX_MATRIZES!AU122</f>
        <v>0.224015217954852</v>
      </c>
      <c r="AV25" s="19" t="n">
        <f aca="false">AUX_MATRIZES!AV122</f>
        <v>0.213120676088453</v>
      </c>
      <c r="AW25" s="19" t="n">
        <f aca="false">AUX_MATRIZES!AW122</f>
        <v>0.202530838728211</v>
      </c>
      <c r="AX25" s="19" t="n">
        <f aca="false">AUX_MATRIZES!AX122</f>
        <v>0.177001075738193</v>
      </c>
      <c r="AY25" s="19" t="n">
        <f aca="false">AUX_MATRIZES!AY122</f>
        <v>0.182761830666853</v>
      </c>
      <c r="AZ25" s="19" t="n">
        <f aca="false">AUX_MATRIZES!AZ122</f>
        <v>0.174421311428946</v>
      </c>
      <c r="BA25" s="19" t="n">
        <f aca="false">AUX_MATRIZES!BA122</f>
        <v>0.126135171391219</v>
      </c>
      <c r="BB25" s="19" t="n">
        <f aca="false">AUX_MATRIZES!BB122</f>
        <v>0.139920961998426</v>
      </c>
      <c r="BC25" s="19" t="n">
        <f aca="false">AUX_MATRIZES!BC122</f>
        <v>0.148675606269624</v>
      </c>
      <c r="BD25" s="19" t="n">
        <f aca="false">AUX_MATRIZES!BD122</f>
        <v>0.157677056805396</v>
      </c>
      <c r="BE25" s="19" t="n">
        <f aca="false">AUX_MATRIZES!BE122</f>
        <v>0.15819038112402</v>
      </c>
      <c r="BF25" s="19" t="n">
        <f aca="false">AUX_MATRIZES!BF122</f>
        <v>0.15819038112402</v>
      </c>
      <c r="BG25" s="19" t="n">
        <f aca="false">AUX_MATRIZES!BG122</f>
        <v>0.129964773350187</v>
      </c>
      <c r="BH25" s="19" t="n">
        <f aca="false">AUX_MATRIZES!BH122</f>
        <v>0.0875693507474906</v>
      </c>
      <c r="BI25" s="19" t="n">
        <f aca="false">AUX_MATRIZES!BI122</f>
        <v>0.0801600841938935</v>
      </c>
      <c r="BJ25" s="19" t="n">
        <f aca="false">AUX_MATRIZES!BJ122</f>
        <v>0.0706110778341786</v>
      </c>
      <c r="BK25" s="19" t="n">
        <f aca="false">AUX_MATRIZES!BK122</f>
        <v>0.0610620714744637</v>
      </c>
      <c r="BL25" s="19" t="n">
        <f aca="false">AUX_MATRIZES!BL122</f>
        <v>0.00101288131835692</v>
      </c>
      <c r="BM25" s="19" t="n">
        <f aca="false">AUX_MATRIZES!BM122</f>
        <v>0</v>
      </c>
      <c r="BN25" s="19" t="n">
        <f aca="false">AUX_MATRIZES!BN122</f>
        <v>0</v>
      </c>
      <c r="BO25" s="19" t="n">
        <f aca="false">AUX_MATRIZES!BO122</f>
        <v>0</v>
      </c>
      <c r="BP25" s="19" t="n">
        <f aca="false">AUX_MATRIZES!BP122</f>
        <v>0</v>
      </c>
    </row>
    <row r="26" customFormat="false" ht="15" hidden="false" customHeight="false" outlineLevel="0" collapsed="false">
      <c r="B26" s="15" t="s">
        <v>178</v>
      </c>
      <c r="C26" s="19" t="n">
        <f aca="false">AUX_MATRIZES!C123</f>
        <v>0</v>
      </c>
      <c r="D26" s="19" t="n">
        <f aca="false">AUX_MATRIZES!D123</f>
        <v>0</v>
      </c>
      <c r="E26" s="19" t="n">
        <f aca="false">AUX_MATRIZES!E123</f>
        <v>0</v>
      </c>
      <c r="F26" s="19" t="n">
        <f aca="false">AUX_MATRIZES!F123</f>
        <v>0</v>
      </c>
      <c r="G26" s="19" t="n">
        <f aca="false">AUX_MATRIZES!G123</f>
        <v>0</v>
      </c>
      <c r="H26" s="19" t="n">
        <f aca="false">AUX_MATRIZES!H123</f>
        <v>0</v>
      </c>
      <c r="I26" s="19" t="n">
        <f aca="false">AUX_MATRIZES!I123</f>
        <v>0</v>
      </c>
      <c r="J26" s="19" t="n">
        <f aca="false">AUX_MATRIZES!J123</f>
        <v>0</v>
      </c>
      <c r="K26" s="19" t="n">
        <f aca="false">AUX_MATRIZES!K123</f>
        <v>0</v>
      </c>
      <c r="L26" s="19" t="n">
        <f aca="false">AUX_MATRIZES!L123</f>
        <v>0</v>
      </c>
      <c r="M26" s="19" t="n">
        <f aca="false">AUX_MATRIZES!M123</f>
        <v>0</v>
      </c>
      <c r="N26" s="19" t="n">
        <f aca="false">AUX_MATRIZES!N123</f>
        <v>0</v>
      </c>
      <c r="O26" s="19" t="n">
        <f aca="false">AUX_MATRIZES!O123</f>
        <v>0</v>
      </c>
      <c r="P26" s="19" t="n">
        <f aca="false">AUX_MATRIZES!P123</f>
        <v>0</v>
      </c>
      <c r="Q26" s="19" t="n">
        <f aca="false">AUX_MATRIZES!Q123</f>
        <v>0</v>
      </c>
      <c r="R26" s="19" t="n">
        <f aca="false">AUX_MATRIZES!R123</f>
        <v>0</v>
      </c>
      <c r="S26" s="19" t="n">
        <f aca="false">AUX_MATRIZES!S123</f>
        <v>0</v>
      </c>
      <c r="T26" s="19" t="n">
        <f aca="false">AUX_MATRIZES!T123</f>
        <v>0</v>
      </c>
      <c r="U26" s="19" t="n">
        <f aca="false">AUX_MATRIZES!U123</f>
        <v>0</v>
      </c>
      <c r="V26" s="19" t="n">
        <f aca="false">AUX_MATRIZES!V123</f>
        <v>0</v>
      </c>
      <c r="W26" s="19" t="n">
        <f aca="false">AUX_MATRIZES!W123</f>
        <v>0</v>
      </c>
      <c r="X26" s="19" t="n">
        <f aca="false">AUX_MATRIZES!X123</f>
        <v>0</v>
      </c>
      <c r="Y26" s="19" t="n">
        <f aca="false">AUX_MATRIZES!Y123</f>
        <v>0</v>
      </c>
      <c r="Z26" s="19" t="n">
        <f aca="false">AUX_MATRIZES!Z123</f>
        <v>0</v>
      </c>
      <c r="AA26" s="19" t="n">
        <f aca="false">AUX_MATRIZES!AA123</f>
        <v>0</v>
      </c>
      <c r="AB26" s="19" t="n">
        <f aca="false">AUX_MATRIZES!AB123</f>
        <v>0</v>
      </c>
      <c r="AC26" s="19" t="n">
        <f aca="false">AUX_MATRIZES!AC123</f>
        <v>0</v>
      </c>
      <c r="AD26" s="19" t="n">
        <f aca="false">AUX_MATRIZES!AD123</f>
        <v>0</v>
      </c>
      <c r="AE26" s="19" t="n">
        <f aca="false">AUX_MATRIZES!AE123</f>
        <v>0</v>
      </c>
      <c r="AF26" s="19" t="n">
        <f aca="false">AUX_MATRIZES!AF123</f>
        <v>0</v>
      </c>
      <c r="AG26" s="19" t="n">
        <f aca="false">AUX_MATRIZES!AG123</f>
        <v>0</v>
      </c>
      <c r="AH26" s="19" t="n">
        <f aca="false">AUX_MATRIZES!AH123</f>
        <v>0</v>
      </c>
      <c r="AI26" s="19" t="n">
        <f aca="false">AUX_MATRIZES!AI123</f>
        <v>0</v>
      </c>
      <c r="AJ26" s="19" t="n">
        <f aca="false">AUX_MATRIZES!AJ123</f>
        <v>0</v>
      </c>
      <c r="AK26" s="19" t="n">
        <f aca="false">AUX_MATRIZES!AK123</f>
        <v>0</v>
      </c>
      <c r="AL26" s="19" t="n">
        <f aca="false">AUX_MATRIZES!AL123</f>
        <v>0</v>
      </c>
      <c r="AM26" s="19" t="n">
        <f aca="false">AUX_MATRIZES!AM123</f>
        <v>0</v>
      </c>
      <c r="AN26" s="19" t="n">
        <f aca="false">AUX_MATRIZES!AN123</f>
        <v>0</v>
      </c>
      <c r="AO26" s="19" t="n">
        <f aca="false">AUX_MATRIZES!AO123</f>
        <v>0</v>
      </c>
      <c r="AP26" s="19" t="n">
        <f aca="false">AUX_MATRIZES!AP123</f>
        <v>0</v>
      </c>
      <c r="AQ26" s="19" t="n">
        <f aca="false">AUX_MATRIZES!AQ123</f>
        <v>0</v>
      </c>
      <c r="AR26" s="19" t="n">
        <f aca="false">AUX_MATRIZES!AR123</f>
        <v>0</v>
      </c>
      <c r="AS26" s="19" t="n">
        <f aca="false">AUX_MATRIZES!AS123</f>
        <v>0</v>
      </c>
      <c r="AT26" s="19" t="n">
        <f aca="false">AUX_MATRIZES!AT123</f>
        <v>0</v>
      </c>
      <c r="AU26" s="19" t="n">
        <f aca="false">AUX_MATRIZES!AU123</f>
        <v>0</v>
      </c>
      <c r="AV26" s="19" t="n">
        <f aca="false">AUX_MATRIZES!AV123</f>
        <v>0</v>
      </c>
      <c r="AW26" s="19" t="n">
        <f aca="false">AUX_MATRIZES!AW123</f>
        <v>0</v>
      </c>
      <c r="AX26" s="19" t="n">
        <f aca="false">AUX_MATRIZES!AX123</f>
        <v>0</v>
      </c>
      <c r="AY26" s="19" t="n">
        <f aca="false">AUX_MATRIZES!AY123</f>
        <v>0</v>
      </c>
      <c r="AZ26" s="19" t="n">
        <f aca="false">AUX_MATRIZES!AZ123</f>
        <v>0</v>
      </c>
      <c r="BA26" s="19" t="n">
        <f aca="false">AUX_MATRIZES!BA123</f>
        <v>0</v>
      </c>
      <c r="BB26" s="19" t="n">
        <f aca="false">AUX_MATRIZES!BB123</f>
        <v>0</v>
      </c>
      <c r="BC26" s="19" t="n">
        <f aca="false">AUX_MATRIZES!BC123</f>
        <v>0</v>
      </c>
      <c r="BD26" s="19" t="n">
        <f aca="false">AUX_MATRIZES!BD123</f>
        <v>0</v>
      </c>
      <c r="BE26" s="19" t="n">
        <f aca="false">AUX_MATRIZES!BE123</f>
        <v>0</v>
      </c>
      <c r="BF26" s="19" t="n">
        <f aca="false">AUX_MATRIZES!BF123</f>
        <v>0</v>
      </c>
      <c r="BG26" s="19" t="n">
        <f aca="false">AUX_MATRIZES!BG123</f>
        <v>0</v>
      </c>
      <c r="BH26" s="19" t="n">
        <f aca="false">AUX_MATRIZES!BH123</f>
        <v>0</v>
      </c>
      <c r="BI26" s="19" t="n">
        <f aca="false">AUX_MATRIZES!BI123</f>
        <v>0</v>
      </c>
      <c r="BJ26" s="19" t="n">
        <f aca="false">AUX_MATRIZES!BJ123</f>
        <v>0</v>
      </c>
      <c r="BK26" s="19" t="n">
        <f aca="false">AUX_MATRIZES!BK123</f>
        <v>0</v>
      </c>
      <c r="BL26" s="19" t="n">
        <f aca="false">AUX_MATRIZES!BL123</f>
        <v>0</v>
      </c>
      <c r="BM26" s="19" t="n">
        <f aca="false">AUX_MATRIZES!BM123</f>
        <v>0</v>
      </c>
      <c r="BN26" s="19" t="n">
        <f aca="false">AUX_MATRIZES!BN123</f>
        <v>0</v>
      </c>
      <c r="BO26" s="19" t="n">
        <f aca="false">AUX_MATRIZES!BO123</f>
        <v>0</v>
      </c>
      <c r="BP26" s="19" t="n">
        <f aca="false">AUX_MATRIZES!BP123</f>
        <v>0</v>
      </c>
    </row>
    <row r="29" customFormat="false" ht="30" hidden="false" customHeight="true" outlineLevel="0" collapsed="false">
      <c r="B29" s="5" t="s">
        <v>189</v>
      </c>
      <c r="C29" s="5"/>
      <c r="D29" s="5"/>
      <c r="E29" s="5"/>
      <c r="F29" s="5"/>
      <c r="G29" s="5"/>
      <c r="H29" s="5"/>
      <c r="I29" s="5"/>
      <c r="J29" s="5"/>
      <c r="K29" s="5"/>
      <c r="L29" s="5"/>
    </row>
  </sheetData>
  <mergeCells count="3">
    <mergeCell ref="B2:L2"/>
    <mergeCell ref="B3:L3"/>
    <mergeCell ref="B29:L29"/>
  </mergeCells>
  <conditionalFormatting sqref="C7:BP14">
    <cfRule type="cellIs" priority="2" operator="greaterThan" aboveAverage="0" equalAverage="0" bottom="0" percent="0" rank="0" text="" dxfId="1">
      <formula>LIMITE_CRITICO</formula>
    </cfRule>
    <cfRule type="cellIs" priority="3" operator="greaterThan" aboveAverage="0" equalAverage="0" bottom="0" percent="0" rank="0" text="" dxfId="2">
      <formula>LIMITE_ATENCAO</formula>
    </cfRule>
    <cfRule type="cellIs" priority="4" operator="greaterThan" aboveAverage="0" equalAverage="0" bottom="0" percent="0" rank="0" text="" dxfId="3">
      <formula>LIMITE_CONFORTAVEL</formula>
    </cfRule>
    <cfRule type="cellIs" priority="5" operator="lessThanOrEqual" aboveAverage="0" equalAverage="0" bottom="0" percent="0" rank="0" text="" dxfId="4">
      <formula>LIMITE_CONFORTAVEL</formula>
    </cfRule>
  </conditionalFormatting>
  <conditionalFormatting sqref="C19:BP26">
    <cfRule type="cellIs" priority="6" operator="greaterThan" aboveAverage="0" equalAverage="0" bottom="0" percent="0" rank="0" text="" dxfId="1">
      <formula>LIMITE_CRITICO</formula>
    </cfRule>
    <cfRule type="cellIs" priority="7" operator="greaterThan" aboveAverage="0" equalAverage="0" bottom="0" percent="0" rank="0" text="" dxfId="2">
      <formula>LIMITE_ATENCAO</formula>
    </cfRule>
    <cfRule type="cellIs" priority="8" operator="greaterThan" aboveAverage="0" equalAverage="0" bottom="0" percent="0" rank="0" text="" dxfId="3">
      <formula>LIMITE_CONFORTAVEL</formula>
    </cfRule>
    <cfRule type="cellIs" priority="9" operator="lessThanOrEqual" aboveAverage="0" equalAverage="0" bottom="0" percent="0" rank="0" text="" dxfId="4">
      <formula>LIMITE_CONFORTAVEL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P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2" customFormat="false" ht="30" hidden="false" customHeight="true" outlineLevel="0" collapsed="false">
      <c r="B2" s="1" t="s">
        <v>190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5.5" hidden="false" customHeight="true" outlineLevel="0" collapsed="false">
      <c r="B3" s="2" t="s">
        <v>191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9" customFormat="false" ht="15" hidden="false" customHeight="false" outlineLevel="0" collapsed="false">
      <c r="B59" s="3" t="s">
        <v>192</v>
      </c>
    </row>
    <row r="60" customFormat="false" ht="15" hidden="false" customHeight="false" outlineLevel="0" collapsed="false">
      <c r="B60" s="14" t="s">
        <v>88</v>
      </c>
      <c r="C60" s="22" t="n">
        <f aca="false">SEMANAS!$B$6</f>
        <v>1</v>
      </c>
      <c r="D60" s="22" t="n">
        <f aca="false">SEMANAS!$B$7</f>
        <v>2</v>
      </c>
      <c r="E60" s="22" t="n">
        <f aca="false">SEMANAS!$B$8</f>
        <v>3</v>
      </c>
      <c r="F60" s="22" t="n">
        <f aca="false">SEMANAS!$B$9</f>
        <v>4</v>
      </c>
      <c r="G60" s="22" t="n">
        <f aca="false">SEMANAS!$B$10</f>
        <v>5</v>
      </c>
      <c r="H60" s="22" t="n">
        <f aca="false">SEMANAS!$B$11</f>
        <v>6</v>
      </c>
      <c r="I60" s="22" t="n">
        <f aca="false">SEMANAS!$B$12</f>
        <v>7</v>
      </c>
      <c r="J60" s="22" t="n">
        <f aca="false">SEMANAS!$B$13</f>
        <v>8</v>
      </c>
      <c r="K60" s="22" t="n">
        <f aca="false">SEMANAS!$B$14</f>
        <v>9</v>
      </c>
      <c r="L60" s="22" t="n">
        <f aca="false">SEMANAS!$B$15</f>
        <v>10</v>
      </c>
      <c r="M60" s="22" t="n">
        <f aca="false">SEMANAS!$B$16</f>
        <v>11</v>
      </c>
      <c r="N60" s="22" t="n">
        <f aca="false">SEMANAS!$B$17</f>
        <v>12</v>
      </c>
      <c r="O60" s="22" t="n">
        <f aca="false">SEMANAS!$B$18</f>
        <v>13</v>
      </c>
      <c r="P60" s="22" t="n">
        <f aca="false">SEMANAS!$B$19</f>
        <v>14</v>
      </c>
      <c r="Q60" s="22" t="n">
        <f aca="false">SEMANAS!$B$20</f>
        <v>15</v>
      </c>
      <c r="R60" s="22" t="n">
        <f aca="false">SEMANAS!$B$21</f>
        <v>16</v>
      </c>
      <c r="S60" s="22" t="n">
        <f aca="false">SEMANAS!$B$22</f>
        <v>17</v>
      </c>
      <c r="T60" s="22" t="n">
        <f aca="false">SEMANAS!$B$23</f>
        <v>18</v>
      </c>
      <c r="U60" s="22" t="n">
        <f aca="false">SEMANAS!$B$24</f>
        <v>19</v>
      </c>
      <c r="V60" s="22" t="n">
        <f aca="false">SEMANAS!$B$25</f>
        <v>20</v>
      </c>
      <c r="W60" s="22" t="n">
        <f aca="false">SEMANAS!$B$26</f>
        <v>21</v>
      </c>
      <c r="X60" s="22" t="n">
        <f aca="false">SEMANAS!$B$27</f>
        <v>22</v>
      </c>
      <c r="Y60" s="22" t="n">
        <f aca="false">SEMANAS!$B$28</f>
        <v>23</v>
      </c>
      <c r="Z60" s="22" t="n">
        <f aca="false">SEMANAS!$B$29</f>
        <v>24</v>
      </c>
      <c r="AA60" s="22" t="n">
        <f aca="false">SEMANAS!$B$30</f>
        <v>25</v>
      </c>
      <c r="AB60" s="22" t="n">
        <f aca="false">SEMANAS!$B$31</f>
        <v>26</v>
      </c>
      <c r="AC60" s="22" t="n">
        <f aca="false">SEMANAS!$B$32</f>
        <v>27</v>
      </c>
      <c r="AD60" s="22" t="n">
        <f aca="false">SEMANAS!$B$33</f>
        <v>28</v>
      </c>
      <c r="AE60" s="22" t="n">
        <f aca="false">SEMANAS!$B$34</f>
        <v>29</v>
      </c>
      <c r="AF60" s="22" t="n">
        <f aca="false">SEMANAS!$B$35</f>
        <v>30</v>
      </c>
      <c r="AG60" s="22" t="n">
        <f aca="false">SEMANAS!$B$36</f>
        <v>31</v>
      </c>
      <c r="AH60" s="22" t="n">
        <f aca="false">SEMANAS!$B$37</f>
        <v>32</v>
      </c>
      <c r="AI60" s="22" t="n">
        <f aca="false">SEMANAS!$B$38</f>
        <v>33</v>
      </c>
      <c r="AJ60" s="22" t="n">
        <f aca="false">SEMANAS!$B$39</f>
        <v>34</v>
      </c>
      <c r="AK60" s="22" t="n">
        <f aca="false">SEMANAS!$B$40</f>
        <v>35</v>
      </c>
      <c r="AL60" s="22" t="n">
        <f aca="false">SEMANAS!$B$41</f>
        <v>36</v>
      </c>
      <c r="AM60" s="22" t="n">
        <f aca="false">SEMANAS!$B$42</f>
        <v>37</v>
      </c>
      <c r="AN60" s="22" t="n">
        <f aca="false">SEMANAS!$B$43</f>
        <v>38</v>
      </c>
      <c r="AO60" s="22" t="n">
        <f aca="false">SEMANAS!$B$44</f>
        <v>39</v>
      </c>
      <c r="AP60" s="22" t="n">
        <f aca="false">SEMANAS!$B$45</f>
        <v>40</v>
      </c>
      <c r="AQ60" s="22" t="n">
        <f aca="false">SEMANAS!$B$46</f>
        <v>41</v>
      </c>
      <c r="AR60" s="22" t="n">
        <f aca="false">SEMANAS!$B$47</f>
        <v>42</v>
      </c>
      <c r="AS60" s="22" t="n">
        <f aca="false">SEMANAS!$B$48</f>
        <v>43</v>
      </c>
      <c r="AT60" s="22" t="n">
        <f aca="false">SEMANAS!$B$49</f>
        <v>44</v>
      </c>
      <c r="AU60" s="22" t="n">
        <f aca="false">SEMANAS!$B$50</f>
        <v>45</v>
      </c>
      <c r="AV60" s="22" t="n">
        <f aca="false">SEMANAS!$B$51</f>
        <v>46</v>
      </c>
      <c r="AW60" s="22" t="n">
        <f aca="false">SEMANAS!$B$52</f>
        <v>47</v>
      </c>
      <c r="AX60" s="22" t="n">
        <f aca="false">SEMANAS!$B$53</f>
        <v>48</v>
      </c>
      <c r="AY60" s="22" t="n">
        <f aca="false">SEMANAS!$B$54</f>
        <v>49</v>
      </c>
      <c r="AZ60" s="22" t="n">
        <f aca="false">SEMANAS!$B$55</f>
        <v>50</v>
      </c>
      <c r="BA60" s="22" t="n">
        <f aca="false">SEMANAS!$B$56</f>
        <v>51</v>
      </c>
      <c r="BB60" s="22" t="n">
        <f aca="false">SEMANAS!$B$57</f>
        <v>52</v>
      </c>
      <c r="BC60" s="22" t="n">
        <f aca="false">SEMANAS!$B$58</f>
        <v>53</v>
      </c>
      <c r="BD60" s="22" t="n">
        <f aca="false">SEMANAS!$B$59</f>
        <v>54</v>
      </c>
      <c r="BE60" s="22" t="n">
        <f aca="false">SEMANAS!$B$60</f>
        <v>55</v>
      </c>
      <c r="BF60" s="22" t="n">
        <f aca="false">SEMANAS!$B$61</f>
        <v>56</v>
      </c>
      <c r="BG60" s="22" t="n">
        <f aca="false">SEMANAS!$B$62</f>
        <v>57</v>
      </c>
      <c r="BH60" s="22" t="n">
        <f aca="false">SEMANAS!$B$63</f>
        <v>58</v>
      </c>
      <c r="BI60" s="22" t="n">
        <f aca="false">SEMANAS!$B$64</f>
        <v>59</v>
      </c>
      <c r="BJ60" s="22" t="n">
        <f aca="false">SEMANAS!$B$65</f>
        <v>60</v>
      </c>
      <c r="BK60" s="22" t="n">
        <f aca="false">SEMANAS!$B$66</f>
        <v>61</v>
      </c>
      <c r="BL60" s="22" t="n">
        <f aca="false">SEMANAS!$B$67</f>
        <v>62</v>
      </c>
      <c r="BM60" s="22" t="n">
        <f aca="false">SEMANAS!$B$68</f>
        <v>63</v>
      </c>
      <c r="BN60" s="22" t="n">
        <f aca="false">SEMANAS!$B$69</f>
        <v>64</v>
      </c>
      <c r="BO60" s="22" t="n">
        <f aca="false">SEMANAS!$B$70</f>
        <v>65</v>
      </c>
      <c r="BP60" s="22" t="n">
        <f aca="false">SEMANAS!$B$71</f>
        <v>66</v>
      </c>
    </row>
    <row r="61" customFormat="false" ht="15" hidden="false" customHeight="false" outlineLevel="0" collapsed="false">
      <c r="B61" s="15" t="s">
        <v>193</v>
      </c>
      <c r="C61" s="18" t="n">
        <f aca="false">AUX_MATRIZES!C142</f>
        <v>40</v>
      </c>
      <c r="D61" s="18" t="n">
        <f aca="false">AUX_MATRIZES!D142</f>
        <v>40.6</v>
      </c>
      <c r="E61" s="18" t="n">
        <f aca="false">AUX_MATRIZES!E142</f>
        <v>40.6</v>
      </c>
      <c r="F61" s="18" t="n">
        <f aca="false">AUX_MATRIZES!F142</f>
        <v>40.6</v>
      </c>
      <c r="G61" s="18" t="n">
        <f aca="false">AUX_MATRIZES!G142</f>
        <v>39.8</v>
      </c>
      <c r="H61" s="18" t="n">
        <f aca="false">AUX_MATRIZES!H142</f>
        <v>39.2</v>
      </c>
      <c r="I61" s="18" t="n">
        <f aca="false">AUX_MATRIZES!I142</f>
        <v>39.2</v>
      </c>
      <c r="J61" s="18" t="n">
        <f aca="false">AUX_MATRIZES!J142</f>
        <v>39.2</v>
      </c>
      <c r="K61" s="18" t="n">
        <f aca="false">AUX_MATRIZES!K142</f>
        <v>38.5</v>
      </c>
      <c r="L61" s="18" t="n">
        <f aca="false">AUX_MATRIZES!L142</f>
        <v>34.3</v>
      </c>
      <c r="M61" s="18" t="n">
        <f aca="false">AUX_MATRIZES!M142</f>
        <v>34.3</v>
      </c>
      <c r="N61" s="18" t="n">
        <f aca="false">AUX_MATRIZES!N142</f>
        <v>34.3</v>
      </c>
      <c r="O61" s="18" t="n">
        <f aca="false">AUX_MATRIZES!O142</f>
        <v>34.3</v>
      </c>
      <c r="P61" s="18" t="n">
        <f aca="false">AUX_MATRIZES!P142</f>
        <v>33.1</v>
      </c>
      <c r="Q61" s="18" t="n">
        <f aca="false">AUX_MATRIZES!Q142</f>
        <v>32.9</v>
      </c>
      <c r="R61" s="18" t="n">
        <f aca="false">AUX_MATRIZES!R142</f>
        <v>32.9</v>
      </c>
      <c r="S61" s="18" t="n">
        <f aca="false">AUX_MATRIZES!S142</f>
        <v>32.9</v>
      </c>
      <c r="T61" s="18" t="n">
        <f aca="false">AUX_MATRIZES!T142</f>
        <v>33.2</v>
      </c>
      <c r="U61" s="18" t="n">
        <f aca="false">AUX_MATRIZES!U142</f>
        <v>33.6</v>
      </c>
      <c r="V61" s="18" t="n">
        <f aca="false">AUX_MATRIZES!V142</f>
        <v>33.6</v>
      </c>
      <c r="W61" s="18" t="n">
        <f aca="false">AUX_MATRIZES!W142</f>
        <v>33.6</v>
      </c>
      <c r="X61" s="18" t="n">
        <f aca="false">AUX_MATRIZES!X142</f>
        <v>33.6</v>
      </c>
      <c r="Y61" s="18" t="n">
        <f aca="false">AUX_MATRIZES!Y142</f>
        <v>32.9</v>
      </c>
      <c r="Z61" s="18" t="n">
        <f aca="false">AUX_MATRIZES!Z142</f>
        <v>32.9</v>
      </c>
      <c r="AA61" s="18" t="n">
        <f aca="false">AUX_MATRIZES!AA142</f>
        <v>32.9</v>
      </c>
      <c r="AB61" s="18" t="n">
        <f aca="false">AUX_MATRIZES!AB142</f>
        <v>32.9</v>
      </c>
      <c r="AC61" s="18" t="n">
        <f aca="false">AUX_MATRIZES!AC142</f>
        <v>32.2</v>
      </c>
      <c r="AD61" s="18" t="n">
        <f aca="false">AUX_MATRIZES!AD142</f>
        <v>32.2</v>
      </c>
      <c r="AE61" s="18" t="n">
        <f aca="false">AUX_MATRIZES!AE142</f>
        <v>32.2</v>
      </c>
      <c r="AF61" s="18" t="n">
        <f aca="false">AUX_MATRIZES!AF142</f>
        <v>32.2</v>
      </c>
      <c r="AG61" s="18" t="n">
        <f aca="false">AUX_MATRIZES!AG142</f>
        <v>31.8</v>
      </c>
      <c r="AH61" s="18" t="n">
        <f aca="false">AUX_MATRIZES!AH142</f>
        <v>31.5</v>
      </c>
      <c r="AI61" s="18" t="n">
        <f aca="false">AUX_MATRIZES!AI142</f>
        <v>31.5</v>
      </c>
      <c r="AJ61" s="18" t="n">
        <f aca="false">AUX_MATRIZES!AJ142</f>
        <v>31.5</v>
      </c>
      <c r="AK61" s="18" t="n">
        <f aca="false">AUX_MATRIZES!AK142</f>
        <v>30.9</v>
      </c>
      <c r="AL61" s="18" t="n">
        <f aca="false">AUX_MATRIZES!AL142</f>
        <v>29.4</v>
      </c>
      <c r="AM61" s="18" t="n">
        <f aca="false">AUX_MATRIZES!AM142</f>
        <v>29.4</v>
      </c>
      <c r="AN61" s="18" t="n">
        <f aca="false">AUX_MATRIZES!AN142</f>
        <v>29.4</v>
      </c>
      <c r="AO61" s="18" t="n">
        <f aca="false">AUX_MATRIZES!AO142</f>
        <v>29.4</v>
      </c>
      <c r="AP61" s="18" t="n">
        <f aca="false">AUX_MATRIZES!AP142</f>
        <v>28.2</v>
      </c>
      <c r="AQ61" s="18" t="n">
        <f aca="false">AUX_MATRIZES!AQ142</f>
        <v>28</v>
      </c>
      <c r="AR61" s="18" t="n">
        <f aca="false">AUX_MATRIZES!AR142</f>
        <v>28</v>
      </c>
      <c r="AS61" s="18" t="n">
        <f aca="false">AUX_MATRIZES!AS142</f>
        <v>28</v>
      </c>
      <c r="AT61" s="18" t="n">
        <f aca="false">AUX_MATRIZES!AT142</f>
        <v>29.2</v>
      </c>
      <c r="AU61" s="18" t="n">
        <f aca="false">AUX_MATRIZES!AU142</f>
        <v>30.1</v>
      </c>
      <c r="AV61" s="18" t="n">
        <f aca="false">AUX_MATRIZES!AV142</f>
        <v>30.1</v>
      </c>
      <c r="AW61" s="18" t="n">
        <f aca="false">AUX_MATRIZES!AW142</f>
        <v>30.1</v>
      </c>
      <c r="AX61" s="18" t="n">
        <f aca="false">AUX_MATRIZES!AX142</f>
        <v>31</v>
      </c>
      <c r="AY61" s="18" t="n">
        <f aca="false">AUX_MATRIZES!AY142</f>
        <v>36.4</v>
      </c>
      <c r="AZ61" s="18" t="n">
        <f aca="false">AUX_MATRIZES!AZ142</f>
        <v>36.4</v>
      </c>
      <c r="BA61" s="18" t="n">
        <f aca="false">AUX_MATRIZES!BA142</f>
        <v>36.4</v>
      </c>
      <c r="BB61" s="18" t="n">
        <f aca="false">AUX_MATRIZES!BB142</f>
        <v>36.4</v>
      </c>
      <c r="BC61" s="18" t="n">
        <f aca="false">AUX_MATRIZES!BC142</f>
        <v>39.4</v>
      </c>
      <c r="BD61" s="18" t="n">
        <f aca="false">AUX_MATRIZES!BD142</f>
        <v>40.6</v>
      </c>
      <c r="BE61" s="18" t="n">
        <f aca="false">AUX_MATRIZES!BE142</f>
        <v>40.6</v>
      </c>
      <c r="BF61" s="18" t="n">
        <f aca="false">AUX_MATRIZES!BF142</f>
        <v>40.6</v>
      </c>
      <c r="BG61" s="18" t="n">
        <f aca="false">AUX_MATRIZES!BG142</f>
        <v>40</v>
      </c>
      <c r="BH61" s="18" t="n">
        <f aca="false">AUX_MATRIZES!BH142</f>
        <v>39.2</v>
      </c>
      <c r="BI61" s="18" t="n">
        <f aca="false">AUX_MATRIZES!BI142</f>
        <v>39.2</v>
      </c>
      <c r="BJ61" s="18" t="n">
        <f aca="false">AUX_MATRIZES!BJ142</f>
        <v>39.2</v>
      </c>
      <c r="BK61" s="18" t="n">
        <f aca="false">AUX_MATRIZES!BK142</f>
        <v>39.2</v>
      </c>
      <c r="BL61" s="18" t="n">
        <f aca="false">AUX_MATRIZES!BL142</f>
        <v>34.3</v>
      </c>
      <c r="BM61" s="18" t="n">
        <f aca="false">AUX_MATRIZES!BM142</f>
        <v>34.3</v>
      </c>
      <c r="BN61" s="18" t="n">
        <f aca="false">AUX_MATRIZES!BN142</f>
        <v>34.3</v>
      </c>
      <c r="BO61" s="18" t="n">
        <f aca="false">AUX_MATRIZES!BO142</f>
        <v>34.3</v>
      </c>
      <c r="BP61" s="18" t="n">
        <f aca="false">AUX_MATRIZES!BP142</f>
        <v>33.3</v>
      </c>
    </row>
    <row r="62" customFormat="false" ht="15" hidden="false" customHeight="false" outlineLevel="0" collapsed="false">
      <c r="B62" s="15" t="s">
        <v>194</v>
      </c>
      <c r="C62" s="18" t="n">
        <f aca="false">AUX_MATRIZES!C143</f>
        <v>35.5769776097569</v>
      </c>
      <c r="D62" s="18" t="n">
        <f aca="false">AUX_MATRIZES!D143</f>
        <v>36.8716444192239</v>
      </c>
      <c r="E62" s="18" t="n">
        <f aca="false">AUX_MATRIZES!E143</f>
        <v>39.5146497817056</v>
      </c>
      <c r="F62" s="18" t="n">
        <f aca="false">AUX_MATRIZES!F143</f>
        <v>41.0811399389727</v>
      </c>
      <c r="G62" s="18" t="n">
        <f aca="false">AUX_MATRIZES!G143</f>
        <v>27.4369027850762</v>
      </c>
      <c r="H62" s="18" t="n">
        <f aca="false">AUX_MATRIZES!H143</f>
        <v>26.7416700346256</v>
      </c>
      <c r="I62" s="18" t="n">
        <f aca="false">AUX_MATRIZES!I143</f>
        <v>20.972457030135</v>
      </c>
      <c r="J62" s="18" t="n">
        <f aca="false">AUX_MATRIZES!J143</f>
        <v>22.4760610753991</v>
      </c>
      <c r="K62" s="18" t="n">
        <f aca="false">AUX_MATRIZES!K143</f>
        <v>23.5442531956389</v>
      </c>
      <c r="L62" s="18" t="n">
        <f aca="false">AUX_MATRIZES!L143</f>
        <v>24.4928960363027</v>
      </c>
      <c r="M62" s="18" t="n">
        <f aca="false">AUX_MATRIZES!M143</f>
        <v>29.2113340784602</v>
      </c>
      <c r="N62" s="18" t="n">
        <f aca="false">AUX_MATRIZES!N143</f>
        <v>31.0416090911662</v>
      </c>
      <c r="O62" s="18" t="n">
        <f aca="false">AUX_MATRIZES!O143</f>
        <v>35.4127607597581</v>
      </c>
      <c r="P62" s="18" t="n">
        <f aca="false">AUX_MATRIZES!P143</f>
        <v>25.5559959357656</v>
      </c>
      <c r="Q62" s="18" t="n">
        <f aca="false">AUX_MATRIZES!Q143</f>
        <v>25.137684219005</v>
      </c>
      <c r="R62" s="18" t="n">
        <f aca="false">AUX_MATRIZES!R143</f>
        <v>24.2114522178596</v>
      </c>
      <c r="S62" s="18" t="n">
        <f aca="false">AUX_MATRIZES!S143</f>
        <v>23.7391288323347</v>
      </c>
      <c r="T62" s="18" t="n">
        <f aca="false">AUX_MATRIZES!T143</f>
        <v>23.6714312203016</v>
      </c>
      <c r="U62" s="18" t="n">
        <f aca="false">AUX_MATRIZES!U143</f>
        <v>23.8081518966786</v>
      </c>
      <c r="V62" s="18" t="n">
        <f aca="false">AUX_MATRIZES!V143</f>
        <v>24.4103627121916</v>
      </c>
      <c r="W62" s="18" t="n">
        <f aca="false">AUX_MATRIZES!W143</f>
        <v>25.0558654419838</v>
      </c>
      <c r="X62" s="18" t="n">
        <f aca="false">AUX_MATRIZES!X143</f>
        <v>25.2198863065359</v>
      </c>
      <c r="Y62" s="18" t="n">
        <f aca="false">AUX_MATRIZES!Y143</f>
        <v>24.3538339938757</v>
      </c>
      <c r="Z62" s="18" t="n">
        <f aca="false">AUX_MATRIZES!Z143</f>
        <v>23.6182562613248</v>
      </c>
      <c r="AA62" s="18" t="n">
        <f aca="false">AUX_MATRIZES!AA143</f>
        <v>25.1742294254923</v>
      </c>
      <c r="AB62" s="18" t="n">
        <f aca="false">AUX_MATRIZES!AB143</f>
        <v>26.1461861630262</v>
      </c>
      <c r="AC62" s="18" t="n">
        <f aca="false">AUX_MATRIZES!AC143</f>
        <v>26.2628837503865</v>
      </c>
      <c r="AD62" s="18" t="n">
        <f aca="false">AUX_MATRIZES!AD143</f>
        <v>27.3013943055844</v>
      </c>
      <c r="AE62" s="18" t="n">
        <f aca="false">AUX_MATRIZES!AE143</f>
        <v>28.6322180069238</v>
      </c>
      <c r="AF62" s="18" t="n">
        <f aca="false">AUX_MATRIZES!AF143</f>
        <v>30.1303770186897</v>
      </c>
      <c r="AG62" s="18" t="n">
        <f aca="false">AUX_MATRIZES!AG143</f>
        <v>31.082330098578</v>
      </c>
      <c r="AH62" s="18" t="n">
        <f aca="false">AUX_MATRIZES!AH143</f>
        <v>32.1028323160611</v>
      </c>
      <c r="AI62" s="18" t="n">
        <f aca="false">AUX_MATRIZES!AI143</f>
        <v>33.3699403566472</v>
      </c>
      <c r="AJ62" s="18" t="n">
        <f aca="false">AUX_MATRIZES!AJ143</f>
        <v>34.265391585524</v>
      </c>
      <c r="AK62" s="18" t="n">
        <f aca="false">AUX_MATRIZES!AK143</f>
        <v>33.9145294479032</v>
      </c>
      <c r="AL62" s="18" t="n">
        <f aca="false">AUX_MATRIZES!AL143</f>
        <v>31.4889108687761</v>
      </c>
      <c r="AM62" s="18" t="n">
        <f aca="false">AUX_MATRIZES!AM143</f>
        <v>29.5628851593248</v>
      </c>
      <c r="AN62" s="18" t="n">
        <f aca="false">AUX_MATRIZES!AN143</f>
        <v>28.4913720609747</v>
      </c>
      <c r="AO62" s="18" t="n">
        <f aca="false">AUX_MATRIZES!AO143</f>
        <v>27.5977656167956</v>
      </c>
      <c r="AP62" s="18" t="n">
        <f aca="false">AUX_MATRIZES!AP143</f>
        <v>24.2393413874529</v>
      </c>
      <c r="AQ62" s="18" t="n">
        <f aca="false">AUX_MATRIZES!AQ143</f>
        <v>22.6317252663257</v>
      </c>
      <c r="AR62" s="18" t="n">
        <f aca="false">AUX_MATRIZES!AR143</f>
        <v>23.2108631530946</v>
      </c>
      <c r="AS62" s="18" t="n">
        <f aca="false">AUX_MATRIZES!AS143</f>
        <v>21.7068602237614</v>
      </c>
      <c r="AT62" s="18" t="n">
        <f aca="false">AUX_MATRIZES!AT143</f>
        <v>21.4031308097404</v>
      </c>
      <c r="AU62" s="18" t="n">
        <f aca="false">AUX_MATRIZES!AU143</f>
        <v>21.2521437809062</v>
      </c>
      <c r="AV62" s="18" t="n">
        <f aca="false">AUX_MATRIZES!AV143</f>
        <v>21.121472980722</v>
      </c>
      <c r="AW62" s="18" t="n">
        <f aca="false">AUX_MATRIZES!AW143</f>
        <v>21.0282318378937</v>
      </c>
      <c r="AX62" s="18" t="n">
        <f aca="false">AUX_MATRIZES!AX143</f>
        <v>22.2219511504011</v>
      </c>
      <c r="AY62" s="18" t="n">
        <f aca="false">AUX_MATRIZES!AY143</f>
        <v>28.2521003260793</v>
      </c>
      <c r="AZ62" s="18" t="n">
        <f aca="false">AUX_MATRIZES!AZ143</f>
        <v>30.4690906611164</v>
      </c>
      <c r="BA62" s="18" t="n">
        <f aca="false">AUX_MATRIZES!BA143</f>
        <v>35.4051972377535</v>
      </c>
      <c r="BB62" s="18" t="n">
        <f aca="false">AUX_MATRIZES!BB143</f>
        <v>40.2252149128654</v>
      </c>
      <c r="BC62" s="18" t="n">
        <f aca="false">AUX_MATRIZES!BC143</f>
        <v>45.5373920252586</v>
      </c>
      <c r="BD62" s="18" t="n">
        <f aca="false">AUX_MATRIZES!BD143</f>
        <v>47.5009175094979</v>
      </c>
      <c r="BE62" s="18" t="n">
        <f aca="false">AUX_MATRIZES!BE143</f>
        <v>47.0897164545083</v>
      </c>
      <c r="BF62" s="18" t="n">
        <f aca="false">AUX_MATRIZES!BF143</f>
        <v>46.1138345316118</v>
      </c>
      <c r="BG62" s="18" t="n">
        <f aca="false">AUX_MATRIZES!BG143</f>
        <v>44.0231277235283</v>
      </c>
      <c r="BH62" s="18" t="n">
        <f aca="false">AUX_MATRIZES!BH143</f>
        <v>41.387985880582</v>
      </c>
      <c r="BI62" s="18" t="n">
        <f aca="false">AUX_MATRIZES!BI143</f>
        <v>39.1586104430038</v>
      </c>
      <c r="BJ62" s="18" t="n">
        <f aca="false">AUX_MATRIZES!BJ143</f>
        <v>37.9502380133448</v>
      </c>
      <c r="BK62" s="18" t="n">
        <f aca="false">AUX_MATRIZES!BK143</f>
        <v>38.4982992266573</v>
      </c>
      <c r="BL62" s="18" t="n">
        <f aca="false">AUX_MATRIZES!BL143</f>
        <v>30.1554787495071</v>
      </c>
      <c r="BM62" s="18" t="n">
        <f aca="false">AUX_MATRIZES!BM143</f>
        <v>27.7618055716511</v>
      </c>
      <c r="BN62" s="18" t="n">
        <f aca="false">AUX_MATRIZES!BN143</f>
        <v>24.8570380705725</v>
      </c>
      <c r="BO62" s="18" t="n">
        <f aca="false">AUX_MATRIZES!BO143</f>
        <v>24.6887798124315</v>
      </c>
      <c r="BP62" s="18" t="n">
        <f aca="false">AUX_MATRIZES!BP143</f>
        <v>22.977</v>
      </c>
    </row>
    <row r="63" customFormat="false" ht="15" hidden="false" customHeight="false" outlineLevel="0" collapsed="false">
      <c r="B63" s="15" t="s">
        <v>195</v>
      </c>
      <c r="C63" s="18" t="n">
        <f aca="false">AUX_MATRIZES!C144</f>
        <v>4.928</v>
      </c>
      <c r="D63" s="18" t="n">
        <f aca="false">AUX_MATRIZES!D144</f>
        <v>5.6</v>
      </c>
      <c r="E63" s="18" t="n">
        <f aca="false">AUX_MATRIZES!E144</f>
        <v>5.6</v>
      </c>
      <c r="F63" s="18" t="n">
        <f aca="false">AUX_MATRIZES!F144</f>
        <v>5.6</v>
      </c>
      <c r="G63" s="18" t="n">
        <f aca="false">AUX_MATRIZES!G144</f>
        <v>14.784</v>
      </c>
      <c r="H63" s="18" t="n">
        <f aca="false">AUX_MATRIZES!H144</f>
        <v>21.672</v>
      </c>
      <c r="I63" s="18" t="n">
        <f aca="false">AUX_MATRIZES!I144</f>
        <v>21.672</v>
      </c>
      <c r="J63" s="18" t="n">
        <f aca="false">AUX_MATRIZES!J144</f>
        <v>21.672</v>
      </c>
      <c r="K63" s="18" t="n">
        <f aca="false">AUX_MATRIZES!K144</f>
        <v>23.912</v>
      </c>
      <c r="L63" s="18" t="n">
        <f aca="false">AUX_MATRIZES!L144</f>
        <v>37.352</v>
      </c>
      <c r="M63" s="18" t="n">
        <f aca="false">AUX_MATRIZES!M144</f>
        <v>37.352</v>
      </c>
      <c r="N63" s="18" t="n">
        <f aca="false">AUX_MATRIZES!N144</f>
        <v>37.352</v>
      </c>
      <c r="O63" s="18" t="n">
        <f aca="false">AUX_MATRIZES!O144</f>
        <v>37.352</v>
      </c>
      <c r="P63" s="18" t="n">
        <f aca="false">AUX_MATRIZES!P144</f>
        <v>38.648</v>
      </c>
      <c r="Q63" s="18" t="n">
        <f aca="false">AUX_MATRIZES!Q144</f>
        <v>38.864</v>
      </c>
      <c r="R63" s="18" t="n">
        <f aca="false">AUX_MATRIZES!R144</f>
        <v>38.864</v>
      </c>
      <c r="S63" s="18" t="n">
        <f aca="false">AUX_MATRIZES!S144</f>
        <v>38.864</v>
      </c>
      <c r="T63" s="18" t="n">
        <f aca="false">AUX_MATRIZES!T144</f>
        <v>37.688</v>
      </c>
      <c r="U63" s="18" t="n">
        <f aca="false">AUX_MATRIZES!U144</f>
        <v>36.12</v>
      </c>
      <c r="V63" s="18" t="n">
        <f aca="false">AUX_MATRIZES!V144</f>
        <v>36.12</v>
      </c>
      <c r="W63" s="18" t="n">
        <f aca="false">AUX_MATRIZES!W144</f>
        <v>36.12</v>
      </c>
      <c r="X63" s="18" t="n">
        <f aca="false">AUX_MATRIZES!X144</f>
        <v>36.12</v>
      </c>
      <c r="Y63" s="18" t="n">
        <f aca="false">AUX_MATRIZES!Y144</f>
        <v>31.976</v>
      </c>
      <c r="Z63" s="18" t="n">
        <f aca="false">AUX_MATRIZES!Z144</f>
        <v>31.976</v>
      </c>
      <c r="AA63" s="18" t="n">
        <f aca="false">AUX_MATRIZES!AA144</f>
        <v>31.976</v>
      </c>
      <c r="AB63" s="18" t="n">
        <f aca="false">AUX_MATRIZES!AB144</f>
        <v>31.976</v>
      </c>
      <c r="AC63" s="18" t="n">
        <f aca="false">AUX_MATRIZES!AC144</f>
        <v>29.792</v>
      </c>
      <c r="AD63" s="18" t="n">
        <f aca="false">AUX_MATRIZES!AD144</f>
        <v>29.792</v>
      </c>
      <c r="AE63" s="18" t="n">
        <f aca="false">AUX_MATRIZES!AE144</f>
        <v>29.792</v>
      </c>
      <c r="AF63" s="18" t="n">
        <f aca="false">AUX_MATRIZES!AF144</f>
        <v>29.792</v>
      </c>
      <c r="AG63" s="18" t="n">
        <f aca="false">AUX_MATRIZES!AG144</f>
        <v>20.224</v>
      </c>
      <c r="AH63" s="18" t="n">
        <f aca="false">AUX_MATRIZES!AH144</f>
        <v>13.048</v>
      </c>
      <c r="AI63" s="18" t="n">
        <f aca="false">AUX_MATRIZES!AI144</f>
        <v>13.048</v>
      </c>
      <c r="AJ63" s="18" t="n">
        <f aca="false">AUX_MATRIZES!AJ144</f>
        <v>13.048</v>
      </c>
      <c r="AK63" s="18" t="n">
        <f aca="false">AUX_MATRIZES!AK144</f>
        <v>10.088</v>
      </c>
      <c r="AL63" s="18" t="n">
        <f aca="false">AUX_MATRIZES!AL144</f>
        <v>2.688</v>
      </c>
      <c r="AM63" s="18" t="n">
        <f aca="false">AUX_MATRIZES!AM144</f>
        <v>2.688</v>
      </c>
      <c r="AN63" s="18" t="n">
        <f aca="false">AUX_MATRIZES!AN144</f>
        <v>2.688</v>
      </c>
      <c r="AO63" s="18" t="n">
        <f aca="false">AUX_MATRIZES!AO144</f>
        <v>2.688</v>
      </c>
      <c r="AP63" s="18" t="n">
        <f aca="false">AUX_MATRIZES!AP144</f>
        <v>1.2</v>
      </c>
      <c r="AQ63" s="18" t="n">
        <f aca="false">AUX_MATRIZES!AQ144</f>
        <v>0.952</v>
      </c>
      <c r="AR63" s="18" t="n">
        <f aca="false">AUX_MATRIZES!AR144</f>
        <v>0.952</v>
      </c>
      <c r="AS63" s="18" t="n">
        <f aca="false">AUX_MATRIZES!AS144</f>
        <v>0.952</v>
      </c>
      <c r="AT63" s="18" t="n">
        <f aca="false">AUX_MATRIZES!AT144</f>
        <v>0.728</v>
      </c>
      <c r="AU63" s="18" t="n">
        <f aca="false">AUX_MATRIZES!AU144</f>
        <v>0.56</v>
      </c>
      <c r="AV63" s="18" t="n">
        <f aca="false">AUX_MATRIZES!AV144</f>
        <v>0.56</v>
      </c>
      <c r="AW63" s="18" t="n">
        <f aca="false">AUX_MATRIZES!AW144</f>
        <v>0.56</v>
      </c>
      <c r="AX63" s="18" t="n">
        <f aca="false">AUX_MATRIZES!AX144</f>
        <v>0.608</v>
      </c>
      <c r="AY63" s="18" t="n">
        <f aca="false">AUX_MATRIZES!AY144</f>
        <v>0.896</v>
      </c>
      <c r="AZ63" s="18" t="n">
        <f aca="false">AUX_MATRIZES!AZ144</f>
        <v>0.896</v>
      </c>
      <c r="BA63" s="18" t="n">
        <f aca="false">AUX_MATRIZES!BA144</f>
        <v>0.896</v>
      </c>
      <c r="BB63" s="18" t="n">
        <f aca="false">AUX_MATRIZES!BB144</f>
        <v>0.896</v>
      </c>
      <c r="BC63" s="18" t="n">
        <f aca="false">AUX_MATRIZES!BC144</f>
        <v>4.256</v>
      </c>
      <c r="BD63" s="18" t="n">
        <f aca="false">AUX_MATRIZES!BD144</f>
        <v>5.6</v>
      </c>
      <c r="BE63" s="18" t="n">
        <f aca="false">AUX_MATRIZES!BE144</f>
        <v>5.6</v>
      </c>
      <c r="BF63" s="18" t="n">
        <f aca="false">AUX_MATRIZES!BF144</f>
        <v>5.6</v>
      </c>
      <c r="BG63" s="18" t="n">
        <f aca="false">AUX_MATRIZES!BG144</f>
        <v>12.488</v>
      </c>
      <c r="BH63" s="18" t="n">
        <f aca="false">AUX_MATRIZES!BH144</f>
        <v>21.672</v>
      </c>
      <c r="BI63" s="18" t="n">
        <f aca="false">AUX_MATRIZES!BI144</f>
        <v>21.672</v>
      </c>
      <c r="BJ63" s="18" t="n">
        <f aca="false">AUX_MATRIZES!BJ144</f>
        <v>21.672</v>
      </c>
      <c r="BK63" s="18" t="n">
        <f aca="false">AUX_MATRIZES!BK144</f>
        <v>21.672</v>
      </c>
      <c r="BL63" s="18" t="n">
        <f aca="false">AUX_MATRIZES!BL144</f>
        <v>37.352</v>
      </c>
      <c r="BM63" s="18" t="n">
        <f aca="false">AUX_MATRIZES!BM144</f>
        <v>37.352</v>
      </c>
      <c r="BN63" s="18" t="n">
        <f aca="false">AUX_MATRIZES!BN144</f>
        <v>37.352</v>
      </c>
      <c r="BO63" s="18" t="n">
        <f aca="false">AUX_MATRIZES!BO144</f>
        <v>37.352</v>
      </c>
      <c r="BP63" s="18" t="n">
        <f aca="false">AUX_MATRIZES!BP144</f>
        <v>38.432</v>
      </c>
    </row>
    <row r="64" customFormat="false" ht="15" hidden="false" customHeight="false" outlineLevel="0" collapsed="false">
      <c r="B64" s="15" t="s">
        <v>196</v>
      </c>
      <c r="C64" s="18" t="n">
        <f aca="false">AUX_MATRIZES!C145</f>
        <v>30.6489776097569</v>
      </c>
      <c r="D64" s="18" t="n">
        <f aca="false">AUX_MATRIZES!D145</f>
        <v>31.2716444192239</v>
      </c>
      <c r="E64" s="18" t="n">
        <f aca="false">AUX_MATRIZES!E145</f>
        <v>33.9146497817055</v>
      </c>
      <c r="F64" s="18" t="n">
        <f aca="false">AUX_MATRIZES!F145</f>
        <v>35.4811399389727</v>
      </c>
      <c r="G64" s="18" t="n">
        <f aca="false">AUX_MATRIZES!G145</f>
        <v>12.6529027850762</v>
      </c>
      <c r="H64" s="18" t="n">
        <f aca="false">AUX_MATRIZES!H145</f>
        <v>8.51112173847231</v>
      </c>
      <c r="I64" s="18" t="n">
        <f aca="false">AUX_MATRIZES!I145</f>
        <v>3.91624772035768</v>
      </c>
      <c r="J64" s="18" t="n">
        <f aca="false">AUX_MATRIZES!J145</f>
        <v>3.85393410292207</v>
      </c>
      <c r="K64" s="18" t="n">
        <f aca="false">AUX_MATRIZES!K145</f>
        <v>4.02133926694301</v>
      </c>
      <c r="L64" s="18" t="n">
        <f aca="false">AUX_MATRIZES!L145</f>
        <v>0</v>
      </c>
      <c r="M64" s="18" t="n">
        <f aca="false">AUX_MATRIZES!M145</f>
        <v>0.622922609917473</v>
      </c>
      <c r="N64" s="18" t="n">
        <f aca="false">AUX_MATRIZES!N145</f>
        <v>0.592994689067786</v>
      </c>
      <c r="O64" s="18" t="n">
        <f aca="false">AUX_MATRIZES!O145</f>
        <v>1.03333070753269</v>
      </c>
      <c r="P64" s="18" t="n">
        <f aca="false">AUX_MATRIZES!P145</f>
        <v>0</v>
      </c>
      <c r="Q64" s="18" t="n">
        <f aca="false">AUX_MATRIZES!Q145</f>
        <v>0</v>
      </c>
      <c r="R64" s="18" t="n">
        <f aca="false">AUX_MATRIZES!R145</f>
        <v>0</v>
      </c>
      <c r="S64" s="18" t="n">
        <f aca="false">AUX_MATRIZES!S145</f>
        <v>0</v>
      </c>
      <c r="T64" s="18" t="n">
        <f aca="false">AUX_MATRIZES!T145</f>
        <v>0.158751400557157</v>
      </c>
      <c r="U64" s="18" t="n">
        <f aca="false">AUX_MATRIZES!U145</f>
        <v>0.721626694473409</v>
      </c>
      <c r="V64" s="18" t="n">
        <f aca="false">AUX_MATRIZES!V145</f>
        <v>0.730477706768187</v>
      </c>
      <c r="W64" s="18" t="n">
        <f aca="false">AUX_MATRIZES!W145</f>
        <v>0.208753435912149</v>
      </c>
      <c r="X64" s="18" t="n">
        <f aca="false">AUX_MATRIZES!X145</f>
        <v>0</v>
      </c>
      <c r="Y64" s="18" t="n">
        <f aca="false">AUX_MATRIZES!Y145</f>
        <v>0.180152368499838</v>
      </c>
      <c r="Z64" s="18" t="n">
        <f aca="false">AUX_MATRIZES!Z145</f>
        <v>0.821422233997069</v>
      </c>
      <c r="AA64" s="18" t="n">
        <f aca="false">AUX_MATRIZES!AA145</f>
        <v>2.24345004819951</v>
      </c>
      <c r="AB64" s="18" t="n">
        <f aca="false">AUX_MATRIZES!AB145</f>
        <v>2.73404112631109</v>
      </c>
      <c r="AC64" s="18" t="n">
        <f aca="false">AUX_MATRIZES!AC145</f>
        <v>3.66289727732209</v>
      </c>
      <c r="AD64" s="18" t="n">
        <f aca="false">AUX_MATRIZES!AD145</f>
        <v>3.84386060459171</v>
      </c>
      <c r="AE64" s="18" t="n">
        <f aca="false">AUX_MATRIZES!AE145</f>
        <v>3.96986419500936</v>
      </c>
      <c r="AF64" s="18" t="n">
        <f aca="false">AUX_MATRIZES!AF145</f>
        <v>4.06757698686317</v>
      </c>
      <c r="AG64" s="18" t="n">
        <f aca="false">AUX_MATRIZES!AG145</f>
        <v>10.9841502829825</v>
      </c>
      <c r="AH64" s="18" t="n">
        <f aca="false">AUX_MATRIZES!AH145</f>
        <v>19.0548323160611</v>
      </c>
      <c r="AI64" s="18" t="n">
        <f aca="false">AUX_MATRIZES!AI145</f>
        <v>20.3219403566472</v>
      </c>
      <c r="AJ64" s="18" t="n">
        <f aca="false">AUX_MATRIZES!AJ145</f>
        <v>21.217391585524</v>
      </c>
      <c r="AK64" s="18" t="n">
        <f aca="false">AUX_MATRIZES!AK145</f>
        <v>23.8265294479032</v>
      </c>
      <c r="AL64" s="18" t="n">
        <f aca="false">AUX_MATRIZES!AL145</f>
        <v>28.8009108687761</v>
      </c>
      <c r="AM64" s="18" t="n">
        <f aca="false">AUX_MATRIZES!AM145</f>
        <v>26.8748851593248</v>
      </c>
      <c r="AN64" s="18" t="n">
        <f aca="false">AUX_MATRIZES!AN145</f>
        <v>25.8033720609747</v>
      </c>
      <c r="AO64" s="18" t="n">
        <f aca="false">AUX_MATRIZES!AO145</f>
        <v>24.9097656167956</v>
      </c>
      <c r="AP64" s="18" t="n">
        <f aca="false">AUX_MATRIZES!AP145</f>
        <v>23.0393413874529</v>
      </c>
      <c r="AQ64" s="18" t="n">
        <f aca="false">AUX_MATRIZES!AQ145</f>
        <v>21.6797252663257</v>
      </c>
      <c r="AR64" s="18" t="n">
        <f aca="false">AUX_MATRIZES!AR145</f>
        <v>22.2588631530946</v>
      </c>
      <c r="AS64" s="18" t="n">
        <f aca="false">AUX_MATRIZES!AS145</f>
        <v>20.7548602237614</v>
      </c>
      <c r="AT64" s="18" t="n">
        <f aca="false">AUX_MATRIZES!AT145</f>
        <v>20.6751308097404</v>
      </c>
      <c r="AU64" s="18" t="n">
        <f aca="false">AUX_MATRIZES!AU145</f>
        <v>20.6921437809062</v>
      </c>
      <c r="AV64" s="18" t="n">
        <f aca="false">AUX_MATRIZES!AV145</f>
        <v>20.561472980722</v>
      </c>
      <c r="AW64" s="18" t="n">
        <f aca="false">AUX_MATRIZES!AW145</f>
        <v>20.4682318378937</v>
      </c>
      <c r="AX64" s="18" t="n">
        <f aca="false">AUX_MATRIZES!AX145</f>
        <v>21.6139511504011</v>
      </c>
      <c r="AY64" s="18" t="n">
        <f aca="false">AUX_MATRIZES!AY145</f>
        <v>27.3561003260793</v>
      </c>
      <c r="AZ64" s="18" t="n">
        <f aca="false">AUX_MATRIZES!AZ145</f>
        <v>29.5730906611164</v>
      </c>
      <c r="BA64" s="18" t="n">
        <f aca="false">AUX_MATRIZES!BA145</f>
        <v>34.5091972377535</v>
      </c>
      <c r="BB64" s="18" t="n">
        <f aca="false">AUX_MATRIZES!BB145</f>
        <v>39.3292149128654</v>
      </c>
      <c r="BC64" s="18" t="n">
        <f aca="false">AUX_MATRIZES!BC145</f>
        <v>41.2813920252586</v>
      </c>
      <c r="BD64" s="18" t="n">
        <f aca="false">AUX_MATRIZES!BD145</f>
        <v>41.9009175094979</v>
      </c>
      <c r="BE64" s="18" t="n">
        <f aca="false">AUX_MATRIZES!BE145</f>
        <v>41.4897164545083</v>
      </c>
      <c r="BF64" s="18" t="n">
        <f aca="false">AUX_MATRIZES!BF145</f>
        <v>40.5138345316119</v>
      </c>
      <c r="BG64" s="18" t="n">
        <f aca="false">AUX_MATRIZES!BG145</f>
        <v>31.5351277235283</v>
      </c>
      <c r="BH64" s="18" t="n">
        <f aca="false">AUX_MATRIZES!BH145</f>
        <v>19.715985880582</v>
      </c>
      <c r="BI64" s="18" t="n">
        <f aca="false">AUX_MATRIZES!BI145</f>
        <v>17.4866104430038</v>
      </c>
      <c r="BJ64" s="18" t="n">
        <f aca="false">AUX_MATRIZES!BJ145</f>
        <v>16.2782380133448</v>
      </c>
      <c r="BK64" s="18" t="n">
        <f aca="false">AUX_MATRIZES!BK145</f>
        <v>16.8262992266573</v>
      </c>
      <c r="BL64" s="18" t="n">
        <f aca="false">AUX_MATRIZES!BL145</f>
        <v>0.119155098475223</v>
      </c>
      <c r="BM64" s="18" t="n">
        <f aca="false">AUX_MATRIZES!BM145</f>
        <v>0</v>
      </c>
      <c r="BN64" s="18" t="n">
        <f aca="false">AUX_MATRIZES!BN145</f>
        <v>0</v>
      </c>
      <c r="BO64" s="18" t="n">
        <f aca="false">AUX_MATRIZES!BO145</f>
        <v>0</v>
      </c>
      <c r="BP64" s="18" t="n">
        <f aca="false">AUX_MATRIZES!BP145</f>
        <v>0</v>
      </c>
    </row>
    <row r="65" customFormat="false" ht="15" hidden="false" customHeight="false" outlineLevel="0" collapsed="false">
      <c r="B65" s="15" t="s">
        <v>197</v>
      </c>
      <c r="C65" s="18" t="n">
        <f aca="false">AUX_MATRIZES!C146</f>
        <v>36.0576207173611</v>
      </c>
      <c r="D65" s="18" t="n">
        <f aca="false">AUX_MATRIZES!D146</f>
        <v>36.7901699049693</v>
      </c>
      <c r="E65" s="18" t="n">
        <f aca="false">AUX_MATRIZES!E146</f>
        <v>39.8995879784771</v>
      </c>
      <c r="F65" s="18" t="n">
        <f aca="false">AUX_MATRIZES!F146</f>
        <v>41.742517575262</v>
      </c>
      <c r="G65" s="18" t="n">
        <f aca="false">AUX_MATRIZES!G146</f>
        <v>14.8857679824426</v>
      </c>
      <c r="H65" s="18" t="n">
        <f aca="false">AUX_MATRIZES!H146</f>
        <v>10.0130843982027</v>
      </c>
      <c r="I65" s="18" t="n">
        <f aca="false">AUX_MATRIZES!I146</f>
        <v>4.60735025924433</v>
      </c>
      <c r="J65" s="18" t="n">
        <f aca="false">AUX_MATRIZES!J146</f>
        <v>4.53404012108479</v>
      </c>
      <c r="K65" s="18" t="n">
        <f aca="false">AUX_MATRIZES!K146</f>
        <v>4.73098737287413</v>
      </c>
      <c r="L65" s="18" t="n">
        <f aca="false">AUX_MATRIZES!L146</f>
        <v>0</v>
      </c>
      <c r="M65" s="18" t="n">
        <f aca="false">AUX_MATRIZES!M146</f>
        <v>0.732850129314674</v>
      </c>
      <c r="N65" s="18" t="n">
        <f aca="false">AUX_MATRIZES!N146</f>
        <v>0.697640810667983</v>
      </c>
      <c r="O65" s="18" t="n">
        <f aca="false">AUX_MATRIZES!O146</f>
        <v>1.21568318533258</v>
      </c>
      <c r="P65" s="18" t="n">
        <f aca="false">AUX_MATRIZES!P146</f>
        <v>0</v>
      </c>
      <c r="Q65" s="18" t="n">
        <f aca="false">AUX_MATRIZES!Q146</f>
        <v>0</v>
      </c>
      <c r="R65" s="18" t="n">
        <f aca="false">AUX_MATRIZES!R146</f>
        <v>0</v>
      </c>
      <c r="S65" s="18" t="n">
        <f aca="false">AUX_MATRIZES!S146</f>
        <v>0</v>
      </c>
      <c r="T65" s="18" t="n">
        <f aca="false">AUX_MATRIZES!T146</f>
        <v>0.186766353596655</v>
      </c>
      <c r="U65" s="18" t="n">
        <f aca="false">AUX_MATRIZES!U146</f>
        <v>0.848972581733422</v>
      </c>
      <c r="V65" s="18" t="n">
        <f aca="false">AUX_MATRIZES!V146</f>
        <v>0.859385537374338</v>
      </c>
      <c r="W65" s="18" t="n">
        <f aca="false">AUX_MATRIZES!W146</f>
        <v>0.245592277543704</v>
      </c>
      <c r="X65" s="18" t="n">
        <f aca="false">AUX_MATRIZES!X146</f>
        <v>0</v>
      </c>
      <c r="Y65" s="18" t="n">
        <f aca="false">AUX_MATRIZES!Y146</f>
        <v>0.211943962940986</v>
      </c>
      <c r="Z65" s="18" t="n">
        <f aca="false">AUX_MATRIZES!Z146</f>
        <v>0.966379098820081</v>
      </c>
      <c r="AA65" s="18" t="n">
        <f aca="false">AUX_MATRIZES!AA146</f>
        <v>2.63935299788178</v>
      </c>
      <c r="AB65" s="18" t="n">
        <f aca="false">AUX_MATRIZES!AB146</f>
        <v>3.2165189721307</v>
      </c>
      <c r="AC65" s="18" t="n">
        <f aca="false">AUX_MATRIZES!AC146</f>
        <v>4.30929091449658</v>
      </c>
      <c r="AD65" s="18" t="n">
        <f aca="false">AUX_MATRIZES!AD146</f>
        <v>4.52218894657849</v>
      </c>
      <c r="AE65" s="18" t="n">
        <f aca="false">AUX_MATRIZES!AE146</f>
        <v>4.67042846471689</v>
      </c>
      <c r="AF65" s="18" t="n">
        <f aca="false">AUX_MATRIZES!AF146</f>
        <v>4.78538469042726</v>
      </c>
      <c r="AG65" s="18" t="n">
        <f aca="false">AUX_MATRIZES!AG146</f>
        <v>12.9225297446853</v>
      </c>
      <c r="AH65" s="18" t="n">
        <f aca="false">AUX_MATRIZES!AH146</f>
        <v>22.4174497836013</v>
      </c>
      <c r="AI65" s="18" t="n">
        <f aca="false">AUX_MATRIZES!AI146</f>
        <v>23.9081651254673</v>
      </c>
      <c r="AJ65" s="18" t="n">
        <f aca="false">AUX_MATRIZES!AJ146</f>
        <v>24.96163715944</v>
      </c>
      <c r="AK65" s="18" t="n">
        <f aca="false">AUX_MATRIZES!AK146</f>
        <v>28.0312111151802</v>
      </c>
      <c r="AL65" s="18" t="n">
        <f aca="false">AUX_MATRIZES!AL146</f>
        <v>33.8834245515013</v>
      </c>
      <c r="AM65" s="18" t="n">
        <f aca="false">AUX_MATRIZES!AM146</f>
        <v>31.6175119521469</v>
      </c>
      <c r="AN65" s="18" t="n">
        <f aca="false">AUX_MATRIZES!AN146</f>
        <v>30.3569083070291</v>
      </c>
      <c r="AO65" s="18" t="n">
        <f aca="false">AUX_MATRIZES!AO146</f>
        <v>29.3056066079948</v>
      </c>
      <c r="AP65" s="18" t="n">
        <f aca="false">AUX_MATRIZES!AP146</f>
        <v>27.1051075146505</v>
      </c>
      <c r="AQ65" s="18" t="n">
        <f aca="false">AUX_MATRIZES!AQ146</f>
        <v>25.5055591368538</v>
      </c>
      <c r="AR65" s="18" t="n">
        <f aca="false">AUX_MATRIZES!AR146</f>
        <v>26.1868978271701</v>
      </c>
      <c r="AS65" s="18" t="n">
        <f aca="false">AUX_MATRIZES!AS146</f>
        <v>24.4174826161899</v>
      </c>
      <c r="AT65" s="18" t="n">
        <f aca="false">AUX_MATRIZES!AT146</f>
        <v>24.3236833055769</v>
      </c>
      <c r="AU65" s="18" t="n">
        <f aca="false">AUX_MATRIZES!AU146</f>
        <v>24.343698565772</v>
      </c>
      <c r="AV65" s="18" t="n">
        <f aca="false">AUX_MATRIZES!AV146</f>
        <v>24.1899682126141</v>
      </c>
      <c r="AW65" s="18" t="n">
        <f aca="false">AUX_MATRIZES!AW146</f>
        <v>24.0802727504632</v>
      </c>
      <c r="AX65" s="18" t="n">
        <f aca="false">AUX_MATRIZES!AX146</f>
        <v>25.4281778240013</v>
      </c>
      <c r="AY65" s="18" t="n">
        <f aca="false">AUX_MATRIZES!AY146</f>
        <v>32.1836474424462</v>
      </c>
      <c r="AZ65" s="18" t="n">
        <f aca="false">AUX_MATRIZES!AZ146</f>
        <v>34.7918713660193</v>
      </c>
      <c r="BA65" s="18" t="n">
        <f aca="false">AUX_MATRIZES!BA146</f>
        <v>40.5990555738276</v>
      </c>
      <c r="BB65" s="18" t="n">
        <f aca="false">AUX_MATRIZES!BB146</f>
        <v>46.269664603371</v>
      </c>
      <c r="BC65" s="18" t="n">
        <f aca="false">AUX_MATRIZES!BC146</f>
        <v>48.5663435591277</v>
      </c>
      <c r="BD65" s="18" t="n">
        <f aca="false">AUX_MATRIZES!BD146</f>
        <v>49.2951970699976</v>
      </c>
      <c r="BE65" s="18" t="n">
        <f aca="false">AUX_MATRIZES!BE146</f>
        <v>48.8114311229509</v>
      </c>
      <c r="BF65" s="18" t="n">
        <f aca="false">AUX_MATRIZES!BF146</f>
        <v>47.6633347430728</v>
      </c>
      <c r="BG65" s="18" t="n">
        <f aca="false">AUX_MATRIZES!BG146</f>
        <v>37.1001502629745</v>
      </c>
      <c r="BH65" s="18" t="n">
        <f aca="false">AUX_MATRIZES!BH146</f>
        <v>23.1952775065671</v>
      </c>
      <c r="BI65" s="18" t="n">
        <f aca="false">AUX_MATRIZES!BI146</f>
        <v>20.5724828741221</v>
      </c>
      <c r="BJ65" s="18" t="n">
        <f aca="false">AUX_MATRIZES!BJ146</f>
        <v>19.1508682509939</v>
      </c>
      <c r="BK65" s="18" t="n">
        <f aca="false">AUX_MATRIZES!BK146</f>
        <v>19.7956461490086</v>
      </c>
      <c r="BL65" s="18" t="n">
        <f aca="false">AUX_MATRIZES!BL146</f>
        <v>0.14018246879438</v>
      </c>
      <c r="BM65" s="18" t="n">
        <f aca="false">AUX_MATRIZES!BM146</f>
        <v>0</v>
      </c>
      <c r="BN65" s="18" t="n">
        <f aca="false">AUX_MATRIZES!BN146</f>
        <v>0</v>
      </c>
      <c r="BO65" s="18" t="n">
        <f aca="false">AUX_MATRIZES!BO146</f>
        <v>0</v>
      </c>
      <c r="BP65" s="18" t="n">
        <f aca="false">AUX_MATRIZES!BP146</f>
        <v>0</v>
      </c>
    </row>
    <row r="66" customFormat="false" ht="15" hidden="false" customHeight="false" outlineLevel="0" collapsed="false">
      <c r="B66" s="15" t="s">
        <v>198</v>
      </c>
      <c r="C66" s="16" t="n">
        <f aca="false">(AUX_MATRIZES!C144+AUX_MATRIZES!C145)*AUX_MATRIZES!C141*MM_PARA_M3_HA</f>
        <v>479894.29328025</v>
      </c>
      <c r="D66" s="16" t="n">
        <f aca="false">(AUX_MATRIZES!D144+AUX_MATRIZES!D145)*AUX_MATRIZES!D141*MM_PARA_M3_HA</f>
        <v>404983.393642987</v>
      </c>
      <c r="E66" s="16" t="n">
        <f aca="false">(AUX_MATRIZES!E144+AUX_MATRIZES!E145)*AUX_MATRIZES!E141*MM_PARA_M3_HA</f>
        <v>315670.682711111</v>
      </c>
      <c r="F66" s="16" t="n">
        <f aca="false">(AUX_MATRIZES!F144+AUX_MATRIZES!F145)*AUX_MATRIZES!F141*MM_PARA_M3_HA</f>
        <v>266571.40895</v>
      </c>
      <c r="G66" s="16" t="n">
        <f aca="false">(AUX_MATRIZES!G144+AUX_MATRIZES!G145)*AUX_MATRIZES!G141*MM_PARA_M3_HA</f>
        <v>344602.0116</v>
      </c>
      <c r="H66" s="16" t="n">
        <f aca="false">(AUX_MATRIZES!H144+AUX_MATRIZES!H145)*AUX_MATRIZES!H141*MM_PARA_M3_HA</f>
        <v>319041.6334</v>
      </c>
      <c r="I66" s="16" t="n">
        <f aca="false">(AUX_MATRIZES!I144+AUX_MATRIZES!I145)*AUX_MATRIZES!I141*MM_PARA_M3_HA</f>
        <v>550851.0028</v>
      </c>
      <c r="J66" s="16" t="n">
        <f aca="false">(AUX_MATRIZES!J144+AUX_MATRIZES!J145)*AUX_MATRIZES!J141*MM_PARA_M3_HA</f>
        <v>549509.546400655</v>
      </c>
      <c r="K66" s="16" t="n">
        <f aca="false">(AUX_MATRIZES!K144+AUX_MATRIZES!K145)*AUX_MATRIZES!K141*MM_PARA_M3_HA</f>
        <v>601334.961069116</v>
      </c>
      <c r="L66" s="16" t="n">
        <f aca="false">(AUX_MATRIZES!L144+AUX_MATRIZES!L145)*AUX_MATRIZES!L141*MM_PARA_M3_HA</f>
        <v>748089.5912</v>
      </c>
      <c r="M66" s="16" t="n">
        <f aca="false">(AUX_MATRIZES!M144+AUX_MATRIZES!M145)*AUX_MATRIZES!M141*MM_PARA_M3_HA</f>
        <v>760565.547523688</v>
      </c>
      <c r="N66" s="16" t="n">
        <f aca="false">(AUX_MATRIZES!N144+AUX_MATRIZES!N145)*AUX_MATRIZES!N141*MM_PARA_M3_HA</f>
        <v>813066.3737</v>
      </c>
      <c r="O66" s="16" t="n">
        <f aca="false">(AUX_MATRIZES!O144+AUX_MATRIZES!O145)*AUX_MATRIZES!O141*MM_PARA_M3_HA</f>
        <v>745761.720585157</v>
      </c>
      <c r="P66" s="16" t="n">
        <f aca="false">(AUX_MATRIZES!P144+AUX_MATRIZES!P145)*AUX_MATRIZES!P141*MM_PARA_M3_HA</f>
        <v>1271511.4704</v>
      </c>
      <c r="Q66" s="16" t="n">
        <f aca="false">(AUX_MATRIZES!Q144+AUX_MATRIZES!Q145)*AUX_MATRIZES!Q141*MM_PARA_M3_HA</f>
        <v>1278613.9408</v>
      </c>
      <c r="R66" s="16" t="n">
        <f aca="false">(AUX_MATRIZES!R144+AUX_MATRIZES!R145)*AUX_MATRIZES!R141*MM_PARA_M3_HA</f>
        <v>1371891.4272</v>
      </c>
      <c r="S66" s="16" t="n">
        <f aca="false">(AUX_MATRIZES!S144+AUX_MATRIZES!S145)*AUX_MATRIZES!S141*MM_PARA_M3_HA</f>
        <v>1430164.1088</v>
      </c>
      <c r="T66" s="16" t="n">
        <f aca="false">(AUX_MATRIZES!T144+AUX_MATRIZES!T145)*AUX_MATRIZES!T141*MM_PARA_M3_HA</f>
        <v>1392730.17413938</v>
      </c>
      <c r="U66" s="16" t="n">
        <f aca="false">(AUX_MATRIZES!U144+AUX_MATRIZES!U145)*AUX_MATRIZES!U141*MM_PARA_M3_HA</f>
        <v>1409711.688</v>
      </c>
      <c r="V66" s="16" t="n">
        <f aca="false">(AUX_MATRIZES!V144+AUX_MATRIZES!V145)*AUX_MATRIZES!V141*MM_PARA_M3_HA</f>
        <v>1386967.22478403</v>
      </c>
      <c r="W66" s="16" t="n">
        <f aca="false">(AUX_MATRIZES!W144+AUX_MATRIZES!W145)*AUX_MATRIZES!W141*MM_PARA_M3_HA</f>
        <v>1258635.09291458</v>
      </c>
      <c r="X66" s="16" t="n">
        <f aca="false">(AUX_MATRIZES!X144+AUX_MATRIZES!X145)*AUX_MATRIZES!X141*MM_PARA_M3_HA</f>
        <v>1161276.06</v>
      </c>
      <c r="Y66" s="16" t="n">
        <f aca="false">(AUX_MATRIZES!Y144+AUX_MATRIZES!Y145)*AUX_MATRIZES!Y141*MM_PARA_M3_HA</f>
        <v>1052593.0604</v>
      </c>
      <c r="Z66" s="16" t="n">
        <f aca="false">(AUX_MATRIZES!Z144+AUX_MATRIZES!Z145)*AUX_MATRIZES!Z141*MM_PARA_M3_HA</f>
        <v>1204360.70133905</v>
      </c>
      <c r="AA66" s="16" t="n">
        <f aca="false">(AUX_MATRIZES!AA144+AUX_MATRIZES!AA145)*AUX_MATRIZES!AA141*MM_PARA_M3_HA</f>
        <v>1256579.26910994</v>
      </c>
      <c r="AB66" s="16" t="n">
        <f aca="false">(AUX_MATRIZES!AB144+AUX_MATRIZES!AB145)*AUX_MATRIZES!AB141*MM_PARA_M3_HA</f>
        <v>1274594.3622075</v>
      </c>
      <c r="AC66" s="16" t="n">
        <f aca="false">(AUX_MATRIZES!AC144+AUX_MATRIZES!AC145)*AUX_MATRIZES!AC141*MM_PARA_M3_HA</f>
        <v>1228503.9739</v>
      </c>
      <c r="AD66" s="16" t="n">
        <f aca="false">(AUX_MATRIZES!AD144+AUX_MATRIZES!AD145)*AUX_MATRIZES!AD141*MM_PARA_M3_HA</f>
        <v>1235149.16443333</v>
      </c>
      <c r="AE66" s="16" t="n">
        <f aca="false">(AUX_MATRIZES!AE144+AUX_MATRIZES!AE145)*AUX_MATRIZES!AE141*MM_PARA_M3_HA</f>
        <v>1239776.16747778</v>
      </c>
      <c r="AF66" s="16" t="n">
        <f aca="false">(AUX_MATRIZES!AF144+AUX_MATRIZES!AF145)*AUX_MATRIZES!AF141*MM_PARA_M3_HA</f>
        <v>1243364.29845</v>
      </c>
      <c r="AG66" s="16" t="n">
        <f aca="false">(AUX_MATRIZES!AG144+AUX_MATRIZES!AG145)*AUX_MATRIZES!AG141*MM_PARA_M3_HA</f>
        <v>1146000.72817146</v>
      </c>
      <c r="AH66" s="16" t="n">
        <f aca="false">(AUX_MATRIZES!AH144+AUX_MATRIZES!AH145)*AUX_MATRIZES!AH141*MM_PARA_M3_HA</f>
        <v>1178854.52604454</v>
      </c>
      <c r="AI66" s="16" t="n">
        <f aca="false">(AUX_MATRIZES!AI144+AUX_MATRIZES!AI145)*AUX_MATRIZES!AI141*MM_PARA_M3_HA</f>
        <v>1225384.25382451</v>
      </c>
      <c r="AJ66" s="16" t="n">
        <f aca="false">(AUX_MATRIZES!AJ144+AUX_MATRIZES!AJ145)*AUX_MATRIZES!AJ141*MM_PARA_M3_HA</f>
        <v>1258266.29749034</v>
      </c>
      <c r="AK66" s="16" t="n">
        <f aca="false">(AUX_MATRIZES!AK144+AUX_MATRIZES!AK145)*AUX_MATRIZES!AK141*MM_PARA_M3_HA</f>
        <v>1197922.22625295</v>
      </c>
      <c r="AL66" s="16" t="n">
        <f aca="false">(AUX_MATRIZES!AL144+AUX_MATRIZES!AL145)*AUX_MATRIZES!AL141*MM_PARA_M3_HA</f>
        <v>1112245.01192474</v>
      </c>
      <c r="AM66" s="16" t="n">
        <f aca="false">(AUX_MATRIZES!AM144+AUX_MATRIZES!AM145)*AUX_MATRIZES!AM141*MM_PARA_M3_HA</f>
        <v>1085584.6185126</v>
      </c>
      <c r="AN66" s="16" t="n">
        <f aca="false">(AUX_MATRIZES!AN144+AUX_MATRIZES!AN145)*AUX_MATRIZES!AN141*MM_PARA_M3_HA</f>
        <v>1046237.37172546</v>
      </c>
      <c r="AO66" s="16" t="n">
        <f aca="false">(AUX_MATRIZES!AO144+AUX_MATRIZES!AO145)*AUX_MATRIZES!AO141*MM_PARA_M3_HA</f>
        <v>974802.757563329</v>
      </c>
      <c r="AP66" s="16" t="n">
        <f aca="false">(AUX_MATRIZES!AP144+AUX_MATRIZES!AP145)*AUX_MATRIZES!AP141*MM_PARA_M3_HA</f>
        <v>890107.398693492</v>
      </c>
      <c r="AQ66" s="16" t="n">
        <f aca="false">(AUX_MATRIZES!AQ144+AUX_MATRIZES!AQ145)*AUX_MATRIZES!AQ141*MM_PARA_M3_HA</f>
        <v>865016.224094341</v>
      </c>
      <c r="AR66" s="16" t="n">
        <f aca="false">(AUX_MATRIZES!AR144+AUX_MATRIZES!AR145)*AUX_MATRIZES!AR141*MM_PARA_M3_HA</f>
        <v>656472.842558974</v>
      </c>
      <c r="AS66" s="16" t="n">
        <f aca="false">(AUX_MATRIZES!AS144+AUX_MATRIZES!AS145)*AUX_MATRIZES!AS141*MM_PARA_M3_HA</f>
        <v>613987.22417318</v>
      </c>
      <c r="AT66" s="16" t="n">
        <f aca="false">(AUX_MATRIZES!AT144+AUX_MATRIZES!AT145)*AUX_MATRIZES!AT141*MM_PARA_M3_HA</f>
        <v>561669.519961531</v>
      </c>
      <c r="AU66" s="16" t="n">
        <f aca="false">(AUX_MATRIZES!AU144+AUX_MATRIZES!AU145)*AUX_MATRIZES!AU141*MM_PARA_M3_HA</f>
        <v>578950.900879446</v>
      </c>
      <c r="AV66" s="16" t="n">
        <f aca="false">(AUX_MATRIZES!AV144+AUX_MATRIZES!AV145)*AUX_MATRIZES!AV141*MM_PARA_M3_HA</f>
        <v>575391.166940828</v>
      </c>
      <c r="AW66" s="16" t="n">
        <f aca="false">(AUX_MATRIZES!AW144+AUX_MATRIZES!AW145)*AUX_MATRIZES!AW141*MM_PARA_M3_HA</f>
        <v>572851.0917279</v>
      </c>
      <c r="AX66" s="16" t="n">
        <f aca="false">(AUX_MATRIZES!AX144+AUX_MATRIZES!AX145)*AUX_MATRIZES!AX141*MM_PARA_M3_HA</f>
        <v>572050.799684317</v>
      </c>
      <c r="AY66" s="16" t="n">
        <f aca="false">(AUX_MATRIZES!AY144+AUX_MATRIZES!AY145)*AUX_MATRIZES!AY141*MM_PARA_M3_HA</f>
        <v>628123.296129655</v>
      </c>
      <c r="AZ66" s="16" t="n">
        <f aca="false">(AUX_MATRIZES!AZ144+AUX_MATRIZES!AZ145)*AUX_MATRIZES!AZ141*MM_PARA_M3_HA</f>
        <v>616791.896071111</v>
      </c>
      <c r="BA66" s="16" t="n">
        <f aca="false">(AUX_MATRIZES!BA144+AUX_MATRIZES!BA145)*AUX_MATRIZES!BA141*MM_PARA_M3_HA</f>
        <v>537847.432278161</v>
      </c>
      <c r="BB66" s="16" t="n">
        <f aca="false">(AUX_MATRIZES!BB144+AUX_MATRIZES!BB145)*AUX_MATRIZES!BB141*MM_PARA_M3_HA</f>
        <v>531511.854729655</v>
      </c>
      <c r="BC66" s="16" t="n">
        <f aca="false">(AUX_MATRIZES!BC144+AUX_MATRIZES!BC145)*AUX_MATRIZES!BC141*MM_PARA_M3_HA</f>
        <v>601703.775786552</v>
      </c>
      <c r="BD66" s="16" t="n">
        <f aca="false">(AUX_MATRIZES!BD144+AUX_MATRIZES!BD145)*AUX_MATRIZES!BD141*MM_PARA_M3_HA</f>
        <v>627648.62342</v>
      </c>
      <c r="BE66" s="16" t="n">
        <f aca="false">(AUX_MATRIZES!BE144+AUX_MATRIZES!BE145)*AUX_MATRIZES!BE141*MM_PARA_M3_HA</f>
        <v>622215.2594</v>
      </c>
      <c r="BF66" s="16" t="n">
        <f aca="false">(AUX_MATRIZES!BF144+AUX_MATRIZES!BF145)*AUX_MATRIZES!BF141*MM_PARA_M3_HA</f>
        <v>609320.5412</v>
      </c>
      <c r="BG66" s="16" t="n">
        <f aca="false">(AUX_MATRIZES!BG144+AUX_MATRIZES!BG145)*AUX_MATRIZES!BG141*MM_PARA_M3_HA</f>
        <v>581695.195862069</v>
      </c>
      <c r="BH66" s="16" t="n">
        <f aca="false">(AUX_MATRIZES!BH144+AUX_MATRIZES!BH145)*AUX_MATRIZES!BH141*MM_PARA_M3_HA</f>
        <v>546876.012634483</v>
      </c>
      <c r="BI66" s="16" t="n">
        <f aca="false">(AUX_MATRIZES!BI144+AUX_MATRIZES!BI145)*AUX_MATRIZES!BI141*MM_PARA_M3_HA</f>
        <v>517418.383227586</v>
      </c>
      <c r="BJ66" s="16" t="n">
        <f aca="false">(AUX_MATRIZES!BJ144+AUX_MATRIZES!BJ145)*AUX_MATRIZES!BJ141*MM_PARA_M3_HA</f>
        <v>448344.111889655</v>
      </c>
      <c r="BK66" s="16" t="n">
        <f aca="false">(AUX_MATRIZES!BK144+AUX_MATRIZES!BK145)*AUX_MATRIZES!BK141*MM_PARA_M3_HA</f>
        <v>339339.408703448</v>
      </c>
      <c r="BL66" s="16" t="n">
        <f aca="false">(AUX_MATRIZES!BL144+AUX_MATRIZES!BL145)*AUX_MATRIZES!BL141*MM_PARA_M3_HA</f>
        <v>330285.7495</v>
      </c>
      <c r="BM66" s="16" t="n">
        <f aca="false">(AUX_MATRIZES!BM144+AUX_MATRIZES!BM145)*AUX_MATRIZES!BM141*MM_PARA_M3_HA</f>
        <v>276965.08</v>
      </c>
      <c r="BN66" s="16" t="n">
        <f aca="false">(AUX_MATRIZES!BN144+AUX_MATRIZES!BN145)*AUX_MATRIZES!BN141*MM_PARA_M3_HA</f>
        <v>239807.3104</v>
      </c>
      <c r="BO66" s="16" t="n">
        <f aca="false">(AUX_MATRIZES!BO144+AUX_MATRIZES!BO145)*AUX_MATRIZES!BO141*MM_PARA_M3_HA</f>
        <v>109127.6032</v>
      </c>
      <c r="BP66" s="16" t="n">
        <f aca="false">(AUX_MATRIZES!BP144+AUX_MATRIZES!BP145)*AUX_MATRIZES!BP141*MM_PARA_M3_HA</f>
        <v>55983.8944</v>
      </c>
    </row>
    <row r="67" customFormat="false" ht="15" hidden="false" customHeight="false" outlineLevel="0" collapsed="false">
      <c r="B67" s="15" t="s">
        <v>199</v>
      </c>
      <c r="C67" s="16" t="n">
        <f aca="false">AUX_MATRIZES!C144*AUX_MATRIZES!C141*MM_PARA_M3_HA</f>
        <v>66473.2992</v>
      </c>
      <c r="D67" s="16" t="n">
        <f aca="false">AUX_MATRIZES!D144*AUX_MATRIZES!D141*MM_PARA_M3_HA</f>
        <v>61508.16</v>
      </c>
      <c r="E67" s="16" t="n">
        <f aca="false">AUX_MATRIZES!E144*AUX_MATRIZES!E141*MM_PARA_M3_HA</f>
        <v>44736.72</v>
      </c>
      <c r="F67" s="16" t="n">
        <f aca="false">AUX_MATRIZES!F144*AUX_MATRIZES!F141*MM_PARA_M3_HA</f>
        <v>36337.84</v>
      </c>
      <c r="G67" s="16" t="n">
        <f aca="false">AUX_MATRIZES!G144*AUX_MATRIZES!G141*MM_PARA_M3_HA</f>
        <v>185684.0832</v>
      </c>
      <c r="H67" s="16" t="n">
        <f aca="false">AUX_MATRIZES!H144*AUX_MATRIZES!H141*MM_PARA_M3_HA</f>
        <v>229077.3744</v>
      </c>
      <c r="I67" s="16" t="n">
        <f aca="false">AUX_MATRIZES!I144*AUX_MATRIZES!I141*MM_PARA_M3_HA</f>
        <v>466543.98</v>
      </c>
      <c r="J67" s="16" t="n">
        <f aca="false">AUX_MATRIZES!J144*AUX_MATRIZES!J141*MM_PARA_M3_HA</f>
        <v>466543.98</v>
      </c>
      <c r="K67" s="16" t="n">
        <f aca="false">AUX_MATRIZES!K144*AUX_MATRIZES!K141*MM_PARA_M3_HA</f>
        <v>514765.58</v>
      </c>
      <c r="L67" s="16" t="n">
        <f aca="false">AUX_MATRIZES!L144*AUX_MATRIZES!L141*MM_PARA_M3_HA</f>
        <v>748089.5912</v>
      </c>
      <c r="M67" s="16" t="n">
        <f aca="false">AUX_MATRIZES!M144*AUX_MATRIZES!M141*MM_PARA_M3_HA</f>
        <v>748089.5912</v>
      </c>
      <c r="N67" s="16" t="n">
        <f aca="false">AUX_MATRIZES!N144*AUX_MATRIZES!N141*MM_PARA_M3_HA</f>
        <v>800359.98</v>
      </c>
      <c r="O67" s="16" t="n">
        <f aca="false">AUX_MATRIZES!O144*AUX_MATRIZES!O141*MM_PARA_M3_HA</f>
        <v>725685.8616</v>
      </c>
      <c r="P67" s="16" t="n">
        <f aca="false">AUX_MATRIZES!P144*AUX_MATRIZES!P141*MM_PARA_M3_HA</f>
        <v>1271511.4704</v>
      </c>
      <c r="Q67" s="16" t="n">
        <f aca="false">AUX_MATRIZES!Q144*AUX_MATRIZES!Q141*MM_PARA_M3_HA</f>
        <v>1278613.9408</v>
      </c>
      <c r="R67" s="16" t="n">
        <f aca="false">AUX_MATRIZES!R144*AUX_MATRIZES!R141*MM_PARA_M3_HA</f>
        <v>1371891.4272</v>
      </c>
      <c r="S67" s="16" t="n">
        <f aca="false">AUX_MATRIZES!S144*AUX_MATRIZES!S141*MM_PARA_M3_HA</f>
        <v>1430164.1088</v>
      </c>
      <c r="T67" s="16" t="n">
        <f aca="false">AUX_MATRIZES!T144*AUX_MATRIZES!T141*MM_PARA_M3_HA</f>
        <v>1386888.2496</v>
      </c>
      <c r="U67" s="16" t="n">
        <f aca="false">AUX_MATRIZES!U144*AUX_MATRIZES!U141*MM_PARA_M3_HA</f>
        <v>1382099.292</v>
      </c>
      <c r="V67" s="16" t="n">
        <f aca="false">AUX_MATRIZES!V144*AUX_MATRIZES!V141*MM_PARA_M3_HA</f>
        <v>1359473.724</v>
      </c>
      <c r="W67" s="16" t="n">
        <f aca="false">AUX_MATRIZES!W144*AUX_MATRIZES!W141*MM_PARA_M3_HA</f>
        <v>1251402.684</v>
      </c>
      <c r="X67" s="16" t="n">
        <f aca="false">AUX_MATRIZES!X144*AUX_MATRIZES!X141*MM_PARA_M3_HA</f>
        <v>1161276.06</v>
      </c>
      <c r="Y67" s="16" t="n">
        <f aca="false">AUX_MATRIZES!Y144*AUX_MATRIZES!Y141*MM_PARA_M3_HA</f>
        <v>1046695.9888</v>
      </c>
      <c r="Z67" s="16" t="n">
        <f aca="false">AUX_MATRIZES!Z144*AUX_MATRIZES!Z141*MM_PARA_M3_HA</f>
        <v>1174197.0912</v>
      </c>
      <c r="AA67" s="16" t="n">
        <f aca="false">AUX_MATRIZES!AA144*AUX_MATRIZES!AA141*MM_PARA_M3_HA</f>
        <v>1174197.0912</v>
      </c>
      <c r="AB67" s="16" t="n">
        <f aca="false">AUX_MATRIZES!AB144*AUX_MATRIZES!AB141*MM_PARA_M3_HA</f>
        <v>1174197.0912</v>
      </c>
      <c r="AC67" s="16" t="n">
        <f aca="false">AUX_MATRIZES!AC144*AUX_MATRIZES!AC141*MM_PARA_M3_HA</f>
        <v>1093997.9904</v>
      </c>
      <c r="AD67" s="16" t="n">
        <f aca="false">AUX_MATRIZES!AD144*AUX_MATRIZES!AD141*MM_PARA_M3_HA</f>
        <v>1093997.9904</v>
      </c>
      <c r="AE67" s="16" t="n">
        <f aca="false">AUX_MATRIZES!AE144*AUX_MATRIZES!AE141*MM_PARA_M3_HA</f>
        <v>1093997.9904</v>
      </c>
      <c r="AF67" s="16" t="n">
        <f aca="false">AUX_MATRIZES!AF144*AUX_MATRIZES!AF141*MM_PARA_M3_HA</f>
        <v>1093997.9904</v>
      </c>
      <c r="AG67" s="16" t="n">
        <f aca="false">AUX_MATRIZES!AG144*AUX_MATRIZES!AG141*MM_PARA_M3_HA</f>
        <v>742649.5488</v>
      </c>
      <c r="AH67" s="16" t="n">
        <f aca="false">AUX_MATRIZES!AH144*AUX_MATRIZES!AH141*MM_PARA_M3_HA</f>
        <v>479138.2176</v>
      </c>
      <c r="AI67" s="16" t="n">
        <f aca="false">AUX_MATRIZES!AI144*AUX_MATRIZES!AI141*MM_PARA_M3_HA</f>
        <v>479138.2176</v>
      </c>
      <c r="AJ67" s="16" t="n">
        <f aca="false">AUX_MATRIZES!AJ144*AUX_MATRIZES!AJ141*MM_PARA_M3_HA</f>
        <v>479138.2176</v>
      </c>
      <c r="AK67" s="16" t="n">
        <f aca="false">AUX_MATRIZES!AK144*AUX_MATRIZES!AK141*MM_PARA_M3_HA</f>
        <v>356326.3184</v>
      </c>
      <c r="AL67" s="16" t="n">
        <f aca="false">AUX_MATRIZES!AL144*AUX_MATRIZES!AL141*MM_PARA_M3_HA</f>
        <v>94944.9984</v>
      </c>
      <c r="AM67" s="16" t="n">
        <f aca="false">AUX_MATRIZES!AM144*AUX_MATRIZES!AM141*MM_PARA_M3_HA</f>
        <v>98706.5856</v>
      </c>
      <c r="AN67" s="16" t="n">
        <f aca="false">AUX_MATRIZES!AN144*AUX_MATRIZES!AN141*MM_PARA_M3_HA</f>
        <v>98706.5856</v>
      </c>
      <c r="AO67" s="16" t="n">
        <f aca="false">AUX_MATRIZES!AO144*AUX_MATRIZES!AO141*MM_PARA_M3_HA</f>
        <v>94944.9984</v>
      </c>
      <c r="AP67" s="16" t="n">
        <f aca="false">AUX_MATRIZES!AP144*AUX_MATRIZES!AP141*MM_PARA_M3_HA</f>
        <v>44065.92</v>
      </c>
      <c r="AQ67" s="16" t="n">
        <f aca="false">AUX_MATRIZES!AQ144*AUX_MATRIZES!AQ141*MM_PARA_M3_HA</f>
        <v>36386.7728</v>
      </c>
      <c r="AR67" s="16" t="n">
        <f aca="false">AUX_MATRIZES!AR144*AUX_MATRIZES!AR141*MM_PARA_M3_HA</f>
        <v>26925.416</v>
      </c>
      <c r="AS67" s="16" t="n">
        <f aca="false">AUX_MATRIZES!AS144*AUX_MATRIZES!AS141*MM_PARA_M3_HA</f>
        <v>26927.7008</v>
      </c>
      <c r="AT67" s="16" t="n">
        <f aca="false">AUX_MATRIZES!AT144*AUX_MATRIZES!AT141*MM_PARA_M3_HA</f>
        <v>19104.4672</v>
      </c>
      <c r="AU67" s="16" t="n">
        <f aca="false">AUX_MATRIZES!AU144*AUX_MATRIZES!AU141*MM_PARA_M3_HA</f>
        <v>15255.52</v>
      </c>
      <c r="AV67" s="16" t="n">
        <f aca="false">AUX_MATRIZES!AV144*AUX_MATRIZES!AV141*MM_PARA_M3_HA</f>
        <v>15255.52</v>
      </c>
      <c r="AW67" s="16" t="n">
        <f aca="false">AUX_MATRIZES!AW144*AUX_MATRIZES!AW141*MM_PARA_M3_HA</f>
        <v>15255.52</v>
      </c>
      <c r="AX67" s="16" t="n">
        <f aca="false">AUX_MATRIZES!AX144*AUX_MATRIZES!AX141*MM_PARA_M3_HA</f>
        <v>15651.5008</v>
      </c>
      <c r="AY67" s="16" t="n">
        <f aca="false">AUX_MATRIZES!AY144*AUX_MATRIZES!AY141*MM_PARA_M3_HA</f>
        <v>19920.5888</v>
      </c>
      <c r="AZ67" s="16" t="n">
        <f aca="false">AUX_MATRIZES!AZ144*AUX_MATRIZES!AZ141*MM_PARA_M3_HA</f>
        <v>18137.9072</v>
      </c>
      <c r="BA67" s="16" t="n">
        <f aca="false">AUX_MATRIZES!BA144*AUX_MATRIZES!BA141*MM_PARA_M3_HA</f>
        <v>13611.3152</v>
      </c>
      <c r="BB67" s="16" t="n">
        <f aca="false">AUX_MATRIZES!BB144*AUX_MATRIZES!BB141*MM_PARA_M3_HA</f>
        <v>11839.2064</v>
      </c>
      <c r="BC67" s="16" t="n">
        <f aca="false">AUX_MATRIZES!BC144*AUX_MATRIZES!BC141*MM_PARA_M3_HA</f>
        <v>56236.2304</v>
      </c>
      <c r="BD67" s="16" t="n">
        <f aca="false">AUX_MATRIZES!BD144*AUX_MATRIZES!BD141*MM_PARA_M3_HA</f>
        <v>73995.04</v>
      </c>
      <c r="BE67" s="16" t="n">
        <f aca="false">AUX_MATRIZES!BE144*AUX_MATRIZES!BE141*MM_PARA_M3_HA</f>
        <v>73995.04</v>
      </c>
      <c r="BF67" s="16" t="n">
        <f aca="false">AUX_MATRIZES!BF144*AUX_MATRIZES!BF141*MM_PARA_M3_HA</f>
        <v>73995.04</v>
      </c>
      <c r="BG67" s="16" t="n">
        <f aca="false">AUX_MATRIZES!BG144*AUX_MATRIZES!BG141*MM_PARA_M3_HA</f>
        <v>165008.9392</v>
      </c>
      <c r="BH67" s="16" t="n">
        <f aca="false">AUX_MATRIZES!BH144*AUX_MATRIZES!BH141*MM_PARA_M3_HA</f>
        <v>286360.8048</v>
      </c>
      <c r="BI67" s="16" t="n">
        <f aca="false">AUX_MATRIZES!BI144*AUX_MATRIZES!BI141*MM_PARA_M3_HA</f>
        <v>286360.8048</v>
      </c>
      <c r="BJ67" s="16" t="n">
        <f aca="false">AUX_MATRIZES!BJ144*AUX_MATRIZES!BJ141*MM_PARA_M3_HA</f>
        <v>256033.008</v>
      </c>
      <c r="BK67" s="16" t="n">
        <f aca="false">AUX_MATRIZES!BK144*AUX_MATRIZES!BK141*MM_PARA_M3_HA</f>
        <v>191025.6768</v>
      </c>
      <c r="BL67" s="16" t="n">
        <f aca="false">AUX_MATRIZES!BL144*AUX_MATRIZES!BL141*MM_PARA_M3_HA</f>
        <v>329235.4688</v>
      </c>
      <c r="BM67" s="16" t="n">
        <f aca="false">AUX_MATRIZES!BM144*AUX_MATRIZES!BM141*MM_PARA_M3_HA</f>
        <v>276965.08</v>
      </c>
      <c r="BN67" s="16" t="n">
        <f aca="false">AUX_MATRIZES!BN144*AUX_MATRIZES!BN141*MM_PARA_M3_HA</f>
        <v>239807.3104</v>
      </c>
      <c r="BO67" s="16" t="n">
        <f aca="false">AUX_MATRIZES!BO144*AUX_MATRIZES!BO141*MM_PARA_M3_HA</f>
        <v>109127.6032</v>
      </c>
      <c r="BP67" s="16" t="n">
        <f aca="false">AUX_MATRIZES!BP144*AUX_MATRIZES!BP141*MM_PARA_M3_HA</f>
        <v>55983.8944</v>
      </c>
    </row>
    <row r="68" customFormat="false" ht="15" hidden="false" customHeight="false" outlineLevel="0" collapsed="false">
      <c r="B68" s="15" t="s">
        <v>200</v>
      </c>
      <c r="C68" s="16" t="n">
        <f aca="false">AUX_MATRIZES!C140</f>
        <v>486377.640094412</v>
      </c>
      <c r="D68" s="16" t="n">
        <f aca="false">AUX_MATRIZES!D140</f>
        <v>404088.51016822</v>
      </c>
      <c r="E68" s="16" t="n">
        <f aca="false">AUX_MATRIZES!E140</f>
        <v>318745.83848366</v>
      </c>
      <c r="F68" s="16" t="n">
        <f aca="false">AUX_MATRIZES!F140</f>
        <v>270863.022294118</v>
      </c>
      <c r="G68" s="16" t="n">
        <f aca="false">AUX_MATRIZES!G140</f>
        <v>186962.268705882</v>
      </c>
      <c r="H68" s="16" t="n">
        <f aca="false">AUX_MATRIZES!H140</f>
        <v>105840.304705882</v>
      </c>
      <c r="I68" s="16" t="n">
        <f aca="false">AUX_MATRIZES!I140</f>
        <v>99184.7327058823</v>
      </c>
      <c r="J68" s="16" t="n">
        <f aca="false">AUX_MATRIZES!J140</f>
        <v>97606.5487066528</v>
      </c>
      <c r="K68" s="16" t="n">
        <f aca="false">AUX_MATRIZES!K140</f>
        <v>101846.330669548</v>
      </c>
      <c r="L68" s="16" t="n">
        <f aca="false">AUX_MATRIZES!L140</f>
        <v>0</v>
      </c>
      <c r="M68" s="16" t="n">
        <f aca="false">AUX_MATRIZES!M140</f>
        <v>14677.5956749272</v>
      </c>
      <c r="N68" s="16" t="n">
        <f aca="false">AUX_MATRIZES!N140</f>
        <v>14948.6984705882</v>
      </c>
      <c r="O68" s="16" t="n">
        <f aca="false">AUX_MATRIZES!O140</f>
        <v>23618.6576295969</v>
      </c>
      <c r="P68" s="16" t="n">
        <f aca="false">AUX_MATRIZES!P140</f>
        <v>0</v>
      </c>
      <c r="Q68" s="16" t="n">
        <f aca="false">AUX_MATRIZES!Q140</f>
        <v>0</v>
      </c>
      <c r="R68" s="16" t="n">
        <f aca="false">AUX_MATRIZES!R140</f>
        <v>0</v>
      </c>
      <c r="S68" s="16" t="n">
        <f aca="false">AUX_MATRIZES!S140</f>
        <v>0</v>
      </c>
      <c r="T68" s="16" t="n">
        <f aca="false">AUX_MATRIZES!T140</f>
        <v>6872.85239927402</v>
      </c>
      <c r="U68" s="16" t="n">
        <f aca="false">AUX_MATRIZES!U140</f>
        <v>32485.1717647058</v>
      </c>
      <c r="V68" s="16" t="n">
        <f aca="false">AUX_MATRIZES!V140</f>
        <v>32345.2950400341</v>
      </c>
      <c r="W68" s="16" t="n">
        <f aca="false">AUX_MATRIZES!W140</f>
        <v>8508.71637009591</v>
      </c>
      <c r="X68" s="16" t="n">
        <f aca="false">AUX_MATRIZES!X140</f>
        <v>0</v>
      </c>
      <c r="Y68" s="16" t="n">
        <f aca="false">AUX_MATRIZES!Y140</f>
        <v>6937.73129411765</v>
      </c>
      <c r="Z68" s="16" t="n">
        <f aca="false">AUX_MATRIZES!Z140</f>
        <v>35486.600163592</v>
      </c>
      <c r="AA68" s="16" t="n">
        <f aca="false">AUX_MATRIZES!AA140</f>
        <v>96920.2093058165</v>
      </c>
      <c r="AB68" s="16" t="n">
        <f aca="false">AUX_MATRIZES!AB140</f>
        <v>118114.436479406</v>
      </c>
      <c r="AC68" s="16" t="n">
        <f aca="false">AUX_MATRIZES!AC140</f>
        <v>158242.333529412</v>
      </c>
      <c r="AD68" s="16" t="n">
        <f aca="false">AUX_MATRIZES!AD140</f>
        <v>166060.204745098</v>
      </c>
      <c r="AE68" s="16" t="n">
        <f aca="false">AUX_MATRIZES!AE140</f>
        <v>171503.737738562</v>
      </c>
      <c r="AF68" s="16" t="n">
        <f aca="false">AUX_MATRIZES!AF140</f>
        <v>175725.068294118</v>
      </c>
      <c r="AG68" s="16" t="n">
        <f aca="false">AUX_MATRIZES!AG140</f>
        <v>474530.799260539</v>
      </c>
      <c r="AH68" s="16" t="n">
        <f aca="false">AUX_MATRIZES!AH140</f>
        <v>823195.65699358</v>
      </c>
      <c r="AI68" s="16" t="n">
        <f aca="false">AUX_MATRIZES!AI140</f>
        <v>877936.513205309</v>
      </c>
      <c r="AJ68" s="16" t="n">
        <f aca="false">AUX_MATRIZES!AJ140</f>
        <v>916621.270459228</v>
      </c>
      <c r="AK68" s="16" t="n">
        <f aca="false">AUX_MATRIZES!AK140</f>
        <v>990112.832768172</v>
      </c>
      <c r="AL68" s="16" t="n">
        <f aca="false">AUX_MATRIZES!AL140</f>
        <v>1196823.54532322</v>
      </c>
      <c r="AM68" s="16" t="n">
        <f aca="false">AUX_MATRIZES!AM140</f>
        <v>1161032.97989718</v>
      </c>
      <c r="AN68" s="16" t="n">
        <f aca="false">AUX_MATRIZES!AN140</f>
        <v>1114742.10132408</v>
      </c>
      <c r="AO68" s="16" t="n">
        <f aca="false">AUX_MATRIZES!AO140</f>
        <v>1035126.77548627</v>
      </c>
      <c r="AP68" s="16" t="n">
        <f aca="false">AUX_MATRIZES!AP140</f>
        <v>995342.916109991</v>
      </c>
      <c r="AQ68" s="16" t="n">
        <f aca="false">AUX_MATRIZES!AQ140</f>
        <v>974858.177993343</v>
      </c>
      <c r="AR68" s="16" t="n">
        <f aca="false">AUX_MATRIZES!AR140</f>
        <v>740644.031245852</v>
      </c>
      <c r="AS68" s="16" t="n">
        <f aca="false">AUX_MATRIZES!AS140</f>
        <v>690658.262791977</v>
      </c>
      <c r="AT68" s="16" t="n">
        <f aca="false">AUX_MATRIZES!AT140</f>
        <v>638311.826778272</v>
      </c>
      <c r="AU68" s="16" t="n">
        <f aca="false">AUX_MATRIZES!AU140</f>
        <v>663171.03632876</v>
      </c>
      <c r="AV68" s="16" t="n">
        <f aca="false">AUX_MATRIZES!AV140</f>
        <v>658983.114048033</v>
      </c>
      <c r="AW68" s="16" t="n">
        <f aca="false">AUX_MATRIZES!AW140</f>
        <v>655994.790268118</v>
      </c>
      <c r="AX68" s="16" t="n">
        <f aca="false">AUX_MATRIZES!AX140</f>
        <v>654587.410452137</v>
      </c>
      <c r="AY68" s="16" t="n">
        <f aca="false">AUX_MATRIZES!AY140</f>
        <v>715532.596858418</v>
      </c>
      <c r="AZ68" s="16" t="n">
        <f aca="false">AUX_MATRIZES!AZ140</f>
        <v>704298.810436601</v>
      </c>
      <c r="BA68" s="16" t="n">
        <f aca="false">AUX_MATRIZES!BA140</f>
        <v>616748.37303313</v>
      </c>
      <c r="BB68" s="16" t="n">
        <f aca="false">AUX_MATRIZES!BB140</f>
        <v>611379.586270182</v>
      </c>
      <c r="BC68" s="16" t="n">
        <f aca="false">AUX_MATRIZES!BC140</f>
        <v>641726.523984178</v>
      </c>
      <c r="BD68" s="16" t="n">
        <f aca="false">AUX_MATRIZES!BD140</f>
        <v>651357.156964706</v>
      </c>
      <c r="BE68" s="16" t="n">
        <f aca="false">AUX_MATRIZES!BE140</f>
        <v>644964.964</v>
      </c>
      <c r="BF68" s="16" t="n">
        <f aca="false">AUX_MATRIZES!BF140</f>
        <v>629794.707294118</v>
      </c>
      <c r="BG68" s="16" t="n">
        <f aca="false">AUX_MATRIZES!BG140</f>
        <v>490219.125484787</v>
      </c>
      <c r="BH68" s="16" t="n">
        <f aca="false">AUX_MATRIZES!BH140</f>
        <v>306488.479805274</v>
      </c>
      <c r="BI68" s="16" t="n">
        <f aca="false">AUX_MATRIZES!BI140</f>
        <v>271832.445208925</v>
      </c>
      <c r="BJ68" s="16" t="n">
        <f aca="false">AUX_MATRIZES!BJ140</f>
        <v>226248.357517241</v>
      </c>
      <c r="BK68" s="16" t="n">
        <f aca="false">AUX_MATRIZES!BK140</f>
        <v>174486.743415821</v>
      </c>
      <c r="BL68" s="16" t="n">
        <f aca="false">AUX_MATRIZES!BL140</f>
        <v>1235.62435294118</v>
      </c>
      <c r="BM68" s="16" t="n">
        <f aca="false">AUX_MATRIZES!BM140</f>
        <v>0</v>
      </c>
      <c r="BN68" s="16" t="n">
        <f aca="false">AUX_MATRIZES!BN140</f>
        <v>0</v>
      </c>
      <c r="BO68" s="16" t="n">
        <f aca="false">AUX_MATRIZES!BO140</f>
        <v>0</v>
      </c>
      <c r="BP68" s="16" t="n">
        <f aca="false">AUX_MATRIZES!BP140</f>
        <v>0</v>
      </c>
    </row>
    <row r="69" customFormat="false" ht="15" hidden="false" customHeight="false" outlineLevel="0" collapsed="false">
      <c r="B69" s="3" t="s">
        <v>201</v>
      </c>
    </row>
    <row r="70" customFormat="false" ht="15" hidden="false" customHeight="false" outlineLevel="0" collapsed="false">
      <c r="B70" s="15" t="s">
        <v>128</v>
      </c>
      <c r="C70" s="16" t="n">
        <f aca="false">AUX_MATRIZES!C8</f>
        <v>0</v>
      </c>
      <c r="D70" s="16" t="n">
        <f aca="false">AUX_MATRIZES!D8</f>
        <v>0</v>
      </c>
      <c r="E70" s="16" t="n">
        <f aca="false">AUX_MATRIZES!E8</f>
        <v>0</v>
      </c>
      <c r="F70" s="16" t="n">
        <f aca="false">AUX_MATRIZES!F8</f>
        <v>0</v>
      </c>
      <c r="G70" s="16" t="n">
        <f aca="false">AUX_MATRIZES!G8</f>
        <v>1313.88423529412</v>
      </c>
      <c r="H70" s="16" t="n">
        <f aca="false">AUX_MATRIZES!H8</f>
        <v>0</v>
      </c>
      <c r="I70" s="16" t="n">
        <f aca="false">AUX_MATRIZES!I8</f>
        <v>0</v>
      </c>
      <c r="J70" s="16" t="n">
        <f aca="false">AUX_MATRIZES!J8</f>
        <v>2987.4674117647</v>
      </c>
      <c r="K70" s="16" t="n">
        <f aca="false">AUX_MATRIZES!K8</f>
        <v>8914.87502614379</v>
      </c>
      <c r="L70" s="16" t="n">
        <f aca="false">AUX_MATRIZES!L8</f>
        <v>0</v>
      </c>
      <c r="M70" s="16" t="n">
        <f aca="false">AUX_MATRIZES!M8</f>
        <v>2420.73917647058</v>
      </c>
      <c r="N70" s="16" t="n">
        <f aca="false">AUX_MATRIZES!N8</f>
        <v>2420.73917647058</v>
      </c>
      <c r="O70" s="16" t="n">
        <f aca="false">AUX_MATRIZES!O8</f>
        <v>2420.73917647058</v>
      </c>
      <c r="P70" s="16" t="n">
        <f aca="false">AUX_MATRIZES!P8</f>
        <v>0</v>
      </c>
      <c r="Q70" s="16" t="n">
        <f aca="false">AUX_MATRIZES!Q8</f>
        <v>0</v>
      </c>
      <c r="R70" s="16" t="n">
        <f aca="false">AUX_MATRIZES!R8</f>
        <v>0</v>
      </c>
      <c r="S70" s="16" t="n">
        <f aca="false">AUX_MATRIZES!S8</f>
        <v>0</v>
      </c>
      <c r="T70" s="16" t="n">
        <f aca="false">AUX_MATRIZES!T8</f>
        <v>0</v>
      </c>
      <c r="U70" s="16" t="n">
        <f aca="false">AUX_MATRIZES!U8</f>
        <v>0</v>
      </c>
      <c r="V70" s="16" t="n">
        <f aca="false">AUX_MATRIZES!V8</f>
        <v>0</v>
      </c>
      <c r="W70" s="16" t="n">
        <f aca="false">AUX_MATRIZES!W8</f>
        <v>0</v>
      </c>
      <c r="X70" s="16" t="n">
        <f aca="false">AUX_MATRIZES!X8</f>
        <v>0</v>
      </c>
      <c r="Y70" s="16" t="n">
        <f aca="false">AUX_MATRIZES!Y8</f>
        <v>0</v>
      </c>
      <c r="Z70" s="16" t="n">
        <f aca="false">AUX_MATRIZES!Z8</f>
        <v>0</v>
      </c>
      <c r="AA70" s="16" t="n">
        <f aca="false">AUX_MATRIZES!AA8</f>
        <v>0</v>
      </c>
      <c r="AB70" s="16" t="n">
        <f aca="false">AUX_MATRIZES!AB8</f>
        <v>0</v>
      </c>
      <c r="AC70" s="16" t="n">
        <f aca="false">AUX_MATRIZES!AC8</f>
        <v>0</v>
      </c>
      <c r="AD70" s="16" t="n">
        <f aca="false">AUX_MATRIZES!AD8</f>
        <v>0</v>
      </c>
      <c r="AE70" s="16" t="n">
        <f aca="false">AUX_MATRIZES!AE8</f>
        <v>0</v>
      </c>
      <c r="AF70" s="16" t="n">
        <f aca="false">AUX_MATRIZES!AF8</f>
        <v>0</v>
      </c>
      <c r="AG70" s="16" t="n">
        <f aca="false">AUX_MATRIZES!AG8</f>
        <v>5006.27506717716</v>
      </c>
      <c r="AH70" s="16" t="n">
        <f aca="false">AUX_MATRIZES!AH8</f>
        <v>17062.160739993</v>
      </c>
      <c r="AI70" s="16" t="n">
        <f aca="false">AUX_MATRIZES!AI8</f>
        <v>21086.2665527323</v>
      </c>
      <c r="AJ70" s="16" t="n">
        <f aca="false">AUX_MATRIZES!AJ8</f>
        <v>25110.3723654716</v>
      </c>
      <c r="AK70" s="16" t="n">
        <f aca="false">AUX_MATRIZES!AK8</f>
        <v>29431.7008235294</v>
      </c>
      <c r="AL70" s="16" t="n">
        <f aca="false">AUX_MATRIZES!AL8</f>
        <v>35995.3390588235</v>
      </c>
      <c r="AM70" s="16" t="n">
        <f aca="false">AUX_MATRIZES!AM8</f>
        <v>35995.3390588235</v>
      </c>
      <c r="AN70" s="16" t="n">
        <f aca="false">AUX_MATRIZES!AN8</f>
        <v>35995.3390588235</v>
      </c>
      <c r="AO70" s="16" t="n">
        <f aca="false">AUX_MATRIZES!AO8</f>
        <v>35995.3390588235</v>
      </c>
      <c r="AP70" s="16" t="n">
        <f aca="false">AUX_MATRIZES!AP8</f>
        <v>36120.2505882353</v>
      </c>
      <c r="AQ70" s="16" t="n">
        <f aca="false">AUX_MATRIZES!AQ8</f>
        <v>36141.0691764706</v>
      </c>
      <c r="AR70" s="16" t="n">
        <f aca="false">AUX_MATRIZES!AR8</f>
        <v>36141.0691764706</v>
      </c>
      <c r="AS70" s="16" t="n">
        <f aca="false">AUX_MATRIZES!AS8</f>
        <v>36141.0691764706</v>
      </c>
      <c r="AT70" s="16" t="n">
        <f aca="false">AUX_MATRIZES!AT8</f>
        <v>35750.9303581125</v>
      </c>
      <c r="AU70" s="16" t="n">
        <f aca="false">AUX_MATRIZES!AU8</f>
        <v>34618.3169683258</v>
      </c>
      <c r="AV70" s="16" t="n">
        <f aca="false">AUX_MATRIZES!AV8</f>
        <v>32163.5325791855</v>
      </c>
      <c r="AW70" s="16" t="n">
        <f aca="false">AUX_MATRIZES!AW8</f>
        <v>29708.7481900452</v>
      </c>
      <c r="AX70" s="16" t="n">
        <f aca="false">AUX_MATRIZES!AX8</f>
        <v>28032.7162663219</v>
      </c>
      <c r="AY70" s="16" t="n">
        <f aca="false">AUX_MATRIZES!AY8</f>
        <v>29736.6545882353</v>
      </c>
      <c r="AZ70" s="16" t="n">
        <f aca="false">AUX_MATRIZES!AZ8</f>
        <v>26768.0781176471</v>
      </c>
      <c r="BA70" s="16" t="n">
        <f aca="false">AUX_MATRIZES!BA8</f>
        <v>0</v>
      </c>
      <c r="BB70" s="16" t="n">
        <f aca="false">AUX_MATRIZES!BB8</f>
        <v>0</v>
      </c>
      <c r="BC70" s="16" t="n">
        <f aca="false">AUX_MATRIZES!BC8</f>
        <v>0</v>
      </c>
      <c r="BD70" s="16" t="n">
        <f aca="false">AUX_MATRIZES!BD8</f>
        <v>0</v>
      </c>
      <c r="BE70" s="16" t="n">
        <f aca="false">AUX_MATRIZES!BE8</f>
        <v>0</v>
      </c>
      <c r="BF70" s="16" t="n">
        <f aca="false">AUX_MATRIZES!BF8</f>
        <v>0</v>
      </c>
      <c r="BG70" s="16" t="n">
        <f aca="false">AUX_MATRIZES!BG8</f>
        <v>0</v>
      </c>
      <c r="BH70" s="16" t="n">
        <f aca="false">AUX_MATRIZES!BH8</f>
        <v>0</v>
      </c>
      <c r="BI70" s="16" t="n">
        <f aca="false">AUX_MATRIZES!BI8</f>
        <v>0</v>
      </c>
      <c r="BJ70" s="16" t="n">
        <f aca="false">AUX_MATRIZES!BJ8</f>
        <v>0</v>
      </c>
      <c r="BK70" s="16" t="n">
        <f aca="false">AUX_MATRIZES!BK8</f>
        <v>0</v>
      </c>
      <c r="BL70" s="16" t="n">
        <f aca="false">AUX_MATRIZES!BL8</f>
        <v>0</v>
      </c>
      <c r="BM70" s="16" t="n">
        <f aca="false">AUX_MATRIZES!BM8</f>
        <v>0</v>
      </c>
      <c r="BN70" s="16" t="n">
        <f aca="false">AUX_MATRIZES!BN8</f>
        <v>0</v>
      </c>
      <c r="BO70" s="16" t="n">
        <f aca="false">AUX_MATRIZES!BO8</f>
        <v>0</v>
      </c>
      <c r="BP70" s="16" t="n">
        <f aca="false">AUX_MATRIZES!BP8</f>
        <v>0</v>
      </c>
    </row>
    <row r="71" customFormat="false" ht="15" hidden="false" customHeight="false" outlineLevel="0" collapsed="false">
      <c r="B71" s="15" t="s">
        <v>129</v>
      </c>
      <c r="C71" s="16" t="n">
        <f aca="false">AUX_MATRIZES!C9</f>
        <v>22570.0291764706</v>
      </c>
      <c r="D71" s="16" t="n">
        <f aca="false">AUX_MATRIZES!D9</f>
        <v>0</v>
      </c>
      <c r="E71" s="16" t="n">
        <f aca="false">AUX_MATRIZES!E9</f>
        <v>0</v>
      </c>
      <c r="F71" s="16" t="n">
        <f aca="false">AUX_MATRIZES!F9</f>
        <v>0</v>
      </c>
      <c r="G71" s="16" t="n">
        <f aca="false">AUX_MATRIZES!G9</f>
        <v>1344.35576470588</v>
      </c>
      <c r="H71" s="16" t="n">
        <f aca="false">AUX_MATRIZES!H9</f>
        <v>0</v>
      </c>
      <c r="I71" s="16" t="n">
        <f aca="false">AUX_MATRIZES!I9</f>
        <v>0</v>
      </c>
      <c r="J71" s="16" t="n">
        <f aca="false">AUX_MATRIZES!J9</f>
        <v>2611.19894593879</v>
      </c>
      <c r="K71" s="16" t="n">
        <f aca="false">AUX_MATRIZES!K9</f>
        <v>8421.15634341653</v>
      </c>
      <c r="L71" s="16" t="n">
        <f aca="false">AUX_MATRIZES!L9</f>
        <v>0</v>
      </c>
      <c r="M71" s="16" t="n">
        <f aca="false">AUX_MATRIZES!M9</f>
        <v>2476.88082352941</v>
      </c>
      <c r="N71" s="16" t="n">
        <f aca="false">AUX_MATRIZES!N9</f>
        <v>2476.88082352941</v>
      </c>
      <c r="O71" s="16" t="n">
        <f aca="false">AUX_MATRIZES!O9</f>
        <v>2476.88082352941</v>
      </c>
      <c r="P71" s="16" t="n">
        <f aca="false">AUX_MATRIZES!P9</f>
        <v>0</v>
      </c>
      <c r="Q71" s="16" t="n">
        <f aca="false">AUX_MATRIZES!Q9</f>
        <v>0</v>
      </c>
      <c r="R71" s="16" t="n">
        <f aca="false">AUX_MATRIZES!R9</f>
        <v>0</v>
      </c>
      <c r="S71" s="16" t="n">
        <f aca="false">AUX_MATRIZES!S9</f>
        <v>0</v>
      </c>
      <c r="T71" s="16" t="n">
        <f aca="false">AUX_MATRIZES!T9</f>
        <v>0</v>
      </c>
      <c r="U71" s="16" t="n">
        <f aca="false">AUX_MATRIZES!U9</f>
        <v>0</v>
      </c>
      <c r="V71" s="16" t="n">
        <f aca="false">AUX_MATRIZES!V9</f>
        <v>0</v>
      </c>
      <c r="W71" s="16" t="n">
        <f aca="false">AUX_MATRIZES!W9</f>
        <v>0</v>
      </c>
      <c r="X71" s="16" t="n">
        <f aca="false">AUX_MATRIZES!X9</f>
        <v>0</v>
      </c>
      <c r="Y71" s="16" t="n">
        <f aca="false">AUX_MATRIZES!Y9</f>
        <v>0</v>
      </c>
      <c r="Z71" s="16" t="n">
        <f aca="false">AUX_MATRIZES!Z9</f>
        <v>205.420776888263</v>
      </c>
      <c r="AA71" s="16" t="n">
        <f aca="false">AUX_MATRIZES!AA9</f>
        <v>4483.19184081679</v>
      </c>
      <c r="AB71" s="16" t="n">
        <f aca="false">AUX_MATRIZES!AB9</f>
        <v>6897.07694117646</v>
      </c>
      <c r="AC71" s="16" t="n">
        <f aca="false">AUX_MATRIZES!AC9</f>
        <v>8520.40329411764</v>
      </c>
      <c r="AD71" s="16" t="n">
        <f aca="false">AUX_MATRIZES!AD9</f>
        <v>8520.40329411764</v>
      </c>
      <c r="AE71" s="16" t="n">
        <f aca="false">AUX_MATRIZES!AE9</f>
        <v>8520.40329411764</v>
      </c>
      <c r="AF71" s="16" t="n">
        <f aca="false">AUX_MATRIZES!AF9</f>
        <v>8520.40329411764</v>
      </c>
      <c r="AG71" s="16" t="n">
        <f aca="false">AUX_MATRIZES!AG9</f>
        <v>23595.1241394335</v>
      </c>
      <c r="AH71" s="16" t="n">
        <f aca="false">AUX_MATRIZES!AH9</f>
        <v>44157.0737908497</v>
      </c>
      <c r="AI71" s="16" t="n">
        <f aca="false">AUX_MATRIZES!AI9</f>
        <v>48452.4201960784</v>
      </c>
      <c r="AJ71" s="16" t="n">
        <f aca="false">AUX_MATRIZES!AJ9</f>
        <v>52747.7666013072</v>
      </c>
      <c r="AK71" s="16" t="n">
        <f aca="false">AUX_MATRIZES!AK9</f>
        <v>58017.9796832579</v>
      </c>
      <c r="AL71" s="16" t="n">
        <f aca="false">AUX_MATRIZES!AL9</f>
        <v>69073.5477828054</v>
      </c>
      <c r="AM71" s="16" t="n">
        <f aca="false">AUX_MATRIZES!AM9</f>
        <v>66633.1704072398</v>
      </c>
      <c r="AN71" s="16" t="n">
        <f aca="false">AUX_MATRIZES!AN9</f>
        <v>64192.7930316742</v>
      </c>
      <c r="AO71" s="16" t="n">
        <f aca="false">AUX_MATRIZES!AO9</f>
        <v>61752.4156561086</v>
      </c>
      <c r="AP71" s="16" t="n">
        <f aca="false">AUX_MATRIZES!AP9</f>
        <v>60144.703800905</v>
      </c>
      <c r="AQ71" s="16" t="n">
        <f aca="false">AUX_MATRIZES!AQ9</f>
        <v>57959.3124585219</v>
      </c>
      <c r="AR71" s="16" t="n">
        <f aca="false">AUX_MATRIZES!AR9</f>
        <v>55635.1435294118</v>
      </c>
      <c r="AS71" s="16" t="n">
        <f aca="false">AUX_MATRIZES!AS9</f>
        <v>35359.2916078431</v>
      </c>
      <c r="AT71" s="16" t="n">
        <f aca="false">AUX_MATRIZES!AT9</f>
        <v>34231.6316862745</v>
      </c>
      <c r="AU71" s="16" t="n">
        <f aca="false">AUX_MATRIZES!AU9</f>
        <v>32464.5349411765</v>
      </c>
      <c r="AV71" s="16" t="n">
        <f aca="false">AUX_MATRIZES!AV9</f>
        <v>29416.9866666667</v>
      </c>
      <c r="AW71" s="16" t="n">
        <f aca="false">AUX_MATRIZES!AW9</f>
        <v>26369.4383921569</v>
      </c>
      <c r="AX71" s="16" t="n">
        <f aca="false">AUX_MATRIZES!AX9</f>
        <v>23982.2338823529</v>
      </c>
      <c r="AY71" s="16" t="n">
        <f aca="false">AUX_MATRIZES!AY9</f>
        <v>0</v>
      </c>
      <c r="AZ71" s="16" t="n">
        <f aca="false">AUX_MATRIZES!AZ9</f>
        <v>0</v>
      </c>
      <c r="BA71" s="16" t="n">
        <f aca="false">AUX_MATRIZES!BA9</f>
        <v>0</v>
      </c>
      <c r="BB71" s="16" t="n">
        <f aca="false">AUX_MATRIZES!BB9</f>
        <v>0</v>
      </c>
      <c r="BC71" s="16" t="n">
        <f aca="false">AUX_MATRIZES!BC9</f>
        <v>0</v>
      </c>
      <c r="BD71" s="16" t="n">
        <f aca="false">AUX_MATRIZES!BD9</f>
        <v>0</v>
      </c>
      <c r="BE71" s="16" t="n">
        <f aca="false">AUX_MATRIZES!BE9</f>
        <v>0</v>
      </c>
      <c r="BF71" s="16" t="n">
        <f aca="false">AUX_MATRIZES!BF9</f>
        <v>0</v>
      </c>
      <c r="BG71" s="16" t="n">
        <f aca="false">AUX_MATRIZES!BG9</f>
        <v>0</v>
      </c>
      <c r="BH71" s="16" t="n">
        <f aca="false">AUX_MATRIZES!BH9</f>
        <v>0</v>
      </c>
      <c r="BI71" s="16" t="n">
        <f aca="false">AUX_MATRIZES!BI9</f>
        <v>0</v>
      </c>
      <c r="BJ71" s="16" t="n">
        <f aca="false">AUX_MATRIZES!BJ9</f>
        <v>0</v>
      </c>
      <c r="BK71" s="16" t="n">
        <f aca="false">AUX_MATRIZES!BK9</f>
        <v>0</v>
      </c>
      <c r="BL71" s="16" t="n">
        <f aca="false">AUX_MATRIZES!BL9</f>
        <v>0</v>
      </c>
      <c r="BM71" s="16" t="n">
        <f aca="false">AUX_MATRIZES!BM9</f>
        <v>0</v>
      </c>
      <c r="BN71" s="16" t="n">
        <f aca="false">AUX_MATRIZES!BN9</f>
        <v>0</v>
      </c>
      <c r="BO71" s="16" t="n">
        <f aca="false">AUX_MATRIZES!BO9</f>
        <v>0</v>
      </c>
      <c r="BP71" s="16" t="n">
        <f aca="false">AUX_MATRIZES!BP9</f>
        <v>0</v>
      </c>
    </row>
    <row r="72" customFormat="false" ht="15" hidden="false" customHeight="false" outlineLevel="0" collapsed="false">
      <c r="B72" s="15" t="s">
        <v>130</v>
      </c>
      <c r="C72" s="16" t="n">
        <f aca="false">AUX_MATRIZES!C10</f>
        <v>0</v>
      </c>
      <c r="D72" s="16" t="n">
        <f aca="false">AUX_MATRIZES!D10</f>
        <v>0</v>
      </c>
      <c r="E72" s="16" t="n">
        <f aca="false">AUX_MATRIZES!E10</f>
        <v>0</v>
      </c>
      <c r="F72" s="16" t="n">
        <f aca="false">AUX_MATRIZES!F10</f>
        <v>0</v>
      </c>
      <c r="G72" s="16" t="n">
        <f aca="false">AUX_MATRIZES!G10</f>
        <v>2643.27152941176</v>
      </c>
      <c r="H72" s="16" t="n">
        <f aca="false">AUX_MATRIZES!H10</f>
        <v>0</v>
      </c>
      <c r="I72" s="16" t="n">
        <f aca="false">AUX_MATRIZES!I10</f>
        <v>0</v>
      </c>
      <c r="J72" s="16" t="n">
        <f aca="false">AUX_MATRIZES!J10</f>
        <v>542.087695025542</v>
      </c>
      <c r="K72" s="16" t="n">
        <f aca="false">AUX_MATRIZES!K10</f>
        <v>12201.1742158828</v>
      </c>
      <c r="L72" s="16" t="n">
        <f aca="false">AUX_MATRIZES!L10</f>
        <v>0</v>
      </c>
      <c r="M72" s="16" t="n">
        <f aca="false">AUX_MATRIZES!M10</f>
        <v>4598.93885139783</v>
      </c>
      <c r="N72" s="16" t="n">
        <f aca="false">AUX_MATRIZES!N10</f>
        <v>4870.04164705882</v>
      </c>
      <c r="O72" s="16" t="n">
        <f aca="false">AUX_MATRIZES!O10</f>
        <v>4870.04164705882</v>
      </c>
      <c r="P72" s="16" t="n">
        <f aca="false">AUX_MATRIZES!P10</f>
        <v>0</v>
      </c>
      <c r="Q72" s="16" t="n">
        <f aca="false">AUX_MATRIZES!Q10</f>
        <v>0</v>
      </c>
      <c r="R72" s="16" t="n">
        <f aca="false">AUX_MATRIZES!R10</f>
        <v>0</v>
      </c>
      <c r="S72" s="16" t="n">
        <f aca="false">AUX_MATRIZES!S10</f>
        <v>0</v>
      </c>
      <c r="T72" s="16" t="n">
        <f aca="false">AUX_MATRIZES!T10</f>
        <v>530.509340450525</v>
      </c>
      <c r="U72" s="16" t="n">
        <f aca="false">AUX_MATRIZES!U10</f>
        <v>0</v>
      </c>
      <c r="V72" s="16" t="n">
        <f aca="false">AUX_MATRIZES!V10</f>
        <v>0</v>
      </c>
      <c r="W72" s="16" t="n">
        <f aca="false">AUX_MATRIZES!W10</f>
        <v>0</v>
      </c>
      <c r="X72" s="16" t="n">
        <f aca="false">AUX_MATRIZES!X10</f>
        <v>0</v>
      </c>
      <c r="Y72" s="16" t="n">
        <f aca="false">AUX_MATRIZES!Y10</f>
        <v>0</v>
      </c>
      <c r="Z72" s="16" t="n">
        <f aca="false">AUX_MATRIZES!Z10</f>
        <v>0</v>
      </c>
      <c r="AA72" s="16" t="n">
        <f aca="false">AUX_MATRIZES!AA10</f>
        <v>0</v>
      </c>
      <c r="AB72" s="16" t="n">
        <f aca="false">AUX_MATRIZES!AB10</f>
        <v>0</v>
      </c>
      <c r="AC72" s="16" t="n">
        <f aca="false">AUX_MATRIZES!AC10</f>
        <v>0</v>
      </c>
      <c r="AD72" s="16" t="n">
        <f aca="false">AUX_MATRIZES!AD10</f>
        <v>0</v>
      </c>
      <c r="AE72" s="16" t="n">
        <f aca="false">AUX_MATRIZES!AE10</f>
        <v>0</v>
      </c>
      <c r="AF72" s="16" t="n">
        <f aca="false">AUX_MATRIZES!AF10</f>
        <v>0</v>
      </c>
      <c r="AG72" s="16" t="n">
        <f aca="false">AUX_MATRIZES!AG10</f>
        <v>7736.53678524191</v>
      </c>
      <c r="AH72" s="16" t="n">
        <f aca="false">AUX_MATRIZES!AH10</f>
        <v>32012.5895676993</v>
      </c>
      <c r="AI72" s="16" t="n">
        <f aca="false">AUX_MATRIZES!AI10</f>
        <v>40108.2832676645</v>
      </c>
      <c r="AJ72" s="16" t="n">
        <f aca="false">AUX_MATRIZES!AJ10</f>
        <v>48203.9769676296</v>
      </c>
      <c r="AK72" s="16" t="n">
        <f aca="false">AUX_MATRIZES!AK10</f>
        <v>59210.6783529412</v>
      </c>
      <c r="AL72" s="16" t="n">
        <f aca="false">AUX_MATRIZES!AL10</f>
        <v>72415.401882353</v>
      </c>
      <c r="AM72" s="16" t="n">
        <f aca="false">AUX_MATRIZES!AM10</f>
        <v>72415.401882353</v>
      </c>
      <c r="AN72" s="16" t="n">
        <f aca="false">AUX_MATRIZES!AN10</f>
        <v>72415.401882353</v>
      </c>
      <c r="AO72" s="16" t="n">
        <f aca="false">AUX_MATRIZES!AO10</f>
        <v>72415.401882353</v>
      </c>
      <c r="AP72" s="16" t="n">
        <f aca="false">AUX_MATRIZES!AP10</f>
        <v>72666.6988235294</v>
      </c>
      <c r="AQ72" s="16" t="n">
        <f aca="false">AUX_MATRIZES!AQ10</f>
        <v>72708.5816470588</v>
      </c>
      <c r="AR72" s="16" t="n">
        <f aca="false">AUX_MATRIZES!AR10</f>
        <v>72708.5816470588</v>
      </c>
      <c r="AS72" s="16" t="n">
        <f aca="false">AUX_MATRIZES!AS10</f>
        <v>72708.5816470588</v>
      </c>
      <c r="AT72" s="16" t="n">
        <f aca="false">AUX_MATRIZES!AT10</f>
        <v>73292.520598147</v>
      </c>
      <c r="AU72" s="16" t="n">
        <f aca="false">AUX_MATRIZES!AU10</f>
        <v>71056.119306184</v>
      </c>
      <c r="AV72" s="16" t="n">
        <f aca="false">AUX_MATRIZES!AV10</f>
        <v>66117.585520362</v>
      </c>
      <c r="AW72" s="16" t="n">
        <f aca="false">AUX_MATRIZES!AW10</f>
        <v>61179.05173454</v>
      </c>
      <c r="AX72" s="16" t="n">
        <f aca="false">AUX_MATRIZES!AX10</f>
        <v>57849.4013566042</v>
      </c>
      <c r="AY72" s="16" t="n">
        <f aca="false">AUX_MATRIZES!AY10</f>
        <v>61530.5214117647</v>
      </c>
      <c r="AZ72" s="16" t="n">
        <f aca="false">AUX_MATRIZES!AZ10</f>
        <v>55558.3410196078</v>
      </c>
      <c r="BA72" s="16" t="n">
        <f aca="false">AUX_MATRIZES!BA10</f>
        <v>49586.160627451</v>
      </c>
      <c r="BB72" s="16" t="n">
        <f aca="false">AUX_MATRIZES!BB10</f>
        <v>0</v>
      </c>
      <c r="BC72" s="16" t="n">
        <f aca="false">AUX_MATRIZES!BC10</f>
        <v>0</v>
      </c>
      <c r="BD72" s="16" t="n">
        <f aca="false">AUX_MATRIZES!BD10</f>
        <v>0</v>
      </c>
      <c r="BE72" s="16" t="n">
        <f aca="false">AUX_MATRIZES!BE10</f>
        <v>0</v>
      </c>
      <c r="BF72" s="16" t="n">
        <f aca="false">AUX_MATRIZES!BF10</f>
        <v>0</v>
      </c>
      <c r="BG72" s="16" t="n">
        <f aca="false">AUX_MATRIZES!BG10</f>
        <v>0</v>
      </c>
      <c r="BH72" s="16" t="n">
        <f aca="false">AUX_MATRIZES!BH10</f>
        <v>0</v>
      </c>
      <c r="BI72" s="16" t="n">
        <f aca="false">AUX_MATRIZES!BI10</f>
        <v>0</v>
      </c>
      <c r="BJ72" s="16" t="n">
        <f aca="false">AUX_MATRIZES!BJ10</f>
        <v>0</v>
      </c>
      <c r="BK72" s="16" t="n">
        <f aca="false">AUX_MATRIZES!BK10</f>
        <v>0</v>
      </c>
      <c r="BL72" s="16" t="n">
        <f aca="false">AUX_MATRIZES!BL10</f>
        <v>0</v>
      </c>
      <c r="BM72" s="16" t="n">
        <f aca="false">AUX_MATRIZES!BM10</f>
        <v>0</v>
      </c>
      <c r="BN72" s="16" t="n">
        <f aca="false">AUX_MATRIZES!BN10</f>
        <v>0</v>
      </c>
      <c r="BO72" s="16" t="n">
        <f aca="false">AUX_MATRIZES!BO10</f>
        <v>0</v>
      </c>
      <c r="BP72" s="16" t="n">
        <f aca="false">AUX_MATRIZES!BP10</f>
        <v>0</v>
      </c>
    </row>
    <row r="73" customFormat="false" ht="15" hidden="false" customHeight="false" outlineLevel="0" collapsed="false">
      <c r="B73" s="15" t="s">
        <v>131</v>
      </c>
      <c r="C73" s="16" t="n">
        <f aca="false">AUX_MATRIZES!C11</f>
        <v>45952.144</v>
      </c>
      <c r="D73" s="16" t="n">
        <f aca="false">AUX_MATRIZES!D11</f>
        <v>48375.0152941176</v>
      </c>
      <c r="E73" s="16" t="n">
        <f aca="false">AUX_MATRIZES!E11</f>
        <v>48375.0152941176</v>
      </c>
      <c r="F73" s="16" t="n">
        <f aca="false">AUX_MATRIZES!F11</f>
        <v>48375.0152941176</v>
      </c>
      <c r="G73" s="16" t="n">
        <f aca="false">AUX_MATRIZES!G11</f>
        <v>39291.7032941176</v>
      </c>
      <c r="H73" s="16" t="n">
        <f aca="false">AUX_MATRIZES!H11</f>
        <v>27558.1007058823</v>
      </c>
      <c r="I73" s="16" t="n">
        <f aca="false">AUX_MATRIZES!I11</f>
        <v>27558.1007058823</v>
      </c>
      <c r="J73" s="16" t="n">
        <f aca="false">AUX_MATRIZES!J11</f>
        <v>34101.1026539238</v>
      </c>
      <c r="K73" s="16" t="n">
        <f aca="false">AUX_MATRIZES!K11</f>
        <v>40601.5190841048</v>
      </c>
      <c r="L73" s="16" t="n">
        <f aca="false">AUX_MATRIZES!L11</f>
        <v>0</v>
      </c>
      <c r="M73" s="16" t="n">
        <f aca="false">AUX_MATRIZES!M11</f>
        <v>5181.0368235294</v>
      </c>
      <c r="N73" s="16" t="n">
        <f aca="false">AUX_MATRIZES!N11</f>
        <v>5181.0368235294</v>
      </c>
      <c r="O73" s="16" t="n">
        <f aca="false">AUX_MATRIZES!O11</f>
        <v>5181.0368235294</v>
      </c>
      <c r="P73" s="16" t="n">
        <f aca="false">AUX_MATRIZES!P11</f>
        <v>0</v>
      </c>
      <c r="Q73" s="16" t="n">
        <f aca="false">AUX_MATRIZES!Q11</f>
        <v>0</v>
      </c>
      <c r="R73" s="16" t="n">
        <f aca="false">AUX_MATRIZES!R11</f>
        <v>0</v>
      </c>
      <c r="S73" s="16" t="n">
        <f aca="false">AUX_MATRIZES!S11</f>
        <v>0</v>
      </c>
      <c r="T73" s="16" t="n">
        <f aca="false">AUX_MATRIZES!T11</f>
        <v>0</v>
      </c>
      <c r="U73" s="16" t="n">
        <f aca="false">AUX_MATRIZES!U11</f>
        <v>0</v>
      </c>
      <c r="V73" s="16" t="n">
        <f aca="false">AUX_MATRIZES!V11</f>
        <v>0</v>
      </c>
      <c r="W73" s="16" t="n">
        <f aca="false">AUX_MATRIZES!W11</f>
        <v>0</v>
      </c>
      <c r="X73" s="16" t="n">
        <f aca="false">AUX_MATRIZES!X11</f>
        <v>0</v>
      </c>
      <c r="Y73" s="16" t="n">
        <f aca="false">AUX_MATRIZES!Y11</f>
        <v>0</v>
      </c>
      <c r="Z73" s="16" t="n">
        <f aca="false">AUX_MATRIZES!Z11</f>
        <v>1868.08175333564</v>
      </c>
      <c r="AA73" s="16" t="n">
        <f aca="false">AUX_MATRIZES!AA11</f>
        <v>11860.3244986657</v>
      </c>
      <c r="AB73" s="16" t="n">
        <f aca="false">AUX_MATRIZES!AB11</f>
        <v>20262.9608323471</v>
      </c>
      <c r="AC73" s="16" t="n">
        <f aca="false">AUX_MATRIZES!AC11</f>
        <v>28014.466117647</v>
      </c>
      <c r="AD73" s="16" t="n">
        <f aca="false">AUX_MATRIZES!AD11</f>
        <v>28014.466117647</v>
      </c>
      <c r="AE73" s="16" t="n">
        <f aca="false">AUX_MATRIZES!AE11</f>
        <v>28014.466117647</v>
      </c>
      <c r="AF73" s="16" t="n">
        <f aca="false">AUX_MATRIZES!AF11</f>
        <v>28014.466117647</v>
      </c>
      <c r="AG73" s="16" t="n">
        <f aca="false">AUX_MATRIZES!AG11</f>
        <v>73213.4894401258</v>
      </c>
      <c r="AH73" s="16" t="n">
        <f aca="false">AUX_MATRIZES!AH11</f>
        <v>125640.372091116</v>
      </c>
      <c r="AI73" s="16" t="n">
        <f aca="false">AUX_MATRIZES!AI11</f>
        <v>134430.642733496</v>
      </c>
      <c r="AJ73" s="16" t="n">
        <f aca="false">AUX_MATRIZES!AJ11</f>
        <v>143220.913375875</v>
      </c>
      <c r="AK73" s="16" t="n">
        <f aca="false">AUX_MATRIZES!AK11</f>
        <v>155950.966308985</v>
      </c>
      <c r="AL73" s="16" t="n">
        <f aca="false">AUX_MATRIZES!AL11</f>
        <v>184696.767420815</v>
      </c>
      <c r="AM73" s="16" t="n">
        <f aca="false">AUX_MATRIZES!AM11</f>
        <v>176672.984162896</v>
      </c>
      <c r="AN73" s="16" t="n">
        <f aca="false">AUX_MATRIZES!AN11</f>
        <v>168649.200904977</v>
      </c>
      <c r="AO73" s="16" t="n">
        <f aca="false">AUX_MATRIZES!AO11</f>
        <v>160625.417647059</v>
      </c>
      <c r="AP73" s="16" t="n">
        <f aca="false">AUX_MATRIZES!AP11</f>
        <v>155119.435242405</v>
      </c>
      <c r="AQ73" s="16" t="n">
        <f aca="false">AUX_MATRIZES!AQ11</f>
        <v>147897.370377074</v>
      </c>
      <c r="AR73" s="16" t="n">
        <f aca="false">AUX_MATRIZES!AR11</f>
        <v>98333.8252066365</v>
      </c>
      <c r="AS73" s="16" t="n">
        <f aca="false">AUX_MATRIZES!AS11</f>
        <v>94392.3636078431</v>
      </c>
      <c r="AT73" s="16" t="n">
        <f aca="false">AUX_MATRIZES!AT11</f>
        <v>74172.4343339797</v>
      </c>
      <c r="AU73" s="16" t="n">
        <f aca="false">AUX_MATRIZES!AU11</f>
        <v>71141.2077435897</v>
      </c>
      <c r="AV73" s="16" t="n">
        <f aca="false">AUX_MATRIZES!AV11</f>
        <v>65352.4311312217</v>
      </c>
      <c r="AW73" s="16" t="n">
        <f aca="false">AUX_MATRIZES!AW11</f>
        <v>59563.6545188537</v>
      </c>
      <c r="AX73" s="16" t="n">
        <f aca="false">AUX_MATRIZES!AX11</f>
        <v>55305.3936117216</v>
      </c>
      <c r="AY73" s="16" t="n">
        <f aca="false">AUX_MATRIZES!AY11</f>
        <v>33272.6274509804</v>
      </c>
      <c r="AZ73" s="16" t="n">
        <f aca="false">AUX_MATRIZES!AZ11</f>
        <v>29951.0588235294</v>
      </c>
      <c r="BA73" s="16" t="n">
        <f aca="false">AUX_MATRIZES!BA11</f>
        <v>0</v>
      </c>
      <c r="BB73" s="16" t="n">
        <f aca="false">AUX_MATRIZES!BB11</f>
        <v>0</v>
      </c>
      <c r="BC73" s="16" t="n">
        <f aca="false">AUX_MATRIZES!BC11</f>
        <v>0</v>
      </c>
      <c r="BD73" s="16" t="n">
        <f aca="false">AUX_MATRIZES!BD11</f>
        <v>0</v>
      </c>
      <c r="BE73" s="16" t="n">
        <f aca="false">AUX_MATRIZES!BE11</f>
        <v>0</v>
      </c>
      <c r="BF73" s="16" t="n">
        <f aca="false">AUX_MATRIZES!BF11</f>
        <v>0</v>
      </c>
      <c r="BG73" s="16" t="n">
        <f aca="false">AUX_MATRIZES!BG11</f>
        <v>0</v>
      </c>
      <c r="BH73" s="16" t="n">
        <f aca="false">AUX_MATRIZES!BH11</f>
        <v>0</v>
      </c>
      <c r="BI73" s="16" t="n">
        <f aca="false">AUX_MATRIZES!BI11</f>
        <v>0</v>
      </c>
      <c r="BJ73" s="16" t="n">
        <f aca="false">AUX_MATRIZES!BJ11</f>
        <v>0</v>
      </c>
      <c r="BK73" s="16" t="n">
        <f aca="false">AUX_MATRIZES!BK11</f>
        <v>0</v>
      </c>
      <c r="BL73" s="16" t="n">
        <f aca="false">AUX_MATRIZES!BL11</f>
        <v>0</v>
      </c>
      <c r="BM73" s="16" t="n">
        <f aca="false">AUX_MATRIZES!BM11</f>
        <v>0</v>
      </c>
      <c r="BN73" s="16" t="n">
        <f aca="false">AUX_MATRIZES!BN11</f>
        <v>0</v>
      </c>
      <c r="BO73" s="16" t="n">
        <f aca="false">AUX_MATRIZES!BO11</f>
        <v>0</v>
      </c>
      <c r="BP73" s="16" t="n">
        <f aca="false">AUX_MATRIZES!BP11</f>
        <v>0</v>
      </c>
    </row>
    <row r="74" customFormat="false" ht="15" hidden="false" customHeight="false" outlineLevel="0" collapsed="false">
      <c r="B74" s="15" t="s">
        <v>132</v>
      </c>
      <c r="C74" s="16" t="n">
        <f aca="false">AUX_MATRIZES!C12</f>
        <v>96601.344</v>
      </c>
      <c r="D74" s="16" t="n">
        <f aca="false">AUX_MATRIZES!D12</f>
        <v>96643.68</v>
      </c>
      <c r="E74" s="16" t="n">
        <f aca="false">AUX_MATRIZES!E12</f>
        <v>96643.68</v>
      </c>
      <c r="F74" s="16" t="n">
        <f aca="false">AUX_MATRIZES!F12</f>
        <v>96643.68</v>
      </c>
      <c r="G74" s="16" t="n">
        <f aca="false">AUX_MATRIZES!G12</f>
        <v>72879.072</v>
      </c>
      <c r="H74" s="16" t="n">
        <f aca="false">AUX_MATRIZES!H12</f>
        <v>55055.616</v>
      </c>
      <c r="I74" s="16" t="n">
        <f aca="false">AUX_MATRIZES!I12</f>
        <v>55055.616</v>
      </c>
      <c r="J74" s="16" t="n">
        <f aca="false">AUX_MATRIZES!J12</f>
        <v>47449.248</v>
      </c>
      <c r="K74" s="16" t="n">
        <f aca="false">AUX_MATRIZES!K12</f>
        <v>31707.606</v>
      </c>
      <c r="L74" s="16" t="n">
        <f aca="false">AUX_MATRIZES!L12</f>
        <v>0</v>
      </c>
      <c r="M74" s="16" t="n">
        <f aca="false">AUX_MATRIZES!M12</f>
        <v>0</v>
      </c>
      <c r="N74" s="16" t="n">
        <f aca="false">AUX_MATRIZES!N12</f>
        <v>0</v>
      </c>
      <c r="O74" s="16" t="n">
        <f aca="false">AUX_MATRIZES!O12</f>
        <v>6569.44409136608</v>
      </c>
      <c r="P74" s="16" t="n">
        <f aca="false">AUX_MATRIZES!P12</f>
        <v>0</v>
      </c>
      <c r="Q74" s="16" t="n">
        <f aca="false">AUX_MATRIZES!Q12</f>
        <v>0</v>
      </c>
      <c r="R74" s="16" t="n">
        <f aca="false">AUX_MATRIZES!R12</f>
        <v>0</v>
      </c>
      <c r="S74" s="16" t="n">
        <f aca="false">AUX_MATRIZES!S12</f>
        <v>0</v>
      </c>
      <c r="T74" s="16" t="n">
        <f aca="false">AUX_MATRIZES!T12</f>
        <v>1736.23905882352</v>
      </c>
      <c r="U74" s="16" t="n">
        <f aca="false">AUX_MATRIZES!U12</f>
        <v>8892.93176470587</v>
      </c>
      <c r="V74" s="16" t="n">
        <f aca="false">AUX_MATRIZES!V12</f>
        <v>8753.05504003416</v>
      </c>
      <c r="W74" s="16" t="n">
        <f aca="false">AUX_MATRIZES!W12</f>
        <v>0</v>
      </c>
      <c r="X74" s="16" t="n">
        <f aca="false">AUX_MATRIZES!X12</f>
        <v>0</v>
      </c>
      <c r="Y74" s="16" t="n">
        <f aca="false">AUX_MATRIZES!Y12</f>
        <v>0</v>
      </c>
      <c r="Z74" s="16" t="n">
        <f aca="false">AUX_MATRIZES!Z12</f>
        <v>11348.1049198283</v>
      </c>
      <c r="AA74" s="16" t="n">
        <f aca="false">AUX_MATRIZES!AA12</f>
        <v>31403.181490196</v>
      </c>
      <c r="AB74" s="16" t="n">
        <f aca="false">AUX_MATRIZES!AB12</f>
        <v>32385.7948235294</v>
      </c>
      <c r="AC74" s="16" t="n">
        <f aca="false">AUX_MATRIZES!AC12</f>
        <v>40008.2578823529</v>
      </c>
      <c r="AD74" s="16" t="n">
        <f aca="false">AUX_MATRIZES!AD12</f>
        <v>40008.2578823529</v>
      </c>
      <c r="AE74" s="16" t="n">
        <f aca="false">AUX_MATRIZES!AE12</f>
        <v>40008.2578823529</v>
      </c>
      <c r="AF74" s="16" t="n">
        <f aca="false">AUX_MATRIZES!AF12</f>
        <v>40008.2578823529</v>
      </c>
      <c r="AG74" s="16" t="n">
        <f aca="false">AUX_MATRIZES!AG12</f>
        <v>90352.9957647059</v>
      </c>
      <c r="AH74" s="16" t="n">
        <f aca="false">AUX_MATRIZES!AH12</f>
        <v>128111.549176471</v>
      </c>
      <c r="AI74" s="16" t="n">
        <f aca="false">AUX_MATRIZES!AI12</f>
        <v>128111.549176471</v>
      </c>
      <c r="AJ74" s="16" t="n">
        <f aca="false">AUX_MATRIZES!AJ12</f>
        <v>125491.737411765</v>
      </c>
      <c r="AK74" s="16" t="n">
        <f aca="false">AUX_MATRIZES!AK12</f>
        <v>131170.140307692</v>
      </c>
      <c r="AL74" s="16" t="n">
        <f aca="false">AUX_MATRIZES!AL12</f>
        <v>152107.353014823</v>
      </c>
      <c r="AM74" s="16" t="n">
        <f aca="false">AUX_MATRIZES!AM12</f>
        <v>141152.760410673</v>
      </c>
      <c r="AN74" s="16" t="n">
        <f aca="false">AUX_MATRIZES!AN12</f>
        <v>130198.167806522</v>
      </c>
      <c r="AO74" s="16" t="n">
        <f aca="false">AUX_MATRIZES!AO12</f>
        <v>119243.575202372</v>
      </c>
      <c r="AP74" s="16" t="n">
        <f aca="false">AUX_MATRIZES!AP12</f>
        <v>124297.595418942</v>
      </c>
      <c r="AQ74" s="16" t="n">
        <f aca="false">AUX_MATRIZES!AQ12</f>
        <v>127871.240218443</v>
      </c>
      <c r="AR74" s="16" t="n">
        <f aca="false">AUX_MATRIZES!AR12</f>
        <v>70695.1533306288</v>
      </c>
      <c r="AS74" s="16" t="n">
        <f aca="false">AUX_MATRIZES!AS12</f>
        <v>66531.8429858012</v>
      </c>
      <c r="AT74" s="16" t="n">
        <f aca="false">AUX_MATRIZES!AT12</f>
        <v>40749.9686880325</v>
      </c>
      <c r="AU74" s="16" t="n">
        <f aca="false">AUX_MATRIZES!AU12</f>
        <v>69612.6554060852</v>
      </c>
      <c r="AV74" s="16" t="n">
        <f aca="false">AUX_MATRIZES!AV12</f>
        <v>87047.5718198783</v>
      </c>
      <c r="AW74" s="16" t="n">
        <f aca="false">AUX_MATRIZES!AW12</f>
        <v>104482.488233671</v>
      </c>
      <c r="AX74" s="16" t="n">
        <f aca="false">AUX_MATRIZES!AX12</f>
        <v>128328.126636917</v>
      </c>
      <c r="AY74" s="16" t="n">
        <f aca="false">AUX_MATRIZES!AY12</f>
        <v>182388.326490872</v>
      </c>
      <c r="AZ74" s="16" t="n">
        <f aca="false">AUX_MATRIZES!AZ12</f>
        <v>199151.445277079</v>
      </c>
      <c r="BA74" s="16" t="n">
        <f aca="false">AUX_MATRIZES!BA12</f>
        <v>213203.753139148</v>
      </c>
      <c r="BB74" s="16" t="n">
        <f aca="false">AUX_MATRIZES!BB12</f>
        <v>227256.061001217</v>
      </c>
      <c r="BC74" s="16" t="n">
        <f aca="false">AUX_MATRIZES!BC12</f>
        <v>239480.527831237</v>
      </c>
      <c r="BD74" s="16" t="n">
        <f aca="false">AUX_MATRIZES!BD12</f>
        <v>241647.872941176</v>
      </c>
      <c r="BE74" s="16" t="n">
        <f aca="false">AUX_MATRIZES!BE12</f>
        <v>241647.872941176</v>
      </c>
      <c r="BF74" s="16" t="n">
        <f aca="false">AUX_MATRIZES!BF12</f>
        <v>233496.018823529</v>
      </c>
      <c r="BG74" s="16" t="n">
        <f aca="false">AUX_MATRIZES!BG12</f>
        <v>174058.801720081</v>
      </c>
      <c r="BH74" s="16" t="n">
        <f aca="false">AUX_MATRIZES!BH12</f>
        <v>100406.16074645</v>
      </c>
      <c r="BI74" s="16" t="n">
        <f aca="false">AUX_MATRIZES!BI12</f>
        <v>85714.0834401622</v>
      </c>
      <c r="BJ74" s="16" t="n">
        <f aca="false">AUX_MATRIZES!BJ12</f>
        <v>65076.7989614604</v>
      </c>
      <c r="BK74" s="16" t="n">
        <f aca="false">AUX_MATRIZES!BK12</f>
        <v>39318.3028965517</v>
      </c>
      <c r="BL74" s="16" t="n">
        <f aca="false">AUX_MATRIZES!BL12</f>
        <v>0</v>
      </c>
      <c r="BM74" s="16" t="n">
        <f aca="false">AUX_MATRIZES!BM12</f>
        <v>0</v>
      </c>
      <c r="BN74" s="16" t="n">
        <f aca="false">AUX_MATRIZES!BN12</f>
        <v>0</v>
      </c>
      <c r="BO74" s="16" t="n">
        <f aca="false">AUX_MATRIZES!BO12</f>
        <v>0</v>
      </c>
      <c r="BP74" s="16" t="n">
        <f aca="false">AUX_MATRIZES!BP12</f>
        <v>0</v>
      </c>
    </row>
    <row r="75" customFormat="false" ht="15" hidden="false" customHeight="false" outlineLevel="0" collapsed="false">
      <c r="B75" s="15" t="s">
        <v>133</v>
      </c>
      <c r="C75" s="16" t="n">
        <f aca="false">AUX_MATRIZES!C13</f>
        <v>148517.964621022</v>
      </c>
      <c r="D75" s="16" t="n">
        <f aca="false">AUX_MATRIZES!D13</f>
        <v>106348.07147541</v>
      </c>
      <c r="E75" s="16" t="n">
        <f aca="false">AUX_MATRIZES!E13</f>
        <v>72482.76</v>
      </c>
      <c r="F75" s="16" t="n">
        <f aca="false">AUX_MATRIZES!F13</f>
        <v>67558.995</v>
      </c>
      <c r="G75" s="16" t="n">
        <f aca="false">AUX_MATRIZES!G13</f>
        <v>43075.116</v>
      </c>
      <c r="H75" s="16" t="n">
        <f aca="false">AUX_MATRIZES!H13</f>
        <v>23226.588</v>
      </c>
      <c r="I75" s="16" t="n">
        <f aca="false">AUX_MATRIZES!I13</f>
        <v>16571.016</v>
      </c>
      <c r="J75" s="16" t="n">
        <f aca="false">AUX_MATRIZES!J13</f>
        <v>9915.44399999998</v>
      </c>
      <c r="K75" s="16" t="n">
        <f aca="false">AUX_MATRIZES!K13</f>
        <v>0</v>
      </c>
      <c r="L75" s="16" t="n">
        <f aca="false">AUX_MATRIZES!L13</f>
        <v>0</v>
      </c>
      <c r="M75" s="16" t="n">
        <f aca="false">AUX_MATRIZES!M13</f>
        <v>0</v>
      </c>
      <c r="N75" s="16" t="n">
        <f aca="false">AUX_MATRIZES!N13</f>
        <v>0</v>
      </c>
      <c r="O75" s="16" t="n">
        <f aca="false">AUX_MATRIZES!O13</f>
        <v>1050.25753382132</v>
      </c>
      <c r="P75" s="16" t="n">
        <f aca="false">AUX_MATRIZES!P13</f>
        <v>0</v>
      </c>
      <c r="Q75" s="16" t="n">
        <f aca="false">AUX_MATRIZES!Q13</f>
        <v>0</v>
      </c>
      <c r="R75" s="16" t="n">
        <f aca="false">AUX_MATRIZES!R13</f>
        <v>0</v>
      </c>
      <c r="S75" s="16" t="n">
        <f aca="false">AUX_MATRIZES!S13</f>
        <v>0</v>
      </c>
      <c r="T75" s="16" t="n">
        <f aca="false">AUX_MATRIZES!T13</f>
        <v>575.813647058821</v>
      </c>
      <c r="U75" s="16" t="n">
        <f aca="false">AUX_MATRIZES!U13</f>
        <v>2949.2894117647</v>
      </c>
      <c r="V75" s="16" t="n">
        <f aca="false">AUX_MATRIZES!V13</f>
        <v>2949.2894117647</v>
      </c>
      <c r="W75" s="16" t="n">
        <f aca="false">AUX_MATRIZES!W13</f>
        <v>0</v>
      </c>
      <c r="X75" s="16" t="n">
        <f aca="false">AUX_MATRIZES!X13</f>
        <v>0</v>
      </c>
      <c r="Y75" s="16" t="n">
        <f aca="false">AUX_MATRIZES!Y13</f>
        <v>6937.73129411765</v>
      </c>
      <c r="Z75" s="16" t="n">
        <f aca="false">AUX_MATRIZES!Z13</f>
        <v>18011.1255809258</v>
      </c>
      <c r="AA75" s="16" t="n">
        <f aca="false">AUX_MATRIZES!AA13</f>
        <v>36258.5168235294</v>
      </c>
      <c r="AB75" s="16" t="n">
        <f aca="false">AUX_MATRIZES!AB13</f>
        <v>37916.6768235294</v>
      </c>
      <c r="AC75" s="16" t="n">
        <f aca="false">AUX_MATRIZES!AC13</f>
        <v>55491.5027058823</v>
      </c>
      <c r="AD75" s="16" t="n">
        <f aca="false">AUX_MATRIZES!AD13</f>
        <v>63309.3739215686</v>
      </c>
      <c r="AE75" s="16" t="n">
        <f aca="false">AUX_MATRIZES!AE13</f>
        <v>65814.1336764706</v>
      </c>
      <c r="AF75" s="16" t="n">
        <f aca="false">AUX_MATRIZES!AF13</f>
        <v>63329.1697058823</v>
      </c>
      <c r="AG75" s="16" t="n">
        <f aca="false">AUX_MATRIZES!AG13</f>
        <v>158408.527182228</v>
      </c>
      <c r="AH75" s="16" t="n">
        <f aca="false">AUX_MATRIZES!AH13</f>
        <v>239700.350542484</v>
      </c>
      <c r="AI75" s="16" t="n">
        <f aca="false">AUX_MATRIZES!AI13</f>
        <v>241517.355240196</v>
      </c>
      <c r="AJ75" s="16" t="n">
        <f aca="false">AUX_MATRIZES!AJ13</f>
        <v>238455.314095148</v>
      </c>
      <c r="AK75" s="16" t="n">
        <f aca="false">AUX_MATRIZES!AK13</f>
        <v>232026.832968083</v>
      </c>
      <c r="AL75" s="16" t="n">
        <f aca="false">AUX_MATRIZES!AL13</f>
        <v>274613.670340069</v>
      </c>
      <c r="AM75" s="16" t="n">
        <f aca="false">AUX_MATRIZES!AM13</f>
        <v>269320.106720666</v>
      </c>
      <c r="AN75" s="16" t="n">
        <f aca="false">AUX_MATRIZES!AN13</f>
        <v>253931.10686597</v>
      </c>
      <c r="AO75" s="16" t="n">
        <f aca="false">AUX_MATRIZES!AO13</f>
        <v>238542.107011273</v>
      </c>
      <c r="AP75" s="16" t="n">
        <f aca="false">AUX_MATRIZES!AP13</f>
        <v>192675.328963511</v>
      </c>
      <c r="AQ75" s="16" t="n">
        <f aca="false">AUX_MATRIZES!AQ13</f>
        <v>184018.211794508</v>
      </c>
      <c r="AR75" s="16" t="n">
        <f aca="false">AUX_MATRIZES!AR13</f>
        <v>105683.408551724</v>
      </c>
      <c r="AS75" s="16" t="n">
        <f aca="false">AUX_MATRIZES!AS13</f>
        <v>122256.792302907</v>
      </c>
      <c r="AT75" s="16" t="n">
        <f aca="false">AUX_MATRIZES!AT13</f>
        <v>101868.376878431</v>
      </c>
      <c r="AU75" s="16" t="n">
        <f aca="false">AUX_MATRIZES!AU13</f>
        <v>110999.730223529</v>
      </c>
      <c r="AV75" s="16" t="n">
        <f aca="false">AUX_MATRIZES!AV13</f>
        <v>118896.898427451</v>
      </c>
      <c r="AW75" s="16" t="n">
        <f aca="false">AUX_MATRIZES!AW13</f>
        <v>127621.952966667</v>
      </c>
      <c r="AX75" s="16" t="n">
        <f aca="false">AUX_MATRIZES!AX13</f>
        <v>145164.103294118</v>
      </c>
      <c r="AY75" s="16" t="n">
        <f aca="false">AUX_MATRIZES!AY13</f>
        <v>185651.427239216</v>
      </c>
      <c r="AZ75" s="16" t="n">
        <f aca="false">AUX_MATRIZES!AZ13</f>
        <v>180091.532847059</v>
      </c>
      <c r="BA75" s="16" t="n">
        <f aca="false">AUX_MATRIZES!BA13</f>
        <v>200084.864494118</v>
      </c>
      <c r="BB75" s="16" t="n">
        <f aca="false">AUX_MATRIZES!BB13</f>
        <v>213432.502541176</v>
      </c>
      <c r="BC75" s="16" t="n">
        <f aca="false">AUX_MATRIZES!BC13</f>
        <v>220875.092705882</v>
      </c>
      <c r="BD75" s="16" t="n">
        <f aca="false">AUX_MATRIZES!BD13</f>
        <v>217357.418352941</v>
      </c>
      <c r="BE75" s="16" t="n">
        <f aca="false">AUX_MATRIZES!BE13</f>
        <v>210339.015764706</v>
      </c>
      <c r="BF75" s="16" t="n">
        <f aca="false">AUX_MATRIZES!BF13</f>
        <v>203320.613176471</v>
      </c>
      <c r="BG75" s="16" t="n">
        <f aca="false">AUX_MATRIZES!BG13</f>
        <v>157614.958117647</v>
      </c>
      <c r="BH75" s="16" t="n">
        <f aca="false">AUX_MATRIZES!BH13</f>
        <v>99255.566117647</v>
      </c>
      <c r="BI75" s="16" t="n">
        <f aca="false">AUX_MATRIZES!BI13</f>
        <v>88330.2494117647</v>
      </c>
      <c r="BJ75" s="16" t="n">
        <f aca="false">AUX_MATRIZES!BJ13</f>
        <v>75032.3774117647</v>
      </c>
      <c r="BK75" s="16" t="n">
        <f aca="false">AUX_MATRIZES!BK13</f>
        <v>60678.1905882352</v>
      </c>
      <c r="BL75" s="16" t="n">
        <f aca="false">AUX_MATRIZES!BL13</f>
        <v>0</v>
      </c>
      <c r="BM75" s="16" t="n">
        <f aca="false">AUX_MATRIZES!BM13</f>
        <v>0</v>
      </c>
      <c r="BN75" s="16" t="n">
        <f aca="false">AUX_MATRIZES!BN13</f>
        <v>0</v>
      </c>
      <c r="BO75" s="16" t="n">
        <f aca="false">AUX_MATRIZES!BO13</f>
        <v>0</v>
      </c>
      <c r="BP75" s="16" t="n">
        <f aca="false">AUX_MATRIZES!BP13</f>
        <v>0</v>
      </c>
    </row>
    <row r="76" customFormat="false" ht="15" hidden="false" customHeight="false" outlineLevel="0" collapsed="false">
      <c r="B76" s="15" t="s">
        <v>134</v>
      </c>
      <c r="C76" s="16" t="n">
        <f aca="false">AUX_MATRIZES!C14</f>
        <v>172736.158296919</v>
      </c>
      <c r="D76" s="16" t="n">
        <f aca="false">AUX_MATRIZES!D14</f>
        <v>152721.743398693</v>
      </c>
      <c r="E76" s="16" t="n">
        <f aca="false">AUX_MATRIZES!E14</f>
        <v>101244.383189542</v>
      </c>
      <c r="F76" s="16" t="n">
        <f aca="false">AUX_MATRIZES!F14</f>
        <v>58285.332</v>
      </c>
      <c r="G76" s="16" t="n">
        <f aca="false">AUX_MATRIZES!G14</f>
        <v>26414.8658823529</v>
      </c>
      <c r="H76" s="16" t="n">
        <f aca="false">AUX_MATRIZES!H14</f>
        <v>0</v>
      </c>
      <c r="I76" s="16" t="n">
        <f aca="false">AUX_MATRIZES!I14</f>
        <v>0</v>
      </c>
      <c r="J76" s="16" t="n">
        <f aca="false">AUX_MATRIZES!J14</f>
        <v>0</v>
      </c>
      <c r="K76" s="16" t="n">
        <f aca="false">AUX_MATRIZES!K14</f>
        <v>0</v>
      </c>
      <c r="L76" s="16" t="n">
        <f aca="false">AUX_MATRIZES!L14</f>
        <v>0</v>
      </c>
      <c r="M76" s="16" t="n">
        <f aca="false">AUX_MATRIZES!M14</f>
        <v>0</v>
      </c>
      <c r="N76" s="16" t="n">
        <f aca="false">AUX_MATRIZES!N14</f>
        <v>0</v>
      </c>
      <c r="O76" s="16" t="n">
        <f aca="false">AUX_MATRIZES!O14</f>
        <v>1050.25753382132</v>
      </c>
      <c r="P76" s="16" t="n">
        <f aca="false">AUX_MATRIZES!P14</f>
        <v>0</v>
      </c>
      <c r="Q76" s="16" t="n">
        <f aca="false">AUX_MATRIZES!Q14</f>
        <v>0</v>
      </c>
      <c r="R76" s="16" t="n">
        <f aca="false">AUX_MATRIZES!R14</f>
        <v>0</v>
      </c>
      <c r="S76" s="16" t="n">
        <f aca="false">AUX_MATRIZES!S14</f>
        <v>0</v>
      </c>
      <c r="T76" s="16" t="n">
        <f aca="false">AUX_MATRIZES!T14</f>
        <v>4030.29035294116</v>
      </c>
      <c r="U76" s="16" t="n">
        <f aca="false">AUX_MATRIZES!U14</f>
        <v>20642.9505882353</v>
      </c>
      <c r="V76" s="16" t="n">
        <f aca="false">AUX_MATRIZES!V14</f>
        <v>20642.9505882353</v>
      </c>
      <c r="W76" s="16" t="n">
        <f aca="false">AUX_MATRIZES!W14</f>
        <v>8508.71637009591</v>
      </c>
      <c r="X76" s="16" t="n">
        <f aca="false">AUX_MATRIZES!X14</f>
        <v>0</v>
      </c>
      <c r="Y76" s="16" t="n">
        <f aca="false">AUX_MATRIZES!Y14</f>
        <v>0</v>
      </c>
      <c r="Z76" s="16" t="n">
        <f aca="false">AUX_MATRIZES!Z14</f>
        <v>4053.86713261398</v>
      </c>
      <c r="AA76" s="16" t="n">
        <f aca="false">AUX_MATRIZES!AA14</f>
        <v>12914.9946526086</v>
      </c>
      <c r="AB76" s="16" t="n">
        <f aca="false">AUX_MATRIZES!AB14</f>
        <v>20651.9270588235</v>
      </c>
      <c r="AC76" s="16" t="n">
        <f aca="false">AUX_MATRIZES!AC14</f>
        <v>26207.7035294118</v>
      </c>
      <c r="AD76" s="16" t="n">
        <f aca="false">AUX_MATRIZES!AD14</f>
        <v>26207.7035294118</v>
      </c>
      <c r="AE76" s="16" t="n">
        <f aca="false">AUX_MATRIZES!AE14</f>
        <v>29146.4767679738</v>
      </c>
      <c r="AF76" s="16" t="n">
        <f aca="false">AUX_MATRIZES!AF14</f>
        <v>35852.7712941176</v>
      </c>
      <c r="AG76" s="16" t="n">
        <f aca="false">AUX_MATRIZES!AG14</f>
        <v>116217.850881627</v>
      </c>
      <c r="AH76" s="16" t="n">
        <f aca="false">AUX_MATRIZES!AH14</f>
        <v>236511.561084967</v>
      </c>
      <c r="AI76" s="16" t="n">
        <f aca="false">AUX_MATRIZES!AI14</f>
        <v>264229.996038671</v>
      </c>
      <c r="AJ76" s="16" t="n">
        <f aca="false">AUX_MATRIZES!AJ14</f>
        <v>283391.189642031</v>
      </c>
      <c r="AK76" s="16" t="n">
        <f aca="false">AUX_MATRIZES!AK14</f>
        <v>324304.534323683</v>
      </c>
      <c r="AL76" s="16" t="n">
        <f aca="false">AUX_MATRIZES!AL14</f>
        <v>407921.465823529</v>
      </c>
      <c r="AM76" s="16" t="n">
        <f aca="false">AUX_MATRIZES!AM14</f>
        <v>398843.217254525</v>
      </c>
      <c r="AN76" s="16" t="n">
        <f aca="false">AUX_MATRIZES!AN14</f>
        <v>389360.091773756</v>
      </c>
      <c r="AO76" s="16" t="n">
        <f aca="false">AUX_MATRIZES!AO14</f>
        <v>346552.519028281</v>
      </c>
      <c r="AP76" s="16" t="n">
        <f aca="false">AUX_MATRIZES!AP14</f>
        <v>354318.903272463</v>
      </c>
      <c r="AQ76" s="16" t="n">
        <f aca="false">AUX_MATRIZES!AQ14</f>
        <v>348262.392321267</v>
      </c>
      <c r="AR76" s="16" t="n">
        <f aca="false">AUX_MATRIZES!AR14</f>
        <v>301446.849803922</v>
      </c>
      <c r="AS76" s="16" t="n">
        <f aca="false">AUX_MATRIZES!AS14</f>
        <v>263268.321464052</v>
      </c>
      <c r="AT76" s="16" t="n">
        <f aca="false">AUX_MATRIZES!AT14</f>
        <v>278245.964235294</v>
      </c>
      <c r="AU76" s="16" t="n">
        <f aca="false">AUX_MATRIZES!AU14</f>
        <v>273278.471739869</v>
      </c>
      <c r="AV76" s="16" t="n">
        <f aca="false">AUX_MATRIZES!AV14</f>
        <v>259988.107903268</v>
      </c>
      <c r="AW76" s="16" t="n">
        <f aca="false">AUX_MATRIZES!AW14</f>
        <v>247069.456232184</v>
      </c>
      <c r="AX76" s="16" t="n">
        <f aca="false">AUX_MATRIZES!AX14</f>
        <v>215925.435404102</v>
      </c>
      <c r="AY76" s="16" t="n">
        <f aca="false">AUX_MATRIZES!AY14</f>
        <v>222953.03967735</v>
      </c>
      <c r="AZ76" s="16" t="n">
        <f aca="false">AUX_MATRIZES!AZ14</f>
        <v>212778.354351679</v>
      </c>
      <c r="BA76" s="16" t="n">
        <f aca="false">AUX_MATRIZES!BA14</f>
        <v>153873.594772414</v>
      </c>
      <c r="BB76" s="16" t="n">
        <f aca="false">AUX_MATRIZES!BB14</f>
        <v>170691.022727789</v>
      </c>
      <c r="BC76" s="16" t="n">
        <f aca="false">AUX_MATRIZES!BC14</f>
        <v>181370.903447059</v>
      </c>
      <c r="BD76" s="16" t="n">
        <f aca="false">AUX_MATRIZES!BD14</f>
        <v>192351.865670588</v>
      </c>
      <c r="BE76" s="16" t="n">
        <f aca="false">AUX_MATRIZES!BE14</f>
        <v>192978.075294118</v>
      </c>
      <c r="BF76" s="16" t="n">
        <f aca="false">AUX_MATRIZES!BF14</f>
        <v>192978.075294118</v>
      </c>
      <c r="BG76" s="16" t="n">
        <f aca="false">AUX_MATRIZES!BG14</f>
        <v>158545.365647059</v>
      </c>
      <c r="BH76" s="16" t="n">
        <f aca="false">AUX_MATRIZES!BH14</f>
        <v>106826.752941176</v>
      </c>
      <c r="BI76" s="16" t="n">
        <f aca="false">AUX_MATRIZES!BI14</f>
        <v>97788.1123569979</v>
      </c>
      <c r="BJ76" s="16" t="n">
        <f aca="false">AUX_MATRIZES!BJ14</f>
        <v>86139.1811440162</v>
      </c>
      <c r="BK76" s="16" t="n">
        <f aca="false">AUX_MATRIZES!BK14</f>
        <v>74490.2499310345</v>
      </c>
      <c r="BL76" s="16" t="n">
        <f aca="false">AUX_MATRIZES!BL14</f>
        <v>1235.62435294118</v>
      </c>
      <c r="BM76" s="16" t="n">
        <f aca="false">AUX_MATRIZES!BM14</f>
        <v>0</v>
      </c>
      <c r="BN76" s="16" t="n">
        <f aca="false">AUX_MATRIZES!BN14</f>
        <v>0</v>
      </c>
      <c r="BO76" s="16" t="n">
        <f aca="false">AUX_MATRIZES!BO14</f>
        <v>0</v>
      </c>
      <c r="BP76" s="16" t="n">
        <f aca="false">AUX_MATRIZES!BP14</f>
        <v>0</v>
      </c>
    </row>
    <row r="77" customFormat="false" ht="15" hidden="false" customHeight="false" outlineLevel="0" collapsed="false">
      <c r="B77" s="15" t="s">
        <v>135</v>
      </c>
      <c r="C77" s="16" t="n">
        <f aca="false">AUX_MATRIZES!C15</f>
        <v>0</v>
      </c>
      <c r="D77" s="16" t="n">
        <f aca="false">AUX_MATRIZES!D15</f>
        <v>0</v>
      </c>
      <c r="E77" s="16" t="n">
        <f aca="false">AUX_MATRIZES!E15</f>
        <v>0</v>
      </c>
      <c r="F77" s="16" t="n">
        <f aca="false">AUX_MATRIZES!F15</f>
        <v>0</v>
      </c>
      <c r="G77" s="16" t="n">
        <f aca="false">AUX_MATRIZES!G15</f>
        <v>0</v>
      </c>
      <c r="H77" s="16" t="n">
        <f aca="false">AUX_MATRIZES!H15</f>
        <v>0</v>
      </c>
      <c r="I77" s="16" t="n">
        <f aca="false">AUX_MATRIZES!I15</f>
        <v>0</v>
      </c>
      <c r="J77" s="16" t="n">
        <f aca="false">AUX_MATRIZES!J15</f>
        <v>0</v>
      </c>
      <c r="K77" s="16" t="n">
        <f aca="false">AUX_MATRIZES!K15</f>
        <v>0</v>
      </c>
      <c r="L77" s="16" t="n">
        <f aca="false">AUX_MATRIZES!L15</f>
        <v>0</v>
      </c>
      <c r="M77" s="16" t="n">
        <f aca="false">AUX_MATRIZES!M15</f>
        <v>0</v>
      </c>
      <c r="N77" s="16" t="n">
        <f aca="false">AUX_MATRIZES!N15</f>
        <v>0</v>
      </c>
      <c r="O77" s="16" t="n">
        <f aca="false">AUX_MATRIZES!O15</f>
        <v>0</v>
      </c>
      <c r="P77" s="16" t="n">
        <f aca="false">AUX_MATRIZES!P15</f>
        <v>0</v>
      </c>
      <c r="Q77" s="16" t="n">
        <f aca="false">AUX_MATRIZES!Q15</f>
        <v>0</v>
      </c>
      <c r="R77" s="16" t="n">
        <f aca="false">AUX_MATRIZES!R15</f>
        <v>0</v>
      </c>
      <c r="S77" s="16" t="n">
        <f aca="false">AUX_MATRIZES!S15</f>
        <v>0</v>
      </c>
      <c r="T77" s="16" t="n">
        <f aca="false">AUX_MATRIZES!T15</f>
        <v>0</v>
      </c>
      <c r="U77" s="16" t="n">
        <f aca="false">AUX_MATRIZES!U15</f>
        <v>0</v>
      </c>
      <c r="V77" s="16" t="n">
        <f aca="false">AUX_MATRIZES!V15</f>
        <v>0</v>
      </c>
      <c r="W77" s="16" t="n">
        <f aca="false">AUX_MATRIZES!W15</f>
        <v>0</v>
      </c>
      <c r="X77" s="16" t="n">
        <f aca="false">AUX_MATRIZES!X15</f>
        <v>0</v>
      </c>
      <c r="Y77" s="16" t="n">
        <f aca="false">AUX_MATRIZES!Y15</f>
        <v>0</v>
      </c>
      <c r="Z77" s="16" t="n">
        <f aca="false">AUX_MATRIZES!Z15</f>
        <v>0</v>
      </c>
      <c r="AA77" s="16" t="n">
        <f aca="false">AUX_MATRIZES!AA15</f>
        <v>0</v>
      </c>
      <c r="AB77" s="16" t="n">
        <f aca="false">AUX_MATRIZES!AB15</f>
        <v>0</v>
      </c>
      <c r="AC77" s="16" t="n">
        <f aca="false">AUX_MATRIZES!AC15</f>
        <v>0</v>
      </c>
      <c r="AD77" s="16" t="n">
        <f aca="false">AUX_MATRIZES!AD15</f>
        <v>0</v>
      </c>
      <c r="AE77" s="16" t="n">
        <f aca="false">AUX_MATRIZES!AE15</f>
        <v>0</v>
      </c>
      <c r="AF77" s="16" t="n">
        <f aca="false">AUX_MATRIZES!AF15</f>
        <v>0</v>
      </c>
      <c r="AG77" s="16" t="n">
        <f aca="false">AUX_MATRIZES!AG15</f>
        <v>0</v>
      </c>
      <c r="AH77" s="16" t="n">
        <f aca="false">AUX_MATRIZES!AH15</f>
        <v>0</v>
      </c>
      <c r="AI77" s="16" t="n">
        <f aca="false">AUX_MATRIZES!AI15</f>
        <v>0</v>
      </c>
      <c r="AJ77" s="16" t="n">
        <f aca="false">AUX_MATRIZES!AJ15</f>
        <v>0</v>
      </c>
      <c r="AK77" s="16" t="n">
        <f aca="false">AUX_MATRIZES!AK15</f>
        <v>0</v>
      </c>
      <c r="AL77" s="16" t="n">
        <f aca="false">AUX_MATRIZES!AL15</f>
        <v>0</v>
      </c>
      <c r="AM77" s="16" t="n">
        <f aca="false">AUX_MATRIZES!AM15</f>
        <v>0</v>
      </c>
      <c r="AN77" s="16" t="n">
        <f aca="false">AUX_MATRIZES!AN15</f>
        <v>0</v>
      </c>
      <c r="AO77" s="16" t="n">
        <f aca="false">AUX_MATRIZES!AO15</f>
        <v>0</v>
      </c>
      <c r="AP77" s="16" t="n">
        <f aca="false">AUX_MATRIZES!AP15</f>
        <v>0</v>
      </c>
      <c r="AQ77" s="16" t="n">
        <f aca="false">AUX_MATRIZES!AQ15</f>
        <v>0</v>
      </c>
      <c r="AR77" s="16" t="n">
        <f aca="false">AUX_MATRIZES!AR15</f>
        <v>0</v>
      </c>
      <c r="AS77" s="16" t="n">
        <f aca="false">AUX_MATRIZES!AS15</f>
        <v>0</v>
      </c>
      <c r="AT77" s="16" t="n">
        <f aca="false">AUX_MATRIZES!AT15</f>
        <v>0</v>
      </c>
      <c r="AU77" s="16" t="n">
        <f aca="false">AUX_MATRIZES!AU15</f>
        <v>0</v>
      </c>
      <c r="AV77" s="16" t="n">
        <f aca="false">AUX_MATRIZES!AV15</f>
        <v>0</v>
      </c>
      <c r="AW77" s="16" t="n">
        <f aca="false">AUX_MATRIZES!AW15</f>
        <v>0</v>
      </c>
      <c r="AX77" s="16" t="n">
        <f aca="false">AUX_MATRIZES!AX15</f>
        <v>0</v>
      </c>
      <c r="AY77" s="16" t="n">
        <f aca="false">AUX_MATRIZES!AY15</f>
        <v>0</v>
      </c>
      <c r="AZ77" s="16" t="n">
        <f aca="false">AUX_MATRIZES!AZ15</f>
        <v>0</v>
      </c>
      <c r="BA77" s="16" t="n">
        <f aca="false">AUX_MATRIZES!BA15</f>
        <v>0</v>
      </c>
      <c r="BB77" s="16" t="n">
        <f aca="false">AUX_MATRIZES!BB15</f>
        <v>0</v>
      </c>
      <c r="BC77" s="16" t="n">
        <f aca="false">AUX_MATRIZES!BC15</f>
        <v>0</v>
      </c>
      <c r="BD77" s="16" t="n">
        <f aca="false">AUX_MATRIZES!BD15</f>
        <v>0</v>
      </c>
      <c r="BE77" s="16" t="n">
        <f aca="false">AUX_MATRIZES!BE15</f>
        <v>0</v>
      </c>
      <c r="BF77" s="16" t="n">
        <f aca="false">AUX_MATRIZES!BF15</f>
        <v>0</v>
      </c>
      <c r="BG77" s="16" t="n">
        <f aca="false">AUX_MATRIZES!BG15</f>
        <v>0</v>
      </c>
      <c r="BH77" s="16" t="n">
        <f aca="false">AUX_MATRIZES!BH15</f>
        <v>0</v>
      </c>
      <c r="BI77" s="16" t="n">
        <f aca="false">AUX_MATRIZES!BI15</f>
        <v>0</v>
      </c>
      <c r="BJ77" s="16" t="n">
        <f aca="false">AUX_MATRIZES!BJ15</f>
        <v>0</v>
      </c>
      <c r="BK77" s="16" t="n">
        <f aca="false">AUX_MATRIZES!BK15</f>
        <v>0</v>
      </c>
      <c r="BL77" s="16" t="n">
        <f aca="false">AUX_MATRIZES!BL15</f>
        <v>0</v>
      </c>
      <c r="BM77" s="16" t="n">
        <f aca="false">AUX_MATRIZES!BM15</f>
        <v>0</v>
      </c>
      <c r="BN77" s="16" t="n">
        <f aca="false">AUX_MATRIZES!BN15</f>
        <v>0</v>
      </c>
      <c r="BO77" s="16" t="n">
        <f aca="false">AUX_MATRIZES!BO15</f>
        <v>0</v>
      </c>
      <c r="BP77" s="16" t="n">
        <f aca="false">AUX_MATRIZES!BP15</f>
        <v>0</v>
      </c>
    </row>
    <row r="79" customFormat="false" ht="15" hidden="false" customHeight="false" outlineLevel="0" collapsed="false">
      <c r="B79" s="3" t="s">
        <v>202</v>
      </c>
    </row>
    <row r="80" customFormat="false" ht="15" hidden="false" customHeight="false" outlineLevel="0" collapsed="false">
      <c r="B80" s="15" t="s">
        <v>203</v>
      </c>
      <c r="C80" s="18" t="n">
        <f aca="false">AUX_MATRIZES!C92</f>
        <v>0</v>
      </c>
      <c r="D80" s="18" t="n">
        <f aca="false">AUX_MATRIZES!D92</f>
        <v>0</v>
      </c>
      <c r="E80" s="18" t="n">
        <f aca="false">AUX_MATRIZES!E92</f>
        <v>0</v>
      </c>
      <c r="F80" s="18" t="n">
        <f aca="false">AUX_MATRIZES!F92</f>
        <v>0</v>
      </c>
      <c r="G80" s="18" t="n">
        <f aca="false">AUX_MATRIZES!G92</f>
        <v>8.93798799519808</v>
      </c>
      <c r="H80" s="18" t="n">
        <f aca="false">AUX_MATRIZES!H92</f>
        <v>0</v>
      </c>
      <c r="I80" s="18" t="n">
        <f aca="false">AUX_MATRIZES!I92</f>
        <v>0</v>
      </c>
      <c r="J80" s="18" t="n">
        <f aca="false">AUX_MATRIZES!J92</f>
        <v>20.3229075630252</v>
      </c>
      <c r="K80" s="18" t="n">
        <f aca="false">AUX_MATRIZES!K92</f>
        <v>60.6454083411142</v>
      </c>
      <c r="L80" s="18" t="n">
        <f aca="false">AUX_MATRIZES!L92</f>
        <v>0</v>
      </c>
      <c r="M80" s="18" t="n">
        <f aca="false">AUX_MATRIZES!M92</f>
        <v>16.4676134453781</v>
      </c>
      <c r="N80" s="18" t="n">
        <f aca="false">AUX_MATRIZES!N92</f>
        <v>16.4676134453781</v>
      </c>
      <c r="O80" s="18" t="n">
        <f aca="false">AUX_MATRIZES!O92</f>
        <v>16.4676134453781</v>
      </c>
      <c r="P80" s="18" t="n">
        <f aca="false">AUX_MATRIZES!P92</f>
        <v>0</v>
      </c>
      <c r="Q80" s="18" t="n">
        <f aca="false">AUX_MATRIZES!Q92</f>
        <v>0</v>
      </c>
      <c r="R80" s="18" t="n">
        <f aca="false">AUX_MATRIZES!R92</f>
        <v>0</v>
      </c>
      <c r="S80" s="18" t="n">
        <f aca="false">AUX_MATRIZES!S92</f>
        <v>0</v>
      </c>
      <c r="T80" s="18" t="n">
        <f aca="false">AUX_MATRIZES!T92</f>
        <v>0</v>
      </c>
      <c r="U80" s="18" t="n">
        <f aca="false">AUX_MATRIZES!U92</f>
        <v>0</v>
      </c>
      <c r="V80" s="18" t="n">
        <f aca="false">AUX_MATRIZES!V92</f>
        <v>0</v>
      </c>
      <c r="W80" s="18" t="n">
        <f aca="false">AUX_MATRIZES!W92</f>
        <v>0</v>
      </c>
      <c r="X80" s="18" t="n">
        <f aca="false">AUX_MATRIZES!X92</f>
        <v>0</v>
      </c>
      <c r="Y80" s="18" t="n">
        <f aca="false">AUX_MATRIZES!Y92</f>
        <v>0</v>
      </c>
      <c r="Z80" s="18" t="n">
        <f aca="false">AUX_MATRIZES!Z92</f>
        <v>0</v>
      </c>
      <c r="AA80" s="18" t="n">
        <f aca="false">AUX_MATRIZES!AA92</f>
        <v>0</v>
      </c>
      <c r="AB80" s="18" t="n">
        <f aca="false">AUX_MATRIZES!AB92</f>
        <v>0</v>
      </c>
      <c r="AC80" s="18" t="n">
        <f aca="false">AUX_MATRIZES!AC92</f>
        <v>0</v>
      </c>
      <c r="AD80" s="18" t="n">
        <f aca="false">AUX_MATRIZES!AD92</f>
        <v>0</v>
      </c>
      <c r="AE80" s="18" t="n">
        <f aca="false">AUX_MATRIZES!AE92</f>
        <v>0</v>
      </c>
      <c r="AF80" s="18" t="n">
        <f aca="false">AUX_MATRIZES!AF92</f>
        <v>0</v>
      </c>
      <c r="AG80" s="18" t="n">
        <f aca="false">AUX_MATRIZES!AG92</f>
        <v>34.0562929739943</v>
      </c>
      <c r="AH80" s="18" t="n">
        <f aca="false">AUX_MATRIZES!AH92</f>
        <v>116.069120680225</v>
      </c>
      <c r="AI80" s="18" t="n">
        <f aca="false">AUX_MATRIZES!AI92</f>
        <v>143.443990154642</v>
      </c>
      <c r="AJ80" s="18" t="n">
        <f aca="false">AUX_MATRIZES!AJ92</f>
        <v>170.818859629059</v>
      </c>
      <c r="AK80" s="18" t="n">
        <f aca="false">AUX_MATRIZES!AK92</f>
        <v>200.215651860744</v>
      </c>
      <c r="AL80" s="18" t="n">
        <f aca="false">AUX_MATRIZES!AL92</f>
        <v>244.86625210084</v>
      </c>
      <c r="AM80" s="18" t="n">
        <f aca="false">AUX_MATRIZES!AM92</f>
        <v>244.86625210084</v>
      </c>
      <c r="AN80" s="18" t="n">
        <f aca="false">AUX_MATRIZES!AN92</f>
        <v>244.86625210084</v>
      </c>
      <c r="AO80" s="18" t="n">
        <f aca="false">AUX_MATRIZES!AO92</f>
        <v>244.86625210084</v>
      </c>
      <c r="AP80" s="18" t="n">
        <f aca="false">AUX_MATRIZES!AP92</f>
        <v>245.715990396158</v>
      </c>
      <c r="AQ80" s="18" t="n">
        <f aca="false">AUX_MATRIZES!AQ92</f>
        <v>245.857613445378</v>
      </c>
      <c r="AR80" s="18" t="n">
        <f aca="false">AUX_MATRIZES!AR92</f>
        <v>245.857613445378</v>
      </c>
      <c r="AS80" s="18" t="n">
        <f aca="false">AUX_MATRIZES!AS92</f>
        <v>245.857613445378</v>
      </c>
      <c r="AT80" s="18" t="n">
        <f aca="false">AUX_MATRIZES!AT92</f>
        <v>243.203607878316</v>
      </c>
      <c r="AU80" s="18" t="n">
        <f aca="false">AUX_MATRIZES!AU92</f>
        <v>235.49875488657</v>
      </c>
      <c r="AV80" s="18" t="n">
        <f aca="false">AUX_MATRIZES!AV92</f>
        <v>218.799541355004</v>
      </c>
      <c r="AW80" s="18" t="n">
        <f aca="false">AUX_MATRIZES!AW92</f>
        <v>202.100327823437</v>
      </c>
      <c r="AX80" s="18" t="n">
        <f aca="false">AUX_MATRIZES!AX92</f>
        <v>190.698750111033</v>
      </c>
      <c r="AY80" s="18" t="n">
        <f aca="false">AUX_MATRIZES!AY92</f>
        <v>202.290167266907</v>
      </c>
      <c r="AZ80" s="18" t="n">
        <f aca="false">AUX_MATRIZES!AZ92</f>
        <v>182.095769507803</v>
      </c>
      <c r="BA80" s="18" t="n">
        <f aca="false">AUX_MATRIZES!BA92</f>
        <v>0</v>
      </c>
      <c r="BB80" s="18" t="n">
        <f aca="false">AUX_MATRIZES!BB92</f>
        <v>0</v>
      </c>
      <c r="BC80" s="18" t="n">
        <f aca="false">AUX_MATRIZES!BC92</f>
        <v>0</v>
      </c>
      <c r="BD80" s="18" t="n">
        <f aca="false">AUX_MATRIZES!BD92</f>
        <v>0</v>
      </c>
      <c r="BE80" s="18" t="n">
        <f aca="false">AUX_MATRIZES!BE92</f>
        <v>0</v>
      </c>
      <c r="BF80" s="18" t="n">
        <f aca="false">AUX_MATRIZES!BF92</f>
        <v>0</v>
      </c>
      <c r="BG80" s="18" t="n">
        <f aca="false">AUX_MATRIZES!BG92</f>
        <v>0</v>
      </c>
      <c r="BH80" s="18" t="n">
        <f aca="false">AUX_MATRIZES!BH92</f>
        <v>0</v>
      </c>
      <c r="BI80" s="18" t="n">
        <f aca="false">AUX_MATRIZES!BI92</f>
        <v>0</v>
      </c>
      <c r="BJ80" s="18" t="n">
        <f aca="false">AUX_MATRIZES!BJ92</f>
        <v>0</v>
      </c>
      <c r="BK80" s="18" t="n">
        <f aca="false">AUX_MATRIZES!BK92</f>
        <v>0</v>
      </c>
      <c r="BL80" s="18" t="n">
        <f aca="false">AUX_MATRIZES!BL92</f>
        <v>0</v>
      </c>
      <c r="BM80" s="18" t="n">
        <f aca="false">AUX_MATRIZES!BM92</f>
        <v>0</v>
      </c>
      <c r="BN80" s="18" t="n">
        <f aca="false">AUX_MATRIZES!BN92</f>
        <v>0</v>
      </c>
      <c r="BO80" s="18" t="n">
        <f aca="false">AUX_MATRIZES!BO92</f>
        <v>0</v>
      </c>
      <c r="BP80" s="18" t="n">
        <f aca="false">AUX_MATRIZES!BP92</f>
        <v>0</v>
      </c>
    </row>
    <row r="81" customFormat="false" ht="15" hidden="false" customHeight="false" outlineLevel="0" collapsed="false">
      <c r="B81" s="15" t="s">
        <v>204</v>
      </c>
      <c r="C81" s="18" t="n">
        <f aca="false">AUX_MATRIZES!C104</f>
        <v>702.214285714286</v>
      </c>
      <c r="D81" s="18" t="n">
        <f aca="false">AUX_MATRIZES!D104</f>
        <v>702.214285714286</v>
      </c>
      <c r="E81" s="18" t="n">
        <f aca="false">AUX_MATRIZES!E104</f>
        <v>702.214285714286</v>
      </c>
      <c r="F81" s="18" t="n">
        <f aca="false">AUX_MATRIZES!F104</f>
        <v>702.214285714286</v>
      </c>
      <c r="G81" s="18" t="n">
        <f aca="false">AUX_MATRIZES!G104</f>
        <v>702.214285714286</v>
      </c>
      <c r="H81" s="18" t="n">
        <f aca="false">AUX_MATRIZES!H104</f>
        <v>702.214285714286</v>
      </c>
      <c r="I81" s="18" t="n">
        <f aca="false">AUX_MATRIZES!I104</f>
        <v>702.214285714286</v>
      </c>
      <c r="J81" s="18" t="n">
        <f aca="false">AUX_MATRIZES!J104</f>
        <v>702.214285714286</v>
      </c>
      <c r="K81" s="18" t="n">
        <f aca="false">AUX_MATRIZES!K104</f>
        <v>702.214285714286</v>
      </c>
      <c r="L81" s="18" t="n">
        <f aca="false">AUX_MATRIZES!L104</f>
        <v>702.214285714286</v>
      </c>
      <c r="M81" s="18" t="n">
        <f aca="false">AUX_MATRIZES!M104</f>
        <v>702.214285714286</v>
      </c>
      <c r="N81" s="18" t="n">
        <f aca="false">AUX_MATRIZES!N104</f>
        <v>702.214285714286</v>
      </c>
      <c r="O81" s="18" t="n">
        <f aca="false">AUX_MATRIZES!O104</f>
        <v>702.214285714286</v>
      </c>
      <c r="P81" s="18" t="n">
        <f aca="false">AUX_MATRIZES!P104</f>
        <v>702.214285714286</v>
      </c>
      <c r="Q81" s="18" t="n">
        <f aca="false">AUX_MATRIZES!Q104</f>
        <v>702.214285714286</v>
      </c>
      <c r="R81" s="18" t="n">
        <f aca="false">AUX_MATRIZES!R104</f>
        <v>702.214285714286</v>
      </c>
      <c r="S81" s="18" t="n">
        <f aca="false">AUX_MATRIZES!S104</f>
        <v>702.214285714286</v>
      </c>
      <c r="T81" s="18" t="n">
        <f aca="false">AUX_MATRIZES!T104</f>
        <v>702.214285714286</v>
      </c>
      <c r="U81" s="18" t="n">
        <f aca="false">AUX_MATRIZES!U104</f>
        <v>702.214285714286</v>
      </c>
      <c r="V81" s="18" t="n">
        <f aca="false">AUX_MATRIZES!V104</f>
        <v>702.214285714286</v>
      </c>
      <c r="W81" s="18" t="n">
        <f aca="false">AUX_MATRIZES!W104</f>
        <v>702.214285714286</v>
      </c>
      <c r="X81" s="18" t="n">
        <f aca="false">AUX_MATRIZES!X104</f>
        <v>702.214285714286</v>
      </c>
      <c r="Y81" s="18" t="n">
        <f aca="false">AUX_MATRIZES!Y104</f>
        <v>702.214285714286</v>
      </c>
      <c r="Z81" s="18" t="n">
        <f aca="false">AUX_MATRIZES!Z104</f>
        <v>702.214285714286</v>
      </c>
      <c r="AA81" s="18" t="n">
        <f aca="false">AUX_MATRIZES!AA104</f>
        <v>702.214285714286</v>
      </c>
      <c r="AB81" s="18" t="n">
        <f aca="false">AUX_MATRIZES!AB104</f>
        <v>702.214285714286</v>
      </c>
      <c r="AC81" s="18" t="n">
        <f aca="false">AUX_MATRIZES!AC104</f>
        <v>702.214285714286</v>
      </c>
      <c r="AD81" s="18" t="n">
        <f aca="false">AUX_MATRIZES!AD104</f>
        <v>702.214285714286</v>
      </c>
      <c r="AE81" s="18" t="n">
        <f aca="false">AUX_MATRIZES!AE104</f>
        <v>702.214285714286</v>
      </c>
      <c r="AF81" s="18" t="n">
        <f aca="false">AUX_MATRIZES!AF104</f>
        <v>702.214285714286</v>
      </c>
      <c r="AG81" s="18" t="n">
        <f aca="false">AUX_MATRIZES!AG104</f>
        <v>702.214285714286</v>
      </c>
      <c r="AH81" s="18" t="n">
        <f aca="false">AUX_MATRIZES!AH104</f>
        <v>702.214285714286</v>
      </c>
      <c r="AI81" s="18" t="n">
        <f aca="false">AUX_MATRIZES!AI104</f>
        <v>702.214285714286</v>
      </c>
      <c r="AJ81" s="18" t="n">
        <f aca="false">AUX_MATRIZES!AJ104</f>
        <v>702.214285714286</v>
      </c>
      <c r="AK81" s="18" t="n">
        <f aca="false">AUX_MATRIZES!AK104</f>
        <v>702.214285714286</v>
      </c>
      <c r="AL81" s="18" t="n">
        <f aca="false">AUX_MATRIZES!AL104</f>
        <v>702.214285714286</v>
      </c>
      <c r="AM81" s="18" t="n">
        <f aca="false">AUX_MATRIZES!AM104</f>
        <v>702.214285714286</v>
      </c>
      <c r="AN81" s="18" t="n">
        <f aca="false">AUX_MATRIZES!AN104</f>
        <v>702.214285714286</v>
      </c>
      <c r="AO81" s="18" t="n">
        <f aca="false">AUX_MATRIZES!AO104</f>
        <v>702.214285714286</v>
      </c>
      <c r="AP81" s="18" t="n">
        <f aca="false">AUX_MATRIZES!AP104</f>
        <v>702.214285714286</v>
      </c>
      <c r="AQ81" s="18" t="n">
        <f aca="false">AUX_MATRIZES!AQ104</f>
        <v>702.214285714286</v>
      </c>
      <c r="AR81" s="18" t="n">
        <f aca="false">AUX_MATRIZES!AR104</f>
        <v>702.214285714286</v>
      </c>
      <c r="AS81" s="18" t="n">
        <f aca="false">AUX_MATRIZES!AS104</f>
        <v>702.214285714286</v>
      </c>
      <c r="AT81" s="18" t="n">
        <f aca="false">AUX_MATRIZES!AT104</f>
        <v>702.214285714286</v>
      </c>
      <c r="AU81" s="18" t="n">
        <f aca="false">AUX_MATRIZES!AU104</f>
        <v>702.214285714286</v>
      </c>
      <c r="AV81" s="18" t="n">
        <f aca="false">AUX_MATRIZES!AV104</f>
        <v>702.214285714286</v>
      </c>
      <c r="AW81" s="18" t="n">
        <f aca="false">AUX_MATRIZES!AW104</f>
        <v>702.214285714286</v>
      </c>
      <c r="AX81" s="18" t="n">
        <f aca="false">AUX_MATRIZES!AX104</f>
        <v>702.214285714286</v>
      </c>
      <c r="AY81" s="18" t="n">
        <f aca="false">AUX_MATRIZES!AY104</f>
        <v>702.214285714286</v>
      </c>
      <c r="AZ81" s="18" t="n">
        <f aca="false">AUX_MATRIZES!AZ104</f>
        <v>702.214285714286</v>
      </c>
      <c r="BA81" s="18" t="n">
        <f aca="false">AUX_MATRIZES!BA104</f>
        <v>702.214285714286</v>
      </c>
      <c r="BB81" s="18" t="n">
        <f aca="false">AUX_MATRIZES!BB104</f>
        <v>702.214285714286</v>
      </c>
      <c r="BC81" s="18" t="n">
        <f aca="false">AUX_MATRIZES!BC104</f>
        <v>702.214285714286</v>
      </c>
      <c r="BD81" s="18" t="n">
        <f aca="false">AUX_MATRIZES!BD104</f>
        <v>702.214285714286</v>
      </c>
      <c r="BE81" s="18" t="n">
        <f aca="false">AUX_MATRIZES!BE104</f>
        <v>702.214285714286</v>
      </c>
      <c r="BF81" s="18" t="n">
        <f aca="false">AUX_MATRIZES!BF104</f>
        <v>702.214285714286</v>
      </c>
      <c r="BG81" s="18" t="n">
        <f aca="false">AUX_MATRIZES!BG104</f>
        <v>702.214285714286</v>
      </c>
      <c r="BH81" s="18" t="n">
        <f aca="false">AUX_MATRIZES!BH104</f>
        <v>702.214285714286</v>
      </c>
      <c r="BI81" s="18" t="n">
        <f aca="false">AUX_MATRIZES!BI104</f>
        <v>702.214285714286</v>
      </c>
      <c r="BJ81" s="18" t="n">
        <f aca="false">AUX_MATRIZES!BJ104</f>
        <v>702.214285714286</v>
      </c>
      <c r="BK81" s="18" t="n">
        <f aca="false">AUX_MATRIZES!BK104</f>
        <v>702.214285714286</v>
      </c>
      <c r="BL81" s="18" t="n">
        <f aca="false">AUX_MATRIZES!BL104</f>
        <v>702.214285714286</v>
      </c>
      <c r="BM81" s="18" t="n">
        <f aca="false">AUX_MATRIZES!BM104</f>
        <v>702.214285714286</v>
      </c>
      <c r="BN81" s="18" t="n">
        <f aca="false">AUX_MATRIZES!BN104</f>
        <v>702.214285714286</v>
      </c>
      <c r="BO81" s="18" t="n">
        <f aca="false">AUX_MATRIZES!BO104</f>
        <v>702.214285714286</v>
      </c>
      <c r="BP81" s="18" t="n">
        <f aca="false">AUX_MATRIZES!BP104</f>
        <v>702.214285714286</v>
      </c>
    </row>
    <row r="82" customFormat="false" ht="15" hidden="false" customHeight="false" outlineLevel="0" collapsed="false">
      <c r="B82" s="15" t="s">
        <v>205</v>
      </c>
      <c r="C82" s="18" t="n">
        <f aca="false">AUX_MATRIZES!C93</f>
        <v>153.537613445378</v>
      </c>
      <c r="D82" s="18" t="n">
        <f aca="false">AUX_MATRIZES!D93</f>
        <v>0</v>
      </c>
      <c r="E82" s="18" t="n">
        <f aca="false">AUX_MATRIZES!E93</f>
        <v>0</v>
      </c>
      <c r="F82" s="18" t="n">
        <f aca="false">AUX_MATRIZES!F93</f>
        <v>0</v>
      </c>
      <c r="G82" s="18" t="n">
        <f aca="false">AUX_MATRIZES!G93</f>
        <v>9.14527731092436</v>
      </c>
      <c r="H82" s="18" t="n">
        <f aca="false">AUX_MATRIZES!H93</f>
        <v>0</v>
      </c>
      <c r="I82" s="18" t="n">
        <f aca="false">AUX_MATRIZES!I93</f>
        <v>0</v>
      </c>
      <c r="J82" s="18" t="n">
        <f aca="false">AUX_MATRIZES!J93</f>
        <v>17.763258135638</v>
      </c>
      <c r="K82" s="18" t="n">
        <f aca="false">AUX_MATRIZES!K93</f>
        <v>57.2867778463709</v>
      </c>
      <c r="L82" s="18" t="n">
        <f aca="false">AUX_MATRIZES!L93</f>
        <v>0</v>
      </c>
      <c r="M82" s="18" t="n">
        <f aca="false">AUX_MATRIZES!M93</f>
        <v>16.8495294117647</v>
      </c>
      <c r="N82" s="18" t="n">
        <f aca="false">AUX_MATRIZES!N93</f>
        <v>16.8495294117647</v>
      </c>
      <c r="O82" s="18" t="n">
        <f aca="false">AUX_MATRIZES!O93</f>
        <v>16.8495294117647</v>
      </c>
      <c r="P82" s="18" t="n">
        <f aca="false">AUX_MATRIZES!P93</f>
        <v>0</v>
      </c>
      <c r="Q82" s="18" t="n">
        <f aca="false">AUX_MATRIZES!Q93</f>
        <v>0</v>
      </c>
      <c r="R82" s="18" t="n">
        <f aca="false">AUX_MATRIZES!R93</f>
        <v>0</v>
      </c>
      <c r="S82" s="18" t="n">
        <f aca="false">AUX_MATRIZES!S93</f>
        <v>0</v>
      </c>
      <c r="T82" s="18" t="n">
        <f aca="false">AUX_MATRIZES!T93</f>
        <v>0</v>
      </c>
      <c r="U82" s="18" t="n">
        <f aca="false">AUX_MATRIZES!U93</f>
        <v>0</v>
      </c>
      <c r="V82" s="18" t="n">
        <f aca="false">AUX_MATRIZES!V93</f>
        <v>0</v>
      </c>
      <c r="W82" s="18" t="n">
        <f aca="false">AUX_MATRIZES!W93</f>
        <v>0</v>
      </c>
      <c r="X82" s="18" t="n">
        <f aca="false">AUX_MATRIZES!X93</f>
        <v>0</v>
      </c>
      <c r="Y82" s="18" t="n">
        <f aca="false">AUX_MATRIZES!Y93</f>
        <v>0</v>
      </c>
      <c r="Z82" s="18" t="n">
        <f aca="false">AUX_MATRIZES!Z93</f>
        <v>1.39742025094056</v>
      </c>
      <c r="AA82" s="18" t="n">
        <f aca="false">AUX_MATRIZES!AA93</f>
        <v>30.4979036790258</v>
      </c>
      <c r="AB82" s="18" t="n">
        <f aca="false">AUX_MATRIZES!AB93</f>
        <v>46.9188907563025</v>
      </c>
      <c r="AC82" s="18" t="n">
        <f aca="false">AUX_MATRIZES!AC93</f>
        <v>57.9619271708683</v>
      </c>
      <c r="AD82" s="18" t="n">
        <f aca="false">AUX_MATRIZES!AD93</f>
        <v>57.9619271708683</v>
      </c>
      <c r="AE82" s="18" t="n">
        <f aca="false">AUX_MATRIZES!AE93</f>
        <v>57.9619271708683</v>
      </c>
      <c r="AF82" s="18" t="n">
        <f aca="false">AUX_MATRIZES!AF93</f>
        <v>57.9619271708683</v>
      </c>
      <c r="AG82" s="18" t="n">
        <f aca="false">AUX_MATRIZES!AG93</f>
        <v>160.511048567575</v>
      </c>
      <c r="AH82" s="18" t="n">
        <f aca="false">AUX_MATRIZES!AH93</f>
        <v>300.38825708061</v>
      </c>
      <c r="AI82" s="18" t="n">
        <f aca="false">AUX_MATRIZES!AI93</f>
        <v>329.608300653595</v>
      </c>
      <c r="AJ82" s="18" t="n">
        <f aca="false">AUX_MATRIZES!AJ93</f>
        <v>358.82834422658</v>
      </c>
      <c r="AK82" s="18" t="n">
        <f aca="false">AUX_MATRIZES!AK93</f>
        <v>394.680133899714</v>
      </c>
      <c r="AL82" s="18" t="n">
        <f aca="false">AUX_MATRIZES!AL93</f>
        <v>469.888080155139</v>
      </c>
      <c r="AM82" s="18" t="n">
        <f aca="false">AUX_MATRIZES!AM93</f>
        <v>453.286873518638</v>
      </c>
      <c r="AN82" s="18" t="n">
        <f aca="false">AUX_MATRIZES!AN93</f>
        <v>436.685666882138</v>
      </c>
      <c r="AO82" s="18" t="n">
        <f aca="false">AUX_MATRIZES!AO93</f>
        <v>420.084460245637</v>
      </c>
      <c r="AP82" s="18" t="n">
        <f aca="false">AUX_MATRIZES!AP93</f>
        <v>409.147644904116</v>
      </c>
      <c r="AQ82" s="18" t="n">
        <f aca="false">AUX_MATRIZES!AQ93</f>
        <v>394.281037132802</v>
      </c>
      <c r="AR82" s="18" t="n">
        <f aca="false">AUX_MATRIZES!AR93</f>
        <v>378.470364145658</v>
      </c>
      <c r="AS82" s="18" t="n">
        <f aca="false">AUX_MATRIZES!AS93</f>
        <v>240.53939869281</v>
      </c>
      <c r="AT82" s="18" t="n">
        <f aca="false">AUX_MATRIZES!AT93</f>
        <v>232.868242763772</v>
      </c>
      <c r="AU82" s="18" t="n">
        <f aca="false">AUX_MATRIZES!AU93</f>
        <v>220.847176470588</v>
      </c>
      <c r="AV82" s="18" t="n">
        <f aca="false">AUX_MATRIZES!AV93</f>
        <v>200.115555555556</v>
      </c>
      <c r="AW82" s="18" t="n">
        <f aca="false">AUX_MATRIZES!AW93</f>
        <v>179.383934640523</v>
      </c>
      <c r="AX82" s="18" t="n">
        <f aca="false">AUX_MATRIZES!AX93</f>
        <v>163.144448179272</v>
      </c>
      <c r="AY82" s="18" t="n">
        <f aca="false">AUX_MATRIZES!AY93</f>
        <v>0</v>
      </c>
      <c r="AZ82" s="18" t="n">
        <f aca="false">AUX_MATRIZES!AZ93</f>
        <v>0</v>
      </c>
      <c r="BA82" s="18" t="n">
        <f aca="false">AUX_MATRIZES!BA93</f>
        <v>0</v>
      </c>
      <c r="BB82" s="18" t="n">
        <f aca="false">AUX_MATRIZES!BB93</f>
        <v>0</v>
      </c>
      <c r="BC82" s="18" t="n">
        <f aca="false">AUX_MATRIZES!BC93</f>
        <v>0</v>
      </c>
      <c r="BD82" s="18" t="n">
        <f aca="false">AUX_MATRIZES!BD93</f>
        <v>0</v>
      </c>
      <c r="BE82" s="18" t="n">
        <f aca="false">AUX_MATRIZES!BE93</f>
        <v>0</v>
      </c>
      <c r="BF82" s="18" t="n">
        <f aca="false">AUX_MATRIZES!BF93</f>
        <v>0</v>
      </c>
      <c r="BG82" s="18" t="n">
        <f aca="false">AUX_MATRIZES!BG93</f>
        <v>0</v>
      </c>
      <c r="BH82" s="18" t="n">
        <f aca="false">AUX_MATRIZES!BH93</f>
        <v>0</v>
      </c>
      <c r="BI82" s="18" t="n">
        <f aca="false">AUX_MATRIZES!BI93</f>
        <v>0</v>
      </c>
      <c r="BJ82" s="18" t="n">
        <f aca="false">AUX_MATRIZES!BJ93</f>
        <v>0</v>
      </c>
      <c r="BK82" s="18" t="n">
        <f aca="false">AUX_MATRIZES!BK93</f>
        <v>0</v>
      </c>
      <c r="BL82" s="18" t="n">
        <f aca="false">AUX_MATRIZES!BL93</f>
        <v>0</v>
      </c>
      <c r="BM82" s="18" t="n">
        <f aca="false">AUX_MATRIZES!BM93</f>
        <v>0</v>
      </c>
      <c r="BN82" s="18" t="n">
        <f aca="false">AUX_MATRIZES!BN93</f>
        <v>0</v>
      </c>
      <c r="BO82" s="18" t="n">
        <f aca="false">AUX_MATRIZES!BO93</f>
        <v>0</v>
      </c>
      <c r="BP82" s="18" t="n">
        <f aca="false">AUX_MATRIZES!BP93</f>
        <v>0</v>
      </c>
    </row>
    <row r="83" customFormat="false" ht="15" hidden="false" customHeight="false" outlineLevel="0" collapsed="false">
      <c r="B83" s="15" t="s">
        <v>206</v>
      </c>
      <c r="C83" s="18" t="n">
        <f aca="false">AUX_MATRIZES!C105</f>
        <v>1433.21428571429</v>
      </c>
      <c r="D83" s="18" t="n">
        <f aca="false">AUX_MATRIZES!D105</f>
        <v>1433.21428571429</v>
      </c>
      <c r="E83" s="18" t="n">
        <f aca="false">AUX_MATRIZES!E105</f>
        <v>1433.21428571429</v>
      </c>
      <c r="F83" s="18" t="n">
        <f aca="false">AUX_MATRIZES!F105</f>
        <v>1433.21428571429</v>
      </c>
      <c r="G83" s="18" t="n">
        <f aca="false">AUX_MATRIZES!G105</f>
        <v>1433.21428571429</v>
      </c>
      <c r="H83" s="18" t="n">
        <f aca="false">AUX_MATRIZES!H105</f>
        <v>1433.21428571429</v>
      </c>
      <c r="I83" s="18" t="n">
        <f aca="false">AUX_MATRIZES!I105</f>
        <v>1433.21428571429</v>
      </c>
      <c r="J83" s="18" t="n">
        <f aca="false">AUX_MATRIZES!J105</f>
        <v>1433.21428571429</v>
      </c>
      <c r="K83" s="18" t="n">
        <f aca="false">AUX_MATRIZES!K105</f>
        <v>1433.21428571429</v>
      </c>
      <c r="L83" s="18" t="n">
        <f aca="false">AUX_MATRIZES!L105</f>
        <v>1433.21428571429</v>
      </c>
      <c r="M83" s="18" t="n">
        <f aca="false">AUX_MATRIZES!M105</f>
        <v>1433.21428571429</v>
      </c>
      <c r="N83" s="18" t="n">
        <f aca="false">AUX_MATRIZES!N105</f>
        <v>1433.21428571429</v>
      </c>
      <c r="O83" s="18" t="n">
        <f aca="false">AUX_MATRIZES!O105</f>
        <v>1433.21428571429</v>
      </c>
      <c r="P83" s="18" t="n">
        <f aca="false">AUX_MATRIZES!P105</f>
        <v>1433.21428571429</v>
      </c>
      <c r="Q83" s="18" t="n">
        <f aca="false">AUX_MATRIZES!Q105</f>
        <v>1433.21428571429</v>
      </c>
      <c r="R83" s="18" t="n">
        <f aca="false">AUX_MATRIZES!R105</f>
        <v>1433.21428571429</v>
      </c>
      <c r="S83" s="18" t="n">
        <f aca="false">AUX_MATRIZES!S105</f>
        <v>1433.21428571429</v>
      </c>
      <c r="T83" s="18" t="n">
        <f aca="false">AUX_MATRIZES!T105</f>
        <v>1433.21428571429</v>
      </c>
      <c r="U83" s="18" t="n">
        <f aca="false">AUX_MATRIZES!U105</f>
        <v>1433.21428571429</v>
      </c>
      <c r="V83" s="18" t="n">
        <f aca="false">AUX_MATRIZES!V105</f>
        <v>1433.21428571429</v>
      </c>
      <c r="W83" s="18" t="n">
        <f aca="false">AUX_MATRIZES!W105</f>
        <v>1433.21428571429</v>
      </c>
      <c r="X83" s="18" t="n">
        <f aca="false">AUX_MATRIZES!X105</f>
        <v>1433.21428571429</v>
      </c>
      <c r="Y83" s="18" t="n">
        <f aca="false">AUX_MATRIZES!Y105</f>
        <v>1433.21428571429</v>
      </c>
      <c r="Z83" s="18" t="n">
        <f aca="false">AUX_MATRIZES!Z105</f>
        <v>1433.21428571429</v>
      </c>
      <c r="AA83" s="18" t="n">
        <f aca="false">AUX_MATRIZES!AA105</f>
        <v>1433.21428571429</v>
      </c>
      <c r="AB83" s="18" t="n">
        <f aca="false">AUX_MATRIZES!AB105</f>
        <v>1433.21428571429</v>
      </c>
      <c r="AC83" s="18" t="n">
        <f aca="false">AUX_MATRIZES!AC105</f>
        <v>1433.21428571429</v>
      </c>
      <c r="AD83" s="18" t="n">
        <f aca="false">AUX_MATRIZES!AD105</f>
        <v>1433.21428571429</v>
      </c>
      <c r="AE83" s="18" t="n">
        <f aca="false">AUX_MATRIZES!AE105</f>
        <v>1433.21428571429</v>
      </c>
      <c r="AF83" s="18" t="n">
        <f aca="false">AUX_MATRIZES!AF105</f>
        <v>1433.21428571429</v>
      </c>
      <c r="AG83" s="18" t="n">
        <f aca="false">AUX_MATRIZES!AG105</f>
        <v>1433.21428571429</v>
      </c>
      <c r="AH83" s="18" t="n">
        <f aca="false">AUX_MATRIZES!AH105</f>
        <v>1433.21428571429</v>
      </c>
      <c r="AI83" s="18" t="n">
        <f aca="false">AUX_MATRIZES!AI105</f>
        <v>1433.21428571429</v>
      </c>
      <c r="AJ83" s="18" t="n">
        <f aca="false">AUX_MATRIZES!AJ105</f>
        <v>1433.21428571429</v>
      </c>
      <c r="AK83" s="18" t="n">
        <f aca="false">AUX_MATRIZES!AK105</f>
        <v>1433.21428571429</v>
      </c>
      <c r="AL83" s="18" t="n">
        <f aca="false">AUX_MATRIZES!AL105</f>
        <v>1433.21428571429</v>
      </c>
      <c r="AM83" s="18" t="n">
        <f aca="false">AUX_MATRIZES!AM105</f>
        <v>1433.21428571429</v>
      </c>
      <c r="AN83" s="18" t="n">
        <f aca="false">AUX_MATRIZES!AN105</f>
        <v>1433.21428571429</v>
      </c>
      <c r="AO83" s="18" t="n">
        <f aca="false">AUX_MATRIZES!AO105</f>
        <v>1433.21428571429</v>
      </c>
      <c r="AP83" s="18" t="n">
        <f aca="false">AUX_MATRIZES!AP105</f>
        <v>1433.21428571429</v>
      </c>
      <c r="AQ83" s="18" t="n">
        <f aca="false">AUX_MATRIZES!AQ105</f>
        <v>1433.21428571429</v>
      </c>
      <c r="AR83" s="18" t="n">
        <f aca="false">AUX_MATRIZES!AR105</f>
        <v>1433.21428571429</v>
      </c>
      <c r="AS83" s="18" t="n">
        <f aca="false">AUX_MATRIZES!AS105</f>
        <v>1433.21428571429</v>
      </c>
      <c r="AT83" s="18" t="n">
        <f aca="false">AUX_MATRIZES!AT105</f>
        <v>1433.21428571429</v>
      </c>
      <c r="AU83" s="18" t="n">
        <f aca="false">AUX_MATRIZES!AU105</f>
        <v>1433.21428571429</v>
      </c>
      <c r="AV83" s="18" t="n">
        <f aca="false">AUX_MATRIZES!AV105</f>
        <v>1433.21428571429</v>
      </c>
      <c r="AW83" s="18" t="n">
        <f aca="false">AUX_MATRIZES!AW105</f>
        <v>1433.21428571429</v>
      </c>
      <c r="AX83" s="18" t="n">
        <f aca="false">AUX_MATRIZES!AX105</f>
        <v>1433.21428571429</v>
      </c>
      <c r="AY83" s="18" t="n">
        <f aca="false">AUX_MATRIZES!AY105</f>
        <v>1433.21428571429</v>
      </c>
      <c r="AZ83" s="18" t="n">
        <f aca="false">AUX_MATRIZES!AZ105</f>
        <v>1433.21428571429</v>
      </c>
      <c r="BA83" s="18" t="n">
        <f aca="false">AUX_MATRIZES!BA105</f>
        <v>1433.21428571429</v>
      </c>
      <c r="BB83" s="18" t="n">
        <f aca="false">AUX_MATRIZES!BB105</f>
        <v>1433.21428571429</v>
      </c>
      <c r="BC83" s="18" t="n">
        <f aca="false">AUX_MATRIZES!BC105</f>
        <v>1433.21428571429</v>
      </c>
      <c r="BD83" s="18" t="n">
        <f aca="false">AUX_MATRIZES!BD105</f>
        <v>1433.21428571429</v>
      </c>
      <c r="BE83" s="18" t="n">
        <f aca="false">AUX_MATRIZES!BE105</f>
        <v>1433.21428571429</v>
      </c>
      <c r="BF83" s="18" t="n">
        <f aca="false">AUX_MATRIZES!BF105</f>
        <v>1433.21428571429</v>
      </c>
      <c r="BG83" s="18" t="n">
        <f aca="false">AUX_MATRIZES!BG105</f>
        <v>1433.21428571429</v>
      </c>
      <c r="BH83" s="18" t="n">
        <f aca="false">AUX_MATRIZES!BH105</f>
        <v>1433.21428571429</v>
      </c>
      <c r="BI83" s="18" t="n">
        <f aca="false">AUX_MATRIZES!BI105</f>
        <v>1433.21428571429</v>
      </c>
      <c r="BJ83" s="18" t="n">
        <f aca="false">AUX_MATRIZES!BJ105</f>
        <v>1433.21428571429</v>
      </c>
      <c r="BK83" s="18" t="n">
        <f aca="false">AUX_MATRIZES!BK105</f>
        <v>1433.21428571429</v>
      </c>
      <c r="BL83" s="18" t="n">
        <f aca="false">AUX_MATRIZES!BL105</f>
        <v>1433.21428571429</v>
      </c>
      <c r="BM83" s="18" t="n">
        <f aca="false">AUX_MATRIZES!BM105</f>
        <v>1433.21428571429</v>
      </c>
      <c r="BN83" s="18" t="n">
        <f aca="false">AUX_MATRIZES!BN105</f>
        <v>1433.21428571429</v>
      </c>
      <c r="BO83" s="18" t="n">
        <f aca="false">AUX_MATRIZES!BO105</f>
        <v>1433.21428571429</v>
      </c>
      <c r="BP83" s="18" t="n">
        <f aca="false">AUX_MATRIZES!BP105</f>
        <v>1433.21428571429</v>
      </c>
    </row>
    <row r="84" customFormat="false" ht="15" hidden="false" customHeight="false" outlineLevel="0" collapsed="false">
      <c r="B84" s="15" t="s">
        <v>207</v>
      </c>
      <c r="C84" s="18" t="n">
        <f aca="false">AUX_MATRIZES!C94</f>
        <v>0</v>
      </c>
      <c r="D84" s="18" t="n">
        <f aca="false">AUX_MATRIZES!D94</f>
        <v>0</v>
      </c>
      <c r="E84" s="18" t="n">
        <f aca="false">AUX_MATRIZES!E94</f>
        <v>0</v>
      </c>
      <c r="F84" s="18" t="n">
        <f aca="false">AUX_MATRIZES!F94</f>
        <v>0</v>
      </c>
      <c r="G84" s="18" t="n">
        <f aca="false">AUX_MATRIZES!G94</f>
        <v>17.9814389755902</v>
      </c>
      <c r="H84" s="18" t="n">
        <f aca="false">AUX_MATRIZES!H94</f>
        <v>0</v>
      </c>
      <c r="I84" s="18" t="n">
        <f aca="false">AUX_MATRIZES!I94</f>
        <v>0</v>
      </c>
      <c r="J84" s="18" t="n">
        <f aca="false">AUX_MATRIZES!J94</f>
        <v>3.68767139473158</v>
      </c>
      <c r="K84" s="18" t="n">
        <f aca="false">AUX_MATRIZES!K94</f>
        <v>83.0011851420597</v>
      </c>
      <c r="L84" s="18" t="n">
        <f aca="false">AUX_MATRIZES!L94</f>
        <v>0</v>
      </c>
      <c r="M84" s="18" t="n">
        <f aca="false">AUX_MATRIZES!M94</f>
        <v>31.2852983088287</v>
      </c>
      <c r="N84" s="18" t="n">
        <f aca="false">AUX_MATRIZES!N94</f>
        <v>33.1295350140056</v>
      </c>
      <c r="O84" s="18" t="n">
        <f aca="false">AUX_MATRIZES!O94</f>
        <v>33.1295350140056</v>
      </c>
      <c r="P84" s="18" t="n">
        <f aca="false">AUX_MATRIZES!P94</f>
        <v>0</v>
      </c>
      <c r="Q84" s="18" t="n">
        <f aca="false">AUX_MATRIZES!Q94</f>
        <v>0</v>
      </c>
      <c r="R84" s="18" t="n">
        <f aca="false">AUX_MATRIZES!R94</f>
        <v>0</v>
      </c>
      <c r="S84" s="18" t="n">
        <f aca="false">AUX_MATRIZES!S94</f>
        <v>0</v>
      </c>
      <c r="T84" s="18" t="n">
        <f aca="false">AUX_MATRIZES!T94</f>
        <v>3.60890707789473</v>
      </c>
      <c r="U84" s="18" t="n">
        <f aca="false">AUX_MATRIZES!U94</f>
        <v>0</v>
      </c>
      <c r="V84" s="18" t="n">
        <f aca="false">AUX_MATRIZES!V94</f>
        <v>0</v>
      </c>
      <c r="W84" s="18" t="n">
        <f aca="false">AUX_MATRIZES!W94</f>
        <v>0</v>
      </c>
      <c r="X84" s="18" t="n">
        <f aca="false">AUX_MATRIZES!X94</f>
        <v>0</v>
      </c>
      <c r="Y84" s="18" t="n">
        <f aca="false">AUX_MATRIZES!Y94</f>
        <v>0</v>
      </c>
      <c r="Z84" s="18" t="n">
        <f aca="false">AUX_MATRIZES!Z94</f>
        <v>0</v>
      </c>
      <c r="AA84" s="18" t="n">
        <f aca="false">AUX_MATRIZES!AA94</f>
        <v>0</v>
      </c>
      <c r="AB84" s="18" t="n">
        <f aca="false">AUX_MATRIZES!AB94</f>
        <v>0</v>
      </c>
      <c r="AC84" s="18" t="n">
        <f aca="false">AUX_MATRIZES!AC94</f>
        <v>0</v>
      </c>
      <c r="AD84" s="18" t="n">
        <f aca="false">AUX_MATRIZES!AD94</f>
        <v>0</v>
      </c>
      <c r="AE84" s="18" t="n">
        <f aca="false">AUX_MATRIZES!AE94</f>
        <v>0</v>
      </c>
      <c r="AF84" s="18" t="n">
        <f aca="false">AUX_MATRIZES!AF94</f>
        <v>0</v>
      </c>
      <c r="AG84" s="18" t="n">
        <f aca="false">AUX_MATRIZES!AG94</f>
        <v>52.6295019404211</v>
      </c>
      <c r="AH84" s="18" t="n">
        <f aca="false">AUX_MATRIZES!AH94</f>
        <v>217.772718147614</v>
      </c>
      <c r="AI84" s="18" t="n">
        <f aca="false">AUX_MATRIZES!AI94</f>
        <v>272.845464405881</v>
      </c>
      <c r="AJ84" s="18" t="n">
        <f aca="false">AUX_MATRIZES!AJ94</f>
        <v>327.918210664147</v>
      </c>
      <c r="AK84" s="18" t="n">
        <f aca="false">AUX_MATRIZES!AK94</f>
        <v>402.793730292117</v>
      </c>
      <c r="AL84" s="18" t="n">
        <f aca="false">AUX_MATRIZES!AL94</f>
        <v>492.621781512605</v>
      </c>
      <c r="AM84" s="18" t="n">
        <f aca="false">AUX_MATRIZES!AM94</f>
        <v>492.621781512605</v>
      </c>
      <c r="AN84" s="18" t="n">
        <f aca="false">AUX_MATRIZES!AN94</f>
        <v>492.621781512605</v>
      </c>
      <c r="AO84" s="18" t="n">
        <f aca="false">AUX_MATRIZES!AO94</f>
        <v>492.621781512605</v>
      </c>
      <c r="AP84" s="18" t="n">
        <f aca="false">AUX_MATRIZES!AP94</f>
        <v>494.331284513806</v>
      </c>
      <c r="AQ84" s="18" t="n">
        <f aca="false">AUX_MATRIZES!AQ94</f>
        <v>494.616201680672</v>
      </c>
      <c r="AR84" s="18" t="n">
        <f aca="false">AUX_MATRIZES!AR94</f>
        <v>494.616201680672</v>
      </c>
      <c r="AS84" s="18" t="n">
        <f aca="false">AUX_MATRIZES!AS94</f>
        <v>494.616201680672</v>
      </c>
      <c r="AT84" s="18" t="n">
        <f aca="false">AUX_MATRIZES!AT94</f>
        <v>498.588575497598</v>
      </c>
      <c r="AU84" s="18" t="n">
        <f aca="false">AUX_MATRIZES!AU94</f>
        <v>483.374961266558</v>
      </c>
      <c r="AV84" s="18" t="n">
        <f aca="false">AUX_MATRIZES!AV94</f>
        <v>449.779493335796</v>
      </c>
      <c r="AW84" s="18" t="n">
        <f aca="false">AUX_MATRIZES!AW94</f>
        <v>416.184025405034</v>
      </c>
      <c r="AX84" s="18" t="n">
        <f aca="false">AUX_MATRIZES!AX94</f>
        <v>393.533342561933</v>
      </c>
      <c r="AY84" s="18" t="n">
        <f aca="false">AUX_MATRIZES!AY94</f>
        <v>418.574975590236</v>
      </c>
      <c r="AZ84" s="18" t="n">
        <f aca="false">AUX_MATRIZES!AZ94</f>
        <v>377.94789809257</v>
      </c>
      <c r="BA84" s="18" t="n">
        <f aca="false">AUX_MATRIZES!BA94</f>
        <v>337.320820594905</v>
      </c>
      <c r="BB84" s="18" t="n">
        <f aca="false">AUX_MATRIZES!BB94</f>
        <v>0</v>
      </c>
      <c r="BC84" s="18" t="n">
        <f aca="false">AUX_MATRIZES!BC94</f>
        <v>0</v>
      </c>
      <c r="BD84" s="18" t="n">
        <f aca="false">AUX_MATRIZES!BD94</f>
        <v>0</v>
      </c>
      <c r="BE84" s="18" t="n">
        <f aca="false">AUX_MATRIZES!BE94</f>
        <v>0</v>
      </c>
      <c r="BF84" s="18" t="n">
        <f aca="false">AUX_MATRIZES!BF94</f>
        <v>0</v>
      </c>
      <c r="BG84" s="18" t="n">
        <f aca="false">AUX_MATRIZES!BG94</f>
        <v>0</v>
      </c>
      <c r="BH84" s="18" t="n">
        <f aca="false">AUX_MATRIZES!BH94</f>
        <v>0</v>
      </c>
      <c r="BI84" s="18" t="n">
        <f aca="false">AUX_MATRIZES!BI94</f>
        <v>0</v>
      </c>
      <c r="BJ84" s="18" t="n">
        <f aca="false">AUX_MATRIZES!BJ94</f>
        <v>0</v>
      </c>
      <c r="BK84" s="18" t="n">
        <f aca="false">AUX_MATRIZES!BK94</f>
        <v>0</v>
      </c>
      <c r="BL84" s="18" t="n">
        <f aca="false">AUX_MATRIZES!BL94</f>
        <v>0</v>
      </c>
      <c r="BM84" s="18" t="n">
        <f aca="false">AUX_MATRIZES!BM94</f>
        <v>0</v>
      </c>
      <c r="BN84" s="18" t="n">
        <f aca="false">AUX_MATRIZES!BN94</f>
        <v>0</v>
      </c>
      <c r="BO84" s="18" t="n">
        <f aca="false">AUX_MATRIZES!BO94</f>
        <v>0</v>
      </c>
      <c r="BP84" s="18" t="n">
        <f aca="false">AUX_MATRIZES!BP94</f>
        <v>0</v>
      </c>
    </row>
    <row r="85" customFormat="false" ht="15" hidden="false" customHeight="false" outlineLevel="0" collapsed="false">
      <c r="B85" s="15" t="s">
        <v>208</v>
      </c>
      <c r="C85" s="18" t="n">
        <f aca="false">AUX_MATRIZES!C106</f>
        <v>1412.71428571429</v>
      </c>
      <c r="D85" s="18" t="n">
        <f aca="false">AUX_MATRIZES!D106</f>
        <v>1412.71428571429</v>
      </c>
      <c r="E85" s="18" t="n">
        <f aca="false">AUX_MATRIZES!E106</f>
        <v>1412.71428571429</v>
      </c>
      <c r="F85" s="18" t="n">
        <f aca="false">AUX_MATRIZES!F106</f>
        <v>1412.71428571429</v>
      </c>
      <c r="G85" s="18" t="n">
        <f aca="false">AUX_MATRIZES!G106</f>
        <v>1412.71428571429</v>
      </c>
      <c r="H85" s="18" t="n">
        <f aca="false">AUX_MATRIZES!H106</f>
        <v>1412.71428571429</v>
      </c>
      <c r="I85" s="18" t="n">
        <f aca="false">AUX_MATRIZES!I106</f>
        <v>1412.71428571429</v>
      </c>
      <c r="J85" s="18" t="n">
        <f aca="false">AUX_MATRIZES!J106</f>
        <v>1412.71428571429</v>
      </c>
      <c r="K85" s="18" t="n">
        <f aca="false">AUX_MATRIZES!K106</f>
        <v>1412.71428571429</v>
      </c>
      <c r="L85" s="18" t="n">
        <f aca="false">AUX_MATRIZES!L106</f>
        <v>1412.71428571429</v>
      </c>
      <c r="M85" s="18" t="n">
        <f aca="false">AUX_MATRIZES!M106</f>
        <v>1412.71428571429</v>
      </c>
      <c r="N85" s="18" t="n">
        <f aca="false">AUX_MATRIZES!N106</f>
        <v>1412.71428571429</v>
      </c>
      <c r="O85" s="18" t="n">
        <f aca="false">AUX_MATRIZES!O106</f>
        <v>1412.71428571429</v>
      </c>
      <c r="P85" s="18" t="n">
        <f aca="false">AUX_MATRIZES!P106</f>
        <v>1412.71428571429</v>
      </c>
      <c r="Q85" s="18" t="n">
        <f aca="false">AUX_MATRIZES!Q106</f>
        <v>1412.71428571429</v>
      </c>
      <c r="R85" s="18" t="n">
        <f aca="false">AUX_MATRIZES!R106</f>
        <v>1412.71428571429</v>
      </c>
      <c r="S85" s="18" t="n">
        <f aca="false">AUX_MATRIZES!S106</f>
        <v>1412.71428571429</v>
      </c>
      <c r="T85" s="18" t="n">
        <f aca="false">AUX_MATRIZES!T106</f>
        <v>1412.71428571429</v>
      </c>
      <c r="U85" s="18" t="n">
        <f aca="false">AUX_MATRIZES!U106</f>
        <v>1412.71428571429</v>
      </c>
      <c r="V85" s="18" t="n">
        <f aca="false">AUX_MATRIZES!V106</f>
        <v>1412.71428571429</v>
      </c>
      <c r="W85" s="18" t="n">
        <f aca="false">AUX_MATRIZES!W106</f>
        <v>1412.71428571429</v>
      </c>
      <c r="X85" s="18" t="n">
        <f aca="false">AUX_MATRIZES!X106</f>
        <v>1412.71428571429</v>
      </c>
      <c r="Y85" s="18" t="n">
        <f aca="false">AUX_MATRIZES!Y106</f>
        <v>1412.71428571429</v>
      </c>
      <c r="Z85" s="18" t="n">
        <f aca="false">AUX_MATRIZES!Z106</f>
        <v>1412.71428571429</v>
      </c>
      <c r="AA85" s="18" t="n">
        <f aca="false">AUX_MATRIZES!AA106</f>
        <v>1412.71428571429</v>
      </c>
      <c r="AB85" s="18" t="n">
        <f aca="false">AUX_MATRIZES!AB106</f>
        <v>1412.71428571429</v>
      </c>
      <c r="AC85" s="18" t="n">
        <f aca="false">AUX_MATRIZES!AC106</f>
        <v>1412.71428571429</v>
      </c>
      <c r="AD85" s="18" t="n">
        <f aca="false">AUX_MATRIZES!AD106</f>
        <v>1412.71428571429</v>
      </c>
      <c r="AE85" s="18" t="n">
        <f aca="false">AUX_MATRIZES!AE106</f>
        <v>1412.71428571429</v>
      </c>
      <c r="AF85" s="18" t="n">
        <f aca="false">AUX_MATRIZES!AF106</f>
        <v>1412.71428571429</v>
      </c>
      <c r="AG85" s="18" t="n">
        <f aca="false">AUX_MATRIZES!AG106</f>
        <v>1412.71428571429</v>
      </c>
      <c r="AH85" s="18" t="n">
        <f aca="false">AUX_MATRIZES!AH106</f>
        <v>1412.71428571429</v>
      </c>
      <c r="AI85" s="18" t="n">
        <f aca="false">AUX_MATRIZES!AI106</f>
        <v>1412.71428571429</v>
      </c>
      <c r="AJ85" s="18" t="n">
        <f aca="false">AUX_MATRIZES!AJ106</f>
        <v>1412.71428571429</v>
      </c>
      <c r="AK85" s="18" t="n">
        <f aca="false">AUX_MATRIZES!AK106</f>
        <v>1412.71428571429</v>
      </c>
      <c r="AL85" s="18" t="n">
        <f aca="false">AUX_MATRIZES!AL106</f>
        <v>1412.71428571429</v>
      </c>
      <c r="AM85" s="18" t="n">
        <f aca="false">AUX_MATRIZES!AM106</f>
        <v>1412.71428571429</v>
      </c>
      <c r="AN85" s="18" t="n">
        <f aca="false">AUX_MATRIZES!AN106</f>
        <v>1412.71428571429</v>
      </c>
      <c r="AO85" s="18" t="n">
        <f aca="false">AUX_MATRIZES!AO106</f>
        <v>1412.71428571429</v>
      </c>
      <c r="AP85" s="18" t="n">
        <f aca="false">AUX_MATRIZES!AP106</f>
        <v>1412.71428571429</v>
      </c>
      <c r="AQ85" s="18" t="n">
        <f aca="false">AUX_MATRIZES!AQ106</f>
        <v>1412.71428571429</v>
      </c>
      <c r="AR85" s="18" t="n">
        <f aca="false">AUX_MATRIZES!AR106</f>
        <v>1412.71428571429</v>
      </c>
      <c r="AS85" s="18" t="n">
        <f aca="false">AUX_MATRIZES!AS106</f>
        <v>1412.71428571429</v>
      </c>
      <c r="AT85" s="18" t="n">
        <f aca="false">AUX_MATRIZES!AT106</f>
        <v>1412.71428571429</v>
      </c>
      <c r="AU85" s="18" t="n">
        <f aca="false">AUX_MATRIZES!AU106</f>
        <v>1412.71428571429</v>
      </c>
      <c r="AV85" s="18" t="n">
        <f aca="false">AUX_MATRIZES!AV106</f>
        <v>1412.71428571429</v>
      </c>
      <c r="AW85" s="18" t="n">
        <f aca="false">AUX_MATRIZES!AW106</f>
        <v>1412.71428571429</v>
      </c>
      <c r="AX85" s="18" t="n">
        <f aca="false">AUX_MATRIZES!AX106</f>
        <v>1412.71428571429</v>
      </c>
      <c r="AY85" s="18" t="n">
        <f aca="false">AUX_MATRIZES!AY106</f>
        <v>1412.71428571429</v>
      </c>
      <c r="AZ85" s="18" t="n">
        <f aca="false">AUX_MATRIZES!AZ106</f>
        <v>1412.71428571429</v>
      </c>
      <c r="BA85" s="18" t="n">
        <f aca="false">AUX_MATRIZES!BA106</f>
        <v>1412.71428571429</v>
      </c>
      <c r="BB85" s="18" t="n">
        <f aca="false">AUX_MATRIZES!BB106</f>
        <v>1412.71428571429</v>
      </c>
      <c r="BC85" s="18" t="n">
        <f aca="false">AUX_MATRIZES!BC106</f>
        <v>1412.71428571429</v>
      </c>
      <c r="BD85" s="18" t="n">
        <f aca="false">AUX_MATRIZES!BD106</f>
        <v>1412.71428571429</v>
      </c>
      <c r="BE85" s="18" t="n">
        <f aca="false">AUX_MATRIZES!BE106</f>
        <v>1412.71428571429</v>
      </c>
      <c r="BF85" s="18" t="n">
        <f aca="false">AUX_MATRIZES!BF106</f>
        <v>1412.71428571429</v>
      </c>
      <c r="BG85" s="18" t="n">
        <f aca="false">AUX_MATRIZES!BG106</f>
        <v>1412.71428571429</v>
      </c>
      <c r="BH85" s="18" t="n">
        <f aca="false">AUX_MATRIZES!BH106</f>
        <v>1412.71428571429</v>
      </c>
      <c r="BI85" s="18" t="n">
        <f aca="false">AUX_MATRIZES!BI106</f>
        <v>1412.71428571429</v>
      </c>
      <c r="BJ85" s="18" t="n">
        <f aca="false">AUX_MATRIZES!BJ106</f>
        <v>1412.71428571429</v>
      </c>
      <c r="BK85" s="18" t="n">
        <f aca="false">AUX_MATRIZES!BK106</f>
        <v>1412.71428571429</v>
      </c>
      <c r="BL85" s="18" t="n">
        <f aca="false">AUX_MATRIZES!BL106</f>
        <v>1412.71428571429</v>
      </c>
      <c r="BM85" s="18" t="n">
        <f aca="false">AUX_MATRIZES!BM106</f>
        <v>1412.71428571429</v>
      </c>
      <c r="BN85" s="18" t="n">
        <f aca="false">AUX_MATRIZES!BN106</f>
        <v>1412.71428571429</v>
      </c>
      <c r="BO85" s="18" t="n">
        <f aca="false">AUX_MATRIZES!BO106</f>
        <v>1412.71428571429</v>
      </c>
      <c r="BP85" s="18" t="n">
        <f aca="false">AUX_MATRIZES!BP106</f>
        <v>1412.71428571429</v>
      </c>
    </row>
    <row r="86" customFormat="false" ht="15" hidden="false" customHeight="false" outlineLevel="0" collapsed="false">
      <c r="B86" s="15" t="s">
        <v>209</v>
      </c>
      <c r="C86" s="18" t="n">
        <f aca="false">AUX_MATRIZES!C95</f>
        <v>312.599619047619</v>
      </c>
      <c r="D86" s="18" t="n">
        <f aca="false">AUX_MATRIZES!D95</f>
        <v>329.081736694678</v>
      </c>
      <c r="E86" s="18" t="n">
        <f aca="false">AUX_MATRIZES!E95</f>
        <v>329.081736694678</v>
      </c>
      <c r="F86" s="18" t="n">
        <f aca="false">AUX_MATRIZES!F95</f>
        <v>329.081736694678</v>
      </c>
      <c r="G86" s="18" t="n">
        <f aca="false">AUX_MATRIZES!G95</f>
        <v>267.29049859944</v>
      </c>
      <c r="H86" s="18" t="n">
        <f aca="false">AUX_MATRIZES!H95</f>
        <v>187.470072829132</v>
      </c>
      <c r="I86" s="18" t="n">
        <f aca="false">AUX_MATRIZES!I95</f>
        <v>187.470072829132</v>
      </c>
      <c r="J86" s="18" t="n">
        <f aca="false">AUX_MATRIZES!J95</f>
        <v>231.980290162747</v>
      </c>
      <c r="K86" s="18" t="n">
        <f aca="false">AUX_MATRIZES!K95</f>
        <v>276.200810095951</v>
      </c>
      <c r="L86" s="18" t="n">
        <f aca="false">AUX_MATRIZES!L95</f>
        <v>0</v>
      </c>
      <c r="M86" s="18" t="n">
        <f aca="false">AUX_MATRIZES!M95</f>
        <v>35.2451484593837</v>
      </c>
      <c r="N86" s="18" t="n">
        <f aca="false">AUX_MATRIZES!N95</f>
        <v>35.2451484593837</v>
      </c>
      <c r="O86" s="18" t="n">
        <f aca="false">AUX_MATRIZES!O95</f>
        <v>35.2451484593837</v>
      </c>
      <c r="P86" s="18" t="n">
        <f aca="false">AUX_MATRIZES!P95</f>
        <v>0</v>
      </c>
      <c r="Q86" s="18" t="n">
        <f aca="false">AUX_MATRIZES!Q95</f>
        <v>0</v>
      </c>
      <c r="R86" s="18" t="n">
        <f aca="false">AUX_MATRIZES!R95</f>
        <v>0</v>
      </c>
      <c r="S86" s="18" t="n">
        <f aca="false">AUX_MATRIZES!S95</f>
        <v>0</v>
      </c>
      <c r="T86" s="18" t="n">
        <f aca="false">AUX_MATRIZES!T95</f>
        <v>0</v>
      </c>
      <c r="U86" s="18" t="n">
        <f aca="false">AUX_MATRIZES!U95</f>
        <v>0</v>
      </c>
      <c r="V86" s="18" t="n">
        <f aca="false">AUX_MATRIZES!V95</f>
        <v>0</v>
      </c>
      <c r="W86" s="18" t="n">
        <f aca="false">AUX_MATRIZES!W95</f>
        <v>0</v>
      </c>
      <c r="X86" s="18" t="n">
        <f aca="false">AUX_MATRIZES!X95</f>
        <v>0</v>
      </c>
      <c r="Y86" s="18" t="n">
        <f aca="false">AUX_MATRIZES!Y95</f>
        <v>0</v>
      </c>
      <c r="Z86" s="18" t="n">
        <f aca="false">AUX_MATRIZES!Z95</f>
        <v>12.7080391383377</v>
      </c>
      <c r="AA86" s="18" t="n">
        <f aca="false">AUX_MATRIZES!AA95</f>
        <v>80.68247958276</v>
      </c>
      <c r="AB86" s="18" t="n">
        <f aca="false">AUX_MATRIZES!AB95</f>
        <v>137.843270968348</v>
      </c>
      <c r="AC86" s="18" t="n">
        <f aca="false">AUX_MATRIZES!AC95</f>
        <v>190.574599439776</v>
      </c>
      <c r="AD86" s="18" t="n">
        <f aca="false">AUX_MATRIZES!AD95</f>
        <v>190.574599439776</v>
      </c>
      <c r="AE86" s="18" t="n">
        <f aca="false">AUX_MATRIZES!AE95</f>
        <v>190.574599439776</v>
      </c>
      <c r="AF86" s="18" t="n">
        <f aca="false">AUX_MATRIZES!AF95</f>
        <v>190.574599439776</v>
      </c>
      <c r="AG86" s="18" t="n">
        <f aca="false">AUX_MATRIZES!AG95</f>
        <v>498.050948572284</v>
      </c>
      <c r="AH86" s="18" t="n">
        <f aca="false">AUX_MATRIZES!AH95</f>
        <v>854.696408783105</v>
      </c>
      <c r="AI86" s="18" t="n">
        <f aca="false">AUX_MATRIZES!AI95</f>
        <v>914.494168255073</v>
      </c>
      <c r="AJ86" s="18" t="n">
        <f aca="false">AUX_MATRIZES!AJ95</f>
        <v>974.291927727041</v>
      </c>
      <c r="AK86" s="18" t="n">
        <f aca="false">AUX_MATRIZES!AK95</f>
        <v>1060.89092727201</v>
      </c>
      <c r="AL86" s="18" t="n">
        <f aca="false">AUX_MATRIZES!AL95</f>
        <v>1256.44059469942</v>
      </c>
      <c r="AM86" s="18" t="n">
        <f aca="false">AUX_MATRIZES!AM95</f>
        <v>1201.85703512174</v>
      </c>
      <c r="AN86" s="18" t="n">
        <f aca="false">AUX_MATRIZES!AN95</f>
        <v>1147.27347554406</v>
      </c>
      <c r="AO86" s="18" t="n">
        <f aca="false">AUX_MATRIZES!AO95</f>
        <v>1092.68991596639</v>
      </c>
      <c r="AP86" s="18" t="n">
        <f aca="false">AUX_MATRIZES!AP95</f>
        <v>1055.23425334969</v>
      </c>
      <c r="AQ86" s="18" t="n">
        <f aca="false">AUX_MATRIZES!AQ95</f>
        <v>1006.10456038826</v>
      </c>
      <c r="AR86" s="18" t="n">
        <f aca="false">AUX_MATRIZES!AR95</f>
        <v>668.937586439704</v>
      </c>
      <c r="AS86" s="18" t="n">
        <f aca="false">AUX_MATRIZES!AS95</f>
        <v>642.124922502334</v>
      </c>
      <c r="AT86" s="18" t="n">
        <f aca="false">AUX_MATRIZES!AT95</f>
        <v>504.574383224352</v>
      </c>
      <c r="AU86" s="18" t="n">
        <f aca="false">AUX_MATRIZES!AU95</f>
        <v>483.95379417408</v>
      </c>
      <c r="AV86" s="18" t="n">
        <f aca="false">AUX_MATRIZES!AV95</f>
        <v>444.574361436883</v>
      </c>
      <c r="AW86" s="18" t="n">
        <f aca="false">AUX_MATRIZES!AW95</f>
        <v>405.194928699685</v>
      </c>
      <c r="AX86" s="18" t="n">
        <f aca="false">AUX_MATRIZES!AX95</f>
        <v>376.227167426678</v>
      </c>
      <c r="AY86" s="18" t="n">
        <f aca="false">AUX_MATRIZES!AY95</f>
        <v>226.344404428438</v>
      </c>
      <c r="AZ86" s="18" t="n">
        <f aca="false">AUX_MATRIZES!AZ95</f>
        <v>203.748699479792</v>
      </c>
      <c r="BA86" s="18" t="n">
        <f aca="false">AUX_MATRIZES!BA95</f>
        <v>0</v>
      </c>
      <c r="BB86" s="18" t="n">
        <f aca="false">AUX_MATRIZES!BB95</f>
        <v>0</v>
      </c>
      <c r="BC86" s="18" t="n">
        <f aca="false">AUX_MATRIZES!BC95</f>
        <v>0</v>
      </c>
      <c r="BD86" s="18" t="n">
        <f aca="false">AUX_MATRIZES!BD95</f>
        <v>0</v>
      </c>
      <c r="BE86" s="18" t="n">
        <f aca="false">AUX_MATRIZES!BE95</f>
        <v>0</v>
      </c>
      <c r="BF86" s="18" t="n">
        <f aca="false">AUX_MATRIZES!BF95</f>
        <v>0</v>
      </c>
      <c r="BG86" s="18" t="n">
        <f aca="false">AUX_MATRIZES!BG95</f>
        <v>0</v>
      </c>
      <c r="BH86" s="18" t="n">
        <f aca="false">AUX_MATRIZES!BH95</f>
        <v>0</v>
      </c>
      <c r="BI86" s="18" t="n">
        <f aca="false">AUX_MATRIZES!BI95</f>
        <v>0</v>
      </c>
      <c r="BJ86" s="18" t="n">
        <f aca="false">AUX_MATRIZES!BJ95</f>
        <v>0</v>
      </c>
      <c r="BK86" s="18" t="n">
        <f aca="false">AUX_MATRIZES!BK95</f>
        <v>0</v>
      </c>
      <c r="BL86" s="18" t="n">
        <f aca="false">AUX_MATRIZES!BL95</f>
        <v>0</v>
      </c>
      <c r="BM86" s="18" t="n">
        <f aca="false">AUX_MATRIZES!BM95</f>
        <v>0</v>
      </c>
      <c r="BN86" s="18" t="n">
        <f aca="false">AUX_MATRIZES!BN95</f>
        <v>0</v>
      </c>
      <c r="BO86" s="18" t="n">
        <f aca="false">AUX_MATRIZES!BO95</f>
        <v>0</v>
      </c>
      <c r="BP86" s="18" t="n">
        <f aca="false">AUX_MATRIZES!BP95</f>
        <v>0</v>
      </c>
    </row>
    <row r="87" customFormat="false" ht="15" hidden="false" customHeight="false" outlineLevel="0" collapsed="false">
      <c r="B87" s="15" t="s">
        <v>210</v>
      </c>
      <c r="C87" s="18" t="n">
        <f aca="false">AUX_MATRIZES!C107</f>
        <v>3852.85714285714</v>
      </c>
      <c r="D87" s="18" t="n">
        <f aca="false">AUX_MATRIZES!D107</f>
        <v>3852.85714285714</v>
      </c>
      <c r="E87" s="18" t="n">
        <f aca="false">AUX_MATRIZES!E107</f>
        <v>3852.85714285714</v>
      </c>
      <c r="F87" s="18" t="n">
        <f aca="false">AUX_MATRIZES!F107</f>
        <v>3852.85714285714</v>
      </c>
      <c r="G87" s="18" t="n">
        <f aca="false">AUX_MATRIZES!G107</f>
        <v>3852.85714285714</v>
      </c>
      <c r="H87" s="18" t="n">
        <f aca="false">AUX_MATRIZES!H107</f>
        <v>3852.85714285714</v>
      </c>
      <c r="I87" s="18" t="n">
        <f aca="false">AUX_MATRIZES!I107</f>
        <v>3852.85714285714</v>
      </c>
      <c r="J87" s="18" t="n">
        <f aca="false">AUX_MATRIZES!J107</f>
        <v>3852.85714285714</v>
      </c>
      <c r="K87" s="18" t="n">
        <f aca="false">AUX_MATRIZES!K107</f>
        <v>3852.85714285714</v>
      </c>
      <c r="L87" s="18" t="n">
        <f aca="false">AUX_MATRIZES!L107</f>
        <v>3852.85714285714</v>
      </c>
      <c r="M87" s="18" t="n">
        <f aca="false">AUX_MATRIZES!M107</f>
        <v>3852.85714285714</v>
      </c>
      <c r="N87" s="18" t="n">
        <f aca="false">AUX_MATRIZES!N107</f>
        <v>3852.85714285714</v>
      </c>
      <c r="O87" s="18" t="n">
        <f aca="false">AUX_MATRIZES!O107</f>
        <v>3852.85714285714</v>
      </c>
      <c r="P87" s="18" t="n">
        <f aca="false">AUX_MATRIZES!P107</f>
        <v>3852.85714285714</v>
      </c>
      <c r="Q87" s="18" t="n">
        <f aca="false">AUX_MATRIZES!Q107</f>
        <v>3852.85714285714</v>
      </c>
      <c r="R87" s="18" t="n">
        <f aca="false">AUX_MATRIZES!R107</f>
        <v>3852.85714285714</v>
      </c>
      <c r="S87" s="18" t="n">
        <f aca="false">AUX_MATRIZES!S107</f>
        <v>3852.85714285714</v>
      </c>
      <c r="T87" s="18" t="n">
        <f aca="false">AUX_MATRIZES!T107</f>
        <v>3852.85714285714</v>
      </c>
      <c r="U87" s="18" t="n">
        <f aca="false">AUX_MATRIZES!U107</f>
        <v>3852.85714285714</v>
      </c>
      <c r="V87" s="18" t="n">
        <f aca="false">AUX_MATRIZES!V107</f>
        <v>3852.85714285714</v>
      </c>
      <c r="W87" s="18" t="n">
        <f aca="false">AUX_MATRIZES!W107</f>
        <v>3852.85714285714</v>
      </c>
      <c r="X87" s="18" t="n">
        <f aca="false">AUX_MATRIZES!X107</f>
        <v>3852.85714285714</v>
      </c>
      <c r="Y87" s="18" t="n">
        <f aca="false">AUX_MATRIZES!Y107</f>
        <v>3852.85714285714</v>
      </c>
      <c r="Z87" s="18" t="n">
        <f aca="false">AUX_MATRIZES!Z107</f>
        <v>3852.85714285714</v>
      </c>
      <c r="AA87" s="18" t="n">
        <f aca="false">AUX_MATRIZES!AA107</f>
        <v>3852.85714285714</v>
      </c>
      <c r="AB87" s="18" t="n">
        <f aca="false">AUX_MATRIZES!AB107</f>
        <v>3852.85714285714</v>
      </c>
      <c r="AC87" s="18" t="n">
        <f aca="false">AUX_MATRIZES!AC107</f>
        <v>3852.85714285714</v>
      </c>
      <c r="AD87" s="18" t="n">
        <f aca="false">AUX_MATRIZES!AD107</f>
        <v>3852.85714285714</v>
      </c>
      <c r="AE87" s="18" t="n">
        <f aca="false">AUX_MATRIZES!AE107</f>
        <v>3852.85714285714</v>
      </c>
      <c r="AF87" s="18" t="n">
        <f aca="false">AUX_MATRIZES!AF107</f>
        <v>3852.85714285714</v>
      </c>
      <c r="AG87" s="18" t="n">
        <f aca="false">AUX_MATRIZES!AG107</f>
        <v>3852.85714285714</v>
      </c>
      <c r="AH87" s="18" t="n">
        <f aca="false">AUX_MATRIZES!AH107</f>
        <v>3852.85714285714</v>
      </c>
      <c r="AI87" s="18" t="n">
        <f aca="false">AUX_MATRIZES!AI107</f>
        <v>3852.85714285714</v>
      </c>
      <c r="AJ87" s="18" t="n">
        <f aca="false">AUX_MATRIZES!AJ107</f>
        <v>3852.85714285714</v>
      </c>
      <c r="AK87" s="18" t="n">
        <f aca="false">AUX_MATRIZES!AK107</f>
        <v>3852.85714285714</v>
      </c>
      <c r="AL87" s="18" t="n">
        <f aca="false">AUX_MATRIZES!AL107</f>
        <v>3852.85714285714</v>
      </c>
      <c r="AM87" s="18" t="n">
        <f aca="false">AUX_MATRIZES!AM107</f>
        <v>3852.85714285714</v>
      </c>
      <c r="AN87" s="18" t="n">
        <f aca="false">AUX_MATRIZES!AN107</f>
        <v>3852.85714285714</v>
      </c>
      <c r="AO87" s="18" t="n">
        <f aca="false">AUX_MATRIZES!AO107</f>
        <v>3852.85714285714</v>
      </c>
      <c r="AP87" s="18" t="n">
        <f aca="false">AUX_MATRIZES!AP107</f>
        <v>3852.85714285714</v>
      </c>
      <c r="AQ87" s="18" t="n">
        <f aca="false">AUX_MATRIZES!AQ107</f>
        <v>3852.85714285714</v>
      </c>
      <c r="AR87" s="18" t="n">
        <f aca="false">AUX_MATRIZES!AR107</f>
        <v>3852.85714285714</v>
      </c>
      <c r="AS87" s="18" t="n">
        <f aca="false">AUX_MATRIZES!AS107</f>
        <v>3852.85714285714</v>
      </c>
      <c r="AT87" s="18" t="n">
        <f aca="false">AUX_MATRIZES!AT107</f>
        <v>3852.85714285714</v>
      </c>
      <c r="AU87" s="18" t="n">
        <f aca="false">AUX_MATRIZES!AU107</f>
        <v>3852.85714285714</v>
      </c>
      <c r="AV87" s="18" t="n">
        <f aca="false">AUX_MATRIZES!AV107</f>
        <v>3852.85714285714</v>
      </c>
      <c r="AW87" s="18" t="n">
        <f aca="false">AUX_MATRIZES!AW107</f>
        <v>3852.85714285714</v>
      </c>
      <c r="AX87" s="18" t="n">
        <f aca="false">AUX_MATRIZES!AX107</f>
        <v>3852.85714285714</v>
      </c>
      <c r="AY87" s="18" t="n">
        <f aca="false">AUX_MATRIZES!AY107</f>
        <v>3852.85714285714</v>
      </c>
      <c r="AZ87" s="18" t="n">
        <f aca="false">AUX_MATRIZES!AZ107</f>
        <v>3852.85714285714</v>
      </c>
      <c r="BA87" s="18" t="n">
        <f aca="false">AUX_MATRIZES!BA107</f>
        <v>3852.85714285714</v>
      </c>
      <c r="BB87" s="18" t="n">
        <f aca="false">AUX_MATRIZES!BB107</f>
        <v>3852.85714285714</v>
      </c>
      <c r="BC87" s="18" t="n">
        <f aca="false">AUX_MATRIZES!BC107</f>
        <v>3852.85714285714</v>
      </c>
      <c r="BD87" s="18" t="n">
        <f aca="false">AUX_MATRIZES!BD107</f>
        <v>3852.85714285714</v>
      </c>
      <c r="BE87" s="18" t="n">
        <f aca="false">AUX_MATRIZES!BE107</f>
        <v>3852.85714285714</v>
      </c>
      <c r="BF87" s="18" t="n">
        <f aca="false">AUX_MATRIZES!BF107</f>
        <v>3852.85714285714</v>
      </c>
      <c r="BG87" s="18" t="n">
        <f aca="false">AUX_MATRIZES!BG107</f>
        <v>3852.85714285714</v>
      </c>
      <c r="BH87" s="18" t="n">
        <f aca="false">AUX_MATRIZES!BH107</f>
        <v>3852.85714285714</v>
      </c>
      <c r="BI87" s="18" t="n">
        <f aca="false">AUX_MATRIZES!BI107</f>
        <v>3852.85714285714</v>
      </c>
      <c r="BJ87" s="18" t="n">
        <f aca="false">AUX_MATRIZES!BJ107</f>
        <v>3852.85714285714</v>
      </c>
      <c r="BK87" s="18" t="n">
        <f aca="false">AUX_MATRIZES!BK107</f>
        <v>3852.85714285714</v>
      </c>
      <c r="BL87" s="18" t="n">
        <f aca="false">AUX_MATRIZES!BL107</f>
        <v>3852.85714285714</v>
      </c>
      <c r="BM87" s="18" t="n">
        <f aca="false">AUX_MATRIZES!BM107</f>
        <v>3852.85714285714</v>
      </c>
      <c r="BN87" s="18" t="n">
        <f aca="false">AUX_MATRIZES!BN107</f>
        <v>3852.85714285714</v>
      </c>
      <c r="BO87" s="18" t="n">
        <f aca="false">AUX_MATRIZES!BO107</f>
        <v>3852.85714285714</v>
      </c>
      <c r="BP87" s="18" t="n">
        <f aca="false">AUX_MATRIZES!BP107</f>
        <v>3852.85714285714</v>
      </c>
    </row>
    <row r="88" customFormat="false" ht="15" hidden="false" customHeight="false" outlineLevel="0" collapsed="false">
      <c r="B88" s="15" t="s">
        <v>211</v>
      </c>
      <c r="C88" s="18" t="n">
        <f aca="false">AUX_MATRIZES!C96</f>
        <v>657.152</v>
      </c>
      <c r="D88" s="18" t="n">
        <f aca="false">AUX_MATRIZES!D96</f>
        <v>657.44</v>
      </c>
      <c r="E88" s="18" t="n">
        <f aca="false">AUX_MATRIZES!E96</f>
        <v>657.44</v>
      </c>
      <c r="F88" s="18" t="n">
        <f aca="false">AUX_MATRIZES!F96</f>
        <v>657.44</v>
      </c>
      <c r="G88" s="18" t="n">
        <f aca="false">AUX_MATRIZES!G96</f>
        <v>495.776</v>
      </c>
      <c r="H88" s="18" t="n">
        <f aca="false">AUX_MATRIZES!H96</f>
        <v>374.528</v>
      </c>
      <c r="I88" s="18" t="n">
        <f aca="false">AUX_MATRIZES!I96</f>
        <v>374.528</v>
      </c>
      <c r="J88" s="18" t="n">
        <f aca="false">AUX_MATRIZES!J96</f>
        <v>322.784</v>
      </c>
      <c r="K88" s="18" t="n">
        <f aca="false">AUX_MATRIZES!K96</f>
        <v>215.698</v>
      </c>
      <c r="L88" s="18" t="n">
        <f aca="false">AUX_MATRIZES!L96</f>
        <v>0</v>
      </c>
      <c r="M88" s="18" t="n">
        <f aca="false">AUX_MATRIZES!M96</f>
        <v>0</v>
      </c>
      <c r="N88" s="18" t="n">
        <f aca="false">AUX_MATRIZES!N96</f>
        <v>0</v>
      </c>
      <c r="O88" s="18" t="n">
        <f aca="false">AUX_MATRIZES!O96</f>
        <v>44.6900958596332</v>
      </c>
      <c r="P88" s="18" t="n">
        <f aca="false">AUX_MATRIZES!P96</f>
        <v>0</v>
      </c>
      <c r="Q88" s="18" t="n">
        <f aca="false">AUX_MATRIZES!Q96</f>
        <v>0</v>
      </c>
      <c r="R88" s="18" t="n">
        <f aca="false">AUX_MATRIZES!R96</f>
        <v>0</v>
      </c>
      <c r="S88" s="18" t="n">
        <f aca="false">AUX_MATRIZES!S96</f>
        <v>0</v>
      </c>
      <c r="T88" s="18" t="n">
        <f aca="false">AUX_MATRIZES!T96</f>
        <v>11.8111500600239</v>
      </c>
      <c r="U88" s="18" t="n">
        <f aca="false">AUX_MATRIZES!U96</f>
        <v>60.4961344537814</v>
      </c>
      <c r="V88" s="18" t="n">
        <f aca="false">AUX_MATRIZES!V96</f>
        <v>59.5445921090759</v>
      </c>
      <c r="W88" s="18" t="n">
        <f aca="false">AUX_MATRIZES!W96</f>
        <v>0</v>
      </c>
      <c r="X88" s="18" t="n">
        <f aca="false">AUX_MATRIZES!X96</f>
        <v>0</v>
      </c>
      <c r="Y88" s="18" t="n">
        <f aca="false">AUX_MATRIZES!Y96</f>
        <v>0</v>
      </c>
      <c r="Z88" s="18" t="n">
        <f aca="false">AUX_MATRIZES!Z96</f>
        <v>77.1979926518929</v>
      </c>
      <c r="AA88" s="18" t="n">
        <f aca="false">AUX_MATRIZES!AA96</f>
        <v>213.62708496732</v>
      </c>
      <c r="AB88" s="18" t="n">
        <f aca="false">AUX_MATRIZES!AB96</f>
        <v>220.311529411764</v>
      </c>
      <c r="AC88" s="18" t="n">
        <f aca="false">AUX_MATRIZES!AC96</f>
        <v>272.165019607843</v>
      </c>
      <c r="AD88" s="18" t="n">
        <f aca="false">AUX_MATRIZES!AD96</f>
        <v>272.165019607843</v>
      </c>
      <c r="AE88" s="18" t="n">
        <f aca="false">AUX_MATRIZES!AE96</f>
        <v>272.165019607843</v>
      </c>
      <c r="AF88" s="18" t="n">
        <f aca="false">AUX_MATRIZES!AF96</f>
        <v>272.165019607843</v>
      </c>
      <c r="AG88" s="18" t="n">
        <f aca="false">AUX_MATRIZES!AG96</f>
        <v>614.646229691877</v>
      </c>
      <c r="AH88" s="18" t="n">
        <f aca="false">AUX_MATRIZES!AH96</f>
        <v>871.507137254902</v>
      </c>
      <c r="AI88" s="18" t="n">
        <f aca="false">AUX_MATRIZES!AI96</f>
        <v>871.507137254902</v>
      </c>
      <c r="AJ88" s="18" t="n">
        <f aca="false">AUX_MATRIZES!AJ96</f>
        <v>853.685288515406</v>
      </c>
      <c r="AK88" s="18" t="n">
        <f aca="false">AUX_MATRIZES!AK96</f>
        <v>892.313879644165</v>
      </c>
      <c r="AL88" s="18" t="n">
        <f aca="false">AUX_MATRIZES!AL96</f>
        <v>1034.74389806002</v>
      </c>
      <c r="AM88" s="18" t="n">
        <f aca="false">AUX_MATRIZES!AM96</f>
        <v>960.222859936548</v>
      </c>
      <c r="AN88" s="18" t="n">
        <f aca="false">AUX_MATRIZES!AN96</f>
        <v>885.701821813076</v>
      </c>
      <c r="AO88" s="18" t="n">
        <f aca="false">AUX_MATRIZES!AO96</f>
        <v>811.180783689603</v>
      </c>
      <c r="AP88" s="18" t="n">
        <f aca="false">AUX_MATRIZES!AP96</f>
        <v>845.561873598246</v>
      </c>
      <c r="AQ88" s="18" t="n">
        <f aca="false">AUX_MATRIZES!AQ96</f>
        <v>869.872382438387</v>
      </c>
      <c r="AR88" s="18" t="n">
        <f aca="false">AUX_MATRIZES!AR96</f>
        <v>480.919410412441</v>
      </c>
      <c r="AS88" s="18" t="n">
        <f aca="false">AUX_MATRIZES!AS96</f>
        <v>452.597571331981</v>
      </c>
      <c r="AT88" s="18" t="n">
        <f aca="false">AUX_MATRIZES!AT96</f>
        <v>277.21067134716</v>
      </c>
      <c r="AU88" s="18" t="n">
        <f aca="false">AUX_MATRIZES!AU96</f>
        <v>473.55547895296</v>
      </c>
      <c r="AV88" s="18" t="n">
        <f aca="false">AUX_MATRIZES!AV96</f>
        <v>592.160352516179</v>
      </c>
      <c r="AW88" s="18" t="n">
        <f aca="false">AUX_MATRIZES!AW96</f>
        <v>710.765226079397</v>
      </c>
      <c r="AX88" s="18" t="n">
        <f aca="false">AUX_MATRIZES!AX96</f>
        <v>872.980453312359</v>
      </c>
      <c r="AY88" s="18" t="n">
        <f aca="false">AUX_MATRIZES!AY96</f>
        <v>1240.73691490389</v>
      </c>
      <c r="AZ88" s="18" t="n">
        <f aca="false">AUX_MATRIZES!AZ96</f>
        <v>1354.77173657877</v>
      </c>
      <c r="BA88" s="18" t="n">
        <f aca="false">AUX_MATRIZES!BA96</f>
        <v>1450.36566761325</v>
      </c>
      <c r="BB88" s="18" t="n">
        <f aca="false">AUX_MATRIZES!BB96</f>
        <v>1545.95959864773</v>
      </c>
      <c r="BC88" s="18" t="n">
        <f aca="false">AUX_MATRIZES!BC96</f>
        <v>1629.11923694719</v>
      </c>
      <c r="BD88" s="18" t="n">
        <f aca="false">AUX_MATRIZES!BD96</f>
        <v>1643.86308123249</v>
      </c>
      <c r="BE88" s="18" t="n">
        <f aca="false">AUX_MATRIZES!BE96</f>
        <v>1643.86308123249</v>
      </c>
      <c r="BF88" s="18" t="n">
        <f aca="false">AUX_MATRIZES!BF96</f>
        <v>1588.40829131653</v>
      </c>
      <c r="BG88" s="18" t="n">
        <f aca="false">AUX_MATRIZES!BG96</f>
        <v>1184.07348108899</v>
      </c>
      <c r="BH88" s="18" t="n">
        <f aca="false">AUX_MATRIZES!BH96</f>
        <v>683.035107118709</v>
      </c>
      <c r="BI88" s="18" t="n">
        <f aca="false">AUX_MATRIZES!BI96</f>
        <v>583.089002994301</v>
      </c>
      <c r="BJ88" s="18" t="n">
        <f aca="false">AUX_MATRIZES!BJ96</f>
        <v>442.699312662996</v>
      </c>
      <c r="BK88" s="18" t="n">
        <f aca="false">AUX_MATRIZES!BK96</f>
        <v>267.471448275862</v>
      </c>
      <c r="BL88" s="18" t="n">
        <f aca="false">AUX_MATRIZES!BL96</f>
        <v>0</v>
      </c>
      <c r="BM88" s="18" t="n">
        <f aca="false">AUX_MATRIZES!BM96</f>
        <v>0</v>
      </c>
      <c r="BN88" s="18" t="n">
        <f aca="false">AUX_MATRIZES!BN96</f>
        <v>0</v>
      </c>
      <c r="BO88" s="18" t="n">
        <f aca="false">AUX_MATRIZES!BO96</f>
        <v>0</v>
      </c>
      <c r="BP88" s="18" t="n">
        <f aca="false">AUX_MATRIZES!BP96</f>
        <v>0</v>
      </c>
    </row>
    <row r="89" customFormat="false" ht="15" hidden="false" customHeight="false" outlineLevel="0" collapsed="false">
      <c r="B89" s="15" t="s">
        <v>212</v>
      </c>
      <c r="C89" s="18" t="n">
        <f aca="false">AUX_MATRIZES!C108</f>
        <v>5212.93333333333</v>
      </c>
      <c r="D89" s="18" t="n">
        <f aca="false">AUX_MATRIZES!D108</f>
        <v>5212.93333333333</v>
      </c>
      <c r="E89" s="18" t="n">
        <f aca="false">AUX_MATRIZES!E108</f>
        <v>5212.93333333333</v>
      </c>
      <c r="F89" s="18" t="n">
        <f aca="false">AUX_MATRIZES!F108</f>
        <v>5212.93333333333</v>
      </c>
      <c r="G89" s="18" t="n">
        <f aca="false">AUX_MATRIZES!G108</f>
        <v>5212.93333333333</v>
      </c>
      <c r="H89" s="18" t="n">
        <f aca="false">AUX_MATRIZES!H108</f>
        <v>5212.93333333333</v>
      </c>
      <c r="I89" s="18" t="n">
        <f aca="false">AUX_MATRIZES!I108</f>
        <v>5212.93333333333</v>
      </c>
      <c r="J89" s="18" t="n">
        <f aca="false">AUX_MATRIZES!J108</f>
        <v>5212.93333333333</v>
      </c>
      <c r="K89" s="18" t="n">
        <f aca="false">AUX_MATRIZES!K108</f>
        <v>5212.93333333333</v>
      </c>
      <c r="L89" s="18" t="n">
        <f aca="false">AUX_MATRIZES!L108</f>
        <v>5212.93333333333</v>
      </c>
      <c r="M89" s="18" t="n">
        <f aca="false">AUX_MATRIZES!M108</f>
        <v>5212.93333333333</v>
      </c>
      <c r="N89" s="18" t="n">
        <f aca="false">AUX_MATRIZES!N108</f>
        <v>5212.93333333333</v>
      </c>
      <c r="O89" s="18" t="n">
        <f aca="false">AUX_MATRIZES!O108</f>
        <v>5212.93333333333</v>
      </c>
      <c r="P89" s="18" t="n">
        <f aca="false">AUX_MATRIZES!P108</f>
        <v>5212.93333333333</v>
      </c>
      <c r="Q89" s="18" t="n">
        <f aca="false">AUX_MATRIZES!Q108</f>
        <v>5212.93333333333</v>
      </c>
      <c r="R89" s="18" t="n">
        <f aca="false">AUX_MATRIZES!R108</f>
        <v>5212.93333333333</v>
      </c>
      <c r="S89" s="18" t="n">
        <f aca="false">AUX_MATRIZES!S108</f>
        <v>5212.93333333333</v>
      </c>
      <c r="T89" s="18" t="n">
        <f aca="false">AUX_MATRIZES!T108</f>
        <v>5212.93333333333</v>
      </c>
      <c r="U89" s="18" t="n">
        <f aca="false">AUX_MATRIZES!U108</f>
        <v>5212.93333333333</v>
      </c>
      <c r="V89" s="18" t="n">
        <f aca="false">AUX_MATRIZES!V108</f>
        <v>5212.93333333333</v>
      </c>
      <c r="W89" s="18" t="n">
        <f aca="false">AUX_MATRIZES!W108</f>
        <v>5212.93333333333</v>
      </c>
      <c r="X89" s="18" t="n">
        <f aca="false">AUX_MATRIZES!X108</f>
        <v>5212.93333333333</v>
      </c>
      <c r="Y89" s="18" t="n">
        <f aca="false">AUX_MATRIZES!Y108</f>
        <v>5212.93333333333</v>
      </c>
      <c r="Z89" s="18" t="n">
        <f aca="false">AUX_MATRIZES!Z108</f>
        <v>5212.93333333333</v>
      </c>
      <c r="AA89" s="18" t="n">
        <f aca="false">AUX_MATRIZES!AA108</f>
        <v>5212.93333333333</v>
      </c>
      <c r="AB89" s="18" t="n">
        <f aca="false">AUX_MATRIZES!AB108</f>
        <v>5212.93333333333</v>
      </c>
      <c r="AC89" s="18" t="n">
        <f aca="false">AUX_MATRIZES!AC108</f>
        <v>5212.93333333333</v>
      </c>
      <c r="AD89" s="18" t="n">
        <f aca="false">AUX_MATRIZES!AD108</f>
        <v>5212.93333333333</v>
      </c>
      <c r="AE89" s="18" t="n">
        <f aca="false">AUX_MATRIZES!AE108</f>
        <v>5212.93333333333</v>
      </c>
      <c r="AF89" s="18" t="n">
        <f aca="false">AUX_MATRIZES!AF108</f>
        <v>5212.93333333333</v>
      </c>
      <c r="AG89" s="18" t="n">
        <f aca="false">AUX_MATRIZES!AG108</f>
        <v>5212.93333333333</v>
      </c>
      <c r="AH89" s="18" t="n">
        <f aca="false">AUX_MATRIZES!AH108</f>
        <v>5212.93333333333</v>
      </c>
      <c r="AI89" s="18" t="n">
        <f aca="false">AUX_MATRIZES!AI108</f>
        <v>5212.93333333333</v>
      </c>
      <c r="AJ89" s="18" t="n">
        <f aca="false">AUX_MATRIZES!AJ108</f>
        <v>5212.93333333333</v>
      </c>
      <c r="AK89" s="18" t="n">
        <f aca="false">AUX_MATRIZES!AK108</f>
        <v>5212.93333333333</v>
      </c>
      <c r="AL89" s="18" t="n">
        <f aca="false">AUX_MATRIZES!AL108</f>
        <v>5212.93333333333</v>
      </c>
      <c r="AM89" s="18" t="n">
        <f aca="false">AUX_MATRIZES!AM108</f>
        <v>5212.93333333333</v>
      </c>
      <c r="AN89" s="18" t="n">
        <f aca="false">AUX_MATRIZES!AN108</f>
        <v>5212.93333333333</v>
      </c>
      <c r="AO89" s="18" t="n">
        <f aca="false">AUX_MATRIZES!AO108</f>
        <v>5212.93333333333</v>
      </c>
      <c r="AP89" s="18" t="n">
        <f aca="false">AUX_MATRIZES!AP108</f>
        <v>5212.93333333333</v>
      </c>
      <c r="AQ89" s="18" t="n">
        <f aca="false">AUX_MATRIZES!AQ108</f>
        <v>5212.93333333333</v>
      </c>
      <c r="AR89" s="18" t="n">
        <f aca="false">AUX_MATRIZES!AR108</f>
        <v>5212.93333333333</v>
      </c>
      <c r="AS89" s="18" t="n">
        <f aca="false">AUX_MATRIZES!AS108</f>
        <v>5212.93333333333</v>
      </c>
      <c r="AT89" s="18" t="n">
        <f aca="false">AUX_MATRIZES!AT108</f>
        <v>5212.93333333333</v>
      </c>
      <c r="AU89" s="18" t="n">
        <f aca="false">AUX_MATRIZES!AU108</f>
        <v>5212.93333333333</v>
      </c>
      <c r="AV89" s="18" t="n">
        <f aca="false">AUX_MATRIZES!AV108</f>
        <v>5212.93333333333</v>
      </c>
      <c r="AW89" s="18" t="n">
        <f aca="false">AUX_MATRIZES!AW108</f>
        <v>5212.93333333333</v>
      </c>
      <c r="AX89" s="18" t="n">
        <f aca="false">AUX_MATRIZES!AX108</f>
        <v>5212.93333333333</v>
      </c>
      <c r="AY89" s="18" t="n">
        <f aca="false">AUX_MATRIZES!AY108</f>
        <v>5212.93333333333</v>
      </c>
      <c r="AZ89" s="18" t="n">
        <f aca="false">AUX_MATRIZES!AZ108</f>
        <v>5212.93333333333</v>
      </c>
      <c r="BA89" s="18" t="n">
        <f aca="false">AUX_MATRIZES!BA108</f>
        <v>5212.93333333333</v>
      </c>
      <c r="BB89" s="18" t="n">
        <f aca="false">AUX_MATRIZES!BB108</f>
        <v>5212.93333333333</v>
      </c>
      <c r="BC89" s="18" t="n">
        <f aca="false">AUX_MATRIZES!BC108</f>
        <v>5212.93333333333</v>
      </c>
      <c r="BD89" s="18" t="n">
        <f aca="false">AUX_MATRIZES!BD108</f>
        <v>5212.93333333333</v>
      </c>
      <c r="BE89" s="18" t="n">
        <f aca="false">AUX_MATRIZES!BE108</f>
        <v>5212.93333333333</v>
      </c>
      <c r="BF89" s="18" t="n">
        <f aca="false">AUX_MATRIZES!BF108</f>
        <v>5212.93333333333</v>
      </c>
      <c r="BG89" s="18" t="n">
        <f aca="false">AUX_MATRIZES!BG108</f>
        <v>5212.93333333333</v>
      </c>
      <c r="BH89" s="18" t="n">
        <f aca="false">AUX_MATRIZES!BH108</f>
        <v>5212.93333333333</v>
      </c>
      <c r="BI89" s="18" t="n">
        <f aca="false">AUX_MATRIZES!BI108</f>
        <v>5212.93333333333</v>
      </c>
      <c r="BJ89" s="18" t="n">
        <f aca="false">AUX_MATRIZES!BJ108</f>
        <v>5212.93333333333</v>
      </c>
      <c r="BK89" s="18" t="n">
        <f aca="false">AUX_MATRIZES!BK108</f>
        <v>5212.93333333333</v>
      </c>
      <c r="BL89" s="18" t="n">
        <f aca="false">AUX_MATRIZES!BL108</f>
        <v>5212.93333333333</v>
      </c>
      <c r="BM89" s="18" t="n">
        <f aca="false">AUX_MATRIZES!BM108</f>
        <v>5212.93333333333</v>
      </c>
      <c r="BN89" s="18" t="n">
        <f aca="false">AUX_MATRIZES!BN108</f>
        <v>5212.93333333333</v>
      </c>
      <c r="BO89" s="18" t="n">
        <f aca="false">AUX_MATRIZES!BO108</f>
        <v>5212.93333333333</v>
      </c>
      <c r="BP89" s="18" t="n">
        <f aca="false">AUX_MATRIZES!BP108</f>
        <v>5212.93333333333</v>
      </c>
    </row>
    <row r="90" customFormat="false" ht="15" hidden="false" customHeight="false" outlineLevel="0" collapsed="false">
      <c r="B90" s="15" t="s">
        <v>213</v>
      </c>
      <c r="C90" s="18" t="n">
        <f aca="false">AUX_MATRIZES!C97</f>
        <v>1010.32628993893</v>
      </c>
      <c r="D90" s="18" t="n">
        <f aca="false">AUX_MATRIZES!D97</f>
        <v>723.456268540203</v>
      </c>
      <c r="E90" s="18" t="n">
        <f aca="false">AUX_MATRIZES!E97</f>
        <v>493.08</v>
      </c>
      <c r="F90" s="18" t="n">
        <f aca="false">AUX_MATRIZES!F97</f>
        <v>459.585</v>
      </c>
      <c r="G90" s="18" t="n">
        <f aca="false">AUX_MATRIZES!G97</f>
        <v>293.028</v>
      </c>
      <c r="H90" s="18" t="n">
        <f aca="false">AUX_MATRIZES!H97</f>
        <v>158.004</v>
      </c>
      <c r="I90" s="18" t="n">
        <f aca="false">AUX_MATRIZES!I97</f>
        <v>112.728</v>
      </c>
      <c r="J90" s="18" t="n">
        <f aca="false">AUX_MATRIZES!J97</f>
        <v>67.4519999999999</v>
      </c>
      <c r="K90" s="18" t="n">
        <f aca="false">AUX_MATRIZES!K97</f>
        <v>0</v>
      </c>
      <c r="L90" s="18" t="n">
        <f aca="false">AUX_MATRIZES!L97</f>
        <v>0</v>
      </c>
      <c r="M90" s="18" t="n">
        <f aca="false">AUX_MATRIZES!M97</f>
        <v>0</v>
      </c>
      <c r="N90" s="18" t="n">
        <f aca="false">AUX_MATRIZES!N97</f>
        <v>0</v>
      </c>
      <c r="O90" s="18" t="n">
        <f aca="false">AUX_MATRIZES!O97</f>
        <v>7.14460907361445</v>
      </c>
      <c r="P90" s="18" t="n">
        <f aca="false">AUX_MATRIZES!P97</f>
        <v>0</v>
      </c>
      <c r="Q90" s="18" t="n">
        <f aca="false">AUX_MATRIZES!Q97</f>
        <v>0</v>
      </c>
      <c r="R90" s="18" t="n">
        <f aca="false">AUX_MATRIZES!R97</f>
        <v>0</v>
      </c>
      <c r="S90" s="18" t="n">
        <f aca="false">AUX_MATRIZES!S97</f>
        <v>0</v>
      </c>
      <c r="T90" s="18" t="n">
        <f aca="false">AUX_MATRIZES!T97</f>
        <v>3.91709963985592</v>
      </c>
      <c r="U90" s="18" t="n">
        <f aca="false">AUX_MATRIZES!U97</f>
        <v>20.0631932773109</v>
      </c>
      <c r="V90" s="18" t="n">
        <f aca="false">AUX_MATRIZES!V97</f>
        <v>20.0631932773109</v>
      </c>
      <c r="W90" s="18" t="n">
        <f aca="false">AUX_MATRIZES!W97</f>
        <v>0</v>
      </c>
      <c r="X90" s="18" t="n">
        <f aca="false">AUX_MATRIZES!X97</f>
        <v>0</v>
      </c>
      <c r="Y90" s="18" t="n">
        <f aca="false">AUX_MATRIZES!Y97</f>
        <v>47.1954509803922</v>
      </c>
      <c r="Z90" s="18" t="n">
        <f aca="false">AUX_MATRIZES!Z97</f>
        <v>122.524663815822</v>
      </c>
      <c r="AA90" s="18" t="n">
        <f aca="false">AUX_MATRIZES!AA97</f>
        <v>246.656577030812</v>
      </c>
      <c r="AB90" s="18" t="n">
        <f aca="false">AUX_MATRIZES!AB97</f>
        <v>257.936577030812</v>
      </c>
      <c r="AC90" s="18" t="n">
        <f aca="false">AUX_MATRIZES!AC97</f>
        <v>377.493215686274</v>
      </c>
      <c r="AD90" s="18" t="n">
        <f aca="false">AUX_MATRIZES!AD97</f>
        <v>430.676013071895</v>
      </c>
      <c r="AE90" s="18" t="n">
        <f aca="false">AUX_MATRIZES!AE97</f>
        <v>447.715195078031</v>
      </c>
      <c r="AF90" s="18" t="n">
        <f aca="false">AUX_MATRIZES!AF97</f>
        <v>430.810678271308</v>
      </c>
      <c r="AG90" s="18" t="n">
        <f aca="false">AUX_MATRIZES!AG97</f>
        <v>1077.60902845053</v>
      </c>
      <c r="AH90" s="18" t="n">
        <f aca="false">AUX_MATRIZES!AH97</f>
        <v>1630.61462954071</v>
      </c>
      <c r="AI90" s="18" t="n">
        <f aca="false">AUX_MATRIZES!AI97</f>
        <v>1642.97520571562</v>
      </c>
      <c r="AJ90" s="18" t="n">
        <f aca="false">AUX_MATRIZES!AJ97</f>
        <v>1622.14499384455</v>
      </c>
      <c r="AK90" s="18" t="n">
        <f aca="false">AUX_MATRIZES!AK97</f>
        <v>1578.41382971485</v>
      </c>
      <c r="AL90" s="18" t="n">
        <f aca="false">AUX_MATRIZES!AL97</f>
        <v>1868.12020639503</v>
      </c>
      <c r="AM90" s="18" t="n">
        <f aca="false">AUX_MATRIZES!AM97</f>
        <v>1832.10956952834</v>
      </c>
      <c r="AN90" s="18" t="n">
        <f aca="false">AUX_MATRIZES!AN97</f>
        <v>1727.42249568687</v>
      </c>
      <c r="AO90" s="18" t="n">
        <f aca="false">AUX_MATRIZES!AO97</f>
        <v>1622.7354218454</v>
      </c>
      <c r="AP90" s="18" t="n">
        <f aca="false">AUX_MATRIZES!AP97</f>
        <v>1310.7165235613</v>
      </c>
      <c r="AQ90" s="18" t="n">
        <f aca="false">AUX_MATRIZES!AQ97</f>
        <v>1251.82457003066</v>
      </c>
      <c r="AR90" s="18" t="n">
        <f aca="false">AUX_MATRIZES!AR97</f>
        <v>718.934752052545</v>
      </c>
      <c r="AS90" s="18" t="n">
        <f aca="false">AUX_MATRIZES!AS97</f>
        <v>831.678859203452</v>
      </c>
      <c r="AT90" s="18" t="n">
        <f aca="false">AUX_MATRIZES!AT97</f>
        <v>692.982155635588</v>
      </c>
      <c r="AU90" s="18" t="n">
        <f aca="false">AUX_MATRIZES!AU97</f>
        <v>755.100205602241</v>
      </c>
      <c r="AV90" s="18" t="n">
        <f aca="false">AUX_MATRIZES!AV97</f>
        <v>808.822438281979</v>
      </c>
      <c r="AW90" s="18" t="n">
        <f aca="false">AUX_MATRIZES!AW97</f>
        <v>868.176550793651</v>
      </c>
      <c r="AX90" s="18" t="n">
        <f aca="false">AUX_MATRIZES!AX97</f>
        <v>987.510906762705</v>
      </c>
      <c r="AY90" s="18" t="n">
        <f aca="false">AUX_MATRIZES!AY97</f>
        <v>1262.93487917834</v>
      </c>
      <c r="AZ90" s="18" t="n">
        <f aca="false">AUX_MATRIZES!AZ97</f>
        <v>1225.11246834734</v>
      </c>
      <c r="BA90" s="18" t="n">
        <f aca="false">AUX_MATRIZES!BA97</f>
        <v>1361.12152717087</v>
      </c>
      <c r="BB90" s="18" t="n">
        <f aca="false">AUX_MATRIZES!BB97</f>
        <v>1451.9217859944</v>
      </c>
      <c r="BC90" s="18" t="n">
        <f aca="false">AUX_MATRIZES!BC97</f>
        <v>1502.55165106042</v>
      </c>
      <c r="BD90" s="18" t="n">
        <f aca="false">AUX_MATRIZES!BD97</f>
        <v>1478.62189355742</v>
      </c>
      <c r="BE90" s="18" t="n">
        <f aca="false">AUX_MATRIZES!BE97</f>
        <v>1430.87765826331</v>
      </c>
      <c r="BF90" s="18" t="n">
        <f aca="false">AUX_MATRIZES!BF97</f>
        <v>1383.13342296919</v>
      </c>
      <c r="BG90" s="18" t="n">
        <f aca="false">AUX_MATRIZES!BG97</f>
        <v>1072.21059943978</v>
      </c>
      <c r="BH90" s="18" t="n">
        <f aca="false">AUX_MATRIZES!BH97</f>
        <v>675.207932773109</v>
      </c>
      <c r="BI90" s="18" t="n">
        <f aca="false">AUX_MATRIZES!BI97</f>
        <v>600.886050420168</v>
      </c>
      <c r="BJ90" s="18" t="n">
        <f aca="false">AUX_MATRIZES!BJ97</f>
        <v>510.424336134454</v>
      </c>
      <c r="BK90" s="18" t="n">
        <f aca="false">AUX_MATRIZES!BK97</f>
        <v>412.776806722689</v>
      </c>
      <c r="BL90" s="18" t="n">
        <f aca="false">AUX_MATRIZES!BL97</f>
        <v>0</v>
      </c>
      <c r="BM90" s="18" t="n">
        <f aca="false">AUX_MATRIZES!BM97</f>
        <v>0</v>
      </c>
      <c r="BN90" s="18" t="n">
        <f aca="false">AUX_MATRIZES!BN97</f>
        <v>0</v>
      </c>
      <c r="BO90" s="18" t="n">
        <f aca="false">AUX_MATRIZES!BO97</f>
        <v>0</v>
      </c>
      <c r="BP90" s="18" t="n">
        <f aca="false">AUX_MATRIZES!BP97</f>
        <v>0</v>
      </c>
    </row>
    <row r="91" customFormat="false" ht="15" hidden="false" customHeight="false" outlineLevel="0" collapsed="false">
      <c r="B91" s="15" t="s">
        <v>214</v>
      </c>
      <c r="C91" s="18" t="n">
        <f aca="false">AUX_MATRIZES!C109</f>
        <v>6831.56190476191</v>
      </c>
      <c r="D91" s="18" t="n">
        <f aca="false">AUX_MATRIZES!D109</f>
        <v>6831.56190476191</v>
      </c>
      <c r="E91" s="18" t="n">
        <f aca="false">AUX_MATRIZES!E109</f>
        <v>6831.56190476191</v>
      </c>
      <c r="F91" s="18" t="n">
        <f aca="false">AUX_MATRIZES!F109</f>
        <v>6831.56190476191</v>
      </c>
      <c r="G91" s="18" t="n">
        <f aca="false">AUX_MATRIZES!G109</f>
        <v>6831.56190476191</v>
      </c>
      <c r="H91" s="18" t="n">
        <f aca="false">AUX_MATRIZES!H109</f>
        <v>6831.56190476191</v>
      </c>
      <c r="I91" s="18" t="n">
        <f aca="false">AUX_MATRIZES!I109</f>
        <v>6831.56190476191</v>
      </c>
      <c r="J91" s="18" t="n">
        <f aca="false">AUX_MATRIZES!J109</f>
        <v>6831.56190476191</v>
      </c>
      <c r="K91" s="18" t="n">
        <f aca="false">AUX_MATRIZES!K109</f>
        <v>6831.56190476191</v>
      </c>
      <c r="L91" s="18" t="n">
        <f aca="false">AUX_MATRIZES!L109</f>
        <v>6831.56190476191</v>
      </c>
      <c r="M91" s="18" t="n">
        <f aca="false">AUX_MATRIZES!M109</f>
        <v>6831.56190476191</v>
      </c>
      <c r="N91" s="18" t="n">
        <f aca="false">AUX_MATRIZES!N109</f>
        <v>6831.56190476191</v>
      </c>
      <c r="O91" s="18" t="n">
        <f aca="false">AUX_MATRIZES!O109</f>
        <v>6831.56190476191</v>
      </c>
      <c r="P91" s="18" t="n">
        <f aca="false">AUX_MATRIZES!P109</f>
        <v>6831.56190476191</v>
      </c>
      <c r="Q91" s="18" t="n">
        <f aca="false">AUX_MATRIZES!Q109</f>
        <v>6831.56190476191</v>
      </c>
      <c r="R91" s="18" t="n">
        <f aca="false">AUX_MATRIZES!R109</f>
        <v>6831.56190476191</v>
      </c>
      <c r="S91" s="18" t="n">
        <f aca="false">AUX_MATRIZES!S109</f>
        <v>6831.56190476191</v>
      </c>
      <c r="T91" s="18" t="n">
        <f aca="false">AUX_MATRIZES!T109</f>
        <v>6831.56190476191</v>
      </c>
      <c r="U91" s="18" t="n">
        <f aca="false">AUX_MATRIZES!U109</f>
        <v>6831.56190476191</v>
      </c>
      <c r="V91" s="18" t="n">
        <f aca="false">AUX_MATRIZES!V109</f>
        <v>6831.56190476191</v>
      </c>
      <c r="W91" s="18" t="n">
        <f aca="false">AUX_MATRIZES!W109</f>
        <v>6831.56190476191</v>
      </c>
      <c r="X91" s="18" t="n">
        <f aca="false">AUX_MATRIZES!X109</f>
        <v>6831.56190476191</v>
      </c>
      <c r="Y91" s="18" t="n">
        <f aca="false">AUX_MATRIZES!Y109</f>
        <v>6831.56190476191</v>
      </c>
      <c r="Z91" s="18" t="n">
        <f aca="false">AUX_MATRIZES!Z109</f>
        <v>6831.56190476191</v>
      </c>
      <c r="AA91" s="18" t="n">
        <f aca="false">AUX_MATRIZES!AA109</f>
        <v>6831.56190476191</v>
      </c>
      <c r="AB91" s="18" t="n">
        <f aca="false">AUX_MATRIZES!AB109</f>
        <v>6831.56190476191</v>
      </c>
      <c r="AC91" s="18" t="n">
        <f aca="false">AUX_MATRIZES!AC109</f>
        <v>6831.56190476191</v>
      </c>
      <c r="AD91" s="18" t="n">
        <f aca="false">AUX_MATRIZES!AD109</f>
        <v>6831.56190476191</v>
      </c>
      <c r="AE91" s="18" t="n">
        <f aca="false">AUX_MATRIZES!AE109</f>
        <v>6831.56190476191</v>
      </c>
      <c r="AF91" s="18" t="n">
        <f aca="false">AUX_MATRIZES!AF109</f>
        <v>6831.56190476191</v>
      </c>
      <c r="AG91" s="18" t="n">
        <f aca="false">AUX_MATRIZES!AG109</f>
        <v>6831.56190476191</v>
      </c>
      <c r="AH91" s="18" t="n">
        <f aca="false">AUX_MATRIZES!AH109</f>
        <v>6831.56190476191</v>
      </c>
      <c r="AI91" s="18" t="n">
        <f aca="false">AUX_MATRIZES!AI109</f>
        <v>6831.56190476191</v>
      </c>
      <c r="AJ91" s="18" t="n">
        <f aca="false">AUX_MATRIZES!AJ109</f>
        <v>6831.56190476191</v>
      </c>
      <c r="AK91" s="18" t="n">
        <f aca="false">AUX_MATRIZES!AK109</f>
        <v>6831.56190476191</v>
      </c>
      <c r="AL91" s="18" t="n">
        <f aca="false">AUX_MATRIZES!AL109</f>
        <v>6831.56190476191</v>
      </c>
      <c r="AM91" s="18" t="n">
        <f aca="false">AUX_MATRIZES!AM109</f>
        <v>6831.56190476191</v>
      </c>
      <c r="AN91" s="18" t="n">
        <f aca="false">AUX_MATRIZES!AN109</f>
        <v>6831.56190476191</v>
      </c>
      <c r="AO91" s="18" t="n">
        <f aca="false">AUX_MATRIZES!AO109</f>
        <v>6831.56190476191</v>
      </c>
      <c r="AP91" s="18" t="n">
        <f aca="false">AUX_MATRIZES!AP109</f>
        <v>6831.56190476191</v>
      </c>
      <c r="AQ91" s="18" t="n">
        <f aca="false">AUX_MATRIZES!AQ109</f>
        <v>6831.56190476191</v>
      </c>
      <c r="AR91" s="18" t="n">
        <f aca="false">AUX_MATRIZES!AR109</f>
        <v>6831.56190476191</v>
      </c>
      <c r="AS91" s="18" t="n">
        <f aca="false">AUX_MATRIZES!AS109</f>
        <v>6831.56190476191</v>
      </c>
      <c r="AT91" s="18" t="n">
        <f aca="false">AUX_MATRIZES!AT109</f>
        <v>6831.56190476191</v>
      </c>
      <c r="AU91" s="18" t="n">
        <f aca="false">AUX_MATRIZES!AU109</f>
        <v>6831.56190476191</v>
      </c>
      <c r="AV91" s="18" t="n">
        <f aca="false">AUX_MATRIZES!AV109</f>
        <v>6831.56190476191</v>
      </c>
      <c r="AW91" s="18" t="n">
        <f aca="false">AUX_MATRIZES!AW109</f>
        <v>6831.56190476191</v>
      </c>
      <c r="AX91" s="18" t="n">
        <f aca="false">AUX_MATRIZES!AX109</f>
        <v>6831.56190476191</v>
      </c>
      <c r="AY91" s="18" t="n">
        <f aca="false">AUX_MATRIZES!AY109</f>
        <v>6831.56190476191</v>
      </c>
      <c r="AZ91" s="18" t="n">
        <f aca="false">AUX_MATRIZES!AZ109</f>
        <v>6831.56190476191</v>
      </c>
      <c r="BA91" s="18" t="n">
        <f aca="false">AUX_MATRIZES!BA109</f>
        <v>6831.56190476191</v>
      </c>
      <c r="BB91" s="18" t="n">
        <f aca="false">AUX_MATRIZES!BB109</f>
        <v>6831.56190476191</v>
      </c>
      <c r="BC91" s="18" t="n">
        <f aca="false">AUX_MATRIZES!BC109</f>
        <v>6831.56190476191</v>
      </c>
      <c r="BD91" s="18" t="n">
        <f aca="false">AUX_MATRIZES!BD109</f>
        <v>6831.56190476191</v>
      </c>
      <c r="BE91" s="18" t="n">
        <f aca="false">AUX_MATRIZES!BE109</f>
        <v>6831.56190476191</v>
      </c>
      <c r="BF91" s="18" t="n">
        <f aca="false">AUX_MATRIZES!BF109</f>
        <v>6831.56190476191</v>
      </c>
      <c r="BG91" s="18" t="n">
        <f aca="false">AUX_MATRIZES!BG109</f>
        <v>6831.56190476191</v>
      </c>
      <c r="BH91" s="18" t="n">
        <f aca="false">AUX_MATRIZES!BH109</f>
        <v>6831.56190476191</v>
      </c>
      <c r="BI91" s="18" t="n">
        <f aca="false">AUX_MATRIZES!BI109</f>
        <v>6831.56190476191</v>
      </c>
      <c r="BJ91" s="18" t="n">
        <f aca="false">AUX_MATRIZES!BJ109</f>
        <v>6831.56190476191</v>
      </c>
      <c r="BK91" s="18" t="n">
        <f aca="false">AUX_MATRIZES!BK109</f>
        <v>6831.56190476191</v>
      </c>
      <c r="BL91" s="18" t="n">
        <f aca="false">AUX_MATRIZES!BL109</f>
        <v>6831.56190476191</v>
      </c>
      <c r="BM91" s="18" t="n">
        <f aca="false">AUX_MATRIZES!BM109</f>
        <v>6831.56190476191</v>
      </c>
      <c r="BN91" s="18" t="n">
        <f aca="false">AUX_MATRIZES!BN109</f>
        <v>6831.56190476191</v>
      </c>
      <c r="BO91" s="18" t="n">
        <f aca="false">AUX_MATRIZES!BO109</f>
        <v>6831.56190476191</v>
      </c>
      <c r="BP91" s="18" t="n">
        <f aca="false">AUX_MATRIZES!BP109</f>
        <v>6831.56190476191</v>
      </c>
    </row>
    <row r="92" customFormat="false" ht="15" hidden="false" customHeight="false" outlineLevel="0" collapsed="false">
      <c r="B92" s="15" t="s">
        <v>215</v>
      </c>
      <c r="C92" s="18" t="n">
        <f aca="false">AUX_MATRIZES!C98</f>
        <v>1175.07590678176</v>
      </c>
      <c r="D92" s="18" t="n">
        <f aca="false">AUX_MATRIZES!D98</f>
        <v>1038.9234244809</v>
      </c>
      <c r="E92" s="18" t="n">
        <f aca="false">AUX_MATRIZES!E98</f>
        <v>688.737300609133</v>
      </c>
      <c r="F92" s="18" t="n">
        <f aca="false">AUX_MATRIZES!F98</f>
        <v>396.498857142857</v>
      </c>
      <c r="G92" s="18" t="n">
        <f aca="false">AUX_MATRIZES!G98</f>
        <v>179.692965186074</v>
      </c>
      <c r="H92" s="18" t="n">
        <f aca="false">AUX_MATRIZES!H98</f>
        <v>0</v>
      </c>
      <c r="I92" s="18" t="n">
        <f aca="false">AUX_MATRIZES!I98</f>
        <v>0</v>
      </c>
      <c r="J92" s="18" t="n">
        <f aca="false">AUX_MATRIZES!J98</f>
        <v>0</v>
      </c>
      <c r="K92" s="18" t="n">
        <f aca="false">AUX_MATRIZES!K98</f>
        <v>0</v>
      </c>
      <c r="L92" s="18" t="n">
        <f aca="false">AUX_MATRIZES!L98</f>
        <v>0</v>
      </c>
      <c r="M92" s="18" t="n">
        <f aca="false">AUX_MATRIZES!M98</f>
        <v>0</v>
      </c>
      <c r="N92" s="18" t="n">
        <f aca="false">AUX_MATRIZES!N98</f>
        <v>0</v>
      </c>
      <c r="O92" s="18" t="n">
        <f aca="false">AUX_MATRIZES!O98</f>
        <v>7.14460907361445</v>
      </c>
      <c r="P92" s="18" t="n">
        <f aca="false">AUX_MATRIZES!P98</f>
        <v>0</v>
      </c>
      <c r="Q92" s="18" t="n">
        <f aca="false">AUX_MATRIZES!Q98</f>
        <v>0</v>
      </c>
      <c r="R92" s="18" t="n">
        <f aca="false">AUX_MATRIZES!R98</f>
        <v>0</v>
      </c>
      <c r="S92" s="18" t="n">
        <f aca="false">AUX_MATRIZES!S98</f>
        <v>0</v>
      </c>
      <c r="T92" s="18" t="n">
        <f aca="false">AUX_MATRIZES!T98</f>
        <v>27.4169411764704</v>
      </c>
      <c r="U92" s="18" t="n">
        <f aca="false">AUX_MATRIZES!U98</f>
        <v>140.428235294117</v>
      </c>
      <c r="V92" s="18" t="n">
        <f aca="false">AUX_MATRIZES!V98</f>
        <v>140.428235294117</v>
      </c>
      <c r="W92" s="18" t="n">
        <f aca="false">AUX_MATRIZES!W98</f>
        <v>57.8824242863668</v>
      </c>
      <c r="X92" s="18" t="n">
        <f aca="false">AUX_MATRIZES!X98</f>
        <v>0</v>
      </c>
      <c r="Y92" s="18" t="n">
        <f aca="false">AUX_MATRIZES!Y98</f>
        <v>0</v>
      </c>
      <c r="Z92" s="18" t="n">
        <f aca="false">AUX_MATRIZES!Z98</f>
        <v>27.5773274327482</v>
      </c>
      <c r="AA92" s="18" t="n">
        <f aca="false">AUX_MATRIZES!AA98</f>
        <v>87.8571064803303</v>
      </c>
      <c r="AB92" s="18" t="n">
        <f aca="false">AUX_MATRIZES!AB98</f>
        <v>140.489299719888</v>
      </c>
      <c r="AC92" s="18" t="n">
        <f aca="false">AUX_MATRIZES!AC98</f>
        <v>178.283697478991</v>
      </c>
      <c r="AD92" s="18" t="n">
        <f aca="false">AUX_MATRIZES!AD98</f>
        <v>178.283697478991</v>
      </c>
      <c r="AE92" s="18" t="n">
        <f aca="false">AUX_MATRIZES!AE98</f>
        <v>198.275352163087</v>
      </c>
      <c r="AF92" s="18" t="n">
        <f aca="false">AUX_MATRIZES!AF98</f>
        <v>243.896403361344</v>
      </c>
      <c r="AG92" s="18" t="n">
        <f aca="false">AUX_MATRIZES!AG98</f>
        <v>790.597625045079</v>
      </c>
      <c r="AH92" s="18" t="n">
        <f aca="false">AUX_MATRIZES!AH98</f>
        <v>1608.92218425148</v>
      </c>
      <c r="AI92" s="18" t="n">
        <f aca="false">AUX_MATRIZES!AI98</f>
        <v>1797.48296624946</v>
      </c>
      <c r="AJ92" s="18" t="n">
        <f aca="false">AUX_MATRIZES!AJ98</f>
        <v>1927.83122205463</v>
      </c>
      <c r="AK92" s="18" t="n">
        <f aca="false">AUX_MATRIZES!AK98</f>
        <v>2206.15329471893</v>
      </c>
      <c r="AL92" s="18" t="n">
        <f aca="false">AUX_MATRIZES!AL98</f>
        <v>2774.97595798319</v>
      </c>
      <c r="AM92" s="18" t="n">
        <f aca="false">AUX_MATRIZES!AM98</f>
        <v>2713.21916499677</v>
      </c>
      <c r="AN92" s="18" t="n">
        <f aca="false">AUX_MATRIZES!AN98</f>
        <v>2648.70810730446</v>
      </c>
      <c r="AO92" s="18" t="n">
        <f aca="false">AUX_MATRIZES!AO98</f>
        <v>2357.50012944409</v>
      </c>
      <c r="AP92" s="18" t="n">
        <f aca="false">AUX_MATRIZES!AP98</f>
        <v>2410.33267532288</v>
      </c>
      <c r="AQ92" s="18" t="n">
        <f aca="false">AUX_MATRIZES!AQ98</f>
        <v>2369.13192055284</v>
      </c>
      <c r="AR92" s="18" t="n">
        <f aca="false">AUX_MATRIZES!AR98</f>
        <v>2050.65884220355</v>
      </c>
      <c r="AS92" s="18" t="n">
        <f aca="false">AUX_MATRIZES!AS98</f>
        <v>1790.94096234049</v>
      </c>
      <c r="AT92" s="18" t="n">
        <f aca="false">AUX_MATRIZES!AT98</f>
        <v>1892.82968867547</v>
      </c>
      <c r="AU92" s="18" t="n">
        <f aca="false">AUX_MATRIZES!AU98</f>
        <v>1859.0372227202</v>
      </c>
      <c r="AV92" s="18" t="n">
        <f aca="false">AUX_MATRIZES!AV98</f>
        <v>1768.62658437597</v>
      </c>
      <c r="AW92" s="18" t="n">
        <f aca="false">AUX_MATRIZES!AW98</f>
        <v>1680.74460021894</v>
      </c>
      <c r="AX92" s="18" t="n">
        <f aca="false">AUX_MATRIZES!AX98</f>
        <v>1468.88051295307</v>
      </c>
      <c r="AY92" s="18" t="n">
        <f aca="false">AUX_MATRIZES!AY98</f>
        <v>1516.68734474387</v>
      </c>
      <c r="AZ92" s="18" t="n">
        <f aca="false">AUX_MATRIZES!AZ98</f>
        <v>1447.47179831074</v>
      </c>
      <c r="BA92" s="18" t="n">
        <f aca="false">AUX_MATRIZES!BA98</f>
        <v>1046.75914811166</v>
      </c>
      <c r="BB92" s="18" t="n">
        <f aca="false">AUX_MATRIZES!BB98</f>
        <v>1161.16341991693</v>
      </c>
      <c r="BC92" s="18" t="n">
        <f aca="false">AUX_MATRIZES!BC98</f>
        <v>1233.81566970788</v>
      </c>
      <c r="BD92" s="18" t="n">
        <f aca="false">AUX_MATRIZES!BD98</f>
        <v>1308.5160929972</v>
      </c>
      <c r="BE92" s="18" t="n">
        <f aca="false">AUX_MATRIZES!BE98</f>
        <v>1312.77602240896</v>
      </c>
      <c r="BF92" s="18" t="n">
        <f aca="false">AUX_MATRIZES!BF98</f>
        <v>1312.77602240896</v>
      </c>
      <c r="BG92" s="18" t="n">
        <f aca="false">AUX_MATRIZES!BG98</f>
        <v>1078.53990236094</v>
      </c>
      <c r="BH92" s="18" t="n">
        <f aca="false">AUX_MATRIZES!BH98</f>
        <v>726.712605042017</v>
      </c>
      <c r="BI92" s="18" t="n">
        <f aca="false">AUX_MATRIZES!BI98</f>
        <v>665.225254129237</v>
      </c>
      <c r="BJ92" s="18" t="n">
        <f aca="false">AUX_MATRIZES!BJ98</f>
        <v>585.980824108954</v>
      </c>
      <c r="BK92" s="18" t="n">
        <f aca="false">AUX_MATRIZES!BK98</f>
        <v>506.73639408867</v>
      </c>
      <c r="BL92" s="18" t="n">
        <f aca="false">AUX_MATRIZES!BL98</f>
        <v>8.4056078431373</v>
      </c>
      <c r="BM92" s="18" t="n">
        <f aca="false">AUX_MATRIZES!BM98</f>
        <v>0</v>
      </c>
      <c r="BN92" s="18" t="n">
        <f aca="false">AUX_MATRIZES!BN98</f>
        <v>0</v>
      </c>
      <c r="BO92" s="18" t="n">
        <f aca="false">AUX_MATRIZES!BO98</f>
        <v>0</v>
      </c>
      <c r="BP92" s="18" t="n">
        <f aca="false">AUX_MATRIZES!BP98</f>
        <v>0</v>
      </c>
    </row>
    <row r="93" customFormat="false" ht="15" hidden="false" customHeight="false" outlineLevel="0" collapsed="false">
      <c r="B93" s="15" t="s">
        <v>216</v>
      </c>
      <c r="C93" s="18" t="n">
        <f aca="false">AUX_MATRIZES!C110</f>
        <v>8298.70952380952</v>
      </c>
      <c r="D93" s="18" t="n">
        <f aca="false">AUX_MATRIZES!D110</f>
        <v>8298.70952380952</v>
      </c>
      <c r="E93" s="18" t="n">
        <f aca="false">AUX_MATRIZES!E110</f>
        <v>8298.70952380952</v>
      </c>
      <c r="F93" s="18" t="n">
        <f aca="false">AUX_MATRIZES!F110</f>
        <v>8298.70952380952</v>
      </c>
      <c r="G93" s="18" t="n">
        <f aca="false">AUX_MATRIZES!G110</f>
        <v>8298.70952380952</v>
      </c>
      <c r="H93" s="18" t="n">
        <f aca="false">AUX_MATRIZES!H110</f>
        <v>8298.70952380952</v>
      </c>
      <c r="I93" s="18" t="n">
        <f aca="false">AUX_MATRIZES!I110</f>
        <v>8298.70952380952</v>
      </c>
      <c r="J93" s="18" t="n">
        <f aca="false">AUX_MATRIZES!J110</f>
        <v>8298.70952380952</v>
      </c>
      <c r="K93" s="18" t="n">
        <f aca="false">AUX_MATRIZES!K110</f>
        <v>8298.70952380952</v>
      </c>
      <c r="L93" s="18" t="n">
        <f aca="false">AUX_MATRIZES!L110</f>
        <v>8298.70952380952</v>
      </c>
      <c r="M93" s="18" t="n">
        <f aca="false">AUX_MATRIZES!M110</f>
        <v>8298.70952380952</v>
      </c>
      <c r="N93" s="18" t="n">
        <f aca="false">AUX_MATRIZES!N110</f>
        <v>8298.70952380952</v>
      </c>
      <c r="O93" s="18" t="n">
        <f aca="false">AUX_MATRIZES!O110</f>
        <v>8298.70952380952</v>
      </c>
      <c r="P93" s="18" t="n">
        <f aca="false">AUX_MATRIZES!P110</f>
        <v>8298.70952380952</v>
      </c>
      <c r="Q93" s="18" t="n">
        <f aca="false">AUX_MATRIZES!Q110</f>
        <v>8298.70952380952</v>
      </c>
      <c r="R93" s="18" t="n">
        <f aca="false">AUX_MATRIZES!R110</f>
        <v>8298.70952380952</v>
      </c>
      <c r="S93" s="18" t="n">
        <f aca="false">AUX_MATRIZES!S110</f>
        <v>8298.70952380952</v>
      </c>
      <c r="T93" s="18" t="n">
        <f aca="false">AUX_MATRIZES!T110</f>
        <v>8298.70952380952</v>
      </c>
      <c r="U93" s="18" t="n">
        <f aca="false">AUX_MATRIZES!U110</f>
        <v>8298.70952380952</v>
      </c>
      <c r="V93" s="18" t="n">
        <f aca="false">AUX_MATRIZES!V110</f>
        <v>8298.70952380952</v>
      </c>
      <c r="W93" s="18" t="n">
        <f aca="false">AUX_MATRIZES!W110</f>
        <v>8298.70952380952</v>
      </c>
      <c r="X93" s="18" t="n">
        <f aca="false">AUX_MATRIZES!X110</f>
        <v>8298.70952380952</v>
      </c>
      <c r="Y93" s="18" t="n">
        <f aca="false">AUX_MATRIZES!Y110</f>
        <v>8298.70952380952</v>
      </c>
      <c r="Z93" s="18" t="n">
        <f aca="false">AUX_MATRIZES!Z110</f>
        <v>8298.70952380952</v>
      </c>
      <c r="AA93" s="18" t="n">
        <f aca="false">AUX_MATRIZES!AA110</f>
        <v>8298.70952380952</v>
      </c>
      <c r="AB93" s="18" t="n">
        <f aca="false">AUX_MATRIZES!AB110</f>
        <v>8298.70952380952</v>
      </c>
      <c r="AC93" s="18" t="n">
        <f aca="false">AUX_MATRIZES!AC110</f>
        <v>8298.70952380952</v>
      </c>
      <c r="AD93" s="18" t="n">
        <f aca="false">AUX_MATRIZES!AD110</f>
        <v>8298.70952380952</v>
      </c>
      <c r="AE93" s="18" t="n">
        <f aca="false">AUX_MATRIZES!AE110</f>
        <v>8298.70952380952</v>
      </c>
      <c r="AF93" s="18" t="n">
        <f aca="false">AUX_MATRIZES!AF110</f>
        <v>8298.70952380952</v>
      </c>
      <c r="AG93" s="18" t="n">
        <f aca="false">AUX_MATRIZES!AG110</f>
        <v>8298.70952380952</v>
      </c>
      <c r="AH93" s="18" t="n">
        <f aca="false">AUX_MATRIZES!AH110</f>
        <v>8298.70952380952</v>
      </c>
      <c r="AI93" s="18" t="n">
        <f aca="false">AUX_MATRIZES!AI110</f>
        <v>8298.70952380952</v>
      </c>
      <c r="AJ93" s="18" t="n">
        <f aca="false">AUX_MATRIZES!AJ110</f>
        <v>8298.70952380952</v>
      </c>
      <c r="AK93" s="18" t="n">
        <f aca="false">AUX_MATRIZES!AK110</f>
        <v>8298.70952380952</v>
      </c>
      <c r="AL93" s="18" t="n">
        <f aca="false">AUX_MATRIZES!AL110</f>
        <v>8298.70952380952</v>
      </c>
      <c r="AM93" s="18" t="n">
        <f aca="false">AUX_MATRIZES!AM110</f>
        <v>8298.70952380952</v>
      </c>
      <c r="AN93" s="18" t="n">
        <f aca="false">AUX_MATRIZES!AN110</f>
        <v>8298.70952380952</v>
      </c>
      <c r="AO93" s="18" t="n">
        <f aca="false">AUX_MATRIZES!AO110</f>
        <v>8298.70952380952</v>
      </c>
      <c r="AP93" s="18" t="n">
        <f aca="false">AUX_MATRIZES!AP110</f>
        <v>8298.70952380952</v>
      </c>
      <c r="AQ93" s="18" t="n">
        <f aca="false">AUX_MATRIZES!AQ110</f>
        <v>8298.70952380952</v>
      </c>
      <c r="AR93" s="18" t="n">
        <f aca="false">AUX_MATRIZES!AR110</f>
        <v>8298.70952380952</v>
      </c>
      <c r="AS93" s="18" t="n">
        <f aca="false">AUX_MATRIZES!AS110</f>
        <v>8298.70952380952</v>
      </c>
      <c r="AT93" s="18" t="n">
        <f aca="false">AUX_MATRIZES!AT110</f>
        <v>8298.70952380952</v>
      </c>
      <c r="AU93" s="18" t="n">
        <f aca="false">AUX_MATRIZES!AU110</f>
        <v>8298.70952380952</v>
      </c>
      <c r="AV93" s="18" t="n">
        <f aca="false">AUX_MATRIZES!AV110</f>
        <v>8298.70952380952</v>
      </c>
      <c r="AW93" s="18" t="n">
        <f aca="false">AUX_MATRIZES!AW110</f>
        <v>8298.70952380952</v>
      </c>
      <c r="AX93" s="18" t="n">
        <f aca="false">AUX_MATRIZES!AX110</f>
        <v>8298.70952380952</v>
      </c>
      <c r="AY93" s="18" t="n">
        <f aca="false">AUX_MATRIZES!AY110</f>
        <v>8298.70952380952</v>
      </c>
      <c r="AZ93" s="18" t="n">
        <f aca="false">AUX_MATRIZES!AZ110</f>
        <v>8298.70952380952</v>
      </c>
      <c r="BA93" s="18" t="n">
        <f aca="false">AUX_MATRIZES!BA110</f>
        <v>8298.70952380952</v>
      </c>
      <c r="BB93" s="18" t="n">
        <f aca="false">AUX_MATRIZES!BB110</f>
        <v>8298.70952380952</v>
      </c>
      <c r="BC93" s="18" t="n">
        <f aca="false">AUX_MATRIZES!BC110</f>
        <v>8298.70952380952</v>
      </c>
      <c r="BD93" s="18" t="n">
        <f aca="false">AUX_MATRIZES!BD110</f>
        <v>8298.70952380952</v>
      </c>
      <c r="BE93" s="18" t="n">
        <f aca="false">AUX_MATRIZES!BE110</f>
        <v>8298.70952380952</v>
      </c>
      <c r="BF93" s="18" t="n">
        <f aca="false">AUX_MATRIZES!BF110</f>
        <v>8298.70952380952</v>
      </c>
      <c r="BG93" s="18" t="n">
        <f aca="false">AUX_MATRIZES!BG110</f>
        <v>8298.70952380952</v>
      </c>
      <c r="BH93" s="18" t="n">
        <f aca="false">AUX_MATRIZES!BH110</f>
        <v>8298.70952380952</v>
      </c>
      <c r="BI93" s="18" t="n">
        <f aca="false">AUX_MATRIZES!BI110</f>
        <v>8298.70952380952</v>
      </c>
      <c r="BJ93" s="18" t="n">
        <f aca="false">AUX_MATRIZES!BJ110</f>
        <v>8298.70952380952</v>
      </c>
      <c r="BK93" s="18" t="n">
        <f aca="false">AUX_MATRIZES!BK110</f>
        <v>8298.70952380952</v>
      </c>
      <c r="BL93" s="18" t="n">
        <f aca="false">AUX_MATRIZES!BL110</f>
        <v>8298.70952380952</v>
      </c>
      <c r="BM93" s="18" t="n">
        <f aca="false">AUX_MATRIZES!BM110</f>
        <v>8298.70952380952</v>
      </c>
      <c r="BN93" s="18" t="n">
        <f aca="false">AUX_MATRIZES!BN110</f>
        <v>8298.70952380952</v>
      </c>
      <c r="BO93" s="18" t="n">
        <f aca="false">AUX_MATRIZES!BO110</f>
        <v>8298.70952380952</v>
      </c>
      <c r="BP93" s="18" t="n">
        <f aca="false">AUX_MATRIZES!BP110</f>
        <v>8298.70952380952</v>
      </c>
    </row>
    <row r="94" customFormat="false" ht="15" hidden="false" customHeight="false" outlineLevel="0" collapsed="false">
      <c r="B94" s="15" t="s">
        <v>217</v>
      </c>
      <c r="C94" s="18" t="n">
        <f aca="false">AUX_MATRIZES!C99</f>
        <v>0</v>
      </c>
      <c r="D94" s="18" t="n">
        <f aca="false">AUX_MATRIZES!D99</f>
        <v>0</v>
      </c>
      <c r="E94" s="18" t="n">
        <f aca="false">AUX_MATRIZES!E99</f>
        <v>0</v>
      </c>
      <c r="F94" s="18" t="n">
        <f aca="false">AUX_MATRIZES!F99</f>
        <v>0</v>
      </c>
      <c r="G94" s="18" t="n">
        <f aca="false">AUX_MATRIZES!G99</f>
        <v>0</v>
      </c>
      <c r="H94" s="18" t="n">
        <f aca="false">AUX_MATRIZES!H99</f>
        <v>0</v>
      </c>
      <c r="I94" s="18" t="n">
        <f aca="false">AUX_MATRIZES!I99</f>
        <v>0</v>
      </c>
      <c r="J94" s="18" t="n">
        <f aca="false">AUX_MATRIZES!J99</f>
        <v>0</v>
      </c>
      <c r="K94" s="18" t="n">
        <f aca="false">AUX_MATRIZES!K99</f>
        <v>0</v>
      </c>
      <c r="L94" s="18" t="n">
        <f aca="false">AUX_MATRIZES!L99</f>
        <v>0</v>
      </c>
      <c r="M94" s="18" t="n">
        <f aca="false">AUX_MATRIZES!M99</f>
        <v>0</v>
      </c>
      <c r="N94" s="18" t="n">
        <f aca="false">AUX_MATRIZES!N99</f>
        <v>0</v>
      </c>
      <c r="O94" s="18" t="n">
        <f aca="false">AUX_MATRIZES!O99</f>
        <v>0</v>
      </c>
      <c r="P94" s="18" t="n">
        <f aca="false">AUX_MATRIZES!P99</f>
        <v>0</v>
      </c>
      <c r="Q94" s="18" t="n">
        <f aca="false">AUX_MATRIZES!Q99</f>
        <v>0</v>
      </c>
      <c r="R94" s="18" t="n">
        <f aca="false">AUX_MATRIZES!R99</f>
        <v>0</v>
      </c>
      <c r="S94" s="18" t="n">
        <f aca="false">AUX_MATRIZES!S99</f>
        <v>0</v>
      </c>
      <c r="T94" s="18" t="n">
        <f aca="false">AUX_MATRIZES!T99</f>
        <v>0</v>
      </c>
      <c r="U94" s="18" t="n">
        <f aca="false">AUX_MATRIZES!U99</f>
        <v>0</v>
      </c>
      <c r="V94" s="18" t="n">
        <f aca="false">AUX_MATRIZES!V99</f>
        <v>0</v>
      </c>
      <c r="W94" s="18" t="n">
        <f aca="false">AUX_MATRIZES!W99</f>
        <v>0</v>
      </c>
      <c r="X94" s="18" t="n">
        <f aca="false">AUX_MATRIZES!X99</f>
        <v>0</v>
      </c>
      <c r="Y94" s="18" t="n">
        <f aca="false">AUX_MATRIZES!Y99</f>
        <v>0</v>
      </c>
      <c r="Z94" s="18" t="n">
        <f aca="false">AUX_MATRIZES!Z99</f>
        <v>0</v>
      </c>
      <c r="AA94" s="18" t="n">
        <f aca="false">AUX_MATRIZES!AA99</f>
        <v>0</v>
      </c>
      <c r="AB94" s="18" t="n">
        <f aca="false">AUX_MATRIZES!AB99</f>
        <v>0</v>
      </c>
      <c r="AC94" s="18" t="n">
        <f aca="false">AUX_MATRIZES!AC99</f>
        <v>0</v>
      </c>
      <c r="AD94" s="18" t="n">
        <f aca="false">AUX_MATRIZES!AD99</f>
        <v>0</v>
      </c>
      <c r="AE94" s="18" t="n">
        <f aca="false">AUX_MATRIZES!AE99</f>
        <v>0</v>
      </c>
      <c r="AF94" s="18" t="n">
        <f aca="false">AUX_MATRIZES!AF99</f>
        <v>0</v>
      </c>
      <c r="AG94" s="18" t="n">
        <f aca="false">AUX_MATRIZES!AG99</f>
        <v>0</v>
      </c>
      <c r="AH94" s="18" t="n">
        <f aca="false">AUX_MATRIZES!AH99</f>
        <v>0</v>
      </c>
      <c r="AI94" s="18" t="n">
        <f aca="false">AUX_MATRIZES!AI99</f>
        <v>0</v>
      </c>
      <c r="AJ94" s="18" t="n">
        <f aca="false">AUX_MATRIZES!AJ99</f>
        <v>0</v>
      </c>
      <c r="AK94" s="18" t="n">
        <f aca="false">AUX_MATRIZES!AK99</f>
        <v>0</v>
      </c>
      <c r="AL94" s="18" t="n">
        <f aca="false">AUX_MATRIZES!AL99</f>
        <v>0</v>
      </c>
      <c r="AM94" s="18" t="n">
        <f aca="false">AUX_MATRIZES!AM99</f>
        <v>0</v>
      </c>
      <c r="AN94" s="18" t="n">
        <f aca="false">AUX_MATRIZES!AN99</f>
        <v>0</v>
      </c>
      <c r="AO94" s="18" t="n">
        <f aca="false">AUX_MATRIZES!AO99</f>
        <v>0</v>
      </c>
      <c r="AP94" s="18" t="n">
        <f aca="false">AUX_MATRIZES!AP99</f>
        <v>0</v>
      </c>
      <c r="AQ94" s="18" t="n">
        <f aca="false">AUX_MATRIZES!AQ99</f>
        <v>0</v>
      </c>
      <c r="AR94" s="18" t="n">
        <f aca="false">AUX_MATRIZES!AR99</f>
        <v>0</v>
      </c>
      <c r="AS94" s="18" t="n">
        <f aca="false">AUX_MATRIZES!AS99</f>
        <v>0</v>
      </c>
      <c r="AT94" s="18" t="n">
        <f aca="false">AUX_MATRIZES!AT99</f>
        <v>0</v>
      </c>
      <c r="AU94" s="18" t="n">
        <f aca="false">AUX_MATRIZES!AU99</f>
        <v>0</v>
      </c>
      <c r="AV94" s="18" t="n">
        <f aca="false">AUX_MATRIZES!AV99</f>
        <v>0</v>
      </c>
      <c r="AW94" s="18" t="n">
        <f aca="false">AUX_MATRIZES!AW99</f>
        <v>0</v>
      </c>
      <c r="AX94" s="18" t="n">
        <f aca="false">AUX_MATRIZES!AX99</f>
        <v>0</v>
      </c>
      <c r="AY94" s="18" t="n">
        <f aca="false">AUX_MATRIZES!AY99</f>
        <v>0</v>
      </c>
      <c r="AZ94" s="18" t="n">
        <f aca="false">AUX_MATRIZES!AZ99</f>
        <v>0</v>
      </c>
      <c r="BA94" s="18" t="n">
        <f aca="false">AUX_MATRIZES!BA99</f>
        <v>0</v>
      </c>
      <c r="BB94" s="18" t="n">
        <f aca="false">AUX_MATRIZES!BB99</f>
        <v>0</v>
      </c>
      <c r="BC94" s="18" t="n">
        <f aca="false">AUX_MATRIZES!BC99</f>
        <v>0</v>
      </c>
      <c r="BD94" s="18" t="n">
        <f aca="false">AUX_MATRIZES!BD99</f>
        <v>0</v>
      </c>
      <c r="BE94" s="18" t="n">
        <f aca="false">AUX_MATRIZES!BE99</f>
        <v>0</v>
      </c>
      <c r="BF94" s="18" t="n">
        <f aca="false">AUX_MATRIZES!BF99</f>
        <v>0</v>
      </c>
      <c r="BG94" s="18" t="n">
        <f aca="false">AUX_MATRIZES!BG99</f>
        <v>0</v>
      </c>
      <c r="BH94" s="18" t="n">
        <f aca="false">AUX_MATRIZES!BH99</f>
        <v>0</v>
      </c>
      <c r="BI94" s="18" t="n">
        <f aca="false">AUX_MATRIZES!BI99</f>
        <v>0</v>
      </c>
      <c r="BJ94" s="18" t="n">
        <f aca="false">AUX_MATRIZES!BJ99</f>
        <v>0</v>
      </c>
      <c r="BK94" s="18" t="n">
        <f aca="false">AUX_MATRIZES!BK99</f>
        <v>0</v>
      </c>
      <c r="BL94" s="18" t="n">
        <f aca="false">AUX_MATRIZES!BL99</f>
        <v>0</v>
      </c>
      <c r="BM94" s="18" t="n">
        <f aca="false">AUX_MATRIZES!BM99</f>
        <v>0</v>
      </c>
      <c r="BN94" s="18" t="n">
        <f aca="false">AUX_MATRIZES!BN99</f>
        <v>0</v>
      </c>
      <c r="BO94" s="18" t="n">
        <f aca="false">AUX_MATRIZES!BO99</f>
        <v>0</v>
      </c>
      <c r="BP94" s="18" t="n">
        <f aca="false">AUX_MATRIZES!BP99</f>
        <v>0</v>
      </c>
    </row>
    <row r="95" customFormat="false" ht="15" hidden="false" customHeight="false" outlineLevel="0" collapsed="false">
      <c r="B95" s="15" t="s">
        <v>218</v>
      </c>
      <c r="C95" s="18" t="n">
        <f aca="false">AUX_MATRIZES!C111</f>
        <v>2669.52380952381</v>
      </c>
      <c r="D95" s="18" t="n">
        <f aca="false">AUX_MATRIZES!D111</f>
        <v>2669.52380952381</v>
      </c>
      <c r="E95" s="18" t="n">
        <f aca="false">AUX_MATRIZES!E111</f>
        <v>2669.52380952381</v>
      </c>
      <c r="F95" s="18" t="n">
        <f aca="false">AUX_MATRIZES!F111</f>
        <v>2669.52380952381</v>
      </c>
      <c r="G95" s="18" t="n">
        <f aca="false">AUX_MATRIZES!G111</f>
        <v>2669.52380952381</v>
      </c>
      <c r="H95" s="18" t="n">
        <f aca="false">AUX_MATRIZES!H111</f>
        <v>2669.52380952381</v>
      </c>
      <c r="I95" s="18" t="n">
        <f aca="false">AUX_MATRIZES!I111</f>
        <v>2669.52380952381</v>
      </c>
      <c r="J95" s="18" t="n">
        <f aca="false">AUX_MATRIZES!J111</f>
        <v>2669.52380952381</v>
      </c>
      <c r="K95" s="18" t="n">
        <f aca="false">AUX_MATRIZES!K111</f>
        <v>2669.52380952381</v>
      </c>
      <c r="L95" s="18" t="n">
        <f aca="false">AUX_MATRIZES!L111</f>
        <v>2669.52380952381</v>
      </c>
      <c r="M95" s="18" t="n">
        <f aca="false">AUX_MATRIZES!M111</f>
        <v>2669.52380952381</v>
      </c>
      <c r="N95" s="18" t="n">
        <f aca="false">AUX_MATRIZES!N111</f>
        <v>2669.52380952381</v>
      </c>
      <c r="O95" s="18" t="n">
        <f aca="false">AUX_MATRIZES!O111</f>
        <v>2669.52380952381</v>
      </c>
      <c r="P95" s="18" t="n">
        <f aca="false">AUX_MATRIZES!P111</f>
        <v>2669.52380952381</v>
      </c>
      <c r="Q95" s="18" t="n">
        <f aca="false">AUX_MATRIZES!Q111</f>
        <v>2669.52380952381</v>
      </c>
      <c r="R95" s="18" t="n">
        <f aca="false">AUX_MATRIZES!R111</f>
        <v>2669.52380952381</v>
      </c>
      <c r="S95" s="18" t="n">
        <f aca="false">AUX_MATRIZES!S111</f>
        <v>2669.52380952381</v>
      </c>
      <c r="T95" s="18" t="n">
        <f aca="false">AUX_MATRIZES!T111</f>
        <v>2669.52380952381</v>
      </c>
      <c r="U95" s="18" t="n">
        <f aca="false">AUX_MATRIZES!U111</f>
        <v>2669.52380952381</v>
      </c>
      <c r="V95" s="18" t="n">
        <f aca="false">AUX_MATRIZES!V111</f>
        <v>2669.52380952381</v>
      </c>
      <c r="W95" s="18" t="n">
        <f aca="false">AUX_MATRIZES!W111</f>
        <v>2669.52380952381</v>
      </c>
      <c r="X95" s="18" t="n">
        <f aca="false">AUX_MATRIZES!X111</f>
        <v>2669.52380952381</v>
      </c>
      <c r="Y95" s="18" t="n">
        <f aca="false">AUX_MATRIZES!Y111</f>
        <v>2669.52380952381</v>
      </c>
      <c r="Z95" s="18" t="n">
        <f aca="false">AUX_MATRIZES!Z111</f>
        <v>2669.52380952381</v>
      </c>
      <c r="AA95" s="18" t="n">
        <f aca="false">AUX_MATRIZES!AA111</f>
        <v>2669.52380952381</v>
      </c>
      <c r="AB95" s="18" t="n">
        <f aca="false">AUX_MATRIZES!AB111</f>
        <v>2669.52380952381</v>
      </c>
      <c r="AC95" s="18" t="n">
        <f aca="false">AUX_MATRIZES!AC111</f>
        <v>2669.52380952381</v>
      </c>
      <c r="AD95" s="18" t="n">
        <f aca="false">AUX_MATRIZES!AD111</f>
        <v>2669.52380952381</v>
      </c>
      <c r="AE95" s="18" t="n">
        <f aca="false">AUX_MATRIZES!AE111</f>
        <v>2669.52380952381</v>
      </c>
      <c r="AF95" s="18" t="n">
        <f aca="false">AUX_MATRIZES!AF111</f>
        <v>2669.52380952381</v>
      </c>
      <c r="AG95" s="18" t="n">
        <f aca="false">AUX_MATRIZES!AG111</f>
        <v>2669.52380952381</v>
      </c>
      <c r="AH95" s="18" t="n">
        <f aca="false">AUX_MATRIZES!AH111</f>
        <v>2669.52380952381</v>
      </c>
      <c r="AI95" s="18" t="n">
        <f aca="false">AUX_MATRIZES!AI111</f>
        <v>2669.52380952381</v>
      </c>
      <c r="AJ95" s="18" t="n">
        <f aca="false">AUX_MATRIZES!AJ111</f>
        <v>2669.52380952381</v>
      </c>
      <c r="AK95" s="18" t="n">
        <f aca="false">AUX_MATRIZES!AK111</f>
        <v>2669.52380952381</v>
      </c>
      <c r="AL95" s="18" t="n">
        <f aca="false">AUX_MATRIZES!AL111</f>
        <v>2669.52380952381</v>
      </c>
      <c r="AM95" s="18" t="n">
        <f aca="false">AUX_MATRIZES!AM111</f>
        <v>2669.52380952381</v>
      </c>
      <c r="AN95" s="18" t="n">
        <f aca="false">AUX_MATRIZES!AN111</f>
        <v>2669.52380952381</v>
      </c>
      <c r="AO95" s="18" t="n">
        <f aca="false">AUX_MATRIZES!AO111</f>
        <v>2669.52380952381</v>
      </c>
      <c r="AP95" s="18" t="n">
        <f aca="false">AUX_MATRIZES!AP111</f>
        <v>2669.52380952381</v>
      </c>
      <c r="AQ95" s="18" t="n">
        <f aca="false">AUX_MATRIZES!AQ111</f>
        <v>2669.52380952381</v>
      </c>
      <c r="AR95" s="18" t="n">
        <f aca="false">AUX_MATRIZES!AR111</f>
        <v>2669.52380952381</v>
      </c>
      <c r="AS95" s="18" t="n">
        <f aca="false">AUX_MATRIZES!AS111</f>
        <v>2669.52380952381</v>
      </c>
      <c r="AT95" s="18" t="n">
        <f aca="false">AUX_MATRIZES!AT111</f>
        <v>2669.52380952381</v>
      </c>
      <c r="AU95" s="18" t="n">
        <f aca="false">AUX_MATRIZES!AU111</f>
        <v>2669.52380952381</v>
      </c>
      <c r="AV95" s="18" t="n">
        <f aca="false">AUX_MATRIZES!AV111</f>
        <v>2669.52380952381</v>
      </c>
      <c r="AW95" s="18" t="n">
        <f aca="false">AUX_MATRIZES!AW111</f>
        <v>2669.52380952381</v>
      </c>
      <c r="AX95" s="18" t="n">
        <f aca="false">AUX_MATRIZES!AX111</f>
        <v>2669.52380952381</v>
      </c>
      <c r="AY95" s="18" t="n">
        <f aca="false">AUX_MATRIZES!AY111</f>
        <v>2669.52380952381</v>
      </c>
      <c r="AZ95" s="18" t="n">
        <f aca="false">AUX_MATRIZES!AZ111</f>
        <v>2669.52380952381</v>
      </c>
      <c r="BA95" s="18" t="n">
        <f aca="false">AUX_MATRIZES!BA111</f>
        <v>2669.52380952381</v>
      </c>
      <c r="BB95" s="18" t="n">
        <f aca="false">AUX_MATRIZES!BB111</f>
        <v>2669.52380952381</v>
      </c>
      <c r="BC95" s="18" t="n">
        <f aca="false">AUX_MATRIZES!BC111</f>
        <v>2669.52380952381</v>
      </c>
      <c r="BD95" s="18" t="n">
        <f aca="false">AUX_MATRIZES!BD111</f>
        <v>2669.52380952381</v>
      </c>
      <c r="BE95" s="18" t="n">
        <f aca="false">AUX_MATRIZES!BE111</f>
        <v>2669.52380952381</v>
      </c>
      <c r="BF95" s="18" t="n">
        <f aca="false">AUX_MATRIZES!BF111</f>
        <v>2669.52380952381</v>
      </c>
      <c r="BG95" s="18" t="n">
        <f aca="false">AUX_MATRIZES!BG111</f>
        <v>2669.52380952381</v>
      </c>
      <c r="BH95" s="18" t="n">
        <f aca="false">AUX_MATRIZES!BH111</f>
        <v>2669.52380952381</v>
      </c>
      <c r="BI95" s="18" t="n">
        <f aca="false">AUX_MATRIZES!BI111</f>
        <v>2669.52380952381</v>
      </c>
      <c r="BJ95" s="18" t="n">
        <f aca="false">AUX_MATRIZES!BJ111</f>
        <v>2669.52380952381</v>
      </c>
      <c r="BK95" s="18" t="n">
        <f aca="false">AUX_MATRIZES!BK111</f>
        <v>2669.52380952381</v>
      </c>
      <c r="BL95" s="18" t="n">
        <f aca="false">AUX_MATRIZES!BL111</f>
        <v>2669.52380952381</v>
      </c>
      <c r="BM95" s="18" t="n">
        <f aca="false">AUX_MATRIZES!BM111</f>
        <v>2669.52380952381</v>
      </c>
      <c r="BN95" s="18" t="n">
        <f aca="false">AUX_MATRIZES!BN111</f>
        <v>2669.52380952381</v>
      </c>
      <c r="BO95" s="18" t="n">
        <f aca="false">AUX_MATRIZES!BO111</f>
        <v>2669.52380952381</v>
      </c>
      <c r="BP95" s="18" t="n">
        <f aca="false">AUX_MATRIZES!BP111</f>
        <v>2669.52380952381</v>
      </c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2" customFormat="false" ht="30" hidden="false" customHeight="true" outlineLevel="0" collapsed="false">
      <c r="B2" s="1" t="s">
        <v>219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5.5" hidden="false" customHeight="true" outlineLevel="0" collapsed="false">
      <c r="B3" s="2" t="s">
        <v>220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1" min="9" style="0" width="15"/>
    <col collapsed="false" customWidth="true" hidden="false" outlineLevel="0" max="12" min="12" style="0" width="14"/>
    <col collapsed="false" customWidth="true" hidden="false" outlineLevel="0" max="13" min="13" style="0" width="16"/>
  </cols>
  <sheetData>
    <row r="2" customFormat="false" ht="30" hidden="false" customHeight="true" outlineLevel="0" collapsed="false">
      <c r="B2" s="1" t="s">
        <v>221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25.5" hidden="false" customHeight="true" outlineLevel="0" collapsed="false">
      <c r="B3" s="2" t="s">
        <v>222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30" hidden="false" customHeight="true" outlineLevel="0" collapsed="false">
      <c r="B5" s="14" t="s">
        <v>223</v>
      </c>
      <c r="C5" s="14" t="s">
        <v>224</v>
      </c>
      <c r="D5" s="14" t="s">
        <v>225</v>
      </c>
      <c r="E5" s="14" t="s">
        <v>226</v>
      </c>
      <c r="F5" s="14" t="s">
        <v>227</v>
      </c>
      <c r="G5" s="14" t="s">
        <v>228</v>
      </c>
      <c r="H5" s="14" t="s">
        <v>120</v>
      </c>
      <c r="I5" s="14" t="s">
        <v>229</v>
      </c>
      <c r="J5" s="14" t="s">
        <v>230</v>
      </c>
      <c r="K5" s="14" t="s">
        <v>231</v>
      </c>
      <c r="L5" s="14" t="s">
        <v>232</v>
      </c>
      <c r="M5" s="14" t="s">
        <v>233</v>
      </c>
    </row>
    <row r="6" customFormat="false" ht="15" hidden="false" customHeight="false" outlineLevel="0" collapsed="false">
      <c r="B6" s="15" t="s">
        <v>234</v>
      </c>
      <c r="C6" s="20" t="n">
        <f aca="false">SUMIF(ROTACAO_RDM!$F$6:$F$71,$B6,ROTACAO_RDM!$E$6:$E$71)</f>
        <v>3800.12</v>
      </c>
      <c r="D6" s="16" t="n">
        <f aca="false">COUNTIF(ROTACAO_RDM!$F$6:$F$71,$B6)</f>
        <v>31</v>
      </c>
      <c r="E6" s="18" t="n">
        <f aca="false">IFERROR(SUMIF(PLANEJAMENTO_SEMANAL!$K$6:$K$2381,$B6,PLANEJAMENTO_SEMANAL!$AJ$6:$AJ$2381)/$C6,0)</f>
        <v>678.920561982253</v>
      </c>
      <c r="F6" s="24" t="n">
        <f aca="false">IFERROR($G6/$E6,0)</f>
        <v>0.83633512480339</v>
      </c>
      <c r="G6" s="18" t="n">
        <f aca="false">IFERROR(SUMIF(PLANEJAMENTO_SEMANAL!$K$6:$K$2381,$B6,PLANEJAMENTO_SEMANAL!$AG$6:$AG$2381)/$C6,0)</f>
        <v>567.805112937016</v>
      </c>
      <c r="H6" s="18" t="n">
        <f aca="false">IFERROR(SUMIF(PLANEJAMENTO_SEMANAL!$K$6:$K$2381,$B6,PLANEJAMENTO_SEMANAL!$AH$6:$AH$2381)/$C6,0)</f>
        <v>381.778920476196</v>
      </c>
      <c r="I6" s="18" t="n">
        <f aca="false">IFERROR(SUMIF(PLANEJAMENTO_SEMANAL!$K$6:$K$2381,$B6,PLANEJAMENTO_SEMANAL!$AI$6:$AI$2381)/$C6,0)</f>
        <v>307.905271519969</v>
      </c>
      <c r="J6" s="18" t="n">
        <f aca="false">IFERROR($K6/($C6*MM_PARA_M3_HA),0)</f>
        <v>362.241495905846</v>
      </c>
      <c r="K6" s="16" t="n">
        <f aca="false">SUMIF(PLANEJAMENTO_SEMANAL!$K$6:$K$2381,$B6,PLANEJAMENTO_SEMANAL!$Z$6:$Z$2381)</f>
        <v>13765611.5342172</v>
      </c>
      <c r="L6" s="18" t="n">
        <f aca="false">$J6</f>
        <v>362.241495905846</v>
      </c>
      <c r="M6" s="18" t="n">
        <f aca="false">SUMIF(PLANEJAMENTO_SEMANAL!$K$6:$K$2381,$B6,PLANEJAMENTO_SEMANAL!$AB$6:$AB$2381)</f>
        <v>16441.7215131556</v>
      </c>
    </row>
    <row r="7" customFormat="false" ht="15" hidden="false" customHeight="false" outlineLevel="0" collapsed="false">
      <c r="B7" s="15" t="s">
        <v>235</v>
      </c>
      <c r="C7" s="20" t="n">
        <f aca="false">SUMIF(ROTACAO_RDM!$F$6:$F$71,$B7,ROTACAO_RDM!$E$6:$E$71)</f>
        <v>721.98</v>
      </c>
      <c r="D7" s="16" t="n">
        <f aca="false">COUNTIF(ROTACAO_RDM!$F$6:$F$71,$B7)</f>
        <v>5</v>
      </c>
      <c r="E7" s="18" t="n">
        <f aca="false">IFERROR(SUMIF(PLANEJAMENTO_SEMANAL!$K$6:$K$2381,$B7,PLANEJAMENTO_SEMANAL!$AJ$6:$AJ$2381)/$C7,0)</f>
        <v>807.06301698108</v>
      </c>
      <c r="F7" s="24" t="n">
        <f aca="false">IFERROR($G7/$E7,0)</f>
        <v>0.874541146656605</v>
      </c>
      <c r="G7" s="18" t="n">
        <f aca="false">IFERROR(SUMIF(PLANEJAMENTO_SEMANAL!$K$6:$K$2381,$B7,PLANEJAMENTO_SEMANAL!$AG$6:$AG$2381)/$C7,0)</f>
        <v>705.809816294773</v>
      </c>
      <c r="H7" s="18" t="n">
        <f aca="false">IFERROR(SUMIF(PLANEJAMENTO_SEMANAL!$K$6:$K$2381,$B7,PLANEJAMENTO_SEMANAL!$AH$6:$AH$2381)/$C7,0)</f>
        <v>220.880589379207</v>
      </c>
      <c r="I7" s="18" t="n">
        <f aca="false">IFERROR(SUMIF(PLANEJAMENTO_SEMANAL!$K$6:$K$2381,$B7,PLANEJAMENTO_SEMANAL!$AI$6:$AI$2381)/$C7,0)</f>
        <v>510.483700640599</v>
      </c>
      <c r="J7" s="18" t="n">
        <f aca="false">IFERROR($K7/($C7*MM_PARA_M3_HA),0)</f>
        <v>600.569059577176</v>
      </c>
      <c r="K7" s="16" t="n">
        <f aca="false">SUMIF(PLANEJAMENTO_SEMANAL!$K$6:$K$2381,$B7,PLANEJAMENTO_SEMANAL!$Z$6:$Z$2381)</f>
        <v>4335988.49633529</v>
      </c>
      <c r="L7" s="18" t="n">
        <f aca="false">$J7</f>
        <v>600.569059577176</v>
      </c>
      <c r="M7" s="18" t="n">
        <f aca="false">SUMIF(PLANEJAMENTO_SEMANAL!$K$6:$K$2381,$B7,PLANEJAMENTO_SEMANAL!$AB$6:$AB$2381)</f>
        <v>4516.30848461538</v>
      </c>
    </row>
    <row r="8" customFormat="false" ht="15" hidden="false" customHeight="false" outlineLevel="0" collapsed="false">
      <c r="B8" s="15" t="s">
        <v>236</v>
      </c>
      <c r="C8" s="20" t="n">
        <f aca="false">SUMIF(ROTACAO_RDM!$F$6:$F$71,$B8,ROTACAO_RDM!$E$6:$E$71)</f>
        <v>1248.25</v>
      </c>
      <c r="D8" s="16" t="n">
        <f aca="false">COUNTIF(ROTACAO_RDM!$F$6:$F$71,$B8)</f>
        <v>11</v>
      </c>
      <c r="E8" s="18" t="n">
        <f aca="false">IFERROR(SUMIF(PLANEJAMENTO_SEMANAL!$K$6:$K$2381,$B8,PLANEJAMENTO_SEMANAL!$AJ$6:$AJ$2381)/$C8,0)</f>
        <v>541.266340877228</v>
      </c>
      <c r="F8" s="24" t="n">
        <f aca="false">IFERROR($G8/$E8,0)</f>
        <v>0.8984356695874</v>
      </c>
      <c r="G8" s="18" t="n">
        <f aca="false">IFERROR(SUMIF(PLANEJAMENTO_SEMANAL!$K$6:$K$2381,$B8,PLANEJAMENTO_SEMANAL!$AG$6:$AG$2381)/$C8,0)</f>
        <v>486.292987391155</v>
      </c>
      <c r="H8" s="18" t="n">
        <f aca="false">IFERROR(SUMIF(PLANEJAMENTO_SEMANAL!$K$6:$K$2381,$B8,PLANEJAMENTO_SEMANAL!$AH$6:$AH$2381)/$C8,0)</f>
        <v>164.497757532546</v>
      </c>
      <c r="I8" s="18" t="n">
        <f aca="false">IFERROR(SUMIF(PLANEJAMENTO_SEMANAL!$K$6:$K$2381,$B8,PLANEJAMENTO_SEMANAL!$AI$6:$AI$2381)/$C8,0)</f>
        <v>338.331975799996</v>
      </c>
      <c r="J8" s="18" t="n">
        <f aca="false">IFERROR($K8/($C8*MM_PARA_M3_HA),0)</f>
        <v>398.03761858823</v>
      </c>
      <c r="K8" s="16" t="n">
        <f aca="false">SUMIF(PLANEJAMENTO_SEMANAL!$K$6:$K$2381,$B8,PLANEJAMENTO_SEMANAL!$Z$6:$Z$2381)</f>
        <v>4968504.57402759</v>
      </c>
      <c r="L8" s="18" t="n">
        <f aca="false">$J8</f>
        <v>398.03761858823</v>
      </c>
      <c r="M8" s="18" t="n">
        <f aca="false">SUMIF(PLANEJAMENTO_SEMANAL!$K$6:$K$2381,$B8,PLANEJAMENTO_SEMANAL!$AB$6:$AB$2381)</f>
        <v>6089.05841491652</v>
      </c>
    </row>
    <row r="9" customFormat="false" ht="15" hidden="false" customHeight="false" outlineLevel="0" collapsed="false">
      <c r="B9" s="15" t="s">
        <v>237</v>
      </c>
      <c r="C9" s="20" t="n">
        <f aca="false">SUMIF(ROTACAO_RDM!$F$6:$F$71,$B9,ROTACAO_RDM!$E$6:$E$71)</f>
        <v>1702.82</v>
      </c>
      <c r="D9" s="16" t="n">
        <f aca="false">COUNTIF(ROTACAO_RDM!$F$6:$F$71,$B9)</f>
        <v>14</v>
      </c>
      <c r="E9" s="18" t="n">
        <f aca="false">IFERROR(SUMIF(PLANEJAMENTO_SEMANAL!$K$6:$K$2381,$B9,PLANEJAMENTO_SEMANAL!$AJ$6:$AJ$2381)/$C9,0)</f>
        <v>573.714808376693</v>
      </c>
      <c r="F9" s="24" t="n">
        <f aca="false">IFERROR($G9/$E9,0)</f>
        <v>0.862603077390974</v>
      </c>
      <c r="G9" s="18" t="n">
        <f aca="false">IFERROR(SUMIF(PLANEJAMENTO_SEMANAL!$K$6:$K$2381,$B9,PLANEJAMENTO_SEMANAL!$AG$6:$AG$2381)/$C9,0)</f>
        <v>494.888159250508</v>
      </c>
      <c r="H9" s="18" t="n">
        <f aca="false">IFERROR(SUMIF(PLANEJAMENTO_SEMANAL!$K$6:$K$2381,$B9,PLANEJAMENTO_SEMANAL!$AH$6:$AH$2381)/$C9,0)</f>
        <v>556.34640730083</v>
      </c>
      <c r="I9" s="18" t="n">
        <f aca="false">IFERROR(SUMIF(PLANEJAMENTO_SEMANAL!$K$6:$K$2381,$B9,PLANEJAMENTO_SEMANAL!$AI$6:$AI$2381)/$C9,0)</f>
        <v>10.1288344256357</v>
      </c>
      <c r="J9" s="18" t="n">
        <f aca="false">IFERROR($K9/($C9*MM_PARA_M3_HA),0)</f>
        <v>11.9162757948655</v>
      </c>
      <c r="K9" s="16" t="n">
        <f aca="false">SUMIF(PLANEJAMENTO_SEMANAL!$K$6:$K$2381,$B9,PLANEJAMENTO_SEMANAL!$Z$6:$Z$2381)</f>
        <v>202912.727490129</v>
      </c>
      <c r="L9" s="18" t="n">
        <f aca="false">$J9</f>
        <v>11.9162757948655</v>
      </c>
      <c r="M9" s="18" t="n">
        <f aca="false">SUMIF(PLANEJAMENTO_SEMANAL!$K$6:$K$2381,$B9,PLANEJAMENTO_SEMANAL!$AB$6:$AB$2381)</f>
        <v>249.899375156277</v>
      </c>
    </row>
    <row r="10" customFormat="false" ht="15" hidden="false" customHeight="false" outlineLevel="0" collapsed="false">
      <c r="B10" s="15" t="s">
        <v>238</v>
      </c>
      <c r="C10" s="20" t="n">
        <f aca="false">SUMIF(ROTACAO_RDM!$F$6:$F$71,$B10,ROTACAO_RDM!$E$6:$E$71)</f>
        <v>721.98</v>
      </c>
      <c r="D10" s="16" t="n">
        <f aca="false">COUNTIF(ROTACAO_RDM!$F$6:$F$71,$B10)</f>
        <v>5</v>
      </c>
      <c r="E10" s="18" t="n">
        <f aca="false">IFERROR(SUMIF(PLANEJAMENTO_SEMANAL!$K$6:$K$2381,$B10,PLANEJAMENTO_SEMANAL!$AJ$6:$AJ$2381)/$C10,0)</f>
        <v>734.925067176376</v>
      </c>
      <c r="F10" s="24" t="n">
        <f aca="false">IFERROR($G10/$E10,0)</f>
        <v>0.809929192362343</v>
      </c>
      <c r="G10" s="18" t="n">
        <f aca="false">IFERROR(SUMIF(PLANEJAMENTO_SEMANAL!$K$6:$K$2381,$B10,PLANEJAMENTO_SEMANAL!$AG$6:$AG$2381)/$C10,0)</f>
        <v>595.237266105003</v>
      </c>
      <c r="H10" s="18" t="n">
        <f aca="false">IFERROR(SUMIF(PLANEJAMENTO_SEMANAL!$K$6:$K$2381,$B10,PLANEJAMENTO_SEMANAL!$AH$6:$AH$2381)/$C10,0)</f>
        <v>551.11848837918</v>
      </c>
      <c r="I10" s="18" t="n">
        <f aca="false">IFERROR(SUMIF(PLANEJAMENTO_SEMANAL!$K$6:$K$2381,$B10,PLANEJAMENTO_SEMANAL!$AI$6:$AI$2381)/$C10,0)</f>
        <v>213.086623232663</v>
      </c>
      <c r="J10" s="18" t="n">
        <f aca="false">IFERROR($K10/($C10*MM_PARA_M3_HA),0)</f>
        <v>250.690144979603</v>
      </c>
      <c r="K10" s="16" t="n">
        <f aca="false">SUMIF(PLANEJAMENTO_SEMANAL!$K$6:$K$2381,$B10,PLANEJAMENTO_SEMANAL!$Z$6:$Z$2381)</f>
        <v>1809932.70872374</v>
      </c>
      <c r="L10" s="18" t="n">
        <f aca="false">$J10</f>
        <v>250.690144979603</v>
      </c>
      <c r="M10" s="18" t="n">
        <f aca="false">SUMIF(PLANEJAMENTO_SEMANAL!$K$6:$K$2381,$B10,PLANEJAMENTO_SEMANAL!$AB$6:$AB$2381)</f>
        <v>1879.86876157258</v>
      </c>
    </row>
    <row r="11" customFormat="false" ht="15" hidden="false" customHeight="false" outlineLevel="0" collapsed="false">
      <c r="B11" s="15" t="s">
        <v>239</v>
      </c>
      <c r="C11" s="16" t="n">
        <f aca="false">SUM(C6:C10)</f>
        <v>8195.15</v>
      </c>
      <c r="D11" s="16" t="n">
        <f aca="false">SUM(D6:D10)</f>
        <v>66</v>
      </c>
      <c r="K11" s="16" t="n">
        <f aca="false">SUM(K6:K10)</f>
        <v>25082950.040794</v>
      </c>
      <c r="M11" s="16" t="n">
        <f aca="false">SUM(M6:M10)</f>
        <v>29176.8565494164</v>
      </c>
    </row>
    <row r="13" customFormat="false" ht="30" hidden="false" customHeight="true" outlineLevel="0" collapsed="false">
      <c r="B13" s="5" t="s">
        <v>240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</sheetData>
  <mergeCells count="3">
    <mergeCell ref="B2:P2"/>
    <mergeCell ref="B3:P3"/>
    <mergeCell ref="B13:M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8" min="6" style="0" width="16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4" min="13" style="0" width="15"/>
    <col collapsed="false" customWidth="true" hidden="false" outlineLevel="0" max="15" min="15" style="0" width="13"/>
    <col collapsed="false" customWidth="true" hidden="false" outlineLevel="0" max="16" min="16" style="0" width="18"/>
    <col collapsed="false" customWidth="true" hidden="false" outlineLevel="0" max="17" min="17" style="0" width="15"/>
    <col collapsed="false" customWidth="true" hidden="false" outlineLevel="0" max="18" min="18" style="0" width="12"/>
    <col collapsed="false" customWidth="true" hidden="false" outlineLevel="0" max="19" min="19" style="0" width="26"/>
  </cols>
  <sheetData>
    <row r="2" customFormat="false" ht="30" hidden="false" customHeight="true" outlineLevel="0" collapsed="false">
      <c r="B2" s="1" t="s">
        <v>241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25.5" hidden="false" customHeight="true" outlineLevel="0" collapsed="false">
      <c r="B3" s="2" t="s">
        <v>242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30" hidden="false" customHeight="true" outlineLevel="0" collapsed="false">
      <c r="B5" s="14" t="s">
        <v>243</v>
      </c>
      <c r="C5" s="14" t="s">
        <v>68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249</v>
      </c>
      <c r="J5" s="14" t="s">
        <v>250</v>
      </c>
      <c r="K5" s="14" t="s">
        <v>251</v>
      </c>
      <c r="L5" s="14" t="s">
        <v>229</v>
      </c>
      <c r="M5" s="14" t="s">
        <v>252</v>
      </c>
      <c r="N5" s="14" t="s">
        <v>253</v>
      </c>
      <c r="O5" s="14" t="s">
        <v>254</v>
      </c>
      <c r="P5" s="14" t="s">
        <v>255</v>
      </c>
      <c r="Q5" s="14" t="s">
        <v>256</v>
      </c>
      <c r="R5" s="14" t="s">
        <v>257</v>
      </c>
      <c r="S5" s="14" t="s">
        <v>258</v>
      </c>
    </row>
    <row r="6" customFormat="false" ht="15" hidden="false" customHeight="false" outlineLevel="0" collapsed="false">
      <c r="B6" s="15" t="s">
        <v>259</v>
      </c>
      <c r="C6" s="8" t="str">
        <f aca="false">IFERROR(INDEX(CADASTRO_PIVOS!$C$6:$C$41,MATCH($B6,CADASTRO_PIVOS!$B$6:$B$41,0)),"?")</f>
        <v>RM01</v>
      </c>
      <c r="D6" s="8" t="str">
        <f aca="false">IFERROR(INDEX(CADASTRO_PIVOS!$D$6:$D$41,MATCH($B6,CADASTRO_PIVOS!$B$6:$B$41,0)),"?")</f>
        <v>TR01</v>
      </c>
      <c r="E6" s="20" t="n">
        <f aca="false">IFERROR(INDEX(CADASTRO_PIVOS!$E$6:$E$41,MATCH($B6,CADASTRO_PIVOS!$B$6:$B$41,0)),0)</f>
        <v>98.31</v>
      </c>
      <c r="F6" s="8" t="str">
        <f aca="false">IFERROR(IF(INDEX(ROTACAO_RDM!$D$6:$D$71,MATCH($B6,ROTACAO_RDM!$D$6:$D$71,0)+0)=$B6,INDEX(ROTACAO_RDM!$F$6:$F$71,MATCH($B6,ROTACAO_RDM!$D$6:$D$71,0)+0),""),"")</f>
        <v>SOJA</v>
      </c>
      <c r="G6" s="8" t="str">
        <f aca="false">IFERROR(IF(INDEX(ROTACAO_RDM!$D$6:$D$71,MATCH($B6,ROTACAO_RDM!$D$6:$D$71,0)+1)=$B6,INDEX(ROTACAO_RDM!$F$6:$F$71,MATCH($B6,ROTACAO_RDM!$D$6:$D$71,0)+1),""),"")</f>
        <v>ALGODAO</v>
      </c>
      <c r="H6" s="8" t="str">
        <f aca="false">IFERROR(IF(INDEX(ROTACAO_RDM!$D$6:$D$71,MATCH($B6,ROTACAO_RDM!$D$6:$D$71,0)+2)=$B6,INDEX(ROTACAO_RDM!$F$6:$F$71,MATCH($B6,ROTACAO_RDM!$D$6:$D$71,0)+2),""),"")</f>
        <v/>
      </c>
      <c r="I6" s="16" t="n">
        <f aca="false">COUNTIFS(PLANEJAMENTO_SEMANAL!$E$6:$E$2381,$B6,PLANEJAMENTO_SEMANAL!$K$6:$K$2381,"&lt;&gt;SEM CULTURA")</f>
        <v>43</v>
      </c>
      <c r="J6" s="18" t="n">
        <f aca="false">IFERROR(SUMIF(PLANEJAMENTO_SEMANAL!$E$6:$E$2381,$B6,PLANEJAMENTO_SEMANAL!$AG$6:$AG$2381)/$E6,0)</f>
        <v>1178.34136260562</v>
      </c>
      <c r="K6" s="18" t="n">
        <f aca="false">IFERROR(SUMIF(PLANEJAMENTO_SEMANAL!$E$6:$E$2381,$B6,PLANEJAMENTO_SEMANAL!$AH$6:$AH$2381)/$E6,0)</f>
        <v>818.312</v>
      </c>
      <c r="L6" s="18" t="n">
        <f aca="false">IFERROR(SUMIF(PLANEJAMENTO_SEMANAL!$E$6:$E$2381,$B6,PLANEJAMENTO_SEMANAL!$AI$6:$AI$2381)/$E6,0)</f>
        <v>539.067398531668</v>
      </c>
      <c r="M6" s="18" t="n">
        <f aca="false">SUMIF(PLANEJAMENTO_SEMANAL!$E$6:$E$2381,$B6,PLANEJAMENTO_SEMANAL!$Y$6:$Y$2381)</f>
        <v>634.196939449021</v>
      </c>
      <c r="N6" s="16" t="n">
        <f aca="false">SUMIF(PLANEJAMENTO_SEMANAL!$E$6:$E$2381,$B6,PLANEJAMENTO_SEMANAL!$Z$6:$Z$2381)</f>
        <v>623479.011172333</v>
      </c>
      <c r="O6" s="18" t="n">
        <f aca="false">IFERROR(INDEX(CADASTRO_PIVOS!$I$6:$I$41,MATCH($B6,CADASTRO_PIVOS!$B$6:$B$41,0)),0)</f>
        <v>702.214285714286</v>
      </c>
      <c r="P6" s="18" t="n">
        <f aca="false">SUMIF(PLANEJAMENTO_SEMANAL!$E$6:$E$2381,$B6,PLANEJAMENTO_SEMANAL!$AB$6:$AB$2381)</f>
        <v>887.875715228629</v>
      </c>
      <c r="Q6" s="19" t="n">
        <f aca="false">IFERROR(_xlfn.MAXIFS(PLANEJAMENTO_SEMANAL!$AD$6:$AD$2381,PLANEJAMENTO_SEMANAL!$E$6:$E$2381,$B6),0)</f>
        <v>0.350117647058824</v>
      </c>
      <c r="R6" s="16" t="n">
        <f aca="false">IFERROR(INDEX(PLANEJAMENTO_SEMANAL!$B$6:$B$2381,MATCH($B6&amp;"|"&amp;TEXT($Q6,"0.000000"),PLANEJAMENTO_SEMANAL!$AK$6:$AK$2381,0)),"-")</f>
        <v>41</v>
      </c>
      <c r="S6" s="8" t="str">
        <f aca="false">IF($Q6&gt;LIMITE_CRITICO,"INVIAVEL em 21 h/dia",IF($Q6&gt;LIMITE_ATENCAO,"CRITICO",IF($Q6&gt;LIMITE_CONFORTAVEL,"ATENCAO","OK")))</f>
        <v>OK</v>
      </c>
    </row>
    <row r="7" customFormat="false" ht="15" hidden="false" customHeight="false" outlineLevel="0" collapsed="false">
      <c r="B7" s="15" t="s">
        <v>260</v>
      </c>
      <c r="C7" s="8" t="str">
        <f aca="false">IFERROR(INDEX(CADASTRO_PIVOS!$C$6:$C$41,MATCH($B7,CADASTRO_PIVOS!$B$6:$B$41,0)),"?")</f>
        <v>RM02</v>
      </c>
      <c r="D7" s="8" t="str">
        <f aca="false">IFERROR(INDEX(CADASTRO_PIVOS!$D$6:$D$41,MATCH($B7,CADASTRO_PIVOS!$B$6:$B$41,0)),"?")</f>
        <v>TR02</v>
      </c>
      <c r="E7" s="20" t="n">
        <f aca="false">IFERROR(INDEX(CADASTRO_PIVOS!$E$6:$E$41,MATCH($B7,CADASTRO_PIVOS!$B$6:$B$41,0)),0)</f>
        <v>100.59</v>
      </c>
      <c r="F7" s="8" t="str">
        <f aca="false">IFERROR(IF(INDEX(ROTACAO_RDM!$D$6:$D$71,MATCH($B7,ROTACAO_RDM!$D$6:$D$71,0)+0)=$B7,INDEX(ROTACAO_RDM!$F$6:$F$71,MATCH($B7,ROTACAO_RDM!$D$6:$D$71,0)+0),""),"")</f>
        <v>ALGODAO</v>
      </c>
      <c r="G7" s="8" t="str">
        <f aca="false">IFERROR(IF(INDEX(ROTACAO_RDM!$D$6:$D$71,MATCH($B7,ROTACAO_RDM!$D$6:$D$71,0)+1)=$B7,INDEX(ROTACAO_RDM!$F$6:$F$71,MATCH($B7,ROTACAO_RDM!$D$6:$D$71,0)+1),""),"")</f>
        <v>SOJA</v>
      </c>
      <c r="H7" s="8" t="str">
        <f aca="false">IFERROR(IF(INDEX(ROTACAO_RDM!$D$6:$D$71,MATCH($B7,ROTACAO_RDM!$D$6:$D$71,0)+2)=$B7,INDEX(ROTACAO_RDM!$F$6:$F$71,MATCH($B7,ROTACAO_RDM!$D$6:$D$71,0)+2),""),"")</f>
        <v>ALGODAO</v>
      </c>
      <c r="I7" s="16" t="n">
        <f aca="false">COUNTIFS(PLANEJAMENTO_SEMANAL!$E$6:$E$2381,$B7,PLANEJAMENTO_SEMANAL!$K$6:$K$2381,"&lt;&gt;SEM CULTURA")</f>
        <v>42</v>
      </c>
      <c r="J7" s="18" t="n">
        <f aca="false">IFERROR(SUMIF(PLANEJAMENTO_SEMANAL!$E$6:$E$2381,$B7,PLANEJAMENTO_SEMANAL!$AG$6:$AG$2381)/$E7,0)</f>
        <v>1157.66904684208</v>
      </c>
      <c r="K7" s="18" t="n">
        <f aca="false">IFERROR(SUMIF(PLANEJAMENTO_SEMANAL!$E$6:$E$2381,$B7,PLANEJAMENTO_SEMANAL!$AH$6:$AH$2381)/$E7,0)</f>
        <v>825.592</v>
      </c>
      <c r="L7" s="18" t="n">
        <f aca="false">IFERROR(SUMIF(PLANEJAMENTO_SEMANAL!$E$6:$E$2381,$B7,PLANEJAMENTO_SEMANAL!$AI$6:$AI$2381)/$E7,0)</f>
        <v>490.45717826272</v>
      </c>
      <c r="M7" s="18" t="n">
        <f aca="false">SUMIF(PLANEJAMENTO_SEMANAL!$E$6:$E$2381,$B7,PLANEJAMENTO_SEMANAL!$Y$6:$Y$2381)</f>
        <v>577.008445014965</v>
      </c>
      <c r="N7" s="16" t="n">
        <f aca="false">SUMIF(PLANEJAMENTO_SEMANAL!$E$6:$E$2381,$B7,PLANEJAMENTO_SEMANAL!$Z$6:$Z$2381)</f>
        <v>580412.794840554</v>
      </c>
      <c r="O7" s="18" t="n">
        <f aca="false">IFERROR(INDEX(CADASTRO_PIVOS!$I$6:$I$41,MATCH($B7,CADASTRO_PIVOS!$B$6:$B$41,0)),0)</f>
        <v>718.5</v>
      </c>
      <c r="P7" s="18" t="n">
        <f aca="false">SUMIF(PLANEJAMENTO_SEMANAL!$E$6:$E$2381,$B7,PLANEJAMENTO_SEMANAL!$AB$6:$AB$2381)</f>
        <v>807.811823020951</v>
      </c>
      <c r="Q7" s="19" t="n">
        <f aca="false">IFERROR(_xlfn.MAXIFS(PLANEJAMENTO_SEMANAL!$AD$6:$AD$2381,PLANEJAMENTO_SEMANAL!$E$6:$E$2381,$B7),0)</f>
        <v>0.350117647058823</v>
      </c>
      <c r="R7" s="16" t="n">
        <f aca="false">IFERROR(INDEX(PLANEJAMENTO_SEMANAL!$B$6:$B$2381,MATCH($B7&amp;"|"&amp;TEXT($Q7,"0.000000"),PLANEJAMENTO_SEMANAL!$AK$6:$AK$2381,0)),"-")</f>
        <v>41</v>
      </c>
      <c r="S7" s="8" t="str">
        <f aca="false">IF($Q7&gt;LIMITE_CRITICO,"INVIAVEL em 21 h/dia",IF($Q7&gt;LIMITE_ATENCAO,"CRITICO",IF($Q7&gt;LIMITE_CONFORTAVEL,"ATENCAO","OK")))</f>
        <v>OK</v>
      </c>
    </row>
    <row r="8" customFormat="false" ht="15" hidden="false" customHeight="false" outlineLevel="0" collapsed="false">
      <c r="B8" s="15" t="s">
        <v>261</v>
      </c>
      <c r="C8" s="8" t="str">
        <f aca="false">IFERROR(INDEX(CADASTRO_PIVOS!$C$6:$C$41,MATCH($B8,CADASTRO_PIVOS!$B$6:$B$41,0)),"?")</f>
        <v>RM02</v>
      </c>
      <c r="D8" s="8" t="str">
        <f aca="false">IFERROR(INDEX(CADASTRO_PIVOS!$D$6:$D$41,MATCH($B8,CADASTRO_PIVOS!$B$6:$B$41,0)),"?")</f>
        <v>TR02</v>
      </c>
      <c r="E8" s="20" t="n">
        <f aca="false">IFERROR(INDEX(CADASTRO_PIVOS!$E$6:$E$41,MATCH($B8,CADASTRO_PIVOS!$B$6:$B$41,0)),0)</f>
        <v>100.06</v>
      </c>
      <c r="F8" s="8" t="str">
        <f aca="false">IFERROR(IF(INDEX(ROTACAO_RDM!$D$6:$D$71,MATCH($B8,ROTACAO_RDM!$D$6:$D$71,0)+0)=$B8,INDEX(ROTACAO_RDM!$F$6:$F$71,MATCH($B8,ROTACAO_RDM!$D$6:$D$71,0)+0),""),"")</f>
        <v>ALGODAO</v>
      </c>
      <c r="G8" s="8" t="str">
        <f aca="false">IFERROR(IF(INDEX(ROTACAO_RDM!$D$6:$D$71,MATCH($B8,ROTACAO_RDM!$D$6:$D$71,0)+1)=$B8,INDEX(ROTACAO_RDM!$F$6:$F$71,MATCH($B8,ROTACAO_RDM!$D$6:$D$71,0)+1),""),"")</f>
        <v/>
      </c>
      <c r="H8" s="8" t="str">
        <f aca="false">IFERROR(IF(INDEX(ROTACAO_RDM!$D$6:$D$71,MATCH($B8,ROTACAO_RDM!$D$6:$D$71,0)+2)=$B8,INDEX(ROTACAO_RDM!$F$6:$F$71,MATCH($B8,ROTACAO_RDM!$D$6:$D$71,0)+2),""),"")</f>
        <v/>
      </c>
      <c r="I8" s="16" t="n">
        <f aca="false">COUNTIFS(PLANEJAMENTO_SEMANAL!$E$6:$E$2381,$B8,PLANEJAMENTO_SEMANAL!$K$6:$K$2381,"&lt;&gt;SEM CULTURA")</f>
        <v>28</v>
      </c>
      <c r="J8" s="18" t="n">
        <f aca="false">IFERROR(SUMIF(PLANEJAMENTO_SEMANAL!$E$6:$E$2381,$B8,PLANEJAMENTO_SEMANAL!$AG$6:$AG$2381)/$E8,0)</f>
        <v>751.335927021696</v>
      </c>
      <c r="K8" s="18" t="n">
        <f aca="false">IFERROR(SUMIF(PLANEJAMENTO_SEMANAL!$E$6:$E$2381,$B8,PLANEJAMENTO_SEMANAL!$AH$6:$AH$2381)/$E8,0)</f>
        <v>629.144</v>
      </c>
      <c r="L8" s="18" t="n">
        <f aca="false">IFERROR(SUMIF(PLANEJAMENTO_SEMANAL!$E$6:$E$2381,$B8,PLANEJAMENTO_SEMANAL!$AI$6:$AI$2381)/$E8,0)</f>
        <v>298.865520710059</v>
      </c>
      <c r="M8" s="18" t="n">
        <f aca="false">SUMIF(PLANEJAMENTO_SEMANAL!$E$6:$E$2381,$B8,PLANEJAMENTO_SEMANAL!$Y$6:$Y$2381)</f>
        <v>351.606494953011</v>
      </c>
      <c r="N8" s="16" t="n">
        <f aca="false">SUMIF(PLANEJAMENTO_SEMANAL!$E$6:$E$2381,$B8,PLANEJAMENTO_SEMANAL!$Z$6:$Z$2381)</f>
        <v>351817.458849983</v>
      </c>
      <c r="O8" s="18" t="n">
        <f aca="false">IFERROR(INDEX(CADASTRO_PIVOS!$I$6:$I$41,MATCH($B8,CADASTRO_PIVOS!$B$6:$B$41,0)),0)</f>
        <v>714.714285714286</v>
      </c>
      <c r="P8" s="18" t="n">
        <f aca="false">SUMIF(PLANEJAMENTO_SEMANAL!$E$6:$E$2381,$B8,PLANEJAMENTO_SEMANAL!$AB$6:$AB$2381)</f>
        <v>492.249092934215</v>
      </c>
      <c r="Q8" s="19" t="n">
        <f aca="false">IFERROR(_xlfn.MAXIFS(PLANEJAMENTO_SEMANAL!$AD$6:$AD$2381,PLANEJAMENTO_SEMANAL!$E$6:$E$2381,$B8),0)</f>
        <v>0.30689592760181</v>
      </c>
      <c r="R8" s="16" t="n">
        <f aca="false">IFERROR(INDEX(PLANEJAMENTO_SEMANAL!$B$6:$B$2381,MATCH($B8&amp;"|"&amp;TEXT($Q8,"0.000000"),PLANEJAMENTO_SEMANAL!$AK$6:$AK$2381,0)),"-")</f>
        <v>36</v>
      </c>
      <c r="S8" s="8" t="str">
        <f aca="false">IF($Q8&gt;LIMITE_CRITICO,"INVIAVEL em 21 h/dia",IF($Q8&gt;LIMITE_ATENCAO,"CRITICO",IF($Q8&gt;LIMITE_CONFORTAVEL,"ATENCAO","OK")))</f>
        <v>OK</v>
      </c>
    </row>
    <row r="9" customFormat="false" ht="15" hidden="false" customHeight="false" outlineLevel="0" collapsed="false">
      <c r="B9" s="15" t="s">
        <v>262</v>
      </c>
      <c r="C9" s="8" t="str">
        <f aca="false">IFERROR(INDEX(CADASTRO_PIVOS!$C$6:$C$41,MATCH($B9,CADASTRO_PIVOS!$B$6:$B$41,0)),"?")</f>
        <v>RM03</v>
      </c>
      <c r="D9" s="8" t="str">
        <f aca="false">IFERROR(INDEX(CADASTRO_PIVOS!$D$6:$D$41,MATCH($B9,CADASTRO_PIVOS!$B$6:$B$41,0)),"?")</f>
        <v>TR03</v>
      </c>
      <c r="E9" s="20" t="n">
        <f aca="false">IFERROR(INDEX(CADASTRO_PIVOS!$E$6:$E$41,MATCH($B9,CADASTRO_PIVOS!$B$6:$B$41,0)),0)</f>
        <v>98.2</v>
      </c>
      <c r="F9" s="8" t="str">
        <f aca="false">IFERROR(IF(INDEX(ROTACAO_RDM!$D$6:$D$71,MATCH($B9,ROTACAO_RDM!$D$6:$D$71,0)+0)=$B9,INDEX(ROTACAO_RDM!$F$6:$F$71,MATCH($B9,ROTACAO_RDM!$D$6:$D$71,0)+0),""),"")</f>
        <v>SOJA</v>
      </c>
      <c r="G9" s="8" t="str">
        <f aca="false">IFERROR(IF(INDEX(ROTACAO_RDM!$D$6:$D$71,MATCH($B9,ROTACAO_RDM!$D$6:$D$71,0)+1)=$B9,INDEX(ROTACAO_RDM!$F$6:$F$71,MATCH($B9,ROTACAO_RDM!$D$6:$D$71,0)+1),""),"")</f>
        <v>ALGODAO</v>
      </c>
      <c r="H9" s="8" t="str">
        <f aca="false">IFERROR(IF(INDEX(ROTACAO_RDM!$D$6:$D$71,MATCH($B9,ROTACAO_RDM!$D$6:$D$71,0)+2)=$B9,INDEX(ROTACAO_RDM!$F$6:$F$71,MATCH($B9,ROTACAO_RDM!$D$6:$D$71,0)+2),""),"")</f>
        <v/>
      </c>
      <c r="I9" s="16" t="n">
        <f aca="false">COUNTIFS(PLANEJAMENTO_SEMANAL!$E$6:$E$2381,$B9,PLANEJAMENTO_SEMANAL!$K$6:$K$2381,"&lt;&gt;SEM CULTURA")</f>
        <v>44</v>
      </c>
      <c r="J9" s="18" t="n">
        <f aca="false">IFERROR(SUMIF(PLANEJAMENTO_SEMANAL!$E$6:$E$2381,$B9,PLANEJAMENTO_SEMANAL!$AG$6:$AG$2381)/$E9,0)</f>
        <v>1220.33049884776</v>
      </c>
      <c r="K9" s="18" t="n">
        <f aca="false">IFERROR(SUMIF(PLANEJAMENTO_SEMANAL!$E$6:$E$2381,$B9,PLANEJAMENTO_SEMANAL!$AH$6:$AH$2381)/$E9,0)</f>
        <v>823.352</v>
      </c>
      <c r="L9" s="18" t="n">
        <f aca="false">IFERROR(SUMIF(PLANEJAMENTO_SEMANAL!$E$6:$E$2381,$B9,PLANEJAMENTO_SEMANAL!$AI$6:$AI$2381)/$E9,0)</f>
        <v>556.606717655342</v>
      </c>
      <c r="M9" s="18" t="n">
        <f aca="false">SUMIF(PLANEJAMENTO_SEMANAL!$E$6:$E$2381,$B9,PLANEJAMENTO_SEMANAL!$Y$6:$Y$2381)</f>
        <v>654.831432535697</v>
      </c>
      <c r="N9" s="16" t="n">
        <f aca="false">SUMIF(PLANEJAMENTO_SEMANAL!$E$6:$E$2381,$B9,PLANEJAMENTO_SEMANAL!$Z$6:$Z$2381)</f>
        <v>643044.466750054</v>
      </c>
      <c r="O9" s="18" t="n">
        <f aca="false">IFERROR(INDEX(CADASTRO_PIVOS!$I$6:$I$41,MATCH($B9,CADASTRO_PIVOS!$B$6:$B$41,0)),0)</f>
        <v>701.428571428571</v>
      </c>
      <c r="P9" s="18" t="n">
        <f aca="false">SUMIF(PLANEJAMENTO_SEMANAL!$E$6:$E$2381,$B9,PLANEJAMENTO_SEMANAL!$AB$6:$AB$2381)</f>
        <v>916.764005549976</v>
      </c>
      <c r="Q9" s="19" t="n">
        <f aca="false">IFERROR(_xlfn.MAXIFS(PLANEJAMENTO_SEMANAL!$AD$6:$AD$2381,PLANEJAMENTO_SEMANAL!$E$6:$E$2381,$B9),0)</f>
        <v>0.352929520526159</v>
      </c>
      <c r="R9" s="16" t="n">
        <f aca="false">IFERROR(INDEX(PLANEJAMENTO_SEMANAL!$B$6:$B$2381,MATCH($B9&amp;"|"&amp;TEXT($Q9,"0.000000"),PLANEJAMENTO_SEMANAL!$AK$6:$AK$2381,0)),"-")</f>
        <v>44</v>
      </c>
      <c r="S9" s="8" t="str">
        <f aca="false">IF($Q9&gt;LIMITE_CRITICO,"INVIAVEL em 21 h/dia",IF($Q9&gt;LIMITE_ATENCAO,"CRITICO",IF($Q9&gt;LIMITE_CONFORTAVEL,"ATENCAO","OK")))</f>
        <v>OK</v>
      </c>
    </row>
    <row r="10" customFormat="false" ht="15" hidden="false" customHeight="false" outlineLevel="0" collapsed="false">
      <c r="B10" s="15" t="s">
        <v>263</v>
      </c>
      <c r="C10" s="8" t="str">
        <f aca="false">IFERROR(INDEX(CADASTRO_PIVOS!$C$6:$C$41,MATCH($B10,CADASTRO_PIVOS!$B$6:$B$41,0)),"?")</f>
        <v>RM03</v>
      </c>
      <c r="D10" s="8" t="str">
        <f aca="false">IFERROR(INDEX(CADASTRO_PIVOS!$D$6:$D$41,MATCH($B10,CADASTRO_PIVOS!$B$6:$B$41,0)),"?")</f>
        <v>TR03</v>
      </c>
      <c r="E10" s="20" t="n">
        <f aca="false">IFERROR(INDEX(CADASTRO_PIVOS!$E$6:$E$41,MATCH($B10,CADASTRO_PIVOS!$B$6:$B$41,0)),0)</f>
        <v>99.58</v>
      </c>
      <c r="F10" s="8" t="str">
        <f aca="false">IFERROR(IF(INDEX(ROTACAO_RDM!$D$6:$D$71,MATCH($B10,ROTACAO_RDM!$D$6:$D$71,0)+0)=$B10,INDEX(ROTACAO_RDM!$F$6:$F$71,MATCH($B10,ROTACAO_RDM!$D$6:$D$71,0)+0),""),"")</f>
        <v>SOJA</v>
      </c>
      <c r="G10" s="8" t="str">
        <f aca="false">IFERROR(IF(INDEX(ROTACAO_RDM!$D$6:$D$71,MATCH($B10,ROTACAO_RDM!$D$6:$D$71,0)+1)=$B10,INDEX(ROTACAO_RDM!$F$6:$F$71,MATCH($B10,ROTACAO_RDM!$D$6:$D$71,0)+1),""),"")</f>
        <v>ALGODAO</v>
      </c>
      <c r="H10" s="8" t="str">
        <f aca="false">IFERROR(IF(INDEX(ROTACAO_RDM!$D$6:$D$71,MATCH($B10,ROTACAO_RDM!$D$6:$D$71,0)+2)=$B10,INDEX(ROTACAO_RDM!$F$6:$F$71,MATCH($B10,ROTACAO_RDM!$D$6:$D$71,0)+2),""),"")</f>
        <v/>
      </c>
      <c r="I10" s="16" t="n">
        <f aca="false">COUNTIFS(PLANEJAMENTO_SEMANAL!$E$6:$E$2381,$B10,PLANEJAMENTO_SEMANAL!$K$6:$K$2381,"&lt;&gt;SEM CULTURA")</f>
        <v>45</v>
      </c>
      <c r="J10" s="18" t="n">
        <f aca="false">IFERROR(SUMIF(PLANEJAMENTO_SEMANAL!$E$6:$E$2381,$B10,PLANEJAMENTO_SEMANAL!$AG$6:$AG$2381)/$E10,0)</f>
        <v>1241.44272684041</v>
      </c>
      <c r="K10" s="18" t="n">
        <f aca="false">IFERROR(SUMIF(PLANEJAMENTO_SEMANAL!$E$6:$E$2381,$B10,PLANEJAMENTO_SEMANAL!$AH$6:$AH$2381)/$E10,0)</f>
        <v>859.472</v>
      </c>
      <c r="L10" s="18" t="n">
        <f aca="false">IFERROR(SUMIF(PLANEJAMENTO_SEMANAL!$E$6:$E$2381,$B10,PLANEJAMENTO_SEMANAL!$AI$6:$AI$2381)/$E10,0)</f>
        <v>555.775560944224</v>
      </c>
      <c r="M10" s="18" t="n">
        <f aca="false">SUMIF(PLANEJAMENTO_SEMANAL!$E$6:$E$2381,$B10,PLANEJAMENTO_SEMANAL!$Y$6:$Y$2381)</f>
        <v>653.853601110852</v>
      </c>
      <c r="N10" s="16" t="n">
        <f aca="false">SUMIF(PLANEJAMENTO_SEMANAL!$E$6:$E$2381,$B10,PLANEJAMENTO_SEMANAL!$Z$6:$Z$2381)</f>
        <v>651107.415986187</v>
      </c>
      <c r="O10" s="18" t="n">
        <f aca="false">IFERROR(INDEX(CADASTRO_PIVOS!$I$6:$I$41,MATCH($B10,CADASTRO_PIVOS!$B$6:$B$41,0)),0)</f>
        <v>711.285714285714</v>
      </c>
      <c r="P10" s="18" t="n">
        <f aca="false">SUMIF(PLANEJAMENTO_SEMANAL!$E$6:$E$2381,$B10,PLANEJAMENTO_SEMANAL!$AB$6:$AB$2381)</f>
        <v>915.395041555193</v>
      </c>
      <c r="Q10" s="19" t="n">
        <f aca="false">IFERROR(_xlfn.MAXIFS(PLANEJAMENTO_SEMANAL!$AD$6:$AD$2381,PLANEJAMENTO_SEMANAL!$E$6:$E$2381,$B10),0)</f>
        <v>0.352929520526159</v>
      </c>
      <c r="R10" s="16" t="n">
        <f aca="false">IFERROR(INDEX(PLANEJAMENTO_SEMANAL!$B$6:$B$2381,MATCH($B10&amp;"|"&amp;TEXT($Q10,"0.000000"),PLANEJAMENTO_SEMANAL!$AK$6:$AK$2381,0)),"-")</f>
        <v>44</v>
      </c>
      <c r="S10" s="8" t="str">
        <f aca="false">IF($Q10&gt;LIMITE_CRITICO,"INVIAVEL em 21 h/dia",IF($Q10&gt;LIMITE_ATENCAO,"CRITICO",IF($Q10&gt;LIMITE_CONFORTAVEL,"ATENCAO","OK")))</f>
        <v>OK</v>
      </c>
    </row>
    <row r="11" customFormat="false" ht="15" hidden="false" customHeight="false" outlineLevel="0" collapsed="false">
      <c r="B11" s="15" t="s">
        <v>264</v>
      </c>
      <c r="C11" s="8" t="str">
        <f aca="false">IFERROR(INDEX(CADASTRO_PIVOS!$C$6:$C$41,MATCH($B11,CADASTRO_PIVOS!$B$6:$B$41,0)),"?")</f>
        <v>RM04</v>
      </c>
      <c r="D11" s="8" t="str">
        <f aca="false">IFERROR(INDEX(CADASTRO_PIVOS!$D$6:$D$41,MATCH($B11,CADASTRO_PIVOS!$B$6:$B$41,0)),"?")</f>
        <v>TR04</v>
      </c>
      <c r="E11" s="20" t="n">
        <f aca="false">IFERROR(INDEX(CADASTRO_PIVOS!$E$6:$E$41,MATCH($B11,CADASTRO_PIVOS!$B$6:$B$41,0)),0)</f>
        <v>129.16</v>
      </c>
      <c r="F11" s="8" t="str">
        <f aca="false">IFERROR(IF(INDEX(ROTACAO_RDM!$D$6:$D$71,MATCH($B11,ROTACAO_RDM!$D$6:$D$71,0)+0)=$B11,INDEX(ROTACAO_RDM!$F$6:$F$71,MATCH($B11,ROTACAO_RDM!$D$6:$D$71,0)+0),""),"")</f>
        <v>ALGODAO</v>
      </c>
      <c r="G11" s="8" t="str">
        <f aca="false">IFERROR(IF(INDEX(ROTACAO_RDM!$D$6:$D$71,MATCH($B11,ROTACAO_RDM!$D$6:$D$71,0)+1)=$B11,INDEX(ROTACAO_RDM!$F$6:$F$71,MATCH($B11,ROTACAO_RDM!$D$6:$D$71,0)+1),""),"")</f>
        <v/>
      </c>
      <c r="H11" s="8" t="str">
        <f aca="false">IFERROR(IF(INDEX(ROTACAO_RDM!$D$6:$D$71,MATCH($B11,ROTACAO_RDM!$D$6:$D$71,0)+2)=$B11,INDEX(ROTACAO_RDM!$F$6:$F$71,MATCH($B11,ROTACAO_RDM!$D$6:$D$71,0)+2),""),"")</f>
        <v/>
      </c>
      <c r="I11" s="16" t="n">
        <f aca="false">COUNTIFS(PLANEJAMENTO_SEMANAL!$E$6:$E$2381,$B11,PLANEJAMENTO_SEMANAL!$K$6:$K$2381,"&lt;&gt;SEM CULTURA")</f>
        <v>28</v>
      </c>
      <c r="J11" s="18" t="n">
        <f aca="false">IFERROR(SUMIF(PLANEJAMENTO_SEMANAL!$E$6:$E$2381,$B11,PLANEJAMENTO_SEMANAL!$AG$6:$AG$2381)/$E11,0)</f>
        <v>747.737037193576</v>
      </c>
      <c r="K11" s="18" t="n">
        <f aca="false">IFERROR(SUMIF(PLANEJAMENTO_SEMANAL!$E$6:$E$2381,$B11,PLANEJAMENTO_SEMANAL!$AH$6:$AH$2381)/$E11,0)</f>
        <v>666.84</v>
      </c>
      <c r="L11" s="18" t="n">
        <f aca="false">IFERROR(SUMIF(PLANEJAMENTO_SEMANAL!$E$6:$E$2381,$B11,PLANEJAMENTO_SEMANAL!$AI$6:$AI$2381)/$E11,0)</f>
        <v>281.993788672866</v>
      </c>
      <c r="M11" s="18" t="n">
        <f aca="false">SUMIF(PLANEJAMENTO_SEMANAL!$E$6:$E$2381,$B11,PLANEJAMENTO_SEMANAL!$Y$6:$Y$2381)</f>
        <v>331.757398438665</v>
      </c>
      <c r="N11" s="16" t="n">
        <f aca="false">SUMIF(PLANEJAMENTO_SEMANAL!$E$6:$E$2381,$B11,PLANEJAMENTO_SEMANAL!$Z$6:$Z$2381)</f>
        <v>428497.85582338</v>
      </c>
      <c r="O11" s="18" t="n">
        <f aca="false">IFERROR(INDEX(CADASTRO_PIVOS!$I$6:$I$41,MATCH($B11,CADASTRO_PIVOS!$B$6:$B$41,0)),0)</f>
        <v>922.571428571429</v>
      </c>
      <c r="P11" s="18" t="n">
        <f aca="false">SUMIF(PLANEJAMENTO_SEMANAL!$E$6:$E$2381,$B11,PLANEJAMENTO_SEMANAL!$AB$6:$AB$2381)</f>
        <v>464.460357814132</v>
      </c>
      <c r="Q11" s="19" t="n">
        <f aca="false">IFERROR(_xlfn.MAXIFS(PLANEJAMENTO_SEMANAL!$AD$6:$AD$2381,PLANEJAMENTO_SEMANAL!$E$6:$E$2381,$B11),0)</f>
        <v>0.303577677224736</v>
      </c>
      <c r="R11" s="16" t="n">
        <f aca="false">IFERROR(INDEX(PLANEJAMENTO_SEMANAL!$B$6:$B$2381,MATCH($B11&amp;"|"&amp;TEXT($Q11,"0.000000"),PLANEJAMENTO_SEMANAL!$AK$6:$AK$2381,0)),"-")</f>
        <v>36</v>
      </c>
      <c r="S11" s="8" t="str">
        <f aca="false">IF($Q11&gt;LIMITE_CRITICO,"INVIAVEL em 21 h/dia",IF($Q11&gt;LIMITE_ATENCAO,"CRITICO",IF($Q11&gt;LIMITE_CONFORTAVEL,"ATENCAO","OK")))</f>
        <v>OK</v>
      </c>
    </row>
    <row r="12" customFormat="false" ht="15" hidden="false" customHeight="false" outlineLevel="0" collapsed="false">
      <c r="B12" s="15" t="s">
        <v>265</v>
      </c>
      <c r="C12" s="8" t="str">
        <f aca="false">IFERROR(INDEX(CADASTRO_PIVOS!$C$6:$C$41,MATCH($B12,CADASTRO_PIVOS!$B$6:$B$41,0)),"?")</f>
        <v>RM04</v>
      </c>
      <c r="D12" s="8" t="str">
        <f aca="false">IFERROR(INDEX(CADASTRO_PIVOS!$D$6:$D$41,MATCH($B12,CADASTRO_PIVOS!$B$6:$B$41,0)),"?")</f>
        <v>TR04</v>
      </c>
      <c r="E12" s="20" t="n">
        <f aca="false">IFERROR(INDEX(CADASTRO_PIVOS!$E$6:$E$41,MATCH($B12,CADASTRO_PIVOS!$B$6:$B$41,0)),0)</f>
        <v>100.07</v>
      </c>
      <c r="F12" s="8" t="str">
        <f aca="false">IFERROR(IF(INDEX(ROTACAO_RDM!$D$6:$D$71,MATCH($B12,ROTACAO_RDM!$D$6:$D$71,0)+0)=$B12,INDEX(ROTACAO_RDM!$F$6:$F$71,MATCH($B12,ROTACAO_RDM!$D$6:$D$71,0)+0),""),"")</f>
        <v>MILHO_SEMENTE</v>
      </c>
      <c r="G12" s="8" t="str">
        <f aca="false">IFERROR(IF(INDEX(ROTACAO_RDM!$D$6:$D$71,MATCH($B12,ROTACAO_RDM!$D$6:$D$71,0)+1)=$B12,INDEX(ROTACAO_RDM!$F$6:$F$71,MATCH($B12,ROTACAO_RDM!$D$6:$D$71,0)+1),""),"")</f>
        <v>ALGODAO</v>
      </c>
      <c r="H12" s="8" t="str">
        <f aca="false">IFERROR(IF(INDEX(ROTACAO_RDM!$D$6:$D$71,MATCH($B12,ROTACAO_RDM!$D$6:$D$71,0)+2)=$B12,INDEX(ROTACAO_RDM!$F$6:$F$71,MATCH($B12,ROTACAO_RDM!$D$6:$D$71,0)+2),""),"")</f>
        <v/>
      </c>
      <c r="I12" s="16" t="n">
        <f aca="false">COUNTIFS(PLANEJAMENTO_SEMANAL!$E$6:$E$2381,$B12,PLANEJAMENTO_SEMANAL!$K$6:$K$2381,"&lt;&gt;SEM CULTURA")</f>
        <v>42</v>
      </c>
      <c r="J12" s="18" t="n">
        <f aca="false">IFERROR(SUMIF(PLANEJAMENTO_SEMANAL!$E$6:$E$2381,$B12,PLANEJAMENTO_SEMANAL!$AG$6:$AG$2381)/$E12,0)</f>
        <v>1290.7219479783</v>
      </c>
      <c r="K12" s="18" t="n">
        <f aca="false">IFERROR(SUMIF(PLANEJAMENTO_SEMANAL!$E$6:$E$2381,$B12,PLANEJAMENTO_SEMANAL!$AH$6:$AH$2381)/$E12,0)</f>
        <v>904.728</v>
      </c>
      <c r="L12" s="18" t="n">
        <f aca="false">IFERROR(SUMIF(PLANEJAMENTO_SEMANAL!$E$6:$E$2381,$B12,PLANEJAMENTO_SEMANAL!$AI$6:$AI$2381)/$E12,0)</f>
        <v>606.584584812623</v>
      </c>
      <c r="M12" s="18" t="n">
        <f aca="false">SUMIF(PLANEJAMENTO_SEMANAL!$E$6:$E$2381,$B12,PLANEJAMENTO_SEMANAL!$Y$6:$Y$2381)</f>
        <v>713.628923308968</v>
      </c>
      <c r="N12" s="16" t="n">
        <f aca="false">SUMIF(PLANEJAMENTO_SEMANAL!$E$6:$E$2381,$B12,PLANEJAMENTO_SEMANAL!$Z$6:$Z$2381)</f>
        <v>714128.463555285</v>
      </c>
      <c r="O12" s="18" t="n">
        <f aca="false">IFERROR(INDEX(CADASTRO_PIVOS!$I$6:$I$41,MATCH($B12,CADASTRO_PIVOS!$B$6:$B$41,0)),0)</f>
        <v>714.785714285714</v>
      </c>
      <c r="P12" s="18" t="n">
        <f aca="false">SUMIF(PLANEJAMENTO_SEMANAL!$E$6:$E$2381,$B12,PLANEJAMENTO_SEMANAL!$AB$6:$AB$2381)</f>
        <v>999.080492632556</v>
      </c>
      <c r="Q12" s="19" t="n">
        <f aca="false">IFERROR(_xlfn.MAXIFS(PLANEJAMENTO_SEMANAL!$AD$6:$AD$2381,PLANEJAMENTO_SEMANAL!$E$6:$E$2381,$B12),0)</f>
        <v>0.460392156862745</v>
      </c>
      <c r="R12" s="16" t="n">
        <f aca="false">IFERROR(INDEX(PLANEJAMENTO_SEMANAL!$B$6:$B$2381,MATCH($B12&amp;"|"&amp;TEXT($Q12,"0.000000"),PLANEJAMENTO_SEMANAL!$AK$6:$AK$2381,0)),"-")</f>
        <v>2</v>
      </c>
      <c r="S12" s="8" t="str">
        <f aca="false">IF($Q12&gt;LIMITE_CRITICO,"INVIAVEL em 21 h/dia",IF($Q12&gt;LIMITE_ATENCAO,"CRITICO",IF($Q12&gt;LIMITE_CONFORTAVEL,"ATENCAO","OK")))</f>
        <v>OK</v>
      </c>
    </row>
    <row r="13" customFormat="false" ht="15" hidden="false" customHeight="false" outlineLevel="0" collapsed="false">
      <c r="B13" s="15" t="s">
        <v>266</v>
      </c>
      <c r="C13" s="8" t="str">
        <f aca="false">IFERROR(INDEX(CADASTRO_PIVOS!$C$6:$C$41,MATCH($B13,CADASTRO_PIVOS!$B$6:$B$41,0)),"?")</f>
        <v>RM04</v>
      </c>
      <c r="D13" s="8" t="str">
        <f aca="false">IFERROR(INDEX(CADASTRO_PIVOS!$D$6:$D$41,MATCH($B13,CADASTRO_PIVOS!$B$6:$B$41,0)),"?")</f>
        <v>TR04</v>
      </c>
      <c r="E13" s="20" t="n">
        <f aca="false">IFERROR(INDEX(CADASTRO_PIVOS!$E$6:$E$41,MATCH($B13,CADASTRO_PIVOS!$B$6:$B$41,0)),0)</f>
        <v>99.76</v>
      </c>
      <c r="F13" s="8" t="str">
        <f aca="false">IFERROR(IF(INDEX(ROTACAO_RDM!$D$6:$D$71,MATCH($B13,ROTACAO_RDM!$D$6:$D$71,0)+0)=$B13,INDEX(ROTACAO_RDM!$F$6:$F$71,MATCH($B13,ROTACAO_RDM!$D$6:$D$71,0)+0),""),"")</f>
        <v>ALGODAO</v>
      </c>
      <c r="G13" s="8" t="str">
        <f aca="false">IFERROR(IF(INDEX(ROTACAO_RDM!$D$6:$D$71,MATCH($B13,ROTACAO_RDM!$D$6:$D$71,0)+1)=$B13,INDEX(ROTACAO_RDM!$F$6:$F$71,MATCH($B13,ROTACAO_RDM!$D$6:$D$71,0)+1),""),"")</f>
        <v/>
      </c>
      <c r="H13" s="8" t="str">
        <f aca="false">IFERROR(IF(INDEX(ROTACAO_RDM!$D$6:$D$71,MATCH($B13,ROTACAO_RDM!$D$6:$D$71,0)+2)=$B13,INDEX(ROTACAO_RDM!$F$6:$F$71,MATCH($B13,ROTACAO_RDM!$D$6:$D$71,0)+2),""),"")</f>
        <v/>
      </c>
      <c r="I13" s="16" t="n">
        <f aca="false">COUNTIFS(PLANEJAMENTO_SEMANAL!$E$6:$E$2381,$B13,PLANEJAMENTO_SEMANAL!$K$6:$K$2381,"&lt;&gt;SEM CULTURA")</f>
        <v>28</v>
      </c>
      <c r="J13" s="18" t="n">
        <f aca="false">IFERROR(SUMIF(PLANEJAMENTO_SEMANAL!$E$6:$E$2381,$B13,PLANEJAMENTO_SEMANAL!$AG$6:$AG$2381)/$E13,0)</f>
        <v>747.737037193576</v>
      </c>
      <c r="K13" s="18" t="n">
        <f aca="false">IFERROR(SUMIF(PLANEJAMENTO_SEMANAL!$E$6:$E$2381,$B13,PLANEJAMENTO_SEMANAL!$AH$6:$AH$2381)/$E13,0)</f>
        <v>666.84</v>
      </c>
      <c r="L13" s="18" t="n">
        <f aca="false">IFERROR(SUMIF(PLANEJAMENTO_SEMANAL!$E$6:$E$2381,$B13,PLANEJAMENTO_SEMANAL!$AI$6:$AI$2381)/$E13,0)</f>
        <v>281.993788672866</v>
      </c>
      <c r="M13" s="18" t="n">
        <f aca="false">SUMIF(PLANEJAMENTO_SEMANAL!$E$6:$E$2381,$B13,PLANEJAMENTO_SEMANAL!$Y$6:$Y$2381)</f>
        <v>331.757398438665</v>
      </c>
      <c r="N13" s="16" t="n">
        <f aca="false">SUMIF(PLANEJAMENTO_SEMANAL!$E$6:$E$2381,$B13,PLANEJAMENTO_SEMANAL!$Z$6:$Z$2381)</f>
        <v>330961.180682413</v>
      </c>
      <c r="O13" s="18" t="n">
        <f aca="false">IFERROR(INDEX(CADASTRO_PIVOS!$I$6:$I$41,MATCH($B13,CADASTRO_PIVOS!$B$6:$B$41,0)),0)</f>
        <v>712.571428571429</v>
      </c>
      <c r="P13" s="18" t="n">
        <f aca="false">SUMIF(PLANEJAMENTO_SEMANAL!$E$6:$E$2381,$B13,PLANEJAMENTO_SEMANAL!$AB$6:$AB$2381)</f>
        <v>464.460357814132</v>
      </c>
      <c r="Q13" s="19" t="n">
        <f aca="false">IFERROR(_xlfn.MAXIFS(PLANEJAMENTO_SEMANAL!$AD$6:$AD$2381,PLANEJAMENTO_SEMANAL!$E$6:$E$2381,$B13),0)</f>
        <v>0.303577677224736</v>
      </c>
      <c r="R13" s="16" t="n">
        <f aca="false">IFERROR(INDEX(PLANEJAMENTO_SEMANAL!$B$6:$B$2381,MATCH($B13&amp;"|"&amp;TEXT($Q13,"0.000000"),PLANEJAMENTO_SEMANAL!$AK$6:$AK$2381,0)),"-")</f>
        <v>36</v>
      </c>
      <c r="S13" s="8" t="str">
        <f aca="false">IF($Q13&gt;LIMITE_CRITICO,"INVIAVEL em 21 h/dia",IF($Q13&gt;LIMITE_ATENCAO,"CRITICO",IF($Q13&gt;LIMITE_CONFORTAVEL,"ATENCAO","OK")))</f>
        <v>OK</v>
      </c>
    </row>
    <row r="14" customFormat="false" ht="15" hidden="false" customHeight="false" outlineLevel="0" collapsed="false">
      <c r="B14" s="15" t="s">
        <v>267</v>
      </c>
      <c r="C14" s="8" t="str">
        <f aca="false">IFERROR(INDEX(CADASTRO_PIVOS!$C$6:$C$41,MATCH($B14,CADASTRO_PIVOS!$B$6:$B$41,0)),"?")</f>
        <v>RM04</v>
      </c>
      <c r="D14" s="8" t="str">
        <f aca="false">IFERROR(INDEX(CADASTRO_PIVOS!$D$6:$D$41,MATCH($B14,CADASTRO_PIVOS!$B$6:$B$41,0)),"?")</f>
        <v>TR04</v>
      </c>
      <c r="E14" s="20" t="n">
        <f aca="false">IFERROR(INDEX(CADASTRO_PIVOS!$E$6:$E$41,MATCH($B14,CADASTRO_PIVOS!$B$6:$B$41,0)),0)</f>
        <v>100.41</v>
      </c>
      <c r="F14" s="8" t="str">
        <f aca="false">IFERROR(IF(INDEX(ROTACAO_RDM!$D$6:$D$71,MATCH($B14,ROTACAO_RDM!$D$6:$D$71,0)+0)=$B14,INDEX(ROTACAO_RDM!$F$6:$F$71,MATCH($B14,ROTACAO_RDM!$D$6:$D$71,0)+0),""),"")</f>
        <v>SOJA</v>
      </c>
      <c r="G14" s="8" t="str">
        <f aca="false">IFERROR(IF(INDEX(ROTACAO_RDM!$D$6:$D$71,MATCH($B14,ROTACAO_RDM!$D$6:$D$71,0)+1)=$B14,INDEX(ROTACAO_RDM!$F$6:$F$71,MATCH($B14,ROTACAO_RDM!$D$6:$D$71,0)+1),""),"")</f>
        <v>ALGODAO</v>
      </c>
      <c r="H14" s="8" t="str">
        <f aca="false">IFERROR(IF(INDEX(ROTACAO_RDM!$D$6:$D$71,MATCH($B14,ROTACAO_RDM!$D$6:$D$71,0)+2)=$B14,INDEX(ROTACAO_RDM!$F$6:$F$71,MATCH($B14,ROTACAO_RDM!$D$6:$D$71,0)+2),""),"")</f>
        <v/>
      </c>
      <c r="I14" s="16" t="n">
        <f aca="false">COUNTIFS(PLANEJAMENTO_SEMANAL!$E$6:$E$2381,$B14,PLANEJAMENTO_SEMANAL!$K$6:$K$2381,"&lt;&gt;SEM CULTURA")</f>
        <v>41</v>
      </c>
      <c r="J14" s="18" t="n">
        <f aca="false">IFERROR(SUMIF(PLANEJAMENTO_SEMANAL!$E$6:$E$2381,$B14,PLANEJAMENTO_SEMANAL!$AG$6:$AG$2381)/$E14,0)</f>
        <v>1130.49022852963</v>
      </c>
      <c r="K14" s="18" t="n">
        <f aca="false">IFERROR(SUMIF(PLANEJAMENTO_SEMANAL!$E$6:$E$2381,$B14,PLANEJAMENTO_SEMANAL!$AH$6:$AH$2381)/$E14,0)</f>
        <v>820.664</v>
      </c>
      <c r="L14" s="18" t="n">
        <f aca="false">IFERROR(SUMIF(PLANEJAMENTO_SEMANAL!$E$6:$E$2381,$B14,PLANEJAMENTO_SEMANAL!$AI$6:$AI$2381)/$E14,0)</f>
        <v>472.514399836144</v>
      </c>
      <c r="M14" s="18" t="n">
        <f aca="false">SUMIF(PLANEJAMENTO_SEMANAL!$E$6:$E$2381,$B14,PLANEJAMENTO_SEMANAL!$Y$6:$Y$2381)</f>
        <v>555.899293924876</v>
      </c>
      <c r="N14" s="16" t="n">
        <f aca="false">SUMIF(PLANEJAMENTO_SEMANAL!$E$6:$E$2381,$B14,PLANEJAMENTO_SEMANAL!$Z$6:$Z$2381)</f>
        <v>558178.481029968</v>
      </c>
      <c r="O14" s="18" t="n">
        <f aca="false">IFERROR(INDEX(CADASTRO_PIVOS!$I$6:$I$41,MATCH($B14,CADASTRO_PIVOS!$B$6:$B$41,0)),0)</f>
        <v>717.214285714286</v>
      </c>
      <c r="P14" s="18" t="n">
        <f aca="false">SUMIF(PLANEJAMENTO_SEMANAL!$E$6:$E$2381,$B14,PLANEJAMENTO_SEMANAL!$AB$6:$AB$2381)</f>
        <v>778.259011494826</v>
      </c>
      <c r="Q14" s="19" t="n">
        <f aca="false">IFERROR(_xlfn.MAXIFS(PLANEJAMENTO_SEMANAL!$AD$6:$AD$2381,PLANEJAMENTO_SEMANAL!$E$6:$E$2381,$B14),0)</f>
        <v>0.350117647058824</v>
      </c>
      <c r="R14" s="16" t="n">
        <f aca="false">IFERROR(INDEX(PLANEJAMENTO_SEMANAL!$B$6:$B$2381,MATCH($B14&amp;"|"&amp;TEXT($Q14,"0.000000"),PLANEJAMENTO_SEMANAL!$AK$6:$AK$2381,0)),"-")</f>
        <v>41</v>
      </c>
      <c r="S14" s="8" t="str">
        <f aca="false">IF($Q14&gt;LIMITE_CRITICO,"INVIAVEL em 21 h/dia",IF($Q14&gt;LIMITE_ATENCAO,"CRITICO",IF($Q14&gt;LIMITE_CONFORTAVEL,"ATENCAO","OK")))</f>
        <v>OK</v>
      </c>
    </row>
    <row r="15" customFormat="false" ht="15" hidden="false" customHeight="false" outlineLevel="0" collapsed="false">
      <c r="B15" s="15" t="s">
        <v>268</v>
      </c>
      <c r="C15" s="8" t="str">
        <f aca="false">IFERROR(INDEX(CADASTRO_PIVOS!$C$6:$C$41,MATCH($B15,CADASTRO_PIVOS!$B$6:$B$41,0)),"?")</f>
        <v>RM04</v>
      </c>
      <c r="D15" s="8" t="str">
        <f aca="false">IFERROR(INDEX(CADASTRO_PIVOS!$D$6:$D$41,MATCH($B15,CADASTRO_PIVOS!$B$6:$B$41,0)),"?")</f>
        <v>TR04</v>
      </c>
      <c r="E15" s="20" t="n">
        <f aca="false">IFERROR(INDEX(CADASTRO_PIVOS!$E$6:$E$41,MATCH($B15,CADASTRO_PIVOS!$B$6:$B$41,0)),0)</f>
        <v>110</v>
      </c>
      <c r="F15" s="8" t="str">
        <f aca="false">IFERROR(IF(INDEX(ROTACAO_RDM!$D$6:$D$71,MATCH($B15,ROTACAO_RDM!$D$6:$D$71,0)+0)=$B15,INDEX(ROTACAO_RDM!$F$6:$F$71,MATCH($B15,ROTACAO_RDM!$D$6:$D$71,0)+0),""),"")</f>
        <v>SOJA</v>
      </c>
      <c r="G15" s="8" t="str">
        <f aca="false">IFERROR(IF(INDEX(ROTACAO_RDM!$D$6:$D$71,MATCH($B15,ROTACAO_RDM!$D$6:$D$71,0)+1)=$B15,INDEX(ROTACAO_RDM!$F$6:$F$71,MATCH($B15,ROTACAO_RDM!$D$6:$D$71,0)+1),""),"")</f>
        <v>ALGODAO</v>
      </c>
      <c r="H15" s="8" t="str">
        <f aca="false">IFERROR(IF(INDEX(ROTACAO_RDM!$D$6:$D$71,MATCH($B15,ROTACAO_RDM!$D$6:$D$71,0)+2)=$B15,INDEX(ROTACAO_RDM!$F$6:$F$71,MATCH($B15,ROTACAO_RDM!$D$6:$D$71,0)+2),""),"")</f>
        <v/>
      </c>
      <c r="I15" s="16" t="n">
        <f aca="false">COUNTIFS(PLANEJAMENTO_SEMANAL!$E$6:$E$2381,$B15,PLANEJAMENTO_SEMANAL!$K$6:$K$2381,"&lt;&gt;SEM CULTURA")</f>
        <v>43</v>
      </c>
      <c r="J15" s="18" t="n">
        <f aca="false">IFERROR(SUMIF(PLANEJAMENTO_SEMANAL!$E$6:$E$2381,$B15,PLANEJAMENTO_SEMANAL!$AG$6:$AG$2381)/$E15,0)</f>
        <v>1178.34136260562</v>
      </c>
      <c r="K15" s="18" t="n">
        <f aca="false">IFERROR(SUMIF(PLANEJAMENTO_SEMANAL!$E$6:$E$2381,$B15,PLANEJAMENTO_SEMANAL!$AH$6:$AH$2381)/$E15,0)</f>
        <v>818.312</v>
      </c>
      <c r="L15" s="18" t="n">
        <f aca="false">IFERROR(SUMIF(PLANEJAMENTO_SEMANAL!$E$6:$E$2381,$B15,PLANEJAMENTO_SEMANAL!$AI$6:$AI$2381)/$E15,0)</f>
        <v>539.067398531668</v>
      </c>
      <c r="M15" s="18" t="n">
        <f aca="false">SUMIF(PLANEJAMENTO_SEMANAL!$E$6:$E$2381,$B15,PLANEJAMENTO_SEMANAL!$Y$6:$Y$2381)</f>
        <v>634.196939449021</v>
      </c>
      <c r="N15" s="16" t="n">
        <f aca="false">SUMIF(PLANEJAMENTO_SEMANAL!$E$6:$E$2381,$B15,PLANEJAMENTO_SEMANAL!$Z$6:$Z$2381)</f>
        <v>697616.633393923</v>
      </c>
      <c r="O15" s="18" t="n">
        <f aca="false">IFERROR(INDEX(CADASTRO_PIVOS!$I$6:$I$41,MATCH($B15,CADASTRO_PIVOS!$B$6:$B$41,0)),0)</f>
        <v>785.714285714286</v>
      </c>
      <c r="P15" s="18" t="n">
        <f aca="false">SUMIF(PLANEJAMENTO_SEMANAL!$E$6:$E$2381,$B15,PLANEJAMENTO_SEMANAL!$AB$6:$AB$2381)</f>
        <v>887.875715228629</v>
      </c>
      <c r="Q15" s="19" t="n">
        <f aca="false">IFERROR(_xlfn.MAXIFS(PLANEJAMENTO_SEMANAL!$AD$6:$AD$2381,PLANEJAMENTO_SEMANAL!$E$6:$E$2381,$B15),0)</f>
        <v>0.350117647058824</v>
      </c>
      <c r="R15" s="16" t="n">
        <f aca="false">IFERROR(INDEX(PLANEJAMENTO_SEMANAL!$B$6:$B$2381,MATCH($B15&amp;"|"&amp;TEXT($Q15,"0.000000"),PLANEJAMENTO_SEMANAL!$AK$6:$AK$2381,0)),"-")</f>
        <v>41</v>
      </c>
      <c r="S15" s="8" t="str">
        <f aca="false">IF($Q15&gt;LIMITE_CRITICO,"INVIAVEL em 21 h/dia",IF($Q15&gt;LIMITE_ATENCAO,"CRITICO",IF($Q15&gt;LIMITE_CONFORTAVEL,"ATENCAO","OK")))</f>
        <v>OK</v>
      </c>
    </row>
    <row r="16" customFormat="false" ht="15" hidden="false" customHeight="false" outlineLevel="0" collapsed="false">
      <c r="B16" s="15" t="s">
        <v>269</v>
      </c>
      <c r="C16" s="8" t="str">
        <f aca="false">IFERROR(INDEX(CADASTRO_PIVOS!$C$6:$C$41,MATCH($B16,CADASTRO_PIVOS!$B$6:$B$41,0)),"?")</f>
        <v>RM05</v>
      </c>
      <c r="D16" s="8" t="str">
        <f aca="false">IFERROR(INDEX(CADASTRO_PIVOS!$D$6:$D$41,MATCH($B16,CADASTRO_PIVOS!$B$6:$B$41,0)),"?")</f>
        <v>TR05</v>
      </c>
      <c r="E16" s="20" t="n">
        <f aca="false">IFERROR(INDEX(CADASTRO_PIVOS!$E$6:$E$41,MATCH($B16,CADASTRO_PIVOS!$B$6:$B$41,0)),0)</f>
        <v>149.98</v>
      </c>
      <c r="F16" s="8" t="str">
        <f aca="false">IFERROR(IF(INDEX(ROTACAO_RDM!$D$6:$D$71,MATCH($B16,ROTACAO_RDM!$D$6:$D$71,0)+0)=$B16,INDEX(ROTACAO_RDM!$F$6:$F$71,MATCH($B16,ROTACAO_RDM!$D$6:$D$71,0)+0),""),"")</f>
        <v>SOJA</v>
      </c>
      <c r="G16" s="8" t="str">
        <f aca="false">IFERROR(IF(INDEX(ROTACAO_RDM!$D$6:$D$71,MATCH($B16,ROTACAO_RDM!$D$6:$D$71,0)+1)=$B16,INDEX(ROTACAO_RDM!$F$6:$F$71,MATCH($B16,ROTACAO_RDM!$D$6:$D$71,0)+1),""),"")</f>
        <v>MILHO_SEMENTE</v>
      </c>
      <c r="H16" s="8" t="str">
        <f aca="false">IFERROR(IF(INDEX(ROTACAO_RDM!$D$6:$D$71,MATCH($B16,ROTACAO_RDM!$D$6:$D$71,0)+2)=$B16,INDEX(ROTACAO_RDM!$F$6:$F$71,MATCH($B16,ROTACAO_RDM!$D$6:$D$71,0)+2),""),"")</f>
        <v/>
      </c>
      <c r="I16" s="16" t="n">
        <f aca="false">COUNTIFS(PLANEJAMENTO_SEMANAL!$E$6:$E$2381,$B16,PLANEJAMENTO_SEMANAL!$K$6:$K$2381,"&lt;&gt;SEM CULTURA")</f>
        <v>38</v>
      </c>
      <c r="J16" s="18" t="n">
        <f aca="false">IFERROR(SUMIF(PLANEJAMENTO_SEMANAL!$E$6:$E$2381,$B16,PLANEJAMENTO_SEMANAL!$AG$6:$AG$2381)/$E16,0)</f>
        <v>1117.92632415371</v>
      </c>
      <c r="K16" s="18" t="n">
        <f aca="false">IFERROR(SUMIF(PLANEJAMENTO_SEMANAL!$E$6:$E$2381,$B16,PLANEJAMENTO_SEMANAL!$AH$6:$AH$2381)/$E16,0)</f>
        <v>695.264</v>
      </c>
      <c r="L16" s="18" t="n">
        <f aca="false">IFERROR(SUMIF(PLANEJAMENTO_SEMANAL!$E$6:$E$2381,$B16,PLANEJAMENTO_SEMANAL!$AI$6:$AI$2381)/$E16,0)</f>
        <v>512.144608853468</v>
      </c>
      <c r="M16" s="18" t="n">
        <f aca="false">SUMIF(PLANEJAMENTO_SEMANAL!$E$6:$E$2381,$B16,PLANEJAMENTO_SEMANAL!$Y$6:$Y$2381)</f>
        <v>602.523069239374</v>
      </c>
      <c r="N16" s="16" t="n">
        <f aca="false">SUMIF(PLANEJAMENTO_SEMANAL!$E$6:$E$2381,$B16,PLANEJAMENTO_SEMANAL!$Z$6:$Z$2381)</f>
        <v>903664.099245213</v>
      </c>
      <c r="O16" s="18" t="n">
        <f aca="false">IFERROR(INDEX(CADASTRO_PIVOS!$I$6:$I$41,MATCH($B16,CADASTRO_PIVOS!$B$6:$B$41,0)),0)</f>
        <v>1071.28571428571</v>
      </c>
      <c r="P16" s="18" t="n">
        <f aca="false">SUMIF(PLANEJAMENTO_SEMANAL!$E$6:$E$2381,$B16,PLANEJAMENTO_SEMANAL!$AB$6:$AB$2381)</f>
        <v>843.532296935124</v>
      </c>
      <c r="Q16" s="19" t="n">
        <f aca="false">IFERROR(_xlfn.MAXIFS(PLANEJAMENTO_SEMANAL!$AD$6:$AD$2381,PLANEJAMENTO_SEMANAL!$E$6:$E$2381,$B16),0)</f>
        <v>0.460392156862745</v>
      </c>
      <c r="R16" s="16" t="n">
        <f aca="false">IFERROR(INDEX(PLANEJAMENTO_SEMANAL!$B$6:$B$2381,MATCH($B16&amp;"|"&amp;TEXT($Q16,"0.000000"),PLANEJAMENTO_SEMANAL!$AK$6:$AK$2381,0)),"-")</f>
        <v>54</v>
      </c>
      <c r="S16" s="8" t="str">
        <f aca="false">IF($Q16&gt;LIMITE_CRITICO,"INVIAVEL em 21 h/dia",IF($Q16&gt;LIMITE_ATENCAO,"CRITICO",IF($Q16&gt;LIMITE_CONFORTAVEL,"ATENCAO","OK")))</f>
        <v>OK</v>
      </c>
    </row>
    <row r="17" customFormat="false" ht="15" hidden="false" customHeight="false" outlineLevel="0" collapsed="false">
      <c r="B17" s="15" t="s">
        <v>270</v>
      </c>
      <c r="C17" s="8" t="str">
        <f aca="false">IFERROR(INDEX(CADASTRO_PIVOS!$C$6:$C$41,MATCH($B17,CADASTRO_PIVOS!$B$6:$B$41,0)),"?")</f>
        <v>RM05</v>
      </c>
      <c r="D17" s="8" t="str">
        <f aca="false">IFERROR(INDEX(CADASTRO_PIVOS!$D$6:$D$41,MATCH($B17,CADASTRO_PIVOS!$B$6:$B$41,0)),"?")</f>
        <v>TR05</v>
      </c>
      <c r="E17" s="20" t="n">
        <f aca="false">IFERROR(INDEX(CADASTRO_PIVOS!$E$6:$E$41,MATCH($B17,CADASTRO_PIVOS!$B$6:$B$41,0)),0)</f>
        <v>149.98</v>
      </c>
      <c r="F17" s="8" t="str">
        <f aca="false">IFERROR(IF(INDEX(ROTACAO_RDM!$D$6:$D$71,MATCH($B17,ROTACAO_RDM!$D$6:$D$71,0)+0)=$B17,INDEX(ROTACAO_RDM!$F$6:$F$71,MATCH($B17,ROTACAO_RDM!$D$6:$D$71,0)+0),""),"")</f>
        <v>ALGODAO</v>
      </c>
      <c r="G17" s="8" t="str">
        <f aca="false">IFERROR(IF(INDEX(ROTACAO_RDM!$D$6:$D$71,MATCH($B17,ROTACAO_RDM!$D$6:$D$71,0)+1)=$B17,INDEX(ROTACAO_RDM!$F$6:$F$71,MATCH($B17,ROTACAO_RDM!$D$6:$D$71,0)+1),""),"")</f>
        <v>SOJA</v>
      </c>
      <c r="H17" s="8" t="str">
        <f aca="false">IFERROR(IF(INDEX(ROTACAO_RDM!$D$6:$D$71,MATCH($B17,ROTACAO_RDM!$D$6:$D$71,0)+2)=$B17,INDEX(ROTACAO_RDM!$F$6:$F$71,MATCH($B17,ROTACAO_RDM!$D$6:$D$71,0)+2),""),"")</f>
        <v>MILHO_SEMENTE</v>
      </c>
      <c r="I17" s="16" t="n">
        <f aca="false">COUNTIFS(PLANEJAMENTO_SEMANAL!$E$6:$E$2381,$B17,PLANEJAMENTO_SEMANAL!$K$6:$K$2381,"&lt;&gt;SEM CULTURA")</f>
        <v>37</v>
      </c>
      <c r="J17" s="18" t="n">
        <f aca="false">IFERROR(SUMIF(PLANEJAMENTO_SEMANAL!$E$6:$E$2381,$B17,PLANEJAMENTO_SEMANAL!$AG$6:$AG$2381)/$E17,0)</f>
        <v>1106.74119311923</v>
      </c>
      <c r="K17" s="18" t="n">
        <f aca="false">IFERROR(SUMIF(PLANEJAMENTO_SEMANAL!$E$6:$E$2381,$B17,PLANEJAMENTO_SEMANAL!$AH$6:$AH$2381)/$E17,0)</f>
        <v>694.064</v>
      </c>
      <c r="L17" s="18" t="n">
        <f aca="false">IFERROR(SUMIF(PLANEJAMENTO_SEMANAL!$E$6:$E$2381,$B17,PLANEJAMENTO_SEMANAL!$AI$6:$AI$2381)/$E17,0)</f>
        <v>502.159477818985</v>
      </c>
      <c r="M17" s="18" t="n">
        <f aca="false">SUMIF(PLANEJAMENTO_SEMANAL!$E$6:$E$2381,$B17,PLANEJAMENTO_SEMANAL!$Y$6:$Y$2381)</f>
        <v>590.77585625763</v>
      </c>
      <c r="N17" s="16" t="n">
        <f aca="false">SUMIF(PLANEJAMENTO_SEMANAL!$E$6:$E$2381,$B17,PLANEJAMENTO_SEMANAL!$Z$6:$Z$2381)</f>
        <v>886045.629215193</v>
      </c>
      <c r="O17" s="18" t="n">
        <f aca="false">IFERROR(INDEX(CADASTRO_PIVOS!$I$6:$I$41,MATCH($B17,CADASTRO_PIVOS!$B$6:$B$41,0)),0)</f>
        <v>928.447619047619</v>
      </c>
      <c r="P17" s="18" t="n">
        <f aca="false">SUMIF(PLANEJAMENTO_SEMANAL!$E$6:$E$2381,$B17,PLANEJAMENTO_SEMANAL!$AB$6:$AB$2381)</f>
        <v>954.330229339248</v>
      </c>
      <c r="Q17" s="19" t="n">
        <f aca="false">IFERROR(_xlfn.MAXIFS(PLANEJAMENTO_SEMANAL!$AD$6:$AD$2381,PLANEJAMENTO_SEMANAL!$E$6:$E$2381,$B17),0)</f>
        <v>0.531221719457014</v>
      </c>
      <c r="R17" s="16" t="n">
        <f aca="false">IFERROR(INDEX(PLANEJAMENTO_SEMANAL!$B$6:$B$2381,MATCH($B17&amp;"|"&amp;TEXT($Q17,"0.000000"),PLANEJAMENTO_SEMANAL!$AK$6:$AK$2381,0)),"-")</f>
        <v>54</v>
      </c>
      <c r="S17" s="8" t="str">
        <f aca="false">IF($Q17&gt;LIMITE_CRITICO,"INVIAVEL em 21 h/dia",IF($Q17&gt;LIMITE_ATENCAO,"CRITICO",IF($Q17&gt;LIMITE_CONFORTAVEL,"ATENCAO","OK")))</f>
        <v>OK</v>
      </c>
    </row>
    <row r="18" customFormat="false" ht="15" hidden="false" customHeight="false" outlineLevel="0" collapsed="false">
      <c r="B18" s="15" t="s">
        <v>271</v>
      </c>
      <c r="C18" s="8" t="str">
        <f aca="false">IFERROR(INDEX(CADASTRO_PIVOS!$C$6:$C$41,MATCH($B18,CADASTRO_PIVOS!$B$6:$B$41,0)),"?")</f>
        <v>RM05</v>
      </c>
      <c r="D18" s="8" t="str">
        <f aca="false">IFERROR(INDEX(CADASTRO_PIVOS!$D$6:$D$41,MATCH($B18,CADASTRO_PIVOS!$B$6:$B$41,0)),"?")</f>
        <v>TR05</v>
      </c>
      <c r="E18" s="20" t="n">
        <f aca="false">IFERROR(INDEX(CADASTRO_PIVOS!$E$6:$E$41,MATCH($B18,CADASTRO_PIVOS!$B$6:$B$41,0)),0)</f>
        <v>119.98</v>
      </c>
      <c r="F18" s="8" t="str">
        <f aca="false">IFERROR(IF(INDEX(ROTACAO_RDM!$D$6:$D$71,MATCH($B18,ROTACAO_RDM!$D$6:$D$71,0)+0)=$B18,INDEX(ROTACAO_RDM!$F$6:$F$71,MATCH($B18,ROTACAO_RDM!$D$6:$D$71,0)+0),""),"")</f>
        <v>ALGODAO</v>
      </c>
      <c r="G18" s="8" t="str">
        <f aca="false">IFERROR(IF(INDEX(ROTACAO_RDM!$D$6:$D$71,MATCH($B18,ROTACAO_RDM!$D$6:$D$71,0)+1)=$B18,INDEX(ROTACAO_RDM!$F$6:$F$71,MATCH($B18,ROTACAO_RDM!$D$6:$D$71,0)+1),""),"")</f>
        <v/>
      </c>
      <c r="H18" s="8" t="str">
        <f aca="false">IFERROR(IF(INDEX(ROTACAO_RDM!$D$6:$D$71,MATCH($B18,ROTACAO_RDM!$D$6:$D$71,0)+2)=$B18,INDEX(ROTACAO_RDM!$F$6:$F$71,MATCH($B18,ROTACAO_RDM!$D$6:$D$71,0)+2),""),"")</f>
        <v/>
      </c>
      <c r="I18" s="16" t="n">
        <f aca="false">COUNTIFS(PLANEJAMENTO_SEMANAL!$E$6:$E$2381,$B18,PLANEJAMENTO_SEMANAL!$K$6:$K$2381,"&lt;&gt;SEM CULTURA")</f>
        <v>28</v>
      </c>
      <c r="J18" s="18" t="n">
        <f aca="false">IFERROR(SUMIF(PLANEJAMENTO_SEMANAL!$E$6:$E$2381,$B18,PLANEJAMENTO_SEMANAL!$AG$6:$AG$2381)/$E18,0)</f>
        <v>752.651176387715</v>
      </c>
      <c r="K18" s="18" t="n">
        <f aca="false">IFERROR(SUMIF(PLANEJAMENTO_SEMANAL!$E$6:$E$2381,$B18,PLANEJAMENTO_SEMANAL!$AH$6:$AH$2381)/$E18,0)</f>
        <v>666.84</v>
      </c>
      <c r="L18" s="18" t="n">
        <f aca="false">IFERROR(SUMIF(PLANEJAMENTO_SEMANAL!$E$6:$E$2381,$B18,PLANEJAMENTO_SEMANAL!$AI$6:$AI$2381)/$E18,0)</f>
        <v>278.07163595379</v>
      </c>
      <c r="M18" s="18" t="n">
        <f aca="false">SUMIF(PLANEJAMENTO_SEMANAL!$E$6:$E$2381,$B18,PLANEJAMENTO_SEMANAL!$Y$6:$Y$2381)</f>
        <v>327.143101122106</v>
      </c>
      <c r="N18" s="16" t="n">
        <f aca="false">SUMIF(PLANEJAMENTO_SEMANAL!$E$6:$E$2381,$B18,PLANEJAMENTO_SEMANAL!$Z$6:$Z$2381)</f>
        <v>392506.292726302</v>
      </c>
      <c r="O18" s="18" t="n">
        <f aca="false">IFERROR(INDEX(CADASTRO_PIVOS!$I$6:$I$41,MATCH($B18,CADASTRO_PIVOS!$B$6:$B$41,0)),0)</f>
        <v>857</v>
      </c>
      <c r="P18" s="18" t="n">
        <f aca="false">SUMIF(PLANEJAMENTO_SEMANAL!$E$6:$E$2381,$B18,PLANEJAMENTO_SEMANAL!$AB$6:$AB$2381)</f>
        <v>458.000341570948</v>
      </c>
      <c r="Q18" s="19" t="n">
        <f aca="false">IFERROR(_xlfn.MAXIFS(PLANEJAMENTO_SEMANAL!$AD$6:$AD$2381,PLANEJAMENTO_SEMANAL!$E$6:$E$2381,$B18),0)</f>
        <v>0.293622926093514</v>
      </c>
      <c r="R18" s="16" t="n">
        <f aca="false">IFERROR(INDEX(PLANEJAMENTO_SEMANAL!$B$6:$B$2381,MATCH($B18&amp;"|"&amp;TEXT($Q18,"0.000000"),PLANEJAMENTO_SEMANAL!$AK$6:$AK$2381,0)),"-")</f>
        <v>36</v>
      </c>
      <c r="S18" s="8" t="str">
        <f aca="false">IF($Q18&gt;LIMITE_CRITICO,"INVIAVEL em 21 h/dia",IF($Q18&gt;LIMITE_ATENCAO,"CRITICO",IF($Q18&gt;LIMITE_CONFORTAVEL,"ATENCAO","OK")))</f>
        <v>OK</v>
      </c>
    </row>
    <row r="19" customFormat="false" ht="15" hidden="false" customHeight="false" outlineLevel="0" collapsed="false">
      <c r="B19" s="15" t="s">
        <v>272</v>
      </c>
      <c r="C19" s="8" t="str">
        <f aca="false">IFERROR(INDEX(CADASTRO_PIVOS!$C$6:$C$41,MATCH($B19,CADASTRO_PIVOS!$B$6:$B$41,0)),"?")</f>
        <v>RM05</v>
      </c>
      <c r="D19" s="8" t="str">
        <f aca="false">IFERROR(INDEX(CADASTRO_PIVOS!$D$6:$D$41,MATCH($B19,CADASTRO_PIVOS!$B$6:$B$41,0)),"?")</f>
        <v>TR05</v>
      </c>
      <c r="E19" s="20" t="n">
        <f aca="false">IFERROR(INDEX(CADASTRO_PIVOS!$E$6:$E$41,MATCH($B19,CADASTRO_PIVOS!$B$6:$B$41,0)),0)</f>
        <v>149.94</v>
      </c>
      <c r="F19" s="8" t="str">
        <f aca="false">IFERROR(IF(INDEX(ROTACAO_RDM!$D$6:$D$71,MATCH($B19,ROTACAO_RDM!$D$6:$D$71,0)+0)=$B19,INDEX(ROTACAO_RDM!$F$6:$F$71,MATCH($B19,ROTACAO_RDM!$D$6:$D$71,0)+0),""),"")</f>
        <v>ALGODAO</v>
      </c>
      <c r="G19" s="8" t="str">
        <f aca="false">IFERROR(IF(INDEX(ROTACAO_RDM!$D$6:$D$71,MATCH($B19,ROTACAO_RDM!$D$6:$D$71,0)+1)=$B19,INDEX(ROTACAO_RDM!$F$6:$F$71,MATCH($B19,ROTACAO_RDM!$D$6:$D$71,0)+1),""),"")</f>
        <v/>
      </c>
      <c r="H19" s="8" t="str">
        <f aca="false">IFERROR(IF(INDEX(ROTACAO_RDM!$D$6:$D$71,MATCH($B19,ROTACAO_RDM!$D$6:$D$71,0)+2)=$B19,INDEX(ROTACAO_RDM!$F$6:$F$71,MATCH($B19,ROTACAO_RDM!$D$6:$D$71,0)+2),""),"")</f>
        <v/>
      </c>
      <c r="I19" s="16" t="n">
        <f aca="false">COUNTIFS(PLANEJAMENTO_SEMANAL!$E$6:$E$2381,$B19,PLANEJAMENTO_SEMANAL!$K$6:$K$2381,"&lt;&gt;SEM CULTURA")</f>
        <v>28</v>
      </c>
      <c r="J19" s="18" t="n">
        <f aca="false">IFERROR(SUMIF(PLANEJAMENTO_SEMANAL!$E$6:$E$2381,$B19,PLANEJAMENTO_SEMANAL!$AG$6:$AG$2381)/$E19,0)</f>
        <v>752.651176387715</v>
      </c>
      <c r="K19" s="18" t="n">
        <f aca="false">IFERROR(SUMIF(PLANEJAMENTO_SEMANAL!$E$6:$E$2381,$B19,PLANEJAMENTO_SEMANAL!$AH$6:$AH$2381)/$E19,0)</f>
        <v>666.84</v>
      </c>
      <c r="L19" s="18" t="n">
        <f aca="false">IFERROR(SUMIF(PLANEJAMENTO_SEMANAL!$E$6:$E$2381,$B19,PLANEJAMENTO_SEMANAL!$AI$6:$AI$2381)/$E19,0)</f>
        <v>278.07163595379</v>
      </c>
      <c r="M19" s="18" t="n">
        <f aca="false">SUMIF(PLANEJAMENTO_SEMANAL!$E$6:$E$2381,$B19,PLANEJAMENTO_SEMANAL!$Y$6:$Y$2381)</f>
        <v>327.143101122106</v>
      </c>
      <c r="N19" s="16" t="n">
        <f aca="false">SUMIF(PLANEJAMENTO_SEMANAL!$E$6:$E$2381,$B19,PLANEJAMENTO_SEMANAL!$Z$6:$Z$2381)</f>
        <v>490518.365822485</v>
      </c>
      <c r="O19" s="18" t="n">
        <f aca="false">IFERROR(INDEX(CADASTRO_PIVOS!$I$6:$I$41,MATCH($B19,CADASTRO_PIVOS!$B$6:$B$41,0)),0)</f>
        <v>928.2</v>
      </c>
      <c r="P19" s="18" t="n">
        <f aca="false">SUMIF(PLANEJAMENTO_SEMANAL!$E$6:$E$2381,$B19,PLANEJAMENTO_SEMANAL!$AB$6:$AB$2381)</f>
        <v>528.461932581863</v>
      </c>
      <c r="Q19" s="19" t="n">
        <f aca="false">IFERROR(_xlfn.MAXIFS(PLANEJAMENTO_SEMANAL!$AD$6:$AD$2381,PLANEJAMENTO_SEMANAL!$E$6:$E$2381,$B19),0)</f>
        <v>0.338795683954055</v>
      </c>
      <c r="R19" s="16" t="n">
        <f aca="false">IFERROR(INDEX(PLANEJAMENTO_SEMANAL!$B$6:$B$2381,MATCH($B19&amp;"|"&amp;TEXT($Q19,"0.000000"),PLANEJAMENTO_SEMANAL!$AK$6:$AK$2381,0)),"-")</f>
        <v>36</v>
      </c>
      <c r="S19" s="8" t="str">
        <f aca="false">IF($Q19&gt;LIMITE_CRITICO,"INVIAVEL em 21 h/dia",IF($Q19&gt;LIMITE_ATENCAO,"CRITICO",IF($Q19&gt;LIMITE_CONFORTAVEL,"ATENCAO","OK")))</f>
        <v>OK</v>
      </c>
    </row>
    <row r="20" customFormat="false" ht="15" hidden="false" customHeight="false" outlineLevel="0" collapsed="false">
      <c r="B20" s="15" t="s">
        <v>273</v>
      </c>
      <c r="C20" s="8" t="str">
        <f aca="false">IFERROR(INDEX(CADASTRO_PIVOS!$C$6:$C$41,MATCH($B20,CADASTRO_PIVOS!$B$6:$B$41,0)),"?")</f>
        <v>RM05</v>
      </c>
      <c r="D20" s="8" t="str">
        <f aca="false">IFERROR(INDEX(CADASTRO_PIVOS!$D$6:$D$41,MATCH($B20,CADASTRO_PIVOS!$B$6:$B$41,0)),"?")</f>
        <v>TR05</v>
      </c>
      <c r="E20" s="20" t="n">
        <f aca="false">IFERROR(INDEX(CADASTRO_PIVOS!$E$6:$E$41,MATCH($B20,CADASTRO_PIVOS!$B$6:$B$41,0)),0)</f>
        <v>99.96</v>
      </c>
      <c r="F20" s="8" t="str">
        <f aca="false">IFERROR(IF(INDEX(ROTACAO_RDM!$D$6:$D$71,MATCH($B20,ROTACAO_RDM!$D$6:$D$71,0)+0)=$B20,INDEX(ROTACAO_RDM!$F$6:$F$71,MATCH($B20,ROTACAO_RDM!$D$6:$D$71,0)+0),""),"")</f>
        <v>MILHO_SEMENTE</v>
      </c>
      <c r="G20" s="8" t="str">
        <f aca="false">IFERROR(IF(INDEX(ROTACAO_RDM!$D$6:$D$71,MATCH($B20,ROTACAO_RDM!$D$6:$D$71,0)+1)=$B20,INDEX(ROTACAO_RDM!$F$6:$F$71,MATCH($B20,ROTACAO_RDM!$D$6:$D$71,0)+1),""),"")</f>
        <v>ALGODAO</v>
      </c>
      <c r="H20" s="8" t="str">
        <f aca="false">IFERROR(IF(INDEX(ROTACAO_RDM!$D$6:$D$71,MATCH($B20,ROTACAO_RDM!$D$6:$D$71,0)+2)=$B20,INDEX(ROTACAO_RDM!$F$6:$F$71,MATCH($B20,ROTACAO_RDM!$D$6:$D$71,0)+2),""),"")</f>
        <v>MILHO_SEMENTE</v>
      </c>
      <c r="I20" s="16" t="n">
        <f aca="false">COUNTIFS(PLANEJAMENTO_SEMANAL!$E$6:$E$2381,$B20,PLANEJAMENTO_SEMANAL!$K$6:$K$2381,"&lt;&gt;SEM CULTURA")</f>
        <v>62</v>
      </c>
      <c r="J20" s="18" t="n">
        <f aca="false">IFERROR(SUMIF(PLANEJAMENTO_SEMANAL!$E$6:$E$2381,$B20,PLANEJAMENTO_SEMANAL!$AG$6:$AG$2381)/$E20,0)</f>
        <v>1916.08907799672</v>
      </c>
      <c r="K20" s="18" t="n">
        <f aca="false">IFERROR(SUMIF(PLANEJAMENTO_SEMANAL!$E$6:$E$2381,$B20,PLANEJAMENTO_SEMANAL!$AH$6:$AH$2381)/$E20,0)</f>
        <v>1144.4</v>
      </c>
      <c r="L20" s="18" t="n">
        <f aca="false">IFERROR(SUMIF(PLANEJAMENTO_SEMANAL!$E$6:$E$2381,$B20,PLANEJAMENTO_SEMANAL!$AI$6:$AI$2381)/$E20,0)</f>
        <v>1029.18993014505</v>
      </c>
      <c r="M20" s="18" t="n">
        <f aca="false">SUMIF(PLANEJAMENTO_SEMANAL!$E$6:$E$2381,$B20,PLANEJAMENTO_SEMANAL!$Y$6:$Y$2381)</f>
        <v>1210.81168252358</v>
      </c>
      <c r="N20" s="16" t="n">
        <f aca="false">SUMIF(PLANEJAMENTO_SEMANAL!$E$6:$E$2381,$B20,PLANEJAMENTO_SEMANAL!$Z$6:$Z$2381)</f>
        <v>1210327.35785057</v>
      </c>
      <c r="O20" s="18" t="n">
        <f aca="false">IFERROR(INDEX(CADASTRO_PIVOS!$I$6:$I$41,MATCH($B20,CADASTRO_PIVOS!$B$6:$B$41,0)),0)</f>
        <v>714</v>
      </c>
      <c r="P20" s="18" t="n">
        <f aca="false">SUMIF(PLANEJAMENTO_SEMANAL!$E$6:$E$2381,$B20,PLANEJAMENTO_SEMANAL!$AB$6:$AB$2381)</f>
        <v>1695.13635553302</v>
      </c>
      <c r="Q20" s="19" t="n">
        <f aca="false">IFERROR(_xlfn.MAXIFS(PLANEJAMENTO_SEMANAL!$AD$6:$AD$2381,PLANEJAMENTO_SEMANAL!$E$6:$E$2381,$B20),0)</f>
        <v>0.460392156862745</v>
      </c>
      <c r="R20" s="16" t="n">
        <f aca="false">IFERROR(INDEX(PLANEJAMENTO_SEMANAL!$B$6:$B$2381,MATCH($B20&amp;"|"&amp;TEXT($Q20,"0.000000"),PLANEJAMENTO_SEMANAL!$AK$6:$AK$2381,0)),"-")</f>
        <v>2</v>
      </c>
      <c r="S20" s="8" t="str">
        <f aca="false">IF($Q20&gt;LIMITE_CRITICO,"INVIAVEL em 21 h/dia",IF($Q20&gt;LIMITE_ATENCAO,"CRITICO",IF($Q20&gt;LIMITE_CONFORTAVEL,"ATENCAO","OK")))</f>
        <v>OK</v>
      </c>
    </row>
    <row r="21" customFormat="false" ht="15" hidden="false" customHeight="false" outlineLevel="0" collapsed="false">
      <c r="B21" s="15" t="s">
        <v>274</v>
      </c>
      <c r="C21" s="8" t="str">
        <f aca="false">IFERROR(INDEX(CADASTRO_PIVOS!$C$6:$C$41,MATCH($B21,CADASTRO_PIVOS!$B$6:$B$41,0)),"?")</f>
        <v>RM05</v>
      </c>
      <c r="D21" s="8" t="str">
        <f aca="false">IFERROR(INDEX(CADASTRO_PIVOS!$D$6:$D$41,MATCH($B21,CADASTRO_PIVOS!$B$6:$B$41,0)),"?")</f>
        <v>TR05</v>
      </c>
      <c r="E21" s="20" t="n">
        <f aca="false">IFERROR(INDEX(CADASTRO_PIVOS!$E$6:$E$41,MATCH($B21,CADASTRO_PIVOS!$B$6:$B$41,0)),0)</f>
        <v>99.96</v>
      </c>
      <c r="F21" s="8" t="str">
        <f aca="false">IFERROR(IF(INDEX(ROTACAO_RDM!$D$6:$D$71,MATCH($B21,ROTACAO_RDM!$D$6:$D$71,0)+0)=$B21,INDEX(ROTACAO_RDM!$F$6:$F$71,MATCH($B21,ROTACAO_RDM!$D$6:$D$71,0)+0),""),"")</f>
        <v>MILHO_SEMENTE</v>
      </c>
      <c r="G21" s="8" t="str">
        <f aca="false">IFERROR(IF(INDEX(ROTACAO_RDM!$D$6:$D$71,MATCH($B21,ROTACAO_RDM!$D$6:$D$71,0)+1)=$B21,INDEX(ROTACAO_RDM!$F$6:$F$71,MATCH($B21,ROTACAO_RDM!$D$6:$D$71,0)+1),""),"")</f>
        <v>ALGODAO</v>
      </c>
      <c r="H21" s="8" t="str">
        <f aca="false">IFERROR(IF(INDEX(ROTACAO_RDM!$D$6:$D$71,MATCH($B21,ROTACAO_RDM!$D$6:$D$71,0)+2)=$B21,INDEX(ROTACAO_RDM!$F$6:$F$71,MATCH($B21,ROTACAO_RDM!$D$6:$D$71,0)+2),""),"")</f>
        <v>MILHO_SEMENTE</v>
      </c>
      <c r="I21" s="16" t="n">
        <f aca="false">COUNTIFS(PLANEJAMENTO_SEMANAL!$E$6:$E$2381,$B21,PLANEJAMENTO_SEMANAL!$K$6:$K$2381,"&lt;&gt;SEM CULTURA")</f>
        <v>63</v>
      </c>
      <c r="J21" s="18" t="n">
        <f aca="false">IFERROR(SUMIF(PLANEJAMENTO_SEMANAL!$E$6:$E$2381,$B21,PLANEJAMENTO_SEMANAL!$AG$6:$AG$2381)/$E21,0)</f>
        <v>1931.67306420361</v>
      </c>
      <c r="K21" s="18" t="n">
        <f aca="false">IFERROR(SUMIF(PLANEJAMENTO_SEMANAL!$E$6:$E$2381,$B21,PLANEJAMENTO_SEMANAL!$AH$6:$AH$2381)/$E21,0)</f>
        <v>1145.128</v>
      </c>
      <c r="L21" s="18" t="n">
        <f aca="false">IFERROR(SUMIF(PLANEJAMENTO_SEMANAL!$E$6:$E$2381,$B21,PLANEJAMENTO_SEMANAL!$AI$6:$AI$2381)/$E21,0)</f>
        <v>1050.29088186918</v>
      </c>
      <c r="M21" s="18" t="n">
        <f aca="false">SUMIF(PLANEJAMENTO_SEMANAL!$E$6:$E$2381,$B21,PLANEJAMENTO_SEMANAL!$Y$6:$Y$2381)</f>
        <v>1235.63633161081</v>
      </c>
      <c r="N21" s="16" t="n">
        <f aca="false">SUMIF(PLANEJAMENTO_SEMANAL!$E$6:$E$2381,$B21,PLANEJAMENTO_SEMANAL!$Z$6:$Z$2381)</f>
        <v>1235142.07707816</v>
      </c>
      <c r="O21" s="18" t="n">
        <f aca="false">IFERROR(INDEX(CADASTRO_PIVOS!$I$6:$I$41,MATCH($B21,CADASTRO_PIVOS!$B$6:$B$41,0)),0)</f>
        <v>714</v>
      </c>
      <c r="P21" s="18" t="n">
        <f aca="false">SUMIF(PLANEJAMENTO_SEMANAL!$E$6:$E$2381,$B21,PLANEJAMENTO_SEMANAL!$AB$6:$AB$2381)</f>
        <v>1729.89086425513</v>
      </c>
      <c r="Q21" s="19" t="n">
        <f aca="false">IFERROR(_xlfn.MAXIFS(PLANEJAMENTO_SEMANAL!$AD$6:$AD$2381,PLANEJAMENTO_SEMANAL!$E$6:$E$2381,$B21),0)</f>
        <v>0.460392156862745</v>
      </c>
      <c r="R21" s="16" t="n">
        <f aca="false">IFERROR(INDEX(PLANEJAMENTO_SEMANAL!$B$6:$B$2381,MATCH($B21&amp;"|"&amp;TEXT($Q21,"0.000000"),PLANEJAMENTO_SEMANAL!$AK$6:$AK$2381,0)),"-")</f>
        <v>2</v>
      </c>
      <c r="S21" s="8" t="str">
        <f aca="false">IF($Q21&gt;LIMITE_CRITICO,"INVIAVEL em 21 h/dia",IF($Q21&gt;LIMITE_ATENCAO,"CRITICO",IF($Q21&gt;LIMITE_CONFORTAVEL,"ATENCAO","OK")))</f>
        <v>OK</v>
      </c>
    </row>
    <row r="22" customFormat="false" ht="15" hidden="false" customHeight="false" outlineLevel="0" collapsed="false">
      <c r="B22" s="15" t="s">
        <v>275</v>
      </c>
      <c r="C22" s="8" t="str">
        <f aca="false">IFERROR(INDEX(CADASTRO_PIVOS!$C$6:$C$41,MATCH($B22,CADASTRO_PIVOS!$B$6:$B$41,0)),"?")</f>
        <v>RM06</v>
      </c>
      <c r="D22" s="8" t="str">
        <f aca="false">IFERROR(INDEX(CADASTRO_PIVOS!$D$6:$D$41,MATCH($B22,CADASTRO_PIVOS!$B$6:$B$41,0)),"?")</f>
        <v>TR06</v>
      </c>
      <c r="E22" s="20" t="n">
        <f aca="false">IFERROR(INDEX(CADASTRO_PIVOS!$E$6:$E$41,MATCH($B22,CADASTRO_PIVOS!$B$6:$B$41,0)),0)</f>
        <v>149.55</v>
      </c>
      <c r="F22" s="8" t="str">
        <f aca="false">IFERROR(IF(INDEX(ROTACAO_RDM!$D$6:$D$71,MATCH($B22,ROTACAO_RDM!$D$6:$D$71,0)+0)=$B22,INDEX(ROTACAO_RDM!$F$6:$F$71,MATCH($B22,ROTACAO_RDM!$D$6:$D$71,0)+0),""),"")</f>
        <v>ALGODAO</v>
      </c>
      <c r="G22" s="8" t="str">
        <f aca="false">IFERROR(IF(INDEX(ROTACAO_RDM!$D$6:$D$71,MATCH($B22,ROTACAO_RDM!$D$6:$D$71,0)+1)=$B22,INDEX(ROTACAO_RDM!$F$6:$F$71,MATCH($B22,ROTACAO_RDM!$D$6:$D$71,0)+1),""),"")</f>
        <v>ALGODAO</v>
      </c>
      <c r="H22" s="8" t="str">
        <f aca="false">IFERROR(IF(INDEX(ROTACAO_RDM!$D$6:$D$71,MATCH($B22,ROTACAO_RDM!$D$6:$D$71,0)+2)=$B22,INDEX(ROTACAO_RDM!$F$6:$F$71,MATCH($B22,ROTACAO_RDM!$D$6:$D$71,0)+2),""),"")</f>
        <v/>
      </c>
      <c r="I22" s="16" t="n">
        <f aca="false">COUNTIFS(PLANEJAMENTO_SEMANAL!$E$6:$E$2381,$B22,PLANEJAMENTO_SEMANAL!$K$6:$K$2381,"&lt;&gt;SEM CULTURA")</f>
        <v>30</v>
      </c>
      <c r="J22" s="18" t="n">
        <f aca="false">IFERROR(SUMIF(PLANEJAMENTO_SEMANAL!$E$6:$E$2381,$B22,PLANEJAMENTO_SEMANAL!$AG$6:$AG$2381)/$E22,0)</f>
        <v>806.64979456231</v>
      </c>
      <c r="K22" s="18" t="n">
        <f aca="false">IFERROR(SUMIF(PLANEJAMENTO_SEMANAL!$E$6:$E$2381,$B22,PLANEJAMENTO_SEMANAL!$AH$6:$AH$2381)/$E22,0)</f>
        <v>677.368</v>
      </c>
      <c r="L22" s="18" t="n">
        <f aca="false">IFERROR(SUMIF(PLANEJAMENTO_SEMANAL!$E$6:$E$2381,$B22,PLANEJAMENTO_SEMANAL!$AI$6:$AI$2381)/$E22,0)</f>
        <v>318.3785460416</v>
      </c>
      <c r="M22" s="18" t="n">
        <f aca="false">SUMIF(PLANEJAMENTO_SEMANAL!$E$6:$E$2381,$B22,PLANEJAMENTO_SEMANAL!$Y$6:$Y$2381)</f>
        <v>374.562995343059</v>
      </c>
      <c r="N22" s="16" t="n">
        <f aca="false">SUMIF(PLANEJAMENTO_SEMANAL!$E$6:$E$2381,$B22,PLANEJAMENTO_SEMANAL!$Z$6:$Z$2381)</f>
        <v>560158.959535545</v>
      </c>
      <c r="O22" s="18" t="n">
        <f aca="false">IFERROR(INDEX(CADASTRO_PIVOS!$I$6:$I$41,MATCH($B22,CADASTRO_PIVOS!$B$6:$B$41,0)),0)</f>
        <v>1068.21428571429</v>
      </c>
      <c r="P22" s="18" t="n">
        <f aca="false">SUMIF(PLANEJAMENTO_SEMANAL!$E$6:$E$2381,$B22,PLANEJAMENTO_SEMANAL!$AB$6:$AB$2381)</f>
        <v>524.388193480283</v>
      </c>
      <c r="Q22" s="19" t="n">
        <f aca="false">IFERROR(_xlfn.MAXIFS(PLANEJAMENTO_SEMANAL!$AD$6:$AD$2381,PLANEJAMENTO_SEMANAL!$E$6:$E$2381,$B22),0)</f>
        <v>0.29030467571644</v>
      </c>
      <c r="R22" s="16" t="n">
        <f aca="false">IFERROR(INDEX(PLANEJAMENTO_SEMANAL!$B$6:$B$2381,MATCH($B22&amp;"|"&amp;TEXT($Q22,"0.000000"),PLANEJAMENTO_SEMANAL!$AK$6:$AK$2381,0)),"-")</f>
        <v>36</v>
      </c>
      <c r="S22" s="8" t="str">
        <f aca="false">IF($Q22&gt;LIMITE_CRITICO,"INVIAVEL em 21 h/dia",IF($Q22&gt;LIMITE_ATENCAO,"CRITICO",IF($Q22&gt;LIMITE_CONFORTAVEL,"ATENCAO","OK")))</f>
        <v>OK</v>
      </c>
    </row>
    <row r="23" customFormat="false" ht="15" hidden="false" customHeight="false" outlineLevel="0" collapsed="false">
      <c r="B23" s="15" t="s">
        <v>276</v>
      </c>
      <c r="C23" s="8" t="str">
        <f aca="false">IFERROR(INDEX(CADASTRO_PIVOS!$C$6:$C$41,MATCH($B23,CADASTRO_PIVOS!$B$6:$B$41,0)),"?")</f>
        <v>RM06</v>
      </c>
      <c r="D23" s="8" t="str">
        <f aca="false">IFERROR(INDEX(CADASTRO_PIVOS!$D$6:$D$41,MATCH($B23,CADASTRO_PIVOS!$B$6:$B$41,0)),"?")</f>
        <v>TR06</v>
      </c>
      <c r="E23" s="20" t="n">
        <f aca="false">IFERROR(INDEX(CADASTRO_PIVOS!$E$6:$E$41,MATCH($B23,CADASTRO_PIVOS!$B$6:$B$41,0)),0)</f>
        <v>149.94</v>
      </c>
      <c r="F23" s="8" t="str">
        <f aca="false">IFERROR(IF(INDEX(ROTACAO_RDM!$D$6:$D$71,MATCH($B23,ROTACAO_RDM!$D$6:$D$71,0)+0)=$B23,INDEX(ROTACAO_RDM!$F$6:$F$71,MATCH($B23,ROTACAO_RDM!$D$6:$D$71,0)+0),""),"")</f>
        <v>ALGODAO</v>
      </c>
      <c r="G23" s="8" t="str">
        <f aca="false">IFERROR(IF(INDEX(ROTACAO_RDM!$D$6:$D$71,MATCH($B23,ROTACAO_RDM!$D$6:$D$71,0)+1)=$B23,INDEX(ROTACAO_RDM!$F$6:$F$71,MATCH($B23,ROTACAO_RDM!$D$6:$D$71,0)+1),""),"")</f>
        <v>ALGODAO</v>
      </c>
      <c r="H23" s="8" t="str">
        <f aca="false">IFERROR(IF(INDEX(ROTACAO_RDM!$D$6:$D$71,MATCH($B23,ROTACAO_RDM!$D$6:$D$71,0)+2)=$B23,INDEX(ROTACAO_RDM!$F$6:$F$71,MATCH($B23,ROTACAO_RDM!$D$6:$D$71,0)+2),""),"")</f>
        <v/>
      </c>
      <c r="I23" s="16" t="n">
        <f aca="false">COUNTIFS(PLANEJAMENTO_SEMANAL!$E$6:$E$2381,$B23,PLANEJAMENTO_SEMANAL!$K$6:$K$2381,"&lt;&gt;SEM CULTURA")</f>
        <v>29</v>
      </c>
      <c r="J23" s="18" t="n">
        <f aca="false">IFERROR(SUMIF(PLANEJAMENTO_SEMANAL!$E$6:$E$2381,$B23,PLANEJAMENTO_SEMANAL!$AG$6:$AG$2381)/$E23,0)</f>
        <v>777.841652578191</v>
      </c>
      <c r="K23" s="18" t="n">
        <f aca="false">IFERROR(SUMIF(PLANEJAMENTO_SEMANAL!$E$6:$E$2381,$B23,PLANEJAMENTO_SEMANAL!$AH$6:$AH$2381)/$E23,0)</f>
        <v>671.768</v>
      </c>
      <c r="L23" s="18" t="n">
        <f aca="false">IFERROR(SUMIF(PLANEJAMENTO_SEMANAL!$E$6:$E$2381,$B23,PLANEJAMENTO_SEMANAL!$AI$6:$AI$2381)/$E23,0)</f>
        <v>298.334112144266</v>
      </c>
      <c r="M23" s="18" t="n">
        <f aca="false">SUMIF(PLANEJAMENTO_SEMANAL!$E$6:$E$2381,$B23,PLANEJAMENTO_SEMANAL!$Y$6:$Y$2381)</f>
        <v>350.981308405019</v>
      </c>
      <c r="N23" s="16" t="n">
        <f aca="false">SUMIF(PLANEJAMENTO_SEMANAL!$E$6:$E$2381,$B23,PLANEJAMENTO_SEMANAL!$Z$6:$Z$2381)</f>
        <v>526261.373822485</v>
      </c>
      <c r="O23" s="18" t="n">
        <f aca="false">IFERROR(INDEX(CADASTRO_PIVOS!$I$6:$I$41,MATCH($B23,CADASTRO_PIVOS!$B$6:$B$41,0)),0)</f>
        <v>1071</v>
      </c>
      <c r="P23" s="18" t="n">
        <f aca="false">SUMIF(PLANEJAMENTO_SEMANAL!$E$6:$E$2381,$B23,PLANEJAMENTO_SEMANAL!$AB$6:$AB$2381)</f>
        <v>491.373831767026</v>
      </c>
      <c r="Q23" s="19" t="n">
        <f aca="false">IFERROR(_xlfn.MAXIFS(PLANEJAMENTO_SEMANAL!$AD$6:$AD$2381,PLANEJAMENTO_SEMANAL!$E$6:$E$2381,$B23),0)</f>
        <v>0.293622926093514</v>
      </c>
      <c r="R23" s="16" t="n">
        <f aca="false">IFERROR(INDEX(PLANEJAMENTO_SEMANAL!$B$6:$B$2381,MATCH($B23&amp;"|"&amp;TEXT($Q23,"0.000000"),PLANEJAMENTO_SEMANAL!$AK$6:$AK$2381,0)),"-")</f>
        <v>36</v>
      </c>
      <c r="S23" s="8" t="str">
        <f aca="false">IF($Q23&gt;LIMITE_CRITICO,"INVIAVEL em 21 h/dia",IF($Q23&gt;LIMITE_ATENCAO,"CRITICO",IF($Q23&gt;LIMITE_CONFORTAVEL,"ATENCAO","OK")))</f>
        <v>OK</v>
      </c>
    </row>
    <row r="24" customFormat="false" ht="15" hidden="false" customHeight="false" outlineLevel="0" collapsed="false">
      <c r="B24" s="15" t="s">
        <v>277</v>
      </c>
      <c r="C24" s="8" t="str">
        <f aca="false">IFERROR(INDEX(CADASTRO_PIVOS!$C$6:$C$41,MATCH($B24,CADASTRO_PIVOS!$B$6:$B$41,0)),"?")</f>
        <v>RM06</v>
      </c>
      <c r="D24" s="8" t="str">
        <f aca="false">IFERROR(INDEX(CADASTRO_PIVOS!$D$6:$D$41,MATCH($B24,CADASTRO_PIVOS!$B$6:$B$41,0)),"?")</f>
        <v>TR06</v>
      </c>
      <c r="E24" s="20" t="n">
        <f aca="false">IFERROR(INDEX(CADASTRO_PIVOS!$E$6:$E$41,MATCH($B24,CADASTRO_PIVOS!$B$6:$B$41,0)),0)</f>
        <v>146.49</v>
      </c>
      <c r="F24" s="8" t="str">
        <f aca="false">IFERROR(IF(INDEX(ROTACAO_RDM!$D$6:$D$71,MATCH($B24,ROTACAO_RDM!$D$6:$D$71,0)+0)=$B24,INDEX(ROTACAO_RDM!$F$6:$F$71,MATCH($B24,ROTACAO_RDM!$D$6:$D$71,0)+0),""),"")</f>
        <v>TABACO</v>
      </c>
      <c r="G24" s="8" t="str">
        <f aca="false">IFERROR(IF(INDEX(ROTACAO_RDM!$D$6:$D$71,MATCH($B24,ROTACAO_RDM!$D$6:$D$71,0)+1)=$B24,INDEX(ROTACAO_RDM!$F$6:$F$71,MATCH($B24,ROTACAO_RDM!$D$6:$D$71,0)+1),""),"")</f>
        <v>MILHO_GRAO</v>
      </c>
      <c r="H24" s="8" t="str">
        <f aca="false">IFERROR(IF(INDEX(ROTACAO_RDM!$D$6:$D$71,MATCH($B24,ROTACAO_RDM!$D$6:$D$71,0)+2)=$B24,INDEX(ROTACAO_RDM!$F$6:$F$71,MATCH($B24,ROTACAO_RDM!$D$6:$D$71,0)+2),""),"")</f>
        <v/>
      </c>
      <c r="I24" s="16" t="n">
        <f aca="false">COUNTIFS(PLANEJAMENTO_SEMANAL!$E$6:$E$2381,$B24,PLANEJAMENTO_SEMANAL!$K$6:$K$2381,"&lt;&gt;SEM CULTURA")</f>
        <v>46</v>
      </c>
      <c r="J24" s="18" t="n">
        <f aca="false">IFERROR(SUMIF(PLANEJAMENTO_SEMANAL!$E$6:$E$2381,$B24,PLANEJAMENTO_SEMANAL!$AG$6:$AG$2381)/$E24,0)</f>
        <v>1311.74695892857</v>
      </c>
      <c r="K24" s="18" t="n">
        <f aca="false">IFERROR(SUMIF(PLANEJAMENTO_SEMANAL!$E$6:$E$2381,$B24,PLANEJAMENTO_SEMANAL!$AH$6:$AH$2381)/$E24,0)</f>
        <v>751.104</v>
      </c>
      <c r="L24" s="18" t="n">
        <f aca="false">IFERROR(SUMIF(PLANEJAMENTO_SEMANAL!$E$6:$E$2381,$B24,PLANEJAMENTO_SEMANAL!$AI$6:$AI$2381)/$E24,0)</f>
        <v>746.16784781746</v>
      </c>
      <c r="M24" s="18" t="n">
        <f aca="false">SUMIF(PLANEJAMENTO_SEMANAL!$E$6:$E$2381,$B24,PLANEJAMENTO_SEMANAL!$Y$6:$Y$2381)</f>
        <v>877.844526844071</v>
      </c>
      <c r="N24" s="16" t="n">
        <f aca="false">SUMIF(PLANEJAMENTO_SEMANAL!$E$6:$E$2381,$B24,PLANEJAMENTO_SEMANAL!$Z$6:$Z$2381)</f>
        <v>1285954.44737388</v>
      </c>
      <c r="O24" s="18" t="n">
        <f aca="false">IFERROR(INDEX(CADASTRO_PIVOS!$I$6:$I$41,MATCH($B24,CADASTRO_PIVOS!$B$6:$B$41,0)),0)</f>
        <v>906.842857142857</v>
      </c>
      <c r="P24" s="18" t="n">
        <f aca="false">SUMIF(PLANEJAMENTO_SEMANAL!$E$6:$E$2381,$B24,PLANEJAMENTO_SEMANAL!$AB$6:$AB$2381)</f>
        <v>1418.0565433635</v>
      </c>
      <c r="Q24" s="19" t="n">
        <f aca="false">IFERROR(_xlfn.MAXIFS(PLANEJAMENTO_SEMANAL!$AD$6:$AD$2381,PLANEJAMENTO_SEMANAL!$E$6:$E$2381,$B24),0)</f>
        <v>0.557466063348416</v>
      </c>
      <c r="R24" s="16" t="n">
        <f aca="false">IFERROR(INDEX(PLANEJAMENTO_SEMANAL!$B$6:$B$2381,MATCH($B24&amp;"|"&amp;TEXT($Q24,"0.000000"),PLANEJAMENTO_SEMANAL!$AK$6:$AK$2381,0)),"-")</f>
        <v>54</v>
      </c>
      <c r="S24" s="8" t="str">
        <f aca="false">IF($Q24&gt;LIMITE_CRITICO,"INVIAVEL em 21 h/dia",IF($Q24&gt;LIMITE_ATENCAO,"CRITICO",IF($Q24&gt;LIMITE_CONFORTAVEL,"ATENCAO","OK")))</f>
        <v>OK</v>
      </c>
    </row>
    <row r="25" customFormat="false" ht="15" hidden="false" customHeight="false" outlineLevel="0" collapsed="false">
      <c r="B25" s="15" t="s">
        <v>278</v>
      </c>
      <c r="C25" s="8" t="str">
        <f aca="false">IFERROR(INDEX(CADASTRO_PIVOS!$C$6:$C$41,MATCH($B25,CADASTRO_PIVOS!$B$6:$B$41,0)),"?")</f>
        <v>RM06</v>
      </c>
      <c r="D25" s="8" t="str">
        <f aca="false">IFERROR(INDEX(CADASTRO_PIVOS!$D$6:$D$41,MATCH($B25,CADASTRO_PIVOS!$B$6:$B$41,0)),"?")</f>
        <v>TR06</v>
      </c>
      <c r="E25" s="20" t="n">
        <f aca="false">IFERROR(INDEX(CADASTRO_PIVOS!$E$6:$E$41,MATCH($B25,CADASTRO_PIVOS!$B$6:$B$41,0)),0)</f>
        <v>149.94</v>
      </c>
      <c r="F25" s="8" t="str">
        <f aca="false">IFERROR(IF(INDEX(ROTACAO_RDM!$D$6:$D$71,MATCH($B25,ROTACAO_RDM!$D$6:$D$71,0)+0)=$B25,INDEX(ROTACAO_RDM!$F$6:$F$71,MATCH($B25,ROTACAO_RDM!$D$6:$D$71,0)+0),""),"")</f>
        <v>TABACO</v>
      </c>
      <c r="G25" s="8" t="str">
        <f aca="false">IFERROR(IF(INDEX(ROTACAO_RDM!$D$6:$D$71,MATCH($B25,ROTACAO_RDM!$D$6:$D$71,0)+1)=$B25,INDEX(ROTACAO_RDM!$F$6:$F$71,MATCH($B25,ROTACAO_RDM!$D$6:$D$71,0)+1),""),"")</f>
        <v>MILHO_GRAO</v>
      </c>
      <c r="H25" s="8" t="str">
        <f aca="false">IFERROR(IF(INDEX(ROTACAO_RDM!$D$6:$D$71,MATCH($B25,ROTACAO_RDM!$D$6:$D$71,0)+2)=$B25,INDEX(ROTACAO_RDM!$F$6:$F$71,MATCH($B25,ROTACAO_RDM!$D$6:$D$71,0)+2),""),"")</f>
        <v/>
      </c>
      <c r="I25" s="16" t="n">
        <f aca="false">COUNTIFS(PLANEJAMENTO_SEMANAL!$E$6:$E$2381,$B25,PLANEJAMENTO_SEMANAL!$K$6:$K$2381,"&lt;&gt;SEM CULTURA")</f>
        <v>46</v>
      </c>
      <c r="J25" s="18" t="n">
        <f aca="false">IFERROR(SUMIF(PLANEJAMENTO_SEMANAL!$E$6:$E$2381,$B25,PLANEJAMENTO_SEMANAL!$AG$6:$AG$2381)/$E25,0)</f>
        <v>1309.21813313492</v>
      </c>
      <c r="K25" s="18" t="n">
        <f aca="false">IFERROR(SUMIF(PLANEJAMENTO_SEMANAL!$E$6:$E$2381,$B25,PLANEJAMENTO_SEMANAL!$AH$6:$AH$2381)/$E25,0)</f>
        <v>789.104</v>
      </c>
      <c r="L25" s="18" t="n">
        <f aca="false">IFERROR(SUMIF(PLANEJAMENTO_SEMANAL!$E$6:$E$2381,$B25,PLANEJAMENTO_SEMANAL!$AI$6:$AI$2381)/$E25,0)</f>
        <v>733.018549801587</v>
      </c>
      <c r="M25" s="18" t="n">
        <f aca="false">SUMIF(PLANEJAMENTO_SEMANAL!$E$6:$E$2381,$B25,PLANEJAMENTO_SEMANAL!$Y$6:$Y$2381)</f>
        <v>862.374764472456</v>
      </c>
      <c r="N25" s="16" t="n">
        <f aca="false">SUMIF(PLANEJAMENTO_SEMANAL!$E$6:$E$2381,$B25,PLANEJAMENTO_SEMANAL!$Z$6:$Z$2381)</f>
        <v>1293044.72185</v>
      </c>
      <c r="O25" s="18" t="n">
        <f aca="false">IFERROR(INDEX(CADASTRO_PIVOS!$I$6:$I$41,MATCH($B25,CADASTRO_PIVOS!$B$6:$B$41,0)),0)</f>
        <v>1071</v>
      </c>
      <c r="P25" s="18" t="n">
        <f aca="false">SUMIF(PLANEJAMENTO_SEMANAL!$E$6:$E$2381,$B25,PLANEJAMENTO_SEMANAL!$AB$6:$AB$2381)</f>
        <v>1207.32467026144</v>
      </c>
      <c r="Q25" s="19" t="n">
        <f aca="false">IFERROR(_xlfn.MAXIFS(PLANEJAMENTO_SEMANAL!$AD$6:$AD$2381,PLANEJAMENTO_SEMANAL!$E$6:$E$2381,$B25),0)</f>
        <v>0.483137254901961</v>
      </c>
      <c r="R25" s="16" t="n">
        <f aca="false">IFERROR(INDEX(PLANEJAMENTO_SEMANAL!$B$6:$B$2381,MATCH($B25&amp;"|"&amp;TEXT($Q25,"0.000000"),PLANEJAMENTO_SEMANAL!$AK$6:$AK$2381,0)),"-")</f>
        <v>54</v>
      </c>
      <c r="S25" s="8" t="str">
        <f aca="false">IF($Q25&gt;LIMITE_CRITICO,"INVIAVEL em 21 h/dia",IF($Q25&gt;LIMITE_ATENCAO,"CRITICO",IF($Q25&gt;LIMITE_CONFORTAVEL,"ATENCAO","OK")))</f>
        <v>OK</v>
      </c>
    </row>
    <row r="26" customFormat="false" ht="15" hidden="false" customHeight="false" outlineLevel="0" collapsed="false">
      <c r="B26" s="15" t="s">
        <v>279</v>
      </c>
      <c r="C26" s="8" t="str">
        <f aca="false">IFERROR(INDEX(CADASTRO_PIVOS!$C$6:$C$41,MATCH($B26,CADASTRO_PIVOS!$B$6:$B$41,0)),"?")</f>
        <v>RM06</v>
      </c>
      <c r="D26" s="8" t="str">
        <f aca="false">IFERROR(INDEX(CADASTRO_PIVOS!$D$6:$D$41,MATCH($B26,CADASTRO_PIVOS!$B$6:$B$41,0)),"?")</f>
        <v>TR06</v>
      </c>
      <c r="E26" s="20" t="n">
        <f aca="false">IFERROR(INDEX(CADASTRO_PIVOS!$E$6:$E$41,MATCH($B26,CADASTRO_PIVOS!$B$6:$B$41,0)),0)</f>
        <v>139.94</v>
      </c>
      <c r="F26" s="8" t="str">
        <f aca="false">IFERROR(IF(INDEX(ROTACAO_RDM!$D$6:$D$71,MATCH($B26,ROTACAO_RDM!$D$6:$D$71,0)+0)=$B26,INDEX(ROTACAO_RDM!$F$6:$F$71,MATCH($B26,ROTACAO_RDM!$D$6:$D$71,0)+0),""),"")</f>
        <v>TABACO</v>
      </c>
      <c r="G26" s="8" t="str">
        <f aca="false">IFERROR(IF(INDEX(ROTACAO_RDM!$D$6:$D$71,MATCH($B26,ROTACAO_RDM!$D$6:$D$71,0)+1)=$B26,INDEX(ROTACAO_RDM!$F$6:$F$71,MATCH($B26,ROTACAO_RDM!$D$6:$D$71,0)+1),""),"")</f>
        <v>MILHO_GRAO</v>
      </c>
      <c r="H26" s="8" t="str">
        <f aca="false">IFERROR(IF(INDEX(ROTACAO_RDM!$D$6:$D$71,MATCH($B26,ROTACAO_RDM!$D$6:$D$71,0)+2)=$B26,INDEX(ROTACAO_RDM!$F$6:$F$71,MATCH($B26,ROTACAO_RDM!$D$6:$D$71,0)+2),""),"")</f>
        <v/>
      </c>
      <c r="I26" s="16" t="n">
        <f aca="false">COUNTIFS(PLANEJAMENTO_SEMANAL!$E$6:$E$2381,$B26,PLANEJAMENTO_SEMANAL!$K$6:$K$2381,"&lt;&gt;SEM CULTURA")</f>
        <v>46</v>
      </c>
      <c r="J26" s="18" t="n">
        <f aca="false">IFERROR(SUMIF(PLANEJAMENTO_SEMANAL!$E$6:$E$2381,$B26,PLANEJAMENTO_SEMANAL!$AG$6:$AG$2381)/$E26,0)</f>
        <v>1283.38362718254</v>
      </c>
      <c r="K26" s="18" t="n">
        <f aca="false">IFERROR(SUMIF(PLANEJAMENTO_SEMANAL!$E$6:$E$2381,$B26,PLANEJAMENTO_SEMANAL!$AH$6:$AH$2381)/$E26,0)</f>
        <v>814.16</v>
      </c>
      <c r="L26" s="18" t="n">
        <f aca="false">IFERROR(SUMIF(PLANEJAMENTO_SEMANAL!$E$6:$E$2381,$B26,PLANEJAMENTO_SEMANAL!$AI$6:$AI$2381)/$E26,0)</f>
        <v>669.752641071429</v>
      </c>
      <c r="M26" s="18" t="n">
        <f aca="false">SUMIF(PLANEJAMENTO_SEMANAL!$E$6:$E$2381,$B26,PLANEJAMENTO_SEMANAL!$Y$6:$Y$2381)</f>
        <v>787.944283613445</v>
      </c>
      <c r="N26" s="16" t="n">
        <f aca="false">SUMIF(PLANEJAMENTO_SEMANAL!$E$6:$E$2381,$B26,PLANEJAMENTO_SEMANAL!$Z$6:$Z$2381)</f>
        <v>1102649.23048866</v>
      </c>
      <c r="O26" s="18" t="n">
        <f aca="false">IFERROR(INDEX(CADASTRO_PIVOS!$I$6:$I$41,MATCH($B26,CADASTRO_PIVOS!$B$6:$B$41,0)),0)</f>
        <v>932.933333333333</v>
      </c>
      <c r="P26" s="18" t="n">
        <f aca="false">SUMIF(PLANEJAMENTO_SEMANAL!$E$6:$E$2381,$B26,PLANEJAMENTO_SEMANAL!$AB$6:$AB$2381)</f>
        <v>1181.91642542017</v>
      </c>
      <c r="Q26" s="19" t="n">
        <f aca="false">IFERROR(_xlfn.MAXIFS(PLANEJAMENTO_SEMANAL!$AD$6:$AD$2381,PLANEJAMENTO_SEMANAL!$E$6:$E$2381,$B26),0)</f>
        <v>0.516494597839136</v>
      </c>
      <c r="R26" s="16" t="n">
        <f aca="false">IFERROR(INDEX(PLANEJAMENTO_SEMANAL!$B$6:$B$2381,MATCH($B26&amp;"|"&amp;TEXT($Q26,"0.000000"),PLANEJAMENTO_SEMANAL!$AK$6:$AK$2381,0)),"-")</f>
        <v>53</v>
      </c>
      <c r="S26" s="8" t="str">
        <f aca="false">IF($Q26&gt;LIMITE_CRITICO,"INVIAVEL em 21 h/dia",IF($Q26&gt;LIMITE_ATENCAO,"CRITICO",IF($Q26&gt;LIMITE_CONFORTAVEL,"ATENCAO","OK")))</f>
        <v>OK</v>
      </c>
    </row>
    <row r="27" customFormat="false" ht="15" hidden="false" customHeight="false" outlineLevel="0" collapsed="false">
      <c r="B27" s="15" t="s">
        <v>280</v>
      </c>
      <c r="C27" s="8" t="str">
        <f aca="false">IFERROR(INDEX(CADASTRO_PIVOS!$C$6:$C$41,MATCH($B27,CADASTRO_PIVOS!$B$6:$B$41,0)),"?")</f>
        <v>RM06</v>
      </c>
      <c r="D27" s="8" t="str">
        <f aca="false">IFERROR(INDEX(CADASTRO_PIVOS!$D$6:$D$41,MATCH($B27,CADASTRO_PIVOS!$B$6:$B$41,0)),"?")</f>
        <v>TR06</v>
      </c>
      <c r="E27" s="20" t="n">
        <f aca="false">IFERROR(INDEX(CADASTRO_PIVOS!$E$6:$E$41,MATCH($B27,CADASTRO_PIVOS!$B$6:$B$41,0)),0)</f>
        <v>99.48</v>
      </c>
      <c r="F27" s="8" t="str">
        <f aca="false">IFERROR(IF(INDEX(ROTACAO_RDM!$D$6:$D$71,MATCH($B27,ROTACAO_RDM!$D$6:$D$71,0)+0)=$B27,INDEX(ROTACAO_RDM!$F$6:$F$71,MATCH($B27,ROTACAO_RDM!$D$6:$D$71,0)+0),""),"")</f>
        <v>SOJA</v>
      </c>
      <c r="G27" s="8" t="str">
        <f aca="false">IFERROR(IF(INDEX(ROTACAO_RDM!$D$6:$D$71,MATCH($B27,ROTACAO_RDM!$D$6:$D$71,0)+1)=$B27,INDEX(ROTACAO_RDM!$F$6:$F$71,MATCH($B27,ROTACAO_RDM!$D$6:$D$71,0)+1),""),"")</f>
        <v>ALGODAO</v>
      </c>
      <c r="H27" s="8" t="str">
        <f aca="false">IFERROR(IF(INDEX(ROTACAO_RDM!$D$6:$D$71,MATCH($B27,ROTACAO_RDM!$D$6:$D$71,0)+2)=$B27,INDEX(ROTACAO_RDM!$F$6:$F$71,MATCH($B27,ROTACAO_RDM!$D$6:$D$71,0)+2),""),"")</f>
        <v/>
      </c>
      <c r="I27" s="16" t="n">
        <f aca="false">COUNTIFS(PLANEJAMENTO_SEMANAL!$E$6:$E$2381,$B27,PLANEJAMENTO_SEMANAL!$K$6:$K$2381,"&lt;&gt;SEM CULTURA")</f>
        <v>43</v>
      </c>
      <c r="J27" s="18" t="n">
        <f aca="false">IFERROR(SUMIF(PLANEJAMENTO_SEMANAL!$E$6:$E$2381,$B27,PLANEJAMENTO_SEMANAL!$AG$6:$AG$2381)/$E27,0)</f>
        <v>1159.41195023541</v>
      </c>
      <c r="K27" s="18" t="n">
        <f aca="false">IFERROR(SUMIF(PLANEJAMENTO_SEMANAL!$E$6:$E$2381,$B27,PLANEJAMENTO_SEMANAL!$AH$6:$AH$2381)/$E27,0)</f>
        <v>889.32</v>
      </c>
      <c r="L27" s="18" t="n">
        <f aca="false">IFERROR(SUMIF(PLANEJAMENTO_SEMANAL!$E$6:$E$2381,$B27,PLANEJAMENTO_SEMANAL!$AI$6:$AI$2381)/$E27,0)</f>
        <v>483.218805060433</v>
      </c>
      <c r="M27" s="18" t="n">
        <f aca="false">SUMIF(PLANEJAMENTO_SEMANAL!$E$6:$E$2381,$B27,PLANEJAMENTO_SEMANAL!$Y$6:$Y$2381)</f>
        <v>568.492711835803</v>
      </c>
      <c r="N27" s="16" t="n">
        <f aca="false">SUMIF(PLANEJAMENTO_SEMANAL!$E$6:$E$2381,$B27,PLANEJAMENTO_SEMANAL!$Z$6:$Z$2381)</f>
        <v>565536.549734257</v>
      </c>
      <c r="O27" s="18" t="n">
        <f aca="false">IFERROR(INDEX(CADASTRO_PIVOS!$I$6:$I$41,MATCH($B27,CADASTRO_PIVOS!$B$6:$B$41,0)),0)</f>
        <v>710.571428571429</v>
      </c>
      <c r="P27" s="18" t="n">
        <f aca="false">SUMIF(PLANEJAMENTO_SEMANAL!$E$6:$E$2381,$B27,PLANEJAMENTO_SEMANAL!$AB$6:$AB$2381)</f>
        <v>795.889796570125</v>
      </c>
      <c r="Q27" s="19" t="n">
        <f aca="false">IFERROR(_xlfn.MAXIFS(PLANEJAMENTO_SEMANAL!$AD$6:$AD$2381,PLANEJAMENTO_SEMANAL!$E$6:$E$2381,$B27),0)</f>
        <v>0.350117647058824</v>
      </c>
      <c r="R27" s="16" t="n">
        <f aca="false">IFERROR(INDEX(PLANEJAMENTO_SEMANAL!$B$6:$B$2381,MATCH($B27&amp;"|"&amp;TEXT($Q27,"0.000000"),PLANEJAMENTO_SEMANAL!$AK$6:$AK$2381,0)),"-")</f>
        <v>41</v>
      </c>
      <c r="S27" s="8" t="str">
        <f aca="false">IF($Q27&gt;LIMITE_CRITICO,"INVIAVEL em 21 h/dia",IF($Q27&gt;LIMITE_ATENCAO,"CRITICO",IF($Q27&gt;LIMITE_CONFORTAVEL,"ATENCAO","OK")))</f>
        <v>OK</v>
      </c>
    </row>
    <row r="28" customFormat="false" ht="15" hidden="false" customHeight="false" outlineLevel="0" collapsed="false">
      <c r="B28" s="15" t="s">
        <v>281</v>
      </c>
      <c r="C28" s="8" t="str">
        <f aca="false">IFERROR(INDEX(CADASTRO_PIVOS!$C$6:$C$41,MATCH($B28,CADASTRO_PIVOS!$B$6:$B$41,0)),"?")</f>
        <v>RM06</v>
      </c>
      <c r="D28" s="8" t="str">
        <f aca="false">IFERROR(INDEX(CADASTRO_PIVOS!$D$6:$D$41,MATCH($B28,CADASTRO_PIVOS!$B$6:$B$41,0)),"?")</f>
        <v>TR06</v>
      </c>
      <c r="E28" s="20" t="n">
        <f aca="false">IFERROR(INDEX(CADASTRO_PIVOS!$E$6:$E$41,MATCH($B28,CADASTRO_PIVOS!$B$6:$B$41,0)),0)</f>
        <v>149.94</v>
      </c>
      <c r="F28" s="8" t="str">
        <f aca="false">IFERROR(IF(INDEX(ROTACAO_RDM!$D$6:$D$71,MATCH($B28,ROTACAO_RDM!$D$6:$D$71,0)+0)=$B28,INDEX(ROTACAO_RDM!$F$6:$F$71,MATCH($B28,ROTACAO_RDM!$D$6:$D$71,0)+0),""),"")</f>
        <v>MILHO_SEMENTE</v>
      </c>
      <c r="G28" s="8" t="str">
        <f aca="false">IFERROR(IF(INDEX(ROTACAO_RDM!$D$6:$D$71,MATCH($B28,ROTACAO_RDM!$D$6:$D$71,0)+1)=$B28,INDEX(ROTACAO_RDM!$F$6:$F$71,MATCH($B28,ROTACAO_RDM!$D$6:$D$71,0)+1),""),"")</f>
        <v>ALGODAO</v>
      </c>
      <c r="H28" s="8" t="str">
        <f aca="false">IFERROR(IF(INDEX(ROTACAO_RDM!$D$6:$D$71,MATCH($B28,ROTACAO_RDM!$D$6:$D$71,0)+2)=$B28,INDEX(ROTACAO_RDM!$F$6:$F$71,MATCH($B28,ROTACAO_RDM!$D$6:$D$71,0)+2),""),"")</f>
        <v/>
      </c>
      <c r="I28" s="16" t="n">
        <f aca="false">COUNTIFS(PLANEJAMENTO_SEMANAL!$E$6:$E$2381,$B28,PLANEJAMENTO_SEMANAL!$K$6:$K$2381,"&lt;&gt;SEM CULTURA")</f>
        <v>39</v>
      </c>
      <c r="J28" s="18" t="n">
        <f aca="false">IFERROR(SUMIF(PLANEJAMENTO_SEMANAL!$E$6:$E$2381,$B28,PLANEJAMENTO_SEMANAL!$AG$6:$AG$2381)/$E28,0)</f>
        <v>1148.38357594417</v>
      </c>
      <c r="K28" s="18" t="n">
        <f aca="false">IFERROR(SUMIF(PLANEJAMENTO_SEMANAL!$E$6:$E$2381,$B28,PLANEJAMENTO_SEMANAL!$AH$6:$AH$2381)/$E28,0)</f>
        <v>794.184</v>
      </c>
      <c r="L28" s="18" t="n">
        <f aca="false">IFERROR(SUMIF(PLANEJAMENTO_SEMANAL!$E$6:$E$2381,$B28,PLANEJAMENTO_SEMANAL!$AI$6:$AI$2381)/$E28,0)</f>
        <v>553.541687055282</v>
      </c>
      <c r="M28" s="18" t="n">
        <f aca="false">SUMIF(PLANEJAMENTO_SEMANAL!$E$6:$E$2381,$B28,PLANEJAMENTO_SEMANAL!$Y$6:$Y$2381)</f>
        <v>651.225514182685</v>
      </c>
      <c r="N28" s="16" t="n">
        <f aca="false">SUMIF(PLANEJAMENTO_SEMANAL!$E$6:$E$2381,$B28,PLANEJAMENTO_SEMANAL!$Z$6:$Z$2381)</f>
        <v>976447.535965517</v>
      </c>
      <c r="O28" s="18" t="n">
        <f aca="false">IFERROR(INDEX(CADASTRO_PIVOS!$I$6:$I$41,MATCH($B28,CADASTRO_PIVOS!$B$6:$B$41,0)),0)</f>
        <v>1071</v>
      </c>
      <c r="P28" s="18" t="n">
        <f aca="false">SUMIF(PLANEJAMENTO_SEMANAL!$E$6:$E$2381,$B28,PLANEJAMENTO_SEMANAL!$AB$6:$AB$2381)</f>
        <v>911.715719855758</v>
      </c>
      <c r="Q28" s="19" t="n">
        <f aca="false">IFERROR(_xlfn.MAXIFS(PLANEJAMENTO_SEMANAL!$AD$6:$AD$2381,PLANEJAMENTO_SEMANAL!$E$6:$E$2381,$B28),0)</f>
        <v>0.460392156862745</v>
      </c>
      <c r="R28" s="16" t="n">
        <f aca="false">IFERROR(INDEX(PLANEJAMENTO_SEMANAL!$B$6:$B$2381,MATCH($B28&amp;"|"&amp;TEXT($Q28,"0.000000"),PLANEJAMENTO_SEMANAL!$AK$6:$AK$2381,0)),"-")</f>
        <v>2</v>
      </c>
      <c r="S28" s="8" t="str">
        <f aca="false">IF($Q28&gt;LIMITE_CRITICO,"INVIAVEL em 21 h/dia",IF($Q28&gt;LIMITE_ATENCAO,"CRITICO",IF($Q28&gt;LIMITE_CONFORTAVEL,"ATENCAO","OK")))</f>
        <v>OK</v>
      </c>
    </row>
    <row r="29" customFormat="false" ht="15" hidden="false" customHeight="false" outlineLevel="0" collapsed="false">
      <c r="B29" s="15" t="s">
        <v>282</v>
      </c>
      <c r="C29" s="8" t="str">
        <f aca="false">IFERROR(INDEX(CADASTRO_PIVOS!$C$6:$C$41,MATCH($B29,CADASTRO_PIVOS!$B$6:$B$41,0)),"?")</f>
        <v>RM07</v>
      </c>
      <c r="D29" s="8" t="str">
        <f aca="false">IFERROR(INDEX(CADASTRO_PIVOS!$D$6:$D$41,MATCH($B29,CADASTRO_PIVOS!$B$6:$B$41,0)),"?")</f>
        <v>TR07</v>
      </c>
      <c r="E29" s="20" t="n">
        <f aca="false">IFERROR(INDEX(CADASTRO_PIVOS!$E$6:$E$41,MATCH($B29,CADASTRO_PIVOS!$B$6:$B$41,0)),0)</f>
        <v>145.67</v>
      </c>
      <c r="F29" s="8" t="str">
        <f aca="false">IFERROR(IF(INDEX(ROTACAO_RDM!$D$6:$D$71,MATCH($B29,ROTACAO_RDM!$D$6:$D$71,0)+0)=$B29,INDEX(ROTACAO_RDM!$F$6:$F$71,MATCH($B29,ROTACAO_RDM!$D$6:$D$71,0)+0),""),"")</f>
        <v>TABACO</v>
      </c>
      <c r="G29" s="8" t="str">
        <f aca="false">IFERROR(IF(INDEX(ROTACAO_RDM!$D$6:$D$71,MATCH($B29,ROTACAO_RDM!$D$6:$D$71,0)+1)=$B29,INDEX(ROTACAO_RDM!$F$6:$F$71,MATCH($B29,ROTACAO_RDM!$D$6:$D$71,0)+1),""),"")</f>
        <v>MILHO_GRAO</v>
      </c>
      <c r="H29" s="8" t="str">
        <f aca="false">IFERROR(IF(INDEX(ROTACAO_RDM!$D$6:$D$71,MATCH($B29,ROTACAO_RDM!$D$6:$D$71,0)+2)=$B29,INDEX(ROTACAO_RDM!$F$6:$F$71,MATCH($B29,ROTACAO_RDM!$D$6:$D$71,0)+2),""),"")</f>
        <v/>
      </c>
      <c r="I29" s="16" t="n">
        <f aca="false">COUNTIFS(PLANEJAMENTO_SEMANAL!$E$6:$E$2381,$B29,PLANEJAMENTO_SEMANAL!$K$6:$K$2381,"&lt;&gt;SEM CULTURA")</f>
        <v>46</v>
      </c>
      <c r="J29" s="18" t="n">
        <f aca="false">IFERROR(SUMIF(PLANEJAMENTO_SEMANAL!$E$6:$E$2381,$B29,PLANEJAMENTO_SEMANAL!$AG$6:$AG$2381)/$E29,0)</f>
        <v>1296.51558214286</v>
      </c>
      <c r="K29" s="18" t="n">
        <f aca="false">IFERROR(SUMIF(PLANEJAMENTO_SEMANAL!$E$6:$E$2381,$B29,PLANEJAMENTO_SEMANAL!$AH$6:$AH$2381)/$E29,0)</f>
        <v>753.416</v>
      </c>
      <c r="L29" s="18" t="n">
        <f aca="false">IFERROR(SUMIF(PLANEJAMENTO_SEMANAL!$E$6:$E$2381,$B29,PLANEJAMENTO_SEMANAL!$AI$6:$AI$2381)/$E29,0)</f>
        <v>727.183512698413</v>
      </c>
      <c r="M29" s="18" t="n">
        <f aca="false">SUMIF(PLANEJAMENTO_SEMANAL!$E$6:$E$2381,$B29,PLANEJAMENTO_SEMANAL!$Y$6:$Y$2381)</f>
        <v>855.510014939309</v>
      </c>
      <c r="N29" s="16" t="n">
        <f aca="false">SUMIF(PLANEJAMENTO_SEMANAL!$E$6:$E$2381,$B29,PLANEJAMENTO_SEMANAL!$Z$6:$Z$2381)</f>
        <v>1246221.43876209</v>
      </c>
      <c r="O29" s="18" t="n">
        <f aca="false">IFERROR(INDEX(CADASTRO_PIVOS!$I$6:$I$41,MATCH($B29,CADASTRO_PIVOS!$B$6:$B$41,0)),0)</f>
        <v>971.133333333333</v>
      </c>
      <c r="P29" s="18" t="n">
        <f aca="false">SUMIF(PLANEJAMENTO_SEMANAL!$E$6:$E$2381,$B29,PLANEJAMENTO_SEMANAL!$AB$6:$AB$2381)</f>
        <v>1283.26502240896</v>
      </c>
      <c r="Q29" s="19" t="n">
        <f aca="false">IFERROR(_xlfn.MAXIFS(PLANEJAMENTO_SEMANAL!$AD$6:$AD$2381,PLANEJAMENTO_SEMANAL!$E$6:$E$2381,$B29),0)</f>
        <v>0.517647058823529</v>
      </c>
      <c r="R29" s="16" t="n">
        <f aca="false">IFERROR(INDEX(PLANEJAMENTO_SEMANAL!$B$6:$B$2381,MATCH($B29&amp;"|"&amp;TEXT($Q29,"0.000000"),PLANEJAMENTO_SEMANAL!$AK$6:$AK$2381,0)),"-")</f>
        <v>55</v>
      </c>
      <c r="S29" s="8" t="str">
        <f aca="false">IF($Q29&gt;LIMITE_CRITICO,"INVIAVEL em 21 h/dia",IF($Q29&gt;LIMITE_ATENCAO,"CRITICO",IF($Q29&gt;LIMITE_CONFORTAVEL,"ATENCAO","OK")))</f>
        <v>OK</v>
      </c>
    </row>
    <row r="30" customFormat="false" ht="15" hidden="false" customHeight="false" outlineLevel="0" collapsed="false">
      <c r="B30" s="15" t="s">
        <v>283</v>
      </c>
      <c r="C30" s="8" t="str">
        <f aca="false">IFERROR(INDEX(CADASTRO_PIVOS!$C$6:$C$41,MATCH($B30,CADASTRO_PIVOS!$B$6:$B$41,0)),"?")</f>
        <v>RM07</v>
      </c>
      <c r="D30" s="8" t="str">
        <f aca="false">IFERROR(INDEX(CADASTRO_PIVOS!$D$6:$D$41,MATCH($B30,CADASTRO_PIVOS!$B$6:$B$41,0)),"?")</f>
        <v>TR07</v>
      </c>
      <c r="E30" s="20" t="n">
        <f aca="false">IFERROR(INDEX(CADASTRO_PIVOS!$E$6:$E$41,MATCH($B30,CADASTRO_PIVOS!$B$6:$B$41,0)),0)</f>
        <v>146.95</v>
      </c>
      <c r="F30" s="8" t="str">
        <f aca="false">IFERROR(IF(INDEX(ROTACAO_RDM!$D$6:$D$71,MATCH($B30,ROTACAO_RDM!$D$6:$D$71,0)+0)=$B30,INDEX(ROTACAO_RDM!$F$6:$F$71,MATCH($B30,ROTACAO_RDM!$D$6:$D$71,0)+0),""),"")</f>
        <v>SOJA</v>
      </c>
      <c r="G30" s="8" t="str">
        <f aca="false">IFERROR(IF(INDEX(ROTACAO_RDM!$D$6:$D$71,MATCH($B30,ROTACAO_RDM!$D$6:$D$71,0)+1)=$B30,INDEX(ROTACAO_RDM!$F$6:$F$71,MATCH($B30,ROTACAO_RDM!$D$6:$D$71,0)+1),""),"")</f>
        <v>ALGODAO</v>
      </c>
      <c r="H30" s="8" t="str">
        <f aca="false">IFERROR(IF(INDEX(ROTACAO_RDM!$D$6:$D$71,MATCH($B30,ROTACAO_RDM!$D$6:$D$71,0)+2)=$B30,INDEX(ROTACAO_RDM!$F$6:$F$71,MATCH($B30,ROTACAO_RDM!$D$6:$D$71,0)+2),""),"")</f>
        <v/>
      </c>
      <c r="I30" s="16" t="n">
        <f aca="false">COUNTIFS(PLANEJAMENTO_SEMANAL!$E$6:$E$2381,$B30,PLANEJAMENTO_SEMANAL!$K$6:$K$2381,"&lt;&gt;SEM CULTURA")</f>
        <v>44</v>
      </c>
      <c r="J30" s="18" t="n">
        <f aca="false">IFERROR(SUMIF(PLANEJAMENTO_SEMANAL!$E$6:$E$2381,$B30,PLANEJAMENTO_SEMANAL!$AG$6:$AG$2381)/$E30,0)</f>
        <v>1188.22856680269</v>
      </c>
      <c r="K30" s="18" t="n">
        <f aca="false">IFERROR(SUMIF(PLANEJAMENTO_SEMANAL!$E$6:$E$2381,$B30,PLANEJAMENTO_SEMANAL!$AH$6:$AH$2381)/$E30,0)</f>
        <v>890.216</v>
      </c>
      <c r="L30" s="18" t="n">
        <f aca="false">IFERROR(SUMIF(PLANEJAMENTO_SEMANAL!$E$6:$E$2381,$B30,PLANEJAMENTO_SEMANAL!$AI$6:$AI$2381)/$E30,0)</f>
        <v>506.687714163977</v>
      </c>
      <c r="M30" s="18" t="n">
        <f aca="false">SUMIF(PLANEJAMENTO_SEMANAL!$E$6:$E$2381,$B30,PLANEJAMENTO_SEMANAL!$Y$6:$Y$2381)</f>
        <v>596.103193134091</v>
      </c>
      <c r="N30" s="16" t="n">
        <f aca="false">SUMIF(PLANEJAMENTO_SEMANAL!$E$6:$E$2381,$B30,PLANEJAMENTO_SEMANAL!$Z$6:$Z$2381)</f>
        <v>875973.642310546</v>
      </c>
      <c r="O30" s="18" t="n">
        <f aca="false">IFERROR(INDEX(CADASTRO_PIVOS!$I$6:$I$41,MATCH($B30,CADASTRO_PIVOS!$B$6:$B$41,0)),0)</f>
        <v>1049.64285714286</v>
      </c>
      <c r="P30" s="18" t="n">
        <f aca="false">SUMIF(PLANEJAMENTO_SEMANAL!$E$6:$E$2381,$B30,PLANEJAMENTO_SEMANAL!$AB$6:$AB$2381)</f>
        <v>834.544470387727</v>
      </c>
      <c r="Q30" s="19" t="n">
        <f aca="false">IFERROR(_xlfn.MAXIFS(PLANEJAMENTO_SEMANAL!$AD$6:$AD$2381,PLANEJAMENTO_SEMANAL!$E$6:$E$2381,$B30),0)</f>
        <v>0.364090880796763</v>
      </c>
      <c r="R30" s="16" t="n">
        <f aca="false">IFERROR(INDEX(PLANEJAMENTO_SEMANAL!$B$6:$B$2381,MATCH($B30&amp;"|"&amp;TEXT($Q30,"0.000000"),PLANEJAMENTO_SEMANAL!$AK$6:$AK$2381,0)),"-")</f>
        <v>44</v>
      </c>
      <c r="S30" s="8" t="str">
        <f aca="false">IF($Q30&gt;LIMITE_CRITICO,"INVIAVEL em 21 h/dia",IF($Q30&gt;LIMITE_ATENCAO,"CRITICO",IF($Q30&gt;LIMITE_CONFORTAVEL,"ATENCAO","OK")))</f>
        <v>OK</v>
      </c>
    </row>
    <row r="31" customFormat="false" ht="15" hidden="false" customHeight="false" outlineLevel="0" collapsed="false">
      <c r="B31" s="15" t="s">
        <v>284</v>
      </c>
      <c r="C31" s="8" t="str">
        <f aca="false">IFERROR(INDEX(CADASTRO_PIVOS!$C$6:$C$41,MATCH($B31,CADASTRO_PIVOS!$B$6:$B$41,0)),"?")</f>
        <v>RM07</v>
      </c>
      <c r="D31" s="8" t="str">
        <f aca="false">IFERROR(INDEX(CADASTRO_PIVOS!$D$6:$D$41,MATCH($B31,CADASTRO_PIVOS!$B$6:$B$41,0)),"?")</f>
        <v>TR07</v>
      </c>
      <c r="E31" s="20" t="n">
        <f aca="false">IFERROR(INDEX(CADASTRO_PIVOS!$E$6:$E$41,MATCH($B31,CADASTRO_PIVOS!$B$6:$B$41,0)),0)</f>
        <v>149.98</v>
      </c>
      <c r="F31" s="8" t="str">
        <f aca="false">IFERROR(IF(INDEX(ROTACAO_RDM!$D$6:$D$71,MATCH($B31,ROTACAO_RDM!$D$6:$D$71,0)+0)=$B31,INDEX(ROTACAO_RDM!$F$6:$F$71,MATCH($B31,ROTACAO_RDM!$D$6:$D$71,0)+0),""),"")</f>
        <v>ALGODAO</v>
      </c>
      <c r="G31" s="8" t="str">
        <f aca="false">IFERROR(IF(INDEX(ROTACAO_RDM!$D$6:$D$71,MATCH($B31,ROTACAO_RDM!$D$6:$D$71,0)+1)=$B31,INDEX(ROTACAO_RDM!$F$6:$F$71,MATCH($B31,ROTACAO_RDM!$D$6:$D$71,0)+1),""),"")</f>
        <v>SOJA</v>
      </c>
      <c r="H31" s="8" t="str">
        <f aca="false">IFERROR(IF(INDEX(ROTACAO_RDM!$D$6:$D$71,MATCH($B31,ROTACAO_RDM!$D$6:$D$71,0)+2)=$B31,INDEX(ROTACAO_RDM!$F$6:$F$71,MATCH($B31,ROTACAO_RDM!$D$6:$D$71,0)+2),""),"")</f>
        <v>ALGODAO</v>
      </c>
      <c r="I31" s="16" t="n">
        <f aca="false">COUNTIFS(PLANEJAMENTO_SEMANAL!$E$6:$E$2381,$B31,PLANEJAMENTO_SEMANAL!$K$6:$K$2381,"&lt;&gt;SEM CULTURA")</f>
        <v>44</v>
      </c>
      <c r="J31" s="18" t="n">
        <f aca="false">IFERROR(SUMIF(PLANEJAMENTO_SEMANAL!$E$6:$E$2381,$B31,PLANEJAMENTO_SEMANAL!$AG$6:$AG$2381)/$E31,0)</f>
        <v>1209.01985244665</v>
      </c>
      <c r="K31" s="18" t="n">
        <f aca="false">IFERROR(SUMIF(PLANEJAMENTO_SEMANAL!$E$6:$E$2381,$B31,PLANEJAMENTO_SEMANAL!$AH$6:$AH$2381)/$E31,0)</f>
        <v>872.576</v>
      </c>
      <c r="L31" s="18" t="n">
        <f aca="false">IFERROR(SUMIF(PLANEJAMENTO_SEMANAL!$E$6:$E$2381,$B31,PLANEJAMENTO_SEMANAL!$AI$6:$AI$2381)/$E31,0)</f>
        <v>523.254615520282</v>
      </c>
      <c r="M31" s="18" t="n">
        <f aca="false">SUMIF(PLANEJAMENTO_SEMANAL!$E$6:$E$2381,$B31,PLANEJAMENTO_SEMANAL!$Y$6:$Y$2381)</f>
        <v>615.593665317979</v>
      </c>
      <c r="N31" s="16" t="n">
        <f aca="false">SUMIF(PLANEJAMENTO_SEMANAL!$E$6:$E$2381,$B31,PLANEJAMENTO_SEMANAL!$Z$6:$Z$2381)</f>
        <v>923267.379243905</v>
      </c>
      <c r="O31" s="18" t="n">
        <f aca="false">IFERROR(INDEX(CADASTRO_PIVOS!$I$6:$I$41,MATCH($B31,CADASTRO_PIVOS!$B$6:$B$41,0)),0)</f>
        <v>1071.28571428571</v>
      </c>
      <c r="P31" s="18" t="n">
        <f aca="false">SUMIF(PLANEJAMENTO_SEMANAL!$E$6:$E$2381,$B31,PLANEJAMENTO_SEMANAL!$AB$6:$AB$2381)</f>
        <v>861.831131445171</v>
      </c>
      <c r="Q31" s="19" t="n">
        <f aca="false">IFERROR(_xlfn.MAXIFS(PLANEJAMENTO_SEMANAL!$AD$6:$AD$2381,PLANEJAMENTO_SEMANAL!$E$6:$E$2381,$B31),0)</f>
        <v>0.350117647058824</v>
      </c>
      <c r="R31" s="16" t="n">
        <f aca="false">IFERROR(INDEX(PLANEJAMENTO_SEMANAL!$B$6:$B$2381,MATCH($B31&amp;"|"&amp;TEXT($Q31,"0.000000"),PLANEJAMENTO_SEMANAL!$AK$6:$AK$2381,0)),"-")</f>
        <v>41</v>
      </c>
      <c r="S31" s="8" t="str">
        <f aca="false">IF($Q31&gt;LIMITE_CRITICO,"INVIAVEL em 21 h/dia",IF($Q31&gt;LIMITE_ATENCAO,"CRITICO",IF($Q31&gt;LIMITE_CONFORTAVEL,"ATENCAO","OK")))</f>
        <v>OK</v>
      </c>
    </row>
    <row r="32" customFormat="false" ht="15" hidden="false" customHeight="false" outlineLevel="0" collapsed="false">
      <c r="B32" s="15" t="s">
        <v>285</v>
      </c>
      <c r="C32" s="8" t="str">
        <f aca="false">IFERROR(INDEX(CADASTRO_PIVOS!$C$6:$C$41,MATCH($B32,CADASTRO_PIVOS!$B$6:$B$41,0)),"?")</f>
        <v>RM07</v>
      </c>
      <c r="D32" s="8" t="str">
        <f aca="false">IFERROR(INDEX(CADASTRO_PIVOS!$D$6:$D$41,MATCH($B32,CADASTRO_PIVOS!$B$6:$B$41,0)),"?")</f>
        <v>TR07</v>
      </c>
      <c r="E32" s="20" t="n">
        <f aca="false">IFERROR(INDEX(CADASTRO_PIVOS!$E$6:$E$41,MATCH($B32,CADASTRO_PIVOS!$B$6:$B$41,0)),0)</f>
        <v>149.94</v>
      </c>
      <c r="F32" s="8" t="str">
        <f aca="false">IFERROR(IF(INDEX(ROTACAO_RDM!$D$6:$D$71,MATCH($B32,ROTACAO_RDM!$D$6:$D$71,0)+0)=$B32,INDEX(ROTACAO_RDM!$F$6:$F$71,MATCH($B32,ROTACAO_RDM!$D$6:$D$71,0)+0),""),"")</f>
        <v>ALGODAO</v>
      </c>
      <c r="G32" s="8" t="str">
        <f aca="false">IFERROR(IF(INDEX(ROTACAO_RDM!$D$6:$D$71,MATCH($B32,ROTACAO_RDM!$D$6:$D$71,0)+1)=$B32,INDEX(ROTACAO_RDM!$F$6:$F$71,MATCH($B32,ROTACAO_RDM!$D$6:$D$71,0)+1),""),"")</f>
        <v>SOJA</v>
      </c>
      <c r="H32" s="8" t="str">
        <f aca="false">IFERROR(IF(INDEX(ROTACAO_RDM!$D$6:$D$71,MATCH($B32,ROTACAO_RDM!$D$6:$D$71,0)+2)=$B32,INDEX(ROTACAO_RDM!$F$6:$F$71,MATCH($B32,ROTACAO_RDM!$D$6:$D$71,0)+2),""),"")</f>
        <v>ALGODAO</v>
      </c>
      <c r="I32" s="16" t="n">
        <f aca="false">COUNTIFS(PLANEJAMENTO_SEMANAL!$E$6:$E$2381,$B32,PLANEJAMENTO_SEMANAL!$K$6:$K$2381,"&lt;&gt;SEM CULTURA")</f>
        <v>41</v>
      </c>
      <c r="J32" s="18" t="n">
        <f aca="false">IFERROR(SUMIF(PLANEJAMENTO_SEMANAL!$E$6:$E$2381,$B32,PLANEJAMENTO_SEMANAL!$AG$6:$AG$2381)/$E32,0)</f>
        <v>1142.29489970326</v>
      </c>
      <c r="K32" s="18" t="n">
        <f aca="false">IFERROR(SUMIF(PLANEJAMENTO_SEMANAL!$E$6:$E$2381,$B32,PLANEJAMENTO_SEMANAL!$AH$6:$AH$2381)/$E32,0)</f>
        <v>830.248</v>
      </c>
      <c r="L32" s="18" t="n">
        <f aca="false">IFERROR(SUMIF(PLANEJAMENTO_SEMANAL!$E$6:$E$2381,$B32,PLANEJAMENTO_SEMANAL!$AI$6:$AI$2381)/$E32,0)</f>
        <v>483.331619047619</v>
      </c>
      <c r="M32" s="18" t="n">
        <f aca="false">SUMIF(PLANEJAMENTO_SEMANAL!$E$6:$E$2381,$B32,PLANEJAMENTO_SEMANAL!$Y$6:$Y$2381)</f>
        <v>568.625434173669</v>
      </c>
      <c r="N32" s="16" t="n">
        <f aca="false">SUMIF(PLANEJAMENTO_SEMANAL!$E$6:$E$2381,$B32,PLANEJAMENTO_SEMANAL!$Z$6:$Z$2381)</f>
        <v>852596.976</v>
      </c>
      <c r="O32" s="18" t="n">
        <f aca="false">IFERROR(INDEX(CADASTRO_PIVOS!$I$6:$I$41,MATCH($B32,CADASTRO_PIVOS!$B$6:$B$41,0)),0)</f>
        <v>1071</v>
      </c>
      <c r="P32" s="18" t="n">
        <f aca="false">SUMIF(PLANEJAMENTO_SEMANAL!$E$6:$E$2381,$B32,PLANEJAMENTO_SEMANAL!$AB$6:$AB$2381)</f>
        <v>796.075607843137</v>
      </c>
      <c r="Q32" s="19" t="n">
        <f aca="false">IFERROR(_xlfn.MAXIFS(PLANEJAMENTO_SEMANAL!$AD$6:$AD$2381,PLANEJAMENTO_SEMANAL!$E$6:$E$2381,$B32),0)</f>
        <v>0.350117647058824</v>
      </c>
      <c r="R32" s="16" t="n">
        <f aca="false">IFERROR(INDEX(PLANEJAMENTO_SEMANAL!$B$6:$B$2381,MATCH($B32&amp;"|"&amp;TEXT($Q32,"0.000000"),PLANEJAMENTO_SEMANAL!$AK$6:$AK$2381,0)),"-")</f>
        <v>41</v>
      </c>
      <c r="S32" s="8" t="str">
        <f aca="false">IF($Q32&gt;LIMITE_CRITICO,"INVIAVEL em 21 h/dia",IF($Q32&gt;LIMITE_ATENCAO,"CRITICO",IF($Q32&gt;LIMITE_CONFORTAVEL,"ATENCAO","OK")))</f>
        <v>OK</v>
      </c>
    </row>
    <row r="33" customFormat="false" ht="15" hidden="false" customHeight="false" outlineLevel="0" collapsed="false">
      <c r="B33" s="15" t="s">
        <v>286</v>
      </c>
      <c r="C33" s="8" t="str">
        <f aca="false">IFERROR(INDEX(CADASTRO_PIVOS!$C$6:$C$41,MATCH($B33,CADASTRO_PIVOS!$B$6:$B$41,0)),"?")</f>
        <v>RM07</v>
      </c>
      <c r="D33" s="8" t="str">
        <f aca="false">IFERROR(INDEX(CADASTRO_PIVOS!$D$6:$D$41,MATCH($B33,CADASTRO_PIVOS!$B$6:$B$41,0)),"?")</f>
        <v>TR07</v>
      </c>
      <c r="E33" s="20" t="n">
        <f aca="false">IFERROR(INDEX(CADASTRO_PIVOS!$E$6:$E$41,MATCH($B33,CADASTRO_PIVOS!$B$6:$B$41,0)),0)</f>
        <v>149.94</v>
      </c>
      <c r="F33" s="8" t="str">
        <f aca="false">IFERROR(IF(INDEX(ROTACAO_RDM!$D$6:$D$71,MATCH($B33,ROTACAO_RDM!$D$6:$D$71,0)+0)=$B33,INDEX(ROTACAO_RDM!$F$6:$F$71,MATCH($B33,ROTACAO_RDM!$D$6:$D$71,0)+0),""),"")</f>
        <v>SOJA</v>
      </c>
      <c r="G33" s="8" t="str">
        <f aca="false">IFERROR(IF(INDEX(ROTACAO_RDM!$D$6:$D$71,MATCH($B33,ROTACAO_RDM!$D$6:$D$71,0)+1)=$B33,INDEX(ROTACAO_RDM!$F$6:$F$71,MATCH($B33,ROTACAO_RDM!$D$6:$D$71,0)+1),""),"")</f>
        <v>ALGODAO</v>
      </c>
      <c r="H33" s="8" t="str">
        <f aca="false">IFERROR(IF(INDEX(ROTACAO_RDM!$D$6:$D$71,MATCH($B33,ROTACAO_RDM!$D$6:$D$71,0)+2)=$B33,INDEX(ROTACAO_RDM!$F$6:$F$71,MATCH($B33,ROTACAO_RDM!$D$6:$D$71,0)+2),""),"")</f>
        <v/>
      </c>
      <c r="I33" s="16" t="n">
        <f aca="false">COUNTIFS(PLANEJAMENTO_SEMANAL!$E$6:$E$2381,$B33,PLANEJAMENTO_SEMANAL!$K$6:$K$2381,"&lt;&gt;SEM CULTURA")</f>
        <v>44</v>
      </c>
      <c r="J33" s="18" t="n">
        <f aca="false">IFERROR(SUMIF(PLANEJAMENTO_SEMANAL!$E$6:$E$2381,$B33,PLANEJAMENTO_SEMANAL!$AG$6:$AG$2381)/$E33,0)</f>
        <v>1187.51833609406</v>
      </c>
      <c r="K33" s="18" t="n">
        <f aca="false">IFERROR(SUMIF(PLANEJAMENTO_SEMANAL!$E$6:$E$2381,$B33,PLANEJAMENTO_SEMANAL!$AH$6:$AH$2381)/$E33,0)</f>
        <v>890.216</v>
      </c>
      <c r="L33" s="18" t="n">
        <f aca="false">IFERROR(SUMIF(PLANEJAMENTO_SEMANAL!$E$6:$E$2381,$B33,PLANEJAMENTO_SEMANAL!$AI$6:$AI$2381)/$E33,0)</f>
        <v>506.857308641975</v>
      </c>
      <c r="M33" s="18" t="n">
        <f aca="false">SUMIF(PLANEJAMENTO_SEMANAL!$E$6:$E$2381,$B33,PLANEJAMENTO_SEMANAL!$Y$6:$Y$2381)</f>
        <v>596.302716049383</v>
      </c>
      <c r="N33" s="16" t="n">
        <f aca="false">SUMIF(PLANEJAMENTO_SEMANAL!$E$6:$E$2381,$B33,PLANEJAMENTO_SEMANAL!$Z$6:$Z$2381)</f>
        <v>894096.292444444</v>
      </c>
      <c r="O33" s="18" t="n">
        <f aca="false">IFERROR(INDEX(CADASTRO_PIVOS!$I$6:$I$41,MATCH($B33,CADASTRO_PIVOS!$B$6:$B$41,0)),0)</f>
        <v>1071</v>
      </c>
      <c r="P33" s="18" t="n">
        <f aca="false">SUMIF(PLANEJAMENTO_SEMANAL!$E$6:$E$2381,$B33,PLANEJAMENTO_SEMANAL!$AB$6:$AB$2381)</f>
        <v>834.823802469136</v>
      </c>
      <c r="Q33" s="19" t="n">
        <f aca="false">IFERROR(_xlfn.MAXIFS(PLANEJAMENTO_SEMANAL!$AD$6:$AD$2381,PLANEJAMENTO_SEMANAL!$E$6:$E$2381,$B33),0)</f>
        <v>0.364090880796763</v>
      </c>
      <c r="R33" s="16" t="n">
        <f aca="false">IFERROR(INDEX(PLANEJAMENTO_SEMANAL!$B$6:$B$2381,MATCH($B33&amp;"|"&amp;TEXT($Q33,"0.000000"),PLANEJAMENTO_SEMANAL!$AK$6:$AK$2381,0)),"-")</f>
        <v>44</v>
      </c>
      <c r="S33" s="8" t="str">
        <f aca="false">IF($Q33&gt;LIMITE_CRITICO,"INVIAVEL em 21 h/dia",IF($Q33&gt;LIMITE_ATENCAO,"CRITICO",IF($Q33&gt;LIMITE_CONFORTAVEL,"ATENCAO","OK")))</f>
        <v>OK</v>
      </c>
    </row>
    <row r="34" customFormat="false" ht="15" hidden="false" customHeight="false" outlineLevel="0" collapsed="false">
      <c r="B34" s="15" t="s">
        <v>287</v>
      </c>
      <c r="C34" s="8" t="str">
        <f aca="false">IFERROR(INDEX(CADASTRO_PIVOS!$C$6:$C$41,MATCH($B34,CADASTRO_PIVOS!$B$6:$B$41,0)),"?")</f>
        <v>RM07</v>
      </c>
      <c r="D34" s="8" t="str">
        <f aca="false">IFERROR(INDEX(CADASTRO_PIVOS!$D$6:$D$41,MATCH($B34,CADASTRO_PIVOS!$B$6:$B$41,0)),"?")</f>
        <v>TR07</v>
      </c>
      <c r="E34" s="20" t="n">
        <f aca="false">IFERROR(INDEX(CADASTRO_PIVOS!$E$6:$E$41,MATCH($B34,CADASTRO_PIVOS!$B$6:$B$41,0)),0)</f>
        <v>99.48</v>
      </c>
      <c r="F34" s="8" t="str">
        <f aca="false">IFERROR(IF(INDEX(ROTACAO_RDM!$D$6:$D$71,MATCH($B34,ROTACAO_RDM!$D$6:$D$71,0)+0)=$B34,INDEX(ROTACAO_RDM!$F$6:$F$71,MATCH($B34,ROTACAO_RDM!$D$6:$D$71,0)+0),""),"")</f>
        <v>MILHO_SEMENTE</v>
      </c>
      <c r="G34" s="8" t="str">
        <f aca="false">IFERROR(IF(INDEX(ROTACAO_RDM!$D$6:$D$71,MATCH($B34,ROTACAO_RDM!$D$6:$D$71,0)+1)=$B34,INDEX(ROTACAO_RDM!$F$6:$F$71,MATCH($B34,ROTACAO_RDM!$D$6:$D$71,0)+1),""),"")</f>
        <v>ALGODAO</v>
      </c>
      <c r="H34" s="8" t="str">
        <f aca="false">IFERROR(IF(INDEX(ROTACAO_RDM!$D$6:$D$71,MATCH($B34,ROTACAO_RDM!$D$6:$D$71,0)+2)=$B34,INDEX(ROTACAO_RDM!$F$6:$F$71,MATCH($B34,ROTACAO_RDM!$D$6:$D$71,0)+2),""),"")</f>
        <v>MILHO_SEMENTE</v>
      </c>
      <c r="I34" s="16" t="n">
        <f aca="false">COUNTIFS(PLANEJAMENTO_SEMANAL!$E$6:$E$2381,$B34,PLANEJAMENTO_SEMANAL!$K$6:$K$2381,"&lt;&gt;SEM CULTURA")</f>
        <v>54</v>
      </c>
      <c r="J34" s="18" t="n">
        <f aca="false">IFERROR(SUMIF(PLANEJAMENTO_SEMANAL!$E$6:$E$2381,$B34,PLANEJAMENTO_SEMANAL!$AG$6:$AG$2381)/$E34,0)</f>
        <v>1553.31117843103</v>
      </c>
      <c r="K34" s="18" t="n">
        <f aca="false">IFERROR(SUMIF(PLANEJAMENTO_SEMANAL!$E$6:$E$2381,$B34,PLANEJAMENTO_SEMANAL!$AH$6:$AH$2381)/$E34,0)</f>
        <v>905.84</v>
      </c>
      <c r="L34" s="18" t="n">
        <f aca="false">IFERROR(SUMIF(PLANEJAMENTO_SEMANAL!$E$6:$E$2381,$B34,PLANEJAMENTO_SEMANAL!$AI$6:$AI$2381)/$E34,0)</f>
        <v>867.592311601131</v>
      </c>
      <c r="M34" s="18" t="n">
        <f aca="false">SUMIF(PLANEJAMENTO_SEMANAL!$E$6:$E$2381,$B34,PLANEJAMENTO_SEMANAL!$Y$6:$Y$2381)</f>
        <v>1020.6968371778</v>
      </c>
      <c r="N34" s="16" t="n">
        <f aca="false">SUMIF(PLANEJAMENTO_SEMANAL!$E$6:$E$2381,$B34,PLANEJAMENTO_SEMANAL!$Z$6:$Z$2381)</f>
        <v>1015389.21362448</v>
      </c>
      <c r="O34" s="18" t="n">
        <f aca="false">IFERROR(INDEX(CADASTRO_PIVOS!$I$6:$I$41,MATCH($B34,CADASTRO_PIVOS!$B$6:$B$41,0)),0)</f>
        <v>710.571428571429</v>
      </c>
      <c r="P34" s="18" t="n">
        <f aca="false">SUMIF(PLANEJAMENTO_SEMANAL!$E$6:$E$2381,$B34,PLANEJAMENTO_SEMANAL!$AB$6:$AB$2381)</f>
        <v>1428.97557204892</v>
      </c>
      <c r="Q34" s="19" t="n">
        <f aca="false">IFERROR(_xlfn.MAXIFS(PLANEJAMENTO_SEMANAL!$AD$6:$AD$2381,PLANEJAMENTO_SEMANAL!$E$6:$E$2381,$B34),0)</f>
        <v>0.460392156862745</v>
      </c>
      <c r="R34" s="16" t="n">
        <f aca="false">IFERROR(INDEX(PLANEJAMENTO_SEMANAL!$B$6:$B$2381,MATCH($B34&amp;"|"&amp;TEXT($Q34,"0.000000"),PLANEJAMENTO_SEMANAL!$AK$6:$AK$2381,0)),"-")</f>
        <v>54</v>
      </c>
      <c r="S34" s="8" t="str">
        <f aca="false">IF($Q34&gt;LIMITE_CRITICO,"INVIAVEL em 21 h/dia",IF($Q34&gt;LIMITE_ATENCAO,"CRITICO",IF($Q34&gt;LIMITE_CONFORTAVEL,"ATENCAO","OK")))</f>
        <v>OK</v>
      </c>
    </row>
    <row r="35" customFormat="false" ht="15" hidden="false" customHeight="false" outlineLevel="0" collapsed="false">
      <c r="B35" s="15" t="s">
        <v>288</v>
      </c>
      <c r="C35" s="8" t="str">
        <f aca="false">IFERROR(INDEX(CADASTRO_PIVOS!$C$6:$C$41,MATCH($B35,CADASTRO_PIVOS!$B$6:$B$41,0)),"?")</f>
        <v>RM07</v>
      </c>
      <c r="D35" s="8" t="str">
        <f aca="false">IFERROR(INDEX(CADASTRO_PIVOS!$D$6:$D$41,MATCH($B35,CADASTRO_PIVOS!$B$6:$B$41,0)),"?")</f>
        <v>TR07</v>
      </c>
      <c r="E35" s="20" t="n">
        <f aca="false">IFERROR(INDEX(CADASTRO_PIVOS!$E$6:$E$41,MATCH($B35,CADASTRO_PIVOS!$B$6:$B$41,0)),0)</f>
        <v>139.94</v>
      </c>
      <c r="F35" s="8" t="str">
        <f aca="false">IFERROR(IF(INDEX(ROTACAO_RDM!$D$6:$D$71,MATCH($B35,ROTACAO_RDM!$D$6:$D$71,0)+0)=$B35,INDEX(ROTACAO_RDM!$F$6:$F$71,MATCH($B35,ROTACAO_RDM!$D$6:$D$71,0)+0),""),"")</f>
        <v>TABACO</v>
      </c>
      <c r="G35" s="8" t="str">
        <f aca="false">IFERROR(IF(INDEX(ROTACAO_RDM!$D$6:$D$71,MATCH($B35,ROTACAO_RDM!$D$6:$D$71,0)+1)=$B35,INDEX(ROTACAO_RDM!$F$6:$F$71,MATCH($B35,ROTACAO_RDM!$D$6:$D$71,0)+1),""),"")</f>
        <v>MILHO_GRAO</v>
      </c>
      <c r="H35" s="8" t="str">
        <f aca="false">IFERROR(IF(INDEX(ROTACAO_RDM!$D$6:$D$71,MATCH($B35,ROTACAO_RDM!$D$6:$D$71,0)+2)=$B35,INDEX(ROTACAO_RDM!$F$6:$F$71,MATCH($B35,ROTACAO_RDM!$D$6:$D$71,0)+2),""),"")</f>
        <v/>
      </c>
      <c r="I35" s="16" t="n">
        <f aca="false">COUNTIFS(PLANEJAMENTO_SEMANAL!$E$6:$E$2381,$B35,PLANEJAMENTO_SEMANAL!$K$6:$K$2381,"&lt;&gt;SEM CULTURA")</f>
        <v>46</v>
      </c>
      <c r="J35" s="18" t="n">
        <f aca="false">IFERROR(SUMIF(PLANEJAMENTO_SEMANAL!$E$6:$E$2381,$B35,PLANEJAMENTO_SEMANAL!$AG$6:$AG$2381)/$E35,0)</f>
        <v>1303.4719452381</v>
      </c>
      <c r="K35" s="18" t="n">
        <f aca="false">IFERROR(SUMIF(PLANEJAMENTO_SEMANAL!$E$6:$E$2381,$B35,PLANEJAMENTO_SEMANAL!$AH$6:$AH$2381)/$E35,0)</f>
        <v>752.728</v>
      </c>
      <c r="L35" s="18" t="n">
        <f aca="false">IFERROR(SUMIF(PLANEJAMENTO_SEMANAL!$E$6:$E$2381,$B35,PLANEJAMENTO_SEMANAL!$AI$6:$AI$2381)/$E35,0)</f>
        <v>739.84826468254</v>
      </c>
      <c r="M35" s="18" t="n">
        <f aca="false">SUMIF(PLANEJAMENTO_SEMANAL!$E$6:$E$2381,$B35,PLANEJAMENTO_SEMANAL!$Y$6:$Y$2381)</f>
        <v>870.409723155929</v>
      </c>
      <c r="N35" s="16" t="n">
        <f aca="false">SUMIF(PLANEJAMENTO_SEMANAL!$E$6:$E$2381,$B35,PLANEJAMENTO_SEMANAL!$Z$6:$Z$2381)</f>
        <v>1218051.36658441</v>
      </c>
      <c r="O35" s="18" t="n">
        <f aca="false">IFERROR(INDEX(CADASTRO_PIVOS!$I$6:$I$41,MATCH($B35,CADASTRO_PIVOS!$B$6:$B$41,0)),0)</f>
        <v>932.933333333333</v>
      </c>
      <c r="P35" s="18" t="n">
        <f aca="false">SUMIF(PLANEJAMENTO_SEMANAL!$E$6:$E$2381,$B35,PLANEJAMENTO_SEMANAL!$AB$6:$AB$2381)</f>
        <v>1305.61458473389</v>
      </c>
      <c r="Q35" s="19" t="n">
        <f aca="false">IFERROR(_xlfn.MAXIFS(PLANEJAMENTO_SEMANAL!$AD$6:$AD$2381,PLANEJAMENTO_SEMANAL!$E$6:$E$2381,$B35),0)</f>
        <v>0.51764705882353</v>
      </c>
      <c r="R35" s="16" t="n">
        <f aca="false">IFERROR(INDEX(PLANEJAMENTO_SEMANAL!$B$6:$B$2381,MATCH($B35&amp;"|"&amp;TEXT($Q35,"0.000000"),PLANEJAMENTO_SEMANAL!$AK$6:$AK$2381,0)),"-")</f>
        <v>54</v>
      </c>
      <c r="S35" s="8" t="str">
        <f aca="false">IF($Q35&gt;LIMITE_CRITICO,"INVIAVEL em 21 h/dia",IF($Q35&gt;LIMITE_ATENCAO,"CRITICO",IF($Q35&gt;LIMITE_CONFORTAVEL,"ATENCAO","OK")))</f>
        <v>OK</v>
      </c>
    </row>
    <row r="36" customFormat="false" ht="15" hidden="false" customHeight="false" outlineLevel="0" collapsed="false">
      <c r="B36" s="15" t="s">
        <v>289</v>
      </c>
      <c r="C36" s="8" t="str">
        <f aca="false">IFERROR(INDEX(CADASTRO_PIVOS!$C$6:$C$41,MATCH($B36,CADASTRO_PIVOS!$B$6:$B$41,0)),"?")</f>
        <v>RM07</v>
      </c>
      <c r="D36" s="8" t="str">
        <f aca="false">IFERROR(INDEX(CADASTRO_PIVOS!$D$6:$D$41,MATCH($B36,CADASTRO_PIVOS!$B$6:$B$41,0)),"?")</f>
        <v>TR07</v>
      </c>
      <c r="E36" s="20" t="n">
        <f aca="false">IFERROR(INDEX(CADASTRO_PIVOS!$E$6:$E$41,MATCH($B36,CADASTRO_PIVOS!$B$6:$B$41,0)),0)</f>
        <v>99.48</v>
      </c>
      <c r="F36" s="8" t="str">
        <f aca="false">IFERROR(IF(INDEX(ROTACAO_RDM!$D$6:$D$71,MATCH($B36,ROTACAO_RDM!$D$6:$D$71,0)+0)=$B36,INDEX(ROTACAO_RDM!$F$6:$F$71,MATCH($B36,ROTACAO_RDM!$D$6:$D$71,0)+0),""),"")</f>
        <v>SOJA</v>
      </c>
      <c r="G36" s="8" t="str">
        <f aca="false">IFERROR(IF(INDEX(ROTACAO_RDM!$D$6:$D$71,MATCH($B36,ROTACAO_RDM!$D$6:$D$71,0)+1)=$B36,INDEX(ROTACAO_RDM!$F$6:$F$71,MATCH($B36,ROTACAO_RDM!$D$6:$D$71,0)+1),""),"")</f>
        <v>ALGODAO</v>
      </c>
      <c r="H36" s="8" t="str">
        <f aca="false">IFERROR(IF(INDEX(ROTACAO_RDM!$D$6:$D$71,MATCH($B36,ROTACAO_RDM!$D$6:$D$71,0)+2)=$B36,INDEX(ROTACAO_RDM!$F$6:$F$71,MATCH($B36,ROTACAO_RDM!$D$6:$D$71,0)+2),""),"")</f>
        <v/>
      </c>
      <c r="I36" s="16" t="n">
        <f aca="false">COUNTIFS(PLANEJAMENTO_SEMANAL!$E$6:$E$2381,$B36,PLANEJAMENTO_SEMANAL!$K$6:$K$2381,"&lt;&gt;SEM CULTURA")</f>
        <v>43</v>
      </c>
      <c r="J36" s="18" t="n">
        <f aca="false">IFERROR(SUMIF(PLANEJAMENTO_SEMANAL!$E$6:$E$2381,$B36,PLANEJAMENTO_SEMANAL!$AG$6:$AG$2381)/$E36,0)</f>
        <v>1159.41195023541</v>
      </c>
      <c r="K36" s="18" t="n">
        <f aca="false">IFERROR(SUMIF(PLANEJAMENTO_SEMANAL!$E$6:$E$2381,$B36,PLANEJAMENTO_SEMANAL!$AH$6:$AH$2381)/$E36,0)</f>
        <v>889.32</v>
      </c>
      <c r="L36" s="18" t="n">
        <f aca="false">IFERROR(SUMIF(PLANEJAMENTO_SEMANAL!$E$6:$E$2381,$B36,PLANEJAMENTO_SEMANAL!$AI$6:$AI$2381)/$E36,0)</f>
        <v>483.218805060433</v>
      </c>
      <c r="M36" s="18" t="n">
        <f aca="false">SUMIF(PLANEJAMENTO_SEMANAL!$E$6:$E$2381,$B36,PLANEJAMENTO_SEMANAL!$Y$6:$Y$2381)</f>
        <v>568.492711835803</v>
      </c>
      <c r="N36" s="16" t="n">
        <f aca="false">SUMIF(PLANEJAMENTO_SEMANAL!$E$6:$E$2381,$B36,PLANEJAMENTO_SEMANAL!$Z$6:$Z$2381)</f>
        <v>565536.549734257</v>
      </c>
      <c r="O36" s="18" t="n">
        <f aca="false">IFERROR(INDEX(CADASTRO_PIVOS!$I$6:$I$41,MATCH($B36,CADASTRO_PIVOS!$B$6:$B$41,0)),0)</f>
        <v>710.571428571429</v>
      </c>
      <c r="P36" s="18" t="n">
        <f aca="false">SUMIF(PLANEJAMENTO_SEMANAL!$E$6:$E$2381,$B36,PLANEJAMENTO_SEMANAL!$AB$6:$AB$2381)</f>
        <v>795.889796570125</v>
      </c>
      <c r="Q36" s="19" t="n">
        <f aca="false">IFERROR(_xlfn.MAXIFS(PLANEJAMENTO_SEMANAL!$AD$6:$AD$2381,PLANEJAMENTO_SEMANAL!$E$6:$E$2381,$B36),0)</f>
        <v>0.350117647058824</v>
      </c>
      <c r="R36" s="16" t="n">
        <f aca="false">IFERROR(INDEX(PLANEJAMENTO_SEMANAL!$B$6:$B$2381,MATCH($B36&amp;"|"&amp;TEXT($Q36,"0.000000"),PLANEJAMENTO_SEMANAL!$AK$6:$AK$2381,0)),"-")</f>
        <v>41</v>
      </c>
      <c r="S36" s="8" t="str">
        <f aca="false">IF($Q36&gt;LIMITE_CRITICO,"INVIAVEL em 21 h/dia",IF($Q36&gt;LIMITE_ATENCAO,"CRITICO",IF($Q36&gt;LIMITE_CONFORTAVEL,"ATENCAO","OK")))</f>
        <v>OK</v>
      </c>
    </row>
    <row r="37" customFormat="false" ht="15" hidden="false" customHeight="false" outlineLevel="0" collapsed="false">
      <c r="B37" s="15" t="s">
        <v>290</v>
      </c>
      <c r="C37" s="8" t="str">
        <f aca="false">IFERROR(INDEX(CADASTRO_PIVOS!$C$6:$C$41,MATCH($B37,CADASTRO_PIVOS!$B$6:$B$41,0)),"?")</f>
        <v>RM07</v>
      </c>
      <c r="D37" s="8" t="str">
        <f aca="false">IFERROR(INDEX(CADASTRO_PIVOS!$D$6:$D$41,MATCH($B37,CADASTRO_PIVOS!$B$6:$B$41,0)),"?")</f>
        <v>TR07</v>
      </c>
      <c r="E37" s="20" t="n">
        <f aca="false">IFERROR(INDEX(CADASTRO_PIVOS!$E$6:$E$41,MATCH($B37,CADASTRO_PIVOS!$B$6:$B$41,0)),0)</f>
        <v>99.48</v>
      </c>
      <c r="F37" s="8" t="str">
        <f aca="false">IFERROR(IF(INDEX(ROTACAO_RDM!$D$6:$D$71,MATCH($B37,ROTACAO_RDM!$D$6:$D$71,0)+0)=$B37,INDEX(ROTACAO_RDM!$F$6:$F$71,MATCH($B37,ROTACAO_RDM!$D$6:$D$71,0)+0),""),"")</f>
        <v>MILHO_SEMENTE</v>
      </c>
      <c r="G37" s="8" t="str">
        <f aca="false">IFERROR(IF(INDEX(ROTACAO_RDM!$D$6:$D$71,MATCH($B37,ROTACAO_RDM!$D$6:$D$71,0)+1)=$B37,INDEX(ROTACAO_RDM!$F$6:$F$71,MATCH($B37,ROTACAO_RDM!$D$6:$D$71,0)+1),""),"")</f>
        <v>ALGODAO</v>
      </c>
      <c r="H37" s="8" t="str">
        <f aca="false">IFERROR(IF(INDEX(ROTACAO_RDM!$D$6:$D$71,MATCH($B37,ROTACAO_RDM!$D$6:$D$71,0)+2)=$B37,INDEX(ROTACAO_RDM!$F$6:$F$71,MATCH($B37,ROTACAO_RDM!$D$6:$D$71,0)+2),""),"")</f>
        <v/>
      </c>
      <c r="I37" s="16" t="n">
        <f aca="false">COUNTIFS(PLANEJAMENTO_SEMANAL!$E$6:$E$2381,$B37,PLANEJAMENTO_SEMANAL!$K$6:$K$2381,"&lt;&gt;SEM CULTURA")</f>
        <v>33</v>
      </c>
      <c r="J37" s="18" t="n">
        <f aca="false">IFERROR(SUMIF(PLANEJAMENTO_SEMANAL!$E$6:$E$2381,$B37,PLANEJAMENTO_SEMANAL!$AG$6:$AG$2381)/$E37,0)</f>
        <v>921.748964637926</v>
      </c>
      <c r="K37" s="18" t="n">
        <f aca="false">IFERROR(SUMIF(PLANEJAMENTO_SEMANAL!$E$6:$E$2381,$B37,PLANEJAMENTO_SEMANAL!$AH$6:$AH$2381)/$E37,0)</f>
        <v>703.352</v>
      </c>
      <c r="L37" s="18" t="n">
        <f aca="false">IFERROR(SUMIF(PLANEJAMENTO_SEMANAL!$E$6:$E$2381,$B37,PLANEJAMENTO_SEMANAL!$AI$6:$AI$2381)/$E37,0)</f>
        <v>413.821132290786</v>
      </c>
      <c r="M37" s="18" t="n">
        <f aca="false">SUMIF(PLANEJAMENTO_SEMANAL!$E$6:$E$2381,$B37,PLANEJAMENTO_SEMANAL!$Y$6:$Y$2381)</f>
        <v>486.848390930337</v>
      </c>
      <c r="N37" s="16" t="n">
        <f aca="false">SUMIF(PLANEJAMENTO_SEMANAL!$E$6:$E$2381,$B37,PLANEJAMENTO_SEMANAL!$Z$6:$Z$2381)</f>
        <v>484316.779297499</v>
      </c>
      <c r="O37" s="18" t="n">
        <f aca="false">IFERROR(INDEX(CADASTRO_PIVOS!$I$6:$I$41,MATCH($B37,CADASTRO_PIVOS!$B$6:$B$41,0)),0)</f>
        <v>710.571428571429</v>
      </c>
      <c r="P37" s="18" t="n">
        <f aca="false">SUMIF(PLANEJAMENTO_SEMANAL!$E$6:$E$2381,$B37,PLANEJAMENTO_SEMANAL!$AB$6:$AB$2381)</f>
        <v>681.587747302471</v>
      </c>
      <c r="Q37" s="19" t="n">
        <f aca="false">IFERROR(_xlfn.MAXIFS(PLANEJAMENTO_SEMANAL!$AD$6:$AD$2381,PLANEJAMENTO_SEMANAL!$E$6:$E$2381,$B37),0)</f>
        <v>0.410890756302521</v>
      </c>
      <c r="R37" s="16" t="n">
        <f aca="false">IFERROR(INDEX(PLANEJAMENTO_SEMANAL!$B$6:$B$2381,MATCH($B37&amp;"|"&amp;TEXT($Q37,"0.000000"),PLANEJAMENTO_SEMANAL!$AK$6:$AK$2381,0)),"-")</f>
        <v>1</v>
      </c>
      <c r="S37" s="8" t="str">
        <f aca="false">IF($Q37&gt;LIMITE_CRITICO,"INVIAVEL em 21 h/dia",IF($Q37&gt;LIMITE_ATENCAO,"CRITICO",IF($Q37&gt;LIMITE_CONFORTAVEL,"ATENCAO","OK")))</f>
        <v>OK</v>
      </c>
    </row>
    <row r="38" customFormat="false" ht="15" hidden="false" customHeight="false" outlineLevel="0" collapsed="false">
      <c r="B38" s="15" t="s">
        <v>291</v>
      </c>
      <c r="C38" s="8" t="str">
        <f aca="false">IFERROR(INDEX(CADASTRO_PIVOS!$C$6:$C$41,MATCH($B38,CADASTRO_PIVOS!$B$6:$B$41,0)),"?")</f>
        <v>RM08</v>
      </c>
      <c r="D38" s="8" t="str">
        <f aca="false">IFERROR(INDEX(CADASTRO_PIVOS!$D$6:$D$41,MATCH($B38,CADASTRO_PIVOS!$B$6:$B$41,0)),"?")</f>
        <v>TR08</v>
      </c>
      <c r="E38" s="20" t="n">
        <f aca="false">IFERROR(INDEX(CADASTRO_PIVOS!$E$6:$E$41,MATCH($B38,CADASTRO_PIVOS!$B$6:$B$41,0)),0)</f>
        <v>79</v>
      </c>
      <c r="F38" s="8" t="str">
        <f aca="false">IFERROR(IF(INDEX(ROTACAO_RDM!$D$6:$D$71,MATCH($B38,ROTACAO_RDM!$D$6:$D$71,0)+0)=$B38,INDEX(ROTACAO_RDM!$F$6:$F$71,MATCH($B38,ROTACAO_RDM!$D$6:$D$71,0)+0),""),"")</f>
        <v/>
      </c>
      <c r="G38" s="8" t="str">
        <f aca="false">IFERROR(IF(INDEX(ROTACAO_RDM!$D$6:$D$71,MATCH($B38,ROTACAO_RDM!$D$6:$D$71,0)+1)=$B38,INDEX(ROTACAO_RDM!$F$6:$F$71,MATCH($B38,ROTACAO_RDM!$D$6:$D$71,0)+1),""),"")</f>
        <v/>
      </c>
      <c r="H38" s="8" t="str">
        <f aca="false">IFERROR(IF(INDEX(ROTACAO_RDM!$D$6:$D$71,MATCH($B38,ROTACAO_RDM!$D$6:$D$71,0)+2)=$B38,INDEX(ROTACAO_RDM!$F$6:$F$71,MATCH($B38,ROTACAO_RDM!$D$6:$D$71,0)+2),""),"")</f>
        <v/>
      </c>
      <c r="I38" s="16" t="n">
        <f aca="false">COUNTIFS(PLANEJAMENTO_SEMANAL!$E$6:$E$2381,$B38,PLANEJAMENTO_SEMANAL!$K$6:$K$2381,"&lt;&gt;SEM CULTURA")</f>
        <v>0</v>
      </c>
      <c r="J38" s="18" t="n">
        <f aca="false">IFERROR(SUMIF(PLANEJAMENTO_SEMANAL!$E$6:$E$2381,$B38,PLANEJAMENTO_SEMANAL!$AG$6:$AG$2381)/$E38,0)</f>
        <v>0</v>
      </c>
      <c r="K38" s="18" t="n">
        <f aca="false">IFERROR(SUMIF(PLANEJAMENTO_SEMANAL!$E$6:$E$2381,$B38,PLANEJAMENTO_SEMANAL!$AH$6:$AH$2381)/$E38,0)</f>
        <v>0</v>
      </c>
      <c r="L38" s="18" t="n">
        <f aca="false">IFERROR(SUMIF(PLANEJAMENTO_SEMANAL!$E$6:$E$2381,$B38,PLANEJAMENTO_SEMANAL!$AI$6:$AI$2381)/$E38,0)</f>
        <v>0</v>
      </c>
      <c r="M38" s="18" t="n">
        <f aca="false">SUMIF(PLANEJAMENTO_SEMANAL!$E$6:$E$2381,$B38,PLANEJAMENTO_SEMANAL!$Y$6:$Y$2381)</f>
        <v>0</v>
      </c>
      <c r="N38" s="16" t="n">
        <f aca="false">SUMIF(PLANEJAMENTO_SEMANAL!$E$6:$E$2381,$B38,PLANEJAMENTO_SEMANAL!$Z$6:$Z$2381)</f>
        <v>0</v>
      </c>
      <c r="O38" s="18" t="n">
        <f aca="false">IFERROR(INDEX(CADASTRO_PIVOS!$I$6:$I$41,MATCH($B38,CADASTRO_PIVOS!$B$6:$B$41,0)),0)</f>
        <v>526.666666666667</v>
      </c>
      <c r="P38" s="18" t="n">
        <f aca="false">SUMIF(PLANEJAMENTO_SEMANAL!$E$6:$E$2381,$B38,PLANEJAMENTO_SEMANAL!$AB$6:$AB$2381)</f>
        <v>0</v>
      </c>
      <c r="Q38" s="19" t="n">
        <f aca="false">IFERROR(_xlfn.MAXIFS(PLANEJAMENTO_SEMANAL!$AD$6:$AD$2381,PLANEJAMENTO_SEMANAL!$E$6:$E$2381,$B38),0)</f>
        <v>0</v>
      </c>
      <c r="R38" s="16" t="n">
        <f aca="false">IFERROR(INDEX(PLANEJAMENTO_SEMANAL!$B$6:$B$2381,MATCH($B38&amp;"|"&amp;TEXT($Q38,"0.000000"),PLANEJAMENTO_SEMANAL!$AK$6:$AK$2381,0)),"-")</f>
        <v>1</v>
      </c>
      <c r="S38" s="8" t="str">
        <f aca="false">IF($Q38&gt;LIMITE_CRITICO,"INVIAVEL em 21 h/dia",IF($Q38&gt;LIMITE_ATENCAO,"CRITICO",IF($Q38&gt;LIMITE_CONFORTAVEL,"ATENCAO","OK")))</f>
        <v>OK</v>
      </c>
    </row>
    <row r="39" customFormat="false" ht="15" hidden="false" customHeight="false" outlineLevel="0" collapsed="false">
      <c r="B39" s="15" t="s">
        <v>292</v>
      </c>
      <c r="C39" s="8" t="str">
        <f aca="false">IFERROR(INDEX(CADASTRO_PIVOS!$C$6:$C$41,MATCH($B39,CADASTRO_PIVOS!$B$6:$B$41,0)),"?")</f>
        <v>RM08</v>
      </c>
      <c r="D39" s="8" t="str">
        <f aca="false">IFERROR(INDEX(CADASTRO_PIVOS!$D$6:$D$41,MATCH($B39,CADASTRO_PIVOS!$B$6:$B$41,0)),"?")</f>
        <v>TR08</v>
      </c>
      <c r="E39" s="20" t="n">
        <f aca="false">IFERROR(INDEX(CADASTRO_PIVOS!$E$6:$E$41,MATCH($B39,CADASTRO_PIVOS!$B$6:$B$41,0)),0)</f>
        <v>64</v>
      </c>
      <c r="F39" s="8" t="str">
        <f aca="false">IFERROR(IF(INDEX(ROTACAO_RDM!$D$6:$D$71,MATCH($B39,ROTACAO_RDM!$D$6:$D$71,0)+0)=$B39,INDEX(ROTACAO_RDM!$F$6:$F$71,MATCH($B39,ROTACAO_RDM!$D$6:$D$71,0)+0),""),"")</f>
        <v/>
      </c>
      <c r="G39" s="8" t="str">
        <f aca="false">IFERROR(IF(INDEX(ROTACAO_RDM!$D$6:$D$71,MATCH($B39,ROTACAO_RDM!$D$6:$D$71,0)+1)=$B39,INDEX(ROTACAO_RDM!$F$6:$F$71,MATCH($B39,ROTACAO_RDM!$D$6:$D$71,0)+1),""),"")</f>
        <v/>
      </c>
      <c r="H39" s="8" t="str">
        <f aca="false">IFERROR(IF(INDEX(ROTACAO_RDM!$D$6:$D$71,MATCH($B39,ROTACAO_RDM!$D$6:$D$71,0)+2)=$B39,INDEX(ROTACAO_RDM!$F$6:$F$71,MATCH($B39,ROTACAO_RDM!$D$6:$D$71,0)+2),""),"")</f>
        <v/>
      </c>
      <c r="I39" s="16" t="n">
        <f aca="false">COUNTIFS(PLANEJAMENTO_SEMANAL!$E$6:$E$2381,$B39,PLANEJAMENTO_SEMANAL!$K$6:$K$2381,"&lt;&gt;SEM CULTURA")</f>
        <v>0</v>
      </c>
      <c r="J39" s="18" t="n">
        <f aca="false">IFERROR(SUMIF(PLANEJAMENTO_SEMANAL!$E$6:$E$2381,$B39,PLANEJAMENTO_SEMANAL!$AG$6:$AG$2381)/$E39,0)</f>
        <v>0</v>
      </c>
      <c r="K39" s="18" t="n">
        <f aca="false">IFERROR(SUMIF(PLANEJAMENTO_SEMANAL!$E$6:$E$2381,$B39,PLANEJAMENTO_SEMANAL!$AH$6:$AH$2381)/$E39,0)</f>
        <v>0</v>
      </c>
      <c r="L39" s="18" t="n">
        <f aca="false">IFERROR(SUMIF(PLANEJAMENTO_SEMANAL!$E$6:$E$2381,$B39,PLANEJAMENTO_SEMANAL!$AI$6:$AI$2381)/$E39,0)</f>
        <v>0</v>
      </c>
      <c r="M39" s="18" t="n">
        <f aca="false">SUMIF(PLANEJAMENTO_SEMANAL!$E$6:$E$2381,$B39,PLANEJAMENTO_SEMANAL!$Y$6:$Y$2381)</f>
        <v>0</v>
      </c>
      <c r="N39" s="16" t="n">
        <f aca="false">SUMIF(PLANEJAMENTO_SEMANAL!$E$6:$E$2381,$B39,PLANEJAMENTO_SEMANAL!$Z$6:$Z$2381)</f>
        <v>0</v>
      </c>
      <c r="O39" s="18" t="n">
        <f aca="false">IFERROR(INDEX(CADASTRO_PIVOS!$I$6:$I$41,MATCH($B39,CADASTRO_PIVOS!$B$6:$B$41,0)),0)</f>
        <v>457.142857142857</v>
      </c>
      <c r="P39" s="18" t="n">
        <f aca="false">SUMIF(PLANEJAMENTO_SEMANAL!$E$6:$E$2381,$B39,PLANEJAMENTO_SEMANAL!$AB$6:$AB$2381)</f>
        <v>0</v>
      </c>
      <c r="Q39" s="19" t="n">
        <f aca="false">IFERROR(_xlfn.MAXIFS(PLANEJAMENTO_SEMANAL!$AD$6:$AD$2381,PLANEJAMENTO_SEMANAL!$E$6:$E$2381,$B39),0)</f>
        <v>0</v>
      </c>
      <c r="R39" s="16" t="n">
        <f aca="false">IFERROR(INDEX(PLANEJAMENTO_SEMANAL!$B$6:$B$2381,MATCH($B39&amp;"|"&amp;TEXT($Q39,"0.000000"),PLANEJAMENTO_SEMANAL!$AK$6:$AK$2381,0)),"-")</f>
        <v>1</v>
      </c>
      <c r="S39" s="8" t="str">
        <f aca="false">IF($Q39&gt;LIMITE_CRITICO,"INVIAVEL em 21 h/dia",IF($Q39&gt;LIMITE_ATENCAO,"CRITICO",IF($Q39&gt;LIMITE_CONFORTAVEL,"ATENCAO","OK")))</f>
        <v>OK</v>
      </c>
    </row>
    <row r="40" customFormat="false" ht="15" hidden="false" customHeight="false" outlineLevel="0" collapsed="false">
      <c r="B40" s="15" t="s">
        <v>293</v>
      </c>
      <c r="C40" s="8" t="str">
        <f aca="false">IFERROR(INDEX(CADASTRO_PIVOS!$C$6:$C$41,MATCH($B40,CADASTRO_PIVOS!$B$6:$B$41,0)),"?")</f>
        <v>RM08</v>
      </c>
      <c r="D40" s="8" t="str">
        <f aca="false">IFERROR(INDEX(CADASTRO_PIVOS!$D$6:$D$41,MATCH($B40,CADASTRO_PIVOS!$B$6:$B$41,0)),"?")</f>
        <v>TR08</v>
      </c>
      <c r="E40" s="20" t="n">
        <f aca="false">IFERROR(INDEX(CADASTRO_PIVOS!$E$6:$E$41,MATCH($B40,CADASTRO_PIVOS!$B$6:$B$41,0)),0)</f>
        <v>86</v>
      </c>
      <c r="F40" s="8" t="str">
        <f aca="false">IFERROR(IF(INDEX(ROTACAO_RDM!$D$6:$D$71,MATCH($B40,ROTACAO_RDM!$D$6:$D$71,0)+0)=$B40,INDEX(ROTACAO_RDM!$F$6:$F$71,MATCH($B40,ROTACAO_RDM!$D$6:$D$71,0)+0),""),"")</f>
        <v/>
      </c>
      <c r="G40" s="8" t="str">
        <f aca="false">IFERROR(IF(INDEX(ROTACAO_RDM!$D$6:$D$71,MATCH($B40,ROTACAO_RDM!$D$6:$D$71,0)+1)=$B40,INDEX(ROTACAO_RDM!$F$6:$F$71,MATCH($B40,ROTACAO_RDM!$D$6:$D$71,0)+1),""),"")</f>
        <v/>
      </c>
      <c r="H40" s="8" t="str">
        <f aca="false">IFERROR(IF(INDEX(ROTACAO_RDM!$D$6:$D$71,MATCH($B40,ROTACAO_RDM!$D$6:$D$71,0)+2)=$B40,INDEX(ROTACAO_RDM!$F$6:$F$71,MATCH($B40,ROTACAO_RDM!$D$6:$D$71,0)+2),""),"")</f>
        <v/>
      </c>
      <c r="I40" s="16" t="n">
        <f aca="false">COUNTIFS(PLANEJAMENTO_SEMANAL!$E$6:$E$2381,$B40,PLANEJAMENTO_SEMANAL!$K$6:$K$2381,"&lt;&gt;SEM CULTURA")</f>
        <v>0</v>
      </c>
      <c r="J40" s="18" t="n">
        <f aca="false">IFERROR(SUMIF(PLANEJAMENTO_SEMANAL!$E$6:$E$2381,$B40,PLANEJAMENTO_SEMANAL!$AG$6:$AG$2381)/$E40,0)</f>
        <v>0</v>
      </c>
      <c r="K40" s="18" t="n">
        <f aca="false">IFERROR(SUMIF(PLANEJAMENTO_SEMANAL!$E$6:$E$2381,$B40,PLANEJAMENTO_SEMANAL!$AH$6:$AH$2381)/$E40,0)</f>
        <v>0</v>
      </c>
      <c r="L40" s="18" t="n">
        <f aca="false">IFERROR(SUMIF(PLANEJAMENTO_SEMANAL!$E$6:$E$2381,$B40,PLANEJAMENTO_SEMANAL!$AI$6:$AI$2381)/$E40,0)</f>
        <v>0</v>
      </c>
      <c r="M40" s="18" t="n">
        <f aca="false">SUMIF(PLANEJAMENTO_SEMANAL!$E$6:$E$2381,$B40,PLANEJAMENTO_SEMANAL!$Y$6:$Y$2381)</f>
        <v>0</v>
      </c>
      <c r="N40" s="16" t="n">
        <f aca="false">SUMIF(PLANEJAMENTO_SEMANAL!$E$6:$E$2381,$B40,PLANEJAMENTO_SEMANAL!$Z$6:$Z$2381)</f>
        <v>0</v>
      </c>
      <c r="O40" s="18" t="n">
        <f aca="false">IFERROR(INDEX(CADASTRO_PIVOS!$I$6:$I$41,MATCH($B40,CADASTRO_PIVOS!$B$6:$B$41,0)),0)</f>
        <v>614.285714285714</v>
      </c>
      <c r="P40" s="18" t="n">
        <f aca="false">SUMIF(PLANEJAMENTO_SEMANAL!$E$6:$E$2381,$B40,PLANEJAMENTO_SEMANAL!$AB$6:$AB$2381)</f>
        <v>0</v>
      </c>
      <c r="Q40" s="19" t="n">
        <f aca="false">IFERROR(_xlfn.MAXIFS(PLANEJAMENTO_SEMANAL!$AD$6:$AD$2381,PLANEJAMENTO_SEMANAL!$E$6:$E$2381,$B40),0)</f>
        <v>0</v>
      </c>
      <c r="R40" s="16" t="n">
        <f aca="false">IFERROR(INDEX(PLANEJAMENTO_SEMANAL!$B$6:$B$2381,MATCH($B40&amp;"|"&amp;TEXT($Q40,"0.000000"),PLANEJAMENTO_SEMANAL!$AK$6:$AK$2381,0)),"-")</f>
        <v>1</v>
      </c>
      <c r="S40" s="8" t="str">
        <f aca="false">IF($Q40&gt;LIMITE_CRITICO,"INVIAVEL em 21 h/dia",IF($Q40&gt;LIMITE_ATENCAO,"CRITICO",IF($Q40&gt;LIMITE_CONFORTAVEL,"ATENCAO","OK")))</f>
        <v>OK</v>
      </c>
    </row>
    <row r="41" customFormat="false" ht="15" hidden="false" customHeight="false" outlineLevel="0" collapsed="false">
      <c r="B41" s="15" t="s">
        <v>294</v>
      </c>
      <c r="C41" s="8" t="str">
        <f aca="false">IFERROR(INDEX(CADASTRO_PIVOS!$C$6:$C$41,MATCH($B41,CADASTRO_PIVOS!$B$6:$B$41,0)),"?")</f>
        <v>RM08</v>
      </c>
      <c r="D41" s="8" t="str">
        <f aca="false">IFERROR(INDEX(CADASTRO_PIVOS!$D$6:$D$41,MATCH($B41,CADASTRO_PIVOS!$B$6:$B$41,0)),"?")</f>
        <v>TR08</v>
      </c>
      <c r="E41" s="20" t="n">
        <f aca="false">IFERROR(INDEX(CADASTRO_PIVOS!$E$6:$E$41,MATCH($B41,CADASTRO_PIVOS!$B$6:$B$41,0)),0)</f>
        <v>150</v>
      </c>
      <c r="F41" s="8" t="str">
        <f aca="false">IFERROR(IF(INDEX(ROTACAO_RDM!$D$6:$D$71,MATCH($B41,ROTACAO_RDM!$D$6:$D$71,0)+0)=$B41,INDEX(ROTACAO_RDM!$F$6:$F$71,MATCH($B41,ROTACAO_RDM!$D$6:$D$71,0)+0),""),"")</f>
        <v/>
      </c>
      <c r="G41" s="8" t="str">
        <f aca="false">IFERROR(IF(INDEX(ROTACAO_RDM!$D$6:$D$71,MATCH($B41,ROTACAO_RDM!$D$6:$D$71,0)+1)=$B41,INDEX(ROTACAO_RDM!$F$6:$F$71,MATCH($B41,ROTACAO_RDM!$D$6:$D$71,0)+1),""),"")</f>
        <v/>
      </c>
      <c r="H41" s="8" t="str">
        <f aca="false">IFERROR(IF(INDEX(ROTACAO_RDM!$D$6:$D$71,MATCH($B41,ROTACAO_RDM!$D$6:$D$71,0)+2)=$B41,INDEX(ROTACAO_RDM!$F$6:$F$71,MATCH($B41,ROTACAO_RDM!$D$6:$D$71,0)+2),""),"")</f>
        <v/>
      </c>
      <c r="I41" s="16" t="n">
        <f aca="false">COUNTIFS(PLANEJAMENTO_SEMANAL!$E$6:$E$2381,$B41,PLANEJAMENTO_SEMANAL!$K$6:$K$2381,"&lt;&gt;SEM CULTURA")</f>
        <v>0</v>
      </c>
      <c r="J41" s="18" t="n">
        <f aca="false">IFERROR(SUMIF(PLANEJAMENTO_SEMANAL!$E$6:$E$2381,$B41,PLANEJAMENTO_SEMANAL!$AG$6:$AG$2381)/$E41,0)</f>
        <v>0</v>
      </c>
      <c r="K41" s="18" t="n">
        <f aca="false">IFERROR(SUMIF(PLANEJAMENTO_SEMANAL!$E$6:$E$2381,$B41,PLANEJAMENTO_SEMANAL!$AH$6:$AH$2381)/$E41,0)</f>
        <v>0</v>
      </c>
      <c r="L41" s="18" t="n">
        <f aca="false">IFERROR(SUMIF(PLANEJAMENTO_SEMANAL!$E$6:$E$2381,$B41,PLANEJAMENTO_SEMANAL!$AI$6:$AI$2381)/$E41,0)</f>
        <v>0</v>
      </c>
      <c r="M41" s="18" t="n">
        <f aca="false">SUMIF(PLANEJAMENTO_SEMANAL!$E$6:$E$2381,$B41,PLANEJAMENTO_SEMANAL!$Y$6:$Y$2381)</f>
        <v>0</v>
      </c>
      <c r="N41" s="16" t="n">
        <f aca="false">SUMIF(PLANEJAMENTO_SEMANAL!$E$6:$E$2381,$B41,PLANEJAMENTO_SEMANAL!$Z$6:$Z$2381)</f>
        <v>0</v>
      </c>
      <c r="O41" s="18" t="n">
        <f aca="false">IFERROR(INDEX(CADASTRO_PIVOS!$I$6:$I$41,MATCH($B41,CADASTRO_PIVOS!$B$6:$B$41,0)),0)</f>
        <v>1071.42857142857</v>
      </c>
      <c r="P41" s="18" t="n">
        <f aca="false">SUMIF(PLANEJAMENTO_SEMANAL!$E$6:$E$2381,$B41,PLANEJAMENTO_SEMANAL!$AB$6:$AB$2381)</f>
        <v>0</v>
      </c>
      <c r="Q41" s="19" t="n">
        <f aca="false">IFERROR(_xlfn.MAXIFS(PLANEJAMENTO_SEMANAL!$AD$6:$AD$2381,PLANEJAMENTO_SEMANAL!$E$6:$E$2381,$B41),0)</f>
        <v>0</v>
      </c>
      <c r="R41" s="16" t="n">
        <f aca="false">IFERROR(INDEX(PLANEJAMENTO_SEMANAL!$B$6:$B$2381,MATCH($B41&amp;"|"&amp;TEXT($Q41,"0.000000"),PLANEJAMENTO_SEMANAL!$AK$6:$AK$2381,0)),"-")</f>
        <v>1</v>
      </c>
      <c r="S41" s="8" t="str">
        <f aca="false">IF($Q41&gt;LIMITE_CRITICO,"INVIAVEL em 21 h/dia",IF($Q41&gt;LIMITE_ATENCAO,"CRITICO",IF($Q41&gt;LIMITE_CONFORTAVEL,"ATENCAO","OK")))</f>
        <v>OK</v>
      </c>
    </row>
    <row r="42" customFormat="false" ht="15" hidden="false" customHeight="false" outlineLevel="0" collapsed="false">
      <c r="B42" s="15" t="s">
        <v>239</v>
      </c>
      <c r="E42" s="18" t="n">
        <f aca="false">SUM(E6:E41)</f>
        <v>4351.08</v>
      </c>
      <c r="N42" s="18" t="n">
        <f aca="false">SUM(N6:N41)</f>
        <v>25082950.040794</v>
      </c>
      <c r="P42" s="18" t="n">
        <f aca="false">SUM(P6:P41)</f>
        <v>29176.8565494164</v>
      </c>
    </row>
  </sheetData>
  <mergeCells count="2">
    <mergeCell ref="B2:S2"/>
    <mergeCell ref="B3:S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23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9" min="8" style="0" width="10"/>
    <col collapsed="false" customWidth="true" hidden="tru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true" outlineLevel="0" max="16" min="16" style="0" width="13"/>
    <col collapsed="false" customWidth="true" hidden="false" outlineLevel="0" max="17" min="17" style="0" width="17"/>
    <col collapsed="false" customWidth="true" hidden="false" outlineLevel="0" max="18" min="18" style="0" width="8"/>
    <col collapsed="false" customWidth="true" hidden="false" outlineLevel="0" max="19" min="19" style="0" width="13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13"/>
    <col collapsed="false" customWidth="true" hidden="false" outlineLevel="0" max="23" min="23" style="0" width="15"/>
    <col collapsed="false" customWidth="true" hidden="false" outlineLevel="0" max="24" min="24" style="0" width="11"/>
    <col collapsed="false" customWidth="true" hidden="false" outlineLevel="0" max="26" min="25" style="0" width="13"/>
    <col collapsed="false" customWidth="true" hidden="false" outlineLevel="0" max="27" min="27" style="0" width="14"/>
    <col collapsed="false" customWidth="true" hidden="false" outlineLevel="0" max="29" min="28" style="0" width="13"/>
    <col collapsed="false" customWidth="true" hidden="false" outlineLevel="0" max="31" min="30" style="0" width="14"/>
    <col collapsed="false" customWidth="true" hidden="true" outlineLevel="0" max="32" min="32" style="0" width="18"/>
    <col collapsed="false" customWidth="true" hidden="true" outlineLevel="0" max="33" min="33" style="0" width="15"/>
    <col collapsed="false" customWidth="true" hidden="true" outlineLevel="0" max="34" min="34" style="0" width="17"/>
    <col collapsed="false" customWidth="true" hidden="true" outlineLevel="0" max="35" min="35" style="0" width="18"/>
    <col collapsed="false" customWidth="true" hidden="true" outlineLevel="0" max="36" min="36" style="0" width="15"/>
    <col collapsed="false" customWidth="true" hidden="true" outlineLevel="0" max="37" min="37" style="0" width="18"/>
  </cols>
  <sheetData>
    <row r="2" customFormat="false" ht="30" hidden="false" customHeight="true" outlineLevel="0" collapsed="false">
      <c r="B2" s="1" t="s">
        <v>295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customFormat="false" ht="25.5" hidden="false" customHeight="true" outlineLevel="0" collapsed="false">
      <c r="B3" s="2" t="s">
        <v>296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5" customFormat="false" ht="30" hidden="false" customHeight="true" outlineLevel="0" collapsed="false">
      <c r="B5" s="14" t="s">
        <v>88</v>
      </c>
      <c r="C5" s="14" t="s">
        <v>89</v>
      </c>
      <c r="D5" s="14" t="s">
        <v>90</v>
      </c>
      <c r="E5" s="14" t="s">
        <v>243</v>
      </c>
      <c r="F5" s="14" t="s">
        <v>68</v>
      </c>
      <c r="G5" s="14" t="s">
        <v>244</v>
      </c>
      <c r="H5" s="14" t="s">
        <v>245</v>
      </c>
      <c r="I5" s="14" t="s">
        <v>297</v>
      </c>
      <c r="J5" s="14" t="s">
        <v>298</v>
      </c>
      <c r="K5" s="14" t="s">
        <v>223</v>
      </c>
      <c r="L5" s="14" t="s">
        <v>299</v>
      </c>
      <c r="M5" s="14" t="s">
        <v>300</v>
      </c>
      <c r="N5" s="14" t="s">
        <v>301</v>
      </c>
      <c r="O5" s="14" t="s">
        <v>302</v>
      </c>
      <c r="P5" s="14" t="s">
        <v>303</v>
      </c>
      <c r="Q5" s="14" t="s">
        <v>304</v>
      </c>
      <c r="R5" s="14" t="s">
        <v>305</v>
      </c>
      <c r="S5" s="14" t="s">
        <v>306</v>
      </c>
      <c r="T5" s="14" t="s">
        <v>119</v>
      </c>
      <c r="U5" s="14" t="s">
        <v>307</v>
      </c>
      <c r="V5" s="14" t="s">
        <v>120</v>
      </c>
      <c r="W5" s="14" t="s">
        <v>308</v>
      </c>
      <c r="X5" s="14" t="s">
        <v>309</v>
      </c>
      <c r="Y5" s="14" t="s">
        <v>310</v>
      </c>
      <c r="Z5" s="14" t="s">
        <v>231</v>
      </c>
      <c r="AA5" s="14" t="s">
        <v>254</v>
      </c>
      <c r="AB5" s="14" t="s">
        <v>311</v>
      </c>
      <c r="AC5" s="14" t="s">
        <v>312</v>
      </c>
      <c r="AD5" s="14" t="s">
        <v>313</v>
      </c>
      <c r="AE5" s="14" t="s">
        <v>258</v>
      </c>
      <c r="AF5" s="14" t="s">
        <v>314</v>
      </c>
      <c r="AG5" s="14" t="s">
        <v>315</v>
      </c>
      <c r="AH5" s="14" t="s">
        <v>316</v>
      </c>
      <c r="AI5" s="14" t="s">
        <v>317</v>
      </c>
      <c r="AJ5" s="14" t="s">
        <v>318</v>
      </c>
      <c r="AK5" s="14" t="s">
        <v>319</v>
      </c>
    </row>
    <row r="6" customFormat="false" ht="15" hidden="false" customHeight="false" outlineLevel="0" collapsed="false">
      <c r="B6" s="16" t="n">
        <v>1</v>
      </c>
      <c r="C6" s="17" t="n">
        <f aca="false">DATA_INICIO_SAFRA+($B6-1)*DIAS_POR_SEMANA</f>
        <v>46265</v>
      </c>
      <c r="D6" s="17" t="n">
        <f aca="false">$C6+DIAS_POR_SEMANA-1</f>
        <v>46271</v>
      </c>
      <c r="E6" s="15" t="s">
        <v>259</v>
      </c>
      <c r="F6" s="8" t="str">
        <f aca="false">IFERROR(INDEX(CADASTRO_PIVOS!$C$6:$C$41,MATCH($E6,CADASTRO_PIVOS!$B$6:$B$41,0)),"?")</f>
        <v>RM01</v>
      </c>
      <c r="G6" s="8" t="str">
        <f aca="false">IFERROR(INDEX(CADASTRO_PIVOS!$D$6:$D$41,MATCH($E6,CADASTRO_PIVOS!$B$6:$B$41,0)),"?")</f>
        <v>TR01</v>
      </c>
      <c r="H6" s="20" t="n">
        <f aca="false">IFERROR(INDEX(CADASTRO_PIVOS!$E$6:$E$41,MATCH($E6,CADASTRO_PIVOS!$B$6:$B$41,0)),0)</f>
        <v>98.31</v>
      </c>
      <c r="I6" s="16" t="n">
        <f aca="false">IFERROR(SUMIFS(ROTACAO_RDM!$B$6:$B$71,ROTACAO_RDM!$D$6:$D$71,$E6,ROTACAO_RDM!$I$6:$I$71,"&lt;="&amp;$C6+INT(DIAS_POR_SEMANA/2),ROTACAO_RDM!$J$6:$J$71,"&gt;="&amp;$C6+INT(DIAS_POR_SEMANA/2)),0)</f>
        <v>0</v>
      </c>
      <c r="J6" s="16" t="n">
        <f aca="false">IFERROR(MATCH($I6,ROTACAO_RDM!$B$6:$B$71,0),0)</f>
        <v>0</v>
      </c>
      <c r="K6" s="8" t="str">
        <f aca="false">IF($J6=0,"SEM CULTURA",INDEX(ROTACAO_RDM!$F$6:$F$71,$J6))</f>
        <v>SEM CULTURA</v>
      </c>
      <c r="L6" s="8" t="str">
        <f aca="false">IF($J6=0,"",INDEX(ROTACAO_RDM!$G$6:$G$71,$J6))</f>
        <v/>
      </c>
      <c r="M6" s="17" t="str">
        <f aca="false">IF($J6=0,"",INDEX(ROTACAO_RDM!$I$6:$I$71,$J6))</f>
        <v/>
      </c>
      <c r="N6" s="16" t="n">
        <f aca="false">IF($J6=0,0,MAX(0,$C6+INT(DIAS_POR_SEMANA/2)-INDEX(ROTACAO_RDM!$I$6:$I$71,$J6)))</f>
        <v>0</v>
      </c>
      <c r="O6" s="19" t="n">
        <f aca="false">IF($J6=0,0,MIN(1,$N6/MAX(1,INDEX(ROTACAO_RDM!$K$6:$K$71,$J6))))</f>
        <v>0</v>
      </c>
      <c r="P6" s="16" t="n">
        <f aca="false">IF($J6=0,0,IFERROR(MATCH(INDEX(ROTACAO_RDM!$N$6:$N$71,$J6),PARAMETROS_CULTURAS!$B$6:$B$28,0),0))</f>
        <v>0</v>
      </c>
      <c r="Q6" s="8" t="str">
        <f aca="false">IF($P6=0,"-",IF($O6&lt;=INDEX(PARAMETROS_CULTURAS!$F$6:$F$28,$P6),"INICIAL",IF($O6&lt;=INDEX(PARAMETROS_CULTURAS!$F$6:$F$28,$P6)+INDEX(PARAMETROS_CULTURAS!$G$6:$G$28,$P6),"DESENVOLVIMENTO",IF($O6&lt;=INDEX(PARAMETROS_CULTURAS!$F$6:$F$28,$P6)+INDEX(PARAMETROS_CULTURAS!$G$6:$G$28,$P6)+INDEX(PARAMETROS_CULTURAS!$H$6:$H$28,$P6),"MEDIA","FINAL"))))</f>
        <v>-</v>
      </c>
      <c r="R6" s="24" t="n">
        <f aca="false">IF($P6=0,0,IF($O6&lt;=INDEX(PARAMETROS_CULTURAS!$F$6:$F$28,$P6),INDEX(PARAMETROS_CULTURAS!$K$6:$K$28,$P6),IF($O6&lt;=INDEX(PARAMETROS_CULTURAS!$F$6:$F$28,$P6)+INDEX(PARAMETROS_CULTURAS!$G$6:$G$28,$P6),INDEX(PARAMETROS_CULTURAS!$K$6:$K$28,$P6)+(INDEX(PARAMETROS_CULTURAS!$L$6:$L$28,$P6)-INDEX(PARAMETROS_CULTURAS!$K$6:$K$28,$P6))*($O6-INDEX(PARAMETROS_CULTURAS!$F$6:$F$28,$P6))/MAX(INDEX(PARAMETROS_CULTURAS!$G$6:$G$28,$P6),0.0001),IF($O6&lt;=INDEX(PARAMETROS_CULTURAS!$F$6:$F$28,$P6)+INDEX(PARAMETROS_CULTURAS!$G$6:$G$28,$P6)+INDEX(PARAMETROS_CULTURAS!$H$6:$H$28,$P6),INDEX(PARAMETROS_CULTURAS!$L$6:$L$28,$P6),INDEX(PARAMETROS_CULTURAS!$L$6:$L$28,$P6)+(INDEX(PARAMETROS_CULTURAS!$M$6:$M$28,$P6)-INDEX(PARAMETROS_CULTURAS!$L$6:$L$28,$P6))*($O6-INDEX(PARAMETROS_CULTURAS!$F$6:$F$28,$P6)-INDEX(PARAMETROS_CULTURAS!$G$6:$G$28,$P6)-INDEX(PARAMETROS_CULTURAS!$H$6:$H$28,$P6))/MAX(INDEX(PARAMETROS_CULTURAS!$I$6:$I$28,$P6),0.0001)))))</f>
        <v>0</v>
      </c>
      <c r="S6" s="18" t="n">
        <f aca="false">IFERROR(INDEX(SEMANAS!$H$6:$H$71,MATCH($B6,SEMANAS!$B$6:$B$71,0)),0)</f>
        <v>40</v>
      </c>
      <c r="T6" s="18" t="n">
        <f aca="false">$R6*$S6</f>
        <v>0</v>
      </c>
      <c r="U6" s="18" t="n">
        <f aca="false">IFERROR(INDEX(SEMANAS!$I$6:$I$71,MATCH($B6,SEMANAS!$B$6:$B$71,0)),0)</f>
        <v>6.16</v>
      </c>
      <c r="V6" s="18" t="n">
        <f aca="false">IFERROR(INDEX(SEMANAS!$J$6:$J$71,MATCH($B6,SEMANAS!$B$6:$B$71,0)),0)</f>
        <v>4.928</v>
      </c>
      <c r="W6" s="18" t="n">
        <f aca="false">MAX(0,$T6-$V6)</f>
        <v>0</v>
      </c>
      <c r="X6" s="19" t="n">
        <f aca="false">IFERROR(INDEX(CADASTRO_PIVOS!$K$6:$K$41,MATCH($E6,CADASTRO_PIVOS!$B$6:$B$41,0)),EFICIENCIA_PADRAO)</f>
        <v>0.85</v>
      </c>
      <c r="Y6" s="18" t="n">
        <f aca="false">IF($X6&lt;=0,0,$W6/$X6)</f>
        <v>0</v>
      </c>
      <c r="Z6" s="16" t="n">
        <f aca="false">$Y6*$H6*MM_PARA_M3_HA</f>
        <v>0</v>
      </c>
      <c r="AA6" s="18" t="n">
        <f aca="false">IFERROR(INDEX(CADASTRO_PIVOS!$I$6:$I$41,MATCH($E6,CADASTRO_PIVOS!$B$6:$B$41,0)),0)</f>
        <v>702.214285714286</v>
      </c>
      <c r="AB6" s="18" t="n">
        <f aca="false">IF($Z6&lt;=0,0,$Z6/$AA6)</f>
        <v>0</v>
      </c>
      <c r="AC6" s="16" t="n">
        <f aca="false">IFERROR(INDEX(SEMANAS!$K$6:$K$71,MATCH($B6,SEMANAS!$B$6:$B$71,0)),0)</f>
        <v>147</v>
      </c>
      <c r="AD6" s="19" t="n">
        <f aca="false">IF($AC6&lt;=0,0,$AB6/$AC6)</f>
        <v>0</v>
      </c>
      <c r="AE6" s="8" t="str">
        <f aca="false">IF($K6="SEM CULTURA","SEM CULTURA",IF($AA6&lt;=0,"DADO PENDENTE",IF($AD6&gt;LIMITE_CRITICO,"INVIAVEL",IF($AD6&gt;LIMITE_ATENCAO,"CRITICO",IF($AD6&gt;LIMITE_CONFORTAVEL,"ATENCAO","OK")))))</f>
        <v>SEM CULTURA</v>
      </c>
      <c r="AF6" s="8" t="str">
        <f aca="false">$B6&amp;"|"&amp;TEXT($AD6,"0.000000")</f>
        <v>1|0.000000</v>
      </c>
      <c r="AG6" s="18" t="n">
        <f aca="false">IF($K6="SEM CULTURA",0,$T6*$H6)</f>
        <v>0</v>
      </c>
      <c r="AH6" s="18" t="n">
        <f aca="false">IF($K6="SEM CULTURA",0,$V6*$H6)</f>
        <v>0</v>
      </c>
      <c r="AI6" s="18" t="n">
        <f aca="false">IF($K6="SEM CULTURA",0,$W6*$H6)</f>
        <v>0</v>
      </c>
      <c r="AJ6" s="18" t="n">
        <f aca="false">IF($K6="SEM CULTURA",0,$S6*$H6)</f>
        <v>0</v>
      </c>
      <c r="AK6" s="8" t="str">
        <f aca="false">$E6&amp;"|"&amp;TEXT($AD6,"0.000000")</f>
        <v>PV 109|0.000000</v>
      </c>
    </row>
    <row r="7" customFormat="false" ht="15" hidden="false" customHeight="false" outlineLevel="0" collapsed="false">
      <c r="B7" s="16" t="n">
        <v>2</v>
      </c>
      <c r="C7" s="17" t="n">
        <f aca="false">DATA_INICIO_SAFRA+($B7-1)*DIAS_POR_SEMANA</f>
        <v>46272</v>
      </c>
      <c r="D7" s="17" t="n">
        <f aca="false">$C7+DIAS_POR_SEMANA-1</f>
        <v>46278</v>
      </c>
      <c r="E7" s="15" t="s">
        <v>259</v>
      </c>
      <c r="F7" s="8" t="str">
        <f aca="false">IFERROR(INDEX(CADASTRO_PIVOS!$C$6:$C$41,MATCH($E7,CADASTRO_PIVOS!$B$6:$B$41,0)),"?")</f>
        <v>RM01</v>
      </c>
      <c r="G7" s="8" t="str">
        <f aca="false">IFERROR(INDEX(CADASTRO_PIVOS!$D$6:$D$41,MATCH($E7,CADASTRO_PIVOS!$B$6:$B$41,0)),"?")</f>
        <v>TR01</v>
      </c>
      <c r="H7" s="20" t="n">
        <f aca="false">IFERROR(INDEX(CADASTRO_PIVOS!$E$6:$E$41,MATCH($E7,CADASTRO_PIVOS!$B$6:$B$41,0)),0)</f>
        <v>98.31</v>
      </c>
      <c r="I7" s="16" t="n">
        <f aca="false">IFERROR(SUMIFS(ROTACAO_RDM!$B$6:$B$71,ROTACAO_RDM!$D$6:$D$71,$E7,ROTACAO_RDM!$I$6:$I$71,"&lt;="&amp;$C7+INT(DIAS_POR_SEMANA/2),ROTACAO_RDM!$J$6:$J$71,"&gt;="&amp;$C7+INT(DIAS_POR_SEMANA/2)),0)</f>
        <v>0</v>
      </c>
      <c r="J7" s="16" t="n">
        <f aca="false">IFERROR(MATCH($I7,ROTACAO_RDM!$B$6:$B$71,0),0)</f>
        <v>0</v>
      </c>
      <c r="K7" s="8" t="str">
        <f aca="false">IF($J7=0,"SEM CULTURA",INDEX(ROTACAO_RDM!$F$6:$F$71,$J7))</f>
        <v>SEM CULTURA</v>
      </c>
      <c r="L7" s="8" t="str">
        <f aca="false">IF($J7=0,"",INDEX(ROTACAO_RDM!$G$6:$G$71,$J7))</f>
        <v/>
      </c>
      <c r="M7" s="17" t="str">
        <f aca="false">IF($J7=0,"",INDEX(ROTACAO_RDM!$I$6:$I$71,$J7))</f>
        <v/>
      </c>
      <c r="N7" s="16" t="n">
        <f aca="false">IF($J7=0,0,MAX(0,$C7+INT(DIAS_POR_SEMANA/2)-INDEX(ROTACAO_RDM!$I$6:$I$71,$J7)))</f>
        <v>0</v>
      </c>
      <c r="O7" s="19" t="n">
        <f aca="false">IF($J7=0,0,MIN(1,$N7/MAX(1,INDEX(ROTACAO_RDM!$K$6:$K$71,$J7))))</f>
        <v>0</v>
      </c>
      <c r="P7" s="16" t="n">
        <f aca="false">IF($J7=0,0,IFERROR(MATCH(INDEX(ROTACAO_RDM!$N$6:$N$71,$J7),PARAMETROS_CULTURAS!$B$6:$B$28,0),0))</f>
        <v>0</v>
      </c>
      <c r="Q7" s="8" t="str">
        <f aca="false">IF($P7=0,"-",IF($O7&lt;=INDEX(PARAMETROS_CULTURAS!$F$6:$F$28,$P7),"INICIAL",IF($O7&lt;=INDEX(PARAMETROS_CULTURAS!$F$6:$F$28,$P7)+INDEX(PARAMETROS_CULTURAS!$G$6:$G$28,$P7),"DESENVOLVIMENTO",IF($O7&lt;=INDEX(PARAMETROS_CULTURAS!$F$6:$F$28,$P7)+INDEX(PARAMETROS_CULTURAS!$G$6:$G$28,$P7)+INDEX(PARAMETROS_CULTURAS!$H$6:$H$28,$P7),"MEDIA","FINAL"))))</f>
        <v>-</v>
      </c>
      <c r="R7" s="24" t="n">
        <f aca="false">IF($P7=0,0,IF($O7&lt;=INDEX(PARAMETROS_CULTURAS!$F$6:$F$28,$P7),INDEX(PARAMETROS_CULTURAS!$K$6:$K$28,$P7),IF($O7&lt;=INDEX(PARAMETROS_CULTURAS!$F$6:$F$28,$P7)+INDEX(PARAMETROS_CULTURAS!$G$6:$G$28,$P7),INDEX(PARAMETROS_CULTURAS!$K$6:$K$28,$P7)+(INDEX(PARAMETROS_CULTURAS!$L$6:$L$28,$P7)-INDEX(PARAMETROS_CULTURAS!$K$6:$K$28,$P7))*($O7-INDEX(PARAMETROS_CULTURAS!$F$6:$F$28,$P7))/MAX(INDEX(PARAMETROS_CULTURAS!$G$6:$G$28,$P7),0.0001),IF($O7&lt;=INDEX(PARAMETROS_CULTURAS!$F$6:$F$28,$P7)+INDEX(PARAMETROS_CULTURAS!$G$6:$G$28,$P7)+INDEX(PARAMETROS_CULTURAS!$H$6:$H$28,$P7),INDEX(PARAMETROS_CULTURAS!$L$6:$L$28,$P7),INDEX(PARAMETROS_CULTURAS!$L$6:$L$28,$P7)+(INDEX(PARAMETROS_CULTURAS!$M$6:$M$28,$P7)-INDEX(PARAMETROS_CULTURAS!$L$6:$L$28,$P7))*($O7-INDEX(PARAMETROS_CULTURAS!$F$6:$F$28,$P7)-INDEX(PARAMETROS_CULTURAS!$G$6:$G$28,$P7)-INDEX(PARAMETROS_CULTURAS!$H$6:$H$28,$P7))/MAX(INDEX(PARAMETROS_CULTURAS!$I$6:$I$28,$P7),0.0001)))))</f>
        <v>0</v>
      </c>
      <c r="S7" s="18" t="n">
        <f aca="false">IFERROR(INDEX(SEMANAS!$H$6:$H$71,MATCH($B7,SEMANAS!$B$6:$B$71,0)),0)</f>
        <v>40.6</v>
      </c>
      <c r="T7" s="18" t="n">
        <f aca="false">$R7*$S7</f>
        <v>0</v>
      </c>
      <c r="U7" s="18" t="n">
        <f aca="false">IFERROR(INDEX(SEMANAS!$I$6:$I$71,MATCH($B7,SEMANAS!$B$6:$B$71,0)),0)</f>
        <v>7</v>
      </c>
      <c r="V7" s="18" t="n">
        <f aca="false">IFERROR(INDEX(SEMANAS!$J$6:$J$71,MATCH($B7,SEMANAS!$B$6:$B$71,0)),0)</f>
        <v>5.6</v>
      </c>
      <c r="W7" s="18" t="n">
        <f aca="false">MAX(0,$T7-$V7)</f>
        <v>0</v>
      </c>
      <c r="X7" s="19" t="n">
        <f aca="false">IFERROR(INDEX(CADASTRO_PIVOS!$K$6:$K$41,MATCH($E7,CADASTRO_PIVOS!$B$6:$B$41,0)),EFICIENCIA_PADRAO)</f>
        <v>0.85</v>
      </c>
      <c r="Y7" s="18" t="n">
        <f aca="false">IF($X7&lt;=0,0,$W7/$X7)</f>
        <v>0</v>
      </c>
      <c r="Z7" s="16" t="n">
        <f aca="false">$Y7*$H7*MM_PARA_M3_HA</f>
        <v>0</v>
      </c>
      <c r="AA7" s="18" t="n">
        <f aca="false">IFERROR(INDEX(CADASTRO_PIVOS!$I$6:$I$41,MATCH($E7,CADASTRO_PIVOS!$B$6:$B$41,0)),0)</f>
        <v>702.214285714286</v>
      </c>
      <c r="AB7" s="18" t="n">
        <f aca="false">IF($Z7&lt;=0,0,$Z7/$AA7)</f>
        <v>0</v>
      </c>
      <c r="AC7" s="16" t="n">
        <f aca="false">IFERROR(INDEX(SEMANAS!$K$6:$K$71,MATCH($B7,SEMANAS!$B$6:$B$71,0)),0)</f>
        <v>147</v>
      </c>
      <c r="AD7" s="19" t="n">
        <f aca="false">IF($AC7&lt;=0,0,$AB7/$AC7)</f>
        <v>0</v>
      </c>
      <c r="AE7" s="8" t="str">
        <f aca="false">IF($K7="SEM CULTURA","SEM CULTURA",IF($AA7&lt;=0,"DADO PENDENTE",IF($AD7&gt;LIMITE_CRITICO,"INVIAVEL",IF($AD7&gt;LIMITE_ATENCAO,"CRITICO",IF($AD7&gt;LIMITE_CONFORTAVEL,"ATENCAO","OK")))))</f>
        <v>SEM CULTURA</v>
      </c>
      <c r="AF7" s="8" t="str">
        <f aca="false">$B7&amp;"|"&amp;TEXT($AD7,"0.000000")</f>
        <v>2|0.000000</v>
      </c>
      <c r="AG7" s="18" t="n">
        <f aca="false">IF($K7="SEM CULTURA",0,$T7*$H7)</f>
        <v>0</v>
      </c>
      <c r="AH7" s="18" t="n">
        <f aca="false">IF($K7="SEM CULTURA",0,$V7*$H7)</f>
        <v>0</v>
      </c>
      <c r="AI7" s="18" t="n">
        <f aca="false">IF($K7="SEM CULTURA",0,$W7*$H7)</f>
        <v>0</v>
      </c>
      <c r="AJ7" s="18" t="n">
        <f aca="false">IF($K7="SEM CULTURA",0,$S7*$H7)</f>
        <v>0</v>
      </c>
      <c r="AK7" s="8" t="str">
        <f aca="false">$E7&amp;"|"&amp;TEXT($AD7,"0.000000")</f>
        <v>PV 109|0.000000</v>
      </c>
    </row>
    <row r="8" customFormat="false" ht="15" hidden="false" customHeight="false" outlineLevel="0" collapsed="false">
      <c r="B8" s="16" t="n">
        <v>3</v>
      </c>
      <c r="C8" s="17" t="n">
        <f aca="false">DATA_INICIO_SAFRA+($B8-1)*DIAS_POR_SEMANA</f>
        <v>46279</v>
      </c>
      <c r="D8" s="17" t="n">
        <f aca="false">$C8+DIAS_POR_SEMANA-1</f>
        <v>46285</v>
      </c>
      <c r="E8" s="15" t="s">
        <v>259</v>
      </c>
      <c r="F8" s="8" t="str">
        <f aca="false">IFERROR(INDEX(CADASTRO_PIVOS!$C$6:$C$41,MATCH($E8,CADASTRO_PIVOS!$B$6:$B$41,0)),"?")</f>
        <v>RM01</v>
      </c>
      <c r="G8" s="8" t="str">
        <f aca="false">IFERROR(INDEX(CADASTRO_PIVOS!$D$6:$D$41,MATCH($E8,CADASTRO_PIVOS!$B$6:$B$41,0)),"?")</f>
        <v>TR01</v>
      </c>
      <c r="H8" s="20" t="n">
        <f aca="false">IFERROR(INDEX(CADASTRO_PIVOS!$E$6:$E$41,MATCH($E8,CADASTRO_PIVOS!$B$6:$B$41,0)),0)</f>
        <v>98.31</v>
      </c>
      <c r="I8" s="16" t="n">
        <f aca="false">IFERROR(SUMIFS(ROTACAO_RDM!$B$6:$B$71,ROTACAO_RDM!$D$6:$D$71,$E8,ROTACAO_RDM!$I$6:$I$71,"&lt;="&amp;$C8+INT(DIAS_POR_SEMANA/2),ROTACAO_RDM!$J$6:$J$71,"&gt;="&amp;$C8+INT(DIAS_POR_SEMANA/2)),0)</f>
        <v>0</v>
      </c>
      <c r="J8" s="16" t="n">
        <f aca="false">IFERROR(MATCH($I8,ROTACAO_RDM!$B$6:$B$71,0),0)</f>
        <v>0</v>
      </c>
      <c r="K8" s="8" t="str">
        <f aca="false">IF($J8=0,"SEM CULTURA",INDEX(ROTACAO_RDM!$F$6:$F$71,$J8))</f>
        <v>SEM CULTURA</v>
      </c>
      <c r="L8" s="8" t="str">
        <f aca="false">IF($J8=0,"",INDEX(ROTACAO_RDM!$G$6:$G$71,$J8))</f>
        <v/>
      </c>
      <c r="M8" s="17" t="str">
        <f aca="false">IF($J8=0,"",INDEX(ROTACAO_RDM!$I$6:$I$71,$J8))</f>
        <v/>
      </c>
      <c r="N8" s="16" t="n">
        <f aca="false">IF($J8=0,0,MAX(0,$C8+INT(DIAS_POR_SEMANA/2)-INDEX(ROTACAO_RDM!$I$6:$I$71,$J8)))</f>
        <v>0</v>
      </c>
      <c r="O8" s="19" t="n">
        <f aca="false">IF($J8=0,0,MIN(1,$N8/MAX(1,INDEX(ROTACAO_RDM!$K$6:$K$71,$J8))))</f>
        <v>0</v>
      </c>
      <c r="P8" s="16" t="n">
        <f aca="false">IF($J8=0,0,IFERROR(MATCH(INDEX(ROTACAO_RDM!$N$6:$N$71,$J8),PARAMETROS_CULTURAS!$B$6:$B$28,0),0))</f>
        <v>0</v>
      </c>
      <c r="Q8" s="8" t="str">
        <f aca="false">IF($P8=0,"-",IF($O8&lt;=INDEX(PARAMETROS_CULTURAS!$F$6:$F$28,$P8),"INICIAL",IF($O8&lt;=INDEX(PARAMETROS_CULTURAS!$F$6:$F$28,$P8)+INDEX(PARAMETROS_CULTURAS!$G$6:$G$28,$P8),"DESENVOLVIMENTO",IF($O8&lt;=INDEX(PARAMETROS_CULTURAS!$F$6:$F$28,$P8)+INDEX(PARAMETROS_CULTURAS!$G$6:$G$28,$P8)+INDEX(PARAMETROS_CULTURAS!$H$6:$H$28,$P8),"MEDIA","FINAL"))))</f>
        <v>-</v>
      </c>
      <c r="R8" s="24" t="n">
        <f aca="false">IF($P8=0,0,IF($O8&lt;=INDEX(PARAMETROS_CULTURAS!$F$6:$F$28,$P8),INDEX(PARAMETROS_CULTURAS!$K$6:$K$28,$P8),IF($O8&lt;=INDEX(PARAMETROS_CULTURAS!$F$6:$F$28,$P8)+INDEX(PARAMETROS_CULTURAS!$G$6:$G$28,$P8),INDEX(PARAMETROS_CULTURAS!$K$6:$K$28,$P8)+(INDEX(PARAMETROS_CULTURAS!$L$6:$L$28,$P8)-INDEX(PARAMETROS_CULTURAS!$K$6:$K$28,$P8))*($O8-INDEX(PARAMETROS_CULTURAS!$F$6:$F$28,$P8))/MAX(INDEX(PARAMETROS_CULTURAS!$G$6:$G$28,$P8),0.0001),IF($O8&lt;=INDEX(PARAMETROS_CULTURAS!$F$6:$F$28,$P8)+INDEX(PARAMETROS_CULTURAS!$G$6:$G$28,$P8)+INDEX(PARAMETROS_CULTURAS!$H$6:$H$28,$P8),INDEX(PARAMETROS_CULTURAS!$L$6:$L$28,$P8),INDEX(PARAMETROS_CULTURAS!$L$6:$L$28,$P8)+(INDEX(PARAMETROS_CULTURAS!$M$6:$M$28,$P8)-INDEX(PARAMETROS_CULTURAS!$L$6:$L$28,$P8))*($O8-INDEX(PARAMETROS_CULTURAS!$F$6:$F$28,$P8)-INDEX(PARAMETROS_CULTURAS!$G$6:$G$28,$P8)-INDEX(PARAMETROS_CULTURAS!$H$6:$H$28,$P8))/MAX(INDEX(PARAMETROS_CULTURAS!$I$6:$I$28,$P8),0.0001)))))</f>
        <v>0</v>
      </c>
      <c r="S8" s="18" t="n">
        <f aca="false">IFERROR(INDEX(SEMANAS!$H$6:$H$71,MATCH($B8,SEMANAS!$B$6:$B$71,0)),0)</f>
        <v>40.6</v>
      </c>
      <c r="T8" s="18" t="n">
        <f aca="false">$R8*$S8</f>
        <v>0</v>
      </c>
      <c r="U8" s="18" t="n">
        <f aca="false">IFERROR(INDEX(SEMANAS!$I$6:$I$71,MATCH($B8,SEMANAS!$B$6:$B$71,0)),0)</f>
        <v>7</v>
      </c>
      <c r="V8" s="18" t="n">
        <f aca="false">IFERROR(INDEX(SEMANAS!$J$6:$J$71,MATCH($B8,SEMANAS!$B$6:$B$71,0)),0)</f>
        <v>5.6</v>
      </c>
      <c r="W8" s="18" t="n">
        <f aca="false">MAX(0,$T8-$V8)</f>
        <v>0</v>
      </c>
      <c r="X8" s="19" t="n">
        <f aca="false">IFERROR(INDEX(CADASTRO_PIVOS!$K$6:$K$41,MATCH($E8,CADASTRO_PIVOS!$B$6:$B$41,0)),EFICIENCIA_PADRAO)</f>
        <v>0.85</v>
      </c>
      <c r="Y8" s="18" t="n">
        <f aca="false">IF($X8&lt;=0,0,$W8/$X8)</f>
        <v>0</v>
      </c>
      <c r="Z8" s="16" t="n">
        <f aca="false">$Y8*$H8*MM_PARA_M3_HA</f>
        <v>0</v>
      </c>
      <c r="AA8" s="18" t="n">
        <f aca="false">IFERROR(INDEX(CADASTRO_PIVOS!$I$6:$I$41,MATCH($E8,CADASTRO_PIVOS!$B$6:$B$41,0)),0)</f>
        <v>702.214285714286</v>
      </c>
      <c r="AB8" s="18" t="n">
        <f aca="false">IF($Z8&lt;=0,0,$Z8/$AA8)</f>
        <v>0</v>
      </c>
      <c r="AC8" s="16" t="n">
        <f aca="false">IFERROR(INDEX(SEMANAS!$K$6:$K$71,MATCH($B8,SEMANAS!$B$6:$B$71,0)),0)</f>
        <v>147</v>
      </c>
      <c r="AD8" s="19" t="n">
        <f aca="false">IF($AC8&lt;=0,0,$AB8/$AC8)</f>
        <v>0</v>
      </c>
      <c r="AE8" s="8" t="str">
        <f aca="false">IF($K8="SEM CULTURA","SEM CULTURA",IF($AA8&lt;=0,"DADO PENDENTE",IF($AD8&gt;LIMITE_CRITICO,"INVIAVEL",IF($AD8&gt;LIMITE_ATENCAO,"CRITICO",IF($AD8&gt;LIMITE_CONFORTAVEL,"ATENCAO","OK")))))</f>
        <v>SEM CULTURA</v>
      </c>
      <c r="AF8" s="8" t="str">
        <f aca="false">$B8&amp;"|"&amp;TEXT($AD8,"0.000000")</f>
        <v>3|0.000000</v>
      </c>
      <c r="AG8" s="18" t="n">
        <f aca="false">IF($K8="SEM CULTURA",0,$T8*$H8)</f>
        <v>0</v>
      </c>
      <c r="AH8" s="18" t="n">
        <f aca="false">IF($K8="SEM CULTURA",0,$V8*$H8)</f>
        <v>0</v>
      </c>
      <c r="AI8" s="18" t="n">
        <f aca="false">IF($K8="SEM CULTURA",0,$W8*$H8)</f>
        <v>0</v>
      </c>
      <c r="AJ8" s="18" t="n">
        <f aca="false">IF($K8="SEM CULTURA",0,$S8*$H8)</f>
        <v>0</v>
      </c>
      <c r="AK8" s="8" t="str">
        <f aca="false">$E8&amp;"|"&amp;TEXT($AD8,"0.000000")</f>
        <v>PV 109|0.000000</v>
      </c>
    </row>
    <row r="9" customFormat="false" ht="15" hidden="false" customHeight="false" outlineLevel="0" collapsed="false">
      <c r="B9" s="16" t="n">
        <v>4</v>
      </c>
      <c r="C9" s="17" t="n">
        <f aca="false">DATA_INICIO_SAFRA+($B9-1)*DIAS_POR_SEMANA</f>
        <v>46286</v>
      </c>
      <c r="D9" s="17" t="n">
        <f aca="false">$C9+DIAS_POR_SEMANA-1</f>
        <v>46292</v>
      </c>
      <c r="E9" s="15" t="s">
        <v>259</v>
      </c>
      <c r="F9" s="8" t="str">
        <f aca="false">IFERROR(INDEX(CADASTRO_PIVOS!$C$6:$C$41,MATCH($E9,CADASTRO_PIVOS!$B$6:$B$41,0)),"?")</f>
        <v>RM01</v>
      </c>
      <c r="G9" s="8" t="str">
        <f aca="false">IFERROR(INDEX(CADASTRO_PIVOS!$D$6:$D$41,MATCH($E9,CADASTRO_PIVOS!$B$6:$B$41,0)),"?")</f>
        <v>TR01</v>
      </c>
      <c r="H9" s="20" t="n">
        <f aca="false">IFERROR(INDEX(CADASTRO_PIVOS!$E$6:$E$41,MATCH($E9,CADASTRO_PIVOS!$B$6:$B$41,0)),0)</f>
        <v>98.31</v>
      </c>
      <c r="I9" s="16" t="n">
        <f aca="false">IFERROR(SUMIFS(ROTACAO_RDM!$B$6:$B$71,ROTACAO_RDM!$D$6:$D$71,$E9,ROTACAO_RDM!$I$6:$I$71,"&lt;="&amp;$C9+INT(DIAS_POR_SEMANA/2),ROTACAO_RDM!$J$6:$J$71,"&gt;="&amp;$C9+INT(DIAS_POR_SEMANA/2)),0)</f>
        <v>0</v>
      </c>
      <c r="J9" s="16" t="n">
        <f aca="false">IFERROR(MATCH($I9,ROTACAO_RDM!$B$6:$B$71,0),0)</f>
        <v>0</v>
      </c>
      <c r="K9" s="8" t="str">
        <f aca="false">IF($J9=0,"SEM CULTURA",INDEX(ROTACAO_RDM!$F$6:$F$71,$J9))</f>
        <v>SEM CULTURA</v>
      </c>
      <c r="L9" s="8" t="str">
        <f aca="false">IF($J9=0,"",INDEX(ROTACAO_RDM!$G$6:$G$71,$J9))</f>
        <v/>
      </c>
      <c r="M9" s="17" t="str">
        <f aca="false">IF($J9=0,"",INDEX(ROTACAO_RDM!$I$6:$I$71,$J9))</f>
        <v/>
      </c>
      <c r="N9" s="16" t="n">
        <f aca="false">IF($J9=0,0,MAX(0,$C9+INT(DIAS_POR_SEMANA/2)-INDEX(ROTACAO_RDM!$I$6:$I$71,$J9)))</f>
        <v>0</v>
      </c>
      <c r="O9" s="19" t="n">
        <f aca="false">IF($J9=0,0,MIN(1,$N9/MAX(1,INDEX(ROTACAO_RDM!$K$6:$K$71,$J9))))</f>
        <v>0</v>
      </c>
      <c r="P9" s="16" t="n">
        <f aca="false">IF($J9=0,0,IFERROR(MATCH(INDEX(ROTACAO_RDM!$N$6:$N$71,$J9),PARAMETROS_CULTURAS!$B$6:$B$28,0),0))</f>
        <v>0</v>
      </c>
      <c r="Q9" s="8" t="str">
        <f aca="false">IF($P9=0,"-",IF($O9&lt;=INDEX(PARAMETROS_CULTURAS!$F$6:$F$28,$P9),"INICIAL",IF($O9&lt;=INDEX(PARAMETROS_CULTURAS!$F$6:$F$28,$P9)+INDEX(PARAMETROS_CULTURAS!$G$6:$G$28,$P9),"DESENVOLVIMENTO",IF($O9&lt;=INDEX(PARAMETROS_CULTURAS!$F$6:$F$28,$P9)+INDEX(PARAMETROS_CULTURAS!$G$6:$G$28,$P9)+INDEX(PARAMETROS_CULTURAS!$H$6:$H$28,$P9),"MEDIA","FINAL"))))</f>
        <v>-</v>
      </c>
      <c r="R9" s="24" t="n">
        <f aca="false">IF($P9=0,0,IF($O9&lt;=INDEX(PARAMETROS_CULTURAS!$F$6:$F$28,$P9),INDEX(PARAMETROS_CULTURAS!$K$6:$K$28,$P9),IF($O9&lt;=INDEX(PARAMETROS_CULTURAS!$F$6:$F$28,$P9)+INDEX(PARAMETROS_CULTURAS!$G$6:$G$28,$P9),INDEX(PARAMETROS_CULTURAS!$K$6:$K$28,$P9)+(INDEX(PARAMETROS_CULTURAS!$L$6:$L$28,$P9)-INDEX(PARAMETROS_CULTURAS!$K$6:$K$28,$P9))*($O9-INDEX(PARAMETROS_CULTURAS!$F$6:$F$28,$P9))/MAX(INDEX(PARAMETROS_CULTURAS!$G$6:$G$28,$P9),0.0001),IF($O9&lt;=INDEX(PARAMETROS_CULTURAS!$F$6:$F$28,$P9)+INDEX(PARAMETROS_CULTURAS!$G$6:$G$28,$P9)+INDEX(PARAMETROS_CULTURAS!$H$6:$H$28,$P9),INDEX(PARAMETROS_CULTURAS!$L$6:$L$28,$P9),INDEX(PARAMETROS_CULTURAS!$L$6:$L$28,$P9)+(INDEX(PARAMETROS_CULTURAS!$M$6:$M$28,$P9)-INDEX(PARAMETROS_CULTURAS!$L$6:$L$28,$P9))*($O9-INDEX(PARAMETROS_CULTURAS!$F$6:$F$28,$P9)-INDEX(PARAMETROS_CULTURAS!$G$6:$G$28,$P9)-INDEX(PARAMETROS_CULTURAS!$H$6:$H$28,$P9))/MAX(INDEX(PARAMETROS_CULTURAS!$I$6:$I$28,$P9),0.0001)))))</f>
        <v>0</v>
      </c>
      <c r="S9" s="18" t="n">
        <f aca="false">IFERROR(INDEX(SEMANAS!$H$6:$H$71,MATCH($B9,SEMANAS!$B$6:$B$71,0)),0)</f>
        <v>40.6</v>
      </c>
      <c r="T9" s="18" t="n">
        <f aca="false">$R9*$S9</f>
        <v>0</v>
      </c>
      <c r="U9" s="18" t="n">
        <f aca="false">IFERROR(INDEX(SEMANAS!$I$6:$I$71,MATCH($B9,SEMANAS!$B$6:$B$71,0)),0)</f>
        <v>7</v>
      </c>
      <c r="V9" s="18" t="n">
        <f aca="false">IFERROR(INDEX(SEMANAS!$J$6:$J$71,MATCH($B9,SEMANAS!$B$6:$B$71,0)),0)</f>
        <v>5.6</v>
      </c>
      <c r="W9" s="18" t="n">
        <f aca="false">MAX(0,$T9-$V9)</f>
        <v>0</v>
      </c>
      <c r="X9" s="19" t="n">
        <f aca="false">IFERROR(INDEX(CADASTRO_PIVOS!$K$6:$K$41,MATCH($E9,CADASTRO_PIVOS!$B$6:$B$41,0)),EFICIENCIA_PADRAO)</f>
        <v>0.85</v>
      </c>
      <c r="Y9" s="18" t="n">
        <f aca="false">IF($X9&lt;=0,0,$W9/$X9)</f>
        <v>0</v>
      </c>
      <c r="Z9" s="16" t="n">
        <f aca="false">$Y9*$H9*MM_PARA_M3_HA</f>
        <v>0</v>
      </c>
      <c r="AA9" s="18" t="n">
        <f aca="false">IFERROR(INDEX(CADASTRO_PIVOS!$I$6:$I$41,MATCH($E9,CADASTRO_PIVOS!$B$6:$B$41,0)),0)</f>
        <v>702.214285714286</v>
      </c>
      <c r="AB9" s="18" t="n">
        <f aca="false">IF($Z9&lt;=0,0,$Z9/$AA9)</f>
        <v>0</v>
      </c>
      <c r="AC9" s="16" t="n">
        <f aca="false">IFERROR(INDEX(SEMANAS!$K$6:$K$71,MATCH($B9,SEMANAS!$B$6:$B$71,0)),0)</f>
        <v>147</v>
      </c>
      <c r="AD9" s="19" t="n">
        <f aca="false">IF($AC9&lt;=0,0,$AB9/$AC9)</f>
        <v>0</v>
      </c>
      <c r="AE9" s="8" t="str">
        <f aca="false">IF($K9="SEM CULTURA","SEM CULTURA",IF($AA9&lt;=0,"DADO PENDENTE",IF($AD9&gt;LIMITE_CRITICO,"INVIAVEL",IF($AD9&gt;LIMITE_ATENCAO,"CRITICO",IF($AD9&gt;LIMITE_CONFORTAVEL,"ATENCAO","OK")))))</f>
        <v>SEM CULTURA</v>
      </c>
      <c r="AF9" s="8" t="str">
        <f aca="false">$B9&amp;"|"&amp;TEXT($AD9,"0.000000")</f>
        <v>4|0.000000</v>
      </c>
      <c r="AG9" s="18" t="n">
        <f aca="false">IF($K9="SEM CULTURA",0,$T9*$H9)</f>
        <v>0</v>
      </c>
      <c r="AH9" s="18" t="n">
        <f aca="false">IF($K9="SEM CULTURA",0,$V9*$H9)</f>
        <v>0</v>
      </c>
      <c r="AI9" s="18" t="n">
        <f aca="false">IF($K9="SEM CULTURA",0,$W9*$H9)</f>
        <v>0</v>
      </c>
      <c r="AJ9" s="18" t="n">
        <f aca="false">IF($K9="SEM CULTURA",0,$S9*$H9)</f>
        <v>0</v>
      </c>
      <c r="AK9" s="8" t="str">
        <f aca="false">$E9&amp;"|"&amp;TEXT($AD9,"0.000000")</f>
        <v>PV 109|0.000000</v>
      </c>
    </row>
    <row r="10" customFormat="false" ht="15" hidden="false" customHeight="false" outlineLevel="0" collapsed="false">
      <c r="B10" s="16" t="n">
        <v>5</v>
      </c>
      <c r="C10" s="17" t="n">
        <f aca="false">DATA_INICIO_SAFRA+($B10-1)*DIAS_POR_SEMANA</f>
        <v>46293</v>
      </c>
      <c r="D10" s="17" t="n">
        <f aca="false">$C10+DIAS_POR_SEMANA-1</f>
        <v>46299</v>
      </c>
      <c r="E10" s="15" t="s">
        <v>259</v>
      </c>
      <c r="F10" s="8" t="str">
        <f aca="false">IFERROR(INDEX(CADASTRO_PIVOS!$C$6:$C$41,MATCH($E10,CADASTRO_PIVOS!$B$6:$B$41,0)),"?")</f>
        <v>RM01</v>
      </c>
      <c r="G10" s="8" t="str">
        <f aca="false">IFERROR(INDEX(CADASTRO_PIVOS!$D$6:$D$41,MATCH($E10,CADASTRO_PIVOS!$B$6:$B$41,0)),"?")</f>
        <v>TR01</v>
      </c>
      <c r="H10" s="20" t="n">
        <f aca="false">IFERROR(INDEX(CADASTRO_PIVOS!$E$6:$E$41,MATCH($E10,CADASTRO_PIVOS!$B$6:$B$41,0)),0)</f>
        <v>98.31</v>
      </c>
      <c r="I10" s="16" t="n">
        <f aca="false">IFERROR(SUMIFS(ROTACAO_RDM!$B$6:$B$71,ROTACAO_RDM!$D$6:$D$71,$E10,ROTACAO_RDM!$I$6:$I$71,"&lt;="&amp;$C10+INT(DIAS_POR_SEMANA/2),ROTACAO_RDM!$J$6:$J$71,"&gt;="&amp;$C10+INT(DIAS_POR_SEMANA/2)),0)</f>
        <v>15</v>
      </c>
      <c r="J10" s="16" t="n">
        <f aca="false">IFERROR(MATCH($I10,ROTACAO_RDM!$B$6:$B$71,0),0)</f>
        <v>15</v>
      </c>
      <c r="K10" s="8" t="str">
        <f aca="false">IF($J10=0,"SEM CULTURA",INDEX(ROTACAO_RDM!$F$6:$F$71,$J10))</f>
        <v>SOJA</v>
      </c>
      <c r="L10" s="8" t="str">
        <f aca="false">IF($J10=0,"",INDEX(ROTACAO_RDM!$G$6:$G$71,$J10))</f>
        <v>NEO 690 I2X</v>
      </c>
      <c r="M10" s="17" t="n">
        <f aca="false">IF($J10=0,"",INDEX(ROTACAO_RDM!$I$6:$I$71,$J10))</f>
        <v>46290</v>
      </c>
      <c r="N10" s="16" t="n">
        <f aca="false">IF($J10=0,0,MAX(0,$C10+INT(DIAS_POR_SEMANA/2)-INDEX(ROTACAO_RDM!$I$6:$I$71,$J10)))</f>
        <v>6</v>
      </c>
      <c r="O10" s="19" t="n">
        <f aca="false">IF($J10=0,0,MIN(1,$N10/MAX(1,INDEX(ROTACAO_RDM!$K$6:$K$71,$J10))))</f>
        <v>0.0555555555555556</v>
      </c>
      <c r="P10" s="16" t="n">
        <f aca="false">IF($J10=0,0,IFERROR(MATCH(INDEX(ROTACAO_RDM!$N$6:$N$71,$J10),PARAMETROS_CULTURAS!$B$6:$B$28,0),0))</f>
        <v>1</v>
      </c>
      <c r="Q10" s="8" t="str">
        <f aca="false">IF($P10=0,"-",IF($O10&lt;=INDEX(PARAMETROS_CULTURAS!$F$6:$F$28,$P10),"INICIAL",IF($O10&lt;=INDEX(PARAMETROS_CULTURAS!$F$6:$F$28,$P10)+INDEX(PARAMETROS_CULTURAS!$G$6:$G$28,$P10),"DESENVOLVIMENTO",IF($O10&lt;=INDEX(PARAMETROS_CULTURAS!$F$6:$F$28,$P10)+INDEX(PARAMETROS_CULTURAS!$G$6:$G$28,$P10)+INDEX(PARAMETROS_CULTURAS!$H$6:$H$28,$P10),"MEDIA","FINAL"))))</f>
        <v>INICIAL</v>
      </c>
      <c r="R10" s="24" t="n">
        <f aca="false">IF($P10=0,0,IF($O10&lt;=INDEX(PARAMETROS_CULTURAS!$F$6:$F$28,$P10),INDEX(PARAMETROS_CULTURAS!$K$6:$K$28,$P10),IF($O10&lt;=INDEX(PARAMETROS_CULTURAS!$F$6:$F$28,$P10)+INDEX(PARAMETROS_CULTURAS!$G$6:$G$28,$P10),INDEX(PARAMETROS_CULTURAS!$K$6:$K$28,$P10)+(INDEX(PARAMETROS_CULTURAS!$L$6:$L$28,$P10)-INDEX(PARAMETROS_CULTURAS!$K$6:$K$28,$P10))*($O10-INDEX(PARAMETROS_CULTURAS!$F$6:$F$28,$P10))/MAX(INDEX(PARAMETROS_CULTURAS!$G$6:$G$28,$P10),0.0001),IF($O10&lt;=INDEX(PARAMETROS_CULTURAS!$F$6:$F$28,$P10)+INDEX(PARAMETROS_CULTURAS!$G$6:$G$28,$P10)+INDEX(PARAMETROS_CULTURAS!$H$6:$H$28,$P10),INDEX(PARAMETROS_CULTURAS!$L$6:$L$28,$P10),INDEX(PARAMETROS_CULTURAS!$L$6:$L$28,$P10)+(INDEX(PARAMETROS_CULTURAS!$M$6:$M$28,$P10)-INDEX(PARAMETROS_CULTURAS!$L$6:$L$28,$P10))*($O10-INDEX(PARAMETROS_CULTURAS!$F$6:$F$28,$P10)-INDEX(PARAMETROS_CULTURAS!$G$6:$G$28,$P10)-INDEX(PARAMETROS_CULTURAS!$H$6:$H$28,$P10))/MAX(INDEX(PARAMETROS_CULTURAS!$I$6:$I$28,$P10),0.0001)))))</f>
        <v>0.4</v>
      </c>
      <c r="S10" s="18" t="n">
        <f aca="false">IFERROR(INDEX(SEMANAS!$H$6:$H$71,MATCH($B10,SEMANAS!$B$6:$B$71,0)),0)</f>
        <v>39.8</v>
      </c>
      <c r="T10" s="18" t="n">
        <f aca="false">$R10*$S10</f>
        <v>15.92</v>
      </c>
      <c r="U10" s="18" t="n">
        <f aca="false">IFERROR(INDEX(SEMANAS!$I$6:$I$71,MATCH($B10,SEMANAS!$B$6:$B$71,0)),0)</f>
        <v>18.48</v>
      </c>
      <c r="V10" s="18" t="n">
        <f aca="false">IFERROR(INDEX(SEMANAS!$J$6:$J$71,MATCH($B10,SEMANAS!$B$6:$B$71,0)),0)</f>
        <v>14.784</v>
      </c>
      <c r="W10" s="18" t="n">
        <f aca="false">MAX(0,$T10-$V10)</f>
        <v>1.136</v>
      </c>
      <c r="X10" s="19" t="n">
        <f aca="false">IFERROR(INDEX(CADASTRO_PIVOS!$K$6:$K$41,MATCH($E10,CADASTRO_PIVOS!$B$6:$B$41,0)),EFICIENCIA_PADRAO)</f>
        <v>0.85</v>
      </c>
      <c r="Y10" s="18" t="n">
        <f aca="false">IF($X10&lt;=0,0,$W10/$X10)</f>
        <v>1.33647058823529</v>
      </c>
      <c r="Z10" s="16" t="n">
        <f aca="false">$Y10*$H10*MM_PARA_M3_HA</f>
        <v>1313.88423529412</v>
      </c>
      <c r="AA10" s="18" t="n">
        <f aca="false">IFERROR(INDEX(CADASTRO_PIVOS!$I$6:$I$41,MATCH($E10,CADASTRO_PIVOS!$B$6:$B$41,0)),0)</f>
        <v>702.214285714286</v>
      </c>
      <c r="AB10" s="18" t="n">
        <f aca="false">IF($Z10&lt;=0,0,$Z10/$AA10)</f>
        <v>1.87105882352941</v>
      </c>
      <c r="AC10" s="16" t="n">
        <f aca="false">IFERROR(INDEX(SEMANAS!$K$6:$K$71,MATCH($B10,SEMANAS!$B$6:$B$71,0)),0)</f>
        <v>147</v>
      </c>
      <c r="AD10" s="19" t="n">
        <f aca="false">IF($AC10&lt;=0,0,$AB10/$AC10)</f>
        <v>0.0127282913165266</v>
      </c>
      <c r="AE10" s="8" t="str">
        <f aca="false">IF($K10="SEM CULTURA","SEM CULTURA",IF($AA10&lt;=0,"DADO PENDENTE",IF($AD10&gt;LIMITE_CRITICO,"INVIAVEL",IF($AD10&gt;LIMITE_ATENCAO,"CRITICO",IF($AD10&gt;LIMITE_CONFORTAVEL,"ATENCAO","OK")))))</f>
        <v>OK</v>
      </c>
      <c r="AF10" s="8" t="str">
        <f aca="false">$B10&amp;"|"&amp;TEXT($AD10,"0.000000")</f>
        <v>5|0.012728</v>
      </c>
      <c r="AG10" s="18" t="n">
        <f aca="false">IF($K10="SEM CULTURA",0,$T10*$H10)</f>
        <v>1565.0952</v>
      </c>
      <c r="AH10" s="18" t="n">
        <f aca="false">IF($K10="SEM CULTURA",0,$V10*$H10)</f>
        <v>1453.41504</v>
      </c>
      <c r="AI10" s="18" t="n">
        <f aca="false">IF($K10="SEM CULTURA",0,$W10*$H10)</f>
        <v>111.68016</v>
      </c>
      <c r="AJ10" s="18" t="n">
        <f aca="false">IF($K10="SEM CULTURA",0,$S10*$H10)</f>
        <v>3912.738</v>
      </c>
      <c r="AK10" s="8" t="str">
        <f aca="false">$E10&amp;"|"&amp;TEXT($AD10,"0.000000")</f>
        <v>PV 109|0.012728</v>
      </c>
    </row>
    <row r="11" customFormat="false" ht="15" hidden="false" customHeight="false" outlineLevel="0" collapsed="false">
      <c r="B11" s="16" t="n">
        <v>6</v>
      </c>
      <c r="C11" s="17" t="n">
        <f aca="false">DATA_INICIO_SAFRA+($B11-1)*DIAS_POR_SEMANA</f>
        <v>46300</v>
      </c>
      <c r="D11" s="17" t="n">
        <f aca="false">$C11+DIAS_POR_SEMANA-1</f>
        <v>46306</v>
      </c>
      <c r="E11" s="15" t="s">
        <v>259</v>
      </c>
      <c r="F11" s="8" t="str">
        <f aca="false">IFERROR(INDEX(CADASTRO_PIVOS!$C$6:$C$41,MATCH($E11,CADASTRO_PIVOS!$B$6:$B$41,0)),"?")</f>
        <v>RM01</v>
      </c>
      <c r="G11" s="8" t="str">
        <f aca="false">IFERROR(INDEX(CADASTRO_PIVOS!$D$6:$D$41,MATCH($E11,CADASTRO_PIVOS!$B$6:$B$41,0)),"?")</f>
        <v>TR01</v>
      </c>
      <c r="H11" s="20" t="n">
        <f aca="false">IFERROR(INDEX(CADASTRO_PIVOS!$E$6:$E$41,MATCH($E11,CADASTRO_PIVOS!$B$6:$B$41,0)),0)</f>
        <v>98.31</v>
      </c>
      <c r="I11" s="16" t="n">
        <f aca="false">IFERROR(SUMIFS(ROTACAO_RDM!$B$6:$B$71,ROTACAO_RDM!$D$6:$D$71,$E11,ROTACAO_RDM!$I$6:$I$71,"&lt;="&amp;$C11+INT(DIAS_POR_SEMANA/2),ROTACAO_RDM!$J$6:$J$71,"&gt;="&amp;$C11+INT(DIAS_POR_SEMANA/2)),0)</f>
        <v>15</v>
      </c>
      <c r="J11" s="16" t="n">
        <f aca="false">IFERROR(MATCH($I11,ROTACAO_RDM!$B$6:$B$71,0),0)</f>
        <v>15</v>
      </c>
      <c r="K11" s="8" t="str">
        <f aca="false">IF($J11=0,"SEM CULTURA",INDEX(ROTACAO_RDM!$F$6:$F$71,$J11))</f>
        <v>SOJA</v>
      </c>
      <c r="L11" s="8" t="str">
        <f aca="false">IF($J11=0,"",INDEX(ROTACAO_RDM!$G$6:$G$71,$J11))</f>
        <v>NEO 690 I2X</v>
      </c>
      <c r="M11" s="17" t="n">
        <f aca="false">IF($J11=0,"",INDEX(ROTACAO_RDM!$I$6:$I$71,$J11))</f>
        <v>46290</v>
      </c>
      <c r="N11" s="16" t="n">
        <f aca="false">IF($J11=0,0,MAX(0,$C11+INT(DIAS_POR_SEMANA/2)-INDEX(ROTACAO_RDM!$I$6:$I$71,$J11)))</f>
        <v>13</v>
      </c>
      <c r="O11" s="19" t="n">
        <f aca="false">IF($J11=0,0,MIN(1,$N11/MAX(1,INDEX(ROTACAO_RDM!$K$6:$K$71,$J11))))</f>
        <v>0.12037037037037</v>
      </c>
      <c r="P11" s="16" t="n">
        <f aca="false">IF($J11=0,0,IFERROR(MATCH(INDEX(ROTACAO_RDM!$N$6:$N$71,$J11),PARAMETROS_CULTURAS!$B$6:$B$28,0),0))</f>
        <v>1</v>
      </c>
      <c r="Q11" s="8" t="str">
        <f aca="false">IF($P11=0,"-",IF($O11&lt;=INDEX(PARAMETROS_CULTURAS!$F$6:$F$28,$P11),"INICIAL",IF($O11&lt;=INDEX(PARAMETROS_CULTURAS!$F$6:$F$28,$P11)+INDEX(PARAMETROS_CULTURAS!$G$6:$G$28,$P11),"DESENVOLVIMENTO",IF($O11&lt;=INDEX(PARAMETROS_CULTURAS!$F$6:$F$28,$P11)+INDEX(PARAMETROS_CULTURAS!$G$6:$G$28,$P11)+INDEX(PARAMETROS_CULTURAS!$H$6:$H$28,$P11),"MEDIA","FINAL"))))</f>
        <v>INICIAL</v>
      </c>
      <c r="R11" s="24" t="n">
        <f aca="false">IF($P11=0,0,IF($O11&lt;=INDEX(PARAMETROS_CULTURAS!$F$6:$F$28,$P11),INDEX(PARAMETROS_CULTURAS!$K$6:$K$28,$P11),IF($O11&lt;=INDEX(PARAMETROS_CULTURAS!$F$6:$F$28,$P11)+INDEX(PARAMETROS_CULTURAS!$G$6:$G$28,$P11),INDEX(PARAMETROS_CULTURAS!$K$6:$K$28,$P11)+(INDEX(PARAMETROS_CULTURAS!$L$6:$L$28,$P11)-INDEX(PARAMETROS_CULTURAS!$K$6:$K$28,$P11))*($O11-INDEX(PARAMETROS_CULTURAS!$F$6:$F$28,$P11))/MAX(INDEX(PARAMETROS_CULTURAS!$G$6:$G$28,$P11),0.0001),IF($O11&lt;=INDEX(PARAMETROS_CULTURAS!$F$6:$F$28,$P11)+INDEX(PARAMETROS_CULTURAS!$G$6:$G$28,$P11)+INDEX(PARAMETROS_CULTURAS!$H$6:$H$28,$P11),INDEX(PARAMETROS_CULTURAS!$L$6:$L$28,$P11),INDEX(PARAMETROS_CULTURAS!$L$6:$L$28,$P11)+(INDEX(PARAMETROS_CULTURAS!$M$6:$M$28,$P11)-INDEX(PARAMETROS_CULTURAS!$L$6:$L$28,$P11))*($O11-INDEX(PARAMETROS_CULTURAS!$F$6:$F$28,$P11)-INDEX(PARAMETROS_CULTURAS!$G$6:$G$28,$P11)-INDEX(PARAMETROS_CULTURAS!$H$6:$H$28,$P11))/MAX(INDEX(PARAMETROS_CULTURAS!$I$6:$I$28,$P11),0.0001)))))</f>
        <v>0.4</v>
      </c>
      <c r="S11" s="18" t="n">
        <f aca="false">IFERROR(INDEX(SEMANAS!$H$6:$H$71,MATCH($B11,SEMANAS!$B$6:$B$71,0)),0)</f>
        <v>39.2</v>
      </c>
      <c r="T11" s="18" t="n">
        <f aca="false">$R11*$S11</f>
        <v>15.68</v>
      </c>
      <c r="U11" s="18" t="n">
        <f aca="false">IFERROR(INDEX(SEMANAS!$I$6:$I$71,MATCH($B11,SEMANAS!$B$6:$B$71,0)),0)</f>
        <v>27.09</v>
      </c>
      <c r="V11" s="18" t="n">
        <f aca="false">IFERROR(INDEX(SEMANAS!$J$6:$J$71,MATCH($B11,SEMANAS!$B$6:$B$71,0)),0)</f>
        <v>21.672</v>
      </c>
      <c r="W11" s="18" t="n">
        <f aca="false">MAX(0,$T11-$V11)</f>
        <v>0</v>
      </c>
      <c r="X11" s="19" t="n">
        <f aca="false">IFERROR(INDEX(CADASTRO_PIVOS!$K$6:$K$41,MATCH($E11,CADASTRO_PIVOS!$B$6:$B$41,0)),EFICIENCIA_PADRAO)</f>
        <v>0.85</v>
      </c>
      <c r="Y11" s="18" t="n">
        <f aca="false">IF($X11&lt;=0,0,$W11/$X11)</f>
        <v>0</v>
      </c>
      <c r="Z11" s="16" t="n">
        <f aca="false">$Y11*$H11*MM_PARA_M3_HA</f>
        <v>0</v>
      </c>
      <c r="AA11" s="18" t="n">
        <f aca="false">IFERROR(INDEX(CADASTRO_PIVOS!$I$6:$I$41,MATCH($E11,CADASTRO_PIVOS!$B$6:$B$41,0)),0)</f>
        <v>702.214285714286</v>
      </c>
      <c r="AB11" s="18" t="n">
        <f aca="false">IF($Z11&lt;=0,0,$Z11/$AA11)</f>
        <v>0</v>
      </c>
      <c r="AC11" s="16" t="n">
        <f aca="false">IFERROR(INDEX(SEMANAS!$K$6:$K$71,MATCH($B11,SEMANAS!$B$6:$B$71,0)),0)</f>
        <v>147</v>
      </c>
      <c r="AD11" s="19" t="n">
        <f aca="false">IF($AC11&lt;=0,0,$AB11/$AC11)</f>
        <v>0</v>
      </c>
      <c r="AE11" s="8" t="str">
        <f aca="false">IF($K11="SEM CULTURA","SEM CULTURA",IF($AA11&lt;=0,"DADO PENDENTE",IF($AD11&gt;LIMITE_CRITICO,"INVIAVEL",IF($AD11&gt;LIMITE_ATENCAO,"CRITICO",IF($AD11&gt;LIMITE_CONFORTAVEL,"ATENCAO","OK")))))</f>
        <v>OK</v>
      </c>
      <c r="AF11" s="8" t="str">
        <f aca="false">$B11&amp;"|"&amp;TEXT($AD11,"0.000000")</f>
        <v>6|0.000000</v>
      </c>
      <c r="AG11" s="18" t="n">
        <f aca="false">IF($K11="SEM CULTURA",0,$T11*$H11)</f>
        <v>1541.5008</v>
      </c>
      <c r="AH11" s="18" t="n">
        <f aca="false">IF($K11="SEM CULTURA",0,$V11*$H11)</f>
        <v>2130.57432</v>
      </c>
      <c r="AI11" s="18" t="n">
        <f aca="false">IF($K11="SEM CULTURA",0,$W11*$H11)</f>
        <v>0</v>
      </c>
      <c r="AJ11" s="18" t="n">
        <f aca="false">IF($K11="SEM CULTURA",0,$S11*$H11)</f>
        <v>3853.752</v>
      </c>
      <c r="AK11" s="8" t="str">
        <f aca="false">$E11&amp;"|"&amp;TEXT($AD11,"0.000000")</f>
        <v>PV 109|0.000000</v>
      </c>
    </row>
    <row r="12" customFormat="false" ht="15" hidden="false" customHeight="false" outlineLevel="0" collapsed="false">
      <c r="B12" s="16" t="n">
        <v>7</v>
      </c>
      <c r="C12" s="17" t="n">
        <f aca="false">DATA_INICIO_SAFRA+($B12-1)*DIAS_POR_SEMANA</f>
        <v>46307</v>
      </c>
      <c r="D12" s="17" t="n">
        <f aca="false">$C12+DIAS_POR_SEMANA-1</f>
        <v>46313</v>
      </c>
      <c r="E12" s="15" t="s">
        <v>259</v>
      </c>
      <c r="F12" s="8" t="str">
        <f aca="false">IFERROR(INDEX(CADASTRO_PIVOS!$C$6:$C$41,MATCH($E12,CADASTRO_PIVOS!$B$6:$B$41,0)),"?")</f>
        <v>RM01</v>
      </c>
      <c r="G12" s="8" t="str">
        <f aca="false">IFERROR(INDEX(CADASTRO_PIVOS!$D$6:$D$41,MATCH($E12,CADASTRO_PIVOS!$B$6:$B$41,0)),"?")</f>
        <v>TR01</v>
      </c>
      <c r="H12" s="20" t="n">
        <f aca="false">IFERROR(INDEX(CADASTRO_PIVOS!$E$6:$E$41,MATCH($E12,CADASTRO_PIVOS!$B$6:$B$41,0)),0)</f>
        <v>98.31</v>
      </c>
      <c r="I12" s="16" t="n">
        <f aca="false">IFERROR(SUMIFS(ROTACAO_RDM!$B$6:$B$71,ROTACAO_RDM!$D$6:$D$71,$E12,ROTACAO_RDM!$I$6:$I$71,"&lt;="&amp;$C12+INT(DIAS_POR_SEMANA/2),ROTACAO_RDM!$J$6:$J$71,"&gt;="&amp;$C12+INT(DIAS_POR_SEMANA/2)),0)</f>
        <v>15</v>
      </c>
      <c r="J12" s="16" t="n">
        <f aca="false">IFERROR(MATCH($I12,ROTACAO_RDM!$B$6:$B$71,0),0)</f>
        <v>15</v>
      </c>
      <c r="K12" s="8" t="str">
        <f aca="false">IF($J12=0,"SEM CULTURA",INDEX(ROTACAO_RDM!$F$6:$F$71,$J12))</f>
        <v>SOJA</v>
      </c>
      <c r="L12" s="8" t="str">
        <f aca="false">IF($J12=0,"",INDEX(ROTACAO_RDM!$G$6:$G$71,$J12))</f>
        <v>NEO 690 I2X</v>
      </c>
      <c r="M12" s="17" t="n">
        <f aca="false">IF($J12=0,"",INDEX(ROTACAO_RDM!$I$6:$I$71,$J12))</f>
        <v>46290</v>
      </c>
      <c r="N12" s="16" t="n">
        <f aca="false">IF($J12=0,0,MAX(0,$C12+INT(DIAS_POR_SEMANA/2)-INDEX(ROTACAO_RDM!$I$6:$I$71,$J12)))</f>
        <v>20</v>
      </c>
      <c r="O12" s="19" t="n">
        <f aca="false">IF($J12=0,0,MIN(1,$N12/MAX(1,INDEX(ROTACAO_RDM!$K$6:$K$71,$J12))))</f>
        <v>0.185185185185185</v>
      </c>
      <c r="P12" s="16" t="n">
        <f aca="false">IF($J12=0,0,IFERROR(MATCH(INDEX(ROTACAO_RDM!$N$6:$N$71,$J12),PARAMETROS_CULTURAS!$B$6:$B$28,0),0))</f>
        <v>1</v>
      </c>
      <c r="Q12" s="8" t="str">
        <f aca="false">IF($P12=0,"-",IF($O12&lt;=INDEX(PARAMETROS_CULTURAS!$F$6:$F$28,$P12),"INICIAL",IF($O12&lt;=INDEX(PARAMETROS_CULTURAS!$F$6:$F$28,$P12)+INDEX(PARAMETROS_CULTURAS!$G$6:$G$28,$P12),"DESENVOLVIMENTO",IF($O12&lt;=INDEX(PARAMETROS_CULTURAS!$F$6:$F$28,$P12)+INDEX(PARAMETROS_CULTURAS!$G$6:$G$28,$P12)+INDEX(PARAMETROS_CULTURAS!$H$6:$H$28,$P12),"MEDIA","FINAL"))))</f>
        <v>DESENVOLVIMENTO</v>
      </c>
      <c r="R12" s="24" t="n">
        <f aca="false">IF($P12=0,0,IF($O12&lt;=INDEX(PARAMETROS_CULTURAS!$F$6:$F$28,$P12),INDEX(PARAMETROS_CULTURAS!$K$6:$K$28,$P12),IF($O12&lt;=INDEX(PARAMETROS_CULTURAS!$F$6:$F$28,$P12)+INDEX(PARAMETROS_CULTURAS!$G$6:$G$28,$P12),INDEX(PARAMETROS_CULTURAS!$K$6:$K$28,$P12)+(INDEX(PARAMETROS_CULTURAS!$L$6:$L$28,$P12)-INDEX(PARAMETROS_CULTURAS!$K$6:$K$28,$P12))*($O12-INDEX(PARAMETROS_CULTURAS!$F$6:$F$28,$P12))/MAX(INDEX(PARAMETROS_CULTURAS!$G$6:$G$28,$P12),0.0001),IF($O12&lt;=INDEX(PARAMETROS_CULTURAS!$F$6:$F$28,$P12)+INDEX(PARAMETROS_CULTURAS!$G$6:$G$28,$P12)+INDEX(PARAMETROS_CULTURAS!$H$6:$H$28,$P12),INDEX(PARAMETROS_CULTURAS!$L$6:$L$28,$P12),INDEX(PARAMETROS_CULTURAS!$L$6:$L$28,$P12)+(INDEX(PARAMETROS_CULTURAS!$M$6:$M$28,$P12)-INDEX(PARAMETROS_CULTURAS!$L$6:$L$28,$P12))*($O12-INDEX(PARAMETROS_CULTURAS!$F$6:$F$28,$P12)-INDEX(PARAMETROS_CULTURAS!$G$6:$G$28,$P12)-INDEX(PARAMETROS_CULTURAS!$H$6:$H$28,$P12))/MAX(INDEX(PARAMETROS_CULTURAS!$I$6:$I$28,$P12),0.0001)))))</f>
        <v>0.416203703703704</v>
      </c>
      <c r="S12" s="18" t="n">
        <f aca="false">IFERROR(INDEX(SEMANAS!$H$6:$H$71,MATCH($B12,SEMANAS!$B$6:$B$71,0)),0)</f>
        <v>39.2</v>
      </c>
      <c r="T12" s="18" t="n">
        <f aca="false">$R12*$S12</f>
        <v>16.3151851851852</v>
      </c>
      <c r="U12" s="18" t="n">
        <f aca="false">IFERROR(INDEX(SEMANAS!$I$6:$I$71,MATCH($B12,SEMANAS!$B$6:$B$71,0)),0)</f>
        <v>27.09</v>
      </c>
      <c r="V12" s="18" t="n">
        <f aca="false">IFERROR(INDEX(SEMANAS!$J$6:$J$71,MATCH($B12,SEMANAS!$B$6:$B$71,0)),0)</f>
        <v>21.672</v>
      </c>
      <c r="W12" s="18" t="n">
        <f aca="false">MAX(0,$T12-$V12)</f>
        <v>0</v>
      </c>
      <c r="X12" s="19" t="n">
        <f aca="false">IFERROR(INDEX(CADASTRO_PIVOS!$K$6:$K$41,MATCH($E12,CADASTRO_PIVOS!$B$6:$B$41,0)),EFICIENCIA_PADRAO)</f>
        <v>0.85</v>
      </c>
      <c r="Y12" s="18" t="n">
        <f aca="false">IF($X12&lt;=0,0,$W12/$X12)</f>
        <v>0</v>
      </c>
      <c r="Z12" s="16" t="n">
        <f aca="false">$Y12*$H12*MM_PARA_M3_HA</f>
        <v>0</v>
      </c>
      <c r="AA12" s="18" t="n">
        <f aca="false">IFERROR(INDEX(CADASTRO_PIVOS!$I$6:$I$41,MATCH($E12,CADASTRO_PIVOS!$B$6:$B$41,0)),0)</f>
        <v>702.214285714286</v>
      </c>
      <c r="AB12" s="18" t="n">
        <f aca="false">IF($Z12&lt;=0,0,$Z12/$AA12)</f>
        <v>0</v>
      </c>
      <c r="AC12" s="16" t="n">
        <f aca="false">IFERROR(INDEX(SEMANAS!$K$6:$K$71,MATCH($B12,SEMANAS!$B$6:$B$71,0)),0)</f>
        <v>147</v>
      </c>
      <c r="AD12" s="19" t="n">
        <f aca="false">IF($AC12&lt;=0,0,$AB12/$AC12)</f>
        <v>0</v>
      </c>
      <c r="AE12" s="8" t="str">
        <f aca="false">IF($K12="SEM CULTURA","SEM CULTURA",IF($AA12&lt;=0,"DADO PENDENTE",IF($AD12&gt;LIMITE_CRITICO,"INVIAVEL",IF($AD12&gt;LIMITE_ATENCAO,"CRITICO",IF($AD12&gt;LIMITE_CONFORTAVEL,"ATENCAO","OK")))))</f>
        <v>OK</v>
      </c>
      <c r="AF12" s="8" t="str">
        <f aca="false">$B12&amp;"|"&amp;TEXT($AD12,"0.000000")</f>
        <v>7|0.000000</v>
      </c>
      <c r="AG12" s="18" t="n">
        <f aca="false">IF($K12="SEM CULTURA",0,$T12*$H12)</f>
        <v>1603.94585555556</v>
      </c>
      <c r="AH12" s="18" t="n">
        <f aca="false">IF($K12="SEM CULTURA",0,$V12*$H12)</f>
        <v>2130.57432</v>
      </c>
      <c r="AI12" s="18" t="n">
        <f aca="false">IF($K12="SEM CULTURA",0,$W12*$H12)</f>
        <v>0</v>
      </c>
      <c r="AJ12" s="18" t="n">
        <f aca="false">IF($K12="SEM CULTURA",0,$S12*$H12)</f>
        <v>3853.752</v>
      </c>
      <c r="AK12" s="8" t="str">
        <f aca="false">$E12&amp;"|"&amp;TEXT($AD12,"0.000000")</f>
        <v>PV 109|0.000000</v>
      </c>
    </row>
    <row r="13" customFormat="false" ht="15" hidden="false" customHeight="false" outlineLevel="0" collapsed="false">
      <c r="B13" s="16" t="n">
        <v>8</v>
      </c>
      <c r="C13" s="17" t="n">
        <f aca="false">DATA_INICIO_SAFRA+($B13-1)*DIAS_POR_SEMANA</f>
        <v>46314</v>
      </c>
      <c r="D13" s="17" t="n">
        <f aca="false">$C13+DIAS_POR_SEMANA-1</f>
        <v>46320</v>
      </c>
      <c r="E13" s="15" t="s">
        <v>259</v>
      </c>
      <c r="F13" s="8" t="str">
        <f aca="false">IFERROR(INDEX(CADASTRO_PIVOS!$C$6:$C$41,MATCH($E13,CADASTRO_PIVOS!$B$6:$B$41,0)),"?")</f>
        <v>RM01</v>
      </c>
      <c r="G13" s="8" t="str">
        <f aca="false">IFERROR(INDEX(CADASTRO_PIVOS!$D$6:$D$41,MATCH($E13,CADASTRO_PIVOS!$B$6:$B$41,0)),"?")</f>
        <v>TR01</v>
      </c>
      <c r="H13" s="20" t="n">
        <f aca="false">IFERROR(INDEX(CADASTRO_PIVOS!$E$6:$E$41,MATCH($E13,CADASTRO_PIVOS!$B$6:$B$41,0)),0)</f>
        <v>98.31</v>
      </c>
      <c r="I13" s="16" t="n">
        <f aca="false">IFERROR(SUMIFS(ROTACAO_RDM!$B$6:$B$71,ROTACAO_RDM!$D$6:$D$71,$E13,ROTACAO_RDM!$I$6:$I$71,"&lt;="&amp;$C13+INT(DIAS_POR_SEMANA/2),ROTACAO_RDM!$J$6:$J$71,"&gt;="&amp;$C13+INT(DIAS_POR_SEMANA/2)),0)</f>
        <v>15</v>
      </c>
      <c r="J13" s="16" t="n">
        <f aca="false">IFERROR(MATCH($I13,ROTACAO_RDM!$B$6:$B$71,0),0)</f>
        <v>15</v>
      </c>
      <c r="K13" s="8" t="str">
        <f aca="false">IF($J13=0,"SEM CULTURA",INDEX(ROTACAO_RDM!$F$6:$F$71,$J13))</f>
        <v>SOJA</v>
      </c>
      <c r="L13" s="8" t="str">
        <f aca="false">IF($J13=0,"",INDEX(ROTACAO_RDM!$G$6:$G$71,$J13))</f>
        <v>NEO 690 I2X</v>
      </c>
      <c r="M13" s="17" t="n">
        <f aca="false">IF($J13=0,"",INDEX(ROTACAO_RDM!$I$6:$I$71,$J13))</f>
        <v>46290</v>
      </c>
      <c r="N13" s="16" t="n">
        <f aca="false">IF($J13=0,0,MAX(0,$C13+INT(DIAS_POR_SEMANA/2)-INDEX(ROTACAO_RDM!$I$6:$I$71,$J13)))</f>
        <v>27</v>
      </c>
      <c r="O13" s="19" t="n">
        <f aca="false">IF($J13=0,0,MIN(1,$N13/MAX(1,INDEX(ROTACAO_RDM!$K$6:$K$71,$J13))))</f>
        <v>0.25</v>
      </c>
      <c r="P13" s="16" t="n">
        <f aca="false">IF($J13=0,0,IFERROR(MATCH(INDEX(ROTACAO_RDM!$N$6:$N$71,$J13),PARAMETROS_CULTURAS!$B$6:$B$28,0),0))</f>
        <v>1</v>
      </c>
      <c r="Q13" s="8" t="str">
        <f aca="false">IF($P13=0,"-",IF($O13&lt;=INDEX(PARAMETROS_CULTURAS!$F$6:$F$28,$P13),"INICIAL",IF($O13&lt;=INDEX(PARAMETROS_CULTURAS!$F$6:$F$28,$P13)+INDEX(PARAMETROS_CULTURAS!$G$6:$G$28,$P13),"DESENVOLVIMENTO",IF($O13&lt;=INDEX(PARAMETROS_CULTURAS!$F$6:$F$28,$P13)+INDEX(PARAMETROS_CULTURAS!$G$6:$G$28,$P13)+INDEX(PARAMETROS_CULTURAS!$H$6:$H$28,$P13),"MEDIA","FINAL"))))</f>
        <v>DESENVOLVIMENTO</v>
      </c>
      <c r="R13" s="24" t="n">
        <f aca="false">IF($P13=0,0,IF($O13&lt;=INDEX(PARAMETROS_CULTURAS!$F$6:$F$28,$P13),INDEX(PARAMETROS_CULTURAS!$K$6:$K$28,$P13),IF($O13&lt;=INDEX(PARAMETROS_CULTURAS!$F$6:$F$28,$P13)+INDEX(PARAMETROS_CULTURAS!$G$6:$G$28,$P13),INDEX(PARAMETROS_CULTURAS!$K$6:$K$28,$P13)+(INDEX(PARAMETROS_CULTURAS!$L$6:$L$28,$P13)-INDEX(PARAMETROS_CULTURAS!$K$6:$K$28,$P13))*($O13-INDEX(PARAMETROS_CULTURAS!$F$6:$F$28,$P13))/MAX(INDEX(PARAMETROS_CULTURAS!$G$6:$G$28,$P13),0.0001),IF($O13&lt;=INDEX(PARAMETROS_CULTURAS!$F$6:$F$28,$P13)+INDEX(PARAMETROS_CULTURAS!$G$6:$G$28,$P13)+INDEX(PARAMETROS_CULTURAS!$H$6:$H$28,$P13),INDEX(PARAMETROS_CULTURAS!$L$6:$L$28,$P13),INDEX(PARAMETROS_CULTURAS!$L$6:$L$28,$P13)+(INDEX(PARAMETROS_CULTURAS!$M$6:$M$28,$P13)-INDEX(PARAMETROS_CULTURAS!$L$6:$L$28,$P13))*($O13-INDEX(PARAMETROS_CULTURAS!$F$6:$F$28,$P13)-INDEX(PARAMETROS_CULTURAS!$G$6:$G$28,$P13)-INDEX(PARAMETROS_CULTURAS!$H$6:$H$28,$P13))/MAX(INDEX(PARAMETROS_CULTURAS!$I$6:$I$28,$P13),0.0001)))))</f>
        <v>0.61875</v>
      </c>
      <c r="S13" s="18" t="n">
        <f aca="false">IFERROR(INDEX(SEMANAS!$H$6:$H$71,MATCH($B13,SEMANAS!$B$6:$B$71,0)),0)</f>
        <v>39.2</v>
      </c>
      <c r="T13" s="18" t="n">
        <f aca="false">$R13*$S13</f>
        <v>24.255</v>
      </c>
      <c r="U13" s="18" t="n">
        <f aca="false">IFERROR(INDEX(SEMANAS!$I$6:$I$71,MATCH($B13,SEMANAS!$B$6:$B$71,0)),0)</f>
        <v>27.09</v>
      </c>
      <c r="V13" s="18" t="n">
        <f aca="false">IFERROR(INDEX(SEMANAS!$J$6:$J$71,MATCH($B13,SEMANAS!$B$6:$B$71,0)),0)</f>
        <v>21.672</v>
      </c>
      <c r="W13" s="18" t="n">
        <f aca="false">MAX(0,$T13-$V13)</f>
        <v>2.583</v>
      </c>
      <c r="X13" s="19" t="n">
        <f aca="false">IFERROR(INDEX(CADASTRO_PIVOS!$K$6:$K$41,MATCH($E13,CADASTRO_PIVOS!$B$6:$B$41,0)),EFICIENCIA_PADRAO)</f>
        <v>0.85</v>
      </c>
      <c r="Y13" s="18" t="n">
        <f aca="false">IF($X13&lt;=0,0,$W13/$X13)</f>
        <v>3.03882352941176</v>
      </c>
      <c r="Z13" s="16" t="n">
        <f aca="false">$Y13*$H13*MM_PARA_M3_HA</f>
        <v>2987.4674117647</v>
      </c>
      <c r="AA13" s="18" t="n">
        <f aca="false">IFERROR(INDEX(CADASTRO_PIVOS!$I$6:$I$41,MATCH($E13,CADASTRO_PIVOS!$B$6:$B$41,0)),0)</f>
        <v>702.214285714286</v>
      </c>
      <c r="AB13" s="18" t="n">
        <f aca="false">IF($Z13&lt;=0,0,$Z13/$AA13)</f>
        <v>4.25435294117647</v>
      </c>
      <c r="AC13" s="16" t="n">
        <f aca="false">IFERROR(INDEX(SEMANAS!$K$6:$K$71,MATCH($B13,SEMANAS!$B$6:$B$71,0)),0)</f>
        <v>147</v>
      </c>
      <c r="AD13" s="19" t="n">
        <f aca="false">IF($AC13&lt;=0,0,$AB13/$AC13)</f>
        <v>0.0289411764705882</v>
      </c>
      <c r="AE13" s="8" t="str">
        <f aca="false">IF($K13="SEM CULTURA","SEM CULTURA",IF($AA13&lt;=0,"DADO PENDENTE",IF($AD13&gt;LIMITE_CRITICO,"INVIAVEL",IF($AD13&gt;LIMITE_ATENCAO,"CRITICO",IF($AD13&gt;LIMITE_CONFORTAVEL,"ATENCAO","OK")))))</f>
        <v>OK</v>
      </c>
      <c r="AF13" s="8" t="str">
        <f aca="false">$B13&amp;"|"&amp;TEXT($AD13,"0.000000")</f>
        <v>8|0.028941</v>
      </c>
      <c r="AG13" s="18" t="n">
        <f aca="false">IF($K13="SEM CULTURA",0,$T13*$H13)</f>
        <v>2384.50905</v>
      </c>
      <c r="AH13" s="18" t="n">
        <f aca="false">IF($K13="SEM CULTURA",0,$V13*$H13)</f>
        <v>2130.57432</v>
      </c>
      <c r="AI13" s="18" t="n">
        <f aca="false">IF($K13="SEM CULTURA",0,$W13*$H13)</f>
        <v>253.93473</v>
      </c>
      <c r="AJ13" s="18" t="n">
        <f aca="false">IF($K13="SEM CULTURA",0,$S13*$H13)</f>
        <v>3853.752</v>
      </c>
      <c r="AK13" s="8" t="str">
        <f aca="false">$E13&amp;"|"&amp;TEXT($AD13,"0.000000")</f>
        <v>PV 109|0.028941</v>
      </c>
    </row>
    <row r="14" customFormat="false" ht="15" hidden="false" customHeight="false" outlineLevel="0" collapsed="false">
      <c r="B14" s="16" t="n">
        <v>9</v>
      </c>
      <c r="C14" s="17" t="n">
        <f aca="false">DATA_INICIO_SAFRA+($B14-1)*DIAS_POR_SEMANA</f>
        <v>46321</v>
      </c>
      <c r="D14" s="17" t="n">
        <f aca="false">$C14+DIAS_POR_SEMANA-1</f>
        <v>46327</v>
      </c>
      <c r="E14" s="15" t="s">
        <v>259</v>
      </c>
      <c r="F14" s="8" t="str">
        <f aca="false">IFERROR(INDEX(CADASTRO_PIVOS!$C$6:$C$41,MATCH($E14,CADASTRO_PIVOS!$B$6:$B$41,0)),"?")</f>
        <v>RM01</v>
      </c>
      <c r="G14" s="8" t="str">
        <f aca="false">IFERROR(INDEX(CADASTRO_PIVOS!$D$6:$D$41,MATCH($E14,CADASTRO_PIVOS!$B$6:$B$41,0)),"?")</f>
        <v>TR01</v>
      </c>
      <c r="H14" s="20" t="n">
        <f aca="false">IFERROR(INDEX(CADASTRO_PIVOS!$E$6:$E$41,MATCH($E14,CADASTRO_PIVOS!$B$6:$B$41,0)),0)</f>
        <v>98.31</v>
      </c>
      <c r="I14" s="16" t="n">
        <f aca="false">IFERROR(SUMIFS(ROTACAO_RDM!$B$6:$B$71,ROTACAO_RDM!$D$6:$D$71,$E14,ROTACAO_RDM!$I$6:$I$71,"&lt;="&amp;$C14+INT(DIAS_POR_SEMANA/2),ROTACAO_RDM!$J$6:$J$71,"&gt;="&amp;$C14+INT(DIAS_POR_SEMANA/2)),0)</f>
        <v>15</v>
      </c>
      <c r="J14" s="16" t="n">
        <f aca="false">IFERROR(MATCH($I14,ROTACAO_RDM!$B$6:$B$71,0),0)</f>
        <v>15</v>
      </c>
      <c r="K14" s="8" t="str">
        <f aca="false">IF($J14=0,"SEM CULTURA",INDEX(ROTACAO_RDM!$F$6:$F$71,$J14))</f>
        <v>SOJA</v>
      </c>
      <c r="L14" s="8" t="str">
        <f aca="false">IF($J14=0,"",INDEX(ROTACAO_RDM!$G$6:$G$71,$J14))</f>
        <v>NEO 690 I2X</v>
      </c>
      <c r="M14" s="17" t="n">
        <f aca="false">IF($J14=0,"",INDEX(ROTACAO_RDM!$I$6:$I$71,$J14))</f>
        <v>46290</v>
      </c>
      <c r="N14" s="16" t="n">
        <f aca="false">IF($J14=0,0,MAX(0,$C14+INT(DIAS_POR_SEMANA/2)-INDEX(ROTACAO_RDM!$I$6:$I$71,$J14)))</f>
        <v>34</v>
      </c>
      <c r="O14" s="19" t="n">
        <f aca="false">IF($J14=0,0,MIN(1,$N14/MAX(1,INDEX(ROTACAO_RDM!$K$6:$K$71,$J14))))</f>
        <v>0.314814814814815</v>
      </c>
      <c r="P14" s="16" t="n">
        <f aca="false">IF($J14=0,0,IFERROR(MATCH(INDEX(ROTACAO_RDM!$N$6:$N$71,$J14),PARAMETROS_CULTURAS!$B$6:$B$28,0),0))</f>
        <v>1</v>
      </c>
      <c r="Q14" s="8" t="str">
        <f aca="false">IF($P14=0,"-",IF($O14&lt;=INDEX(PARAMETROS_CULTURAS!$F$6:$F$28,$P14),"INICIAL",IF($O14&lt;=INDEX(PARAMETROS_CULTURAS!$F$6:$F$28,$P14)+INDEX(PARAMETROS_CULTURAS!$G$6:$G$28,$P14),"DESENVOLVIMENTO",IF($O14&lt;=INDEX(PARAMETROS_CULTURAS!$F$6:$F$28,$P14)+INDEX(PARAMETROS_CULTURAS!$G$6:$G$28,$P14)+INDEX(PARAMETROS_CULTURAS!$H$6:$H$28,$P14),"MEDIA","FINAL"))))</f>
        <v>DESENVOLVIMENTO</v>
      </c>
      <c r="R14" s="24" t="n">
        <f aca="false">IF($P14=0,0,IF($O14&lt;=INDEX(PARAMETROS_CULTURAS!$F$6:$F$28,$P14),INDEX(PARAMETROS_CULTURAS!$K$6:$K$28,$P14),IF($O14&lt;=INDEX(PARAMETROS_CULTURAS!$F$6:$F$28,$P14)+INDEX(PARAMETROS_CULTURAS!$G$6:$G$28,$P14),INDEX(PARAMETROS_CULTURAS!$K$6:$K$28,$P14)+(INDEX(PARAMETROS_CULTURAS!$L$6:$L$28,$P14)-INDEX(PARAMETROS_CULTURAS!$K$6:$K$28,$P14))*($O14-INDEX(PARAMETROS_CULTURAS!$F$6:$F$28,$P14))/MAX(INDEX(PARAMETROS_CULTURAS!$G$6:$G$28,$P14),0.0001),IF($O14&lt;=INDEX(PARAMETROS_CULTURAS!$F$6:$F$28,$P14)+INDEX(PARAMETROS_CULTURAS!$G$6:$G$28,$P14)+INDEX(PARAMETROS_CULTURAS!$H$6:$H$28,$P14),INDEX(PARAMETROS_CULTURAS!$L$6:$L$28,$P14),INDEX(PARAMETROS_CULTURAS!$L$6:$L$28,$P14)+(INDEX(PARAMETROS_CULTURAS!$M$6:$M$28,$P14)-INDEX(PARAMETROS_CULTURAS!$L$6:$L$28,$P14))*($O14-INDEX(PARAMETROS_CULTURAS!$F$6:$F$28,$P14)-INDEX(PARAMETROS_CULTURAS!$G$6:$G$28,$P14)-INDEX(PARAMETROS_CULTURAS!$H$6:$H$28,$P14))/MAX(INDEX(PARAMETROS_CULTURAS!$I$6:$I$28,$P14),0.0001)))))</f>
        <v>0.821296296296296</v>
      </c>
      <c r="S14" s="18" t="n">
        <f aca="false">IFERROR(INDEX(SEMANAS!$H$6:$H$71,MATCH($B14,SEMANAS!$B$6:$B$71,0)),0)</f>
        <v>38.5</v>
      </c>
      <c r="T14" s="18" t="n">
        <f aca="false">$R14*$S14</f>
        <v>31.6199074074074</v>
      </c>
      <c r="U14" s="18" t="n">
        <f aca="false">IFERROR(INDEX(SEMANAS!$I$6:$I$71,MATCH($B14,SEMANAS!$B$6:$B$71,0)),0)</f>
        <v>29.89</v>
      </c>
      <c r="V14" s="18" t="n">
        <f aca="false">IFERROR(INDEX(SEMANAS!$J$6:$J$71,MATCH($B14,SEMANAS!$B$6:$B$71,0)),0)</f>
        <v>23.912</v>
      </c>
      <c r="W14" s="18" t="n">
        <f aca="false">MAX(0,$T14-$V14)</f>
        <v>7.70790740740741</v>
      </c>
      <c r="X14" s="19" t="n">
        <f aca="false">IFERROR(INDEX(CADASTRO_PIVOS!$K$6:$K$41,MATCH($E14,CADASTRO_PIVOS!$B$6:$B$41,0)),EFICIENCIA_PADRAO)</f>
        <v>0.85</v>
      </c>
      <c r="Y14" s="18" t="n">
        <f aca="false">IF($X14&lt;=0,0,$W14/$X14)</f>
        <v>9.06812636165578</v>
      </c>
      <c r="Z14" s="16" t="n">
        <f aca="false">$Y14*$H14*MM_PARA_M3_HA</f>
        <v>8914.87502614379</v>
      </c>
      <c r="AA14" s="18" t="n">
        <f aca="false">IFERROR(INDEX(CADASTRO_PIVOS!$I$6:$I$41,MATCH($E14,CADASTRO_PIVOS!$B$6:$B$41,0)),0)</f>
        <v>702.214285714286</v>
      </c>
      <c r="AB14" s="18" t="n">
        <f aca="false">IF($Z14&lt;=0,0,$Z14/$AA14)</f>
        <v>12.6953769063181</v>
      </c>
      <c r="AC14" s="16" t="n">
        <f aca="false">IFERROR(INDEX(SEMANAS!$K$6:$K$71,MATCH($B14,SEMANAS!$B$6:$B$71,0)),0)</f>
        <v>147</v>
      </c>
      <c r="AD14" s="19" t="n">
        <f aca="false">IF($AC14&lt;=0,0,$AB14/$AC14)</f>
        <v>0.0863631082062455</v>
      </c>
      <c r="AE14" s="8" t="str">
        <f aca="false">IF($K14="SEM CULTURA","SEM CULTURA",IF($AA14&lt;=0,"DADO PENDENTE",IF($AD14&gt;LIMITE_CRITICO,"INVIAVEL",IF($AD14&gt;LIMITE_ATENCAO,"CRITICO",IF($AD14&gt;LIMITE_CONFORTAVEL,"ATENCAO","OK")))))</f>
        <v>OK</v>
      </c>
      <c r="AF14" s="8" t="str">
        <f aca="false">$B14&amp;"|"&amp;TEXT($AD14,"0.000000")</f>
        <v>9|0.086363</v>
      </c>
      <c r="AG14" s="18" t="n">
        <f aca="false">IF($K14="SEM CULTURA",0,$T14*$H14)</f>
        <v>3108.55309722222</v>
      </c>
      <c r="AH14" s="18" t="n">
        <f aca="false">IF($K14="SEM CULTURA",0,$V14*$H14)</f>
        <v>2350.78872</v>
      </c>
      <c r="AI14" s="18" t="n">
        <f aca="false">IF($K14="SEM CULTURA",0,$W14*$H14)</f>
        <v>757.764377222222</v>
      </c>
      <c r="AJ14" s="18" t="n">
        <f aca="false">IF($K14="SEM CULTURA",0,$S14*$H14)</f>
        <v>3784.935</v>
      </c>
      <c r="AK14" s="8" t="str">
        <f aca="false">$E14&amp;"|"&amp;TEXT($AD14,"0.000000")</f>
        <v>PV 109|0.086363</v>
      </c>
    </row>
    <row r="15" customFormat="false" ht="15" hidden="false" customHeight="false" outlineLevel="0" collapsed="false">
      <c r="B15" s="16" t="n">
        <v>10</v>
      </c>
      <c r="C15" s="17" t="n">
        <f aca="false">DATA_INICIO_SAFRA+($B15-1)*DIAS_POR_SEMANA</f>
        <v>46328</v>
      </c>
      <c r="D15" s="17" t="n">
        <f aca="false">$C15+DIAS_POR_SEMANA-1</f>
        <v>46334</v>
      </c>
      <c r="E15" s="15" t="s">
        <v>259</v>
      </c>
      <c r="F15" s="8" t="str">
        <f aca="false">IFERROR(INDEX(CADASTRO_PIVOS!$C$6:$C$41,MATCH($E15,CADASTRO_PIVOS!$B$6:$B$41,0)),"?")</f>
        <v>RM01</v>
      </c>
      <c r="G15" s="8" t="str">
        <f aca="false">IFERROR(INDEX(CADASTRO_PIVOS!$D$6:$D$41,MATCH($E15,CADASTRO_PIVOS!$B$6:$B$41,0)),"?")</f>
        <v>TR01</v>
      </c>
      <c r="H15" s="20" t="n">
        <f aca="false">IFERROR(INDEX(CADASTRO_PIVOS!$E$6:$E$41,MATCH($E15,CADASTRO_PIVOS!$B$6:$B$41,0)),0)</f>
        <v>98.31</v>
      </c>
      <c r="I15" s="16" t="n">
        <f aca="false">IFERROR(SUMIFS(ROTACAO_RDM!$B$6:$B$71,ROTACAO_RDM!$D$6:$D$71,$E15,ROTACAO_RDM!$I$6:$I$71,"&lt;="&amp;$C15+INT(DIAS_POR_SEMANA/2),ROTACAO_RDM!$J$6:$J$71,"&gt;="&amp;$C15+INT(DIAS_POR_SEMANA/2)),0)</f>
        <v>15</v>
      </c>
      <c r="J15" s="16" t="n">
        <f aca="false">IFERROR(MATCH($I15,ROTACAO_RDM!$B$6:$B$71,0),0)</f>
        <v>15</v>
      </c>
      <c r="K15" s="8" t="str">
        <f aca="false">IF($J15=0,"SEM CULTURA",INDEX(ROTACAO_RDM!$F$6:$F$71,$J15))</f>
        <v>SOJA</v>
      </c>
      <c r="L15" s="8" t="str">
        <f aca="false">IF($J15=0,"",INDEX(ROTACAO_RDM!$G$6:$G$71,$J15))</f>
        <v>NEO 690 I2X</v>
      </c>
      <c r="M15" s="17" t="n">
        <f aca="false">IF($J15=0,"",INDEX(ROTACAO_RDM!$I$6:$I$71,$J15))</f>
        <v>46290</v>
      </c>
      <c r="N15" s="16" t="n">
        <f aca="false">IF($J15=0,0,MAX(0,$C15+INT(DIAS_POR_SEMANA/2)-INDEX(ROTACAO_RDM!$I$6:$I$71,$J15)))</f>
        <v>41</v>
      </c>
      <c r="O15" s="19" t="n">
        <f aca="false">IF($J15=0,0,MIN(1,$N15/MAX(1,INDEX(ROTACAO_RDM!$K$6:$K$71,$J15))))</f>
        <v>0.37962962962963</v>
      </c>
      <c r="P15" s="16" t="n">
        <f aca="false">IF($J15=0,0,IFERROR(MATCH(INDEX(ROTACAO_RDM!$N$6:$N$71,$J15),PARAMETROS_CULTURAS!$B$6:$B$28,0),0))</f>
        <v>1</v>
      </c>
      <c r="Q15" s="8" t="str">
        <f aca="false">IF($P15=0,"-",IF($O15&lt;=INDEX(PARAMETROS_CULTURAS!$F$6:$F$28,$P15),"INICIAL",IF($O15&lt;=INDEX(PARAMETROS_CULTURAS!$F$6:$F$28,$P15)+INDEX(PARAMETROS_CULTURAS!$G$6:$G$28,$P15),"DESENVOLVIMENTO",IF($O15&lt;=INDEX(PARAMETROS_CULTURAS!$F$6:$F$28,$P15)+INDEX(PARAMETROS_CULTURAS!$G$6:$G$28,$P15)+INDEX(PARAMETROS_CULTURAS!$H$6:$H$28,$P15),"MEDIA","FINAL"))))</f>
        <v>DESENVOLVIMENTO</v>
      </c>
      <c r="R15" s="24" t="n">
        <f aca="false">IF($P15=0,0,IF($O15&lt;=INDEX(PARAMETROS_CULTURAS!$F$6:$F$28,$P15),INDEX(PARAMETROS_CULTURAS!$K$6:$K$28,$P15),IF($O15&lt;=INDEX(PARAMETROS_CULTURAS!$F$6:$F$28,$P15)+INDEX(PARAMETROS_CULTURAS!$G$6:$G$28,$P15),INDEX(PARAMETROS_CULTURAS!$K$6:$K$28,$P15)+(INDEX(PARAMETROS_CULTURAS!$L$6:$L$28,$P15)-INDEX(PARAMETROS_CULTURAS!$K$6:$K$28,$P15))*($O15-INDEX(PARAMETROS_CULTURAS!$F$6:$F$28,$P15))/MAX(INDEX(PARAMETROS_CULTURAS!$G$6:$G$28,$P15),0.0001),IF($O15&lt;=INDEX(PARAMETROS_CULTURAS!$F$6:$F$28,$P15)+INDEX(PARAMETROS_CULTURAS!$G$6:$G$28,$P15)+INDEX(PARAMETROS_CULTURAS!$H$6:$H$28,$P15),INDEX(PARAMETROS_CULTURAS!$L$6:$L$28,$P15),INDEX(PARAMETROS_CULTURAS!$L$6:$L$28,$P15)+(INDEX(PARAMETROS_CULTURAS!$M$6:$M$28,$P15)-INDEX(PARAMETROS_CULTURAS!$L$6:$L$28,$P15))*($O15-INDEX(PARAMETROS_CULTURAS!$F$6:$F$28,$P15)-INDEX(PARAMETROS_CULTURAS!$G$6:$G$28,$P15)-INDEX(PARAMETROS_CULTURAS!$H$6:$H$28,$P15))/MAX(INDEX(PARAMETROS_CULTURAS!$I$6:$I$28,$P15),0.0001)))))</f>
        <v>1.02384259259259</v>
      </c>
      <c r="S15" s="18" t="n">
        <f aca="false">IFERROR(INDEX(SEMANAS!$H$6:$H$71,MATCH($B15,SEMANAS!$B$6:$B$71,0)),0)</f>
        <v>34.3</v>
      </c>
      <c r="T15" s="18" t="n">
        <f aca="false">$R15*$S15</f>
        <v>35.1178009259259</v>
      </c>
      <c r="U15" s="18" t="n">
        <f aca="false">IFERROR(INDEX(SEMANAS!$I$6:$I$71,MATCH($B15,SEMANAS!$B$6:$B$71,0)),0)</f>
        <v>46.69</v>
      </c>
      <c r="V15" s="18" t="n">
        <f aca="false">IFERROR(INDEX(SEMANAS!$J$6:$J$71,MATCH($B15,SEMANAS!$B$6:$B$71,0)),0)</f>
        <v>37.352</v>
      </c>
      <c r="W15" s="18" t="n">
        <f aca="false">MAX(0,$T15-$V15)</f>
        <v>0</v>
      </c>
      <c r="X15" s="19" t="n">
        <f aca="false">IFERROR(INDEX(CADASTRO_PIVOS!$K$6:$K$41,MATCH($E15,CADASTRO_PIVOS!$B$6:$B$41,0)),EFICIENCIA_PADRAO)</f>
        <v>0.85</v>
      </c>
      <c r="Y15" s="18" t="n">
        <f aca="false">IF($X15&lt;=0,0,$W15/$X15)</f>
        <v>0</v>
      </c>
      <c r="Z15" s="16" t="n">
        <f aca="false">$Y15*$H15*MM_PARA_M3_HA</f>
        <v>0</v>
      </c>
      <c r="AA15" s="18" t="n">
        <f aca="false">IFERROR(INDEX(CADASTRO_PIVOS!$I$6:$I$41,MATCH($E15,CADASTRO_PIVOS!$B$6:$B$41,0)),0)</f>
        <v>702.214285714286</v>
      </c>
      <c r="AB15" s="18" t="n">
        <f aca="false">IF($Z15&lt;=0,0,$Z15/$AA15)</f>
        <v>0</v>
      </c>
      <c r="AC15" s="16" t="n">
        <f aca="false">IFERROR(INDEX(SEMANAS!$K$6:$K$71,MATCH($B15,SEMANAS!$B$6:$B$71,0)),0)</f>
        <v>147</v>
      </c>
      <c r="AD15" s="19" t="n">
        <f aca="false">IF($AC15&lt;=0,0,$AB15/$AC15)</f>
        <v>0</v>
      </c>
      <c r="AE15" s="8" t="str">
        <f aca="false">IF($K15="SEM CULTURA","SEM CULTURA",IF($AA15&lt;=0,"DADO PENDENTE",IF($AD15&gt;LIMITE_CRITICO,"INVIAVEL",IF($AD15&gt;LIMITE_ATENCAO,"CRITICO",IF($AD15&gt;LIMITE_CONFORTAVEL,"ATENCAO","OK")))))</f>
        <v>OK</v>
      </c>
      <c r="AF15" s="8" t="str">
        <f aca="false">$B15&amp;"|"&amp;TEXT($AD15,"0.000000")</f>
        <v>10|0.000000</v>
      </c>
      <c r="AG15" s="18" t="n">
        <f aca="false">IF($K15="SEM CULTURA",0,$T15*$H15)</f>
        <v>3452.43100902778</v>
      </c>
      <c r="AH15" s="18" t="n">
        <f aca="false">IF($K15="SEM CULTURA",0,$V15*$H15)</f>
        <v>3672.07512</v>
      </c>
      <c r="AI15" s="18" t="n">
        <f aca="false">IF($K15="SEM CULTURA",0,$W15*$H15)</f>
        <v>0</v>
      </c>
      <c r="AJ15" s="18" t="n">
        <f aca="false">IF($K15="SEM CULTURA",0,$S15*$H15)</f>
        <v>3372.033</v>
      </c>
      <c r="AK15" s="8" t="str">
        <f aca="false">$E15&amp;"|"&amp;TEXT($AD15,"0.000000")</f>
        <v>PV 109|0.000000</v>
      </c>
    </row>
    <row r="16" customFormat="false" ht="15" hidden="false" customHeight="false" outlineLevel="0" collapsed="false">
      <c r="B16" s="16" t="n">
        <v>11</v>
      </c>
      <c r="C16" s="17" t="n">
        <f aca="false">DATA_INICIO_SAFRA+($B16-1)*DIAS_POR_SEMANA</f>
        <v>46335</v>
      </c>
      <c r="D16" s="17" t="n">
        <f aca="false">$C16+DIAS_POR_SEMANA-1</f>
        <v>46341</v>
      </c>
      <c r="E16" s="15" t="s">
        <v>259</v>
      </c>
      <c r="F16" s="8" t="str">
        <f aca="false">IFERROR(INDEX(CADASTRO_PIVOS!$C$6:$C$41,MATCH($E16,CADASTRO_PIVOS!$B$6:$B$41,0)),"?")</f>
        <v>RM01</v>
      </c>
      <c r="G16" s="8" t="str">
        <f aca="false">IFERROR(INDEX(CADASTRO_PIVOS!$D$6:$D$41,MATCH($E16,CADASTRO_PIVOS!$B$6:$B$41,0)),"?")</f>
        <v>TR01</v>
      </c>
      <c r="H16" s="20" t="n">
        <f aca="false">IFERROR(INDEX(CADASTRO_PIVOS!$E$6:$E$41,MATCH($E16,CADASTRO_PIVOS!$B$6:$B$41,0)),0)</f>
        <v>98.31</v>
      </c>
      <c r="I16" s="16" t="n">
        <f aca="false">IFERROR(SUMIFS(ROTACAO_RDM!$B$6:$B$71,ROTACAO_RDM!$D$6:$D$71,$E16,ROTACAO_RDM!$I$6:$I$71,"&lt;="&amp;$C16+INT(DIAS_POR_SEMANA/2),ROTACAO_RDM!$J$6:$J$71,"&gt;="&amp;$C16+INT(DIAS_POR_SEMANA/2)),0)</f>
        <v>15</v>
      </c>
      <c r="J16" s="16" t="n">
        <f aca="false">IFERROR(MATCH($I16,ROTACAO_RDM!$B$6:$B$71,0),0)</f>
        <v>15</v>
      </c>
      <c r="K16" s="8" t="str">
        <f aca="false">IF($J16=0,"SEM CULTURA",INDEX(ROTACAO_RDM!$F$6:$F$71,$J16))</f>
        <v>SOJA</v>
      </c>
      <c r="L16" s="8" t="str">
        <f aca="false">IF($J16=0,"",INDEX(ROTACAO_RDM!$G$6:$G$71,$J16))</f>
        <v>NEO 690 I2X</v>
      </c>
      <c r="M16" s="17" t="n">
        <f aca="false">IF($J16=0,"",INDEX(ROTACAO_RDM!$I$6:$I$71,$J16))</f>
        <v>46290</v>
      </c>
      <c r="N16" s="16" t="n">
        <f aca="false">IF($J16=0,0,MAX(0,$C16+INT(DIAS_POR_SEMANA/2)-INDEX(ROTACAO_RDM!$I$6:$I$71,$J16)))</f>
        <v>48</v>
      </c>
      <c r="O16" s="19" t="n">
        <f aca="false">IF($J16=0,0,MIN(1,$N16/MAX(1,INDEX(ROTACAO_RDM!$K$6:$K$71,$J16))))</f>
        <v>0.444444444444444</v>
      </c>
      <c r="P16" s="16" t="n">
        <f aca="false">IF($J16=0,0,IFERROR(MATCH(INDEX(ROTACAO_RDM!$N$6:$N$71,$J16),PARAMETROS_CULTURAS!$B$6:$B$28,0),0))</f>
        <v>1</v>
      </c>
      <c r="Q16" s="8" t="str">
        <f aca="false">IF($P16=0,"-",IF($O16&lt;=INDEX(PARAMETROS_CULTURAS!$F$6:$F$28,$P16),"INICIAL",IF($O16&lt;=INDEX(PARAMETROS_CULTURAS!$F$6:$F$28,$P16)+INDEX(PARAMETROS_CULTURAS!$G$6:$G$28,$P16),"DESENVOLVIMENTO",IF($O16&lt;=INDEX(PARAMETROS_CULTURAS!$F$6:$F$28,$P16)+INDEX(PARAMETROS_CULTURAS!$G$6:$G$28,$P16)+INDEX(PARAMETROS_CULTURAS!$H$6:$H$28,$P16),"MEDIA","FINAL"))))</f>
        <v>MEDIA</v>
      </c>
      <c r="R16" s="24" t="n">
        <f aca="false">IF($P16=0,0,IF($O16&lt;=INDEX(PARAMETROS_CULTURAS!$F$6:$F$28,$P16),INDEX(PARAMETROS_CULTURAS!$K$6:$K$28,$P16),IF($O16&lt;=INDEX(PARAMETROS_CULTURAS!$F$6:$F$28,$P16)+INDEX(PARAMETROS_CULTURAS!$G$6:$G$28,$P16),INDEX(PARAMETROS_CULTURAS!$K$6:$K$28,$P16)+(INDEX(PARAMETROS_CULTURAS!$L$6:$L$28,$P16)-INDEX(PARAMETROS_CULTURAS!$K$6:$K$28,$P16))*($O16-INDEX(PARAMETROS_CULTURAS!$F$6:$F$28,$P16))/MAX(INDEX(PARAMETROS_CULTURAS!$G$6:$G$28,$P16),0.0001),IF($O16&lt;=INDEX(PARAMETROS_CULTURAS!$F$6:$F$28,$P16)+INDEX(PARAMETROS_CULTURAS!$G$6:$G$28,$P16)+INDEX(PARAMETROS_CULTURAS!$H$6:$H$28,$P16),INDEX(PARAMETROS_CULTURAS!$L$6:$L$28,$P16),INDEX(PARAMETROS_CULTURAS!$L$6:$L$28,$P16)+(INDEX(PARAMETROS_CULTURAS!$M$6:$M$28,$P16)-INDEX(PARAMETROS_CULTURAS!$L$6:$L$28,$P16))*($O16-INDEX(PARAMETROS_CULTURAS!$F$6:$F$28,$P16)-INDEX(PARAMETROS_CULTURAS!$G$6:$G$28,$P16)-INDEX(PARAMETROS_CULTURAS!$H$6:$H$28,$P16))/MAX(INDEX(PARAMETROS_CULTURAS!$I$6:$I$28,$P16),0.0001)))))</f>
        <v>1.15</v>
      </c>
      <c r="S16" s="18" t="n">
        <f aca="false">IFERROR(INDEX(SEMANAS!$H$6:$H$71,MATCH($B16,SEMANAS!$B$6:$B$71,0)),0)</f>
        <v>34.3</v>
      </c>
      <c r="T16" s="18" t="n">
        <f aca="false">$R16*$S16</f>
        <v>39.445</v>
      </c>
      <c r="U16" s="18" t="n">
        <f aca="false">IFERROR(INDEX(SEMANAS!$I$6:$I$71,MATCH($B16,SEMANAS!$B$6:$B$71,0)),0)</f>
        <v>46.69</v>
      </c>
      <c r="V16" s="18" t="n">
        <f aca="false">IFERROR(INDEX(SEMANAS!$J$6:$J$71,MATCH($B16,SEMANAS!$B$6:$B$71,0)),0)</f>
        <v>37.352</v>
      </c>
      <c r="W16" s="18" t="n">
        <f aca="false">MAX(0,$T16-$V16)</f>
        <v>2.093</v>
      </c>
      <c r="X16" s="19" t="n">
        <f aca="false">IFERROR(INDEX(CADASTRO_PIVOS!$K$6:$K$41,MATCH($E16,CADASTRO_PIVOS!$B$6:$B$41,0)),EFICIENCIA_PADRAO)</f>
        <v>0.85</v>
      </c>
      <c r="Y16" s="18" t="n">
        <f aca="false">IF($X16&lt;=0,0,$W16/$X16)</f>
        <v>2.46235294117647</v>
      </c>
      <c r="Z16" s="16" t="n">
        <f aca="false">$Y16*$H16*MM_PARA_M3_HA</f>
        <v>2420.73917647058</v>
      </c>
      <c r="AA16" s="18" t="n">
        <f aca="false">IFERROR(INDEX(CADASTRO_PIVOS!$I$6:$I$41,MATCH($E16,CADASTRO_PIVOS!$B$6:$B$41,0)),0)</f>
        <v>702.214285714286</v>
      </c>
      <c r="AB16" s="18" t="n">
        <f aca="false">IF($Z16&lt;=0,0,$Z16/$AA16)</f>
        <v>3.44729411764705</v>
      </c>
      <c r="AC16" s="16" t="n">
        <f aca="false">IFERROR(INDEX(SEMANAS!$K$6:$K$71,MATCH($B16,SEMANAS!$B$6:$B$71,0)),0)</f>
        <v>147</v>
      </c>
      <c r="AD16" s="19" t="n">
        <f aca="false">IF($AC16&lt;=0,0,$AB16/$AC16)</f>
        <v>0.0234509803921568</v>
      </c>
      <c r="AE16" s="8" t="str">
        <f aca="false">IF($K16="SEM CULTURA","SEM CULTURA",IF($AA16&lt;=0,"DADO PENDENTE",IF($AD16&gt;LIMITE_CRITICO,"INVIAVEL",IF($AD16&gt;LIMITE_ATENCAO,"CRITICO",IF($AD16&gt;LIMITE_CONFORTAVEL,"ATENCAO","OK")))))</f>
        <v>OK</v>
      </c>
      <c r="AF16" s="8" t="str">
        <f aca="false">$B16&amp;"|"&amp;TEXT($AD16,"0.000000")</f>
        <v>11|0.023451</v>
      </c>
      <c r="AG16" s="18" t="n">
        <f aca="false">IF($K16="SEM CULTURA",0,$T16*$H16)</f>
        <v>3877.83795</v>
      </c>
      <c r="AH16" s="18" t="n">
        <f aca="false">IF($K16="SEM CULTURA",0,$V16*$H16)</f>
        <v>3672.07512</v>
      </c>
      <c r="AI16" s="18" t="n">
        <f aca="false">IF($K16="SEM CULTURA",0,$W16*$H16)</f>
        <v>205.76283</v>
      </c>
      <c r="AJ16" s="18" t="n">
        <f aca="false">IF($K16="SEM CULTURA",0,$S16*$H16)</f>
        <v>3372.033</v>
      </c>
      <c r="AK16" s="8" t="str">
        <f aca="false">$E16&amp;"|"&amp;TEXT($AD16,"0.000000")</f>
        <v>PV 109|0.023451</v>
      </c>
    </row>
    <row r="17" customFormat="false" ht="15" hidden="false" customHeight="false" outlineLevel="0" collapsed="false">
      <c r="B17" s="16" t="n">
        <v>12</v>
      </c>
      <c r="C17" s="17" t="n">
        <f aca="false">DATA_INICIO_SAFRA+($B17-1)*DIAS_POR_SEMANA</f>
        <v>46342</v>
      </c>
      <c r="D17" s="17" t="n">
        <f aca="false">$C17+DIAS_POR_SEMANA-1</f>
        <v>46348</v>
      </c>
      <c r="E17" s="15" t="s">
        <v>259</v>
      </c>
      <c r="F17" s="8" t="str">
        <f aca="false">IFERROR(INDEX(CADASTRO_PIVOS!$C$6:$C$41,MATCH($E17,CADASTRO_PIVOS!$B$6:$B$41,0)),"?")</f>
        <v>RM01</v>
      </c>
      <c r="G17" s="8" t="str">
        <f aca="false">IFERROR(INDEX(CADASTRO_PIVOS!$D$6:$D$41,MATCH($E17,CADASTRO_PIVOS!$B$6:$B$41,0)),"?")</f>
        <v>TR01</v>
      </c>
      <c r="H17" s="20" t="n">
        <f aca="false">IFERROR(INDEX(CADASTRO_PIVOS!$E$6:$E$41,MATCH($E17,CADASTRO_PIVOS!$B$6:$B$41,0)),0)</f>
        <v>98.31</v>
      </c>
      <c r="I17" s="16" t="n">
        <f aca="false">IFERROR(SUMIFS(ROTACAO_RDM!$B$6:$B$71,ROTACAO_RDM!$D$6:$D$71,$E17,ROTACAO_RDM!$I$6:$I$71,"&lt;="&amp;$C17+INT(DIAS_POR_SEMANA/2),ROTACAO_RDM!$J$6:$J$71,"&gt;="&amp;$C17+INT(DIAS_POR_SEMANA/2)),0)</f>
        <v>15</v>
      </c>
      <c r="J17" s="16" t="n">
        <f aca="false">IFERROR(MATCH($I17,ROTACAO_RDM!$B$6:$B$71,0),0)</f>
        <v>15</v>
      </c>
      <c r="K17" s="8" t="str">
        <f aca="false">IF($J17=0,"SEM CULTURA",INDEX(ROTACAO_RDM!$F$6:$F$71,$J17))</f>
        <v>SOJA</v>
      </c>
      <c r="L17" s="8" t="str">
        <f aca="false">IF($J17=0,"",INDEX(ROTACAO_RDM!$G$6:$G$71,$J17))</f>
        <v>NEO 690 I2X</v>
      </c>
      <c r="M17" s="17" t="n">
        <f aca="false">IF($J17=0,"",INDEX(ROTACAO_RDM!$I$6:$I$71,$J17))</f>
        <v>46290</v>
      </c>
      <c r="N17" s="16" t="n">
        <f aca="false">IF($J17=0,0,MAX(0,$C17+INT(DIAS_POR_SEMANA/2)-INDEX(ROTACAO_RDM!$I$6:$I$71,$J17)))</f>
        <v>55</v>
      </c>
      <c r="O17" s="19" t="n">
        <f aca="false">IF($J17=0,0,MIN(1,$N17/MAX(1,INDEX(ROTACAO_RDM!$K$6:$K$71,$J17))))</f>
        <v>0.509259259259259</v>
      </c>
      <c r="P17" s="16" t="n">
        <f aca="false">IF($J17=0,0,IFERROR(MATCH(INDEX(ROTACAO_RDM!$N$6:$N$71,$J17),PARAMETROS_CULTURAS!$B$6:$B$28,0),0))</f>
        <v>1</v>
      </c>
      <c r="Q17" s="8" t="str">
        <f aca="false">IF($P17=0,"-",IF($O17&lt;=INDEX(PARAMETROS_CULTURAS!$F$6:$F$28,$P17),"INICIAL",IF($O17&lt;=INDEX(PARAMETROS_CULTURAS!$F$6:$F$28,$P17)+INDEX(PARAMETROS_CULTURAS!$G$6:$G$28,$P17),"DESENVOLVIMENTO",IF($O17&lt;=INDEX(PARAMETROS_CULTURAS!$F$6:$F$28,$P17)+INDEX(PARAMETROS_CULTURAS!$G$6:$G$28,$P17)+INDEX(PARAMETROS_CULTURAS!$H$6:$H$28,$P17),"MEDIA","FINAL"))))</f>
        <v>MEDIA</v>
      </c>
      <c r="R17" s="24" t="n">
        <f aca="false">IF($P17=0,0,IF($O17&lt;=INDEX(PARAMETROS_CULTURAS!$F$6:$F$28,$P17),INDEX(PARAMETROS_CULTURAS!$K$6:$K$28,$P17),IF($O17&lt;=INDEX(PARAMETROS_CULTURAS!$F$6:$F$28,$P17)+INDEX(PARAMETROS_CULTURAS!$G$6:$G$28,$P17),INDEX(PARAMETROS_CULTURAS!$K$6:$K$28,$P17)+(INDEX(PARAMETROS_CULTURAS!$L$6:$L$28,$P17)-INDEX(PARAMETROS_CULTURAS!$K$6:$K$28,$P17))*($O17-INDEX(PARAMETROS_CULTURAS!$F$6:$F$28,$P17))/MAX(INDEX(PARAMETROS_CULTURAS!$G$6:$G$28,$P17),0.0001),IF($O17&lt;=INDEX(PARAMETROS_CULTURAS!$F$6:$F$28,$P17)+INDEX(PARAMETROS_CULTURAS!$G$6:$G$28,$P17)+INDEX(PARAMETROS_CULTURAS!$H$6:$H$28,$P17),INDEX(PARAMETROS_CULTURAS!$L$6:$L$28,$P17),INDEX(PARAMETROS_CULTURAS!$L$6:$L$28,$P17)+(INDEX(PARAMETROS_CULTURAS!$M$6:$M$28,$P17)-INDEX(PARAMETROS_CULTURAS!$L$6:$L$28,$P17))*($O17-INDEX(PARAMETROS_CULTURAS!$F$6:$F$28,$P17)-INDEX(PARAMETROS_CULTURAS!$G$6:$G$28,$P17)-INDEX(PARAMETROS_CULTURAS!$H$6:$H$28,$P17))/MAX(INDEX(PARAMETROS_CULTURAS!$I$6:$I$28,$P17),0.0001)))))</f>
        <v>1.15</v>
      </c>
      <c r="S17" s="18" t="n">
        <f aca="false">IFERROR(INDEX(SEMANAS!$H$6:$H$71,MATCH($B17,SEMANAS!$B$6:$B$71,0)),0)</f>
        <v>34.3</v>
      </c>
      <c r="T17" s="18" t="n">
        <f aca="false">$R17*$S17</f>
        <v>39.445</v>
      </c>
      <c r="U17" s="18" t="n">
        <f aca="false">IFERROR(INDEX(SEMANAS!$I$6:$I$71,MATCH($B17,SEMANAS!$B$6:$B$71,0)),0)</f>
        <v>46.69</v>
      </c>
      <c r="V17" s="18" t="n">
        <f aca="false">IFERROR(INDEX(SEMANAS!$J$6:$J$71,MATCH($B17,SEMANAS!$B$6:$B$71,0)),0)</f>
        <v>37.352</v>
      </c>
      <c r="W17" s="18" t="n">
        <f aca="false">MAX(0,$T17-$V17)</f>
        <v>2.093</v>
      </c>
      <c r="X17" s="19" t="n">
        <f aca="false">IFERROR(INDEX(CADASTRO_PIVOS!$K$6:$K$41,MATCH($E17,CADASTRO_PIVOS!$B$6:$B$41,0)),EFICIENCIA_PADRAO)</f>
        <v>0.85</v>
      </c>
      <c r="Y17" s="18" t="n">
        <f aca="false">IF($X17&lt;=0,0,$W17/$X17)</f>
        <v>2.46235294117647</v>
      </c>
      <c r="Z17" s="16" t="n">
        <f aca="false">$Y17*$H17*MM_PARA_M3_HA</f>
        <v>2420.73917647058</v>
      </c>
      <c r="AA17" s="18" t="n">
        <f aca="false">IFERROR(INDEX(CADASTRO_PIVOS!$I$6:$I$41,MATCH($E17,CADASTRO_PIVOS!$B$6:$B$41,0)),0)</f>
        <v>702.214285714286</v>
      </c>
      <c r="AB17" s="18" t="n">
        <f aca="false">IF($Z17&lt;=0,0,$Z17/$AA17)</f>
        <v>3.44729411764705</v>
      </c>
      <c r="AC17" s="16" t="n">
        <f aca="false">IFERROR(INDEX(SEMANAS!$K$6:$K$71,MATCH($B17,SEMANAS!$B$6:$B$71,0)),0)</f>
        <v>147</v>
      </c>
      <c r="AD17" s="19" t="n">
        <f aca="false">IF($AC17&lt;=0,0,$AB17/$AC17)</f>
        <v>0.0234509803921568</v>
      </c>
      <c r="AE17" s="8" t="str">
        <f aca="false">IF($K17="SEM CULTURA","SEM CULTURA",IF($AA17&lt;=0,"DADO PENDENTE",IF($AD17&gt;LIMITE_CRITICO,"INVIAVEL",IF($AD17&gt;LIMITE_ATENCAO,"CRITICO",IF($AD17&gt;LIMITE_CONFORTAVEL,"ATENCAO","OK")))))</f>
        <v>OK</v>
      </c>
      <c r="AF17" s="8" t="str">
        <f aca="false">$B17&amp;"|"&amp;TEXT($AD17,"0.000000")</f>
        <v>12|0.023451</v>
      </c>
      <c r="AG17" s="18" t="n">
        <f aca="false">IF($K17="SEM CULTURA",0,$T17*$H17)</f>
        <v>3877.83795</v>
      </c>
      <c r="AH17" s="18" t="n">
        <f aca="false">IF($K17="SEM CULTURA",0,$V17*$H17)</f>
        <v>3672.07512</v>
      </c>
      <c r="AI17" s="18" t="n">
        <f aca="false">IF($K17="SEM CULTURA",0,$W17*$H17)</f>
        <v>205.76283</v>
      </c>
      <c r="AJ17" s="18" t="n">
        <f aca="false">IF($K17="SEM CULTURA",0,$S17*$H17)</f>
        <v>3372.033</v>
      </c>
      <c r="AK17" s="8" t="str">
        <f aca="false">$E17&amp;"|"&amp;TEXT($AD17,"0.000000")</f>
        <v>PV 109|0.023451</v>
      </c>
    </row>
    <row r="18" customFormat="false" ht="15" hidden="false" customHeight="false" outlineLevel="0" collapsed="false">
      <c r="B18" s="16" t="n">
        <v>13</v>
      </c>
      <c r="C18" s="17" t="n">
        <f aca="false">DATA_INICIO_SAFRA+($B18-1)*DIAS_POR_SEMANA</f>
        <v>46349</v>
      </c>
      <c r="D18" s="17" t="n">
        <f aca="false">$C18+DIAS_POR_SEMANA-1</f>
        <v>46355</v>
      </c>
      <c r="E18" s="15" t="s">
        <v>259</v>
      </c>
      <c r="F18" s="8" t="str">
        <f aca="false">IFERROR(INDEX(CADASTRO_PIVOS!$C$6:$C$41,MATCH($E18,CADASTRO_PIVOS!$B$6:$B$41,0)),"?")</f>
        <v>RM01</v>
      </c>
      <c r="G18" s="8" t="str">
        <f aca="false">IFERROR(INDEX(CADASTRO_PIVOS!$D$6:$D$41,MATCH($E18,CADASTRO_PIVOS!$B$6:$B$41,0)),"?")</f>
        <v>TR01</v>
      </c>
      <c r="H18" s="20" t="n">
        <f aca="false">IFERROR(INDEX(CADASTRO_PIVOS!$E$6:$E$41,MATCH($E18,CADASTRO_PIVOS!$B$6:$B$41,0)),0)</f>
        <v>98.31</v>
      </c>
      <c r="I18" s="16" t="n">
        <f aca="false">IFERROR(SUMIFS(ROTACAO_RDM!$B$6:$B$71,ROTACAO_RDM!$D$6:$D$71,$E18,ROTACAO_RDM!$I$6:$I$71,"&lt;="&amp;$C18+INT(DIAS_POR_SEMANA/2),ROTACAO_RDM!$J$6:$J$71,"&gt;="&amp;$C18+INT(DIAS_POR_SEMANA/2)),0)</f>
        <v>15</v>
      </c>
      <c r="J18" s="16" t="n">
        <f aca="false">IFERROR(MATCH($I18,ROTACAO_RDM!$B$6:$B$71,0),0)</f>
        <v>15</v>
      </c>
      <c r="K18" s="8" t="str">
        <f aca="false">IF($J18=0,"SEM CULTURA",INDEX(ROTACAO_RDM!$F$6:$F$71,$J18))</f>
        <v>SOJA</v>
      </c>
      <c r="L18" s="8" t="str">
        <f aca="false">IF($J18=0,"",INDEX(ROTACAO_RDM!$G$6:$G$71,$J18))</f>
        <v>NEO 690 I2X</v>
      </c>
      <c r="M18" s="17" t="n">
        <f aca="false">IF($J18=0,"",INDEX(ROTACAO_RDM!$I$6:$I$71,$J18))</f>
        <v>46290</v>
      </c>
      <c r="N18" s="16" t="n">
        <f aca="false">IF($J18=0,0,MAX(0,$C18+INT(DIAS_POR_SEMANA/2)-INDEX(ROTACAO_RDM!$I$6:$I$71,$J18)))</f>
        <v>62</v>
      </c>
      <c r="O18" s="19" t="n">
        <f aca="false">IF($J18=0,0,MIN(1,$N18/MAX(1,INDEX(ROTACAO_RDM!$K$6:$K$71,$J18))))</f>
        <v>0.574074074074074</v>
      </c>
      <c r="P18" s="16" t="n">
        <f aca="false">IF($J18=0,0,IFERROR(MATCH(INDEX(ROTACAO_RDM!$N$6:$N$71,$J18),PARAMETROS_CULTURAS!$B$6:$B$28,0),0))</f>
        <v>1</v>
      </c>
      <c r="Q18" s="8" t="str">
        <f aca="false">IF($P18=0,"-",IF($O18&lt;=INDEX(PARAMETROS_CULTURAS!$F$6:$F$28,$P18),"INICIAL",IF($O18&lt;=INDEX(PARAMETROS_CULTURAS!$F$6:$F$28,$P18)+INDEX(PARAMETROS_CULTURAS!$G$6:$G$28,$P18),"DESENVOLVIMENTO",IF($O18&lt;=INDEX(PARAMETROS_CULTURAS!$F$6:$F$28,$P18)+INDEX(PARAMETROS_CULTURAS!$G$6:$G$28,$P18)+INDEX(PARAMETROS_CULTURAS!$H$6:$H$28,$P18),"MEDIA","FINAL"))))</f>
        <v>MEDIA</v>
      </c>
      <c r="R18" s="24" t="n">
        <f aca="false">IF($P18=0,0,IF($O18&lt;=INDEX(PARAMETROS_CULTURAS!$F$6:$F$28,$P18),INDEX(PARAMETROS_CULTURAS!$K$6:$K$28,$P18),IF($O18&lt;=INDEX(PARAMETROS_CULTURAS!$F$6:$F$28,$P18)+INDEX(PARAMETROS_CULTURAS!$G$6:$G$28,$P18),INDEX(PARAMETROS_CULTURAS!$K$6:$K$28,$P18)+(INDEX(PARAMETROS_CULTURAS!$L$6:$L$28,$P18)-INDEX(PARAMETROS_CULTURAS!$K$6:$K$28,$P18))*($O18-INDEX(PARAMETROS_CULTURAS!$F$6:$F$28,$P18))/MAX(INDEX(PARAMETROS_CULTURAS!$G$6:$G$28,$P18),0.0001),IF($O18&lt;=INDEX(PARAMETROS_CULTURAS!$F$6:$F$28,$P18)+INDEX(PARAMETROS_CULTURAS!$G$6:$G$28,$P18)+INDEX(PARAMETROS_CULTURAS!$H$6:$H$28,$P18),INDEX(PARAMETROS_CULTURAS!$L$6:$L$28,$P18),INDEX(PARAMETROS_CULTURAS!$L$6:$L$28,$P18)+(INDEX(PARAMETROS_CULTURAS!$M$6:$M$28,$P18)-INDEX(PARAMETROS_CULTURAS!$L$6:$L$28,$P18))*($O18-INDEX(PARAMETROS_CULTURAS!$F$6:$F$28,$P18)-INDEX(PARAMETROS_CULTURAS!$G$6:$G$28,$P18)-INDEX(PARAMETROS_CULTURAS!$H$6:$H$28,$P18))/MAX(INDEX(PARAMETROS_CULTURAS!$I$6:$I$28,$P18),0.0001)))))</f>
        <v>1.15</v>
      </c>
      <c r="S18" s="18" t="n">
        <f aca="false">IFERROR(INDEX(SEMANAS!$H$6:$H$71,MATCH($B18,SEMANAS!$B$6:$B$71,0)),0)</f>
        <v>34.3</v>
      </c>
      <c r="T18" s="18" t="n">
        <f aca="false">$R18*$S18</f>
        <v>39.445</v>
      </c>
      <c r="U18" s="18" t="n">
        <f aca="false">IFERROR(INDEX(SEMANAS!$I$6:$I$71,MATCH($B18,SEMANAS!$B$6:$B$71,0)),0)</f>
        <v>46.69</v>
      </c>
      <c r="V18" s="18" t="n">
        <f aca="false">IFERROR(INDEX(SEMANAS!$J$6:$J$71,MATCH($B18,SEMANAS!$B$6:$B$71,0)),0)</f>
        <v>37.352</v>
      </c>
      <c r="W18" s="18" t="n">
        <f aca="false">MAX(0,$T18-$V18)</f>
        <v>2.093</v>
      </c>
      <c r="X18" s="19" t="n">
        <f aca="false">IFERROR(INDEX(CADASTRO_PIVOS!$K$6:$K$41,MATCH($E18,CADASTRO_PIVOS!$B$6:$B$41,0)),EFICIENCIA_PADRAO)</f>
        <v>0.85</v>
      </c>
      <c r="Y18" s="18" t="n">
        <f aca="false">IF($X18&lt;=0,0,$W18/$X18)</f>
        <v>2.46235294117647</v>
      </c>
      <c r="Z18" s="16" t="n">
        <f aca="false">$Y18*$H18*MM_PARA_M3_HA</f>
        <v>2420.73917647058</v>
      </c>
      <c r="AA18" s="18" t="n">
        <f aca="false">IFERROR(INDEX(CADASTRO_PIVOS!$I$6:$I$41,MATCH($E18,CADASTRO_PIVOS!$B$6:$B$41,0)),0)</f>
        <v>702.214285714286</v>
      </c>
      <c r="AB18" s="18" t="n">
        <f aca="false">IF($Z18&lt;=0,0,$Z18/$AA18)</f>
        <v>3.44729411764705</v>
      </c>
      <c r="AC18" s="16" t="n">
        <f aca="false">IFERROR(INDEX(SEMANAS!$K$6:$K$71,MATCH($B18,SEMANAS!$B$6:$B$71,0)),0)</f>
        <v>147</v>
      </c>
      <c r="AD18" s="19" t="n">
        <f aca="false">IF($AC18&lt;=0,0,$AB18/$AC18)</f>
        <v>0.0234509803921568</v>
      </c>
      <c r="AE18" s="8" t="str">
        <f aca="false">IF($K18="SEM CULTURA","SEM CULTURA",IF($AA18&lt;=0,"DADO PENDENTE",IF($AD18&gt;LIMITE_CRITICO,"INVIAVEL",IF($AD18&gt;LIMITE_ATENCAO,"CRITICO",IF($AD18&gt;LIMITE_CONFORTAVEL,"ATENCAO","OK")))))</f>
        <v>OK</v>
      </c>
      <c r="AF18" s="8" t="str">
        <f aca="false">$B18&amp;"|"&amp;TEXT($AD18,"0.000000")</f>
        <v>13|0.023451</v>
      </c>
      <c r="AG18" s="18" t="n">
        <f aca="false">IF($K18="SEM CULTURA",0,$T18*$H18)</f>
        <v>3877.83795</v>
      </c>
      <c r="AH18" s="18" t="n">
        <f aca="false">IF($K18="SEM CULTURA",0,$V18*$H18)</f>
        <v>3672.07512</v>
      </c>
      <c r="AI18" s="18" t="n">
        <f aca="false">IF($K18="SEM CULTURA",0,$W18*$H18)</f>
        <v>205.76283</v>
      </c>
      <c r="AJ18" s="18" t="n">
        <f aca="false">IF($K18="SEM CULTURA",0,$S18*$H18)</f>
        <v>3372.033</v>
      </c>
      <c r="AK18" s="8" t="str">
        <f aca="false">$E18&amp;"|"&amp;TEXT($AD18,"0.000000")</f>
        <v>PV 109|0.023451</v>
      </c>
    </row>
    <row r="19" customFormat="false" ht="15" hidden="false" customHeight="false" outlineLevel="0" collapsed="false">
      <c r="B19" s="16" t="n">
        <v>14</v>
      </c>
      <c r="C19" s="17" t="n">
        <f aca="false">DATA_INICIO_SAFRA+($B19-1)*DIAS_POR_SEMANA</f>
        <v>46356</v>
      </c>
      <c r="D19" s="17" t="n">
        <f aca="false">$C19+DIAS_POR_SEMANA-1</f>
        <v>46362</v>
      </c>
      <c r="E19" s="15" t="s">
        <v>259</v>
      </c>
      <c r="F19" s="8" t="str">
        <f aca="false">IFERROR(INDEX(CADASTRO_PIVOS!$C$6:$C$41,MATCH($E19,CADASTRO_PIVOS!$B$6:$B$41,0)),"?")</f>
        <v>RM01</v>
      </c>
      <c r="G19" s="8" t="str">
        <f aca="false">IFERROR(INDEX(CADASTRO_PIVOS!$D$6:$D$41,MATCH($E19,CADASTRO_PIVOS!$B$6:$B$41,0)),"?")</f>
        <v>TR01</v>
      </c>
      <c r="H19" s="20" t="n">
        <f aca="false">IFERROR(INDEX(CADASTRO_PIVOS!$E$6:$E$41,MATCH($E19,CADASTRO_PIVOS!$B$6:$B$41,0)),0)</f>
        <v>98.31</v>
      </c>
      <c r="I19" s="16" t="n">
        <f aca="false">IFERROR(SUMIFS(ROTACAO_RDM!$B$6:$B$71,ROTACAO_RDM!$D$6:$D$71,$E19,ROTACAO_RDM!$I$6:$I$71,"&lt;="&amp;$C19+INT(DIAS_POR_SEMANA/2),ROTACAO_RDM!$J$6:$J$71,"&gt;="&amp;$C19+INT(DIAS_POR_SEMANA/2)),0)</f>
        <v>15</v>
      </c>
      <c r="J19" s="16" t="n">
        <f aca="false">IFERROR(MATCH($I19,ROTACAO_RDM!$B$6:$B$71,0),0)</f>
        <v>15</v>
      </c>
      <c r="K19" s="8" t="str">
        <f aca="false">IF($J19=0,"SEM CULTURA",INDEX(ROTACAO_RDM!$F$6:$F$71,$J19))</f>
        <v>SOJA</v>
      </c>
      <c r="L19" s="8" t="str">
        <f aca="false">IF($J19=0,"",INDEX(ROTACAO_RDM!$G$6:$G$71,$J19))</f>
        <v>NEO 690 I2X</v>
      </c>
      <c r="M19" s="17" t="n">
        <f aca="false">IF($J19=0,"",INDEX(ROTACAO_RDM!$I$6:$I$71,$J19))</f>
        <v>46290</v>
      </c>
      <c r="N19" s="16" t="n">
        <f aca="false">IF($J19=0,0,MAX(0,$C19+INT(DIAS_POR_SEMANA/2)-INDEX(ROTACAO_RDM!$I$6:$I$71,$J19)))</f>
        <v>69</v>
      </c>
      <c r="O19" s="19" t="n">
        <f aca="false">IF($J19=0,0,MIN(1,$N19/MAX(1,INDEX(ROTACAO_RDM!$K$6:$K$71,$J19))))</f>
        <v>0.638888888888889</v>
      </c>
      <c r="P19" s="16" t="n">
        <f aca="false">IF($J19=0,0,IFERROR(MATCH(INDEX(ROTACAO_RDM!$N$6:$N$71,$J19),PARAMETROS_CULTURAS!$B$6:$B$28,0),0))</f>
        <v>1</v>
      </c>
      <c r="Q19" s="8" t="str">
        <f aca="false">IF($P19=0,"-",IF($O19&lt;=INDEX(PARAMETROS_CULTURAS!$F$6:$F$28,$P19),"INICIAL",IF($O19&lt;=INDEX(PARAMETROS_CULTURAS!$F$6:$F$28,$P19)+INDEX(PARAMETROS_CULTURAS!$G$6:$G$28,$P19),"DESENVOLVIMENTO",IF($O19&lt;=INDEX(PARAMETROS_CULTURAS!$F$6:$F$28,$P19)+INDEX(PARAMETROS_CULTURAS!$G$6:$G$28,$P19)+INDEX(PARAMETROS_CULTURAS!$H$6:$H$28,$P19),"MEDIA","FINAL"))))</f>
        <v>MEDIA</v>
      </c>
      <c r="R19" s="24" t="n">
        <f aca="false">IF($P19=0,0,IF($O19&lt;=INDEX(PARAMETROS_CULTURAS!$F$6:$F$28,$P19),INDEX(PARAMETROS_CULTURAS!$K$6:$K$28,$P19),IF($O19&lt;=INDEX(PARAMETROS_CULTURAS!$F$6:$F$28,$P19)+INDEX(PARAMETROS_CULTURAS!$G$6:$G$28,$P19),INDEX(PARAMETROS_CULTURAS!$K$6:$K$28,$P19)+(INDEX(PARAMETROS_CULTURAS!$L$6:$L$28,$P19)-INDEX(PARAMETROS_CULTURAS!$K$6:$K$28,$P19))*($O19-INDEX(PARAMETROS_CULTURAS!$F$6:$F$28,$P19))/MAX(INDEX(PARAMETROS_CULTURAS!$G$6:$G$28,$P19),0.0001),IF($O19&lt;=INDEX(PARAMETROS_CULTURAS!$F$6:$F$28,$P19)+INDEX(PARAMETROS_CULTURAS!$G$6:$G$28,$P19)+INDEX(PARAMETROS_CULTURAS!$H$6:$H$28,$P19),INDEX(PARAMETROS_CULTURAS!$L$6:$L$28,$P19),INDEX(PARAMETROS_CULTURAS!$L$6:$L$28,$P19)+(INDEX(PARAMETROS_CULTURAS!$M$6:$M$28,$P19)-INDEX(PARAMETROS_CULTURAS!$L$6:$L$28,$P19))*($O19-INDEX(PARAMETROS_CULTURAS!$F$6:$F$28,$P19)-INDEX(PARAMETROS_CULTURAS!$G$6:$G$28,$P19)-INDEX(PARAMETROS_CULTURAS!$H$6:$H$28,$P19))/MAX(INDEX(PARAMETROS_CULTURAS!$I$6:$I$28,$P19),0.0001)))))</f>
        <v>1.15</v>
      </c>
      <c r="S19" s="18" t="n">
        <f aca="false">IFERROR(INDEX(SEMANAS!$H$6:$H$71,MATCH($B19,SEMANAS!$B$6:$B$71,0)),0)</f>
        <v>33.1</v>
      </c>
      <c r="T19" s="18" t="n">
        <f aca="false">$R19*$S19</f>
        <v>38.065</v>
      </c>
      <c r="U19" s="18" t="n">
        <f aca="false">IFERROR(INDEX(SEMANAS!$I$6:$I$71,MATCH($B19,SEMANAS!$B$6:$B$71,0)),0)</f>
        <v>48.31</v>
      </c>
      <c r="V19" s="18" t="n">
        <f aca="false">IFERROR(INDEX(SEMANAS!$J$6:$J$71,MATCH($B19,SEMANAS!$B$6:$B$71,0)),0)</f>
        <v>38.648</v>
      </c>
      <c r="W19" s="18" t="n">
        <f aca="false">MAX(0,$T19-$V19)</f>
        <v>0</v>
      </c>
      <c r="X19" s="19" t="n">
        <f aca="false">IFERROR(INDEX(CADASTRO_PIVOS!$K$6:$K$41,MATCH($E19,CADASTRO_PIVOS!$B$6:$B$41,0)),EFICIENCIA_PADRAO)</f>
        <v>0.85</v>
      </c>
      <c r="Y19" s="18" t="n">
        <f aca="false">IF($X19&lt;=0,0,$W19/$X19)</f>
        <v>0</v>
      </c>
      <c r="Z19" s="16" t="n">
        <f aca="false">$Y19*$H19*MM_PARA_M3_HA</f>
        <v>0</v>
      </c>
      <c r="AA19" s="18" t="n">
        <f aca="false">IFERROR(INDEX(CADASTRO_PIVOS!$I$6:$I$41,MATCH($E19,CADASTRO_PIVOS!$B$6:$B$41,0)),0)</f>
        <v>702.214285714286</v>
      </c>
      <c r="AB19" s="18" t="n">
        <f aca="false">IF($Z19&lt;=0,0,$Z19/$AA19)</f>
        <v>0</v>
      </c>
      <c r="AC19" s="16" t="n">
        <f aca="false">IFERROR(INDEX(SEMANAS!$K$6:$K$71,MATCH($B19,SEMANAS!$B$6:$B$71,0)),0)</f>
        <v>147</v>
      </c>
      <c r="AD19" s="19" t="n">
        <f aca="false">IF($AC19&lt;=0,0,$AB19/$AC19)</f>
        <v>0</v>
      </c>
      <c r="AE19" s="8" t="str">
        <f aca="false">IF($K19="SEM CULTURA","SEM CULTURA",IF($AA19&lt;=0,"DADO PENDENTE",IF($AD19&gt;LIMITE_CRITICO,"INVIAVEL",IF($AD19&gt;LIMITE_ATENCAO,"CRITICO",IF($AD19&gt;LIMITE_CONFORTAVEL,"ATENCAO","OK")))))</f>
        <v>OK</v>
      </c>
      <c r="AF19" s="8" t="str">
        <f aca="false">$B19&amp;"|"&amp;TEXT($AD19,"0.000000")</f>
        <v>14|0.000000</v>
      </c>
      <c r="AG19" s="18" t="n">
        <f aca="false">IF($K19="SEM CULTURA",0,$T19*$H19)</f>
        <v>3742.17015</v>
      </c>
      <c r="AH19" s="18" t="n">
        <f aca="false">IF($K19="SEM CULTURA",0,$V19*$H19)</f>
        <v>3799.48488</v>
      </c>
      <c r="AI19" s="18" t="n">
        <f aca="false">IF($K19="SEM CULTURA",0,$W19*$H19)</f>
        <v>0</v>
      </c>
      <c r="AJ19" s="18" t="n">
        <f aca="false">IF($K19="SEM CULTURA",0,$S19*$H19)</f>
        <v>3254.061</v>
      </c>
      <c r="AK19" s="8" t="str">
        <f aca="false">$E19&amp;"|"&amp;TEXT($AD19,"0.000000")</f>
        <v>PV 109|0.000000</v>
      </c>
    </row>
    <row r="20" customFormat="false" ht="15" hidden="false" customHeight="false" outlineLevel="0" collapsed="false">
      <c r="B20" s="16" t="n">
        <v>15</v>
      </c>
      <c r="C20" s="17" t="n">
        <f aca="false">DATA_INICIO_SAFRA+($B20-1)*DIAS_POR_SEMANA</f>
        <v>46363</v>
      </c>
      <c r="D20" s="17" t="n">
        <f aca="false">$C20+DIAS_POR_SEMANA-1</f>
        <v>46369</v>
      </c>
      <c r="E20" s="15" t="s">
        <v>259</v>
      </c>
      <c r="F20" s="8" t="str">
        <f aca="false">IFERROR(INDEX(CADASTRO_PIVOS!$C$6:$C$41,MATCH($E20,CADASTRO_PIVOS!$B$6:$B$41,0)),"?")</f>
        <v>RM01</v>
      </c>
      <c r="G20" s="8" t="str">
        <f aca="false">IFERROR(INDEX(CADASTRO_PIVOS!$D$6:$D$41,MATCH($E20,CADASTRO_PIVOS!$B$6:$B$41,0)),"?")</f>
        <v>TR01</v>
      </c>
      <c r="H20" s="20" t="n">
        <f aca="false">IFERROR(INDEX(CADASTRO_PIVOS!$E$6:$E$41,MATCH($E20,CADASTRO_PIVOS!$B$6:$B$41,0)),0)</f>
        <v>98.31</v>
      </c>
      <c r="I20" s="16" t="n">
        <f aca="false">IFERROR(SUMIFS(ROTACAO_RDM!$B$6:$B$71,ROTACAO_RDM!$D$6:$D$71,$E20,ROTACAO_RDM!$I$6:$I$71,"&lt;="&amp;$C20+INT(DIAS_POR_SEMANA/2),ROTACAO_RDM!$J$6:$J$71,"&gt;="&amp;$C20+INT(DIAS_POR_SEMANA/2)),0)</f>
        <v>15</v>
      </c>
      <c r="J20" s="16" t="n">
        <f aca="false">IFERROR(MATCH($I20,ROTACAO_RDM!$B$6:$B$71,0),0)</f>
        <v>15</v>
      </c>
      <c r="K20" s="8" t="str">
        <f aca="false">IF($J20=0,"SEM CULTURA",INDEX(ROTACAO_RDM!$F$6:$F$71,$J20))</f>
        <v>SOJA</v>
      </c>
      <c r="L20" s="8" t="str">
        <f aca="false">IF($J20=0,"",INDEX(ROTACAO_RDM!$G$6:$G$71,$J20))</f>
        <v>NEO 690 I2X</v>
      </c>
      <c r="M20" s="17" t="n">
        <f aca="false">IF($J20=0,"",INDEX(ROTACAO_RDM!$I$6:$I$71,$J20))</f>
        <v>46290</v>
      </c>
      <c r="N20" s="16" t="n">
        <f aca="false">IF($J20=0,0,MAX(0,$C20+INT(DIAS_POR_SEMANA/2)-INDEX(ROTACAO_RDM!$I$6:$I$71,$J20)))</f>
        <v>76</v>
      </c>
      <c r="O20" s="19" t="n">
        <f aca="false">IF($J20=0,0,MIN(1,$N20/MAX(1,INDEX(ROTACAO_RDM!$K$6:$K$71,$J20))))</f>
        <v>0.703703703703704</v>
      </c>
      <c r="P20" s="16" t="n">
        <f aca="false">IF($J20=0,0,IFERROR(MATCH(INDEX(ROTACAO_RDM!$N$6:$N$71,$J20),PARAMETROS_CULTURAS!$B$6:$B$28,0),0))</f>
        <v>1</v>
      </c>
      <c r="Q20" s="8" t="str">
        <f aca="false">IF($P20=0,"-",IF($O20&lt;=INDEX(PARAMETROS_CULTURAS!$F$6:$F$28,$P20),"INICIAL",IF($O20&lt;=INDEX(PARAMETROS_CULTURAS!$F$6:$F$28,$P20)+INDEX(PARAMETROS_CULTURAS!$G$6:$G$28,$P20),"DESENVOLVIMENTO",IF($O20&lt;=INDEX(PARAMETROS_CULTURAS!$F$6:$F$28,$P20)+INDEX(PARAMETROS_CULTURAS!$G$6:$G$28,$P20)+INDEX(PARAMETROS_CULTURAS!$H$6:$H$28,$P20),"MEDIA","FINAL"))))</f>
        <v>MEDIA</v>
      </c>
      <c r="R20" s="24" t="n">
        <f aca="false">IF($P20=0,0,IF($O20&lt;=INDEX(PARAMETROS_CULTURAS!$F$6:$F$28,$P20),INDEX(PARAMETROS_CULTURAS!$K$6:$K$28,$P20),IF($O20&lt;=INDEX(PARAMETROS_CULTURAS!$F$6:$F$28,$P20)+INDEX(PARAMETROS_CULTURAS!$G$6:$G$28,$P20),INDEX(PARAMETROS_CULTURAS!$K$6:$K$28,$P20)+(INDEX(PARAMETROS_CULTURAS!$L$6:$L$28,$P20)-INDEX(PARAMETROS_CULTURAS!$K$6:$K$28,$P20))*($O20-INDEX(PARAMETROS_CULTURAS!$F$6:$F$28,$P20))/MAX(INDEX(PARAMETROS_CULTURAS!$G$6:$G$28,$P20),0.0001),IF($O20&lt;=INDEX(PARAMETROS_CULTURAS!$F$6:$F$28,$P20)+INDEX(PARAMETROS_CULTURAS!$G$6:$G$28,$P20)+INDEX(PARAMETROS_CULTURAS!$H$6:$H$28,$P20),INDEX(PARAMETROS_CULTURAS!$L$6:$L$28,$P20),INDEX(PARAMETROS_CULTURAS!$L$6:$L$28,$P20)+(INDEX(PARAMETROS_CULTURAS!$M$6:$M$28,$P20)-INDEX(PARAMETROS_CULTURAS!$L$6:$L$28,$P20))*($O20-INDEX(PARAMETROS_CULTURAS!$F$6:$F$28,$P20)-INDEX(PARAMETROS_CULTURAS!$G$6:$G$28,$P20)-INDEX(PARAMETROS_CULTURAS!$H$6:$H$28,$P20))/MAX(INDEX(PARAMETROS_CULTURAS!$I$6:$I$28,$P20),0.0001)))))</f>
        <v>1.15</v>
      </c>
      <c r="S20" s="18" t="n">
        <f aca="false">IFERROR(INDEX(SEMANAS!$H$6:$H$71,MATCH($B20,SEMANAS!$B$6:$B$71,0)),0)</f>
        <v>32.9</v>
      </c>
      <c r="T20" s="18" t="n">
        <f aca="false">$R20*$S20</f>
        <v>37.835</v>
      </c>
      <c r="U20" s="18" t="n">
        <f aca="false">IFERROR(INDEX(SEMANAS!$I$6:$I$71,MATCH($B20,SEMANAS!$B$6:$B$71,0)),0)</f>
        <v>48.58</v>
      </c>
      <c r="V20" s="18" t="n">
        <f aca="false">IFERROR(INDEX(SEMANAS!$J$6:$J$71,MATCH($B20,SEMANAS!$B$6:$B$71,0)),0)</f>
        <v>38.864</v>
      </c>
      <c r="W20" s="18" t="n">
        <f aca="false">MAX(0,$T20-$V20)</f>
        <v>0</v>
      </c>
      <c r="X20" s="19" t="n">
        <f aca="false">IFERROR(INDEX(CADASTRO_PIVOS!$K$6:$K$41,MATCH($E20,CADASTRO_PIVOS!$B$6:$B$41,0)),EFICIENCIA_PADRAO)</f>
        <v>0.85</v>
      </c>
      <c r="Y20" s="18" t="n">
        <f aca="false">IF($X20&lt;=0,0,$W20/$X20)</f>
        <v>0</v>
      </c>
      <c r="Z20" s="16" t="n">
        <f aca="false">$Y20*$H20*MM_PARA_M3_HA</f>
        <v>0</v>
      </c>
      <c r="AA20" s="18" t="n">
        <f aca="false">IFERROR(INDEX(CADASTRO_PIVOS!$I$6:$I$41,MATCH($E20,CADASTRO_PIVOS!$B$6:$B$41,0)),0)</f>
        <v>702.214285714286</v>
      </c>
      <c r="AB20" s="18" t="n">
        <f aca="false">IF($Z20&lt;=0,0,$Z20/$AA20)</f>
        <v>0</v>
      </c>
      <c r="AC20" s="16" t="n">
        <f aca="false">IFERROR(INDEX(SEMANAS!$K$6:$K$71,MATCH($B20,SEMANAS!$B$6:$B$71,0)),0)</f>
        <v>147</v>
      </c>
      <c r="AD20" s="19" t="n">
        <f aca="false">IF($AC20&lt;=0,0,$AB20/$AC20)</f>
        <v>0</v>
      </c>
      <c r="AE20" s="8" t="str">
        <f aca="false">IF($K20="SEM CULTURA","SEM CULTURA",IF($AA20&lt;=0,"DADO PENDENTE",IF($AD20&gt;LIMITE_CRITICO,"INVIAVEL",IF($AD20&gt;LIMITE_ATENCAO,"CRITICO",IF($AD20&gt;LIMITE_CONFORTAVEL,"ATENCAO","OK")))))</f>
        <v>OK</v>
      </c>
      <c r="AF20" s="8" t="str">
        <f aca="false">$B20&amp;"|"&amp;TEXT($AD20,"0.000000")</f>
        <v>15|0.000000</v>
      </c>
      <c r="AG20" s="18" t="n">
        <f aca="false">IF($K20="SEM CULTURA",0,$T20*$H20)</f>
        <v>3719.55885</v>
      </c>
      <c r="AH20" s="18" t="n">
        <f aca="false">IF($K20="SEM CULTURA",0,$V20*$H20)</f>
        <v>3820.71984</v>
      </c>
      <c r="AI20" s="18" t="n">
        <f aca="false">IF($K20="SEM CULTURA",0,$W20*$H20)</f>
        <v>0</v>
      </c>
      <c r="AJ20" s="18" t="n">
        <f aca="false">IF($K20="SEM CULTURA",0,$S20*$H20)</f>
        <v>3234.399</v>
      </c>
      <c r="AK20" s="8" t="str">
        <f aca="false">$E20&amp;"|"&amp;TEXT($AD20,"0.000000")</f>
        <v>PV 109|0.000000</v>
      </c>
    </row>
    <row r="21" customFormat="false" ht="15" hidden="false" customHeight="false" outlineLevel="0" collapsed="false">
      <c r="B21" s="16" t="n">
        <v>16</v>
      </c>
      <c r="C21" s="17" t="n">
        <f aca="false">DATA_INICIO_SAFRA+($B21-1)*DIAS_POR_SEMANA</f>
        <v>46370</v>
      </c>
      <c r="D21" s="17" t="n">
        <f aca="false">$C21+DIAS_POR_SEMANA-1</f>
        <v>46376</v>
      </c>
      <c r="E21" s="15" t="s">
        <v>259</v>
      </c>
      <c r="F21" s="8" t="str">
        <f aca="false">IFERROR(INDEX(CADASTRO_PIVOS!$C$6:$C$41,MATCH($E21,CADASTRO_PIVOS!$B$6:$B$41,0)),"?")</f>
        <v>RM01</v>
      </c>
      <c r="G21" s="8" t="str">
        <f aca="false">IFERROR(INDEX(CADASTRO_PIVOS!$D$6:$D$41,MATCH($E21,CADASTRO_PIVOS!$B$6:$B$41,0)),"?")</f>
        <v>TR01</v>
      </c>
      <c r="H21" s="20" t="n">
        <f aca="false">IFERROR(INDEX(CADASTRO_PIVOS!$E$6:$E$41,MATCH($E21,CADASTRO_PIVOS!$B$6:$B$41,0)),0)</f>
        <v>98.31</v>
      </c>
      <c r="I21" s="16" t="n">
        <f aca="false">IFERROR(SUMIFS(ROTACAO_RDM!$B$6:$B$71,ROTACAO_RDM!$D$6:$D$71,$E21,ROTACAO_RDM!$I$6:$I$71,"&lt;="&amp;$C21+INT(DIAS_POR_SEMANA/2),ROTACAO_RDM!$J$6:$J$71,"&gt;="&amp;$C21+INT(DIAS_POR_SEMANA/2)),0)</f>
        <v>15</v>
      </c>
      <c r="J21" s="16" t="n">
        <f aca="false">IFERROR(MATCH($I21,ROTACAO_RDM!$B$6:$B$71,0),0)</f>
        <v>15</v>
      </c>
      <c r="K21" s="8" t="str">
        <f aca="false">IF($J21=0,"SEM CULTURA",INDEX(ROTACAO_RDM!$F$6:$F$71,$J21))</f>
        <v>SOJA</v>
      </c>
      <c r="L21" s="8" t="str">
        <f aca="false">IF($J21=0,"",INDEX(ROTACAO_RDM!$G$6:$G$71,$J21))</f>
        <v>NEO 690 I2X</v>
      </c>
      <c r="M21" s="17" t="n">
        <f aca="false">IF($J21=0,"",INDEX(ROTACAO_RDM!$I$6:$I$71,$J21))</f>
        <v>46290</v>
      </c>
      <c r="N21" s="16" t="n">
        <f aca="false">IF($J21=0,0,MAX(0,$C21+INT(DIAS_POR_SEMANA/2)-INDEX(ROTACAO_RDM!$I$6:$I$71,$J21)))</f>
        <v>83</v>
      </c>
      <c r="O21" s="19" t="n">
        <f aca="false">IF($J21=0,0,MIN(1,$N21/MAX(1,INDEX(ROTACAO_RDM!$K$6:$K$71,$J21))))</f>
        <v>0.768518518518519</v>
      </c>
      <c r="P21" s="16" t="n">
        <f aca="false">IF($J21=0,0,IFERROR(MATCH(INDEX(ROTACAO_RDM!$N$6:$N$71,$J21),PARAMETROS_CULTURAS!$B$6:$B$28,0),0))</f>
        <v>1</v>
      </c>
      <c r="Q21" s="8" t="str">
        <f aca="false">IF($P21=0,"-",IF($O21&lt;=INDEX(PARAMETROS_CULTURAS!$F$6:$F$28,$P21),"INICIAL",IF($O21&lt;=INDEX(PARAMETROS_CULTURAS!$F$6:$F$28,$P21)+INDEX(PARAMETROS_CULTURAS!$G$6:$G$28,$P21),"DESENVOLVIMENTO",IF($O21&lt;=INDEX(PARAMETROS_CULTURAS!$F$6:$F$28,$P21)+INDEX(PARAMETROS_CULTURAS!$G$6:$G$28,$P21)+INDEX(PARAMETROS_CULTURAS!$H$6:$H$28,$P21),"MEDIA","FINAL"))))</f>
        <v>MEDIA</v>
      </c>
      <c r="R21" s="24" t="n">
        <f aca="false">IF($P21=0,0,IF($O21&lt;=INDEX(PARAMETROS_CULTURAS!$F$6:$F$28,$P21),INDEX(PARAMETROS_CULTURAS!$K$6:$K$28,$P21),IF($O21&lt;=INDEX(PARAMETROS_CULTURAS!$F$6:$F$28,$P21)+INDEX(PARAMETROS_CULTURAS!$G$6:$G$28,$P21),INDEX(PARAMETROS_CULTURAS!$K$6:$K$28,$P21)+(INDEX(PARAMETROS_CULTURAS!$L$6:$L$28,$P21)-INDEX(PARAMETROS_CULTURAS!$K$6:$K$28,$P21))*($O21-INDEX(PARAMETROS_CULTURAS!$F$6:$F$28,$P21))/MAX(INDEX(PARAMETROS_CULTURAS!$G$6:$G$28,$P21),0.0001),IF($O21&lt;=INDEX(PARAMETROS_CULTURAS!$F$6:$F$28,$P21)+INDEX(PARAMETROS_CULTURAS!$G$6:$G$28,$P21)+INDEX(PARAMETROS_CULTURAS!$H$6:$H$28,$P21),INDEX(PARAMETROS_CULTURAS!$L$6:$L$28,$P21),INDEX(PARAMETROS_CULTURAS!$L$6:$L$28,$P21)+(INDEX(PARAMETROS_CULTURAS!$M$6:$M$28,$P21)-INDEX(PARAMETROS_CULTURAS!$L$6:$L$28,$P21))*($O21-INDEX(PARAMETROS_CULTURAS!$F$6:$F$28,$P21)-INDEX(PARAMETROS_CULTURAS!$G$6:$G$28,$P21)-INDEX(PARAMETROS_CULTURAS!$H$6:$H$28,$P21))/MAX(INDEX(PARAMETROS_CULTURAS!$I$6:$I$28,$P21),0.0001)))))</f>
        <v>1.15</v>
      </c>
      <c r="S21" s="18" t="n">
        <f aca="false">IFERROR(INDEX(SEMANAS!$H$6:$H$71,MATCH($B21,SEMANAS!$B$6:$B$71,0)),0)</f>
        <v>32.9</v>
      </c>
      <c r="T21" s="18" t="n">
        <f aca="false">$R21*$S21</f>
        <v>37.835</v>
      </c>
      <c r="U21" s="18" t="n">
        <f aca="false">IFERROR(INDEX(SEMANAS!$I$6:$I$71,MATCH($B21,SEMANAS!$B$6:$B$71,0)),0)</f>
        <v>48.58</v>
      </c>
      <c r="V21" s="18" t="n">
        <f aca="false">IFERROR(INDEX(SEMANAS!$J$6:$J$71,MATCH($B21,SEMANAS!$B$6:$B$71,0)),0)</f>
        <v>38.864</v>
      </c>
      <c r="W21" s="18" t="n">
        <f aca="false">MAX(0,$T21-$V21)</f>
        <v>0</v>
      </c>
      <c r="X21" s="19" t="n">
        <f aca="false">IFERROR(INDEX(CADASTRO_PIVOS!$K$6:$K$41,MATCH($E21,CADASTRO_PIVOS!$B$6:$B$41,0)),EFICIENCIA_PADRAO)</f>
        <v>0.85</v>
      </c>
      <c r="Y21" s="18" t="n">
        <f aca="false">IF($X21&lt;=0,0,$W21/$X21)</f>
        <v>0</v>
      </c>
      <c r="Z21" s="16" t="n">
        <f aca="false">$Y21*$H21*MM_PARA_M3_HA</f>
        <v>0</v>
      </c>
      <c r="AA21" s="18" t="n">
        <f aca="false">IFERROR(INDEX(CADASTRO_PIVOS!$I$6:$I$41,MATCH($E21,CADASTRO_PIVOS!$B$6:$B$41,0)),0)</f>
        <v>702.214285714286</v>
      </c>
      <c r="AB21" s="18" t="n">
        <f aca="false">IF($Z21&lt;=0,0,$Z21/$AA21)</f>
        <v>0</v>
      </c>
      <c r="AC21" s="16" t="n">
        <f aca="false">IFERROR(INDEX(SEMANAS!$K$6:$K$71,MATCH($B21,SEMANAS!$B$6:$B$71,0)),0)</f>
        <v>147</v>
      </c>
      <c r="AD21" s="19" t="n">
        <f aca="false">IF($AC21&lt;=0,0,$AB21/$AC21)</f>
        <v>0</v>
      </c>
      <c r="AE21" s="8" t="str">
        <f aca="false">IF($K21="SEM CULTURA","SEM CULTURA",IF($AA21&lt;=0,"DADO PENDENTE",IF($AD21&gt;LIMITE_CRITICO,"INVIAVEL",IF($AD21&gt;LIMITE_ATENCAO,"CRITICO",IF($AD21&gt;LIMITE_CONFORTAVEL,"ATENCAO","OK")))))</f>
        <v>OK</v>
      </c>
      <c r="AF21" s="8" t="str">
        <f aca="false">$B21&amp;"|"&amp;TEXT($AD21,"0.000000")</f>
        <v>16|0.000000</v>
      </c>
      <c r="AG21" s="18" t="n">
        <f aca="false">IF($K21="SEM CULTURA",0,$T21*$H21)</f>
        <v>3719.55885</v>
      </c>
      <c r="AH21" s="18" t="n">
        <f aca="false">IF($K21="SEM CULTURA",0,$V21*$H21)</f>
        <v>3820.71984</v>
      </c>
      <c r="AI21" s="18" t="n">
        <f aca="false">IF($K21="SEM CULTURA",0,$W21*$H21)</f>
        <v>0</v>
      </c>
      <c r="AJ21" s="18" t="n">
        <f aca="false">IF($K21="SEM CULTURA",0,$S21*$H21)</f>
        <v>3234.399</v>
      </c>
      <c r="AK21" s="8" t="str">
        <f aca="false">$E21&amp;"|"&amp;TEXT($AD21,"0.000000")</f>
        <v>PV 109|0.000000</v>
      </c>
    </row>
    <row r="22" customFormat="false" ht="15" hidden="false" customHeight="false" outlineLevel="0" collapsed="false">
      <c r="B22" s="16" t="n">
        <v>17</v>
      </c>
      <c r="C22" s="17" t="n">
        <f aca="false">DATA_INICIO_SAFRA+($B22-1)*DIAS_POR_SEMANA</f>
        <v>46377</v>
      </c>
      <c r="D22" s="17" t="n">
        <f aca="false">$C22+DIAS_POR_SEMANA-1</f>
        <v>46383</v>
      </c>
      <c r="E22" s="15" t="s">
        <v>259</v>
      </c>
      <c r="F22" s="8" t="str">
        <f aca="false">IFERROR(INDEX(CADASTRO_PIVOS!$C$6:$C$41,MATCH($E22,CADASTRO_PIVOS!$B$6:$B$41,0)),"?")</f>
        <v>RM01</v>
      </c>
      <c r="G22" s="8" t="str">
        <f aca="false">IFERROR(INDEX(CADASTRO_PIVOS!$D$6:$D$41,MATCH($E22,CADASTRO_PIVOS!$B$6:$B$41,0)),"?")</f>
        <v>TR01</v>
      </c>
      <c r="H22" s="20" t="n">
        <f aca="false">IFERROR(INDEX(CADASTRO_PIVOS!$E$6:$E$41,MATCH($E22,CADASTRO_PIVOS!$B$6:$B$41,0)),0)</f>
        <v>98.31</v>
      </c>
      <c r="I22" s="16" t="n">
        <f aca="false">IFERROR(SUMIFS(ROTACAO_RDM!$B$6:$B$71,ROTACAO_RDM!$D$6:$D$71,$E22,ROTACAO_RDM!$I$6:$I$71,"&lt;="&amp;$C22+INT(DIAS_POR_SEMANA/2),ROTACAO_RDM!$J$6:$J$71,"&gt;="&amp;$C22+INT(DIAS_POR_SEMANA/2)),0)</f>
        <v>15</v>
      </c>
      <c r="J22" s="16" t="n">
        <f aca="false">IFERROR(MATCH($I22,ROTACAO_RDM!$B$6:$B$71,0),0)</f>
        <v>15</v>
      </c>
      <c r="K22" s="8" t="str">
        <f aca="false">IF($J22=0,"SEM CULTURA",INDEX(ROTACAO_RDM!$F$6:$F$71,$J22))</f>
        <v>SOJA</v>
      </c>
      <c r="L22" s="8" t="str">
        <f aca="false">IF($J22=0,"",INDEX(ROTACAO_RDM!$G$6:$G$71,$J22))</f>
        <v>NEO 690 I2X</v>
      </c>
      <c r="M22" s="17" t="n">
        <f aca="false">IF($J22=0,"",INDEX(ROTACAO_RDM!$I$6:$I$71,$J22))</f>
        <v>46290</v>
      </c>
      <c r="N22" s="16" t="n">
        <f aca="false">IF($J22=0,0,MAX(0,$C22+INT(DIAS_POR_SEMANA/2)-INDEX(ROTACAO_RDM!$I$6:$I$71,$J22)))</f>
        <v>90</v>
      </c>
      <c r="O22" s="19" t="n">
        <f aca="false">IF($J22=0,0,MIN(1,$N22/MAX(1,INDEX(ROTACAO_RDM!$K$6:$K$71,$J22))))</f>
        <v>0.833333333333333</v>
      </c>
      <c r="P22" s="16" t="n">
        <f aca="false">IF($J22=0,0,IFERROR(MATCH(INDEX(ROTACAO_RDM!$N$6:$N$71,$J22),PARAMETROS_CULTURAS!$B$6:$B$28,0),0))</f>
        <v>1</v>
      </c>
      <c r="Q22" s="8" t="str">
        <f aca="false">IF($P22=0,"-",IF($O22&lt;=INDEX(PARAMETROS_CULTURAS!$F$6:$F$28,$P22),"INICIAL",IF($O22&lt;=INDEX(PARAMETROS_CULTURAS!$F$6:$F$28,$P22)+INDEX(PARAMETROS_CULTURAS!$G$6:$G$28,$P22),"DESENVOLVIMENTO",IF($O22&lt;=INDEX(PARAMETROS_CULTURAS!$F$6:$F$28,$P22)+INDEX(PARAMETROS_CULTURAS!$G$6:$G$28,$P22)+INDEX(PARAMETROS_CULTURAS!$H$6:$H$28,$P22),"MEDIA","FINAL"))))</f>
        <v>FINAL</v>
      </c>
      <c r="R22" s="24" t="n">
        <f aca="false">IF($P22=0,0,IF($O22&lt;=INDEX(PARAMETROS_CULTURAS!$F$6:$F$28,$P22),INDEX(PARAMETROS_CULTURAS!$K$6:$K$28,$P22),IF($O22&lt;=INDEX(PARAMETROS_CULTURAS!$F$6:$F$28,$P22)+INDEX(PARAMETROS_CULTURAS!$G$6:$G$28,$P22),INDEX(PARAMETROS_CULTURAS!$K$6:$K$28,$P22)+(INDEX(PARAMETROS_CULTURAS!$L$6:$L$28,$P22)-INDEX(PARAMETROS_CULTURAS!$K$6:$K$28,$P22))*($O22-INDEX(PARAMETROS_CULTURAS!$F$6:$F$28,$P22))/MAX(INDEX(PARAMETROS_CULTURAS!$G$6:$G$28,$P22),0.0001),IF($O22&lt;=INDEX(PARAMETROS_CULTURAS!$F$6:$F$28,$P22)+INDEX(PARAMETROS_CULTURAS!$G$6:$G$28,$P22)+INDEX(PARAMETROS_CULTURAS!$H$6:$H$28,$P22),INDEX(PARAMETROS_CULTURAS!$L$6:$L$28,$P22),INDEX(PARAMETROS_CULTURAS!$L$6:$L$28,$P22)+(INDEX(PARAMETROS_CULTURAS!$M$6:$M$28,$P22)-INDEX(PARAMETROS_CULTURAS!$L$6:$L$28,$P22))*($O22-INDEX(PARAMETROS_CULTURAS!$F$6:$F$28,$P22)-INDEX(PARAMETROS_CULTURAS!$G$6:$G$28,$P22)-INDEX(PARAMETROS_CULTURAS!$H$6:$H$28,$P22))/MAX(INDEX(PARAMETROS_CULTURAS!$I$6:$I$28,$P22),0.0001)))))</f>
        <v>1.10185185185185</v>
      </c>
      <c r="S22" s="18" t="n">
        <f aca="false">IFERROR(INDEX(SEMANAS!$H$6:$H$71,MATCH($B22,SEMANAS!$B$6:$B$71,0)),0)</f>
        <v>32.9</v>
      </c>
      <c r="T22" s="18" t="n">
        <f aca="false">$R22*$S22</f>
        <v>36.2509259259259</v>
      </c>
      <c r="U22" s="18" t="n">
        <f aca="false">IFERROR(INDEX(SEMANAS!$I$6:$I$71,MATCH($B22,SEMANAS!$B$6:$B$71,0)),0)</f>
        <v>48.58</v>
      </c>
      <c r="V22" s="18" t="n">
        <f aca="false">IFERROR(INDEX(SEMANAS!$J$6:$J$71,MATCH($B22,SEMANAS!$B$6:$B$71,0)),0)</f>
        <v>38.864</v>
      </c>
      <c r="W22" s="18" t="n">
        <f aca="false">MAX(0,$T22-$V22)</f>
        <v>0</v>
      </c>
      <c r="X22" s="19" t="n">
        <f aca="false">IFERROR(INDEX(CADASTRO_PIVOS!$K$6:$K$41,MATCH($E22,CADASTRO_PIVOS!$B$6:$B$41,0)),EFICIENCIA_PADRAO)</f>
        <v>0.85</v>
      </c>
      <c r="Y22" s="18" t="n">
        <f aca="false">IF($X22&lt;=0,0,$W22/$X22)</f>
        <v>0</v>
      </c>
      <c r="Z22" s="16" t="n">
        <f aca="false">$Y22*$H22*MM_PARA_M3_HA</f>
        <v>0</v>
      </c>
      <c r="AA22" s="18" t="n">
        <f aca="false">IFERROR(INDEX(CADASTRO_PIVOS!$I$6:$I$41,MATCH($E22,CADASTRO_PIVOS!$B$6:$B$41,0)),0)</f>
        <v>702.214285714286</v>
      </c>
      <c r="AB22" s="18" t="n">
        <f aca="false">IF($Z22&lt;=0,0,$Z22/$AA22)</f>
        <v>0</v>
      </c>
      <c r="AC22" s="16" t="n">
        <f aca="false">IFERROR(INDEX(SEMANAS!$K$6:$K$71,MATCH($B22,SEMANAS!$B$6:$B$71,0)),0)</f>
        <v>147</v>
      </c>
      <c r="AD22" s="19" t="n">
        <f aca="false">IF($AC22&lt;=0,0,$AB22/$AC22)</f>
        <v>0</v>
      </c>
      <c r="AE22" s="8" t="str">
        <f aca="false">IF($K22="SEM CULTURA","SEM CULTURA",IF($AA22&lt;=0,"DADO PENDENTE",IF($AD22&gt;LIMITE_CRITICO,"INVIAVEL",IF($AD22&gt;LIMITE_ATENCAO,"CRITICO",IF($AD22&gt;LIMITE_CONFORTAVEL,"ATENCAO","OK")))))</f>
        <v>OK</v>
      </c>
      <c r="AF22" s="8" t="str">
        <f aca="false">$B22&amp;"|"&amp;TEXT($AD22,"0.000000")</f>
        <v>17|0.000000</v>
      </c>
      <c r="AG22" s="18" t="n">
        <f aca="false">IF($K22="SEM CULTURA",0,$T22*$H22)</f>
        <v>3563.82852777778</v>
      </c>
      <c r="AH22" s="18" t="n">
        <f aca="false">IF($K22="SEM CULTURA",0,$V22*$H22)</f>
        <v>3820.71984</v>
      </c>
      <c r="AI22" s="18" t="n">
        <f aca="false">IF($K22="SEM CULTURA",0,$W22*$H22)</f>
        <v>0</v>
      </c>
      <c r="AJ22" s="18" t="n">
        <f aca="false">IF($K22="SEM CULTURA",0,$S22*$H22)</f>
        <v>3234.399</v>
      </c>
      <c r="AK22" s="8" t="str">
        <f aca="false">$E22&amp;"|"&amp;TEXT($AD22,"0.000000")</f>
        <v>PV 109|0.000000</v>
      </c>
    </row>
    <row r="23" customFormat="false" ht="15" hidden="false" customHeight="false" outlineLevel="0" collapsed="false">
      <c r="B23" s="16" t="n">
        <v>18</v>
      </c>
      <c r="C23" s="17" t="n">
        <f aca="false">DATA_INICIO_SAFRA+($B23-1)*DIAS_POR_SEMANA</f>
        <v>46384</v>
      </c>
      <c r="D23" s="17" t="n">
        <f aca="false">$C23+DIAS_POR_SEMANA-1</f>
        <v>46390</v>
      </c>
      <c r="E23" s="15" t="s">
        <v>259</v>
      </c>
      <c r="F23" s="8" t="str">
        <f aca="false">IFERROR(INDEX(CADASTRO_PIVOS!$C$6:$C$41,MATCH($E23,CADASTRO_PIVOS!$B$6:$B$41,0)),"?")</f>
        <v>RM01</v>
      </c>
      <c r="G23" s="8" t="str">
        <f aca="false">IFERROR(INDEX(CADASTRO_PIVOS!$D$6:$D$41,MATCH($E23,CADASTRO_PIVOS!$B$6:$B$41,0)),"?")</f>
        <v>TR01</v>
      </c>
      <c r="H23" s="20" t="n">
        <f aca="false">IFERROR(INDEX(CADASTRO_PIVOS!$E$6:$E$41,MATCH($E23,CADASTRO_PIVOS!$B$6:$B$41,0)),0)</f>
        <v>98.31</v>
      </c>
      <c r="I23" s="16" t="n">
        <f aca="false">IFERROR(SUMIFS(ROTACAO_RDM!$B$6:$B$71,ROTACAO_RDM!$D$6:$D$71,$E23,ROTACAO_RDM!$I$6:$I$71,"&lt;="&amp;$C23+INT(DIAS_POR_SEMANA/2),ROTACAO_RDM!$J$6:$J$71,"&gt;="&amp;$C23+INT(DIAS_POR_SEMANA/2)),0)</f>
        <v>15</v>
      </c>
      <c r="J23" s="16" t="n">
        <f aca="false">IFERROR(MATCH($I23,ROTACAO_RDM!$B$6:$B$71,0),0)</f>
        <v>15</v>
      </c>
      <c r="K23" s="8" t="str">
        <f aca="false">IF($J23=0,"SEM CULTURA",INDEX(ROTACAO_RDM!$F$6:$F$71,$J23))</f>
        <v>SOJA</v>
      </c>
      <c r="L23" s="8" t="str">
        <f aca="false">IF($J23=0,"",INDEX(ROTACAO_RDM!$G$6:$G$71,$J23))</f>
        <v>NEO 690 I2X</v>
      </c>
      <c r="M23" s="17" t="n">
        <f aca="false">IF($J23=0,"",INDEX(ROTACAO_RDM!$I$6:$I$71,$J23))</f>
        <v>46290</v>
      </c>
      <c r="N23" s="16" t="n">
        <f aca="false">IF($J23=0,0,MAX(0,$C23+INT(DIAS_POR_SEMANA/2)-INDEX(ROTACAO_RDM!$I$6:$I$71,$J23)))</f>
        <v>97</v>
      </c>
      <c r="O23" s="19" t="n">
        <f aca="false">IF($J23=0,0,MIN(1,$N23/MAX(1,INDEX(ROTACAO_RDM!$K$6:$K$71,$J23))))</f>
        <v>0.898148148148148</v>
      </c>
      <c r="P23" s="16" t="n">
        <f aca="false">IF($J23=0,0,IFERROR(MATCH(INDEX(ROTACAO_RDM!$N$6:$N$71,$J23),PARAMETROS_CULTURAS!$B$6:$B$28,0),0))</f>
        <v>1</v>
      </c>
      <c r="Q23" s="8" t="str">
        <f aca="false">IF($P23=0,"-",IF($O23&lt;=INDEX(PARAMETROS_CULTURAS!$F$6:$F$28,$P23),"INICIAL",IF($O23&lt;=INDEX(PARAMETROS_CULTURAS!$F$6:$F$28,$P23)+INDEX(PARAMETROS_CULTURAS!$G$6:$G$28,$P23),"DESENVOLVIMENTO",IF($O23&lt;=INDEX(PARAMETROS_CULTURAS!$F$6:$F$28,$P23)+INDEX(PARAMETROS_CULTURAS!$G$6:$G$28,$P23)+INDEX(PARAMETROS_CULTURAS!$H$6:$H$28,$P23),"MEDIA","FINAL"))))</f>
        <v>FINAL</v>
      </c>
      <c r="R23" s="24" t="n">
        <f aca="false">IF($P23=0,0,IF($O23&lt;=INDEX(PARAMETROS_CULTURAS!$F$6:$F$28,$P23),INDEX(PARAMETROS_CULTURAS!$K$6:$K$28,$P23),IF($O23&lt;=INDEX(PARAMETROS_CULTURAS!$F$6:$F$28,$P23)+INDEX(PARAMETROS_CULTURAS!$G$6:$G$28,$P23),INDEX(PARAMETROS_CULTURAS!$K$6:$K$28,$P23)+(INDEX(PARAMETROS_CULTURAS!$L$6:$L$28,$P23)-INDEX(PARAMETROS_CULTURAS!$K$6:$K$28,$P23))*($O23-INDEX(PARAMETROS_CULTURAS!$F$6:$F$28,$P23))/MAX(INDEX(PARAMETROS_CULTURAS!$G$6:$G$28,$P23),0.0001),IF($O23&lt;=INDEX(PARAMETROS_CULTURAS!$F$6:$F$28,$P23)+INDEX(PARAMETROS_CULTURAS!$G$6:$G$28,$P23)+INDEX(PARAMETROS_CULTURAS!$H$6:$H$28,$P23),INDEX(PARAMETROS_CULTURAS!$L$6:$L$28,$P23),INDEX(PARAMETROS_CULTURAS!$L$6:$L$28,$P23)+(INDEX(PARAMETROS_CULTURAS!$M$6:$M$28,$P23)-INDEX(PARAMETROS_CULTURAS!$L$6:$L$28,$P23))*($O23-INDEX(PARAMETROS_CULTURAS!$F$6:$F$28,$P23)-INDEX(PARAMETROS_CULTURAS!$G$6:$G$28,$P23)-INDEX(PARAMETROS_CULTURAS!$H$6:$H$28,$P23))/MAX(INDEX(PARAMETROS_CULTURAS!$I$6:$I$28,$P23),0.0001)))))</f>
        <v>0.867798353909465</v>
      </c>
      <c r="S23" s="18" t="n">
        <f aca="false">IFERROR(INDEX(SEMANAS!$H$6:$H$71,MATCH($B23,SEMANAS!$B$6:$B$71,0)),0)</f>
        <v>33.2</v>
      </c>
      <c r="T23" s="18" t="n">
        <f aca="false">$R23*$S23</f>
        <v>28.8109053497942</v>
      </c>
      <c r="U23" s="18" t="n">
        <f aca="false">IFERROR(INDEX(SEMANAS!$I$6:$I$71,MATCH($B23,SEMANAS!$B$6:$B$71,0)),0)</f>
        <v>47.11</v>
      </c>
      <c r="V23" s="18" t="n">
        <f aca="false">IFERROR(INDEX(SEMANAS!$J$6:$J$71,MATCH($B23,SEMANAS!$B$6:$B$71,0)),0)</f>
        <v>37.688</v>
      </c>
      <c r="W23" s="18" t="n">
        <f aca="false">MAX(0,$T23-$V23)</f>
        <v>0</v>
      </c>
      <c r="X23" s="19" t="n">
        <f aca="false">IFERROR(INDEX(CADASTRO_PIVOS!$K$6:$K$41,MATCH($E23,CADASTRO_PIVOS!$B$6:$B$41,0)),EFICIENCIA_PADRAO)</f>
        <v>0.85</v>
      </c>
      <c r="Y23" s="18" t="n">
        <f aca="false">IF($X23&lt;=0,0,$W23/$X23)</f>
        <v>0</v>
      </c>
      <c r="Z23" s="16" t="n">
        <f aca="false">$Y23*$H23*MM_PARA_M3_HA</f>
        <v>0</v>
      </c>
      <c r="AA23" s="18" t="n">
        <f aca="false">IFERROR(INDEX(CADASTRO_PIVOS!$I$6:$I$41,MATCH($E23,CADASTRO_PIVOS!$B$6:$B$41,0)),0)</f>
        <v>702.214285714286</v>
      </c>
      <c r="AB23" s="18" t="n">
        <f aca="false">IF($Z23&lt;=0,0,$Z23/$AA23)</f>
        <v>0</v>
      </c>
      <c r="AC23" s="16" t="n">
        <f aca="false">IFERROR(INDEX(SEMANAS!$K$6:$K$71,MATCH($B23,SEMANAS!$B$6:$B$71,0)),0)</f>
        <v>147</v>
      </c>
      <c r="AD23" s="19" t="n">
        <f aca="false">IF($AC23&lt;=0,0,$AB23/$AC23)</f>
        <v>0</v>
      </c>
      <c r="AE23" s="8" t="str">
        <f aca="false">IF($K23="SEM CULTURA","SEM CULTURA",IF($AA23&lt;=0,"DADO PENDENTE",IF($AD23&gt;LIMITE_CRITICO,"INVIAVEL",IF($AD23&gt;LIMITE_ATENCAO,"CRITICO",IF($AD23&gt;LIMITE_CONFORTAVEL,"ATENCAO","OK")))))</f>
        <v>OK</v>
      </c>
      <c r="AF23" s="8" t="str">
        <f aca="false">$B23&amp;"|"&amp;TEXT($AD23,"0.000000")</f>
        <v>18|0.000000</v>
      </c>
      <c r="AG23" s="18" t="n">
        <f aca="false">IF($K23="SEM CULTURA",0,$T23*$H23)</f>
        <v>2832.40010493827</v>
      </c>
      <c r="AH23" s="18" t="n">
        <f aca="false">IF($K23="SEM CULTURA",0,$V23*$H23)</f>
        <v>3705.10728</v>
      </c>
      <c r="AI23" s="18" t="n">
        <f aca="false">IF($K23="SEM CULTURA",0,$W23*$H23)</f>
        <v>0</v>
      </c>
      <c r="AJ23" s="18" t="n">
        <f aca="false">IF($K23="SEM CULTURA",0,$S23*$H23)</f>
        <v>3263.892</v>
      </c>
      <c r="AK23" s="8" t="str">
        <f aca="false">$E23&amp;"|"&amp;TEXT($AD23,"0.000000")</f>
        <v>PV 109|0.000000</v>
      </c>
    </row>
    <row r="24" customFormat="false" ht="15" hidden="false" customHeight="false" outlineLevel="0" collapsed="false">
      <c r="B24" s="16" t="n">
        <v>19</v>
      </c>
      <c r="C24" s="17" t="n">
        <f aca="false">DATA_INICIO_SAFRA+($B24-1)*DIAS_POR_SEMANA</f>
        <v>46391</v>
      </c>
      <c r="D24" s="17" t="n">
        <f aca="false">$C24+DIAS_POR_SEMANA-1</f>
        <v>46397</v>
      </c>
      <c r="E24" s="15" t="s">
        <v>259</v>
      </c>
      <c r="F24" s="8" t="str">
        <f aca="false">IFERROR(INDEX(CADASTRO_PIVOS!$C$6:$C$41,MATCH($E24,CADASTRO_PIVOS!$B$6:$B$41,0)),"?")</f>
        <v>RM01</v>
      </c>
      <c r="G24" s="8" t="str">
        <f aca="false">IFERROR(INDEX(CADASTRO_PIVOS!$D$6:$D$41,MATCH($E24,CADASTRO_PIVOS!$B$6:$B$41,0)),"?")</f>
        <v>TR01</v>
      </c>
      <c r="H24" s="20" t="n">
        <f aca="false">IFERROR(INDEX(CADASTRO_PIVOS!$E$6:$E$41,MATCH($E24,CADASTRO_PIVOS!$B$6:$B$41,0)),0)</f>
        <v>98.31</v>
      </c>
      <c r="I24" s="16" t="n">
        <f aca="false">IFERROR(SUMIFS(ROTACAO_RDM!$B$6:$B$71,ROTACAO_RDM!$D$6:$D$71,$E24,ROTACAO_RDM!$I$6:$I$71,"&lt;="&amp;$C24+INT(DIAS_POR_SEMANA/2),ROTACAO_RDM!$J$6:$J$71,"&gt;="&amp;$C24+INT(DIAS_POR_SEMANA/2)),0)</f>
        <v>15</v>
      </c>
      <c r="J24" s="16" t="n">
        <f aca="false">IFERROR(MATCH($I24,ROTACAO_RDM!$B$6:$B$71,0),0)</f>
        <v>15</v>
      </c>
      <c r="K24" s="8" t="str">
        <f aca="false">IF($J24=0,"SEM CULTURA",INDEX(ROTACAO_RDM!$F$6:$F$71,$J24))</f>
        <v>SOJA</v>
      </c>
      <c r="L24" s="8" t="str">
        <f aca="false">IF($J24=0,"",INDEX(ROTACAO_RDM!$G$6:$G$71,$J24))</f>
        <v>NEO 690 I2X</v>
      </c>
      <c r="M24" s="17" t="n">
        <f aca="false">IF($J24=0,"",INDEX(ROTACAO_RDM!$I$6:$I$71,$J24))</f>
        <v>46290</v>
      </c>
      <c r="N24" s="16" t="n">
        <f aca="false">IF($J24=0,0,MAX(0,$C24+INT(DIAS_POR_SEMANA/2)-INDEX(ROTACAO_RDM!$I$6:$I$71,$J24)))</f>
        <v>104</v>
      </c>
      <c r="O24" s="19" t="n">
        <f aca="false">IF($J24=0,0,MIN(1,$N24/MAX(1,INDEX(ROTACAO_RDM!$K$6:$K$71,$J24))))</f>
        <v>0.962962962962963</v>
      </c>
      <c r="P24" s="16" t="n">
        <f aca="false">IF($J24=0,0,IFERROR(MATCH(INDEX(ROTACAO_RDM!$N$6:$N$71,$J24),PARAMETROS_CULTURAS!$B$6:$B$28,0),0))</f>
        <v>1</v>
      </c>
      <c r="Q24" s="8" t="str">
        <f aca="false">IF($P24=0,"-",IF($O24&lt;=INDEX(PARAMETROS_CULTURAS!$F$6:$F$28,$P24),"INICIAL",IF($O24&lt;=INDEX(PARAMETROS_CULTURAS!$F$6:$F$28,$P24)+INDEX(PARAMETROS_CULTURAS!$G$6:$G$28,$P24),"DESENVOLVIMENTO",IF($O24&lt;=INDEX(PARAMETROS_CULTURAS!$F$6:$F$28,$P24)+INDEX(PARAMETROS_CULTURAS!$G$6:$G$28,$P24)+INDEX(PARAMETROS_CULTURAS!$H$6:$H$28,$P24),"MEDIA","FINAL"))))</f>
        <v>FINAL</v>
      </c>
      <c r="R24" s="24" t="n">
        <f aca="false">IF($P24=0,0,IF($O24&lt;=INDEX(PARAMETROS_CULTURAS!$F$6:$F$28,$P24),INDEX(PARAMETROS_CULTURAS!$K$6:$K$28,$P24),IF($O24&lt;=INDEX(PARAMETROS_CULTURAS!$F$6:$F$28,$P24)+INDEX(PARAMETROS_CULTURAS!$G$6:$G$28,$P24),INDEX(PARAMETROS_CULTURAS!$K$6:$K$28,$P24)+(INDEX(PARAMETROS_CULTURAS!$L$6:$L$28,$P24)-INDEX(PARAMETROS_CULTURAS!$K$6:$K$28,$P24))*($O24-INDEX(PARAMETROS_CULTURAS!$F$6:$F$28,$P24))/MAX(INDEX(PARAMETROS_CULTURAS!$G$6:$G$28,$P24),0.0001),IF($O24&lt;=INDEX(PARAMETROS_CULTURAS!$F$6:$F$28,$P24)+INDEX(PARAMETROS_CULTURAS!$G$6:$G$28,$P24)+INDEX(PARAMETROS_CULTURAS!$H$6:$H$28,$P24),INDEX(PARAMETROS_CULTURAS!$L$6:$L$28,$P24),INDEX(PARAMETROS_CULTURAS!$L$6:$L$28,$P24)+(INDEX(PARAMETROS_CULTURAS!$M$6:$M$28,$P24)-INDEX(PARAMETROS_CULTURAS!$L$6:$L$28,$P24))*($O24-INDEX(PARAMETROS_CULTURAS!$F$6:$F$28,$P24)-INDEX(PARAMETROS_CULTURAS!$G$6:$G$28,$P24)-INDEX(PARAMETROS_CULTURAS!$H$6:$H$28,$P24))/MAX(INDEX(PARAMETROS_CULTURAS!$I$6:$I$28,$P24),0.0001)))))</f>
        <v>0.633744855967079</v>
      </c>
      <c r="S24" s="18" t="n">
        <f aca="false">IFERROR(INDEX(SEMANAS!$H$6:$H$71,MATCH($B24,SEMANAS!$B$6:$B$71,0)),0)</f>
        <v>33.6</v>
      </c>
      <c r="T24" s="18" t="n">
        <f aca="false">$R24*$S24</f>
        <v>21.2938271604938</v>
      </c>
      <c r="U24" s="18" t="n">
        <f aca="false">IFERROR(INDEX(SEMANAS!$I$6:$I$71,MATCH($B24,SEMANAS!$B$6:$B$71,0)),0)</f>
        <v>45.15</v>
      </c>
      <c r="V24" s="18" t="n">
        <f aca="false">IFERROR(INDEX(SEMANAS!$J$6:$J$71,MATCH($B24,SEMANAS!$B$6:$B$71,0)),0)</f>
        <v>36.12</v>
      </c>
      <c r="W24" s="18" t="n">
        <f aca="false">MAX(0,$T24-$V24)</f>
        <v>0</v>
      </c>
      <c r="X24" s="19" t="n">
        <f aca="false">IFERROR(INDEX(CADASTRO_PIVOS!$K$6:$K$41,MATCH($E24,CADASTRO_PIVOS!$B$6:$B$41,0)),EFICIENCIA_PADRAO)</f>
        <v>0.85</v>
      </c>
      <c r="Y24" s="18" t="n">
        <f aca="false">IF($X24&lt;=0,0,$W24/$X24)</f>
        <v>0</v>
      </c>
      <c r="Z24" s="16" t="n">
        <f aca="false">$Y24*$H24*MM_PARA_M3_HA</f>
        <v>0</v>
      </c>
      <c r="AA24" s="18" t="n">
        <f aca="false">IFERROR(INDEX(CADASTRO_PIVOS!$I$6:$I$41,MATCH($E24,CADASTRO_PIVOS!$B$6:$B$41,0)),0)</f>
        <v>702.214285714286</v>
      </c>
      <c r="AB24" s="18" t="n">
        <f aca="false">IF($Z24&lt;=0,0,$Z24/$AA24)</f>
        <v>0</v>
      </c>
      <c r="AC24" s="16" t="n">
        <f aca="false">IFERROR(INDEX(SEMANAS!$K$6:$K$71,MATCH($B24,SEMANAS!$B$6:$B$71,0)),0)</f>
        <v>147</v>
      </c>
      <c r="AD24" s="19" t="n">
        <f aca="false">IF($AC24&lt;=0,0,$AB24/$AC24)</f>
        <v>0</v>
      </c>
      <c r="AE24" s="8" t="str">
        <f aca="false">IF($K24="SEM CULTURA","SEM CULTURA",IF($AA24&lt;=0,"DADO PENDENTE",IF($AD24&gt;LIMITE_CRITICO,"INVIAVEL",IF($AD24&gt;LIMITE_ATENCAO,"CRITICO",IF($AD24&gt;LIMITE_CONFORTAVEL,"ATENCAO","OK")))))</f>
        <v>OK</v>
      </c>
      <c r="AF24" s="8" t="str">
        <f aca="false">$B24&amp;"|"&amp;TEXT($AD24,"0.000000")</f>
        <v>19|0.000000</v>
      </c>
      <c r="AG24" s="18" t="n">
        <f aca="false">IF($K24="SEM CULTURA",0,$T24*$H24)</f>
        <v>2093.39614814815</v>
      </c>
      <c r="AH24" s="18" t="n">
        <f aca="false">IF($K24="SEM CULTURA",0,$V24*$H24)</f>
        <v>3550.9572</v>
      </c>
      <c r="AI24" s="18" t="n">
        <f aca="false">IF($K24="SEM CULTURA",0,$W24*$H24)</f>
        <v>0</v>
      </c>
      <c r="AJ24" s="18" t="n">
        <f aca="false">IF($K24="SEM CULTURA",0,$S24*$H24)</f>
        <v>3303.216</v>
      </c>
      <c r="AK24" s="8" t="str">
        <f aca="false">$E24&amp;"|"&amp;TEXT($AD24,"0.000000")</f>
        <v>PV 109|0.000000</v>
      </c>
    </row>
    <row r="25" customFormat="false" ht="15" hidden="false" customHeight="false" outlineLevel="0" collapsed="false">
      <c r="B25" s="16" t="n">
        <v>20</v>
      </c>
      <c r="C25" s="17" t="n">
        <f aca="false">DATA_INICIO_SAFRA+($B25-1)*DIAS_POR_SEMANA</f>
        <v>46398</v>
      </c>
      <c r="D25" s="17" t="n">
        <f aca="false">$C25+DIAS_POR_SEMANA-1</f>
        <v>46404</v>
      </c>
      <c r="E25" s="15" t="s">
        <v>259</v>
      </c>
      <c r="F25" s="8" t="str">
        <f aca="false">IFERROR(INDEX(CADASTRO_PIVOS!$C$6:$C$41,MATCH($E25,CADASTRO_PIVOS!$B$6:$B$41,0)),"?")</f>
        <v>RM01</v>
      </c>
      <c r="G25" s="8" t="str">
        <f aca="false">IFERROR(INDEX(CADASTRO_PIVOS!$D$6:$D$41,MATCH($E25,CADASTRO_PIVOS!$B$6:$B$41,0)),"?")</f>
        <v>TR01</v>
      </c>
      <c r="H25" s="20" t="n">
        <f aca="false">IFERROR(INDEX(CADASTRO_PIVOS!$E$6:$E$41,MATCH($E25,CADASTRO_PIVOS!$B$6:$B$41,0)),0)</f>
        <v>98.31</v>
      </c>
      <c r="I25" s="16" t="n">
        <f aca="false">IFERROR(SUMIFS(ROTACAO_RDM!$B$6:$B$71,ROTACAO_RDM!$D$6:$D$71,$E25,ROTACAO_RDM!$I$6:$I$71,"&lt;="&amp;$C25+INT(DIAS_POR_SEMANA/2),ROTACAO_RDM!$J$6:$J$71,"&gt;="&amp;$C25+INT(DIAS_POR_SEMANA/2)),0)</f>
        <v>0</v>
      </c>
      <c r="J25" s="16" t="n">
        <f aca="false">IFERROR(MATCH($I25,ROTACAO_RDM!$B$6:$B$71,0),0)</f>
        <v>0</v>
      </c>
      <c r="K25" s="8" t="str">
        <f aca="false">IF($J25=0,"SEM CULTURA",INDEX(ROTACAO_RDM!$F$6:$F$71,$J25))</f>
        <v>SEM CULTURA</v>
      </c>
      <c r="L25" s="8" t="str">
        <f aca="false">IF($J25=0,"",INDEX(ROTACAO_RDM!$G$6:$G$71,$J25))</f>
        <v/>
      </c>
      <c r="M25" s="17" t="str">
        <f aca="false">IF($J25=0,"",INDEX(ROTACAO_RDM!$I$6:$I$71,$J25))</f>
        <v/>
      </c>
      <c r="N25" s="16" t="n">
        <f aca="false">IF($J25=0,0,MAX(0,$C25+INT(DIAS_POR_SEMANA/2)-INDEX(ROTACAO_RDM!$I$6:$I$71,$J25)))</f>
        <v>0</v>
      </c>
      <c r="O25" s="19" t="n">
        <f aca="false">IF($J25=0,0,MIN(1,$N25/MAX(1,INDEX(ROTACAO_RDM!$K$6:$K$71,$J25))))</f>
        <v>0</v>
      </c>
      <c r="P25" s="16" t="n">
        <f aca="false">IF($J25=0,0,IFERROR(MATCH(INDEX(ROTACAO_RDM!$N$6:$N$71,$J25),PARAMETROS_CULTURAS!$B$6:$B$28,0),0))</f>
        <v>0</v>
      </c>
      <c r="Q25" s="8" t="str">
        <f aca="false">IF($P25=0,"-",IF($O25&lt;=INDEX(PARAMETROS_CULTURAS!$F$6:$F$28,$P25),"INICIAL",IF($O25&lt;=INDEX(PARAMETROS_CULTURAS!$F$6:$F$28,$P25)+INDEX(PARAMETROS_CULTURAS!$G$6:$G$28,$P25),"DESENVOLVIMENTO",IF($O25&lt;=INDEX(PARAMETROS_CULTURAS!$F$6:$F$28,$P25)+INDEX(PARAMETROS_CULTURAS!$G$6:$G$28,$P25)+INDEX(PARAMETROS_CULTURAS!$H$6:$H$28,$P25),"MEDIA","FINAL"))))</f>
        <v>-</v>
      </c>
      <c r="R25" s="24" t="n">
        <f aca="false">IF($P25=0,0,IF($O25&lt;=INDEX(PARAMETROS_CULTURAS!$F$6:$F$28,$P25),INDEX(PARAMETROS_CULTURAS!$K$6:$K$28,$P25),IF($O25&lt;=INDEX(PARAMETROS_CULTURAS!$F$6:$F$28,$P25)+INDEX(PARAMETROS_CULTURAS!$G$6:$G$28,$P25),INDEX(PARAMETROS_CULTURAS!$K$6:$K$28,$P25)+(INDEX(PARAMETROS_CULTURAS!$L$6:$L$28,$P25)-INDEX(PARAMETROS_CULTURAS!$K$6:$K$28,$P25))*($O25-INDEX(PARAMETROS_CULTURAS!$F$6:$F$28,$P25))/MAX(INDEX(PARAMETROS_CULTURAS!$G$6:$G$28,$P25),0.0001),IF($O25&lt;=INDEX(PARAMETROS_CULTURAS!$F$6:$F$28,$P25)+INDEX(PARAMETROS_CULTURAS!$G$6:$G$28,$P25)+INDEX(PARAMETROS_CULTURAS!$H$6:$H$28,$P25),INDEX(PARAMETROS_CULTURAS!$L$6:$L$28,$P25),INDEX(PARAMETROS_CULTURAS!$L$6:$L$28,$P25)+(INDEX(PARAMETROS_CULTURAS!$M$6:$M$28,$P25)-INDEX(PARAMETROS_CULTURAS!$L$6:$L$28,$P25))*($O25-INDEX(PARAMETROS_CULTURAS!$F$6:$F$28,$P25)-INDEX(PARAMETROS_CULTURAS!$G$6:$G$28,$P25)-INDEX(PARAMETROS_CULTURAS!$H$6:$H$28,$P25))/MAX(INDEX(PARAMETROS_CULTURAS!$I$6:$I$28,$P25),0.0001)))))</f>
        <v>0</v>
      </c>
      <c r="S25" s="18" t="n">
        <f aca="false">IFERROR(INDEX(SEMANAS!$H$6:$H$71,MATCH($B25,SEMANAS!$B$6:$B$71,0)),0)</f>
        <v>33.6</v>
      </c>
      <c r="T25" s="18" t="n">
        <f aca="false">$R25*$S25</f>
        <v>0</v>
      </c>
      <c r="U25" s="18" t="n">
        <f aca="false">IFERROR(INDEX(SEMANAS!$I$6:$I$71,MATCH($B25,SEMANAS!$B$6:$B$71,0)),0)</f>
        <v>45.15</v>
      </c>
      <c r="V25" s="18" t="n">
        <f aca="false">IFERROR(INDEX(SEMANAS!$J$6:$J$71,MATCH($B25,SEMANAS!$B$6:$B$71,0)),0)</f>
        <v>36.12</v>
      </c>
      <c r="W25" s="18" t="n">
        <f aca="false">MAX(0,$T25-$V25)</f>
        <v>0</v>
      </c>
      <c r="X25" s="19" t="n">
        <f aca="false">IFERROR(INDEX(CADASTRO_PIVOS!$K$6:$K$41,MATCH($E25,CADASTRO_PIVOS!$B$6:$B$41,0)),EFICIENCIA_PADRAO)</f>
        <v>0.85</v>
      </c>
      <c r="Y25" s="18" t="n">
        <f aca="false">IF($X25&lt;=0,0,$W25/$X25)</f>
        <v>0</v>
      </c>
      <c r="Z25" s="16" t="n">
        <f aca="false">$Y25*$H25*MM_PARA_M3_HA</f>
        <v>0</v>
      </c>
      <c r="AA25" s="18" t="n">
        <f aca="false">IFERROR(INDEX(CADASTRO_PIVOS!$I$6:$I$41,MATCH($E25,CADASTRO_PIVOS!$B$6:$B$41,0)),0)</f>
        <v>702.214285714286</v>
      </c>
      <c r="AB25" s="18" t="n">
        <f aca="false">IF($Z25&lt;=0,0,$Z25/$AA25)</f>
        <v>0</v>
      </c>
      <c r="AC25" s="16" t="n">
        <f aca="false">IFERROR(INDEX(SEMANAS!$K$6:$K$71,MATCH($B25,SEMANAS!$B$6:$B$71,0)),0)</f>
        <v>147</v>
      </c>
      <c r="AD25" s="19" t="n">
        <f aca="false">IF($AC25&lt;=0,0,$AB25/$AC25)</f>
        <v>0</v>
      </c>
      <c r="AE25" s="8" t="str">
        <f aca="false">IF($K25="SEM CULTURA","SEM CULTURA",IF($AA25&lt;=0,"DADO PENDENTE",IF($AD25&gt;LIMITE_CRITICO,"INVIAVEL",IF($AD25&gt;LIMITE_ATENCAO,"CRITICO",IF($AD25&gt;LIMITE_CONFORTAVEL,"ATENCAO","OK")))))</f>
        <v>SEM CULTURA</v>
      </c>
      <c r="AF25" s="8" t="str">
        <f aca="false">$B25&amp;"|"&amp;TEXT($AD25,"0.000000")</f>
        <v>20|0.000000</v>
      </c>
      <c r="AG25" s="18" t="n">
        <f aca="false">IF($K25="SEM CULTURA",0,$T25*$H25)</f>
        <v>0</v>
      </c>
      <c r="AH25" s="18" t="n">
        <f aca="false">IF($K25="SEM CULTURA",0,$V25*$H25)</f>
        <v>0</v>
      </c>
      <c r="AI25" s="18" t="n">
        <f aca="false">IF($K25="SEM CULTURA",0,$W25*$H25)</f>
        <v>0</v>
      </c>
      <c r="AJ25" s="18" t="n">
        <f aca="false">IF($K25="SEM CULTURA",0,$S25*$H25)</f>
        <v>0</v>
      </c>
      <c r="AK25" s="8" t="str">
        <f aca="false">$E25&amp;"|"&amp;TEXT($AD25,"0.000000")</f>
        <v>PV 109|0.000000</v>
      </c>
    </row>
    <row r="26" customFormat="false" ht="15" hidden="false" customHeight="false" outlineLevel="0" collapsed="false">
      <c r="B26" s="16" t="n">
        <v>21</v>
      </c>
      <c r="C26" s="17" t="n">
        <f aca="false">DATA_INICIO_SAFRA+($B26-1)*DIAS_POR_SEMANA</f>
        <v>46405</v>
      </c>
      <c r="D26" s="17" t="n">
        <f aca="false">$C26+DIAS_POR_SEMANA-1</f>
        <v>46411</v>
      </c>
      <c r="E26" s="15" t="s">
        <v>259</v>
      </c>
      <c r="F26" s="8" t="str">
        <f aca="false">IFERROR(INDEX(CADASTRO_PIVOS!$C$6:$C$41,MATCH($E26,CADASTRO_PIVOS!$B$6:$B$41,0)),"?")</f>
        <v>RM01</v>
      </c>
      <c r="G26" s="8" t="str">
        <f aca="false">IFERROR(INDEX(CADASTRO_PIVOS!$D$6:$D$41,MATCH($E26,CADASTRO_PIVOS!$B$6:$B$41,0)),"?")</f>
        <v>TR01</v>
      </c>
      <c r="H26" s="20" t="n">
        <f aca="false">IFERROR(INDEX(CADASTRO_PIVOS!$E$6:$E$41,MATCH($E26,CADASTRO_PIVOS!$B$6:$B$41,0)),0)</f>
        <v>98.31</v>
      </c>
      <c r="I26" s="16" t="n">
        <f aca="false">IFERROR(SUMIFS(ROTACAO_RDM!$B$6:$B$71,ROTACAO_RDM!$D$6:$D$71,$E26,ROTACAO_RDM!$I$6:$I$71,"&lt;="&amp;$C26+INT(DIAS_POR_SEMANA/2),ROTACAO_RDM!$J$6:$J$71,"&gt;="&amp;$C26+INT(DIAS_POR_SEMANA/2)),0)</f>
        <v>0</v>
      </c>
      <c r="J26" s="16" t="n">
        <f aca="false">IFERROR(MATCH($I26,ROTACAO_RDM!$B$6:$B$71,0),0)</f>
        <v>0</v>
      </c>
      <c r="K26" s="8" t="str">
        <f aca="false">IF($J26=0,"SEM CULTURA",INDEX(ROTACAO_RDM!$F$6:$F$71,$J26))</f>
        <v>SEM CULTURA</v>
      </c>
      <c r="L26" s="8" t="str">
        <f aca="false">IF($J26=0,"",INDEX(ROTACAO_RDM!$G$6:$G$71,$J26))</f>
        <v/>
      </c>
      <c r="M26" s="17" t="str">
        <f aca="false">IF($J26=0,"",INDEX(ROTACAO_RDM!$I$6:$I$71,$J26))</f>
        <v/>
      </c>
      <c r="N26" s="16" t="n">
        <f aca="false">IF($J26=0,0,MAX(0,$C26+INT(DIAS_POR_SEMANA/2)-INDEX(ROTACAO_RDM!$I$6:$I$71,$J26)))</f>
        <v>0</v>
      </c>
      <c r="O26" s="19" t="n">
        <f aca="false">IF($J26=0,0,MIN(1,$N26/MAX(1,INDEX(ROTACAO_RDM!$K$6:$K$71,$J26))))</f>
        <v>0</v>
      </c>
      <c r="P26" s="16" t="n">
        <f aca="false">IF($J26=0,0,IFERROR(MATCH(INDEX(ROTACAO_RDM!$N$6:$N$71,$J26),PARAMETROS_CULTURAS!$B$6:$B$28,0),0))</f>
        <v>0</v>
      </c>
      <c r="Q26" s="8" t="str">
        <f aca="false">IF($P26=0,"-",IF($O26&lt;=INDEX(PARAMETROS_CULTURAS!$F$6:$F$28,$P26),"INICIAL",IF($O26&lt;=INDEX(PARAMETROS_CULTURAS!$F$6:$F$28,$P26)+INDEX(PARAMETROS_CULTURAS!$G$6:$G$28,$P26),"DESENVOLVIMENTO",IF($O26&lt;=INDEX(PARAMETROS_CULTURAS!$F$6:$F$28,$P26)+INDEX(PARAMETROS_CULTURAS!$G$6:$G$28,$P26)+INDEX(PARAMETROS_CULTURAS!$H$6:$H$28,$P26),"MEDIA","FINAL"))))</f>
        <v>-</v>
      </c>
      <c r="R26" s="24" t="n">
        <f aca="false">IF($P26=0,0,IF($O26&lt;=INDEX(PARAMETROS_CULTURAS!$F$6:$F$28,$P26),INDEX(PARAMETROS_CULTURAS!$K$6:$K$28,$P26),IF($O26&lt;=INDEX(PARAMETROS_CULTURAS!$F$6:$F$28,$P26)+INDEX(PARAMETROS_CULTURAS!$G$6:$G$28,$P26),INDEX(PARAMETROS_CULTURAS!$K$6:$K$28,$P26)+(INDEX(PARAMETROS_CULTURAS!$L$6:$L$28,$P26)-INDEX(PARAMETROS_CULTURAS!$K$6:$K$28,$P26))*($O26-INDEX(PARAMETROS_CULTURAS!$F$6:$F$28,$P26))/MAX(INDEX(PARAMETROS_CULTURAS!$G$6:$G$28,$P26),0.0001),IF($O26&lt;=INDEX(PARAMETROS_CULTURAS!$F$6:$F$28,$P26)+INDEX(PARAMETROS_CULTURAS!$G$6:$G$28,$P26)+INDEX(PARAMETROS_CULTURAS!$H$6:$H$28,$P26),INDEX(PARAMETROS_CULTURAS!$L$6:$L$28,$P26),INDEX(PARAMETROS_CULTURAS!$L$6:$L$28,$P26)+(INDEX(PARAMETROS_CULTURAS!$M$6:$M$28,$P26)-INDEX(PARAMETROS_CULTURAS!$L$6:$L$28,$P26))*($O26-INDEX(PARAMETROS_CULTURAS!$F$6:$F$28,$P26)-INDEX(PARAMETROS_CULTURAS!$G$6:$G$28,$P26)-INDEX(PARAMETROS_CULTURAS!$H$6:$H$28,$P26))/MAX(INDEX(PARAMETROS_CULTURAS!$I$6:$I$28,$P26),0.0001)))))</f>
        <v>0</v>
      </c>
      <c r="S26" s="18" t="n">
        <f aca="false">IFERROR(INDEX(SEMANAS!$H$6:$H$71,MATCH($B26,SEMANAS!$B$6:$B$71,0)),0)</f>
        <v>33.6</v>
      </c>
      <c r="T26" s="18" t="n">
        <f aca="false">$R26*$S26</f>
        <v>0</v>
      </c>
      <c r="U26" s="18" t="n">
        <f aca="false">IFERROR(INDEX(SEMANAS!$I$6:$I$71,MATCH($B26,SEMANAS!$B$6:$B$71,0)),0)</f>
        <v>45.15</v>
      </c>
      <c r="V26" s="18" t="n">
        <f aca="false">IFERROR(INDEX(SEMANAS!$J$6:$J$71,MATCH($B26,SEMANAS!$B$6:$B$71,0)),0)</f>
        <v>36.12</v>
      </c>
      <c r="W26" s="18" t="n">
        <f aca="false">MAX(0,$T26-$V26)</f>
        <v>0</v>
      </c>
      <c r="X26" s="19" t="n">
        <f aca="false">IFERROR(INDEX(CADASTRO_PIVOS!$K$6:$K$41,MATCH($E26,CADASTRO_PIVOS!$B$6:$B$41,0)),EFICIENCIA_PADRAO)</f>
        <v>0.85</v>
      </c>
      <c r="Y26" s="18" t="n">
        <f aca="false">IF($X26&lt;=0,0,$W26/$X26)</f>
        <v>0</v>
      </c>
      <c r="Z26" s="16" t="n">
        <f aca="false">$Y26*$H26*MM_PARA_M3_HA</f>
        <v>0</v>
      </c>
      <c r="AA26" s="18" t="n">
        <f aca="false">IFERROR(INDEX(CADASTRO_PIVOS!$I$6:$I$41,MATCH($E26,CADASTRO_PIVOS!$B$6:$B$41,0)),0)</f>
        <v>702.214285714286</v>
      </c>
      <c r="AB26" s="18" t="n">
        <f aca="false">IF($Z26&lt;=0,0,$Z26/$AA26)</f>
        <v>0</v>
      </c>
      <c r="AC26" s="16" t="n">
        <f aca="false">IFERROR(INDEX(SEMANAS!$K$6:$K$71,MATCH($B26,SEMANAS!$B$6:$B$71,0)),0)</f>
        <v>147</v>
      </c>
      <c r="AD26" s="19" t="n">
        <f aca="false">IF($AC26&lt;=0,0,$AB26/$AC26)</f>
        <v>0</v>
      </c>
      <c r="AE26" s="8" t="str">
        <f aca="false">IF($K26="SEM CULTURA","SEM CULTURA",IF($AA26&lt;=0,"DADO PENDENTE",IF($AD26&gt;LIMITE_CRITICO,"INVIAVEL",IF($AD26&gt;LIMITE_ATENCAO,"CRITICO",IF($AD26&gt;LIMITE_CONFORTAVEL,"ATENCAO","OK")))))</f>
        <v>SEM CULTURA</v>
      </c>
      <c r="AF26" s="8" t="str">
        <f aca="false">$B26&amp;"|"&amp;TEXT($AD26,"0.000000")</f>
        <v>21|0.000000</v>
      </c>
      <c r="AG26" s="18" t="n">
        <f aca="false">IF($K26="SEM CULTURA",0,$T26*$H26)</f>
        <v>0</v>
      </c>
      <c r="AH26" s="18" t="n">
        <f aca="false">IF($K26="SEM CULTURA",0,$V26*$H26)</f>
        <v>0</v>
      </c>
      <c r="AI26" s="18" t="n">
        <f aca="false">IF($K26="SEM CULTURA",0,$W26*$H26)</f>
        <v>0</v>
      </c>
      <c r="AJ26" s="18" t="n">
        <f aca="false">IF($K26="SEM CULTURA",0,$S26*$H26)</f>
        <v>0</v>
      </c>
      <c r="AK26" s="8" t="str">
        <f aca="false">$E26&amp;"|"&amp;TEXT($AD26,"0.000000")</f>
        <v>PV 109|0.000000</v>
      </c>
    </row>
    <row r="27" customFormat="false" ht="15" hidden="false" customHeight="false" outlineLevel="0" collapsed="false">
      <c r="B27" s="16" t="n">
        <v>22</v>
      </c>
      <c r="C27" s="17" t="n">
        <f aca="false">DATA_INICIO_SAFRA+($B27-1)*DIAS_POR_SEMANA</f>
        <v>46412</v>
      </c>
      <c r="D27" s="17" t="n">
        <f aca="false">$C27+DIAS_POR_SEMANA-1</f>
        <v>46418</v>
      </c>
      <c r="E27" s="15" t="s">
        <v>259</v>
      </c>
      <c r="F27" s="8" t="str">
        <f aca="false">IFERROR(INDEX(CADASTRO_PIVOS!$C$6:$C$41,MATCH($E27,CADASTRO_PIVOS!$B$6:$B$41,0)),"?")</f>
        <v>RM01</v>
      </c>
      <c r="G27" s="8" t="str">
        <f aca="false">IFERROR(INDEX(CADASTRO_PIVOS!$D$6:$D$41,MATCH($E27,CADASTRO_PIVOS!$B$6:$B$41,0)),"?")</f>
        <v>TR01</v>
      </c>
      <c r="H27" s="20" t="n">
        <f aca="false">IFERROR(INDEX(CADASTRO_PIVOS!$E$6:$E$41,MATCH($E27,CADASTRO_PIVOS!$B$6:$B$41,0)),0)</f>
        <v>98.31</v>
      </c>
      <c r="I27" s="16" t="n">
        <f aca="false">IFERROR(SUMIFS(ROTACAO_RDM!$B$6:$B$71,ROTACAO_RDM!$D$6:$D$71,$E27,ROTACAO_RDM!$I$6:$I$71,"&lt;="&amp;$C27+INT(DIAS_POR_SEMANA/2),ROTACAO_RDM!$J$6:$J$71,"&gt;="&amp;$C27+INT(DIAS_POR_SEMANA/2)),0)</f>
        <v>0</v>
      </c>
      <c r="J27" s="16" t="n">
        <f aca="false">IFERROR(MATCH($I27,ROTACAO_RDM!$B$6:$B$71,0),0)</f>
        <v>0</v>
      </c>
      <c r="K27" s="8" t="str">
        <f aca="false">IF($J27=0,"SEM CULTURA",INDEX(ROTACAO_RDM!$F$6:$F$71,$J27))</f>
        <v>SEM CULTURA</v>
      </c>
      <c r="L27" s="8" t="str">
        <f aca="false">IF($J27=0,"",INDEX(ROTACAO_RDM!$G$6:$G$71,$J27))</f>
        <v/>
      </c>
      <c r="M27" s="17" t="str">
        <f aca="false">IF($J27=0,"",INDEX(ROTACAO_RDM!$I$6:$I$71,$J27))</f>
        <v/>
      </c>
      <c r="N27" s="16" t="n">
        <f aca="false">IF($J27=0,0,MAX(0,$C27+INT(DIAS_POR_SEMANA/2)-INDEX(ROTACAO_RDM!$I$6:$I$71,$J27)))</f>
        <v>0</v>
      </c>
      <c r="O27" s="19" t="n">
        <f aca="false">IF($J27=0,0,MIN(1,$N27/MAX(1,INDEX(ROTACAO_RDM!$K$6:$K$71,$J27))))</f>
        <v>0</v>
      </c>
      <c r="P27" s="16" t="n">
        <f aca="false">IF($J27=0,0,IFERROR(MATCH(INDEX(ROTACAO_RDM!$N$6:$N$71,$J27),PARAMETROS_CULTURAS!$B$6:$B$28,0),0))</f>
        <v>0</v>
      </c>
      <c r="Q27" s="8" t="str">
        <f aca="false">IF($P27=0,"-",IF($O27&lt;=INDEX(PARAMETROS_CULTURAS!$F$6:$F$28,$P27),"INICIAL",IF($O27&lt;=INDEX(PARAMETROS_CULTURAS!$F$6:$F$28,$P27)+INDEX(PARAMETROS_CULTURAS!$G$6:$G$28,$P27),"DESENVOLVIMENTO",IF($O27&lt;=INDEX(PARAMETROS_CULTURAS!$F$6:$F$28,$P27)+INDEX(PARAMETROS_CULTURAS!$G$6:$G$28,$P27)+INDEX(PARAMETROS_CULTURAS!$H$6:$H$28,$P27),"MEDIA","FINAL"))))</f>
        <v>-</v>
      </c>
      <c r="R27" s="24" t="n">
        <f aca="false">IF($P27=0,0,IF($O27&lt;=INDEX(PARAMETROS_CULTURAS!$F$6:$F$28,$P27),INDEX(PARAMETROS_CULTURAS!$K$6:$K$28,$P27),IF($O27&lt;=INDEX(PARAMETROS_CULTURAS!$F$6:$F$28,$P27)+INDEX(PARAMETROS_CULTURAS!$G$6:$G$28,$P27),INDEX(PARAMETROS_CULTURAS!$K$6:$K$28,$P27)+(INDEX(PARAMETROS_CULTURAS!$L$6:$L$28,$P27)-INDEX(PARAMETROS_CULTURAS!$K$6:$K$28,$P27))*($O27-INDEX(PARAMETROS_CULTURAS!$F$6:$F$28,$P27))/MAX(INDEX(PARAMETROS_CULTURAS!$G$6:$G$28,$P27),0.0001),IF($O27&lt;=INDEX(PARAMETROS_CULTURAS!$F$6:$F$28,$P27)+INDEX(PARAMETROS_CULTURAS!$G$6:$G$28,$P27)+INDEX(PARAMETROS_CULTURAS!$H$6:$H$28,$P27),INDEX(PARAMETROS_CULTURAS!$L$6:$L$28,$P27),INDEX(PARAMETROS_CULTURAS!$L$6:$L$28,$P27)+(INDEX(PARAMETROS_CULTURAS!$M$6:$M$28,$P27)-INDEX(PARAMETROS_CULTURAS!$L$6:$L$28,$P27))*($O27-INDEX(PARAMETROS_CULTURAS!$F$6:$F$28,$P27)-INDEX(PARAMETROS_CULTURAS!$G$6:$G$28,$P27)-INDEX(PARAMETROS_CULTURAS!$H$6:$H$28,$P27))/MAX(INDEX(PARAMETROS_CULTURAS!$I$6:$I$28,$P27),0.0001)))))</f>
        <v>0</v>
      </c>
      <c r="S27" s="18" t="n">
        <f aca="false">IFERROR(INDEX(SEMANAS!$H$6:$H$71,MATCH($B27,SEMANAS!$B$6:$B$71,0)),0)</f>
        <v>33.6</v>
      </c>
      <c r="T27" s="18" t="n">
        <f aca="false">$R27*$S27</f>
        <v>0</v>
      </c>
      <c r="U27" s="18" t="n">
        <f aca="false">IFERROR(INDEX(SEMANAS!$I$6:$I$71,MATCH($B27,SEMANAS!$B$6:$B$71,0)),0)</f>
        <v>45.15</v>
      </c>
      <c r="V27" s="18" t="n">
        <f aca="false">IFERROR(INDEX(SEMANAS!$J$6:$J$71,MATCH($B27,SEMANAS!$B$6:$B$71,0)),0)</f>
        <v>36.12</v>
      </c>
      <c r="W27" s="18" t="n">
        <f aca="false">MAX(0,$T27-$V27)</f>
        <v>0</v>
      </c>
      <c r="X27" s="19" t="n">
        <f aca="false">IFERROR(INDEX(CADASTRO_PIVOS!$K$6:$K$41,MATCH($E27,CADASTRO_PIVOS!$B$6:$B$41,0)),EFICIENCIA_PADRAO)</f>
        <v>0.85</v>
      </c>
      <c r="Y27" s="18" t="n">
        <f aca="false">IF($X27&lt;=0,0,$W27/$X27)</f>
        <v>0</v>
      </c>
      <c r="Z27" s="16" t="n">
        <f aca="false">$Y27*$H27*MM_PARA_M3_HA</f>
        <v>0</v>
      </c>
      <c r="AA27" s="18" t="n">
        <f aca="false">IFERROR(INDEX(CADASTRO_PIVOS!$I$6:$I$41,MATCH($E27,CADASTRO_PIVOS!$B$6:$B$41,0)),0)</f>
        <v>702.214285714286</v>
      </c>
      <c r="AB27" s="18" t="n">
        <f aca="false">IF($Z27&lt;=0,0,$Z27/$AA27)</f>
        <v>0</v>
      </c>
      <c r="AC27" s="16" t="n">
        <f aca="false">IFERROR(INDEX(SEMANAS!$K$6:$K$71,MATCH($B27,SEMANAS!$B$6:$B$71,0)),0)</f>
        <v>147</v>
      </c>
      <c r="AD27" s="19" t="n">
        <f aca="false">IF($AC27&lt;=0,0,$AB27/$AC27)</f>
        <v>0</v>
      </c>
      <c r="AE27" s="8" t="str">
        <f aca="false">IF($K27="SEM CULTURA","SEM CULTURA",IF($AA27&lt;=0,"DADO PENDENTE",IF($AD27&gt;LIMITE_CRITICO,"INVIAVEL",IF($AD27&gt;LIMITE_ATENCAO,"CRITICO",IF($AD27&gt;LIMITE_CONFORTAVEL,"ATENCAO","OK")))))</f>
        <v>SEM CULTURA</v>
      </c>
      <c r="AF27" s="8" t="str">
        <f aca="false">$B27&amp;"|"&amp;TEXT($AD27,"0.000000")</f>
        <v>22|0.000000</v>
      </c>
      <c r="AG27" s="18" t="n">
        <f aca="false">IF($K27="SEM CULTURA",0,$T27*$H27)</f>
        <v>0</v>
      </c>
      <c r="AH27" s="18" t="n">
        <f aca="false">IF($K27="SEM CULTURA",0,$V27*$H27)</f>
        <v>0</v>
      </c>
      <c r="AI27" s="18" t="n">
        <f aca="false">IF($K27="SEM CULTURA",0,$W27*$H27)</f>
        <v>0</v>
      </c>
      <c r="AJ27" s="18" t="n">
        <f aca="false">IF($K27="SEM CULTURA",0,$S27*$H27)</f>
        <v>0</v>
      </c>
      <c r="AK27" s="8" t="str">
        <f aca="false">$E27&amp;"|"&amp;TEXT($AD27,"0.000000")</f>
        <v>PV 109|0.000000</v>
      </c>
    </row>
    <row r="28" customFormat="false" ht="15" hidden="false" customHeight="false" outlineLevel="0" collapsed="false">
      <c r="B28" s="16" t="n">
        <v>23</v>
      </c>
      <c r="C28" s="17" t="n">
        <f aca="false">DATA_INICIO_SAFRA+($B28-1)*DIAS_POR_SEMANA</f>
        <v>46419</v>
      </c>
      <c r="D28" s="17" t="n">
        <f aca="false">$C28+DIAS_POR_SEMANA-1</f>
        <v>46425</v>
      </c>
      <c r="E28" s="15" t="s">
        <v>259</v>
      </c>
      <c r="F28" s="8" t="str">
        <f aca="false">IFERROR(INDEX(CADASTRO_PIVOS!$C$6:$C$41,MATCH($E28,CADASTRO_PIVOS!$B$6:$B$41,0)),"?")</f>
        <v>RM01</v>
      </c>
      <c r="G28" s="8" t="str">
        <f aca="false">IFERROR(INDEX(CADASTRO_PIVOS!$D$6:$D$41,MATCH($E28,CADASTRO_PIVOS!$B$6:$B$41,0)),"?")</f>
        <v>TR01</v>
      </c>
      <c r="H28" s="20" t="n">
        <f aca="false">IFERROR(INDEX(CADASTRO_PIVOS!$E$6:$E$41,MATCH($E28,CADASTRO_PIVOS!$B$6:$B$41,0)),0)</f>
        <v>98.31</v>
      </c>
      <c r="I28" s="16" t="n">
        <f aca="false">IFERROR(SUMIFS(ROTACAO_RDM!$B$6:$B$71,ROTACAO_RDM!$D$6:$D$71,$E28,ROTACAO_RDM!$I$6:$I$71,"&lt;="&amp;$C28+INT(DIAS_POR_SEMANA/2),ROTACAO_RDM!$J$6:$J$71,"&gt;="&amp;$C28+INT(DIAS_POR_SEMANA/2)),0)</f>
        <v>16</v>
      </c>
      <c r="J28" s="16" t="n">
        <f aca="false">IFERROR(MATCH($I28,ROTACAO_RDM!$B$6:$B$71,0),0)</f>
        <v>16</v>
      </c>
      <c r="K28" s="8" t="str">
        <f aca="false">IF($J28=0,"SEM CULTURA",INDEX(ROTACAO_RDM!$F$6:$F$71,$J28))</f>
        <v>ALGODAO</v>
      </c>
      <c r="L28" s="8" t="str">
        <f aca="false">IF($J28=0,"",INDEX(ROTACAO_RDM!$G$6:$G$71,$J28))</f>
        <v>FM 933 STP</v>
      </c>
      <c r="M28" s="17" t="n">
        <f aca="false">IF($J28=0,"",INDEX(ROTACAO_RDM!$I$6:$I$71,$J28))</f>
        <v>46422</v>
      </c>
      <c r="N28" s="16" t="n">
        <f aca="false">IF($J28=0,0,MAX(0,$C28+INT(DIAS_POR_SEMANA/2)-INDEX(ROTACAO_RDM!$I$6:$I$71,$J28)))</f>
        <v>0</v>
      </c>
      <c r="O28" s="19" t="n">
        <f aca="false">IF($J28=0,0,MIN(1,$N28/MAX(1,INDEX(ROTACAO_RDM!$K$6:$K$71,$J28))))</f>
        <v>0</v>
      </c>
      <c r="P28" s="16" t="n">
        <f aca="false">IF($J28=0,0,IFERROR(MATCH(INDEX(ROTACAO_RDM!$N$6:$N$71,$J28),PARAMETROS_CULTURAS!$B$6:$B$28,0),0))</f>
        <v>5</v>
      </c>
      <c r="Q28" s="8" t="str">
        <f aca="false">IF($P28=0,"-",IF($O28&lt;=INDEX(PARAMETROS_CULTURAS!$F$6:$F$28,$P28),"INICIAL",IF($O28&lt;=INDEX(PARAMETROS_CULTURAS!$F$6:$F$28,$P28)+INDEX(PARAMETROS_CULTURAS!$G$6:$G$28,$P28),"DESENVOLVIMENTO",IF($O28&lt;=INDEX(PARAMETROS_CULTURAS!$F$6:$F$28,$P28)+INDEX(PARAMETROS_CULTURAS!$G$6:$G$28,$P28)+INDEX(PARAMETROS_CULTURAS!$H$6:$H$28,$P28),"MEDIA","FINAL"))))</f>
        <v>INICIAL</v>
      </c>
      <c r="R28" s="24" t="n">
        <f aca="false">IF($P28=0,0,IF($O28&lt;=INDEX(PARAMETROS_CULTURAS!$F$6:$F$28,$P28),INDEX(PARAMETROS_CULTURAS!$K$6:$K$28,$P28),IF($O28&lt;=INDEX(PARAMETROS_CULTURAS!$F$6:$F$28,$P28)+INDEX(PARAMETROS_CULTURAS!$G$6:$G$28,$P28),INDEX(PARAMETROS_CULTURAS!$K$6:$K$28,$P28)+(INDEX(PARAMETROS_CULTURAS!$L$6:$L$28,$P28)-INDEX(PARAMETROS_CULTURAS!$K$6:$K$28,$P28))*($O28-INDEX(PARAMETROS_CULTURAS!$F$6:$F$28,$P28))/MAX(INDEX(PARAMETROS_CULTURAS!$G$6:$G$28,$P28),0.0001),IF($O28&lt;=INDEX(PARAMETROS_CULTURAS!$F$6:$F$28,$P28)+INDEX(PARAMETROS_CULTURAS!$G$6:$G$28,$P28)+INDEX(PARAMETROS_CULTURAS!$H$6:$H$28,$P28),INDEX(PARAMETROS_CULTURAS!$L$6:$L$28,$P28),INDEX(PARAMETROS_CULTURAS!$L$6:$L$28,$P28)+(INDEX(PARAMETROS_CULTURAS!$M$6:$M$28,$P28)-INDEX(PARAMETROS_CULTURAS!$L$6:$L$28,$P28))*($O28-INDEX(PARAMETROS_CULTURAS!$F$6:$F$28,$P28)-INDEX(PARAMETROS_CULTURAS!$G$6:$G$28,$P28)-INDEX(PARAMETROS_CULTURAS!$H$6:$H$28,$P28))/MAX(INDEX(PARAMETROS_CULTURAS!$I$6:$I$28,$P28),0.0001)))))</f>
        <v>0.35</v>
      </c>
      <c r="S28" s="18" t="n">
        <f aca="false">IFERROR(INDEX(SEMANAS!$H$6:$H$71,MATCH($B28,SEMANAS!$B$6:$B$71,0)),0)</f>
        <v>32.9</v>
      </c>
      <c r="T28" s="18" t="n">
        <f aca="false">$R28*$S28</f>
        <v>11.515</v>
      </c>
      <c r="U28" s="18" t="n">
        <f aca="false">IFERROR(INDEX(SEMANAS!$I$6:$I$71,MATCH($B28,SEMANAS!$B$6:$B$71,0)),0)</f>
        <v>39.97</v>
      </c>
      <c r="V28" s="18" t="n">
        <f aca="false">IFERROR(INDEX(SEMANAS!$J$6:$J$71,MATCH($B28,SEMANAS!$B$6:$B$71,0)),0)</f>
        <v>31.976</v>
      </c>
      <c r="W28" s="18" t="n">
        <f aca="false">MAX(0,$T28-$V28)</f>
        <v>0</v>
      </c>
      <c r="X28" s="19" t="n">
        <f aca="false">IFERROR(INDEX(CADASTRO_PIVOS!$K$6:$K$41,MATCH($E28,CADASTRO_PIVOS!$B$6:$B$41,0)),EFICIENCIA_PADRAO)</f>
        <v>0.85</v>
      </c>
      <c r="Y28" s="18" t="n">
        <f aca="false">IF($X28&lt;=0,0,$W28/$X28)</f>
        <v>0</v>
      </c>
      <c r="Z28" s="16" t="n">
        <f aca="false">$Y28*$H28*MM_PARA_M3_HA</f>
        <v>0</v>
      </c>
      <c r="AA28" s="18" t="n">
        <f aca="false">IFERROR(INDEX(CADASTRO_PIVOS!$I$6:$I$41,MATCH($E28,CADASTRO_PIVOS!$B$6:$B$41,0)),0)</f>
        <v>702.214285714286</v>
      </c>
      <c r="AB28" s="18" t="n">
        <f aca="false">IF($Z28&lt;=0,0,$Z28/$AA28)</f>
        <v>0</v>
      </c>
      <c r="AC28" s="16" t="n">
        <f aca="false">IFERROR(INDEX(SEMANAS!$K$6:$K$71,MATCH($B28,SEMANAS!$B$6:$B$71,0)),0)</f>
        <v>147</v>
      </c>
      <c r="AD28" s="19" t="n">
        <f aca="false">IF($AC28&lt;=0,0,$AB28/$AC28)</f>
        <v>0</v>
      </c>
      <c r="AE28" s="8" t="str">
        <f aca="false">IF($K28="SEM CULTURA","SEM CULTURA",IF($AA28&lt;=0,"DADO PENDENTE",IF($AD28&gt;LIMITE_CRITICO,"INVIAVEL",IF($AD28&gt;LIMITE_ATENCAO,"CRITICO",IF($AD28&gt;LIMITE_CONFORTAVEL,"ATENCAO","OK")))))</f>
        <v>OK</v>
      </c>
      <c r="AF28" s="8" t="str">
        <f aca="false">$B28&amp;"|"&amp;TEXT($AD28,"0.000000")</f>
        <v>23|0.000000</v>
      </c>
      <c r="AG28" s="18" t="n">
        <f aca="false">IF($K28="SEM CULTURA",0,$T28*$H28)</f>
        <v>1132.03965</v>
      </c>
      <c r="AH28" s="18" t="n">
        <f aca="false">IF($K28="SEM CULTURA",0,$V28*$H28)</f>
        <v>3143.56056</v>
      </c>
      <c r="AI28" s="18" t="n">
        <f aca="false">IF($K28="SEM CULTURA",0,$W28*$H28)</f>
        <v>0</v>
      </c>
      <c r="AJ28" s="18" t="n">
        <f aca="false">IF($K28="SEM CULTURA",0,$S28*$H28)</f>
        <v>3234.399</v>
      </c>
      <c r="AK28" s="8" t="str">
        <f aca="false">$E28&amp;"|"&amp;TEXT($AD28,"0.000000")</f>
        <v>PV 109|0.000000</v>
      </c>
    </row>
    <row r="29" customFormat="false" ht="15" hidden="false" customHeight="false" outlineLevel="0" collapsed="false">
      <c r="B29" s="16" t="n">
        <v>24</v>
      </c>
      <c r="C29" s="17" t="n">
        <f aca="false">DATA_INICIO_SAFRA+($B29-1)*DIAS_POR_SEMANA</f>
        <v>46426</v>
      </c>
      <c r="D29" s="17" t="n">
        <f aca="false">$C29+DIAS_POR_SEMANA-1</f>
        <v>46432</v>
      </c>
      <c r="E29" s="15" t="s">
        <v>259</v>
      </c>
      <c r="F29" s="8" t="str">
        <f aca="false">IFERROR(INDEX(CADASTRO_PIVOS!$C$6:$C$41,MATCH($E29,CADASTRO_PIVOS!$B$6:$B$41,0)),"?")</f>
        <v>RM01</v>
      </c>
      <c r="G29" s="8" t="str">
        <f aca="false">IFERROR(INDEX(CADASTRO_PIVOS!$D$6:$D$41,MATCH($E29,CADASTRO_PIVOS!$B$6:$B$41,0)),"?")</f>
        <v>TR01</v>
      </c>
      <c r="H29" s="20" t="n">
        <f aca="false">IFERROR(INDEX(CADASTRO_PIVOS!$E$6:$E$41,MATCH($E29,CADASTRO_PIVOS!$B$6:$B$41,0)),0)</f>
        <v>98.31</v>
      </c>
      <c r="I29" s="16" t="n">
        <f aca="false">IFERROR(SUMIFS(ROTACAO_RDM!$B$6:$B$71,ROTACAO_RDM!$D$6:$D$71,$E29,ROTACAO_RDM!$I$6:$I$71,"&lt;="&amp;$C29+INT(DIAS_POR_SEMANA/2),ROTACAO_RDM!$J$6:$J$71,"&gt;="&amp;$C29+INT(DIAS_POR_SEMANA/2)),0)</f>
        <v>16</v>
      </c>
      <c r="J29" s="16" t="n">
        <f aca="false">IFERROR(MATCH($I29,ROTACAO_RDM!$B$6:$B$71,0),0)</f>
        <v>16</v>
      </c>
      <c r="K29" s="8" t="str">
        <f aca="false">IF($J29=0,"SEM CULTURA",INDEX(ROTACAO_RDM!$F$6:$F$71,$J29))</f>
        <v>ALGODAO</v>
      </c>
      <c r="L29" s="8" t="str">
        <f aca="false">IF($J29=0,"",INDEX(ROTACAO_RDM!$G$6:$G$71,$J29))</f>
        <v>FM 933 STP</v>
      </c>
      <c r="M29" s="17" t="n">
        <f aca="false">IF($J29=0,"",INDEX(ROTACAO_RDM!$I$6:$I$71,$J29))</f>
        <v>46422</v>
      </c>
      <c r="N29" s="16" t="n">
        <f aca="false">IF($J29=0,0,MAX(0,$C29+INT(DIAS_POR_SEMANA/2)-INDEX(ROTACAO_RDM!$I$6:$I$71,$J29)))</f>
        <v>7</v>
      </c>
      <c r="O29" s="19" t="n">
        <f aca="false">IF($J29=0,0,MIN(1,$N29/MAX(1,INDEX(ROTACAO_RDM!$K$6:$K$71,$J29))))</f>
        <v>0.0358974358974359</v>
      </c>
      <c r="P29" s="16" t="n">
        <f aca="false">IF($J29=0,0,IFERROR(MATCH(INDEX(ROTACAO_RDM!$N$6:$N$71,$J29),PARAMETROS_CULTURAS!$B$6:$B$28,0),0))</f>
        <v>5</v>
      </c>
      <c r="Q29" s="8" t="str">
        <f aca="false">IF($P29=0,"-",IF($O29&lt;=INDEX(PARAMETROS_CULTURAS!$F$6:$F$28,$P29),"INICIAL",IF($O29&lt;=INDEX(PARAMETROS_CULTURAS!$F$6:$F$28,$P29)+INDEX(PARAMETROS_CULTURAS!$G$6:$G$28,$P29),"DESENVOLVIMENTO",IF($O29&lt;=INDEX(PARAMETROS_CULTURAS!$F$6:$F$28,$P29)+INDEX(PARAMETROS_CULTURAS!$G$6:$G$28,$P29)+INDEX(PARAMETROS_CULTURAS!$H$6:$H$28,$P29),"MEDIA","FINAL"))))</f>
        <v>INICIAL</v>
      </c>
      <c r="R29" s="24" t="n">
        <f aca="false">IF($P29=0,0,IF($O29&lt;=INDEX(PARAMETROS_CULTURAS!$F$6:$F$28,$P29),INDEX(PARAMETROS_CULTURAS!$K$6:$K$28,$P29),IF($O29&lt;=INDEX(PARAMETROS_CULTURAS!$F$6:$F$28,$P29)+INDEX(PARAMETROS_CULTURAS!$G$6:$G$28,$P29),INDEX(PARAMETROS_CULTURAS!$K$6:$K$28,$P29)+(INDEX(PARAMETROS_CULTURAS!$L$6:$L$28,$P29)-INDEX(PARAMETROS_CULTURAS!$K$6:$K$28,$P29))*($O29-INDEX(PARAMETROS_CULTURAS!$F$6:$F$28,$P29))/MAX(INDEX(PARAMETROS_CULTURAS!$G$6:$G$28,$P29),0.0001),IF($O29&lt;=INDEX(PARAMETROS_CULTURAS!$F$6:$F$28,$P29)+INDEX(PARAMETROS_CULTURAS!$G$6:$G$28,$P29)+INDEX(PARAMETROS_CULTURAS!$H$6:$H$28,$P29),INDEX(PARAMETROS_CULTURAS!$L$6:$L$28,$P29),INDEX(PARAMETROS_CULTURAS!$L$6:$L$28,$P29)+(INDEX(PARAMETROS_CULTURAS!$M$6:$M$28,$P29)-INDEX(PARAMETROS_CULTURAS!$L$6:$L$28,$P29))*($O29-INDEX(PARAMETROS_CULTURAS!$F$6:$F$28,$P29)-INDEX(PARAMETROS_CULTURAS!$G$6:$G$28,$P29)-INDEX(PARAMETROS_CULTURAS!$H$6:$H$28,$P29))/MAX(INDEX(PARAMETROS_CULTURAS!$I$6:$I$28,$P29),0.0001)))))</f>
        <v>0.35</v>
      </c>
      <c r="S29" s="18" t="n">
        <f aca="false">IFERROR(INDEX(SEMANAS!$H$6:$H$71,MATCH($B29,SEMANAS!$B$6:$B$71,0)),0)</f>
        <v>32.9</v>
      </c>
      <c r="T29" s="18" t="n">
        <f aca="false">$R29*$S29</f>
        <v>11.515</v>
      </c>
      <c r="U29" s="18" t="n">
        <f aca="false">IFERROR(INDEX(SEMANAS!$I$6:$I$71,MATCH($B29,SEMANAS!$B$6:$B$71,0)),0)</f>
        <v>39.97</v>
      </c>
      <c r="V29" s="18" t="n">
        <f aca="false">IFERROR(INDEX(SEMANAS!$J$6:$J$71,MATCH($B29,SEMANAS!$B$6:$B$71,0)),0)</f>
        <v>31.976</v>
      </c>
      <c r="W29" s="18" t="n">
        <f aca="false">MAX(0,$T29-$V29)</f>
        <v>0</v>
      </c>
      <c r="X29" s="19" t="n">
        <f aca="false">IFERROR(INDEX(CADASTRO_PIVOS!$K$6:$K$41,MATCH($E29,CADASTRO_PIVOS!$B$6:$B$41,0)),EFICIENCIA_PADRAO)</f>
        <v>0.85</v>
      </c>
      <c r="Y29" s="18" t="n">
        <f aca="false">IF($X29&lt;=0,0,$W29/$X29)</f>
        <v>0</v>
      </c>
      <c r="Z29" s="16" t="n">
        <f aca="false">$Y29*$H29*MM_PARA_M3_HA</f>
        <v>0</v>
      </c>
      <c r="AA29" s="18" t="n">
        <f aca="false">IFERROR(INDEX(CADASTRO_PIVOS!$I$6:$I$41,MATCH($E29,CADASTRO_PIVOS!$B$6:$B$41,0)),0)</f>
        <v>702.214285714286</v>
      </c>
      <c r="AB29" s="18" t="n">
        <f aca="false">IF($Z29&lt;=0,0,$Z29/$AA29)</f>
        <v>0</v>
      </c>
      <c r="AC29" s="16" t="n">
        <f aca="false">IFERROR(INDEX(SEMANAS!$K$6:$K$71,MATCH($B29,SEMANAS!$B$6:$B$71,0)),0)</f>
        <v>147</v>
      </c>
      <c r="AD29" s="19" t="n">
        <f aca="false">IF($AC29&lt;=0,0,$AB29/$AC29)</f>
        <v>0</v>
      </c>
      <c r="AE29" s="8" t="str">
        <f aca="false">IF($K29="SEM CULTURA","SEM CULTURA",IF($AA29&lt;=0,"DADO PENDENTE",IF($AD29&gt;LIMITE_CRITICO,"INVIAVEL",IF($AD29&gt;LIMITE_ATENCAO,"CRITICO",IF($AD29&gt;LIMITE_CONFORTAVEL,"ATENCAO","OK")))))</f>
        <v>OK</v>
      </c>
      <c r="AF29" s="8" t="str">
        <f aca="false">$B29&amp;"|"&amp;TEXT($AD29,"0.000000")</f>
        <v>24|0.000000</v>
      </c>
      <c r="AG29" s="18" t="n">
        <f aca="false">IF($K29="SEM CULTURA",0,$T29*$H29)</f>
        <v>1132.03965</v>
      </c>
      <c r="AH29" s="18" t="n">
        <f aca="false">IF($K29="SEM CULTURA",0,$V29*$H29)</f>
        <v>3143.56056</v>
      </c>
      <c r="AI29" s="18" t="n">
        <f aca="false">IF($K29="SEM CULTURA",0,$W29*$H29)</f>
        <v>0</v>
      </c>
      <c r="AJ29" s="18" t="n">
        <f aca="false">IF($K29="SEM CULTURA",0,$S29*$H29)</f>
        <v>3234.399</v>
      </c>
      <c r="AK29" s="8" t="str">
        <f aca="false">$E29&amp;"|"&amp;TEXT($AD29,"0.000000")</f>
        <v>PV 109|0.000000</v>
      </c>
    </row>
    <row r="30" customFormat="false" ht="15" hidden="false" customHeight="false" outlineLevel="0" collapsed="false">
      <c r="B30" s="16" t="n">
        <v>25</v>
      </c>
      <c r="C30" s="17" t="n">
        <f aca="false">DATA_INICIO_SAFRA+($B30-1)*DIAS_POR_SEMANA</f>
        <v>46433</v>
      </c>
      <c r="D30" s="17" t="n">
        <f aca="false">$C30+DIAS_POR_SEMANA-1</f>
        <v>46439</v>
      </c>
      <c r="E30" s="15" t="s">
        <v>259</v>
      </c>
      <c r="F30" s="8" t="str">
        <f aca="false">IFERROR(INDEX(CADASTRO_PIVOS!$C$6:$C$41,MATCH($E30,CADASTRO_PIVOS!$B$6:$B$41,0)),"?")</f>
        <v>RM01</v>
      </c>
      <c r="G30" s="8" t="str">
        <f aca="false">IFERROR(INDEX(CADASTRO_PIVOS!$D$6:$D$41,MATCH($E30,CADASTRO_PIVOS!$B$6:$B$41,0)),"?")</f>
        <v>TR01</v>
      </c>
      <c r="H30" s="20" t="n">
        <f aca="false">IFERROR(INDEX(CADASTRO_PIVOS!$E$6:$E$41,MATCH($E30,CADASTRO_PIVOS!$B$6:$B$41,0)),0)</f>
        <v>98.31</v>
      </c>
      <c r="I30" s="16" t="n">
        <f aca="false">IFERROR(SUMIFS(ROTACAO_RDM!$B$6:$B$71,ROTACAO_RDM!$D$6:$D$71,$E30,ROTACAO_RDM!$I$6:$I$71,"&lt;="&amp;$C30+INT(DIAS_POR_SEMANA/2),ROTACAO_RDM!$J$6:$J$71,"&gt;="&amp;$C30+INT(DIAS_POR_SEMANA/2)),0)</f>
        <v>16</v>
      </c>
      <c r="J30" s="16" t="n">
        <f aca="false">IFERROR(MATCH($I30,ROTACAO_RDM!$B$6:$B$71,0),0)</f>
        <v>16</v>
      </c>
      <c r="K30" s="8" t="str">
        <f aca="false">IF($J30=0,"SEM CULTURA",INDEX(ROTACAO_RDM!$F$6:$F$71,$J30))</f>
        <v>ALGODAO</v>
      </c>
      <c r="L30" s="8" t="str">
        <f aca="false">IF($J30=0,"",INDEX(ROTACAO_RDM!$G$6:$G$71,$J30))</f>
        <v>FM 933 STP</v>
      </c>
      <c r="M30" s="17" t="n">
        <f aca="false">IF($J30=0,"",INDEX(ROTACAO_RDM!$I$6:$I$71,$J30))</f>
        <v>46422</v>
      </c>
      <c r="N30" s="16" t="n">
        <f aca="false">IF($J30=0,0,MAX(0,$C30+INT(DIAS_POR_SEMANA/2)-INDEX(ROTACAO_RDM!$I$6:$I$71,$J30)))</f>
        <v>14</v>
      </c>
      <c r="O30" s="19" t="n">
        <f aca="false">IF($J30=0,0,MIN(1,$N30/MAX(1,INDEX(ROTACAO_RDM!$K$6:$K$71,$J30))))</f>
        <v>0.0717948717948718</v>
      </c>
      <c r="P30" s="16" t="n">
        <f aca="false">IF($J30=0,0,IFERROR(MATCH(INDEX(ROTACAO_RDM!$N$6:$N$71,$J30),PARAMETROS_CULTURAS!$B$6:$B$28,0),0))</f>
        <v>5</v>
      </c>
      <c r="Q30" s="8" t="str">
        <f aca="false">IF($P30=0,"-",IF($O30&lt;=INDEX(PARAMETROS_CULTURAS!$F$6:$F$28,$P30),"INICIAL",IF($O30&lt;=INDEX(PARAMETROS_CULTURAS!$F$6:$F$28,$P30)+INDEX(PARAMETROS_CULTURAS!$G$6:$G$28,$P30),"DESENVOLVIMENTO",IF($O30&lt;=INDEX(PARAMETROS_CULTURAS!$F$6:$F$28,$P30)+INDEX(PARAMETROS_CULTURAS!$G$6:$G$28,$P30)+INDEX(PARAMETROS_CULTURAS!$H$6:$H$28,$P30),"MEDIA","FINAL"))))</f>
        <v>INICIAL</v>
      </c>
      <c r="R30" s="24" t="n">
        <f aca="false">IF($P30=0,0,IF($O30&lt;=INDEX(PARAMETROS_CULTURAS!$F$6:$F$28,$P30),INDEX(PARAMETROS_CULTURAS!$K$6:$K$28,$P30),IF($O30&lt;=INDEX(PARAMETROS_CULTURAS!$F$6:$F$28,$P30)+INDEX(PARAMETROS_CULTURAS!$G$6:$G$28,$P30),INDEX(PARAMETROS_CULTURAS!$K$6:$K$28,$P30)+(INDEX(PARAMETROS_CULTURAS!$L$6:$L$28,$P30)-INDEX(PARAMETROS_CULTURAS!$K$6:$K$28,$P30))*($O30-INDEX(PARAMETROS_CULTURAS!$F$6:$F$28,$P30))/MAX(INDEX(PARAMETROS_CULTURAS!$G$6:$G$28,$P30),0.0001),IF($O30&lt;=INDEX(PARAMETROS_CULTURAS!$F$6:$F$28,$P30)+INDEX(PARAMETROS_CULTURAS!$G$6:$G$28,$P30)+INDEX(PARAMETROS_CULTURAS!$H$6:$H$28,$P30),INDEX(PARAMETROS_CULTURAS!$L$6:$L$28,$P30),INDEX(PARAMETROS_CULTURAS!$L$6:$L$28,$P30)+(INDEX(PARAMETROS_CULTURAS!$M$6:$M$28,$P30)-INDEX(PARAMETROS_CULTURAS!$L$6:$L$28,$P30))*($O30-INDEX(PARAMETROS_CULTURAS!$F$6:$F$28,$P30)-INDEX(PARAMETROS_CULTURAS!$G$6:$G$28,$P30)-INDEX(PARAMETROS_CULTURAS!$H$6:$H$28,$P30))/MAX(INDEX(PARAMETROS_CULTURAS!$I$6:$I$28,$P30),0.0001)))))</f>
        <v>0.35</v>
      </c>
      <c r="S30" s="18" t="n">
        <f aca="false">IFERROR(INDEX(SEMANAS!$H$6:$H$71,MATCH($B30,SEMANAS!$B$6:$B$71,0)),0)</f>
        <v>32.9</v>
      </c>
      <c r="T30" s="18" t="n">
        <f aca="false">$R30*$S30</f>
        <v>11.515</v>
      </c>
      <c r="U30" s="18" t="n">
        <f aca="false">IFERROR(INDEX(SEMANAS!$I$6:$I$71,MATCH($B30,SEMANAS!$B$6:$B$71,0)),0)</f>
        <v>39.97</v>
      </c>
      <c r="V30" s="18" t="n">
        <f aca="false">IFERROR(INDEX(SEMANAS!$J$6:$J$71,MATCH($B30,SEMANAS!$B$6:$B$71,0)),0)</f>
        <v>31.976</v>
      </c>
      <c r="W30" s="18" t="n">
        <f aca="false">MAX(0,$T30-$V30)</f>
        <v>0</v>
      </c>
      <c r="X30" s="19" t="n">
        <f aca="false">IFERROR(INDEX(CADASTRO_PIVOS!$K$6:$K$41,MATCH($E30,CADASTRO_PIVOS!$B$6:$B$41,0)),EFICIENCIA_PADRAO)</f>
        <v>0.85</v>
      </c>
      <c r="Y30" s="18" t="n">
        <f aca="false">IF($X30&lt;=0,0,$W30/$X30)</f>
        <v>0</v>
      </c>
      <c r="Z30" s="16" t="n">
        <f aca="false">$Y30*$H30*MM_PARA_M3_HA</f>
        <v>0</v>
      </c>
      <c r="AA30" s="18" t="n">
        <f aca="false">IFERROR(INDEX(CADASTRO_PIVOS!$I$6:$I$41,MATCH($E30,CADASTRO_PIVOS!$B$6:$B$41,0)),0)</f>
        <v>702.214285714286</v>
      </c>
      <c r="AB30" s="18" t="n">
        <f aca="false">IF($Z30&lt;=0,0,$Z30/$AA30)</f>
        <v>0</v>
      </c>
      <c r="AC30" s="16" t="n">
        <f aca="false">IFERROR(INDEX(SEMANAS!$K$6:$K$71,MATCH($B30,SEMANAS!$B$6:$B$71,0)),0)</f>
        <v>147</v>
      </c>
      <c r="AD30" s="19" t="n">
        <f aca="false">IF($AC30&lt;=0,0,$AB30/$AC30)</f>
        <v>0</v>
      </c>
      <c r="AE30" s="8" t="str">
        <f aca="false">IF($K30="SEM CULTURA","SEM CULTURA",IF($AA30&lt;=0,"DADO PENDENTE",IF($AD30&gt;LIMITE_CRITICO,"INVIAVEL",IF($AD30&gt;LIMITE_ATENCAO,"CRITICO",IF($AD30&gt;LIMITE_CONFORTAVEL,"ATENCAO","OK")))))</f>
        <v>OK</v>
      </c>
      <c r="AF30" s="8" t="str">
        <f aca="false">$B30&amp;"|"&amp;TEXT($AD30,"0.000000")</f>
        <v>25|0.000000</v>
      </c>
      <c r="AG30" s="18" t="n">
        <f aca="false">IF($K30="SEM CULTURA",0,$T30*$H30)</f>
        <v>1132.03965</v>
      </c>
      <c r="AH30" s="18" t="n">
        <f aca="false">IF($K30="SEM CULTURA",0,$V30*$H30)</f>
        <v>3143.56056</v>
      </c>
      <c r="AI30" s="18" t="n">
        <f aca="false">IF($K30="SEM CULTURA",0,$W30*$H30)</f>
        <v>0</v>
      </c>
      <c r="AJ30" s="18" t="n">
        <f aca="false">IF($K30="SEM CULTURA",0,$S30*$H30)</f>
        <v>3234.399</v>
      </c>
      <c r="AK30" s="8" t="str">
        <f aca="false">$E30&amp;"|"&amp;TEXT($AD30,"0.000000")</f>
        <v>PV 109|0.000000</v>
      </c>
    </row>
    <row r="31" customFormat="false" ht="15" hidden="false" customHeight="false" outlineLevel="0" collapsed="false">
      <c r="B31" s="16" t="n">
        <v>26</v>
      </c>
      <c r="C31" s="17" t="n">
        <f aca="false">DATA_INICIO_SAFRA+($B31-1)*DIAS_POR_SEMANA</f>
        <v>46440</v>
      </c>
      <c r="D31" s="17" t="n">
        <f aca="false">$C31+DIAS_POR_SEMANA-1</f>
        <v>46446</v>
      </c>
      <c r="E31" s="15" t="s">
        <v>259</v>
      </c>
      <c r="F31" s="8" t="str">
        <f aca="false">IFERROR(INDEX(CADASTRO_PIVOS!$C$6:$C$41,MATCH($E31,CADASTRO_PIVOS!$B$6:$B$41,0)),"?")</f>
        <v>RM01</v>
      </c>
      <c r="G31" s="8" t="str">
        <f aca="false">IFERROR(INDEX(CADASTRO_PIVOS!$D$6:$D$41,MATCH($E31,CADASTRO_PIVOS!$B$6:$B$41,0)),"?")</f>
        <v>TR01</v>
      </c>
      <c r="H31" s="20" t="n">
        <f aca="false">IFERROR(INDEX(CADASTRO_PIVOS!$E$6:$E$41,MATCH($E31,CADASTRO_PIVOS!$B$6:$B$41,0)),0)</f>
        <v>98.31</v>
      </c>
      <c r="I31" s="16" t="n">
        <f aca="false">IFERROR(SUMIFS(ROTACAO_RDM!$B$6:$B$71,ROTACAO_RDM!$D$6:$D$71,$E31,ROTACAO_RDM!$I$6:$I$71,"&lt;="&amp;$C31+INT(DIAS_POR_SEMANA/2),ROTACAO_RDM!$J$6:$J$71,"&gt;="&amp;$C31+INT(DIAS_POR_SEMANA/2)),0)</f>
        <v>16</v>
      </c>
      <c r="J31" s="16" t="n">
        <f aca="false">IFERROR(MATCH($I31,ROTACAO_RDM!$B$6:$B$71,0),0)</f>
        <v>16</v>
      </c>
      <c r="K31" s="8" t="str">
        <f aca="false">IF($J31=0,"SEM CULTURA",INDEX(ROTACAO_RDM!$F$6:$F$71,$J31))</f>
        <v>ALGODAO</v>
      </c>
      <c r="L31" s="8" t="str">
        <f aca="false">IF($J31=0,"",INDEX(ROTACAO_RDM!$G$6:$G$71,$J31))</f>
        <v>FM 933 STP</v>
      </c>
      <c r="M31" s="17" t="n">
        <f aca="false">IF($J31=0,"",INDEX(ROTACAO_RDM!$I$6:$I$71,$J31))</f>
        <v>46422</v>
      </c>
      <c r="N31" s="16" t="n">
        <f aca="false">IF($J31=0,0,MAX(0,$C31+INT(DIAS_POR_SEMANA/2)-INDEX(ROTACAO_RDM!$I$6:$I$71,$J31)))</f>
        <v>21</v>
      </c>
      <c r="O31" s="19" t="n">
        <f aca="false">IF($J31=0,0,MIN(1,$N31/MAX(1,INDEX(ROTACAO_RDM!$K$6:$K$71,$J31))))</f>
        <v>0.107692307692308</v>
      </c>
      <c r="P31" s="16" t="n">
        <f aca="false">IF($J31=0,0,IFERROR(MATCH(INDEX(ROTACAO_RDM!$N$6:$N$71,$J31),PARAMETROS_CULTURAS!$B$6:$B$28,0),0))</f>
        <v>5</v>
      </c>
      <c r="Q31" s="8" t="str">
        <f aca="false">IF($P31=0,"-",IF($O31&lt;=INDEX(PARAMETROS_CULTURAS!$F$6:$F$28,$P31),"INICIAL",IF($O31&lt;=INDEX(PARAMETROS_CULTURAS!$F$6:$F$28,$P31)+INDEX(PARAMETROS_CULTURAS!$G$6:$G$28,$P31),"DESENVOLVIMENTO",IF($O31&lt;=INDEX(PARAMETROS_CULTURAS!$F$6:$F$28,$P31)+INDEX(PARAMETROS_CULTURAS!$G$6:$G$28,$P31)+INDEX(PARAMETROS_CULTURAS!$H$6:$H$28,$P31),"MEDIA","FINAL"))))</f>
        <v>INICIAL</v>
      </c>
      <c r="R31" s="24" t="n">
        <f aca="false">IF($P31=0,0,IF($O31&lt;=INDEX(PARAMETROS_CULTURAS!$F$6:$F$28,$P31),INDEX(PARAMETROS_CULTURAS!$K$6:$K$28,$P31),IF($O31&lt;=INDEX(PARAMETROS_CULTURAS!$F$6:$F$28,$P31)+INDEX(PARAMETROS_CULTURAS!$G$6:$G$28,$P31),INDEX(PARAMETROS_CULTURAS!$K$6:$K$28,$P31)+(INDEX(PARAMETROS_CULTURAS!$L$6:$L$28,$P31)-INDEX(PARAMETROS_CULTURAS!$K$6:$K$28,$P31))*($O31-INDEX(PARAMETROS_CULTURAS!$F$6:$F$28,$P31))/MAX(INDEX(PARAMETROS_CULTURAS!$G$6:$G$28,$P31),0.0001),IF($O31&lt;=INDEX(PARAMETROS_CULTURAS!$F$6:$F$28,$P31)+INDEX(PARAMETROS_CULTURAS!$G$6:$G$28,$P31)+INDEX(PARAMETROS_CULTURAS!$H$6:$H$28,$P31),INDEX(PARAMETROS_CULTURAS!$L$6:$L$28,$P31),INDEX(PARAMETROS_CULTURAS!$L$6:$L$28,$P31)+(INDEX(PARAMETROS_CULTURAS!$M$6:$M$28,$P31)-INDEX(PARAMETROS_CULTURAS!$L$6:$L$28,$P31))*($O31-INDEX(PARAMETROS_CULTURAS!$F$6:$F$28,$P31)-INDEX(PARAMETROS_CULTURAS!$G$6:$G$28,$P31)-INDEX(PARAMETROS_CULTURAS!$H$6:$H$28,$P31))/MAX(INDEX(PARAMETROS_CULTURAS!$I$6:$I$28,$P31),0.0001)))))</f>
        <v>0.35</v>
      </c>
      <c r="S31" s="18" t="n">
        <f aca="false">IFERROR(INDEX(SEMANAS!$H$6:$H$71,MATCH($B31,SEMANAS!$B$6:$B$71,0)),0)</f>
        <v>32.9</v>
      </c>
      <c r="T31" s="18" t="n">
        <f aca="false">$R31*$S31</f>
        <v>11.515</v>
      </c>
      <c r="U31" s="18" t="n">
        <f aca="false">IFERROR(INDEX(SEMANAS!$I$6:$I$71,MATCH($B31,SEMANAS!$B$6:$B$71,0)),0)</f>
        <v>39.97</v>
      </c>
      <c r="V31" s="18" t="n">
        <f aca="false">IFERROR(INDEX(SEMANAS!$J$6:$J$71,MATCH($B31,SEMANAS!$B$6:$B$71,0)),0)</f>
        <v>31.976</v>
      </c>
      <c r="W31" s="18" t="n">
        <f aca="false">MAX(0,$T31-$V31)</f>
        <v>0</v>
      </c>
      <c r="X31" s="19" t="n">
        <f aca="false">IFERROR(INDEX(CADASTRO_PIVOS!$K$6:$K$41,MATCH($E31,CADASTRO_PIVOS!$B$6:$B$41,0)),EFICIENCIA_PADRAO)</f>
        <v>0.85</v>
      </c>
      <c r="Y31" s="18" t="n">
        <f aca="false">IF($X31&lt;=0,0,$W31/$X31)</f>
        <v>0</v>
      </c>
      <c r="Z31" s="16" t="n">
        <f aca="false">$Y31*$H31*MM_PARA_M3_HA</f>
        <v>0</v>
      </c>
      <c r="AA31" s="18" t="n">
        <f aca="false">IFERROR(INDEX(CADASTRO_PIVOS!$I$6:$I$41,MATCH($E31,CADASTRO_PIVOS!$B$6:$B$41,0)),0)</f>
        <v>702.214285714286</v>
      </c>
      <c r="AB31" s="18" t="n">
        <f aca="false">IF($Z31&lt;=0,0,$Z31/$AA31)</f>
        <v>0</v>
      </c>
      <c r="AC31" s="16" t="n">
        <f aca="false">IFERROR(INDEX(SEMANAS!$K$6:$K$71,MATCH($B31,SEMANAS!$B$6:$B$71,0)),0)</f>
        <v>147</v>
      </c>
      <c r="AD31" s="19" t="n">
        <f aca="false">IF($AC31&lt;=0,0,$AB31/$AC31)</f>
        <v>0</v>
      </c>
      <c r="AE31" s="8" t="str">
        <f aca="false">IF($K31="SEM CULTURA","SEM CULTURA",IF($AA31&lt;=0,"DADO PENDENTE",IF($AD31&gt;LIMITE_CRITICO,"INVIAVEL",IF($AD31&gt;LIMITE_ATENCAO,"CRITICO",IF($AD31&gt;LIMITE_CONFORTAVEL,"ATENCAO","OK")))))</f>
        <v>OK</v>
      </c>
      <c r="AF31" s="8" t="str">
        <f aca="false">$B31&amp;"|"&amp;TEXT($AD31,"0.000000")</f>
        <v>26|0.000000</v>
      </c>
      <c r="AG31" s="18" t="n">
        <f aca="false">IF($K31="SEM CULTURA",0,$T31*$H31)</f>
        <v>1132.03965</v>
      </c>
      <c r="AH31" s="18" t="n">
        <f aca="false">IF($K31="SEM CULTURA",0,$V31*$H31)</f>
        <v>3143.56056</v>
      </c>
      <c r="AI31" s="18" t="n">
        <f aca="false">IF($K31="SEM CULTURA",0,$W31*$H31)</f>
        <v>0</v>
      </c>
      <c r="AJ31" s="18" t="n">
        <f aca="false">IF($K31="SEM CULTURA",0,$S31*$H31)</f>
        <v>3234.399</v>
      </c>
      <c r="AK31" s="8" t="str">
        <f aca="false">$E31&amp;"|"&amp;TEXT($AD31,"0.000000")</f>
        <v>PV 109|0.000000</v>
      </c>
    </row>
    <row r="32" customFormat="false" ht="15" hidden="false" customHeight="false" outlineLevel="0" collapsed="false">
      <c r="B32" s="16" t="n">
        <v>27</v>
      </c>
      <c r="C32" s="17" t="n">
        <f aca="false">DATA_INICIO_SAFRA+($B32-1)*DIAS_POR_SEMANA</f>
        <v>46447</v>
      </c>
      <c r="D32" s="17" t="n">
        <f aca="false">$C32+DIAS_POR_SEMANA-1</f>
        <v>46453</v>
      </c>
      <c r="E32" s="15" t="s">
        <v>259</v>
      </c>
      <c r="F32" s="8" t="str">
        <f aca="false">IFERROR(INDEX(CADASTRO_PIVOS!$C$6:$C$41,MATCH($E32,CADASTRO_PIVOS!$B$6:$B$41,0)),"?")</f>
        <v>RM01</v>
      </c>
      <c r="G32" s="8" t="str">
        <f aca="false">IFERROR(INDEX(CADASTRO_PIVOS!$D$6:$D$41,MATCH($E32,CADASTRO_PIVOS!$B$6:$B$41,0)),"?")</f>
        <v>TR01</v>
      </c>
      <c r="H32" s="20" t="n">
        <f aca="false">IFERROR(INDEX(CADASTRO_PIVOS!$E$6:$E$41,MATCH($E32,CADASTRO_PIVOS!$B$6:$B$41,0)),0)</f>
        <v>98.31</v>
      </c>
      <c r="I32" s="16" t="n">
        <f aca="false">IFERROR(SUMIFS(ROTACAO_RDM!$B$6:$B$71,ROTACAO_RDM!$D$6:$D$71,$E32,ROTACAO_RDM!$I$6:$I$71,"&lt;="&amp;$C32+INT(DIAS_POR_SEMANA/2),ROTACAO_RDM!$J$6:$J$71,"&gt;="&amp;$C32+INT(DIAS_POR_SEMANA/2)),0)</f>
        <v>16</v>
      </c>
      <c r="J32" s="16" t="n">
        <f aca="false">IFERROR(MATCH($I32,ROTACAO_RDM!$B$6:$B$71,0),0)</f>
        <v>16</v>
      </c>
      <c r="K32" s="8" t="str">
        <f aca="false">IF($J32=0,"SEM CULTURA",INDEX(ROTACAO_RDM!$F$6:$F$71,$J32))</f>
        <v>ALGODAO</v>
      </c>
      <c r="L32" s="8" t="str">
        <f aca="false">IF($J32=0,"",INDEX(ROTACAO_RDM!$G$6:$G$71,$J32))</f>
        <v>FM 933 STP</v>
      </c>
      <c r="M32" s="17" t="n">
        <f aca="false">IF($J32=0,"",INDEX(ROTACAO_RDM!$I$6:$I$71,$J32))</f>
        <v>46422</v>
      </c>
      <c r="N32" s="16" t="n">
        <f aca="false">IF($J32=0,0,MAX(0,$C32+INT(DIAS_POR_SEMANA/2)-INDEX(ROTACAO_RDM!$I$6:$I$71,$J32)))</f>
        <v>28</v>
      </c>
      <c r="O32" s="19" t="n">
        <f aca="false">IF($J32=0,0,MIN(1,$N32/MAX(1,INDEX(ROTACAO_RDM!$K$6:$K$71,$J32))))</f>
        <v>0.143589743589744</v>
      </c>
      <c r="P32" s="16" t="n">
        <f aca="false">IF($J32=0,0,IFERROR(MATCH(INDEX(ROTACAO_RDM!$N$6:$N$71,$J32),PARAMETROS_CULTURAS!$B$6:$B$28,0),0))</f>
        <v>5</v>
      </c>
      <c r="Q32" s="8" t="str">
        <f aca="false">IF($P32=0,"-",IF($O32&lt;=INDEX(PARAMETROS_CULTURAS!$F$6:$F$28,$P32),"INICIAL",IF($O32&lt;=INDEX(PARAMETROS_CULTURAS!$F$6:$F$28,$P32)+INDEX(PARAMETROS_CULTURAS!$G$6:$G$28,$P32),"DESENVOLVIMENTO",IF($O32&lt;=INDEX(PARAMETROS_CULTURAS!$F$6:$F$28,$P32)+INDEX(PARAMETROS_CULTURAS!$G$6:$G$28,$P32)+INDEX(PARAMETROS_CULTURAS!$H$6:$H$28,$P32),"MEDIA","FINAL"))))</f>
        <v>INICIAL</v>
      </c>
      <c r="R32" s="24" t="n">
        <f aca="false">IF($P32=0,0,IF($O32&lt;=INDEX(PARAMETROS_CULTURAS!$F$6:$F$28,$P32),INDEX(PARAMETROS_CULTURAS!$K$6:$K$28,$P32),IF($O32&lt;=INDEX(PARAMETROS_CULTURAS!$F$6:$F$28,$P32)+INDEX(PARAMETROS_CULTURAS!$G$6:$G$28,$P32),INDEX(PARAMETROS_CULTURAS!$K$6:$K$28,$P32)+(INDEX(PARAMETROS_CULTURAS!$L$6:$L$28,$P32)-INDEX(PARAMETROS_CULTURAS!$K$6:$K$28,$P32))*($O32-INDEX(PARAMETROS_CULTURAS!$F$6:$F$28,$P32))/MAX(INDEX(PARAMETROS_CULTURAS!$G$6:$G$28,$P32),0.0001),IF($O32&lt;=INDEX(PARAMETROS_CULTURAS!$F$6:$F$28,$P32)+INDEX(PARAMETROS_CULTURAS!$G$6:$G$28,$P32)+INDEX(PARAMETROS_CULTURAS!$H$6:$H$28,$P32),INDEX(PARAMETROS_CULTURAS!$L$6:$L$28,$P32),INDEX(PARAMETROS_CULTURAS!$L$6:$L$28,$P32)+(INDEX(PARAMETROS_CULTURAS!$M$6:$M$28,$P32)-INDEX(PARAMETROS_CULTURAS!$L$6:$L$28,$P32))*($O32-INDEX(PARAMETROS_CULTURAS!$F$6:$F$28,$P32)-INDEX(PARAMETROS_CULTURAS!$G$6:$G$28,$P32)-INDEX(PARAMETROS_CULTURAS!$H$6:$H$28,$P32))/MAX(INDEX(PARAMETROS_CULTURAS!$I$6:$I$28,$P32),0.0001)))))</f>
        <v>0.35</v>
      </c>
      <c r="S32" s="18" t="n">
        <f aca="false">IFERROR(INDEX(SEMANAS!$H$6:$H$71,MATCH($B32,SEMANAS!$B$6:$B$71,0)),0)</f>
        <v>32.2</v>
      </c>
      <c r="T32" s="18" t="n">
        <f aca="false">$R32*$S32</f>
        <v>11.27</v>
      </c>
      <c r="U32" s="18" t="n">
        <f aca="false">IFERROR(INDEX(SEMANAS!$I$6:$I$71,MATCH($B32,SEMANAS!$B$6:$B$71,0)),0)</f>
        <v>37.24</v>
      </c>
      <c r="V32" s="18" t="n">
        <f aca="false">IFERROR(INDEX(SEMANAS!$J$6:$J$71,MATCH($B32,SEMANAS!$B$6:$B$71,0)),0)</f>
        <v>29.792</v>
      </c>
      <c r="W32" s="18" t="n">
        <f aca="false">MAX(0,$T32-$V32)</f>
        <v>0</v>
      </c>
      <c r="X32" s="19" t="n">
        <f aca="false">IFERROR(INDEX(CADASTRO_PIVOS!$K$6:$K$41,MATCH($E32,CADASTRO_PIVOS!$B$6:$B$41,0)),EFICIENCIA_PADRAO)</f>
        <v>0.85</v>
      </c>
      <c r="Y32" s="18" t="n">
        <f aca="false">IF($X32&lt;=0,0,$W32/$X32)</f>
        <v>0</v>
      </c>
      <c r="Z32" s="16" t="n">
        <f aca="false">$Y32*$H32*MM_PARA_M3_HA</f>
        <v>0</v>
      </c>
      <c r="AA32" s="18" t="n">
        <f aca="false">IFERROR(INDEX(CADASTRO_PIVOS!$I$6:$I$41,MATCH($E32,CADASTRO_PIVOS!$B$6:$B$41,0)),0)</f>
        <v>702.214285714286</v>
      </c>
      <c r="AB32" s="18" t="n">
        <f aca="false">IF($Z32&lt;=0,0,$Z32/$AA32)</f>
        <v>0</v>
      </c>
      <c r="AC32" s="16" t="n">
        <f aca="false">IFERROR(INDEX(SEMANAS!$K$6:$K$71,MATCH($B32,SEMANAS!$B$6:$B$71,0)),0)</f>
        <v>147</v>
      </c>
      <c r="AD32" s="19" t="n">
        <f aca="false">IF($AC32&lt;=0,0,$AB32/$AC32)</f>
        <v>0</v>
      </c>
      <c r="AE32" s="8" t="str">
        <f aca="false">IF($K32="SEM CULTURA","SEM CULTURA",IF($AA32&lt;=0,"DADO PENDENTE",IF($AD32&gt;LIMITE_CRITICO,"INVIAVEL",IF($AD32&gt;LIMITE_ATENCAO,"CRITICO",IF($AD32&gt;LIMITE_CONFORTAVEL,"ATENCAO","OK")))))</f>
        <v>OK</v>
      </c>
      <c r="AF32" s="8" t="str">
        <f aca="false">$B32&amp;"|"&amp;TEXT($AD32,"0.000000")</f>
        <v>27|0.000000</v>
      </c>
      <c r="AG32" s="18" t="n">
        <f aca="false">IF($K32="SEM CULTURA",0,$T32*$H32)</f>
        <v>1107.9537</v>
      </c>
      <c r="AH32" s="18" t="n">
        <f aca="false">IF($K32="SEM CULTURA",0,$V32*$H32)</f>
        <v>2928.85152</v>
      </c>
      <c r="AI32" s="18" t="n">
        <f aca="false">IF($K32="SEM CULTURA",0,$W32*$H32)</f>
        <v>0</v>
      </c>
      <c r="AJ32" s="18" t="n">
        <f aca="false">IF($K32="SEM CULTURA",0,$S32*$H32)</f>
        <v>3165.582</v>
      </c>
      <c r="AK32" s="8" t="str">
        <f aca="false">$E32&amp;"|"&amp;TEXT($AD32,"0.000000")</f>
        <v>PV 109|0.000000</v>
      </c>
    </row>
    <row r="33" customFormat="false" ht="15" hidden="false" customHeight="false" outlineLevel="0" collapsed="false">
      <c r="B33" s="16" t="n">
        <v>28</v>
      </c>
      <c r="C33" s="17" t="n">
        <f aca="false">DATA_INICIO_SAFRA+($B33-1)*DIAS_POR_SEMANA</f>
        <v>46454</v>
      </c>
      <c r="D33" s="17" t="n">
        <f aca="false">$C33+DIAS_POR_SEMANA-1</f>
        <v>46460</v>
      </c>
      <c r="E33" s="15" t="s">
        <v>259</v>
      </c>
      <c r="F33" s="8" t="str">
        <f aca="false">IFERROR(INDEX(CADASTRO_PIVOS!$C$6:$C$41,MATCH($E33,CADASTRO_PIVOS!$B$6:$B$41,0)),"?")</f>
        <v>RM01</v>
      </c>
      <c r="G33" s="8" t="str">
        <f aca="false">IFERROR(INDEX(CADASTRO_PIVOS!$D$6:$D$41,MATCH($E33,CADASTRO_PIVOS!$B$6:$B$41,0)),"?")</f>
        <v>TR01</v>
      </c>
      <c r="H33" s="20" t="n">
        <f aca="false">IFERROR(INDEX(CADASTRO_PIVOS!$E$6:$E$41,MATCH($E33,CADASTRO_PIVOS!$B$6:$B$41,0)),0)</f>
        <v>98.31</v>
      </c>
      <c r="I33" s="16" t="n">
        <f aca="false">IFERROR(SUMIFS(ROTACAO_RDM!$B$6:$B$71,ROTACAO_RDM!$D$6:$D$71,$E33,ROTACAO_RDM!$I$6:$I$71,"&lt;="&amp;$C33+INT(DIAS_POR_SEMANA/2),ROTACAO_RDM!$J$6:$J$71,"&gt;="&amp;$C33+INT(DIAS_POR_SEMANA/2)),0)</f>
        <v>16</v>
      </c>
      <c r="J33" s="16" t="n">
        <f aca="false">IFERROR(MATCH($I33,ROTACAO_RDM!$B$6:$B$71,0),0)</f>
        <v>16</v>
      </c>
      <c r="K33" s="8" t="str">
        <f aca="false">IF($J33=0,"SEM CULTURA",INDEX(ROTACAO_RDM!$F$6:$F$71,$J33))</f>
        <v>ALGODAO</v>
      </c>
      <c r="L33" s="8" t="str">
        <f aca="false">IF($J33=0,"",INDEX(ROTACAO_RDM!$G$6:$G$71,$J33))</f>
        <v>FM 933 STP</v>
      </c>
      <c r="M33" s="17" t="n">
        <f aca="false">IF($J33=0,"",INDEX(ROTACAO_RDM!$I$6:$I$71,$J33))</f>
        <v>46422</v>
      </c>
      <c r="N33" s="16" t="n">
        <f aca="false">IF($J33=0,0,MAX(0,$C33+INT(DIAS_POR_SEMANA/2)-INDEX(ROTACAO_RDM!$I$6:$I$71,$J33)))</f>
        <v>35</v>
      </c>
      <c r="O33" s="19" t="n">
        <f aca="false">IF($J33=0,0,MIN(1,$N33/MAX(1,INDEX(ROTACAO_RDM!$K$6:$K$71,$J33))))</f>
        <v>0.17948717948718</v>
      </c>
      <c r="P33" s="16" t="n">
        <f aca="false">IF($J33=0,0,IFERROR(MATCH(INDEX(ROTACAO_RDM!$N$6:$N$71,$J33),PARAMETROS_CULTURAS!$B$6:$B$28,0),0))</f>
        <v>5</v>
      </c>
      <c r="Q33" s="8" t="str">
        <f aca="false">IF($P33=0,"-",IF($O33&lt;=INDEX(PARAMETROS_CULTURAS!$F$6:$F$28,$P33),"INICIAL",IF($O33&lt;=INDEX(PARAMETROS_CULTURAS!$F$6:$F$28,$P33)+INDEX(PARAMETROS_CULTURAS!$G$6:$G$28,$P33),"DESENVOLVIMENTO",IF($O33&lt;=INDEX(PARAMETROS_CULTURAS!$F$6:$F$28,$P33)+INDEX(PARAMETROS_CULTURAS!$G$6:$G$28,$P33)+INDEX(PARAMETROS_CULTURAS!$H$6:$H$28,$P33),"MEDIA","FINAL"))))</f>
        <v>DESENVOLVIMENTO</v>
      </c>
      <c r="R33" s="24" t="n">
        <f aca="false">IF($P33=0,0,IF($O33&lt;=INDEX(PARAMETROS_CULTURAS!$F$6:$F$28,$P33),INDEX(PARAMETROS_CULTURAS!$K$6:$K$28,$P33),IF($O33&lt;=INDEX(PARAMETROS_CULTURAS!$F$6:$F$28,$P33)+INDEX(PARAMETROS_CULTURAS!$G$6:$G$28,$P33),INDEX(PARAMETROS_CULTURAS!$K$6:$K$28,$P33)+(INDEX(PARAMETROS_CULTURAS!$L$6:$L$28,$P33)-INDEX(PARAMETROS_CULTURAS!$K$6:$K$28,$P33))*($O33-INDEX(PARAMETROS_CULTURAS!$F$6:$F$28,$P33))/MAX(INDEX(PARAMETROS_CULTURAS!$G$6:$G$28,$P33),0.0001),IF($O33&lt;=INDEX(PARAMETROS_CULTURAS!$F$6:$F$28,$P33)+INDEX(PARAMETROS_CULTURAS!$G$6:$G$28,$P33)+INDEX(PARAMETROS_CULTURAS!$H$6:$H$28,$P33),INDEX(PARAMETROS_CULTURAS!$L$6:$L$28,$P33),INDEX(PARAMETROS_CULTURAS!$L$6:$L$28,$P33)+(INDEX(PARAMETROS_CULTURAS!$M$6:$M$28,$P33)-INDEX(PARAMETROS_CULTURAS!$L$6:$L$28,$P33))*($O33-INDEX(PARAMETROS_CULTURAS!$F$6:$F$28,$P33)-INDEX(PARAMETROS_CULTURAS!$G$6:$G$28,$P33)-INDEX(PARAMETROS_CULTURAS!$H$6:$H$28,$P33))/MAX(INDEX(PARAMETROS_CULTURAS!$I$6:$I$28,$P33),0.0001)))))</f>
        <v>0.440729783037475</v>
      </c>
      <c r="S33" s="18" t="n">
        <f aca="false">IFERROR(INDEX(SEMANAS!$H$6:$H$71,MATCH($B33,SEMANAS!$B$6:$B$71,0)),0)</f>
        <v>32.2</v>
      </c>
      <c r="T33" s="18" t="n">
        <f aca="false">$R33*$S33</f>
        <v>14.1914990138067</v>
      </c>
      <c r="U33" s="18" t="n">
        <f aca="false">IFERROR(INDEX(SEMANAS!$I$6:$I$71,MATCH($B33,SEMANAS!$B$6:$B$71,0)),0)</f>
        <v>37.24</v>
      </c>
      <c r="V33" s="18" t="n">
        <f aca="false">IFERROR(INDEX(SEMANAS!$J$6:$J$71,MATCH($B33,SEMANAS!$B$6:$B$71,0)),0)</f>
        <v>29.792</v>
      </c>
      <c r="W33" s="18" t="n">
        <f aca="false">MAX(0,$T33-$V33)</f>
        <v>0</v>
      </c>
      <c r="X33" s="19" t="n">
        <f aca="false">IFERROR(INDEX(CADASTRO_PIVOS!$K$6:$K$41,MATCH($E33,CADASTRO_PIVOS!$B$6:$B$41,0)),EFICIENCIA_PADRAO)</f>
        <v>0.85</v>
      </c>
      <c r="Y33" s="18" t="n">
        <f aca="false">IF($X33&lt;=0,0,$W33/$X33)</f>
        <v>0</v>
      </c>
      <c r="Z33" s="16" t="n">
        <f aca="false">$Y33*$H33*MM_PARA_M3_HA</f>
        <v>0</v>
      </c>
      <c r="AA33" s="18" t="n">
        <f aca="false">IFERROR(INDEX(CADASTRO_PIVOS!$I$6:$I$41,MATCH($E33,CADASTRO_PIVOS!$B$6:$B$41,0)),0)</f>
        <v>702.214285714286</v>
      </c>
      <c r="AB33" s="18" t="n">
        <f aca="false">IF($Z33&lt;=0,0,$Z33/$AA33)</f>
        <v>0</v>
      </c>
      <c r="AC33" s="16" t="n">
        <f aca="false">IFERROR(INDEX(SEMANAS!$K$6:$K$71,MATCH($B33,SEMANAS!$B$6:$B$71,0)),0)</f>
        <v>147</v>
      </c>
      <c r="AD33" s="19" t="n">
        <f aca="false">IF($AC33&lt;=0,0,$AB33/$AC33)</f>
        <v>0</v>
      </c>
      <c r="AE33" s="8" t="str">
        <f aca="false">IF($K33="SEM CULTURA","SEM CULTURA",IF($AA33&lt;=0,"DADO PENDENTE",IF($AD33&gt;LIMITE_CRITICO,"INVIAVEL",IF($AD33&gt;LIMITE_ATENCAO,"CRITICO",IF($AD33&gt;LIMITE_CONFORTAVEL,"ATENCAO","OK")))))</f>
        <v>OK</v>
      </c>
      <c r="AF33" s="8" t="str">
        <f aca="false">$B33&amp;"|"&amp;TEXT($AD33,"0.000000")</f>
        <v>28|0.000000</v>
      </c>
      <c r="AG33" s="18" t="n">
        <f aca="false">IF($K33="SEM CULTURA",0,$T33*$H33)</f>
        <v>1395.16626804734</v>
      </c>
      <c r="AH33" s="18" t="n">
        <f aca="false">IF($K33="SEM CULTURA",0,$V33*$H33)</f>
        <v>2928.85152</v>
      </c>
      <c r="AI33" s="18" t="n">
        <f aca="false">IF($K33="SEM CULTURA",0,$W33*$H33)</f>
        <v>0</v>
      </c>
      <c r="AJ33" s="18" t="n">
        <f aca="false">IF($K33="SEM CULTURA",0,$S33*$H33)</f>
        <v>3165.582</v>
      </c>
      <c r="AK33" s="8" t="str">
        <f aca="false">$E33&amp;"|"&amp;TEXT($AD33,"0.000000")</f>
        <v>PV 109|0.000000</v>
      </c>
    </row>
    <row r="34" customFormat="false" ht="15" hidden="false" customHeight="false" outlineLevel="0" collapsed="false">
      <c r="B34" s="16" t="n">
        <v>29</v>
      </c>
      <c r="C34" s="17" t="n">
        <f aca="false">DATA_INICIO_SAFRA+($B34-1)*DIAS_POR_SEMANA</f>
        <v>46461</v>
      </c>
      <c r="D34" s="17" t="n">
        <f aca="false">$C34+DIAS_POR_SEMANA-1</f>
        <v>46467</v>
      </c>
      <c r="E34" s="15" t="s">
        <v>259</v>
      </c>
      <c r="F34" s="8" t="str">
        <f aca="false">IFERROR(INDEX(CADASTRO_PIVOS!$C$6:$C$41,MATCH($E34,CADASTRO_PIVOS!$B$6:$B$41,0)),"?")</f>
        <v>RM01</v>
      </c>
      <c r="G34" s="8" t="str">
        <f aca="false">IFERROR(INDEX(CADASTRO_PIVOS!$D$6:$D$41,MATCH($E34,CADASTRO_PIVOS!$B$6:$B$41,0)),"?")</f>
        <v>TR01</v>
      </c>
      <c r="H34" s="20" t="n">
        <f aca="false">IFERROR(INDEX(CADASTRO_PIVOS!$E$6:$E$41,MATCH($E34,CADASTRO_PIVOS!$B$6:$B$41,0)),0)</f>
        <v>98.31</v>
      </c>
      <c r="I34" s="16" t="n">
        <f aca="false">IFERROR(SUMIFS(ROTACAO_RDM!$B$6:$B$71,ROTACAO_RDM!$D$6:$D$71,$E34,ROTACAO_RDM!$I$6:$I$71,"&lt;="&amp;$C34+INT(DIAS_POR_SEMANA/2),ROTACAO_RDM!$J$6:$J$71,"&gt;="&amp;$C34+INT(DIAS_POR_SEMANA/2)),0)</f>
        <v>16</v>
      </c>
      <c r="J34" s="16" t="n">
        <f aca="false">IFERROR(MATCH($I34,ROTACAO_RDM!$B$6:$B$71,0),0)</f>
        <v>16</v>
      </c>
      <c r="K34" s="8" t="str">
        <f aca="false">IF($J34=0,"SEM CULTURA",INDEX(ROTACAO_RDM!$F$6:$F$71,$J34))</f>
        <v>ALGODAO</v>
      </c>
      <c r="L34" s="8" t="str">
        <f aca="false">IF($J34=0,"",INDEX(ROTACAO_RDM!$G$6:$G$71,$J34))</f>
        <v>FM 933 STP</v>
      </c>
      <c r="M34" s="17" t="n">
        <f aca="false">IF($J34=0,"",INDEX(ROTACAO_RDM!$I$6:$I$71,$J34))</f>
        <v>46422</v>
      </c>
      <c r="N34" s="16" t="n">
        <f aca="false">IF($J34=0,0,MAX(0,$C34+INT(DIAS_POR_SEMANA/2)-INDEX(ROTACAO_RDM!$I$6:$I$71,$J34)))</f>
        <v>42</v>
      </c>
      <c r="O34" s="19" t="n">
        <f aca="false">IF($J34=0,0,MIN(1,$N34/MAX(1,INDEX(ROTACAO_RDM!$K$6:$K$71,$J34))))</f>
        <v>0.215384615384615</v>
      </c>
      <c r="P34" s="16" t="n">
        <f aca="false">IF($J34=0,0,IFERROR(MATCH(INDEX(ROTACAO_RDM!$N$6:$N$71,$J34),PARAMETROS_CULTURAS!$B$6:$B$28,0),0))</f>
        <v>5</v>
      </c>
      <c r="Q34" s="8" t="str">
        <f aca="false">IF($P34=0,"-",IF($O34&lt;=INDEX(PARAMETROS_CULTURAS!$F$6:$F$28,$P34),"INICIAL",IF($O34&lt;=INDEX(PARAMETROS_CULTURAS!$F$6:$F$28,$P34)+INDEX(PARAMETROS_CULTURAS!$G$6:$G$28,$P34),"DESENVOLVIMENTO",IF($O34&lt;=INDEX(PARAMETROS_CULTURAS!$F$6:$F$28,$P34)+INDEX(PARAMETROS_CULTURAS!$G$6:$G$28,$P34)+INDEX(PARAMETROS_CULTURAS!$H$6:$H$28,$P34),"MEDIA","FINAL"))))</f>
        <v>DESENVOLVIMENTO</v>
      </c>
      <c r="R34" s="24" t="n">
        <f aca="false">IF($P34=0,0,IF($O34&lt;=INDEX(PARAMETROS_CULTURAS!$F$6:$F$28,$P34),INDEX(PARAMETROS_CULTURAS!$K$6:$K$28,$P34),IF($O34&lt;=INDEX(PARAMETROS_CULTURAS!$F$6:$F$28,$P34)+INDEX(PARAMETROS_CULTURAS!$G$6:$G$28,$P34),INDEX(PARAMETROS_CULTURAS!$K$6:$K$28,$P34)+(INDEX(PARAMETROS_CULTURAS!$L$6:$L$28,$P34)-INDEX(PARAMETROS_CULTURAS!$K$6:$K$28,$P34))*($O34-INDEX(PARAMETROS_CULTURAS!$F$6:$F$28,$P34))/MAX(INDEX(PARAMETROS_CULTURAS!$G$6:$G$28,$P34),0.0001),IF($O34&lt;=INDEX(PARAMETROS_CULTURAS!$F$6:$F$28,$P34)+INDEX(PARAMETROS_CULTURAS!$G$6:$G$28,$P34)+INDEX(PARAMETROS_CULTURAS!$H$6:$H$28,$P34),INDEX(PARAMETROS_CULTURAS!$L$6:$L$28,$P34),INDEX(PARAMETROS_CULTURAS!$L$6:$L$28,$P34)+(INDEX(PARAMETROS_CULTURAS!$M$6:$M$28,$P34)-INDEX(PARAMETROS_CULTURAS!$L$6:$L$28,$P34))*($O34-INDEX(PARAMETROS_CULTURAS!$F$6:$F$28,$P34)-INDEX(PARAMETROS_CULTURAS!$G$6:$G$28,$P34)-INDEX(PARAMETROS_CULTURAS!$H$6:$H$28,$P34))/MAX(INDEX(PARAMETROS_CULTURAS!$I$6:$I$28,$P34),0.0001)))))</f>
        <v>0.551183431952663</v>
      </c>
      <c r="S34" s="18" t="n">
        <f aca="false">IFERROR(INDEX(SEMANAS!$H$6:$H$71,MATCH($B34,SEMANAS!$B$6:$B$71,0)),0)</f>
        <v>32.2</v>
      </c>
      <c r="T34" s="18" t="n">
        <f aca="false">$R34*$S34</f>
        <v>17.7481065088757</v>
      </c>
      <c r="U34" s="18" t="n">
        <f aca="false">IFERROR(INDEX(SEMANAS!$I$6:$I$71,MATCH($B34,SEMANAS!$B$6:$B$71,0)),0)</f>
        <v>37.24</v>
      </c>
      <c r="V34" s="18" t="n">
        <f aca="false">IFERROR(INDEX(SEMANAS!$J$6:$J$71,MATCH($B34,SEMANAS!$B$6:$B$71,0)),0)</f>
        <v>29.792</v>
      </c>
      <c r="W34" s="18" t="n">
        <f aca="false">MAX(0,$T34-$V34)</f>
        <v>0</v>
      </c>
      <c r="X34" s="19" t="n">
        <f aca="false">IFERROR(INDEX(CADASTRO_PIVOS!$K$6:$K$41,MATCH($E34,CADASTRO_PIVOS!$B$6:$B$41,0)),EFICIENCIA_PADRAO)</f>
        <v>0.85</v>
      </c>
      <c r="Y34" s="18" t="n">
        <f aca="false">IF($X34&lt;=0,0,$W34/$X34)</f>
        <v>0</v>
      </c>
      <c r="Z34" s="16" t="n">
        <f aca="false">$Y34*$H34*MM_PARA_M3_HA</f>
        <v>0</v>
      </c>
      <c r="AA34" s="18" t="n">
        <f aca="false">IFERROR(INDEX(CADASTRO_PIVOS!$I$6:$I$41,MATCH($E34,CADASTRO_PIVOS!$B$6:$B$41,0)),0)</f>
        <v>702.214285714286</v>
      </c>
      <c r="AB34" s="18" t="n">
        <f aca="false">IF($Z34&lt;=0,0,$Z34/$AA34)</f>
        <v>0</v>
      </c>
      <c r="AC34" s="16" t="n">
        <f aca="false">IFERROR(INDEX(SEMANAS!$K$6:$K$71,MATCH($B34,SEMANAS!$B$6:$B$71,0)),0)</f>
        <v>147</v>
      </c>
      <c r="AD34" s="19" t="n">
        <f aca="false">IF($AC34&lt;=0,0,$AB34/$AC34)</f>
        <v>0</v>
      </c>
      <c r="AE34" s="8" t="str">
        <f aca="false">IF($K34="SEM CULTURA","SEM CULTURA",IF($AA34&lt;=0,"DADO PENDENTE",IF($AD34&gt;LIMITE_CRITICO,"INVIAVEL",IF($AD34&gt;LIMITE_ATENCAO,"CRITICO",IF($AD34&gt;LIMITE_CONFORTAVEL,"ATENCAO","OK")))))</f>
        <v>OK</v>
      </c>
      <c r="AF34" s="8" t="str">
        <f aca="false">$B34&amp;"|"&amp;TEXT($AD34,"0.000000")</f>
        <v>29|0.000000</v>
      </c>
      <c r="AG34" s="18" t="n">
        <f aca="false">IF($K34="SEM CULTURA",0,$T34*$H34)</f>
        <v>1744.81635088757</v>
      </c>
      <c r="AH34" s="18" t="n">
        <f aca="false">IF($K34="SEM CULTURA",0,$V34*$H34)</f>
        <v>2928.85152</v>
      </c>
      <c r="AI34" s="18" t="n">
        <f aca="false">IF($K34="SEM CULTURA",0,$W34*$H34)</f>
        <v>0</v>
      </c>
      <c r="AJ34" s="18" t="n">
        <f aca="false">IF($K34="SEM CULTURA",0,$S34*$H34)</f>
        <v>3165.582</v>
      </c>
      <c r="AK34" s="8" t="str">
        <f aca="false">$E34&amp;"|"&amp;TEXT($AD34,"0.000000")</f>
        <v>PV 109|0.000000</v>
      </c>
    </row>
    <row r="35" customFormat="false" ht="15" hidden="false" customHeight="false" outlineLevel="0" collapsed="false">
      <c r="B35" s="16" t="n">
        <v>30</v>
      </c>
      <c r="C35" s="17" t="n">
        <f aca="false">DATA_INICIO_SAFRA+($B35-1)*DIAS_POR_SEMANA</f>
        <v>46468</v>
      </c>
      <c r="D35" s="17" t="n">
        <f aca="false">$C35+DIAS_POR_SEMANA-1</f>
        <v>46474</v>
      </c>
      <c r="E35" s="15" t="s">
        <v>259</v>
      </c>
      <c r="F35" s="8" t="str">
        <f aca="false">IFERROR(INDEX(CADASTRO_PIVOS!$C$6:$C$41,MATCH($E35,CADASTRO_PIVOS!$B$6:$B$41,0)),"?")</f>
        <v>RM01</v>
      </c>
      <c r="G35" s="8" t="str">
        <f aca="false">IFERROR(INDEX(CADASTRO_PIVOS!$D$6:$D$41,MATCH($E35,CADASTRO_PIVOS!$B$6:$B$41,0)),"?")</f>
        <v>TR01</v>
      </c>
      <c r="H35" s="20" t="n">
        <f aca="false">IFERROR(INDEX(CADASTRO_PIVOS!$E$6:$E$41,MATCH($E35,CADASTRO_PIVOS!$B$6:$B$41,0)),0)</f>
        <v>98.31</v>
      </c>
      <c r="I35" s="16" t="n">
        <f aca="false">IFERROR(SUMIFS(ROTACAO_RDM!$B$6:$B$71,ROTACAO_RDM!$D$6:$D$71,$E35,ROTACAO_RDM!$I$6:$I$71,"&lt;="&amp;$C35+INT(DIAS_POR_SEMANA/2),ROTACAO_RDM!$J$6:$J$71,"&gt;="&amp;$C35+INT(DIAS_POR_SEMANA/2)),0)</f>
        <v>16</v>
      </c>
      <c r="J35" s="16" t="n">
        <f aca="false">IFERROR(MATCH($I35,ROTACAO_RDM!$B$6:$B$71,0),0)</f>
        <v>16</v>
      </c>
      <c r="K35" s="8" t="str">
        <f aca="false">IF($J35=0,"SEM CULTURA",INDEX(ROTACAO_RDM!$F$6:$F$71,$J35))</f>
        <v>ALGODAO</v>
      </c>
      <c r="L35" s="8" t="str">
        <f aca="false">IF($J35=0,"",INDEX(ROTACAO_RDM!$G$6:$G$71,$J35))</f>
        <v>FM 933 STP</v>
      </c>
      <c r="M35" s="17" t="n">
        <f aca="false">IF($J35=0,"",INDEX(ROTACAO_RDM!$I$6:$I$71,$J35))</f>
        <v>46422</v>
      </c>
      <c r="N35" s="16" t="n">
        <f aca="false">IF($J35=0,0,MAX(0,$C35+INT(DIAS_POR_SEMANA/2)-INDEX(ROTACAO_RDM!$I$6:$I$71,$J35)))</f>
        <v>49</v>
      </c>
      <c r="O35" s="19" t="n">
        <f aca="false">IF($J35=0,0,MIN(1,$N35/MAX(1,INDEX(ROTACAO_RDM!$K$6:$K$71,$J35))))</f>
        <v>0.251282051282051</v>
      </c>
      <c r="P35" s="16" t="n">
        <f aca="false">IF($J35=0,0,IFERROR(MATCH(INDEX(ROTACAO_RDM!$N$6:$N$71,$J35),PARAMETROS_CULTURAS!$B$6:$B$28,0),0))</f>
        <v>5</v>
      </c>
      <c r="Q35" s="8" t="str">
        <f aca="false">IF($P35=0,"-",IF($O35&lt;=INDEX(PARAMETROS_CULTURAS!$F$6:$F$28,$P35),"INICIAL",IF($O35&lt;=INDEX(PARAMETROS_CULTURAS!$F$6:$F$28,$P35)+INDEX(PARAMETROS_CULTURAS!$G$6:$G$28,$P35),"DESENVOLVIMENTO",IF($O35&lt;=INDEX(PARAMETROS_CULTURAS!$F$6:$F$28,$P35)+INDEX(PARAMETROS_CULTURAS!$G$6:$G$28,$P35)+INDEX(PARAMETROS_CULTURAS!$H$6:$H$28,$P35),"MEDIA","FINAL"))))</f>
        <v>DESENVOLVIMENTO</v>
      </c>
      <c r="R35" s="24" t="n">
        <f aca="false">IF($P35=0,0,IF($O35&lt;=INDEX(PARAMETROS_CULTURAS!$F$6:$F$28,$P35),INDEX(PARAMETROS_CULTURAS!$K$6:$K$28,$P35),IF($O35&lt;=INDEX(PARAMETROS_CULTURAS!$F$6:$F$28,$P35)+INDEX(PARAMETROS_CULTURAS!$G$6:$G$28,$P35),INDEX(PARAMETROS_CULTURAS!$K$6:$K$28,$P35)+(INDEX(PARAMETROS_CULTURAS!$L$6:$L$28,$P35)-INDEX(PARAMETROS_CULTURAS!$K$6:$K$28,$P35))*($O35-INDEX(PARAMETROS_CULTURAS!$F$6:$F$28,$P35))/MAX(INDEX(PARAMETROS_CULTURAS!$G$6:$G$28,$P35),0.0001),IF($O35&lt;=INDEX(PARAMETROS_CULTURAS!$F$6:$F$28,$P35)+INDEX(PARAMETROS_CULTURAS!$G$6:$G$28,$P35)+INDEX(PARAMETROS_CULTURAS!$H$6:$H$28,$P35),INDEX(PARAMETROS_CULTURAS!$L$6:$L$28,$P35),INDEX(PARAMETROS_CULTURAS!$L$6:$L$28,$P35)+(INDEX(PARAMETROS_CULTURAS!$M$6:$M$28,$P35)-INDEX(PARAMETROS_CULTURAS!$L$6:$L$28,$P35))*($O35-INDEX(PARAMETROS_CULTURAS!$F$6:$F$28,$P35)-INDEX(PARAMETROS_CULTURAS!$G$6:$G$28,$P35)-INDEX(PARAMETROS_CULTURAS!$H$6:$H$28,$P35))/MAX(INDEX(PARAMETROS_CULTURAS!$I$6:$I$28,$P35),0.0001)))))</f>
        <v>0.66163708086785</v>
      </c>
      <c r="S35" s="18" t="n">
        <f aca="false">IFERROR(INDEX(SEMANAS!$H$6:$H$71,MATCH($B35,SEMANAS!$B$6:$B$71,0)),0)</f>
        <v>32.2</v>
      </c>
      <c r="T35" s="18" t="n">
        <f aca="false">$R35*$S35</f>
        <v>21.3047140039448</v>
      </c>
      <c r="U35" s="18" t="n">
        <f aca="false">IFERROR(INDEX(SEMANAS!$I$6:$I$71,MATCH($B35,SEMANAS!$B$6:$B$71,0)),0)</f>
        <v>37.24</v>
      </c>
      <c r="V35" s="18" t="n">
        <f aca="false">IFERROR(INDEX(SEMANAS!$J$6:$J$71,MATCH($B35,SEMANAS!$B$6:$B$71,0)),0)</f>
        <v>29.792</v>
      </c>
      <c r="W35" s="18" t="n">
        <f aca="false">MAX(0,$T35-$V35)</f>
        <v>0</v>
      </c>
      <c r="X35" s="19" t="n">
        <f aca="false">IFERROR(INDEX(CADASTRO_PIVOS!$K$6:$K$41,MATCH($E35,CADASTRO_PIVOS!$B$6:$B$41,0)),EFICIENCIA_PADRAO)</f>
        <v>0.85</v>
      </c>
      <c r="Y35" s="18" t="n">
        <f aca="false">IF($X35&lt;=0,0,$W35/$X35)</f>
        <v>0</v>
      </c>
      <c r="Z35" s="16" t="n">
        <f aca="false">$Y35*$H35*MM_PARA_M3_HA</f>
        <v>0</v>
      </c>
      <c r="AA35" s="18" t="n">
        <f aca="false">IFERROR(INDEX(CADASTRO_PIVOS!$I$6:$I$41,MATCH($E35,CADASTRO_PIVOS!$B$6:$B$41,0)),0)</f>
        <v>702.214285714286</v>
      </c>
      <c r="AB35" s="18" t="n">
        <f aca="false">IF($Z35&lt;=0,0,$Z35/$AA35)</f>
        <v>0</v>
      </c>
      <c r="AC35" s="16" t="n">
        <f aca="false">IFERROR(INDEX(SEMANAS!$K$6:$K$71,MATCH($B35,SEMANAS!$B$6:$B$71,0)),0)</f>
        <v>147</v>
      </c>
      <c r="AD35" s="19" t="n">
        <f aca="false">IF($AC35&lt;=0,0,$AB35/$AC35)</f>
        <v>0</v>
      </c>
      <c r="AE35" s="8" t="str">
        <f aca="false">IF($K35="SEM CULTURA","SEM CULTURA",IF($AA35&lt;=0,"DADO PENDENTE",IF($AD35&gt;LIMITE_CRITICO,"INVIAVEL",IF($AD35&gt;LIMITE_ATENCAO,"CRITICO",IF($AD35&gt;LIMITE_CONFORTAVEL,"ATENCAO","OK")))))</f>
        <v>OK</v>
      </c>
      <c r="AF35" s="8" t="str">
        <f aca="false">$B35&amp;"|"&amp;TEXT($AD35,"0.000000")</f>
        <v>30|0.000000</v>
      </c>
      <c r="AG35" s="18" t="n">
        <f aca="false">IF($K35="SEM CULTURA",0,$T35*$H35)</f>
        <v>2094.46643372781</v>
      </c>
      <c r="AH35" s="18" t="n">
        <f aca="false">IF($K35="SEM CULTURA",0,$V35*$H35)</f>
        <v>2928.85152</v>
      </c>
      <c r="AI35" s="18" t="n">
        <f aca="false">IF($K35="SEM CULTURA",0,$W35*$H35)</f>
        <v>0</v>
      </c>
      <c r="AJ35" s="18" t="n">
        <f aca="false">IF($K35="SEM CULTURA",0,$S35*$H35)</f>
        <v>3165.582</v>
      </c>
      <c r="AK35" s="8" t="str">
        <f aca="false">$E35&amp;"|"&amp;TEXT($AD35,"0.000000")</f>
        <v>PV 109|0.000000</v>
      </c>
    </row>
    <row r="36" customFormat="false" ht="15" hidden="false" customHeight="false" outlineLevel="0" collapsed="false">
      <c r="B36" s="16" t="n">
        <v>31</v>
      </c>
      <c r="C36" s="17" t="n">
        <f aca="false">DATA_INICIO_SAFRA+($B36-1)*DIAS_POR_SEMANA</f>
        <v>46475</v>
      </c>
      <c r="D36" s="17" t="n">
        <f aca="false">$C36+DIAS_POR_SEMANA-1</f>
        <v>46481</v>
      </c>
      <c r="E36" s="15" t="s">
        <v>259</v>
      </c>
      <c r="F36" s="8" t="str">
        <f aca="false">IFERROR(INDEX(CADASTRO_PIVOS!$C$6:$C$41,MATCH($E36,CADASTRO_PIVOS!$B$6:$B$41,0)),"?")</f>
        <v>RM01</v>
      </c>
      <c r="G36" s="8" t="str">
        <f aca="false">IFERROR(INDEX(CADASTRO_PIVOS!$D$6:$D$41,MATCH($E36,CADASTRO_PIVOS!$B$6:$B$41,0)),"?")</f>
        <v>TR01</v>
      </c>
      <c r="H36" s="20" t="n">
        <f aca="false">IFERROR(INDEX(CADASTRO_PIVOS!$E$6:$E$41,MATCH($E36,CADASTRO_PIVOS!$B$6:$B$41,0)),0)</f>
        <v>98.31</v>
      </c>
      <c r="I36" s="16" t="n">
        <f aca="false">IFERROR(SUMIFS(ROTACAO_RDM!$B$6:$B$71,ROTACAO_RDM!$D$6:$D$71,$E36,ROTACAO_RDM!$I$6:$I$71,"&lt;="&amp;$C36+INT(DIAS_POR_SEMANA/2),ROTACAO_RDM!$J$6:$J$71,"&gt;="&amp;$C36+INT(DIAS_POR_SEMANA/2)),0)</f>
        <v>16</v>
      </c>
      <c r="J36" s="16" t="n">
        <f aca="false">IFERROR(MATCH($I36,ROTACAO_RDM!$B$6:$B$71,0),0)</f>
        <v>16</v>
      </c>
      <c r="K36" s="8" t="str">
        <f aca="false">IF($J36=0,"SEM CULTURA",INDEX(ROTACAO_RDM!$F$6:$F$71,$J36))</f>
        <v>ALGODAO</v>
      </c>
      <c r="L36" s="8" t="str">
        <f aca="false">IF($J36=0,"",INDEX(ROTACAO_RDM!$G$6:$G$71,$J36))</f>
        <v>FM 933 STP</v>
      </c>
      <c r="M36" s="17" t="n">
        <f aca="false">IF($J36=0,"",INDEX(ROTACAO_RDM!$I$6:$I$71,$J36))</f>
        <v>46422</v>
      </c>
      <c r="N36" s="16" t="n">
        <f aca="false">IF($J36=0,0,MAX(0,$C36+INT(DIAS_POR_SEMANA/2)-INDEX(ROTACAO_RDM!$I$6:$I$71,$J36)))</f>
        <v>56</v>
      </c>
      <c r="O36" s="19" t="n">
        <f aca="false">IF($J36=0,0,MIN(1,$N36/MAX(1,INDEX(ROTACAO_RDM!$K$6:$K$71,$J36))))</f>
        <v>0.287179487179487</v>
      </c>
      <c r="P36" s="16" t="n">
        <f aca="false">IF($J36=0,0,IFERROR(MATCH(INDEX(ROTACAO_RDM!$N$6:$N$71,$J36),PARAMETROS_CULTURAS!$B$6:$B$28,0),0))</f>
        <v>5</v>
      </c>
      <c r="Q36" s="8" t="str">
        <f aca="false">IF($P36=0,"-",IF($O36&lt;=INDEX(PARAMETROS_CULTURAS!$F$6:$F$28,$P36),"INICIAL",IF($O36&lt;=INDEX(PARAMETROS_CULTURAS!$F$6:$F$28,$P36)+INDEX(PARAMETROS_CULTURAS!$G$6:$G$28,$P36),"DESENVOLVIMENTO",IF($O36&lt;=INDEX(PARAMETROS_CULTURAS!$F$6:$F$28,$P36)+INDEX(PARAMETROS_CULTURAS!$G$6:$G$28,$P36)+INDEX(PARAMETROS_CULTURAS!$H$6:$H$28,$P36),"MEDIA","FINAL"))))</f>
        <v>DESENVOLVIMENTO</v>
      </c>
      <c r="R36" s="24" t="n">
        <f aca="false">IF($P36=0,0,IF($O36&lt;=INDEX(PARAMETROS_CULTURAS!$F$6:$F$28,$P36),INDEX(PARAMETROS_CULTURAS!$K$6:$K$28,$P36),IF($O36&lt;=INDEX(PARAMETROS_CULTURAS!$F$6:$F$28,$P36)+INDEX(PARAMETROS_CULTURAS!$G$6:$G$28,$P36),INDEX(PARAMETROS_CULTURAS!$K$6:$K$28,$P36)+(INDEX(PARAMETROS_CULTURAS!$L$6:$L$28,$P36)-INDEX(PARAMETROS_CULTURAS!$K$6:$K$28,$P36))*($O36-INDEX(PARAMETROS_CULTURAS!$F$6:$F$28,$P36))/MAX(INDEX(PARAMETROS_CULTURAS!$G$6:$G$28,$P36),0.0001),IF($O36&lt;=INDEX(PARAMETROS_CULTURAS!$F$6:$F$28,$P36)+INDEX(PARAMETROS_CULTURAS!$G$6:$G$28,$P36)+INDEX(PARAMETROS_CULTURAS!$H$6:$H$28,$P36),INDEX(PARAMETROS_CULTURAS!$L$6:$L$28,$P36),INDEX(PARAMETROS_CULTURAS!$L$6:$L$28,$P36)+(INDEX(PARAMETROS_CULTURAS!$M$6:$M$28,$P36)-INDEX(PARAMETROS_CULTURAS!$L$6:$L$28,$P36))*($O36-INDEX(PARAMETROS_CULTURAS!$F$6:$F$28,$P36)-INDEX(PARAMETROS_CULTURAS!$G$6:$G$28,$P36)-INDEX(PARAMETROS_CULTURAS!$H$6:$H$28,$P36))/MAX(INDEX(PARAMETROS_CULTURAS!$I$6:$I$28,$P36),0.0001)))))</f>
        <v>0.772090729783037</v>
      </c>
      <c r="S36" s="18" t="n">
        <f aca="false">IFERROR(INDEX(SEMANAS!$H$6:$H$71,MATCH($B36,SEMANAS!$B$6:$B$71,0)),0)</f>
        <v>31.8</v>
      </c>
      <c r="T36" s="18" t="n">
        <f aca="false">$R36*$S36</f>
        <v>24.5524852071006</v>
      </c>
      <c r="U36" s="18" t="n">
        <f aca="false">IFERROR(INDEX(SEMANAS!$I$6:$I$71,MATCH($B36,SEMANAS!$B$6:$B$71,0)),0)</f>
        <v>25.28</v>
      </c>
      <c r="V36" s="18" t="n">
        <f aca="false">IFERROR(INDEX(SEMANAS!$J$6:$J$71,MATCH($B36,SEMANAS!$B$6:$B$71,0)),0)</f>
        <v>20.224</v>
      </c>
      <c r="W36" s="18" t="n">
        <f aca="false">MAX(0,$T36-$V36)</f>
        <v>4.32848520710058</v>
      </c>
      <c r="X36" s="19" t="n">
        <f aca="false">IFERROR(INDEX(CADASTRO_PIVOS!$K$6:$K$41,MATCH($E36,CADASTRO_PIVOS!$B$6:$B$41,0)),EFICIENCIA_PADRAO)</f>
        <v>0.85</v>
      </c>
      <c r="Y36" s="18" t="n">
        <f aca="false">IF($X36&lt;=0,0,$W36/$X36)</f>
        <v>5.09233553776539</v>
      </c>
      <c r="Z36" s="16" t="n">
        <f aca="false">$Y36*$H36*MM_PARA_M3_HA</f>
        <v>5006.27506717716</v>
      </c>
      <c r="AA36" s="18" t="n">
        <f aca="false">IFERROR(INDEX(CADASTRO_PIVOS!$I$6:$I$41,MATCH($E36,CADASTRO_PIVOS!$B$6:$B$41,0)),0)</f>
        <v>702.214285714286</v>
      </c>
      <c r="AB36" s="18" t="n">
        <f aca="false">IF($Z36&lt;=0,0,$Z36/$AA36)</f>
        <v>7.12926975287155</v>
      </c>
      <c r="AC36" s="16" t="n">
        <f aca="false">IFERROR(INDEX(SEMANAS!$K$6:$K$71,MATCH($B36,SEMANAS!$B$6:$B$71,0)),0)</f>
        <v>147</v>
      </c>
      <c r="AD36" s="19" t="n">
        <f aca="false">IF($AC36&lt;=0,0,$AB36/$AC36)</f>
        <v>0.0484984336930038</v>
      </c>
      <c r="AE36" s="8" t="str">
        <f aca="false">IF($K36="SEM CULTURA","SEM CULTURA",IF($AA36&lt;=0,"DADO PENDENTE",IF($AD36&gt;LIMITE_CRITICO,"INVIAVEL",IF($AD36&gt;LIMITE_ATENCAO,"CRITICO",IF($AD36&gt;LIMITE_CONFORTAVEL,"ATENCAO","OK")))))</f>
        <v>OK</v>
      </c>
      <c r="AF36" s="8" t="str">
        <f aca="false">$B36&amp;"|"&amp;TEXT($AD36,"0.000000")</f>
        <v>31|0.048498</v>
      </c>
      <c r="AG36" s="18" t="n">
        <f aca="false">IF($K36="SEM CULTURA",0,$T36*$H36)</f>
        <v>2413.75482071006</v>
      </c>
      <c r="AH36" s="18" t="n">
        <f aca="false">IF($K36="SEM CULTURA",0,$V36*$H36)</f>
        <v>1988.22144</v>
      </c>
      <c r="AI36" s="18" t="n">
        <f aca="false">IF($K36="SEM CULTURA",0,$W36*$H36)</f>
        <v>425.533380710058</v>
      </c>
      <c r="AJ36" s="18" t="n">
        <f aca="false">IF($K36="SEM CULTURA",0,$S36*$H36)</f>
        <v>3126.258</v>
      </c>
      <c r="AK36" s="8" t="str">
        <f aca="false">$E36&amp;"|"&amp;TEXT($AD36,"0.000000")</f>
        <v>PV 109|0.048498</v>
      </c>
    </row>
    <row r="37" customFormat="false" ht="15" hidden="false" customHeight="false" outlineLevel="0" collapsed="false">
      <c r="B37" s="16" t="n">
        <v>32</v>
      </c>
      <c r="C37" s="17" t="n">
        <f aca="false">DATA_INICIO_SAFRA+($B37-1)*DIAS_POR_SEMANA</f>
        <v>46482</v>
      </c>
      <c r="D37" s="17" t="n">
        <f aca="false">$C37+DIAS_POR_SEMANA-1</f>
        <v>46488</v>
      </c>
      <c r="E37" s="15" t="s">
        <v>259</v>
      </c>
      <c r="F37" s="8" t="str">
        <f aca="false">IFERROR(INDEX(CADASTRO_PIVOS!$C$6:$C$41,MATCH($E37,CADASTRO_PIVOS!$B$6:$B$41,0)),"?")</f>
        <v>RM01</v>
      </c>
      <c r="G37" s="8" t="str">
        <f aca="false">IFERROR(INDEX(CADASTRO_PIVOS!$D$6:$D$41,MATCH($E37,CADASTRO_PIVOS!$B$6:$B$41,0)),"?")</f>
        <v>TR01</v>
      </c>
      <c r="H37" s="20" t="n">
        <f aca="false">IFERROR(INDEX(CADASTRO_PIVOS!$E$6:$E$41,MATCH($E37,CADASTRO_PIVOS!$B$6:$B$41,0)),0)</f>
        <v>98.31</v>
      </c>
      <c r="I37" s="16" t="n">
        <f aca="false">IFERROR(SUMIFS(ROTACAO_RDM!$B$6:$B$71,ROTACAO_RDM!$D$6:$D$71,$E37,ROTACAO_RDM!$I$6:$I$71,"&lt;="&amp;$C37+INT(DIAS_POR_SEMANA/2),ROTACAO_RDM!$J$6:$J$71,"&gt;="&amp;$C37+INT(DIAS_POR_SEMANA/2)),0)</f>
        <v>16</v>
      </c>
      <c r="J37" s="16" t="n">
        <f aca="false">IFERROR(MATCH($I37,ROTACAO_RDM!$B$6:$B$71,0),0)</f>
        <v>16</v>
      </c>
      <c r="K37" s="8" t="str">
        <f aca="false">IF($J37=0,"SEM CULTURA",INDEX(ROTACAO_RDM!$F$6:$F$71,$J37))</f>
        <v>ALGODAO</v>
      </c>
      <c r="L37" s="8" t="str">
        <f aca="false">IF($J37=0,"",INDEX(ROTACAO_RDM!$G$6:$G$71,$J37))</f>
        <v>FM 933 STP</v>
      </c>
      <c r="M37" s="17" t="n">
        <f aca="false">IF($J37=0,"",INDEX(ROTACAO_RDM!$I$6:$I$71,$J37))</f>
        <v>46422</v>
      </c>
      <c r="N37" s="16" t="n">
        <f aca="false">IF($J37=0,0,MAX(0,$C37+INT(DIAS_POR_SEMANA/2)-INDEX(ROTACAO_RDM!$I$6:$I$71,$J37)))</f>
        <v>63</v>
      </c>
      <c r="O37" s="19" t="n">
        <f aca="false">IF($J37=0,0,MIN(1,$N37/MAX(1,INDEX(ROTACAO_RDM!$K$6:$K$71,$J37))))</f>
        <v>0.323076923076923</v>
      </c>
      <c r="P37" s="16" t="n">
        <f aca="false">IF($J37=0,0,IFERROR(MATCH(INDEX(ROTACAO_RDM!$N$6:$N$71,$J37),PARAMETROS_CULTURAS!$B$6:$B$28,0),0))</f>
        <v>5</v>
      </c>
      <c r="Q37" s="8" t="str">
        <f aca="false">IF($P37=0,"-",IF($O37&lt;=INDEX(PARAMETROS_CULTURAS!$F$6:$F$28,$P37),"INICIAL",IF($O37&lt;=INDEX(PARAMETROS_CULTURAS!$F$6:$F$28,$P37)+INDEX(PARAMETROS_CULTURAS!$G$6:$G$28,$P37),"DESENVOLVIMENTO",IF($O37&lt;=INDEX(PARAMETROS_CULTURAS!$F$6:$F$28,$P37)+INDEX(PARAMETROS_CULTURAS!$G$6:$G$28,$P37)+INDEX(PARAMETROS_CULTURAS!$H$6:$H$28,$P37),"MEDIA","FINAL"))))</f>
        <v>DESENVOLVIMENTO</v>
      </c>
      <c r="R37" s="24" t="n">
        <f aca="false">IF($P37=0,0,IF($O37&lt;=INDEX(PARAMETROS_CULTURAS!$F$6:$F$28,$P37),INDEX(PARAMETROS_CULTURAS!$K$6:$K$28,$P37),IF($O37&lt;=INDEX(PARAMETROS_CULTURAS!$F$6:$F$28,$P37)+INDEX(PARAMETROS_CULTURAS!$G$6:$G$28,$P37),INDEX(PARAMETROS_CULTURAS!$K$6:$K$28,$P37)+(INDEX(PARAMETROS_CULTURAS!$L$6:$L$28,$P37)-INDEX(PARAMETROS_CULTURAS!$K$6:$K$28,$P37))*($O37-INDEX(PARAMETROS_CULTURAS!$F$6:$F$28,$P37))/MAX(INDEX(PARAMETROS_CULTURAS!$G$6:$G$28,$P37),0.0001),IF($O37&lt;=INDEX(PARAMETROS_CULTURAS!$F$6:$F$28,$P37)+INDEX(PARAMETROS_CULTURAS!$G$6:$G$28,$P37)+INDEX(PARAMETROS_CULTURAS!$H$6:$H$28,$P37),INDEX(PARAMETROS_CULTURAS!$L$6:$L$28,$P37),INDEX(PARAMETROS_CULTURAS!$L$6:$L$28,$P37)+(INDEX(PARAMETROS_CULTURAS!$M$6:$M$28,$P37)-INDEX(PARAMETROS_CULTURAS!$L$6:$L$28,$P37))*($O37-INDEX(PARAMETROS_CULTURAS!$F$6:$F$28,$P37)-INDEX(PARAMETROS_CULTURAS!$G$6:$G$28,$P37)-INDEX(PARAMETROS_CULTURAS!$H$6:$H$28,$P37))/MAX(INDEX(PARAMETROS_CULTURAS!$I$6:$I$28,$P37),0.0001)))))</f>
        <v>0.882544378698225</v>
      </c>
      <c r="S37" s="18" t="n">
        <f aca="false">IFERROR(INDEX(SEMANAS!$H$6:$H$71,MATCH($B37,SEMANAS!$B$6:$B$71,0)),0)</f>
        <v>31.5</v>
      </c>
      <c r="T37" s="18" t="n">
        <f aca="false">$R37*$S37</f>
        <v>27.8001479289941</v>
      </c>
      <c r="U37" s="18" t="n">
        <f aca="false">IFERROR(INDEX(SEMANAS!$I$6:$I$71,MATCH($B37,SEMANAS!$B$6:$B$71,0)),0)</f>
        <v>16.31</v>
      </c>
      <c r="V37" s="18" t="n">
        <f aca="false">IFERROR(INDEX(SEMANAS!$J$6:$J$71,MATCH($B37,SEMANAS!$B$6:$B$71,0)),0)</f>
        <v>13.048</v>
      </c>
      <c r="W37" s="18" t="n">
        <f aca="false">MAX(0,$T37-$V37)</f>
        <v>14.7521479289941</v>
      </c>
      <c r="X37" s="19" t="n">
        <f aca="false">IFERROR(INDEX(CADASTRO_PIVOS!$K$6:$K$41,MATCH($E37,CADASTRO_PIVOS!$B$6:$B$41,0)),EFICIENCIA_PADRAO)</f>
        <v>0.85</v>
      </c>
      <c r="Y37" s="18" t="n">
        <f aca="false">IF($X37&lt;=0,0,$W37/$X37)</f>
        <v>17.3554681517577</v>
      </c>
      <c r="Z37" s="16" t="n">
        <f aca="false">$Y37*$H37*MM_PARA_M3_HA</f>
        <v>17062.160739993</v>
      </c>
      <c r="AA37" s="18" t="n">
        <f aca="false">IFERROR(INDEX(CADASTRO_PIVOS!$I$6:$I$41,MATCH($E37,CADASTRO_PIVOS!$B$6:$B$41,0)),0)</f>
        <v>702.214285714286</v>
      </c>
      <c r="AB37" s="18" t="n">
        <f aca="false">IF($Z37&lt;=0,0,$Z37/$AA37)</f>
        <v>24.2976554124608</v>
      </c>
      <c r="AC37" s="16" t="n">
        <f aca="false">IFERROR(INDEX(SEMANAS!$K$6:$K$71,MATCH($B37,SEMANAS!$B$6:$B$71,0)),0)</f>
        <v>147</v>
      </c>
      <c r="AD37" s="19" t="n">
        <f aca="false">IF($AC37&lt;=0,0,$AB37/$AC37)</f>
        <v>0.165290172873883</v>
      </c>
      <c r="AE37" s="8" t="str">
        <f aca="false">IF($K37="SEM CULTURA","SEM CULTURA",IF($AA37&lt;=0,"DADO PENDENTE",IF($AD37&gt;LIMITE_CRITICO,"INVIAVEL",IF($AD37&gt;LIMITE_ATENCAO,"CRITICO",IF($AD37&gt;LIMITE_CONFORTAVEL,"ATENCAO","OK")))))</f>
        <v>OK</v>
      </c>
      <c r="AF37" s="8" t="str">
        <f aca="false">$B37&amp;"|"&amp;TEXT($AD37,"0.000000")</f>
        <v>32|0.165290</v>
      </c>
      <c r="AG37" s="18" t="n">
        <f aca="false">IF($K37="SEM CULTURA",0,$T37*$H37)</f>
        <v>2733.03254289941</v>
      </c>
      <c r="AH37" s="18" t="n">
        <f aca="false">IF($K37="SEM CULTURA",0,$V37*$H37)</f>
        <v>1282.74888</v>
      </c>
      <c r="AI37" s="18" t="n">
        <f aca="false">IF($K37="SEM CULTURA",0,$W37*$H37)</f>
        <v>1450.28366289941</v>
      </c>
      <c r="AJ37" s="18" t="n">
        <f aca="false">IF($K37="SEM CULTURA",0,$S37*$H37)</f>
        <v>3096.765</v>
      </c>
      <c r="AK37" s="8" t="str">
        <f aca="false">$E37&amp;"|"&amp;TEXT($AD37,"0.000000")</f>
        <v>PV 109|0.165290</v>
      </c>
    </row>
    <row r="38" customFormat="false" ht="15" hidden="false" customHeight="false" outlineLevel="0" collapsed="false">
      <c r="B38" s="16" t="n">
        <v>33</v>
      </c>
      <c r="C38" s="17" t="n">
        <f aca="false">DATA_INICIO_SAFRA+($B38-1)*DIAS_POR_SEMANA</f>
        <v>46489</v>
      </c>
      <c r="D38" s="17" t="n">
        <f aca="false">$C38+DIAS_POR_SEMANA-1</f>
        <v>46495</v>
      </c>
      <c r="E38" s="15" t="s">
        <v>259</v>
      </c>
      <c r="F38" s="8" t="str">
        <f aca="false">IFERROR(INDEX(CADASTRO_PIVOS!$C$6:$C$41,MATCH($E38,CADASTRO_PIVOS!$B$6:$B$41,0)),"?")</f>
        <v>RM01</v>
      </c>
      <c r="G38" s="8" t="str">
        <f aca="false">IFERROR(INDEX(CADASTRO_PIVOS!$D$6:$D$41,MATCH($E38,CADASTRO_PIVOS!$B$6:$B$41,0)),"?")</f>
        <v>TR01</v>
      </c>
      <c r="H38" s="20" t="n">
        <f aca="false">IFERROR(INDEX(CADASTRO_PIVOS!$E$6:$E$41,MATCH($E38,CADASTRO_PIVOS!$B$6:$B$41,0)),0)</f>
        <v>98.31</v>
      </c>
      <c r="I38" s="16" t="n">
        <f aca="false">IFERROR(SUMIFS(ROTACAO_RDM!$B$6:$B$71,ROTACAO_RDM!$D$6:$D$71,$E38,ROTACAO_RDM!$I$6:$I$71,"&lt;="&amp;$C38+INT(DIAS_POR_SEMANA/2),ROTACAO_RDM!$J$6:$J$71,"&gt;="&amp;$C38+INT(DIAS_POR_SEMANA/2)),0)</f>
        <v>16</v>
      </c>
      <c r="J38" s="16" t="n">
        <f aca="false">IFERROR(MATCH($I38,ROTACAO_RDM!$B$6:$B$71,0),0)</f>
        <v>16</v>
      </c>
      <c r="K38" s="8" t="str">
        <f aca="false">IF($J38=0,"SEM CULTURA",INDEX(ROTACAO_RDM!$F$6:$F$71,$J38))</f>
        <v>ALGODAO</v>
      </c>
      <c r="L38" s="8" t="str">
        <f aca="false">IF($J38=0,"",INDEX(ROTACAO_RDM!$G$6:$G$71,$J38))</f>
        <v>FM 933 STP</v>
      </c>
      <c r="M38" s="17" t="n">
        <f aca="false">IF($J38=0,"",INDEX(ROTACAO_RDM!$I$6:$I$71,$J38))</f>
        <v>46422</v>
      </c>
      <c r="N38" s="16" t="n">
        <f aca="false">IF($J38=0,0,MAX(0,$C38+INT(DIAS_POR_SEMANA/2)-INDEX(ROTACAO_RDM!$I$6:$I$71,$J38)))</f>
        <v>70</v>
      </c>
      <c r="O38" s="19" t="n">
        <f aca="false">IF($J38=0,0,MIN(1,$N38/MAX(1,INDEX(ROTACAO_RDM!$K$6:$K$71,$J38))))</f>
        <v>0.358974358974359</v>
      </c>
      <c r="P38" s="16" t="n">
        <f aca="false">IF($J38=0,0,IFERROR(MATCH(INDEX(ROTACAO_RDM!$N$6:$N$71,$J38),PARAMETROS_CULTURAS!$B$6:$B$28,0),0))</f>
        <v>5</v>
      </c>
      <c r="Q38" s="8" t="str">
        <f aca="false">IF($P38=0,"-",IF($O38&lt;=INDEX(PARAMETROS_CULTURAS!$F$6:$F$28,$P38),"INICIAL",IF($O38&lt;=INDEX(PARAMETROS_CULTURAS!$F$6:$F$28,$P38)+INDEX(PARAMETROS_CULTURAS!$G$6:$G$28,$P38),"DESENVOLVIMENTO",IF($O38&lt;=INDEX(PARAMETROS_CULTURAS!$F$6:$F$28,$P38)+INDEX(PARAMETROS_CULTURAS!$G$6:$G$28,$P38)+INDEX(PARAMETROS_CULTURAS!$H$6:$H$28,$P38),"MEDIA","FINAL"))))</f>
        <v>DESENVOLVIMENTO</v>
      </c>
      <c r="R38" s="24" t="n">
        <f aca="false">IF($P38=0,0,IF($O38&lt;=INDEX(PARAMETROS_CULTURAS!$F$6:$F$28,$P38),INDEX(PARAMETROS_CULTURAS!$K$6:$K$28,$P38),IF($O38&lt;=INDEX(PARAMETROS_CULTURAS!$F$6:$F$28,$P38)+INDEX(PARAMETROS_CULTURAS!$G$6:$G$28,$P38),INDEX(PARAMETROS_CULTURAS!$K$6:$K$28,$P38)+(INDEX(PARAMETROS_CULTURAS!$L$6:$L$28,$P38)-INDEX(PARAMETROS_CULTURAS!$K$6:$K$28,$P38))*($O38-INDEX(PARAMETROS_CULTURAS!$F$6:$F$28,$P38))/MAX(INDEX(PARAMETROS_CULTURAS!$G$6:$G$28,$P38),0.0001),IF($O38&lt;=INDEX(PARAMETROS_CULTURAS!$F$6:$F$28,$P38)+INDEX(PARAMETROS_CULTURAS!$G$6:$G$28,$P38)+INDEX(PARAMETROS_CULTURAS!$H$6:$H$28,$P38),INDEX(PARAMETROS_CULTURAS!$L$6:$L$28,$P38),INDEX(PARAMETROS_CULTURAS!$L$6:$L$28,$P38)+(INDEX(PARAMETROS_CULTURAS!$M$6:$M$28,$P38)-INDEX(PARAMETROS_CULTURAS!$L$6:$L$28,$P38))*($O38-INDEX(PARAMETROS_CULTURAS!$F$6:$F$28,$P38)-INDEX(PARAMETROS_CULTURAS!$G$6:$G$28,$P38)-INDEX(PARAMETROS_CULTURAS!$H$6:$H$28,$P38))/MAX(INDEX(PARAMETROS_CULTURAS!$I$6:$I$28,$P38),0.0001)))))</f>
        <v>0.992998027613412</v>
      </c>
      <c r="S38" s="18" t="n">
        <f aca="false">IFERROR(INDEX(SEMANAS!$H$6:$H$71,MATCH($B38,SEMANAS!$B$6:$B$71,0)),0)</f>
        <v>31.5</v>
      </c>
      <c r="T38" s="18" t="n">
        <f aca="false">$R38*$S38</f>
        <v>31.2794378698225</v>
      </c>
      <c r="U38" s="18" t="n">
        <f aca="false">IFERROR(INDEX(SEMANAS!$I$6:$I$71,MATCH($B38,SEMANAS!$B$6:$B$71,0)),0)</f>
        <v>16.31</v>
      </c>
      <c r="V38" s="18" t="n">
        <f aca="false">IFERROR(INDEX(SEMANAS!$J$6:$J$71,MATCH($B38,SEMANAS!$B$6:$B$71,0)),0)</f>
        <v>13.048</v>
      </c>
      <c r="W38" s="18" t="n">
        <f aca="false">MAX(0,$T38-$V38)</f>
        <v>18.2314378698225</v>
      </c>
      <c r="X38" s="19" t="n">
        <f aca="false">IFERROR(INDEX(CADASTRO_PIVOS!$K$6:$K$41,MATCH($E38,CADASTRO_PIVOS!$B$6:$B$41,0)),EFICIENCIA_PADRAO)</f>
        <v>0.85</v>
      </c>
      <c r="Y38" s="18" t="n">
        <f aca="false">IF($X38&lt;=0,0,$W38/$X38)</f>
        <v>21.4487504350853</v>
      </c>
      <c r="Z38" s="16" t="n">
        <f aca="false">$Y38*$H38*MM_PARA_M3_HA</f>
        <v>21086.2665527323</v>
      </c>
      <c r="AA38" s="18" t="n">
        <f aca="false">IFERROR(INDEX(CADASTRO_PIVOS!$I$6:$I$41,MATCH($E38,CADASTRO_PIVOS!$B$6:$B$41,0)),0)</f>
        <v>702.214285714286</v>
      </c>
      <c r="AB38" s="18" t="n">
        <f aca="false">IF($Z38&lt;=0,0,$Z38/$AA38)</f>
        <v>30.0282506091194</v>
      </c>
      <c r="AC38" s="16" t="n">
        <f aca="false">IFERROR(INDEX(SEMANAS!$K$6:$K$71,MATCH($B38,SEMANAS!$B$6:$B$71,0)),0)</f>
        <v>147</v>
      </c>
      <c r="AD38" s="19" t="n">
        <f aca="false">IF($AC38&lt;=0,0,$AB38/$AC38)</f>
        <v>0.204273813667479</v>
      </c>
      <c r="AE38" s="8" t="str">
        <f aca="false">IF($K38="SEM CULTURA","SEM CULTURA",IF($AA38&lt;=0,"DADO PENDENTE",IF($AD38&gt;LIMITE_CRITICO,"INVIAVEL",IF($AD38&gt;LIMITE_ATENCAO,"CRITICO",IF($AD38&gt;LIMITE_CONFORTAVEL,"ATENCAO","OK")))))</f>
        <v>OK</v>
      </c>
      <c r="AF38" s="8" t="str">
        <f aca="false">$B38&amp;"|"&amp;TEXT($AD38,"0.000000")</f>
        <v>33|0.204274</v>
      </c>
      <c r="AG38" s="18" t="n">
        <f aca="false">IF($K38="SEM CULTURA",0,$T38*$H38)</f>
        <v>3075.08153698225</v>
      </c>
      <c r="AH38" s="18" t="n">
        <f aca="false">IF($K38="SEM CULTURA",0,$V38*$H38)</f>
        <v>1282.74888</v>
      </c>
      <c r="AI38" s="18" t="n">
        <f aca="false">IF($K38="SEM CULTURA",0,$W38*$H38)</f>
        <v>1792.33265698225</v>
      </c>
      <c r="AJ38" s="18" t="n">
        <f aca="false">IF($K38="SEM CULTURA",0,$S38*$H38)</f>
        <v>3096.765</v>
      </c>
      <c r="AK38" s="8" t="str">
        <f aca="false">$E38&amp;"|"&amp;TEXT($AD38,"0.000000")</f>
        <v>PV 109|0.204274</v>
      </c>
    </row>
    <row r="39" customFormat="false" ht="15" hidden="false" customHeight="false" outlineLevel="0" collapsed="false">
      <c r="B39" s="16" t="n">
        <v>34</v>
      </c>
      <c r="C39" s="17" t="n">
        <f aca="false">DATA_INICIO_SAFRA+($B39-1)*DIAS_POR_SEMANA</f>
        <v>46496</v>
      </c>
      <c r="D39" s="17" t="n">
        <f aca="false">$C39+DIAS_POR_SEMANA-1</f>
        <v>46502</v>
      </c>
      <c r="E39" s="15" t="s">
        <v>259</v>
      </c>
      <c r="F39" s="8" t="str">
        <f aca="false">IFERROR(INDEX(CADASTRO_PIVOS!$C$6:$C$41,MATCH($E39,CADASTRO_PIVOS!$B$6:$B$41,0)),"?")</f>
        <v>RM01</v>
      </c>
      <c r="G39" s="8" t="str">
        <f aca="false">IFERROR(INDEX(CADASTRO_PIVOS!$D$6:$D$41,MATCH($E39,CADASTRO_PIVOS!$B$6:$B$41,0)),"?")</f>
        <v>TR01</v>
      </c>
      <c r="H39" s="20" t="n">
        <f aca="false">IFERROR(INDEX(CADASTRO_PIVOS!$E$6:$E$41,MATCH($E39,CADASTRO_PIVOS!$B$6:$B$41,0)),0)</f>
        <v>98.31</v>
      </c>
      <c r="I39" s="16" t="n">
        <f aca="false">IFERROR(SUMIFS(ROTACAO_RDM!$B$6:$B$71,ROTACAO_RDM!$D$6:$D$71,$E39,ROTACAO_RDM!$I$6:$I$71,"&lt;="&amp;$C39+INT(DIAS_POR_SEMANA/2),ROTACAO_RDM!$J$6:$J$71,"&gt;="&amp;$C39+INT(DIAS_POR_SEMANA/2)),0)</f>
        <v>16</v>
      </c>
      <c r="J39" s="16" t="n">
        <f aca="false">IFERROR(MATCH($I39,ROTACAO_RDM!$B$6:$B$71,0),0)</f>
        <v>16</v>
      </c>
      <c r="K39" s="8" t="str">
        <f aca="false">IF($J39=0,"SEM CULTURA",INDEX(ROTACAO_RDM!$F$6:$F$71,$J39))</f>
        <v>ALGODAO</v>
      </c>
      <c r="L39" s="8" t="str">
        <f aca="false">IF($J39=0,"",INDEX(ROTACAO_RDM!$G$6:$G$71,$J39))</f>
        <v>FM 933 STP</v>
      </c>
      <c r="M39" s="17" t="n">
        <f aca="false">IF($J39=0,"",INDEX(ROTACAO_RDM!$I$6:$I$71,$J39))</f>
        <v>46422</v>
      </c>
      <c r="N39" s="16" t="n">
        <f aca="false">IF($J39=0,0,MAX(0,$C39+INT(DIAS_POR_SEMANA/2)-INDEX(ROTACAO_RDM!$I$6:$I$71,$J39)))</f>
        <v>77</v>
      </c>
      <c r="O39" s="19" t="n">
        <f aca="false">IF($J39=0,0,MIN(1,$N39/MAX(1,INDEX(ROTACAO_RDM!$K$6:$K$71,$J39))))</f>
        <v>0.394871794871795</v>
      </c>
      <c r="P39" s="16" t="n">
        <f aca="false">IF($J39=0,0,IFERROR(MATCH(INDEX(ROTACAO_RDM!$N$6:$N$71,$J39),PARAMETROS_CULTURAS!$B$6:$B$28,0),0))</f>
        <v>5</v>
      </c>
      <c r="Q39" s="8" t="str">
        <f aca="false">IF($P39=0,"-",IF($O39&lt;=INDEX(PARAMETROS_CULTURAS!$F$6:$F$28,$P39),"INICIAL",IF($O39&lt;=INDEX(PARAMETROS_CULTURAS!$F$6:$F$28,$P39)+INDEX(PARAMETROS_CULTURAS!$G$6:$G$28,$P39),"DESENVOLVIMENTO",IF($O39&lt;=INDEX(PARAMETROS_CULTURAS!$F$6:$F$28,$P39)+INDEX(PARAMETROS_CULTURAS!$G$6:$G$28,$P39)+INDEX(PARAMETROS_CULTURAS!$H$6:$H$28,$P39),"MEDIA","FINAL"))))</f>
        <v>DESENVOLVIMENTO</v>
      </c>
      <c r="R39" s="24" t="n">
        <f aca="false">IF($P39=0,0,IF($O39&lt;=INDEX(PARAMETROS_CULTURAS!$F$6:$F$28,$P39),INDEX(PARAMETROS_CULTURAS!$K$6:$K$28,$P39),IF($O39&lt;=INDEX(PARAMETROS_CULTURAS!$F$6:$F$28,$P39)+INDEX(PARAMETROS_CULTURAS!$G$6:$G$28,$P39),INDEX(PARAMETROS_CULTURAS!$K$6:$K$28,$P39)+(INDEX(PARAMETROS_CULTURAS!$L$6:$L$28,$P39)-INDEX(PARAMETROS_CULTURAS!$K$6:$K$28,$P39))*($O39-INDEX(PARAMETROS_CULTURAS!$F$6:$F$28,$P39))/MAX(INDEX(PARAMETROS_CULTURAS!$G$6:$G$28,$P39),0.0001),IF($O39&lt;=INDEX(PARAMETROS_CULTURAS!$F$6:$F$28,$P39)+INDEX(PARAMETROS_CULTURAS!$G$6:$G$28,$P39)+INDEX(PARAMETROS_CULTURAS!$H$6:$H$28,$P39),INDEX(PARAMETROS_CULTURAS!$L$6:$L$28,$P39),INDEX(PARAMETROS_CULTURAS!$L$6:$L$28,$P39)+(INDEX(PARAMETROS_CULTURAS!$M$6:$M$28,$P39)-INDEX(PARAMETROS_CULTURAS!$L$6:$L$28,$P39))*($O39-INDEX(PARAMETROS_CULTURAS!$F$6:$F$28,$P39)-INDEX(PARAMETROS_CULTURAS!$G$6:$G$28,$P39)-INDEX(PARAMETROS_CULTURAS!$H$6:$H$28,$P39))/MAX(INDEX(PARAMETROS_CULTURAS!$I$6:$I$28,$P39),0.0001)))))</f>
        <v>1.1034516765286</v>
      </c>
      <c r="S39" s="18" t="n">
        <f aca="false">IFERROR(INDEX(SEMANAS!$H$6:$H$71,MATCH($B39,SEMANAS!$B$6:$B$71,0)),0)</f>
        <v>31.5</v>
      </c>
      <c r="T39" s="18" t="n">
        <f aca="false">$R39*$S39</f>
        <v>34.7587278106509</v>
      </c>
      <c r="U39" s="18" t="n">
        <f aca="false">IFERROR(INDEX(SEMANAS!$I$6:$I$71,MATCH($B39,SEMANAS!$B$6:$B$71,0)),0)</f>
        <v>16.31</v>
      </c>
      <c r="V39" s="18" t="n">
        <f aca="false">IFERROR(INDEX(SEMANAS!$J$6:$J$71,MATCH($B39,SEMANAS!$B$6:$B$71,0)),0)</f>
        <v>13.048</v>
      </c>
      <c r="W39" s="18" t="n">
        <f aca="false">MAX(0,$T39-$V39)</f>
        <v>21.7107278106509</v>
      </c>
      <c r="X39" s="19" t="n">
        <f aca="false">IFERROR(INDEX(CADASTRO_PIVOS!$K$6:$K$41,MATCH($E39,CADASTRO_PIVOS!$B$6:$B$41,0)),EFICIENCIA_PADRAO)</f>
        <v>0.85</v>
      </c>
      <c r="Y39" s="18" t="n">
        <f aca="false">IF($X39&lt;=0,0,$W39/$X39)</f>
        <v>25.5420327184128</v>
      </c>
      <c r="Z39" s="16" t="n">
        <f aca="false">$Y39*$H39*MM_PARA_M3_HA</f>
        <v>25110.3723654716</v>
      </c>
      <c r="AA39" s="18" t="n">
        <f aca="false">IFERROR(INDEX(CADASTRO_PIVOS!$I$6:$I$41,MATCH($E39,CADASTRO_PIVOS!$B$6:$B$41,0)),0)</f>
        <v>702.214285714286</v>
      </c>
      <c r="AB39" s="18" t="n">
        <f aca="false">IF($Z39&lt;=0,0,$Z39/$AA39)</f>
        <v>35.7588458057779</v>
      </c>
      <c r="AC39" s="16" t="n">
        <f aca="false">IFERROR(INDEX(SEMANAS!$K$6:$K$71,MATCH($B39,SEMANAS!$B$6:$B$71,0)),0)</f>
        <v>147</v>
      </c>
      <c r="AD39" s="19" t="n">
        <f aca="false">IF($AC39&lt;=0,0,$AB39/$AC39)</f>
        <v>0.243257454461074</v>
      </c>
      <c r="AE39" s="8" t="str">
        <f aca="false">IF($K39="SEM CULTURA","SEM CULTURA",IF($AA39&lt;=0,"DADO PENDENTE",IF($AD39&gt;LIMITE_CRITICO,"INVIAVEL",IF($AD39&gt;LIMITE_ATENCAO,"CRITICO",IF($AD39&gt;LIMITE_CONFORTAVEL,"ATENCAO","OK")))))</f>
        <v>OK</v>
      </c>
      <c r="AF39" s="8" t="str">
        <f aca="false">$B39&amp;"|"&amp;TEXT($AD39,"0.000000")</f>
        <v>34|0.243257</v>
      </c>
      <c r="AG39" s="18" t="n">
        <f aca="false">IF($K39="SEM CULTURA",0,$T39*$H39)</f>
        <v>3417.13053106509</v>
      </c>
      <c r="AH39" s="18" t="n">
        <f aca="false">IF($K39="SEM CULTURA",0,$V39*$H39)</f>
        <v>1282.74888</v>
      </c>
      <c r="AI39" s="18" t="n">
        <f aca="false">IF($K39="SEM CULTURA",0,$W39*$H39)</f>
        <v>2134.38165106509</v>
      </c>
      <c r="AJ39" s="18" t="n">
        <f aca="false">IF($K39="SEM CULTURA",0,$S39*$H39)</f>
        <v>3096.765</v>
      </c>
      <c r="AK39" s="8" t="str">
        <f aca="false">$E39&amp;"|"&amp;TEXT($AD39,"0.000000")</f>
        <v>PV 109|0.243257</v>
      </c>
    </row>
    <row r="40" customFormat="false" ht="15" hidden="false" customHeight="false" outlineLevel="0" collapsed="false">
      <c r="B40" s="16" t="n">
        <v>35</v>
      </c>
      <c r="C40" s="17" t="n">
        <f aca="false">DATA_INICIO_SAFRA+($B40-1)*DIAS_POR_SEMANA</f>
        <v>46503</v>
      </c>
      <c r="D40" s="17" t="n">
        <f aca="false">$C40+DIAS_POR_SEMANA-1</f>
        <v>46509</v>
      </c>
      <c r="E40" s="15" t="s">
        <v>259</v>
      </c>
      <c r="F40" s="8" t="str">
        <f aca="false">IFERROR(INDEX(CADASTRO_PIVOS!$C$6:$C$41,MATCH($E40,CADASTRO_PIVOS!$B$6:$B$41,0)),"?")</f>
        <v>RM01</v>
      </c>
      <c r="G40" s="8" t="str">
        <f aca="false">IFERROR(INDEX(CADASTRO_PIVOS!$D$6:$D$41,MATCH($E40,CADASTRO_PIVOS!$B$6:$B$41,0)),"?")</f>
        <v>TR01</v>
      </c>
      <c r="H40" s="20" t="n">
        <f aca="false">IFERROR(INDEX(CADASTRO_PIVOS!$E$6:$E$41,MATCH($E40,CADASTRO_PIVOS!$B$6:$B$41,0)),0)</f>
        <v>98.31</v>
      </c>
      <c r="I40" s="16" t="n">
        <f aca="false">IFERROR(SUMIFS(ROTACAO_RDM!$B$6:$B$71,ROTACAO_RDM!$D$6:$D$71,$E40,ROTACAO_RDM!$I$6:$I$71,"&lt;="&amp;$C40+INT(DIAS_POR_SEMANA/2),ROTACAO_RDM!$J$6:$J$71,"&gt;="&amp;$C40+INT(DIAS_POR_SEMANA/2)),0)</f>
        <v>16</v>
      </c>
      <c r="J40" s="16" t="n">
        <f aca="false">IFERROR(MATCH($I40,ROTACAO_RDM!$B$6:$B$71,0),0)</f>
        <v>16</v>
      </c>
      <c r="K40" s="8" t="str">
        <f aca="false">IF($J40=0,"SEM CULTURA",INDEX(ROTACAO_RDM!$F$6:$F$71,$J40))</f>
        <v>ALGODAO</v>
      </c>
      <c r="L40" s="8" t="str">
        <f aca="false">IF($J40=0,"",INDEX(ROTACAO_RDM!$G$6:$G$71,$J40))</f>
        <v>FM 933 STP</v>
      </c>
      <c r="M40" s="17" t="n">
        <f aca="false">IF($J40=0,"",INDEX(ROTACAO_RDM!$I$6:$I$71,$J40))</f>
        <v>46422</v>
      </c>
      <c r="N40" s="16" t="n">
        <f aca="false">IF($J40=0,0,MAX(0,$C40+INT(DIAS_POR_SEMANA/2)-INDEX(ROTACAO_RDM!$I$6:$I$71,$J40)))</f>
        <v>84</v>
      </c>
      <c r="O40" s="19" t="n">
        <f aca="false">IF($J40=0,0,MIN(1,$N40/MAX(1,INDEX(ROTACAO_RDM!$K$6:$K$71,$J40))))</f>
        <v>0.430769230769231</v>
      </c>
      <c r="P40" s="16" t="n">
        <f aca="false">IF($J40=0,0,IFERROR(MATCH(INDEX(ROTACAO_RDM!$N$6:$N$71,$J40),PARAMETROS_CULTURAS!$B$6:$B$28,0),0))</f>
        <v>5</v>
      </c>
      <c r="Q40" s="8" t="str">
        <f aca="false">IF($P40=0,"-",IF($O40&lt;=INDEX(PARAMETROS_CULTURAS!$F$6:$F$28,$P40),"INICIAL",IF($O40&lt;=INDEX(PARAMETROS_CULTURAS!$F$6:$F$28,$P40)+INDEX(PARAMETROS_CULTURAS!$G$6:$G$28,$P40),"DESENVOLVIMENTO",IF($O40&lt;=INDEX(PARAMETROS_CULTURAS!$F$6:$F$28,$P40)+INDEX(PARAMETROS_CULTURAS!$G$6:$G$28,$P40)+INDEX(PARAMETROS_CULTURAS!$H$6:$H$28,$P40),"MEDIA","FINAL"))))</f>
        <v>MEDIA</v>
      </c>
      <c r="R40" s="24" t="n">
        <f aca="false">IF($P40=0,0,IF($O40&lt;=INDEX(PARAMETROS_CULTURAS!$F$6:$F$28,$P40),INDEX(PARAMETROS_CULTURAS!$K$6:$K$28,$P40),IF($O40&lt;=INDEX(PARAMETROS_CULTURAS!$F$6:$F$28,$P40)+INDEX(PARAMETROS_CULTURAS!$G$6:$G$28,$P40),INDEX(PARAMETROS_CULTURAS!$K$6:$K$28,$P40)+(INDEX(PARAMETROS_CULTURAS!$L$6:$L$28,$P40)-INDEX(PARAMETROS_CULTURAS!$K$6:$K$28,$P40))*($O40-INDEX(PARAMETROS_CULTURAS!$F$6:$F$28,$P40))/MAX(INDEX(PARAMETROS_CULTURAS!$G$6:$G$28,$P40),0.0001),IF($O40&lt;=INDEX(PARAMETROS_CULTURAS!$F$6:$F$28,$P40)+INDEX(PARAMETROS_CULTURAS!$G$6:$G$28,$P40)+INDEX(PARAMETROS_CULTURAS!$H$6:$H$28,$P40),INDEX(PARAMETROS_CULTURAS!$L$6:$L$28,$P40),INDEX(PARAMETROS_CULTURAS!$L$6:$L$28,$P40)+(INDEX(PARAMETROS_CULTURAS!$M$6:$M$28,$P40)-INDEX(PARAMETROS_CULTURAS!$L$6:$L$28,$P40))*($O40-INDEX(PARAMETROS_CULTURAS!$F$6:$F$28,$P40)-INDEX(PARAMETROS_CULTURAS!$G$6:$G$28,$P40)-INDEX(PARAMETROS_CULTURAS!$H$6:$H$28,$P40))/MAX(INDEX(PARAMETROS_CULTURAS!$I$6:$I$28,$P40),0.0001)))))</f>
        <v>1.15</v>
      </c>
      <c r="S40" s="18" t="n">
        <f aca="false">IFERROR(INDEX(SEMANAS!$H$6:$H$71,MATCH($B40,SEMANAS!$B$6:$B$71,0)),0)</f>
        <v>30.9</v>
      </c>
      <c r="T40" s="18" t="n">
        <f aca="false">$R40*$S40</f>
        <v>35.535</v>
      </c>
      <c r="U40" s="18" t="n">
        <f aca="false">IFERROR(INDEX(SEMANAS!$I$6:$I$71,MATCH($B40,SEMANAS!$B$6:$B$71,0)),0)</f>
        <v>12.61</v>
      </c>
      <c r="V40" s="18" t="n">
        <f aca="false">IFERROR(INDEX(SEMANAS!$J$6:$J$71,MATCH($B40,SEMANAS!$B$6:$B$71,0)),0)</f>
        <v>10.088</v>
      </c>
      <c r="W40" s="18" t="n">
        <f aca="false">MAX(0,$T40-$V40)</f>
        <v>25.447</v>
      </c>
      <c r="X40" s="19" t="n">
        <f aca="false">IFERROR(INDEX(CADASTRO_PIVOS!$K$6:$K$41,MATCH($E40,CADASTRO_PIVOS!$B$6:$B$41,0)),EFICIENCIA_PADRAO)</f>
        <v>0.85</v>
      </c>
      <c r="Y40" s="18" t="n">
        <f aca="false">IF($X40&lt;=0,0,$W40/$X40)</f>
        <v>29.9376470588235</v>
      </c>
      <c r="Z40" s="16" t="n">
        <f aca="false">$Y40*$H40*MM_PARA_M3_HA</f>
        <v>29431.7008235294</v>
      </c>
      <c r="AA40" s="18" t="n">
        <f aca="false">IFERROR(INDEX(CADASTRO_PIVOS!$I$6:$I$41,MATCH($E40,CADASTRO_PIVOS!$B$6:$B$41,0)),0)</f>
        <v>702.214285714286</v>
      </c>
      <c r="AB40" s="18" t="n">
        <f aca="false">IF($Z40&lt;=0,0,$Z40/$AA40)</f>
        <v>41.9127058823529</v>
      </c>
      <c r="AC40" s="16" t="n">
        <f aca="false">IFERROR(INDEX(SEMANAS!$K$6:$K$71,MATCH($B40,SEMANAS!$B$6:$B$71,0)),0)</f>
        <v>147</v>
      </c>
      <c r="AD40" s="19" t="n">
        <f aca="false">IF($AC40&lt;=0,0,$AB40/$AC40)</f>
        <v>0.285120448179272</v>
      </c>
      <c r="AE40" s="8" t="str">
        <f aca="false">IF($K40="SEM CULTURA","SEM CULTURA",IF($AA40&lt;=0,"DADO PENDENTE",IF($AD40&gt;LIMITE_CRITICO,"INVIAVEL",IF($AD40&gt;LIMITE_ATENCAO,"CRITICO",IF($AD40&gt;LIMITE_CONFORTAVEL,"ATENCAO","OK")))))</f>
        <v>OK</v>
      </c>
      <c r="AF40" s="8" t="str">
        <f aca="false">$B40&amp;"|"&amp;TEXT($AD40,"0.000000")</f>
        <v>35|0.285120</v>
      </c>
      <c r="AG40" s="18" t="n">
        <f aca="false">IF($K40="SEM CULTURA",0,$T40*$H40)</f>
        <v>3493.44585</v>
      </c>
      <c r="AH40" s="18" t="n">
        <f aca="false">IF($K40="SEM CULTURA",0,$V40*$H40)</f>
        <v>991.75128</v>
      </c>
      <c r="AI40" s="18" t="n">
        <f aca="false">IF($K40="SEM CULTURA",0,$W40*$H40)</f>
        <v>2501.69457</v>
      </c>
      <c r="AJ40" s="18" t="n">
        <f aca="false">IF($K40="SEM CULTURA",0,$S40*$H40)</f>
        <v>3037.779</v>
      </c>
      <c r="AK40" s="8" t="str">
        <f aca="false">$E40&amp;"|"&amp;TEXT($AD40,"0.000000")</f>
        <v>PV 109|0.285120</v>
      </c>
    </row>
    <row r="41" customFormat="false" ht="15" hidden="false" customHeight="false" outlineLevel="0" collapsed="false">
      <c r="B41" s="16" t="n">
        <v>36</v>
      </c>
      <c r="C41" s="17" t="n">
        <f aca="false">DATA_INICIO_SAFRA+($B41-1)*DIAS_POR_SEMANA</f>
        <v>46510</v>
      </c>
      <c r="D41" s="17" t="n">
        <f aca="false">$C41+DIAS_POR_SEMANA-1</f>
        <v>46516</v>
      </c>
      <c r="E41" s="15" t="s">
        <v>259</v>
      </c>
      <c r="F41" s="8" t="str">
        <f aca="false">IFERROR(INDEX(CADASTRO_PIVOS!$C$6:$C$41,MATCH($E41,CADASTRO_PIVOS!$B$6:$B$41,0)),"?")</f>
        <v>RM01</v>
      </c>
      <c r="G41" s="8" t="str">
        <f aca="false">IFERROR(INDEX(CADASTRO_PIVOS!$D$6:$D$41,MATCH($E41,CADASTRO_PIVOS!$B$6:$B$41,0)),"?")</f>
        <v>TR01</v>
      </c>
      <c r="H41" s="20" t="n">
        <f aca="false">IFERROR(INDEX(CADASTRO_PIVOS!$E$6:$E$41,MATCH($E41,CADASTRO_PIVOS!$B$6:$B$41,0)),0)</f>
        <v>98.31</v>
      </c>
      <c r="I41" s="16" t="n">
        <f aca="false">IFERROR(SUMIFS(ROTACAO_RDM!$B$6:$B$71,ROTACAO_RDM!$D$6:$D$71,$E41,ROTACAO_RDM!$I$6:$I$71,"&lt;="&amp;$C41+INT(DIAS_POR_SEMANA/2),ROTACAO_RDM!$J$6:$J$71,"&gt;="&amp;$C41+INT(DIAS_POR_SEMANA/2)),0)</f>
        <v>16</v>
      </c>
      <c r="J41" s="16" t="n">
        <f aca="false">IFERROR(MATCH($I41,ROTACAO_RDM!$B$6:$B$71,0),0)</f>
        <v>16</v>
      </c>
      <c r="K41" s="8" t="str">
        <f aca="false">IF($J41=0,"SEM CULTURA",INDEX(ROTACAO_RDM!$F$6:$F$71,$J41))</f>
        <v>ALGODAO</v>
      </c>
      <c r="L41" s="8" t="str">
        <f aca="false">IF($J41=0,"",INDEX(ROTACAO_RDM!$G$6:$G$71,$J41))</f>
        <v>FM 933 STP</v>
      </c>
      <c r="M41" s="17" t="n">
        <f aca="false">IF($J41=0,"",INDEX(ROTACAO_RDM!$I$6:$I$71,$J41))</f>
        <v>46422</v>
      </c>
      <c r="N41" s="16" t="n">
        <f aca="false">IF($J41=0,0,MAX(0,$C41+INT(DIAS_POR_SEMANA/2)-INDEX(ROTACAO_RDM!$I$6:$I$71,$J41)))</f>
        <v>91</v>
      </c>
      <c r="O41" s="19" t="n">
        <f aca="false">IF($J41=0,0,MIN(1,$N41/MAX(1,INDEX(ROTACAO_RDM!$K$6:$K$71,$J41))))</f>
        <v>0.466666666666667</v>
      </c>
      <c r="P41" s="16" t="n">
        <f aca="false">IF($J41=0,0,IFERROR(MATCH(INDEX(ROTACAO_RDM!$N$6:$N$71,$J41),PARAMETROS_CULTURAS!$B$6:$B$28,0),0))</f>
        <v>5</v>
      </c>
      <c r="Q41" s="8" t="str">
        <f aca="false">IF($P41=0,"-",IF($O41&lt;=INDEX(PARAMETROS_CULTURAS!$F$6:$F$28,$P41),"INICIAL",IF($O41&lt;=INDEX(PARAMETROS_CULTURAS!$F$6:$F$28,$P41)+INDEX(PARAMETROS_CULTURAS!$G$6:$G$28,$P41),"DESENVOLVIMENTO",IF($O41&lt;=INDEX(PARAMETROS_CULTURAS!$F$6:$F$28,$P41)+INDEX(PARAMETROS_CULTURAS!$G$6:$G$28,$P41)+INDEX(PARAMETROS_CULTURAS!$H$6:$H$28,$P41),"MEDIA","FINAL"))))</f>
        <v>MEDIA</v>
      </c>
      <c r="R41" s="24" t="n">
        <f aca="false">IF($P41=0,0,IF($O41&lt;=INDEX(PARAMETROS_CULTURAS!$F$6:$F$28,$P41),INDEX(PARAMETROS_CULTURAS!$K$6:$K$28,$P41),IF($O41&lt;=INDEX(PARAMETROS_CULTURAS!$F$6:$F$28,$P41)+INDEX(PARAMETROS_CULTURAS!$G$6:$G$28,$P41),INDEX(PARAMETROS_CULTURAS!$K$6:$K$28,$P41)+(INDEX(PARAMETROS_CULTURAS!$L$6:$L$28,$P41)-INDEX(PARAMETROS_CULTURAS!$K$6:$K$28,$P41))*($O41-INDEX(PARAMETROS_CULTURAS!$F$6:$F$28,$P41))/MAX(INDEX(PARAMETROS_CULTURAS!$G$6:$G$28,$P41),0.0001),IF($O41&lt;=INDEX(PARAMETROS_CULTURAS!$F$6:$F$28,$P41)+INDEX(PARAMETROS_CULTURAS!$G$6:$G$28,$P41)+INDEX(PARAMETROS_CULTURAS!$H$6:$H$28,$P41),INDEX(PARAMETROS_CULTURAS!$L$6:$L$28,$P41),INDEX(PARAMETROS_CULTURAS!$L$6:$L$28,$P41)+(INDEX(PARAMETROS_CULTURAS!$M$6:$M$28,$P41)-INDEX(PARAMETROS_CULTURAS!$L$6:$L$28,$P41))*($O41-INDEX(PARAMETROS_CULTURAS!$F$6:$F$28,$P41)-INDEX(PARAMETROS_CULTURAS!$G$6:$G$28,$P41)-INDEX(PARAMETROS_CULTURAS!$H$6:$H$28,$P41))/MAX(INDEX(PARAMETROS_CULTURAS!$I$6:$I$28,$P41),0.0001)))))</f>
        <v>1.15</v>
      </c>
      <c r="S41" s="18" t="n">
        <f aca="false">IFERROR(INDEX(SEMANAS!$H$6:$H$71,MATCH($B41,SEMANAS!$B$6:$B$71,0)),0)</f>
        <v>29.4</v>
      </c>
      <c r="T41" s="18" t="n">
        <f aca="false">$R41*$S41</f>
        <v>33.81</v>
      </c>
      <c r="U41" s="18" t="n">
        <f aca="false">IFERROR(INDEX(SEMANAS!$I$6:$I$71,MATCH($B41,SEMANAS!$B$6:$B$71,0)),0)</f>
        <v>3.36</v>
      </c>
      <c r="V41" s="18" t="n">
        <f aca="false">IFERROR(INDEX(SEMANAS!$J$6:$J$71,MATCH($B41,SEMANAS!$B$6:$B$71,0)),0)</f>
        <v>2.688</v>
      </c>
      <c r="W41" s="18" t="n">
        <f aca="false">MAX(0,$T41-$V41)</f>
        <v>31.122</v>
      </c>
      <c r="X41" s="19" t="n">
        <f aca="false">IFERROR(INDEX(CADASTRO_PIVOS!$K$6:$K$41,MATCH($E41,CADASTRO_PIVOS!$B$6:$B$41,0)),EFICIENCIA_PADRAO)</f>
        <v>0.85</v>
      </c>
      <c r="Y41" s="18" t="n">
        <f aca="false">IF($X41&lt;=0,0,$W41/$X41)</f>
        <v>36.6141176470588</v>
      </c>
      <c r="Z41" s="16" t="n">
        <f aca="false">$Y41*$H41*MM_PARA_M3_HA</f>
        <v>35995.3390588235</v>
      </c>
      <c r="AA41" s="18" t="n">
        <f aca="false">IFERROR(INDEX(CADASTRO_PIVOS!$I$6:$I$41,MATCH($E41,CADASTRO_PIVOS!$B$6:$B$41,0)),0)</f>
        <v>702.214285714286</v>
      </c>
      <c r="AB41" s="18" t="n">
        <f aca="false">IF($Z41&lt;=0,0,$Z41/$AA41)</f>
        <v>51.2597647058824</v>
      </c>
      <c r="AC41" s="16" t="n">
        <f aca="false">IFERROR(INDEX(SEMANAS!$K$6:$K$71,MATCH($B41,SEMANAS!$B$6:$B$71,0)),0)</f>
        <v>147</v>
      </c>
      <c r="AD41" s="19" t="n">
        <f aca="false">IF($AC41&lt;=0,0,$AB41/$AC41)</f>
        <v>0.348705882352941</v>
      </c>
      <c r="AE41" s="8" t="str">
        <f aca="false">IF($K41="SEM CULTURA","SEM CULTURA",IF($AA41&lt;=0,"DADO PENDENTE",IF($AD41&gt;LIMITE_CRITICO,"INVIAVEL",IF($AD41&gt;LIMITE_ATENCAO,"CRITICO",IF($AD41&gt;LIMITE_CONFORTAVEL,"ATENCAO","OK")))))</f>
        <v>OK</v>
      </c>
      <c r="AF41" s="8" t="str">
        <f aca="false">$B41&amp;"|"&amp;TEXT($AD41,"0.000000")</f>
        <v>36|0.348706</v>
      </c>
      <c r="AG41" s="18" t="n">
        <f aca="false">IF($K41="SEM CULTURA",0,$T41*$H41)</f>
        <v>3323.8611</v>
      </c>
      <c r="AH41" s="18" t="n">
        <f aca="false">IF($K41="SEM CULTURA",0,$V41*$H41)</f>
        <v>264.25728</v>
      </c>
      <c r="AI41" s="18" t="n">
        <f aca="false">IF($K41="SEM CULTURA",0,$W41*$H41)</f>
        <v>3059.60382</v>
      </c>
      <c r="AJ41" s="18" t="n">
        <f aca="false">IF($K41="SEM CULTURA",0,$S41*$H41)</f>
        <v>2890.314</v>
      </c>
      <c r="AK41" s="8" t="str">
        <f aca="false">$E41&amp;"|"&amp;TEXT($AD41,"0.000000")</f>
        <v>PV 109|0.348706</v>
      </c>
    </row>
    <row r="42" customFormat="false" ht="15" hidden="false" customHeight="false" outlineLevel="0" collapsed="false">
      <c r="B42" s="16" t="n">
        <v>37</v>
      </c>
      <c r="C42" s="17" t="n">
        <f aca="false">DATA_INICIO_SAFRA+($B42-1)*DIAS_POR_SEMANA</f>
        <v>46517</v>
      </c>
      <c r="D42" s="17" t="n">
        <f aca="false">$C42+DIAS_POR_SEMANA-1</f>
        <v>46523</v>
      </c>
      <c r="E42" s="15" t="s">
        <v>259</v>
      </c>
      <c r="F42" s="8" t="str">
        <f aca="false">IFERROR(INDEX(CADASTRO_PIVOS!$C$6:$C$41,MATCH($E42,CADASTRO_PIVOS!$B$6:$B$41,0)),"?")</f>
        <v>RM01</v>
      </c>
      <c r="G42" s="8" t="str">
        <f aca="false">IFERROR(INDEX(CADASTRO_PIVOS!$D$6:$D$41,MATCH($E42,CADASTRO_PIVOS!$B$6:$B$41,0)),"?")</f>
        <v>TR01</v>
      </c>
      <c r="H42" s="20" t="n">
        <f aca="false">IFERROR(INDEX(CADASTRO_PIVOS!$E$6:$E$41,MATCH($E42,CADASTRO_PIVOS!$B$6:$B$41,0)),0)</f>
        <v>98.31</v>
      </c>
      <c r="I42" s="16" t="n">
        <f aca="false">IFERROR(SUMIFS(ROTACAO_RDM!$B$6:$B$71,ROTACAO_RDM!$D$6:$D$71,$E42,ROTACAO_RDM!$I$6:$I$71,"&lt;="&amp;$C42+INT(DIAS_POR_SEMANA/2),ROTACAO_RDM!$J$6:$J$71,"&gt;="&amp;$C42+INT(DIAS_POR_SEMANA/2)),0)</f>
        <v>16</v>
      </c>
      <c r="J42" s="16" t="n">
        <f aca="false">IFERROR(MATCH($I42,ROTACAO_RDM!$B$6:$B$71,0),0)</f>
        <v>16</v>
      </c>
      <c r="K42" s="8" t="str">
        <f aca="false">IF($J42=0,"SEM CULTURA",INDEX(ROTACAO_RDM!$F$6:$F$71,$J42))</f>
        <v>ALGODAO</v>
      </c>
      <c r="L42" s="8" t="str">
        <f aca="false">IF($J42=0,"",INDEX(ROTACAO_RDM!$G$6:$G$71,$J42))</f>
        <v>FM 933 STP</v>
      </c>
      <c r="M42" s="17" t="n">
        <f aca="false">IF($J42=0,"",INDEX(ROTACAO_RDM!$I$6:$I$71,$J42))</f>
        <v>46422</v>
      </c>
      <c r="N42" s="16" t="n">
        <f aca="false">IF($J42=0,0,MAX(0,$C42+INT(DIAS_POR_SEMANA/2)-INDEX(ROTACAO_RDM!$I$6:$I$71,$J42)))</f>
        <v>98</v>
      </c>
      <c r="O42" s="19" t="n">
        <f aca="false">IF($J42=0,0,MIN(1,$N42/MAX(1,INDEX(ROTACAO_RDM!$K$6:$K$71,$J42))))</f>
        <v>0.502564102564103</v>
      </c>
      <c r="P42" s="16" t="n">
        <f aca="false">IF($J42=0,0,IFERROR(MATCH(INDEX(ROTACAO_RDM!$N$6:$N$71,$J42),PARAMETROS_CULTURAS!$B$6:$B$28,0),0))</f>
        <v>5</v>
      </c>
      <c r="Q42" s="8" t="str">
        <f aca="false">IF($P42=0,"-",IF($O42&lt;=INDEX(PARAMETROS_CULTURAS!$F$6:$F$28,$P42),"INICIAL",IF($O42&lt;=INDEX(PARAMETROS_CULTURAS!$F$6:$F$28,$P42)+INDEX(PARAMETROS_CULTURAS!$G$6:$G$28,$P42),"DESENVOLVIMENTO",IF($O42&lt;=INDEX(PARAMETROS_CULTURAS!$F$6:$F$28,$P42)+INDEX(PARAMETROS_CULTURAS!$G$6:$G$28,$P42)+INDEX(PARAMETROS_CULTURAS!$H$6:$H$28,$P42),"MEDIA","FINAL"))))</f>
        <v>MEDIA</v>
      </c>
      <c r="R42" s="24" t="n">
        <f aca="false">IF($P42=0,0,IF($O42&lt;=INDEX(PARAMETROS_CULTURAS!$F$6:$F$28,$P42),INDEX(PARAMETROS_CULTURAS!$K$6:$K$28,$P42),IF($O42&lt;=INDEX(PARAMETROS_CULTURAS!$F$6:$F$28,$P42)+INDEX(PARAMETROS_CULTURAS!$G$6:$G$28,$P42),INDEX(PARAMETROS_CULTURAS!$K$6:$K$28,$P42)+(INDEX(PARAMETROS_CULTURAS!$L$6:$L$28,$P42)-INDEX(PARAMETROS_CULTURAS!$K$6:$K$28,$P42))*($O42-INDEX(PARAMETROS_CULTURAS!$F$6:$F$28,$P42))/MAX(INDEX(PARAMETROS_CULTURAS!$G$6:$G$28,$P42),0.0001),IF($O42&lt;=INDEX(PARAMETROS_CULTURAS!$F$6:$F$28,$P42)+INDEX(PARAMETROS_CULTURAS!$G$6:$G$28,$P42)+INDEX(PARAMETROS_CULTURAS!$H$6:$H$28,$P42),INDEX(PARAMETROS_CULTURAS!$L$6:$L$28,$P42),INDEX(PARAMETROS_CULTURAS!$L$6:$L$28,$P42)+(INDEX(PARAMETROS_CULTURAS!$M$6:$M$28,$P42)-INDEX(PARAMETROS_CULTURAS!$L$6:$L$28,$P42))*($O42-INDEX(PARAMETROS_CULTURAS!$F$6:$F$28,$P42)-INDEX(PARAMETROS_CULTURAS!$G$6:$G$28,$P42)-INDEX(PARAMETROS_CULTURAS!$H$6:$H$28,$P42))/MAX(INDEX(PARAMETROS_CULTURAS!$I$6:$I$28,$P42),0.0001)))))</f>
        <v>1.15</v>
      </c>
      <c r="S42" s="18" t="n">
        <f aca="false">IFERROR(INDEX(SEMANAS!$H$6:$H$71,MATCH($B42,SEMANAS!$B$6:$B$71,0)),0)</f>
        <v>29.4</v>
      </c>
      <c r="T42" s="18" t="n">
        <f aca="false">$R42*$S42</f>
        <v>33.81</v>
      </c>
      <c r="U42" s="18" t="n">
        <f aca="false">IFERROR(INDEX(SEMANAS!$I$6:$I$71,MATCH($B42,SEMANAS!$B$6:$B$71,0)),0)</f>
        <v>3.36</v>
      </c>
      <c r="V42" s="18" t="n">
        <f aca="false">IFERROR(INDEX(SEMANAS!$J$6:$J$71,MATCH($B42,SEMANAS!$B$6:$B$71,0)),0)</f>
        <v>2.688</v>
      </c>
      <c r="W42" s="18" t="n">
        <f aca="false">MAX(0,$T42-$V42)</f>
        <v>31.122</v>
      </c>
      <c r="X42" s="19" t="n">
        <f aca="false">IFERROR(INDEX(CADASTRO_PIVOS!$K$6:$K$41,MATCH($E42,CADASTRO_PIVOS!$B$6:$B$41,0)),EFICIENCIA_PADRAO)</f>
        <v>0.85</v>
      </c>
      <c r="Y42" s="18" t="n">
        <f aca="false">IF($X42&lt;=0,0,$W42/$X42)</f>
        <v>36.6141176470588</v>
      </c>
      <c r="Z42" s="16" t="n">
        <f aca="false">$Y42*$H42*MM_PARA_M3_HA</f>
        <v>35995.3390588235</v>
      </c>
      <c r="AA42" s="18" t="n">
        <f aca="false">IFERROR(INDEX(CADASTRO_PIVOS!$I$6:$I$41,MATCH($E42,CADASTRO_PIVOS!$B$6:$B$41,0)),0)</f>
        <v>702.214285714286</v>
      </c>
      <c r="AB42" s="18" t="n">
        <f aca="false">IF($Z42&lt;=0,0,$Z42/$AA42)</f>
        <v>51.2597647058824</v>
      </c>
      <c r="AC42" s="16" t="n">
        <f aca="false">IFERROR(INDEX(SEMANAS!$K$6:$K$71,MATCH($B42,SEMANAS!$B$6:$B$71,0)),0)</f>
        <v>147</v>
      </c>
      <c r="AD42" s="19" t="n">
        <f aca="false">IF($AC42&lt;=0,0,$AB42/$AC42)</f>
        <v>0.348705882352941</v>
      </c>
      <c r="AE42" s="8" t="str">
        <f aca="false">IF($K42="SEM CULTURA","SEM CULTURA",IF($AA42&lt;=0,"DADO PENDENTE",IF($AD42&gt;LIMITE_CRITICO,"INVIAVEL",IF($AD42&gt;LIMITE_ATENCAO,"CRITICO",IF($AD42&gt;LIMITE_CONFORTAVEL,"ATENCAO","OK")))))</f>
        <v>OK</v>
      </c>
      <c r="AF42" s="8" t="str">
        <f aca="false">$B42&amp;"|"&amp;TEXT($AD42,"0.000000")</f>
        <v>37|0.348706</v>
      </c>
      <c r="AG42" s="18" t="n">
        <f aca="false">IF($K42="SEM CULTURA",0,$T42*$H42)</f>
        <v>3323.8611</v>
      </c>
      <c r="AH42" s="18" t="n">
        <f aca="false">IF($K42="SEM CULTURA",0,$V42*$H42)</f>
        <v>264.25728</v>
      </c>
      <c r="AI42" s="18" t="n">
        <f aca="false">IF($K42="SEM CULTURA",0,$W42*$H42)</f>
        <v>3059.60382</v>
      </c>
      <c r="AJ42" s="18" t="n">
        <f aca="false">IF($K42="SEM CULTURA",0,$S42*$H42)</f>
        <v>2890.314</v>
      </c>
      <c r="AK42" s="8" t="str">
        <f aca="false">$E42&amp;"|"&amp;TEXT($AD42,"0.000000")</f>
        <v>PV 109|0.348706</v>
      </c>
    </row>
    <row r="43" customFormat="false" ht="15" hidden="false" customHeight="false" outlineLevel="0" collapsed="false">
      <c r="B43" s="16" t="n">
        <v>38</v>
      </c>
      <c r="C43" s="17" t="n">
        <f aca="false">DATA_INICIO_SAFRA+($B43-1)*DIAS_POR_SEMANA</f>
        <v>46524</v>
      </c>
      <c r="D43" s="17" t="n">
        <f aca="false">$C43+DIAS_POR_SEMANA-1</f>
        <v>46530</v>
      </c>
      <c r="E43" s="15" t="s">
        <v>259</v>
      </c>
      <c r="F43" s="8" t="str">
        <f aca="false">IFERROR(INDEX(CADASTRO_PIVOS!$C$6:$C$41,MATCH($E43,CADASTRO_PIVOS!$B$6:$B$41,0)),"?")</f>
        <v>RM01</v>
      </c>
      <c r="G43" s="8" t="str">
        <f aca="false">IFERROR(INDEX(CADASTRO_PIVOS!$D$6:$D$41,MATCH($E43,CADASTRO_PIVOS!$B$6:$B$41,0)),"?")</f>
        <v>TR01</v>
      </c>
      <c r="H43" s="20" t="n">
        <f aca="false">IFERROR(INDEX(CADASTRO_PIVOS!$E$6:$E$41,MATCH($E43,CADASTRO_PIVOS!$B$6:$B$41,0)),0)</f>
        <v>98.31</v>
      </c>
      <c r="I43" s="16" t="n">
        <f aca="false">IFERROR(SUMIFS(ROTACAO_RDM!$B$6:$B$71,ROTACAO_RDM!$D$6:$D$71,$E43,ROTACAO_RDM!$I$6:$I$71,"&lt;="&amp;$C43+INT(DIAS_POR_SEMANA/2),ROTACAO_RDM!$J$6:$J$71,"&gt;="&amp;$C43+INT(DIAS_POR_SEMANA/2)),0)</f>
        <v>16</v>
      </c>
      <c r="J43" s="16" t="n">
        <f aca="false">IFERROR(MATCH($I43,ROTACAO_RDM!$B$6:$B$71,0),0)</f>
        <v>16</v>
      </c>
      <c r="K43" s="8" t="str">
        <f aca="false">IF($J43=0,"SEM CULTURA",INDEX(ROTACAO_RDM!$F$6:$F$71,$J43))</f>
        <v>ALGODAO</v>
      </c>
      <c r="L43" s="8" t="str">
        <f aca="false">IF($J43=0,"",INDEX(ROTACAO_RDM!$G$6:$G$71,$J43))</f>
        <v>FM 933 STP</v>
      </c>
      <c r="M43" s="17" t="n">
        <f aca="false">IF($J43=0,"",INDEX(ROTACAO_RDM!$I$6:$I$71,$J43))</f>
        <v>46422</v>
      </c>
      <c r="N43" s="16" t="n">
        <f aca="false">IF($J43=0,0,MAX(0,$C43+INT(DIAS_POR_SEMANA/2)-INDEX(ROTACAO_RDM!$I$6:$I$71,$J43)))</f>
        <v>105</v>
      </c>
      <c r="O43" s="19" t="n">
        <f aca="false">IF($J43=0,0,MIN(1,$N43/MAX(1,INDEX(ROTACAO_RDM!$K$6:$K$71,$J43))))</f>
        <v>0.538461538461538</v>
      </c>
      <c r="P43" s="16" t="n">
        <f aca="false">IF($J43=0,0,IFERROR(MATCH(INDEX(ROTACAO_RDM!$N$6:$N$71,$J43),PARAMETROS_CULTURAS!$B$6:$B$28,0),0))</f>
        <v>5</v>
      </c>
      <c r="Q43" s="8" t="str">
        <f aca="false">IF($P43=0,"-",IF($O43&lt;=INDEX(PARAMETROS_CULTURAS!$F$6:$F$28,$P43),"INICIAL",IF($O43&lt;=INDEX(PARAMETROS_CULTURAS!$F$6:$F$28,$P43)+INDEX(PARAMETROS_CULTURAS!$G$6:$G$28,$P43),"DESENVOLVIMENTO",IF($O43&lt;=INDEX(PARAMETROS_CULTURAS!$F$6:$F$28,$P43)+INDEX(PARAMETROS_CULTURAS!$G$6:$G$28,$P43)+INDEX(PARAMETROS_CULTURAS!$H$6:$H$28,$P43),"MEDIA","FINAL"))))</f>
        <v>MEDIA</v>
      </c>
      <c r="R43" s="24" t="n">
        <f aca="false">IF($P43=0,0,IF($O43&lt;=INDEX(PARAMETROS_CULTURAS!$F$6:$F$28,$P43),INDEX(PARAMETROS_CULTURAS!$K$6:$K$28,$P43),IF($O43&lt;=INDEX(PARAMETROS_CULTURAS!$F$6:$F$28,$P43)+INDEX(PARAMETROS_CULTURAS!$G$6:$G$28,$P43),INDEX(PARAMETROS_CULTURAS!$K$6:$K$28,$P43)+(INDEX(PARAMETROS_CULTURAS!$L$6:$L$28,$P43)-INDEX(PARAMETROS_CULTURAS!$K$6:$K$28,$P43))*($O43-INDEX(PARAMETROS_CULTURAS!$F$6:$F$28,$P43))/MAX(INDEX(PARAMETROS_CULTURAS!$G$6:$G$28,$P43),0.0001),IF($O43&lt;=INDEX(PARAMETROS_CULTURAS!$F$6:$F$28,$P43)+INDEX(PARAMETROS_CULTURAS!$G$6:$G$28,$P43)+INDEX(PARAMETROS_CULTURAS!$H$6:$H$28,$P43),INDEX(PARAMETROS_CULTURAS!$L$6:$L$28,$P43),INDEX(PARAMETROS_CULTURAS!$L$6:$L$28,$P43)+(INDEX(PARAMETROS_CULTURAS!$M$6:$M$28,$P43)-INDEX(PARAMETROS_CULTURAS!$L$6:$L$28,$P43))*($O43-INDEX(PARAMETROS_CULTURAS!$F$6:$F$28,$P43)-INDEX(PARAMETROS_CULTURAS!$G$6:$G$28,$P43)-INDEX(PARAMETROS_CULTURAS!$H$6:$H$28,$P43))/MAX(INDEX(PARAMETROS_CULTURAS!$I$6:$I$28,$P43),0.0001)))))</f>
        <v>1.15</v>
      </c>
      <c r="S43" s="18" t="n">
        <f aca="false">IFERROR(INDEX(SEMANAS!$H$6:$H$71,MATCH($B43,SEMANAS!$B$6:$B$71,0)),0)</f>
        <v>29.4</v>
      </c>
      <c r="T43" s="18" t="n">
        <f aca="false">$R43*$S43</f>
        <v>33.81</v>
      </c>
      <c r="U43" s="18" t="n">
        <f aca="false">IFERROR(INDEX(SEMANAS!$I$6:$I$71,MATCH($B43,SEMANAS!$B$6:$B$71,0)),0)</f>
        <v>3.36</v>
      </c>
      <c r="V43" s="18" t="n">
        <f aca="false">IFERROR(INDEX(SEMANAS!$J$6:$J$71,MATCH($B43,SEMANAS!$B$6:$B$71,0)),0)</f>
        <v>2.688</v>
      </c>
      <c r="W43" s="18" t="n">
        <f aca="false">MAX(0,$T43-$V43)</f>
        <v>31.122</v>
      </c>
      <c r="X43" s="19" t="n">
        <f aca="false">IFERROR(INDEX(CADASTRO_PIVOS!$K$6:$K$41,MATCH($E43,CADASTRO_PIVOS!$B$6:$B$41,0)),EFICIENCIA_PADRAO)</f>
        <v>0.85</v>
      </c>
      <c r="Y43" s="18" t="n">
        <f aca="false">IF($X43&lt;=0,0,$W43/$X43)</f>
        <v>36.6141176470588</v>
      </c>
      <c r="Z43" s="16" t="n">
        <f aca="false">$Y43*$H43*MM_PARA_M3_HA</f>
        <v>35995.3390588235</v>
      </c>
      <c r="AA43" s="18" t="n">
        <f aca="false">IFERROR(INDEX(CADASTRO_PIVOS!$I$6:$I$41,MATCH($E43,CADASTRO_PIVOS!$B$6:$B$41,0)),0)</f>
        <v>702.214285714286</v>
      </c>
      <c r="AB43" s="18" t="n">
        <f aca="false">IF($Z43&lt;=0,0,$Z43/$AA43)</f>
        <v>51.2597647058824</v>
      </c>
      <c r="AC43" s="16" t="n">
        <f aca="false">IFERROR(INDEX(SEMANAS!$K$6:$K$71,MATCH($B43,SEMANAS!$B$6:$B$71,0)),0)</f>
        <v>147</v>
      </c>
      <c r="AD43" s="19" t="n">
        <f aca="false">IF($AC43&lt;=0,0,$AB43/$AC43)</f>
        <v>0.348705882352941</v>
      </c>
      <c r="AE43" s="8" t="str">
        <f aca="false">IF($K43="SEM CULTURA","SEM CULTURA",IF($AA43&lt;=0,"DADO PENDENTE",IF($AD43&gt;LIMITE_CRITICO,"INVIAVEL",IF($AD43&gt;LIMITE_ATENCAO,"CRITICO",IF($AD43&gt;LIMITE_CONFORTAVEL,"ATENCAO","OK")))))</f>
        <v>OK</v>
      </c>
      <c r="AF43" s="8" t="str">
        <f aca="false">$B43&amp;"|"&amp;TEXT($AD43,"0.000000")</f>
        <v>38|0.348706</v>
      </c>
      <c r="AG43" s="18" t="n">
        <f aca="false">IF($K43="SEM CULTURA",0,$T43*$H43)</f>
        <v>3323.8611</v>
      </c>
      <c r="AH43" s="18" t="n">
        <f aca="false">IF($K43="SEM CULTURA",0,$V43*$H43)</f>
        <v>264.25728</v>
      </c>
      <c r="AI43" s="18" t="n">
        <f aca="false">IF($K43="SEM CULTURA",0,$W43*$H43)</f>
        <v>3059.60382</v>
      </c>
      <c r="AJ43" s="18" t="n">
        <f aca="false">IF($K43="SEM CULTURA",0,$S43*$H43)</f>
        <v>2890.314</v>
      </c>
      <c r="AK43" s="8" t="str">
        <f aca="false">$E43&amp;"|"&amp;TEXT($AD43,"0.000000")</f>
        <v>PV 109|0.348706</v>
      </c>
    </row>
    <row r="44" customFormat="false" ht="15" hidden="false" customHeight="false" outlineLevel="0" collapsed="false">
      <c r="B44" s="16" t="n">
        <v>39</v>
      </c>
      <c r="C44" s="17" t="n">
        <f aca="false">DATA_INICIO_SAFRA+($B44-1)*DIAS_POR_SEMANA</f>
        <v>46531</v>
      </c>
      <c r="D44" s="17" t="n">
        <f aca="false">$C44+DIAS_POR_SEMANA-1</f>
        <v>46537</v>
      </c>
      <c r="E44" s="15" t="s">
        <v>259</v>
      </c>
      <c r="F44" s="8" t="str">
        <f aca="false">IFERROR(INDEX(CADASTRO_PIVOS!$C$6:$C$41,MATCH($E44,CADASTRO_PIVOS!$B$6:$B$41,0)),"?")</f>
        <v>RM01</v>
      </c>
      <c r="G44" s="8" t="str">
        <f aca="false">IFERROR(INDEX(CADASTRO_PIVOS!$D$6:$D$41,MATCH($E44,CADASTRO_PIVOS!$B$6:$B$41,0)),"?")</f>
        <v>TR01</v>
      </c>
      <c r="H44" s="20" t="n">
        <f aca="false">IFERROR(INDEX(CADASTRO_PIVOS!$E$6:$E$41,MATCH($E44,CADASTRO_PIVOS!$B$6:$B$41,0)),0)</f>
        <v>98.31</v>
      </c>
      <c r="I44" s="16" t="n">
        <f aca="false">IFERROR(SUMIFS(ROTACAO_RDM!$B$6:$B$71,ROTACAO_RDM!$D$6:$D$71,$E44,ROTACAO_RDM!$I$6:$I$71,"&lt;="&amp;$C44+INT(DIAS_POR_SEMANA/2),ROTACAO_RDM!$J$6:$J$71,"&gt;="&amp;$C44+INT(DIAS_POR_SEMANA/2)),0)</f>
        <v>16</v>
      </c>
      <c r="J44" s="16" t="n">
        <f aca="false">IFERROR(MATCH($I44,ROTACAO_RDM!$B$6:$B$71,0),0)</f>
        <v>16</v>
      </c>
      <c r="K44" s="8" t="str">
        <f aca="false">IF($J44=0,"SEM CULTURA",INDEX(ROTACAO_RDM!$F$6:$F$71,$J44))</f>
        <v>ALGODAO</v>
      </c>
      <c r="L44" s="8" t="str">
        <f aca="false">IF($J44=0,"",INDEX(ROTACAO_RDM!$G$6:$G$71,$J44))</f>
        <v>FM 933 STP</v>
      </c>
      <c r="M44" s="17" t="n">
        <f aca="false">IF($J44=0,"",INDEX(ROTACAO_RDM!$I$6:$I$71,$J44))</f>
        <v>46422</v>
      </c>
      <c r="N44" s="16" t="n">
        <f aca="false">IF($J44=0,0,MAX(0,$C44+INT(DIAS_POR_SEMANA/2)-INDEX(ROTACAO_RDM!$I$6:$I$71,$J44)))</f>
        <v>112</v>
      </c>
      <c r="O44" s="19" t="n">
        <f aca="false">IF($J44=0,0,MIN(1,$N44/MAX(1,INDEX(ROTACAO_RDM!$K$6:$K$71,$J44))))</f>
        <v>0.574358974358974</v>
      </c>
      <c r="P44" s="16" t="n">
        <f aca="false">IF($J44=0,0,IFERROR(MATCH(INDEX(ROTACAO_RDM!$N$6:$N$71,$J44),PARAMETROS_CULTURAS!$B$6:$B$28,0),0))</f>
        <v>5</v>
      </c>
      <c r="Q44" s="8" t="str">
        <f aca="false">IF($P44=0,"-",IF($O44&lt;=INDEX(PARAMETROS_CULTURAS!$F$6:$F$28,$P44),"INICIAL",IF($O44&lt;=INDEX(PARAMETROS_CULTURAS!$F$6:$F$28,$P44)+INDEX(PARAMETROS_CULTURAS!$G$6:$G$28,$P44),"DESENVOLVIMENTO",IF($O44&lt;=INDEX(PARAMETROS_CULTURAS!$F$6:$F$28,$P44)+INDEX(PARAMETROS_CULTURAS!$G$6:$G$28,$P44)+INDEX(PARAMETROS_CULTURAS!$H$6:$H$28,$P44),"MEDIA","FINAL"))))</f>
        <v>MEDIA</v>
      </c>
      <c r="R44" s="24" t="n">
        <f aca="false">IF($P44=0,0,IF($O44&lt;=INDEX(PARAMETROS_CULTURAS!$F$6:$F$28,$P44),INDEX(PARAMETROS_CULTURAS!$K$6:$K$28,$P44),IF($O44&lt;=INDEX(PARAMETROS_CULTURAS!$F$6:$F$28,$P44)+INDEX(PARAMETROS_CULTURAS!$G$6:$G$28,$P44),INDEX(PARAMETROS_CULTURAS!$K$6:$K$28,$P44)+(INDEX(PARAMETROS_CULTURAS!$L$6:$L$28,$P44)-INDEX(PARAMETROS_CULTURAS!$K$6:$K$28,$P44))*($O44-INDEX(PARAMETROS_CULTURAS!$F$6:$F$28,$P44))/MAX(INDEX(PARAMETROS_CULTURAS!$G$6:$G$28,$P44),0.0001),IF($O44&lt;=INDEX(PARAMETROS_CULTURAS!$F$6:$F$28,$P44)+INDEX(PARAMETROS_CULTURAS!$G$6:$G$28,$P44)+INDEX(PARAMETROS_CULTURAS!$H$6:$H$28,$P44),INDEX(PARAMETROS_CULTURAS!$L$6:$L$28,$P44),INDEX(PARAMETROS_CULTURAS!$L$6:$L$28,$P44)+(INDEX(PARAMETROS_CULTURAS!$M$6:$M$28,$P44)-INDEX(PARAMETROS_CULTURAS!$L$6:$L$28,$P44))*($O44-INDEX(PARAMETROS_CULTURAS!$F$6:$F$28,$P44)-INDEX(PARAMETROS_CULTURAS!$G$6:$G$28,$P44)-INDEX(PARAMETROS_CULTURAS!$H$6:$H$28,$P44))/MAX(INDEX(PARAMETROS_CULTURAS!$I$6:$I$28,$P44),0.0001)))))</f>
        <v>1.15</v>
      </c>
      <c r="S44" s="18" t="n">
        <f aca="false">IFERROR(INDEX(SEMANAS!$H$6:$H$71,MATCH($B44,SEMANAS!$B$6:$B$71,0)),0)</f>
        <v>29.4</v>
      </c>
      <c r="T44" s="18" t="n">
        <f aca="false">$R44*$S44</f>
        <v>33.81</v>
      </c>
      <c r="U44" s="18" t="n">
        <f aca="false">IFERROR(INDEX(SEMANAS!$I$6:$I$71,MATCH($B44,SEMANAS!$B$6:$B$71,0)),0)</f>
        <v>3.36</v>
      </c>
      <c r="V44" s="18" t="n">
        <f aca="false">IFERROR(INDEX(SEMANAS!$J$6:$J$71,MATCH($B44,SEMANAS!$B$6:$B$71,0)),0)</f>
        <v>2.688</v>
      </c>
      <c r="W44" s="18" t="n">
        <f aca="false">MAX(0,$T44-$V44)</f>
        <v>31.122</v>
      </c>
      <c r="X44" s="19" t="n">
        <f aca="false">IFERROR(INDEX(CADASTRO_PIVOS!$K$6:$K$41,MATCH($E44,CADASTRO_PIVOS!$B$6:$B$41,0)),EFICIENCIA_PADRAO)</f>
        <v>0.85</v>
      </c>
      <c r="Y44" s="18" t="n">
        <f aca="false">IF($X44&lt;=0,0,$W44/$X44)</f>
        <v>36.6141176470588</v>
      </c>
      <c r="Z44" s="16" t="n">
        <f aca="false">$Y44*$H44*MM_PARA_M3_HA</f>
        <v>35995.3390588235</v>
      </c>
      <c r="AA44" s="18" t="n">
        <f aca="false">IFERROR(INDEX(CADASTRO_PIVOS!$I$6:$I$41,MATCH($E44,CADASTRO_PIVOS!$B$6:$B$41,0)),0)</f>
        <v>702.214285714286</v>
      </c>
      <c r="AB44" s="18" t="n">
        <f aca="false">IF($Z44&lt;=0,0,$Z44/$AA44)</f>
        <v>51.2597647058824</v>
      </c>
      <c r="AC44" s="16" t="n">
        <f aca="false">IFERROR(INDEX(SEMANAS!$K$6:$K$71,MATCH($B44,SEMANAS!$B$6:$B$71,0)),0)</f>
        <v>147</v>
      </c>
      <c r="AD44" s="19" t="n">
        <f aca="false">IF($AC44&lt;=0,0,$AB44/$AC44)</f>
        <v>0.348705882352941</v>
      </c>
      <c r="AE44" s="8" t="str">
        <f aca="false">IF($K44="SEM CULTURA","SEM CULTURA",IF($AA44&lt;=0,"DADO PENDENTE",IF($AD44&gt;LIMITE_CRITICO,"INVIAVEL",IF($AD44&gt;LIMITE_ATENCAO,"CRITICO",IF($AD44&gt;LIMITE_CONFORTAVEL,"ATENCAO","OK")))))</f>
        <v>OK</v>
      </c>
      <c r="AF44" s="8" t="str">
        <f aca="false">$B44&amp;"|"&amp;TEXT($AD44,"0.000000")</f>
        <v>39|0.348706</v>
      </c>
      <c r="AG44" s="18" t="n">
        <f aca="false">IF($K44="SEM CULTURA",0,$T44*$H44)</f>
        <v>3323.8611</v>
      </c>
      <c r="AH44" s="18" t="n">
        <f aca="false">IF($K44="SEM CULTURA",0,$V44*$H44)</f>
        <v>264.25728</v>
      </c>
      <c r="AI44" s="18" t="n">
        <f aca="false">IF($K44="SEM CULTURA",0,$W44*$H44)</f>
        <v>3059.60382</v>
      </c>
      <c r="AJ44" s="18" t="n">
        <f aca="false">IF($K44="SEM CULTURA",0,$S44*$H44)</f>
        <v>2890.314</v>
      </c>
      <c r="AK44" s="8" t="str">
        <f aca="false">$E44&amp;"|"&amp;TEXT($AD44,"0.000000")</f>
        <v>PV 109|0.348706</v>
      </c>
    </row>
    <row r="45" customFormat="false" ht="15" hidden="false" customHeight="false" outlineLevel="0" collapsed="false">
      <c r="B45" s="16" t="n">
        <v>40</v>
      </c>
      <c r="C45" s="17" t="n">
        <f aca="false">DATA_INICIO_SAFRA+($B45-1)*DIAS_POR_SEMANA</f>
        <v>46538</v>
      </c>
      <c r="D45" s="17" t="n">
        <f aca="false">$C45+DIAS_POR_SEMANA-1</f>
        <v>46544</v>
      </c>
      <c r="E45" s="15" t="s">
        <v>259</v>
      </c>
      <c r="F45" s="8" t="str">
        <f aca="false">IFERROR(INDEX(CADASTRO_PIVOS!$C$6:$C$41,MATCH($E45,CADASTRO_PIVOS!$B$6:$B$41,0)),"?")</f>
        <v>RM01</v>
      </c>
      <c r="G45" s="8" t="str">
        <f aca="false">IFERROR(INDEX(CADASTRO_PIVOS!$D$6:$D$41,MATCH($E45,CADASTRO_PIVOS!$B$6:$B$41,0)),"?")</f>
        <v>TR01</v>
      </c>
      <c r="H45" s="20" t="n">
        <f aca="false">IFERROR(INDEX(CADASTRO_PIVOS!$E$6:$E$41,MATCH($E45,CADASTRO_PIVOS!$B$6:$B$41,0)),0)</f>
        <v>98.31</v>
      </c>
      <c r="I45" s="16" t="n">
        <f aca="false">IFERROR(SUMIFS(ROTACAO_RDM!$B$6:$B$71,ROTACAO_RDM!$D$6:$D$71,$E45,ROTACAO_RDM!$I$6:$I$71,"&lt;="&amp;$C45+INT(DIAS_POR_SEMANA/2),ROTACAO_RDM!$J$6:$J$71,"&gt;="&amp;$C45+INT(DIAS_POR_SEMANA/2)),0)</f>
        <v>16</v>
      </c>
      <c r="J45" s="16" t="n">
        <f aca="false">IFERROR(MATCH($I45,ROTACAO_RDM!$B$6:$B$71,0),0)</f>
        <v>16</v>
      </c>
      <c r="K45" s="8" t="str">
        <f aca="false">IF($J45=0,"SEM CULTURA",INDEX(ROTACAO_RDM!$F$6:$F$71,$J45))</f>
        <v>ALGODAO</v>
      </c>
      <c r="L45" s="8" t="str">
        <f aca="false">IF($J45=0,"",INDEX(ROTACAO_RDM!$G$6:$G$71,$J45))</f>
        <v>FM 933 STP</v>
      </c>
      <c r="M45" s="17" t="n">
        <f aca="false">IF($J45=0,"",INDEX(ROTACAO_RDM!$I$6:$I$71,$J45))</f>
        <v>46422</v>
      </c>
      <c r="N45" s="16" t="n">
        <f aca="false">IF($J45=0,0,MAX(0,$C45+INT(DIAS_POR_SEMANA/2)-INDEX(ROTACAO_RDM!$I$6:$I$71,$J45)))</f>
        <v>119</v>
      </c>
      <c r="O45" s="19" t="n">
        <f aca="false">IF($J45=0,0,MIN(1,$N45/MAX(1,INDEX(ROTACAO_RDM!$K$6:$K$71,$J45))))</f>
        <v>0.61025641025641</v>
      </c>
      <c r="P45" s="16" t="n">
        <f aca="false">IF($J45=0,0,IFERROR(MATCH(INDEX(ROTACAO_RDM!$N$6:$N$71,$J45),PARAMETROS_CULTURAS!$B$6:$B$28,0),0))</f>
        <v>5</v>
      </c>
      <c r="Q45" s="8" t="str">
        <f aca="false">IF($P45=0,"-",IF($O45&lt;=INDEX(PARAMETROS_CULTURAS!$F$6:$F$28,$P45),"INICIAL",IF($O45&lt;=INDEX(PARAMETROS_CULTURAS!$F$6:$F$28,$P45)+INDEX(PARAMETROS_CULTURAS!$G$6:$G$28,$P45),"DESENVOLVIMENTO",IF($O45&lt;=INDEX(PARAMETROS_CULTURAS!$F$6:$F$28,$P45)+INDEX(PARAMETROS_CULTURAS!$G$6:$G$28,$P45)+INDEX(PARAMETROS_CULTURAS!$H$6:$H$28,$P45),"MEDIA","FINAL"))))</f>
        <v>MEDIA</v>
      </c>
      <c r="R45" s="24" t="n">
        <f aca="false">IF($P45=0,0,IF($O45&lt;=INDEX(PARAMETROS_CULTURAS!$F$6:$F$28,$P45),INDEX(PARAMETROS_CULTURAS!$K$6:$K$28,$P45),IF($O45&lt;=INDEX(PARAMETROS_CULTURAS!$F$6:$F$28,$P45)+INDEX(PARAMETROS_CULTURAS!$G$6:$G$28,$P45),INDEX(PARAMETROS_CULTURAS!$K$6:$K$28,$P45)+(INDEX(PARAMETROS_CULTURAS!$L$6:$L$28,$P45)-INDEX(PARAMETROS_CULTURAS!$K$6:$K$28,$P45))*($O45-INDEX(PARAMETROS_CULTURAS!$F$6:$F$28,$P45))/MAX(INDEX(PARAMETROS_CULTURAS!$G$6:$G$28,$P45),0.0001),IF($O45&lt;=INDEX(PARAMETROS_CULTURAS!$F$6:$F$28,$P45)+INDEX(PARAMETROS_CULTURAS!$G$6:$G$28,$P45)+INDEX(PARAMETROS_CULTURAS!$H$6:$H$28,$P45),INDEX(PARAMETROS_CULTURAS!$L$6:$L$28,$P45),INDEX(PARAMETROS_CULTURAS!$L$6:$L$28,$P45)+(INDEX(PARAMETROS_CULTURAS!$M$6:$M$28,$P45)-INDEX(PARAMETROS_CULTURAS!$L$6:$L$28,$P45))*($O45-INDEX(PARAMETROS_CULTURAS!$F$6:$F$28,$P45)-INDEX(PARAMETROS_CULTURAS!$G$6:$G$28,$P45)-INDEX(PARAMETROS_CULTURAS!$H$6:$H$28,$P45))/MAX(INDEX(PARAMETROS_CULTURAS!$I$6:$I$28,$P45),0.0001)))))</f>
        <v>1.15</v>
      </c>
      <c r="S45" s="18" t="n">
        <f aca="false">IFERROR(INDEX(SEMANAS!$H$6:$H$71,MATCH($B45,SEMANAS!$B$6:$B$71,0)),0)</f>
        <v>28.2</v>
      </c>
      <c r="T45" s="18" t="n">
        <f aca="false">$R45*$S45</f>
        <v>32.43</v>
      </c>
      <c r="U45" s="18" t="n">
        <f aca="false">IFERROR(INDEX(SEMANAS!$I$6:$I$71,MATCH($B45,SEMANAS!$B$6:$B$71,0)),0)</f>
        <v>1.5</v>
      </c>
      <c r="V45" s="18" t="n">
        <f aca="false">IFERROR(INDEX(SEMANAS!$J$6:$J$71,MATCH($B45,SEMANAS!$B$6:$B$71,0)),0)</f>
        <v>1.2</v>
      </c>
      <c r="W45" s="18" t="n">
        <f aca="false">MAX(0,$T45-$V45)</f>
        <v>31.23</v>
      </c>
      <c r="X45" s="19" t="n">
        <f aca="false">IFERROR(INDEX(CADASTRO_PIVOS!$K$6:$K$41,MATCH($E45,CADASTRO_PIVOS!$B$6:$B$41,0)),EFICIENCIA_PADRAO)</f>
        <v>0.85</v>
      </c>
      <c r="Y45" s="18" t="n">
        <f aca="false">IF($X45&lt;=0,0,$W45/$X45)</f>
        <v>36.7411764705882</v>
      </c>
      <c r="Z45" s="16" t="n">
        <f aca="false">$Y45*$H45*MM_PARA_M3_HA</f>
        <v>36120.2505882353</v>
      </c>
      <c r="AA45" s="18" t="n">
        <f aca="false">IFERROR(INDEX(CADASTRO_PIVOS!$I$6:$I$41,MATCH($E45,CADASTRO_PIVOS!$B$6:$B$41,0)),0)</f>
        <v>702.214285714286</v>
      </c>
      <c r="AB45" s="18" t="n">
        <f aca="false">IF($Z45&lt;=0,0,$Z45/$AA45)</f>
        <v>51.4376470588235</v>
      </c>
      <c r="AC45" s="16" t="n">
        <f aca="false">IFERROR(INDEX(SEMANAS!$K$6:$K$71,MATCH($B45,SEMANAS!$B$6:$B$71,0)),0)</f>
        <v>147</v>
      </c>
      <c r="AD45" s="19" t="n">
        <f aca="false">IF($AC45&lt;=0,0,$AB45/$AC45)</f>
        <v>0.349915966386555</v>
      </c>
      <c r="AE45" s="8" t="str">
        <f aca="false">IF($K45="SEM CULTURA","SEM CULTURA",IF($AA45&lt;=0,"DADO PENDENTE",IF($AD45&gt;LIMITE_CRITICO,"INVIAVEL",IF($AD45&gt;LIMITE_ATENCAO,"CRITICO",IF($AD45&gt;LIMITE_CONFORTAVEL,"ATENCAO","OK")))))</f>
        <v>OK</v>
      </c>
      <c r="AF45" s="8" t="str">
        <f aca="false">$B45&amp;"|"&amp;TEXT($AD45,"0.000000")</f>
        <v>40|0.349916</v>
      </c>
      <c r="AG45" s="18" t="n">
        <f aca="false">IF($K45="SEM CULTURA",0,$T45*$H45)</f>
        <v>3188.1933</v>
      </c>
      <c r="AH45" s="18" t="n">
        <f aca="false">IF($K45="SEM CULTURA",0,$V45*$H45)</f>
        <v>117.972</v>
      </c>
      <c r="AI45" s="18" t="n">
        <f aca="false">IF($K45="SEM CULTURA",0,$W45*$H45)</f>
        <v>3070.2213</v>
      </c>
      <c r="AJ45" s="18" t="n">
        <f aca="false">IF($K45="SEM CULTURA",0,$S45*$H45)</f>
        <v>2772.342</v>
      </c>
      <c r="AK45" s="8" t="str">
        <f aca="false">$E45&amp;"|"&amp;TEXT($AD45,"0.000000")</f>
        <v>PV 109|0.349916</v>
      </c>
    </row>
    <row r="46" customFormat="false" ht="15" hidden="false" customHeight="false" outlineLevel="0" collapsed="false">
      <c r="B46" s="16" t="n">
        <v>41</v>
      </c>
      <c r="C46" s="17" t="n">
        <f aca="false">DATA_INICIO_SAFRA+($B46-1)*DIAS_POR_SEMANA</f>
        <v>46545</v>
      </c>
      <c r="D46" s="17" t="n">
        <f aca="false">$C46+DIAS_POR_SEMANA-1</f>
        <v>46551</v>
      </c>
      <c r="E46" s="15" t="s">
        <v>259</v>
      </c>
      <c r="F46" s="8" t="str">
        <f aca="false">IFERROR(INDEX(CADASTRO_PIVOS!$C$6:$C$41,MATCH($E46,CADASTRO_PIVOS!$B$6:$B$41,0)),"?")</f>
        <v>RM01</v>
      </c>
      <c r="G46" s="8" t="str">
        <f aca="false">IFERROR(INDEX(CADASTRO_PIVOS!$D$6:$D$41,MATCH($E46,CADASTRO_PIVOS!$B$6:$B$41,0)),"?")</f>
        <v>TR01</v>
      </c>
      <c r="H46" s="20" t="n">
        <f aca="false">IFERROR(INDEX(CADASTRO_PIVOS!$E$6:$E$41,MATCH($E46,CADASTRO_PIVOS!$B$6:$B$41,0)),0)</f>
        <v>98.31</v>
      </c>
      <c r="I46" s="16" t="n">
        <f aca="false">IFERROR(SUMIFS(ROTACAO_RDM!$B$6:$B$71,ROTACAO_RDM!$D$6:$D$71,$E46,ROTACAO_RDM!$I$6:$I$71,"&lt;="&amp;$C46+INT(DIAS_POR_SEMANA/2),ROTACAO_RDM!$J$6:$J$71,"&gt;="&amp;$C46+INT(DIAS_POR_SEMANA/2)),0)</f>
        <v>16</v>
      </c>
      <c r="J46" s="16" t="n">
        <f aca="false">IFERROR(MATCH($I46,ROTACAO_RDM!$B$6:$B$71,0),0)</f>
        <v>16</v>
      </c>
      <c r="K46" s="8" t="str">
        <f aca="false">IF($J46=0,"SEM CULTURA",INDEX(ROTACAO_RDM!$F$6:$F$71,$J46))</f>
        <v>ALGODAO</v>
      </c>
      <c r="L46" s="8" t="str">
        <f aca="false">IF($J46=0,"",INDEX(ROTACAO_RDM!$G$6:$G$71,$J46))</f>
        <v>FM 933 STP</v>
      </c>
      <c r="M46" s="17" t="n">
        <f aca="false">IF($J46=0,"",INDEX(ROTACAO_RDM!$I$6:$I$71,$J46))</f>
        <v>46422</v>
      </c>
      <c r="N46" s="16" t="n">
        <f aca="false">IF($J46=0,0,MAX(0,$C46+INT(DIAS_POR_SEMANA/2)-INDEX(ROTACAO_RDM!$I$6:$I$71,$J46)))</f>
        <v>126</v>
      </c>
      <c r="O46" s="19" t="n">
        <f aca="false">IF($J46=0,0,MIN(1,$N46/MAX(1,INDEX(ROTACAO_RDM!$K$6:$K$71,$J46))))</f>
        <v>0.646153846153846</v>
      </c>
      <c r="P46" s="16" t="n">
        <f aca="false">IF($J46=0,0,IFERROR(MATCH(INDEX(ROTACAO_RDM!$N$6:$N$71,$J46),PARAMETROS_CULTURAS!$B$6:$B$28,0),0))</f>
        <v>5</v>
      </c>
      <c r="Q46" s="8" t="str">
        <f aca="false">IF($P46=0,"-",IF($O46&lt;=INDEX(PARAMETROS_CULTURAS!$F$6:$F$28,$P46),"INICIAL",IF($O46&lt;=INDEX(PARAMETROS_CULTURAS!$F$6:$F$28,$P46)+INDEX(PARAMETROS_CULTURAS!$G$6:$G$28,$P46),"DESENVOLVIMENTO",IF($O46&lt;=INDEX(PARAMETROS_CULTURAS!$F$6:$F$28,$P46)+INDEX(PARAMETROS_CULTURAS!$G$6:$G$28,$P46)+INDEX(PARAMETROS_CULTURAS!$H$6:$H$28,$P46),"MEDIA","FINAL"))))</f>
        <v>MEDIA</v>
      </c>
      <c r="R46" s="24" t="n">
        <f aca="false">IF($P46=0,0,IF($O46&lt;=INDEX(PARAMETROS_CULTURAS!$F$6:$F$28,$P46),INDEX(PARAMETROS_CULTURAS!$K$6:$K$28,$P46),IF($O46&lt;=INDEX(PARAMETROS_CULTURAS!$F$6:$F$28,$P46)+INDEX(PARAMETROS_CULTURAS!$G$6:$G$28,$P46),INDEX(PARAMETROS_CULTURAS!$K$6:$K$28,$P46)+(INDEX(PARAMETROS_CULTURAS!$L$6:$L$28,$P46)-INDEX(PARAMETROS_CULTURAS!$K$6:$K$28,$P46))*($O46-INDEX(PARAMETROS_CULTURAS!$F$6:$F$28,$P46))/MAX(INDEX(PARAMETROS_CULTURAS!$G$6:$G$28,$P46),0.0001),IF($O46&lt;=INDEX(PARAMETROS_CULTURAS!$F$6:$F$28,$P46)+INDEX(PARAMETROS_CULTURAS!$G$6:$G$28,$P46)+INDEX(PARAMETROS_CULTURAS!$H$6:$H$28,$P46),INDEX(PARAMETROS_CULTURAS!$L$6:$L$28,$P46),INDEX(PARAMETROS_CULTURAS!$L$6:$L$28,$P46)+(INDEX(PARAMETROS_CULTURAS!$M$6:$M$28,$P46)-INDEX(PARAMETROS_CULTURAS!$L$6:$L$28,$P46))*($O46-INDEX(PARAMETROS_CULTURAS!$F$6:$F$28,$P46)-INDEX(PARAMETROS_CULTURAS!$G$6:$G$28,$P46)-INDEX(PARAMETROS_CULTURAS!$H$6:$H$28,$P46))/MAX(INDEX(PARAMETROS_CULTURAS!$I$6:$I$28,$P46),0.0001)))))</f>
        <v>1.15</v>
      </c>
      <c r="S46" s="18" t="n">
        <f aca="false">IFERROR(INDEX(SEMANAS!$H$6:$H$71,MATCH($B46,SEMANAS!$B$6:$B$71,0)),0)</f>
        <v>28</v>
      </c>
      <c r="T46" s="18" t="n">
        <f aca="false">$R46*$S46</f>
        <v>32.2</v>
      </c>
      <c r="U46" s="18" t="n">
        <f aca="false">IFERROR(INDEX(SEMANAS!$I$6:$I$71,MATCH($B46,SEMANAS!$B$6:$B$71,0)),0)</f>
        <v>1.19</v>
      </c>
      <c r="V46" s="18" t="n">
        <f aca="false">IFERROR(INDEX(SEMANAS!$J$6:$J$71,MATCH($B46,SEMANAS!$B$6:$B$71,0)),0)</f>
        <v>0.952</v>
      </c>
      <c r="W46" s="18" t="n">
        <f aca="false">MAX(0,$T46-$V46)</f>
        <v>31.248</v>
      </c>
      <c r="X46" s="19" t="n">
        <f aca="false">IFERROR(INDEX(CADASTRO_PIVOS!$K$6:$K$41,MATCH($E46,CADASTRO_PIVOS!$B$6:$B$41,0)),EFICIENCIA_PADRAO)</f>
        <v>0.85</v>
      </c>
      <c r="Y46" s="18" t="n">
        <f aca="false">IF($X46&lt;=0,0,$W46/$X46)</f>
        <v>36.7623529411765</v>
      </c>
      <c r="Z46" s="16" t="n">
        <f aca="false">$Y46*$H46*MM_PARA_M3_HA</f>
        <v>36141.0691764706</v>
      </c>
      <c r="AA46" s="18" t="n">
        <f aca="false">IFERROR(INDEX(CADASTRO_PIVOS!$I$6:$I$41,MATCH($E46,CADASTRO_PIVOS!$B$6:$B$41,0)),0)</f>
        <v>702.214285714286</v>
      </c>
      <c r="AB46" s="18" t="n">
        <f aca="false">IF($Z46&lt;=0,0,$Z46/$AA46)</f>
        <v>51.4672941176471</v>
      </c>
      <c r="AC46" s="16" t="n">
        <f aca="false">IFERROR(INDEX(SEMANAS!$K$6:$K$71,MATCH($B46,SEMANAS!$B$6:$B$71,0)),0)</f>
        <v>147</v>
      </c>
      <c r="AD46" s="19" t="n">
        <f aca="false">IF($AC46&lt;=0,0,$AB46/$AC46)</f>
        <v>0.350117647058824</v>
      </c>
      <c r="AE46" s="8" t="str">
        <f aca="false">IF($K46="SEM CULTURA","SEM CULTURA",IF($AA46&lt;=0,"DADO PENDENTE",IF($AD46&gt;LIMITE_CRITICO,"INVIAVEL",IF($AD46&gt;LIMITE_ATENCAO,"CRITICO",IF($AD46&gt;LIMITE_CONFORTAVEL,"ATENCAO","OK")))))</f>
        <v>OK</v>
      </c>
      <c r="AF46" s="8" t="str">
        <f aca="false">$B46&amp;"|"&amp;TEXT($AD46,"0.000000")</f>
        <v>41|0.350118</v>
      </c>
      <c r="AG46" s="18" t="n">
        <f aca="false">IF($K46="SEM CULTURA",0,$T46*$H46)</f>
        <v>3165.582</v>
      </c>
      <c r="AH46" s="18" t="n">
        <f aca="false">IF($K46="SEM CULTURA",0,$V46*$H46)</f>
        <v>93.59112</v>
      </c>
      <c r="AI46" s="18" t="n">
        <f aca="false">IF($K46="SEM CULTURA",0,$W46*$H46)</f>
        <v>3071.99088</v>
      </c>
      <c r="AJ46" s="18" t="n">
        <f aca="false">IF($K46="SEM CULTURA",0,$S46*$H46)</f>
        <v>2752.68</v>
      </c>
      <c r="AK46" s="8" t="str">
        <f aca="false">$E46&amp;"|"&amp;TEXT($AD46,"0.000000")</f>
        <v>PV 109|0.350118</v>
      </c>
    </row>
    <row r="47" customFormat="false" ht="15" hidden="false" customHeight="false" outlineLevel="0" collapsed="false">
      <c r="B47" s="16" t="n">
        <v>42</v>
      </c>
      <c r="C47" s="17" t="n">
        <f aca="false">DATA_INICIO_SAFRA+($B47-1)*DIAS_POR_SEMANA</f>
        <v>46552</v>
      </c>
      <c r="D47" s="17" t="n">
        <f aca="false">$C47+DIAS_POR_SEMANA-1</f>
        <v>46558</v>
      </c>
      <c r="E47" s="15" t="s">
        <v>259</v>
      </c>
      <c r="F47" s="8" t="str">
        <f aca="false">IFERROR(INDEX(CADASTRO_PIVOS!$C$6:$C$41,MATCH($E47,CADASTRO_PIVOS!$B$6:$B$41,0)),"?")</f>
        <v>RM01</v>
      </c>
      <c r="G47" s="8" t="str">
        <f aca="false">IFERROR(INDEX(CADASTRO_PIVOS!$D$6:$D$41,MATCH($E47,CADASTRO_PIVOS!$B$6:$B$41,0)),"?")</f>
        <v>TR01</v>
      </c>
      <c r="H47" s="20" t="n">
        <f aca="false">IFERROR(INDEX(CADASTRO_PIVOS!$E$6:$E$41,MATCH($E47,CADASTRO_PIVOS!$B$6:$B$41,0)),0)</f>
        <v>98.31</v>
      </c>
      <c r="I47" s="16" t="n">
        <f aca="false">IFERROR(SUMIFS(ROTACAO_RDM!$B$6:$B$71,ROTACAO_RDM!$D$6:$D$71,$E47,ROTACAO_RDM!$I$6:$I$71,"&lt;="&amp;$C47+INT(DIAS_POR_SEMANA/2),ROTACAO_RDM!$J$6:$J$71,"&gt;="&amp;$C47+INT(DIAS_POR_SEMANA/2)),0)</f>
        <v>16</v>
      </c>
      <c r="J47" s="16" t="n">
        <f aca="false">IFERROR(MATCH($I47,ROTACAO_RDM!$B$6:$B$71,0),0)</f>
        <v>16</v>
      </c>
      <c r="K47" s="8" t="str">
        <f aca="false">IF($J47=0,"SEM CULTURA",INDEX(ROTACAO_RDM!$F$6:$F$71,$J47))</f>
        <v>ALGODAO</v>
      </c>
      <c r="L47" s="8" t="str">
        <f aca="false">IF($J47=0,"",INDEX(ROTACAO_RDM!$G$6:$G$71,$J47))</f>
        <v>FM 933 STP</v>
      </c>
      <c r="M47" s="17" t="n">
        <f aca="false">IF($J47=0,"",INDEX(ROTACAO_RDM!$I$6:$I$71,$J47))</f>
        <v>46422</v>
      </c>
      <c r="N47" s="16" t="n">
        <f aca="false">IF($J47=0,0,MAX(0,$C47+INT(DIAS_POR_SEMANA/2)-INDEX(ROTACAO_RDM!$I$6:$I$71,$J47)))</f>
        <v>133</v>
      </c>
      <c r="O47" s="19" t="n">
        <f aca="false">IF($J47=0,0,MIN(1,$N47/MAX(1,INDEX(ROTACAO_RDM!$K$6:$K$71,$J47))))</f>
        <v>0.682051282051282</v>
      </c>
      <c r="P47" s="16" t="n">
        <f aca="false">IF($J47=0,0,IFERROR(MATCH(INDEX(ROTACAO_RDM!$N$6:$N$71,$J47),PARAMETROS_CULTURAS!$B$6:$B$28,0),0))</f>
        <v>5</v>
      </c>
      <c r="Q47" s="8" t="str">
        <f aca="false">IF($P47=0,"-",IF($O47&lt;=INDEX(PARAMETROS_CULTURAS!$F$6:$F$28,$P47),"INICIAL",IF($O47&lt;=INDEX(PARAMETROS_CULTURAS!$F$6:$F$28,$P47)+INDEX(PARAMETROS_CULTURAS!$G$6:$G$28,$P47),"DESENVOLVIMENTO",IF($O47&lt;=INDEX(PARAMETROS_CULTURAS!$F$6:$F$28,$P47)+INDEX(PARAMETROS_CULTURAS!$G$6:$G$28,$P47)+INDEX(PARAMETROS_CULTURAS!$H$6:$H$28,$P47),"MEDIA","FINAL"))))</f>
        <v>MEDIA</v>
      </c>
      <c r="R47" s="24" t="n">
        <f aca="false">IF($P47=0,0,IF($O47&lt;=INDEX(PARAMETROS_CULTURAS!$F$6:$F$28,$P47),INDEX(PARAMETROS_CULTURAS!$K$6:$K$28,$P47),IF($O47&lt;=INDEX(PARAMETROS_CULTURAS!$F$6:$F$28,$P47)+INDEX(PARAMETROS_CULTURAS!$G$6:$G$28,$P47),INDEX(PARAMETROS_CULTURAS!$K$6:$K$28,$P47)+(INDEX(PARAMETROS_CULTURAS!$L$6:$L$28,$P47)-INDEX(PARAMETROS_CULTURAS!$K$6:$K$28,$P47))*($O47-INDEX(PARAMETROS_CULTURAS!$F$6:$F$28,$P47))/MAX(INDEX(PARAMETROS_CULTURAS!$G$6:$G$28,$P47),0.0001),IF($O47&lt;=INDEX(PARAMETROS_CULTURAS!$F$6:$F$28,$P47)+INDEX(PARAMETROS_CULTURAS!$G$6:$G$28,$P47)+INDEX(PARAMETROS_CULTURAS!$H$6:$H$28,$P47),INDEX(PARAMETROS_CULTURAS!$L$6:$L$28,$P47),INDEX(PARAMETROS_CULTURAS!$L$6:$L$28,$P47)+(INDEX(PARAMETROS_CULTURAS!$M$6:$M$28,$P47)-INDEX(PARAMETROS_CULTURAS!$L$6:$L$28,$P47))*($O47-INDEX(PARAMETROS_CULTURAS!$F$6:$F$28,$P47)-INDEX(PARAMETROS_CULTURAS!$G$6:$G$28,$P47)-INDEX(PARAMETROS_CULTURAS!$H$6:$H$28,$P47))/MAX(INDEX(PARAMETROS_CULTURAS!$I$6:$I$28,$P47),0.0001)))))</f>
        <v>1.15</v>
      </c>
      <c r="S47" s="18" t="n">
        <f aca="false">IFERROR(INDEX(SEMANAS!$H$6:$H$71,MATCH($B47,SEMANAS!$B$6:$B$71,0)),0)</f>
        <v>28</v>
      </c>
      <c r="T47" s="18" t="n">
        <f aca="false">$R47*$S47</f>
        <v>32.2</v>
      </c>
      <c r="U47" s="18" t="n">
        <f aca="false">IFERROR(INDEX(SEMANAS!$I$6:$I$71,MATCH($B47,SEMANAS!$B$6:$B$71,0)),0)</f>
        <v>1.19</v>
      </c>
      <c r="V47" s="18" t="n">
        <f aca="false">IFERROR(INDEX(SEMANAS!$J$6:$J$71,MATCH($B47,SEMANAS!$B$6:$B$71,0)),0)</f>
        <v>0.952</v>
      </c>
      <c r="W47" s="18" t="n">
        <f aca="false">MAX(0,$T47-$V47)</f>
        <v>31.248</v>
      </c>
      <c r="X47" s="19" t="n">
        <f aca="false">IFERROR(INDEX(CADASTRO_PIVOS!$K$6:$K$41,MATCH($E47,CADASTRO_PIVOS!$B$6:$B$41,0)),EFICIENCIA_PADRAO)</f>
        <v>0.85</v>
      </c>
      <c r="Y47" s="18" t="n">
        <f aca="false">IF($X47&lt;=0,0,$W47/$X47)</f>
        <v>36.7623529411765</v>
      </c>
      <c r="Z47" s="16" t="n">
        <f aca="false">$Y47*$H47*MM_PARA_M3_HA</f>
        <v>36141.0691764706</v>
      </c>
      <c r="AA47" s="18" t="n">
        <f aca="false">IFERROR(INDEX(CADASTRO_PIVOS!$I$6:$I$41,MATCH($E47,CADASTRO_PIVOS!$B$6:$B$41,0)),0)</f>
        <v>702.214285714286</v>
      </c>
      <c r="AB47" s="18" t="n">
        <f aca="false">IF($Z47&lt;=0,0,$Z47/$AA47)</f>
        <v>51.4672941176471</v>
      </c>
      <c r="AC47" s="16" t="n">
        <f aca="false">IFERROR(INDEX(SEMANAS!$K$6:$K$71,MATCH($B47,SEMANAS!$B$6:$B$71,0)),0)</f>
        <v>147</v>
      </c>
      <c r="AD47" s="19" t="n">
        <f aca="false">IF($AC47&lt;=0,0,$AB47/$AC47)</f>
        <v>0.350117647058824</v>
      </c>
      <c r="AE47" s="8" t="str">
        <f aca="false">IF($K47="SEM CULTURA","SEM CULTURA",IF($AA47&lt;=0,"DADO PENDENTE",IF($AD47&gt;LIMITE_CRITICO,"INVIAVEL",IF($AD47&gt;LIMITE_ATENCAO,"CRITICO",IF($AD47&gt;LIMITE_CONFORTAVEL,"ATENCAO","OK")))))</f>
        <v>OK</v>
      </c>
      <c r="AF47" s="8" t="str">
        <f aca="false">$B47&amp;"|"&amp;TEXT($AD47,"0.000000")</f>
        <v>42|0.350118</v>
      </c>
      <c r="AG47" s="18" t="n">
        <f aca="false">IF($K47="SEM CULTURA",0,$T47*$H47)</f>
        <v>3165.582</v>
      </c>
      <c r="AH47" s="18" t="n">
        <f aca="false">IF($K47="SEM CULTURA",0,$V47*$H47)</f>
        <v>93.59112</v>
      </c>
      <c r="AI47" s="18" t="n">
        <f aca="false">IF($K47="SEM CULTURA",0,$W47*$H47)</f>
        <v>3071.99088</v>
      </c>
      <c r="AJ47" s="18" t="n">
        <f aca="false">IF($K47="SEM CULTURA",0,$S47*$H47)</f>
        <v>2752.68</v>
      </c>
      <c r="AK47" s="8" t="str">
        <f aca="false">$E47&amp;"|"&amp;TEXT($AD47,"0.000000")</f>
        <v>PV 109|0.350118</v>
      </c>
    </row>
    <row r="48" customFormat="false" ht="15" hidden="false" customHeight="false" outlineLevel="0" collapsed="false">
      <c r="B48" s="16" t="n">
        <v>43</v>
      </c>
      <c r="C48" s="17" t="n">
        <f aca="false">DATA_INICIO_SAFRA+($B48-1)*DIAS_POR_SEMANA</f>
        <v>46559</v>
      </c>
      <c r="D48" s="17" t="n">
        <f aca="false">$C48+DIAS_POR_SEMANA-1</f>
        <v>46565</v>
      </c>
      <c r="E48" s="15" t="s">
        <v>259</v>
      </c>
      <c r="F48" s="8" t="str">
        <f aca="false">IFERROR(INDEX(CADASTRO_PIVOS!$C$6:$C$41,MATCH($E48,CADASTRO_PIVOS!$B$6:$B$41,0)),"?")</f>
        <v>RM01</v>
      </c>
      <c r="G48" s="8" t="str">
        <f aca="false">IFERROR(INDEX(CADASTRO_PIVOS!$D$6:$D$41,MATCH($E48,CADASTRO_PIVOS!$B$6:$B$41,0)),"?")</f>
        <v>TR01</v>
      </c>
      <c r="H48" s="20" t="n">
        <f aca="false">IFERROR(INDEX(CADASTRO_PIVOS!$E$6:$E$41,MATCH($E48,CADASTRO_PIVOS!$B$6:$B$41,0)),0)</f>
        <v>98.31</v>
      </c>
      <c r="I48" s="16" t="n">
        <f aca="false">IFERROR(SUMIFS(ROTACAO_RDM!$B$6:$B$71,ROTACAO_RDM!$D$6:$D$71,$E48,ROTACAO_RDM!$I$6:$I$71,"&lt;="&amp;$C48+INT(DIAS_POR_SEMANA/2),ROTACAO_RDM!$J$6:$J$71,"&gt;="&amp;$C48+INT(DIAS_POR_SEMANA/2)),0)</f>
        <v>16</v>
      </c>
      <c r="J48" s="16" t="n">
        <f aca="false">IFERROR(MATCH($I48,ROTACAO_RDM!$B$6:$B$71,0),0)</f>
        <v>16</v>
      </c>
      <c r="K48" s="8" t="str">
        <f aca="false">IF($J48=0,"SEM CULTURA",INDEX(ROTACAO_RDM!$F$6:$F$71,$J48))</f>
        <v>ALGODAO</v>
      </c>
      <c r="L48" s="8" t="str">
        <f aca="false">IF($J48=0,"",INDEX(ROTACAO_RDM!$G$6:$G$71,$J48))</f>
        <v>FM 933 STP</v>
      </c>
      <c r="M48" s="17" t="n">
        <f aca="false">IF($J48=0,"",INDEX(ROTACAO_RDM!$I$6:$I$71,$J48))</f>
        <v>46422</v>
      </c>
      <c r="N48" s="16" t="n">
        <f aca="false">IF($J48=0,0,MAX(0,$C48+INT(DIAS_POR_SEMANA/2)-INDEX(ROTACAO_RDM!$I$6:$I$71,$J48)))</f>
        <v>140</v>
      </c>
      <c r="O48" s="19" t="n">
        <f aca="false">IF($J48=0,0,MIN(1,$N48/MAX(1,INDEX(ROTACAO_RDM!$K$6:$K$71,$J48))))</f>
        <v>0.717948717948718</v>
      </c>
      <c r="P48" s="16" t="n">
        <f aca="false">IF($J48=0,0,IFERROR(MATCH(INDEX(ROTACAO_RDM!$N$6:$N$71,$J48),PARAMETROS_CULTURAS!$B$6:$B$28,0),0))</f>
        <v>5</v>
      </c>
      <c r="Q48" s="8" t="str">
        <f aca="false">IF($P48=0,"-",IF($O48&lt;=INDEX(PARAMETROS_CULTURAS!$F$6:$F$28,$P48),"INICIAL",IF($O48&lt;=INDEX(PARAMETROS_CULTURAS!$F$6:$F$28,$P48)+INDEX(PARAMETROS_CULTURAS!$G$6:$G$28,$P48),"DESENVOLVIMENTO",IF($O48&lt;=INDEX(PARAMETROS_CULTURAS!$F$6:$F$28,$P48)+INDEX(PARAMETROS_CULTURAS!$G$6:$G$28,$P48)+INDEX(PARAMETROS_CULTURAS!$H$6:$H$28,$P48),"MEDIA","FINAL"))))</f>
        <v>MEDIA</v>
      </c>
      <c r="R48" s="24" t="n">
        <f aca="false">IF($P48=0,0,IF($O48&lt;=INDEX(PARAMETROS_CULTURAS!$F$6:$F$28,$P48),INDEX(PARAMETROS_CULTURAS!$K$6:$K$28,$P48),IF($O48&lt;=INDEX(PARAMETROS_CULTURAS!$F$6:$F$28,$P48)+INDEX(PARAMETROS_CULTURAS!$G$6:$G$28,$P48),INDEX(PARAMETROS_CULTURAS!$K$6:$K$28,$P48)+(INDEX(PARAMETROS_CULTURAS!$L$6:$L$28,$P48)-INDEX(PARAMETROS_CULTURAS!$K$6:$K$28,$P48))*($O48-INDEX(PARAMETROS_CULTURAS!$F$6:$F$28,$P48))/MAX(INDEX(PARAMETROS_CULTURAS!$G$6:$G$28,$P48),0.0001),IF($O48&lt;=INDEX(PARAMETROS_CULTURAS!$F$6:$F$28,$P48)+INDEX(PARAMETROS_CULTURAS!$G$6:$G$28,$P48)+INDEX(PARAMETROS_CULTURAS!$H$6:$H$28,$P48),INDEX(PARAMETROS_CULTURAS!$L$6:$L$28,$P48),INDEX(PARAMETROS_CULTURAS!$L$6:$L$28,$P48)+(INDEX(PARAMETROS_CULTURAS!$M$6:$M$28,$P48)-INDEX(PARAMETROS_CULTURAS!$L$6:$L$28,$P48))*($O48-INDEX(PARAMETROS_CULTURAS!$F$6:$F$28,$P48)-INDEX(PARAMETROS_CULTURAS!$G$6:$G$28,$P48)-INDEX(PARAMETROS_CULTURAS!$H$6:$H$28,$P48))/MAX(INDEX(PARAMETROS_CULTURAS!$I$6:$I$28,$P48),0.0001)))))</f>
        <v>1.15</v>
      </c>
      <c r="S48" s="18" t="n">
        <f aca="false">IFERROR(INDEX(SEMANAS!$H$6:$H$71,MATCH($B48,SEMANAS!$B$6:$B$71,0)),0)</f>
        <v>28</v>
      </c>
      <c r="T48" s="18" t="n">
        <f aca="false">$R48*$S48</f>
        <v>32.2</v>
      </c>
      <c r="U48" s="18" t="n">
        <f aca="false">IFERROR(INDEX(SEMANAS!$I$6:$I$71,MATCH($B48,SEMANAS!$B$6:$B$71,0)),0)</f>
        <v>1.19</v>
      </c>
      <c r="V48" s="18" t="n">
        <f aca="false">IFERROR(INDEX(SEMANAS!$J$6:$J$71,MATCH($B48,SEMANAS!$B$6:$B$71,0)),0)</f>
        <v>0.952</v>
      </c>
      <c r="W48" s="18" t="n">
        <f aca="false">MAX(0,$T48-$V48)</f>
        <v>31.248</v>
      </c>
      <c r="X48" s="19" t="n">
        <f aca="false">IFERROR(INDEX(CADASTRO_PIVOS!$K$6:$K$41,MATCH($E48,CADASTRO_PIVOS!$B$6:$B$41,0)),EFICIENCIA_PADRAO)</f>
        <v>0.85</v>
      </c>
      <c r="Y48" s="18" t="n">
        <f aca="false">IF($X48&lt;=0,0,$W48/$X48)</f>
        <v>36.7623529411765</v>
      </c>
      <c r="Z48" s="16" t="n">
        <f aca="false">$Y48*$H48*MM_PARA_M3_HA</f>
        <v>36141.0691764706</v>
      </c>
      <c r="AA48" s="18" t="n">
        <f aca="false">IFERROR(INDEX(CADASTRO_PIVOS!$I$6:$I$41,MATCH($E48,CADASTRO_PIVOS!$B$6:$B$41,0)),0)</f>
        <v>702.214285714286</v>
      </c>
      <c r="AB48" s="18" t="n">
        <f aca="false">IF($Z48&lt;=0,0,$Z48/$AA48)</f>
        <v>51.4672941176471</v>
      </c>
      <c r="AC48" s="16" t="n">
        <f aca="false">IFERROR(INDEX(SEMANAS!$K$6:$K$71,MATCH($B48,SEMANAS!$B$6:$B$71,0)),0)</f>
        <v>147</v>
      </c>
      <c r="AD48" s="19" t="n">
        <f aca="false">IF($AC48&lt;=0,0,$AB48/$AC48)</f>
        <v>0.350117647058824</v>
      </c>
      <c r="AE48" s="8" t="str">
        <f aca="false">IF($K48="SEM CULTURA","SEM CULTURA",IF($AA48&lt;=0,"DADO PENDENTE",IF($AD48&gt;LIMITE_CRITICO,"INVIAVEL",IF($AD48&gt;LIMITE_ATENCAO,"CRITICO",IF($AD48&gt;LIMITE_CONFORTAVEL,"ATENCAO","OK")))))</f>
        <v>OK</v>
      </c>
      <c r="AF48" s="8" t="str">
        <f aca="false">$B48&amp;"|"&amp;TEXT($AD48,"0.000000")</f>
        <v>43|0.350118</v>
      </c>
      <c r="AG48" s="18" t="n">
        <f aca="false">IF($K48="SEM CULTURA",0,$T48*$H48)</f>
        <v>3165.582</v>
      </c>
      <c r="AH48" s="18" t="n">
        <f aca="false">IF($K48="SEM CULTURA",0,$V48*$H48)</f>
        <v>93.59112</v>
      </c>
      <c r="AI48" s="18" t="n">
        <f aca="false">IF($K48="SEM CULTURA",0,$W48*$H48)</f>
        <v>3071.99088</v>
      </c>
      <c r="AJ48" s="18" t="n">
        <f aca="false">IF($K48="SEM CULTURA",0,$S48*$H48)</f>
        <v>2752.68</v>
      </c>
      <c r="AK48" s="8" t="str">
        <f aca="false">$E48&amp;"|"&amp;TEXT($AD48,"0.000000")</f>
        <v>PV 109|0.350118</v>
      </c>
    </row>
    <row r="49" customFormat="false" ht="15" hidden="false" customHeight="false" outlineLevel="0" collapsed="false">
      <c r="B49" s="16" t="n">
        <v>44</v>
      </c>
      <c r="C49" s="17" t="n">
        <f aca="false">DATA_INICIO_SAFRA+($B49-1)*DIAS_POR_SEMANA</f>
        <v>46566</v>
      </c>
      <c r="D49" s="17" t="n">
        <f aca="false">$C49+DIAS_POR_SEMANA-1</f>
        <v>46572</v>
      </c>
      <c r="E49" s="15" t="s">
        <v>259</v>
      </c>
      <c r="F49" s="8" t="str">
        <f aca="false">IFERROR(INDEX(CADASTRO_PIVOS!$C$6:$C$41,MATCH($E49,CADASTRO_PIVOS!$B$6:$B$41,0)),"?")</f>
        <v>RM01</v>
      </c>
      <c r="G49" s="8" t="str">
        <f aca="false">IFERROR(INDEX(CADASTRO_PIVOS!$D$6:$D$41,MATCH($E49,CADASTRO_PIVOS!$B$6:$B$41,0)),"?")</f>
        <v>TR01</v>
      </c>
      <c r="H49" s="20" t="n">
        <f aca="false">IFERROR(INDEX(CADASTRO_PIVOS!$E$6:$E$41,MATCH($E49,CADASTRO_PIVOS!$B$6:$B$41,0)),0)</f>
        <v>98.31</v>
      </c>
      <c r="I49" s="16" t="n">
        <f aca="false">IFERROR(SUMIFS(ROTACAO_RDM!$B$6:$B$71,ROTACAO_RDM!$D$6:$D$71,$E49,ROTACAO_RDM!$I$6:$I$71,"&lt;="&amp;$C49+INT(DIAS_POR_SEMANA/2),ROTACAO_RDM!$J$6:$J$71,"&gt;="&amp;$C49+INT(DIAS_POR_SEMANA/2)),0)</f>
        <v>16</v>
      </c>
      <c r="J49" s="16" t="n">
        <f aca="false">IFERROR(MATCH($I49,ROTACAO_RDM!$B$6:$B$71,0),0)</f>
        <v>16</v>
      </c>
      <c r="K49" s="8" t="str">
        <f aca="false">IF($J49=0,"SEM CULTURA",INDEX(ROTACAO_RDM!$F$6:$F$71,$J49))</f>
        <v>ALGODAO</v>
      </c>
      <c r="L49" s="8" t="str">
        <f aca="false">IF($J49=0,"",INDEX(ROTACAO_RDM!$G$6:$G$71,$J49))</f>
        <v>FM 933 STP</v>
      </c>
      <c r="M49" s="17" t="n">
        <f aca="false">IF($J49=0,"",INDEX(ROTACAO_RDM!$I$6:$I$71,$J49))</f>
        <v>46422</v>
      </c>
      <c r="N49" s="16" t="n">
        <f aca="false">IF($J49=0,0,MAX(0,$C49+INT(DIAS_POR_SEMANA/2)-INDEX(ROTACAO_RDM!$I$6:$I$71,$J49)))</f>
        <v>147</v>
      </c>
      <c r="O49" s="19" t="n">
        <f aca="false">IF($J49=0,0,MIN(1,$N49/MAX(1,INDEX(ROTACAO_RDM!$K$6:$K$71,$J49))))</f>
        <v>0.753846153846154</v>
      </c>
      <c r="P49" s="16" t="n">
        <f aca="false">IF($J49=0,0,IFERROR(MATCH(INDEX(ROTACAO_RDM!$N$6:$N$71,$J49),PARAMETROS_CULTURAS!$B$6:$B$28,0),0))</f>
        <v>5</v>
      </c>
      <c r="Q49" s="8" t="str">
        <f aca="false">IF($P49=0,"-",IF($O49&lt;=INDEX(PARAMETROS_CULTURAS!$F$6:$F$28,$P49),"INICIAL",IF($O49&lt;=INDEX(PARAMETROS_CULTURAS!$F$6:$F$28,$P49)+INDEX(PARAMETROS_CULTURAS!$G$6:$G$28,$P49),"DESENVOLVIMENTO",IF($O49&lt;=INDEX(PARAMETROS_CULTURAS!$F$6:$F$28,$P49)+INDEX(PARAMETROS_CULTURAS!$G$6:$G$28,$P49)+INDEX(PARAMETROS_CULTURAS!$H$6:$H$28,$P49),"MEDIA","FINAL"))))</f>
        <v>FINAL</v>
      </c>
      <c r="R49" s="24" t="n">
        <f aca="false">IF($P49=0,0,IF($O49&lt;=INDEX(PARAMETROS_CULTURAS!$F$6:$F$28,$P49),INDEX(PARAMETROS_CULTURAS!$K$6:$K$28,$P49),IF($O49&lt;=INDEX(PARAMETROS_CULTURAS!$F$6:$F$28,$P49)+INDEX(PARAMETROS_CULTURAS!$G$6:$G$28,$P49),INDEX(PARAMETROS_CULTURAS!$K$6:$K$28,$P49)+(INDEX(PARAMETROS_CULTURAS!$L$6:$L$28,$P49)-INDEX(PARAMETROS_CULTURAS!$K$6:$K$28,$P49))*($O49-INDEX(PARAMETROS_CULTURAS!$F$6:$F$28,$P49))/MAX(INDEX(PARAMETROS_CULTURAS!$G$6:$G$28,$P49),0.0001),IF($O49&lt;=INDEX(PARAMETROS_CULTURAS!$F$6:$F$28,$P49)+INDEX(PARAMETROS_CULTURAS!$G$6:$G$28,$P49)+INDEX(PARAMETROS_CULTURAS!$H$6:$H$28,$P49),INDEX(PARAMETROS_CULTURAS!$L$6:$L$28,$P49),INDEX(PARAMETROS_CULTURAS!$L$6:$L$28,$P49)+(INDEX(PARAMETROS_CULTURAS!$M$6:$M$28,$P49)-INDEX(PARAMETROS_CULTURAS!$L$6:$L$28,$P49))*($O49-INDEX(PARAMETROS_CULTURAS!$F$6:$F$28,$P49)-INDEX(PARAMETROS_CULTURAS!$G$6:$G$28,$P49)-INDEX(PARAMETROS_CULTURAS!$H$6:$H$28,$P49))/MAX(INDEX(PARAMETROS_CULTURAS!$I$6:$I$28,$P49),0.0001)))))</f>
        <v>1.08351648351648</v>
      </c>
      <c r="S49" s="18" t="n">
        <f aca="false">IFERROR(INDEX(SEMANAS!$H$6:$H$71,MATCH($B49,SEMANAS!$B$6:$B$71,0)),0)</f>
        <v>29.2</v>
      </c>
      <c r="T49" s="18" t="n">
        <f aca="false">$R49*$S49</f>
        <v>31.6386813186813</v>
      </c>
      <c r="U49" s="18" t="n">
        <f aca="false">IFERROR(INDEX(SEMANAS!$I$6:$I$71,MATCH($B49,SEMANAS!$B$6:$B$71,0)),0)</f>
        <v>0.91</v>
      </c>
      <c r="V49" s="18" t="n">
        <f aca="false">IFERROR(INDEX(SEMANAS!$J$6:$J$71,MATCH($B49,SEMANAS!$B$6:$B$71,0)),0)</f>
        <v>0.728</v>
      </c>
      <c r="W49" s="18" t="n">
        <f aca="false">MAX(0,$T49-$V49)</f>
        <v>30.9106813186813</v>
      </c>
      <c r="X49" s="19" t="n">
        <f aca="false">IFERROR(INDEX(CADASTRO_PIVOS!$K$6:$K$41,MATCH($E49,CADASTRO_PIVOS!$B$6:$B$41,0)),EFICIENCIA_PADRAO)</f>
        <v>0.85</v>
      </c>
      <c r="Y49" s="18" t="n">
        <f aca="false">IF($X49&lt;=0,0,$W49/$X49)</f>
        <v>36.3655074337427</v>
      </c>
      <c r="Z49" s="16" t="n">
        <f aca="false">$Y49*$H49*MM_PARA_M3_HA</f>
        <v>35750.9303581125</v>
      </c>
      <c r="AA49" s="18" t="n">
        <f aca="false">IFERROR(INDEX(CADASTRO_PIVOS!$I$6:$I$41,MATCH($E49,CADASTRO_PIVOS!$B$6:$B$41,0)),0)</f>
        <v>702.214285714286</v>
      </c>
      <c r="AB49" s="18" t="n">
        <f aca="false">IF($Z49&lt;=0,0,$Z49/$AA49)</f>
        <v>50.9117104072398</v>
      </c>
      <c r="AC49" s="16" t="n">
        <f aca="false">IFERROR(INDEX(SEMANAS!$K$6:$K$71,MATCH($B49,SEMANAS!$B$6:$B$71,0)),0)</f>
        <v>147</v>
      </c>
      <c r="AD49" s="19" t="n">
        <f aca="false">IF($AC49&lt;=0,0,$AB49/$AC49)</f>
        <v>0.346338166035645</v>
      </c>
      <c r="AE49" s="8" t="str">
        <f aca="false">IF($K49="SEM CULTURA","SEM CULTURA",IF($AA49&lt;=0,"DADO PENDENTE",IF($AD49&gt;LIMITE_CRITICO,"INVIAVEL",IF($AD49&gt;LIMITE_ATENCAO,"CRITICO",IF($AD49&gt;LIMITE_CONFORTAVEL,"ATENCAO","OK")))))</f>
        <v>OK</v>
      </c>
      <c r="AF49" s="8" t="str">
        <f aca="false">$B49&amp;"|"&amp;TEXT($AD49,"0.000000")</f>
        <v>44|0.346338</v>
      </c>
      <c r="AG49" s="18" t="n">
        <f aca="false">IF($K49="SEM CULTURA",0,$T49*$H49)</f>
        <v>3110.39876043956</v>
      </c>
      <c r="AH49" s="18" t="n">
        <f aca="false">IF($K49="SEM CULTURA",0,$V49*$H49)</f>
        <v>71.56968</v>
      </c>
      <c r="AI49" s="18" t="n">
        <f aca="false">IF($K49="SEM CULTURA",0,$W49*$H49)</f>
        <v>3038.82908043956</v>
      </c>
      <c r="AJ49" s="18" t="n">
        <f aca="false">IF($K49="SEM CULTURA",0,$S49*$H49)</f>
        <v>2870.652</v>
      </c>
      <c r="AK49" s="8" t="str">
        <f aca="false">$E49&amp;"|"&amp;TEXT($AD49,"0.000000")</f>
        <v>PV 109|0.346338</v>
      </c>
    </row>
    <row r="50" customFormat="false" ht="15" hidden="false" customHeight="false" outlineLevel="0" collapsed="false">
      <c r="B50" s="16" t="n">
        <v>45</v>
      </c>
      <c r="C50" s="17" t="n">
        <f aca="false">DATA_INICIO_SAFRA+($B50-1)*DIAS_POR_SEMANA</f>
        <v>46573</v>
      </c>
      <c r="D50" s="17" t="n">
        <f aca="false">$C50+DIAS_POR_SEMANA-1</f>
        <v>46579</v>
      </c>
      <c r="E50" s="15" t="s">
        <v>259</v>
      </c>
      <c r="F50" s="8" t="str">
        <f aca="false">IFERROR(INDEX(CADASTRO_PIVOS!$C$6:$C$41,MATCH($E50,CADASTRO_PIVOS!$B$6:$B$41,0)),"?")</f>
        <v>RM01</v>
      </c>
      <c r="G50" s="8" t="str">
        <f aca="false">IFERROR(INDEX(CADASTRO_PIVOS!$D$6:$D$41,MATCH($E50,CADASTRO_PIVOS!$B$6:$B$41,0)),"?")</f>
        <v>TR01</v>
      </c>
      <c r="H50" s="20" t="n">
        <f aca="false">IFERROR(INDEX(CADASTRO_PIVOS!$E$6:$E$41,MATCH($E50,CADASTRO_PIVOS!$B$6:$B$41,0)),0)</f>
        <v>98.31</v>
      </c>
      <c r="I50" s="16" t="n">
        <f aca="false">IFERROR(SUMIFS(ROTACAO_RDM!$B$6:$B$71,ROTACAO_RDM!$D$6:$D$71,$E50,ROTACAO_RDM!$I$6:$I$71,"&lt;="&amp;$C50+INT(DIAS_POR_SEMANA/2),ROTACAO_RDM!$J$6:$J$71,"&gt;="&amp;$C50+INT(DIAS_POR_SEMANA/2)),0)</f>
        <v>16</v>
      </c>
      <c r="J50" s="16" t="n">
        <f aca="false">IFERROR(MATCH($I50,ROTACAO_RDM!$B$6:$B$71,0),0)</f>
        <v>16</v>
      </c>
      <c r="K50" s="8" t="str">
        <f aca="false">IF($J50=0,"SEM CULTURA",INDEX(ROTACAO_RDM!$F$6:$F$71,$J50))</f>
        <v>ALGODAO</v>
      </c>
      <c r="L50" s="8" t="str">
        <f aca="false">IF($J50=0,"",INDEX(ROTACAO_RDM!$G$6:$G$71,$J50))</f>
        <v>FM 933 STP</v>
      </c>
      <c r="M50" s="17" t="n">
        <f aca="false">IF($J50=0,"",INDEX(ROTACAO_RDM!$I$6:$I$71,$J50))</f>
        <v>46422</v>
      </c>
      <c r="N50" s="16" t="n">
        <f aca="false">IF($J50=0,0,MAX(0,$C50+INT(DIAS_POR_SEMANA/2)-INDEX(ROTACAO_RDM!$I$6:$I$71,$J50)))</f>
        <v>154</v>
      </c>
      <c r="O50" s="19" t="n">
        <f aca="false">IF($J50=0,0,MIN(1,$N50/MAX(1,INDEX(ROTACAO_RDM!$K$6:$K$71,$J50))))</f>
        <v>0.78974358974359</v>
      </c>
      <c r="P50" s="16" t="n">
        <f aca="false">IF($J50=0,0,IFERROR(MATCH(INDEX(ROTACAO_RDM!$N$6:$N$71,$J50),PARAMETROS_CULTURAS!$B$6:$B$28,0),0))</f>
        <v>5</v>
      </c>
      <c r="Q50" s="8" t="str">
        <f aca="false">IF($P50=0,"-",IF($O50&lt;=INDEX(PARAMETROS_CULTURAS!$F$6:$F$28,$P50),"INICIAL",IF($O50&lt;=INDEX(PARAMETROS_CULTURAS!$F$6:$F$28,$P50)+INDEX(PARAMETROS_CULTURAS!$G$6:$G$28,$P50),"DESENVOLVIMENTO",IF($O50&lt;=INDEX(PARAMETROS_CULTURAS!$F$6:$F$28,$P50)+INDEX(PARAMETROS_CULTURAS!$G$6:$G$28,$P50)+INDEX(PARAMETROS_CULTURAS!$H$6:$H$28,$P50),"MEDIA","FINAL"))))</f>
        <v>FINAL</v>
      </c>
      <c r="R50" s="24" t="n">
        <f aca="false">IF($P50=0,0,IF($O50&lt;=INDEX(PARAMETROS_CULTURAS!$F$6:$F$28,$P50),INDEX(PARAMETROS_CULTURAS!$K$6:$K$28,$P50),IF($O50&lt;=INDEX(PARAMETROS_CULTURAS!$F$6:$F$28,$P50)+INDEX(PARAMETROS_CULTURAS!$G$6:$G$28,$P50),INDEX(PARAMETROS_CULTURAS!$K$6:$K$28,$P50)+(INDEX(PARAMETROS_CULTURAS!$L$6:$L$28,$P50)-INDEX(PARAMETROS_CULTURAS!$K$6:$K$28,$P50))*($O50-INDEX(PARAMETROS_CULTURAS!$F$6:$F$28,$P50))/MAX(INDEX(PARAMETROS_CULTURAS!$G$6:$G$28,$P50),0.0001),IF($O50&lt;=INDEX(PARAMETROS_CULTURAS!$F$6:$F$28,$P50)+INDEX(PARAMETROS_CULTURAS!$G$6:$G$28,$P50)+INDEX(PARAMETROS_CULTURAS!$H$6:$H$28,$P50),INDEX(PARAMETROS_CULTURAS!$L$6:$L$28,$P50),INDEX(PARAMETROS_CULTURAS!$L$6:$L$28,$P50)+(INDEX(PARAMETROS_CULTURAS!$M$6:$M$28,$P50)-INDEX(PARAMETROS_CULTURAS!$L$6:$L$28,$P50))*($O50-INDEX(PARAMETROS_CULTURAS!$F$6:$F$28,$P50)-INDEX(PARAMETROS_CULTURAS!$G$6:$G$28,$P50)-INDEX(PARAMETROS_CULTURAS!$H$6:$H$28,$P50))/MAX(INDEX(PARAMETROS_CULTURAS!$I$6:$I$28,$P50),0.0001)))))</f>
        <v>1.01300366300366</v>
      </c>
      <c r="S50" s="18" t="n">
        <f aca="false">IFERROR(INDEX(SEMANAS!$H$6:$H$71,MATCH($B50,SEMANAS!$B$6:$B$71,0)),0)</f>
        <v>30.1</v>
      </c>
      <c r="T50" s="18" t="n">
        <f aca="false">$R50*$S50</f>
        <v>30.4914102564103</v>
      </c>
      <c r="U50" s="18" t="n">
        <f aca="false">IFERROR(INDEX(SEMANAS!$I$6:$I$71,MATCH($B50,SEMANAS!$B$6:$B$71,0)),0)</f>
        <v>0.7</v>
      </c>
      <c r="V50" s="18" t="n">
        <f aca="false">IFERROR(INDEX(SEMANAS!$J$6:$J$71,MATCH($B50,SEMANAS!$B$6:$B$71,0)),0)</f>
        <v>0.56</v>
      </c>
      <c r="W50" s="18" t="n">
        <f aca="false">MAX(0,$T50-$V50)</f>
        <v>29.9314102564103</v>
      </c>
      <c r="X50" s="19" t="n">
        <f aca="false">IFERROR(INDEX(CADASTRO_PIVOS!$K$6:$K$41,MATCH($E50,CADASTRO_PIVOS!$B$6:$B$41,0)),EFICIENCIA_PADRAO)</f>
        <v>0.85</v>
      </c>
      <c r="Y50" s="18" t="n">
        <f aca="false">IF($X50&lt;=0,0,$W50/$X50)</f>
        <v>35.2134238310709</v>
      </c>
      <c r="Z50" s="16" t="n">
        <f aca="false">$Y50*$H50*MM_PARA_M3_HA</f>
        <v>34618.3169683258</v>
      </c>
      <c r="AA50" s="18" t="n">
        <f aca="false">IFERROR(INDEX(CADASTRO_PIVOS!$I$6:$I$41,MATCH($E50,CADASTRO_PIVOS!$B$6:$B$41,0)),0)</f>
        <v>702.214285714286</v>
      </c>
      <c r="AB50" s="18" t="n">
        <f aca="false">IF($Z50&lt;=0,0,$Z50/$AA50)</f>
        <v>49.2987933634992</v>
      </c>
      <c r="AC50" s="16" t="n">
        <f aca="false">IFERROR(INDEX(SEMANAS!$K$6:$K$71,MATCH($B50,SEMANAS!$B$6:$B$71,0)),0)</f>
        <v>147</v>
      </c>
      <c r="AD50" s="19" t="n">
        <f aca="false">IF($AC50&lt;=0,0,$AB50/$AC50)</f>
        <v>0.335365941248294</v>
      </c>
      <c r="AE50" s="8" t="str">
        <f aca="false">IF($K50="SEM CULTURA","SEM CULTURA",IF($AA50&lt;=0,"DADO PENDENTE",IF($AD50&gt;LIMITE_CRITICO,"INVIAVEL",IF($AD50&gt;LIMITE_ATENCAO,"CRITICO",IF($AD50&gt;LIMITE_CONFORTAVEL,"ATENCAO","OK")))))</f>
        <v>OK</v>
      </c>
      <c r="AF50" s="8" t="str">
        <f aca="false">$B50&amp;"|"&amp;TEXT($AD50,"0.000000")</f>
        <v>45|0.335366</v>
      </c>
      <c r="AG50" s="18" t="n">
        <f aca="false">IF($K50="SEM CULTURA",0,$T50*$H50)</f>
        <v>2997.61054230769</v>
      </c>
      <c r="AH50" s="18" t="n">
        <f aca="false">IF($K50="SEM CULTURA",0,$V50*$H50)</f>
        <v>55.0536</v>
      </c>
      <c r="AI50" s="18" t="n">
        <f aca="false">IF($K50="SEM CULTURA",0,$W50*$H50)</f>
        <v>2942.55694230769</v>
      </c>
      <c r="AJ50" s="18" t="n">
        <f aca="false">IF($K50="SEM CULTURA",0,$S50*$H50)</f>
        <v>2959.131</v>
      </c>
      <c r="AK50" s="8" t="str">
        <f aca="false">$E50&amp;"|"&amp;TEXT($AD50,"0.000000")</f>
        <v>PV 109|0.335366</v>
      </c>
    </row>
    <row r="51" customFormat="false" ht="15" hidden="false" customHeight="false" outlineLevel="0" collapsed="false">
      <c r="B51" s="16" t="n">
        <v>46</v>
      </c>
      <c r="C51" s="17" t="n">
        <f aca="false">DATA_INICIO_SAFRA+($B51-1)*DIAS_POR_SEMANA</f>
        <v>46580</v>
      </c>
      <c r="D51" s="17" t="n">
        <f aca="false">$C51+DIAS_POR_SEMANA-1</f>
        <v>46586</v>
      </c>
      <c r="E51" s="15" t="s">
        <v>259</v>
      </c>
      <c r="F51" s="8" t="str">
        <f aca="false">IFERROR(INDEX(CADASTRO_PIVOS!$C$6:$C$41,MATCH($E51,CADASTRO_PIVOS!$B$6:$B$41,0)),"?")</f>
        <v>RM01</v>
      </c>
      <c r="G51" s="8" t="str">
        <f aca="false">IFERROR(INDEX(CADASTRO_PIVOS!$D$6:$D$41,MATCH($E51,CADASTRO_PIVOS!$B$6:$B$41,0)),"?")</f>
        <v>TR01</v>
      </c>
      <c r="H51" s="20" t="n">
        <f aca="false">IFERROR(INDEX(CADASTRO_PIVOS!$E$6:$E$41,MATCH($E51,CADASTRO_PIVOS!$B$6:$B$41,0)),0)</f>
        <v>98.31</v>
      </c>
      <c r="I51" s="16" t="n">
        <f aca="false">IFERROR(SUMIFS(ROTACAO_RDM!$B$6:$B$71,ROTACAO_RDM!$D$6:$D$71,$E51,ROTACAO_RDM!$I$6:$I$71,"&lt;="&amp;$C51+INT(DIAS_POR_SEMANA/2),ROTACAO_RDM!$J$6:$J$71,"&gt;="&amp;$C51+INT(DIAS_POR_SEMANA/2)),0)</f>
        <v>16</v>
      </c>
      <c r="J51" s="16" t="n">
        <f aca="false">IFERROR(MATCH($I51,ROTACAO_RDM!$B$6:$B$71,0),0)</f>
        <v>16</v>
      </c>
      <c r="K51" s="8" t="str">
        <f aca="false">IF($J51=0,"SEM CULTURA",INDEX(ROTACAO_RDM!$F$6:$F$71,$J51))</f>
        <v>ALGODAO</v>
      </c>
      <c r="L51" s="8" t="str">
        <f aca="false">IF($J51=0,"",INDEX(ROTACAO_RDM!$G$6:$G$71,$J51))</f>
        <v>FM 933 STP</v>
      </c>
      <c r="M51" s="17" t="n">
        <f aca="false">IF($J51=0,"",INDEX(ROTACAO_RDM!$I$6:$I$71,$J51))</f>
        <v>46422</v>
      </c>
      <c r="N51" s="16" t="n">
        <f aca="false">IF($J51=0,0,MAX(0,$C51+INT(DIAS_POR_SEMANA/2)-INDEX(ROTACAO_RDM!$I$6:$I$71,$J51)))</f>
        <v>161</v>
      </c>
      <c r="O51" s="19" t="n">
        <f aca="false">IF($J51=0,0,MIN(1,$N51/MAX(1,INDEX(ROTACAO_RDM!$K$6:$K$71,$J51))))</f>
        <v>0.825641025641026</v>
      </c>
      <c r="P51" s="16" t="n">
        <f aca="false">IF($J51=0,0,IFERROR(MATCH(INDEX(ROTACAO_RDM!$N$6:$N$71,$J51),PARAMETROS_CULTURAS!$B$6:$B$28,0),0))</f>
        <v>5</v>
      </c>
      <c r="Q51" s="8" t="str">
        <f aca="false">IF($P51=0,"-",IF($O51&lt;=INDEX(PARAMETROS_CULTURAS!$F$6:$F$28,$P51),"INICIAL",IF($O51&lt;=INDEX(PARAMETROS_CULTURAS!$F$6:$F$28,$P51)+INDEX(PARAMETROS_CULTURAS!$G$6:$G$28,$P51),"DESENVOLVIMENTO",IF($O51&lt;=INDEX(PARAMETROS_CULTURAS!$F$6:$F$28,$P51)+INDEX(PARAMETROS_CULTURAS!$G$6:$G$28,$P51)+INDEX(PARAMETROS_CULTURAS!$H$6:$H$28,$P51),"MEDIA","FINAL"))))</f>
        <v>FINAL</v>
      </c>
      <c r="R51" s="24" t="n">
        <f aca="false">IF($P51=0,0,IF($O51&lt;=INDEX(PARAMETROS_CULTURAS!$F$6:$F$28,$P51),INDEX(PARAMETROS_CULTURAS!$K$6:$K$28,$P51),IF($O51&lt;=INDEX(PARAMETROS_CULTURAS!$F$6:$F$28,$P51)+INDEX(PARAMETROS_CULTURAS!$G$6:$G$28,$P51),INDEX(PARAMETROS_CULTURAS!$K$6:$K$28,$P51)+(INDEX(PARAMETROS_CULTURAS!$L$6:$L$28,$P51)-INDEX(PARAMETROS_CULTURAS!$K$6:$K$28,$P51))*($O51-INDEX(PARAMETROS_CULTURAS!$F$6:$F$28,$P51))/MAX(INDEX(PARAMETROS_CULTURAS!$G$6:$G$28,$P51),0.0001),IF($O51&lt;=INDEX(PARAMETROS_CULTURAS!$F$6:$F$28,$P51)+INDEX(PARAMETROS_CULTURAS!$G$6:$G$28,$P51)+INDEX(PARAMETROS_CULTURAS!$H$6:$H$28,$P51),INDEX(PARAMETROS_CULTURAS!$L$6:$L$28,$P51),INDEX(PARAMETROS_CULTURAS!$L$6:$L$28,$P51)+(INDEX(PARAMETROS_CULTURAS!$M$6:$M$28,$P51)-INDEX(PARAMETROS_CULTURAS!$L$6:$L$28,$P51))*($O51-INDEX(PARAMETROS_CULTURAS!$F$6:$F$28,$P51)-INDEX(PARAMETROS_CULTURAS!$G$6:$G$28,$P51)-INDEX(PARAMETROS_CULTURAS!$H$6:$H$28,$P51))/MAX(INDEX(PARAMETROS_CULTURAS!$I$6:$I$28,$P51),0.0001)))))</f>
        <v>0.942490842490843</v>
      </c>
      <c r="S51" s="18" t="n">
        <f aca="false">IFERROR(INDEX(SEMANAS!$H$6:$H$71,MATCH($B51,SEMANAS!$B$6:$B$71,0)),0)</f>
        <v>30.1</v>
      </c>
      <c r="T51" s="18" t="n">
        <f aca="false">$R51*$S51</f>
        <v>28.3689743589744</v>
      </c>
      <c r="U51" s="18" t="n">
        <f aca="false">IFERROR(INDEX(SEMANAS!$I$6:$I$71,MATCH($B51,SEMANAS!$B$6:$B$71,0)),0)</f>
        <v>0.7</v>
      </c>
      <c r="V51" s="18" t="n">
        <f aca="false">IFERROR(INDEX(SEMANAS!$J$6:$J$71,MATCH($B51,SEMANAS!$B$6:$B$71,0)),0)</f>
        <v>0.56</v>
      </c>
      <c r="W51" s="18" t="n">
        <f aca="false">MAX(0,$T51-$V51)</f>
        <v>27.8089743589744</v>
      </c>
      <c r="X51" s="19" t="n">
        <f aca="false">IFERROR(INDEX(CADASTRO_PIVOS!$K$6:$K$41,MATCH($E51,CADASTRO_PIVOS!$B$6:$B$41,0)),EFICIENCIA_PADRAO)</f>
        <v>0.85</v>
      </c>
      <c r="Y51" s="18" t="n">
        <f aca="false">IF($X51&lt;=0,0,$W51/$X51)</f>
        <v>32.7164404223228</v>
      </c>
      <c r="Z51" s="16" t="n">
        <f aca="false">$Y51*$H51*MM_PARA_M3_HA</f>
        <v>32163.5325791855</v>
      </c>
      <c r="AA51" s="18" t="n">
        <f aca="false">IFERROR(INDEX(CADASTRO_PIVOS!$I$6:$I$41,MATCH($E51,CADASTRO_PIVOS!$B$6:$B$41,0)),0)</f>
        <v>702.214285714286</v>
      </c>
      <c r="AB51" s="18" t="n">
        <f aca="false">IF($Z51&lt;=0,0,$Z51/$AA51)</f>
        <v>45.8030165912519</v>
      </c>
      <c r="AC51" s="16" t="n">
        <f aca="false">IFERROR(INDEX(SEMANAS!$K$6:$K$71,MATCH($B51,SEMANAS!$B$6:$B$71,0)),0)</f>
        <v>147</v>
      </c>
      <c r="AD51" s="19" t="n">
        <f aca="false">IF($AC51&lt;=0,0,$AB51/$AC51)</f>
        <v>0.311585146879265</v>
      </c>
      <c r="AE51" s="8" t="str">
        <f aca="false">IF($K51="SEM CULTURA","SEM CULTURA",IF($AA51&lt;=0,"DADO PENDENTE",IF($AD51&gt;LIMITE_CRITICO,"INVIAVEL",IF($AD51&gt;LIMITE_ATENCAO,"CRITICO",IF($AD51&gt;LIMITE_CONFORTAVEL,"ATENCAO","OK")))))</f>
        <v>OK</v>
      </c>
      <c r="AF51" s="8" t="str">
        <f aca="false">$B51&amp;"|"&amp;TEXT($AD51,"0.000000")</f>
        <v>46|0.311585</v>
      </c>
      <c r="AG51" s="18" t="n">
        <f aca="false">IF($K51="SEM CULTURA",0,$T51*$H51)</f>
        <v>2788.95386923077</v>
      </c>
      <c r="AH51" s="18" t="n">
        <f aca="false">IF($K51="SEM CULTURA",0,$V51*$H51)</f>
        <v>55.0536</v>
      </c>
      <c r="AI51" s="18" t="n">
        <f aca="false">IF($K51="SEM CULTURA",0,$W51*$H51)</f>
        <v>2733.90026923077</v>
      </c>
      <c r="AJ51" s="18" t="n">
        <f aca="false">IF($K51="SEM CULTURA",0,$S51*$H51)</f>
        <v>2959.131</v>
      </c>
      <c r="AK51" s="8" t="str">
        <f aca="false">$E51&amp;"|"&amp;TEXT($AD51,"0.000000")</f>
        <v>PV 109|0.311585</v>
      </c>
    </row>
    <row r="52" customFormat="false" ht="15" hidden="false" customHeight="false" outlineLevel="0" collapsed="false">
      <c r="B52" s="16" t="n">
        <v>47</v>
      </c>
      <c r="C52" s="17" t="n">
        <f aca="false">DATA_INICIO_SAFRA+($B52-1)*DIAS_POR_SEMANA</f>
        <v>46587</v>
      </c>
      <c r="D52" s="17" t="n">
        <f aca="false">$C52+DIAS_POR_SEMANA-1</f>
        <v>46593</v>
      </c>
      <c r="E52" s="15" t="s">
        <v>259</v>
      </c>
      <c r="F52" s="8" t="str">
        <f aca="false">IFERROR(INDEX(CADASTRO_PIVOS!$C$6:$C$41,MATCH($E52,CADASTRO_PIVOS!$B$6:$B$41,0)),"?")</f>
        <v>RM01</v>
      </c>
      <c r="G52" s="8" t="str">
        <f aca="false">IFERROR(INDEX(CADASTRO_PIVOS!$D$6:$D$41,MATCH($E52,CADASTRO_PIVOS!$B$6:$B$41,0)),"?")</f>
        <v>TR01</v>
      </c>
      <c r="H52" s="20" t="n">
        <f aca="false">IFERROR(INDEX(CADASTRO_PIVOS!$E$6:$E$41,MATCH($E52,CADASTRO_PIVOS!$B$6:$B$41,0)),0)</f>
        <v>98.31</v>
      </c>
      <c r="I52" s="16" t="n">
        <f aca="false">IFERROR(SUMIFS(ROTACAO_RDM!$B$6:$B$71,ROTACAO_RDM!$D$6:$D$71,$E52,ROTACAO_RDM!$I$6:$I$71,"&lt;="&amp;$C52+INT(DIAS_POR_SEMANA/2),ROTACAO_RDM!$J$6:$J$71,"&gt;="&amp;$C52+INT(DIAS_POR_SEMANA/2)),0)</f>
        <v>16</v>
      </c>
      <c r="J52" s="16" t="n">
        <f aca="false">IFERROR(MATCH($I52,ROTACAO_RDM!$B$6:$B$71,0),0)</f>
        <v>16</v>
      </c>
      <c r="K52" s="8" t="str">
        <f aca="false">IF($J52=0,"SEM CULTURA",INDEX(ROTACAO_RDM!$F$6:$F$71,$J52))</f>
        <v>ALGODAO</v>
      </c>
      <c r="L52" s="8" t="str">
        <f aca="false">IF($J52=0,"",INDEX(ROTACAO_RDM!$G$6:$G$71,$J52))</f>
        <v>FM 933 STP</v>
      </c>
      <c r="M52" s="17" t="n">
        <f aca="false">IF($J52=0,"",INDEX(ROTACAO_RDM!$I$6:$I$71,$J52))</f>
        <v>46422</v>
      </c>
      <c r="N52" s="16" t="n">
        <f aca="false">IF($J52=0,0,MAX(0,$C52+INT(DIAS_POR_SEMANA/2)-INDEX(ROTACAO_RDM!$I$6:$I$71,$J52)))</f>
        <v>168</v>
      </c>
      <c r="O52" s="19" t="n">
        <f aca="false">IF($J52=0,0,MIN(1,$N52/MAX(1,INDEX(ROTACAO_RDM!$K$6:$K$71,$J52))))</f>
        <v>0.861538461538462</v>
      </c>
      <c r="P52" s="16" t="n">
        <f aca="false">IF($J52=0,0,IFERROR(MATCH(INDEX(ROTACAO_RDM!$N$6:$N$71,$J52),PARAMETROS_CULTURAS!$B$6:$B$28,0),0))</f>
        <v>5</v>
      </c>
      <c r="Q52" s="8" t="str">
        <f aca="false">IF($P52=0,"-",IF($O52&lt;=INDEX(PARAMETROS_CULTURAS!$F$6:$F$28,$P52),"INICIAL",IF($O52&lt;=INDEX(PARAMETROS_CULTURAS!$F$6:$F$28,$P52)+INDEX(PARAMETROS_CULTURAS!$G$6:$G$28,$P52),"DESENVOLVIMENTO",IF($O52&lt;=INDEX(PARAMETROS_CULTURAS!$F$6:$F$28,$P52)+INDEX(PARAMETROS_CULTURAS!$G$6:$G$28,$P52)+INDEX(PARAMETROS_CULTURAS!$H$6:$H$28,$P52),"MEDIA","FINAL"))))</f>
        <v>FINAL</v>
      </c>
      <c r="R52" s="24" t="n">
        <f aca="false">IF($P52=0,0,IF($O52&lt;=INDEX(PARAMETROS_CULTURAS!$F$6:$F$28,$P52),INDEX(PARAMETROS_CULTURAS!$K$6:$K$28,$P52),IF($O52&lt;=INDEX(PARAMETROS_CULTURAS!$F$6:$F$28,$P52)+INDEX(PARAMETROS_CULTURAS!$G$6:$G$28,$P52),INDEX(PARAMETROS_CULTURAS!$K$6:$K$28,$P52)+(INDEX(PARAMETROS_CULTURAS!$L$6:$L$28,$P52)-INDEX(PARAMETROS_CULTURAS!$K$6:$K$28,$P52))*($O52-INDEX(PARAMETROS_CULTURAS!$F$6:$F$28,$P52))/MAX(INDEX(PARAMETROS_CULTURAS!$G$6:$G$28,$P52),0.0001),IF($O52&lt;=INDEX(PARAMETROS_CULTURAS!$F$6:$F$28,$P52)+INDEX(PARAMETROS_CULTURAS!$G$6:$G$28,$P52)+INDEX(PARAMETROS_CULTURAS!$H$6:$H$28,$P52),INDEX(PARAMETROS_CULTURAS!$L$6:$L$28,$P52),INDEX(PARAMETROS_CULTURAS!$L$6:$L$28,$P52)+(INDEX(PARAMETROS_CULTURAS!$M$6:$M$28,$P52)-INDEX(PARAMETROS_CULTURAS!$L$6:$L$28,$P52))*($O52-INDEX(PARAMETROS_CULTURAS!$F$6:$F$28,$P52)-INDEX(PARAMETROS_CULTURAS!$G$6:$G$28,$P52)-INDEX(PARAMETROS_CULTURAS!$H$6:$H$28,$P52))/MAX(INDEX(PARAMETROS_CULTURAS!$I$6:$I$28,$P52),0.0001)))))</f>
        <v>0.871978021978022</v>
      </c>
      <c r="S52" s="18" t="n">
        <f aca="false">IFERROR(INDEX(SEMANAS!$H$6:$H$71,MATCH($B52,SEMANAS!$B$6:$B$71,0)),0)</f>
        <v>30.1</v>
      </c>
      <c r="T52" s="18" t="n">
        <f aca="false">$R52*$S52</f>
        <v>26.2465384615385</v>
      </c>
      <c r="U52" s="18" t="n">
        <f aca="false">IFERROR(INDEX(SEMANAS!$I$6:$I$71,MATCH($B52,SEMANAS!$B$6:$B$71,0)),0)</f>
        <v>0.7</v>
      </c>
      <c r="V52" s="18" t="n">
        <f aca="false">IFERROR(INDEX(SEMANAS!$J$6:$J$71,MATCH($B52,SEMANAS!$B$6:$B$71,0)),0)</f>
        <v>0.56</v>
      </c>
      <c r="W52" s="18" t="n">
        <f aca="false">MAX(0,$T52-$V52)</f>
        <v>25.6865384615385</v>
      </c>
      <c r="X52" s="19" t="n">
        <f aca="false">IFERROR(INDEX(CADASTRO_PIVOS!$K$6:$K$41,MATCH($E52,CADASTRO_PIVOS!$B$6:$B$41,0)),EFICIENCIA_PADRAO)</f>
        <v>0.85</v>
      </c>
      <c r="Y52" s="18" t="n">
        <f aca="false">IF($X52&lt;=0,0,$W52/$X52)</f>
        <v>30.2194570135747</v>
      </c>
      <c r="Z52" s="16" t="n">
        <f aca="false">$Y52*$H52*MM_PARA_M3_HA</f>
        <v>29708.7481900452</v>
      </c>
      <c r="AA52" s="18" t="n">
        <f aca="false">IFERROR(INDEX(CADASTRO_PIVOS!$I$6:$I$41,MATCH($E52,CADASTRO_PIVOS!$B$6:$B$41,0)),0)</f>
        <v>702.214285714286</v>
      </c>
      <c r="AB52" s="18" t="n">
        <f aca="false">IF($Z52&lt;=0,0,$Z52/$AA52)</f>
        <v>42.3072398190045</v>
      </c>
      <c r="AC52" s="16" t="n">
        <f aca="false">IFERROR(INDEX(SEMANAS!$K$6:$K$71,MATCH($B52,SEMANAS!$B$6:$B$71,0)),0)</f>
        <v>147</v>
      </c>
      <c r="AD52" s="19" t="n">
        <f aca="false">IF($AC52&lt;=0,0,$AB52/$AC52)</f>
        <v>0.287804352510235</v>
      </c>
      <c r="AE52" s="8" t="str">
        <f aca="false">IF($K52="SEM CULTURA","SEM CULTURA",IF($AA52&lt;=0,"DADO PENDENTE",IF($AD52&gt;LIMITE_CRITICO,"INVIAVEL",IF($AD52&gt;LIMITE_ATENCAO,"CRITICO",IF($AD52&gt;LIMITE_CONFORTAVEL,"ATENCAO","OK")))))</f>
        <v>OK</v>
      </c>
      <c r="AF52" s="8" t="str">
        <f aca="false">$B52&amp;"|"&amp;TEXT($AD52,"0.000000")</f>
        <v>47|0.287804</v>
      </c>
      <c r="AG52" s="18" t="n">
        <f aca="false">IF($K52="SEM CULTURA",0,$T52*$H52)</f>
        <v>2580.29719615385</v>
      </c>
      <c r="AH52" s="18" t="n">
        <f aca="false">IF($K52="SEM CULTURA",0,$V52*$H52)</f>
        <v>55.0536</v>
      </c>
      <c r="AI52" s="18" t="n">
        <f aca="false">IF($K52="SEM CULTURA",0,$W52*$H52)</f>
        <v>2525.24359615385</v>
      </c>
      <c r="AJ52" s="18" t="n">
        <f aca="false">IF($K52="SEM CULTURA",0,$S52*$H52)</f>
        <v>2959.131</v>
      </c>
      <c r="AK52" s="8" t="str">
        <f aca="false">$E52&amp;"|"&amp;TEXT($AD52,"0.000000")</f>
        <v>PV 109|0.287804</v>
      </c>
    </row>
    <row r="53" customFormat="false" ht="15" hidden="false" customHeight="false" outlineLevel="0" collapsed="false">
      <c r="B53" s="16" t="n">
        <v>48</v>
      </c>
      <c r="C53" s="17" t="n">
        <f aca="false">DATA_INICIO_SAFRA+($B53-1)*DIAS_POR_SEMANA</f>
        <v>46594</v>
      </c>
      <c r="D53" s="17" t="n">
        <f aca="false">$C53+DIAS_POR_SEMANA-1</f>
        <v>46600</v>
      </c>
      <c r="E53" s="15" t="s">
        <v>259</v>
      </c>
      <c r="F53" s="8" t="str">
        <f aca="false">IFERROR(INDEX(CADASTRO_PIVOS!$C$6:$C$41,MATCH($E53,CADASTRO_PIVOS!$B$6:$B$41,0)),"?")</f>
        <v>RM01</v>
      </c>
      <c r="G53" s="8" t="str">
        <f aca="false">IFERROR(INDEX(CADASTRO_PIVOS!$D$6:$D$41,MATCH($E53,CADASTRO_PIVOS!$B$6:$B$41,0)),"?")</f>
        <v>TR01</v>
      </c>
      <c r="H53" s="20" t="n">
        <f aca="false">IFERROR(INDEX(CADASTRO_PIVOS!$E$6:$E$41,MATCH($E53,CADASTRO_PIVOS!$B$6:$B$41,0)),0)</f>
        <v>98.31</v>
      </c>
      <c r="I53" s="16" t="n">
        <f aca="false">IFERROR(SUMIFS(ROTACAO_RDM!$B$6:$B$71,ROTACAO_RDM!$D$6:$D$71,$E53,ROTACAO_RDM!$I$6:$I$71,"&lt;="&amp;$C53+INT(DIAS_POR_SEMANA/2),ROTACAO_RDM!$J$6:$J$71,"&gt;="&amp;$C53+INT(DIAS_POR_SEMANA/2)),0)</f>
        <v>16</v>
      </c>
      <c r="J53" s="16" t="n">
        <f aca="false">IFERROR(MATCH($I53,ROTACAO_RDM!$B$6:$B$71,0),0)</f>
        <v>16</v>
      </c>
      <c r="K53" s="8" t="str">
        <f aca="false">IF($J53=0,"SEM CULTURA",INDEX(ROTACAO_RDM!$F$6:$F$71,$J53))</f>
        <v>ALGODAO</v>
      </c>
      <c r="L53" s="8" t="str">
        <f aca="false">IF($J53=0,"",INDEX(ROTACAO_RDM!$G$6:$G$71,$J53))</f>
        <v>FM 933 STP</v>
      </c>
      <c r="M53" s="17" t="n">
        <f aca="false">IF($J53=0,"",INDEX(ROTACAO_RDM!$I$6:$I$71,$J53))</f>
        <v>46422</v>
      </c>
      <c r="N53" s="16" t="n">
        <f aca="false">IF($J53=0,0,MAX(0,$C53+INT(DIAS_POR_SEMANA/2)-INDEX(ROTACAO_RDM!$I$6:$I$71,$J53)))</f>
        <v>175</v>
      </c>
      <c r="O53" s="19" t="n">
        <f aca="false">IF($J53=0,0,MIN(1,$N53/MAX(1,INDEX(ROTACAO_RDM!$K$6:$K$71,$J53))))</f>
        <v>0.897435897435898</v>
      </c>
      <c r="P53" s="16" t="n">
        <f aca="false">IF($J53=0,0,IFERROR(MATCH(INDEX(ROTACAO_RDM!$N$6:$N$71,$J53),PARAMETROS_CULTURAS!$B$6:$B$28,0),0))</f>
        <v>5</v>
      </c>
      <c r="Q53" s="8" t="str">
        <f aca="false">IF($P53=0,"-",IF($O53&lt;=INDEX(PARAMETROS_CULTURAS!$F$6:$F$28,$P53),"INICIAL",IF($O53&lt;=INDEX(PARAMETROS_CULTURAS!$F$6:$F$28,$P53)+INDEX(PARAMETROS_CULTURAS!$G$6:$G$28,$P53),"DESENVOLVIMENTO",IF($O53&lt;=INDEX(PARAMETROS_CULTURAS!$F$6:$F$28,$P53)+INDEX(PARAMETROS_CULTURAS!$G$6:$G$28,$P53)+INDEX(PARAMETROS_CULTURAS!$H$6:$H$28,$P53),"MEDIA","FINAL"))))</f>
        <v>FINAL</v>
      </c>
      <c r="R53" s="24" t="n">
        <f aca="false">IF($P53=0,0,IF($O53&lt;=INDEX(PARAMETROS_CULTURAS!$F$6:$F$28,$P53),INDEX(PARAMETROS_CULTURAS!$K$6:$K$28,$P53),IF($O53&lt;=INDEX(PARAMETROS_CULTURAS!$F$6:$F$28,$P53)+INDEX(PARAMETROS_CULTURAS!$G$6:$G$28,$P53),INDEX(PARAMETROS_CULTURAS!$K$6:$K$28,$P53)+(INDEX(PARAMETROS_CULTURAS!$L$6:$L$28,$P53)-INDEX(PARAMETROS_CULTURAS!$K$6:$K$28,$P53))*($O53-INDEX(PARAMETROS_CULTURAS!$F$6:$F$28,$P53))/MAX(INDEX(PARAMETROS_CULTURAS!$G$6:$G$28,$P53),0.0001),IF($O53&lt;=INDEX(PARAMETROS_CULTURAS!$F$6:$F$28,$P53)+INDEX(PARAMETROS_CULTURAS!$G$6:$G$28,$P53)+INDEX(PARAMETROS_CULTURAS!$H$6:$H$28,$P53),INDEX(PARAMETROS_CULTURAS!$L$6:$L$28,$P53),INDEX(PARAMETROS_CULTURAS!$L$6:$L$28,$P53)+(INDEX(PARAMETROS_CULTURAS!$M$6:$M$28,$P53)-INDEX(PARAMETROS_CULTURAS!$L$6:$L$28,$P53))*($O53-INDEX(PARAMETROS_CULTURAS!$F$6:$F$28,$P53)-INDEX(PARAMETROS_CULTURAS!$G$6:$G$28,$P53)-INDEX(PARAMETROS_CULTURAS!$H$6:$H$28,$P53))/MAX(INDEX(PARAMETROS_CULTURAS!$I$6:$I$28,$P53),0.0001)))))</f>
        <v>0.801465201465202</v>
      </c>
      <c r="S53" s="18" t="n">
        <f aca="false">IFERROR(INDEX(SEMANAS!$H$6:$H$71,MATCH($B53,SEMANAS!$B$6:$B$71,0)),0)</f>
        <v>31</v>
      </c>
      <c r="T53" s="18" t="n">
        <f aca="false">$R53*$S53</f>
        <v>24.8454212454212</v>
      </c>
      <c r="U53" s="18" t="n">
        <f aca="false">IFERROR(INDEX(SEMANAS!$I$6:$I$71,MATCH($B53,SEMANAS!$B$6:$B$71,0)),0)</f>
        <v>0.76</v>
      </c>
      <c r="V53" s="18" t="n">
        <f aca="false">IFERROR(INDEX(SEMANAS!$J$6:$J$71,MATCH($B53,SEMANAS!$B$6:$B$71,0)),0)</f>
        <v>0.608</v>
      </c>
      <c r="W53" s="18" t="n">
        <f aca="false">MAX(0,$T53-$V53)</f>
        <v>24.2374212454212</v>
      </c>
      <c r="X53" s="19" t="n">
        <f aca="false">IFERROR(INDEX(CADASTRO_PIVOS!$K$6:$K$41,MATCH($E53,CADASTRO_PIVOS!$B$6:$B$41,0)),EFICIENCIA_PADRAO)</f>
        <v>0.85</v>
      </c>
      <c r="Y53" s="18" t="n">
        <f aca="false">IF($X53&lt;=0,0,$W53/$X53)</f>
        <v>28.5146132299073</v>
      </c>
      <c r="Z53" s="16" t="n">
        <f aca="false">$Y53*$H53*MM_PARA_M3_HA</f>
        <v>28032.7162663219</v>
      </c>
      <c r="AA53" s="18" t="n">
        <f aca="false">IFERROR(INDEX(CADASTRO_PIVOS!$I$6:$I$41,MATCH($E53,CADASTRO_PIVOS!$B$6:$B$41,0)),0)</f>
        <v>702.214285714286</v>
      </c>
      <c r="AB53" s="18" t="n">
        <f aca="false">IF($Z53&lt;=0,0,$Z53/$AA53)</f>
        <v>39.9204585218703</v>
      </c>
      <c r="AC53" s="16" t="n">
        <f aca="false">IFERROR(INDEX(SEMANAS!$K$6:$K$71,MATCH($B53,SEMANAS!$B$6:$B$71,0)),0)</f>
        <v>147</v>
      </c>
      <c r="AD53" s="19" t="n">
        <f aca="false">IF($AC53&lt;=0,0,$AB53/$AC53)</f>
        <v>0.271567745046737</v>
      </c>
      <c r="AE53" s="8" t="str">
        <f aca="false">IF($K53="SEM CULTURA","SEM CULTURA",IF($AA53&lt;=0,"DADO PENDENTE",IF($AD53&gt;LIMITE_CRITICO,"INVIAVEL",IF($AD53&gt;LIMITE_ATENCAO,"CRITICO",IF($AD53&gt;LIMITE_CONFORTAVEL,"ATENCAO","OK")))))</f>
        <v>OK</v>
      </c>
      <c r="AF53" s="8" t="str">
        <f aca="false">$B53&amp;"|"&amp;TEXT($AD53,"0.000000")</f>
        <v>48|0.271568</v>
      </c>
      <c r="AG53" s="18" t="n">
        <f aca="false">IF($K53="SEM CULTURA",0,$T53*$H53)</f>
        <v>2442.55336263736</v>
      </c>
      <c r="AH53" s="18" t="n">
        <f aca="false">IF($K53="SEM CULTURA",0,$V53*$H53)</f>
        <v>59.77248</v>
      </c>
      <c r="AI53" s="18" t="n">
        <f aca="false">IF($K53="SEM CULTURA",0,$W53*$H53)</f>
        <v>2382.78088263736</v>
      </c>
      <c r="AJ53" s="18" t="n">
        <f aca="false">IF($K53="SEM CULTURA",0,$S53*$H53)</f>
        <v>3047.61</v>
      </c>
      <c r="AK53" s="8" t="str">
        <f aca="false">$E53&amp;"|"&amp;TEXT($AD53,"0.000000")</f>
        <v>PV 109|0.271568</v>
      </c>
    </row>
    <row r="54" customFormat="false" ht="15" hidden="false" customHeight="false" outlineLevel="0" collapsed="false">
      <c r="B54" s="16" t="n">
        <v>49</v>
      </c>
      <c r="C54" s="17" t="n">
        <f aca="false">DATA_INICIO_SAFRA+($B54-1)*DIAS_POR_SEMANA</f>
        <v>46601</v>
      </c>
      <c r="D54" s="17" t="n">
        <f aca="false">$C54+DIAS_POR_SEMANA-1</f>
        <v>46607</v>
      </c>
      <c r="E54" s="15" t="s">
        <v>259</v>
      </c>
      <c r="F54" s="8" t="str">
        <f aca="false">IFERROR(INDEX(CADASTRO_PIVOS!$C$6:$C$41,MATCH($E54,CADASTRO_PIVOS!$B$6:$B$41,0)),"?")</f>
        <v>RM01</v>
      </c>
      <c r="G54" s="8" t="str">
        <f aca="false">IFERROR(INDEX(CADASTRO_PIVOS!$D$6:$D$41,MATCH($E54,CADASTRO_PIVOS!$B$6:$B$41,0)),"?")</f>
        <v>TR01</v>
      </c>
      <c r="H54" s="20" t="n">
        <f aca="false">IFERROR(INDEX(CADASTRO_PIVOS!$E$6:$E$41,MATCH($E54,CADASTRO_PIVOS!$B$6:$B$41,0)),0)</f>
        <v>98.31</v>
      </c>
      <c r="I54" s="16" t="n">
        <f aca="false">IFERROR(SUMIFS(ROTACAO_RDM!$B$6:$B$71,ROTACAO_RDM!$D$6:$D$71,$E54,ROTACAO_RDM!$I$6:$I$71,"&lt;="&amp;$C54+INT(DIAS_POR_SEMANA/2),ROTACAO_RDM!$J$6:$J$71,"&gt;="&amp;$C54+INT(DIAS_POR_SEMANA/2)),0)</f>
        <v>16</v>
      </c>
      <c r="J54" s="16" t="n">
        <f aca="false">IFERROR(MATCH($I54,ROTACAO_RDM!$B$6:$B$71,0),0)</f>
        <v>16</v>
      </c>
      <c r="K54" s="8" t="str">
        <f aca="false">IF($J54=0,"SEM CULTURA",INDEX(ROTACAO_RDM!$F$6:$F$71,$J54))</f>
        <v>ALGODAO</v>
      </c>
      <c r="L54" s="8" t="str">
        <f aca="false">IF($J54=0,"",INDEX(ROTACAO_RDM!$G$6:$G$71,$J54))</f>
        <v>FM 933 STP</v>
      </c>
      <c r="M54" s="17" t="n">
        <f aca="false">IF($J54=0,"",INDEX(ROTACAO_RDM!$I$6:$I$71,$J54))</f>
        <v>46422</v>
      </c>
      <c r="N54" s="16" t="n">
        <f aca="false">IF($J54=0,0,MAX(0,$C54+INT(DIAS_POR_SEMANA/2)-INDEX(ROTACAO_RDM!$I$6:$I$71,$J54)))</f>
        <v>182</v>
      </c>
      <c r="O54" s="19" t="n">
        <f aca="false">IF($J54=0,0,MIN(1,$N54/MAX(1,INDEX(ROTACAO_RDM!$K$6:$K$71,$J54))))</f>
        <v>0.933333333333333</v>
      </c>
      <c r="P54" s="16" t="n">
        <f aca="false">IF($J54=0,0,IFERROR(MATCH(INDEX(ROTACAO_RDM!$N$6:$N$71,$J54),PARAMETROS_CULTURAS!$B$6:$B$28,0),0))</f>
        <v>5</v>
      </c>
      <c r="Q54" s="8" t="str">
        <f aca="false">IF($P54=0,"-",IF($O54&lt;=INDEX(PARAMETROS_CULTURAS!$F$6:$F$28,$P54),"INICIAL",IF($O54&lt;=INDEX(PARAMETROS_CULTURAS!$F$6:$F$28,$P54)+INDEX(PARAMETROS_CULTURAS!$G$6:$G$28,$P54),"DESENVOLVIMENTO",IF($O54&lt;=INDEX(PARAMETROS_CULTURAS!$F$6:$F$28,$P54)+INDEX(PARAMETROS_CULTURAS!$G$6:$G$28,$P54)+INDEX(PARAMETROS_CULTURAS!$H$6:$H$28,$P54),"MEDIA","FINAL"))))</f>
        <v>FINAL</v>
      </c>
      <c r="R54" s="24" t="n">
        <f aca="false">IF($P54=0,0,IF($O54&lt;=INDEX(PARAMETROS_CULTURAS!$F$6:$F$28,$P54),INDEX(PARAMETROS_CULTURAS!$K$6:$K$28,$P54),IF($O54&lt;=INDEX(PARAMETROS_CULTURAS!$F$6:$F$28,$P54)+INDEX(PARAMETROS_CULTURAS!$G$6:$G$28,$P54),INDEX(PARAMETROS_CULTURAS!$K$6:$K$28,$P54)+(INDEX(PARAMETROS_CULTURAS!$L$6:$L$28,$P54)-INDEX(PARAMETROS_CULTURAS!$K$6:$K$28,$P54))*($O54-INDEX(PARAMETROS_CULTURAS!$F$6:$F$28,$P54))/MAX(INDEX(PARAMETROS_CULTURAS!$G$6:$G$28,$P54),0.0001),IF($O54&lt;=INDEX(PARAMETROS_CULTURAS!$F$6:$F$28,$P54)+INDEX(PARAMETROS_CULTURAS!$G$6:$G$28,$P54)+INDEX(PARAMETROS_CULTURAS!$H$6:$H$28,$P54),INDEX(PARAMETROS_CULTURAS!$L$6:$L$28,$P54),INDEX(PARAMETROS_CULTURAS!$L$6:$L$28,$P54)+(INDEX(PARAMETROS_CULTURAS!$M$6:$M$28,$P54)-INDEX(PARAMETROS_CULTURAS!$L$6:$L$28,$P54))*($O54-INDEX(PARAMETROS_CULTURAS!$F$6:$F$28,$P54)-INDEX(PARAMETROS_CULTURAS!$G$6:$G$28,$P54)-INDEX(PARAMETROS_CULTURAS!$H$6:$H$28,$P54))/MAX(INDEX(PARAMETROS_CULTURAS!$I$6:$I$28,$P54),0.0001)))))</f>
        <v>0.730952380952381</v>
      </c>
      <c r="S54" s="18" t="n">
        <f aca="false">IFERROR(INDEX(SEMANAS!$H$6:$H$71,MATCH($B54,SEMANAS!$B$6:$B$71,0)),0)</f>
        <v>36.4</v>
      </c>
      <c r="T54" s="18" t="n">
        <f aca="false">$R54*$S54</f>
        <v>26.6066666666667</v>
      </c>
      <c r="U54" s="18" t="n">
        <f aca="false">IFERROR(INDEX(SEMANAS!$I$6:$I$71,MATCH($B54,SEMANAS!$B$6:$B$71,0)),0)</f>
        <v>1.12</v>
      </c>
      <c r="V54" s="18" t="n">
        <f aca="false">IFERROR(INDEX(SEMANAS!$J$6:$J$71,MATCH($B54,SEMANAS!$B$6:$B$71,0)),0)</f>
        <v>0.896</v>
      </c>
      <c r="W54" s="18" t="n">
        <f aca="false">MAX(0,$T54-$V54)</f>
        <v>25.7106666666667</v>
      </c>
      <c r="X54" s="19" t="n">
        <f aca="false">IFERROR(INDEX(CADASTRO_PIVOS!$K$6:$K$41,MATCH($E54,CADASTRO_PIVOS!$B$6:$B$41,0)),EFICIENCIA_PADRAO)</f>
        <v>0.85</v>
      </c>
      <c r="Y54" s="18" t="n">
        <f aca="false">IF($X54&lt;=0,0,$W54/$X54)</f>
        <v>30.2478431372549</v>
      </c>
      <c r="Z54" s="16" t="n">
        <f aca="false">$Y54*$H54*MM_PARA_M3_HA</f>
        <v>29736.6545882353</v>
      </c>
      <c r="AA54" s="18" t="n">
        <f aca="false">IFERROR(INDEX(CADASTRO_PIVOS!$I$6:$I$41,MATCH($E54,CADASTRO_PIVOS!$B$6:$B$41,0)),0)</f>
        <v>702.214285714286</v>
      </c>
      <c r="AB54" s="18" t="n">
        <f aca="false">IF($Z54&lt;=0,0,$Z54/$AA54)</f>
        <v>42.3469803921569</v>
      </c>
      <c r="AC54" s="16" t="n">
        <f aca="false">IFERROR(INDEX(SEMANAS!$K$6:$K$71,MATCH($B54,SEMANAS!$B$6:$B$71,0)),0)</f>
        <v>147</v>
      </c>
      <c r="AD54" s="19" t="n">
        <f aca="false">IF($AC54&lt;=0,0,$AB54/$AC54)</f>
        <v>0.288074696545285</v>
      </c>
      <c r="AE54" s="8" t="str">
        <f aca="false">IF($K54="SEM CULTURA","SEM CULTURA",IF($AA54&lt;=0,"DADO PENDENTE",IF($AD54&gt;LIMITE_CRITICO,"INVIAVEL",IF($AD54&gt;LIMITE_ATENCAO,"CRITICO",IF($AD54&gt;LIMITE_CONFORTAVEL,"ATENCAO","OK")))))</f>
        <v>OK</v>
      </c>
      <c r="AF54" s="8" t="str">
        <f aca="false">$B54&amp;"|"&amp;TEXT($AD54,"0.000000")</f>
        <v>49|0.288075</v>
      </c>
      <c r="AG54" s="18" t="n">
        <f aca="false">IF($K54="SEM CULTURA",0,$T54*$H54)</f>
        <v>2615.7014</v>
      </c>
      <c r="AH54" s="18" t="n">
        <f aca="false">IF($K54="SEM CULTURA",0,$V54*$H54)</f>
        <v>88.08576</v>
      </c>
      <c r="AI54" s="18" t="n">
        <f aca="false">IF($K54="SEM CULTURA",0,$W54*$H54)</f>
        <v>2527.61564</v>
      </c>
      <c r="AJ54" s="18" t="n">
        <f aca="false">IF($K54="SEM CULTURA",0,$S54*$H54)</f>
        <v>3578.484</v>
      </c>
      <c r="AK54" s="8" t="str">
        <f aca="false">$E54&amp;"|"&amp;TEXT($AD54,"0.000000")</f>
        <v>PV 109|0.288075</v>
      </c>
    </row>
    <row r="55" customFormat="false" ht="15" hidden="false" customHeight="false" outlineLevel="0" collapsed="false">
      <c r="B55" s="16" t="n">
        <v>50</v>
      </c>
      <c r="C55" s="17" t="n">
        <f aca="false">DATA_INICIO_SAFRA+($B55-1)*DIAS_POR_SEMANA</f>
        <v>46608</v>
      </c>
      <c r="D55" s="17" t="n">
        <f aca="false">$C55+DIAS_POR_SEMANA-1</f>
        <v>46614</v>
      </c>
      <c r="E55" s="15" t="s">
        <v>259</v>
      </c>
      <c r="F55" s="8" t="str">
        <f aca="false">IFERROR(INDEX(CADASTRO_PIVOS!$C$6:$C$41,MATCH($E55,CADASTRO_PIVOS!$B$6:$B$41,0)),"?")</f>
        <v>RM01</v>
      </c>
      <c r="G55" s="8" t="str">
        <f aca="false">IFERROR(INDEX(CADASTRO_PIVOS!$D$6:$D$41,MATCH($E55,CADASTRO_PIVOS!$B$6:$B$41,0)),"?")</f>
        <v>TR01</v>
      </c>
      <c r="H55" s="20" t="n">
        <f aca="false">IFERROR(INDEX(CADASTRO_PIVOS!$E$6:$E$41,MATCH($E55,CADASTRO_PIVOS!$B$6:$B$41,0)),0)</f>
        <v>98.31</v>
      </c>
      <c r="I55" s="16" t="n">
        <f aca="false">IFERROR(SUMIFS(ROTACAO_RDM!$B$6:$B$71,ROTACAO_RDM!$D$6:$D$71,$E55,ROTACAO_RDM!$I$6:$I$71,"&lt;="&amp;$C55+INT(DIAS_POR_SEMANA/2),ROTACAO_RDM!$J$6:$J$71,"&gt;="&amp;$C55+INT(DIAS_POR_SEMANA/2)),0)</f>
        <v>16</v>
      </c>
      <c r="J55" s="16" t="n">
        <f aca="false">IFERROR(MATCH($I55,ROTACAO_RDM!$B$6:$B$71,0),0)</f>
        <v>16</v>
      </c>
      <c r="K55" s="8" t="str">
        <f aca="false">IF($J55=0,"SEM CULTURA",INDEX(ROTACAO_RDM!$F$6:$F$71,$J55))</f>
        <v>ALGODAO</v>
      </c>
      <c r="L55" s="8" t="str">
        <f aca="false">IF($J55=0,"",INDEX(ROTACAO_RDM!$G$6:$G$71,$J55))</f>
        <v>FM 933 STP</v>
      </c>
      <c r="M55" s="17" t="n">
        <f aca="false">IF($J55=0,"",INDEX(ROTACAO_RDM!$I$6:$I$71,$J55))</f>
        <v>46422</v>
      </c>
      <c r="N55" s="16" t="n">
        <f aca="false">IF($J55=0,0,MAX(0,$C55+INT(DIAS_POR_SEMANA/2)-INDEX(ROTACAO_RDM!$I$6:$I$71,$J55)))</f>
        <v>189</v>
      </c>
      <c r="O55" s="19" t="n">
        <f aca="false">IF($J55=0,0,MIN(1,$N55/MAX(1,INDEX(ROTACAO_RDM!$K$6:$K$71,$J55))))</f>
        <v>0.969230769230769</v>
      </c>
      <c r="P55" s="16" t="n">
        <f aca="false">IF($J55=0,0,IFERROR(MATCH(INDEX(ROTACAO_RDM!$N$6:$N$71,$J55),PARAMETROS_CULTURAS!$B$6:$B$28,0),0))</f>
        <v>5</v>
      </c>
      <c r="Q55" s="8" t="str">
        <f aca="false">IF($P55=0,"-",IF($O55&lt;=INDEX(PARAMETROS_CULTURAS!$F$6:$F$28,$P55),"INICIAL",IF($O55&lt;=INDEX(PARAMETROS_CULTURAS!$F$6:$F$28,$P55)+INDEX(PARAMETROS_CULTURAS!$G$6:$G$28,$P55),"DESENVOLVIMENTO",IF($O55&lt;=INDEX(PARAMETROS_CULTURAS!$F$6:$F$28,$P55)+INDEX(PARAMETROS_CULTURAS!$G$6:$G$28,$P55)+INDEX(PARAMETROS_CULTURAS!$H$6:$H$28,$P55),"MEDIA","FINAL"))))</f>
        <v>FINAL</v>
      </c>
      <c r="R55" s="24" t="n">
        <f aca="false">IF($P55=0,0,IF($O55&lt;=INDEX(PARAMETROS_CULTURAS!$F$6:$F$28,$P55),INDEX(PARAMETROS_CULTURAS!$K$6:$K$28,$P55),IF($O55&lt;=INDEX(PARAMETROS_CULTURAS!$F$6:$F$28,$P55)+INDEX(PARAMETROS_CULTURAS!$G$6:$G$28,$P55),INDEX(PARAMETROS_CULTURAS!$K$6:$K$28,$P55)+(INDEX(PARAMETROS_CULTURAS!$L$6:$L$28,$P55)-INDEX(PARAMETROS_CULTURAS!$K$6:$K$28,$P55))*($O55-INDEX(PARAMETROS_CULTURAS!$F$6:$F$28,$P55))/MAX(INDEX(PARAMETROS_CULTURAS!$G$6:$G$28,$P55),0.0001),IF($O55&lt;=INDEX(PARAMETROS_CULTURAS!$F$6:$F$28,$P55)+INDEX(PARAMETROS_CULTURAS!$G$6:$G$28,$P55)+INDEX(PARAMETROS_CULTURAS!$H$6:$H$28,$P55),INDEX(PARAMETROS_CULTURAS!$L$6:$L$28,$P55),INDEX(PARAMETROS_CULTURAS!$L$6:$L$28,$P55)+(INDEX(PARAMETROS_CULTURAS!$M$6:$M$28,$P55)-INDEX(PARAMETROS_CULTURAS!$L$6:$L$28,$P55))*($O55-INDEX(PARAMETROS_CULTURAS!$F$6:$F$28,$P55)-INDEX(PARAMETROS_CULTURAS!$G$6:$G$28,$P55)-INDEX(PARAMETROS_CULTURAS!$H$6:$H$28,$P55))/MAX(INDEX(PARAMETROS_CULTURAS!$I$6:$I$28,$P55),0.0001)))))</f>
        <v>0.660439560439561</v>
      </c>
      <c r="S55" s="18" t="n">
        <f aca="false">IFERROR(INDEX(SEMANAS!$H$6:$H$71,MATCH($B55,SEMANAS!$B$6:$B$71,0)),0)</f>
        <v>36.4</v>
      </c>
      <c r="T55" s="18" t="n">
        <f aca="false">$R55*$S55</f>
        <v>24.04</v>
      </c>
      <c r="U55" s="18" t="n">
        <f aca="false">IFERROR(INDEX(SEMANAS!$I$6:$I$71,MATCH($B55,SEMANAS!$B$6:$B$71,0)),0)</f>
        <v>1.12</v>
      </c>
      <c r="V55" s="18" t="n">
        <f aca="false">IFERROR(INDEX(SEMANAS!$J$6:$J$71,MATCH($B55,SEMANAS!$B$6:$B$71,0)),0)</f>
        <v>0.896</v>
      </c>
      <c r="W55" s="18" t="n">
        <f aca="false">MAX(0,$T55-$V55)</f>
        <v>23.144</v>
      </c>
      <c r="X55" s="19" t="n">
        <f aca="false">IFERROR(INDEX(CADASTRO_PIVOS!$K$6:$K$41,MATCH($E55,CADASTRO_PIVOS!$B$6:$B$41,0)),EFICIENCIA_PADRAO)</f>
        <v>0.85</v>
      </c>
      <c r="Y55" s="18" t="n">
        <f aca="false">IF($X55&lt;=0,0,$W55/$X55)</f>
        <v>27.2282352941177</v>
      </c>
      <c r="Z55" s="16" t="n">
        <f aca="false">$Y55*$H55*MM_PARA_M3_HA</f>
        <v>26768.0781176471</v>
      </c>
      <c r="AA55" s="18" t="n">
        <f aca="false">IFERROR(INDEX(CADASTRO_PIVOS!$I$6:$I$41,MATCH($E55,CADASTRO_PIVOS!$B$6:$B$41,0)),0)</f>
        <v>702.214285714286</v>
      </c>
      <c r="AB55" s="18" t="n">
        <f aca="false">IF($Z55&lt;=0,0,$Z55/$AA55)</f>
        <v>38.1195294117647</v>
      </c>
      <c r="AC55" s="16" t="n">
        <f aca="false">IFERROR(INDEX(SEMANAS!$K$6:$K$71,MATCH($B55,SEMANAS!$B$6:$B$71,0)),0)</f>
        <v>147</v>
      </c>
      <c r="AD55" s="19" t="n">
        <f aca="false">IF($AC55&lt;=0,0,$AB55/$AC55)</f>
        <v>0.259316526610644</v>
      </c>
      <c r="AE55" s="8" t="str">
        <f aca="false">IF($K55="SEM CULTURA","SEM CULTURA",IF($AA55&lt;=0,"DADO PENDENTE",IF($AD55&gt;LIMITE_CRITICO,"INVIAVEL",IF($AD55&gt;LIMITE_ATENCAO,"CRITICO",IF($AD55&gt;LIMITE_CONFORTAVEL,"ATENCAO","OK")))))</f>
        <v>OK</v>
      </c>
      <c r="AF55" s="8" t="str">
        <f aca="false">$B55&amp;"|"&amp;TEXT($AD55,"0.000000")</f>
        <v>50|0.259317</v>
      </c>
      <c r="AG55" s="18" t="n">
        <f aca="false">IF($K55="SEM CULTURA",0,$T55*$H55)</f>
        <v>2363.3724</v>
      </c>
      <c r="AH55" s="18" t="n">
        <f aca="false">IF($K55="SEM CULTURA",0,$V55*$H55)</f>
        <v>88.08576</v>
      </c>
      <c r="AI55" s="18" t="n">
        <f aca="false">IF($K55="SEM CULTURA",0,$W55*$H55)</f>
        <v>2275.28664</v>
      </c>
      <c r="AJ55" s="18" t="n">
        <f aca="false">IF($K55="SEM CULTURA",0,$S55*$H55)</f>
        <v>3578.484</v>
      </c>
      <c r="AK55" s="8" t="str">
        <f aca="false">$E55&amp;"|"&amp;TEXT($AD55,"0.000000")</f>
        <v>PV 109|0.259317</v>
      </c>
    </row>
    <row r="56" customFormat="false" ht="15" hidden="false" customHeight="false" outlineLevel="0" collapsed="false">
      <c r="B56" s="16" t="n">
        <v>51</v>
      </c>
      <c r="C56" s="17" t="n">
        <f aca="false">DATA_INICIO_SAFRA+($B56-1)*DIAS_POR_SEMANA</f>
        <v>46615</v>
      </c>
      <c r="D56" s="17" t="n">
        <f aca="false">$C56+DIAS_POR_SEMANA-1</f>
        <v>46621</v>
      </c>
      <c r="E56" s="15" t="s">
        <v>259</v>
      </c>
      <c r="F56" s="8" t="str">
        <f aca="false">IFERROR(INDEX(CADASTRO_PIVOS!$C$6:$C$41,MATCH($E56,CADASTRO_PIVOS!$B$6:$B$41,0)),"?")</f>
        <v>RM01</v>
      </c>
      <c r="G56" s="8" t="str">
        <f aca="false">IFERROR(INDEX(CADASTRO_PIVOS!$D$6:$D$41,MATCH($E56,CADASTRO_PIVOS!$B$6:$B$41,0)),"?")</f>
        <v>TR01</v>
      </c>
      <c r="H56" s="20" t="n">
        <f aca="false">IFERROR(INDEX(CADASTRO_PIVOS!$E$6:$E$41,MATCH($E56,CADASTRO_PIVOS!$B$6:$B$41,0)),0)</f>
        <v>98.31</v>
      </c>
      <c r="I56" s="16" t="n">
        <f aca="false">IFERROR(SUMIFS(ROTACAO_RDM!$B$6:$B$71,ROTACAO_RDM!$D$6:$D$71,$E56,ROTACAO_RDM!$I$6:$I$71,"&lt;="&amp;$C56+INT(DIAS_POR_SEMANA/2),ROTACAO_RDM!$J$6:$J$71,"&gt;="&amp;$C56+INT(DIAS_POR_SEMANA/2)),0)</f>
        <v>0</v>
      </c>
      <c r="J56" s="16" t="n">
        <f aca="false">IFERROR(MATCH($I56,ROTACAO_RDM!$B$6:$B$71,0),0)</f>
        <v>0</v>
      </c>
      <c r="K56" s="8" t="str">
        <f aca="false">IF($J56=0,"SEM CULTURA",INDEX(ROTACAO_RDM!$F$6:$F$71,$J56))</f>
        <v>SEM CULTURA</v>
      </c>
      <c r="L56" s="8" t="str">
        <f aca="false">IF($J56=0,"",INDEX(ROTACAO_RDM!$G$6:$G$71,$J56))</f>
        <v/>
      </c>
      <c r="M56" s="17" t="str">
        <f aca="false">IF($J56=0,"",INDEX(ROTACAO_RDM!$I$6:$I$71,$J56))</f>
        <v/>
      </c>
      <c r="N56" s="16" t="n">
        <f aca="false">IF($J56=0,0,MAX(0,$C56+INT(DIAS_POR_SEMANA/2)-INDEX(ROTACAO_RDM!$I$6:$I$71,$J56)))</f>
        <v>0</v>
      </c>
      <c r="O56" s="19" t="n">
        <f aca="false">IF($J56=0,0,MIN(1,$N56/MAX(1,INDEX(ROTACAO_RDM!$K$6:$K$71,$J56))))</f>
        <v>0</v>
      </c>
      <c r="P56" s="16" t="n">
        <f aca="false">IF($J56=0,0,IFERROR(MATCH(INDEX(ROTACAO_RDM!$N$6:$N$71,$J56),PARAMETROS_CULTURAS!$B$6:$B$28,0),0))</f>
        <v>0</v>
      </c>
      <c r="Q56" s="8" t="str">
        <f aca="false">IF($P56=0,"-",IF($O56&lt;=INDEX(PARAMETROS_CULTURAS!$F$6:$F$28,$P56),"INICIAL",IF($O56&lt;=INDEX(PARAMETROS_CULTURAS!$F$6:$F$28,$P56)+INDEX(PARAMETROS_CULTURAS!$G$6:$G$28,$P56),"DESENVOLVIMENTO",IF($O56&lt;=INDEX(PARAMETROS_CULTURAS!$F$6:$F$28,$P56)+INDEX(PARAMETROS_CULTURAS!$G$6:$G$28,$P56)+INDEX(PARAMETROS_CULTURAS!$H$6:$H$28,$P56),"MEDIA","FINAL"))))</f>
        <v>-</v>
      </c>
      <c r="R56" s="24" t="n">
        <f aca="false">IF($P56=0,0,IF($O56&lt;=INDEX(PARAMETROS_CULTURAS!$F$6:$F$28,$P56),INDEX(PARAMETROS_CULTURAS!$K$6:$K$28,$P56),IF($O56&lt;=INDEX(PARAMETROS_CULTURAS!$F$6:$F$28,$P56)+INDEX(PARAMETROS_CULTURAS!$G$6:$G$28,$P56),INDEX(PARAMETROS_CULTURAS!$K$6:$K$28,$P56)+(INDEX(PARAMETROS_CULTURAS!$L$6:$L$28,$P56)-INDEX(PARAMETROS_CULTURAS!$K$6:$K$28,$P56))*($O56-INDEX(PARAMETROS_CULTURAS!$F$6:$F$28,$P56))/MAX(INDEX(PARAMETROS_CULTURAS!$G$6:$G$28,$P56),0.0001),IF($O56&lt;=INDEX(PARAMETROS_CULTURAS!$F$6:$F$28,$P56)+INDEX(PARAMETROS_CULTURAS!$G$6:$G$28,$P56)+INDEX(PARAMETROS_CULTURAS!$H$6:$H$28,$P56),INDEX(PARAMETROS_CULTURAS!$L$6:$L$28,$P56),INDEX(PARAMETROS_CULTURAS!$L$6:$L$28,$P56)+(INDEX(PARAMETROS_CULTURAS!$M$6:$M$28,$P56)-INDEX(PARAMETROS_CULTURAS!$L$6:$L$28,$P56))*($O56-INDEX(PARAMETROS_CULTURAS!$F$6:$F$28,$P56)-INDEX(PARAMETROS_CULTURAS!$G$6:$G$28,$P56)-INDEX(PARAMETROS_CULTURAS!$H$6:$H$28,$P56))/MAX(INDEX(PARAMETROS_CULTURAS!$I$6:$I$28,$P56),0.0001)))))</f>
        <v>0</v>
      </c>
      <c r="S56" s="18" t="n">
        <f aca="false">IFERROR(INDEX(SEMANAS!$H$6:$H$71,MATCH($B56,SEMANAS!$B$6:$B$71,0)),0)</f>
        <v>36.4</v>
      </c>
      <c r="T56" s="18" t="n">
        <f aca="false">$R56*$S56</f>
        <v>0</v>
      </c>
      <c r="U56" s="18" t="n">
        <f aca="false">IFERROR(INDEX(SEMANAS!$I$6:$I$71,MATCH($B56,SEMANAS!$B$6:$B$71,0)),0)</f>
        <v>1.12</v>
      </c>
      <c r="V56" s="18" t="n">
        <f aca="false">IFERROR(INDEX(SEMANAS!$J$6:$J$71,MATCH($B56,SEMANAS!$B$6:$B$71,0)),0)</f>
        <v>0.896</v>
      </c>
      <c r="W56" s="18" t="n">
        <f aca="false">MAX(0,$T56-$V56)</f>
        <v>0</v>
      </c>
      <c r="X56" s="19" t="n">
        <f aca="false">IFERROR(INDEX(CADASTRO_PIVOS!$K$6:$K$41,MATCH($E56,CADASTRO_PIVOS!$B$6:$B$41,0)),EFICIENCIA_PADRAO)</f>
        <v>0.85</v>
      </c>
      <c r="Y56" s="18" t="n">
        <f aca="false">IF($X56&lt;=0,0,$W56/$X56)</f>
        <v>0</v>
      </c>
      <c r="Z56" s="16" t="n">
        <f aca="false">$Y56*$H56*MM_PARA_M3_HA</f>
        <v>0</v>
      </c>
      <c r="AA56" s="18" t="n">
        <f aca="false">IFERROR(INDEX(CADASTRO_PIVOS!$I$6:$I$41,MATCH($E56,CADASTRO_PIVOS!$B$6:$B$41,0)),0)</f>
        <v>702.214285714286</v>
      </c>
      <c r="AB56" s="18" t="n">
        <f aca="false">IF($Z56&lt;=0,0,$Z56/$AA56)</f>
        <v>0</v>
      </c>
      <c r="AC56" s="16" t="n">
        <f aca="false">IFERROR(INDEX(SEMANAS!$K$6:$K$71,MATCH($B56,SEMANAS!$B$6:$B$71,0)),0)</f>
        <v>147</v>
      </c>
      <c r="AD56" s="19" t="n">
        <f aca="false">IF($AC56&lt;=0,0,$AB56/$AC56)</f>
        <v>0</v>
      </c>
      <c r="AE56" s="8" t="str">
        <f aca="false">IF($K56="SEM CULTURA","SEM CULTURA",IF($AA56&lt;=0,"DADO PENDENTE",IF($AD56&gt;LIMITE_CRITICO,"INVIAVEL",IF($AD56&gt;LIMITE_ATENCAO,"CRITICO",IF($AD56&gt;LIMITE_CONFORTAVEL,"ATENCAO","OK")))))</f>
        <v>SEM CULTURA</v>
      </c>
      <c r="AF56" s="8" t="str">
        <f aca="false">$B56&amp;"|"&amp;TEXT($AD56,"0.000000")</f>
        <v>51|0.000000</v>
      </c>
      <c r="AG56" s="18" t="n">
        <f aca="false">IF($K56="SEM CULTURA",0,$T56*$H56)</f>
        <v>0</v>
      </c>
      <c r="AH56" s="18" t="n">
        <f aca="false">IF($K56="SEM CULTURA",0,$V56*$H56)</f>
        <v>0</v>
      </c>
      <c r="AI56" s="18" t="n">
        <f aca="false">IF($K56="SEM CULTURA",0,$W56*$H56)</f>
        <v>0</v>
      </c>
      <c r="AJ56" s="18" t="n">
        <f aca="false">IF($K56="SEM CULTURA",0,$S56*$H56)</f>
        <v>0</v>
      </c>
      <c r="AK56" s="8" t="str">
        <f aca="false">$E56&amp;"|"&amp;TEXT($AD56,"0.000000")</f>
        <v>PV 109|0.000000</v>
      </c>
    </row>
    <row r="57" customFormat="false" ht="15" hidden="false" customHeight="false" outlineLevel="0" collapsed="false">
      <c r="B57" s="16" t="n">
        <v>52</v>
      </c>
      <c r="C57" s="17" t="n">
        <f aca="false">DATA_INICIO_SAFRA+($B57-1)*DIAS_POR_SEMANA</f>
        <v>46622</v>
      </c>
      <c r="D57" s="17" t="n">
        <f aca="false">$C57+DIAS_POR_SEMANA-1</f>
        <v>46628</v>
      </c>
      <c r="E57" s="15" t="s">
        <v>259</v>
      </c>
      <c r="F57" s="8" t="str">
        <f aca="false">IFERROR(INDEX(CADASTRO_PIVOS!$C$6:$C$41,MATCH($E57,CADASTRO_PIVOS!$B$6:$B$41,0)),"?")</f>
        <v>RM01</v>
      </c>
      <c r="G57" s="8" t="str">
        <f aca="false">IFERROR(INDEX(CADASTRO_PIVOS!$D$6:$D$41,MATCH($E57,CADASTRO_PIVOS!$B$6:$B$41,0)),"?")</f>
        <v>TR01</v>
      </c>
      <c r="H57" s="20" t="n">
        <f aca="false">IFERROR(INDEX(CADASTRO_PIVOS!$E$6:$E$41,MATCH($E57,CADASTRO_PIVOS!$B$6:$B$41,0)),0)</f>
        <v>98.31</v>
      </c>
      <c r="I57" s="16" t="n">
        <f aca="false">IFERROR(SUMIFS(ROTACAO_RDM!$B$6:$B$71,ROTACAO_RDM!$D$6:$D$71,$E57,ROTACAO_RDM!$I$6:$I$71,"&lt;="&amp;$C57+INT(DIAS_POR_SEMANA/2),ROTACAO_RDM!$J$6:$J$71,"&gt;="&amp;$C57+INT(DIAS_POR_SEMANA/2)),0)</f>
        <v>0</v>
      </c>
      <c r="J57" s="16" t="n">
        <f aca="false">IFERROR(MATCH($I57,ROTACAO_RDM!$B$6:$B$71,0),0)</f>
        <v>0</v>
      </c>
      <c r="K57" s="8" t="str">
        <f aca="false">IF($J57=0,"SEM CULTURA",INDEX(ROTACAO_RDM!$F$6:$F$71,$J57))</f>
        <v>SEM CULTURA</v>
      </c>
      <c r="L57" s="8" t="str">
        <f aca="false">IF($J57=0,"",INDEX(ROTACAO_RDM!$G$6:$G$71,$J57))</f>
        <v/>
      </c>
      <c r="M57" s="17" t="str">
        <f aca="false">IF($J57=0,"",INDEX(ROTACAO_RDM!$I$6:$I$71,$J57))</f>
        <v/>
      </c>
      <c r="N57" s="16" t="n">
        <f aca="false">IF($J57=0,0,MAX(0,$C57+INT(DIAS_POR_SEMANA/2)-INDEX(ROTACAO_RDM!$I$6:$I$71,$J57)))</f>
        <v>0</v>
      </c>
      <c r="O57" s="19" t="n">
        <f aca="false">IF($J57=0,0,MIN(1,$N57/MAX(1,INDEX(ROTACAO_RDM!$K$6:$K$71,$J57))))</f>
        <v>0</v>
      </c>
      <c r="P57" s="16" t="n">
        <f aca="false">IF($J57=0,0,IFERROR(MATCH(INDEX(ROTACAO_RDM!$N$6:$N$71,$J57),PARAMETROS_CULTURAS!$B$6:$B$28,0),0))</f>
        <v>0</v>
      </c>
      <c r="Q57" s="8" t="str">
        <f aca="false">IF($P57=0,"-",IF($O57&lt;=INDEX(PARAMETROS_CULTURAS!$F$6:$F$28,$P57),"INICIAL",IF($O57&lt;=INDEX(PARAMETROS_CULTURAS!$F$6:$F$28,$P57)+INDEX(PARAMETROS_CULTURAS!$G$6:$G$28,$P57),"DESENVOLVIMENTO",IF($O57&lt;=INDEX(PARAMETROS_CULTURAS!$F$6:$F$28,$P57)+INDEX(PARAMETROS_CULTURAS!$G$6:$G$28,$P57)+INDEX(PARAMETROS_CULTURAS!$H$6:$H$28,$P57),"MEDIA","FINAL"))))</f>
        <v>-</v>
      </c>
      <c r="R57" s="24" t="n">
        <f aca="false">IF($P57=0,0,IF($O57&lt;=INDEX(PARAMETROS_CULTURAS!$F$6:$F$28,$P57),INDEX(PARAMETROS_CULTURAS!$K$6:$K$28,$P57),IF($O57&lt;=INDEX(PARAMETROS_CULTURAS!$F$6:$F$28,$P57)+INDEX(PARAMETROS_CULTURAS!$G$6:$G$28,$P57),INDEX(PARAMETROS_CULTURAS!$K$6:$K$28,$P57)+(INDEX(PARAMETROS_CULTURAS!$L$6:$L$28,$P57)-INDEX(PARAMETROS_CULTURAS!$K$6:$K$28,$P57))*($O57-INDEX(PARAMETROS_CULTURAS!$F$6:$F$28,$P57))/MAX(INDEX(PARAMETROS_CULTURAS!$G$6:$G$28,$P57),0.0001),IF($O57&lt;=INDEX(PARAMETROS_CULTURAS!$F$6:$F$28,$P57)+INDEX(PARAMETROS_CULTURAS!$G$6:$G$28,$P57)+INDEX(PARAMETROS_CULTURAS!$H$6:$H$28,$P57),INDEX(PARAMETROS_CULTURAS!$L$6:$L$28,$P57),INDEX(PARAMETROS_CULTURAS!$L$6:$L$28,$P57)+(INDEX(PARAMETROS_CULTURAS!$M$6:$M$28,$P57)-INDEX(PARAMETROS_CULTURAS!$L$6:$L$28,$P57))*($O57-INDEX(PARAMETROS_CULTURAS!$F$6:$F$28,$P57)-INDEX(PARAMETROS_CULTURAS!$G$6:$G$28,$P57)-INDEX(PARAMETROS_CULTURAS!$H$6:$H$28,$P57))/MAX(INDEX(PARAMETROS_CULTURAS!$I$6:$I$28,$P57),0.0001)))))</f>
        <v>0</v>
      </c>
      <c r="S57" s="18" t="n">
        <f aca="false">IFERROR(INDEX(SEMANAS!$H$6:$H$71,MATCH($B57,SEMANAS!$B$6:$B$71,0)),0)</f>
        <v>36.4</v>
      </c>
      <c r="T57" s="18" t="n">
        <f aca="false">$R57*$S57</f>
        <v>0</v>
      </c>
      <c r="U57" s="18" t="n">
        <f aca="false">IFERROR(INDEX(SEMANAS!$I$6:$I$71,MATCH($B57,SEMANAS!$B$6:$B$71,0)),0)</f>
        <v>1.12</v>
      </c>
      <c r="V57" s="18" t="n">
        <f aca="false">IFERROR(INDEX(SEMANAS!$J$6:$J$71,MATCH($B57,SEMANAS!$B$6:$B$71,0)),0)</f>
        <v>0.896</v>
      </c>
      <c r="W57" s="18" t="n">
        <f aca="false">MAX(0,$T57-$V57)</f>
        <v>0</v>
      </c>
      <c r="X57" s="19" t="n">
        <f aca="false">IFERROR(INDEX(CADASTRO_PIVOS!$K$6:$K$41,MATCH($E57,CADASTRO_PIVOS!$B$6:$B$41,0)),EFICIENCIA_PADRAO)</f>
        <v>0.85</v>
      </c>
      <c r="Y57" s="18" t="n">
        <f aca="false">IF($X57&lt;=0,0,$W57/$X57)</f>
        <v>0</v>
      </c>
      <c r="Z57" s="16" t="n">
        <f aca="false">$Y57*$H57*MM_PARA_M3_HA</f>
        <v>0</v>
      </c>
      <c r="AA57" s="18" t="n">
        <f aca="false">IFERROR(INDEX(CADASTRO_PIVOS!$I$6:$I$41,MATCH($E57,CADASTRO_PIVOS!$B$6:$B$41,0)),0)</f>
        <v>702.214285714286</v>
      </c>
      <c r="AB57" s="18" t="n">
        <f aca="false">IF($Z57&lt;=0,0,$Z57/$AA57)</f>
        <v>0</v>
      </c>
      <c r="AC57" s="16" t="n">
        <f aca="false">IFERROR(INDEX(SEMANAS!$K$6:$K$71,MATCH($B57,SEMANAS!$B$6:$B$71,0)),0)</f>
        <v>147</v>
      </c>
      <c r="AD57" s="19" t="n">
        <f aca="false">IF($AC57&lt;=0,0,$AB57/$AC57)</f>
        <v>0</v>
      </c>
      <c r="AE57" s="8" t="str">
        <f aca="false">IF($K57="SEM CULTURA","SEM CULTURA",IF($AA57&lt;=0,"DADO PENDENTE",IF($AD57&gt;LIMITE_CRITICO,"INVIAVEL",IF($AD57&gt;LIMITE_ATENCAO,"CRITICO",IF($AD57&gt;LIMITE_CONFORTAVEL,"ATENCAO","OK")))))</f>
        <v>SEM CULTURA</v>
      </c>
      <c r="AF57" s="8" t="str">
        <f aca="false">$B57&amp;"|"&amp;TEXT($AD57,"0.000000")</f>
        <v>52|0.000000</v>
      </c>
      <c r="AG57" s="18" t="n">
        <f aca="false">IF($K57="SEM CULTURA",0,$T57*$H57)</f>
        <v>0</v>
      </c>
      <c r="AH57" s="18" t="n">
        <f aca="false">IF($K57="SEM CULTURA",0,$V57*$H57)</f>
        <v>0</v>
      </c>
      <c r="AI57" s="18" t="n">
        <f aca="false">IF($K57="SEM CULTURA",0,$W57*$H57)</f>
        <v>0</v>
      </c>
      <c r="AJ57" s="18" t="n">
        <f aca="false">IF($K57="SEM CULTURA",0,$S57*$H57)</f>
        <v>0</v>
      </c>
      <c r="AK57" s="8" t="str">
        <f aca="false">$E57&amp;"|"&amp;TEXT($AD57,"0.000000")</f>
        <v>PV 109|0.000000</v>
      </c>
    </row>
    <row r="58" customFormat="false" ht="15" hidden="false" customHeight="false" outlineLevel="0" collapsed="false">
      <c r="B58" s="16" t="n">
        <v>53</v>
      </c>
      <c r="C58" s="17" t="n">
        <f aca="false">DATA_INICIO_SAFRA+($B58-1)*DIAS_POR_SEMANA</f>
        <v>46629</v>
      </c>
      <c r="D58" s="17" t="n">
        <f aca="false">$C58+DIAS_POR_SEMANA-1</f>
        <v>46635</v>
      </c>
      <c r="E58" s="15" t="s">
        <v>259</v>
      </c>
      <c r="F58" s="8" t="str">
        <f aca="false">IFERROR(INDEX(CADASTRO_PIVOS!$C$6:$C$41,MATCH($E58,CADASTRO_PIVOS!$B$6:$B$41,0)),"?")</f>
        <v>RM01</v>
      </c>
      <c r="G58" s="8" t="str">
        <f aca="false">IFERROR(INDEX(CADASTRO_PIVOS!$D$6:$D$41,MATCH($E58,CADASTRO_PIVOS!$B$6:$B$41,0)),"?")</f>
        <v>TR01</v>
      </c>
      <c r="H58" s="20" t="n">
        <f aca="false">IFERROR(INDEX(CADASTRO_PIVOS!$E$6:$E$41,MATCH($E58,CADASTRO_PIVOS!$B$6:$B$41,0)),0)</f>
        <v>98.31</v>
      </c>
      <c r="I58" s="16" t="n">
        <f aca="false">IFERROR(SUMIFS(ROTACAO_RDM!$B$6:$B$71,ROTACAO_RDM!$D$6:$D$71,$E58,ROTACAO_RDM!$I$6:$I$71,"&lt;="&amp;$C58+INT(DIAS_POR_SEMANA/2),ROTACAO_RDM!$J$6:$J$71,"&gt;="&amp;$C58+INT(DIAS_POR_SEMANA/2)),0)</f>
        <v>0</v>
      </c>
      <c r="J58" s="16" t="n">
        <f aca="false">IFERROR(MATCH($I58,ROTACAO_RDM!$B$6:$B$71,0),0)</f>
        <v>0</v>
      </c>
      <c r="K58" s="8" t="str">
        <f aca="false">IF($J58=0,"SEM CULTURA",INDEX(ROTACAO_RDM!$F$6:$F$71,$J58))</f>
        <v>SEM CULTURA</v>
      </c>
      <c r="L58" s="8" t="str">
        <f aca="false">IF($J58=0,"",INDEX(ROTACAO_RDM!$G$6:$G$71,$J58))</f>
        <v/>
      </c>
      <c r="M58" s="17" t="str">
        <f aca="false">IF($J58=0,"",INDEX(ROTACAO_RDM!$I$6:$I$71,$J58))</f>
        <v/>
      </c>
      <c r="N58" s="16" t="n">
        <f aca="false">IF($J58=0,0,MAX(0,$C58+INT(DIAS_POR_SEMANA/2)-INDEX(ROTACAO_RDM!$I$6:$I$71,$J58)))</f>
        <v>0</v>
      </c>
      <c r="O58" s="19" t="n">
        <f aca="false">IF($J58=0,0,MIN(1,$N58/MAX(1,INDEX(ROTACAO_RDM!$K$6:$K$71,$J58))))</f>
        <v>0</v>
      </c>
      <c r="P58" s="16" t="n">
        <f aca="false">IF($J58=0,0,IFERROR(MATCH(INDEX(ROTACAO_RDM!$N$6:$N$71,$J58),PARAMETROS_CULTURAS!$B$6:$B$28,0),0))</f>
        <v>0</v>
      </c>
      <c r="Q58" s="8" t="str">
        <f aca="false">IF($P58=0,"-",IF($O58&lt;=INDEX(PARAMETROS_CULTURAS!$F$6:$F$28,$P58),"INICIAL",IF($O58&lt;=INDEX(PARAMETROS_CULTURAS!$F$6:$F$28,$P58)+INDEX(PARAMETROS_CULTURAS!$G$6:$G$28,$P58),"DESENVOLVIMENTO",IF($O58&lt;=INDEX(PARAMETROS_CULTURAS!$F$6:$F$28,$P58)+INDEX(PARAMETROS_CULTURAS!$G$6:$G$28,$P58)+INDEX(PARAMETROS_CULTURAS!$H$6:$H$28,$P58),"MEDIA","FINAL"))))</f>
        <v>-</v>
      </c>
      <c r="R58" s="24" t="n">
        <f aca="false">IF($P58=0,0,IF($O58&lt;=INDEX(PARAMETROS_CULTURAS!$F$6:$F$28,$P58),INDEX(PARAMETROS_CULTURAS!$K$6:$K$28,$P58),IF($O58&lt;=INDEX(PARAMETROS_CULTURAS!$F$6:$F$28,$P58)+INDEX(PARAMETROS_CULTURAS!$G$6:$G$28,$P58),INDEX(PARAMETROS_CULTURAS!$K$6:$K$28,$P58)+(INDEX(PARAMETROS_CULTURAS!$L$6:$L$28,$P58)-INDEX(PARAMETROS_CULTURAS!$K$6:$K$28,$P58))*($O58-INDEX(PARAMETROS_CULTURAS!$F$6:$F$28,$P58))/MAX(INDEX(PARAMETROS_CULTURAS!$G$6:$G$28,$P58),0.0001),IF($O58&lt;=INDEX(PARAMETROS_CULTURAS!$F$6:$F$28,$P58)+INDEX(PARAMETROS_CULTURAS!$G$6:$G$28,$P58)+INDEX(PARAMETROS_CULTURAS!$H$6:$H$28,$P58),INDEX(PARAMETROS_CULTURAS!$L$6:$L$28,$P58),INDEX(PARAMETROS_CULTURAS!$L$6:$L$28,$P58)+(INDEX(PARAMETROS_CULTURAS!$M$6:$M$28,$P58)-INDEX(PARAMETROS_CULTURAS!$L$6:$L$28,$P58))*($O58-INDEX(PARAMETROS_CULTURAS!$F$6:$F$28,$P58)-INDEX(PARAMETROS_CULTURAS!$G$6:$G$28,$P58)-INDEX(PARAMETROS_CULTURAS!$H$6:$H$28,$P58))/MAX(INDEX(PARAMETROS_CULTURAS!$I$6:$I$28,$P58),0.0001)))))</f>
        <v>0</v>
      </c>
      <c r="S58" s="18" t="n">
        <f aca="false">IFERROR(INDEX(SEMANAS!$H$6:$H$71,MATCH($B58,SEMANAS!$B$6:$B$71,0)),0)</f>
        <v>39.4</v>
      </c>
      <c r="T58" s="18" t="n">
        <f aca="false">$R58*$S58</f>
        <v>0</v>
      </c>
      <c r="U58" s="18" t="n">
        <f aca="false">IFERROR(INDEX(SEMANAS!$I$6:$I$71,MATCH($B58,SEMANAS!$B$6:$B$71,0)),0)</f>
        <v>5.32</v>
      </c>
      <c r="V58" s="18" t="n">
        <f aca="false">IFERROR(INDEX(SEMANAS!$J$6:$J$71,MATCH($B58,SEMANAS!$B$6:$B$71,0)),0)</f>
        <v>4.256</v>
      </c>
      <c r="W58" s="18" t="n">
        <f aca="false">MAX(0,$T58-$V58)</f>
        <v>0</v>
      </c>
      <c r="X58" s="19" t="n">
        <f aca="false">IFERROR(INDEX(CADASTRO_PIVOS!$K$6:$K$41,MATCH($E58,CADASTRO_PIVOS!$B$6:$B$41,0)),EFICIENCIA_PADRAO)</f>
        <v>0.85</v>
      </c>
      <c r="Y58" s="18" t="n">
        <f aca="false">IF($X58&lt;=0,0,$W58/$X58)</f>
        <v>0</v>
      </c>
      <c r="Z58" s="16" t="n">
        <f aca="false">$Y58*$H58*MM_PARA_M3_HA</f>
        <v>0</v>
      </c>
      <c r="AA58" s="18" t="n">
        <f aca="false">IFERROR(INDEX(CADASTRO_PIVOS!$I$6:$I$41,MATCH($E58,CADASTRO_PIVOS!$B$6:$B$41,0)),0)</f>
        <v>702.214285714286</v>
      </c>
      <c r="AB58" s="18" t="n">
        <f aca="false">IF($Z58&lt;=0,0,$Z58/$AA58)</f>
        <v>0</v>
      </c>
      <c r="AC58" s="16" t="n">
        <f aca="false">IFERROR(INDEX(SEMANAS!$K$6:$K$71,MATCH($B58,SEMANAS!$B$6:$B$71,0)),0)</f>
        <v>147</v>
      </c>
      <c r="AD58" s="19" t="n">
        <f aca="false">IF($AC58&lt;=0,0,$AB58/$AC58)</f>
        <v>0</v>
      </c>
      <c r="AE58" s="8" t="str">
        <f aca="false">IF($K58="SEM CULTURA","SEM CULTURA",IF($AA58&lt;=0,"DADO PENDENTE",IF($AD58&gt;LIMITE_CRITICO,"INVIAVEL",IF($AD58&gt;LIMITE_ATENCAO,"CRITICO",IF($AD58&gt;LIMITE_CONFORTAVEL,"ATENCAO","OK")))))</f>
        <v>SEM CULTURA</v>
      </c>
      <c r="AF58" s="8" t="str">
        <f aca="false">$B58&amp;"|"&amp;TEXT($AD58,"0.000000")</f>
        <v>53|0.000000</v>
      </c>
      <c r="AG58" s="18" t="n">
        <f aca="false">IF($K58="SEM CULTURA",0,$T58*$H58)</f>
        <v>0</v>
      </c>
      <c r="AH58" s="18" t="n">
        <f aca="false">IF($K58="SEM CULTURA",0,$V58*$H58)</f>
        <v>0</v>
      </c>
      <c r="AI58" s="18" t="n">
        <f aca="false">IF($K58="SEM CULTURA",0,$W58*$H58)</f>
        <v>0</v>
      </c>
      <c r="AJ58" s="18" t="n">
        <f aca="false">IF($K58="SEM CULTURA",0,$S58*$H58)</f>
        <v>0</v>
      </c>
      <c r="AK58" s="8" t="str">
        <f aca="false">$E58&amp;"|"&amp;TEXT($AD58,"0.000000")</f>
        <v>PV 109|0.000000</v>
      </c>
    </row>
    <row r="59" customFormat="false" ht="15" hidden="false" customHeight="false" outlineLevel="0" collapsed="false">
      <c r="B59" s="16" t="n">
        <v>54</v>
      </c>
      <c r="C59" s="17" t="n">
        <f aca="false">DATA_INICIO_SAFRA+($B59-1)*DIAS_POR_SEMANA</f>
        <v>46636</v>
      </c>
      <c r="D59" s="17" t="n">
        <f aca="false">$C59+DIAS_POR_SEMANA-1</f>
        <v>46642</v>
      </c>
      <c r="E59" s="15" t="s">
        <v>259</v>
      </c>
      <c r="F59" s="8" t="str">
        <f aca="false">IFERROR(INDEX(CADASTRO_PIVOS!$C$6:$C$41,MATCH($E59,CADASTRO_PIVOS!$B$6:$B$41,0)),"?")</f>
        <v>RM01</v>
      </c>
      <c r="G59" s="8" t="str">
        <f aca="false">IFERROR(INDEX(CADASTRO_PIVOS!$D$6:$D$41,MATCH($E59,CADASTRO_PIVOS!$B$6:$B$41,0)),"?")</f>
        <v>TR01</v>
      </c>
      <c r="H59" s="20" t="n">
        <f aca="false">IFERROR(INDEX(CADASTRO_PIVOS!$E$6:$E$41,MATCH($E59,CADASTRO_PIVOS!$B$6:$B$41,0)),0)</f>
        <v>98.31</v>
      </c>
      <c r="I59" s="16" t="n">
        <f aca="false">IFERROR(SUMIFS(ROTACAO_RDM!$B$6:$B$71,ROTACAO_RDM!$D$6:$D$71,$E59,ROTACAO_RDM!$I$6:$I$71,"&lt;="&amp;$C59+INT(DIAS_POR_SEMANA/2),ROTACAO_RDM!$J$6:$J$71,"&gt;="&amp;$C59+INT(DIAS_POR_SEMANA/2)),0)</f>
        <v>0</v>
      </c>
      <c r="J59" s="16" t="n">
        <f aca="false">IFERROR(MATCH($I59,ROTACAO_RDM!$B$6:$B$71,0),0)</f>
        <v>0</v>
      </c>
      <c r="K59" s="8" t="str">
        <f aca="false">IF($J59=0,"SEM CULTURA",INDEX(ROTACAO_RDM!$F$6:$F$71,$J59))</f>
        <v>SEM CULTURA</v>
      </c>
      <c r="L59" s="8" t="str">
        <f aca="false">IF($J59=0,"",INDEX(ROTACAO_RDM!$G$6:$G$71,$J59))</f>
        <v/>
      </c>
      <c r="M59" s="17" t="str">
        <f aca="false">IF($J59=0,"",INDEX(ROTACAO_RDM!$I$6:$I$71,$J59))</f>
        <v/>
      </c>
      <c r="N59" s="16" t="n">
        <f aca="false">IF($J59=0,0,MAX(0,$C59+INT(DIAS_POR_SEMANA/2)-INDEX(ROTACAO_RDM!$I$6:$I$71,$J59)))</f>
        <v>0</v>
      </c>
      <c r="O59" s="19" t="n">
        <f aca="false">IF($J59=0,0,MIN(1,$N59/MAX(1,INDEX(ROTACAO_RDM!$K$6:$K$71,$J59))))</f>
        <v>0</v>
      </c>
      <c r="P59" s="16" t="n">
        <f aca="false">IF($J59=0,0,IFERROR(MATCH(INDEX(ROTACAO_RDM!$N$6:$N$71,$J59),PARAMETROS_CULTURAS!$B$6:$B$28,0),0))</f>
        <v>0</v>
      </c>
      <c r="Q59" s="8" t="str">
        <f aca="false">IF($P59=0,"-",IF($O59&lt;=INDEX(PARAMETROS_CULTURAS!$F$6:$F$28,$P59),"INICIAL",IF($O59&lt;=INDEX(PARAMETROS_CULTURAS!$F$6:$F$28,$P59)+INDEX(PARAMETROS_CULTURAS!$G$6:$G$28,$P59),"DESENVOLVIMENTO",IF($O59&lt;=INDEX(PARAMETROS_CULTURAS!$F$6:$F$28,$P59)+INDEX(PARAMETROS_CULTURAS!$G$6:$G$28,$P59)+INDEX(PARAMETROS_CULTURAS!$H$6:$H$28,$P59),"MEDIA","FINAL"))))</f>
        <v>-</v>
      </c>
      <c r="R59" s="24" t="n">
        <f aca="false">IF($P59=0,0,IF($O59&lt;=INDEX(PARAMETROS_CULTURAS!$F$6:$F$28,$P59),INDEX(PARAMETROS_CULTURAS!$K$6:$K$28,$P59),IF($O59&lt;=INDEX(PARAMETROS_CULTURAS!$F$6:$F$28,$P59)+INDEX(PARAMETROS_CULTURAS!$G$6:$G$28,$P59),INDEX(PARAMETROS_CULTURAS!$K$6:$K$28,$P59)+(INDEX(PARAMETROS_CULTURAS!$L$6:$L$28,$P59)-INDEX(PARAMETROS_CULTURAS!$K$6:$K$28,$P59))*($O59-INDEX(PARAMETROS_CULTURAS!$F$6:$F$28,$P59))/MAX(INDEX(PARAMETROS_CULTURAS!$G$6:$G$28,$P59),0.0001),IF($O59&lt;=INDEX(PARAMETROS_CULTURAS!$F$6:$F$28,$P59)+INDEX(PARAMETROS_CULTURAS!$G$6:$G$28,$P59)+INDEX(PARAMETROS_CULTURAS!$H$6:$H$28,$P59),INDEX(PARAMETROS_CULTURAS!$L$6:$L$28,$P59),INDEX(PARAMETROS_CULTURAS!$L$6:$L$28,$P59)+(INDEX(PARAMETROS_CULTURAS!$M$6:$M$28,$P59)-INDEX(PARAMETROS_CULTURAS!$L$6:$L$28,$P59))*($O59-INDEX(PARAMETROS_CULTURAS!$F$6:$F$28,$P59)-INDEX(PARAMETROS_CULTURAS!$G$6:$G$28,$P59)-INDEX(PARAMETROS_CULTURAS!$H$6:$H$28,$P59))/MAX(INDEX(PARAMETROS_CULTURAS!$I$6:$I$28,$P59),0.0001)))))</f>
        <v>0</v>
      </c>
      <c r="S59" s="18" t="n">
        <f aca="false">IFERROR(INDEX(SEMANAS!$H$6:$H$71,MATCH($B59,SEMANAS!$B$6:$B$71,0)),0)</f>
        <v>40.6</v>
      </c>
      <c r="T59" s="18" t="n">
        <f aca="false">$R59*$S59</f>
        <v>0</v>
      </c>
      <c r="U59" s="18" t="n">
        <f aca="false">IFERROR(INDEX(SEMANAS!$I$6:$I$71,MATCH($B59,SEMANAS!$B$6:$B$71,0)),0)</f>
        <v>7</v>
      </c>
      <c r="V59" s="18" t="n">
        <f aca="false">IFERROR(INDEX(SEMANAS!$J$6:$J$71,MATCH($B59,SEMANAS!$B$6:$B$71,0)),0)</f>
        <v>5.6</v>
      </c>
      <c r="W59" s="18" t="n">
        <f aca="false">MAX(0,$T59-$V59)</f>
        <v>0</v>
      </c>
      <c r="X59" s="19" t="n">
        <f aca="false">IFERROR(INDEX(CADASTRO_PIVOS!$K$6:$K$41,MATCH($E59,CADASTRO_PIVOS!$B$6:$B$41,0)),EFICIENCIA_PADRAO)</f>
        <v>0.85</v>
      </c>
      <c r="Y59" s="18" t="n">
        <f aca="false">IF($X59&lt;=0,0,$W59/$X59)</f>
        <v>0</v>
      </c>
      <c r="Z59" s="16" t="n">
        <f aca="false">$Y59*$H59*MM_PARA_M3_HA</f>
        <v>0</v>
      </c>
      <c r="AA59" s="18" t="n">
        <f aca="false">IFERROR(INDEX(CADASTRO_PIVOS!$I$6:$I$41,MATCH($E59,CADASTRO_PIVOS!$B$6:$B$41,0)),0)</f>
        <v>702.214285714286</v>
      </c>
      <c r="AB59" s="18" t="n">
        <f aca="false">IF($Z59&lt;=0,0,$Z59/$AA59)</f>
        <v>0</v>
      </c>
      <c r="AC59" s="16" t="n">
        <f aca="false">IFERROR(INDEX(SEMANAS!$K$6:$K$71,MATCH($B59,SEMANAS!$B$6:$B$71,0)),0)</f>
        <v>147</v>
      </c>
      <c r="AD59" s="19" t="n">
        <f aca="false">IF($AC59&lt;=0,0,$AB59/$AC59)</f>
        <v>0</v>
      </c>
      <c r="AE59" s="8" t="str">
        <f aca="false">IF($K59="SEM CULTURA","SEM CULTURA",IF($AA59&lt;=0,"DADO PENDENTE",IF($AD59&gt;LIMITE_CRITICO,"INVIAVEL",IF($AD59&gt;LIMITE_ATENCAO,"CRITICO",IF($AD59&gt;LIMITE_CONFORTAVEL,"ATENCAO","OK")))))</f>
        <v>SEM CULTURA</v>
      </c>
      <c r="AF59" s="8" t="str">
        <f aca="false">$B59&amp;"|"&amp;TEXT($AD59,"0.000000")</f>
        <v>54|0.000000</v>
      </c>
      <c r="AG59" s="18" t="n">
        <f aca="false">IF($K59="SEM CULTURA",0,$T59*$H59)</f>
        <v>0</v>
      </c>
      <c r="AH59" s="18" t="n">
        <f aca="false">IF($K59="SEM CULTURA",0,$V59*$H59)</f>
        <v>0</v>
      </c>
      <c r="AI59" s="18" t="n">
        <f aca="false">IF($K59="SEM CULTURA",0,$W59*$H59)</f>
        <v>0</v>
      </c>
      <c r="AJ59" s="18" t="n">
        <f aca="false">IF($K59="SEM CULTURA",0,$S59*$H59)</f>
        <v>0</v>
      </c>
      <c r="AK59" s="8" t="str">
        <f aca="false">$E59&amp;"|"&amp;TEXT($AD59,"0.000000")</f>
        <v>PV 109|0.000000</v>
      </c>
    </row>
    <row r="60" customFormat="false" ht="15" hidden="false" customHeight="false" outlineLevel="0" collapsed="false">
      <c r="B60" s="16" t="n">
        <v>55</v>
      </c>
      <c r="C60" s="17" t="n">
        <f aca="false">DATA_INICIO_SAFRA+($B60-1)*DIAS_POR_SEMANA</f>
        <v>46643</v>
      </c>
      <c r="D60" s="17" t="n">
        <f aca="false">$C60+DIAS_POR_SEMANA-1</f>
        <v>46649</v>
      </c>
      <c r="E60" s="15" t="s">
        <v>259</v>
      </c>
      <c r="F60" s="8" t="str">
        <f aca="false">IFERROR(INDEX(CADASTRO_PIVOS!$C$6:$C$41,MATCH($E60,CADASTRO_PIVOS!$B$6:$B$41,0)),"?")</f>
        <v>RM01</v>
      </c>
      <c r="G60" s="8" t="str">
        <f aca="false">IFERROR(INDEX(CADASTRO_PIVOS!$D$6:$D$41,MATCH($E60,CADASTRO_PIVOS!$B$6:$B$41,0)),"?")</f>
        <v>TR01</v>
      </c>
      <c r="H60" s="20" t="n">
        <f aca="false">IFERROR(INDEX(CADASTRO_PIVOS!$E$6:$E$41,MATCH($E60,CADASTRO_PIVOS!$B$6:$B$41,0)),0)</f>
        <v>98.31</v>
      </c>
      <c r="I60" s="16" t="n">
        <f aca="false">IFERROR(SUMIFS(ROTACAO_RDM!$B$6:$B$71,ROTACAO_RDM!$D$6:$D$71,$E60,ROTACAO_RDM!$I$6:$I$71,"&lt;="&amp;$C60+INT(DIAS_POR_SEMANA/2),ROTACAO_RDM!$J$6:$J$71,"&gt;="&amp;$C60+INT(DIAS_POR_SEMANA/2)),0)</f>
        <v>0</v>
      </c>
      <c r="J60" s="16" t="n">
        <f aca="false">IFERROR(MATCH($I60,ROTACAO_RDM!$B$6:$B$71,0),0)</f>
        <v>0</v>
      </c>
      <c r="K60" s="8" t="str">
        <f aca="false">IF($J60=0,"SEM CULTURA",INDEX(ROTACAO_RDM!$F$6:$F$71,$J60))</f>
        <v>SEM CULTURA</v>
      </c>
      <c r="L60" s="8" t="str">
        <f aca="false">IF($J60=0,"",INDEX(ROTACAO_RDM!$G$6:$G$71,$J60))</f>
        <v/>
      </c>
      <c r="M60" s="17" t="str">
        <f aca="false">IF($J60=0,"",INDEX(ROTACAO_RDM!$I$6:$I$71,$J60))</f>
        <v/>
      </c>
      <c r="N60" s="16" t="n">
        <f aca="false">IF($J60=0,0,MAX(0,$C60+INT(DIAS_POR_SEMANA/2)-INDEX(ROTACAO_RDM!$I$6:$I$71,$J60)))</f>
        <v>0</v>
      </c>
      <c r="O60" s="19" t="n">
        <f aca="false">IF($J60=0,0,MIN(1,$N60/MAX(1,INDEX(ROTACAO_RDM!$K$6:$K$71,$J60))))</f>
        <v>0</v>
      </c>
      <c r="P60" s="16" t="n">
        <f aca="false">IF($J60=0,0,IFERROR(MATCH(INDEX(ROTACAO_RDM!$N$6:$N$71,$J60),PARAMETROS_CULTURAS!$B$6:$B$28,0),0))</f>
        <v>0</v>
      </c>
      <c r="Q60" s="8" t="str">
        <f aca="false">IF($P60=0,"-",IF($O60&lt;=INDEX(PARAMETROS_CULTURAS!$F$6:$F$28,$P60),"INICIAL",IF($O60&lt;=INDEX(PARAMETROS_CULTURAS!$F$6:$F$28,$P60)+INDEX(PARAMETROS_CULTURAS!$G$6:$G$28,$P60),"DESENVOLVIMENTO",IF($O60&lt;=INDEX(PARAMETROS_CULTURAS!$F$6:$F$28,$P60)+INDEX(PARAMETROS_CULTURAS!$G$6:$G$28,$P60)+INDEX(PARAMETROS_CULTURAS!$H$6:$H$28,$P60),"MEDIA","FINAL"))))</f>
        <v>-</v>
      </c>
      <c r="R60" s="24" t="n">
        <f aca="false">IF($P60=0,0,IF($O60&lt;=INDEX(PARAMETROS_CULTURAS!$F$6:$F$28,$P60),INDEX(PARAMETROS_CULTURAS!$K$6:$K$28,$P60),IF($O60&lt;=INDEX(PARAMETROS_CULTURAS!$F$6:$F$28,$P60)+INDEX(PARAMETROS_CULTURAS!$G$6:$G$28,$P60),INDEX(PARAMETROS_CULTURAS!$K$6:$K$28,$P60)+(INDEX(PARAMETROS_CULTURAS!$L$6:$L$28,$P60)-INDEX(PARAMETROS_CULTURAS!$K$6:$K$28,$P60))*($O60-INDEX(PARAMETROS_CULTURAS!$F$6:$F$28,$P60))/MAX(INDEX(PARAMETROS_CULTURAS!$G$6:$G$28,$P60),0.0001),IF($O60&lt;=INDEX(PARAMETROS_CULTURAS!$F$6:$F$28,$P60)+INDEX(PARAMETROS_CULTURAS!$G$6:$G$28,$P60)+INDEX(PARAMETROS_CULTURAS!$H$6:$H$28,$P60),INDEX(PARAMETROS_CULTURAS!$L$6:$L$28,$P60),INDEX(PARAMETROS_CULTURAS!$L$6:$L$28,$P60)+(INDEX(PARAMETROS_CULTURAS!$M$6:$M$28,$P60)-INDEX(PARAMETROS_CULTURAS!$L$6:$L$28,$P60))*($O60-INDEX(PARAMETROS_CULTURAS!$F$6:$F$28,$P60)-INDEX(PARAMETROS_CULTURAS!$G$6:$G$28,$P60)-INDEX(PARAMETROS_CULTURAS!$H$6:$H$28,$P60))/MAX(INDEX(PARAMETROS_CULTURAS!$I$6:$I$28,$P60),0.0001)))))</f>
        <v>0</v>
      </c>
      <c r="S60" s="18" t="n">
        <f aca="false">IFERROR(INDEX(SEMANAS!$H$6:$H$71,MATCH($B60,SEMANAS!$B$6:$B$71,0)),0)</f>
        <v>40.6</v>
      </c>
      <c r="T60" s="18" t="n">
        <f aca="false">$R60*$S60</f>
        <v>0</v>
      </c>
      <c r="U60" s="18" t="n">
        <f aca="false">IFERROR(INDEX(SEMANAS!$I$6:$I$71,MATCH($B60,SEMANAS!$B$6:$B$71,0)),0)</f>
        <v>7</v>
      </c>
      <c r="V60" s="18" t="n">
        <f aca="false">IFERROR(INDEX(SEMANAS!$J$6:$J$71,MATCH($B60,SEMANAS!$B$6:$B$71,0)),0)</f>
        <v>5.6</v>
      </c>
      <c r="W60" s="18" t="n">
        <f aca="false">MAX(0,$T60-$V60)</f>
        <v>0</v>
      </c>
      <c r="X60" s="19" t="n">
        <f aca="false">IFERROR(INDEX(CADASTRO_PIVOS!$K$6:$K$41,MATCH($E60,CADASTRO_PIVOS!$B$6:$B$41,0)),EFICIENCIA_PADRAO)</f>
        <v>0.85</v>
      </c>
      <c r="Y60" s="18" t="n">
        <f aca="false">IF($X60&lt;=0,0,$W60/$X60)</f>
        <v>0</v>
      </c>
      <c r="Z60" s="16" t="n">
        <f aca="false">$Y60*$H60*MM_PARA_M3_HA</f>
        <v>0</v>
      </c>
      <c r="AA60" s="18" t="n">
        <f aca="false">IFERROR(INDEX(CADASTRO_PIVOS!$I$6:$I$41,MATCH($E60,CADASTRO_PIVOS!$B$6:$B$41,0)),0)</f>
        <v>702.214285714286</v>
      </c>
      <c r="AB60" s="18" t="n">
        <f aca="false">IF($Z60&lt;=0,0,$Z60/$AA60)</f>
        <v>0</v>
      </c>
      <c r="AC60" s="16" t="n">
        <f aca="false">IFERROR(INDEX(SEMANAS!$K$6:$K$71,MATCH($B60,SEMANAS!$B$6:$B$71,0)),0)</f>
        <v>147</v>
      </c>
      <c r="AD60" s="19" t="n">
        <f aca="false">IF($AC60&lt;=0,0,$AB60/$AC60)</f>
        <v>0</v>
      </c>
      <c r="AE60" s="8" t="str">
        <f aca="false">IF($K60="SEM CULTURA","SEM CULTURA",IF($AA60&lt;=0,"DADO PENDENTE",IF($AD60&gt;LIMITE_CRITICO,"INVIAVEL",IF($AD60&gt;LIMITE_ATENCAO,"CRITICO",IF($AD60&gt;LIMITE_CONFORTAVEL,"ATENCAO","OK")))))</f>
        <v>SEM CULTURA</v>
      </c>
      <c r="AF60" s="8" t="str">
        <f aca="false">$B60&amp;"|"&amp;TEXT($AD60,"0.000000")</f>
        <v>55|0.000000</v>
      </c>
      <c r="AG60" s="18" t="n">
        <f aca="false">IF($K60="SEM CULTURA",0,$T60*$H60)</f>
        <v>0</v>
      </c>
      <c r="AH60" s="18" t="n">
        <f aca="false">IF($K60="SEM CULTURA",0,$V60*$H60)</f>
        <v>0</v>
      </c>
      <c r="AI60" s="18" t="n">
        <f aca="false">IF($K60="SEM CULTURA",0,$W60*$H60)</f>
        <v>0</v>
      </c>
      <c r="AJ60" s="18" t="n">
        <f aca="false">IF($K60="SEM CULTURA",0,$S60*$H60)</f>
        <v>0</v>
      </c>
      <c r="AK60" s="8" t="str">
        <f aca="false">$E60&amp;"|"&amp;TEXT($AD60,"0.000000")</f>
        <v>PV 109|0.000000</v>
      </c>
    </row>
    <row r="61" customFormat="false" ht="15" hidden="false" customHeight="false" outlineLevel="0" collapsed="false">
      <c r="B61" s="16" t="n">
        <v>56</v>
      </c>
      <c r="C61" s="17" t="n">
        <f aca="false">DATA_INICIO_SAFRA+($B61-1)*DIAS_POR_SEMANA</f>
        <v>46650</v>
      </c>
      <c r="D61" s="17" t="n">
        <f aca="false">$C61+DIAS_POR_SEMANA-1</f>
        <v>46656</v>
      </c>
      <c r="E61" s="15" t="s">
        <v>259</v>
      </c>
      <c r="F61" s="8" t="str">
        <f aca="false">IFERROR(INDEX(CADASTRO_PIVOS!$C$6:$C$41,MATCH($E61,CADASTRO_PIVOS!$B$6:$B$41,0)),"?")</f>
        <v>RM01</v>
      </c>
      <c r="G61" s="8" t="str">
        <f aca="false">IFERROR(INDEX(CADASTRO_PIVOS!$D$6:$D$41,MATCH($E61,CADASTRO_PIVOS!$B$6:$B$41,0)),"?")</f>
        <v>TR01</v>
      </c>
      <c r="H61" s="20" t="n">
        <f aca="false">IFERROR(INDEX(CADASTRO_PIVOS!$E$6:$E$41,MATCH($E61,CADASTRO_PIVOS!$B$6:$B$41,0)),0)</f>
        <v>98.31</v>
      </c>
      <c r="I61" s="16" t="n">
        <f aca="false">IFERROR(SUMIFS(ROTACAO_RDM!$B$6:$B$71,ROTACAO_RDM!$D$6:$D$71,$E61,ROTACAO_RDM!$I$6:$I$71,"&lt;="&amp;$C61+INT(DIAS_POR_SEMANA/2),ROTACAO_RDM!$J$6:$J$71,"&gt;="&amp;$C61+INT(DIAS_POR_SEMANA/2)),0)</f>
        <v>0</v>
      </c>
      <c r="J61" s="16" t="n">
        <f aca="false">IFERROR(MATCH($I61,ROTACAO_RDM!$B$6:$B$71,0),0)</f>
        <v>0</v>
      </c>
      <c r="K61" s="8" t="str">
        <f aca="false">IF($J61=0,"SEM CULTURA",INDEX(ROTACAO_RDM!$F$6:$F$71,$J61))</f>
        <v>SEM CULTURA</v>
      </c>
      <c r="L61" s="8" t="str">
        <f aca="false">IF($J61=0,"",INDEX(ROTACAO_RDM!$G$6:$G$71,$J61))</f>
        <v/>
      </c>
      <c r="M61" s="17" t="str">
        <f aca="false">IF($J61=0,"",INDEX(ROTACAO_RDM!$I$6:$I$71,$J61))</f>
        <v/>
      </c>
      <c r="N61" s="16" t="n">
        <f aca="false">IF($J61=0,0,MAX(0,$C61+INT(DIAS_POR_SEMANA/2)-INDEX(ROTACAO_RDM!$I$6:$I$71,$J61)))</f>
        <v>0</v>
      </c>
      <c r="O61" s="19" t="n">
        <f aca="false">IF($J61=0,0,MIN(1,$N61/MAX(1,INDEX(ROTACAO_RDM!$K$6:$K$71,$J61))))</f>
        <v>0</v>
      </c>
      <c r="P61" s="16" t="n">
        <f aca="false">IF($J61=0,0,IFERROR(MATCH(INDEX(ROTACAO_RDM!$N$6:$N$71,$J61),PARAMETROS_CULTURAS!$B$6:$B$28,0),0))</f>
        <v>0</v>
      </c>
      <c r="Q61" s="8" t="str">
        <f aca="false">IF($P61=0,"-",IF($O61&lt;=INDEX(PARAMETROS_CULTURAS!$F$6:$F$28,$P61),"INICIAL",IF($O61&lt;=INDEX(PARAMETROS_CULTURAS!$F$6:$F$28,$P61)+INDEX(PARAMETROS_CULTURAS!$G$6:$G$28,$P61),"DESENVOLVIMENTO",IF($O61&lt;=INDEX(PARAMETROS_CULTURAS!$F$6:$F$28,$P61)+INDEX(PARAMETROS_CULTURAS!$G$6:$G$28,$P61)+INDEX(PARAMETROS_CULTURAS!$H$6:$H$28,$P61),"MEDIA","FINAL"))))</f>
        <v>-</v>
      </c>
      <c r="R61" s="24" t="n">
        <f aca="false">IF($P61=0,0,IF($O61&lt;=INDEX(PARAMETROS_CULTURAS!$F$6:$F$28,$P61),INDEX(PARAMETROS_CULTURAS!$K$6:$K$28,$P61),IF($O61&lt;=INDEX(PARAMETROS_CULTURAS!$F$6:$F$28,$P61)+INDEX(PARAMETROS_CULTURAS!$G$6:$G$28,$P61),INDEX(PARAMETROS_CULTURAS!$K$6:$K$28,$P61)+(INDEX(PARAMETROS_CULTURAS!$L$6:$L$28,$P61)-INDEX(PARAMETROS_CULTURAS!$K$6:$K$28,$P61))*($O61-INDEX(PARAMETROS_CULTURAS!$F$6:$F$28,$P61))/MAX(INDEX(PARAMETROS_CULTURAS!$G$6:$G$28,$P61),0.0001),IF($O61&lt;=INDEX(PARAMETROS_CULTURAS!$F$6:$F$28,$P61)+INDEX(PARAMETROS_CULTURAS!$G$6:$G$28,$P61)+INDEX(PARAMETROS_CULTURAS!$H$6:$H$28,$P61),INDEX(PARAMETROS_CULTURAS!$L$6:$L$28,$P61),INDEX(PARAMETROS_CULTURAS!$L$6:$L$28,$P61)+(INDEX(PARAMETROS_CULTURAS!$M$6:$M$28,$P61)-INDEX(PARAMETROS_CULTURAS!$L$6:$L$28,$P61))*($O61-INDEX(PARAMETROS_CULTURAS!$F$6:$F$28,$P61)-INDEX(PARAMETROS_CULTURAS!$G$6:$G$28,$P61)-INDEX(PARAMETROS_CULTURAS!$H$6:$H$28,$P61))/MAX(INDEX(PARAMETROS_CULTURAS!$I$6:$I$28,$P61),0.0001)))))</f>
        <v>0</v>
      </c>
      <c r="S61" s="18" t="n">
        <f aca="false">IFERROR(INDEX(SEMANAS!$H$6:$H$71,MATCH($B61,SEMANAS!$B$6:$B$71,0)),0)</f>
        <v>40.6</v>
      </c>
      <c r="T61" s="18" t="n">
        <f aca="false">$R61*$S61</f>
        <v>0</v>
      </c>
      <c r="U61" s="18" t="n">
        <f aca="false">IFERROR(INDEX(SEMANAS!$I$6:$I$71,MATCH($B61,SEMANAS!$B$6:$B$71,0)),0)</f>
        <v>7</v>
      </c>
      <c r="V61" s="18" t="n">
        <f aca="false">IFERROR(INDEX(SEMANAS!$J$6:$J$71,MATCH($B61,SEMANAS!$B$6:$B$71,0)),0)</f>
        <v>5.6</v>
      </c>
      <c r="W61" s="18" t="n">
        <f aca="false">MAX(0,$T61-$V61)</f>
        <v>0</v>
      </c>
      <c r="X61" s="19" t="n">
        <f aca="false">IFERROR(INDEX(CADASTRO_PIVOS!$K$6:$K$41,MATCH($E61,CADASTRO_PIVOS!$B$6:$B$41,0)),EFICIENCIA_PADRAO)</f>
        <v>0.85</v>
      </c>
      <c r="Y61" s="18" t="n">
        <f aca="false">IF($X61&lt;=0,0,$W61/$X61)</f>
        <v>0</v>
      </c>
      <c r="Z61" s="16" t="n">
        <f aca="false">$Y61*$H61*MM_PARA_M3_HA</f>
        <v>0</v>
      </c>
      <c r="AA61" s="18" t="n">
        <f aca="false">IFERROR(INDEX(CADASTRO_PIVOS!$I$6:$I$41,MATCH($E61,CADASTRO_PIVOS!$B$6:$B$41,0)),0)</f>
        <v>702.214285714286</v>
      </c>
      <c r="AB61" s="18" t="n">
        <f aca="false">IF($Z61&lt;=0,0,$Z61/$AA61)</f>
        <v>0</v>
      </c>
      <c r="AC61" s="16" t="n">
        <f aca="false">IFERROR(INDEX(SEMANAS!$K$6:$K$71,MATCH($B61,SEMANAS!$B$6:$B$71,0)),0)</f>
        <v>147</v>
      </c>
      <c r="AD61" s="19" t="n">
        <f aca="false">IF($AC61&lt;=0,0,$AB61/$AC61)</f>
        <v>0</v>
      </c>
      <c r="AE61" s="8" t="str">
        <f aca="false">IF($K61="SEM CULTURA","SEM CULTURA",IF($AA61&lt;=0,"DADO PENDENTE",IF($AD61&gt;LIMITE_CRITICO,"INVIAVEL",IF($AD61&gt;LIMITE_ATENCAO,"CRITICO",IF($AD61&gt;LIMITE_CONFORTAVEL,"ATENCAO","OK")))))</f>
        <v>SEM CULTURA</v>
      </c>
      <c r="AF61" s="8" t="str">
        <f aca="false">$B61&amp;"|"&amp;TEXT($AD61,"0.000000")</f>
        <v>56|0.000000</v>
      </c>
      <c r="AG61" s="18" t="n">
        <f aca="false">IF($K61="SEM CULTURA",0,$T61*$H61)</f>
        <v>0</v>
      </c>
      <c r="AH61" s="18" t="n">
        <f aca="false">IF($K61="SEM CULTURA",0,$V61*$H61)</f>
        <v>0</v>
      </c>
      <c r="AI61" s="18" t="n">
        <f aca="false">IF($K61="SEM CULTURA",0,$W61*$H61)</f>
        <v>0</v>
      </c>
      <c r="AJ61" s="18" t="n">
        <f aca="false">IF($K61="SEM CULTURA",0,$S61*$H61)</f>
        <v>0</v>
      </c>
      <c r="AK61" s="8" t="str">
        <f aca="false">$E61&amp;"|"&amp;TEXT($AD61,"0.000000")</f>
        <v>PV 109|0.000000</v>
      </c>
    </row>
    <row r="62" customFormat="false" ht="15" hidden="false" customHeight="false" outlineLevel="0" collapsed="false">
      <c r="B62" s="16" t="n">
        <v>57</v>
      </c>
      <c r="C62" s="17" t="n">
        <f aca="false">DATA_INICIO_SAFRA+($B62-1)*DIAS_POR_SEMANA</f>
        <v>46657</v>
      </c>
      <c r="D62" s="17" t="n">
        <f aca="false">$C62+DIAS_POR_SEMANA-1</f>
        <v>46663</v>
      </c>
      <c r="E62" s="15" t="s">
        <v>259</v>
      </c>
      <c r="F62" s="8" t="str">
        <f aca="false">IFERROR(INDEX(CADASTRO_PIVOS!$C$6:$C$41,MATCH($E62,CADASTRO_PIVOS!$B$6:$B$41,0)),"?")</f>
        <v>RM01</v>
      </c>
      <c r="G62" s="8" t="str">
        <f aca="false">IFERROR(INDEX(CADASTRO_PIVOS!$D$6:$D$41,MATCH($E62,CADASTRO_PIVOS!$B$6:$B$41,0)),"?")</f>
        <v>TR01</v>
      </c>
      <c r="H62" s="20" t="n">
        <f aca="false">IFERROR(INDEX(CADASTRO_PIVOS!$E$6:$E$41,MATCH($E62,CADASTRO_PIVOS!$B$6:$B$41,0)),0)</f>
        <v>98.31</v>
      </c>
      <c r="I62" s="16" t="n">
        <f aca="false">IFERROR(SUMIFS(ROTACAO_RDM!$B$6:$B$71,ROTACAO_RDM!$D$6:$D$71,$E62,ROTACAO_RDM!$I$6:$I$71,"&lt;="&amp;$C62+INT(DIAS_POR_SEMANA/2),ROTACAO_RDM!$J$6:$J$71,"&gt;="&amp;$C62+INT(DIAS_POR_SEMANA/2)),0)</f>
        <v>0</v>
      </c>
      <c r="J62" s="16" t="n">
        <f aca="false">IFERROR(MATCH($I62,ROTACAO_RDM!$B$6:$B$71,0),0)</f>
        <v>0</v>
      </c>
      <c r="K62" s="8" t="str">
        <f aca="false">IF($J62=0,"SEM CULTURA",INDEX(ROTACAO_RDM!$F$6:$F$71,$J62))</f>
        <v>SEM CULTURA</v>
      </c>
      <c r="L62" s="8" t="str">
        <f aca="false">IF($J62=0,"",INDEX(ROTACAO_RDM!$G$6:$G$71,$J62))</f>
        <v/>
      </c>
      <c r="M62" s="17" t="str">
        <f aca="false">IF($J62=0,"",INDEX(ROTACAO_RDM!$I$6:$I$71,$J62))</f>
        <v/>
      </c>
      <c r="N62" s="16" t="n">
        <f aca="false">IF($J62=0,0,MAX(0,$C62+INT(DIAS_POR_SEMANA/2)-INDEX(ROTACAO_RDM!$I$6:$I$71,$J62)))</f>
        <v>0</v>
      </c>
      <c r="O62" s="19" t="n">
        <f aca="false">IF($J62=0,0,MIN(1,$N62/MAX(1,INDEX(ROTACAO_RDM!$K$6:$K$71,$J62))))</f>
        <v>0</v>
      </c>
      <c r="P62" s="16" t="n">
        <f aca="false">IF($J62=0,0,IFERROR(MATCH(INDEX(ROTACAO_RDM!$N$6:$N$71,$J62),PARAMETROS_CULTURAS!$B$6:$B$28,0),0))</f>
        <v>0</v>
      </c>
      <c r="Q62" s="8" t="str">
        <f aca="false">IF($P62=0,"-",IF($O62&lt;=INDEX(PARAMETROS_CULTURAS!$F$6:$F$28,$P62),"INICIAL",IF($O62&lt;=INDEX(PARAMETROS_CULTURAS!$F$6:$F$28,$P62)+INDEX(PARAMETROS_CULTURAS!$G$6:$G$28,$P62),"DESENVOLVIMENTO",IF($O62&lt;=INDEX(PARAMETROS_CULTURAS!$F$6:$F$28,$P62)+INDEX(PARAMETROS_CULTURAS!$G$6:$G$28,$P62)+INDEX(PARAMETROS_CULTURAS!$H$6:$H$28,$P62),"MEDIA","FINAL"))))</f>
        <v>-</v>
      </c>
      <c r="R62" s="24" t="n">
        <f aca="false">IF($P62=0,0,IF($O62&lt;=INDEX(PARAMETROS_CULTURAS!$F$6:$F$28,$P62),INDEX(PARAMETROS_CULTURAS!$K$6:$K$28,$P62),IF($O62&lt;=INDEX(PARAMETROS_CULTURAS!$F$6:$F$28,$P62)+INDEX(PARAMETROS_CULTURAS!$G$6:$G$28,$P62),INDEX(PARAMETROS_CULTURAS!$K$6:$K$28,$P62)+(INDEX(PARAMETROS_CULTURAS!$L$6:$L$28,$P62)-INDEX(PARAMETROS_CULTURAS!$K$6:$K$28,$P62))*($O62-INDEX(PARAMETROS_CULTURAS!$F$6:$F$28,$P62))/MAX(INDEX(PARAMETROS_CULTURAS!$G$6:$G$28,$P62),0.0001),IF($O62&lt;=INDEX(PARAMETROS_CULTURAS!$F$6:$F$28,$P62)+INDEX(PARAMETROS_CULTURAS!$G$6:$G$28,$P62)+INDEX(PARAMETROS_CULTURAS!$H$6:$H$28,$P62),INDEX(PARAMETROS_CULTURAS!$L$6:$L$28,$P62),INDEX(PARAMETROS_CULTURAS!$L$6:$L$28,$P62)+(INDEX(PARAMETROS_CULTURAS!$M$6:$M$28,$P62)-INDEX(PARAMETROS_CULTURAS!$L$6:$L$28,$P62))*($O62-INDEX(PARAMETROS_CULTURAS!$F$6:$F$28,$P62)-INDEX(PARAMETROS_CULTURAS!$G$6:$G$28,$P62)-INDEX(PARAMETROS_CULTURAS!$H$6:$H$28,$P62))/MAX(INDEX(PARAMETROS_CULTURAS!$I$6:$I$28,$P62),0.0001)))))</f>
        <v>0</v>
      </c>
      <c r="S62" s="18" t="n">
        <f aca="false">IFERROR(INDEX(SEMANAS!$H$6:$H$71,MATCH($B62,SEMANAS!$B$6:$B$71,0)),0)</f>
        <v>40</v>
      </c>
      <c r="T62" s="18" t="n">
        <f aca="false">$R62*$S62</f>
        <v>0</v>
      </c>
      <c r="U62" s="18" t="n">
        <f aca="false">IFERROR(INDEX(SEMANAS!$I$6:$I$71,MATCH($B62,SEMANAS!$B$6:$B$71,0)),0)</f>
        <v>15.61</v>
      </c>
      <c r="V62" s="18" t="n">
        <f aca="false">IFERROR(INDEX(SEMANAS!$J$6:$J$71,MATCH($B62,SEMANAS!$B$6:$B$71,0)),0)</f>
        <v>12.488</v>
      </c>
      <c r="W62" s="18" t="n">
        <f aca="false">MAX(0,$T62-$V62)</f>
        <v>0</v>
      </c>
      <c r="X62" s="19" t="n">
        <f aca="false">IFERROR(INDEX(CADASTRO_PIVOS!$K$6:$K$41,MATCH($E62,CADASTRO_PIVOS!$B$6:$B$41,0)),EFICIENCIA_PADRAO)</f>
        <v>0.85</v>
      </c>
      <c r="Y62" s="18" t="n">
        <f aca="false">IF($X62&lt;=0,0,$W62/$X62)</f>
        <v>0</v>
      </c>
      <c r="Z62" s="16" t="n">
        <f aca="false">$Y62*$H62*MM_PARA_M3_HA</f>
        <v>0</v>
      </c>
      <c r="AA62" s="18" t="n">
        <f aca="false">IFERROR(INDEX(CADASTRO_PIVOS!$I$6:$I$41,MATCH($E62,CADASTRO_PIVOS!$B$6:$B$41,0)),0)</f>
        <v>702.214285714286</v>
      </c>
      <c r="AB62" s="18" t="n">
        <f aca="false">IF($Z62&lt;=0,0,$Z62/$AA62)</f>
        <v>0</v>
      </c>
      <c r="AC62" s="16" t="n">
        <f aca="false">IFERROR(INDEX(SEMANAS!$K$6:$K$71,MATCH($B62,SEMANAS!$B$6:$B$71,0)),0)</f>
        <v>147</v>
      </c>
      <c r="AD62" s="19" t="n">
        <f aca="false">IF($AC62&lt;=0,0,$AB62/$AC62)</f>
        <v>0</v>
      </c>
      <c r="AE62" s="8" t="str">
        <f aca="false">IF($K62="SEM CULTURA","SEM CULTURA",IF($AA62&lt;=0,"DADO PENDENTE",IF($AD62&gt;LIMITE_CRITICO,"INVIAVEL",IF($AD62&gt;LIMITE_ATENCAO,"CRITICO",IF($AD62&gt;LIMITE_CONFORTAVEL,"ATENCAO","OK")))))</f>
        <v>SEM CULTURA</v>
      </c>
      <c r="AF62" s="8" t="str">
        <f aca="false">$B62&amp;"|"&amp;TEXT($AD62,"0.000000")</f>
        <v>57|0.000000</v>
      </c>
      <c r="AG62" s="18" t="n">
        <f aca="false">IF($K62="SEM CULTURA",0,$T62*$H62)</f>
        <v>0</v>
      </c>
      <c r="AH62" s="18" t="n">
        <f aca="false">IF($K62="SEM CULTURA",0,$V62*$H62)</f>
        <v>0</v>
      </c>
      <c r="AI62" s="18" t="n">
        <f aca="false">IF($K62="SEM CULTURA",0,$W62*$H62)</f>
        <v>0</v>
      </c>
      <c r="AJ62" s="18" t="n">
        <f aca="false">IF($K62="SEM CULTURA",0,$S62*$H62)</f>
        <v>0</v>
      </c>
      <c r="AK62" s="8" t="str">
        <f aca="false">$E62&amp;"|"&amp;TEXT($AD62,"0.000000")</f>
        <v>PV 109|0.000000</v>
      </c>
    </row>
    <row r="63" customFormat="false" ht="15" hidden="false" customHeight="false" outlineLevel="0" collapsed="false">
      <c r="B63" s="16" t="n">
        <v>58</v>
      </c>
      <c r="C63" s="17" t="n">
        <f aca="false">DATA_INICIO_SAFRA+($B63-1)*DIAS_POR_SEMANA</f>
        <v>46664</v>
      </c>
      <c r="D63" s="17" t="n">
        <f aca="false">$C63+DIAS_POR_SEMANA-1</f>
        <v>46670</v>
      </c>
      <c r="E63" s="15" t="s">
        <v>259</v>
      </c>
      <c r="F63" s="8" t="str">
        <f aca="false">IFERROR(INDEX(CADASTRO_PIVOS!$C$6:$C$41,MATCH($E63,CADASTRO_PIVOS!$B$6:$B$41,0)),"?")</f>
        <v>RM01</v>
      </c>
      <c r="G63" s="8" t="str">
        <f aca="false">IFERROR(INDEX(CADASTRO_PIVOS!$D$6:$D$41,MATCH($E63,CADASTRO_PIVOS!$B$6:$B$41,0)),"?")</f>
        <v>TR01</v>
      </c>
      <c r="H63" s="20" t="n">
        <f aca="false">IFERROR(INDEX(CADASTRO_PIVOS!$E$6:$E$41,MATCH($E63,CADASTRO_PIVOS!$B$6:$B$41,0)),0)</f>
        <v>98.31</v>
      </c>
      <c r="I63" s="16" t="n">
        <f aca="false">IFERROR(SUMIFS(ROTACAO_RDM!$B$6:$B$71,ROTACAO_RDM!$D$6:$D$71,$E63,ROTACAO_RDM!$I$6:$I$71,"&lt;="&amp;$C63+INT(DIAS_POR_SEMANA/2),ROTACAO_RDM!$J$6:$J$71,"&gt;="&amp;$C63+INT(DIAS_POR_SEMANA/2)),0)</f>
        <v>0</v>
      </c>
      <c r="J63" s="16" t="n">
        <f aca="false">IFERROR(MATCH($I63,ROTACAO_RDM!$B$6:$B$71,0),0)</f>
        <v>0</v>
      </c>
      <c r="K63" s="8" t="str">
        <f aca="false">IF($J63=0,"SEM CULTURA",INDEX(ROTACAO_RDM!$F$6:$F$71,$J63))</f>
        <v>SEM CULTURA</v>
      </c>
      <c r="L63" s="8" t="str">
        <f aca="false">IF($J63=0,"",INDEX(ROTACAO_RDM!$G$6:$G$71,$J63))</f>
        <v/>
      </c>
      <c r="M63" s="17" t="str">
        <f aca="false">IF($J63=0,"",INDEX(ROTACAO_RDM!$I$6:$I$71,$J63))</f>
        <v/>
      </c>
      <c r="N63" s="16" t="n">
        <f aca="false">IF($J63=0,0,MAX(0,$C63+INT(DIAS_POR_SEMANA/2)-INDEX(ROTACAO_RDM!$I$6:$I$71,$J63)))</f>
        <v>0</v>
      </c>
      <c r="O63" s="19" t="n">
        <f aca="false">IF($J63=0,0,MIN(1,$N63/MAX(1,INDEX(ROTACAO_RDM!$K$6:$K$71,$J63))))</f>
        <v>0</v>
      </c>
      <c r="P63" s="16" t="n">
        <f aca="false">IF($J63=0,0,IFERROR(MATCH(INDEX(ROTACAO_RDM!$N$6:$N$71,$J63),PARAMETROS_CULTURAS!$B$6:$B$28,0),0))</f>
        <v>0</v>
      </c>
      <c r="Q63" s="8" t="str">
        <f aca="false">IF($P63=0,"-",IF($O63&lt;=INDEX(PARAMETROS_CULTURAS!$F$6:$F$28,$P63),"INICIAL",IF($O63&lt;=INDEX(PARAMETROS_CULTURAS!$F$6:$F$28,$P63)+INDEX(PARAMETROS_CULTURAS!$G$6:$G$28,$P63),"DESENVOLVIMENTO",IF($O63&lt;=INDEX(PARAMETROS_CULTURAS!$F$6:$F$28,$P63)+INDEX(PARAMETROS_CULTURAS!$G$6:$G$28,$P63)+INDEX(PARAMETROS_CULTURAS!$H$6:$H$28,$P63),"MEDIA","FINAL"))))</f>
        <v>-</v>
      </c>
      <c r="R63" s="24" t="n">
        <f aca="false">IF($P63=0,0,IF($O63&lt;=INDEX(PARAMETROS_CULTURAS!$F$6:$F$28,$P63),INDEX(PARAMETROS_CULTURAS!$K$6:$K$28,$P63),IF($O63&lt;=INDEX(PARAMETROS_CULTURAS!$F$6:$F$28,$P63)+INDEX(PARAMETROS_CULTURAS!$G$6:$G$28,$P63),INDEX(PARAMETROS_CULTURAS!$K$6:$K$28,$P63)+(INDEX(PARAMETROS_CULTURAS!$L$6:$L$28,$P63)-INDEX(PARAMETROS_CULTURAS!$K$6:$K$28,$P63))*($O63-INDEX(PARAMETROS_CULTURAS!$F$6:$F$28,$P63))/MAX(INDEX(PARAMETROS_CULTURAS!$G$6:$G$28,$P63),0.0001),IF($O63&lt;=INDEX(PARAMETROS_CULTURAS!$F$6:$F$28,$P63)+INDEX(PARAMETROS_CULTURAS!$G$6:$G$28,$P63)+INDEX(PARAMETROS_CULTURAS!$H$6:$H$28,$P63),INDEX(PARAMETROS_CULTURAS!$L$6:$L$28,$P63),INDEX(PARAMETROS_CULTURAS!$L$6:$L$28,$P63)+(INDEX(PARAMETROS_CULTURAS!$M$6:$M$28,$P63)-INDEX(PARAMETROS_CULTURAS!$L$6:$L$28,$P63))*($O63-INDEX(PARAMETROS_CULTURAS!$F$6:$F$28,$P63)-INDEX(PARAMETROS_CULTURAS!$G$6:$G$28,$P63)-INDEX(PARAMETROS_CULTURAS!$H$6:$H$28,$P63))/MAX(INDEX(PARAMETROS_CULTURAS!$I$6:$I$28,$P63),0.0001)))))</f>
        <v>0</v>
      </c>
      <c r="S63" s="18" t="n">
        <f aca="false">IFERROR(INDEX(SEMANAS!$H$6:$H$71,MATCH($B63,SEMANAS!$B$6:$B$71,0)),0)</f>
        <v>39.2</v>
      </c>
      <c r="T63" s="18" t="n">
        <f aca="false">$R63*$S63</f>
        <v>0</v>
      </c>
      <c r="U63" s="18" t="n">
        <f aca="false">IFERROR(INDEX(SEMANAS!$I$6:$I$71,MATCH($B63,SEMANAS!$B$6:$B$71,0)),0)</f>
        <v>27.09</v>
      </c>
      <c r="V63" s="18" t="n">
        <f aca="false">IFERROR(INDEX(SEMANAS!$J$6:$J$71,MATCH($B63,SEMANAS!$B$6:$B$71,0)),0)</f>
        <v>21.672</v>
      </c>
      <c r="W63" s="18" t="n">
        <f aca="false">MAX(0,$T63-$V63)</f>
        <v>0</v>
      </c>
      <c r="X63" s="19" t="n">
        <f aca="false">IFERROR(INDEX(CADASTRO_PIVOS!$K$6:$K$41,MATCH($E63,CADASTRO_PIVOS!$B$6:$B$41,0)),EFICIENCIA_PADRAO)</f>
        <v>0.85</v>
      </c>
      <c r="Y63" s="18" t="n">
        <f aca="false">IF($X63&lt;=0,0,$W63/$X63)</f>
        <v>0</v>
      </c>
      <c r="Z63" s="16" t="n">
        <f aca="false">$Y63*$H63*MM_PARA_M3_HA</f>
        <v>0</v>
      </c>
      <c r="AA63" s="18" t="n">
        <f aca="false">IFERROR(INDEX(CADASTRO_PIVOS!$I$6:$I$41,MATCH($E63,CADASTRO_PIVOS!$B$6:$B$41,0)),0)</f>
        <v>702.214285714286</v>
      </c>
      <c r="AB63" s="18" t="n">
        <f aca="false">IF($Z63&lt;=0,0,$Z63/$AA63)</f>
        <v>0</v>
      </c>
      <c r="AC63" s="16" t="n">
        <f aca="false">IFERROR(INDEX(SEMANAS!$K$6:$K$71,MATCH($B63,SEMANAS!$B$6:$B$71,0)),0)</f>
        <v>147</v>
      </c>
      <c r="AD63" s="19" t="n">
        <f aca="false">IF($AC63&lt;=0,0,$AB63/$AC63)</f>
        <v>0</v>
      </c>
      <c r="AE63" s="8" t="str">
        <f aca="false">IF($K63="SEM CULTURA","SEM CULTURA",IF($AA63&lt;=0,"DADO PENDENTE",IF($AD63&gt;LIMITE_CRITICO,"INVIAVEL",IF($AD63&gt;LIMITE_ATENCAO,"CRITICO",IF($AD63&gt;LIMITE_CONFORTAVEL,"ATENCAO","OK")))))</f>
        <v>SEM CULTURA</v>
      </c>
      <c r="AF63" s="8" t="str">
        <f aca="false">$B63&amp;"|"&amp;TEXT($AD63,"0.000000")</f>
        <v>58|0.000000</v>
      </c>
      <c r="AG63" s="18" t="n">
        <f aca="false">IF($K63="SEM CULTURA",0,$T63*$H63)</f>
        <v>0</v>
      </c>
      <c r="AH63" s="18" t="n">
        <f aca="false">IF($K63="SEM CULTURA",0,$V63*$H63)</f>
        <v>0</v>
      </c>
      <c r="AI63" s="18" t="n">
        <f aca="false">IF($K63="SEM CULTURA",0,$W63*$H63)</f>
        <v>0</v>
      </c>
      <c r="AJ63" s="18" t="n">
        <f aca="false">IF($K63="SEM CULTURA",0,$S63*$H63)</f>
        <v>0</v>
      </c>
      <c r="AK63" s="8" t="str">
        <f aca="false">$E63&amp;"|"&amp;TEXT($AD63,"0.000000")</f>
        <v>PV 109|0.000000</v>
      </c>
    </row>
    <row r="64" customFormat="false" ht="15" hidden="false" customHeight="false" outlineLevel="0" collapsed="false">
      <c r="B64" s="16" t="n">
        <v>59</v>
      </c>
      <c r="C64" s="17" t="n">
        <f aca="false">DATA_INICIO_SAFRA+($B64-1)*DIAS_POR_SEMANA</f>
        <v>46671</v>
      </c>
      <c r="D64" s="17" t="n">
        <f aca="false">$C64+DIAS_POR_SEMANA-1</f>
        <v>46677</v>
      </c>
      <c r="E64" s="15" t="s">
        <v>259</v>
      </c>
      <c r="F64" s="8" t="str">
        <f aca="false">IFERROR(INDEX(CADASTRO_PIVOS!$C$6:$C$41,MATCH($E64,CADASTRO_PIVOS!$B$6:$B$41,0)),"?")</f>
        <v>RM01</v>
      </c>
      <c r="G64" s="8" t="str">
        <f aca="false">IFERROR(INDEX(CADASTRO_PIVOS!$D$6:$D$41,MATCH($E64,CADASTRO_PIVOS!$B$6:$B$41,0)),"?")</f>
        <v>TR01</v>
      </c>
      <c r="H64" s="20" t="n">
        <f aca="false">IFERROR(INDEX(CADASTRO_PIVOS!$E$6:$E$41,MATCH($E64,CADASTRO_PIVOS!$B$6:$B$41,0)),0)</f>
        <v>98.31</v>
      </c>
      <c r="I64" s="16" t="n">
        <f aca="false">IFERROR(SUMIFS(ROTACAO_RDM!$B$6:$B$71,ROTACAO_RDM!$D$6:$D$71,$E64,ROTACAO_RDM!$I$6:$I$71,"&lt;="&amp;$C64+INT(DIAS_POR_SEMANA/2),ROTACAO_RDM!$J$6:$J$71,"&gt;="&amp;$C64+INT(DIAS_POR_SEMANA/2)),0)</f>
        <v>0</v>
      </c>
      <c r="J64" s="16" t="n">
        <f aca="false">IFERROR(MATCH($I64,ROTACAO_RDM!$B$6:$B$71,0),0)</f>
        <v>0</v>
      </c>
      <c r="K64" s="8" t="str">
        <f aca="false">IF($J64=0,"SEM CULTURA",INDEX(ROTACAO_RDM!$F$6:$F$71,$J64))</f>
        <v>SEM CULTURA</v>
      </c>
      <c r="L64" s="8" t="str">
        <f aca="false">IF($J64=0,"",INDEX(ROTACAO_RDM!$G$6:$G$71,$J64))</f>
        <v/>
      </c>
      <c r="M64" s="17" t="str">
        <f aca="false">IF($J64=0,"",INDEX(ROTACAO_RDM!$I$6:$I$71,$J64))</f>
        <v/>
      </c>
      <c r="N64" s="16" t="n">
        <f aca="false">IF($J64=0,0,MAX(0,$C64+INT(DIAS_POR_SEMANA/2)-INDEX(ROTACAO_RDM!$I$6:$I$71,$J64)))</f>
        <v>0</v>
      </c>
      <c r="O64" s="19" t="n">
        <f aca="false">IF($J64=0,0,MIN(1,$N64/MAX(1,INDEX(ROTACAO_RDM!$K$6:$K$71,$J64))))</f>
        <v>0</v>
      </c>
      <c r="P64" s="16" t="n">
        <f aca="false">IF($J64=0,0,IFERROR(MATCH(INDEX(ROTACAO_RDM!$N$6:$N$71,$J64),PARAMETROS_CULTURAS!$B$6:$B$28,0),0))</f>
        <v>0</v>
      </c>
      <c r="Q64" s="8" t="str">
        <f aca="false">IF($P64=0,"-",IF($O64&lt;=INDEX(PARAMETROS_CULTURAS!$F$6:$F$28,$P64),"INICIAL",IF($O64&lt;=INDEX(PARAMETROS_CULTURAS!$F$6:$F$28,$P64)+INDEX(PARAMETROS_CULTURAS!$G$6:$G$28,$P64),"DESENVOLVIMENTO",IF($O64&lt;=INDEX(PARAMETROS_CULTURAS!$F$6:$F$28,$P64)+INDEX(PARAMETROS_CULTURAS!$G$6:$G$28,$P64)+INDEX(PARAMETROS_CULTURAS!$H$6:$H$28,$P64),"MEDIA","FINAL"))))</f>
        <v>-</v>
      </c>
      <c r="R64" s="24" t="n">
        <f aca="false">IF($P64=0,0,IF($O64&lt;=INDEX(PARAMETROS_CULTURAS!$F$6:$F$28,$P64),INDEX(PARAMETROS_CULTURAS!$K$6:$K$28,$P64),IF($O64&lt;=INDEX(PARAMETROS_CULTURAS!$F$6:$F$28,$P64)+INDEX(PARAMETROS_CULTURAS!$G$6:$G$28,$P64),INDEX(PARAMETROS_CULTURAS!$K$6:$K$28,$P64)+(INDEX(PARAMETROS_CULTURAS!$L$6:$L$28,$P64)-INDEX(PARAMETROS_CULTURAS!$K$6:$K$28,$P64))*($O64-INDEX(PARAMETROS_CULTURAS!$F$6:$F$28,$P64))/MAX(INDEX(PARAMETROS_CULTURAS!$G$6:$G$28,$P64),0.0001),IF($O64&lt;=INDEX(PARAMETROS_CULTURAS!$F$6:$F$28,$P64)+INDEX(PARAMETROS_CULTURAS!$G$6:$G$28,$P64)+INDEX(PARAMETROS_CULTURAS!$H$6:$H$28,$P64),INDEX(PARAMETROS_CULTURAS!$L$6:$L$28,$P64),INDEX(PARAMETROS_CULTURAS!$L$6:$L$28,$P64)+(INDEX(PARAMETROS_CULTURAS!$M$6:$M$28,$P64)-INDEX(PARAMETROS_CULTURAS!$L$6:$L$28,$P64))*($O64-INDEX(PARAMETROS_CULTURAS!$F$6:$F$28,$P64)-INDEX(PARAMETROS_CULTURAS!$G$6:$G$28,$P64)-INDEX(PARAMETROS_CULTURAS!$H$6:$H$28,$P64))/MAX(INDEX(PARAMETROS_CULTURAS!$I$6:$I$28,$P64),0.0001)))))</f>
        <v>0</v>
      </c>
      <c r="S64" s="18" t="n">
        <f aca="false">IFERROR(INDEX(SEMANAS!$H$6:$H$71,MATCH($B64,SEMANAS!$B$6:$B$71,0)),0)</f>
        <v>39.2</v>
      </c>
      <c r="T64" s="18" t="n">
        <f aca="false">$R64*$S64</f>
        <v>0</v>
      </c>
      <c r="U64" s="18" t="n">
        <f aca="false">IFERROR(INDEX(SEMANAS!$I$6:$I$71,MATCH($B64,SEMANAS!$B$6:$B$71,0)),0)</f>
        <v>27.09</v>
      </c>
      <c r="V64" s="18" t="n">
        <f aca="false">IFERROR(INDEX(SEMANAS!$J$6:$J$71,MATCH($B64,SEMANAS!$B$6:$B$71,0)),0)</f>
        <v>21.672</v>
      </c>
      <c r="W64" s="18" t="n">
        <f aca="false">MAX(0,$T64-$V64)</f>
        <v>0</v>
      </c>
      <c r="X64" s="19" t="n">
        <f aca="false">IFERROR(INDEX(CADASTRO_PIVOS!$K$6:$K$41,MATCH($E64,CADASTRO_PIVOS!$B$6:$B$41,0)),EFICIENCIA_PADRAO)</f>
        <v>0.85</v>
      </c>
      <c r="Y64" s="18" t="n">
        <f aca="false">IF($X64&lt;=0,0,$W64/$X64)</f>
        <v>0</v>
      </c>
      <c r="Z64" s="16" t="n">
        <f aca="false">$Y64*$H64*MM_PARA_M3_HA</f>
        <v>0</v>
      </c>
      <c r="AA64" s="18" t="n">
        <f aca="false">IFERROR(INDEX(CADASTRO_PIVOS!$I$6:$I$41,MATCH($E64,CADASTRO_PIVOS!$B$6:$B$41,0)),0)</f>
        <v>702.214285714286</v>
      </c>
      <c r="AB64" s="18" t="n">
        <f aca="false">IF($Z64&lt;=0,0,$Z64/$AA64)</f>
        <v>0</v>
      </c>
      <c r="AC64" s="16" t="n">
        <f aca="false">IFERROR(INDEX(SEMANAS!$K$6:$K$71,MATCH($B64,SEMANAS!$B$6:$B$71,0)),0)</f>
        <v>147</v>
      </c>
      <c r="AD64" s="19" t="n">
        <f aca="false">IF($AC64&lt;=0,0,$AB64/$AC64)</f>
        <v>0</v>
      </c>
      <c r="AE64" s="8" t="str">
        <f aca="false">IF($K64="SEM CULTURA","SEM CULTURA",IF($AA64&lt;=0,"DADO PENDENTE",IF($AD64&gt;LIMITE_CRITICO,"INVIAVEL",IF($AD64&gt;LIMITE_ATENCAO,"CRITICO",IF($AD64&gt;LIMITE_CONFORTAVEL,"ATENCAO","OK")))))</f>
        <v>SEM CULTURA</v>
      </c>
      <c r="AF64" s="8" t="str">
        <f aca="false">$B64&amp;"|"&amp;TEXT($AD64,"0.000000")</f>
        <v>59|0.000000</v>
      </c>
      <c r="AG64" s="18" t="n">
        <f aca="false">IF($K64="SEM CULTURA",0,$T64*$H64)</f>
        <v>0</v>
      </c>
      <c r="AH64" s="18" t="n">
        <f aca="false">IF($K64="SEM CULTURA",0,$V64*$H64)</f>
        <v>0</v>
      </c>
      <c r="AI64" s="18" t="n">
        <f aca="false">IF($K64="SEM CULTURA",0,$W64*$H64)</f>
        <v>0</v>
      </c>
      <c r="AJ64" s="18" t="n">
        <f aca="false">IF($K64="SEM CULTURA",0,$S64*$H64)</f>
        <v>0</v>
      </c>
      <c r="AK64" s="8" t="str">
        <f aca="false">$E64&amp;"|"&amp;TEXT($AD64,"0.000000")</f>
        <v>PV 109|0.000000</v>
      </c>
    </row>
    <row r="65" customFormat="false" ht="15" hidden="false" customHeight="false" outlineLevel="0" collapsed="false">
      <c r="B65" s="16" t="n">
        <v>60</v>
      </c>
      <c r="C65" s="17" t="n">
        <f aca="false">DATA_INICIO_SAFRA+($B65-1)*DIAS_POR_SEMANA</f>
        <v>46678</v>
      </c>
      <c r="D65" s="17" t="n">
        <f aca="false">$C65+DIAS_POR_SEMANA-1</f>
        <v>46684</v>
      </c>
      <c r="E65" s="15" t="s">
        <v>259</v>
      </c>
      <c r="F65" s="8" t="str">
        <f aca="false">IFERROR(INDEX(CADASTRO_PIVOS!$C$6:$C$41,MATCH($E65,CADASTRO_PIVOS!$B$6:$B$41,0)),"?")</f>
        <v>RM01</v>
      </c>
      <c r="G65" s="8" t="str">
        <f aca="false">IFERROR(INDEX(CADASTRO_PIVOS!$D$6:$D$41,MATCH($E65,CADASTRO_PIVOS!$B$6:$B$41,0)),"?")</f>
        <v>TR01</v>
      </c>
      <c r="H65" s="20" t="n">
        <f aca="false">IFERROR(INDEX(CADASTRO_PIVOS!$E$6:$E$41,MATCH($E65,CADASTRO_PIVOS!$B$6:$B$41,0)),0)</f>
        <v>98.31</v>
      </c>
      <c r="I65" s="16" t="n">
        <f aca="false">IFERROR(SUMIFS(ROTACAO_RDM!$B$6:$B$71,ROTACAO_RDM!$D$6:$D$71,$E65,ROTACAO_RDM!$I$6:$I$71,"&lt;="&amp;$C65+INT(DIAS_POR_SEMANA/2),ROTACAO_RDM!$J$6:$J$71,"&gt;="&amp;$C65+INT(DIAS_POR_SEMANA/2)),0)</f>
        <v>0</v>
      </c>
      <c r="J65" s="16" t="n">
        <f aca="false">IFERROR(MATCH($I65,ROTACAO_RDM!$B$6:$B$71,0),0)</f>
        <v>0</v>
      </c>
      <c r="K65" s="8" t="str">
        <f aca="false">IF($J65=0,"SEM CULTURA",INDEX(ROTACAO_RDM!$F$6:$F$71,$J65))</f>
        <v>SEM CULTURA</v>
      </c>
      <c r="L65" s="8" t="str">
        <f aca="false">IF($J65=0,"",INDEX(ROTACAO_RDM!$G$6:$G$71,$J65))</f>
        <v/>
      </c>
      <c r="M65" s="17" t="str">
        <f aca="false">IF($J65=0,"",INDEX(ROTACAO_RDM!$I$6:$I$71,$J65))</f>
        <v/>
      </c>
      <c r="N65" s="16" t="n">
        <f aca="false">IF($J65=0,0,MAX(0,$C65+INT(DIAS_POR_SEMANA/2)-INDEX(ROTACAO_RDM!$I$6:$I$71,$J65)))</f>
        <v>0</v>
      </c>
      <c r="O65" s="19" t="n">
        <f aca="false">IF($J65=0,0,MIN(1,$N65/MAX(1,INDEX(ROTACAO_RDM!$K$6:$K$71,$J65))))</f>
        <v>0</v>
      </c>
      <c r="P65" s="16" t="n">
        <f aca="false">IF($J65=0,0,IFERROR(MATCH(INDEX(ROTACAO_RDM!$N$6:$N$71,$J65),PARAMETROS_CULTURAS!$B$6:$B$28,0),0))</f>
        <v>0</v>
      </c>
      <c r="Q65" s="8" t="str">
        <f aca="false">IF($P65=0,"-",IF($O65&lt;=INDEX(PARAMETROS_CULTURAS!$F$6:$F$28,$P65),"INICIAL",IF($O65&lt;=INDEX(PARAMETROS_CULTURAS!$F$6:$F$28,$P65)+INDEX(PARAMETROS_CULTURAS!$G$6:$G$28,$P65),"DESENVOLVIMENTO",IF($O65&lt;=INDEX(PARAMETROS_CULTURAS!$F$6:$F$28,$P65)+INDEX(PARAMETROS_CULTURAS!$G$6:$G$28,$P65)+INDEX(PARAMETROS_CULTURAS!$H$6:$H$28,$P65),"MEDIA","FINAL"))))</f>
        <v>-</v>
      </c>
      <c r="R65" s="24" t="n">
        <f aca="false">IF($P65=0,0,IF($O65&lt;=INDEX(PARAMETROS_CULTURAS!$F$6:$F$28,$P65),INDEX(PARAMETROS_CULTURAS!$K$6:$K$28,$P65),IF($O65&lt;=INDEX(PARAMETROS_CULTURAS!$F$6:$F$28,$P65)+INDEX(PARAMETROS_CULTURAS!$G$6:$G$28,$P65),INDEX(PARAMETROS_CULTURAS!$K$6:$K$28,$P65)+(INDEX(PARAMETROS_CULTURAS!$L$6:$L$28,$P65)-INDEX(PARAMETROS_CULTURAS!$K$6:$K$28,$P65))*($O65-INDEX(PARAMETROS_CULTURAS!$F$6:$F$28,$P65))/MAX(INDEX(PARAMETROS_CULTURAS!$G$6:$G$28,$P65),0.0001),IF($O65&lt;=INDEX(PARAMETROS_CULTURAS!$F$6:$F$28,$P65)+INDEX(PARAMETROS_CULTURAS!$G$6:$G$28,$P65)+INDEX(PARAMETROS_CULTURAS!$H$6:$H$28,$P65),INDEX(PARAMETROS_CULTURAS!$L$6:$L$28,$P65),INDEX(PARAMETROS_CULTURAS!$L$6:$L$28,$P65)+(INDEX(PARAMETROS_CULTURAS!$M$6:$M$28,$P65)-INDEX(PARAMETROS_CULTURAS!$L$6:$L$28,$P65))*($O65-INDEX(PARAMETROS_CULTURAS!$F$6:$F$28,$P65)-INDEX(PARAMETROS_CULTURAS!$G$6:$G$28,$P65)-INDEX(PARAMETROS_CULTURAS!$H$6:$H$28,$P65))/MAX(INDEX(PARAMETROS_CULTURAS!$I$6:$I$28,$P65),0.0001)))))</f>
        <v>0</v>
      </c>
      <c r="S65" s="18" t="n">
        <f aca="false">IFERROR(INDEX(SEMANAS!$H$6:$H$71,MATCH($B65,SEMANAS!$B$6:$B$71,0)),0)</f>
        <v>39.2</v>
      </c>
      <c r="T65" s="18" t="n">
        <f aca="false">$R65*$S65</f>
        <v>0</v>
      </c>
      <c r="U65" s="18" t="n">
        <f aca="false">IFERROR(INDEX(SEMANAS!$I$6:$I$71,MATCH($B65,SEMANAS!$B$6:$B$71,0)),0)</f>
        <v>27.09</v>
      </c>
      <c r="V65" s="18" t="n">
        <f aca="false">IFERROR(INDEX(SEMANAS!$J$6:$J$71,MATCH($B65,SEMANAS!$B$6:$B$71,0)),0)</f>
        <v>21.672</v>
      </c>
      <c r="W65" s="18" t="n">
        <f aca="false">MAX(0,$T65-$V65)</f>
        <v>0</v>
      </c>
      <c r="X65" s="19" t="n">
        <f aca="false">IFERROR(INDEX(CADASTRO_PIVOS!$K$6:$K$41,MATCH($E65,CADASTRO_PIVOS!$B$6:$B$41,0)),EFICIENCIA_PADRAO)</f>
        <v>0.85</v>
      </c>
      <c r="Y65" s="18" t="n">
        <f aca="false">IF($X65&lt;=0,0,$W65/$X65)</f>
        <v>0</v>
      </c>
      <c r="Z65" s="16" t="n">
        <f aca="false">$Y65*$H65*MM_PARA_M3_HA</f>
        <v>0</v>
      </c>
      <c r="AA65" s="18" t="n">
        <f aca="false">IFERROR(INDEX(CADASTRO_PIVOS!$I$6:$I$41,MATCH($E65,CADASTRO_PIVOS!$B$6:$B$41,0)),0)</f>
        <v>702.214285714286</v>
      </c>
      <c r="AB65" s="18" t="n">
        <f aca="false">IF($Z65&lt;=0,0,$Z65/$AA65)</f>
        <v>0</v>
      </c>
      <c r="AC65" s="16" t="n">
        <f aca="false">IFERROR(INDEX(SEMANAS!$K$6:$K$71,MATCH($B65,SEMANAS!$B$6:$B$71,0)),0)</f>
        <v>147</v>
      </c>
      <c r="AD65" s="19" t="n">
        <f aca="false">IF($AC65&lt;=0,0,$AB65/$AC65)</f>
        <v>0</v>
      </c>
      <c r="AE65" s="8" t="str">
        <f aca="false">IF($K65="SEM CULTURA","SEM CULTURA",IF($AA65&lt;=0,"DADO PENDENTE",IF($AD65&gt;LIMITE_CRITICO,"INVIAVEL",IF($AD65&gt;LIMITE_ATENCAO,"CRITICO",IF($AD65&gt;LIMITE_CONFORTAVEL,"ATENCAO","OK")))))</f>
        <v>SEM CULTURA</v>
      </c>
      <c r="AF65" s="8" t="str">
        <f aca="false">$B65&amp;"|"&amp;TEXT($AD65,"0.000000")</f>
        <v>60|0.000000</v>
      </c>
      <c r="AG65" s="18" t="n">
        <f aca="false">IF($K65="SEM CULTURA",0,$T65*$H65)</f>
        <v>0</v>
      </c>
      <c r="AH65" s="18" t="n">
        <f aca="false">IF($K65="SEM CULTURA",0,$V65*$H65)</f>
        <v>0</v>
      </c>
      <c r="AI65" s="18" t="n">
        <f aca="false">IF($K65="SEM CULTURA",0,$W65*$H65)</f>
        <v>0</v>
      </c>
      <c r="AJ65" s="18" t="n">
        <f aca="false">IF($K65="SEM CULTURA",0,$S65*$H65)</f>
        <v>0</v>
      </c>
      <c r="AK65" s="8" t="str">
        <f aca="false">$E65&amp;"|"&amp;TEXT($AD65,"0.000000")</f>
        <v>PV 109|0.000000</v>
      </c>
    </row>
    <row r="66" customFormat="false" ht="15" hidden="false" customHeight="false" outlineLevel="0" collapsed="false">
      <c r="B66" s="16" t="n">
        <v>61</v>
      </c>
      <c r="C66" s="17" t="n">
        <f aca="false">DATA_INICIO_SAFRA+($B66-1)*DIAS_POR_SEMANA</f>
        <v>46685</v>
      </c>
      <c r="D66" s="17" t="n">
        <f aca="false">$C66+DIAS_POR_SEMANA-1</f>
        <v>46691</v>
      </c>
      <c r="E66" s="15" t="s">
        <v>259</v>
      </c>
      <c r="F66" s="8" t="str">
        <f aca="false">IFERROR(INDEX(CADASTRO_PIVOS!$C$6:$C$41,MATCH($E66,CADASTRO_PIVOS!$B$6:$B$41,0)),"?")</f>
        <v>RM01</v>
      </c>
      <c r="G66" s="8" t="str">
        <f aca="false">IFERROR(INDEX(CADASTRO_PIVOS!$D$6:$D$41,MATCH($E66,CADASTRO_PIVOS!$B$6:$B$41,0)),"?")</f>
        <v>TR01</v>
      </c>
      <c r="H66" s="20" t="n">
        <f aca="false">IFERROR(INDEX(CADASTRO_PIVOS!$E$6:$E$41,MATCH($E66,CADASTRO_PIVOS!$B$6:$B$41,0)),0)</f>
        <v>98.31</v>
      </c>
      <c r="I66" s="16" t="n">
        <f aca="false">IFERROR(SUMIFS(ROTACAO_RDM!$B$6:$B$71,ROTACAO_RDM!$D$6:$D$71,$E66,ROTACAO_RDM!$I$6:$I$71,"&lt;="&amp;$C66+INT(DIAS_POR_SEMANA/2),ROTACAO_RDM!$J$6:$J$71,"&gt;="&amp;$C66+INT(DIAS_POR_SEMANA/2)),0)</f>
        <v>0</v>
      </c>
      <c r="J66" s="16" t="n">
        <f aca="false">IFERROR(MATCH($I66,ROTACAO_RDM!$B$6:$B$71,0),0)</f>
        <v>0</v>
      </c>
      <c r="K66" s="8" t="str">
        <f aca="false">IF($J66=0,"SEM CULTURA",INDEX(ROTACAO_RDM!$F$6:$F$71,$J66))</f>
        <v>SEM CULTURA</v>
      </c>
      <c r="L66" s="8" t="str">
        <f aca="false">IF($J66=0,"",INDEX(ROTACAO_RDM!$G$6:$G$71,$J66))</f>
        <v/>
      </c>
      <c r="M66" s="17" t="str">
        <f aca="false">IF($J66=0,"",INDEX(ROTACAO_RDM!$I$6:$I$71,$J66))</f>
        <v/>
      </c>
      <c r="N66" s="16" t="n">
        <f aca="false">IF($J66=0,0,MAX(0,$C66+INT(DIAS_POR_SEMANA/2)-INDEX(ROTACAO_RDM!$I$6:$I$71,$J66)))</f>
        <v>0</v>
      </c>
      <c r="O66" s="19" t="n">
        <f aca="false">IF($J66=0,0,MIN(1,$N66/MAX(1,INDEX(ROTACAO_RDM!$K$6:$K$71,$J66))))</f>
        <v>0</v>
      </c>
      <c r="P66" s="16" t="n">
        <f aca="false">IF($J66=0,0,IFERROR(MATCH(INDEX(ROTACAO_RDM!$N$6:$N$71,$J66),PARAMETROS_CULTURAS!$B$6:$B$28,0),0))</f>
        <v>0</v>
      </c>
      <c r="Q66" s="8" t="str">
        <f aca="false">IF($P66=0,"-",IF($O66&lt;=INDEX(PARAMETROS_CULTURAS!$F$6:$F$28,$P66),"INICIAL",IF($O66&lt;=INDEX(PARAMETROS_CULTURAS!$F$6:$F$28,$P66)+INDEX(PARAMETROS_CULTURAS!$G$6:$G$28,$P66),"DESENVOLVIMENTO",IF($O66&lt;=INDEX(PARAMETROS_CULTURAS!$F$6:$F$28,$P66)+INDEX(PARAMETROS_CULTURAS!$G$6:$G$28,$P66)+INDEX(PARAMETROS_CULTURAS!$H$6:$H$28,$P66),"MEDIA","FINAL"))))</f>
        <v>-</v>
      </c>
      <c r="R66" s="24" t="n">
        <f aca="false">IF($P66=0,0,IF($O66&lt;=INDEX(PARAMETROS_CULTURAS!$F$6:$F$28,$P66),INDEX(PARAMETROS_CULTURAS!$K$6:$K$28,$P66),IF($O66&lt;=INDEX(PARAMETROS_CULTURAS!$F$6:$F$28,$P66)+INDEX(PARAMETROS_CULTURAS!$G$6:$G$28,$P66),INDEX(PARAMETROS_CULTURAS!$K$6:$K$28,$P66)+(INDEX(PARAMETROS_CULTURAS!$L$6:$L$28,$P66)-INDEX(PARAMETROS_CULTURAS!$K$6:$K$28,$P66))*($O66-INDEX(PARAMETROS_CULTURAS!$F$6:$F$28,$P66))/MAX(INDEX(PARAMETROS_CULTURAS!$G$6:$G$28,$P66),0.0001),IF($O66&lt;=INDEX(PARAMETROS_CULTURAS!$F$6:$F$28,$P66)+INDEX(PARAMETROS_CULTURAS!$G$6:$G$28,$P66)+INDEX(PARAMETROS_CULTURAS!$H$6:$H$28,$P66),INDEX(PARAMETROS_CULTURAS!$L$6:$L$28,$P66),INDEX(PARAMETROS_CULTURAS!$L$6:$L$28,$P66)+(INDEX(PARAMETROS_CULTURAS!$M$6:$M$28,$P66)-INDEX(PARAMETROS_CULTURAS!$L$6:$L$28,$P66))*($O66-INDEX(PARAMETROS_CULTURAS!$F$6:$F$28,$P66)-INDEX(PARAMETROS_CULTURAS!$G$6:$G$28,$P66)-INDEX(PARAMETROS_CULTURAS!$H$6:$H$28,$P66))/MAX(INDEX(PARAMETROS_CULTURAS!$I$6:$I$28,$P66),0.0001)))))</f>
        <v>0</v>
      </c>
      <c r="S66" s="18" t="n">
        <f aca="false">IFERROR(INDEX(SEMANAS!$H$6:$H$71,MATCH($B66,SEMANAS!$B$6:$B$71,0)),0)</f>
        <v>39.2</v>
      </c>
      <c r="T66" s="18" t="n">
        <f aca="false">$R66*$S66</f>
        <v>0</v>
      </c>
      <c r="U66" s="18" t="n">
        <f aca="false">IFERROR(INDEX(SEMANAS!$I$6:$I$71,MATCH($B66,SEMANAS!$B$6:$B$71,0)),0)</f>
        <v>27.09</v>
      </c>
      <c r="V66" s="18" t="n">
        <f aca="false">IFERROR(INDEX(SEMANAS!$J$6:$J$71,MATCH($B66,SEMANAS!$B$6:$B$71,0)),0)</f>
        <v>21.672</v>
      </c>
      <c r="W66" s="18" t="n">
        <f aca="false">MAX(0,$T66-$V66)</f>
        <v>0</v>
      </c>
      <c r="X66" s="19" t="n">
        <f aca="false">IFERROR(INDEX(CADASTRO_PIVOS!$K$6:$K$41,MATCH($E66,CADASTRO_PIVOS!$B$6:$B$41,0)),EFICIENCIA_PADRAO)</f>
        <v>0.85</v>
      </c>
      <c r="Y66" s="18" t="n">
        <f aca="false">IF($X66&lt;=0,0,$W66/$X66)</f>
        <v>0</v>
      </c>
      <c r="Z66" s="16" t="n">
        <f aca="false">$Y66*$H66*MM_PARA_M3_HA</f>
        <v>0</v>
      </c>
      <c r="AA66" s="18" t="n">
        <f aca="false">IFERROR(INDEX(CADASTRO_PIVOS!$I$6:$I$41,MATCH($E66,CADASTRO_PIVOS!$B$6:$B$41,0)),0)</f>
        <v>702.214285714286</v>
      </c>
      <c r="AB66" s="18" t="n">
        <f aca="false">IF($Z66&lt;=0,0,$Z66/$AA66)</f>
        <v>0</v>
      </c>
      <c r="AC66" s="16" t="n">
        <f aca="false">IFERROR(INDEX(SEMANAS!$K$6:$K$71,MATCH($B66,SEMANAS!$B$6:$B$71,0)),0)</f>
        <v>147</v>
      </c>
      <c r="AD66" s="19" t="n">
        <f aca="false">IF($AC66&lt;=0,0,$AB66/$AC66)</f>
        <v>0</v>
      </c>
      <c r="AE66" s="8" t="str">
        <f aca="false">IF($K66="SEM CULTURA","SEM CULTURA",IF($AA66&lt;=0,"DADO PENDENTE",IF($AD66&gt;LIMITE_CRITICO,"INVIAVEL",IF($AD66&gt;LIMITE_ATENCAO,"CRITICO",IF($AD66&gt;LIMITE_CONFORTAVEL,"ATENCAO","OK")))))</f>
        <v>SEM CULTURA</v>
      </c>
      <c r="AF66" s="8" t="str">
        <f aca="false">$B66&amp;"|"&amp;TEXT($AD66,"0.000000")</f>
        <v>61|0.000000</v>
      </c>
      <c r="AG66" s="18" t="n">
        <f aca="false">IF($K66="SEM CULTURA",0,$T66*$H66)</f>
        <v>0</v>
      </c>
      <c r="AH66" s="18" t="n">
        <f aca="false">IF($K66="SEM CULTURA",0,$V66*$H66)</f>
        <v>0</v>
      </c>
      <c r="AI66" s="18" t="n">
        <f aca="false">IF($K66="SEM CULTURA",0,$W66*$H66)</f>
        <v>0</v>
      </c>
      <c r="AJ66" s="18" t="n">
        <f aca="false">IF($K66="SEM CULTURA",0,$S66*$H66)</f>
        <v>0</v>
      </c>
      <c r="AK66" s="8" t="str">
        <f aca="false">$E66&amp;"|"&amp;TEXT($AD66,"0.000000")</f>
        <v>PV 109|0.000000</v>
      </c>
    </row>
    <row r="67" customFormat="false" ht="15" hidden="false" customHeight="false" outlineLevel="0" collapsed="false">
      <c r="B67" s="16" t="n">
        <v>62</v>
      </c>
      <c r="C67" s="17" t="n">
        <f aca="false">DATA_INICIO_SAFRA+($B67-1)*DIAS_POR_SEMANA</f>
        <v>46692</v>
      </c>
      <c r="D67" s="17" t="n">
        <f aca="false">$C67+DIAS_POR_SEMANA-1</f>
        <v>46698</v>
      </c>
      <c r="E67" s="15" t="s">
        <v>259</v>
      </c>
      <c r="F67" s="8" t="str">
        <f aca="false">IFERROR(INDEX(CADASTRO_PIVOS!$C$6:$C$41,MATCH($E67,CADASTRO_PIVOS!$B$6:$B$41,0)),"?")</f>
        <v>RM01</v>
      </c>
      <c r="G67" s="8" t="str">
        <f aca="false">IFERROR(INDEX(CADASTRO_PIVOS!$D$6:$D$41,MATCH($E67,CADASTRO_PIVOS!$B$6:$B$41,0)),"?")</f>
        <v>TR01</v>
      </c>
      <c r="H67" s="20" t="n">
        <f aca="false">IFERROR(INDEX(CADASTRO_PIVOS!$E$6:$E$41,MATCH($E67,CADASTRO_PIVOS!$B$6:$B$41,0)),0)</f>
        <v>98.31</v>
      </c>
      <c r="I67" s="16" t="n">
        <f aca="false">IFERROR(SUMIFS(ROTACAO_RDM!$B$6:$B$71,ROTACAO_RDM!$D$6:$D$71,$E67,ROTACAO_RDM!$I$6:$I$71,"&lt;="&amp;$C67+INT(DIAS_POR_SEMANA/2),ROTACAO_RDM!$J$6:$J$71,"&gt;="&amp;$C67+INT(DIAS_POR_SEMANA/2)),0)</f>
        <v>0</v>
      </c>
      <c r="J67" s="16" t="n">
        <f aca="false">IFERROR(MATCH($I67,ROTACAO_RDM!$B$6:$B$71,0),0)</f>
        <v>0</v>
      </c>
      <c r="K67" s="8" t="str">
        <f aca="false">IF($J67=0,"SEM CULTURA",INDEX(ROTACAO_RDM!$F$6:$F$71,$J67))</f>
        <v>SEM CULTURA</v>
      </c>
      <c r="L67" s="8" t="str">
        <f aca="false">IF($J67=0,"",INDEX(ROTACAO_RDM!$G$6:$G$71,$J67))</f>
        <v/>
      </c>
      <c r="M67" s="17" t="str">
        <f aca="false">IF($J67=0,"",INDEX(ROTACAO_RDM!$I$6:$I$71,$J67))</f>
        <v/>
      </c>
      <c r="N67" s="16" t="n">
        <f aca="false">IF($J67=0,0,MAX(0,$C67+INT(DIAS_POR_SEMANA/2)-INDEX(ROTACAO_RDM!$I$6:$I$71,$J67)))</f>
        <v>0</v>
      </c>
      <c r="O67" s="19" t="n">
        <f aca="false">IF($J67=0,0,MIN(1,$N67/MAX(1,INDEX(ROTACAO_RDM!$K$6:$K$71,$J67))))</f>
        <v>0</v>
      </c>
      <c r="P67" s="16" t="n">
        <f aca="false">IF($J67=0,0,IFERROR(MATCH(INDEX(ROTACAO_RDM!$N$6:$N$71,$J67),PARAMETROS_CULTURAS!$B$6:$B$28,0),0))</f>
        <v>0</v>
      </c>
      <c r="Q67" s="8" t="str">
        <f aca="false">IF($P67=0,"-",IF($O67&lt;=INDEX(PARAMETROS_CULTURAS!$F$6:$F$28,$P67),"INICIAL",IF($O67&lt;=INDEX(PARAMETROS_CULTURAS!$F$6:$F$28,$P67)+INDEX(PARAMETROS_CULTURAS!$G$6:$G$28,$P67),"DESENVOLVIMENTO",IF($O67&lt;=INDEX(PARAMETROS_CULTURAS!$F$6:$F$28,$P67)+INDEX(PARAMETROS_CULTURAS!$G$6:$G$28,$P67)+INDEX(PARAMETROS_CULTURAS!$H$6:$H$28,$P67),"MEDIA","FINAL"))))</f>
        <v>-</v>
      </c>
      <c r="R67" s="24" t="n">
        <f aca="false">IF($P67=0,0,IF($O67&lt;=INDEX(PARAMETROS_CULTURAS!$F$6:$F$28,$P67),INDEX(PARAMETROS_CULTURAS!$K$6:$K$28,$P67),IF($O67&lt;=INDEX(PARAMETROS_CULTURAS!$F$6:$F$28,$P67)+INDEX(PARAMETROS_CULTURAS!$G$6:$G$28,$P67),INDEX(PARAMETROS_CULTURAS!$K$6:$K$28,$P67)+(INDEX(PARAMETROS_CULTURAS!$L$6:$L$28,$P67)-INDEX(PARAMETROS_CULTURAS!$K$6:$K$28,$P67))*($O67-INDEX(PARAMETROS_CULTURAS!$F$6:$F$28,$P67))/MAX(INDEX(PARAMETROS_CULTURAS!$G$6:$G$28,$P67),0.0001),IF($O67&lt;=INDEX(PARAMETROS_CULTURAS!$F$6:$F$28,$P67)+INDEX(PARAMETROS_CULTURAS!$G$6:$G$28,$P67)+INDEX(PARAMETROS_CULTURAS!$H$6:$H$28,$P67),INDEX(PARAMETROS_CULTURAS!$L$6:$L$28,$P67),INDEX(PARAMETROS_CULTURAS!$L$6:$L$28,$P67)+(INDEX(PARAMETROS_CULTURAS!$M$6:$M$28,$P67)-INDEX(PARAMETROS_CULTURAS!$L$6:$L$28,$P67))*($O67-INDEX(PARAMETROS_CULTURAS!$F$6:$F$28,$P67)-INDEX(PARAMETROS_CULTURAS!$G$6:$G$28,$P67)-INDEX(PARAMETROS_CULTURAS!$H$6:$H$28,$P67))/MAX(INDEX(PARAMETROS_CULTURAS!$I$6:$I$28,$P67),0.0001)))))</f>
        <v>0</v>
      </c>
      <c r="S67" s="18" t="n">
        <f aca="false">IFERROR(INDEX(SEMANAS!$H$6:$H$71,MATCH($B67,SEMANAS!$B$6:$B$71,0)),0)</f>
        <v>34.3</v>
      </c>
      <c r="T67" s="18" t="n">
        <f aca="false">$R67*$S67</f>
        <v>0</v>
      </c>
      <c r="U67" s="18" t="n">
        <f aca="false">IFERROR(INDEX(SEMANAS!$I$6:$I$71,MATCH($B67,SEMANAS!$B$6:$B$71,0)),0)</f>
        <v>46.69</v>
      </c>
      <c r="V67" s="18" t="n">
        <f aca="false">IFERROR(INDEX(SEMANAS!$J$6:$J$71,MATCH($B67,SEMANAS!$B$6:$B$71,0)),0)</f>
        <v>37.352</v>
      </c>
      <c r="W67" s="18" t="n">
        <f aca="false">MAX(0,$T67-$V67)</f>
        <v>0</v>
      </c>
      <c r="X67" s="19" t="n">
        <f aca="false">IFERROR(INDEX(CADASTRO_PIVOS!$K$6:$K$41,MATCH($E67,CADASTRO_PIVOS!$B$6:$B$41,0)),EFICIENCIA_PADRAO)</f>
        <v>0.85</v>
      </c>
      <c r="Y67" s="18" t="n">
        <f aca="false">IF($X67&lt;=0,0,$W67/$X67)</f>
        <v>0</v>
      </c>
      <c r="Z67" s="16" t="n">
        <f aca="false">$Y67*$H67*MM_PARA_M3_HA</f>
        <v>0</v>
      </c>
      <c r="AA67" s="18" t="n">
        <f aca="false">IFERROR(INDEX(CADASTRO_PIVOS!$I$6:$I$41,MATCH($E67,CADASTRO_PIVOS!$B$6:$B$41,0)),0)</f>
        <v>702.214285714286</v>
      </c>
      <c r="AB67" s="18" t="n">
        <f aca="false">IF($Z67&lt;=0,0,$Z67/$AA67)</f>
        <v>0</v>
      </c>
      <c r="AC67" s="16" t="n">
        <f aca="false">IFERROR(INDEX(SEMANAS!$K$6:$K$71,MATCH($B67,SEMANAS!$B$6:$B$71,0)),0)</f>
        <v>147</v>
      </c>
      <c r="AD67" s="19" t="n">
        <f aca="false">IF($AC67&lt;=0,0,$AB67/$AC67)</f>
        <v>0</v>
      </c>
      <c r="AE67" s="8" t="str">
        <f aca="false">IF($K67="SEM CULTURA","SEM CULTURA",IF($AA67&lt;=0,"DADO PENDENTE",IF($AD67&gt;LIMITE_CRITICO,"INVIAVEL",IF($AD67&gt;LIMITE_ATENCAO,"CRITICO",IF($AD67&gt;LIMITE_CONFORTAVEL,"ATENCAO","OK")))))</f>
        <v>SEM CULTURA</v>
      </c>
      <c r="AF67" s="8" t="str">
        <f aca="false">$B67&amp;"|"&amp;TEXT($AD67,"0.000000")</f>
        <v>62|0.000000</v>
      </c>
      <c r="AG67" s="18" t="n">
        <f aca="false">IF($K67="SEM CULTURA",0,$T67*$H67)</f>
        <v>0</v>
      </c>
      <c r="AH67" s="18" t="n">
        <f aca="false">IF($K67="SEM CULTURA",0,$V67*$H67)</f>
        <v>0</v>
      </c>
      <c r="AI67" s="18" t="n">
        <f aca="false">IF($K67="SEM CULTURA",0,$W67*$H67)</f>
        <v>0</v>
      </c>
      <c r="AJ67" s="18" t="n">
        <f aca="false">IF($K67="SEM CULTURA",0,$S67*$H67)</f>
        <v>0</v>
      </c>
      <c r="AK67" s="8" t="str">
        <f aca="false">$E67&amp;"|"&amp;TEXT($AD67,"0.000000")</f>
        <v>PV 109|0.000000</v>
      </c>
    </row>
    <row r="68" customFormat="false" ht="15" hidden="false" customHeight="false" outlineLevel="0" collapsed="false">
      <c r="B68" s="16" t="n">
        <v>63</v>
      </c>
      <c r="C68" s="17" t="n">
        <f aca="false">DATA_INICIO_SAFRA+($B68-1)*DIAS_POR_SEMANA</f>
        <v>46699</v>
      </c>
      <c r="D68" s="17" t="n">
        <f aca="false">$C68+DIAS_POR_SEMANA-1</f>
        <v>46705</v>
      </c>
      <c r="E68" s="15" t="s">
        <v>259</v>
      </c>
      <c r="F68" s="8" t="str">
        <f aca="false">IFERROR(INDEX(CADASTRO_PIVOS!$C$6:$C$41,MATCH($E68,CADASTRO_PIVOS!$B$6:$B$41,0)),"?")</f>
        <v>RM01</v>
      </c>
      <c r="G68" s="8" t="str">
        <f aca="false">IFERROR(INDEX(CADASTRO_PIVOS!$D$6:$D$41,MATCH($E68,CADASTRO_PIVOS!$B$6:$B$41,0)),"?")</f>
        <v>TR01</v>
      </c>
      <c r="H68" s="20" t="n">
        <f aca="false">IFERROR(INDEX(CADASTRO_PIVOS!$E$6:$E$41,MATCH($E68,CADASTRO_PIVOS!$B$6:$B$41,0)),0)</f>
        <v>98.31</v>
      </c>
      <c r="I68" s="16" t="n">
        <f aca="false">IFERROR(SUMIFS(ROTACAO_RDM!$B$6:$B$71,ROTACAO_RDM!$D$6:$D$71,$E68,ROTACAO_RDM!$I$6:$I$71,"&lt;="&amp;$C68+INT(DIAS_POR_SEMANA/2),ROTACAO_RDM!$J$6:$J$71,"&gt;="&amp;$C68+INT(DIAS_POR_SEMANA/2)),0)</f>
        <v>0</v>
      </c>
      <c r="J68" s="16" t="n">
        <f aca="false">IFERROR(MATCH($I68,ROTACAO_RDM!$B$6:$B$71,0),0)</f>
        <v>0</v>
      </c>
      <c r="K68" s="8" t="str">
        <f aca="false">IF($J68=0,"SEM CULTURA",INDEX(ROTACAO_RDM!$F$6:$F$71,$J68))</f>
        <v>SEM CULTURA</v>
      </c>
      <c r="L68" s="8" t="str">
        <f aca="false">IF($J68=0,"",INDEX(ROTACAO_RDM!$G$6:$G$71,$J68))</f>
        <v/>
      </c>
      <c r="M68" s="17" t="str">
        <f aca="false">IF($J68=0,"",INDEX(ROTACAO_RDM!$I$6:$I$71,$J68))</f>
        <v/>
      </c>
      <c r="N68" s="16" t="n">
        <f aca="false">IF($J68=0,0,MAX(0,$C68+INT(DIAS_POR_SEMANA/2)-INDEX(ROTACAO_RDM!$I$6:$I$71,$J68)))</f>
        <v>0</v>
      </c>
      <c r="O68" s="19" t="n">
        <f aca="false">IF($J68=0,0,MIN(1,$N68/MAX(1,INDEX(ROTACAO_RDM!$K$6:$K$71,$J68))))</f>
        <v>0</v>
      </c>
      <c r="P68" s="16" t="n">
        <f aca="false">IF($J68=0,0,IFERROR(MATCH(INDEX(ROTACAO_RDM!$N$6:$N$71,$J68),PARAMETROS_CULTURAS!$B$6:$B$28,0),0))</f>
        <v>0</v>
      </c>
      <c r="Q68" s="8" t="str">
        <f aca="false">IF($P68=0,"-",IF($O68&lt;=INDEX(PARAMETROS_CULTURAS!$F$6:$F$28,$P68),"INICIAL",IF($O68&lt;=INDEX(PARAMETROS_CULTURAS!$F$6:$F$28,$P68)+INDEX(PARAMETROS_CULTURAS!$G$6:$G$28,$P68),"DESENVOLVIMENTO",IF($O68&lt;=INDEX(PARAMETROS_CULTURAS!$F$6:$F$28,$P68)+INDEX(PARAMETROS_CULTURAS!$G$6:$G$28,$P68)+INDEX(PARAMETROS_CULTURAS!$H$6:$H$28,$P68),"MEDIA","FINAL"))))</f>
        <v>-</v>
      </c>
      <c r="R68" s="24" t="n">
        <f aca="false">IF($P68=0,0,IF($O68&lt;=INDEX(PARAMETROS_CULTURAS!$F$6:$F$28,$P68),INDEX(PARAMETROS_CULTURAS!$K$6:$K$28,$P68),IF($O68&lt;=INDEX(PARAMETROS_CULTURAS!$F$6:$F$28,$P68)+INDEX(PARAMETROS_CULTURAS!$G$6:$G$28,$P68),INDEX(PARAMETROS_CULTURAS!$K$6:$K$28,$P68)+(INDEX(PARAMETROS_CULTURAS!$L$6:$L$28,$P68)-INDEX(PARAMETROS_CULTURAS!$K$6:$K$28,$P68))*($O68-INDEX(PARAMETROS_CULTURAS!$F$6:$F$28,$P68))/MAX(INDEX(PARAMETROS_CULTURAS!$G$6:$G$28,$P68),0.0001),IF($O68&lt;=INDEX(PARAMETROS_CULTURAS!$F$6:$F$28,$P68)+INDEX(PARAMETROS_CULTURAS!$G$6:$G$28,$P68)+INDEX(PARAMETROS_CULTURAS!$H$6:$H$28,$P68),INDEX(PARAMETROS_CULTURAS!$L$6:$L$28,$P68),INDEX(PARAMETROS_CULTURAS!$L$6:$L$28,$P68)+(INDEX(PARAMETROS_CULTURAS!$M$6:$M$28,$P68)-INDEX(PARAMETROS_CULTURAS!$L$6:$L$28,$P68))*($O68-INDEX(PARAMETROS_CULTURAS!$F$6:$F$28,$P68)-INDEX(PARAMETROS_CULTURAS!$G$6:$G$28,$P68)-INDEX(PARAMETROS_CULTURAS!$H$6:$H$28,$P68))/MAX(INDEX(PARAMETROS_CULTURAS!$I$6:$I$28,$P68),0.0001)))))</f>
        <v>0</v>
      </c>
      <c r="S68" s="18" t="n">
        <f aca="false">IFERROR(INDEX(SEMANAS!$H$6:$H$71,MATCH($B68,SEMANAS!$B$6:$B$71,0)),0)</f>
        <v>34.3</v>
      </c>
      <c r="T68" s="18" t="n">
        <f aca="false">$R68*$S68</f>
        <v>0</v>
      </c>
      <c r="U68" s="18" t="n">
        <f aca="false">IFERROR(INDEX(SEMANAS!$I$6:$I$71,MATCH($B68,SEMANAS!$B$6:$B$71,0)),0)</f>
        <v>46.69</v>
      </c>
      <c r="V68" s="18" t="n">
        <f aca="false">IFERROR(INDEX(SEMANAS!$J$6:$J$71,MATCH($B68,SEMANAS!$B$6:$B$71,0)),0)</f>
        <v>37.352</v>
      </c>
      <c r="W68" s="18" t="n">
        <f aca="false">MAX(0,$T68-$V68)</f>
        <v>0</v>
      </c>
      <c r="X68" s="19" t="n">
        <f aca="false">IFERROR(INDEX(CADASTRO_PIVOS!$K$6:$K$41,MATCH($E68,CADASTRO_PIVOS!$B$6:$B$41,0)),EFICIENCIA_PADRAO)</f>
        <v>0.85</v>
      </c>
      <c r="Y68" s="18" t="n">
        <f aca="false">IF($X68&lt;=0,0,$W68/$X68)</f>
        <v>0</v>
      </c>
      <c r="Z68" s="16" t="n">
        <f aca="false">$Y68*$H68*MM_PARA_M3_HA</f>
        <v>0</v>
      </c>
      <c r="AA68" s="18" t="n">
        <f aca="false">IFERROR(INDEX(CADASTRO_PIVOS!$I$6:$I$41,MATCH($E68,CADASTRO_PIVOS!$B$6:$B$41,0)),0)</f>
        <v>702.214285714286</v>
      </c>
      <c r="AB68" s="18" t="n">
        <f aca="false">IF($Z68&lt;=0,0,$Z68/$AA68)</f>
        <v>0</v>
      </c>
      <c r="AC68" s="16" t="n">
        <f aca="false">IFERROR(INDEX(SEMANAS!$K$6:$K$71,MATCH($B68,SEMANAS!$B$6:$B$71,0)),0)</f>
        <v>147</v>
      </c>
      <c r="AD68" s="19" t="n">
        <f aca="false">IF($AC68&lt;=0,0,$AB68/$AC68)</f>
        <v>0</v>
      </c>
      <c r="AE68" s="8" t="str">
        <f aca="false">IF($K68="SEM CULTURA","SEM CULTURA",IF($AA68&lt;=0,"DADO PENDENTE",IF($AD68&gt;LIMITE_CRITICO,"INVIAVEL",IF($AD68&gt;LIMITE_ATENCAO,"CRITICO",IF($AD68&gt;LIMITE_CONFORTAVEL,"ATENCAO","OK")))))</f>
        <v>SEM CULTURA</v>
      </c>
      <c r="AF68" s="8" t="str">
        <f aca="false">$B68&amp;"|"&amp;TEXT($AD68,"0.000000")</f>
        <v>63|0.000000</v>
      </c>
      <c r="AG68" s="18" t="n">
        <f aca="false">IF($K68="SEM CULTURA",0,$T68*$H68)</f>
        <v>0</v>
      </c>
      <c r="AH68" s="18" t="n">
        <f aca="false">IF($K68="SEM CULTURA",0,$V68*$H68)</f>
        <v>0</v>
      </c>
      <c r="AI68" s="18" t="n">
        <f aca="false">IF($K68="SEM CULTURA",0,$W68*$H68)</f>
        <v>0</v>
      </c>
      <c r="AJ68" s="18" t="n">
        <f aca="false">IF($K68="SEM CULTURA",0,$S68*$H68)</f>
        <v>0</v>
      </c>
      <c r="AK68" s="8" t="str">
        <f aca="false">$E68&amp;"|"&amp;TEXT($AD68,"0.000000")</f>
        <v>PV 109|0.000000</v>
      </c>
    </row>
    <row r="69" customFormat="false" ht="15" hidden="false" customHeight="false" outlineLevel="0" collapsed="false">
      <c r="B69" s="16" t="n">
        <v>64</v>
      </c>
      <c r="C69" s="17" t="n">
        <f aca="false">DATA_INICIO_SAFRA+($B69-1)*DIAS_POR_SEMANA</f>
        <v>46706</v>
      </c>
      <c r="D69" s="17" t="n">
        <f aca="false">$C69+DIAS_POR_SEMANA-1</f>
        <v>46712</v>
      </c>
      <c r="E69" s="15" t="s">
        <v>259</v>
      </c>
      <c r="F69" s="8" t="str">
        <f aca="false">IFERROR(INDEX(CADASTRO_PIVOS!$C$6:$C$41,MATCH($E69,CADASTRO_PIVOS!$B$6:$B$41,0)),"?")</f>
        <v>RM01</v>
      </c>
      <c r="G69" s="8" t="str">
        <f aca="false">IFERROR(INDEX(CADASTRO_PIVOS!$D$6:$D$41,MATCH($E69,CADASTRO_PIVOS!$B$6:$B$41,0)),"?")</f>
        <v>TR01</v>
      </c>
      <c r="H69" s="20" t="n">
        <f aca="false">IFERROR(INDEX(CADASTRO_PIVOS!$E$6:$E$41,MATCH($E69,CADASTRO_PIVOS!$B$6:$B$41,0)),0)</f>
        <v>98.31</v>
      </c>
      <c r="I69" s="16" t="n">
        <f aca="false">IFERROR(SUMIFS(ROTACAO_RDM!$B$6:$B$71,ROTACAO_RDM!$D$6:$D$71,$E69,ROTACAO_RDM!$I$6:$I$71,"&lt;="&amp;$C69+INT(DIAS_POR_SEMANA/2),ROTACAO_RDM!$J$6:$J$71,"&gt;="&amp;$C69+INT(DIAS_POR_SEMANA/2)),0)</f>
        <v>0</v>
      </c>
      <c r="J69" s="16" t="n">
        <f aca="false">IFERROR(MATCH($I69,ROTACAO_RDM!$B$6:$B$71,0),0)</f>
        <v>0</v>
      </c>
      <c r="K69" s="8" t="str">
        <f aca="false">IF($J69=0,"SEM CULTURA",INDEX(ROTACAO_RDM!$F$6:$F$71,$J69))</f>
        <v>SEM CULTURA</v>
      </c>
      <c r="L69" s="8" t="str">
        <f aca="false">IF($J69=0,"",INDEX(ROTACAO_RDM!$G$6:$G$71,$J69))</f>
        <v/>
      </c>
      <c r="M69" s="17" t="str">
        <f aca="false">IF($J69=0,"",INDEX(ROTACAO_RDM!$I$6:$I$71,$J69))</f>
        <v/>
      </c>
      <c r="N69" s="16" t="n">
        <f aca="false">IF($J69=0,0,MAX(0,$C69+INT(DIAS_POR_SEMANA/2)-INDEX(ROTACAO_RDM!$I$6:$I$71,$J69)))</f>
        <v>0</v>
      </c>
      <c r="O69" s="19" t="n">
        <f aca="false">IF($J69=0,0,MIN(1,$N69/MAX(1,INDEX(ROTACAO_RDM!$K$6:$K$71,$J69))))</f>
        <v>0</v>
      </c>
      <c r="P69" s="16" t="n">
        <f aca="false">IF($J69=0,0,IFERROR(MATCH(INDEX(ROTACAO_RDM!$N$6:$N$71,$J69),PARAMETROS_CULTURAS!$B$6:$B$28,0),0))</f>
        <v>0</v>
      </c>
      <c r="Q69" s="8" t="str">
        <f aca="false">IF($P69=0,"-",IF($O69&lt;=INDEX(PARAMETROS_CULTURAS!$F$6:$F$28,$P69),"INICIAL",IF($O69&lt;=INDEX(PARAMETROS_CULTURAS!$F$6:$F$28,$P69)+INDEX(PARAMETROS_CULTURAS!$G$6:$G$28,$P69),"DESENVOLVIMENTO",IF($O69&lt;=INDEX(PARAMETROS_CULTURAS!$F$6:$F$28,$P69)+INDEX(PARAMETROS_CULTURAS!$G$6:$G$28,$P69)+INDEX(PARAMETROS_CULTURAS!$H$6:$H$28,$P69),"MEDIA","FINAL"))))</f>
        <v>-</v>
      </c>
      <c r="R69" s="24" t="n">
        <f aca="false">IF($P69=0,0,IF($O69&lt;=INDEX(PARAMETROS_CULTURAS!$F$6:$F$28,$P69),INDEX(PARAMETROS_CULTURAS!$K$6:$K$28,$P69),IF($O69&lt;=INDEX(PARAMETROS_CULTURAS!$F$6:$F$28,$P69)+INDEX(PARAMETROS_CULTURAS!$G$6:$G$28,$P69),INDEX(PARAMETROS_CULTURAS!$K$6:$K$28,$P69)+(INDEX(PARAMETROS_CULTURAS!$L$6:$L$28,$P69)-INDEX(PARAMETROS_CULTURAS!$K$6:$K$28,$P69))*($O69-INDEX(PARAMETROS_CULTURAS!$F$6:$F$28,$P69))/MAX(INDEX(PARAMETROS_CULTURAS!$G$6:$G$28,$P69),0.0001),IF($O69&lt;=INDEX(PARAMETROS_CULTURAS!$F$6:$F$28,$P69)+INDEX(PARAMETROS_CULTURAS!$G$6:$G$28,$P69)+INDEX(PARAMETROS_CULTURAS!$H$6:$H$28,$P69),INDEX(PARAMETROS_CULTURAS!$L$6:$L$28,$P69),INDEX(PARAMETROS_CULTURAS!$L$6:$L$28,$P69)+(INDEX(PARAMETROS_CULTURAS!$M$6:$M$28,$P69)-INDEX(PARAMETROS_CULTURAS!$L$6:$L$28,$P69))*($O69-INDEX(PARAMETROS_CULTURAS!$F$6:$F$28,$P69)-INDEX(PARAMETROS_CULTURAS!$G$6:$G$28,$P69)-INDEX(PARAMETROS_CULTURAS!$H$6:$H$28,$P69))/MAX(INDEX(PARAMETROS_CULTURAS!$I$6:$I$28,$P69),0.0001)))))</f>
        <v>0</v>
      </c>
      <c r="S69" s="18" t="n">
        <f aca="false">IFERROR(INDEX(SEMANAS!$H$6:$H$71,MATCH($B69,SEMANAS!$B$6:$B$71,0)),0)</f>
        <v>34.3</v>
      </c>
      <c r="T69" s="18" t="n">
        <f aca="false">$R69*$S69</f>
        <v>0</v>
      </c>
      <c r="U69" s="18" t="n">
        <f aca="false">IFERROR(INDEX(SEMANAS!$I$6:$I$71,MATCH($B69,SEMANAS!$B$6:$B$71,0)),0)</f>
        <v>46.69</v>
      </c>
      <c r="V69" s="18" t="n">
        <f aca="false">IFERROR(INDEX(SEMANAS!$J$6:$J$71,MATCH($B69,SEMANAS!$B$6:$B$71,0)),0)</f>
        <v>37.352</v>
      </c>
      <c r="W69" s="18" t="n">
        <f aca="false">MAX(0,$T69-$V69)</f>
        <v>0</v>
      </c>
      <c r="X69" s="19" t="n">
        <f aca="false">IFERROR(INDEX(CADASTRO_PIVOS!$K$6:$K$41,MATCH($E69,CADASTRO_PIVOS!$B$6:$B$41,0)),EFICIENCIA_PADRAO)</f>
        <v>0.85</v>
      </c>
      <c r="Y69" s="18" t="n">
        <f aca="false">IF($X69&lt;=0,0,$W69/$X69)</f>
        <v>0</v>
      </c>
      <c r="Z69" s="16" t="n">
        <f aca="false">$Y69*$H69*MM_PARA_M3_HA</f>
        <v>0</v>
      </c>
      <c r="AA69" s="18" t="n">
        <f aca="false">IFERROR(INDEX(CADASTRO_PIVOS!$I$6:$I$41,MATCH($E69,CADASTRO_PIVOS!$B$6:$B$41,0)),0)</f>
        <v>702.214285714286</v>
      </c>
      <c r="AB69" s="18" t="n">
        <f aca="false">IF($Z69&lt;=0,0,$Z69/$AA69)</f>
        <v>0</v>
      </c>
      <c r="AC69" s="16" t="n">
        <f aca="false">IFERROR(INDEX(SEMANAS!$K$6:$K$71,MATCH($B69,SEMANAS!$B$6:$B$71,0)),0)</f>
        <v>147</v>
      </c>
      <c r="AD69" s="19" t="n">
        <f aca="false">IF($AC69&lt;=0,0,$AB69/$AC69)</f>
        <v>0</v>
      </c>
      <c r="AE69" s="8" t="str">
        <f aca="false">IF($K69="SEM CULTURA","SEM CULTURA",IF($AA69&lt;=0,"DADO PENDENTE",IF($AD69&gt;LIMITE_CRITICO,"INVIAVEL",IF($AD69&gt;LIMITE_ATENCAO,"CRITICO",IF($AD69&gt;LIMITE_CONFORTAVEL,"ATENCAO","OK")))))</f>
        <v>SEM CULTURA</v>
      </c>
      <c r="AF69" s="8" t="str">
        <f aca="false">$B69&amp;"|"&amp;TEXT($AD69,"0.000000")</f>
        <v>64|0.000000</v>
      </c>
      <c r="AG69" s="18" t="n">
        <f aca="false">IF($K69="SEM CULTURA",0,$T69*$H69)</f>
        <v>0</v>
      </c>
      <c r="AH69" s="18" t="n">
        <f aca="false">IF($K69="SEM CULTURA",0,$V69*$H69)</f>
        <v>0</v>
      </c>
      <c r="AI69" s="18" t="n">
        <f aca="false">IF($K69="SEM CULTURA",0,$W69*$H69)</f>
        <v>0</v>
      </c>
      <c r="AJ69" s="18" t="n">
        <f aca="false">IF($K69="SEM CULTURA",0,$S69*$H69)</f>
        <v>0</v>
      </c>
      <c r="AK69" s="8" t="str">
        <f aca="false">$E69&amp;"|"&amp;TEXT($AD69,"0.000000")</f>
        <v>PV 109|0.000000</v>
      </c>
    </row>
    <row r="70" customFormat="false" ht="15" hidden="false" customHeight="false" outlineLevel="0" collapsed="false">
      <c r="B70" s="16" t="n">
        <v>65</v>
      </c>
      <c r="C70" s="17" t="n">
        <f aca="false">DATA_INICIO_SAFRA+($B70-1)*DIAS_POR_SEMANA</f>
        <v>46713</v>
      </c>
      <c r="D70" s="17" t="n">
        <f aca="false">$C70+DIAS_POR_SEMANA-1</f>
        <v>46719</v>
      </c>
      <c r="E70" s="15" t="s">
        <v>259</v>
      </c>
      <c r="F70" s="8" t="str">
        <f aca="false">IFERROR(INDEX(CADASTRO_PIVOS!$C$6:$C$41,MATCH($E70,CADASTRO_PIVOS!$B$6:$B$41,0)),"?")</f>
        <v>RM01</v>
      </c>
      <c r="G70" s="8" t="str">
        <f aca="false">IFERROR(INDEX(CADASTRO_PIVOS!$D$6:$D$41,MATCH($E70,CADASTRO_PIVOS!$B$6:$B$41,0)),"?")</f>
        <v>TR01</v>
      </c>
      <c r="H70" s="20" t="n">
        <f aca="false">IFERROR(INDEX(CADASTRO_PIVOS!$E$6:$E$41,MATCH($E70,CADASTRO_PIVOS!$B$6:$B$41,0)),0)</f>
        <v>98.31</v>
      </c>
      <c r="I70" s="16" t="n">
        <f aca="false">IFERROR(SUMIFS(ROTACAO_RDM!$B$6:$B$71,ROTACAO_RDM!$D$6:$D$71,$E70,ROTACAO_RDM!$I$6:$I$71,"&lt;="&amp;$C70+INT(DIAS_POR_SEMANA/2),ROTACAO_RDM!$J$6:$J$71,"&gt;="&amp;$C70+INT(DIAS_POR_SEMANA/2)),0)</f>
        <v>0</v>
      </c>
      <c r="J70" s="16" t="n">
        <f aca="false">IFERROR(MATCH($I70,ROTACAO_RDM!$B$6:$B$71,0),0)</f>
        <v>0</v>
      </c>
      <c r="K70" s="8" t="str">
        <f aca="false">IF($J70=0,"SEM CULTURA",INDEX(ROTACAO_RDM!$F$6:$F$71,$J70))</f>
        <v>SEM CULTURA</v>
      </c>
      <c r="L70" s="8" t="str">
        <f aca="false">IF($J70=0,"",INDEX(ROTACAO_RDM!$G$6:$G$71,$J70))</f>
        <v/>
      </c>
      <c r="M70" s="17" t="str">
        <f aca="false">IF($J70=0,"",INDEX(ROTACAO_RDM!$I$6:$I$71,$J70))</f>
        <v/>
      </c>
      <c r="N70" s="16" t="n">
        <f aca="false">IF($J70=0,0,MAX(0,$C70+INT(DIAS_POR_SEMANA/2)-INDEX(ROTACAO_RDM!$I$6:$I$71,$J70)))</f>
        <v>0</v>
      </c>
      <c r="O70" s="19" t="n">
        <f aca="false">IF($J70=0,0,MIN(1,$N70/MAX(1,INDEX(ROTACAO_RDM!$K$6:$K$71,$J70))))</f>
        <v>0</v>
      </c>
      <c r="P70" s="16" t="n">
        <f aca="false">IF($J70=0,0,IFERROR(MATCH(INDEX(ROTACAO_RDM!$N$6:$N$71,$J70),PARAMETROS_CULTURAS!$B$6:$B$28,0),0))</f>
        <v>0</v>
      </c>
      <c r="Q70" s="8" t="str">
        <f aca="false">IF($P70=0,"-",IF($O70&lt;=INDEX(PARAMETROS_CULTURAS!$F$6:$F$28,$P70),"INICIAL",IF($O70&lt;=INDEX(PARAMETROS_CULTURAS!$F$6:$F$28,$P70)+INDEX(PARAMETROS_CULTURAS!$G$6:$G$28,$P70),"DESENVOLVIMENTO",IF($O70&lt;=INDEX(PARAMETROS_CULTURAS!$F$6:$F$28,$P70)+INDEX(PARAMETROS_CULTURAS!$G$6:$G$28,$P70)+INDEX(PARAMETROS_CULTURAS!$H$6:$H$28,$P70),"MEDIA","FINAL"))))</f>
        <v>-</v>
      </c>
      <c r="R70" s="24" t="n">
        <f aca="false">IF($P70=0,0,IF($O70&lt;=INDEX(PARAMETROS_CULTURAS!$F$6:$F$28,$P70),INDEX(PARAMETROS_CULTURAS!$K$6:$K$28,$P70),IF($O70&lt;=INDEX(PARAMETROS_CULTURAS!$F$6:$F$28,$P70)+INDEX(PARAMETROS_CULTURAS!$G$6:$G$28,$P70),INDEX(PARAMETROS_CULTURAS!$K$6:$K$28,$P70)+(INDEX(PARAMETROS_CULTURAS!$L$6:$L$28,$P70)-INDEX(PARAMETROS_CULTURAS!$K$6:$K$28,$P70))*($O70-INDEX(PARAMETROS_CULTURAS!$F$6:$F$28,$P70))/MAX(INDEX(PARAMETROS_CULTURAS!$G$6:$G$28,$P70),0.0001),IF($O70&lt;=INDEX(PARAMETROS_CULTURAS!$F$6:$F$28,$P70)+INDEX(PARAMETROS_CULTURAS!$G$6:$G$28,$P70)+INDEX(PARAMETROS_CULTURAS!$H$6:$H$28,$P70),INDEX(PARAMETROS_CULTURAS!$L$6:$L$28,$P70),INDEX(PARAMETROS_CULTURAS!$L$6:$L$28,$P70)+(INDEX(PARAMETROS_CULTURAS!$M$6:$M$28,$P70)-INDEX(PARAMETROS_CULTURAS!$L$6:$L$28,$P70))*($O70-INDEX(PARAMETROS_CULTURAS!$F$6:$F$28,$P70)-INDEX(PARAMETROS_CULTURAS!$G$6:$G$28,$P70)-INDEX(PARAMETROS_CULTURAS!$H$6:$H$28,$P70))/MAX(INDEX(PARAMETROS_CULTURAS!$I$6:$I$28,$P70),0.0001)))))</f>
        <v>0</v>
      </c>
      <c r="S70" s="18" t="n">
        <f aca="false">IFERROR(INDEX(SEMANAS!$H$6:$H$71,MATCH($B70,SEMANAS!$B$6:$B$71,0)),0)</f>
        <v>34.3</v>
      </c>
      <c r="T70" s="18" t="n">
        <f aca="false">$R70*$S70</f>
        <v>0</v>
      </c>
      <c r="U70" s="18" t="n">
        <f aca="false">IFERROR(INDEX(SEMANAS!$I$6:$I$71,MATCH($B70,SEMANAS!$B$6:$B$71,0)),0)</f>
        <v>46.69</v>
      </c>
      <c r="V70" s="18" t="n">
        <f aca="false">IFERROR(INDEX(SEMANAS!$J$6:$J$71,MATCH($B70,SEMANAS!$B$6:$B$71,0)),0)</f>
        <v>37.352</v>
      </c>
      <c r="W70" s="18" t="n">
        <f aca="false">MAX(0,$T70-$V70)</f>
        <v>0</v>
      </c>
      <c r="X70" s="19" t="n">
        <f aca="false">IFERROR(INDEX(CADASTRO_PIVOS!$K$6:$K$41,MATCH($E70,CADASTRO_PIVOS!$B$6:$B$41,0)),EFICIENCIA_PADRAO)</f>
        <v>0.85</v>
      </c>
      <c r="Y70" s="18" t="n">
        <f aca="false">IF($X70&lt;=0,0,$W70/$X70)</f>
        <v>0</v>
      </c>
      <c r="Z70" s="16" t="n">
        <f aca="false">$Y70*$H70*MM_PARA_M3_HA</f>
        <v>0</v>
      </c>
      <c r="AA70" s="18" t="n">
        <f aca="false">IFERROR(INDEX(CADASTRO_PIVOS!$I$6:$I$41,MATCH($E70,CADASTRO_PIVOS!$B$6:$B$41,0)),0)</f>
        <v>702.214285714286</v>
      </c>
      <c r="AB70" s="18" t="n">
        <f aca="false">IF($Z70&lt;=0,0,$Z70/$AA70)</f>
        <v>0</v>
      </c>
      <c r="AC70" s="16" t="n">
        <f aca="false">IFERROR(INDEX(SEMANAS!$K$6:$K$71,MATCH($B70,SEMANAS!$B$6:$B$71,0)),0)</f>
        <v>147</v>
      </c>
      <c r="AD70" s="19" t="n">
        <f aca="false">IF($AC70&lt;=0,0,$AB70/$AC70)</f>
        <v>0</v>
      </c>
      <c r="AE70" s="8" t="str">
        <f aca="false">IF($K70="SEM CULTURA","SEM CULTURA",IF($AA70&lt;=0,"DADO PENDENTE",IF($AD70&gt;LIMITE_CRITICO,"INVIAVEL",IF($AD70&gt;LIMITE_ATENCAO,"CRITICO",IF($AD70&gt;LIMITE_CONFORTAVEL,"ATENCAO","OK")))))</f>
        <v>SEM CULTURA</v>
      </c>
      <c r="AF70" s="8" t="str">
        <f aca="false">$B70&amp;"|"&amp;TEXT($AD70,"0.000000")</f>
        <v>65|0.000000</v>
      </c>
      <c r="AG70" s="18" t="n">
        <f aca="false">IF($K70="SEM CULTURA",0,$T70*$H70)</f>
        <v>0</v>
      </c>
      <c r="AH70" s="18" t="n">
        <f aca="false">IF($K70="SEM CULTURA",0,$V70*$H70)</f>
        <v>0</v>
      </c>
      <c r="AI70" s="18" t="n">
        <f aca="false">IF($K70="SEM CULTURA",0,$W70*$H70)</f>
        <v>0</v>
      </c>
      <c r="AJ70" s="18" t="n">
        <f aca="false">IF($K70="SEM CULTURA",0,$S70*$H70)</f>
        <v>0</v>
      </c>
      <c r="AK70" s="8" t="str">
        <f aca="false">$E70&amp;"|"&amp;TEXT($AD70,"0.000000")</f>
        <v>PV 109|0.000000</v>
      </c>
    </row>
    <row r="71" customFormat="false" ht="15" hidden="false" customHeight="false" outlineLevel="0" collapsed="false">
      <c r="B71" s="16" t="n">
        <v>66</v>
      </c>
      <c r="C71" s="17" t="n">
        <f aca="false">DATA_INICIO_SAFRA+($B71-1)*DIAS_POR_SEMANA</f>
        <v>46720</v>
      </c>
      <c r="D71" s="17" t="n">
        <f aca="false">$C71+DIAS_POR_SEMANA-1</f>
        <v>46726</v>
      </c>
      <c r="E71" s="15" t="s">
        <v>259</v>
      </c>
      <c r="F71" s="8" t="str">
        <f aca="false">IFERROR(INDEX(CADASTRO_PIVOS!$C$6:$C$41,MATCH($E71,CADASTRO_PIVOS!$B$6:$B$41,0)),"?")</f>
        <v>RM01</v>
      </c>
      <c r="G71" s="8" t="str">
        <f aca="false">IFERROR(INDEX(CADASTRO_PIVOS!$D$6:$D$41,MATCH($E71,CADASTRO_PIVOS!$B$6:$B$41,0)),"?")</f>
        <v>TR01</v>
      </c>
      <c r="H71" s="20" t="n">
        <f aca="false">IFERROR(INDEX(CADASTRO_PIVOS!$E$6:$E$41,MATCH($E71,CADASTRO_PIVOS!$B$6:$B$41,0)),0)</f>
        <v>98.31</v>
      </c>
      <c r="I71" s="16" t="n">
        <f aca="false">IFERROR(SUMIFS(ROTACAO_RDM!$B$6:$B$71,ROTACAO_RDM!$D$6:$D$71,$E71,ROTACAO_RDM!$I$6:$I$71,"&lt;="&amp;$C71+INT(DIAS_POR_SEMANA/2),ROTACAO_RDM!$J$6:$J$71,"&gt;="&amp;$C71+INT(DIAS_POR_SEMANA/2)),0)</f>
        <v>0</v>
      </c>
      <c r="J71" s="16" t="n">
        <f aca="false">IFERROR(MATCH($I71,ROTACAO_RDM!$B$6:$B$71,0),0)</f>
        <v>0</v>
      </c>
      <c r="K71" s="8" t="str">
        <f aca="false">IF($J71=0,"SEM CULTURA",INDEX(ROTACAO_RDM!$F$6:$F$71,$J71))</f>
        <v>SEM CULTURA</v>
      </c>
      <c r="L71" s="8" t="str">
        <f aca="false">IF($J71=0,"",INDEX(ROTACAO_RDM!$G$6:$G$71,$J71))</f>
        <v/>
      </c>
      <c r="M71" s="17" t="str">
        <f aca="false">IF($J71=0,"",INDEX(ROTACAO_RDM!$I$6:$I$71,$J71))</f>
        <v/>
      </c>
      <c r="N71" s="16" t="n">
        <f aca="false">IF($J71=0,0,MAX(0,$C71+INT(DIAS_POR_SEMANA/2)-INDEX(ROTACAO_RDM!$I$6:$I$71,$J71)))</f>
        <v>0</v>
      </c>
      <c r="O71" s="19" t="n">
        <f aca="false">IF($J71=0,0,MIN(1,$N71/MAX(1,INDEX(ROTACAO_RDM!$K$6:$K$71,$J71))))</f>
        <v>0</v>
      </c>
      <c r="P71" s="16" t="n">
        <f aca="false">IF($J71=0,0,IFERROR(MATCH(INDEX(ROTACAO_RDM!$N$6:$N$71,$J71),PARAMETROS_CULTURAS!$B$6:$B$28,0),0))</f>
        <v>0</v>
      </c>
      <c r="Q71" s="8" t="str">
        <f aca="false">IF($P71=0,"-",IF($O71&lt;=INDEX(PARAMETROS_CULTURAS!$F$6:$F$28,$P71),"INICIAL",IF($O71&lt;=INDEX(PARAMETROS_CULTURAS!$F$6:$F$28,$P71)+INDEX(PARAMETROS_CULTURAS!$G$6:$G$28,$P71),"DESENVOLVIMENTO",IF($O71&lt;=INDEX(PARAMETROS_CULTURAS!$F$6:$F$28,$P71)+INDEX(PARAMETROS_CULTURAS!$G$6:$G$28,$P71)+INDEX(PARAMETROS_CULTURAS!$H$6:$H$28,$P71),"MEDIA","FINAL"))))</f>
        <v>-</v>
      </c>
      <c r="R71" s="24" t="n">
        <f aca="false">IF($P71=0,0,IF($O71&lt;=INDEX(PARAMETROS_CULTURAS!$F$6:$F$28,$P71),INDEX(PARAMETROS_CULTURAS!$K$6:$K$28,$P71),IF($O71&lt;=INDEX(PARAMETROS_CULTURAS!$F$6:$F$28,$P71)+INDEX(PARAMETROS_CULTURAS!$G$6:$G$28,$P71),INDEX(PARAMETROS_CULTURAS!$K$6:$K$28,$P71)+(INDEX(PARAMETROS_CULTURAS!$L$6:$L$28,$P71)-INDEX(PARAMETROS_CULTURAS!$K$6:$K$28,$P71))*($O71-INDEX(PARAMETROS_CULTURAS!$F$6:$F$28,$P71))/MAX(INDEX(PARAMETROS_CULTURAS!$G$6:$G$28,$P71),0.0001),IF($O71&lt;=INDEX(PARAMETROS_CULTURAS!$F$6:$F$28,$P71)+INDEX(PARAMETROS_CULTURAS!$G$6:$G$28,$P71)+INDEX(PARAMETROS_CULTURAS!$H$6:$H$28,$P71),INDEX(PARAMETROS_CULTURAS!$L$6:$L$28,$P71),INDEX(PARAMETROS_CULTURAS!$L$6:$L$28,$P71)+(INDEX(PARAMETROS_CULTURAS!$M$6:$M$28,$P71)-INDEX(PARAMETROS_CULTURAS!$L$6:$L$28,$P71))*($O71-INDEX(PARAMETROS_CULTURAS!$F$6:$F$28,$P71)-INDEX(PARAMETROS_CULTURAS!$G$6:$G$28,$P71)-INDEX(PARAMETROS_CULTURAS!$H$6:$H$28,$P71))/MAX(INDEX(PARAMETROS_CULTURAS!$I$6:$I$28,$P71),0.0001)))))</f>
        <v>0</v>
      </c>
      <c r="S71" s="18" t="n">
        <f aca="false">IFERROR(INDEX(SEMANAS!$H$6:$H$71,MATCH($B71,SEMANAS!$B$6:$B$71,0)),0)</f>
        <v>33.3</v>
      </c>
      <c r="T71" s="18" t="n">
        <f aca="false">$R71*$S71</f>
        <v>0</v>
      </c>
      <c r="U71" s="18" t="n">
        <f aca="false">IFERROR(INDEX(SEMANAS!$I$6:$I$71,MATCH($B71,SEMANAS!$B$6:$B$71,0)),0)</f>
        <v>48.04</v>
      </c>
      <c r="V71" s="18" t="n">
        <f aca="false">IFERROR(INDEX(SEMANAS!$J$6:$J$71,MATCH($B71,SEMANAS!$B$6:$B$71,0)),0)</f>
        <v>38.432</v>
      </c>
      <c r="W71" s="18" t="n">
        <f aca="false">MAX(0,$T71-$V71)</f>
        <v>0</v>
      </c>
      <c r="X71" s="19" t="n">
        <f aca="false">IFERROR(INDEX(CADASTRO_PIVOS!$K$6:$K$41,MATCH($E71,CADASTRO_PIVOS!$B$6:$B$41,0)),EFICIENCIA_PADRAO)</f>
        <v>0.85</v>
      </c>
      <c r="Y71" s="18" t="n">
        <f aca="false">IF($X71&lt;=0,0,$W71/$X71)</f>
        <v>0</v>
      </c>
      <c r="Z71" s="16" t="n">
        <f aca="false">$Y71*$H71*MM_PARA_M3_HA</f>
        <v>0</v>
      </c>
      <c r="AA71" s="18" t="n">
        <f aca="false">IFERROR(INDEX(CADASTRO_PIVOS!$I$6:$I$41,MATCH($E71,CADASTRO_PIVOS!$B$6:$B$41,0)),0)</f>
        <v>702.214285714286</v>
      </c>
      <c r="AB71" s="18" t="n">
        <f aca="false">IF($Z71&lt;=0,0,$Z71/$AA71)</f>
        <v>0</v>
      </c>
      <c r="AC71" s="16" t="n">
        <f aca="false">IFERROR(INDEX(SEMANAS!$K$6:$K$71,MATCH($B71,SEMANAS!$B$6:$B$71,0)),0)</f>
        <v>147</v>
      </c>
      <c r="AD71" s="19" t="n">
        <f aca="false">IF($AC71&lt;=0,0,$AB71/$AC71)</f>
        <v>0</v>
      </c>
      <c r="AE71" s="8" t="str">
        <f aca="false">IF($K71="SEM CULTURA","SEM CULTURA",IF($AA71&lt;=0,"DADO PENDENTE",IF($AD71&gt;LIMITE_CRITICO,"INVIAVEL",IF($AD71&gt;LIMITE_ATENCAO,"CRITICO",IF($AD71&gt;LIMITE_CONFORTAVEL,"ATENCAO","OK")))))</f>
        <v>SEM CULTURA</v>
      </c>
      <c r="AF71" s="8" t="str">
        <f aca="false">$B71&amp;"|"&amp;TEXT($AD71,"0.000000")</f>
        <v>66|0.000000</v>
      </c>
      <c r="AG71" s="18" t="n">
        <f aca="false">IF($K71="SEM CULTURA",0,$T71*$H71)</f>
        <v>0</v>
      </c>
      <c r="AH71" s="18" t="n">
        <f aca="false">IF($K71="SEM CULTURA",0,$V71*$H71)</f>
        <v>0</v>
      </c>
      <c r="AI71" s="18" t="n">
        <f aca="false">IF($K71="SEM CULTURA",0,$W71*$H71)</f>
        <v>0</v>
      </c>
      <c r="AJ71" s="18" t="n">
        <f aca="false">IF($K71="SEM CULTURA",0,$S71*$H71)</f>
        <v>0</v>
      </c>
      <c r="AK71" s="8" t="str">
        <f aca="false">$E71&amp;"|"&amp;TEXT($AD71,"0.000000")</f>
        <v>PV 109|0.000000</v>
      </c>
    </row>
    <row r="72" customFormat="false" ht="15" hidden="false" customHeight="false" outlineLevel="0" collapsed="false">
      <c r="B72" s="16" t="n">
        <v>1</v>
      </c>
      <c r="C72" s="17" t="n">
        <f aca="false">DATA_INICIO_SAFRA+($B72-1)*DIAS_POR_SEMANA</f>
        <v>46265</v>
      </c>
      <c r="D72" s="17" t="n">
        <f aca="false">$C72+DIAS_POR_SEMANA-1</f>
        <v>46271</v>
      </c>
      <c r="E72" s="15" t="s">
        <v>260</v>
      </c>
      <c r="F72" s="8" t="str">
        <f aca="false">IFERROR(INDEX(CADASTRO_PIVOS!$C$6:$C$41,MATCH($E72,CADASTRO_PIVOS!$B$6:$B$41,0)),"?")</f>
        <v>RM02</v>
      </c>
      <c r="G72" s="8" t="str">
        <f aca="false">IFERROR(INDEX(CADASTRO_PIVOS!$D$6:$D$41,MATCH($E72,CADASTRO_PIVOS!$B$6:$B$41,0)),"?")</f>
        <v>TR02</v>
      </c>
      <c r="H72" s="20" t="n">
        <f aca="false">IFERROR(INDEX(CADASTRO_PIVOS!$E$6:$E$41,MATCH($E72,CADASTRO_PIVOS!$B$6:$B$41,0)),0)</f>
        <v>100.59</v>
      </c>
      <c r="I72" s="16" t="n">
        <f aca="false">IFERROR(SUMIFS(ROTACAO_RDM!$B$6:$B$71,ROTACAO_RDM!$D$6:$D$71,$E72,ROTACAO_RDM!$I$6:$I$71,"&lt;="&amp;$C72+INT(DIAS_POR_SEMANA/2),ROTACAO_RDM!$J$6:$J$71,"&gt;="&amp;$C72+INT(DIAS_POR_SEMANA/2)),0)</f>
        <v>9</v>
      </c>
      <c r="J72" s="16" t="n">
        <f aca="false">IFERROR(MATCH($I72,ROTACAO_RDM!$B$6:$B$71,0),0)</f>
        <v>9</v>
      </c>
      <c r="K72" s="8" t="str">
        <f aca="false">IF($J72=0,"SEM CULTURA",INDEX(ROTACAO_RDM!$F$6:$F$71,$J72))</f>
        <v>ALGODAO</v>
      </c>
      <c r="L72" s="8" t="str">
        <f aca="false">IF($J72=0,"",INDEX(ROTACAO_RDM!$G$6:$G$71,$J72))</f>
        <v>DP 2297 B3XF/ DP 2252 B3XF</v>
      </c>
      <c r="M72" s="17" t="n">
        <f aca="false">IF($J72=0,"",INDEX(ROTACAO_RDM!$I$6:$I$71,$J72))</f>
        <v>46070</v>
      </c>
      <c r="N72" s="16" t="n">
        <f aca="false">IF($J72=0,0,MAX(0,$C72+INT(DIAS_POR_SEMANA/2)-INDEX(ROTACAO_RDM!$I$6:$I$71,$J72)))</f>
        <v>198</v>
      </c>
      <c r="O72" s="19" t="n">
        <f aca="false">IF($J72=0,0,MIN(1,$N72/MAX(1,INDEX(ROTACAO_RDM!$K$6:$K$71,$J72))))</f>
        <v>1</v>
      </c>
      <c r="P72" s="16" t="n">
        <f aca="false">IF($J72=0,0,IFERROR(MATCH(INDEX(ROTACAO_RDM!$N$6:$N$71,$J72),PARAMETROS_CULTURAS!$B$6:$B$28,0),0))</f>
        <v>5</v>
      </c>
      <c r="Q72" s="8" t="str">
        <f aca="false">IF($P72=0,"-",IF($O72&lt;=INDEX(PARAMETROS_CULTURAS!$F$6:$F$28,$P72),"INICIAL",IF($O72&lt;=INDEX(PARAMETROS_CULTURAS!$F$6:$F$28,$P72)+INDEX(PARAMETROS_CULTURAS!$G$6:$G$28,$P72),"DESENVOLVIMENTO",IF($O72&lt;=INDEX(PARAMETROS_CULTURAS!$F$6:$F$28,$P72)+INDEX(PARAMETROS_CULTURAS!$G$6:$G$28,$P72)+INDEX(PARAMETROS_CULTURAS!$H$6:$H$28,$P72),"MEDIA","FINAL"))))</f>
        <v>FINAL</v>
      </c>
      <c r="R72" s="24" t="n">
        <f aca="false">IF($P72=0,0,IF($O72&lt;=INDEX(PARAMETROS_CULTURAS!$F$6:$F$28,$P72),INDEX(PARAMETROS_CULTURAS!$K$6:$K$28,$P72),IF($O72&lt;=INDEX(PARAMETROS_CULTURAS!$F$6:$F$28,$P72)+INDEX(PARAMETROS_CULTURAS!$G$6:$G$28,$P72),INDEX(PARAMETROS_CULTURAS!$K$6:$K$28,$P72)+(INDEX(PARAMETROS_CULTURAS!$L$6:$L$28,$P72)-INDEX(PARAMETROS_CULTURAS!$K$6:$K$28,$P72))*($O72-INDEX(PARAMETROS_CULTURAS!$F$6:$F$28,$P72))/MAX(INDEX(PARAMETROS_CULTURAS!$G$6:$G$28,$P72),0.0001),IF($O72&lt;=INDEX(PARAMETROS_CULTURAS!$F$6:$F$28,$P72)+INDEX(PARAMETROS_CULTURAS!$G$6:$G$28,$P72)+INDEX(PARAMETROS_CULTURAS!$H$6:$H$28,$P72),INDEX(PARAMETROS_CULTURAS!$L$6:$L$28,$P72),INDEX(PARAMETROS_CULTURAS!$L$6:$L$28,$P72)+(INDEX(PARAMETROS_CULTURAS!$M$6:$M$28,$P72)-INDEX(PARAMETROS_CULTURAS!$L$6:$L$28,$P72))*($O72-INDEX(PARAMETROS_CULTURAS!$F$6:$F$28,$P72)-INDEX(PARAMETROS_CULTURAS!$G$6:$G$28,$P72)-INDEX(PARAMETROS_CULTURAS!$H$6:$H$28,$P72))/MAX(INDEX(PARAMETROS_CULTURAS!$I$6:$I$28,$P72),0.0001)))))</f>
        <v>0.6</v>
      </c>
      <c r="S72" s="18" t="n">
        <f aca="false">IFERROR(INDEX(SEMANAS!$H$6:$H$71,MATCH($B72,SEMANAS!$B$6:$B$71,0)),0)</f>
        <v>40</v>
      </c>
      <c r="T72" s="18" t="n">
        <f aca="false">$R72*$S72</f>
        <v>24</v>
      </c>
      <c r="U72" s="18" t="n">
        <f aca="false">IFERROR(INDEX(SEMANAS!$I$6:$I$71,MATCH($B72,SEMANAS!$B$6:$B$71,0)),0)</f>
        <v>6.16</v>
      </c>
      <c r="V72" s="18" t="n">
        <f aca="false">IFERROR(INDEX(SEMANAS!$J$6:$J$71,MATCH($B72,SEMANAS!$B$6:$B$71,0)),0)</f>
        <v>4.928</v>
      </c>
      <c r="W72" s="18" t="n">
        <f aca="false">MAX(0,$T72-$V72)</f>
        <v>19.072</v>
      </c>
      <c r="X72" s="19" t="n">
        <f aca="false">IFERROR(INDEX(CADASTRO_PIVOS!$K$6:$K$41,MATCH($E72,CADASTRO_PIVOS!$B$6:$B$41,0)),EFICIENCIA_PADRAO)</f>
        <v>0.85</v>
      </c>
      <c r="Y72" s="18" t="n">
        <f aca="false">IF($X72&lt;=0,0,$W72/$X72)</f>
        <v>22.4376470588235</v>
      </c>
      <c r="Z72" s="16" t="n">
        <f aca="false">$Y72*$H72*MM_PARA_M3_HA</f>
        <v>22570.0291764706</v>
      </c>
      <c r="AA72" s="18" t="n">
        <f aca="false">IFERROR(INDEX(CADASTRO_PIVOS!$I$6:$I$41,MATCH($E72,CADASTRO_PIVOS!$B$6:$B$41,0)),0)</f>
        <v>718.5</v>
      </c>
      <c r="AB72" s="18" t="n">
        <f aca="false">IF($Z72&lt;=0,0,$Z72/$AA72)</f>
        <v>31.4127058823529</v>
      </c>
      <c r="AC72" s="16" t="n">
        <f aca="false">IFERROR(INDEX(SEMANAS!$K$6:$K$71,MATCH($B72,SEMANAS!$B$6:$B$71,0)),0)</f>
        <v>147</v>
      </c>
      <c r="AD72" s="19" t="n">
        <f aca="false">IF($AC72&lt;=0,0,$AB72/$AC72)</f>
        <v>0.2136918767507</v>
      </c>
      <c r="AE72" s="8" t="str">
        <f aca="false">IF($K72="SEM CULTURA","SEM CULTURA",IF($AA72&lt;=0,"DADO PENDENTE",IF($AD72&gt;LIMITE_CRITICO,"INVIAVEL",IF($AD72&gt;LIMITE_ATENCAO,"CRITICO",IF($AD72&gt;LIMITE_CONFORTAVEL,"ATENCAO","OK")))))</f>
        <v>OK</v>
      </c>
      <c r="AF72" s="8" t="str">
        <f aca="false">$B72&amp;"|"&amp;TEXT($AD72,"0.000000")</f>
        <v>1|0.213692</v>
      </c>
      <c r="AG72" s="18" t="n">
        <f aca="false">IF($K72="SEM CULTURA",0,$T72*$H72)</f>
        <v>2414.16</v>
      </c>
      <c r="AH72" s="18" t="n">
        <f aca="false">IF($K72="SEM CULTURA",0,$V72*$H72)</f>
        <v>495.70752</v>
      </c>
      <c r="AI72" s="18" t="n">
        <f aca="false">IF($K72="SEM CULTURA",0,$W72*$H72)</f>
        <v>1918.45248</v>
      </c>
      <c r="AJ72" s="18" t="n">
        <f aca="false">IF($K72="SEM CULTURA",0,$S72*$H72)</f>
        <v>4023.6</v>
      </c>
      <c r="AK72" s="8" t="str">
        <f aca="false">$E72&amp;"|"&amp;TEXT($AD72,"0.000000")</f>
        <v>PV 106|0.213692</v>
      </c>
    </row>
    <row r="73" customFormat="false" ht="15" hidden="false" customHeight="false" outlineLevel="0" collapsed="false">
      <c r="B73" s="16" t="n">
        <v>2</v>
      </c>
      <c r="C73" s="17" t="n">
        <f aca="false">DATA_INICIO_SAFRA+($B73-1)*DIAS_POR_SEMANA</f>
        <v>46272</v>
      </c>
      <c r="D73" s="17" t="n">
        <f aca="false">$C73+DIAS_POR_SEMANA-1</f>
        <v>46278</v>
      </c>
      <c r="E73" s="15" t="s">
        <v>260</v>
      </c>
      <c r="F73" s="8" t="str">
        <f aca="false">IFERROR(INDEX(CADASTRO_PIVOS!$C$6:$C$41,MATCH($E73,CADASTRO_PIVOS!$B$6:$B$41,0)),"?")</f>
        <v>RM02</v>
      </c>
      <c r="G73" s="8" t="str">
        <f aca="false">IFERROR(INDEX(CADASTRO_PIVOS!$D$6:$D$41,MATCH($E73,CADASTRO_PIVOS!$B$6:$B$41,0)),"?")</f>
        <v>TR02</v>
      </c>
      <c r="H73" s="20" t="n">
        <f aca="false">IFERROR(INDEX(CADASTRO_PIVOS!$E$6:$E$41,MATCH($E73,CADASTRO_PIVOS!$B$6:$B$41,0)),0)</f>
        <v>100.59</v>
      </c>
      <c r="I73" s="16" t="n">
        <f aca="false">IFERROR(SUMIFS(ROTACAO_RDM!$B$6:$B$71,ROTACAO_RDM!$D$6:$D$71,$E73,ROTACAO_RDM!$I$6:$I$71,"&lt;="&amp;$C73+INT(DIAS_POR_SEMANA/2),ROTACAO_RDM!$J$6:$J$71,"&gt;="&amp;$C73+INT(DIAS_POR_SEMANA/2)),0)</f>
        <v>0</v>
      </c>
      <c r="J73" s="16" t="n">
        <f aca="false">IFERROR(MATCH($I73,ROTACAO_RDM!$B$6:$B$71,0),0)</f>
        <v>0</v>
      </c>
      <c r="K73" s="8" t="str">
        <f aca="false">IF($J73=0,"SEM CULTURA",INDEX(ROTACAO_RDM!$F$6:$F$71,$J73))</f>
        <v>SEM CULTURA</v>
      </c>
      <c r="L73" s="8" t="str">
        <f aca="false">IF($J73=0,"",INDEX(ROTACAO_RDM!$G$6:$G$71,$J73))</f>
        <v/>
      </c>
      <c r="M73" s="17" t="str">
        <f aca="false">IF($J73=0,"",INDEX(ROTACAO_RDM!$I$6:$I$71,$J73))</f>
        <v/>
      </c>
      <c r="N73" s="16" t="n">
        <f aca="false">IF($J73=0,0,MAX(0,$C73+INT(DIAS_POR_SEMANA/2)-INDEX(ROTACAO_RDM!$I$6:$I$71,$J73)))</f>
        <v>0</v>
      </c>
      <c r="O73" s="19" t="n">
        <f aca="false">IF($J73=0,0,MIN(1,$N73/MAX(1,INDEX(ROTACAO_RDM!$K$6:$K$71,$J73))))</f>
        <v>0</v>
      </c>
      <c r="P73" s="16" t="n">
        <f aca="false">IF($J73=0,0,IFERROR(MATCH(INDEX(ROTACAO_RDM!$N$6:$N$71,$J73),PARAMETROS_CULTURAS!$B$6:$B$28,0),0))</f>
        <v>0</v>
      </c>
      <c r="Q73" s="8" t="str">
        <f aca="false">IF($P73=0,"-",IF($O73&lt;=INDEX(PARAMETROS_CULTURAS!$F$6:$F$28,$P73),"INICIAL",IF($O73&lt;=INDEX(PARAMETROS_CULTURAS!$F$6:$F$28,$P73)+INDEX(PARAMETROS_CULTURAS!$G$6:$G$28,$P73),"DESENVOLVIMENTO",IF($O73&lt;=INDEX(PARAMETROS_CULTURAS!$F$6:$F$28,$P73)+INDEX(PARAMETROS_CULTURAS!$G$6:$G$28,$P73)+INDEX(PARAMETROS_CULTURAS!$H$6:$H$28,$P73),"MEDIA","FINAL"))))</f>
        <v>-</v>
      </c>
      <c r="R73" s="24" t="n">
        <f aca="false">IF($P73=0,0,IF($O73&lt;=INDEX(PARAMETROS_CULTURAS!$F$6:$F$28,$P73),INDEX(PARAMETROS_CULTURAS!$K$6:$K$28,$P73),IF($O73&lt;=INDEX(PARAMETROS_CULTURAS!$F$6:$F$28,$P73)+INDEX(PARAMETROS_CULTURAS!$G$6:$G$28,$P73),INDEX(PARAMETROS_CULTURAS!$K$6:$K$28,$P73)+(INDEX(PARAMETROS_CULTURAS!$L$6:$L$28,$P73)-INDEX(PARAMETROS_CULTURAS!$K$6:$K$28,$P73))*($O73-INDEX(PARAMETROS_CULTURAS!$F$6:$F$28,$P73))/MAX(INDEX(PARAMETROS_CULTURAS!$G$6:$G$28,$P73),0.0001),IF($O73&lt;=INDEX(PARAMETROS_CULTURAS!$F$6:$F$28,$P73)+INDEX(PARAMETROS_CULTURAS!$G$6:$G$28,$P73)+INDEX(PARAMETROS_CULTURAS!$H$6:$H$28,$P73),INDEX(PARAMETROS_CULTURAS!$L$6:$L$28,$P73),INDEX(PARAMETROS_CULTURAS!$L$6:$L$28,$P73)+(INDEX(PARAMETROS_CULTURAS!$M$6:$M$28,$P73)-INDEX(PARAMETROS_CULTURAS!$L$6:$L$28,$P73))*($O73-INDEX(PARAMETROS_CULTURAS!$F$6:$F$28,$P73)-INDEX(PARAMETROS_CULTURAS!$G$6:$G$28,$P73)-INDEX(PARAMETROS_CULTURAS!$H$6:$H$28,$P73))/MAX(INDEX(PARAMETROS_CULTURAS!$I$6:$I$28,$P73),0.0001)))))</f>
        <v>0</v>
      </c>
      <c r="S73" s="18" t="n">
        <f aca="false">IFERROR(INDEX(SEMANAS!$H$6:$H$71,MATCH($B73,SEMANAS!$B$6:$B$71,0)),0)</f>
        <v>40.6</v>
      </c>
      <c r="T73" s="18" t="n">
        <f aca="false">$R73*$S73</f>
        <v>0</v>
      </c>
      <c r="U73" s="18" t="n">
        <f aca="false">IFERROR(INDEX(SEMANAS!$I$6:$I$71,MATCH($B73,SEMANAS!$B$6:$B$71,0)),0)</f>
        <v>7</v>
      </c>
      <c r="V73" s="18" t="n">
        <f aca="false">IFERROR(INDEX(SEMANAS!$J$6:$J$71,MATCH($B73,SEMANAS!$B$6:$B$71,0)),0)</f>
        <v>5.6</v>
      </c>
      <c r="W73" s="18" t="n">
        <f aca="false">MAX(0,$T73-$V73)</f>
        <v>0</v>
      </c>
      <c r="X73" s="19" t="n">
        <f aca="false">IFERROR(INDEX(CADASTRO_PIVOS!$K$6:$K$41,MATCH($E73,CADASTRO_PIVOS!$B$6:$B$41,0)),EFICIENCIA_PADRAO)</f>
        <v>0.85</v>
      </c>
      <c r="Y73" s="18" t="n">
        <f aca="false">IF($X73&lt;=0,0,$W73/$X73)</f>
        <v>0</v>
      </c>
      <c r="Z73" s="16" t="n">
        <f aca="false">$Y73*$H73*MM_PARA_M3_HA</f>
        <v>0</v>
      </c>
      <c r="AA73" s="18" t="n">
        <f aca="false">IFERROR(INDEX(CADASTRO_PIVOS!$I$6:$I$41,MATCH($E73,CADASTRO_PIVOS!$B$6:$B$41,0)),0)</f>
        <v>718.5</v>
      </c>
      <c r="AB73" s="18" t="n">
        <f aca="false">IF($Z73&lt;=0,0,$Z73/$AA73)</f>
        <v>0</v>
      </c>
      <c r="AC73" s="16" t="n">
        <f aca="false">IFERROR(INDEX(SEMANAS!$K$6:$K$71,MATCH($B73,SEMANAS!$B$6:$B$71,0)),0)</f>
        <v>147</v>
      </c>
      <c r="AD73" s="19" t="n">
        <f aca="false">IF($AC73&lt;=0,0,$AB73/$AC73)</f>
        <v>0</v>
      </c>
      <c r="AE73" s="8" t="str">
        <f aca="false">IF($K73="SEM CULTURA","SEM CULTURA",IF($AA73&lt;=0,"DADO PENDENTE",IF($AD73&gt;LIMITE_CRITICO,"INVIAVEL",IF($AD73&gt;LIMITE_ATENCAO,"CRITICO",IF($AD73&gt;LIMITE_CONFORTAVEL,"ATENCAO","OK")))))</f>
        <v>SEM CULTURA</v>
      </c>
      <c r="AF73" s="8" t="str">
        <f aca="false">$B73&amp;"|"&amp;TEXT($AD73,"0.000000")</f>
        <v>2|0.000000</v>
      </c>
      <c r="AG73" s="18" t="n">
        <f aca="false">IF($K73="SEM CULTURA",0,$T73*$H73)</f>
        <v>0</v>
      </c>
      <c r="AH73" s="18" t="n">
        <f aca="false">IF($K73="SEM CULTURA",0,$V73*$H73)</f>
        <v>0</v>
      </c>
      <c r="AI73" s="18" t="n">
        <f aca="false">IF($K73="SEM CULTURA",0,$W73*$H73)</f>
        <v>0</v>
      </c>
      <c r="AJ73" s="18" t="n">
        <f aca="false">IF($K73="SEM CULTURA",0,$S73*$H73)</f>
        <v>0</v>
      </c>
      <c r="AK73" s="8" t="str">
        <f aca="false">$E73&amp;"|"&amp;TEXT($AD73,"0.000000")</f>
        <v>PV 106|0.000000</v>
      </c>
    </row>
    <row r="74" customFormat="false" ht="15" hidden="false" customHeight="false" outlineLevel="0" collapsed="false">
      <c r="B74" s="16" t="n">
        <v>3</v>
      </c>
      <c r="C74" s="17" t="n">
        <f aca="false">DATA_INICIO_SAFRA+($B74-1)*DIAS_POR_SEMANA</f>
        <v>46279</v>
      </c>
      <c r="D74" s="17" t="n">
        <f aca="false">$C74+DIAS_POR_SEMANA-1</f>
        <v>46285</v>
      </c>
      <c r="E74" s="15" t="s">
        <v>260</v>
      </c>
      <c r="F74" s="8" t="str">
        <f aca="false">IFERROR(INDEX(CADASTRO_PIVOS!$C$6:$C$41,MATCH($E74,CADASTRO_PIVOS!$B$6:$B$41,0)),"?")</f>
        <v>RM02</v>
      </c>
      <c r="G74" s="8" t="str">
        <f aca="false">IFERROR(INDEX(CADASTRO_PIVOS!$D$6:$D$41,MATCH($E74,CADASTRO_PIVOS!$B$6:$B$41,0)),"?")</f>
        <v>TR02</v>
      </c>
      <c r="H74" s="20" t="n">
        <f aca="false">IFERROR(INDEX(CADASTRO_PIVOS!$E$6:$E$41,MATCH($E74,CADASTRO_PIVOS!$B$6:$B$41,0)),0)</f>
        <v>100.59</v>
      </c>
      <c r="I74" s="16" t="n">
        <f aca="false">IFERROR(SUMIFS(ROTACAO_RDM!$B$6:$B$71,ROTACAO_RDM!$D$6:$D$71,$E74,ROTACAO_RDM!$I$6:$I$71,"&lt;="&amp;$C74+INT(DIAS_POR_SEMANA/2),ROTACAO_RDM!$J$6:$J$71,"&gt;="&amp;$C74+INT(DIAS_POR_SEMANA/2)),0)</f>
        <v>0</v>
      </c>
      <c r="J74" s="16" t="n">
        <f aca="false">IFERROR(MATCH($I74,ROTACAO_RDM!$B$6:$B$71,0),0)</f>
        <v>0</v>
      </c>
      <c r="K74" s="8" t="str">
        <f aca="false">IF($J74=0,"SEM CULTURA",INDEX(ROTACAO_RDM!$F$6:$F$71,$J74))</f>
        <v>SEM CULTURA</v>
      </c>
      <c r="L74" s="8" t="str">
        <f aca="false">IF($J74=0,"",INDEX(ROTACAO_RDM!$G$6:$G$71,$J74))</f>
        <v/>
      </c>
      <c r="M74" s="17" t="str">
        <f aca="false">IF($J74=0,"",INDEX(ROTACAO_RDM!$I$6:$I$71,$J74))</f>
        <v/>
      </c>
      <c r="N74" s="16" t="n">
        <f aca="false">IF($J74=0,0,MAX(0,$C74+INT(DIAS_POR_SEMANA/2)-INDEX(ROTACAO_RDM!$I$6:$I$71,$J74)))</f>
        <v>0</v>
      </c>
      <c r="O74" s="19" t="n">
        <f aca="false">IF($J74=0,0,MIN(1,$N74/MAX(1,INDEX(ROTACAO_RDM!$K$6:$K$71,$J74))))</f>
        <v>0</v>
      </c>
      <c r="P74" s="16" t="n">
        <f aca="false">IF($J74=0,0,IFERROR(MATCH(INDEX(ROTACAO_RDM!$N$6:$N$71,$J74),PARAMETROS_CULTURAS!$B$6:$B$28,0),0))</f>
        <v>0</v>
      </c>
      <c r="Q74" s="8" t="str">
        <f aca="false">IF($P74=0,"-",IF($O74&lt;=INDEX(PARAMETROS_CULTURAS!$F$6:$F$28,$P74),"INICIAL",IF($O74&lt;=INDEX(PARAMETROS_CULTURAS!$F$6:$F$28,$P74)+INDEX(PARAMETROS_CULTURAS!$G$6:$G$28,$P74),"DESENVOLVIMENTO",IF($O74&lt;=INDEX(PARAMETROS_CULTURAS!$F$6:$F$28,$P74)+INDEX(PARAMETROS_CULTURAS!$G$6:$G$28,$P74)+INDEX(PARAMETROS_CULTURAS!$H$6:$H$28,$P74),"MEDIA","FINAL"))))</f>
        <v>-</v>
      </c>
      <c r="R74" s="24" t="n">
        <f aca="false">IF($P74=0,0,IF($O74&lt;=INDEX(PARAMETROS_CULTURAS!$F$6:$F$28,$P74),INDEX(PARAMETROS_CULTURAS!$K$6:$K$28,$P74),IF($O74&lt;=INDEX(PARAMETROS_CULTURAS!$F$6:$F$28,$P74)+INDEX(PARAMETROS_CULTURAS!$G$6:$G$28,$P74),INDEX(PARAMETROS_CULTURAS!$K$6:$K$28,$P74)+(INDEX(PARAMETROS_CULTURAS!$L$6:$L$28,$P74)-INDEX(PARAMETROS_CULTURAS!$K$6:$K$28,$P74))*($O74-INDEX(PARAMETROS_CULTURAS!$F$6:$F$28,$P74))/MAX(INDEX(PARAMETROS_CULTURAS!$G$6:$G$28,$P74),0.0001),IF($O74&lt;=INDEX(PARAMETROS_CULTURAS!$F$6:$F$28,$P74)+INDEX(PARAMETROS_CULTURAS!$G$6:$G$28,$P74)+INDEX(PARAMETROS_CULTURAS!$H$6:$H$28,$P74),INDEX(PARAMETROS_CULTURAS!$L$6:$L$28,$P74),INDEX(PARAMETROS_CULTURAS!$L$6:$L$28,$P74)+(INDEX(PARAMETROS_CULTURAS!$M$6:$M$28,$P74)-INDEX(PARAMETROS_CULTURAS!$L$6:$L$28,$P74))*($O74-INDEX(PARAMETROS_CULTURAS!$F$6:$F$28,$P74)-INDEX(PARAMETROS_CULTURAS!$G$6:$G$28,$P74)-INDEX(PARAMETROS_CULTURAS!$H$6:$H$28,$P74))/MAX(INDEX(PARAMETROS_CULTURAS!$I$6:$I$28,$P74),0.0001)))))</f>
        <v>0</v>
      </c>
      <c r="S74" s="18" t="n">
        <f aca="false">IFERROR(INDEX(SEMANAS!$H$6:$H$71,MATCH($B74,SEMANAS!$B$6:$B$71,0)),0)</f>
        <v>40.6</v>
      </c>
      <c r="T74" s="18" t="n">
        <f aca="false">$R74*$S74</f>
        <v>0</v>
      </c>
      <c r="U74" s="18" t="n">
        <f aca="false">IFERROR(INDEX(SEMANAS!$I$6:$I$71,MATCH($B74,SEMANAS!$B$6:$B$71,0)),0)</f>
        <v>7</v>
      </c>
      <c r="V74" s="18" t="n">
        <f aca="false">IFERROR(INDEX(SEMANAS!$J$6:$J$71,MATCH($B74,SEMANAS!$B$6:$B$71,0)),0)</f>
        <v>5.6</v>
      </c>
      <c r="W74" s="18" t="n">
        <f aca="false">MAX(0,$T74-$V74)</f>
        <v>0</v>
      </c>
      <c r="X74" s="19" t="n">
        <f aca="false">IFERROR(INDEX(CADASTRO_PIVOS!$K$6:$K$41,MATCH($E74,CADASTRO_PIVOS!$B$6:$B$41,0)),EFICIENCIA_PADRAO)</f>
        <v>0.85</v>
      </c>
      <c r="Y74" s="18" t="n">
        <f aca="false">IF($X74&lt;=0,0,$W74/$X74)</f>
        <v>0</v>
      </c>
      <c r="Z74" s="16" t="n">
        <f aca="false">$Y74*$H74*MM_PARA_M3_HA</f>
        <v>0</v>
      </c>
      <c r="AA74" s="18" t="n">
        <f aca="false">IFERROR(INDEX(CADASTRO_PIVOS!$I$6:$I$41,MATCH($E74,CADASTRO_PIVOS!$B$6:$B$41,0)),0)</f>
        <v>718.5</v>
      </c>
      <c r="AB74" s="18" t="n">
        <f aca="false">IF($Z74&lt;=0,0,$Z74/$AA74)</f>
        <v>0</v>
      </c>
      <c r="AC74" s="16" t="n">
        <f aca="false">IFERROR(INDEX(SEMANAS!$K$6:$K$71,MATCH($B74,SEMANAS!$B$6:$B$71,0)),0)</f>
        <v>147</v>
      </c>
      <c r="AD74" s="19" t="n">
        <f aca="false">IF($AC74&lt;=0,0,$AB74/$AC74)</f>
        <v>0</v>
      </c>
      <c r="AE74" s="8" t="str">
        <f aca="false">IF($K74="SEM CULTURA","SEM CULTURA",IF($AA74&lt;=0,"DADO PENDENTE",IF($AD74&gt;LIMITE_CRITICO,"INVIAVEL",IF($AD74&gt;LIMITE_ATENCAO,"CRITICO",IF($AD74&gt;LIMITE_CONFORTAVEL,"ATENCAO","OK")))))</f>
        <v>SEM CULTURA</v>
      </c>
      <c r="AF74" s="8" t="str">
        <f aca="false">$B74&amp;"|"&amp;TEXT($AD74,"0.000000")</f>
        <v>3|0.000000</v>
      </c>
      <c r="AG74" s="18" t="n">
        <f aca="false">IF($K74="SEM CULTURA",0,$T74*$H74)</f>
        <v>0</v>
      </c>
      <c r="AH74" s="18" t="n">
        <f aca="false">IF($K74="SEM CULTURA",0,$V74*$H74)</f>
        <v>0</v>
      </c>
      <c r="AI74" s="18" t="n">
        <f aca="false">IF($K74="SEM CULTURA",0,$W74*$H74)</f>
        <v>0</v>
      </c>
      <c r="AJ74" s="18" t="n">
        <f aca="false">IF($K74="SEM CULTURA",0,$S74*$H74)</f>
        <v>0</v>
      </c>
      <c r="AK74" s="8" t="str">
        <f aca="false">$E74&amp;"|"&amp;TEXT($AD74,"0.000000")</f>
        <v>PV 106|0.000000</v>
      </c>
    </row>
    <row r="75" customFormat="false" ht="15" hidden="false" customHeight="false" outlineLevel="0" collapsed="false">
      <c r="B75" s="16" t="n">
        <v>4</v>
      </c>
      <c r="C75" s="17" t="n">
        <f aca="false">DATA_INICIO_SAFRA+($B75-1)*DIAS_POR_SEMANA</f>
        <v>46286</v>
      </c>
      <c r="D75" s="17" t="n">
        <f aca="false">$C75+DIAS_POR_SEMANA-1</f>
        <v>46292</v>
      </c>
      <c r="E75" s="15" t="s">
        <v>260</v>
      </c>
      <c r="F75" s="8" t="str">
        <f aca="false">IFERROR(INDEX(CADASTRO_PIVOS!$C$6:$C$41,MATCH($E75,CADASTRO_PIVOS!$B$6:$B$41,0)),"?")</f>
        <v>RM02</v>
      </c>
      <c r="G75" s="8" t="str">
        <f aca="false">IFERROR(INDEX(CADASTRO_PIVOS!$D$6:$D$41,MATCH($E75,CADASTRO_PIVOS!$B$6:$B$41,0)),"?")</f>
        <v>TR02</v>
      </c>
      <c r="H75" s="20" t="n">
        <f aca="false">IFERROR(INDEX(CADASTRO_PIVOS!$E$6:$E$41,MATCH($E75,CADASTRO_PIVOS!$B$6:$B$41,0)),0)</f>
        <v>100.59</v>
      </c>
      <c r="I75" s="16" t="n">
        <f aca="false">IFERROR(SUMIFS(ROTACAO_RDM!$B$6:$B$71,ROTACAO_RDM!$D$6:$D$71,$E75,ROTACAO_RDM!$I$6:$I$71,"&lt;="&amp;$C75+INT(DIAS_POR_SEMANA/2),ROTACAO_RDM!$J$6:$J$71,"&gt;="&amp;$C75+INT(DIAS_POR_SEMANA/2)),0)</f>
        <v>0</v>
      </c>
      <c r="J75" s="16" t="n">
        <f aca="false">IFERROR(MATCH($I75,ROTACAO_RDM!$B$6:$B$71,0),0)</f>
        <v>0</v>
      </c>
      <c r="K75" s="8" t="str">
        <f aca="false">IF($J75=0,"SEM CULTURA",INDEX(ROTACAO_RDM!$F$6:$F$71,$J75))</f>
        <v>SEM CULTURA</v>
      </c>
      <c r="L75" s="8" t="str">
        <f aca="false">IF($J75=0,"",INDEX(ROTACAO_RDM!$G$6:$G$71,$J75))</f>
        <v/>
      </c>
      <c r="M75" s="17" t="str">
        <f aca="false">IF($J75=0,"",INDEX(ROTACAO_RDM!$I$6:$I$71,$J75))</f>
        <v/>
      </c>
      <c r="N75" s="16" t="n">
        <f aca="false">IF($J75=0,0,MAX(0,$C75+INT(DIAS_POR_SEMANA/2)-INDEX(ROTACAO_RDM!$I$6:$I$71,$J75)))</f>
        <v>0</v>
      </c>
      <c r="O75" s="19" t="n">
        <f aca="false">IF($J75=0,0,MIN(1,$N75/MAX(1,INDEX(ROTACAO_RDM!$K$6:$K$71,$J75))))</f>
        <v>0</v>
      </c>
      <c r="P75" s="16" t="n">
        <f aca="false">IF($J75=0,0,IFERROR(MATCH(INDEX(ROTACAO_RDM!$N$6:$N$71,$J75),PARAMETROS_CULTURAS!$B$6:$B$28,0),0))</f>
        <v>0</v>
      </c>
      <c r="Q75" s="8" t="str">
        <f aca="false">IF($P75=0,"-",IF($O75&lt;=INDEX(PARAMETROS_CULTURAS!$F$6:$F$28,$P75),"INICIAL",IF($O75&lt;=INDEX(PARAMETROS_CULTURAS!$F$6:$F$28,$P75)+INDEX(PARAMETROS_CULTURAS!$G$6:$G$28,$P75),"DESENVOLVIMENTO",IF($O75&lt;=INDEX(PARAMETROS_CULTURAS!$F$6:$F$28,$P75)+INDEX(PARAMETROS_CULTURAS!$G$6:$G$28,$P75)+INDEX(PARAMETROS_CULTURAS!$H$6:$H$28,$P75),"MEDIA","FINAL"))))</f>
        <v>-</v>
      </c>
      <c r="R75" s="24" t="n">
        <f aca="false">IF($P75=0,0,IF($O75&lt;=INDEX(PARAMETROS_CULTURAS!$F$6:$F$28,$P75),INDEX(PARAMETROS_CULTURAS!$K$6:$K$28,$P75),IF($O75&lt;=INDEX(PARAMETROS_CULTURAS!$F$6:$F$28,$P75)+INDEX(PARAMETROS_CULTURAS!$G$6:$G$28,$P75),INDEX(PARAMETROS_CULTURAS!$K$6:$K$28,$P75)+(INDEX(PARAMETROS_CULTURAS!$L$6:$L$28,$P75)-INDEX(PARAMETROS_CULTURAS!$K$6:$K$28,$P75))*($O75-INDEX(PARAMETROS_CULTURAS!$F$6:$F$28,$P75))/MAX(INDEX(PARAMETROS_CULTURAS!$G$6:$G$28,$P75),0.0001),IF($O75&lt;=INDEX(PARAMETROS_CULTURAS!$F$6:$F$28,$P75)+INDEX(PARAMETROS_CULTURAS!$G$6:$G$28,$P75)+INDEX(PARAMETROS_CULTURAS!$H$6:$H$28,$P75),INDEX(PARAMETROS_CULTURAS!$L$6:$L$28,$P75),INDEX(PARAMETROS_CULTURAS!$L$6:$L$28,$P75)+(INDEX(PARAMETROS_CULTURAS!$M$6:$M$28,$P75)-INDEX(PARAMETROS_CULTURAS!$L$6:$L$28,$P75))*($O75-INDEX(PARAMETROS_CULTURAS!$F$6:$F$28,$P75)-INDEX(PARAMETROS_CULTURAS!$G$6:$G$28,$P75)-INDEX(PARAMETROS_CULTURAS!$H$6:$H$28,$P75))/MAX(INDEX(PARAMETROS_CULTURAS!$I$6:$I$28,$P75),0.0001)))))</f>
        <v>0</v>
      </c>
      <c r="S75" s="18" t="n">
        <f aca="false">IFERROR(INDEX(SEMANAS!$H$6:$H$71,MATCH($B75,SEMANAS!$B$6:$B$71,0)),0)</f>
        <v>40.6</v>
      </c>
      <c r="T75" s="18" t="n">
        <f aca="false">$R75*$S75</f>
        <v>0</v>
      </c>
      <c r="U75" s="18" t="n">
        <f aca="false">IFERROR(INDEX(SEMANAS!$I$6:$I$71,MATCH($B75,SEMANAS!$B$6:$B$71,0)),0)</f>
        <v>7</v>
      </c>
      <c r="V75" s="18" t="n">
        <f aca="false">IFERROR(INDEX(SEMANAS!$J$6:$J$71,MATCH($B75,SEMANAS!$B$6:$B$71,0)),0)</f>
        <v>5.6</v>
      </c>
      <c r="W75" s="18" t="n">
        <f aca="false">MAX(0,$T75-$V75)</f>
        <v>0</v>
      </c>
      <c r="X75" s="19" t="n">
        <f aca="false">IFERROR(INDEX(CADASTRO_PIVOS!$K$6:$K$41,MATCH($E75,CADASTRO_PIVOS!$B$6:$B$41,0)),EFICIENCIA_PADRAO)</f>
        <v>0.85</v>
      </c>
      <c r="Y75" s="18" t="n">
        <f aca="false">IF($X75&lt;=0,0,$W75/$X75)</f>
        <v>0</v>
      </c>
      <c r="Z75" s="16" t="n">
        <f aca="false">$Y75*$H75*MM_PARA_M3_HA</f>
        <v>0</v>
      </c>
      <c r="AA75" s="18" t="n">
        <f aca="false">IFERROR(INDEX(CADASTRO_PIVOS!$I$6:$I$41,MATCH($E75,CADASTRO_PIVOS!$B$6:$B$41,0)),0)</f>
        <v>718.5</v>
      </c>
      <c r="AB75" s="18" t="n">
        <f aca="false">IF($Z75&lt;=0,0,$Z75/$AA75)</f>
        <v>0</v>
      </c>
      <c r="AC75" s="16" t="n">
        <f aca="false">IFERROR(INDEX(SEMANAS!$K$6:$K$71,MATCH($B75,SEMANAS!$B$6:$B$71,0)),0)</f>
        <v>147</v>
      </c>
      <c r="AD75" s="19" t="n">
        <f aca="false">IF($AC75&lt;=0,0,$AB75/$AC75)</f>
        <v>0</v>
      </c>
      <c r="AE75" s="8" t="str">
        <f aca="false">IF($K75="SEM CULTURA","SEM CULTURA",IF($AA75&lt;=0,"DADO PENDENTE",IF($AD75&gt;LIMITE_CRITICO,"INVIAVEL",IF($AD75&gt;LIMITE_ATENCAO,"CRITICO",IF($AD75&gt;LIMITE_CONFORTAVEL,"ATENCAO","OK")))))</f>
        <v>SEM CULTURA</v>
      </c>
      <c r="AF75" s="8" t="str">
        <f aca="false">$B75&amp;"|"&amp;TEXT($AD75,"0.000000")</f>
        <v>4|0.000000</v>
      </c>
      <c r="AG75" s="18" t="n">
        <f aca="false">IF($K75="SEM CULTURA",0,$T75*$H75)</f>
        <v>0</v>
      </c>
      <c r="AH75" s="18" t="n">
        <f aca="false">IF($K75="SEM CULTURA",0,$V75*$H75)</f>
        <v>0</v>
      </c>
      <c r="AI75" s="18" t="n">
        <f aca="false">IF($K75="SEM CULTURA",0,$W75*$H75)</f>
        <v>0</v>
      </c>
      <c r="AJ75" s="18" t="n">
        <f aca="false">IF($K75="SEM CULTURA",0,$S75*$H75)</f>
        <v>0</v>
      </c>
      <c r="AK75" s="8" t="str">
        <f aca="false">$E75&amp;"|"&amp;TEXT($AD75,"0.000000")</f>
        <v>PV 106|0.000000</v>
      </c>
    </row>
    <row r="76" customFormat="false" ht="15" hidden="false" customHeight="false" outlineLevel="0" collapsed="false">
      <c r="B76" s="16" t="n">
        <v>5</v>
      </c>
      <c r="C76" s="17" t="n">
        <f aca="false">DATA_INICIO_SAFRA+($B76-1)*DIAS_POR_SEMANA</f>
        <v>46293</v>
      </c>
      <c r="D76" s="17" t="n">
        <f aca="false">$C76+DIAS_POR_SEMANA-1</f>
        <v>46299</v>
      </c>
      <c r="E76" s="15" t="s">
        <v>260</v>
      </c>
      <c r="F76" s="8" t="str">
        <f aca="false">IFERROR(INDEX(CADASTRO_PIVOS!$C$6:$C$41,MATCH($E76,CADASTRO_PIVOS!$B$6:$B$41,0)),"?")</f>
        <v>RM02</v>
      </c>
      <c r="G76" s="8" t="str">
        <f aca="false">IFERROR(INDEX(CADASTRO_PIVOS!$D$6:$D$41,MATCH($E76,CADASTRO_PIVOS!$B$6:$B$41,0)),"?")</f>
        <v>TR02</v>
      </c>
      <c r="H76" s="20" t="n">
        <f aca="false">IFERROR(INDEX(CADASTRO_PIVOS!$E$6:$E$41,MATCH($E76,CADASTRO_PIVOS!$B$6:$B$41,0)),0)</f>
        <v>100.59</v>
      </c>
      <c r="I76" s="16" t="n">
        <f aca="false">IFERROR(SUMIFS(ROTACAO_RDM!$B$6:$B$71,ROTACAO_RDM!$D$6:$D$71,$E76,ROTACAO_RDM!$I$6:$I$71,"&lt;="&amp;$C76+INT(DIAS_POR_SEMANA/2),ROTACAO_RDM!$J$6:$J$71,"&gt;="&amp;$C76+INT(DIAS_POR_SEMANA/2)),0)</f>
        <v>10</v>
      </c>
      <c r="J76" s="16" t="n">
        <f aca="false">IFERROR(MATCH($I76,ROTACAO_RDM!$B$6:$B$71,0),0)</f>
        <v>10</v>
      </c>
      <c r="K76" s="8" t="str">
        <f aca="false">IF($J76=0,"SEM CULTURA",INDEX(ROTACAO_RDM!$F$6:$F$71,$J76))</f>
        <v>SOJA</v>
      </c>
      <c r="L76" s="8" t="str">
        <f aca="false">IF($J76=0,"",INDEX(ROTACAO_RDM!$G$6:$G$71,$J76))</f>
        <v>NEO 761 I2X</v>
      </c>
      <c r="M76" s="17" t="n">
        <f aca="false">IF($J76=0,"",INDEX(ROTACAO_RDM!$I$6:$I$71,$J76))</f>
        <v>46291</v>
      </c>
      <c r="N76" s="16" t="n">
        <f aca="false">IF($J76=0,0,MAX(0,$C76+INT(DIAS_POR_SEMANA/2)-INDEX(ROTACAO_RDM!$I$6:$I$71,$J76)))</f>
        <v>5</v>
      </c>
      <c r="O76" s="19" t="n">
        <f aca="false">IF($J76=0,0,MIN(1,$N76/MAX(1,INDEX(ROTACAO_RDM!$K$6:$K$71,$J76))))</f>
        <v>0.0431034482758621</v>
      </c>
      <c r="P76" s="16" t="n">
        <f aca="false">IF($J76=0,0,IFERROR(MATCH(INDEX(ROTACAO_RDM!$N$6:$N$71,$J76),PARAMETROS_CULTURAS!$B$6:$B$28,0),0))</f>
        <v>2</v>
      </c>
      <c r="Q76" s="8" t="str">
        <f aca="false">IF($P76=0,"-",IF($O76&lt;=INDEX(PARAMETROS_CULTURAS!$F$6:$F$28,$P76),"INICIAL",IF($O76&lt;=INDEX(PARAMETROS_CULTURAS!$F$6:$F$28,$P76)+INDEX(PARAMETROS_CULTURAS!$G$6:$G$28,$P76),"DESENVOLVIMENTO",IF($O76&lt;=INDEX(PARAMETROS_CULTURAS!$F$6:$F$28,$P76)+INDEX(PARAMETROS_CULTURAS!$G$6:$G$28,$P76)+INDEX(PARAMETROS_CULTURAS!$H$6:$H$28,$P76),"MEDIA","FINAL"))))</f>
        <v>INICIAL</v>
      </c>
      <c r="R76" s="24" t="n">
        <f aca="false">IF($P76=0,0,IF($O76&lt;=INDEX(PARAMETROS_CULTURAS!$F$6:$F$28,$P76),INDEX(PARAMETROS_CULTURAS!$K$6:$K$28,$P76),IF($O76&lt;=INDEX(PARAMETROS_CULTURAS!$F$6:$F$28,$P76)+INDEX(PARAMETROS_CULTURAS!$G$6:$G$28,$P76),INDEX(PARAMETROS_CULTURAS!$K$6:$K$28,$P76)+(INDEX(PARAMETROS_CULTURAS!$L$6:$L$28,$P76)-INDEX(PARAMETROS_CULTURAS!$K$6:$K$28,$P76))*($O76-INDEX(PARAMETROS_CULTURAS!$F$6:$F$28,$P76))/MAX(INDEX(PARAMETROS_CULTURAS!$G$6:$G$28,$P76),0.0001),IF($O76&lt;=INDEX(PARAMETROS_CULTURAS!$F$6:$F$28,$P76)+INDEX(PARAMETROS_CULTURAS!$G$6:$G$28,$P76)+INDEX(PARAMETROS_CULTURAS!$H$6:$H$28,$P76),INDEX(PARAMETROS_CULTURAS!$L$6:$L$28,$P76),INDEX(PARAMETROS_CULTURAS!$L$6:$L$28,$P76)+(INDEX(PARAMETROS_CULTURAS!$M$6:$M$28,$P76)-INDEX(PARAMETROS_CULTURAS!$L$6:$L$28,$P76))*($O76-INDEX(PARAMETROS_CULTURAS!$F$6:$F$28,$P76)-INDEX(PARAMETROS_CULTURAS!$G$6:$G$28,$P76)-INDEX(PARAMETROS_CULTURAS!$H$6:$H$28,$P76))/MAX(INDEX(PARAMETROS_CULTURAS!$I$6:$I$28,$P76),0.0001)))))</f>
        <v>0.4</v>
      </c>
      <c r="S76" s="18" t="n">
        <f aca="false">IFERROR(INDEX(SEMANAS!$H$6:$H$71,MATCH($B76,SEMANAS!$B$6:$B$71,0)),0)</f>
        <v>39.8</v>
      </c>
      <c r="T76" s="18" t="n">
        <f aca="false">$R76*$S76</f>
        <v>15.92</v>
      </c>
      <c r="U76" s="18" t="n">
        <f aca="false">IFERROR(INDEX(SEMANAS!$I$6:$I$71,MATCH($B76,SEMANAS!$B$6:$B$71,0)),0)</f>
        <v>18.48</v>
      </c>
      <c r="V76" s="18" t="n">
        <f aca="false">IFERROR(INDEX(SEMANAS!$J$6:$J$71,MATCH($B76,SEMANAS!$B$6:$B$71,0)),0)</f>
        <v>14.784</v>
      </c>
      <c r="W76" s="18" t="n">
        <f aca="false">MAX(0,$T76-$V76)</f>
        <v>1.136</v>
      </c>
      <c r="X76" s="19" t="n">
        <f aca="false">IFERROR(INDEX(CADASTRO_PIVOS!$K$6:$K$41,MATCH($E76,CADASTRO_PIVOS!$B$6:$B$41,0)),EFICIENCIA_PADRAO)</f>
        <v>0.85</v>
      </c>
      <c r="Y76" s="18" t="n">
        <f aca="false">IF($X76&lt;=0,0,$W76/$X76)</f>
        <v>1.33647058823529</v>
      </c>
      <c r="Z76" s="16" t="n">
        <f aca="false">$Y76*$H76*MM_PARA_M3_HA</f>
        <v>1344.35576470588</v>
      </c>
      <c r="AA76" s="18" t="n">
        <f aca="false">IFERROR(INDEX(CADASTRO_PIVOS!$I$6:$I$41,MATCH($E76,CADASTRO_PIVOS!$B$6:$B$41,0)),0)</f>
        <v>718.5</v>
      </c>
      <c r="AB76" s="18" t="n">
        <f aca="false">IF($Z76&lt;=0,0,$Z76/$AA76)</f>
        <v>1.87105882352941</v>
      </c>
      <c r="AC76" s="16" t="n">
        <f aca="false">IFERROR(INDEX(SEMANAS!$K$6:$K$71,MATCH($B76,SEMANAS!$B$6:$B$71,0)),0)</f>
        <v>147</v>
      </c>
      <c r="AD76" s="19" t="n">
        <f aca="false">IF($AC76&lt;=0,0,$AB76/$AC76)</f>
        <v>0.0127282913165266</v>
      </c>
      <c r="AE76" s="8" t="str">
        <f aca="false">IF($K76="SEM CULTURA","SEM CULTURA",IF($AA76&lt;=0,"DADO PENDENTE",IF($AD76&gt;LIMITE_CRITICO,"INVIAVEL",IF($AD76&gt;LIMITE_ATENCAO,"CRITICO",IF($AD76&gt;LIMITE_CONFORTAVEL,"ATENCAO","OK")))))</f>
        <v>OK</v>
      </c>
      <c r="AF76" s="8" t="str">
        <f aca="false">$B76&amp;"|"&amp;TEXT($AD76,"0.000000")</f>
        <v>5|0.012728</v>
      </c>
      <c r="AG76" s="18" t="n">
        <f aca="false">IF($K76="SEM CULTURA",0,$T76*$H76)</f>
        <v>1601.3928</v>
      </c>
      <c r="AH76" s="18" t="n">
        <f aca="false">IF($K76="SEM CULTURA",0,$V76*$H76)</f>
        <v>1487.12256</v>
      </c>
      <c r="AI76" s="18" t="n">
        <f aca="false">IF($K76="SEM CULTURA",0,$W76*$H76)</f>
        <v>114.27024</v>
      </c>
      <c r="AJ76" s="18" t="n">
        <f aca="false">IF($K76="SEM CULTURA",0,$S76*$H76)</f>
        <v>4003.482</v>
      </c>
      <c r="AK76" s="8" t="str">
        <f aca="false">$E76&amp;"|"&amp;TEXT($AD76,"0.000000")</f>
        <v>PV 106|0.012728</v>
      </c>
    </row>
    <row r="77" customFormat="false" ht="15" hidden="false" customHeight="false" outlineLevel="0" collapsed="false">
      <c r="B77" s="16" t="n">
        <v>6</v>
      </c>
      <c r="C77" s="17" t="n">
        <f aca="false">DATA_INICIO_SAFRA+($B77-1)*DIAS_POR_SEMANA</f>
        <v>46300</v>
      </c>
      <c r="D77" s="17" t="n">
        <f aca="false">$C77+DIAS_POR_SEMANA-1</f>
        <v>46306</v>
      </c>
      <c r="E77" s="15" t="s">
        <v>260</v>
      </c>
      <c r="F77" s="8" t="str">
        <f aca="false">IFERROR(INDEX(CADASTRO_PIVOS!$C$6:$C$41,MATCH($E77,CADASTRO_PIVOS!$B$6:$B$41,0)),"?")</f>
        <v>RM02</v>
      </c>
      <c r="G77" s="8" t="str">
        <f aca="false">IFERROR(INDEX(CADASTRO_PIVOS!$D$6:$D$41,MATCH($E77,CADASTRO_PIVOS!$B$6:$B$41,0)),"?")</f>
        <v>TR02</v>
      </c>
      <c r="H77" s="20" t="n">
        <f aca="false">IFERROR(INDEX(CADASTRO_PIVOS!$E$6:$E$41,MATCH($E77,CADASTRO_PIVOS!$B$6:$B$41,0)),0)</f>
        <v>100.59</v>
      </c>
      <c r="I77" s="16" t="n">
        <f aca="false">IFERROR(SUMIFS(ROTACAO_RDM!$B$6:$B$71,ROTACAO_RDM!$D$6:$D$71,$E77,ROTACAO_RDM!$I$6:$I$71,"&lt;="&amp;$C77+INT(DIAS_POR_SEMANA/2),ROTACAO_RDM!$J$6:$J$71,"&gt;="&amp;$C77+INT(DIAS_POR_SEMANA/2)),0)</f>
        <v>10</v>
      </c>
      <c r="J77" s="16" t="n">
        <f aca="false">IFERROR(MATCH($I77,ROTACAO_RDM!$B$6:$B$71,0),0)</f>
        <v>10</v>
      </c>
      <c r="K77" s="8" t="str">
        <f aca="false">IF($J77=0,"SEM CULTURA",INDEX(ROTACAO_RDM!$F$6:$F$71,$J77))</f>
        <v>SOJA</v>
      </c>
      <c r="L77" s="8" t="str">
        <f aca="false">IF($J77=0,"",INDEX(ROTACAO_RDM!$G$6:$G$71,$J77))</f>
        <v>NEO 761 I2X</v>
      </c>
      <c r="M77" s="17" t="n">
        <f aca="false">IF($J77=0,"",INDEX(ROTACAO_RDM!$I$6:$I$71,$J77))</f>
        <v>46291</v>
      </c>
      <c r="N77" s="16" t="n">
        <f aca="false">IF($J77=0,0,MAX(0,$C77+INT(DIAS_POR_SEMANA/2)-INDEX(ROTACAO_RDM!$I$6:$I$71,$J77)))</f>
        <v>12</v>
      </c>
      <c r="O77" s="19" t="n">
        <f aca="false">IF($J77=0,0,MIN(1,$N77/MAX(1,INDEX(ROTACAO_RDM!$K$6:$K$71,$J77))))</f>
        <v>0.103448275862069</v>
      </c>
      <c r="P77" s="16" t="n">
        <f aca="false">IF($J77=0,0,IFERROR(MATCH(INDEX(ROTACAO_RDM!$N$6:$N$71,$J77),PARAMETROS_CULTURAS!$B$6:$B$28,0),0))</f>
        <v>2</v>
      </c>
      <c r="Q77" s="8" t="str">
        <f aca="false">IF($P77=0,"-",IF($O77&lt;=INDEX(PARAMETROS_CULTURAS!$F$6:$F$28,$P77),"INICIAL",IF($O77&lt;=INDEX(PARAMETROS_CULTURAS!$F$6:$F$28,$P77)+INDEX(PARAMETROS_CULTURAS!$G$6:$G$28,$P77),"DESENVOLVIMENTO",IF($O77&lt;=INDEX(PARAMETROS_CULTURAS!$F$6:$F$28,$P77)+INDEX(PARAMETROS_CULTURAS!$G$6:$G$28,$P77)+INDEX(PARAMETROS_CULTURAS!$H$6:$H$28,$P77),"MEDIA","FINAL"))))</f>
        <v>INICIAL</v>
      </c>
      <c r="R77" s="24" t="n">
        <f aca="false">IF($P77=0,0,IF($O77&lt;=INDEX(PARAMETROS_CULTURAS!$F$6:$F$28,$P77),INDEX(PARAMETROS_CULTURAS!$K$6:$K$28,$P77),IF($O77&lt;=INDEX(PARAMETROS_CULTURAS!$F$6:$F$28,$P77)+INDEX(PARAMETROS_CULTURAS!$G$6:$G$28,$P77),INDEX(PARAMETROS_CULTURAS!$K$6:$K$28,$P77)+(INDEX(PARAMETROS_CULTURAS!$L$6:$L$28,$P77)-INDEX(PARAMETROS_CULTURAS!$K$6:$K$28,$P77))*($O77-INDEX(PARAMETROS_CULTURAS!$F$6:$F$28,$P77))/MAX(INDEX(PARAMETROS_CULTURAS!$G$6:$G$28,$P77),0.0001),IF($O77&lt;=INDEX(PARAMETROS_CULTURAS!$F$6:$F$28,$P77)+INDEX(PARAMETROS_CULTURAS!$G$6:$G$28,$P77)+INDEX(PARAMETROS_CULTURAS!$H$6:$H$28,$P77),INDEX(PARAMETROS_CULTURAS!$L$6:$L$28,$P77),INDEX(PARAMETROS_CULTURAS!$L$6:$L$28,$P77)+(INDEX(PARAMETROS_CULTURAS!$M$6:$M$28,$P77)-INDEX(PARAMETROS_CULTURAS!$L$6:$L$28,$P77))*($O77-INDEX(PARAMETROS_CULTURAS!$F$6:$F$28,$P77)-INDEX(PARAMETROS_CULTURAS!$G$6:$G$28,$P77)-INDEX(PARAMETROS_CULTURAS!$H$6:$H$28,$P77))/MAX(INDEX(PARAMETROS_CULTURAS!$I$6:$I$28,$P77),0.0001)))))</f>
        <v>0.4</v>
      </c>
      <c r="S77" s="18" t="n">
        <f aca="false">IFERROR(INDEX(SEMANAS!$H$6:$H$71,MATCH($B77,SEMANAS!$B$6:$B$71,0)),0)</f>
        <v>39.2</v>
      </c>
      <c r="T77" s="18" t="n">
        <f aca="false">$R77*$S77</f>
        <v>15.68</v>
      </c>
      <c r="U77" s="18" t="n">
        <f aca="false">IFERROR(INDEX(SEMANAS!$I$6:$I$71,MATCH($B77,SEMANAS!$B$6:$B$71,0)),0)</f>
        <v>27.09</v>
      </c>
      <c r="V77" s="18" t="n">
        <f aca="false">IFERROR(INDEX(SEMANAS!$J$6:$J$71,MATCH($B77,SEMANAS!$B$6:$B$71,0)),0)</f>
        <v>21.672</v>
      </c>
      <c r="W77" s="18" t="n">
        <f aca="false">MAX(0,$T77-$V77)</f>
        <v>0</v>
      </c>
      <c r="X77" s="19" t="n">
        <f aca="false">IFERROR(INDEX(CADASTRO_PIVOS!$K$6:$K$41,MATCH($E77,CADASTRO_PIVOS!$B$6:$B$41,0)),EFICIENCIA_PADRAO)</f>
        <v>0.85</v>
      </c>
      <c r="Y77" s="18" t="n">
        <f aca="false">IF($X77&lt;=0,0,$W77/$X77)</f>
        <v>0</v>
      </c>
      <c r="Z77" s="16" t="n">
        <f aca="false">$Y77*$H77*MM_PARA_M3_HA</f>
        <v>0</v>
      </c>
      <c r="AA77" s="18" t="n">
        <f aca="false">IFERROR(INDEX(CADASTRO_PIVOS!$I$6:$I$41,MATCH($E77,CADASTRO_PIVOS!$B$6:$B$41,0)),0)</f>
        <v>718.5</v>
      </c>
      <c r="AB77" s="18" t="n">
        <f aca="false">IF($Z77&lt;=0,0,$Z77/$AA77)</f>
        <v>0</v>
      </c>
      <c r="AC77" s="16" t="n">
        <f aca="false">IFERROR(INDEX(SEMANAS!$K$6:$K$71,MATCH($B77,SEMANAS!$B$6:$B$71,0)),0)</f>
        <v>147</v>
      </c>
      <c r="AD77" s="19" t="n">
        <f aca="false">IF($AC77&lt;=0,0,$AB77/$AC77)</f>
        <v>0</v>
      </c>
      <c r="AE77" s="8" t="str">
        <f aca="false">IF($K77="SEM CULTURA","SEM CULTURA",IF($AA77&lt;=0,"DADO PENDENTE",IF($AD77&gt;LIMITE_CRITICO,"INVIAVEL",IF($AD77&gt;LIMITE_ATENCAO,"CRITICO",IF($AD77&gt;LIMITE_CONFORTAVEL,"ATENCAO","OK")))))</f>
        <v>OK</v>
      </c>
      <c r="AF77" s="8" t="str">
        <f aca="false">$B77&amp;"|"&amp;TEXT($AD77,"0.000000")</f>
        <v>6|0.000000</v>
      </c>
      <c r="AG77" s="18" t="n">
        <f aca="false">IF($K77="SEM CULTURA",0,$T77*$H77)</f>
        <v>1577.2512</v>
      </c>
      <c r="AH77" s="18" t="n">
        <f aca="false">IF($K77="SEM CULTURA",0,$V77*$H77)</f>
        <v>2179.98648</v>
      </c>
      <c r="AI77" s="18" t="n">
        <f aca="false">IF($K77="SEM CULTURA",0,$W77*$H77)</f>
        <v>0</v>
      </c>
      <c r="AJ77" s="18" t="n">
        <f aca="false">IF($K77="SEM CULTURA",0,$S77*$H77)</f>
        <v>3943.128</v>
      </c>
      <c r="AK77" s="8" t="str">
        <f aca="false">$E77&amp;"|"&amp;TEXT($AD77,"0.000000")</f>
        <v>PV 106|0.000000</v>
      </c>
    </row>
    <row r="78" customFormat="false" ht="15" hidden="false" customHeight="false" outlineLevel="0" collapsed="false">
      <c r="B78" s="16" t="n">
        <v>7</v>
      </c>
      <c r="C78" s="17" t="n">
        <f aca="false">DATA_INICIO_SAFRA+($B78-1)*DIAS_POR_SEMANA</f>
        <v>46307</v>
      </c>
      <c r="D78" s="17" t="n">
        <f aca="false">$C78+DIAS_POR_SEMANA-1</f>
        <v>46313</v>
      </c>
      <c r="E78" s="15" t="s">
        <v>260</v>
      </c>
      <c r="F78" s="8" t="str">
        <f aca="false">IFERROR(INDEX(CADASTRO_PIVOS!$C$6:$C$41,MATCH($E78,CADASTRO_PIVOS!$B$6:$B$41,0)),"?")</f>
        <v>RM02</v>
      </c>
      <c r="G78" s="8" t="str">
        <f aca="false">IFERROR(INDEX(CADASTRO_PIVOS!$D$6:$D$41,MATCH($E78,CADASTRO_PIVOS!$B$6:$B$41,0)),"?")</f>
        <v>TR02</v>
      </c>
      <c r="H78" s="20" t="n">
        <f aca="false">IFERROR(INDEX(CADASTRO_PIVOS!$E$6:$E$41,MATCH($E78,CADASTRO_PIVOS!$B$6:$B$41,0)),0)</f>
        <v>100.59</v>
      </c>
      <c r="I78" s="16" t="n">
        <f aca="false">IFERROR(SUMIFS(ROTACAO_RDM!$B$6:$B$71,ROTACAO_RDM!$D$6:$D$71,$E78,ROTACAO_RDM!$I$6:$I$71,"&lt;="&amp;$C78+INT(DIAS_POR_SEMANA/2),ROTACAO_RDM!$J$6:$J$71,"&gt;="&amp;$C78+INT(DIAS_POR_SEMANA/2)),0)</f>
        <v>10</v>
      </c>
      <c r="J78" s="16" t="n">
        <f aca="false">IFERROR(MATCH($I78,ROTACAO_RDM!$B$6:$B$71,0),0)</f>
        <v>10</v>
      </c>
      <c r="K78" s="8" t="str">
        <f aca="false">IF($J78=0,"SEM CULTURA",INDEX(ROTACAO_RDM!$F$6:$F$71,$J78))</f>
        <v>SOJA</v>
      </c>
      <c r="L78" s="8" t="str">
        <f aca="false">IF($J78=0,"",INDEX(ROTACAO_RDM!$G$6:$G$71,$J78))</f>
        <v>NEO 761 I2X</v>
      </c>
      <c r="M78" s="17" t="n">
        <f aca="false">IF($J78=0,"",INDEX(ROTACAO_RDM!$I$6:$I$71,$J78))</f>
        <v>46291</v>
      </c>
      <c r="N78" s="16" t="n">
        <f aca="false">IF($J78=0,0,MAX(0,$C78+INT(DIAS_POR_SEMANA/2)-INDEX(ROTACAO_RDM!$I$6:$I$71,$J78)))</f>
        <v>19</v>
      </c>
      <c r="O78" s="19" t="n">
        <f aca="false">IF($J78=0,0,MIN(1,$N78/MAX(1,INDEX(ROTACAO_RDM!$K$6:$K$71,$J78))))</f>
        <v>0.163793103448276</v>
      </c>
      <c r="P78" s="16" t="n">
        <f aca="false">IF($J78=0,0,IFERROR(MATCH(INDEX(ROTACAO_RDM!$N$6:$N$71,$J78),PARAMETROS_CULTURAS!$B$6:$B$28,0),0))</f>
        <v>2</v>
      </c>
      <c r="Q78" s="8" t="str">
        <f aca="false">IF($P78=0,"-",IF($O78&lt;=INDEX(PARAMETROS_CULTURAS!$F$6:$F$28,$P78),"INICIAL",IF($O78&lt;=INDEX(PARAMETROS_CULTURAS!$F$6:$F$28,$P78)+INDEX(PARAMETROS_CULTURAS!$G$6:$G$28,$P78),"DESENVOLVIMENTO",IF($O78&lt;=INDEX(PARAMETROS_CULTURAS!$F$6:$F$28,$P78)+INDEX(PARAMETROS_CULTURAS!$G$6:$G$28,$P78)+INDEX(PARAMETROS_CULTURAS!$H$6:$H$28,$P78),"MEDIA","FINAL"))))</f>
        <v>DESENVOLVIMENTO</v>
      </c>
      <c r="R78" s="24" t="n">
        <f aca="false">IF($P78=0,0,IF($O78&lt;=INDEX(PARAMETROS_CULTURAS!$F$6:$F$28,$P78),INDEX(PARAMETROS_CULTURAS!$K$6:$K$28,$P78),IF($O78&lt;=INDEX(PARAMETROS_CULTURAS!$F$6:$F$28,$P78)+INDEX(PARAMETROS_CULTURAS!$G$6:$G$28,$P78),INDEX(PARAMETROS_CULTURAS!$K$6:$K$28,$P78)+(INDEX(PARAMETROS_CULTURAS!$L$6:$L$28,$P78)-INDEX(PARAMETROS_CULTURAS!$K$6:$K$28,$P78))*($O78-INDEX(PARAMETROS_CULTURAS!$F$6:$F$28,$P78))/MAX(INDEX(PARAMETROS_CULTURAS!$G$6:$G$28,$P78),0.0001),IF($O78&lt;=INDEX(PARAMETROS_CULTURAS!$F$6:$F$28,$P78)+INDEX(PARAMETROS_CULTURAS!$G$6:$G$28,$P78)+INDEX(PARAMETROS_CULTURAS!$H$6:$H$28,$P78),INDEX(PARAMETROS_CULTURAS!$L$6:$L$28,$P78),INDEX(PARAMETROS_CULTURAS!$L$6:$L$28,$P78)+(INDEX(PARAMETROS_CULTURAS!$M$6:$M$28,$P78)-INDEX(PARAMETROS_CULTURAS!$L$6:$L$28,$P78))*($O78-INDEX(PARAMETROS_CULTURAS!$F$6:$F$28,$P78)-INDEX(PARAMETROS_CULTURAS!$G$6:$G$28,$P78)-INDEX(PARAMETROS_CULTURAS!$H$6:$H$28,$P78))/MAX(INDEX(PARAMETROS_CULTURAS!$I$6:$I$28,$P78),0.0001)))))</f>
        <v>0.412368815592204</v>
      </c>
      <c r="S78" s="18" t="n">
        <f aca="false">IFERROR(INDEX(SEMANAS!$H$6:$H$71,MATCH($B78,SEMANAS!$B$6:$B$71,0)),0)</f>
        <v>39.2</v>
      </c>
      <c r="T78" s="18" t="n">
        <f aca="false">$R78*$S78</f>
        <v>16.1648575712144</v>
      </c>
      <c r="U78" s="18" t="n">
        <f aca="false">IFERROR(INDEX(SEMANAS!$I$6:$I$71,MATCH($B78,SEMANAS!$B$6:$B$71,0)),0)</f>
        <v>27.09</v>
      </c>
      <c r="V78" s="18" t="n">
        <f aca="false">IFERROR(INDEX(SEMANAS!$J$6:$J$71,MATCH($B78,SEMANAS!$B$6:$B$71,0)),0)</f>
        <v>21.672</v>
      </c>
      <c r="W78" s="18" t="n">
        <f aca="false">MAX(0,$T78-$V78)</f>
        <v>0</v>
      </c>
      <c r="X78" s="19" t="n">
        <f aca="false">IFERROR(INDEX(CADASTRO_PIVOS!$K$6:$K$41,MATCH($E78,CADASTRO_PIVOS!$B$6:$B$41,0)),EFICIENCIA_PADRAO)</f>
        <v>0.85</v>
      </c>
      <c r="Y78" s="18" t="n">
        <f aca="false">IF($X78&lt;=0,0,$W78/$X78)</f>
        <v>0</v>
      </c>
      <c r="Z78" s="16" t="n">
        <f aca="false">$Y78*$H78*MM_PARA_M3_HA</f>
        <v>0</v>
      </c>
      <c r="AA78" s="18" t="n">
        <f aca="false">IFERROR(INDEX(CADASTRO_PIVOS!$I$6:$I$41,MATCH($E78,CADASTRO_PIVOS!$B$6:$B$41,0)),0)</f>
        <v>718.5</v>
      </c>
      <c r="AB78" s="18" t="n">
        <f aca="false">IF($Z78&lt;=0,0,$Z78/$AA78)</f>
        <v>0</v>
      </c>
      <c r="AC78" s="16" t="n">
        <f aca="false">IFERROR(INDEX(SEMANAS!$K$6:$K$71,MATCH($B78,SEMANAS!$B$6:$B$71,0)),0)</f>
        <v>147</v>
      </c>
      <c r="AD78" s="19" t="n">
        <f aca="false">IF($AC78&lt;=0,0,$AB78/$AC78)</f>
        <v>0</v>
      </c>
      <c r="AE78" s="8" t="str">
        <f aca="false">IF($K78="SEM CULTURA","SEM CULTURA",IF($AA78&lt;=0,"DADO PENDENTE",IF($AD78&gt;LIMITE_CRITICO,"INVIAVEL",IF($AD78&gt;LIMITE_ATENCAO,"CRITICO",IF($AD78&gt;LIMITE_CONFORTAVEL,"ATENCAO","OK")))))</f>
        <v>OK</v>
      </c>
      <c r="AF78" s="8" t="str">
        <f aca="false">$B78&amp;"|"&amp;TEXT($AD78,"0.000000")</f>
        <v>7|0.000000</v>
      </c>
      <c r="AG78" s="18" t="n">
        <f aca="false">IF($K78="SEM CULTURA",0,$T78*$H78)</f>
        <v>1626.02302308846</v>
      </c>
      <c r="AH78" s="18" t="n">
        <f aca="false">IF($K78="SEM CULTURA",0,$V78*$H78)</f>
        <v>2179.98648</v>
      </c>
      <c r="AI78" s="18" t="n">
        <f aca="false">IF($K78="SEM CULTURA",0,$W78*$H78)</f>
        <v>0</v>
      </c>
      <c r="AJ78" s="18" t="n">
        <f aca="false">IF($K78="SEM CULTURA",0,$S78*$H78)</f>
        <v>3943.128</v>
      </c>
      <c r="AK78" s="8" t="str">
        <f aca="false">$E78&amp;"|"&amp;TEXT($AD78,"0.000000")</f>
        <v>PV 106|0.000000</v>
      </c>
    </row>
    <row r="79" customFormat="false" ht="15" hidden="false" customHeight="false" outlineLevel="0" collapsed="false">
      <c r="B79" s="16" t="n">
        <v>8</v>
      </c>
      <c r="C79" s="17" t="n">
        <f aca="false">DATA_INICIO_SAFRA+($B79-1)*DIAS_POR_SEMANA</f>
        <v>46314</v>
      </c>
      <c r="D79" s="17" t="n">
        <f aca="false">$C79+DIAS_POR_SEMANA-1</f>
        <v>46320</v>
      </c>
      <c r="E79" s="15" t="s">
        <v>260</v>
      </c>
      <c r="F79" s="8" t="str">
        <f aca="false">IFERROR(INDEX(CADASTRO_PIVOS!$C$6:$C$41,MATCH($E79,CADASTRO_PIVOS!$B$6:$B$41,0)),"?")</f>
        <v>RM02</v>
      </c>
      <c r="G79" s="8" t="str">
        <f aca="false">IFERROR(INDEX(CADASTRO_PIVOS!$D$6:$D$41,MATCH($E79,CADASTRO_PIVOS!$B$6:$B$41,0)),"?")</f>
        <v>TR02</v>
      </c>
      <c r="H79" s="20" t="n">
        <f aca="false">IFERROR(INDEX(CADASTRO_PIVOS!$E$6:$E$41,MATCH($E79,CADASTRO_PIVOS!$B$6:$B$41,0)),0)</f>
        <v>100.59</v>
      </c>
      <c r="I79" s="16" t="n">
        <f aca="false">IFERROR(SUMIFS(ROTACAO_RDM!$B$6:$B$71,ROTACAO_RDM!$D$6:$D$71,$E79,ROTACAO_RDM!$I$6:$I$71,"&lt;="&amp;$C79+INT(DIAS_POR_SEMANA/2),ROTACAO_RDM!$J$6:$J$71,"&gt;="&amp;$C79+INT(DIAS_POR_SEMANA/2)),0)</f>
        <v>10</v>
      </c>
      <c r="J79" s="16" t="n">
        <f aca="false">IFERROR(MATCH($I79,ROTACAO_RDM!$B$6:$B$71,0),0)</f>
        <v>10</v>
      </c>
      <c r="K79" s="8" t="str">
        <f aca="false">IF($J79=0,"SEM CULTURA",INDEX(ROTACAO_RDM!$F$6:$F$71,$J79))</f>
        <v>SOJA</v>
      </c>
      <c r="L79" s="8" t="str">
        <f aca="false">IF($J79=0,"",INDEX(ROTACAO_RDM!$G$6:$G$71,$J79))</f>
        <v>NEO 761 I2X</v>
      </c>
      <c r="M79" s="17" t="n">
        <f aca="false">IF($J79=0,"",INDEX(ROTACAO_RDM!$I$6:$I$71,$J79))</f>
        <v>46291</v>
      </c>
      <c r="N79" s="16" t="n">
        <f aca="false">IF($J79=0,0,MAX(0,$C79+INT(DIAS_POR_SEMANA/2)-INDEX(ROTACAO_RDM!$I$6:$I$71,$J79)))</f>
        <v>26</v>
      </c>
      <c r="O79" s="19" t="n">
        <f aca="false">IF($J79=0,0,MIN(1,$N79/MAX(1,INDEX(ROTACAO_RDM!$K$6:$K$71,$J79))))</f>
        <v>0.224137931034483</v>
      </c>
      <c r="P79" s="16" t="n">
        <f aca="false">IF($J79=0,0,IFERROR(MATCH(INDEX(ROTACAO_RDM!$N$6:$N$71,$J79),PARAMETROS_CULTURAS!$B$6:$B$28,0),0))</f>
        <v>2</v>
      </c>
      <c r="Q79" s="8" t="str">
        <f aca="false">IF($P79=0,"-",IF($O79&lt;=INDEX(PARAMETROS_CULTURAS!$F$6:$F$28,$P79),"INICIAL",IF($O79&lt;=INDEX(PARAMETROS_CULTURAS!$F$6:$F$28,$P79)+INDEX(PARAMETROS_CULTURAS!$G$6:$G$28,$P79),"DESENVOLVIMENTO",IF($O79&lt;=INDEX(PARAMETROS_CULTURAS!$F$6:$F$28,$P79)+INDEX(PARAMETROS_CULTURAS!$G$6:$G$28,$P79)+INDEX(PARAMETROS_CULTURAS!$H$6:$H$28,$P79),"MEDIA","FINAL"))))</f>
        <v>DESENVOLVIMENTO</v>
      </c>
      <c r="R79" s="24" t="n">
        <f aca="false">IF($P79=0,0,IF($O79&lt;=INDEX(PARAMETROS_CULTURAS!$F$6:$F$28,$P79),INDEX(PARAMETROS_CULTURAS!$K$6:$K$28,$P79),IF($O79&lt;=INDEX(PARAMETROS_CULTURAS!$F$6:$F$28,$P79)+INDEX(PARAMETROS_CULTURAS!$G$6:$G$28,$P79),INDEX(PARAMETROS_CULTURAS!$K$6:$K$28,$P79)+(INDEX(PARAMETROS_CULTURAS!$L$6:$L$28,$P79)-INDEX(PARAMETROS_CULTURAS!$K$6:$K$28,$P79))*($O79-INDEX(PARAMETROS_CULTURAS!$F$6:$F$28,$P79))/MAX(INDEX(PARAMETROS_CULTURAS!$G$6:$G$28,$P79),0.0001),IF($O79&lt;=INDEX(PARAMETROS_CULTURAS!$F$6:$F$28,$P79)+INDEX(PARAMETROS_CULTURAS!$G$6:$G$28,$P79)+INDEX(PARAMETROS_CULTURAS!$H$6:$H$28,$P79),INDEX(PARAMETROS_CULTURAS!$L$6:$L$28,$P79),INDEX(PARAMETROS_CULTURAS!$L$6:$L$28,$P79)+(INDEX(PARAMETROS_CULTURAS!$M$6:$M$28,$P79)-INDEX(PARAMETROS_CULTURAS!$L$6:$L$28,$P79))*($O79-INDEX(PARAMETROS_CULTURAS!$F$6:$F$28,$P79)-INDEX(PARAMETROS_CULTURAS!$G$6:$G$28,$P79)-INDEX(PARAMETROS_CULTURAS!$H$6:$H$28,$P79))/MAX(INDEX(PARAMETROS_CULTURAS!$I$6:$I$28,$P79),0.0001)))))</f>
        <v>0.609145427286357</v>
      </c>
      <c r="S79" s="18" t="n">
        <f aca="false">IFERROR(INDEX(SEMANAS!$H$6:$H$71,MATCH($B79,SEMANAS!$B$6:$B$71,0)),0)</f>
        <v>39.2</v>
      </c>
      <c r="T79" s="18" t="n">
        <f aca="false">$R79*$S79</f>
        <v>23.8785007496252</v>
      </c>
      <c r="U79" s="18" t="n">
        <f aca="false">IFERROR(INDEX(SEMANAS!$I$6:$I$71,MATCH($B79,SEMANAS!$B$6:$B$71,0)),0)</f>
        <v>27.09</v>
      </c>
      <c r="V79" s="18" t="n">
        <f aca="false">IFERROR(INDEX(SEMANAS!$J$6:$J$71,MATCH($B79,SEMANAS!$B$6:$B$71,0)),0)</f>
        <v>21.672</v>
      </c>
      <c r="W79" s="18" t="n">
        <f aca="false">MAX(0,$T79-$V79)</f>
        <v>2.20650074962518</v>
      </c>
      <c r="X79" s="19" t="n">
        <f aca="false">IFERROR(INDEX(CADASTRO_PIVOS!$K$6:$K$41,MATCH($E79,CADASTRO_PIVOS!$B$6:$B$41,0)),EFICIENCIA_PADRAO)</f>
        <v>0.85</v>
      </c>
      <c r="Y79" s="18" t="n">
        <f aca="false">IF($X79&lt;=0,0,$W79/$X79)</f>
        <v>2.59588323485316</v>
      </c>
      <c r="Z79" s="16" t="n">
        <f aca="false">$Y79*$H79*MM_PARA_M3_HA</f>
        <v>2611.19894593879</v>
      </c>
      <c r="AA79" s="18" t="n">
        <f aca="false">IFERROR(INDEX(CADASTRO_PIVOS!$I$6:$I$41,MATCH($E79,CADASTRO_PIVOS!$B$6:$B$41,0)),0)</f>
        <v>718.5</v>
      </c>
      <c r="AB79" s="18" t="n">
        <f aca="false">IF($Z79&lt;=0,0,$Z79/$AA79)</f>
        <v>3.63423652879442</v>
      </c>
      <c r="AC79" s="16" t="n">
        <f aca="false">IFERROR(INDEX(SEMANAS!$K$6:$K$71,MATCH($B79,SEMANAS!$B$6:$B$71,0)),0)</f>
        <v>147</v>
      </c>
      <c r="AD79" s="19" t="n">
        <f aca="false">IF($AC79&lt;=0,0,$AB79/$AC79)</f>
        <v>0.024722697474792</v>
      </c>
      <c r="AE79" s="8" t="str">
        <f aca="false">IF($K79="SEM CULTURA","SEM CULTURA",IF($AA79&lt;=0,"DADO PENDENTE",IF($AD79&gt;LIMITE_CRITICO,"INVIAVEL",IF($AD79&gt;LIMITE_ATENCAO,"CRITICO",IF($AD79&gt;LIMITE_CONFORTAVEL,"ATENCAO","OK")))))</f>
        <v>OK</v>
      </c>
      <c r="AF79" s="8" t="str">
        <f aca="false">$B79&amp;"|"&amp;TEXT($AD79,"0.000000")</f>
        <v>8|0.024723</v>
      </c>
      <c r="AG79" s="18" t="n">
        <f aca="false">IF($K79="SEM CULTURA",0,$T79*$H79)</f>
        <v>2401.9383904048</v>
      </c>
      <c r="AH79" s="18" t="n">
        <f aca="false">IF($K79="SEM CULTURA",0,$V79*$H79)</f>
        <v>2179.98648</v>
      </c>
      <c r="AI79" s="18" t="n">
        <f aca="false">IF($K79="SEM CULTURA",0,$W79*$H79)</f>
        <v>221.951910404797</v>
      </c>
      <c r="AJ79" s="18" t="n">
        <f aca="false">IF($K79="SEM CULTURA",0,$S79*$H79)</f>
        <v>3943.128</v>
      </c>
      <c r="AK79" s="8" t="str">
        <f aca="false">$E79&amp;"|"&amp;TEXT($AD79,"0.000000")</f>
        <v>PV 106|0.024723</v>
      </c>
    </row>
    <row r="80" customFormat="false" ht="15" hidden="false" customHeight="false" outlineLevel="0" collapsed="false">
      <c r="B80" s="16" t="n">
        <v>9</v>
      </c>
      <c r="C80" s="17" t="n">
        <f aca="false">DATA_INICIO_SAFRA+($B80-1)*DIAS_POR_SEMANA</f>
        <v>46321</v>
      </c>
      <c r="D80" s="17" t="n">
        <f aca="false">$C80+DIAS_POR_SEMANA-1</f>
        <v>46327</v>
      </c>
      <c r="E80" s="15" t="s">
        <v>260</v>
      </c>
      <c r="F80" s="8" t="str">
        <f aca="false">IFERROR(INDEX(CADASTRO_PIVOS!$C$6:$C$41,MATCH($E80,CADASTRO_PIVOS!$B$6:$B$41,0)),"?")</f>
        <v>RM02</v>
      </c>
      <c r="G80" s="8" t="str">
        <f aca="false">IFERROR(INDEX(CADASTRO_PIVOS!$D$6:$D$41,MATCH($E80,CADASTRO_PIVOS!$B$6:$B$41,0)),"?")</f>
        <v>TR02</v>
      </c>
      <c r="H80" s="20" t="n">
        <f aca="false">IFERROR(INDEX(CADASTRO_PIVOS!$E$6:$E$41,MATCH($E80,CADASTRO_PIVOS!$B$6:$B$41,0)),0)</f>
        <v>100.59</v>
      </c>
      <c r="I80" s="16" t="n">
        <f aca="false">IFERROR(SUMIFS(ROTACAO_RDM!$B$6:$B$71,ROTACAO_RDM!$D$6:$D$71,$E80,ROTACAO_RDM!$I$6:$I$71,"&lt;="&amp;$C80+INT(DIAS_POR_SEMANA/2),ROTACAO_RDM!$J$6:$J$71,"&gt;="&amp;$C80+INT(DIAS_POR_SEMANA/2)),0)</f>
        <v>10</v>
      </c>
      <c r="J80" s="16" t="n">
        <f aca="false">IFERROR(MATCH($I80,ROTACAO_RDM!$B$6:$B$71,0),0)</f>
        <v>10</v>
      </c>
      <c r="K80" s="8" t="str">
        <f aca="false">IF($J80=0,"SEM CULTURA",INDEX(ROTACAO_RDM!$F$6:$F$71,$J80))</f>
        <v>SOJA</v>
      </c>
      <c r="L80" s="8" t="str">
        <f aca="false">IF($J80=0,"",INDEX(ROTACAO_RDM!$G$6:$G$71,$J80))</f>
        <v>NEO 761 I2X</v>
      </c>
      <c r="M80" s="17" t="n">
        <f aca="false">IF($J80=0,"",INDEX(ROTACAO_RDM!$I$6:$I$71,$J80))</f>
        <v>46291</v>
      </c>
      <c r="N80" s="16" t="n">
        <f aca="false">IF($J80=0,0,MAX(0,$C80+INT(DIAS_POR_SEMANA/2)-INDEX(ROTACAO_RDM!$I$6:$I$71,$J80)))</f>
        <v>33</v>
      </c>
      <c r="O80" s="19" t="n">
        <f aca="false">IF($J80=0,0,MIN(1,$N80/MAX(1,INDEX(ROTACAO_RDM!$K$6:$K$71,$J80))))</f>
        <v>0.28448275862069</v>
      </c>
      <c r="P80" s="16" t="n">
        <f aca="false">IF($J80=0,0,IFERROR(MATCH(INDEX(ROTACAO_RDM!$N$6:$N$71,$J80),PARAMETROS_CULTURAS!$B$6:$B$28,0),0))</f>
        <v>2</v>
      </c>
      <c r="Q80" s="8" t="str">
        <f aca="false">IF($P80=0,"-",IF($O80&lt;=INDEX(PARAMETROS_CULTURAS!$F$6:$F$28,$P80),"INICIAL",IF($O80&lt;=INDEX(PARAMETROS_CULTURAS!$F$6:$F$28,$P80)+INDEX(PARAMETROS_CULTURAS!$G$6:$G$28,$P80),"DESENVOLVIMENTO",IF($O80&lt;=INDEX(PARAMETROS_CULTURAS!$F$6:$F$28,$P80)+INDEX(PARAMETROS_CULTURAS!$G$6:$G$28,$P80)+INDEX(PARAMETROS_CULTURAS!$H$6:$H$28,$P80),"MEDIA","FINAL"))))</f>
        <v>DESENVOLVIMENTO</v>
      </c>
      <c r="R80" s="24" t="n">
        <f aca="false">IF($P80=0,0,IF($O80&lt;=INDEX(PARAMETROS_CULTURAS!$F$6:$F$28,$P80),INDEX(PARAMETROS_CULTURAS!$K$6:$K$28,$P80),IF($O80&lt;=INDEX(PARAMETROS_CULTURAS!$F$6:$F$28,$P80)+INDEX(PARAMETROS_CULTURAS!$G$6:$G$28,$P80),INDEX(PARAMETROS_CULTURAS!$K$6:$K$28,$P80)+(INDEX(PARAMETROS_CULTURAS!$L$6:$L$28,$P80)-INDEX(PARAMETROS_CULTURAS!$K$6:$K$28,$P80))*($O80-INDEX(PARAMETROS_CULTURAS!$F$6:$F$28,$P80))/MAX(INDEX(PARAMETROS_CULTURAS!$G$6:$G$28,$P80),0.0001),IF($O80&lt;=INDEX(PARAMETROS_CULTURAS!$F$6:$F$28,$P80)+INDEX(PARAMETROS_CULTURAS!$G$6:$G$28,$P80)+INDEX(PARAMETROS_CULTURAS!$H$6:$H$28,$P80),INDEX(PARAMETROS_CULTURAS!$L$6:$L$28,$P80),INDEX(PARAMETROS_CULTURAS!$L$6:$L$28,$P80)+(INDEX(PARAMETROS_CULTURAS!$M$6:$M$28,$P80)-INDEX(PARAMETROS_CULTURAS!$L$6:$L$28,$P80))*($O80-INDEX(PARAMETROS_CULTURAS!$F$6:$F$28,$P80)-INDEX(PARAMETROS_CULTURAS!$G$6:$G$28,$P80)-INDEX(PARAMETROS_CULTURAS!$H$6:$H$28,$P80))/MAX(INDEX(PARAMETROS_CULTURAS!$I$6:$I$28,$P80),0.0001)))))</f>
        <v>0.80592203898051</v>
      </c>
      <c r="S80" s="18" t="n">
        <f aca="false">IFERROR(INDEX(SEMANAS!$H$6:$H$71,MATCH($B80,SEMANAS!$B$6:$B$71,0)),0)</f>
        <v>38.5</v>
      </c>
      <c r="T80" s="18" t="n">
        <f aca="false">$R80*$S80</f>
        <v>31.0279985007496</v>
      </c>
      <c r="U80" s="18" t="n">
        <f aca="false">IFERROR(INDEX(SEMANAS!$I$6:$I$71,MATCH($B80,SEMANAS!$B$6:$B$71,0)),0)</f>
        <v>29.89</v>
      </c>
      <c r="V80" s="18" t="n">
        <f aca="false">IFERROR(INDEX(SEMANAS!$J$6:$J$71,MATCH($B80,SEMANAS!$B$6:$B$71,0)),0)</f>
        <v>23.912</v>
      </c>
      <c r="W80" s="18" t="n">
        <f aca="false">MAX(0,$T80-$V80)</f>
        <v>7.11599850074963</v>
      </c>
      <c r="X80" s="19" t="n">
        <f aca="false">IFERROR(INDEX(CADASTRO_PIVOS!$K$6:$K$41,MATCH($E80,CADASTRO_PIVOS!$B$6:$B$41,0)),EFICIENCIA_PADRAO)</f>
        <v>0.85</v>
      </c>
      <c r="Y80" s="18" t="n">
        <f aca="false">IF($X80&lt;=0,0,$W80/$X80)</f>
        <v>8.37176294205838</v>
      </c>
      <c r="Z80" s="16" t="n">
        <f aca="false">$Y80*$H80*MM_PARA_M3_HA</f>
        <v>8421.15634341653</v>
      </c>
      <c r="AA80" s="18" t="n">
        <f aca="false">IFERROR(INDEX(CADASTRO_PIVOS!$I$6:$I$41,MATCH($E80,CADASTRO_PIVOS!$B$6:$B$41,0)),0)</f>
        <v>718.5</v>
      </c>
      <c r="AB80" s="18" t="n">
        <f aca="false">IF($Z80&lt;=0,0,$Z80/$AA80)</f>
        <v>11.7204681188817</v>
      </c>
      <c r="AC80" s="16" t="n">
        <f aca="false">IFERROR(INDEX(SEMANAS!$K$6:$K$71,MATCH($B80,SEMANAS!$B$6:$B$71,0)),0)</f>
        <v>147</v>
      </c>
      <c r="AD80" s="19" t="n">
        <f aca="false">IF($AC80&lt;=0,0,$AB80/$AC80)</f>
        <v>0.0797310756386513</v>
      </c>
      <c r="AE80" s="8" t="str">
        <f aca="false">IF($K80="SEM CULTURA","SEM CULTURA",IF($AA80&lt;=0,"DADO PENDENTE",IF($AD80&gt;LIMITE_CRITICO,"INVIAVEL",IF($AD80&gt;LIMITE_ATENCAO,"CRITICO",IF($AD80&gt;LIMITE_CONFORTAVEL,"ATENCAO","OK")))))</f>
        <v>OK</v>
      </c>
      <c r="AF80" s="8" t="str">
        <f aca="false">$B80&amp;"|"&amp;TEXT($AD80,"0.000000")</f>
        <v>9|0.079731</v>
      </c>
      <c r="AG80" s="18" t="n">
        <f aca="false">IF($K80="SEM CULTURA",0,$T80*$H80)</f>
        <v>3121.10636919041</v>
      </c>
      <c r="AH80" s="18" t="n">
        <f aca="false">IF($K80="SEM CULTURA",0,$V80*$H80)</f>
        <v>2405.30808</v>
      </c>
      <c r="AI80" s="18" t="n">
        <f aca="false">IF($K80="SEM CULTURA",0,$W80*$H80)</f>
        <v>715.798289190405</v>
      </c>
      <c r="AJ80" s="18" t="n">
        <f aca="false">IF($K80="SEM CULTURA",0,$S80*$H80)</f>
        <v>3872.715</v>
      </c>
      <c r="AK80" s="8" t="str">
        <f aca="false">$E80&amp;"|"&amp;TEXT($AD80,"0.000000")</f>
        <v>PV 106|0.079731</v>
      </c>
    </row>
    <row r="81" customFormat="false" ht="15" hidden="false" customHeight="false" outlineLevel="0" collapsed="false">
      <c r="B81" s="16" t="n">
        <v>10</v>
      </c>
      <c r="C81" s="17" t="n">
        <f aca="false">DATA_INICIO_SAFRA+($B81-1)*DIAS_POR_SEMANA</f>
        <v>46328</v>
      </c>
      <c r="D81" s="17" t="n">
        <f aca="false">$C81+DIAS_POR_SEMANA-1</f>
        <v>46334</v>
      </c>
      <c r="E81" s="15" t="s">
        <v>260</v>
      </c>
      <c r="F81" s="8" t="str">
        <f aca="false">IFERROR(INDEX(CADASTRO_PIVOS!$C$6:$C$41,MATCH($E81,CADASTRO_PIVOS!$B$6:$B$41,0)),"?")</f>
        <v>RM02</v>
      </c>
      <c r="G81" s="8" t="str">
        <f aca="false">IFERROR(INDEX(CADASTRO_PIVOS!$D$6:$D$41,MATCH($E81,CADASTRO_PIVOS!$B$6:$B$41,0)),"?")</f>
        <v>TR02</v>
      </c>
      <c r="H81" s="20" t="n">
        <f aca="false">IFERROR(INDEX(CADASTRO_PIVOS!$E$6:$E$41,MATCH($E81,CADASTRO_PIVOS!$B$6:$B$41,0)),0)</f>
        <v>100.59</v>
      </c>
      <c r="I81" s="16" t="n">
        <f aca="false">IFERROR(SUMIFS(ROTACAO_RDM!$B$6:$B$71,ROTACAO_RDM!$D$6:$D$71,$E81,ROTACAO_RDM!$I$6:$I$71,"&lt;="&amp;$C81+INT(DIAS_POR_SEMANA/2),ROTACAO_RDM!$J$6:$J$71,"&gt;="&amp;$C81+INT(DIAS_POR_SEMANA/2)),0)</f>
        <v>10</v>
      </c>
      <c r="J81" s="16" t="n">
        <f aca="false">IFERROR(MATCH($I81,ROTACAO_RDM!$B$6:$B$71,0),0)</f>
        <v>10</v>
      </c>
      <c r="K81" s="8" t="str">
        <f aca="false">IF($J81=0,"SEM CULTURA",INDEX(ROTACAO_RDM!$F$6:$F$71,$J81))</f>
        <v>SOJA</v>
      </c>
      <c r="L81" s="8" t="str">
        <f aca="false">IF($J81=0,"",INDEX(ROTACAO_RDM!$G$6:$G$71,$J81))</f>
        <v>NEO 761 I2X</v>
      </c>
      <c r="M81" s="17" t="n">
        <f aca="false">IF($J81=0,"",INDEX(ROTACAO_RDM!$I$6:$I$71,$J81))</f>
        <v>46291</v>
      </c>
      <c r="N81" s="16" t="n">
        <f aca="false">IF($J81=0,0,MAX(0,$C81+INT(DIAS_POR_SEMANA/2)-INDEX(ROTACAO_RDM!$I$6:$I$71,$J81)))</f>
        <v>40</v>
      </c>
      <c r="O81" s="19" t="n">
        <f aca="false">IF($J81=0,0,MIN(1,$N81/MAX(1,INDEX(ROTACAO_RDM!$K$6:$K$71,$J81))))</f>
        <v>0.344827586206897</v>
      </c>
      <c r="P81" s="16" t="n">
        <f aca="false">IF($J81=0,0,IFERROR(MATCH(INDEX(ROTACAO_RDM!$N$6:$N$71,$J81),PARAMETROS_CULTURAS!$B$6:$B$28,0),0))</f>
        <v>2</v>
      </c>
      <c r="Q81" s="8" t="str">
        <f aca="false">IF($P81=0,"-",IF($O81&lt;=INDEX(PARAMETROS_CULTURAS!$F$6:$F$28,$P81),"INICIAL",IF($O81&lt;=INDEX(PARAMETROS_CULTURAS!$F$6:$F$28,$P81)+INDEX(PARAMETROS_CULTURAS!$G$6:$G$28,$P81),"DESENVOLVIMENTO",IF($O81&lt;=INDEX(PARAMETROS_CULTURAS!$F$6:$F$28,$P81)+INDEX(PARAMETROS_CULTURAS!$G$6:$G$28,$P81)+INDEX(PARAMETROS_CULTURAS!$H$6:$H$28,$P81),"MEDIA","FINAL"))))</f>
        <v>DESENVOLVIMENTO</v>
      </c>
      <c r="R81" s="24" t="n">
        <f aca="false">IF($P81=0,0,IF($O81&lt;=INDEX(PARAMETROS_CULTURAS!$F$6:$F$28,$P81),INDEX(PARAMETROS_CULTURAS!$K$6:$K$28,$P81),IF($O81&lt;=INDEX(PARAMETROS_CULTURAS!$F$6:$F$28,$P81)+INDEX(PARAMETROS_CULTURAS!$G$6:$G$28,$P81),INDEX(PARAMETROS_CULTURAS!$K$6:$K$28,$P81)+(INDEX(PARAMETROS_CULTURAS!$L$6:$L$28,$P81)-INDEX(PARAMETROS_CULTURAS!$K$6:$K$28,$P81))*($O81-INDEX(PARAMETROS_CULTURAS!$F$6:$F$28,$P81))/MAX(INDEX(PARAMETROS_CULTURAS!$G$6:$G$28,$P81),0.0001),IF($O81&lt;=INDEX(PARAMETROS_CULTURAS!$F$6:$F$28,$P81)+INDEX(PARAMETROS_CULTURAS!$G$6:$G$28,$P81)+INDEX(PARAMETROS_CULTURAS!$H$6:$H$28,$P81),INDEX(PARAMETROS_CULTURAS!$L$6:$L$28,$P81),INDEX(PARAMETROS_CULTURAS!$L$6:$L$28,$P81)+(INDEX(PARAMETROS_CULTURAS!$M$6:$M$28,$P81)-INDEX(PARAMETROS_CULTURAS!$L$6:$L$28,$P81))*($O81-INDEX(PARAMETROS_CULTURAS!$F$6:$F$28,$P81)-INDEX(PARAMETROS_CULTURAS!$G$6:$G$28,$P81)-INDEX(PARAMETROS_CULTURAS!$H$6:$H$28,$P81))/MAX(INDEX(PARAMETROS_CULTURAS!$I$6:$I$28,$P81),0.0001)))))</f>
        <v>1.00269865067466</v>
      </c>
      <c r="S81" s="18" t="n">
        <f aca="false">IFERROR(INDEX(SEMANAS!$H$6:$H$71,MATCH($B81,SEMANAS!$B$6:$B$71,0)),0)</f>
        <v>34.3</v>
      </c>
      <c r="T81" s="18" t="n">
        <f aca="false">$R81*$S81</f>
        <v>34.3925637181409</v>
      </c>
      <c r="U81" s="18" t="n">
        <f aca="false">IFERROR(INDEX(SEMANAS!$I$6:$I$71,MATCH($B81,SEMANAS!$B$6:$B$71,0)),0)</f>
        <v>46.69</v>
      </c>
      <c r="V81" s="18" t="n">
        <f aca="false">IFERROR(INDEX(SEMANAS!$J$6:$J$71,MATCH($B81,SEMANAS!$B$6:$B$71,0)),0)</f>
        <v>37.352</v>
      </c>
      <c r="W81" s="18" t="n">
        <f aca="false">MAX(0,$T81-$V81)</f>
        <v>0</v>
      </c>
      <c r="X81" s="19" t="n">
        <f aca="false">IFERROR(INDEX(CADASTRO_PIVOS!$K$6:$K$41,MATCH($E81,CADASTRO_PIVOS!$B$6:$B$41,0)),EFICIENCIA_PADRAO)</f>
        <v>0.85</v>
      </c>
      <c r="Y81" s="18" t="n">
        <f aca="false">IF($X81&lt;=0,0,$W81/$X81)</f>
        <v>0</v>
      </c>
      <c r="Z81" s="16" t="n">
        <f aca="false">$Y81*$H81*MM_PARA_M3_HA</f>
        <v>0</v>
      </c>
      <c r="AA81" s="18" t="n">
        <f aca="false">IFERROR(INDEX(CADASTRO_PIVOS!$I$6:$I$41,MATCH($E81,CADASTRO_PIVOS!$B$6:$B$41,0)),0)</f>
        <v>718.5</v>
      </c>
      <c r="AB81" s="18" t="n">
        <f aca="false">IF($Z81&lt;=0,0,$Z81/$AA81)</f>
        <v>0</v>
      </c>
      <c r="AC81" s="16" t="n">
        <f aca="false">IFERROR(INDEX(SEMANAS!$K$6:$K$71,MATCH($B81,SEMANAS!$B$6:$B$71,0)),0)</f>
        <v>147</v>
      </c>
      <c r="AD81" s="19" t="n">
        <f aca="false">IF($AC81&lt;=0,0,$AB81/$AC81)</f>
        <v>0</v>
      </c>
      <c r="AE81" s="8" t="str">
        <f aca="false">IF($K81="SEM CULTURA","SEM CULTURA",IF($AA81&lt;=0,"DADO PENDENTE",IF($AD81&gt;LIMITE_CRITICO,"INVIAVEL",IF($AD81&gt;LIMITE_ATENCAO,"CRITICO",IF($AD81&gt;LIMITE_CONFORTAVEL,"ATENCAO","OK")))))</f>
        <v>OK</v>
      </c>
      <c r="AF81" s="8" t="str">
        <f aca="false">$B81&amp;"|"&amp;TEXT($AD81,"0.000000")</f>
        <v>10|0.000000</v>
      </c>
      <c r="AG81" s="18" t="n">
        <f aca="false">IF($K81="SEM CULTURA",0,$T81*$H81)</f>
        <v>3459.5479844078</v>
      </c>
      <c r="AH81" s="18" t="n">
        <f aca="false">IF($K81="SEM CULTURA",0,$V81*$H81)</f>
        <v>3757.23768</v>
      </c>
      <c r="AI81" s="18" t="n">
        <f aca="false">IF($K81="SEM CULTURA",0,$W81*$H81)</f>
        <v>0</v>
      </c>
      <c r="AJ81" s="18" t="n">
        <f aca="false">IF($K81="SEM CULTURA",0,$S81*$H81)</f>
        <v>3450.237</v>
      </c>
      <c r="AK81" s="8" t="str">
        <f aca="false">$E81&amp;"|"&amp;TEXT($AD81,"0.000000")</f>
        <v>PV 106|0.000000</v>
      </c>
    </row>
    <row r="82" customFormat="false" ht="15" hidden="false" customHeight="false" outlineLevel="0" collapsed="false">
      <c r="B82" s="16" t="n">
        <v>11</v>
      </c>
      <c r="C82" s="17" t="n">
        <f aca="false">DATA_INICIO_SAFRA+($B82-1)*DIAS_POR_SEMANA</f>
        <v>46335</v>
      </c>
      <c r="D82" s="17" t="n">
        <f aca="false">$C82+DIAS_POR_SEMANA-1</f>
        <v>46341</v>
      </c>
      <c r="E82" s="15" t="s">
        <v>260</v>
      </c>
      <c r="F82" s="8" t="str">
        <f aca="false">IFERROR(INDEX(CADASTRO_PIVOS!$C$6:$C$41,MATCH($E82,CADASTRO_PIVOS!$B$6:$B$41,0)),"?")</f>
        <v>RM02</v>
      </c>
      <c r="G82" s="8" t="str">
        <f aca="false">IFERROR(INDEX(CADASTRO_PIVOS!$D$6:$D$41,MATCH($E82,CADASTRO_PIVOS!$B$6:$B$41,0)),"?")</f>
        <v>TR02</v>
      </c>
      <c r="H82" s="20" t="n">
        <f aca="false">IFERROR(INDEX(CADASTRO_PIVOS!$E$6:$E$41,MATCH($E82,CADASTRO_PIVOS!$B$6:$B$41,0)),0)</f>
        <v>100.59</v>
      </c>
      <c r="I82" s="16" t="n">
        <f aca="false">IFERROR(SUMIFS(ROTACAO_RDM!$B$6:$B$71,ROTACAO_RDM!$D$6:$D$71,$E82,ROTACAO_RDM!$I$6:$I$71,"&lt;="&amp;$C82+INT(DIAS_POR_SEMANA/2),ROTACAO_RDM!$J$6:$J$71,"&gt;="&amp;$C82+INT(DIAS_POR_SEMANA/2)),0)</f>
        <v>10</v>
      </c>
      <c r="J82" s="16" t="n">
        <f aca="false">IFERROR(MATCH($I82,ROTACAO_RDM!$B$6:$B$71,0),0)</f>
        <v>10</v>
      </c>
      <c r="K82" s="8" t="str">
        <f aca="false">IF($J82=0,"SEM CULTURA",INDEX(ROTACAO_RDM!$F$6:$F$71,$J82))</f>
        <v>SOJA</v>
      </c>
      <c r="L82" s="8" t="str">
        <f aca="false">IF($J82=0,"",INDEX(ROTACAO_RDM!$G$6:$G$71,$J82))</f>
        <v>NEO 761 I2X</v>
      </c>
      <c r="M82" s="17" t="n">
        <f aca="false">IF($J82=0,"",INDEX(ROTACAO_RDM!$I$6:$I$71,$J82))</f>
        <v>46291</v>
      </c>
      <c r="N82" s="16" t="n">
        <f aca="false">IF($J82=0,0,MAX(0,$C82+INT(DIAS_POR_SEMANA/2)-INDEX(ROTACAO_RDM!$I$6:$I$71,$J82)))</f>
        <v>47</v>
      </c>
      <c r="O82" s="19" t="n">
        <f aca="false">IF($J82=0,0,MIN(1,$N82/MAX(1,INDEX(ROTACAO_RDM!$K$6:$K$71,$J82))))</f>
        <v>0.405172413793103</v>
      </c>
      <c r="P82" s="16" t="n">
        <f aca="false">IF($J82=0,0,IFERROR(MATCH(INDEX(ROTACAO_RDM!$N$6:$N$71,$J82),PARAMETROS_CULTURAS!$B$6:$B$28,0),0))</f>
        <v>2</v>
      </c>
      <c r="Q82" s="8" t="str">
        <f aca="false">IF($P82=0,"-",IF($O82&lt;=INDEX(PARAMETROS_CULTURAS!$F$6:$F$28,$P82),"INICIAL",IF($O82&lt;=INDEX(PARAMETROS_CULTURAS!$F$6:$F$28,$P82)+INDEX(PARAMETROS_CULTURAS!$G$6:$G$28,$P82),"DESENVOLVIMENTO",IF($O82&lt;=INDEX(PARAMETROS_CULTURAS!$F$6:$F$28,$P82)+INDEX(PARAMETROS_CULTURAS!$G$6:$G$28,$P82)+INDEX(PARAMETROS_CULTURAS!$H$6:$H$28,$P82),"MEDIA","FINAL"))))</f>
        <v>MEDIA</v>
      </c>
      <c r="R82" s="24" t="n">
        <f aca="false">IF($P82=0,0,IF($O82&lt;=INDEX(PARAMETROS_CULTURAS!$F$6:$F$28,$P82),INDEX(PARAMETROS_CULTURAS!$K$6:$K$28,$P82),IF($O82&lt;=INDEX(PARAMETROS_CULTURAS!$F$6:$F$28,$P82)+INDEX(PARAMETROS_CULTURAS!$G$6:$G$28,$P82),INDEX(PARAMETROS_CULTURAS!$K$6:$K$28,$P82)+(INDEX(PARAMETROS_CULTURAS!$L$6:$L$28,$P82)-INDEX(PARAMETROS_CULTURAS!$K$6:$K$28,$P82))*($O82-INDEX(PARAMETROS_CULTURAS!$F$6:$F$28,$P82))/MAX(INDEX(PARAMETROS_CULTURAS!$G$6:$G$28,$P82),0.0001),IF($O82&lt;=INDEX(PARAMETROS_CULTURAS!$F$6:$F$28,$P82)+INDEX(PARAMETROS_CULTURAS!$G$6:$G$28,$P82)+INDEX(PARAMETROS_CULTURAS!$H$6:$H$28,$P82),INDEX(PARAMETROS_CULTURAS!$L$6:$L$28,$P82),INDEX(PARAMETROS_CULTURAS!$L$6:$L$28,$P82)+(INDEX(PARAMETROS_CULTURAS!$M$6:$M$28,$P82)-INDEX(PARAMETROS_CULTURAS!$L$6:$L$28,$P82))*($O82-INDEX(PARAMETROS_CULTURAS!$F$6:$F$28,$P82)-INDEX(PARAMETROS_CULTURAS!$G$6:$G$28,$P82)-INDEX(PARAMETROS_CULTURAS!$H$6:$H$28,$P82))/MAX(INDEX(PARAMETROS_CULTURAS!$I$6:$I$28,$P82),0.0001)))))</f>
        <v>1.15</v>
      </c>
      <c r="S82" s="18" t="n">
        <f aca="false">IFERROR(INDEX(SEMANAS!$H$6:$H$71,MATCH($B82,SEMANAS!$B$6:$B$71,0)),0)</f>
        <v>34.3</v>
      </c>
      <c r="T82" s="18" t="n">
        <f aca="false">$R82*$S82</f>
        <v>39.445</v>
      </c>
      <c r="U82" s="18" t="n">
        <f aca="false">IFERROR(INDEX(SEMANAS!$I$6:$I$71,MATCH($B82,SEMANAS!$B$6:$B$71,0)),0)</f>
        <v>46.69</v>
      </c>
      <c r="V82" s="18" t="n">
        <f aca="false">IFERROR(INDEX(SEMANAS!$J$6:$J$71,MATCH($B82,SEMANAS!$B$6:$B$71,0)),0)</f>
        <v>37.352</v>
      </c>
      <c r="W82" s="18" t="n">
        <f aca="false">MAX(0,$T82-$V82)</f>
        <v>2.093</v>
      </c>
      <c r="X82" s="19" t="n">
        <f aca="false">IFERROR(INDEX(CADASTRO_PIVOS!$K$6:$K$41,MATCH($E82,CADASTRO_PIVOS!$B$6:$B$41,0)),EFICIENCIA_PADRAO)</f>
        <v>0.85</v>
      </c>
      <c r="Y82" s="18" t="n">
        <f aca="false">IF($X82&lt;=0,0,$W82/$X82)</f>
        <v>2.46235294117647</v>
      </c>
      <c r="Z82" s="16" t="n">
        <f aca="false">$Y82*$H82*MM_PARA_M3_HA</f>
        <v>2476.88082352941</v>
      </c>
      <c r="AA82" s="18" t="n">
        <f aca="false">IFERROR(INDEX(CADASTRO_PIVOS!$I$6:$I$41,MATCH($E82,CADASTRO_PIVOS!$B$6:$B$41,0)),0)</f>
        <v>718.5</v>
      </c>
      <c r="AB82" s="18" t="n">
        <f aca="false">IF($Z82&lt;=0,0,$Z82/$AA82)</f>
        <v>3.44729411764705</v>
      </c>
      <c r="AC82" s="16" t="n">
        <f aca="false">IFERROR(INDEX(SEMANAS!$K$6:$K$71,MATCH($B82,SEMANAS!$B$6:$B$71,0)),0)</f>
        <v>147</v>
      </c>
      <c r="AD82" s="19" t="n">
        <f aca="false">IF($AC82&lt;=0,0,$AB82/$AC82)</f>
        <v>0.0234509803921568</v>
      </c>
      <c r="AE82" s="8" t="str">
        <f aca="false">IF($K82="SEM CULTURA","SEM CULTURA",IF($AA82&lt;=0,"DADO PENDENTE",IF($AD82&gt;LIMITE_CRITICO,"INVIAVEL",IF($AD82&gt;LIMITE_ATENCAO,"CRITICO",IF($AD82&gt;LIMITE_CONFORTAVEL,"ATENCAO","OK")))))</f>
        <v>OK</v>
      </c>
      <c r="AF82" s="8" t="str">
        <f aca="false">$B82&amp;"|"&amp;TEXT($AD82,"0.000000")</f>
        <v>11|0.023451</v>
      </c>
      <c r="AG82" s="18" t="n">
        <f aca="false">IF($K82="SEM CULTURA",0,$T82*$H82)</f>
        <v>3967.77255</v>
      </c>
      <c r="AH82" s="18" t="n">
        <f aca="false">IF($K82="SEM CULTURA",0,$V82*$H82)</f>
        <v>3757.23768</v>
      </c>
      <c r="AI82" s="18" t="n">
        <f aca="false">IF($K82="SEM CULTURA",0,$W82*$H82)</f>
        <v>210.53487</v>
      </c>
      <c r="AJ82" s="18" t="n">
        <f aca="false">IF($K82="SEM CULTURA",0,$S82*$H82)</f>
        <v>3450.237</v>
      </c>
      <c r="AK82" s="8" t="str">
        <f aca="false">$E82&amp;"|"&amp;TEXT($AD82,"0.000000")</f>
        <v>PV 106|0.023451</v>
      </c>
    </row>
    <row r="83" customFormat="false" ht="15" hidden="false" customHeight="false" outlineLevel="0" collapsed="false">
      <c r="B83" s="16" t="n">
        <v>12</v>
      </c>
      <c r="C83" s="17" t="n">
        <f aca="false">DATA_INICIO_SAFRA+($B83-1)*DIAS_POR_SEMANA</f>
        <v>46342</v>
      </c>
      <c r="D83" s="17" t="n">
        <f aca="false">$C83+DIAS_POR_SEMANA-1</f>
        <v>46348</v>
      </c>
      <c r="E83" s="15" t="s">
        <v>260</v>
      </c>
      <c r="F83" s="8" t="str">
        <f aca="false">IFERROR(INDEX(CADASTRO_PIVOS!$C$6:$C$41,MATCH($E83,CADASTRO_PIVOS!$B$6:$B$41,0)),"?")</f>
        <v>RM02</v>
      </c>
      <c r="G83" s="8" t="str">
        <f aca="false">IFERROR(INDEX(CADASTRO_PIVOS!$D$6:$D$41,MATCH($E83,CADASTRO_PIVOS!$B$6:$B$41,0)),"?")</f>
        <v>TR02</v>
      </c>
      <c r="H83" s="20" t="n">
        <f aca="false">IFERROR(INDEX(CADASTRO_PIVOS!$E$6:$E$41,MATCH($E83,CADASTRO_PIVOS!$B$6:$B$41,0)),0)</f>
        <v>100.59</v>
      </c>
      <c r="I83" s="16" t="n">
        <f aca="false">IFERROR(SUMIFS(ROTACAO_RDM!$B$6:$B$71,ROTACAO_RDM!$D$6:$D$71,$E83,ROTACAO_RDM!$I$6:$I$71,"&lt;="&amp;$C83+INT(DIAS_POR_SEMANA/2),ROTACAO_RDM!$J$6:$J$71,"&gt;="&amp;$C83+INT(DIAS_POR_SEMANA/2)),0)</f>
        <v>10</v>
      </c>
      <c r="J83" s="16" t="n">
        <f aca="false">IFERROR(MATCH($I83,ROTACAO_RDM!$B$6:$B$71,0),0)</f>
        <v>10</v>
      </c>
      <c r="K83" s="8" t="str">
        <f aca="false">IF($J83=0,"SEM CULTURA",INDEX(ROTACAO_RDM!$F$6:$F$71,$J83))</f>
        <v>SOJA</v>
      </c>
      <c r="L83" s="8" t="str">
        <f aca="false">IF($J83=0,"",INDEX(ROTACAO_RDM!$G$6:$G$71,$J83))</f>
        <v>NEO 761 I2X</v>
      </c>
      <c r="M83" s="17" t="n">
        <f aca="false">IF($J83=0,"",INDEX(ROTACAO_RDM!$I$6:$I$71,$J83))</f>
        <v>46291</v>
      </c>
      <c r="N83" s="16" t="n">
        <f aca="false">IF($J83=0,0,MAX(0,$C83+INT(DIAS_POR_SEMANA/2)-INDEX(ROTACAO_RDM!$I$6:$I$71,$J83)))</f>
        <v>54</v>
      </c>
      <c r="O83" s="19" t="n">
        <f aca="false">IF($J83=0,0,MIN(1,$N83/MAX(1,INDEX(ROTACAO_RDM!$K$6:$K$71,$J83))))</f>
        <v>0.46551724137931</v>
      </c>
      <c r="P83" s="16" t="n">
        <f aca="false">IF($J83=0,0,IFERROR(MATCH(INDEX(ROTACAO_RDM!$N$6:$N$71,$J83),PARAMETROS_CULTURAS!$B$6:$B$28,0),0))</f>
        <v>2</v>
      </c>
      <c r="Q83" s="8" t="str">
        <f aca="false">IF($P83=0,"-",IF($O83&lt;=INDEX(PARAMETROS_CULTURAS!$F$6:$F$28,$P83),"INICIAL",IF($O83&lt;=INDEX(PARAMETROS_CULTURAS!$F$6:$F$28,$P83)+INDEX(PARAMETROS_CULTURAS!$G$6:$G$28,$P83),"DESENVOLVIMENTO",IF($O83&lt;=INDEX(PARAMETROS_CULTURAS!$F$6:$F$28,$P83)+INDEX(PARAMETROS_CULTURAS!$G$6:$G$28,$P83)+INDEX(PARAMETROS_CULTURAS!$H$6:$H$28,$P83),"MEDIA","FINAL"))))</f>
        <v>MEDIA</v>
      </c>
      <c r="R83" s="24" t="n">
        <f aca="false">IF($P83=0,0,IF($O83&lt;=INDEX(PARAMETROS_CULTURAS!$F$6:$F$28,$P83),INDEX(PARAMETROS_CULTURAS!$K$6:$K$28,$P83),IF($O83&lt;=INDEX(PARAMETROS_CULTURAS!$F$6:$F$28,$P83)+INDEX(PARAMETROS_CULTURAS!$G$6:$G$28,$P83),INDEX(PARAMETROS_CULTURAS!$K$6:$K$28,$P83)+(INDEX(PARAMETROS_CULTURAS!$L$6:$L$28,$P83)-INDEX(PARAMETROS_CULTURAS!$K$6:$K$28,$P83))*($O83-INDEX(PARAMETROS_CULTURAS!$F$6:$F$28,$P83))/MAX(INDEX(PARAMETROS_CULTURAS!$G$6:$G$28,$P83),0.0001),IF($O83&lt;=INDEX(PARAMETROS_CULTURAS!$F$6:$F$28,$P83)+INDEX(PARAMETROS_CULTURAS!$G$6:$G$28,$P83)+INDEX(PARAMETROS_CULTURAS!$H$6:$H$28,$P83),INDEX(PARAMETROS_CULTURAS!$L$6:$L$28,$P83),INDEX(PARAMETROS_CULTURAS!$L$6:$L$28,$P83)+(INDEX(PARAMETROS_CULTURAS!$M$6:$M$28,$P83)-INDEX(PARAMETROS_CULTURAS!$L$6:$L$28,$P83))*($O83-INDEX(PARAMETROS_CULTURAS!$F$6:$F$28,$P83)-INDEX(PARAMETROS_CULTURAS!$G$6:$G$28,$P83)-INDEX(PARAMETROS_CULTURAS!$H$6:$H$28,$P83))/MAX(INDEX(PARAMETROS_CULTURAS!$I$6:$I$28,$P83),0.0001)))))</f>
        <v>1.15</v>
      </c>
      <c r="S83" s="18" t="n">
        <f aca="false">IFERROR(INDEX(SEMANAS!$H$6:$H$71,MATCH($B83,SEMANAS!$B$6:$B$71,0)),0)</f>
        <v>34.3</v>
      </c>
      <c r="T83" s="18" t="n">
        <f aca="false">$R83*$S83</f>
        <v>39.445</v>
      </c>
      <c r="U83" s="18" t="n">
        <f aca="false">IFERROR(INDEX(SEMANAS!$I$6:$I$71,MATCH($B83,SEMANAS!$B$6:$B$71,0)),0)</f>
        <v>46.69</v>
      </c>
      <c r="V83" s="18" t="n">
        <f aca="false">IFERROR(INDEX(SEMANAS!$J$6:$J$71,MATCH($B83,SEMANAS!$B$6:$B$71,0)),0)</f>
        <v>37.352</v>
      </c>
      <c r="W83" s="18" t="n">
        <f aca="false">MAX(0,$T83-$V83)</f>
        <v>2.093</v>
      </c>
      <c r="X83" s="19" t="n">
        <f aca="false">IFERROR(INDEX(CADASTRO_PIVOS!$K$6:$K$41,MATCH($E83,CADASTRO_PIVOS!$B$6:$B$41,0)),EFICIENCIA_PADRAO)</f>
        <v>0.85</v>
      </c>
      <c r="Y83" s="18" t="n">
        <f aca="false">IF($X83&lt;=0,0,$W83/$X83)</f>
        <v>2.46235294117647</v>
      </c>
      <c r="Z83" s="16" t="n">
        <f aca="false">$Y83*$H83*MM_PARA_M3_HA</f>
        <v>2476.88082352941</v>
      </c>
      <c r="AA83" s="18" t="n">
        <f aca="false">IFERROR(INDEX(CADASTRO_PIVOS!$I$6:$I$41,MATCH($E83,CADASTRO_PIVOS!$B$6:$B$41,0)),0)</f>
        <v>718.5</v>
      </c>
      <c r="AB83" s="18" t="n">
        <f aca="false">IF($Z83&lt;=0,0,$Z83/$AA83)</f>
        <v>3.44729411764705</v>
      </c>
      <c r="AC83" s="16" t="n">
        <f aca="false">IFERROR(INDEX(SEMANAS!$K$6:$K$71,MATCH($B83,SEMANAS!$B$6:$B$71,0)),0)</f>
        <v>147</v>
      </c>
      <c r="AD83" s="19" t="n">
        <f aca="false">IF($AC83&lt;=0,0,$AB83/$AC83)</f>
        <v>0.0234509803921568</v>
      </c>
      <c r="AE83" s="8" t="str">
        <f aca="false">IF($K83="SEM CULTURA","SEM CULTURA",IF($AA83&lt;=0,"DADO PENDENTE",IF($AD83&gt;LIMITE_CRITICO,"INVIAVEL",IF($AD83&gt;LIMITE_ATENCAO,"CRITICO",IF($AD83&gt;LIMITE_CONFORTAVEL,"ATENCAO","OK")))))</f>
        <v>OK</v>
      </c>
      <c r="AF83" s="8" t="str">
        <f aca="false">$B83&amp;"|"&amp;TEXT($AD83,"0.000000")</f>
        <v>12|0.023451</v>
      </c>
      <c r="AG83" s="18" t="n">
        <f aca="false">IF($K83="SEM CULTURA",0,$T83*$H83)</f>
        <v>3967.77255</v>
      </c>
      <c r="AH83" s="18" t="n">
        <f aca="false">IF($K83="SEM CULTURA",0,$V83*$H83)</f>
        <v>3757.23768</v>
      </c>
      <c r="AI83" s="18" t="n">
        <f aca="false">IF($K83="SEM CULTURA",0,$W83*$H83)</f>
        <v>210.53487</v>
      </c>
      <c r="AJ83" s="18" t="n">
        <f aca="false">IF($K83="SEM CULTURA",0,$S83*$H83)</f>
        <v>3450.237</v>
      </c>
      <c r="AK83" s="8" t="str">
        <f aca="false">$E83&amp;"|"&amp;TEXT($AD83,"0.000000")</f>
        <v>PV 106|0.023451</v>
      </c>
    </row>
    <row r="84" customFormat="false" ht="15" hidden="false" customHeight="false" outlineLevel="0" collapsed="false">
      <c r="B84" s="16" t="n">
        <v>13</v>
      </c>
      <c r="C84" s="17" t="n">
        <f aca="false">DATA_INICIO_SAFRA+($B84-1)*DIAS_POR_SEMANA</f>
        <v>46349</v>
      </c>
      <c r="D84" s="17" t="n">
        <f aca="false">$C84+DIAS_POR_SEMANA-1</f>
        <v>46355</v>
      </c>
      <c r="E84" s="15" t="s">
        <v>260</v>
      </c>
      <c r="F84" s="8" t="str">
        <f aca="false">IFERROR(INDEX(CADASTRO_PIVOS!$C$6:$C$41,MATCH($E84,CADASTRO_PIVOS!$B$6:$B$41,0)),"?")</f>
        <v>RM02</v>
      </c>
      <c r="G84" s="8" t="str">
        <f aca="false">IFERROR(INDEX(CADASTRO_PIVOS!$D$6:$D$41,MATCH($E84,CADASTRO_PIVOS!$B$6:$B$41,0)),"?")</f>
        <v>TR02</v>
      </c>
      <c r="H84" s="20" t="n">
        <f aca="false">IFERROR(INDEX(CADASTRO_PIVOS!$E$6:$E$41,MATCH($E84,CADASTRO_PIVOS!$B$6:$B$41,0)),0)</f>
        <v>100.59</v>
      </c>
      <c r="I84" s="16" t="n">
        <f aca="false">IFERROR(SUMIFS(ROTACAO_RDM!$B$6:$B$71,ROTACAO_RDM!$D$6:$D$71,$E84,ROTACAO_RDM!$I$6:$I$71,"&lt;="&amp;$C84+INT(DIAS_POR_SEMANA/2),ROTACAO_RDM!$J$6:$J$71,"&gt;="&amp;$C84+INT(DIAS_POR_SEMANA/2)),0)</f>
        <v>10</v>
      </c>
      <c r="J84" s="16" t="n">
        <f aca="false">IFERROR(MATCH($I84,ROTACAO_RDM!$B$6:$B$71,0),0)</f>
        <v>10</v>
      </c>
      <c r="K84" s="8" t="str">
        <f aca="false">IF($J84=0,"SEM CULTURA",INDEX(ROTACAO_RDM!$F$6:$F$71,$J84))</f>
        <v>SOJA</v>
      </c>
      <c r="L84" s="8" t="str">
        <f aca="false">IF($J84=0,"",INDEX(ROTACAO_RDM!$G$6:$G$71,$J84))</f>
        <v>NEO 761 I2X</v>
      </c>
      <c r="M84" s="17" t="n">
        <f aca="false">IF($J84=0,"",INDEX(ROTACAO_RDM!$I$6:$I$71,$J84))</f>
        <v>46291</v>
      </c>
      <c r="N84" s="16" t="n">
        <f aca="false">IF($J84=0,0,MAX(0,$C84+INT(DIAS_POR_SEMANA/2)-INDEX(ROTACAO_RDM!$I$6:$I$71,$J84)))</f>
        <v>61</v>
      </c>
      <c r="O84" s="19" t="n">
        <f aca="false">IF($J84=0,0,MIN(1,$N84/MAX(1,INDEX(ROTACAO_RDM!$K$6:$K$71,$J84))))</f>
        <v>0.525862068965517</v>
      </c>
      <c r="P84" s="16" t="n">
        <f aca="false">IF($J84=0,0,IFERROR(MATCH(INDEX(ROTACAO_RDM!$N$6:$N$71,$J84),PARAMETROS_CULTURAS!$B$6:$B$28,0),0))</f>
        <v>2</v>
      </c>
      <c r="Q84" s="8" t="str">
        <f aca="false">IF($P84=0,"-",IF($O84&lt;=INDEX(PARAMETROS_CULTURAS!$F$6:$F$28,$P84),"INICIAL",IF($O84&lt;=INDEX(PARAMETROS_CULTURAS!$F$6:$F$28,$P84)+INDEX(PARAMETROS_CULTURAS!$G$6:$G$28,$P84),"DESENVOLVIMENTO",IF($O84&lt;=INDEX(PARAMETROS_CULTURAS!$F$6:$F$28,$P84)+INDEX(PARAMETROS_CULTURAS!$G$6:$G$28,$P84)+INDEX(PARAMETROS_CULTURAS!$H$6:$H$28,$P84),"MEDIA","FINAL"))))</f>
        <v>MEDIA</v>
      </c>
      <c r="R84" s="24" t="n">
        <f aca="false">IF($P84=0,0,IF($O84&lt;=INDEX(PARAMETROS_CULTURAS!$F$6:$F$28,$P84),INDEX(PARAMETROS_CULTURAS!$K$6:$K$28,$P84),IF($O84&lt;=INDEX(PARAMETROS_CULTURAS!$F$6:$F$28,$P84)+INDEX(PARAMETROS_CULTURAS!$G$6:$G$28,$P84),INDEX(PARAMETROS_CULTURAS!$K$6:$K$28,$P84)+(INDEX(PARAMETROS_CULTURAS!$L$6:$L$28,$P84)-INDEX(PARAMETROS_CULTURAS!$K$6:$K$28,$P84))*($O84-INDEX(PARAMETROS_CULTURAS!$F$6:$F$28,$P84))/MAX(INDEX(PARAMETROS_CULTURAS!$G$6:$G$28,$P84),0.0001),IF($O84&lt;=INDEX(PARAMETROS_CULTURAS!$F$6:$F$28,$P84)+INDEX(PARAMETROS_CULTURAS!$G$6:$G$28,$P84)+INDEX(PARAMETROS_CULTURAS!$H$6:$H$28,$P84),INDEX(PARAMETROS_CULTURAS!$L$6:$L$28,$P84),INDEX(PARAMETROS_CULTURAS!$L$6:$L$28,$P84)+(INDEX(PARAMETROS_CULTURAS!$M$6:$M$28,$P84)-INDEX(PARAMETROS_CULTURAS!$L$6:$L$28,$P84))*($O84-INDEX(PARAMETROS_CULTURAS!$F$6:$F$28,$P84)-INDEX(PARAMETROS_CULTURAS!$G$6:$G$28,$P84)-INDEX(PARAMETROS_CULTURAS!$H$6:$H$28,$P84))/MAX(INDEX(PARAMETROS_CULTURAS!$I$6:$I$28,$P84),0.0001)))))</f>
        <v>1.15</v>
      </c>
      <c r="S84" s="18" t="n">
        <f aca="false">IFERROR(INDEX(SEMANAS!$H$6:$H$71,MATCH($B84,SEMANAS!$B$6:$B$71,0)),0)</f>
        <v>34.3</v>
      </c>
      <c r="T84" s="18" t="n">
        <f aca="false">$R84*$S84</f>
        <v>39.445</v>
      </c>
      <c r="U84" s="18" t="n">
        <f aca="false">IFERROR(INDEX(SEMANAS!$I$6:$I$71,MATCH($B84,SEMANAS!$B$6:$B$71,0)),0)</f>
        <v>46.69</v>
      </c>
      <c r="V84" s="18" t="n">
        <f aca="false">IFERROR(INDEX(SEMANAS!$J$6:$J$71,MATCH($B84,SEMANAS!$B$6:$B$71,0)),0)</f>
        <v>37.352</v>
      </c>
      <c r="W84" s="18" t="n">
        <f aca="false">MAX(0,$T84-$V84)</f>
        <v>2.093</v>
      </c>
      <c r="X84" s="19" t="n">
        <f aca="false">IFERROR(INDEX(CADASTRO_PIVOS!$K$6:$K$41,MATCH($E84,CADASTRO_PIVOS!$B$6:$B$41,0)),EFICIENCIA_PADRAO)</f>
        <v>0.85</v>
      </c>
      <c r="Y84" s="18" t="n">
        <f aca="false">IF($X84&lt;=0,0,$W84/$X84)</f>
        <v>2.46235294117647</v>
      </c>
      <c r="Z84" s="16" t="n">
        <f aca="false">$Y84*$H84*MM_PARA_M3_HA</f>
        <v>2476.88082352941</v>
      </c>
      <c r="AA84" s="18" t="n">
        <f aca="false">IFERROR(INDEX(CADASTRO_PIVOS!$I$6:$I$41,MATCH($E84,CADASTRO_PIVOS!$B$6:$B$41,0)),0)</f>
        <v>718.5</v>
      </c>
      <c r="AB84" s="18" t="n">
        <f aca="false">IF($Z84&lt;=0,0,$Z84/$AA84)</f>
        <v>3.44729411764705</v>
      </c>
      <c r="AC84" s="16" t="n">
        <f aca="false">IFERROR(INDEX(SEMANAS!$K$6:$K$71,MATCH($B84,SEMANAS!$B$6:$B$71,0)),0)</f>
        <v>147</v>
      </c>
      <c r="AD84" s="19" t="n">
        <f aca="false">IF($AC84&lt;=0,0,$AB84/$AC84)</f>
        <v>0.0234509803921568</v>
      </c>
      <c r="AE84" s="8" t="str">
        <f aca="false">IF($K84="SEM CULTURA","SEM CULTURA",IF($AA84&lt;=0,"DADO PENDENTE",IF($AD84&gt;LIMITE_CRITICO,"INVIAVEL",IF($AD84&gt;LIMITE_ATENCAO,"CRITICO",IF($AD84&gt;LIMITE_CONFORTAVEL,"ATENCAO","OK")))))</f>
        <v>OK</v>
      </c>
      <c r="AF84" s="8" t="str">
        <f aca="false">$B84&amp;"|"&amp;TEXT($AD84,"0.000000")</f>
        <v>13|0.023451</v>
      </c>
      <c r="AG84" s="18" t="n">
        <f aca="false">IF($K84="SEM CULTURA",0,$T84*$H84)</f>
        <v>3967.77255</v>
      </c>
      <c r="AH84" s="18" t="n">
        <f aca="false">IF($K84="SEM CULTURA",0,$V84*$H84)</f>
        <v>3757.23768</v>
      </c>
      <c r="AI84" s="18" t="n">
        <f aca="false">IF($K84="SEM CULTURA",0,$W84*$H84)</f>
        <v>210.53487</v>
      </c>
      <c r="AJ84" s="18" t="n">
        <f aca="false">IF($K84="SEM CULTURA",0,$S84*$H84)</f>
        <v>3450.237</v>
      </c>
      <c r="AK84" s="8" t="str">
        <f aca="false">$E84&amp;"|"&amp;TEXT($AD84,"0.000000")</f>
        <v>PV 106|0.023451</v>
      </c>
    </row>
    <row r="85" customFormat="false" ht="15" hidden="false" customHeight="false" outlineLevel="0" collapsed="false">
      <c r="B85" s="16" t="n">
        <v>14</v>
      </c>
      <c r="C85" s="17" t="n">
        <f aca="false">DATA_INICIO_SAFRA+($B85-1)*DIAS_POR_SEMANA</f>
        <v>46356</v>
      </c>
      <c r="D85" s="17" t="n">
        <f aca="false">$C85+DIAS_POR_SEMANA-1</f>
        <v>46362</v>
      </c>
      <c r="E85" s="15" t="s">
        <v>260</v>
      </c>
      <c r="F85" s="8" t="str">
        <f aca="false">IFERROR(INDEX(CADASTRO_PIVOS!$C$6:$C$41,MATCH($E85,CADASTRO_PIVOS!$B$6:$B$41,0)),"?")</f>
        <v>RM02</v>
      </c>
      <c r="G85" s="8" t="str">
        <f aca="false">IFERROR(INDEX(CADASTRO_PIVOS!$D$6:$D$41,MATCH($E85,CADASTRO_PIVOS!$B$6:$B$41,0)),"?")</f>
        <v>TR02</v>
      </c>
      <c r="H85" s="20" t="n">
        <f aca="false">IFERROR(INDEX(CADASTRO_PIVOS!$E$6:$E$41,MATCH($E85,CADASTRO_PIVOS!$B$6:$B$41,0)),0)</f>
        <v>100.59</v>
      </c>
      <c r="I85" s="16" t="n">
        <f aca="false">IFERROR(SUMIFS(ROTACAO_RDM!$B$6:$B$71,ROTACAO_RDM!$D$6:$D$71,$E85,ROTACAO_RDM!$I$6:$I$71,"&lt;="&amp;$C85+INT(DIAS_POR_SEMANA/2),ROTACAO_RDM!$J$6:$J$71,"&gt;="&amp;$C85+INT(DIAS_POR_SEMANA/2)),0)</f>
        <v>10</v>
      </c>
      <c r="J85" s="16" t="n">
        <f aca="false">IFERROR(MATCH($I85,ROTACAO_RDM!$B$6:$B$71,0),0)</f>
        <v>10</v>
      </c>
      <c r="K85" s="8" t="str">
        <f aca="false">IF($J85=0,"SEM CULTURA",INDEX(ROTACAO_RDM!$F$6:$F$71,$J85))</f>
        <v>SOJA</v>
      </c>
      <c r="L85" s="8" t="str">
        <f aca="false">IF($J85=0,"",INDEX(ROTACAO_RDM!$G$6:$G$71,$J85))</f>
        <v>NEO 761 I2X</v>
      </c>
      <c r="M85" s="17" t="n">
        <f aca="false">IF($J85=0,"",INDEX(ROTACAO_RDM!$I$6:$I$71,$J85))</f>
        <v>46291</v>
      </c>
      <c r="N85" s="16" t="n">
        <f aca="false">IF($J85=0,0,MAX(0,$C85+INT(DIAS_POR_SEMANA/2)-INDEX(ROTACAO_RDM!$I$6:$I$71,$J85)))</f>
        <v>68</v>
      </c>
      <c r="O85" s="19" t="n">
        <f aca="false">IF($J85=0,0,MIN(1,$N85/MAX(1,INDEX(ROTACAO_RDM!$K$6:$K$71,$J85))))</f>
        <v>0.586206896551724</v>
      </c>
      <c r="P85" s="16" t="n">
        <f aca="false">IF($J85=0,0,IFERROR(MATCH(INDEX(ROTACAO_RDM!$N$6:$N$71,$J85),PARAMETROS_CULTURAS!$B$6:$B$28,0),0))</f>
        <v>2</v>
      </c>
      <c r="Q85" s="8" t="str">
        <f aca="false">IF($P85=0,"-",IF($O85&lt;=INDEX(PARAMETROS_CULTURAS!$F$6:$F$28,$P85),"INICIAL",IF($O85&lt;=INDEX(PARAMETROS_CULTURAS!$F$6:$F$28,$P85)+INDEX(PARAMETROS_CULTURAS!$G$6:$G$28,$P85),"DESENVOLVIMENTO",IF($O85&lt;=INDEX(PARAMETROS_CULTURAS!$F$6:$F$28,$P85)+INDEX(PARAMETROS_CULTURAS!$G$6:$G$28,$P85)+INDEX(PARAMETROS_CULTURAS!$H$6:$H$28,$P85),"MEDIA","FINAL"))))</f>
        <v>MEDIA</v>
      </c>
      <c r="R85" s="24" t="n">
        <f aca="false">IF($P85=0,0,IF($O85&lt;=INDEX(PARAMETROS_CULTURAS!$F$6:$F$28,$P85),INDEX(PARAMETROS_CULTURAS!$K$6:$K$28,$P85),IF($O85&lt;=INDEX(PARAMETROS_CULTURAS!$F$6:$F$28,$P85)+INDEX(PARAMETROS_CULTURAS!$G$6:$G$28,$P85),INDEX(PARAMETROS_CULTURAS!$K$6:$K$28,$P85)+(INDEX(PARAMETROS_CULTURAS!$L$6:$L$28,$P85)-INDEX(PARAMETROS_CULTURAS!$K$6:$K$28,$P85))*($O85-INDEX(PARAMETROS_CULTURAS!$F$6:$F$28,$P85))/MAX(INDEX(PARAMETROS_CULTURAS!$G$6:$G$28,$P85),0.0001),IF($O85&lt;=INDEX(PARAMETROS_CULTURAS!$F$6:$F$28,$P85)+INDEX(PARAMETROS_CULTURAS!$G$6:$G$28,$P85)+INDEX(PARAMETROS_CULTURAS!$H$6:$H$28,$P85),INDEX(PARAMETROS_CULTURAS!$L$6:$L$28,$P85),INDEX(PARAMETROS_CULTURAS!$L$6:$L$28,$P85)+(INDEX(PARAMETROS_CULTURAS!$M$6:$M$28,$P85)-INDEX(PARAMETROS_CULTURAS!$L$6:$L$28,$P85))*($O85-INDEX(PARAMETROS_CULTURAS!$F$6:$F$28,$P85)-INDEX(PARAMETROS_CULTURAS!$G$6:$G$28,$P85)-INDEX(PARAMETROS_CULTURAS!$H$6:$H$28,$P85))/MAX(INDEX(PARAMETROS_CULTURAS!$I$6:$I$28,$P85),0.0001)))))</f>
        <v>1.15</v>
      </c>
      <c r="S85" s="18" t="n">
        <f aca="false">IFERROR(INDEX(SEMANAS!$H$6:$H$71,MATCH($B85,SEMANAS!$B$6:$B$71,0)),0)</f>
        <v>33.1</v>
      </c>
      <c r="T85" s="18" t="n">
        <f aca="false">$R85*$S85</f>
        <v>38.065</v>
      </c>
      <c r="U85" s="18" t="n">
        <f aca="false">IFERROR(INDEX(SEMANAS!$I$6:$I$71,MATCH($B85,SEMANAS!$B$6:$B$71,0)),0)</f>
        <v>48.31</v>
      </c>
      <c r="V85" s="18" t="n">
        <f aca="false">IFERROR(INDEX(SEMANAS!$J$6:$J$71,MATCH($B85,SEMANAS!$B$6:$B$71,0)),0)</f>
        <v>38.648</v>
      </c>
      <c r="W85" s="18" t="n">
        <f aca="false">MAX(0,$T85-$V85)</f>
        <v>0</v>
      </c>
      <c r="X85" s="19" t="n">
        <f aca="false">IFERROR(INDEX(CADASTRO_PIVOS!$K$6:$K$41,MATCH($E85,CADASTRO_PIVOS!$B$6:$B$41,0)),EFICIENCIA_PADRAO)</f>
        <v>0.85</v>
      </c>
      <c r="Y85" s="18" t="n">
        <f aca="false">IF($X85&lt;=0,0,$W85/$X85)</f>
        <v>0</v>
      </c>
      <c r="Z85" s="16" t="n">
        <f aca="false">$Y85*$H85*MM_PARA_M3_HA</f>
        <v>0</v>
      </c>
      <c r="AA85" s="18" t="n">
        <f aca="false">IFERROR(INDEX(CADASTRO_PIVOS!$I$6:$I$41,MATCH($E85,CADASTRO_PIVOS!$B$6:$B$41,0)),0)</f>
        <v>718.5</v>
      </c>
      <c r="AB85" s="18" t="n">
        <f aca="false">IF($Z85&lt;=0,0,$Z85/$AA85)</f>
        <v>0</v>
      </c>
      <c r="AC85" s="16" t="n">
        <f aca="false">IFERROR(INDEX(SEMANAS!$K$6:$K$71,MATCH($B85,SEMANAS!$B$6:$B$71,0)),0)</f>
        <v>147</v>
      </c>
      <c r="AD85" s="19" t="n">
        <f aca="false">IF($AC85&lt;=0,0,$AB85/$AC85)</f>
        <v>0</v>
      </c>
      <c r="AE85" s="8" t="str">
        <f aca="false">IF($K85="SEM CULTURA","SEM CULTURA",IF($AA85&lt;=0,"DADO PENDENTE",IF($AD85&gt;LIMITE_CRITICO,"INVIAVEL",IF($AD85&gt;LIMITE_ATENCAO,"CRITICO",IF($AD85&gt;LIMITE_CONFORTAVEL,"ATENCAO","OK")))))</f>
        <v>OK</v>
      </c>
      <c r="AF85" s="8" t="str">
        <f aca="false">$B85&amp;"|"&amp;TEXT($AD85,"0.000000")</f>
        <v>14|0.000000</v>
      </c>
      <c r="AG85" s="18" t="n">
        <f aca="false">IF($K85="SEM CULTURA",0,$T85*$H85)</f>
        <v>3828.95835</v>
      </c>
      <c r="AH85" s="18" t="n">
        <f aca="false">IF($K85="SEM CULTURA",0,$V85*$H85)</f>
        <v>3887.60232</v>
      </c>
      <c r="AI85" s="18" t="n">
        <f aca="false">IF($K85="SEM CULTURA",0,$W85*$H85)</f>
        <v>0</v>
      </c>
      <c r="AJ85" s="18" t="n">
        <f aca="false">IF($K85="SEM CULTURA",0,$S85*$H85)</f>
        <v>3329.529</v>
      </c>
      <c r="AK85" s="8" t="str">
        <f aca="false">$E85&amp;"|"&amp;TEXT($AD85,"0.000000")</f>
        <v>PV 106|0.000000</v>
      </c>
    </row>
    <row r="86" customFormat="false" ht="15" hidden="false" customHeight="false" outlineLevel="0" collapsed="false">
      <c r="B86" s="16" t="n">
        <v>15</v>
      </c>
      <c r="C86" s="17" t="n">
        <f aca="false">DATA_INICIO_SAFRA+($B86-1)*DIAS_POR_SEMANA</f>
        <v>46363</v>
      </c>
      <c r="D86" s="17" t="n">
        <f aca="false">$C86+DIAS_POR_SEMANA-1</f>
        <v>46369</v>
      </c>
      <c r="E86" s="15" t="s">
        <v>260</v>
      </c>
      <c r="F86" s="8" t="str">
        <f aca="false">IFERROR(INDEX(CADASTRO_PIVOS!$C$6:$C$41,MATCH($E86,CADASTRO_PIVOS!$B$6:$B$41,0)),"?")</f>
        <v>RM02</v>
      </c>
      <c r="G86" s="8" t="str">
        <f aca="false">IFERROR(INDEX(CADASTRO_PIVOS!$D$6:$D$41,MATCH($E86,CADASTRO_PIVOS!$B$6:$B$41,0)),"?")</f>
        <v>TR02</v>
      </c>
      <c r="H86" s="20" t="n">
        <f aca="false">IFERROR(INDEX(CADASTRO_PIVOS!$E$6:$E$41,MATCH($E86,CADASTRO_PIVOS!$B$6:$B$41,0)),0)</f>
        <v>100.59</v>
      </c>
      <c r="I86" s="16" t="n">
        <f aca="false">IFERROR(SUMIFS(ROTACAO_RDM!$B$6:$B$71,ROTACAO_RDM!$D$6:$D$71,$E86,ROTACAO_RDM!$I$6:$I$71,"&lt;="&amp;$C86+INT(DIAS_POR_SEMANA/2),ROTACAO_RDM!$J$6:$J$71,"&gt;="&amp;$C86+INT(DIAS_POR_SEMANA/2)),0)</f>
        <v>10</v>
      </c>
      <c r="J86" s="16" t="n">
        <f aca="false">IFERROR(MATCH($I86,ROTACAO_RDM!$B$6:$B$71,0),0)</f>
        <v>10</v>
      </c>
      <c r="K86" s="8" t="str">
        <f aca="false">IF($J86=0,"SEM CULTURA",INDEX(ROTACAO_RDM!$F$6:$F$71,$J86))</f>
        <v>SOJA</v>
      </c>
      <c r="L86" s="8" t="str">
        <f aca="false">IF($J86=0,"",INDEX(ROTACAO_RDM!$G$6:$G$71,$J86))</f>
        <v>NEO 761 I2X</v>
      </c>
      <c r="M86" s="17" t="n">
        <f aca="false">IF($J86=0,"",INDEX(ROTACAO_RDM!$I$6:$I$71,$J86))</f>
        <v>46291</v>
      </c>
      <c r="N86" s="16" t="n">
        <f aca="false">IF($J86=0,0,MAX(0,$C86+INT(DIAS_POR_SEMANA/2)-INDEX(ROTACAO_RDM!$I$6:$I$71,$J86)))</f>
        <v>75</v>
      </c>
      <c r="O86" s="19" t="n">
        <f aca="false">IF($J86=0,0,MIN(1,$N86/MAX(1,INDEX(ROTACAO_RDM!$K$6:$K$71,$J86))))</f>
        <v>0.646551724137931</v>
      </c>
      <c r="P86" s="16" t="n">
        <f aca="false">IF($J86=0,0,IFERROR(MATCH(INDEX(ROTACAO_RDM!$N$6:$N$71,$J86),PARAMETROS_CULTURAS!$B$6:$B$28,0),0))</f>
        <v>2</v>
      </c>
      <c r="Q86" s="8" t="str">
        <f aca="false">IF($P86=0,"-",IF($O86&lt;=INDEX(PARAMETROS_CULTURAS!$F$6:$F$28,$P86),"INICIAL",IF($O86&lt;=INDEX(PARAMETROS_CULTURAS!$F$6:$F$28,$P86)+INDEX(PARAMETROS_CULTURAS!$G$6:$G$28,$P86),"DESENVOLVIMENTO",IF($O86&lt;=INDEX(PARAMETROS_CULTURAS!$F$6:$F$28,$P86)+INDEX(PARAMETROS_CULTURAS!$G$6:$G$28,$P86)+INDEX(PARAMETROS_CULTURAS!$H$6:$H$28,$P86),"MEDIA","FINAL"))))</f>
        <v>MEDIA</v>
      </c>
      <c r="R86" s="24" t="n">
        <f aca="false">IF($P86=0,0,IF($O86&lt;=INDEX(PARAMETROS_CULTURAS!$F$6:$F$28,$P86),INDEX(PARAMETROS_CULTURAS!$K$6:$K$28,$P86),IF($O86&lt;=INDEX(PARAMETROS_CULTURAS!$F$6:$F$28,$P86)+INDEX(PARAMETROS_CULTURAS!$G$6:$G$28,$P86),INDEX(PARAMETROS_CULTURAS!$K$6:$K$28,$P86)+(INDEX(PARAMETROS_CULTURAS!$L$6:$L$28,$P86)-INDEX(PARAMETROS_CULTURAS!$K$6:$K$28,$P86))*($O86-INDEX(PARAMETROS_CULTURAS!$F$6:$F$28,$P86))/MAX(INDEX(PARAMETROS_CULTURAS!$G$6:$G$28,$P86),0.0001),IF($O86&lt;=INDEX(PARAMETROS_CULTURAS!$F$6:$F$28,$P86)+INDEX(PARAMETROS_CULTURAS!$G$6:$G$28,$P86)+INDEX(PARAMETROS_CULTURAS!$H$6:$H$28,$P86),INDEX(PARAMETROS_CULTURAS!$L$6:$L$28,$P86),INDEX(PARAMETROS_CULTURAS!$L$6:$L$28,$P86)+(INDEX(PARAMETROS_CULTURAS!$M$6:$M$28,$P86)-INDEX(PARAMETROS_CULTURAS!$L$6:$L$28,$P86))*($O86-INDEX(PARAMETROS_CULTURAS!$F$6:$F$28,$P86)-INDEX(PARAMETROS_CULTURAS!$G$6:$G$28,$P86)-INDEX(PARAMETROS_CULTURAS!$H$6:$H$28,$P86))/MAX(INDEX(PARAMETROS_CULTURAS!$I$6:$I$28,$P86),0.0001)))))</f>
        <v>1.15</v>
      </c>
      <c r="S86" s="18" t="n">
        <f aca="false">IFERROR(INDEX(SEMANAS!$H$6:$H$71,MATCH($B86,SEMANAS!$B$6:$B$71,0)),0)</f>
        <v>32.9</v>
      </c>
      <c r="T86" s="18" t="n">
        <f aca="false">$R86*$S86</f>
        <v>37.835</v>
      </c>
      <c r="U86" s="18" t="n">
        <f aca="false">IFERROR(INDEX(SEMANAS!$I$6:$I$71,MATCH($B86,SEMANAS!$B$6:$B$71,0)),0)</f>
        <v>48.58</v>
      </c>
      <c r="V86" s="18" t="n">
        <f aca="false">IFERROR(INDEX(SEMANAS!$J$6:$J$71,MATCH($B86,SEMANAS!$B$6:$B$71,0)),0)</f>
        <v>38.864</v>
      </c>
      <c r="W86" s="18" t="n">
        <f aca="false">MAX(0,$T86-$V86)</f>
        <v>0</v>
      </c>
      <c r="X86" s="19" t="n">
        <f aca="false">IFERROR(INDEX(CADASTRO_PIVOS!$K$6:$K$41,MATCH($E86,CADASTRO_PIVOS!$B$6:$B$41,0)),EFICIENCIA_PADRAO)</f>
        <v>0.85</v>
      </c>
      <c r="Y86" s="18" t="n">
        <f aca="false">IF($X86&lt;=0,0,$W86/$X86)</f>
        <v>0</v>
      </c>
      <c r="Z86" s="16" t="n">
        <f aca="false">$Y86*$H86*MM_PARA_M3_HA</f>
        <v>0</v>
      </c>
      <c r="AA86" s="18" t="n">
        <f aca="false">IFERROR(INDEX(CADASTRO_PIVOS!$I$6:$I$41,MATCH($E86,CADASTRO_PIVOS!$B$6:$B$41,0)),0)</f>
        <v>718.5</v>
      </c>
      <c r="AB86" s="18" t="n">
        <f aca="false">IF($Z86&lt;=0,0,$Z86/$AA86)</f>
        <v>0</v>
      </c>
      <c r="AC86" s="16" t="n">
        <f aca="false">IFERROR(INDEX(SEMANAS!$K$6:$K$71,MATCH($B86,SEMANAS!$B$6:$B$71,0)),0)</f>
        <v>147</v>
      </c>
      <c r="AD86" s="19" t="n">
        <f aca="false">IF($AC86&lt;=0,0,$AB86/$AC86)</f>
        <v>0</v>
      </c>
      <c r="AE86" s="8" t="str">
        <f aca="false">IF($K86="SEM CULTURA","SEM CULTURA",IF($AA86&lt;=0,"DADO PENDENTE",IF($AD86&gt;LIMITE_CRITICO,"INVIAVEL",IF($AD86&gt;LIMITE_ATENCAO,"CRITICO",IF($AD86&gt;LIMITE_CONFORTAVEL,"ATENCAO","OK")))))</f>
        <v>OK</v>
      </c>
      <c r="AF86" s="8" t="str">
        <f aca="false">$B86&amp;"|"&amp;TEXT($AD86,"0.000000")</f>
        <v>15|0.000000</v>
      </c>
      <c r="AG86" s="18" t="n">
        <f aca="false">IF($K86="SEM CULTURA",0,$T86*$H86)</f>
        <v>3805.82265</v>
      </c>
      <c r="AH86" s="18" t="n">
        <f aca="false">IF($K86="SEM CULTURA",0,$V86*$H86)</f>
        <v>3909.32976</v>
      </c>
      <c r="AI86" s="18" t="n">
        <f aca="false">IF($K86="SEM CULTURA",0,$W86*$H86)</f>
        <v>0</v>
      </c>
      <c r="AJ86" s="18" t="n">
        <f aca="false">IF($K86="SEM CULTURA",0,$S86*$H86)</f>
        <v>3309.411</v>
      </c>
      <c r="AK86" s="8" t="str">
        <f aca="false">$E86&amp;"|"&amp;TEXT($AD86,"0.000000")</f>
        <v>PV 106|0.000000</v>
      </c>
    </row>
    <row r="87" customFormat="false" ht="15" hidden="false" customHeight="false" outlineLevel="0" collapsed="false">
      <c r="B87" s="16" t="n">
        <v>16</v>
      </c>
      <c r="C87" s="17" t="n">
        <f aca="false">DATA_INICIO_SAFRA+($B87-1)*DIAS_POR_SEMANA</f>
        <v>46370</v>
      </c>
      <c r="D87" s="17" t="n">
        <f aca="false">$C87+DIAS_POR_SEMANA-1</f>
        <v>46376</v>
      </c>
      <c r="E87" s="15" t="s">
        <v>260</v>
      </c>
      <c r="F87" s="8" t="str">
        <f aca="false">IFERROR(INDEX(CADASTRO_PIVOS!$C$6:$C$41,MATCH($E87,CADASTRO_PIVOS!$B$6:$B$41,0)),"?")</f>
        <v>RM02</v>
      </c>
      <c r="G87" s="8" t="str">
        <f aca="false">IFERROR(INDEX(CADASTRO_PIVOS!$D$6:$D$41,MATCH($E87,CADASTRO_PIVOS!$B$6:$B$41,0)),"?")</f>
        <v>TR02</v>
      </c>
      <c r="H87" s="20" t="n">
        <f aca="false">IFERROR(INDEX(CADASTRO_PIVOS!$E$6:$E$41,MATCH($E87,CADASTRO_PIVOS!$B$6:$B$41,0)),0)</f>
        <v>100.59</v>
      </c>
      <c r="I87" s="16" t="n">
        <f aca="false">IFERROR(SUMIFS(ROTACAO_RDM!$B$6:$B$71,ROTACAO_RDM!$D$6:$D$71,$E87,ROTACAO_RDM!$I$6:$I$71,"&lt;="&amp;$C87+INT(DIAS_POR_SEMANA/2),ROTACAO_RDM!$J$6:$J$71,"&gt;="&amp;$C87+INT(DIAS_POR_SEMANA/2)),0)</f>
        <v>10</v>
      </c>
      <c r="J87" s="16" t="n">
        <f aca="false">IFERROR(MATCH($I87,ROTACAO_RDM!$B$6:$B$71,0),0)</f>
        <v>10</v>
      </c>
      <c r="K87" s="8" t="str">
        <f aca="false">IF($J87=0,"SEM CULTURA",INDEX(ROTACAO_RDM!$F$6:$F$71,$J87))</f>
        <v>SOJA</v>
      </c>
      <c r="L87" s="8" t="str">
        <f aca="false">IF($J87=0,"",INDEX(ROTACAO_RDM!$G$6:$G$71,$J87))</f>
        <v>NEO 761 I2X</v>
      </c>
      <c r="M87" s="17" t="n">
        <f aca="false">IF($J87=0,"",INDEX(ROTACAO_RDM!$I$6:$I$71,$J87))</f>
        <v>46291</v>
      </c>
      <c r="N87" s="16" t="n">
        <f aca="false">IF($J87=0,0,MAX(0,$C87+INT(DIAS_POR_SEMANA/2)-INDEX(ROTACAO_RDM!$I$6:$I$71,$J87)))</f>
        <v>82</v>
      </c>
      <c r="O87" s="19" t="n">
        <f aca="false">IF($J87=0,0,MIN(1,$N87/MAX(1,INDEX(ROTACAO_RDM!$K$6:$K$71,$J87))))</f>
        <v>0.706896551724138</v>
      </c>
      <c r="P87" s="16" t="n">
        <f aca="false">IF($J87=0,0,IFERROR(MATCH(INDEX(ROTACAO_RDM!$N$6:$N$71,$J87),PARAMETROS_CULTURAS!$B$6:$B$28,0),0))</f>
        <v>2</v>
      </c>
      <c r="Q87" s="8" t="str">
        <f aca="false">IF($P87=0,"-",IF($O87&lt;=INDEX(PARAMETROS_CULTURAS!$F$6:$F$28,$P87),"INICIAL",IF($O87&lt;=INDEX(PARAMETROS_CULTURAS!$F$6:$F$28,$P87)+INDEX(PARAMETROS_CULTURAS!$G$6:$G$28,$P87),"DESENVOLVIMENTO",IF($O87&lt;=INDEX(PARAMETROS_CULTURAS!$F$6:$F$28,$P87)+INDEX(PARAMETROS_CULTURAS!$G$6:$G$28,$P87)+INDEX(PARAMETROS_CULTURAS!$H$6:$H$28,$P87),"MEDIA","FINAL"))))</f>
        <v>MEDIA</v>
      </c>
      <c r="R87" s="24" t="n">
        <f aca="false">IF($P87=0,0,IF($O87&lt;=INDEX(PARAMETROS_CULTURAS!$F$6:$F$28,$P87),INDEX(PARAMETROS_CULTURAS!$K$6:$K$28,$P87),IF($O87&lt;=INDEX(PARAMETROS_CULTURAS!$F$6:$F$28,$P87)+INDEX(PARAMETROS_CULTURAS!$G$6:$G$28,$P87),INDEX(PARAMETROS_CULTURAS!$K$6:$K$28,$P87)+(INDEX(PARAMETROS_CULTURAS!$L$6:$L$28,$P87)-INDEX(PARAMETROS_CULTURAS!$K$6:$K$28,$P87))*($O87-INDEX(PARAMETROS_CULTURAS!$F$6:$F$28,$P87))/MAX(INDEX(PARAMETROS_CULTURAS!$G$6:$G$28,$P87),0.0001),IF($O87&lt;=INDEX(PARAMETROS_CULTURAS!$F$6:$F$28,$P87)+INDEX(PARAMETROS_CULTURAS!$G$6:$G$28,$P87)+INDEX(PARAMETROS_CULTURAS!$H$6:$H$28,$P87),INDEX(PARAMETROS_CULTURAS!$L$6:$L$28,$P87),INDEX(PARAMETROS_CULTURAS!$L$6:$L$28,$P87)+(INDEX(PARAMETROS_CULTURAS!$M$6:$M$28,$P87)-INDEX(PARAMETROS_CULTURAS!$L$6:$L$28,$P87))*($O87-INDEX(PARAMETROS_CULTURAS!$F$6:$F$28,$P87)-INDEX(PARAMETROS_CULTURAS!$G$6:$G$28,$P87)-INDEX(PARAMETROS_CULTURAS!$H$6:$H$28,$P87))/MAX(INDEX(PARAMETROS_CULTURAS!$I$6:$I$28,$P87),0.0001)))))</f>
        <v>1.15</v>
      </c>
      <c r="S87" s="18" t="n">
        <f aca="false">IFERROR(INDEX(SEMANAS!$H$6:$H$71,MATCH($B87,SEMANAS!$B$6:$B$71,0)),0)</f>
        <v>32.9</v>
      </c>
      <c r="T87" s="18" t="n">
        <f aca="false">$R87*$S87</f>
        <v>37.835</v>
      </c>
      <c r="U87" s="18" t="n">
        <f aca="false">IFERROR(INDEX(SEMANAS!$I$6:$I$71,MATCH($B87,SEMANAS!$B$6:$B$71,0)),0)</f>
        <v>48.58</v>
      </c>
      <c r="V87" s="18" t="n">
        <f aca="false">IFERROR(INDEX(SEMANAS!$J$6:$J$71,MATCH($B87,SEMANAS!$B$6:$B$71,0)),0)</f>
        <v>38.864</v>
      </c>
      <c r="W87" s="18" t="n">
        <f aca="false">MAX(0,$T87-$V87)</f>
        <v>0</v>
      </c>
      <c r="X87" s="19" t="n">
        <f aca="false">IFERROR(INDEX(CADASTRO_PIVOS!$K$6:$K$41,MATCH($E87,CADASTRO_PIVOS!$B$6:$B$41,0)),EFICIENCIA_PADRAO)</f>
        <v>0.85</v>
      </c>
      <c r="Y87" s="18" t="n">
        <f aca="false">IF($X87&lt;=0,0,$W87/$X87)</f>
        <v>0</v>
      </c>
      <c r="Z87" s="16" t="n">
        <f aca="false">$Y87*$H87*MM_PARA_M3_HA</f>
        <v>0</v>
      </c>
      <c r="AA87" s="18" t="n">
        <f aca="false">IFERROR(INDEX(CADASTRO_PIVOS!$I$6:$I$41,MATCH($E87,CADASTRO_PIVOS!$B$6:$B$41,0)),0)</f>
        <v>718.5</v>
      </c>
      <c r="AB87" s="18" t="n">
        <f aca="false">IF($Z87&lt;=0,0,$Z87/$AA87)</f>
        <v>0</v>
      </c>
      <c r="AC87" s="16" t="n">
        <f aca="false">IFERROR(INDEX(SEMANAS!$K$6:$K$71,MATCH($B87,SEMANAS!$B$6:$B$71,0)),0)</f>
        <v>147</v>
      </c>
      <c r="AD87" s="19" t="n">
        <f aca="false">IF($AC87&lt;=0,0,$AB87/$AC87)</f>
        <v>0</v>
      </c>
      <c r="AE87" s="8" t="str">
        <f aca="false">IF($K87="SEM CULTURA","SEM CULTURA",IF($AA87&lt;=0,"DADO PENDENTE",IF($AD87&gt;LIMITE_CRITICO,"INVIAVEL",IF($AD87&gt;LIMITE_ATENCAO,"CRITICO",IF($AD87&gt;LIMITE_CONFORTAVEL,"ATENCAO","OK")))))</f>
        <v>OK</v>
      </c>
      <c r="AF87" s="8" t="str">
        <f aca="false">$B87&amp;"|"&amp;TEXT($AD87,"0.000000")</f>
        <v>16|0.000000</v>
      </c>
      <c r="AG87" s="18" t="n">
        <f aca="false">IF($K87="SEM CULTURA",0,$T87*$H87)</f>
        <v>3805.82265</v>
      </c>
      <c r="AH87" s="18" t="n">
        <f aca="false">IF($K87="SEM CULTURA",0,$V87*$H87)</f>
        <v>3909.32976</v>
      </c>
      <c r="AI87" s="18" t="n">
        <f aca="false">IF($K87="SEM CULTURA",0,$W87*$H87)</f>
        <v>0</v>
      </c>
      <c r="AJ87" s="18" t="n">
        <f aca="false">IF($K87="SEM CULTURA",0,$S87*$H87)</f>
        <v>3309.411</v>
      </c>
      <c r="AK87" s="8" t="str">
        <f aca="false">$E87&amp;"|"&amp;TEXT($AD87,"0.000000")</f>
        <v>PV 106|0.000000</v>
      </c>
    </row>
    <row r="88" customFormat="false" ht="15" hidden="false" customHeight="false" outlineLevel="0" collapsed="false">
      <c r="B88" s="16" t="n">
        <v>17</v>
      </c>
      <c r="C88" s="17" t="n">
        <f aca="false">DATA_INICIO_SAFRA+($B88-1)*DIAS_POR_SEMANA</f>
        <v>46377</v>
      </c>
      <c r="D88" s="17" t="n">
        <f aca="false">$C88+DIAS_POR_SEMANA-1</f>
        <v>46383</v>
      </c>
      <c r="E88" s="15" t="s">
        <v>260</v>
      </c>
      <c r="F88" s="8" t="str">
        <f aca="false">IFERROR(INDEX(CADASTRO_PIVOS!$C$6:$C$41,MATCH($E88,CADASTRO_PIVOS!$B$6:$B$41,0)),"?")</f>
        <v>RM02</v>
      </c>
      <c r="G88" s="8" t="str">
        <f aca="false">IFERROR(INDEX(CADASTRO_PIVOS!$D$6:$D$41,MATCH($E88,CADASTRO_PIVOS!$B$6:$B$41,0)),"?")</f>
        <v>TR02</v>
      </c>
      <c r="H88" s="20" t="n">
        <f aca="false">IFERROR(INDEX(CADASTRO_PIVOS!$E$6:$E$41,MATCH($E88,CADASTRO_PIVOS!$B$6:$B$41,0)),0)</f>
        <v>100.59</v>
      </c>
      <c r="I88" s="16" t="n">
        <f aca="false">IFERROR(SUMIFS(ROTACAO_RDM!$B$6:$B$71,ROTACAO_RDM!$D$6:$D$71,$E88,ROTACAO_RDM!$I$6:$I$71,"&lt;="&amp;$C88+INT(DIAS_POR_SEMANA/2),ROTACAO_RDM!$J$6:$J$71,"&gt;="&amp;$C88+INT(DIAS_POR_SEMANA/2)),0)</f>
        <v>10</v>
      </c>
      <c r="J88" s="16" t="n">
        <f aca="false">IFERROR(MATCH($I88,ROTACAO_RDM!$B$6:$B$71,0),0)</f>
        <v>10</v>
      </c>
      <c r="K88" s="8" t="str">
        <f aca="false">IF($J88=0,"SEM CULTURA",INDEX(ROTACAO_RDM!$F$6:$F$71,$J88))</f>
        <v>SOJA</v>
      </c>
      <c r="L88" s="8" t="str">
        <f aca="false">IF($J88=0,"",INDEX(ROTACAO_RDM!$G$6:$G$71,$J88))</f>
        <v>NEO 761 I2X</v>
      </c>
      <c r="M88" s="17" t="n">
        <f aca="false">IF($J88=0,"",INDEX(ROTACAO_RDM!$I$6:$I$71,$J88))</f>
        <v>46291</v>
      </c>
      <c r="N88" s="16" t="n">
        <f aca="false">IF($J88=0,0,MAX(0,$C88+INT(DIAS_POR_SEMANA/2)-INDEX(ROTACAO_RDM!$I$6:$I$71,$J88)))</f>
        <v>89</v>
      </c>
      <c r="O88" s="19" t="n">
        <f aca="false">IF($J88=0,0,MIN(1,$N88/MAX(1,INDEX(ROTACAO_RDM!$K$6:$K$71,$J88))))</f>
        <v>0.767241379310345</v>
      </c>
      <c r="P88" s="16" t="n">
        <f aca="false">IF($J88=0,0,IFERROR(MATCH(INDEX(ROTACAO_RDM!$N$6:$N$71,$J88),PARAMETROS_CULTURAS!$B$6:$B$28,0),0))</f>
        <v>2</v>
      </c>
      <c r="Q88" s="8" t="str">
        <f aca="false">IF($P88=0,"-",IF($O88&lt;=INDEX(PARAMETROS_CULTURAS!$F$6:$F$28,$P88),"INICIAL",IF($O88&lt;=INDEX(PARAMETROS_CULTURAS!$F$6:$F$28,$P88)+INDEX(PARAMETROS_CULTURAS!$G$6:$G$28,$P88),"DESENVOLVIMENTO",IF($O88&lt;=INDEX(PARAMETROS_CULTURAS!$F$6:$F$28,$P88)+INDEX(PARAMETROS_CULTURAS!$G$6:$G$28,$P88)+INDEX(PARAMETROS_CULTURAS!$H$6:$H$28,$P88),"MEDIA","FINAL"))))</f>
        <v>MEDIA</v>
      </c>
      <c r="R88" s="24" t="n">
        <f aca="false">IF($P88=0,0,IF($O88&lt;=INDEX(PARAMETROS_CULTURAS!$F$6:$F$28,$P88),INDEX(PARAMETROS_CULTURAS!$K$6:$K$28,$P88),IF($O88&lt;=INDEX(PARAMETROS_CULTURAS!$F$6:$F$28,$P88)+INDEX(PARAMETROS_CULTURAS!$G$6:$G$28,$P88),INDEX(PARAMETROS_CULTURAS!$K$6:$K$28,$P88)+(INDEX(PARAMETROS_CULTURAS!$L$6:$L$28,$P88)-INDEX(PARAMETROS_CULTURAS!$K$6:$K$28,$P88))*($O88-INDEX(PARAMETROS_CULTURAS!$F$6:$F$28,$P88))/MAX(INDEX(PARAMETROS_CULTURAS!$G$6:$G$28,$P88),0.0001),IF($O88&lt;=INDEX(PARAMETROS_CULTURAS!$F$6:$F$28,$P88)+INDEX(PARAMETROS_CULTURAS!$G$6:$G$28,$P88)+INDEX(PARAMETROS_CULTURAS!$H$6:$H$28,$P88),INDEX(PARAMETROS_CULTURAS!$L$6:$L$28,$P88),INDEX(PARAMETROS_CULTURAS!$L$6:$L$28,$P88)+(INDEX(PARAMETROS_CULTURAS!$M$6:$M$28,$P88)-INDEX(PARAMETROS_CULTURAS!$L$6:$L$28,$P88))*($O88-INDEX(PARAMETROS_CULTURAS!$F$6:$F$28,$P88)-INDEX(PARAMETROS_CULTURAS!$G$6:$G$28,$P88)-INDEX(PARAMETROS_CULTURAS!$H$6:$H$28,$P88))/MAX(INDEX(PARAMETROS_CULTURAS!$I$6:$I$28,$P88),0.0001)))))</f>
        <v>1.15</v>
      </c>
      <c r="S88" s="18" t="n">
        <f aca="false">IFERROR(INDEX(SEMANAS!$H$6:$H$71,MATCH($B88,SEMANAS!$B$6:$B$71,0)),0)</f>
        <v>32.9</v>
      </c>
      <c r="T88" s="18" t="n">
        <f aca="false">$R88*$S88</f>
        <v>37.835</v>
      </c>
      <c r="U88" s="18" t="n">
        <f aca="false">IFERROR(INDEX(SEMANAS!$I$6:$I$71,MATCH($B88,SEMANAS!$B$6:$B$71,0)),0)</f>
        <v>48.58</v>
      </c>
      <c r="V88" s="18" t="n">
        <f aca="false">IFERROR(INDEX(SEMANAS!$J$6:$J$71,MATCH($B88,SEMANAS!$B$6:$B$71,0)),0)</f>
        <v>38.864</v>
      </c>
      <c r="W88" s="18" t="n">
        <f aca="false">MAX(0,$T88-$V88)</f>
        <v>0</v>
      </c>
      <c r="X88" s="19" t="n">
        <f aca="false">IFERROR(INDEX(CADASTRO_PIVOS!$K$6:$K$41,MATCH($E88,CADASTRO_PIVOS!$B$6:$B$41,0)),EFICIENCIA_PADRAO)</f>
        <v>0.85</v>
      </c>
      <c r="Y88" s="18" t="n">
        <f aca="false">IF($X88&lt;=0,0,$W88/$X88)</f>
        <v>0</v>
      </c>
      <c r="Z88" s="16" t="n">
        <f aca="false">$Y88*$H88*MM_PARA_M3_HA</f>
        <v>0</v>
      </c>
      <c r="AA88" s="18" t="n">
        <f aca="false">IFERROR(INDEX(CADASTRO_PIVOS!$I$6:$I$41,MATCH($E88,CADASTRO_PIVOS!$B$6:$B$41,0)),0)</f>
        <v>718.5</v>
      </c>
      <c r="AB88" s="18" t="n">
        <f aca="false">IF($Z88&lt;=0,0,$Z88/$AA88)</f>
        <v>0</v>
      </c>
      <c r="AC88" s="16" t="n">
        <f aca="false">IFERROR(INDEX(SEMANAS!$K$6:$K$71,MATCH($B88,SEMANAS!$B$6:$B$71,0)),0)</f>
        <v>147</v>
      </c>
      <c r="AD88" s="19" t="n">
        <f aca="false">IF($AC88&lt;=0,0,$AB88/$AC88)</f>
        <v>0</v>
      </c>
      <c r="AE88" s="8" t="str">
        <f aca="false">IF($K88="SEM CULTURA","SEM CULTURA",IF($AA88&lt;=0,"DADO PENDENTE",IF($AD88&gt;LIMITE_CRITICO,"INVIAVEL",IF($AD88&gt;LIMITE_ATENCAO,"CRITICO",IF($AD88&gt;LIMITE_CONFORTAVEL,"ATENCAO","OK")))))</f>
        <v>OK</v>
      </c>
      <c r="AF88" s="8" t="str">
        <f aca="false">$B88&amp;"|"&amp;TEXT($AD88,"0.000000")</f>
        <v>17|0.000000</v>
      </c>
      <c r="AG88" s="18" t="n">
        <f aca="false">IF($K88="SEM CULTURA",0,$T88*$H88)</f>
        <v>3805.82265</v>
      </c>
      <c r="AH88" s="18" t="n">
        <f aca="false">IF($K88="SEM CULTURA",0,$V88*$H88)</f>
        <v>3909.32976</v>
      </c>
      <c r="AI88" s="18" t="n">
        <f aca="false">IF($K88="SEM CULTURA",0,$W88*$H88)</f>
        <v>0</v>
      </c>
      <c r="AJ88" s="18" t="n">
        <f aca="false">IF($K88="SEM CULTURA",0,$S88*$H88)</f>
        <v>3309.411</v>
      </c>
      <c r="AK88" s="8" t="str">
        <f aca="false">$E88&amp;"|"&amp;TEXT($AD88,"0.000000")</f>
        <v>PV 106|0.000000</v>
      </c>
    </row>
    <row r="89" customFormat="false" ht="15" hidden="false" customHeight="false" outlineLevel="0" collapsed="false">
      <c r="B89" s="16" t="n">
        <v>18</v>
      </c>
      <c r="C89" s="17" t="n">
        <f aca="false">DATA_INICIO_SAFRA+($B89-1)*DIAS_POR_SEMANA</f>
        <v>46384</v>
      </c>
      <c r="D89" s="17" t="n">
        <f aca="false">$C89+DIAS_POR_SEMANA-1</f>
        <v>46390</v>
      </c>
      <c r="E89" s="15" t="s">
        <v>260</v>
      </c>
      <c r="F89" s="8" t="str">
        <f aca="false">IFERROR(INDEX(CADASTRO_PIVOS!$C$6:$C$41,MATCH($E89,CADASTRO_PIVOS!$B$6:$B$41,0)),"?")</f>
        <v>RM02</v>
      </c>
      <c r="G89" s="8" t="str">
        <f aca="false">IFERROR(INDEX(CADASTRO_PIVOS!$D$6:$D$41,MATCH($E89,CADASTRO_PIVOS!$B$6:$B$41,0)),"?")</f>
        <v>TR02</v>
      </c>
      <c r="H89" s="20" t="n">
        <f aca="false">IFERROR(INDEX(CADASTRO_PIVOS!$E$6:$E$41,MATCH($E89,CADASTRO_PIVOS!$B$6:$B$41,0)),0)</f>
        <v>100.59</v>
      </c>
      <c r="I89" s="16" t="n">
        <f aca="false">IFERROR(SUMIFS(ROTACAO_RDM!$B$6:$B$71,ROTACAO_RDM!$D$6:$D$71,$E89,ROTACAO_RDM!$I$6:$I$71,"&lt;="&amp;$C89+INT(DIAS_POR_SEMANA/2),ROTACAO_RDM!$J$6:$J$71,"&gt;="&amp;$C89+INT(DIAS_POR_SEMANA/2)),0)</f>
        <v>10</v>
      </c>
      <c r="J89" s="16" t="n">
        <f aca="false">IFERROR(MATCH($I89,ROTACAO_RDM!$B$6:$B$71,0),0)</f>
        <v>10</v>
      </c>
      <c r="K89" s="8" t="str">
        <f aca="false">IF($J89=0,"SEM CULTURA",INDEX(ROTACAO_RDM!$F$6:$F$71,$J89))</f>
        <v>SOJA</v>
      </c>
      <c r="L89" s="8" t="str">
        <f aca="false">IF($J89=0,"",INDEX(ROTACAO_RDM!$G$6:$G$71,$J89))</f>
        <v>NEO 761 I2X</v>
      </c>
      <c r="M89" s="17" t="n">
        <f aca="false">IF($J89=0,"",INDEX(ROTACAO_RDM!$I$6:$I$71,$J89))</f>
        <v>46291</v>
      </c>
      <c r="N89" s="16" t="n">
        <f aca="false">IF($J89=0,0,MAX(0,$C89+INT(DIAS_POR_SEMANA/2)-INDEX(ROTACAO_RDM!$I$6:$I$71,$J89)))</f>
        <v>96</v>
      </c>
      <c r="O89" s="19" t="n">
        <f aca="false">IF($J89=0,0,MIN(1,$N89/MAX(1,INDEX(ROTACAO_RDM!$K$6:$K$71,$J89))))</f>
        <v>0.827586206896552</v>
      </c>
      <c r="P89" s="16" t="n">
        <f aca="false">IF($J89=0,0,IFERROR(MATCH(INDEX(ROTACAO_RDM!$N$6:$N$71,$J89),PARAMETROS_CULTURAS!$B$6:$B$28,0),0))</f>
        <v>2</v>
      </c>
      <c r="Q89" s="8" t="str">
        <f aca="false">IF($P89=0,"-",IF($O89&lt;=INDEX(PARAMETROS_CULTURAS!$F$6:$F$28,$P89),"INICIAL",IF($O89&lt;=INDEX(PARAMETROS_CULTURAS!$F$6:$F$28,$P89)+INDEX(PARAMETROS_CULTURAS!$G$6:$G$28,$P89),"DESENVOLVIMENTO",IF($O89&lt;=INDEX(PARAMETROS_CULTURAS!$F$6:$F$28,$P89)+INDEX(PARAMETROS_CULTURAS!$G$6:$G$28,$P89)+INDEX(PARAMETROS_CULTURAS!$H$6:$H$28,$P89),"MEDIA","FINAL"))))</f>
        <v>FINAL</v>
      </c>
      <c r="R89" s="24" t="n">
        <f aca="false">IF($P89=0,0,IF($O89&lt;=INDEX(PARAMETROS_CULTURAS!$F$6:$F$28,$P89),INDEX(PARAMETROS_CULTURAS!$K$6:$K$28,$P89),IF($O89&lt;=INDEX(PARAMETROS_CULTURAS!$F$6:$F$28,$P89)+INDEX(PARAMETROS_CULTURAS!$G$6:$G$28,$P89),INDEX(PARAMETROS_CULTURAS!$K$6:$K$28,$P89)+(INDEX(PARAMETROS_CULTURAS!$L$6:$L$28,$P89)-INDEX(PARAMETROS_CULTURAS!$K$6:$K$28,$P89))*($O89-INDEX(PARAMETROS_CULTURAS!$F$6:$F$28,$P89))/MAX(INDEX(PARAMETROS_CULTURAS!$G$6:$G$28,$P89),0.0001),IF($O89&lt;=INDEX(PARAMETROS_CULTURAS!$F$6:$F$28,$P89)+INDEX(PARAMETROS_CULTURAS!$G$6:$G$28,$P89)+INDEX(PARAMETROS_CULTURAS!$H$6:$H$28,$P89),INDEX(PARAMETROS_CULTURAS!$L$6:$L$28,$P89),INDEX(PARAMETROS_CULTURAS!$L$6:$L$28,$P89)+(INDEX(PARAMETROS_CULTURAS!$M$6:$M$28,$P89)-INDEX(PARAMETROS_CULTURAS!$L$6:$L$28,$P89))*($O89-INDEX(PARAMETROS_CULTURAS!$F$6:$F$28,$P89)-INDEX(PARAMETROS_CULTURAS!$G$6:$G$28,$P89)-INDEX(PARAMETROS_CULTURAS!$H$6:$H$28,$P89))/MAX(INDEX(PARAMETROS_CULTURAS!$I$6:$I$28,$P89),0.0001)))))</f>
        <v>1.08983666061706</v>
      </c>
      <c r="S89" s="18" t="n">
        <f aca="false">IFERROR(INDEX(SEMANAS!$H$6:$H$71,MATCH($B89,SEMANAS!$B$6:$B$71,0)),0)</f>
        <v>33.2</v>
      </c>
      <c r="T89" s="18" t="n">
        <f aca="false">$R89*$S89</f>
        <v>36.1825771324864</v>
      </c>
      <c r="U89" s="18" t="n">
        <f aca="false">IFERROR(INDEX(SEMANAS!$I$6:$I$71,MATCH($B89,SEMANAS!$B$6:$B$71,0)),0)</f>
        <v>47.11</v>
      </c>
      <c r="V89" s="18" t="n">
        <f aca="false">IFERROR(INDEX(SEMANAS!$J$6:$J$71,MATCH($B89,SEMANAS!$B$6:$B$71,0)),0)</f>
        <v>37.688</v>
      </c>
      <c r="W89" s="18" t="n">
        <f aca="false">MAX(0,$T89-$V89)</f>
        <v>0</v>
      </c>
      <c r="X89" s="19" t="n">
        <f aca="false">IFERROR(INDEX(CADASTRO_PIVOS!$K$6:$K$41,MATCH($E89,CADASTRO_PIVOS!$B$6:$B$41,0)),EFICIENCIA_PADRAO)</f>
        <v>0.85</v>
      </c>
      <c r="Y89" s="18" t="n">
        <f aca="false">IF($X89&lt;=0,0,$W89/$X89)</f>
        <v>0</v>
      </c>
      <c r="Z89" s="16" t="n">
        <f aca="false">$Y89*$H89*MM_PARA_M3_HA</f>
        <v>0</v>
      </c>
      <c r="AA89" s="18" t="n">
        <f aca="false">IFERROR(INDEX(CADASTRO_PIVOS!$I$6:$I$41,MATCH($E89,CADASTRO_PIVOS!$B$6:$B$41,0)),0)</f>
        <v>718.5</v>
      </c>
      <c r="AB89" s="18" t="n">
        <f aca="false">IF($Z89&lt;=0,0,$Z89/$AA89)</f>
        <v>0</v>
      </c>
      <c r="AC89" s="16" t="n">
        <f aca="false">IFERROR(INDEX(SEMANAS!$K$6:$K$71,MATCH($B89,SEMANAS!$B$6:$B$71,0)),0)</f>
        <v>147</v>
      </c>
      <c r="AD89" s="19" t="n">
        <f aca="false">IF($AC89&lt;=0,0,$AB89/$AC89)</f>
        <v>0</v>
      </c>
      <c r="AE89" s="8" t="str">
        <f aca="false">IF($K89="SEM CULTURA","SEM CULTURA",IF($AA89&lt;=0,"DADO PENDENTE",IF($AD89&gt;LIMITE_CRITICO,"INVIAVEL",IF($AD89&gt;LIMITE_ATENCAO,"CRITICO",IF($AD89&gt;LIMITE_CONFORTAVEL,"ATENCAO","OK")))))</f>
        <v>OK</v>
      </c>
      <c r="AF89" s="8" t="str">
        <f aca="false">$B89&amp;"|"&amp;TEXT($AD89,"0.000000")</f>
        <v>18|0.000000</v>
      </c>
      <c r="AG89" s="18" t="n">
        <f aca="false">IF($K89="SEM CULTURA",0,$T89*$H89)</f>
        <v>3639.60543375681</v>
      </c>
      <c r="AH89" s="18" t="n">
        <f aca="false">IF($K89="SEM CULTURA",0,$V89*$H89)</f>
        <v>3791.03592</v>
      </c>
      <c r="AI89" s="18" t="n">
        <f aca="false">IF($K89="SEM CULTURA",0,$W89*$H89)</f>
        <v>0</v>
      </c>
      <c r="AJ89" s="18" t="n">
        <f aca="false">IF($K89="SEM CULTURA",0,$S89*$H89)</f>
        <v>3339.588</v>
      </c>
      <c r="AK89" s="8" t="str">
        <f aca="false">$E89&amp;"|"&amp;TEXT($AD89,"0.000000")</f>
        <v>PV 106|0.000000</v>
      </c>
    </row>
    <row r="90" customFormat="false" ht="15" hidden="false" customHeight="false" outlineLevel="0" collapsed="false">
      <c r="B90" s="16" t="n">
        <v>19</v>
      </c>
      <c r="C90" s="17" t="n">
        <f aca="false">DATA_INICIO_SAFRA+($B90-1)*DIAS_POR_SEMANA</f>
        <v>46391</v>
      </c>
      <c r="D90" s="17" t="n">
        <f aca="false">$C90+DIAS_POR_SEMANA-1</f>
        <v>46397</v>
      </c>
      <c r="E90" s="15" t="s">
        <v>260</v>
      </c>
      <c r="F90" s="8" t="str">
        <f aca="false">IFERROR(INDEX(CADASTRO_PIVOS!$C$6:$C$41,MATCH($E90,CADASTRO_PIVOS!$B$6:$B$41,0)),"?")</f>
        <v>RM02</v>
      </c>
      <c r="G90" s="8" t="str">
        <f aca="false">IFERROR(INDEX(CADASTRO_PIVOS!$D$6:$D$41,MATCH($E90,CADASTRO_PIVOS!$B$6:$B$41,0)),"?")</f>
        <v>TR02</v>
      </c>
      <c r="H90" s="20" t="n">
        <f aca="false">IFERROR(INDEX(CADASTRO_PIVOS!$E$6:$E$41,MATCH($E90,CADASTRO_PIVOS!$B$6:$B$41,0)),0)</f>
        <v>100.59</v>
      </c>
      <c r="I90" s="16" t="n">
        <f aca="false">IFERROR(SUMIFS(ROTACAO_RDM!$B$6:$B$71,ROTACAO_RDM!$D$6:$D$71,$E90,ROTACAO_RDM!$I$6:$I$71,"&lt;="&amp;$C90+INT(DIAS_POR_SEMANA/2),ROTACAO_RDM!$J$6:$J$71,"&gt;="&amp;$C90+INT(DIAS_POR_SEMANA/2)),0)</f>
        <v>10</v>
      </c>
      <c r="J90" s="16" t="n">
        <f aca="false">IFERROR(MATCH($I90,ROTACAO_RDM!$B$6:$B$71,0),0)</f>
        <v>10</v>
      </c>
      <c r="K90" s="8" t="str">
        <f aca="false">IF($J90=0,"SEM CULTURA",INDEX(ROTACAO_RDM!$F$6:$F$71,$J90))</f>
        <v>SOJA</v>
      </c>
      <c r="L90" s="8" t="str">
        <f aca="false">IF($J90=0,"",INDEX(ROTACAO_RDM!$G$6:$G$71,$J90))</f>
        <v>NEO 761 I2X</v>
      </c>
      <c r="M90" s="17" t="n">
        <f aca="false">IF($J90=0,"",INDEX(ROTACAO_RDM!$I$6:$I$71,$J90))</f>
        <v>46291</v>
      </c>
      <c r="N90" s="16" t="n">
        <f aca="false">IF($J90=0,0,MAX(0,$C90+INT(DIAS_POR_SEMANA/2)-INDEX(ROTACAO_RDM!$I$6:$I$71,$J90)))</f>
        <v>103</v>
      </c>
      <c r="O90" s="19" t="n">
        <f aca="false">IF($J90=0,0,MIN(1,$N90/MAX(1,INDEX(ROTACAO_RDM!$K$6:$K$71,$J90))))</f>
        <v>0.887931034482759</v>
      </c>
      <c r="P90" s="16" t="n">
        <f aca="false">IF($J90=0,0,IFERROR(MATCH(INDEX(ROTACAO_RDM!$N$6:$N$71,$J90),PARAMETROS_CULTURAS!$B$6:$B$28,0),0))</f>
        <v>2</v>
      </c>
      <c r="Q90" s="8" t="str">
        <f aca="false">IF($P90=0,"-",IF($O90&lt;=INDEX(PARAMETROS_CULTURAS!$F$6:$F$28,$P90),"INICIAL",IF($O90&lt;=INDEX(PARAMETROS_CULTURAS!$F$6:$F$28,$P90)+INDEX(PARAMETROS_CULTURAS!$G$6:$G$28,$P90),"DESENVOLVIMENTO",IF($O90&lt;=INDEX(PARAMETROS_CULTURAS!$F$6:$F$28,$P90)+INDEX(PARAMETROS_CULTURAS!$G$6:$G$28,$P90)+INDEX(PARAMETROS_CULTURAS!$H$6:$H$28,$P90),"MEDIA","FINAL"))))</f>
        <v>FINAL</v>
      </c>
      <c r="R90" s="24" t="n">
        <f aca="false">IF($P90=0,0,IF($O90&lt;=INDEX(PARAMETROS_CULTURAS!$F$6:$F$28,$P90),INDEX(PARAMETROS_CULTURAS!$K$6:$K$28,$P90),IF($O90&lt;=INDEX(PARAMETROS_CULTURAS!$F$6:$F$28,$P90)+INDEX(PARAMETROS_CULTURAS!$G$6:$G$28,$P90),INDEX(PARAMETROS_CULTURAS!$K$6:$K$28,$P90)+(INDEX(PARAMETROS_CULTURAS!$L$6:$L$28,$P90)-INDEX(PARAMETROS_CULTURAS!$K$6:$K$28,$P90))*($O90-INDEX(PARAMETROS_CULTURAS!$F$6:$F$28,$P90))/MAX(INDEX(PARAMETROS_CULTURAS!$G$6:$G$28,$P90),0.0001),IF($O90&lt;=INDEX(PARAMETROS_CULTURAS!$F$6:$F$28,$P90)+INDEX(PARAMETROS_CULTURAS!$G$6:$G$28,$P90)+INDEX(PARAMETROS_CULTURAS!$H$6:$H$28,$P90),INDEX(PARAMETROS_CULTURAS!$L$6:$L$28,$P90),INDEX(PARAMETROS_CULTURAS!$L$6:$L$28,$P90)+(INDEX(PARAMETROS_CULTURAS!$M$6:$M$28,$P90)-INDEX(PARAMETROS_CULTURAS!$L$6:$L$28,$P90))*($O90-INDEX(PARAMETROS_CULTURAS!$F$6:$F$28,$P90)-INDEX(PARAMETROS_CULTURAS!$G$6:$G$28,$P90)-INDEX(PARAMETROS_CULTURAS!$H$6:$H$28,$P90))/MAX(INDEX(PARAMETROS_CULTURAS!$I$6:$I$28,$P90),0.0001)))))</f>
        <v>0.883393829401089</v>
      </c>
      <c r="S90" s="18" t="n">
        <f aca="false">IFERROR(INDEX(SEMANAS!$H$6:$H$71,MATCH($B90,SEMANAS!$B$6:$B$71,0)),0)</f>
        <v>33.6</v>
      </c>
      <c r="T90" s="18" t="n">
        <f aca="false">$R90*$S90</f>
        <v>29.6820326678766</v>
      </c>
      <c r="U90" s="18" t="n">
        <f aca="false">IFERROR(INDEX(SEMANAS!$I$6:$I$71,MATCH($B90,SEMANAS!$B$6:$B$71,0)),0)</f>
        <v>45.15</v>
      </c>
      <c r="V90" s="18" t="n">
        <f aca="false">IFERROR(INDEX(SEMANAS!$J$6:$J$71,MATCH($B90,SEMANAS!$B$6:$B$71,0)),0)</f>
        <v>36.12</v>
      </c>
      <c r="W90" s="18" t="n">
        <f aca="false">MAX(0,$T90-$V90)</f>
        <v>0</v>
      </c>
      <c r="X90" s="19" t="n">
        <f aca="false">IFERROR(INDEX(CADASTRO_PIVOS!$K$6:$K$41,MATCH($E90,CADASTRO_PIVOS!$B$6:$B$41,0)),EFICIENCIA_PADRAO)</f>
        <v>0.85</v>
      </c>
      <c r="Y90" s="18" t="n">
        <f aca="false">IF($X90&lt;=0,0,$W90/$X90)</f>
        <v>0</v>
      </c>
      <c r="Z90" s="16" t="n">
        <f aca="false">$Y90*$H90*MM_PARA_M3_HA</f>
        <v>0</v>
      </c>
      <c r="AA90" s="18" t="n">
        <f aca="false">IFERROR(INDEX(CADASTRO_PIVOS!$I$6:$I$41,MATCH($E90,CADASTRO_PIVOS!$B$6:$B$41,0)),0)</f>
        <v>718.5</v>
      </c>
      <c r="AB90" s="18" t="n">
        <f aca="false">IF($Z90&lt;=0,0,$Z90/$AA90)</f>
        <v>0</v>
      </c>
      <c r="AC90" s="16" t="n">
        <f aca="false">IFERROR(INDEX(SEMANAS!$K$6:$K$71,MATCH($B90,SEMANAS!$B$6:$B$71,0)),0)</f>
        <v>147</v>
      </c>
      <c r="AD90" s="19" t="n">
        <f aca="false">IF($AC90&lt;=0,0,$AB90/$AC90)</f>
        <v>0</v>
      </c>
      <c r="AE90" s="8" t="str">
        <f aca="false">IF($K90="SEM CULTURA","SEM CULTURA",IF($AA90&lt;=0,"DADO PENDENTE",IF($AD90&gt;LIMITE_CRITICO,"INVIAVEL",IF($AD90&gt;LIMITE_ATENCAO,"CRITICO",IF($AD90&gt;LIMITE_CONFORTAVEL,"ATENCAO","OK")))))</f>
        <v>OK</v>
      </c>
      <c r="AF90" s="8" t="str">
        <f aca="false">$B90&amp;"|"&amp;TEXT($AD90,"0.000000")</f>
        <v>19|0.000000</v>
      </c>
      <c r="AG90" s="18" t="n">
        <f aca="false">IF($K90="SEM CULTURA",0,$T90*$H90)</f>
        <v>2985.71566606171</v>
      </c>
      <c r="AH90" s="18" t="n">
        <f aca="false">IF($K90="SEM CULTURA",0,$V90*$H90)</f>
        <v>3633.3108</v>
      </c>
      <c r="AI90" s="18" t="n">
        <f aca="false">IF($K90="SEM CULTURA",0,$W90*$H90)</f>
        <v>0</v>
      </c>
      <c r="AJ90" s="18" t="n">
        <f aca="false">IF($K90="SEM CULTURA",0,$S90*$H90)</f>
        <v>3379.824</v>
      </c>
      <c r="AK90" s="8" t="str">
        <f aca="false">$E90&amp;"|"&amp;TEXT($AD90,"0.000000")</f>
        <v>PV 106|0.000000</v>
      </c>
    </row>
    <row r="91" customFormat="false" ht="15" hidden="false" customHeight="false" outlineLevel="0" collapsed="false">
      <c r="B91" s="16" t="n">
        <v>20</v>
      </c>
      <c r="C91" s="17" t="n">
        <f aca="false">DATA_INICIO_SAFRA+($B91-1)*DIAS_POR_SEMANA</f>
        <v>46398</v>
      </c>
      <c r="D91" s="17" t="n">
        <f aca="false">$C91+DIAS_POR_SEMANA-1</f>
        <v>46404</v>
      </c>
      <c r="E91" s="15" t="s">
        <v>260</v>
      </c>
      <c r="F91" s="8" t="str">
        <f aca="false">IFERROR(INDEX(CADASTRO_PIVOS!$C$6:$C$41,MATCH($E91,CADASTRO_PIVOS!$B$6:$B$41,0)),"?")</f>
        <v>RM02</v>
      </c>
      <c r="G91" s="8" t="str">
        <f aca="false">IFERROR(INDEX(CADASTRO_PIVOS!$D$6:$D$41,MATCH($E91,CADASTRO_PIVOS!$B$6:$B$41,0)),"?")</f>
        <v>TR02</v>
      </c>
      <c r="H91" s="20" t="n">
        <f aca="false">IFERROR(INDEX(CADASTRO_PIVOS!$E$6:$E$41,MATCH($E91,CADASTRO_PIVOS!$B$6:$B$41,0)),0)</f>
        <v>100.59</v>
      </c>
      <c r="I91" s="16" t="n">
        <f aca="false">IFERROR(SUMIFS(ROTACAO_RDM!$B$6:$B$71,ROTACAO_RDM!$D$6:$D$71,$E91,ROTACAO_RDM!$I$6:$I$71,"&lt;="&amp;$C91+INT(DIAS_POR_SEMANA/2),ROTACAO_RDM!$J$6:$J$71,"&gt;="&amp;$C91+INT(DIAS_POR_SEMANA/2)),0)</f>
        <v>10</v>
      </c>
      <c r="J91" s="16" t="n">
        <f aca="false">IFERROR(MATCH($I91,ROTACAO_RDM!$B$6:$B$71,0),0)</f>
        <v>10</v>
      </c>
      <c r="K91" s="8" t="str">
        <f aca="false">IF($J91=0,"SEM CULTURA",INDEX(ROTACAO_RDM!$F$6:$F$71,$J91))</f>
        <v>SOJA</v>
      </c>
      <c r="L91" s="8" t="str">
        <f aca="false">IF($J91=0,"",INDEX(ROTACAO_RDM!$G$6:$G$71,$J91))</f>
        <v>NEO 761 I2X</v>
      </c>
      <c r="M91" s="17" t="n">
        <f aca="false">IF($J91=0,"",INDEX(ROTACAO_RDM!$I$6:$I$71,$J91))</f>
        <v>46291</v>
      </c>
      <c r="N91" s="16" t="n">
        <f aca="false">IF($J91=0,0,MAX(0,$C91+INT(DIAS_POR_SEMANA/2)-INDEX(ROTACAO_RDM!$I$6:$I$71,$J91)))</f>
        <v>110</v>
      </c>
      <c r="O91" s="19" t="n">
        <f aca="false">IF($J91=0,0,MIN(1,$N91/MAX(1,INDEX(ROTACAO_RDM!$K$6:$K$71,$J91))))</f>
        <v>0.948275862068966</v>
      </c>
      <c r="P91" s="16" t="n">
        <f aca="false">IF($J91=0,0,IFERROR(MATCH(INDEX(ROTACAO_RDM!$N$6:$N$71,$J91),PARAMETROS_CULTURAS!$B$6:$B$28,0),0))</f>
        <v>2</v>
      </c>
      <c r="Q91" s="8" t="str">
        <f aca="false">IF($P91=0,"-",IF($O91&lt;=INDEX(PARAMETROS_CULTURAS!$F$6:$F$28,$P91),"INICIAL",IF($O91&lt;=INDEX(PARAMETROS_CULTURAS!$F$6:$F$28,$P91)+INDEX(PARAMETROS_CULTURAS!$G$6:$G$28,$P91),"DESENVOLVIMENTO",IF($O91&lt;=INDEX(PARAMETROS_CULTURAS!$F$6:$F$28,$P91)+INDEX(PARAMETROS_CULTURAS!$G$6:$G$28,$P91)+INDEX(PARAMETROS_CULTURAS!$H$6:$H$28,$P91),"MEDIA","FINAL"))))</f>
        <v>FINAL</v>
      </c>
      <c r="R91" s="24" t="n">
        <f aca="false">IF($P91=0,0,IF($O91&lt;=INDEX(PARAMETROS_CULTURAS!$F$6:$F$28,$P91),INDEX(PARAMETROS_CULTURAS!$K$6:$K$28,$P91),IF($O91&lt;=INDEX(PARAMETROS_CULTURAS!$F$6:$F$28,$P91)+INDEX(PARAMETROS_CULTURAS!$G$6:$G$28,$P91),INDEX(PARAMETROS_CULTURAS!$K$6:$K$28,$P91)+(INDEX(PARAMETROS_CULTURAS!$L$6:$L$28,$P91)-INDEX(PARAMETROS_CULTURAS!$K$6:$K$28,$P91))*($O91-INDEX(PARAMETROS_CULTURAS!$F$6:$F$28,$P91))/MAX(INDEX(PARAMETROS_CULTURAS!$G$6:$G$28,$P91),0.0001),IF($O91&lt;=INDEX(PARAMETROS_CULTURAS!$F$6:$F$28,$P91)+INDEX(PARAMETROS_CULTURAS!$G$6:$G$28,$P91)+INDEX(PARAMETROS_CULTURAS!$H$6:$H$28,$P91),INDEX(PARAMETROS_CULTURAS!$L$6:$L$28,$P91),INDEX(PARAMETROS_CULTURAS!$L$6:$L$28,$P91)+(INDEX(PARAMETROS_CULTURAS!$M$6:$M$28,$P91)-INDEX(PARAMETROS_CULTURAS!$L$6:$L$28,$P91))*($O91-INDEX(PARAMETROS_CULTURAS!$F$6:$F$28,$P91)-INDEX(PARAMETROS_CULTURAS!$G$6:$G$28,$P91)-INDEX(PARAMETROS_CULTURAS!$H$6:$H$28,$P91))/MAX(INDEX(PARAMETROS_CULTURAS!$I$6:$I$28,$P91),0.0001)))))</f>
        <v>0.676950998185118</v>
      </c>
      <c r="S91" s="18" t="n">
        <f aca="false">IFERROR(INDEX(SEMANAS!$H$6:$H$71,MATCH($B91,SEMANAS!$B$6:$B$71,0)),0)</f>
        <v>33.6</v>
      </c>
      <c r="T91" s="18" t="n">
        <f aca="false">$R91*$S91</f>
        <v>22.74555353902</v>
      </c>
      <c r="U91" s="18" t="n">
        <f aca="false">IFERROR(INDEX(SEMANAS!$I$6:$I$71,MATCH($B91,SEMANAS!$B$6:$B$71,0)),0)</f>
        <v>45.15</v>
      </c>
      <c r="V91" s="18" t="n">
        <f aca="false">IFERROR(INDEX(SEMANAS!$J$6:$J$71,MATCH($B91,SEMANAS!$B$6:$B$71,0)),0)</f>
        <v>36.12</v>
      </c>
      <c r="W91" s="18" t="n">
        <f aca="false">MAX(0,$T91-$V91)</f>
        <v>0</v>
      </c>
      <c r="X91" s="19" t="n">
        <f aca="false">IFERROR(INDEX(CADASTRO_PIVOS!$K$6:$K$41,MATCH($E91,CADASTRO_PIVOS!$B$6:$B$41,0)),EFICIENCIA_PADRAO)</f>
        <v>0.85</v>
      </c>
      <c r="Y91" s="18" t="n">
        <f aca="false">IF($X91&lt;=0,0,$W91/$X91)</f>
        <v>0</v>
      </c>
      <c r="Z91" s="16" t="n">
        <f aca="false">$Y91*$H91*MM_PARA_M3_HA</f>
        <v>0</v>
      </c>
      <c r="AA91" s="18" t="n">
        <f aca="false">IFERROR(INDEX(CADASTRO_PIVOS!$I$6:$I$41,MATCH($E91,CADASTRO_PIVOS!$B$6:$B$41,0)),0)</f>
        <v>718.5</v>
      </c>
      <c r="AB91" s="18" t="n">
        <f aca="false">IF($Z91&lt;=0,0,$Z91/$AA91)</f>
        <v>0</v>
      </c>
      <c r="AC91" s="16" t="n">
        <f aca="false">IFERROR(INDEX(SEMANAS!$K$6:$K$71,MATCH($B91,SEMANAS!$B$6:$B$71,0)),0)</f>
        <v>147</v>
      </c>
      <c r="AD91" s="19" t="n">
        <f aca="false">IF($AC91&lt;=0,0,$AB91/$AC91)</f>
        <v>0</v>
      </c>
      <c r="AE91" s="8" t="str">
        <f aca="false">IF($K91="SEM CULTURA","SEM CULTURA",IF($AA91&lt;=0,"DADO PENDENTE",IF($AD91&gt;LIMITE_CRITICO,"INVIAVEL",IF($AD91&gt;LIMITE_ATENCAO,"CRITICO",IF($AD91&gt;LIMITE_CONFORTAVEL,"ATENCAO","OK")))))</f>
        <v>OK</v>
      </c>
      <c r="AF91" s="8" t="str">
        <f aca="false">$B91&amp;"|"&amp;TEXT($AD91,"0.000000")</f>
        <v>20|0.000000</v>
      </c>
      <c r="AG91" s="18" t="n">
        <f aca="false">IF($K91="SEM CULTURA",0,$T91*$H91)</f>
        <v>2287.97523049002</v>
      </c>
      <c r="AH91" s="18" t="n">
        <f aca="false">IF($K91="SEM CULTURA",0,$V91*$H91)</f>
        <v>3633.3108</v>
      </c>
      <c r="AI91" s="18" t="n">
        <f aca="false">IF($K91="SEM CULTURA",0,$W91*$H91)</f>
        <v>0</v>
      </c>
      <c r="AJ91" s="18" t="n">
        <f aca="false">IF($K91="SEM CULTURA",0,$S91*$H91)</f>
        <v>3379.824</v>
      </c>
      <c r="AK91" s="8" t="str">
        <f aca="false">$E91&amp;"|"&amp;TEXT($AD91,"0.000000")</f>
        <v>PV 106|0.000000</v>
      </c>
    </row>
    <row r="92" customFormat="false" ht="15" hidden="false" customHeight="false" outlineLevel="0" collapsed="false">
      <c r="B92" s="16" t="n">
        <v>21</v>
      </c>
      <c r="C92" s="17" t="n">
        <f aca="false">DATA_INICIO_SAFRA+($B92-1)*DIAS_POR_SEMANA</f>
        <v>46405</v>
      </c>
      <c r="D92" s="17" t="n">
        <f aca="false">$C92+DIAS_POR_SEMANA-1</f>
        <v>46411</v>
      </c>
      <c r="E92" s="15" t="s">
        <v>260</v>
      </c>
      <c r="F92" s="8" t="str">
        <f aca="false">IFERROR(INDEX(CADASTRO_PIVOS!$C$6:$C$41,MATCH($E92,CADASTRO_PIVOS!$B$6:$B$41,0)),"?")</f>
        <v>RM02</v>
      </c>
      <c r="G92" s="8" t="str">
        <f aca="false">IFERROR(INDEX(CADASTRO_PIVOS!$D$6:$D$41,MATCH($E92,CADASTRO_PIVOS!$B$6:$B$41,0)),"?")</f>
        <v>TR02</v>
      </c>
      <c r="H92" s="20" t="n">
        <f aca="false">IFERROR(INDEX(CADASTRO_PIVOS!$E$6:$E$41,MATCH($E92,CADASTRO_PIVOS!$B$6:$B$41,0)),0)</f>
        <v>100.59</v>
      </c>
      <c r="I92" s="16" t="n">
        <f aca="false">IFERROR(SUMIFS(ROTACAO_RDM!$B$6:$B$71,ROTACAO_RDM!$D$6:$D$71,$E92,ROTACAO_RDM!$I$6:$I$71,"&lt;="&amp;$C92+INT(DIAS_POR_SEMANA/2),ROTACAO_RDM!$J$6:$J$71,"&gt;="&amp;$C92+INT(DIAS_POR_SEMANA/2)),0)</f>
        <v>0</v>
      </c>
      <c r="J92" s="16" t="n">
        <f aca="false">IFERROR(MATCH($I92,ROTACAO_RDM!$B$6:$B$71,0),0)</f>
        <v>0</v>
      </c>
      <c r="K92" s="8" t="str">
        <f aca="false">IF($J92=0,"SEM CULTURA",INDEX(ROTACAO_RDM!$F$6:$F$71,$J92))</f>
        <v>SEM CULTURA</v>
      </c>
      <c r="L92" s="8" t="str">
        <f aca="false">IF($J92=0,"",INDEX(ROTACAO_RDM!$G$6:$G$71,$J92))</f>
        <v/>
      </c>
      <c r="M92" s="17" t="str">
        <f aca="false">IF($J92=0,"",INDEX(ROTACAO_RDM!$I$6:$I$71,$J92))</f>
        <v/>
      </c>
      <c r="N92" s="16" t="n">
        <f aca="false">IF($J92=0,0,MAX(0,$C92+INT(DIAS_POR_SEMANA/2)-INDEX(ROTACAO_RDM!$I$6:$I$71,$J92)))</f>
        <v>0</v>
      </c>
      <c r="O92" s="19" t="n">
        <f aca="false">IF($J92=0,0,MIN(1,$N92/MAX(1,INDEX(ROTACAO_RDM!$K$6:$K$71,$J92))))</f>
        <v>0</v>
      </c>
      <c r="P92" s="16" t="n">
        <f aca="false">IF($J92=0,0,IFERROR(MATCH(INDEX(ROTACAO_RDM!$N$6:$N$71,$J92),PARAMETROS_CULTURAS!$B$6:$B$28,0),0))</f>
        <v>0</v>
      </c>
      <c r="Q92" s="8" t="str">
        <f aca="false">IF($P92=0,"-",IF($O92&lt;=INDEX(PARAMETROS_CULTURAS!$F$6:$F$28,$P92),"INICIAL",IF($O92&lt;=INDEX(PARAMETROS_CULTURAS!$F$6:$F$28,$P92)+INDEX(PARAMETROS_CULTURAS!$G$6:$G$28,$P92),"DESENVOLVIMENTO",IF($O92&lt;=INDEX(PARAMETROS_CULTURAS!$F$6:$F$28,$P92)+INDEX(PARAMETROS_CULTURAS!$G$6:$G$28,$P92)+INDEX(PARAMETROS_CULTURAS!$H$6:$H$28,$P92),"MEDIA","FINAL"))))</f>
        <v>-</v>
      </c>
      <c r="R92" s="24" t="n">
        <f aca="false">IF($P92=0,0,IF($O92&lt;=INDEX(PARAMETROS_CULTURAS!$F$6:$F$28,$P92),INDEX(PARAMETROS_CULTURAS!$K$6:$K$28,$P92),IF($O92&lt;=INDEX(PARAMETROS_CULTURAS!$F$6:$F$28,$P92)+INDEX(PARAMETROS_CULTURAS!$G$6:$G$28,$P92),INDEX(PARAMETROS_CULTURAS!$K$6:$K$28,$P92)+(INDEX(PARAMETROS_CULTURAS!$L$6:$L$28,$P92)-INDEX(PARAMETROS_CULTURAS!$K$6:$K$28,$P92))*($O92-INDEX(PARAMETROS_CULTURAS!$F$6:$F$28,$P92))/MAX(INDEX(PARAMETROS_CULTURAS!$G$6:$G$28,$P92),0.0001),IF($O92&lt;=INDEX(PARAMETROS_CULTURAS!$F$6:$F$28,$P92)+INDEX(PARAMETROS_CULTURAS!$G$6:$G$28,$P92)+INDEX(PARAMETROS_CULTURAS!$H$6:$H$28,$P92),INDEX(PARAMETROS_CULTURAS!$L$6:$L$28,$P92),INDEX(PARAMETROS_CULTURAS!$L$6:$L$28,$P92)+(INDEX(PARAMETROS_CULTURAS!$M$6:$M$28,$P92)-INDEX(PARAMETROS_CULTURAS!$L$6:$L$28,$P92))*($O92-INDEX(PARAMETROS_CULTURAS!$F$6:$F$28,$P92)-INDEX(PARAMETROS_CULTURAS!$G$6:$G$28,$P92)-INDEX(PARAMETROS_CULTURAS!$H$6:$H$28,$P92))/MAX(INDEX(PARAMETROS_CULTURAS!$I$6:$I$28,$P92),0.0001)))))</f>
        <v>0</v>
      </c>
      <c r="S92" s="18" t="n">
        <f aca="false">IFERROR(INDEX(SEMANAS!$H$6:$H$71,MATCH($B92,SEMANAS!$B$6:$B$71,0)),0)</f>
        <v>33.6</v>
      </c>
      <c r="T92" s="18" t="n">
        <f aca="false">$R92*$S92</f>
        <v>0</v>
      </c>
      <c r="U92" s="18" t="n">
        <f aca="false">IFERROR(INDEX(SEMANAS!$I$6:$I$71,MATCH($B92,SEMANAS!$B$6:$B$71,0)),0)</f>
        <v>45.15</v>
      </c>
      <c r="V92" s="18" t="n">
        <f aca="false">IFERROR(INDEX(SEMANAS!$J$6:$J$71,MATCH($B92,SEMANAS!$B$6:$B$71,0)),0)</f>
        <v>36.12</v>
      </c>
      <c r="W92" s="18" t="n">
        <f aca="false">MAX(0,$T92-$V92)</f>
        <v>0</v>
      </c>
      <c r="X92" s="19" t="n">
        <f aca="false">IFERROR(INDEX(CADASTRO_PIVOS!$K$6:$K$41,MATCH($E92,CADASTRO_PIVOS!$B$6:$B$41,0)),EFICIENCIA_PADRAO)</f>
        <v>0.85</v>
      </c>
      <c r="Y92" s="18" t="n">
        <f aca="false">IF($X92&lt;=0,0,$W92/$X92)</f>
        <v>0</v>
      </c>
      <c r="Z92" s="16" t="n">
        <f aca="false">$Y92*$H92*MM_PARA_M3_HA</f>
        <v>0</v>
      </c>
      <c r="AA92" s="18" t="n">
        <f aca="false">IFERROR(INDEX(CADASTRO_PIVOS!$I$6:$I$41,MATCH($E92,CADASTRO_PIVOS!$B$6:$B$41,0)),0)</f>
        <v>718.5</v>
      </c>
      <c r="AB92" s="18" t="n">
        <f aca="false">IF($Z92&lt;=0,0,$Z92/$AA92)</f>
        <v>0</v>
      </c>
      <c r="AC92" s="16" t="n">
        <f aca="false">IFERROR(INDEX(SEMANAS!$K$6:$K$71,MATCH($B92,SEMANAS!$B$6:$B$71,0)),0)</f>
        <v>147</v>
      </c>
      <c r="AD92" s="19" t="n">
        <f aca="false">IF($AC92&lt;=0,0,$AB92/$AC92)</f>
        <v>0</v>
      </c>
      <c r="AE92" s="8" t="str">
        <f aca="false">IF($K92="SEM CULTURA","SEM CULTURA",IF($AA92&lt;=0,"DADO PENDENTE",IF($AD92&gt;LIMITE_CRITICO,"INVIAVEL",IF($AD92&gt;LIMITE_ATENCAO,"CRITICO",IF($AD92&gt;LIMITE_CONFORTAVEL,"ATENCAO","OK")))))</f>
        <v>SEM CULTURA</v>
      </c>
      <c r="AF92" s="8" t="str">
        <f aca="false">$B92&amp;"|"&amp;TEXT($AD92,"0.000000")</f>
        <v>21|0.000000</v>
      </c>
      <c r="AG92" s="18" t="n">
        <f aca="false">IF($K92="SEM CULTURA",0,$T92*$H92)</f>
        <v>0</v>
      </c>
      <c r="AH92" s="18" t="n">
        <f aca="false">IF($K92="SEM CULTURA",0,$V92*$H92)</f>
        <v>0</v>
      </c>
      <c r="AI92" s="18" t="n">
        <f aca="false">IF($K92="SEM CULTURA",0,$W92*$H92)</f>
        <v>0</v>
      </c>
      <c r="AJ92" s="18" t="n">
        <f aca="false">IF($K92="SEM CULTURA",0,$S92*$H92)</f>
        <v>0</v>
      </c>
      <c r="AK92" s="8" t="str">
        <f aca="false">$E92&amp;"|"&amp;TEXT($AD92,"0.000000")</f>
        <v>PV 106|0.000000</v>
      </c>
    </row>
    <row r="93" customFormat="false" ht="15" hidden="false" customHeight="false" outlineLevel="0" collapsed="false">
      <c r="B93" s="16" t="n">
        <v>22</v>
      </c>
      <c r="C93" s="17" t="n">
        <f aca="false">DATA_INICIO_SAFRA+($B93-1)*DIAS_POR_SEMANA</f>
        <v>46412</v>
      </c>
      <c r="D93" s="17" t="n">
        <f aca="false">$C93+DIAS_POR_SEMANA-1</f>
        <v>46418</v>
      </c>
      <c r="E93" s="15" t="s">
        <v>260</v>
      </c>
      <c r="F93" s="8" t="str">
        <f aca="false">IFERROR(INDEX(CADASTRO_PIVOS!$C$6:$C$41,MATCH($E93,CADASTRO_PIVOS!$B$6:$B$41,0)),"?")</f>
        <v>RM02</v>
      </c>
      <c r="G93" s="8" t="str">
        <f aca="false">IFERROR(INDEX(CADASTRO_PIVOS!$D$6:$D$41,MATCH($E93,CADASTRO_PIVOS!$B$6:$B$41,0)),"?")</f>
        <v>TR02</v>
      </c>
      <c r="H93" s="20" t="n">
        <f aca="false">IFERROR(INDEX(CADASTRO_PIVOS!$E$6:$E$41,MATCH($E93,CADASTRO_PIVOS!$B$6:$B$41,0)),0)</f>
        <v>100.59</v>
      </c>
      <c r="I93" s="16" t="n">
        <f aca="false">IFERROR(SUMIFS(ROTACAO_RDM!$B$6:$B$71,ROTACAO_RDM!$D$6:$D$71,$E93,ROTACAO_RDM!$I$6:$I$71,"&lt;="&amp;$C93+INT(DIAS_POR_SEMANA/2),ROTACAO_RDM!$J$6:$J$71,"&gt;="&amp;$C93+INT(DIAS_POR_SEMANA/2)),0)</f>
        <v>0</v>
      </c>
      <c r="J93" s="16" t="n">
        <f aca="false">IFERROR(MATCH($I93,ROTACAO_RDM!$B$6:$B$71,0),0)</f>
        <v>0</v>
      </c>
      <c r="K93" s="8" t="str">
        <f aca="false">IF($J93=0,"SEM CULTURA",INDEX(ROTACAO_RDM!$F$6:$F$71,$J93))</f>
        <v>SEM CULTURA</v>
      </c>
      <c r="L93" s="8" t="str">
        <f aca="false">IF($J93=0,"",INDEX(ROTACAO_RDM!$G$6:$G$71,$J93))</f>
        <v/>
      </c>
      <c r="M93" s="17" t="str">
        <f aca="false">IF($J93=0,"",INDEX(ROTACAO_RDM!$I$6:$I$71,$J93))</f>
        <v/>
      </c>
      <c r="N93" s="16" t="n">
        <f aca="false">IF($J93=0,0,MAX(0,$C93+INT(DIAS_POR_SEMANA/2)-INDEX(ROTACAO_RDM!$I$6:$I$71,$J93)))</f>
        <v>0</v>
      </c>
      <c r="O93" s="19" t="n">
        <f aca="false">IF($J93=0,0,MIN(1,$N93/MAX(1,INDEX(ROTACAO_RDM!$K$6:$K$71,$J93))))</f>
        <v>0</v>
      </c>
      <c r="P93" s="16" t="n">
        <f aca="false">IF($J93=0,0,IFERROR(MATCH(INDEX(ROTACAO_RDM!$N$6:$N$71,$J93),PARAMETROS_CULTURAS!$B$6:$B$28,0),0))</f>
        <v>0</v>
      </c>
      <c r="Q93" s="8" t="str">
        <f aca="false">IF($P93=0,"-",IF($O93&lt;=INDEX(PARAMETROS_CULTURAS!$F$6:$F$28,$P93),"INICIAL",IF($O93&lt;=INDEX(PARAMETROS_CULTURAS!$F$6:$F$28,$P93)+INDEX(PARAMETROS_CULTURAS!$G$6:$G$28,$P93),"DESENVOLVIMENTO",IF($O93&lt;=INDEX(PARAMETROS_CULTURAS!$F$6:$F$28,$P93)+INDEX(PARAMETROS_CULTURAS!$G$6:$G$28,$P93)+INDEX(PARAMETROS_CULTURAS!$H$6:$H$28,$P93),"MEDIA","FINAL"))))</f>
        <v>-</v>
      </c>
      <c r="R93" s="24" t="n">
        <f aca="false">IF($P93=0,0,IF($O93&lt;=INDEX(PARAMETROS_CULTURAS!$F$6:$F$28,$P93),INDEX(PARAMETROS_CULTURAS!$K$6:$K$28,$P93),IF($O93&lt;=INDEX(PARAMETROS_CULTURAS!$F$6:$F$28,$P93)+INDEX(PARAMETROS_CULTURAS!$G$6:$G$28,$P93),INDEX(PARAMETROS_CULTURAS!$K$6:$K$28,$P93)+(INDEX(PARAMETROS_CULTURAS!$L$6:$L$28,$P93)-INDEX(PARAMETROS_CULTURAS!$K$6:$K$28,$P93))*($O93-INDEX(PARAMETROS_CULTURAS!$F$6:$F$28,$P93))/MAX(INDEX(PARAMETROS_CULTURAS!$G$6:$G$28,$P93),0.0001),IF($O93&lt;=INDEX(PARAMETROS_CULTURAS!$F$6:$F$28,$P93)+INDEX(PARAMETROS_CULTURAS!$G$6:$G$28,$P93)+INDEX(PARAMETROS_CULTURAS!$H$6:$H$28,$P93),INDEX(PARAMETROS_CULTURAS!$L$6:$L$28,$P93),INDEX(PARAMETROS_CULTURAS!$L$6:$L$28,$P93)+(INDEX(PARAMETROS_CULTURAS!$M$6:$M$28,$P93)-INDEX(PARAMETROS_CULTURAS!$L$6:$L$28,$P93))*($O93-INDEX(PARAMETROS_CULTURAS!$F$6:$F$28,$P93)-INDEX(PARAMETROS_CULTURAS!$G$6:$G$28,$P93)-INDEX(PARAMETROS_CULTURAS!$H$6:$H$28,$P93))/MAX(INDEX(PARAMETROS_CULTURAS!$I$6:$I$28,$P93),0.0001)))))</f>
        <v>0</v>
      </c>
      <c r="S93" s="18" t="n">
        <f aca="false">IFERROR(INDEX(SEMANAS!$H$6:$H$71,MATCH($B93,SEMANAS!$B$6:$B$71,0)),0)</f>
        <v>33.6</v>
      </c>
      <c r="T93" s="18" t="n">
        <f aca="false">$R93*$S93</f>
        <v>0</v>
      </c>
      <c r="U93" s="18" t="n">
        <f aca="false">IFERROR(INDEX(SEMANAS!$I$6:$I$71,MATCH($B93,SEMANAS!$B$6:$B$71,0)),0)</f>
        <v>45.15</v>
      </c>
      <c r="V93" s="18" t="n">
        <f aca="false">IFERROR(INDEX(SEMANAS!$J$6:$J$71,MATCH($B93,SEMANAS!$B$6:$B$71,0)),0)</f>
        <v>36.12</v>
      </c>
      <c r="W93" s="18" t="n">
        <f aca="false">MAX(0,$T93-$V93)</f>
        <v>0</v>
      </c>
      <c r="X93" s="19" t="n">
        <f aca="false">IFERROR(INDEX(CADASTRO_PIVOS!$K$6:$K$41,MATCH($E93,CADASTRO_PIVOS!$B$6:$B$41,0)),EFICIENCIA_PADRAO)</f>
        <v>0.85</v>
      </c>
      <c r="Y93" s="18" t="n">
        <f aca="false">IF($X93&lt;=0,0,$W93/$X93)</f>
        <v>0</v>
      </c>
      <c r="Z93" s="16" t="n">
        <f aca="false">$Y93*$H93*MM_PARA_M3_HA</f>
        <v>0</v>
      </c>
      <c r="AA93" s="18" t="n">
        <f aca="false">IFERROR(INDEX(CADASTRO_PIVOS!$I$6:$I$41,MATCH($E93,CADASTRO_PIVOS!$B$6:$B$41,0)),0)</f>
        <v>718.5</v>
      </c>
      <c r="AB93" s="18" t="n">
        <f aca="false">IF($Z93&lt;=0,0,$Z93/$AA93)</f>
        <v>0</v>
      </c>
      <c r="AC93" s="16" t="n">
        <f aca="false">IFERROR(INDEX(SEMANAS!$K$6:$K$71,MATCH($B93,SEMANAS!$B$6:$B$71,0)),0)</f>
        <v>147</v>
      </c>
      <c r="AD93" s="19" t="n">
        <f aca="false">IF($AC93&lt;=0,0,$AB93/$AC93)</f>
        <v>0</v>
      </c>
      <c r="AE93" s="8" t="str">
        <f aca="false">IF($K93="SEM CULTURA","SEM CULTURA",IF($AA93&lt;=0,"DADO PENDENTE",IF($AD93&gt;LIMITE_CRITICO,"INVIAVEL",IF($AD93&gt;LIMITE_ATENCAO,"CRITICO",IF($AD93&gt;LIMITE_CONFORTAVEL,"ATENCAO","OK")))))</f>
        <v>SEM CULTURA</v>
      </c>
      <c r="AF93" s="8" t="str">
        <f aca="false">$B93&amp;"|"&amp;TEXT($AD93,"0.000000")</f>
        <v>22|0.000000</v>
      </c>
      <c r="AG93" s="18" t="n">
        <f aca="false">IF($K93="SEM CULTURA",0,$T93*$H93)</f>
        <v>0</v>
      </c>
      <c r="AH93" s="18" t="n">
        <f aca="false">IF($K93="SEM CULTURA",0,$V93*$H93)</f>
        <v>0</v>
      </c>
      <c r="AI93" s="18" t="n">
        <f aca="false">IF($K93="SEM CULTURA",0,$W93*$H93)</f>
        <v>0</v>
      </c>
      <c r="AJ93" s="18" t="n">
        <f aca="false">IF($K93="SEM CULTURA",0,$S93*$H93)</f>
        <v>0</v>
      </c>
      <c r="AK93" s="8" t="str">
        <f aca="false">$E93&amp;"|"&amp;TEXT($AD93,"0.000000")</f>
        <v>PV 106|0.000000</v>
      </c>
    </row>
    <row r="94" customFormat="false" ht="15" hidden="false" customHeight="false" outlineLevel="0" collapsed="false">
      <c r="B94" s="16" t="n">
        <v>23</v>
      </c>
      <c r="C94" s="17" t="n">
        <f aca="false">DATA_INICIO_SAFRA+($B94-1)*DIAS_POR_SEMANA</f>
        <v>46419</v>
      </c>
      <c r="D94" s="17" t="n">
        <f aca="false">$C94+DIAS_POR_SEMANA-1</f>
        <v>46425</v>
      </c>
      <c r="E94" s="15" t="s">
        <v>260</v>
      </c>
      <c r="F94" s="8" t="str">
        <f aca="false">IFERROR(INDEX(CADASTRO_PIVOS!$C$6:$C$41,MATCH($E94,CADASTRO_PIVOS!$B$6:$B$41,0)),"?")</f>
        <v>RM02</v>
      </c>
      <c r="G94" s="8" t="str">
        <f aca="false">IFERROR(INDEX(CADASTRO_PIVOS!$D$6:$D$41,MATCH($E94,CADASTRO_PIVOS!$B$6:$B$41,0)),"?")</f>
        <v>TR02</v>
      </c>
      <c r="H94" s="20" t="n">
        <f aca="false">IFERROR(INDEX(CADASTRO_PIVOS!$E$6:$E$41,MATCH($E94,CADASTRO_PIVOS!$B$6:$B$41,0)),0)</f>
        <v>100.59</v>
      </c>
      <c r="I94" s="16" t="n">
        <f aca="false">IFERROR(SUMIFS(ROTACAO_RDM!$B$6:$B$71,ROTACAO_RDM!$D$6:$D$71,$E94,ROTACAO_RDM!$I$6:$I$71,"&lt;="&amp;$C94+INT(DIAS_POR_SEMANA/2),ROTACAO_RDM!$J$6:$J$71,"&gt;="&amp;$C94+INT(DIAS_POR_SEMANA/2)),0)</f>
        <v>0</v>
      </c>
      <c r="J94" s="16" t="n">
        <f aca="false">IFERROR(MATCH($I94,ROTACAO_RDM!$B$6:$B$71,0),0)</f>
        <v>0</v>
      </c>
      <c r="K94" s="8" t="str">
        <f aca="false">IF($J94=0,"SEM CULTURA",INDEX(ROTACAO_RDM!$F$6:$F$71,$J94))</f>
        <v>SEM CULTURA</v>
      </c>
      <c r="L94" s="8" t="str">
        <f aca="false">IF($J94=0,"",INDEX(ROTACAO_RDM!$G$6:$G$71,$J94))</f>
        <v/>
      </c>
      <c r="M94" s="17" t="str">
        <f aca="false">IF($J94=0,"",INDEX(ROTACAO_RDM!$I$6:$I$71,$J94))</f>
        <v/>
      </c>
      <c r="N94" s="16" t="n">
        <f aca="false">IF($J94=0,0,MAX(0,$C94+INT(DIAS_POR_SEMANA/2)-INDEX(ROTACAO_RDM!$I$6:$I$71,$J94)))</f>
        <v>0</v>
      </c>
      <c r="O94" s="19" t="n">
        <f aca="false">IF($J94=0,0,MIN(1,$N94/MAX(1,INDEX(ROTACAO_RDM!$K$6:$K$71,$J94))))</f>
        <v>0</v>
      </c>
      <c r="P94" s="16" t="n">
        <f aca="false">IF($J94=0,0,IFERROR(MATCH(INDEX(ROTACAO_RDM!$N$6:$N$71,$J94),PARAMETROS_CULTURAS!$B$6:$B$28,0),0))</f>
        <v>0</v>
      </c>
      <c r="Q94" s="8" t="str">
        <f aca="false">IF($P94=0,"-",IF($O94&lt;=INDEX(PARAMETROS_CULTURAS!$F$6:$F$28,$P94),"INICIAL",IF($O94&lt;=INDEX(PARAMETROS_CULTURAS!$F$6:$F$28,$P94)+INDEX(PARAMETROS_CULTURAS!$G$6:$G$28,$P94),"DESENVOLVIMENTO",IF($O94&lt;=INDEX(PARAMETROS_CULTURAS!$F$6:$F$28,$P94)+INDEX(PARAMETROS_CULTURAS!$G$6:$G$28,$P94)+INDEX(PARAMETROS_CULTURAS!$H$6:$H$28,$P94),"MEDIA","FINAL"))))</f>
        <v>-</v>
      </c>
      <c r="R94" s="24" t="n">
        <f aca="false">IF($P94=0,0,IF($O94&lt;=INDEX(PARAMETROS_CULTURAS!$F$6:$F$28,$P94),INDEX(PARAMETROS_CULTURAS!$K$6:$K$28,$P94),IF($O94&lt;=INDEX(PARAMETROS_CULTURAS!$F$6:$F$28,$P94)+INDEX(PARAMETROS_CULTURAS!$G$6:$G$28,$P94),INDEX(PARAMETROS_CULTURAS!$K$6:$K$28,$P94)+(INDEX(PARAMETROS_CULTURAS!$L$6:$L$28,$P94)-INDEX(PARAMETROS_CULTURAS!$K$6:$K$28,$P94))*($O94-INDEX(PARAMETROS_CULTURAS!$F$6:$F$28,$P94))/MAX(INDEX(PARAMETROS_CULTURAS!$G$6:$G$28,$P94),0.0001),IF($O94&lt;=INDEX(PARAMETROS_CULTURAS!$F$6:$F$28,$P94)+INDEX(PARAMETROS_CULTURAS!$G$6:$G$28,$P94)+INDEX(PARAMETROS_CULTURAS!$H$6:$H$28,$P94),INDEX(PARAMETROS_CULTURAS!$L$6:$L$28,$P94),INDEX(PARAMETROS_CULTURAS!$L$6:$L$28,$P94)+(INDEX(PARAMETROS_CULTURAS!$M$6:$M$28,$P94)-INDEX(PARAMETROS_CULTURAS!$L$6:$L$28,$P94))*($O94-INDEX(PARAMETROS_CULTURAS!$F$6:$F$28,$P94)-INDEX(PARAMETROS_CULTURAS!$G$6:$G$28,$P94)-INDEX(PARAMETROS_CULTURAS!$H$6:$H$28,$P94))/MAX(INDEX(PARAMETROS_CULTURAS!$I$6:$I$28,$P94),0.0001)))))</f>
        <v>0</v>
      </c>
      <c r="S94" s="18" t="n">
        <f aca="false">IFERROR(INDEX(SEMANAS!$H$6:$H$71,MATCH($B94,SEMANAS!$B$6:$B$71,0)),0)</f>
        <v>32.9</v>
      </c>
      <c r="T94" s="18" t="n">
        <f aca="false">$R94*$S94</f>
        <v>0</v>
      </c>
      <c r="U94" s="18" t="n">
        <f aca="false">IFERROR(INDEX(SEMANAS!$I$6:$I$71,MATCH($B94,SEMANAS!$B$6:$B$71,0)),0)</f>
        <v>39.97</v>
      </c>
      <c r="V94" s="18" t="n">
        <f aca="false">IFERROR(INDEX(SEMANAS!$J$6:$J$71,MATCH($B94,SEMANAS!$B$6:$B$71,0)),0)</f>
        <v>31.976</v>
      </c>
      <c r="W94" s="18" t="n">
        <f aca="false">MAX(0,$T94-$V94)</f>
        <v>0</v>
      </c>
      <c r="X94" s="19" t="n">
        <f aca="false">IFERROR(INDEX(CADASTRO_PIVOS!$K$6:$K$41,MATCH($E94,CADASTRO_PIVOS!$B$6:$B$41,0)),EFICIENCIA_PADRAO)</f>
        <v>0.85</v>
      </c>
      <c r="Y94" s="18" t="n">
        <f aca="false">IF($X94&lt;=0,0,$W94/$X94)</f>
        <v>0</v>
      </c>
      <c r="Z94" s="16" t="n">
        <f aca="false">$Y94*$H94*MM_PARA_M3_HA</f>
        <v>0</v>
      </c>
      <c r="AA94" s="18" t="n">
        <f aca="false">IFERROR(INDEX(CADASTRO_PIVOS!$I$6:$I$41,MATCH($E94,CADASTRO_PIVOS!$B$6:$B$41,0)),0)</f>
        <v>718.5</v>
      </c>
      <c r="AB94" s="18" t="n">
        <f aca="false">IF($Z94&lt;=0,0,$Z94/$AA94)</f>
        <v>0</v>
      </c>
      <c r="AC94" s="16" t="n">
        <f aca="false">IFERROR(INDEX(SEMANAS!$K$6:$K$71,MATCH($B94,SEMANAS!$B$6:$B$71,0)),0)</f>
        <v>147</v>
      </c>
      <c r="AD94" s="19" t="n">
        <f aca="false">IF($AC94&lt;=0,0,$AB94/$AC94)</f>
        <v>0</v>
      </c>
      <c r="AE94" s="8" t="str">
        <f aca="false">IF($K94="SEM CULTURA","SEM CULTURA",IF($AA94&lt;=0,"DADO PENDENTE",IF($AD94&gt;LIMITE_CRITICO,"INVIAVEL",IF($AD94&gt;LIMITE_ATENCAO,"CRITICO",IF($AD94&gt;LIMITE_CONFORTAVEL,"ATENCAO","OK")))))</f>
        <v>SEM CULTURA</v>
      </c>
      <c r="AF94" s="8" t="str">
        <f aca="false">$B94&amp;"|"&amp;TEXT($AD94,"0.000000")</f>
        <v>23|0.000000</v>
      </c>
      <c r="AG94" s="18" t="n">
        <f aca="false">IF($K94="SEM CULTURA",0,$T94*$H94)</f>
        <v>0</v>
      </c>
      <c r="AH94" s="18" t="n">
        <f aca="false">IF($K94="SEM CULTURA",0,$V94*$H94)</f>
        <v>0</v>
      </c>
      <c r="AI94" s="18" t="n">
        <f aca="false">IF($K94="SEM CULTURA",0,$W94*$H94)</f>
        <v>0</v>
      </c>
      <c r="AJ94" s="18" t="n">
        <f aca="false">IF($K94="SEM CULTURA",0,$S94*$H94)</f>
        <v>0</v>
      </c>
      <c r="AK94" s="8" t="str">
        <f aca="false">$E94&amp;"|"&amp;TEXT($AD94,"0.000000")</f>
        <v>PV 106|0.000000</v>
      </c>
    </row>
    <row r="95" customFormat="false" ht="15" hidden="false" customHeight="false" outlineLevel="0" collapsed="false">
      <c r="B95" s="16" t="n">
        <v>24</v>
      </c>
      <c r="C95" s="17" t="n">
        <f aca="false">DATA_INICIO_SAFRA+($B95-1)*DIAS_POR_SEMANA</f>
        <v>46426</v>
      </c>
      <c r="D95" s="17" t="n">
        <f aca="false">$C95+DIAS_POR_SEMANA-1</f>
        <v>46432</v>
      </c>
      <c r="E95" s="15" t="s">
        <v>260</v>
      </c>
      <c r="F95" s="8" t="str">
        <f aca="false">IFERROR(INDEX(CADASTRO_PIVOS!$C$6:$C$41,MATCH($E95,CADASTRO_PIVOS!$B$6:$B$41,0)),"?")</f>
        <v>RM02</v>
      </c>
      <c r="G95" s="8" t="str">
        <f aca="false">IFERROR(INDEX(CADASTRO_PIVOS!$D$6:$D$41,MATCH($E95,CADASTRO_PIVOS!$B$6:$B$41,0)),"?")</f>
        <v>TR02</v>
      </c>
      <c r="H95" s="20" t="n">
        <f aca="false">IFERROR(INDEX(CADASTRO_PIVOS!$E$6:$E$41,MATCH($E95,CADASTRO_PIVOS!$B$6:$B$41,0)),0)</f>
        <v>100.59</v>
      </c>
      <c r="I95" s="16" t="n">
        <f aca="false">IFERROR(SUMIFS(ROTACAO_RDM!$B$6:$B$71,ROTACAO_RDM!$D$6:$D$71,$E95,ROTACAO_RDM!$I$6:$I$71,"&lt;="&amp;$C95+INT(DIAS_POR_SEMANA/2),ROTACAO_RDM!$J$6:$J$71,"&gt;="&amp;$C95+INT(DIAS_POR_SEMANA/2)),0)</f>
        <v>11</v>
      </c>
      <c r="J95" s="16" t="n">
        <f aca="false">IFERROR(MATCH($I95,ROTACAO_RDM!$B$6:$B$71,0),0)</f>
        <v>11</v>
      </c>
      <c r="K95" s="8" t="str">
        <f aca="false">IF($J95=0,"SEM CULTURA",INDEX(ROTACAO_RDM!$F$6:$F$71,$J95))</f>
        <v>ALGODAO</v>
      </c>
      <c r="L95" s="8" t="str">
        <f aca="false">IF($J95=0,"",INDEX(ROTACAO_RDM!$G$6:$G$71,$J95))</f>
        <v>FM 911 GLTP</v>
      </c>
      <c r="M95" s="17" t="n">
        <f aca="false">IF($J95=0,"",INDEX(ROTACAO_RDM!$I$6:$I$71,$J95))</f>
        <v>46423</v>
      </c>
      <c r="N95" s="16" t="n">
        <f aca="false">IF($J95=0,0,MAX(0,$C95+INT(DIAS_POR_SEMANA/2)-INDEX(ROTACAO_RDM!$I$6:$I$71,$J95)))</f>
        <v>6</v>
      </c>
      <c r="O95" s="19" t="n">
        <f aca="false">IF($J95=0,0,MIN(1,$N95/MAX(1,INDEX(ROTACAO_RDM!$K$6:$K$71,$J95))))</f>
        <v>0.0333333333333333</v>
      </c>
      <c r="P95" s="16" t="n">
        <f aca="false">IF($J95=0,0,IFERROR(MATCH(INDEX(ROTACAO_RDM!$N$6:$N$71,$J95),PARAMETROS_CULTURAS!$B$6:$B$28,0),0))</f>
        <v>4</v>
      </c>
      <c r="Q95" s="8" t="str">
        <f aca="false">IF($P95=0,"-",IF($O95&lt;=INDEX(PARAMETROS_CULTURAS!$F$6:$F$28,$P95),"INICIAL",IF($O95&lt;=INDEX(PARAMETROS_CULTURAS!$F$6:$F$28,$P95)+INDEX(PARAMETROS_CULTURAS!$G$6:$G$28,$P95),"DESENVOLVIMENTO",IF($O95&lt;=INDEX(PARAMETROS_CULTURAS!$F$6:$F$28,$P95)+INDEX(PARAMETROS_CULTURAS!$G$6:$G$28,$P95)+INDEX(PARAMETROS_CULTURAS!$H$6:$H$28,$P95),"MEDIA","FINAL"))))</f>
        <v>INICIAL</v>
      </c>
      <c r="R95" s="24" t="n">
        <f aca="false">IF($P95=0,0,IF($O95&lt;=INDEX(PARAMETROS_CULTURAS!$F$6:$F$28,$P95),INDEX(PARAMETROS_CULTURAS!$K$6:$K$28,$P95),IF($O95&lt;=INDEX(PARAMETROS_CULTURAS!$F$6:$F$28,$P95)+INDEX(PARAMETROS_CULTURAS!$G$6:$G$28,$P95),INDEX(PARAMETROS_CULTURAS!$K$6:$K$28,$P95)+(INDEX(PARAMETROS_CULTURAS!$L$6:$L$28,$P95)-INDEX(PARAMETROS_CULTURAS!$K$6:$K$28,$P95))*($O95-INDEX(PARAMETROS_CULTURAS!$F$6:$F$28,$P95))/MAX(INDEX(PARAMETROS_CULTURAS!$G$6:$G$28,$P95),0.0001),IF($O95&lt;=INDEX(PARAMETROS_CULTURAS!$F$6:$F$28,$P95)+INDEX(PARAMETROS_CULTURAS!$G$6:$G$28,$P95)+INDEX(PARAMETROS_CULTURAS!$H$6:$H$28,$P95),INDEX(PARAMETROS_CULTURAS!$L$6:$L$28,$P95),INDEX(PARAMETROS_CULTURAS!$L$6:$L$28,$P95)+(INDEX(PARAMETROS_CULTURAS!$M$6:$M$28,$P95)-INDEX(PARAMETROS_CULTURAS!$L$6:$L$28,$P95))*($O95-INDEX(PARAMETROS_CULTURAS!$F$6:$F$28,$P95)-INDEX(PARAMETROS_CULTURAS!$G$6:$G$28,$P95)-INDEX(PARAMETROS_CULTURAS!$H$6:$H$28,$P95))/MAX(INDEX(PARAMETROS_CULTURAS!$I$6:$I$28,$P95),0.0001)))))</f>
        <v>0.35</v>
      </c>
      <c r="S95" s="18" t="n">
        <f aca="false">IFERROR(INDEX(SEMANAS!$H$6:$H$71,MATCH($B95,SEMANAS!$B$6:$B$71,0)),0)</f>
        <v>32.9</v>
      </c>
      <c r="T95" s="18" t="n">
        <f aca="false">$R95*$S95</f>
        <v>11.515</v>
      </c>
      <c r="U95" s="18" t="n">
        <f aca="false">IFERROR(INDEX(SEMANAS!$I$6:$I$71,MATCH($B95,SEMANAS!$B$6:$B$71,0)),0)</f>
        <v>39.97</v>
      </c>
      <c r="V95" s="18" t="n">
        <f aca="false">IFERROR(INDEX(SEMANAS!$J$6:$J$71,MATCH($B95,SEMANAS!$B$6:$B$71,0)),0)</f>
        <v>31.976</v>
      </c>
      <c r="W95" s="18" t="n">
        <f aca="false">MAX(0,$T95-$V95)</f>
        <v>0</v>
      </c>
      <c r="X95" s="19" t="n">
        <f aca="false">IFERROR(INDEX(CADASTRO_PIVOS!$K$6:$K$41,MATCH($E95,CADASTRO_PIVOS!$B$6:$B$41,0)),EFICIENCIA_PADRAO)</f>
        <v>0.85</v>
      </c>
      <c r="Y95" s="18" t="n">
        <f aca="false">IF($X95&lt;=0,0,$W95/$X95)</f>
        <v>0</v>
      </c>
      <c r="Z95" s="16" t="n">
        <f aca="false">$Y95*$H95*MM_PARA_M3_HA</f>
        <v>0</v>
      </c>
      <c r="AA95" s="18" t="n">
        <f aca="false">IFERROR(INDEX(CADASTRO_PIVOS!$I$6:$I$41,MATCH($E95,CADASTRO_PIVOS!$B$6:$B$41,0)),0)</f>
        <v>718.5</v>
      </c>
      <c r="AB95" s="18" t="n">
        <f aca="false">IF($Z95&lt;=0,0,$Z95/$AA95)</f>
        <v>0</v>
      </c>
      <c r="AC95" s="16" t="n">
        <f aca="false">IFERROR(INDEX(SEMANAS!$K$6:$K$71,MATCH($B95,SEMANAS!$B$6:$B$71,0)),0)</f>
        <v>147</v>
      </c>
      <c r="AD95" s="19" t="n">
        <f aca="false">IF($AC95&lt;=0,0,$AB95/$AC95)</f>
        <v>0</v>
      </c>
      <c r="AE95" s="8" t="str">
        <f aca="false">IF($K95="SEM CULTURA","SEM CULTURA",IF($AA95&lt;=0,"DADO PENDENTE",IF($AD95&gt;LIMITE_CRITICO,"INVIAVEL",IF($AD95&gt;LIMITE_ATENCAO,"CRITICO",IF($AD95&gt;LIMITE_CONFORTAVEL,"ATENCAO","OK")))))</f>
        <v>OK</v>
      </c>
      <c r="AF95" s="8" t="str">
        <f aca="false">$B95&amp;"|"&amp;TEXT($AD95,"0.000000")</f>
        <v>24|0.000000</v>
      </c>
      <c r="AG95" s="18" t="n">
        <f aca="false">IF($K95="SEM CULTURA",0,$T95*$H95)</f>
        <v>1158.29385</v>
      </c>
      <c r="AH95" s="18" t="n">
        <f aca="false">IF($K95="SEM CULTURA",0,$V95*$H95)</f>
        <v>3216.46584</v>
      </c>
      <c r="AI95" s="18" t="n">
        <f aca="false">IF($K95="SEM CULTURA",0,$W95*$H95)</f>
        <v>0</v>
      </c>
      <c r="AJ95" s="18" t="n">
        <f aca="false">IF($K95="SEM CULTURA",0,$S95*$H95)</f>
        <v>3309.411</v>
      </c>
      <c r="AK95" s="8" t="str">
        <f aca="false">$E95&amp;"|"&amp;TEXT($AD95,"0.000000")</f>
        <v>PV 106|0.000000</v>
      </c>
    </row>
    <row r="96" customFormat="false" ht="15" hidden="false" customHeight="false" outlineLevel="0" collapsed="false">
      <c r="B96" s="16" t="n">
        <v>25</v>
      </c>
      <c r="C96" s="17" t="n">
        <f aca="false">DATA_INICIO_SAFRA+($B96-1)*DIAS_POR_SEMANA</f>
        <v>46433</v>
      </c>
      <c r="D96" s="17" t="n">
        <f aca="false">$C96+DIAS_POR_SEMANA-1</f>
        <v>46439</v>
      </c>
      <c r="E96" s="15" t="s">
        <v>260</v>
      </c>
      <c r="F96" s="8" t="str">
        <f aca="false">IFERROR(INDEX(CADASTRO_PIVOS!$C$6:$C$41,MATCH($E96,CADASTRO_PIVOS!$B$6:$B$41,0)),"?")</f>
        <v>RM02</v>
      </c>
      <c r="G96" s="8" t="str">
        <f aca="false">IFERROR(INDEX(CADASTRO_PIVOS!$D$6:$D$41,MATCH($E96,CADASTRO_PIVOS!$B$6:$B$41,0)),"?")</f>
        <v>TR02</v>
      </c>
      <c r="H96" s="20" t="n">
        <f aca="false">IFERROR(INDEX(CADASTRO_PIVOS!$E$6:$E$41,MATCH($E96,CADASTRO_PIVOS!$B$6:$B$41,0)),0)</f>
        <v>100.59</v>
      </c>
      <c r="I96" s="16" t="n">
        <f aca="false">IFERROR(SUMIFS(ROTACAO_RDM!$B$6:$B$71,ROTACAO_RDM!$D$6:$D$71,$E96,ROTACAO_RDM!$I$6:$I$71,"&lt;="&amp;$C96+INT(DIAS_POR_SEMANA/2),ROTACAO_RDM!$J$6:$J$71,"&gt;="&amp;$C96+INT(DIAS_POR_SEMANA/2)),0)</f>
        <v>11</v>
      </c>
      <c r="J96" s="16" t="n">
        <f aca="false">IFERROR(MATCH($I96,ROTACAO_RDM!$B$6:$B$71,0),0)</f>
        <v>11</v>
      </c>
      <c r="K96" s="8" t="str">
        <f aca="false">IF($J96=0,"SEM CULTURA",INDEX(ROTACAO_RDM!$F$6:$F$71,$J96))</f>
        <v>ALGODAO</v>
      </c>
      <c r="L96" s="8" t="str">
        <f aca="false">IF($J96=0,"",INDEX(ROTACAO_RDM!$G$6:$G$71,$J96))</f>
        <v>FM 911 GLTP</v>
      </c>
      <c r="M96" s="17" t="n">
        <f aca="false">IF($J96=0,"",INDEX(ROTACAO_RDM!$I$6:$I$71,$J96))</f>
        <v>46423</v>
      </c>
      <c r="N96" s="16" t="n">
        <f aca="false">IF($J96=0,0,MAX(0,$C96+INT(DIAS_POR_SEMANA/2)-INDEX(ROTACAO_RDM!$I$6:$I$71,$J96)))</f>
        <v>13</v>
      </c>
      <c r="O96" s="19" t="n">
        <f aca="false">IF($J96=0,0,MIN(1,$N96/MAX(1,INDEX(ROTACAO_RDM!$K$6:$K$71,$J96))))</f>
        <v>0.0722222222222222</v>
      </c>
      <c r="P96" s="16" t="n">
        <f aca="false">IF($J96=0,0,IFERROR(MATCH(INDEX(ROTACAO_RDM!$N$6:$N$71,$J96),PARAMETROS_CULTURAS!$B$6:$B$28,0),0))</f>
        <v>4</v>
      </c>
      <c r="Q96" s="8" t="str">
        <f aca="false">IF($P96=0,"-",IF($O96&lt;=INDEX(PARAMETROS_CULTURAS!$F$6:$F$28,$P96),"INICIAL",IF($O96&lt;=INDEX(PARAMETROS_CULTURAS!$F$6:$F$28,$P96)+INDEX(PARAMETROS_CULTURAS!$G$6:$G$28,$P96),"DESENVOLVIMENTO",IF($O96&lt;=INDEX(PARAMETROS_CULTURAS!$F$6:$F$28,$P96)+INDEX(PARAMETROS_CULTURAS!$G$6:$G$28,$P96)+INDEX(PARAMETROS_CULTURAS!$H$6:$H$28,$P96),"MEDIA","FINAL"))))</f>
        <v>INICIAL</v>
      </c>
      <c r="R96" s="24" t="n">
        <f aca="false">IF($P96=0,0,IF($O96&lt;=INDEX(PARAMETROS_CULTURAS!$F$6:$F$28,$P96),INDEX(PARAMETROS_CULTURAS!$K$6:$K$28,$P96),IF($O96&lt;=INDEX(PARAMETROS_CULTURAS!$F$6:$F$28,$P96)+INDEX(PARAMETROS_CULTURAS!$G$6:$G$28,$P96),INDEX(PARAMETROS_CULTURAS!$K$6:$K$28,$P96)+(INDEX(PARAMETROS_CULTURAS!$L$6:$L$28,$P96)-INDEX(PARAMETROS_CULTURAS!$K$6:$K$28,$P96))*($O96-INDEX(PARAMETROS_CULTURAS!$F$6:$F$28,$P96))/MAX(INDEX(PARAMETROS_CULTURAS!$G$6:$G$28,$P96),0.0001),IF($O96&lt;=INDEX(PARAMETROS_CULTURAS!$F$6:$F$28,$P96)+INDEX(PARAMETROS_CULTURAS!$G$6:$G$28,$P96)+INDEX(PARAMETROS_CULTURAS!$H$6:$H$28,$P96),INDEX(PARAMETROS_CULTURAS!$L$6:$L$28,$P96),INDEX(PARAMETROS_CULTURAS!$L$6:$L$28,$P96)+(INDEX(PARAMETROS_CULTURAS!$M$6:$M$28,$P96)-INDEX(PARAMETROS_CULTURAS!$L$6:$L$28,$P96))*($O96-INDEX(PARAMETROS_CULTURAS!$F$6:$F$28,$P96)-INDEX(PARAMETROS_CULTURAS!$G$6:$G$28,$P96)-INDEX(PARAMETROS_CULTURAS!$H$6:$H$28,$P96))/MAX(INDEX(PARAMETROS_CULTURAS!$I$6:$I$28,$P96),0.0001)))))</f>
        <v>0.35</v>
      </c>
      <c r="S96" s="18" t="n">
        <f aca="false">IFERROR(INDEX(SEMANAS!$H$6:$H$71,MATCH($B96,SEMANAS!$B$6:$B$71,0)),0)</f>
        <v>32.9</v>
      </c>
      <c r="T96" s="18" t="n">
        <f aca="false">$R96*$S96</f>
        <v>11.515</v>
      </c>
      <c r="U96" s="18" t="n">
        <f aca="false">IFERROR(INDEX(SEMANAS!$I$6:$I$71,MATCH($B96,SEMANAS!$B$6:$B$71,0)),0)</f>
        <v>39.97</v>
      </c>
      <c r="V96" s="18" t="n">
        <f aca="false">IFERROR(INDEX(SEMANAS!$J$6:$J$71,MATCH($B96,SEMANAS!$B$6:$B$71,0)),0)</f>
        <v>31.976</v>
      </c>
      <c r="W96" s="18" t="n">
        <f aca="false">MAX(0,$T96-$V96)</f>
        <v>0</v>
      </c>
      <c r="X96" s="19" t="n">
        <f aca="false">IFERROR(INDEX(CADASTRO_PIVOS!$K$6:$K$41,MATCH($E96,CADASTRO_PIVOS!$B$6:$B$41,0)),EFICIENCIA_PADRAO)</f>
        <v>0.85</v>
      </c>
      <c r="Y96" s="18" t="n">
        <f aca="false">IF($X96&lt;=0,0,$W96/$X96)</f>
        <v>0</v>
      </c>
      <c r="Z96" s="16" t="n">
        <f aca="false">$Y96*$H96*MM_PARA_M3_HA</f>
        <v>0</v>
      </c>
      <c r="AA96" s="18" t="n">
        <f aca="false">IFERROR(INDEX(CADASTRO_PIVOS!$I$6:$I$41,MATCH($E96,CADASTRO_PIVOS!$B$6:$B$41,0)),0)</f>
        <v>718.5</v>
      </c>
      <c r="AB96" s="18" t="n">
        <f aca="false">IF($Z96&lt;=0,0,$Z96/$AA96)</f>
        <v>0</v>
      </c>
      <c r="AC96" s="16" t="n">
        <f aca="false">IFERROR(INDEX(SEMANAS!$K$6:$K$71,MATCH($B96,SEMANAS!$B$6:$B$71,0)),0)</f>
        <v>147</v>
      </c>
      <c r="AD96" s="19" t="n">
        <f aca="false">IF($AC96&lt;=0,0,$AB96/$AC96)</f>
        <v>0</v>
      </c>
      <c r="AE96" s="8" t="str">
        <f aca="false">IF($K96="SEM CULTURA","SEM CULTURA",IF($AA96&lt;=0,"DADO PENDENTE",IF($AD96&gt;LIMITE_CRITICO,"INVIAVEL",IF($AD96&gt;LIMITE_ATENCAO,"CRITICO",IF($AD96&gt;LIMITE_CONFORTAVEL,"ATENCAO","OK")))))</f>
        <v>OK</v>
      </c>
      <c r="AF96" s="8" t="str">
        <f aca="false">$B96&amp;"|"&amp;TEXT($AD96,"0.000000")</f>
        <v>25|0.000000</v>
      </c>
      <c r="AG96" s="18" t="n">
        <f aca="false">IF($K96="SEM CULTURA",0,$T96*$H96)</f>
        <v>1158.29385</v>
      </c>
      <c r="AH96" s="18" t="n">
        <f aca="false">IF($K96="SEM CULTURA",0,$V96*$H96)</f>
        <v>3216.46584</v>
      </c>
      <c r="AI96" s="18" t="n">
        <f aca="false">IF($K96="SEM CULTURA",0,$W96*$H96)</f>
        <v>0</v>
      </c>
      <c r="AJ96" s="18" t="n">
        <f aca="false">IF($K96="SEM CULTURA",0,$S96*$H96)</f>
        <v>3309.411</v>
      </c>
      <c r="AK96" s="8" t="str">
        <f aca="false">$E96&amp;"|"&amp;TEXT($AD96,"0.000000")</f>
        <v>PV 106|0.000000</v>
      </c>
    </row>
    <row r="97" customFormat="false" ht="15" hidden="false" customHeight="false" outlineLevel="0" collapsed="false">
      <c r="B97" s="16" t="n">
        <v>26</v>
      </c>
      <c r="C97" s="17" t="n">
        <f aca="false">DATA_INICIO_SAFRA+($B97-1)*DIAS_POR_SEMANA</f>
        <v>46440</v>
      </c>
      <c r="D97" s="17" t="n">
        <f aca="false">$C97+DIAS_POR_SEMANA-1</f>
        <v>46446</v>
      </c>
      <c r="E97" s="15" t="s">
        <v>260</v>
      </c>
      <c r="F97" s="8" t="str">
        <f aca="false">IFERROR(INDEX(CADASTRO_PIVOS!$C$6:$C$41,MATCH($E97,CADASTRO_PIVOS!$B$6:$B$41,0)),"?")</f>
        <v>RM02</v>
      </c>
      <c r="G97" s="8" t="str">
        <f aca="false">IFERROR(INDEX(CADASTRO_PIVOS!$D$6:$D$41,MATCH($E97,CADASTRO_PIVOS!$B$6:$B$41,0)),"?")</f>
        <v>TR02</v>
      </c>
      <c r="H97" s="20" t="n">
        <f aca="false">IFERROR(INDEX(CADASTRO_PIVOS!$E$6:$E$41,MATCH($E97,CADASTRO_PIVOS!$B$6:$B$41,0)),0)</f>
        <v>100.59</v>
      </c>
      <c r="I97" s="16" t="n">
        <f aca="false">IFERROR(SUMIFS(ROTACAO_RDM!$B$6:$B$71,ROTACAO_RDM!$D$6:$D$71,$E97,ROTACAO_RDM!$I$6:$I$71,"&lt;="&amp;$C97+INT(DIAS_POR_SEMANA/2),ROTACAO_RDM!$J$6:$J$71,"&gt;="&amp;$C97+INT(DIAS_POR_SEMANA/2)),0)</f>
        <v>11</v>
      </c>
      <c r="J97" s="16" t="n">
        <f aca="false">IFERROR(MATCH($I97,ROTACAO_RDM!$B$6:$B$71,0),0)</f>
        <v>11</v>
      </c>
      <c r="K97" s="8" t="str">
        <f aca="false">IF($J97=0,"SEM CULTURA",INDEX(ROTACAO_RDM!$F$6:$F$71,$J97))</f>
        <v>ALGODAO</v>
      </c>
      <c r="L97" s="8" t="str">
        <f aca="false">IF($J97=0,"",INDEX(ROTACAO_RDM!$G$6:$G$71,$J97))</f>
        <v>FM 911 GLTP</v>
      </c>
      <c r="M97" s="17" t="n">
        <f aca="false">IF($J97=0,"",INDEX(ROTACAO_RDM!$I$6:$I$71,$J97))</f>
        <v>46423</v>
      </c>
      <c r="N97" s="16" t="n">
        <f aca="false">IF($J97=0,0,MAX(0,$C97+INT(DIAS_POR_SEMANA/2)-INDEX(ROTACAO_RDM!$I$6:$I$71,$J97)))</f>
        <v>20</v>
      </c>
      <c r="O97" s="19" t="n">
        <f aca="false">IF($J97=0,0,MIN(1,$N97/MAX(1,INDEX(ROTACAO_RDM!$K$6:$K$71,$J97))))</f>
        <v>0.111111111111111</v>
      </c>
      <c r="P97" s="16" t="n">
        <f aca="false">IF($J97=0,0,IFERROR(MATCH(INDEX(ROTACAO_RDM!$N$6:$N$71,$J97),PARAMETROS_CULTURAS!$B$6:$B$28,0),0))</f>
        <v>4</v>
      </c>
      <c r="Q97" s="8" t="str">
        <f aca="false">IF($P97=0,"-",IF($O97&lt;=INDEX(PARAMETROS_CULTURAS!$F$6:$F$28,$P97),"INICIAL",IF($O97&lt;=INDEX(PARAMETROS_CULTURAS!$F$6:$F$28,$P97)+INDEX(PARAMETROS_CULTURAS!$G$6:$G$28,$P97),"DESENVOLVIMENTO",IF($O97&lt;=INDEX(PARAMETROS_CULTURAS!$F$6:$F$28,$P97)+INDEX(PARAMETROS_CULTURAS!$G$6:$G$28,$P97)+INDEX(PARAMETROS_CULTURAS!$H$6:$H$28,$P97),"MEDIA","FINAL"))))</f>
        <v>INICIAL</v>
      </c>
      <c r="R97" s="24" t="n">
        <f aca="false">IF($P97=0,0,IF($O97&lt;=INDEX(PARAMETROS_CULTURAS!$F$6:$F$28,$P97),INDEX(PARAMETROS_CULTURAS!$K$6:$K$28,$P97),IF($O97&lt;=INDEX(PARAMETROS_CULTURAS!$F$6:$F$28,$P97)+INDEX(PARAMETROS_CULTURAS!$G$6:$G$28,$P97),INDEX(PARAMETROS_CULTURAS!$K$6:$K$28,$P97)+(INDEX(PARAMETROS_CULTURAS!$L$6:$L$28,$P97)-INDEX(PARAMETROS_CULTURAS!$K$6:$K$28,$P97))*($O97-INDEX(PARAMETROS_CULTURAS!$F$6:$F$28,$P97))/MAX(INDEX(PARAMETROS_CULTURAS!$G$6:$G$28,$P97),0.0001),IF($O97&lt;=INDEX(PARAMETROS_CULTURAS!$F$6:$F$28,$P97)+INDEX(PARAMETROS_CULTURAS!$G$6:$G$28,$P97)+INDEX(PARAMETROS_CULTURAS!$H$6:$H$28,$P97),INDEX(PARAMETROS_CULTURAS!$L$6:$L$28,$P97),INDEX(PARAMETROS_CULTURAS!$L$6:$L$28,$P97)+(INDEX(PARAMETROS_CULTURAS!$M$6:$M$28,$P97)-INDEX(PARAMETROS_CULTURAS!$L$6:$L$28,$P97))*($O97-INDEX(PARAMETROS_CULTURAS!$F$6:$F$28,$P97)-INDEX(PARAMETROS_CULTURAS!$G$6:$G$28,$P97)-INDEX(PARAMETROS_CULTURAS!$H$6:$H$28,$P97))/MAX(INDEX(PARAMETROS_CULTURAS!$I$6:$I$28,$P97),0.0001)))))</f>
        <v>0.35</v>
      </c>
      <c r="S97" s="18" t="n">
        <f aca="false">IFERROR(INDEX(SEMANAS!$H$6:$H$71,MATCH($B97,SEMANAS!$B$6:$B$71,0)),0)</f>
        <v>32.9</v>
      </c>
      <c r="T97" s="18" t="n">
        <f aca="false">$R97*$S97</f>
        <v>11.515</v>
      </c>
      <c r="U97" s="18" t="n">
        <f aca="false">IFERROR(INDEX(SEMANAS!$I$6:$I$71,MATCH($B97,SEMANAS!$B$6:$B$71,0)),0)</f>
        <v>39.97</v>
      </c>
      <c r="V97" s="18" t="n">
        <f aca="false">IFERROR(INDEX(SEMANAS!$J$6:$J$71,MATCH($B97,SEMANAS!$B$6:$B$71,0)),0)</f>
        <v>31.976</v>
      </c>
      <c r="W97" s="18" t="n">
        <f aca="false">MAX(0,$T97-$V97)</f>
        <v>0</v>
      </c>
      <c r="X97" s="19" t="n">
        <f aca="false">IFERROR(INDEX(CADASTRO_PIVOS!$K$6:$K$41,MATCH($E97,CADASTRO_PIVOS!$B$6:$B$41,0)),EFICIENCIA_PADRAO)</f>
        <v>0.85</v>
      </c>
      <c r="Y97" s="18" t="n">
        <f aca="false">IF($X97&lt;=0,0,$W97/$X97)</f>
        <v>0</v>
      </c>
      <c r="Z97" s="16" t="n">
        <f aca="false">$Y97*$H97*MM_PARA_M3_HA</f>
        <v>0</v>
      </c>
      <c r="AA97" s="18" t="n">
        <f aca="false">IFERROR(INDEX(CADASTRO_PIVOS!$I$6:$I$41,MATCH($E97,CADASTRO_PIVOS!$B$6:$B$41,0)),0)</f>
        <v>718.5</v>
      </c>
      <c r="AB97" s="18" t="n">
        <f aca="false">IF($Z97&lt;=0,0,$Z97/$AA97)</f>
        <v>0</v>
      </c>
      <c r="AC97" s="16" t="n">
        <f aca="false">IFERROR(INDEX(SEMANAS!$K$6:$K$71,MATCH($B97,SEMANAS!$B$6:$B$71,0)),0)</f>
        <v>147</v>
      </c>
      <c r="AD97" s="19" t="n">
        <f aca="false">IF($AC97&lt;=0,0,$AB97/$AC97)</f>
        <v>0</v>
      </c>
      <c r="AE97" s="8" t="str">
        <f aca="false">IF($K97="SEM CULTURA","SEM CULTURA",IF($AA97&lt;=0,"DADO PENDENTE",IF($AD97&gt;LIMITE_CRITICO,"INVIAVEL",IF($AD97&gt;LIMITE_ATENCAO,"CRITICO",IF($AD97&gt;LIMITE_CONFORTAVEL,"ATENCAO","OK")))))</f>
        <v>OK</v>
      </c>
      <c r="AF97" s="8" t="str">
        <f aca="false">$B97&amp;"|"&amp;TEXT($AD97,"0.000000")</f>
        <v>26|0.000000</v>
      </c>
      <c r="AG97" s="18" t="n">
        <f aca="false">IF($K97="SEM CULTURA",0,$T97*$H97)</f>
        <v>1158.29385</v>
      </c>
      <c r="AH97" s="18" t="n">
        <f aca="false">IF($K97="SEM CULTURA",0,$V97*$H97)</f>
        <v>3216.46584</v>
      </c>
      <c r="AI97" s="18" t="n">
        <f aca="false">IF($K97="SEM CULTURA",0,$W97*$H97)</f>
        <v>0</v>
      </c>
      <c r="AJ97" s="18" t="n">
        <f aca="false">IF($K97="SEM CULTURA",0,$S97*$H97)</f>
        <v>3309.411</v>
      </c>
      <c r="AK97" s="8" t="str">
        <f aca="false">$E97&amp;"|"&amp;TEXT($AD97,"0.000000")</f>
        <v>PV 106|0.000000</v>
      </c>
    </row>
    <row r="98" customFormat="false" ht="15" hidden="false" customHeight="false" outlineLevel="0" collapsed="false">
      <c r="B98" s="16" t="n">
        <v>27</v>
      </c>
      <c r="C98" s="17" t="n">
        <f aca="false">DATA_INICIO_SAFRA+($B98-1)*DIAS_POR_SEMANA</f>
        <v>46447</v>
      </c>
      <c r="D98" s="17" t="n">
        <f aca="false">$C98+DIAS_POR_SEMANA-1</f>
        <v>46453</v>
      </c>
      <c r="E98" s="15" t="s">
        <v>260</v>
      </c>
      <c r="F98" s="8" t="str">
        <f aca="false">IFERROR(INDEX(CADASTRO_PIVOS!$C$6:$C$41,MATCH($E98,CADASTRO_PIVOS!$B$6:$B$41,0)),"?")</f>
        <v>RM02</v>
      </c>
      <c r="G98" s="8" t="str">
        <f aca="false">IFERROR(INDEX(CADASTRO_PIVOS!$D$6:$D$41,MATCH($E98,CADASTRO_PIVOS!$B$6:$B$41,0)),"?")</f>
        <v>TR02</v>
      </c>
      <c r="H98" s="20" t="n">
        <f aca="false">IFERROR(INDEX(CADASTRO_PIVOS!$E$6:$E$41,MATCH($E98,CADASTRO_PIVOS!$B$6:$B$41,0)),0)</f>
        <v>100.59</v>
      </c>
      <c r="I98" s="16" t="n">
        <f aca="false">IFERROR(SUMIFS(ROTACAO_RDM!$B$6:$B$71,ROTACAO_RDM!$D$6:$D$71,$E98,ROTACAO_RDM!$I$6:$I$71,"&lt;="&amp;$C98+INT(DIAS_POR_SEMANA/2),ROTACAO_RDM!$J$6:$J$71,"&gt;="&amp;$C98+INT(DIAS_POR_SEMANA/2)),0)</f>
        <v>11</v>
      </c>
      <c r="J98" s="16" t="n">
        <f aca="false">IFERROR(MATCH($I98,ROTACAO_RDM!$B$6:$B$71,0),0)</f>
        <v>11</v>
      </c>
      <c r="K98" s="8" t="str">
        <f aca="false">IF($J98=0,"SEM CULTURA",INDEX(ROTACAO_RDM!$F$6:$F$71,$J98))</f>
        <v>ALGODAO</v>
      </c>
      <c r="L98" s="8" t="str">
        <f aca="false">IF($J98=0,"",INDEX(ROTACAO_RDM!$G$6:$G$71,$J98))</f>
        <v>FM 911 GLTP</v>
      </c>
      <c r="M98" s="17" t="n">
        <f aca="false">IF($J98=0,"",INDEX(ROTACAO_RDM!$I$6:$I$71,$J98))</f>
        <v>46423</v>
      </c>
      <c r="N98" s="16" t="n">
        <f aca="false">IF($J98=0,0,MAX(0,$C98+INT(DIAS_POR_SEMANA/2)-INDEX(ROTACAO_RDM!$I$6:$I$71,$J98)))</f>
        <v>27</v>
      </c>
      <c r="O98" s="19" t="n">
        <f aca="false">IF($J98=0,0,MIN(1,$N98/MAX(1,INDEX(ROTACAO_RDM!$K$6:$K$71,$J98))))</f>
        <v>0.15</v>
      </c>
      <c r="P98" s="16" t="n">
        <f aca="false">IF($J98=0,0,IFERROR(MATCH(INDEX(ROTACAO_RDM!$N$6:$N$71,$J98),PARAMETROS_CULTURAS!$B$6:$B$28,0),0))</f>
        <v>4</v>
      </c>
      <c r="Q98" s="8" t="str">
        <f aca="false">IF($P98=0,"-",IF($O98&lt;=INDEX(PARAMETROS_CULTURAS!$F$6:$F$28,$P98),"INICIAL",IF($O98&lt;=INDEX(PARAMETROS_CULTURAS!$F$6:$F$28,$P98)+INDEX(PARAMETROS_CULTURAS!$G$6:$G$28,$P98),"DESENVOLVIMENTO",IF($O98&lt;=INDEX(PARAMETROS_CULTURAS!$F$6:$F$28,$P98)+INDEX(PARAMETROS_CULTURAS!$G$6:$G$28,$P98)+INDEX(PARAMETROS_CULTURAS!$H$6:$H$28,$P98),"MEDIA","FINAL"))))</f>
        <v>INICIAL</v>
      </c>
      <c r="R98" s="24" t="n">
        <f aca="false">IF($P98=0,0,IF($O98&lt;=INDEX(PARAMETROS_CULTURAS!$F$6:$F$28,$P98),INDEX(PARAMETROS_CULTURAS!$K$6:$K$28,$P98),IF($O98&lt;=INDEX(PARAMETROS_CULTURAS!$F$6:$F$28,$P98)+INDEX(PARAMETROS_CULTURAS!$G$6:$G$28,$P98),INDEX(PARAMETROS_CULTURAS!$K$6:$K$28,$P98)+(INDEX(PARAMETROS_CULTURAS!$L$6:$L$28,$P98)-INDEX(PARAMETROS_CULTURAS!$K$6:$K$28,$P98))*($O98-INDEX(PARAMETROS_CULTURAS!$F$6:$F$28,$P98))/MAX(INDEX(PARAMETROS_CULTURAS!$G$6:$G$28,$P98),0.0001),IF($O98&lt;=INDEX(PARAMETROS_CULTURAS!$F$6:$F$28,$P98)+INDEX(PARAMETROS_CULTURAS!$G$6:$G$28,$P98)+INDEX(PARAMETROS_CULTURAS!$H$6:$H$28,$P98),INDEX(PARAMETROS_CULTURAS!$L$6:$L$28,$P98),INDEX(PARAMETROS_CULTURAS!$L$6:$L$28,$P98)+(INDEX(PARAMETROS_CULTURAS!$M$6:$M$28,$P98)-INDEX(PARAMETROS_CULTURAS!$L$6:$L$28,$P98))*($O98-INDEX(PARAMETROS_CULTURAS!$F$6:$F$28,$P98)-INDEX(PARAMETROS_CULTURAS!$G$6:$G$28,$P98)-INDEX(PARAMETROS_CULTURAS!$H$6:$H$28,$P98))/MAX(INDEX(PARAMETROS_CULTURAS!$I$6:$I$28,$P98),0.0001)))))</f>
        <v>0.35</v>
      </c>
      <c r="S98" s="18" t="n">
        <f aca="false">IFERROR(INDEX(SEMANAS!$H$6:$H$71,MATCH($B98,SEMANAS!$B$6:$B$71,0)),0)</f>
        <v>32.2</v>
      </c>
      <c r="T98" s="18" t="n">
        <f aca="false">$R98*$S98</f>
        <v>11.27</v>
      </c>
      <c r="U98" s="18" t="n">
        <f aca="false">IFERROR(INDEX(SEMANAS!$I$6:$I$71,MATCH($B98,SEMANAS!$B$6:$B$71,0)),0)</f>
        <v>37.24</v>
      </c>
      <c r="V98" s="18" t="n">
        <f aca="false">IFERROR(INDEX(SEMANAS!$J$6:$J$71,MATCH($B98,SEMANAS!$B$6:$B$71,0)),0)</f>
        <v>29.792</v>
      </c>
      <c r="W98" s="18" t="n">
        <f aca="false">MAX(0,$T98-$V98)</f>
        <v>0</v>
      </c>
      <c r="X98" s="19" t="n">
        <f aca="false">IFERROR(INDEX(CADASTRO_PIVOS!$K$6:$K$41,MATCH($E98,CADASTRO_PIVOS!$B$6:$B$41,0)),EFICIENCIA_PADRAO)</f>
        <v>0.85</v>
      </c>
      <c r="Y98" s="18" t="n">
        <f aca="false">IF($X98&lt;=0,0,$W98/$X98)</f>
        <v>0</v>
      </c>
      <c r="Z98" s="16" t="n">
        <f aca="false">$Y98*$H98*MM_PARA_M3_HA</f>
        <v>0</v>
      </c>
      <c r="AA98" s="18" t="n">
        <f aca="false">IFERROR(INDEX(CADASTRO_PIVOS!$I$6:$I$41,MATCH($E98,CADASTRO_PIVOS!$B$6:$B$41,0)),0)</f>
        <v>718.5</v>
      </c>
      <c r="AB98" s="18" t="n">
        <f aca="false">IF($Z98&lt;=0,0,$Z98/$AA98)</f>
        <v>0</v>
      </c>
      <c r="AC98" s="16" t="n">
        <f aca="false">IFERROR(INDEX(SEMANAS!$K$6:$K$71,MATCH($B98,SEMANAS!$B$6:$B$71,0)),0)</f>
        <v>147</v>
      </c>
      <c r="AD98" s="19" t="n">
        <f aca="false">IF($AC98&lt;=0,0,$AB98/$AC98)</f>
        <v>0</v>
      </c>
      <c r="AE98" s="8" t="str">
        <f aca="false">IF($K98="SEM CULTURA","SEM CULTURA",IF($AA98&lt;=0,"DADO PENDENTE",IF($AD98&gt;LIMITE_CRITICO,"INVIAVEL",IF($AD98&gt;LIMITE_ATENCAO,"CRITICO",IF($AD98&gt;LIMITE_CONFORTAVEL,"ATENCAO","OK")))))</f>
        <v>OK</v>
      </c>
      <c r="AF98" s="8" t="str">
        <f aca="false">$B98&amp;"|"&amp;TEXT($AD98,"0.000000")</f>
        <v>27|0.000000</v>
      </c>
      <c r="AG98" s="18" t="n">
        <f aca="false">IF($K98="SEM CULTURA",0,$T98*$H98)</f>
        <v>1133.6493</v>
      </c>
      <c r="AH98" s="18" t="n">
        <f aca="false">IF($K98="SEM CULTURA",0,$V98*$H98)</f>
        <v>2996.77728</v>
      </c>
      <c r="AI98" s="18" t="n">
        <f aca="false">IF($K98="SEM CULTURA",0,$W98*$H98)</f>
        <v>0</v>
      </c>
      <c r="AJ98" s="18" t="n">
        <f aca="false">IF($K98="SEM CULTURA",0,$S98*$H98)</f>
        <v>3238.998</v>
      </c>
      <c r="AK98" s="8" t="str">
        <f aca="false">$E98&amp;"|"&amp;TEXT($AD98,"0.000000")</f>
        <v>PV 106|0.000000</v>
      </c>
    </row>
    <row r="99" customFormat="false" ht="15" hidden="false" customHeight="false" outlineLevel="0" collapsed="false">
      <c r="B99" s="16" t="n">
        <v>28</v>
      </c>
      <c r="C99" s="17" t="n">
        <f aca="false">DATA_INICIO_SAFRA+($B99-1)*DIAS_POR_SEMANA</f>
        <v>46454</v>
      </c>
      <c r="D99" s="17" t="n">
        <f aca="false">$C99+DIAS_POR_SEMANA-1</f>
        <v>46460</v>
      </c>
      <c r="E99" s="15" t="s">
        <v>260</v>
      </c>
      <c r="F99" s="8" t="str">
        <f aca="false">IFERROR(INDEX(CADASTRO_PIVOS!$C$6:$C$41,MATCH($E99,CADASTRO_PIVOS!$B$6:$B$41,0)),"?")</f>
        <v>RM02</v>
      </c>
      <c r="G99" s="8" t="str">
        <f aca="false">IFERROR(INDEX(CADASTRO_PIVOS!$D$6:$D$41,MATCH($E99,CADASTRO_PIVOS!$B$6:$B$41,0)),"?")</f>
        <v>TR02</v>
      </c>
      <c r="H99" s="20" t="n">
        <f aca="false">IFERROR(INDEX(CADASTRO_PIVOS!$E$6:$E$41,MATCH($E99,CADASTRO_PIVOS!$B$6:$B$41,0)),0)</f>
        <v>100.59</v>
      </c>
      <c r="I99" s="16" t="n">
        <f aca="false">IFERROR(SUMIFS(ROTACAO_RDM!$B$6:$B$71,ROTACAO_RDM!$D$6:$D$71,$E99,ROTACAO_RDM!$I$6:$I$71,"&lt;="&amp;$C99+INT(DIAS_POR_SEMANA/2),ROTACAO_RDM!$J$6:$J$71,"&gt;="&amp;$C99+INT(DIAS_POR_SEMANA/2)),0)</f>
        <v>11</v>
      </c>
      <c r="J99" s="16" t="n">
        <f aca="false">IFERROR(MATCH($I99,ROTACAO_RDM!$B$6:$B$71,0),0)</f>
        <v>11</v>
      </c>
      <c r="K99" s="8" t="str">
        <f aca="false">IF($J99=0,"SEM CULTURA",INDEX(ROTACAO_RDM!$F$6:$F$71,$J99))</f>
        <v>ALGODAO</v>
      </c>
      <c r="L99" s="8" t="str">
        <f aca="false">IF($J99=0,"",INDEX(ROTACAO_RDM!$G$6:$G$71,$J99))</f>
        <v>FM 911 GLTP</v>
      </c>
      <c r="M99" s="17" t="n">
        <f aca="false">IF($J99=0,"",INDEX(ROTACAO_RDM!$I$6:$I$71,$J99))</f>
        <v>46423</v>
      </c>
      <c r="N99" s="16" t="n">
        <f aca="false">IF($J99=0,0,MAX(0,$C99+INT(DIAS_POR_SEMANA/2)-INDEX(ROTACAO_RDM!$I$6:$I$71,$J99)))</f>
        <v>34</v>
      </c>
      <c r="O99" s="19" t="n">
        <f aca="false">IF($J99=0,0,MIN(1,$N99/MAX(1,INDEX(ROTACAO_RDM!$K$6:$K$71,$J99))))</f>
        <v>0.188888888888889</v>
      </c>
      <c r="P99" s="16" t="n">
        <f aca="false">IF($J99=0,0,IFERROR(MATCH(INDEX(ROTACAO_RDM!$N$6:$N$71,$J99),PARAMETROS_CULTURAS!$B$6:$B$28,0),0))</f>
        <v>4</v>
      </c>
      <c r="Q99" s="8" t="str">
        <f aca="false">IF($P99=0,"-",IF($O99&lt;=INDEX(PARAMETROS_CULTURAS!$F$6:$F$28,$P99),"INICIAL",IF($O99&lt;=INDEX(PARAMETROS_CULTURAS!$F$6:$F$28,$P99)+INDEX(PARAMETROS_CULTURAS!$G$6:$G$28,$P99),"DESENVOLVIMENTO",IF($O99&lt;=INDEX(PARAMETROS_CULTURAS!$F$6:$F$28,$P99)+INDEX(PARAMETROS_CULTURAS!$G$6:$G$28,$P99)+INDEX(PARAMETROS_CULTURAS!$H$6:$H$28,$P99),"MEDIA","FINAL"))))</f>
        <v>DESENVOLVIMENTO</v>
      </c>
      <c r="R99" s="24" t="n">
        <f aca="false">IF($P99=0,0,IF($O99&lt;=INDEX(PARAMETROS_CULTURAS!$F$6:$F$28,$P99),INDEX(PARAMETROS_CULTURAS!$K$6:$K$28,$P99),IF($O99&lt;=INDEX(PARAMETROS_CULTURAS!$F$6:$F$28,$P99)+INDEX(PARAMETROS_CULTURAS!$G$6:$G$28,$P99),INDEX(PARAMETROS_CULTURAS!$K$6:$K$28,$P99)+(INDEX(PARAMETROS_CULTURAS!$L$6:$L$28,$P99)-INDEX(PARAMETROS_CULTURAS!$K$6:$K$28,$P99))*($O99-INDEX(PARAMETROS_CULTURAS!$F$6:$F$28,$P99))/MAX(INDEX(PARAMETROS_CULTURAS!$G$6:$G$28,$P99),0.0001),IF($O99&lt;=INDEX(PARAMETROS_CULTURAS!$F$6:$F$28,$P99)+INDEX(PARAMETROS_CULTURAS!$G$6:$G$28,$P99)+INDEX(PARAMETROS_CULTURAS!$H$6:$H$28,$P99),INDEX(PARAMETROS_CULTURAS!$L$6:$L$28,$P99),INDEX(PARAMETROS_CULTURAS!$L$6:$L$28,$P99)+(INDEX(PARAMETROS_CULTURAS!$M$6:$M$28,$P99)-INDEX(PARAMETROS_CULTURAS!$L$6:$L$28,$P99))*($O99-INDEX(PARAMETROS_CULTURAS!$F$6:$F$28,$P99)-INDEX(PARAMETROS_CULTURAS!$G$6:$G$28,$P99)-INDEX(PARAMETROS_CULTURAS!$H$6:$H$28,$P99))/MAX(INDEX(PARAMETROS_CULTURAS!$I$6:$I$28,$P99),0.0001)))))</f>
        <v>0.4059670781893</v>
      </c>
      <c r="S99" s="18" t="n">
        <f aca="false">IFERROR(INDEX(SEMANAS!$H$6:$H$71,MATCH($B99,SEMANAS!$B$6:$B$71,0)),0)</f>
        <v>32.2</v>
      </c>
      <c r="T99" s="18" t="n">
        <f aca="false">$R99*$S99</f>
        <v>13.0721399176955</v>
      </c>
      <c r="U99" s="18" t="n">
        <f aca="false">IFERROR(INDEX(SEMANAS!$I$6:$I$71,MATCH($B99,SEMANAS!$B$6:$B$71,0)),0)</f>
        <v>37.24</v>
      </c>
      <c r="V99" s="18" t="n">
        <f aca="false">IFERROR(INDEX(SEMANAS!$J$6:$J$71,MATCH($B99,SEMANAS!$B$6:$B$71,0)),0)</f>
        <v>29.792</v>
      </c>
      <c r="W99" s="18" t="n">
        <f aca="false">MAX(0,$T99-$V99)</f>
        <v>0</v>
      </c>
      <c r="X99" s="19" t="n">
        <f aca="false">IFERROR(INDEX(CADASTRO_PIVOS!$K$6:$K$41,MATCH($E99,CADASTRO_PIVOS!$B$6:$B$41,0)),EFICIENCIA_PADRAO)</f>
        <v>0.85</v>
      </c>
      <c r="Y99" s="18" t="n">
        <f aca="false">IF($X99&lt;=0,0,$W99/$X99)</f>
        <v>0</v>
      </c>
      <c r="Z99" s="16" t="n">
        <f aca="false">$Y99*$H99*MM_PARA_M3_HA</f>
        <v>0</v>
      </c>
      <c r="AA99" s="18" t="n">
        <f aca="false">IFERROR(INDEX(CADASTRO_PIVOS!$I$6:$I$41,MATCH($E99,CADASTRO_PIVOS!$B$6:$B$41,0)),0)</f>
        <v>718.5</v>
      </c>
      <c r="AB99" s="18" t="n">
        <f aca="false">IF($Z99&lt;=0,0,$Z99/$AA99)</f>
        <v>0</v>
      </c>
      <c r="AC99" s="16" t="n">
        <f aca="false">IFERROR(INDEX(SEMANAS!$K$6:$K$71,MATCH($B99,SEMANAS!$B$6:$B$71,0)),0)</f>
        <v>147</v>
      </c>
      <c r="AD99" s="19" t="n">
        <f aca="false">IF($AC99&lt;=0,0,$AB99/$AC99)</f>
        <v>0</v>
      </c>
      <c r="AE99" s="8" t="str">
        <f aca="false">IF($K99="SEM CULTURA","SEM CULTURA",IF($AA99&lt;=0,"DADO PENDENTE",IF($AD99&gt;LIMITE_CRITICO,"INVIAVEL",IF($AD99&gt;LIMITE_ATENCAO,"CRITICO",IF($AD99&gt;LIMITE_CONFORTAVEL,"ATENCAO","OK")))))</f>
        <v>OK</v>
      </c>
      <c r="AF99" s="8" t="str">
        <f aca="false">$B99&amp;"|"&amp;TEXT($AD99,"0.000000")</f>
        <v>28|0.000000</v>
      </c>
      <c r="AG99" s="18" t="n">
        <f aca="false">IF($K99="SEM CULTURA",0,$T99*$H99)</f>
        <v>1314.92655432099</v>
      </c>
      <c r="AH99" s="18" t="n">
        <f aca="false">IF($K99="SEM CULTURA",0,$V99*$H99)</f>
        <v>2996.77728</v>
      </c>
      <c r="AI99" s="18" t="n">
        <f aca="false">IF($K99="SEM CULTURA",0,$W99*$H99)</f>
        <v>0</v>
      </c>
      <c r="AJ99" s="18" t="n">
        <f aca="false">IF($K99="SEM CULTURA",0,$S99*$H99)</f>
        <v>3238.998</v>
      </c>
      <c r="AK99" s="8" t="str">
        <f aca="false">$E99&amp;"|"&amp;TEXT($AD99,"0.000000")</f>
        <v>PV 106|0.000000</v>
      </c>
    </row>
    <row r="100" customFormat="false" ht="15" hidden="false" customHeight="false" outlineLevel="0" collapsed="false">
      <c r="B100" s="16" t="n">
        <v>29</v>
      </c>
      <c r="C100" s="17" t="n">
        <f aca="false">DATA_INICIO_SAFRA+($B100-1)*DIAS_POR_SEMANA</f>
        <v>46461</v>
      </c>
      <c r="D100" s="17" t="n">
        <f aca="false">$C100+DIAS_POR_SEMANA-1</f>
        <v>46467</v>
      </c>
      <c r="E100" s="15" t="s">
        <v>260</v>
      </c>
      <c r="F100" s="8" t="str">
        <f aca="false">IFERROR(INDEX(CADASTRO_PIVOS!$C$6:$C$41,MATCH($E100,CADASTRO_PIVOS!$B$6:$B$41,0)),"?")</f>
        <v>RM02</v>
      </c>
      <c r="G100" s="8" t="str">
        <f aca="false">IFERROR(INDEX(CADASTRO_PIVOS!$D$6:$D$41,MATCH($E100,CADASTRO_PIVOS!$B$6:$B$41,0)),"?")</f>
        <v>TR02</v>
      </c>
      <c r="H100" s="20" t="n">
        <f aca="false">IFERROR(INDEX(CADASTRO_PIVOS!$E$6:$E$41,MATCH($E100,CADASTRO_PIVOS!$B$6:$B$41,0)),0)</f>
        <v>100.59</v>
      </c>
      <c r="I100" s="16" t="n">
        <f aca="false">IFERROR(SUMIFS(ROTACAO_RDM!$B$6:$B$71,ROTACAO_RDM!$D$6:$D$71,$E100,ROTACAO_RDM!$I$6:$I$71,"&lt;="&amp;$C100+INT(DIAS_POR_SEMANA/2),ROTACAO_RDM!$J$6:$J$71,"&gt;="&amp;$C100+INT(DIAS_POR_SEMANA/2)),0)</f>
        <v>11</v>
      </c>
      <c r="J100" s="16" t="n">
        <f aca="false">IFERROR(MATCH($I100,ROTACAO_RDM!$B$6:$B$71,0),0)</f>
        <v>11</v>
      </c>
      <c r="K100" s="8" t="str">
        <f aca="false">IF($J100=0,"SEM CULTURA",INDEX(ROTACAO_RDM!$F$6:$F$71,$J100))</f>
        <v>ALGODAO</v>
      </c>
      <c r="L100" s="8" t="str">
        <f aca="false">IF($J100=0,"",INDEX(ROTACAO_RDM!$G$6:$G$71,$J100))</f>
        <v>FM 911 GLTP</v>
      </c>
      <c r="M100" s="17" t="n">
        <f aca="false">IF($J100=0,"",INDEX(ROTACAO_RDM!$I$6:$I$71,$J100))</f>
        <v>46423</v>
      </c>
      <c r="N100" s="16" t="n">
        <f aca="false">IF($J100=0,0,MAX(0,$C100+INT(DIAS_POR_SEMANA/2)-INDEX(ROTACAO_RDM!$I$6:$I$71,$J100)))</f>
        <v>41</v>
      </c>
      <c r="O100" s="19" t="n">
        <f aca="false">IF($J100=0,0,MIN(1,$N100/MAX(1,INDEX(ROTACAO_RDM!$K$6:$K$71,$J100))))</f>
        <v>0.227777777777778</v>
      </c>
      <c r="P100" s="16" t="n">
        <f aca="false">IF($J100=0,0,IFERROR(MATCH(INDEX(ROTACAO_RDM!$N$6:$N$71,$J100),PARAMETROS_CULTURAS!$B$6:$B$28,0),0))</f>
        <v>4</v>
      </c>
      <c r="Q100" s="8" t="str">
        <f aca="false">IF($P100=0,"-",IF($O100&lt;=INDEX(PARAMETROS_CULTURAS!$F$6:$F$28,$P100),"INICIAL",IF($O100&lt;=INDEX(PARAMETROS_CULTURAS!$F$6:$F$28,$P100)+INDEX(PARAMETROS_CULTURAS!$G$6:$G$28,$P100),"DESENVOLVIMENTO",IF($O100&lt;=INDEX(PARAMETROS_CULTURAS!$F$6:$F$28,$P100)+INDEX(PARAMETROS_CULTURAS!$G$6:$G$28,$P100)+INDEX(PARAMETROS_CULTURAS!$H$6:$H$28,$P100),"MEDIA","FINAL"))))</f>
        <v>DESENVOLVIMENTO</v>
      </c>
      <c r="R100" s="24" t="n">
        <f aca="false">IF($P100=0,0,IF($O100&lt;=INDEX(PARAMETROS_CULTURAS!$F$6:$F$28,$P100),INDEX(PARAMETROS_CULTURAS!$K$6:$K$28,$P100),IF($O100&lt;=INDEX(PARAMETROS_CULTURAS!$F$6:$F$28,$P100)+INDEX(PARAMETROS_CULTURAS!$G$6:$G$28,$P100),INDEX(PARAMETROS_CULTURAS!$K$6:$K$28,$P100)+(INDEX(PARAMETROS_CULTURAS!$L$6:$L$28,$P100)-INDEX(PARAMETROS_CULTURAS!$K$6:$K$28,$P100))*($O100-INDEX(PARAMETROS_CULTURAS!$F$6:$F$28,$P100))/MAX(INDEX(PARAMETROS_CULTURAS!$G$6:$G$28,$P100),0.0001),IF($O100&lt;=INDEX(PARAMETROS_CULTURAS!$F$6:$F$28,$P100)+INDEX(PARAMETROS_CULTURAS!$G$6:$G$28,$P100)+INDEX(PARAMETROS_CULTURAS!$H$6:$H$28,$P100),INDEX(PARAMETROS_CULTURAS!$L$6:$L$28,$P100),INDEX(PARAMETROS_CULTURAS!$L$6:$L$28,$P100)+(INDEX(PARAMETROS_CULTURAS!$M$6:$M$28,$P100)-INDEX(PARAMETROS_CULTURAS!$L$6:$L$28,$P100))*($O100-INDEX(PARAMETROS_CULTURAS!$F$6:$F$28,$P100)-INDEX(PARAMETROS_CULTURAS!$G$6:$G$28,$P100)-INDEX(PARAMETROS_CULTURAS!$H$6:$H$28,$P100))/MAX(INDEX(PARAMETROS_CULTURAS!$I$6:$I$28,$P100),0.0001)))))</f>
        <v>0.52119341563786</v>
      </c>
      <c r="S100" s="18" t="n">
        <f aca="false">IFERROR(INDEX(SEMANAS!$H$6:$H$71,MATCH($B100,SEMANAS!$B$6:$B$71,0)),0)</f>
        <v>32.2</v>
      </c>
      <c r="T100" s="18" t="n">
        <f aca="false">$R100*$S100</f>
        <v>16.7824279835391</v>
      </c>
      <c r="U100" s="18" t="n">
        <f aca="false">IFERROR(INDEX(SEMANAS!$I$6:$I$71,MATCH($B100,SEMANAS!$B$6:$B$71,0)),0)</f>
        <v>37.24</v>
      </c>
      <c r="V100" s="18" t="n">
        <f aca="false">IFERROR(INDEX(SEMANAS!$J$6:$J$71,MATCH($B100,SEMANAS!$B$6:$B$71,0)),0)</f>
        <v>29.792</v>
      </c>
      <c r="W100" s="18" t="n">
        <f aca="false">MAX(0,$T100-$V100)</f>
        <v>0</v>
      </c>
      <c r="X100" s="19" t="n">
        <f aca="false">IFERROR(INDEX(CADASTRO_PIVOS!$K$6:$K$41,MATCH($E100,CADASTRO_PIVOS!$B$6:$B$41,0)),EFICIENCIA_PADRAO)</f>
        <v>0.85</v>
      </c>
      <c r="Y100" s="18" t="n">
        <f aca="false">IF($X100&lt;=0,0,$W100/$X100)</f>
        <v>0</v>
      </c>
      <c r="Z100" s="16" t="n">
        <f aca="false">$Y100*$H100*MM_PARA_M3_HA</f>
        <v>0</v>
      </c>
      <c r="AA100" s="18" t="n">
        <f aca="false">IFERROR(INDEX(CADASTRO_PIVOS!$I$6:$I$41,MATCH($E100,CADASTRO_PIVOS!$B$6:$B$41,0)),0)</f>
        <v>718.5</v>
      </c>
      <c r="AB100" s="18" t="n">
        <f aca="false">IF($Z100&lt;=0,0,$Z100/$AA100)</f>
        <v>0</v>
      </c>
      <c r="AC100" s="16" t="n">
        <f aca="false">IFERROR(INDEX(SEMANAS!$K$6:$K$71,MATCH($B100,SEMANAS!$B$6:$B$71,0)),0)</f>
        <v>147</v>
      </c>
      <c r="AD100" s="19" t="n">
        <f aca="false">IF($AC100&lt;=0,0,$AB100/$AC100)</f>
        <v>0</v>
      </c>
      <c r="AE100" s="8" t="str">
        <f aca="false">IF($K100="SEM CULTURA","SEM CULTURA",IF($AA100&lt;=0,"DADO PENDENTE",IF($AD100&gt;LIMITE_CRITICO,"INVIAVEL",IF($AD100&gt;LIMITE_ATENCAO,"CRITICO",IF($AD100&gt;LIMITE_CONFORTAVEL,"ATENCAO","OK")))))</f>
        <v>OK</v>
      </c>
      <c r="AF100" s="8" t="str">
        <f aca="false">$B100&amp;"|"&amp;TEXT($AD100,"0.000000")</f>
        <v>29|0.000000</v>
      </c>
      <c r="AG100" s="18" t="n">
        <f aca="false">IF($K100="SEM CULTURA",0,$T100*$H100)</f>
        <v>1688.1444308642</v>
      </c>
      <c r="AH100" s="18" t="n">
        <f aca="false">IF($K100="SEM CULTURA",0,$V100*$H100)</f>
        <v>2996.77728</v>
      </c>
      <c r="AI100" s="18" t="n">
        <f aca="false">IF($K100="SEM CULTURA",0,$W100*$H100)</f>
        <v>0</v>
      </c>
      <c r="AJ100" s="18" t="n">
        <f aca="false">IF($K100="SEM CULTURA",0,$S100*$H100)</f>
        <v>3238.998</v>
      </c>
      <c r="AK100" s="8" t="str">
        <f aca="false">$E100&amp;"|"&amp;TEXT($AD100,"0.000000")</f>
        <v>PV 106|0.000000</v>
      </c>
    </row>
    <row r="101" customFormat="false" ht="15" hidden="false" customHeight="false" outlineLevel="0" collapsed="false">
      <c r="B101" s="16" t="n">
        <v>30</v>
      </c>
      <c r="C101" s="17" t="n">
        <f aca="false">DATA_INICIO_SAFRA+($B101-1)*DIAS_POR_SEMANA</f>
        <v>46468</v>
      </c>
      <c r="D101" s="17" t="n">
        <f aca="false">$C101+DIAS_POR_SEMANA-1</f>
        <v>46474</v>
      </c>
      <c r="E101" s="15" t="s">
        <v>260</v>
      </c>
      <c r="F101" s="8" t="str">
        <f aca="false">IFERROR(INDEX(CADASTRO_PIVOS!$C$6:$C$41,MATCH($E101,CADASTRO_PIVOS!$B$6:$B$41,0)),"?")</f>
        <v>RM02</v>
      </c>
      <c r="G101" s="8" t="str">
        <f aca="false">IFERROR(INDEX(CADASTRO_PIVOS!$D$6:$D$41,MATCH($E101,CADASTRO_PIVOS!$B$6:$B$41,0)),"?")</f>
        <v>TR02</v>
      </c>
      <c r="H101" s="20" t="n">
        <f aca="false">IFERROR(INDEX(CADASTRO_PIVOS!$E$6:$E$41,MATCH($E101,CADASTRO_PIVOS!$B$6:$B$41,0)),0)</f>
        <v>100.59</v>
      </c>
      <c r="I101" s="16" t="n">
        <f aca="false">IFERROR(SUMIFS(ROTACAO_RDM!$B$6:$B$71,ROTACAO_RDM!$D$6:$D$71,$E101,ROTACAO_RDM!$I$6:$I$71,"&lt;="&amp;$C101+INT(DIAS_POR_SEMANA/2),ROTACAO_RDM!$J$6:$J$71,"&gt;="&amp;$C101+INT(DIAS_POR_SEMANA/2)),0)</f>
        <v>11</v>
      </c>
      <c r="J101" s="16" t="n">
        <f aca="false">IFERROR(MATCH($I101,ROTACAO_RDM!$B$6:$B$71,0),0)</f>
        <v>11</v>
      </c>
      <c r="K101" s="8" t="str">
        <f aca="false">IF($J101=0,"SEM CULTURA",INDEX(ROTACAO_RDM!$F$6:$F$71,$J101))</f>
        <v>ALGODAO</v>
      </c>
      <c r="L101" s="8" t="str">
        <f aca="false">IF($J101=0,"",INDEX(ROTACAO_RDM!$G$6:$G$71,$J101))</f>
        <v>FM 911 GLTP</v>
      </c>
      <c r="M101" s="17" t="n">
        <f aca="false">IF($J101=0,"",INDEX(ROTACAO_RDM!$I$6:$I$71,$J101))</f>
        <v>46423</v>
      </c>
      <c r="N101" s="16" t="n">
        <f aca="false">IF($J101=0,0,MAX(0,$C101+INT(DIAS_POR_SEMANA/2)-INDEX(ROTACAO_RDM!$I$6:$I$71,$J101)))</f>
        <v>48</v>
      </c>
      <c r="O101" s="19" t="n">
        <f aca="false">IF($J101=0,0,MIN(1,$N101/MAX(1,INDEX(ROTACAO_RDM!$K$6:$K$71,$J101))))</f>
        <v>0.266666666666667</v>
      </c>
      <c r="P101" s="16" t="n">
        <f aca="false">IF($J101=0,0,IFERROR(MATCH(INDEX(ROTACAO_RDM!$N$6:$N$71,$J101),PARAMETROS_CULTURAS!$B$6:$B$28,0),0))</f>
        <v>4</v>
      </c>
      <c r="Q101" s="8" t="str">
        <f aca="false">IF($P101=0,"-",IF($O101&lt;=INDEX(PARAMETROS_CULTURAS!$F$6:$F$28,$P101),"INICIAL",IF($O101&lt;=INDEX(PARAMETROS_CULTURAS!$F$6:$F$28,$P101)+INDEX(PARAMETROS_CULTURAS!$G$6:$G$28,$P101),"DESENVOLVIMENTO",IF($O101&lt;=INDEX(PARAMETROS_CULTURAS!$F$6:$F$28,$P101)+INDEX(PARAMETROS_CULTURAS!$G$6:$G$28,$P101)+INDEX(PARAMETROS_CULTURAS!$H$6:$H$28,$P101),"MEDIA","FINAL"))))</f>
        <v>DESENVOLVIMENTO</v>
      </c>
      <c r="R101" s="24" t="n">
        <f aca="false">IF($P101=0,0,IF($O101&lt;=INDEX(PARAMETROS_CULTURAS!$F$6:$F$28,$P101),INDEX(PARAMETROS_CULTURAS!$K$6:$K$28,$P101),IF($O101&lt;=INDEX(PARAMETROS_CULTURAS!$F$6:$F$28,$P101)+INDEX(PARAMETROS_CULTURAS!$G$6:$G$28,$P101),INDEX(PARAMETROS_CULTURAS!$K$6:$K$28,$P101)+(INDEX(PARAMETROS_CULTURAS!$L$6:$L$28,$P101)-INDEX(PARAMETROS_CULTURAS!$K$6:$K$28,$P101))*($O101-INDEX(PARAMETROS_CULTURAS!$F$6:$F$28,$P101))/MAX(INDEX(PARAMETROS_CULTURAS!$G$6:$G$28,$P101),0.0001),IF($O101&lt;=INDEX(PARAMETROS_CULTURAS!$F$6:$F$28,$P101)+INDEX(PARAMETROS_CULTURAS!$G$6:$G$28,$P101)+INDEX(PARAMETROS_CULTURAS!$H$6:$H$28,$P101),INDEX(PARAMETROS_CULTURAS!$L$6:$L$28,$P101),INDEX(PARAMETROS_CULTURAS!$L$6:$L$28,$P101)+(INDEX(PARAMETROS_CULTURAS!$M$6:$M$28,$P101)-INDEX(PARAMETROS_CULTURAS!$L$6:$L$28,$P101))*($O101-INDEX(PARAMETROS_CULTURAS!$F$6:$F$28,$P101)-INDEX(PARAMETROS_CULTURAS!$G$6:$G$28,$P101)-INDEX(PARAMETROS_CULTURAS!$H$6:$H$28,$P101))/MAX(INDEX(PARAMETROS_CULTURAS!$I$6:$I$28,$P101),0.0001)))))</f>
        <v>0.63641975308642</v>
      </c>
      <c r="S101" s="18" t="n">
        <f aca="false">IFERROR(INDEX(SEMANAS!$H$6:$H$71,MATCH($B101,SEMANAS!$B$6:$B$71,0)),0)</f>
        <v>32.2</v>
      </c>
      <c r="T101" s="18" t="n">
        <f aca="false">$R101*$S101</f>
        <v>20.4927160493827</v>
      </c>
      <c r="U101" s="18" t="n">
        <f aca="false">IFERROR(INDEX(SEMANAS!$I$6:$I$71,MATCH($B101,SEMANAS!$B$6:$B$71,0)),0)</f>
        <v>37.24</v>
      </c>
      <c r="V101" s="18" t="n">
        <f aca="false">IFERROR(INDEX(SEMANAS!$J$6:$J$71,MATCH($B101,SEMANAS!$B$6:$B$71,0)),0)</f>
        <v>29.792</v>
      </c>
      <c r="W101" s="18" t="n">
        <f aca="false">MAX(0,$T101-$V101)</f>
        <v>0</v>
      </c>
      <c r="X101" s="19" t="n">
        <f aca="false">IFERROR(INDEX(CADASTRO_PIVOS!$K$6:$K$41,MATCH($E101,CADASTRO_PIVOS!$B$6:$B$41,0)),EFICIENCIA_PADRAO)</f>
        <v>0.85</v>
      </c>
      <c r="Y101" s="18" t="n">
        <f aca="false">IF($X101&lt;=0,0,$W101/$X101)</f>
        <v>0</v>
      </c>
      <c r="Z101" s="16" t="n">
        <f aca="false">$Y101*$H101*MM_PARA_M3_HA</f>
        <v>0</v>
      </c>
      <c r="AA101" s="18" t="n">
        <f aca="false">IFERROR(INDEX(CADASTRO_PIVOS!$I$6:$I$41,MATCH($E101,CADASTRO_PIVOS!$B$6:$B$41,0)),0)</f>
        <v>718.5</v>
      </c>
      <c r="AB101" s="18" t="n">
        <f aca="false">IF($Z101&lt;=0,0,$Z101/$AA101)</f>
        <v>0</v>
      </c>
      <c r="AC101" s="16" t="n">
        <f aca="false">IFERROR(INDEX(SEMANAS!$K$6:$K$71,MATCH($B101,SEMANAS!$B$6:$B$71,0)),0)</f>
        <v>147</v>
      </c>
      <c r="AD101" s="19" t="n">
        <f aca="false">IF($AC101&lt;=0,0,$AB101/$AC101)</f>
        <v>0</v>
      </c>
      <c r="AE101" s="8" t="str">
        <f aca="false">IF($K101="SEM CULTURA","SEM CULTURA",IF($AA101&lt;=0,"DADO PENDENTE",IF($AD101&gt;LIMITE_CRITICO,"INVIAVEL",IF($AD101&gt;LIMITE_ATENCAO,"CRITICO",IF($AD101&gt;LIMITE_CONFORTAVEL,"ATENCAO","OK")))))</f>
        <v>OK</v>
      </c>
      <c r="AF101" s="8" t="str">
        <f aca="false">$B101&amp;"|"&amp;TEXT($AD101,"0.000000")</f>
        <v>30|0.000000</v>
      </c>
      <c r="AG101" s="18" t="n">
        <f aca="false">IF($K101="SEM CULTURA",0,$T101*$H101)</f>
        <v>2061.36230740741</v>
      </c>
      <c r="AH101" s="18" t="n">
        <f aca="false">IF($K101="SEM CULTURA",0,$V101*$H101)</f>
        <v>2996.77728</v>
      </c>
      <c r="AI101" s="18" t="n">
        <f aca="false">IF($K101="SEM CULTURA",0,$W101*$H101)</f>
        <v>0</v>
      </c>
      <c r="AJ101" s="18" t="n">
        <f aca="false">IF($K101="SEM CULTURA",0,$S101*$H101)</f>
        <v>3238.998</v>
      </c>
      <c r="AK101" s="8" t="str">
        <f aca="false">$E101&amp;"|"&amp;TEXT($AD101,"0.000000")</f>
        <v>PV 106|0.000000</v>
      </c>
    </row>
    <row r="102" customFormat="false" ht="15" hidden="false" customHeight="false" outlineLevel="0" collapsed="false">
      <c r="B102" s="16" t="n">
        <v>31</v>
      </c>
      <c r="C102" s="17" t="n">
        <f aca="false">DATA_INICIO_SAFRA+($B102-1)*DIAS_POR_SEMANA</f>
        <v>46475</v>
      </c>
      <c r="D102" s="17" t="n">
        <f aca="false">$C102+DIAS_POR_SEMANA-1</f>
        <v>46481</v>
      </c>
      <c r="E102" s="15" t="s">
        <v>260</v>
      </c>
      <c r="F102" s="8" t="str">
        <f aca="false">IFERROR(INDEX(CADASTRO_PIVOS!$C$6:$C$41,MATCH($E102,CADASTRO_PIVOS!$B$6:$B$41,0)),"?")</f>
        <v>RM02</v>
      </c>
      <c r="G102" s="8" t="str">
        <f aca="false">IFERROR(INDEX(CADASTRO_PIVOS!$D$6:$D$41,MATCH($E102,CADASTRO_PIVOS!$B$6:$B$41,0)),"?")</f>
        <v>TR02</v>
      </c>
      <c r="H102" s="20" t="n">
        <f aca="false">IFERROR(INDEX(CADASTRO_PIVOS!$E$6:$E$41,MATCH($E102,CADASTRO_PIVOS!$B$6:$B$41,0)),0)</f>
        <v>100.59</v>
      </c>
      <c r="I102" s="16" t="n">
        <f aca="false">IFERROR(SUMIFS(ROTACAO_RDM!$B$6:$B$71,ROTACAO_RDM!$D$6:$D$71,$E102,ROTACAO_RDM!$I$6:$I$71,"&lt;="&amp;$C102+INT(DIAS_POR_SEMANA/2),ROTACAO_RDM!$J$6:$J$71,"&gt;="&amp;$C102+INT(DIAS_POR_SEMANA/2)),0)</f>
        <v>11</v>
      </c>
      <c r="J102" s="16" t="n">
        <f aca="false">IFERROR(MATCH($I102,ROTACAO_RDM!$B$6:$B$71,0),0)</f>
        <v>11</v>
      </c>
      <c r="K102" s="8" t="str">
        <f aca="false">IF($J102=0,"SEM CULTURA",INDEX(ROTACAO_RDM!$F$6:$F$71,$J102))</f>
        <v>ALGODAO</v>
      </c>
      <c r="L102" s="8" t="str">
        <f aca="false">IF($J102=0,"",INDEX(ROTACAO_RDM!$G$6:$G$71,$J102))</f>
        <v>FM 911 GLTP</v>
      </c>
      <c r="M102" s="17" t="n">
        <f aca="false">IF($J102=0,"",INDEX(ROTACAO_RDM!$I$6:$I$71,$J102))</f>
        <v>46423</v>
      </c>
      <c r="N102" s="16" t="n">
        <f aca="false">IF($J102=0,0,MAX(0,$C102+INT(DIAS_POR_SEMANA/2)-INDEX(ROTACAO_RDM!$I$6:$I$71,$J102)))</f>
        <v>55</v>
      </c>
      <c r="O102" s="19" t="n">
        <f aca="false">IF($J102=0,0,MIN(1,$N102/MAX(1,INDEX(ROTACAO_RDM!$K$6:$K$71,$J102))))</f>
        <v>0.305555555555556</v>
      </c>
      <c r="P102" s="16" t="n">
        <f aca="false">IF($J102=0,0,IFERROR(MATCH(INDEX(ROTACAO_RDM!$N$6:$N$71,$J102),PARAMETROS_CULTURAS!$B$6:$B$28,0),0))</f>
        <v>4</v>
      </c>
      <c r="Q102" s="8" t="str">
        <f aca="false">IF($P102=0,"-",IF($O102&lt;=INDEX(PARAMETROS_CULTURAS!$F$6:$F$28,$P102),"INICIAL",IF($O102&lt;=INDEX(PARAMETROS_CULTURAS!$F$6:$F$28,$P102)+INDEX(PARAMETROS_CULTURAS!$G$6:$G$28,$P102),"DESENVOLVIMENTO",IF($O102&lt;=INDEX(PARAMETROS_CULTURAS!$F$6:$F$28,$P102)+INDEX(PARAMETROS_CULTURAS!$G$6:$G$28,$P102)+INDEX(PARAMETROS_CULTURAS!$H$6:$H$28,$P102),"MEDIA","FINAL"))))</f>
        <v>DESENVOLVIMENTO</v>
      </c>
      <c r="R102" s="24" t="n">
        <f aca="false">IF($P102=0,0,IF($O102&lt;=INDEX(PARAMETROS_CULTURAS!$F$6:$F$28,$P102),INDEX(PARAMETROS_CULTURAS!$K$6:$K$28,$P102),IF($O102&lt;=INDEX(PARAMETROS_CULTURAS!$F$6:$F$28,$P102)+INDEX(PARAMETROS_CULTURAS!$G$6:$G$28,$P102),INDEX(PARAMETROS_CULTURAS!$K$6:$K$28,$P102)+(INDEX(PARAMETROS_CULTURAS!$L$6:$L$28,$P102)-INDEX(PARAMETROS_CULTURAS!$K$6:$K$28,$P102))*($O102-INDEX(PARAMETROS_CULTURAS!$F$6:$F$28,$P102))/MAX(INDEX(PARAMETROS_CULTURAS!$G$6:$G$28,$P102),0.0001),IF($O102&lt;=INDEX(PARAMETROS_CULTURAS!$F$6:$F$28,$P102)+INDEX(PARAMETROS_CULTURAS!$G$6:$G$28,$P102)+INDEX(PARAMETROS_CULTURAS!$H$6:$H$28,$P102),INDEX(PARAMETROS_CULTURAS!$L$6:$L$28,$P102),INDEX(PARAMETROS_CULTURAS!$L$6:$L$28,$P102)+(INDEX(PARAMETROS_CULTURAS!$M$6:$M$28,$P102)-INDEX(PARAMETROS_CULTURAS!$L$6:$L$28,$P102))*($O102-INDEX(PARAMETROS_CULTURAS!$F$6:$F$28,$P102)-INDEX(PARAMETROS_CULTURAS!$G$6:$G$28,$P102)-INDEX(PARAMETROS_CULTURAS!$H$6:$H$28,$P102))/MAX(INDEX(PARAMETROS_CULTURAS!$I$6:$I$28,$P102),0.0001)))))</f>
        <v>0.751646090534979</v>
      </c>
      <c r="S102" s="18" t="n">
        <f aca="false">IFERROR(INDEX(SEMANAS!$H$6:$H$71,MATCH($B102,SEMANAS!$B$6:$B$71,0)),0)</f>
        <v>31.8</v>
      </c>
      <c r="T102" s="18" t="n">
        <f aca="false">$R102*$S102</f>
        <v>23.9023456790123</v>
      </c>
      <c r="U102" s="18" t="n">
        <f aca="false">IFERROR(INDEX(SEMANAS!$I$6:$I$71,MATCH($B102,SEMANAS!$B$6:$B$71,0)),0)</f>
        <v>25.28</v>
      </c>
      <c r="V102" s="18" t="n">
        <f aca="false">IFERROR(INDEX(SEMANAS!$J$6:$J$71,MATCH($B102,SEMANAS!$B$6:$B$71,0)),0)</f>
        <v>20.224</v>
      </c>
      <c r="W102" s="18" t="n">
        <f aca="false">MAX(0,$T102-$V102)</f>
        <v>3.67834567901234</v>
      </c>
      <c r="X102" s="19" t="n">
        <f aca="false">IFERROR(INDEX(CADASTRO_PIVOS!$K$6:$K$41,MATCH($E102,CADASTRO_PIVOS!$B$6:$B$41,0)),EFICIENCIA_PADRAO)</f>
        <v>0.85</v>
      </c>
      <c r="Y102" s="18" t="n">
        <f aca="false">IF($X102&lt;=0,0,$W102/$X102)</f>
        <v>4.3274655047204</v>
      </c>
      <c r="Z102" s="16" t="n">
        <f aca="false">$Y102*$H102*MM_PARA_M3_HA</f>
        <v>4352.99755119825</v>
      </c>
      <c r="AA102" s="18" t="n">
        <f aca="false">IFERROR(INDEX(CADASTRO_PIVOS!$I$6:$I$41,MATCH($E102,CADASTRO_PIVOS!$B$6:$B$41,0)),0)</f>
        <v>718.5</v>
      </c>
      <c r="AB102" s="18" t="n">
        <f aca="false">IF($Z102&lt;=0,0,$Z102/$AA102)</f>
        <v>6.05845170660856</v>
      </c>
      <c r="AC102" s="16" t="n">
        <f aca="false">IFERROR(INDEX(SEMANAS!$K$6:$K$71,MATCH($B102,SEMANAS!$B$6:$B$71,0)),0)</f>
        <v>147</v>
      </c>
      <c r="AD102" s="19" t="n">
        <f aca="false">IF($AC102&lt;=0,0,$AB102/$AC102)</f>
        <v>0.0412139571878134</v>
      </c>
      <c r="AE102" s="8" t="str">
        <f aca="false">IF($K102="SEM CULTURA","SEM CULTURA",IF($AA102&lt;=0,"DADO PENDENTE",IF($AD102&gt;LIMITE_CRITICO,"INVIAVEL",IF($AD102&gt;LIMITE_ATENCAO,"CRITICO",IF($AD102&gt;LIMITE_CONFORTAVEL,"ATENCAO","OK")))))</f>
        <v>OK</v>
      </c>
      <c r="AF102" s="8" t="str">
        <f aca="false">$B102&amp;"|"&amp;TEXT($AD102,"0.000000")</f>
        <v>31|0.041214</v>
      </c>
      <c r="AG102" s="18" t="n">
        <f aca="false">IF($K102="SEM CULTURA",0,$T102*$H102)</f>
        <v>2404.33695185185</v>
      </c>
      <c r="AH102" s="18" t="n">
        <f aca="false">IF($K102="SEM CULTURA",0,$V102*$H102)</f>
        <v>2034.33216</v>
      </c>
      <c r="AI102" s="18" t="n">
        <f aca="false">IF($K102="SEM CULTURA",0,$W102*$H102)</f>
        <v>370.004791851851</v>
      </c>
      <c r="AJ102" s="18" t="n">
        <f aca="false">IF($K102="SEM CULTURA",0,$S102*$H102)</f>
        <v>3198.762</v>
      </c>
      <c r="AK102" s="8" t="str">
        <f aca="false">$E102&amp;"|"&amp;TEXT($AD102,"0.000000")</f>
        <v>PV 106|0.041214</v>
      </c>
    </row>
    <row r="103" customFormat="false" ht="15" hidden="false" customHeight="false" outlineLevel="0" collapsed="false">
      <c r="B103" s="16" t="n">
        <v>32</v>
      </c>
      <c r="C103" s="17" t="n">
        <f aca="false">DATA_INICIO_SAFRA+($B103-1)*DIAS_POR_SEMANA</f>
        <v>46482</v>
      </c>
      <c r="D103" s="17" t="n">
        <f aca="false">$C103+DIAS_POR_SEMANA-1</f>
        <v>46488</v>
      </c>
      <c r="E103" s="15" t="s">
        <v>260</v>
      </c>
      <c r="F103" s="8" t="str">
        <f aca="false">IFERROR(INDEX(CADASTRO_PIVOS!$C$6:$C$41,MATCH($E103,CADASTRO_PIVOS!$B$6:$B$41,0)),"?")</f>
        <v>RM02</v>
      </c>
      <c r="G103" s="8" t="str">
        <f aca="false">IFERROR(INDEX(CADASTRO_PIVOS!$D$6:$D$41,MATCH($E103,CADASTRO_PIVOS!$B$6:$B$41,0)),"?")</f>
        <v>TR02</v>
      </c>
      <c r="H103" s="20" t="n">
        <f aca="false">IFERROR(INDEX(CADASTRO_PIVOS!$E$6:$E$41,MATCH($E103,CADASTRO_PIVOS!$B$6:$B$41,0)),0)</f>
        <v>100.59</v>
      </c>
      <c r="I103" s="16" t="n">
        <f aca="false">IFERROR(SUMIFS(ROTACAO_RDM!$B$6:$B$71,ROTACAO_RDM!$D$6:$D$71,$E103,ROTACAO_RDM!$I$6:$I$71,"&lt;="&amp;$C103+INT(DIAS_POR_SEMANA/2),ROTACAO_RDM!$J$6:$J$71,"&gt;="&amp;$C103+INT(DIAS_POR_SEMANA/2)),0)</f>
        <v>11</v>
      </c>
      <c r="J103" s="16" t="n">
        <f aca="false">IFERROR(MATCH($I103,ROTACAO_RDM!$B$6:$B$71,0),0)</f>
        <v>11</v>
      </c>
      <c r="K103" s="8" t="str">
        <f aca="false">IF($J103=0,"SEM CULTURA",INDEX(ROTACAO_RDM!$F$6:$F$71,$J103))</f>
        <v>ALGODAO</v>
      </c>
      <c r="L103" s="8" t="str">
        <f aca="false">IF($J103=0,"",INDEX(ROTACAO_RDM!$G$6:$G$71,$J103))</f>
        <v>FM 911 GLTP</v>
      </c>
      <c r="M103" s="17" t="n">
        <f aca="false">IF($J103=0,"",INDEX(ROTACAO_RDM!$I$6:$I$71,$J103))</f>
        <v>46423</v>
      </c>
      <c r="N103" s="16" t="n">
        <f aca="false">IF($J103=0,0,MAX(0,$C103+INT(DIAS_POR_SEMANA/2)-INDEX(ROTACAO_RDM!$I$6:$I$71,$J103)))</f>
        <v>62</v>
      </c>
      <c r="O103" s="19" t="n">
        <f aca="false">IF($J103=0,0,MIN(1,$N103/MAX(1,INDEX(ROTACAO_RDM!$K$6:$K$71,$J103))))</f>
        <v>0.344444444444444</v>
      </c>
      <c r="P103" s="16" t="n">
        <f aca="false">IF($J103=0,0,IFERROR(MATCH(INDEX(ROTACAO_RDM!$N$6:$N$71,$J103),PARAMETROS_CULTURAS!$B$6:$B$28,0),0))</f>
        <v>4</v>
      </c>
      <c r="Q103" s="8" t="str">
        <f aca="false">IF($P103=0,"-",IF($O103&lt;=INDEX(PARAMETROS_CULTURAS!$F$6:$F$28,$P103),"INICIAL",IF($O103&lt;=INDEX(PARAMETROS_CULTURAS!$F$6:$F$28,$P103)+INDEX(PARAMETROS_CULTURAS!$G$6:$G$28,$P103),"DESENVOLVIMENTO",IF($O103&lt;=INDEX(PARAMETROS_CULTURAS!$F$6:$F$28,$P103)+INDEX(PARAMETROS_CULTURAS!$G$6:$G$28,$P103)+INDEX(PARAMETROS_CULTURAS!$H$6:$H$28,$P103),"MEDIA","FINAL"))))</f>
        <v>DESENVOLVIMENTO</v>
      </c>
      <c r="R103" s="24" t="n">
        <f aca="false">IF($P103=0,0,IF($O103&lt;=INDEX(PARAMETROS_CULTURAS!$F$6:$F$28,$P103),INDEX(PARAMETROS_CULTURAS!$K$6:$K$28,$P103),IF($O103&lt;=INDEX(PARAMETROS_CULTURAS!$F$6:$F$28,$P103)+INDEX(PARAMETROS_CULTURAS!$G$6:$G$28,$P103),INDEX(PARAMETROS_CULTURAS!$K$6:$K$28,$P103)+(INDEX(PARAMETROS_CULTURAS!$L$6:$L$28,$P103)-INDEX(PARAMETROS_CULTURAS!$K$6:$K$28,$P103))*($O103-INDEX(PARAMETROS_CULTURAS!$F$6:$F$28,$P103))/MAX(INDEX(PARAMETROS_CULTURAS!$G$6:$G$28,$P103),0.0001),IF($O103&lt;=INDEX(PARAMETROS_CULTURAS!$F$6:$F$28,$P103)+INDEX(PARAMETROS_CULTURAS!$G$6:$G$28,$P103)+INDEX(PARAMETROS_CULTURAS!$H$6:$H$28,$P103),INDEX(PARAMETROS_CULTURAS!$L$6:$L$28,$P103),INDEX(PARAMETROS_CULTURAS!$L$6:$L$28,$P103)+(INDEX(PARAMETROS_CULTURAS!$M$6:$M$28,$P103)-INDEX(PARAMETROS_CULTURAS!$L$6:$L$28,$P103))*($O103-INDEX(PARAMETROS_CULTURAS!$F$6:$F$28,$P103)-INDEX(PARAMETROS_CULTURAS!$G$6:$G$28,$P103)-INDEX(PARAMETROS_CULTURAS!$H$6:$H$28,$P103))/MAX(INDEX(PARAMETROS_CULTURAS!$I$6:$I$28,$P103),0.0001)))))</f>
        <v>0.866872427983539</v>
      </c>
      <c r="S103" s="18" t="n">
        <f aca="false">IFERROR(INDEX(SEMANAS!$H$6:$H$71,MATCH($B103,SEMANAS!$B$6:$B$71,0)),0)</f>
        <v>31.5</v>
      </c>
      <c r="T103" s="18" t="n">
        <f aca="false">$R103*$S103</f>
        <v>27.3064814814815</v>
      </c>
      <c r="U103" s="18" t="n">
        <f aca="false">IFERROR(INDEX(SEMANAS!$I$6:$I$71,MATCH($B103,SEMANAS!$B$6:$B$71,0)),0)</f>
        <v>16.31</v>
      </c>
      <c r="V103" s="18" t="n">
        <f aca="false">IFERROR(INDEX(SEMANAS!$J$6:$J$71,MATCH($B103,SEMANAS!$B$6:$B$71,0)),0)</f>
        <v>13.048</v>
      </c>
      <c r="W103" s="18" t="n">
        <f aca="false">MAX(0,$T103-$V103)</f>
        <v>14.2584814814815</v>
      </c>
      <c r="X103" s="19" t="n">
        <f aca="false">IFERROR(INDEX(CADASTRO_PIVOS!$K$6:$K$41,MATCH($E103,CADASTRO_PIVOS!$B$6:$B$41,0)),EFICIENCIA_PADRAO)</f>
        <v>0.85</v>
      </c>
      <c r="Y103" s="18" t="n">
        <f aca="false">IF($X103&lt;=0,0,$W103/$X103)</f>
        <v>16.7746840958606</v>
      </c>
      <c r="Z103" s="16" t="n">
        <f aca="false">$Y103*$H103*MM_PARA_M3_HA</f>
        <v>16873.6547320261</v>
      </c>
      <c r="AA103" s="18" t="n">
        <f aca="false">IFERROR(INDEX(CADASTRO_PIVOS!$I$6:$I$41,MATCH($E103,CADASTRO_PIVOS!$B$6:$B$41,0)),0)</f>
        <v>718.5</v>
      </c>
      <c r="AB103" s="18" t="n">
        <f aca="false">IF($Z103&lt;=0,0,$Z103/$AA103)</f>
        <v>23.4845577342048</v>
      </c>
      <c r="AC103" s="16" t="n">
        <f aca="false">IFERROR(INDEX(SEMANAS!$K$6:$K$71,MATCH($B103,SEMANAS!$B$6:$B$71,0)),0)</f>
        <v>147</v>
      </c>
      <c r="AD103" s="19" t="n">
        <f aca="false">IF($AC103&lt;=0,0,$AB103/$AC103)</f>
        <v>0.159758896151053</v>
      </c>
      <c r="AE103" s="8" t="str">
        <f aca="false">IF($K103="SEM CULTURA","SEM CULTURA",IF($AA103&lt;=0,"DADO PENDENTE",IF($AD103&gt;LIMITE_CRITICO,"INVIAVEL",IF($AD103&gt;LIMITE_ATENCAO,"CRITICO",IF($AD103&gt;LIMITE_CONFORTAVEL,"ATENCAO","OK")))))</f>
        <v>OK</v>
      </c>
      <c r="AF103" s="8" t="str">
        <f aca="false">$B103&amp;"|"&amp;TEXT($AD103,"0.000000")</f>
        <v>32|0.159759</v>
      </c>
      <c r="AG103" s="18" t="n">
        <f aca="false">IF($K103="SEM CULTURA",0,$T103*$H103)</f>
        <v>2746.75897222222</v>
      </c>
      <c r="AH103" s="18" t="n">
        <f aca="false">IF($K103="SEM CULTURA",0,$V103*$H103)</f>
        <v>1312.49832</v>
      </c>
      <c r="AI103" s="18" t="n">
        <f aca="false">IF($K103="SEM CULTURA",0,$W103*$H103)</f>
        <v>1434.26065222222</v>
      </c>
      <c r="AJ103" s="18" t="n">
        <f aca="false">IF($K103="SEM CULTURA",0,$S103*$H103)</f>
        <v>3168.585</v>
      </c>
      <c r="AK103" s="8" t="str">
        <f aca="false">$E103&amp;"|"&amp;TEXT($AD103,"0.000000")</f>
        <v>PV 106|0.159759</v>
      </c>
    </row>
    <row r="104" customFormat="false" ht="15" hidden="false" customHeight="false" outlineLevel="0" collapsed="false">
      <c r="B104" s="16" t="n">
        <v>33</v>
      </c>
      <c r="C104" s="17" t="n">
        <f aca="false">DATA_INICIO_SAFRA+($B104-1)*DIAS_POR_SEMANA</f>
        <v>46489</v>
      </c>
      <c r="D104" s="17" t="n">
        <f aca="false">$C104+DIAS_POR_SEMANA-1</f>
        <v>46495</v>
      </c>
      <c r="E104" s="15" t="s">
        <v>260</v>
      </c>
      <c r="F104" s="8" t="str">
        <f aca="false">IFERROR(INDEX(CADASTRO_PIVOS!$C$6:$C$41,MATCH($E104,CADASTRO_PIVOS!$B$6:$B$41,0)),"?")</f>
        <v>RM02</v>
      </c>
      <c r="G104" s="8" t="str">
        <f aca="false">IFERROR(INDEX(CADASTRO_PIVOS!$D$6:$D$41,MATCH($E104,CADASTRO_PIVOS!$B$6:$B$41,0)),"?")</f>
        <v>TR02</v>
      </c>
      <c r="H104" s="20" t="n">
        <f aca="false">IFERROR(INDEX(CADASTRO_PIVOS!$E$6:$E$41,MATCH($E104,CADASTRO_PIVOS!$B$6:$B$41,0)),0)</f>
        <v>100.59</v>
      </c>
      <c r="I104" s="16" t="n">
        <f aca="false">IFERROR(SUMIFS(ROTACAO_RDM!$B$6:$B$71,ROTACAO_RDM!$D$6:$D$71,$E104,ROTACAO_RDM!$I$6:$I$71,"&lt;="&amp;$C104+INT(DIAS_POR_SEMANA/2),ROTACAO_RDM!$J$6:$J$71,"&gt;="&amp;$C104+INT(DIAS_POR_SEMANA/2)),0)</f>
        <v>11</v>
      </c>
      <c r="J104" s="16" t="n">
        <f aca="false">IFERROR(MATCH($I104,ROTACAO_RDM!$B$6:$B$71,0),0)</f>
        <v>11</v>
      </c>
      <c r="K104" s="8" t="str">
        <f aca="false">IF($J104=0,"SEM CULTURA",INDEX(ROTACAO_RDM!$F$6:$F$71,$J104))</f>
        <v>ALGODAO</v>
      </c>
      <c r="L104" s="8" t="str">
        <f aca="false">IF($J104=0,"",INDEX(ROTACAO_RDM!$G$6:$G$71,$J104))</f>
        <v>FM 911 GLTP</v>
      </c>
      <c r="M104" s="17" t="n">
        <f aca="false">IF($J104=0,"",INDEX(ROTACAO_RDM!$I$6:$I$71,$J104))</f>
        <v>46423</v>
      </c>
      <c r="N104" s="16" t="n">
        <f aca="false">IF($J104=0,0,MAX(0,$C104+INT(DIAS_POR_SEMANA/2)-INDEX(ROTACAO_RDM!$I$6:$I$71,$J104)))</f>
        <v>69</v>
      </c>
      <c r="O104" s="19" t="n">
        <f aca="false">IF($J104=0,0,MIN(1,$N104/MAX(1,INDEX(ROTACAO_RDM!$K$6:$K$71,$J104))))</f>
        <v>0.383333333333333</v>
      </c>
      <c r="P104" s="16" t="n">
        <f aca="false">IF($J104=0,0,IFERROR(MATCH(INDEX(ROTACAO_RDM!$N$6:$N$71,$J104),PARAMETROS_CULTURAS!$B$6:$B$28,0),0))</f>
        <v>4</v>
      </c>
      <c r="Q104" s="8" t="str">
        <f aca="false">IF($P104=0,"-",IF($O104&lt;=INDEX(PARAMETROS_CULTURAS!$F$6:$F$28,$P104),"INICIAL",IF($O104&lt;=INDEX(PARAMETROS_CULTURAS!$F$6:$F$28,$P104)+INDEX(PARAMETROS_CULTURAS!$G$6:$G$28,$P104),"DESENVOLVIMENTO",IF($O104&lt;=INDEX(PARAMETROS_CULTURAS!$F$6:$F$28,$P104)+INDEX(PARAMETROS_CULTURAS!$G$6:$G$28,$P104)+INDEX(PARAMETROS_CULTURAS!$H$6:$H$28,$P104),"MEDIA","FINAL"))))</f>
        <v>DESENVOLVIMENTO</v>
      </c>
      <c r="R104" s="24" t="n">
        <f aca="false">IF($P104=0,0,IF($O104&lt;=INDEX(PARAMETROS_CULTURAS!$F$6:$F$28,$P104),INDEX(PARAMETROS_CULTURAS!$K$6:$K$28,$P104),IF($O104&lt;=INDEX(PARAMETROS_CULTURAS!$F$6:$F$28,$P104)+INDEX(PARAMETROS_CULTURAS!$G$6:$G$28,$P104),INDEX(PARAMETROS_CULTURAS!$K$6:$K$28,$P104)+(INDEX(PARAMETROS_CULTURAS!$L$6:$L$28,$P104)-INDEX(PARAMETROS_CULTURAS!$K$6:$K$28,$P104))*($O104-INDEX(PARAMETROS_CULTURAS!$F$6:$F$28,$P104))/MAX(INDEX(PARAMETROS_CULTURAS!$G$6:$G$28,$P104),0.0001),IF($O104&lt;=INDEX(PARAMETROS_CULTURAS!$F$6:$F$28,$P104)+INDEX(PARAMETROS_CULTURAS!$G$6:$G$28,$P104)+INDEX(PARAMETROS_CULTURAS!$H$6:$H$28,$P104),INDEX(PARAMETROS_CULTURAS!$L$6:$L$28,$P104),INDEX(PARAMETROS_CULTURAS!$L$6:$L$28,$P104)+(INDEX(PARAMETROS_CULTURAS!$M$6:$M$28,$P104)-INDEX(PARAMETROS_CULTURAS!$L$6:$L$28,$P104))*($O104-INDEX(PARAMETROS_CULTURAS!$F$6:$F$28,$P104)-INDEX(PARAMETROS_CULTURAS!$G$6:$G$28,$P104)-INDEX(PARAMETROS_CULTURAS!$H$6:$H$28,$P104))/MAX(INDEX(PARAMETROS_CULTURAS!$I$6:$I$28,$P104),0.0001)))))</f>
        <v>0.982098765432099</v>
      </c>
      <c r="S104" s="18" t="n">
        <f aca="false">IFERROR(INDEX(SEMANAS!$H$6:$H$71,MATCH($B104,SEMANAS!$B$6:$B$71,0)),0)</f>
        <v>31.5</v>
      </c>
      <c r="T104" s="18" t="n">
        <f aca="false">$R104*$S104</f>
        <v>30.9361111111111</v>
      </c>
      <c r="U104" s="18" t="n">
        <f aca="false">IFERROR(INDEX(SEMANAS!$I$6:$I$71,MATCH($B104,SEMANAS!$B$6:$B$71,0)),0)</f>
        <v>16.31</v>
      </c>
      <c r="V104" s="18" t="n">
        <f aca="false">IFERROR(INDEX(SEMANAS!$J$6:$J$71,MATCH($B104,SEMANAS!$B$6:$B$71,0)),0)</f>
        <v>13.048</v>
      </c>
      <c r="W104" s="18" t="n">
        <f aca="false">MAX(0,$T104-$V104)</f>
        <v>17.8881111111111</v>
      </c>
      <c r="X104" s="19" t="n">
        <f aca="false">IFERROR(INDEX(CADASTRO_PIVOS!$K$6:$K$41,MATCH($E104,CADASTRO_PIVOS!$B$6:$B$41,0)),EFICIENCIA_PADRAO)</f>
        <v>0.85</v>
      </c>
      <c r="Y104" s="18" t="n">
        <f aca="false">IF($X104&lt;=0,0,$W104/$X104)</f>
        <v>21.0448366013072</v>
      </c>
      <c r="Z104" s="16" t="n">
        <f aca="false">$Y104*$H104*MM_PARA_M3_HA</f>
        <v>21169.0011372549</v>
      </c>
      <c r="AA104" s="18" t="n">
        <f aca="false">IFERROR(INDEX(CADASTRO_PIVOS!$I$6:$I$41,MATCH($E104,CADASTRO_PIVOS!$B$6:$B$41,0)),0)</f>
        <v>718.5</v>
      </c>
      <c r="AB104" s="18" t="n">
        <f aca="false">IF($Z104&lt;=0,0,$Z104/$AA104)</f>
        <v>29.4627712418301</v>
      </c>
      <c r="AC104" s="16" t="n">
        <f aca="false">IFERROR(INDEX(SEMANAS!$K$6:$K$71,MATCH($B104,SEMANAS!$B$6:$B$71,0)),0)</f>
        <v>147</v>
      </c>
      <c r="AD104" s="19" t="n">
        <f aca="false">IF($AC104&lt;=0,0,$AB104/$AC104)</f>
        <v>0.200427015250545</v>
      </c>
      <c r="AE104" s="8" t="str">
        <f aca="false">IF($K104="SEM CULTURA","SEM CULTURA",IF($AA104&lt;=0,"DADO PENDENTE",IF($AD104&gt;LIMITE_CRITICO,"INVIAVEL",IF($AD104&gt;LIMITE_ATENCAO,"CRITICO",IF($AD104&gt;LIMITE_CONFORTAVEL,"ATENCAO","OK")))))</f>
        <v>OK</v>
      </c>
      <c r="AF104" s="8" t="str">
        <f aca="false">$B104&amp;"|"&amp;TEXT($AD104,"0.000000")</f>
        <v>33|0.200427</v>
      </c>
      <c r="AG104" s="18" t="n">
        <f aca="false">IF($K104="SEM CULTURA",0,$T104*$H104)</f>
        <v>3111.86341666667</v>
      </c>
      <c r="AH104" s="18" t="n">
        <f aca="false">IF($K104="SEM CULTURA",0,$V104*$H104)</f>
        <v>1312.49832</v>
      </c>
      <c r="AI104" s="18" t="n">
        <f aca="false">IF($K104="SEM CULTURA",0,$W104*$H104)</f>
        <v>1799.36509666667</v>
      </c>
      <c r="AJ104" s="18" t="n">
        <f aca="false">IF($K104="SEM CULTURA",0,$S104*$H104)</f>
        <v>3168.585</v>
      </c>
      <c r="AK104" s="8" t="str">
        <f aca="false">$E104&amp;"|"&amp;TEXT($AD104,"0.000000")</f>
        <v>PV 106|0.200427</v>
      </c>
    </row>
    <row r="105" customFormat="false" ht="15" hidden="false" customHeight="false" outlineLevel="0" collapsed="false">
      <c r="B105" s="16" t="n">
        <v>34</v>
      </c>
      <c r="C105" s="17" t="n">
        <f aca="false">DATA_INICIO_SAFRA+($B105-1)*DIAS_POR_SEMANA</f>
        <v>46496</v>
      </c>
      <c r="D105" s="17" t="n">
        <f aca="false">$C105+DIAS_POR_SEMANA-1</f>
        <v>46502</v>
      </c>
      <c r="E105" s="15" t="s">
        <v>260</v>
      </c>
      <c r="F105" s="8" t="str">
        <f aca="false">IFERROR(INDEX(CADASTRO_PIVOS!$C$6:$C$41,MATCH($E105,CADASTRO_PIVOS!$B$6:$B$41,0)),"?")</f>
        <v>RM02</v>
      </c>
      <c r="G105" s="8" t="str">
        <f aca="false">IFERROR(INDEX(CADASTRO_PIVOS!$D$6:$D$41,MATCH($E105,CADASTRO_PIVOS!$B$6:$B$41,0)),"?")</f>
        <v>TR02</v>
      </c>
      <c r="H105" s="20" t="n">
        <f aca="false">IFERROR(INDEX(CADASTRO_PIVOS!$E$6:$E$41,MATCH($E105,CADASTRO_PIVOS!$B$6:$B$41,0)),0)</f>
        <v>100.59</v>
      </c>
      <c r="I105" s="16" t="n">
        <f aca="false">IFERROR(SUMIFS(ROTACAO_RDM!$B$6:$B$71,ROTACAO_RDM!$D$6:$D$71,$E105,ROTACAO_RDM!$I$6:$I$71,"&lt;="&amp;$C105+INT(DIAS_POR_SEMANA/2),ROTACAO_RDM!$J$6:$J$71,"&gt;="&amp;$C105+INT(DIAS_POR_SEMANA/2)),0)</f>
        <v>11</v>
      </c>
      <c r="J105" s="16" t="n">
        <f aca="false">IFERROR(MATCH($I105,ROTACAO_RDM!$B$6:$B$71,0),0)</f>
        <v>11</v>
      </c>
      <c r="K105" s="8" t="str">
        <f aca="false">IF($J105=0,"SEM CULTURA",INDEX(ROTACAO_RDM!$F$6:$F$71,$J105))</f>
        <v>ALGODAO</v>
      </c>
      <c r="L105" s="8" t="str">
        <f aca="false">IF($J105=0,"",INDEX(ROTACAO_RDM!$G$6:$G$71,$J105))</f>
        <v>FM 911 GLTP</v>
      </c>
      <c r="M105" s="17" t="n">
        <f aca="false">IF($J105=0,"",INDEX(ROTACAO_RDM!$I$6:$I$71,$J105))</f>
        <v>46423</v>
      </c>
      <c r="N105" s="16" t="n">
        <f aca="false">IF($J105=0,0,MAX(0,$C105+INT(DIAS_POR_SEMANA/2)-INDEX(ROTACAO_RDM!$I$6:$I$71,$J105)))</f>
        <v>76</v>
      </c>
      <c r="O105" s="19" t="n">
        <f aca="false">IF($J105=0,0,MIN(1,$N105/MAX(1,INDEX(ROTACAO_RDM!$K$6:$K$71,$J105))))</f>
        <v>0.422222222222222</v>
      </c>
      <c r="P105" s="16" t="n">
        <f aca="false">IF($J105=0,0,IFERROR(MATCH(INDEX(ROTACAO_RDM!$N$6:$N$71,$J105),PARAMETROS_CULTURAS!$B$6:$B$28,0),0))</f>
        <v>4</v>
      </c>
      <c r="Q105" s="8" t="str">
        <f aca="false">IF($P105=0,"-",IF($O105&lt;=INDEX(PARAMETROS_CULTURAS!$F$6:$F$28,$P105),"INICIAL",IF($O105&lt;=INDEX(PARAMETROS_CULTURAS!$F$6:$F$28,$P105)+INDEX(PARAMETROS_CULTURAS!$G$6:$G$28,$P105),"DESENVOLVIMENTO",IF($O105&lt;=INDEX(PARAMETROS_CULTURAS!$F$6:$F$28,$P105)+INDEX(PARAMETROS_CULTURAS!$G$6:$G$28,$P105)+INDEX(PARAMETROS_CULTURAS!$H$6:$H$28,$P105),"MEDIA","FINAL"))))</f>
        <v>DESENVOLVIMENTO</v>
      </c>
      <c r="R105" s="24" t="n">
        <f aca="false">IF($P105=0,0,IF($O105&lt;=INDEX(PARAMETROS_CULTURAS!$F$6:$F$28,$P105),INDEX(PARAMETROS_CULTURAS!$K$6:$K$28,$P105),IF($O105&lt;=INDEX(PARAMETROS_CULTURAS!$F$6:$F$28,$P105)+INDEX(PARAMETROS_CULTURAS!$G$6:$G$28,$P105),INDEX(PARAMETROS_CULTURAS!$K$6:$K$28,$P105)+(INDEX(PARAMETROS_CULTURAS!$L$6:$L$28,$P105)-INDEX(PARAMETROS_CULTURAS!$K$6:$K$28,$P105))*($O105-INDEX(PARAMETROS_CULTURAS!$F$6:$F$28,$P105))/MAX(INDEX(PARAMETROS_CULTURAS!$G$6:$G$28,$P105),0.0001),IF($O105&lt;=INDEX(PARAMETROS_CULTURAS!$F$6:$F$28,$P105)+INDEX(PARAMETROS_CULTURAS!$G$6:$G$28,$P105)+INDEX(PARAMETROS_CULTURAS!$H$6:$H$28,$P105),INDEX(PARAMETROS_CULTURAS!$L$6:$L$28,$P105),INDEX(PARAMETROS_CULTURAS!$L$6:$L$28,$P105)+(INDEX(PARAMETROS_CULTURAS!$M$6:$M$28,$P105)-INDEX(PARAMETROS_CULTURAS!$L$6:$L$28,$P105))*($O105-INDEX(PARAMETROS_CULTURAS!$F$6:$F$28,$P105)-INDEX(PARAMETROS_CULTURAS!$G$6:$G$28,$P105)-INDEX(PARAMETROS_CULTURAS!$H$6:$H$28,$P105))/MAX(INDEX(PARAMETROS_CULTURAS!$I$6:$I$28,$P105),0.0001)))))</f>
        <v>1.09732510288066</v>
      </c>
      <c r="S105" s="18" t="n">
        <f aca="false">IFERROR(INDEX(SEMANAS!$H$6:$H$71,MATCH($B105,SEMANAS!$B$6:$B$71,0)),0)</f>
        <v>31.5</v>
      </c>
      <c r="T105" s="18" t="n">
        <f aca="false">$R105*$S105</f>
        <v>34.5657407407407</v>
      </c>
      <c r="U105" s="18" t="n">
        <f aca="false">IFERROR(INDEX(SEMANAS!$I$6:$I$71,MATCH($B105,SEMANAS!$B$6:$B$71,0)),0)</f>
        <v>16.31</v>
      </c>
      <c r="V105" s="18" t="n">
        <f aca="false">IFERROR(INDEX(SEMANAS!$J$6:$J$71,MATCH($B105,SEMANAS!$B$6:$B$71,0)),0)</f>
        <v>13.048</v>
      </c>
      <c r="W105" s="18" t="n">
        <f aca="false">MAX(0,$T105-$V105)</f>
        <v>21.5177407407407</v>
      </c>
      <c r="X105" s="19" t="n">
        <f aca="false">IFERROR(INDEX(CADASTRO_PIVOS!$K$6:$K$41,MATCH($E105,CADASTRO_PIVOS!$B$6:$B$41,0)),EFICIENCIA_PADRAO)</f>
        <v>0.85</v>
      </c>
      <c r="Y105" s="18" t="n">
        <f aca="false">IF($X105&lt;=0,0,$W105/$X105)</f>
        <v>25.3149891067538</v>
      </c>
      <c r="Z105" s="16" t="n">
        <f aca="false">$Y105*$H105*MM_PARA_M3_HA</f>
        <v>25464.3475424837</v>
      </c>
      <c r="AA105" s="18" t="n">
        <f aca="false">IFERROR(INDEX(CADASTRO_PIVOS!$I$6:$I$41,MATCH($E105,CADASTRO_PIVOS!$B$6:$B$41,0)),0)</f>
        <v>718.5</v>
      </c>
      <c r="AB105" s="18" t="n">
        <f aca="false">IF($Z105&lt;=0,0,$Z105/$AA105)</f>
        <v>35.4409847494553</v>
      </c>
      <c r="AC105" s="16" t="n">
        <f aca="false">IFERROR(INDEX(SEMANAS!$K$6:$K$71,MATCH($B105,SEMANAS!$B$6:$B$71,0)),0)</f>
        <v>147</v>
      </c>
      <c r="AD105" s="19" t="n">
        <f aca="false">IF($AC105&lt;=0,0,$AB105/$AC105)</f>
        <v>0.241095134350036</v>
      </c>
      <c r="AE105" s="8" t="str">
        <f aca="false">IF($K105="SEM CULTURA","SEM CULTURA",IF($AA105&lt;=0,"DADO PENDENTE",IF($AD105&gt;LIMITE_CRITICO,"INVIAVEL",IF($AD105&gt;LIMITE_ATENCAO,"CRITICO",IF($AD105&gt;LIMITE_CONFORTAVEL,"ATENCAO","OK")))))</f>
        <v>OK</v>
      </c>
      <c r="AF105" s="8" t="str">
        <f aca="false">$B105&amp;"|"&amp;TEXT($AD105,"0.000000")</f>
        <v>34|0.241095</v>
      </c>
      <c r="AG105" s="18" t="n">
        <f aca="false">IF($K105="SEM CULTURA",0,$T105*$H105)</f>
        <v>3476.96786111111</v>
      </c>
      <c r="AH105" s="18" t="n">
        <f aca="false">IF($K105="SEM CULTURA",0,$V105*$H105)</f>
        <v>1312.49832</v>
      </c>
      <c r="AI105" s="18" t="n">
        <f aca="false">IF($K105="SEM CULTURA",0,$W105*$H105)</f>
        <v>2164.46954111111</v>
      </c>
      <c r="AJ105" s="18" t="n">
        <f aca="false">IF($K105="SEM CULTURA",0,$S105*$H105)</f>
        <v>3168.585</v>
      </c>
      <c r="AK105" s="8" t="str">
        <f aca="false">$E105&amp;"|"&amp;TEXT($AD105,"0.000000")</f>
        <v>PV 106|0.241095</v>
      </c>
    </row>
    <row r="106" customFormat="false" ht="15" hidden="false" customHeight="false" outlineLevel="0" collapsed="false">
      <c r="B106" s="16" t="n">
        <v>35</v>
      </c>
      <c r="C106" s="17" t="n">
        <f aca="false">DATA_INICIO_SAFRA+($B106-1)*DIAS_POR_SEMANA</f>
        <v>46503</v>
      </c>
      <c r="D106" s="17" t="n">
        <f aca="false">$C106+DIAS_POR_SEMANA-1</f>
        <v>46509</v>
      </c>
      <c r="E106" s="15" t="s">
        <v>260</v>
      </c>
      <c r="F106" s="8" t="str">
        <f aca="false">IFERROR(INDEX(CADASTRO_PIVOS!$C$6:$C$41,MATCH($E106,CADASTRO_PIVOS!$B$6:$B$41,0)),"?")</f>
        <v>RM02</v>
      </c>
      <c r="G106" s="8" t="str">
        <f aca="false">IFERROR(INDEX(CADASTRO_PIVOS!$D$6:$D$41,MATCH($E106,CADASTRO_PIVOS!$B$6:$B$41,0)),"?")</f>
        <v>TR02</v>
      </c>
      <c r="H106" s="20" t="n">
        <f aca="false">IFERROR(INDEX(CADASTRO_PIVOS!$E$6:$E$41,MATCH($E106,CADASTRO_PIVOS!$B$6:$B$41,0)),0)</f>
        <v>100.59</v>
      </c>
      <c r="I106" s="16" t="n">
        <f aca="false">IFERROR(SUMIFS(ROTACAO_RDM!$B$6:$B$71,ROTACAO_RDM!$D$6:$D$71,$E106,ROTACAO_RDM!$I$6:$I$71,"&lt;="&amp;$C106+INT(DIAS_POR_SEMANA/2),ROTACAO_RDM!$J$6:$J$71,"&gt;="&amp;$C106+INT(DIAS_POR_SEMANA/2)),0)</f>
        <v>11</v>
      </c>
      <c r="J106" s="16" t="n">
        <f aca="false">IFERROR(MATCH($I106,ROTACAO_RDM!$B$6:$B$71,0),0)</f>
        <v>11</v>
      </c>
      <c r="K106" s="8" t="str">
        <f aca="false">IF($J106=0,"SEM CULTURA",INDEX(ROTACAO_RDM!$F$6:$F$71,$J106))</f>
        <v>ALGODAO</v>
      </c>
      <c r="L106" s="8" t="str">
        <f aca="false">IF($J106=0,"",INDEX(ROTACAO_RDM!$G$6:$G$71,$J106))</f>
        <v>FM 911 GLTP</v>
      </c>
      <c r="M106" s="17" t="n">
        <f aca="false">IF($J106=0,"",INDEX(ROTACAO_RDM!$I$6:$I$71,$J106))</f>
        <v>46423</v>
      </c>
      <c r="N106" s="16" t="n">
        <f aca="false">IF($J106=0,0,MAX(0,$C106+INT(DIAS_POR_SEMANA/2)-INDEX(ROTACAO_RDM!$I$6:$I$71,$J106)))</f>
        <v>83</v>
      </c>
      <c r="O106" s="19" t="n">
        <f aca="false">IF($J106=0,0,MIN(1,$N106/MAX(1,INDEX(ROTACAO_RDM!$K$6:$K$71,$J106))))</f>
        <v>0.461111111111111</v>
      </c>
      <c r="P106" s="16" t="n">
        <f aca="false">IF($J106=0,0,IFERROR(MATCH(INDEX(ROTACAO_RDM!$N$6:$N$71,$J106),PARAMETROS_CULTURAS!$B$6:$B$28,0),0))</f>
        <v>4</v>
      </c>
      <c r="Q106" s="8" t="str">
        <f aca="false">IF($P106=0,"-",IF($O106&lt;=INDEX(PARAMETROS_CULTURAS!$F$6:$F$28,$P106),"INICIAL",IF($O106&lt;=INDEX(PARAMETROS_CULTURAS!$F$6:$F$28,$P106)+INDEX(PARAMETROS_CULTURAS!$G$6:$G$28,$P106),"DESENVOLVIMENTO",IF($O106&lt;=INDEX(PARAMETROS_CULTURAS!$F$6:$F$28,$P106)+INDEX(PARAMETROS_CULTURAS!$G$6:$G$28,$P106)+INDEX(PARAMETROS_CULTURAS!$H$6:$H$28,$P106),"MEDIA","FINAL"))))</f>
        <v>MEDIA</v>
      </c>
      <c r="R106" s="24" t="n">
        <f aca="false">IF($P106=0,0,IF($O106&lt;=INDEX(PARAMETROS_CULTURAS!$F$6:$F$28,$P106),INDEX(PARAMETROS_CULTURAS!$K$6:$K$28,$P106),IF($O106&lt;=INDEX(PARAMETROS_CULTURAS!$F$6:$F$28,$P106)+INDEX(PARAMETROS_CULTURAS!$G$6:$G$28,$P106),INDEX(PARAMETROS_CULTURAS!$K$6:$K$28,$P106)+(INDEX(PARAMETROS_CULTURAS!$L$6:$L$28,$P106)-INDEX(PARAMETROS_CULTURAS!$K$6:$K$28,$P106))*($O106-INDEX(PARAMETROS_CULTURAS!$F$6:$F$28,$P106))/MAX(INDEX(PARAMETROS_CULTURAS!$G$6:$G$28,$P106),0.0001),IF($O106&lt;=INDEX(PARAMETROS_CULTURAS!$F$6:$F$28,$P106)+INDEX(PARAMETROS_CULTURAS!$G$6:$G$28,$P106)+INDEX(PARAMETROS_CULTURAS!$H$6:$H$28,$P106),INDEX(PARAMETROS_CULTURAS!$L$6:$L$28,$P106),INDEX(PARAMETROS_CULTURAS!$L$6:$L$28,$P106)+(INDEX(PARAMETROS_CULTURAS!$M$6:$M$28,$P106)-INDEX(PARAMETROS_CULTURAS!$L$6:$L$28,$P106))*($O106-INDEX(PARAMETROS_CULTURAS!$F$6:$F$28,$P106)-INDEX(PARAMETROS_CULTURAS!$G$6:$G$28,$P106)-INDEX(PARAMETROS_CULTURAS!$H$6:$H$28,$P106))/MAX(INDEX(PARAMETROS_CULTURAS!$I$6:$I$28,$P106),0.0001)))))</f>
        <v>1.15</v>
      </c>
      <c r="S106" s="18" t="n">
        <f aca="false">IFERROR(INDEX(SEMANAS!$H$6:$H$71,MATCH($B106,SEMANAS!$B$6:$B$71,0)),0)</f>
        <v>30.9</v>
      </c>
      <c r="T106" s="18" t="n">
        <f aca="false">$R106*$S106</f>
        <v>35.535</v>
      </c>
      <c r="U106" s="18" t="n">
        <f aca="false">IFERROR(INDEX(SEMANAS!$I$6:$I$71,MATCH($B106,SEMANAS!$B$6:$B$71,0)),0)</f>
        <v>12.61</v>
      </c>
      <c r="V106" s="18" t="n">
        <f aca="false">IFERROR(INDEX(SEMANAS!$J$6:$J$71,MATCH($B106,SEMANAS!$B$6:$B$71,0)),0)</f>
        <v>10.088</v>
      </c>
      <c r="W106" s="18" t="n">
        <f aca="false">MAX(0,$T106-$V106)</f>
        <v>25.447</v>
      </c>
      <c r="X106" s="19" t="n">
        <f aca="false">IFERROR(INDEX(CADASTRO_PIVOS!$K$6:$K$41,MATCH($E106,CADASTRO_PIVOS!$B$6:$B$41,0)),EFICIENCIA_PADRAO)</f>
        <v>0.85</v>
      </c>
      <c r="Y106" s="18" t="n">
        <f aca="false">IF($X106&lt;=0,0,$W106/$X106)</f>
        <v>29.9376470588235</v>
      </c>
      <c r="Z106" s="16" t="n">
        <f aca="false">$Y106*$H106*MM_PARA_M3_HA</f>
        <v>30114.2791764706</v>
      </c>
      <c r="AA106" s="18" t="n">
        <f aca="false">IFERROR(INDEX(CADASTRO_PIVOS!$I$6:$I$41,MATCH($E106,CADASTRO_PIVOS!$B$6:$B$41,0)),0)</f>
        <v>718.5</v>
      </c>
      <c r="AB106" s="18" t="n">
        <f aca="false">IF($Z106&lt;=0,0,$Z106/$AA106)</f>
        <v>41.9127058823529</v>
      </c>
      <c r="AC106" s="16" t="n">
        <f aca="false">IFERROR(INDEX(SEMANAS!$K$6:$K$71,MATCH($B106,SEMANAS!$B$6:$B$71,0)),0)</f>
        <v>147</v>
      </c>
      <c r="AD106" s="19" t="n">
        <f aca="false">IF($AC106&lt;=0,0,$AB106/$AC106)</f>
        <v>0.285120448179272</v>
      </c>
      <c r="AE106" s="8" t="str">
        <f aca="false">IF($K106="SEM CULTURA","SEM CULTURA",IF($AA106&lt;=0,"DADO PENDENTE",IF($AD106&gt;LIMITE_CRITICO,"INVIAVEL",IF($AD106&gt;LIMITE_ATENCAO,"CRITICO",IF($AD106&gt;LIMITE_CONFORTAVEL,"ATENCAO","OK")))))</f>
        <v>OK</v>
      </c>
      <c r="AF106" s="8" t="str">
        <f aca="false">$B106&amp;"|"&amp;TEXT($AD106,"0.000000")</f>
        <v>35|0.285120</v>
      </c>
      <c r="AG106" s="18" t="n">
        <f aca="false">IF($K106="SEM CULTURA",0,$T106*$H106)</f>
        <v>3574.46565</v>
      </c>
      <c r="AH106" s="18" t="n">
        <f aca="false">IF($K106="SEM CULTURA",0,$V106*$H106)</f>
        <v>1014.75192</v>
      </c>
      <c r="AI106" s="18" t="n">
        <f aca="false">IF($K106="SEM CULTURA",0,$W106*$H106)</f>
        <v>2559.71373</v>
      </c>
      <c r="AJ106" s="18" t="n">
        <f aca="false">IF($K106="SEM CULTURA",0,$S106*$H106)</f>
        <v>3108.231</v>
      </c>
      <c r="AK106" s="8" t="str">
        <f aca="false">$E106&amp;"|"&amp;TEXT($AD106,"0.000000")</f>
        <v>PV 106|0.285120</v>
      </c>
    </row>
    <row r="107" customFormat="false" ht="15" hidden="false" customHeight="false" outlineLevel="0" collapsed="false">
      <c r="B107" s="16" t="n">
        <v>36</v>
      </c>
      <c r="C107" s="17" t="n">
        <f aca="false">DATA_INICIO_SAFRA+($B107-1)*DIAS_POR_SEMANA</f>
        <v>46510</v>
      </c>
      <c r="D107" s="17" t="n">
        <f aca="false">$C107+DIAS_POR_SEMANA-1</f>
        <v>46516</v>
      </c>
      <c r="E107" s="15" t="s">
        <v>260</v>
      </c>
      <c r="F107" s="8" t="str">
        <f aca="false">IFERROR(INDEX(CADASTRO_PIVOS!$C$6:$C$41,MATCH($E107,CADASTRO_PIVOS!$B$6:$B$41,0)),"?")</f>
        <v>RM02</v>
      </c>
      <c r="G107" s="8" t="str">
        <f aca="false">IFERROR(INDEX(CADASTRO_PIVOS!$D$6:$D$41,MATCH($E107,CADASTRO_PIVOS!$B$6:$B$41,0)),"?")</f>
        <v>TR02</v>
      </c>
      <c r="H107" s="20" t="n">
        <f aca="false">IFERROR(INDEX(CADASTRO_PIVOS!$E$6:$E$41,MATCH($E107,CADASTRO_PIVOS!$B$6:$B$41,0)),0)</f>
        <v>100.59</v>
      </c>
      <c r="I107" s="16" t="n">
        <f aca="false">IFERROR(SUMIFS(ROTACAO_RDM!$B$6:$B$71,ROTACAO_RDM!$D$6:$D$71,$E107,ROTACAO_RDM!$I$6:$I$71,"&lt;="&amp;$C107+INT(DIAS_POR_SEMANA/2),ROTACAO_RDM!$J$6:$J$71,"&gt;="&amp;$C107+INT(DIAS_POR_SEMANA/2)),0)</f>
        <v>11</v>
      </c>
      <c r="J107" s="16" t="n">
        <f aca="false">IFERROR(MATCH($I107,ROTACAO_RDM!$B$6:$B$71,0),0)</f>
        <v>11</v>
      </c>
      <c r="K107" s="8" t="str">
        <f aca="false">IF($J107=0,"SEM CULTURA",INDEX(ROTACAO_RDM!$F$6:$F$71,$J107))</f>
        <v>ALGODAO</v>
      </c>
      <c r="L107" s="8" t="str">
        <f aca="false">IF($J107=0,"",INDEX(ROTACAO_RDM!$G$6:$G$71,$J107))</f>
        <v>FM 911 GLTP</v>
      </c>
      <c r="M107" s="17" t="n">
        <f aca="false">IF($J107=0,"",INDEX(ROTACAO_RDM!$I$6:$I$71,$J107))</f>
        <v>46423</v>
      </c>
      <c r="N107" s="16" t="n">
        <f aca="false">IF($J107=0,0,MAX(0,$C107+INT(DIAS_POR_SEMANA/2)-INDEX(ROTACAO_RDM!$I$6:$I$71,$J107)))</f>
        <v>90</v>
      </c>
      <c r="O107" s="19" t="n">
        <f aca="false">IF($J107=0,0,MIN(1,$N107/MAX(1,INDEX(ROTACAO_RDM!$K$6:$K$71,$J107))))</f>
        <v>0.5</v>
      </c>
      <c r="P107" s="16" t="n">
        <f aca="false">IF($J107=0,0,IFERROR(MATCH(INDEX(ROTACAO_RDM!$N$6:$N$71,$J107),PARAMETROS_CULTURAS!$B$6:$B$28,0),0))</f>
        <v>4</v>
      </c>
      <c r="Q107" s="8" t="str">
        <f aca="false">IF($P107=0,"-",IF($O107&lt;=INDEX(PARAMETROS_CULTURAS!$F$6:$F$28,$P107),"INICIAL",IF($O107&lt;=INDEX(PARAMETROS_CULTURAS!$F$6:$F$28,$P107)+INDEX(PARAMETROS_CULTURAS!$G$6:$G$28,$P107),"DESENVOLVIMENTO",IF($O107&lt;=INDEX(PARAMETROS_CULTURAS!$F$6:$F$28,$P107)+INDEX(PARAMETROS_CULTURAS!$G$6:$G$28,$P107)+INDEX(PARAMETROS_CULTURAS!$H$6:$H$28,$P107),"MEDIA","FINAL"))))</f>
        <v>MEDIA</v>
      </c>
      <c r="R107" s="24" t="n">
        <f aca="false">IF($P107=0,0,IF($O107&lt;=INDEX(PARAMETROS_CULTURAS!$F$6:$F$28,$P107),INDEX(PARAMETROS_CULTURAS!$K$6:$K$28,$P107),IF($O107&lt;=INDEX(PARAMETROS_CULTURAS!$F$6:$F$28,$P107)+INDEX(PARAMETROS_CULTURAS!$G$6:$G$28,$P107),INDEX(PARAMETROS_CULTURAS!$K$6:$K$28,$P107)+(INDEX(PARAMETROS_CULTURAS!$L$6:$L$28,$P107)-INDEX(PARAMETROS_CULTURAS!$K$6:$K$28,$P107))*($O107-INDEX(PARAMETROS_CULTURAS!$F$6:$F$28,$P107))/MAX(INDEX(PARAMETROS_CULTURAS!$G$6:$G$28,$P107),0.0001),IF($O107&lt;=INDEX(PARAMETROS_CULTURAS!$F$6:$F$28,$P107)+INDEX(PARAMETROS_CULTURAS!$G$6:$G$28,$P107)+INDEX(PARAMETROS_CULTURAS!$H$6:$H$28,$P107),INDEX(PARAMETROS_CULTURAS!$L$6:$L$28,$P107),INDEX(PARAMETROS_CULTURAS!$L$6:$L$28,$P107)+(INDEX(PARAMETROS_CULTURAS!$M$6:$M$28,$P107)-INDEX(PARAMETROS_CULTURAS!$L$6:$L$28,$P107))*($O107-INDEX(PARAMETROS_CULTURAS!$F$6:$F$28,$P107)-INDEX(PARAMETROS_CULTURAS!$G$6:$G$28,$P107)-INDEX(PARAMETROS_CULTURAS!$H$6:$H$28,$P107))/MAX(INDEX(PARAMETROS_CULTURAS!$I$6:$I$28,$P107),0.0001)))))</f>
        <v>1.15</v>
      </c>
      <c r="S107" s="18" t="n">
        <f aca="false">IFERROR(INDEX(SEMANAS!$H$6:$H$71,MATCH($B107,SEMANAS!$B$6:$B$71,0)),0)</f>
        <v>29.4</v>
      </c>
      <c r="T107" s="18" t="n">
        <f aca="false">$R107*$S107</f>
        <v>33.81</v>
      </c>
      <c r="U107" s="18" t="n">
        <f aca="false">IFERROR(INDEX(SEMANAS!$I$6:$I$71,MATCH($B107,SEMANAS!$B$6:$B$71,0)),0)</f>
        <v>3.36</v>
      </c>
      <c r="V107" s="18" t="n">
        <f aca="false">IFERROR(INDEX(SEMANAS!$J$6:$J$71,MATCH($B107,SEMANAS!$B$6:$B$71,0)),0)</f>
        <v>2.688</v>
      </c>
      <c r="W107" s="18" t="n">
        <f aca="false">MAX(0,$T107-$V107)</f>
        <v>31.122</v>
      </c>
      <c r="X107" s="19" t="n">
        <f aca="false">IFERROR(INDEX(CADASTRO_PIVOS!$K$6:$K$41,MATCH($E107,CADASTRO_PIVOS!$B$6:$B$41,0)),EFICIENCIA_PADRAO)</f>
        <v>0.85</v>
      </c>
      <c r="Y107" s="18" t="n">
        <f aca="false">IF($X107&lt;=0,0,$W107/$X107)</f>
        <v>36.6141176470588</v>
      </c>
      <c r="Z107" s="16" t="n">
        <f aca="false">$Y107*$H107*MM_PARA_M3_HA</f>
        <v>36830.1409411765</v>
      </c>
      <c r="AA107" s="18" t="n">
        <f aca="false">IFERROR(INDEX(CADASTRO_PIVOS!$I$6:$I$41,MATCH($E107,CADASTRO_PIVOS!$B$6:$B$41,0)),0)</f>
        <v>718.5</v>
      </c>
      <c r="AB107" s="18" t="n">
        <f aca="false">IF($Z107&lt;=0,0,$Z107/$AA107)</f>
        <v>51.2597647058824</v>
      </c>
      <c r="AC107" s="16" t="n">
        <f aca="false">IFERROR(INDEX(SEMANAS!$K$6:$K$71,MATCH($B107,SEMANAS!$B$6:$B$71,0)),0)</f>
        <v>147</v>
      </c>
      <c r="AD107" s="19" t="n">
        <f aca="false">IF($AC107&lt;=0,0,$AB107/$AC107)</f>
        <v>0.348705882352941</v>
      </c>
      <c r="AE107" s="8" t="str">
        <f aca="false">IF($K107="SEM CULTURA","SEM CULTURA",IF($AA107&lt;=0,"DADO PENDENTE",IF($AD107&gt;LIMITE_CRITICO,"INVIAVEL",IF($AD107&gt;LIMITE_ATENCAO,"CRITICO",IF($AD107&gt;LIMITE_CONFORTAVEL,"ATENCAO","OK")))))</f>
        <v>OK</v>
      </c>
      <c r="AF107" s="8" t="str">
        <f aca="false">$B107&amp;"|"&amp;TEXT($AD107,"0.000000")</f>
        <v>36|0.348706</v>
      </c>
      <c r="AG107" s="18" t="n">
        <f aca="false">IF($K107="SEM CULTURA",0,$T107*$H107)</f>
        <v>3400.9479</v>
      </c>
      <c r="AH107" s="18" t="n">
        <f aca="false">IF($K107="SEM CULTURA",0,$V107*$H107)</f>
        <v>270.38592</v>
      </c>
      <c r="AI107" s="18" t="n">
        <f aca="false">IF($K107="SEM CULTURA",0,$W107*$H107)</f>
        <v>3130.56198</v>
      </c>
      <c r="AJ107" s="18" t="n">
        <f aca="false">IF($K107="SEM CULTURA",0,$S107*$H107)</f>
        <v>2957.346</v>
      </c>
      <c r="AK107" s="8" t="str">
        <f aca="false">$E107&amp;"|"&amp;TEXT($AD107,"0.000000")</f>
        <v>PV 106|0.348706</v>
      </c>
    </row>
    <row r="108" customFormat="false" ht="15" hidden="false" customHeight="false" outlineLevel="0" collapsed="false">
      <c r="B108" s="16" t="n">
        <v>37</v>
      </c>
      <c r="C108" s="17" t="n">
        <f aca="false">DATA_INICIO_SAFRA+($B108-1)*DIAS_POR_SEMANA</f>
        <v>46517</v>
      </c>
      <c r="D108" s="17" t="n">
        <f aca="false">$C108+DIAS_POR_SEMANA-1</f>
        <v>46523</v>
      </c>
      <c r="E108" s="15" t="s">
        <v>260</v>
      </c>
      <c r="F108" s="8" t="str">
        <f aca="false">IFERROR(INDEX(CADASTRO_PIVOS!$C$6:$C$41,MATCH($E108,CADASTRO_PIVOS!$B$6:$B$41,0)),"?")</f>
        <v>RM02</v>
      </c>
      <c r="G108" s="8" t="str">
        <f aca="false">IFERROR(INDEX(CADASTRO_PIVOS!$D$6:$D$41,MATCH($E108,CADASTRO_PIVOS!$B$6:$B$41,0)),"?")</f>
        <v>TR02</v>
      </c>
      <c r="H108" s="20" t="n">
        <f aca="false">IFERROR(INDEX(CADASTRO_PIVOS!$E$6:$E$41,MATCH($E108,CADASTRO_PIVOS!$B$6:$B$41,0)),0)</f>
        <v>100.59</v>
      </c>
      <c r="I108" s="16" t="n">
        <f aca="false">IFERROR(SUMIFS(ROTACAO_RDM!$B$6:$B$71,ROTACAO_RDM!$D$6:$D$71,$E108,ROTACAO_RDM!$I$6:$I$71,"&lt;="&amp;$C108+INT(DIAS_POR_SEMANA/2),ROTACAO_RDM!$J$6:$J$71,"&gt;="&amp;$C108+INT(DIAS_POR_SEMANA/2)),0)</f>
        <v>11</v>
      </c>
      <c r="J108" s="16" t="n">
        <f aca="false">IFERROR(MATCH($I108,ROTACAO_RDM!$B$6:$B$71,0),0)</f>
        <v>11</v>
      </c>
      <c r="K108" s="8" t="str">
        <f aca="false">IF($J108=0,"SEM CULTURA",INDEX(ROTACAO_RDM!$F$6:$F$71,$J108))</f>
        <v>ALGODAO</v>
      </c>
      <c r="L108" s="8" t="str">
        <f aca="false">IF($J108=0,"",INDEX(ROTACAO_RDM!$G$6:$G$71,$J108))</f>
        <v>FM 911 GLTP</v>
      </c>
      <c r="M108" s="17" t="n">
        <f aca="false">IF($J108=0,"",INDEX(ROTACAO_RDM!$I$6:$I$71,$J108))</f>
        <v>46423</v>
      </c>
      <c r="N108" s="16" t="n">
        <f aca="false">IF($J108=0,0,MAX(0,$C108+INT(DIAS_POR_SEMANA/2)-INDEX(ROTACAO_RDM!$I$6:$I$71,$J108)))</f>
        <v>97</v>
      </c>
      <c r="O108" s="19" t="n">
        <f aca="false">IF($J108=0,0,MIN(1,$N108/MAX(1,INDEX(ROTACAO_RDM!$K$6:$K$71,$J108))))</f>
        <v>0.538888888888889</v>
      </c>
      <c r="P108" s="16" t="n">
        <f aca="false">IF($J108=0,0,IFERROR(MATCH(INDEX(ROTACAO_RDM!$N$6:$N$71,$J108),PARAMETROS_CULTURAS!$B$6:$B$28,0),0))</f>
        <v>4</v>
      </c>
      <c r="Q108" s="8" t="str">
        <f aca="false">IF($P108=0,"-",IF($O108&lt;=INDEX(PARAMETROS_CULTURAS!$F$6:$F$28,$P108),"INICIAL",IF($O108&lt;=INDEX(PARAMETROS_CULTURAS!$F$6:$F$28,$P108)+INDEX(PARAMETROS_CULTURAS!$G$6:$G$28,$P108),"DESENVOLVIMENTO",IF($O108&lt;=INDEX(PARAMETROS_CULTURAS!$F$6:$F$28,$P108)+INDEX(PARAMETROS_CULTURAS!$G$6:$G$28,$P108)+INDEX(PARAMETROS_CULTURAS!$H$6:$H$28,$P108),"MEDIA","FINAL"))))</f>
        <v>MEDIA</v>
      </c>
      <c r="R108" s="24" t="n">
        <f aca="false">IF($P108=0,0,IF($O108&lt;=INDEX(PARAMETROS_CULTURAS!$F$6:$F$28,$P108),INDEX(PARAMETROS_CULTURAS!$K$6:$K$28,$P108),IF($O108&lt;=INDEX(PARAMETROS_CULTURAS!$F$6:$F$28,$P108)+INDEX(PARAMETROS_CULTURAS!$G$6:$G$28,$P108),INDEX(PARAMETROS_CULTURAS!$K$6:$K$28,$P108)+(INDEX(PARAMETROS_CULTURAS!$L$6:$L$28,$P108)-INDEX(PARAMETROS_CULTURAS!$K$6:$K$28,$P108))*($O108-INDEX(PARAMETROS_CULTURAS!$F$6:$F$28,$P108))/MAX(INDEX(PARAMETROS_CULTURAS!$G$6:$G$28,$P108),0.0001),IF($O108&lt;=INDEX(PARAMETROS_CULTURAS!$F$6:$F$28,$P108)+INDEX(PARAMETROS_CULTURAS!$G$6:$G$28,$P108)+INDEX(PARAMETROS_CULTURAS!$H$6:$H$28,$P108),INDEX(PARAMETROS_CULTURAS!$L$6:$L$28,$P108),INDEX(PARAMETROS_CULTURAS!$L$6:$L$28,$P108)+(INDEX(PARAMETROS_CULTURAS!$M$6:$M$28,$P108)-INDEX(PARAMETROS_CULTURAS!$L$6:$L$28,$P108))*($O108-INDEX(PARAMETROS_CULTURAS!$F$6:$F$28,$P108)-INDEX(PARAMETROS_CULTURAS!$G$6:$G$28,$P108)-INDEX(PARAMETROS_CULTURAS!$H$6:$H$28,$P108))/MAX(INDEX(PARAMETROS_CULTURAS!$I$6:$I$28,$P108),0.0001)))))</f>
        <v>1.15</v>
      </c>
      <c r="S108" s="18" t="n">
        <f aca="false">IFERROR(INDEX(SEMANAS!$H$6:$H$71,MATCH($B108,SEMANAS!$B$6:$B$71,0)),0)</f>
        <v>29.4</v>
      </c>
      <c r="T108" s="18" t="n">
        <f aca="false">$R108*$S108</f>
        <v>33.81</v>
      </c>
      <c r="U108" s="18" t="n">
        <f aca="false">IFERROR(INDEX(SEMANAS!$I$6:$I$71,MATCH($B108,SEMANAS!$B$6:$B$71,0)),0)</f>
        <v>3.36</v>
      </c>
      <c r="V108" s="18" t="n">
        <f aca="false">IFERROR(INDEX(SEMANAS!$J$6:$J$71,MATCH($B108,SEMANAS!$B$6:$B$71,0)),0)</f>
        <v>2.688</v>
      </c>
      <c r="W108" s="18" t="n">
        <f aca="false">MAX(0,$T108-$V108)</f>
        <v>31.122</v>
      </c>
      <c r="X108" s="19" t="n">
        <f aca="false">IFERROR(INDEX(CADASTRO_PIVOS!$K$6:$K$41,MATCH($E108,CADASTRO_PIVOS!$B$6:$B$41,0)),EFICIENCIA_PADRAO)</f>
        <v>0.85</v>
      </c>
      <c r="Y108" s="18" t="n">
        <f aca="false">IF($X108&lt;=0,0,$W108/$X108)</f>
        <v>36.6141176470588</v>
      </c>
      <c r="Z108" s="16" t="n">
        <f aca="false">$Y108*$H108*MM_PARA_M3_HA</f>
        <v>36830.1409411765</v>
      </c>
      <c r="AA108" s="18" t="n">
        <f aca="false">IFERROR(INDEX(CADASTRO_PIVOS!$I$6:$I$41,MATCH($E108,CADASTRO_PIVOS!$B$6:$B$41,0)),0)</f>
        <v>718.5</v>
      </c>
      <c r="AB108" s="18" t="n">
        <f aca="false">IF($Z108&lt;=0,0,$Z108/$AA108)</f>
        <v>51.2597647058824</v>
      </c>
      <c r="AC108" s="16" t="n">
        <f aca="false">IFERROR(INDEX(SEMANAS!$K$6:$K$71,MATCH($B108,SEMANAS!$B$6:$B$71,0)),0)</f>
        <v>147</v>
      </c>
      <c r="AD108" s="19" t="n">
        <f aca="false">IF($AC108&lt;=0,0,$AB108/$AC108)</f>
        <v>0.348705882352941</v>
      </c>
      <c r="AE108" s="8" t="str">
        <f aca="false">IF($K108="SEM CULTURA","SEM CULTURA",IF($AA108&lt;=0,"DADO PENDENTE",IF($AD108&gt;LIMITE_CRITICO,"INVIAVEL",IF($AD108&gt;LIMITE_ATENCAO,"CRITICO",IF($AD108&gt;LIMITE_CONFORTAVEL,"ATENCAO","OK")))))</f>
        <v>OK</v>
      </c>
      <c r="AF108" s="8" t="str">
        <f aca="false">$B108&amp;"|"&amp;TEXT($AD108,"0.000000")</f>
        <v>37|0.348706</v>
      </c>
      <c r="AG108" s="18" t="n">
        <f aca="false">IF($K108="SEM CULTURA",0,$T108*$H108)</f>
        <v>3400.9479</v>
      </c>
      <c r="AH108" s="18" t="n">
        <f aca="false">IF($K108="SEM CULTURA",0,$V108*$H108)</f>
        <v>270.38592</v>
      </c>
      <c r="AI108" s="18" t="n">
        <f aca="false">IF($K108="SEM CULTURA",0,$W108*$H108)</f>
        <v>3130.56198</v>
      </c>
      <c r="AJ108" s="18" t="n">
        <f aca="false">IF($K108="SEM CULTURA",0,$S108*$H108)</f>
        <v>2957.346</v>
      </c>
      <c r="AK108" s="8" t="str">
        <f aca="false">$E108&amp;"|"&amp;TEXT($AD108,"0.000000")</f>
        <v>PV 106|0.348706</v>
      </c>
    </row>
    <row r="109" customFormat="false" ht="15" hidden="false" customHeight="false" outlineLevel="0" collapsed="false">
      <c r="B109" s="16" t="n">
        <v>38</v>
      </c>
      <c r="C109" s="17" t="n">
        <f aca="false">DATA_INICIO_SAFRA+($B109-1)*DIAS_POR_SEMANA</f>
        <v>46524</v>
      </c>
      <c r="D109" s="17" t="n">
        <f aca="false">$C109+DIAS_POR_SEMANA-1</f>
        <v>46530</v>
      </c>
      <c r="E109" s="15" t="s">
        <v>260</v>
      </c>
      <c r="F109" s="8" t="str">
        <f aca="false">IFERROR(INDEX(CADASTRO_PIVOS!$C$6:$C$41,MATCH($E109,CADASTRO_PIVOS!$B$6:$B$41,0)),"?")</f>
        <v>RM02</v>
      </c>
      <c r="G109" s="8" t="str">
        <f aca="false">IFERROR(INDEX(CADASTRO_PIVOS!$D$6:$D$41,MATCH($E109,CADASTRO_PIVOS!$B$6:$B$41,0)),"?")</f>
        <v>TR02</v>
      </c>
      <c r="H109" s="20" t="n">
        <f aca="false">IFERROR(INDEX(CADASTRO_PIVOS!$E$6:$E$41,MATCH($E109,CADASTRO_PIVOS!$B$6:$B$41,0)),0)</f>
        <v>100.59</v>
      </c>
      <c r="I109" s="16" t="n">
        <f aca="false">IFERROR(SUMIFS(ROTACAO_RDM!$B$6:$B$71,ROTACAO_RDM!$D$6:$D$71,$E109,ROTACAO_RDM!$I$6:$I$71,"&lt;="&amp;$C109+INT(DIAS_POR_SEMANA/2),ROTACAO_RDM!$J$6:$J$71,"&gt;="&amp;$C109+INT(DIAS_POR_SEMANA/2)),0)</f>
        <v>11</v>
      </c>
      <c r="J109" s="16" t="n">
        <f aca="false">IFERROR(MATCH($I109,ROTACAO_RDM!$B$6:$B$71,0),0)</f>
        <v>11</v>
      </c>
      <c r="K109" s="8" t="str">
        <f aca="false">IF($J109=0,"SEM CULTURA",INDEX(ROTACAO_RDM!$F$6:$F$71,$J109))</f>
        <v>ALGODAO</v>
      </c>
      <c r="L109" s="8" t="str">
        <f aca="false">IF($J109=0,"",INDEX(ROTACAO_RDM!$G$6:$G$71,$J109))</f>
        <v>FM 911 GLTP</v>
      </c>
      <c r="M109" s="17" t="n">
        <f aca="false">IF($J109=0,"",INDEX(ROTACAO_RDM!$I$6:$I$71,$J109))</f>
        <v>46423</v>
      </c>
      <c r="N109" s="16" t="n">
        <f aca="false">IF($J109=0,0,MAX(0,$C109+INT(DIAS_POR_SEMANA/2)-INDEX(ROTACAO_RDM!$I$6:$I$71,$J109)))</f>
        <v>104</v>
      </c>
      <c r="O109" s="19" t="n">
        <f aca="false">IF($J109=0,0,MIN(1,$N109/MAX(1,INDEX(ROTACAO_RDM!$K$6:$K$71,$J109))))</f>
        <v>0.577777777777778</v>
      </c>
      <c r="P109" s="16" t="n">
        <f aca="false">IF($J109=0,0,IFERROR(MATCH(INDEX(ROTACAO_RDM!$N$6:$N$71,$J109),PARAMETROS_CULTURAS!$B$6:$B$28,0),0))</f>
        <v>4</v>
      </c>
      <c r="Q109" s="8" t="str">
        <f aca="false">IF($P109=0,"-",IF($O109&lt;=INDEX(PARAMETROS_CULTURAS!$F$6:$F$28,$P109),"INICIAL",IF($O109&lt;=INDEX(PARAMETROS_CULTURAS!$F$6:$F$28,$P109)+INDEX(PARAMETROS_CULTURAS!$G$6:$G$28,$P109),"DESENVOLVIMENTO",IF($O109&lt;=INDEX(PARAMETROS_CULTURAS!$F$6:$F$28,$P109)+INDEX(PARAMETROS_CULTURAS!$G$6:$G$28,$P109)+INDEX(PARAMETROS_CULTURAS!$H$6:$H$28,$P109),"MEDIA","FINAL"))))</f>
        <v>MEDIA</v>
      </c>
      <c r="R109" s="24" t="n">
        <f aca="false">IF($P109=0,0,IF($O109&lt;=INDEX(PARAMETROS_CULTURAS!$F$6:$F$28,$P109),INDEX(PARAMETROS_CULTURAS!$K$6:$K$28,$P109),IF($O109&lt;=INDEX(PARAMETROS_CULTURAS!$F$6:$F$28,$P109)+INDEX(PARAMETROS_CULTURAS!$G$6:$G$28,$P109),INDEX(PARAMETROS_CULTURAS!$K$6:$K$28,$P109)+(INDEX(PARAMETROS_CULTURAS!$L$6:$L$28,$P109)-INDEX(PARAMETROS_CULTURAS!$K$6:$K$28,$P109))*($O109-INDEX(PARAMETROS_CULTURAS!$F$6:$F$28,$P109))/MAX(INDEX(PARAMETROS_CULTURAS!$G$6:$G$28,$P109),0.0001),IF($O109&lt;=INDEX(PARAMETROS_CULTURAS!$F$6:$F$28,$P109)+INDEX(PARAMETROS_CULTURAS!$G$6:$G$28,$P109)+INDEX(PARAMETROS_CULTURAS!$H$6:$H$28,$P109),INDEX(PARAMETROS_CULTURAS!$L$6:$L$28,$P109),INDEX(PARAMETROS_CULTURAS!$L$6:$L$28,$P109)+(INDEX(PARAMETROS_CULTURAS!$M$6:$M$28,$P109)-INDEX(PARAMETROS_CULTURAS!$L$6:$L$28,$P109))*($O109-INDEX(PARAMETROS_CULTURAS!$F$6:$F$28,$P109)-INDEX(PARAMETROS_CULTURAS!$G$6:$G$28,$P109)-INDEX(PARAMETROS_CULTURAS!$H$6:$H$28,$P109))/MAX(INDEX(PARAMETROS_CULTURAS!$I$6:$I$28,$P109),0.0001)))))</f>
        <v>1.15</v>
      </c>
      <c r="S109" s="18" t="n">
        <f aca="false">IFERROR(INDEX(SEMANAS!$H$6:$H$71,MATCH($B109,SEMANAS!$B$6:$B$71,0)),0)</f>
        <v>29.4</v>
      </c>
      <c r="T109" s="18" t="n">
        <f aca="false">$R109*$S109</f>
        <v>33.81</v>
      </c>
      <c r="U109" s="18" t="n">
        <f aca="false">IFERROR(INDEX(SEMANAS!$I$6:$I$71,MATCH($B109,SEMANAS!$B$6:$B$71,0)),0)</f>
        <v>3.36</v>
      </c>
      <c r="V109" s="18" t="n">
        <f aca="false">IFERROR(INDEX(SEMANAS!$J$6:$J$71,MATCH($B109,SEMANAS!$B$6:$B$71,0)),0)</f>
        <v>2.688</v>
      </c>
      <c r="W109" s="18" t="n">
        <f aca="false">MAX(0,$T109-$V109)</f>
        <v>31.122</v>
      </c>
      <c r="X109" s="19" t="n">
        <f aca="false">IFERROR(INDEX(CADASTRO_PIVOS!$K$6:$K$41,MATCH($E109,CADASTRO_PIVOS!$B$6:$B$41,0)),EFICIENCIA_PADRAO)</f>
        <v>0.85</v>
      </c>
      <c r="Y109" s="18" t="n">
        <f aca="false">IF($X109&lt;=0,0,$W109/$X109)</f>
        <v>36.6141176470588</v>
      </c>
      <c r="Z109" s="16" t="n">
        <f aca="false">$Y109*$H109*MM_PARA_M3_HA</f>
        <v>36830.1409411765</v>
      </c>
      <c r="AA109" s="18" t="n">
        <f aca="false">IFERROR(INDEX(CADASTRO_PIVOS!$I$6:$I$41,MATCH($E109,CADASTRO_PIVOS!$B$6:$B$41,0)),0)</f>
        <v>718.5</v>
      </c>
      <c r="AB109" s="18" t="n">
        <f aca="false">IF($Z109&lt;=0,0,$Z109/$AA109)</f>
        <v>51.2597647058824</v>
      </c>
      <c r="AC109" s="16" t="n">
        <f aca="false">IFERROR(INDEX(SEMANAS!$K$6:$K$71,MATCH($B109,SEMANAS!$B$6:$B$71,0)),0)</f>
        <v>147</v>
      </c>
      <c r="AD109" s="19" t="n">
        <f aca="false">IF($AC109&lt;=0,0,$AB109/$AC109)</f>
        <v>0.348705882352941</v>
      </c>
      <c r="AE109" s="8" t="str">
        <f aca="false">IF($K109="SEM CULTURA","SEM CULTURA",IF($AA109&lt;=0,"DADO PENDENTE",IF($AD109&gt;LIMITE_CRITICO,"INVIAVEL",IF($AD109&gt;LIMITE_ATENCAO,"CRITICO",IF($AD109&gt;LIMITE_CONFORTAVEL,"ATENCAO","OK")))))</f>
        <v>OK</v>
      </c>
      <c r="AF109" s="8" t="str">
        <f aca="false">$B109&amp;"|"&amp;TEXT($AD109,"0.000000")</f>
        <v>38|0.348706</v>
      </c>
      <c r="AG109" s="18" t="n">
        <f aca="false">IF($K109="SEM CULTURA",0,$T109*$H109)</f>
        <v>3400.9479</v>
      </c>
      <c r="AH109" s="18" t="n">
        <f aca="false">IF($K109="SEM CULTURA",0,$V109*$H109)</f>
        <v>270.38592</v>
      </c>
      <c r="AI109" s="18" t="n">
        <f aca="false">IF($K109="SEM CULTURA",0,$W109*$H109)</f>
        <v>3130.56198</v>
      </c>
      <c r="AJ109" s="18" t="n">
        <f aca="false">IF($K109="SEM CULTURA",0,$S109*$H109)</f>
        <v>2957.346</v>
      </c>
      <c r="AK109" s="8" t="str">
        <f aca="false">$E109&amp;"|"&amp;TEXT($AD109,"0.000000")</f>
        <v>PV 106|0.348706</v>
      </c>
    </row>
    <row r="110" customFormat="false" ht="15" hidden="false" customHeight="false" outlineLevel="0" collapsed="false">
      <c r="B110" s="16" t="n">
        <v>39</v>
      </c>
      <c r="C110" s="17" t="n">
        <f aca="false">DATA_INICIO_SAFRA+($B110-1)*DIAS_POR_SEMANA</f>
        <v>46531</v>
      </c>
      <c r="D110" s="17" t="n">
        <f aca="false">$C110+DIAS_POR_SEMANA-1</f>
        <v>46537</v>
      </c>
      <c r="E110" s="15" t="s">
        <v>260</v>
      </c>
      <c r="F110" s="8" t="str">
        <f aca="false">IFERROR(INDEX(CADASTRO_PIVOS!$C$6:$C$41,MATCH($E110,CADASTRO_PIVOS!$B$6:$B$41,0)),"?")</f>
        <v>RM02</v>
      </c>
      <c r="G110" s="8" t="str">
        <f aca="false">IFERROR(INDEX(CADASTRO_PIVOS!$D$6:$D$41,MATCH($E110,CADASTRO_PIVOS!$B$6:$B$41,0)),"?")</f>
        <v>TR02</v>
      </c>
      <c r="H110" s="20" t="n">
        <f aca="false">IFERROR(INDEX(CADASTRO_PIVOS!$E$6:$E$41,MATCH($E110,CADASTRO_PIVOS!$B$6:$B$41,0)),0)</f>
        <v>100.59</v>
      </c>
      <c r="I110" s="16" t="n">
        <f aca="false">IFERROR(SUMIFS(ROTACAO_RDM!$B$6:$B$71,ROTACAO_RDM!$D$6:$D$71,$E110,ROTACAO_RDM!$I$6:$I$71,"&lt;="&amp;$C110+INT(DIAS_POR_SEMANA/2),ROTACAO_RDM!$J$6:$J$71,"&gt;="&amp;$C110+INT(DIAS_POR_SEMANA/2)),0)</f>
        <v>11</v>
      </c>
      <c r="J110" s="16" t="n">
        <f aca="false">IFERROR(MATCH($I110,ROTACAO_RDM!$B$6:$B$71,0),0)</f>
        <v>11</v>
      </c>
      <c r="K110" s="8" t="str">
        <f aca="false">IF($J110=0,"SEM CULTURA",INDEX(ROTACAO_RDM!$F$6:$F$71,$J110))</f>
        <v>ALGODAO</v>
      </c>
      <c r="L110" s="8" t="str">
        <f aca="false">IF($J110=0,"",INDEX(ROTACAO_RDM!$G$6:$G$71,$J110))</f>
        <v>FM 911 GLTP</v>
      </c>
      <c r="M110" s="17" t="n">
        <f aca="false">IF($J110=0,"",INDEX(ROTACAO_RDM!$I$6:$I$71,$J110))</f>
        <v>46423</v>
      </c>
      <c r="N110" s="16" t="n">
        <f aca="false">IF($J110=0,0,MAX(0,$C110+INT(DIAS_POR_SEMANA/2)-INDEX(ROTACAO_RDM!$I$6:$I$71,$J110)))</f>
        <v>111</v>
      </c>
      <c r="O110" s="19" t="n">
        <f aca="false">IF($J110=0,0,MIN(1,$N110/MAX(1,INDEX(ROTACAO_RDM!$K$6:$K$71,$J110))))</f>
        <v>0.616666666666667</v>
      </c>
      <c r="P110" s="16" t="n">
        <f aca="false">IF($J110=0,0,IFERROR(MATCH(INDEX(ROTACAO_RDM!$N$6:$N$71,$J110),PARAMETROS_CULTURAS!$B$6:$B$28,0),0))</f>
        <v>4</v>
      </c>
      <c r="Q110" s="8" t="str">
        <f aca="false">IF($P110=0,"-",IF($O110&lt;=INDEX(PARAMETROS_CULTURAS!$F$6:$F$28,$P110),"INICIAL",IF($O110&lt;=INDEX(PARAMETROS_CULTURAS!$F$6:$F$28,$P110)+INDEX(PARAMETROS_CULTURAS!$G$6:$G$28,$P110),"DESENVOLVIMENTO",IF($O110&lt;=INDEX(PARAMETROS_CULTURAS!$F$6:$F$28,$P110)+INDEX(PARAMETROS_CULTURAS!$G$6:$G$28,$P110)+INDEX(PARAMETROS_CULTURAS!$H$6:$H$28,$P110),"MEDIA","FINAL"))))</f>
        <v>MEDIA</v>
      </c>
      <c r="R110" s="24" t="n">
        <f aca="false">IF($P110=0,0,IF($O110&lt;=INDEX(PARAMETROS_CULTURAS!$F$6:$F$28,$P110),INDEX(PARAMETROS_CULTURAS!$K$6:$K$28,$P110),IF($O110&lt;=INDEX(PARAMETROS_CULTURAS!$F$6:$F$28,$P110)+INDEX(PARAMETROS_CULTURAS!$G$6:$G$28,$P110),INDEX(PARAMETROS_CULTURAS!$K$6:$K$28,$P110)+(INDEX(PARAMETROS_CULTURAS!$L$6:$L$28,$P110)-INDEX(PARAMETROS_CULTURAS!$K$6:$K$28,$P110))*($O110-INDEX(PARAMETROS_CULTURAS!$F$6:$F$28,$P110))/MAX(INDEX(PARAMETROS_CULTURAS!$G$6:$G$28,$P110),0.0001),IF($O110&lt;=INDEX(PARAMETROS_CULTURAS!$F$6:$F$28,$P110)+INDEX(PARAMETROS_CULTURAS!$G$6:$G$28,$P110)+INDEX(PARAMETROS_CULTURAS!$H$6:$H$28,$P110),INDEX(PARAMETROS_CULTURAS!$L$6:$L$28,$P110),INDEX(PARAMETROS_CULTURAS!$L$6:$L$28,$P110)+(INDEX(PARAMETROS_CULTURAS!$M$6:$M$28,$P110)-INDEX(PARAMETROS_CULTURAS!$L$6:$L$28,$P110))*($O110-INDEX(PARAMETROS_CULTURAS!$F$6:$F$28,$P110)-INDEX(PARAMETROS_CULTURAS!$G$6:$G$28,$P110)-INDEX(PARAMETROS_CULTURAS!$H$6:$H$28,$P110))/MAX(INDEX(PARAMETROS_CULTURAS!$I$6:$I$28,$P110),0.0001)))))</f>
        <v>1.15</v>
      </c>
      <c r="S110" s="18" t="n">
        <f aca="false">IFERROR(INDEX(SEMANAS!$H$6:$H$71,MATCH($B110,SEMANAS!$B$6:$B$71,0)),0)</f>
        <v>29.4</v>
      </c>
      <c r="T110" s="18" t="n">
        <f aca="false">$R110*$S110</f>
        <v>33.81</v>
      </c>
      <c r="U110" s="18" t="n">
        <f aca="false">IFERROR(INDEX(SEMANAS!$I$6:$I$71,MATCH($B110,SEMANAS!$B$6:$B$71,0)),0)</f>
        <v>3.36</v>
      </c>
      <c r="V110" s="18" t="n">
        <f aca="false">IFERROR(INDEX(SEMANAS!$J$6:$J$71,MATCH($B110,SEMANAS!$B$6:$B$71,0)),0)</f>
        <v>2.688</v>
      </c>
      <c r="W110" s="18" t="n">
        <f aca="false">MAX(0,$T110-$V110)</f>
        <v>31.122</v>
      </c>
      <c r="X110" s="19" t="n">
        <f aca="false">IFERROR(INDEX(CADASTRO_PIVOS!$K$6:$K$41,MATCH($E110,CADASTRO_PIVOS!$B$6:$B$41,0)),EFICIENCIA_PADRAO)</f>
        <v>0.85</v>
      </c>
      <c r="Y110" s="18" t="n">
        <f aca="false">IF($X110&lt;=0,0,$W110/$X110)</f>
        <v>36.6141176470588</v>
      </c>
      <c r="Z110" s="16" t="n">
        <f aca="false">$Y110*$H110*MM_PARA_M3_HA</f>
        <v>36830.1409411765</v>
      </c>
      <c r="AA110" s="18" t="n">
        <f aca="false">IFERROR(INDEX(CADASTRO_PIVOS!$I$6:$I$41,MATCH($E110,CADASTRO_PIVOS!$B$6:$B$41,0)),0)</f>
        <v>718.5</v>
      </c>
      <c r="AB110" s="18" t="n">
        <f aca="false">IF($Z110&lt;=0,0,$Z110/$AA110)</f>
        <v>51.2597647058824</v>
      </c>
      <c r="AC110" s="16" t="n">
        <f aca="false">IFERROR(INDEX(SEMANAS!$K$6:$K$71,MATCH($B110,SEMANAS!$B$6:$B$71,0)),0)</f>
        <v>147</v>
      </c>
      <c r="AD110" s="19" t="n">
        <f aca="false">IF($AC110&lt;=0,0,$AB110/$AC110)</f>
        <v>0.348705882352941</v>
      </c>
      <c r="AE110" s="8" t="str">
        <f aca="false">IF($K110="SEM CULTURA","SEM CULTURA",IF($AA110&lt;=0,"DADO PENDENTE",IF($AD110&gt;LIMITE_CRITICO,"INVIAVEL",IF($AD110&gt;LIMITE_ATENCAO,"CRITICO",IF($AD110&gt;LIMITE_CONFORTAVEL,"ATENCAO","OK")))))</f>
        <v>OK</v>
      </c>
      <c r="AF110" s="8" t="str">
        <f aca="false">$B110&amp;"|"&amp;TEXT($AD110,"0.000000")</f>
        <v>39|0.348706</v>
      </c>
      <c r="AG110" s="18" t="n">
        <f aca="false">IF($K110="SEM CULTURA",0,$T110*$H110)</f>
        <v>3400.9479</v>
      </c>
      <c r="AH110" s="18" t="n">
        <f aca="false">IF($K110="SEM CULTURA",0,$V110*$H110)</f>
        <v>270.38592</v>
      </c>
      <c r="AI110" s="18" t="n">
        <f aca="false">IF($K110="SEM CULTURA",0,$W110*$H110)</f>
        <v>3130.56198</v>
      </c>
      <c r="AJ110" s="18" t="n">
        <f aca="false">IF($K110="SEM CULTURA",0,$S110*$H110)</f>
        <v>2957.346</v>
      </c>
      <c r="AK110" s="8" t="str">
        <f aca="false">$E110&amp;"|"&amp;TEXT($AD110,"0.000000")</f>
        <v>PV 106|0.348706</v>
      </c>
    </row>
    <row r="111" customFormat="false" ht="15" hidden="false" customHeight="false" outlineLevel="0" collapsed="false">
      <c r="B111" s="16" t="n">
        <v>40</v>
      </c>
      <c r="C111" s="17" t="n">
        <f aca="false">DATA_INICIO_SAFRA+($B111-1)*DIAS_POR_SEMANA</f>
        <v>46538</v>
      </c>
      <c r="D111" s="17" t="n">
        <f aca="false">$C111+DIAS_POR_SEMANA-1</f>
        <v>46544</v>
      </c>
      <c r="E111" s="15" t="s">
        <v>260</v>
      </c>
      <c r="F111" s="8" t="str">
        <f aca="false">IFERROR(INDEX(CADASTRO_PIVOS!$C$6:$C$41,MATCH($E111,CADASTRO_PIVOS!$B$6:$B$41,0)),"?")</f>
        <v>RM02</v>
      </c>
      <c r="G111" s="8" t="str">
        <f aca="false">IFERROR(INDEX(CADASTRO_PIVOS!$D$6:$D$41,MATCH($E111,CADASTRO_PIVOS!$B$6:$B$41,0)),"?")</f>
        <v>TR02</v>
      </c>
      <c r="H111" s="20" t="n">
        <f aca="false">IFERROR(INDEX(CADASTRO_PIVOS!$E$6:$E$41,MATCH($E111,CADASTRO_PIVOS!$B$6:$B$41,0)),0)</f>
        <v>100.59</v>
      </c>
      <c r="I111" s="16" t="n">
        <f aca="false">IFERROR(SUMIFS(ROTACAO_RDM!$B$6:$B$71,ROTACAO_RDM!$D$6:$D$71,$E111,ROTACAO_RDM!$I$6:$I$71,"&lt;="&amp;$C111+INT(DIAS_POR_SEMANA/2),ROTACAO_RDM!$J$6:$J$71,"&gt;="&amp;$C111+INT(DIAS_POR_SEMANA/2)),0)</f>
        <v>11</v>
      </c>
      <c r="J111" s="16" t="n">
        <f aca="false">IFERROR(MATCH($I111,ROTACAO_RDM!$B$6:$B$71,0),0)</f>
        <v>11</v>
      </c>
      <c r="K111" s="8" t="str">
        <f aca="false">IF($J111=0,"SEM CULTURA",INDEX(ROTACAO_RDM!$F$6:$F$71,$J111))</f>
        <v>ALGODAO</v>
      </c>
      <c r="L111" s="8" t="str">
        <f aca="false">IF($J111=0,"",INDEX(ROTACAO_RDM!$G$6:$G$71,$J111))</f>
        <v>FM 911 GLTP</v>
      </c>
      <c r="M111" s="17" t="n">
        <f aca="false">IF($J111=0,"",INDEX(ROTACAO_RDM!$I$6:$I$71,$J111))</f>
        <v>46423</v>
      </c>
      <c r="N111" s="16" t="n">
        <f aca="false">IF($J111=0,0,MAX(0,$C111+INT(DIAS_POR_SEMANA/2)-INDEX(ROTACAO_RDM!$I$6:$I$71,$J111)))</f>
        <v>118</v>
      </c>
      <c r="O111" s="19" t="n">
        <f aca="false">IF($J111=0,0,MIN(1,$N111/MAX(1,INDEX(ROTACAO_RDM!$K$6:$K$71,$J111))))</f>
        <v>0.655555555555556</v>
      </c>
      <c r="P111" s="16" t="n">
        <f aca="false">IF($J111=0,0,IFERROR(MATCH(INDEX(ROTACAO_RDM!$N$6:$N$71,$J111),PARAMETROS_CULTURAS!$B$6:$B$28,0),0))</f>
        <v>4</v>
      </c>
      <c r="Q111" s="8" t="str">
        <f aca="false">IF($P111=0,"-",IF($O111&lt;=INDEX(PARAMETROS_CULTURAS!$F$6:$F$28,$P111),"INICIAL",IF($O111&lt;=INDEX(PARAMETROS_CULTURAS!$F$6:$F$28,$P111)+INDEX(PARAMETROS_CULTURAS!$G$6:$G$28,$P111),"DESENVOLVIMENTO",IF($O111&lt;=INDEX(PARAMETROS_CULTURAS!$F$6:$F$28,$P111)+INDEX(PARAMETROS_CULTURAS!$G$6:$G$28,$P111)+INDEX(PARAMETROS_CULTURAS!$H$6:$H$28,$P111),"MEDIA","FINAL"))))</f>
        <v>MEDIA</v>
      </c>
      <c r="R111" s="24" t="n">
        <f aca="false">IF($P111=0,0,IF($O111&lt;=INDEX(PARAMETROS_CULTURAS!$F$6:$F$28,$P111),INDEX(PARAMETROS_CULTURAS!$K$6:$K$28,$P111),IF($O111&lt;=INDEX(PARAMETROS_CULTURAS!$F$6:$F$28,$P111)+INDEX(PARAMETROS_CULTURAS!$G$6:$G$28,$P111),INDEX(PARAMETROS_CULTURAS!$K$6:$K$28,$P111)+(INDEX(PARAMETROS_CULTURAS!$L$6:$L$28,$P111)-INDEX(PARAMETROS_CULTURAS!$K$6:$K$28,$P111))*($O111-INDEX(PARAMETROS_CULTURAS!$F$6:$F$28,$P111))/MAX(INDEX(PARAMETROS_CULTURAS!$G$6:$G$28,$P111),0.0001),IF($O111&lt;=INDEX(PARAMETROS_CULTURAS!$F$6:$F$28,$P111)+INDEX(PARAMETROS_CULTURAS!$G$6:$G$28,$P111)+INDEX(PARAMETROS_CULTURAS!$H$6:$H$28,$P111),INDEX(PARAMETROS_CULTURAS!$L$6:$L$28,$P111),INDEX(PARAMETROS_CULTURAS!$L$6:$L$28,$P111)+(INDEX(PARAMETROS_CULTURAS!$M$6:$M$28,$P111)-INDEX(PARAMETROS_CULTURAS!$L$6:$L$28,$P111))*($O111-INDEX(PARAMETROS_CULTURAS!$F$6:$F$28,$P111)-INDEX(PARAMETROS_CULTURAS!$G$6:$G$28,$P111)-INDEX(PARAMETROS_CULTURAS!$H$6:$H$28,$P111))/MAX(INDEX(PARAMETROS_CULTURAS!$I$6:$I$28,$P111),0.0001)))))</f>
        <v>1.15</v>
      </c>
      <c r="S111" s="18" t="n">
        <f aca="false">IFERROR(INDEX(SEMANAS!$H$6:$H$71,MATCH($B111,SEMANAS!$B$6:$B$71,0)),0)</f>
        <v>28.2</v>
      </c>
      <c r="T111" s="18" t="n">
        <f aca="false">$R111*$S111</f>
        <v>32.43</v>
      </c>
      <c r="U111" s="18" t="n">
        <f aca="false">IFERROR(INDEX(SEMANAS!$I$6:$I$71,MATCH($B111,SEMANAS!$B$6:$B$71,0)),0)</f>
        <v>1.5</v>
      </c>
      <c r="V111" s="18" t="n">
        <f aca="false">IFERROR(INDEX(SEMANAS!$J$6:$J$71,MATCH($B111,SEMANAS!$B$6:$B$71,0)),0)</f>
        <v>1.2</v>
      </c>
      <c r="W111" s="18" t="n">
        <f aca="false">MAX(0,$T111-$V111)</f>
        <v>31.23</v>
      </c>
      <c r="X111" s="19" t="n">
        <f aca="false">IFERROR(INDEX(CADASTRO_PIVOS!$K$6:$K$41,MATCH($E111,CADASTRO_PIVOS!$B$6:$B$41,0)),EFICIENCIA_PADRAO)</f>
        <v>0.85</v>
      </c>
      <c r="Y111" s="18" t="n">
        <f aca="false">IF($X111&lt;=0,0,$W111/$X111)</f>
        <v>36.7411764705882</v>
      </c>
      <c r="Z111" s="16" t="n">
        <f aca="false">$Y111*$H111*MM_PARA_M3_HA</f>
        <v>36957.9494117647</v>
      </c>
      <c r="AA111" s="18" t="n">
        <f aca="false">IFERROR(INDEX(CADASTRO_PIVOS!$I$6:$I$41,MATCH($E111,CADASTRO_PIVOS!$B$6:$B$41,0)),0)</f>
        <v>718.5</v>
      </c>
      <c r="AB111" s="18" t="n">
        <f aca="false">IF($Z111&lt;=0,0,$Z111/$AA111)</f>
        <v>51.4376470588235</v>
      </c>
      <c r="AC111" s="16" t="n">
        <f aca="false">IFERROR(INDEX(SEMANAS!$K$6:$K$71,MATCH($B111,SEMANAS!$B$6:$B$71,0)),0)</f>
        <v>147</v>
      </c>
      <c r="AD111" s="19" t="n">
        <f aca="false">IF($AC111&lt;=0,0,$AB111/$AC111)</f>
        <v>0.349915966386555</v>
      </c>
      <c r="AE111" s="8" t="str">
        <f aca="false">IF($K111="SEM CULTURA","SEM CULTURA",IF($AA111&lt;=0,"DADO PENDENTE",IF($AD111&gt;LIMITE_CRITICO,"INVIAVEL",IF($AD111&gt;LIMITE_ATENCAO,"CRITICO",IF($AD111&gt;LIMITE_CONFORTAVEL,"ATENCAO","OK")))))</f>
        <v>OK</v>
      </c>
      <c r="AF111" s="8" t="str">
        <f aca="false">$B111&amp;"|"&amp;TEXT($AD111,"0.000000")</f>
        <v>40|0.349916</v>
      </c>
      <c r="AG111" s="18" t="n">
        <f aca="false">IF($K111="SEM CULTURA",0,$T111*$H111)</f>
        <v>3262.1337</v>
      </c>
      <c r="AH111" s="18" t="n">
        <f aca="false">IF($K111="SEM CULTURA",0,$V111*$H111)</f>
        <v>120.708</v>
      </c>
      <c r="AI111" s="18" t="n">
        <f aca="false">IF($K111="SEM CULTURA",0,$W111*$H111)</f>
        <v>3141.4257</v>
      </c>
      <c r="AJ111" s="18" t="n">
        <f aca="false">IF($K111="SEM CULTURA",0,$S111*$H111)</f>
        <v>2836.638</v>
      </c>
      <c r="AK111" s="8" t="str">
        <f aca="false">$E111&amp;"|"&amp;TEXT($AD111,"0.000000")</f>
        <v>PV 106|0.349916</v>
      </c>
    </row>
    <row r="112" customFormat="false" ht="15" hidden="false" customHeight="false" outlineLevel="0" collapsed="false">
      <c r="B112" s="16" t="n">
        <v>41</v>
      </c>
      <c r="C112" s="17" t="n">
        <f aca="false">DATA_INICIO_SAFRA+($B112-1)*DIAS_POR_SEMANA</f>
        <v>46545</v>
      </c>
      <c r="D112" s="17" t="n">
        <f aca="false">$C112+DIAS_POR_SEMANA-1</f>
        <v>46551</v>
      </c>
      <c r="E112" s="15" t="s">
        <v>260</v>
      </c>
      <c r="F112" s="8" t="str">
        <f aca="false">IFERROR(INDEX(CADASTRO_PIVOS!$C$6:$C$41,MATCH($E112,CADASTRO_PIVOS!$B$6:$B$41,0)),"?")</f>
        <v>RM02</v>
      </c>
      <c r="G112" s="8" t="str">
        <f aca="false">IFERROR(INDEX(CADASTRO_PIVOS!$D$6:$D$41,MATCH($E112,CADASTRO_PIVOS!$B$6:$B$41,0)),"?")</f>
        <v>TR02</v>
      </c>
      <c r="H112" s="20" t="n">
        <f aca="false">IFERROR(INDEX(CADASTRO_PIVOS!$E$6:$E$41,MATCH($E112,CADASTRO_PIVOS!$B$6:$B$41,0)),0)</f>
        <v>100.59</v>
      </c>
      <c r="I112" s="16" t="n">
        <f aca="false">IFERROR(SUMIFS(ROTACAO_RDM!$B$6:$B$71,ROTACAO_RDM!$D$6:$D$71,$E112,ROTACAO_RDM!$I$6:$I$71,"&lt;="&amp;$C112+INT(DIAS_POR_SEMANA/2),ROTACAO_RDM!$J$6:$J$71,"&gt;="&amp;$C112+INT(DIAS_POR_SEMANA/2)),0)</f>
        <v>11</v>
      </c>
      <c r="J112" s="16" t="n">
        <f aca="false">IFERROR(MATCH($I112,ROTACAO_RDM!$B$6:$B$71,0),0)</f>
        <v>11</v>
      </c>
      <c r="K112" s="8" t="str">
        <f aca="false">IF($J112=0,"SEM CULTURA",INDEX(ROTACAO_RDM!$F$6:$F$71,$J112))</f>
        <v>ALGODAO</v>
      </c>
      <c r="L112" s="8" t="str">
        <f aca="false">IF($J112=0,"",INDEX(ROTACAO_RDM!$G$6:$G$71,$J112))</f>
        <v>FM 911 GLTP</v>
      </c>
      <c r="M112" s="17" t="n">
        <f aca="false">IF($J112=0,"",INDEX(ROTACAO_RDM!$I$6:$I$71,$J112))</f>
        <v>46423</v>
      </c>
      <c r="N112" s="16" t="n">
        <f aca="false">IF($J112=0,0,MAX(0,$C112+INT(DIAS_POR_SEMANA/2)-INDEX(ROTACAO_RDM!$I$6:$I$71,$J112)))</f>
        <v>125</v>
      </c>
      <c r="O112" s="19" t="n">
        <f aca="false">IF($J112=0,0,MIN(1,$N112/MAX(1,INDEX(ROTACAO_RDM!$K$6:$K$71,$J112))))</f>
        <v>0.694444444444444</v>
      </c>
      <c r="P112" s="16" t="n">
        <f aca="false">IF($J112=0,0,IFERROR(MATCH(INDEX(ROTACAO_RDM!$N$6:$N$71,$J112),PARAMETROS_CULTURAS!$B$6:$B$28,0),0))</f>
        <v>4</v>
      </c>
      <c r="Q112" s="8" t="str">
        <f aca="false">IF($P112=0,"-",IF($O112&lt;=INDEX(PARAMETROS_CULTURAS!$F$6:$F$28,$P112),"INICIAL",IF($O112&lt;=INDEX(PARAMETROS_CULTURAS!$F$6:$F$28,$P112)+INDEX(PARAMETROS_CULTURAS!$G$6:$G$28,$P112),"DESENVOLVIMENTO",IF($O112&lt;=INDEX(PARAMETROS_CULTURAS!$F$6:$F$28,$P112)+INDEX(PARAMETROS_CULTURAS!$G$6:$G$28,$P112)+INDEX(PARAMETROS_CULTURAS!$H$6:$H$28,$P112),"MEDIA","FINAL"))))</f>
        <v>MEDIA</v>
      </c>
      <c r="R112" s="24" t="n">
        <f aca="false">IF($P112=0,0,IF($O112&lt;=INDEX(PARAMETROS_CULTURAS!$F$6:$F$28,$P112),INDEX(PARAMETROS_CULTURAS!$K$6:$K$28,$P112),IF($O112&lt;=INDEX(PARAMETROS_CULTURAS!$F$6:$F$28,$P112)+INDEX(PARAMETROS_CULTURAS!$G$6:$G$28,$P112),INDEX(PARAMETROS_CULTURAS!$K$6:$K$28,$P112)+(INDEX(PARAMETROS_CULTURAS!$L$6:$L$28,$P112)-INDEX(PARAMETROS_CULTURAS!$K$6:$K$28,$P112))*($O112-INDEX(PARAMETROS_CULTURAS!$F$6:$F$28,$P112))/MAX(INDEX(PARAMETROS_CULTURAS!$G$6:$G$28,$P112),0.0001),IF($O112&lt;=INDEX(PARAMETROS_CULTURAS!$F$6:$F$28,$P112)+INDEX(PARAMETROS_CULTURAS!$G$6:$G$28,$P112)+INDEX(PARAMETROS_CULTURAS!$H$6:$H$28,$P112),INDEX(PARAMETROS_CULTURAS!$L$6:$L$28,$P112),INDEX(PARAMETROS_CULTURAS!$L$6:$L$28,$P112)+(INDEX(PARAMETROS_CULTURAS!$M$6:$M$28,$P112)-INDEX(PARAMETROS_CULTURAS!$L$6:$L$28,$P112))*($O112-INDEX(PARAMETROS_CULTURAS!$F$6:$F$28,$P112)-INDEX(PARAMETROS_CULTURAS!$G$6:$G$28,$P112)-INDEX(PARAMETROS_CULTURAS!$H$6:$H$28,$P112))/MAX(INDEX(PARAMETROS_CULTURAS!$I$6:$I$28,$P112),0.0001)))))</f>
        <v>1.15</v>
      </c>
      <c r="S112" s="18" t="n">
        <f aca="false">IFERROR(INDEX(SEMANAS!$H$6:$H$71,MATCH($B112,SEMANAS!$B$6:$B$71,0)),0)</f>
        <v>28</v>
      </c>
      <c r="T112" s="18" t="n">
        <f aca="false">$R112*$S112</f>
        <v>32.2</v>
      </c>
      <c r="U112" s="18" t="n">
        <f aca="false">IFERROR(INDEX(SEMANAS!$I$6:$I$71,MATCH($B112,SEMANAS!$B$6:$B$71,0)),0)</f>
        <v>1.19</v>
      </c>
      <c r="V112" s="18" t="n">
        <f aca="false">IFERROR(INDEX(SEMANAS!$J$6:$J$71,MATCH($B112,SEMANAS!$B$6:$B$71,0)),0)</f>
        <v>0.952</v>
      </c>
      <c r="W112" s="18" t="n">
        <f aca="false">MAX(0,$T112-$V112)</f>
        <v>31.248</v>
      </c>
      <c r="X112" s="19" t="n">
        <f aca="false">IFERROR(INDEX(CADASTRO_PIVOS!$K$6:$K$41,MATCH($E112,CADASTRO_PIVOS!$B$6:$B$41,0)),EFICIENCIA_PADRAO)</f>
        <v>0.85</v>
      </c>
      <c r="Y112" s="18" t="n">
        <f aca="false">IF($X112&lt;=0,0,$W112/$X112)</f>
        <v>36.7623529411765</v>
      </c>
      <c r="Z112" s="16" t="n">
        <f aca="false">$Y112*$H112*MM_PARA_M3_HA</f>
        <v>36979.2508235294</v>
      </c>
      <c r="AA112" s="18" t="n">
        <f aca="false">IFERROR(INDEX(CADASTRO_PIVOS!$I$6:$I$41,MATCH($E112,CADASTRO_PIVOS!$B$6:$B$41,0)),0)</f>
        <v>718.5</v>
      </c>
      <c r="AB112" s="18" t="n">
        <f aca="false">IF($Z112&lt;=0,0,$Z112/$AA112)</f>
        <v>51.467294117647</v>
      </c>
      <c r="AC112" s="16" t="n">
        <f aca="false">IFERROR(INDEX(SEMANAS!$K$6:$K$71,MATCH($B112,SEMANAS!$B$6:$B$71,0)),0)</f>
        <v>147</v>
      </c>
      <c r="AD112" s="19" t="n">
        <f aca="false">IF($AC112&lt;=0,0,$AB112/$AC112)</f>
        <v>0.350117647058823</v>
      </c>
      <c r="AE112" s="8" t="str">
        <f aca="false">IF($K112="SEM CULTURA","SEM CULTURA",IF($AA112&lt;=0,"DADO PENDENTE",IF($AD112&gt;LIMITE_CRITICO,"INVIAVEL",IF($AD112&gt;LIMITE_ATENCAO,"CRITICO",IF($AD112&gt;LIMITE_CONFORTAVEL,"ATENCAO","OK")))))</f>
        <v>OK</v>
      </c>
      <c r="AF112" s="8" t="str">
        <f aca="false">$B112&amp;"|"&amp;TEXT($AD112,"0.000000")</f>
        <v>41|0.350118</v>
      </c>
      <c r="AG112" s="18" t="n">
        <f aca="false">IF($K112="SEM CULTURA",0,$T112*$H112)</f>
        <v>3238.998</v>
      </c>
      <c r="AH112" s="18" t="n">
        <f aca="false">IF($K112="SEM CULTURA",0,$V112*$H112)</f>
        <v>95.76168</v>
      </c>
      <c r="AI112" s="18" t="n">
        <f aca="false">IF($K112="SEM CULTURA",0,$W112*$H112)</f>
        <v>3143.23632</v>
      </c>
      <c r="AJ112" s="18" t="n">
        <f aca="false">IF($K112="SEM CULTURA",0,$S112*$H112)</f>
        <v>2816.52</v>
      </c>
      <c r="AK112" s="8" t="str">
        <f aca="false">$E112&amp;"|"&amp;TEXT($AD112,"0.000000")</f>
        <v>PV 106|0.350118</v>
      </c>
    </row>
    <row r="113" customFormat="false" ht="15" hidden="false" customHeight="false" outlineLevel="0" collapsed="false">
      <c r="B113" s="16" t="n">
        <v>42</v>
      </c>
      <c r="C113" s="17" t="n">
        <f aca="false">DATA_INICIO_SAFRA+($B113-1)*DIAS_POR_SEMANA</f>
        <v>46552</v>
      </c>
      <c r="D113" s="17" t="n">
        <f aca="false">$C113+DIAS_POR_SEMANA-1</f>
        <v>46558</v>
      </c>
      <c r="E113" s="15" t="s">
        <v>260</v>
      </c>
      <c r="F113" s="8" t="str">
        <f aca="false">IFERROR(INDEX(CADASTRO_PIVOS!$C$6:$C$41,MATCH($E113,CADASTRO_PIVOS!$B$6:$B$41,0)),"?")</f>
        <v>RM02</v>
      </c>
      <c r="G113" s="8" t="str">
        <f aca="false">IFERROR(INDEX(CADASTRO_PIVOS!$D$6:$D$41,MATCH($E113,CADASTRO_PIVOS!$B$6:$B$41,0)),"?")</f>
        <v>TR02</v>
      </c>
      <c r="H113" s="20" t="n">
        <f aca="false">IFERROR(INDEX(CADASTRO_PIVOS!$E$6:$E$41,MATCH($E113,CADASTRO_PIVOS!$B$6:$B$41,0)),0)</f>
        <v>100.59</v>
      </c>
      <c r="I113" s="16" t="n">
        <f aca="false">IFERROR(SUMIFS(ROTACAO_RDM!$B$6:$B$71,ROTACAO_RDM!$D$6:$D$71,$E113,ROTACAO_RDM!$I$6:$I$71,"&lt;="&amp;$C113+INT(DIAS_POR_SEMANA/2),ROTACAO_RDM!$J$6:$J$71,"&gt;="&amp;$C113+INT(DIAS_POR_SEMANA/2)),0)</f>
        <v>11</v>
      </c>
      <c r="J113" s="16" t="n">
        <f aca="false">IFERROR(MATCH($I113,ROTACAO_RDM!$B$6:$B$71,0),0)</f>
        <v>11</v>
      </c>
      <c r="K113" s="8" t="str">
        <f aca="false">IF($J113=0,"SEM CULTURA",INDEX(ROTACAO_RDM!$F$6:$F$71,$J113))</f>
        <v>ALGODAO</v>
      </c>
      <c r="L113" s="8" t="str">
        <f aca="false">IF($J113=0,"",INDEX(ROTACAO_RDM!$G$6:$G$71,$J113))</f>
        <v>FM 911 GLTP</v>
      </c>
      <c r="M113" s="17" t="n">
        <f aca="false">IF($J113=0,"",INDEX(ROTACAO_RDM!$I$6:$I$71,$J113))</f>
        <v>46423</v>
      </c>
      <c r="N113" s="16" t="n">
        <f aca="false">IF($J113=0,0,MAX(0,$C113+INT(DIAS_POR_SEMANA/2)-INDEX(ROTACAO_RDM!$I$6:$I$71,$J113)))</f>
        <v>132</v>
      </c>
      <c r="O113" s="19" t="n">
        <f aca="false">IF($J113=0,0,MIN(1,$N113/MAX(1,INDEX(ROTACAO_RDM!$K$6:$K$71,$J113))))</f>
        <v>0.733333333333333</v>
      </c>
      <c r="P113" s="16" t="n">
        <f aca="false">IF($J113=0,0,IFERROR(MATCH(INDEX(ROTACAO_RDM!$N$6:$N$71,$J113),PARAMETROS_CULTURAS!$B$6:$B$28,0),0))</f>
        <v>4</v>
      </c>
      <c r="Q113" s="8" t="str">
        <f aca="false">IF($P113=0,"-",IF($O113&lt;=INDEX(PARAMETROS_CULTURAS!$F$6:$F$28,$P113),"INICIAL",IF($O113&lt;=INDEX(PARAMETROS_CULTURAS!$F$6:$F$28,$P113)+INDEX(PARAMETROS_CULTURAS!$G$6:$G$28,$P113),"DESENVOLVIMENTO",IF($O113&lt;=INDEX(PARAMETROS_CULTURAS!$F$6:$F$28,$P113)+INDEX(PARAMETROS_CULTURAS!$G$6:$G$28,$P113)+INDEX(PARAMETROS_CULTURAS!$H$6:$H$28,$P113),"MEDIA","FINAL"))))</f>
        <v>MEDIA</v>
      </c>
      <c r="R113" s="24" t="n">
        <f aca="false">IF($P113=0,0,IF($O113&lt;=INDEX(PARAMETROS_CULTURAS!$F$6:$F$28,$P113),INDEX(PARAMETROS_CULTURAS!$K$6:$K$28,$P113),IF($O113&lt;=INDEX(PARAMETROS_CULTURAS!$F$6:$F$28,$P113)+INDEX(PARAMETROS_CULTURAS!$G$6:$G$28,$P113),INDEX(PARAMETROS_CULTURAS!$K$6:$K$28,$P113)+(INDEX(PARAMETROS_CULTURAS!$L$6:$L$28,$P113)-INDEX(PARAMETROS_CULTURAS!$K$6:$K$28,$P113))*($O113-INDEX(PARAMETROS_CULTURAS!$F$6:$F$28,$P113))/MAX(INDEX(PARAMETROS_CULTURAS!$G$6:$G$28,$P113),0.0001),IF($O113&lt;=INDEX(PARAMETROS_CULTURAS!$F$6:$F$28,$P113)+INDEX(PARAMETROS_CULTURAS!$G$6:$G$28,$P113)+INDEX(PARAMETROS_CULTURAS!$H$6:$H$28,$P113),INDEX(PARAMETROS_CULTURAS!$L$6:$L$28,$P113),INDEX(PARAMETROS_CULTURAS!$L$6:$L$28,$P113)+(INDEX(PARAMETROS_CULTURAS!$M$6:$M$28,$P113)-INDEX(PARAMETROS_CULTURAS!$L$6:$L$28,$P113))*($O113-INDEX(PARAMETROS_CULTURAS!$F$6:$F$28,$P113)-INDEX(PARAMETROS_CULTURAS!$G$6:$G$28,$P113)-INDEX(PARAMETROS_CULTURAS!$H$6:$H$28,$P113))/MAX(INDEX(PARAMETROS_CULTURAS!$I$6:$I$28,$P113),0.0001)))))</f>
        <v>1.15</v>
      </c>
      <c r="S113" s="18" t="n">
        <f aca="false">IFERROR(INDEX(SEMANAS!$H$6:$H$71,MATCH($B113,SEMANAS!$B$6:$B$71,0)),0)</f>
        <v>28</v>
      </c>
      <c r="T113" s="18" t="n">
        <f aca="false">$R113*$S113</f>
        <v>32.2</v>
      </c>
      <c r="U113" s="18" t="n">
        <f aca="false">IFERROR(INDEX(SEMANAS!$I$6:$I$71,MATCH($B113,SEMANAS!$B$6:$B$71,0)),0)</f>
        <v>1.19</v>
      </c>
      <c r="V113" s="18" t="n">
        <f aca="false">IFERROR(INDEX(SEMANAS!$J$6:$J$71,MATCH($B113,SEMANAS!$B$6:$B$71,0)),0)</f>
        <v>0.952</v>
      </c>
      <c r="W113" s="18" t="n">
        <f aca="false">MAX(0,$T113-$V113)</f>
        <v>31.248</v>
      </c>
      <c r="X113" s="19" t="n">
        <f aca="false">IFERROR(INDEX(CADASTRO_PIVOS!$K$6:$K$41,MATCH($E113,CADASTRO_PIVOS!$B$6:$B$41,0)),EFICIENCIA_PADRAO)</f>
        <v>0.85</v>
      </c>
      <c r="Y113" s="18" t="n">
        <f aca="false">IF($X113&lt;=0,0,$W113/$X113)</f>
        <v>36.7623529411765</v>
      </c>
      <c r="Z113" s="16" t="n">
        <f aca="false">$Y113*$H113*MM_PARA_M3_HA</f>
        <v>36979.2508235294</v>
      </c>
      <c r="AA113" s="18" t="n">
        <f aca="false">IFERROR(INDEX(CADASTRO_PIVOS!$I$6:$I$41,MATCH($E113,CADASTRO_PIVOS!$B$6:$B$41,0)),0)</f>
        <v>718.5</v>
      </c>
      <c r="AB113" s="18" t="n">
        <f aca="false">IF($Z113&lt;=0,0,$Z113/$AA113)</f>
        <v>51.467294117647</v>
      </c>
      <c r="AC113" s="16" t="n">
        <f aca="false">IFERROR(INDEX(SEMANAS!$K$6:$K$71,MATCH($B113,SEMANAS!$B$6:$B$71,0)),0)</f>
        <v>147</v>
      </c>
      <c r="AD113" s="19" t="n">
        <f aca="false">IF($AC113&lt;=0,0,$AB113/$AC113)</f>
        <v>0.350117647058823</v>
      </c>
      <c r="AE113" s="8" t="str">
        <f aca="false">IF($K113="SEM CULTURA","SEM CULTURA",IF($AA113&lt;=0,"DADO PENDENTE",IF($AD113&gt;LIMITE_CRITICO,"INVIAVEL",IF($AD113&gt;LIMITE_ATENCAO,"CRITICO",IF($AD113&gt;LIMITE_CONFORTAVEL,"ATENCAO","OK")))))</f>
        <v>OK</v>
      </c>
      <c r="AF113" s="8" t="str">
        <f aca="false">$B113&amp;"|"&amp;TEXT($AD113,"0.000000")</f>
        <v>42|0.350118</v>
      </c>
      <c r="AG113" s="18" t="n">
        <f aca="false">IF($K113="SEM CULTURA",0,$T113*$H113)</f>
        <v>3238.998</v>
      </c>
      <c r="AH113" s="18" t="n">
        <f aca="false">IF($K113="SEM CULTURA",0,$V113*$H113)</f>
        <v>95.76168</v>
      </c>
      <c r="AI113" s="18" t="n">
        <f aca="false">IF($K113="SEM CULTURA",0,$W113*$H113)</f>
        <v>3143.23632</v>
      </c>
      <c r="AJ113" s="18" t="n">
        <f aca="false">IF($K113="SEM CULTURA",0,$S113*$H113)</f>
        <v>2816.52</v>
      </c>
      <c r="AK113" s="8" t="str">
        <f aca="false">$E113&amp;"|"&amp;TEXT($AD113,"0.000000")</f>
        <v>PV 106|0.350118</v>
      </c>
    </row>
    <row r="114" customFormat="false" ht="15" hidden="false" customHeight="false" outlineLevel="0" collapsed="false">
      <c r="B114" s="16" t="n">
        <v>43</v>
      </c>
      <c r="C114" s="17" t="n">
        <f aca="false">DATA_INICIO_SAFRA+($B114-1)*DIAS_POR_SEMANA</f>
        <v>46559</v>
      </c>
      <c r="D114" s="17" t="n">
        <f aca="false">$C114+DIAS_POR_SEMANA-1</f>
        <v>46565</v>
      </c>
      <c r="E114" s="15" t="s">
        <v>260</v>
      </c>
      <c r="F114" s="8" t="str">
        <f aca="false">IFERROR(INDEX(CADASTRO_PIVOS!$C$6:$C$41,MATCH($E114,CADASTRO_PIVOS!$B$6:$B$41,0)),"?")</f>
        <v>RM02</v>
      </c>
      <c r="G114" s="8" t="str">
        <f aca="false">IFERROR(INDEX(CADASTRO_PIVOS!$D$6:$D$41,MATCH($E114,CADASTRO_PIVOS!$B$6:$B$41,0)),"?")</f>
        <v>TR02</v>
      </c>
      <c r="H114" s="20" t="n">
        <f aca="false">IFERROR(INDEX(CADASTRO_PIVOS!$E$6:$E$41,MATCH($E114,CADASTRO_PIVOS!$B$6:$B$41,0)),0)</f>
        <v>100.59</v>
      </c>
      <c r="I114" s="16" t="n">
        <f aca="false">IFERROR(SUMIFS(ROTACAO_RDM!$B$6:$B$71,ROTACAO_RDM!$D$6:$D$71,$E114,ROTACAO_RDM!$I$6:$I$71,"&lt;="&amp;$C114+INT(DIAS_POR_SEMANA/2),ROTACAO_RDM!$J$6:$J$71,"&gt;="&amp;$C114+INT(DIAS_POR_SEMANA/2)),0)</f>
        <v>11</v>
      </c>
      <c r="J114" s="16" t="n">
        <f aca="false">IFERROR(MATCH($I114,ROTACAO_RDM!$B$6:$B$71,0),0)</f>
        <v>11</v>
      </c>
      <c r="K114" s="8" t="str">
        <f aca="false">IF($J114=0,"SEM CULTURA",INDEX(ROTACAO_RDM!$F$6:$F$71,$J114))</f>
        <v>ALGODAO</v>
      </c>
      <c r="L114" s="8" t="str">
        <f aca="false">IF($J114=0,"",INDEX(ROTACAO_RDM!$G$6:$G$71,$J114))</f>
        <v>FM 911 GLTP</v>
      </c>
      <c r="M114" s="17" t="n">
        <f aca="false">IF($J114=0,"",INDEX(ROTACAO_RDM!$I$6:$I$71,$J114))</f>
        <v>46423</v>
      </c>
      <c r="N114" s="16" t="n">
        <f aca="false">IF($J114=0,0,MAX(0,$C114+INT(DIAS_POR_SEMANA/2)-INDEX(ROTACAO_RDM!$I$6:$I$71,$J114)))</f>
        <v>139</v>
      </c>
      <c r="O114" s="19" t="n">
        <f aca="false">IF($J114=0,0,MIN(1,$N114/MAX(1,INDEX(ROTACAO_RDM!$K$6:$K$71,$J114))))</f>
        <v>0.772222222222222</v>
      </c>
      <c r="P114" s="16" t="n">
        <f aca="false">IF($J114=0,0,IFERROR(MATCH(INDEX(ROTACAO_RDM!$N$6:$N$71,$J114),PARAMETROS_CULTURAS!$B$6:$B$28,0),0))</f>
        <v>4</v>
      </c>
      <c r="Q114" s="8" t="str">
        <f aca="false">IF($P114=0,"-",IF($O114&lt;=INDEX(PARAMETROS_CULTURAS!$F$6:$F$28,$P114),"INICIAL",IF($O114&lt;=INDEX(PARAMETROS_CULTURAS!$F$6:$F$28,$P114)+INDEX(PARAMETROS_CULTURAS!$G$6:$G$28,$P114),"DESENVOLVIMENTO",IF($O114&lt;=INDEX(PARAMETROS_CULTURAS!$F$6:$F$28,$P114)+INDEX(PARAMETROS_CULTURAS!$G$6:$G$28,$P114)+INDEX(PARAMETROS_CULTURAS!$H$6:$H$28,$P114),"MEDIA","FINAL"))))</f>
        <v>FINAL</v>
      </c>
      <c r="R114" s="24" t="n">
        <f aca="false">IF($P114=0,0,IF($O114&lt;=INDEX(PARAMETROS_CULTURAS!$F$6:$F$28,$P114),INDEX(PARAMETROS_CULTURAS!$K$6:$K$28,$P114),IF($O114&lt;=INDEX(PARAMETROS_CULTURAS!$F$6:$F$28,$P114)+INDEX(PARAMETROS_CULTURAS!$G$6:$G$28,$P114),INDEX(PARAMETROS_CULTURAS!$K$6:$K$28,$P114)+(INDEX(PARAMETROS_CULTURAS!$L$6:$L$28,$P114)-INDEX(PARAMETROS_CULTURAS!$K$6:$K$28,$P114))*($O114-INDEX(PARAMETROS_CULTURAS!$F$6:$F$28,$P114))/MAX(INDEX(PARAMETROS_CULTURAS!$G$6:$G$28,$P114),0.0001),IF($O114&lt;=INDEX(PARAMETROS_CULTURAS!$F$6:$F$28,$P114)+INDEX(PARAMETROS_CULTURAS!$G$6:$G$28,$P114)+INDEX(PARAMETROS_CULTURAS!$H$6:$H$28,$P114),INDEX(PARAMETROS_CULTURAS!$L$6:$L$28,$P114),INDEX(PARAMETROS_CULTURAS!$L$6:$L$28,$P114)+(INDEX(PARAMETROS_CULTURAS!$M$6:$M$28,$P114)-INDEX(PARAMETROS_CULTURAS!$L$6:$L$28,$P114))*($O114-INDEX(PARAMETROS_CULTURAS!$F$6:$F$28,$P114)-INDEX(PARAMETROS_CULTURAS!$G$6:$G$28,$P114)-INDEX(PARAMETROS_CULTURAS!$H$6:$H$28,$P114))/MAX(INDEX(PARAMETROS_CULTURAS!$I$6:$I$28,$P114),0.0001)))))</f>
        <v>1.10111111111111</v>
      </c>
      <c r="S114" s="18" t="n">
        <f aca="false">IFERROR(INDEX(SEMANAS!$H$6:$H$71,MATCH($B114,SEMANAS!$B$6:$B$71,0)),0)</f>
        <v>28</v>
      </c>
      <c r="T114" s="18" t="n">
        <f aca="false">$R114*$S114</f>
        <v>30.8311111111111</v>
      </c>
      <c r="U114" s="18" t="n">
        <f aca="false">IFERROR(INDEX(SEMANAS!$I$6:$I$71,MATCH($B114,SEMANAS!$B$6:$B$71,0)),0)</f>
        <v>1.19</v>
      </c>
      <c r="V114" s="18" t="n">
        <f aca="false">IFERROR(INDEX(SEMANAS!$J$6:$J$71,MATCH($B114,SEMANAS!$B$6:$B$71,0)),0)</f>
        <v>0.952</v>
      </c>
      <c r="W114" s="18" t="n">
        <f aca="false">MAX(0,$T114-$V114)</f>
        <v>29.8791111111111</v>
      </c>
      <c r="X114" s="19" t="n">
        <f aca="false">IFERROR(INDEX(CADASTRO_PIVOS!$K$6:$K$41,MATCH($E114,CADASTRO_PIVOS!$B$6:$B$41,0)),EFICIENCIA_PADRAO)</f>
        <v>0.85</v>
      </c>
      <c r="Y114" s="18" t="n">
        <f aca="false">IF($X114&lt;=0,0,$W114/$X114)</f>
        <v>35.1518954248366</v>
      </c>
      <c r="Z114" s="16" t="n">
        <f aca="false">$Y114*$H114*MM_PARA_M3_HA</f>
        <v>35359.2916078431</v>
      </c>
      <c r="AA114" s="18" t="n">
        <f aca="false">IFERROR(INDEX(CADASTRO_PIVOS!$I$6:$I$41,MATCH($E114,CADASTRO_PIVOS!$B$6:$B$41,0)),0)</f>
        <v>718.5</v>
      </c>
      <c r="AB114" s="18" t="n">
        <f aca="false">IF($Z114&lt;=0,0,$Z114/$AA114)</f>
        <v>49.2126535947712</v>
      </c>
      <c r="AC114" s="16" t="n">
        <f aca="false">IFERROR(INDEX(SEMANAS!$K$6:$K$71,MATCH($B114,SEMANAS!$B$6:$B$71,0)),0)</f>
        <v>147</v>
      </c>
      <c r="AD114" s="19" t="n">
        <f aca="false">IF($AC114&lt;=0,0,$AB114/$AC114)</f>
        <v>0.334779956427015</v>
      </c>
      <c r="AE114" s="8" t="str">
        <f aca="false">IF($K114="SEM CULTURA","SEM CULTURA",IF($AA114&lt;=0,"DADO PENDENTE",IF($AD114&gt;LIMITE_CRITICO,"INVIAVEL",IF($AD114&gt;LIMITE_ATENCAO,"CRITICO",IF($AD114&gt;LIMITE_CONFORTAVEL,"ATENCAO","OK")))))</f>
        <v>OK</v>
      </c>
      <c r="AF114" s="8" t="str">
        <f aca="false">$B114&amp;"|"&amp;TEXT($AD114,"0.000000")</f>
        <v>43|0.334780</v>
      </c>
      <c r="AG114" s="18" t="n">
        <f aca="false">IF($K114="SEM CULTURA",0,$T114*$H114)</f>
        <v>3101.30146666667</v>
      </c>
      <c r="AH114" s="18" t="n">
        <f aca="false">IF($K114="SEM CULTURA",0,$V114*$H114)</f>
        <v>95.76168</v>
      </c>
      <c r="AI114" s="18" t="n">
        <f aca="false">IF($K114="SEM CULTURA",0,$W114*$H114)</f>
        <v>3005.53978666667</v>
      </c>
      <c r="AJ114" s="18" t="n">
        <f aca="false">IF($K114="SEM CULTURA",0,$S114*$H114)</f>
        <v>2816.52</v>
      </c>
      <c r="AK114" s="8" t="str">
        <f aca="false">$E114&amp;"|"&amp;TEXT($AD114,"0.000000")</f>
        <v>PV 106|0.334780</v>
      </c>
    </row>
    <row r="115" customFormat="false" ht="15" hidden="false" customHeight="false" outlineLevel="0" collapsed="false">
      <c r="B115" s="16" t="n">
        <v>44</v>
      </c>
      <c r="C115" s="17" t="n">
        <f aca="false">DATA_INICIO_SAFRA+($B115-1)*DIAS_POR_SEMANA</f>
        <v>46566</v>
      </c>
      <c r="D115" s="17" t="n">
        <f aca="false">$C115+DIAS_POR_SEMANA-1</f>
        <v>46572</v>
      </c>
      <c r="E115" s="15" t="s">
        <v>260</v>
      </c>
      <c r="F115" s="8" t="str">
        <f aca="false">IFERROR(INDEX(CADASTRO_PIVOS!$C$6:$C$41,MATCH($E115,CADASTRO_PIVOS!$B$6:$B$41,0)),"?")</f>
        <v>RM02</v>
      </c>
      <c r="G115" s="8" t="str">
        <f aca="false">IFERROR(INDEX(CADASTRO_PIVOS!$D$6:$D$41,MATCH($E115,CADASTRO_PIVOS!$B$6:$B$41,0)),"?")</f>
        <v>TR02</v>
      </c>
      <c r="H115" s="20" t="n">
        <f aca="false">IFERROR(INDEX(CADASTRO_PIVOS!$E$6:$E$41,MATCH($E115,CADASTRO_PIVOS!$B$6:$B$41,0)),0)</f>
        <v>100.59</v>
      </c>
      <c r="I115" s="16" t="n">
        <f aca="false">IFERROR(SUMIFS(ROTACAO_RDM!$B$6:$B$71,ROTACAO_RDM!$D$6:$D$71,$E115,ROTACAO_RDM!$I$6:$I$71,"&lt;="&amp;$C115+INT(DIAS_POR_SEMANA/2),ROTACAO_RDM!$J$6:$J$71,"&gt;="&amp;$C115+INT(DIAS_POR_SEMANA/2)),0)</f>
        <v>11</v>
      </c>
      <c r="J115" s="16" t="n">
        <f aca="false">IFERROR(MATCH($I115,ROTACAO_RDM!$B$6:$B$71,0),0)</f>
        <v>11</v>
      </c>
      <c r="K115" s="8" t="str">
        <f aca="false">IF($J115=0,"SEM CULTURA",INDEX(ROTACAO_RDM!$F$6:$F$71,$J115))</f>
        <v>ALGODAO</v>
      </c>
      <c r="L115" s="8" t="str">
        <f aca="false">IF($J115=0,"",INDEX(ROTACAO_RDM!$G$6:$G$71,$J115))</f>
        <v>FM 911 GLTP</v>
      </c>
      <c r="M115" s="17" t="n">
        <f aca="false">IF($J115=0,"",INDEX(ROTACAO_RDM!$I$6:$I$71,$J115))</f>
        <v>46423</v>
      </c>
      <c r="N115" s="16" t="n">
        <f aca="false">IF($J115=0,0,MAX(0,$C115+INT(DIAS_POR_SEMANA/2)-INDEX(ROTACAO_RDM!$I$6:$I$71,$J115)))</f>
        <v>146</v>
      </c>
      <c r="O115" s="19" t="n">
        <f aca="false">IF($J115=0,0,MIN(1,$N115/MAX(1,INDEX(ROTACAO_RDM!$K$6:$K$71,$J115))))</f>
        <v>0.811111111111111</v>
      </c>
      <c r="P115" s="16" t="n">
        <f aca="false">IF($J115=0,0,IFERROR(MATCH(INDEX(ROTACAO_RDM!$N$6:$N$71,$J115),PARAMETROS_CULTURAS!$B$6:$B$28,0),0))</f>
        <v>4</v>
      </c>
      <c r="Q115" s="8" t="str">
        <f aca="false">IF($P115=0,"-",IF($O115&lt;=INDEX(PARAMETROS_CULTURAS!$F$6:$F$28,$P115),"INICIAL",IF($O115&lt;=INDEX(PARAMETROS_CULTURAS!$F$6:$F$28,$P115)+INDEX(PARAMETROS_CULTURAS!$G$6:$G$28,$P115),"DESENVOLVIMENTO",IF($O115&lt;=INDEX(PARAMETROS_CULTURAS!$F$6:$F$28,$P115)+INDEX(PARAMETROS_CULTURAS!$G$6:$G$28,$P115)+INDEX(PARAMETROS_CULTURAS!$H$6:$H$28,$P115),"MEDIA","FINAL"))))</f>
        <v>FINAL</v>
      </c>
      <c r="R115" s="24" t="n">
        <f aca="false">IF($P115=0,0,IF($O115&lt;=INDEX(PARAMETROS_CULTURAS!$F$6:$F$28,$P115),INDEX(PARAMETROS_CULTURAS!$K$6:$K$28,$P115),IF($O115&lt;=INDEX(PARAMETROS_CULTURAS!$F$6:$F$28,$P115)+INDEX(PARAMETROS_CULTURAS!$G$6:$G$28,$P115),INDEX(PARAMETROS_CULTURAS!$K$6:$K$28,$P115)+(INDEX(PARAMETROS_CULTURAS!$L$6:$L$28,$P115)-INDEX(PARAMETROS_CULTURAS!$K$6:$K$28,$P115))*($O115-INDEX(PARAMETROS_CULTURAS!$F$6:$F$28,$P115))/MAX(INDEX(PARAMETROS_CULTURAS!$G$6:$G$28,$P115),0.0001),IF($O115&lt;=INDEX(PARAMETROS_CULTURAS!$F$6:$F$28,$P115)+INDEX(PARAMETROS_CULTURAS!$G$6:$G$28,$P115)+INDEX(PARAMETROS_CULTURAS!$H$6:$H$28,$P115),INDEX(PARAMETROS_CULTURAS!$L$6:$L$28,$P115),INDEX(PARAMETROS_CULTURAS!$L$6:$L$28,$P115)+(INDEX(PARAMETROS_CULTURAS!$M$6:$M$28,$P115)-INDEX(PARAMETROS_CULTURAS!$L$6:$L$28,$P115))*($O115-INDEX(PARAMETROS_CULTURAS!$F$6:$F$28,$P115)-INDEX(PARAMETROS_CULTURAS!$G$6:$G$28,$P115)-INDEX(PARAMETROS_CULTURAS!$H$6:$H$28,$P115))/MAX(INDEX(PARAMETROS_CULTURAS!$I$6:$I$28,$P115),0.0001)))))</f>
        <v>1.01555555555556</v>
      </c>
      <c r="S115" s="18" t="n">
        <f aca="false">IFERROR(INDEX(SEMANAS!$H$6:$H$71,MATCH($B115,SEMANAS!$B$6:$B$71,0)),0)</f>
        <v>29.2</v>
      </c>
      <c r="T115" s="18" t="n">
        <f aca="false">$R115*$S115</f>
        <v>29.6542222222222</v>
      </c>
      <c r="U115" s="18" t="n">
        <f aca="false">IFERROR(INDEX(SEMANAS!$I$6:$I$71,MATCH($B115,SEMANAS!$B$6:$B$71,0)),0)</f>
        <v>0.91</v>
      </c>
      <c r="V115" s="18" t="n">
        <f aca="false">IFERROR(INDEX(SEMANAS!$J$6:$J$71,MATCH($B115,SEMANAS!$B$6:$B$71,0)),0)</f>
        <v>0.728</v>
      </c>
      <c r="W115" s="18" t="n">
        <f aca="false">MAX(0,$T115-$V115)</f>
        <v>28.9262222222222</v>
      </c>
      <c r="X115" s="19" t="n">
        <f aca="false">IFERROR(INDEX(CADASTRO_PIVOS!$K$6:$K$41,MATCH($E115,CADASTRO_PIVOS!$B$6:$B$41,0)),EFICIENCIA_PADRAO)</f>
        <v>0.85</v>
      </c>
      <c r="Y115" s="18" t="n">
        <f aca="false">IF($X115&lt;=0,0,$W115/$X115)</f>
        <v>34.0308496732026</v>
      </c>
      <c r="Z115" s="16" t="n">
        <f aca="false">$Y115*$H115*MM_PARA_M3_HA</f>
        <v>34231.6316862745</v>
      </c>
      <c r="AA115" s="18" t="n">
        <f aca="false">IFERROR(INDEX(CADASTRO_PIVOS!$I$6:$I$41,MATCH($E115,CADASTRO_PIVOS!$B$6:$B$41,0)),0)</f>
        <v>718.5</v>
      </c>
      <c r="AB115" s="18" t="n">
        <f aca="false">IF($Z115&lt;=0,0,$Z115/$AA115)</f>
        <v>47.6431895424836</v>
      </c>
      <c r="AC115" s="16" t="n">
        <f aca="false">IFERROR(INDEX(SEMANAS!$K$6:$K$71,MATCH($B115,SEMANAS!$B$6:$B$71,0)),0)</f>
        <v>147</v>
      </c>
      <c r="AD115" s="19" t="n">
        <f aca="false">IF($AC115&lt;=0,0,$AB115/$AC115)</f>
        <v>0.324103330220977</v>
      </c>
      <c r="AE115" s="8" t="str">
        <f aca="false">IF($K115="SEM CULTURA","SEM CULTURA",IF($AA115&lt;=0,"DADO PENDENTE",IF($AD115&gt;LIMITE_CRITICO,"INVIAVEL",IF($AD115&gt;LIMITE_ATENCAO,"CRITICO",IF($AD115&gt;LIMITE_CONFORTAVEL,"ATENCAO","OK")))))</f>
        <v>OK</v>
      </c>
      <c r="AF115" s="8" t="str">
        <f aca="false">$B115&amp;"|"&amp;TEXT($AD115,"0.000000")</f>
        <v>44|0.324103</v>
      </c>
      <c r="AG115" s="18" t="n">
        <f aca="false">IF($K115="SEM CULTURA",0,$T115*$H115)</f>
        <v>2982.91821333333</v>
      </c>
      <c r="AH115" s="18" t="n">
        <f aca="false">IF($K115="SEM CULTURA",0,$V115*$H115)</f>
        <v>73.22952</v>
      </c>
      <c r="AI115" s="18" t="n">
        <f aca="false">IF($K115="SEM CULTURA",0,$W115*$H115)</f>
        <v>2909.68869333333</v>
      </c>
      <c r="AJ115" s="18" t="n">
        <f aca="false">IF($K115="SEM CULTURA",0,$S115*$H115)</f>
        <v>2937.228</v>
      </c>
      <c r="AK115" s="8" t="str">
        <f aca="false">$E115&amp;"|"&amp;TEXT($AD115,"0.000000")</f>
        <v>PV 106|0.324103</v>
      </c>
    </row>
    <row r="116" customFormat="false" ht="15" hidden="false" customHeight="false" outlineLevel="0" collapsed="false">
      <c r="B116" s="16" t="n">
        <v>45</v>
      </c>
      <c r="C116" s="17" t="n">
        <f aca="false">DATA_INICIO_SAFRA+($B116-1)*DIAS_POR_SEMANA</f>
        <v>46573</v>
      </c>
      <c r="D116" s="17" t="n">
        <f aca="false">$C116+DIAS_POR_SEMANA-1</f>
        <v>46579</v>
      </c>
      <c r="E116" s="15" t="s">
        <v>260</v>
      </c>
      <c r="F116" s="8" t="str">
        <f aca="false">IFERROR(INDEX(CADASTRO_PIVOS!$C$6:$C$41,MATCH($E116,CADASTRO_PIVOS!$B$6:$B$41,0)),"?")</f>
        <v>RM02</v>
      </c>
      <c r="G116" s="8" t="str">
        <f aca="false">IFERROR(INDEX(CADASTRO_PIVOS!$D$6:$D$41,MATCH($E116,CADASTRO_PIVOS!$B$6:$B$41,0)),"?")</f>
        <v>TR02</v>
      </c>
      <c r="H116" s="20" t="n">
        <f aca="false">IFERROR(INDEX(CADASTRO_PIVOS!$E$6:$E$41,MATCH($E116,CADASTRO_PIVOS!$B$6:$B$41,0)),0)</f>
        <v>100.59</v>
      </c>
      <c r="I116" s="16" t="n">
        <f aca="false">IFERROR(SUMIFS(ROTACAO_RDM!$B$6:$B$71,ROTACAO_RDM!$D$6:$D$71,$E116,ROTACAO_RDM!$I$6:$I$71,"&lt;="&amp;$C116+INT(DIAS_POR_SEMANA/2),ROTACAO_RDM!$J$6:$J$71,"&gt;="&amp;$C116+INT(DIAS_POR_SEMANA/2)),0)</f>
        <v>11</v>
      </c>
      <c r="J116" s="16" t="n">
        <f aca="false">IFERROR(MATCH($I116,ROTACAO_RDM!$B$6:$B$71,0),0)</f>
        <v>11</v>
      </c>
      <c r="K116" s="8" t="str">
        <f aca="false">IF($J116=0,"SEM CULTURA",INDEX(ROTACAO_RDM!$F$6:$F$71,$J116))</f>
        <v>ALGODAO</v>
      </c>
      <c r="L116" s="8" t="str">
        <f aca="false">IF($J116=0,"",INDEX(ROTACAO_RDM!$G$6:$G$71,$J116))</f>
        <v>FM 911 GLTP</v>
      </c>
      <c r="M116" s="17" t="n">
        <f aca="false">IF($J116=0,"",INDEX(ROTACAO_RDM!$I$6:$I$71,$J116))</f>
        <v>46423</v>
      </c>
      <c r="N116" s="16" t="n">
        <f aca="false">IF($J116=0,0,MAX(0,$C116+INT(DIAS_POR_SEMANA/2)-INDEX(ROTACAO_RDM!$I$6:$I$71,$J116)))</f>
        <v>153</v>
      </c>
      <c r="O116" s="19" t="n">
        <f aca="false">IF($J116=0,0,MIN(1,$N116/MAX(1,INDEX(ROTACAO_RDM!$K$6:$K$71,$J116))))</f>
        <v>0.85</v>
      </c>
      <c r="P116" s="16" t="n">
        <f aca="false">IF($J116=0,0,IFERROR(MATCH(INDEX(ROTACAO_RDM!$N$6:$N$71,$J116),PARAMETROS_CULTURAS!$B$6:$B$28,0),0))</f>
        <v>4</v>
      </c>
      <c r="Q116" s="8" t="str">
        <f aca="false">IF($P116=0,"-",IF($O116&lt;=INDEX(PARAMETROS_CULTURAS!$F$6:$F$28,$P116),"INICIAL",IF($O116&lt;=INDEX(PARAMETROS_CULTURAS!$F$6:$F$28,$P116)+INDEX(PARAMETROS_CULTURAS!$G$6:$G$28,$P116),"DESENVOLVIMENTO",IF($O116&lt;=INDEX(PARAMETROS_CULTURAS!$F$6:$F$28,$P116)+INDEX(PARAMETROS_CULTURAS!$G$6:$G$28,$P116)+INDEX(PARAMETROS_CULTURAS!$H$6:$H$28,$P116),"MEDIA","FINAL"))))</f>
        <v>FINAL</v>
      </c>
      <c r="R116" s="24" t="n">
        <f aca="false">IF($P116=0,0,IF($O116&lt;=INDEX(PARAMETROS_CULTURAS!$F$6:$F$28,$P116),INDEX(PARAMETROS_CULTURAS!$K$6:$K$28,$P116),IF($O116&lt;=INDEX(PARAMETROS_CULTURAS!$F$6:$F$28,$P116)+INDEX(PARAMETROS_CULTURAS!$G$6:$G$28,$P116),INDEX(PARAMETROS_CULTURAS!$K$6:$K$28,$P116)+(INDEX(PARAMETROS_CULTURAS!$L$6:$L$28,$P116)-INDEX(PARAMETROS_CULTURAS!$K$6:$K$28,$P116))*($O116-INDEX(PARAMETROS_CULTURAS!$F$6:$F$28,$P116))/MAX(INDEX(PARAMETROS_CULTURAS!$G$6:$G$28,$P116),0.0001),IF($O116&lt;=INDEX(PARAMETROS_CULTURAS!$F$6:$F$28,$P116)+INDEX(PARAMETROS_CULTURAS!$G$6:$G$28,$P116)+INDEX(PARAMETROS_CULTURAS!$H$6:$H$28,$P116),INDEX(PARAMETROS_CULTURAS!$L$6:$L$28,$P116),INDEX(PARAMETROS_CULTURAS!$L$6:$L$28,$P116)+(INDEX(PARAMETROS_CULTURAS!$M$6:$M$28,$P116)-INDEX(PARAMETROS_CULTURAS!$L$6:$L$28,$P116))*($O116-INDEX(PARAMETROS_CULTURAS!$F$6:$F$28,$P116)-INDEX(PARAMETROS_CULTURAS!$G$6:$G$28,$P116)-INDEX(PARAMETROS_CULTURAS!$H$6:$H$28,$P116))/MAX(INDEX(PARAMETROS_CULTURAS!$I$6:$I$28,$P116),0.0001)))))</f>
        <v>0.93</v>
      </c>
      <c r="S116" s="18" t="n">
        <f aca="false">IFERROR(INDEX(SEMANAS!$H$6:$H$71,MATCH($B116,SEMANAS!$B$6:$B$71,0)),0)</f>
        <v>30.1</v>
      </c>
      <c r="T116" s="18" t="n">
        <f aca="false">$R116*$S116</f>
        <v>27.993</v>
      </c>
      <c r="U116" s="18" t="n">
        <f aca="false">IFERROR(INDEX(SEMANAS!$I$6:$I$71,MATCH($B116,SEMANAS!$B$6:$B$71,0)),0)</f>
        <v>0.7</v>
      </c>
      <c r="V116" s="18" t="n">
        <f aca="false">IFERROR(INDEX(SEMANAS!$J$6:$J$71,MATCH($B116,SEMANAS!$B$6:$B$71,0)),0)</f>
        <v>0.56</v>
      </c>
      <c r="W116" s="18" t="n">
        <f aca="false">MAX(0,$T116-$V116)</f>
        <v>27.433</v>
      </c>
      <c r="X116" s="19" t="n">
        <f aca="false">IFERROR(INDEX(CADASTRO_PIVOS!$K$6:$K$41,MATCH($E116,CADASTRO_PIVOS!$B$6:$B$41,0)),EFICIENCIA_PADRAO)</f>
        <v>0.85</v>
      </c>
      <c r="Y116" s="18" t="n">
        <f aca="false">IF($X116&lt;=0,0,$W116/$X116)</f>
        <v>32.2741176470588</v>
      </c>
      <c r="Z116" s="16" t="n">
        <f aca="false">$Y116*$H116*MM_PARA_M3_HA</f>
        <v>32464.5349411765</v>
      </c>
      <c r="AA116" s="18" t="n">
        <f aca="false">IFERROR(INDEX(CADASTRO_PIVOS!$I$6:$I$41,MATCH($E116,CADASTRO_PIVOS!$B$6:$B$41,0)),0)</f>
        <v>718.5</v>
      </c>
      <c r="AB116" s="18" t="n">
        <f aca="false">IF($Z116&lt;=0,0,$Z116/$AA116)</f>
        <v>45.1837647058824</v>
      </c>
      <c r="AC116" s="16" t="n">
        <f aca="false">IFERROR(INDEX(SEMANAS!$K$6:$K$71,MATCH($B116,SEMANAS!$B$6:$B$71,0)),0)</f>
        <v>147</v>
      </c>
      <c r="AD116" s="19" t="n">
        <f aca="false">IF($AC116&lt;=0,0,$AB116/$AC116)</f>
        <v>0.307372549019608</v>
      </c>
      <c r="AE116" s="8" t="str">
        <f aca="false">IF($K116="SEM CULTURA","SEM CULTURA",IF($AA116&lt;=0,"DADO PENDENTE",IF($AD116&gt;LIMITE_CRITICO,"INVIAVEL",IF($AD116&gt;LIMITE_ATENCAO,"CRITICO",IF($AD116&gt;LIMITE_CONFORTAVEL,"ATENCAO","OK")))))</f>
        <v>OK</v>
      </c>
      <c r="AF116" s="8" t="str">
        <f aca="false">$B116&amp;"|"&amp;TEXT($AD116,"0.000000")</f>
        <v>45|0.307373</v>
      </c>
      <c r="AG116" s="18" t="n">
        <f aca="false">IF($K116="SEM CULTURA",0,$T116*$H116)</f>
        <v>2815.81587</v>
      </c>
      <c r="AH116" s="18" t="n">
        <f aca="false">IF($K116="SEM CULTURA",0,$V116*$H116)</f>
        <v>56.3304</v>
      </c>
      <c r="AI116" s="18" t="n">
        <f aca="false">IF($K116="SEM CULTURA",0,$W116*$H116)</f>
        <v>2759.48547</v>
      </c>
      <c r="AJ116" s="18" t="n">
        <f aca="false">IF($K116="SEM CULTURA",0,$S116*$H116)</f>
        <v>3027.759</v>
      </c>
      <c r="AK116" s="8" t="str">
        <f aca="false">$E116&amp;"|"&amp;TEXT($AD116,"0.000000")</f>
        <v>PV 106|0.307373</v>
      </c>
    </row>
    <row r="117" customFormat="false" ht="15" hidden="false" customHeight="false" outlineLevel="0" collapsed="false">
      <c r="B117" s="16" t="n">
        <v>46</v>
      </c>
      <c r="C117" s="17" t="n">
        <f aca="false">DATA_INICIO_SAFRA+($B117-1)*DIAS_POR_SEMANA</f>
        <v>46580</v>
      </c>
      <c r="D117" s="17" t="n">
        <f aca="false">$C117+DIAS_POR_SEMANA-1</f>
        <v>46586</v>
      </c>
      <c r="E117" s="15" t="s">
        <v>260</v>
      </c>
      <c r="F117" s="8" t="str">
        <f aca="false">IFERROR(INDEX(CADASTRO_PIVOS!$C$6:$C$41,MATCH($E117,CADASTRO_PIVOS!$B$6:$B$41,0)),"?")</f>
        <v>RM02</v>
      </c>
      <c r="G117" s="8" t="str">
        <f aca="false">IFERROR(INDEX(CADASTRO_PIVOS!$D$6:$D$41,MATCH($E117,CADASTRO_PIVOS!$B$6:$B$41,0)),"?")</f>
        <v>TR02</v>
      </c>
      <c r="H117" s="20" t="n">
        <f aca="false">IFERROR(INDEX(CADASTRO_PIVOS!$E$6:$E$41,MATCH($E117,CADASTRO_PIVOS!$B$6:$B$41,0)),0)</f>
        <v>100.59</v>
      </c>
      <c r="I117" s="16" t="n">
        <f aca="false">IFERROR(SUMIFS(ROTACAO_RDM!$B$6:$B$71,ROTACAO_RDM!$D$6:$D$71,$E117,ROTACAO_RDM!$I$6:$I$71,"&lt;="&amp;$C117+INT(DIAS_POR_SEMANA/2),ROTACAO_RDM!$J$6:$J$71,"&gt;="&amp;$C117+INT(DIAS_POR_SEMANA/2)),0)</f>
        <v>11</v>
      </c>
      <c r="J117" s="16" t="n">
        <f aca="false">IFERROR(MATCH($I117,ROTACAO_RDM!$B$6:$B$71,0),0)</f>
        <v>11</v>
      </c>
      <c r="K117" s="8" t="str">
        <f aca="false">IF($J117=0,"SEM CULTURA",INDEX(ROTACAO_RDM!$F$6:$F$71,$J117))</f>
        <v>ALGODAO</v>
      </c>
      <c r="L117" s="8" t="str">
        <f aca="false">IF($J117=0,"",INDEX(ROTACAO_RDM!$G$6:$G$71,$J117))</f>
        <v>FM 911 GLTP</v>
      </c>
      <c r="M117" s="17" t="n">
        <f aca="false">IF($J117=0,"",INDEX(ROTACAO_RDM!$I$6:$I$71,$J117))</f>
        <v>46423</v>
      </c>
      <c r="N117" s="16" t="n">
        <f aca="false">IF($J117=0,0,MAX(0,$C117+INT(DIAS_POR_SEMANA/2)-INDEX(ROTACAO_RDM!$I$6:$I$71,$J117)))</f>
        <v>160</v>
      </c>
      <c r="O117" s="19" t="n">
        <f aca="false">IF($J117=0,0,MIN(1,$N117/MAX(1,INDEX(ROTACAO_RDM!$K$6:$K$71,$J117))))</f>
        <v>0.888888888888889</v>
      </c>
      <c r="P117" s="16" t="n">
        <f aca="false">IF($J117=0,0,IFERROR(MATCH(INDEX(ROTACAO_RDM!$N$6:$N$71,$J117),PARAMETROS_CULTURAS!$B$6:$B$28,0),0))</f>
        <v>4</v>
      </c>
      <c r="Q117" s="8" t="str">
        <f aca="false">IF($P117=0,"-",IF($O117&lt;=INDEX(PARAMETROS_CULTURAS!$F$6:$F$28,$P117),"INICIAL",IF($O117&lt;=INDEX(PARAMETROS_CULTURAS!$F$6:$F$28,$P117)+INDEX(PARAMETROS_CULTURAS!$G$6:$G$28,$P117),"DESENVOLVIMENTO",IF($O117&lt;=INDEX(PARAMETROS_CULTURAS!$F$6:$F$28,$P117)+INDEX(PARAMETROS_CULTURAS!$G$6:$G$28,$P117)+INDEX(PARAMETROS_CULTURAS!$H$6:$H$28,$P117),"MEDIA","FINAL"))))</f>
        <v>FINAL</v>
      </c>
      <c r="R117" s="24" t="n">
        <f aca="false">IF($P117=0,0,IF($O117&lt;=INDEX(PARAMETROS_CULTURAS!$F$6:$F$28,$P117),INDEX(PARAMETROS_CULTURAS!$K$6:$K$28,$P117),IF($O117&lt;=INDEX(PARAMETROS_CULTURAS!$F$6:$F$28,$P117)+INDEX(PARAMETROS_CULTURAS!$G$6:$G$28,$P117),INDEX(PARAMETROS_CULTURAS!$K$6:$K$28,$P117)+(INDEX(PARAMETROS_CULTURAS!$L$6:$L$28,$P117)-INDEX(PARAMETROS_CULTURAS!$K$6:$K$28,$P117))*($O117-INDEX(PARAMETROS_CULTURAS!$F$6:$F$28,$P117))/MAX(INDEX(PARAMETROS_CULTURAS!$G$6:$G$28,$P117),0.0001),IF($O117&lt;=INDEX(PARAMETROS_CULTURAS!$F$6:$F$28,$P117)+INDEX(PARAMETROS_CULTURAS!$G$6:$G$28,$P117)+INDEX(PARAMETROS_CULTURAS!$H$6:$H$28,$P117),INDEX(PARAMETROS_CULTURAS!$L$6:$L$28,$P117),INDEX(PARAMETROS_CULTURAS!$L$6:$L$28,$P117)+(INDEX(PARAMETROS_CULTURAS!$M$6:$M$28,$P117)-INDEX(PARAMETROS_CULTURAS!$L$6:$L$28,$P117))*($O117-INDEX(PARAMETROS_CULTURAS!$F$6:$F$28,$P117)-INDEX(PARAMETROS_CULTURAS!$G$6:$G$28,$P117)-INDEX(PARAMETROS_CULTURAS!$H$6:$H$28,$P117))/MAX(INDEX(PARAMETROS_CULTURAS!$I$6:$I$28,$P117),0.0001)))))</f>
        <v>0.844444444444445</v>
      </c>
      <c r="S117" s="18" t="n">
        <f aca="false">IFERROR(INDEX(SEMANAS!$H$6:$H$71,MATCH($B117,SEMANAS!$B$6:$B$71,0)),0)</f>
        <v>30.1</v>
      </c>
      <c r="T117" s="18" t="n">
        <f aca="false">$R117*$S117</f>
        <v>25.4177777777778</v>
      </c>
      <c r="U117" s="18" t="n">
        <f aca="false">IFERROR(INDEX(SEMANAS!$I$6:$I$71,MATCH($B117,SEMANAS!$B$6:$B$71,0)),0)</f>
        <v>0.7</v>
      </c>
      <c r="V117" s="18" t="n">
        <f aca="false">IFERROR(INDEX(SEMANAS!$J$6:$J$71,MATCH($B117,SEMANAS!$B$6:$B$71,0)),0)</f>
        <v>0.56</v>
      </c>
      <c r="W117" s="18" t="n">
        <f aca="false">MAX(0,$T117-$V117)</f>
        <v>24.8577777777778</v>
      </c>
      <c r="X117" s="19" t="n">
        <f aca="false">IFERROR(INDEX(CADASTRO_PIVOS!$K$6:$K$41,MATCH($E117,CADASTRO_PIVOS!$B$6:$B$41,0)),EFICIENCIA_PADRAO)</f>
        <v>0.85</v>
      </c>
      <c r="Y117" s="18" t="n">
        <f aca="false">IF($X117&lt;=0,0,$W117/$X117)</f>
        <v>29.2444444444444</v>
      </c>
      <c r="Z117" s="16" t="n">
        <f aca="false">$Y117*$H117*MM_PARA_M3_HA</f>
        <v>29416.9866666667</v>
      </c>
      <c r="AA117" s="18" t="n">
        <f aca="false">IFERROR(INDEX(CADASTRO_PIVOS!$I$6:$I$41,MATCH($E117,CADASTRO_PIVOS!$B$6:$B$41,0)),0)</f>
        <v>718.5</v>
      </c>
      <c r="AB117" s="18" t="n">
        <f aca="false">IF($Z117&lt;=0,0,$Z117/$AA117)</f>
        <v>40.9422222222222</v>
      </c>
      <c r="AC117" s="16" t="n">
        <f aca="false">IFERROR(INDEX(SEMANAS!$K$6:$K$71,MATCH($B117,SEMANAS!$B$6:$B$71,0)),0)</f>
        <v>147</v>
      </c>
      <c r="AD117" s="19" t="n">
        <f aca="false">IF($AC117&lt;=0,0,$AB117/$AC117)</f>
        <v>0.278518518518519</v>
      </c>
      <c r="AE117" s="8" t="str">
        <f aca="false">IF($K117="SEM CULTURA","SEM CULTURA",IF($AA117&lt;=0,"DADO PENDENTE",IF($AD117&gt;LIMITE_CRITICO,"INVIAVEL",IF($AD117&gt;LIMITE_ATENCAO,"CRITICO",IF($AD117&gt;LIMITE_CONFORTAVEL,"ATENCAO","OK")))))</f>
        <v>OK</v>
      </c>
      <c r="AF117" s="8" t="str">
        <f aca="false">$B117&amp;"|"&amp;TEXT($AD117,"0.000000")</f>
        <v>46|0.278519</v>
      </c>
      <c r="AG117" s="18" t="n">
        <f aca="false">IF($K117="SEM CULTURA",0,$T117*$H117)</f>
        <v>2556.77426666667</v>
      </c>
      <c r="AH117" s="18" t="n">
        <f aca="false">IF($K117="SEM CULTURA",0,$V117*$H117)</f>
        <v>56.3304</v>
      </c>
      <c r="AI117" s="18" t="n">
        <f aca="false">IF($K117="SEM CULTURA",0,$W117*$H117)</f>
        <v>2500.44386666667</v>
      </c>
      <c r="AJ117" s="18" t="n">
        <f aca="false">IF($K117="SEM CULTURA",0,$S117*$H117)</f>
        <v>3027.759</v>
      </c>
      <c r="AK117" s="8" t="str">
        <f aca="false">$E117&amp;"|"&amp;TEXT($AD117,"0.000000")</f>
        <v>PV 106|0.278519</v>
      </c>
    </row>
    <row r="118" customFormat="false" ht="15" hidden="false" customHeight="false" outlineLevel="0" collapsed="false">
      <c r="B118" s="16" t="n">
        <v>47</v>
      </c>
      <c r="C118" s="17" t="n">
        <f aca="false">DATA_INICIO_SAFRA+($B118-1)*DIAS_POR_SEMANA</f>
        <v>46587</v>
      </c>
      <c r="D118" s="17" t="n">
        <f aca="false">$C118+DIAS_POR_SEMANA-1</f>
        <v>46593</v>
      </c>
      <c r="E118" s="15" t="s">
        <v>260</v>
      </c>
      <c r="F118" s="8" t="str">
        <f aca="false">IFERROR(INDEX(CADASTRO_PIVOS!$C$6:$C$41,MATCH($E118,CADASTRO_PIVOS!$B$6:$B$41,0)),"?")</f>
        <v>RM02</v>
      </c>
      <c r="G118" s="8" t="str">
        <f aca="false">IFERROR(INDEX(CADASTRO_PIVOS!$D$6:$D$41,MATCH($E118,CADASTRO_PIVOS!$B$6:$B$41,0)),"?")</f>
        <v>TR02</v>
      </c>
      <c r="H118" s="20" t="n">
        <f aca="false">IFERROR(INDEX(CADASTRO_PIVOS!$E$6:$E$41,MATCH($E118,CADASTRO_PIVOS!$B$6:$B$41,0)),0)</f>
        <v>100.59</v>
      </c>
      <c r="I118" s="16" t="n">
        <f aca="false">IFERROR(SUMIFS(ROTACAO_RDM!$B$6:$B$71,ROTACAO_RDM!$D$6:$D$71,$E118,ROTACAO_RDM!$I$6:$I$71,"&lt;="&amp;$C118+INT(DIAS_POR_SEMANA/2),ROTACAO_RDM!$J$6:$J$71,"&gt;="&amp;$C118+INT(DIAS_POR_SEMANA/2)),0)</f>
        <v>11</v>
      </c>
      <c r="J118" s="16" t="n">
        <f aca="false">IFERROR(MATCH($I118,ROTACAO_RDM!$B$6:$B$71,0),0)</f>
        <v>11</v>
      </c>
      <c r="K118" s="8" t="str">
        <f aca="false">IF($J118=0,"SEM CULTURA",INDEX(ROTACAO_RDM!$F$6:$F$71,$J118))</f>
        <v>ALGODAO</v>
      </c>
      <c r="L118" s="8" t="str">
        <f aca="false">IF($J118=0,"",INDEX(ROTACAO_RDM!$G$6:$G$71,$J118))</f>
        <v>FM 911 GLTP</v>
      </c>
      <c r="M118" s="17" t="n">
        <f aca="false">IF($J118=0,"",INDEX(ROTACAO_RDM!$I$6:$I$71,$J118))</f>
        <v>46423</v>
      </c>
      <c r="N118" s="16" t="n">
        <f aca="false">IF($J118=0,0,MAX(0,$C118+INT(DIAS_POR_SEMANA/2)-INDEX(ROTACAO_RDM!$I$6:$I$71,$J118)))</f>
        <v>167</v>
      </c>
      <c r="O118" s="19" t="n">
        <f aca="false">IF($J118=0,0,MIN(1,$N118/MAX(1,INDEX(ROTACAO_RDM!$K$6:$K$71,$J118))))</f>
        <v>0.927777777777778</v>
      </c>
      <c r="P118" s="16" t="n">
        <f aca="false">IF($J118=0,0,IFERROR(MATCH(INDEX(ROTACAO_RDM!$N$6:$N$71,$J118),PARAMETROS_CULTURAS!$B$6:$B$28,0),0))</f>
        <v>4</v>
      </c>
      <c r="Q118" s="8" t="str">
        <f aca="false">IF($P118=0,"-",IF($O118&lt;=INDEX(PARAMETROS_CULTURAS!$F$6:$F$28,$P118),"INICIAL",IF($O118&lt;=INDEX(PARAMETROS_CULTURAS!$F$6:$F$28,$P118)+INDEX(PARAMETROS_CULTURAS!$G$6:$G$28,$P118),"DESENVOLVIMENTO",IF($O118&lt;=INDEX(PARAMETROS_CULTURAS!$F$6:$F$28,$P118)+INDEX(PARAMETROS_CULTURAS!$G$6:$G$28,$P118)+INDEX(PARAMETROS_CULTURAS!$H$6:$H$28,$P118),"MEDIA","FINAL"))))</f>
        <v>FINAL</v>
      </c>
      <c r="R118" s="24" t="n">
        <f aca="false">IF($P118=0,0,IF($O118&lt;=INDEX(PARAMETROS_CULTURAS!$F$6:$F$28,$P118),INDEX(PARAMETROS_CULTURAS!$K$6:$K$28,$P118),IF($O118&lt;=INDEX(PARAMETROS_CULTURAS!$F$6:$F$28,$P118)+INDEX(PARAMETROS_CULTURAS!$G$6:$G$28,$P118),INDEX(PARAMETROS_CULTURAS!$K$6:$K$28,$P118)+(INDEX(PARAMETROS_CULTURAS!$L$6:$L$28,$P118)-INDEX(PARAMETROS_CULTURAS!$K$6:$K$28,$P118))*($O118-INDEX(PARAMETROS_CULTURAS!$F$6:$F$28,$P118))/MAX(INDEX(PARAMETROS_CULTURAS!$G$6:$G$28,$P118),0.0001),IF($O118&lt;=INDEX(PARAMETROS_CULTURAS!$F$6:$F$28,$P118)+INDEX(PARAMETROS_CULTURAS!$G$6:$G$28,$P118)+INDEX(PARAMETROS_CULTURAS!$H$6:$H$28,$P118),INDEX(PARAMETROS_CULTURAS!$L$6:$L$28,$P118),INDEX(PARAMETROS_CULTURAS!$L$6:$L$28,$P118)+(INDEX(PARAMETROS_CULTURAS!$M$6:$M$28,$P118)-INDEX(PARAMETROS_CULTURAS!$L$6:$L$28,$P118))*($O118-INDEX(PARAMETROS_CULTURAS!$F$6:$F$28,$P118)-INDEX(PARAMETROS_CULTURAS!$G$6:$G$28,$P118)-INDEX(PARAMETROS_CULTURAS!$H$6:$H$28,$P118))/MAX(INDEX(PARAMETROS_CULTURAS!$I$6:$I$28,$P118),0.0001)))))</f>
        <v>0.758888888888889</v>
      </c>
      <c r="S118" s="18" t="n">
        <f aca="false">IFERROR(INDEX(SEMANAS!$H$6:$H$71,MATCH($B118,SEMANAS!$B$6:$B$71,0)),0)</f>
        <v>30.1</v>
      </c>
      <c r="T118" s="18" t="n">
        <f aca="false">$R118*$S118</f>
        <v>22.8425555555556</v>
      </c>
      <c r="U118" s="18" t="n">
        <f aca="false">IFERROR(INDEX(SEMANAS!$I$6:$I$71,MATCH($B118,SEMANAS!$B$6:$B$71,0)),0)</f>
        <v>0.7</v>
      </c>
      <c r="V118" s="18" t="n">
        <f aca="false">IFERROR(INDEX(SEMANAS!$J$6:$J$71,MATCH($B118,SEMANAS!$B$6:$B$71,0)),0)</f>
        <v>0.56</v>
      </c>
      <c r="W118" s="18" t="n">
        <f aca="false">MAX(0,$T118-$V118)</f>
        <v>22.2825555555556</v>
      </c>
      <c r="X118" s="19" t="n">
        <f aca="false">IFERROR(INDEX(CADASTRO_PIVOS!$K$6:$K$41,MATCH($E118,CADASTRO_PIVOS!$B$6:$B$41,0)),EFICIENCIA_PADRAO)</f>
        <v>0.85</v>
      </c>
      <c r="Y118" s="18" t="n">
        <f aca="false">IF($X118&lt;=0,0,$W118/$X118)</f>
        <v>26.2147712418301</v>
      </c>
      <c r="Z118" s="16" t="n">
        <f aca="false">$Y118*$H118*MM_PARA_M3_HA</f>
        <v>26369.4383921569</v>
      </c>
      <c r="AA118" s="18" t="n">
        <f aca="false">IFERROR(INDEX(CADASTRO_PIVOS!$I$6:$I$41,MATCH($E118,CADASTRO_PIVOS!$B$6:$B$41,0)),0)</f>
        <v>718.5</v>
      </c>
      <c r="AB118" s="18" t="n">
        <f aca="false">IF($Z118&lt;=0,0,$Z118/$AA118)</f>
        <v>36.7006797385621</v>
      </c>
      <c r="AC118" s="16" t="n">
        <f aca="false">IFERROR(INDEX(SEMANAS!$K$6:$K$71,MATCH($B118,SEMANAS!$B$6:$B$71,0)),0)</f>
        <v>147</v>
      </c>
      <c r="AD118" s="19" t="n">
        <f aca="false">IF($AC118&lt;=0,0,$AB118/$AC118)</f>
        <v>0.249664488017429</v>
      </c>
      <c r="AE118" s="8" t="str">
        <f aca="false">IF($K118="SEM CULTURA","SEM CULTURA",IF($AA118&lt;=0,"DADO PENDENTE",IF($AD118&gt;LIMITE_CRITICO,"INVIAVEL",IF($AD118&gt;LIMITE_ATENCAO,"CRITICO",IF($AD118&gt;LIMITE_CONFORTAVEL,"ATENCAO","OK")))))</f>
        <v>OK</v>
      </c>
      <c r="AF118" s="8" t="str">
        <f aca="false">$B118&amp;"|"&amp;TEXT($AD118,"0.000000")</f>
        <v>47|0.249664</v>
      </c>
      <c r="AG118" s="18" t="n">
        <f aca="false">IF($K118="SEM CULTURA",0,$T118*$H118)</f>
        <v>2297.73266333333</v>
      </c>
      <c r="AH118" s="18" t="n">
        <f aca="false">IF($K118="SEM CULTURA",0,$V118*$H118)</f>
        <v>56.3304</v>
      </c>
      <c r="AI118" s="18" t="n">
        <f aca="false">IF($K118="SEM CULTURA",0,$W118*$H118)</f>
        <v>2241.40226333333</v>
      </c>
      <c r="AJ118" s="18" t="n">
        <f aca="false">IF($K118="SEM CULTURA",0,$S118*$H118)</f>
        <v>3027.759</v>
      </c>
      <c r="AK118" s="8" t="str">
        <f aca="false">$E118&amp;"|"&amp;TEXT($AD118,"0.000000")</f>
        <v>PV 106|0.249664</v>
      </c>
    </row>
    <row r="119" customFormat="false" ht="15" hidden="false" customHeight="false" outlineLevel="0" collapsed="false">
      <c r="B119" s="16" t="n">
        <v>48</v>
      </c>
      <c r="C119" s="17" t="n">
        <f aca="false">DATA_INICIO_SAFRA+($B119-1)*DIAS_POR_SEMANA</f>
        <v>46594</v>
      </c>
      <c r="D119" s="17" t="n">
        <f aca="false">$C119+DIAS_POR_SEMANA-1</f>
        <v>46600</v>
      </c>
      <c r="E119" s="15" t="s">
        <v>260</v>
      </c>
      <c r="F119" s="8" t="str">
        <f aca="false">IFERROR(INDEX(CADASTRO_PIVOS!$C$6:$C$41,MATCH($E119,CADASTRO_PIVOS!$B$6:$B$41,0)),"?")</f>
        <v>RM02</v>
      </c>
      <c r="G119" s="8" t="str">
        <f aca="false">IFERROR(INDEX(CADASTRO_PIVOS!$D$6:$D$41,MATCH($E119,CADASTRO_PIVOS!$B$6:$B$41,0)),"?")</f>
        <v>TR02</v>
      </c>
      <c r="H119" s="20" t="n">
        <f aca="false">IFERROR(INDEX(CADASTRO_PIVOS!$E$6:$E$41,MATCH($E119,CADASTRO_PIVOS!$B$6:$B$41,0)),0)</f>
        <v>100.59</v>
      </c>
      <c r="I119" s="16" t="n">
        <f aca="false">IFERROR(SUMIFS(ROTACAO_RDM!$B$6:$B$71,ROTACAO_RDM!$D$6:$D$71,$E119,ROTACAO_RDM!$I$6:$I$71,"&lt;="&amp;$C119+INT(DIAS_POR_SEMANA/2),ROTACAO_RDM!$J$6:$J$71,"&gt;="&amp;$C119+INT(DIAS_POR_SEMANA/2)),0)</f>
        <v>11</v>
      </c>
      <c r="J119" s="16" t="n">
        <f aca="false">IFERROR(MATCH($I119,ROTACAO_RDM!$B$6:$B$71,0),0)</f>
        <v>11</v>
      </c>
      <c r="K119" s="8" t="str">
        <f aca="false">IF($J119=0,"SEM CULTURA",INDEX(ROTACAO_RDM!$F$6:$F$71,$J119))</f>
        <v>ALGODAO</v>
      </c>
      <c r="L119" s="8" t="str">
        <f aca="false">IF($J119=0,"",INDEX(ROTACAO_RDM!$G$6:$G$71,$J119))</f>
        <v>FM 911 GLTP</v>
      </c>
      <c r="M119" s="17" t="n">
        <f aca="false">IF($J119=0,"",INDEX(ROTACAO_RDM!$I$6:$I$71,$J119))</f>
        <v>46423</v>
      </c>
      <c r="N119" s="16" t="n">
        <f aca="false">IF($J119=0,0,MAX(0,$C119+INT(DIAS_POR_SEMANA/2)-INDEX(ROTACAO_RDM!$I$6:$I$71,$J119)))</f>
        <v>174</v>
      </c>
      <c r="O119" s="19" t="n">
        <f aca="false">IF($J119=0,0,MIN(1,$N119/MAX(1,INDEX(ROTACAO_RDM!$K$6:$K$71,$J119))))</f>
        <v>0.966666666666667</v>
      </c>
      <c r="P119" s="16" t="n">
        <f aca="false">IF($J119=0,0,IFERROR(MATCH(INDEX(ROTACAO_RDM!$N$6:$N$71,$J119),PARAMETROS_CULTURAS!$B$6:$B$28,0),0))</f>
        <v>4</v>
      </c>
      <c r="Q119" s="8" t="str">
        <f aca="false">IF($P119=0,"-",IF($O119&lt;=INDEX(PARAMETROS_CULTURAS!$F$6:$F$28,$P119),"INICIAL",IF($O119&lt;=INDEX(PARAMETROS_CULTURAS!$F$6:$F$28,$P119)+INDEX(PARAMETROS_CULTURAS!$G$6:$G$28,$P119),"DESENVOLVIMENTO",IF($O119&lt;=INDEX(PARAMETROS_CULTURAS!$F$6:$F$28,$P119)+INDEX(PARAMETROS_CULTURAS!$G$6:$G$28,$P119)+INDEX(PARAMETROS_CULTURAS!$H$6:$H$28,$P119),"MEDIA","FINAL"))))</f>
        <v>FINAL</v>
      </c>
      <c r="R119" s="24" t="n">
        <f aca="false">IF($P119=0,0,IF($O119&lt;=INDEX(PARAMETROS_CULTURAS!$F$6:$F$28,$P119),INDEX(PARAMETROS_CULTURAS!$K$6:$K$28,$P119),IF($O119&lt;=INDEX(PARAMETROS_CULTURAS!$F$6:$F$28,$P119)+INDEX(PARAMETROS_CULTURAS!$G$6:$G$28,$P119),INDEX(PARAMETROS_CULTURAS!$K$6:$K$28,$P119)+(INDEX(PARAMETROS_CULTURAS!$L$6:$L$28,$P119)-INDEX(PARAMETROS_CULTURAS!$K$6:$K$28,$P119))*($O119-INDEX(PARAMETROS_CULTURAS!$F$6:$F$28,$P119))/MAX(INDEX(PARAMETROS_CULTURAS!$G$6:$G$28,$P119),0.0001),IF($O119&lt;=INDEX(PARAMETROS_CULTURAS!$F$6:$F$28,$P119)+INDEX(PARAMETROS_CULTURAS!$G$6:$G$28,$P119)+INDEX(PARAMETROS_CULTURAS!$H$6:$H$28,$P119),INDEX(PARAMETROS_CULTURAS!$L$6:$L$28,$P119),INDEX(PARAMETROS_CULTURAS!$L$6:$L$28,$P119)+(INDEX(PARAMETROS_CULTURAS!$M$6:$M$28,$P119)-INDEX(PARAMETROS_CULTURAS!$L$6:$L$28,$P119))*($O119-INDEX(PARAMETROS_CULTURAS!$F$6:$F$28,$P119)-INDEX(PARAMETROS_CULTURAS!$G$6:$G$28,$P119)-INDEX(PARAMETROS_CULTURAS!$H$6:$H$28,$P119))/MAX(INDEX(PARAMETROS_CULTURAS!$I$6:$I$28,$P119),0.0001)))))</f>
        <v>0.673333333333333</v>
      </c>
      <c r="S119" s="18" t="n">
        <f aca="false">IFERROR(INDEX(SEMANAS!$H$6:$H$71,MATCH($B119,SEMANAS!$B$6:$B$71,0)),0)</f>
        <v>31</v>
      </c>
      <c r="T119" s="18" t="n">
        <f aca="false">$R119*$S119</f>
        <v>20.8733333333333</v>
      </c>
      <c r="U119" s="18" t="n">
        <f aca="false">IFERROR(INDEX(SEMANAS!$I$6:$I$71,MATCH($B119,SEMANAS!$B$6:$B$71,0)),0)</f>
        <v>0.76</v>
      </c>
      <c r="V119" s="18" t="n">
        <f aca="false">IFERROR(INDEX(SEMANAS!$J$6:$J$71,MATCH($B119,SEMANAS!$B$6:$B$71,0)),0)</f>
        <v>0.608</v>
      </c>
      <c r="W119" s="18" t="n">
        <f aca="false">MAX(0,$T119-$V119)</f>
        <v>20.2653333333333</v>
      </c>
      <c r="X119" s="19" t="n">
        <f aca="false">IFERROR(INDEX(CADASTRO_PIVOS!$K$6:$K$41,MATCH($E119,CADASTRO_PIVOS!$B$6:$B$41,0)),EFICIENCIA_PADRAO)</f>
        <v>0.85</v>
      </c>
      <c r="Y119" s="18" t="n">
        <f aca="false">IF($X119&lt;=0,0,$W119/$X119)</f>
        <v>23.841568627451</v>
      </c>
      <c r="Z119" s="16" t="n">
        <f aca="false">$Y119*$H119*MM_PARA_M3_HA</f>
        <v>23982.2338823529</v>
      </c>
      <c r="AA119" s="18" t="n">
        <f aca="false">IFERROR(INDEX(CADASTRO_PIVOS!$I$6:$I$41,MATCH($E119,CADASTRO_PIVOS!$B$6:$B$41,0)),0)</f>
        <v>718.5</v>
      </c>
      <c r="AB119" s="18" t="n">
        <f aca="false">IF($Z119&lt;=0,0,$Z119/$AA119)</f>
        <v>33.3781960784314</v>
      </c>
      <c r="AC119" s="16" t="n">
        <f aca="false">IFERROR(INDEX(SEMANAS!$K$6:$K$71,MATCH($B119,SEMANAS!$B$6:$B$71,0)),0)</f>
        <v>147</v>
      </c>
      <c r="AD119" s="19" t="n">
        <f aca="false">IF($AC119&lt;=0,0,$AB119/$AC119)</f>
        <v>0.227062558356676</v>
      </c>
      <c r="AE119" s="8" t="str">
        <f aca="false">IF($K119="SEM CULTURA","SEM CULTURA",IF($AA119&lt;=0,"DADO PENDENTE",IF($AD119&gt;LIMITE_CRITICO,"INVIAVEL",IF($AD119&gt;LIMITE_ATENCAO,"CRITICO",IF($AD119&gt;LIMITE_CONFORTAVEL,"ATENCAO","OK")))))</f>
        <v>OK</v>
      </c>
      <c r="AF119" s="8" t="str">
        <f aca="false">$B119&amp;"|"&amp;TEXT($AD119,"0.000000")</f>
        <v>48|0.227063</v>
      </c>
      <c r="AG119" s="18" t="n">
        <f aca="false">IF($K119="SEM CULTURA",0,$T119*$H119)</f>
        <v>2099.6486</v>
      </c>
      <c r="AH119" s="18" t="n">
        <f aca="false">IF($K119="SEM CULTURA",0,$V119*$H119)</f>
        <v>61.15872</v>
      </c>
      <c r="AI119" s="18" t="n">
        <f aca="false">IF($K119="SEM CULTURA",0,$W119*$H119)</f>
        <v>2038.48988</v>
      </c>
      <c r="AJ119" s="18" t="n">
        <f aca="false">IF($K119="SEM CULTURA",0,$S119*$H119)</f>
        <v>3118.29</v>
      </c>
      <c r="AK119" s="8" t="str">
        <f aca="false">$E119&amp;"|"&amp;TEXT($AD119,"0.000000")</f>
        <v>PV 106|0.227063</v>
      </c>
    </row>
    <row r="120" customFormat="false" ht="15" hidden="false" customHeight="false" outlineLevel="0" collapsed="false">
      <c r="B120" s="16" t="n">
        <v>49</v>
      </c>
      <c r="C120" s="17" t="n">
        <f aca="false">DATA_INICIO_SAFRA+($B120-1)*DIAS_POR_SEMANA</f>
        <v>46601</v>
      </c>
      <c r="D120" s="17" t="n">
        <f aca="false">$C120+DIAS_POR_SEMANA-1</f>
        <v>46607</v>
      </c>
      <c r="E120" s="15" t="s">
        <v>260</v>
      </c>
      <c r="F120" s="8" t="str">
        <f aca="false">IFERROR(INDEX(CADASTRO_PIVOS!$C$6:$C$41,MATCH($E120,CADASTRO_PIVOS!$B$6:$B$41,0)),"?")</f>
        <v>RM02</v>
      </c>
      <c r="G120" s="8" t="str">
        <f aca="false">IFERROR(INDEX(CADASTRO_PIVOS!$D$6:$D$41,MATCH($E120,CADASTRO_PIVOS!$B$6:$B$41,0)),"?")</f>
        <v>TR02</v>
      </c>
      <c r="H120" s="20" t="n">
        <f aca="false">IFERROR(INDEX(CADASTRO_PIVOS!$E$6:$E$41,MATCH($E120,CADASTRO_PIVOS!$B$6:$B$41,0)),0)</f>
        <v>100.59</v>
      </c>
      <c r="I120" s="16" t="n">
        <f aca="false">IFERROR(SUMIFS(ROTACAO_RDM!$B$6:$B$71,ROTACAO_RDM!$D$6:$D$71,$E120,ROTACAO_RDM!$I$6:$I$71,"&lt;="&amp;$C120+INT(DIAS_POR_SEMANA/2),ROTACAO_RDM!$J$6:$J$71,"&gt;="&amp;$C120+INT(DIAS_POR_SEMANA/2)),0)</f>
        <v>0</v>
      </c>
      <c r="J120" s="16" t="n">
        <f aca="false">IFERROR(MATCH($I120,ROTACAO_RDM!$B$6:$B$71,0),0)</f>
        <v>0</v>
      </c>
      <c r="K120" s="8" t="str">
        <f aca="false">IF($J120=0,"SEM CULTURA",INDEX(ROTACAO_RDM!$F$6:$F$71,$J120))</f>
        <v>SEM CULTURA</v>
      </c>
      <c r="L120" s="8" t="str">
        <f aca="false">IF($J120=0,"",INDEX(ROTACAO_RDM!$G$6:$G$71,$J120))</f>
        <v/>
      </c>
      <c r="M120" s="17" t="str">
        <f aca="false">IF($J120=0,"",INDEX(ROTACAO_RDM!$I$6:$I$71,$J120))</f>
        <v/>
      </c>
      <c r="N120" s="16" t="n">
        <f aca="false">IF($J120=0,0,MAX(0,$C120+INT(DIAS_POR_SEMANA/2)-INDEX(ROTACAO_RDM!$I$6:$I$71,$J120)))</f>
        <v>0</v>
      </c>
      <c r="O120" s="19" t="n">
        <f aca="false">IF($J120=0,0,MIN(1,$N120/MAX(1,INDEX(ROTACAO_RDM!$K$6:$K$71,$J120))))</f>
        <v>0</v>
      </c>
      <c r="P120" s="16" t="n">
        <f aca="false">IF($J120=0,0,IFERROR(MATCH(INDEX(ROTACAO_RDM!$N$6:$N$71,$J120),PARAMETROS_CULTURAS!$B$6:$B$28,0),0))</f>
        <v>0</v>
      </c>
      <c r="Q120" s="8" t="str">
        <f aca="false">IF($P120=0,"-",IF($O120&lt;=INDEX(PARAMETROS_CULTURAS!$F$6:$F$28,$P120),"INICIAL",IF($O120&lt;=INDEX(PARAMETROS_CULTURAS!$F$6:$F$28,$P120)+INDEX(PARAMETROS_CULTURAS!$G$6:$G$28,$P120),"DESENVOLVIMENTO",IF($O120&lt;=INDEX(PARAMETROS_CULTURAS!$F$6:$F$28,$P120)+INDEX(PARAMETROS_CULTURAS!$G$6:$G$28,$P120)+INDEX(PARAMETROS_CULTURAS!$H$6:$H$28,$P120),"MEDIA","FINAL"))))</f>
        <v>-</v>
      </c>
      <c r="R120" s="24" t="n">
        <f aca="false">IF($P120=0,0,IF($O120&lt;=INDEX(PARAMETROS_CULTURAS!$F$6:$F$28,$P120),INDEX(PARAMETROS_CULTURAS!$K$6:$K$28,$P120),IF($O120&lt;=INDEX(PARAMETROS_CULTURAS!$F$6:$F$28,$P120)+INDEX(PARAMETROS_CULTURAS!$G$6:$G$28,$P120),INDEX(PARAMETROS_CULTURAS!$K$6:$K$28,$P120)+(INDEX(PARAMETROS_CULTURAS!$L$6:$L$28,$P120)-INDEX(PARAMETROS_CULTURAS!$K$6:$K$28,$P120))*($O120-INDEX(PARAMETROS_CULTURAS!$F$6:$F$28,$P120))/MAX(INDEX(PARAMETROS_CULTURAS!$G$6:$G$28,$P120),0.0001),IF($O120&lt;=INDEX(PARAMETROS_CULTURAS!$F$6:$F$28,$P120)+INDEX(PARAMETROS_CULTURAS!$G$6:$G$28,$P120)+INDEX(PARAMETROS_CULTURAS!$H$6:$H$28,$P120),INDEX(PARAMETROS_CULTURAS!$L$6:$L$28,$P120),INDEX(PARAMETROS_CULTURAS!$L$6:$L$28,$P120)+(INDEX(PARAMETROS_CULTURAS!$M$6:$M$28,$P120)-INDEX(PARAMETROS_CULTURAS!$L$6:$L$28,$P120))*($O120-INDEX(PARAMETROS_CULTURAS!$F$6:$F$28,$P120)-INDEX(PARAMETROS_CULTURAS!$G$6:$G$28,$P120)-INDEX(PARAMETROS_CULTURAS!$H$6:$H$28,$P120))/MAX(INDEX(PARAMETROS_CULTURAS!$I$6:$I$28,$P120),0.0001)))))</f>
        <v>0</v>
      </c>
      <c r="S120" s="18" t="n">
        <f aca="false">IFERROR(INDEX(SEMANAS!$H$6:$H$71,MATCH($B120,SEMANAS!$B$6:$B$71,0)),0)</f>
        <v>36.4</v>
      </c>
      <c r="T120" s="18" t="n">
        <f aca="false">$R120*$S120</f>
        <v>0</v>
      </c>
      <c r="U120" s="18" t="n">
        <f aca="false">IFERROR(INDEX(SEMANAS!$I$6:$I$71,MATCH($B120,SEMANAS!$B$6:$B$71,0)),0)</f>
        <v>1.12</v>
      </c>
      <c r="V120" s="18" t="n">
        <f aca="false">IFERROR(INDEX(SEMANAS!$J$6:$J$71,MATCH($B120,SEMANAS!$B$6:$B$71,0)),0)</f>
        <v>0.896</v>
      </c>
      <c r="W120" s="18" t="n">
        <f aca="false">MAX(0,$T120-$V120)</f>
        <v>0</v>
      </c>
      <c r="X120" s="19" t="n">
        <f aca="false">IFERROR(INDEX(CADASTRO_PIVOS!$K$6:$K$41,MATCH($E120,CADASTRO_PIVOS!$B$6:$B$41,0)),EFICIENCIA_PADRAO)</f>
        <v>0.85</v>
      </c>
      <c r="Y120" s="18" t="n">
        <f aca="false">IF($X120&lt;=0,0,$W120/$X120)</f>
        <v>0</v>
      </c>
      <c r="Z120" s="16" t="n">
        <f aca="false">$Y120*$H120*MM_PARA_M3_HA</f>
        <v>0</v>
      </c>
      <c r="AA120" s="18" t="n">
        <f aca="false">IFERROR(INDEX(CADASTRO_PIVOS!$I$6:$I$41,MATCH($E120,CADASTRO_PIVOS!$B$6:$B$41,0)),0)</f>
        <v>718.5</v>
      </c>
      <c r="AB120" s="18" t="n">
        <f aca="false">IF($Z120&lt;=0,0,$Z120/$AA120)</f>
        <v>0</v>
      </c>
      <c r="AC120" s="16" t="n">
        <f aca="false">IFERROR(INDEX(SEMANAS!$K$6:$K$71,MATCH($B120,SEMANAS!$B$6:$B$71,0)),0)</f>
        <v>147</v>
      </c>
      <c r="AD120" s="19" t="n">
        <f aca="false">IF($AC120&lt;=0,0,$AB120/$AC120)</f>
        <v>0</v>
      </c>
      <c r="AE120" s="8" t="str">
        <f aca="false">IF($K120="SEM CULTURA","SEM CULTURA",IF($AA120&lt;=0,"DADO PENDENTE",IF($AD120&gt;LIMITE_CRITICO,"INVIAVEL",IF($AD120&gt;LIMITE_ATENCAO,"CRITICO",IF($AD120&gt;LIMITE_CONFORTAVEL,"ATENCAO","OK")))))</f>
        <v>SEM CULTURA</v>
      </c>
      <c r="AF120" s="8" t="str">
        <f aca="false">$B120&amp;"|"&amp;TEXT($AD120,"0.000000")</f>
        <v>49|0.000000</v>
      </c>
      <c r="AG120" s="18" t="n">
        <f aca="false">IF($K120="SEM CULTURA",0,$T120*$H120)</f>
        <v>0</v>
      </c>
      <c r="AH120" s="18" t="n">
        <f aca="false">IF($K120="SEM CULTURA",0,$V120*$H120)</f>
        <v>0</v>
      </c>
      <c r="AI120" s="18" t="n">
        <f aca="false">IF($K120="SEM CULTURA",0,$W120*$H120)</f>
        <v>0</v>
      </c>
      <c r="AJ120" s="18" t="n">
        <f aca="false">IF($K120="SEM CULTURA",0,$S120*$H120)</f>
        <v>0</v>
      </c>
      <c r="AK120" s="8" t="str">
        <f aca="false">$E120&amp;"|"&amp;TEXT($AD120,"0.000000")</f>
        <v>PV 106|0.000000</v>
      </c>
    </row>
    <row r="121" customFormat="false" ht="15" hidden="false" customHeight="false" outlineLevel="0" collapsed="false">
      <c r="B121" s="16" t="n">
        <v>50</v>
      </c>
      <c r="C121" s="17" t="n">
        <f aca="false">DATA_INICIO_SAFRA+($B121-1)*DIAS_POR_SEMANA</f>
        <v>46608</v>
      </c>
      <c r="D121" s="17" t="n">
        <f aca="false">$C121+DIAS_POR_SEMANA-1</f>
        <v>46614</v>
      </c>
      <c r="E121" s="15" t="s">
        <v>260</v>
      </c>
      <c r="F121" s="8" t="str">
        <f aca="false">IFERROR(INDEX(CADASTRO_PIVOS!$C$6:$C$41,MATCH($E121,CADASTRO_PIVOS!$B$6:$B$41,0)),"?")</f>
        <v>RM02</v>
      </c>
      <c r="G121" s="8" t="str">
        <f aca="false">IFERROR(INDEX(CADASTRO_PIVOS!$D$6:$D$41,MATCH($E121,CADASTRO_PIVOS!$B$6:$B$41,0)),"?")</f>
        <v>TR02</v>
      </c>
      <c r="H121" s="20" t="n">
        <f aca="false">IFERROR(INDEX(CADASTRO_PIVOS!$E$6:$E$41,MATCH($E121,CADASTRO_PIVOS!$B$6:$B$41,0)),0)</f>
        <v>100.59</v>
      </c>
      <c r="I121" s="16" t="n">
        <f aca="false">IFERROR(SUMIFS(ROTACAO_RDM!$B$6:$B$71,ROTACAO_RDM!$D$6:$D$71,$E121,ROTACAO_RDM!$I$6:$I$71,"&lt;="&amp;$C121+INT(DIAS_POR_SEMANA/2),ROTACAO_RDM!$J$6:$J$71,"&gt;="&amp;$C121+INT(DIAS_POR_SEMANA/2)),0)</f>
        <v>0</v>
      </c>
      <c r="J121" s="16" t="n">
        <f aca="false">IFERROR(MATCH($I121,ROTACAO_RDM!$B$6:$B$71,0),0)</f>
        <v>0</v>
      </c>
      <c r="K121" s="8" t="str">
        <f aca="false">IF($J121=0,"SEM CULTURA",INDEX(ROTACAO_RDM!$F$6:$F$71,$J121))</f>
        <v>SEM CULTURA</v>
      </c>
      <c r="L121" s="8" t="str">
        <f aca="false">IF($J121=0,"",INDEX(ROTACAO_RDM!$G$6:$G$71,$J121))</f>
        <v/>
      </c>
      <c r="M121" s="17" t="str">
        <f aca="false">IF($J121=0,"",INDEX(ROTACAO_RDM!$I$6:$I$71,$J121))</f>
        <v/>
      </c>
      <c r="N121" s="16" t="n">
        <f aca="false">IF($J121=0,0,MAX(0,$C121+INT(DIAS_POR_SEMANA/2)-INDEX(ROTACAO_RDM!$I$6:$I$71,$J121)))</f>
        <v>0</v>
      </c>
      <c r="O121" s="19" t="n">
        <f aca="false">IF($J121=0,0,MIN(1,$N121/MAX(1,INDEX(ROTACAO_RDM!$K$6:$K$71,$J121))))</f>
        <v>0</v>
      </c>
      <c r="P121" s="16" t="n">
        <f aca="false">IF($J121=0,0,IFERROR(MATCH(INDEX(ROTACAO_RDM!$N$6:$N$71,$J121),PARAMETROS_CULTURAS!$B$6:$B$28,0),0))</f>
        <v>0</v>
      </c>
      <c r="Q121" s="8" t="str">
        <f aca="false">IF($P121=0,"-",IF($O121&lt;=INDEX(PARAMETROS_CULTURAS!$F$6:$F$28,$P121),"INICIAL",IF($O121&lt;=INDEX(PARAMETROS_CULTURAS!$F$6:$F$28,$P121)+INDEX(PARAMETROS_CULTURAS!$G$6:$G$28,$P121),"DESENVOLVIMENTO",IF($O121&lt;=INDEX(PARAMETROS_CULTURAS!$F$6:$F$28,$P121)+INDEX(PARAMETROS_CULTURAS!$G$6:$G$28,$P121)+INDEX(PARAMETROS_CULTURAS!$H$6:$H$28,$P121),"MEDIA","FINAL"))))</f>
        <v>-</v>
      </c>
      <c r="R121" s="24" t="n">
        <f aca="false">IF($P121=0,0,IF($O121&lt;=INDEX(PARAMETROS_CULTURAS!$F$6:$F$28,$P121),INDEX(PARAMETROS_CULTURAS!$K$6:$K$28,$P121),IF($O121&lt;=INDEX(PARAMETROS_CULTURAS!$F$6:$F$28,$P121)+INDEX(PARAMETROS_CULTURAS!$G$6:$G$28,$P121),INDEX(PARAMETROS_CULTURAS!$K$6:$K$28,$P121)+(INDEX(PARAMETROS_CULTURAS!$L$6:$L$28,$P121)-INDEX(PARAMETROS_CULTURAS!$K$6:$K$28,$P121))*($O121-INDEX(PARAMETROS_CULTURAS!$F$6:$F$28,$P121))/MAX(INDEX(PARAMETROS_CULTURAS!$G$6:$G$28,$P121),0.0001),IF($O121&lt;=INDEX(PARAMETROS_CULTURAS!$F$6:$F$28,$P121)+INDEX(PARAMETROS_CULTURAS!$G$6:$G$28,$P121)+INDEX(PARAMETROS_CULTURAS!$H$6:$H$28,$P121),INDEX(PARAMETROS_CULTURAS!$L$6:$L$28,$P121),INDEX(PARAMETROS_CULTURAS!$L$6:$L$28,$P121)+(INDEX(PARAMETROS_CULTURAS!$M$6:$M$28,$P121)-INDEX(PARAMETROS_CULTURAS!$L$6:$L$28,$P121))*($O121-INDEX(PARAMETROS_CULTURAS!$F$6:$F$28,$P121)-INDEX(PARAMETROS_CULTURAS!$G$6:$G$28,$P121)-INDEX(PARAMETROS_CULTURAS!$H$6:$H$28,$P121))/MAX(INDEX(PARAMETROS_CULTURAS!$I$6:$I$28,$P121),0.0001)))))</f>
        <v>0</v>
      </c>
      <c r="S121" s="18" t="n">
        <f aca="false">IFERROR(INDEX(SEMANAS!$H$6:$H$71,MATCH($B121,SEMANAS!$B$6:$B$71,0)),0)</f>
        <v>36.4</v>
      </c>
      <c r="T121" s="18" t="n">
        <f aca="false">$R121*$S121</f>
        <v>0</v>
      </c>
      <c r="U121" s="18" t="n">
        <f aca="false">IFERROR(INDEX(SEMANAS!$I$6:$I$71,MATCH($B121,SEMANAS!$B$6:$B$71,0)),0)</f>
        <v>1.12</v>
      </c>
      <c r="V121" s="18" t="n">
        <f aca="false">IFERROR(INDEX(SEMANAS!$J$6:$J$71,MATCH($B121,SEMANAS!$B$6:$B$71,0)),0)</f>
        <v>0.896</v>
      </c>
      <c r="W121" s="18" t="n">
        <f aca="false">MAX(0,$T121-$V121)</f>
        <v>0</v>
      </c>
      <c r="X121" s="19" t="n">
        <f aca="false">IFERROR(INDEX(CADASTRO_PIVOS!$K$6:$K$41,MATCH($E121,CADASTRO_PIVOS!$B$6:$B$41,0)),EFICIENCIA_PADRAO)</f>
        <v>0.85</v>
      </c>
      <c r="Y121" s="18" t="n">
        <f aca="false">IF($X121&lt;=0,0,$W121/$X121)</f>
        <v>0</v>
      </c>
      <c r="Z121" s="16" t="n">
        <f aca="false">$Y121*$H121*MM_PARA_M3_HA</f>
        <v>0</v>
      </c>
      <c r="AA121" s="18" t="n">
        <f aca="false">IFERROR(INDEX(CADASTRO_PIVOS!$I$6:$I$41,MATCH($E121,CADASTRO_PIVOS!$B$6:$B$41,0)),0)</f>
        <v>718.5</v>
      </c>
      <c r="AB121" s="18" t="n">
        <f aca="false">IF($Z121&lt;=0,0,$Z121/$AA121)</f>
        <v>0</v>
      </c>
      <c r="AC121" s="16" t="n">
        <f aca="false">IFERROR(INDEX(SEMANAS!$K$6:$K$71,MATCH($B121,SEMANAS!$B$6:$B$71,0)),0)</f>
        <v>147</v>
      </c>
      <c r="AD121" s="19" t="n">
        <f aca="false">IF($AC121&lt;=0,0,$AB121/$AC121)</f>
        <v>0</v>
      </c>
      <c r="AE121" s="8" t="str">
        <f aca="false">IF($K121="SEM CULTURA","SEM CULTURA",IF($AA121&lt;=0,"DADO PENDENTE",IF($AD121&gt;LIMITE_CRITICO,"INVIAVEL",IF($AD121&gt;LIMITE_ATENCAO,"CRITICO",IF($AD121&gt;LIMITE_CONFORTAVEL,"ATENCAO","OK")))))</f>
        <v>SEM CULTURA</v>
      </c>
      <c r="AF121" s="8" t="str">
        <f aca="false">$B121&amp;"|"&amp;TEXT($AD121,"0.000000")</f>
        <v>50|0.000000</v>
      </c>
      <c r="AG121" s="18" t="n">
        <f aca="false">IF($K121="SEM CULTURA",0,$T121*$H121)</f>
        <v>0</v>
      </c>
      <c r="AH121" s="18" t="n">
        <f aca="false">IF($K121="SEM CULTURA",0,$V121*$H121)</f>
        <v>0</v>
      </c>
      <c r="AI121" s="18" t="n">
        <f aca="false">IF($K121="SEM CULTURA",0,$W121*$H121)</f>
        <v>0</v>
      </c>
      <c r="AJ121" s="18" t="n">
        <f aca="false">IF($K121="SEM CULTURA",0,$S121*$H121)</f>
        <v>0</v>
      </c>
      <c r="AK121" s="8" t="str">
        <f aca="false">$E121&amp;"|"&amp;TEXT($AD121,"0.000000")</f>
        <v>PV 106|0.000000</v>
      </c>
    </row>
    <row r="122" customFormat="false" ht="15" hidden="false" customHeight="false" outlineLevel="0" collapsed="false">
      <c r="B122" s="16" t="n">
        <v>51</v>
      </c>
      <c r="C122" s="17" t="n">
        <f aca="false">DATA_INICIO_SAFRA+($B122-1)*DIAS_POR_SEMANA</f>
        <v>46615</v>
      </c>
      <c r="D122" s="17" t="n">
        <f aca="false">$C122+DIAS_POR_SEMANA-1</f>
        <v>46621</v>
      </c>
      <c r="E122" s="15" t="s">
        <v>260</v>
      </c>
      <c r="F122" s="8" t="str">
        <f aca="false">IFERROR(INDEX(CADASTRO_PIVOS!$C$6:$C$41,MATCH($E122,CADASTRO_PIVOS!$B$6:$B$41,0)),"?")</f>
        <v>RM02</v>
      </c>
      <c r="G122" s="8" t="str">
        <f aca="false">IFERROR(INDEX(CADASTRO_PIVOS!$D$6:$D$41,MATCH($E122,CADASTRO_PIVOS!$B$6:$B$41,0)),"?")</f>
        <v>TR02</v>
      </c>
      <c r="H122" s="20" t="n">
        <f aca="false">IFERROR(INDEX(CADASTRO_PIVOS!$E$6:$E$41,MATCH($E122,CADASTRO_PIVOS!$B$6:$B$41,0)),0)</f>
        <v>100.59</v>
      </c>
      <c r="I122" s="16" t="n">
        <f aca="false">IFERROR(SUMIFS(ROTACAO_RDM!$B$6:$B$71,ROTACAO_RDM!$D$6:$D$71,$E122,ROTACAO_RDM!$I$6:$I$71,"&lt;="&amp;$C122+INT(DIAS_POR_SEMANA/2),ROTACAO_RDM!$J$6:$J$71,"&gt;="&amp;$C122+INT(DIAS_POR_SEMANA/2)),0)</f>
        <v>0</v>
      </c>
      <c r="J122" s="16" t="n">
        <f aca="false">IFERROR(MATCH($I122,ROTACAO_RDM!$B$6:$B$71,0),0)</f>
        <v>0</v>
      </c>
      <c r="K122" s="8" t="str">
        <f aca="false">IF($J122=0,"SEM CULTURA",INDEX(ROTACAO_RDM!$F$6:$F$71,$J122))</f>
        <v>SEM CULTURA</v>
      </c>
      <c r="L122" s="8" t="str">
        <f aca="false">IF($J122=0,"",INDEX(ROTACAO_RDM!$G$6:$G$71,$J122))</f>
        <v/>
      </c>
      <c r="M122" s="17" t="str">
        <f aca="false">IF($J122=0,"",INDEX(ROTACAO_RDM!$I$6:$I$71,$J122))</f>
        <v/>
      </c>
      <c r="N122" s="16" t="n">
        <f aca="false">IF($J122=0,0,MAX(0,$C122+INT(DIAS_POR_SEMANA/2)-INDEX(ROTACAO_RDM!$I$6:$I$71,$J122)))</f>
        <v>0</v>
      </c>
      <c r="O122" s="19" t="n">
        <f aca="false">IF($J122=0,0,MIN(1,$N122/MAX(1,INDEX(ROTACAO_RDM!$K$6:$K$71,$J122))))</f>
        <v>0</v>
      </c>
      <c r="P122" s="16" t="n">
        <f aca="false">IF($J122=0,0,IFERROR(MATCH(INDEX(ROTACAO_RDM!$N$6:$N$71,$J122),PARAMETROS_CULTURAS!$B$6:$B$28,0),0))</f>
        <v>0</v>
      </c>
      <c r="Q122" s="8" t="str">
        <f aca="false">IF($P122=0,"-",IF($O122&lt;=INDEX(PARAMETROS_CULTURAS!$F$6:$F$28,$P122),"INICIAL",IF($O122&lt;=INDEX(PARAMETROS_CULTURAS!$F$6:$F$28,$P122)+INDEX(PARAMETROS_CULTURAS!$G$6:$G$28,$P122),"DESENVOLVIMENTO",IF($O122&lt;=INDEX(PARAMETROS_CULTURAS!$F$6:$F$28,$P122)+INDEX(PARAMETROS_CULTURAS!$G$6:$G$28,$P122)+INDEX(PARAMETROS_CULTURAS!$H$6:$H$28,$P122),"MEDIA","FINAL"))))</f>
        <v>-</v>
      </c>
      <c r="R122" s="24" t="n">
        <f aca="false">IF($P122=0,0,IF($O122&lt;=INDEX(PARAMETROS_CULTURAS!$F$6:$F$28,$P122),INDEX(PARAMETROS_CULTURAS!$K$6:$K$28,$P122),IF($O122&lt;=INDEX(PARAMETROS_CULTURAS!$F$6:$F$28,$P122)+INDEX(PARAMETROS_CULTURAS!$G$6:$G$28,$P122),INDEX(PARAMETROS_CULTURAS!$K$6:$K$28,$P122)+(INDEX(PARAMETROS_CULTURAS!$L$6:$L$28,$P122)-INDEX(PARAMETROS_CULTURAS!$K$6:$K$28,$P122))*($O122-INDEX(PARAMETROS_CULTURAS!$F$6:$F$28,$P122))/MAX(INDEX(PARAMETROS_CULTURAS!$G$6:$G$28,$P122),0.0001),IF($O122&lt;=INDEX(PARAMETROS_CULTURAS!$F$6:$F$28,$P122)+INDEX(PARAMETROS_CULTURAS!$G$6:$G$28,$P122)+INDEX(PARAMETROS_CULTURAS!$H$6:$H$28,$P122),INDEX(PARAMETROS_CULTURAS!$L$6:$L$28,$P122),INDEX(PARAMETROS_CULTURAS!$L$6:$L$28,$P122)+(INDEX(PARAMETROS_CULTURAS!$M$6:$M$28,$P122)-INDEX(PARAMETROS_CULTURAS!$L$6:$L$28,$P122))*($O122-INDEX(PARAMETROS_CULTURAS!$F$6:$F$28,$P122)-INDEX(PARAMETROS_CULTURAS!$G$6:$G$28,$P122)-INDEX(PARAMETROS_CULTURAS!$H$6:$H$28,$P122))/MAX(INDEX(PARAMETROS_CULTURAS!$I$6:$I$28,$P122),0.0001)))))</f>
        <v>0</v>
      </c>
      <c r="S122" s="18" t="n">
        <f aca="false">IFERROR(INDEX(SEMANAS!$H$6:$H$71,MATCH($B122,SEMANAS!$B$6:$B$71,0)),0)</f>
        <v>36.4</v>
      </c>
      <c r="T122" s="18" t="n">
        <f aca="false">$R122*$S122</f>
        <v>0</v>
      </c>
      <c r="U122" s="18" t="n">
        <f aca="false">IFERROR(INDEX(SEMANAS!$I$6:$I$71,MATCH($B122,SEMANAS!$B$6:$B$71,0)),0)</f>
        <v>1.12</v>
      </c>
      <c r="V122" s="18" t="n">
        <f aca="false">IFERROR(INDEX(SEMANAS!$J$6:$J$71,MATCH($B122,SEMANAS!$B$6:$B$71,0)),0)</f>
        <v>0.896</v>
      </c>
      <c r="W122" s="18" t="n">
        <f aca="false">MAX(0,$T122-$V122)</f>
        <v>0</v>
      </c>
      <c r="X122" s="19" t="n">
        <f aca="false">IFERROR(INDEX(CADASTRO_PIVOS!$K$6:$K$41,MATCH($E122,CADASTRO_PIVOS!$B$6:$B$41,0)),EFICIENCIA_PADRAO)</f>
        <v>0.85</v>
      </c>
      <c r="Y122" s="18" t="n">
        <f aca="false">IF($X122&lt;=0,0,$W122/$X122)</f>
        <v>0</v>
      </c>
      <c r="Z122" s="16" t="n">
        <f aca="false">$Y122*$H122*MM_PARA_M3_HA</f>
        <v>0</v>
      </c>
      <c r="AA122" s="18" t="n">
        <f aca="false">IFERROR(INDEX(CADASTRO_PIVOS!$I$6:$I$41,MATCH($E122,CADASTRO_PIVOS!$B$6:$B$41,0)),0)</f>
        <v>718.5</v>
      </c>
      <c r="AB122" s="18" t="n">
        <f aca="false">IF($Z122&lt;=0,0,$Z122/$AA122)</f>
        <v>0</v>
      </c>
      <c r="AC122" s="16" t="n">
        <f aca="false">IFERROR(INDEX(SEMANAS!$K$6:$K$71,MATCH($B122,SEMANAS!$B$6:$B$71,0)),0)</f>
        <v>147</v>
      </c>
      <c r="AD122" s="19" t="n">
        <f aca="false">IF($AC122&lt;=0,0,$AB122/$AC122)</f>
        <v>0</v>
      </c>
      <c r="AE122" s="8" t="str">
        <f aca="false">IF($K122="SEM CULTURA","SEM CULTURA",IF($AA122&lt;=0,"DADO PENDENTE",IF($AD122&gt;LIMITE_CRITICO,"INVIAVEL",IF($AD122&gt;LIMITE_ATENCAO,"CRITICO",IF($AD122&gt;LIMITE_CONFORTAVEL,"ATENCAO","OK")))))</f>
        <v>SEM CULTURA</v>
      </c>
      <c r="AF122" s="8" t="str">
        <f aca="false">$B122&amp;"|"&amp;TEXT($AD122,"0.000000")</f>
        <v>51|0.000000</v>
      </c>
      <c r="AG122" s="18" t="n">
        <f aca="false">IF($K122="SEM CULTURA",0,$T122*$H122)</f>
        <v>0</v>
      </c>
      <c r="AH122" s="18" t="n">
        <f aca="false">IF($K122="SEM CULTURA",0,$V122*$H122)</f>
        <v>0</v>
      </c>
      <c r="AI122" s="18" t="n">
        <f aca="false">IF($K122="SEM CULTURA",0,$W122*$H122)</f>
        <v>0</v>
      </c>
      <c r="AJ122" s="18" t="n">
        <f aca="false">IF($K122="SEM CULTURA",0,$S122*$H122)</f>
        <v>0</v>
      </c>
      <c r="AK122" s="8" t="str">
        <f aca="false">$E122&amp;"|"&amp;TEXT($AD122,"0.000000")</f>
        <v>PV 106|0.000000</v>
      </c>
    </row>
    <row r="123" customFormat="false" ht="15" hidden="false" customHeight="false" outlineLevel="0" collapsed="false">
      <c r="B123" s="16" t="n">
        <v>52</v>
      </c>
      <c r="C123" s="17" t="n">
        <f aca="false">DATA_INICIO_SAFRA+($B123-1)*DIAS_POR_SEMANA</f>
        <v>46622</v>
      </c>
      <c r="D123" s="17" t="n">
        <f aca="false">$C123+DIAS_POR_SEMANA-1</f>
        <v>46628</v>
      </c>
      <c r="E123" s="15" t="s">
        <v>260</v>
      </c>
      <c r="F123" s="8" t="str">
        <f aca="false">IFERROR(INDEX(CADASTRO_PIVOS!$C$6:$C$41,MATCH($E123,CADASTRO_PIVOS!$B$6:$B$41,0)),"?")</f>
        <v>RM02</v>
      </c>
      <c r="G123" s="8" t="str">
        <f aca="false">IFERROR(INDEX(CADASTRO_PIVOS!$D$6:$D$41,MATCH($E123,CADASTRO_PIVOS!$B$6:$B$41,0)),"?")</f>
        <v>TR02</v>
      </c>
      <c r="H123" s="20" t="n">
        <f aca="false">IFERROR(INDEX(CADASTRO_PIVOS!$E$6:$E$41,MATCH($E123,CADASTRO_PIVOS!$B$6:$B$41,0)),0)</f>
        <v>100.59</v>
      </c>
      <c r="I123" s="16" t="n">
        <f aca="false">IFERROR(SUMIFS(ROTACAO_RDM!$B$6:$B$71,ROTACAO_RDM!$D$6:$D$71,$E123,ROTACAO_RDM!$I$6:$I$71,"&lt;="&amp;$C123+INT(DIAS_POR_SEMANA/2),ROTACAO_RDM!$J$6:$J$71,"&gt;="&amp;$C123+INT(DIAS_POR_SEMANA/2)),0)</f>
        <v>0</v>
      </c>
      <c r="J123" s="16" t="n">
        <f aca="false">IFERROR(MATCH($I123,ROTACAO_RDM!$B$6:$B$71,0),0)</f>
        <v>0</v>
      </c>
      <c r="K123" s="8" t="str">
        <f aca="false">IF($J123=0,"SEM CULTURA",INDEX(ROTACAO_RDM!$F$6:$F$71,$J123))</f>
        <v>SEM CULTURA</v>
      </c>
      <c r="L123" s="8" t="str">
        <f aca="false">IF($J123=0,"",INDEX(ROTACAO_RDM!$G$6:$G$71,$J123))</f>
        <v/>
      </c>
      <c r="M123" s="17" t="str">
        <f aca="false">IF($J123=0,"",INDEX(ROTACAO_RDM!$I$6:$I$71,$J123))</f>
        <v/>
      </c>
      <c r="N123" s="16" t="n">
        <f aca="false">IF($J123=0,0,MAX(0,$C123+INT(DIAS_POR_SEMANA/2)-INDEX(ROTACAO_RDM!$I$6:$I$71,$J123)))</f>
        <v>0</v>
      </c>
      <c r="O123" s="19" t="n">
        <f aca="false">IF($J123=0,0,MIN(1,$N123/MAX(1,INDEX(ROTACAO_RDM!$K$6:$K$71,$J123))))</f>
        <v>0</v>
      </c>
      <c r="P123" s="16" t="n">
        <f aca="false">IF($J123=0,0,IFERROR(MATCH(INDEX(ROTACAO_RDM!$N$6:$N$71,$J123),PARAMETROS_CULTURAS!$B$6:$B$28,0),0))</f>
        <v>0</v>
      </c>
      <c r="Q123" s="8" t="str">
        <f aca="false">IF($P123=0,"-",IF($O123&lt;=INDEX(PARAMETROS_CULTURAS!$F$6:$F$28,$P123),"INICIAL",IF($O123&lt;=INDEX(PARAMETROS_CULTURAS!$F$6:$F$28,$P123)+INDEX(PARAMETROS_CULTURAS!$G$6:$G$28,$P123),"DESENVOLVIMENTO",IF($O123&lt;=INDEX(PARAMETROS_CULTURAS!$F$6:$F$28,$P123)+INDEX(PARAMETROS_CULTURAS!$G$6:$G$28,$P123)+INDEX(PARAMETROS_CULTURAS!$H$6:$H$28,$P123),"MEDIA","FINAL"))))</f>
        <v>-</v>
      </c>
      <c r="R123" s="24" t="n">
        <f aca="false">IF($P123=0,0,IF($O123&lt;=INDEX(PARAMETROS_CULTURAS!$F$6:$F$28,$P123),INDEX(PARAMETROS_CULTURAS!$K$6:$K$28,$P123),IF($O123&lt;=INDEX(PARAMETROS_CULTURAS!$F$6:$F$28,$P123)+INDEX(PARAMETROS_CULTURAS!$G$6:$G$28,$P123),INDEX(PARAMETROS_CULTURAS!$K$6:$K$28,$P123)+(INDEX(PARAMETROS_CULTURAS!$L$6:$L$28,$P123)-INDEX(PARAMETROS_CULTURAS!$K$6:$K$28,$P123))*($O123-INDEX(PARAMETROS_CULTURAS!$F$6:$F$28,$P123))/MAX(INDEX(PARAMETROS_CULTURAS!$G$6:$G$28,$P123),0.0001),IF($O123&lt;=INDEX(PARAMETROS_CULTURAS!$F$6:$F$28,$P123)+INDEX(PARAMETROS_CULTURAS!$G$6:$G$28,$P123)+INDEX(PARAMETROS_CULTURAS!$H$6:$H$28,$P123),INDEX(PARAMETROS_CULTURAS!$L$6:$L$28,$P123),INDEX(PARAMETROS_CULTURAS!$L$6:$L$28,$P123)+(INDEX(PARAMETROS_CULTURAS!$M$6:$M$28,$P123)-INDEX(PARAMETROS_CULTURAS!$L$6:$L$28,$P123))*($O123-INDEX(PARAMETROS_CULTURAS!$F$6:$F$28,$P123)-INDEX(PARAMETROS_CULTURAS!$G$6:$G$28,$P123)-INDEX(PARAMETROS_CULTURAS!$H$6:$H$28,$P123))/MAX(INDEX(PARAMETROS_CULTURAS!$I$6:$I$28,$P123),0.0001)))))</f>
        <v>0</v>
      </c>
      <c r="S123" s="18" t="n">
        <f aca="false">IFERROR(INDEX(SEMANAS!$H$6:$H$71,MATCH($B123,SEMANAS!$B$6:$B$71,0)),0)</f>
        <v>36.4</v>
      </c>
      <c r="T123" s="18" t="n">
        <f aca="false">$R123*$S123</f>
        <v>0</v>
      </c>
      <c r="U123" s="18" t="n">
        <f aca="false">IFERROR(INDEX(SEMANAS!$I$6:$I$71,MATCH($B123,SEMANAS!$B$6:$B$71,0)),0)</f>
        <v>1.12</v>
      </c>
      <c r="V123" s="18" t="n">
        <f aca="false">IFERROR(INDEX(SEMANAS!$J$6:$J$71,MATCH($B123,SEMANAS!$B$6:$B$71,0)),0)</f>
        <v>0.896</v>
      </c>
      <c r="W123" s="18" t="n">
        <f aca="false">MAX(0,$T123-$V123)</f>
        <v>0</v>
      </c>
      <c r="X123" s="19" t="n">
        <f aca="false">IFERROR(INDEX(CADASTRO_PIVOS!$K$6:$K$41,MATCH($E123,CADASTRO_PIVOS!$B$6:$B$41,0)),EFICIENCIA_PADRAO)</f>
        <v>0.85</v>
      </c>
      <c r="Y123" s="18" t="n">
        <f aca="false">IF($X123&lt;=0,0,$W123/$X123)</f>
        <v>0</v>
      </c>
      <c r="Z123" s="16" t="n">
        <f aca="false">$Y123*$H123*MM_PARA_M3_HA</f>
        <v>0</v>
      </c>
      <c r="AA123" s="18" t="n">
        <f aca="false">IFERROR(INDEX(CADASTRO_PIVOS!$I$6:$I$41,MATCH($E123,CADASTRO_PIVOS!$B$6:$B$41,0)),0)</f>
        <v>718.5</v>
      </c>
      <c r="AB123" s="18" t="n">
        <f aca="false">IF($Z123&lt;=0,0,$Z123/$AA123)</f>
        <v>0</v>
      </c>
      <c r="AC123" s="16" t="n">
        <f aca="false">IFERROR(INDEX(SEMANAS!$K$6:$K$71,MATCH($B123,SEMANAS!$B$6:$B$71,0)),0)</f>
        <v>147</v>
      </c>
      <c r="AD123" s="19" t="n">
        <f aca="false">IF($AC123&lt;=0,0,$AB123/$AC123)</f>
        <v>0</v>
      </c>
      <c r="AE123" s="8" t="str">
        <f aca="false">IF($K123="SEM CULTURA","SEM CULTURA",IF($AA123&lt;=0,"DADO PENDENTE",IF($AD123&gt;LIMITE_CRITICO,"INVIAVEL",IF($AD123&gt;LIMITE_ATENCAO,"CRITICO",IF($AD123&gt;LIMITE_CONFORTAVEL,"ATENCAO","OK")))))</f>
        <v>SEM CULTURA</v>
      </c>
      <c r="AF123" s="8" t="str">
        <f aca="false">$B123&amp;"|"&amp;TEXT($AD123,"0.000000")</f>
        <v>52|0.000000</v>
      </c>
      <c r="AG123" s="18" t="n">
        <f aca="false">IF($K123="SEM CULTURA",0,$T123*$H123)</f>
        <v>0</v>
      </c>
      <c r="AH123" s="18" t="n">
        <f aca="false">IF($K123="SEM CULTURA",0,$V123*$H123)</f>
        <v>0</v>
      </c>
      <c r="AI123" s="18" t="n">
        <f aca="false">IF($K123="SEM CULTURA",0,$W123*$H123)</f>
        <v>0</v>
      </c>
      <c r="AJ123" s="18" t="n">
        <f aca="false">IF($K123="SEM CULTURA",0,$S123*$H123)</f>
        <v>0</v>
      </c>
      <c r="AK123" s="8" t="str">
        <f aca="false">$E123&amp;"|"&amp;TEXT($AD123,"0.000000")</f>
        <v>PV 106|0.000000</v>
      </c>
    </row>
    <row r="124" customFormat="false" ht="15" hidden="false" customHeight="false" outlineLevel="0" collapsed="false">
      <c r="B124" s="16" t="n">
        <v>53</v>
      </c>
      <c r="C124" s="17" t="n">
        <f aca="false">DATA_INICIO_SAFRA+($B124-1)*DIAS_POR_SEMANA</f>
        <v>46629</v>
      </c>
      <c r="D124" s="17" t="n">
        <f aca="false">$C124+DIAS_POR_SEMANA-1</f>
        <v>46635</v>
      </c>
      <c r="E124" s="15" t="s">
        <v>260</v>
      </c>
      <c r="F124" s="8" t="str">
        <f aca="false">IFERROR(INDEX(CADASTRO_PIVOS!$C$6:$C$41,MATCH($E124,CADASTRO_PIVOS!$B$6:$B$41,0)),"?")</f>
        <v>RM02</v>
      </c>
      <c r="G124" s="8" t="str">
        <f aca="false">IFERROR(INDEX(CADASTRO_PIVOS!$D$6:$D$41,MATCH($E124,CADASTRO_PIVOS!$B$6:$B$41,0)),"?")</f>
        <v>TR02</v>
      </c>
      <c r="H124" s="20" t="n">
        <f aca="false">IFERROR(INDEX(CADASTRO_PIVOS!$E$6:$E$41,MATCH($E124,CADASTRO_PIVOS!$B$6:$B$41,0)),0)</f>
        <v>100.59</v>
      </c>
      <c r="I124" s="16" t="n">
        <f aca="false">IFERROR(SUMIFS(ROTACAO_RDM!$B$6:$B$71,ROTACAO_RDM!$D$6:$D$71,$E124,ROTACAO_RDM!$I$6:$I$71,"&lt;="&amp;$C124+INT(DIAS_POR_SEMANA/2),ROTACAO_RDM!$J$6:$J$71,"&gt;="&amp;$C124+INT(DIAS_POR_SEMANA/2)),0)</f>
        <v>0</v>
      </c>
      <c r="J124" s="16" t="n">
        <f aca="false">IFERROR(MATCH($I124,ROTACAO_RDM!$B$6:$B$71,0),0)</f>
        <v>0</v>
      </c>
      <c r="K124" s="8" t="str">
        <f aca="false">IF($J124=0,"SEM CULTURA",INDEX(ROTACAO_RDM!$F$6:$F$71,$J124))</f>
        <v>SEM CULTURA</v>
      </c>
      <c r="L124" s="8" t="str">
        <f aca="false">IF($J124=0,"",INDEX(ROTACAO_RDM!$G$6:$G$71,$J124))</f>
        <v/>
      </c>
      <c r="M124" s="17" t="str">
        <f aca="false">IF($J124=0,"",INDEX(ROTACAO_RDM!$I$6:$I$71,$J124))</f>
        <v/>
      </c>
      <c r="N124" s="16" t="n">
        <f aca="false">IF($J124=0,0,MAX(0,$C124+INT(DIAS_POR_SEMANA/2)-INDEX(ROTACAO_RDM!$I$6:$I$71,$J124)))</f>
        <v>0</v>
      </c>
      <c r="O124" s="19" t="n">
        <f aca="false">IF($J124=0,0,MIN(1,$N124/MAX(1,INDEX(ROTACAO_RDM!$K$6:$K$71,$J124))))</f>
        <v>0</v>
      </c>
      <c r="P124" s="16" t="n">
        <f aca="false">IF($J124=0,0,IFERROR(MATCH(INDEX(ROTACAO_RDM!$N$6:$N$71,$J124),PARAMETROS_CULTURAS!$B$6:$B$28,0),0))</f>
        <v>0</v>
      </c>
      <c r="Q124" s="8" t="str">
        <f aca="false">IF($P124=0,"-",IF($O124&lt;=INDEX(PARAMETROS_CULTURAS!$F$6:$F$28,$P124),"INICIAL",IF($O124&lt;=INDEX(PARAMETROS_CULTURAS!$F$6:$F$28,$P124)+INDEX(PARAMETROS_CULTURAS!$G$6:$G$28,$P124),"DESENVOLVIMENTO",IF($O124&lt;=INDEX(PARAMETROS_CULTURAS!$F$6:$F$28,$P124)+INDEX(PARAMETROS_CULTURAS!$G$6:$G$28,$P124)+INDEX(PARAMETROS_CULTURAS!$H$6:$H$28,$P124),"MEDIA","FINAL"))))</f>
        <v>-</v>
      </c>
      <c r="R124" s="24" t="n">
        <f aca="false">IF($P124=0,0,IF($O124&lt;=INDEX(PARAMETROS_CULTURAS!$F$6:$F$28,$P124),INDEX(PARAMETROS_CULTURAS!$K$6:$K$28,$P124),IF($O124&lt;=INDEX(PARAMETROS_CULTURAS!$F$6:$F$28,$P124)+INDEX(PARAMETROS_CULTURAS!$G$6:$G$28,$P124),INDEX(PARAMETROS_CULTURAS!$K$6:$K$28,$P124)+(INDEX(PARAMETROS_CULTURAS!$L$6:$L$28,$P124)-INDEX(PARAMETROS_CULTURAS!$K$6:$K$28,$P124))*($O124-INDEX(PARAMETROS_CULTURAS!$F$6:$F$28,$P124))/MAX(INDEX(PARAMETROS_CULTURAS!$G$6:$G$28,$P124),0.0001),IF($O124&lt;=INDEX(PARAMETROS_CULTURAS!$F$6:$F$28,$P124)+INDEX(PARAMETROS_CULTURAS!$G$6:$G$28,$P124)+INDEX(PARAMETROS_CULTURAS!$H$6:$H$28,$P124),INDEX(PARAMETROS_CULTURAS!$L$6:$L$28,$P124),INDEX(PARAMETROS_CULTURAS!$L$6:$L$28,$P124)+(INDEX(PARAMETROS_CULTURAS!$M$6:$M$28,$P124)-INDEX(PARAMETROS_CULTURAS!$L$6:$L$28,$P124))*($O124-INDEX(PARAMETROS_CULTURAS!$F$6:$F$28,$P124)-INDEX(PARAMETROS_CULTURAS!$G$6:$G$28,$P124)-INDEX(PARAMETROS_CULTURAS!$H$6:$H$28,$P124))/MAX(INDEX(PARAMETROS_CULTURAS!$I$6:$I$28,$P124),0.0001)))))</f>
        <v>0</v>
      </c>
      <c r="S124" s="18" t="n">
        <f aca="false">IFERROR(INDEX(SEMANAS!$H$6:$H$71,MATCH($B124,SEMANAS!$B$6:$B$71,0)),0)</f>
        <v>39.4</v>
      </c>
      <c r="T124" s="18" t="n">
        <f aca="false">$R124*$S124</f>
        <v>0</v>
      </c>
      <c r="U124" s="18" t="n">
        <f aca="false">IFERROR(INDEX(SEMANAS!$I$6:$I$71,MATCH($B124,SEMANAS!$B$6:$B$71,0)),0)</f>
        <v>5.32</v>
      </c>
      <c r="V124" s="18" t="n">
        <f aca="false">IFERROR(INDEX(SEMANAS!$J$6:$J$71,MATCH($B124,SEMANAS!$B$6:$B$71,0)),0)</f>
        <v>4.256</v>
      </c>
      <c r="W124" s="18" t="n">
        <f aca="false">MAX(0,$T124-$V124)</f>
        <v>0</v>
      </c>
      <c r="X124" s="19" t="n">
        <f aca="false">IFERROR(INDEX(CADASTRO_PIVOS!$K$6:$K$41,MATCH($E124,CADASTRO_PIVOS!$B$6:$B$41,0)),EFICIENCIA_PADRAO)</f>
        <v>0.85</v>
      </c>
      <c r="Y124" s="18" t="n">
        <f aca="false">IF($X124&lt;=0,0,$W124/$X124)</f>
        <v>0</v>
      </c>
      <c r="Z124" s="16" t="n">
        <f aca="false">$Y124*$H124*MM_PARA_M3_HA</f>
        <v>0</v>
      </c>
      <c r="AA124" s="18" t="n">
        <f aca="false">IFERROR(INDEX(CADASTRO_PIVOS!$I$6:$I$41,MATCH($E124,CADASTRO_PIVOS!$B$6:$B$41,0)),0)</f>
        <v>718.5</v>
      </c>
      <c r="AB124" s="18" t="n">
        <f aca="false">IF($Z124&lt;=0,0,$Z124/$AA124)</f>
        <v>0</v>
      </c>
      <c r="AC124" s="16" t="n">
        <f aca="false">IFERROR(INDEX(SEMANAS!$K$6:$K$71,MATCH($B124,SEMANAS!$B$6:$B$71,0)),0)</f>
        <v>147</v>
      </c>
      <c r="AD124" s="19" t="n">
        <f aca="false">IF($AC124&lt;=0,0,$AB124/$AC124)</f>
        <v>0</v>
      </c>
      <c r="AE124" s="8" t="str">
        <f aca="false">IF($K124="SEM CULTURA","SEM CULTURA",IF($AA124&lt;=0,"DADO PENDENTE",IF($AD124&gt;LIMITE_CRITICO,"INVIAVEL",IF($AD124&gt;LIMITE_ATENCAO,"CRITICO",IF($AD124&gt;LIMITE_CONFORTAVEL,"ATENCAO","OK")))))</f>
        <v>SEM CULTURA</v>
      </c>
      <c r="AF124" s="8" t="str">
        <f aca="false">$B124&amp;"|"&amp;TEXT($AD124,"0.000000")</f>
        <v>53|0.000000</v>
      </c>
      <c r="AG124" s="18" t="n">
        <f aca="false">IF($K124="SEM CULTURA",0,$T124*$H124)</f>
        <v>0</v>
      </c>
      <c r="AH124" s="18" t="n">
        <f aca="false">IF($K124="SEM CULTURA",0,$V124*$H124)</f>
        <v>0</v>
      </c>
      <c r="AI124" s="18" t="n">
        <f aca="false">IF($K124="SEM CULTURA",0,$W124*$H124)</f>
        <v>0</v>
      </c>
      <c r="AJ124" s="18" t="n">
        <f aca="false">IF($K124="SEM CULTURA",0,$S124*$H124)</f>
        <v>0</v>
      </c>
      <c r="AK124" s="8" t="str">
        <f aca="false">$E124&amp;"|"&amp;TEXT($AD124,"0.000000")</f>
        <v>PV 106|0.000000</v>
      </c>
    </row>
    <row r="125" customFormat="false" ht="15" hidden="false" customHeight="false" outlineLevel="0" collapsed="false">
      <c r="B125" s="16" t="n">
        <v>54</v>
      </c>
      <c r="C125" s="17" t="n">
        <f aca="false">DATA_INICIO_SAFRA+($B125-1)*DIAS_POR_SEMANA</f>
        <v>46636</v>
      </c>
      <c r="D125" s="17" t="n">
        <f aca="false">$C125+DIAS_POR_SEMANA-1</f>
        <v>46642</v>
      </c>
      <c r="E125" s="15" t="s">
        <v>260</v>
      </c>
      <c r="F125" s="8" t="str">
        <f aca="false">IFERROR(INDEX(CADASTRO_PIVOS!$C$6:$C$41,MATCH($E125,CADASTRO_PIVOS!$B$6:$B$41,0)),"?")</f>
        <v>RM02</v>
      </c>
      <c r="G125" s="8" t="str">
        <f aca="false">IFERROR(INDEX(CADASTRO_PIVOS!$D$6:$D$41,MATCH($E125,CADASTRO_PIVOS!$B$6:$B$41,0)),"?")</f>
        <v>TR02</v>
      </c>
      <c r="H125" s="20" t="n">
        <f aca="false">IFERROR(INDEX(CADASTRO_PIVOS!$E$6:$E$41,MATCH($E125,CADASTRO_PIVOS!$B$6:$B$41,0)),0)</f>
        <v>100.59</v>
      </c>
      <c r="I125" s="16" t="n">
        <f aca="false">IFERROR(SUMIFS(ROTACAO_RDM!$B$6:$B$71,ROTACAO_RDM!$D$6:$D$71,$E125,ROTACAO_RDM!$I$6:$I$71,"&lt;="&amp;$C125+INT(DIAS_POR_SEMANA/2),ROTACAO_RDM!$J$6:$J$71,"&gt;="&amp;$C125+INT(DIAS_POR_SEMANA/2)),0)</f>
        <v>0</v>
      </c>
      <c r="J125" s="16" t="n">
        <f aca="false">IFERROR(MATCH($I125,ROTACAO_RDM!$B$6:$B$71,0),0)</f>
        <v>0</v>
      </c>
      <c r="K125" s="8" t="str">
        <f aca="false">IF($J125=0,"SEM CULTURA",INDEX(ROTACAO_RDM!$F$6:$F$71,$J125))</f>
        <v>SEM CULTURA</v>
      </c>
      <c r="L125" s="8" t="str">
        <f aca="false">IF($J125=0,"",INDEX(ROTACAO_RDM!$G$6:$G$71,$J125))</f>
        <v/>
      </c>
      <c r="M125" s="17" t="str">
        <f aca="false">IF($J125=0,"",INDEX(ROTACAO_RDM!$I$6:$I$71,$J125))</f>
        <v/>
      </c>
      <c r="N125" s="16" t="n">
        <f aca="false">IF($J125=0,0,MAX(0,$C125+INT(DIAS_POR_SEMANA/2)-INDEX(ROTACAO_RDM!$I$6:$I$71,$J125)))</f>
        <v>0</v>
      </c>
      <c r="O125" s="19" t="n">
        <f aca="false">IF($J125=0,0,MIN(1,$N125/MAX(1,INDEX(ROTACAO_RDM!$K$6:$K$71,$J125))))</f>
        <v>0</v>
      </c>
      <c r="P125" s="16" t="n">
        <f aca="false">IF($J125=0,0,IFERROR(MATCH(INDEX(ROTACAO_RDM!$N$6:$N$71,$J125),PARAMETROS_CULTURAS!$B$6:$B$28,0),0))</f>
        <v>0</v>
      </c>
      <c r="Q125" s="8" t="str">
        <f aca="false">IF($P125=0,"-",IF($O125&lt;=INDEX(PARAMETROS_CULTURAS!$F$6:$F$28,$P125),"INICIAL",IF($O125&lt;=INDEX(PARAMETROS_CULTURAS!$F$6:$F$28,$P125)+INDEX(PARAMETROS_CULTURAS!$G$6:$G$28,$P125),"DESENVOLVIMENTO",IF($O125&lt;=INDEX(PARAMETROS_CULTURAS!$F$6:$F$28,$P125)+INDEX(PARAMETROS_CULTURAS!$G$6:$G$28,$P125)+INDEX(PARAMETROS_CULTURAS!$H$6:$H$28,$P125),"MEDIA","FINAL"))))</f>
        <v>-</v>
      </c>
      <c r="R125" s="24" t="n">
        <f aca="false">IF($P125=0,0,IF($O125&lt;=INDEX(PARAMETROS_CULTURAS!$F$6:$F$28,$P125),INDEX(PARAMETROS_CULTURAS!$K$6:$K$28,$P125),IF($O125&lt;=INDEX(PARAMETROS_CULTURAS!$F$6:$F$28,$P125)+INDEX(PARAMETROS_CULTURAS!$G$6:$G$28,$P125),INDEX(PARAMETROS_CULTURAS!$K$6:$K$28,$P125)+(INDEX(PARAMETROS_CULTURAS!$L$6:$L$28,$P125)-INDEX(PARAMETROS_CULTURAS!$K$6:$K$28,$P125))*($O125-INDEX(PARAMETROS_CULTURAS!$F$6:$F$28,$P125))/MAX(INDEX(PARAMETROS_CULTURAS!$G$6:$G$28,$P125),0.0001),IF($O125&lt;=INDEX(PARAMETROS_CULTURAS!$F$6:$F$28,$P125)+INDEX(PARAMETROS_CULTURAS!$G$6:$G$28,$P125)+INDEX(PARAMETROS_CULTURAS!$H$6:$H$28,$P125),INDEX(PARAMETROS_CULTURAS!$L$6:$L$28,$P125),INDEX(PARAMETROS_CULTURAS!$L$6:$L$28,$P125)+(INDEX(PARAMETROS_CULTURAS!$M$6:$M$28,$P125)-INDEX(PARAMETROS_CULTURAS!$L$6:$L$28,$P125))*($O125-INDEX(PARAMETROS_CULTURAS!$F$6:$F$28,$P125)-INDEX(PARAMETROS_CULTURAS!$G$6:$G$28,$P125)-INDEX(PARAMETROS_CULTURAS!$H$6:$H$28,$P125))/MAX(INDEX(PARAMETROS_CULTURAS!$I$6:$I$28,$P125),0.0001)))))</f>
        <v>0</v>
      </c>
      <c r="S125" s="18" t="n">
        <f aca="false">IFERROR(INDEX(SEMANAS!$H$6:$H$71,MATCH($B125,SEMANAS!$B$6:$B$71,0)),0)</f>
        <v>40.6</v>
      </c>
      <c r="T125" s="18" t="n">
        <f aca="false">$R125*$S125</f>
        <v>0</v>
      </c>
      <c r="U125" s="18" t="n">
        <f aca="false">IFERROR(INDEX(SEMANAS!$I$6:$I$71,MATCH($B125,SEMANAS!$B$6:$B$71,0)),0)</f>
        <v>7</v>
      </c>
      <c r="V125" s="18" t="n">
        <f aca="false">IFERROR(INDEX(SEMANAS!$J$6:$J$71,MATCH($B125,SEMANAS!$B$6:$B$71,0)),0)</f>
        <v>5.6</v>
      </c>
      <c r="W125" s="18" t="n">
        <f aca="false">MAX(0,$T125-$V125)</f>
        <v>0</v>
      </c>
      <c r="X125" s="19" t="n">
        <f aca="false">IFERROR(INDEX(CADASTRO_PIVOS!$K$6:$K$41,MATCH($E125,CADASTRO_PIVOS!$B$6:$B$41,0)),EFICIENCIA_PADRAO)</f>
        <v>0.85</v>
      </c>
      <c r="Y125" s="18" t="n">
        <f aca="false">IF($X125&lt;=0,0,$W125/$X125)</f>
        <v>0</v>
      </c>
      <c r="Z125" s="16" t="n">
        <f aca="false">$Y125*$H125*MM_PARA_M3_HA</f>
        <v>0</v>
      </c>
      <c r="AA125" s="18" t="n">
        <f aca="false">IFERROR(INDEX(CADASTRO_PIVOS!$I$6:$I$41,MATCH($E125,CADASTRO_PIVOS!$B$6:$B$41,0)),0)</f>
        <v>718.5</v>
      </c>
      <c r="AB125" s="18" t="n">
        <f aca="false">IF($Z125&lt;=0,0,$Z125/$AA125)</f>
        <v>0</v>
      </c>
      <c r="AC125" s="16" t="n">
        <f aca="false">IFERROR(INDEX(SEMANAS!$K$6:$K$71,MATCH($B125,SEMANAS!$B$6:$B$71,0)),0)</f>
        <v>147</v>
      </c>
      <c r="AD125" s="19" t="n">
        <f aca="false">IF($AC125&lt;=0,0,$AB125/$AC125)</f>
        <v>0</v>
      </c>
      <c r="AE125" s="8" t="str">
        <f aca="false">IF($K125="SEM CULTURA","SEM CULTURA",IF($AA125&lt;=0,"DADO PENDENTE",IF($AD125&gt;LIMITE_CRITICO,"INVIAVEL",IF($AD125&gt;LIMITE_ATENCAO,"CRITICO",IF($AD125&gt;LIMITE_CONFORTAVEL,"ATENCAO","OK")))))</f>
        <v>SEM CULTURA</v>
      </c>
      <c r="AF125" s="8" t="str">
        <f aca="false">$B125&amp;"|"&amp;TEXT($AD125,"0.000000")</f>
        <v>54|0.000000</v>
      </c>
      <c r="AG125" s="18" t="n">
        <f aca="false">IF($K125="SEM CULTURA",0,$T125*$H125)</f>
        <v>0</v>
      </c>
      <c r="AH125" s="18" t="n">
        <f aca="false">IF($K125="SEM CULTURA",0,$V125*$H125)</f>
        <v>0</v>
      </c>
      <c r="AI125" s="18" t="n">
        <f aca="false">IF($K125="SEM CULTURA",0,$W125*$H125)</f>
        <v>0</v>
      </c>
      <c r="AJ125" s="18" t="n">
        <f aca="false">IF($K125="SEM CULTURA",0,$S125*$H125)</f>
        <v>0</v>
      </c>
      <c r="AK125" s="8" t="str">
        <f aca="false">$E125&amp;"|"&amp;TEXT($AD125,"0.000000")</f>
        <v>PV 106|0.000000</v>
      </c>
    </row>
    <row r="126" customFormat="false" ht="15" hidden="false" customHeight="false" outlineLevel="0" collapsed="false">
      <c r="B126" s="16" t="n">
        <v>55</v>
      </c>
      <c r="C126" s="17" t="n">
        <f aca="false">DATA_INICIO_SAFRA+($B126-1)*DIAS_POR_SEMANA</f>
        <v>46643</v>
      </c>
      <c r="D126" s="17" t="n">
        <f aca="false">$C126+DIAS_POR_SEMANA-1</f>
        <v>46649</v>
      </c>
      <c r="E126" s="15" t="s">
        <v>260</v>
      </c>
      <c r="F126" s="8" t="str">
        <f aca="false">IFERROR(INDEX(CADASTRO_PIVOS!$C$6:$C$41,MATCH($E126,CADASTRO_PIVOS!$B$6:$B$41,0)),"?")</f>
        <v>RM02</v>
      </c>
      <c r="G126" s="8" t="str">
        <f aca="false">IFERROR(INDEX(CADASTRO_PIVOS!$D$6:$D$41,MATCH($E126,CADASTRO_PIVOS!$B$6:$B$41,0)),"?")</f>
        <v>TR02</v>
      </c>
      <c r="H126" s="20" t="n">
        <f aca="false">IFERROR(INDEX(CADASTRO_PIVOS!$E$6:$E$41,MATCH($E126,CADASTRO_PIVOS!$B$6:$B$41,0)),0)</f>
        <v>100.59</v>
      </c>
      <c r="I126" s="16" t="n">
        <f aca="false">IFERROR(SUMIFS(ROTACAO_RDM!$B$6:$B$71,ROTACAO_RDM!$D$6:$D$71,$E126,ROTACAO_RDM!$I$6:$I$71,"&lt;="&amp;$C126+INT(DIAS_POR_SEMANA/2),ROTACAO_RDM!$J$6:$J$71,"&gt;="&amp;$C126+INT(DIAS_POR_SEMANA/2)),0)</f>
        <v>0</v>
      </c>
      <c r="J126" s="16" t="n">
        <f aca="false">IFERROR(MATCH($I126,ROTACAO_RDM!$B$6:$B$71,0),0)</f>
        <v>0</v>
      </c>
      <c r="K126" s="8" t="str">
        <f aca="false">IF($J126=0,"SEM CULTURA",INDEX(ROTACAO_RDM!$F$6:$F$71,$J126))</f>
        <v>SEM CULTURA</v>
      </c>
      <c r="L126" s="8" t="str">
        <f aca="false">IF($J126=0,"",INDEX(ROTACAO_RDM!$G$6:$G$71,$J126))</f>
        <v/>
      </c>
      <c r="M126" s="17" t="str">
        <f aca="false">IF($J126=0,"",INDEX(ROTACAO_RDM!$I$6:$I$71,$J126))</f>
        <v/>
      </c>
      <c r="N126" s="16" t="n">
        <f aca="false">IF($J126=0,0,MAX(0,$C126+INT(DIAS_POR_SEMANA/2)-INDEX(ROTACAO_RDM!$I$6:$I$71,$J126)))</f>
        <v>0</v>
      </c>
      <c r="O126" s="19" t="n">
        <f aca="false">IF($J126=0,0,MIN(1,$N126/MAX(1,INDEX(ROTACAO_RDM!$K$6:$K$71,$J126))))</f>
        <v>0</v>
      </c>
      <c r="P126" s="16" t="n">
        <f aca="false">IF($J126=0,0,IFERROR(MATCH(INDEX(ROTACAO_RDM!$N$6:$N$71,$J126),PARAMETROS_CULTURAS!$B$6:$B$28,0),0))</f>
        <v>0</v>
      </c>
      <c r="Q126" s="8" t="str">
        <f aca="false">IF($P126=0,"-",IF($O126&lt;=INDEX(PARAMETROS_CULTURAS!$F$6:$F$28,$P126),"INICIAL",IF($O126&lt;=INDEX(PARAMETROS_CULTURAS!$F$6:$F$28,$P126)+INDEX(PARAMETROS_CULTURAS!$G$6:$G$28,$P126),"DESENVOLVIMENTO",IF($O126&lt;=INDEX(PARAMETROS_CULTURAS!$F$6:$F$28,$P126)+INDEX(PARAMETROS_CULTURAS!$G$6:$G$28,$P126)+INDEX(PARAMETROS_CULTURAS!$H$6:$H$28,$P126),"MEDIA","FINAL"))))</f>
        <v>-</v>
      </c>
      <c r="R126" s="24" t="n">
        <f aca="false">IF($P126=0,0,IF($O126&lt;=INDEX(PARAMETROS_CULTURAS!$F$6:$F$28,$P126),INDEX(PARAMETROS_CULTURAS!$K$6:$K$28,$P126),IF($O126&lt;=INDEX(PARAMETROS_CULTURAS!$F$6:$F$28,$P126)+INDEX(PARAMETROS_CULTURAS!$G$6:$G$28,$P126),INDEX(PARAMETROS_CULTURAS!$K$6:$K$28,$P126)+(INDEX(PARAMETROS_CULTURAS!$L$6:$L$28,$P126)-INDEX(PARAMETROS_CULTURAS!$K$6:$K$28,$P126))*($O126-INDEX(PARAMETROS_CULTURAS!$F$6:$F$28,$P126))/MAX(INDEX(PARAMETROS_CULTURAS!$G$6:$G$28,$P126),0.0001),IF($O126&lt;=INDEX(PARAMETROS_CULTURAS!$F$6:$F$28,$P126)+INDEX(PARAMETROS_CULTURAS!$G$6:$G$28,$P126)+INDEX(PARAMETROS_CULTURAS!$H$6:$H$28,$P126),INDEX(PARAMETROS_CULTURAS!$L$6:$L$28,$P126),INDEX(PARAMETROS_CULTURAS!$L$6:$L$28,$P126)+(INDEX(PARAMETROS_CULTURAS!$M$6:$M$28,$P126)-INDEX(PARAMETROS_CULTURAS!$L$6:$L$28,$P126))*($O126-INDEX(PARAMETROS_CULTURAS!$F$6:$F$28,$P126)-INDEX(PARAMETROS_CULTURAS!$G$6:$G$28,$P126)-INDEX(PARAMETROS_CULTURAS!$H$6:$H$28,$P126))/MAX(INDEX(PARAMETROS_CULTURAS!$I$6:$I$28,$P126),0.0001)))))</f>
        <v>0</v>
      </c>
      <c r="S126" s="18" t="n">
        <f aca="false">IFERROR(INDEX(SEMANAS!$H$6:$H$71,MATCH($B126,SEMANAS!$B$6:$B$71,0)),0)</f>
        <v>40.6</v>
      </c>
      <c r="T126" s="18" t="n">
        <f aca="false">$R126*$S126</f>
        <v>0</v>
      </c>
      <c r="U126" s="18" t="n">
        <f aca="false">IFERROR(INDEX(SEMANAS!$I$6:$I$71,MATCH($B126,SEMANAS!$B$6:$B$71,0)),0)</f>
        <v>7</v>
      </c>
      <c r="V126" s="18" t="n">
        <f aca="false">IFERROR(INDEX(SEMANAS!$J$6:$J$71,MATCH($B126,SEMANAS!$B$6:$B$71,0)),0)</f>
        <v>5.6</v>
      </c>
      <c r="W126" s="18" t="n">
        <f aca="false">MAX(0,$T126-$V126)</f>
        <v>0</v>
      </c>
      <c r="X126" s="19" t="n">
        <f aca="false">IFERROR(INDEX(CADASTRO_PIVOS!$K$6:$K$41,MATCH($E126,CADASTRO_PIVOS!$B$6:$B$41,0)),EFICIENCIA_PADRAO)</f>
        <v>0.85</v>
      </c>
      <c r="Y126" s="18" t="n">
        <f aca="false">IF($X126&lt;=0,0,$W126/$X126)</f>
        <v>0</v>
      </c>
      <c r="Z126" s="16" t="n">
        <f aca="false">$Y126*$H126*MM_PARA_M3_HA</f>
        <v>0</v>
      </c>
      <c r="AA126" s="18" t="n">
        <f aca="false">IFERROR(INDEX(CADASTRO_PIVOS!$I$6:$I$41,MATCH($E126,CADASTRO_PIVOS!$B$6:$B$41,0)),0)</f>
        <v>718.5</v>
      </c>
      <c r="AB126" s="18" t="n">
        <f aca="false">IF($Z126&lt;=0,0,$Z126/$AA126)</f>
        <v>0</v>
      </c>
      <c r="AC126" s="16" t="n">
        <f aca="false">IFERROR(INDEX(SEMANAS!$K$6:$K$71,MATCH($B126,SEMANAS!$B$6:$B$71,0)),0)</f>
        <v>147</v>
      </c>
      <c r="AD126" s="19" t="n">
        <f aca="false">IF($AC126&lt;=0,0,$AB126/$AC126)</f>
        <v>0</v>
      </c>
      <c r="AE126" s="8" t="str">
        <f aca="false">IF($K126="SEM CULTURA","SEM CULTURA",IF($AA126&lt;=0,"DADO PENDENTE",IF($AD126&gt;LIMITE_CRITICO,"INVIAVEL",IF($AD126&gt;LIMITE_ATENCAO,"CRITICO",IF($AD126&gt;LIMITE_CONFORTAVEL,"ATENCAO","OK")))))</f>
        <v>SEM CULTURA</v>
      </c>
      <c r="AF126" s="8" t="str">
        <f aca="false">$B126&amp;"|"&amp;TEXT($AD126,"0.000000")</f>
        <v>55|0.000000</v>
      </c>
      <c r="AG126" s="18" t="n">
        <f aca="false">IF($K126="SEM CULTURA",0,$T126*$H126)</f>
        <v>0</v>
      </c>
      <c r="AH126" s="18" t="n">
        <f aca="false">IF($K126="SEM CULTURA",0,$V126*$H126)</f>
        <v>0</v>
      </c>
      <c r="AI126" s="18" t="n">
        <f aca="false">IF($K126="SEM CULTURA",0,$W126*$H126)</f>
        <v>0</v>
      </c>
      <c r="AJ126" s="18" t="n">
        <f aca="false">IF($K126="SEM CULTURA",0,$S126*$H126)</f>
        <v>0</v>
      </c>
      <c r="AK126" s="8" t="str">
        <f aca="false">$E126&amp;"|"&amp;TEXT($AD126,"0.000000")</f>
        <v>PV 106|0.000000</v>
      </c>
    </row>
    <row r="127" customFormat="false" ht="15" hidden="false" customHeight="false" outlineLevel="0" collapsed="false">
      <c r="B127" s="16" t="n">
        <v>56</v>
      </c>
      <c r="C127" s="17" t="n">
        <f aca="false">DATA_INICIO_SAFRA+($B127-1)*DIAS_POR_SEMANA</f>
        <v>46650</v>
      </c>
      <c r="D127" s="17" t="n">
        <f aca="false">$C127+DIAS_POR_SEMANA-1</f>
        <v>46656</v>
      </c>
      <c r="E127" s="15" t="s">
        <v>260</v>
      </c>
      <c r="F127" s="8" t="str">
        <f aca="false">IFERROR(INDEX(CADASTRO_PIVOS!$C$6:$C$41,MATCH($E127,CADASTRO_PIVOS!$B$6:$B$41,0)),"?")</f>
        <v>RM02</v>
      </c>
      <c r="G127" s="8" t="str">
        <f aca="false">IFERROR(INDEX(CADASTRO_PIVOS!$D$6:$D$41,MATCH($E127,CADASTRO_PIVOS!$B$6:$B$41,0)),"?")</f>
        <v>TR02</v>
      </c>
      <c r="H127" s="20" t="n">
        <f aca="false">IFERROR(INDEX(CADASTRO_PIVOS!$E$6:$E$41,MATCH($E127,CADASTRO_PIVOS!$B$6:$B$41,0)),0)</f>
        <v>100.59</v>
      </c>
      <c r="I127" s="16" t="n">
        <f aca="false">IFERROR(SUMIFS(ROTACAO_RDM!$B$6:$B$71,ROTACAO_RDM!$D$6:$D$71,$E127,ROTACAO_RDM!$I$6:$I$71,"&lt;="&amp;$C127+INT(DIAS_POR_SEMANA/2),ROTACAO_RDM!$J$6:$J$71,"&gt;="&amp;$C127+INT(DIAS_POR_SEMANA/2)),0)</f>
        <v>0</v>
      </c>
      <c r="J127" s="16" t="n">
        <f aca="false">IFERROR(MATCH($I127,ROTACAO_RDM!$B$6:$B$71,0),0)</f>
        <v>0</v>
      </c>
      <c r="K127" s="8" t="str">
        <f aca="false">IF($J127=0,"SEM CULTURA",INDEX(ROTACAO_RDM!$F$6:$F$71,$J127))</f>
        <v>SEM CULTURA</v>
      </c>
      <c r="L127" s="8" t="str">
        <f aca="false">IF($J127=0,"",INDEX(ROTACAO_RDM!$G$6:$G$71,$J127))</f>
        <v/>
      </c>
      <c r="M127" s="17" t="str">
        <f aca="false">IF($J127=0,"",INDEX(ROTACAO_RDM!$I$6:$I$71,$J127))</f>
        <v/>
      </c>
      <c r="N127" s="16" t="n">
        <f aca="false">IF($J127=0,0,MAX(0,$C127+INT(DIAS_POR_SEMANA/2)-INDEX(ROTACAO_RDM!$I$6:$I$71,$J127)))</f>
        <v>0</v>
      </c>
      <c r="O127" s="19" t="n">
        <f aca="false">IF($J127=0,0,MIN(1,$N127/MAX(1,INDEX(ROTACAO_RDM!$K$6:$K$71,$J127))))</f>
        <v>0</v>
      </c>
      <c r="P127" s="16" t="n">
        <f aca="false">IF($J127=0,0,IFERROR(MATCH(INDEX(ROTACAO_RDM!$N$6:$N$71,$J127),PARAMETROS_CULTURAS!$B$6:$B$28,0),0))</f>
        <v>0</v>
      </c>
      <c r="Q127" s="8" t="str">
        <f aca="false">IF($P127=0,"-",IF($O127&lt;=INDEX(PARAMETROS_CULTURAS!$F$6:$F$28,$P127),"INICIAL",IF($O127&lt;=INDEX(PARAMETROS_CULTURAS!$F$6:$F$28,$P127)+INDEX(PARAMETROS_CULTURAS!$G$6:$G$28,$P127),"DESENVOLVIMENTO",IF($O127&lt;=INDEX(PARAMETROS_CULTURAS!$F$6:$F$28,$P127)+INDEX(PARAMETROS_CULTURAS!$G$6:$G$28,$P127)+INDEX(PARAMETROS_CULTURAS!$H$6:$H$28,$P127),"MEDIA","FINAL"))))</f>
        <v>-</v>
      </c>
      <c r="R127" s="24" t="n">
        <f aca="false">IF($P127=0,0,IF($O127&lt;=INDEX(PARAMETROS_CULTURAS!$F$6:$F$28,$P127),INDEX(PARAMETROS_CULTURAS!$K$6:$K$28,$P127),IF($O127&lt;=INDEX(PARAMETROS_CULTURAS!$F$6:$F$28,$P127)+INDEX(PARAMETROS_CULTURAS!$G$6:$G$28,$P127),INDEX(PARAMETROS_CULTURAS!$K$6:$K$28,$P127)+(INDEX(PARAMETROS_CULTURAS!$L$6:$L$28,$P127)-INDEX(PARAMETROS_CULTURAS!$K$6:$K$28,$P127))*($O127-INDEX(PARAMETROS_CULTURAS!$F$6:$F$28,$P127))/MAX(INDEX(PARAMETROS_CULTURAS!$G$6:$G$28,$P127),0.0001),IF($O127&lt;=INDEX(PARAMETROS_CULTURAS!$F$6:$F$28,$P127)+INDEX(PARAMETROS_CULTURAS!$G$6:$G$28,$P127)+INDEX(PARAMETROS_CULTURAS!$H$6:$H$28,$P127),INDEX(PARAMETROS_CULTURAS!$L$6:$L$28,$P127),INDEX(PARAMETROS_CULTURAS!$L$6:$L$28,$P127)+(INDEX(PARAMETROS_CULTURAS!$M$6:$M$28,$P127)-INDEX(PARAMETROS_CULTURAS!$L$6:$L$28,$P127))*($O127-INDEX(PARAMETROS_CULTURAS!$F$6:$F$28,$P127)-INDEX(PARAMETROS_CULTURAS!$G$6:$G$28,$P127)-INDEX(PARAMETROS_CULTURAS!$H$6:$H$28,$P127))/MAX(INDEX(PARAMETROS_CULTURAS!$I$6:$I$28,$P127),0.0001)))))</f>
        <v>0</v>
      </c>
      <c r="S127" s="18" t="n">
        <f aca="false">IFERROR(INDEX(SEMANAS!$H$6:$H$71,MATCH($B127,SEMANAS!$B$6:$B$71,0)),0)</f>
        <v>40.6</v>
      </c>
      <c r="T127" s="18" t="n">
        <f aca="false">$R127*$S127</f>
        <v>0</v>
      </c>
      <c r="U127" s="18" t="n">
        <f aca="false">IFERROR(INDEX(SEMANAS!$I$6:$I$71,MATCH($B127,SEMANAS!$B$6:$B$71,0)),0)</f>
        <v>7</v>
      </c>
      <c r="V127" s="18" t="n">
        <f aca="false">IFERROR(INDEX(SEMANAS!$J$6:$J$71,MATCH($B127,SEMANAS!$B$6:$B$71,0)),0)</f>
        <v>5.6</v>
      </c>
      <c r="W127" s="18" t="n">
        <f aca="false">MAX(0,$T127-$V127)</f>
        <v>0</v>
      </c>
      <c r="X127" s="19" t="n">
        <f aca="false">IFERROR(INDEX(CADASTRO_PIVOS!$K$6:$K$41,MATCH($E127,CADASTRO_PIVOS!$B$6:$B$41,0)),EFICIENCIA_PADRAO)</f>
        <v>0.85</v>
      </c>
      <c r="Y127" s="18" t="n">
        <f aca="false">IF($X127&lt;=0,0,$W127/$X127)</f>
        <v>0</v>
      </c>
      <c r="Z127" s="16" t="n">
        <f aca="false">$Y127*$H127*MM_PARA_M3_HA</f>
        <v>0</v>
      </c>
      <c r="AA127" s="18" t="n">
        <f aca="false">IFERROR(INDEX(CADASTRO_PIVOS!$I$6:$I$41,MATCH($E127,CADASTRO_PIVOS!$B$6:$B$41,0)),0)</f>
        <v>718.5</v>
      </c>
      <c r="AB127" s="18" t="n">
        <f aca="false">IF($Z127&lt;=0,0,$Z127/$AA127)</f>
        <v>0</v>
      </c>
      <c r="AC127" s="16" t="n">
        <f aca="false">IFERROR(INDEX(SEMANAS!$K$6:$K$71,MATCH($B127,SEMANAS!$B$6:$B$71,0)),0)</f>
        <v>147</v>
      </c>
      <c r="AD127" s="19" t="n">
        <f aca="false">IF($AC127&lt;=0,0,$AB127/$AC127)</f>
        <v>0</v>
      </c>
      <c r="AE127" s="8" t="str">
        <f aca="false">IF($K127="SEM CULTURA","SEM CULTURA",IF($AA127&lt;=0,"DADO PENDENTE",IF($AD127&gt;LIMITE_CRITICO,"INVIAVEL",IF($AD127&gt;LIMITE_ATENCAO,"CRITICO",IF($AD127&gt;LIMITE_CONFORTAVEL,"ATENCAO","OK")))))</f>
        <v>SEM CULTURA</v>
      </c>
      <c r="AF127" s="8" t="str">
        <f aca="false">$B127&amp;"|"&amp;TEXT($AD127,"0.000000")</f>
        <v>56|0.000000</v>
      </c>
      <c r="AG127" s="18" t="n">
        <f aca="false">IF($K127="SEM CULTURA",0,$T127*$H127)</f>
        <v>0</v>
      </c>
      <c r="AH127" s="18" t="n">
        <f aca="false">IF($K127="SEM CULTURA",0,$V127*$H127)</f>
        <v>0</v>
      </c>
      <c r="AI127" s="18" t="n">
        <f aca="false">IF($K127="SEM CULTURA",0,$W127*$H127)</f>
        <v>0</v>
      </c>
      <c r="AJ127" s="18" t="n">
        <f aca="false">IF($K127="SEM CULTURA",0,$S127*$H127)</f>
        <v>0</v>
      </c>
      <c r="AK127" s="8" t="str">
        <f aca="false">$E127&amp;"|"&amp;TEXT($AD127,"0.000000")</f>
        <v>PV 106|0.000000</v>
      </c>
    </row>
    <row r="128" customFormat="false" ht="15" hidden="false" customHeight="false" outlineLevel="0" collapsed="false">
      <c r="B128" s="16" t="n">
        <v>57</v>
      </c>
      <c r="C128" s="17" t="n">
        <f aca="false">DATA_INICIO_SAFRA+($B128-1)*DIAS_POR_SEMANA</f>
        <v>46657</v>
      </c>
      <c r="D128" s="17" t="n">
        <f aca="false">$C128+DIAS_POR_SEMANA-1</f>
        <v>46663</v>
      </c>
      <c r="E128" s="15" t="s">
        <v>260</v>
      </c>
      <c r="F128" s="8" t="str">
        <f aca="false">IFERROR(INDEX(CADASTRO_PIVOS!$C$6:$C$41,MATCH($E128,CADASTRO_PIVOS!$B$6:$B$41,0)),"?")</f>
        <v>RM02</v>
      </c>
      <c r="G128" s="8" t="str">
        <f aca="false">IFERROR(INDEX(CADASTRO_PIVOS!$D$6:$D$41,MATCH($E128,CADASTRO_PIVOS!$B$6:$B$41,0)),"?")</f>
        <v>TR02</v>
      </c>
      <c r="H128" s="20" t="n">
        <f aca="false">IFERROR(INDEX(CADASTRO_PIVOS!$E$6:$E$41,MATCH($E128,CADASTRO_PIVOS!$B$6:$B$41,0)),0)</f>
        <v>100.59</v>
      </c>
      <c r="I128" s="16" t="n">
        <f aca="false">IFERROR(SUMIFS(ROTACAO_RDM!$B$6:$B$71,ROTACAO_RDM!$D$6:$D$71,$E128,ROTACAO_RDM!$I$6:$I$71,"&lt;="&amp;$C128+INT(DIAS_POR_SEMANA/2),ROTACAO_RDM!$J$6:$J$71,"&gt;="&amp;$C128+INT(DIAS_POR_SEMANA/2)),0)</f>
        <v>0</v>
      </c>
      <c r="J128" s="16" t="n">
        <f aca="false">IFERROR(MATCH($I128,ROTACAO_RDM!$B$6:$B$71,0),0)</f>
        <v>0</v>
      </c>
      <c r="K128" s="8" t="str">
        <f aca="false">IF($J128=0,"SEM CULTURA",INDEX(ROTACAO_RDM!$F$6:$F$71,$J128))</f>
        <v>SEM CULTURA</v>
      </c>
      <c r="L128" s="8" t="str">
        <f aca="false">IF($J128=0,"",INDEX(ROTACAO_RDM!$G$6:$G$71,$J128))</f>
        <v/>
      </c>
      <c r="M128" s="17" t="str">
        <f aca="false">IF($J128=0,"",INDEX(ROTACAO_RDM!$I$6:$I$71,$J128))</f>
        <v/>
      </c>
      <c r="N128" s="16" t="n">
        <f aca="false">IF($J128=0,0,MAX(0,$C128+INT(DIAS_POR_SEMANA/2)-INDEX(ROTACAO_RDM!$I$6:$I$71,$J128)))</f>
        <v>0</v>
      </c>
      <c r="O128" s="19" t="n">
        <f aca="false">IF($J128=0,0,MIN(1,$N128/MAX(1,INDEX(ROTACAO_RDM!$K$6:$K$71,$J128))))</f>
        <v>0</v>
      </c>
      <c r="P128" s="16" t="n">
        <f aca="false">IF($J128=0,0,IFERROR(MATCH(INDEX(ROTACAO_RDM!$N$6:$N$71,$J128),PARAMETROS_CULTURAS!$B$6:$B$28,0),0))</f>
        <v>0</v>
      </c>
      <c r="Q128" s="8" t="str">
        <f aca="false">IF($P128=0,"-",IF($O128&lt;=INDEX(PARAMETROS_CULTURAS!$F$6:$F$28,$P128),"INICIAL",IF($O128&lt;=INDEX(PARAMETROS_CULTURAS!$F$6:$F$28,$P128)+INDEX(PARAMETROS_CULTURAS!$G$6:$G$28,$P128),"DESENVOLVIMENTO",IF($O128&lt;=INDEX(PARAMETROS_CULTURAS!$F$6:$F$28,$P128)+INDEX(PARAMETROS_CULTURAS!$G$6:$G$28,$P128)+INDEX(PARAMETROS_CULTURAS!$H$6:$H$28,$P128),"MEDIA","FINAL"))))</f>
        <v>-</v>
      </c>
      <c r="R128" s="24" t="n">
        <f aca="false">IF($P128=0,0,IF($O128&lt;=INDEX(PARAMETROS_CULTURAS!$F$6:$F$28,$P128),INDEX(PARAMETROS_CULTURAS!$K$6:$K$28,$P128),IF($O128&lt;=INDEX(PARAMETROS_CULTURAS!$F$6:$F$28,$P128)+INDEX(PARAMETROS_CULTURAS!$G$6:$G$28,$P128),INDEX(PARAMETROS_CULTURAS!$K$6:$K$28,$P128)+(INDEX(PARAMETROS_CULTURAS!$L$6:$L$28,$P128)-INDEX(PARAMETROS_CULTURAS!$K$6:$K$28,$P128))*($O128-INDEX(PARAMETROS_CULTURAS!$F$6:$F$28,$P128))/MAX(INDEX(PARAMETROS_CULTURAS!$G$6:$G$28,$P128),0.0001),IF($O128&lt;=INDEX(PARAMETROS_CULTURAS!$F$6:$F$28,$P128)+INDEX(PARAMETROS_CULTURAS!$G$6:$G$28,$P128)+INDEX(PARAMETROS_CULTURAS!$H$6:$H$28,$P128),INDEX(PARAMETROS_CULTURAS!$L$6:$L$28,$P128),INDEX(PARAMETROS_CULTURAS!$L$6:$L$28,$P128)+(INDEX(PARAMETROS_CULTURAS!$M$6:$M$28,$P128)-INDEX(PARAMETROS_CULTURAS!$L$6:$L$28,$P128))*($O128-INDEX(PARAMETROS_CULTURAS!$F$6:$F$28,$P128)-INDEX(PARAMETROS_CULTURAS!$G$6:$G$28,$P128)-INDEX(PARAMETROS_CULTURAS!$H$6:$H$28,$P128))/MAX(INDEX(PARAMETROS_CULTURAS!$I$6:$I$28,$P128),0.0001)))))</f>
        <v>0</v>
      </c>
      <c r="S128" s="18" t="n">
        <f aca="false">IFERROR(INDEX(SEMANAS!$H$6:$H$71,MATCH($B128,SEMANAS!$B$6:$B$71,0)),0)</f>
        <v>40</v>
      </c>
      <c r="T128" s="18" t="n">
        <f aca="false">$R128*$S128</f>
        <v>0</v>
      </c>
      <c r="U128" s="18" t="n">
        <f aca="false">IFERROR(INDEX(SEMANAS!$I$6:$I$71,MATCH($B128,SEMANAS!$B$6:$B$71,0)),0)</f>
        <v>15.61</v>
      </c>
      <c r="V128" s="18" t="n">
        <f aca="false">IFERROR(INDEX(SEMANAS!$J$6:$J$71,MATCH($B128,SEMANAS!$B$6:$B$71,0)),0)</f>
        <v>12.488</v>
      </c>
      <c r="W128" s="18" t="n">
        <f aca="false">MAX(0,$T128-$V128)</f>
        <v>0</v>
      </c>
      <c r="X128" s="19" t="n">
        <f aca="false">IFERROR(INDEX(CADASTRO_PIVOS!$K$6:$K$41,MATCH($E128,CADASTRO_PIVOS!$B$6:$B$41,0)),EFICIENCIA_PADRAO)</f>
        <v>0.85</v>
      </c>
      <c r="Y128" s="18" t="n">
        <f aca="false">IF($X128&lt;=0,0,$W128/$X128)</f>
        <v>0</v>
      </c>
      <c r="Z128" s="16" t="n">
        <f aca="false">$Y128*$H128*MM_PARA_M3_HA</f>
        <v>0</v>
      </c>
      <c r="AA128" s="18" t="n">
        <f aca="false">IFERROR(INDEX(CADASTRO_PIVOS!$I$6:$I$41,MATCH($E128,CADASTRO_PIVOS!$B$6:$B$41,0)),0)</f>
        <v>718.5</v>
      </c>
      <c r="AB128" s="18" t="n">
        <f aca="false">IF($Z128&lt;=0,0,$Z128/$AA128)</f>
        <v>0</v>
      </c>
      <c r="AC128" s="16" t="n">
        <f aca="false">IFERROR(INDEX(SEMANAS!$K$6:$K$71,MATCH($B128,SEMANAS!$B$6:$B$71,0)),0)</f>
        <v>147</v>
      </c>
      <c r="AD128" s="19" t="n">
        <f aca="false">IF($AC128&lt;=0,0,$AB128/$AC128)</f>
        <v>0</v>
      </c>
      <c r="AE128" s="8" t="str">
        <f aca="false">IF($K128="SEM CULTURA","SEM CULTURA",IF($AA128&lt;=0,"DADO PENDENTE",IF($AD128&gt;LIMITE_CRITICO,"INVIAVEL",IF($AD128&gt;LIMITE_ATENCAO,"CRITICO",IF($AD128&gt;LIMITE_CONFORTAVEL,"ATENCAO","OK")))))</f>
        <v>SEM CULTURA</v>
      </c>
      <c r="AF128" s="8" t="str">
        <f aca="false">$B128&amp;"|"&amp;TEXT($AD128,"0.000000")</f>
        <v>57|0.000000</v>
      </c>
      <c r="AG128" s="18" t="n">
        <f aca="false">IF($K128="SEM CULTURA",0,$T128*$H128)</f>
        <v>0</v>
      </c>
      <c r="AH128" s="18" t="n">
        <f aca="false">IF($K128="SEM CULTURA",0,$V128*$H128)</f>
        <v>0</v>
      </c>
      <c r="AI128" s="18" t="n">
        <f aca="false">IF($K128="SEM CULTURA",0,$W128*$H128)</f>
        <v>0</v>
      </c>
      <c r="AJ128" s="18" t="n">
        <f aca="false">IF($K128="SEM CULTURA",0,$S128*$H128)</f>
        <v>0</v>
      </c>
      <c r="AK128" s="8" t="str">
        <f aca="false">$E128&amp;"|"&amp;TEXT($AD128,"0.000000")</f>
        <v>PV 106|0.000000</v>
      </c>
    </row>
    <row r="129" customFormat="false" ht="15" hidden="false" customHeight="false" outlineLevel="0" collapsed="false">
      <c r="B129" s="16" t="n">
        <v>58</v>
      </c>
      <c r="C129" s="17" t="n">
        <f aca="false">DATA_INICIO_SAFRA+($B129-1)*DIAS_POR_SEMANA</f>
        <v>46664</v>
      </c>
      <c r="D129" s="17" t="n">
        <f aca="false">$C129+DIAS_POR_SEMANA-1</f>
        <v>46670</v>
      </c>
      <c r="E129" s="15" t="s">
        <v>260</v>
      </c>
      <c r="F129" s="8" t="str">
        <f aca="false">IFERROR(INDEX(CADASTRO_PIVOS!$C$6:$C$41,MATCH($E129,CADASTRO_PIVOS!$B$6:$B$41,0)),"?")</f>
        <v>RM02</v>
      </c>
      <c r="G129" s="8" t="str">
        <f aca="false">IFERROR(INDEX(CADASTRO_PIVOS!$D$6:$D$41,MATCH($E129,CADASTRO_PIVOS!$B$6:$B$41,0)),"?")</f>
        <v>TR02</v>
      </c>
      <c r="H129" s="20" t="n">
        <f aca="false">IFERROR(INDEX(CADASTRO_PIVOS!$E$6:$E$41,MATCH($E129,CADASTRO_PIVOS!$B$6:$B$41,0)),0)</f>
        <v>100.59</v>
      </c>
      <c r="I129" s="16" t="n">
        <f aca="false">IFERROR(SUMIFS(ROTACAO_RDM!$B$6:$B$71,ROTACAO_RDM!$D$6:$D$71,$E129,ROTACAO_RDM!$I$6:$I$71,"&lt;="&amp;$C129+INT(DIAS_POR_SEMANA/2),ROTACAO_RDM!$J$6:$J$71,"&gt;="&amp;$C129+INT(DIAS_POR_SEMANA/2)),0)</f>
        <v>0</v>
      </c>
      <c r="J129" s="16" t="n">
        <f aca="false">IFERROR(MATCH($I129,ROTACAO_RDM!$B$6:$B$71,0),0)</f>
        <v>0</v>
      </c>
      <c r="K129" s="8" t="str">
        <f aca="false">IF($J129=0,"SEM CULTURA",INDEX(ROTACAO_RDM!$F$6:$F$71,$J129))</f>
        <v>SEM CULTURA</v>
      </c>
      <c r="L129" s="8" t="str">
        <f aca="false">IF($J129=0,"",INDEX(ROTACAO_RDM!$G$6:$G$71,$J129))</f>
        <v/>
      </c>
      <c r="M129" s="17" t="str">
        <f aca="false">IF($J129=0,"",INDEX(ROTACAO_RDM!$I$6:$I$71,$J129))</f>
        <v/>
      </c>
      <c r="N129" s="16" t="n">
        <f aca="false">IF($J129=0,0,MAX(0,$C129+INT(DIAS_POR_SEMANA/2)-INDEX(ROTACAO_RDM!$I$6:$I$71,$J129)))</f>
        <v>0</v>
      </c>
      <c r="O129" s="19" t="n">
        <f aca="false">IF($J129=0,0,MIN(1,$N129/MAX(1,INDEX(ROTACAO_RDM!$K$6:$K$71,$J129))))</f>
        <v>0</v>
      </c>
      <c r="P129" s="16" t="n">
        <f aca="false">IF($J129=0,0,IFERROR(MATCH(INDEX(ROTACAO_RDM!$N$6:$N$71,$J129),PARAMETROS_CULTURAS!$B$6:$B$28,0),0))</f>
        <v>0</v>
      </c>
      <c r="Q129" s="8" t="str">
        <f aca="false">IF($P129=0,"-",IF($O129&lt;=INDEX(PARAMETROS_CULTURAS!$F$6:$F$28,$P129),"INICIAL",IF($O129&lt;=INDEX(PARAMETROS_CULTURAS!$F$6:$F$28,$P129)+INDEX(PARAMETROS_CULTURAS!$G$6:$G$28,$P129),"DESENVOLVIMENTO",IF($O129&lt;=INDEX(PARAMETROS_CULTURAS!$F$6:$F$28,$P129)+INDEX(PARAMETROS_CULTURAS!$G$6:$G$28,$P129)+INDEX(PARAMETROS_CULTURAS!$H$6:$H$28,$P129),"MEDIA","FINAL"))))</f>
        <v>-</v>
      </c>
      <c r="R129" s="24" t="n">
        <f aca="false">IF($P129=0,0,IF($O129&lt;=INDEX(PARAMETROS_CULTURAS!$F$6:$F$28,$P129),INDEX(PARAMETROS_CULTURAS!$K$6:$K$28,$P129),IF($O129&lt;=INDEX(PARAMETROS_CULTURAS!$F$6:$F$28,$P129)+INDEX(PARAMETROS_CULTURAS!$G$6:$G$28,$P129),INDEX(PARAMETROS_CULTURAS!$K$6:$K$28,$P129)+(INDEX(PARAMETROS_CULTURAS!$L$6:$L$28,$P129)-INDEX(PARAMETROS_CULTURAS!$K$6:$K$28,$P129))*($O129-INDEX(PARAMETROS_CULTURAS!$F$6:$F$28,$P129))/MAX(INDEX(PARAMETROS_CULTURAS!$G$6:$G$28,$P129),0.0001),IF($O129&lt;=INDEX(PARAMETROS_CULTURAS!$F$6:$F$28,$P129)+INDEX(PARAMETROS_CULTURAS!$G$6:$G$28,$P129)+INDEX(PARAMETROS_CULTURAS!$H$6:$H$28,$P129),INDEX(PARAMETROS_CULTURAS!$L$6:$L$28,$P129),INDEX(PARAMETROS_CULTURAS!$L$6:$L$28,$P129)+(INDEX(PARAMETROS_CULTURAS!$M$6:$M$28,$P129)-INDEX(PARAMETROS_CULTURAS!$L$6:$L$28,$P129))*($O129-INDEX(PARAMETROS_CULTURAS!$F$6:$F$28,$P129)-INDEX(PARAMETROS_CULTURAS!$G$6:$G$28,$P129)-INDEX(PARAMETROS_CULTURAS!$H$6:$H$28,$P129))/MAX(INDEX(PARAMETROS_CULTURAS!$I$6:$I$28,$P129),0.0001)))))</f>
        <v>0</v>
      </c>
      <c r="S129" s="18" t="n">
        <f aca="false">IFERROR(INDEX(SEMANAS!$H$6:$H$71,MATCH($B129,SEMANAS!$B$6:$B$71,0)),0)</f>
        <v>39.2</v>
      </c>
      <c r="T129" s="18" t="n">
        <f aca="false">$R129*$S129</f>
        <v>0</v>
      </c>
      <c r="U129" s="18" t="n">
        <f aca="false">IFERROR(INDEX(SEMANAS!$I$6:$I$71,MATCH($B129,SEMANAS!$B$6:$B$71,0)),0)</f>
        <v>27.09</v>
      </c>
      <c r="V129" s="18" t="n">
        <f aca="false">IFERROR(INDEX(SEMANAS!$J$6:$J$71,MATCH($B129,SEMANAS!$B$6:$B$71,0)),0)</f>
        <v>21.672</v>
      </c>
      <c r="W129" s="18" t="n">
        <f aca="false">MAX(0,$T129-$V129)</f>
        <v>0</v>
      </c>
      <c r="X129" s="19" t="n">
        <f aca="false">IFERROR(INDEX(CADASTRO_PIVOS!$K$6:$K$41,MATCH($E129,CADASTRO_PIVOS!$B$6:$B$41,0)),EFICIENCIA_PADRAO)</f>
        <v>0.85</v>
      </c>
      <c r="Y129" s="18" t="n">
        <f aca="false">IF($X129&lt;=0,0,$W129/$X129)</f>
        <v>0</v>
      </c>
      <c r="Z129" s="16" t="n">
        <f aca="false">$Y129*$H129*MM_PARA_M3_HA</f>
        <v>0</v>
      </c>
      <c r="AA129" s="18" t="n">
        <f aca="false">IFERROR(INDEX(CADASTRO_PIVOS!$I$6:$I$41,MATCH($E129,CADASTRO_PIVOS!$B$6:$B$41,0)),0)</f>
        <v>718.5</v>
      </c>
      <c r="AB129" s="18" t="n">
        <f aca="false">IF($Z129&lt;=0,0,$Z129/$AA129)</f>
        <v>0</v>
      </c>
      <c r="AC129" s="16" t="n">
        <f aca="false">IFERROR(INDEX(SEMANAS!$K$6:$K$71,MATCH($B129,SEMANAS!$B$6:$B$71,0)),0)</f>
        <v>147</v>
      </c>
      <c r="AD129" s="19" t="n">
        <f aca="false">IF($AC129&lt;=0,0,$AB129/$AC129)</f>
        <v>0</v>
      </c>
      <c r="AE129" s="8" t="str">
        <f aca="false">IF($K129="SEM CULTURA","SEM CULTURA",IF($AA129&lt;=0,"DADO PENDENTE",IF($AD129&gt;LIMITE_CRITICO,"INVIAVEL",IF($AD129&gt;LIMITE_ATENCAO,"CRITICO",IF($AD129&gt;LIMITE_CONFORTAVEL,"ATENCAO","OK")))))</f>
        <v>SEM CULTURA</v>
      </c>
      <c r="AF129" s="8" t="str">
        <f aca="false">$B129&amp;"|"&amp;TEXT($AD129,"0.000000")</f>
        <v>58|0.000000</v>
      </c>
      <c r="AG129" s="18" t="n">
        <f aca="false">IF($K129="SEM CULTURA",0,$T129*$H129)</f>
        <v>0</v>
      </c>
      <c r="AH129" s="18" t="n">
        <f aca="false">IF($K129="SEM CULTURA",0,$V129*$H129)</f>
        <v>0</v>
      </c>
      <c r="AI129" s="18" t="n">
        <f aca="false">IF($K129="SEM CULTURA",0,$W129*$H129)</f>
        <v>0</v>
      </c>
      <c r="AJ129" s="18" t="n">
        <f aca="false">IF($K129="SEM CULTURA",0,$S129*$H129)</f>
        <v>0</v>
      </c>
      <c r="AK129" s="8" t="str">
        <f aca="false">$E129&amp;"|"&amp;TEXT($AD129,"0.000000")</f>
        <v>PV 106|0.000000</v>
      </c>
    </row>
    <row r="130" customFormat="false" ht="15" hidden="false" customHeight="false" outlineLevel="0" collapsed="false">
      <c r="B130" s="16" t="n">
        <v>59</v>
      </c>
      <c r="C130" s="17" t="n">
        <f aca="false">DATA_INICIO_SAFRA+($B130-1)*DIAS_POR_SEMANA</f>
        <v>46671</v>
      </c>
      <c r="D130" s="17" t="n">
        <f aca="false">$C130+DIAS_POR_SEMANA-1</f>
        <v>46677</v>
      </c>
      <c r="E130" s="15" t="s">
        <v>260</v>
      </c>
      <c r="F130" s="8" t="str">
        <f aca="false">IFERROR(INDEX(CADASTRO_PIVOS!$C$6:$C$41,MATCH($E130,CADASTRO_PIVOS!$B$6:$B$41,0)),"?")</f>
        <v>RM02</v>
      </c>
      <c r="G130" s="8" t="str">
        <f aca="false">IFERROR(INDEX(CADASTRO_PIVOS!$D$6:$D$41,MATCH($E130,CADASTRO_PIVOS!$B$6:$B$41,0)),"?")</f>
        <v>TR02</v>
      </c>
      <c r="H130" s="20" t="n">
        <f aca="false">IFERROR(INDEX(CADASTRO_PIVOS!$E$6:$E$41,MATCH($E130,CADASTRO_PIVOS!$B$6:$B$41,0)),0)</f>
        <v>100.59</v>
      </c>
      <c r="I130" s="16" t="n">
        <f aca="false">IFERROR(SUMIFS(ROTACAO_RDM!$B$6:$B$71,ROTACAO_RDM!$D$6:$D$71,$E130,ROTACAO_RDM!$I$6:$I$71,"&lt;="&amp;$C130+INT(DIAS_POR_SEMANA/2),ROTACAO_RDM!$J$6:$J$71,"&gt;="&amp;$C130+INT(DIAS_POR_SEMANA/2)),0)</f>
        <v>0</v>
      </c>
      <c r="J130" s="16" t="n">
        <f aca="false">IFERROR(MATCH($I130,ROTACAO_RDM!$B$6:$B$71,0),0)</f>
        <v>0</v>
      </c>
      <c r="K130" s="8" t="str">
        <f aca="false">IF($J130=0,"SEM CULTURA",INDEX(ROTACAO_RDM!$F$6:$F$71,$J130))</f>
        <v>SEM CULTURA</v>
      </c>
      <c r="L130" s="8" t="str">
        <f aca="false">IF($J130=0,"",INDEX(ROTACAO_RDM!$G$6:$G$71,$J130))</f>
        <v/>
      </c>
      <c r="M130" s="17" t="str">
        <f aca="false">IF($J130=0,"",INDEX(ROTACAO_RDM!$I$6:$I$71,$J130))</f>
        <v/>
      </c>
      <c r="N130" s="16" t="n">
        <f aca="false">IF($J130=0,0,MAX(0,$C130+INT(DIAS_POR_SEMANA/2)-INDEX(ROTACAO_RDM!$I$6:$I$71,$J130)))</f>
        <v>0</v>
      </c>
      <c r="O130" s="19" t="n">
        <f aca="false">IF($J130=0,0,MIN(1,$N130/MAX(1,INDEX(ROTACAO_RDM!$K$6:$K$71,$J130))))</f>
        <v>0</v>
      </c>
      <c r="P130" s="16" t="n">
        <f aca="false">IF($J130=0,0,IFERROR(MATCH(INDEX(ROTACAO_RDM!$N$6:$N$71,$J130),PARAMETROS_CULTURAS!$B$6:$B$28,0),0))</f>
        <v>0</v>
      </c>
      <c r="Q130" s="8" t="str">
        <f aca="false">IF($P130=0,"-",IF($O130&lt;=INDEX(PARAMETROS_CULTURAS!$F$6:$F$28,$P130),"INICIAL",IF($O130&lt;=INDEX(PARAMETROS_CULTURAS!$F$6:$F$28,$P130)+INDEX(PARAMETROS_CULTURAS!$G$6:$G$28,$P130),"DESENVOLVIMENTO",IF($O130&lt;=INDEX(PARAMETROS_CULTURAS!$F$6:$F$28,$P130)+INDEX(PARAMETROS_CULTURAS!$G$6:$G$28,$P130)+INDEX(PARAMETROS_CULTURAS!$H$6:$H$28,$P130),"MEDIA","FINAL"))))</f>
        <v>-</v>
      </c>
      <c r="R130" s="24" t="n">
        <f aca="false">IF($P130=0,0,IF($O130&lt;=INDEX(PARAMETROS_CULTURAS!$F$6:$F$28,$P130),INDEX(PARAMETROS_CULTURAS!$K$6:$K$28,$P130),IF($O130&lt;=INDEX(PARAMETROS_CULTURAS!$F$6:$F$28,$P130)+INDEX(PARAMETROS_CULTURAS!$G$6:$G$28,$P130),INDEX(PARAMETROS_CULTURAS!$K$6:$K$28,$P130)+(INDEX(PARAMETROS_CULTURAS!$L$6:$L$28,$P130)-INDEX(PARAMETROS_CULTURAS!$K$6:$K$28,$P130))*($O130-INDEX(PARAMETROS_CULTURAS!$F$6:$F$28,$P130))/MAX(INDEX(PARAMETROS_CULTURAS!$G$6:$G$28,$P130),0.0001),IF($O130&lt;=INDEX(PARAMETROS_CULTURAS!$F$6:$F$28,$P130)+INDEX(PARAMETROS_CULTURAS!$G$6:$G$28,$P130)+INDEX(PARAMETROS_CULTURAS!$H$6:$H$28,$P130),INDEX(PARAMETROS_CULTURAS!$L$6:$L$28,$P130),INDEX(PARAMETROS_CULTURAS!$L$6:$L$28,$P130)+(INDEX(PARAMETROS_CULTURAS!$M$6:$M$28,$P130)-INDEX(PARAMETROS_CULTURAS!$L$6:$L$28,$P130))*($O130-INDEX(PARAMETROS_CULTURAS!$F$6:$F$28,$P130)-INDEX(PARAMETROS_CULTURAS!$G$6:$G$28,$P130)-INDEX(PARAMETROS_CULTURAS!$H$6:$H$28,$P130))/MAX(INDEX(PARAMETROS_CULTURAS!$I$6:$I$28,$P130),0.0001)))))</f>
        <v>0</v>
      </c>
      <c r="S130" s="18" t="n">
        <f aca="false">IFERROR(INDEX(SEMANAS!$H$6:$H$71,MATCH($B130,SEMANAS!$B$6:$B$71,0)),0)</f>
        <v>39.2</v>
      </c>
      <c r="T130" s="18" t="n">
        <f aca="false">$R130*$S130</f>
        <v>0</v>
      </c>
      <c r="U130" s="18" t="n">
        <f aca="false">IFERROR(INDEX(SEMANAS!$I$6:$I$71,MATCH($B130,SEMANAS!$B$6:$B$71,0)),0)</f>
        <v>27.09</v>
      </c>
      <c r="V130" s="18" t="n">
        <f aca="false">IFERROR(INDEX(SEMANAS!$J$6:$J$71,MATCH($B130,SEMANAS!$B$6:$B$71,0)),0)</f>
        <v>21.672</v>
      </c>
      <c r="W130" s="18" t="n">
        <f aca="false">MAX(0,$T130-$V130)</f>
        <v>0</v>
      </c>
      <c r="X130" s="19" t="n">
        <f aca="false">IFERROR(INDEX(CADASTRO_PIVOS!$K$6:$K$41,MATCH($E130,CADASTRO_PIVOS!$B$6:$B$41,0)),EFICIENCIA_PADRAO)</f>
        <v>0.85</v>
      </c>
      <c r="Y130" s="18" t="n">
        <f aca="false">IF($X130&lt;=0,0,$W130/$X130)</f>
        <v>0</v>
      </c>
      <c r="Z130" s="16" t="n">
        <f aca="false">$Y130*$H130*MM_PARA_M3_HA</f>
        <v>0</v>
      </c>
      <c r="AA130" s="18" t="n">
        <f aca="false">IFERROR(INDEX(CADASTRO_PIVOS!$I$6:$I$41,MATCH($E130,CADASTRO_PIVOS!$B$6:$B$41,0)),0)</f>
        <v>718.5</v>
      </c>
      <c r="AB130" s="18" t="n">
        <f aca="false">IF($Z130&lt;=0,0,$Z130/$AA130)</f>
        <v>0</v>
      </c>
      <c r="AC130" s="16" t="n">
        <f aca="false">IFERROR(INDEX(SEMANAS!$K$6:$K$71,MATCH($B130,SEMANAS!$B$6:$B$71,0)),0)</f>
        <v>147</v>
      </c>
      <c r="AD130" s="19" t="n">
        <f aca="false">IF($AC130&lt;=0,0,$AB130/$AC130)</f>
        <v>0</v>
      </c>
      <c r="AE130" s="8" t="str">
        <f aca="false">IF($K130="SEM CULTURA","SEM CULTURA",IF($AA130&lt;=0,"DADO PENDENTE",IF($AD130&gt;LIMITE_CRITICO,"INVIAVEL",IF($AD130&gt;LIMITE_ATENCAO,"CRITICO",IF($AD130&gt;LIMITE_CONFORTAVEL,"ATENCAO","OK")))))</f>
        <v>SEM CULTURA</v>
      </c>
      <c r="AF130" s="8" t="str">
        <f aca="false">$B130&amp;"|"&amp;TEXT($AD130,"0.000000")</f>
        <v>59|0.000000</v>
      </c>
      <c r="AG130" s="18" t="n">
        <f aca="false">IF($K130="SEM CULTURA",0,$T130*$H130)</f>
        <v>0</v>
      </c>
      <c r="AH130" s="18" t="n">
        <f aca="false">IF($K130="SEM CULTURA",0,$V130*$H130)</f>
        <v>0</v>
      </c>
      <c r="AI130" s="18" t="n">
        <f aca="false">IF($K130="SEM CULTURA",0,$W130*$H130)</f>
        <v>0</v>
      </c>
      <c r="AJ130" s="18" t="n">
        <f aca="false">IF($K130="SEM CULTURA",0,$S130*$H130)</f>
        <v>0</v>
      </c>
      <c r="AK130" s="8" t="str">
        <f aca="false">$E130&amp;"|"&amp;TEXT($AD130,"0.000000")</f>
        <v>PV 106|0.000000</v>
      </c>
    </row>
    <row r="131" customFormat="false" ht="15" hidden="false" customHeight="false" outlineLevel="0" collapsed="false">
      <c r="B131" s="16" t="n">
        <v>60</v>
      </c>
      <c r="C131" s="17" t="n">
        <f aca="false">DATA_INICIO_SAFRA+($B131-1)*DIAS_POR_SEMANA</f>
        <v>46678</v>
      </c>
      <c r="D131" s="17" t="n">
        <f aca="false">$C131+DIAS_POR_SEMANA-1</f>
        <v>46684</v>
      </c>
      <c r="E131" s="15" t="s">
        <v>260</v>
      </c>
      <c r="F131" s="8" t="str">
        <f aca="false">IFERROR(INDEX(CADASTRO_PIVOS!$C$6:$C$41,MATCH($E131,CADASTRO_PIVOS!$B$6:$B$41,0)),"?")</f>
        <v>RM02</v>
      </c>
      <c r="G131" s="8" t="str">
        <f aca="false">IFERROR(INDEX(CADASTRO_PIVOS!$D$6:$D$41,MATCH($E131,CADASTRO_PIVOS!$B$6:$B$41,0)),"?")</f>
        <v>TR02</v>
      </c>
      <c r="H131" s="20" t="n">
        <f aca="false">IFERROR(INDEX(CADASTRO_PIVOS!$E$6:$E$41,MATCH($E131,CADASTRO_PIVOS!$B$6:$B$41,0)),0)</f>
        <v>100.59</v>
      </c>
      <c r="I131" s="16" t="n">
        <f aca="false">IFERROR(SUMIFS(ROTACAO_RDM!$B$6:$B$71,ROTACAO_RDM!$D$6:$D$71,$E131,ROTACAO_RDM!$I$6:$I$71,"&lt;="&amp;$C131+INT(DIAS_POR_SEMANA/2),ROTACAO_RDM!$J$6:$J$71,"&gt;="&amp;$C131+INT(DIAS_POR_SEMANA/2)),0)</f>
        <v>0</v>
      </c>
      <c r="J131" s="16" t="n">
        <f aca="false">IFERROR(MATCH($I131,ROTACAO_RDM!$B$6:$B$71,0),0)</f>
        <v>0</v>
      </c>
      <c r="K131" s="8" t="str">
        <f aca="false">IF($J131=0,"SEM CULTURA",INDEX(ROTACAO_RDM!$F$6:$F$71,$J131))</f>
        <v>SEM CULTURA</v>
      </c>
      <c r="L131" s="8" t="str">
        <f aca="false">IF($J131=0,"",INDEX(ROTACAO_RDM!$G$6:$G$71,$J131))</f>
        <v/>
      </c>
      <c r="M131" s="17" t="str">
        <f aca="false">IF($J131=0,"",INDEX(ROTACAO_RDM!$I$6:$I$71,$J131))</f>
        <v/>
      </c>
      <c r="N131" s="16" t="n">
        <f aca="false">IF($J131=0,0,MAX(0,$C131+INT(DIAS_POR_SEMANA/2)-INDEX(ROTACAO_RDM!$I$6:$I$71,$J131)))</f>
        <v>0</v>
      </c>
      <c r="O131" s="19" t="n">
        <f aca="false">IF($J131=0,0,MIN(1,$N131/MAX(1,INDEX(ROTACAO_RDM!$K$6:$K$71,$J131))))</f>
        <v>0</v>
      </c>
      <c r="P131" s="16" t="n">
        <f aca="false">IF($J131=0,0,IFERROR(MATCH(INDEX(ROTACAO_RDM!$N$6:$N$71,$J131),PARAMETROS_CULTURAS!$B$6:$B$28,0),0))</f>
        <v>0</v>
      </c>
      <c r="Q131" s="8" t="str">
        <f aca="false">IF($P131=0,"-",IF($O131&lt;=INDEX(PARAMETROS_CULTURAS!$F$6:$F$28,$P131),"INICIAL",IF($O131&lt;=INDEX(PARAMETROS_CULTURAS!$F$6:$F$28,$P131)+INDEX(PARAMETROS_CULTURAS!$G$6:$G$28,$P131),"DESENVOLVIMENTO",IF($O131&lt;=INDEX(PARAMETROS_CULTURAS!$F$6:$F$28,$P131)+INDEX(PARAMETROS_CULTURAS!$G$6:$G$28,$P131)+INDEX(PARAMETROS_CULTURAS!$H$6:$H$28,$P131),"MEDIA","FINAL"))))</f>
        <v>-</v>
      </c>
      <c r="R131" s="24" t="n">
        <f aca="false">IF($P131=0,0,IF($O131&lt;=INDEX(PARAMETROS_CULTURAS!$F$6:$F$28,$P131),INDEX(PARAMETROS_CULTURAS!$K$6:$K$28,$P131),IF($O131&lt;=INDEX(PARAMETROS_CULTURAS!$F$6:$F$28,$P131)+INDEX(PARAMETROS_CULTURAS!$G$6:$G$28,$P131),INDEX(PARAMETROS_CULTURAS!$K$6:$K$28,$P131)+(INDEX(PARAMETROS_CULTURAS!$L$6:$L$28,$P131)-INDEX(PARAMETROS_CULTURAS!$K$6:$K$28,$P131))*($O131-INDEX(PARAMETROS_CULTURAS!$F$6:$F$28,$P131))/MAX(INDEX(PARAMETROS_CULTURAS!$G$6:$G$28,$P131),0.0001),IF($O131&lt;=INDEX(PARAMETROS_CULTURAS!$F$6:$F$28,$P131)+INDEX(PARAMETROS_CULTURAS!$G$6:$G$28,$P131)+INDEX(PARAMETROS_CULTURAS!$H$6:$H$28,$P131),INDEX(PARAMETROS_CULTURAS!$L$6:$L$28,$P131),INDEX(PARAMETROS_CULTURAS!$L$6:$L$28,$P131)+(INDEX(PARAMETROS_CULTURAS!$M$6:$M$28,$P131)-INDEX(PARAMETROS_CULTURAS!$L$6:$L$28,$P131))*($O131-INDEX(PARAMETROS_CULTURAS!$F$6:$F$28,$P131)-INDEX(PARAMETROS_CULTURAS!$G$6:$G$28,$P131)-INDEX(PARAMETROS_CULTURAS!$H$6:$H$28,$P131))/MAX(INDEX(PARAMETROS_CULTURAS!$I$6:$I$28,$P131),0.0001)))))</f>
        <v>0</v>
      </c>
      <c r="S131" s="18" t="n">
        <f aca="false">IFERROR(INDEX(SEMANAS!$H$6:$H$71,MATCH($B131,SEMANAS!$B$6:$B$71,0)),0)</f>
        <v>39.2</v>
      </c>
      <c r="T131" s="18" t="n">
        <f aca="false">$R131*$S131</f>
        <v>0</v>
      </c>
      <c r="U131" s="18" t="n">
        <f aca="false">IFERROR(INDEX(SEMANAS!$I$6:$I$71,MATCH($B131,SEMANAS!$B$6:$B$71,0)),0)</f>
        <v>27.09</v>
      </c>
      <c r="V131" s="18" t="n">
        <f aca="false">IFERROR(INDEX(SEMANAS!$J$6:$J$71,MATCH($B131,SEMANAS!$B$6:$B$71,0)),0)</f>
        <v>21.672</v>
      </c>
      <c r="W131" s="18" t="n">
        <f aca="false">MAX(0,$T131-$V131)</f>
        <v>0</v>
      </c>
      <c r="X131" s="19" t="n">
        <f aca="false">IFERROR(INDEX(CADASTRO_PIVOS!$K$6:$K$41,MATCH($E131,CADASTRO_PIVOS!$B$6:$B$41,0)),EFICIENCIA_PADRAO)</f>
        <v>0.85</v>
      </c>
      <c r="Y131" s="18" t="n">
        <f aca="false">IF($X131&lt;=0,0,$W131/$X131)</f>
        <v>0</v>
      </c>
      <c r="Z131" s="16" t="n">
        <f aca="false">$Y131*$H131*MM_PARA_M3_HA</f>
        <v>0</v>
      </c>
      <c r="AA131" s="18" t="n">
        <f aca="false">IFERROR(INDEX(CADASTRO_PIVOS!$I$6:$I$41,MATCH($E131,CADASTRO_PIVOS!$B$6:$B$41,0)),0)</f>
        <v>718.5</v>
      </c>
      <c r="AB131" s="18" t="n">
        <f aca="false">IF($Z131&lt;=0,0,$Z131/$AA131)</f>
        <v>0</v>
      </c>
      <c r="AC131" s="16" t="n">
        <f aca="false">IFERROR(INDEX(SEMANAS!$K$6:$K$71,MATCH($B131,SEMANAS!$B$6:$B$71,0)),0)</f>
        <v>147</v>
      </c>
      <c r="AD131" s="19" t="n">
        <f aca="false">IF($AC131&lt;=0,0,$AB131/$AC131)</f>
        <v>0</v>
      </c>
      <c r="AE131" s="8" t="str">
        <f aca="false">IF($K131="SEM CULTURA","SEM CULTURA",IF($AA131&lt;=0,"DADO PENDENTE",IF($AD131&gt;LIMITE_CRITICO,"INVIAVEL",IF($AD131&gt;LIMITE_ATENCAO,"CRITICO",IF($AD131&gt;LIMITE_CONFORTAVEL,"ATENCAO","OK")))))</f>
        <v>SEM CULTURA</v>
      </c>
      <c r="AF131" s="8" t="str">
        <f aca="false">$B131&amp;"|"&amp;TEXT($AD131,"0.000000")</f>
        <v>60|0.000000</v>
      </c>
      <c r="AG131" s="18" t="n">
        <f aca="false">IF($K131="SEM CULTURA",0,$T131*$H131)</f>
        <v>0</v>
      </c>
      <c r="AH131" s="18" t="n">
        <f aca="false">IF($K131="SEM CULTURA",0,$V131*$H131)</f>
        <v>0</v>
      </c>
      <c r="AI131" s="18" t="n">
        <f aca="false">IF($K131="SEM CULTURA",0,$W131*$H131)</f>
        <v>0</v>
      </c>
      <c r="AJ131" s="18" t="n">
        <f aca="false">IF($K131="SEM CULTURA",0,$S131*$H131)</f>
        <v>0</v>
      </c>
      <c r="AK131" s="8" t="str">
        <f aca="false">$E131&amp;"|"&amp;TEXT($AD131,"0.000000")</f>
        <v>PV 106|0.000000</v>
      </c>
    </row>
    <row r="132" customFormat="false" ht="15" hidden="false" customHeight="false" outlineLevel="0" collapsed="false">
      <c r="B132" s="16" t="n">
        <v>61</v>
      </c>
      <c r="C132" s="17" t="n">
        <f aca="false">DATA_INICIO_SAFRA+($B132-1)*DIAS_POR_SEMANA</f>
        <v>46685</v>
      </c>
      <c r="D132" s="17" t="n">
        <f aca="false">$C132+DIAS_POR_SEMANA-1</f>
        <v>46691</v>
      </c>
      <c r="E132" s="15" t="s">
        <v>260</v>
      </c>
      <c r="F132" s="8" t="str">
        <f aca="false">IFERROR(INDEX(CADASTRO_PIVOS!$C$6:$C$41,MATCH($E132,CADASTRO_PIVOS!$B$6:$B$41,0)),"?")</f>
        <v>RM02</v>
      </c>
      <c r="G132" s="8" t="str">
        <f aca="false">IFERROR(INDEX(CADASTRO_PIVOS!$D$6:$D$41,MATCH($E132,CADASTRO_PIVOS!$B$6:$B$41,0)),"?")</f>
        <v>TR02</v>
      </c>
      <c r="H132" s="20" t="n">
        <f aca="false">IFERROR(INDEX(CADASTRO_PIVOS!$E$6:$E$41,MATCH($E132,CADASTRO_PIVOS!$B$6:$B$41,0)),0)</f>
        <v>100.59</v>
      </c>
      <c r="I132" s="16" t="n">
        <f aca="false">IFERROR(SUMIFS(ROTACAO_RDM!$B$6:$B$71,ROTACAO_RDM!$D$6:$D$71,$E132,ROTACAO_RDM!$I$6:$I$71,"&lt;="&amp;$C132+INT(DIAS_POR_SEMANA/2),ROTACAO_RDM!$J$6:$J$71,"&gt;="&amp;$C132+INT(DIAS_POR_SEMANA/2)),0)</f>
        <v>0</v>
      </c>
      <c r="J132" s="16" t="n">
        <f aca="false">IFERROR(MATCH($I132,ROTACAO_RDM!$B$6:$B$71,0),0)</f>
        <v>0</v>
      </c>
      <c r="K132" s="8" t="str">
        <f aca="false">IF($J132=0,"SEM CULTURA",INDEX(ROTACAO_RDM!$F$6:$F$71,$J132))</f>
        <v>SEM CULTURA</v>
      </c>
      <c r="L132" s="8" t="str">
        <f aca="false">IF($J132=0,"",INDEX(ROTACAO_RDM!$G$6:$G$71,$J132))</f>
        <v/>
      </c>
      <c r="M132" s="17" t="str">
        <f aca="false">IF($J132=0,"",INDEX(ROTACAO_RDM!$I$6:$I$71,$J132))</f>
        <v/>
      </c>
      <c r="N132" s="16" t="n">
        <f aca="false">IF($J132=0,0,MAX(0,$C132+INT(DIAS_POR_SEMANA/2)-INDEX(ROTACAO_RDM!$I$6:$I$71,$J132)))</f>
        <v>0</v>
      </c>
      <c r="O132" s="19" t="n">
        <f aca="false">IF($J132=0,0,MIN(1,$N132/MAX(1,INDEX(ROTACAO_RDM!$K$6:$K$71,$J132))))</f>
        <v>0</v>
      </c>
      <c r="P132" s="16" t="n">
        <f aca="false">IF($J132=0,0,IFERROR(MATCH(INDEX(ROTACAO_RDM!$N$6:$N$71,$J132),PARAMETROS_CULTURAS!$B$6:$B$28,0),0))</f>
        <v>0</v>
      </c>
      <c r="Q132" s="8" t="str">
        <f aca="false">IF($P132=0,"-",IF($O132&lt;=INDEX(PARAMETROS_CULTURAS!$F$6:$F$28,$P132),"INICIAL",IF($O132&lt;=INDEX(PARAMETROS_CULTURAS!$F$6:$F$28,$P132)+INDEX(PARAMETROS_CULTURAS!$G$6:$G$28,$P132),"DESENVOLVIMENTO",IF($O132&lt;=INDEX(PARAMETROS_CULTURAS!$F$6:$F$28,$P132)+INDEX(PARAMETROS_CULTURAS!$G$6:$G$28,$P132)+INDEX(PARAMETROS_CULTURAS!$H$6:$H$28,$P132),"MEDIA","FINAL"))))</f>
        <v>-</v>
      </c>
      <c r="R132" s="24" t="n">
        <f aca="false">IF($P132=0,0,IF($O132&lt;=INDEX(PARAMETROS_CULTURAS!$F$6:$F$28,$P132),INDEX(PARAMETROS_CULTURAS!$K$6:$K$28,$P132),IF($O132&lt;=INDEX(PARAMETROS_CULTURAS!$F$6:$F$28,$P132)+INDEX(PARAMETROS_CULTURAS!$G$6:$G$28,$P132),INDEX(PARAMETROS_CULTURAS!$K$6:$K$28,$P132)+(INDEX(PARAMETROS_CULTURAS!$L$6:$L$28,$P132)-INDEX(PARAMETROS_CULTURAS!$K$6:$K$28,$P132))*($O132-INDEX(PARAMETROS_CULTURAS!$F$6:$F$28,$P132))/MAX(INDEX(PARAMETROS_CULTURAS!$G$6:$G$28,$P132),0.0001),IF($O132&lt;=INDEX(PARAMETROS_CULTURAS!$F$6:$F$28,$P132)+INDEX(PARAMETROS_CULTURAS!$G$6:$G$28,$P132)+INDEX(PARAMETROS_CULTURAS!$H$6:$H$28,$P132),INDEX(PARAMETROS_CULTURAS!$L$6:$L$28,$P132),INDEX(PARAMETROS_CULTURAS!$L$6:$L$28,$P132)+(INDEX(PARAMETROS_CULTURAS!$M$6:$M$28,$P132)-INDEX(PARAMETROS_CULTURAS!$L$6:$L$28,$P132))*($O132-INDEX(PARAMETROS_CULTURAS!$F$6:$F$28,$P132)-INDEX(PARAMETROS_CULTURAS!$G$6:$G$28,$P132)-INDEX(PARAMETROS_CULTURAS!$H$6:$H$28,$P132))/MAX(INDEX(PARAMETROS_CULTURAS!$I$6:$I$28,$P132),0.0001)))))</f>
        <v>0</v>
      </c>
      <c r="S132" s="18" t="n">
        <f aca="false">IFERROR(INDEX(SEMANAS!$H$6:$H$71,MATCH($B132,SEMANAS!$B$6:$B$71,0)),0)</f>
        <v>39.2</v>
      </c>
      <c r="T132" s="18" t="n">
        <f aca="false">$R132*$S132</f>
        <v>0</v>
      </c>
      <c r="U132" s="18" t="n">
        <f aca="false">IFERROR(INDEX(SEMANAS!$I$6:$I$71,MATCH($B132,SEMANAS!$B$6:$B$71,0)),0)</f>
        <v>27.09</v>
      </c>
      <c r="V132" s="18" t="n">
        <f aca="false">IFERROR(INDEX(SEMANAS!$J$6:$J$71,MATCH($B132,SEMANAS!$B$6:$B$71,0)),0)</f>
        <v>21.672</v>
      </c>
      <c r="W132" s="18" t="n">
        <f aca="false">MAX(0,$T132-$V132)</f>
        <v>0</v>
      </c>
      <c r="X132" s="19" t="n">
        <f aca="false">IFERROR(INDEX(CADASTRO_PIVOS!$K$6:$K$41,MATCH($E132,CADASTRO_PIVOS!$B$6:$B$41,0)),EFICIENCIA_PADRAO)</f>
        <v>0.85</v>
      </c>
      <c r="Y132" s="18" t="n">
        <f aca="false">IF($X132&lt;=0,0,$W132/$X132)</f>
        <v>0</v>
      </c>
      <c r="Z132" s="16" t="n">
        <f aca="false">$Y132*$H132*MM_PARA_M3_HA</f>
        <v>0</v>
      </c>
      <c r="AA132" s="18" t="n">
        <f aca="false">IFERROR(INDEX(CADASTRO_PIVOS!$I$6:$I$41,MATCH($E132,CADASTRO_PIVOS!$B$6:$B$41,0)),0)</f>
        <v>718.5</v>
      </c>
      <c r="AB132" s="18" t="n">
        <f aca="false">IF($Z132&lt;=0,0,$Z132/$AA132)</f>
        <v>0</v>
      </c>
      <c r="AC132" s="16" t="n">
        <f aca="false">IFERROR(INDEX(SEMANAS!$K$6:$K$71,MATCH($B132,SEMANAS!$B$6:$B$71,0)),0)</f>
        <v>147</v>
      </c>
      <c r="AD132" s="19" t="n">
        <f aca="false">IF($AC132&lt;=0,0,$AB132/$AC132)</f>
        <v>0</v>
      </c>
      <c r="AE132" s="8" t="str">
        <f aca="false">IF($K132="SEM CULTURA","SEM CULTURA",IF($AA132&lt;=0,"DADO PENDENTE",IF($AD132&gt;LIMITE_CRITICO,"INVIAVEL",IF($AD132&gt;LIMITE_ATENCAO,"CRITICO",IF($AD132&gt;LIMITE_CONFORTAVEL,"ATENCAO","OK")))))</f>
        <v>SEM CULTURA</v>
      </c>
      <c r="AF132" s="8" t="str">
        <f aca="false">$B132&amp;"|"&amp;TEXT($AD132,"0.000000")</f>
        <v>61|0.000000</v>
      </c>
      <c r="AG132" s="18" t="n">
        <f aca="false">IF($K132="SEM CULTURA",0,$T132*$H132)</f>
        <v>0</v>
      </c>
      <c r="AH132" s="18" t="n">
        <f aca="false">IF($K132="SEM CULTURA",0,$V132*$H132)</f>
        <v>0</v>
      </c>
      <c r="AI132" s="18" t="n">
        <f aca="false">IF($K132="SEM CULTURA",0,$W132*$H132)</f>
        <v>0</v>
      </c>
      <c r="AJ132" s="18" t="n">
        <f aca="false">IF($K132="SEM CULTURA",0,$S132*$H132)</f>
        <v>0</v>
      </c>
      <c r="AK132" s="8" t="str">
        <f aca="false">$E132&amp;"|"&amp;TEXT($AD132,"0.000000")</f>
        <v>PV 106|0.000000</v>
      </c>
    </row>
    <row r="133" customFormat="false" ht="15" hidden="false" customHeight="false" outlineLevel="0" collapsed="false">
      <c r="B133" s="16" t="n">
        <v>62</v>
      </c>
      <c r="C133" s="17" t="n">
        <f aca="false">DATA_INICIO_SAFRA+($B133-1)*DIAS_POR_SEMANA</f>
        <v>46692</v>
      </c>
      <c r="D133" s="17" t="n">
        <f aca="false">$C133+DIAS_POR_SEMANA-1</f>
        <v>46698</v>
      </c>
      <c r="E133" s="15" t="s">
        <v>260</v>
      </c>
      <c r="F133" s="8" t="str">
        <f aca="false">IFERROR(INDEX(CADASTRO_PIVOS!$C$6:$C$41,MATCH($E133,CADASTRO_PIVOS!$B$6:$B$41,0)),"?")</f>
        <v>RM02</v>
      </c>
      <c r="G133" s="8" t="str">
        <f aca="false">IFERROR(INDEX(CADASTRO_PIVOS!$D$6:$D$41,MATCH($E133,CADASTRO_PIVOS!$B$6:$B$41,0)),"?")</f>
        <v>TR02</v>
      </c>
      <c r="H133" s="20" t="n">
        <f aca="false">IFERROR(INDEX(CADASTRO_PIVOS!$E$6:$E$41,MATCH($E133,CADASTRO_PIVOS!$B$6:$B$41,0)),0)</f>
        <v>100.59</v>
      </c>
      <c r="I133" s="16" t="n">
        <f aca="false">IFERROR(SUMIFS(ROTACAO_RDM!$B$6:$B$71,ROTACAO_RDM!$D$6:$D$71,$E133,ROTACAO_RDM!$I$6:$I$71,"&lt;="&amp;$C133+INT(DIAS_POR_SEMANA/2),ROTACAO_RDM!$J$6:$J$71,"&gt;="&amp;$C133+INT(DIAS_POR_SEMANA/2)),0)</f>
        <v>0</v>
      </c>
      <c r="J133" s="16" t="n">
        <f aca="false">IFERROR(MATCH($I133,ROTACAO_RDM!$B$6:$B$71,0),0)</f>
        <v>0</v>
      </c>
      <c r="K133" s="8" t="str">
        <f aca="false">IF($J133=0,"SEM CULTURA",INDEX(ROTACAO_RDM!$F$6:$F$71,$J133))</f>
        <v>SEM CULTURA</v>
      </c>
      <c r="L133" s="8" t="str">
        <f aca="false">IF($J133=0,"",INDEX(ROTACAO_RDM!$G$6:$G$71,$J133))</f>
        <v/>
      </c>
      <c r="M133" s="17" t="str">
        <f aca="false">IF($J133=0,"",INDEX(ROTACAO_RDM!$I$6:$I$71,$J133))</f>
        <v/>
      </c>
      <c r="N133" s="16" t="n">
        <f aca="false">IF($J133=0,0,MAX(0,$C133+INT(DIAS_POR_SEMANA/2)-INDEX(ROTACAO_RDM!$I$6:$I$71,$J133)))</f>
        <v>0</v>
      </c>
      <c r="O133" s="19" t="n">
        <f aca="false">IF($J133=0,0,MIN(1,$N133/MAX(1,INDEX(ROTACAO_RDM!$K$6:$K$71,$J133))))</f>
        <v>0</v>
      </c>
      <c r="P133" s="16" t="n">
        <f aca="false">IF($J133=0,0,IFERROR(MATCH(INDEX(ROTACAO_RDM!$N$6:$N$71,$J133),PARAMETROS_CULTURAS!$B$6:$B$28,0),0))</f>
        <v>0</v>
      </c>
      <c r="Q133" s="8" t="str">
        <f aca="false">IF($P133=0,"-",IF($O133&lt;=INDEX(PARAMETROS_CULTURAS!$F$6:$F$28,$P133),"INICIAL",IF($O133&lt;=INDEX(PARAMETROS_CULTURAS!$F$6:$F$28,$P133)+INDEX(PARAMETROS_CULTURAS!$G$6:$G$28,$P133),"DESENVOLVIMENTO",IF($O133&lt;=INDEX(PARAMETROS_CULTURAS!$F$6:$F$28,$P133)+INDEX(PARAMETROS_CULTURAS!$G$6:$G$28,$P133)+INDEX(PARAMETROS_CULTURAS!$H$6:$H$28,$P133),"MEDIA","FINAL"))))</f>
        <v>-</v>
      </c>
      <c r="R133" s="24" t="n">
        <f aca="false">IF($P133=0,0,IF($O133&lt;=INDEX(PARAMETROS_CULTURAS!$F$6:$F$28,$P133),INDEX(PARAMETROS_CULTURAS!$K$6:$K$28,$P133),IF($O133&lt;=INDEX(PARAMETROS_CULTURAS!$F$6:$F$28,$P133)+INDEX(PARAMETROS_CULTURAS!$G$6:$G$28,$P133),INDEX(PARAMETROS_CULTURAS!$K$6:$K$28,$P133)+(INDEX(PARAMETROS_CULTURAS!$L$6:$L$28,$P133)-INDEX(PARAMETROS_CULTURAS!$K$6:$K$28,$P133))*($O133-INDEX(PARAMETROS_CULTURAS!$F$6:$F$28,$P133))/MAX(INDEX(PARAMETROS_CULTURAS!$G$6:$G$28,$P133),0.0001),IF($O133&lt;=INDEX(PARAMETROS_CULTURAS!$F$6:$F$28,$P133)+INDEX(PARAMETROS_CULTURAS!$G$6:$G$28,$P133)+INDEX(PARAMETROS_CULTURAS!$H$6:$H$28,$P133),INDEX(PARAMETROS_CULTURAS!$L$6:$L$28,$P133),INDEX(PARAMETROS_CULTURAS!$L$6:$L$28,$P133)+(INDEX(PARAMETROS_CULTURAS!$M$6:$M$28,$P133)-INDEX(PARAMETROS_CULTURAS!$L$6:$L$28,$P133))*($O133-INDEX(PARAMETROS_CULTURAS!$F$6:$F$28,$P133)-INDEX(PARAMETROS_CULTURAS!$G$6:$G$28,$P133)-INDEX(PARAMETROS_CULTURAS!$H$6:$H$28,$P133))/MAX(INDEX(PARAMETROS_CULTURAS!$I$6:$I$28,$P133),0.0001)))))</f>
        <v>0</v>
      </c>
      <c r="S133" s="18" t="n">
        <f aca="false">IFERROR(INDEX(SEMANAS!$H$6:$H$71,MATCH($B133,SEMANAS!$B$6:$B$71,0)),0)</f>
        <v>34.3</v>
      </c>
      <c r="T133" s="18" t="n">
        <f aca="false">$R133*$S133</f>
        <v>0</v>
      </c>
      <c r="U133" s="18" t="n">
        <f aca="false">IFERROR(INDEX(SEMANAS!$I$6:$I$71,MATCH($B133,SEMANAS!$B$6:$B$71,0)),0)</f>
        <v>46.69</v>
      </c>
      <c r="V133" s="18" t="n">
        <f aca="false">IFERROR(INDEX(SEMANAS!$J$6:$J$71,MATCH($B133,SEMANAS!$B$6:$B$71,0)),0)</f>
        <v>37.352</v>
      </c>
      <c r="W133" s="18" t="n">
        <f aca="false">MAX(0,$T133-$V133)</f>
        <v>0</v>
      </c>
      <c r="X133" s="19" t="n">
        <f aca="false">IFERROR(INDEX(CADASTRO_PIVOS!$K$6:$K$41,MATCH($E133,CADASTRO_PIVOS!$B$6:$B$41,0)),EFICIENCIA_PADRAO)</f>
        <v>0.85</v>
      </c>
      <c r="Y133" s="18" t="n">
        <f aca="false">IF($X133&lt;=0,0,$W133/$X133)</f>
        <v>0</v>
      </c>
      <c r="Z133" s="16" t="n">
        <f aca="false">$Y133*$H133*MM_PARA_M3_HA</f>
        <v>0</v>
      </c>
      <c r="AA133" s="18" t="n">
        <f aca="false">IFERROR(INDEX(CADASTRO_PIVOS!$I$6:$I$41,MATCH($E133,CADASTRO_PIVOS!$B$6:$B$41,0)),0)</f>
        <v>718.5</v>
      </c>
      <c r="AB133" s="18" t="n">
        <f aca="false">IF($Z133&lt;=0,0,$Z133/$AA133)</f>
        <v>0</v>
      </c>
      <c r="AC133" s="16" t="n">
        <f aca="false">IFERROR(INDEX(SEMANAS!$K$6:$K$71,MATCH($B133,SEMANAS!$B$6:$B$71,0)),0)</f>
        <v>147</v>
      </c>
      <c r="AD133" s="19" t="n">
        <f aca="false">IF($AC133&lt;=0,0,$AB133/$AC133)</f>
        <v>0</v>
      </c>
      <c r="AE133" s="8" t="str">
        <f aca="false">IF($K133="SEM CULTURA","SEM CULTURA",IF($AA133&lt;=0,"DADO PENDENTE",IF($AD133&gt;LIMITE_CRITICO,"INVIAVEL",IF($AD133&gt;LIMITE_ATENCAO,"CRITICO",IF($AD133&gt;LIMITE_CONFORTAVEL,"ATENCAO","OK")))))</f>
        <v>SEM CULTURA</v>
      </c>
      <c r="AF133" s="8" t="str">
        <f aca="false">$B133&amp;"|"&amp;TEXT($AD133,"0.000000")</f>
        <v>62|0.000000</v>
      </c>
      <c r="AG133" s="18" t="n">
        <f aca="false">IF($K133="SEM CULTURA",0,$T133*$H133)</f>
        <v>0</v>
      </c>
      <c r="AH133" s="18" t="n">
        <f aca="false">IF($K133="SEM CULTURA",0,$V133*$H133)</f>
        <v>0</v>
      </c>
      <c r="AI133" s="18" t="n">
        <f aca="false">IF($K133="SEM CULTURA",0,$W133*$H133)</f>
        <v>0</v>
      </c>
      <c r="AJ133" s="18" t="n">
        <f aca="false">IF($K133="SEM CULTURA",0,$S133*$H133)</f>
        <v>0</v>
      </c>
      <c r="AK133" s="8" t="str">
        <f aca="false">$E133&amp;"|"&amp;TEXT($AD133,"0.000000")</f>
        <v>PV 106|0.000000</v>
      </c>
    </row>
    <row r="134" customFormat="false" ht="15" hidden="false" customHeight="false" outlineLevel="0" collapsed="false">
      <c r="B134" s="16" t="n">
        <v>63</v>
      </c>
      <c r="C134" s="17" t="n">
        <f aca="false">DATA_INICIO_SAFRA+($B134-1)*DIAS_POR_SEMANA</f>
        <v>46699</v>
      </c>
      <c r="D134" s="17" t="n">
        <f aca="false">$C134+DIAS_POR_SEMANA-1</f>
        <v>46705</v>
      </c>
      <c r="E134" s="15" t="s">
        <v>260</v>
      </c>
      <c r="F134" s="8" t="str">
        <f aca="false">IFERROR(INDEX(CADASTRO_PIVOS!$C$6:$C$41,MATCH($E134,CADASTRO_PIVOS!$B$6:$B$41,0)),"?")</f>
        <v>RM02</v>
      </c>
      <c r="G134" s="8" t="str">
        <f aca="false">IFERROR(INDEX(CADASTRO_PIVOS!$D$6:$D$41,MATCH($E134,CADASTRO_PIVOS!$B$6:$B$41,0)),"?")</f>
        <v>TR02</v>
      </c>
      <c r="H134" s="20" t="n">
        <f aca="false">IFERROR(INDEX(CADASTRO_PIVOS!$E$6:$E$41,MATCH($E134,CADASTRO_PIVOS!$B$6:$B$41,0)),0)</f>
        <v>100.59</v>
      </c>
      <c r="I134" s="16" t="n">
        <f aca="false">IFERROR(SUMIFS(ROTACAO_RDM!$B$6:$B$71,ROTACAO_RDM!$D$6:$D$71,$E134,ROTACAO_RDM!$I$6:$I$71,"&lt;="&amp;$C134+INT(DIAS_POR_SEMANA/2),ROTACAO_RDM!$J$6:$J$71,"&gt;="&amp;$C134+INT(DIAS_POR_SEMANA/2)),0)</f>
        <v>0</v>
      </c>
      <c r="J134" s="16" t="n">
        <f aca="false">IFERROR(MATCH($I134,ROTACAO_RDM!$B$6:$B$71,0),0)</f>
        <v>0</v>
      </c>
      <c r="K134" s="8" t="str">
        <f aca="false">IF($J134=0,"SEM CULTURA",INDEX(ROTACAO_RDM!$F$6:$F$71,$J134))</f>
        <v>SEM CULTURA</v>
      </c>
      <c r="L134" s="8" t="str">
        <f aca="false">IF($J134=0,"",INDEX(ROTACAO_RDM!$G$6:$G$71,$J134))</f>
        <v/>
      </c>
      <c r="M134" s="17" t="str">
        <f aca="false">IF($J134=0,"",INDEX(ROTACAO_RDM!$I$6:$I$71,$J134))</f>
        <v/>
      </c>
      <c r="N134" s="16" t="n">
        <f aca="false">IF($J134=0,0,MAX(0,$C134+INT(DIAS_POR_SEMANA/2)-INDEX(ROTACAO_RDM!$I$6:$I$71,$J134)))</f>
        <v>0</v>
      </c>
      <c r="O134" s="19" t="n">
        <f aca="false">IF($J134=0,0,MIN(1,$N134/MAX(1,INDEX(ROTACAO_RDM!$K$6:$K$71,$J134))))</f>
        <v>0</v>
      </c>
      <c r="P134" s="16" t="n">
        <f aca="false">IF($J134=0,0,IFERROR(MATCH(INDEX(ROTACAO_RDM!$N$6:$N$71,$J134),PARAMETROS_CULTURAS!$B$6:$B$28,0),0))</f>
        <v>0</v>
      </c>
      <c r="Q134" s="8" t="str">
        <f aca="false">IF($P134=0,"-",IF($O134&lt;=INDEX(PARAMETROS_CULTURAS!$F$6:$F$28,$P134),"INICIAL",IF($O134&lt;=INDEX(PARAMETROS_CULTURAS!$F$6:$F$28,$P134)+INDEX(PARAMETROS_CULTURAS!$G$6:$G$28,$P134),"DESENVOLVIMENTO",IF($O134&lt;=INDEX(PARAMETROS_CULTURAS!$F$6:$F$28,$P134)+INDEX(PARAMETROS_CULTURAS!$G$6:$G$28,$P134)+INDEX(PARAMETROS_CULTURAS!$H$6:$H$28,$P134),"MEDIA","FINAL"))))</f>
        <v>-</v>
      </c>
      <c r="R134" s="24" t="n">
        <f aca="false">IF($P134=0,0,IF($O134&lt;=INDEX(PARAMETROS_CULTURAS!$F$6:$F$28,$P134),INDEX(PARAMETROS_CULTURAS!$K$6:$K$28,$P134),IF($O134&lt;=INDEX(PARAMETROS_CULTURAS!$F$6:$F$28,$P134)+INDEX(PARAMETROS_CULTURAS!$G$6:$G$28,$P134),INDEX(PARAMETROS_CULTURAS!$K$6:$K$28,$P134)+(INDEX(PARAMETROS_CULTURAS!$L$6:$L$28,$P134)-INDEX(PARAMETROS_CULTURAS!$K$6:$K$28,$P134))*($O134-INDEX(PARAMETROS_CULTURAS!$F$6:$F$28,$P134))/MAX(INDEX(PARAMETROS_CULTURAS!$G$6:$G$28,$P134),0.0001),IF($O134&lt;=INDEX(PARAMETROS_CULTURAS!$F$6:$F$28,$P134)+INDEX(PARAMETROS_CULTURAS!$G$6:$G$28,$P134)+INDEX(PARAMETROS_CULTURAS!$H$6:$H$28,$P134),INDEX(PARAMETROS_CULTURAS!$L$6:$L$28,$P134),INDEX(PARAMETROS_CULTURAS!$L$6:$L$28,$P134)+(INDEX(PARAMETROS_CULTURAS!$M$6:$M$28,$P134)-INDEX(PARAMETROS_CULTURAS!$L$6:$L$28,$P134))*($O134-INDEX(PARAMETROS_CULTURAS!$F$6:$F$28,$P134)-INDEX(PARAMETROS_CULTURAS!$G$6:$G$28,$P134)-INDEX(PARAMETROS_CULTURAS!$H$6:$H$28,$P134))/MAX(INDEX(PARAMETROS_CULTURAS!$I$6:$I$28,$P134),0.0001)))))</f>
        <v>0</v>
      </c>
      <c r="S134" s="18" t="n">
        <f aca="false">IFERROR(INDEX(SEMANAS!$H$6:$H$71,MATCH($B134,SEMANAS!$B$6:$B$71,0)),0)</f>
        <v>34.3</v>
      </c>
      <c r="T134" s="18" t="n">
        <f aca="false">$R134*$S134</f>
        <v>0</v>
      </c>
      <c r="U134" s="18" t="n">
        <f aca="false">IFERROR(INDEX(SEMANAS!$I$6:$I$71,MATCH($B134,SEMANAS!$B$6:$B$71,0)),0)</f>
        <v>46.69</v>
      </c>
      <c r="V134" s="18" t="n">
        <f aca="false">IFERROR(INDEX(SEMANAS!$J$6:$J$71,MATCH($B134,SEMANAS!$B$6:$B$71,0)),0)</f>
        <v>37.352</v>
      </c>
      <c r="W134" s="18" t="n">
        <f aca="false">MAX(0,$T134-$V134)</f>
        <v>0</v>
      </c>
      <c r="X134" s="19" t="n">
        <f aca="false">IFERROR(INDEX(CADASTRO_PIVOS!$K$6:$K$41,MATCH($E134,CADASTRO_PIVOS!$B$6:$B$41,0)),EFICIENCIA_PADRAO)</f>
        <v>0.85</v>
      </c>
      <c r="Y134" s="18" t="n">
        <f aca="false">IF($X134&lt;=0,0,$W134/$X134)</f>
        <v>0</v>
      </c>
      <c r="Z134" s="16" t="n">
        <f aca="false">$Y134*$H134*MM_PARA_M3_HA</f>
        <v>0</v>
      </c>
      <c r="AA134" s="18" t="n">
        <f aca="false">IFERROR(INDEX(CADASTRO_PIVOS!$I$6:$I$41,MATCH($E134,CADASTRO_PIVOS!$B$6:$B$41,0)),0)</f>
        <v>718.5</v>
      </c>
      <c r="AB134" s="18" t="n">
        <f aca="false">IF($Z134&lt;=0,0,$Z134/$AA134)</f>
        <v>0</v>
      </c>
      <c r="AC134" s="16" t="n">
        <f aca="false">IFERROR(INDEX(SEMANAS!$K$6:$K$71,MATCH($B134,SEMANAS!$B$6:$B$71,0)),0)</f>
        <v>147</v>
      </c>
      <c r="AD134" s="19" t="n">
        <f aca="false">IF($AC134&lt;=0,0,$AB134/$AC134)</f>
        <v>0</v>
      </c>
      <c r="AE134" s="8" t="str">
        <f aca="false">IF($K134="SEM CULTURA","SEM CULTURA",IF($AA134&lt;=0,"DADO PENDENTE",IF($AD134&gt;LIMITE_CRITICO,"INVIAVEL",IF($AD134&gt;LIMITE_ATENCAO,"CRITICO",IF($AD134&gt;LIMITE_CONFORTAVEL,"ATENCAO","OK")))))</f>
        <v>SEM CULTURA</v>
      </c>
      <c r="AF134" s="8" t="str">
        <f aca="false">$B134&amp;"|"&amp;TEXT($AD134,"0.000000")</f>
        <v>63|0.000000</v>
      </c>
      <c r="AG134" s="18" t="n">
        <f aca="false">IF($K134="SEM CULTURA",0,$T134*$H134)</f>
        <v>0</v>
      </c>
      <c r="AH134" s="18" t="n">
        <f aca="false">IF($K134="SEM CULTURA",0,$V134*$H134)</f>
        <v>0</v>
      </c>
      <c r="AI134" s="18" t="n">
        <f aca="false">IF($K134="SEM CULTURA",0,$W134*$H134)</f>
        <v>0</v>
      </c>
      <c r="AJ134" s="18" t="n">
        <f aca="false">IF($K134="SEM CULTURA",0,$S134*$H134)</f>
        <v>0</v>
      </c>
      <c r="AK134" s="8" t="str">
        <f aca="false">$E134&amp;"|"&amp;TEXT($AD134,"0.000000")</f>
        <v>PV 106|0.000000</v>
      </c>
    </row>
    <row r="135" customFormat="false" ht="15" hidden="false" customHeight="false" outlineLevel="0" collapsed="false">
      <c r="B135" s="16" t="n">
        <v>64</v>
      </c>
      <c r="C135" s="17" t="n">
        <f aca="false">DATA_INICIO_SAFRA+($B135-1)*DIAS_POR_SEMANA</f>
        <v>46706</v>
      </c>
      <c r="D135" s="17" t="n">
        <f aca="false">$C135+DIAS_POR_SEMANA-1</f>
        <v>46712</v>
      </c>
      <c r="E135" s="15" t="s">
        <v>260</v>
      </c>
      <c r="F135" s="8" t="str">
        <f aca="false">IFERROR(INDEX(CADASTRO_PIVOS!$C$6:$C$41,MATCH($E135,CADASTRO_PIVOS!$B$6:$B$41,0)),"?")</f>
        <v>RM02</v>
      </c>
      <c r="G135" s="8" t="str">
        <f aca="false">IFERROR(INDEX(CADASTRO_PIVOS!$D$6:$D$41,MATCH($E135,CADASTRO_PIVOS!$B$6:$B$41,0)),"?")</f>
        <v>TR02</v>
      </c>
      <c r="H135" s="20" t="n">
        <f aca="false">IFERROR(INDEX(CADASTRO_PIVOS!$E$6:$E$41,MATCH($E135,CADASTRO_PIVOS!$B$6:$B$41,0)),0)</f>
        <v>100.59</v>
      </c>
      <c r="I135" s="16" t="n">
        <f aca="false">IFERROR(SUMIFS(ROTACAO_RDM!$B$6:$B$71,ROTACAO_RDM!$D$6:$D$71,$E135,ROTACAO_RDM!$I$6:$I$71,"&lt;="&amp;$C135+INT(DIAS_POR_SEMANA/2),ROTACAO_RDM!$J$6:$J$71,"&gt;="&amp;$C135+INT(DIAS_POR_SEMANA/2)),0)</f>
        <v>0</v>
      </c>
      <c r="J135" s="16" t="n">
        <f aca="false">IFERROR(MATCH($I135,ROTACAO_RDM!$B$6:$B$71,0),0)</f>
        <v>0</v>
      </c>
      <c r="K135" s="8" t="str">
        <f aca="false">IF($J135=0,"SEM CULTURA",INDEX(ROTACAO_RDM!$F$6:$F$71,$J135))</f>
        <v>SEM CULTURA</v>
      </c>
      <c r="L135" s="8" t="str">
        <f aca="false">IF($J135=0,"",INDEX(ROTACAO_RDM!$G$6:$G$71,$J135))</f>
        <v/>
      </c>
      <c r="M135" s="17" t="str">
        <f aca="false">IF($J135=0,"",INDEX(ROTACAO_RDM!$I$6:$I$71,$J135))</f>
        <v/>
      </c>
      <c r="N135" s="16" t="n">
        <f aca="false">IF($J135=0,0,MAX(0,$C135+INT(DIAS_POR_SEMANA/2)-INDEX(ROTACAO_RDM!$I$6:$I$71,$J135)))</f>
        <v>0</v>
      </c>
      <c r="O135" s="19" t="n">
        <f aca="false">IF($J135=0,0,MIN(1,$N135/MAX(1,INDEX(ROTACAO_RDM!$K$6:$K$71,$J135))))</f>
        <v>0</v>
      </c>
      <c r="P135" s="16" t="n">
        <f aca="false">IF($J135=0,0,IFERROR(MATCH(INDEX(ROTACAO_RDM!$N$6:$N$71,$J135),PARAMETROS_CULTURAS!$B$6:$B$28,0),0))</f>
        <v>0</v>
      </c>
      <c r="Q135" s="8" t="str">
        <f aca="false">IF($P135=0,"-",IF($O135&lt;=INDEX(PARAMETROS_CULTURAS!$F$6:$F$28,$P135),"INICIAL",IF($O135&lt;=INDEX(PARAMETROS_CULTURAS!$F$6:$F$28,$P135)+INDEX(PARAMETROS_CULTURAS!$G$6:$G$28,$P135),"DESENVOLVIMENTO",IF($O135&lt;=INDEX(PARAMETROS_CULTURAS!$F$6:$F$28,$P135)+INDEX(PARAMETROS_CULTURAS!$G$6:$G$28,$P135)+INDEX(PARAMETROS_CULTURAS!$H$6:$H$28,$P135),"MEDIA","FINAL"))))</f>
        <v>-</v>
      </c>
      <c r="R135" s="24" t="n">
        <f aca="false">IF($P135=0,0,IF($O135&lt;=INDEX(PARAMETROS_CULTURAS!$F$6:$F$28,$P135),INDEX(PARAMETROS_CULTURAS!$K$6:$K$28,$P135),IF($O135&lt;=INDEX(PARAMETROS_CULTURAS!$F$6:$F$28,$P135)+INDEX(PARAMETROS_CULTURAS!$G$6:$G$28,$P135),INDEX(PARAMETROS_CULTURAS!$K$6:$K$28,$P135)+(INDEX(PARAMETROS_CULTURAS!$L$6:$L$28,$P135)-INDEX(PARAMETROS_CULTURAS!$K$6:$K$28,$P135))*($O135-INDEX(PARAMETROS_CULTURAS!$F$6:$F$28,$P135))/MAX(INDEX(PARAMETROS_CULTURAS!$G$6:$G$28,$P135),0.0001),IF($O135&lt;=INDEX(PARAMETROS_CULTURAS!$F$6:$F$28,$P135)+INDEX(PARAMETROS_CULTURAS!$G$6:$G$28,$P135)+INDEX(PARAMETROS_CULTURAS!$H$6:$H$28,$P135),INDEX(PARAMETROS_CULTURAS!$L$6:$L$28,$P135),INDEX(PARAMETROS_CULTURAS!$L$6:$L$28,$P135)+(INDEX(PARAMETROS_CULTURAS!$M$6:$M$28,$P135)-INDEX(PARAMETROS_CULTURAS!$L$6:$L$28,$P135))*($O135-INDEX(PARAMETROS_CULTURAS!$F$6:$F$28,$P135)-INDEX(PARAMETROS_CULTURAS!$G$6:$G$28,$P135)-INDEX(PARAMETROS_CULTURAS!$H$6:$H$28,$P135))/MAX(INDEX(PARAMETROS_CULTURAS!$I$6:$I$28,$P135),0.0001)))))</f>
        <v>0</v>
      </c>
      <c r="S135" s="18" t="n">
        <f aca="false">IFERROR(INDEX(SEMANAS!$H$6:$H$71,MATCH($B135,SEMANAS!$B$6:$B$71,0)),0)</f>
        <v>34.3</v>
      </c>
      <c r="T135" s="18" t="n">
        <f aca="false">$R135*$S135</f>
        <v>0</v>
      </c>
      <c r="U135" s="18" t="n">
        <f aca="false">IFERROR(INDEX(SEMANAS!$I$6:$I$71,MATCH($B135,SEMANAS!$B$6:$B$71,0)),0)</f>
        <v>46.69</v>
      </c>
      <c r="V135" s="18" t="n">
        <f aca="false">IFERROR(INDEX(SEMANAS!$J$6:$J$71,MATCH($B135,SEMANAS!$B$6:$B$71,0)),0)</f>
        <v>37.352</v>
      </c>
      <c r="W135" s="18" t="n">
        <f aca="false">MAX(0,$T135-$V135)</f>
        <v>0</v>
      </c>
      <c r="X135" s="19" t="n">
        <f aca="false">IFERROR(INDEX(CADASTRO_PIVOS!$K$6:$K$41,MATCH($E135,CADASTRO_PIVOS!$B$6:$B$41,0)),EFICIENCIA_PADRAO)</f>
        <v>0.85</v>
      </c>
      <c r="Y135" s="18" t="n">
        <f aca="false">IF($X135&lt;=0,0,$W135/$X135)</f>
        <v>0</v>
      </c>
      <c r="Z135" s="16" t="n">
        <f aca="false">$Y135*$H135*MM_PARA_M3_HA</f>
        <v>0</v>
      </c>
      <c r="AA135" s="18" t="n">
        <f aca="false">IFERROR(INDEX(CADASTRO_PIVOS!$I$6:$I$41,MATCH($E135,CADASTRO_PIVOS!$B$6:$B$41,0)),0)</f>
        <v>718.5</v>
      </c>
      <c r="AB135" s="18" t="n">
        <f aca="false">IF($Z135&lt;=0,0,$Z135/$AA135)</f>
        <v>0</v>
      </c>
      <c r="AC135" s="16" t="n">
        <f aca="false">IFERROR(INDEX(SEMANAS!$K$6:$K$71,MATCH($B135,SEMANAS!$B$6:$B$71,0)),0)</f>
        <v>147</v>
      </c>
      <c r="AD135" s="19" t="n">
        <f aca="false">IF($AC135&lt;=0,0,$AB135/$AC135)</f>
        <v>0</v>
      </c>
      <c r="AE135" s="8" t="str">
        <f aca="false">IF($K135="SEM CULTURA","SEM CULTURA",IF($AA135&lt;=0,"DADO PENDENTE",IF($AD135&gt;LIMITE_CRITICO,"INVIAVEL",IF($AD135&gt;LIMITE_ATENCAO,"CRITICO",IF($AD135&gt;LIMITE_CONFORTAVEL,"ATENCAO","OK")))))</f>
        <v>SEM CULTURA</v>
      </c>
      <c r="AF135" s="8" t="str">
        <f aca="false">$B135&amp;"|"&amp;TEXT($AD135,"0.000000")</f>
        <v>64|0.000000</v>
      </c>
      <c r="AG135" s="18" t="n">
        <f aca="false">IF($K135="SEM CULTURA",0,$T135*$H135)</f>
        <v>0</v>
      </c>
      <c r="AH135" s="18" t="n">
        <f aca="false">IF($K135="SEM CULTURA",0,$V135*$H135)</f>
        <v>0</v>
      </c>
      <c r="AI135" s="18" t="n">
        <f aca="false">IF($K135="SEM CULTURA",0,$W135*$H135)</f>
        <v>0</v>
      </c>
      <c r="AJ135" s="18" t="n">
        <f aca="false">IF($K135="SEM CULTURA",0,$S135*$H135)</f>
        <v>0</v>
      </c>
      <c r="AK135" s="8" t="str">
        <f aca="false">$E135&amp;"|"&amp;TEXT($AD135,"0.000000")</f>
        <v>PV 106|0.000000</v>
      </c>
    </row>
    <row r="136" customFormat="false" ht="15" hidden="false" customHeight="false" outlineLevel="0" collapsed="false">
      <c r="B136" s="16" t="n">
        <v>65</v>
      </c>
      <c r="C136" s="17" t="n">
        <f aca="false">DATA_INICIO_SAFRA+($B136-1)*DIAS_POR_SEMANA</f>
        <v>46713</v>
      </c>
      <c r="D136" s="17" t="n">
        <f aca="false">$C136+DIAS_POR_SEMANA-1</f>
        <v>46719</v>
      </c>
      <c r="E136" s="15" t="s">
        <v>260</v>
      </c>
      <c r="F136" s="8" t="str">
        <f aca="false">IFERROR(INDEX(CADASTRO_PIVOS!$C$6:$C$41,MATCH($E136,CADASTRO_PIVOS!$B$6:$B$41,0)),"?")</f>
        <v>RM02</v>
      </c>
      <c r="G136" s="8" t="str">
        <f aca="false">IFERROR(INDEX(CADASTRO_PIVOS!$D$6:$D$41,MATCH($E136,CADASTRO_PIVOS!$B$6:$B$41,0)),"?")</f>
        <v>TR02</v>
      </c>
      <c r="H136" s="20" t="n">
        <f aca="false">IFERROR(INDEX(CADASTRO_PIVOS!$E$6:$E$41,MATCH($E136,CADASTRO_PIVOS!$B$6:$B$41,0)),0)</f>
        <v>100.59</v>
      </c>
      <c r="I136" s="16" t="n">
        <f aca="false">IFERROR(SUMIFS(ROTACAO_RDM!$B$6:$B$71,ROTACAO_RDM!$D$6:$D$71,$E136,ROTACAO_RDM!$I$6:$I$71,"&lt;="&amp;$C136+INT(DIAS_POR_SEMANA/2),ROTACAO_RDM!$J$6:$J$71,"&gt;="&amp;$C136+INT(DIAS_POR_SEMANA/2)),0)</f>
        <v>0</v>
      </c>
      <c r="J136" s="16" t="n">
        <f aca="false">IFERROR(MATCH($I136,ROTACAO_RDM!$B$6:$B$71,0),0)</f>
        <v>0</v>
      </c>
      <c r="K136" s="8" t="str">
        <f aca="false">IF($J136=0,"SEM CULTURA",INDEX(ROTACAO_RDM!$F$6:$F$71,$J136))</f>
        <v>SEM CULTURA</v>
      </c>
      <c r="L136" s="8" t="str">
        <f aca="false">IF($J136=0,"",INDEX(ROTACAO_RDM!$G$6:$G$71,$J136))</f>
        <v/>
      </c>
      <c r="M136" s="17" t="str">
        <f aca="false">IF($J136=0,"",INDEX(ROTACAO_RDM!$I$6:$I$71,$J136))</f>
        <v/>
      </c>
      <c r="N136" s="16" t="n">
        <f aca="false">IF($J136=0,0,MAX(0,$C136+INT(DIAS_POR_SEMANA/2)-INDEX(ROTACAO_RDM!$I$6:$I$71,$J136)))</f>
        <v>0</v>
      </c>
      <c r="O136" s="19" t="n">
        <f aca="false">IF($J136=0,0,MIN(1,$N136/MAX(1,INDEX(ROTACAO_RDM!$K$6:$K$71,$J136))))</f>
        <v>0</v>
      </c>
      <c r="P136" s="16" t="n">
        <f aca="false">IF($J136=0,0,IFERROR(MATCH(INDEX(ROTACAO_RDM!$N$6:$N$71,$J136),PARAMETROS_CULTURAS!$B$6:$B$28,0),0))</f>
        <v>0</v>
      </c>
      <c r="Q136" s="8" t="str">
        <f aca="false">IF($P136=0,"-",IF($O136&lt;=INDEX(PARAMETROS_CULTURAS!$F$6:$F$28,$P136),"INICIAL",IF($O136&lt;=INDEX(PARAMETROS_CULTURAS!$F$6:$F$28,$P136)+INDEX(PARAMETROS_CULTURAS!$G$6:$G$28,$P136),"DESENVOLVIMENTO",IF($O136&lt;=INDEX(PARAMETROS_CULTURAS!$F$6:$F$28,$P136)+INDEX(PARAMETROS_CULTURAS!$G$6:$G$28,$P136)+INDEX(PARAMETROS_CULTURAS!$H$6:$H$28,$P136),"MEDIA","FINAL"))))</f>
        <v>-</v>
      </c>
      <c r="R136" s="24" t="n">
        <f aca="false">IF($P136=0,0,IF($O136&lt;=INDEX(PARAMETROS_CULTURAS!$F$6:$F$28,$P136),INDEX(PARAMETROS_CULTURAS!$K$6:$K$28,$P136),IF($O136&lt;=INDEX(PARAMETROS_CULTURAS!$F$6:$F$28,$P136)+INDEX(PARAMETROS_CULTURAS!$G$6:$G$28,$P136),INDEX(PARAMETROS_CULTURAS!$K$6:$K$28,$P136)+(INDEX(PARAMETROS_CULTURAS!$L$6:$L$28,$P136)-INDEX(PARAMETROS_CULTURAS!$K$6:$K$28,$P136))*($O136-INDEX(PARAMETROS_CULTURAS!$F$6:$F$28,$P136))/MAX(INDEX(PARAMETROS_CULTURAS!$G$6:$G$28,$P136),0.0001),IF($O136&lt;=INDEX(PARAMETROS_CULTURAS!$F$6:$F$28,$P136)+INDEX(PARAMETROS_CULTURAS!$G$6:$G$28,$P136)+INDEX(PARAMETROS_CULTURAS!$H$6:$H$28,$P136),INDEX(PARAMETROS_CULTURAS!$L$6:$L$28,$P136),INDEX(PARAMETROS_CULTURAS!$L$6:$L$28,$P136)+(INDEX(PARAMETROS_CULTURAS!$M$6:$M$28,$P136)-INDEX(PARAMETROS_CULTURAS!$L$6:$L$28,$P136))*($O136-INDEX(PARAMETROS_CULTURAS!$F$6:$F$28,$P136)-INDEX(PARAMETROS_CULTURAS!$G$6:$G$28,$P136)-INDEX(PARAMETROS_CULTURAS!$H$6:$H$28,$P136))/MAX(INDEX(PARAMETROS_CULTURAS!$I$6:$I$28,$P136),0.0001)))))</f>
        <v>0</v>
      </c>
      <c r="S136" s="18" t="n">
        <f aca="false">IFERROR(INDEX(SEMANAS!$H$6:$H$71,MATCH($B136,SEMANAS!$B$6:$B$71,0)),0)</f>
        <v>34.3</v>
      </c>
      <c r="T136" s="18" t="n">
        <f aca="false">$R136*$S136</f>
        <v>0</v>
      </c>
      <c r="U136" s="18" t="n">
        <f aca="false">IFERROR(INDEX(SEMANAS!$I$6:$I$71,MATCH($B136,SEMANAS!$B$6:$B$71,0)),0)</f>
        <v>46.69</v>
      </c>
      <c r="V136" s="18" t="n">
        <f aca="false">IFERROR(INDEX(SEMANAS!$J$6:$J$71,MATCH($B136,SEMANAS!$B$6:$B$71,0)),0)</f>
        <v>37.352</v>
      </c>
      <c r="W136" s="18" t="n">
        <f aca="false">MAX(0,$T136-$V136)</f>
        <v>0</v>
      </c>
      <c r="X136" s="19" t="n">
        <f aca="false">IFERROR(INDEX(CADASTRO_PIVOS!$K$6:$K$41,MATCH($E136,CADASTRO_PIVOS!$B$6:$B$41,0)),EFICIENCIA_PADRAO)</f>
        <v>0.85</v>
      </c>
      <c r="Y136" s="18" t="n">
        <f aca="false">IF($X136&lt;=0,0,$W136/$X136)</f>
        <v>0</v>
      </c>
      <c r="Z136" s="16" t="n">
        <f aca="false">$Y136*$H136*MM_PARA_M3_HA</f>
        <v>0</v>
      </c>
      <c r="AA136" s="18" t="n">
        <f aca="false">IFERROR(INDEX(CADASTRO_PIVOS!$I$6:$I$41,MATCH($E136,CADASTRO_PIVOS!$B$6:$B$41,0)),0)</f>
        <v>718.5</v>
      </c>
      <c r="AB136" s="18" t="n">
        <f aca="false">IF($Z136&lt;=0,0,$Z136/$AA136)</f>
        <v>0</v>
      </c>
      <c r="AC136" s="16" t="n">
        <f aca="false">IFERROR(INDEX(SEMANAS!$K$6:$K$71,MATCH($B136,SEMANAS!$B$6:$B$71,0)),0)</f>
        <v>147</v>
      </c>
      <c r="AD136" s="19" t="n">
        <f aca="false">IF($AC136&lt;=0,0,$AB136/$AC136)</f>
        <v>0</v>
      </c>
      <c r="AE136" s="8" t="str">
        <f aca="false">IF($K136="SEM CULTURA","SEM CULTURA",IF($AA136&lt;=0,"DADO PENDENTE",IF($AD136&gt;LIMITE_CRITICO,"INVIAVEL",IF($AD136&gt;LIMITE_ATENCAO,"CRITICO",IF($AD136&gt;LIMITE_CONFORTAVEL,"ATENCAO","OK")))))</f>
        <v>SEM CULTURA</v>
      </c>
      <c r="AF136" s="8" t="str">
        <f aca="false">$B136&amp;"|"&amp;TEXT($AD136,"0.000000")</f>
        <v>65|0.000000</v>
      </c>
      <c r="AG136" s="18" t="n">
        <f aca="false">IF($K136="SEM CULTURA",0,$T136*$H136)</f>
        <v>0</v>
      </c>
      <c r="AH136" s="18" t="n">
        <f aca="false">IF($K136="SEM CULTURA",0,$V136*$H136)</f>
        <v>0</v>
      </c>
      <c r="AI136" s="18" t="n">
        <f aca="false">IF($K136="SEM CULTURA",0,$W136*$H136)</f>
        <v>0</v>
      </c>
      <c r="AJ136" s="18" t="n">
        <f aca="false">IF($K136="SEM CULTURA",0,$S136*$H136)</f>
        <v>0</v>
      </c>
      <c r="AK136" s="8" t="str">
        <f aca="false">$E136&amp;"|"&amp;TEXT($AD136,"0.000000")</f>
        <v>PV 106|0.000000</v>
      </c>
    </row>
    <row r="137" customFormat="false" ht="15" hidden="false" customHeight="false" outlineLevel="0" collapsed="false">
      <c r="B137" s="16" t="n">
        <v>66</v>
      </c>
      <c r="C137" s="17" t="n">
        <f aca="false">DATA_INICIO_SAFRA+($B137-1)*DIAS_POR_SEMANA</f>
        <v>46720</v>
      </c>
      <c r="D137" s="17" t="n">
        <f aca="false">$C137+DIAS_POR_SEMANA-1</f>
        <v>46726</v>
      </c>
      <c r="E137" s="15" t="s">
        <v>260</v>
      </c>
      <c r="F137" s="8" t="str">
        <f aca="false">IFERROR(INDEX(CADASTRO_PIVOS!$C$6:$C$41,MATCH($E137,CADASTRO_PIVOS!$B$6:$B$41,0)),"?")</f>
        <v>RM02</v>
      </c>
      <c r="G137" s="8" t="str">
        <f aca="false">IFERROR(INDEX(CADASTRO_PIVOS!$D$6:$D$41,MATCH($E137,CADASTRO_PIVOS!$B$6:$B$41,0)),"?")</f>
        <v>TR02</v>
      </c>
      <c r="H137" s="20" t="n">
        <f aca="false">IFERROR(INDEX(CADASTRO_PIVOS!$E$6:$E$41,MATCH($E137,CADASTRO_PIVOS!$B$6:$B$41,0)),0)</f>
        <v>100.59</v>
      </c>
      <c r="I137" s="16" t="n">
        <f aca="false">IFERROR(SUMIFS(ROTACAO_RDM!$B$6:$B$71,ROTACAO_RDM!$D$6:$D$71,$E137,ROTACAO_RDM!$I$6:$I$71,"&lt;="&amp;$C137+INT(DIAS_POR_SEMANA/2),ROTACAO_RDM!$J$6:$J$71,"&gt;="&amp;$C137+INT(DIAS_POR_SEMANA/2)),0)</f>
        <v>0</v>
      </c>
      <c r="J137" s="16" t="n">
        <f aca="false">IFERROR(MATCH($I137,ROTACAO_RDM!$B$6:$B$71,0),0)</f>
        <v>0</v>
      </c>
      <c r="K137" s="8" t="str">
        <f aca="false">IF($J137=0,"SEM CULTURA",INDEX(ROTACAO_RDM!$F$6:$F$71,$J137))</f>
        <v>SEM CULTURA</v>
      </c>
      <c r="L137" s="8" t="str">
        <f aca="false">IF($J137=0,"",INDEX(ROTACAO_RDM!$G$6:$G$71,$J137))</f>
        <v/>
      </c>
      <c r="M137" s="17" t="str">
        <f aca="false">IF($J137=0,"",INDEX(ROTACAO_RDM!$I$6:$I$71,$J137))</f>
        <v/>
      </c>
      <c r="N137" s="16" t="n">
        <f aca="false">IF($J137=0,0,MAX(0,$C137+INT(DIAS_POR_SEMANA/2)-INDEX(ROTACAO_RDM!$I$6:$I$71,$J137)))</f>
        <v>0</v>
      </c>
      <c r="O137" s="19" t="n">
        <f aca="false">IF($J137=0,0,MIN(1,$N137/MAX(1,INDEX(ROTACAO_RDM!$K$6:$K$71,$J137))))</f>
        <v>0</v>
      </c>
      <c r="P137" s="16" t="n">
        <f aca="false">IF($J137=0,0,IFERROR(MATCH(INDEX(ROTACAO_RDM!$N$6:$N$71,$J137),PARAMETROS_CULTURAS!$B$6:$B$28,0),0))</f>
        <v>0</v>
      </c>
      <c r="Q137" s="8" t="str">
        <f aca="false">IF($P137=0,"-",IF($O137&lt;=INDEX(PARAMETROS_CULTURAS!$F$6:$F$28,$P137),"INICIAL",IF($O137&lt;=INDEX(PARAMETROS_CULTURAS!$F$6:$F$28,$P137)+INDEX(PARAMETROS_CULTURAS!$G$6:$G$28,$P137),"DESENVOLVIMENTO",IF($O137&lt;=INDEX(PARAMETROS_CULTURAS!$F$6:$F$28,$P137)+INDEX(PARAMETROS_CULTURAS!$G$6:$G$28,$P137)+INDEX(PARAMETROS_CULTURAS!$H$6:$H$28,$P137),"MEDIA","FINAL"))))</f>
        <v>-</v>
      </c>
      <c r="R137" s="24" t="n">
        <f aca="false">IF($P137=0,0,IF($O137&lt;=INDEX(PARAMETROS_CULTURAS!$F$6:$F$28,$P137),INDEX(PARAMETROS_CULTURAS!$K$6:$K$28,$P137),IF($O137&lt;=INDEX(PARAMETROS_CULTURAS!$F$6:$F$28,$P137)+INDEX(PARAMETROS_CULTURAS!$G$6:$G$28,$P137),INDEX(PARAMETROS_CULTURAS!$K$6:$K$28,$P137)+(INDEX(PARAMETROS_CULTURAS!$L$6:$L$28,$P137)-INDEX(PARAMETROS_CULTURAS!$K$6:$K$28,$P137))*($O137-INDEX(PARAMETROS_CULTURAS!$F$6:$F$28,$P137))/MAX(INDEX(PARAMETROS_CULTURAS!$G$6:$G$28,$P137),0.0001),IF($O137&lt;=INDEX(PARAMETROS_CULTURAS!$F$6:$F$28,$P137)+INDEX(PARAMETROS_CULTURAS!$G$6:$G$28,$P137)+INDEX(PARAMETROS_CULTURAS!$H$6:$H$28,$P137),INDEX(PARAMETROS_CULTURAS!$L$6:$L$28,$P137),INDEX(PARAMETROS_CULTURAS!$L$6:$L$28,$P137)+(INDEX(PARAMETROS_CULTURAS!$M$6:$M$28,$P137)-INDEX(PARAMETROS_CULTURAS!$L$6:$L$28,$P137))*($O137-INDEX(PARAMETROS_CULTURAS!$F$6:$F$28,$P137)-INDEX(PARAMETROS_CULTURAS!$G$6:$G$28,$P137)-INDEX(PARAMETROS_CULTURAS!$H$6:$H$28,$P137))/MAX(INDEX(PARAMETROS_CULTURAS!$I$6:$I$28,$P137),0.0001)))))</f>
        <v>0</v>
      </c>
      <c r="S137" s="18" t="n">
        <f aca="false">IFERROR(INDEX(SEMANAS!$H$6:$H$71,MATCH($B137,SEMANAS!$B$6:$B$71,0)),0)</f>
        <v>33.3</v>
      </c>
      <c r="T137" s="18" t="n">
        <f aca="false">$R137*$S137</f>
        <v>0</v>
      </c>
      <c r="U137" s="18" t="n">
        <f aca="false">IFERROR(INDEX(SEMANAS!$I$6:$I$71,MATCH($B137,SEMANAS!$B$6:$B$71,0)),0)</f>
        <v>48.04</v>
      </c>
      <c r="V137" s="18" t="n">
        <f aca="false">IFERROR(INDEX(SEMANAS!$J$6:$J$71,MATCH($B137,SEMANAS!$B$6:$B$71,0)),0)</f>
        <v>38.432</v>
      </c>
      <c r="W137" s="18" t="n">
        <f aca="false">MAX(0,$T137-$V137)</f>
        <v>0</v>
      </c>
      <c r="X137" s="19" t="n">
        <f aca="false">IFERROR(INDEX(CADASTRO_PIVOS!$K$6:$K$41,MATCH($E137,CADASTRO_PIVOS!$B$6:$B$41,0)),EFICIENCIA_PADRAO)</f>
        <v>0.85</v>
      </c>
      <c r="Y137" s="18" t="n">
        <f aca="false">IF($X137&lt;=0,0,$W137/$X137)</f>
        <v>0</v>
      </c>
      <c r="Z137" s="16" t="n">
        <f aca="false">$Y137*$H137*MM_PARA_M3_HA</f>
        <v>0</v>
      </c>
      <c r="AA137" s="18" t="n">
        <f aca="false">IFERROR(INDEX(CADASTRO_PIVOS!$I$6:$I$41,MATCH($E137,CADASTRO_PIVOS!$B$6:$B$41,0)),0)</f>
        <v>718.5</v>
      </c>
      <c r="AB137" s="18" t="n">
        <f aca="false">IF($Z137&lt;=0,0,$Z137/$AA137)</f>
        <v>0</v>
      </c>
      <c r="AC137" s="16" t="n">
        <f aca="false">IFERROR(INDEX(SEMANAS!$K$6:$K$71,MATCH($B137,SEMANAS!$B$6:$B$71,0)),0)</f>
        <v>147</v>
      </c>
      <c r="AD137" s="19" t="n">
        <f aca="false">IF($AC137&lt;=0,0,$AB137/$AC137)</f>
        <v>0</v>
      </c>
      <c r="AE137" s="8" t="str">
        <f aca="false">IF($K137="SEM CULTURA","SEM CULTURA",IF($AA137&lt;=0,"DADO PENDENTE",IF($AD137&gt;LIMITE_CRITICO,"INVIAVEL",IF($AD137&gt;LIMITE_ATENCAO,"CRITICO",IF($AD137&gt;LIMITE_CONFORTAVEL,"ATENCAO","OK")))))</f>
        <v>SEM CULTURA</v>
      </c>
      <c r="AF137" s="8" t="str">
        <f aca="false">$B137&amp;"|"&amp;TEXT($AD137,"0.000000")</f>
        <v>66|0.000000</v>
      </c>
      <c r="AG137" s="18" t="n">
        <f aca="false">IF($K137="SEM CULTURA",0,$T137*$H137)</f>
        <v>0</v>
      </c>
      <c r="AH137" s="18" t="n">
        <f aca="false">IF($K137="SEM CULTURA",0,$V137*$H137)</f>
        <v>0</v>
      </c>
      <c r="AI137" s="18" t="n">
        <f aca="false">IF($K137="SEM CULTURA",0,$W137*$H137)</f>
        <v>0</v>
      </c>
      <c r="AJ137" s="18" t="n">
        <f aca="false">IF($K137="SEM CULTURA",0,$S137*$H137)</f>
        <v>0</v>
      </c>
      <c r="AK137" s="8" t="str">
        <f aca="false">$E137&amp;"|"&amp;TEXT($AD137,"0.000000")</f>
        <v>PV 106|0.000000</v>
      </c>
    </row>
    <row r="138" customFormat="false" ht="15" hidden="false" customHeight="false" outlineLevel="0" collapsed="false">
      <c r="B138" s="16" t="n">
        <v>1</v>
      </c>
      <c r="C138" s="17" t="n">
        <f aca="false">DATA_INICIO_SAFRA+($B138-1)*DIAS_POR_SEMANA</f>
        <v>46265</v>
      </c>
      <c r="D138" s="17" t="n">
        <f aca="false">$C138+DIAS_POR_SEMANA-1</f>
        <v>46271</v>
      </c>
      <c r="E138" s="15" t="s">
        <v>261</v>
      </c>
      <c r="F138" s="8" t="str">
        <f aca="false">IFERROR(INDEX(CADASTRO_PIVOS!$C$6:$C$41,MATCH($E138,CADASTRO_PIVOS!$B$6:$B$41,0)),"?")</f>
        <v>RM02</v>
      </c>
      <c r="G138" s="8" t="str">
        <f aca="false">IFERROR(INDEX(CADASTRO_PIVOS!$D$6:$D$41,MATCH($E138,CADASTRO_PIVOS!$B$6:$B$41,0)),"?")</f>
        <v>TR02</v>
      </c>
      <c r="H138" s="20" t="n">
        <f aca="false">IFERROR(INDEX(CADASTRO_PIVOS!$E$6:$E$41,MATCH($E138,CADASTRO_PIVOS!$B$6:$B$41,0)),0)</f>
        <v>100.06</v>
      </c>
      <c r="I138" s="16" t="n">
        <f aca="false">IFERROR(SUMIFS(ROTACAO_RDM!$B$6:$B$71,ROTACAO_RDM!$D$6:$D$71,$E138,ROTACAO_RDM!$I$6:$I$71,"&lt;="&amp;$C138+INT(DIAS_POR_SEMANA/2),ROTACAO_RDM!$J$6:$J$71,"&gt;="&amp;$C138+INT(DIAS_POR_SEMANA/2)),0)</f>
        <v>0</v>
      </c>
      <c r="J138" s="16" t="n">
        <f aca="false">IFERROR(MATCH($I138,ROTACAO_RDM!$B$6:$B$71,0),0)</f>
        <v>0</v>
      </c>
      <c r="K138" s="8" t="str">
        <f aca="false">IF($J138=0,"SEM CULTURA",INDEX(ROTACAO_RDM!$F$6:$F$71,$J138))</f>
        <v>SEM CULTURA</v>
      </c>
      <c r="L138" s="8" t="str">
        <f aca="false">IF($J138=0,"",INDEX(ROTACAO_RDM!$G$6:$G$71,$J138))</f>
        <v/>
      </c>
      <c r="M138" s="17" t="str">
        <f aca="false">IF($J138=0,"",INDEX(ROTACAO_RDM!$I$6:$I$71,$J138))</f>
        <v/>
      </c>
      <c r="N138" s="16" t="n">
        <f aca="false">IF($J138=0,0,MAX(0,$C138+INT(DIAS_POR_SEMANA/2)-INDEX(ROTACAO_RDM!$I$6:$I$71,$J138)))</f>
        <v>0</v>
      </c>
      <c r="O138" s="19" t="n">
        <f aca="false">IF($J138=0,0,MIN(1,$N138/MAX(1,INDEX(ROTACAO_RDM!$K$6:$K$71,$J138))))</f>
        <v>0</v>
      </c>
      <c r="P138" s="16" t="n">
        <f aca="false">IF($J138=0,0,IFERROR(MATCH(INDEX(ROTACAO_RDM!$N$6:$N$71,$J138),PARAMETROS_CULTURAS!$B$6:$B$28,0),0))</f>
        <v>0</v>
      </c>
      <c r="Q138" s="8" t="str">
        <f aca="false">IF($P138=0,"-",IF($O138&lt;=INDEX(PARAMETROS_CULTURAS!$F$6:$F$28,$P138),"INICIAL",IF($O138&lt;=INDEX(PARAMETROS_CULTURAS!$F$6:$F$28,$P138)+INDEX(PARAMETROS_CULTURAS!$G$6:$G$28,$P138),"DESENVOLVIMENTO",IF($O138&lt;=INDEX(PARAMETROS_CULTURAS!$F$6:$F$28,$P138)+INDEX(PARAMETROS_CULTURAS!$G$6:$G$28,$P138)+INDEX(PARAMETROS_CULTURAS!$H$6:$H$28,$P138),"MEDIA","FINAL"))))</f>
        <v>-</v>
      </c>
      <c r="R138" s="24" t="n">
        <f aca="false">IF($P138=0,0,IF($O138&lt;=INDEX(PARAMETROS_CULTURAS!$F$6:$F$28,$P138),INDEX(PARAMETROS_CULTURAS!$K$6:$K$28,$P138),IF($O138&lt;=INDEX(PARAMETROS_CULTURAS!$F$6:$F$28,$P138)+INDEX(PARAMETROS_CULTURAS!$G$6:$G$28,$P138),INDEX(PARAMETROS_CULTURAS!$K$6:$K$28,$P138)+(INDEX(PARAMETROS_CULTURAS!$L$6:$L$28,$P138)-INDEX(PARAMETROS_CULTURAS!$K$6:$K$28,$P138))*($O138-INDEX(PARAMETROS_CULTURAS!$F$6:$F$28,$P138))/MAX(INDEX(PARAMETROS_CULTURAS!$G$6:$G$28,$P138),0.0001),IF($O138&lt;=INDEX(PARAMETROS_CULTURAS!$F$6:$F$28,$P138)+INDEX(PARAMETROS_CULTURAS!$G$6:$G$28,$P138)+INDEX(PARAMETROS_CULTURAS!$H$6:$H$28,$P138),INDEX(PARAMETROS_CULTURAS!$L$6:$L$28,$P138),INDEX(PARAMETROS_CULTURAS!$L$6:$L$28,$P138)+(INDEX(PARAMETROS_CULTURAS!$M$6:$M$28,$P138)-INDEX(PARAMETROS_CULTURAS!$L$6:$L$28,$P138))*($O138-INDEX(PARAMETROS_CULTURAS!$F$6:$F$28,$P138)-INDEX(PARAMETROS_CULTURAS!$G$6:$G$28,$P138)-INDEX(PARAMETROS_CULTURAS!$H$6:$H$28,$P138))/MAX(INDEX(PARAMETROS_CULTURAS!$I$6:$I$28,$P138),0.0001)))))</f>
        <v>0</v>
      </c>
      <c r="S138" s="18" t="n">
        <f aca="false">IFERROR(INDEX(SEMANAS!$H$6:$H$71,MATCH($B138,SEMANAS!$B$6:$B$71,0)),0)</f>
        <v>40</v>
      </c>
      <c r="T138" s="18" t="n">
        <f aca="false">$R138*$S138</f>
        <v>0</v>
      </c>
      <c r="U138" s="18" t="n">
        <f aca="false">IFERROR(INDEX(SEMANAS!$I$6:$I$71,MATCH($B138,SEMANAS!$B$6:$B$71,0)),0)</f>
        <v>6.16</v>
      </c>
      <c r="V138" s="18" t="n">
        <f aca="false">IFERROR(INDEX(SEMANAS!$J$6:$J$71,MATCH($B138,SEMANAS!$B$6:$B$71,0)),0)</f>
        <v>4.928</v>
      </c>
      <c r="W138" s="18" t="n">
        <f aca="false">MAX(0,$T138-$V138)</f>
        <v>0</v>
      </c>
      <c r="X138" s="19" t="n">
        <f aca="false">IFERROR(INDEX(CADASTRO_PIVOS!$K$6:$K$41,MATCH($E138,CADASTRO_PIVOS!$B$6:$B$41,0)),EFICIENCIA_PADRAO)</f>
        <v>0.85</v>
      </c>
      <c r="Y138" s="18" t="n">
        <f aca="false">IF($X138&lt;=0,0,$W138/$X138)</f>
        <v>0</v>
      </c>
      <c r="Z138" s="16" t="n">
        <f aca="false">$Y138*$H138*MM_PARA_M3_HA</f>
        <v>0</v>
      </c>
      <c r="AA138" s="18" t="n">
        <f aca="false">IFERROR(INDEX(CADASTRO_PIVOS!$I$6:$I$41,MATCH($E138,CADASTRO_PIVOS!$B$6:$B$41,0)),0)</f>
        <v>714.714285714286</v>
      </c>
      <c r="AB138" s="18" t="n">
        <f aca="false">IF($Z138&lt;=0,0,$Z138/$AA138)</f>
        <v>0</v>
      </c>
      <c r="AC138" s="16" t="n">
        <f aca="false">IFERROR(INDEX(SEMANAS!$K$6:$K$71,MATCH($B138,SEMANAS!$B$6:$B$71,0)),0)</f>
        <v>147</v>
      </c>
      <c r="AD138" s="19" t="n">
        <f aca="false">IF($AC138&lt;=0,0,$AB138/$AC138)</f>
        <v>0</v>
      </c>
      <c r="AE138" s="8" t="str">
        <f aca="false">IF($K138="SEM CULTURA","SEM CULTURA",IF($AA138&lt;=0,"DADO PENDENTE",IF($AD138&gt;LIMITE_CRITICO,"INVIAVEL",IF($AD138&gt;LIMITE_ATENCAO,"CRITICO",IF($AD138&gt;LIMITE_CONFORTAVEL,"ATENCAO","OK")))))</f>
        <v>SEM CULTURA</v>
      </c>
      <c r="AF138" s="8" t="str">
        <f aca="false">$B138&amp;"|"&amp;TEXT($AD138,"0.000000")</f>
        <v>1|0.000000</v>
      </c>
      <c r="AG138" s="18" t="n">
        <f aca="false">IF($K138="SEM CULTURA",0,$T138*$H138)</f>
        <v>0</v>
      </c>
      <c r="AH138" s="18" t="n">
        <f aca="false">IF($K138="SEM CULTURA",0,$V138*$H138)</f>
        <v>0</v>
      </c>
      <c r="AI138" s="18" t="n">
        <f aca="false">IF($K138="SEM CULTURA",0,$W138*$H138)</f>
        <v>0</v>
      </c>
      <c r="AJ138" s="18" t="n">
        <f aca="false">IF($K138="SEM CULTURA",0,$S138*$H138)</f>
        <v>0</v>
      </c>
      <c r="AK138" s="8" t="str">
        <f aca="false">$E138&amp;"|"&amp;TEXT($AD138,"0.000000")</f>
        <v>PV 108|0.000000</v>
      </c>
    </row>
    <row r="139" customFormat="false" ht="15" hidden="false" customHeight="false" outlineLevel="0" collapsed="false">
      <c r="B139" s="16" t="n">
        <v>2</v>
      </c>
      <c r="C139" s="17" t="n">
        <f aca="false">DATA_INICIO_SAFRA+($B139-1)*DIAS_POR_SEMANA</f>
        <v>46272</v>
      </c>
      <c r="D139" s="17" t="n">
        <f aca="false">$C139+DIAS_POR_SEMANA-1</f>
        <v>46278</v>
      </c>
      <c r="E139" s="15" t="s">
        <v>261</v>
      </c>
      <c r="F139" s="8" t="str">
        <f aca="false">IFERROR(INDEX(CADASTRO_PIVOS!$C$6:$C$41,MATCH($E139,CADASTRO_PIVOS!$B$6:$B$41,0)),"?")</f>
        <v>RM02</v>
      </c>
      <c r="G139" s="8" t="str">
        <f aca="false">IFERROR(INDEX(CADASTRO_PIVOS!$D$6:$D$41,MATCH($E139,CADASTRO_PIVOS!$B$6:$B$41,0)),"?")</f>
        <v>TR02</v>
      </c>
      <c r="H139" s="20" t="n">
        <f aca="false">IFERROR(INDEX(CADASTRO_PIVOS!$E$6:$E$41,MATCH($E139,CADASTRO_PIVOS!$B$6:$B$41,0)),0)</f>
        <v>100.06</v>
      </c>
      <c r="I139" s="16" t="n">
        <f aca="false">IFERROR(SUMIFS(ROTACAO_RDM!$B$6:$B$71,ROTACAO_RDM!$D$6:$D$71,$E139,ROTACAO_RDM!$I$6:$I$71,"&lt;="&amp;$C139+INT(DIAS_POR_SEMANA/2),ROTACAO_RDM!$J$6:$J$71,"&gt;="&amp;$C139+INT(DIAS_POR_SEMANA/2)),0)</f>
        <v>0</v>
      </c>
      <c r="J139" s="16" t="n">
        <f aca="false">IFERROR(MATCH($I139,ROTACAO_RDM!$B$6:$B$71,0),0)</f>
        <v>0</v>
      </c>
      <c r="K139" s="8" t="str">
        <f aca="false">IF($J139=0,"SEM CULTURA",INDEX(ROTACAO_RDM!$F$6:$F$71,$J139))</f>
        <v>SEM CULTURA</v>
      </c>
      <c r="L139" s="8" t="str">
        <f aca="false">IF($J139=0,"",INDEX(ROTACAO_RDM!$G$6:$G$71,$J139))</f>
        <v/>
      </c>
      <c r="M139" s="17" t="str">
        <f aca="false">IF($J139=0,"",INDEX(ROTACAO_RDM!$I$6:$I$71,$J139))</f>
        <v/>
      </c>
      <c r="N139" s="16" t="n">
        <f aca="false">IF($J139=0,0,MAX(0,$C139+INT(DIAS_POR_SEMANA/2)-INDEX(ROTACAO_RDM!$I$6:$I$71,$J139)))</f>
        <v>0</v>
      </c>
      <c r="O139" s="19" t="n">
        <f aca="false">IF($J139=0,0,MIN(1,$N139/MAX(1,INDEX(ROTACAO_RDM!$K$6:$K$71,$J139))))</f>
        <v>0</v>
      </c>
      <c r="P139" s="16" t="n">
        <f aca="false">IF($J139=0,0,IFERROR(MATCH(INDEX(ROTACAO_RDM!$N$6:$N$71,$J139),PARAMETROS_CULTURAS!$B$6:$B$28,0),0))</f>
        <v>0</v>
      </c>
      <c r="Q139" s="8" t="str">
        <f aca="false">IF($P139=0,"-",IF($O139&lt;=INDEX(PARAMETROS_CULTURAS!$F$6:$F$28,$P139),"INICIAL",IF($O139&lt;=INDEX(PARAMETROS_CULTURAS!$F$6:$F$28,$P139)+INDEX(PARAMETROS_CULTURAS!$G$6:$G$28,$P139),"DESENVOLVIMENTO",IF($O139&lt;=INDEX(PARAMETROS_CULTURAS!$F$6:$F$28,$P139)+INDEX(PARAMETROS_CULTURAS!$G$6:$G$28,$P139)+INDEX(PARAMETROS_CULTURAS!$H$6:$H$28,$P139),"MEDIA","FINAL"))))</f>
        <v>-</v>
      </c>
      <c r="R139" s="24" t="n">
        <f aca="false">IF($P139=0,0,IF($O139&lt;=INDEX(PARAMETROS_CULTURAS!$F$6:$F$28,$P139),INDEX(PARAMETROS_CULTURAS!$K$6:$K$28,$P139),IF($O139&lt;=INDEX(PARAMETROS_CULTURAS!$F$6:$F$28,$P139)+INDEX(PARAMETROS_CULTURAS!$G$6:$G$28,$P139),INDEX(PARAMETROS_CULTURAS!$K$6:$K$28,$P139)+(INDEX(PARAMETROS_CULTURAS!$L$6:$L$28,$P139)-INDEX(PARAMETROS_CULTURAS!$K$6:$K$28,$P139))*($O139-INDEX(PARAMETROS_CULTURAS!$F$6:$F$28,$P139))/MAX(INDEX(PARAMETROS_CULTURAS!$G$6:$G$28,$P139),0.0001),IF($O139&lt;=INDEX(PARAMETROS_CULTURAS!$F$6:$F$28,$P139)+INDEX(PARAMETROS_CULTURAS!$G$6:$G$28,$P139)+INDEX(PARAMETROS_CULTURAS!$H$6:$H$28,$P139),INDEX(PARAMETROS_CULTURAS!$L$6:$L$28,$P139),INDEX(PARAMETROS_CULTURAS!$L$6:$L$28,$P139)+(INDEX(PARAMETROS_CULTURAS!$M$6:$M$28,$P139)-INDEX(PARAMETROS_CULTURAS!$L$6:$L$28,$P139))*($O139-INDEX(PARAMETROS_CULTURAS!$F$6:$F$28,$P139)-INDEX(PARAMETROS_CULTURAS!$G$6:$G$28,$P139)-INDEX(PARAMETROS_CULTURAS!$H$6:$H$28,$P139))/MAX(INDEX(PARAMETROS_CULTURAS!$I$6:$I$28,$P139),0.0001)))))</f>
        <v>0</v>
      </c>
      <c r="S139" s="18" t="n">
        <f aca="false">IFERROR(INDEX(SEMANAS!$H$6:$H$71,MATCH($B139,SEMANAS!$B$6:$B$71,0)),0)</f>
        <v>40.6</v>
      </c>
      <c r="T139" s="18" t="n">
        <f aca="false">$R139*$S139</f>
        <v>0</v>
      </c>
      <c r="U139" s="18" t="n">
        <f aca="false">IFERROR(INDEX(SEMANAS!$I$6:$I$71,MATCH($B139,SEMANAS!$B$6:$B$71,0)),0)</f>
        <v>7</v>
      </c>
      <c r="V139" s="18" t="n">
        <f aca="false">IFERROR(INDEX(SEMANAS!$J$6:$J$71,MATCH($B139,SEMANAS!$B$6:$B$71,0)),0)</f>
        <v>5.6</v>
      </c>
      <c r="W139" s="18" t="n">
        <f aca="false">MAX(0,$T139-$V139)</f>
        <v>0</v>
      </c>
      <c r="X139" s="19" t="n">
        <f aca="false">IFERROR(INDEX(CADASTRO_PIVOS!$K$6:$K$41,MATCH($E139,CADASTRO_PIVOS!$B$6:$B$41,0)),EFICIENCIA_PADRAO)</f>
        <v>0.85</v>
      </c>
      <c r="Y139" s="18" t="n">
        <f aca="false">IF($X139&lt;=0,0,$W139/$X139)</f>
        <v>0</v>
      </c>
      <c r="Z139" s="16" t="n">
        <f aca="false">$Y139*$H139*MM_PARA_M3_HA</f>
        <v>0</v>
      </c>
      <c r="AA139" s="18" t="n">
        <f aca="false">IFERROR(INDEX(CADASTRO_PIVOS!$I$6:$I$41,MATCH($E139,CADASTRO_PIVOS!$B$6:$B$41,0)),0)</f>
        <v>714.714285714286</v>
      </c>
      <c r="AB139" s="18" t="n">
        <f aca="false">IF($Z139&lt;=0,0,$Z139/$AA139)</f>
        <v>0</v>
      </c>
      <c r="AC139" s="16" t="n">
        <f aca="false">IFERROR(INDEX(SEMANAS!$K$6:$K$71,MATCH($B139,SEMANAS!$B$6:$B$71,0)),0)</f>
        <v>147</v>
      </c>
      <c r="AD139" s="19" t="n">
        <f aca="false">IF($AC139&lt;=0,0,$AB139/$AC139)</f>
        <v>0</v>
      </c>
      <c r="AE139" s="8" t="str">
        <f aca="false">IF($K139="SEM CULTURA","SEM CULTURA",IF($AA139&lt;=0,"DADO PENDENTE",IF($AD139&gt;LIMITE_CRITICO,"INVIAVEL",IF($AD139&gt;LIMITE_ATENCAO,"CRITICO",IF($AD139&gt;LIMITE_CONFORTAVEL,"ATENCAO","OK")))))</f>
        <v>SEM CULTURA</v>
      </c>
      <c r="AF139" s="8" t="str">
        <f aca="false">$B139&amp;"|"&amp;TEXT($AD139,"0.000000")</f>
        <v>2|0.000000</v>
      </c>
      <c r="AG139" s="18" t="n">
        <f aca="false">IF($K139="SEM CULTURA",0,$T139*$H139)</f>
        <v>0</v>
      </c>
      <c r="AH139" s="18" t="n">
        <f aca="false">IF($K139="SEM CULTURA",0,$V139*$H139)</f>
        <v>0</v>
      </c>
      <c r="AI139" s="18" t="n">
        <f aca="false">IF($K139="SEM CULTURA",0,$W139*$H139)</f>
        <v>0</v>
      </c>
      <c r="AJ139" s="18" t="n">
        <f aca="false">IF($K139="SEM CULTURA",0,$S139*$H139)</f>
        <v>0</v>
      </c>
      <c r="AK139" s="8" t="str">
        <f aca="false">$E139&amp;"|"&amp;TEXT($AD139,"0.000000")</f>
        <v>PV 108|0.000000</v>
      </c>
    </row>
    <row r="140" customFormat="false" ht="15" hidden="false" customHeight="false" outlineLevel="0" collapsed="false">
      <c r="B140" s="16" t="n">
        <v>3</v>
      </c>
      <c r="C140" s="17" t="n">
        <f aca="false">DATA_INICIO_SAFRA+($B140-1)*DIAS_POR_SEMANA</f>
        <v>46279</v>
      </c>
      <c r="D140" s="17" t="n">
        <f aca="false">$C140+DIAS_POR_SEMANA-1</f>
        <v>46285</v>
      </c>
      <c r="E140" s="15" t="s">
        <v>261</v>
      </c>
      <c r="F140" s="8" t="str">
        <f aca="false">IFERROR(INDEX(CADASTRO_PIVOS!$C$6:$C$41,MATCH($E140,CADASTRO_PIVOS!$B$6:$B$41,0)),"?")</f>
        <v>RM02</v>
      </c>
      <c r="G140" s="8" t="str">
        <f aca="false">IFERROR(INDEX(CADASTRO_PIVOS!$D$6:$D$41,MATCH($E140,CADASTRO_PIVOS!$B$6:$B$41,0)),"?")</f>
        <v>TR02</v>
      </c>
      <c r="H140" s="20" t="n">
        <f aca="false">IFERROR(INDEX(CADASTRO_PIVOS!$E$6:$E$41,MATCH($E140,CADASTRO_PIVOS!$B$6:$B$41,0)),0)</f>
        <v>100.06</v>
      </c>
      <c r="I140" s="16" t="n">
        <f aca="false">IFERROR(SUMIFS(ROTACAO_RDM!$B$6:$B$71,ROTACAO_RDM!$D$6:$D$71,$E140,ROTACAO_RDM!$I$6:$I$71,"&lt;="&amp;$C140+INT(DIAS_POR_SEMANA/2),ROTACAO_RDM!$J$6:$J$71,"&gt;="&amp;$C140+INT(DIAS_POR_SEMANA/2)),0)</f>
        <v>0</v>
      </c>
      <c r="J140" s="16" t="n">
        <f aca="false">IFERROR(MATCH($I140,ROTACAO_RDM!$B$6:$B$71,0),0)</f>
        <v>0</v>
      </c>
      <c r="K140" s="8" t="str">
        <f aca="false">IF($J140=0,"SEM CULTURA",INDEX(ROTACAO_RDM!$F$6:$F$71,$J140))</f>
        <v>SEM CULTURA</v>
      </c>
      <c r="L140" s="8" t="str">
        <f aca="false">IF($J140=0,"",INDEX(ROTACAO_RDM!$G$6:$G$71,$J140))</f>
        <v/>
      </c>
      <c r="M140" s="17" t="str">
        <f aca="false">IF($J140=0,"",INDEX(ROTACAO_RDM!$I$6:$I$71,$J140))</f>
        <v/>
      </c>
      <c r="N140" s="16" t="n">
        <f aca="false">IF($J140=0,0,MAX(0,$C140+INT(DIAS_POR_SEMANA/2)-INDEX(ROTACAO_RDM!$I$6:$I$71,$J140)))</f>
        <v>0</v>
      </c>
      <c r="O140" s="19" t="n">
        <f aca="false">IF($J140=0,0,MIN(1,$N140/MAX(1,INDEX(ROTACAO_RDM!$K$6:$K$71,$J140))))</f>
        <v>0</v>
      </c>
      <c r="P140" s="16" t="n">
        <f aca="false">IF($J140=0,0,IFERROR(MATCH(INDEX(ROTACAO_RDM!$N$6:$N$71,$J140),PARAMETROS_CULTURAS!$B$6:$B$28,0),0))</f>
        <v>0</v>
      </c>
      <c r="Q140" s="8" t="str">
        <f aca="false">IF($P140=0,"-",IF($O140&lt;=INDEX(PARAMETROS_CULTURAS!$F$6:$F$28,$P140),"INICIAL",IF($O140&lt;=INDEX(PARAMETROS_CULTURAS!$F$6:$F$28,$P140)+INDEX(PARAMETROS_CULTURAS!$G$6:$G$28,$P140),"DESENVOLVIMENTO",IF($O140&lt;=INDEX(PARAMETROS_CULTURAS!$F$6:$F$28,$P140)+INDEX(PARAMETROS_CULTURAS!$G$6:$G$28,$P140)+INDEX(PARAMETROS_CULTURAS!$H$6:$H$28,$P140),"MEDIA","FINAL"))))</f>
        <v>-</v>
      </c>
      <c r="R140" s="24" t="n">
        <f aca="false">IF($P140=0,0,IF($O140&lt;=INDEX(PARAMETROS_CULTURAS!$F$6:$F$28,$P140),INDEX(PARAMETROS_CULTURAS!$K$6:$K$28,$P140),IF($O140&lt;=INDEX(PARAMETROS_CULTURAS!$F$6:$F$28,$P140)+INDEX(PARAMETROS_CULTURAS!$G$6:$G$28,$P140),INDEX(PARAMETROS_CULTURAS!$K$6:$K$28,$P140)+(INDEX(PARAMETROS_CULTURAS!$L$6:$L$28,$P140)-INDEX(PARAMETROS_CULTURAS!$K$6:$K$28,$P140))*($O140-INDEX(PARAMETROS_CULTURAS!$F$6:$F$28,$P140))/MAX(INDEX(PARAMETROS_CULTURAS!$G$6:$G$28,$P140),0.0001),IF($O140&lt;=INDEX(PARAMETROS_CULTURAS!$F$6:$F$28,$P140)+INDEX(PARAMETROS_CULTURAS!$G$6:$G$28,$P140)+INDEX(PARAMETROS_CULTURAS!$H$6:$H$28,$P140),INDEX(PARAMETROS_CULTURAS!$L$6:$L$28,$P140),INDEX(PARAMETROS_CULTURAS!$L$6:$L$28,$P140)+(INDEX(PARAMETROS_CULTURAS!$M$6:$M$28,$P140)-INDEX(PARAMETROS_CULTURAS!$L$6:$L$28,$P140))*($O140-INDEX(PARAMETROS_CULTURAS!$F$6:$F$28,$P140)-INDEX(PARAMETROS_CULTURAS!$G$6:$G$28,$P140)-INDEX(PARAMETROS_CULTURAS!$H$6:$H$28,$P140))/MAX(INDEX(PARAMETROS_CULTURAS!$I$6:$I$28,$P140),0.0001)))))</f>
        <v>0</v>
      </c>
      <c r="S140" s="18" t="n">
        <f aca="false">IFERROR(INDEX(SEMANAS!$H$6:$H$71,MATCH($B140,SEMANAS!$B$6:$B$71,0)),0)</f>
        <v>40.6</v>
      </c>
      <c r="T140" s="18" t="n">
        <f aca="false">$R140*$S140</f>
        <v>0</v>
      </c>
      <c r="U140" s="18" t="n">
        <f aca="false">IFERROR(INDEX(SEMANAS!$I$6:$I$71,MATCH($B140,SEMANAS!$B$6:$B$71,0)),0)</f>
        <v>7</v>
      </c>
      <c r="V140" s="18" t="n">
        <f aca="false">IFERROR(INDEX(SEMANAS!$J$6:$J$71,MATCH($B140,SEMANAS!$B$6:$B$71,0)),0)</f>
        <v>5.6</v>
      </c>
      <c r="W140" s="18" t="n">
        <f aca="false">MAX(0,$T140-$V140)</f>
        <v>0</v>
      </c>
      <c r="X140" s="19" t="n">
        <f aca="false">IFERROR(INDEX(CADASTRO_PIVOS!$K$6:$K$41,MATCH($E140,CADASTRO_PIVOS!$B$6:$B$41,0)),EFICIENCIA_PADRAO)</f>
        <v>0.85</v>
      </c>
      <c r="Y140" s="18" t="n">
        <f aca="false">IF($X140&lt;=0,0,$W140/$X140)</f>
        <v>0</v>
      </c>
      <c r="Z140" s="16" t="n">
        <f aca="false">$Y140*$H140*MM_PARA_M3_HA</f>
        <v>0</v>
      </c>
      <c r="AA140" s="18" t="n">
        <f aca="false">IFERROR(INDEX(CADASTRO_PIVOS!$I$6:$I$41,MATCH($E140,CADASTRO_PIVOS!$B$6:$B$41,0)),0)</f>
        <v>714.714285714286</v>
      </c>
      <c r="AB140" s="18" t="n">
        <f aca="false">IF($Z140&lt;=0,0,$Z140/$AA140)</f>
        <v>0</v>
      </c>
      <c r="AC140" s="16" t="n">
        <f aca="false">IFERROR(INDEX(SEMANAS!$K$6:$K$71,MATCH($B140,SEMANAS!$B$6:$B$71,0)),0)</f>
        <v>147</v>
      </c>
      <c r="AD140" s="19" t="n">
        <f aca="false">IF($AC140&lt;=0,0,$AB140/$AC140)</f>
        <v>0</v>
      </c>
      <c r="AE140" s="8" t="str">
        <f aca="false">IF($K140="SEM CULTURA","SEM CULTURA",IF($AA140&lt;=0,"DADO PENDENTE",IF($AD140&gt;LIMITE_CRITICO,"INVIAVEL",IF($AD140&gt;LIMITE_ATENCAO,"CRITICO",IF($AD140&gt;LIMITE_CONFORTAVEL,"ATENCAO","OK")))))</f>
        <v>SEM CULTURA</v>
      </c>
      <c r="AF140" s="8" t="str">
        <f aca="false">$B140&amp;"|"&amp;TEXT($AD140,"0.000000")</f>
        <v>3|0.000000</v>
      </c>
      <c r="AG140" s="18" t="n">
        <f aca="false">IF($K140="SEM CULTURA",0,$T140*$H140)</f>
        <v>0</v>
      </c>
      <c r="AH140" s="18" t="n">
        <f aca="false">IF($K140="SEM CULTURA",0,$V140*$H140)</f>
        <v>0</v>
      </c>
      <c r="AI140" s="18" t="n">
        <f aca="false">IF($K140="SEM CULTURA",0,$W140*$H140)</f>
        <v>0</v>
      </c>
      <c r="AJ140" s="18" t="n">
        <f aca="false">IF($K140="SEM CULTURA",0,$S140*$H140)</f>
        <v>0</v>
      </c>
      <c r="AK140" s="8" t="str">
        <f aca="false">$E140&amp;"|"&amp;TEXT($AD140,"0.000000")</f>
        <v>PV 108|0.000000</v>
      </c>
    </row>
    <row r="141" customFormat="false" ht="15" hidden="false" customHeight="false" outlineLevel="0" collapsed="false">
      <c r="B141" s="16" t="n">
        <v>4</v>
      </c>
      <c r="C141" s="17" t="n">
        <f aca="false">DATA_INICIO_SAFRA+($B141-1)*DIAS_POR_SEMANA</f>
        <v>46286</v>
      </c>
      <c r="D141" s="17" t="n">
        <f aca="false">$C141+DIAS_POR_SEMANA-1</f>
        <v>46292</v>
      </c>
      <c r="E141" s="15" t="s">
        <v>261</v>
      </c>
      <c r="F141" s="8" t="str">
        <f aca="false">IFERROR(INDEX(CADASTRO_PIVOS!$C$6:$C$41,MATCH($E141,CADASTRO_PIVOS!$B$6:$B$41,0)),"?")</f>
        <v>RM02</v>
      </c>
      <c r="G141" s="8" t="str">
        <f aca="false">IFERROR(INDEX(CADASTRO_PIVOS!$D$6:$D$41,MATCH($E141,CADASTRO_PIVOS!$B$6:$B$41,0)),"?")</f>
        <v>TR02</v>
      </c>
      <c r="H141" s="20" t="n">
        <f aca="false">IFERROR(INDEX(CADASTRO_PIVOS!$E$6:$E$41,MATCH($E141,CADASTRO_PIVOS!$B$6:$B$41,0)),0)</f>
        <v>100.06</v>
      </c>
      <c r="I141" s="16" t="n">
        <f aca="false">IFERROR(SUMIFS(ROTACAO_RDM!$B$6:$B$71,ROTACAO_RDM!$D$6:$D$71,$E141,ROTACAO_RDM!$I$6:$I$71,"&lt;="&amp;$C141+INT(DIAS_POR_SEMANA/2),ROTACAO_RDM!$J$6:$J$71,"&gt;="&amp;$C141+INT(DIAS_POR_SEMANA/2)),0)</f>
        <v>0</v>
      </c>
      <c r="J141" s="16" t="n">
        <f aca="false">IFERROR(MATCH($I141,ROTACAO_RDM!$B$6:$B$71,0),0)</f>
        <v>0</v>
      </c>
      <c r="K141" s="8" t="str">
        <f aca="false">IF($J141=0,"SEM CULTURA",INDEX(ROTACAO_RDM!$F$6:$F$71,$J141))</f>
        <v>SEM CULTURA</v>
      </c>
      <c r="L141" s="8" t="str">
        <f aca="false">IF($J141=0,"",INDEX(ROTACAO_RDM!$G$6:$G$71,$J141))</f>
        <v/>
      </c>
      <c r="M141" s="17" t="str">
        <f aca="false">IF($J141=0,"",INDEX(ROTACAO_RDM!$I$6:$I$71,$J141))</f>
        <v/>
      </c>
      <c r="N141" s="16" t="n">
        <f aca="false">IF($J141=0,0,MAX(0,$C141+INT(DIAS_POR_SEMANA/2)-INDEX(ROTACAO_RDM!$I$6:$I$71,$J141)))</f>
        <v>0</v>
      </c>
      <c r="O141" s="19" t="n">
        <f aca="false">IF($J141=0,0,MIN(1,$N141/MAX(1,INDEX(ROTACAO_RDM!$K$6:$K$71,$J141))))</f>
        <v>0</v>
      </c>
      <c r="P141" s="16" t="n">
        <f aca="false">IF($J141=0,0,IFERROR(MATCH(INDEX(ROTACAO_RDM!$N$6:$N$71,$J141),PARAMETROS_CULTURAS!$B$6:$B$28,0),0))</f>
        <v>0</v>
      </c>
      <c r="Q141" s="8" t="str">
        <f aca="false">IF($P141=0,"-",IF($O141&lt;=INDEX(PARAMETROS_CULTURAS!$F$6:$F$28,$P141),"INICIAL",IF($O141&lt;=INDEX(PARAMETROS_CULTURAS!$F$6:$F$28,$P141)+INDEX(PARAMETROS_CULTURAS!$G$6:$G$28,$P141),"DESENVOLVIMENTO",IF($O141&lt;=INDEX(PARAMETROS_CULTURAS!$F$6:$F$28,$P141)+INDEX(PARAMETROS_CULTURAS!$G$6:$G$28,$P141)+INDEX(PARAMETROS_CULTURAS!$H$6:$H$28,$P141),"MEDIA","FINAL"))))</f>
        <v>-</v>
      </c>
      <c r="R141" s="24" t="n">
        <f aca="false">IF($P141=0,0,IF($O141&lt;=INDEX(PARAMETROS_CULTURAS!$F$6:$F$28,$P141),INDEX(PARAMETROS_CULTURAS!$K$6:$K$28,$P141),IF($O141&lt;=INDEX(PARAMETROS_CULTURAS!$F$6:$F$28,$P141)+INDEX(PARAMETROS_CULTURAS!$G$6:$G$28,$P141),INDEX(PARAMETROS_CULTURAS!$K$6:$K$28,$P141)+(INDEX(PARAMETROS_CULTURAS!$L$6:$L$28,$P141)-INDEX(PARAMETROS_CULTURAS!$K$6:$K$28,$P141))*($O141-INDEX(PARAMETROS_CULTURAS!$F$6:$F$28,$P141))/MAX(INDEX(PARAMETROS_CULTURAS!$G$6:$G$28,$P141),0.0001),IF($O141&lt;=INDEX(PARAMETROS_CULTURAS!$F$6:$F$28,$P141)+INDEX(PARAMETROS_CULTURAS!$G$6:$G$28,$P141)+INDEX(PARAMETROS_CULTURAS!$H$6:$H$28,$P141),INDEX(PARAMETROS_CULTURAS!$L$6:$L$28,$P141),INDEX(PARAMETROS_CULTURAS!$L$6:$L$28,$P141)+(INDEX(PARAMETROS_CULTURAS!$M$6:$M$28,$P141)-INDEX(PARAMETROS_CULTURAS!$L$6:$L$28,$P141))*($O141-INDEX(PARAMETROS_CULTURAS!$F$6:$F$28,$P141)-INDEX(PARAMETROS_CULTURAS!$G$6:$G$28,$P141)-INDEX(PARAMETROS_CULTURAS!$H$6:$H$28,$P141))/MAX(INDEX(PARAMETROS_CULTURAS!$I$6:$I$28,$P141),0.0001)))))</f>
        <v>0</v>
      </c>
      <c r="S141" s="18" t="n">
        <f aca="false">IFERROR(INDEX(SEMANAS!$H$6:$H$71,MATCH($B141,SEMANAS!$B$6:$B$71,0)),0)</f>
        <v>40.6</v>
      </c>
      <c r="T141" s="18" t="n">
        <f aca="false">$R141*$S141</f>
        <v>0</v>
      </c>
      <c r="U141" s="18" t="n">
        <f aca="false">IFERROR(INDEX(SEMANAS!$I$6:$I$71,MATCH($B141,SEMANAS!$B$6:$B$71,0)),0)</f>
        <v>7</v>
      </c>
      <c r="V141" s="18" t="n">
        <f aca="false">IFERROR(INDEX(SEMANAS!$J$6:$J$71,MATCH($B141,SEMANAS!$B$6:$B$71,0)),0)</f>
        <v>5.6</v>
      </c>
      <c r="W141" s="18" t="n">
        <f aca="false">MAX(0,$T141-$V141)</f>
        <v>0</v>
      </c>
      <c r="X141" s="19" t="n">
        <f aca="false">IFERROR(INDEX(CADASTRO_PIVOS!$K$6:$K$41,MATCH($E141,CADASTRO_PIVOS!$B$6:$B$41,0)),EFICIENCIA_PADRAO)</f>
        <v>0.85</v>
      </c>
      <c r="Y141" s="18" t="n">
        <f aca="false">IF($X141&lt;=0,0,$W141/$X141)</f>
        <v>0</v>
      </c>
      <c r="Z141" s="16" t="n">
        <f aca="false">$Y141*$H141*MM_PARA_M3_HA</f>
        <v>0</v>
      </c>
      <c r="AA141" s="18" t="n">
        <f aca="false">IFERROR(INDEX(CADASTRO_PIVOS!$I$6:$I$41,MATCH($E141,CADASTRO_PIVOS!$B$6:$B$41,0)),0)</f>
        <v>714.714285714286</v>
      </c>
      <c r="AB141" s="18" t="n">
        <f aca="false">IF($Z141&lt;=0,0,$Z141/$AA141)</f>
        <v>0</v>
      </c>
      <c r="AC141" s="16" t="n">
        <f aca="false">IFERROR(INDEX(SEMANAS!$K$6:$K$71,MATCH($B141,SEMANAS!$B$6:$B$71,0)),0)</f>
        <v>147</v>
      </c>
      <c r="AD141" s="19" t="n">
        <f aca="false">IF($AC141&lt;=0,0,$AB141/$AC141)</f>
        <v>0</v>
      </c>
      <c r="AE141" s="8" t="str">
        <f aca="false">IF($K141="SEM CULTURA","SEM CULTURA",IF($AA141&lt;=0,"DADO PENDENTE",IF($AD141&gt;LIMITE_CRITICO,"INVIAVEL",IF($AD141&gt;LIMITE_ATENCAO,"CRITICO",IF($AD141&gt;LIMITE_CONFORTAVEL,"ATENCAO","OK")))))</f>
        <v>SEM CULTURA</v>
      </c>
      <c r="AF141" s="8" t="str">
        <f aca="false">$B141&amp;"|"&amp;TEXT($AD141,"0.000000")</f>
        <v>4|0.000000</v>
      </c>
      <c r="AG141" s="18" t="n">
        <f aca="false">IF($K141="SEM CULTURA",0,$T141*$H141)</f>
        <v>0</v>
      </c>
      <c r="AH141" s="18" t="n">
        <f aca="false">IF($K141="SEM CULTURA",0,$V141*$H141)</f>
        <v>0</v>
      </c>
      <c r="AI141" s="18" t="n">
        <f aca="false">IF($K141="SEM CULTURA",0,$W141*$H141)</f>
        <v>0</v>
      </c>
      <c r="AJ141" s="18" t="n">
        <f aca="false">IF($K141="SEM CULTURA",0,$S141*$H141)</f>
        <v>0</v>
      </c>
      <c r="AK141" s="8" t="str">
        <f aca="false">$E141&amp;"|"&amp;TEXT($AD141,"0.000000")</f>
        <v>PV 108|0.000000</v>
      </c>
    </row>
    <row r="142" customFormat="false" ht="15" hidden="false" customHeight="false" outlineLevel="0" collapsed="false">
      <c r="B142" s="16" t="n">
        <v>5</v>
      </c>
      <c r="C142" s="17" t="n">
        <f aca="false">DATA_INICIO_SAFRA+($B142-1)*DIAS_POR_SEMANA</f>
        <v>46293</v>
      </c>
      <c r="D142" s="17" t="n">
        <f aca="false">$C142+DIAS_POR_SEMANA-1</f>
        <v>46299</v>
      </c>
      <c r="E142" s="15" t="s">
        <v>261</v>
      </c>
      <c r="F142" s="8" t="str">
        <f aca="false">IFERROR(INDEX(CADASTRO_PIVOS!$C$6:$C$41,MATCH($E142,CADASTRO_PIVOS!$B$6:$B$41,0)),"?")</f>
        <v>RM02</v>
      </c>
      <c r="G142" s="8" t="str">
        <f aca="false">IFERROR(INDEX(CADASTRO_PIVOS!$D$6:$D$41,MATCH($E142,CADASTRO_PIVOS!$B$6:$B$41,0)),"?")</f>
        <v>TR02</v>
      </c>
      <c r="H142" s="20" t="n">
        <f aca="false">IFERROR(INDEX(CADASTRO_PIVOS!$E$6:$E$41,MATCH($E142,CADASTRO_PIVOS!$B$6:$B$41,0)),0)</f>
        <v>100.06</v>
      </c>
      <c r="I142" s="16" t="n">
        <f aca="false">IFERROR(SUMIFS(ROTACAO_RDM!$B$6:$B$71,ROTACAO_RDM!$D$6:$D$71,$E142,ROTACAO_RDM!$I$6:$I$71,"&lt;="&amp;$C142+INT(DIAS_POR_SEMANA/2),ROTACAO_RDM!$J$6:$J$71,"&gt;="&amp;$C142+INT(DIAS_POR_SEMANA/2)),0)</f>
        <v>0</v>
      </c>
      <c r="J142" s="16" t="n">
        <f aca="false">IFERROR(MATCH($I142,ROTACAO_RDM!$B$6:$B$71,0),0)</f>
        <v>0</v>
      </c>
      <c r="K142" s="8" t="str">
        <f aca="false">IF($J142=0,"SEM CULTURA",INDEX(ROTACAO_RDM!$F$6:$F$71,$J142))</f>
        <v>SEM CULTURA</v>
      </c>
      <c r="L142" s="8" t="str">
        <f aca="false">IF($J142=0,"",INDEX(ROTACAO_RDM!$G$6:$G$71,$J142))</f>
        <v/>
      </c>
      <c r="M142" s="17" t="str">
        <f aca="false">IF($J142=0,"",INDEX(ROTACAO_RDM!$I$6:$I$71,$J142))</f>
        <v/>
      </c>
      <c r="N142" s="16" t="n">
        <f aca="false">IF($J142=0,0,MAX(0,$C142+INT(DIAS_POR_SEMANA/2)-INDEX(ROTACAO_RDM!$I$6:$I$71,$J142)))</f>
        <v>0</v>
      </c>
      <c r="O142" s="19" t="n">
        <f aca="false">IF($J142=0,0,MIN(1,$N142/MAX(1,INDEX(ROTACAO_RDM!$K$6:$K$71,$J142))))</f>
        <v>0</v>
      </c>
      <c r="P142" s="16" t="n">
        <f aca="false">IF($J142=0,0,IFERROR(MATCH(INDEX(ROTACAO_RDM!$N$6:$N$71,$J142),PARAMETROS_CULTURAS!$B$6:$B$28,0),0))</f>
        <v>0</v>
      </c>
      <c r="Q142" s="8" t="str">
        <f aca="false">IF($P142=0,"-",IF($O142&lt;=INDEX(PARAMETROS_CULTURAS!$F$6:$F$28,$P142),"INICIAL",IF($O142&lt;=INDEX(PARAMETROS_CULTURAS!$F$6:$F$28,$P142)+INDEX(PARAMETROS_CULTURAS!$G$6:$G$28,$P142),"DESENVOLVIMENTO",IF($O142&lt;=INDEX(PARAMETROS_CULTURAS!$F$6:$F$28,$P142)+INDEX(PARAMETROS_CULTURAS!$G$6:$G$28,$P142)+INDEX(PARAMETROS_CULTURAS!$H$6:$H$28,$P142),"MEDIA","FINAL"))))</f>
        <v>-</v>
      </c>
      <c r="R142" s="24" t="n">
        <f aca="false">IF($P142=0,0,IF($O142&lt;=INDEX(PARAMETROS_CULTURAS!$F$6:$F$28,$P142),INDEX(PARAMETROS_CULTURAS!$K$6:$K$28,$P142),IF($O142&lt;=INDEX(PARAMETROS_CULTURAS!$F$6:$F$28,$P142)+INDEX(PARAMETROS_CULTURAS!$G$6:$G$28,$P142),INDEX(PARAMETROS_CULTURAS!$K$6:$K$28,$P142)+(INDEX(PARAMETROS_CULTURAS!$L$6:$L$28,$P142)-INDEX(PARAMETROS_CULTURAS!$K$6:$K$28,$P142))*($O142-INDEX(PARAMETROS_CULTURAS!$F$6:$F$28,$P142))/MAX(INDEX(PARAMETROS_CULTURAS!$G$6:$G$28,$P142),0.0001),IF($O142&lt;=INDEX(PARAMETROS_CULTURAS!$F$6:$F$28,$P142)+INDEX(PARAMETROS_CULTURAS!$G$6:$G$28,$P142)+INDEX(PARAMETROS_CULTURAS!$H$6:$H$28,$P142),INDEX(PARAMETROS_CULTURAS!$L$6:$L$28,$P142),INDEX(PARAMETROS_CULTURAS!$L$6:$L$28,$P142)+(INDEX(PARAMETROS_CULTURAS!$M$6:$M$28,$P142)-INDEX(PARAMETROS_CULTURAS!$L$6:$L$28,$P142))*($O142-INDEX(PARAMETROS_CULTURAS!$F$6:$F$28,$P142)-INDEX(PARAMETROS_CULTURAS!$G$6:$G$28,$P142)-INDEX(PARAMETROS_CULTURAS!$H$6:$H$28,$P142))/MAX(INDEX(PARAMETROS_CULTURAS!$I$6:$I$28,$P142),0.0001)))))</f>
        <v>0</v>
      </c>
      <c r="S142" s="18" t="n">
        <f aca="false">IFERROR(INDEX(SEMANAS!$H$6:$H$71,MATCH($B142,SEMANAS!$B$6:$B$71,0)),0)</f>
        <v>39.8</v>
      </c>
      <c r="T142" s="18" t="n">
        <f aca="false">$R142*$S142</f>
        <v>0</v>
      </c>
      <c r="U142" s="18" t="n">
        <f aca="false">IFERROR(INDEX(SEMANAS!$I$6:$I$71,MATCH($B142,SEMANAS!$B$6:$B$71,0)),0)</f>
        <v>18.48</v>
      </c>
      <c r="V142" s="18" t="n">
        <f aca="false">IFERROR(INDEX(SEMANAS!$J$6:$J$71,MATCH($B142,SEMANAS!$B$6:$B$71,0)),0)</f>
        <v>14.784</v>
      </c>
      <c r="W142" s="18" t="n">
        <f aca="false">MAX(0,$T142-$V142)</f>
        <v>0</v>
      </c>
      <c r="X142" s="19" t="n">
        <f aca="false">IFERROR(INDEX(CADASTRO_PIVOS!$K$6:$K$41,MATCH($E142,CADASTRO_PIVOS!$B$6:$B$41,0)),EFICIENCIA_PADRAO)</f>
        <v>0.85</v>
      </c>
      <c r="Y142" s="18" t="n">
        <f aca="false">IF($X142&lt;=0,0,$W142/$X142)</f>
        <v>0</v>
      </c>
      <c r="Z142" s="16" t="n">
        <f aca="false">$Y142*$H142*MM_PARA_M3_HA</f>
        <v>0</v>
      </c>
      <c r="AA142" s="18" t="n">
        <f aca="false">IFERROR(INDEX(CADASTRO_PIVOS!$I$6:$I$41,MATCH($E142,CADASTRO_PIVOS!$B$6:$B$41,0)),0)</f>
        <v>714.714285714286</v>
      </c>
      <c r="AB142" s="18" t="n">
        <f aca="false">IF($Z142&lt;=0,0,$Z142/$AA142)</f>
        <v>0</v>
      </c>
      <c r="AC142" s="16" t="n">
        <f aca="false">IFERROR(INDEX(SEMANAS!$K$6:$K$71,MATCH($B142,SEMANAS!$B$6:$B$71,0)),0)</f>
        <v>147</v>
      </c>
      <c r="AD142" s="19" t="n">
        <f aca="false">IF($AC142&lt;=0,0,$AB142/$AC142)</f>
        <v>0</v>
      </c>
      <c r="AE142" s="8" t="str">
        <f aca="false">IF($K142="SEM CULTURA","SEM CULTURA",IF($AA142&lt;=0,"DADO PENDENTE",IF($AD142&gt;LIMITE_CRITICO,"INVIAVEL",IF($AD142&gt;LIMITE_ATENCAO,"CRITICO",IF($AD142&gt;LIMITE_CONFORTAVEL,"ATENCAO","OK")))))</f>
        <v>SEM CULTURA</v>
      </c>
      <c r="AF142" s="8" t="str">
        <f aca="false">$B142&amp;"|"&amp;TEXT($AD142,"0.000000")</f>
        <v>5|0.000000</v>
      </c>
      <c r="AG142" s="18" t="n">
        <f aca="false">IF($K142="SEM CULTURA",0,$T142*$H142)</f>
        <v>0</v>
      </c>
      <c r="AH142" s="18" t="n">
        <f aca="false">IF($K142="SEM CULTURA",0,$V142*$H142)</f>
        <v>0</v>
      </c>
      <c r="AI142" s="18" t="n">
        <f aca="false">IF($K142="SEM CULTURA",0,$W142*$H142)</f>
        <v>0</v>
      </c>
      <c r="AJ142" s="18" t="n">
        <f aca="false">IF($K142="SEM CULTURA",0,$S142*$H142)</f>
        <v>0</v>
      </c>
      <c r="AK142" s="8" t="str">
        <f aca="false">$E142&amp;"|"&amp;TEXT($AD142,"0.000000")</f>
        <v>PV 108|0.000000</v>
      </c>
    </row>
    <row r="143" customFormat="false" ht="15" hidden="false" customHeight="false" outlineLevel="0" collapsed="false">
      <c r="B143" s="16" t="n">
        <v>6</v>
      </c>
      <c r="C143" s="17" t="n">
        <f aca="false">DATA_INICIO_SAFRA+($B143-1)*DIAS_POR_SEMANA</f>
        <v>46300</v>
      </c>
      <c r="D143" s="17" t="n">
        <f aca="false">$C143+DIAS_POR_SEMANA-1</f>
        <v>46306</v>
      </c>
      <c r="E143" s="15" t="s">
        <v>261</v>
      </c>
      <c r="F143" s="8" t="str">
        <f aca="false">IFERROR(INDEX(CADASTRO_PIVOS!$C$6:$C$41,MATCH($E143,CADASTRO_PIVOS!$B$6:$B$41,0)),"?")</f>
        <v>RM02</v>
      </c>
      <c r="G143" s="8" t="str">
        <f aca="false">IFERROR(INDEX(CADASTRO_PIVOS!$D$6:$D$41,MATCH($E143,CADASTRO_PIVOS!$B$6:$B$41,0)),"?")</f>
        <v>TR02</v>
      </c>
      <c r="H143" s="20" t="n">
        <f aca="false">IFERROR(INDEX(CADASTRO_PIVOS!$E$6:$E$41,MATCH($E143,CADASTRO_PIVOS!$B$6:$B$41,0)),0)</f>
        <v>100.06</v>
      </c>
      <c r="I143" s="16" t="n">
        <f aca="false">IFERROR(SUMIFS(ROTACAO_RDM!$B$6:$B$71,ROTACAO_RDM!$D$6:$D$71,$E143,ROTACAO_RDM!$I$6:$I$71,"&lt;="&amp;$C143+INT(DIAS_POR_SEMANA/2),ROTACAO_RDM!$J$6:$J$71,"&gt;="&amp;$C143+INT(DIAS_POR_SEMANA/2)),0)</f>
        <v>0</v>
      </c>
      <c r="J143" s="16" t="n">
        <f aca="false">IFERROR(MATCH($I143,ROTACAO_RDM!$B$6:$B$71,0),0)</f>
        <v>0</v>
      </c>
      <c r="K143" s="8" t="str">
        <f aca="false">IF($J143=0,"SEM CULTURA",INDEX(ROTACAO_RDM!$F$6:$F$71,$J143))</f>
        <v>SEM CULTURA</v>
      </c>
      <c r="L143" s="8" t="str">
        <f aca="false">IF($J143=0,"",INDEX(ROTACAO_RDM!$G$6:$G$71,$J143))</f>
        <v/>
      </c>
      <c r="M143" s="17" t="str">
        <f aca="false">IF($J143=0,"",INDEX(ROTACAO_RDM!$I$6:$I$71,$J143))</f>
        <v/>
      </c>
      <c r="N143" s="16" t="n">
        <f aca="false">IF($J143=0,0,MAX(0,$C143+INT(DIAS_POR_SEMANA/2)-INDEX(ROTACAO_RDM!$I$6:$I$71,$J143)))</f>
        <v>0</v>
      </c>
      <c r="O143" s="19" t="n">
        <f aca="false">IF($J143=0,0,MIN(1,$N143/MAX(1,INDEX(ROTACAO_RDM!$K$6:$K$71,$J143))))</f>
        <v>0</v>
      </c>
      <c r="P143" s="16" t="n">
        <f aca="false">IF($J143=0,0,IFERROR(MATCH(INDEX(ROTACAO_RDM!$N$6:$N$71,$J143),PARAMETROS_CULTURAS!$B$6:$B$28,0),0))</f>
        <v>0</v>
      </c>
      <c r="Q143" s="8" t="str">
        <f aca="false">IF($P143=0,"-",IF($O143&lt;=INDEX(PARAMETROS_CULTURAS!$F$6:$F$28,$P143),"INICIAL",IF($O143&lt;=INDEX(PARAMETROS_CULTURAS!$F$6:$F$28,$P143)+INDEX(PARAMETROS_CULTURAS!$G$6:$G$28,$P143),"DESENVOLVIMENTO",IF($O143&lt;=INDEX(PARAMETROS_CULTURAS!$F$6:$F$28,$P143)+INDEX(PARAMETROS_CULTURAS!$G$6:$G$28,$P143)+INDEX(PARAMETROS_CULTURAS!$H$6:$H$28,$P143),"MEDIA","FINAL"))))</f>
        <v>-</v>
      </c>
      <c r="R143" s="24" t="n">
        <f aca="false">IF($P143=0,0,IF($O143&lt;=INDEX(PARAMETROS_CULTURAS!$F$6:$F$28,$P143),INDEX(PARAMETROS_CULTURAS!$K$6:$K$28,$P143),IF($O143&lt;=INDEX(PARAMETROS_CULTURAS!$F$6:$F$28,$P143)+INDEX(PARAMETROS_CULTURAS!$G$6:$G$28,$P143),INDEX(PARAMETROS_CULTURAS!$K$6:$K$28,$P143)+(INDEX(PARAMETROS_CULTURAS!$L$6:$L$28,$P143)-INDEX(PARAMETROS_CULTURAS!$K$6:$K$28,$P143))*($O143-INDEX(PARAMETROS_CULTURAS!$F$6:$F$28,$P143))/MAX(INDEX(PARAMETROS_CULTURAS!$G$6:$G$28,$P143),0.0001),IF($O143&lt;=INDEX(PARAMETROS_CULTURAS!$F$6:$F$28,$P143)+INDEX(PARAMETROS_CULTURAS!$G$6:$G$28,$P143)+INDEX(PARAMETROS_CULTURAS!$H$6:$H$28,$P143),INDEX(PARAMETROS_CULTURAS!$L$6:$L$28,$P143),INDEX(PARAMETROS_CULTURAS!$L$6:$L$28,$P143)+(INDEX(PARAMETROS_CULTURAS!$M$6:$M$28,$P143)-INDEX(PARAMETROS_CULTURAS!$L$6:$L$28,$P143))*($O143-INDEX(PARAMETROS_CULTURAS!$F$6:$F$28,$P143)-INDEX(PARAMETROS_CULTURAS!$G$6:$G$28,$P143)-INDEX(PARAMETROS_CULTURAS!$H$6:$H$28,$P143))/MAX(INDEX(PARAMETROS_CULTURAS!$I$6:$I$28,$P143),0.0001)))))</f>
        <v>0</v>
      </c>
      <c r="S143" s="18" t="n">
        <f aca="false">IFERROR(INDEX(SEMANAS!$H$6:$H$71,MATCH($B143,SEMANAS!$B$6:$B$71,0)),0)</f>
        <v>39.2</v>
      </c>
      <c r="T143" s="18" t="n">
        <f aca="false">$R143*$S143</f>
        <v>0</v>
      </c>
      <c r="U143" s="18" t="n">
        <f aca="false">IFERROR(INDEX(SEMANAS!$I$6:$I$71,MATCH($B143,SEMANAS!$B$6:$B$71,0)),0)</f>
        <v>27.09</v>
      </c>
      <c r="V143" s="18" t="n">
        <f aca="false">IFERROR(INDEX(SEMANAS!$J$6:$J$71,MATCH($B143,SEMANAS!$B$6:$B$71,0)),0)</f>
        <v>21.672</v>
      </c>
      <c r="W143" s="18" t="n">
        <f aca="false">MAX(0,$T143-$V143)</f>
        <v>0</v>
      </c>
      <c r="X143" s="19" t="n">
        <f aca="false">IFERROR(INDEX(CADASTRO_PIVOS!$K$6:$K$41,MATCH($E143,CADASTRO_PIVOS!$B$6:$B$41,0)),EFICIENCIA_PADRAO)</f>
        <v>0.85</v>
      </c>
      <c r="Y143" s="18" t="n">
        <f aca="false">IF($X143&lt;=0,0,$W143/$X143)</f>
        <v>0</v>
      </c>
      <c r="Z143" s="16" t="n">
        <f aca="false">$Y143*$H143*MM_PARA_M3_HA</f>
        <v>0</v>
      </c>
      <c r="AA143" s="18" t="n">
        <f aca="false">IFERROR(INDEX(CADASTRO_PIVOS!$I$6:$I$41,MATCH($E143,CADASTRO_PIVOS!$B$6:$B$41,0)),0)</f>
        <v>714.714285714286</v>
      </c>
      <c r="AB143" s="18" t="n">
        <f aca="false">IF($Z143&lt;=0,0,$Z143/$AA143)</f>
        <v>0</v>
      </c>
      <c r="AC143" s="16" t="n">
        <f aca="false">IFERROR(INDEX(SEMANAS!$K$6:$K$71,MATCH($B143,SEMANAS!$B$6:$B$71,0)),0)</f>
        <v>147</v>
      </c>
      <c r="AD143" s="19" t="n">
        <f aca="false">IF($AC143&lt;=0,0,$AB143/$AC143)</f>
        <v>0</v>
      </c>
      <c r="AE143" s="8" t="str">
        <f aca="false">IF($K143="SEM CULTURA","SEM CULTURA",IF($AA143&lt;=0,"DADO PENDENTE",IF($AD143&gt;LIMITE_CRITICO,"INVIAVEL",IF($AD143&gt;LIMITE_ATENCAO,"CRITICO",IF($AD143&gt;LIMITE_CONFORTAVEL,"ATENCAO","OK")))))</f>
        <v>SEM CULTURA</v>
      </c>
      <c r="AF143" s="8" t="str">
        <f aca="false">$B143&amp;"|"&amp;TEXT($AD143,"0.000000")</f>
        <v>6|0.000000</v>
      </c>
      <c r="AG143" s="18" t="n">
        <f aca="false">IF($K143="SEM CULTURA",0,$T143*$H143)</f>
        <v>0</v>
      </c>
      <c r="AH143" s="18" t="n">
        <f aca="false">IF($K143="SEM CULTURA",0,$V143*$H143)</f>
        <v>0</v>
      </c>
      <c r="AI143" s="18" t="n">
        <f aca="false">IF($K143="SEM CULTURA",0,$W143*$H143)</f>
        <v>0</v>
      </c>
      <c r="AJ143" s="18" t="n">
        <f aca="false">IF($K143="SEM CULTURA",0,$S143*$H143)</f>
        <v>0</v>
      </c>
      <c r="AK143" s="8" t="str">
        <f aca="false">$E143&amp;"|"&amp;TEXT($AD143,"0.000000")</f>
        <v>PV 108|0.000000</v>
      </c>
    </row>
    <row r="144" customFormat="false" ht="15" hidden="false" customHeight="false" outlineLevel="0" collapsed="false">
      <c r="B144" s="16" t="n">
        <v>7</v>
      </c>
      <c r="C144" s="17" t="n">
        <f aca="false">DATA_INICIO_SAFRA+($B144-1)*DIAS_POR_SEMANA</f>
        <v>46307</v>
      </c>
      <c r="D144" s="17" t="n">
        <f aca="false">$C144+DIAS_POR_SEMANA-1</f>
        <v>46313</v>
      </c>
      <c r="E144" s="15" t="s">
        <v>261</v>
      </c>
      <c r="F144" s="8" t="str">
        <f aca="false">IFERROR(INDEX(CADASTRO_PIVOS!$C$6:$C$41,MATCH($E144,CADASTRO_PIVOS!$B$6:$B$41,0)),"?")</f>
        <v>RM02</v>
      </c>
      <c r="G144" s="8" t="str">
        <f aca="false">IFERROR(INDEX(CADASTRO_PIVOS!$D$6:$D$41,MATCH($E144,CADASTRO_PIVOS!$B$6:$B$41,0)),"?")</f>
        <v>TR02</v>
      </c>
      <c r="H144" s="20" t="n">
        <f aca="false">IFERROR(INDEX(CADASTRO_PIVOS!$E$6:$E$41,MATCH($E144,CADASTRO_PIVOS!$B$6:$B$41,0)),0)</f>
        <v>100.06</v>
      </c>
      <c r="I144" s="16" t="n">
        <f aca="false">IFERROR(SUMIFS(ROTACAO_RDM!$B$6:$B$71,ROTACAO_RDM!$D$6:$D$71,$E144,ROTACAO_RDM!$I$6:$I$71,"&lt;="&amp;$C144+INT(DIAS_POR_SEMANA/2),ROTACAO_RDM!$J$6:$J$71,"&gt;="&amp;$C144+INT(DIAS_POR_SEMANA/2)),0)</f>
        <v>0</v>
      </c>
      <c r="J144" s="16" t="n">
        <f aca="false">IFERROR(MATCH($I144,ROTACAO_RDM!$B$6:$B$71,0),0)</f>
        <v>0</v>
      </c>
      <c r="K144" s="8" t="str">
        <f aca="false">IF($J144=0,"SEM CULTURA",INDEX(ROTACAO_RDM!$F$6:$F$71,$J144))</f>
        <v>SEM CULTURA</v>
      </c>
      <c r="L144" s="8" t="str">
        <f aca="false">IF($J144=0,"",INDEX(ROTACAO_RDM!$G$6:$G$71,$J144))</f>
        <v/>
      </c>
      <c r="M144" s="17" t="str">
        <f aca="false">IF($J144=0,"",INDEX(ROTACAO_RDM!$I$6:$I$71,$J144))</f>
        <v/>
      </c>
      <c r="N144" s="16" t="n">
        <f aca="false">IF($J144=0,0,MAX(0,$C144+INT(DIAS_POR_SEMANA/2)-INDEX(ROTACAO_RDM!$I$6:$I$71,$J144)))</f>
        <v>0</v>
      </c>
      <c r="O144" s="19" t="n">
        <f aca="false">IF($J144=0,0,MIN(1,$N144/MAX(1,INDEX(ROTACAO_RDM!$K$6:$K$71,$J144))))</f>
        <v>0</v>
      </c>
      <c r="P144" s="16" t="n">
        <f aca="false">IF($J144=0,0,IFERROR(MATCH(INDEX(ROTACAO_RDM!$N$6:$N$71,$J144),PARAMETROS_CULTURAS!$B$6:$B$28,0),0))</f>
        <v>0</v>
      </c>
      <c r="Q144" s="8" t="str">
        <f aca="false">IF($P144=0,"-",IF($O144&lt;=INDEX(PARAMETROS_CULTURAS!$F$6:$F$28,$P144),"INICIAL",IF($O144&lt;=INDEX(PARAMETROS_CULTURAS!$F$6:$F$28,$P144)+INDEX(PARAMETROS_CULTURAS!$G$6:$G$28,$P144),"DESENVOLVIMENTO",IF($O144&lt;=INDEX(PARAMETROS_CULTURAS!$F$6:$F$28,$P144)+INDEX(PARAMETROS_CULTURAS!$G$6:$G$28,$P144)+INDEX(PARAMETROS_CULTURAS!$H$6:$H$28,$P144),"MEDIA","FINAL"))))</f>
        <v>-</v>
      </c>
      <c r="R144" s="24" t="n">
        <f aca="false">IF($P144=0,0,IF($O144&lt;=INDEX(PARAMETROS_CULTURAS!$F$6:$F$28,$P144),INDEX(PARAMETROS_CULTURAS!$K$6:$K$28,$P144),IF($O144&lt;=INDEX(PARAMETROS_CULTURAS!$F$6:$F$28,$P144)+INDEX(PARAMETROS_CULTURAS!$G$6:$G$28,$P144),INDEX(PARAMETROS_CULTURAS!$K$6:$K$28,$P144)+(INDEX(PARAMETROS_CULTURAS!$L$6:$L$28,$P144)-INDEX(PARAMETROS_CULTURAS!$K$6:$K$28,$P144))*($O144-INDEX(PARAMETROS_CULTURAS!$F$6:$F$28,$P144))/MAX(INDEX(PARAMETROS_CULTURAS!$G$6:$G$28,$P144),0.0001),IF($O144&lt;=INDEX(PARAMETROS_CULTURAS!$F$6:$F$28,$P144)+INDEX(PARAMETROS_CULTURAS!$G$6:$G$28,$P144)+INDEX(PARAMETROS_CULTURAS!$H$6:$H$28,$P144),INDEX(PARAMETROS_CULTURAS!$L$6:$L$28,$P144),INDEX(PARAMETROS_CULTURAS!$L$6:$L$28,$P144)+(INDEX(PARAMETROS_CULTURAS!$M$6:$M$28,$P144)-INDEX(PARAMETROS_CULTURAS!$L$6:$L$28,$P144))*($O144-INDEX(PARAMETROS_CULTURAS!$F$6:$F$28,$P144)-INDEX(PARAMETROS_CULTURAS!$G$6:$G$28,$P144)-INDEX(PARAMETROS_CULTURAS!$H$6:$H$28,$P144))/MAX(INDEX(PARAMETROS_CULTURAS!$I$6:$I$28,$P144),0.0001)))))</f>
        <v>0</v>
      </c>
      <c r="S144" s="18" t="n">
        <f aca="false">IFERROR(INDEX(SEMANAS!$H$6:$H$71,MATCH($B144,SEMANAS!$B$6:$B$71,0)),0)</f>
        <v>39.2</v>
      </c>
      <c r="T144" s="18" t="n">
        <f aca="false">$R144*$S144</f>
        <v>0</v>
      </c>
      <c r="U144" s="18" t="n">
        <f aca="false">IFERROR(INDEX(SEMANAS!$I$6:$I$71,MATCH($B144,SEMANAS!$B$6:$B$71,0)),0)</f>
        <v>27.09</v>
      </c>
      <c r="V144" s="18" t="n">
        <f aca="false">IFERROR(INDEX(SEMANAS!$J$6:$J$71,MATCH($B144,SEMANAS!$B$6:$B$71,0)),0)</f>
        <v>21.672</v>
      </c>
      <c r="W144" s="18" t="n">
        <f aca="false">MAX(0,$T144-$V144)</f>
        <v>0</v>
      </c>
      <c r="X144" s="19" t="n">
        <f aca="false">IFERROR(INDEX(CADASTRO_PIVOS!$K$6:$K$41,MATCH($E144,CADASTRO_PIVOS!$B$6:$B$41,0)),EFICIENCIA_PADRAO)</f>
        <v>0.85</v>
      </c>
      <c r="Y144" s="18" t="n">
        <f aca="false">IF($X144&lt;=0,0,$W144/$X144)</f>
        <v>0</v>
      </c>
      <c r="Z144" s="16" t="n">
        <f aca="false">$Y144*$H144*MM_PARA_M3_HA</f>
        <v>0</v>
      </c>
      <c r="AA144" s="18" t="n">
        <f aca="false">IFERROR(INDEX(CADASTRO_PIVOS!$I$6:$I$41,MATCH($E144,CADASTRO_PIVOS!$B$6:$B$41,0)),0)</f>
        <v>714.714285714286</v>
      </c>
      <c r="AB144" s="18" t="n">
        <f aca="false">IF($Z144&lt;=0,0,$Z144/$AA144)</f>
        <v>0</v>
      </c>
      <c r="AC144" s="16" t="n">
        <f aca="false">IFERROR(INDEX(SEMANAS!$K$6:$K$71,MATCH($B144,SEMANAS!$B$6:$B$71,0)),0)</f>
        <v>147</v>
      </c>
      <c r="AD144" s="19" t="n">
        <f aca="false">IF($AC144&lt;=0,0,$AB144/$AC144)</f>
        <v>0</v>
      </c>
      <c r="AE144" s="8" t="str">
        <f aca="false">IF($K144="SEM CULTURA","SEM CULTURA",IF($AA144&lt;=0,"DADO PENDENTE",IF($AD144&gt;LIMITE_CRITICO,"INVIAVEL",IF($AD144&gt;LIMITE_ATENCAO,"CRITICO",IF($AD144&gt;LIMITE_CONFORTAVEL,"ATENCAO","OK")))))</f>
        <v>SEM CULTURA</v>
      </c>
      <c r="AF144" s="8" t="str">
        <f aca="false">$B144&amp;"|"&amp;TEXT($AD144,"0.000000")</f>
        <v>7|0.000000</v>
      </c>
      <c r="AG144" s="18" t="n">
        <f aca="false">IF($K144="SEM CULTURA",0,$T144*$H144)</f>
        <v>0</v>
      </c>
      <c r="AH144" s="18" t="n">
        <f aca="false">IF($K144="SEM CULTURA",0,$V144*$H144)</f>
        <v>0</v>
      </c>
      <c r="AI144" s="18" t="n">
        <f aca="false">IF($K144="SEM CULTURA",0,$W144*$H144)</f>
        <v>0</v>
      </c>
      <c r="AJ144" s="18" t="n">
        <f aca="false">IF($K144="SEM CULTURA",0,$S144*$H144)</f>
        <v>0</v>
      </c>
      <c r="AK144" s="8" t="str">
        <f aca="false">$E144&amp;"|"&amp;TEXT($AD144,"0.000000")</f>
        <v>PV 108|0.000000</v>
      </c>
    </row>
    <row r="145" customFormat="false" ht="15" hidden="false" customHeight="false" outlineLevel="0" collapsed="false">
      <c r="B145" s="16" t="n">
        <v>8</v>
      </c>
      <c r="C145" s="17" t="n">
        <f aca="false">DATA_INICIO_SAFRA+($B145-1)*DIAS_POR_SEMANA</f>
        <v>46314</v>
      </c>
      <c r="D145" s="17" t="n">
        <f aca="false">$C145+DIAS_POR_SEMANA-1</f>
        <v>46320</v>
      </c>
      <c r="E145" s="15" t="s">
        <v>261</v>
      </c>
      <c r="F145" s="8" t="str">
        <f aca="false">IFERROR(INDEX(CADASTRO_PIVOS!$C$6:$C$41,MATCH($E145,CADASTRO_PIVOS!$B$6:$B$41,0)),"?")</f>
        <v>RM02</v>
      </c>
      <c r="G145" s="8" t="str">
        <f aca="false">IFERROR(INDEX(CADASTRO_PIVOS!$D$6:$D$41,MATCH($E145,CADASTRO_PIVOS!$B$6:$B$41,0)),"?")</f>
        <v>TR02</v>
      </c>
      <c r="H145" s="20" t="n">
        <f aca="false">IFERROR(INDEX(CADASTRO_PIVOS!$E$6:$E$41,MATCH($E145,CADASTRO_PIVOS!$B$6:$B$41,0)),0)</f>
        <v>100.06</v>
      </c>
      <c r="I145" s="16" t="n">
        <f aca="false">IFERROR(SUMIFS(ROTACAO_RDM!$B$6:$B$71,ROTACAO_RDM!$D$6:$D$71,$E145,ROTACAO_RDM!$I$6:$I$71,"&lt;="&amp;$C145+INT(DIAS_POR_SEMANA/2),ROTACAO_RDM!$J$6:$J$71,"&gt;="&amp;$C145+INT(DIAS_POR_SEMANA/2)),0)</f>
        <v>0</v>
      </c>
      <c r="J145" s="16" t="n">
        <f aca="false">IFERROR(MATCH($I145,ROTACAO_RDM!$B$6:$B$71,0),0)</f>
        <v>0</v>
      </c>
      <c r="K145" s="8" t="str">
        <f aca="false">IF($J145=0,"SEM CULTURA",INDEX(ROTACAO_RDM!$F$6:$F$71,$J145))</f>
        <v>SEM CULTURA</v>
      </c>
      <c r="L145" s="8" t="str">
        <f aca="false">IF($J145=0,"",INDEX(ROTACAO_RDM!$G$6:$G$71,$J145))</f>
        <v/>
      </c>
      <c r="M145" s="17" t="str">
        <f aca="false">IF($J145=0,"",INDEX(ROTACAO_RDM!$I$6:$I$71,$J145))</f>
        <v/>
      </c>
      <c r="N145" s="16" t="n">
        <f aca="false">IF($J145=0,0,MAX(0,$C145+INT(DIAS_POR_SEMANA/2)-INDEX(ROTACAO_RDM!$I$6:$I$71,$J145)))</f>
        <v>0</v>
      </c>
      <c r="O145" s="19" t="n">
        <f aca="false">IF($J145=0,0,MIN(1,$N145/MAX(1,INDEX(ROTACAO_RDM!$K$6:$K$71,$J145))))</f>
        <v>0</v>
      </c>
      <c r="P145" s="16" t="n">
        <f aca="false">IF($J145=0,0,IFERROR(MATCH(INDEX(ROTACAO_RDM!$N$6:$N$71,$J145),PARAMETROS_CULTURAS!$B$6:$B$28,0),0))</f>
        <v>0</v>
      </c>
      <c r="Q145" s="8" t="str">
        <f aca="false">IF($P145=0,"-",IF($O145&lt;=INDEX(PARAMETROS_CULTURAS!$F$6:$F$28,$P145),"INICIAL",IF($O145&lt;=INDEX(PARAMETROS_CULTURAS!$F$6:$F$28,$P145)+INDEX(PARAMETROS_CULTURAS!$G$6:$G$28,$P145),"DESENVOLVIMENTO",IF($O145&lt;=INDEX(PARAMETROS_CULTURAS!$F$6:$F$28,$P145)+INDEX(PARAMETROS_CULTURAS!$G$6:$G$28,$P145)+INDEX(PARAMETROS_CULTURAS!$H$6:$H$28,$P145),"MEDIA","FINAL"))))</f>
        <v>-</v>
      </c>
      <c r="R145" s="24" t="n">
        <f aca="false">IF($P145=0,0,IF($O145&lt;=INDEX(PARAMETROS_CULTURAS!$F$6:$F$28,$P145),INDEX(PARAMETROS_CULTURAS!$K$6:$K$28,$P145),IF($O145&lt;=INDEX(PARAMETROS_CULTURAS!$F$6:$F$28,$P145)+INDEX(PARAMETROS_CULTURAS!$G$6:$G$28,$P145),INDEX(PARAMETROS_CULTURAS!$K$6:$K$28,$P145)+(INDEX(PARAMETROS_CULTURAS!$L$6:$L$28,$P145)-INDEX(PARAMETROS_CULTURAS!$K$6:$K$28,$P145))*($O145-INDEX(PARAMETROS_CULTURAS!$F$6:$F$28,$P145))/MAX(INDEX(PARAMETROS_CULTURAS!$G$6:$G$28,$P145),0.0001),IF($O145&lt;=INDEX(PARAMETROS_CULTURAS!$F$6:$F$28,$P145)+INDEX(PARAMETROS_CULTURAS!$G$6:$G$28,$P145)+INDEX(PARAMETROS_CULTURAS!$H$6:$H$28,$P145),INDEX(PARAMETROS_CULTURAS!$L$6:$L$28,$P145),INDEX(PARAMETROS_CULTURAS!$L$6:$L$28,$P145)+(INDEX(PARAMETROS_CULTURAS!$M$6:$M$28,$P145)-INDEX(PARAMETROS_CULTURAS!$L$6:$L$28,$P145))*($O145-INDEX(PARAMETROS_CULTURAS!$F$6:$F$28,$P145)-INDEX(PARAMETROS_CULTURAS!$G$6:$G$28,$P145)-INDEX(PARAMETROS_CULTURAS!$H$6:$H$28,$P145))/MAX(INDEX(PARAMETROS_CULTURAS!$I$6:$I$28,$P145),0.0001)))))</f>
        <v>0</v>
      </c>
      <c r="S145" s="18" t="n">
        <f aca="false">IFERROR(INDEX(SEMANAS!$H$6:$H$71,MATCH($B145,SEMANAS!$B$6:$B$71,0)),0)</f>
        <v>39.2</v>
      </c>
      <c r="T145" s="18" t="n">
        <f aca="false">$R145*$S145</f>
        <v>0</v>
      </c>
      <c r="U145" s="18" t="n">
        <f aca="false">IFERROR(INDEX(SEMANAS!$I$6:$I$71,MATCH($B145,SEMANAS!$B$6:$B$71,0)),0)</f>
        <v>27.09</v>
      </c>
      <c r="V145" s="18" t="n">
        <f aca="false">IFERROR(INDEX(SEMANAS!$J$6:$J$71,MATCH($B145,SEMANAS!$B$6:$B$71,0)),0)</f>
        <v>21.672</v>
      </c>
      <c r="W145" s="18" t="n">
        <f aca="false">MAX(0,$T145-$V145)</f>
        <v>0</v>
      </c>
      <c r="X145" s="19" t="n">
        <f aca="false">IFERROR(INDEX(CADASTRO_PIVOS!$K$6:$K$41,MATCH($E145,CADASTRO_PIVOS!$B$6:$B$41,0)),EFICIENCIA_PADRAO)</f>
        <v>0.85</v>
      </c>
      <c r="Y145" s="18" t="n">
        <f aca="false">IF($X145&lt;=0,0,$W145/$X145)</f>
        <v>0</v>
      </c>
      <c r="Z145" s="16" t="n">
        <f aca="false">$Y145*$H145*MM_PARA_M3_HA</f>
        <v>0</v>
      </c>
      <c r="AA145" s="18" t="n">
        <f aca="false">IFERROR(INDEX(CADASTRO_PIVOS!$I$6:$I$41,MATCH($E145,CADASTRO_PIVOS!$B$6:$B$41,0)),0)</f>
        <v>714.714285714286</v>
      </c>
      <c r="AB145" s="18" t="n">
        <f aca="false">IF($Z145&lt;=0,0,$Z145/$AA145)</f>
        <v>0</v>
      </c>
      <c r="AC145" s="16" t="n">
        <f aca="false">IFERROR(INDEX(SEMANAS!$K$6:$K$71,MATCH($B145,SEMANAS!$B$6:$B$71,0)),0)</f>
        <v>147</v>
      </c>
      <c r="AD145" s="19" t="n">
        <f aca="false">IF($AC145&lt;=0,0,$AB145/$AC145)</f>
        <v>0</v>
      </c>
      <c r="AE145" s="8" t="str">
        <f aca="false">IF($K145="SEM CULTURA","SEM CULTURA",IF($AA145&lt;=0,"DADO PENDENTE",IF($AD145&gt;LIMITE_CRITICO,"INVIAVEL",IF($AD145&gt;LIMITE_ATENCAO,"CRITICO",IF($AD145&gt;LIMITE_CONFORTAVEL,"ATENCAO","OK")))))</f>
        <v>SEM CULTURA</v>
      </c>
      <c r="AF145" s="8" t="str">
        <f aca="false">$B145&amp;"|"&amp;TEXT($AD145,"0.000000")</f>
        <v>8|0.000000</v>
      </c>
      <c r="AG145" s="18" t="n">
        <f aca="false">IF($K145="SEM CULTURA",0,$T145*$H145)</f>
        <v>0</v>
      </c>
      <c r="AH145" s="18" t="n">
        <f aca="false">IF($K145="SEM CULTURA",0,$V145*$H145)</f>
        <v>0</v>
      </c>
      <c r="AI145" s="18" t="n">
        <f aca="false">IF($K145="SEM CULTURA",0,$W145*$H145)</f>
        <v>0</v>
      </c>
      <c r="AJ145" s="18" t="n">
        <f aca="false">IF($K145="SEM CULTURA",0,$S145*$H145)</f>
        <v>0</v>
      </c>
      <c r="AK145" s="8" t="str">
        <f aca="false">$E145&amp;"|"&amp;TEXT($AD145,"0.000000")</f>
        <v>PV 108|0.000000</v>
      </c>
    </row>
    <row r="146" customFormat="false" ht="15" hidden="false" customHeight="false" outlineLevel="0" collapsed="false">
      <c r="B146" s="16" t="n">
        <v>9</v>
      </c>
      <c r="C146" s="17" t="n">
        <f aca="false">DATA_INICIO_SAFRA+($B146-1)*DIAS_POR_SEMANA</f>
        <v>46321</v>
      </c>
      <c r="D146" s="17" t="n">
        <f aca="false">$C146+DIAS_POR_SEMANA-1</f>
        <v>46327</v>
      </c>
      <c r="E146" s="15" t="s">
        <v>261</v>
      </c>
      <c r="F146" s="8" t="str">
        <f aca="false">IFERROR(INDEX(CADASTRO_PIVOS!$C$6:$C$41,MATCH($E146,CADASTRO_PIVOS!$B$6:$B$41,0)),"?")</f>
        <v>RM02</v>
      </c>
      <c r="G146" s="8" t="str">
        <f aca="false">IFERROR(INDEX(CADASTRO_PIVOS!$D$6:$D$41,MATCH($E146,CADASTRO_PIVOS!$B$6:$B$41,0)),"?")</f>
        <v>TR02</v>
      </c>
      <c r="H146" s="20" t="n">
        <f aca="false">IFERROR(INDEX(CADASTRO_PIVOS!$E$6:$E$41,MATCH($E146,CADASTRO_PIVOS!$B$6:$B$41,0)),0)</f>
        <v>100.06</v>
      </c>
      <c r="I146" s="16" t="n">
        <f aca="false">IFERROR(SUMIFS(ROTACAO_RDM!$B$6:$B$71,ROTACAO_RDM!$D$6:$D$71,$E146,ROTACAO_RDM!$I$6:$I$71,"&lt;="&amp;$C146+INT(DIAS_POR_SEMANA/2),ROTACAO_RDM!$J$6:$J$71,"&gt;="&amp;$C146+INT(DIAS_POR_SEMANA/2)),0)</f>
        <v>0</v>
      </c>
      <c r="J146" s="16" t="n">
        <f aca="false">IFERROR(MATCH($I146,ROTACAO_RDM!$B$6:$B$71,0),0)</f>
        <v>0</v>
      </c>
      <c r="K146" s="8" t="str">
        <f aca="false">IF($J146=0,"SEM CULTURA",INDEX(ROTACAO_RDM!$F$6:$F$71,$J146))</f>
        <v>SEM CULTURA</v>
      </c>
      <c r="L146" s="8" t="str">
        <f aca="false">IF($J146=0,"",INDEX(ROTACAO_RDM!$G$6:$G$71,$J146))</f>
        <v/>
      </c>
      <c r="M146" s="17" t="str">
        <f aca="false">IF($J146=0,"",INDEX(ROTACAO_RDM!$I$6:$I$71,$J146))</f>
        <v/>
      </c>
      <c r="N146" s="16" t="n">
        <f aca="false">IF($J146=0,0,MAX(0,$C146+INT(DIAS_POR_SEMANA/2)-INDEX(ROTACAO_RDM!$I$6:$I$71,$J146)))</f>
        <v>0</v>
      </c>
      <c r="O146" s="19" t="n">
        <f aca="false">IF($J146=0,0,MIN(1,$N146/MAX(1,INDEX(ROTACAO_RDM!$K$6:$K$71,$J146))))</f>
        <v>0</v>
      </c>
      <c r="P146" s="16" t="n">
        <f aca="false">IF($J146=0,0,IFERROR(MATCH(INDEX(ROTACAO_RDM!$N$6:$N$71,$J146),PARAMETROS_CULTURAS!$B$6:$B$28,0),0))</f>
        <v>0</v>
      </c>
      <c r="Q146" s="8" t="str">
        <f aca="false">IF($P146=0,"-",IF($O146&lt;=INDEX(PARAMETROS_CULTURAS!$F$6:$F$28,$P146),"INICIAL",IF($O146&lt;=INDEX(PARAMETROS_CULTURAS!$F$6:$F$28,$P146)+INDEX(PARAMETROS_CULTURAS!$G$6:$G$28,$P146),"DESENVOLVIMENTO",IF($O146&lt;=INDEX(PARAMETROS_CULTURAS!$F$6:$F$28,$P146)+INDEX(PARAMETROS_CULTURAS!$G$6:$G$28,$P146)+INDEX(PARAMETROS_CULTURAS!$H$6:$H$28,$P146),"MEDIA","FINAL"))))</f>
        <v>-</v>
      </c>
      <c r="R146" s="24" t="n">
        <f aca="false">IF($P146=0,0,IF($O146&lt;=INDEX(PARAMETROS_CULTURAS!$F$6:$F$28,$P146),INDEX(PARAMETROS_CULTURAS!$K$6:$K$28,$P146),IF($O146&lt;=INDEX(PARAMETROS_CULTURAS!$F$6:$F$28,$P146)+INDEX(PARAMETROS_CULTURAS!$G$6:$G$28,$P146),INDEX(PARAMETROS_CULTURAS!$K$6:$K$28,$P146)+(INDEX(PARAMETROS_CULTURAS!$L$6:$L$28,$P146)-INDEX(PARAMETROS_CULTURAS!$K$6:$K$28,$P146))*($O146-INDEX(PARAMETROS_CULTURAS!$F$6:$F$28,$P146))/MAX(INDEX(PARAMETROS_CULTURAS!$G$6:$G$28,$P146),0.0001),IF($O146&lt;=INDEX(PARAMETROS_CULTURAS!$F$6:$F$28,$P146)+INDEX(PARAMETROS_CULTURAS!$G$6:$G$28,$P146)+INDEX(PARAMETROS_CULTURAS!$H$6:$H$28,$P146),INDEX(PARAMETROS_CULTURAS!$L$6:$L$28,$P146),INDEX(PARAMETROS_CULTURAS!$L$6:$L$28,$P146)+(INDEX(PARAMETROS_CULTURAS!$M$6:$M$28,$P146)-INDEX(PARAMETROS_CULTURAS!$L$6:$L$28,$P146))*($O146-INDEX(PARAMETROS_CULTURAS!$F$6:$F$28,$P146)-INDEX(PARAMETROS_CULTURAS!$G$6:$G$28,$P146)-INDEX(PARAMETROS_CULTURAS!$H$6:$H$28,$P146))/MAX(INDEX(PARAMETROS_CULTURAS!$I$6:$I$28,$P146),0.0001)))))</f>
        <v>0</v>
      </c>
      <c r="S146" s="18" t="n">
        <f aca="false">IFERROR(INDEX(SEMANAS!$H$6:$H$71,MATCH($B146,SEMANAS!$B$6:$B$71,0)),0)</f>
        <v>38.5</v>
      </c>
      <c r="T146" s="18" t="n">
        <f aca="false">$R146*$S146</f>
        <v>0</v>
      </c>
      <c r="U146" s="18" t="n">
        <f aca="false">IFERROR(INDEX(SEMANAS!$I$6:$I$71,MATCH($B146,SEMANAS!$B$6:$B$71,0)),0)</f>
        <v>29.89</v>
      </c>
      <c r="V146" s="18" t="n">
        <f aca="false">IFERROR(INDEX(SEMANAS!$J$6:$J$71,MATCH($B146,SEMANAS!$B$6:$B$71,0)),0)</f>
        <v>23.912</v>
      </c>
      <c r="W146" s="18" t="n">
        <f aca="false">MAX(0,$T146-$V146)</f>
        <v>0</v>
      </c>
      <c r="X146" s="19" t="n">
        <f aca="false">IFERROR(INDEX(CADASTRO_PIVOS!$K$6:$K$41,MATCH($E146,CADASTRO_PIVOS!$B$6:$B$41,0)),EFICIENCIA_PADRAO)</f>
        <v>0.85</v>
      </c>
      <c r="Y146" s="18" t="n">
        <f aca="false">IF($X146&lt;=0,0,$W146/$X146)</f>
        <v>0</v>
      </c>
      <c r="Z146" s="16" t="n">
        <f aca="false">$Y146*$H146*MM_PARA_M3_HA</f>
        <v>0</v>
      </c>
      <c r="AA146" s="18" t="n">
        <f aca="false">IFERROR(INDEX(CADASTRO_PIVOS!$I$6:$I$41,MATCH($E146,CADASTRO_PIVOS!$B$6:$B$41,0)),0)</f>
        <v>714.714285714286</v>
      </c>
      <c r="AB146" s="18" t="n">
        <f aca="false">IF($Z146&lt;=0,0,$Z146/$AA146)</f>
        <v>0</v>
      </c>
      <c r="AC146" s="16" t="n">
        <f aca="false">IFERROR(INDEX(SEMANAS!$K$6:$K$71,MATCH($B146,SEMANAS!$B$6:$B$71,0)),0)</f>
        <v>147</v>
      </c>
      <c r="AD146" s="19" t="n">
        <f aca="false">IF($AC146&lt;=0,0,$AB146/$AC146)</f>
        <v>0</v>
      </c>
      <c r="AE146" s="8" t="str">
        <f aca="false">IF($K146="SEM CULTURA","SEM CULTURA",IF($AA146&lt;=0,"DADO PENDENTE",IF($AD146&gt;LIMITE_CRITICO,"INVIAVEL",IF($AD146&gt;LIMITE_ATENCAO,"CRITICO",IF($AD146&gt;LIMITE_CONFORTAVEL,"ATENCAO","OK")))))</f>
        <v>SEM CULTURA</v>
      </c>
      <c r="AF146" s="8" t="str">
        <f aca="false">$B146&amp;"|"&amp;TEXT($AD146,"0.000000")</f>
        <v>9|0.000000</v>
      </c>
      <c r="AG146" s="18" t="n">
        <f aca="false">IF($K146="SEM CULTURA",0,$T146*$H146)</f>
        <v>0</v>
      </c>
      <c r="AH146" s="18" t="n">
        <f aca="false">IF($K146="SEM CULTURA",0,$V146*$H146)</f>
        <v>0</v>
      </c>
      <c r="AI146" s="18" t="n">
        <f aca="false">IF($K146="SEM CULTURA",0,$W146*$H146)</f>
        <v>0</v>
      </c>
      <c r="AJ146" s="18" t="n">
        <f aca="false">IF($K146="SEM CULTURA",0,$S146*$H146)</f>
        <v>0</v>
      </c>
      <c r="AK146" s="8" t="str">
        <f aca="false">$E146&amp;"|"&amp;TEXT($AD146,"0.000000")</f>
        <v>PV 108|0.000000</v>
      </c>
    </row>
    <row r="147" customFormat="false" ht="15" hidden="false" customHeight="false" outlineLevel="0" collapsed="false">
      <c r="B147" s="16" t="n">
        <v>10</v>
      </c>
      <c r="C147" s="17" t="n">
        <f aca="false">DATA_INICIO_SAFRA+($B147-1)*DIAS_POR_SEMANA</f>
        <v>46328</v>
      </c>
      <c r="D147" s="17" t="n">
        <f aca="false">$C147+DIAS_POR_SEMANA-1</f>
        <v>46334</v>
      </c>
      <c r="E147" s="15" t="s">
        <v>261</v>
      </c>
      <c r="F147" s="8" t="str">
        <f aca="false">IFERROR(INDEX(CADASTRO_PIVOS!$C$6:$C$41,MATCH($E147,CADASTRO_PIVOS!$B$6:$B$41,0)),"?")</f>
        <v>RM02</v>
      </c>
      <c r="G147" s="8" t="str">
        <f aca="false">IFERROR(INDEX(CADASTRO_PIVOS!$D$6:$D$41,MATCH($E147,CADASTRO_PIVOS!$B$6:$B$41,0)),"?")</f>
        <v>TR02</v>
      </c>
      <c r="H147" s="20" t="n">
        <f aca="false">IFERROR(INDEX(CADASTRO_PIVOS!$E$6:$E$41,MATCH($E147,CADASTRO_PIVOS!$B$6:$B$41,0)),0)</f>
        <v>100.06</v>
      </c>
      <c r="I147" s="16" t="n">
        <f aca="false">IFERROR(SUMIFS(ROTACAO_RDM!$B$6:$B$71,ROTACAO_RDM!$D$6:$D$71,$E147,ROTACAO_RDM!$I$6:$I$71,"&lt;="&amp;$C147+INT(DIAS_POR_SEMANA/2),ROTACAO_RDM!$J$6:$J$71,"&gt;="&amp;$C147+INT(DIAS_POR_SEMANA/2)),0)</f>
        <v>0</v>
      </c>
      <c r="J147" s="16" t="n">
        <f aca="false">IFERROR(MATCH($I147,ROTACAO_RDM!$B$6:$B$71,0),0)</f>
        <v>0</v>
      </c>
      <c r="K147" s="8" t="str">
        <f aca="false">IF($J147=0,"SEM CULTURA",INDEX(ROTACAO_RDM!$F$6:$F$71,$J147))</f>
        <v>SEM CULTURA</v>
      </c>
      <c r="L147" s="8" t="str">
        <f aca="false">IF($J147=0,"",INDEX(ROTACAO_RDM!$G$6:$G$71,$J147))</f>
        <v/>
      </c>
      <c r="M147" s="17" t="str">
        <f aca="false">IF($J147=0,"",INDEX(ROTACAO_RDM!$I$6:$I$71,$J147))</f>
        <v/>
      </c>
      <c r="N147" s="16" t="n">
        <f aca="false">IF($J147=0,0,MAX(0,$C147+INT(DIAS_POR_SEMANA/2)-INDEX(ROTACAO_RDM!$I$6:$I$71,$J147)))</f>
        <v>0</v>
      </c>
      <c r="O147" s="19" t="n">
        <f aca="false">IF($J147=0,0,MIN(1,$N147/MAX(1,INDEX(ROTACAO_RDM!$K$6:$K$71,$J147))))</f>
        <v>0</v>
      </c>
      <c r="P147" s="16" t="n">
        <f aca="false">IF($J147=0,0,IFERROR(MATCH(INDEX(ROTACAO_RDM!$N$6:$N$71,$J147),PARAMETROS_CULTURAS!$B$6:$B$28,0),0))</f>
        <v>0</v>
      </c>
      <c r="Q147" s="8" t="str">
        <f aca="false">IF($P147=0,"-",IF($O147&lt;=INDEX(PARAMETROS_CULTURAS!$F$6:$F$28,$P147),"INICIAL",IF($O147&lt;=INDEX(PARAMETROS_CULTURAS!$F$6:$F$28,$P147)+INDEX(PARAMETROS_CULTURAS!$G$6:$G$28,$P147),"DESENVOLVIMENTO",IF($O147&lt;=INDEX(PARAMETROS_CULTURAS!$F$6:$F$28,$P147)+INDEX(PARAMETROS_CULTURAS!$G$6:$G$28,$P147)+INDEX(PARAMETROS_CULTURAS!$H$6:$H$28,$P147),"MEDIA","FINAL"))))</f>
        <v>-</v>
      </c>
      <c r="R147" s="24" t="n">
        <f aca="false">IF($P147=0,0,IF($O147&lt;=INDEX(PARAMETROS_CULTURAS!$F$6:$F$28,$P147),INDEX(PARAMETROS_CULTURAS!$K$6:$K$28,$P147),IF($O147&lt;=INDEX(PARAMETROS_CULTURAS!$F$6:$F$28,$P147)+INDEX(PARAMETROS_CULTURAS!$G$6:$G$28,$P147),INDEX(PARAMETROS_CULTURAS!$K$6:$K$28,$P147)+(INDEX(PARAMETROS_CULTURAS!$L$6:$L$28,$P147)-INDEX(PARAMETROS_CULTURAS!$K$6:$K$28,$P147))*($O147-INDEX(PARAMETROS_CULTURAS!$F$6:$F$28,$P147))/MAX(INDEX(PARAMETROS_CULTURAS!$G$6:$G$28,$P147),0.0001),IF($O147&lt;=INDEX(PARAMETROS_CULTURAS!$F$6:$F$28,$P147)+INDEX(PARAMETROS_CULTURAS!$G$6:$G$28,$P147)+INDEX(PARAMETROS_CULTURAS!$H$6:$H$28,$P147),INDEX(PARAMETROS_CULTURAS!$L$6:$L$28,$P147),INDEX(PARAMETROS_CULTURAS!$L$6:$L$28,$P147)+(INDEX(PARAMETROS_CULTURAS!$M$6:$M$28,$P147)-INDEX(PARAMETROS_CULTURAS!$L$6:$L$28,$P147))*($O147-INDEX(PARAMETROS_CULTURAS!$F$6:$F$28,$P147)-INDEX(PARAMETROS_CULTURAS!$G$6:$G$28,$P147)-INDEX(PARAMETROS_CULTURAS!$H$6:$H$28,$P147))/MAX(INDEX(PARAMETROS_CULTURAS!$I$6:$I$28,$P147),0.0001)))))</f>
        <v>0</v>
      </c>
      <c r="S147" s="18" t="n">
        <f aca="false">IFERROR(INDEX(SEMANAS!$H$6:$H$71,MATCH($B147,SEMANAS!$B$6:$B$71,0)),0)</f>
        <v>34.3</v>
      </c>
      <c r="T147" s="18" t="n">
        <f aca="false">$R147*$S147</f>
        <v>0</v>
      </c>
      <c r="U147" s="18" t="n">
        <f aca="false">IFERROR(INDEX(SEMANAS!$I$6:$I$71,MATCH($B147,SEMANAS!$B$6:$B$71,0)),0)</f>
        <v>46.69</v>
      </c>
      <c r="V147" s="18" t="n">
        <f aca="false">IFERROR(INDEX(SEMANAS!$J$6:$J$71,MATCH($B147,SEMANAS!$B$6:$B$71,0)),0)</f>
        <v>37.352</v>
      </c>
      <c r="W147" s="18" t="n">
        <f aca="false">MAX(0,$T147-$V147)</f>
        <v>0</v>
      </c>
      <c r="X147" s="19" t="n">
        <f aca="false">IFERROR(INDEX(CADASTRO_PIVOS!$K$6:$K$41,MATCH($E147,CADASTRO_PIVOS!$B$6:$B$41,0)),EFICIENCIA_PADRAO)</f>
        <v>0.85</v>
      </c>
      <c r="Y147" s="18" t="n">
        <f aca="false">IF($X147&lt;=0,0,$W147/$X147)</f>
        <v>0</v>
      </c>
      <c r="Z147" s="16" t="n">
        <f aca="false">$Y147*$H147*MM_PARA_M3_HA</f>
        <v>0</v>
      </c>
      <c r="AA147" s="18" t="n">
        <f aca="false">IFERROR(INDEX(CADASTRO_PIVOS!$I$6:$I$41,MATCH($E147,CADASTRO_PIVOS!$B$6:$B$41,0)),0)</f>
        <v>714.714285714286</v>
      </c>
      <c r="AB147" s="18" t="n">
        <f aca="false">IF($Z147&lt;=0,0,$Z147/$AA147)</f>
        <v>0</v>
      </c>
      <c r="AC147" s="16" t="n">
        <f aca="false">IFERROR(INDEX(SEMANAS!$K$6:$K$71,MATCH($B147,SEMANAS!$B$6:$B$71,0)),0)</f>
        <v>147</v>
      </c>
      <c r="AD147" s="19" t="n">
        <f aca="false">IF($AC147&lt;=0,0,$AB147/$AC147)</f>
        <v>0</v>
      </c>
      <c r="AE147" s="8" t="str">
        <f aca="false">IF($K147="SEM CULTURA","SEM CULTURA",IF($AA147&lt;=0,"DADO PENDENTE",IF($AD147&gt;LIMITE_CRITICO,"INVIAVEL",IF($AD147&gt;LIMITE_ATENCAO,"CRITICO",IF($AD147&gt;LIMITE_CONFORTAVEL,"ATENCAO","OK")))))</f>
        <v>SEM CULTURA</v>
      </c>
      <c r="AF147" s="8" t="str">
        <f aca="false">$B147&amp;"|"&amp;TEXT($AD147,"0.000000")</f>
        <v>10|0.000000</v>
      </c>
      <c r="AG147" s="18" t="n">
        <f aca="false">IF($K147="SEM CULTURA",0,$T147*$H147)</f>
        <v>0</v>
      </c>
      <c r="AH147" s="18" t="n">
        <f aca="false">IF($K147="SEM CULTURA",0,$V147*$H147)</f>
        <v>0</v>
      </c>
      <c r="AI147" s="18" t="n">
        <f aca="false">IF($K147="SEM CULTURA",0,$W147*$H147)</f>
        <v>0</v>
      </c>
      <c r="AJ147" s="18" t="n">
        <f aca="false">IF($K147="SEM CULTURA",0,$S147*$H147)</f>
        <v>0</v>
      </c>
      <c r="AK147" s="8" t="str">
        <f aca="false">$E147&amp;"|"&amp;TEXT($AD147,"0.000000")</f>
        <v>PV 108|0.000000</v>
      </c>
    </row>
    <row r="148" customFormat="false" ht="15" hidden="false" customHeight="false" outlineLevel="0" collapsed="false">
      <c r="B148" s="16" t="n">
        <v>11</v>
      </c>
      <c r="C148" s="17" t="n">
        <f aca="false">DATA_INICIO_SAFRA+($B148-1)*DIAS_POR_SEMANA</f>
        <v>46335</v>
      </c>
      <c r="D148" s="17" t="n">
        <f aca="false">$C148+DIAS_POR_SEMANA-1</f>
        <v>46341</v>
      </c>
      <c r="E148" s="15" t="s">
        <v>261</v>
      </c>
      <c r="F148" s="8" t="str">
        <f aca="false">IFERROR(INDEX(CADASTRO_PIVOS!$C$6:$C$41,MATCH($E148,CADASTRO_PIVOS!$B$6:$B$41,0)),"?")</f>
        <v>RM02</v>
      </c>
      <c r="G148" s="8" t="str">
        <f aca="false">IFERROR(INDEX(CADASTRO_PIVOS!$D$6:$D$41,MATCH($E148,CADASTRO_PIVOS!$B$6:$B$41,0)),"?")</f>
        <v>TR02</v>
      </c>
      <c r="H148" s="20" t="n">
        <f aca="false">IFERROR(INDEX(CADASTRO_PIVOS!$E$6:$E$41,MATCH($E148,CADASTRO_PIVOS!$B$6:$B$41,0)),0)</f>
        <v>100.06</v>
      </c>
      <c r="I148" s="16" t="n">
        <f aca="false">IFERROR(SUMIFS(ROTACAO_RDM!$B$6:$B$71,ROTACAO_RDM!$D$6:$D$71,$E148,ROTACAO_RDM!$I$6:$I$71,"&lt;="&amp;$C148+INT(DIAS_POR_SEMANA/2),ROTACAO_RDM!$J$6:$J$71,"&gt;="&amp;$C148+INT(DIAS_POR_SEMANA/2)),0)</f>
        <v>0</v>
      </c>
      <c r="J148" s="16" t="n">
        <f aca="false">IFERROR(MATCH($I148,ROTACAO_RDM!$B$6:$B$71,0),0)</f>
        <v>0</v>
      </c>
      <c r="K148" s="8" t="str">
        <f aca="false">IF($J148=0,"SEM CULTURA",INDEX(ROTACAO_RDM!$F$6:$F$71,$J148))</f>
        <v>SEM CULTURA</v>
      </c>
      <c r="L148" s="8" t="str">
        <f aca="false">IF($J148=0,"",INDEX(ROTACAO_RDM!$G$6:$G$71,$J148))</f>
        <v/>
      </c>
      <c r="M148" s="17" t="str">
        <f aca="false">IF($J148=0,"",INDEX(ROTACAO_RDM!$I$6:$I$71,$J148))</f>
        <v/>
      </c>
      <c r="N148" s="16" t="n">
        <f aca="false">IF($J148=0,0,MAX(0,$C148+INT(DIAS_POR_SEMANA/2)-INDEX(ROTACAO_RDM!$I$6:$I$71,$J148)))</f>
        <v>0</v>
      </c>
      <c r="O148" s="19" t="n">
        <f aca="false">IF($J148=0,0,MIN(1,$N148/MAX(1,INDEX(ROTACAO_RDM!$K$6:$K$71,$J148))))</f>
        <v>0</v>
      </c>
      <c r="P148" s="16" t="n">
        <f aca="false">IF($J148=0,0,IFERROR(MATCH(INDEX(ROTACAO_RDM!$N$6:$N$71,$J148),PARAMETROS_CULTURAS!$B$6:$B$28,0),0))</f>
        <v>0</v>
      </c>
      <c r="Q148" s="8" t="str">
        <f aca="false">IF($P148=0,"-",IF($O148&lt;=INDEX(PARAMETROS_CULTURAS!$F$6:$F$28,$P148),"INICIAL",IF($O148&lt;=INDEX(PARAMETROS_CULTURAS!$F$6:$F$28,$P148)+INDEX(PARAMETROS_CULTURAS!$G$6:$G$28,$P148),"DESENVOLVIMENTO",IF($O148&lt;=INDEX(PARAMETROS_CULTURAS!$F$6:$F$28,$P148)+INDEX(PARAMETROS_CULTURAS!$G$6:$G$28,$P148)+INDEX(PARAMETROS_CULTURAS!$H$6:$H$28,$P148),"MEDIA","FINAL"))))</f>
        <v>-</v>
      </c>
      <c r="R148" s="24" t="n">
        <f aca="false">IF($P148=0,0,IF($O148&lt;=INDEX(PARAMETROS_CULTURAS!$F$6:$F$28,$P148),INDEX(PARAMETROS_CULTURAS!$K$6:$K$28,$P148),IF($O148&lt;=INDEX(PARAMETROS_CULTURAS!$F$6:$F$28,$P148)+INDEX(PARAMETROS_CULTURAS!$G$6:$G$28,$P148),INDEX(PARAMETROS_CULTURAS!$K$6:$K$28,$P148)+(INDEX(PARAMETROS_CULTURAS!$L$6:$L$28,$P148)-INDEX(PARAMETROS_CULTURAS!$K$6:$K$28,$P148))*($O148-INDEX(PARAMETROS_CULTURAS!$F$6:$F$28,$P148))/MAX(INDEX(PARAMETROS_CULTURAS!$G$6:$G$28,$P148),0.0001),IF($O148&lt;=INDEX(PARAMETROS_CULTURAS!$F$6:$F$28,$P148)+INDEX(PARAMETROS_CULTURAS!$G$6:$G$28,$P148)+INDEX(PARAMETROS_CULTURAS!$H$6:$H$28,$P148),INDEX(PARAMETROS_CULTURAS!$L$6:$L$28,$P148),INDEX(PARAMETROS_CULTURAS!$L$6:$L$28,$P148)+(INDEX(PARAMETROS_CULTURAS!$M$6:$M$28,$P148)-INDEX(PARAMETROS_CULTURAS!$L$6:$L$28,$P148))*($O148-INDEX(PARAMETROS_CULTURAS!$F$6:$F$28,$P148)-INDEX(PARAMETROS_CULTURAS!$G$6:$G$28,$P148)-INDEX(PARAMETROS_CULTURAS!$H$6:$H$28,$P148))/MAX(INDEX(PARAMETROS_CULTURAS!$I$6:$I$28,$P148),0.0001)))))</f>
        <v>0</v>
      </c>
      <c r="S148" s="18" t="n">
        <f aca="false">IFERROR(INDEX(SEMANAS!$H$6:$H$71,MATCH($B148,SEMANAS!$B$6:$B$71,0)),0)</f>
        <v>34.3</v>
      </c>
      <c r="T148" s="18" t="n">
        <f aca="false">$R148*$S148</f>
        <v>0</v>
      </c>
      <c r="U148" s="18" t="n">
        <f aca="false">IFERROR(INDEX(SEMANAS!$I$6:$I$71,MATCH($B148,SEMANAS!$B$6:$B$71,0)),0)</f>
        <v>46.69</v>
      </c>
      <c r="V148" s="18" t="n">
        <f aca="false">IFERROR(INDEX(SEMANAS!$J$6:$J$71,MATCH($B148,SEMANAS!$B$6:$B$71,0)),0)</f>
        <v>37.352</v>
      </c>
      <c r="W148" s="18" t="n">
        <f aca="false">MAX(0,$T148-$V148)</f>
        <v>0</v>
      </c>
      <c r="X148" s="19" t="n">
        <f aca="false">IFERROR(INDEX(CADASTRO_PIVOS!$K$6:$K$41,MATCH($E148,CADASTRO_PIVOS!$B$6:$B$41,0)),EFICIENCIA_PADRAO)</f>
        <v>0.85</v>
      </c>
      <c r="Y148" s="18" t="n">
        <f aca="false">IF($X148&lt;=0,0,$W148/$X148)</f>
        <v>0</v>
      </c>
      <c r="Z148" s="16" t="n">
        <f aca="false">$Y148*$H148*MM_PARA_M3_HA</f>
        <v>0</v>
      </c>
      <c r="AA148" s="18" t="n">
        <f aca="false">IFERROR(INDEX(CADASTRO_PIVOS!$I$6:$I$41,MATCH($E148,CADASTRO_PIVOS!$B$6:$B$41,0)),0)</f>
        <v>714.714285714286</v>
      </c>
      <c r="AB148" s="18" t="n">
        <f aca="false">IF($Z148&lt;=0,0,$Z148/$AA148)</f>
        <v>0</v>
      </c>
      <c r="AC148" s="16" t="n">
        <f aca="false">IFERROR(INDEX(SEMANAS!$K$6:$K$71,MATCH($B148,SEMANAS!$B$6:$B$71,0)),0)</f>
        <v>147</v>
      </c>
      <c r="AD148" s="19" t="n">
        <f aca="false">IF($AC148&lt;=0,0,$AB148/$AC148)</f>
        <v>0</v>
      </c>
      <c r="AE148" s="8" t="str">
        <f aca="false">IF($K148="SEM CULTURA","SEM CULTURA",IF($AA148&lt;=0,"DADO PENDENTE",IF($AD148&gt;LIMITE_CRITICO,"INVIAVEL",IF($AD148&gt;LIMITE_ATENCAO,"CRITICO",IF($AD148&gt;LIMITE_CONFORTAVEL,"ATENCAO","OK")))))</f>
        <v>SEM CULTURA</v>
      </c>
      <c r="AF148" s="8" t="str">
        <f aca="false">$B148&amp;"|"&amp;TEXT($AD148,"0.000000")</f>
        <v>11|0.000000</v>
      </c>
      <c r="AG148" s="18" t="n">
        <f aca="false">IF($K148="SEM CULTURA",0,$T148*$H148)</f>
        <v>0</v>
      </c>
      <c r="AH148" s="18" t="n">
        <f aca="false">IF($K148="SEM CULTURA",0,$V148*$H148)</f>
        <v>0</v>
      </c>
      <c r="AI148" s="18" t="n">
        <f aca="false">IF($K148="SEM CULTURA",0,$W148*$H148)</f>
        <v>0</v>
      </c>
      <c r="AJ148" s="18" t="n">
        <f aca="false">IF($K148="SEM CULTURA",0,$S148*$H148)</f>
        <v>0</v>
      </c>
      <c r="AK148" s="8" t="str">
        <f aca="false">$E148&amp;"|"&amp;TEXT($AD148,"0.000000")</f>
        <v>PV 108|0.000000</v>
      </c>
    </row>
    <row r="149" customFormat="false" ht="15" hidden="false" customHeight="false" outlineLevel="0" collapsed="false">
      <c r="B149" s="16" t="n">
        <v>12</v>
      </c>
      <c r="C149" s="17" t="n">
        <f aca="false">DATA_INICIO_SAFRA+($B149-1)*DIAS_POR_SEMANA</f>
        <v>46342</v>
      </c>
      <c r="D149" s="17" t="n">
        <f aca="false">$C149+DIAS_POR_SEMANA-1</f>
        <v>46348</v>
      </c>
      <c r="E149" s="15" t="s">
        <v>261</v>
      </c>
      <c r="F149" s="8" t="str">
        <f aca="false">IFERROR(INDEX(CADASTRO_PIVOS!$C$6:$C$41,MATCH($E149,CADASTRO_PIVOS!$B$6:$B$41,0)),"?")</f>
        <v>RM02</v>
      </c>
      <c r="G149" s="8" t="str">
        <f aca="false">IFERROR(INDEX(CADASTRO_PIVOS!$D$6:$D$41,MATCH($E149,CADASTRO_PIVOS!$B$6:$B$41,0)),"?")</f>
        <v>TR02</v>
      </c>
      <c r="H149" s="20" t="n">
        <f aca="false">IFERROR(INDEX(CADASTRO_PIVOS!$E$6:$E$41,MATCH($E149,CADASTRO_PIVOS!$B$6:$B$41,0)),0)</f>
        <v>100.06</v>
      </c>
      <c r="I149" s="16" t="n">
        <f aca="false">IFERROR(SUMIFS(ROTACAO_RDM!$B$6:$B$71,ROTACAO_RDM!$D$6:$D$71,$E149,ROTACAO_RDM!$I$6:$I$71,"&lt;="&amp;$C149+INT(DIAS_POR_SEMANA/2),ROTACAO_RDM!$J$6:$J$71,"&gt;="&amp;$C149+INT(DIAS_POR_SEMANA/2)),0)</f>
        <v>0</v>
      </c>
      <c r="J149" s="16" t="n">
        <f aca="false">IFERROR(MATCH($I149,ROTACAO_RDM!$B$6:$B$71,0),0)</f>
        <v>0</v>
      </c>
      <c r="K149" s="8" t="str">
        <f aca="false">IF($J149=0,"SEM CULTURA",INDEX(ROTACAO_RDM!$F$6:$F$71,$J149))</f>
        <v>SEM CULTURA</v>
      </c>
      <c r="L149" s="8" t="str">
        <f aca="false">IF($J149=0,"",INDEX(ROTACAO_RDM!$G$6:$G$71,$J149))</f>
        <v/>
      </c>
      <c r="M149" s="17" t="str">
        <f aca="false">IF($J149=0,"",INDEX(ROTACAO_RDM!$I$6:$I$71,$J149))</f>
        <v/>
      </c>
      <c r="N149" s="16" t="n">
        <f aca="false">IF($J149=0,0,MAX(0,$C149+INT(DIAS_POR_SEMANA/2)-INDEX(ROTACAO_RDM!$I$6:$I$71,$J149)))</f>
        <v>0</v>
      </c>
      <c r="O149" s="19" t="n">
        <f aca="false">IF($J149=0,0,MIN(1,$N149/MAX(1,INDEX(ROTACAO_RDM!$K$6:$K$71,$J149))))</f>
        <v>0</v>
      </c>
      <c r="P149" s="16" t="n">
        <f aca="false">IF($J149=0,0,IFERROR(MATCH(INDEX(ROTACAO_RDM!$N$6:$N$71,$J149),PARAMETROS_CULTURAS!$B$6:$B$28,0),0))</f>
        <v>0</v>
      </c>
      <c r="Q149" s="8" t="str">
        <f aca="false">IF($P149=0,"-",IF($O149&lt;=INDEX(PARAMETROS_CULTURAS!$F$6:$F$28,$P149),"INICIAL",IF($O149&lt;=INDEX(PARAMETROS_CULTURAS!$F$6:$F$28,$P149)+INDEX(PARAMETROS_CULTURAS!$G$6:$G$28,$P149),"DESENVOLVIMENTO",IF($O149&lt;=INDEX(PARAMETROS_CULTURAS!$F$6:$F$28,$P149)+INDEX(PARAMETROS_CULTURAS!$G$6:$G$28,$P149)+INDEX(PARAMETROS_CULTURAS!$H$6:$H$28,$P149),"MEDIA","FINAL"))))</f>
        <v>-</v>
      </c>
      <c r="R149" s="24" t="n">
        <f aca="false">IF($P149=0,0,IF($O149&lt;=INDEX(PARAMETROS_CULTURAS!$F$6:$F$28,$P149),INDEX(PARAMETROS_CULTURAS!$K$6:$K$28,$P149),IF($O149&lt;=INDEX(PARAMETROS_CULTURAS!$F$6:$F$28,$P149)+INDEX(PARAMETROS_CULTURAS!$G$6:$G$28,$P149),INDEX(PARAMETROS_CULTURAS!$K$6:$K$28,$P149)+(INDEX(PARAMETROS_CULTURAS!$L$6:$L$28,$P149)-INDEX(PARAMETROS_CULTURAS!$K$6:$K$28,$P149))*($O149-INDEX(PARAMETROS_CULTURAS!$F$6:$F$28,$P149))/MAX(INDEX(PARAMETROS_CULTURAS!$G$6:$G$28,$P149),0.0001),IF($O149&lt;=INDEX(PARAMETROS_CULTURAS!$F$6:$F$28,$P149)+INDEX(PARAMETROS_CULTURAS!$G$6:$G$28,$P149)+INDEX(PARAMETROS_CULTURAS!$H$6:$H$28,$P149),INDEX(PARAMETROS_CULTURAS!$L$6:$L$28,$P149),INDEX(PARAMETROS_CULTURAS!$L$6:$L$28,$P149)+(INDEX(PARAMETROS_CULTURAS!$M$6:$M$28,$P149)-INDEX(PARAMETROS_CULTURAS!$L$6:$L$28,$P149))*($O149-INDEX(PARAMETROS_CULTURAS!$F$6:$F$28,$P149)-INDEX(PARAMETROS_CULTURAS!$G$6:$G$28,$P149)-INDEX(PARAMETROS_CULTURAS!$H$6:$H$28,$P149))/MAX(INDEX(PARAMETROS_CULTURAS!$I$6:$I$28,$P149),0.0001)))))</f>
        <v>0</v>
      </c>
      <c r="S149" s="18" t="n">
        <f aca="false">IFERROR(INDEX(SEMANAS!$H$6:$H$71,MATCH($B149,SEMANAS!$B$6:$B$71,0)),0)</f>
        <v>34.3</v>
      </c>
      <c r="T149" s="18" t="n">
        <f aca="false">$R149*$S149</f>
        <v>0</v>
      </c>
      <c r="U149" s="18" t="n">
        <f aca="false">IFERROR(INDEX(SEMANAS!$I$6:$I$71,MATCH($B149,SEMANAS!$B$6:$B$71,0)),0)</f>
        <v>46.69</v>
      </c>
      <c r="V149" s="18" t="n">
        <f aca="false">IFERROR(INDEX(SEMANAS!$J$6:$J$71,MATCH($B149,SEMANAS!$B$6:$B$71,0)),0)</f>
        <v>37.352</v>
      </c>
      <c r="W149" s="18" t="n">
        <f aca="false">MAX(0,$T149-$V149)</f>
        <v>0</v>
      </c>
      <c r="X149" s="19" t="n">
        <f aca="false">IFERROR(INDEX(CADASTRO_PIVOS!$K$6:$K$41,MATCH($E149,CADASTRO_PIVOS!$B$6:$B$41,0)),EFICIENCIA_PADRAO)</f>
        <v>0.85</v>
      </c>
      <c r="Y149" s="18" t="n">
        <f aca="false">IF($X149&lt;=0,0,$W149/$X149)</f>
        <v>0</v>
      </c>
      <c r="Z149" s="16" t="n">
        <f aca="false">$Y149*$H149*MM_PARA_M3_HA</f>
        <v>0</v>
      </c>
      <c r="AA149" s="18" t="n">
        <f aca="false">IFERROR(INDEX(CADASTRO_PIVOS!$I$6:$I$41,MATCH($E149,CADASTRO_PIVOS!$B$6:$B$41,0)),0)</f>
        <v>714.714285714286</v>
      </c>
      <c r="AB149" s="18" t="n">
        <f aca="false">IF($Z149&lt;=0,0,$Z149/$AA149)</f>
        <v>0</v>
      </c>
      <c r="AC149" s="16" t="n">
        <f aca="false">IFERROR(INDEX(SEMANAS!$K$6:$K$71,MATCH($B149,SEMANAS!$B$6:$B$71,0)),0)</f>
        <v>147</v>
      </c>
      <c r="AD149" s="19" t="n">
        <f aca="false">IF($AC149&lt;=0,0,$AB149/$AC149)</f>
        <v>0</v>
      </c>
      <c r="AE149" s="8" t="str">
        <f aca="false">IF($K149="SEM CULTURA","SEM CULTURA",IF($AA149&lt;=0,"DADO PENDENTE",IF($AD149&gt;LIMITE_CRITICO,"INVIAVEL",IF($AD149&gt;LIMITE_ATENCAO,"CRITICO",IF($AD149&gt;LIMITE_CONFORTAVEL,"ATENCAO","OK")))))</f>
        <v>SEM CULTURA</v>
      </c>
      <c r="AF149" s="8" t="str">
        <f aca="false">$B149&amp;"|"&amp;TEXT($AD149,"0.000000")</f>
        <v>12|0.000000</v>
      </c>
      <c r="AG149" s="18" t="n">
        <f aca="false">IF($K149="SEM CULTURA",0,$T149*$H149)</f>
        <v>0</v>
      </c>
      <c r="AH149" s="18" t="n">
        <f aca="false">IF($K149="SEM CULTURA",0,$V149*$H149)</f>
        <v>0</v>
      </c>
      <c r="AI149" s="18" t="n">
        <f aca="false">IF($K149="SEM CULTURA",0,$W149*$H149)</f>
        <v>0</v>
      </c>
      <c r="AJ149" s="18" t="n">
        <f aca="false">IF($K149="SEM CULTURA",0,$S149*$H149)</f>
        <v>0</v>
      </c>
      <c r="AK149" s="8" t="str">
        <f aca="false">$E149&amp;"|"&amp;TEXT($AD149,"0.000000")</f>
        <v>PV 108|0.000000</v>
      </c>
    </row>
    <row r="150" customFormat="false" ht="15" hidden="false" customHeight="false" outlineLevel="0" collapsed="false">
      <c r="B150" s="16" t="n">
        <v>13</v>
      </c>
      <c r="C150" s="17" t="n">
        <f aca="false">DATA_INICIO_SAFRA+($B150-1)*DIAS_POR_SEMANA</f>
        <v>46349</v>
      </c>
      <c r="D150" s="17" t="n">
        <f aca="false">$C150+DIAS_POR_SEMANA-1</f>
        <v>46355</v>
      </c>
      <c r="E150" s="15" t="s">
        <v>261</v>
      </c>
      <c r="F150" s="8" t="str">
        <f aca="false">IFERROR(INDEX(CADASTRO_PIVOS!$C$6:$C$41,MATCH($E150,CADASTRO_PIVOS!$B$6:$B$41,0)),"?")</f>
        <v>RM02</v>
      </c>
      <c r="G150" s="8" t="str">
        <f aca="false">IFERROR(INDEX(CADASTRO_PIVOS!$D$6:$D$41,MATCH($E150,CADASTRO_PIVOS!$B$6:$B$41,0)),"?")</f>
        <v>TR02</v>
      </c>
      <c r="H150" s="20" t="n">
        <f aca="false">IFERROR(INDEX(CADASTRO_PIVOS!$E$6:$E$41,MATCH($E150,CADASTRO_PIVOS!$B$6:$B$41,0)),0)</f>
        <v>100.06</v>
      </c>
      <c r="I150" s="16" t="n">
        <f aca="false">IFERROR(SUMIFS(ROTACAO_RDM!$B$6:$B$71,ROTACAO_RDM!$D$6:$D$71,$E150,ROTACAO_RDM!$I$6:$I$71,"&lt;="&amp;$C150+INT(DIAS_POR_SEMANA/2),ROTACAO_RDM!$J$6:$J$71,"&gt;="&amp;$C150+INT(DIAS_POR_SEMANA/2)),0)</f>
        <v>0</v>
      </c>
      <c r="J150" s="16" t="n">
        <f aca="false">IFERROR(MATCH($I150,ROTACAO_RDM!$B$6:$B$71,0),0)</f>
        <v>0</v>
      </c>
      <c r="K150" s="8" t="str">
        <f aca="false">IF($J150=0,"SEM CULTURA",INDEX(ROTACAO_RDM!$F$6:$F$71,$J150))</f>
        <v>SEM CULTURA</v>
      </c>
      <c r="L150" s="8" t="str">
        <f aca="false">IF($J150=0,"",INDEX(ROTACAO_RDM!$G$6:$G$71,$J150))</f>
        <v/>
      </c>
      <c r="M150" s="17" t="str">
        <f aca="false">IF($J150=0,"",INDEX(ROTACAO_RDM!$I$6:$I$71,$J150))</f>
        <v/>
      </c>
      <c r="N150" s="16" t="n">
        <f aca="false">IF($J150=0,0,MAX(0,$C150+INT(DIAS_POR_SEMANA/2)-INDEX(ROTACAO_RDM!$I$6:$I$71,$J150)))</f>
        <v>0</v>
      </c>
      <c r="O150" s="19" t="n">
        <f aca="false">IF($J150=0,0,MIN(1,$N150/MAX(1,INDEX(ROTACAO_RDM!$K$6:$K$71,$J150))))</f>
        <v>0</v>
      </c>
      <c r="P150" s="16" t="n">
        <f aca="false">IF($J150=0,0,IFERROR(MATCH(INDEX(ROTACAO_RDM!$N$6:$N$71,$J150),PARAMETROS_CULTURAS!$B$6:$B$28,0),0))</f>
        <v>0</v>
      </c>
      <c r="Q150" s="8" t="str">
        <f aca="false">IF($P150=0,"-",IF($O150&lt;=INDEX(PARAMETROS_CULTURAS!$F$6:$F$28,$P150),"INICIAL",IF($O150&lt;=INDEX(PARAMETROS_CULTURAS!$F$6:$F$28,$P150)+INDEX(PARAMETROS_CULTURAS!$G$6:$G$28,$P150),"DESENVOLVIMENTO",IF($O150&lt;=INDEX(PARAMETROS_CULTURAS!$F$6:$F$28,$P150)+INDEX(PARAMETROS_CULTURAS!$G$6:$G$28,$P150)+INDEX(PARAMETROS_CULTURAS!$H$6:$H$28,$P150),"MEDIA","FINAL"))))</f>
        <v>-</v>
      </c>
      <c r="R150" s="24" t="n">
        <f aca="false">IF($P150=0,0,IF($O150&lt;=INDEX(PARAMETROS_CULTURAS!$F$6:$F$28,$P150),INDEX(PARAMETROS_CULTURAS!$K$6:$K$28,$P150),IF($O150&lt;=INDEX(PARAMETROS_CULTURAS!$F$6:$F$28,$P150)+INDEX(PARAMETROS_CULTURAS!$G$6:$G$28,$P150),INDEX(PARAMETROS_CULTURAS!$K$6:$K$28,$P150)+(INDEX(PARAMETROS_CULTURAS!$L$6:$L$28,$P150)-INDEX(PARAMETROS_CULTURAS!$K$6:$K$28,$P150))*($O150-INDEX(PARAMETROS_CULTURAS!$F$6:$F$28,$P150))/MAX(INDEX(PARAMETROS_CULTURAS!$G$6:$G$28,$P150),0.0001),IF($O150&lt;=INDEX(PARAMETROS_CULTURAS!$F$6:$F$28,$P150)+INDEX(PARAMETROS_CULTURAS!$G$6:$G$28,$P150)+INDEX(PARAMETROS_CULTURAS!$H$6:$H$28,$P150),INDEX(PARAMETROS_CULTURAS!$L$6:$L$28,$P150),INDEX(PARAMETROS_CULTURAS!$L$6:$L$28,$P150)+(INDEX(PARAMETROS_CULTURAS!$M$6:$M$28,$P150)-INDEX(PARAMETROS_CULTURAS!$L$6:$L$28,$P150))*($O150-INDEX(PARAMETROS_CULTURAS!$F$6:$F$28,$P150)-INDEX(PARAMETROS_CULTURAS!$G$6:$G$28,$P150)-INDEX(PARAMETROS_CULTURAS!$H$6:$H$28,$P150))/MAX(INDEX(PARAMETROS_CULTURAS!$I$6:$I$28,$P150),0.0001)))))</f>
        <v>0</v>
      </c>
      <c r="S150" s="18" t="n">
        <f aca="false">IFERROR(INDEX(SEMANAS!$H$6:$H$71,MATCH($B150,SEMANAS!$B$6:$B$71,0)),0)</f>
        <v>34.3</v>
      </c>
      <c r="T150" s="18" t="n">
        <f aca="false">$R150*$S150</f>
        <v>0</v>
      </c>
      <c r="U150" s="18" t="n">
        <f aca="false">IFERROR(INDEX(SEMANAS!$I$6:$I$71,MATCH($B150,SEMANAS!$B$6:$B$71,0)),0)</f>
        <v>46.69</v>
      </c>
      <c r="V150" s="18" t="n">
        <f aca="false">IFERROR(INDEX(SEMANAS!$J$6:$J$71,MATCH($B150,SEMANAS!$B$6:$B$71,0)),0)</f>
        <v>37.352</v>
      </c>
      <c r="W150" s="18" t="n">
        <f aca="false">MAX(0,$T150-$V150)</f>
        <v>0</v>
      </c>
      <c r="X150" s="19" t="n">
        <f aca="false">IFERROR(INDEX(CADASTRO_PIVOS!$K$6:$K$41,MATCH($E150,CADASTRO_PIVOS!$B$6:$B$41,0)),EFICIENCIA_PADRAO)</f>
        <v>0.85</v>
      </c>
      <c r="Y150" s="18" t="n">
        <f aca="false">IF($X150&lt;=0,0,$W150/$X150)</f>
        <v>0</v>
      </c>
      <c r="Z150" s="16" t="n">
        <f aca="false">$Y150*$H150*MM_PARA_M3_HA</f>
        <v>0</v>
      </c>
      <c r="AA150" s="18" t="n">
        <f aca="false">IFERROR(INDEX(CADASTRO_PIVOS!$I$6:$I$41,MATCH($E150,CADASTRO_PIVOS!$B$6:$B$41,0)),0)</f>
        <v>714.714285714286</v>
      </c>
      <c r="AB150" s="18" t="n">
        <f aca="false">IF($Z150&lt;=0,0,$Z150/$AA150)</f>
        <v>0</v>
      </c>
      <c r="AC150" s="16" t="n">
        <f aca="false">IFERROR(INDEX(SEMANAS!$K$6:$K$71,MATCH($B150,SEMANAS!$B$6:$B$71,0)),0)</f>
        <v>147</v>
      </c>
      <c r="AD150" s="19" t="n">
        <f aca="false">IF($AC150&lt;=0,0,$AB150/$AC150)</f>
        <v>0</v>
      </c>
      <c r="AE150" s="8" t="str">
        <f aca="false">IF($K150="SEM CULTURA","SEM CULTURA",IF($AA150&lt;=0,"DADO PENDENTE",IF($AD150&gt;LIMITE_CRITICO,"INVIAVEL",IF($AD150&gt;LIMITE_ATENCAO,"CRITICO",IF($AD150&gt;LIMITE_CONFORTAVEL,"ATENCAO","OK")))))</f>
        <v>SEM CULTURA</v>
      </c>
      <c r="AF150" s="8" t="str">
        <f aca="false">$B150&amp;"|"&amp;TEXT($AD150,"0.000000")</f>
        <v>13|0.000000</v>
      </c>
      <c r="AG150" s="18" t="n">
        <f aca="false">IF($K150="SEM CULTURA",0,$T150*$H150)</f>
        <v>0</v>
      </c>
      <c r="AH150" s="18" t="n">
        <f aca="false">IF($K150="SEM CULTURA",0,$V150*$H150)</f>
        <v>0</v>
      </c>
      <c r="AI150" s="18" t="n">
        <f aca="false">IF($K150="SEM CULTURA",0,$W150*$H150)</f>
        <v>0</v>
      </c>
      <c r="AJ150" s="18" t="n">
        <f aca="false">IF($K150="SEM CULTURA",0,$S150*$H150)</f>
        <v>0</v>
      </c>
      <c r="AK150" s="8" t="str">
        <f aca="false">$E150&amp;"|"&amp;TEXT($AD150,"0.000000")</f>
        <v>PV 108|0.000000</v>
      </c>
    </row>
    <row r="151" customFormat="false" ht="15" hidden="false" customHeight="false" outlineLevel="0" collapsed="false">
      <c r="B151" s="16" t="n">
        <v>14</v>
      </c>
      <c r="C151" s="17" t="n">
        <f aca="false">DATA_INICIO_SAFRA+($B151-1)*DIAS_POR_SEMANA</f>
        <v>46356</v>
      </c>
      <c r="D151" s="17" t="n">
        <f aca="false">$C151+DIAS_POR_SEMANA-1</f>
        <v>46362</v>
      </c>
      <c r="E151" s="15" t="s">
        <v>261</v>
      </c>
      <c r="F151" s="8" t="str">
        <f aca="false">IFERROR(INDEX(CADASTRO_PIVOS!$C$6:$C$41,MATCH($E151,CADASTRO_PIVOS!$B$6:$B$41,0)),"?")</f>
        <v>RM02</v>
      </c>
      <c r="G151" s="8" t="str">
        <f aca="false">IFERROR(INDEX(CADASTRO_PIVOS!$D$6:$D$41,MATCH($E151,CADASTRO_PIVOS!$B$6:$B$41,0)),"?")</f>
        <v>TR02</v>
      </c>
      <c r="H151" s="20" t="n">
        <f aca="false">IFERROR(INDEX(CADASTRO_PIVOS!$E$6:$E$41,MATCH($E151,CADASTRO_PIVOS!$B$6:$B$41,0)),0)</f>
        <v>100.06</v>
      </c>
      <c r="I151" s="16" t="n">
        <f aca="false">IFERROR(SUMIFS(ROTACAO_RDM!$B$6:$B$71,ROTACAO_RDM!$D$6:$D$71,$E151,ROTACAO_RDM!$I$6:$I$71,"&lt;="&amp;$C151+INT(DIAS_POR_SEMANA/2),ROTACAO_RDM!$J$6:$J$71,"&gt;="&amp;$C151+INT(DIAS_POR_SEMANA/2)),0)</f>
        <v>0</v>
      </c>
      <c r="J151" s="16" t="n">
        <f aca="false">IFERROR(MATCH($I151,ROTACAO_RDM!$B$6:$B$71,0),0)</f>
        <v>0</v>
      </c>
      <c r="K151" s="8" t="str">
        <f aca="false">IF($J151=0,"SEM CULTURA",INDEX(ROTACAO_RDM!$F$6:$F$71,$J151))</f>
        <v>SEM CULTURA</v>
      </c>
      <c r="L151" s="8" t="str">
        <f aca="false">IF($J151=0,"",INDEX(ROTACAO_RDM!$G$6:$G$71,$J151))</f>
        <v/>
      </c>
      <c r="M151" s="17" t="str">
        <f aca="false">IF($J151=0,"",INDEX(ROTACAO_RDM!$I$6:$I$71,$J151))</f>
        <v/>
      </c>
      <c r="N151" s="16" t="n">
        <f aca="false">IF($J151=0,0,MAX(0,$C151+INT(DIAS_POR_SEMANA/2)-INDEX(ROTACAO_RDM!$I$6:$I$71,$J151)))</f>
        <v>0</v>
      </c>
      <c r="O151" s="19" t="n">
        <f aca="false">IF($J151=0,0,MIN(1,$N151/MAX(1,INDEX(ROTACAO_RDM!$K$6:$K$71,$J151))))</f>
        <v>0</v>
      </c>
      <c r="P151" s="16" t="n">
        <f aca="false">IF($J151=0,0,IFERROR(MATCH(INDEX(ROTACAO_RDM!$N$6:$N$71,$J151),PARAMETROS_CULTURAS!$B$6:$B$28,0),0))</f>
        <v>0</v>
      </c>
      <c r="Q151" s="8" t="str">
        <f aca="false">IF($P151=0,"-",IF($O151&lt;=INDEX(PARAMETROS_CULTURAS!$F$6:$F$28,$P151),"INICIAL",IF($O151&lt;=INDEX(PARAMETROS_CULTURAS!$F$6:$F$28,$P151)+INDEX(PARAMETROS_CULTURAS!$G$6:$G$28,$P151),"DESENVOLVIMENTO",IF($O151&lt;=INDEX(PARAMETROS_CULTURAS!$F$6:$F$28,$P151)+INDEX(PARAMETROS_CULTURAS!$G$6:$G$28,$P151)+INDEX(PARAMETROS_CULTURAS!$H$6:$H$28,$P151),"MEDIA","FINAL"))))</f>
        <v>-</v>
      </c>
      <c r="R151" s="24" t="n">
        <f aca="false">IF($P151=0,0,IF($O151&lt;=INDEX(PARAMETROS_CULTURAS!$F$6:$F$28,$P151),INDEX(PARAMETROS_CULTURAS!$K$6:$K$28,$P151),IF($O151&lt;=INDEX(PARAMETROS_CULTURAS!$F$6:$F$28,$P151)+INDEX(PARAMETROS_CULTURAS!$G$6:$G$28,$P151),INDEX(PARAMETROS_CULTURAS!$K$6:$K$28,$P151)+(INDEX(PARAMETROS_CULTURAS!$L$6:$L$28,$P151)-INDEX(PARAMETROS_CULTURAS!$K$6:$K$28,$P151))*($O151-INDEX(PARAMETROS_CULTURAS!$F$6:$F$28,$P151))/MAX(INDEX(PARAMETROS_CULTURAS!$G$6:$G$28,$P151),0.0001),IF($O151&lt;=INDEX(PARAMETROS_CULTURAS!$F$6:$F$28,$P151)+INDEX(PARAMETROS_CULTURAS!$G$6:$G$28,$P151)+INDEX(PARAMETROS_CULTURAS!$H$6:$H$28,$P151),INDEX(PARAMETROS_CULTURAS!$L$6:$L$28,$P151),INDEX(PARAMETROS_CULTURAS!$L$6:$L$28,$P151)+(INDEX(PARAMETROS_CULTURAS!$M$6:$M$28,$P151)-INDEX(PARAMETROS_CULTURAS!$L$6:$L$28,$P151))*($O151-INDEX(PARAMETROS_CULTURAS!$F$6:$F$28,$P151)-INDEX(PARAMETROS_CULTURAS!$G$6:$G$28,$P151)-INDEX(PARAMETROS_CULTURAS!$H$6:$H$28,$P151))/MAX(INDEX(PARAMETROS_CULTURAS!$I$6:$I$28,$P151),0.0001)))))</f>
        <v>0</v>
      </c>
      <c r="S151" s="18" t="n">
        <f aca="false">IFERROR(INDEX(SEMANAS!$H$6:$H$71,MATCH($B151,SEMANAS!$B$6:$B$71,0)),0)</f>
        <v>33.1</v>
      </c>
      <c r="T151" s="18" t="n">
        <f aca="false">$R151*$S151</f>
        <v>0</v>
      </c>
      <c r="U151" s="18" t="n">
        <f aca="false">IFERROR(INDEX(SEMANAS!$I$6:$I$71,MATCH($B151,SEMANAS!$B$6:$B$71,0)),0)</f>
        <v>48.31</v>
      </c>
      <c r="V151" s="18" t="n">
        <f aca="false">IFERROR(INDEX(SEMANAS!$J$6:$J$71,MATCH($B151,SEMANAS!$B$6:$B$71,0)),0)</f>
        <v>38.648</v>
      </c>
      <c r="W151" s="18" t="n">
        <f aca="false">MAX(0,$T151-$V151)</f>
        <v>0</v>
      </c>
      <c r="X151" s="19" t="n">
        <f aca="false">IFERROR(INDEX(CADASTRO_PIVOS!$K$6:$K$41,MATCH($E151,CADASTRO_PIVOS!$B$6:$B$41,0)),EFICIENCIA_PADRAO)</f>
        <v>0.85</v>
      </c>
      <c r="Y151" s="18" t="n">
        <f aca="false">IF($X151&lt;=0,0,$W151/$X151)</f>
        <v>0</v>
      </c>
      <c r="Z151" s="16" t="n">
        <f aca="false">$Y151*$H151*MM_PARA_M3_HA</f>
        <v>0</v>
      </c>
      <c r="AA151" s="18" t="n">
        <f aca="false">IFERROR(INDEX(CADASTRO_PIVOS!$I$6:$I$41,MATCH($E151,CADASTRO_PIVOS!$B$6:$B$41,0)),0)</f>
        <v>714.714285714286</v>
      </c>
      <c r="AB151" s="18" t="n">
        <f aca="false">IF($Z151&lt;=0,0,$Z151/$AA151)</f>
        <v>0</v>
      </c>
      <c r="AC151" s="16" t="n">
        <f aca="false">IFERROR(INDEX(SEMANAS!$K$6:$K$71,MATCH($B151,SEMANAS!$B$6:$B$71,0)),0)</f>
        <v>147</v>
      </c>
      <c r="AD151" s="19" t="n">
        <f aca="false">IF($AC151&lt;=0,0,$AB151/$AC151)</f>
        <v>0</v>
      </c>
      <c r="AE151" s="8" t="str">
        <f aca="false">IF($K151="SEM CULTURA","SEM CULTURA",IF($AA151&lt;=0,"DADO PENDENTE",IF($AD151&gt;LIMITE_CRITICO,"INVIAVEL",IF($AD151&gt;LIMITE_ATENCAO,"CRITICO",IF($AD151&gt;LIMITE_CONFORTAVEL,"ATENCAO","OK")))))</f>
        <v>SEM CULTURA</v>
      </c>
      <c r="AF151" s="8" t="str">
        <f aca="false">$B151&amp;"|"&amp;TEXT($AD151,"0.000000")</f>
        <v>14|0.000000</v>
      </c>
      <c r="AG151" s="18" t="n">
        <f aca="false">IF($K151="SEM CULTURA",0,$T151*$H151)</f>
        <v>0</v>
      </c>
      <c r="AH151" s="18" t="n">
        <f aca="false">IF($K151="SEM CULTURA",0,$V151*$H151)</f>
        <v>0</v>
      </c>
      <c r="AI151" s="18" t="n">
        <f aca="false">IF($K151="SEM CULTURA",0,$W151*$H151)</f>
        <v>0</v>
      </c>
      <c r="AJ151" s="18" t="n">
        <f aca="false">IF($K151="SEM CULTURA",0,$S151*$H151)</f>
        <v>0</v>
      </c>
      <c r="AK151" s="8" t="str">
        <f aca="false">$E151&amp;"|"&amp;TEXT($AD151,"0.000000")</f>
        <v>PV 108|0.000000</v>
      </c>
    </row>
    <row r="152" customFormat="false" ht="15" hidden="false" customHeight="false" outlineLevel="0" collapsed="false">
      <c r="B152" s="16" t="n">
        <v>15</v>
      </c>
      <c r="C152" s="17" t="n">
        <f aca="false">DATA_INICIO_SAFRA+($B152-1)*DIAS_POR_SEMANA</f>
        <v>46363</v>
      </c>
      <c r="D152" s="17" t="n">
        <f aca="false">$C152+DIAS_POR_SEMANA-1</f>
        <v>46369</v>
      </c>
      <c r="E152" s="15" t="s">
        <v>261</v>
      </c>
      <c r="F152" s="8" t="str">
        <f aca="false">IFERROR(INDEX(CADASTRO_PIVOS!$C$6:$C$41,MATCH($E152,CADASTRO_PIVOS!$B$6:$B$41,0)),"?")</f>
        <v>RM02</v>
      </c>
      <c r="G152" s="8" t="str">
        <f aca="false">IFERROR(INDEX(CADASTRO_PIVOS!$D$6:$D$41,MATCH($E152,CADASTRO_PIVOS!$B$6:$B$41,0)),"?")</f>
        <v>TR02</v>
      </c>
      <c r="H152" s="20" t="n">
        <f aca="false">IFERROR(INDEX(CADASTRO_PIVOS!$E$6:$E$41,MATCH($E152,CADASTRO_PIVOS!$B$6:$B$41,0)),0)</f>
        <v>100.06</v>
      </c>
      <c r="I152" s="16" t="n">
        <f aca="false">IFERROR(SUMIFS(ROTACAO_RDM!$B$6:$B$71,ROTACAO_RDM!$D$6:$D$71,$E152,ROTACAO_RDM!$I$6:$I$71,"&lt;="&amp;$C152+INT(DIAS_POR_SEMANA/2),ROTACAO_RDM!$J$6:$J$71,"&gt;="&amp;$C152+INT(DIAS_POR_SEMANA/2)),0)</f>
        <v>14</v>
      </c>
      <c r="J152" s="16" t="n">
        <f aca="false">IFERROR(MATCH($I152,ROTACAO_RDM!$B$6:$B$71,0),0)</f>
        <v>14</v>
      </c>
      <c r="K152" s="8" t="str">
        <f aca="false">IF($J152=0,"SEM CULTURA",INDEX(ROTACAO_RDM!$F$6:$F$71,$J152))</f>
        <v>ALGODAO</v>
      </c>
      <c r="L152" s="8" t="str">
        <f aca="false">IF($J152=0,"",INDEX(ROTACAO_RDM!$G$6:$G$71,$J152))</f>
        <v>FM 933 STP</v>
      </c>
      <c r="M152" s="17" t="n">
        <f aca="false">IF($J152=0,"",INDEX(ROTACAO_RDM!$I$6:$I$71,$J152))</f>
        <v>46360</v>
      </c>
      <c r="N152" s="16" t="n">
        <f aca="false">IF($J152=0,0,MAX(0,$C152+INT(DIAS_POR_SEMANA/2)-INDEX(ROTACAO_RDM!$I$6:$I$71,$J152)))</f>
        <v>6</v>
      </c>
      <c r="O152" s="19" t="n">
        <f aca="false">IF($J152=0,0,MIN(1,$N152/MAX(1,INDEX(ROTACAO_RDM!$K$6:$K$71,$J152))))</f>
        <v>0.0307692307692308</v>
      </c>
      <c r="P152" s="16" t="n">
        <f aca="false">IF($J152=0,0,IFERROR(MATCH(INDEX(ROTACAO_RDM!$N$6:$N$71,$J152),PARAMETROS_CULTURAS!$B$6:$B$28,0),0))</f>
        <v>5</v>
      </c>
      <c r="Q152" s="8" t="str">
        <f aca="false">IF($P152=0,"-",IF($O152&lt;=INDEX(PARAMETROS_CULTURAS!$F$6:$F$28,$P152),"INICIAL",IF($O152&lt;=INDEX(PARAMETROS_CULTURAS!$F$6:$F$28,$P152)+INDEX(PARAMETROS_CULTURAS!$G$6:$G$28,$P152),"DESENVOLVIMENTO",IF($O152&lt;=INDEX(PARAMETROS_CULTURAS!$F$6:$F$28,$P152)+INDEX(PARAMETROS_CULTURAS!$G$6:$G$28,$P152)+INDEX(PARAMETROS_CULTURAS!$H$6:$H$28,$P152),"MEDIA","FINAL"))))</f>
        <v>INICIAL</v>
      </c>
      <c r="R152" s="24" t="n">
        <f aca="false">IF($P152=0,0,IF($O152&lt;=INDEX(PARAMETROS_CULTURAS!$F$6:$F$28,$P152),INDEX(PARAMETROS_CULTURAS!$K$6:$K$28,$P152),IF($O152&lt;=INDEX(PARAMETROS_CULTURAS!$F$6:$F$28,$P152)+INDEX(PARAMETROS_CULTURAS!$G$6:$G$28,$P152),INDEX(PARAMETROS_CULTURAS!$K$6:$K$28,$P152)+(INDEX(PARAMETROS_CULTURAS!$L$6:$L$28,$P152)-INDEX(PARAMETROS_CULTURAS!$K$6:$K$28,$P152))*($O152-INDEX(PARAMETROS_CULTURAS!$F$6:$F$28,$P152))/MAX(INDEX(PARAMETROS_CULTURAS!$G$6:$G$28,$P152),0.0001),IF($O152&lt;=INDEX(PARAMETROS_CULTURAS!$F$6:$F$28,$P152)+INDEX(PARAMETROS_CULTURAS!$G$6:$G$28,$P152)+INDEX(PARAMETROS_CULTURAS!$H$6:$H$28,$P152),INDEX(PARAMETROS_CULTURAS!$L$6:$L$28,$P152),INDEX(PARAMETROS_CULTURAS!$L$6:$L$28,$P152)+(INDEX(PARAMETROS_CULTURAS!$M$6:$M$28,$P152)-INDEX(PARAMETROS_CULTURAS!$L$6:$L$28,$P152))*($O152-INDEX(PARAMETROS_CULTURAS!$F$6:$F$28,$P152)-INDEX(PARAMETROS_CULTURAS!$G$6:$G$28,$P152)-INDEX(PARAMETROS_CULTURAS!$H$6:$H$28,$P152))/MAX(INDEX(PARAMETROS_CULTURAS!$I$6:$I$28,$P152),0.0001)))))</f>
        <v>0.35</v>
      </c>
      <c r="S152" s="18" t="n">
        <f aca="false">IFERROR(INDEX(SEMANAS!$H$6:$H$71,MATCH($B152,SEMANAS!$B$6:$B$71,0)),0)</f>
        <v>32.9</v>
      </c>
      <c r="T152" s="18" t="n">
        <f aca="false">$R152*$S152</f>
        <v>11.515</v>
      </c>
      <c r="U152" s="18" t="n">
        <f aca="false">IFERROR(INDEX(SEMANAS!$I$6:$I$71,MATCH($B152,SEMANAS!$B$6:$B$71,0)),0)</f>
        <v>48.58</v>
      </c>
      <c r="V152" s="18" t="n">
        <f aca="false">IFERROR(INDEX(SEMANAS!$J$6:$J$71,MATCH($B152,SEMANAS!$B$6:$B$71,0)),0)</f>
        <v>38.864</v>
      </c>
      <c r="W152" s="18" t="n">
        <f aca="false">MAX(0,$T152-$V152)</f>
        <v>0</v>
      </c>
      <c r="X152" s="19" t="n">
        <f aca="false">IFERROR(INDEX(CADASTRO_PIVOS!$K$6:$K$41,MATCH($E152,CADASTRO_PIVOS!$B$6:$B$41,0)),EFICIENCIA_PADRAO)</f>
        <v>0.85</v>
      </c>
      <c r="Y152" s="18" t="n">
        <f aca="false">IF($X152&lt;=0,0,$W152/$X152)</f>
        <v>0</v>
      </c>
      <c r="Z152" s="16" t="n">
        <f aca="false">$Y152*$H152*MM_PARA_M3_HA</f>
        <v>0</v>
      </c>
      <c r="AA152" s="18" t="n">
        <f aca="false">IFERROR(INDEX(CADASTRO_PIVOS!$I$6:$I$41,MATCH($E152,CADASTRO_PIVOS!$B$6:$B$41,0)),0)</f>
        <v>714.714285714286</v>
      </c>
      <c r="AB152" s="18" t="n">
        <f aca="false">IF($Z152&lt;=0,0,$Z152/$AA152)</f>
        <v>0</v>
      </c>
      <c r="AC152" s="16" t="n">
        <f aca="false">IFERROR(INDEX(SEMANAS!$K$6:$K$71,MATCH($B152,SEMANAS!$B$6:$B$71,0)),0)</f>
        <v>147</v>
      </c>
      <c r="AD152" s="19" t="n">
        <f aca="false">IF($AC152&lt;=0,0,$AB152/$AC152)</f>
        <v>0</v>
      </c>
      <c r="AE152" s="8" t="str">
        <f aca="false">IF($K152="SEM CULTURA","SEM CULTURA",IF($AA152&lt;=0,"DADO PENDENTE",IF($AD152&gt;LIMITE_CRITICO,"INVIAVEL",IF($AD152&gt;LIMITE_ATENCAO,"CRITICO",IF($AD152&gt;LIMITE_CONFORTAVEL,"ATENCAO","OK")))))</f>
        <v>OK</v>
      </c>
      <c r="AF152" s="8" t="str">
        <f aca="false">$B152&amp;"|"&amp;TEXT($AD152,"0.000000")</f>
        <v>15|0.000000</v>
      </c>
      <c r="AG152" s="18" t="n">
        <f aca="false">IF($K152="SEM CULTURA",0,$T152*$H152)</f>
        <v>1152.1909</v>
      </c>
      <c r="AH152" s="18" t="n">
        <f aca="false">IF($K152="SEM CULTURA",0,$V152*$H152)</f>
        <v>3888.73184</v>
      </c>
      <c r="AI152" s="18" t="n">
        <f aca="false">IF($K152="SEM CULTURA",0,$W152*$H152)</f>
        <v>0</v>
      </c>
      <c r="AJ152" s="18" t="n">
        <f aca="false">IF($K152="SEM CULTURA",0,$S152*$H152)</f>
        <v>3291.974</v>
      </c>
      <c r="AK152" s="8" t="str">
        <f aca="false">$E152&amp;"|"&amp;TEXT($AD152,"0.000000")</f>
        <v>PV 108|0.000000</v>
      </c>
    </row>
    <row r="153" customFormat="false" ht="15" hidden="false" customHeight="false" outlineLevel="0" collapsed="false">
      <c r="B153" s="16" t="n">
        <v>16</v>
      </c>
      <c r="C153" s="17" t="n">
        <f aca="false">DATA_INICIO_SAFRA+($B153-1)*DIAS_POR_SEMANA</f>
        <v>46370</v>
      </c>
      <c r="D153" s="17" t="n">
        <f aca="false">$C153+DIAS_POR_SEMANA-1</f>
        <v>46376</v>
      </c>
      <c r="E153" s="15" t="s">
        <v>261</v>
      </c>
      <c r="F153" s="8" t="str">
        <f aca="false">IFERROR(INDEX(CADASTRO_PIVOS!$C$6:$C$41,MATCH($E153,CADASTRO_PIVOS!$B$6:$B$41,0)),"?")</f>
        <v>RM02</v>
      </c>
      <c r="G153" s="8" t="str">
        <f aca="false">IFERROR(INDEX(CADASTRO_PIVOS!$D$6:$D$41,MATCH($E153,CADASTRO_PIVOS!$B$6:$B$41,0)),"?")</f>
        <v>TR02</v>
      </c>
      <c r="H153" s="20" t="n">
        <f aca="false">IFERROR(INDEX(CADASTRO_PIVOS!$E$6:$E$41,MATCH($E153,CADASTRO_PIVOS!$B$6:$B$41,0)),0)</f>
        <v>100.06</v>
      </c>
      <c r="I153" s="16" t="n">
        <f aca="false">IFERROR(SUMIFS(ROTACAO_RDM!$B$6:$B$71,ROTACAO_RDM!$D$6:$D$71,$E153,ROTACAO_RDM!$I$6:$I$71,"&lt;="&amp;$C153+INT(DIAS_POR_SEMANA/2),ROTACAO_RDM!$J$6:$J$71,"&gt;="&amp;$C153+INT(DIAS_POR_SEMANA/2)),0)</f>
        <v>14</v>
      </c>
      <c r="J153" s="16" t="n">
        <f aca="false">IFERROR(MATCH($I153,ROTACAO_RDM!$B$6:$B$71,0),0)</f>
        <v>14</v>
      </c>
      <c r="K153" s="8" t="str">
        <f aca="false">IF($J153=0,"SEM CULTURA",INDEX(ROTACAO_RDM!$F$6:$F$71,$J153))</f>
        <v>ALGODAO</v>
      </c>
      <c r="L153" s="8" t="str">
        <f aca="false">IF($J153=0,"",INDEX(ROTACAO_RDM!$G$6:$G$71,$J153))</f>
        <v>FM 933 STP</v>
      </c>
      <c r="M153" s="17" t="n">
        <f aca="false">IF($J153=0,"",INDEX(ROTACAO_RDM!$I$6:$I$71,$J153))</f>
        <v>46360</v>
      </c>
      <c r="N153" s="16" t="n">
        <f aca="false">IF($J153=0,0,MAX(0,$C153+INT(DIAS_POR_SEMANA/2)-INDEX(ROTACAO_RDM!$I$6:$I$71,$J153)))</f>
        <v>13</v>
      </c>
      <c r="O153" s="19" t="n">
        <f aca="false">IF($J153=0,0,MIN(1,$N153/MAX(1,INDEX(ROTACAO_RDM!$K$6:$K$71,$J153))))</f>
        <v>0.0666666666666667</v>
      </c>
      <c r="P153" s="16" t="n">
        <f aca="false">IF($J153=0,0,IFERROR(MATCH(INDEX(ROTACAO_RDM!$N$6:$N$71,$J153),PARAMETROS_CULTURAS!$B$6:$B$28,0),0))</f>
        <v>5</v>
      </c>
      <c r="Q153" s="8" t="str">
        <f aca="false">IF($P153=0,"-",IF($O153&lt;=INDEX(PARAMETROS_CULTURAS!$F$6:$F$28,$P153),"INICIAL",IF($O153&lt;=INDEX(PARAMETROS_CULTURAS!$F$6:$F$28,$P153)+INDEX(PARAMETROS_CULTURAS!$G$6:$G$28,$P153),"DESENVOLVIMENTO",IF($O153&lt;=INDEX(PARAMETROS_CULTURAS!$F$6:$F$28,$P153)+INDEX(PARAMETROS_CULTURAS!$G$6:$G$28,$P153)+INDEX(PARAMETROS_CULTURAS!$H$6:$H$28,$P153),"MEDIA","FINAL"))))</f>
        <v>INICIAL</v>
      </c>
      <c r="R153" s="24" t="n">
        <f aca="false">IF($P153=0,0,IF($O153&lt;=INDEX(PARAMETROS_CULTURAS!$F$6:$F$28,$P153),INDEX(PARAMETROS_CULTURAS!$K$6:$K$28,$P153),IF($O153&lt;=INDEX(PARAMETROS_CULTURAS!$F$6:$F$28,$P153)+INDEX(PARAMETROS_CULTURAS!$G$6:$G$28,$P153),INDEX(PARAMETROS_CULTURAS!$K$6:$K$28,$P153)+(INDEX(PARAMETROS_CULTURAS!$L$6:$L$28,$P153)-INDEX(PARAMETROS_CULTURAS!$K$6:$K$28,$P153))*($O153-INDEX(PARAMETROS_CULTURAS!$F$6:$F$28,$P153))/MAX(INDEX(PARAMETROS_CULTURAS!$G$6:$G$28,$P153),0.0001),IF($O153&lt;=INDEX(PARAMETROS_CULTURAS!$F$6:$F$28,$P153)+INDEX(PARAMETROS_CULTURAS!$G$6:$G$28,$P153)+INDEX(PARAMETROS_CULTURAS!$H$6:$H$28,$P153),INDEX(PARAMETROS_CULTURAS!$L$6:$L$28,$P153),INDEX(PARAMETROS_CULTURAS!$L$6:$L$28,$P153)+(INDEX(PARAMETROS_CULTURAS!$M$6:$M$28,$P153)-INDEX(PARAMETROS_CULTURAS!$L$6:$L$28,$P153))*($O153-INDEX(PARAMETROS_CULTURAS!$F$6:$F$28,$P153)-INDEX(PARAMETROS_CULTURAS!$G$6:$G$28,$P153)-INDEX(PARAMETROS_CULTURAS!$H$6:$H$28,$P153))/MAX(INDEX(PARAMETROS_CULTURAS!$I$6:$I$28,$P153),0.0001)))))</f>
        <v>0.35</v>
      </c>
      <c r="S153" s="18" t="n">
        <f aca="false">IFERROR(INDEX(SEMANAS!$H$6:$H$71,MATCH($B153,SEMANAS!$B$6:$B$71,0)),0)</f>
        <v>32.9</v>
      </c>
      <c r="T153" s="18" t="n">
        <f aca="false">$R153*$S153</f>
        <v>11.515</v>
      </c>
      <c r="U153" s="18" t="n">
        <f aca="false">IFERROR(INDEX(SEMANAS!$I$6:$I$71,MATCH($B153,SEMANAS!$B$6:$B$71,0)),0)</f>
        <v>48.58</v>
      </c>
      <c r="V153" s="18" t="n">
        <f aca="false">IFERROR(INDEX(SEMANAS!$J$6:$J$71,MATCH($B153,SEMANAS!$B$6:$B$71,0)),0)</f>
        <v>38.864</v>
      </c>
      <c r="W153" s="18" t="n">
        <f aca="false">MAX(0,$T153-$V153)</f>
        <v>0</v>
      </c>
      <c r="X153" s="19" t="n">
        <f aca="false">IFERROR(INDEX(CADASTRO_PIVOS!$K$6:$K$41,MATCH($E153,CADASTRO_PIVOS!$B$6:$B$41,0)),EFICIENCIA_PADRAO)</f>
        <v>0.85</v>
      </c>
      <c r="Y153" s="18" t="n">
        <f aca="false">IF($X153&lt;=0,0,$W153/$X153)</f>
        <v>0</v>
      </c>
      <c r="Z153" s="16" t="n">
        <f aca="false">$Y153*$H153*MM_PARA_M3_HA</f>
        <v>0</v>
      </c>
      <c r="AA153" s="18" t="n">
        <f aca="false">IFERROR(INDEX(CADASTRO_PIVOS!$I$6:$I$41,MATCH($E153,CADASTRO_PIVOS!$B$6:$B$41,0)),0)</f>
        <v>714.714285714286</v>
      </c>
      <c r="AB153" s="18" t="n">
        <f aca="false">IF($Z153&lt;=0,0,$Z153/$AA153)</f>
        <v>0</v>
      </c>
      <c r="AC153" s="16" t="n">
        <f aca="false">IFERROR(INDEX(SEMANAS!$K$6:$K$71,MATCH($B153,SEMANAS!$B$6:$B$71,0)),0)</f>
        <v>147</v>
      </c>
      <c r="AD153" s="19" t="n">
        <f aca="false">IF($AC153&lt;=0,0,$AB153/$AC153)</f>
        <v>0</v>
      </c>
      <c r="AE153" s="8" t="str">
        <f aca="false">IF($K153="SEM CULTURA","SEM CULTURA",IF($AA153&lt;=0,"DADO PENDENTE",IF($AD153&gt;LIMITE_CRITICO,"INVIAVEL",IF($AD153&gt;LIMITE_ATENCAO,"CRITICO",IF($AD153&gt;LIMITE_CONFORTAVEL,"ATENCAO","OK")))))</f>
        <v>OK</v>
      </c>
      <c r="AF153" s="8" t="str">
        <f aca="false">$B153&amp;"|"&amp;TEXT($AD153,"0.000000")</f>
        <v>16|0.000000</v>
      </c>
      <c r="AG153" s="18" t="n">
        <f aca="false">IF($K153="SEM CULTURA",0,$T153*$H153)</f>
        <v>1152.1909</v>
      </c>
      <c r="AH153" s="18" t="n">
        <f aca="false">IF($K153="SEM CULTURA",0,$V153*$H153)</f>
        <v>3888.73184</v>
      </c>
      <c r="AI153" s="18" t="n">
        <f aca="false">IF($K153="SEM CULTURA",0,$W153*$H153)</f>
        <v>0</v>
      </c>
      <c r="AJ153" s="18" t="n">
        <f aca="false">IF($K153="SEM CULTURA",0,$S153*$H153)</f>
        <v>3291.974</v>
      </c>
      <c r="AK153" s="8" t="str">
        <f aca="false">$E153&amp;"|"&amp;TEXT($AD153,"0.000000")</f>
        <v>PV 108|0.000000</v>
      </c>
    </row>
    <row r="154" customFormat="false" ht="15" hidden="false" customHeight="false" outlineLevel="0" collapsed="false">
      <c r="B154" s="16" t="n">
        <v>17</v>
      </c>
      <c r="C154" s="17" t="n">
        <f aca="false">DATA_INICIO_SAFRA+($B154-1)*DIAS_POR_SEMANA</f>
        <v>46377</v>
      </c>
      <c r="D154" s="17" t="n">
        <f aca="false">$C154+DIAS_POR_SEMANA-1</f>
        <v>46383</v>
      </c>
      <c r="E154" s="15" t="s">
        <v>261</v>
      </c>
      <c r="F154" s="8" t="str">
        <f aca="false">IFERROR(INDEX(CADASTRO_PIVOS!$C$6:$C$41,MATCH($E154,CADASTRO_PIVOS!$B$6:$B$41,0)),"?")</f>
        <v>RM02</v>
      </c>
      <c r="G154" s="8" t="str">
        <f aca="false">IFERROR(INDEX(CADASTRO_PIVOS!$D$6:$D$41,MATCH($E154,CADASTRO_PIVOS!$B$6:$B$41,0)),"?")</f>
        <v>TR02</v>
      </c>
      <c r="H154" s="20" t="n">
        <f aca="false">IFERROR(INDEX(CADASTRO_PIVOS!$E$6:$E$41,MATCH($E154,CADASTRO_PIVOS!$B$6:$B$41,0)),0)</f>
        <v>100.06</v>
      </c>
      <c r="I154" s="16" t="n">
        <f aca="false">IFERROR(SUMIFS(ROTACAO_RDM!$B$6:$B$71,ROTACAO_RDM!$D$6:$D$71,$E154,ROTACAO_RDM!$I$6:$I$71,"&lt;="&amp;$C154+INT(DIAS_POR_SEMANA/2),ROTACAO_RDM!$J$6:$J$71,"&gt;="&amp;$C154+INT(DIAS_POR_SEMANA/2)),0)</f>
        <v>14</v>
      </c>
      <c r="J154" s="16" t="n">
        <f aca="false">IFERROR(MATCH($I154,ROTACAO_RDM!$B$6:$B$71,0),0)</f>
        <v>14</v>
      </c>
      <c r="K154" s="8" t="str">
        <f aca="false">IF($J154=0,"SEM CULTURA",INDEX(ROTACAO_RDM!$F$6:$F$71,$J154))</f>
        <v>ALGODAO</v>
      </c>
      <c r="L154" s="8" t="str">
        <f aca="false">IF($J154=0,"",INDEX(ROTACAO_RDM!$G$6:$G$71,$J154))</f>
        <v>FM 933 STP</v>
      </c>
      <c r="M154" s="17" t="n">
        <f aca="false">IF($J154=0,"",INDEX(ROTACAO_RDM!$I$6:$I$71,$J154))</f>
        <v>46360</v>
      </c>
      <c r="N154" s="16" t="n">
        <f aca="false">IF($J154=0,0,MAX(0,$C154+INT(DIAS_POR_SEMANA/2)-INDEX(ROTACAO_RDM!$I$6:$I$71,$J154)))</f>
        <v>20</v>
      </c>
      <c r="O154" s="19" t="n">
        <f aca="false">IF($J154=0,0,MIN(1,$N154/MAX(1,INDEX(ROTACAO_RDM!$K$6:$K$71,$J154))))</f>
        <v>0.102564102564103</v>
      </c>
      <c r="P154" s="16" t="n">
        <f aca="false">IF($J154=0,0,IFERROR(MATCH(INDEX(ROTACAO_RDM!$N$6:$N$71,$J154),PARAMETROS_CULTURAS!$B$6:$B$28,0),0))</f>
        <v>5</v>
      </c>
      <c r="Q154" s="8" t="str">
        <f aca="false">IF($P154=0,"-",IF($O154&lt;=INDEX(PARAMETROS_CULTURAS!$F$6:$F$28,$P154),"INICIAL",IF($O154&lt;=INDEX(PARAMETROS_CULTURAS!$F$6:$F$28,$P154)+INDEX(PARAMETROS_CULTURAS!$G$6:$G$28,$P154),"DESENVOLVIMENTO",IF($O154&lt;=INDEX(PARAMETROS_CULTURAS!$F$6:$F$28,$P154)+INDEX(PARAMETROS_CULTURAS!$G$6:$G$28,$P154)+INDEX(PARAMETROS_CULTURAS!$H$6:$H$28,$P154),"MEDIA","FINAL"))))</f>
        <v>INICIAL</v>
      </c>
      <c r="R154" s="24" t="n">
        <f aca="false">IF($P154=0,0,IF($O154&lt;=INDEX(PARAMETROS_CULTURAS!$F$6:$F$28,$P154),INDEX(PARAMETROS_CULTURAS!$K$6:$K$28,$P154),IF($O154&lt;=INDEX(PARAMETROS_CULTURAS!$F$6:$F$28,$P154)+INDEX(PARAMETROS_CULTURAS!$G$6:$G$28,$P154),INDEX(PARAMETROS_CULTURAS!$K$6:$K$28,$P154)+(INDEX(PARAMETROS_CULTURAS!$L$6:$L$28,$P154)-INDEX(PARAMETROS_CULTURAS!$K$6:$K$28,$P154))*($O154-INDEX(PARAMETROS_CULTURAS!$F$6:$F$28,$P154))/MAX(INDEX(PARAMETROS_CULTURAS!$G$6:$G$28,$P154),0.0001),IF($O154&lt;=INDEX(PARAMETROS_CULTURAS!$F$6:$F$28,$P154)+INDEX(PARAMETROS_CULTURAS!$G$6:$G$28,$P154)+INDEX(PARAMETROS_CULTURAS!$H$6:$H$28,$P154),INDEX(PARAMETROS_CULTURAS!$L$6:$L$28,$P154),INDEX(PARAMETROS_CULTURAS!$L$6:$L$28,$P154)+(INDEX(PARAMETROS_CULTURAS!$M$6:$M$28,$P154)-INDEX(PARAMETROS_CULTURAS!$L$6:$L$28,$P154))*($O154-INDEX(PARAMETROS_CULTURAS!$F$6:$F$28,$P154)-INDEX(PARAMETROS_CULTURAS!$G$6:$G$28,$P154)-INDEX(PARAMETROS_CULTURAS!$H$6:$H$28,$P154))/MAX(INDEX(PARAMETROS_CULTURAS!$I$6:$I$28,$P154),0.0001)))))</f>
        <v>0.35</v>
      </c>
      <c r="S154" s="18" t="n">
        <f aca="false">IFERROR(INDEX(SEMANAS!$H$6:$H$71,MATCH($B154,SEMANAS!$B$6:$B$71,0)),0)</f>
        <v>32.9</v>
      </c>
      <c r="T154" s="18" t="n">
        <f aca="false">$R154*$S154</f>
        <v>11.515</v>
      </c>
      <c r="U154" s="18" t="n">
        <f aca="false">IFERROR(INDEX(SEMANAS!$I$6:$I$71,MATCH($B154,SEMANAS!$B$6:$B$71,0)),0)</f>
        <v>48.58</v>
      </c>
      <c r="V154" s="18" t="n">
        <f aca="false">IFERROR(INDEX(SEMANAS!$J$6:$J$71,MATCH($B154,SEMANAS!$B$6:$B$71,0)),0)</f>
        <v>38.864</v>
      </c>
      <c r="W154" s="18" t="n">
        <f aca="false">MAX(0,$T154-$V154)</f>
        <v>0</v>
      </c>
      <c r="X154" s="19" t="n">
        <f aca="false">IFERROR(INDEX(CADASTRO_PIVOS!$K$6:$K$41,MATCH($E154,CADASTRO_PIVOS!$B$6:$B$41,0)),EFICIENCIA_PADRAO)</f>
        <v>0.85</v>
      </c>
      <c r="Y154" s="18" t="n">
        <f aca="false">IF($X154&lt;=0,0,$W154/$X154)</f>
        <v>0</v>
      </c>
      <c r="Z154" s="16" t="n">
        <f aca="false">$Y154*$H154*MM_PARA_M3_HA</f>
        <v>0</v>
      </c>
      <c r="AA154" s="18" t="n">
        <f aca="false">IFERROR(INDEX(CADASTRO_PIVOS!$I$6:$I$41,MATCH($E154,CADASTRO_PIVOS!$B$6:$B$41,0)),0)</f>
        <v>714.714285714286</v>
      </c>
      <c r="AB154" s="18" t="n">
        <f aca="false">IF($Z154&lt;=0,0,$Z154/$AA154)</f>
        <v>0</v>
      </c>
      <c r="AC154" s="16" t="n">
        <f aca="false">IFERROR(INDEX(SEMANAS!$K$6:$K$71,MATCH($B154,SEMANAS!$B$6:$B$71,0)),0)</f>
        <v>147</v>
      </c>
      <c r="AD154" s="19" t="n">
        <f aca="false">IF($AC154&lt;=0,0,$AB154/$AC154)</f>
        <v>0</v>
      </c>
      <c r="AE154" s="8" t="str">
        <f aca="false">IF($K154="SEM CULTURA","SEM CULTURA",IF($AA154&lt;=0,"DADO PENDENTE",IF($AD154&gt;LIMITE_CRITICO,"INVIAVEL",IF($AD154&gt;LIMITE_ATENCAO,"CRITICO",IF($AD154&gt;LIMITE_CONFORTAVEL,"ATENCAO","OK")))))</f>
        <v>OK</v>
      </c>
      <c r="AF154" s="8" t="str">
        <f aca="false">$B154&amp;"|"&amp;TEXT($AD154,"0.000000")</f>
        <v>17|0.000000</v>
      </c>
      <c r="AG154" s="18" t="n">
        <f aca="false">IF($K154="SEM CULTURA",0,$T154*$H154)</f>
        <v>1152.1909</v>
      </c>
      <c r="AH154" s="18" t="n">
        <f aca="false">IF($K154="SEM CULTURA",0,$V154*$H154)</f>
        <v>3888.73184</v>
      </c>
      <c r="AI154" s="18" t="n">
        <f aca="false">IF($K154="SEM CULTURA",0,$W154*$H154)</f>
        <v>0</v>
      </c>
      <c r="AJ154" s="18" t="n">
        <f aca="false">IF($K154="SEM CULTURA",0,$S154*$H154)</f>
        <v>3291.974</v>
      </c>
      <c r="AK154" s="8" t="str">
        <f aca="false">$E154&amp;"|"&amp;TEXT($AD154,"0.000000")</f>
        <v>PV 108|0.000000</v>
      </c>
    </row>
    <row r="155" customFormat="false" ht="15" hidden="false" customHeight="false" outlineLevel="0" collapsed="false">
      <c r="B155" s="16" t="n">
        <v>18</v>
      </c>
      <c r="C155" s="17" t="n">
        <f aca="false">DATA_INICIO_SAFRA+($B155-1)*DIAS_POR_SEMANA</f>
        <v>46384</v>
      </c>
      <c r="D155" s="17" t="n">
        <f aca="false">$C155+DIAS_POR_SEMANA-1</f>
        <v>46390</v>
      </c>
      <c r="E155" s="15" t="s">
        <v>261</v>
      </c>
      <c r="F155" s="8" t="str">
        <f aca="false">IFERROR(INDEX(CADASTRO_PIVOS!$C$6:$C$41,MATCH($E155,CADASTRO_PIVOS!$B$6:$B$41,0)),"?")</f>
        <v>RM02</v>
      </c>
      <c r="G155" s="8" t="str">
        <f aca="false">IFERROR(INDEX(CADASTRO_PIVOS!$D$6:$D$41,MATCH($E155,CADASTRO_PIVOS!$B$6:$B$41,0)),"?")</f>
        <v>TR02</v>
      </c>
      <c r="H155" s="20" t="n">
        <f aca="false">IFERROR(INDEX(CADASTRO_PIVOS!$E$6:$E$41,MATCH($E155,CADASTRO_PIVOS!$B$6:$B$41,0)),0)</f>
        <v>100.06</v>
      </c>
      <c r="I155" s="16" t="n">
        <f aca="false">IFERROR(SUMIFS(ROTACAO_RDM!$B$6:$B$71,ROTACAO_RDM!$D$6:$D$71,$E155,ROTACAO_RDM!$I$6:$I$71,"&lt;="&amp;$C155+INT(DIAS_POR_SEMANA/2),ROTACAO_RDM!$J$6:$J$71,"&gt;="&amp;$C155+INT(DIAS_POR_SEMANA/2)),0)</f>
        <v>14</v>
      </c>
      <c r="J155" s="16" t="n">
        <f aca="false">IFERROR(MATCH($I155,ROTACAO_RDM!$B$6:$B$71,0),0)</f>
        <v>14</v>
      </c>
      <c r="K155" s="8" t="str">
        <f aca="false">IF($J155=0,"SEM CULTURA",INDEX(ROTACAO_RDM!$F$6:$F$71,$J155))</f>
        <v>ALGODAO</v>
      </c>
      <c r="L155" s="8" t="str">
        <f aca="false">IF($J155=0,"",INDEX(ROTACAO_RDM!$G$6:$G$71,$J155))</f>
        <v>FM 933 STP</v>
      </c>
      <c r="M155" s="17" t="n">
        <f aca="false">IF($J155=0,"",INDEX(ROTACAO_RDM!$I$6:$I$71,$J155))</f>
        <v>46360</v>
      </c>
      <c r="N155" s="16" t="n">
        <f aca="false">IF($J155=0,0,MAX(0,$C155+INT(DIAS_POR_SEMANA/2)-INDEX(ROTACAO_RDM!$I$6:$I$71,$J155)))</f>
        <v>27</v>
      </c>
      <c r="O155" s="19" t="n">
        <f aca="false">IF($J155=0,0,MIN(1,$N155/MAX(1,INDEX(ROTACAO_RDM!$K$6:$K$71,$J155))))</f>
        <v>0.138461538461538</v>
      </c>
      <c r="P155" s="16" t="n">
        <f aca="false">IF($J155=0,0,IFERROR(MATCH(INDEX(ROTACAO_RDM!$N$6:$N$71,$J155),PARAMETROS_CULTURAS!$B$6:$B$28,0),0))</f>
        <v>5</v>
      </c>
      <c r="Q155" s="8" t="str">
        <f aca="false">IF($P155=0,"-",IF($O155&lt;=INDEX(PARAMETROS_CULTURAS!$F$6:$F$28,$P155),"INICIAL",IF($O155&lt;=INDEX(PARAMETROS_CULTURAS!$F$6:$F$28,$P155)+INDEX(PARAMETROS_CULTURAS!$G$6:$G$28,$P155),"DESENVOLVIMENTO",IF($O155&lt;=INDEX(PARAMETROS_CULTURAS!$F$6:$F$28,$P155)+INDEX(PARAMETROS_CULTURAS!$G$6:$G$28,$P155)+INDEX(PARAMETROS_CULTURAS!$H$6:$H$28,$P155),"MEDIA","FINAL"))))</f>
        <v>INICIAL</v>
      </c>
      <c r="R155" s="24" t="n">
        <f aca="false">IF($P155=0,0,IF($O155&lt;=INDEX(PARAMETROS_CULTURAS!$F$6:$F$28,$P155),INDEX(PARAMETROS_CULTURAS!$K$6:$K$28,$P155),IF($O155&lt;=INDEX(PARAMETROS_CULTURAS!$F$6:$F$28,$P155)+INDEX(PARAMETROS_CULTURAS!$G$6:$G$28,$P155),INDEX(PARAMETROS_CULTURAS!$K$6:$K$28,$P155)+(INDEX(PARAMETROS_CULTURAS!$L$6:$L$28,$P155)-INDEX(PARAMETROS_CULTURAS!$K$6:$K$28,$P155))*($O155-INDEX(PARAMETROS_CULTURAS!$F$6:$F$28,$P155))/MAX(INDEX(PARAMETROS_CULTURAS!$G$6:$G$28,$P155),0.0001),IF($O155&lt;=INDEX(PARAMETROS_CULTURAS!$F$6:$F$28,$P155)+INDEX(PARAMETROS_CULTURAS!$G$6:$G$28,$P155)+INDEX(PARAMETROS_CULTURAS!$H$6:$H$28,$P155),INDEX(PARAMETROS_CULTURAS!$L$6:$L$28,$P155),INDEX(PARAMETROS_CULTURAS!$L$6:$L$28,$P155)+(INDEX(PARAMETROS_CULTURAS!$M$6:$M$28,$P155)-INDEX(PARAMETROS_CULTURAS!$L$6:$L$28,$P155))*($O155-INDEX(PARAMETROS_CULTURAS!$F$6:$F$28,$P155)-INDEX(PARAMETROS_CULTURAS!$G$6:$G$28,$P155)-INDEX(PARAMETROS_CULTURAS!$H$6:$H$28,$P155))/MAX(INDEX(PARAMETROS_CULTURAS!$I$6:$I$28,$P155),0.0001)))))</f>
        <v>0.35</v>
      </c>
      <c r="S155" s="18" t="n">
        <f aca="false">IFERROR(INDEX(SEMANAS!$H$6:$H$71,MATCH($B155,SEMANAS!$B$6:$B$71,0)),0)</f>
        <v>33.2</v>
      </c>
      <c r="T155" s="18" t="n">
        <f aca="false">$R155*$S155</f>
        <v>11.62</v>
      </c>
      <c r="U155" s="18" t="n">
        <f aca="false">IFERROR(INDEX(SEMANAS!$I$6:$I$71,MATCH($B155,SEMANAS!$B$6:$B$71,0)),0)</f>
        <v>47.11</v>
      </c>
      <c r="V155" s="18" t="n">
        <f aca="false">IFERROR(INDEX(SEMANAS!$J$6:$J$71,MATCH($B155,SEMANAS!$B$6:$B$71,0)),0)</f>
        <v>37.688</v>
      </c>
      <c r="W155" s="18" t="n">
        <f aca="false">MAX(0,$T155-$V155)</f>
        <v>0</v>
      </c>
      <c r="X155" s="19" t="n">
        <f aca="false">IFERROR(INDEX(CADASTRO_PIVOS!$K$6:$K$41,MATCH($E155,CADASTRO_PIVOS!$B$6:$B$41,0)),EFICIENCIA_PADRAO)</f>
        <v>0.85</v>
      </c>
      <c r="Y155" s="18" t="n">
        <f aca="false">IF($X155&lt;=0,0,$W155/$X155)</f>
        <v>0</v>
      </c>
      <c r="Z155" s="16" t="n">
        <f aca="false">$Y155*$H155*MM_PARA_M3_HA</f>
        <v>0</v>
      </c>
      <c r="AA155" s="18" t="n">
        <f aca="false">IFERROR(INDEX(CADASTRO_PIVOS!$I$6:$I$41,MATCH($E155,CADASTRO_PIVOS!$B$6:$B$41,0)),0)</f>
        <v>714.714285714286</v>
      </c>
      <c r="AB155" s="18" t="n">
        <f aca="false">IF($Z155&lt;=0,0,$Z155/$AA155)</f>
        <v>0</v>
      </c>
      <c r="AC155" s="16" t="n">
        <f aca="false">IFERROR(INDEX(SEMANAS!$K$6:$K$71,MATCH($B155,SEMANAS!$B$6:$B$71,0)),0)</f>
        <v>147</v>
      </c>
      <c r="AD155" s="19" t="n">
        <f aca="false">IF($AC155&lt;=0,0,$AB155/$AC155)</f>
        <v>0</v>
      </c>
      <c r="AE155" s="8" t="str">
        <f aca="false">IF($K155="SEM CULTURA","SEM CULTURA",IF($AA155&lt;=0,"DADO PENDENTE",IF($AD155&gt;LIMITE_CRITICO,"INVIAVEL",IF($AD155&gt;LIMITE_ATENCAO,"CRITICO",IF($AD155&gt;LIMITE_CONFORTAVEL,"ATENCAO","OK")))))</f>
        <v>OK</v>
      </c>
      <c r="AF155" s="8" t="str">
        <f aca="false">$B155&amp;"|"&amp;TEXT($AD155,"0.000000")</f>
        <v>18|0.000000</v>
      </c>
      <c r="AG155" s="18" t="n">
        <f aca="false">IF($K155="SEM CULTURA",0,$T155*$H155)</f>
        <v>1162.6972</v>
      </c>
      <c r="AH155" s="18" t="n">
        <f aca="false">IF($K155="SEM CULTURA",0,$V155*$H155)</f>
        <v>3771.06128</v>
      </c>
      <c r="AI155" s="18" t="n">
        <f aca="false">IF($K155="SEM CULTURA",0,$W155*$H155)</f>
        <v>0</v>
      </c>
      <c r="AJ155" s="18" t="n">
        <f aca="false">IF($K155="SEM CULTURA",0,$S155*$H155)</f>
        <v>3321.992</v>
      </c>
      <c r="AK155" s="8" t="str">
        <f aca="false">$E155&amp;"|"&amp;TEXT($AD155,"0.000000")</f>
        <v>PV 108|0.000000</v>
      </c>
    </row>
    <row r="156" customFormat="false" ht="15" hidden="false" customHeight="false" outlineLevel="0" collapsed="false">
      <c r="B156" s="16" t="n">
        <v>19</v>
      </c>
      <c r="C156" s="17" t="n">
        <f aca="false">DATA_INICIO_SAFRA+($B156-1)*DIAS_POR_SEMANA</f>
        <v>46391</v>
      </c>
      <c r="D156" s="17" t="n">
        <f aca="false">$C156+DIAS_POR_SEMANA-1</f>
        <v>46397</v>
      </c>
      <c r="E156" s="15" t="s">
        <v>261</v>
      </c>
      <c r="F156" s="8" t="str">
        <f aca="false">IFERROR(INDEX(CADASTRO_PIVOS!$C$6:$C$41,MATCH($E156,CADASTRO_PIVOS!$B$6:$B$41,0)),"?")</f>
        <v>RM02</v>
      </c>
      <c r="G156" s="8" t="str">
        <f aca="false">IFERROR(INDEX(CADASTRO_PIVOS!$D$6:$D$41,MATCH($E156,CADASTRO_PIVOS!$B$6:$B$41,0)),"?")</f>
        <v>TR02</v>
      </c>
      <c r="H156" s="20" t="n">
        <f aca="false">IFERROR(INDEX(CADASTRO_PIVOS!$E$6:$E$41,MATCH($E156,CADASTRO_PIVOS!$B$6:$B$41,0)),0)</f>
        <v>100.06</v>
      </c>
      <c r="I156" s="16" t="n">
        <f aca="false">IFERROR(SUMIFS(ROTACAO_RDM!$B$6:$B$71,ROTACAO_RDM!$D$6:$D$71,$E156,ROTACAO_RDM!$I$6:$I$71,"&lt;="&amp;$C156+INT(DIAS_POR_SEMANA/2),ROTACAO_RDM!$J$6:$J$71,"&gt;="&amp;$C156+INT(DIAS_POR_SEMANA/2)),0)</f>
        <v>14</v>
      </c>
      <c r="J156" s="16" t="n">
        <f aca="false">IFERROR(MATCH($I156,ROTACAO_RDM!$B$6:$B$71,0),0)</f>
        <v>14</v>
      </c>
      <c r="K156" s="8" t="str">
        <f aca="false">IF($J156=0,"SEM CULTURA",INDEX(ROTACAO_RDM!$F$6:$F$71,$J156))</f>
        <v>ALGODAO</v>
      </c>
      <c r="L156" s="8" t="str">
        <f aca="false">IF($J156=0,"",INDEX(ROTACAO_RDM!$G$6:$G$71,$J156))</f>
        <v>FM 933 STP</v>
      </c>
      <c r="M156" s="17" t="n">
        <f aca="false">IF($J156=0,"",INDEX(ROTACAO_RDM!$I$6:$I$71,$J156))</f>
        <v>46360</v>
      </c>
      <c r="N156" s="16" t="n">
        <f aca="false">IF($J156=0,0,MAX(0,$C156+INT(DIAS_POR_SEMANA/2)-INDEX(ROTACAO_RDM!$I$6:$I$71,$J156)))</f>
        <v>34</v>
      </c>
      <c r="O156" s="19" t="n">
        <f aca="false">IF($J156=0,0,MIN(1,$N156/MAX(1,INDEX(ROTACAO_RDM!$K$6:$K$71,$J156))))</f>
        <v>0.174358974358974</v>
      </c>
      <c r="P156" s="16" t="n">
        <f aca="false">IF($J156=0,0,IFERROR(MATCH(INDEX(ROTACAO_RDM!$N$6:$N$71,$J156),PARAMETROS_CULTURAS!$B$6:$B$28,0),0))</f>
        <v>5</v>
      </c>
      <c r="Q156" s="8" t="str">
        <f aca="false">IF($P156=0,"-",IF($O156&lt;=INDEX(PARAMETROS_CULTURAS!$F$6:$F$28,$P156),"INICIAL",IF($O156&lt;=INDEX(PARAMETROS_CULTURAS!$F$6:$F$28,$P156)+INDEX(PARAMETROS_CULTURAS!$G$6:$G$28,$P156),"DESENVOLVIMENTO",IF($O156&lt;=INDEX(PARAMETROS_CULTURAS!$F$6:$F$28,$P156)+INDEX(PARAMETROS_CULTURAS!$G$6:$G$28,$P156)+INDEX(PARAMETROS_CULTURAS!$H$6:$H$28,$P156),"MEDIA","FINAL"))))</f>
        <v>DESENVOLVIMENTO</v>
      </c>
      <c r="R156" s="24" t="n">
        <f aca="false">IF($P156=0,0,IF($O156&lt;=INDEX(PARAMETROS_CULTURAS!$F$6:$F$28,$P156),INDEX(PARAMETROS_CULTURAS!$K$6:$K$28,$P156),IF($O156&lt;=INDEX(PARAMETROS_CULTURAS!$F$6:$F$28,$P156)+INDEX(PARAMETROS_CULTURAS!$G$6:$G$28,$P156),INDEX(PARAMETROS_CULTURAS!$K$6:$K$28,$P156)+(INDEX(PARAMETROS_CULTURAS!$L$6:$L$28,$P156)-INDEX(PARAMETROS_CULTURAS!$K$6:$K$28,$P156))*($O156-INDEX(PARAMETROS_CULTURAS!$F$6:$F$28,$P156))/MAX(INDEX(PARAMETROS_CULTURAS!$G$6:$G$28,$P156),0.0001),IF($O156&lt;=INDEX(PARAMETROS_CULTURAS!$F$6:$F$28,$P156)+INDEX(PARAMETROS_CULTURAS!$G$6:$G$28,$P156)+INDEX(PARAMETROS_CULTURAS!$H$6:$H$28,$P156),INDEX(PARAMETROS_CULTURAS!$L$6:$L$28,$P156),INDEX(PARAMETROS_CULTURAS!$L$6:$L$28,$P156)+(INDEX(PARAMETROS_CULTURAS!$M$6:$M$28,$P156)-INDEX(PARAMETROS_CULTURAS!$L$6:$L$28,$P156))*($O156-INDEX(PARAMETROS_CULTURAS!$F$6:$F$28,$P156)-INDEX(PARAMETROS_CULTURAS!$G$6:$G$28,$P156)-INDEX(PARAMETROS_CULTURAS!$H$6:$H$28,$P156))/MAX(INDEX(PARAMETROS_CULTURAS!$I$6:$I$28,$P156),0.0001)))))</f>
        <v>0.424950690335306</v>
      </c>
      <c r="S156" s="18" t="n">
        <f aca="false">IFERROR(INDEX(SEMANAS!$H$6:$H$71,MATCH($B156,SEMANAS!$B$6:$B$71,0)),0)</f>
        <v>33.6</v>
      </c>
      <c r="T156" s="18" t="n">
        <f aca="false">$R156*$S156</f>
        <v>14.2783431952663</v>
      </c>
      <c r="U156" s="18" t="n">
        <f aca="false">IFERROR(INDEX(SEMANAS!$I$6:$I$71,MATCH($B156,SEMANAS!$B$6:$B$71,0)),0)</f>
        <v>45.15</v>
      </c>
      <c r="V156" s="18" t="n">
        <f aca="false">IFERROR(INDEX(SEMANAS!$J$6:$J$71,MATCH($B156,SEMANAS!$B$6:$B$71,0)),0)</f>
        <v>36.12</v>
      </c>
      <c r="W156" s="18" t="n">
        <f aca="false">MAX(0,$T156-$V156)</f>
        <v>0</v>
      </c>
      <c r="X156" s="19" t="n">
        <f aca="false">IFERROR(INDEX(CADASTRO_PIVOS!$K$6:$K$41,MATCH($E156,CADASTRO_PIVOS!$B$6:$B$41,0)),EFICIENCIA_PADRAO)</f>
        <v>0.85</v>
      </c>
      <c r="Y156" s="18" t="n">
        <f aca="false">IF($X156&lt;=0,0,$W156/$X156)</f>
        <v>0</v>
      </c>
      <c r="Z156" s="16" t="n">
        <f aca="false">$Y156*$H156*MM_PARA_M3_HA</f>
        <v>0</v>
      </c>
      <c r="AA156" s="18" t="n">
        <f aca="false">IFERROR(INDEX(CADASTRO_PIVOS!$I$6:$I$41,MATCH($E156,CADASTRO_PIVOS!$B$6:$B$41,0)),0)</f>
        <v>714.714285714286</v>
      </c>
      <c r="AB156" s="18" t="n">
        <f aca="false">IF($Z156&lt;=0,0,$Z156/$AA156)</f>
        <v>0</v>
      </c>
      <c r="AC156" s="16" t="n">
        <f aca="false">IFERROR(INDEX(SEMANAS!$K$6:$K$71,MATCH($B156,SEMANAS!$B$6:$B$71,0)),0)</f>
        <v>147</v>
      </c>
      <c r="AD156" s="19" t="n">
        <f aca="false">IF($AC156&lt;=0,0,$AB156/$AC156)</f>
        <v>0</v>
      </c>
      <c r="AE156" s="8" t="str">
        <f aca="false">IF($K156="SEM CULTURA","SEM CULTURA",IF($AA156&lt;=0,"DADO PENDENTE",IF($AD156&gt;LIMITE_CRITICO,"INVIAVEL",IF($AD156&gt;LIMITE_ATENCAO,"CRITICO",IF($AD156&gt;LIMITE_CONFORTAVEL,"ATENCAO","OK")))))</f>
        <v>OK</v>
      </c>
      <c r="AF156" s="8" t="str">
        <f aca="false">$B156&amp;"|"&amp;TEXT($AD156,"0.000000")</f>
        <v>19|0.000000</v>
      </c>
      <c r="AG156" s="18" t="n">
        <f aca="false">IF($K156="SEM CULTURA",0,$T156*$H156)</f>
        <v>1428.69102011834</v>
      </c>
      <c r="AH156" s="18" t="n">
        <f aca="false">IF($K156="SEM CULTURA",0,$V156*$H156)</f>
        <v>3614.1672</v>
      </c>
      <c r="AI156" s="18" t="n">
        <f aca="false">IF($K156="SEM CULTURA",0,$W156*$H156)</f>
        <v>0</v>
      </c>
      <c r="AJ156" s="18" t="n">
        <f aca="false">IF($K156="SEM CULTURA",0,$S156*$H156)</f>
        <v>3362.016</v>
      </c>
      <c r="AK156" s="8" t="str">
        <f aca="false">$E156&amp;"|"&amp;TEXT($AD156,"0.000000")</f>
        <v>PV 108|0.000000</v>
      </c>
    </row>
    <row r="157" customFormat="false" ht="15" hidden="false" customHeight="false" outlineLevel="0" collapsed="false">
      <c r="B157" s="16" t="n">
        <v>20</v>
      </c>
      <c r="C157" s="17" t="n">
        <f aca="false">DATA_INICIO_SAFRA+($B157-1)*DIAS_POR_SEMANA</f>
        <v>46398</v>
      </c>
      <c r="D157" s="17" t="n">
        <f aca="false">$C157+DIAS_POR_SEMANA-1</f>
        <v>46404</v>
      </c>
      <c r="E157" s="15" t="s">
        <v>261</v>
      </c>
      <c r="F157" s="8" t="str">
        <f aca="false">IFERROR(INDEX(CADASTRO_PIVOS!$C$6:$C$41,MATCH($E157,CADASTRO_PIVOS!$B$6:$B$41,0)),"?")</f>
        <v>RM02</v>
      </c>
      <c r="G157" s="8" t="str">
        <f aca="false">IFERROR(INDEX(CADASTRO_PIVOS!$D$6:$D$41,MATCH($E157,CADASTRO_PIVOS!$B$6:$B$41,0)),"?")</f>
        <v>TR02</v>
      </c>
      <c r="H157" s="20" t="n">
        <f aca="false">IFERROR(INDEX(CADASTRO_PIVOS!$E$6:$E$41,MATCH($E157,CADASTRO_PIVOS!$B$6:$B$41,0)),0)</f>
        <v>100.06</v>
      </c>
      <c r="I157" s="16" t="n">
        <f aca="false">IFERROR(SUMIFS(ROTACAO_RDM!$B$6:$B$71,ROTACAO_RDM!$D$6:$D$71,$E157,ROTACAO_RDM!$I$6:$I$71,"&lt;="&amp;$C157+INT(DIAS_POR_SEMANA/2),ROTACAO_RDM!$J$6:$J$71,"&gt;="&amp;$C157+INT(DIAS_POR_SEMANA/2)),0)</f>
        <v>14</v>
      </c>
      <c r="J157" s="16" t="n">
        <f aca="false">IFERROR(MATCH($I157,ROTACAO_RDM!$B$6:$B$71,0),0)</f>
        <v>14</v>
      </c>
      <c r="K157" s="8" t="str">
        <f aca="false">IF($J157=0,"SEM CULTURA",INDEX(ROTACAO_RDM!$F$6:$F$71,$J157))</f>
        <v>ALGODAO</v>
      </c>
      <c r="L157" s="8" t="str">
        <f aca="false">IF($J157=0,"",INDEX(ROTACAO_RDM!$G$6:$G$71,$J157))</f>
        <v>FM 933 STP</v>
      </c>
      <c r="M157" s="17" t="n">
        <f aca="false">IF($J157=0,"",INDEX(ROTACAO_RDM!$I$6:$I$71,$J157))</f>
        <v>46360</v>
      </c>
      <c r="N157" s="16" t="n">
        <f aca="false">IF($J157=0,0,MAX(0,$C157+INT(DIAS_POR_SEMANA/2)-INDEX(ROTACAO_RDM!$I$6:$I$71,$J157)))</f>
        <v>41</v>
      </c>
      <c r="O157" s="19" t="n">
        <f aca="false">IF($J157=0,0,MIN(1,$N157/MAX(1,INDEX(ROTACAO_RDM!$K$6:$K$71,$J157))))</f>
        <v>0.21025641025641</v>
      </c>
      <c r="P157" s="16" t="n">
        <f aca="false">IF($J157=0,0,IFERROR(MATCH(INDEX(ROTACAO_RDM!$N$6:$N$71,$J157),PARAMETROS_CULTURAS!$B$6:$B$28,0),0))</f>
        <v>5</v>
      </c>
      <c r="Q157" s="8" t="str">
        <f aca="false">IF($P157=0,"-",IF($O157&lt;=INDEX(PARAMETROS_CULTURAS!$F$6:$F$28,$P157),"INICIAL",IF($O157&lt;=INDEX(PARAMETROS_CULTURAS!$F$6:$F$28,$P157)+INDEX(PARAMETROS_CULTURAS!$G$6:$G$28,$P157),"DESENVOLVIMENTO",IF($O157&lt;=INDEX(PARAMETROS_CULTURAS!$F$6:$F$28,$P157)+INDEX(PARAMETROS_CULTURAS!$G$6:$G$28,$P157)+INDEX(PARAMETROS_CULTURAS!$H$6:$H$28,$P157),"MEDIA","FINAL"))))</f>
        <v>DESENVOLVIMENTO</v>
      </c>
      <c r="R157" s="24" t="n">
        <f aca="false">IF($P157=0,0,IF($O157&lt;=INDEX(PARAMETROS_CULTURAS!$F$6:$F$28,$P157),INDEX(PARAMETROS_CULTURAS!$K$6:$K$28,$P157),IF($O157&lt;=INDEX(PARAMETROS_CULTURAS!$F$6:$F$28,$P157)+INDEX(PARAMETROS_CULTURAS!$G$6:$G$28,$P157),INDEX(PARAMETROS_CULTURAS!$K$6:$K$28,$P157)+(INDEX(PARAMETROS_CULTURAS!$L$6:$L$28,$P157)-INDEX(PARAMETROS_CULTURAS!$K$6:$K$28,$P157))*($O157-INDEX(PARAMETROS_CULTURAS!$F$6:$F$28,$P157))/MAX(INDEX(PARAMETROS_CULTURAS!$G$6:$G$28,$P157),0.0001),IF($O157&lt;=INDEX(PARAMETROS_CULTURAS!$F$6:$F$28,$P157)+INDEX(PARAMETROS_CULTURAS!$G$6:$G$28,$P157)+INDEX(PARAMETROS_CULTURAS!$H$6:$H$28,$P157),INDEX(PARAMETROS_CULTURAS!$L$6:$L$28,$P157),INDEX(PARAMETROS_CULTURAS!$L$6:$L$28,$P157)+(INDEX(PARAMETROS_CULTURAS!$M$6:$M$28,$P157)-INDEX(PARAMETROS_CULTURAS!$L$6:$L$28,$P157))*($O157-INDEX(PARAMETROS_CULTURAS!$F$6:$F$28,$P157)-INDEX(PARAMETROS_CULTURAS!$G$6:$G$28,$P157)-INDEX(PARAMETROS_CULTURAS!$H$6:$H$28,$P157))/MAX(INDEX(PARAMETROS_CULTURAS!$I$6:$I$28,$P157),0.0001)))))</f>
        <v>0.535404339250493</v>
      </c>
      <c r="S157" s="18" t="n">
        <f aca="false">IFERROR(INDEX(SEMANAS!$H$6:$H$71,MATCH($B157,SEMANAS!$B$6:$B$71,0)),0)</f>
        <v>33.6</v>
      </c>
      <c r="T157" s="18" t="n">
        <f aca="false">$R157*$S157</f>
        <v>17.9895857988166</v>
      </c>
      <c r="U157" s="18" t="n">
        <f aca="false">IFERROR(INDEX(SEMANAS!$I$6:$I$71,MATCH($B157,SEMANAS!$B$6:$B$71,0)),0)</f>
        <v>45.15</v>
      </c>
      <c r="V157" s="18" t="n">
        <f aca="false">IFERROR(INDEX(SEMANAS!$J$6:$J$71,MATCH($B157,SEMANAS!$B$6:$B$71,0)),0)</f>
        <v>36.12</v>
      </c>
      <c r="W157" s="18" t="n">
        <f aca="false">MAX(0,$T157-$V157)</f>
        <v>0</v>
      </c>
      <c r="X157" s="19" t="n">
        <f aca="false">IFERROR(INDEX(CADASTRO_PIVOS!$K$6:$K$41,MATCH($E157,CADASTRO_PIVOS!$B$6:$B$41,0)),EFICIENCIA_PADRAO)</f>
        <v>0.85</v>
      </c>
      <c r="Y157" s="18" t="n">
        <f aca="false">IF($X157&lt;=0,0,$W157/$X157)</f>
        <v>0</v>
      </c>
      <c r="Z157" s="16" t="n">
        <f aca="false">$Y157*$H157*MM_PARA_M3_HA</f>
        <v>0</v>
      </c>
      <c r="AA157" s="18" t="n">
        <f aca="false">IFERROR(INDEX(CADASTRO_PIVOS!$I$6:$I$41,MATCH($E157,CADASTRO_PIVOS!$B$6:$B$41,0)),0)</f>
        <v>714.714285714286</v>
      </c>
      <c r="AB157" s="18" t="n">
        <f aca="false">IF($Z157&lt;=0,0,$Z157/$AA157)</f>
        <v>0</v>
      </c>
      <c r="AC157" s="16" t="n">
        <f aca="false">IFERROR(INDEX(SEMANAS!$K$6:$K$71,MATCH($B157,SEMANAS!$B$6:$B$71,0)),0)</f>
        <v>147</v>
      </c>
      <c r="AD157" s="19" t="n">
        <f aca="false">IF($AC157&lt;=0,0,$AB157/$AC157)</f>
        <v>0</v>
      </c>
      <c r="AE157" s="8" t="str">
        <f aca="false">IF($K157="SEM CULTURA","SEM CULTURA",IF($AA157&lt;=0,"DADO PENDENTE",IF($AD157&gt;LIMITE_CRITICO,"INVIAVEL",IF($AD157&gt;LIMITE_ATENCAO,"CRITICO",IF($AD157&gt;LIMITE_CONFORTAVEL,"ATENCAO","OK")))))</f>
        <v>OK</v>
      </c>
      <c r="AF157" s="8" t="str">
        <f aca="false">$B157&amp;"|"&amp;TEXT($AD157,"0.000000")</f>
        <v>20|0.000000</v>
      </c>
      <c r="AG157" s="18" t="n">
        <f aca="false">IF($K157="SEM CULTURA",0,$T157*$H157)</f>
        <v>1800.03795502959</v>
      </c>
      <c r="AH157" s="18" t="n">
        <f aca="false">IF($K157="SEM CULTURA",0,$V157*$H157)</f>
        <v>3614.1672</v>
      </c>
      <c r="AI157" s="18" t="n">
        <f aca="false">IF($K157="SEM CULTURA",0,$W157*$H157)</f>
        <v>0</v>
      </c>
      <c r="AJ157" s="18" t="n">
        <f aca="false">IF($K157="SEM CULTURA",0,$S157*$H157)</f>
        <v>3362.016</v>
      </c>
      <c r="AK157" s="8" t="str">
        <f aca="false">$E157&amp;"|"&amp;TEXT($AD157,"0.000000")</f>
        <v>PV 108|0.000000</v>
      </c>
    </row>
    <row r="158" customFormat="false" ht="15" hidden="false" customHeight="false" outlineLevel="0" collapsed="false">
      <c r="B158" s="16" t="n">
        <v>21</v>
      </c>
      <c r="C158" s="17" t="n">
        <f aca="false">DATA_INICIO_SAFRA+($B158-1)*DIAS_POR_SEMANA</f>
        <v>46405</v>
      </c>
      <c r="D158" s="17" t="n">
        <f aca="false">$C158+DIAS_POR_SEMANA-1</f>
        <v>46411</v>
      </c>
      <c r="E158" s="15" t="s">
        <v>261</v>
      </c>
      <c r="F158" s="8" t="str">
        <f aca="false">IFERROR(INDEX(CADASTRO_PIVOS!$C$6:$C$41,MATCH($E158,CADASTRO_PIVOS!$B$6:$B$41,0)),"?")</f>
        <v>RM02</v>
      </c>
      <c r="G158" s="8" t="str">
        <f aca="false">IFERROR(INDEX(CADASTRO_PIVOS!$D$6:$D$41,MATCH($E158,CADASTRO_PIVOS!$B$6:$B$41,0)),"?")</f>
        <v>TR02</v>
      </c>
      <c r="H158" s="20" t="n">
        <f aca="false">IFERROR(INDEX(CADASTRO_PIVOS!$E$6:$E$41,MATCH($E158,CADASTRO_PIVOS!$B$6:$B$41,0)),0)</f>
        <v>100.06</v>
      </c>
      <c r="I158" s="16" t="n">
        <f aca="false">IFERROR(SUMIFS(ROTACAO_RDM!$B$6:$B$71,ROTACAO_RDM!$D$6:$D$71,$E158,ROTACAO_RDM!$I$6:$I$71,"&lt;="&amp;$C158+INT(DIAS_POR_SEMANA/2),ROTACAO_RDM!$J$6:$J$71,"&gt;="&amp;$C158+INT(DIAS_POR_SEMANA/2)),0)</f>
        <v>14</v>
      </c>
      <c r="J158" s="16" t="n">
        <f aca="false">IFERROR(MATCH($I158,ROTACAO_RDM!$B$6:$B$71,0),0)</f>
        <v>14</v>
      </c>
      <c r="K158" s="8" t="str">
        <f aca="false">IF($J158=0,"SEM CULTURA",INDEX(ROTACAO_RDM!$F$6:$F$71,$J158))</f>
        <v>ALGODAO</v>
      </c>
      <c r="L158" s="8" t="str">
        <f aca="false">IF($J158=0,"",INDEX(ROTACAO_RDM!$G$6:$G$71,$J158))</f>
        <v>FM 933 STP</v>
      </c>
      <c r="M158" s="17" t="n">
        <f aca="false">IF($J158=0,"",INDEX(ROTACAO_RDM!$I$6:$I$71,$J158))</f>
        <v>46360</v>
      </c>
      <c r="N158" s="16" t="n">
        <f aca="false">IF($J158=0,0,MAX(0,$C158+INT(DIAS_POR_SEMANA/2)-INDEX(ROTACAO_RDM!$I$6:$I$71,$J158)))</f>
        <v>48</v>
      </c>
      <c r="O158" s="19" t="n">
        <f aca="false">IF($J158=0,0,MIN(1,$N158/MAX(1,INDEX(ROTACAO_RDM!$K$6:$K$71,$J158))))</f>
        <v>0.246153846153846</v>
      </c>
      <c r="P158" s="16" t="n">
        <f aca="false">IF($J158=0,0,IFERROR(MATCH(INDEX(ROTACAO_RDM!$N$6:$N$71,$J158),PARAMETROS_CULTURAS!$B$6:$B$28,0),0))</f>
        <v>5</v>
      </c>
      <c r="Q158" s="8" t="str">
        <f aca="false">IF($P158=0,"-",IF($O158&lt;=INDEX(PARAMETROS_CULTURAS!$F$6:$F$28,$P158),"INICIAL",IF($O158&lt;=INDEX(PARAMETROS_CULTURAS!$F$6:$F$28,$P158)+INDEX(PARAMETROS_CULTURAS!$G$6:$G$28,$P158),"DESENVOLVIMENTO",IF($O158&lt;=INDEX(PARAMETROS_CULTURAS!$F$6:$F$28,$P158)+INDEX(PARAMETROS_CULTURAS!$G$6:$G$28,$P158)+INDEX(PARAMETROS_CULTURAS!$H$6:$H$28,$P158),"MEDIA","FINAL"))))</f>
        <v>DESENVOLVIMENTO</v>
      </c>
      <c r="R158" s="24" t="n">
        <f aca="false">IF($P158=0,0,IF($O158&lt;=INDEX(PARAMETROS_CULTURAS!$F$6:$F$28,$P158),INDEX(PARAMETROS_CULTURAS!$K$6:$K$28,$P158),IF($O158&lt;=INDEX(PARAMETROS_CULTURAS!$F$6:$F$28,$P158)+INDEX(PARAMETROS_CULTURAS!$G$6:$G$28,$P158),INDEX(PARAMETROS_CULTURAS!$K$6:$K$28,$P158)+(INDEX(PARAMETROS_CULTURAS!$L$6:$L$28,$P158)-INDEX(PARAMETROS_CULTURAS!$K$6:$K$28,$P158))*($O158-INDEX(PARAMETROS_CULTURAS!$F$6:$F$28,$P158))/MAX(INDEX(PARAMETROS_CULTURAS!$G$6:$G$28,$P158),0.0001),IF($O158&lt;=INDEX(PARAMETROS_CULTURAS!$F$6:$F$28,$P158)+INDEX(PARAMETROS_CULTURAS!$G$6:$G$28,$P158)+INDEX(PARAMETROS_CULTURAS!$H$6:$H$28,$P158),INDEX(PARAMETROS_CULTURAS!$L$6:$L$28,$P158),INDEX(PARAMETROS_CULTURAS!$L$6:$L$28,$P158)+(INDEX(PARAMETROS_CULTURAS!$M$6:$M$28,$P158)-INDEX(PARAMETROS_CULTURAS!$L$6:$L$28,$P158))*($O158-INDEX(PARAMETROS_CULTURAS!$F$6:$F$28,$P158)-INDEX(PARAMETROS_CULTURAS!$G$6:$G$28,$P158)-INDEX(PARAMETROS_CULTURAS!$H$6:$H$28,$P158))/MAX(INDEX(PARAMETROS_CULTURAS!$I$6:$I$28,$P158),0.0001)))))</f>
        <v>0.645857988165681</v>
      </c>
      <c r="S158" s="18" t="n">
        <f aca="false">IFERROR(INDEX(SEMANAS!$H$6:$H$71,MATCH($B158,SEMANAS!$B$6:$B$71,0)),0)</f>
        <v>33.6</v>
      </c>
      <c r="T158" s="18" t="n">
        <f aca="false">$R158*$S158</f>
        <v>21.7008284023669</v>
      </c>
      <c r="U158" s="18" t="n">
        <f aca="false">IFERROR(INDEX(SEMANAS!$I$6:$I$71,MATCH($B158,SEMANAS!$B$6:$B$71,0)),0)</f>
        <v>45.15</v>
      </c>
      <c r="V158" s="18" t="n">
        <f aca="false">IFERROR(INDEX(SEMANAS!$J$6:$J$71,MATCH($B158,SEMANAS!$B$6:$B$71,0)),0)</f>
        <v>36.12</v>
      </c>
      <c r="W158" s="18" t="n">
        <f aca="false">MAX(0,$T158-$V158)</f>
        <v>0</v>
      </c>
      <c r="X158" s="19" t="n">
        <f aca="false">IFERROR(INDEX(CADASTRO_PIVOS!$K$6:$K$41,MATCH($E158,CADASTRO_PIVOS!$B$6:$B$41,0)),EFICIENCIA_PADRAO)</f>
        <v>0.85</v>
      </c>
      <c r="Y158" s="18" t="n">
        <f aca="false">IF($X158&lt;=0,0,$W158/$X158)</f>
        <v>0</v>
      </c>
      <c r="Z158" s="16" t="n">
        <f aca="false">$Y158*$H158*MM_PARA_M3_HA</f>
        <v>0</v>
      </c>
      <c r="AA158" s="18" t="n">
        <f aca="false">IFERROR(INDEX(CADASTRO_PIVOS!$I$6:$I$41,MATCH($E158,CADASTRO_PIVOS!$B$6:$B$41,0)),0)</f>
        <v>714.714285714286</v>
      </c>
      <c r="AB158" s="18" t="n">
        <f aca="false">IF($Z158&lt;=0,0,$Z158/$AA158)</f>
        <v>0</v>
      </c>
      <c r="AC158" s="16" t="n">
        <f aca="false">IFERROR(INDEX(SEMANAS!$K$6:$K$71,MATCH($B158,SEMANAS!$B$6:$B$71,0)),0)</f>
        <v>147</v>
      </c>
      <c r="AD158" s="19" t="n">
        <f aca="false">IF($AC158&lt;=0,0,$AB158/$AC158)</f>
        <v>0</v>
      </c>
      <c r="AE158" s="8" t="str">
        <f aca="false">IF($K158="SEM CULTURA","SEM CULTURA",IF($AA158&lt;=0,"DADO PENDENTE",IF($AD158&gt;LIMITE_CRITICO,"INVIAVEL",IF($AD158&gt;LIMITE_ATENCAO,"CRITICO",IF($AD158&gt;LIMITE_CONFORTAVEL,"ATENCAO","OK")))))</f>
        <v>OK</v>
      </c>
      <c r="AF158" s="8" t="str">
        <f aca="false">$B158&amp;"|"&amp;TEXT($AD158,"0.000000")</f>
        <v>21|0.000000</v>
      </c>
      <c r="AG158" s="18" t="n">
        <f aca="false">IF($K158="SEM CULTURA",0,$T158*$H158)</f>
        <v>2171.38488994083</v>
      </c>
      <c r="AH158" s="18" t="n">
        <f aca="false">IF($K158="SEM CULTURA",0,$V158*$H158)</f>
        <v>3614.1672</v>
      </c>
      <c r="AI158" s="18" t="n">
        <f aca="false">IF($K158="SEM CULTURA",0,$W158*$H158)</f>
        <v>0</v>
      </c>
      <c r="AJ158" s="18" t="n">
        <f aca="false">IF($K158="SEM CULTURA",0,$S158*$H158)</f>
        <v>3362.016</v>
      </c>
      <c r="AK158" s="8" t="str">
        <f aca="false">$E158&amp;"|"&amp;TEXT($AD158,"0.000000")</f>
        <v>PV 108|0.000000</v>
      </c>
    </row>
    <row r="159" customFormat="false" ht="15" hidden="false" customHeight="false" outlineLevel="0" collapsed="false">
      <c r="B159" s="16" t="n">
        <v>22</v>
      </c>
      <c r="C159" s="17" t="n">
        <f aca="false">DATA_INICIO_SAFRA+($B159-1)*DIAS_POR_SEMANA</f>
        <v>46412</v>
      </c>
      <c r="D159" s="17" t="n">
        <f aca="false">$C159+DIAS_POR_SEMANA-1</f>
        <v>46418</v>
      </c>
      <c r="E159" s="15" t="s">
        <v>261</v>
      </c>
      <c r="F159" s="8" t="str">
        <f aca="false">IFERROR(INDEX(CADASTRO_PIVOS!$C$6:$C$41,MATCH($E159,CADASTRO_PIVOS!$B$6:$B$41,0)),"?")</f>
        <v>RM02</v>
      </c>
      <c r="G159" s="8" t="str">
        <f aca="false">IFERROR(INDEX(CADASTRO_PIVOS!$D$6:$D$41,MATCH($E159,CADASTRO_PIVOS!$B$6:$B$41,0)),"?")</f>
        <v>TR02</v>
      </c>
      <c r="H159" s="20" t="n">
        <f aca="false">IFERROR(INDEX(CADASTRO_PIVOS!$E$6:$E$41,MATCH($E159,CADASTRO_PIVOS!$B$6:$B$41,0)),0)</f>
        <v>100.06</v>
      </c>
      <c r="I159" s="16" t="n">
        <f aca="false">IFERROR(SUMIFS(ROTACAO_RDM!$B$6:$B$71,ROTACAO_RDM!$D$6:$D$71,$E159,ROTACAO_RDM!$I$6:$I$71,"&lt;="&amp;$C159+INT(DIAS_POR_SEMANA/2),ROTACAO_RDM!$J$6:$J$71,"&gt;="&amp;$C159+INT(DIAS_POR_SEMANA/2)),0)</f>
        <v>14</v>
      </c>
      <c r="J159" s="16" t="n">
        <f aca="false">IFERROR(MATCH($I159,ROTACAO_RDM!$B$6:$B$71,0),0)</f>
        <v>14</v>
      </c>
      <c r="K159" s="8" t="str">
        <f aca="false">IF($J159=0,"SEM CULTURA",INDEX(ROTACAO_RDM!$F$6:$F$71,$J159))</f>
        <v>ALGODAO</v>
      </c>
      <c r="L159" s="8" t="str">
        <f aca="false">IF($J159=0,"",INDEX(ROTACAO_RDM!$G$6:$G$71,$J159))</f>
        <v>FM 933 STP</v>
      </c>
      <c r="M159" s="17" t="n">
        <f aca="false">IF($J159=0,"",INDEX(ROTACAO_RDM!$I$6:$I$71,$J159))</f>
        <v>46360</v>
      </c>
      <c r="N159" s="16" t="n">
        <f aca="false">IF($J159=0,0,MAX(0,$C159+INT(DIAS_POR_SEMANA/2)-INDEX(ROTACAO_RDM!$I$6:$I$71,$J159)))</f>
        <v>55</v>
      </c>
      <c r="O159" s="19" t="n">
        <f aca="false">IF($J159=0,0,MIN(1,$N159/MAX(1,INDEX(ROTACAO_RDM!$K$6:$K$71,$J159))))</f>
        <v>0.282051282051282</v>
      </c>
      <c r="P159" s="16" t="n">
        <f aca="false">IF($J159=0,0,IFERROR(MATCH(INDEX(ROTACAO_RDM!$N$6:$N$71,$J159),PARAMETROS_CULTURAS!$B$6:$B$28,0),0))</f>
        <v>5</v>
      </c>
      <c r="Q159" s="8" t="str">
        <f aca="false">IF($P159=0,"-",IF($O159&lt;=INDEX(PARAMETROS_CULTURAS!$F$6:$F$28,$P159),"INICIAL",IF($O159&lt;=INDEX(PARAMETROS_CULTURAS!$F$6:$F$28,$P159)+INDEX(PARAMETROS_CULTURAS!$G$6:$G$28,$P159),"DESENVOLVIMENTO",IF($O159&lt;=INDEX(PARAMETROS_CULTURAS!$F$6:$F$28,$P159)+INDEX(PARAMETROS_CULTURAS!$G$6:$G$28,$P159)+INDEX(PARAMETROS_CULTURAS!$H$6:$H$28,$P159),"MEDIA","FINAL"))))</f>
        <v>DESENVOLVIMENTO</v>
      </c>
      <c r="R159" s="24" t="n">
        <f aca="false">IF($P159=0,0,IF($O159&lt;=INDEX(PARAMETROS_CULTURAS!$F$6:$F$28,$P159),INDEX(PARAMETROS_CULTURAS!$K$6:$K$28,$P159),IF($O159&lt;=INDEX(PARAMETROS_CULTURAS!$F$6:$F$28,$P159)+INDEX(PARAMETROS_CULTURAS!$G$6:$G$28,$P159),INDEX(PARAMETROS_CULTURAS!$K$6:$K$28,$P159)+(INDEX(PARAMETROS_CULTURAS!$L$6:$L$28,$P159)-INDEX(PARAMETROS_CULTURAS!$K$6:$K$28,$P159))*($O159-INDEX(PARAMETROS_CULTURAS!$F$6:$F$28,$P159))/MAX(INDEX(PARAMETROS_CULTURAS!$G$6:$G$28,$P159),0.0001),IF($O159&lt;=INDEX(PARAMETROS_CULTURAS!$F$6:$F$28,$P159)+INDEX(PARAMETROS_CULTURAS!$G$6:$G$28,$P159)+INDEX(PARAMETROS_CULTURAS!$H$6:$H$28,$P159),INDEX(PARAMETROS_CULTURAS!$L$6:$L$28,$P159),INDEX(PARAMETROS_CULTURAS!$L$6:$L$28,$P159)+(INDEX(PARAMETROS_CULTURAS!$M$6:$M$28,$P159)-INDEX(PARAMETROS_CULTURAS!$L$6:$L$28,$P159))*($O159-INDEX(PARAMETROS_CULTURAS!$F$6:$F$28,$P159)-INDEX(PARAMETROS_CULTURAS!$G$6:$G$28,$P159)-INDEX(PARAMETROS_CULTURAS!$H$6:$H$28,$P159))/MAX(INDEX(PARAMETROS_CULTURAS!$I$6:$I$28,$P159),0.0001)))))</f>
        <v>0.756311637080868</v>
      </c>
      <c r="S159" s="18" t="n">
        <f aca="false">IFERROR(INDEX(SEMANAS!$H$6:$H$71,MATCH($B159,SEMANAS!$B$6:$B$71,0)),0)</f>
        <v>33.6</v>
      </c>
      <c r="T159" s="18" t="n">
        <f aca="false">$R159*$S159</f>
        <v>25.4120710059172</v>
      </c>
      <c r="U159" s="18" t="n">
        <f aca="false">IFERROR(INDEX(SEMANAS!$I$6:$I$71,MATCH($B159,SEMANAS!$B$6:$B$71,0)),0)</f>
        <v>45.15</v>
      </c>
      <c r="V159" s="18" t="n">
        <f aca="false">IFERROR(INDEX(SEMANAS!$J$6:$J$71,MATCH($B159,SEMANAS!$B$6:$B$71,0)),0)</f>
        <v>36.12</v>
      </c>
      <c r="W159" s="18" t="n">
        <f aca="false">MAX(0,$T159-$V159)</f>
        <v>0</v>
      </c>
      <c r="X159" s="19" t="n">
        <f aca="false">IFERROR(INDEX(CADASTRO_PIVOS!$K$6:$K$41,MATCH($E159,CADASTRO_PIVOS!$B$6:$B$41,0)),EFICIENCIA_PADRAO)</f>
        <v>0.85</v>
      </c>
      <c r="Y159" s="18" t="n">
        <f aca="false">IF($X159&lt;=0,0,$W159/$X159)</f>
        <v>0</v>
      </c>
      <c r="Z159" s="16" t="n">
        <f aca="false">$Y159*$H159*MM_PARA_M3_HA</f>
        <v>0</v>
      </c>
      <c r="AA159" s="18" t="n">
        <f aca="false">IFERROR(INDEX(CADASTRO_PIVOS!$I$6:$I$41,MATCH($E159,CADASTRO_PIVOS!$B$6:$B$41,0)),0)</f>
        <v>714.714285714286</v>
      </c>
      <c r="AB159" s="18" t="n">
        <f aca="false">IF($Z159&lt;=0,0,$Z159/$AA159)</f>
        <v>0</v>
      </c>
      <c r="AC159" s="16" t="n">
        <f aca="false">IFERROR(INDEX(SEMANAS!$K$6:$K$71,MATCH($B159,SEMANAS!$B$6:$B$71,0)),0)</f>
        <v>147</v>
      </c>
      <c r="AD159" s="19" t="n">
        <f aca="false">IF($AC159&lt;=0,0,$AB159/$AC159)</f>
        <v>0</v>
      </c>
      <c r="AE159" s="8" t="str">
        <f aca="false">IF($K159="SEM CULTURA","SEM CULTURA",IF($AA159&lt;=0,"DADO PENDENTE",IF($AD159&gt;LIMITE_CRITICO,"INVIAVEL",IF($AD159&gt;LIMITE_ATENCAO,"CRITICO",IF($AD159&gt;LIMITE_CONFORTAVEL,"ATENCAO","OK")))))</f>
        <v>OK</v>
      </c>
      <c r="AF159" s="8" t="str">
        <f aca="false">$B159&amp;"|"&amp;TEXT($AD159,"0.000000")</f>
        <v>22|0.000000</v>
      </c>
      <c r="AG159" s="18" t="n">
        <f aca="false">IF($K159="SEM CULTURA",0,$T159*$H159)</f>
        <v>2542.73182485207</v>
      </c>
      <c r="AH159" s="18" t="n">
        <f aca="false">IF($K159="SEM CULTURA",0,$V159*$H159)</f>
        <v>3614.1672</v>
      </c>
      <c r="AI159" s="18" t="n">
        <f aca="false">IF($K159="SEM CULTURA",0,$W159*$H159)</f>
        <v>0</v>
      </c>
      <c r="AJ159" s="18" t="n">
        <f aca="false">IF($K159="SEM CULTURA",0,$S159*$H159)</f>
        <v>3362.016</v>
      </c>
      <c r="AK159" s="8" t="str">
        <f aca="false">$E159&amp;"|"&amp;TEXT($AD159,"0.000000")</f>
        <v>PV 108|0.000000</v>
      </c>
    </row>
    <row r="160" customFormat="false" ht="15" hidden="false" customHeight="false" outlineLevel="0" collapsed="false">
      <c r="B160" s="16" t="n">
        <v>23</v>
      </c>
      <c r="C160" s="17" t="n">
        <f aca="false">DATA_INICIO_SAFRA+($B160-1)*DIAS_POR_SEMANA</f>
        <v>46419</v>
      </c>
      <c r="D160" s="17" t="n">
        <f aca="false">$C160+DIAS_POR_SEMANA-1</f>
        <v>46425</v>
      </c>
      <c r="E160" s="15" t="s">
        <v>261</v>
      </c>
      <c r="F160" s="8" t="str">
        <f aca="false">IFERROR(INDEX(CADASTRO_PIVOS!$C$6:$C$41,MATCH($E160,CADASTRO_PIVOS!$B$6:$B$41,0)),"?")</f>
        <v>RM02</v>
      </c>
      <c r="G160" s="8" t="str">
        <f aca="false">IFERROR(INDEX(CADASTRO_PIVOS!$D$6:$D$41,MATCH($E160,CADASTRO_PIVOS!$B$6:$B$41,0)),"?")</f>
        <v>TR02</v>
      </c>
      <c r="H160" s="20" t="n">
        <f aca="false">IFERROR(INDEX(CADASTRO_PIVOS!$E$6:$E$41,MATCH($E160,CADASTRO_PIVOS!$B$6:$B$41,0)),0)</f>
        <v>100.06</v>
      </c>
      <c r="I160" s="16" t="n">
        <f aca="false">IFERROR(SUMIFS(ROTACAO_RDM!$B$6:$B$71,ROTACAO_RDM!$D$6:$D$71,$E160,ROTACAO_RDM!$I$6:$I$71,"&lt;="&amp;$C160+INT(DIAS_POR_SEMANA/2),ROTACAO_RDM!$J$6:$J$71,"&gt;="&amp;$C160+INT(DIAS_POR_SEMANA/2)),0)</f>
        <v>14</v>
      </c>
      <c r="J160" s="16" t="n">
        <f aca="false">IFERROR(MATCH($I160,ROTACAO_RDM!$B$6:$B$71,0),0)</f>
        <v>14</v>
      </c>
      <c r="K160" s="8" t="str">
        <f aca="false">IF($J160=0,"SEM CULTURA",INDEX(ROTACAO_RDM!$F$6:$F$71,$J160))</f>
        <v>ALGODAO</v>
      </c>
      <c r="L160" s="8" t="str">
        <f aca="false">IF($J160=0,"",INDEX(ROTACAO_RDM!$G$6:$G$71,$J160))</f>
        <v>FM 933 STP</v>
      </c>
      <c r="M160" s="17" t="n">
        <f aca="false">IF($J160=0,"",INDEX(ROTACAO_RDM!$I$6:$I$71,$J160))</f>
        <v>46360</v>
      </c>
      <c r="N160" s="16" t="n">
        <f aca="false">IF($J160=0,0,MAX(0,$C160+INT(DIAS_POR_SEMANA/2)-INDEX(ROTACAO_RDM!$I$6:$I$71,$J160)))</f>
        <v>62</v>
      </c>
      <c r="O160" s="19" t="n">
        <f aca="false">IF($J160=0,0,MIN(1,$N160/MAX(1,INDEX(ROTACAO_RDM!$K$6:$K$71,$J160))))</f>
        <v>0.317948717948718</v>
      </c>
      <c r="P160" s="16" t="n">
        <f aca="false">IF($J160=0,0,IFERROR(MATCH(INDEX(ROTACAO_RDM!$N$6:$N$71,$J160),PARAMETROS_CULTURAS!$B$6:$B$28,0),0))</f>
        <v>5</v>
      </c>
      <c r="Q160" s="8" t="str">
        <f aca="false">IF($P160=0,"-",IF($O160&lt;=INDEX(PARAMETROS_CULTURAS!$F$6:$F$28,$P160),"INICIAL",IF($O160&lt;=INDEX(PARAMETROS_CULTURAS!$F$6:$F$28,$P160)+INDEX(PARAMETROS_CULTURAS!$G$6:$G$28,$P160),"DESENVOLVIMENTO",IF($O160&lt;=INDEX(PARAMETROS_CULTURAS!$F$6:$F$28,$P160)+INDEX(PARAMETROS_CULTURAS!$G$6:$G$28,$P160)+INDEX(PARAMETROS_CULTURAS!$H$6:$H$28,$P160),"MEDIA","FINAL"))))</f>
        <v>DESENVOLVIMENTO</v>
      </c>
      <c r="R160" s="24" t="n">
        <f aca="false">IF($P160=0,0,IF($O160&lt;=INDEX(PARAMETROS_CULTURAS!$F$6:$F$28,$P160),INDEX(PARAMETROS_CULTURAS!$K$6:$K$28,$P160),IF($O160&lt;=INDEX(PARAMETROS_CULTURAS!$F$6:$F$28,$P160)+INDEX(PARAMETROS_CULTURAS!$G$6:$G$28,$P160),INDEX(PARAMETROS_CULTURAS!$K$6:$K$28,$P160)+(INDEX(PARAMETROS_CULTURAS!$L$6:$L$28,$P160)-INDEX(PARAMETROS_CULTURAS!$K$6:$K$28,$P160))*($O160-INDEX(PARAMETROS_CULTURAS!$F$6:$F$28,$P160))/MAX(INDEX(PARAMETROS_CULTURAS!$G$6:$G$28,$P160),0.0001),IF($O160&lt;=INDEX(PARAMETROS_CULTURAS!$F$6:$F$28,$P160)+INDEX(PARAMETROS_CULTURAS!$G$6:$G$28,$P160)+INDEX(PARAMETROS_CULTURAS!$H$6:$H$28,$P160),INDEX(PARAMETROS_CULTURAS!$L$6:$L$28,$P160),INDEX(PARAMETROS_CULTURAS!$L$6:$L$28,$P160)+(INDEX(PARAMETROS_CULTURAS!$M$6:$M$28,$P160)-INDEX(PARAMETROS_CULTURAS!$L$6:$L$28,$P160))*($O160-INDEX(PARAMETROS_CULTURAS!$F$6:$F$28,$P160)-INDEX(PARAMETROS_CULTURAS!$G$6:$G$28,$P160)-INDEX(PARAMETROS_CULTURAS!$H$6:$H$28,$P160))/MAX(INDEX(PARAMETROS_CULTURAS!$I$6:$I$28,$P160),0.0001)))))</f>
        <v>0.866765285996055</v>
      </c>
      <c r="S160" s="18" t="n">
        <f aca="false">IFERROR(INDEX(SEMANAS!$H$6:$H$71,MATCH($B160,SEMANAS!$B$6:$B$71,0)),0)</f>
        <v>32.9</v>
      </c>
      <c r="T160" s="18" t="n">
        <f aca="false">$R160*$S160</f>
        <v>28.5165779092702</v>
      </c>
      <c r="U160" s="18" t="n">
        <f aca="false">IFERROR(INDEX(SEMANAS!$I$6:$I$71,MATCH($B160,SEMANAS!$B$6:$B$71,0)),0)</f>
        <v>39.97</v>
      </c>
      <c r="V160" s="18" t="n">
        <f aca="false">IFERROR(INDEX(SEMANAS!$J$6:$J$71,MATCH($B160,SEMANAS!$B$6:$B$71,0)),0)</f>
        <v>31.976</v>
      </c>
      <c r="W160" s="18" t="n">
        <f aca="false">MAX(0,$T160-$V160)</f>
        <v>0</v>
      </c>
      <c r="X160" s="19" t="n">
        <f aca="false">IFERROR(INDEX(CADASTRO_PIVOS!$K$6:$K$41,MATCH($E160,CADASTRO_PIVOS!$B$6:$B$41,0)),EFICIENCIA_PADRAO)</f>
        <v>0.85</v>
      </c>
      <c r="Y160" s="18" t="n">
        <f aca="false">IF($X160&lt;=0,0,$W160/$X160)</f>
        <v>0</v>
      </c>
      <c r="Z160" s="16" t="n">
        <f aca="false">$Y160*$H160*MM_PARA_M3_HA</f>
        <v>0</v>
      </c>
      <c r="AA160" s="18" t="n">
        <f aca="false">IFERROR(INDEX(CADASTRO_PIVOS!$I$6:$I$41,MATCH($E160,CADASTRO_PIVOS!$B$6:$B$41,0)),0)</f>
        <v>714.714285714286</v>
      </c>
      <c r="AB160" s="18" t="n">
        <f aca="false">IF($Z160&lt;=0,0,$Z160/$AA160)</f>
        <v>0</v>
      </c>
      <c r="AC160" s="16" t="n">
        <f aca="false">IFERROR(INDEX(SEMANAS!$K$6:$K$71,MATCH($B160,SEMANAS!$B$6:$B$71,0)),0)</f>
        <v>147</v>
      </c>
      <c r="AD160" s="19" t="n">
        <f aca="false">IF($AC160&lt;=0,0,$AB160/$AC160)</f>
        <v>0</v>
      </c>
      <c r="AE160" s="8" t="str">
        <f aca="false">IF($K160="SEM CULTURA","SEM CULTURA",IF($AA160&lt;=0,"DADO PENDENTE",IF($AD160&gt;LIMITE_CRITICO,"INVIAVEL",IF($AD160&gt;LIMITE_ATENCAO,"CRITICO",IF($AD160&gt;LIMITE_CONFORTAVEL,"ATENCAO","OK")))))</f>
        <v>OK</v>
      </c>
      <c r="AF160" s="8" t="str">
        <f aca="false">$B160&amp;"|"&amp;TEXT($AD160,"0.000000")</f>
        <v>23|0.000000</v>
      </c>
      <c r="AG160" s="18" t="n">
        <f aca="false">IF($K160="SEM CULTURA",0,$T160*$H160)</f>
        <v>2853.36878560158</v>
      </c>
      <c r="AH160" s="18" t="n">
        <f aca="false">IF($K160="SEM CULTURA",0,$V160*$H160)</f>
        <v>3199.51856</v>
      </c>
      <c r="AI160" s="18" t="n">
        <f aca="false">IF($K160="SEM CULTURA",0,$W160*$H160)</f>
        <v>0</v>
      </c>
      <c r="AJ160" s="18" t="n">
        <f aca="false">IF($K160="SEM CULTURA",0,$S160*$H160)</f>
        <v>3291.974</v>
      </c>
      <c r="AK160" s="8" t="str">
        <f aca="false">$E160&amp;"|"&amp;TEXT($AD160,"0.000000")</f>
        <v>PV 108|0.000000</v>
      </c>
    </row>
    <row r="161" customFormat="false" ht="15" hidden="false" customHeight="false" outlineLevel="0" collapsed="false">
      <c r="B161" s="16" t="n">
        <v>24</v>
      </c>
      <c r="C161" s="17" t="n">
        <f aca="false">DATA_INICIO_SAFRA+($B161-1)*DIAS_POR_SEMANA</f>
        <v>46426</v>
      </c>
      <c r="D161" s="17" t="n">
        <f aca="false">$C161+DIAS_POR_SEMANA-1</f>
        <v>46432</v>
      </c>
      <c r="E161" s="15" t="s">
        <v>261</v>
      </c>
      <c r="F161" s="8" t="str">
        <f aca="false">IFERROR(INDEX(CADASTRO_PIVOS!$C$6:$C$41,MATCH($E161,CADASTRO_PIVOS!$B$6:$B$41,0)),"?")</f>
        <v>RM02</v>
      </c>
      <c r="G161" s="8" t="str">
        <f aca="false">IFERROR(INDEX(CADASTRO_PIVOS!$D$6:$D$41,MATCH($E161,CADASTRO_PIVOS!$B$6:$B$41,0)),"?")</f>
        <v>TR02</v>
      </c>
      <c r="H161" s="20" t="n">
        <f aca="false">IFERROR(INDEX(CADASTRO_PIVOS!$E$6:$E$41,MATCH($E161,CADASTRO_PIVOS!$B$6:$B$41,0)),0)</f>
        <v>100.06</v>
      </c>
      <c r="I161" s="16" t="n">
        <f aca="false">IFERROR(SUMIFS(ROTACAO_RDM!$B$6:$B$71,ROTACAO_RDM!$D$6:$D$71,$E161,ROTACAO_RDM!$I$6:$I$71,"&lt;="&amp;$C161+INT(DIAS_POR_SEMANA/2),ROTACAO_RDM!$J$6:$J$71,"&gt;="&amp;$C161+INT(DIAS_POR_SEMANA/2)),0)</f>
        <v>14</v>
      </c>
      <c r="J161" s="16" t="n">
        <f aca="false">IFERROR(MATCH($I161,ROTACAO_RDM!$B$6:$B$71,0),0)</f>
        <v>14</v>
      </c>
      <c r="K161" s="8" t="str">
        <f aca="false">IF($J161=0,"SEM CULTURA",INDEX(ROTACAO_RDM!$F$6:$F$71,$J161))</f>
        <v>ALGODAO</v>
      </c>
      <c r="L161" s="8" t="str">
        <f aca="false">IF($J161=0,"",INDEX(ROTACAO_RDM!$G$6:$G$71,$J161))</f>
        <v>FM 933 STP</v>
      </c>
      <c r="M161" s="17" t="n">
        <f aca="false">IF($J161=0,"",INDEX(ROTACAO_RDM!$I$6:$I$71,$J161))</f>
        <v>46360</v>
      </c>
      <c r="N161" s="16" t="n">
        <f aca="false">IF($J161=0,0,MAX(0,$C161+INT(DIAS_POR_SEMANA/2)-INDEX(ROTACAO_RDM!$I$6:$I$71,$J161)))</f>
        <v>69</v>
      </c>
      <c r="O161" s="19" t="n">
        <f aca="false">IF($J161=0,0,MIN(1,$N161/MAX(1,INDEX(ROTACAO_RDM!$K$6:$K$71,$J161))))</f>
        <v>0.353846153846154</v>
      </c>
      <c r="P161" s="16" t="n">
        <f aca="false">IF($J161=0,0,IFERROR(MATCH(INDEX(ROTACAO_RDM!$N$6:$N$71,$J161),PARAMETROS_CULTURAS!$B$6:$B$28,0),0))</f>
        <v>5</v>
      </c>
      <c r="Q161" s="8" t="str">
        <f aca="false">IF($P161=0,"-",IF($O161&lt;=INDEX(PARAMETROS_CULTURAS!$F$6:$F$28,$P161),"INICIAL",IF($O161&lt;=INDEX(PARAMETROS_CULTURAS!$F$6:$F$28,$P161)+INDEX(PARAMETROS_CULTURAS!$G$6:$G$28,$P161),"DESENVOLVIMENTO",IF($O161&lt;=INDEX(PARAMETROS_CULTURAS!$F$6:$F$28,$P161)+INDEX(PARAMETROS_CULTURAS!$G$6:$G$28,$P161)+INDEX(PARAMETROS_CULTURAS!$H$6:$H$28,$P161),"MEDIA","FINAL"))))</f>
        <v>DESENVOLVIMENTO</v>
      </c>
      <c r="R161" s="24" t="n">
        <f aca="false">IF($P161=0,0,IF($O161&lt;=INDEX(PARAMETROS_CULTURAS!$F$6:$F$28,$P161),INDEX(PARAMETROS_CULTURAS!$K$6:$K$28,$P161),IF($O161&lt;=INDEX(PARAMETROS_CULTURAS!$F$6:$F$28,$P161)+INDEX(PARAMETROS_CULTURAS!$G$6:$G$28,$P161),INDEX(PARAMETROS_CULTURAS!$K$6:$K$28,$P161)+(INDEX(PARAMETROS_CULTURAS!$L$6:$L$28,$P161)-INDEX(PARAMETROS_CULTURAS!$K$6:$K$28,$P161))*($O161-INDEX(PARAMETROS_CULTURAS!$F$6:$F$28,$P161))/MAX(INDEX(PARAMETROS_CULTURAS!$G$6:$G$28,$P161),0.0001),IF($O161&lt;=INDEX(PARAMETROS_CULTURAS!$F$6:$F$28,$P161)+INDEX(PARAMETROS_CULTURAS!$G$6:$G$28,$P161)+INDEX(PARAMETROS_CULTURAS!$H$6:$H$28,$P161),INDEX(PARAMETROS_CULTURAS!$L$6:$L$28,$P161),INDEX(PARAMETROS_CULTURAS!$L$6:$L$28,$P161)+(INDEX(PARAMETROS_CULTURAS!$M$6:$M$28,$P161)-INDEX(PARAMETROS_CULTURAS!$L$6:$L$28,$P161))*($O161-INDEX(PARAMETROS_CULTURAS!$F$6:$F$28,$P161)-INDEX(PARAMETROS_CULTURAS!$G$6:$G$28,$P161)-INDEX(PARAMETROS_CULTURAS!$H$6:$H$28,$P161))/MAX(INDEX(PARAMETROS_CULTURAS!$I$6:$I$28,$P161),0.0001)))))</f>
        <v>0.977218934911243</v>
      </c>
      <c r="S161" s="18" t="n">
        <f aca="false">IFERROR(INDEX(SEMANAS!$H$6:$H$71,MATCH($B161,SEMANAS!$B$6:$B$71,0)),0)</f>
        <v>32.9</v>
      </c>
      <c r="T161" s="18" t="n">
        <f aca="false">$R161*$S161</f>
        <v>32.1505029585799</v>
      </c>
      <c r="U161" s="18" t="n">
        <f aca="false">IFERROR(INDEX(SEMANAS!$I$6:$I$71,MATCH($B161,SEMANAS!$B$6:$B$71,0)),0)</f>
        <v>39.97</v>
      </c>
      <c r="V161" s="18" t="n">
        <f aca="false">IFERROR(INDEX(SEMANAS!$J$6:$J$71,MATCH($B161,SEMANAS!$B$6:$B$71,0)),0)</f>
        <v>31.976</v>
      </c>
      <c r="W161" s="18" t="n">
        <f aca="false">MAX(0,$T161-$V161)</f>
        <v>0.174502958579875</v>
      </c>
      <c r="X161" s="19" t="n">
        <f aca="false">IFERROR(INDEX(CADASTRO_PIVOS!$K$6:$K$41,MATCH($E161,CADASTRO_PIVOS!$B$6:$B$41,0)),EFICIENCIA_PADRAO)</f>
        <v>0.85</v>
      </c>
      <c r="Y161" s="18" t="n">
        <f aca="false">IF($X161&lt;=0,0,$W161/$X161)</f>
        <v>0.205297598329265</v>
      </c>
      <c r="Z161" s="16" t="n">
        <f aca="false">$Y161*$H161*MM_PARA_M3_HA</f>
        <v>205.420776888263</v>
      </c>
      <c r="AA161" s="18" t="n">
        <f aca="false">IFERROR(INDEX(CADASTRO_PIVOS!$I$6:$I$41,MATCH($E161,CADASTRO_PIVOS!$B$6:$B$41,0)),0)</f>
        <v>714.714285714286</v>
      </c>
      <c r="AB161" s="18" t="n">
        <f aca="false">IF($Z161&lt;=0,0,$Z161/$AA161)</f>
        <v>0.287416637660971</v>
      </c>
      <c r="AC161" s="16" t="n">
        <f aca="false">IFERROR(INDEX(SEMANAS!$K$6:$K$71,MATCH($B161,SEMANAS!$B$6:$B$71,0)),0)</f>
        <v>147</v>
      </c>
      <c r="AD161" s="19" t="n">
        <f aca="false">IF($AC161&lt;=0,0,$AB161/$AC161)</f>
        <v>0.00195521522218348</v>
      </c>
      <c r="AE161" s="8" t="str">
        <f aca="false">IF($K161="SEM CULTURA","SEM CULTURA",IF($AA161&lt;=0,"DADO PENDENTE",IF($AD161&gt;LIMITE_CRITICO,"INVIAVEL",IF($AD161&gt;LIMITE_ATENCAO,"CRITICO",IF($AD161&gt;LIMITE_CONFORTAVEL,"ATENCAO","OK")))))</f>
        <v>OK</v>
      </c>
      <c r="AF161" s="8" t="str">
        <f aca="false">$B161&amp;"|"&amp;TEXT($AD161,"0.000000")</f>
        <v>24|0.001955</v>
      </c>
      <c r="AG161" s="18" t="n">
        <f aca="false">IF($K161="SEM CULTURA",0,$T161*$H161)</f>
        <v>3216.9793260355</v>
      </c>
      <c r="AH161" s="18" t="n">
        <f aca="false">IF($K161="SEM CULTURA",0,$V161*$H161)</f>
        <v>3199.51856</v>
      </c>
      <c r="AI161" s="18" t="n">
        <f aca="false">IF($K161="SEM CULTURA",0,$W161*$H161)</f>
        <v>17.4607660355023</v>
      </c>
      <c r="AJ161" s="18" t="n">
        <f aca="false">IF($K161="SEM CULTURA",0,$S161*$H161)</f>
        <v>3291.974</v>
      </c>
      <c r="AK161" s="8" t="str">
        <f aca="false">$E161&amp;"|"&amp;TEXT($AD161,"0.000000")</f>
        <v>PV 108|0.001955</v>
      </c>
    </row>
    <row r="162" customFormat="false" ht="15" hidden="false" customHeight="false" outlineLevel="0" collapsed="false">
      <c r="B162" s="16" t="n">
        <v>25</v>
      </c>
      <c r="C162" s="17" t="n">
        <f aca="false">DATA_INICIO_SAFRA+($B162-1)*DIAS_POR_SEMANA</f>
        <v>46433</v>
      </c>
      <c r="D162" s="17" t="n">
        <f aca="false">$C162+DIAS_POR_SEMANA-1</f>
        <v>46439</v>
      </c>
      <c r="E162" s="15" t="s">
        <v>261</v>
      </c>
      <c r="F162" s="8" t="str">
        <f aca="false">IFERROR(INDEX(CADASTRO_PIVOS!$C$6:$C$41,MATCH($E162,CADASTRO_PIVOS!$B$6:$B$41,0)),"?")</f>
        <v>RM02</v>
      </c>
      <c r="G162" s="8" t="str">
        <f aca="false">IFERROR(INDEX(CADASTRO_PIVOS!$D$6:$D$41,MATCH($E162,CADASTRO_PIVOS!$B$6:$B$41,0)),"?")</f>
        <v>TR02</v>
      </c>
      <c r="H162" s="20" t="n">
        <f aca="false">IFERROR(INDEX(CADASTRO_PIVOS!$E$6:$E$41,MATCH($E162,CADASTRO_PIVOS!$B$6:$B$41,0)),0)</f>
        <v>100.06</v>
      </c>
      <c r="I162" s="16" t="n">
        <f aca="false">IFERROR(SUMIFS(ROTACAO_RDM!$B$6:$B$71,ROTACAO_RDM!$D$6:$D$71,$E162,ROTACAO_RDM!$I$6:$I$71,"&lt;="&amp;$C162+INT(DIAS_POR_SEMANA/2),ROTACAO_RDM!$J$6:$J$71,"&gt;="&amp;$C162+INT(DIAS_POR_SEMANA/2)),0)</f>
        <v>14</v>
      </c>
      <c r="J162" s="16" t="n">
        <f aca="false">IFERROR(MATCH($I162,ROTACAO_RDM!$B$6:$B$71,0),0)</f>
        <v>14</v>
      </c>
      <c r="K162" s="8" t="str">
        <f aca="false">IF($J162=0,"SEM CULTURA",INDEX(ROTACAO_RDM!$F$6:$F$71,$J162))</f>
        <v>ALGODAO</v>
      </c>
      <c r="L162" s="8" t="str">
        <f aca="false">IF($J162=0,"",INDEX(ROTACAO_RDM!$G$6:$G$71,$J162))</f>
        <v>FM 933 STP</v>
      </c>
      <c r="M162" s="17" t="n">
        <f aca="false">IF($J162=0,"",INDEX(ROTACAO_RDM!$I$6:$I$71,$J162))</f>
        <v>46360</v>
      </c>
      <c r="N162" s="16" t="n">
        <f aca="false">IF($J162=0,0,MAX(0,$C162+INT(DIAS_POR_SEMANA/2)-INDEX(ROTACAO_RDM!$I$6:$I$71,$J162)))</f>
        <v>76</v>
      </c>
      <c r="O162" s="19" t="n">
        <f aca="false">IF($J162=0,0,MIN(1,$N162/MAX(1,INDEX(ROTACAO_RDM!$K$6:$K$71,$J162))))</f>
        <v>0.38974358974359</v>
      </c>
      <c r="P162" s="16" t="n">
        <f aca="false">IF($J162=0,0,IFERROR(MATCH(INDEX(ROTACAO_RDM!$N$6:$N$71,$J162),PARAMETROS_CULTURAS!$B$6:$B$28,0),0))</f>
        <v>5</v>
      </c>
      <c r="Q162" s="8" t="str">
        <f aca="false">IF($P162=0,"-",IF($O162&lt;=INDEX(PARAMETROS_CULTURAS!$F$6:$F$28,$P162),"INICIAL",IF($O162&lt;=INDEX(PARAMETROS_CULTURAS!$F$6:$F$28,$P162)+INDEX(PARAMETROS_CULTURAS!$G$6:$G$28,$P162),"DESENVOLVIMENTO",IF($O162&lt;=INDEX(PARAMETROS_CULTURAS!$F$6:$F$28,$P162)+INDEX(PARAMETROS_CULTURAS!$G$6:$G$28,$P162)+INDEX(PARAMETROS_CULTURAS!$H$6:$H$28,$P162),"MEDIA","FINAL"))))</f>
        <v>DESENVOLVIMENTO</v>
      </c>
      <c r="R162" s="24" t="n">
        <f aca="false">IF($P162=0,0,IF($O162&lt;=INDEX(PARAMETROS_CULTURAS!$F$6:$F$28,$P162),INDEX(PARAMETROS_CULTURAS!$K$6:$K$28,$P162),IF($O162&lt;=INDEX(PARAMETROS_CULTURAS!$F$6:$F$28,$P162)+INDEX(PARAMETROS_CULTURAS!$G$6:$G$28,$P162),INDEX(PARAMETROS_CULTURAS!$K$6:$K$28,$P162)+(INDEX(PARAMETROS_CULTURAS!$L$6:$L$28,$P162)-INDEX(PARAMETROS_CULTURAS!$K$6:$K$28,$P162))*($O162-INDEX(PARAMETROS_CULTURAS!$F$6:$F$28,$P162))/MAX(INDEX(PARAMETROS_CULTURAS!$G$6:$G$28,$P162),0.0001),IF($O162&lt;=INDEX(PARAMETROS_CULTURAS!$F$6:$F$28,$P162)+INDEX(PARAMETROS_CULTURAS!$G$6:$G$28,$P162)+INDEX(PARAMETROS_CULTURAS!$H$6:$H$28,$P162),INDEX(PARAMETROS_CULTURAS!$L$6:$L$28,$P162),INDEX(PARAMETROS_CULTURAS!$L$6:$L$28,$P162)+(INDEX(PARAMETROS_CULTURAS!$M$6:$M$28,$P162)-INDEX(PARAMETROS_CULTURAS!$L$6:$L$28,$P162))*($O162-INDEX(PARAMETROS_CULTURAS!$F$6:$F$28,$P162)-INDEX(PARAMETROS_CULTURAS!$G$6:$G$28,$P162)-INDEX(PARAMETROS_CULTURAS!$H$6:$H$28,$P162))/MAX(INDEX(PARAMETROS_CULTURAS!$I$6:$I$28,$P162),0.0001)))))</f>
        <v>1.08767258382643</v>
      </c>
      <c r="S162" s="18" t="n">
        <f aca="false">IFERROR(INDEX(SEMANAS!$H$6:$H$71,MATCH($B162,SEMANAS!$B$6:$B$71,0)),0)</f>
        <v>32.9</v>
      </c>
      <c r="T162" s="18" t="n">
        <f aca="false">$R162*$S162</f>
        <v>35.7844280078895</v>
      </c>
      <c r="U162" s="18" t="n">
        <f aca="false">IFERROR(INDEX(SEMANAS!$I$6:$I$71,MATCH($B162,SEMANAS!$B$6:$B$71,0)),0)</f>
        <v>39.97</v>
      </c>
      <c r="V162" s="18" t="n">
        <f aca="false">IFERROR(INDEX(SEMANAS!$J$6:$J$71,MATCH($B162,SEMANAS!$B$6:$B$71,0)),0)</f>
        <v>31.976</v>
      </c>
      <c r="W162" s="18" t="n">
        <f aca="false">MAX(0,$T162-$V162)</f>
        <v>3.80842800788954</v>
      </c>
      <c r="X162" s="19" t="n">
        <f aca="false">IFERROR(INDEX(CADASTRO_PIVOS!$K$6:$K$41,MATCH($E162,CADASTRO_PIVOS!$B$6:$B$41,0)),EFICIENCIA_PADRAO)</f>
        <v>0.85</v>
      </c>
      <c r="Y162" s="18" t="n">
        <f aca="false">IF($X162&lt;=0,0,$W162/$X162)</f>
        <v>4.48050353869357</v>
      </c>
      <c r="Z162" s="16" t="n">
        <f aca="false">$Y162*$H162*MM_PARA_M3_HA</f>
        <v>4483.19184081679</v>
      </c>
      <c r="AA162" s="18" t="n">
        <f aca="false">IFERROR(INDEX(CADASTRO_PIVOS!$I$6:$I$41,MATCH($E162,CADASTRO_PIVOS!$B$6:$B$41,0)),0)</f>
        <v>714.714285714286</v>
      </c>
      <c r="AB162" s="18" t="n">
        <f aca="false">IF($Z162&lt;=0,0,$Z162/$AA162)</f>
        <v>6.272704954171</v>
      </c>
      <c r="AC162" s="16" t="n">
        <f aca="false">IFERROR(INDEX(SEMANAS!$K$6:$K$71,MATCH($B162,SEMANAS!$B$6:$B$71,0)),0)</f>
        <v>147</v>
      </c>
      <c r="AD162" s="19" t="n">
        <f aca="false">IF($AC162&lt;=0,0,$AB162/$AC162)</f>
        <v>0.0426714622732721</v>
      </c>
      <c r="AE162" s="8" t="str">
        <f aca="false">IF($K162="SEM CULTURA","SEM CULTURA",IF($AA162&lt;=0,"DADO PENDENTE",IF($AD162&gt;LIMITE_CRITICO,"INVIAVEL",IF($AD162&gt;LIMITE_ATENCAO,"CRITICO",IF($AD162&gt;LIMITE_CONFORTAVEL,"ATENCAO","OK")))))</f>
        <v>OK</v>
      </c>
      <c r="AF162" s="8" t="str">
        <f aca="false">$B162&amp;"|"&amp;TEXT($AD162,"0.000000")</f>
        <v>25|0.042671</v>
      </c>
      <c r="AG162" s="18" t="n">
        <f aca="false">IF($K162="SEM CULTURA",0,$T162*$H162)</f>
        <v>3580.58986646943</v>
      </c>
      <c r="AH162" s="18" t="n">
        <f aca="false">IF($K162="SEM CULTURA",0,$V162*$H162)</f>
        <v>3199.51856</v>
      </c>
      <c r="AI162" s="18" t="n">
        <f aca="false">IF($K162="SEM CULTURA",0,$W162*$H162)</f>
        <v>381.071306469427</v>
      </c>
      <c r="AJ162" s="18" t="n">
        <f aca="false">IF($K162="SEM CULTURA",0,$S162*$H162)</f>
        <v>3291.974</v>
      </c>
      <c r="AK162" s="8" t="str">
        <f aca="false">$E162&amp;"|"&amp;TEXT($AD162,"0.000000")</f>
        <v>PV 108|0.042671</v>
      </c>
    </row>
    <row r="163" customFormat="false" ht="15" hidden="false" customHeight="false" outlineLevel="0" collapsed="false">
      <c r="B163" s="16" t="n">
        <v>26</v>
      </c>
      <c r="C163" s="17" t="n">
        <f aca="false">DATA_INICIO_SAFRA+($B163-1)*DIAS_POR_SEMANA</f>
        <v>46440</v>
      </c>
      <c r="D163" s="17" t="n">
        <f aca="false">$C163+DIAS_POR_SEMANA-1</f>
        <v>46446</v>
      </c>
      <c r="E163" s="15" t="s">
        <v>261</v>
      </c>
      <c r="F163" s="8" t="str">
        <f aca="false">IFERROR(INDEX(CADASTRO_PIVOS!$C$6:$C$41,MATCH($E163,CADASTRO_PIVOS!$B$6:$B$41,0)),"?")</f>
        <v>RM02</v>
      </c>
      <c r="G163" s="8" t="str">
        <f aca="false">IFERROR(INDEX(CADASTRO_PIVOS!$D$6:$D$41,MATCH($E163,CADASTRO_PIVOS!$B$6:$B$41,0)),"?")</f>
        <v>TR02</v>
      </c>
      <c r="H163" s="20" t="n">
        <f aca="false">IFERROR(INDEX(CADASTRO_PIVOS!$E$6:$E$41,MATCH($E163,CADASTRO_PIVOS!$B$6:$B$41,0)),0)</f>
        <v>100.06</v>
      </c>
      <c r="I163" s="16" t="n">
        <f aca="false">IFERROR(SUMIFS(ROTACAO_RDM!$B$6:$B$71,ROTACAO_RDM!$D$6:$D$71,$E163,ROTACAO_RDM!$I$6:$I$71,"&lt;="&amp;$C163+INT(DIAS_POR_SEMANA/2),ROTACAO_RDM!$J$6:$J$71,"&gt;="&amp;$C163+INT(DIAS_POR_SEMANA/2)),0)</f>
        <v>14</v>
      </c>
      <c r="J163" s="16" t="n">
        <f aca="false">IFERROR(MATCH($I163,ROTACAO_RDM!$B$6:$B$71,0),0)</f>
        <v>14</v>
      </c>
      <c r="K163" s="8" t="str">
        <f aca="false">IF($J163=0,"SEM CULTURA",INDEX(ROTACAO_RDM!$F$6:$F$71,$J163))</f>
        <v>ALGODAO</v>
      </c>
      <c r="L163" s="8" t="str">
        <f aca="false">IF($J163=0,"",INDEX(ROTACAO_RDM!$G$6:$G$71,$J163))</f>
        <v>FM 933 STP</v>
      </c>
      <c r="M163" s="17" t="n">
        <f aca="false">IF($J163=0,"",INDEX(ROTACAO_RDM!$I$6:$I$71,$J163))</f>
        <v>46360</v>
      </c>
      <c r="N163" s="16" t="n">
        <f aca="false">IF($J163=0,0,MAX(0,$C163+INT(DIAS_POR_SEMANA/2)-INDEX(ROTACAO_RDM!$I$6:$I$71,$J163)))</f>
        <v>83</v>
      </c>
      <c r="O163" s="19" t="n">
        <f aca="false">IF($J163=0,0,MIN(1,$N163/MAX(1,INDEX(ROTACAO_RDM!$K$6:$K$71,$J163))))</f>
        <v>0.425641025641026</v>
      </c>
      <c r="P163" s="16" t="n">
        <f aca="false">IF($J163=0,0,IFERROR(MATCH(INDEX(ROTACAO_RDM!$N$6:$N$71,$J163),PARAMETROS_CULTURAS!$B$6:$B$28,0),0))</f>
        <v>5</v>
      </c>
      <c r="Q163" s="8" t="str">
        <f aca="false">IF($P163=0,"-",IF($O163&lt;=INDEX(PARAMETROS_CULTURAS!$F$6:$F$28,$P163),"INICIAL",IF($O163&lt;=INDEX(PARAMETROS_CULTURAS!$F$6:$F$28,$P163)+INDEX(PARAMETROS_CULTURAS!$G$6:$G$28,$P163),"DESENVOLVIMENTO",IF($O163&lt;=INDEX(PARAMETROS_CULTURAS!$F$6:$F$28,$P163)+INDEX(PARAMETROS_CULTURAS!$G$6:$G$28,$P163)+INDEX(PARAMETROS_CULTURAS!$H$6:$H$28,$P163),"MEDIA","FINAL"))))</f>
        <v>MEDIA</v>
      </c>
      <c r="R163" s="24" t="n">
        <f aca="false">IF($P163=0,0,IF($O163&lt;=INDEX(PARAMETROS_CULTURAS!$F$6:$F$28,$P163),INDEX(PARAMETROS_CULTURAS!$K$6:$K$28,$P163),IF($O163&lt;=INDEX(PARAMETROS_CULTURAS!$F$6:$F$28,$P163)+INDEX(PARAMETROS_CULTURAS!$G$6:$G$28,$P163),INDEX(PARAMETROS_CULTURAS!$K$6:$K$28,$P163)+(INDEX(PARAMETROS_CULTURAS!$L$6:$L$28,$P163)-INDEX(PARAMETROS_CULTURAS!$K$6:$K$28,$P163))*($O163-INDEX(PARAMETROS_CULTURAS!$F$6:$F$28,$P163))/MAX(INDEX(PARAMETROS_CULTURAS!$G$6:$G$28,$P163),0.0001),IF($O163&lt;=INDEX(PARAMETROS_CULTURAS!$F$6:$F$28,$P163)+INDEX(PARAMETROS_CULTURAS!$G$6:$G$28,$P163)+INDEX(PARAMETROS_CULTURAS!$H$6:$H$28,$P163),INDEX(PARAMETROS_CULTURAS!$L$6:$L$28,$P163),INDEX(PARAMETROS_CULTURAS!$L$6:$L$28,$P163)+(INDEX(PARAMETROS_CULTURAS!$M$6:$M$28,$P163)-INDEX(PARAMETROS_CULTURAS!$L$6:$L$28,$P163))*($O163-INDEX(PARAMETROS_CULTURAS!$F$6:$F$28,$P163)-INDEX(PARAMETROS_CULTURAS!$G$6:$G$28,$P163)-INDEX(PARAMETROS_CULTURAS!$H$6:$H$28,$P163))/MAX(INDEX(PARAMETROS_CULTURAS!$I$6:$I$28,$P163),0.0001)))))</f>
        <v>1.15</v>
      </c>
      <c r="S163" s="18" t="n">
        <f aca="false">IFERROR(INDEX(SEMANAS!$H$6:$H$71,MATCH($B163,SEMANAS!$B$6:$B$71,0)),0)</f>
        <v>32.9</v>
      </c>
      <c r="T163" s="18" t="n">
        <f aca="false">$R163*$S163</f>
        <v>37.835</v>
      </c>
      <c r="U163" s="18" t="n">
        <f aca="false">IFERROR(INDEX(SEMANAS!$I$6:$I$71,MATCH($B163,SEMANAS!$B$6:$B$71,0)),0)</f>
        <v>39.97</v>
      </c>
      <c r="V163" s="18" t="n">
        <f aca="false">IFERROR(INDEX(SEMANAS!$J$6:$J$71,MATCH($B163,SEMANAS!$B$6:$B$71,0)),0)</f>
        <v>31.976</v>
      </c>
      <c r="W163" s="18" t="n">
        <f aca="false">MAX(0,$T163-$V163)</f>
        <v>5.85899999999999</v>
      </c>
      <c r="X163" s="19" t="n">
        <f aca="false">IFERROR(INDEX(CADASTRO_PIVOS!$K$6:$K$41,MATCH($E163,CADASTRO_PIVOS!$B$6:$B$41,0)),EFICIENCIA_PADRAO)</f>
        <v>0.85</v>
      </c>
      <c r="Y163" s="18" t="n">
        <f aca="false">IF($X163&lt;=0,0,$W163/$X163)</f>
        <v>6.89294117647058</v>
      </c>
      <c r="Z163" s="16" t="n">
        <f aca="false">$Y163*$H163*MM_PARA_M3_HA</f>
        <v>6897.07694117646</v>
      </c>
      <c r="AA163" s="18" t="n">
        <f aca="false">IFERROR(INDEX(CADASTRO_PIVOS!$I$6:$I$41,MATCH($E163,CADASTRO_PIVOS!$B$6:$B$41,0)),0)</f>
        <v>714.714285714286</v>
      </c>
      <c r="AB163" s="18" t="n">
        <f aca="false">IF($Z163&lt;=0,0,$Z163/$AA163)</f>
        <v>9.65011764705881</v>
      </c>
      <c r="AC163" s="16" t="n">
        <f aca="false">IFERROR(INDEX(SEMANAS!$K$6:$K$71,MATCH($B163,SEMANAS!$B$6:$B$71,0)),0)</f>
        <v>147</v>
      </c>
      <c r="AD163" s="19" t="n">
        <f aca="false">IF($AC163&lt;=0,0,$AB163/$AC163)</f>
        <v>0.0656470588235293</v>
      </c>
      <c r="AE163" s="8" t="str">
        <f aca="false">IF($K163="SEM CULTURA","SEM CULTURA",IF($AA163&lt;=0,"DADO PENDENTE",IF($AD163&gt;LIMITE_CRITICO,"INVIAVEL",IF($AD163&gt;LIMITE_ATENCAO,"CRITICO",IF($AD163&gt;LIMITE_CONFORTAVEL,"ATENCAO","OK")))))</f>
        <v>OK</v>
      </c>
      <c r="AF163" s="8" t="str">
        <f aca="false">$B163&amp;"|"&amp;TEXT($AD163,"0.000000")</f>
        <v>26|0.065647</v>
      </c>
      <c r="AG163" s="18" t="n">
        <f aca="false">IF($K163="SEM CULTURA",0,$T163*$H163)</f>
        <v>3785.7701</v>
      </c>
      <c r="AH163" s="18" t="n">
        <f aca="false">IF($K163="SEM CULTURA",0,$V163*$H163)</f>
        <v>3199.51856</v>
      </c>
      <c r="AI163" s="18" t="n">
        <f aca="false">IF($K163="SEM CULTURA",0,$W163*$H163)</f>
        <v>586.251539999999</v>
      </c>
      <c r="AJ163" s="18" t="n">
        <f aca="false">IF($K163="SEM CULTURA",0,$S163*$H163)</f>
        <v>3291.974</v>
      </c>
      <c r="AK163" s="8" t="str">
        <f aca="false">$E163&amp;"|"&amp;TEXT($AD163,"0.000000")</f>
        <v>PV 108|0.065647</v>
      </c>
    </row>
    <row r="164" customFormat="false" ht="15" hidden="false" customHeight="false" outlineLevel="0" collapsed="false">
      <c r="B164" s="16" t="n">
        <v>27</v>
      </c>
      <c r="C164" s="17" t="n">
        <f aca="false">DATA_INICIO_SAFRA+($B164-1)*DIAS_POR_SEMANA</f>
        <v>46447</v>
      </c>
      <c r="D164" s="17" t="n">
        <f aca="false">$C164+DIAS_POR_SEMANA-1</f>
        <v>46453</v>
      </c>
      <c r="E164" s="15" t="s">
        <v>261</v>
      </c>
      <c r="F164" s="8" t="str">
        <f aca="false">IFERROR(INDEX(CADASTRO_PIVOS!$C$6:$C$41,MATCH($E164,CADASTRO_PIVOS!$B$6:$B$41,0)),"?")</f>
        <v>RM02</v>
      </c>
      <c r="G164" s="8" t="str">
        <f aca="false">IFERROR(INDEX(CADASTRO_PIVOS!$D$6:$D$41,MATCH($E164,CADASTRO_PIVOS!$B$6:$B$41,0)),"?")</f>
        <v>TR02</v>
      </c>
      <c r="H164" s="20" t="n">
        <f aca="false">IFERROR(INDEX(CADASTRO_PIVOS!$E$6:$E$41,MATCH($E164,CADASTRO_PIVOS!$B$6:$B$41,0)),0)</f>
        <v>100.06</v>
      </c>
      <c r="I164" s="16" t="n">
        <f aca="false">IFERROR(SUMIFS(ROTACAO_RDM!$B$6:$B$71,ROTACAO_RDM!$D$6:$D$71,$E164,ROTACAO_RDM!$I$6:$I$71,"&lt;="&amp;$C164+INT(DIAS_POR_SEMANA/2),ROTACAO_RDM!$J$6:$J$71,"&gt;="&amp;$C164+INT(DIAS_POR_SEMANA/2)),0)</f>
        <v>14</v>
      </c>
      <c r="J164" s="16" t="n">
        <f aca="false">IFERROR(MATCH($I164,ROTACAO_RDM!$B$6:$B$71,0),0)</f>
        <v>14</v>
      </c>
      <c r="K164" s="8" t="str">
        <f aca="false">IF($J164=0,"SEM CULTURA",INDEX(ROTACAO_RDM!$F$6:$F$71,$J164))</f>
        <v>ALGODAO</v>
      </c>
      <c r="L164" s="8" t="str">
        <f aca="false">IF($J164=0,"",INDEX(ROTACAO_RDM!$G$6:$G$71,$J164))</f>
        <v>FM 933 STP</v>
      </c>
      <c r="M164" s="17" t="n">
        <f aca="false">IF($J164=0,"",INDEX(ROTACAO_RDM!$I$6:$I$71,$J164))</f>
        <v>46360</v>
      </c>
      <c r="N164" s="16" t="n">
        <f aca="false">IF($J164=0,0,MAX(0,$C164+INT(DIAS_POR_SEMANA/2)-INDEX(ROTACAO_RDM!$I$6:$I$71,$J164)))</f>
        <v>90</v>
      </c>
      <c r="O164" s="19" t="n">
        <f aca="false">IF($J164=0,0,MIN(1,$N164/MAX(1,INDEX(ROTACAO_RDM!$K$6:$K$71,$J164))))</f>
        <v>0.461538461538462</v>
      </c>
      <c r="P164" s="16" t="n">
        <f aca="false">IF($J164=0,0,IFERROR(MATCH(INDEX(ROTACAO_RDM!$N$6:$N$71,$J164),PARAMETROS_CULTURAS!$B$6:$B$28,0),0))</f>
        <v>5</v>
      </c>
      <c r="Q164" s="8" t="str">
        <f aca="false">IF($P164=0,"-",IF($O164&lt;=INDEX(PARAMETROS_CULTURAS!$F$6:$F$28,$P164),"INICIAL",IF($O164&lt;=INDEX(PARAMETROS_CULTURAS!$F$6:$F$28,$P164)+INDEX(PARAMETROS_CULTURAS!$G$6:$G$28,$P164),"DESENVOLVIMENTO",IF($O164&lt;=INDEX(PARAMETROS_CULTURAS!$F$6:$F$28,$P164)+INDEX(PARAMETROS_CULTURAS!$G$6:$G$28,$P164)+INDEX(PARAMETROS_CULTURAS!$H$6:$H$28,$P164),"MEDIA","FINAL"))))</f>
        <v>MEDIA</v>
      </c>
      <c r="R164" s="24" t="n">
        <f aca="false">IF($P164=0,0,IF($O164&lt;=INDEX(PARAMETROS_CULTURAS!$F$6:$F$28,$P164),INDEX(PARAMETROS_CULTURAS!$K$6:$K$28,$P164),IF($O164&lt;=INDEX(PARAMETROS_CULTURAS!$F$6:$F$28,$P164)+INDEX(PARAMETROS_CULTURAS!$G$6:$G$28,$P164),INDEX(PARAMETROS_CULTURAS!$K$6:$K$28,$P164)+(INDEX(PARAMETROS_CULTURAS!$L$6:$L$28,$P164)-INDEX(PARAMETROS_CULTURAS!$K$6:$K$28,$P164))*($O164-INDEX(PARAMETROS_CULTURAS!$F$6:$F$28,$P164))/MAX(INDEX(PARAMETROS_CULTURAS!$G$6:$G$28,$P164),0.0001),IF($O164&lt;=INDEX(PARAMETROS_CULTURAS!$F$6:$F$28,$P164)+INDEX(PARAMETROS_CULTURAS!$G$6:$G$28,$P164)+INDEX(PARAMETROS_CULTURAS!$H$6:$H$28,$P164),INDEX(PARAMETROS_CULTURAS!$L$6:$L$28,$P164),INDEX(PARAMETROS_CULTURAS!$L$6:$L$28,$P164)+(INDEX(PARAMETROS_CULTURAS!$M$6:$M$28,$P164)-INDEX(PARAMETROS_CULTURAS!$L$6:$L$28,$P164))*($O164-INDEX(PARAMETROS_CULTURAS!$F$6:$F$28,$P164)-INDEX(PARAMETROS_CULTURAS!$G$6:$G$28,$P164)-INDEX(PARAMETROS_CULTURAS!$H$6:$H$28,$P164))/MAX(INDEX(PARAMETROS_CULTURAS!$I$6:$I$28,$P164),0.0001)))))</f>
        <v>1.15</v>
      </c>
      <c r="S164" s="18" t="n">
        <f aca="false">IFERROR(INDEX(SEMANAS!$H$6:$H$71,MATCH($B164,SEMANAS!$B$6:$B$71,0)),0)</f>
        <v>32.2</v>
      </c>
      <c r="T164" s="18" t="n">
        <f aca="false">$R164*$S164</f>
        <v>37.03</v>
      </c>
      <c r="U164" s="18" t="n">
        <f aca="false">IFERROR(INDEX(SEMANAS!$I$6:$I$71,MATCH($B164,SEMANAS!$B$6:$B$71,0)),0)</f>
        <v>37.24</v>
      </c>
      <c r="V164" s="18" t="n">
        <f aca="false">IFERROR(INDEX(SEMANAS!$J$6:$J$71,MATCH($B164,SEMANAS!$B$6:$B$71,0)),0)</f>
        <v>29.792</v>
      </c>
      <c r="W164" s="18" t="n">
        <f aca="false">MAX(0,$T164-$V164)</f>
        <v>7.23799999999999</v>
      </c>
      <c r="X164" s="19" t="n">
        <f aca="false">IFERROR(INDEX(CADASTRO_PIVOS!$K$6:$K$41,MATCH($E164,CADASTRO_PIVOS!$B$6:$B$41,0)),EFICIENCIA_PADRAO)</f>
        <v>0.85</v>
      </c>
      <c r="Y164" s="18" t="n">
        <f aca="false">IF($X164&lt;=0,0,$W164/$X164)</f>
        <v>8.51529411764705</v>
      </c>
      <c r="Z164" s="16" t="n">
        <f aca="false">$Y164*$H164*MM_PARA_M3_HA</f>
        <v>8520.40329411764</v>
      </c>
      <c r="AA164" s="18" t="n">
        <f aca="false">IFERROR(INDEX(CADASTRO_PIVOS!$I$6:$I$41,MATCH($E164,CADASTRO_PIVOS!$B$6:$B$41,0)),0)</f>
        <v>714.714285714286</v>
      </c>
      <c r="AB164" s="18" t="n">
        <f aca="false">IF($Z164&lt;=0,0,$Z164/$AA164)</f>
        <v>11.9214117647059</v>
      </c>
      <c r="AC164" s="16" t="n">
        <f aca="false">IFERROR(INDEX(SEMANAS!$K$6:$K$71,MATCH($B164,SEMANAS!$B$6:$B$71,0)),0)</f>
        <v>147</v>
      </c>
      <c r="AD164" s="19" t="n">
        <f aca="false">IF($AC164&lt;=0,0,$AB164/$AC164)</f>
        <v>0.0810980392156862</v>
      </c>
      <c r="AE164" s="8" t="str">
        <f aca="false">IF($K164="SEM CULTURA","SEM CULTURA",IF($AA164&lt;=0,"DADO PENDENTE",IF($AD164&gt;LIMITE_CRITICO,"INVIAVEL",IF($AD164&gt;LIMITE_ATENCAO,"CRITICO",IF($AD164&gt;LIMITE_CONFORTAVEL,"ATENCAO","OK")))))</f>
        <v>OK</v>
      </c>
      <c r="AF164" s="8" t="str">
        <f aca="false">$B164&amp;"|"&amp;TEXT($AD164,"0.000000")</f>
        <v>27|0.081098</v>
      </c>
      <c r="AG164" s="18" t="n">
        <f aca="false">IF($K164="SEM CULTURA",0,$T164*$H164)</f>
        <v>3705.2218</v>
      </c>
      <c r="AH164" s="18" t="n">
        <f aca="false">IF($K164="SEM CULTURA",0,$V164*$H164)</f>
        <v>2980.98752</v>
      </c>
      <c r="AI164" s="18" t="n">
        <f aca="false">IF($K164="SEM CULTURA",0,$W164*$H164)</f>
        <v>724.234279999999</v>
      </c>
      <c r="AJ164" s="18" t="n">
        <f aca="false">IF($K164="SEM CULTURA",0,$S164*$H164)</f>
        <v>3221.932</v>
      </c>
      <c r="AK164" s="8" t="str">
        <f aca="false">$E164&amp;"|"&amp;TEXT($AD164,"0.000000")</f>
        <v>PV 108|0.081098</v>
      </c>
    </row>
    <row r="165" customFormat="false" ht="15" hidden="false" customHeight="false" outlineLevel="0" collapsed="false">
      <c r="B165" s="16" t="n">
        <v>28</v>
      </c>
      <c r="C165" s="17" t="n">
        <f aca="false">DATA_INICIO_SAFRA+($B165-1)*DIAS_POR_SEMANA</f>
        <v>46454</v>
      </c>
      <c r="D165" s="17" t="n">
        <f aca="false">$C165+DIAS_POR_SEMANA-1</f>
        <v>46460</v>
      </c>
      <c r="E165" s="15" t="s">
        <v>261</v>
      </c>
      <c r="F165" s="8" t="str">
        <f aca="false">IFERROR(INDEX(CADASTRO_PIVOS!$C$6:$C$41,MATCH($E165,CADASTRO_PIVOS!$B$6:$B$41,0)),"?")</f>
        <v>RM02</v>
      </c>
      <c r="G165" s="8" t="str">
        <f aca="false">IFERROR(INDEX(CADASTRO_PIVOS!$D$6:$D$41,MATCH($E165,CADASTRO_PIVOS!$B$6:$B$41,0)),"?")</f>
        <v>TR02</v>
      </c>
      <c r="H165" s="20" t="n">
        <f aca="false">IFERROR(INDEX(CADASTRO_PIVOS!$E$6:$E$41,MATCH($E165,CADASTRO_PIVOS!$B$6:$B$41,0)),0)</f>
        <v>100.06</v>
      </c>
      <c r="I165" s="16" t="n">
        <f aca="false">IFERROR(SUMIFS(ROTACAO_RDM!$B$6:$B$71,ROTACAO_RDM!$D$6:$D$71,$E165,ROTACAO_RDM!$I$6:$I$71,"&lt;="&amp;$C165+INT(DIAS_POR_SEMANA/2),ROTACAO_RDM!$J$6:$J$71,"&gt;="&amp;$C165+INT(DIAS_POR_SEMANA/2)),0)</f>
        <v>14</v>
      </c>
      <c r="J165" s="16" t="n">
        <f aca="false">IFERROR(MATCH($I165,ROTACAO_RDM!$B$6:$B$71,0),0)</f>
        <v>14</v>
      </c>
      <c r="K165" s="8" t="str">
        <f aca="false">IF($J165=0,"SEM CULTURA",INDEX(ROTACAO_RDM!$F$6:$F$71,$J165))</f>
        <v>ALGODAO</v>
      </c>
      <c r="L165" s="8" t="str">
        <f aca="false">IF($J165=0,"",INDEX(ROTACAO_RDM!$G$6:$G$71,$J165))</f>
        <v>FM 933 STP</v>
      </c>
      <c r="M165" s="17" t="n">
        <f aca="false">IF($J165=0,"",INDEX(ROTACAO_RDM!$I$6:$I$71,$J165))</f>
        <v>46360</v>
      </c>
      <c r="N165" s="16" t="n">
        <f aca="false">IF($J165=0,0,MAX(0,$C165+INT(DIAS_POR_SEMANA/2)-INDEX(ROTACAO_RDM!$I$6:$I$71,$J165)))</f>
        <v>97</v>
      </c>
      <c r="O165" s="19" t="n">
        <f aca="false">IF($J165=0,0,MIN(1,$N165/MAX(1,INDEX(ROTACAO_RDM!$K$6:$K$71,$J165))))</f>
        <v>0.497435897435897</v>
      </c>
      <c r="P165" s="16" t="n">
        <f aca="false">IF($J165=0,0,IFERROR(MATCH(INDEX(ROTACAO_RDM!$N$6:$N$71,$J165),PARAMETROS_CULTURAS!$B$6:$B$28,0),0))</f>
        <v>5</v>
      </c>
      <c r="Q165" s="8" t="str">
        <f aca="false">IF($P165=0,"-",IF($O165&lt;=INDEX(PARAMETROS_CULTURAS!$F$6:$F$28,$P165),"INICIAL",IF($O165&lt;=INDEX(PARAMETROS_CULTURAS!$F$6:$F$28,$P165)+INDEX(PARAMETROS_CULTURAS!$G$6:$G$28,$P165),"DESENVOLVIMENTO",IF($O165&lt;=INDEX(PARAMETROS_CULTURAS!$F$6:$F$28,$P165)+INDEX(PARAMETROS_CULTURAS!$G$6:$G$28,$P165)+INDEX(PARAMETROS_CULTURAS!$H$6:$H$28,$P165),"MEDIA","FINAL"))))</f>
        <v>MEDIA</v>
      </c>
      <c r="R165" s="24" t="n">
        <f aca="false">IF($P165=0,0,IF($O165&lt;=INDEX(PARAMETROS_CULTURAS!$F$6:$F$28,$P165),INDEX(PARAMETROS_CULTURAS!$K$6:$K$28,$P165),IF($O165&lt;=INDEX(PARAMETROS_CULTURAS!$F$6:$F$28,$P165)+INDEX(PARAMETROS_CULTURAS!$G$6:$G$28,$P165),INDEX(PARAMETROS_CULTURAS!$K$6:$K$28,$P165)+(INDEX(PARAMETROS_CULTURAS!$L$6:$L$28,$P165)-INDEX(PARAMETROS_CULTURAS!$K$6:$K$28,$P165))*($O165-INDEX(PARAMETROS_CULTURAS!$F$6:$F$28,$P165))/MAX(INDEX(PARAMETROS_CULTURAS!$G$6:$G$28,$P165),0.0001),IF($O165&lt;=INDEX(PARAMETROS_CULTURAS!$F$6:$F$28,$P165)+INDEX(PARAMETROS_CULTURAS!$G$6:$G$28,$P165)+INDEX(PARAMETROS_CULTURAS!$H$6:$H$28,$P165),INDEX(PARAMETROS_CULTURAS!$L$6:$L$28,$P165),INDEX(PARAMETROS_CULTURAS!$L$6:$L$28,$P165)+(INDEX(PARAMETROS_CULTURAS!$M$6:$M$28,$P165)-INDEX(PARAMETROS_CULTURAS!$L$6:$L$28,$P165))*($O165-INDEX(PARAMETROS_CULTURAS!$F$6:$F$28,$P165)-INDEX(PARAMETROS_CULTURAS!$G$6:$G$28,$P165)-INDEX(PARAMETROS_CULTURAS!$H$6:$H$28,$P165))/MAX(INDEX(PARAMETROS_CULTURAS!$I$6:$I$28,$P165),0.0001)))))</f>
        <v>1.15</v>
      </c>
      <c r="S165" s="18" t="n">
        <f aca="false">IFERROR(INDEX(SEMANAS!$H$6:$H$71,MATCH($B165,SEMANAS!$B$6:$B$71,0)),0)</f>
        <v>32.2</v>
      </c>
      <c r="T165" s="18" t="n">
        <f aca="false">$R165*$S165</f>
        <v>37.03</v>
      </c>
      <c r="U165" s="18" t="n">
        <f aca="false">IFERROR(INDEX(SEMANAS!$I$6:$I$71,MATCH($B165,SEMANAS!$B$6:$B$71,0)),0)</f>
        <v>37.24</v>
      </c>
      <c r="V165" s="18" t="n">
        <f aca="false">IFERROR(INDEX(SEMANAS!$J$6:$J$71,MATCH($B165,SEMANAS!$B$6:$B$71,0)),0)</f>
        <v>29.792</v>
      </c>
      <c r="W165" s="18" t="n">
        <f aca="false">MAX(0,$T165-$V165)</f>
        <v>7.23799999999999</v>
      </c>
      <c r="X165" s="19" t="n">
        <f aca="false">IFERROR(INDEX(CADASTRO_PIVOS!$K$6:$K$41,MATCH($E165,CADASTRO_PIVOS!$B$6:$B$41,0)),EFICIENCIA_PADRAO)</f>
        <v>0.85</v>
      </c>
      <c r="Y165" s="18" t="n">
        <f aca="false">IF($X165&lt;=0,0,$W165/$X165)</f>
        <v>8.51529411764705</v>
      </c>
      <c r="Z165" s="16" t="n">
        <f aca="false">$Y165*$H165*MM_PARA_M3_HA</f>
        <v>8520.40329411764</v>
      </c>
      <c r="AA165" s="18" t="n">
        <f aca="false">IFERROR(INDEX(CADASTRO_PIVOS!$I$6:$I$41,MATCH($E165,CADASTRO_PIVOS!$B$6:$B$41,0)),0)</f>
        <v>714.714285714286</v>
      </c>
      <c r="AB165" s="18" t="n">
        <f aca="false">IF($Z165&lt;=0,0,$Z165/$AA165)</f>
        <v>11.9214117647059</v>
      </c>
      <c r="AC165" s="16" t="n">
        <f aca="false">IFERROR(INDEX(SEMANAS!$K$6:$K$71,MATCH($B165,SEMANAS!$B$6:$B$71,0)),0)</f>
        <v>147</v>
      </c>
      <c r="AD165" s="19" t="n">
        <f aca="false">IF($AC165&lt;=0,0,$AB165/$AC165)</f>
        <v>0.0810980392156862</v>
      </c>
      <c r="AE165" s="8" t="str">
        <f aca="false">IF($K165="SEM CULTURA","SEM CULTURA",IF($AA165&lt;=0,"DADO PENDENTE",IF($AD165&gt;LIMITE_CRITICO,"INVIAVEL",IF($AD165&gt;LIMITE_ATENCAO,"CRITICO",IF($AD165&gt;LIMITE_CONFORTAVEL,"ATENCAO","OK")))))</f>
        <v>OK</v>
      </c>
      <c r="AF165" s="8" t="str">
        <f aca="false">$B165&amp;"|"&amp;TEXT($AD165,"0.000000")</f>
        <v>28|0.081098</v>
      </c>
      <c r="AG165" s="18" t="n">
        <f aca="false">IF($K165="SEM CULTURA",0,$T165*$H165)</f>
        <v>3705.2218</v>
      </c>
      <c r="AH165" s="18" t="n">
        <f aca="false">IF($K165="SEM CULTURA",0,$V165*$H165)</f>
        <v>2980.98752</v>
      </c>
      <c r="AI165" s="18" t="n">
        <f aca="false">IF($K165="SEM CULTURA",0,$W165*$H165)</f>
        <v>724.234279999999</v>
      </c>
      <c r="AJ165" s="18" t="n">
        <f aca="false">IF($K165="SEM CULTURA",0,$S165*$H165)</f>
        <v>3221.932</v>
      </c>
      <c r="AK165" s="8" t="str">
        <f aca="false">$E165&amp;"|"&amp;TEXT($AD165,"0.000000")</f>
        <v>PV 108|0.081098</v>
      </c>
    </row>
    <row r="166" customFormat="false" ht="15" hidden="false" customHeight="false" outlineLevel="0" collapsed="false">
      <c r="B166" s="16" t="n">
        <v>29</v>
      </c>
      <c r="C166" s="17" t="n">
        <f aca="false">DATA_INICIO_SAFRA+($B166-1)*DIAS_POR_SEMANA</f>
        <v>46461</v>
      </c>
      <c r="D166" s="17" t="n">
        <f aca="false">$C166+DIAS_POR_SEMANA-1</f>
        <v>46467</v>
      </c>
      <c r="E166" s="15" t="s">
        <v>261</v>
      </c>
      <c r="F166" s="8" t="str">
        <f aca="false">IFERROR(INDEX(CADASTRO_PIVOS!$C$6:$C$41,MATCH($E166,CADASTRO_PIVOS!$B$6:$B$41,0)),"?")</f>
        <v>RM02</v>
      </c>
      <c r="G166" s="8" t="str">
        <f aca="false">IFERROR(INDEX(CADASTRO_PIVOS!$D$6:$D$41,MATCH($E166,CADASTRO_PIVOS!$B$6:$B$41,0)),"?")</f>
        <v>TR02</v>
      </c>
      <c r="H166" s="20" t="n">
        <f aca="false">IFERROR(INDEX(CADASTRO_PIVOS!$E$6:$E$41,MATCH($E166,CADASTRO_PIVOS!$B$6:$B$41,0)),0)</f>
        <v>100.06</v>
      </c>
      <c r="I166" s="16" t="n">
        <f aca="false">IFERROR(SUMIFS(ROTACAO_RDM!$B$6:$B$71,ROTACAO_RDM!$D$6:$D$71,$E166,ROTACAO_RDM!$I$6:$I$71,"&lt;="&amp;$C166+INT(DIAS_POR_SEMANA/2),ROTACAO_RDM!$J$6:$J$71,"&gt;="&amp;$C166+INT(DIAS_POR_SEMANA/2)),0)</f>
        <v>14</v>
      </c>
      <c r="J166" s="16" t="n">
        <f aca="false">IFERROR(MATCH($I166,ROTACAO_RDM!$B$6:$B$71,0),0)</f>
        <v>14</v>
      </c>
      <c r="K166" s="8" t="str">
        <f aca="false">IF($J166=0,"SEM CULTURA",INDEX(ROTACAO_RDM!$F$6:$F$71,$J166))</f>
        <v>ALGODAO</v>
      </c>
      <c r="L166" s="8" t="str">
        <f aca="false">IF($J166=0,"",INDEX(ROTACAO_RDM!$G$6:$G$71,$J166))</f>
        <v>FM 933 STP</v>
      </c>
      <c r="M166" s="17" t="n">
        <f aca="false">IF($J166=0,"",INDEX(ROTACAO_RDM!$I$6:$I$71,$J166))</f>
        <v>46360</v>
      </c>
      <c r="N166" s="16" t="n">
        <f aca="false">IF($J166=0,0,MAX(0,$C166+INT(DIAS_POR_SEMANA/2)-INDEX(ROTACAO_RDM!$I$6:$I$71,$J166)))</f>
        <v>104</v>
      </c>
      <c r="O166" s="19" t="n">
        <f aca="false">IF($J166=0,0,MIN(1,$N166/MAX(1,INDEX(ROTACAO_RDM!$K$6:$K$71,$J166))))</f>
        <v>0.533333333333333</v>
      </c>
      <c r="P166" s="16" t="n">
        <f aca="false">IF($J166=0,0,IFERROR(MATCH(INDEX(ROTACAO_RDM!$N$6:$N$71,$J166),PARAMETROS_CULTURAS!$B$6:$B$28,0),0))</f>
        <v>5</v>
      </c>
      <c r="Q166" s="8" t="str">
        <f aca="false">IF($P166=0,"-",IF($O166&lt;=INDEX(PARAMETROS_CULTURAS!$F$6:$F$28,$P166),"INICIAL",IF($O166&lt;=INDEX(PARAMETROS_CULTURAS!$F$6:$F$28,$P166)+INDEX(PARAMETROS_CULTURAS!$G$6:$G$28,$P166),"DESENVOLVIMENTO",IF($O166&lt;=INDEX(PARAMETROS_CULTURAS!$F$6:$F$28,$P166)+INDEX(PARAMETROS_CULTURAS!$G$6:$G$28,$P166)+INDEX(PARAMETROS_CULTURAS!$H$6:$H$28,$P166),"MEDIA","FINAL"))))</f>
        <v>MEDIA</v>
      </c>
      <c r="R166" s="24" t="n">
        <f aca="false">IF($P166=0,0,IF($O166&lt;=INDEX(PARAMETROS_CULTURAS!$F$6:$F$28,$P166),INDEX(PARAMETROS_CULTURAS!$K$6:$K$28,$P166),IF($O166&lt;=INDEX(PARAMETROS_CULTURAS!$F$6:$F$28,$P166)+INDEX(PARAMETROS_CULTURAS!$G$6:$G$28,$P166),INDEX(PARAMETROS_CULTURAS!$K$6:$K$28,$P166)+(INDEX(PARAMETROS_CULTURAS!$L$6:$L$28,$P166)-INDEX(PARAMETROS_CULTURAS!$K$6:$K$28,$P166))*($O166-INDEX(PARAMETROS_CULTURAS!$F$6:$F$28,$P166))/MAX(INDEX(PARAMETROS_CULTURAS!$G$6:$G$28,$P166),0.0001),IF($O166&lt;=INDEX(PARAMETROS_CULTURAS!$F$6:$F$28,$P166)+INDEX(PARAMETROS_CULTURAS!$G$6:$G$28,$P166)+INDEX(PARAMETROS_CULTURAS!$H$6:$H$28,$P166),INDEX(PARAMETROS_CULTURAS!$L$6:$L$28,$P166),INDEX(PARAMETROS_CULTURAS!$L$6:$L$28,$P166)+(INDEX(PARAMETROS_CULTURAS!$M$6:$M$28,$P166)-INDEX(PARAMETROS_CULTURAS!$L$6:$L$28,$P166))*($O166-INDEX(PARAMETROS_CULTURAS!$F$6:$F$28,$P166)-INDEX(PARAMETROS_CULTURAS!$G$6:$G$28,$P166)-INDEX(PARAMETROS_CULTURAS!$H$6:$H$28,$P166))/MAX(INDEX(PARAMETROS_CULTURAS!$I$6:$I$28,$P166),0.0001)))))</f>
        <v>1.15</v>
      </c>
      <c r="S166" s="18" t="n">
        <f aca="false">IFERROR(INDEX(SEMANAS!$H$6:$H$71,MATCH($B166,SEMANAS!$B$6:$B$71,0)),0)</f>
        <v>32.2</v>
      </c>
      <c r="T166" s="18" t="n">
        <f aca="false">$R166*$S166</f>
        <v>37.03</v>
      </c>
      <c r="U166" s="18" t="n">
        <f aca="false">IFERROR(INDEX(SEMANAS!$I$6:$I$71,MATCH($B166,SEMANAS!$B$6:$B$71,0)),0)</f>
        <v>37.24</v>
      </c>
      <c r="V166" s="18" t="n">
        <f aca="false">IFERROR(INDEX(SEMANAS!$J$6:$J$71,MATCH($B166,SEMANAS!$B$6:$B$71,0)),0)</f>
        <v>29.792</v>
      </c>
      <c r="W166" s="18" t="n">
        <f aca="false">MAX(0,$T166-$V166)</f>
        <v>7.23799999999999</v>
      </c>
      <c r="X166" s="19" t="n">
        <f aca="false">IFERROR(INDEX(CADASTRO_PIVOS!$K$6:$K$41,MATCH($E166,CADASTRO_PIVOS!$B$6:$B$41,0)),EFICIENCIA_PADRAO)</f>
        <v>0.85</v>
      </c>
      <c r="Y166" s="18" t="n">
        <f aca="false">IF($X166&lt;=0,0,$W166/$X166)</f>
        <v>8.51529411764705</v>
      </c>
      <c r="Z166" s="16" t="n">
        <f aca="false">$Y166*$H166*MM_PARA_M3_HA</f>
        <v>8520.40329411764</v>
      </c>
      <c r="AA166" s="18" t="n">
        <f aca="false">IFERROR(INDEX(CADASTRO_PIVOS!$I$6:$I$41,MATCH($E166,CADASTRO_PIVOS!$B$6:$B$41,0)),0)</f>
        <v>714.714285714286</v>
      </c>
      <c r="AB166" s="18" t="n">
        <f aca="false">IF($Z166&lt;=0,0,$Z166/$AA166)</f>
        <v>11.9214117647059</v>
      </c>
      <c r="AC166" s="16" t="n">
        <f aca="false">IFERROR(INDEX(SEMANAS!$K$6:$K$71,MATCH($B166,SEMANAS!$B$6:$B$71,0)),0)</f>
        <v>147</v>
      </c>
      <c r="AD166" s="19" t="n">
        <f aca="false">IF($AC166&lt;=0,0,$AB166/$AC166)</f>
        <v>0.0810980392156862</v>
      </c>
      <c r="AE166" s="8" t="str">
        <f aca="false">IF($K166="SEM CULTURA","SEM CULTURA",IF($AA166&lt;=0,"DADO PENDENTE",IF($AD166&gt;LIMITE_CRITICO,"INVIAVEL",IF($AD166&gt;LIMITE_ATENCAO,"CRITICO",IF($AD166&gt;LIMITE_CONFORTAVEL,"ATENCAO","OK")))))</f>
        <v>OK</v>
      </c>
      <c r="AF166" s="8" t="str">
        <f aca="false">$B166&amp;"|"&amp;TEXT($AD166,"0.000000")</f>
        <v>29|0.081098</v>
      </c>
      <c r="AG166" s="18" t="n">
        <f aca="false">IF($K166="SEM CULTURA",0,$T166*$H166)</f>
        <v>3705.2218</v>
      </c>
      <c r="AH166" s="18" t="n">
        <f aca="false">IF($K166="SEM CULTURA",0,$V166*$H166)</f>
        <v>2980.98752</v>
      </c>
      <c r="AI166" s="18" t="n">
        <f aca="false">IF($K166="SEM CULTURA",0,$W166*$H166)</f>
        <v>724.234279999999</v>
      </c>
      <c r="AJ166" s="18" t="n">
        <f aca="false">IF($K166="SEM CULTURA",0,$S166*$H166)</f>
        <v>3221.932</v>
      </c>
      <c r="AK166" s="8" t="str">
        <f aca="false">$E166&amp;"|"&amp;TEXT($AD166,"0.000000")</f>
        <v>PV 108|0.081098</v>
      </c>
    </row>
    <row r="167" customFormat="false" ht="15" hidden="false" customHeight="false" outlineLevel="0" collapsed="false">
      <c r="B167" s="16" t="n">
        <v>30</v>
      </c>
      <c r="C167" s="17" t="n">
        <f aca="false">DATA_INICIO_SAFRA+($B167-1)*DIAS_POR_SEMANA</f>
        <v>46468</v>
      </c>
      <c r="D167" s="17" t="n">
        <f aca="false">$C167+DIAS_POR_SEMANA-1</f>
        <v>46474</v>
      </c>
      <c r="E167" s="15" t="s">
        <v>261</v>
      </c>
      <c r="F167" s="8" t="str">
        <f aca="false">IFERROR(INDEX(CADASTRO_PIVOS!$C$6:$C$41,MATCH($E167,CADASTRO_PIVOS!$B$6:$B$41,0)),"?")</f>
        <v>RM02</v>
      </c>
      <c r="G167" s="8" t="str">
        <f aca="false">IFERROR(INDEX(CADASTRO_PIVOS!$D$6:$D$41,MATCH($E167,CADASTRO_PIVOS!$B$6:$B$41,0)),"?")</f>
        <v>TR02</v>
      </c>
      <c r="H167" s="20" t="n">
        <f aca="false">IFERROR(INDEX(CADASTRO_PIVOS!$E$6:$E$41,MATCH($E167,CADASTRO_PIVOS!$B$6:$B$41,0)),0)</f>
        <v>100.06</v>
      </c>
      <c r="I167" s="16" t="n">
        <f aca="false">IFERROR(SUMIFS(ROTACAO_RDM!$B$6:$B$71,ROTACAO_RDM!$D$6:$D$71,$E167,ROTACAO_RDM!$I$6:$I$71,"&lt;="&amp;$C167+INT(DIAS_POR_SEMANA/2),ROTACAO_RDM!$J$6:$J$71,"&gt;="&amp;$C167+INT(DIAS_POR_SEMANA/2)),0)</f>
        <v>14</v>
      </c>
      <c r="J167" s="16" t="n">
        <f aca="false">IFERROR(MATCH($I167,ROTACAO_RDM!$B$6:$B$71,0),0)</f>
        <v>14</v>
      </c>
      <c r="K167" s="8" t="str">
        <f aca="false">IF($J167=0,"SEM CULTURA",INDEX(ROTACAO_RDM!$F$6:$F$71,$J167))</f>
        <v>ALGODAO</v>
      </c>
      <c r="L167" s="8" t="str">
        <f aca="false">IF($J167=0,"",INDEX(ROTACAO_RDM!$G$6:$G$71,$J167))</f>
        <v>FM 933 STP</v>
      </c>
      <c r="M167" s="17" t="n">
        <f aca="false">IF($J167=0,"",INDEX(ROTACAO_RDM!$I$6:$I$71,$J167))</f>
        <v>46360</v>
      </c>
      <c r="N167" s="16" t="n">
        <f aca="false">IF($J167=0,0,MAX(0,$C167+INT(DIAS_POR_SEMANA/2)-INDEX(ROTACAO_RDM!$I$6:$I$71,$J167)))</f>
        <v>111</v>
      </c>
      <c r="O167" s="19" t="n">
        <f aca="false">IF($J167=0,0,MIN(1,$N167/MAX(1,INDEX(ROTACAO_RDM!$K$6:$K$71,$J167))))</f>
        <v>0.569230769230769</v>
      </c>
      <c r="P167" s="16" t="n">
        <f aca="false">IF($J167=0,0,IFERROR(MATCH(INDEX(ROTACAO_RDM!$N$6:$N$71,$J167),PARAMETROS_CULTURAS!$B$6:$B$28,0),0))</f>
        <v>5</v>
      </c>
      <c r="Q167" s="8" t="str">
        <f aca="false">IF($P167=0,"-",IF($O167&lt;=INDEX(PARAMETROS_CULTURAS!$F$6:$F$28,$P167),"INICIAL",IF($O167&lt;=INDEX(PARAMETROS_CULTURAS!$F$6:$F$28,$P167)+INDEX(PARAMETROS_CULTURAS!$G$6:$G$28,$P167),"DESENVOLVIMENTO",IF($O167&lt;=INDEX(PARAMETROS_CULTURAS!$F$6:$F$28,$P167)+INDEX(PARAMETROS_CULTURAS!$G$6:$G$28,$P167)+INDEX(PARAMETROS_CULTURAS!$H$6:$H$28,$P167),"MEDIA","FINAL"))))</f>
        <v>MEDIA</v>
      </c>
      <c r="R167" s="24" t="n">
        <f aca="false">IF($P167=0,0,IF($O167&lt;=INDEX(PARAMETROS_CULTURAS!$F$6:$F$28,$P167),INDEX(PARAMETROS_CULTURAS!$K$6:$K$28,$P167),IF($O167&lt;=INDEX(PARAMETROS_CULTURAS!$F$6:$F$28,$P167)+INDEX(PARAMETROS_CULTURAS!$G$6:$G$28,$P167),INDEX(PARAMETROS_CULTURAS!$K$6:$K$28,$P167)+(INDEX(PARAMETROS_CULTURAS!$L$6:$L$28,$P167)-INDEX(PARAMETROS_CULTURAS!$K$6:$K$28,$P167))*($O167-INDEX(PARAMETROS_CULTURAS!$F$6:$F$28,$P167))/MAX(INDEX(PARAMETROS_CULTURAS!$G$6:$G$28,$P167),0.0001),IF($O167&lt;=INDEX(PARAMETROS_CULTURAS!$F$6:$F$28,$P167)+INDEX(PARAMETROS_CULTURAS!$G$6:$G$28,$P167)+INDEX(PARAMETROS_CULTURAS!$H$6:$H$28,$P167),INDEX(PARAMETROS_CULTURAS!$L$6:$L$28,$P167),INDEX(PARAMETROS_CULTURAS!$L$6:$L$28,$P167)+(INDEX(PARAMETROS_CULTURAS!$M$6:$M$28,$P167)-INDEX(PARAMETROS_CULTURAS!$L$6:$L$28,$P167))*($O167-INDEX(PARAMETROS_CULTURAS!$F$6:$F$28,$P167)-INDEX(PARAMETROS_CULTURAS!$G$6:$G$28,$P167)-INDEX(PARAMETROS_CULTURAS!$H$6:$H$28,$P167))/MAX(INDEX(PARAMETROS_CULTURAS!$I$6:$I$28,$P167),0.0001)))))</f>
        <v>1.15</v>
      </c>
      <c r="S167" s="18" t="n">
        <f aca="false">IFERROR(INDEX(SEMANAS!$H$6:$H$71,MATCH($B167,SEMANAS!$B$6:$B$71,0)),0)</f>
        <v>32.2</v>
      </c>
      <c r="T167" s="18" t="n">
        <f aca="false">$R167*$S167</f>
        <v>37.03</v>
      </c>
      <c r="U167" s="18" t="n">
        <f aca="false">IFERROR(INDEX(SEMANAS!$I$6:$I$71,MATCH($B167,SEMANAS!$B$6:$B$71,0)),0)</f>
        <v>37.24</v>
      </c>
      <c r="V167" s="18" t="n">
        <f aca="false">IFERROR(INDEX(SEMANAS!$J$6:$J$71,MATCH($B167,SEMANAS!$B$6:$B$71,0)),0)</f>
        <v>29.792</v>
      </c>
      <c r="W167" s="18" t="n">
        <f aca="false">MAX(0,$T167-$V167)</f>
        <v>7.23799999999999</v>
      </c>
      <c r="X167" s="19" t="n">
        <f aca="false">IFERROR(INDEX(CADASTRO_PIVOS!$K$6:$K$41,MATCH($E167,CADASTRO_PIVOS!$B$6:$B$41,0)),EFICIENCIA_PADRAO)</f>
        <v>0.85</v>
      </c>
      <c r="Y167" s="18" t="n">
        <f aca="false">IF($X167&lt;=0,0,$W167/$X167)</f>
        <v>8.51529411764705</v>
      </c>
      <c r="Z167" s="16" t="n">
        <f aca="false">$Y167*$H167*MM_PARA_M3_HA</f>
        <v>8520.40329411764</v>
      </c>
      <c r="AA167" s="18" t="n">
        <f aca="false">IFERROR(INDEX(CADASTRO_PIVOS!$I$6:$I$41,MATCH($E167,CADASTRO_PIVOS!$B$6:$B$41,0)),0)</f>
        <v>714.714285714286</v>
      </c>
      <c r="AB167" s="18" t="n">
        <f aca="false">IF($Z167&lt;=0,0,$Z167/$AA167)</f>
        <v>11.9214117647059</v>
      </c>
      <c r="AC167" s="16" t="n">
        <f aca="false">IFERROR(INDEX(SEMANAS!$K$6:$K$71,MATCH($B167,SEMANAS!$B$6:$B$71,0)),0)</f>
        <v>147</v>
      </c>
      <c r="AD167" s="19" t="n">
        <f aca="false">IF($AC167&lt;=0,0,$AB167/$AC167)</f>
        <v>0.0810980392156862</v>
      </c>
      <c r="AE167" s="8" t="str">
        <f aca="false">IF($K167="SEM CULTURA","SEM CULTURA",IF($AA167&lt;=0,"DADO PENDENTE",IF($AD167&gt;LIMITE_CRITICO,"INVIAVEL",IF($AD167&gt;LIMITE_ATENCAO,"CRITICO",IF($AD167&gt;LIMITE_CONFORTAVEL,"ATENCAO","OK")))))</f>
        <v>OK</v>
      </c>
      <c r="AF167" s="8" t="str">
        <f aca="false">$B167&amp;"|"&amp;TEXT($AD167,"0.000000")</f>
        <v>30|0.081098</v>
      </c>
      <c r="AG167" s="18" t="n">
        <f aca="false">IF($K167="SEM CULTURA",0,$T167*$H167)</f>
        <v>3705.2218</v>
      </c>
      <c r="AH167" s="18" t="n">
        <f aca="false">IF($K167="SEM CULTURA",0,$V167*$H167)</f>
        <v>2980.98752</v>
      </c>
      <c r="AI167" s="18" t="n">
        <f aca="false">IF($K167="SEM CULTURA",0,$W167*$H167)</f>
        <v>724.234279999999</v>
      </c>
      <c r="AJ167" s="18" t="n">
        <f aca="false">IF($K167="SEM CULTURA",0,$S167*$H167)</f>
        <v>3221.932</v>
      </c>
      <c r="AK167" s="8" t="str">
        <f aca="false">$E167&amp;"|"&amp;TEXT($AD167,"0.000000")</f>
        <v>PV 108|0.081098</v>
      </c>
    </row>
    <row r="168" customFormat="false" ht="15" hidden="false" customHeight="false" outlineLevel="0" collapsed="false">
      <c r="B168" s="16" t="n">
        <v>31</v>
      </c>
      <c r="C168" s="17" t="n">
        <f aca="false">DATA_INICIO_SAFRA+($B168-1)*DIAS_POR_SEMANA</f>
        <v>46475</v>
      </c>
      <c r="D168" s="17" t="n">
        <f aca="false">$C168+DIAS_POR_SEMANA-1</f>
        <v>46481</v>
      </c>
      <c r="E168" s="15" t="s">
        <v>261</v>
      </c>
      <c r="F168" s="8" t="str">
        <f aca="false">IFERROR(INDEX(CADASTRO_PIVOS!$C$6:$C$41,MATCH($E168,CADASTRO_PIVOS!$B$6:$B$41,0)),"?")</f>
        <v>RM02</v>
      </c>
      <c r="G168" s="8" t="str">
        <f aca="false">IFERROR(INDEX(CADASTRO_PIVOS!$D$6:$D$41,MATCH($E168,CADASTRO_PIVOS!$B$6:$B$41,0)),"?")</f>
        <v>TR02</v>
      </c>
      <c r="H168" s="20" t="n">
        <f aca="false">IFERROR(INDEX(CADASTRO_PIVOS!$E$6:$E$41,MATCH($E168,CADASTRO_PIVOS!$B$6:$B$41,0)),0)</f>
        <v>100.06</v>
      </c>
      <c r="I168" s="16" t="n">
        <f aca="false">IFERROR(SUMIFS(ROTACAO_RDM!$B$6:$B$71,ROTACAO_RDM!$D$6:$D$71,$E168,ROTACAO_RDM!$I$6:$I$71,"&lt;="&amp;$C168+INT(DIAS_POR_SEMANA/2),ROTACAO_RDM!$J$6:$J$71,"&gt;="&amp;$C168+INT(DIAS_POR_SEMANA/2)),0)</f>
        <v>14</v>
      </c>
      <c r="J168" s="16" t="n">
        <f aca="false">IFERROR(MATCH($I168,ROTACAO_RDM!$B$6:$B$71,0),0)</f>
        <v>14</v>
      </c>
      <c r="K168" s="8" t="str">
        <f aca="false">IF($J168=0,"SEM CULTURA",INDEX(ROTACAO_RDM!$F$6:$F$71,$J168))</f>
        <v>ALGODAO</v>
      </c>
      <c r="L168" s="8" t="str">
        <f aca="false">IF($J168=0,"",INDEX(ROTACAO_RDM!$G$6:$G$71,$J168))</f>
        <v>FM 933 STP</v>
      </c>
      <c r="M168" s="17" t="n">
        <f aca="false">IF($J168=0,"",INDEX(ROTACAO_RDM!$I$6:$I$71,$J168))</f>
        <v>46360</v>
      </c>
      <c r="N168" s="16" t="n">
        <f aca="false">IF($J168=0,0,MAX(0,$C168+INT(DIAS_POR_SEMANA/2)-INDEX(ROTACAO_RDM!$I$6:$I$71,$J168)))</f>
        <v>118</v>
      </c>
      <c r="O168" s="19" t="n">
        <f aca="false">IF($J168=0,0,MIN(1,$N168/MAX(1,INDEX(ROTACAO_RDM!$K$6:$K$71,$J168))))</f>
        <v>0.605128205128205</v>
      </c>
      <c r="P168" s="16" t="n">
        <f aca="false">IF($J168=0,0,IFERROR(MATCH(INDEX(ROTACAO_RDM!$N$6:$N$71,$J168),PARAMETROS_CULTURAS!$B$6:$B$28,0),0))</f>
        <v>5</v>
      </c>
      <c r="Q168" s="8" t="str">
        <f aca="false">IF($P168=0,"-",IF($O168&lt;=INDEX(PARAMETROS_CULTURAS!$F$6:$F$28,$P168),"INICIAL",IF($O168&lt;=INDEX(PARAMETROS_CULTURAS!$F$6:$F$28,$P168)+INDEX(PARAMETROS_CULTURAS!$G$6:$G$28,$P168),"DESENVOLVIMENTO",IF($O168&lt;=INDEX(PARAMETROS_CULTURAS!$F$6:$F$28,$P168)+INDEX(PARAMETROS_CULTURAS!$G$6:$G$28,$P168)+INDEX(PARAMETROS_CULTURAS!$H$6:$H$28,$P168),"MEDIA","FINAL"))))</f>
        <v>MEDIA</v>
      </c>
      <c r="R168" s="24" t="n">
        <f aca="false">IF($P168=0,0,IF($O168&lt;=INDEX(PARAMETROS_CULTURAS!$F$6:$F$28,$P168),INDEX(PARAMETROS_CULTURAS!$K$6:$K$28,$P168),IF($O168&lt;=INDEX(PARAMETROS_CULTURAS!$F$6:$F$28,$P168)+INDEX(PARAMETROS_CULTURAS!$G$6:$G$28,$P168),INDEX(PARAMETROS_CULTURAS!$K$6:$K$28,$P168)+(INDEX(PARAMETROS_CULTURAS!$L$6:$L$28,$P168)-INDEX(PARAMETROS_CULTURAS!$K$6:$K$28,$P168))*($O168-INDEX(PARAMETROS_CULTURAS!$F$6:$F$28,$P168))/MAX(INDEX(PARAMETROS_CULTURAS!$G$6:$G$28,$P168),0.0001),IF($O168&lt;=INDEX(PARAMETROS_CULTURAS!$F$6:$F$28,$P168)+INDEX(PARAMETROS_CULTURAS!$G$6:$G$28,$P168)+INDEX(PARAMETROS_CULTURAS!$H$6:$H$28,$P168),INDEX(PARAMETROS_CULTURAS!$L$6:$L$28,$P168),INDEX(PARAMETROS_CULTURAS!$L$6:$L$28,$P168)+(INDEX(PARAMETROS_CULTURAS!$M$6:$M$28,$P168)-INDEX(PARAMETROS_CULTURAS!$L$6:$L$28,$P168))*($O168-INDEX(PARAMETROS_CULTURAS!$F$6:$F$28,$P168)-INDEX(PARAMETROS_CULTURAS!$G$6:$G$28,$P168)-INDEX(PARAMETROS_CULTURAS!$H$6:$H$28,$P168))/MAX(INDEX(PARAMETROS_CULTURAS!$I$6:$I$28,$P168),0.0001)))))</f>
        <v>1.15</v>
      </c>
      <c r="S168" s="18" t="n">
        <f aca="false">IFERROR(INDEX(SEMANAS!$H$6:$H$71,MATCH($B168,SEMANAS!$B$6:$B$71,0)),0)</f>
        <v>31.8</v>
      </c>
      <c r="T168" s="18" t="n">
        <f aca="false">$R168*$S168</f>
        <v>36.57</v>
      </c>
      <c r="U168" s="18" t="n">
        <f aca="false">IFERROR(INDEX(SEMANAS!$I$6:$I$71,MATCH($B168,SEMANAS!$B$6:$B$71,0)),0)</f>
        <v>25.28</v>
      </c>
      <c r="V168" s="18" t="n">
        <f aca="false">IFERROR(INDEX(SEMANAS!$J$6:$J$71,MATCH($B168,SEMANAS!$B$6:$B$71,0)),0)</f>
        <v>20.224</v>
      </c>
      <c r="W168" s="18" t="n">
        <f aca="false">MAX(0,$T168-$V168)</f>
        <v>16.346</v>
      </c>
      <c r="X168" s="19" t="n">
        <f aca="false">IFERROR(INDEX(CADASTRO_PIVOS!$K$6:$K$41,MATCH($E168,CADASTRO_PIVOS!$B$6:$B$41,0)),EFICIENCIA_PADRAO)</f>
        <v>0.85</v>
      </c>
      <c r="Y168" s="18" t="n">
        <f aca="false">IF($X168&lt;=0,0,$W168/$X168)</f>
        <v>19.2305882352941</v>
      </c>
      <c r="Z168" s="16" t="n">
        <f aca="false">$Y168*$H168*MM_PARA_M3_HA</f>
        <v>19242.1265882353</v>
      </c>
      <c r="AA168" s="18" t="n">
        <f aca="false">IFERROR(INDEX(CADASTRO_PIVOS!$I$6:$I$41,MATCH($E168,CADASTRO_PIVOS!$B$6:$B$41,0)),0)</f>
        <v>714.714285714286</v>
      </c>
      <c r="AB168" s="18" t="n">
        <f aca="false">IF($Z168&lt;=0,0,$Z168/$AA168)</f>
        <v>26.9228235294118</v>
      </c>
      <c r="AC168" s="16" t="n">
        <f aca="false">IFERROR(INDEX(SEMANAS!$K$6:$K$71,MATCH($B168,SEMANAS!$B$6:$B$71,0)),0)</f>
        <v>147</v>
      </c>
      <c r="AD168" s="19" t="n">
        <f aca="false">IF($AC168&lt;=0,0,$AB168/$AC168)</f>
        <v>0.183148459383753</v>
      </c>
      <c r="AE168" s="8" t="str">
        <f aca="false">IF($K168="SEM CULTURA","SEM CULTURA",IF($AA168&lt;=0,"DADO PENDENTE",IF($AD168&gt;LIMITE_CRITICO,"INVIAVEL",IF($AD168&gt;LIMITE_ATENCAO,"CRITICO",IF($AD168&gt;LIMITE_CONFORTAVEL,"ATENCAO","OK")))))</f>
        <v>OK</v>
      </c>
      <c r="AF168" s="8" t="str">
        <f aca="false">$B168&amp;"|"&amp;TEXT($AD168,"0.000000")</f>
        <v>31|0.183148</v>
      </c>
      <c r="AG168" s="18" t="n">
        <f aca="false">IF($K168="SEM CULTURA",0,$T168*$H168)</f>
        <v>3659.1942</v>
      </c>
      <c r="AH168" s="18" t="n">
        <f aca="false">IF($K168="SEM CULTURA",0,$V168*$H168)</f>
        <v>2023.61344</v>
      </c>
      <c r="AI168" s="18" t="n">
        <f aca="false">IF($K168="SEM CULTURA",0,$W168*$H168)</f>
        <v>1635.58076</v>
      </c>
      <c r="AJ168" s="18" t="n">
        <f aca="false">IF($K168="SEM CULTURA",0,$S168*$H168)</f>
        <v>3181.908</v>
      </c>
      <c r="AK168" s="8" t="str">
        <f aca="false">$E168&amp;"|"&amp;TEXT($AD168,"0.000000")</f>
        <v>PV 108|0.183148</v>
      </c>
    </row>
    <row r="169" customFormat="false" ht="15" hidden="false" customHeight="false" outlineLevel="0" collapsed="false">
      <c r="B169" s="16" t="n">
        <v>32</v>
      </c>
      <c r="C169" s="17" t="n">
        <f aca="false">DATA_INICIO_SAFRA+($B169-1)*DIAS_POR_SEMANA</f>
        <v>46482</v>
      </c>
      <c r="D169" s="17" t="n">
        <f aca="false">$C169+DIAS_POR_SEMANA-1</f>
        <v>46488</v>
      </c>
      <c r="E169" s="15" t="s">
        <v>261</v>
      </c>
      <c r="F169" s="8" t="str">
        <f aca="false">IFERROR(INDEX(CADASTRO_PIVOS!$C$6:$C$41,MATCH($E169,CADASTRO_PIVOS!$B$6:$B$41,0)),"?")</f>
        <v>RM02</v>
      </c>
      <c r="G169" s="8" t="str">
        <f aca="false">IFERROR(INDEX(CADASTRO_PIVOS!$D$6:$D$41,MATCH($E169,CADASTRO_PIVOS!$B$6:$B$41,0)),"?")</f>
        <v>TR02</v>
      </c>
      <c r="H169" s="20" t="n">
        <f aca="false">IFERROR(INDEX(CADASTRO_PIVOS!$E$6:$E$41,MATCH($E169,CADASTRO_PIVOS!$B$6:$B$41,0)),0)</f>
        <v>100.06</v>
      </c>
      <c r="I169" s="16" t="n">
        <f aca="false">IFERROR(SUMIFS(ROTACAO_RDM!$B$6:$B$71,ROTACAO_RDM!$D$6:$D$71,$E169,ROTACAO_RDM!$I$6:$I$71,"&lt;="&amp;$C169+INT(DIAS_POR_SEMANA/2),ROTACAO_RDM!$J$6:$J$71,"&gt;="&amp;$C169+INT(DIAS_POR_SEMANA/2)),0)</f>
        <v>14</v>
      </c>
      <c r="J169" s="16" t="n">
        <f aca="false">IFERROR(MATCH($I169,ROTACAO_RDM!$B$6:$B$71,0),0)</f>
        <v>14</v>
      </c>
      <c r="K169" s="8" t="str">
        <f aca="false">IF($J169=0,"SEM CULTURA",INDEX(ROTACAO_RDM!$F$6:$F$71,$J169))</f>
        <v>ALGODAO</v>
      </c>
      <c r="L169" s="8" t="str">
        <f aca="false">IF($J169=0,"",INDEX(ROTACAO_RDM!$G$6:$G$71,$J169))</f>
        <v>FM 933 STP</v>
      </c>
      <c r="M169" s="17" t="n">
        <f aca="false">IF($J169=0,"",INDEX(ROTACAO_RDM!$I$6:$I$71,$J169))</f>
        <v>46360</v>
      </c>
      <c r="N169" s="16" t="n">
        <f aca="false">IF($J169=0,0,MAX(0,$C169+INT(DIAS_POR_SEMANA/2)-INDEX(ROTACAO_RDM!$I$6:$I$71,$J169)))</f>
        <v>125</v>
      </c>
      <c r="O169" s="19" t="n">
        <f aca="false">IF($J169=0,0,MIN(1,$N169/MAX(1,INDEX(ROTACAO_RDM!$K$6:$K$71,$J169))))</f>
        <v>0.641025641025641</v>
      </c>
      <c r="P169" s="16" t="n">
        <f aca="false">IF($J169=0,0,IFERROR(MATCH(INDEX(ROTACAO_RDM!$N$6:$N$71,$J169),PARAMETROS_CULTURAS!$B$6:$B$28,0),0))</f>
        <v>5</v>
      </c>
      <c r="Q169" s="8" t="str">
        <f aca="false">IF($P169=0,"-",IF($O169&lt;=INDEX(PARAMETROS_CULTURAS!$F$6:$F$28,$P169),"INICIAL",IF($O169&lt;=INDEX(PARAMETROS_CULTURAS!$F$6:$F$28,$P169)+INDEX(PARAMETROS_CULTURAS!$G$6:$G$28,$P169),"DESENVOLVIMENTO",IF($O169&lt;=INDEX(PARAMETROS_CULTURAS!$F$6:$F$28,$P169)+INDEX(PARAMETROS_CULTURAS!$G$6:$G$28,$P169)+INDEX(PARAMETROS_CULTURAS!$H$6:$H$28,$P169),"MEDIA","FINAL"))))</f>
        <v>MEDIA</v>
      </c>
      <c r="R169" s="24" t="n">
        <f aca="false">IF($P169=0,0,IF($O169&lt;=INDEX(PARAMETROS_CULTURAS!$F$6:$F$28,$P169),INDEX(PARAMETROS_CULTURAS!$K$6:$K$28,$P169),IF($O169&lt;=INDEX(PARAMETROS_CULTURAS!$F$6:$F$28,$P169)+INDEX(PARAMETROS_CULTURAS!$G$6:$G$28,$P169),INDEX(PARAMETROS_CULTURAS!$K$6:$K$28,$P169)+(INDEX(PARAMETROS_CULTURAS!$L$6:$L$28,$P169)-INDEX(PARAMETROS_CULTURAS!$K$6:$K$28,$P169))*($O169-INDEX(PARAMETROS_CULTURAS!$F$6:$F$28,$P169))/MAX(INDEX(PARAMETROS_CULTURAS!$G$6:$G$28,$P169),0.0001),IF($O169&lt;=INDEX(PARAMETROS_CULTURAS!$F$6:$F$28,$P169)+INDEX(PARAMETROS_CULTURAS!$G$6:$G$28,$P169)+INDEX(PARAMETROS_CULTURAS!$H$6:$H$28,$P169),INDEX(PARAMETROS_CULTURAS!$L$6:$L$28,$P169),INDEX(PARAMETROS_CULTURAS!$L$6:$L$28,$P169)+(INDEX(PARAMETROS_CULTURAS!$M$6:$M$28,$P169)-INDEX(PARAMETROS_CULTURAS!$L$6:$L$28,$P169))*($O169-INDEX(PARAMETROS_CULTURAS!$F$6:$F$28,$P169)-INDEX(PARAMETROS_CULTURAS!$G$6:$G$28,$P169)-INDEX(PARAMETROS_CULTURAS!$H$6:$H$28,$P169))/MAX(INDEX(PARAMETROS_CULTURAS!$I$6:$I$28,$P169),0.0001)))))</f>
        <v>1.15</v>
      </c>
      <c r="S169" s="18" t="n">
        <f aca="false">IFERROR(INDEX(SEMANAS!$H$6:$H$71,MATCH($B169,SEMANAS!$B$6:$B$71,0)),0)</f>
        <v>31.5</v>
      </c>
      <c r="T169" s="18" t="n">
        <f aca="false">$R169*$S169</f>
        <v>36.225</v>
      </c>
      <c r="U169" s="18" t="n">
        <f aca="false">IFERROR(INDEX(SEMANAS!$I$6:$I$71,MATCH($B169,SEMANAS!$B$6:$B$71,0)),0)</f>
        <v>16.31</v>
      </c>
      <c r="V169" s="18" t="n">
        <f aca="false">IFERROR(INDEX(SEMANAS!$J$6:$J$71,MATCH($B169,SEMANAS!$B$6:$B$71,0)),0)</f>
        <v>13.048</v>
      </c>
      <c r="W169" s="18" t="n">
        <f aca="false">MAX(0,$T169-$V169)</f>
        <v>23.177</v>
      </c>
      <c r="X169" s="19" t="n">
        <f aca="false">IFERROR(INDEX(CADASTRO_PIVOS!$K$6:$K$41,MATCH($E169,CADASTRO_PIVOS!$B$6:$B$41,0)),EFICIENCIA_PADRAO)</f>
        <v>0.85</v>
      </c>
      <c r="Y169" s="18" t="n">
        <f aca="false">IF($X169&lt;=0,0,$W169/$X169)</f>
        <v>27.2670588235294</v>
      </c>
      <c r="Z169" s="16" t="n">
        <f aca="false">$Y169*$H169*MM_PARA_M3_HA</f>
        <v>27283.4190588235</v>
      </c>
      <c r="AA169" s="18" t="n">
        <f aca="false">IFERROR(INDEX(CADASTRO_PIVOS!$I$6:$I$41,MATCH($E169,CADASTRO_PIVOS!$B$6:$B$41,0)),0)</f>
        <v>714.714285714286</v>
      </c>
      <c r="AB169" s="18" t="n">
        <f aca="false">IF($Z169&lt;=0,0,$Z169/$AA169)</f>
        <v>38.1738823529412</v>
      </c>
      <c r="AC169" s="16" t="n">
        <f aca="false">IFERROR(INDEX(SEMANAS!$K$6:$K$71,MATCH($B169,SEMANAS!$B$6:$B$71,0)),0)</f>
        <v>147</v>
      </c>
      <c r="AD169" s="19" t="n">
        <f aca="false">IF($AC169&lt;=0,0,$AB169/$AC169)</f>
        <v>0.259686274509804</v>
      </c>
      <c r="AE169" s="8" t="str">
        <f aca="false">IF($K169="SEM CULTURA","SEM CULTURA",IF($AA169&lt;=0,"DADO PENDENTE",IF($AD169&gt;LIMITE_CRITICO,"INVIAVEL",IF($AD169&gt;LIMITE_ATENCAO,"CRITICO",IF($AD169&gt;LIMITE_CONFORTAVEL,"ATENCAO","OK")))))</f>
        <v>OK</v>
      </c>
      <c r="AF169" s="8" t="str">
        <f aca="false">$B169&amp;"|"&amp;TEXT($AD169,"0.000000")</f>
        <v>32|0.259686</v>
      </c>
      <c r="AG169" s="18" t="n">
        <f aca="false">IF($K169="SEM CULTURA",0,$T169*$H169)</f>
        <v>3624.6735</v>
      </c>
      <c r="AH169" s="18" t="n">
        <f aca="false">IF($K169="SEM CULTURA",0,$V169*$H169)</f>
        <v>1305.58288</v>
      </c>
      <c r="AI169" s="18" t="n">
        <f aca="false">IF($K169="SEM CULTURA",0,$W169*$H169)</f>
        <v>2319.09062</v>
      </c>
      <c r="AJ169" s="18" t="n">
        <f aca="false">IF($K169="SEM CULTURA",0,$S169*$H169)</f>
        <v>3151.89</v>
      </c>
      <c r="AK169" s="8" t="str">
        <f aca="false">$E169&amp;"|"&amp;TEXT($AD169,"0.000000")</f>
        <v>PV 108|0.259686</v>
      </c>
    </row>
    <row r="170" customFormat="false" ht="15" hidden="false" customHeight="false" outlineLevel="0" collapsed="false">
      <c r="B170" s="16" t="n">
        <v>33</v>
      </c>
      <c r="C170" s="17" t="n">
        <f aca="false">DATA_INICIO_SAFRA+($B170-1)*DIAS_POR_SEMANA</f>
        <v>46489</v>
      </c>
      <c r="D170" s="17" t="n">
        <f aca="false">$C170+DIAS_POR_SEMANA-1</f>
        <v>46495</v>
      </c>
      <c r="E170" s="15" t="s">
        <v>261</v>
      </c>
      <c r="F170" s="8" t="str">
        <f aca="false">IFERROR(INDEX(CADASTRO_PIVOS!$C$6:$C$41,MATCH($E170,CADASTRO_PIVOS!$B$6:$B$41,0)),"?")</f>
        <v>RM02</v>
      </c>
      <c r="G170" s="8" t="str">
        <f aca="false">IFERROR(INDEX(CADASTRO_PIVOS!$D$6:$D$41,MATCH($E170,CADASTRO_PIVOS!$B$6:$B$41,0)),"?")</f>
        <v>TR02</v>
      </c>
      <c r="H170" s="20" t="n">
        <f aca="false">IFERROR(INDEX(CADASTRO_PIVOS!$E$6:$E$41,MATCH($E170,CADASTRO_PIVOS!$B$6:$B$41,0)),0)</f>
        <v>100.06</v>
      </c>
      <c r="I170" s="16" t="n">
        <f aca="false">IFERROR(SUMIFS(ROTACAO_RDM!$B$6:$B$71,ROTACAO_RDM!$D$6:$D$71,$E170,ROTACAO_RDM!$I$6:$I$71,"&lt;="&amp;$C170+INT(DIAS_POR_SEMANA/2),ROTACAO_RDM!$J$6:$J$71,"&gt;="&amp;$C170+INT(DIAS_POR_SEMANA/2)),0)</f>
        <v>14</v>
      </c>
      <c r="J170" s="16" t="n">
        <f aca="false">IFERROR(MATCH($I170,ROTACAO_RDM!$B$6:$B$71,0),0)</f>
        <v>14</v>
      </c>
      <c r="K170" s="8" t="str">
        <f aca="false">IF($J170=0,"SEM CULTURA",INDEX(ROTACAO_RDM!$F$6:$F$71,$J170))</f>
        <v>ALGODAO</v>
      </c>
      <c r="L170" s="8" t="str">
        <f aca="false">IF($J170=0,"",INDEX(ROTACAO_RDM!$G$6:$G$71,$J170))</f>
        <v>FM 933 STP</v>
      </c>
      <c r="M170" s="17" t="n">
        <f aca="false">IF($J170=0,"",INDEX(ROTACAO_RDM!$I$6:$I$71,$J170))</f>
        <v>46360</v>
      </c>
      <c r="N170" s="16" t="n">
        <f aca="false">IF($J170=0,0,MAX(0,$C170+INT(DIAS_POR_SEMANA/2)-INDEX(ROTACAO_RDM!$I$6:$I$71,$J170)))</f>
        <v>132</v>
      </c>
      <c r="O170" s="19" t="n">
        <f aca="false">IF($J170=0,0,MIN(1,$N170/MAX(1,INDEX(ROTACAO_RDM!$K$6:$K$71,$J170))))</f>
        <v>0.676923076923077</v>
      </c>
      <c r="P170" s="16" t="n">
        <f aca="false">IF($J170=0,0,IFERROR(MATCH(INDEX(ROTACAO_RDM!$N$6:$N$71,$J170),PARAMETROS_CULTURAS!$B$6:$B$28,0),0))</f>
        <v>5</v>
      </c>
      <c r="Q170" s="8" t="str">
        <f aca="false">IF($P170=0,"-",IF($O170&lt;=INDEX(PARAMETROS_CULTURAS!$F$6:$F$28,$P170),"INICIAL",IF($O170&lt;=INDEX(PARAMETROS_CULTURAS!$F$6:$F$28,$P170)+INDEX(PARAMETROS_CULTURAS!$G$6:$G$28,$P170),"DESENVOLVIMENTO",IF($O170&lt;=INDEX(PARAMETROS_CULTURAS!$F$6:$F$28,$P170)+INDEX(PARAMETROS_CULTURAS!$G$6:$G$28,$P170)+INDEX(PARAMETROS_CULTURAS!$H$6:$H$28,$P170),"MEDIA","FINAL"))))</f>
        <v>MEDIA</v>
      </c>
      <c r="R170" s="24" t="n">
        <f aca="false">IF($P170=0,0,IF($O170&lt;=INDEX(PARAMETROS_CULTURAS!$F$6:$F$28,$P170),INDEX(PARAMETROS_CULTURAS!$K$6:$K$28,$P170),IF($O170&lt;=INDEX(PARAMETROS_CULTURAS!$F$6:$F$28,$P170)+INDEX(PARAMETROS_CULTURAS!$G$6:$G$28,$P170),INDEX(PARAMETROS_CULTURAS!$K$6:$K$28,$P170)+(INDEX(PARAMETROS_CULTURAS!$L$6:$L$28,$P170)-INDEX(PARAMETROS_CULTURAS!$K$6:$K$28,$P170))*($O170-INDEX(PARAMETROS_CULTURAS!$F$6:$F$28,$P170))/MAX(INDEX(PARAMETROS_CULTURAS!$G$6:$G$28,$P170),0.0001),IF($O170&lt;=INDEX(PARAMETROS_CULTURAS!$F$6:$F$28,$P170)+INDEX(PARAMETROS_CULTURAS!$G$6:$G$28,$P170)+INDEX(PARAMETROS_CULTURAS!$H$6:$H$28,$P170),INDEX(PARAMETROS_CULTURAS!$L$6:$L$28,$P170),INDEX(PARAMETROS_CULTURAS!$L$6:$L$28,$P170)+(INDEX(PARAMETROS_CULTURAS!$M$6:$M$28,$P170)-INDEX(PARAMETROS_CULTURAS!$L$6:$L$28,$P170))*($O170-INDEX(PARAMETROS_CULTURAS!$F$6:$F$28,$P170)-INDEX(PARAMETROS_CULTURAS!$G$6:$G$28,$P170)-INDEX(PARAMETROS_CULTURAS!$H$6:$H$28,$P170))/MAX(INDEX(PARAMETROS_CULTURAS!$I$6:$I$28,$P170),0.0001)))))</f>
        <v>1.15</v>
      </c>
      <c r="S170" s="18" t="n">
        <f aca="false">IFERROR(INDEX(SEMANAS!$H$6:$H$71,MATCH($B170,SEMANAS!$B$6:$B$71,0)),0)</f>
        <v>31.5</v>
      </c>
      <c r="T170" s="18" t="n">
        <f aca="false">$R170*$S170</f>
        <v>36.225</v>
      </c>
      <c r="U170" s="18" t="n">
        <f aca="false">IFERROR(INDEX(SEMANAS!$I$6:$I$71,MATCH($B170,SEMANAS!$B$6:$B$71,0)),0)</f>
        <v>16.31</v>
      </c>
      <c r="V170" s="18" t="n">
        <f aca="false">IFERROR(INDEX(SEMANAS!$J$6:$J$71,MATCH($B170,SEMANAS!$B$6:$B$71,0)),0)</f>
        <v>13.048</v>
      </c>
      <c r="W170" s="18" t="n">
        <f aca="false">MAX(0,$T170-$V170)</f>
        <v>23.177</v>
      </c>
      <c r="X170" s="19" t="n">
        <f aca="false">IFERROR(INDEX(CADASTRO_PIVOS!$K$6:$K$41,MATCH($E170,CADASTRO_PIVOS!$B$6:$B$41,0)),EFICIENCIA_PADRAO)</f>
        <v>0.85</v>
      </c>
      <c r="Y170" s="18" t="n">
        <f aca="false">IF($X170&lt;=0,0,$W170/$X170)</f>
        <v>27.2670588235294</v>
      </c>
      <c r="Z170" s="16" t="n">
        <f aca="false">$Y170*$H170*MM_PARA_M3_HA</f>
        <v>27283.4190588235</v>
      </c>
      <c r="AA170" s="18" t="n">
        <f aca="false">IFERROR(INDEX(CADASTRO_PIVOS!$I$6:$I$41,MATCH($E170,CADASTRO_PIVOS!$B$6:$B$41,0)),0)</f>
        <v>714.714285714286</v>
      </c>
      <c r="AB170" s="18" t="n">
        <f aca="false">IF($Z170&lt;=0,0,$Z170/$AA170)</f>
        <v>38.1738823529412</v>
      </c>
      <c r="AC170" s="16" t="n">
        <f aca="false">IFERROR(INDEX(SEMANAS!$K$6:$K$71,MATCH($B170,SEMANAS!$B$6:$B$71,0)),0)</f>
        <v>147</v>
      </c>
      <c r="AD170" s="19" t="n">
        <f aca="false">IF($AC170&lt;=0,0,$AB170/$AC170)</f>
        <v>0.259686274509804</v>
      </c>
      <c r="AE170" s="8" t="str">
        <f aca="false">IF($K170="SEM CULTURA","SEM CULTURA",IF($AA170&lt;=0,"DADO PENDENTE",IF($AD170&gt;LIMITE_CRITICO,"INVIAVEL",IF($AD170&gt;LIMITE_ATENCAO,"CRITICO",IF($AD170&gt;LIMITE_CONFORTAVEL,"ATENCAO","OK")))))</f>
        <v>OK</v>
      </c>
      <c r="AF170" s="8" t="str">
        <f aca="false">$B170&amp;"|"&amp;TEXT($AD170,"0.000000")</f>
        <v>33|0.259686</v>
      </c>
      <c r="AG170" s="18" t="n">
        <f aca="false">IF($K170="SEM CULTURA",0,$T170*$H170)</f>
        <v>3624.6735</v>
      </c>
      <c r="AH170" s="18" t="n">
        <f aca="false">IF($K170="SEM CULTURA",0,$V170*$H170)</f>
        <v>1305.58288</v>
      </c>
      <c r="AI170" s="18" t="n">
        <f aca="false">IF($K170="SEM CULTURA",0,$W170*$H170)</f>
        <v>2319.09062</v>
      </c>
      <c r="AJ170" s="18" t="n">
        <f aca="false">IF($K170="SEM CULTURA",0,$S170*$H170)</f>
        <v>3151.89</v>
      </c>
      <c r="AK170" s="8" t="str">
        <f aca="false">$E170&amp;"|"&amp;TEXT($AD170,"0.000000")</f>
        <v>PV 108|0.259686</v>
      </c>
    </row>
    <row r="171" customFormat="false" ht="15" hidden="false" customHeight="false" outlineLevel="0" collapsed="false">
      <c r="B171" s="16" t="n">
        <v>34</v>
      </c>
      <c r="C171" s="17" t="n">
        <f aca="false">DATA_INICIO_SAFRA+($B171-1)*DIAS_POR_SEMANA</f>
        <v>46496</v>
      </c>
      <c r="D171" s="17" t="n">
        <f aca="false">$C171+DIAS_POR_SEMANA-1</f>
        <v>46502</v>
      </c>
      <c r="E171" s="15" t="s">
        <v>261</v>
      </c>
      <c r="F171" s="8" t="str">
        <f aca="false">IFERROR(INDEX(CADASTRO_PIVOS!$C$6:$C$41,MATCH($E171,CADASTRO_PIVOS!$B$6:$B$41,0)),"?")</f>
        <v>RM02</v>
      </c>
      <c r="G171" s="8" t="str">
        <f aca="false">IFERROR(INDEX(CADASTRO_PIVOS!$D$6:$D$41,MATCH($E171,CADASTRO_PIVOS!$B$6:$B$41,0)),"?")</f>
        <v>TR02</v>
      </c>
      <c r="H171" s="20" t="n">
        <f aca="false">IFERROR(INDEX(CADASTRO_PIVOS!$E$6:$E$41,MATCH($E171,CADASTRO_PIVOS!$B$6:$B$41,0)),0)</f>
        <v>100.06</v>
      </c>
      <c r="I171" s="16" t="n">
        <f aca="false">IFERROR(SUMIFS(ROTACAO_RDM!$B$6:$B$71,ROTACAO_RDM!$D$6:$D$71,$E171,ROTACAO_RDM!$I$6:$I$71,"&lt;="&amp;$C171+INT(DIAS_POR_SEMANA/2),ROTACAO_RDM!$J$6:$J$71,"&gt;="&amp;$C171+INT(DIAS_POR_SEMANA/2)),0)</f>
        <v>14</v>
      </c>
      <c r="J171" s="16" t="n">
        <f aca="false">IFERROR(MATCH($I171,ROTACAO_RDM!$B$6:$B$71,0),0)</f>
        <v>14</v>
      </c>
      <c r="K171" s="8" t="str">
        <f aca="false">IF($J171=0,"SEM CULTURA",INDEX(ROTACAO_RDM!$F$6:$F$71,$J171))</f>
        <v>ALGODAO</v>
      </c>
      <c r="L171" s="8" t="str">
        <f aca="false">IF($J171=0,"",INDEX(ROTACAO_RDM!$G$6:$G$71,$J171))</f>
        <v>FM 933 STP</v>
      </c>
      <c r="M171" s="17" t="n">
        <f aca="false">IF($J171=0,"",INDEX(ROTACAO_RDM!$I$6:$I$71,$J171))</f>
        <v>46360</v>
      </c>
      <c r="N171" s="16" t="n">
        <f aca="false">IF($J171=0,0,MAX(0,$C171+INT(DIAS_POR_SEMANA/2)-INDEX(ROTACAO_RDM!$I$6:$I$71,$J171)))</f>
        <v>139</v>
      </c>
      <c r="O171" s="19" t="n">
        <f aca="false">IF($J171=0,0,MIN(1,$N171/MAX(1,INDEX(ROTACAO_RDM!$K$6:$K$71,$J171))))</f>
        <v>0.712820512820513</v>
      </c>
      <c r="P171" s="16" t="n">
        <f aca="false">IF($J171=0,0,IFERROR(MATCH(INDEX(ROTACAO_RDM!$N$6:$N$71,$J171),PARAMETROS_CULTURAS!$B$6:$B$28,0),0))</f>
        <v>5</v>
      </c>
      <c r="Q171" s="8" t="str">
        <f aca="false">IF($P171=0,"-",IF($O171&lt;=INDEX(PARAMETROS_CULTURAS!$F$6:$F$28,$P171),"INICIAL",IF($O171&lt;=INDEX(PARAMETROS_CULTURAS!$F$6:$F$28,$P171)+INDEX(PARAMETROS_CULTURAS!$G$6:$G$28,$P171),"DESENVOLVIMENTO",IF($O171&lt;=INDEX(PARAMETROS_CULTURAS!$F$6:$F$28,$P171)+INDEX(PARAMETROS_CULTURAS!$G$6:$G$28,$P171)+INDEX(PARAMETROS_CULTURAS!$H$6:$H$28,$P171),"MEDIA","FINAL"))))</f>
        <v>MEDIA</v>
      </c>
      <c r="R171" s="24" t="n">
        <f aca="false">IF($P171=0,0,IF($O171&lt;=INDEX(PARAMETROS_CULTURAS!$F$6:$F$28,$P171),INDEX(PARAMETROS_CULTURAS!$K$6:$K$28,$P171),IF($O171&lt;=INDEX(PARAMETROS_CULTURAS!$F$6:$F$28,$P171)+INDEX(PARAMETROS_CULTURAS!$G$6:$G$28,$P171),INDEX(PARAMETROS_CULTURAS!$K$6:$K$28,$P171)+(INDEX(PARAMETROS_CULTURAS!$L$6:$L$28,$P171)-INDEX(PARAMETROS_CULTURAS!$K$6:$K$28,$P171))*($O171-INDEX(PARAMETROS_CULTURAS!$F$6:$F$28,$P171))/MAX(INDEX(PARAMETROS_CULTURAS!$G$6:$G$28,$P171),0.0001),IF($O171&lt;=INDEX(PARAMETROS_CULTURAS!$F$6:$F$28,$P171)+INDEX(PARAMETROS_CULTURAS!$G$6:$G$28,$P171)+INDEX(PARAMETROS_CULTURAS!$H$6:$H$28,$P171),INDEX(PARAMETROS_CULTURAS!$L$6:$L$28,$P171),INDEX(PARAMETROS_CULTURAS!$L$6:$L$28,$P171)+(INDEX(PARAMETROS_CULTURAS!$M$6:$M$28,$P171)-INDEX(PARAMETROS_CULTURAS!$L$6:$L$28,$P171))*($O171-INDEX(PARAMETROS_CULTURAS!$F$6:$F$28,$P171)-INDEX(PARAMETROS_CULTURAS!$G$6:$G$28,$P171)-INDEX(PARAMETROS_CULTURAS!$H$6:$H$28,$P171))/MAX(INDEX(PARAMETROS_CULTURAS!$I$6:$I$28,$P171),0.0001)))))</f>
        <v>1.15</v>
      </c>
      <c r="S171" s="18" t="n">
        <f aca="false">IFERROR(INDEX(SEMANAS!$H$6:$H$71,MATCH($B171,SEMANAS!$B$6:$B$71,0)),0)</f>
        <v>31.5</v>
      </c>
      <c r="T171" s="18" t="n">
        <f aca="false">$R171*$S171</f>
        <v>36.225</v>
      </c>
      <c r="U171" s="18" t="n">
        <f aca="false">IFERROR(INDEX(SEMANAS!$I$6:$I$71,MATCH($B171,SEMANAS!$B$6:$B$71,0)),0)</f>
        <v>16.31</v>
      </c>
      <c r="V171" s="18" t="n">
        <f aca="false">IFERROR(INDEX(SEMANAS!$J$6:$J$71,MATCH($B171,SEMANAS!$B$6:$B$71,0)),0)</f>
        <v>13.048</v>
      </c>
      <c r="W171" s="18" t="n">
        <f aca="false">MAX(0,$T171-$V171)</f>
        <v>23.177</v>
      </c>
      <c r="X171" s="19" t="n">
        <f aca="false">IFERROR(INDEX(CADASTRO_PIVOS!$K$6:$K$41,MATCH($E171,CADASTRO_PIVOS!$B$6:$B$41,0)),EFICIENCIA_PADRAO)</f>
        <v>0.85</v>
      </c>
      <c r="Y171" s="18" t="n">
        <f aca="false">IF($X171&lt;=0,0,$W171/$X171)</f>
        <v>27.2670588235294</v>
      </c>
      <c r="Z171" s="16" t="n">
        <f aca="false">$Y171*$H171*MM_PARA_M3_HA</f>
        <v>27283.4190588235</v>
      </c>
      <c r="AA171" s="18" t="n">
        <f aca="false">IFERROR(INDEX(CADASTRO_PIVOS!$I$6:$I$41,MATCH($E171,CADASTRO_PIVOS!$B$6:$B$41,0)),0)</f>
        <v>714.714285714286</v>
      </c>
      <c r="AB171" s="18" t="n">
        <f aca="false">IF($Z171&lt;=0,0,$Z171/$AA171)</f>
        <v>38.1738823529412</v>
      </c>
      <c r="AC171" s="16" t="n">
        <f aca="false">IFERROR(INDEX(SEMANAS!$K$6:$K$71,MATCH($B171,SEMANAS!$B$6:$B$71,0)),0)</f>
        <v>147</v>
      </c>
      <c r="AD171" s="19" t="n">
        <f aca="false">IF($AC171&lt;=0,0,$AB171/$AC171)</f>
        <v>0.259686274509804</v>
      </c>
      <c r="AE171" s="8" t="str">
        <f aca="false">IF($K171="SEM CULTURA","SEM CULTURA",IF($AA171&lt;=0,"DADO PENDENTE",IF($AD171&gt;LIMITE_CRITICO,"INVIAVEL",IF($AD171&gt;LIMITE_ATENCAO,"CRITICO",IF($AD171&gt;LIMITE_CONFORTAVEL,"ATENCAO","OK")))))</f>
        <v>OK</v>
      </c>
      <c r="AF171" s="8" t="str">
        <f aca="false">$B171&amp;"|"&amp;TEXT($AD171,"0.000000")</f>
        <v>34|0.259686</v>
      </c>
      <c r="AG171" s="18" t="n">
        <f aca="false">IF($K171="SEM CULTURA",0,$T171*$H171)</f>
        <v>3624.6735</v>
      </c>
      <c r="AH171" s="18" t="n">
        <f aca="false">IF($K171="SEM CULTURA",0,$V171*$H171)</f>
        <v>1305.58288</v>
      </c>
      <c r="AI171" s="18" t="n">
        <f aca="false">IF($K171="SEM CULTURA",0,$W171*$H171)</f>
        <v>2319.09062</v>
      </c>
      <c r="AJ171" s="18" t="n">
        <f aca="false">IF($K171="SEM CULTURA",0,$S171*$H171)</f>
        <v>3151.89</v>
      </c>
      <c r="AK171" s="8" t="str">
        <f aca="false">$E171&amp;"|"&amp;TEXT($AD171,"0.000000")</f>
        <v>PV 108|0.259686</v>
      </c>
    </row>
    <row r="172" customFormat="false" ht="15" hidden="false" customHeight="false" outlineLevel="0" collapsed="false">
      <c r="B172" s="16" t="n">
        <v>35</v>
      </c>
      <c r="C172" s="17" t="n">
        <f aca="false">DATA_INICIO_SAFRA+($B172-1)*DIAS_POR_SEMANA</f>
        <v>46503</v>
      </c>
      <c r="D172" s="17" t="n">
        <f aca="false">$C172+DIAS_POR_SEMANA-1</f>
        <v>46509</v>
      </c>
      <c r="E172" s="15" t="s">
        <v>261</v>
      </c>
      <c r="F172" s="8" t="str">
        <f aca="false">IFERROR(INDEX(CADASTRO_PIVOS!$C$6:$C$41,MATCH($E172,CADASTRO_PIVOS!$B$6:$B$41,0)),"?")</f>
        <v>RM02</v>
      </c>
      <c r="G172" s="8" t="str">
        <f aca="false">IFERROR(INDEX(CADASTRO_PIVOS!$D$6:$D$41,MATCH($E172,CADASTRO_PIVOS!$B$6:$B$41,0)),"?")</f>
        <v>TR02</v>
      </c>
      <c r="H172" s="20" t="n">
        <f aca="false">IFERROR(INDEX(CADASTRO_PIVOS!$E$6:$E$41,MATCH($E172,CADASTRO_PIVOS!$B$6:$B$41,0)),0)</f>
        <v>100.06</v>
      </c>
      <c r="I172" s="16" t="n">
        <f aca="false">IFERROR(SUMIFS(ROTACAO_RDM!$B$6:$B$71,ROTACAO_RDM!$D$6:$D$71,$E172,ROTACAO_RDM!$I$6:$I$71,"&lt;="&amp;$C172+INT(DIAS_POR_SEMANA/2),ROTACAO_RDM!$J$6:$J$71,"&gt;="&amp;$C172+INT(DIAS_POR_SEMANA/2)),0)</f>
        <v>14</v>
      </c>
      <c r="J172" s="16" t="n">
        <f aca="false">IFERROR(MATCH($I172,ROTACAO_RDM!$B$6:$B$71,0),0)</f>
        <v>14</v>
      </c>
      <c r="K172" s="8" t="str">
        <f aca="false">IF($J172=0,"SEM CULTURA",INDEX(ROTACAO_RDM!$F$6:$F$71,$J172))</f>
        <v>ALGODAO</v>
      </c>
      <c r="L172" s="8" t="str">
        <f aca="false">IF($J172=0,"",INDEX(ROTACAO_RDM!$G$6:$G$71,$J172))</f>
        <v>FM 933 STP</v>
      </c>
      <c r="M172" s="17" t="n">
        <f aca="false">IF($J172=0,"",INDEX(ROTACAO_RDM!$I$6:$I$71,$J172))</f>
        <v>46360</v>
      </c>
      <c r="N172" s="16" t="n">
        <f aca="false">IF($J172=0,0,MAX(0,$C172+INT(DIAS_POR_SEMANA/2)-INDEX(ROTACAO_RDM!$I$6:$I$71,$J172)))</f>
        <v>146</v>
      </c>
      <c r="O172" s="19" t="n">
        <f aca="false">IF($J172=0,0,MIN(1,$N172/MAX(1,INDEX(ROTACAO_RDM!$K$6:$K$71,$J172))))</f>
        <v>0.748717948717949</v>
      </c>
      <c r="P172" s="16" t="n">
        <f aca="false">IF($J172=0,0,IFERROR(MATCH(INDEX(ROTACAO_RDM!$N$6:$N$71,$J172),PARAMETROS_CULTURAS!$B$6:$B$28,0),0))</f>
        <v>5</v>
      </c>
      <c r="Q172" s="8" t="str">
        <f aca="false">IF($P172=0,"-",IF($O172&lt;=INDEX(PARAMETROS_CULTURAS!$F$6:$F$28,$P172),"INICIAL",IF($O172&lt;=INDEX(PARAMETROS_CULTURAS!$F$6:$F$28,$P172)+INDEX(PARAMETROS_CULTURAS!$G$6:$G$28,$P172),"DESENVOLVIMENTO",IF($O172&lt;=INDEX(PARAMETROS_CULTURAS!$F$6:$F$28,$P172)+INDEX(PARAMETROS_CULTURAS!$G$6:$G$28,$P172)+INDEX(PARAMETROS_CULTURAS!$H$6:$H$28,$P172),"MEDIA","FINAL"))))</f>
        <v>FINAL</v>
      </c>
      <c r="R172" s="24" t="n">
        <f aca="false">IF($P172=0,0,IF($O172&lt;=INDEX(PARAMETROS_CULTURAS!$F$6:$F$28,$P172),INDEX(PARAMETROS_CULTURAS!$K$6:$K$28,$P172),IF($O172&lt;=INDEX(PARAMETROS_CULTURAS!$F$6:$F$28,$P172)+INDEX(PARAMETROS_CULTURAS!$G$6:$G$28,$P172),INDEX(PARAMETROS_CULTURAS!$K$6:$K$28,$P172)+(INDEX(PARAMETROS_CULTURAS!$L$6:$L$28,$P172)-INDEX(PARAMETROS_CULTURAS!$K$6:$K$28,$P172))*($O172-INDEX(PARAMETROS_CULTURAS!$F$6:$F$28,$P172))/MAX(INDEX(PARAMETROS_CULTURAS!$G$6:$G$28,$P172),0.0001),IF($O172&lt;=INDEX(PARAMETROS_CULTURAS!$F$6:$F$28,$P172)+INDEX(PARAMETROS_CULTURAS!$G$6:$G$28,$P172)+INDEX(PARAMETROS_CULTURAS!$H$6:$H$28,$P172),INDEX(PARAMETROS_CULTURAS!$L$6:$L$28,$P172),INDEX(PARAMETROS_CULTURAS!$L$6:$L$28,$P172)+(INDEX(PARAMETROS_CULTURAS!$M$6:$M$28,$P172)-INDEX(PARAMETROS_CULTURAS!$L$6:$L$28,$P172))*($O172-INDEX(PARAMETROS_CULTURAS!$F$6:$F$28,$P172)-INDEX(PARAMETROS_CULTURAS!$G$6:$G$28,$P172)-INDEX(PARAMETROS_CULTURAS!$H$6:$H$28,$P172))/MAX(INDEX(PARAMETROS_CULTURAS!$I$6:$I$28,$P172),0.0001)))))</f>
        <v>1.09358974358974</v>
      </c>
      <c r="S172" s="18" t="n">
        <f aca="false">IFERROR(INDEX(SEMANAS!$H$6:$H$71,MATCH($B172,SEMANAS!$B$6:$B$71,0)),0)</f>
        <v>30.9</v>
      </c>
      <c r="T172" s="18" t="n">
        <f aca="false">$R172*$S172</f>
        <v>33.7919230769231</v>
      </c>
      <c r="U172" s="18" t="n">
        <f aca="false">IFERROR(INDEX(SEMANAS!$I$6:$I$71,MATCH($B172,SEMANAS!$B$6:$B$71,0)),0)</f>
        <v>12.61</v>
      </c>
      <c r="V172" s="18" t="n">
        <f aca="false">IFERROR(INDEX(SEMANAS!$J$6:$J$71,MATCH($B172,SEMANAS!$B$6:$B$71,0)),0)</f>
        <v>10.088</v>
      </c>
      <c r="W172" s="18" t="n">
        <f aca="false">MAX(0,$T172-$V172)</f>
        <v>23.7039230769231</v>
      </c>
      <c r="X172" s="19" t="n">
        <f aca="false">IFERROR(INDEX(CADASTRO_PIVOS!$K$6:$K$41,MATCH($E172,CADASTRO_PIVOS!$B$6:$B$41,0)),EFICIENCIA_PADRAO)</f>
        <v>0.85</v>
      </c>
      <c r="Y172" s="18" t="n">
        <f aca="false">IF($X172&lt;=0,0,$W172/$X172)</f>
        <v>27.8869683257918</v>
      </c>
      <c r="Z172" s="16" t="n">
        <f aca="false">$Y172*$H172*MM_PARA_M3_HA</f>
        <v>27903.7005067873</v>
      </c>
      <c r="AA172" s="18" t="n">
        <f aca="false">IFERROR(INDEX(CADASTRO_PIVOS!$I$6:$I$41,MATCH($E172,CADASTRO_PIVOS!$B$6:$B$41,0)),0)</f>
        <v>714.714285714286</v>
      </c>
      <c r="AB172" s="18" t="n">
        <f aca="false">IF($Z172&lt;=0,0,$Z172/$AA172)</f>
        <v>39.0417556561086</v>
      </c>
      <c r="AC172" s="16" t="n">
        <f aca="false">IFERROR(INDEX(SEMANAS!$K$6:$K$71,MATCH($B172,SEMANAS!$B$6:$B$71,0)),0)</f>
        <v>147</v>
      </c>
      <c r="AD172" s="19" t="n">
        <f aca="false">IF($AC172&lt;=0,0,$AB172/$AC172)</f>
        <v>0.265590174531351</v>
      </c>
      <c r="AE172" s="8" t="str">
        <f aca="false">IF($K172="SEM CULTURA","SEM CULTURA",IF($AA172&lt;=0,"DADO PENDENTE",IF($AD172&gt;LIMITE_CRITICO,"INVIAVEL",IF($AD172&gt;LIMITE_ATENCAO,"CRITICO",IF($AD172&gt;LIMITE_CONFORTAVEL,"ATENCAO","OK")))))</f>
        <v>OK</v>
      </c>
      <c r="AF172" s="8" t="str">
        <f aca="false">$B172&amp;"|"&amp;TEXT($AD172,"0.000000")</f>
        <v>35|0.265590</v>
      </c>
      <c r="AG172" s="18" t="n">
        <f aca="false">IF($K172="SEM CULTURA",0,$T172*$H172)</f>
        <v>3381.21982307692</v>
      </c>
      <c r="AH172" s="18" t="n">
        <f aca="false">IF($K172="SEM CULTURA",0,$V172*$H172)</f>
        <v>1009.40528</v>
      </c>
      <c r="AI172" s="18" t="n">
        <f aca="false">IF($K172="SEM CULTURA",0,$W172*$H172)</f>
        <v>2371.81454307692</v>
      </c>
      <c r="AJ172" s="18" t="n">
        <f aca="false">IF($K172="SEM CULTURA",0,$S172*$H172)</f>
        <v>3091.854</v>
      </c>
      <c r="AK172" s="8" t="str">
        <f aca="false">$E172&amp;"|"&amp;TEXT($AD172,"0.000000")</f>
        <v>PV 108|0.265590</v>
      </c>
    </row>
    <row r="173" customFormat="false" ht="15" hidden="false" customHeight="false" outlineLevel="0" collapsed="false">
      <c r="B173" s="16" t="n">
        <v>36</v>
      </c>
      <c r="C173" s="17" t="n">
        <f aca="false">DATA_INICIO_SAFRA+($B173-1)*DIAS_POR_SEMANA</f>
        <v>46510</v>
      </c>
      <c r="D173" s="17" t="n">
        <f aca="false">$C173+DIAS_POR_SEMANA-1</f>
        <v>46516</v>
      </c>
      <c r="E173" s="15" t="s">
        <v>261</v>
      </c>
      <c r="F173" s="8" t="str">
        <f aca="false">IFERROR(INDEX(CADASTRO_PIVOS!$C$6:$C$41,MATCH($E173,CADASTRO_PIVOS!$B$6:$B$41,0)),"?")</f>
        <v>RM02</v>
      </c>
      <c r="G173" s="8" t="str">
        <f aca="false">IFERROR(INDEX(CADASTRO_PIVOS!$D$6:$D$41,MATCH($E173,CADASTRO_PIVOS!$B$6:$B$41,0)),"?")</f>
        <v>TR02</v>
      </c>
      <c r="H173" s="20" t="n">
        <f aca="false">IFERROR(INDEX(CADASTRO_PIVOS!$E$6:$E$41,MATCH($E173,CADASTRO_PIVOS!$B$6:$B$41,0)),0)</f>
        <v>100.06</v>
      </c>
      <c r="I173" s="16" t="n">
        <f aca="false">IFERROR(SUMIFS(ROTACAO_RDM!$B$6:$B$71,ROTACAO_RDM!$D$6:$D$71,$E173,ROTACAO_RDM!$I$6:$I$71,"&lt;="&amp;$C173+INT(DIAS_POR_SEMANA/2),ROTACAO_RDM!$J$6:$J$71,"&gt;="&amp;$C173+INT(DIAS_POR_SEMANA/2)),0)</f>
        <v>14</v>
      </c>
      <c r="J173" s="16" t="n">
        <f aca="false">IFERROR(MATCH($I173,ROTACAO_RDM!$B$6:$B$71,0),0)</f>
        <v>14</v>
      </c>
      <c r="K173" s="8" t="str">
        <f aca="false">IF($J173=0,"SEM CULTURA",INDEX(ROTACAO_RDM!$F$6:$F$71,$J173))</f>
        <v>ALGODAO</v>
      </c>
      <c r="L173" s="8" t="str">
        <f aca="false">IF($J173=0,"",INDEX(ROTACAO_RDM!$G$6:$G$71,$J173))</f>
        <v>FM 933 STP</v>
      </c>
      <c r="M173" s="17" t="n">
        <f aca="false">IF($J173=0,"",INDEX(ROTACAO_RDM!$I$6:$I$71,$J173))</f>
        <v>46360</v>
      </c>
      <c r="N173" s="16" t="n">
        <f aca="false">IF($J173=0,0,MAX(0,$C173+INT(DIAS_POR_SEMANA/2)-INDEX(ROTACAO_RDM!$I$6:$I$71,$J173)))</f>
        <v>153</v>
      </c>
      <c r="O173" s="19" t="n">
        <f aca="false">IF($J173=0,0,MIN(1,$N173/MAX(1,INDEX(ROTACAO_RDM!$K$6:$K$71,$J173))))</f>
        <v>0.784615384615385</v>
      </c>
      <c r="P173" s="16" t="n">
        <f aca="false">IF($J173=0,0,IFERROR(MATCH(INDEX(ROTACAO_RDM!$N$6:$N$71,$J173),PARAMETROS_CULTURAS!$B$6:$B$28,0),0))</f>
        <v>5</v>
      </c>
      <c r="Q173" s="8" t="str">
        <f aca="false">IF($P173=0,"-",IF($O173&lt;=INDEX(PARAMETROS_CULTURAS!$F$6:$F$28,$P173),"INICIAL",IF($O173&lt;=INDEX(PARAMETROS_CULTURAS!$F$6:$F$28,$P173)+INDEX(PARAMETROS_CULTURAS!$G$6:$G$28,$P173),"DESENVOLVIMENTO",IF($O173&lt;=INDEX(PARAMETROS_CULTURAS!$F$6:$F$28,$P173)+INDEX(PARAMETROS_CULTURAS!$G$6:$G$28,$P173)+INDEX(PARAMETROS_CULTURAS!$H$6:$H$28,$P173),"MEDIA","FINAL"))))</f>
        <v>FINAL</v>
      </c>
      <c r="R173" s="24" t="n">
        <f aca="false">IF($P173=0,0,IF($O173&lt;=INDEX(PARAMETROS_CULTURAS!$F$6:$F$28,$P173),INDEX(PARAMETROS_CULTURAS!$K$6:$K$28,$P173),IF($O173&lt;=INDEX(PARAMETROS_CULTURAS!$F$6:$F$28,$P173)+INDEX(PARAMETROS_CULTURAS!$G$6:$G$28,$P173),INDEX(PARAMETROS_CULTURAS!$K$6:$K$28,$P173)+(INDEX(PARAMETROS_CULTURAS!$L$6:$L$28,$P173)-INDEX(PARAMETROS_CULTURAS!$K$6:$K$28,$P173))*($O173-INDEX(PARAMETROS_CULTURAS!$F$6:$F$28,$P173))/MAX(INDEX(PARAMETROS_CULTURAS!$G$6:$G$28,$P173),0.0001),IF($O173&lt;=INDEX(PARAMETROS_CULTURAS!$F$6:$F$28,$P173)+INDEX(PARAMETROS_CULTURAS!$G$6:$G$28,$P173)+INDEX(PARAMETROS_CULTURAS!$H$6:$H$28,$P173),INDEX(PARAMETROS_CULTURAS!$L$6:$L$28,$P173),INDEX(PARAMETROS_CULTURAS!$L$6:$L$28,$P173)+(INDEX(PARAMETROS_CULTURAS!$M$6:$M$28,$P173)-INDEX(PARAMETROS_CULTURAS!$L$6:$L$28,$P173))*($O173-INDEX(PARAMETROS_CULTURAS!$F$6:$F$28,$P173)-INDEX(PARAMETROS_CULTURAS!$G$6:$G$28,$P173)-INDEX(PARAMETROS_CULTURAS!$H$6:$H$28,$P173))/MAX(INDEX(PARAMETROS_CULTURAS!$I$6:$I$28,$P173),0.0001)))))</f>
        <v>1.02307692307692</v>
      </c>
      <c r="S173" s="18" t="n">
        <f aca="false">IFERROR(INDEX(SEMANAS!$H$6:$H$71,MATCH($B173,SEMANAS!$B$6:$B$71,0)),0)</f>
        <v>29.4</v>
      </c>
      <c r="T173" s="18" t="n">
        <f aca="false">$R173*$S173</f>
        <v>30.0784615384615</v>
      </c>
      <c r="U173" s="18" t="n">
        <f aca="false">IFERROR(INDEX(SEMANAS!$I$6:$I$71,MATCH($B173,SEMANAS!$B$6:$B$71,0)),0)</f>
        <v>3.36</v>
      </c>
      <c r="V173" s="18" t="n">
        <f aca="false">IFERROR(INDEX(SEMANAS!$J$6:$J$71,MATCH($B173,SEMANAS!$B$6:$B$71,0)),0)</f>
        <v>2.688</v>
      </c>
      <c r="W173" s="18" t="n">
        <f aca="false">MAX(0,$T173-$V173)</f>
        <v>27.3904615384615</v>
      </c>
      <c r="X173" s="19" t="n">
        <f aca="false">IFERROR(INDEX(CADASTRO_PIVOS!$K$6:$K$41,MATCH($E173,CADASTRO_PIVOS!$B$6:$B$41,0)),EFICIENCIA_PADRAO)</f>
        <v>0.85</v>
      </c>
      <c r="Y173" s="18" t="n">
        <f aca="false">IF($X173&lt;=0,0,$W173/$X173)</f>
        <v>32.22407239819</v>
      </c>
      <c r="Z173" s="16" t="n">
        <f aca="false">$Y173*$H173*MM_PARA_M3_HA</f>
        <v>32243.406841629</v>
      </c>
      <c r="AA173" s="18" t="n">
        <f aca="false">IFERROR(INDEX(CADASTRO_PIVOS!$I$6:$I$41,MATCH($E173,CADASTRO_PIVOS!$B$6:$B$41,0)),0)</f>
        <v>714.714285714286</v>
      </c>
      <c r="AB173" s="18" t="n">
        <f aca="false">IF($Z173&lt;=0,0,$Z173/$AA173)</f>
        <v>45.1137013574661</v>
      </c>
      <c r="AC173" s="16" t="n">
        <f aca="false">IFERROR(INDEX(SEMANAS!$K$6:$K$71,MATCH($B173,SEMANAS!$B$6:$B$71,0)),0)</f>
        <v>147</v>
      </c>
      <c r="AD173" s="19" t="n">
        <f aca="false">IF($AC173&lt;=0,0,$AB173/$AC173)</f>
        <v>0.30689592760181</v>
      </c>
      <c r="AE173" s="8" t="str">
        <f aca="false">IF($K173="SEM CULTURA","SEM CULTURA",IF($AA173&lt;=0,"DADO PENDENTE",IF($AD173&gt;LIMITE_CRITICO,"INVIAVEL",IF($AD173&gt;LIMITE_ATENCAO,"CRITICO",IF($AD173&gt;LIMITE_CONFORTAVEL,"ATENCAO","OK")))))</f>
        <v>OK</v>
      </c>
      <c r="AF173" s="8" t="str">
        <f aca="false">$B173&amp;"|"&amp;TEXT($AD173,"0.000000")</f>
        <v>36|0.306896</v>
      </c>
      <c r="AG173" s="18" t="n">
        <f aca="false">IF($K173="SEM CULTURA",0,$T173*$H173)</f>
        <v>3009.65086153846</v>
      </c>
      <c r="AH173" s="18" t="n">
        <f aca="false">IF($K173="SEM CULTURA",0,$V173*$H173)</f>
        <v>268.96128</v>
      </c>
      <c r="AI173" s="18" t="n">
        <f aca="false">IF($K173="SEM CULTURA",0,$W173*$H173)</f>
        <v>2740.68958153846</v>
      </c>
      <c r="AJ173" s="18" t="n">
        <f aca="false">IF($K173="SEM CULTURA",0,$S173*$H173)</f>
        <v>2941.764</v>
      </c>
      <c r="AK173" s="8" t="str">
        <f aca="false">$E173&amp;"|"&amp;TEXT($AD173,"0.000000")</f>
        <v>PV 108|0.306896</v>
      </c>
    </row>
    <row r="174" customFormat="false" ht="15" hidden="false" customHeight="false" outlineLevel="0" collapsed="false">
      <c r="B174" s="16" t="n">
        <v>37</v>
      </c>
      <c r="C174" s="17" t="n">
        <f aca="false">DATA_INICIO_SAFRA+($B174-1)*DIAS_POR_SEMANA</f>
        <v>46517</v>
      </c>
      <c r="D174" s="17" t="n">
        <f aca="false">$C174+DIAS_POR_SEMANA-1</f>
        <v>46523</v>
      </c>
      <c r="E174" s="15" t="s">
        <v>261</v>
      </c>
      <c r="F174" s="8" t="str">
        <f aca="false">IFERROR(INDEX(CADASTRO_PIVOS!$C$6:$C$41,MATCH($E174,CADASTRO_PIVOS!$B$6:$B$41,0)),"?")</f>
        <v>RM02</v>
      </c>
      <c r="G174" s="8" t="str">
        <f aca="false">IFERROR(INDEX(CADASTRO_PIVOS!$D$6:$D$41,MATCH($E174,CADASTRO_PIVOS!$B$6:$B$41,0)),"?")</f>
        <v>TR02</v>
      </c>
      <c r="H174" s="20" t="n">
        <f aca="false">IFERROR(INDEX(CADASTRO_PIVOS!$E$6:$E$41,MATCH($E174,CADASTRO_PIVOS!$B$6:$B$41,0)),0)</f>
        <v>100.06</v>
      </c>
      <c r="I174" s="16" t="n">
        <f aca="false">IFERROR(SUMIFS(ROTACAO_RDM!$B$6:$B$71,ROTACAO_RDM!$D$6:$D$71,$E174,ROTACAO_RDM!$I$6:$I$71,"&lt;="&amp;$C174+INT(DIAS_POR_SEMANA/2),ROTACAO_RDM!$J$6:$J$71,"&gt;="&amp;$C174+INT(DIAS_POR_SEMANA/2)),0)</f>
        <v>14</v>
      </c>
      <c r="J174" s="16" t="n">
        <f aca="false">IFERROR(MATCH($I174,ROTACAO_RDM!$B$6:$B$71,0),0)</f>
        <v>14</v>
      </c>
      <c r="K174" s="8" t="str">
        <f aca="false">IF($J174=0,"SEM CULTURA",INDEX(ROTACAO_RDM!$F$6:$F$71,$J174))</f>
        <v>ALGODAO</v>
      </c>
      <c r="L174" s="8" t="str">
        <f aca="false">IF($J174=0,"",INDEX(ROTACAO_RDM!$G$6:$G$71,$J174))</f>
        <v>FM 933 STP</v>
      </c>
      <c r="M174" s="17" t="n">
        <f aca="false">IF($J174=0,"",INDEX(ROTACAO_RDM!$I$6:$I$71,$J174))</f>
        <v>46360</v>
      </c>
      <c r="N174" s="16" t="n">
        <f aca="false">IF($J174=0,0,MAX(0,$C174+INT(DIAS_POR_SEMANA/2)-INDEX(ROTACAO_RDM!$I$6:$I$71,$J174)))</f>
        <v>160</v>
      </c>
      <c r="O174" s="19" t="n">
        <f aca="false">IF($J174=0,0,MIN(1,$N174/MAX(1,INDEX(ROTACAO_RDM!$K$6:$K$71,$J174))))</f>
        <v>0.820512820512821</v>
      </c>
      <c r="P174" s="16" t="n">
        <f aca="false">IF($J174=0,0,IFERROR(MATCH(INDEX(ROTACAO_RDM!$N$6:$N$71,$J174),PARAMETROS_CULTURAS!$B$6:$B$28,0),0))</f>
        <v>5</v>
      </c>
      <c r="Q174" s="8" t="str">
        <f aca="false">IF($P174=0,"-",IF($O174&lt;=INDEX(PARAMETROS_CULTURAS!$F$6:$F$28,$P174),"INICIAL",IF($O174&lt;=INDEX(PARAMETROS_CULTURAS!$F$6:$F$28,$P174)+INDEX(PARAMETROS_CULTURAS!$G$6:$G$28,$P174),"DESENVOLVIMENTO",IF($O174&lt;=INDEX(PARAMETROS_CULTURAS!$F$6:$F$28,$P174)+INDEX(PARAMETROS_CULTURAS!$G$6:$G$28,$P174)+INDEX(PARAMETROS_CULTURAS!$H$6:$H$28,$P174),"MEDIA","FINAL"))))</f>
        <v>FINAL</v>
      </c>
      <c r="R174" s="24" t="n">
        <f aca="false">IF($P174=0,0,IF($O174&lt;=INDEX(PARAMETROS_CULTURAS!$F$6:$F$28,$P174),INDEX(PARAMETROS_CULTURAS!$K$6:$K$28,$P174),IF($O174&lt;=INDEX(PARAMETROS_CULTURAS!$F$6:$F$28,$P174)+INDEX(PARAMETROS_CULTURAS!$G$6:$G$28,$P174),INDEX(PARAMETROS_CULTURAS!$K$6:$K$28,$P174)+(INDEX(PARAMETROS_CULTURAS!$L$6:$L$28,$P174)-INDEX(PARAMETROS_CULTURAS!$K$6:$K$28,$P174))*($O174-INDEX(PARAMETROS_CULTURAS!$F$6:$F$28,$P174))/MAX(INDEX(PARAMETROS_CULTURAS!$G$6:$G$28,$P174),0.0001),IF($O174&lt;=INDEX(PARAMETROS_CULTURAS!$F$6:$F$28,$P174)+INDEX(PARAMETROS_CULTURAS!$G$6:$G$28,$P174)+INDEX(PARAMETROS_CULTURAS!$H$6:$H$28,$P174),INDEX(PARAMETROS_CULTURAS!$L$6:$L$28,$P174),INDEX(PARAMETROS_CULTURAS!$L$6:$L$28,$P174)+(INDEX(PARAMETROS_CULTURAS!$M$6:$M$28,$P174)-INDEX(PARAMETROS_CULTURAS!$L$6:$L$28,$P174))*($O174-INDEX(PARAMETROS_CULTURAS!$F$6:$F$28,$P174)-INDEX(PARAMETROS_CULTURAS!$G$6:$G$28,$P174)-INDEX(PARAMETROS_CULTURAS!$H$6:$H$28,$P174))/MAX(INDEX(PARAMETROS_CULTURAS!$I$6:$I$28,$P174),0.0001)))))</f>
        <v>0.952564102564103</v>
      </c>
      <c r="S174" s="18" t="n">
        <f aca="false">IFERROR(INDEX(SEMANAS!$H$6:$H$71,MATCH($B174,SEMANAS!$B$6:$B$71,0)),0)</f>
        <v>29.4</v>
      </c>
      <c r="T174" s="18" t="n">
        <f aca="false">$R174*$S174</f>
        <v>28.0053846153846</v>
      </c>
      <c r="U174" s="18" t="n">
        <f aca="false">IFERROR(INDEX(SEMANAS!$I$6:$I$71,MATCH($B174,SEMANAS!$B$6:$B$71,0)),0)</f>
        <v>3.36</v>
      </c>
      <c r="V174" s="18" t="n">
        <f aca="false">IFERROR(INDEX(SEMANAS!$J$6:$J$71,MATCH($B174,SEMANAS!$B$6:$B$71,0)),0)</f>
        <v>2.688</v>
      </c>
      <c r="W174" s="18" t="n">
        <f aca="false">MAX(0,$T174-$V174)</f>
        <v>25.3173846153846</v>
      </c>
      <c r="X174" s="19" t="n">
        <f aca="false">IFERROR(INDEX(CADASTRO_PIVOS!$K$6:$K$41,MATCH($E174,CADASTRO_PIVOS!$B$6:$B$41,0)),EFICIENCIA_PADRAO)</f>
        <v>0.85</v>
      </c>
      <c r="Y174" s="18" t="n">
        <f aca="false">IF($X174&lt;=0,0,$W174/$X174)</f>
        <v>29.7851583710407</v>
      </c>
      <c r="Z174" s="16" t="n">
        <f aca="false">$Y174*$H174*MM_PARA_M3_HA</f>
        <v>29803.0294660634</v>
      </c>
      <c r="AA174" s="18" t="n">
        <f aca="false">IFERROR(INDEX(CADASTRO_PIVOS!$I$6:$I$41,MATCH($E174,CADASTRO_PIVOS!$B$6:$B$41,0)),0)</f>
        <v>714.714285714286</v>
      </c>
      <c r="AB174" s="18" t="n">
        <f aca="false">IF($Z174&lt;=0,0,$Z174/$AA174)</f>
        <v>41.699221719457</v>
      </c>
      <c r="AC174" s="16" t="n">
        <f aca="false">IFERROR(INDEX(SEMANAS!$K$6:$K$71,MATCH($B174,SEMANAS!$B$6:$B$71,0)),0)</f>
        <v>147</v>
      </c>
      <c r="AD174" s="19" t="n">
        <f aca="false">IF($AC174&lt;=0,0,$AB174/$AC174)</f>
        <v>0.283668174962293</v>
      </c>
      <c r="AE174" s="8" t="str">
        <f aca="false">IF($K174="SEM CULTURA","SEM CULTURA",IF($AA174&lt;=0,"DADO PENDENTE",IF($AD174&gt;LIMITE_CRITICO,"INVIAVEL",IF($AD174&gt;LIMITE_ATENCAO,"CRITICO",IF($AD174&gt;LIMITE_CONFORTAVEL,"ATENCAO","OK")))))</f>
        <v>OK</v>
      </c>
      <c r="AF174" s="8" t="str">
        <f aca="false">$B174&amp;"|"&amp;TEXT($AD174,"0.000000")</f>
        <v>37|0.283668</v>
      </c>
      <c r="AG174" s="18" t="n">
        <f aca="false">IF($K174="SEM CULTURA",0,$T174*$H174)</f>
        <v>2802.21878461539</v>
      </c>
      <c r="AH174" s="18" t="n">
        <f aca="false">IF($K174="SEM CULTURA",0,$V174*$H174)</f>
        <v>268.96128</v>
      </c>
      <c r="AI174" s="18" t="n">
        <f aca="false">IF($K174="SEM CULTURA",0,$W174*$H174)</f>
        <v>2533.25750461539</v>
      </c>
      <c r="AJ174" s="18" t="n">
        <f aca="false">IF($K174="SEM CULTURA",0,$S174*$H174)</f>
        <v>2941.764</v>
      </c>
      <c r="AK174" s="8" t="str">
        <f aca="false">$E174&amp;"|"&amp;TEXT($AD174,"0.000000")</f>
        <v>PV 108|0.283668</v>
      </c>
    </row>
    <row r="175" customFormat="false" ht="15" hidden="false" customHeight="false" outlineLevel="0" collapsed="false">
      <c r="B175" s="16" t="n">
        <v>38</v>
      </c>
      <c r="C175" s="17" t="n">
        <f aca="false">DATA_INICIO_SAFRA+($B175-1)*DIAS_POR_SEMANA</f>
        <v>46524</v>
      </c>
      <c r="D175" s="17" t="n">
        <f aca="false">$C175+DIAS_POR_SEMANA-1</f>
        <v>46530</v>
      </c>
      <c r="E175" s="15" t="s">
        <v>261</v>
      </c>
      <c r="F175" s="8" t="str">
        <f aca="false">IFERROR(INDEX(CADASTRO_PIVOS!$C$6:$C$41,MATCH($E175,CADASTRO_PIVOS!$B$6:$B$41,0)),"?")</f>
        <v>RM02</v>
      </c>
      <c r="G175" s="8" t="str">
        <f aca="false">IFERROR(INDEX(CADASTRO_PIVOS!$D$6:$D$41,MATCH($E175,CADASTRO_PIVOS!$B$6:$B$41,0)),"?")</f>
        <v>TR02</v>
      </c>
      <c r="H175" s="20" t="n">
        <f aca="false">IFERROR(INDEX(CADASTRO_PIVOS!$E$6:$E$41,MATCH($E175,CADASTRO_PIVOS!$B$6:$B$41,0)),0)</f>
        <v>100.06</v>
      </c>
      <c r="I175" s="16" t="n">
        <f aca="false">IFERROR(SUMIFS(ROTACAO_RDM!$B$6:$B$71,ROTACAO_RDM!$D$6:$D$71,$E175,ROTACAO_RDM!$I$6:$I$71,"&lt;="&amp;$C175+INT(DIAS_POR_SEMANA/2),ROTACAO_RDM!$J$6:$J$71,"&gt;="&amp;$C175+INT(DIAS_POR_SEMANA/2)),0)</f>
        <v>14</v>
      </c>
      <c r="J175" s="16" t="n">
        <f aca="false">IFERROR(MATCH($I175,ROTACAO_RDM!$B$6:$B$71,0),0)</f>
        <v>14</v>
      </c>
      <c r="K175" s="8" t="str">
        <f aca="false">IF($J175=0,"SEM CULTURA",INDEX(ROTACAO_RDM!$F$6:$F$71,$J175))</f>
        <v>ALGODAO</v>
      </c>
      <c r="L175" s="8" t="str">
        <f aca="false">IF($J175=0,"",INDEX(ROTACAO_RDM!$G$6:$G$71,$J175))</f>
        <v>FM 933 STP</v>
      </c>
      <c r="M175" s="17" t="n">
        <f aca="false">IF($J175=0,"",INDEX(ROTACAO_RDM!$I$6:$I$71,$J175))</f>
        <v>46360</v>
      </c>
      <c r="N175" s="16" t="n">
        <f aca="false">IF($J175=0,0,MAX(0,$C175+INT(DIAS_POR_SEMANA/2)-INDEX(ROTACAO_RDM!$I$6:$I$71,$J175)))</f>
        <v>167</v>
      </c>
      <c r="O175" s="19" t="n">
        <f aca="false">IF($J175=0,0,MIN(1,$N175/MAX(1,INDEX(ROTACAO_RDM!$K$6:$K$71,$J175))))</f>
        <v>0.856410256410256</v>
      </c>
      <c r="P175" s="16" t="n">
        <f aca="false">IF($J175=0,0,IFERROR(MATCH(INDEX(ROTACAO_RDM!$N$6:$N$71,$J175),PARAMETROS_CULTURAS!$B$6:$B$28,0),0))</f>
        <v>5</v>
      </c>
      <c r="Q175" s="8" t="str">
        <f aca="false">IF($P175=0,"-",IF($O175&lt;=INDEX(PARAMETROS_CULTURAS!$F$6:$F$28,$P175),"INICIAL",IF($O175&lt;=INDEX(PARAMETROS_CULTURAS!$F$6:$F$28,$P175)+INDEX(PARAMETROS_CULTURAS!$G$6:$G$28,$P175),"DESENVOLVIMENTO",IF($O175&lt;=INDEX(PARAMETROS_CULTURAS!$F$6:$F$28,$P175)+INDEX(PARAMETROS_CULTURAS!$G$6:$G$28,$P175)+INDEX(PARAMETROS_CULTURAS!$H$6:$H$28,$P175),"MEDIA","FINAL"))))</f>
        <v>FINAL</v>
      </c>
      <c r="R175" s="24" t="n">
        <f aca="false">IF($P175=0,0,IF($O175&lt;=INDEX(PARAMETROS_CULTURAS!$F$6:$F$28,$P175),INDEX(PARAMETROS_CULTURAS!$K$6:$K$28,$P175),IF($O175&lt;=INDEX(PARAMETROS_CULTURAS!$F$6:$F$28,$P175)+INDEX(PARAMETROS_CULTURAS!$G$6:$G$28,$P175),INDEX(PARAMETROS_CULTURAS!$K$6:$K$28,$P175)+(INDEX(PARAMETROS_CULTURAS!$L$6:$L$28,$P175)-INDEX(PARAMETROS_CULTURAS!$K$6:$K$28,$P175))*($O175-INDEX(PARAMETROS_CULTURAS!$F$6:$F$28,$P175))/MAX(INDEX(PARAMETROS_CULTURAS!$G$6:$G$28,$P175),0.0001),IF($O175&lt;=INDEX(PARAMETROS_CULTURAS!$F$6:$F$28,$P175)+INDEX(PARAMETROS_CULTURAS!$G$6:$G$28,$P175)+INDEX(PARAMETROS_CULTURAS!$H$6:$H$28,$P175),INDEX(PARAMETROS_CULTURAS!$L$6:$L$28,$P175),INDEX(PARAMETROS_CULTURAS!$L$6:$L$28,$P175)+(INDEX(PARAMETROS_CULTURAS!$M$6:$M$28,$P175)-INDEX(PARAMETROS_CULTURAS!$L$6:$L$28,$P175))*($O175-INDEX(PARAMETROS_CULTURAS!$F$6:$F$28,$P175)-INDEX(PARAMETROS_CULTURAS!$G$6:$G$28,$P175)-INDEX(PARAMETROS_CULTURAS!$H$6:$H$28,$P175))/MAX(INDEX(PARAMETROS_CULTURAS!$I$6:$I$28,$P175),0.0001)))))</f>
        <v>0.882051282051282</v>
      </c>
      <c r="S175" s="18" t="n">
        <f aca="false">IFERROR(INDEX(SEMANAS!$H$6:$H$71,MATCH($B175,SEMANAS!$B$6:$B$71,0)),0)</f>
        <v>29.4</v>
      </c>
      <c r="T175" s="18" t="n">
        <f aca="false">$R175*$S175</f>
        <v>25.9323076923077</v>
      </c>
      <c r="U175" s="18" t="n">
        <f aca="false">IFERROR(INDEX(SEMANAS!$I$6:$I$71,MATCH($B175,SEMANAS!$B$6:$B$71,0)),0)</f>
        <v>3.36</v>
      </c>
      <c r="V175" s="18" t="n">
        <f aca="false">IFERROR(INDEX(SEMANAS!$J$6:$J$71,MATCH($B175,SEMANAS!$B$6:$B$71,0)),0)</f>
        <v>2.688</v>
      </c>
      <c r="W175" s="18" t="n">
        <f aca="false">MAX(0,$T175-$V175)</f>
        <v>23.2443076923077</v>
      </c>
      <c r="X175" s="19" t="n">
        <f aca="false">IFERROR(INDEX(CADASTRO_PIVOS!$K$6:$K$41,MATCH($E175,CADASTRO_PIVOS!$B$6:$B$41,0)),EFICIENCIA_PADRAO)</f>
        <v>0.85</v>
      </c>
      <c r="Y175" s="18" t="n">
        <f aca="false">IF($X175&lt;=0,0,$W175/$X175)</f>
        <v>27.3462443438914</v>
      </c>
      <c r="Z175" s="16" t="n">
        <f aca="false">$Y175*$H175*MM_PARA_M3_HA</f>
        <v>27362.6520904977</v>
      </c>
      <c r="AA175" s="18" t="n">
        <f aca="false">IFERROR(INDEX(CADASTRO_PIVOS!$I$6:$I$41,MATCH($E175,CADASTRO_PIVOS!$B$6:$B$41,0)),0)</f>
        <v>714.714285714286</v>
      </c>
      <c r="AB175" s="18" t="n">
        <f aca="false">IF($Z175&lt;=0,0,$Z175/$AA175)</f>
        <v>38.284742081448</v>
      </c>
      <c r="AC175" s="16" t="n">
        <f aca="false">IFERROR(INDEX(SEMANAS!$K$6:$K$71,MATCH($B175,SEMANAS!$B$6:$B$71,0)),0)</f>
        <v>147</v>
      </c>
      <c r="AD175" s="19" t="n">
        <f aca="false">IF($AC175&lt;=0,0,$AB175/$AC175)</f>
        <v>0.260440422322775</v>
      </c>
      <c r="AE175" s="8" t="str">
        <f aca="false">IF($K175="SEM CULTURA","SEM CULTURA",IF($AA175&lt;=0,"DADO PENDENTE",IF($AD175&gt;LIMITE_CRITICO,"INVIAVEL",IF($AD175&gt;LIMITE_ATENCAO,"CRITICO",IF($AD175&gt;LIMITE_CONFORTAVEL,"ATENCAO","OK")))))</f>
        <v>OK</v>
      </c>
      <c r="AF175" s="8" t="str">
        <f aca="false">$B175&amp;"|"&amp;TEXT($AD175,"0.000000")</f>
        <v>38|0.260440</v>
      </c>
      <c r="AG175" s="18" t="n">
        <f aca="false">IF($K175="SEM CULTURA",0,$T175*$H175)</f>
        <v>2594.78670769231</v>
      </c>
      <c r="AH175" s="18" t="n">
        <f aca="false">IF($K175="SEM CULTURA",0,$V175*$H175)</f>
        <v>268.96128</v>
      </c>
      <c r="AI175" s="18" t="n">
        <f aca="false">IF($K175="SEM CULTURA",0,$W175*$H175)</f>
        <v>2325.82542769231</v>
      </c>
      <c r="AJ175" s="18" t="n">
        <f aca="false">IF($K175="SEM CULTURA",0,$S175*$H175)</f>
        <v>2941.764</v>
      </c>
      <c r="AK175" s="8" t="str">
        <f aca="false">$E175&amp;"|"&amp;TEXT($AD175,"0.000000")</f>
        <v>PV 108|0.260440</v>
      </c>
    </row>
    <row r="176" customFormat="false" ht="15" hidden="false" customHeight="false" outlineLevel="0" collapsed="false">
      <c r="B176" s="16" t="n">
        <v>39</v>
      </c>
      <c r="C176" s="17" t="n">
        <f aca="false">DATA_INICIO_SAFRA+($B176-1)*DIAS_POR_SEMANA</f>
        <v>46531</v>
      </c>
      <c r="D176" s="17" t="n">
        <f aca="false">$C176+DIAS_POR_SEMANA-1</f>
        <v>46537</v>
      </c>
      <c r="E176" s="15" t="s">
        <v>261</v>
      </c>
      <c r="F176" s="8" t="str">
        <f aca="false">IFERROR(INDEX(CADASTRO_PIVOS!$C$6:$C$41,MATCH($E176,CADASTRO_PIVOS!$B$6:$B$41,0)),"?")</f>
        <v>RM02</v>
      </c>
      <c r="G176" s="8" t="str">
        <f aca="false">IFERROR(INDEX(CADASTRO_PIVOS!$D$6:$D$41,MATCH($E176,CADASTRO_PIVOS!$B$6:$B$41,0)),"?")</f>
        <v>TR02</v>
      </c>
      <c r="H176" s="20" t="n">
        <f aca="false">IFERROR(INDEX(CADASTRO_PIVOS!$E$6:$E$41,MATCH($E176,CADASTRO_PIVOS!$B$6:$B$41,0)),0)</f>
        <v>100.06</v>
      </c>
      <c r="I176" s="16" t="n">
        <f aca="false">IFERROR(SUMIFS(ROTACAO_RDM!$B$6:$B$71,ROTACAO_RDM!$D$6:$D$71,$E176,ROTACAO_RDM!$I$6:$I$71,"&lt;="&amp;$C176+INT(DIAS_POR_SEMANA/2),ROTACAO_RDM!$J$6:$J$71,"&gt;="&amp;$C176+INT(DIAS_POR_SEMANA/2)),0)</f>
        <v>14</v>
      </c>
      <c r="J176" s="16" t="n">
        <f aca="false">IFERROR(MATCH($I176,ROTACAO_RDM!$B$6:$B$71,0),0)</f>
        <v>14</v>
      </c>
      <c r="K176" s="8" t="str">
        <f aca="false">IF($J176=0,"SEM CULTURA",INDEX(ROTACAO_RDM!$F$6:$F$71,$J176))</f>
        <v>ALGODAO</v>
      </c>
      <c r="L176" s="8" t="str">
        <f aca="false">IF($J176=0,"",INDEX(ROTACAO_RDM!$G$6:$G$71,$J176))</f>
        <v>FM 933 STP</v>
      </c>
      <c r="M176" s="17" t="n">
        <f aca="false">IF($J176=0,"",INDEX(ROTACAO_RDM!$I$6:$I$71,$J176))</f>
        <v>46360</v>
      </c>
      <c r="N176" s="16" t="n">
        <f aca="false">IF($J176=0,0,MAX(0,$C176+INT(DIAS_POR_SEMANA/2)-INDEX(ROTACAO_RDM!$I$6:$I$71,$J176)))</f>
        <v>174</v>
      </c>
      <c r="O176" s="19" t="n">
        <f aca="false">IF($J176=0,0,MIN(1,$N176/MAX(1,INDEX(ROTACAO_RDM!$K$6:$K$71,$J176))))</f>
        <v>0.892307692307692</v>
      </c>
      <c r="P176" s="16" t="n">
        <f aca="false">IF($J176=0,0,IFERROR(MATCH(INDEX(ROTACAO_RDM!$N$6:$N$71,$J176),PARAMETROS_CULTURAS!$B$6:$B$28,0),0))</f>
        <v>5</v>
      </c>
      <c r="Q176" s="8" t="str">
        <f aca="false">IF($P176=0,"-",IF($O176&lt;=INDEX(PARAMETROS_CULTURAS!$F$6:$F$28,$P176),"INICIAL",IF($O176&lt;=INDEX(PARAMETROS_CULTURAS!$F$6:$F$28,$P176)+INDEX(PARAMETROS_CULTURAS!$G$6:$G$28,$P176),"DESENVOLVIMENTO",IF($O176&lt;=INDEX(PARAMETROS_CULTURAS!$F$6:$F$28,$P176)+INDEX(PARAMETROS_CULTURAS!$G$6:$G$28,$P176)+INDEX(PARAMETROS_CULTURAS!$H$6:$H$28,$P176),"MEDIA","FINAL"))))</f>
        <v>FINAL</v>
      </c>
      <c r="R176" s="24" t="n">
        <f aca="false">IF($P176=0,0,IF($O176&lt;=INDEX(PARAMETROS_CULTURAS!$F$6:$F$28,$P176),INDEX(PARAMETROS_CULTURAS!$K$6:$K$28,$P176),IF($O176&lt;=INDEX(PARAMETROS_CULTURAS!$F$6:$F$28,$P176)+INDEX(PARAMETROS_CULTURAS!$G$6:$G$28,$P176),INDEX(PARAMETROS_CULTURAS!$K$6:$K$28,$P176)+(INDEX(PARAMETROS_CULTURAS!$L$6:$L$28,$P176)-INDEX(PARAMETROS_CULTURAS!$K$6:$K$28,$P176))*($O176-INDEX(PARAMETROS_CULTURAS!$F$6:$F$28,$P176))/MAX(INDEX(PARAMETROS_CULTURAS!$G$6:$G$28,$P176),0.0001),IF($O176&lt;=INDEX(PARAMETROS_CULTURAS!$F$6:$F$28,$P176)+INDEX(PARAMETROS_CULTURAS!$G$6:$G$28,$P176)+INDEX(PARAMETROS_CULTURAS!$H$6:$H$28,$P176),INDEX(PARAMETROS_CULTURAS!$L$6:$L$28,$P176),INDEX(PARAMETROS_CULTURAS!$L$6:$L$28,$P176)+(INDEX(PARAMETROS_CULTURAS!$M$6:$M$28,$P176)-INDEX(PARAMETROS_CULTURAS!$L$6:$L$28,$P176))*($O176-INDEX(PARAMETROS_CULTURAS!$F$6:$F$28,$P176)-INDEX(PARAMETROS_CULTURAS!$G$6:$G$28,$P176)-INDEX(PARAMETROS_CULTURAS!$H$6:$H$28,$P176))/MAX(INDEX(PARAMETROS_CULTURAS!$I$6:$I$28,$P176),0.0001)))))</f>
        <v>0.811538461538462</v>
      </c>
      <c r="S176" s="18" t="n">
        <f aca="false">IFERROR(INDEX(SEMANAS!$H$6:$H$71,MATCH($B176,SEMANAS!$B$6:$B$71,0)),0)</f>
        <v>29.4</v>
      </c>
      <c r="T176" s="18" t="n">
        <f aca="false">$R176*$S176</f>
        <v>23.8592307692308</v>
      </c>
      <c r="U176" s="18" t="n">
        <f aca="false">IFERROR(INDEX(SEMANAS!$I$6:$I$71,MATCH($B176,SEMANAS!$B$6:$B$71,0)),0)</f>
        <v>3.36</v>
      </c>
      <c r="V176" s="18" t="n">
        <f aca="false">IFERROR(INDEX(SEMANAS!$J$6:$J$71,MATCH($B176,SEMANAS!$B$6:$B$71,0)),0)</f>
        <v>2.688</v>
      </c>
      <c r="W176" s="18" t="n">
        <f aca="false">MAX(0,$T176-$V176)</f>
        <v>21.1712307692308</v>
      </c>
      <c r="X176" s="19" t="n">
        <f aca="false">IFERROR(INDEX(CADASTRO_PIVOS!$K$6:$K$41,MATCH($E176,CADASTRO_PIVOS!$B$6:$B$41,0)),EFICIENCIA_PADRAO)</f>
        <v>0.85</v>
      </c>
      <c r="Y176" s="18" t="n">
        <f aca="false">IF($X176&lt;=0,0,$W176/$X176)</f>
        <v>24.9073303167421</v>
      </c>
      <c r="Z176" s="16" t="n">
        <f aca="false">$Y176*$H176*MM_PARA_M3_HA</f>
        <v>24922.2747149321</v>
      </c>
      <c r="AA176" s="18" t="n">
        <f aca="false">IFERROR(INDEX(CADASTRO_PIVOS!$I$6:$I$41,MATCH($E176,CADASTRO_PIVOS!$B$6:$B$41,0)),0)</f>
        <v>714.714285714286</v>
      </c>
      <c r="AB176" s="18" t="n">
        <f aca="false">IF($Z176&lt;=0,0,$Z176/$AA176)</f>
        <v>34.8702624434389</v>
      </c>
      <c r="AC176" s="16" t="n">
        <f aca="false">IFERROR(INDEX(SEMANAS!$K$6:$K$71,MATCH($B176,SEMANAS!$B$6:$B$71,0)),0)</f>
        <v>147</v>
      </c>
      <c r="AD176" s="19" t="n">
        <f aca="false">IF($AC176&lt;=0,0,$AB176/$AC176)</f>
        <v>0.237212669683258</v>
      </c>
      <c r="AE176" s="8" t="str">
        <f aca="false">IF($K176="SEM CULTURA","SEM CULTURA",IF($AA176&lt;=0,"DADO PENDENTE",IF($AD176&gt;LIMITE_CRITICO,"INVIAVEL",IF($AD176&gt;LIMITE_ATENCAO,"CRITICO",IF($AD176&gt;LIMITE_CONFORTAVEL,"ATENCAO","OK")))))</f>
        <v>OK</v>
      </c>
      <c r="AF176" s="8" t="str">
        <f aca="false">$B176&amp;"|"&amp;TEXT($AD176,"0.000000")</f>
        <v>39|0.237213</v>
      </c>
      <c r="AG176" s="18" t="n">
        <f aca="false">IF($K176="SEM CULTURA",0,$T176*$H176)</f>
        <v>2387.35463076923</v>
      </c>
      <c r="AH176" s="18" t="n">
        <f aca="false">IF($K176="SEM CULTURA",0,$V176*$H176)</f>
        <v>268.96128</v>
      </c>
      <c r="AI176" s="18" t="n">
        <f aca="false">IF($K176="SEM CULTURA",0,$W176*$H176)</f>
        <v>2118.39335076923</v>
      </c>
      <c r="AJ176" s="18" t="n">
        <f aca="false">IF($K176="SEM CULTURA",0,$S176*$H176)</f>
        <v>2941.764</v>
      </c>
      <c r="AK176" s="8" t="str">
        <f aca="false">$E176&amp;"|"&amp;TEXT($AD176,"0.000000")</f>
        <v>PV 108|0.237213</v>
      </c>
    </row>
    <row r="177" customFormat="false" ht="15" hidden="false" customHeight="false" outlineLevel="0" collapsed="false">
      <c r="B177" s="16" t="n">
        <v>40</v>
      </c>
      <c r="C177" s="17" t="n">
        <f aca="false">DATA_INICIO_SAFRA+($B177-1)*DIAS_POR_SEMANA</f>
        <v>46538</v>
      </c>
      <c r="D177" s="17" t="n">
        <f aca="false">$C177+DIAS_POR_SEMANA-1</f>
        <v>46544</v>
      </c>
      <c r="E177" s="15" t="s">
        <v>261</v>
      </c>
      <c r="F177" s="8" t="str">
        <f aca="false">IFERROR(INDEX(CADASTRO_PIVOS!$C$6:$C$41,MATCH($E177,CADASTRO_PIVOS!$B$6:$B$41,0)),"?")</f>
        <v>RM02</v>
      </c>
      <c r="G177" s="8" t="str">
        <f aca="false">IFERROR(INDEX(CADASTRO_PIVOS!$D$6:$D$41,MATCH($E177,CADASTRO_PIVOS!$B$6:$B$41,0)),"?")</f>
        <v>TR02</v>
      </c>
      <c r="H177" s="20" t="n">
        <f aca="false">IFERROR(INDEX(CADASTRO_PIVOS!$E$6:$E$41,MATCH($E177,CADASTRO_PIVOS!$B$6:$B$41,0)),0)</f>
        <v>100.06</v>
      </c>
      <c r="I177" s="16" t="n">
        <f aca="false">IFERROR(SUMIFS(ROTACAO_RDM!$B$6:$B$71,ROTACAO_RDM!$D$6:$D$71,$E177,ROTACAO_RDM!$I$6:$I$71,"&lt;="&amp;$C177+INT(DIAS_POR_SEMANA/2),ROTACAO_RDM!$J$6:$J$71,"&gt;="&amp;$C177+INT(DIAS_POR_SEMANA/2)),0)</f>
        <v>14</v>
      </c>
      <c r="J177" s="16" t="n">
        <f aca="false">IFERROR(MATCH($I177,ROTACAO_RDM!$B$6:$B$71,0),0)</f>
        <v>14</v>
      </c>
      <c r="K177" s="8" t="str">
        <f aca="false">IF($J177=0,"SEM CULTURA",INDEX(ROTACAO_RDM!$F$6:$F$71,$J177))</f>
        <v>ALGODAO</v>
      </c>
      <c r="L177" s="8" t="str">
        <f aca="false">IF($J177=0,"",INDEX(ROTACAO_RDM!$G$6:$G$71,$J177))</f>
        <v>FM 933 STP</v>
      </c>
      <c r="M177" s="17" t="n">
        <f aca="false">IF($J177=0,"",INDEX(ROTACAO_RDM!$I$6:$I$71,$J177))</f>
        <v>46360</v>
      </c>
      <c r="N177" s="16" t="n">
        <f aca="false">IF($J177=0,0,MAX(0,$C177+INT(DIAS_POR_SEMANA/2)-INDEX(ROTACAO_RDM!$I$6:$I$71,$J177)))</f>
        <v>181</v>
      </c>
      <c r="O177" s="19" t="n">
        <f aca="false">IF($J177=0,0,MIN(1,$N177/MAX(1,INDEX(ROTACAO_RDM!$K$6:$K$71,$J177))))</f>
        <v>0.928205128205128</v>
      </c>
      <c r="P177" s="16" t="n">
        <f aca="false">IF($J177=0,0,IFERROR(MATCH(INDEX(ROTACAO_RDM!$N$6:$N$71,$J177),PARAMETROS_CULTURAS!$B$6:$B$28,0),0))</f>
        <v>5</v>
      </c>
      <c r="Q177" s="8" t="str">
        <f aca="false">IF($P177=0,"-",IF($O177&lt;=INDEX(PARAMETROS_CULTURAS!$F$6:$F$28,$P177),"INICIAL",IF($O177&lt;=INDEX(PARAMETROS_CULTURAS!$F$6:$F$28,$P177)+INDEX(PARAMETROS_CULTURAS!$G$6:$G$28,$P177),"DESENVOLVIMENTO",IF($O177&lt;=INDEX(PARAMETROS_CULTURAS!$F$6:$F$28,$P177)+INDEX(PARAMETROS_CULTURAS!$G$6:$G$28,$P177)+INDEX(PARAMETROS_CULTURAS!$H$6:$H$28,$P177),"MEDIA","FINAL"))))</f>
        <v>FINAL</v>
      </c>
      <c r="R177" s="24" t="n">
        <f aca="false">IF($P177=0,0,IF($O177&lt;=INDEX(PARAMETROS_CULTURAS!$F$6:$F$28,$P177),INDEX(PARAMETROS_CULTURAS!$K$6:$K$28,$P177),IF($O177&lt;=INDEX(PARAMETROS_CULTURAS!$F$6:$F$28,$P177)+INDEX(PARAMETROS_CULTURAS!$G$6:$G$28,$P177),INDEX(PARAMETROS_CULTURAS!$K$6:$K$28,$P177)+(INDEX(PARAMETROS_CULTURAS!$L$6:$L$28,$P177)-INDEX(PARAMETROS_CULTURAS!$K$6:$K$28,$P177))*($O177-INDEX(PARAMETROS_CULTURAS!$F$6:$F$28,$P177))/MAX(INDEX(PARAMETROS_CULTURAS!$G$6:$G$28,$P177),0.0001),IF($O177&lt;=INDEX(PARAMETROS_CULTURAS!$F$6:$F$28,$P177)+INDEX(PARAMETROS_CULTURAS!$G$6:$G$28,$P177)+INDEX(PARAMETROS_CULTURAS!$H$6:$H$28,$P177),INDEX(PARAMETROS_CULTURAS!$L$6:$L$28,$P177),INDEX(PARAMETROS_CULTURAS!$L$6:$L$28,$P177)+(INDEX(PARAMETROS_CULTURAS!$M$6:$M$28,$P177)-INDEX(PARAMETROS_CULTURAS!$L$6:$L$28,$P177))*($O177-INDEX(PARAMETROS_CULTURAS!$F$6:$F$28,$P177)-INDEX(PARAMETROS_CULTURAS!$G$6:$G$28,$P177)-INDEX(PARAMETROS_CULTURAS!$H$6:$H$28,$P177))/MAX(INDEX(PARAMETROS_CULTURAS!$I$6:$I$28,$P177),0.0001)))))</f>
        <v>0.741025641025641</v>
      </c>
      <c r="S177" s="18" t="n">
        <f aca="false">IFERROR(INDEX(SEMANAS!$H$6:$H$71,MATCH($B177,SEMANAS!$B$6:$B$71,0)),0)</f>
        <v>28.2</v>
      </c>
      <c r="T177" s="18" t="n">
        <f aca="false">$R177*$S177</f>
        <v>20.8969230769231</v>
      </c>
      <c r="U177" s="18" t="n">
        <f aca="false">IFERROR(INDEX(SEMANAS!$I$6:$I$71,MATCH($B177,SEMANAS!$B$6:$B$71,0)),0)</f>
        <v>1.5</v>
      </c>
      <c r="V177" s="18" t="n">
        <f aca="false">IFERROR(INDEX(SEMANAS!$J$6:$J$71,MATCH($B177,SEMANAS!$B$6:$B$71,0)),0)</f>
        <v>1.2</v>
      </c>
      <c r="W177" s="18" t="n">
        <f aca="false">MAX(0,$T177-$V177)</f>
        <v>19.6969230769231</v>
      </c>
      <c r="X177" s="19" t="n">
        <f aca="false">IFERROR(INDEX(CADASTRO_PIVOS!$K$6:$K$41,MATCH($E177,CADASTRO_PIVOS!$B$6:$B$41,0)),EFICIENCIA_PADRAO)</f>
        <v>0.85</v>
      </c>
      <c r="Y177" s="18" t="n">
        <f aca="false">IF($X177&lt;=0,0,$W177/$X177)</f>
        <v>23.172850678733</v>
      </c>
      <c r="Z177" s="16" t="n">
        <f aca="false">$Y177*$H177*MM_PARA_M3_HA</f>
        <v>23186.7543891403</v>
      </c>
      <c r="AA177" s="18" t="n">
        <f aca="false">IFERROR(INDEX(CADASTRO_PIVOS!$I$6:$I$41,MATCH($E177,CADASTRO_PIVOS!$B$6:$B$41,0)),0)</f>
        <v>714.714285714286</v>
      </c>
      <c r="AB177" s="18" t="n">
        <f aca="false">IF($Z177&lt;=0,0,$Z177/$AA177)</f>
        <v>32.4419909502263</v>
      </c>
      <c r="AC177" s="16" t="n">
        <f aca="false">IFERROR(INDEX(SEMANAS!$K$6:$K$71,MATCH($B177,SEMANAS!$B$6:$B$71,0)),0)</f>
        <v>147</v>
      </c>
      <c r="AD177" s="19" t="n">
        <f aca="false">IF($AC177&lt;=0,0,$AB177/$AC177)</f>
        <v>0.220693815987934</v>
      </c>
      <c r="AE177" s="8" t="str">
        <f aca="false">IF($K177="SEM CULTURA","SEM CULTURA",IF($AA177&lt;=0,"DADO PENDENTE",IF($AD177&gt;LIMITE_CRITICO,"INVIAVEL",IF($AD177&gt;LIMITE_ATENCAO,"CRITICO",IF($AD177&gt;LIMITE_CONFORTAVEL,"ATENCAO","OK")))))</f>
        <v>OK</v>
      </c>
      <c r="AF177" s="8" t="str">
        <f aca="false">$B177&amp;"|"&amp;TEXT($AD177,"0.000000")</f>
        <v>40|0.220694</v>
      </c>
      <c r="AG177" s="18" t="n">
        <f aca="false">IF($K177="SEM CULTURA",0,$T177*$H177)</f>
        <v>2090.94612307692</v>
      </c>
      <c r="AH177" s="18" t="n">
        <f aca="false">IF($K177="SEM CULTURA",0,$V177*$H177)</f>
        <v>120.072</v>
      </c>
      <c r="AI177" s="18" t="n">
        <f aca="false">IF($K177="SEM CULTURA",0,$W177*$H177)</f>
        <v>1970.87412307692</v>
      </c>
      <c r="AJ177" s="18" t="n">
        <f aca="false">IF($K177="SEM CULTURA",0,$S177*$H177)</f>
        <v>2821.692</v>
      </c>
      <c r="AK177" s="8" t="str">
        <f aca="false">$E177&amp;"|"&amp;TEXT($AD177,"0.000000")</f>
        <v>PV 108|0.220694</v>
      </c>
    </row>
    <row r="178" customFormat="false" ht="15" hidden="false" customHeight="false" outlineLevel="0" collapsed="false">
      <c r="B178" s="16" t="n">
        <v>41</v>
      </c>
      <c r="C178" s="17" t="n">
        <f aca="false">DATA_INICIO_SAFRA+($B178-1)*DIAS_POR_SEMANA</f>
        <v>46545</v>
      </c>
      <c r="D178" s="17" t="n">
        <f aca="false">$C178+DIAS_POR_SEMANA-1</f>
        <v>46551</v>
      </c>
      <c r="E178" s="15" t="s">
        <v>261</v>
      </c>
      <c r="F178" s="8" t="str">
        <f aca="false">IFERROR(INDEX(CADASTRO_PIVOS!$C$6:$C$41,MATCH($E178,CADASTRO_PIVOS!$B$6:$B$41,0)),"?")</f>
        <v>RM02</v>
      </c>
      <c r="G178" s="8" t="str">
        <f aca="false">IFERROR(INDEX(CADASTRO_PIVOS!$D$6:$D$41,MATCH($E178,CADASTRO_PIVOS!$B$6:$B$41,0)),"?")</f>
        <v>TR02</v>
      </c>
      <c r="H178" s="20" t="n">
        <f aca="false">IFERROR(INDEX(CADASTRO_PIVOS!$E$6:$E$41,MATCH($E178,CADASTRO_PIVOS!$B$6:$B$41,0)),0)</f>
        <v>100.06</v>
      </c>
      <c r="I178" s="16" t="n">
        <f aca="false">IFERROR(SUMIFS(ROTACAO_RDM!$B$6:$B$71,ROTACAO_RDM!$D$6:$D$71,$E178,ROTACAO_RDM!$I$6:$I$71,"&lt;="&amp;$C178+INT(DIAS_POR_SEMANA/2),ROTACAO_RDM!$J$6:$J$71,"&gt;="&amp;$C178+INT(DIAS_POR_SEMANA/2)),0)</f>
        <v>14</v>
      </c>
      <c r="J178" s="16" t="n">
        <f aca="false">IFERROR(MATCH($I178,ROTACAO_RDM!$B$6:$B$71,0),0)</f>
        <v>14</v>
      </c>
      <c r="K178" s="8" t="str">
        <f aca="false">IF($J178=0,"SEM CULTURA",INDEX(ROTACAO_RDM!$F$6:$F$71,$J178))</f>
        <v>ALGODAO</v>
      </c>
      <c r="L178" s="8" t="str">
        <f aca="false">IF($J178=0,"",INDEX(ROTACAO_RDM!$G$6:$G$71,$J178))</f>
        <v>FM 933 STP</v>
      </c>
      <c r="M178" s="17" t="n">
        <f aca="false">IF($J178=0,"",INDEX(ROTACAO_RDM!$I$6:$I$71,$J178))</f>
        <v>46360</v>
      </c>
      <c r="N178" s="16" t="n">
        <f aca="false">IF($J178=0,0,MAX(0,$C178+INT(DIAS_POR_SEMANA/2)-INDEX(ROTACAO_RDM!$I$6:$I$71,$J178)))</f>
        <v>188</v>
      </c>
      <c r="O178" s="19" t="n">
        <f aca="false">IF($J178=0,0,MIN(1,$N178/MAX(1,INDEX(ROTACAO_RDM!$K$6:$K$71,$J178))))</f>
        <v>0.964102564102564</v>
      </c>
      <c r="P178" s="16" t="n">
        <f aca="false">IF($J178=0,0,IFERROR(MATCH(INDEX(ROTACAO_RDM!$N$6:$N$71,$J178),PARAMETROS_CULTURAS!$B$6:$B$28,0),0))</f>
        <v>5</v>
      </c>
      <c r="Q178" s="8" t="str">
        <f aca="false">IF($P178=0,"-",IF($O178&lt;=INDEX(PARAMETROS_CULTURAS!$F$6:$F$28,$P178),"INICIAL",IF($O178&lt;=INDEX(PARAMETROS_CULTURAS!$F$6:$F$28,$P178)+INDEX(PARAMETROS_CULTURAS!$G$6:$G$28,$P178),"DESENVOLVIMENTO",IF($O178&lt;=INDEX(PARAMETROS_CULTURAS!$F$6:$F$28,$P178)+INDEX(PARAMETROS_CULTURAS!$G$6:$G$28,$P178)+INDEX(PARAMETROS_CULTURAS!$H$6:$H$28,$P178),"MEDIA","FINAL"))))</f>
        <v>FINAL</v>
      </c>
      <c r="R178" s="24" t="n">
        <f aca="false">IF($P178=0,0,IF($O178&lt;=INDEX(PARAMETROS_CULTURAS!$F$6:$F$28,$P178),INDEX(PARAMETROS_CULTURAS!$K$6:$K$28,$P178),IF($O178&lt;=INDEX(PARAMETROS_CULTURAS!$F$6:$F$28,$P178)+INDEX(PARAMETROS_CULTURAS!$G$6:$G$28,$P178),INDEX(PARAMETROS_CULTURAS!$K$6:$K$28,$P178)+(INDEX(PARAMETROS_CULTURAS!$L$6:$L$28,$P178)-INDEX(PARAMETROS_CULTURAS!$K$6:$K$28,$P178))*($O178-INDEX(PARAMETROS_CULTURAS!$F$6:$F$28,$P178))/MAX(INDEX(PARAMETROS_CULTURAS!$G$6:$G$28,$P178),0.0001),IF($O178&lt;=INDEX(PARAMETROS_CULTURAS!$F$6:$F$28,$P178)+INDEX(PARAMETROS_CULTURAS!$G$6:$G$28,$P178)+INDEX(PARAMETROS_CULTURAS!$H$6:$H$28,$P178),INDEX(PARAMETROS_CULTURAS!$L$6:$L$28,$P178),INDEX(PARAMETROS_CULTURAS!$L$6:$L$28,$P178)+(INDEX(PARAMETROS_CULTURAS!$M$6:$M$28,$P178)-INDEX(PARAMETROS_CULTURAS!$L$6:$L$28,$P178))*($O178-INDEX(PARAMETROS_CULTURAS!$F$6:$F$28,$P178)-INDEX(PARAMETROS_CULTURAS!$G$6:$G$28,$P178)-INDEX(PARAMETROS_CULTURAS!$H$6:$H$28,$P178))/MAX(INDEX(PARAMETROS_CULTURAS!$I$6:$I$28,$P178),0.0001)))))</f>
        <v>0.670512820512821</v>
      </c>
      <c r="S178" s="18" t="n">
        <f aca="false">IFERROR(INDEX(SEMANAS!$H$6:$H$71,MATCH($B178,SEMANAS!$B$6:$B$71,0)),0)</f>
        <v>28</v>
      </c>
      <c r="T178" s="18" t="n">
        <f aca="false">$R178*$S178</f>
        <v>18.774358974359</v>
      </c>
      <c r="U178" s="18" t="n">
        <f aca="false">IFERROR(INDEX(SEMANAS!$I$6:$I$71,MATCH($B178,SEMANAS!$B$6:$B$71,0)),0)</f>
        <v>1.19</v>
      </c>
      <c r="V178" s="18" t="n">
        <f aca="false">IFERROR(INDEX(SEMANAS!$J$6:$J$71,MATCH($B178,SEMANAS!$B$6:$B$71,0)),0)</f>
        <v>0.952</v>
      </c>
      <c r="W178" s="18" t="n">
        <f aca="false">MAX(0,$T178-$V178)</f>
        <v>17.822358974359</v>
      </c>
      <c r="X178" s="19" t="n">
        <f aca="false">IFERROR(INDEX(CADASTRO_PIVOS!$K$6:$K$41,MATCH($E178,CADASTRO_PIVOS!$B$6:$B$41,0)),EFICIENCIA_PADRAO)</f>
        <v>0.85</v>
      </c>
      <c r="Y178" s="18" t="n">
        <f aca="false">IF($X178&lt;=0,0,$W178/$X178)</f>
        <v>20.9674811463047</v>
      </c>
      <c r="Z178" s="16" t="n">
        <f aca="false">$Y178*$H178*MM_PARA_M3_HA</f>
        <v>20980.0616349925</v>
      </c>
      <c r="AA178" s="18" t="n">
        <f aca="false">IFERROR(INDEX(CADASTRO_PIVOS!$I$6:$I$41,MATCH($E178,CADASTRO_PIVOS!$B$6:$B$41,0)),0)</f>
        <v>714.714285714286</v>
      </c>
      <c r="AB178" s="18" t="n">
        <f aca="false">IF($Z178&lt;=0,0,$Z178/$AA178)</f>
        <v>29.3544736048265</v>
      </c>
      <c r="AC178" s="16" t="n">
        <f aca="false">IFERROR(INDEX(SEMANAS!$K$6:$K$71,MATCH($B178,SEMANAS!$B$6:$B$71,0)),0)</f>
        <v>147</v>
      </c>
      <c r="AD178" s="19" t="n">
        <f aca="false">IF($AC178&lt;=0,0,$AB178/$AC178)</f>
        <v>0.199690296631473</v>
      </c>
      <c r="AE178" s="8" t="str">
        <f aca="false">IF($K178="SEM CULTURA","SEM CULTURA",IF($AA178&lt;=0,"DADO PENDENTE",IF($AD178&gt;LIMITE_CRITICO,"INVIAVEL",IF($AD178&gt;LIMITE_ATENCAO,"CRITICO",IF($AD178&gt;LIMITE_CONFORTAVEL,"ATENCAO","OK")))))</f>
        <v>OK</v>
      </c>
      <c r="AF178" s="8" t="str">
        <f aca="false">$B178&amp;"|"&amp;TEXT($AD178,"0.000000")</f>
        <v>41|0.199690</v>
      </c>
      <c r="AG178" s="18" t="n">
        <f aca="false">IF($K178="SEM CULTURA",0,$T178*$H178)</f>
        <v>1878.56235897436</v>
      </c>
      <c r="AH178" s="18" t="n">
        <f aca="false">IF($K178="SEM CULTURA",0,$V178*$H178)</f>
        <v>95.25712</v>
      </c>
      <c r="AI178" s="18" t="n">
        <f aca="false">IF($K178="SEM CULTURA",0,$W178*$H178)</f>
        <v>1783.30523897436</v>
      </c>
      <c r="AJ178" s="18" t="n">
        <f aca="false">IF($K178="SEM CULTURA",0,$S178*$H178)</f>
        <v>2801.68</v>
      </c>
      <c r="AK178" s="8" t="str">
        <f aca="false">$E178&amp;"|"&amp;TEXT($AD178,"0.000000")</f>
        <v>PV 108|0.199690</v>
      </c>
    </row>
    <row r="179" customFormat="false" ht="15" hidden="false" customHeight="false" outlineLevel="0" collapsed="false">
      <c r="B179" s="16" t="n">
        <v>42</v>
      </c>
      <c r="C179" s="17" t="n">
        <f aca="false">DATA_INICIO_SAFRA+($B179-1)*DIAS_POR_SEMANA</f>
        <v>46552</v>
      </c>
      <c r="D179" s="17" t="n">
        <f aca="false">$C179+DIAS_POR_SEMANA-1</f>
        <v>46558</v>
      </c>
      <c r="E179" s="15" t="s">
        <v>261</v>
      </c>
      <c r="F179" s="8" t="str">
        <f aca="false">IFERROR(INDEX(CADASTRO_PIVOS!$C$6:$C$41,MATCH($E179,CADASTRO_PIVOS!$B$6:$B$41,0)),"?")</f>
        <v>RM02</v>
      </c>
      <c r="G179" s="8" t="str">
        <f aca="false">IFERROR(INDEX(CADASTRO_PIVOS!$D$6:$D$41,MATCH($E179,CADASTRO_PIVOS!$B$6:$B$41,0)),"?")</f>
        <v>TR02</v>
      </c>
      <c r="H179" s="20" t="n">
        <f aca="false">IFERROR(INDEX(CADASTRO_PIVOS!$E$6:$E$41,MATCH($E179,CADASTRO_PIVOS!$B$6:$B$41,0)),0)</f>
        <v>100.06</v>
      </c>
      <c r="I179" s="16" t="n">
        <f aca="false">IFERROR(SUMIFS(ROTACAO_RDM!$B$6:$B$71,ROTACAO_RDM!$D$6:$D$71,$E179,ROTACAO_RDM!$I$6:$I$71,"&lt;="&amp;$C179+INT(DIAS_POR_SEMANA/2),ROTACAO_RDM!$J$6:$J$71,"&gt;="&amp;$C179+INT(DIAS_POR_SEMANA/2)),0)</f>
        <v>14</v>
      </c>
      <c r="J179" s="16" t="n">
        <f aca="false">IFERROR(MATCH($I179,ROTACAO_RDM!$B$6:$B$71,0),0)</f>
        <v>14</v>
      </c>
      <c r="K179" s="8" t="str">
        <f aca="false">IF($J179=0,"SEM CULTURA",INDEX(ROTACAO_RDM!$F$6:$F$71,$J179))</f>
        <v>ALGODAO</v>
      </c>
      <c r="L179" s="8" t="str">
        <f aca="false">IF($J179=0,"",INDEX(ROTACAO_RDM!$G$6:$G$71,$J179))</f>
        <v>FM 933 STP</v>
      </c>
      <c r="M179" s="17" t="n">
        <f aca="false">IF($J179=0,"",INDEX(ROTACAO_RDM!$I$6:$I$71,$J179))</f>
        <v>46360</v>
      </c>
      <c r="N179" s="16" t="n">
        <f aca="false">IF($J179=0,0,MAX(0,$C179+INT(DIAS_POR_SEMANA/2)-INDEX(ROTACAO_RDM!$I$6:$I$71,$J179)))</f>
        <v>195</v>
      </c>
      <c r="O179" s="19" t="n">
        <f aca="false">IF($J179=0,0,MIN(1,$N179/MAX(1,INDEX(ROTACAO_RDM!$K$6:$K$71,$J179))))</f>
        <v>1</v>
      </c>
      <c r="P179" s="16" t="n">
        <f aca="false">IF($J179=0,0,IFERROR(MATCH(INDEX(ROTACAO_RDM!$N$6:$N$71,$J179),PARAMETROS_CULTURAS!$B$6:$B$28,0),0))</f>
        <v>5</v>
      </c>
      <c r="Q179" s="8" t="str">
        <f aca="false">IF($P179=0,"-",IF($O179&lt;=INDEX(PARAMETROS_CULTURAS!$F$6:$F$28,$P179),"INICIAL",IF($O179&lt;=INDEX(PARAMETROS_CULTURAS!$F$6:$F$28,$P179)+INDEX(PARAMETROS_CULTURAS!$G$6:$G$28,$P179),"DESENVOLVIMENTO",IF($O179&lt;=INDEX(PARAMETROS_CULTURAS!$F$6:$F$28,$P179)+INDEX(PARAMETROS_CULTURAS!$G$6:$G$28,$P179)+INDEX(PARAMETROS_CULTURAS!$H$6:$H$28,$P179),"MEDIA","FINAL"))))</f>
        <v>FINAL</v>
      </c>
      <c r="R179" s="24" t="n">
        <f aca="false">IF($P179=0,0,IF($O179&lt;=INDEX(PARAMETROS_CULTURAS!$F$6:$F$28,$P179),INDEX(PARAMETROS_CULTURAS!$K$6:$K$28,$P179),IF($O179&lt;=INDEX(PARAMETROS_CULTURAS!$F$6:$F$28,$P179)+INDEX(PARAMETROS_CULTURAS!$G$6:$G$28,$P179),INDEX(PARAMETROS_CULTURAS!$K$6:$K$28,$P179)+(INDEX(PARAMETROS_CULTURAS!$L$6:$L$28,$P179)-INDEX(PARAMETROS_CULTURAS!$K$6:$K$28,$P179))*($O179-INDEX(PARAMETROS_CULTURAS!$F$6:$F$28,$P179))/MAX(INDEX(PARAMETROS_CULTURAS!$G$6:$G$28,$P179),0.0001),IF($O179&lt;=INDEX(PARAMETROS_CULTURAS!$F$6:$F$28,$P179)+INDEX(PARAMETROS_CULTURAS!$G$6:$G$28,$P179)+INDEX(PARAMETROS_CULTURAS!$H$6:$H$28,$P179),INDEX(PARAMETROS_CULTURAS!$L$6:$L$28,$P179),INDEX(PARAMETROS_CULTURAS!$L$6:$L$28,$P179)+(INDEX(PARAMETROS_CULTURAS!$M$6:$M$28,$P179)-INDEX(PARAMETROS_CULTURAS!$L$6:$L$28,$P179))*($O179-INDEX(PARAMETROS_CULTURAS!$F$6:$F$28,$P179)-INDEX(PARAMETROS_CULTURAS!$G$6:$G$28,$P179)-INDEX(PARAMETROS_CULTURAS!$H$6:$H$28,$P179))/MAX(INDEX(PARAMETROS_CULTURAS!$I$6:$I$28,$P179),0.0001)))))</f>
        <v>0.6</v>
      </c>
      <c r="S179" s="18" t="n">
        <f aca="false">IFERROR(INDEX(SEMANAS!$H$6:$H$71,MATCH($B179,SEMANAS!$B$6:$B$71,0)),0)</f>
        <v>28</v>
      </c>
      <c r="T179" s="18" t="n">
        <f aca="false">$R179*$S179</f>
        <v>16.8</v>
      </c>
      <c r="U179" s="18" t="n">
        <f aca="false">IFERROR(INDEX(SEMANAS!$I$6:$I$71,MATCH($B179,SEMANAS!$B$6:$B$71,0)),0)</f>
        <v>1.19</v>
      </c>
      <c r="V179" s="18" t="n">
        <f aca="false">IFERROR(INDEX(SEMANAS!$J$6:$J$71,MATCH($B179,SEMANAS!$B$6:$B$71,0)),0)</f>
        <v>0.952</v>
      </c>
      <c r="W179" s="18" t="n">
        <f aca="false">MAX(0,$T179-$V179)</f>
        <v>15.848</v>
      </c>
      <c r="X179" s="19" t="n">
        <f aca="false">IFERROR(INDEX(CADASTRO_PIVOS!$K$6:$K$41,MATCH($E179,CADASTRO_PIVOS!$B$6:$B$41,0)),EFICIENCIA_PADRAO)</f>
        <v>0.85</v>
      </c>
      <c r="Y179" s="18" t="n">
        <f aca="false">IF($X179&lt;=0,0,$W179/$X179)</f>
        <v>18.6447058823529</v>
      </c>
      <c r="Z179" s="16" t="n">
        <f aca="false">$Y179*$H179*MM_PARA_M3_HA</f>
        <v>18655.8927058824</v>
      </c>
      <c r="AA179" s="18" t="n">
        <f aca="false">IFERROR(INDEX(CADASTRO_PIVOS!$I$6:$I$41,MATCH($E179,CADASTRO_PIVOS!$B$6:$B$41,0)),0)</f>
        <v>714.714285714286</v>
      </c>
      <c r="AB179" s="18" t="n">
        <f aca="false">IF($Z179&lt;=0,0,$Z179/$AA179)</f>
        <v>26.1025882352941</v>
      </c>
      <c r="AC179" s="16" t="n">
        <f aca="false">IFERROR(INDEX(SEMANAS!$K$6:$K$71,MATCH($B179,SEMANAS!$B$6:$B$71,0)),0)</f>
        <v>147</v>
      </c>
      <c r="AD179" s="19" t="n">
        <f aca="false">IF($AC179&lt;=0,0,$AB179/$AC179)</f>
        <v>0.17756862745098</v>
      </c>
      <c r="AE179" s="8" t="str">
        <f aca="false">IF($K179="SEM CULTURA","SEM CULTURA",IF($AA179&lt;=0,"DADO PENDENTE",IF($AD179&gt;LIMITE_CRITICO,"INVIAVEL",IF($AD179&gt;LIMITE_ATENCAO,"CRITICO",IF($AD179&gt;LIMITE_CONFORTAVEL,"ATENCAO","OK")))))</f>
        <v>OK</v>
      </c>
      <c r="AF179" s="8" t="str">
        <f aca="false">$B179&amp;"|"&amp;TEXT($AD179,"0.000000")</f>
        <v>42|0.177569</v>
      </c>
      <c r="AG179" s="18" t="n">
        <f aca="false">IF($K179="SEM CULTURA",0,$T179*$H179)</f>
        <v>1681.008</v>
      </c>
      <c r="AH179" s="18" t="n">
        <f aca="false">IF($K179="SEM CULTURA",0,$V179*$H179)</f>
        <v>95.25712</v>
      </c>
      <c r="AI179" s="18" t="n">
        <f aca="false">IF($K179="SEM CULTURA",0,$W179*$H179)</f>
        <v>1585.75088</v>
      </c>
      <c r="AJ179" s="18" t="n">
        <f aca="false">IF($K179="SEM CULTURA",0,$S179*$H179)</f>
        <v>2801.68</v>
      </c>
      <c r="AK179" s="8" t="str">
        <f aca="false">$E179&amp;"|"&amp;TEXT($AD179,"0.000000")</f>
        <v>PV 108|0.177569</v>
      </c>
    </row>
    <row r="180" customFormat="false" ht="15" hidden="false" customHeight="false" outlineLevel="0" collapsed="false">
      <c r="B180" s="16" t="n">
        <v>43</v>
      </c>
      <c r="C180" s="17" t="n">
        <f aca="false">DATA_INICIO_SAFRA+($B180-1)*DIAS_POR_SEMANA</f>
        <v>46559</v>
      </c>
      <c r="D180" s="17" t="n">
        <f aca="false">$C180+DIAS_POR_SEMANA-1</f>
        <v>46565</v>
      </c>
      <c r="E180" s="15" t="s">
        <v>261</v>
      </c>
      <c r="F180" s="8" t="str">
        <f aca="false">IFERROR(INDEX(CADASTRO_PIVOS!$C$6:$C$41,MATCH($E180,CADASTRO_PIVOS!$B$6:$B$41,0)),"?")</f>
        <v>RM02</v>
      </c>
      <c r="G180" s="8" t="str">
        <f aca="false">IFERROR(INDEX(CADASTRO_PIVOS!$D$6:$D$41,MATCH($E180,CADASTRO_PIVOS!$B$6:$B$41,0)),"?")</f>
        <v>TR02</v>
      </c>
      <c r="H180" s="20" t="n">
        <f aca="false">IFERROR(INDEX(CADASTRO_PIVOS!$E$6:$E$41,MATCH($E180,CADASTRO_PIVOS!$B$6:$B$41,0)),0)</f>
        <v>100.06</v>
      </c>
      <c r="I180" s="16" t="n">
        <f aca="false">IFERROR(SUMIFS(ROTACAO_RDM!$B$6:$B$71,ROTACAO_RDM!$D$6:$D$71,$E180,ROTACAO_RDM!$I$6:$I$71,"&lt;="&amp;$C180+INT(DIAS_POR_SEMANA/2),ROTACAO_RDM!$J$6:$J$71,"&gt;="&amp;$C180+INT(DIAS_POR_SEMANA/2)),0)</f>
        <v>0</v>
      </c>
      <c r="J180" s="16" t="n">
        <f aca="false">IFERROR(MATCH($I180,ROTACAO_RDM!$B$6:$B$71,0),0)</f>
        <v>0</v>
      </c>
      <c r="K180" s="8" t="str">
        <f aca="false">IF($J180=0,"SEM CULTURA",INDEX(ROTACAO_RDM!$F$6:$F$71,$J180))</f>
        <v>SEM CULTURA</v>
      </c>
      <c r="L180" s="8" t="str">
        <f aca="false">IF($J180=0,"",INDEX(ROTACAO_RDM!$G$6:$G$71,$J180))</f>
        <v/>
      </c>
      <c r="M180" s="17" t="str">
        <f aca="false">IF($J180=0,"",INDEX(ROTACAO_RDM!$I$6:$I$71,$J180))</f>
        <v/>
      </c>
      <c r="N180" s="16" t="n">
        <f aca="false">IF($J180=0,0,MAX(0,$C180+INT(DIAS_POR_SEMANA/2)-INDEX(ROTACAO_RDM!$I$6:$I$71,$J180)))</f>
        <v>0</v>
      </c>
      <c r="O180" s="19" t="n">
        <f aca="false">IF($J180=0,0,MIN(1,$N180/MAX(1,INDEX(ROTACAO_RDM!$K$6:$K$71,$J180))))</f>
        <v>0</v>
      </c>
      <c r="P180" s="16" t="n">
        <f aca="false">IF($J180=0,0,IFERROR(MATCH(INDEX(ROTACAO_RDM!$N$6:$N$71,$J180),PARAMETROS_CULTURAS!$B$6:$B$28,0),0))</f>
        <v>0</v>
      </c>
      <c r="Q180" s="8" t="str">
        <f aca="false">IF($P180=0,"-",IF($O180&lt;=INDEX(PARAMETROS_CULTURAS!$F$6:$F$28,$P180),"INICIAL",IF($O180&lt;=INDEX(PARAMETROS_CULTURAS!$F$6:$F$28,$P180)+INDEX(PARAMETROS_CULTURAS!$G$6:$G$28,$P180),"DESENVOLVIMENTO",IF($O180&lt;=INDEX(PARAMETROS_CULTURAS!$F$6:$F$28,$P180)+INDEX(PARAMETROS_CULTURAS!$G$6:$G$28,$P180)+INDEX(PARAMETROS_CULTURAS!$H$6:$H$28,$P180),"MEDIA","FINAL"))))</f>
        <v>-</v>
      </c>
      <c r="R180" s="24" t="n">
        <f aca="false">IF($P180=0,0,IF($O180&lt;=INDEX(PARAMETROS_CULTURAS!$F$6:$F$28,$P180),INDEX(PARAMETROS_CULTURAS!$K$6:$K$28,$P180),IF($O180&lt;=INDEX(PARAMETROS_CULTURAS!$F$6:$F$28,$P180)+INDEX(PARAMETROS_CULTURAS!$G$6:$G$28,$P180),INDEX(PARAMETROS_CULTURAS!$K$6:$K$28,$P180)+(INDEX(PARAMETROS_CULTURAS!$L$6:$L$28,$P180)-INDEX(PARAMETROS_CULTURAS!$K$6:$K$28,$P180))*($O180-INDEX(PARAMETROS_CULTURAS!$F$6:$F$28,$P180))/MAX(INDEX(PARAMETROS_CULTURAS!$G$6:$G$28,$P180),0.0001),IF($O180&lt;=INDEX(PARAMETROS_CULTURAS!$F$6:$F$28,$P180)+INDEX(PARAMETROS_CULTURAS!$G$6:$G$28,$P180)+INDEX(PARAMETROS_CULTURAS!$H$6:$H$28,$P180),INDEX(PARAMETROS_CULTURAS!$L$6:$L$28,$P180),INDEX(PARAMETROS_CULTURAS!$L$6:$L$28,$P180)+(INDEX(PARAMETROS_CULTURAS!$M$6:$M$28,$P180)-INDEX(PARAMETROS_CULTURAS!$L$6:$L$28,$P180))*($O180-INDEX(PARAMETROS_CULTURAS!$F$6:$F$28,$P180)-INDEX(PARAMETROS_CULTURAS!$G$6:$G$28,$P180)-INDEX(PARAMETROS_CULTURAS!$H$6:$H$28,$P180))/MAX(INDEX(PARAMETROS_CULTURAS!$I$6:$I$28,$P180),0.0001)))))</f>
        <v>0</v>
      </c>
      <c r="S180" s="18" t="n">
        <f aca="false">IFERROR(INDEX(SEMANAS!$H$6:$H$71,MATCH($B180,SEMANAS!$B$6:$B$71,0)),0)</f>
        <v>28</v>
      </c>
      <c r="T180" s="18" t="n">
        <f aca="false">$R180*$S180</f>
        <v>0</v>
      </c>
      <c r="U180" s="18" t="n">
        <f aca="false">IFERROR(INDEX(SEMANAS!$I$6:$I$71,MATCH($B180,SEMANAS!$B$6:$B$71,0)),0)</f>
        <v>1.19</v>
      </c>
      <c r="V180" s="18" t="n">
        <f aca="false">IFERROR(INDEX(SEMANAS!$J$6:$J$71,MATCH($B180,SEMANAS!$B$6:$B$71,0)),0)</f>
        <v>0.952</v>
      </c>
      <c r="W180" s="18" t="n">
        <f aca="false">MAX(0,$T180-$V180)</f>
        <v>0</v>
      </c>
      <c r="X180" s="19" t="n">
        <f aca="false">IFERROR(INDEX(CADASTRO_PIVOS!$K$6:$K$41,MATCH($E180,CADASTRO_PIVOS!$B$6:$B$41,0)),EFICIENCIA_PADRAO)</f>
        <v>0.85</v>
      </c>
      <c r="Y180" s="18" t="n">
        <f aca="false">IF($X180&lt;=0,0,$W180/$X180)</f>
        <v>0</v>
      </c>
      <c r="Z180" s="16" t="n">
        <f aca="false">$Y180*$H180*MM_PARA_M3_HA</f>
        <v>0</v>
      </c>
      <c r="AA180" s="18" t="n">
        <f aca="false">IFERROR(INDEX(CADASTRO_PIVOS!$I$6:$I$41,MATCH($E180,CADASTRO_PIVOS!$B$6:$B$41,0)),0)</f>
        <v>714.714285714286</v>
      </c>
      <c r="AB180" s="18" t="n">
        <f aca="false">IF($Z180&lt;=0,0,$Z180/$AA180)</f>
        <v>0</v>
      </c>
      <c r="AC180" s="16" t="n">
        <f aca="false">IFERROR(INDEX(SEMANAS!$K$6:$K$71,MATCH($B180,SEMANAS!$B$6:$B$71,0)),0)</f>
        <v>147</v>
      </c>
      <c r="AD180" s="19" t="n">
        <f aca="false">IF($AC180&lt;=0,0,$AB180/$AC180)</f>
        <v>0</v>
      </c>
      <c r="AE180" s="8" t="str">
        <f aca="false">IF($K180="SEM CULTURA","SEM CULTURA",IF($AA180&lt;=0,"DADO PENDENTE",IF($AD180&gt;LIMITE_CRITICO,"INVIAVEL",IF($AD180&gt;LIMITE_ATENCAO,"CRITICO",IF($AD180&gt;LIMITE_CONFORTAVEL,"ATENCAO","OK")))))</f>
        <v>SEM CULTURA</v>
      </c>
      <c r="AF180" s="8" t="str">
        <f aca="false">$B180&amp;"|"&amp;TEXT($AD180,"0.000000")</f>
        <v>43|0.000000</v>
      </c>
      <c r="AG180" s="18" t="n">
        <f aca="false">IF($K180="SEM CULTURA",0,$T180*$H180)</f>
        <v>0</v>
      </c>
      <c r="AH180" s="18" t="n">
        <f aca="false">IF($K180="SEM CULTURA",0,$V180*$H180)</f>
        <v>0</v>
      </c>
      <c r="AI180" s="18" t="n">
        <f aca="false">IF($K180="SEM CULTURA",0,$W180*$H180)</f>
        <v>0</v>
      </c>
      <c r="AJ180" s="18" t="n">
        <f aca="false">IF($K180="SEM CULTURA",0,$S180*$H180)</f>
        <v>0</v>
      </c>
      <c r="AK180" s="8" t="str">
        <f aca="false">$E180&amp;"|"&amp;TEXT($AD180,"0.000000")</f>
        <v>PV 108|0.000000</v>
      </c>
    </row>
    <row r="181" customFormat="false" ht="15" hidden="false" customHeight="false" outlineLevel="0" collapsed="false">
      <c r="B181" s="16" t="n">
        <v>44</v>
      </c>
      <c r="C181" s="17" t="n">
        <f aca="false">DATA_INICIO_SAFRA+($B181-1)*DIAS_POR_SEMANA</f>
        <v>46566</v>
      </c>
      <c r="D181" s="17" t="n">
        <f aca="false">$C181+DIAS_POR_SEMANA-1</f>
        <v>46572</v>
      </c>
      <c r="E181" s="15" t="s">
        <v>261</v>
      </c>
      <c r="F181" s="8" t="str">
        <f aca="false">IFERROR(INDEX(CADASTRO_PIVOS!$C$6:$C$41,MATCH($E181,CADASTRO_PIVOS!$B$6:$B$41,0)),"?")</f>
        <v>RM02</v>
      </c>
      <c r="G181" s="8" t="str">
        <f aca="false">IFERROR(INDEX(CADASTRO_PIVOS!$D$6:$D$41,MATCH($E181,CADASTRO_PIVOS!$B$6:$B$41,0)),"?")</f>
        <v>TR02</v>
      </c>
      <c r="H181" s="20" t="n">
        <f aca="false">IFERROR(INDEX(CADASTRO_PIVOS!$E$6:$E$41,MATCH($E181,CADASTRO_PIVOS!$B$6:$B$41,0)),0)</f>
        <v>100.06</v>
      </c>
      <c r="I181" s="16" t="n">
        <f aca="false">IFERROR(SUMIFS(ROTACAO_RDM!$B$6:$B$71,ROTACAO_RDM!$D$6:$D$71,$E181,ROTACAO_RDM!$I$6:$I$71,"&lt;="&amp;$C181+INT(DIAS_POR_SEMANA/2),ROTACAO_RDM!$J$6:$J$71,"&gt;="&amp;$C181+INT(DIAS_POR_SEMANA/2)),0)</f>
        <v>0</v>
      </c>
      <c r="J181" s="16" t="n">
        <f aca="false">IFERROR(MATCH($I181,ROTACAO_RDM!$B$6:$B$71,0),0)</f>
        <v>0</v>
      </c>
      <c r="K181" s="8" t="str">
        <f aca="false">IF($J181=0,"SEM CULTURA",INDEX(ROTACAO_RDM!$F$6:$F$71,$J181))</f>
        <v>SEM CULTURA</v>
      </c>
      <c r="L181" s="8" t="str">
        <f aca="false">IF($J181=0,"",INDEX(ROTACAO_RDM!$G$6:$G$71,$J181))</f>
        <v/>
      </c>
      <c r="M181" s="17" t="str">
        <f aca="false">IF($J181=0,"",INDEX(ROTACAO_RDM!$I$6:$I$71,$J181))</f>
        <v/>
      </c>
      <c r="N181" s="16" t="n">
        <f aca="false">IF($J181=0,0,MAX(0,$C181+INT(DIAS_POR_SEMANA/2)-INDEX(ROTACAO_RDM!$I$6:$I$71,$J181)))</f>
        <v>0</v>
      </c>
      <c r="O181" s="19" t="n">
        <f aca="false">IF($J181=0,0,MIN(1,$N181/MAX(1,INDEX(ROTACAO_RDM!$K$6:$K$71,$J181))))</f>
        <v>0</v>
      </c>
      <c r="P181" s="16" t="n">
        <f aca="false">IF($J181=0,0,IFERROR(MATCH(INDEX(ROTACAO_RDM!$N$6:$N$71,$J181),PARAMETROS_CULTURAS!$B$6:$B$28,0),0))</f>
        <v>0</v>
      </c>
      <c r="Q181" s="8" t="str">
        <f aca="false">IF($P181=0,"-",IF($O181&lt;=INDEX(PARAMETROS_CULTURAS!$F$6:$F$28,$P181),"INICIAL",IF($O181&lt;=INDEX(PARAMETROS_CULTURAS!$F$6:$F$28,$P181)+INDEX(PARAMETROS_CULTURAS!$G$6:$G$28,$P181),"DESENVOLVIMENTO",IF($O181&lt;=INDEX(PARAMETROS_CULTURAS!$F$6:$F$28,$P181)+INDEX(PARAMETROS_CULTURAS!$G$6:$G$28,$P181)+INDEX(PARAMETROS_CULTURAS!$H$6:$H$28,$P181),"MEDIA","FINAL"))))</f>
        <v>-</v>
      </c>
      <c r="R181" s="24" t="n">
        <f aca="false">IF($P181=0,0,IF($O181&lt;=INDEX(PARAMETROS_CULTURAS!$F$6:$F$28,$P181),INDEX(PARAMETROS_CULTURAS!$K$6:$K$28,$P181),IF($O181&lt;=INDEX(PARAMETROS_CULTURAS!$F$6:$F$28,$P181)+INDEX(PARAMETROS_CULTURAS!$G$6:$G$28,$P181),INDEX(PARAMETROS_CULTURAS!$K$6:$K$28,$P181)+(INDEX(PARAMETROS_CULTURAS!$L$6:$L$28,$P181)-INDEX(PARAMETROS_CULTURAS!$K$6:$K$28,$P181))*($O181-INDEX(PARAMETROS_CULTURAS!$F$6:$F$28,$P181))/MAX(INDEX(PARAMETROS_CULTURAS!$G$6:$G$28,$P181),0.0001),IF($O181&lt;=INDEX(PARAMETROS_CULTURAS!$F$6:$F$28,$P181)+INDEX(PARAMETROS_CULTURAS!$G$6:$G$28,$P181)+INDEX(PARAMETROS_CULTURAS!$H$6:$H$28,$P181),INDEX(PARAMETROS_CULTURAS!$L$6:$L$28,$P181),INDEX(PARAMETROS_CULTURAS!$L$6:$L$28,$P181)+(INDEX(PARAMETROS_CULTURAS!$M$6:$M$28,$P181)-INDEX(PARAMETROS_CULTURAS!$L$6:$L$28,$P181))*($O181-INDEX(PARAMETROS_CULTURAS!$F$6:$F$28,$P181)-INDEX(PARAMETROS_CULTURAS!$G$6:$G$28,$P181)-INDEX(PARAMETROS_CULTURAS!$H$6:$H$28,$P181))/MAX(INDEX(PARAMETROS_CULTURAS!$I$6:$I$28,$P181),0.0001)))))</f>
        <v>0</v>
      </c>
      <c r="S181" s="18" t="n">
        <f aca="false">IFERROR(INDEX(SEMANAS!$H$6:$H$71,MATCH($B181,SEMANAS!$B$6:$B$71,0)),0)</f>
        <v>29.2</v>
      </c>
      <c r="T181" s="18" t="n">
        <f aca="false">$R181*$S181</f>
        <v>0</v>
      </c>
      <c r="U181" s="18" t="n">
        <f aca="false">IFERROR(INDEX(SEMANAS!$I$6:$I$71,MATCH($B181,SEMANAS!$B$6:$B$71,0)),0)</f>
        <v>0.91</v>
      </c>
      <c r="V181" s="18" t="n">
        <f aca="false">IFERROR(INDEX(SEMANAS!$J$6:$J$71,MATCH($B181,SEMANAS!$B$6:$B$71,0)),0)</f>
        <v>0.728</v>
      </c>
      <c r="W181" s="18" t="n">
        <f aca="false">MAX(0,$T181-$V181)</f>
        <v>0</v>
      </c>
      <c r="X181" s="19" t="n">
        <f aca="false">IFERROR(INDEX(CADASTRO_PIVOS!$K$6:$K$41,MATCH($E181,CADASTRO_PIVOS!$B$6:$B$41,0)),EFICIENCIA_PADRAO)</f>
        <v>0.85</v>
      </c>
      <c r="Y181" s="18" t="n">
        <f aca="false">IF($X181&lt;=0,0,$W181/$X181)</f>
        <v>0</v>
      </c>
      <c r="Z181" s="16" t="n">
        <f aca="false">$Y181*$H181*MM_PARA_M3_HA</f>
        <v>0</v>
      </c>
      <c r="AA181" s="18" t="n">
        <f aca="false">IFERROR(INDEX(CADASTRO_PIVOS!$I$6:$I$41,MATCH($E181,CADASTRO_PIVOS!$B$6:$B$41,0)),0)</f>
        <v>714.714285714286</v>
      </c>
      <c r="AB181" s="18" t="n">
        <f aca="false">IF($Z181&lt;=0,0,$Z181/$AA181)</f>
        <v>0</v>
      </c>
      <c r="AC181" s="16" t="n">
        <f aca="false">IFERROR(INDEX(SEMANAS!$K$6:$K$71,MATCH($B181,SEMANAS!$B$6:$B$71,0)),0)</f>
        <v>147</v>
      </c>
      <c r="AD181" s="19" t="n">
        <f aca="false">IF($AC181&lt;=0,0,$AB181/$AC181)</f>
        <v>0</v>
      </c>
      <c r="AE181" s="8" t="str">
        <f aca="false">IF($K181="SEM CULTURA","SEM CULTURA",IF($AA181&lt;=0,"DADO PENDENTE",IF($AD181&gt;LIMITE_CRITICO,"INVIAVEL",IF($AD181&gt;LIMITE_ATENCAO,"CRITICO",IF($AD181&gt;LIMITE_CONFORTAVEL,"ATENCAO","OK")))))</f>
        <v>SEM CULTURA</v>
      </c>
      <c r="AF181" s="8" t="str">
        <f aca="false">$B181&amp;"|"&amp;TEXT($AD181,"0.000000")</f>
        <v>44|0.000000</v>
      </c>
      <c r="AG181" s="18" t="n">
        <f aca="false">IF($K181="SEM CULTURA",0,$T181*$H181)</f>
        <v>0</v>
      </c>
      <c r="AH181" s="18" t="n">
        <f aca="false">IF($K181="SEM CULTURA",0,$V181*$H181)</f>
        <v>0</v>
      </c>
      <c r="AI181" s="18" t="n">
        <f aca="false">IF($K181="SEM CULTURA",0,$W181*$H181)</f>
        <v>0</v>
      </c>
      <c r="AJ181" s="18" t="n">
        <f aca="false">IF($K181="SEM CULTURA",0,$S181*$H181)</f>
        <v>0</v>
      </c>
      <c r="AK181" s="8" t="str">
        <f aca="false">$E181&amp;"|"&amp;TEXT($AD181,"0.000000")</f>
        <v>PV 108|0.000000</v>
      </c>
    </row>
    <row r="182" customFormat="false" ht="15" hidden="false" customHeight="false" outlineLevel="0" collapsed="false">
      <c r="B182" s="16" t="n">
        <v>45</v>
      </c>
      <c r="C182" s="17" t="n">
        <f aca="false">DATA_INICIO_SAFRA+($B182-1)*DIAS_POR_SEMANA</f>
        <v>46573</v>
      </c>
      <c r="D182" s="17" t="n">
        <f aca="false">$C182+DIAS_POR_SEMANA-1</f>
        <v>46579</v>
      </c>
      <c r="E182" s="15" t="s">
        <v>261</v>
      </c>
      <c r="F182" s="8" t="str">
        <f aca="false">IFERROR(INDEX(CADASTRO_PIVOS!$C$6:$C$41,MATCH($E182,CADASTRO_PIVOS!$B$6:$B$41,0)),"?")</f>
        <v>RM02</v>
      </c>
      <c r="G182" s="8" t="str">
        <f aca="false">IFERROR(INDEX(CADASTRO_PIVOS!$D$6:$D$41,MATCH($E182,CADASTRO_PIVOS!$B$6:$B$41,0)),"?")</f>
        <v>TR02</v>
      </c>
      <c r="H182" s="20" t="n">
        <f aca="false">IFERROR(INDEX(CADASTRO_PIVOS!$E$6:$E$41,MATCH($E182,CADASTRO_PIVOS!$B$6:$B$41,0)),0)</f>
        <v>100.06</v>
      </c>
      <c r="I182" s="16" t="n">
        <f aca="false">IFERROR(SUMIFS(ROTACAO_RDM!$B$6:$B$71,ROTACAO_RDM!$D$6:$D$71,$E182,ROTACAO_RDM!$I$6:$I$71,"&lt;="&amp;$C182+INT(DIAS_POR_SEMANA/2),ROTACAO_RDM!$J$6:$J$71,"&gt;="&amp;$C182+INT(DIAS_POR_SEMANA/2)),0)</f>
        <v>0</v>
      </c>
      <c r="J182" s="16" t="n">
        <f aca="false">IFERROR(MATCH($I182,ROTACAO_RDM!$B$6:$B$71,0),0)</f>
        <v>0</v>
      </c>
      <c r="K182" s="8" t="str">
        <f aca="false">IF($J182=0,"SEM CULTURA",INDEX(ROTACAO_RDM!$F$6:$F$71,$J182))</f>
        <v>SEM CULTURA</v>
      </c>
      <c r="L182" s="8" t="str">
        <f aca="false">IF($J182=0,"",INDEX(ROTACAO_RDM!$G$6:$G$71,$J182))</f>
        <v/>
      </c>
      <c r="M182" s="17" t="str">
        <f aca="false">IF($J182=0,"",INDEX(ROTACAO_RDM!$I$6:$I$71,$J182))</f>
        <v/>
      </c>
      <c r="N182" s="16" t="n">
        <f aca="false">IF($J182=0,0,MAX(0,$C182+INT(DIAS_POR_SEMANA/2)-INDEX(ROTACAO_RDM!$I$6:$I$71,$J182)))</f>
        <v>0</v>
      </c>
      <c r="O182" s="19" t="n">
        <f aca="false">IF($J182=0,0,MIN(1,$N182/MAX(1,INDEX(ROTACAO_RDM!$K$6:$K$71,$J182))))</f>
        <v>0</v>
      </c>
      <c r="P182" s="16" t="n">
        <f aca="false">IF($J182=0,0,IFERROR(MATCH(INDEX(ROTACAO_RDM!$N$6:$N$71,$J182),PARAMETROS_CULTURAS!$B$6:$B$28,0),0))</f>
        <v>0</v>
      </c>
      <c r="Q182" s="8" t="str">
        <f aca="false">IF($P182=0,"-",IF($O182&lt;=INDEX(PARAMETROS_CULTURAS!$F$6:$F$28,$P182),"INICIAL",IF($O182&lt;=INDEX(PARAMETROS_CULTURAS!$F$6:$F$28,$P182)+INDEX(PARAMETROS_CULTURAS!$G$6:$G$28,$P182),"DESENVOLVIMENTO",IF($O182&lt;=INDEX(PARAMETROS_CULTURAS!$F$6:$F$28,$P182)+INDEX(PARAMETROS_CULTURAS!$G$6:$G$28,$P182)+INDEX(PARAMETROS_CULTURAS!$H$6:$H$28,$P182),"MEDIA","FINAL"))))</f>
        <v>-</v>
      </c>
      <c r="R182" s="24" t="n">
        <f aca="false">IF($P182=0,0,IF($O182&lt;=INDEX(PARAMETROS_CULTURAS!$F$6:$F$28,$P182),INDEX(PARAMETROS_CULTURAS!$K$6:$K$28,$P182),IF($O182&lt;=INDEX(PARAMETROS_CULTURAS!$F$6:$F$28,$P182)+INDEX(PARAMETROS_CULTURAS!$G$6:$G$28,$P182),INDEX(PARAMETROS_CULTURAS!$K$6:$K$28,$P182)+(INDEX(PARAMETROS_CULTURAS!$L$6:$L$28,$P182)-INDEX(PARAMETROS_CULTURAS!$K$6:$K$28,$P182))*($O182-INDEX(PARAMETROS_CULTURAS!$F$6:$F$28,$P182))/MAX(INDEX(PARAMETROS_CULTURAS!$G$6:$G$28,$P182),0.0001),IF($O182&lt;=INDEX(PARAMETROS_CULTURAS!$F$6:$F$28,$P182)+INDEX(PARAMETROS_CULTURAS!$G$6:$G$28,$P182)+INDEX(PARAMETROS_CULTURAS!$H$6:$H$28,$P182),INDEX(PARAMETROS_CULTURAS!$L$6:$L$28,$P182),INDEX(PARAMETROS_CULTURAS!$L$6:$L$28,$P182)+(INDEX(PARAMETROS_CULTURAS!$M$6:$M$28,$P182)-INDEX(PARAMETROS_CULTURAS!$L$6:$L$28,$P182))*($O182-INDEX(PARAMETROS_CULTURAS!$F$6:$F$28,$P182)-INDEX(PARAMETROS_CULTURAS!$G$6:$G$28,$P182)-INDEX(PARAMETROS_CULTURAS!$H$6:$H$28,$P182))/MAX(INDEX(PARAMETROS_CULTURAS!$I$6:$I$28,$P182),0.0001)))))</f>
        <v>0</v>
      </c>
      <c r="S182" s="18" t="n">
        <f aca="false">IFERROR(INDEX(SEMANAS!$H$6:$H$71,MATCH($B182,SEMANAS!$B$6:$B$71,0)),0)</f>
        <v>30.1</v>
      </c>
      <c r="T182" s="18" t="n">
        <f aca="false">$R182*$S182</f>
        <v>0</v>
      </c>
      <c r="U182" s="18" t="n">
        <f aca="false">IFERROR(INDEX(SEMANAS!$I$6:$I$71,MATCH($B182,SEMANAS!$B$6:$B$71,0)),0)</f>
        <v>0.7</v>
      </c>
      <c r="V182" s="18" t="n">
        <f aca="false">IFERROR(INDEX(SEMANAS!$J$6:$J$71,MATCH($B182,SEMANAS!$B$6:$B$71,0)),0)</f>
        <v>0.56</v>
      </c>
      <c r="W182" s="18" t="n">
        <f aca="false">MAX(0,$T182-$V182)</f>
        <v>0</v>
      </c>
      <c r="X182" s="19" t="n">
        <f aca="false">IFERROR(INDEX(CADASTRO_PIVOS!$K$6:$K$41,MATCH($E182,CADASTRO_PIVOS!$B$6:$B$41,0)),EFICIENCIA_PADRAO)</f>
        <v>0.85</v>
      </c>
      <c r="Y182" s="18" t="n">
        <f aca="false">IF($X182&lt;=0,0,$W182/$X182)</f>
        <v>0</v>
      </c>
      <c r="Z182" s="16" t="n">
        <f aca="false">$Y182*$H182*MM_PARA_M3_HA</f>
        <v>0</v>
      </c>
      <c r="AA182" s="18" t="n">
        <f aca="false">IFERROR(INDEX(CADASTRO_PIVOS!$I$6:$I$41,MATCH($E182,CADASTRO_PIVOS!$B$6:$B$41,0)),0)</f>
        <v>714.714285714286</v>
      </c>
      <c r="AB182" s="18" t="n">
        <f aca="false">IF($Z182&lt;=0,0,$Z182/$AA182)</f>
        <v>0</v>
      </c>
      <c r="AC182" s="16" t="n">
        <f aca="false">IFERROR(INDEX(SEMANAS!$K$6:$K$71,MATCH($B182,SEMANAS!$B$6:$B$71,0)),0)</f>
        <v>147</v>
      </c>
      <c r="AD182" s="19" t="n">
        <f aca="false">IF($AC182&lt;=0,0,$AB182/$AC182)</f>
        <v>0</v>
      </c>
      <c r="AE182" s="8" t="str">
        <f aca="false">IF($K182="SEM CULTURA","SEM CULTURA",IF($AA182&lt;=0,"DADO PENDENTE",IF($AD182&gt;LIMITE_CRITICO,"INVIAVEL",IF($AD182&gt;LIMITE_ATENCAO,"CRITICO",IF($AD182&gt;LIMITE_CONFORTAVEL,"ATENCAO","OK")))))</f>
        <v>SEM CULTURA</v>
      </c>
      <c r="AF182" s="8" t="str">
        <f aca="false">$B182&amp;"|"&amp;TEXT($AD182,"0.000000")</f>
        <v>45|0.000000</v>
      </c>
      <c r="AG182" s="18" t="n">
        <f aca="false">IF($K182="SEM CULTURA",0,$T182*$H182)</f>
        <v>0</v>
      </c>
      <c r="AH182" s="18" t="n">
        <f aca="false">IF($K182="SEM CULTURA",0,$V182*$H182)</f>
        <v>0</v>
      </c>
      <c r="AI182" s="18" t="n">
        <f aca="false">IF($K182="SEM CULTURA",0,$W182*$H182)</f>
        <v>0</v>
      </c>
      <c r="AJ182" s="18" t="n">
        <f aca="false">IF($K182="SEM CULTURA",0,$S182*$H182)</f>
        <v>0</v>
      </c>
      <c r="AK182" s="8" t="str">
        <f aca="false">$E182&amp;"|"&amp;TEXT($AD182,"0.000000")</f>
        <v>PV 108|0.000000</v>
      </c>
    </row>
    <row r="183" customFormat="false" ht="15" hidden="false" customHeight="false" outlineLevel="0" collapsed="false">
      <c r="B183" s="16" t="n">
        <v>46</v>
      </c>
      <c r="C183" s="17" t="n">
        <f aca="false">DATA_INICIO_SAFRA+($B183-1)*DIAS_POR_SEMANA</f>
        <v>46580</v>
      </c>
      <c r="D183" s="17" t="n">
        <f aca="false">$C183+DIAS_POR_SEMANA-1</f>
        <v>46586</v>
      </c>
      <c r="E183" s="15" t="s">
        <v>261</v>
      </c>
      <c r="F183" s="8" t="str">
        <f aca="false">IFERROR(INDEX(CADASTRO_PIVOS!$C$6:$C$41,MATCH($E183,CADASTRO_PIVOS!$B$6:$B$41,0)),"?")</f>
        <v>RM02</v>
      </c>
      <c r="G183" s="8" t="str">
        <f aca="false">IFERROR(INDEX(CADASTRO_PIVOS!$D$6:$D$41,MATCH($E183,CADASTRO_PIVOS!$B$6:$B$41,0)),"?")</f>
        <v>TR02</v>
      </c>
      <c r="H183" s="20" t="n">
        <f aca="false">IFERROR(INDEX(CADASTRO_PIVOS!$E$6:$E$41,MATCH($E183,CADASTRO_PIVOS!$B$6:$B$41,0)),0)</f>
        <v>100.06</v>
      </c>
      <c r="I183" s="16" t="n">
        <f aca="false">IFERROR(SUMIFS(ROTACAO_RDM!$B$6:$B$71,ROTACAO_RDM!$D$6:$D$71,$E183,ROTACAO_RDM!$I$6:$I$71,"&lt;="&amp;$C183+INT(DIAS_POR_SEMANA/2),ROTACAO_RDM!$J$6:$J$71,"&gt;="&amp;$C183+INT(DIAS_POR_SEMANA/2)),0)</f>
        <v>0</v>
      </c>
      <c r="J183" s="16" t="n">
        <f aca="false">IFERROR(MATCH($I183,ROTACAO_RDM!$B$6:$B$71,0),0)</f>
        <v>0</v>
      </c>
      <c r="K183" s="8" t="str">
        <f aca="false">IF($J183=0,"SEM CULTURA",INDEX(ROTACAO_RDM!$F$6:$F$71,$J183))</f>
        <v>SEM CULTURA</v>
      </c>
      <c r="L183" s="8" t="str">
        <f aca="false">IF($J183=0,"",INDEX(ROTACAO_RDM!$G$6:$G$71,$J183))</f>
        <v/>
      </c>
      <c r="M183" s="17" t="str">
        <f aca="false">IF($J183=0,"",INDEX(ROTACAO_RDM!$I$6:$I$71,$J183))</f>
        <v/>
      </c>
      <c r="N183" s="16" t="n">
        <f aca="false">IF($J183=0,0,MAX(0,$C183+INT(DIAS_POR_SEMANA/2)-INDEX(ROTACAO_RDM!$I$6:$I$71,$J183)))</f>
        <v>0</v>
      </c>
      <c r="O183" s="19" t="n">
        <f aca="false">IF($J183=0,0,MIN(1,$N183/MAX(1,INDEX(ROTACAO_RDM!$K$6:$K$71,$J183))))</f>
        <v>0</v>
      </c>
      <c r="P183" s="16" t="n">
        <f aca="false">IF($J183=0,0,IFERROR(MATCH(INDEX(ROTACAO_RDM!$N$6:$N$71,$J183),PARAMETROS_CULTURAS!$B$6:$B$28,0),0))</f>
        <v>0</v>
      </c>
      <c r="Q183" s="8" t="str">
        <f aca="false">IF($P183=0,"-",IF($O183&lt;=INDEX(PARAMETROS_CULTURAS!$F$6:$F$28,$P183),"INICIAL",IF($O183&lt;=INDEX(PARAMETROS_CULTURAS!$F$6:$F$28,$P183)+INDEX(PARAMETROS_CULTURAS!$G$6:$G$28,$P183),"DESENVOLVIMENTO",IF($O183&lt;=INDEX(PARAMETROS_CULTURAS!$F$6:$F$28,$P183)+INDEX(PARAMETROS_CULTURAS!$G$6:$G$28,$P183)+INDEX(PARAMETROS_CULTURAS!$H$6:$H$28,$P183),"MEDIA","FINAL"))))</f>
        <v>-</v>
      </c>
      <c r="R183" s="24" t="n">
        <f aca="false">IF($P183=0,0,IF($O183&lt;=INDEX(PARAMETROS_CULTURAS!$F$6:$F$28,$P183),INDEX(PARAMETROS_CULTURAS!$K$6:$K$28,$P183),IF($O183&lt;=INDEX(PARAMETROS_CULTURAS!$F$6:$F$28,$P183)+INDEX(PARAMETROS_CULTURAS!$G$6:$G$28,$P183),INDEX(PARAMETROS_CULTURAS!$K$6:$K$28,$P183)+(INDEX(PARAMETROS_CULTURAS!$L$6:$L$28,$P183)-INDEX(PARAMETROS_CULTURAS!$K$6:$K$28,$P183))*($O183-INDEX(PARAMETROS_CULTURAS!$F$6:$F$28,$P183))/MAX(INDEX(PARAMETROS_CULTURAS!$G$6:$G$28,$P183),0.0001),IF($O183&lt;=INDEX(PARAMETROS_CULTURAS!$F$6:$F$28,$P183)+INDEX(PARAMETROS_CULTURAS!$G$6:$G$28,$P183)+INDEX(PARAMETROS_CULTURAS!$H$6:$H$28,$P183),INDEX(PARAMETROS_CULTURAS!$L$6:$L$28,$P183),INDEX(PARAMETROS_CULTURAS!$L$6:$L$28,$P183)+(INDEX(PARAMETROS_CULTURAS!$M$6:$M$28,$P183)-INDEX(PARAMETROS_CULTURAS!$L$6:$L$28,$P183))*($O183-INDEX(PARAMETROS_CULTURAS!$F$6:$F$28,$P183)-INDEX(PARAMETROS_CULTURAS!$G$6:$G$28,$P183)-INDEX(PARAMETROS_CULTURAS!$H$6:$H$28,$P183))/MAX(INDEX(PARAMETROS_CULTURAS!$I$6:$I$28,$P183),0.0001)))))</f>
        <v>0</v>
      </c>
      <c r="S183" s="18" t="n">
        <f aca="false">IFERROR(INDEX(SEMANAS!$H$6:$H$71,MATCH($B183,SEMANAS!$B$6:$B$71,0)),0)</f>
        <v>30.1</v>
      </c>
      <c r="T183" s="18" t="n">
        <f aca="false">$R183*$S183</f>
        <v>0</v>
      </c>
      <c r="U183" s="18" t="n">
        <f aca="false">IFERROR(INDEX(SEMANAS!$I$6:$I$71,MATCH($B183,SEMANAS!$B$6:$B$71,0)),0)</f>
        <v>0.7</v>
      </c>
      <c r="V183" s="18" t="n">
        <f aca="false">IFERROR(INDEX(SEMANAS!$J$6:$J$71,MATCH($B183,SEMANAS!$B$6:$B$71,0)),0)</f>
        <v>0.56</v>
      </c>
      <c r="W183" s="18" t="n">
        <f aca="false">MAX(0,$T183-$V183)</f>
        <v>0</v>
      </c>
      <c r="X183" s="19" t="n">
        <f aca="false">IFERROR(INDEX(CADASTRO_PIVOS!$K$6:$K$41,MATCH($E183,CADASTRO_PIVOS!$B$6:$B$41,0)),EFICIENCIA_PADRAO)</f>
        <v>0.85</v>
      </c>
      <c r="Y183" s="18" t="n">
        <f aca="false">IF($X183&lt;=0,0,$W183/$X183)</f>
        <v>0</v>
      </c>
      <c r="Z183" s="16" t="n">
        <f aca="false">$Y183*$H183*MM_PARA_M3_HA</f>
        <v>0</v>
      </c>
      <c r="AA183" s="18" t="n">
        <f aca="false">IFERROR(INDEX(CADASTRO_PIVOS!$I$6:$I$41,MATCH($E183,CADASTRO_PIVOS!$B$6:$B$41,0)),0)</f>
        <v>714.714285714286</v>
      </c>
      <c r="AB183" s="18" t="n">
        <f aca="false">IF($Z183&lt;=0,0,$Z183/$AA183)</f>
        <v>0</v>
      </c>
      <c r="AC183" s="16" t="n">
        <f aca="false">IFERROR(INDEX(SEMANAS!$K$6:$K$71,MATCH($B183,SEMANAS!$B$6:$B$71,0)),0)</f>
        <v>147</v>
      </c>
      <c r="AD183" s="19" t="n">
        <f aca="false">IF($AC183&lt;=0,0,$AB183/$AC183)</f>
        <v>0</v>
      </c>
      <c r="AE183" s="8" t="str">
        <f aca="false">IF($K183="SEM CULTURA","SEM CULTURA",IF($AA183&lt;=0,"DADO PENDENTE",IF($AD183&gt;LIMITE_CRITICO,"INVIAVEL",IF($AD183&gt;LIMITE_ATENCAO,"CRITICO",IF($AD183&gt;LIMITE_CONFORTAVEL,"ATENCAO","OK")))))</f>
        <v>SEM CULTURA</v>
      </c>
      <c r="AF183" s="8" t="str">
        <f aca="false">$B183&amp;"|"&amp;TEXT($AD183,"0.000000")</f>
        <v>46|0.000000</v>
      </c>
      <c r="AG183" s="18" t="n">
        <f aca="false">IF($K183="SEM CULTURA",0,$T183*$H183)</f>
        <v>0</v>
      </c>
      <c r="AH183" s="18" t="n">
        <f aca="false">IF($K183="SEM CULTURA",0,$V183*$H183)</f>
        <v>0</v>
      </c>
      <c r="AI183" s="18" t="n">
        <f aca="false">IF($K183="SEM CULTURA",0,$W183*$H183)</f>
        <v>0</v>
      </c>
      <c r="AJ183" s="18" t="n">
        <f aca="false">IF($K183="SEM CULTURA",0,$S183*$H183)</f>
        <v>0</v>
      </c>
      <c r="AK183" s="8" t="str">
        <f aca="false">$E183&amp;"|"&amp;TEXT($AD183,"0.000000")</f>
        <v>PV 108|0.000000</v>
      </c>
    </row>
    <row r="184" customFormat="false" ht="15" hidden="false" customHeight="false" outlineLevel="0" collapsed="false">
      <c r="B184" s="16" t="n">
        <v>47</v>
      </c>
      <c r="C184" s="17" t="n">
        <f aca="false">DATA_INICIO_SAFRA+($B184-1)*DIAS_POR_SEMANA</f>
        <v>46587</v>
      </c>
      <c r="D184" s="17" t="n">
        <f aca="false">$C184+DIAS_POR_SEMANA-1</f>
        <v>46593</v>
      </c>
      <c r="E184" s="15" t="s">
        <v>261</v>
      </c>
      <c r="F184" s="8" t="str">
        <f aca="false">IFERROR(INDEX(CADASTRO_PIVOS!$C$6:$C$41,MATCH($E184,CADASTRO_PIVOS!$B$6:$B$41,0)),"?")</f>
        <v>RM02</v>
      </c>
      <c r="G184" s="8" t="str">
        <f aca="false">IFERROR(INDEX(CADASTRO_PIVOS!$D$6:$D$41,MATCH($E184,CADASTRO_PIVOS!$B$6:$B$41,0)),"?")</f>
        <v>TR02</v>
      </c>
      <c r="H184" s="20" t="n">
        <f aca="false">IFERROR(INDEX(CADASTRO_PIVOS!$E$6:$E$41,MATCH($E184,CADASTRO_PIVOS!$B$6:$B$41,0)),0)</f>
        <v>100.06</v>
      </c>
      <c r="I184" s="16" t="n">
        <f aca="false">IFERROR(SUMIFS(ROTACAO_RDM!$B$6:$B$71,ROTACAO_RDM!$D$6:$D$71,$E184,ROTACAO_RDM!$I$6:$I$71,"&lt;="&amp;$C184+INT(DIAS_POR_SEMANA/2),ROTACAO_RDM!$J$6:$J$71,"&gt;="&amp;$C184+INT(DIAS_POR_SEMANA/2)),0)</f>
        <v>0</v>
      </c>
      <c r="J184" s="16" t="n">
        <f aca="false">IFERROR(MATCH($I184,ROTACAO_RDM!$B$6:$B$71,0),0)</f>
        <v>0</v>
      </c>
      <c r="K184" s="8" t="str">
        <f aca="false">IF($J184=0,"SEM CULTURA",INDEX(ROTACAO_RDM!$F$6:$F$71,$J184))</f>
        <v>SEM CULTURA</v>
      </c>
      <c r="L184" s="8" t="str">
        <f aca="false">IF($J184=0,"",INDEX(ROTACAO_RDM!$G$6:$G$71,$J184))</f>
        <v/>
      </c>
      <c r="M184" s="17" t="str">
        <f aca="false">IF($J184=0,"",INDEX(ROTACAO_RDM!$I$6:$I$71,$J184))</f>
        <v/>
      </c>
      <c r="N184" s="16" t="n">
        <f aca="false">IF($J184=0,0,MAX(0,$C184+INT(DIAS_POR_SEMANA/2)-INDEX(ROTACAO_RDM!$I$6:$I$71,$J184)))</f>
        <v>0</v>
      </c>
      <c r="O184" s="19" t="n">
        <f aca="false">IF($J184=0,0,MIN(1,$N184/MAX(1,INDEX(ROTACAO_RDM!$K$6:$K$71,$J184))))</f>
        <v>0</v>
      </c>
      <c r="P184" s="16" t="n">
        <f aca="false">IF($J184=0,0,IFERROR(MATCH(INDEX(ROTACAO_RDM!$N$6:$N$71,$J184),PARAMETROS_CULTURAS!$B$6:$B$28,0),0))</f>
        <v>0</v>
      </c>
      <c r="Q184" s="8" t="str">
        <f aca="false">IF($P184=0,"-",IF($O184&lt;=INDEX(PARAMETROS_CULTURAS!$F$6:$F$28,$P184),"INICIAL",IF($O184&lt;=INDEX(PARAMETROS_CULTURAS!$F$6:$F$28,$P184)+INDEX(PARAMETROS_CULTURAS!$G$6:$G$28,$P184),"DESENVOLVIMENTO",IF($O184&lt;=INDEX(PARAMETROS_CULTURAS!$F$6:$F$28,$P184)+INDEX(PARAMETROS_CULTURAS!$G$6:$G$28,$P184)+INDEX(PARAMETROS_CULTURAS!$H$6:$H$28,$P184),"MEDIA","FINAL"))))</f>
        <v>-</v>
      </c>
      <c r="R184" s="24" t="n">
        <f aca="false">IF($P184=0,0,IF($O184&lt;=INDEX(PARAMETROS_CULTURAS!$F$6:$F$28,$P184),INDEX(PARAMETROS_CULTURAS!$K$6:$K$28,$P184),IF($O184&lt;=INDEX(PARAMETROS_CULTURAS!$F$6:$F$28,$P184)+INDEX(PARAMETROS_CULTURAS!$G$6:$G$28,$P184),INDEX(PARAMETROS_CULTURAS!$K$6:$K$28,$P184)+(INDEX(PARAMETROS_CULTURAS!$L$6:$L$28,$P184)-INDEX(PARAMETROS_CULTURAS!$K$6:$K$28,$P184))*($O184-INDEX(PARAMETROS_CULTURAS!$F$6:$F$28,$P184))/MAX(INDEX(PARAMETROS_CULTURAS!$G$6:$G$28,$P184),0.0001),IF($O184&lt;=INDEX(PARAMETROS_CULTURAS!$F$6:$F$28,$P184)+INDEX(PARAMETROS_CULTURAS!$G$6:$G$28,$P184)+INDEX(PARAMETROS_CULTURAS!$H$6:$H$28,$P184),INDEX(PARAMETROS_CULTURAS!$L$6:$L$28,$P184),INDEX(PARAMETROS_CULTURAS!$L$6:$L$28,$P184)+(INDEX(PARAMETROS_CULTURAS!$M$6:$M$28,$P184)-INDEX(PARAMETROS_CULTURAS!$L$6:$L$28,$P184))*($O184-INDEX(PARAMETROS_CULTURAS!$F$6:$F$28,$P184)-INDEX(PARAMETROS_CULTURAS!$G$6:$G$28,$P184)-INDEX(PARAMETROS_CULTURAS!$H$6:$H$28,$P184))/MAX(INDEX(PARAMETROS_CULTURAS!$I$6:$I$28,$P184),0.0001)))))</f>
        <v>0</v>
      </c>
      <c r="S184" s="18" t="n">
        <f aca="false">IFERROR(INDEX(SEMANAS!$H$6:$H$71,MATCH($B184,SEMANAS!$B$6:$B$71,0)),0)</f>
        <v>30.1</v>
      </c>
      <c r="T184" s="18" t="n">
        <f aca="false">$R184*$S184</f>
        <v>0</v>
      </c>
      <c r="U184" s="18" t="n">
        <f aca="false">IFERROR(INDEX(SEMANAS!$I$6:$I$71,MATCH($B184,SEMANAS!$B$6:$B$71,0)),0)</f>
        <v>0.7</v>
      </c>
      <c r="V184" s="18" t="n">
        <f aca="false">IFERROR(INDEX(SEMANAS!$J$6:$J$71,MATCH($B184,SEMANAS!$B$6:$B$71,0)),0)</f>
        <v>0.56</v>
      </c>
      <c r="W184" s="18" t="n">
        <f aca="false">MAX(0,$T184-$V184)</f>
        <v>0</v>
      </c>
      <c r="X184" s="19" t="n">
        <f aca="false">IFERROR(INDEX(CADASTRO_PIVOS!$K$6:$K$41,MATCH($E184,CADASTRO_PIVOS!$B$6:$B$41,0)),EFICIENCIA_PADRAO)</f>
        <v>0.85</v>
      </c>
      <c r="Y184" s="18" t="n">
        <f aca="false">IF($X184&lt;=0,0,$W184/$X184)</f>
        <v>0</v>
      </c>
      <c r="Z184" s="16" t="n">
        <f aca="false">$Y184*$H184*MM_PARA_M3_HA</f>
        <v>0</v>
      </c>
      <c r="AA184" s="18" t="n">
        <f aca="false">IFERROR(INDEX(CADASTRO_PIVOS!$I$6:$I$41,MATCH($E184,CADASTRO_PIVOS!$B$6:$B$41,0)),0)</f>
        <v>714.714285714286</v>
      </c>
      <c r="AB184" s="18" t="n">
        <f aca="false">IF($Z184&lt;=0,0,$Z184/$AA184)</f>
        <v>0</v>
      </c>
      <c r="AC184" s="16" t="n">
        <f aca="false">IFERROR(INDEX(SEMANAS!$K$6:$K$71,MATCH($B184,SEMANAS!$B$6:$B$71,0)),0)</f>
        <v>147</v>
      </c>
      <c r="AD184" s="19" t="n">
        <f aca="false">IF($AC184&lt;=0,0,$AB184/$AC184)</f>
        <v>0</v>
      </c>
      <c r="AE184" s="8" t="str">
        <f aca="false">IF($K184="SEM CULTURA","SEM CULTURA",IF($AA184&lt;=0,"DADO PENDENTE",IF($AD184&gt;LIMITE_CRITICO,"INVIAVEL",IF($AD184&gt;LIMITE_ATENCAO,"CRITICO",IF($AD184&gt;LIMITE_CONFORTAVEL,"ATENCAO","OK")))))</f>
        <v>SEM CULTURA</v>
      </c>
      <c r="AF184" s="8" t="str">
        <f aca="false">$B184&amp;"|"&amp;TEXT($AD184,"0.000000")</f>
        <v>47|0.000000</v>
      </c>
      <c r="AG184" s="18" t="n">
        <f aca="false">IF($K184="SEM CULTURA",0,$T184*$H184)</f>
        <v>0</v>
      </c>
      <c r="AH184" s="18" t="n">
        <f aca="false">IF($K184="SEM CULTURA",0,$V184*$H184)</f>
        <v>0</v>
      </c>
      <c r="AI184" s="18" t="n">
        <f aca="false">IF($K184="SEM CULTURA",0,$W184*$H184)</f>
        <v>0</v>
      </c>
      <c r="AJ184" s="18" t="n">
        <f aca="false">IF($K184="SEM CULTURA",0,$S184*$H184)</f>
        <v>0</v>
      </c>
      <c r="AK184" s="8" t="str">
        <f aca="false">$E184&amp;"|"&amp;TEXT($AD184,"0.000000")</f>
        <v>PV 108|0.000000</v>
      </c>
    </row>
    <row r="185" customFormat="false" ht="15" hidden="false" customHeight="false" outlineLevel="0" collapsed="false">
      <c r="B185" s="16" t="n">
        <v>48</v>
      </c>
      <c r="C185" s="17" t="n">
        <f aca="false">DATA_INICIO_SAFRA+($B185-1)*DIAS_POR_SEMANA</f>
        <v>46594</v>
      </c>
      <c r="D185" s="17" t="n">
        <f aca="false">$C185+DIAS_POR_SEMANA-1</f>
        <v>46600</v>
      </c>
      <c r="E185" s="15" t="s">
        <v>261</v>
      </c>
      <c r="F185" s="8" t="str">
        <f aca="false">IFERROR(INDEX(CADASTRO_PIVOS!$C$6:$C$41,MATCH($E185,CADASTRO_PIVOS!$B$6:$B$41,0)),"?")</f>
        <v>RM02</v>
      </c>
      <c r="G185" s="8" t="str">
        <f aca="false">IFERROR(INDEX(CADASTRO_PIVOS!$D$6:$D$41,MATCH($E185,CADASTRO_PIVOS!$B$6:$B$41,0)),"?")</f>
        <v>TR02</v>
      </c>
      <c r="H185" s="20" t="n">
        <f aca="false">IFERROR(INDEX(CADASTRO_PIVOS!$E$6:$E$41,MATCH($E185,CADASTRO_PIVOS!$B$6:$B$41,0)),0)</f>
        <v>100.06</v>
      </c>
      <c r="I185" s="16" t="n">
        <f aca="false">IFERROR(SUMIFS(ROTACAO_RDM!$B$6:$B$71,ROTACAO_RDM!$D$6:$D$71,$E185,ROTACAO_RDM!$I$6:$I$71,"&lt;="&amp;$C185+INT(DIAS_POR_SEMANA/2),ROTACAO_RDM!$J$6:$J$71,"&gt;="&amp;$C185+INT(DIAS_POR_SEMANA/2)),0)</f>
        <v>0</v>
      </c>
      <c r="J185" s="16" t="n">
        <f aca="false">IFERROR(MATCH($I185,ROTACAO_RDM!$B$6:$B$71,0),0)</f>
        <v>0</v>
      </c>
      <c r="K185" s="8" t="str">
        <f aca="false">IF($J185=0,"SEM CULTURA",INDEX(ROTACAO_RDM!$F$6:$F$71,$J185))</f>
        <v>SEM CULTURA</v>
      </c>
      <c r="L185" s="8" t="str">
        <f aca="false">IF($J185=0,"",INDEX(ROTACAO_RDM!$G$6:$G$71,$J185))</f>
        <v/>
      </c>
      <c r="M185" s="17" t="str">
        <f aca="false">IF($J185=0,"",INDEX(ROTACAO_RDM!$I$6:$I$71,$J185))</f>
        <v/>
      </c>
      <c r="N185" s="16" t="n">
        <f aca="false">IF($J185=0,0,MAX(0,$C185+INT(DIAS_POR_SEMANA/2)-INDEX(ROTACAO_RDM!$I$6:$I$71,$J185)))</f>
        <v>0</v>
      </c>
      <c r="O185" s="19" t="n">
        <f aca="false">IF($J185=0,0,MIN(1,$N185/MAX(1,INDEX(ROTACAO_RDM!$K$6:$K$71,$J185))))</f>
        <v>0</v>
      </c>
      <c r="P185" s="16" t="n">
        <f aca="false">IF($J185=0,0,IFERROR(MATCH(INDEX(ROTACAO_RDM!$N$6:$N$71,$J185),PARAMETROS_CULTURAS!$B$6:$B$28,0),0))</f>
        <v>0</v>
      </c>
      <c r="Q185" s="8" t="str">
        <f aca="false">IF($P185=0,"-",IF($O185&lt;=INDEX(PARAMETROS_CULTURAS!$F$6:$F$28,$P185),"INICIAL",IF($O185&lt;=INDEX(PARAMETROS_CULTURAS!$F$6:$F$28,$P185)+INDEX(PARAMETROS_CULTURAS!$G$6:$G$28,$P185),"DESENVOLVIMENTO",IF($O185&lt;=INDEX(PARAMETROS_CULTURAS!$F$6:$F$28,$P185)+INDEX(PARAMETROS_CULTURAS!$G$6:$G$28,$P185)+INDEX(PARAMETROS_CULTURAS!$H$6:$H$28,$P185),"MEDIA","FINAL"))))</f>
        <v>-</v>
      </c>
      <c r="R185" s="24" t="n">
        <f aca="false">IF($P185=0,0,IF($O185&lt;=INDEX(PARAMETROS_CULTURAS!$F$6:$F$28,$P185),INDEX(PARAMETROS_CULTURAS!$K$6:$K$28,$P185),IF($O185&lt;=INDEX(PARAMETROS_CULTURAS!$F$6:$F$28,$P185)+INDEX(PARAMETROS_CULTURAS!$G$6:$G$28,$P185),INDEX(PARAMETROS_CULTURAS!$K$6:$K$28,$P185)+(INDEX(PARAMETROS_CULTURAS!$L$6:$L$28,$P185)-INDEX(PARAMETROS_CULTURAS!$K$6:$K$28,$P185))*($O185-INDEX(PARAMETROS_CULTURAS!$F$6:$F$28,$P185))/MAX(INDEX(PARAMETROS_CULTURAS!$G$6:$G$28,$P185),0.0001),IF($O185&lt;=INDEX(PARAMETROS_CULTURAS!$F$6:$F$28,$P185)+INDEX(PARAMETROS_CULTURAS!$G$6:$G$28,$P185)+INDEX(PARAMETROS_CULTURAS!$H$6:$H$28,$P185),INDEX(PARAMETROS_CULTURAS!$L$6:$L$28,$P185),INDEX(PARAMETROS_CULTURAS!$L$6:$L$28,$P185)+(INDEX(PARAMETROS_CULTURAS!$M$6:$M$28,$P185)-INDEX(PARAMETROS_CULTURAS!$L$6:$L$28,$P185))*($O185-INDEX(PARAMETROS_CULTURAS!$F$6:$F$28,$P185)-INDEX(PARAMETROS_CULTURAS!$G$6:$G$28,$P185)-INDEX(PARAMETROS_CULTURAS!$H$6:$H$28,$P185))/MAX(INDEX(PARAMETROS_CULTURAS!$I$6:$I$28,$P185),0.0001)))))</f>
        <v>0</v>
      </c>
      <c r="S185" s="18" t="n">
        <f aca="false">IFERROR(INDEX(SEMANAS!$H$6:$H$71,MATCH($B185,SEMANAS!$B$6:$B$71,0)),0)</f>
        <v>31</v>
      </c>
      <c r="T185" s="18" t="n">
        <f aca="false">$R185*$S185</f>
        <v>0</v>
      </c>
      <c r="U185" s="18" t="n">
        <f aca="false">IFERROR(INDEX(SEMANAS!$I$6:$I$71,MATCH($B185,SEMANAS!$B$6:$B$71,0)),0)</f>
        <v>0.76</v>
      </c>
      <c r="V185" s="18" t="n">
        <f aca="false">IFERROR(INDEX(SEMANAS!$J$6:$J$71,MATCH($B185,SEMANAS!$B$6:$B$71,0)),0)</f>
        <v>0.608</v>
      </c>
      <c r="W185" s="18" t="n">
        <f aca="false">MAX(0,$T185-$V185)</f>
        <v>0</v>
      </c>
      <c r="X185" s="19" t="n">
        <f aca="false">IFERROR(INDEX(CADASTRO_PIVOS!$K$6:$K$41,MATCH($E185,CADASTRO_PIVOS!$B$6:$B$41,0)),EFICIENCIA_PADRAO)</f>
        <v>0.85</v>
      </c>
      <c r="Y185" s="18" t="n">
        <f aca="false">IF($X185&lt;=0,0,$W185/$X185)</f>
        <v>0</v>
      </c>
      <c r="Z185" s="16" t="n">
        <f aca="false">$Y185*$H185*MM_PARA_M3_HA</f>
        <v>0</v>
      </c>
      <c r="AA185" s="18" t="n">
        <f aca="false">IFERROR(INDEX(CADASTRO_PIVOS!$I$6:$I$41,MATCH($E185,CADASTRO_PIVOS!$B$6:$B$41,0)),0)</f>
        <v>714.714285714286</v>
      </c>
      <c r="AB185" s="18" t="n">
        <f aca="false">IF($Z185&lt;=0,0,$Z185/$AA185)</f>
        <v>0</v>
      </c>
      <c r="AC185" s="16" t="n">
        <f aca="false">IFERROR(INDEX(SEMANAS!$K$6:$K$71,MATCH($B185,SEMANAS!$B$6:$B$71,0)),0)</f>
        <v>147</v>
      </c>
      <c r="AD185" s="19" t="n">
        <f aca="false">IF($AC185&lt;=0,0,$AB185/$AC185)</f>
        <v>0</v>
      </c>
      <c r="AE185" s="8" t="str">
        <f aca="false">IF($K185="SEM CULTURA","SEM CULTURA",IF($AA185&lt;=0,"DADO PENDENTE",IF($AD185&gt;LIMITE_CRITICO,"INVIAVEL",IF($AD185&gt;LIMITE_ATENCAO,"CRITICO",IF($AD185&gt;LIMITE_CONFORTAVEL,"ATENCAO","OK")))))</f>
        <v>SEM CULTURA</v>
      </c>
      <c r="AF185" s="8" t="str">
        <f aca="false">$B185&amp;"|"&amp;TEXT($AD185,"0.000000")</f>
        <v>48|0.000000</v>
      </c>
      <c r="AG185" s="18" t="n">
        <f aca="false">IF($K185="SEM CULTURA",0,$T185*$H185)</f>
        <v>0</v>
      </c>
      <c r="AH185" s="18" t="n">
        <f aca="false">IF($K185="SEM CULTURA",0,$V185*$H185)</f>
        <v>0</v>
      </c>
      <c r="AI185" s="18" t="n">
        <f aca="false">IF($K185="SEM CULTURA",0,$W185*$H185)</f>
        <v>0</v>
      </c>
      <c r="AJ185" s="18" t="n">
        <f aca="false">IF($K185="SEM CULTURA",0,$S185*$H185)</f>
        <v>0</v>
      </c>
      <c r="AK185" s="8" t="str">
        <f aca="false">$E185&amp;"|"&amp;TEXT($AD185,"0.000000")</f>
        <v>PV 108|0.000000</v>
      </c>
    </row>
    <row r="186" customFormat="false" ht="15" hidden="false" customHeight="false" outlineLevel="0" collapsed="false">
      <c r="B186" s="16" t="n">
        <v>49</v>
      </c>
      <c r="C186" s="17" t="n">
        <f aca="false">DATA_INICIO_SAFRA+($B186-1)*DIAS_POR_SEMANA</f>
        <v>46601</v>
      </c>
      <c r="D186" s="17" t="n">
        <f aca="false">$C186+DIAS_POR_SEMANA-1</f>
        <v>46607</v>
      </c>
      <c r="E186" s="15" t="s">
        <v>261</v>
      </c>
      <c r="F186" s="8" t="str">
        <f aca="false">IFERROR(INDEX(CADASTRO_PIVOS!$C$6:$C$41,MATCH($E186,CADASTRO_PIVOS!$B$6:$B$41,0)),"?")</f>
        <v>RM02</v>
      </c>
      <c r="G186" s="8" t="str">
        <f aca="false">IFERROR(INDEX(CADASTRO_PIVOS!$D$6:$D$41,MATCH($E186,CADASTRO_PIVOS!$B$6:$B$41,0)),"?")</f>
        <v>TR02</v>
      </c>
      <c r="H186" s="20" t="n">
        <f aca="false">IFERROR(INDEX(CADASTRO_PIVOS!$E$6:$E$41,MATCH($E186,CADASTRO_PIVOS!$B$6:$B$41,0)),0)</f>
        <v>100.06</v>
      </c>
      <c r="I186" s="16" t="n">
        <f aca="false">IFERROR(SUMIFS(ROTACAO_RDM!$B$6:$B$71,ROTACAO_RDM!$D$6:$D$71,$E186,ROTACAO_RDM!$I$6:$I$71,"&lt;="&amp;$C186+INT(DIAS_POR_SEMANA/2),ROTACAO_RDM!$J$6:$J$71,"&gt;="&amp;$C186+INT(DIAS_POR_SEMANA/2)),0)</f>
        <v>0</v>
      </c>
      <c r="J186" s="16" t="n">
        <f aca="false">IFERROR(MATCH($I186,ROTACAO_RDM!$B$6:$B$71,0),0)</f>
        <v>0</v>
      </c>
      <c r="K186" s="8" t="str">
        <f aca="false">IF($J186=0,"SEM CULTURA",INDEX(ROTACAO_RDM!$F$6:$F$71,$J186))</f>
        <v>SEM CULTURA</v>
      </c>
      <c r="L186" s="8" t="str">
        <f aca="false">IF($J186=0,"",INDEX(ROTACAO_RDM!$G$6:$G$71,$J186))</f>
        <v/>
      </c>
      <c r="M186" s="17" t="str">
        <f aca="false">IF($J186=0,"",INDEX(ROTACAO_RDM!$I$6:$I$71,$J186))</f>
        <v/>
      </c>
      <c r="N186" s="16" t="n">
        <f aca="false">IF($J186=0,0,MAX(0,$C186+INT(DIAS_POR_SEMANA/2)-INDEX(ROTACAO_RDM!$I$6:$I$71,$J186)))</f>
        <v>0</v>
      </c>
      <c r="O186" s="19" t="n">
        <f aca="false">IF($J186=0,0,MIN(1,$N186/MAX(1,INDEX(ROTACAO_RDM!$K$6:$K$71,$J186))))</f>
        <v>0</v>
      </c>
      <c r="P186" s="16" t="n">
        <f aca="false">IF($J186=0,0,IFERROR(MATCH(INDEX(ROTACAO_RDM!$N$6:$N$71,$J186),PARAMETROS_CULTURAS!$B$6:$B$28,0),0))</f>
        <v>0</v>
      </c>
      <c r="Q186" s="8" t="str">
        <f aca="false">IF($P186=0,"-",IF($O186&lt;=INDEX(PARAMETROS_CULTURAS!$F$6:$F$28,$P186),"INICIAL",IF($O186&lt;=INDEX(PARAMETROS_CULTURAS!$F$6:$F$28,$P186)+INDEX(PARAMETROS_CULTURAS!$G$6:$G$28,$P186),"DESENVOLVIMENTO",IF($O186&lt;=INDEX(PARAMETROS_CULTURAS!$F$6:$F$28,$P186)+INDEX(PARAMETROS_CULTURAS!$G$6:$G$28,$P186)+INDEX(PARAMETROS_CULTURAS!$H$6:$H$28,$P186),"MEDIA","FINAL"))))</f>
        <v>-</v>
      </c>
      <c r="R186" s="24" t="n">
        <f aca="false">IF($P186=0,0,IF($O186&lt;=INDEX(PARAMETROS_CULTURAS!$F$6:$F$28,$P186),INDEX(PARAMETROS_CULTURAS!$K$6:$K$28,$P186),IF($O186&lt;=INDEX(PARAMETROS_CULTURAS!$F$6:$F$28,$P186)+INDEX(PARAMETROS_CULTURAS!$G$6:$G$28,$P186),INDEX(PARAMETROS_CULTURAS!$K$6:$K$28,$P186)+(INDEX(PARAMETROS_CULTURAS!$L$6:$L$28,$P186)-INDEX(PARAMETROS_CULTURAS!$K$6:$K$28,$P186))*($O186-INDEX(PARAMETROS_CULTURAS!$F$6:$F$28,$P186))/MAX(INDEX(PARAMETROS_CULTURAS!$G$6:$G$28,$P186),0.0001),IF($O186&lt;=INDEX(PARAMETROS_CULTURAS!$F$6:$F$28,$P186)+INDEX(PARAMETROS_CULTURAS!$G$6:$G$28,$P186)+INDEX(PARAMETROS_CULTURAS!$H$6:$H$28,$P186),INDEX(PARAMETROS_CULTURAS!$L$6:$L$28,$P186),INDEX(PARAMETROS_CULTURAS!$L$6:$L$28,$P186)+(INDEX(PARAMETROS_CULTURAS!$M$6:$M$28,$P186)-INDEX(PARAMETROS_CULTURAS!$L$6:$L$28,$P186))*($O186-INDEX(PARAMETROS_CULTURAS!$F$6:$F$28,$P186)-INDEX(PARAMETROS_CULTURAS!$G$6:$G$28,$P186)-INDEX(PARAMETROS_CULTURAS!$H$6:$H$28,$P186))/MAX(INDEX(PARAMETROS_CULTURAS!$I$6:$I$28,$P186),0.0001)))))</f>
        <v>0</v>
      </c>
      <c r="S186" s="18" t="n">
        <f aca="false">IFERROR(INDEX(SEMANAS!$H$6:$H$71,MATCH($B186,SEMANAS!$B$6:$B$71,0)),0)</f>
        <v>36.4</v>
      </c>
      <c r="T186" s="18" t="n">
        <f aca="false">$R186*$S186</f>
        <v>0</v>
      </c>
      <c r="U186" s="18" t="n">
        <f aca="false">IFERROR(INDEX(SEMANAS!$I$6:$I$71,MATCH($B186,SEMANAS!$B$6:$B$71,0)),0)</f>
        <v>1.12</v>
      </c>
      <c r="V186" s="18" t="n">
        <f aca="false">IFERROR(INDEX(SEMANAS!$J$6:$J$71,MATCH($B186,SEMANAS!$B$6:$B$71,0)),0)</f>
        <v>0.896</v>
      </c>
      <c r="W186" s="18" t="n">
        <f aca="false">MAX(0,$T186-$V186)</f>
        <v>0</v>
      </c>
      <c r="X186" s="19" t="n">
        <f aca="false">IFERROR(INDEX(CADASTRO_PIVOS!$K$6:$K$41,MATCH($E186,CADASTRO_PIVOS!$B$6:$B$41,0)),EFICIENCIA_PADRAO)</f>
        <v>0.85</v>
      </c>
      <c r="Y186" s="18" t="n">
        <f aca="false">IF($X186&lt;=0,0,$W186/$X186)</f>
        <v>0</v>
      </c>
      <c r="Z186" s="16" t="n">
        <f aca="false">$Y186*$H186*MM_PARA_M3_HA</f>
        <v>0</v>
      </c>
      <c r="AA186" s="18" t="n">
        <f aca="false">IFERROR(INDEX(CADASTRO_PIVOS!$I$6:$I$41,MATCH($E186,CADASTRO_PIVOS!$B$6:$B$41,0)),0)</f>
        <v>714.714285714286</v>
      </c>
      <c r="AB186" s="18" t="n">
        <f aca="false">IF($Z186&lt;=0,0,$Z186/$AA186)</f>
        <v>0</v>
      </c>
      <c r="AC186" s="16" t="n">
        <f aca="false">IFERROR(INDEX(SEMANAS!$K$6:$K$71,MATCH($B186,SEMANAS!$B$6:$B$71,0)),0)</f>
        <v>147</v>
      </c>
      <c r="AD186" s="19" t="n">
        <f aca="false">IF($AC186&lt;=0,0,$AB186/$AC186)</f>
        <v>0</v>
      </c>
      <c r="AE186" s="8" t="str">
        <f aca="false">IF($K186="SEM CULTURA","SEM CULTURA",IF($AA186&lt;=0,"DADO PENDENTE",IF($AD186&gt;LIMITE_CRITICO,"INVIAVEL",IF($AD186&gt;LIMITE_ATENCAO,"CRITICO",IF($AD186&gt;LIMITE_CONFORTAVEL,"ATENCAO","OK")))))</f>
        <v>SEM CULTURA</v>
      </c>
      <c r="AF186" s="8" t="str">
        <f aca="false">$B186&amp;"|"&amp;TEXT($AD186,"0.000000")</f>
        <v>49|0.000000</v>
      </c>
      <c r="AG186" s="18" t="n">
        <f aca="false">IF($K186="SEM CULTURA",0,$T186*$H186)</f>
        <v>0</v>
      </c>
      <c r="AH186" s="18" t="n">
        <f aca="false">IF($K186="SEM CULTURA",0,$V186*$H186)</f>
        <v>0</v>
      </c>
      <c r="AI186" s="18" t="n">
        <f aca="false">IF($K186="SEM CULTURA",0,$W186*$H186)</f>
        <v>0</v>
      </c>
      <c r="AJ186" s="18" t="n">
        <f aca="false">IF($K186="SEM CULTURA",0,$S186*$H186)</f>
        <v>0</v>
      </c>
      <c r="AK186" s="8" t="str">
        <f aca="false">$E186&amp;"|"&amp;TEXT($AD186,"0.000000")</f>
        <v>PV 108|0.000000</v>
      </c>
    </row>
    <row r="187" customFormat="false" ht="15" hidden="false" customHeight="false" outlineLevel="0" collapsed="false">
      <c r="B187" s="16" t="n">
        <v>50</v>
      </c>
      <c r="C187" s="17" t="n">
        <f aca="false">DATA_INICIO_SAFRA+($B187-1)*DIAS_POR_SEMANA</f>
        <v>46608</v>
      </c>
      <c r="D187" s="17" t="n">
        <f aca="false">$C187+DIAS_POR_SEMANA-1</f>
        <v>46614</v>
      </c>
      <c r="E187" s="15" t="s">
        <v>261</v>
      </c>
      <c r="F187" s="8" t="str">
        <f aca="false">IFERROR(INDEX(CADASTRO_PIVOS!$C$6:$C$41,MATCH($E187,CADASTRO_PIVOS!$B$6:$B$41,0)),"?")</f>
        <v>RM02</v>
      </c>
      <c r="G187" s="8" t="str">
        <f aca="false">IFERROR(INDEX(CADASTRO_PIVOS!$D$6:$D$41,MATCH($E187,CADASTRO_PIVOS!$B$6:$B$41,0)),"?")</f>
        <v>TR02</v>
      </c>
      <c r="H187" s="20" t="n">
        <f aca="false">IFERROR(INDEX(CADASTRO_PIVOS!$E$6:$E$41,MATCH($E187,CADASTRO_PIVOS!$B$6:$B$41,0)),0)</f>
        <v>100.06</v>
      </c>
      <c r="I187" s="16" t="n">
        <f aca="false">IFERROR(SUMIFS(ROTACAO_RDM!$B$6:$B$71,ROTACAO_RDM!$D$6:$D$71,$E187,ROTACAO_RDM!$I$6:$I$71,"&lt;="&amp;$C187+INT(DIAS_POR_SEMANA/2),ROTACAO_RDM!$J$6:$J$71,"&gt;="&amp;$C187+INT(DIAS_POR_SEMANA/2)),0)</f>
        <v>0</v>
      </c>
      <c r="J187" s="16" t="n">
        <f aca="false">IFERROR(MATCH($I187,ROTACAO_RDM!$B$6:$B$71,0),0)</f>
        <v>0</v>
      </c>
      <c r="K187" s="8" t="str">
        <f aca="false">IF($J187=0,"SEM CULTURA",INDEX(ROTACAO_RDM!$F$6:$F$71,$J187))</f>
        <v>SEM CULTURA</v>
      </c>
      <c r="L187" s="8" t="str">
        <f aca="false">IF($J187=0,"",INDEX(ROTACAO_RDM!$G$6:$G$71,$J187))</f>
        <v/>
      </c>
      <c r="M187" s="17" t="str">
        <f aca="false">IF($J187=0,"",INDEX(ROTACAO_RDM!$I$6:$I$71,$J187))</f>
        <v/>
      </c>
      <c r="N187" s="16" t="n">
        <f aca="false">IF($J187=0,0,MAX(0,$C187+INT(DIAS_POR_SEMANA/2)-INDEX(ROTACAO_RDM!$I$6:$I$71,$J187)))</f>
        <v>0</v>
      </c>
      <c r="O187" s="19" t="n">
        <f aca="false">IF($J187=0,0,MIN(1,$N187/MAX(1,INDEX(ROTACAO_RDM!$K$6:$K$71,$J187))))</f>
        <v>0</v>
      </c>
      <c r="P187" s="16" t="n">
        <f aca="false">IF($J187=0,0,IFERROR(MATCH(INDEX(ROTACAO_RDM!$N$6:$N$71,$J187),PARAMETROS_CULTURAS!$B$6:$B$28,0),0))</f>
        <v>0</v>
      </c>
      <c r="Q187" s="8" t="str">
        <f aca="false">IF($P187=0,"-",IF($O187&lt;=INDEX(PARAMETROS_CULTURAS!$F$6:$F$28,$P187),"INICIAL",IF($O187&lt;=INDEX(PARAMETROS_CULTURAS!$F$6:$F$28,$P187)+INDEX(PARAMETROS_CULTURAS!$G$6:$G$28,$P187),"DESENVOLVIMENTO",IF($O187&lt;=INDEX(PARAMETROS_CULTURAS!$F$6:$F$28,$P187)+INDEX(PARAMETROS_CULTURAS!$G$6:$G$28,$P187)+INDEX(PARAMETROS_CULTURAS!$H$6:$H$28,$P187),"MEDIA","FINAL"))))</f>
        <v>-</v>
      </c>
      <c r="R187" s="24" t="n">
        <f aca="false">IF($P187=0,0,IF($O187&lt;=INDEX(PARAMETROS_CULTURAS!$F$6:$F$28,$P187),INDEX(PARAMETROS_CULTURAS!$K$6:$K$28,$P187),IF($O187&lt;=INDEX(PARAMETROS_CULTURAS!$F$6:$F$28,$P187)+INDEX(PARAMETROS_CULTURAS!$G$6:$G$28,$P187),INDEX(PARAMETROS_CULTURAS!$K$6:$K$28,$P187)+(INDEX(PARAMETROS_CULTURAS!$L$6:$L$28,$P187)-INDEX(PARAMETROS_CULTURAS!$K$6:$K$28,$P187))*($O187-INDEX(PARAMETROS_CULTURAS!$F$6:$F$28,$P187))/MAX(INDEX(PARAMETROS_CULTURAS!$G$6:$G$28,$P187),0.0001),IF($O187&lt;=INDEX(PARAMETROS_CULTURAS!$F$6:$F$28,$P187)+INDEX(PARAMETROS_CULTURAS!$G$6:$G$28,$P187)+INDEX(PARAMETROS_CULTURAS!$H$6:$H$28,$P187),INDEX(PARAMETROS_CULTURAS!$L$6:$L$28,$P187),INDEX(PARAMETROS_CULTURAS!$L$6:$L$28,$P187)+(INDEX(PARAMETROS_CULTURAS!$M$6:$M$28,$P187)-INDEX(PARAMETROS_CULTURAS!$L$6:$L$28,$P187))*($O187-INDEX(PARAMETROS_CULTURAS!$F$6:$F$28,$P187)-INDEX(PARAMETROS_CULTURAS!$G$6:$G$28,$P187)-INDEX(PARAMETROS_CULTURAS!$H$6:$H$28,$P187))/MAX(INDEX(PARAMETROS_CULTURAS!$I$6:$I$28,$P187),0.0001)))))</f>
        <v>0</v>
      </c>
      <c r="S187" s="18" t="n">
        <f aca="false">IFERROR(INDEX(SEMANAS!$H$6:$H$71,MATCH($B187,SEMANAS!$B$6:$B$71,0)),0)</f>
        <v>36.4</v>
      </c>
      <c r="T187" s="18" t="n">
        <f aca="false">$R187*$S187</f>
        <v>0</v>
      </c>
      <c r="U187" s="18" t="n">
        <f aca="false">IFERROR(INDEX(SEMANAS!$I$6:$I$71,MATCH($B187,SEMANAS!$B$6:$B$71,0)),0)</f>
        <v>1.12</v>
      </c>
      <c r="V187" s="18" t="n">
        <f aca="false">IFERROR(INDEX(SEMANAS!$J$6:$J$71,MATCH($B187,SEMANAS!$B$6:$B$71,0)),0)</f>
        <v>0.896</v>
      </c>
      <c r="W187" s="18" t="n">
        <f aca="false">MAX(0,$T187-$V187)</f>
        <v>0</v>
      </c>
      <c r="X187" s="19" t="n">
        <f aca="false">IFERROR(INDEX(CADASTRO_PIVOS!$K$6:$K$41,MATCH($E187,CADASTRO_PIVOS!$B$6:$B$41,0)),EFICIENCIA_PADRAO)</f>
        <v>0.85</v>
      </c>
      <c r="Y187" s="18" t="n">
        <f aca="false">IF($X187&lt;=0,0,$W187/$X187)</f>
        <v>0</v>
      </c>
      <c r="Z187" s="16" t="n">
        <f aca="false">$Y187*$H187*MM_PARA_M3_HA</f>
        <v>0</v>
      </c>
      <c r="AA187" s="18" t="n">
        <f aca="false">IFERROR(INDEX(CADASTRO_PIVOS!$I$6:$I$41,MATCH($E187,CADASTRO_PIVOS!$B$6:$B$41,0)),0)</f>
        <v>714.714285714286</v>
      </c>
      <c r="AB187" s="18" t="n">
        <f aca="false">IF($Z187&lt;=0,0,$Z187/$AA187)</f>
        <v>0</v>
      </c>
      <c r="AC187" s="16" t="n">
        <f aca="false">IFERROR(INDEX(SEMANAS!$K$6:$K$71,MATCH($B187,SEMANAS!$B$6:$B$71,0)),0)</f>
        <v>147</v>
      </c>
      <c r="AD187" s="19" t="n">
        <f aca="false">IF($AC187&lt;=0,0,$AB187/$AC187)</f>
        <v>0</v>
      </c>
      <c r="AE187" s="8" t="str">
        <f aca="false">IF($K187="SEM CULTURA","SEM CULTURA",IF($AA187&lt;=0,"DADO PENDENTE",IF($AD187&gt;LIMITE_CRITICO,"INVIAVEL",IF($AD187&gt;LIMITE_ATENCAO,"CRITICO",IF($AD187&gt;LIMITE_CONFORTAVEL,"ATENCAO","OK")))))</f>
        <v>SEM CULTURA</v>
      </c>
      <c r="AF187" s="8" t="str">
        <f aca="false">$B187&amp;"|"&amp;TEXT($AD187,"0.000000")</f>
        <v>50|0.000000</v>
      </c>
      <c r="AG187" s="18" t="n">
        <f aca="false">IF($K187="SEM CULTURA",0,$T187*$H187)</f>
        <v>0</v>
      </c>
      <c r="AH187" s="18" t="n">
        <f aca="false">IF($K187="SEM CULTURA",0,$V187*$H187)</f>
        <v>0</v>
      </c>
      <c r="AI187" s="18" t="n">
        <f aca="false">IF($K187="SEM CULTURA",0,$W187*$H187)</f>
        <v>0</v>
      </c>
      <c r="AJ187" s="18" t="n">
        <f aca="false">IF($K187="SEM CULTURA",0,$S187*$H187)</f>
        <v>0</v>
      </c>
      <c r="AK187" s="8" t="str">
        <f aca="false">$E187&amp;"|"&amp;TEXT($AD187,"0.000000")</f>
        <v>PV 108|0.000000</v>
      </c>
    </row>
    <row r="188" customFormat="false" ht="15" hidden="false" customHeight="false" outlineLevel="0" collapsed="false">
      <c r="B188" s="16" t="n">
        <v>51</v>
      </c>
      <c r="C188" s="17" t="n">
        <f aca="false">DATA_INICIO_SAFRA+($B188-1)*DIAS_POR_SEMANA</f>
        <v>46615</v>
      </c>
      <c r="D188" s="17" t="n">
        <f aca="false">$C188+DIAS_POR_SEMANA-1</f>
        <v>46621</v>
      </c>
      <c r="E188" s="15" t="s">
        <v>261</v>
      </c>
      <c r="F188" s="8" t="str">
        <f aca="false">IFERROR(INDEX(CADASTRO_PIVOS!$C$6:$C$41,MATCH($E188,CADASTRO_PIVOS!$B$6:$B$41,0)),"?")</f>
        <v>RM02</v>
      </c>
      <c r="G188" s="8" t="str">
        <f aca="false">IFERROR(INDEX(CADASTRO_PIVOS!$D$6:$D$41,MATCH($E188,CADASTRO_PIVOS!$B$6:$B$41,0)),"?")</f>
        <v>TR02</v>
      </c>
      <c r="H188" s="20" t="n">
        <f aca="false">IFERROR(INDEX(CADASTRO_PIVOS!$E$6:$E$41,MATCH($E188,CADASTRO_PIVOS!$B$6:$B$41,0)),0)</f>
        <v>100.06</v>
      </c>
      <c r="I188" s="16" t="n">
        <f aca="false">IFERROR(SUMIFS(ROTACAO_RDM!$B$6:$B$71,ROTACAO_RDM!$D$6:$D$71,$E188,ROTACAO_RDM!$I$6:$I$71,"&lt;="&amp;$C188+INT(DIAS_POR_SEMANA/2),ROTACAO_RDM!$J$6:$J$71,"&gt;="&amp;$C188+INT(DIAS_POR_SEMANA/2)),0)</f>
        <v>0</v>
      </c>
      <c r="J188" s="16" t="n">
        <f aca="false">IFERROR(MATCH($I188,ROTACAO_RDM!$B$6:$B$71,0),0)</f>
        <v>0</v>
      </c>
      <c r="K188" s="8" t="str">
        <f aca="false">IF($J188=0,"SEM CULTURA",INDEX(ROTACAO_RDM!$F$6:$F$71,$J188))</f>
        <v>SEM CULTURA</v>
      </c>
      <c r="L188" s="8" t="str">
        <f aca="false">IF($J188=0,"",INDEX(ROTACAO_RDM!$G$6:$G$71,$J188))</f>
        <v/>
      </c>
      <c r="M188" s="17" t="str">
        <f aca="false">IF($J188=0,"",INDEX(ROTACAO_RDM!$I$6:$I$71,$J188))</f>
        <v/>
      </c>
      <c r="N188" s="16" t="n">
        <f aca="false">IF($J188=0,0,MAX(0,$C188+INT(DIAS_POR_SEMANA/2)-INDEX(ROTACAO_RDM!$I$6:$I$71,$J188)))</f>
        <v>0</v>
      </c>
      <c r="O188" s="19" t="n">
        <f aca="false">IF($J188=0,0,MIN(1,$N188/MAX(1,INDEX(ROTACAO_RDM!$K$6:$K$71,$J188))))</f>
        <v>0</v>
      </c>
      <c r="P188" s="16" t="n">
        <f aca="false">IF($J188=0,0,IFERROR(MATCH(INDEX(ROTACAO_RDM!$N$6:$N$71,$J188),PARAMETROS_CULTURAS!$B$6:$B$28,0),0))</f>
        <v>0</v>
      </c>
      <c r="Q188" s="8" t="str">
        <f aca="false">IF($P188=0,"-",IF($O188&lt;=INDEX(PARAMETROS_CULTURAS!$F$6:$F$28,$P188),"INICIAL",IF($O188&lt;=INDEX(PARAMETROS_CULTURAS!$F$6:$F$28,$P188)+INDEX(PARAMETROS_CULTURAS!$G$6:$G$28,$P188),"DESENVOLVIMENTO",IF($O188&lt;=INDEX(PARAMETROS_CULTURAS!$F$6:$F$28,$P188)+INDEX(PARAMETROS_CULTURAS!$G$6:$G$28,$P188)+INDEX(PARAMETROS_CULTURAS!$H$6:$H$28,$P188),"MEDIA","FINAL"))))</f>
        <v>-</v>
      </c>
      <c r="R188" s="24" t="n">
        <f aca="false">IF($P188=0,0,IF($O188&lt;=INDEX(PARAMETROS_CULTURAS!$F$6:$F$28,$P188),INDEX(PARAMETROS_CULTURAS!$K$6:$K$28,$P188),IF($O188&lt;=INDEX(PARAMETROS_CULTURAS!$F$6:$F$28,$P188)+INDEX(PARAMETROS_CULTURAS!$G$6:$G$28,$P188),INDEX(PARAMETROS_CULTURAS!$K$6:$K$28,$P188)+(INDEX(PARAMETROS_CULTURAS!$L$6:$L$28,$P188)-INDEX(PARAMETROS_CULTURAS!$K$6:$K$28,$P188))*($O188-INDEX(PARAMETROS_CULTURAS!$F$6:$F$28,$P188))/MAX(INDEX(PARAMETROS_CULTURAS!$G$6:$G$28,$P188),0.0001),IF($O188&lt;=INDEX(PARAMETROS_CULTURAS!$F$6:$F$28,$P188)+INDEX(PARAMETROS_CULTURAS!$G$6:$G$28,$P188)+INDEX(PARAMETROS_CULTURAS!$H$6:$H$28,$P188),INDEX(PARAMETROS_CULTURAS!$L$6:$L$28,$P188),INDEX(PARAMETROS_CULTURAS!$L$6:$L$28,$P188)+(INDEX(PARAMETROS_CULTURAS!$M$6:$M$28,$P188)-INDEX(PARAMETROS_CULTURAS!$L$6:$L$28,$P188))*($O188-INDEX(PARAMETROS_CULTURAS!$F$6:$F$28,$P188)-INDEX(PARAMETROS_CULTURAS!$G$6:$G$28,$P188)-INDEX(PARAMETROS_CULTURAS!$H$6:$H$28,$P188))/MAX(INDEX(PARAMETROS_CULTURAS!$I$6:$I$28,$P188),0.0001)))))</f>
        <v>0</v>
      </c>
      <c r="S188" s="18" t="n">
        <f aca="false">IFERROR(INDEX(SEMANAS!$H$6:$H$71,MATCH($B188,SEMANAS!$B$6:$B$71,0)),0)</f>
        <v>36.4</v>
      </c>
      <c r="T188" s="18" t="n">
        <f aca="false">$R188*$S188</f>
        <v>0</v>
      </c>
      <c r="U188" s="18" t="n">
        <f aca="false">IFERROR(INDEX(SEMANAS!$I$6:$I$71,MATCH($B188,SEMANAS!$B$6:$B$71,0)),0)</f>
        <v>1.12</v>
      </c>
      <c r="V188" s="18" t="n">
        <f aca="false">IFERROR(INDEX(SEMANAS!$J$6:$J$71,MATCH($B188,SEMANAS!$B$6:$B$71,0)),0)</f>
        <v>0.896</v>
      </c>
      <c r="W188" s="18" t="n">
        <f aca="false">MAX(0,$T188-$V188)</f>
        <v>0</v>
      </c>
      <c r="X188" s="19" t="n">
        <f aca="false">IFERROR(INDEX(CADASTRO_PIVOS!$K$6:$K$41,MATCH($E188,CADASTRO_PIVOS!$B$6:$B$41,0)),EFICIENCIA_PADRAO)</f>
        <v>0.85</v>
      </c>
      <c r="Y188" s="18" t="n">
        <f aca="false">IF($X188&lt;=0,0,$W188/$X188)</f>
        <v>0</v>
      </c>
      <c r="Z188" s="16" t="n">
        <f aca="false">$Y188*$H188*MM_PARA_M3_HA</f>
        <v>0</v>
      </c>
      <c r="AA188" s="18" t="n">
        <f aca="false">IFERROR(INDEX(CADASTRO_PIVOS!$I$6:$I$41,MATCH($E188,CADASTRO_PIVOS!$B$6:$B$41,0)),0)</f>
        <v>714.714285714286</v>
      </c>
      <c r="AB188" s="18" t="n">
        <f aca="false">IF($Z188&lt;=0,0,$Z188/$AA188)</f>
        <v>0</v>
      </c>
      <c r="AC188" s="16" t="n">
        <f aca="false">IFERROR(INDEX(SEMANAS!$K$6:$K$71,MATCH($B188,SEMANAS!$B$6:$B$71,0)),0)</f>
        <v>147</v>
      </c>
      <c r="AD188" s="19" t="n">
        <f aca="false">IF($AC188&lt;=0,0,$AB188/$AC188)</f>
        <v>0</v>
      </c>
      <c r="AE188" s="8" t="str">
        <f aca="false">IF($K188="SEM CULTURA","SEM CULTURA",IF($AA188&lt;=0,"DADO PENDENTE",IF($AD188&gt;LIMITE_CRITICO,"INVIAVEL",IF($AD188&gt;LIMITE_ATENCAO,"CRITICO",IF($AD188&gt;LIMITE_CONFORTAVEL,"ATENCAO","OK")))))</f>
        <v>SEM CULTURA</v>
      </c>
      <c r="AF188" s="8" t="str">
        <f aca="false">$B188&amp;"|"&amp;TEXT($AD188,"0.000000")</f>
        <v>51|0.000000</v>
      </c>
      <c r="AG188" s="18" t="n">
        <f aca="false">IF($K188="SEM CULTURA",0,$T188*$H188)</f>
        <v>0</v>
      </c>
      <c r="AH188" s="18" t="n">
        <f aca="false">IF($K188="SEM CULTURA",0,$V188*$H188)</f>
        <v>0</v>
      </c>
      <c r="AI188" s="18" t="n">
        <f aca="false">IF($K188="SEM CULTURA",0,$W188*$H188)</f>
        <v>0</v>
      </c>
      <c r="AJ188" s="18" t="n">
        <f aca="false">IF($K188="SEM CULTURA",0,$S188*$H188)</f>
        <v>0</v>
      </c>
      <c r="AK188" s="8" t="str">
        <f aca="false">$E188&amp;"|"&amp;TEXT($AD188,"0.000000")</f>
        <v>PV 108|0.000000</v>
      </c>
    </row>
    <row r="189" customFormat="false" ht="15" hidden="false" customHeight="false" outlineLevel="0" collapsed="false">
      <c r="B189" s="16" t="n">
        <v>52</v>
      </c>
      <c r="C189" s="17" t="n">
        <f aca="false">DATA_INICIO_SAFRA+($B189-1)*DIAS_POR_SEMANA</f>
        <v>46622</v>
      </c>
      <c r="D189" s="17" t="n">
        <f aca="false">$C189+DIAS_POR_SEMANA-1</f>
        <v>46628</v>
      </c>
      <c r="E189" s="15" t="s">
        <v>261</v>
      </c>
      <c r="F189" s="8" t="str">
        <f aca="false">IFERROR(INDEX(CADASTRO_PIVOS!$C$6:$C$41,MATCH($E189,CADASTRO_PIVOS!$B$6:$B$41,0)),"?")</f>
        <v>RM02</v>
      </c>
      <c r="G189" s="8" t="str">
        <f aca="false">IFERROR(INDEX(CADASTRO_PIVOS!$D$6:$D$41,MATCH($E189,CADASTRO_PIVOS!$B$6:$B$41,0)),"?")</f>
        <v>TR02</v>
      </c>
      <c r="H189" s="20" t="n">
        <f aca="false">IFERROR(INDEX(CADASTRO_PIVOS!$E$6:$E$41,MATCH($E189,CADASTRO_PIVOS!$B$6:$B$41,0)),0)</f>
        <v>100.06</v>
      </c>
      <c r="I189" s="16" t="n">
        <f aca="false">IFERROR(SUMIFS(ROTACAO_RDM!$B$6:$B$71,ROTACAO_RDM!$D$6:$D$71,$E189,ROTACAO_RDM!$I$6:$I$71,"&lt;="&amp;$C189+INT(DIAS_POR_SEMANA/2),ROTACAO_RDM!$J$6:$J$71,"&gt;="&amp;$C189+INT(DIAS_POR_SEMANA/2)),0)</f>
        <v>0</v>
      </c>
      <c r="J189" s="16" t="n">
        <f aca="false">IFERROR(MATCH($I189,ROTACAO_RDM!$B$6:$B$71,0),0)</f>
        <v>0</v>
      </c>
      <c r="K189" s="8" t="str">
        <f aca="false">IF($J189=0,"SEM CULTURA",INDEX(ROTACAO_RDM!$F$6:$F$71,$J189))</f>
        <v>SEM CULTURA</v>
      </c>
      <c r="L189" s="8" t="str">
        <f aca="false">IF($J189=0,"",INDEX(ROTACAO_RDM!$G$6:$G$71,$J189))</f>
        <v/>
      </c>
      <c r="M189" s="17" t="str">
        <f aca="false">IF($J189=0,"",INDEX(ROTACAO_RDM!$I$6:$I$71,$J189))</f>
        <v/>
      </c>
      <c r="N189" s="16" t="n">
        <f aca="false">IF($J189=0,0,MAX(0,$C189+INT(DIAS_POR_SEMANA/2)-INDEX(ROTACAO_RDM!$I$6:$I$71,$J189)))</f>
        <v>0</v>
      </c>
      <c r="O189" s="19" t="n">
        <f aca="false">IF($J189=0,0,MIN(1,$N189/MAX(1,INDEX(ROTACAO_RDM!$K$6:$K$71,$J189))))</f>
        <v>0</v>
      </c>
      <c r="P189" s="16" t="n">
        <f aca="false">IF($J189=0,0,IFERROR(MATCH(INDEX(ROTACAO_RDM!$N$6:$N$71,$J189),PARAMETROS_CULTURAS!$B$6:$B$28,0),0))</f>
        <v>0</v>
      </c>
      <c r="Q189" s="8" t="str">
        <f aca="false">IF($P189=0,"-",IF($O189&lt;=INDEX(PARAMETROS_CULTURAS!$F$6:$F$28,$P189),"INICIAL",IF($O189&lt;=INDEX(PARAMETROS_CULTURAS!$F$6:$F$28,$P189)+INDEX(PARAMETROS_CULTURAS!$G$6:$G$28,$P189),"DESENVOLVIMENTO",IF($O189&lt;=INDEX(PARAMETROS_CULTURAS!$F$6:$F$28,$P189)+INDEX(PARAMETROS_CULTURAS!$G$6:$G$28,$P189)+INDEX(PARAMETROS_CULTURAS!$H$6:$H$28,$P189),"MEDIA","FINAL"))))</f>
        <v>-</v>
      </c>
      <c r="R189" s="24" t="n">
        <f aca="false">IF($P189=0,0,IF($O189&lt;=INDEX(PARAMETROS_CULTURAS!$F$6:$F$28,$P189),INDEX(PARAMETROS_CULTURAS!$K$6:$K$28,$P189),IF($O189&lt;=INDEX(PARAMETROS_CULTURAS!$F$6:$F$28,$P189)+INDEX(PARAMETROS_CULTURAS!$G$6:$G$28,$P189),INDEX(PARAMETROS_CULTURAS!$K$6:$K$28,$P189)+(INDEX(PARAMETROS_CULTURAS!$L$6:$L$28,$P189)-INDEX(PARAMETROS_CULTURAS!$K$6:$K$28,$P189))*($O189-INDEX(PARAMETROS_CULTURAS!$F$6:$F$28,$P189))/MAX(INDEX(PARAMETROS_CULTURAS!$G$6:$G$28,$P189),0.0001),IF($O189&lt;=INDEX(PARAMETROS_CULTURAS!$F$6:$F$28,$P189)+INDEX(PARAMETROS_CULTURAS!$G$6:$G$28,$P189)+INDEX(PARAMETROS_CULTURAS!$H$6:$H$28,$P189),INDEX(PARAMETROS_CULTURAS!$L$6:$L$28,$P189),INDEX(PARAMETROS_CULTURAS!$L$6:$L$28,$P189)+(INDEX(PARAMETROS_CULTURAS!$M$6:$M$28,$P189)-INDEX(PARAMETROS_CULTURAS!$L$6:$L$28,$P189))*($O189-INDEX(PARAMETROS_CULTURAS!$F$6:$F$28,$P189)-INDEX(PARAMETROS_CULTURAS!$G$6:$G$28,$P189)-INDEX(PARAMETROS_CULTURAS!$H$6:$H$28,$P189))/MAX(INDEX(PARAMETROS_CULTURAS!$I$6:$I$28,$P189),0.0001)))))</f>
        <v>0</v>
      </c>
      <c r="S189" s="18" t="n">
        <f aca="false">IFERROR(INDEX(SEMANAS!$H$6:$H$71,MATCH($B189,SEMANAS!$B$6:$B$71,0)),0)</f>
        <v>36.4</v>
      </c>
      <c r="T189" s="18" t="n">
        <f aca="false">$R189*$S189</f>
        <v>0</v>
      </c>
      <c r="U189" s="18" t="n">
        <f aca="false">IFERROR(INDEX(SEMANAS!$I$6:$I$71,MATCH($B189,SEMANAS!$B$6:$B$71,0)),0)</f>
        <v>1.12</v>
      </c>
      <c r="V189" s="18" t="n">
        <f aca="false">IFERROR(INDEX(SEMANAS!$J$6:$J$71,MATCH($B189,SEMANAS!$B$6:$B$71,0)),0)</f>
        <v>0.896</v>
      </c>
      <c r="W189" s="18" t="n">
        <f aca="false">MAX(0,$T189-$V189)</f>
        <v>0</v>
      </c>
      <c r="X189" s="19" t="n">
        <f aca="false">IFERROR(INDEX(CADASTRO_PIVOS!$K$6:$K$41,MATCH($E189,CADASTRO_PIVOS!$B$6:$B$41,0)),EFICIENCIA_PADRAO)</f>
        <v>0.85</v>
      </c>
      <c r="Y189" s="18" t="n">
        <f aca="false">IF($X189&lt;=0,0,$W189/$X189)</f>
        <v>0</v>
      </c>
      <c r="Z189" s="16" t="n">
        <f aca="false">$Y189*$H189*MM_PARA_M3_HA</f>
        <v>0</v>
      </c>
      <c r="AA189" s="18" t="n">
        <f aca="false">IFERROR(INDEX(CADASTRO_PIVOS!$I$6:$I$41,MATCH($E189,CADASTRO_PIVOS!$B$6:$B$41,0)),0)</f>
        <v>714.714285714286</v>
      </c>
      <c r="AB189" s="18" t="n">
        <f aca="false">IF($Z189&lt;=0,0,$Z189/$AA189)</f>
        <v>0</v>
      </c>
      <c r="AC189" s="16" t="n">
        <f aca="false">IFERROR(INDEX(SEMANAS!$K$6:$K$71,MATCH($B189,SEMANAS!$B$6:$B$71,0)),0)</f>
        <v>147</v>
      </c>
      <c r="AD189" s="19" t="n">
        <f aca="false">IF($AC189&lt;=0,0,$AB189/$AC189)</f>
        <v>0</v>
      </c>
      <c r="AE189" s="8" t="str">
        <f aca="false">IF($K189="SEM CULTURA","SEM CULTURA",IF($AA189&lt;=0,"DADO PENDENTE",IF($AD189&gt;LIMITE_CRITICO,"INVIAVEL",IF($AD189&gt;LIMITE_ATENCAO,"CRITICO",IF($AD189&gt;LIMITE_CONFORTAVEL,"ATENCAO","OK")))))</f>
        <v>SEM CULTURA</v>
      </c>
      <c r="AF189" s="8" t="str">
        <f aca="false">$B189&amp;"|"&amp;TEXT($AD189,"0.000000")</f>
        <v>52|0.000000</v>
      </c>
      <c r="AG189" s="18" t="n">
        <f aca="false">IF($K189="SEM CULTURA",0,$T189*$H189)</f>
        <v>0</v>
      </c>
      <c r="AH189" s="18" t="n">
        <f aca="false">IF($K189="SEM CULTURA",0,$V189*$H189)</f>
        <v>0</v>
      </c>
      <c r="AI189" s="18" t="n">
        <f aca="false">IF($K189="SEM CULTURA",0,$W189*$H189)</f>
        <v>0</v>
      </c>
      <c r="AJ189" s="18" t="n">
        <f aca="false">IF($K189="SEM CULTURA",0,$S189*$H189)</f>
        <v>0</v>
      </c>
      <c r="AK189" s="8" t="str">
        <f aca="false">$E189&amp;"|"&amp;TEXT($AD189,"0.000000")</f>
        <v>PV 108|0.000000</v>
      </c>
    </row>
    <row r="190" customFormat="false" ht="15" hidden="false" customHeight="false" outlineLevel="0" collapsed="false">
      <c r="B190" s="16" t="n">
        <v>53</v>
      </c>
      <c r="C190" s="17" t="n">
        <f aca="false">DATA_INICIO_SAFRA+($B190-1)*DIAS_POR_SEMANA</f>
        <v>46629</v>
      </c>
      <c r="D190" s="17" t="n">
        <f aca="false">$C190+DIAS_POR_SEMANA-1</f>
        <v>46635</v>
      </c>
      <c r="E190" s="15" t="s">
        <v>261</v>
      </c>
      <c r="F190" s="8" t="str">
        <f aca="false">IFERROR(INDEX(CADASTRO_PIVOS!$C$6:$C$41,MATCH($E190,CADASTRO_PIVOS!$B$6:$B$41,0)),"?")</f>
        <v>RM02</v>
      </c>
      <c r="G190" s="8" t="str">
        <f aca="false">IFERROR(INDEX(CADASTRO_PIVOS!$D$6:$D$41,MATCH($E190,CADASTRO_PIVOS!$B$6:$B$41,0)),"?")</f>
        <v>TR02</v>
      </c>
      <c r="H190" s="20" t="n">
        <f aca="false">IFERROR(INDEX(CADASTRO_PIVOS!$E$6:$E$41,MATCH($E190,CADASTRO_PIVOS!$B$6:$B$41,0)),0)</f>
        <v>100.06</v>
      </c>
      <c r="I190" s="16" t="n">
        <f aca="false">IFERROR(SUMIFS(ROTACAO_RDM!$B$6:$B$71,ROTACAO_RDM!$D$6:$D$71,$E190,ROTACAO_RDM!$I$6:$I$71,"&lt;="&amp;$C190+INT(DIAS_POR_SEMANA/2),ROTACAO_RDM!$J$6:$J$71,"&gt;="&amp;$C190+INT(DIAS_POR_SEMANA/2)),0)</f>
        <v>0</v>
      </c>
      <c r="J190" s="16" t="n">
        <f aca="false">IFERROR(MATCH($I190,ROTACAO_RDM!$B$6:$B$71,0),0)</f>
        <v>0</v>
      </c>
      <c r="K190" s="8" t="str">
        <f aca="false">IF($J190=0,"SEM CULTURA",INDEX(ROTACAO_RDM!$F$6:$F$71,$J190))</f>
        <v>SEM CULTURA</v>
      </c>
      <c r="L190" s="8" t="str">
        <f aca="false">IF($J190=0,"",INDEX(ROTACAO_RDM!$G$6:$G$71,$J190))</f>
        <v/>
      </c>
      <c r="M190" s="17" t="str">
        <f aca="false">IF($J190=0,"",INDEX(ROTACAO_RDM!$I$6:$I$71,$J190))</f>
        <v/>
      </c>
      <c r="N190" s="16" t="n">
        <f aca="false">IF($J190=0,0,MAX(0,$C190+INT(DIAS_POR_SEMANA/2)-INDEX(ROTACAO_RDM!$I$6:$I$71,$J190)))</f>
        <v>0</v>
      </c>
      <c r="O190" s="19" t="n">
        <f aca="false">IF($J190=0,0,MIN(1,$N190/MAX(1,INDEX(ROTACAO_RDM!$K$6:$K$71,$J190))))</f>
        <v>0</v>
      </c>
      <c r="P190" s="16" t="n">
        <f aca="false">IF($J190=0,0,IFERROR(MATCH(INDEX(ROTACAO_RDM!$N$6:$N$71,$J190),PARAMETROS_CULTURAS!$B$6:$B$28,0),0))</f>
        <v>0</v>
      </c>
      <c r="Q190" s="8" t="str">
        <f aca="false">IF($P190=0,"-",IF($O190&lt;=INDEX(PARAMETROS_CULTURAS!$F$6:$F$28,$P190),"INICIAL",IF($O190&lt;=INDEX(PARAMETROS_CULTURAS!$F$6:$F$28,$P190)+INDEX(PARAMETROS_CULTURAS!$G$6:$G$28,$P190),"DESENVOLVIMENTO",IF($O190&lt;=INDEX(PARAMETROS_CULTURAS!$F$6:$F$28,$P190)+INDEX(PARAMETROS_CULTURAS!$G$6:$G$28,$P190)+INDEX(PARAMETROS_CULTURAS!$H$6:$H$28,$P190),"MEDIA","FINAL"))))</f>
        <v>-</v>
      </c>
      <c r="R190" s="24" t="n">
        <f aca="false">IF($P190=0,0,IF($O190&lt;=INDEX(PARAMETROS_CULTURAS!$F$6:$F$28,$P190),INDEX(PARAMETROS_CULTURAS!$K$6:$K$28,$P190),IF($O190&lt;=INDEX(PARAMETROS_CULTURAS!$F$6:$F$28,$P190)+INDEX(PARAMETROS_CULTURAS!$G$6:$G$28,$P190),INDEX(PARAMETROS_CULTURAS!$K$6:$K$28,$P190)+(INDEX(PARAMETROS_CULTURAS!$L$6:$L$28,$P190)-INDEX(PARAMETROS_CULTURAS!$K$6:$K$28,$P190))*($O190-INDEX(PARAMETROS_CULTURAS!$F$6:$F$28,$P190))/MAX(INDEX(PARAMETROS_CULTURAS!$G$6:$G$28,$P190),0.0001),IF($O190&lt;=INDEX(PARAMETROS_CULTURAS!$F$6:$F$28,$P190)+INDEX(PARAMETROS_CULTURAS!$G$6:$G$28,$P190)+INDEX(PARAMETROS_CULTURAS!$H$6:$H$28,$P190),INDEX(PARAMETROS_CULTURAS!$L$6:$L$28,$P190),INDEX(PARAMETROS_CULTURAS!$L$6:$L$28,$P190)+(INDEX(PARAMETROS_CULTURAS!$M$6:$M$28,$P190)-INDEX(PARAMETROS_CULTURAS!$L$6:$L$28,$P190))*($O190-INDEX(PARAMETROS_CULTURAS!$F$6:$F$28,$P190)-INDEX(PARAMETROS_CULTURAS!$G$6:$G$28,$P190)-INDEX(PARAMETROS_CULTURAS!$H$6:$H$28,$P190))/MAX(INDEX(PARAMETROS_CULTURAS!$I$6:$I$28,$P190),0.0001)))))</f>
        <v>0</v>
      </c>
      <c r="S190" s="18" t="n">
        <f aca="false">IFERROR(INDEX(SEMANAS!$H$6:$H$71,MATCH($B190,SEMANAS!$B$6:$B$71,0)),0)</f>
        <v>39.4</v>
      </c>
      <c r="T190" s="18" t="n">
        <f aca="false">$R190*$S190</f>
        <v>0</v>
      </c>
      <c r="U190" s="18" t="n">
        <f aca="false">IFERROR(INDEX(SEMANAS!$I$6:$I$71,MATCH($B190,SEMANAS!$B$6:$B$71,0)),0)</f>
        <v>5.32</v>
      </c>
      <c r="V190" s="18" t="n">
        <f aca="false">IFERROR(INDEX(SEMANAS!$J$6:$J$71,MATCH($B190,SEMANAS!$B$6:$B$71,0)),0)</f>
        <v>4.256</v>
      </c>
      <c r="W190" s="18" t="n">
        <f aca="false">MAX(0,$T190-$V190)</f>
        <v>0</v>
      </c>
      <c r="X190" s="19" t="n">
        <f aca="false">IFERROR(INDEX(CADASTRO_PIVOS!$K$6:$K$41,MATCH($E190,CADASTRO_PIVOS!$B$6:$B$41,0)),EFICIENCIA_PADRAO)</f>
        <v>0.85</v>
      </c>
      <c r="Y190" s="18" t="n">
        <f aca="false">IF($X190&lt;=0,0,$W190/$X190)</f>
        <v>0</v>
      </c>
      <c r="Z190" s="16" t="n">
        <f aca="false">$Y190*$H190*MM_PARA_M3_HA</f>
        <v>0</v>
      </c>
      <c r="AA190" s="18" t="n">
        <f aca="false">IFERROR(INDEX(CADASTRO_PIVOS!$I$6:$I$41,MATCH($E190,CADASTRO_PIVOS!$B$6:$B$41,0)),0)</f>
        <v>714.714285714286</v>
      </c>
      <c r="AB190" s="18" t="n">
        <f aca="false">IF($Z190&lt;=0,0,$Z190/$AA190)</f>
        <v>0</v>
      </c>
      <c r="AC190" s="16" t="n">
        <f aca="false">IFERROR(INDEX(SEMANAS!$K$6:$K$71,MATCH($B190,SEMANAS!$B$6:$B$71,0)),0)</f>
        <v>147</v>
      </c>
      <c r="AD190" s="19" t="n">
        <f aca="false">IF($AC190&lt;=0,0,$AB190/$AC190)</f>
        <v>0</v>
      </c>
      <c r="AE190" s="8" t="str">
        <f aca="false">IF($K190="SEM CULTURA","SEM CULTURA",IF($AA190&lt;=0,"DADO PENDENTE",IF($AD190&gt;LIMITE_CRITICO,"INVIAVEL",IF($AD190&gt;LIMITE_ATENCAO,"CRITICO",IF($AD190&gt;LIMITE_CONFORTAVEL,"ATENCAO","OK")))))</f>
        <v>SEM CULTURA</v>
      </c>
      <c r="AF190" s="8" t="str">
        <f aca="false">$B190&amp;"|"&amp;TEXT($AD190,"0.000000")</f>
        <v>53|0.000000</v>
      </c>
      <c r="AG190" s="18" t="n">
        <f aca="false">IF($K190="SEM CULTURA",0,$T190*$H190)</f>
        <v>0</v>
      </c>
      <c r="AH190" s="18" t="n">
        <f aca="false">IF($K190="SEM CULTURA",0,$V190*$H190)</f>
        <v>0</v>
      </c>
      <c r="AI190" s="18" t="n">
        <f aca="false">IF($K190="SEM CULTURA",0,$W190*$H190)</f>
        <v>0</v>
      </c>
      <c r="AJ190" s="18" t="n">
        <f aca="false">IF($K190="SEM CULTURA",0,$S190*$H190)</f>
        <v>0</v>
      </c>
      <c r="AK190" s="8" t="str">
        <f aca="false">$E190&amp;"|"&amp;TEXT($AD190,"0.000000")</f>
        <v>PV 108|0.000000</v>
      </c>
    </row>
    <row r="191" customFormat="false" ht="15" hidden="false" customHeight="false" outlineLevel="0" collapsed="false">
      <c r="B191" s="16" t="n">
        <v>54</v>
      </c>
      <c r="C191" s="17" t="n">
        <f aca="false">DATA_INICIO_SAFRA+($B191-1)*DIAS_POR_SEMANA</f>
        <v>46636</v>
      </c>
      <c r="D191" s="17" t="n">
        <f aca="false">$C191+DIAS_POR_SEMANA-1</f>
        <v>46642</v>
      </c>
      <c r="E191" s="15" t="s">
        <v>261</v>
      </c>
      <c r="F191" s="8" t="str">
        <f aca="false">IFERROR(INDEX(CADASTRO_PIVOS!$C$6:$C$41,MATCH($E191,CADASTRO_PIVOS!$B$6:$B$41,0)),"?")</f>
        <v>RM02</v>
      </c>
      <c r="G191" s="8" t="str">
        <f aca="false">IFERROR(INDEX(CADASTRO_PIVOS!$D$6:$D$41,MATCH($E191,CADASTRO_PIVOS!$B$6:$B$41,0)),"?")</f>
        <v>TR02</v>
      </c>
      <c r="H191" s="20" t="n">
        <f aca="false">IFERROR(INDEX(CADASTRO_PIVOS!$E$6:$E$41,MATCH($E191,CADASTRO_PIVOS!$B$6:$B$41,0)),0)</f>
        <v>100.06</v>
      </c>
      <c r="I191" s="16" t="n">
        <f aca="false">IFERROR(SUMIFS(ROTACAO_RDM!$B$6:$B$71,ROTACAO_RDM!$D$6:$D$71,$E191,ROTACAO_RDM!$I$6:$I$71,"&lt;="&amp;$C191+INT(DIAS_POR_SEMANA/2),ROTACAO_RDM!$J$6:$J$71,"&gt;="&amp;$C191+INT(DIAS_POR_SEMANA/2)),0)</f>
        <v>0</v>
      </c>
      <c r="J191" s="16" t="n">
        <f aca="false">IFERROR(MATCH($I191,ROTACAO_RDM!$B$6:$B$71,0),0)</f>
        <v>0</v>
      </c>
      <c r="K191" s="8" t="str">
        <f aca="false">IF($J191=0,"SEM CULTURA",INDEX(ROTACAO_RDM!$F$6:$F$71,$J191))</f>
        <v>SEM CULTURA</v>
      </c>
      <c r="L191" s="8" t="str">
        <f aca="false">IF($J191=0,"",INDEX(ROTACAO_RDM!$G$6:$G$71,$J191))</f>
        <v/>
      </c>
      <c r="M191" s="17" t="str">
        <f aca="false">IF($J191=0,"",INDEX(ROTACAO_RDM!$I$6:$I$71,$J191))</f>
        <v/>
      </c>
      <c r="N191" s="16" t="n">
        <f aca="false">IF($J191=0,0,MAX(0,$C191+INT(DIAS_POR_SEMANA/2)-INDEX(ROTACAO_RDM!$I$6:$I$71,$J191)))</f>
        <v>0</v>
      </c>
      <c r="O191" s="19" t="n">
        <f aca="false">IF($J191=0,0,MIN(1,$N191/MAX(1,INDEX(ROTACAO_RDM!$K$6:$K$71,$J191))))</f>
        <v>0</v>
      </c>
      <c r="P191" s="16" t="n">
        <f aca="false">IF($J191=0,0,IFERROR(MATCH(INDEX(ROTACAO_RDM!$N$6:$N$71,$J191),PARAMETROS_CULTURAS!$B$6:$B$28,0),0))</f>
        <v>0</v>
      </c>
      <c r="Q191" s="8" t="str">
        <f aca="false">IF($P191=0,"-",IF($O191&lt;=INDEX(PARAMETROS_CULTURAS!$F$6:$F$28,$P191),"INICIAL",IF($O191&lt;=INDEX(PARAMETROS_CULTURAS!$F$6:$F$28,$P191)+INDEX(PARAMETROS_CULTURAS!$G$6:$G$28,$P191),"DESENVOLVIMENTO",IF($O191&lt;=INDEX(PARAMETROS_CULTURAS!$F$6:$F$28,$P191)+INDEX(PARAMETROS_CULTURAS!$G$6:$G$28,$P191)+INDEX(PARAMETROS_CULTURAS!$H$6:$H$28,$P191),"MEDIA","FINAL"))))</f>
        <v>-</v>
      </c>
      <c r="R191" s="24" t="n">
        <f aca="false">IF($P191=0,0,IF($O191&lt;=INDEX(PARAMETROS_CULTURAS!$F$6:$F$28,$P191),INDEX(PARAMETROS_CULTURAS!$K$6:$K$28,$P191),IF($O191&lt;=INDEX(PARAMETROS_CULTURAS!$F$6:$F$28,$P191)+INDEX(PARAMETROS_CULTURAS!$G$6:$G$28,$P191),INDEX(PARAMETROS_CULTURAS!$K$6:$K$28,$P191)+(INDEX(PARAMETROS_CULTURAS!$L$6:$L$28,$P191)-INDEX(PARAMETROS_CULTURAS!$K$6:$K$28,$P191))*($O191-INDEX(PARAMETROS_CULTURAS!$F$6:$F$28,$P191))/MAX(INDEX(PARAMETROS_CULTURAS!$G$6:$G$28,$P191),0.0001),IF($O191&lt;=INDEX(PARAMETROS_CULTURAS!$F$6:$F$28,$P191)+INDEX(PARAMETROS_CULTURAS!$G$6:$G$28,$P191)+INDEX(PARAMETROS_CULTURAS!$H$6:$H$28,$P191),INDEX(PARAMETROS_CULTURAS!$L$6:$L$28,$P191),INDEX(PARAMETROS_CULTURAS!$L$6:$L$28,$P191)+(INDEX(PARAMETROS_CULTURAS!$M$6:$M$28,$P191)-INDEX(PARAMETROS_CULTURAS!$L$6:$L$28,$P191))*($O191-INDEX(PARAMETROS_CULTURAS!$F$6:$F$28,$P191)-INDEX(PARAMETROS_CULTURAS!$G$6:$G$28,$P191)-INDEX(PARAMETROS_CULTURAS!$H$6:$H$28,$P191))/MAX(INDEX(PARAMETROS_CULTURAS!$I$6:$I$28,$P191),0.0001)))))</f>
        <v>0</v>
      </c>
      <c r="S191" s="18" t="n">
        <f aca="false">IFERROR(INDEX(SEMANAS!$H$6:$H$71,MATCH($B191,SEMANAS!$B$6:$B$71,0)),0)</f>
        <v>40.6</v>
      </c>
      <c r="T191" s="18" t="n">
        <f aca="false">$R191*$S191</f>
        <v>0</v>
      </c>
      <c r="U191" s="18" t="n">
        <f aca="false">IFERROR(INDEX(SEMANAS!$I$6:$I$71,MATCH($B191,SEMANAS!$B$6:$B$71,0)),0)</f>
        <v>7</v>
      </c>
      <c r="V191" s="18" t="n">
        <f aca="false">IFERROR(INDEX(SEMANAS!$J$6:$J$71,MATCH($B191,SEMANAS!$B$6:$B$71,0)),0)</f>
        <v>5.6</v>
      </c>
      <c r="W191" s="18" t="n">
        <f aca="false">MAX(0,$T191-$V191)</f>
        <v>0</v>
      </c>
      <c r="X191" s="19" t="n">
        <f aca="false">IFERROR(INDEX(CADASTRO_PIVOS!$K$6:$K$41,MATCH($E191,CADASTRO_PIVOS!$B$6:$B$41,0)),EFICIENCIA_PADRAO)</f>
        <v>0.85</v>
      </c>
      <c r="Y191" s="18" t="n">
        <f aca="false">IF($X191&lt;=0,0,$W191/$X191)</f>
        <v>0</v>
      </c>
      <c r="Z191" s="16" t="n">
        <f aca="false">$Y191*$H191*MM_PARA_M3_HA</f>
        <v>0</v>
      </c>
      <c r="AA191" s="18" t="n">
        <f aca="false">IFERROR(INDEX(CADASTRO_PIVOS!$I$6:$I$41,MATCH($E191,CADASTRO_PIVOS!$B$6:$B$41,0)),0)</f>
        <v>714.714285714286</v>
      </c>
      <c r="AB191" s="18" t="n">
        <f aca="false">IF($Z191&lt;=0,0,$Z191/$AA191)</f>
        <v>0</v>
      </c>
      <c r="AC191" s="16" t="n">
        <f aca="false">IFERROR(INDEX(SEMANAS!$K$6:$K$71,MATCH($B191,SEMANAS!$B$6:$B$71,0)),0)</f>
        <v>147</v>
      </c>
      <c r="AD191" s="19" t="n">
        <f aca="false">IF($AC191&lt;=0,0,$AB191/$AC191)</f>
        <v>0</v>
      </c>
      <c r="AE191" s="8" t="str">
        <f aca="false">IF($K191="SEM CULTURA","SEM CULTURA",IF($AA191&lt;=0,"DADO PENDENTE",IF($AD191&gt;LIMITE_CRITICO,"INVIAVEL",IF($AD191&gt;LIMITE_ATENCAO,"CRITICO",IF($AD191&gt;LIMITE_CONFORTAVEL,"ATENCAO","OK")))))</f>
        <v>SEM CULTURA</v>
      </c>
      <c r="AF191" s="8" t="str">
        <f aca="false">$B191&amp;"|"&amp;TEXT($AD191,"0.000000")</f>
        <v>54|0.000000</v>
      </c>
      <c r="AG191" s="18" t="n">
        <f aca="false">IF($K191="SEM CULTURA",0,$T191*$H191)</f>
        <v>0</v>
      </c>
      <c r="AH191" s="18" t="n">
        <f aca="false">IF($K191="SEM CULTURA",0,$V191*$H191)</f>
        <v>0</v>
      </c>
      <c r="AI191" s="18" t="n">
        <f aca="false">IF($K191="SEM CULTURA",0,$W191*$H191)</f>
        <v>0</v>
      </c>
      <c r="AJ191" s="18" t="n">
        <f aca="false">IF($K191="SEM CULTURA",0,$S191*$H191)</f>
        <v>0</v>
      </c>
      <c r="AK191" s="8" t="str">
        <f aca="false">$E191&amp;"|"&amp;TEXT($AD191,"0.000000")</f>
        <v>PV 108|0.000000</v>
      </c>
    </row>
    <row r="192" customFormat="false" ht="15" hidden="false" customHeight="false" outlineLevel="0" collapsed="false">
      <c r="B192" s="16" t="n">
        <v>55</v>
      </c>
      <c r="C192" s="17" t="n">
        <f aca="false">DATA_INICIO_SAFRA+($B192-1)*DIAS_POR_SEMANA</f>
        <v>46643</v>
      </c>
      <c r="D192" s="17" t="n">
        <f aca="false">$C192+DIAS_POR_SEMANA-1</f>
        <v>46649</v>
      </c>
      <c r="E192" s="15" t="s">
        <v>261</v>
      </c>
      <c r="F192" s="8" t="str">
        <f aca="false">IFERROR(INDEX(CADASTRO_PIVOS!$C$6:$C$41,MATCH($E192,CADASTRO_PIVOS!$B$6:$B$41,0)),"?")</f>
        <v>RM02</v>
      </c>
      <c r="G192" s="8" t="str">
        <f aca="false">IFERROR(INDEX(CADASTRO_PIVOS!$D$6:$D$41,MATCH($E192,CADASTRO_PIVOS!$B$6:$B$41,0)),"?")</f>
        <v>TR02</v>
      </c>
      <c r="H192" s="20" t="n">
        <f aca="false">IFERROR(INDEX(CADASTRO_PIVOS!$E$6:$E$41,MATCH($E192,CADASTRO_PIVOS!$B$6:$B$41,0)),0)</f>
        <v>100.06</v>
      </c>
      <c r="I192" s="16" t="n">
        <f aca="false">IFERROR(SUMIFS(ROTACAO_RDM!$B$6:$B$71,ROTACAO_RDM!$D$6:$D$71,$E192,ROTACAO_RDM!$I$6:$I$71,"&lt;="&amp;$C192+INT(DIAS_POR_SEMANA/2),ROTACAO_RDM!$J$6:$J$71,"&gt;="&amp;$C192+INT(DIAS_POR_SEMANA/2)),0)</f>
        <v>0</v>
      </c>
      <c r="J192" s="16" t="n">
        <f aca="false">IFERROR(MATCH($I192,ROTACAO_RDM!$B$6:$B$71,0),0)</f>
        <v>0</v>
      </c>
      <c r="K192" s="8" t="str">
        <f aca="false">IF($J192=0,"SEM CULTURA",INDEX(ROTACAO_RDM!$F$6:$F$71,$J192))</f>
        <v>SEM CULTURA</v>
      </c>
      <c r="L192" s="8" t="str">
        <f aca="false">IF($J192=0,"",INDEX(ROTACAO_RDM!$G$6:$G$71,$J192))</f>
        <v/>
      </c>
      <c r="M192" s="17" t="str">
        <f aca="false">IF($J192=0,"",INDEX(ROTACAO_RDM!$I$6:$I$71,$J192))</f>
        <v/>
      </c>
      <c r="N192" s="16" t="n">
        <f aca="false">IF($J192=0,0,MAX(0,$C192+INT(DIAS_POR_SEMANA/2)-INDEX(ROTACAO_RDM!$I$6:$I$71,$J192)))</f>
        <v>0</v>
      </c>
      <c r="O192" s="19" t="n">
        <f aca="false">IF($J192=0,0,MIN(1,$N192/MAX(1,INDEX(ROTACAO_RDM!$K$6:$K$71,$J192))))</f>
        <v>0</v>
      </c>
      <c r="P192" s="16" t="n">
        <f aca="false">IF($J192=0,0,IFERROR(MATCH(INDEX(ROTACAO_RDM!$N$6:$N$71,$J192),PARAMETROS_CULTURAS!$B$6:$B$28,0),0))</f>
        <v>0</v>
      </c>
      <c r="Q192" s="8" t="str">
        <f aca="false">IF($P192=0,"-",IF($O192&lt;=INDEX(PARAMETROS_CULTURAS!$F$6:$F$28,$P192),"INICIAL",IF($O192&lt;=INDEX(PARAMETROS_CULTURAS!$F$6:$F$28,$P192)+INDEX(PARAMETROS_CULTURAS!$G$6:$G$28,$P192),"DESENVOLVIMENTO",IF($O192&lt;=INDEX(PARAMETROS_CULTURAS!$F$6:$F$28,$P192)+INDEX(PARAMETROS_CULTURAS!$G$6:$G$28,$P192)+INDEX(PARAMETROS_CULTURAS!$H$6:$H$28,$P192),"MEDIA","FINAL"))))</f>
        <v>-</v>
      </c>
      <c r="R192" s="24" t="n">
        <f aca="false">IF($P192=0,0,IF($O192&lt;=INDEX(PARAMETROS_CULTURAS!$F$6:$F$28,$P192),INDEX(PARAMETROS_CULTURAS!$K$6:$K$28,$P192),IF($O192&lt;=INDEX(PARAMETROS_CULTURAS!$F$6:$F$28,$P192)+INDEX(PARAMETROS_CULTURAS!$G$6:$G$28,$P192),INDEX(PARAMETROS_CULTURAS!$K$6:$K$28,$P192)+(INDEX(PARAMETROS_CULTURAS!$L$6:$L$28,$P192)-INDEX(PARAMETROS_CULTURAS!$K$6:$K$28,$P192))*($O192-INDEX(PARAMETROS_CULTURAS!$F$6:$F$28,$P192))/MAX(INDEX(PARAMETROS_CULTURAS!$G$6:$G$28,$P192),0.0001),IF($O192&lt;=INDEX(PARAMETROS_CULTURAS!$F$6:$F$28,$P192)+INDEX(PARAMETROS_CULTURAS!$G$6:$G$28,$P192)+INDEX(PARAMETROS_CULTURAS!$H$6:$H$28,$P192),INDEX(PARAMETROS_CULTURAS!$L$6:$L$28,$P192),INDEX(PARAMETROS_CULTURAS!$L$6:$L$28,$P192)+(INDEX(PARAMETROS_CULTURAS!$M$6:$M$28,$P192)-INDEX(PARAMETROS_CULTURAS!$L$6:$L$28,$P192))*($O192-INDEX(PARAMETROS_CULTURAS!$F$6:$F$28,$P192)-INDEX(PARAMETROS_CULTURAS!$G$6:$G$28,$P192)-INDEX(PARAMETROS_CULTURAS!$H$6:$H$28,$P192))/MAX(INDEX(PARAMETROS_CULTURAS!$I$6:$I$28,$P192),0.0001)))))</f>
        <v>0</v>
      </c>
      <c r="S192" s="18" t="n">
        <f aca="false">IFERROR(INDEX(SEMANAS!$H$6:$H$71,MATCH($B192,SEMANAS!$B$6:$B$71,0)),0)</f>
        <v>40.6</v>
      </c>
      <c r="T192" s="18" t="n">
        <f aca="false">$R192*$S192</f>
        <v>0</v>
      </c>
      <c r="U192" s="18" t="n">
        <f aca="false">IFERROR(INDEX(SEMANAS!$I$6:$I$71,MATCH($B192,SEMANAS!$B$6:$B$71,0)),0)</f>
        <v>7</v>
      </c>
      <c r="V192" s="18" t="n">
        <f aca="false">IFERROR(INDEX(SEMANAS!$J$6:$J$71,MATCH($B192,SEMANAS!$B$6:$B$71,0)),0)</f>
        <v>5.6</v>
      </c>
      <c r="W192" s="18" t="n">
        <f aca="false">MAX(0,$T192-$V192)</f>
        <v>0</v>
      </c>
      <c r="X192" s="19" t="n">
        <f aca="false">IFERROR(INDEX(CADASTRO_PIVOS!$K$6:$K$41,MATCH($E192,CADASTRO_PIVOS!$B$6:$B$41,0)),EFICIENCIA_PADRAO)</f>
        <v>0.85</v>
      </c>
      <c r="Y192" s="18" t="n">
        <f aca="false">IF($X192&lt;=0,0,$W192/$X192)</f>
        <v>0</v>
      </c>
      <c r="Z192" s="16" t="n">
        <f aca="false">$Y192*$H192*MM_PARA_M3_HA</f>
        <v>0</v>
      </c>
      <c r="AA192" s="18" t="n">
        <f aca="false">IFERROR(INDEX(CADASTRO_PIVOS!$I$6:$I$41,MATCH($E192,CADASTRO_PIVOS!$B$6:$B$41,0)),0)</f>
        <v>714.714285714286</v>
      </c>
      <c r="AB192" s="18" t="n">
        <f aca="false">IF($Z192&lt;=0,0,$Z192/$AA192)</f>
        <v>0</v>
      </c>
      <c r="AC192" s="16" t="n">
        <f aca="false">IFERROR(INDEX(SEMANAS!$K$6:$K$71,MATCH($B192,SEMANAS!$B$6:$B$71,0)),0)</f>
        <v>147</v>
      </c>
      <c r="AD192" s="19" t="n">
        <f aca="false">IF($AC192&lt;=0,0,$AB192/$AC192)</f>
        <v>0</v>
      </c>
      <c r="AE192" s="8" t="str">
        <f aca="false">IF($K192="SEM CULTURA","SEM CULTURA",IF($AA192&lt;=0,"DADO PENDENTE",IF($AD192&gt;LIMITE_CRITICO,"INVIAVEL",IF($AD192&gt;LIMITE_ATENCAO,"CRITICO",IF($AD192&gt;LIMITE_CONFORTAVEL,"ATENCAO","OK")))))</f>
        <v>SEM CULTURA</v>
      </c>
      <c r="AF192" s="8" t="str">
        <f aca="false">$B192&amp;"|"&amp;TEXT($AD192,"0.000000")</f>
        <v>55|0.000000</v>
      </c>
      <c r="AG192" s="18" t="n">
        <f aca="false">IF($K192="SEM CULTURA",0,$T192*$H192)</f>
        <v>0</v>
      </c>
      <c r="AH192" s="18" t="n">
        <f aca="false">IF($K192="SEM CULTURA",0,$V192*$H192)</f>
        <v>0</v>
      </c>
      <c r="AI192" s="18" t="n">
        <f aca="false">IF($K192="SEM CULTURA",0,$W192*$H192)</f>
        <v>0</v>
      </c>
      <c r="AJ192" s="18" t="n">
        <f aca="false">IF($K192="SEM CULTURA",0,$S192*$H192)</f>
        <v>0</v>
      </c>
      <c r="AK192" s="8" t="str">
        <f aca="false">$E192&amp;"|"&amp;TEXT($AD192,"0.000000")</f>
        <v>PV 108|0.000000</v>
      </c>
    </row>
    <row r="193" customFormat="false" ht="15" hidden="false" customHeight="false" outlineLevel="0" collapsed="false">
      <c r="B193" s="16" t="n">
        <v>56</v>
      </c>
      <c r="C193" s="17" t="n">
        <f aca="false">DATA_INICIO_SAFRA+($B193-1)*DIAS_POR_SEMANA</f>
        <v>46650</v>
      </c>
      <c r="D193" s="17" t="n">
        <f aca="false">$C193+DIAS_POR_SEMANA-1</f>
        <v>46656</v>
      </c>
      <c r="E193" s="15" t="s">
        <v>261</v>
      </c>
      <c r="F193" s="8" t="str">
        <f aca="false">IFERROR(INDEX(CADASTRO_PIVOS!$C$6:$C$41,MATCH($E193,CADASTRO_PIVOS!$B$6:$B$41,0)),"?")</f>
        <v>RM02</v>
      </c>
      <c r="G193" s="8" t="str">
        <f aca="false">IFERROR(INDEX(CADASTRO_PIVOS!$D$6:$D$41,MATCH($E193,CADASTRO_PIVOS!$B$6:$B$41,0)),"?")</f>
        <v>TR02</v>
      </c>
      <c r="H193" s="20" t="n">
        <f aca="false">IFERROR(INDEX(CADASTRO_PIVOS!$E$6:$E$41,MATCH($E193,CADASTRO_PIVOS!$B$6:$B$41,0)),0)</f>
        <v>100.06</v>
      </c>
      <c r="I193" s="16" t="n">
        <f aca="false">IFERROR(SUMIFS(ROTACAO_RDM!$B$6:$B$71,ROTACAO_RDM!$D$6:$D$71,$E193,ROTACAO_RDM!$I$6:$I$71,"&lt;="&amp;$C193+INT(DIAS_POR_SEMANA/2),ROTACAO_RDM!$J$6:$J$71,"&gt;="&amp;$C193+INT(DIAS_POR_SEMANA/2)),0)</f>
        <v>0</v>
      </c>
      <c r="J193" s="16" t="n">
        <f aca="false">IFERROR(MATCH($I193,ROTACAO_RDM!$B$6:$B$71,0),0)</f>
        <v>0</v>
      </c>
      <c r="K193" s="8" t="str">
        <f aca="false">IF($J193=0,"SEM CULTURA",INDEX(ROTACAO_RDM!$F$6:$F$71,$J193))</f>
        <v>SEM CULTURA</v>
      </c>
      <c r="L193" s="8" t="str">
        <f aca="false">IF($J193=0,"",INDEX(ROTACAO_RDM!$G$6:$G$71,$J193))</f>
        <v/>
      </c>
      <c r="M193" s="17" t="str">
        <f aca="false">IF($J193=0,"",INDEX(ROTACAO_RDM!$I$6:$I$71,$J193))</f>
        <v/>
      </c>
      <c r="N193" s="16" t="n">
        <f aca="false">IF($J193=0,0,MAX(0,$C193+INT(DIAS_POR_SEMANA/2)-INDEX(ROTACAO_RDM!$I$6:$I$71,$J193)))</f>
        <v>0</v>
      </c>
      <c r="O193" s="19" t="n">
        <f aca="false">IF($J193=0,0,MIN(1,$N193/MAX(1,INDEX(ROTACAO_RDM!$K$6:$K$71,$J193))))</f>
        <v>0</v>
      </c>
      <c r="P193" s="16" t="n">
        <f aca="false">IF($J193=0,0,IFERROR(MATCH(INDEX(ROTACAO_RDM!$N$6:$N$71,$J193),PARAMETROS_CULTURAS!$B$6:$B$28,0),0))</f>
        <v>0</v>
      </c>
      <c r="Q193" s="8" t="str">
        <f aca="false">IF($P193=0,"-",IF($O193&lt;=INDEX(PARAMETROS_CULTURAS!$F$6:$F$28,$P193),"INICIAL",IF($O193&lt;=INDEX(PARAMETROS_CULTURAS!$F$6:$F$28,$P193)+INDEX(PARAMETROS_CULTURAS!$G$6:$G$28,$P193),"DESENVOLVIMENTO",IF($O193&lt;=INDEX(PARAMETROS_CULTURAS!$F$6:$F$28,$P193)+INDEX(PARAMETROS_CULTURAS!$G$6:$G$28,$P193)+INDEX(PARAMETROS_CULTURAS!$H$6:$H$28,$P193),"MEDIA","FINAL"))))</f>
        <v>-</v>
      </c>
      <c r="R193" s="24" t="n">
        <f aca="false">IF($P193=0,0,IF($O193&lt;=INDEX(PARAMETROS_CULTURAS!$F$6:$F$28,$P193),INDEX(PARAMETROS_CULTURAS!$K$6:$K$28,$P193),IF($O193&lt;=INDEX(PARAMETROS_CULTURAS!$F$6:$F$28,$P193)+INDEX(PARAMETROS_CULTURAS!$G$6:$G$28,$P193),INDEX(PARAMETROS_CULTURAS!$K$6:$K$28,$P193)+(INDEX(PARAMETROS_CULTURAS!$L$6:$L$28,$P193)-INDEX(PARAMETROS_CULTURAS!$K$6:$K$28,$P193))*($O193-INDEX(PARAMETROS_CULTURAS!$F$6:$F$28,$P193))/MAX(INDEX(PARAMETROS_CULTURAS!$G$6:$G$28,$P193),0.0001),IF($O193&lt;=INDEX(PARAMETROS_CULTURAS!$F$6:$F$28,$P193)+INDEX(PARAMETROS_CULTURAS!$G$6:$G$28,$P193)+INDEX(PARAMETROS_CULTURAS!$H$6:$H$28,$P193),INDEX(PARAMETROS_CULTURAS!$L$6:$L$28,$P193),INDEX(PARAMETROS_CULTURAS!$L$6:$L$28,$P193)+(INDEX(PARAMETROS_CULTURAS!$M$6:$M$28,$P193)-INDEX(PARAMETROS_CULTURAS!$L$6:$L$28,$P193))*($O193-INDEX(PARAMETROS_CULTURAS!$F$6:$F$28,$P193)-INDEX(PARAMETROS_CULTURAS!$G$6:$G$28,$P193)-INDEX(PARAMETROS_CULTURAS!$H$6:$H$28,$P193))/MAX(INDEX(PARAMETROS_CULTURAS!$I$6:$I$28,$P193),0.0001)))))</f>
        <v>0</v>
      </c>
      <c r="S193" s="18" t="n">
        <f aca="false">IFERROR(INDEX(SEMANAS!$H$6:$H$71,MATCH($B193,SEMANAS!$B$6:$B$71,0)),0)</f>
        <v>40.6</v>
      </c>
      <c r="T193" s="18" t="n">
        <f aca="false">$R193*$S193</f>
        <v>0</v>
      </c>
      <c r="U193" s="18" t="n">
        <f aca="false">IFERROR(INDEX(SEMANAS!$I$6:$I$71,MATCH($B193,SEMANAS!$B$6:$B$71,0)),0)</f>
        <v>7</v>
      </c>
      <c r="V193" s="18" t="n">
        <f aca="false">IFERROR(INDEX(SEMANAS!$J$6:$J$71,MATCH($B193,SEMANAS!$B$6:$B$71,0)),0)</f>
        <v>5.6</v>
      </c>
      <c r="W193" s="18" t="n">
        <f aca="false">MAX(0,$T193-$V193)</f>
        <v>0</v>
      </c>
      <c r="X193" s="19" t="n">
        <f aca="false">IFERROR(INDEX(CADASTRO_PIVOS!$K$6:$K$41,MATCH($E193,CADASTRO_PIVOS!$B$6:$B$41,0)),EFICIENCIA_PADRAO)</f>
        <v>0.85</v>
      </c>
      <c r="Y193" s="18" t="n">
        <f aca="false">IF($X193&lt;=0,0,$W193/$X193)</f>
        <v>0</v>
      </c>
      <c r="Z193" s="16" t="n">
        <f aca="false">$Y193*$H193*MM_PARA_M3_HA</f>
        <v>0</v>
      </c>
      <c r="AA193" s="18" t="n">
        <f aca="false">IFERROR(INDEX(CADASTRO_PIVOS!$I$6:$I$41,MATCH($E193,CADASTRO_PIVOS!$B$6:$B$41,0)),0)</f>
        <v>714.714285714286</v>
      </c>
      <c r="AB193" s="18" t="n">
        <f aca="false">IF($Z193&lt;=0,0,$Z193/$AA193)</f>
        <v>0</v>
      </c>
      <c r="AC193" s="16" t="n">
        <f aca="false">IFERROR(INDEX(SEMANAS!$K$6:$K$71,MATCH($B193,SEMANAS!$B$6:$B$71,0)),0)</f>
        <v>147</v>
      </c>
      <c r="AD193" s="19" t="n">
        <f aca="false">IF($AC193&lt;=0,0,$AB193/$AC193)</f>
        <v>0</v>
      </c>
      <c r="AE193" s="8" t="str">
        <f aca="false">IF($K193="SEM CULTURA","SEM CULTURA",IF($AA193&lt;=0,"DADO PENDENTE",IF($AD193&gt;LIMITE_CRITICO,"INVIAVEL",IF($AD193&gt;LIMITE_ATENCAO,"CRITICO",IF($AD193&gt;LIMITE_CONFORTAVEL,"ATENCAO","OK")))))</f>
        <v>SEM CULTURA</v>
      </c>
      <c r="AF193" s="8" t="str">
        <f aca="false">$B193&amp;"|"&amp;TEXT($AD193,"0.000000")</f>
        <v>56|0.000000</v>
      </c>
      <c r="AG193" s="18" t="n">
        <f aca="false">IF($K193="SEM CULTURA",0,$T193*$H193)</f>
        <v>0</v>
      </c>
      <c r="AH193" s="18" t="n">
        <f aca="false">IF($K193="SEM CULTURA",0,$V193*$H193)</f>
        <v>0</v>
      </c>
      <c r="AI193" s="18" t="n">
        <f aca="false">IF($K193="SEM CULTURA",0,$W193*$H193)</f>
        <v>0</v>
      </c>
      <c r="AJ193" s="18" t="n">
        <f aca="false">IF($K193="SEM CULTURA",0,$S193*$H193)</f>
        <v>0</v>
      </c>
      <c r="AK193" s="8" t="str">
        <f aca="false">$E193&amp;"|"&amp;TEXT($AD193,"0.000000")</f>
        <v>PV 108|0.000000</v>
      </c>
    </row>
    <row r="194" customFormat="false" ht="15" hidden="false" customHeight="false" outlineLevel="0" collapsed="false">
      <c r="B194" s="16" t="n">
        <v>57</v>
      </c>
      <c r="C194" s="17" t="n">
        <f aca="false">DATA_INICIO_SAFRA+($B194-1)*DIAS_POR_SEMANA</f>
        <v>46657</v>
      </c>
      <c r="D194" s="17" t="n">
        <f aca="false">$C194+DIAS_POR_SEMANA-1</f>
        <v>46663</v>
      </c>
      <c r="E194" s="15" t="s">
        <v>261</v>
      </c>
      <c r="F194" s="8" t="str">
        <f aca="false">IFERROR(INDEX(CADASTRO_PIVOS!$C$6:$C$41,MATCH($E194,CADASTRO_PIVOS!$B$6:$B$41,0)),"?")</f>
        <v>RM02</v>
      </c>
      <c r="G194" s="8" t="str">
        <f aca="false">IFERROR(INDEX(CADASTRO_PIVOS!$D$6:$D$41,MATCH($E194,CADASTRO_PIVOS!$B$6:$B$41,0)),"?")</f>
        <v>TR02</v>
      </c>
      <c r="H194" s="20" t="n">
        <f aca="false">IFERROR(INDEX(CADASTRO_PIVOS!$E$6:$E$41,MATCH($E194,CADASTRO_PIVOS!$B$6:$B$41,0)),0)</f>
        <v>100.06</v>
      </c>
      <c r="I194" s="16" t="n">
        <f aca="false">IFERROR(SUMIFS(ROTACAO_RDM!$B$6:$B$71,ROTACAO_RDM!$D$6:$D$71,$E194,ROTACAO_RDM!$I$6:$I$71,"&lt;="&amp;$C194+INT(DIAS_POR_SEMANA/2),ROTACAO_RDM!$J$6:$J$71,"&gt;="&amp;$C194+INT(DIAS_POR_SEMANA/2)),0)</f>
        <v>0</v>
      </c>
      <c r="J194" s="16" t="n">
        <f aca="false">IFERROR(MATCH($I194,ROTACAO_RDM!$B$6:$B$71,0),0)</f>
        <v>0</v>
      </c>
      <c r="K194" s="8" t="str">
        <f aca="false">IF($J194=0,"SEM CULTURA",INDEX(ROTACAO_RDM!$F$6:$F$71,$J194))</f>
        <v>SEM CULTURA</v>
      </c>
      <c r="L194" s="8" t="str">
        <f aca="false">IF($J194=0,"",INDEX(ROTACAO_RDM!$G$6:$G$71,$J194))</f>
        <v/>
      </c>
      <c r="M194" s="17" t="str">
        <f aca="false">IF($J194=0,"",INDEX(ROTACAO_RDM!$I$6:$I$71,$J194))</f>
        <v/>
      </c>
      <c r="N194" s="16" t="n">
        <f aca="false">IF($J194=0,0,MAX(0,$C194+INT(DIAS_POR_SEMANA/2)-INDEX(ROTACAO_RDM!$I$6:$I$71,$J194)))</f>
        <v>0</v>
      </c>
      <c r="O194" s="19" t="n">
        <f aca="false">IF($J194=0,0,MIN(1,$N194/MAX(1,INDEX(ROTACAO_RDM!$K$6:$K$71,$J194))))</f>
        <v>0</v>
      </c>
      <c r="P194" s="16" t="n">
        <f aca="false">IF($J194=0,0,IFERROR(MATCH(INDEX(ROTACAO_RDM!$N$6:$N$71,$J194),PARAMETROS_CULTURAS!$B$6:$B$28,0),0))</f>
        <v>0</v>
      </c>
      <c r="Q194" s="8" t="str">
        <f aca="false">IF($P194=0,"-",IF($O194&lt;=INDEX(PARAMETROS_CULTURAS!$F$6:$F$28,$P194),"INICIAL",IF($O194&lt;=INDEX(PARAMETROS_CULTURAS!$F$6:$F$28,$P194)+INDEX(PARAMETROS_CULTURAS!$G$6:$G$28,$P194),"DESENVOLVIMENTO",IF($O194&lt;=INDEX(PARAMETROS_CULTURAS!$F$6:$F$28,$P194)+INDEX(PARAMETROS_CULTURAS!$G$6:$G$28,$P194)+INDEX(PARAMETROS_CULTURAS!$H$6:$H$28,$P194),"MEDIA","FINAL"))))</f>
        <v>-</v>
      </c>
      <c r="R194" s="24" t="n">
        <f aca="false">IF($P194=0,0,IF($O194&lt;=INDEX(PARAMETROS_CULTURAS!$F$6:$F$28,$P194),INDEX(PARAMETROS_CULTURAS!$K$6:$K$28,$P194),IF($O194&lt;=INDEX(PARAMETROS_CULTURAS!$F$6:$F$28,$P194)+INDEX(PARAMETROS_CULTURAS!$G$6:$G$28,$P194),INDEX(PARAMETROS_CULTURAS!$K$6:$K$28,$P194)+(INDEX(PARAMETROS_CULTURAS!$L$6:$L$28,$P194)-INDEX(PARAMETROS_CULTURAS!$K$6:$K$28,$P194))*($O194-INDEX(PARAMETROS_CULTURAS!$F$6:$F$28,$P194))/MAX(INDEX(PARAMETROS_CULTURAS!$G$6:$G$28,$P194),0.0001),IF($O194&lt;=INDEX(PARAMETROS_CULTURAS!$F$6:$F$28,$P194)+INDEX(PARAMETROS_CULTURAS!$G$6:$G$28,$P194)+INDEX(PARAMETROS_CULTURAS!$H$6:$H$28,$P194),INDEX(PARAMETROS_CULTURAS!$L$6:$L$28,$P194),INDEX(PARAMETROS_CULTURAS!$L$6:$L$28,$P194)+(INDEX(PARAMETROS_CULTURAS!$M$6:$M$28,$P194)-INDEX(PARAMETROS_CULTURAS!$L$6:$L$28,$P194))*($O194-INDEX(PARAMETROS_CULTURAS!$F$6:$F$28,$P194)-INDEX(PARAMETROS_CULTURAS!$G$6:$G$28,$P194)-INDEX(PARAMETROS_CULTURAS!$H$6:$H$28,$P194))/MAX(INDEX(PARAMETROS_CULTURAS!$I$6:$I$28,$P194),0.0001)))))</f>
        <v>0</v>
      </c>
      <c r="S194" s="18" t="n">
        <f aca="false">IFERROR(INDEX(SEMANAS!$H$6:$H$71,MATCH($B194,SEMANAS!$B$6:$B$71,0)),0)</f>
        <v>40</v>
      </c>
      <c r="T194" s="18" t="n">
        <f aca="false">$R194*$S194</f>
        <v>0</v>
      </c>
      <c r="U194" s="18" t="n">
        <f aca="false">IFERROR(INDEX(SEMANAS!$I$6:$I$71,MATCH($B194,SEMANAS!$B$6:$B$71,0)),0)</f>
        <v>15.61</v>
      </c>
      <c r="V194" s="18" t="n">
        <f aca="false">IFERROR(INDEX(SEMANAS!$J$6:$J$71,MATCH($B194,SEMANAS!$B$6:$B$71,0)),0)</f>
        <v>12.488</v>
      </c>
      <c r="W194" s="18" t="n">
        <f aca="false">MAX(0,$T194-$V194)</f>
        <v>0</v>
      </c>
      <c r="X194" s="19" t="n">
        <f aca="false">IFERROR(INDEX(CADASTRO_PIVOS!$K$6:$K$41,MATCH($E194,CADASTRO_PIVOS!$B$6:$B$41,0)),EFICIENCIA_PADRAO)</f>
        <v>0.85</v>
      </c>
      <c r="Y194" s="18" t="n">
        <f aca="false">IF($X194&lt;=0,0,$W194/$X194)</f>
        <v>0</v>
      </c>
      <c r="Z194" s="16" t="n">
        <f aca="false">$Y194*$H194*MM_PARA_M3_HA</f>
        <v>0</v>
      </c>
      <c r="AA194" s="18" t="n">
        <f aca="false">IFERROR(INDEX(CADASTRO_PIVOS!$I$6:$I$41,MATCH($E194,CADASTRO_PIVOS!$B$6:$B$41,0)),0)</f>
        <v>714.714285714286</v>
      </c>
      <c r="AB194" s="18" t="n">
        <f aca="false">IF($Z194&lt;=0,0,$Z194/$AA194)</f>
        <v>0</v>
      </c>
      <c r="AC194" s="16" t="n">
        <f aca="false">IFERROR(INDEX(SEMANAS!$K$6:$K$71,MATCH($B194,SEMANAS!$B$6:$B$71,0)),0)</f>
        <v>147</v>
      </c>
      <c r="AD194" s="19" t="n">
        <f aca="false">IF($AC194&lt;=0,0,$AB194/$AC194)</f>
        <v>0</v>
      </c>
      <c r="AE194" s="8" t="str">
        <f aca="false">IF($K194="SEM CULTURA","SEM CULTURA",IF($AA194&lt;=0,"DADO PENDENTE",IF($AD194&gt;LIMITE_CRITICO,"INVIAVEL",IF($AD194&gt;LIMITE_ATENCAO,"CRITICO",IF($AD194&gt;LIMITE_CONFORTAVEL,"ATENCAO","OK")))))</f>
        <v>SEM CULTURA</v>
      </c>
      <c r="AF194" s="8" t="str">
        <f aca="false">$B194&amp;"|"&amp;TEXT($AD194,"0.000000")</f>
        <v>57|0.000000</v>
      </c>
      <c r="AG194" s="18" t="n">
        <f aca="false">IF($K194="SEM CULTURA",0,$T194*$H194)</f>
        <v>0</v>
      </c>
      <c r="AH194" s="18" t="n">
        <f aca="false">IF($K194="SEM CULTURA",0,$V194*$H194)</f>
        <v>0</v>
      </c>
      <c r="AI194" s="18" t="n">
        <f aca="false">IF($K194="SEM CULTURA",0,$W194*$H194)</f>
        <v>0</v>
      </c>
      <c r="AJ194" s="18" t="n">
        <f aca="false">IF($K194="SEM CULTURA",0,$S194*$H194)</f>
        <v>0</v>
      </c>
      <c r="AK194" s="8" t="str">
        <f aca="false">$E194&amp;"|"&amp;TEXT($AD194,"0.000000")</f>
        <v>PV 108|0.000000</v>
      </c>
    </row>
    <row r="195" customFormat="false" ht="15" hidden="false" customHeight="false" outlineLevel="0" collapsed="false">
      <c r="B195" s="16" t="n">
        <v>58</v>
      </c>
      <c r="C195" s="17" t="n">
        <f aca="false">DATA_INICIO_SAFRA+($B195-1)*DIAS_POR_SEMANA</f>
        <v>46664</v>
      </c>
      <c r="D195" s="17" t="n">
        <f aca="false">$C195+DIAS_POR_SEMANA-1</f>
        <v>46670</v>
      </c>
      <c r="E195" s="15" t="s">
        <v>261</v>
      </c>
      <c r="F195" s="8" t="str">
        <f aca="false">IFERROR(INDEX(CADASTRO_PIVOS!$C$6:$C$41,MATCH($E195,CADASTRO_PIVOS!$B$6:$B$41,0)),"?")</f>
        <v>RM02</v>
      </c>
      <c r="G195" s="8" t="str">
        <f aca="false">IFERROR(INDEX(CADASTRO_PIVOS!$D$6:$D$41,MATCH($E195,CADASTRO_PIVOS!$B$6:$B$41,0)),"?")</f>
        <v>TR02</v>
      </c>
      <c r="H195" s="20" t="n">
        <f aca="false">IFERROR(INDEX(CADASTRO_PIVOS!$E$6:$E$41,MATCH($E195,CADASTRO_PIVOS!$B$6:$B$41,0)),0)</f>
        <v>100.06</v>
      </c>
      <c r="I195" s="16" t="n">
        <f aca="false">IFERROR(SUMIFS(ROTACAO_RDM!$B$6:$B$71,ROTACAO_RDM!$D$6:$D$71,$E195,ROTACAO_RDM!$I$6:$I$71,"&lt;="&amp;$C195+INT(DIAS_POR_SEMANA/2),ROTACAO_RDM!$J$6:$J$71,"&gt;="&amp;$C195+INT(DIAS_POR_SEMANA/2)),0)</f>
        <v>0</v>
      </c>
      <c r="J195" s="16" t="n">
        <f aca="false">IFERROR(MATCH($I195,ROTACAO_RDM!$B$6:$B$71,0),0)</f>
        <v>0</v>
      </c>
      <c r="K195" s="8" t="str">
        <f aca="false">IF($J195=0,"SEM CULTURA",INDEX(ROTACAO_RDM!$F$6:$F$71,$J195))</f>
        <v>SEM CULTURA</v>
      </c>
      <c r="L195" s="8" t="str">
        <f aca="false">IF($J195=0,"",INDEX(ROTACAO_RDM!$G$6:$G$71,$J195))</f>
        <v/>
      </c>
      <c r="M195" s="17" t="str">
        <f aca="false">IF($J195=0,"",INDEX(ROTACAO_RDM!$I$6:$I$71,$J195))</f>
        <v/>
      </c>
      <c r="N195" s="16" t="n">
        <f aca="false">IF($J195=0,0,MAX(0,$C195+INT(DIAS_POR_SEMANA/2)-INDEX(ROTACAO_RDM!$I$6:$I$71,$J195)))</f>
        <v>0</v>
      </c>
      <c r="O195" s="19" t="n">
        <f aca="false">IF($J195=0,0,MIN(1,$N195/MAX(1,INDEX(ROTACAO_RDM!$K$6:$K$71,$J195))))</f>
        <v>0</v>
      </c>
      <c r="P195" s="16" t="n">
        <f aca="false">IF($J195=0,0,IFERROR(MATCH(INDEX(ROTACAO_RDM!$N$6:$N$71,$J195),PARAMETROS_CULTURAS!$B$6:$B$28,0),0))</f>
        <v>0</v>
      </c>
      <c r="Q195" s="8" t="str">
        <f aca="false">IF($P195=0,"-",IF($O195&lt;=INDEX(PARAMETROS_CULTURAS!$F$6:$F$28,$P195),"INICIAL",IF($O195&lt;=INDEX(PARAMETROS_CULTURAS!$F$6:$F$28,$P195)+INDEX(PARAMETROS_CULTURAS!$G$6:$G$28,$P195),"DESENVOLVIMENTO",IF($O195&lt;=INDEX(PARAMETROS_CULTURAS!$F$6:$F$28,$P195)+INDEX(PARAMETROS_CULTURAS!$G$6:$G$28,$P195)+INDEX(PARAMETROS_CULTURAS!$H$6:$H$28,$P195),"MEDIA","FINAL"))))</f>
        <v>-</v>
      </c>
      <c r="R195" s="24" t="n">
        <f aca="false">IF($P195=0,0,IF($O195&lt;=INDEX(PARAMETROS_CULTURAS!$F$6:$F$28,$P195),INDEX(PARAMETROS_CULTURAS!$K$6:$K$28,$P195),IF($O195&lt;=INDEX(PARAMETROS_CULTURAS!$F$6:$F$28,$P195)+INDEX(PARAMETROS_CULTURAS!$G$6:$G$28,$P195),INDEX(PARAMETROS_CULTURAS!$K$6:$K$28,$P195)+(INDEX(PARAMETROS_CULTURAS!$L$6:$L$28,$P195)-INDEX(PARAMETROS_CULTURAS!$K$6:$K$28,$P195))*($O195-INDEX(PARAMETROS_CULTURAS!$F$6:$F$28,$P195))/MAX(INDEX(PARAMETROS_CULTURAS!$G$6:$G$28,$P195),0.0001),IF($O195&lt;=INDEX(PARAMETROS_CULTURAS!$F$6:$F$28,$P195)+INDEX(PARAMETROS_CULTURAS!$G$6:$G$28,$P195)+INDEX(PARAMETROS_CULTURAS!$H$6:$H$28,$P195),INDEX(PARAMETROS_CULTURAS!$L$6:$L$28,$P195),INDEX(PARAMETROS_CULTURAS!$L$6:$L$28,$P195)+(INDEX(PARAMETROS_CULTURAS!$M$6:$M$28,$P195)-INDEX(PARAMETROS_CULTURAS!$L$6:$L$28,$P195))*($O195-INDEX(PARAMETROS_CULTURAS!$F$6:$F$28,$P195)-INDEX(PARAMETROS_CULTURAS!$G$6:$G$28,$P195)-INDEX(PARAMETROS_CULTURAS!$H$6:$H$28,$P195))/MAX(INDEX(PARAMETROS_CULTURAS!$I$6:$I$28,$P195),0.0001)))))</f>
        <v>0</v>
      </c>
      <c r="S195" s="18" t="n">
        <f aca="false">IFERROR(INDEX(SEMANAS!$H$6:$H$71,MATCH($B195,SEMANAS!$B$6:$B$71,0)),0)</f>
        <v>39.2</v>
      </c>
      <c r="T195" s="18" t="n">
        <f aca="false">$R195*$S195</f>
        <v>0</v>
      </c>
      <c r="U195" s="18" t="n">
        <f aca="false">IFERROR(INDEX(SEMANAS!$I$6:$I$71,MATCH($B195,SEMANAS!$B$6:$B$71,0)),0)</f>
        <v>27.09</v>
      </c>
      <c r="V195" s="18" t="n">
        <f aca="false">IFERROR(INDEX(SEMANAS!$J$6:$J$71,MATCH($B195,SEMANAS!$B$6:$B$71,0)),0)</f>
        <v>21.672</v>
      </c>
      <c r="W195" s="18" t="n">
        <f aca="false">MAX(0,$T195-$V195)</f>
        <v>0</v>
      </c>
      <c r="X195" s="19" t="n">
        <f aca="false">IFERROR(INDEX(CADASTRO_PIVOS!$K$6:$K$41,MATCH($E195,CADASTRO_PIVOS!$B$6:$B$41,0)),EFICIENCIA_PADRAO)</f>
        <v>0.85</v>
      </c>
      <c r="Y195" s="18" t="n">
        <f aca="false">IF($X195&lt;=0,0,$W195/$X195)</f>
        <v>0</v>
      </c>
      <c r="Z195" s="16" t="n">
        <f aca="false">$Y195*$H195*MM_PARA_M3_HA</f>
        <v>0</v>
      </c>
      <c r="AA195" s="18" t="n">
        <f aca="false">IFERROR(INDEX(CADASTRO_PIVOS!$I$6:$I$41,MATCH($E195,CADASTRO_PIVOS!$B$6:$B$41,0)),0)</f>
        <v>714.714285714286</v>
      </c>
      <c r="AB195" s="18" t="n">
        <f aca="false">IF($Z195&lt;=0,0,$Z195/$AA195)</f>
        <v>0</v>
      </c>
      <c r="AC195" s="16" t="n">
        <f aca="false">IFERROR(INDEX(SEMANAS!$K$6:$K$71,MATCH($B195,SEMANAS!$B$6:$B$71,0)),0)</f>
        <v>147</v>
      </c>
      <c r="AD195" s="19" t="n">
        <f aca="false">IF($AC195&lt;=0,0,$AB195/$AC195)</f>
        <v>0</v>
      </c>
      <c r="AE195" s="8" t="str">
        <f aca="false">IF($K195="SEM CULTURA","SEM CULTURA",IF($AA195&lt;=0,"DADO PENDENTE",IF($AD195&gt;LIMITE_CRITICO,"INVIAVEL",IF($AD195&gt;LIMITE_ATENCAO,"CRITICO",IF($AD195&gt;LIMITE_CONFORTAVEL,"ATENCAO","OK")))))</f>
        <v>SEM CULTURA</v>
      </c>
      <c r="AF195" s="8" t="str">
        <f aca="false">$B195&amp;"|"&amp;TEXT($AD195,"0.000000")</f>
        <v>58|0.000000</v>
      </c>
      <c r="AG195" s="18" t="n">
        <f aca="false">IF($K195="SEM CULTURA",0,$T195*$H195)</f>
        <v>0</v>
      </c>
      <c r="AH195" s="18" t="n">
        <f aca="false">IF($K195="SEM CULTURA",0,$V195*$H195)</f>
        <v>0</v>
      </c>
      <c r="AI195" s="18" t="n">
        <f aca="false">IF($K195="SEM CULTURA",0,$W195*$H195)</f>
        <v>0</v>
      </c>
      <c r="AJ195" s="18" t="n">
        <f aca="false">IF($K195="SEM CULTURA",0,$S195*$H195)</f>
        <v>0</v>
      </c>
      <c r="AK195" s="8" t="str">
        <f aca="false">$E195&amp;"|"&amp;TEXT($AD195,"0.000000")</f>
        <v>PV 108|0.000000</v>
      </c>
    </row>
    <row r="196" customFormat="false" ht="15" hidden="false" customHeight="false" outlineLevel="0" collapsed="false">
      <c r="B196" s="16" t="n">
        <v>59</v>
      </c>
      <c r="C196" s="17" t="n">
        <f aca="false">DATA_INICIO_SAFRA+($B196-1)*DIAS_POR_SEMANA</f>
        <v>46671</v>
      </c>
      <c r="D196" s="17" t="n">
        <f aca="false">$C196+DIAS_POR_SEMANA-1</f>
        <v>46677</v>
      </c>
      <c r="E196" s="15" t="s">
        <v>261</v>
      </c>
      <c r="F196" s="8" t="str">
        <f aca="false">IFERROR(INDEX(CADASTRO_PIVOS!$C$6:$C$41,MATCH($E196,CADASTRO_PIVOS!$B$6:$B$41,0)),"?")</f>
        <v>RM02</v>
      </c>
      <c r="G196" s="8" t="str">
        <f aca="false">IFERROR(INDEX(CADASTRO_PIVOS!$D$6:$D$41,MATCH($E196,CADASTRO_PIVOS!$B$6:$B$41,0)),"?")</f>
        <v>TR02</v>
      </c>
      <c r="H196" s="20" t="n">
        <f aca="false">IFERROR(INDEX(CADASTRO_PIVOS!$E$6:$E$41,MATCH($E196,CADASTRO_PIVOS!$B$6:$B$41,0)),0)</f>
        <v>100.06</v>
      </c>
      <c r="I196" s="16" t="n">
        <f aca="false">IFERROR(SUMIFS(ROTACAO_RDM!$B$6:$B$71,ROTACAO_RDM!$D$6:$D$71,$E196,ROTACAO_RDM!$I$6:$I$71,"&lt;="&amp;$C196+INT(DIAS_POR_SEMANA/2),ROTACAO_RDM!$J$6:$J$71,"&gt;="&amp;$C196+INT(DIAS_POR_SEMANA/2)),0)</f>
        <v>0</v>
      </c>
      <c r="J196" s="16" t="n">
        <f aca="false">IFERROR(MATCH($I196,ROTACAO_RDM!$B$6:$B$71,0),0)</f>
        <v>0</v>
      </c>
      <c r="K196" s="8" t="str">
        <f aca="false">IF($J196=0,"SEM CULTURA",INDEX(ROTACAO_RDM!$F$6:$F$71,$J196))</f>
        <v>SEM CULTURA</v>
      </c>
      <c r="L196" s="8" t="str">
        <f aca="false">IF($J196=0,"",INDEX(ROTACAO_RDM!$G$6:$G$71,$J196))</f>
        <v/>
      </c>
      <c r="M196" s="17" t="str">
        <f aca="false">IF($J196=0,"",INDEX(ROTACAO_RDM!$I$6:$I$71,$J196))</f>
        <v/>
      </c>
      <c r="N196" s="16" t="n">
        <f aca="false">IF($J196=0,0,MAX(0,$C196+INT(DIAS_POR_SEMANA/2)-INDEX(ROTACAO_RDM!$I$6:$I$71,$J196)))</f>
        <v>0</v>
      </c>
      <c r="O196" s="19" t="n">
        <f aca="false">IF($J196=0,0,MIN(1,$N196/MAX(1,INDEX(ROTACAO_RDM!$K$6:$K$71,$J196))))</f>
        <v>0</v>
      </c>
      <c r="P196" s="16" t="n">
        <f aca="false">IF($J196=0,0,IFERROR(MATCH(INDEX(ROTACAO_RDM!$N$6:$N$71,$J196),PARAMETROS_CULTURAS!$B$6:$B$28,0),0))</f>
        <v>0</v>
      </c>
      <c r="Q196" s="8" t="str">
        <f aca="false">IF($P196=0,"-",IF($O196&lt;=INDEX(PARAMETROS_CULTURAS!$F$6:$F$28,$P196),"INICIAL",IF($O196&lt;=INDEX(PARAMETROS_CULTURAS!$F$6:$F$28,$P196)+INDEX(PARAMETROS_CULTURAS!$G$6:$G$28,$P196),"DESENVOLVIMENTO",IF($O196&lt;=INDEX(PARAMETROS_CULTURAS!$F$6:$F$28,$P196)+INDEX(PARAMETROS_CULTURAS!$G$6:$G$28,$P196)+INDEX(PARAMETROS_CULTURAS!$H$6:$H$28,$P196),"MEDIA","FINAL"))))</f>
        <v>-</v>
      </c>
      <c r="R196" s="24" t="n">
        <f aca="false">IF($P196=0,0,IF($O196&lt;=INDEX(PARAMETROS_CULTURAS!$F$6:$F$28,$P196),INDEX(PARAMETROS_CULTURAS!$K$6:$K$28,$P196),IF($O196&lt;=INDEX(PARAMETROS_CULTURAS!$F$6:$F$28,$P196)+INDEX(PARAMETROS_CULTURAS!$G$6:$G$28,$P196),INDEX(PARAMETROS_CULTURAS!$K$6:$K$28,$P196)+(INDEX(PARAMETROS_CULTURAS!$L$6:$L$28,$P196)-INDEX(PARAMETROS_CULTURAS!$K$6:$K$28,$P196))*($O196-INDEX(PARAMETROS_CULTURAS!$F$6:$F$28,$P196))/MAX(INDEX(PARAMETROS_CULTURAS!$G$6:$G$28,$P196),0.0001),IF($O196&lt;=INDEX(PARAMETROS_CULTURAS!$F$6:$F$28,$P196)+INDEX(PARAMETROS_CULTURAS!$G$6:$G$28,$P196)+INDEX(PARAMETROS_CULTURAS!$H$6:$H$28,$P196),INDEX(PARAMETROS_CULTURAS!$L$6:$L$28,$P196),INDEX(PARAMETROS_CULTURAS!$L$6:$L$28,$P196)+(INDEX(PARAMETROS_CULTURAS!$M$6:$M$28,$P196)-INDEX(PARAMETROS_CULTURAS!$L$6:$L$28,$P196))*($O196-INDEX(PARAMETROS_CULTURAS!$F$6:$F$28,$P196)-INDEX(PARAMETROS_CULTURAS!$G$6:$G$28,$P196)-INDEX(PARAMETROS_CULTURAS!$H$6:$H$28,$P196))/MAX(INDEX(PARAMETROS_CULTURAS!$I$6:$I$28,$P196),0.0001)))))</f>
        <v>0</v>
      </c>
      <c r="S196" s="18" t="n">
        <f aca="false">IFERROR(INDEX(SEMANAS!$H$6:$H$71,MATCH($B196,SEMANAS!$B$6:$B$71,0)),0)</f>
        <v>39.2</v>
      </c>
      <c r="T196" s="18" t="n">
        <f aca="false">$R196*$S196</f>
        <v>0</v>
      </c>
      <c r="U196" s="18" t="n">
        <f aca="false">IFERROR(INDEX(SEMANAS!$I$6:$I$71,MATCH($B196,SEMANAS!$B$6:$B$71,0)),0)</f>
        <v>27.09</v>
      </c>
      <c r="V196" s="18" t="n">
        <f aca="false">IFERROR(INDEX(SEMANAS!$J$6:$J$71,MATCH($B196,SEMANAS!$B$6:$B$71,0)),0)</f>
        <v>21.672</v>
      </c>
      <c r="W196" s="18" t="n">
        <f aca="false">MAX(0,$T196-$V196)</f>
        <v>0</v>
      </c>
      <c r="X196" s="19" t="n">
        <f aca="false">IFERROR(INDEX(CADASTRO_PIVOS!$K$6:$K$41,MATCH($E196,CADASTRO_PIVOS!$B$6:$B$41,0)),EFICIENCIA_PADRAO)</f>
        <v>0.85</v>
      </c>
      <c r="Y196" s="18" t="n">
        <f aca="false">IF($X196&lt;=0,0,$W196/$X196)</f>
        <v>0</v>
      </c>
      <c r="Z196" s="16" t="n">
        <f aca="false">$Y196*$H196*MM_PARA_M3_HA</f>
        <v>0</v>
      </c>
      <c r="AA196" s="18" t="n">
        <f aca="false">IFERROR(INDEX(CADASTRO_PIVOS!$I$6:$I$41,MATCH($E196,CADASTRO_PIVOS!$B$6:$B$41,0)),0)</f>
        <v>714.714285714286</v>
      </c>
      <c r="AB196" s="18" t="n">
        <f aca="false">IF($Z196&lt;=0,0,$Z196/$AA196)</f>
        <v>0</v>
      </c>
      <c r="AC196" s="16" t="n">
        <f aca="false">IFERROR(INDEX(SEMANAS!$K$6:$K$71,MATCH($B196,SEMANAS!$B$6:$B$71,0)),0)</f>
        <v>147</v>
      </c>
      <c r="AD196" s="19" t="n">
        <f aca="false">IF($AC196&lt;=0,0,$AB196/$AC196)</f>
        <v>0</v>
      </c>
      <c r="AE196" s="8" t="str">
        <f aca="false">IF($K196="SEM CULTURA","SEM CULTURA",IF($AA196&lt;=0,"DADO PENDENTE",IF($AD196&gt;LIMITE_CRITICO,"INVIAVEL",IF($AD196&gt;LIMITE_ATENCAO,"CRITICO",IF($AD196&gt;LIMITE_CONFORTAVEL,"ATENCAO","OK")))))</f>
        <v>SEM CULTURA</v>
      </c>
      <c r="AF196" s="8" t="str">
        <f aca="false">$B196&amp;"|"&amp;TEXT($AD196,"0.000000")</f>
        <v>59|0.000000</v>
      </c>
      <c r="AG196" s="18" t="n">
        <f aca="false">IF($K196="SEM CULTURA",0,$T196*$H196)</f>
        <v>0</v>
      </c>
      <c r="AH196" s="18" t="n">
        <f aca="false">IF($K196="SEM CULTURA",0,$V196*$H196)</f>
        <v>0</v>
      </c>
      <c r="AI196" s="18" t="n">
        <f aca="false">IF($K196="SEM CULTURA",0,$W196*$H196)</f>
        <v>0</v>
      </c>
      <c r="AJ196" s="18" t="n">
        <f aca="false">IF($K196="SEM CULTURA",0,$S196*$H196)</f>
        <v>0</v>
      </c>
      <c r="AK196" s="8" t="str">
        <f aca="false">$E196&amp;"|"&amp;TEXT($AD196,"0.000000")</f>
        <v>PV 108|0.000000</v>
      </c>
    </row>
    <row r="197" customFormat="false" ht="15" hidden="false" customHeight="false" outlineLevel="0" collapsed="false">
      <c r="B197" s="16" t="n">
        <v>60</v>
      </c>
      <c r="C197" s="17" t="n">
        <f aca="false">DATA_INICIO_SAFRA+($B197-1)*DIAS_POR_SEMANA</f>
        <v>46678</v>
      </c>
      <c r="D197" s="17" t="n">
        <f aca="false">$C197+DIAS_POR_SEMANA-1</f>
        <v>46684</v>
      </c>
      <c r="E197" s="15" t="s">
        <v>261</v>
      </c>
      <c r="F197" s="8" t="str">
        <f aca="false">IFERROR(INDEX(CADASTRO_PIVOS!$C$6:$C$41,MATCH($E197,CADASTRO_PIVOS!$B$6:$B$41,0)),"?")</f>
        <v>RM02</v>
      </c>
      <c r="G197" s="8" t="str">
        <f aca="false">IFERROR(INDEX(CADASTRO_PIVOS!$D$6:$D$41,MATCH($E197,CADASTRO_PIVOS!$B$6:$B$41,0)),"?")</f>
        <v>TR02</v>
      </c>
      <c r="H197" s="20" t="n">
        <f aca="false">IFERROR(INDEX(CADASTRO_PIVOS!$E$6:$E$41,MATCH($E197,CADASTRO_PIVOS!$B$6:$B$41,0)),0)</f>
        <v>100.06</v>
      </c>
      <c r="I197" s="16" t="n">
        <f aca="false">IFERROR(SUMIFS(ROTACAO_RDM!$B$6:$B$71,ROTACAO_RDM!$D$6:$D$71,$E197,ROTACAO_RDM!$I$6:$I$71,"&lt;="&amp;$C197+INT(DIAS_POR_SEMANA/2),ROTACAO_RDM!$J$6:$J$71,"&gt;="&amp;$C197+INT(DIAS_POR_SEMANA/2)),0)</f>
        <v>0</v>
      </c>
      <c r="J197" s="16" t="n">
        <f aca="false">IFERROR(MATCH($I197,ROTACAO_RDM!$B$6:$B$71,0),0)</f>
        <v>0</v>
      </c>
      <c r="K197" s="8" t="str">
        <f aca="false">IF($J197=0,"SEM CULTURA",INDEX(ROTACAO_RDM!$F$6:$F$71,$J197))</f>
        <v>SEM CULTURA</v>
      </c>
      <c r="L197" s="8" t="str">
        <f aca="false">IF($J197=0,"",INDEX(ROTACAO_RDM!$G$6:$G$71,$J197))</f>
        <v/>
      </c>
      <c r="M197" s="17" t="str">
        <f aca="false">IF($J197=0,"",INDEX(ROTACAO_RDM!$I$6:$I$71,$J197))</f>
        <v/>
      </c>
      <c r="N197" s="16" t="n">
        <f aca="false">IF($J197=0,0,MAX(0,$C197+INT(DIAS_POR_SEMANA/2)-INDEX(ROTACAO_RDM!$I$6:$I$71,$J197)))</f>
        <v>0</v>
      </c>
      <c r="O197" s="19" t="n">
        <f aca="false">IF($J197=0,0,MIN(1,$N197/MAX(1,INDEX(ROTACAO_RDM!$K$6:$K$71,$J197))))</f>
        <v>0</v>
      </c>
      <c r="P197" s="16" t="n">
        <f aca="false">IF($J197=0,0,IFERROR(MATCH(INDEX(ROTACAO_RDM!$N$6:$N$71,$J197),PARAMETROS_CULTURAS!$B$6:$B$28,0),0))</f>
        <v>0</v>
      </c>
      <c r="Q197" s="8" t="str">
        <f aca="false">IF($P197=0,"-",IF($O197&lt;=INDEX(PARAMETROS_CULTURAS!$F$6:$F$28,$P197),"INICIAL",IF($O197&lt;=INDEX(PARAMETROS_CULTURAS!$F$6:$F$28,$P197)+INDEX(PARAMETROS_CULTURAS!$G$6:$G$28,$P197),"DESENVOLVIMENTO",IF($O197&lt;=INDEX(PARAMETROS_CULTURAS!$F$6:$F$28,$P197)+INDEX(PARAMETROS_CULTURAS!$G$6:$G$28,$P197)+INDEX(PARAMETROS_CULTURAS!$H$6:$H$28,$P197),"MEDIA","FINAL"))))</f>
        <v>-</v>
      </c>
      <c r="R197" s="24" t="n">
        <f aca="false">IF($P197=0,0,IF($O197&lt;=INDEX(PARAMETROS_CULTURAS!$F$6:$F$28,$P197),INDEX(PARAMETROS_CULTURAS!$K$6:$K$28,$P197),IF($O197&lt;=INDEX(PARAMETROS_CULTURAS!$F$6:$F$28,$P197)+INDEX(PARAMETROS_CULTURAS!$G$6:$G$28,$P197),INDEX(PARAMETROS_CULTURAS!$K$6:$K$28,$P197)+(INDEX(PARAMETROS_CULTURAS!$L$6:$L$28,$P197)-INDEX(PARAMETROS_CULTURAS!$K$6:$K$28,$P197))*($O197-INDEX(PARAMETROS_CULTURAS!$F$6:$F$28,$P197))/MAX(INDEX(PARAMETROS_CULTURAS!$G$6:$G$28,$P197),0.0001),IF($O197&lt;=INDEX(PARAMETROS_CULTURAS!$F$6:$F$28,$P197)+INDEX(PARAMETROS_CULTURAS!$G$6:$G$28,$P197)+INDEX(PARAMETROS_CULTURAS!$H$6:$H$28,$P197),INDEX(PARAMETROS_CULTURAS!$L$6:$L$28,$P197),INDEX(PARAMETROS_CULTURAS!$L$6:$L$28,$P197)+(INDEX(PARAMETROS_CULTURAS!$M$6:$M$28,$P197)-INDEX(PARAMETROS_CULTURAS!$L$6:$L$28,$P197))*($O197-INDEX(PARAMETROS_CULTURAS!$F$6:$F$28,$P197)-INDEX(PARAMETROS_CULTURAS!$G$6:$G$28,$P197)-INDEX(PARAMETROS_CULTURAS!$H$6:$H$28,$P197))/MAX(INDEX(PARAMETROS_CULTURAS!$I$6:$I$28,$P197),0.0001)))))</f>
        <v>0</v>
      </c>
      <c r="S197" s="18" t="n">
        <f aca="false">IFERROR(INDEX(SEMANAS!$H$6:$H$71,MATCH($B197,SEMANAS!$B$6:$B$71,0)),0)</f>
        <v>39.2</v>
      </c>
      <c r="T197" s="18" t="n">
        <f aca="false">$R197*$S197</f>
        <v>0</v>
      </c>
      <c r="U197" s="18" t="n">
        <f aca="false">IFERROR(INDEX(SEMANAS!$I$6:$I$71,MATCH($B197,SEMANAS!$B$6:$B$71,0)),0)</f>
        <v>27.09</v>
      </c>
      <c r="V197" s="18" t="n">
        <f aca="false">IFERROR(INDEX(SEMANAS!$J$6:$J$71,MATCH($B197,SEMANAS!$B$6:$B$71,0)),0)</f>
        <v>21.672</v>
      </c>
      <c r="W197" s="18" t="n">
        <f aca="false">MAX(0,$T197-$V197)</f>
        <v>0</v>
      </c>
      <c r="X197" s="19" t="n">
        <f aca="false">IFERROR(INDEX(CADASTRO_PIVOS!$K$6:$K$41,MATCH($E197,CADASTRO_PIVOS!$B$6:$B$41,0)),EFICIENCIA_PADRAO)</f>
        <v>0.85</v>
      </c>
      <c r="Y197" s="18" t="n">
        <f aca="false">IF($X197&lt;=0,0,$W197/$X197)</f>
        <v>0</v>
      </c>
      <c r="Z197" s="16" t="n">
        <f aca="false">$Y197*$H197*MM_PARA_M3_HA</f>
        <v>0</v>
      </c>
      <c r="AA197" s="18" t="n">
        <f aca="false">IFERROR(INDEX(CADASTRO_PIVOS!$I$6:$I$41,MATCH($E197,CADASTRO_PIVOS!$B$6:$B$41,0)),0)</f>
        <v>714.714285714286</v>
      </c>
      <c r="AB197" s="18" t="n">
        <f aca="false">IF($Z197&lt;=0,0,$Z197/$AA197)</f>
        <v>0</v>
      </c>
      <c r="AC197" s="16" t="n">
        <f aca="false">IFERROR(INDEX(SEMANAS!$K$6:$K$71,MATCH($B197,SEMANAS!$B$6:$B$71,0)),0)</f>
        <v>147</v>
      </c>
      <c r="AD197" s="19" t="n">
        <f aca="false">IF($AC197&lt;=0,0,$AB197/$AC197)</f>
        <v>0</v>
      </c>
      <c r="AE197" s="8" t="str">
        <f aca="false">IF($K197="SEM CULTURA","SEM CULTURA",IF($AA197&lt;=0,"DADO PENDENTE",IF($AD197&gt;LIMITE_CRITICO,"INVIAVEL",IF($AD197&gt;LIMITE_ATENCAO,"CRITICO",IF($AD197&gt;LIMITE_CONFORTAVEL,"ATENCAO","OK")))))</f>
        <v>SEM CULTURA</v>
      </c>
      <c r="AF197" s="8" t="str">
        <f aca="false">$B197&amp;"|"&amp;TEXT($AD197,"0.000000")</f>
        <v>60|0.000000</v>
      </c>
      <c r="AG197" s="18" t="n">
        <f aca="false">IF($K197="SEM CULTURA",0,$T197*$H197)</f>
        <v>0</v>
      </c>
      <c r="AH197" s="18" t="n">
        <f aca="false">IF($K197="SEM CULTURA",0,$V197*$H197)</f>
        <v>0</v>
      </c>
      <c r="AI197" s="18" t="n">
        <f aca="false">IF($K197="SEM CULTURA",0,$W197*$H197)</f>
        <v>0</v>
      </c>
      <c r="AJ197" s="18" t="n">
        <f aca="false">IF($K197="SEM CULTURA",0,$S197*$H197)</f>
        <v>0</v>
      </c>
      <c r="AK197" s="8" t="str">
        <f aca="false">$E197&amp;"|"&amp;TEXT($AD197,"0.000000")</f>
        <v>PV 108|0.000000</v>
      </c>
    </row>
    <row r="198" customFormat="false" ht="15" hidden="false" customHeight="false" outlineLevel="0" collapsed="false">
      <c r="B198" s="16" t="n">
        <v>61</v>
      </c>
      <c r="C198" s="17" t="n">
        <f aca="false">DATA_INICIO_SAFRA+($B198-1)*DIAS_POR_SEMANA</f>
        <v>46685</v>
      </c>
      <c r="D198" s="17" t="n">
        <f aca="false">$C198+DIAS_POR_SEMANA-1</f>
        <v>46691</v>
      </c>
      <c r="E198" s="15" t="s">
        <v>261</v>
      </c>
      <c r="F198" s="8" t="str">
        <f aca="false">IFERROR(INDEX(CADASTRO_PIVOS!$C$6:$C$41,MATCH($E198,CADASTRO_PIVOS!$B$6:$B$41,0)),"?")</f>
        <v>RM02</v>
      </c>
      <c r="G198" s="8" t="str">
        <f aca="false">IFERROR(INDEX(CADASTRO_PIVOS!$D$6:$D$41,MATCH($E198,CADASTRO_PIVOS!$B$6:$B$41,0)),"?")</f>
        <v>TR02</v>
      </c>
      <c r="H198" s="20" t="n">
        <f aca="false">IFERROR(INDEX(CADASTRO_PIVOS!$E$6:$E$41,MATCH($E198,CADASTRO_PIVOS!$B$6:$B$41,0)),0)</f>
        <v>100.06</v>
      </c>
      <c r="I198" s="16" t="n">
        <f aca="false">IFERROR(SUMIFS(ROTACAO_RDM!$B$6:$B$71,ROTACAO_RDM!$D$6:$D$71,$E198,ROTACAO_RDM!$I$6:$I$71,"&lt;="&amp;$C198+INT(DIAS_POR_SEMANA/2),ROTACAO_RDM!$J$6:$J$71,"&gt;="&amp;$C198+INT(DIAS_POR_SEMANA/2)),0)</f>
        <v>0</v>
      </c>
      <c r="J198" s="16" t="n">
        <f aca="false">IFERROR(MATCH($I198,ROTACAO_RDM!$B$6:$B$71,0),0)</f>
        <v>0</v>
      </c>
      <c r="K198" s="8" t="str">
        <f aca="false">IF($J198=0,"SEM CULTURA",INDEX(ROTACAO_RDM!$F$6:$F$71,$J198))</f>
        <v>SEM CULTURA</v>
      </c>
      <c r="L198" s="8" t="str">
        <f aca="false">IF($J198=0,"",INDEX(ROTACAO_RDM!$G$6:$G$71,$J198))</f>
        <v/>
      </c>
      <c r="M198" s="17" t="str">
        <f aca="false">IF($J198=0,"",INDEX(ROTACAO_RDM!$I$6:$I$71,$J198))</f>
        <v/>
      </c>
      <c r="N198" s="16" t="n">
        <f aca="false">IF($J198=0,0,MAX(0,$C198+INT(DIAS_POR_SEMANA/2)-INDEX(ROTACAO_RDM!$I$6:$I$71,$J198)))</f>
        <v>0</v>
      </c>
      <c r="O198" s="19" t="n">
        <f aca="false">IF($J198=0,0,MIN(1,$N198/MAX(1,INDEX(ROTACAO_RDM!$K$6:$K$71,$J198))))</f>
        <v>0</v>
      </c>
      <c r="P198" s="16" t="n">
        <f aca="false">IF($J198=0,0,IFERROR(MATCH(INDEX(ROTACAO_RDM!$N$6:$N$71,$J198),PARAMETROS_CULTURAS!$B$6:$B$28,0),0))</f>
        <v>0</v>
      </c>
      <c r="Q198" s="8" t="str">
        <f aca="false">IF($P198=0,"-",IF($O198&lt;=INDEX(PARAMETROS_CULTURAS!$F$6:$F$28,$P198),"INICIAL",IF($O198&lt;=INDEX(PARAMETROS_CULTURAS!$F$6:$F$28,$P198)+INDEX(PARAMETROS_CULTURAS!$G$6:$G$28,$P198),"DESENVOLVIMENTO",IF($O198&lt;=INDEX(PARAMETROS_CULTURAS!$F$6:$F$28,$P198)+INDEX(PARAMETROS_CULTURAS!$G$6:$G$28,$P198)+INDEX(PARAMETROS_CULTURAS!$H$6:$H$28,$P198),"MEDIA","FINAL"))))</f>
        <v>-</v>
      </c>
      <c r="R198" s="24" t="n">
        <f aca="false">IF($P198=0,0,IF($O198&lt;=INDEX(PARAMETROS_CULTURAS!$F$6:$F$28,$P198),INDEX(PARAMETROS_CULTURAS!$K$6:$K$28,$P198),IF($O198&lt;=INDEX(PARAMETROS_CULTURAS!$F$6:$F$28,$P198)+INDEX(PARAMETROS_CULTURAS!$G$6:$G$28,$P198),INDEX(PARAMETROS_CULTURAS!$K$6:$K$28,$P198)+(INDEX(PARAMETROS_CULTURAS!$L$6:$L$28,$P198)-INDEX(PARAMETROS_CULTURAS!$K$6:$K$28,$P198))*($O198-INDEX(PARAMETROS_CULTURAS!$F$6:$F$28,$P198))/MAX(INDEX(PARAMETROS_CULTURAS!$G$6:$G$28,$P198),0.0001),IF($O198&lt;=INDEX(PARAMETROS_CULTURAS!$F$6:$F$28,$P198)+INDEX(PARAMETROS_CULTURAS!$G$6:$G$28,$P198)+INDEX(PARAMETROS_CULTURAS!$H$6:$H$28,$P198),INDEX(PARAMETROS_CULTURAS!$L$6:$L$28,$P198),INDEX(PARAMETROS_CULTURAS!$L$6:$L$28,$P198)+(INDEX(PARAMETROS_CULTURAS!$M$6:$M$28,$P198)-INDEX(PARAMETROS_CULTURAS!$L$6:$L$28,$P198))*($O198-INDEX(PARAMETROS_CULTURAS!$F$6:$F$28,$P198)-INDEX(PARAMETROS_CULTURAS!$G$6:$G$28,$P198)-INDEX(PARAMETROS_CULTURAS!$H$6:$H$28,$P198))/MAX(INDEX(PARAMETROS_CULTURAS!$I$6:$I$28,$P198),0.0001)))))</f>
        <v>0</v>
      </c>
      <c r="S198" s="18" t="n">
        <f aca="false">IFERROR(INDEX(SEMANAS!$H$6:$H$71,MATCH($B198,SEMANAS!$B$6:$B$71,0)),0)</f>
        <v>39.2</v>
      </c>
      <c r="T198" s="18" t="n">
        <f aca="false">$R198*$S198</f>
        <v>0</v>
      </c>
      <c r="U198" s="18" t="n">
        <f aca="false">IFERROR(INDEX(SEMANAS!$I$6:$I$71,MATCH($B198,SEMANAS!$B$6:$B$71,0)),0)</f>
        <v>27.09</v>
      </c>
      <c r="V198" s="18" t="n">
        <f aca="false">IFERROR(INDEX(SEMANAS!$J$6:$J$71,MATCH($B198,SEMANAS!$B$6:$B$71,0)),0)</f>
        <v>21.672</v>
      </c>
      <c r="W198" s="18" t="n">
        <f aca="false">MAX(0,$T198-$V198)</f>
        <v>0</v>
      </c>
      <c r="X198" s="19" t="n">
        <f aca="false">IFERROR(INDEX(CADASTRO_PIVOS!$K$6:$K$41,MATCH($E198,CADASTRO_PIVOS!$B$6:$B$41,0)),EFICIENCIA_PADRAO)</f>
        <v>0.85</v>
      </c>
      <c r="Y198" s="18" t="n">
        <f aca="false">IF($X198&lt;=0,0,$W198/$X198)</f>
        <v>0</v>
      </c>
      <c r="Z198" s="16" t="n">
        <f aca="false">$Y198*$H198*MM_PARA_M3_HA</f>
        <v>0</v>
      </c>
      <c r="AA198" s="18" t="n">
        <f aca="false">IFERROR(INDEX(CADASTRO_PIVOS!$I$6:$I$41,MATCH($E198,CADASTRO_PIVOS!$B$6:$B$41,0)),0)</f>
        <v>714.714285714286</v>
      </c>
      <c r="AB198" s="18" t="n">
        <f aca="false">IF($Z198&lt;=0,0,$Z198/$AA198)</f>
        <v>0</v>
      </c>
      <c r="AC198" s="16" t="n">
        <f aca="false">IFERROR(INDEX(SEMANAS!$K$6:$K$71,MATCH($B198,SEMANAS!$B$6:$B$71,0)),0)</f>
        <v>147</v>
      </c>
      <c r="AD198" s="19" t="n">
        <f aca="false">IF($AC198&lt;=0,0,$AB198/$AC198)</f>
        <v>0</v>
      </c>
      <c r="AE198" s="8" t="str">
        <f aca="false">IF($K198="SEM CULTURA","SEM CULTURA",IF($AA198&lt;=0,"DADO PENDENTE",IF($AD198&gt;LIMITE_CRITICO,"INVIAVEL",IF($AD198&gt;LIMITE_ATENCAO,"CRITICO",IF($AD198&gt;LIMITE_CONFORTAVEL,"ATENCAO","OK")))))</f>
        <v>SEM CULTURA</v>
      </c>
      <c r="AF198" s="8" t="str">
        <f aca="false">$B198&amp;"|"&amp;TEXT($AD198,"0.000000")</f>
        <v>61|0.000000</v>
      </c>
      <c r="AG198" s="18" t="n">
        <f aca="false">IF($K198="SEM CULTURA",0,$T198*$H198)</f>
        <v>0</v>
      </c>
      <c r="AH198" s="18" t="n">
        <f aca="false">IF($K198="SEM CULTURA",0,$V198*$H198)</f>
        <v>0</v>
      </c>
      <c r="AI198" s="18" t="n">
        <f aca="false">IF($K198="SEM CULTURA",0,$W198*$H198)</f>
        <v>0</v>
      </c>
      <c r="AJ198" s="18" t="n">
        <f aca="false">IF($K198="SEM CULTURA",0,$S198*$H198)</f>
        <v>0</v>
      </c>
      <c r="AK198" s="8" t="str">
        <f aca="false">$E198&amp;"|"&amp;TEXT($AD198,"0.000000")</f>
        <v>PV 108|0.000000</v>
      </c>
    </row>
    <row r="199" customFormat="false" ht="15" hidden="false" customHeight="false" outlineLevel="0" collapsed="false">
      <c r="B199" s="16" t="n">
        <v>62</v>
      </c>
      <c r="C199" s="17" t="n">
        <f aca="false">DATA_INICIO_SAFRA+($B199-1)*DIAS_POR_SEMANA</f>
        <v>46692</v>
      </c>
      <c r="D199" s="17" t="n">
        <f aca="false">$C199+DIAS_POR_SEMANA-1</f>
        <v>46698</v>
      </c>
      <c r="E199" s="15" t="s">
        <v>261</v>
      </c>
      <c r="F199" s="8" t="str">
        <f aca="false">IFERROR(INDEX(CADASTRO_PIVOS!$C$6:$C$41,MATCH($E199,CADASTRO_PIVOS!$B$6:$B$41,0)),"?")</f>
        <v>RM02</v>
      </c>
      <c r="G199" s="8" t="str">
        <f aca="false">IFERROR(INDEX(CADASTRO_PIVOS!$D$6:$D$41,MATCH($E199,CADASTRO_PIVOS!$B$6:$B$41,0)),"?")</f>
        <v>TR02</v>
      </c>
      <c r="H199" s="20" t="n">
        <f aca="false">IFERROR(INDEX(CADASTRO_PIVOS!$E$6:$E$41,MATCH($E199,CADASTRO_PIVOS!$B$6:$B$41,0)),0)</f>
        <v>100.06</v>
      </c>
      <c r="I199" s="16" t="n">
        <f aca="false">IFERROR(SUMIFS(ROTACAO_RDM!$B$6:$B$71,ROTACAO_RDM!$D$6:$D$71,$E199,ROTACAO_RDM!$I$6:$I$71,"&lt;="&amp;$C199+INT(DIAS_POR_SEMANA/2),ROTACAO_RDM!$J$6:$J$71,"&gt;="&amp;$C199+INT(DIAS_POR_SEMANA/2)),0)</f>
        <v>0</v>
      </c>
      <c r="J199" s="16" t="n">
        <f aca="false">IFERROR(MATCH($I199,ROTACAO_RDM!$B$6:$B$71,0),0)</f>
        <v>0</v>
      </c>
      <c r="K199" s="8" t="str">
        <f aca="false">IF($J199=0,"SEM CULTURA",INDEX(ROTACAO_RDM!$F$6:$F$71,$J199))</f>
        <v>SEM CULTURA</v>
      </c>
      <c r="L199" s="8" t="str">
        <f aca="false">IF($J199=0,"",INDEX(ROTACAO_RDM!$G$6:$G$71,$J199))</f>
        <v/>
      </c>
      <c r="M199" s="17" t="str">
        <f aca="false">IF($J199=0,"",INDEX(ROTACAO_RDM!$I$6:$I$71,$J199))</f>
        <v/>
      </c>
      <c r="N199" s="16" t="n">
        <f aca="false">IF($J199=0,0,MAX(0,$C199+INT(DIAS_POR_SEMANA/2)-INDEX(ROTACAO_RDM!$I$6:$I$71,$J199)))</f>
        <v>0</v>
      </c>
      <c r="O199" s="19" t="n">
        <f aca="false">IF($J199=0,0,MIN(1,$N199/MAX(1,INDEX(ROTACAO_RDM!$K$6:$K$71,$J199))))</f>
        <v>0</v>
      </c>
      <c r="P199" s="16" t="n">
        <f aca="false">IF($J199=0,0,IFERROR(MATCH(INDEX(ROTACAO_RDM!$N$6:$N$71,$J199),PARAMETROS_CULTURAS!$B$6:$B$28,0),0))</f>
        <v>0</v>
      </c>
      <c r="Q199" s="8" t="str">
        <f aca="false">IF($P199=0,"-",IF($O199&lt;=INDEX(PARAMETROS_CULTURAS!$F$6:$F$28,$P199),"INICIAL",IF($O199&lt;=INDEX(PARAMETROS_CULTURAS!$F$6:$F$28,$P199)+INDEX(PARAMETROS_CULTURAS!$G$6:$G$28,$P199),"DESENVOLVIMENTO",IF($O199&lt;=INDEX(PARAMETROS_CULTURAS!$F$6:$F$28,$P199)+INDEX(PARAMETROS_CULTURAS!$G$6:$G$28,$P199)+INDEX(PARAMETROS_CULTURAS!$H$6:$H$28,$P199),"MEDIA","FINAL"))))</f>
        <v>-</v>
      </c>
      <c r="R199" s="24" t="n">
        <f aca="false">IF($P199=0,0,IF($O199&lt;=INDEX(PARAMETROS_CULTURAS!$F$6:$F$28,$P199),INDEX(PARAMETROS_CULTURAS!$K$6:$K$28,$P199),IF($O199&lt;=INDEX(PARAMETROS_CULTURAS!$F$6:$F$28,$P199)+INDEX(PARAMETROS_CULTURAS!$G$6:$G$28,$P199),INDEX(PARAMETROS_CULTURAS!$K$6:$K$28,$P199)+(INDEX(PARAMETROS_CULTURAS!$L$6:$L$28,$P199)-INDEX(PARAMETROS_CULTURAS!$K$6:$K$28,$P199))*($O199-INDEX(PARAMETROS_CULTURAS!$F$6:$F$28,$P199))/MAX(INDEX(PARAMETROS_CULTURAS!$G$6:$G$28,$P199),0.0001),IF($O199&lt;=INDEX(PARAMETROS_CULTURAS!$F$6:$F$28,$P199)+INDEX(PARAMETROS_CULTURAS!$G$6:$G$28,$P199)+INDEX(PARAMETROS_CULTURAS!$H$6:$H$28,$P199),INDEX(PARAMETROS_CULTURAS!$L$6:$L$28,$P199),INDEX(PARAMETROS_CULTURAS!$L$6:$L$28,$P199)+(INDEX(PARAMETROS_CULTURAS!$M$6:$M$28,$P199)-INDEX(PARAMETROS_CULTURAS!$L$6:$L$28,$P199))*($O199-INDEX(PARAMETROS_CULTURAS!$F$6:$F$28,$P199)-INDEX(PARAMETROS_CULTURAS!$G$6:$G$28,$P199)-INDEX(PARAMETROS_CULTURAS!$H$6:$H$28,$P199))/MAX(INDEX(PARAMETROS_CULTURAS!$I$6:$I$28,$P199),0.0001)))))</f>
        <v>0</v>
      </c>
      <c r="S199" s="18" t="n">
        <f aca="false">IFERROR(INDEX(SEMANAS!$H$6:$H$71,MATCH($B199,SEMANAS!$B$6:$B$71,0)),0)</f>
        <v>34.3</v>
      </c>
      <c r="T199" s="18" t="n">
        <f aca="false">$R199*$S199</f>
        <v>0</v>
      </c>
      <c r="U199" s="18" t="n">
        <f aca="false">IFERROR(INDEX(SEMANAS!$I$6:$I$71,MATCH($B199,SEMANAS!$B$6:$B$71,0)),0)</f>
        <v>46.69</v>
      </c>
      <c r="V199" s="18" t="n">
        <f aca="false">IFERROR(INDEX(SEMANAS!$J$6:$J$71,MATCH($B199,SEMANAS!$B$6:$B$71,0)),0)</f>
        <v>37.352</v>
      </c>
      <c r="W199" s="18" t="n">
        <f aca="false">MAX(0,$T199-$V199)</f>
        <v>0</v>
      </c>
      <c r="X199" s="19" t="n">
        <f aca="false">IFERROR(INDEX(CADASTRO_PIVOS!$K$6:$K$41,MATCH($E199,CADASTRO_PIVOS!$B$6:$B$41,0)),EFICIENCIA_PADRAO)</f>
        <v>0.85</v>
      </c>
      <c r="Y199" s="18" t="n">
        <f aca="false">IF($X199&lt;=0,0,$W199/$X199)</f>
        <v>0</v>
      </c>
      <c r="Z199" s="16" t="n">
        <f aca="false">$Y199*$H199*MM_PARA_M3_HA</f>
        <v>0</v>
      </c>
      <c r="AA199" s="18" t="n">
        <f aca="false">IFERROR(INDEX(CADASTRO_PIVOS!$I$6:$I$41,MATCH($E199,CADASTRO_PIVOS!$B$6:$B$41,0)),0)</f>
        <v>714.714285714286</v>
      </c>
      <c r="AB199" s="18" t="n">
        <f aca="false">IF($Z199&lt;=0,0,$Z199/$AA199)</f>
        <v>0</v>
      </c>
      <c r="AC199" s="16" t="n">
        <f aca="false">IFERROR(INDEX(SEMANAS!$K$6:$K$71,MATCH($B199,SEMANAS!$B$6:$B$71,0)),0)</f>
        <v>147</v>
      </c>
      <c r="AD199" s="19" t="n">
        <f aca="false">IF($AC199&lt;=0,0,$AB199/$AC199)</f>
        <v>0</v>
      </c>
      <c r="AE199" s="8" t="str">
        <f aca="false">IF($K199="SEM CULTURA","SEM CULTURA",IF($AA199&lt;=0,"DADO PENDENTE",IF($AD199&gt;LIMITE_CRITICO,"INVIAVEL",IF($AD199&gt;LIMITE_ATENCAO,"CRITICO",IF($AD199&gt;LIMITE_CONFORTAVEL,"ATENCAO","OK")))))</f>
        <v>SEM CULTURA</v>
      </c>
      <c r="AF199" s="8" t="str">
        <f aca="false">$B199&amp;"|"&amp;TEXT($AD199,"0.000000")</f>
        <v>62|0.000000</v>
      </c>
      <c r="AG199" s="18" t="n">
        <f aca="false">IF($K199="SEM CULTURA",0,$T199*$H199)</f>
        <v>0</v>
      </c>
      <c r="AH199" s="18" t="n">
        <f aca="false">IF($K199="SEM CULTURA",0,$V199*$H199)</f>
        <v>0</v>
      </c>
      <c r="AI199" s="18" t="n">
        <f aca="false">IF($K199="SEM CULTURA",0,$W199*$H199)</f>
        <v>0</v>
      </c>
      <c r="AJ199" s="18" t="n">
        <f aca="false">IF($K199="SEM CULTURA",0,$S199*$H199)</f>
        <v>0</v>
      </c>
      <c r="AK199" s="8" t="str">
        <f aca="false">$E199&amp;"|"&amp;TEXT($AD199,"0.000000")</f>
        <v>PV 108|0.000000</v>
      </c>
    </row>
    <row r="200" customFormat="false" ht="15" hidden="false" customHeight="false" outlineLevel="0" collapsed="false">
      <c r="B200" s="16" t="n">
        <v>63</v>
      </c>
      <c r="C200" s="17" t="n">
        <f aca="false">DATA_INICIO_SAFRA+($B200-1)*DIAS_POR_SEMANA</f>
        <v>46699</v>
      </c>
      <c r="D200" s="17" t="n">
        <f aca="false">$C200+DIAS_POR_SEMANA-1</f>
        <v>46705</v>
      </c>
      <c r="E200" s="15" t="s">
        <v>261</v>
      </c>
      <c r="F200" s="8" t="str">
        <f aca="false">IFERROR(INDEX(CADASTRO_PIVOS!$C$6:$C$41,MATCH($E200,CADASTRO_PIVOS!$B$6:$B$41,0)),"?")</f>
        <v>RM02</v>
      </c>
      <c r="G200" s="8" t="str">
        <f aca="false">IFERROR(INDEX(CADASTRO_PIVOS!$D$6:$D$41,MATCH($E200,CADASTRO_PIVOS!$B$6:$B$41,0)),"?")</f>
        <v>TR02</v>
      </c>
      <c r="H200" s="20" t="n">
        <f aca="false">IFERROR(INDEX(CADASTRO_PIVOS!$E$6:$E$41,MATCH($E200,CADASTRO_PIVOS!$B$6:$B$41,0)),0)</f>
        <v>100.06</v>
      </c>
      <c r="I200" s="16" t="n">
        <f aca="false">IFERROR(SUMIFS(ROTACAO_RDM!$B$6:$B$71,ROTACAO_RDM!$D$6:$D$71,$E200,ROTACAO_RDM!$I$6:$I$71,"&lt;="&amp;$C200+INT(DIAS_POR_SEMANA/2),ROTACAO_RDM!$J$6:$J$71,"&gt;="&amp;$C200+INT(DIAS_POR_SEMANA/2)),0)</f>
        <v>0</v>
      </c>
      <c r="J200" s="16" t="n">
        <f aca="false">IFERROR(MATCH($I200,ROTACAO_RDM!$B$6:$B$71,0),0)</f>
        <v>0</v>
      </c>
      <c r="K200" s="8" t="str">
        <f aca="false">IF($J200=0,"SEM CULTURA",INDEX(ROTACAO_RDM!$F$6:$F$71,$J200))</f>
        <v>SEM CULTURA</v>
      </c>
      <c r="L200" s="8" t="str">
        <f aca="false">IF($J200=0,"",INDEX(ROTACAO_RDM!$G$6:$G$71,$J200))</f>
        <v/>
      </c>
      <c r="M200" s="17" t="str">
        <f aca="false">IF($J200=0,"",INDEX(ROTACAO_RDM!$I$6:$I$71,$J200))</f>
        <v/>
      </c>
      <c r="N200" s="16" t="n">
        <f aca="false">IF($J200=0,0,MAX(0,$C200+INT(DIAS_POR_SEMANA/2)-INDEX(ROTACAO_RDM!$I$6:$I$71,$J200)))</f>
        <v>0</v>
      </c>
      <c r="O200" s="19" t="n">
        <f aca="false">IF($J200=0,0,MIN(1,$N200/MAX(1,INDEX(ROTACAO_RDM!$K$6:$K$71,$J200))))</f>
        <v>0</v>
      </c>
      <c r="P200" s="16" t="n">
        <f aca="false">IF($J200=0,0,IFERROR(MATCH(INDEX(ROTACAO_RDM!$N$6:$N$71,$J200),PARAMETROS_CULTURAS!$B$6:$B$28,0),0))</f>
        <v>0</v>
      </c>
      <c r="Q200" s="8" t="str">
        <f aca="false">IF($P200=0,"-",IF($O200&lt;=INDEX(PARAMETROS_CULTURAS!$F$6:$F$28,$P200),"INICIAL",IF($O200&lt;=INDEX(PARAMETROS_CULTURAS!$F$6:$F$28,$P200)+INDEX(PARAMETROS_CULTURAS!$G$6:$G$28,$P200),"DESENVOLVIMENTO",IF($O200&lt;=INDEX(PARAMETROS_CULTURAS!$F$6:$F$28,$P200)+INDEX(PARAMETROS_CULTURAS!$G$6:$G$28,$P200)+INDEX(PARAMETROS_CULTURAS!$H$6:$H$28,$P200),"MEDIA","FINAL"))))</f>
        <v>-</v>
      </c>
      <c r="R200" s="24" t="n">
        <f aca="false">IF($P200=0,0,IF($O200&lt;=INDEX(PARAMETROS_CULTURAS!$F$6:$F$28,$P200),INDEX(PARAMETROS_CULTURAS!$K$6:$K$28,$P200),IF($O200&lt;=INDEX(PARAMETROS_CULTURAS!$F$6:$F$28,$P200)+INDEX(PARAMETROS_CULTURAS!$G$6:$G$28,$P200),INDEX(PARAMETROS_CULTURAS!$K$6:$K$28,$P200)+(INDEX(PARAMETROS_CULTURAS!$L$6:$L$28,$P200)-INDEX(PARAMETROS_CULTURAS!$K$6:$K$28,$P200))*($O200-INDEX(PARAMETROS_CULTURAS!$F$6:$F$28,$P200))/MAX(INDEX(PARAMETROS_CULTURAS!$G$6:$G$28,$P200),0.0001),IF($O200&lt;=INDEX(PARAMETROS_CULTURAS!$F$6:$F$28,$P200)+INDEX(PARAMETROS_CULTURAS!$G$6:$G$28,$P200)+INDEX(PARAMETROS_CULTURAS!$H$6:$H$28,$P200),INDEX(PARAMETROS_CULTURAS!$L$6:$L$28,$P200),INDEX(PARAMETROS_CULTURAS!$L$6:$L$28,$P200)+(INDEX(PARAMETROS_CULTURAS!$M$6:$M$28,$P200)-INDEX(PARAMETROS_CULTURAS!$L$6:$L$28,$P200))*($O200-INDEX(PARAMETROS_CULTURAS!$F$6:$F$28,$P200)-INDEX(PARAMETROS_CULTURAS!$G$6:$G$28,$P200)-INDEX(PARAMETROS_CULTURAS!$H$6:$H$28,$P200))/MAX(INDEX(PARAMETROS_CULTURAS!$I$6:$I$28,$P200),0.0001)))))</f>
        <v>0</v>
      </c>
      <c r="S200" s="18" t="n">
        <f aca="false">IFERROR(INDEX(SEMANAS!$H$6:$H$71,MATCH($B200,SEMANAS!$B$6:$B$71,0)),0)</f>
        <v>34.3</v>
      </c>
      <c r="T200" s="18" t="n">
        <f aca="false">$R200*$S200</f>
        <v>0</v>
      </c>
      <c r="U200" s="18" t="n">
        <f aca="false">IFERROR(INDEX(SEMANAS!$I$6:$I$71,MATCH($B200,SEMANAS!$B$6:$B$71,0)),0)</f>
        <v>46.69</v>
      </c>
      <c r="V200" s="18" t="n">
        <f aca="false">IFERROR(INDEX(SEMANAS!$J$6:$J$71,MATCH($B200,SEMANAS!$B$6:$B$71,0)),0)</f>
        <v>37.352</v>
      </c>
      <c r="W200" s="18" t="n">
        <f aca="false">MAX(0,$T200-$V200)</f>
        <v>0</v>
      </c>
      <c r="X200" s="19" t="n">
        <f aca="false">IFERROR(INDEX(CADASTRO_PIVOS!$K$6:$K$41,MATCH($E200,CADASTRO_PIVOS!$B$6:$B$41,0)),EFICIENCIA_PADRAO)</f>
        <v>0.85</v>
      </c>
      <c r="Y200" s="18" t="n">
        <f aca="false">IF($X200&lt;=0,0,$W200/$X200)</f>
        <v>0</v>
      </c>
      <c r="Z200" s="16" t="n">
        <f aca="false">$Y200*$H200*MM_PARA_M3_HA</f>
        <v>0</v>
      </c>
      <c r="AA200" s="18" t="n">
        <f aca="false">IFERROR(INDEX(CADASTRO_PIVOS!$I$6:$I$41,MATCH($E200,CADASTRO_PIVOS!$B$6:$B$41,0)),0)</f>
        <v>714.714285714286</v>
      </c>
      <c r="AB200" s="18" t="n">
        <f aca="false">IF($Z200&lt;=0,0,$Z200/$AA200)</f>
        <v>0</v>
      </c>
      <c r="AC200" s="16" t="n">
        <f aca="false">IFERROR(INDEX(SEMANAS!$K$6:$K$71,MATCH($B200,SEMANAS!$B$6:$B$71,0)),0)</f>
        <v>147</v>
      </c>
      <c r="AD200" s="19" t="n">
        <f aca="false">IF($AC200&lt;=0,0,$AB200/$AC200)</f>
        <v>0</v>
      </c>
      <c r="AE200" s="8" t="str">
        <f aca="false">IF($K200="SEM CULTURA","SEM CULTURA",IF($AA200&lt;=0,"DADO PENDENTE",IF($AD200&gt;LIMITE_CRITICO,"INVIAVEL",IF($AD200&gt;LIMITE_ATENCAO,"CRITICO",IF($AD200&gt;LIMITE_CONFORTAVEL,"ATENCAO","OK")))))</f>
        <v>SEM CULTURA</v>
      </c>
      <c r="AF200" s="8" t="str">
        <f aca="false">$B200&amp;"|"&amp;TEXT($AD200,"0.000000")</f>
        <v>63|0.000000</v>
      </c>
      <c r="AG200" s="18" t="n">
        <f aca="false">IF($K200="SEM CULTURA",0,$T200*$H200)</f>
        <v>0</v>
      </c>
      <c r="AH200" s="18" t="n">
        <f aca="false">IF($K200="SEM CULTURA",0,$V200*$H200)</f>
        <v>0</v>
      </c>
      <c r="AI200" s="18" t="n">
        <f aca="false">IF($K200="SEM CULTURA",0,$W200*$H200)</f>
        <v>0</v>
      </c>
      <c r="AJ200" s="18" t="n">
        <f aca="false">IF($K200="SEM CULTURA",0,$S200*$H200)</f>
        <v>0</v>
      </c>
      <c r="AK200" s="8" t="str">
        <f aca="false">$E200&amp;"|"&amp;TEXT($AD200,"0.000000")</f>
        <v>PV 108|0.000000</v>
      </c>
    </row>
    <row r="201" customFormat="false" ht="15" hidden="false" customHeight="false" outlineLevel="0" collapsed="false">
      <c r="B201" s="16" t="n">
        <v>64</v>
      </c>
      <c r="C201" s="17" t="n">
        <f aca="false">DATA_INICIO_SAFRA+($B201-1)*DIAS_POR_SEMANA</f>
        <v>46706</v>
      </c>
      <c r="D201" s="17" t="n">
        <f aca="false">$C201+DIAS_POR_SEMANA-1</f>
        <v>46712</v>
      </c>
      <c r="E201" s="15" t="s">
        <v>261</v>
      </c>
      <c r="F201" s="8" t="str">
        <f aca="false">IFERROR(INDEX(CADASTRO_PIVOS!$C$6:$C$41,MATCH($E201,CADASTRO_PIVOS!$B$6:$B$41,0)),"?")</f>
        <v>RM02</v>
      </c>
      <c r="G201" s="8" t="str">
        <f aca="false">IFERROR(INDEX(CADASTRO_PIVOS!$D$6:$D$41,MATCH($E201,CADASTRO_PIVOS!$B$6:$B$41,0)),"?")</f>
        <v>TR02</v>
      </c>
      <c r="H201" s="20" t="n">
        <f aca="false">IFERROR(INDEX(CADASTRO_PIVOS!$E$6:$E$41,MATCH($E201,CADASTRO_PIVOS!$B$6:$B$41,0)),0)</f>
        <v>100.06</v>
      </c>
      <c r="I201" s="16" t="n">
        <f aca="false">IFERROR(SUMIFS(ROTACAO_RDM!$B$6:$B$71,ROTACAO_RDM!$D$6:$D$71,$E201,ROTACAO_RDM!$I$6:$I$71,"&lt;="&amp;$C201+INT(DIAS_POR_SEMANA/2),ROTACAO_RDM!$J$6:$J$71,"&gt;="&amp;$C201+INT(DIAS_POR_SEMANA/2)),0)</f>
        <v>0</v>
      </c>
      <c r="J201" s="16" t="n">
        <f aca="false">IFERROR(MATCH($I201,ROTACAO_RDM!$B$6:$B$71,0),0)</f>
        <v>0</v>
      </c>
      <c r="K201" s="8" t="str">
        <f aca="false">IF($J201=0,"SEM CULTURA",INDEX(ROTACAO_RDM!$F$6:$F$71,$J201))</f>
        <v>SEM CULTURA</v>
      </c>
      <c r="L201" s="8" t="str">
        <f aca="false">IF($J201=0,"",INDEX(ROTACAO_RDM!$G$6:$G$71,$J201))</f>
        <v/>
      </c>
      <c r="M201" s="17" t="str">
        <f aca="false">IF($J201=0,"",INDEX(ROTACAO_RDM!$I$6:$I$71,$J201))</f>
        <v/>
      </c>
      <c r="N201" s="16" t="n">
        <f aca="false">IF($J201=0,0,MAX(0,$C201+INT(DIAS_POR_SEMANA/2)-INDEX(ROTACAO_RDM!$I$6:$I$71,$J201)))</f>
        <v>0</v>
      </c>
      <c r="O201" s="19" t="n">
        <f aca="false">IF($J201=0,0,MIN(1,$N201/MAX(1,INDEX(ROTACAO_RDM!$K$6:$K$71,$J201))))</f>
        <v>0</v>
      </c>
      <c r="P201" s="16" t="n">
        <f aca="false">IF($J201=0,0,IFERROR(MATCH(INDEX(ROTACAO_RDM!$N$6:$N$71,$J201),PARAMETROS_CULTURAS!$B$6:$B$28,0),0))</f>
        <v>0</v>
      </c>
      <c r="Q201" s="8" t="str">
        <f aca="false">IF($P201=0,"-",IF($O201&lt;=INDEX(PARAMETROS_CULTURAS!$F$6:$F$28,$P201),"INICIAL",IF($O201&lt;=INDEX(PARAMETROS_CULTURAS!$F$6:$F$28,$P201)+INDEX(PARAMETROS_CULTURAS!$G$6:$G$28,$P201),"DESENVOLVIMENTO",IF($O201&lt;=INDEX(PARAMETROS_CULTURAS!$F$6:$F$28,$P201)+INDEX(PARAMETROS_CULTURAS!$G$6:$G$28,$P201)+INDEX(PARAMETROS_CULTURAS!$H$6:$H$28,$P201),"MEDIA","FINAL"))))</f>
        <v>-</v>
      </c>
      <c r="R201" s="24" t="n">
        <f aca="false">IF($P201=0,0,IF($O201&lt;=INDEX(PARAMETROS_CULTURAS!$F$6:$F$28,$P201),INDEX(PARAMETROS_CULTURAS!$K$6:$K$28,$P201),IF($O201&lt;=INDEX(PARAMETROS_CULTURAS!$F$6:$F$28,$P201)+INDEX(PARAMETROS_CULTURAS!$G$6:$G$28,$P201),INDEX(PARAMETROS_CULTURAS!$K$6:$K$28,$P201)+(INDEX(PARAMETROS_CULTURAS!$L$6:$L$28,$P201)-INDEX(PARAMETROS_CULTURAS!$K$6:$K$28,$P201))*($O201-INDEX(PARAMETROS_CULTURAS!$F$6:$F$28,$P201))/MAX(INDEX(PARAMETROS_CULTURAS!$G$6:$G$28,$P201),0.0001),IF($O201&lt;=INDEX(PARAMETROS_CULTURAS!$F$6:$F$28,$P201)+INDEX(PARAMETROS_CULTURAS!$G$6:$G$28,$P201)+INDEX(PARAMETROS_CULTURAS!$H$6:$H$28,$P201),INDEX(PARAMETROS_CULTURAS!$L$6:$L$28,$P201),INDEX(PARAMETROS_CULTURAS!$L$6:$L$28,$P201)+(INDEX(PARAMETROS_CULTURAS!$M$6:$M$28,$P201)-INDEX(PARAMETROS_CULTURAS!$L$6:$L$28,$P201))*($O201-INDEX(PARAMETROS_CULTURAS!$F$6:$F$28,$P201)-INDEX(PARAMETROS_CULTURAS!$G$6:$G$28,$P201)-INDEX(PARAMETROS_CULTURAS!$H$6:$H$28,$P201))/MAX(INDEX(PARAMETROS_CULTURAS!$I$6:$I$28,$P201),0.0001)))))</f>
        <v>0</v>
      </c>
      <c r="S201" s="18" t="n">
        <f aca="false">IFERROR(INDEX(SEMANAS!$H$6:$H$71,MATCH($B201,SEMANAS!$B$6:$B$71,0)),0)</f>
        <v>34.3</v>
      </c>
      <c r="T201" s="18" t="n">
        <f aca="false">$R201*$S201</f>
        <v>0</v>
      </c>
      <c r="U201" s="18" t="n">
        <f aca="false">IFERROR(INDEX(SEMANAS!$I$6:$I$71,MATCH($B201,SEMANAS!$B$6:$B$71,0)),0)</f>
        <v>46.69</v>
      </c>
      <c r="V201" s="18" t="n">
        <f aca="false">IFERROR(INDEX(SEMANAS!$J$6:$J$71,MATCH($B201,SEMANAS!$B$6:$B$71,0)),0)</f>
        <v>37.352</v>
      </c>
      <c r="W201" s="18" t="n">
        <f aca="false">MAX(0,$T201-$V201)</f>
        <v>0</v>
      </c>
      <c r="X201" s="19" t="n">
        <f aca="false">IFERROR(INDEX(CADASTRO_PIVOS!$K$6:$K$41,MATCH($E201,CADASTRO_PIVOS!$B$6:$B$41,0)),EFICIENCIA_PADRAO)</f>
        <v>0.85</v>
      </c>
      <c r="Y201" s="18" t="n">
        <f aca="false">IF($X201&lt;=0,0,$W201/$X201)</f>
        <v>0</v>
      </c>
      <c r="Z201" s="16" t="n">
        <f aca="false">$Y201*$H201*MM_PARA_M3_HA</f>
        <v>0</v>
      </c>
      <c r="AA201" s="18" t="n">
        <f aca="false">IFERROR(INDEX(CADASTRO_PIVOS!$I$6:$I$41,MATCH($E201,CADASTRO_PIVOS!$B$6:$B$41,0)),0)</f>
        <v>714.714285714286</v>
      </c>
      <c r="AB201" s="18" t="n">
        <f aca="false">IF($Z201&lt;=0,0,$Z201/$AA201)</f>
        <v>0</v>
      </c>
      <c r="AC201" s="16" t="n">
        <f aca="false">IFERROR(INDEX(SEMANAS!$K$6:$K$71,MATCH($B201,SEMANAS!$B$6:$B$71,0)),0)</f>
        <v>147</v>
      </c>
      <c r="AD201" s="19" t="n">
        <f aca="false">IF($AC201&lt;=0,0,$AB201/$AC201)</f>
        <v>0</v>
      </c>
      <c r="AE201" s="8" t="str">
        <f aca="false">IF($K201="SEM CULTURA","SEM CULTURA",IF($AA201&lt;=0,"DADO PENDENTE",IF($AD201&gt;LIMITE_CRITICO,"INVIAVEL",IF($AD201&gt;LIMITE_ATENCAO,"CRITICO",IF($AD201&gt;LIMITE_CONFORTAVEL,"ATENCAO","OK")))))</f>
        <v>SEM CULTURA</v>
      </c>
      <c r="AF201" s="8" t="str">
        <f aca="false">$B201&amp;"|"&amp;TEXT($AD201,"0.000000")</f>
        <v>64|0.000000</v>
      </c>
      <c r="AG201" s="18" t="n">
        <f aca="false">IF($K201="SEM CULTURA",0,$T201*$H201)</f>
        <v>0</v>
      </c>
      <c r="AH201" s="18" t="n">
        <f aca="false">IF($K201="SEM CULTURA",0,$V201*$H201)</f>
        <v>0</v>
      </c>
      <c r="AI201" s="18" t="n">
        <f aca="false">IF($K201="SEM CULTURA",0,$W201*$H201)</f>
        <v>0</v>
      </c>
      <c r="AJ201" s="18" t="n">
        <f aca="false">IF($K201="SEM CULTURA",0,$S201*$H201)</f>
        <v>0</v>
      </c>
      <c r="AK201" s="8" t="str">
        <f aca="false">$E201&amp;"|"&amp;TEXT($AD201,"0.000000")</f>
        <v>PV 108|0.000000</v>
      </c>
    </row>
    <row r="202" customFormat="false" ht="15" hidden="false" customHeight="false" outlineLevel="0" collapsed="false">
      <c r="B202" s="16" t="n">
        <v>65</v>
      </c>
      <c r="C202" s="17" t="n">
        <f aca="false">DATA_INICIO_SAFRA+($B202-1)*DIAS_POR_SEMANA</f>
        <v>46713</v>
      </c>
      <c r="D202" s="17" t="n">
        <f aca="false">$C202+DIAS_POR_SEMANA-1</f>
        <v>46719</v>
      </c>
      <c r="E202" s="15" t="s">
        <v>261</v>
      </c>
      <c r="F202" s="8" t="str">
        <f aca="false">IFERROR(INDEX(CADASTRO_PIVOS!$C$6:$C$41,MATCH($E202,CADASTRO_PIVOS!$B$6:$B$41,0)),"?")</f>
        <v>RM02</v>
      </c>
      <c r="G202" s="8" t="str">
        <f aca="false">IFERROR(INDEX(CADASTRO_PIVOS!$D$6:$D$41,MATCH($E202,CADASTRO_PIVOS!$B$6:$B$41,0)),"?")</f>
        <v>TR02</v>
      </c>
      <c r="H202" s="20" t="n">
        <f aca="false">IFERROR(INDEX(CADASTRO_PIVOS!$E$6:$E$41,MATCH($E202,CADASTRO_PIVOS!$B$6:$B$41,0)),0)</f>
        <v>100.06</v>
      </c>
      <c r="I202" s="16" t="n">
        <f aca="false">IFERROR(SUMIFS(ROTACAO_RDM!$B$6:$B$71,ROTACAO_RDM!$D$6:$D$71,$E202,ROTACAO_RDM!$I$6:$I$71,"&lt;="&amp;$C202+INT(DIAS_POR_SEMANA/2),ROTACAO_RDM!$J$6:$J$71,"&gt;="&amp;$C202+INT(DIAS_POR_SEMANA/2)),0)</f>
        <v>0</v>
      </c>
      <c r="J202" s="16" t="n">
        <f aca="false">IFERROR(MATCH($I202,ROTACAO_RDM!$B$6:$B$71,0),0)</f>
        <v>0</v>
      </c>
      <c r="K202" s="8" t="str">
        <f aca="false">IF($J202=0,"SEM CULTURA",INDEX(ROTACAO_RDM!$F$6:$F$71,$J202))</f>
        <v>SEM CULTURA</v>
      </c>
      <c r="L202" s="8" t="str">
        <f aca="false">IF($J202=0,"",INDEX(ROTACAO_RDM!$G$6:$G$71,$J202))</f>
        <v/>
      </c>
      <c r="M202" s="17" t="str">
        <f aca="false">IF($J202=0,"",INDEX(ROTACAO_RDM!$I$6:$I$71,$J202))</f>
        <v/>
      </c>
      <c r="N202" s="16" t="n">
        <f aca="false">IF($J202=0,0,MAX(0,$C202+INT(DIAS_POR_SEMANA/2)-INDEX(ROTACAO_RDM!$I$6:$I$71,$J202)))</f>
        <v>0</v>
      </c>
      <c r="O202" s="19" t="n">
        <f aca="false">IF($J202=0,0,MIN(1,$N202/MAX(1,INDEX(ROTACAO_RDM!$K$6:$K$71,$J202))))</f>
        <v>0</v>
      </c>
      <c r="P202" s="16" t="n">
        <f aca="false">IF($J202=0,0,IFERROR(MATCH(INDEX(ROTACAO_RDM!$N$6:$N$71,$J202),PARAMETROS_CULTURAS!$B$6:$B$28,0),0))</f>
        <v>0</v>
      </c>
      <c r="Q202" s="8" t="str">
        <f aca="false">IF($P202=0,"-",IF($O202&lt;=INDEX(PARAMETROS_CULTURAS!$F$6:$F$28,$P202),"INICIAL",IF($O202&lt;=INDEX(PARAMETROS_CULTURAS!$F$6:$F$28,$P202)+INDEX(PARAMETROS_CULTURAS!$G$6:$G$28,$P202),"DESENVOLVIMENTO",IF($O202&lt;=INDEX(PARAMETROS_CULTURAS!$F$6:$F$28,$P202)+INDEX(PARAMETROS_CULTURAS!$G$6:$G$28,$P202)+INDEX(PARAMETROS_CULTURAS!$H$6:$H$28,$P202),"MEDIA","FINAL"))))</f>
        <v>-</v>
      </c>
      <c r="R202" s="24" t="n">
        <f aca="false">IF($P202=0,0,IF($O202&lt;=INDEX(PARAMETROS_CULTURAS!$F$6:$F$28,$P202),INDEX(PARAMETROS_CULTURAS!$K$6:$K$28,$P202),IF($O202&lt;=INDEX(PARAMETROS_CULTURAS!$F$6:$F$28,$P202)+INDEX(PARAMETROS_CULTURAS!$G$6:$G$28,$P202),INDEX(PARAMETROS_CULTURAS!$K$6:$K$28,$P202)+(INDEX(PARAMETROS_CULTURAS!$L$6:$L$28,$P202)-INDEX(PARAMETROS_CULTURAS!$K$6:$K$28,$P202))*($O202-INDEX(PARAMETROS_CULTURAS!$F$6:$F$28,$P202))/MAX(INDEX(PARAMETROS_CULTURAS!$G$6:$G$28,$P202),0.0001),IF($O202&lt;=INDEX(PARAMETROS_CULTURAS!$F$6:$F$28,$P202)+INDEX(PARAMETROS_CULTURAS!$G$6:$G$28,$P202)+INDEX(PARAMETROS_CULTURAS!$H$6:$H$28,$P202),INDEX(PARAMETROS_CULTURAS!$L$6:$L$28,$P202),INDEX(PARAMETROS_CULTURAS!$L$6:$L$28,$P202)+(INDEX(PARAMETROS_CULTURAS!$M$6:$M$28,$P202)-INDEX(PARAMETROS_CULTURAS!$L$6:$L$28,$P202))*($O202-INDEX(PARAMETROS_CULTURAS!$F$6:$F$28,$P202)-INDEX(PARAMETROS_CULTURAS!$G$6:$G$28,$P202)-INDEX(PARAMETROS_CULTURAS!$H$6:$H$28,$P202))/MAX(INDEX(PARAMETROS_CULTURAS!$I$6:$I$28,$P202),0.0001)))))</f>
        <v>0</v>
      </c>
      <c r="S202" s="18" t="n">
        <f aca="false">IFERROR(INDEX(SEMANAS!$H$6:$H$71,MATCH($B202,SEMANAS!$B$6:$B$71,0)),0)</f>
        <v>34.3</v>
      </c>
      <c r="T202" s="18" t="n">
        <f aca="false">$R202*$S202</f>
        <v>0</v>
      </c>
      <c r="U202" s="18" t="n">
        <f aca="false">IFERROR(INDEX(SEMANAS!$I$6:$I$71,MATCH($B202,SEMANAS!$B$6:$B$71,0)),0)</f>
        <v>46.69</v>
      </c>
      <c r="V202" s="18" t="n">
        <f aca="false">IFERROR(INDEX(SEMANAS!$J$6:$J$71,MATCH($B202,SEMANAS!$B$6:$B$71,0)),0)</f>
        <v>37.352</v>
      </c>
      <c r="W202" s="18" t="n">
        <f aca="false">MAX(0,$T202-$V202)</f>
        <v>0</v>
      </c>
      <c r="X202" s="19" t="n">
        <f aca="false">IFERROR(INDEX(CADASTRO_PIVOS!$K$6:$K$41,MATCH($E202,CADASTRO_PIVOS!$B$6:$B$41,0)),EFICIENCIA_PADRAO)</f>
        <v>0.85</v>
      </c>
      <c r="Y202" s="18" t="n">
        <f aca="false">IF($X202&lt;=0,0,$W202/$X202)</f>
        <v>0</v>
      </c>
      <c r="Z202" s="16" t="n">
        <f aca="false">$Y202*$H202*MM_PARA_M3_HA</f>
        <v>0</v>
      </c>
      <c r="AA202" s="18" t="n">
        <f aca="false">IFERROR(INDEX(CADASTRO_PIVOS!$I$6:$I$41,MATCH($E202,CADASTRO_PIVOS!$B$6:$B$41,0)),0)</f>
        <v>714.714285714286</v>
      </c>
      <c r="AB202" s="18" t="n">
        <f aca="false">IF($Z202&lt;=0,0,$Z202/$AA202)</f>
        <v>0</v>
      </c>
      <c r="AC202" s="16" t="n">
        <f aca="false">IFERROR(INDEX(SEMANAS!$K$6:$K$71,MATCH($B202,SEMANAS!$B$6:$B$71,0)),0)</f>
        <v>147</v>
      </c>
      <c r="AD202" s="19" t="n">
        <f aca="false">IF($AC202&lt;=0,0,$AB202/$AC202)</f>
        <v>0</v>
      </c>
      <c r="AE202" s="8" t="str">
        <f aca="false">IF($K202="SEM CULTURA","SEM CULTURA",IF($AA202&lt;=0,"DADO PENDENTE",IF($AD202&gt;LIMITE_CRITICO,"INVIAVEL",IF($AD202&gt;LIMITE_ATENCAO,"CRITICO",IF($AD202&gt;LIMITE_CONFORTAVEL,"ATENCAO","OK")))))</f>
        <v>SEM CULTURA</v>
      </c>
      <c r="AF202" s="8" t="str">
        <f aca="false">$B202&amp;"|"&amp;TEXT($AD202,"0.000000")</f>
        <v>65|0.000000</v>
      </c>
      <c r="AG202" s="18" t="n">
        <f aca="false">IF($K202="SEM CULTURA",0,$T202*$H202)</f>
        <v>0</v>
      </c>
      <c r="AH202" s="18" t="n">
        <f aca="false">IF($K202="SEM CULTURA",0,$V202*$H202)</f>
        <v>0</v>
      </c>
      <c r="AI202" s="18" t="n">
        <f aca="false">IF($K202="SEM CULTURA",0,$W202*$H202)</f>
        <v>0</v>
      </c>
      <c r="AJ202" s="18" t="n">
        <f aca="false">IF($K202="SEM CULTURA",0,$S202*$H202)</f>
        <v>0</v>
      </c>
      <c r="AK202" s="8" t="str">
        <f aca="false">$E202&amp;"|"&amp;TEXT($AD202,"0.000000")</f>
        <v>PV 108|0.000000</v>
      </c>
    </row>
    <row r="203" customFormat="false" ht="15" hidden="false" customHeight="false" outlineLevel="0" collapsed="false">
      <c r="B203" s="16" t="n">
        <v>66</v>
      </c>
      <c r="C203" s="17" t="n">
        <f aca="false">DATA_INICIO_SAFRA+($B203-1)*DIAS_POR_SEMANA</f>
        <v>46720</v>
      </c>
      <c r="D203" s="17" t="n">
        <f aca="false">$C203+DIAS_POR_SEMANA-1</f>
        <v>46726</v>
      </c>
      <c r="E203" s="15" t="s">
        <v>261</v>
      </c>
      <c r="F203" s="8" t="str">
        <f aca="false">IFERROR(INDEX(CADASTRO_PIVOS!$C$6:$C$41,MATCH($E203,CADASTRO_PIVOS!$B$6:$B$41,0)),"?")</f>
        <v>RM02</v>
      </c>
      <c r="G203" s="8" t="str">
        <f aca="false">IFERROR(INDEX(CADASTRO_PIVOS!$D$6:$D$41,MATCH($E203,CADASTRO_PIVOS!$B$6:$B$41,0)),"?")</f>
        <v>TR02</v>
      </c>
      <c r="H203" s="20" t="n">
        <f aca="false">IFERROR(INDEX(CADASTRO_PIVOS!$E$6:$E$41,MATCH($E203,CADASTRO_PIVOS!$B$6:$B$41,0)),0)</f>
        <v>100.06</v>
      </c>
      <c r="I203" s="16" t="n">
        <f aca="false">IFERROR(SUMIFS(ROTACAO_RDM!$B$6:$B$71,ROTACAO_RDM!$D$6:$D$71,$E203,ROTACAO_RDM!$I$6:$I$71,"&lt;="&amp;$C203+INT(DIAS_POR_SEMANA/2),ROTACAO_RDM!$J$6:$J$71,"&gt;="&amp;$C203+INT(DIAS_POR_SEMANA/2)),0)</f>
        <v>0</v>
      </c>
      <c r="J203" s="16" t="n">
        <f aca="false">IFERROR(MATCH($I203,ROTACAO_RDM!$B$6:$B$71,0),0)</f>
        <v>0</v>
      </c>
      <c r="K203" s="8" t="str">
        <f aca="false">IF($J203=0,"SEM CULTURA",INDEX(ROTACAO_RDM!$F$6:$F$71,$J203))</f>
        <v>SEM CULTURA</v>
      </c>
      <c r="L203" s="8" t="str">
        <f aca="false">IF($J203=0,"",INDEX(ROTACAO_RDM!$G$6:$G$71,$J203))</f>
        <v/>
      </c>
      <c r="M203" s="17" t="str">
        <f aca="false">IF($J203=0,"",INDEX(ROTACAO_RDM!$I$6:$I$71,$J203))</f>
        <v/>
      </c>
      <c r="N203" s="16" t="n">
        <f aca="false">IF($J203=0,0,MAX(0,$C203+INT(DIAS_POR_SEMANA/2)-INDEX(ROTACAO_RDM!$I$6:$I$71,$J203)))</f>
        <v>0</v>
      </c>
      <c r="O203" s="19" t="n">
        <f aca="false">IF($J203=0,0,MIN(1,$N203/MAX(1,INDEX(ROTACAO_RDM!$K$6:$K$71,$J203))))</f>
        <v>0</v>
      </c>
      <c r="P203" s="16" t="n">
        <f aca="false">IF($J203=0,0,IFERROR(MATCH(INDEX(ROTACAO_RDM!$N$6:$N$71,$J203),PARAMETROS_CULTURAS!$B$6:$B$28,0),0))</f>
        <v>0</v>
      </c>
      <c r="Q203" s="8" t="str">
        <f aca="false">IF($P203=0,"-",IF($O203&lt;=INDEX(PARAMETROS_CULTURAS!$F$6:$F$28,$P203),"INICIAL",IF($O203&lt;=INDEX(PARAMETROS_CULTURAS!$F$6:$F$28,$P203)+INDEX(PARAMETROS_CULTURAS!$G$6:$G$28,$P203),"DESENVOLVIMENTO",IF($O203&lt;=INDEX(PARAMETROS_CULTURAS!$F$6:$F$28,$P203)+INDEX(PARAMETROS_CULTURAS!$G$6:$G$28,$P203)+INDEX(PARAMETROS_CULTURAS!$H$6:$H$28,$P203),"MEDIA","FINAL"))))</f>
        <v>-</v>
      </c>
      <c r="R203" s="24" t="n">
        <f aca="false">IF($P203=0,0,IF($O203&lt;=INDEX(PARAMETROS_CULTURAS!$F$6:$F$28,$P203),INDEX(PARAMETROS_CULTURAS!$K$6:$K$28,$P203),IF($O203&lt;=INDEX(PARAMETROS_CULTURAS!$F$6:$F$28,$P203)+INDEX(PARAMETROS_CULTURAS!$G$6:$G$28,$P203),INDEX(PARAMETROS_CULTURAS!$K$6:$K$28,$P203)+(INDEX(PARAMETROS_CULTURAS!$L$6:$L$28,$P203)-INDEX(PARAMETROS_CULTURAS!$K$6:$K$28,$P203))*($O203-INDEX(PARAMETROS_CULTURAS!$F$6:$F$28,$P203))/MAX(INDEX(PARAMETROS_CULTURAS!$G$6:$G$28,$P203),0.0001),IF($O203&lt;=INDEX(PARAMETROS_CULTURAS!$F$6:$F$28,$P203)+INDEX(PARAMETROS_CULTURAS!$G$6:$G$28,$P203)+INDEX(PARAMETROS_CULTURAS!$H$6:$H$28,$P203),INDEX(PARAMETROS_CULTURAS!$L$6:$L$28,$P203),INDEX(PARAMETROS_CULTURAS!$L$6:$L$28,$P203)+(INDEX(PARAMETROS_CULTURAS!$M$6:$M$28,$P203)-INDEX(PARAMETROS_CULTURAS!$L$6:$L$28,$P203))*($O203-INDEX(PARAMETROS_CULTURAS!$F$6:$F$28,$P203)-INDEX(PARAMETROS_CULTURAS!$G$6:$G$28,$P203)-INDEX(PARAMETROS_CULTURAS!$H$6:$H$28,$P203))/MAX(INDEX(PARAMETROS_CULTURAS!$I$6:$I$28,$P203),0.0001)))))</f>
        <v>0</v>
      </c>
      <c r="S203" s="18" t="n">
        <f aca="false">IFERROR(INDEX(SEMANAS!$H$6:$H$71,MATCH($B203,SEMANAS!$B$6:$B$71,0)),0)</f>
        <v>33.3</v>
      </c>
      <c r="T203" s="18" t="n">
        <f aca="false">$R203*$S203</f>
        <v>0</v>
      </c>
      <c r="U203" s="18" t="n">
        <f aca="false">IFERROR(INDEX(SEMANAS!$I$6:$I$71,MATCH($B203,SEMANAS!$B$6:$B$71,0)),0)</f>
        <v>48.04</v>
      </c>
      <c r="V203" s="18" t="n">
        <f aca="false">IFERROR(INDEX(SEMANAS!$J$6:$J$71,MATCH($B203,SEMANAS!$B$6:$B$71,0)),0)</f>
        <v>38.432</v>
      </c>
      <c r="W203" s="18" t="n">
        <f aca="false">MAX(0,$T203-$V203)</f>
        <v>0</v>
      </c>
      <c r="X203" s="19" t="n">
        <f aca="false">IFERROR(INDEX(CADASTRO_PIVOS!$K$6:$K$41,MATCH($E203,CADASTRO_PIVOS!$B$6:$B$41,0)),EFICIENCIA_PADRAO)</f>
        <v>0.85</v>
      </c>
      <c r="Y203" s="18" t="n">
        <f aca="false">IF($X203&lt;=0,0,$W203/$X203)</f>
        <v>0</v>
      </c>
      <c r="Z203" s="16" t="n">
        <f aca="false">$Y203*$H203*MM_PARA_M3_HA</f>
        <v>0</v>
      </c>
      <c r="AA203" s="18" t="n">
        <f aca="false">IFERROR(INDEX(CADASTRO_PIVOS!$I$6:$I$41,MATCH($E203,CADASTRO_PIVOS!$B$6:$B$41,0)),0)</f>
        <v>714.714285714286</v>
      </c>
      <c r="AB203" s="18" t="n">
        <f aca="false">IF($Z203&lt;=0,0,$Z203/$AA203)</f>
        <v>0</v>
      </c>
      <c r="AC203" s="16" t="n">
        <f aca="false">IFERROR(INDEX(SEMANAS!$K$6:$K$71,MATCH($B203,SEMANAS!$B$6:$B$71,0)),0)</f>
        <v>147</v>
      </c>
      <c r="AD203" s="19" t="n">
        <f aca="false">IF($AC203&lt;=0,0,$AB203/$AC203)</f>
        <v>0</v>
      </c>
      <c r="AE203" s="8" t="str">
        <f aca="false">IF($K203="SEM CULTURA","SEM CULTURA",IF($AA203&lt;=0,"DADO PENDENTE",IF($AD203&gt;LIMITE_CRITICO,"INVIAVEL",IF($AD203&gt;LIMITE_ATENCAO,"CRITICO",IF($AD203&gt;LIMITE_CONFORTAVEL,"ATENCAO","OK")))))</f>
        <v>SEM CULTURA</v>
      </c>
      <c r="AF203" s="8" t="str">
        <f aca="false">$B203&amp;"|"&amp;TEXT($AD203,"0.000000")</f>
        <v>66|0.000000</v>
      </c>
      <c r="AG203" s="18" t="n">
        <f aca="false">IF($K203="SEM CULTURA",0,$T203*$H203)</f>
        <v>0</v>
      </c>
      <c r="AH203" s="18" t="n">
        <f aca="false">IF($K203="SEM CULTURA",0,$V203*$H203)</f>
        <v>0</v>
      </c>
      <c r="AI203" s="18" t="n">
        <f aca="false">IF($K203="SEM CULTURA",0,$W203*$H203)</f>
        <v>0</v>
      </c>
      <c r="AJ203" s="18" t="n">
        <f aca="false">IF($K203="SEM CULTURA",0,$S203*$H203)</f>
        <v>0</v>
      </c>
      <c r="AK203" s="8" t="str">
        <f aca="false">$E203&amp;"|"&amp;TEXT($AD203,"0.000000")</f>
        <v>PV 108|0.000000</v>
      </c>
    </row>
    <row r="204" customFormat="false" ht="15" hidden="false" customHeight="false" outlineLevel="0" collapsed="false">
      <c r="B204" s="16" t="n">
        <v>1</v>
      </c>
      <c r="C204" s="17" t="n">
        <f aca="false">DATA_INICIO_SAFRA+($B204-1)*DIAS_POR_SEMANA</f>
        <v>46265</v>
      </c>
      <c r="D204" s="17" t="n">
        <f aca="false">$C204+DIAS_POR_SEMANA-1</f>
        <v>46271</v>
      </c>
      <c r="E204" s="15" t="s">
        <v>262</v>
      </c>
      <c r="F204" s="8" t="str">
        <f aca="false">IFERROR(INDEX(CADASTRO_PIVOS!$C$6:$C$41,MATCH($E204,CADASTRO_PIVOS!$B$6:$B$41,0)),"?")</f>
        <v>RM03</v>
      </c>
      <c r="G204" s="8" t="str">
        <f aca="false">IFERROR(INDEX(CADASTRO_PIVOS!$D$6:$D$41,MATCH($E204,CADASTRO_PIVOS!$B$6:$B$41,0)),"?")</f>
        <v>TR03</v>
      </c>
      <c r="H204" s="20" t="n">
        <f aca="false">IFERROR(INDEX(CADASTRO_PIVOS!$E$6:$E$41,MATCH($E204,CADASTRO_PIVOS!$B$6:$B$41,0)),0)</f>
        <v>98.2</v>
      </c>
      <c r="I204" s="16" t="n">
        <f aca="false">IFERROR(SUMIFS(ROTACAO_RDM!$B$6:$B$71,ROTACAO_RDM!$D$6:$D$71,$E204,ROTACAO_RDM!$I$6:$I$71,"&lt;="&amp;$C204+INT(DIAS_POR_SEMANA/2),ROTACAO_RDM!$J$6:$J$71,"&gt;="&amp;$C204+INT(DIAS_POR_SEMANA/2)),0)</f>
        <v>0</v>
      </c>
      <c r="J204" s="16" t="n">
        <f aca="false">IFERROR(MATCH($I204,ROTACAO_RDM!$B$6:$B$71,0),0)</f>
        <v>0</v>
      </c>
      <c r="K204" s="8" t="str">
        <f aca="false">IF($J204=0,"SEM CULTURA",INDEX(ROTACAO_RDM!$F$6:$F$71,$J204))</f>
        <v>SEM CULTURA</v>
      </c>
      <c r="L204" s="8" t="str">
        <f aca="false">IF($J204=0,"",INDEX(ROTACAO_RDM!$G$6:$G$71,$J204))</f>
        <v/>
      </c>
      <c r="M204" s="17" t="str">
        <f aca="false">IF($J204=0,"",INDEX(ROTACAO_RDM!$I$6:$I$71,$J204))</f>
        <v/>
      </c>
      <c r="N204" s="16" t="n">
        <f aca="false">IF($J204=0,0,MAX(0,$C204+INT(DIAS_POR_SEMANA/2)-INDEX(ROTACAO_RDM!$I$6:$I$71,$J204)))</f>
        <v>0</v>
      </c>
      <c r="O204" s="19" t="n">
        <f aca="false">IF($J204=0,0,MIN(1,$N204/MAX(1,INDEX(ROTACAO_RDM!$K$6:$K$71,$J204))))</f>
        <v>0</v>
      </c>
      <c r="P204" s="16" t="n">
        <f aca="false">IF($J204=0,0,IFERROR(MATCH(INDEX(ROTACAO_RDM!$N$6:$N$71,$J204),PARAMETROS_CULTURAS!$B$6:$B$28,0),0))</f>
        <v>0</v>
      </c>
      <c r="Q204" s="8" t="str">
        <f aca="false">IF($P204=0,"-",IF($O204&lt;=INDEX(PARAMETROS_CULTURAS!$F$6:$F$28,$P204),"INICIAL",IF($O204&lt;=INDEX(PARAMETROS_CULTURAS!$F$6:$F$28,$P204)+INDEX(PARAMETROS_CULTURAS!$G$6:$G$28,$P204),"DESENVOLVIMENTO",IF($O204&lt;=INDEX(PARAMETROS_CULTURAS!$F$6:$F$28,$P204)+INDEX(PARAMETROS_CULTURAS!$G$6:$G$28,$P204)+INDEX(PARAMETROS_CULTURAS!$H$6:$H$28,$P204),"MEDIA","FINAL"))))</f>
        <v>-</v>
      </c>
      <c r="R204" s="24" t="n">
        <f aca="false">IF($P204=0,0,IF($O204&lt;=INDEX(PARAMETROS_CULTURAS!$F$6:$F$28,$P204),INDEX(PARAMETROS_CULTURAS!$K$6:$K$28,$P204),IF($O204&lt;=INDEX(PARAMETROS_CULTURAS!$F$6:$F$28,$P204)+INDEX(PARAMETROS_CULTURAS!$G$6:$G$28,$P204),INDEX(PARAMETROS_CULTURAS!$K$6:$K$28,$P204)+(INDEX(PARAMETROS_CULTURAS!$L$6:$L$28,$P204)-INDEX(PARAMETROS_CULTURAS!$K$6:$K$28,$P204))*($O204-INDEX(PARAMETROS_CULTURAS!$F$6:$F$28,$P204))/MAX(INDEX(PARAMETROS_CULTURAS!$G$6:$G$28,$P204),0.0001),IF($O204&lt;=INDEX(PARAMETROS_CULTURAS!$F$6:$F$28,$P204)+INDEX(PARAMETROS_CULTURAS!$G$6:$G$28,$P204)+INDEX(PARAMETROS_CULTURAS!$H$6:$H$28,$P204),INDEX(PARAMETROS_CULTURAS!$L$6:$L$28,$P204),INDEX(PARAMETROS_CULTURAS!$L$6:$L$28,$P204)+(INDEX(PARAMETROS_CULTURAS!$M$6:$M$28,$P204)-INDEX(PARAMETROS_CULTURAS!$L$6:$L$28,$P204))*($O204-INDEX(PARAMETROS_CULTURAS!$F$6:$F$28,$P204)-INDEX(PARAMETROS_CULTURAS!$G$6:$G$28,$P204)-INDEX(PARAMETROS_CULTURAS!$H$6:$H$28,$P204))/MAX(INDEX(PARAMETROS_CULTURAS!$I$6:$I$28,$P204),0.0001)))))</f>
        <v>0</v>
      </c>
      <c r="S204" s="18" t="n">
        <f aca="false">IFERROR(INDEX(SEMANAS!$H$6:$H$71,MATCH($B204,SEMANAS!$B$6:$B$71,0)),0)</f>
        <v>40</v>
      </c>
      <c r="T204" s="18" t="n">
        <f aca="false">$R204*$S204</f>
        <v>0</v>
      </c>
      <c r="U204" s="18" t="n">
        <f aca="false">IFERROR(INDEX(SEMANAS!$I$6:$I$71,MATCH($B204,SEMANAS!$B$6:$B$71,0)),0)</f>
        <v>6.16</v>
      </c>
      <c r="V204" s="18" t="n">
        <f aca="false">IFERROR(INDEX(SEMANAS!$J$6:$J$71,MATCH($B204,SEMANAS!$B$6:$B$71,0)),0)</f>
        <v>4.928</v>
      </c>
      <c r="W204" s="18" t="n">
        <f aca="false">MAX(0,$T204-$V204)</f>
        <v>0</v>
      </c>
      <c r="X204" s="19" t="n">
        <f aca="false">IFERROR(INDEX(CADASTRO_PIVOS!$K$6:$K$41,MATCH($E204,CADASTRO_PIVOS!$B$6:$B$41,0)),EFICIENCIA_PADRAO)</f>
        <v>0.85</v>
      </c>
      <c r="Y204" s="18" t="n">
        <f aca="false">IF($X204&lt;=0,0,$W204/$X204)</f>
        <v>0</v>
      </c>
      <c r="Z204" s="16" t="n">
        <f aca="false">$Y204*$H204*MM_PARA_M3_HA</f>
        <v>0</v>
      </c>
      <c r="AA204" s="18" t="n">
        <f aca="false">IFERROR(INDEX(CADASTRO_PIVOS!$I$6:$I$41,MATCH($E204,CADASTRO_PIVOS!$B$6:$B$41,0)),0)</f>
        <v>701.428571428571</v>
      </c>
      <c r="AB204" s="18" t="n">
        <f aca="false">IF($Z204&lt;=0,0,$Z204/$AA204)</f>
        <v>0</v>
      </c>
      <c r="AC204" s="16" t="n">
        <f aca="false">IFERROR(INDEX(SEMANAS!$K$6:$K$71,MATCH($B204,SEMANAS!$B$6:$B$71,0)),0)</f>
        <v>147</v>
      </c>
      <c r="AD204" s="19" t="n">
        <f aca="false">IF($AC204&lt;=0,0,$AB204/$AC204)</f>
        <v>0</v>
      </c>
      <c r="AE204" s="8" t="str">
        <f aca="false">IF($K204="SEM CULTURA","SEM CULTURA",IF($AA204&lt;=0,"DADO PENDENTE",IF($AD204&gt;LIMITE_CRITICO,"INVIAVEL",IF($AD204&gt;LIMITE_ATENCAO,"CRITICO",IF($AD204&gt;LIMITE_CONFORTAVEL,"ATENCAO","OK")))))</f>
        <v>SEM CULTURA</v>
      </c>
      <c r="AF204" s="8" t="str">
        <f aca="false">$B204&amp;"|"&amp;TEXT($AD204,"0.000000")</f>
        <v>1|0.000000</v>
      </c>
      <c r="AG204" s="18" t="n">
        <f aca="false">IF($K204="SEM CULTURA",0,$T204*$H204)</f>
        <v>0</v>
      </c>
      <c r="AH204" s="18" t="n">
        <f aca="false">IF($K204="SEM CULTURA",0,$V204*$H204)</f>
        <v>0</v>
      </c>
      <c r="AI204" s="18" t="n">
        <f aca="false">IF($K204="SEM CULTURA",0,$W204*$H204)</f>
        <v>0</v>
      </c>
      <c r="AJ204" s="18" t="n">
        <f aca="false">IF($K204="SEM CULTURA",0,$S204*$H204)</f>
        <v>0</v>
      </c>
      <c r="AK204" s="8" t="str">
        <f aca="false">$E204&amp;"|"&amp;TEXT($AD204,"0.000000")</f>
        <v>PV 105|0.000000</v>
      </c>
    </row>
    <row r="205" customFormat="false" ht="15" hidden="false" customHeight="false" outlineLevel="0" collapsed="false">
      <c r="B205" s="16" t="n">
        <v>2</v>
      </c>
      <c r="C205" s="17" t="n">
        <f aca="false">DATA_INICIO_SAFRA+($B205-1)*DIAS_POR_SEMANA</f>
        <v>46272</v>
      </c>
      <c r="D205" s="17" t="n">
        <f aca="false">$C205+DIAS_POR_SEMANA-1</f>
        <v>46278</v>
      </c>
      <c r="E205" s="15" t="s">
        <v>262</v>
      </c>
      <c r="F205" s="8" t="str">
        <f aca="false">IFERROR(INDEX(CADASTRO_PIVOS!$C$6:$C$41,MATCH($E205,CADASTRO_PIVOS!$B$6:$B$41,0)),"?")</f>
        <v>RM03</v>
      </c>
      <c r="G205" s="8" t="str">
        <f aca="false">IFERROR(INDEX(CADASTRO_PIVOS!$D$6:$D$41,MATCH($E205,CADASTRO_PIVOS!$B$6:$B$41,0)),"?")</f>
        <v>TR03</v>
      </c>
      <c r="H205" s="20" t="n">
        <f aca="false">IFERROR(INDEX(CADASTRO_PIVOS!$E$6:$E$41,MATCH($E205,CADASTRO_PIVOS!$B$6:$B$41,0)),0)</f>
        <v>98.2</v>
      </c>
      <c r="I205" s="16" t="n">
        <f aca="false">IFERROR(SUMIFS(ROTACAO_RDM!$B$6:$B$71,ROTACAO_RDM!$D$6:$D$71,$E205,ROTACAO_RDM!$I$6:$I$71,"&lt;="&amp;$C205+INT(DIAS_POR_SEMANA/2),ROTACAO_RDM!$J$6:$J$71,"&gt;="&amp;$C205+INT(DIAS_POR_SEMANA/2)),0)</f>
        <v>0</v>
      </c>
      <c r="J205" s="16" t="n">
        <f aca="false">IFERROR(MATCH($I205,ROTACAO_RDM!$B$6:$B$71,0),0)</f>
        <v>0</v>
      </c>
      <c r="K205" s="8" t="str">
        <f aca="false">IF($J205=0,"SEM CULTURA",INDEX(ROTACAO_RDM!$F$6:$F$71,$J205))</f>
        <v>SEM CULTURA</v>
      </c>
      <c r="L205" s="8" t="str">
        <f aca="false">IF($J205=0,"",INDEX(ROTACAO_RDM!$G$6:$G$71,$J205))</f>
        <v/>
      </c>
      <c r="M205" s="17" t="str">
        <f aca="false">IF($J205=0,"",INDEX(ROTACAO_RDM!$I$6:$I$71,$J205))</f>
        <v/>
      </c>
      <c r="N205" s="16" t="n">
        <f aca="false">IF($J205=0,0,MAX(0,$C205+INT(DIAS_POR_SEMANA/2)-INDEX(ROTACAO_RDM!$I$6:$I$71,$J205)))</f>
        <v>0</v>
      </c>
      <c r="O205" s="19" t="n">
        <f aca="false">IF($J205=0,0,MIN(1,$N205/MAX(1,INDEX(ROTACAO_RDM!$K$6:$K$71,$J205))))</f>
        <v>0</v>
      </c>
      <c r="P205" s="16" t="n">
        <f aca="false">IF($J205=0,0,IFERROR(MATCH(INDEX(ROTACAO_RDM!$N$6:$N$71,$J205),PARAMETROS_CULTURAS!$B$6:$B$28,0),0))</f>
        <v>0</v>
      </c>
      <c r="Q205" s="8" t="str">
        <f aca="false">IF($P205=0,"-",IF($O205&lt;=INDEX(PARAMETROS_CULTURAS!$F$6:$F$28,$P205),"INICIAL",IF($O205&lt;=INDEX(PARAMETROS_CULTURAS!$F$6:$F$28,$P205)+INDEX(PARAMETROS_CULTURAS!$G$6:$G$28,$P205),"DESENVOLVIMENTO",IF($O205&lt;=INDEX(PARAMETROS_CULTURAS!$F$6:$F$28,$P205)+INDEX(PARAMETROS_CULTURAS!$G$6:$G$28,$P205)+INDEX(PARAMETROS_CULTURAS!$H$6:$H$28,$P205),"MEDIA","FINAL"))))</f>
        <v>-</v>
      </c>
      <c r="R205" s="24" t="n">
        <f aca="false">IF($P205=0,0,IF($O205&lt;=INDEX(PARAMETROS_CULTURAS!$F$6:$F$28,$P205),INDEX(PARAMETROS_CULTURAS!$K$6:$K$28,$P205),IF($O205&lt;=INDEX(PARAMETROS_CULTURAS!$F$6:$F$28,$P205)+INDEX(PARAMETROS_CULTURAS!$G$6:$G$28,$P205),INDEX(PARAMETROS_CULTURAS!$K$6:$K$28,$P205)+(INDEX(PARAMETROS_CULTURAS!$L$6:$L$28,$P205)-INDEX(PARAMETROS_CULTURAS!$K$6:$K$28,$P205))*($O205-INDEX(PARAMETROS_CULTURAS!$F$6:$F$28,$P205))/MAX(INDEX(PARAMETROS_CULTURAS!$G$6:$G$28,$P205),0.0001),IF($O205&lt;=INDEX(PARAMETROS_CULTURAS!$F$6:$F$28,$P205)+INDEX(PARAMETROS_CULTURAS!$G$6:$G$28,$P205)+INDEX(PARAMETROS_CULTURAS!$H$6:$H$28,$P205),INDEX(PARAMETROS_CULTURAS!$L$6:$L$28,$P205),INDEX(PARAMETROS_CULTURAS!$L$6:$L$28,$P205)+(INDEX(PARAMETROS_CULTURAS!$M$6:$M$28,$P205)-INDEX(PARAMETROS_CULTURAS!$L$6:$L$28,$P205))*($O205-INDEX(PARAMETROS_CULTURAS!$F$6:$F$28,$P205)-INDEX(PARAMETROS_CULTURAS!$G$6:$G$28,$P205)-INDEX(PARAMETROS_CULTURAS!$H$6:$H$28,$P205))/MAX(INDEX(PARAMETROS_CULTURAS!$I$6:$I$28,$P205),0.0001)))))</f>
        <v>0</v>
      </c>
      <c r="S205" s="18" t="n">
        <f aca="false">IFERROR(INDEX(SEMANAS!$H$6:$H$71,MATCH($B205,SEMANAS!$B$6:$B$71,0)),0)</f>
        <v>40.6</v>
      </c>
      <c r="T205" s="18" t="n">
        <f aca="false">$R205*$S205</f>
        <v>0</v>
      </c>
      <c r="U205" s="18" t="n">
        <f aca="false">IFERROR(INDEX(SEMANAS!$I$6:$I$71,MATCH($B205,SEMANAS!$B$6:$B$71,0)),0)</f>
        <v>7</v>
      </c>
      <c r="V205" s="18" t="n">
        <f aca="false">IFERROR(INDEX(SEMANAS!$J$6:$J$71,MATCH($B205,SEMANAS!$B$6:$B$71,0)),0)</f>
        <v>5.6</v>
      </c>
      <c r="W205" s="18" t="n">
        <f aca="false">MAX(0,$T205-$V205)</f>
        <v>0</v>
      </c>
      <c r="X205" s="19" t="n">
        <f aca="false">IFERROR(INDEX(CADASTRO_PIVOS!$K$6:$K$41,MATCH($E205,CADASTRO_PIVOS!$B$6:$B$41,0)),EFICIENCIA_PADRAO)</f>
        <v>0.85</v>
      </c>
      <c r="Y205" s="18" t="n">
        <f aca="false">IF($X205&lt;=0,0,$W205/$X205)</f>
        <v>0</v>
      </c>
      <c r="Z205" s="16" t="n">
        <f aca="false">$Y205*$H205*MM_PARA_M3_HA</f>
        <v>0</v>
      </c>
      <c r="AA205" s="18" t="n">
        <f aca="false">IFERROR(INDEX(CADASTRO_PIVOS!$I$6:$I$41,MATCH($E205,CADASTRO_PIVOS!$B$6:$B$41,0)),0)</f>
        <v>701.428571428571</v>
      </c>
      <c r="AB205" s="18" t="n">
        <f aca="false">IF($Z205&lt;=0,0,$Z205/$AA205)</f>
        <v>0</v>
      </c>
      <c r="AC205" s="16" t="n">
        <f aca="false">IFERROR(INDEX(SEMANAS!$K$6:$K$71,MATCH($B205,SEMANAS!$B$6:$B$71,0)),0)</f>
        <v>147</v>
      </c>
      <c r="AD205" s="19" t="n">
        <f aca="false">IF($AC205&lt;=0,0,$AB205/$AC205)</f>
        <v>0</v>
      </c>
      <c r="AE205" s="8" t="str">
        <f aca="false">IF($K205="SEM CULTURA","SEM CULTURA",IF($AA205&lt;=0,"DADO PENDENTE",IF($AD205&gt;LIMITE_CRITICO,"INVIAVEL",IF($AD205&gt;LIMITE_ATENCAO,"CRITICO",IF($AD205&gt;LIMITE_CONFORTAVEL,"ATENCAO","OK")))))</f>
        <v>SEM CULTURA</v>
      </c>
      <c r="AF205" s="8" t="str">
        <f aca="false">$B205&amp;"|"&amp;TEXT($AD205,"0.000000")</f>
        <v>2|0.000000</v>
      </c>
      <c r="AG205" s="18" t="n">
        <f aca="false">IF($K205="SEM CULTURA",0,$T205*$H205)</f>
        <v>0</v>
      </c>
      <c r="AH205" s="18" t="n">
        <f aca="false">IF($K205="SEM CULTURA",0,$V205*$H205)</f>
        <v>0</v>
      </c>
      <c r="AI205" s="18" t="n">
        <f aca="false">IF($K205="SEM CULTURA",0,$W205*$H205)</f>
        <v>0</v>
      </c>
      <c r="AJ205" s="18" t="n">
        <f aca="false">IF($K205="SEM CULTURA",0,$S205*$H205)</f>
        <v>0</v>
      </c>
      <c r="AK205" s="8" t="str">
        <f aca="false">$E205&amp;"|"&amp;TEXT($AD205,"0.000000")</f>
        <v>PV 105|0.000000</v>
      </c>
    </row>
    <row r="206" customFormat="false" ht="15" hidden="false" customHeight="false" outlineLevel="0" collapsed="false">
      <c r="B206" s="16" t="n">
        <v>3</v>
      </c>
      <c r="C206" s="17" t="n">
        <f aca="false">DATA_INICIO_SAFRA+($B206-1)*DIAS_POR_SEMANA</f>
        <v>46279</v>
      </c>
      <c r="D206" s="17" t="n">
        <f aca="false">$C206+DIAS_POR_SEMANA-1</f>
        <v>46285</v>
      </c>
      <c r="E206" s="15" t="s">
        <v>262</v>
      </c>
      <c r="F206" s="8" t="str">
        <f aca="false">IFERROR(INDEX(CADASTRO_PIVOS!$C$6:$C$41,MATCH($E206,CADASTRO_PIVOS!$B$6:$B$41,0)),"?")</f>
        <v>RM03</v>
      </c>
      <c r="G206" s="8" t="str">
        <f aca="false">IFERROR(INDEX(CADASTRO_PIVOS!$D$6:$D$41,MATCH($E206,CADASTRO_PIVOS!$B$6:$B$41,0)),"?")</f>
        <v>TR03</v>
      </c>
      <c r="H206" s="20" t="n">
        <f aca="false">IFERROR(INDEX(CADASTRO_PIVOS!$E$6:$E$41,MATCH($E206,CADASTRO_PIVOS!$B$6:$B$41,0)),0)</f>
        <v>98.2</v>
      </c>
      <c r="I206" s="16" t="n">
        <f aca="false">IFERROR(SUMIFS(ROTACAO_RDM!$B$6:$B$71,ROTACAO_RDM!$D$6:$D$71,$E206,ROTACAO_RDM!$I$6:$I$71,"&lt;="&amp;$C206+INT(DIAS_POR_SEMANA/2),ROTACAO_RDM!$J$6:$J$71,"&gt;="&amp;$C206+INT(DIAS_POR_SEMANA/2)),0)</f>
        <v>0</v>
      </c>
      <c r="J206" s="16" t="n">
        <f aca="false">IFERROR(MATCH($I206,ROTACAO_RDM!$B$6:$B$71,0),0)</f>
        <v>0</v>
      </c>
      <c r="K206" s="8" t="str">
        <f aca="false">IF($J206=0,"SEM CULTURA",INDEX(ROTACAO_RDM!$F$6:$F$71,$J206))</f>
        <v>SEM CULTURA</v>
      </c>
      <c r="L206" s="8" t="str">
        <f aca="false">IF($J206=0,"",INDEX(ROTACAO_RDM!$G$6:$G$71,$J206))</f>
        <v/>
      </c>
      <c r="M206" s="17" t="str">
        <f aca="false">IF($J206=0,"",INDEX(ROTACAO_RDM!$I$6:$I$71,$J206))</f>
        <v/>
      </c>
      <c r="N206" s="16" t="n">
        <f aca="false">IF($J206=0,0,MAX(0,$C206+INT(DIAS_POR_SEMANA/2)-INDEX(ROTACAO_RDM!$I$6:$I$71,$J206)))</f>
        <v>0</v>
      </c>
      <c r="O206" s="19" t="n">
        <f aca="false">IF($J206=0,0,MIN(1,$N206/MAX(1,INDEX(ROTACAO_RDM!$K$6:$K$71,$J206))))</f>
        <v>0</v>
      </c>
      <c r="P206" s="16" t="n">
        <f aca="false">IF($J206=0,0,IFERROR(MATCH(INDEX(ROTACAO_RDM!$N$6:$N$71,$J206),PARAMETROS_CULTURAS!$B$6:$B$28,0),0))</f>
        <v>0</v>
      </c>
      <c r="Q206" s="8" t="str">
        <f aca="false">IF($P206=0,"-",IF($O206&lt;=INDEX(PARAMETROS_CULTURAS!$F$6:$F$28,$P206),"INICIAL",IF($O206&lt;=INDEX(PARAMETROS_CULTURAS!$F$6:$F$28,$P206)+INDEX(PARAMETROS_CULTURAS!$G$6:$G$28,$P206),"DESENVOLVIMENTO",IF($O206&lt;=INDEX(PARAMETROS_CULTURAS!$F$6:$F$28,$P206)+INDEX(PARAMETROS_CULTURAS!$G$6:$G$28,$P206)+INDEX(PARAMETROS_CULTURAS!$H$6:$H$28,$P206),"MEDIA","FINAL"))))</f>
        <v>-</v>
      </c>
      <c r="R206" s="24" t="n">
        <f aca="false">IF($P206=0,0,IF($O206&lt;=INDEX(PARAMETROS_CULTURAS!$F$6:$F$28,$P206),INDEX(PARAMETROS_CULTURAS!$K$6:$K$28,$P206),IF($O206&lt;=INDEX(PARAMETROS_CULTURAS!$F$6:$F$28,$P206)+INDEX(PARAMETROS_CULTURAS!$G$6:$G$28,$P206),INDEX(PARAMETROS_CULTURAS!$K$6:$K$28,$P206)+(INDEX(PARAMETROS_CULTURAS!$L$6:$L$28,$P206)-INDEX(PARAMETROS_CULTURAS!$K$6:$K$28,$P206))*($O206-INDEX(PARAMETROS_CULTURAS!$F$6:$F$28,$P206))/MAX(INDEX(PARAMETROS_CULTURAS!$G$6:$G$28,$P206),0.0001),IF($O206&lt;=INDEX(PARAMETROS_CULTURAS!$F$6:$F$28,$P206)+INDEX(PARAMETROS_CULTURAS!$G$6:$G$28,$P206)+INDEX(PARAMETROS_CULTURAS!$H$6:$H$28,$P206),INDEX(PARAMETROS_CULTURAS!$L$6:$L$28,$P206),INDEX(PARAMETROS_CULTURAS!$L$6:$L$28,$P206)+(INDEX(PARAMETROS_CULTURAS!$M$6:$M$28,$P206)-INDEX(PARAMETROS_CULTURAS!$L$6:$L$28,$P206))*($O206-INDEX(PARAMETROS_CULTURAS!$F$6:$F$28,$P206)-INDEX(PARAMETROS_CULTURAS!$G$6:$G$28,$P206)-INDEX(PARAMETROS_CULTURAS!$H$6:$H$28,$P206))/MAX(INDEX(PARAMETROS_CULTURAS!$I$6:$I$28,$P206),0.0001)))))</f>
        <v>0</v>
      </c>
      <c r="S206" s="18" t="n">
        <f aca="false">IFERROR(INDEX(SEMANAS!$H$6:$H$71,MATCH($B206,SEMANAS!$B$6:$B$71,0)),0)</f>
        <v>40.6</v>
      </c>
      <c r="T206" s="18" t="n">
        <f aca="false">$R206*$S206</f>
        <v>0</v>
      </c>
      <c r="U206" s="18" t="n">
        <f aca="false">IFERROR(INDEX(SEMANAS!$I$6:$I$71,MATCH($B206,SEMANAS!$B$6:$B$71,0)),0)</f>
        <v>7</v>
      </c>
      <c r="V206" s="18" t="n">
        <f aca="false">IFERROR(INDEX(SEMANAS!$J$6:$J$71,MATCH($B206,SEMANAS!$B$6:$B$71,0)),0)</f>
        <v>5.6</v>
      </c>
      <c r="W206" s="18" t="n">
        <f aca="false">MAX(0,$T206-$V206)</f>
        <v>0</v>
      </c>
      <c r="X206" s="19" t="n">
        <f aca="false">IFERROR(INDEX(CADASTRO_PIVOS!$K$6:$K$41,MATCH($E206,CADASTRO_PIVOS!$B$6:$B$41,0)),EFICIENCIA_PADRAO)</f>
        <v>0.85</v>
      </c>
      <c r="Y206" s="18" t="n">
        <f aca="false">IF($X206&lt;=0,0,$W206/$X206)</f>
        <v>0</v>
      </c>
      <c r="Z206" s="16" t="n">
        <f aca="false">$Y206*$H206*MM_PARA_M3_HA</f>
        <v>0</v>
      </c>
      <c r="AA206" s="18" t="n">
        <f aca="false">IFERROR(INDEX(CADASTRO_PIVOS!$I$6:$I$41,MATCH($E206,CADASTRO_PIVOS!$B$6:$B$41,0)),0)</f>
        <v>701.428571428571</v>
      </c>
      <c r="AB206" s="18" t="n">
        <f aca="false">IF($Z206&lt;=0,0,$Z206/$AA206)</f>
        <v>0</v>
      </c>
      <c r="AC206" s="16" t="n">
        <f aca="false">IFERROR(INDEX(SEMANAS!$K$6:$K$71,MATCH($B206,SEMANAS!$B$6:$B$71,0)),0)</f>
        <v>147</v>
      </c>
      <c r="AD206" s="19" t="n">
        <f aca="false">IF($AC206&lt;=0,0,$AB206/$AC206)</f>
        <v>0</v>
      </c>
      <c r="AE206" s="8" t="str">
        <f aca="false">IF($K206="SEM CULTURA","SEM CULTURA",IF($AA206&lt;=0,"DADO PENDENTE",IF($AD206&gt;LIMITE_CRITICO,"INVIAVEL",IF($AD206&gt;LIMITE_ATENCAO,"CRITICO",IF($AD206&gt;LIMITE_CONFORTAVEL,"ATENCAO","OK")))))</f>
        <v>SEM CULTURA</v>
      </c>
      <c r="AF206" s="8" t="str">
        <f aca="false">$B206&amp;"|"&amp;TEXT($AD206,"0.000000")</f>
        <v>3|0.000000</v>
      </c>
      <c r="AG206" s="18" t="n">
        <f aca="false">IF($K206="SEM CULTURA",0,$T206*$H206)</f>
        <v>0</v>
      </c>
      <c r="AH206" s="18" t="n">
        <f aca="false">IF($K206="SEM CULTURA",0,$V206*$H206)</f>
        <v>0</v>
      </c>
      <c r="AI206" s="18" t="n">
        <f aca="false">IF($K206="SEM CULTURA",0,$W206*$H206)</f>
        <v>0</v>
      </c>
      <c r="AJ206" s="18" t="n">
        <f aca="false">IF($K206="SEM CULTURA",0,$S206*$H206)</f>
        <v>0</v>
      </c>
      <c r="AK206" s="8" t="str">
        <f aca="false">$E206&amp;"|"&amp;TEXT($AD206,"0.000000")</f>
        <v>PV 105|0.000000</v>
      </c>
    </row>
    <row r="207" customFormat="false" ht="15" hidden="false" customHeight="false" outlineLevel="0" collapsed="false">
      <c r="B207" s="16" t="n">
        <v>4</v>
      </c>
      <c r="C207" s="17" t="n">
        <f aca="false">DATA_INICIO_SAFRA+($B207-1)*DIAS_POR_SEMANA</f>
        <v>46286</v>
      </c>
      <c r="D207" s="17" t="n">
        <f aca="false">$C207+DIAS_POR_SEMANA-1</f>
        <v>46292</v>
      </c>
      <c r="E207" s="15" t="s">
        <v>262</v>
      </c>
      <c r="F207" s="8" t="str">
        <f aca="false">IFERROR(INDEX(CADASTRO_PIVOS!$C$6:$C$41,MATCH($E207,CADASTRO_PIVOS!$B$6:$B$41,0)),"?")</f>
        <v>RM03</v>
      </c>
      <c r="G207" s="8" t="str">
        <f aca="false">IFERROR(INDEX(CADASTRO_PIVOS!$D$6:$D$41,MATCH($E207,CADASTRO_PIVOS!$B$6:$B$41,0)),"?")</f>
        <v>TR03</v>
      </c>
      <c r="H207" s="20" t="n">
        <f aca="false">IFERROR(INDEX(CADASTRO_PIVOS!$E$6:$E$41,MATCH($E207,CADASTRO_PIVOS!$B$6:$B$41,0)),0)</f>
        <v>98.2</v>
      </c>
      <c r="I207" s="16" t="n">
        <f aca="false">IFERROR(SUMIFS(ROTACAO_RDM!$B$6:$B$71,ROTACAO_RDM!$D$6:$D$71,$E207,ROTACAO_RDM!$I$6:$I$71,"&lt;="&amp;$C207+INT(DIAS_POR_SEMANA/2),ROTACAO_RDM!$J$6:$J$71,"&gt;="&amp;$C207+INT(DIAS_POR_SEMANA/2)),0)</f>
        <v>0</v>
      </c>
      <c r="J207" s="16" t="n">
        <f aca="false">IFERROR(MATCH($I207,ROTACAO_RDM!$B$6:$B$71,0),0)</f>
        <v>0</v>
      </c>
      <c r="K207" s="8" t="str">
        <f aca="false">IF($J207=0,"SEM CULTURA",INDEX(ROTACAO_RDM!$F$6:$F$71,$J207))</f>
        <v>SEM CULTURA</v>
      </c>
      <c r="L207" s="8" t="str">
        <f aca="false">IF($J207=0,"",INDEX(ROTACAO_RDM!$G$6:$G$71,$J207))</f>
        <v/>
      </c>
      <c r="M207" s="17" t="str">
        <f aca="false">IF($J207=0,"",INDEX(ROTACAO_RDM!$I$6:$I$71,$J207))</f>
        <v/>
      </c>
      <c r="N207" s="16" t="n">
        <f aca="false">IF($J207=0,0,MAX(0,$C207+INT(DIAS_POR_SEMANA/2)-INDEX(ROTACAO_RDM!$I$6:$I$71,$J207)))</f>
        <v>0</v>
      </c>
      <c r="O207" s="19" t="n">
        <f aca="false">IF($J207=0,0,MIN(1,$N207/MAX(1,INDEX(ROTACAO_RDM!$K$6:$K$71,$J207))))</f>
        <v>0</v>
      </c>
      <c r="P207" s="16" t="n">
        <f aca="false">IF($J207=0,0,IFERROR(MATCH(INDEX(ROTACAO_RDM!$N$6:$N$71,$J207),PARAMETROS_CULTURAS!$B$6:$B$28,0),0))</f>
        <v>0</v>
      </c>
      <c r="Q207" s="8" t="str">
        <f aca="false">IF($P207=0,"-",IF($O207&lt;=INDEX(PARAMETROS_CULTURAS!$F$6:$F$28,$P207),"INICIAL",IF($O207&lt;=INDEX(PARAMETROS_CULTURAS!$F$6:$F$28,$P207)+INDEX(PARAMETROS_CULTURAS!$G$6:$G$28,$P207),"DESENVOLVIMENTO",IF($O207&lt;=INDEX(PARAMETROS_CULTURAS!$F$6:$F$28,$P207)+INDEX(PARAMETROS_CULTURAS!$G$6:$G$28,$P207)+INDEX(PARAMETROS_CULTURAS!$H$6:$H$28,$P207),"MEDIA","FINAL"))))</f>
        <v>-</v>
      </c>
      <c r="R207" s="24" t="n">
        <f aca="false">IF($P207=0,0,IF($O207&lt;=INDEX(PARAMETROS_CULTURAS!$F$6:$F$28,$P207),INDEX(PARAMETROS_CULTURAS!$K$6:$K$28,$P207),IF($O207&lt;=INDEX(PARAMETROS_CULTURAS!$F$6:$F$28,$P207)+INDEX(PARAMETROS_CULTURAS!$G$6:$G$28,$P207),INDEX(PARAMETROS_CULTURAS!$K$6:$K$28,$P207)+(INDEX(PARAMETROS_CULTURAS!$L$6:$L$28,$P207)-INDEX(PARAMETROS_CULTURAS!$K$6:$K$28,$P207))*($O207-INDEX(PARAMETROS_CULTURAS!$F$6:$F$28,$P207))/MAX(INDEX(PARAMETROS_CULTURAS!$G$6:$G$28,$P207),0.0001),IF($O207&lt;=INDEX(PARAMETROS_CULTURAS!$F$6:$F$28,$P207)+INDEX(PARAMETROS_CULTURAS!$G$6:$G$28,$P207)+INDEX(PARAMETROS_CULTURAS!$H$6:$H$28,$P207),INDEX(PARAMETROS_CULTURAS!$L$6:$L$28,$P207),INDEX(PARAMETROS_CULTURAS!$L$6:$L$28,$P207)+(INDEX(PARAMETROS_CULTURAS!$M$6:$M$28,$P207)-INDEX(PARAMETROS_CULTURAS!$L$6:$L$28,$P207))*($O207-INDEX(PARAMETROS_CULTURAS!$F$6:$F$28,$P207)-INDEX(PARAMETROS_CULTURAS!$G$6:$G$28,$P207)-INDEX(PARAMETROS_CULTURAS!$H$6:$H$28,$P207))/MAX(INDEX(PARAMETROS_CULTURAS!$I$6:$I$28,$P207),0.0001)))))</f>
        <v>0</v>
      </c>
      <c r="S207" s="18" t="n">
        <f aca="false">IFERROR(INDEX(SEMANAS!$H$6:$H$71,MATCH($B207,SEMANAS!$B$6:$B$71,0)),0)</f>
        <v>40.6</v>
      </c>
      <c r="T207" s="18" t="n">
        <f aca="false">$R207*$S207</f>
        <v>0</v>
      </c>
      <c r="U207" s="18" t="n">
        <f aca="false">IFERROR(INDEX(SEMANAS!$I$6:$I$71,MATCH($B207,SEMANAS!$B$6:$B$71,0)),0)</f>
        <v>7</v>
      </c>
      <c r="V207" s="18" t="n">
        <f aca="false">IFERROR(INDEX(SEMANAS!$J$6:$J$71,MATCH($B207,SEMANAS!$B$6:$B$71,0)),0)</f>
        <v>5.6</v>
      </c>
      <c r="W207" s="18" t="n">
        <f aca="false">MAX(0,$T207-$V207)</f>
        <v>0</v>
      </c>
      <c r="X207" s="19" t="n">
        <f aca="false">IFERROR(INDEX(CADASTRO_PIVOS!$K$6:$K$41,MATCH($E207,CADASTRO_PIVOS!$B$6:$B$41,0)),EFICIENCIA_PADRAO)</f>
        <v>0.85</v>
      </c>
      <c r="Y207" s="18" t="n">
        <f aca="false">IF($X207&lt;=0,0,$W207/$X207)</f>
        <v>0</v>
      </c>
      <c r="Z207" s="16" t="n">
        <f aca="false">$Y207*$H207*MM_PARA_M3_HA</f>
        <v>0</v>
      </c>
      <c r="AA207" s="18" t="n">
        <f aca="false">IFERROR(INDEX(CADASTRO_PIVOS!$I$6:$I$41,MATCH($E207,CADASTRO_PIVOS!$B$6:$B$41,0)),0)</f>
        <v>701.428571428571</v>
      </c>
      <c r="AB207" s="18" t="n">
        <f aca="false">IF($Z207&lt;=0,0,$Z207/$AA207)</f>
        <v>0</v>
      </c>
      <c r="AC207" s="16" t="n">
        <f aca="false">IFERROR(INDEX(SEMANAS!$K$6:$K$71,MATCH($B207,SEMANAS!$B$6:$B$71,0)),0)</f>
        <v>147</v>
      </c>
      <c r="AD207" s="19" t="n">
        <f aca="false">IF($AC207&lt;=0,0,$AB207/$AC207)</f>
        <v>0</v>
      </c>
      <c r="AE207" s="8" t="str">
        <f aca="false">IF($K207="SEM CULTURA","SEM CULTURA",IF($AA207&lt;=0,"DADO PENDENTE",IF($AD207&gt;LIMITE_CRITICO,"INVIAVEL",IF($AD207&gt;LIMITE_ATENCAO,"CRITICO",IF($AD207&gt;LIMITE_CONFORTAVEL,"ATENCAO","OK")))))</f>
        <v>SEM CULTURA</v>
      </c>
      <c r="AF207" s="8" t="str">
        <f aca="false">$B207&amp;"|"&amp;TEXT($AD207,"0.000000")</f>
        <v>4|0.000000</v>
      </c>
      <c r="AG207" s="18" t="n">
        <f aca="false">IF($K207="SEM CULTURA",0,$T207*$H207)</f>
        <v>0</v>
      </c>
      <c r="AH207" s="18" t="n">
        <f aca="false">IF($K207="SEM CULTURA",0,$V207*$H207)</f>
        <v>0</v>
      </c>
      <c r="AI207" s="18" t="n">
        <f aca="false">IF($K207="SEM CULTURA",0,$W207*$H207)</f>
        <v>0</v>
      </c>
      <c r="AJ207" s="18" t="n">
        <f aca="false">IF($K207="SEM CULTURA",0,$S207*$H207)</f>
        <v>0</v>
      </c>
      <c r="AK207" s="8" t="str">
        <f aca="false">$E207&amp;"|"&amp;TEXT($AD207,"0.000000")</f>
        <v>PV 105|0.000000</v>
      </c>
    </row>
    <row r="208" customFormat="false" ht="15" hidden="false" customHeight="false" outlineLevel="0" collapsed="false">
      <c r="B208" s="16" t="n">
        <v>5</v>
      </c>
      <c r="C208" s="17" t="n">
        <f aca="false">DATA_INICIO_SAFRA+($B208-1)*DIAS_POR_SEMANA</f>
        <v>46293</v>
      </c>
      <c r="D208" s="17" t="n">
        <f aca="false">$C208+DIAS_POR_SEMANA-1</f>
        <v>46299</v>
      </c>
      <c r="E208" s="15" t="s">
        <v>262</v>
      </c>
      <c r="F208" s="8" t="str">
        <f aca="false">IFERROR(INDEX(CADASTRO_PIVOS!$C$6:$C$41,MATCH($E208,CADASTRO_PIVOS!$B$6:$B$41,0)),"?")</f>
        <v>RM03</v>
      </c>
      <c r="G208" s="8" t="str">
        <f aca="false">IFERROR(INDEX(CADASTRO_PIVOS!$D$6:$D$41,MATCH($E208,CADASTRO_PIVOS!$B$6:$B$41,0)),"?")</f>
        <v>TR03</v>
      </c>
      <c r="H208" s="20" t="n">
        <f aca="false">IFERROR(INDEX(CADASTRO_PIVOS!$E$6:$E$41,MATCH($E208,CADASTRO_PIVOS!$B$6:$B$41,0)),0)</f>
        <v>98.2</v>
      </c>
      <c r="I208" s="16" t="n">
        <f aca="false">IFERROR(SUMIFS(ROTACAO_RDM!$B$6:$B$71,ROTACAO_RDM!$D$6:$D$71,$E208,ROTACAO_RDM!$I$6:$I$71,"&lt;="&amp;$C208+INT(DIAS_POR_SEMANA/2),ROTACAO_RDM!$J$6:$J$71,"&gt;="&amp;$C208+INT(DIAS_POR_SEMANA/2)),0)</f>
        <v>7</v>
      </c>
      <c r="J208" s="16" t="n">
        <f aca="false">IFERROR(MATCH($I208,ROTACAO_RDM!$B$6:$B$71,0),0)</f>
        <v>7</v>
      </c>
      <c r="K208" s="8" t="str">
        <f aca="false">IF($J208=0,"SEM CULTURA",INDEX(ROTACAO_RDM!$F$6:$F$71,$J208))</f>
        <v>SOJA</v>
      </c>
      <c r="L208" s="8" t="str">
        <f aca="false">IF($J208=0,"",INDEX(ROTACAO_RDM!$G$6:$G$71,$J208))</f>
        <v>COMBATE IPRO</v>
      </c>
      <c r="M208" s="17" t="n">
        <f aca="false">IF($J208=0,"",INDEX(ROTACAO_RDM!$I$6:$I$71,$J208))</f>
        <v>46293</v>
      </c>
      <c r="N208" s="16" t="n">
        <f aca="false">IF($J208=0,0,MAX(0,$C208+INT(DIAS_POR_SEMANA/2)-INDEX(ROTACAO_RDM!$I$6:$I$71,$J208)))</f>
        <v>3</v>
      </c>
      <c r="O208" s="19" t="n">
        <f aca="false">IF($J208=0,0,MIN(1,$N208/MAX(1,INDEX(ROTACAO_RDM!$K$6:$K$71,$J208))))</f>
        <v>0.0263157894736842</v>
      </c>
      <c r="P208" s="16" t="n">
        <f aca="false">IF($J208=0,0,IFERROR(MATCH(INDEX(ROTACAO_RDM!$N$6:$N$71,$J208),PARAMETROS_CULTURAS!$B$6:$B$28,0),0))</f>
        <v>2</v>
      </c>
      <c r="Q208" s="8" t="str">
        <f aca="false">IF($P208=0,"-",IF($O208&lt;=INDEX(PARAMETROS_CULTURAS!$F$6:$F$28,$P208),"INICIAL",IF($O208&lt;=INDEX(PARAMETROS_CULTURAS!$F$6:$F$28,$P208)+INDEX(PARAMETROS_CULTURAS!$G$6:$G$28,$P208),"DESENVOLVIMENTO",IF($O208&lt;=INDEX(PARAMETROS_CULTURAS!$F$6:$F$28,$P208)+INDEX(PARAMETROS_CULTURAS!$G$6:$G$28,$P208)+INDEX(PARAMETROS_CULTURAS!$H$6:$H$28,$P208),"MEDIA","FINAL"))))</f>
        <v>INICIAL</v>
      </c>
      <c r="R208" s="24" t="n">
        <f aca="false">IF($P208=0,0,IF($O208&lt;=INDEX(PARAMETROS_CULTURAS!$F$6:$F$28,$P208),INDEX(PARAMETROS_CULTURAS!$K$6:$K$28,$P208),IF($O208&lt;=INDEX(PARAMETROS_CULTURAS!$F$6:$F$28,$P208)+INDEX(PARAMETROS_CULTURAS!$G$6:$G$28,$P208),INDEX(PARAMETROS_CULTURAS!$K$6:$K$28,$P208)+(INDEX(PARAMETROS_CULTURAS!$L$6:$L$28,$P208)-INDEX(PARAMETROS_CULTURAS!$K$6:$K$28,$P208))*($O208-INDEX(PARAMETROS_CULTURAS!$F$6:$F$28,$P208))/MAX(INDEX(PARAMETROS_CULTURAS!$G$6:$G$28,$P208),0.0001),IF($O208&lt;=INDEX(PARAMETROS_CULTURAS!$F$6:$F$28,$P208)+INDEX(PARAMETROS_CULTURAS!$G$6:$G$28,$P208)+INDEX(PARAMETROS_CULTURAS!$H$6:$H$28,$P208),INDEX(PARAMETROS_CULTURAS!$L$6:$L$28,$P208),INDEX(PARAMETROS_CULTURAS!$L$6:$L$28,$P208)+(INDEX(PARAMETROS_CULTURAS!$M$6:$M$28,$P208)-INDEX(PARAMETROS_CULTURAS!$L$6:$L$28,$P208))*($O208-INDEX(PARAMETROS_CULTURAS!$F$6:$F$28,$P208)-INDEX(PARAMETROS_CULTURAS!$G$6:$G$28,$P208)-INDEX(PARAMETROS_CULTURAS!$H$6:$H$28,$P208))/MAX(INDEX(PARAMETROS_CULTURAS!$I$6:$I$28,$P208),0.0001)))))</f>
        <v>0.4</v>
      </c>
      <c r="S208" s="18" t="n">
        <f aca="false">IFERROR(INDEX(SEMANAS!$H$6:$H$71,MATCH($B208,SEMANAS!$B$6:$B$71,0)),0)</f>
        <v>39.8</v>
      </c>
      <c r="T208" s="18" t="n">
        <f aca="false">$R208*$S208</f>
        <v>15.92</v>
      </c>
      <c r="U208" s="18" t="n">
        <f aca="false">IFERROR(INDEX(SEMANAS!$I$6:$I$71,MATCH($B208,SEMANAS!$B$6:$B$71,0)),0)</f>
        <v>18.48</v>
      </c>
      <c r="V208" s="18" t="n">
        <f aca="false">IFERROR(INDEX(SEMANAS!$J$6:$J$71,MATCH($B208,SEMANAS!$B$6:$B$71,0)),0)</f>
        <v>14.784</v>
      </c>
      <c r="W208" s="18" t="n">
        <f aca="false">MAX(0,$T208-$V208)</f>
        <v>1.136</v>
      </c>
      <c r="X208" s="19" t="n">
        <f aca="false">IFERROR(INDEX(CADASTRO_PIVOS!$K$6:$K$41,MATCH($E208,CADASTRO_PIVOS!$B$6:$B$41,0)),EFICIENCIA_PADRAO)</f>
        <v>0.85</v>
      </c>
      <c r="Y208" s="18" t="n">
        <f aca="false">IF($X208&lt;=0,0,$W208/$X208)</f>
        <v>1.33647058823529</v>
      </c>
      <c r="Z208" s="16" t="n">
        <f aca="false">$Y208*$H208*MM_PARA_M3_HA</f>
        <v>1312.41411764706</v>
      </c>
      <c r="AA208" s="18" t="n">
        <f aca="false">IFERROR(INDEX(CADASTRO_PIVOS!$I$6:$I$41,MATCH($E208,CADASTRO_PIVOS!$B$6:$B$41,0)),0)</f>
        <v>701.428571428571</v>
      </c>
      <c r="AB208" s="18" t="n">
        <f aca="false">IF($Z208&lt;=0,0,$Z208/$AA208)</f>
        <v>1.87105882352941</v>
      </c>
      <c r="AC208" s="16" t="n">
        <f aca="false">IFERROR(INDEX(SEMANAS!$K$6:$K$71,MATCH($B208,SEMANAS!$B$6:$B$71,0)),0)</f>
        <v>147</v>
      </c>
      <c r="AD208" s="19" t="n">
        <f aca="false">IF($AC208&lt;=0,0,$AB208/$AC208)</f>
        <v>0.0127282913165266</v>
      </c>
      <c r="AE208" s="8" t="str">
        <f aca="false">IF($K208="SEM CULTURA","SEM CULTURA",IF($AA208&lt;=0,"DADO PENDENTE",IF($AD208&gt;LIMITE_CRITICO,"INVIAVEL",IF($AD208&gt;LIMITE_ATENCAO,"CRITICO",IF($AD208&gt;LIMITE_CONFORTAVEL,"ATENCAO","OK")))))</f>
        <v>OK</v>
      </c>
      <c r="AF208" s="8" t="str">
        <f aca="false">$B208&amp;"|"&amp;TEXT($AD208,"0.000000")</f>
        <v>5|0.012728</v>
      </c>
      <c r="AG208" s="18" t="n">
        <f aca="false">IF($K208="SEM CULTURA",0,$T208*$H208)</f>
        <v>1563.344</v>
      </c>
      <c r="AH208" s="18" t="n">
        <f aca="false">IF($K208="SEM CULTURA",0,$V208*$H208)</f>
        <v>1451.7888</v>
      </c>
      <c r="AI208" s="18" t="n">
        <f aca="false">IF($K208="SEM CULTURA",0,$W208*$H208)</f>
        <v>111.5552</v>
      </c>
      <c r="AJ208" s="18" t="n">
        <f aca="false">IF($K208="SEM CULTURA",0,$S208*$H208)</f>
        <v>3908.36</v>
      </c>
      <c r="AK208" s="8" t="str">
        <f aca="false">$E208&amp;"|"&amp;TEXT($AD208,"0.000000")</f>
        <v>PV 105|0.012728</v>
      </c>
    </row>
    <row r="209" customFormat="false" ht="15" hidden="false" customHeight="false" outlineLevel="0" collapsed="false">
      <c r="B209" s="16" t="n">
        <v>6</v>
      </c>
      <c r="C209" s="17" t="n">
        <f aca="false">DATA_INICIO_SAFRA+($B209-1)*DIAS_POR_SEMANA</f>
        <v>46300</v>
      </c>
      <c r="D209" s="17" t="n">
        <f aca="false">$C209+DIAS_POR_SEMANA-1</f>
        <v>46306</v>
      </c>
      <c r="E209" s="15" t="s">
        <v>262</v>
      </c>
      <c r="F209" s="8" t="str">
        <f aca="false">IFERROR(INDEX(CADASTRO_PIVOS!$C$6:$C$41,MATCH($E209,CADASTRO_PIVOS!$B$6:$B$41,0)),"?")</f>
        <v>RM03</v>
      </c>
      <c r="G209" s="8" t="str">
        <f aca="false">IFERROR(INDEX(CADASTRO_PIVOS!$D$6:$D$41,MATCH($E209,CADASTRO_PIVOS!$B$6:$B$41,0)),"?")</f>
        <v>TR03</v>
      </c>
      <c r="H209" s="20" t="n">
        <f aca="false">IFERROR(INDEX(CADASTRO_PIVOS!$E$6:$E$41,MATCH($E209,CADASTRO_PIVOS!$B$6:$B$41,0)),0)</f>
        <v>98.2</v>
      </c>
      <c r="I209" s="16" t="n">
        <f aca="false">IFERROR(SUMIFS(ROTACAO_RDM!$B$6:$B$71,ROTACAO_RDM!$D$6:$D$71,$E209,ROTACAO_RDM!$I$6:$I$71,"&lt;="&amp;$C209+INT(DIAS_POR_SEMANA/2),ROTACAO_RDM!$J$6:$J$71,"&gt;="&amp;$C209+INT(DIAS_POR_SEMANA/2)),0)</f>
        <v>7</v>
      </c>
      <c r="J209" s="16" t="n">
        <f aca="false">IFERROR(MATCH($I209,ROTACAO_RDM!$B$6:$B$71,0),0)</f>
        <v>7</v>
      </c>
      <c r="K209" s="8" t="str">
        <f aca="false">IF($J209=0,"SEM CULTURA",INDEX(ROTACAO_RDM!$F$6:$F$71,$J209))</f>
        <v>SOJA</v>
      </c>
      <c r="L209" s="8" t="str">
        <f aca="false">IF($J209=0,"",INDEX(ROTACAO_RDM!$G$6:$G$71,$J209))</f>
        <v>COMBATE IPRO</v>
      </c>
      <c r="M209" s="17" t="n">
        <f aca="false">IF($J209=0,"",INDEX(ROTACAO_RDM!$I$6:$I$71,$J209))</f>
        <v>46293</v>
      </c>
      <c r="N209" s="16" t="n">
        <f aca="false">IF($J209=0,0,MAX(0,$C209+INT(DIAS_POR_SEMANA/2)-INDEX(ROTACAO_RDM!$I$6:$I$71,$J209)))</f>
        <v>10</v>
      </c>
      <c r="O209" s="19" t="n">
        <f aca="false">IF($J209=0,0,MIN(1,$N209/MAX(1,INDEX(ROTACAO_RDM!$K$6:$K$71,$J209))))</f>
        <v>0.087719298245614</v>
      </c>
      <c r="P209" s="16" t="n">
        <f aca="false">IF($J209=0,0,IFERROR(MATCH(INDEX(ROTACAO_RDM!$N$6:$N$71,$J209),PARAMETROS_CULTURAS!$B$6:$B$28,0),0))</f>
        <v>2</v>
      </c>
      <c r="Q209" s="8" t="str">
        <f aca="false">IF($P209=0,"-",IF($O209&lt;=INDEX(PARAMETROS_CULTURAS!$F$6:$F$28,$P209),"INICIAL",IF($O209&lt;=INDEX(PARAMETROS_CULTURAS!$F$6:$F$28,$P209)+INDEX(PARAMETROS_CULTURAS!$G$6:$G$28,$P209),"DESENVOLVIMENTO",IF($O209&lt;=INDEX(PARAMETROS_CULTURAS!$F$6:$F$28,$P209)+INDEX(PARAMETROS_CULTURAS!$G$6:$G$28,$P209)+INDEX(PARAMETROS_CULTURAS!$H$6:$H$28,$P209),"MEDIA","FINAL"))))</f>
        <v>INICIAL</v>
      </c>
      <c r="R209" s="24" t="n">
        <f aca="false">IF($P209=0,0,IF($O209&lt;=INDEX(PARAMETROS_CULTURAS!$F$6:$F$28,$P209),INDEX(PARAMETROS_CULTURAS!$K$6:$K$28,$P209),IF($O209&lt;=INDEX(PARAMETROS_CULTURAS!$F$6:$F$28,$P209)+INDEX(PARAMETROS_CULTURAS!$G$6:$G$28,$P209),INDEX(PARAMETROS_CULTURAS!$K$6:$K$28,$P209)+(INDEX(PARAMETROS_CULTURAS!$L$6:$L$28,$P209)-INDEX(PARAMETROS_CULTURAS!$K$6:$K$28,$P209))*($O209-INDEX(PARAMETROS_CULTURAS!$F$6:$F$28,$P209))/MAX(INDEX(PARAMETROS_CULTURAS!$G$6:$G$28,$P209),0.0001),IF($O209&lt;=INDEX(PARAMETROS_CULTURAS!$F$6:$F$28,$P209)+INDEX(PARAMETROS_CULTURAS!$G$6:$G$28,$P209)+INDEX(PARAMETROS_CULTURAS!$H$6:$H$28,$P209),INDEX(PARAMETROS_CULTURAS!$L$6:$L$28,$P209),INDEX(PARAMETROS_CULTURAS!$L$6:$L$28,$P209)+(INDEX(PARAMETROS_CULTURAS!$M$6:$M$28,$P209)-INDEX(PARAMETROS_CULTURAS!$L$6:$L$28,$P209))*($O209-INDEX(PARAMETROS_CULTURAS!$F$6:$F$28,$P209)-INDEX(PARAMETROS_CULTURAS!$G$6:$G$28,$P209)-INDEX(PARAMETROS_CULTURAS!$H$6:$H$28,$P209))/MAX(INDEX(PARAMETROS_CULTURAS!$I$6:$I$28,$P209),0.0001)))))</f>
        <v>0.4</v>
      </c>
      <c r="S209" s="18" t="n">
        <f aca="false">IFERROR(INDEX(SEMANAS!$H$6:$H$71,MATCH($B209,SEMANAS!$B$6:$B$71,0)),0)</f>
        <v>39.2</v>
      </c>
      <c r="T209" s="18" t="n">
        <f aca="false">$R209*$S209</f>
        <v>15.68</v>
      </c>
      <c r="U209" s="18" t="n">
        <f aca="false">IFERROR(INDEX(SEMANAS!$I$6:$I$71,MATCH($B209,SEMANAS!$B$6:$B$71,0)),0)</f>
        <v>27.09</v>
      </c>
      <c r="V209" s="18" t="n">
        <f aca="false">IFERROR(INDEX(SEMANAS!$J$6:$J$71,MATCH($B209,SEMANAS!$B$6:$B$71,0)),0)</f>
        <v>21.672</v>
      </c>
      <c r="W209" s="18" t="n">
        <f aca="false">MAX(0,$T209-$V209)</f>
        <v>0</v>
      </c>
      <c r="X209" s="19" t="n">
        <f aca="false">IFERROR(INDEX(CADASTRO_PIVOS!$K$6:$K$41,MATCH($E209,CADASTRO_PIVOS!$B$6:$B$41,0)),EFICIENCIA_PADRAO)</f>
        <v>0.85</v>
      </c>
      <c r="Y209" s="18" t="n">
        <f aca="false">IF($X209&lt;=0,0,$W209/$X209)</f>
        <v>0</v>
      </c>
      <c r="Z209" s="16" t="n">
        <f aca="false">$Y209*$H209*MM_PARA_M3_HA</f>
        <v>0</v>
      </c>
      <c r="AA209" s="18" t="n">
        <f aca="false">IFERROR(INDEX(CADASTRO_PIVOS!$I$6:$I$41,MATCH($E209,CADASTRO_PIVOS!$B$6:$B$41,0)),0)</f>
        <v>701.428571428571</v>
      </c>
      <c r="AB209" s="18" t="n">
        <f aca="false">IF($Z209&lt;=0,0,$Z209/$AA209)</f>
        <v>0</v>
      </c>
      <c r="AC209" s="16" t="n">
        <f aca="false">IFERROR(INDEX(SEMANAS!$K$6:$K$71,MATCH($B209,SEMANAS!$B$6:$B$71,0)),0)</f>
        <v>147</v>
      </c>
      <c r="AD209" s="19" t="n">
        <f aca="false">IF($AC209&lt;=0,0,$AB209/$AC209)</f>
        <v>0</v>
      </c>
      <c r="AE209" s="8" t="str">
        <f aca="false">IF($K209="SEM CULTURA","SEM CULTURA",IF($AA209&lt;=0,"DADO PENDENTE",IF($AD209&gt;LIMITE_CRITICO,"INVIAVEL",IF($AD209&gt;LIMITE_ATENCAO,"CRITICO",IF($AD209&gt;LIMITE_CONFORTAVEL,"ATENCAO","OK")))))</f>
        <v>OK</v>
      </c>
      <c r="AF209" s="8" t="str">
        <f aca="false">$B209&amp;"|"&amp;TEXT($AD209,"0.000000")</f>
        <v>6|0.000000</v>
      </c>
      <c r="AG209" s="18" t="n">
        <f aca="false">IF($K209="SEM CULTURA",0,$T209*$H209)</f>
        <v>1539.776</v>
      </c>
      <c r="AH209" s="18" t="n">
        <f aca="false">IF($K209="SEM CULTURA",0,$V209*$H209)</f>
        <v>2128.1904</v>
      </c>
      <c r="AI209" s="18" t="n">
        <f aca="false">IF($K209="SEM CULTURA",0,$W209*$H209)</f>
        <v>0</v>
      </c>
      <c r="AJ209" s="18" t="n">
        <f aca="false">IF($K209="SEM CULTURA",0,$S209*$H209)</f>
        <v>3849.44</v>
      </c>
      <c r="AK209" s="8" t="str">
        <f aca="false">$E209&amp;"|"&amp;TEXT($AD209,"0.000000")</f>
        <v>PV 105|0.000000</v>
      </c>
    </row>
    <row r="210" customFormat="false" ht="15" hidden="false" customHeight="false" outlineLevel="0" collapsed="false">
      <c r="B210" s="16" t="n">
        <v>7</v>
      </c>
      <c r="C210" s="17" t="n">
        <f aca="false">DATA_INICIO_SAFRA+($B210-1)*DIAS_POR_SEMANA</f>
        <v>46307</v>
      </c>
      <c r="D210" s="17" t="n">
        <f aca="false">$C210+DIAS_POR_SEMANA-1</f>
        <v>46313</v>
      </c>
      <c r="E210" s="15" t="s">
        <v>262</v>
      </c>
      <c r="F210" s="8" t="str">
        <f aca="false">IFERROR(INDEX(CADASTRO_PIVOS!$C$6:$C$41,MATCH($E210,CADASTRO_PIVOS!$B$6:$B$41,0)),"?")</f>
        <v>RM03</v>
      </c>
      <c r="G210" s="8" t="str">
        <f aca="false">IFERROR(INDEX(CADASTRO_PIVOS!$D$6:$D$41,MATCH($E210,CADASTRO_PIVOS!$B$6:$B$41,0)),"?")</f>
        <v>TR03</v>
      </c>
      <c r="H210" s="20" t="n">
        <f aca="false">IFERROR(INDEX(CADASTRO_PIVOS!$E$6:$E$41,MATCH($E210,CADASTRO_PIVOS!$B$6:$B$41,0)),0)</f>
        <v>98.2</v>
      </c>
      <c r="I210" s="16" t="n">
        <f aca="false">IFERROR(SUMIFS(ROTACAO_RDM!$B$6:$B$71,ROTACAO_RDM!$D$6:$D$71,$E210,ROTACAO_RDM!$I$6:$I$71,"&lt;="&amp;$C210+INT(DIAS_POR_SEMANA/2),ROTACAO_RDM!$J$6:$J$71,"&gt;="&amp;$C210+INT(DIAS_POR_SEMANA/2)),0)</f>
        <v>7</v>
      </c>
      <c r="J210" s="16" t="n">
        <f aca="false">IFERROR(MATCH($I210,ROTACAO_RDM!$B$6:$B$71,0),0)</f>
        <v>7</v>
      </c>
      <c r="K210" s="8" t="str">
        <f aca="false">IF($J210=0,"SEM CULTURA",INDEX(ROTACAO_RDM!$F$6:$F$71,$J210))</f>
        <v>SOJA</v>
      </c>
      <c r="L210" s="8" t="str">
        <f aca="false">IF($J210=0,"",INDEX(ROTACAO_RDM!$G$6:$G$71,$J210))</f>
        <v>COMBATE IPRO</v>
      </c>
      <c r="M210" s="17" t="n">
        <f aca="false">IF($J210=0,"",INDEX(ROTACAO_RDM!$I$6:$I$71,$J210))</f>
        <v>46293</v>
      </c>
      <c r="N210" s="16" t="n">
        <f aca="false">IF($J210=0,0,MAX(0,$C210+INT(DIAS_POR_SEMANA/2)-INDEX(ROTACAO_RDM!$I$6:$I$71,$J210)))</f>
        <v>17</v>
      </c>
      <c r="O210" s="19" t="n">
        <f aca="false">IF($J210=0,0,MIN(1,$N210/MAX(1,INDEX(ROTACAO_RDM!$K$6:$K$71,$J210))))</f>
        <v>0.149122807017544</v>
      </c>
      <c r="P210" s="16" t="n">
        <f aca="false">IF($J210=0,0,IFERROR(MATCH(INDEX(ROTACAO_RDM!$N$6:$N$71,$J210),PARAMETROS_CULTURAS!$B$6:$B$28,0),0))</f>
        <v>2</v>
      </c>
      <c r="Q210" s="8" t="str">
        <f aca="false">IF($P210=0,"-",IF($O210&lt;=INDEX(PARAMETROS_CULTURAS!$F$6:$F$28,$P210),"INICIAL",IF($O210&lt;=INDEX(PARAMETROS_CULTURAS!$F$6:$F$28,$P210)+INDEX(PARAMETROS_CULTURAS!$G$6:$G$28,$P210),"DESENVOLVIMENTO",IF($O210&lt;=INDEX(PARAMETROS_CULTURAS!$F$6:$F$28,$P210)+INDEX(PARAMETROS_CULTURAS!$G$6:$G$28,$P210)+INDEX(PARAMETROS_CULTURAS!$H$6:$H$28,$P210),"MEDIA","FINAL"))))</f>
        <v>INICIAL</v>
      </c>
      <c r="R210" s="24" t="n">
        <f aca="false">IF($P210=0,0,IF($O210&lt;=INDEX(PARAMETROS_CULTURAS!$F$6:$F$28,$P210),INDEX(PARAMETROS_CULTURAS!$K$6:$K$28,$P210),IF($O210&lt;=INDEX(PARAMETROS_CULTURAS!$F$6:$F$28,$P210)+INDEX(PARAMETROS_CULTURAS!$G$6:$G$28,$P210),INDEX(PARAMETROS_CULTURAS!$K$6:$K$28,$P210)+(INDEX(PARAMETROS_CULTURAS!$L$6:$L$28,$P210)-INDEX(PARAMETROS_CULTURAS!$K$6:$K$28,$P210))*($O210-INDEX(PARAMETROS_CULTURAS!$F$6:$F$28,$P210))/MAX(INDEX(PARAMETROS_CULTURAS!$G$6:$G$28,$P210),0.0001),IF($O210&lt;=INDEX(PARAMETROS_CULTURAS!$F$6:$F$28,$P210)+INDEX(PARAMETROS_CULTURAS!$G$6:$G$28,$P210)+INDEX(PARAMETROS_CULTURAS!$H$6:$H$28,$P210),INDEX(PARAMETROS_CULTURAS!$L$6:$L$28,$P210),INDEX(PARAMETROS_CULTURAS!$L$6:$L$28,$P210)+(INDEX(PARAMETROS_CULTURAS!$M$6:$M$28,$P210)-INDEX(PARAMETROS_CULTURAS!$L$6:$L$28,$P210))*($O210-INDEX(PARAMETROS_CULTURAS!$F$6:$F$28,$P210)-INDEX(PARAMETROS_CULTURAS!$G$6:$G$28,$P210)-INDEX(PARAMETROS_CULTURAS!$H$6:$H$28,$P210))/MAX(INDEX(PARAMETROS_CULTURAS!$I$6:$I$28,$P210),0.0001)))))</f>
        <v>0.4</v>
      </c>
      <c r="S210" s="18" t="n">
        <f aca="false">IFERROR(INDEX(SEMANAS!$H$6:$H$71,MATCH($B210,SEMANAS!$B$6:$B$71,0)),0)</f>
        <v>39.2</v>
      </c>
      <c r="T210" s="18" t="n">
        <f aca="false">$R210*$S210</f>
        <v>15.68</v>
      </c>
      <c r="U210" s="18" t="n">
        <f aca="false">IFERROR(INDEX(SEMANAS!$I$6:$I$71,MATCH($B210,SEMANAS!$B$6:$B$71,0)),0)</f>
        <v>27.09</v>
      </c>
      <c r="V210" s="18" t="n">
        <f aca="false">IFERROR(INDEX(SEMANAS!$J$6:$J$71,MATCH($B210,SEMANAS!$B$6:$B$71,0)),0)</f>
        <v>21.672</v>
      </c>
      <c r="W210" s="18" t="n">
        <f aca="false">MAX(0,$T210-$V210)</f>
        <v>0</v>
      </c>
      <c r="X210" s="19" t="n">
        <f aca="false">IFERROR(INDEX(CADASTRO_PIVOS!$K$6:$K$41,MATCH($E210,CADASTRO_PIVOS!$B$6:$B$41,0)),EFICIENCIA_PADRAO)</f>
        <v>0.85</v>
      </c>
      <c r="Y210" s="18" t="n">
        <f aca="false">IF($X210&lt;=0,0,$W210/$X210)</f>
        <v>0</v>
      </c>
      <c r="Z210" s="16" t="n">
        <f aca="false">$Y210*$H210*MM_PARA_M3_HA</f>
        <v>0</v>
      </c>
      <c r="AA210" s="18" t="n">
        <f aca="false">IFERROR(INDEX(CADASTRO_PIVOS!$I$6:$I$41,MATCH($E210,CADASTRO_PIVOS!$B$6:$B$41,0)),0)</f>
        <v>701.428571428571</v>
      </c>
      <c r="AB210" s="18" t="n">
        <f aca="false">IF($Z210&lt;=0,0,$Z210/$AA210)</f>
        <v>0</v>
      </c>
      <c r="AC210" s="16" t="n">
        <f aca="false">IFERROR(INDEX(SEMANAS!$K$6:$K$71,MATCH($B210,SEMANAS!$B$6:$B$71,0)),0)</f>
        <v>147</v>
      </c>
      <c r="AD210" s="19" t="n">
        <f aca="false">IF($AC210&lt;=0,0,$AB210/$AC210)</f>
        <v>0</v>
      </c>
      <c r="AE210" s="8" t="str">
        <f aca="false">IF($K210="SEM CULTURA","SEM CULTURA",IF($AA210&lt;=0,"DADO PENDENTE",IF($AD210&gt;LIMITE_CRITICO,"INVIAVEL",IF($AD210&gt;LIMITE_ATENCAO,"CRITICO",IF($AD210&gt;LIMITE_CONFORTAVEL,"ATENCAO","OK")))))</f>
        <v>OK</v>
      </c>
      <c r="AF210" s="8" t="str">
        <f aca="false">$B210&amp;"|"&amp;TEXT($AD210,"0.000000")</f>
        <v>7|0.000000</v>
      </c>
      <c r="AG210" s="18" t="n">
        <f aca="false">IF($K210="SEM CULTURA",0,$T210*$H210)</f>
        <v>1539.776</v>
      </c>
      <c r="AH210" s="18" t="n">
        <f aca="false">IF($K210="SEM CULTURA",0,$V210*$H210)</f>
        <v>2128.1904</v>
      </c>
      <c r="AI210" s="18" t="n">
        <f aca="false">IF($K210="SEM CULTURA",0,$W210*$H210)</f>
        <v>0</v>
      </c>
      <c r="AJ210" s="18" t="n">
        <f aca="false">IF($K210="SEM CULTURA",0,$S210*$H210)</f>
        <v>3849.44</v>
      </c>
      <c r="AK210" s="8" t="str">
        <f aca="false">$E210&amp;"|"&amp;TEXT($AD210,"0.000000")</f>
        <v>PV 105|0.000000</v>
      </c>
    </row>
    <row r="211" customFormat="false" ht="15" hidden="false" customHeight="false" outlineLevel="0" collapsed="false">
      <c r="B211" s="16" t="n">
        <v>8</v>
      </c>
      <c r="C211" s="17" t="n">
        <f aca="false">DATA_INICIO_SAFRA+($B211-1)*DIAS_POR_SEMANA</f>
        <v>46314</v>
      </c>
      <c r="D211" s="17" t="n">
        <f aca="false">$C211+DIAS_POR_SEMANA-1</f>
        <v>46320</v>
      </c>
      <c r="E211" s="15" t="s">
        <v>262</v>
      </c>
      <c r="F211" s="8" t="str">
        <f aca="false">IFERROR(INDEX(CADASTRO_PIVOS!$C$6:$C$41,MATCH($E211,CADASTRO_PIVOS!$B$6:$B$41,0)),"?")</f>
        <v>RM03</v>
      </c>
      <c r="G211" s="8" t="str">
        <f aca="false">IFERROR(INDEX(CADASTRO_PIVOS!$D$6:$D$41,MATCH($E211,CADASTRO_PIVOS!$B$6:$B$41,0)),"?")</f>
        <v>TR03</v>
      </c>
      <c r="H211" s="20" t="n">
        <f aca="false">IFERROR(INDEX(CADASTRO_PIVOS!$E$6:$E$41,MATCH($E211,CADASTRO_PIVOS!$B$6:$B$41,0)),0)</f>
        <v>98.2</v>
      </c>
      <c r="I211" s="16" t="n">
        <f aca="false">IFERROR(SUMIFS(ROTACAO_RDM!$B$6:$B$71,ROTACAO_RDM!$D$6:$D$71,$E211,ROTACAO_RDM!$I$6:$I$71,"&lt;="&amp;$C211+INT(DIAS_POR_SEMANA/2),ROTACAO_RDM!$J$6:$J$71,"&gt;="&amp;$C211+INT(DIAS_POR_SEMANA/2)),0)</f>
        <v>7</v>
      </c>
      <c r="J211" s="16" t="n">
        <f aca="false">IFERROR(MATCH($I211,ROTACAO_RDM!$B$6:$B$71,0),0)</f>
        <v>7</v>
      </c>
      <c r="K211" s="8" t="str">
        <f aca="false">IF($J211=0,"SEM CULTURA",INDEX(ROTACAO_RDM!$F$6:$F$71,$J211))</f>
        <v>SOJA</v>
      </c>
      <c r="L211" s="8" t="str">
        <f aca="false">IF($J211=0,"",INDEX(ROTACAO_RDM!$G$6:$G$71,$J211))</f>
        <v>COMBATE IPRO</v>
      </c>
      <c r="M211" s="17" t="n">
        <f aca="false">IF($J211=0,"",INDEX(ROTACAO_RDM!$I$6:$I$71,$J211))</f>
        <v>46293</v>
      </c>
      <c r="N211" s="16" t="n">
        <f aca="false">IF($J211=0,0,MAX(0,$C211+INT(DIAS_POR_SEMANA/2)-INDEX(ROTACAO_RDM!$I$6:$I$71,$J211)))</f>
        <v>24</v>
      </c>
      <c r="O211" s="19" t="n">
        <f aca="false">IF($J211=0,0,MIN(1,$N211/MAX(1,INDEX(ROTACAO_RDM!$K$6:$K$71,$J211))))</f>
        <v>0.210526315789474</v>
      </c>
      <c r="P211" s="16" t="n">
        <f aca="false">IF($J211=0,0,IFERROR(MATCH(INDEX(ROTACAO_RDM!$N$6:$N$71,$J211),PARAMETROS_CULTURAS!$B$6:$B$28,0),0))</f>
        <v>2</v>
      </c>
      <c r="Q211" s="8" t="str">
        <f aca="false">IF($P211=0,"-",IF($O211&lt;=INDEX(PARAMETROS_CULTURAS!$F$6:$F$28,$P211),"INICIAL",IF($O211&lt;=INDEX(PARAMETROS_CULTURAS!$F$6:$F$28,$P211)+INDEX(PARAMETROS_CULTURAS!$G$6:$G$28,$P211),"DESENVOLVIMENTO",IF($O211&lt;=INDEX(PARAMETROS_CULTURAS!$F$6:$F$28,$P211)+INDEX(PARAMETROS_CULTURAS!$G$6:$G$28,$P211)+INDEX(PARAMETROS_CULTURAS!$H$6:$H$28,$P211),"MEDIA","FINAL"))))</f>
        <v>DESENVOLVIMENTO</v>
      </c>
      <c r="R211" s="24" t="n">
        <f aca="false">IF($P211=0,0,IF($O211&lt;=INDEX(PARAMETROS_CULTURAS!$F$6:$F$28,$P211),INDEX(PARAMETROS_CULTURAS!$K$6:$K$28,$P211),IF($O211&lt;=INDEX(PARAMETROS_CULTURAS!$F$6:$F$28,$P211)+INDEX(PARAMETROS_CULTURAS!$G$6:$G$28,$P211),INDEX(PARAMETROS_CULTURAS!$K$6:$K$28,$P211)+(INDEX(PARAMETROS_CULTURAS!$L$6:$L$28,$P211)-INDEX(PARAMETROS_CULTURAS!$K$6:$K$28,$P211))*($O211-INDEX(PARAMETROS_CULTURAS!$F$6:$F$28,$P211))/MAX(INDEX(PARAMETROS_CULTURAS!$G$6:$G$28,$P211),0.0001),IF($O211&lt;=INDEX(PARAMETROS_CULTURAS!$F$6:$F$28,$P211)+INDEX(PARAMETROS_CULTURAS!$G$6:$G$28,$P211)+INDEX(PARAMETROS_CULTURAS!$H$6:$H$28,$P211),INDEX(PARAMETROS_CULTURAS!$L$6:$L$28,$P211),INDEX(PARAMETROS_CULTURAS!$L$6:$L$28,$P211)+(INDEX(PARAMETROS_CULTURAS!$M$6:$M$28,$P211)-INDEX(PARAMETROS_CULTURAS!$L$6:$L$28,$P211))*($O211-INDEX(PARAMETROS_CULTURAS!$F$6:$F$28,$P211)-INDEX(PARAMETROS_CULTURAS!$G$6:$G$28,$P211)-INDEX(PARAMETROS_CULTURAS!$H$6:$H$28,$P211))/MAX(INDEX(PARAMETROS_CULTURAS!$I$6:$I$28,$P211),0.0001)))))</f>
        <v>0.564759725400458</v>
      </c>
      <c r="S211" s="18" t="n">
        <f aca="false">IFERROR(INDEX(SEMANAS!$H$6:$H$71,MATCH($B211,SEMANAS!$B$6:$B$71,0)),0)</f>
        <v>39.2</v>
      </c>
      <c r="T211" s="18" t="n">
        <f aca="false">$R211*$S211</f>
        <v>22.1385812356979</v>
      </c>
      <c r="U211" s="18" t="n">
        <f aca="false">IFERROR(INDEX(SEMANAS!$I$6:$I$71,MATCH($B211,SEMANAS!$B$6:$B$71,0)),0)</f>
        <v>27.09</v>
      </c>
      <c r="V211" s="18" t="n">
        <f aca="false">IFERROR(INDEX(SEMANAS!$J$6:$J$71,MATCH($B211,SEMANAS!$B$6:$B$71,0)),0)</f>
        <v>21.672</v>
      </c>
      <c r="W211" s="18" t="n">
        <f aca="false">MAX(0,$T211-$V211)</f>
        <v>0.466581235697934</v>
      </c>
      <c r="X211" s="19" t="n">
        <f aca="false">IFERROR(INDEX(CADASTRO_PIVOS!$K$6:$K$41,MATCH($E211,CADASTRO_PIVOS!$B$6:$B$41,0)),EFICIENCIA_PADRAO)</f>
        <v>0.85</v>
      </c>
      <c r="Y211" s="18" t="n">
        <f aca="false">IF($X211&lt;=0,0,$W211/$X211)</f>
        <v>0.548919100821099</v>
      </c>
      <c r="Z211" s="16" t="n">
        <f aca="false">$Y211*$H211*MM_PARA_M3_HA</f>
        <v>539.038557006319</v>
      </c>
      <c r="AA211" s="18" t="n">
        <f aca="false">IFERROR(INDEX(CADASTRO_PIVOS!$I$6:$I$41,MATCH($E211,CADASTRO_PIVOS!$B$6:$B$41,0)),0)</f>
        <v>701.428571428571</v>
      </c>
      <c r="AB211" s="18" t="n">
        <f aca="false">IF($Z211&lt;=0,0,$Z211/$AA211)</f>
        <v>0.768486741149538</v>
      </c>
      <c r="AC211" s="16" t="n">
        <f aca="false">IFERROR(INDEX(SEMANAS!$K$6:$K$71,MATCH($B211,SEMANAS!$B$6:$B$71,0)),0)</f>
        <v>147</v>
      </c>
      <c r="AD211" s="19" t="n">
        <f aca="false">IF($AC211&lt;=0,0,$AB211/$AC211)</f>
        <v>0.00522780096020094</v>
      </c>
      <c r="AE211" s="8" t="str">
        <f aca="false">IF($K211="SEM CULTURA","SEM CULTURA",IF($AA211&lt;=0,"DADO PENDENTE",IF($AD211&gt;LIMITE_CRITICO,"INVIAVEL",IF($AD211&gt;LIMITE_ATENCAO,"CRITICO",IF($AD211&gt;LIMITE_CONFORTAVEL,"ATENCAO","OK")))))</f>
        <v>OK</v>
      </c>
      <c r="AF211" s="8" t="str">
        <f aca="false">$B211&amp;"|"&amp;TEXT($AD211,"0.000000")</f>
        <v>8|0.005228</v>
      </c>
      <c r="AG211" s="18" t="n">
        <f aca="false">IF($K211="SEM CULTURA",0,$T211*$H211)</f>
        <v>2174.00867734554</v>
      </c>
      <c r="AH211" s="18" t="n">
        <f aca="false">IF($K211="SEM CULTURA",0,$V211*$H211)</f>
        <v>2128.1904</v>
      </c>
      <c r="AI211" s="18" t="n">
        <f aca="false">IF($K211="SEM CULTURA",0,$W211*$H211)</f>
        <v>45.8182773455371</v>
      </c>
      <c r="AJ211" s="18" t="n">
        <f aca="false">IF($K211="SEM CULTURA",0,$S211*$H211)</f>
        <v>3849.44</v>
      </c>
      <c r="AK211" s="8" t="str">
        <f aca="false">$E211&amp;"|"&amp;TEXT($AD211,"0.000000")</f>
        <v>PV 105|0.005228</v>
      </c>
    </row>
    <row r="212" customFormat="false" ht="15" hidden="false" customHeight="false" outlineLevel="0" collapsed="false">
      <c r="B212" s="16" t="n">
        <v>9</v>
      </c>
      <c r="C212" s="17" t="n">
        <f aca="false">DATA_INICIO_SAFRA+($B212-1)*DIAS_POR_SEMANA</f>
        <v>46321</v>
      </c>
      <c r="D212" s="17" t="n">
        <f aca="false">$C212+DIAS_POR_SEMANA-1</f>
        <v>46327</v>
      </c>
      <c r="E212" s="15" t="s">
        <v>262</v>
      </c>
      <c r="F212" s="8" t="str">
        <f aca="false">IFERROR(INDEX(CADASTRO_PIVOS!$C$6:$C$41,MATCH($E212,CADASTRO_PIVOS!$B$6:$B$41,0)),"?")</f>
        <v>RM03</v>
      </c>
      <c r="G212" s="8" t="str">
        <f aca="false">IFERROR(INDEX(CADASTRO_PIVOS!$D$6:$D$41,MATCH($E212,CADASTRO_PIVOS!$B$6:$B$41,0)),"?")</f>
        <v>TR03</v>
      </c>
      <c r="H212" s="20" t="n">
        <f aca="false">IFERROR(INDEX(CADASTRO_PIVOS!$E$6:$E$41,MATCH($E212,CADASTRO_PIVOS!$B$6:$B$41,0)),0)</f>
        <v>98.2</v>
      </c>
      <c r="I212" s="16" t="n">
        <f aca="false">IFERROR(SUMIFS(ROTACAO_RDM!$B$6:$B$71,ROTACAO_RDM!$D$6:$D$71,$E212,ROTACAO_RDM!$I$6:$I$71,"&lt;="&amp;$C212+INT(DIAS_POR_SEMANA/2),ROTACAO_RDM!$J$6:$J$71,"&gt;="&amp;$C212+INT(DIAS_POR_SEMANA/2)),0)</f>
        <v>7</v>
      </c>
      <c r="J212" s="16" t="n">
        <f aca="false">IFERROR(MATCH($I212,ROTACAO_RDM!$B$6:$B$71,0),0)</f>
        <v>7</v>
      </c>
      <c r="K212" s="8" t="str">
        <f aca="false">IF($J212=0,"SEM CULTURA",INDEX(ROTACAO_RDM!$F$6:$F$71,$J212))</f>
        <v>SOJA</v>
      </c>
      <c r="L212" s="8" t="str">
        <f aca="false">IF($J212=0,"",INDEX(ROTACAO_RDM!$G$6:$G$71,$J212))</f>
        <v>COMBATE IPRO</v>
      </c>
      <c r="M212" s="17" t="n">
        <f aca="false">IF($J212=0,"",INDEX(ROTACAO_RDM!$I$6:$I$71,$J212))</f>
        <v>46293</v>
      </c>
      <c r="N212" s="16" t="n">
        <f aca="false">IF($J212=0,0,MAX(0,$C212+INT(DIAS_POR_SEMANA/2)-INDEX(ROTACAO_RDM!$I$6:$I$71,$J212)))</f>
        <v>31</v>
      </c>
      <c r="O212" s="19" t="n">
        <f aca="false">IF($J212=0,0,MIN(1,$N212/MAX(1,INDEX(ROTACAO_RDM!$K$6:$K$71,$J212))))</f>
        <v>0.271929824561404</v>
      </c>
      <c r="P212" s="16" t="n">
        <f aca="false">IF($J212=0,0,IFERROR(MATCH(INDEX(ROTACAO_RDM!$N$6:$N$71,$J212),PARAMETROS_CULTURAS!$B$6:$B$28,0),0))</f>
        <v>2</v>
      </c>
      <c r="Q212" s="8" t="str">
        <f aca="false">IF($P212=0,"-",IF($O212&lt;=INDEX(PARAMETROS_CULTURAS!$F$6:$F$28,$P212),"INICIAL",IF($O212&lt;=INDEX(PARAMETROS_CULTURAS!$F$6:$F$28,$P212)+INDEX(PARAMETROS_CULTURAS!$G$6:$G$28,$P212),"DESENVOLVIMENTO",IF($O212&lt;=INDEX(PARAMETROS_CULTURAS!$F$6:$F$28,$P212)+INDEX(PARAMETROS_CULTURAS!$G$6:$G$28,$P212)+INDEX(PARAMETROS_CULTURAS!$H$6:$H$28,$P212),"MEDIA","FINAL"))))</f>
        <v>DESENVOLVIMENTO</v>
      </c>
      <c r="R212" s="24" t="n">
        <f aca="false">IF($P212=0,0,IF($O212&lt;=INDEX(PARAMETROS_CULTURAS!$F$6:$F$28,$P212),INDEX(PARAMETROS_CULTURAS!$K$6:$K$28,$P212),IF($O212&lt;=INDEX(PARAMETROS_CULTURAS!$F$6:$F$28,$P212)+INDEX(PARAMETROS_CULTURAS!$G$6:$G$28,$P212),INDEX(PARAMETROS_CULTURAS!$K$6:$K$28,$P212)+(INDEX(PARAMETROS_CULTURAS!$L$6:$L$28,$P212)-INDEX(PARAMETROS_CULTURAS!$K$6:$K$28,$P212))*($O212-INDEX(PARAMETROS_CULTURAS!$F$6:$F$28,$P212))/MAX(INDEX(PARAMETROS_CULTURAS!$G$6:$G$28,$P212),0.0001),IF($O212&lt;=INDEX(PARAMETROS_CULTURAS!$F$6:$F$28,$P212)+INDEX(PARAMETROS_CULTURAS!$G$6:$G$28,$P212)+INDEX(PARAMETROS_CULTURAS!$H$6:$H$28,$P212),INDEX(PARAMETROS_CULTURAS!$L$6:$L$28,$P212),INDEX(PARAMETROS_CULTURAS!$L$6:$L$28,$P212)+(INDEX(PARAMETROS_CULTURAS!$M$6:$M$28,$P212)-INDEX(PARAMETROS_CULTURAS!$L$6:$L$28,$P212))*($O212-INDEX(PARAMETROS_CULTURAS!$F$6:$F$28,$P212)-INDEX(PARAMETROS_CULTURAS!$G$6:$G$28,$P212)-INDEX(PARAMETROS_CULTURAS!$H$6:$H$28,$P212))/MAX(INDEX(PARAMETROS_CULTURAS!$I$6:$I$28,$P212),0.0001)))))</f>
        <v>0.764988558352403</v>
      </c>
      <c r="S212" s="18" t="n">
        <f aca="false">IFERROR(INDEX(SEMANAS!$H$6:$H$71,MATCH($B212,SEMANAS!$B$6:$B$71,0)),0)</f>
        <v>38.5</v>
      </c>
      <c r="T212" s="18" t="n">
        <f aca="false">$R212*$S212</f>
        <v>29.4520594965675</v>
      </c>
      <c r="U212" s="18" t="n">
        <f aca="false">IFERROR(INDEX(SEMANAS!$I$6:$I$71,MATCH($B212,SEMANAS!$B$6:$B$71,0)),0)</f>
        <v>29.89</v>
      </c>
      <c r="V212" s="18" t="n">
        <f aca="false">IFERROR(INDEX(SEMANAS!$J$6:$J$71,MATCH($B212,SEMANAS!$B$6:$B$71,0)),0)</f>
        <v>23.912</v>
      </c>
      <c r="W212" s="18" t="n">
        <f aca="false">MAX(0,$T212-$V212)</f>
        <v>5.54005949656751</v>
      </c>
      <c r="X212" s="19" t="n">
        <f aca="false">IFERROR(INDEX(CADASTRO_PIVOS!$K$6:$K$41,MATCH($E212,CADASTRO_PIVOS!$B$6:$B$41,0)),EFICIENCIA_PADRAO)</f>
        <v>0.85</v>
      </c>
      <c r="Y212" s="18" t="n">
        <f aca="false">IF($X212&lt;=0,0,$W212/$X212)</f>
        <v>6.5177170547853</v>
      </c>
      <c r="Z212" s="16" t="n">
        <f aca="false">$Y212*$H212*MM_PARA_M3_HA</f>
        <v>6400.39814779917</v>
      </c>
      <c r="AA212" s="18" t="n">
        <f aca="false">IFERROR(INDEX(CADASTRO_PIVOS!$I$6:$I$41,MATCH($E212,CADASTRO_PIVOS!$B$6:$B$41,0)),0)</f>
        <v>701.428571428571</v>
      </c>
      <c r="AB212" s="18" t="n">
        <f aca="false">IF($Z212&lt;=0,0,$Z212/$AA212)</f>
        <v>9.12480387669943</v>
      </c>
      <c r="AC212" s="16" t="n">
        <f aca="false">IFERROR(INDEX(SEMANAS!$K$6:$K$71,MATCH($B212,SEMANAS!$B$6:$B$71,0)),0)</f>
        <v>147</v>
      </c>
      <c r="AD212" s="19" t="n">
        <f aca="false">IF($AC212&lt;=0,0,$AB212/$AC212)</f>
        <v>0.06207349575986</v>
      </c>
      <c r="AE212" s="8" t="str">
        <f aca="false">IF($K212="SEM CULTURA","SEM CULTURA",IF($AA212&lt;=0,"DADO PENDENTE",IF($AD212&gt;LIMITE_CRITICO,"INVIAVEL",IF($AD212&gt;LIMITE_ATENCAO,"CRITICO",IF($AD212&gt;LIMITE_CONFORTAVEL,"ATENCAO","OK")))))</f>
        <v>OK</v>
      </c>
      <c r="AF212" s="8" t="str">
        <f aca="false">$B212&amp;"|"&amp;TEXT($AD212,"0.000000")</f>
        <v>9|0.062073</v>
      </c>
      <c r="AG212" s="18" t="n">
        <f aca="false">IF($K212="SEM CULTURA",0,$T212*$H212)</f>
        <v>2892.19224256293</v>
      </c>
      <c r="AH212" s="18" t="n">
        <f aca="false">IF($K212="SEM CULTURA",0,$V212*$H212)</f>
        <v>2348.1584</v>
      </c>
      <c r="AI212" s="18" t="n">
        <f aca="false">IF($K212="SEM CULTURA",0,$W212*$H212)</f>
        <v>544.033842562929</v>
      </c>
      <c r="AJ212" s="18" t="n">
        <f aca="false">IF($K212="SEM CULTURA",0,$S212*$H212)</f>
        <v>3780.7</v>
      </c>
      <c r="AK212" s="8" t="str">
        <f aca="false">$E212&amp;"|"&amp;TEXT($AD212,"0.000000")</f>
        <v>PV 105|0.062073</v>
      </c>
    </row>
    <row r="213" customFormat="false" ht="15" hidden="false" customHeight="false" outlineLevel="0" collapsed="false">
      <c r="B213" s="16" t="n">
        <v>10</v>
      </c>
      <c r="C213" s="17" t="n">
        <f aca="false">DATA_INICIO_SAFRA+($B213-1)*DIAS_POR_SEMANA</f>
        <v>46328</v>
      </c>
      <c r="D213" s="17" t="n">
        <f aca="false">$C213+DIAS_POR_SEMANA-1</f>
        <v>46334</v>
      </c>
      <c r="E213" s="15" t="s">
        <v>262</v>
      </c>
      <c r="F213" s="8" t="str">
        <f aca="false">IFERROR(INDEX(CADASTRO_PIVOS!$C$6:$C$41,MATCH($E213,CADASTRO_PIVOS!$B$6:$B$41,0)),"?")</f>
        <v>RM03</v>
      </c>
      <c r="G213" s="8" t="str">
        <f aca="false">IFERROR(INDEX(CADASTRO_PIVOS!$D$6:$D$41,MATCH($E213,CADASTRO_PIVOS!$B$6:$B$41,0)),"?")</f>
        <v>TR03</v>
      </c>
      <c r="H213" s="20" t="n">
        <f aca="false">IFERROR(INDEX(CADASTRO_PIVOS!$E$6:$E$41,MATCH($E213,CADASTRO_PIVOS!$B$6:$B$41,0)),0)</f>
        <v>98.2</v>
      </c>
      <c r="I213" s="16" t="n">
        <f aca="false">IFERROR(SUMIFS(ROTACAO_RDM!$B$6:$B$71,ROTACAO_RDM!$D$6:$D$71,$E213,ROTACAO_RDM!$I$6:$I$71,"&lt;="&amp;$C213+INT(DIAS_POR_SEMANA/2),ROTACAO_RDM!$J$6:$J$71,"&gt;="&amp;$C213+INT(DIAS_POR_SEMANA/2)),0)</f>
        <v>7</v>
      </c>
      <c r="J213" s="16" t="n">
        <f aca="false">IFERROR(MATCH($I213,ROTACAO_RDM!$B$6:$B$71,0),0)</f>
        <v>7</v>
      </c>
      <c r="K213" s="8" t="str">
        <f aca="false">IF($J213=0,"SEM CULTURA",INDEX(ROTACAO_RDM!$F$6:$F$71,$J213))</f>
        <v>SOJA</v>
      </c>
      <c r="L213" s="8" t="str">
        <f aca="false">IF($J213=0,"",INDEX(ROTACAO_RDM!$G$6:$G$71,$J213))</f>
        <v>COMBATE IPRO</v>
      </c>
      <c r="M213" s="17" t="n">
        <f aca="false">IF($J213=0,"",INDEX(ROTACAO_RDM!$I$6:$I$71,$J213))</f>
        <v>46293</v>
      </c>
      <c r="N213" s="16" t="n">
        <f aca="false">IF($J213=0,0,MAX(0,$C213+INT(DIAS_POR_SEMANA/2)-INDEX(ROTACAO_RDM!$I$6:$I$71,$J213)))</f>
        <v>38</v>
      </c>
      <c r="O213" s="19" t="n">
        <f aca="false">IF($J213=0,0,MIN(1,$N213/MAX(1,INDEX(ROTACAO_RDM!$K$6:$K$71,$J213))))</f>
        <v>0.333333333333333</v>
      </c>
      <c r="P213" s="16" t="n">
        <f aca="false">IF($J213=0,0,IFERROR(MATCH(INDEX(ROTACAO_RDM!$N$6:$N$71,$J213),PARAMETROS_CULTURAS!$B$6:$B$28,0),0))</f>
        <v>2</v>
      </c>
      <c r="Q213" s="8" t="str">
        <f aca="false">IF($P213=0,"-",IF($O213&lt;=INDEX(PARAMETROS_CULTURAS!$F$6:$F$28,$P213),"INICIAL",IF($O213&lt;=INDEX(PARAMETROS_CULTURAS!$F$6:$F$28,$P213)+INDEX(PARAMETROS_CULTURAS!$G$6:$G$28,$P213),"DESENVOLVIMENTO",IF($O213&lt;=INDEX(PARAMETROS_CULTURAS!$F$6:$F$28,$P213)+INDEX(PARAMETROS_CULTURAS!$G$6:$G$28,$P213)+INDEX(PARAMETROS_CULTURAS!$H$6:$H$28,$P213),"MEDIA","FINAL"))))</f>
        <v>DESENVOLVIMENTO</v>
      </c>
      <c r="R213" s="24" t="n">
        <f aca="false">IF($P213=0,0,IF($O213&lt;=INDEX(PARAMETROS_CULTURAS!$F$6:$F$28,$P213),INDEX(PARAMETROS_CULTURAS!$K$6:$K$28,$P213),IF($O213&lt;=INDEX(PARAMETROS_CULTURAS!$F$6:$F$28,$P213)+INDEX(PARAMETROS_CULTURAS!$G$6:$G$28,$P213),INDEX(PARAMETROS_CULTURAS!$K$6:$K$28,$P213)+(INDEX(PARAMETROS_CULTURAS!$L$6:$L$28,$P213)-INDEX(PARAMETROS_CULTURAS!$K$6:$K$28,$P213))*($O213-INDEX(PARAMETROS_CULTURAS!$F$6:$F$28,$P213))/MAX(INDEX(PARAMETROS_CULTURAS!$G$6:$G$28,$P213),0.0001),IF($O213&lt;=INDEX(PARAMETROS_CULTURAS!$F$6:$F$28,$P213)+INDEX(PARAMETROS_CULTURAS!$G$6:$G$28,$P213)+INDEX(PARAMETROS_CULTURAS!$H$6:$H$28,$P213),INDEX(PARAMETROS_CULTURAS!$L$6:$L$28,$P213),INDEX(PARAMETROS_CULTURAS!$L$6:$L$28,$P213)+(INDEX(PARAMETROS_CULTURAS!$M$6:$M$28,$P213)-INDEX(PARAMETROS_CULTURAS!$L$6:$L$28,$P213))*($O213-INDEX(PARAMETROS_CULTURAS!$F$6:$F$28,$P213)-INDEX(PARAMETROS_CULTURAS!$G$6:$G$28,$P213)-INDEX(PARAMETROS_CULTURAS!$H$6:$H$28,$P213))/MAX(INDEX(PARAMETROS_CULTURAS!$I$6:$I$28,$P213),0.0001)))))</f>
        <v>0.965217391304348</v>
      </c>
      <c r="S213" s="18" t="n">
        <f aca="false">IFERROR(INDEX(SEMANAS!$H$6:$H$71,MATCH($B213,SEMANAS!$B$6:$B$71,0)),0)</f>
        <v>34.3</v>
      </c>
      <c r="T213" s="18" t="n">
        <f aca="false">$R213*$S213</f>
        <v>33.1069565217391</v>
      </c>
      <c r="U213" s="18" t="n">
        <f aca="false">IFERROR(INDEX(SEMANAS!$I$6:$I$71,MATCH($B213,SEMANAS!$B$6:$B$71,0)),0)</f>
        <v>46.69</v>
      </c>
      <c r="V213" s="18" t="n">
        <f aca="false">IFERROR(INDEX(SEMANAS!$J$6:$J$71,MATCH($B213,SEMANAS!$B$6:$B$71,0)),0)</f>
        <v>37.352</v>
      </c>
      <c r="W213" s="18" t="n">
        <f aca="false">MAX(0,$T213-$V213)</f>
        <v>0</v>
      </c>
      <c r="X213" s="19" t="n">
        <f aca="false">IFERROR(INDEX(CADASTRO_PIVOS!$K$6:$K$41,MATCH($E213,CADASTRO_PIVOS!$B$6:$B$41,0)),EFICIENCIA_PADRAO)</f>
        <v>0.85</v>
      </c>
      <c r="Y213" s="18" t="n">
        <f aca="false">IF($X213&lt;=0,0,$W213/$X213)</f>
        <v>0</v>
      </c>
      <c r="Z213" s="16" t="n">
        <f aca="false">$Y213*$H213*MM_PARA_M3_HA</f>
        <v>0</v>
      </c>
      <c r="AA213" s="18" t="n">
        <f aca="false">IFERROR(INDEX(CADASTRO_PIVOS!$I$6:$I$41,MATCH($E213,CADASTRO_PIVOS!$B$6:$B$41,0)),0)</f>
        <v>701.428571428571</v>
      </c>
      <c r="AB213" s="18" t="n">
        <f aca="false">IF($Z213&lt;=0,0,$Z213/$AA213)</f>
        <v>0</v>
      </c>
      <c r="AC213" s="16" t="n">
        <f aca="false">IFERROR(INDEX(SEMANAS!$K$6:$K$71,MATCH($B213,SEMANAS!$B$6:$B$71,0)),0)</f>
        <v>147</v>
      </c>
      <c r="AD213" s="19" t="n">
        <f aca="false">IF($AC213&lt;=0,0,$AB213/$AC213)</f>
        <v>0</v>
      </c>
      <c r="AE213" s="8" t="str">
        <f aca="false">IF($K213="SEM CULTURA","SEM CULTURA",IF($AA213&lt;=0,"DADO PENDENTE",IF($AD213&gt;LIMITE_CRITICO,"INVIAVEL",IF($AD213&gt;LIMITE_ATENCAO,"CRITICO",IF($AD213&gt;LIMITE_CONFORTAVEL,"ATENCAO","OK")))))</f>
        <v>OK</v>
      </c>
      <c r="AF213" s="8" t="str">
        <f aca="false">$B213&amp;"|"&amp;TEXT($AD213,"0.000000")</f>
        <v>10|0.000000</v>
      </c>
      <c r="AG213" s="18" t="n">
        <f aca="false">IF($K213="SEM CULTURA",0,$T213*$H213)</f>
        <v>3251.10313043478</v>
      </c>
      <c r="AH213" s="18" t="n">
        <f aca="false">IF($K213="SEM CULTURA",0,$V213*$H213)</f>
        <v>3667.9664</v>
      </c>
      <c r="AI213" s="18" t="n">
        <f aca="false">IF($K213="SEM CULTURA",0,$W213*$H213)</f>
        <v>0</v>
      </c>
      <c r="AJ213" s="18" t="n">
        <f aca="false">IF($K213="SEM CULTURA",0,$S213*$H213)</f>
        <v>3368.26</v>
      </c>
      <c r="AK213" s="8" t="str">
        <f aca="false">$E213&amp;"|"&amp;TEXT($AD213,"0.000000")</f>
        <v>PV 105|0.000000</v>
      </c>
    </row>
    <row r="214" customFormat="false" ht="15" hidden="false" customHeight="false" outlineLevel="0" collapsed="false">
      <c r="B214" s="16" t="n">
        <v>11</v>
      </c>
      <c r="C214" s="17" t="n">
        <f aca="false">DATA_INICIO_SAFRA+($B214-1)*DIAS_POR_SEMANA</f>
        <v>46335</v>
      </c>
      <c r="D214" s="17" t="n">
        <f aca="false">$C214+DIAS_POR_SEMANA-1</f>
        <v>46341</v>
      </c>
      <c r="E214" s="15" t="s">
        <v>262</v>
      </c>
      <c r="F214" s="8" t="str">
        <f aca="false">IFERROR(INDEX(CADASTRO_PIVOS!$C$6:$C$41,MATCH($E214,CADASTRO_PIVOS!$B$6:$B$41,0)),"?")</f>
        <v>RM03</v>
      </c>
      <c r="G214" s="8" t="str">
        <f aca="false">IFERROR(INDEX(CADASTRO_PIVOS!$D$6:$D$41,MATCH($E214,CADASTRO_PIVOS!$B$6:$B$41,0)),"?")</f>
        <v>TR03</v>
      </c>
      <c r="H214" s="20" t="n">
        <f aca="false">IFERROR(INDEX(CADASTRO_PIVOS!$E$6:$E$41,MATCH($E214,CADASTRO_PIVOS!$B$6:$B$41,0)),0)</f>
        <v>98.2</v>
      </c>
      <c r="I214" s="16" t="n">
        <f aca="false">IFERROR(SUMIFS(ROTACAO_RDM!$B$6:$B$71,ROTACAO_RDM!$D$6:$D$71,$E214,ROTACAO_RDM!$I$6:$I$71,"&lt;="&amp;$C214+INT(DIAS_POR_SEMANA/2),ROTACAO_RDM!$J$6:$J$71,"&gt;="&amp;$C214+INT(DIAS_POR_SEMANA/2)),0)</f>
        <v>7</v>
      </c>
      <c r="J214" s="16" t="n">
        <f aca="false">IFERROR(MATCH($I214,ROTACAO_RDM!$B$6:$B$71,0),0)</f>
        <v>7</v>
      </c>
      <c r="K214" s="8" t="str">
        <f aca="false">IF($J214=0,"SEM CULTURA",INDEX(ROTACAO_RDM!$F$6:$F$71,$J214))</f>
        <v>SOJA</v>
      </c>
      <c r="L214" s="8" t="str">
        <f aca="false">IF($J214=0,"",INDEX(ROTACAO_RDM!$G$6:$G$71,$J214))</f>
        <v>COMBATE IPRO</v>
      </c>
      <c r="M214" s="17" t="n">
        <f aca="false">IF($J214=0,"",INDEX(ROTACAO_RDM!$I$6:$I$71,$J214))</f>
        <v>46293</v>
      </c>
      <c r="N214" s="16" t="n">
        <f aca="false">IF($J214=0,0,MAX(0,$C214+INT(DIAS_POR_SEMANA/2)-INDEX(ROTACAO_RDM!$I$6:$I$71,$J214)))</f>
        <v>45</v>
      </c>
      <c r="O214" s="19" t="n">
        <f aca="false">IF($J214=0,0,MIN(1,$N214/MAX(1,INDEX(ROTACAO_RDM!$K$6:$K$71,$J214))))</f>
        <v>0.394736842105263</v>
      </c>
      <c r="P214" s="16" t="n">
        <f aca="false">IF($J214=0,0,IFERROR(MATCH(INDEX(ROTACAO_RDM!$N$6:$N$71,$J214),PARAMETROS_CULTURAS!$B$6:$B$28,0),0))</f>
        <v>2</v>
      </c>
      <c r="Q214" s="8" t="str">
        <f aca="false">IF($P214=0,"-",IF($O214&lt;=INDEX(PARAMETROS_CULTURAS!$F$6:$F$28,$P214),"INICIAL",IF($O214&lt;=INDEX(PARAMETROS_CULTURAS!$F$6:$F$28,$P214)+INDEX(PARAMETROS_CULTURAS!$G$6:$G$28,$P214),"DESENVOLVIMENTO",IF($O214&lt;=INDEX(PARAMETROS_CULTURAS!$F$6:$F$28,$P214)+INDEX(PARAMETROS_CULTURAS!$G$6:$G$28,$P214)+INDEX(PARAMETROS_CULTURAS!$H$6:$H$28,$P214),"MEDIA","FINAL"))))</f>
        <v>MEDIA</v>
      </c>
      <c r="R214" s="24" t="n">
        <f aca="false">IF($P214=0,0,IF($O214&lt;=INDEX(PARAMETROS_CULTURAS!$F$6:$F$28,$P214),INDEX(PARAMETROS_CULTURAS!$K$6:$K$28,$P214),IF($O214&lt;=INDEX(PARAMETROS_CULTURAS!$F$6:$F$28,$P214)+INDEX(PARAMETROS_CULTURAS!$G$6:$G$28,$P214),INDEX(PARAMETROS_CULTURAS!$K$6:$K$28,$P214)+(INDEX(PARAMETROS_CULTURAS!$L$6:$L$28,$P214)-INDEX(PARAMETROS_CULTURAS!$K$6:$K$28,$P214))*($O214-INDEX(PARAMETROS_CULTURAS!$F$6:$F$28,$P214))/MAX(INDEX(PARAMETROS_CULTURAS!$G$6:$G$28,$P214),0.0001),IF($O214&lt;=INDEX(PARAMETROS_CULTURAS!$F$6:$F$28,$P214)+INDEX(PARAMETROS_CULTURAS!$G$6:$G$28,$P214)+INDEX(PARAMETROS_CULTURAS!$H$6:$H$28,$P214),INDEX(PARAMETROS_CULTURAS!$L$6:$L$28,$P214),INDEX(PARAMETROS_CULTURAS!$L$6:$L$28,$P214)+(INDEX(PARAMETROS_CULTURAS!$M$6:$M$28,$P214)-INDEX(PARAMETROS_CULTURAS!$L$6:$L$28,$P214))*($O214-INDEX(PARAMETROS_CULTURAS!$F$6:$F$28,$P214)-INDEX(PARAMETROS_CULTURAS!$G$6:$G$28,$P214)-INDEX(PARAMETROS_CULTURAS!$H$6:$H$28,$P214))/MAX(INDEX(PARAMETROS_CULTURAS!$I$6:$I$28,$P214),0.0001)))))</f>
        <v>1.15</v>
      </c>
      <c r="S214" s="18" t="n">
        <f aca="false">IFERROR(INDEX(SEMANAS!$H$6:$H$71,MATCH($B214,SEMANAS!$B$6:$B$71,0)),0)</f>
        <v>34.3</v>
      </c>
      <c r="T214" s="18" t="n">
        <f aca="false">$R214*$S214</f>
        <v>39.445</v>
      </c>
      <c r="U214" s="18" t="n">
        <f aca="false">IFERROR(INDEX(SEMANAS!$I$6:$I$71,MATCH($B214,SEMANAS!$B$6:$B$71,0)),0)</f>
        <v>46.69</v>
      </c>
      <c r="V214" s="18" t="n">
        <f aca="false">IFERROR(INDEX(SEMANAS!$J$6:$J$71,MATCH($B214,SEMANAS!$B$6:$B$71,0)),0)</f>
        <v>37.352</v>
      </c>
      <c r="W214" s="18" t="n">
        <f aca="false">MAX(0,$T214-$V214)</f>
        <v>2.093</v>
      </c>
      <c r="X214" s="19" t="n">
        <f aca="false">IFERROR(INDEX(CADASTRO_PIVOS!$K$6:$K$41,MATCH($E214,CADASTRO_PIVOS!$B$6:$B$41,0)),EFICIENCIA_PADRAO)</f>
        <v>0.85</v>
      </c>
      <c r="Y214" s="18" t="n">
        <f aca="false">IF($X214&lt;=0,0,$W214/$X214)</f>
        <v>2.46235294117647</v>
      </c>
      <c r="Z214" s="16" t="n">
        <f aca="false">$Y214*$H214*MM_PARA_M3_HA</f>
        <v>2418.03058823529</v>
      </c>
      <c r="AA214" s="18" t="n">
        <f aca="false">IFERROR(INDEX(CADASTRO_PIVOS!$I$6:$I$41,MATCH($E214,CADASTRO_PIVOS!$B$6:$B$41,0)),0)</f>
        <v>701.428571428571</v>
      </c>
      <c r="AB214" s="18" t="n">
        <f aca="false">IF($Z214&lt;=0,0,$Z214/$AA214)</f>
        <v>3.44729411764705</v>
      </c>
      <c r="AC214" s="16" t="n">
        <f aca="false">IFERROR(INDEX(SEMANAS!$K$6:$K$71,MATCH($B214,SEMANAS!$B$6:$B$71,0)),0)</f>
        <v>147</v>
      </c>
      <c r="AD214" s="19" t="n">
        <f aca="false">IF($AC214&lt;=0,0,$AB214/$AC214)</f>
        <v>0.0234509803921568</v>
      </c>
      <c r="AE214" s="8" t="str">
        <f aca="false">IF($K214="SEM CULTURA","SEM CULTURA",IF($AA214&lt;=0,"DADO PENDENTE",IF($AD214&gt;LIMITE_CRITICO,"INVIAVEL",IF($AD214&gt;LIMITE_ATENCAO,"CRITICO",IF($AD214&gt;LIMITE_CONFORTAVEL,"ATENCAO","OK")))))</f>
        <v>OK</v>
      </c>
      <c r="AF214" s="8" t="str">
        <f aca="false">$B214&amp;"|"&amp;TEXT($AD214,"0.000000")</f>
        <v>11|0.023451</v>
      </c>
      <c r="AG214" s="18" t="n">
        <f aca="false">IF($K214="SEM CULTURA",0,$T214*$H214)</f>
        <v>3873.499</v>
      </c>
      <c r="AH214" s="18" t="n">
        <f aca="false">IF($K214="SEM CULTURA",0,$V214*$H214)</f>
        <v>3667.9664</v>
      </c>
      <c r="AI214" s="18" t="n">
        <f aca="false">IF($K214="SEM CULTURA",0,$W214*$H214)</f>
        <v>205.5326</v>
      </c>
      <c r="AJ214" s="18" t="n">
        <f aca="false">IF($K214="SEM CULTURA",0,$S214*$H214)</f>
        <v>3368.26</v>
      </c>
      <c r="AK214" s="8" t="str">
        <f aca="false">$E214&amp;"|"&amp;TEXT($AD214,"0.000000")</f>
        <v>PV 105|0.023451</v>
      </c>
    </row>
    <row r="215" customFormat="false" ht="15" hidden="false" customHeight="false" outlineLevel="0" collapsed="false">
      <c r="B215" s="16" t="n">
        <v>12</v>
      </c>
      <c r="C215" s="17" t="n">
        <f aca="false">DATA_INICIO_SAFRA+($B215-1)*DIAS_POR_SEMANA</f>
        <v>46342</v>
      </c>
      <c r="D215" s="17" t="n">
        <f aca="false">$C215+DIAS_POR_SEMANA-1</f>
        <v>46348</v>
      </c>
      <c r="E215" s="15" t="s">
        <v>262</v>
      </c>
      <c r="F215" s="8" t="str">
        <f aca="false">IFERROR(INDEX(CADASTRO_PIVOS!$C$6:$C$41,MATCH($E215,CADASTRO_PIVOS!$B$6:$B$41,0)),"?")</f>
        <v>RM03</v>
      </c>
      <c r="G215" s="8" t="str">
        <f aca="false">IFERROR(INDEX(CADASTRO_PIVOS!$D$6:$D$41,MATCH($E215,CADASTRO_PIVOS!$B$6:$B$41,0)),"?")</f>
        <v>TR03</v>
      </c>
      <c r="H215" s="20" t="n">
        <f aca="false">IFERROR(INDEX(CADASTRO_PIVOS!$E$6:$E$41,MATCH($E215,CADASTRO_PIVOS!$B$6:$B$41,0)),0)</f>
        <v>98.2</v>
      </c>
      <c r="I215" s="16" t="n">
        <f aca="false">IFERROR(SUMIFS(ROTACAO_RDM!$B$6:$B$71,ROTACAO_RDM!$D$6:$D$71,$E215,ROTACAO_RDM!$I$6:$I$71,"&lt;="&amp;$C215+INT(DIAS_POR_SEMANA/2),ROTACAO_RDM!$J$6:$J$71,"&gt;="&amp;$C215+INT(DIAS_POR_SEMANA/2)),0)</f>
        <v>7</v>
      </c>
      <c r="J215" s="16" t="n">
        <f aca="false">IFERROR(MATCH($I215,ROTACAO_RDM!$B$6:$B$71,0),0)</f>
        <v>7</v>
      </c>
      <c r="K215" s="8" t="str">
        <f aca="false">IF($J215=0,"SEM CULTURA",INDEX(ROTACAO_RDM!$F$6:$F$71,$J215))</f>
        <v>SOJA</v>
      </c>
      <c r="L215" s="8" t="str">
        <f aca="false">IF($J215=0,"",INDEX(ROTACAO_RDM!$G$6:$G$71,$J215))</f>
        <v>COMBATE IPRO</v>
      </c>
      <c r="M215" s="17" t="n">
        <f aca="false">IF($J215=0,"",INDEX(ROTACAO_RDM!$I$6:$I$71,$J215))</f>
        <v>46293</v>
      </c>
      <c r="N215" s="16" t="n">
        <f aca="false">IF($J215=0,0,MAX(0,$C215+INT(DIAS_POR_SEMANA/2)-INDEX(ROTACAO_RDM!$I$6:$I$71,$J215)))</f>
        <v>52</v>
      </c>
      <c r="O215" s="19" t="n">
        <f aca="false">IF($J215=0,0,MIN(1,$N215/MAX(1,INDEX(ROTACAO_RDM!$K$6:$K$71,$J215))))</f>
        <v>0.456140350877193</v>
      </c>
      <c r="P215" s="16" t="n">
        <f aca="false">IF($J215=0,0,IFERROR(MATCH(INDEX(ROTACAO_RDM!$N$6:$N$71,$J215),PARAMETROS_CULTURAS!$B$6:$B$28,0),0))</f>
        <v>2</v>
      </c>
      <c r="Q215" s="8" t="str">
        <f aca="false">IF($P215=0,"-",IF($O215&lt;=INDEX(PARAMETROS_CULTURAS!$F$6:$F$28,$P215),"INICIAL",IF($O215&lt;=INDEX(PARAMETROS_CULTURAS!$F$6:$F$28,$P215)+INDEX(PARAMETROS_CULTURAS!$G$6:$G$28,$P215),"DESENVOLVIMENTO",IF($O215&lt;=INDEX(PARAMETROS_CULTURAS!$F$6:$F$28,$P215)+INDEX(PARAMETROS_CULTURAS!$G$6:$G$28,$P215)+INDEX(PARAMETROS_CULTURAS!$H$6:$H$28,$P215),"MEDIA","FINAL"))))</f>
        <v>MEDIA</v>
      </c>
      <c r="R215" s="24" t="n">
        <f aca="false">IF($P215=0,0,IF($O215&lt;=INDEX(PARAMETROS_CULTURAS!$F$6:$F$28,$P215),INDEX(PARAMETROS_CULTURAS!$K$6:$K$28,$P215),IF($O215&lt;=INDEX(PARAMETROS_CULTURAS!$F$6:$F$28,$P215)+INDEX(PARAMETROS_CULTURAS!$G$6:$G$28,$P215),INDEX(PARAMETROS_CULTURAS!$K$6:$K$28,$P215)+(INDEX(PARAMETROS_CULTURAS!$L$6:$L$28,$P215)-INDEX(PARAMETROS_CULTURAS!$K$6:$K$28,$P215))*($O215-INDEX(PARAMETROS_CULTURAS!$F$6:$F$28,$P215))/MAX(INDEX(PARAMETROS_CULTURAS!$G$6:$G$28,$P215),0.0001),IF($O215&lt;=INDEX(PARAMETROS_CULTURAS!$F$6:$F$28,$P215)+INDEX(PARAMETROS_CULTURAS!$G$6:$G$28,$P215)+INDEX(PARAMETROS_CULTURAS!$H$6:$H$28,$P215),INDEX(PARAMETROS_CULTURAS!$L$6:$L$28,$P215),INDEX(PARAMETROS_CULTURAS!$L$6:$L$28,$P215)+(INDEX(PARAMETROS_CULTURAS!$M$6:$M$28,$P215)-INDEX(PARAMETROS_CULTURAS!$L$6:$L$28,$P215))*($O215-INDEX(PARAMETROS_CULTURAS!$F$6:$F$28,$P215)-INDEX(PARAMETROS_CULTURAS!$G$6:$G$28,$P215)-INDEX(PARAMETROS_CULTURAS!$H$6:$H$28,$P215))/MAX(INDEX(PARAMETROS_CULTURAS!$I$6:$I$28,$P215),0.0001)))))</f>
        <v>1.15</v>
      </c>
      <c r="S215" s="18" t="n">
        <f aca="false">IFERROR(INDEX(SEMANAS!$H$6:$H$71,MATCH($B215,SEMANAS!$B$6:$B$71,0)),0)</f>
        <v>34.3</v>
      </c>
      <c r="T215" s="18" t="n">
        <f aca="false">$R215*$S215</f>
        <v>39.445</v>
      </c>
      <c r="U215" s="18" t="n">
        <f aca="false">IFERROR(INDEX(SEMANAS!$I$6:$I$71,MATCH($B215,SEMANAS!$B$6:$B$71,0)),0)</f>
        <v>46.69</v>
      </c>
      <c r="V215" s="18" t="n">
        <f aca="false">IFERROR(INDEX(SEMANAS!$J$6:$J$71,MATCH($B215,SEMANAS!$B$6:$B$71,0)),0)</f>
        <v>37.352</v>
      </c>
      <c r="W215" s="18" t="n">
        <f aca="false">MAX(0,$T215-$V215)</f>
        <v>2.093</v>
      </c>
      <c r="X215" s="19" t="n">
        <f aca="false">IFERROR(INDEX(CADASTRO_PIVOS!$K$6:$K$41,MATCH($E215,CADASTRO_PIVOS!$B$6:$B$41,0)),EFICIENCIA_PADRAO)</f>
        <v>0.85</v>
      </c>
      <c r="Y215" s="18" t="n">
        <f aca="false">IF($X215&lt;=0,0,$W215/$X215)</f>
        <v>2.46235294117647</v>
      </c>
      <c r="Z215" s="16" t="n">
        <f aca="false">$Y215*$H215*MM_PARA_M3_HA</f>
        <v>2418.03058823529</v>
      </c>
      <c r="AA215" s="18" t="n">
        <f aca="false">IFERROR(INDEX(CADASTRO_PIVOS!$I$6:$I$41,MATCH($E215,CADASTRO_PIVOS!$B$6:$B$41,0)),0)</f>
        <v>701.428571428571</v>
      </c>
      <c r="AB215" s="18" t="n">
        <f aca="false">IF($Z215&lt;=0,0,$Z215/$AA215)</f>
        <v>3.44729411764705</v>
      </c>
      <c r="AC215" s="16" t="n">
        <f aca="false">IFERROR(INDEX(SEMANAS!$K$6:$K$71,MATCH($B215,SEMANAS!$B$6:$B$71,0)),0)</f>
        <v>147</v>
      </c>
      <c r="AD215" s="19" t="n">
        <f aca="false">IF($AC215&lt;=0,0,$AB215/$AC215)</f>
        <v>0.0234509803921568</v>
      </c>
      <c r="AE215" s="8" t="str">
        <f aca="false">IF($K215="SEM CULTURA","SEM CULTURA",IF($AA215&lt;=0,"DADO PENDENTE",IF($AD215&gt;LIMITE_CRITICO,"INVIAVEL",IF($AD215&gt;LIMITE_ATENCAO,"CRITICO",IF($AD215&gt;LIMITE_CONFORTAVEL,"ATENCAO","OK")))))</f>
        <v>OK</v>
      </c>
      <c r="AF215" s="8" t="str">
        <f aca="false">$B215&amp;"|"&amp;TEXT($AD215,"0.000000")</f>
        <v>12|0.023451</v>
      </c>
      <c r="AG215" s="18" t="n">
        <f aca="false">IF($K215="SEM CULTURA",0,$T215*$H215)</f>
        <v>3873.499</v>
      </c>
      <c r="AH215" s="18" t="n">
        <f aca="false">IF($K215="SEM CULTURA",0,$V215*$H215)</f>
        <v>3667.9664</v>
      </c>
      <c r="AI215" s="18" t="n">
        <f aca="false">IF($K215="SEM CULTURA",0,$W215*$H215)</f>
        <v>205.5326</v>
      </c>
      <c r="AJ215" s="18" t="n">
        <f aca="false">IF($K215="SEM CULTURA",0,$S215*$H215)</f>
        <v>3368.26</v>
      </c>
      <c r="AK215" s="8" t="str">
        <f aca="false">$E215&amp;"|"&amp;TEXT($AD215,"0.000000")</f>
        <v>PV 105|0.023451</v>
      </c>
    </row>
    <row r="216" customFormat="false" ht="15" hidden="false" customHeight="false" outlineLevel="0" collapsed="false">
      <c r="B216" s="16" t="n">
        <v>13</v>
      </c>
      <c r="C216" s="17" t="n">
        <f aca="false">DATA_INICIO_SAFRA+($B216-1)*DIAS_POR_SEMANA</f>
        <v>46349</v>
      </c>
      <c r="D216" s="17" t="n">
        <f aca="false">$C216+DIAS_POR_SEMANA-1</f>
        <v>46355</v>
      </c>
      <c r="E216" s="15" t="s">
        <v>262</v>
      </c>
      <c r="F216" s="8" t="str">
        <f aca="false">IFERROR(INDEX(CADASTRO_PIVOS!$C$6:$C$41,MATCH($E216,CADASTRO_PIVOS!$B$6:$B$41,0)),"?")</f>
        <v>RM03</v>
      </c>
      <c r="G216" s="8" t="str">
        <f aca="false">IFERROR(INDEX(CADASTRO_PIVOS!$D$6:$D$41,MATCH($E216,CADASTRO_PIVOS!$B$6:$B$41,0)),"?")</f>
        <v>TR03</v>
      </c>
      <c r="H216" s="20" t="n">
        <f aca="false">IFERROR(INDEX(CADASTRO_PIVOS!$E$6:$E$41,MATCH($E216,CADASTRO_PIVOS!$B$6:$B$41,0)),0)</f>
        <v>98.2</v>
      </c>
      <c r="I216" s="16" t="n">
        <f aca="false">IFERROR(SUMIFS(ROTACAO_RDM!$B$6:$B$71,ROTACAO_RDM!$D$6:$D$71,$E216,ROTACAO_RDM!$I$6:$I$71,"&lt;="&amp;$C216+INT(DIAS_POR_SEMANA/2),ROTACAO_RDM!$J$6:$J$71,"&gt;="&amp;$C216+INT(DIAS_POR_SEMANA/2)),0)</f>
        <v>7</v>
      </c>
      <c r="J216" s="16" t="n">
        <f aca="false">IFERROR(MATCH($I216,ROTACAO_RDM!$B$6:$B$71,0),0)</f>
        <v>7</v>
      </c>
      <c r="K216" s="8" t="str">
        <f aca="false">IF($J216=0,"SEM CULTURA",INDEX(ROTACAO_RDM!$F$6:$F$71,$J216))</f>
        <v>SOJA</v>
      </c>
      <c r="L216" s="8" t="str">
        <f aca="false">IF($J216=0,"",INDEX(ROTACAO_RDM!$G$6:$G$71,$J216))</f>
        <v>COMBATE IPRO</v>
      </c>
      <c r="M216" s="17" t="n">
        <f aca="false">IF($J216=0,"",INDEX(ROTACAO_RDM!$I$6:$I$71,$J216))</f>
        <v>46293</v>
      </c>
      <c r="N216" s="16" t="n">
        <f aca="false">IF($J216=0,0,MAX(0,$C216+INT(DIAS_POR_SEMANA/2)-INDEX(ROTACAO_RDM!$I$6:$I$71,$J216)))</f>
        <v>59</v>
      </c>
      <c r="O216" s="19" t="n">
        <f aca="false">IF($J216=0,0,MIN(1,$N216/MAX(1,INDEX(ROTACAO_RDM!$K$6:$K$71,$J216))))</f>
        <v>0.517543859649123</v>
      </c>
      <c r="P216" s="16" t="n">
        <f aca="false">IF($J216=0,0,IFERROR(MATCH(INDEX(ROTACAO_RDM!$N$6:$N$71,$J216),PARAMETROS_CULTURAS!$B$6:$B$28,0),0))</f>
        <v>2</v>
      </c>
      <c r="Q216" s="8" t="str">
        <f aca="false">IF($P216=0,"-",IF($O216&lt;=INDEX(PARAMETROS_CULTURAS!$F$6:$F$28,$P216),"INICIAL",IF($O216&lt;=INDEX(PARAMETROS_CULTURAS!$F$6:$F$28,$P216)+INDEX(PARAMETROS_CULTURAS!$G$6:$G$28,$P216),"DESENVOLVIMENTO",IF($O216&lt;=INDEX(PARAMETROS_CULTURAS!$F$6:$F$28,$P216)+INDEX(PARAMETROS_CULTURAS!$G$6:$G$28,$P216)+INDEX(PARAMETROS_CULTURAS!$H$6:$H$28,$P216),"MEDIA","FINAL"))))</f>
        <v>MEDIA</v>
      </c>
      <c r="R216" s="24" t="n">
        <f aca="false">IF($P216=0,0,IF($O216&lt;=INDEX(PARAMETROS_CULTURAS!$F$6:$F$28,$P216),INDEX(PARAMETROS_CULTURAS!$K$6:$K$28,$P216),IF($O216&lt;=INDEX(PARAMETROS_CULTURAS!$F$6:$F$28,$P216)+INDEX(PARAMETROS_CULTURAS!$G$6:$G$28,$P216),INDEX(PARAMETROS_CULTURAS!$K$6:$K$28,$P216)+(INDEX(PARAMETROS_CULTURAS!$L$6:$L$28,$P216)-INDEX(PARAMETROS_CULTURAS!$K$6:$K$28,$P216))*($O216-INDEX(PARAMETROS_CULTURAS!$F$6:$F$28,$P216))/MAX(INDEX(PARAMETROS_CULTURAS!$G$6:$G$28,$P216),0.0001),IF($O216&lt;=INDEX(PARAMETROS_CULTURAS!$F$6:$F$28,$P216)+INDEX(PARAMETROS_CULTURAS!$G$6:$G$28,$P216)+INDEX(PARAMETROS_CULTURAS!$H$6:$H$28,$P216),INDEX(PARAMETROS_CULTURAS!$L$6:$L$28,$P216),INDEX(PARAMETROS_CULTURAS!$L$6:$L$28,$P216)+(INDEX(PARAMETROS_CULTURAS!$M$6:$M$28,$P216)-INDEX(PARAMETROS_CULTURAS!$L$6:$L$28,$P216))*($O216-INDEX(PARAMETROS_CULTURAS!$F$6:$F$28,$P216)-INDEX(PARAMETROS_CULTURAS!$G$6:$G$28,$P216)-INDEX(PARAMETROS_CULTURAS!$H$6:$H$28,$P216))/MAX(INDEX(PARAMETROS_CULTURAS!$I$6:$I$28,$P216),0.0001)))))</f>
        <v>1.15</v>
      </c>
      <c r="S216" s="18" t="n">
        <f aca="false">IFERROR(INDEX(SEMANAS!$H$6:$H$71,MATCH($B216,SEMANAS!$B$6:$B$71,0)),0)</f>
        <v>34.3</v>
      </c>
      <c r="T216" s="18" t="n">
        <f aca="false">$R216*$S216</f>
        <v>39.445</v>
      </c>
      <c r="U216" s="18" t="n">
        <f aca="false">IFERROR(INDEX(SEMANAS!$I$6:$I$71,MATCH($B216,SEMANAS!$B$6:$B$71,0)),0)</f>
        <v>46.69</v>
      </c>
      <c r="V216" s="18" t="n">
        <f aca="false">IFERROR(INDEX(SEMANAS!$J$6:$J$71,MATCH($B216,SEMANAS!$B$6:$B$71,0)),0)</f>
        <v>37.352</v>
      </c>
      <c r="W216" s="18" t="n">
        <f aca="false">MAX(0,$T216-$V216)</f>
        <v>2.093</v>
      </c>
      <c r="X216" s="19" t="n">
        <f aca="false">IFERROR(INDEX(CADASTRO_PIVOS!$K$6:$K$41,MATCH($E216,CADASTRO_PIVOS!$B$6:$B$41,0)),EFICIENCIA_PADRAO)</f>
        <v>0.85</v>
      </c>
      <c r="Y216" s="18" t="n">
        <f aca="false">IF($X216&lt;=0,0,$W216/$X216)</f>
        <v>2.46235294117647</v>
      </c>
      <c r="Z216" s="16" t="n">
        <f aca="false">$Y216*$H216*MM_PARA_M3_HA</f>
        <v>2418.03058823529</v>
      </c>
      <c r="AA216" s="18" t="n">
        <f aca="false">IFERROR(INDEX(CADASTRO_PIVOS!$I$6:$I$41,MATCH($E216,CADASTRO_PIVOS!$B$6:$B$41,0)),0)</f>
        <v>701.428571428571</v>
      </c>
      <c r="AB216" s="18" t="n">
        <f aca="false">IF($Z216&lt;=0,0,$Z216/$AA216)</f>
        <v>3.44729411764705</v>
      </c>
      <c r="AC216" s="16" t="n">
        <f aca="false">IFERROR(INDEX(SEMANAS!$K$6:$K$71,MATCH($B216,SEMANAS!$B$6:$B$71,0)),0)</f>
        <v>147</v>
      </c>
      <c r="AD216" s="19" t="n">
        <f aca="false">IF($AC216&lt;=0,0,$AB216/$AC216)</f>
        <v>0.0234509803921568</v>
      </c>
      <c r="AE216" s="8" t="str">
        <f aca="false">IF($K216="SEM CULTURA","SEM CULTURA",IF($AA216&lt;=0,"DADO PENDENTE",IF($AD216&gt;LIMITE_CRITICO,"INVIAVEL",IF($AD216&gt;LIMITE_ATENCAO,"CRITICO",IF($AD216&gt;LIMITE_CONFORTAVEL,"ATENCAO","OK")))))</f>
        <v>OK</v>
      </c>
      <c r="AF216" s="8" t="str">
        <f aca="false">$B216&amp;"|"&amp;TEXT($AD216,"0.000000")</f>
        <v>13|0.023451</v>
      </c>
      <c r="AG216" s="18" t="n">
        <f aca="false">IF($K216="SEM CULTURA",0,$T216*$H216)</f>
        <v>3873.499</v>
      </c>
      <c r="AH216" s="18" t="n">
        <f aca="false">IF($K216="SEM CULTURA",0,$V216*$H216)</f>
        <v>3667.9664</v>
      </c>
      <c r="AI216" s="18" t="n">
        <f aca="false">IF($K216="SEM CULTURA",0,$W216*$H216)</f>
        <v>205.5326</v>
      </c>
      <c r="AJ216" s="18" t="n">
        <f aca="false">IF($K216="SEM CULTURA",0,$S216*$H216)</f>
        <v>3368.26</v>
      </c>
      <c r="AK216" s="8" t="str">
        <f aca="false">$E216&amp;"|"&amp;TEXT($AD216,"0.000000")</f>
        <v>PV 105|0.023451</v>
      </c>
    </row>
    <row r="217" customFormat="false" ht="15" hidden="false" customHeight="false" outlineLevel="0" collapsed="false">
      <c r="B217" s="16" t="n">
        <v>14</v>
      </c>
      <c r="C217" s="17" t="n">
        <f aca="false">DATA_INICIO_SAFRA+($B217-1)*DIAS_POR_SEMANA</f>
        <v>46356</v>
      </c>
      <c r="D217" s="17" t="n">
        <f aca="false">$C217+DIAS_POR_SEMANA-1</f>
        <v>46362</v>
      </c>
      <c r="E217" s="15" t="s">
        <v>262</v>
      </c>
      <c r="F217" s="8" t="str">
        <f aca="false">IFERROR(INDEX(CADASTRO_PIVOS!$C$6:$C$41,MATCH($E217,CADASTRO_PIVOS!$B$6:$B$41,0)),"?")</f>
        <v>RM03</v>
      </c>
      <c r="G217" s="8" t="str">
        <f aca="false">IFERROR(INDEX(CADASTRO_PIVOS!$D$6:$D$41,MATCH($E217,CADASTRO_PIVOS!$B$6:$B$41,0)),"?")</f>
        <v>TR03</v>
      </c>
      <c r="H217" s="20" t="n">
        <f aca="false">IFERROR(INDEX(CADASTRO_PIVOS!$E$6:$E$41,MATCH($E217,CADASTRO_PIVOS!$B$6:$B$41,0)),0)</f>
        <v>98.2</v>
      </c>
      <c r="I217" s="16" t="n">
        <f aca="false">IFERROR(SUMIFS(ROTACAO_RDM!$B$6:$B$71,ROTACAO_RDM!$D$6:$D$71,$E217,ROTACAO_RDM!$I$6:$I$71,"&lt;="&amp;$C217+INT(DIAS_POR_SEMANA/2),ROTACAO_RDM!$J$6:$J$71,"&gt;="&amp;$C217+INT(DIAS_POR_SEMANA/2)),0)</f>
        <v>7</v>
      </c>
      <c r="J217" s="16" t="n">
        <f aca="false">IFERROR(MATCH($I217,ROTACAO_RDM!$B$6:$B$71,0),0)</f>
        <v>7</v>
      </c>
      <c r="K217" s="8" t="str">
        <f aca="false">IF($J217=0,"SEM CULTURA",INDEX(ROTACAO_RDM!$F$6:$F$71,$J217))</f>
        <v>SOJA</v>
      </c>
      <c r="L217" s="8" t="str">
        <f aca="false">IF($J217=0,"",INDEX(ROTACAO_RDM!$G$6:$G$71,$J217))</f>
        <v>COMBATE IPRO</v>
      </c>
      <c r="M217" s="17" t="n">
        <f aca="false">IF($J217=0,"",INDEX(ROTACAO_RDM!$I$6:$I$71,$J217))</f>
        <v>46293</v>
      </c>
      <c r="N217" s="16" t="n">
        <f aca="false">IF($J217=0,0,MAX(0,$C217+INT(DIAS_POR_SEMANA/2)-INDEX(ROTACAO_RDM!$I$6:$I$71,$J217)))</f>
        <v>66</v>
      </c>
      <c r="O217" s="19" t="n">
        <f aca="false">IF($J217=0,0,MIN(1,$N217/MAX(1,INDEX(ROTACAO_RDM!$K$6:$K$71,$J217))))</f>
        <v>0.578947368421053</v>
      </c>
      <c r="P217" s="16" t="n">
        <f aca="false">IF($J217=0,0,IFERROR(MATCH(INDEX(ROTACAO_RDM!$N$6:$N$71,$J217),PARAMETROS_CULTURAS!$B$6:$B$28,0),0))</f>
        <v>2</v>
      </c>
      <c r="Q217" s="8" t="str">
        <f aca="false">IF($P217=0,"-",IF($O217&lt;=INDEX(PARAMETROS_CULTURAS!$F$6:$F$28,$P217),"INICIAL",IF($O217&lt;=INDEX(PARAMETROS_CULTURAS!$F$6:$F$28,$P217)+INDEX(PARAMETROS_CULTURAS!$G$6:$G$28,$P217),"DESENVOLVIMENTO",IF($O217&lt;=INDEX(PARAMETROS_CULTURAS!$F$6:$F$28,$P217)+INDEX(PARAMETROS_CULTURAS!$G$6:$G$28,$P217)+INDEX(PARAMETROS_CULTURAS!$H$6:$H$28,$P217),"MEDIA","FINAL"))))</f>
        <v>MEDIA</v>
      </c>
      <c r="R217" s="24" t="n">
        <f aca="false">IF($P217=0,0,IF($O217&lt;=INDEX(PARAMETROS_CULTURAS!$F$6:$F$28,$P217),INDEX(PARAMETROS_CULTURAS!$K$6:$K$28,$P217),IF($O217&lt;=INDEX(PARAMETROS_CULTURAS!$F$6:$F$28,$P217)+INDEX(PARAMETROS_CULTURAS!$G$6:$G$28,$P217),INDEX(PARAMETROS_CULTURAS!$K$6:$K$28,$P217)+(INDEX(PARAMETROS_CULTURAS!$L$6:$L$28,$P217)-INDEX(PARAMETROS_CULTURAS!$K$6:$K$28,$P217))*($O217-INDEX(PARAMETROS_CULTURAS!$F$6:$F$28,$P217))/MAX(INDEX(PARAMETROS_CULTURAS!$G$6:$G$28,$P217),0.0001),IF($O217&lt;=INDEX(PARAMETROS_CULTURAS!$F$6:$F$28,$P217)+INDEX(PARAMETROS_CULTURAS!$G$6:$G$28,$P217)+INDEX(PARAMETROS_CULTURAS!$H$6:$H$28,$P217),INDEX(PARAMETROS_CULTURAS!$L$6:$L$28,$P217),INDEX(PARAMETROS_CULTURAS!$L$6:$L$28,$P217)+(INDEX(PARAMETROS_CULTURAS!$M$6:$M$28,$P217)-INDEX(PARAMETROS_CULTURAS!$L$6:$L$28,$P217))*($O217-INDEX(PARAMETROS_CULTURAS!$F$6:$F$28,$P217)-INDEX(PARAMETROS_CULTURAS!$G$6:$G$28,$P217)-INDEX(PARAMETROS_CULTURAS!$H$6:$H$28,$P217))/MAX(INDEX(PARAMETROS_CULTURAS!$I$6:$I$28,$P217),0.0001)))))</f>
        <v>1.15</v>
      </c>
      <c r="S217" s="18" t="n">
        <f aca="false">IFERROR(INDEX(SEMANAS!$H$6:$H$71,MATCH($B217,SEMANAS!$B$6:$B$71,0)),0)</f>
        <v>33.1</v>
      </c>
      <c r="T217" s="18" t="n">
        <f aca="false">$R217*$S217</f>
        <v>38.065</v>
      </c>
      <c r="U217" s="18" t="n">
        <f aca="false">IFERROR(INDEX(SEMANAS!$I$6:$I$71,MATCH($B217,SEMANAS!$B$6:$B$71,0)),0)</f>
        <v>48.31</v>
      </c>
      <c r="V217" s="18" t="n">
        <f aca="false">IFERROR(INDEX(SEMANAS!$J$6:$J$71,MATCH($B217,SEMANAS!$B$6:$B$71,0)),0)</f>
        <v>38.648</v>
      </c>
      <c r="W217" s="18" t="n">
        <f aca="false">MAX(0,$T217-$V217)</f>
        <v>0</v>
      </c>
      <c r="X217" s="19" t="n">
        <f aca="false">IFERROR(INDEX(CADASTRO_PIVOS!$K$6:$K$41,MATCH($E217,CADASTRO_PIVOS!$B$6:$B$41,0)),EFICIENCIA_PADRAO)</f>
        <v>0.85</v>
      </c>
      <c r="Y217" s="18" t="n">
        <f aca="false">IF($X217&lt;=0,0,$W217/$X217)</f>
        <v>0</v>
      </c>
      <c r="Z217" s="16" t="n">
        <f aca="false">$Y217*$H217*MM_PARA_M3_HA</f>
        <v>0</v>
      </c>
      <c r="AA217" s="18" t="n">
        <f aca="false">IFERROR(INDEX(CADASTRO_PIVOS!$I$6:$I$41,MATCH($E217,CADASTRO_PIVOS!$B$6:$B$41,0)),0)</f>
        <v>701.428571428571</v>
      </c>
      <c r="AB217" s="18" t="n">
        <f aca="false">IF($Z217&lt;=0,0,$Z217/$AA217)</f>
        <v>0</v>
      </c>
      <c r="AC217" s="16" t="n">
        <f aca="false">IFERROR(INDEX(SEMANAS!$K$6:$K$71,MATCH($B217,SEMANAS!$B$6:$B$71,0)),0)</f>
        <v>147</v>
      </c>
      <c r="AD217" s="19" t="n">
        <f aca="false">IF($AC217&lt;=0,0,$AB217/$AC217)</f>
        <v>0</v>
      </c>
      <c r="AE217" s="8" t="str">
        <f aca="false">IF($K217="SEM CULTURA","SEM CULTURA",IF($AA217&lt;=0,"DADO PENDENTE",IF($AD217&gt;LIMITE_CRITICO,"INVIAVEL",IF($AD217&gt;LIMITE_ATENCAO,"CRITICO",IF($AD217&gt;LIMITE_CONFORTAVEL,"ATENCAO","OK")))))</f>
        <v>OK</v>
      </c>
      <c r="AF217" s="8" t="str">
        <f aca="false">$B217&amp;"|"&amp;TEXT($AD217,"0.000000")</f>
        <v>14|0.000000</v>
      </c>
      <c r="AG217" s="18" t="n">
        <f aca="false">IF($K217="SEM CULTURA",0,$T217*$H217)</f>
        <v>3737.983</v>
      </c>
      <c r="AH217" s="18" t="n">
        <f aca="false">IF($K217="SEM CULTURA",0,$V217*$H217)</f>
        <v>3795.2336</v>
      </c>
      <c r="AI217" s="18" t="n">
        <f aca="false">IF($K217="SEM CULTURA",0,$W217*$H217)</f>
        <v>0</v>
      </c>
      <c r="AJ217" s="18" t="n">
        <f aca="false">IF($K217="SEM CULTURA",0,$S217*$H217)</f>
        <v>3250.42</v>
      </c>
      <c r="AK217" s="8" t="str">
        <f aca="false">$E217&amp;"|"&amp;TEXT($AD217,"0.000000")</f>
        <v>PV 105|0.000000</v>
      </c>
    </row>
    <row r="218" customFormat="false" ht="15" hidden="false" customHeight="false" outlineLevel="0" collapsed="false">
      <c r="B218" s="16" t="n">
        <v>15</v>
      </c>
      <c r="C218" s="17" t="n">
        <f aca="false">DATA_INICIO_SAFRA+($B218-1)*DIAS_POR_SEMANA</f>
        <v>46363</v>
      </c>
      <c r="D218" s="17" t="n">
        <f aca="false">$C218+DIAS_POR_SEMANA-1</f>
        <v>46369</v>
      </c>
      <c r="E218" s="15" t="s">
        <v>262</v>
      </c>
      <c r="F218" s="8" t="str">
        <f aca="false">IFERROR(INDEX(CADASTRO_PIVOS!$C$6:$C$41,MATCH($E218,CADASTRO_PIVOS!$B$6:$B$41,0)),"?")</f>
        <v>RM03</v>
      </c>
      <c r="G218" s="8" t="str">
        <f aca="false">IFERROR(INDEX(CADASTRO_PIVOS!$D$6:$D$41,MATCH($E218,CADASTRO_PIVOS!$B$6:$B$41,0)),"?")</f>
        <v>TR03</v>
      </c>
      <c r="H218" s="20" t="n">
        <f aca="false">IFERROR(INDEX(CADASTRO_PIVOS!$E$6:$E$41,MATCH($E218,CADASTRO_PIVOS!$B$6:$B$41,0)),0)</f>
        <v>98.2</v>
      </c>
      <c r="I218" s="16" t="n">
        <f aca="false">IFERROR(SUMIFS(ROTACAO_RDM!$B$6:$B$71,ROTACAO_RDM!$D$6:$D$71,$E218,ROTACAO_RDM!$I$6:$I$71,"&lt;="&amp;$C218+INT(DIAS_POR_SEMANA/2),ROTACAO_RDM!$J$6:$J$71,"&gt;="&amp;$C218+INT(DIAS_POR_SEMANA/2)),0)</f>
        <v>7</v>
      </c>
      <c r="J218" s="16" t="n">
        <f aca="false">IFERROR(MATCH($I218,ROTACAO_RDM!$B$6:$B$71,0),0)</f>
        <v>7</v>
      </c>
      <c r="K218" s="8" t="str">
        <f aca="false">IF($J218=0,"SEM CULTURA",INDEX(ROTACAO_RDM!$F$6:$F$71,$J218))</f>
        <v>SOJA</v>
      </c>
      <c r="L218" s="8" t="str">
        <f aca="false">IF($J218=0,"",INDEX(ROTACAO_RDM!$G$6:$G$71,$J218))</f>
        <v>COMBATE IPRO</v>
      </c>
      <c r="M218" s="17" t="n">
        <f aca="false">IF($J218=0,"",INDEX(ROTACAO_RDM!$I$6:$I$71,$J218))</f>
        <v>46293</v>
      </c>
      <c r="N218" s="16" t="n">
        <f aca="false">IF($J218=0,0,MAX(0,$C218+INT(DIAS_POR_SEMANA/2)-INDEX(ROTACAO_RDM!$I$6:$I$71,$J218)))</f>
        <v>73</v>
      </c>
      <c r="O218" s="19" t="n">
        <f aca="false">IF($J218=0,0,MIN(1,$N218/MAX(1,INDEX(ROTACAO_RDM!$K$6:$K$71,$J218))))</f>
        <v>0.640350877192982</v>
      </c>
      <c r="P218" s="16" t="n">
        <f aca="false">IF($J218=0,0,IFERROR(MATCH(INDEX(ROTACAO_RDM!$N$6:$N$71,$J218),PARAMETROS_CULTURAS!$B$6:$B$28,0),0))</f>
        <v>2</v>
      </c>
      <c r="Q218" s="8" t="str">
        <f aca="false">IF($P218=0,"-",IF($O218&lt;=INDEX(PARAMETROS_CULTURAS!$F$6:$F$28,$P218),"INICIAL",IF($O218&lt;=INDEX(PARAMETROS_CULTURAS!$F$6:$F$28,$P218)+INDEX(PARAMETROS_CULTURAS!$G$6:$G$28,$P218),"DESENVOLVIMENTO",IF($O218&lt;=INDEX(PARAMETROS_CULTURAS!$F$6:$F$28,$P218)+INDEX(PARAMETROS_CULTURAS!$G$6:$G$28,$P218)+INDEX(PARAMETROS_CULTURAS!$H$6:$H$28,$P218),"MEDIA","FINAL"))))</f>
        <v>MEDIA</v>
      </c>
      <c r="R218" s="24" t="n">
        <f aca="false">IF($P218=0,0,IF($O218&lt;=INDEX(PARAMETROS_CULTURAS!$F$6:$F$28,$P218),INDEX(PARAMETROS_CULTURAS!$K$6:$K$28,$P218),IF($O218&lt;=INDEX(PARAMETROS_CULTURAS!$F$6:$F$28,$P218)+INDEX(PARAMETROS_CULTURAS!$G$6:$G$28,$P218),INDEX(PARAMETROS_CULTURAS!$K$6:$K$28,$P218)+(INDEX(PARAMETROS_CULTURAS!$L$6:$L$28,$P218)-INDEX(PARAMETROS_CULTURAS!$K$6:$K$28,$P218))*($O218-INDEX(PARAMETROS_CULTURAS!$F$6:$F$28,$P218))/MAX(INDEX(PARAMETROS_CULTURAS!$G$6:$G$28,$P218),0.0001),IF($O218&lt;=INDEX(PARAMETROS_CULTURAS!$F$6:$F$28,$P218)+INDEX(PARAMETROS_CULTURAS!$G$6:$G$28,$P218)+INDEX(PARAMETROS_CULTURAS!$H$6:$H$28,$P218),INDEX(PARAMETROS_CULTURAS!$L$6:$L$28,$P218),INDEX(PARAMETROS_CULTURAS!$L$6:$L$28,$P218)+(INDEX(PARAMETROS_CULTURAS!$M$6:$M$28,$P218)-INDEX(PARAMETROS_CULTURAS!$L$6:$L$28,$P218))*($O218-INDEX(PARAMETROS_CULTURAS!$F$6:$F$28,$P218)-INDEX(PARAMETROS_CULTURAS!$G$6:$G$28,$P218)-INDEX(PARAMETROS_CULTURAS!$H$6:$H$28,$P218))/MAX(INDEX(PARAMETROS_CULTURAS!$I$6:$I$28,$P218),0.0001)))))</f>
        <v>1.15</v>
      </c>
      <c r="S218" s="18" t="n">
        <f aca="false">IFERROR(INDEX(SEMANAS!$H$6:$H$71,MATCH($B218,SEMANAS!$B$6:$B$71,0)),0)</f>
        <v>32.9</v>
      </c>
      <c r="T218" s="18" t="n">
        <f aca="false">$R218*$S218</f>
        <v>37.835</v>
      </c>
      <c r="U218" s="18" t="n">
        <f aca="false">IFERROR(INDEX(SEMANAS!$I$6:$I$71,MATCH($B218,SEMANAS!$B$6:$B$71,0)),0)</f>
        <v>48.58</v>
      </c>
      <c r="V218" s="18" t="n">
        <f aca="false">IFERROR(INDEX(SEMANAS!$J$6:$J$71,MATCH($B218,SEMANAS!$B$6:$B$71,0)),0)</f>
        <v>38.864</v>
      </c>
      <c r="W218" s="18" t="n">
        <f aca="false">MAX(0,$T218-$V218)</f>
        <v>0</v>
      </c>
      <c r="X218" s="19" t="n">
        <f aca="false">IFERROR(INDEX(CADASTRO_PIVOS!$K$6:$K$41,MATCH($E218,CADASTRO_PIVOS!$B$6:$B$41,0)),EFICIENCIA_PADRAO)</f>
        <v>0.85</v>
      </c>
      <c r="Y218" s="18" t="n">
        <f aca="false">IF($X218&lt;=0,0,$W218/$X218)</f>
        <v>0</v>
      </c>
      <c r="Z218" s="16" t="n">
        <f aca="false">$Y218*$H218*MM_PARA_M3_HA</f>
        <v>0</v>
      </c>
      <c r="AA218" s="18" t="n">
        <f aca="false">IFERROR(INDEX(CADASTRO_PIVOS!$I$6:$I$41,MATCH($E218,CADASTRO_PIVOS!$B$6:$B$41,0)),0)</f>
        <v>701.428571428571</v>
      </c>
      <c r="AB218" s="18" t="n">
        <f aca="false">IF($Z218&lt;=0,0,$Z218/$AA218)</f>
        <v>0</v>
      </c>
      <c r="AC218" s="16" t="n">
        <f aca="false">IFERROR(INDEX(SEMANAS!$K$6:$K$71,MATCH($B218,SEMANAS!$B$6:$B$71,0)),0)</f>
        <v>147</v>
      </c>
      <c r="AD218" s="19" t="n">
        <f aca="false">IF($AC218&lt;=0,0,$AB218/$AC218)</f>
        <v>0</v>
      </c>
      <c r="AE218" s="8" t="str">
        <f aca="false">IF($K218="SEM CULTURA","SEM CULTURA",IF($AA218&lt;=0,"DADO PENDENTE",IF($AD218&gt;LIMITE_CRITICO,"INVIAVEL",IF($AD218&gt;LIMITE_ATENCAO,"CRITICO",IF($AD218&gt;LIMITE_CONFORTAVEL,"ATENCAO","OK")))))</f>
        <v>OK</v>
      </c>
      <c r="AF218" s="8" t="str">
        <f aca="false">$B218&amp;"|"&amp;TEXT($AD218,"0.000000")</f>
        <v>15|0.000000</v>
      </c>
      <c r="AG218" s="18" t="n">
        <f aca="false">IF($K218="SEM CULTURA",0,$T218*$H218)</f>
        <v>3715.397</v>
      </c>
      <c r="AH218" s="18" t="n">
        <f aca="false">IF($K218="SEM CULTURA",0,$V218*$H218)</f>
        <v>3816.4448</v>
      </c>
      <c r="AI218" s="18" t="n">
        <f aca="false">IF($K218="SEM CULTURA",0,$W218*$H218)</f>
        <v>0</v>
      </c>
      <c r="AJ218" s="18" t="n">
        <f aca="false">IF($K218="SEM CULTURA",0,$S218*$H218)</f>
        <v>3230.78</v>
      </c>
      <c r="AK218" s="8" t="str">
        <f aca="false">$E218&amp;"|"&amp;TEXT($AD218,"0.000000")</f>
        <v>PV 105|0.000000</v>
      </c>
    </row>
    <row r="219" customFormat="false" ht="15" hidden="false" customHeight="false" outlineLevel="0" collapsed="false">
      <c r="B219" s="16" t="n">
        <v>16</v>
      </c>
      <c r="C219" s="17" t="n">
        <f aca="false">DATA_INICIO_SAFRA+($B219-1)*DIAS_POR_SEMANA</f>
        <v>46370</v>
      </c>
      <c r="D219" s="17" t="n">
        <f aca="false">$C219+DIAS_POR_SEMANA-1</f>
        <v>46376</v>
      </c>
      <c r="E219" s="15" t="s">
        <v>262</v>
      </c>
      <c r="F219" s="8" t="str">
        <f aca="false">IFERROR(INDEX(CADASTRO_PIVOS!$C$6:$C$41,MATCH($E219,CADASTRO_PIVOS!$B$6:$B$41,0)),"?")</f>
        <v>RM03</v>
      </c>
      <c r="G219" s="8" t="str">
        <f aca="false">IFERROR(INDEX(CADASTRO_PIVOS!$D$6:$D$41,MATCH($E219,CADASTRO_PIVOS!$B$6:$B$41,0)),"?")</f>
        <v>TR03</v>
      </c>
      <c r="H219" s="20" t="n">
        <f aca="false">IFERROR(INDEX(CADASTRO_PIVOS!$E$6:$E$41,MATCH($E219,CADASTRO_PIVOS!$B$6:$B$41,0)),0)</f>
        <v>98.2</v>
      </c>
      <c r="I219" s="16" t="n">
        <f aca="false">IFERROR(SUMIFS(ROTACAO_RDM!$B$6:$B$71,ROTACAO_RDM!$D$6:$D$71,$E219,ROTACAO_RDM!$I$6:$I$71,"&lt;="&amp;$C219+INT(DIAS_POR_SEMANA/2),ROTACAO_RDM!$J$6:$J$71,"&gt;="&amp;$C219+INT(DIAS_POR_SEMANA/2)),0)</f>
        <v>7</v>
      </c>
      <c r="J219" s="16" t="n">
        <f aca="false">IFERROR(MATCH($I219,ROTACAO_RDM!$B$6:$B$71,0),0)</f>
        <v>7</v>
      </c>
      <c r="K219" s="8" t="str">
        <f aca="false">IF($J219=0,"SEM CULTURA",INDEX(ROTACAO_RDM!$F$6:$F$71,$J219))</f>
        <v>SOJA</v>
      </c>
      <c r="L219" s="8" t="str">
        <f aca="false">IF($J219=0,"",INDEX(ROTACAO_RDM!$G$6:$G$71,$J219))</f>
        <v>COMBATE IPRO</v>
      </c>
      <c r="M219" s="17" t="n">
        <f aca="false">IF($J219=0,"",INDEX(ROTACAO_RDM!$I$6:$I$71,$J219))</f>
        <v>46293</v>
      </c>
      <c r="N219" s="16" t="n">
        <f aca="false">IF($J219=0,0,MAX(0,$C219+INT(DIAS_POR_SEMANA/2)-INDEX(ROTACAO_RDM!$I$6:$I$71,$J219)))</f>
        <v>80</v>
      </c>
      <c r="O219" s="19" t="n">
        <f aca="false">IF($J219=0,0,MIN(1,$N219/MAX(1,INDEX(ROTACAO_RDM!$K$6:$K$71,$J219))))</f>
        <v>0.701754385964912</v>
      </c>
      <c r="P219" s="16" t="n">
        <f aca="false">IF($J219=0,0,IFERROR(MATCH(INDEX(ROTACAO_RDM!$N$6:$N$71,$J219),PARAMETROS_CULTURAS!$B$6:$B$28,0),0))</f>
        <v>2</v>
      </c>
      <c r="Q219" s="8" t="str">
        <f aca="false">IF($P219=0,"-",IF($O219&lt;=INDEX(PARAMETROS_CULTURAS!$F$6:$F$28,$P219),"INICIAL",IF($O219&lt;=INDEX(PARAMETROS_CULTURAS!$F$6:$F$28,$P219)+INDEX(PARAMETROS_CULTURAS!$G$6:$G$28,$P219),"DESENVOLVIMENTO",IF($O219&lt;=INDEX(PARAMETROS_CULTURAS!$F$6:$F$28,$P219)+INDEX(PARAMETROS_CULTURAS!$G$6:$G$28,$P219)+INDEX(PARAMETROS_CULTURAS!$H$6:$H$28,$P219),"MEDIA","FINAL"))))</f>
        <v>MEDIA</v>
      </c>
      <c r="R219" s="24" t="n">
        <f aca="false">IF($P219=0,0,IF($O219&lt;=INDEX(PARAMETROS_CULTURAS!$F$6:$F$28,$P219),INDEX(PARAMETROS_CULTURAS!$K$6:$K$28,$P219),IF($O219&lt;=INDEX(PARAMETROS_CULTURAS!$F$6:$F$28,$P219)+INDEX(PARAMETROS_CULTURAS!$G$6:$G$28,$P219),INDEX(PARAMETROS_CULTURAS!$K$6:$K$28,$P219)+(INDEX(PARAMETROS_CULTURAS!$L$6:$L$28,$P219)-INDEX(PARAMETROS_CULTURAS!$K$6:$K$28,$P219))*($O219-INDEX(PARAMETROS_CULTURAS!$F$6:$F$28,$P219))/MAX(INDEX(PARAMETROS_CULTURAS!$G$6:$G$28,$P219),0.0001),IF($O219&lt;=INDEX(PARAMETROS_CULTURAS!$F$6:$F$28,$P219)+INDEX(PARAMETROS_CULTURAS!$G$6:$G$28,$P219)+INDEX(PARAMETROS_CULTURAS!$H$6:$H$28,$P219),INDEX(PARAMETROS_CULTURAS!$L$6:$L$28,$P219),INDEX(PARAMETROS_CULTURAS!$L$6:$L$28,$P219)+(INDEX(PARAMETROS_CULTURAS!$M$6:$M$28,$P219)-INDEX(PARAMETROS_CULTURAS!$L$6:$L$28,$P219))*($O219-INDEX(PARAMETROS_CULTURAS!$F$6:$F$28,$P219)-INDEX(PARAMETROS_CULTURAS!$G$6:$G$28,$P219)-INDEX(PARAMETROS_CULTURAS!$H$6:$H$28,$P219))/MAX(INDEX(PARAMETROS_CULTURAS!$I$6:$I$28,$P219),0.0001)))))</f>
        <v>1.15</v>
      </c>
      <c r="S219" s="18" t="n">
        <f aca="false">IFERROR(INDEX(SEMANAS!$H$6:$H$71,MATCH($B219,SEMANAS!$B$6:$B$71,0)),0)</f>
        <v>32.9</v>
      </c>
      <c r="T219" s="18" t="n">
        <f aca="false">$R219*$S219</f>
        <v>37.835</v>
      </c>
      <c r="U219" s="18" t="n">
        <f aca="false">IFERROR(INDEX(SEMANAS!$I$6:$I$71,MATCH($B219,SEMANAS!$B$6:$B$71,0)),0)</f>
        <v>48.58</v>
      </c>
      <c r="V219" s="18" t="n">
        <f aca="false">IFERROR(INDEX(SEMANAS!$J$6:$J$71,MATCH($B219,SEMANAS!$B$6:$B$71,0)),0)</f>
        <v>38.864</v>
      </c>
      <c r="W219" s="18" t="n">
        <f aca="false">MAX(0,$T219-$V219)</f>
        <v>0</v>
      </c>
      <c r="X219" s="19" t="n">
        <f aca="false">IFERROR(INDEX(CADASTRO_PIVOS!$K$6:$K$41,MATCH($E219,CADASTRO_PIVOS!$B$6:$B$41,0)),EFICIENCIA_PADRAO)</f>
        <v>0.85</v>
      </c>
      <c r="Y219" s="18" t="n">
        <f aca="false">IF($X219&lt;=0,0,$W219/$X219)</f>
        <v>0</v>
      </c>
      <c r="Z219" s="16" t="n">
        <f aca="false">$Y219*$H219*MM_PARA_M3_HA</f>
        <v>0</v>
      </c>
      <c r="AA219" s="18" t="n">
        <f aca="false">IFERROR(INDEX(CADASTRO_PIVOS!$I$6:$I$41,MATCH($E219,CADASTRO_PIVOS!$B$6:$B$41,0)),0)</f>
        <v>701.428571428571</v>
      </c>
      <c r="AB219" s="18" t="n">
        <f aca="false">IF($Z219&lt;=0,0,$Z219/$AA219)</f>
        <v>0</v>
      </c>
      <c r="AC219" s="16" t="n">
        <f aca="false">IFERROR(INDEX(SEMANAS!$K$6:$K$71,MATCH($B219,SEMANAS!$B$6:$B$71,0)),0)</f>
        <v>147</v>
      </c>
      <c r="AD219" s="19" t="n">
        <f aca="false">IF($AC219&lt;=0,0,$AB219/$AC219)</f>
        <v>0</v>
      </c>
      <c r="AE219" s="8" t="str">
        <f aca="false">IF($K219="SEM CULTURA","SEM CULTURA",IF($AA219&lt;=0,"DADO PENDENTE",IF($AD219&gt;LIMITE_CRITICO,"INVIAVEL",IF($AD219&gt;LIMITE_ATENCAO,"CRITICO",IF($AD219&gt;LIMITE_CONFORTAVEL,"ATENCAO","OK")))))</f>
        <v>OK</v>
      </c>
      <c r="AF219" s="8" t="str">
        <f aca="false">$B219&amp;"|"&amp;TEXT($AD219,"0.000000")</f>
        <v>16|0.000000</v>
      </c>
      <c r="AG219" s="18" t="n">
        <f aca="false">IF($K219="SEM CULTURA",0,$T219*$H219)</f>
        <v>3715.397</v>
      </c>
      <c r="AH219" s="18" t="n">
        <f aca="false">IF($K219="SEM CULTURA",0,$V219*$H219)</f>
        <v>3816.4448</v>
      </c>
      <c r="AI219" s="18" t="n">
        <f aca="false">IF($K219="SEM CULTURA",0,$W219*$H219)</f>
        <v>0</v>
      </c>
      <c r="AJ219" s="18" t="n">
        <f aca="false">IF($K219="SEM CULTURA",0,$S219*$H219)</f>
        <v>3230.78</v>
      </c>
      <c r="AK219" s="8" t="str">
        <f aca="false">$E219&amp;"|"&amp;TEXT($AD219,"0.000000")</f>
        <v>PV 105|0.000000</v>
      </c>
    </row>
    <row r="220" customFormat="false" ht="15" hidden="false" customHeight="false" outlineLevel="0" collapsed="false">
      <c r="B220" s="16" t="n">
        <v>17</v>
      </c>
      <c r="C220" s="17" t="n">
        <f aca="false">DATA_INICIO_SAFRA+($B220-1)*DIAS_POR_SEMANA</f>
        <v>46377</v>
      </c>
      <c r="D220" s="17" t="n">
        <f aca="false">$C220+DIAS_POR_SEMANA-1</f>
        <v>46383</v>
      </c>
      <c r="E220" s="15" t="s">
        <v>262</v>
      </c>
      <c r="F220" s="8" t="str">
        <f aca="false">IFERROR(INDEX(CADASTRO_PIVOS!$C$6:$C$41,MATCH($E220,CADASTRO_PIVOS!$B$6:$B$41,0)),"?")</f>
        <v>RM03</v>
      </c>
      <c r="G220" s="8" t="str">
        <f aca="false">IFERROR(INDEX(CADASTRO_PIVOS!$D$6:$D$41,MATCH($E220,CADASTRO_PIVOS!$B$6:$B$41,0)),"?")</f>
        <v>TR03</v>
      </c>
      <c r="H220" s="20" t="n">
        <f aca="false">IFERROR(INDEX(CADASTRO_PIVOS!$E$6:$E$41,MATCH($E220,CADASTRO_PIVOS!$B$6:$B$41,0)),0)</f>
        <v>98.2</v>
      </c>
      <c r="I220" s="16" t="n">
        <f aca="false">IFERROR(SUMIFS(ROTACAO_RDM!$B$6:$B$71,ROTACAO_RDM!$D$6:$D$71,$E220,ROTACAO_RDM!$I$6:$I$71,"&lt;="&amp;$C220+INT(DIAS_POR_SEMANA/2),ROTACAO_RDM!$J$6:$J$71,"&gt;="&amp;$C220+INT(DIAS_POR_SEMANA/2)),0)</f>
        <v>7</v>
      </c>
      <c r="J220" s="16" t="n">
        <f aca="false">IFERROR(MATCH($I220,ROTACAO_RDM!$B$6:$B$71,0),0)</f>
        <v>7</v>
      </c>
      <c r="K220" s="8" t="str">
        <f aca="false">IF($J220=0,"SEM CULTURA",INDEX(ROTACAO_RDM!$F$6:$F$71,$J220))</f>
        <v>SOJA</v>
      </c>
      <c r="L220" s="8" t="str">
        <f aca="false">IF($J220=0,"",INDEX(ROTACAO_RDM!$G$6:$G$71,$J220))</f>
        <v>COMBATE IPRO</v>
      </c>
      <c r="M220" s="17" t="n">
        <f aca="false">IF($J220=0,"",INDEX(ROTACAO_RDM!$I$6:$I$71,$J220))</f>
        <v>46293</v>
      </c>
      <c r="N220" s="16" t="n">
        <f aca="false">IF($J220=0,0,MAX(0,$C220+INT(DIAS_POR_SEMANA/2)-INDEX(ROTACAO_RDM!$I$6:$I$71,$J220)))</f>
        <v>87</v>
      </c>
      <c r="O220" s="19" t="n">
        <f aca="false">IF($J220=0,0,MIN(1,$N220/MAX(1,INDEX(ROTACAO_RDM!$K$6:$K$71,$J220))))</f>
        <v>0.763157894736842</v>
      </c>
      <c r="P220" s="16" t="n">
        <f aca="false">IF($J220=0,0,IFERROR(MATCH(INDEX(ROTACAO_RDM!$N$6:$N$71,$J220),PARAMETROS_CULTURAS!$B$6:$B$28,0),0))</f>
        <v>2</v>
      </c>
      <c r="Q220" s="8" t="str">
        <f aca="false">IF($P220=0,"-",IF($O220&lt;=INDEX(PARAMETROS_CULTURAS!$F$6:$F$28,$P220),"INICIAL",IF($O220&lt;=INDEX(PARAMETROS_CULTURAS!$F$6:$F$28,$P220)+INDEX(PARAMETROS_CULTURAS!$G$6:$G$28,$P220),"DESENVOLVIMENTO",IF($O220&lt;=INDEX(PARAMETROS_CULTURAS!$F$6:$F$28,$P220)+INDEX(PARAMETROS_CULTURAS!$G$6:$G$28,$P220)+INDEX(PARAMETROS_CULTURAS!$H$6:$H$28,$P220),"MEDIA","FINAL"))))</f>
        <v>MEDIA</v>
      </c>
      <c r="R220" s="24" t="n">
        <f aca="false">IF($P220=0,0,IF($O220&lt;=INDEX(PARAMETROS_CULTURAS!$F$6:$F$28,$P220),INDEX(PARAMETROS_CULTURAS!$K$6:$K$28,$P220),IF($O220&lt;=INDEX(PARAMETROS_CULTURAS!$F$6:$F$28,$P220)+INDEX(PARAMETROS_CULTURAS!$G$6:$G$28,$P220),INDEX(PARAMETROS_CULTURAS!$K$6:$K$28,$P220)+(INDEX(PARAMETROS_CULTURAS!$L$6:$L$28,$P220)-INDEX(PARAMETROS_CULTURAS!$K$6:$K$28,$P220))*($O220-INDEX(PARAMETROS_CULTURAS!$F$6:$F$28,$P220))/MAX(INDEX(PARAMETROS_CULTURAS!$G$6:$G$28,$P220),0.0001),IF($O220&lt;=INDEX(PARAMETROS_CULTURAS!$F$6:$F$28,$P220)+INDEX(PARAMETROS_CULTURAS!$G$6:$G$28,$P220)+INDEX(PARAMETROS_CULTURAS!$H$6:$H$28,$P220),INDEX(PARAMETROS_CULTURAS!$L$6:$L$28,$P220),INDEX(PARAMETROS_CULTURAS!$L$6:$L$28,$P220)+(INDEX(PARAMETROS_CULTURAS!$M$6:$M$28,$P220)-INDEX(PARAMETROS_CULTURAS!$L$6:$L$28,$P220))*($O220-INDEX(PARAMETROS_CULTURAS!$F$6:$F$28,$P220)-INDEX(PARAMETROS_CULTURAS!$G$6:$G$28,$P220)-INDEX(PARAMETROS_CULTURAS!$H$6:$H$28,$P220))/MAX(INDEX(PARAMETROS_CULTURAS!$I$6:$I$28,$P220),0.0001)))))</f>
        <v>1.15</v>
      </c>
      <c r="S220" s="18" t="n">
        <f aca="false">IFERROR(INDEX(SEMANAS!$H$6:$H$71,MATCH($B220,SEMANAS!$B$6:$B$71,0)),0)</f>
        <v>32.9</v>
      </c>
      <c r="T220" s="18" t="n">
        <f aca="false">$R220*$S220</f>
        <v>37.835</v>
      </c>
      <c r="U220" s="18" t="n">
        <f aca="false">IFERROR(INDEX(SEMANAS!$I$6:$I$71,MATCH($B220,SEMANAS!$B$6:$B$71,0)),0)</f>
        <v>48.58</v>
      </c>
      <c r="V220" s="18" t="n">
        <f aca="false">IFERROR(INDEX(SEMANAS!$J$6:$J$71,MATCH($B220,SEMANAS!$B$6:$B$71,0)),0)</f>
        <v>38.864</v>
      </c>
      <c r="W220" s="18" t="n">
        <f aca="false">MAX(0,$T220-$V220)</f>
        <v>0</v>
      </c>
      <c r="X220" s="19" t="n">
        <f aca="false">IFERROR(INDEX(CADASTRO_PIVOS!$K$6:$K$41,MATCH($E220,CADASTRO_PIVOS!$B$6:$B$41,0)),EFICIENCIA_PADRAO)</f>
        <v>0.85</v>
      </c>
      <c r="Y220" s="18" t="n">
        <f aca="false">IF($X220&lt;=0,0,$W220/$X220)</f>
        <v>0</v>
      </c>
      <c r="Z220" s="16" t="n">
        <f aca="false">$Y220*$H220*MM_PARA_M3_HA</f>
        <v>0</v>
      </c>
      <c r="AA220" s="18" t="n">
        <f aca="false">IFERROR(INDEX(CADASTRO_PIVOS!$I$6:$I$41,MATCH($E220,CADASTRO_PIVOS!$B$6:$B$41,0)),0)</f>
        <v>701.428571428571</v>
      </c>
      <c r="AB220" s="18" t="n">
        <f aca="false">IF($Z220&lt;=0,0,$Z220/$AA220)</f>
        <v>0</v>
      </c>
      <c r="AC220" s="16" t="n">
        <f aca="false">IFERROR(INDEX(SEMANAS!$K$6:$K$71,MATCH($B220,SEMANAS!$B$6:$B$71,0)),0)</f>
        <v>147</v>
      </c>
      <c r="AD220" s="19" t="n">
        <f aca="false">IF($AC220&lt;=0,0,$AB220/$AC220)</f>
        <v>0</v>
      </c>
      <c r="AE220" s="8" t="str">
        <f aca="false">IF($K220="SEM CULTURA","SEM CULTURA",IF($AA220&lt;=0,"DADO PENDENTE",IF($AD220&gt;LIMITE_CRITICO,"INVIAVEL",IF($AD220&gt;LIMITE_ATENCAO,"CRITICO",IF($AD220&gt;LIMITE_CONFORTAVEL,"ATENCAO","OK")))))</f>
        <v>OK</v>
      </c>
      <c r="AF220" s="8" t="str">
        <f aca="false">$B220&amp;"|"&amp;TEXT($AD220,"0.000000")</f>
        <v>17|0.000000</v>
      </c>
      <c r="AG220" s="18" t="n">
        <f aca="false">IF($K220="SEM CULTURA",0,$T220*$H220)</f>
        <v>3715.397</v>
      </c>
      <c r="AH220" s="18" t="n">
        <f aca="false">IF($K220="SEM CULTURA",0,$V220*$H220)</f>
        <v>3816.4448</v>
      </c>
      <c r="AI220" s="18" t="n">
        <f aca="false">IF($K220="SEM CULTURA",0,$W220*$H220)</f>
        <v>0</v>
      </c>
      <c r="AJ220" s="18" t="n">
        <f aca="false">IF($K220="SEM CULTURA",0,$S220*$H220)</f>
        <v>3230.78</v>
      </c>
      <c r="AK220" s="8" t="str">
        <f aca="false">$E220&amp;"|"&amp;TEXT($AD220,"0.000000")</f>
        <v>PV 105|0.000000</v>
      </c>
    </row>
    <row r="221" customFormat="false" ht="15" hidden="false" customHeight="false" outlineLevel="0" collapsed="false">
      <c r="B221" s="16" t="n">
        <v>18</v>
      </c>
      <c r="C221" s="17" t="n">
        <f aca="false">DATA_INICIO_SAFRA+($B221-1)*DIAS_POR_SEMANA</f>
        <v>46384</v>
      </c>
      <c r="D221" s="17" t="n">
        <f aca="false">$C221+DIAS_POR_SEMANA-1</f>
        <v>46390</v>
      </c>
      <c r="E221" s="15" t="s">
        <v>262</v>
      </c>
      <c r="F221" s="8" t="str">
        <f aca="false">IFERROR(INDEX(CADASTRO_PIVOS!$C$6:$C$41,MATCH($E221,CADASTRO_PIVOS!$B$6:$B$41,0)),"?")</f>
        <v>RM03</v>
      </c>
      <c r="G221" s="8" t="str">
        <f aca="false">IFERROR(INDEX(CADASTRO_PIVOS!$D$6:$D$41,MATCH($E221,CADASTRO_PIVOS!$B$6:$B$41,0)),"?")</f>
        <v>TR03</v>
      </c>
      <c r="H221" s="20" t="n">
        <f aca="false">IFERROR(INDEX(CADASTRO_PIVOS!$E$6:$E$41,MATCH($E221,CADASTRO_PIVOS!$B$6:$B$41,0)),0)</f>
        <v>98.2</v>
      </c>
      <c r="I221" s="16" t="n">
        <f aca="false">IFERROR(SUMIFS(ROTACAO_RDM!$B$6:$B$71,ROTACAO_RDM!$D$6:$D$71,$E221,ROTACAO_RDM!$I$6:$I$71,"&lt;="&amp;$C221+INT(DIAS_POR_SEMANA/2),ROTACAO_RDM!$J$6:$J$71,"&gt;="&amp;$C221+INT(DIAS_POR_SEMANA/2)),0)</f>
        <v>7</v>
      </c>
      <c r="J221" s="16" t="n">
        <f aca="false">IFERROR(MATCH($I221,ROTACAO_RDM!$B$6:$B$71,0),0)</f>
        <v>7</v>
      </c>
      <c r="K221" s="8" t="str">
        <f aca="false">IF($J221=0,"SEM CULTURA",INDEX(ROTACAO_RDM!$F$6:$F$71,$J221))</f>
        <v>SOJA</v>
      </c>
      <c r="L221" s="8" t="str">
        <f aca="false">IF($J221=0,"",INDEX(ROTACAO_RDM!$G$6:$G$71,$J221))</f>
        <v>COMBATE IPRO</v>
      </c>
      <c r="M221" s="17" t="n">
        <f aca="false">IF($J221=0,"",INDEX(ROTACAO_RDM!$I$6:$I$71,$J221))</f>
        <v>46293</v>
      </c>
      <c r="N221" s="16" t="n">
        <f aca="false">IF($J221=0,0,MAX(0,$C221+INT(DIAS_POR_SEMANA/2)-INDEX(ROTACAO_RDM!$I$6:$I$71,$J221)))</f>
        <v>94</v>
      </c>
      <c r="O221" s="19" t="n">
        <f aca="false">IF($J221=0,0,MIN(1,$N221/MAX(1,INDEX(ROTACAO_RDM!$K$6:$K$71,$J221))))</f>
        <v>0.824561403508772</v>
      </c>
      <c r="P221" s="16" t="n">
        <f aca="false">IF($J221=0,0,IFERROR(MATCH(INDEX(ROTACAO_RDM!$N$6:$N$71,$J221),PARAMETROS_CULTURAS!$B$6:$B$28,0),0))</f>
        <v>2</v>
      </c>
      <c r="Q221" s="8" t="str">
        <f aca="false">IF($P221=0,"-",IF($O221&lt;=INDEX(PARAMETROS_CULTURAS!$F$6:$F$28,$P221),"INICIAL",IF($O221&lt;=INDEX(PARAMETROS_CULTURAS!$F$6:$F$28,$P221)+INDEX(PARAMETROS_CULTURAS!$G$6:$G$28,$P221),"DESENVOLVIMENTO",IF($O221&lt;=INDEX(PARAMETROS_CULTURAS!$F$6:$F$28,$P221)+INDEX(PARAMETROS_CULTURAS!$G$6:$G$28,$P221)+INDEX(PARAMETROS_CULTURAS!$H$6:$H$28,$P221),"MEDIA","FINAL"))))</f>
        <v>FINAL</v>
      </c>
      <c r="R221" s="24" t="n">
        <f aca="false">IF($P221=0,0,IF($O221&lt;=INDEX(PARAMETROS_CULTURAS!$F$6:$F$28,$P221),INDEX(PARAMETROS_CULTURAS!$K$6:$K$28,$P221),IF($O221&lt;=INDEX(PARAMETROS_CULTURAS!$F$6:$F$28,$P221)+INDEX(PARAMETROS_CULTURAS!$G$6:$G$28,$P221),INDEX(PARAMETROS_CULTURAS!$K$6:$K$28,$P221)+(INDEX(PARAMETROS_CULTURAS!$L$6:$L$28,$P221)-INDEX(PARAMETROS_CULTURAS!$K$6:$K$28,$P221))*($O221-INDEX(PARAMETROS_CULTURAS!$F$6:$F$28,$P221))/MAX(INDEX(PARAMETROS_CULTURAS!$G$6:$G$28,$P221),0.0001),IF($O221&lt;=INDEX(PARAMETROS_CULTURAS!$F$6:$F$28,$P221)+INDEX(PARAMETROS_CULTURAS!$G$6:$G$28,$P221)+INDEX(PARAMETROS_CULTURAS!$H$6:$H$28,$P221),INDEX(PARAMETROS_CULTURAS!$L$6:$L$28,$P221),INDEX(PARAMETROS_CULTURAS!$L$6:$L$28,$P221)+(INDEX(PARAMETROS_CULTURAS!$M$6:$M$28,$P221)-INDEX(PARAMETROS_CULTURAS!$L$6:$L$28,$P221))*($O221-INDEX(PARAMETROS_CULTURAS!$F$6:$F$28,$P221)-INDEX(PARAMETROS_CULTURAS!$G$6:$G$28,$P221)-INDEX(PARAMETROS_CULTURAS!$H$6:$H$28,$P221))/MAX(INDEX(PARAMETROS_CULTURAS!$I$6:$I$28,$P221),0.0001)))))</f>
        <v>1.10018467220683</v>
      </c>
      <c r="S221" s="18" t="n">
        <f aca="false">IFERROR(INDEX(SEMANAS!$H$6:$H$71,MATCH($B221,SEMANAS!$B$6:$B$71,0)),0)</f>
        <v>33.2</v>
      </c>
      <c r="T221" s="18" t="n">
        <f aca="false">$R221*$S221</f>
        <v>36.5261311172669</v>
      </c>
      <c r="U221" s="18" t="n">
        <f aca="false">IFERROR(INDEX(SEMANAS!$I$6:$I$71,MATCH($B221,SEMANAS!$B$6:$B$71,0)),0)</f>
        <v>47.11</v>
      </c>
      <c r="V221" s="18" t="n">
        <f aca="false">IFERROR(INDEX(SEMANAS!$J$6:$J$71,MATCH($B221,SEMANAS!$B$6:$B$71,0)),0)</f>
        <v>37.688</v>
      </c>
      <c r="W221" s="18" t="n">
        <f aca="false">MAX(0,$T221-$V221)</f>
        <v>0</v>
      </c>
      <c r="X221" s="19" t="n">
        <f aca="false">IFERROR(INDEX(CADASTRO_PIVOS!$K$6:$K$41,MATCH($E221,CADASTRO_PIVOS!$B$6:$B$41,0)),EFICIENCIA_PADRAO)</f>
        <v>0.85</v>
      </c>
      <c r="Y221" s="18" t="n">
        <f aca="false">IF($X221&lt;=0,0,$W221/$X221)</f>
        <v>0</v>
      </c>
      <c r="Z221" s="16" t="n">
        <f aca="false">$Y221*$H221*MM_PARA_M3_HA</f>
        <v>0</v>
      </c>
      <c r="AA221" s="18" t="n">
        <f aca="false">IFERROR(INDEX(CADASTRO_PIVOS!$I$6:$I$41,MATCH($E221,CADASTRO_PIVOS!$B$6:$B$41,0)),0)</f>
        <v>701.428571428571</v>
      </c>
      <c r="AB221" s="18" t="n">
        <f aca="false">IF($Z221&lt;=0,0,$Z221/$AA221)</f>
        <v>0</v>
      </c>
      <c r="AC221" s="16" t="n">
        <f aca="false">IFERROR(INDEX(SEMANAS!$K$6:$K$71,MATCH($B221,SEMANAS!$B$6:$B$71,0)),0)</f>
        <v>147</v>
      </c>
      <c r="AD221" s="19" t="n">
        <f aca="false">IF($AC221&lt;=0,0,$AB221/$AC221)</f>
        <v>0</v>
      </c>
      <c r="AE221" s="8" t="str">
        <f aca="false">IF($K221="SEM CULTURA","SEM CULTURA",IF($AA221&lt;=0,"DADO PENDENTE",IF($AD221&gt;LIMITE_CRITICO,"INVIAVEL",IF($AD221&gt;LIMITE_ATENCAO,"CRITICO",IF($AD221&gt;LIMITE_CONFORTAVEL,"ATENCAO","OK")))))</f>
        <v>OK</v>
      </c>
      <c r="AF221" s="8" t="str">
        <f aca="false">$B221&amp;"|"&amp;TEXT($AD221,"0.000000")</f>
        <v>18|0.000000</v>
      </c>
      <c r="AG221" s="18" t="n">
        <f aca="false">IF($K221="SEM CULTURA",0,$T221*$H221)</f>
        <v>3586.86607571561</v>
      </c>
      <c r="AH221" s="18" t="n">
        <f aca="false">IF($K221="SEM CULTURA",0,$V221*$H221)</f>
        <v>3700.9616</v>
      </c>
      <c r="AI221" s="18" t="n">
        <f aca="false">IF($K221="SEM CULTURA",0,$W221*$H221)</f>
        <v>0</v>
      </c>
      <c r="AJ221" s="18" t="n">
        <f aca="false">IF($K221="SEM CULTURA",0,$S221*$H221)</f>
        <v>3260.24</v>
      </c>
      <c r="AK221" s="8" t="str">
        <f aca="false">$E221&amp;"|"&amp;TEXT($AD221,"0.000000")</f>
        <v>PV 105|0.000000</v>
      </c>
    </row>
    <row r="222" customFormat="false" ht="15" hidden="false" customHeight="false" outlineLevel="0" collapsed="false">
      <c r="B222" s="16" t="n">
        <v>19</v>
      </c>
      <c r="C222" s="17" t="n">
        <f aca="false">DATA_INICIO_SAFRA+($B222-1)*DIAS_POR_SEMANA</f>
        <v>46391</v>
      </c>
      <c r="D222" s="17" t="n">
        <f aca="false">$C222+DIAS_POR_SEMANA-1</f>
        <v>46397</v>
      </c>
      <c r="E222" s="15" t="s">
        <v>262</v>
      </c>
      <c r="F222" s="8" t="str">
        <f aca="false">IFERROR(INDEX(CADASTRO_PIVOS!$C$6:$C$41,MATCH($E222,CADASTRO_PIVOS!$B$6:$B$41,0)),"?")</f>
        <v>RM03</v>
      </c>
      <c r="G222" s="8" t="str">
        <f aca="false">IFERROR(INDEX(CADASTRO_PIVOS!$D$6:$D$41,MATCH($E222,CADASTRO_PIVOS!$B$6:$B$41,0)),"?")</f>
        <v>TR03</v>
      </c>
      <c r="H222" s="20" t="n">
        <f aca="false">IFERROR(INDEX(CADASTRO_PIVOS!$E$6:$E$41,MATCH($E222,CADASTRO_PIVOS!$B$6:$B$41,0)),0)</f>
        <v>98.2</v>
      </c>
      <c r="I222" s="16" t="n">
        <f aca="false">IFERROR(SUMIFS(ROTACAO_RDM!$B$6:$B$71,ROTACAO_RDM!$D$6:$D$71,$E222,ROTACAO_RDM!$I$6:$I$71,"&lt;="&amp;$C222+INT(DIAS_POR_SEMANA/2),ROTACAO_RDM!$J$6:$J$71,"&gt;="&amp;$C222+INT(DIAS_POR_SEMANA/2)),0)</f>
        <v>7</v>
      </c>
      <c r="J222" s="16" t="n">
        <f aca="false">IFERROR(MATCH($I222,ROTACAO_RDM!$B$6:$B$71,0),0)</f>
        <v>7</v>
      </c>
      <c r="K222" s="8" t="str">
        <f aca="false">IF($J222=0,"SEM CULTURA",INDEX(ROTACAO_RDM!$F$6:$F$71,$J222))</f>
        <v>SOJA</v>
      </c>
      <c r="L222" s="8" t="str">
        <f aca="false">IF($J222=0,"",INDEX(ROTACAO_RDM!$G$6:$G$71,$J222))</f>
        <v>COMBATE IPRO</v>
      </c>
      <c r="M222" s="17" t="n">
        <f aca="false">IF($J222=0,"",INDEX(ROTACAO_RDM!$I$6:$I$71,$J222))</f>
        <v>46293</v>
      </c>
      <c r="N222" s="16" t="n">
        <f aca="false">IF($J222=0,0,MAX(0,$C222+INT(DIAS_POR_SEMANA/2)-INDEX(ROTACAO_RDM!$I$6:$I$71,$J222)))</f>
        <v>101</v>
      </c>
      <c r="O222" s="19" t="n">
        <f aca="false">IF($J222=0,0,MIN(1,$N222/MAX(1,INDEX(ROTACAO_RDM!$K$6:$K$71,$J222))))</f>
        <v>0.885964912280702</v>
      </c>
      <c r="P222" s="16" t="n">
        <f aca="false">IF($J222=0,0,IFERROR(MATCH(INDEX(ROTACAO_RDM!$N$6:$N$71,$J222),PARAMETROS_CULTURAS!$B$6:$B$28,0),0))</f>
        <v>2</v>
      </c>
      <c r="Q222" s="8" t="str">
        <f aca="false">IF($P222=0,"-",IF($O222&lt;=INDEX(PARAMETROS_CULTURAS!$F$6:$F$28,$P222),"INICIAL",IF($O222&lt;=INDEX(PARAMETROS_CULTURAS!$F$6:$F$28,$P222)+INDEX(PARAMETROS_CULTURAS!$G$6:$G$28,$P222),"DESENVOLVIMENTO",IF($O222&lt;=INDEX(PARAMETROS_CULTURAS!$F$6:$F$28,$P222)+INDEX(PARAMETROS_CULTURAS!$G$6:$G$28,$P222)+INDEX(PARAMETROS_CULTURAS!$H$6:$H$28,$P222),"MEDIA","FINAL"))))</f>
        <v>FINAL</v>
      </c>
      <c r="R222" s="24" t="n">
        <f aca="false">IF($P222=0,0,IF($O222&lt;=INDEX(PARAMETROS_CULTURAS!$F$6:$F$28,$P222),INDEX(PARAMETROS_CULTURAS!$K$6:$K$28,$P222),IF($O222&lt;=INDEX(PARAMETROS_CULTURAS!$F$6:$F$28,$P222)+INDEX(PARAMETROS_CULTURAS!$G$6:$G$28,$P222),INDEX(PARAMETROS_CULTURAS!$K$6:$K$28,$P222)+(INDEX(PARAMETROS_CULTURAS!$L$6:$L$28,$P222)-INDEX(PARAMETROS_CULTURAS!$K$6:$K$28,$P222))*($O222-INDEX(PARAMETROS_CULTURAS!$F$6:$F$28,$P222))/MAX(INDEX(PARAMETROS_CULTURAS!$G$6:$G$28,$P222),0.0001),IF($O222&lt;=INDEX(PARAMETROS_CULTURAS!$F$6:$F$28,$P222)+INDEX(PARAMETROS_CULTURAS!$G$6:$G$28,$P222)+INDEX(PARAMETROS_CULTURAS!$H$6:$H$28,$P222),INDEX(PARAMETROS_CULTURAS!$L$6:$L$28,$P222),INDEX(PARAMETROS_CULTURAS!$L$6:$L$28,$P222)+(INDEX(PARAMETROS_CULTURAS!$M$6:$M$28,$P222)-INDEX(PARAMETROS_CULTURAS!$L$6:$L$28,$P222))*($O222-INDEX(PARAMETROS_CULTURAS!$F$6:$F$28,$P222)-INDEX(PARAMETROS_CULTURAS!$G$6:$G$28,$P222)-INDEX(PARAMETROS_CULTURAS!$H$6:$H$28,$P222))/MAX(INDEX(PARAMETROS_CULTURAS!$I$6:$I$28,$P222),0.0001)))))</f>
        <v>0.890120036934441</v>
      </c>
      <c r="S222" s="18" t="n">
        <f aca="false">IFERROR(INDEX(SEMANAS!$H$6:$H$71,MATCH($B222,SEMANAS!$B$6:$B$71,0)),0)</f>
        <v>33.6</v>
      </c>
      <c r="T222" s="18" t="n">
        <f aca="false">$R222*$S222</f>
        <v>29.9080332409972</v>
      </c>
      <c r="U222" s="18" t="n">
        <f aca="false">IFERROR(INDEX(SEMANAS!$I$6:$I$71,MATCH($B222,SEMANAS!$B$6:$B$71,0)),0)</f>
        <v>45.15</v>
      </c>
      <c r="V222" s="18" t="n">
        <f aca="false">IFERROR(INDEX(SEMANAS!$J$6:$J$71,MATCH($B222,SEMANAS!$B$6:$B$71,0)),0)</f>
        <v>36.12</v>
      </c>
      <c r="W222" s="18" t="n">
        <f aca="false">MAX(0,$T222-$V222)</f>
        <v>0</v>
      </c>
      <c r="X222" s="19" t="n">
        <f aca="false">IFERROR(INDEX(CADASTRO_PIVOS!$K$6:$K$41,MATCH($E222,CADASTRO_PIVOS!$B$6:$B$41,0)),EFICIENCIA_PADRAO)</f>
        <v>0.85</v>
      </c>
      <c r="Y222" s="18" t="n">
        <f aca="false">IF($X222&lt;=0,0,$W222/$X222)</f>
        <v>0</v>
      </c>
      <c r="Z222" s="16" t="n">
        <f aca="false">$Y222*$H222*MM_PARA_M3_HA</f>
        <v>0</v>
      </c>
      <c r="AA222" s="18" t="n">
        <f aca="false">IFERROR(INDEX(CADASTRO_PIVOS!$I$6:$I$41,MATCH($E222,CADASTRO_PIVOS!$B$6:$B$41,0)),0)</f>
        <v>701.428571428571</v>
      </c>
      <c r="AB222" s="18" t="n">
        <f aca="false">IF($Z222&lt;=0,0,$Z222/$AA222)</f>
        <v>0</v>
      </c>
      <c r="AC222" s="16" t="n">
        <f aca="false">IFERROR(INDEX(SEMANAS!$K$6:$K$71,MATCH($B222,SEMANAS!$B$6:$B$71,0)),0)</f>
        <v>147</v>
      </c>
      <c r="AD222" s="19" t="n">
        <f aca="false">IF($AC222&lt;=0,0,$AB222/$AC222)</f>
        <v>0</v>
      </c>
      <c r="AE222" s="8" t="str">
        <f aca="false">IF($K222="SEM CULTURA","SEM CULTURA",IF($AA222&lt;=0,"DADO PENDENTE",IF($AD222&gt;LIMITE_CRITICO,"INVIAVEL",IF($AD222&gt;LIMITE_ATENCAO,"CRITICO",IF($AD222&gt;LIMITE_CONFORTAVEL,"ATENCAO","OK")))))</f>
        <v>OK</v>
      </c>
      <c r="AF222" s="8" t="str">
        <f aca="false">$B222&amp;"|"&amp;TEXT($AD222,"0.000000")</f>
        <v>19|0.000000</v>
      </c>
      <c r="AG222" s="18" t="n">
        <f aca="false">IF($K222="SEM CULTURA",0,$T222*$H222)</f>
        <v>2936.96886426593</v>
      </c>
      <c r="AH222" s="18" t="n">
        <f aca="false">IF($K222="SEM CULTURA",0,$V222*$H222)</f>
        <v>3546.984</v>
      </c>
      <c r="AI222" s="18" t="n">
        <f aca="false">IF($K222="SEM CULTURA",0,$W222*$H222)</f>
        <v>0</v>
      </c>
      <c r="AJ222" s="18" t="n">
        <f aca="false">IF($K222="SEM CULTURA",0,$S222*$H222)</f>
        <v>3299.52</v>
      </c>
      <c r="AK222" s="8" t="str">
        <f aca="false">$E222&amp;"|"&amp;TEXT($AD222,"0.000000")</f>
        <v>PV 105|0.000000</v>
      </c>
    </row>
    <row r="223" customFormat="false" ht="15" hidden="false" customHeight="false" outlineLevel="0" collapsed="false">
      <c r="B223" s="16" t="n">
        <v>20</v>
      </c>
      <c r="C223" s="17" t="n">
        <f aca="false">DATA_INICIO_SAFRA+($B223-1)*DIAS_POR_SEMANA</f>
        <v>46398</v>
      </c>
      <c r="D223" s="17" t="n">
        <f aca="false">$C223+DIAS_POR_SEMANA-1</f>
        <v>46404</v>
      </c>
      <c r="E223" s="15" t="s">
        <v>262</v>
      </c>
      <c r="F223" s="8" t="str">
        <f aca="false">IFERROR(INDEX(CADASTRO_PIVOS!$C$6:$C$41,MATCH($E223,CADASTRO_PIVOS!$B$6:$B$41,0)),"?")</f>
        <v>RM03</v>
      </c>
      <c r="G223" s="8" t="str">
        <f aca="false">IFERROR(INDEX(CADASTRO_PIVOS!$D$6:$D$41,MATCH($E223,CADASTRO_PIVOS!$B$6:$B$41,0)),"?")</f>
        <v>TR03</v>
      </c>
      <c r="H223" s="20" t="n">
        <f aca="false">IFERROR(INDEX(CADASTRO_PIVOS!$E$6:$E$41,MATCH($E223,CADASTRO_PIVOS!$B$6:$B$41,0)),0)</f>
        <v>98.2</v>
      </c>
      <c r="I223" s="16" t="n">
        <f aca="false">IFERROR(SUMIFS(ROTACAO_RDM!$B$6:$B$71,ROTACAO_RDM!$D$6:$D$71,$E223,ROTACAO_RDM!$I$6:$I$71,"&lt;="&amp;$C223+INT(DIAS_POR_SEMANA/2),ROTACAO_RDM!$J$6:$J$71,"&gt;="&amp;$C223+INT(DIAS_POR_SEMANA/2)),0)</f>
        <v>7</v>
      </c>
      <c r="J223" s="16" t="n">
        <f aca="false">IFERROR(MATCH($I223,ROTACAO_RDM!$B$6:$B$71,0),0)</f>
        <v>7</v>
      </c>
      <c r="K223" s="8" t="str">
        <f aca="false">IF($J223=0,"SEM CULTURA",INDEX(ROTACAO_RDM!$F$6:$F$71,$J223))</f>
        <v>SOJA</v>
      </c>
      <c r="L223" s="8" t="str">
        <f aca="false">IF($J223=0,"",INDEX(ROTACAO_RDM!$G$6:$G$71,$J223))</f>
        <v>COMBATE IPRO</v>
      </c>
      <c r="M223" s="17" t="n">
        <f aca="false">IF($J223=0,"",INDEX(ROTACAO_RDM!$I$6:$I$71,$J223))</f>
        <v>46293</v>
      </c>
      <c r="N223" s="16" t="n">
        <f aca="false">IF($J223=0,0,MAX(0,$C223+INT(DIAS_POR_SEMANA/2)-INDEX(ROTACAO_RDM!$I$6:$I$71,$J223)))</f>
        <v>108</v>
      </c>
      <c r="O223" s="19" t="n">
        <f aca="false">IF($J223=0,0,MIN(1,$N223/MAX(1,INDEX(ROTACAO_RDM!$K$6:$K$71,$J223))))</f>
        <v>0.947368421052632</v>
      </c>
      <c r="P223" s="16" t="n">
        <f aca="false">IF($J223=0,0,IFERROR(MATCH(INDEX(ROTACAO_RDM!$N$6:$N$71,$J223),PARAMETROS_CULTURAS!$B$6:$B$28,0),0))</f>
        <v>2</v>
      </c>
      <c r="Q223" s="8" t="str">
        <f aca="false">IF($P223=0,"-",IF($O223&lt;=INDEX(PARAMETROS_CULTURAS!$F$6:$F$28,$P223),"INICIAL",IF($O223&lt;=INDEX(PARAMETROS_CULTURAS!$F$6:$F$28,$P223)+INDEX(PARAMETROS_CULTURAS!$G$6:$G$28,$P223),"DESENVOLVIMENTO",IF($O223&lt;=INDEX(PARAMETROS_CULTURAS!$F$6:$F$28,$P223)+INDEX(PARAMETROS_CULTURAS!$G$6:$G$28,$P223)+INDEX(PARAMETROS_CULTURAS!$H$6:$H$28,$P223),"MEDIA","FINAL"))))</f>
        <v>FINAL</v>
      </c>
      <c r="R223" s="24" t="n">
        <f aca="false">IF($P223=0,0,IF($O223&lt;=INDEX(PARAMETROS_CULTURAS!$F$6:$F$28,$P223),INDEX(PARAMETROS_CULTURAS!$K$6:$K$28,$P223),IF($O223&lt;=INDEX(PARAMETROS_CULTURAS!$F$6:$F$28,$P223)+INDEX(PARAMETROS_CULTURAS!$G$6:$G$28,$P223),INDEX(PARAMETROS_CULTURAS!$K$6:$K$28,$P223)+(INDEX(PARAMETROS_CULTURAS!$L$6:$L$28,$P223)-INDEX(PARAMETROS_CULTURAS!$K$6:$K$28,$P223))*($O223-INDEX(PARAMETROS_CULTURAS!$F$6:$F$28,$P223))/MAX(INDEX(PARAMETROS_CULTURAS!$G$6:$G$28,$P223),0.0001),IF($O223&lt;=INDEX(PARAMETROS_CULTURAS!$F$6:$F$28,$P223)+INDEX(PARAMETROS_CULTURAS!$G$6:$G$28,$P223)+INDEX(PARAMETROS_CULTURAS!$H$6:$H$28,$P223),INDEX(PARAMETROS_CULTURAS!$L$6:$L$28,$P223),INDEX(PARAMETROS_CULTURAS!$L$6:$L$28,$P223)+(INDEX(PARAMETROS_CULTURAS!$M$6:$M$28,$P223)-INDEX(PARAMETROS_CULTURAS!$L$6:$L$28,$P223))*($O223-INDEX(PARAMETROS_CULTURAS!$F$6:$F$28,$P223)-INDEX(PARAMETROS_CULTURAS!$G$6:$G$28,$P223)-INDEX(PARAMETROS_CULTURAS!$H$6:$H$28,$P223))/MAX(INDEX(PARAMETROS_CULTURAS!$I$6:$I$28,$P223),0.0001)))))</f>
        <v>0.68005540166205</v>
      </c>
      <c r="S223" s="18" t="n">
        <f aca="false">IFERROR(INDEX(SEMANAS!$H$6:$H$71,MATCH($B223,SEMANAS!$B$6:$B$71,0)),0)</f>
        <v>33.6</v>
      </c>
      <c r="T223" s="18" t="n">
        <f aca="false">$R223*$S223</f>
        <v>22.8498614958449</v>
      </c>
      <c r="U223" s="18" t="n">
        <f aca="false">IFERROR(INDEX(SEMANAS!$I$6:$I$71,MATCH($B223,SEMANAS!$B$6:$B$71,0)),0)</f>
        <v>45.15</v>
      </c>
      <c r="V223" s="18" t="n">
        <f aca="false">IFERROR(INDEX(SEMANAS!$J$6:$J$71,MATCH($B223,SEMANAS!$B$6:$B$71,0)),0)</f>
        <v>36.12</v>
      </c>
      <c r="W223" s="18" t="n">
        <f aca="false">MAX(0,$T223-$V223)</f>
        <v>0</v>
      </c>
      <c r="X223" s="19" t="n">
        <f aca="false">IFERROR(INDEX(CADASTRO_PIVOS!$K$6:$K$41,MATCH($E223,CADASTRO_PIVOS!$B$6:$B$41,0)),EFICIENCIA_PADRAO)</f>
        <v>0.85</v>
      </c>
      <c r="Y223" s="18" t="n">
        <f aca="false">IF($X223&lt;=0,0,$W223/$X223)</f>
        <v>0</v>
      </c>
      <c r="Z223" s="16" t="n">
        <f aca="false">$Y223*$H223*MM_PARA_M3_HA</f>
        <v>0</v>
      </c>
      <c r="AA223" s="18" t="n">
        <f aca="false">IFERROR(INDEX(CADASTRO_PIVOS!$I$6:$I$41,MATCH($E223,CADASTRO_PIVOS!$B$6:$B$41,0)),0)</f>
        <v>701.428571428571</v>
      </c>
      <c r="AB223" s="18" t="n">
        <f aca="false">IF($Z223&lt;=0,0,$Z223/$AA223)</f>
        <v>0</v>
      </c>
      <c r="AC223" s="16" t="n">
        <f aca="false">IFERROR(INDEX(SEMANAS!$K$6:$K$71,MATCH($B223,SEMANAS!$B$6:$B$71,0)),0)</f>
        <v>147</v>
      </c>
      <c r="AD223" s="19" t="n">
        <f aca="false">IF($AC223&lt;=0,0,$AB223/$AC223)</f>
        <v>0</v>
      </c>
      <c r="AE223" s="8" t="str">
        <f aca="false">IF($K223="SEM CULTURA","SEM CULTURA",IF($AA223&lt;=0,"DADO PENDENTE",IF($AD223&gt;LIMITE_CRITICO,"INVIAVEL",IF($AD223&gt;LIMITE_ATENCAO,"CRITICO",IF($AD223&gt;LIMITE_CONFORTAVEL,"ATENCAO","OK")))))</f>
        <v>OK</v>
      </c>
      <c r="AF223" s="8" t="str">
        <f aca="false">$B223&amp;"|"&amp;TEXT($AD223,"0.000000")</f>
        <v>20|0.000000</v>
      </c>
      <c r="AG223" s="18" t="n">
        <f aca="false">IF($K223="SEM CULTURA",0,$T223*$H223)</f>
        <v>2243.85639889197</v>
      </c>
      <c r="AH223" s="18" t="n">
        <f aca="false">IF($K223="SEM CULTURA",0,$V223*$H223)</f>
        <v>3546.984</v>
      </c>
      <c r="AI223" s="18" t="n">
        <f aca="false">IF($K223="SEM CULTURA",0,$W223*$H223)</f>
        <v>0</v>
      </c>
      <c r="AJ223" s="18" t="n">
        <f aca="false">IF($K223="SEM CULTURA",0,$S223*$H223)</f>
        <v>3299.52</v>
      </c>
      <c r="AK223" s="8" t="str">
        <f aca="false">$E223&amp;"|"&amp;TEXT($AD223,"0.000000")</f>
        <v>PV 105|0.000000</v>
      </c>
    </row>
    <row r="224" customFormat="false" ht="15" hidden="false" customHeight="false" outlineLevel="0" collapsed="false">
      <c r="B224" s="16" t="n">
        <v>21</v>
      </c>
      <c r="C224" s="17" t="n">
        <f aca="false">DATA_INICIO_SAFRA+($B224-1)*DIAS_POR_SEMANA</f>
        <v>46405</v>
      </c>
      <c r="D224" s="17" t="n">
        <f aca="false">$C224+DIAS_POR_SEMANA-1</f>
        <v>46411</v>
      </c>
      <c r="E224" s="15" t="s">
        <v>262</v>
      </c>
      <c r="F224" s="8" t="str">
        <f aca="false">IFERROR(INDEX(CADASTRO_PIVOS!$C$6:$C$41,MATCH($E224,CADASTRO_PIVOS!$B$6:$B$41,0)),"?")</f>
        <v>RM03</v>
      </c>
      <c r="G224" s="8" t="str">
        <f aca="false">IFERROR(INDEX(CADASTRO_PIVOS!$D$6:$D$41,MATCH($E224,CADASTRO_PIVOS!$B$6:$B$41,0)),"?")</f>
        <v>TR03</v>
      </c>
      <c r="H224" s="20" t="n">
        <f aca="false">IFERROR(INDEX(CADASTRO_PIVOS!$E$6:$E$41,MATCH($E224,CADASTRO_PIVOS!$B$6:$B$41,0)),0)</f>
        <v>98.2</v>
      </c>
      <c r="I224" s="16" t="n">
        <f aca="false">IFERROR(SUMIFS(ROTACAO_RDM!$B$6:$B$71,ROTACAO_RDM!$D$6:$D$71,$E224,ROTACAO_RDM!$I$6:$I$71,"&lt;="&amp;$C224+INT(DIAS_POR_SEMANA/2),ROTACAO_RDM!$J$6:$J$71,"&gt;="&amp;$C224+INT(DIAS_POR_SEMANA/2)),0)</f>
        <v>0</v>
      </c>
      <c r="J224" s="16" t="n">
        <f aca="false">IFERROR(MATCH($I224,ROTACAO_RDM!$B$6:$B$71,0),0)</f>
        <v>0</v>
      </c>
      <c r="K224" s="8" t="str">
        <f aca="false">IF($J224=0,"SEM CULTURA",INDEX(ROTACAO_RDM!$F$6:$F$71,$J224))</f>
        <v>SEM CULTURA</v>
      </c>
      <c r="L224" s="8" t="str">
        <f aca="false">IF($J224=0,"",INDEX(ROTACAO_RDM!$G$6:$G$71,$J224))</f>
        <v/>
      </c>
      <c r="M224" s="17" t="str">
        <f aca="false">IF($J224=0,"",INDEX(ROTACAO_RDM!$I$6:$I$71,$J224))</f>
        <v/>
      </c>
      <c r="N224" s="16" t="n">
        <f aca="false">IF($J224=0,0,MAX(0,$C224+INT(DIAS_POR_SEMANA/2)-INDEX(ROTACAO_RDM!$I$6:$I$71,$J224)))</f>
        <v>0</v>
      </c>
      <c r="O224" s="19" t="n">
        <f aca="false">IF($J224=0,0,MIN(1,$N224/MAX(1,INDEX(ROTACAO_RDM!$K$6:$K$71,$J224))))</f>
        <v>0</v>
      </c>
      <c r="P224" s="16" t="n">
        <f aca="false">IF($J224=0,0,IFERROR(MATCH(INDEX(ROTACAO_RDM!$N$6:$N$71,$J224),PARAMETROS_CULTURAS!$B$6:$B$28,0),0))</f>
        <v>0</v>
      </c>
      <c r="Q224" s="8" t="str">
        <f aca="false">IF($P224=0,"-",IF($O224&lt;=INDEX(PARAMETROS_CULTURAS!$F$6:$F$28,$P224),"INICIAL",IF($O224&lt;=INDEX(PARAMETROS_CULTURAS!$F$6:$F$28,$P224)+INDEX(PARAMETROS_CULTURAS!$G$6:$G$28,$P224),"DESENVOLVIMENTO",IF($O224&lt;=INDEX(PARAMETROS_CULTURAS!$F$6:$F$28,$P224)+INDEX(PARAMETROS_CULTURAS!$G$6:$G$28,$P224)+INDEX(PARAMETROS_CULTURAS!$H$6:$H$28,$P224),"MEDIA","FINAL"))))</f>
        <v>-</v>
      </c>
      <c r="R224" s="24" t="n">
        <f aca="false">IF($P224=0,0,IF($O224&lt;=INDEX(PARAMETROS_CULTURAS!$F$6:$F$28,$P224),INDEX(PARAMETROS_CULTURAS!$K$6:$K$28,$P224),IF($O224&lt;=INDEX(PARAMETROS_CULTURAS!$F$6:$F$28,$P224)+INDEX(PARAMETROS_CULTURAS!$G$6:$G$28,$P224),INDEX(PARAMETROS_CULTURAS!$K$6:$K$28,$P224)+(INDEX(PARAMETROS_CULTURAS!$L$6:$L$28,$P224)-INDEX(PARAMETROS_CULTURAS!$K$6:$K$28,$P224))*($O224-INDEX(PARAMETROS_CULTURAS!$F$6:$F$28,$P224))/MAX(INDEX(PARAMETROS_CULTURAS!$G$6:$G$28,$P224),0.0001),IF($O224&lt;=INDEX(PARAMETROS_CULTURAS!$F$6:$F$28,$P224)+INDEX(PARAMETROS_CULTURAS!$G$6:$G$28,$P224)+INDEX(PARAMETROS_CULTURAS!$H$6:$H$28,$P224),INDEX(PARAMETROS_CULTURAS!$L$6:$L$28,$P224),INDEX(PARAMETROS_CULTURAS!$L$6:$L$28,$P224)+(INDEX(PARAMETROS_CULTURAS!$M$6:$M$28,$P224)-INDEX(PARAMETROS_CULTURAS!$L$6:$L$28,$P224))*($O224-INDEX(PARAMETROS_CULTURAS!$F$6:$F$28,$P224)-INDEX(PARAMETROS_CULTURAS!$G$6:$G$28,$P224)-INDEX(PARAMETROS_CULTURAS!$H$6:$H$28,$P224))/MAX(INDEX(PARAMETROS_CULTURAS!$I$6:$I$28,$P224),0.0001)))))</f>
        <v>0</v>
      </c>
      <c r="S224" s="18" t="n">
        <f aca="false">IFERROR(INDEX(SEMANAS!$H$6:$H$71,MATCH($B224,SEMANAS!$B$6:$B$71,0)),0)</f>
        <v>33.6</v>
      </c>
      <c r="T224" s="18" t="n">
        <f aca="false">$R224*$S224</f>
        <v>0</v>
      </c>
      <c r="U224" s="18" t="n">
        <f aca="false">IFERROR(INDEX(SEMANAS!$I$6:$I$71,MATCH($B224,SEMANAS!$B$6:$B$71,0)),0)</f>
        <v>45.15</v>
      </c>
      <c r="V224" s="18" t="n">
        <f aca="false">IFERROR(INDEX(SEMANAS!$J$6:$J$71,MATCH($B224,SEMANAS!$B$6:$B$71,0)),0)</f>
        <v>36.12</v>
      </c>
      <c r="W224" s="18" t="n">
        <f aca="false">MAX(0,$T224-$V224)</f>
        <v>0</v>
      </c>
      <c r="X224" s="19" t="n">
        <f aca="false">IFERROR(INDEX(CADASTRO_PIVOS!$K$6:$K$41,MATCH($E224,CADASTRO_PIVOS!$B$6:$B$41,0)),EFICIENCIA_PADRAO)</f>
        <v>0.85</v>
      </c>
      <c r="Y224" s="18" t="n">
        <f aca="false">IF($X224&lt;=0,0,$W224/$X224)</f>
        <v>0</v>
      </c>
      <c r="Z224" s="16" t="n">
        <f aca="false">$Y224*$H224*MM_PARA_M3_HA</f>
        <v>0</v>
      </c>
      <c r="AA224" s="18" t="n">
        <f aca="false">IFERROR(INDEX(CADASTRO_PIVOS!$I$6:$I$41,MATCH($E224,CADASTRO_PIVOS!$B$6:$B$41,0)),0)</f>
        <v>701.428571428571</v>
      </c>
      <c r="AB224" s="18" t="n">
        <f aca="false">IF($Z224&lt;=0,0,$Z224/$AA224)</f>
        <v>0</v>
      </c>
      <c r="AC224" s="16" t="n">
        <f aca="false">IFERROR(INDEX(SEMANAS!$K$6:$K$71,MATCH($B224,SEMANAS!$B$6:$B$71,0)),0)</f>
        <v>147</v>
      </c>
      <c r="AD224" s="19" t="n">
        <f aca="false">IF($AC224&lt;=0,0,$AB224/$AC224)</f>
        <v>0</v>
      </c>
      <c r="AE224" s="8" t="str">
        <f aca="false">IF($K224="SEM CULTURA","SEM CULTURA",IF($AA224&lt;=0,"DADO PENDENTE",IF($AD224&gt;LIMITE_CRITICO,"INVIAVEL",IF($AD224&gt;LIMITE_ATENCAO,"CRITICO",IF($AD224&gt;LIMITE_CONFORTAVEL,"ATENCAO","OK")))))</f>
        <v>SEM CULTURA</v>
      </c>
      <c r="AF224" s="8" t="str">
        <f aca="false">$B224&amp;"|"&amp;TEXT($AD224,"0.000000")</f>
        <v>21|0.000000</v>
      </c>
      <c r="AG224" s="18" t="n">
        <f aca="false">IF($K224="SEM CULTURA",0,$T224*$H224)</f>
        <v>0</v>
      </c>
      <c r="AH224" s="18" t="n">
        <f aca="false">IF($K224="SEM CULTURA",0,$V224*$H224)</f>
        <v>0</v>
      </c>
      <c r="AI224" s="18" t="n">
        <f aca="false">IF($K224="SEM CULTURA",0,$W224*$H224)</f>
        <v>0</v>
      </c>
      <c r="AJ224" s="18" t="n">
        <f aca="false">IF($K224="SEM CULTURA",0,$S224*$H224)</f>
        <v>0</v>
      </c>
      <c r="AK224" s="8" t="str">
        <f aca="false">$E224&amp;"|"&amp;TEXT($AD224,"0.000000")</f>
        <v>PV 105|0.000000</v>
      </c>
    </row>
    <row r="225" customFormat="false" ht="15" hidden="false" customHeight="false" outlineLevel="0" collapsed="false">
      <c r="B225" s="16" t="n">
        <v>22</v>
      </c>
      <c r="C225" s="17" t="n">
        <f aca="false">DATA_INICIO_SAFRA+($B225-1)*DIAS_POR_SEMANA</f>
        <v>46412</v>
      </c>
      <c r="D225" s="17" t="n">
        <f aca="false">$C225+DIAS_POR_SEMANA-1</f>
        <v>46418</v>
      </c>
      <c r="E225" s="15" t="s">
        <v>262</v>
      </c>
      <c r="F225" s="8" t="str">
        <f aca="false">IFERROR(INDEX(CADASTRO_PIVOS!$C$6:$C$41,MATCH($E225,CADASTRO_PIVOS!$B$6:$B$41,0)),"?")</f>
        <v>RM03</v>
      </c>
      <c r="G225" s="8" t="str">
        <f aca="false">IFERROR(INDEX(CADASTRO_PIVOS!$D$6:$D$41,MATCH($E225,CADASTRO_PIVOS!$B$6:$B$41,0)),"?")</f>
        <v>TR03</v>
      </c>
      <c r="H225" s="20" t="n">
        <f aca="false">IFERROR(INDEX(CADASTRO_PIVOS!$E$6:$E$41,MATCH($E225,CADASTRO_PIVOS!$B$6:$B$41,0)),0)</f>
        <v>98.2</v>
      </c>
      <c r="I225" s="16" t="n">
        <f aca="false">IFERROR(SUMIFS(ROTACAO_RDM!$B$6:$B$71,ROTACAO_RDM!$D$6:$D$71,$E225,ROTACAO_RDM!$I$6:$I$71,"&lt;="&amp;$C225+INT(DIAS_POR_SEMANA/2),ROTACAO_RDM!$J$6:$J$71,"&gt;="&amp;$C225+INT(DIAS_POR_SEMANA/2)),0)</f>
        <v>0</v>
      </c>
      <c r="J225" s="16" t="n">
        <f aca="false">IFERROR(MATCH($I225,ROTACAO_RDM!$B$6:$B$71,0),0)</f>
        <v>0</v>
      </c>
      <c r="K225" s="8" t="str">
        <f aca="false">IF($J225=0,"SEM CULTURA",INDEX(ROTACAO_RDM!$F$6:$F$71,$J225))</f>
        <v>SEM CULTURA</v>
      </c>
      <c r="L225" s="8" t="str">
        <f aca="false">IF($J225=0,"",INDEX(ROTACAO_RDM!$G$6:$G$71,$J225))</f>
        <v/>
      </c>
      <c r="M225" s="17" t="str">
        <f aca="false">IF($J225=0,"",INDEX(ROTACAO_RDM!$I$6:$I$71,$J225))</f>
        <v/>
      </c>
      <c r="N225" s="16" t="n">
        <f aca="false">IF($J225=0,0,MAX(0,$C225+INT(DIAS_POR_SEMANA/2)-INDEX(ROTACAO_RDM!$I$6:$I$71,$J225)))</f>
        <v>0</v>
      </c>
      <c r="O225" s="19" t="n">
        <f aca="false">IF($J225=0,0,MIN(1,$N225/MAX(1,INDEX(ROTACAO_RDM!$K$6:$K$71,$J225))))</f>
        <v>0</v>
      </c>
      <c r="P225" s="16" t="n">
        <f aca="false">IF($J225=0,0,IFERROR(MATCH(INDEX(ROTACAO_RDM!$N$6:$N$71,$J225),PARAMETROS_CULTURAS!$B$6:$B$28,0),0))</f>
        <v>0</v>
      </c>
      <c r="Q225" s="8" t="str">
        <f aca="false">IF($P225=0,"-",IF($O225&lt;=INDEX(PARAMETROS_CULTURAS!$F$6:$F$28,$P225),"INICIAL",IF($O225&lt;=INDEX(PARAMETROS_CULTURAS!$F$6:$F$28,$P225)+INDEX(PARAMETROS_CULTURAS!$G$6:$G$28,$P225),"DESENVOLVIMENTO",IF($O225&lt;=INDEX(PARAMETROS_CULTURAS!$F$6:$F$28,$P225)+INDEX(PARAMETROS_CULTURAS!$G$6:$G$28,$P225)+INDEX(PARAMETROS_CULTURAS!$H$6:$H$28,$P225),"MEDIA","FINAL"))))</f>
        <v>-</v>
      </c>
      <c r="R225" s="24" t="n">
        <f aca="false">IF($P225=0,0,IF($O225&lt;=INDEX(PARAMETROS_CULTURAS!$F$6:$F$28,$P225),INDEX(PARAMETROS_CULTURAS!$K$6:$K$28,$P225),IF($O225&lt;=INDEX(PARAMETROS_CULTURAS!$F$6:$F$28,$P225)+INDEX(PARAMETROS_CULTURAS!$G$6:$G$28,$P225),INDEX(PARAMETROS_CULTURAS!$K$6:$K$28,$P225)+(INDEX(PARAMETROS_CULTURAS!$L$6:$L$28,$P225)-INDEX(PARAMETROS_CULTURAS!$K$6:$K$28,$P225))*($O225-INDEX(PARAMETROS_CULTURAS!$F$6:$F$28,$P225))/MAX(INDEX(PARAMETROS_CULTURAS!$G$6:$G$28,$P225),0.0001),IF($O225&lt;=INDEX(PARAMETROS_CULTURAS!$F$6:$F$28,$P225)+INDEX(PARAMETROS_CULTURAS!$G$6:$G$28,$P225)+INDEX(PARAMETROS_CULTURAS!$H$6:$H$28,$P225),INDEX(PARAMETROS_CULTURAS!$L$6:$L$28,$P225),INDEX(PARAMETROS_CULTURAS!$L$6:$L$28,$P225)+(INDEX(PARAMETROS_CULTURAS!$M$6:$M$28,$P225)-INDEX(PARAMETROS_CULTURAS!$L$6:$L$28,$P225))*($O225-INDEX(PARAMETROS_CULTURAS!$F$6:$F$28,$P225)-INDEX(PARAMETROS_CULTURAS!$G$6:$G$28,$P225)-INDEX(PARAMETROS_CULTURAS!$H$6:$H$28,$P225))/MAX(INDEX(PARAMETROS_CULTURAS!$I$6:$I$28,$P225),0.0001)))))</f>
        <v>0</v>
      </c>
      <c r="S225" s="18" t="n">
        <f aca="false">IFERROR(INDEX(SEMANAS!$H$6:$H$71,MATCH($B225,SEMANAS!$B$6:$B$71,0)),0)</f>
        <v>33.6</v>
      </c>
      <c r="T225" s="18" t="n">
        <f aca="false">$R225*$S225</f>
        <v>0</v>
      </c>
      <c r="U225" s="18" t="n">
        <f aca="false">IFERROR(INDEX(SEMANAS!$I$6:$I$71,MATCH($B225,SEMANAS!$B$6:$B$71,0)),0)</f>
        <v>45.15</v>
      </c>
      <c r="V225" s="18" t="n">
        <f aca="false">IFERROR(INDEX(SEMANAS!$J$6:$J$71,MATCH($B225,SEMANAS!$B$6:$B$71,0)),0)</f>
        <v>36.12</v>
      </c>
      <c r="W225" s="18" t="n">
        <f aca="false">MAX(0,$T225-$V225)</f>
        <v>0</v>
      </c>
      <c r="X225" s="19" t="n">
        <f aca="false">IFERROR(INDEX(CADASTRO_PIVOS!$K$6:$K$41,MATCH($E225,CADASTRO_PIVOS!$B$6:$B$41,0)),EFICIENCIA_PADRAO)</f>
        <v>0.85</v>
      </c>
      <c r="Y225" s="18" t="n">
        <f aca="false">IF($X225&lt;=0,0,$W225/$X225)</f>
        <v>0</v>
      </c>
      <c r="Z225" s="16" t="n">
        <f aca="false">$Y225*$H225*MM_PARA_M3_HA</f>
        <v>0</v>
      </c>
      <c r="AA225" s="18" t="n">
        <f aca="false">IFERROR(INDEX(CADASTRO_PIVOS!$I$6:$I$41,MATCH($E225,CADASTRO_PIVOS!$B$6:$B$41,0)),0)</f>
        <v>701.428571428571</v>
      </c>
      <c r="AB225" s="18" t="n">
        <f aca="false">IF($Z225&lt;=0,0,$Z225/$AA225)</f>
        <v>0</v>
      </c>
      <c r="AC225" s="16" t="n">
        <f aca="false">IFERROR(INDEX(SEMANAS!$K$6:$K$71,MATCH($B225,SEMANAS!$B$6:$B$71,0)),0)</f>
        <v>147</v>
      </c>
      <c r="AD225" s="19" t="n">
        <f aca="false">IF($AC225&lt;=0,0,$AB225/$AC225)</f>
        <v>0</v>
      </c>
      <c r="AE225" s="8" t="str">
        <f aca="false">IF($K225="SEM CULTURA","SEM CULTURA",IF($AA225&lt;=0,"DADO PENDENTE",IF($AD225&gt;LIMITE_CRITICO,"INVIAVEL",IF($AD225&gt;LIMITE_ATENCAO,"CRITICO",IF($AD225&gt;LIMITE_CONFORTAVEL,"ATENCAO","OK")))))</f>
        <v>SEM CULTURA</v>
      </c>
      <c r="AF225" s="8" t="str">
        <f aca="false">$B225&amp;"|"&amp;TEXT($AD225,"0.000000")</f>
        <v>22|0.000000</v>
      </c>
      <c r="AG225" s="18" t="n">
        <f aca="false">IF($K225="SEM CULTURA",0,$T225*$H225)</f>
        <v>0</v>
      </c>
      <c r="AH225" s="18" t="n">
        <f aca="false">IF($K225="SEM CULTURA",0,$V225*$H225)</f>
        <v>0</v>
      </c>
      <c r="AI225" s="18" t="n">
        <f aca="false">IF($K225="SEM CULTURA",0,$W225*$H225)</f>
        <v>0</v>
      </c>
      <c r="AJ225" s="18" t="n">
        <f aca="false">IF($K225="SEM CULTURA",0,$S225*$H225)</f>
        <v>0</v>
      </c>
      <c r="AK225" s="8" t="str">
        <f aca="false">$E225&amp;"|"&amp;TEXT($AD225,"0.000000")</f>
        <v>PV 105|0.000000</v>
      </c>
    </row>
    <row r="226" customFormat="false" ht="15" hidden="false" customHeight="false" outlineLevel="0" collapsed="false">
      <c r="B226" s="16" t="n">
        <v>23</v>
      </c>
      <c r="C226" s="17" t="n">
        <f aca="false">DATA_INICIO_SAFRA+($B226-1)*DIAS_POR_SEMANA</f>
        <v>46419</v>
      </c>
      <c r="D226" s="17" t="n">
        <f aca="false">$C226+DIAS_POR_SEMANA-1</f>
        <v>46425</v>
      </c>
      <c r="E226" s="15" t="s">
        <v>262</v>
      </c>
      <c r="F226" s="8" t="str">
        <f aca="false">IFERROR(INDEX(CADASTRO_PIVOS!$C$6:$C$41,MATCH($E226,CADASTRO_PIVOS!$B$6:$B$41,0)),"?")</f>
        <v>RM03</v>
      </c>
      <c r="G226" s="8" t="str">
        <f aca="false">IFERROR(INDEX(CADASTRO_PIVOS!$D$6:$D$41,MATCH($E226,CADASTRO_PIVOS!$B$6:$B$41,0)),"?")</f>
        <v>TR03</v>
      </c>
      <c r="H226" s="20" t="n">
        <f aca="false">IFERROR(INDEX(CADASTRO_PIVOS!$E$6:$E$41,MATCH($E226,CADASTRO_PIVOS!$B$6:$B$41,0)),0)</f>
        <v>98.2</v>
      </c>
      <c r="I226" s="16" t="n">
        <f aca="false">IFERROR(SUMIFS(ROTACAO_RDM!$B$6:$B$71,ROTACAO_RDM!$D$6:$D$71,$E226,ROTACAO_RDM!$I$6:$I$71,"&lt;="&amp;$C226+INT(DIAS_POR_SEMANA/2),ROTACAO_RDM!$J$6:$J$71,"&gt;="&amp;$C226+INT(DIAS_POR_SEMANA/2)),0)</f>
        <v>0</v>
      </c>
      <c r="J226" s="16" t="n">
        <f aca="false">IFERROR(MATCH($I226,ROTACAO_RDM!$B$6:$B$71,0),0)</f>
        <v>0</v>
      </c>
      <c r="K226" s="8" t="str">
        <f aca="false">IF($J226=0,"SEM CULTURA",INDEX(ROTACAO_RDM!$F$6:$F$71,$J226))</f>
        <v>SEM CULTURA</v>
      </c>
      <c r="L226" s="8" t="str">
        <f aca="false">IF($J226=0,"",INDEX(ROTACAO_RDM!$G$6:$G$71,$J226))</f>
        <v/>
      </c>
      <c r="M226" s="17" t="str">
        <f aca="false">IF($J226=0,"",INDEX(ROTACAO_RDM!$I$6:$I$71,$J226))</f>
        <v/>
      </c>
      <c r="N226" s="16" t="n">
        <f aca="false">IF($J226=0,0,MAX(0,$C226+INT(DIAS_POR_SEMANA/2)-INDEX(ROTACAO_RDM!$I$6:$I$71,$J226)))</f>
        <v>0</v>
      </c>
      <c r="O226" s="19" t="n">
        <f aca="false">IF($J226=0,0,MIN(1,$N226/MAX(1,INDEX(ROTACAO_RDM!$K$6:$K$71,$J226))))</f>
        <v>0</v>
      </c>
      <c r="P226" s="16" t="n">
        <f aca="false">IF($J226=0,0,IFERROR(MATCH(INDEX(ROTACAO_RDM!$N$6:$N$71,$J226),PARAMETROS_CULTURAS!$B$6:$B$28,0),0))</f>
        <v>0</v>
      </c>
      <c r="Q226" s="8" t="str">
        <f aca="false">IF($P226=0,"-",IF($O226&lt;=INDEX(PARAMETROS_CULTURAS!$F$6:$F$28,$P226),"INICIAL",IF($O226&lt;=INDEX(PARAMETROS_CULTURAS!$F$6:$F$28,$P226)+INDEX(PARAMETROS_CULTURAS!$G$6:$G$28,$P226),"DESENVOLVIMENTO",IF($O226&lt;=INDEX(PARAMETROS_CULTURAS!$F$6:$F$28,$P226)+INDEX(PARAMETROS_CULTURAS!$G$6:$G$28,$P226)+INDEX(PARAMETROS_CULTURAS!$H$6:$H$28,$P226),"MEDIA","FINAL"))))</f>
        <v>-</v>
      </c>
      <c r="R226" s="24" t="n">
        <f aca="false">IF($P226=0,0,IF($O226&lt;=INDEX(PARAMETROS_CULTURAS!$F$6:$F$28,$P226),INDEX(PARAMETROS_CULTURAS!$K$6:$K$28,$P226),IF($O226&lt;=INDEX(PARAMETROS_CULTURAS!$F$6:$F$28,$P226)+INDEX(PARAMETROS_CULTURAS!$G$6:$G$28,$P226),INDEX(PARAMETROS_CULTURAS!$K$6:$K$28,$P226)+(INDEX(PARAMETROS_CULTURAS!$L$6:$L$28,$P226)-INDEX(PARAMETROS_CULTURAS!$K$6:$K$28,$P226))*($O226-INDEX(PARAMETROS_CULTURAS!$F$6:$F$28,$P226))/MAX(INDEX(PARAMETROS_CULTURAS!$G$6:$G$28,$P226),0.0001),IF($O226&lt;=INDEX(PARAMETROS_CULTURAS!$F$6:$F$28,$P226)+INDEX(PARAMETROS_CULTURAS!$G$6:$G$28,$P226)+INDEX(PARAMETROS_CULTURAS!$H$6:$H$28,$P226),INDEX(PARAMETROS_CULTURAS!$L$6:$L$28,$P226),INDEX(PARAMETROS_CULTURAS!$L$6:$L$28,$P226)+(INDEX(PARAMETROS_CULTURAS!$M$6:$M$28,$P226)-INDEX(PARAMETROS_CULTURAS!$L$6:$L$28,$P226))*($O226-INDEX(PARAMETROS_CULTURAS!$F$6:$F$28,$P226)-INDEX(PARAMETROS_CULTURAS!$G$6:$G$28,$P226)-INDEX(PARAMETROS_CULTURAS!$H$6:$H$28,$P226))/MAX(INDEX(PARAMETROS_CULTURAS!$I$6:$I$28,$P226),0.0001)))))</f>
        <v>0</v>
      </c>
      <c r="S226" s="18" t="n">
        <f aca="false">IFERROR(INDEX(SEMANAS!$H$6:$H$71,MATCH($B226,SEMANAS!$B$6:$B$71,0)),0)</f>
        <v>32.9</v>
      </c>
      <c r="T226" s="18" t="n">
        <f aca="false">$R226*$S226</f>
        <v>0</v>
      </c>
      <c r="U226" s="18" t="n">
        <f aca="false">IFERROR(INDEX(SEMANAS!$I$6:$I$71,MATCH($B226,SEMANAS!$B$6:$B$71,0)),0)</f>
        <v>39.97</v>
      </c>
      <c r="V226" s="18" t="n">
        <f aca="false">IFERROR(INDEX(SEMANAS!$J$6:$J$71,MATCH($B226,SEMANAS!$B$6:$B$71,0)),0)</f>
        <v>31.976</v>
      </c>
      <c r="W226" s="18" t="n">
        <f aca="false">MAX(0,$T226-$V226)</f>
        <v>0</v>
      </c>
      <c r="X226" s="19" t="n">
        <f aca="false">IFERROR(INDEX(CADASTRO_PIVOS!$K$6:$K$41,MATCH($E226,CADASTRO_PIVOS!$B$6:$B$41,0)),EFICIENCIA_PADRAO)</f>
        <v>0.85</v>
      </c>
      <c r="Y226" s="18" t="n">
        <f aca="false">IF($X226&lt;=0,0,$W226/$X226)</f>
        <v>0</v>
      </c>
      <c r="Z226" s="16" t="n">
        <f aca="false">$Y226*$H226*MM_PARA_M3_HA</f>
        <v>0</v>
      </c>
      <c r="AA226" s="18" t="n">
        <f aca="false">IFERROR(INDEX(CADASTRO_PIVOS!$I$6:$I$41,MATCH($E226,CADASTRO_PIVOS!$B$6:$B$41,0)),0)</f>
        <v>701.428571428571</v>
      </c>
      <c r="AB226" s="18" t="n">
        <f aca="false">IF($Z226&lt;=0,0,$Z226/$AA226)</f>
        <v>0</v>
      </c>
      <c r="AC226" s="16" t="n">
        <f aca="false">IFERROR(INDEX(SEMANAS!$K$6:$K$71,MATCH($B226,SEMANAS!$B$6:$B$71,0)),0)</f>
        <v>147</v>
      </c>
      <c r="AD226" s="19" t="n">
        <f aca="false">IF($AC226&lt;=0,0,$AB226/$AC226)</f>
        <v>0</v>
      </c>
      <c r="AE226" s="8" t="str">
        <f aca="false">IF($K226="SEM CULTURA","SEM CULTURA",IF($AA226&lt;=0,"DADO PENDENTE",IF($AD226&gt;LIMITE_CRITICO,"INVIAVEL",IF($AD226&gt;LIMITE_ATENCAO,"CRITICO",IF($AD226&gt;LIMITE_CONFORTAVEL,"ATENCAO","OK")))))</f>
        <v>SEM CULTURA</v>
      </c>
      <c r="AF226" s="8" t="str">
        <f aca="false">$B226&amp;"|"&amp;TEXT($AD226,"0.000000")</f>
        <v>23|0.000000</v>
      </c>
      <c r="AG226" s="18" t="n">
        <f aca="false">IF($K226="SEM CULTURA",0,$T226*$H226)</f>
        <v>0</v>
      </c>
      <c r="AH226" s="18" t="n">
        <f aca="false">IF($K226="SEM CULTURA",0,$V226*$H226)</f>
        <v>0</v>
      </c>
      <c r="AI226" s="18" t="n">
        <f aca="false">IF($K226="SEM CULTURA",0,$W226*$H226)</f>
        <v>0</v>
      </c>
      <c r="AJ226" s="18" t="n">
        <f aca="false">IF($K226="SEM CULTURA",0,$S226*$H226)</f>
        <v>0</v>
      </c>
      <c r="AK226" s="8" t="str">
        <f aca="false">$E226&amp;"|"&amp;TEXT($AD226,"0.000000")</f>
        <v>PV 105|0.000000</v>
      </c>
    </row>
    <row r="227" customFormat="false" ht="15" hidden="false" customHeight="false" outlineLevel="0" collapsed="false">
      <c r="B227" s="16" t="n">
        <v>24</v>
      </c>
      <c r="C227" s="17" t="n">
        <f aca="false">DATA_INICIO_SAFRA+($B227-1)*DIAS_POR_SEMANA</f>
        <v>46426</v>
      </c>
      <c r="D227" s="17" t="n">
        <f aca="false">$C227+DIAS_POR_SEMANA-1</f>
        <v>46432</v>
      </c>
      <c r="E227" s="15" t="s">
        <v>262</v>
      </c>
      <c r="F227" s="8" t="str">
        <f aca="false">IFERROR(INDEX(CADASTRO_PIVOS!$C$6:$C$41,MATCH($E227,CADASTRO_PIVOS!$B$6:$B$41,0)),"?")</f>
        <v>RM03</v>
      </c>
      <c r="G227" s="8" t="str">
        <f aca="false">IFERROR(INDEX(CADASTRO_PIVOS!$D$6:$D$41,MATCH($E227,CADASTRO_PIVOS!$B$6:$B$41,0)),"?")</f>
        <v>TR03</v>
      </c>
      <c r="H227" s="20" t="n">
        <f aca="false">IFERROR(INDEX(CADASTRO_PIVOS!$E$6:$E$41,MATCH($E227,CADASTRO_PIVOS!$B$6:$B$41,0)),0)</f>
        <v>98.2</v>
      </c>
      <c r="I227" s="16" t="n">
        <f aca="false">IFERROR(SUMIFS(ROTACAO_RDM!$B$6:$B$71,ROTACAO_RDM!$D$6:$D$71,$E227,ROTACAO_RDM!$I$6:$I$71,"&lt;="&amp;$C227+INT(DIAS_POR_SEMANA/2),ROTACAO_RDM!$J$6:$J$71,"&gt;="&amp;$C227+INT(DIAS_POR_SEMANA/2)),0)</f>
        <v>8</v>
      </c>
      <c r="J227" s="16" t="n">
        <f aca="false">IFERROR(MATCH($I227,ROTACAO_RDM!$B$6:$B$71,0),0)</f>
        <v>8</v>
      </c>
      <c r="K227" s="8" t="str">
        <f aca="false">IF($J227=0,"SEM CULTURA",INDEX(ROTACAO_RDM!$F$6:$F$71,$J227))</f>
        <v>ALGODAO</v>
      </c>
      <c r="L227" s="8" t="str">
        <f aca="false">IF($J227=0,"",INDEX(ROTACAO_RDM!$G$6:$G$71,$J227))</f>
        <v>FM 933 STP</v>
      </c>
      <c r="M227" s="17" t="n">
        <f aca="false">IF($J227=0,"",INDEX(ROTACAO_RDM!$I$6:$I$71,$J227))</f>
        <v>46424</v>
      </c>
      <c r="N227" s="16" t="n">
        <f aca="false">IF($J227=0,0,MAX(0,$C227+INT(DIAS_POR_SEMANA/2)-INDEX(ROTACAO_RDM!$I$6:$I$71,$J227)))</f>
        <v>5</v>
      </c>
      <c r="O227" s="19" t="n">
        <f aca="false">IF($J227=0,0,MIN(1,$N227/MAX(1,INDEX(ROTACAO_RDM!$K$6:$K$71,$J227))))</f>
        <v>0.0256410256410256</v>
      </c>
      <c r="P227" s="16" t="n">
        <f aca="false">IF($J227=0,0,IFERROR(MATCH(INDEX(ROTACAO_RDM!$N$6:$N$71,$J227),PARAMETROS_CULTURAS!$B$6:$B$28,0),0))</f>
        <v>5</v>
      </c>
      <c r="Q227" s="8" t="str">
        <f aca="false">IF($P227=0,"-",IF($O227&lt;=INDEX(PARAMETROS_CULTURAS!$F$6:$F$28,$P227),"INICIAL",IF($O227&lt;=INDEX(PARAMETROS_CULTURAS!$F$6:$F$28,$P227)+INDEX(PARAMETROS_CULTURAS!$G$6:$G$28,$P227),"DESENVOLVIMENTO",IF($O227&lt;=INDEX(PARAMETROS_CULTURAS!$F$6:$F$28,$P227)+INDEX(PARAMETROS_CULTURAS!$G$6:$G$28,$P227)+INDEX(PARAMETROS_CULTURAS!$H$6:$H$28,$P227),"MEDIA","FINAL"))))</f>
        <v>INICIAL</v>
      </c>
      <c r="R227" s="24" t="n">
        <f aca="false">IF($P227=0,0,IF($O227&lt;=INDEX(PARAMETROS_CULTURAS!$F$6:$F$28,$P227),INDEX(PARAMETROS_CULTURAS!$K$6:$K$28,$P227),IF($O227&lt;=INDEX(PARAMETROS_CULTURAS!$F$6:$F$28,$P227)+INDEX(PARAMETROS_CULTURAS!$G$6:$G$28,$P227),INDEX(PARAMETROS_CULTURAS!$K$6:$K$28,$P227)+(INDEX(PARAMETROS_CULTURAS!$L$6:$L$28,$P227)-INDEX(PARAMETROS_CULTURAS!$K$6:$K$28,$P227))*($O227-INDEX(PARAMETROS_CULTURAS!$F$6:$F$28,$P227))/MAX(INDEX(PARAMETROS_CULTURAS!$G$6:$G$28,$P227),0.0001),IF($O227&lt;=INDEX(PARAMETROS_CULTURAS!$F$6:$F$28,$P227)+INDEX(PARAMETROS_CULTURAS!$G$6:$G$28,$P227)+INDEX(PARAMETROS_CULTURAS!$H$6:$H$28,$P227),INDEX(PARAMETROS_CULTURAS!$L$6:$L$28,$P227),INDEX(PARAMETROS_CULTURAS!$L$6:$L$28,$P227)+(INDEX(PARAMETROS_CULTURAS!$M$6:$M$28,$P227)-INDEX(PARAMETROS_CULTURAS!$L$6:$L$28,$P227))*($O227-INDEX(PARAMETROS_CULTURAS!$F$6:$F$28,$P227)-INDEX(PARAMETROS_CULTURAS!$G$6:$G$28,$P227)-INDEX(PARAMETROS_CULTURAS!$H$6:$H$28,$P227))/MAX(INDEX(PARAMETROS_CULTURAS!$I$6:$I$28,$P227),0.0001)))))</f>
        <v>0.35</v>
      </c>
      <c r="S227" s="18" t="n">
        <f aca="false">IFERROR(INDEX(SEMANAS!$H$6:$H$71,MATCH($B227,SEMANAS!$B$6:$B$71,0)),0)</f>
        <v>32.9</v>
      </c>
      <c r="T227" s="18" t="n">
        <f aca="false">$R227*$S227</f>
        <v>11.515</v>
      </c>
      <c r="U227" s="18" t="n">
        <f aca="false">IFERROR(INDEX(SEMANAS!$I$6:$I$71,MATCH($B227,SEMANAS!$B$6:$B$71,0)),0)</f>
        <v>39.97</v>
      </c>
      <c r="V227" s="18" t="n">
        <f aca="false">IFERROR(INDEX(SEMANAS!$J$6:$J$71,MATCH($B227,SEMANAS!$B$6:$B$71,0)),0)</f>
        <v>31.976</v>
      </c>
      <c r="W227" s="18" t="n">
        <f aca="false">MAX(0,$T227-$V227)</f>
        <v>0</v>
      </c>
      <c r="X227" s="19" t="n">
        <f aca="false">IFERROR(INDEX(CADASTRO_PIVOS!$K$6:$K$41,MATCH($E227,CADASTRO_PIVOS!$B$6:$B$41,0)),EFICIENCIA_PADRAO)</f>
        <v>0.85</v>
      </c>
      <c r="Y227" s="18" t="n">
        <f aca="false">IF($X227&lt;=0,0,$W227/$X227)</f>
        <v>0</v>
      </c>
      <c r="Z227" s="16" t="n">
        <f aca="false">$Y227*$H227*MM_PARA_M3_HA</f>
        <v>0</v>
      </c>
      <c r="AA227" s="18" t="n">
        <f aca="false">IFERROR(INDEX(CADASTRO_PIVOS!$I$6:$I$41,MATCH($E227,CADASTRO_PIVOS!$B$6:$B$41,0)),0)</f>
        <v>701.428571428571</v>
      </c>
      <c r="AB227" s="18" t="n">
        <f aca="false">IF($Z227&lt;=0,0,$Z227/$AA227)</f>
        <v>0</v>
      </c>
      <c r="AC227" s="16" t="n">
        <f aca="false">IFERROR(INDEX(SEMANAS!$K$6:$K$71,MATCH($B227,SEMANAS!$B$6:$B$71,0)),0)</f>
        <v>147</v>
      </c>
      <c r="AD227" s="19" t="n">
        <f aca="false">IF($AC227&lt;=0,0,$AB227/$AC227)</f>
        <v>0</v>
      </c>
      <c r="AE227" s="8" t="str">
        <f aca="false">IF($K227="SEM CULTURA","SEM CULTURA",IF($AA227&lt;=0,"DADO PENDENTE",IF($AD227&gt;LIMITE_CRITICO,"INVIAVEL",IF($AD227&gt;LIMITE_ATENCAO,"CRITICO",IF($AD227&gt;LIMITE_CONFORTAVEL,"ATENCAO","OK")))))</f>
        <v>OK</v>
      </c>
      <c r="AF227" s="8" t="str">
        <f aca="false">$B227&amp;"|"&amp;TEXT($AD227,"0.000000")</f>
        <v>24|0.000000</v>
      </c>
      <c r="AG227" s="18" t="n">
        <f aca="false">IF($K227="SEM CULTURA",0,$T227*$H227)</f>
        <v>1130.773</v>
      </c>
      <c r="AH227" s="18" t="n">
        <f aca="false">IF($K227="SEM CULTURA",0,$V227*$H227)</f>
        <v>3140.0432</v>
      </c>
      <c r="AI227" s="18" t="n">
        <f aca="false">IF($K227="SEM CULTURA",0,$W227*$H227)</f>
        <v>0</v>
      </c>
      <c r="AJ227" s="18" t="n">
        <f aca="false">IF($K227="SEM CULTURA",0,$S227*$H227)</f>
        <v>3230.78</v>
      </c>
      <c r="AK227" s="8" t="str">
        <f aca="false">$E227&amp;"|"&amp;TEXT($AD227,"0.000000")</f>
        <v>PV 105|0.000000</v>
      </c>
    </row>
    <row r="228" customFormat="false" ht="15" hidden="false" customHeight="false" outlineLevel="0" collapsed="false">
      <c r="B228" s="16" t="n">
        <v>25</v>
      </c>
      <c r="C228" s="17" t="n">
        <f aca="false">DATA_INICIO_SAFRA+($B228-1)*DIAS_POR_SEMANA</f>
        <v>46433</v>
      </c>
      <c r="D228" s="17" t="n">
        <f aca="false">$C228+DIAS_POR_SEMANA-1</f>
        <v>46439</v>
      </c>
      <c r="E228" s="15" t="s">
        <v>262</v>
      </c>
      <c r="F228" s="8" t="str">
        <f aca="false">IFERROR(INDEX(CADASTRO_PIVOS!$C$6:$C$41,MATCH($E228,CADASTRO_PIVOS!$B$6:$B$41,0)),"?")</f>
        <v>RM03</v>
      </c>
      <c r="G228" s="8" t="str">
        <f aca="false">IFERROR(INDEX(CADASTRO_PIVOS!$D$6:$D$41,MATCH($E228,CADASTRO_PIVOS!$B$6:$B$41,0)),"?")</f>
        <v>TR03</v>
      </c>
      <c r="H228" s="20" t="n">
        <f aca="false">IFERROR(INDEX(CADASTRO_PIVOS!$E$6:$E$41,MATCH($E228,CADASTRO_PIVOS!$B$6:$B$41,0)),0)</f>
        <v>98.2</v>
      </c>
      <c r="I228" s="16" t="n">
        <f aca="false">IFERROR(SUMIFS(ROTACAO_RDM!$B$6:$B$71,ROTACAO_RDM!$D$6:$D$71,$E228,ROTACAO_RDM!$I$6:$I$71,"&lt;="&amp;$C228+INT(DIAS_POR_SEMANA/2),ROTACAO_RDM!$J$6:$J$71,"&gt;="&amp;$C228+INT(DIAS_POR_SEMANA/2)),0)</f>
        <v>8</v>
      </c>
      <c r="J228" s="16" t="n">
        <f aca="false">IFERROR(MATCH($I228,ROTACAO_RDM!$B$6:$B$71,0),0)</f>
        <v>8</v>
      </c>
      <c r="K228" s="8" t="str">
        <f aca="false">IF($J228=0,"SEM CULTURA",INDEX(ROTACAO_RDM!$F$6:$F$71,$J228))</f>
        <v>ALGODAO</v>
      </c>
      <c r="L228" s="8" t="str">
        <f aca="false">IF($J228=0,"",INDEX(ROTACAO_RDM!$G$6:$G$71,$J228))</f>
        <v>FM 933 STP</v>
      </c>
      <c r="M228" s="17" t="n">
        <f aca="false">IF($J228=0,"",INDEX(ROTACAO_RDM!$I$6:$I$71,$J228))</f>
        <v>46424</v>
      </c>
      <c r="N228" s="16" t="n">
        <f aca="false">IF($J228=0,0,MAX(0,$C228+INT(DIAS_POR_SEMANA/2)-INDEX(ROTACAO_RDM!$I$6:$I$71,$J228)))</f>
        <v>12</v>
      </c>
      <c r="O228" s="19" t="n">
        <f aca="false">IF($J228=0,0,MIN(1,$N228/MAX(1,INDEX(ROTACAO_RDM!$K$6:$K$71,$J228))))</f>
        <v>0.0615384615384615</v>
      </c>
      <c r="P228" s="16" t="n">
        <f aca="false">IF($J228=0,0,IFERROR(MATCH(INDEX(ROTACAO_RDM!$N$6:$N$71,$J228),PARAMETROS_CULTURAS!$B$6:$B$28,0),0))</f>
        <v>5</v>
      </c>
      <c r="Q228" s="8" t="str">
        <f aca="false">IF($P228=0,"-",IF($O228&lt;=INDEX(PARAMETROS_CULTURAS!$F$6:$F$28,$P228),"INICIAL",IF($O228&lt;=INDEX(PARAMETROS_CULTURAS!$F$6:$F$28,$P228)+INDEX(PARAMETROS_CULTURAS!$G$6:$G$28,$P228),"DESENVOLVIMENTO",IF($O228&lt;=INDEX(PARAMETROS_CULTURAS!$F$6:$F$28,$P228)+INDEX(PARAMETROS_CULTURAS!$G$6:$G$28,$P228)+INDEX(PARAMETROS_CULTURAS!$H$6:$H$28,$P228),"MEDIA","FINAL"))))</f>
        <v>INICIAL</v>
      </c>
      <c r="R228" s="24" t="n">
        <f aca="false">IF($P228=0,0,IF($O228&lt;=INDEX(PARAMETROS_CULTURAS!$F$6:$F$28,$P228),INDEX(PARAMETROS_CULTURAS!$K$6:$K$28,$P228),IF($O228&lt;=INDEX(PARAMETROS_CULTURAS!$F$6:$F$28,$P228)+INDEX(PARAMETROS_CULTURAS!$G$6:$G$28,$P228),INDEX(PARAMETROS_CULTURAS!$K$6:$K$28,$P228)+(INDEX(PARAMETROS_CULTURAS!$L$6:$L$28,$P228)-INDEX(PARAMETROS_CULTURAS!$K$6:$K$28,$P228))*($O228-INDEX(PARAMETROS_CULTURAS!$F$6:$F$28,$P228))/MAX(INDEX(PARAMETROS_CULTURAS!$G$6:$G$28,$P228),0.0001),IF($O228&lt;=INDEX(PARAMETROS_CULTURAS!$F$6:$F$28,$P228)+INDEX(PARAMETROS_CULTURAS!$G$6:$G$28,$P228)+INDEX(PARAMETROS_CULTURAS!$H$6:$H$28,$P228),INDEX(PARAMETROS_CULTURAS!$L$6:$L$28,$P228),INDEX(PARAMETROS_CULTURAS!$L$6:$L$28,$P228)+(INDEX(PARAMETROS_CULTURAS!$M$6:$M$28,$P228)-INDEX(PARAMETROS_CULTURAS!$L$6:$L$28,$P228))*($O228-INDEX(PARAMETROS_CULTURAS!$F$6:$F$28,$P228)-INDEX(PARAMETROS_CULTURAS!$G$6:$G$28,$P228)-INDEX(PARAMETROS_CULTURAS!$H$6:$H$28,$P228))/MAX(INDEX(PARAMETROS_CULTURAS!$I$6:$I$28,$P228),0.0001)))))</f>
        <v>0.35</v>
      </c>
      <c r="S228" s="18" t="n">
        <f aca="false">IFERROR(INDEX(SEMANAS!$H$6:$H$71,MATCH($B228,SEMANAS!$B$6:$B$71,0)),0)</f>
        <v>32.9</v>
      </c>
      <c r="T228" s="18" t="n">
        <f aca="false">$R228*$S228</f>
        <v>11.515</v>
      </c>
      <c r="U228" s="18" t="n">
        <f aca="false">IFERROR(INDEX(SEMANAS!$I$6:$I$71,MATCH($B228,SEMANAS!$B$6:$B$71,0)),0)</f>
        <v>39.97</v>
      </c>
      <c r="V228" s="18" t="n">
        <f aca="false">IFERROR(INDEX(SEMANAS!$J$6:$J$71,MATCH($B228,SEMANAS!$B$6:$B$71,0)),0)</f>
        <v>31.976</v>
      </c>
      <c r="W228" s="18" t="n">
        <f aca="false">MAX(0,$T228-$V228)</f>
        <v>0</v>
      </c>
      <c r="X228" s="19" t="n">
        <f aca="false">IFERROR(INDEX(CADASTRO_PIVOS!$K$6:$K$41,MATCH($E228,CADASTRO_PIVOS!$B$6:$B$41,0)),EFICIENCIA_PADRAO)</f>
        <v>0.85</v>
      </c>
      <c r="Y228" s="18" t="n">
        <f aca="false">IF($X228&lt;=0,0,$W228/$X228)</f>
        <v>0</v>
      </c>
      <c r="Z228" s="16" t="n">
        <f aca="false">$Y228*$H228*MM_PARA_M3_HA</f>
        <v>0</v>
      </c>
      <c r="AA228" s="18" t="n">
        <f aca="false">IFERROR(INDEX(CADASTRO_PIVOS!$I$6:$I$41,MATCH($E228,CADASTRO_PIVOS!$B$6:$B$41,0)),0)</f>
        <v>701.428571428571</v>
      </c>
      <c r="AB228" s="18" t="n">
        <f aca="false">IF($Z228&lt;=0,0,$Z228/$AA228)</f>
        <v>0</v>
      </c>
      <c r="AC228" s="16" t="n">
        <f aca="false">IFERROR(INDEX(SEMANAS!$K$6:$K$71,MATCH($B228,SEMANAS!$B$6:$B$71,0)),0)</f>
        <v>147</v>
      </c>
      <c r="AD228" s="19" t="n">
        <f aca="false">IF($AC228&lt;=0,0,$AB228/$AC228)</f>
        <v>0</v>
      </c>
      <c r="AE228" s="8" t="str">
        <f aca="false">IF($K228="SEM CULTURA","SEM CULTURA",IF($AA228&lt;=0,"DADO PENDENTE",IF($AD228&gt;LIMITE_CRITICO,"INVIAVEL",IF($AD228&gt;LIMITE_ATENCAO,"CRITICO",IF($AD228&gt;LIMITE_CONFORTAVEL,"ATENCAO","OK")))))</f>
        <v>OK</v>
      </c>
      <c r="AF228" s="8" t="str">
        <f aca="false">$B228&amp;"|"&amp;TEXT($AD228,"0.000000")</f>
        <v>25|0.000000</v>
      </c>
      <c r="AG228" s="18" t="n">
        <f aca="false">IF($K228="SEM CULTURA",0,$T228*$H228)</f>
        <v>1130.773</v>
      </c>
      <c r="AH228" s="18" t="n">
        <f aca="false">IF($K228="SEM CULTURA",0,$V228*$H228)</f>
        <v>3140.0432</v>
      </c>
      <c r="AI228" s="18" t="n">
        <f aca="false">IF($K228="SEM CULTURA",0,$W228*$H228)</f>
        <v>0</v>
      </c>
      <c r="AJ228" s="18" t="n">
        <f aca="false">IF($K228="SEM CULTURA",0,$S228*$H228)</f>
        <v>3230.78</v>
      </c>
      <c r="AK228" s="8" t="str">
        <f aca="false">$E228&amp;"|"&amp;TEXT($AD228,"0.000000")</f>
        <v>PV 105|0.000000</v>
      </c>
    </row>
    <row r="229" customFormat="false" ht="15" hidden="false" customHeight="false" outlineLevel="0" collapsed="false">
      <c r="B229" s="16" t="n">
        <v>26</v>
      </c>
      <c r="C229" s="17" t="n">
        <f aca="false">DATA_INICIO_SAFRA+($B229-1)*DIAS_POR_SEMANA</f>
        <v>46440</v>
      </c>
      <c r="D229" s="17" t="n">
        <f aca="false">$C229+DIAS_POR_SEMANA-1</f>
        <v>46446</v>
      </c>
      <c r="E229" s="15" t="s">
        <v>262</v>
      </c>
      <c r="F229" s="8" t="str">
        <f aca="false">IFERROR(INDEX(CADASTRO_PIVOS!$C$6:$C$41,MATCH($E229,CADASTRO_PIVOS!$B$6:$B$41,0)),"?")</f>
        <v>RM03</v>
      </c>
      <c r="G229" s="8" t="str">
        <f aca="false">IFERROR(INDEX(CADASTRO_PIVOS!$D$6:$D$41,MATCH($E229,CADASTRO_PIVOS!$B$6:$B$41,0)),"?")</f>
        <v>TR03</v>
      </c>
      <c r="H229" s="20" t="n">
        <f aca="false">IFERROR(INDEX(CADASTRO_PIVOS!$E$6:$E$41,MATCH($E229,CADASTRO_PIVOS!$B$6:$B$41,0)),0)</f>
        <v>98.2</v>
      </c>
      <c r="I229" s="16" t="n">
        <f aca="false">IFERROR(SUMIFS(ROTACAO_RDM!$B$6:$B$71,ROTACAO_RDM!$D$6:$D$71,$E229,ROTACAO_RDM!$I$6:$I$71,"&lt;="&amp;$C229+INT(DIAS_POR_SEMANA/2),ROTACAO_RDM!$J$6:$J$71,"&gt;="&amp;$C229+INT(DIAS_POR_SEMANA/2)),0)</f>
        <v>8</v>
      </c>
      <c r="J229" s="16" t="n">
        <f aca="false">IFERROR(MATCH($I229,ROTACAO_RDM!$B$6:$B$71,0),0)</f>
        <v>8</v>
      </c>
      <c r="K229" s="8" t="str">
        <f aca="false">IF($J229=0,"SEM CULTURA",INDEX(ROTACAO_RDM!$F$6:$F$71,$J229))</f>
        <v>ALGODAO</v>
      </c>
      <c r="L229" s="8" t="str">
        <f aca="false">IF($J229=0,"",INDEX(ROTACAO_RDM!$G$6:$G$71,$J229))</f>
        <v>FM 933 STP</v>
      </c>
      <c r="M229" s="17" t="n">
        <f aca="false">IF($J229=0,"",INDEX(ROTACAO_RDM!$I$6:$I$71,$J229))</f>
        <v>46424</v>
      </c>
      <c r="N229" s="16" t="n">
        <f aca="false">IF($J229=0,0,MAX(0,$C229+INT(DIAS_POR_SEMANA/2)-INDEX(ROTACAO_RDM!$I$6:$I$71,$J229)))</f>
        <v>19</v>
      </c>
      <c r="O229" s="19" t="n">
        <f aca="false">IF($J229=0,0,MIN(1,$N229/MAX(1,INDEX(ROTACAO_RDM!$K$6:$K$71,$J229))))</f>
        <v>0.0974358974358974</v>
      </c>
      <c r="P229" s="16" t="n">
        <f aca="false">IF($J229=0,0,IFERROR(MATCH(INDEX(ROTACAO_RDM!$N$6:$N$71,$J229),PARAMETROS_CULTURAS!$B$6:$B$28,0),0))</f>
        <v>5</v>
      </c>
      <c r="Q229" s="8" t="str">
        <f aca="false">IF($P229=0,"-",IF($O229&lt;=INDEX(PARAMETROS_CULTURAS!$F$6:$F$28,$P229),"INICIAL",IF($O229&lt;=INDEX(PARAMETROS_CULTURAS!$F$6:$F$28,$P229)+INDEX(PARAMETROS_CULTURAS!$G$6:$G$28,$P229),"DESENVOLVIMENTO",IF($O229&lt;=INDEX(PARAMETROS_CULTURAS!$F$6:$F$28,$P229)+INDEX(PARAMETROS_CULTURAS!$G$6:$G$28,$P229)+INDEX(PARAMETROS_CULTURAS!$H$6:$H$28,$P229),"MEDIA","FINAL"))))</f>
        <v>INICIAL</v>
      </c>
      <c r="R229" s="24" t="n">
        <f aca="false">IF($P229=0,0,IF($O229&lt;=INDEX(PARAMETROS_CULTURAS!$F$6:$F$28,$P229),INDEX(PARAMETROS_CULTURAS!$K$6:$K$28,$P229),IF($O229&lt;=INDEX(PARAMETROS_CULTURAS!$F$6:$F$28,$P229)+INDEX(PARAMETROS_CULTURAS!$G$6:$G$28,$P229),INDEX(PARAMETROS_CULTURAS!$K$6:$K$28,$P229)+(INDEX(PARAMETROS_CULTURAS!$L$6:$L$28,$P229)-INDEX(PARAMETROS_CULTURAS!$K$6:$K$28,$P229))*($O229-INDEX(PARAMETROS_CULTURAS!$F$6:$F$28,$P229))/MAX(INDEX(PARAMETROS_CULTURAS!$G$6:$G$28,$P229),0.0001),IF($O229&lt;=INDEX(PARAMETROS_CULTURAS!$F$6:$F$28,$P229)+INDEX(PARAMETROS_CULTURAS!$G$6:$G$28,$P229)+INDEX(PARAMETROS_CULTURAS!$H$6:$H$28,$P229),INDEX(PARAMETROS_CULTURAS!$L$6:$L$28,$P229),INDEX(PARAMETROS_CULTURAS!$L$6:$L$28,$P229)+(INDEX(PARAMETROS_CULTURAS!$M$6:$M$28,$P229)-INDEX(PARAMETROS_CULTURAS!$L$6:$L$28,$P229))*($O229-INDEX(PARAMETROS_CULTURAS!$F$6:$F$28,$P229)-INDEX(PARAMETROS_CULTURAS!$G$6:$G$28,$P229)-INDEX(PARAMETROS_CULTURAS!$H$6:$H$28,$P229))/MAX(INDEX(PARAMETROS_CULTURAS!$I$6:$I$28,$P229),0.0001)))))</f>
        <v>0.35</v>
      </c>
      <c r="S229" s="18" t="n">
        <f aca="false">IFERROR(INDEX(SEMANAS!$H$6:$H$71,MATCH($B229,SEMANAS!$B$6:$B$71,0)),0)</f>
        <v>32.9</v>
      </c>
      <c r="T229" s="18" t="n">
        <f aca="false">$R229*$S229</f>
        <v>11.515</v>
      </c>
      <c r="U229" s="18" t="n">
        <f aca="false">IFERROR(INDEX(SEMANAS!$I$6:$I$71,MATCH($B229,SEMANAS!$B$6:$B$71,0)),0)</f>
        <v>39.97</v>
      </c>
      <c r="V229" s="18" t="n">
        <f aca="false">IFERROR(INDEX(SEMANAS!$J$6:$J$71,MATCH($B229,SEMANAS!$B$6:$B$71,0)),0)</f>
        <v>31.976</v>
      </c>
      <c r="W229" s="18" t="n">
        <f aca="false">MAX(0,$T229-$V229)</f>
        <v>0</v>
      </c>
      <c r="X229" s="19" t="n">
        <f aca="false">IFERROR(INDEX(CADASTRO_PIVOS!$K$6:$K$41,MATCH($E229,CADASTRO_PIVOS!$B$6:$B$41,0)),EFICIENCIA_PADRAO)</f>
        <v>0.85</v>
      </c>
      <c r="Y229" s="18" t="n">
        <f aca="false">IF($X229&lt;=0,0,$W229/$X229)</f>
        <v>0</v>
      </c>
      <c r="Z229" s="16" t="n">
        <f aca="false">$Y229*$H229*MM_PARA_M3_HA</f>
        <v>0</v>
      </c>
      <c r="AA229" s="18" t="n">
        <f aca="false">IFERROR(INDEX(CADASTRO_PIVOS!$I$6:$I$41,MATCH($E229,CADASTRO_PIVOS!$B$6:$B$41,0)),0)</f>
        <v>701.428571428571</v>
      </c>
      <c r="AB229" s="18" t="n">
        <f aca="false">IF($Z229&lt;=0,0,$Z229/$AA229)</f>
        <v>0</v>
      </c>
      <c r="AC229" s="16" t="n">
        <f aca="false">IFERROR(INDEX(SEMANAS!$K$6:$K$71,MATCH($B229,SEMANAS!$B$6:$B$71,0)),0)</f>
        <v>147</v>
      </c>
      <c r="AD229" s="19" t="n">
        <f aca="false">IF($AC229&lt;=0,0,$AB229/$AC229)</f>
        <v>0</v>
      </c>
      <c r="AE229" s="8" t="str">
        <f aca="false">IF($K229="SEM CULTURA","SEM CULTURA",IF($AA229&lt;=0,"DADO PENDENTE",IF($AD229&gt;LIMITE_CRITICO,"INVIAVEL",IF($AD229&gt;LIMITE_ATENCAO,"CRITICO",IF($AD229&gt;LIMITE_CONFORTAVEL,"ATENCAO","OK")))))</f>
        <v>OK</v>
      </c>
      <c r="AF229" s="8" t="str">
        <f aca="false">$B229&amp;"|"&amp;TEXT($AD229,"0.000000")</f>
        <v>26|0.000000</v>
      </c>
      <c r="AG229" s="18" t="n">
        <f aca="false">IF($K229="SEM CULTURA",0,$T229*$H229)</f>
        <v>1130.773</v>
      </c>
      <c r="AH229" s="18" t="n">
        <f aca="false">IF($K229="SEM CULTURA",0,$V229*$H229)</f>
        <v>3140.0432</v>
      </c>
      <c r="AI229" s="18" t="n">
        <f aca="false">IF($K229="SEM CULTURA",0,$W229*$H229)</f>
        <v>0</v>
      </c>
      <c r="AJ229" s="18" t="n">
        <f aca="false">IF($K229="SEM CULTURA",0,$S229*$H229)</f>
        <v>3230.78</v>
      </c>
      <c r="AK229" s="8" t="str">
        <f aca="false">$E229&amp;"|"&amp;TEXT($AD229,"0.000000")</f>
        <v>PV 105|0.000000</v>
      </c>
    </row>
    <row r="230" customFormat="false" ht="15" hidden="false" customHeight="false" outlineLevel="0" collapsed="false">
      <c r="B230" s="16" t="n">
        <v>27</v>
      </c>
      <c r="C230" s="17" t="n">
        <f aca="false">DATA_INICIO_SAFRA+($B230-1)*DIAS_POR_SEMANA</f>
        <v>46447</v>
      </c>
      <c r="D230" s="17" t="n">
        <f aca="false">$C230+DIAS_POR_SEMANA-1</f>
        <v>46453</v>
      </c>
      <c r="E230" s="15" t="s">
        <v>262</v>
      </c>
      <c r="F230" s="8" t="str">
        <f aca="false">IFERROR(INDEX(CADASTRO_PIVOS!$C$6:$C$41,MATCH($E230,CADASTRO_PIVOS!$B$6:$B$41,0)),"?")</f>
        <v>RM03</v>
      </c>
      <c r="G230" s="8" t="str">
        <f aca="false">IFERROR(INDEX(CADASTRO_PIVOS!$D$6:$D$41,MATCH($E230,CADASTRO_PIVOS!$B$6:$B$41,0)),"?")</f>
        <v>TR03</v>
      </c>
      <c r="H230" s="20" t="n">
        <f aca="false">IFERROR(INDEX(CADASTRO_PIVOS!$E$6:$E$41,MATCH($E230,CADASTRO_PIVOS!$B$6:$B$41,0)),0)</f>
        <v>98.2</v>
      </c>
      <c r="I230" s="16" t="n">
        <f aca="false">IFERROR(SUMIFS(ROTACAO_RDM!$B$6:$B$71,ROTACAO_RDM!$D$6:$D$71,$E230,ROTACAO_RDM!$I$6:$I$71,"&lt;="&amp;$C230+INT(DIAS_POR_SEMANA/2),ROTACAO_RDM!$J$6:$J$71,"&gt;="&amp;$C230+INT(DIAS_POR_SEMANA/2)),0)</f>
        <v>8</v>
      </c>
      <c r="J230" s="16" t="n">
        <f aca="false">IFERROR(MATCH($I230,ROTACAO_RDM!$B$6:$B$71,0),0)</f>
        <v>8</v>
      </c>
      <c r="K230" s="8" t="str">
        <f aca="false">IF($J230=0,"SEM CULTURA",INDEX(ROTACAO_RDM!$F$6:$F$71,$J230))</f>
        <v>ALGODAO</v>
      </c>
      <c r="L230" s="8" t="str">
        <f aca="false">IF($J230=0,"",INDEX(ROTACAO_RDM!$G$6:$G$71,$J230))</f>
        <v>FM 933 STP</v>
      </c>
      <c r="M230" s="17" t="n">
        <f aca="false">IF($J230=0,"",INDEX(ROTACAO_RDM!$I$6:$I$71,$J230))</f>
        <v>46424</v>
      </c>
      <c r="N230" s="16" t="n">
        <f aca="false">IF($J230=0,0,MAX(0,$C230+INT(DIAS_POR_SEMANA/2)-INDEX(ROTACAO_RDM!$I$6:$I$71,$J230)))</f>
        <v>26</v>
      </c>
      <c r="O230" s="19" t="n">
        <f aca="false">IF($J230=0,0,MIN(1,$N230/MAX(1,INDEX(ROTACAO_RDM!$K$6:$K$71,$J230))))</f>
        <v>0.133333333333333</v>
      </c>
      <c r="P230" s="16" t="n">
        <f aca="false">IF($J230=0,0,IFERROR(MATCH(INDEX(ROTACAO_RDM!$N$6:$N$71,$J230),PARAMETROS_CULTURAS!$B$6:$B$28,0),0))</f>
        <v>5</v>
      </c>
      <c r="Q230" s="8" t="str">
        <f aca="false">IF($P230=0,"-",IF($O230&lt;=INDEX(PARAMETROS_CULTURAS!$F$6:$F$28,$P230),"INICIAL",IF($O230&lt;=INDEX(PARAMETROS_CULTURAS!$F$6:$F$28,$P230)+INDEX(PARAMETROS_CULTURAS!$G$6:$G$28,$P230),"DESENVOLVIMENTO",IF($O230&lt;=INDEX(PARAMETROS_CULTURAS!$F$6:$F$28,$P230)+INDEX(PARAMETROS_CULTURAS!$G$6:$G$28,$P230)+INDEX(PARAMETROS_CULTURAS!$H$6:$H$28,$P230),"MEDIA","FINAL"))))</f>
        <v>INICIAL</v>
      </c>
      <c r="R230" s="24" t="n">
        <f aca="false">IF($P230=0,0,IF($O230&lt;=INDEX(PARAMETROS_CULTURAS!$F$6:$F$28,$P230),INDEX(PARAMETROS_CULTURAS!$K$6:$K$28,$P230),IF($O230&lt;=INDEX(PARAMETROS_CULTURAS!$F$6:$F$28,$P230)+INDEX(PARAMETROS_CULTURAS!$G$6:$G$28,$P230),INDEX(PARAMETROS_CULTURAS!$K$6:$K$28,$P230)+(INDEX(PARAMETROS_CULTURAS!$L$6:$L$28,$P230)-INDEX(PARAMETROS_CULTURAS!$K$6:$K$28,$P230))*($O230-INDEX(PARAMETROS_CULTURAS!$F$6:$F$28,$P230))/MAX(INDEX(PARAMETROS_CULTURAS!$G$6:$G$28,$P230),0.0001),IF($O230&lt;=INDEX(PARAMETROS_CULTURAS!$F$6:$F$28,$P230)+INDEX(PARAMETROS_CULTURAS!$G$6:$G$28,$P230)+INDEX(PARAMETROS_CULTURAS!$H$6:$H$28,$P230),INDEX(PARAMETROS_CULTURAS!$L$6:$L$28,$P230),INDEX(PARAMETROS_CULTURAS!$L$6:$L$28,$P230)+(INDEX(PARAMETROS_CULTURAS!$M$6:$M$28,$P230)-INDEX(PARAMETROS_CULTURAS!$L$6:$L$28,$P230))*($O230-INDEX(PARAMETROS_CULTURAS!$F$6:$F$28,$P230)-INDEX(PARAMETROS_CULTURAS!$G$6:$G$28,$P230)-INDEX(PARAMETROS_CULTURAS!$H$6:$H$28,$P230))/MAX(INDEX(PARAMETROS_CULTURAS!$I$6:$I$28,$P230),0.0001)))))</f>
        <v>0.35</v>
      </c>
      <c r="S230" s="18" t="n">
        <f aca="false">IFERROR(INDEX(SEMANAS!$H$6:$H$71,MATCH($B230,SEMANAS!$B$6:$B$71,0)),0)</f>
        <v>32.2</v>
      </c>
      <c r="T230" s="18" t="n">
        <f aca="false">$R230*$S230</f>
        <v>11.27</v>
      </c>
      <c r="U230" s="18" t="n">
        <f aca="false">IFERROR(INDEX(SEMANAS!$I$6:$I$71,MATCH($B230,SEMANAS!$B$6:$B$71,0)),0)</f>
        <v>37.24</v>
      </c>
      <c r="V230" s="18" t="n">
        <f aca="false">IFERROR(INDEX(SEMANAS!$J$6:$J$71,MATCH($B230,SEMANAS!$B$6:$B$71,0)),0)</f>
        <v>29.792</v>
      </c>
      <c r="W230" s="18" t="n">
        <f aca="false">MAX(0,$T230-$V230)</f>
        <v>0</v>
      </c>
      <c r="X230" s="19" t="n">
        <f aca="false">IFERROR(INDEX(CADASTRO_PIVOS!$K$6:$K$41,MATCH($E230,CADASTRO_PIVOS!$B$6:$B$41,0)),EFICIENCIA_PADRAO)</f>
        <v>0.85</v>
      </c>
      <c r="Y230" s="18" t="n">
        <f aca="false">IF($X230&lt;=0,0,$W230/$X230)</f>
        <v>0</v>
      </c>
      <c r="Z230" s="16" t="n">
        <f aca="false">$Y230*$H230*MM_PARA_M3_HA</f>
        <v>0</v>
      </c>
      <c r="AA230" s="18" t="n">
        <f aca="false">IFERROR(INDEX(CADASTRO_PIVOS!$I$6:$I$41,MATCH($E230,CADASTRO_PIVOS!$B$6:$B$41,0)),0)</f>
        <v>701.428571428571</v>
      </c>
      <c r="AB230" s="18" t="n">
        <f aca="false">IF($Z230&lt;=0,0,$Z230/$AA230)</f>
        <v>0</v>
      </c>
      <c r="AC230" s="16" t="n">
        <f aca="false">IFERROR(INDEX(SEMANAS!$K$6:$K$71,MATCH($B230,SEMANAS!$B$6:$B$71,0)),0)</f>
        <v>147</v>
      </c>
      <c r="AD230" s="19" t="n">
        <f aca="false">IF($AC230&lt;=0,0,$AB230/$AC230)</f>
        <v>0</v>
      </c>
      <c r="AE230" s="8" t="str">
        <f aca="false">IF($K230="SEM CULTURA","SEM CULTURA",IF($AA230&lt;=0,"DADO PENDENTE",IF($AD230&gt;LIMITE_CRITICO,"INVIAVEL",IF($AD230&gt;LIMITE_ATENCAO,"CRITICO",IF($AD230&gt;LIMITE_CONFORTAVEL,"ATENCAO","OK")))))</f>
        <v>OK</v>
      </c>
      <c r="AF230" s="8" t="str">
        <f aca="false">$B230&amp;"|"&amp;TEXT($AD230,"0.000000")</f>
        <v>27|0.000000</v>
      </c>
      <c r="AG230" s="18" t="n">
        <f aca="false">IF($K230="SEM CULTURA",0,$T230*$H230)</f>
        <v>1106.714</v>
      </c>
      <c r="AH230" s="18" t="n">
        <f aca="false">IF($K230="SEM CULTURA",0,$V230*$H230)</f>
        <v>2925.5744</v>
      </c>
      <c r="AI230" s="18" t="n">
        <f aca="false">IF($K230="SEM CULTURA",0,$W230*$H230)</f>
        <v>0</v>
      </c>
      <c r="AJ230" s="18" t="n">
        <f aca="false">IF($K230="SEM CULTURA",0,$S230*$H230)</f>
        <v>3162.04</v>
      </c>
      <c r="AK230" s="8" t="str">
        <f aca="false">$E230&amp;"|"&amp;TEXT($AD230,"0.000000")</f>
        <v>PV 105|0.000000</v>
      </c>
    </row>
    <row r="231" customFormat="false" ht="15" hidden="false" customHeight="false" outlineLevel="0" collapsed="false">
      <c r="B231" s="16" t="n">
        <v>28</v>
      </c>
      <c r="C231" s="17" t="n">
        <f aca="false">DATA_INICIO_SAFRA+($B231-1)*DIAS_POR_SEMANA</f>
        <v>46454</v>
      </c>
      <c r="D231" s="17" t="n">
        <f aca="false">$C231+DIAS_POR_SEMANA-1</f>
        <v>46460</v>
      </c>
      <c r="E231" s="15" t="s">
        <v>262</v>
      </c>
      <c r="F231" s="8" t="str">
        <f aca="false">IFERROR(INDEX(CADASTRO_PIVOS!$C$6:$C$41,MATCH($E231,CADASTRO_PIVOS!$B$6:$B$41,0)),"?")</f>
        <v>RM03</v>
      </c>
      <c r="G231" s="8" t="str">
        <f aca="false">IFERROR(INDEX(CADASTRO_PIVOS!$D$6:$D$41,MATCH($E231,CADASTRO_PIVOS!$B$6:$B$41,0)),"?")</f>
        <v>TR03</v>
      </c>
      <c r="H231" s="20" t="n">
        <f aca="false">IFERROR(INDEX(CADASTRO_PIVOS!$E$6:$E$41,MATCH($E231,CADASTRO_PIVOS!$B$6:$B$41,0)),0)</f>
        <v>98.2</v>
      </c>
      <c r="I231" s="16" t="n">
        <f aca="false">IFERROR(SUMIFS(ROTACAO_RDM!$B$6:$B$71,ROTACAO_RDM!$D$6:$D$71,$E231,ROTACAO_RDM!$I$6:$I$71,"&lt;="&amp;$C231+INT(DIAS_POR_SEMANA/2),ROTACAO_RDM!$J$6:$J$71,"&gt;="&amp;$C231+INT(DIAS_POR_SEMANA/2)),0)</f>
        <v>8</v>
      </c>
      <c r="J231" s="16" t="n">
        <f aca="false">IFERROR(MATCH($I231,ROTACAO_RDM!$B$6:$B$71,0),0)</f>
        <v>8</v>
      </c>
      <c r="K231" s="8" t="str">
        <f aca="false">IF($J231=0,"SEM CULTURA",INDEX(ROTACAO_RDM!$F$6:$F$71,$J231))</f>
        <v>ALGODAO</v>
      </c>
      <c r="L231" s="8" t="str">
        <f aca="false">IF($J231=0,"",INDEX(ROTACAO_RDM!$G$6:$G$71,$J231))</f>
        <v>FM 933 STP</v>
      </c>
      <c r="M231" s="17" t="n">
        <f aca="false">IF($J231=0,"",INDEX(ROTACAO_RDM!$I$6:$I$71,$J231))</f>
        <v>46424</v>
      </c>
      <c r="N231" s="16" t="n">
        <f aca="false">IF($J231=0,0,MAX(0,$C231+INT(DIAS_POR_SEMANA/2)-INDEX(ROTACAO_RDM!$I$6:$I$71,$J231)))</f>
        <v>33</v>
      </c>
      <c r="O231" s="19" t="n">
        <f aca="false">IF($J231=0,0,MIN(1,$N231/MAX(1,INDEX(ROTACAO_RDM!$K$6:$K$71,$J231))))</f>
        <v>0.169230769230769</v>
      </c>
      <c r="P231" s="16" t="n">
        <f aca="false">IF($J231=0,0,IFERROR(MATCH(INDEX(ROTACAO_RDM!$N$6:$N$71,$J231),PARAMETROS_CULTURAS!$B$6:$B$28,0),0))</f>
        <v>5</v>
      </c>
      <c r="Q231" s="8" t="str">
        <f aca="false">IF($P231=0,"-",IF($O231&lt;=INDEX(PARAMETROS_CULTURAS!$F$6:$F$28,$P231),"INICIAL",IF($O231&lt;=INDEX(PARAMETROS_CULTURAS!$F$6:$F$28,$P231)+INDEX(PARAMETROS_CULTURAS!$G$6:$G$28,$P231),"DESENVOLVIMENTO",IF($O231&lt;=INDEX(PARAMETROS_CULTURAS!$F$6:$F$28,$P231)+INDEX(PARAMETROS_CULTURAS!$G$6:$G$28,$P231)+INDEX(PARAMETROS_CULTURAS!$H$6:$H$28,$P231),"MEDIA","FINAL"))))</f>
        <v>DESENVOLVIMENTO</v>
      </c>
      <c r="R231" s="24" t="n">
        <f aca="false">IF($P231=0,0,IF($O231&lt;=INDEX(PARAMETROS_CULTURAS!$F$6:$F$28,$P231),INDEX(PARAMETROS_CULTURAS!$K$6:$K$28,$P231),IF($O231&lt;=INDEX(PARAMETROS_CULTURAS!$F$6:$F$28,$P231)+INDEX(PARAMETROS_CULTURAS!$G$6:$G$28,$P231),INDEX(PARAMETROS_CULTURAS!$K$6:$K$28,$P231)+(INDEX(PARAMETROS_CULTURAS!$L$6:$L$28,$P231)-INDEX(PARAMETROS_CULTURAS!$K$6:$K$28,$P231))*($O231-INDEX(PARAMETROS_CULTURAS!$F$6:$F$28,$P231))/MAX(INDEX(PARAMETROS_CULTURAS!$G$6:$G$28,$P231),0.0001),IF($O231&lt;=INDEX(PARAMETROS_CULTURAS!$F$6:$F$28,$P231)+INDEX(PARAMETROS_CULTURAS!$G$6:$G$28,$P231)+INDEX(PARAMETROS_CULTURAS!$H$6:$H$28,$P231),INDEX(PARAMETROS_CULTURAS!$L$6:$L$28,$P231),INDEX(PARAMETROS_CULTURAS!$L$6:$L$28,$P231)+(INDEX(PARAMETROS_CULTURAS!$M$6:$M$28,$P231)-INDEX(PARAMETROS_CULTURAS!$L$6:$L$28,$P231))*($O231-INDEX(PARAMETROS_CULTURAS!$F$6:$F$28,$P231)-INDEX(PARAMETROS_CULTURAS!$G$6:$G$28,$P231)-INDEX(PARAMETROS_CULTURAS!$H$6:$H$28,$P231))/MAX(INDEX(PARAMETROS_CULTURAS!$I$6:$I$28,$P231),0.0001)))))</f>
        <v>0.409171597633136</v>
      </c>
      <c r="S231" s="18" t="n">
        <f aca="false">IFERROR(INDEX(SEMANAS!$H$6:$H$71,MATCH($B231,SEMANAS!$B$6:$B$71,0)),0)</f>
        <v>32.2</v>
      </c>
      <c r="T231" s="18" t="n">
        <f aca="false">$R231*$S231</f>
        <v>13.175325443787</v>
      </c>
      <c r="U231" s="18" t="n">
        <f aca="false">IFERROR(INDEX(SEMANAS!$I$6:$I$71,MATCH($B231,SEMANAS!$B$6:$B$71,0)),0)</f>
        <v>37.24</v>
      </c>
      <c r="V231" s="18" t="n">
        <f aca="false">IFERROR(INDEX(SEMANAS!$J$6:$J$71,MATCH($B231,SEMANAS!$B$6:$B$71,0)),0)</f>
        <v>29.792</v>
      </c>
      <c r="W231" s="18" t="n">
        <f aca="false">MAX(0,$T231-$V231)</f>
        <v>0</v>
      </c>
      <c r="X231" s="19" t="n">
        <f aca="false">IFERROR(INDEX(CADASTRO_PIVOS!$K$6:$K$41,MATCH($E231,CADASTRO_PIVOS!$B$6:$B$41,0)),EFICIENCIA_PADRAO)</f>
        <v>0.85</v>
      </c>
      <c r="Y231" s="18" t="n">
        <f aca="false">IF($X231&lt;=0,0,$W231/$X231)</f>
        <v>0</v>
      </c>
      <c r="Z231" s="16" t="n">
        <f aca="false">$Y231*$H231*MM_PARA_M3_HA</f>
        <v>0</v>
      </c>
      <c r="AA231" s="18" t="n">
        <f aca="false">IFERROR(INDEX(CADASTRO_PIVOS!$I$6:$I$41,MATCH($E231,CADASTRO_PIVOS!$B$6:$B$41,0)),0)</f>
        <v>701.428571428571</v>
      </c>
      <c r="AB231" s="18" t="n">
        <f aca="false">IF($Z231&lt;=0,0,$Z231/$AA231)</f>
        <v>0</v>
      </c>
      <c r="AC231" s="16" t="n">
        <f aca="false">IFERROR(INDEX(SEMANAS!$K$6:$K$71,MATCH($B231,SEMANAS!$B$6:$B$71,0)),0)</f>
        <v>147</v>
      </c>
      <c r="AD231" s="19" t="n">
        <f aca="false">IF($AC231&lt;=0,0,$AB231/$AC231)</f>
        <v>0</v>
      </c>
      <c r="AE231" s="8" t="str">
        <f aca="false">IF($K231="SEM CULTURA","SEM CULTURA",IF($AA231&lt;=0,"DADO PENDENTE",IF($AD231&gt;LIMITE_CRITICO,"INVIAVEL",IF($AD231&gt;LIMITE_ATENCAO,"CRITICO",IF($AD231&gt;LIMITE_CONFORTAVEL,"ATENCAO","OK")))))</f>
        <v>OK</v>
      </c>
      <c r="AF231" s="8" t="str">
        <f aca="false">$B231&amp;"|"&amp;TEXT($AD231,"0.000000")</f>
        <v>28|0.000000</v>
      </c>
      <c r="AG231" s="18" t="n">
        <f aca="false">IF($K231="SEM CULTURA",0,$T231*$H231)</f>
        <v>1293.81695857988</v>
      </c>
      <c r="AH231" s="18" t="n">
        <f aca="false">IF($K231="SEM CULTURA",0,$V231*$H231)</f>
        <v>2925.5744</v>
      </c>
      <c r="AI231" s="18" t="n">
        <f aca="false">IF($K231="SEM CULTURA",0,$W231*$H231)</f>
        <v>0</v>
      </c>
      <c r="AJ231" s="18" t="n">
        <f aca="false">IF($K231="SEM CULTURA",0,$S231*$H231)</f>
        <v>3162.04</v>
      </c>
      <c r="AK231" s="8" t="str">
        <f aca="false">$E231&amp;"|"&amp;TEXT($AD231,"0.000000")</f>
        <v>PV 105|0.000000</v>
      </c>
    </row>
    <row r="232" customFormat="false" ht="15" hidden="false" customHeight="false" outlineLevel="0" collapsed="false">
      <c r="B232" s="16" t="n">
        <v>29</v>
      </c>
      <c r="C232" s="17" t="n">
        <f aca="false">DATA_INICIO_SAFRA+($B232-1)*DIAS_POR_SEMANA</f>
        <v>46461</v>
      </c>
      <c r="D232" s="17" t="n">
        <f aca="false">$C232+DIAS_POR_SEMANA-1</f>
        <v>46467</v>
      </c>
      <c r="E232" s="15" t="s">
        <v>262</v>
      </c>
      <c r="F232" s="8" t="str">
        <f aca="false">IFERROR(INDEX(CADASTRO_PIVOS!$C$6:$C$41,MATCH($E232,CADASTRO_PIVOS!$B$6:$B$41,0)),"?")</f>
        <v>RM03</v>
      </c>
      <c r="G232" s="8" t="str">
        <f aca="false">IFERROR(INDEX(CADASTRO_PIVOS!$D$6:$D$41,MATCH($E232,CADASTRO_PIVOS!$B$6:$B$41,0)),"?")</f>
        <v>TR03</v>
      </c>
      <c r="H232" s="20" t="n">
        <f aca="false">IFERROR(INDEX(CADASTRO_PIVOS!$E$6:$E$41,MATCH($E232,CADASTRO_PIVOS!$B$6:$B$41,0)),0)</f>
        <v>98.2</v>
      </c>
      <c r="I232" s="16" t="n">
        <f aca="false">IFERROR(SUMIFS(ROTACAO_RDM!$B$6:$B$71,ROTACAO_RDM!$D$6:$D$71,$E232,ROTACAO_RDM!$I$6:$I$71,"&lt;="&amp;$C232+INT(DIAS_POR_SEMANA/2),ROTACAO_RDM!$J$6:$J$71,"&gt;="&amp;$C232+INT(DIAS_POR_SEMANA/2)),0)</f>
        <v>8</v>
      </c>
      <c r="J232" s="16" t="n">
        <f aca="false">IFERROR(MATCH($I232,ROTACAO_RDM!$B$6:$B$71,0),0)</f>
        <v>8</v>
      </c>
      <c r="K232" s="8" t="str">
        <f aca="false">IF($J232=0,"SEM CULTURA",INDEX(ROTACAO_RDM!$F$6:$F$71,$J232))</f>
        <v>ALGODAO</v>
      </c>
      <c r="L232" s="8" t="str">
        <f aca="false">IF($J232=0,"",INDEX(ROTACAO_RDM!$G$6:$G$71,$J232))</f>
        <v>FM 933 STP</v>
      </c>
      <c r="M232" s="17" t="n">
        <f aca="false">IF($J232=0,"",INDEX(ROTACAO_RDM!$I$6:$I$71,$J232))</f>
        <v>46424</v>
      </c>
      <c r="N232" s="16" t="n">
        <f aca="false">IF($J232=0,0,MAX(0,$C232+INT(DIAS_POR_SEMANA/2)-INDEX(ROTACAO_RDM!$I$6:$I$71,$J232)))</f>
        <v>40</v>
      </c>
      <c r="O232" s="19" t="n">
        <f aca="false">IF($J232=0,0,MIN(1,$N232/MAX(1,INDEX(ROTACAO_RDM!$K$6:$K$71,$J232))))</f>
        <v>0.205128205128205</v>
      </c>
      <c r="P232" s="16" t="n">
        <f aca="false">IF($J232=0,0,IFERROR(MATCH(INDEX(ROTACAO_RDM!$N$6:$N$71,$J232),PARAMETROS_CULTURAS!$B$6:$B$28,0),0))</f>
        <v>5</v>
      </c>
      <c r="Q232" s="8" t="str">
        <f aca="false">IF($P232=0,"-",IF($O232&lt;=INDEX(PARAMETROS_CULTURAS!$F$6:$F$28,$P232),"INICIAL",IF($O232&lt;=INDEX(PARAMETROS_CULTURAS!$F$6:$F$28,$P232)+INDEX(PARAMETROS_CULTURAS!$G$6:$G$28,$P232),"DESENVOLVIMENTO",IF($O232&lt;=INDEX(PARAMETROS_CULTURAS!$F$6:$F$28,$P232)+INDEX(PARAMETROS_CULTURAS!$G$6:$G$28,$P232)+INDEX(PARAMETROS_CULTURAS!$H$6:$H$28,$P232),"MEDIA","FINAL"))))</f>
        <v>DESENVOLVIMENTO</v>
      </c>
      <c r="R232" s="24" t="n">
        <f aca="false">IF($P232=0,0,IF($O232&lt;=INDEX(PARAMETROS_CULTURAS!$F$6:$F$28,$P232),INDEX(PARAMETROS_CULTURAS!$K$6:$K$28,$P232),IF($O232&lt;=INDEX(PARAMETROS_CULTURAS!$F$6:$F$28,$P232)+INDEX(PARAMETROS_CULTURAS!$G$6:$G$28,$P232),INDEX(PARAMETROS_CULTURAS!$K$6:$K$28,$P232)+(INDEX(PARAMETROS_CULTURAS!$L$6:$L$28,$P232)-INDEX(PARAMETROS_CULTURAS!$K$6:$K$28,$P232))*($O232-INDEX(PARAMETROS_CULTURAS!$F$6:$F$28,$P232))/MAX(INDEX(PARAMETROS_CULTURAS!$G$6:$G$28,$P232),0.0001),IF($O232&lt;=INDEX(PARAMETROS_CULTURAS!$F$6:$F$28,$P232)+INDEX(PARAMETROS_CULTURAS!$G$6:$G$28,$P232)+INDEX(PARAMETROS_CULTURAS!$H$6:$H$28,$P232),INDEX(PARAMETROS_CULTURAS!$L$6:$L$28,$P232),INDEX(PARAMETROS_CULTURAS!$L$6:$L$28,$P232)+(INDEX(PARAMETROS_CULTURAS!$M$6:$M$28,$P232)-INDEX(PARAMETROS_CULTURAS!$L$6:$L$28,$P232))*($O232-INDEX(PARAMETROS_CULTURAS!$F$6:$F$28,$P232)-INDEX(PARAMETROS_CULTURAS!$G$6:$G$28,$P232)-INDEX(PARAMETROS_CULTURAS!$H$6:$H$28,$P232))/MAX(INDEX(PARAMETROS_CULTURAS!$I$6:$I$28,$P232),0.0001)))))</f>
        <v>0.519625246548323</v>
      </c>
      <c r="S232" s="18" t="n">
        <f aca="false">IFERROR(INDEX(SEMANAS!$H$6:$H$71,MATCH($B232,SEMANAS!$B$6:$B$71,0)),0)</f>
        <v>32.2</v>
      </c>
      <c r="T232" s="18" t="n">
        <f aca="false">$R232*$S232</f>
        <v>16.731932938856</v>
      </c>
      <c r="U232" s="18" t="n">
        <f aca="false">IFERROR(INDEX(SEMANAS!$I$6:$I$71,MATCH($B232,SEMANAS!$B$6:$B$71,0)),0)</f>
        <v>37.24</v>
      </c>
      <c r="V232" s="18" t="n">
        <f aca="false">IFERROR(INDEX(SEMANAS!$J$6:$J$71,MATCH($B232,SEMANAS!$B$6:$B$71,0)),0)</f>
        <v>29.792</v>
      </c>
      <c r="W232" s="18" t="n">
        <f aca="false">MAX(0,$T232-$V232)</f>
        <v>0</v>
      </c>
      <c r="X232" s="19" t="n">
        <f aca="false">IFERROR(INDEX(CADASTRO_PIVOS!$K$6:$K$41,MATCH($E232,CADASTRO_PIVOS!$B$6:$B$41,0)),EFICIENCIA_PADRAO)</f>
        <v>0.85</v>
      </c>
      <c r="Y232" s="18" t="n">
        <f aca="false">IF($X232&lt;=0,0,$W232/$X232)</f>
        <v>0</v>
      </c>
      <c r="Z232" s="16" t="n">
        <f aca="false">$Y232*$H232*MM_PARA_M3_HA</f>
        <v>0</v>
      </c>
      <c r="AA232" s="18" t="n">
        <f aca="false">IFERROR(INDEX(CADASTRO_PIVOS!$I$6:$I$41,MATCH($E232,CADASTRO_PIVOS!$B$6:$B$41,0)),0)</f>
        <v>701.428571428571</v>
      </c>
      <c r="AB232" s="18" t="n">
        <f aca="false">IF($Z232&lt;=0,0,$Z232/$AA232)</f>
        <v>0</v>
      </c>
      <c r="AC232" s="16" t="n">
        <f aca="false">IFERROR(INDEX(SEMANAS!$K$6:$K$71,MATCH($B232,SEMANAS!$B$6:$B$71,0)),0)</f>
        <v>147</v>
      </c>
      <c r="AD232" s="19" t="n">
        <f aca="false">IF($AC232&lt;=0,0,$AB232/$AC232)</f>
        <v>0</v>
      </c>
      <c r="AE232" s="8" t="str">
        <f aca="false">IF($K232="SEM CULTURA","SEM CULTURA",IF($AA232&lt;=0,"DADO PENDENTE",IF($AD232&gt;LIMITE_CRITICO,"INVIAVEL",IF($AD232&gt;LIMITE_ATENCAO,"CRITICO",IF($AD232&gt;LIMITE_CONFORTAVEL,"ATENCAO","OK")))))</f>
        <v>OK</v>
      </c>
      <c r="AF232" s="8" t="str">
        <f aca="false">$B232&amp;"|"&amp;TEXT($AD232,"0.000000")</f>
        <v>29|0.000000</v>
      </c>
      <c r="AG232" s="18" t="n">
        <f aca="false">IF($K232="SEM CULTURA",0,$T232*$H232)</f>
        <v>1643.07581459566</v>
      </c>
      <c r="AH232" s="18" t="n">
        <f aca="false">IF($K232="SEM CULTURA",0,$V232*$H232)</f>
        <v>2925.5744</v>
      </c>
      <c r="AI232" s="18" t="n">
        <f aca="false">IF($K232="SEM CULTURA",0,$W232*$H232)</f>
        <v>0</v>
      </c>
      <c r="AJ232" s="18" t="n">
        <f aca="false">IF($K232="SEM CULTURA",0,$S232*$H232)</f>
        <v>3162.04</v>
      </c>
      <c r="AK232" s="8" t="str">
        <f aca="false">$E232&amp;"|"&amp;TEXT($AD232,"0.000000")</f>
        <v>PV 105|0.000000</v>
      </c>
    </row>
    <row r="233" customFormat="false" ht="15" hidden="false" customHeight="false" outlineLevel="0" collapsed="false">
      <c r="B233" s="16" t="n">
        <v>30</v>
      </c>
      <c r="C233" s="17" t="n">
        <f aca="false">DATA_INICIO_SAFRA+($B233-1)*DIAS_POR_SEMANA</f>
        <v>46468</v>
      </c>
      <c r="D233" s="17" t="n">
        <f aca="false">$C233+DIAS_POR_SEMANA-1</f>
        <v>46474</v>
      </c>
      <c r="E233" s="15" t="s">
        <v>262</v>
      </c>
      <c r="F233" s="8" t="str">
        <f aca="false">IFERROR(INDEX(CADASTRO_PIVOS!$C$6:$C$41,MATCH($E233,CADASTRO_PIVOS!$B$6:$B$41,0)),"?")</f>
        <v>RM03</v>
      </c>
      <c r="G233" s="8" t="str">
        <f aca="false">IFERROR(INDEX(CADASTRO_PIVOS!$D$6:$D$41,MATCH($E233,CADASTRO_PIVOS!$B$6:$B$41,0)),"?")</f>
        <v>TR03</v>
      </c>
      <c r="H233" s="20" t="n">
        <f aca="false">IFERROR(INDEX(CADASTRO_PIVOS!$E$6:$E$41,MATCH($E233,CADASTRO_PIVOS!$B$6:$B$41,0)),0)</f>
        <v>98.2</v>
      </c>
      <c r="I233" s="16" t="n">
        <f aca="false">IFERROR(SUMIFS(ROTACAO_RDM!$B$6:$B$71,ROTACAO_RDM!$D$6:$D$71,$E233,ROTACAO_RDM!$I$6:$I$71,"&lt;="&amp;$C233+INT(DIAS_POR_SEMANA/2),ROTACAO_RDM!$J$6:$J$71,"&gt;="&amp;$C233+INT(DIAS_POR_SEMANA/2)),0)</f>
        <v>8</v>
      </c>
      <c r="J233" s="16" t="n">
        <f aca="false">IFERROR(MATCH($I233,ROTACAO_RDM!$B$6:$B$71,0),0)</f>
        <v>8</v>
      </c>
      <c r="K233" s="8" t="str">
        <f aca="false">IF($J233=0,"SEM CULTURA",INDEX(ROTACAO_RDM!$F$6:$F$71,$J233))</f>
        <v>ALGODAO</v>
      </c>
      <c r="L233" s="8" t="str">
        <f aca="false">IF($J233=0,"",INDEX(ROTACAO_RDM!$G$6:$G$71,$J233))</f>
        <v>FM 933 STP</v>
      </c>
      <c r="M233" s="17" t="n">
        <f aca="false">IF($J233=0,"",INDEX(ROTACAO_RDM!$I$6:$I$71,$J233))</f>
        <v>46424</v>
      </c>
      <c r="N233" s="16" t="n">
        <f aca="false">IF($J233=0,0,MAX(0,$C233+INT(DIAS_POR_SEMANA/2)-INDEX(ROTACAO_RDM!$I$6:$I$71,$J233)))</f>
        <v>47</v>
      </c>
      <c r="O233" s="19" t="n">
        <f aca="false">IF($J233=0,0,MIN(1,$N233/MAX(1,INDEX(ROTACAO_RDM!$K$6:$K$71,$J233))))</f>
        <v>0.241025641025641</v>
      </c>
      <c r="P233" s="16" t="n">
        <f aca="false">IF($J233=0,0,IFERROR(MATCH(INDEX(ROTACAO_RDM!$N$6:$N$71,$J233),PARAMETROS_CULTURAS!$B$6:$B$28,0),0))</f>
        <v>5</v>
      </c>
      <c r="Q233" s="8" t="str">
        <f aca="false">IF($P233=0,"-",IF($O233&lt;=INDEX(PARAMETROS_CULTURAS!$F$6:$F$28,$P233),"INICIAL",IF($O233&lt;=INDEX(PARAMETROS_CULTURAS!$F$6:$F$28,$P233)+INDEX(PARAMETROS_CULTURAS!$G$6:$G$28,$P233),"DESENVOLVIMENTO",IF($O233&lt;=INDEX(PARAMETROS_CULTURAS!$F$6:$F$28,$P233)+INDEX(PARAMETROS_CULTURAS!$G$6:$G$28,$P233)+INDEX(PARAMETROS_CULTURAS!$H$6:$H$28,$P233),"MEDIA","FINAL"))))</f>
        <v>DESENVOLVIMENTO</v>
      </c>
      <c r="R233" s="24" t="n">
        <f aca="false">IF($P233=0,0,IF($O233&lt;=INDEX(PARAMETROS_CULTURAS!$F$6:$F$28,$P233),INDEX(PARAMETROS_CULTURAS!$K$6:$K$28,$P233),IF($O233&lt;=INDEX(PARAMETROS_CULTURAS!$F$6:$F$28,$P233)+INDEX(PARAMETROS_CULTURAS!$G$6:$G$28,$P233),INDEX(PARAMETROS_CULTURAS!$K$6:$K$28,$P233)+(INDEX(PARAMETROS_CULTURAS!$L$6:$L$28,$P233)-INDEX(PARAMETROS_CULTURAS!$K$6:$K$28,$P233))*($O233-INDEX(PARAMETROS_CULTURAS!$F$6:$F$28,$P233))/MAX(INDEX(PARAMETROS_CULTURAS!$G$6:$G$28,$P233),0.0001),IF($O233&lt;=INDEX(PARAMETROS_CULTURAS!$F$6:$F$28,$P233)+INDEX(PARAMETROS_CULTURAS!$G$6:$G$28,$P233)+INDEX(PARAMETROS_CULTURAS!$H$6:$H$28,$P233),INDEX(PARAMETROS_CULTURAS!$L$6:$L$28,$P233),INDEX(PARAMETROS_CULTURAS!$L$6:$L$28,$P233)+(INDEX(PARAMETROS_CULTURAS!$M$6:$M$28,$P233)-INDEX(PARAMETROS_CULTURAS!$L$6:$L$28,$P233))*($O233-INDEX(PARAMETROS_CULTURAS!$F$6:$F$28,$P233)-INDEX(PARAMETROS_CULTURAS!$G$6:$G$28,$P233)-INDEX(PARAMETROS_CULTURAS!$H$6:$H$28,$P233))/MAX(INDEX(PARAMETROS_CULTURAS!$I$6:$I$28,$P233),0.0001)))))</f>
        <v>0.630078895463511</v>
      </c>
      <c r="S233" s="18" t="n">
        <f aca="false">IFERROR(INDEX(SEMANAS!$H$6:$H$71,MATCH($B233,SEMANAS!$B$6:$B$71,0)),0)</f>
        <v>32.2</v>
      </c>
      <c r="T233" s="18" t="n">
        <f aca="false">$R233*$S233</f>
        <v>20.288540433925</v>
      </c>
      <c r="U233" s="18" t="n">
        <f aca="false">IFERROR(INDEX(SEMANAS!$I$6:$I$71,MATCH($B233,SEMANAS!$B$6:$B$71,0)),0)</f>
        <v>37.24</v>
      </c>
      <c r="V233" s="18" t="n">
        <f aca="false">IFERROR(INDEX(SEMANAS!$J$6:$J$71,MATCH($B233,SEMANAS!$B$6:$B$71,0)),0)</f>
        <v>29.792</v>
      </c>
      <c r="W233" s="18" t="n">
        <f aca="false">MAX(0,$T233-$V233)</f>
        <v>0</v>
      </c>
      <c r="X233" s="19" t="n">
        <f aca="false">IFERROR(INDEX(CADASTRO_PIVOS!$K$6:$K$41,MATCH($E233,CADASTRO_PIVOS!$B$6:$B$41,0)),EFICIENCIA_PADRAO)</f>
        <v>0.85</v>
      </c>
      <c r="Y233" s="18" t="n">
        <f aca="false">IF($X233&lt;=0,0,$W233/$X233)</f>
        <v>0</v>
      </c>
      <c r="Z233" s="16" t="n">
        <f aca="false">$Y233*$H233*MM_PARA_M3_HA</f>
        <v>0</v>
      </c>
      <c r="AA233" s="18" t="n">
        <f aca="false">IFERROR(INDEX(CADASTRO_PIVOS!$I$6:$I$41,MATCH($E233,CADASTRO_PIVOS!$B$6:$B$41,0)),0)</f>
        <v>701.428571428571</v>
      </c>
      <c r="AB233" s="18" t="n">
        <f aca="false">IF($Z233&lt;=0,0,$Z233/$AA233)</f>
        <v>0</v>
      </c>
      <c r="AC233" s="16" t="n">
        <f aca="false">IFERROR(INDEX(SEMANAS!$K$6:$K$71,MATCH($B233,SEMANAS!$B$6:$B$71,0)),0)</f>
        <v>147</v>
      </c>
      <c r="AD233" s="19" t="n">
        <f aca="false">IF($AC233&lt;=0,0,$AB233/$AC233)</f>
        <v>0</v>
      </c>
      <c r="AE233" s="8" t="str">
        <f aca="false">IF($K233="SEM CULTURA","SEM CULTURA",IF($AA233&lt;=0,"DADO PENDENTE",IF($AD233&gt;LIMITE_CRITICO,"INVIAVEL",IF($AD233&gt;LIMITE_ATENCAO,"CRITICO",IF($AD233&gt;LIMITE_CONFORTAVEL,"ATENCAO","OK")))))</f>
        <v>OK</v>
      </c>
      <c r="AF233" s="8" t="str">
        <f aca="false">$B233&amp;"|"&amp;TEXT($AD233,"0.000000")</f>
        <v>30|0.000000</v>
      </c>
      <c r="AG233" s="18" t="n">
        <f aca="false">IF($K233="SEM CULTURA",0,$T233*$H233)</f>
        <v>1992.33467061144</v>
      </c>
      <c r="AH233" s="18" t="n">
        <f aca="false">IF($K233="SEM CULTURA",0,$V233*$H233)</f>
        <v>2925.5744</v>
      </c>
      <c r="AI233" s="18" t="n">
        <f aca="false">IF($K233="SEM CULTURA",0,$W233*$H233)</f>
        <v>0</v>
      </c>
      <c r="AJ233" s="18" t="n">
        <f aca="false">IF($K233="SEM CULTURA",0,$S233*$H233)</f>
        <v>3162.04</v>
      </c>
      <c r="AK233" s="8" t="str">
        <f aca="false">$E233&amp;"|"&amp;TEXT($AD233,"0.000000")</f>
        <v>PV 105|0.000000</v>
      </c>
    </row>
    <row r="234" customFormat="false" ht="15" hidden="false" customHeight="false" outlineLevel="0" collapsed="false">
      <c r="B234" s="16" t="n">
        <v>31</v>
      </c>
      <c r="C234" s="17" t="n">
        <f aca="false">DATA_INICIO_SAFRA+($B234-1)*DIAS_POR_SEMANA</f>
        <v>46475</v>
      </c>
      <c r="D234" s="17" t="n">
        <f aca="false">$C234+DIAS_POR_SEMANA-1</f>
        <v>46481</v>
      </c>
      <c r="E234" s="15" t="s">
        <v>262</v>
      </c>
      <c r="F234" s="8" t="str">
        <f aca="false">IFERROR(INDEX(CADASTRO_PIVOS!$C$6:$C$41,MATCH($E234,CADASTRO_PIVOS!$B$6:$B$41,0)),"?")</f>
        <v>RM03</v>
      </c>
      <c r="G234" s="8" t="str">
        <f aca="false">IFERROR(INDEX(CADASTRO_PIVOS!$D$6:$D$41,MATCH($E234,CADASTRO_PIVOS!$B$6:$B$41,0)),"?")</f>
        <v>TR03</v>
      </c>
      <c r="H234" s="20" t="n">
        <f aca="false">IFERROR(INDEX(CADASTRO_PIVOS!$E$6:$E$41,MATCH($E234,CADASTRO_PIVOS!$B$6:$B$41,0)),0)</f>
        <v>98.2</v>
      </c>
      <c r="I234" s="16" t="n">
        <f aca="false">IFERROR(SUMIFS(ROTACAO_RDM!$B$6:$B$71,ROTACAO_RDM!$D$6:$D$71,$E234,ROTACAO_RDM!$I$6:$I$71,"&lt;="&amp;$C234+INT(DIAS_POR_SEMANA/2),ROTACAO_RDM!$J$6:$J$71,"&gt;="&amp;$C234+INT(DIAS_POR_SEMANA/2)),0)</f>
        <v>8</v>
      </c>
      <c r="J234" s="16" t="n">
        <f aca="false">IFERROR(MATCH($I234,ROTACAO_RDM!$B$6:$B$71,0),0)</f>
        <v>8</v>
      </c>
      <c r="K234" s="8" t="str">
        <f aca="false">IF($J234=0,"SEM CULTURA",INDEX(ROTACAO_RDM!$F$6:$F$71,$J234))</f>
        <v>ALGODAO</v>
      </c>
      <c r="L234" s="8" t="str">
        <f aca="false">IF($J234=0,"",INDEX(ROTACAO_RDM!$G$6:$G$71,$J234))</f>
        <v>FM 933 STP</v>
      </c>
      <c r="M234" s="17" t="n">
        <f aca="false">IF($J234=0,"",INDEX(ROTACAO_RDM!$I$6:$I$71,$J234))</f>
        <v>46424</v>
      </c>
      <c r="N234" s="16" t="n">
        <f aca="false">IF($J234=0,0,MAX(0,$C234+INT(DIAS_POR_SEMANA/2)-INDEX(ROTACAO_RDM!$I$6:$I$71,$J234)))</f>
        <v>54</v>
      </c>
      <c r="O234" s="19" t="n">
        <f aca="false">IF($J234=0,0,MIN(1,$N234/MAX(1,INDEX(ROTACAO_RDM!$K$6:$K$71,$J234))))</f>
        <v>0.276923076923077</v>
      </c>
      <c r="P234" s="16" t="n">
        <f aca="false">IF($J234=0,0,IFERROR(MATCH(INDEX(ROTACAO_RDM!$N$6:$N$71,$J234),PARAMETROS_CULTURAS!$B$6:$B$28,0),0))</f>
        <v>5</v>
      </c>
      <c r="Q234" s="8" t="str">
        <f aca="false">IF($P234=0,"-",IF($O234&lt;=INDEX(PARAMETROS_CULTURAS!$F$6:$F$28,$P234),"INICIAL",IF($O234&lt;=INDEX(PARAMETROS_CULTURAS!$F$6:$F$28,$P234)+INDEX(PARAMETROS_CULTURAS!$G$6:$G$28,$P234),"DESENVOLVIMENTO",IF($O234&lt;=INDEX(PARAMETROS_CULTURAS!$F$6:$F$28,$P234)+INDEX(PARAMETROS_CULTURAS!$G$6:$G$28,$P234)+INDEX(PARAMETROS_CULTURAS!$H$6:$H$28,$P234),"MEDIA","FINAL"))))</f>
        <v>DESENVOLVIMENTO</v>
      </c>
      <c r="R234" s="24" t="n">
        <f aca="false">IF($P234=0,0,IF($O234&lt;=INDEX(PARAMETROS_CULTURAS!$F$6:$F$28,$P234),INDEX(PARAMETROS_CULTURAS!$K$6:$K$28,$P234),IF($O234&lt;=INDEX(PARAMETROS_CULTURAS!$F$6:$F$28,$P234)+INDEX(PARAMETROS_CULTURAS!$G$6:$G$28,$P234),INDEX(PARAMETROS_CULTURAS!$K$6:$K$28,$P234)+(INDEX(PARAMETROS_CULTURAS!$L$6:$L$28,$P234)-INDEX(PARAMETROS_CULTURAS!$K$6:$K$28,$P234))*($O234-INDEX(PARAMETROS_CULTURAS!$F$6:$F$28,$P234))/MAX(INDEX(PARAMETROS_CULTURAS!$G$6:$G$28,$P234),0.0001),IF($O234&lt;=INDEX(PARAMETROS_CULTURAS!$F$6:$F$28,$P234)+INDEX(PARAMETROS_CULTURAS!$G$6:$G$28,$P234)+INDEX(PARAMETROS_CULTURAS!$H$6:$H$28,$P234),INDEX(PARAMETROS_CULTURAS!$L$6:$L$28,$P234),INDEX(PARAMETROS_CULTURAS!$L$6:$L$28,$P234)+(INDEX(PARAMETROS_CULTURAS!$M$6:$M$28,$P234)-INDEX(PARAMETROS_CULTURAS!$L$6:$L$28,$P234))*($O234-INDEX(PARAMETROS_CULTURAS!$F$6:$F$28,$P234)-INDEX(PARAMETROS_CULTURAS!$G$6:$G$28,$P234)-INDEX(PARAMETROS_CULTURAS!$H$6:$H$28,$P234))/MAX(INDEX(PARAMETROS_CULTURAS!$I$6:$I$28,$P234),0.0001)))))</f>
        <v>0.740532544378698</v>
      </c>
      <c r="S234" s="18" t="n">
        <f aca="false">IFERROR(INDEX(SEMANAS!$H$6:$H$71,MATCH($B234,SEMANAS!$B$6:$B$71,0)),0)</f>
        <v>31.8</v>
      </c>
      <c r="T234" s="18" t="n">
        <f aca="false">$R234*$S234</f>
        <v>23.5489349112426</v>
      </c>
      <c r="U234" s="18" t="n">
        <f aca="false">IFERROR(INDEX(SEMANAS!$I$6:$I$71,MATCH($B234,SEMANAS!$B$6:$B$71,0)),0)</f>
        <v>25.28</v>
      </c>
      <c r="V234" s="18" t="n">
        <f aca="false">IFERROR(INDEX(SEMANAS!$J$6:$J$71,MATCH($B234,SEMANAS!$B$6:$B$71,0)),0)</f>
        <v>20.224</v>
      </c>
      <c r="W234" s="18" t="n">
        <f aca="false">MAX(0,$T234-$V234)</f>
        <v>3.3249349112426</v>
      </c>
      <c r="X234" s="19" t="n">
        <f aca="false">IFERROR(INDEX(CADASTRO_PIVOS!$K$6:$K$41,MATCH($E234,CADASTRO_PIVOS!$B$6:$B$41,0)),EFICIENCIA_PADRAO)</f>
        <v>0.85</v>
      </c>
      <c r="Y234" s="18" t="n">
        <f aca="false">IF($X234&lt;=0,0,$W234/$X234)</f>
        <v>3.91168813087365</v>
      </c>
      <c r="Z234" s="16" t="n">
        <f aca="false">$Y234*$H234*MM_PARA_M3_HA</f>
        <v>3841.27774451793</v>
      </c>
      <c r="AA234" s="18" t="n">
        <f aca="false">IFERROR(INDEX(CADASTRO_PIVOS!$I$6:$I$41,MATCH($E234,CADASTRO_PIVOS!$B$6:$B$41,0)),0)</f>
        <v>701.428571428571</v>
      </c>
      <c r="AB234" s="18" t="n">
        <f aca="false">IF($Z234&lt;=0,0,$Z234/$AA234)</f>
        <v>5.47636338322311</v>
      </c>
      <c r="AC234" s="16" t="n">
        <f aca="false">IFERROR(INDEX(SEMANAS!$K$6:$K$71,MATCH($B234,SEMANAS!$B$6:$B$71,0)),0)</f>
        <v>147</v>
      </c>
      <c r="AD234" s="19" t="n">
        <f aca="false">IF($AC234&lt;=0,0,$AB234/$AC234)</f>
        <v>0.0372541726749872</v>
      </c>
      <c r="AE234" s="8" t="str">
        <f aca="false">IF($K234="SEM CULTURA","SEM CULTURA",IF($AA234&lt;=0,"DADO PENDENTE",IF($AD234&gt;LIMITE_CRITICO,"INVIAVEL",IF($AD234&gt;LIMITE_ATENCAO,"CRITICO",IF($AD234&gt;LIMITE_CONFORTAVEL,"ATENCAO","OK")))))</f>
        <v>OK</v>
      </c>
      <c r="AF234" s="8" t="str">
        <f aca="false">$B234&amp;"|"&amp;TEXT($AD234,"0.000000")</f>
        <v>31|0.037254</v>
      </c>
      <c r="AG234" s="18" t="n">
        <f aca="false">IF($K234="SEM CULTURA",0,$T234*$H234)</f>
        <v>2312.50540828402</v>
      </c>
      <c r="AH234" s="18" t="n">
        <f aca="false">IF($K234="SEM CULTURA",0,$V234*$H234)</f>
        <v>1985.9968</v>
      </c>
      <c r="AI234" s="18" t="n">
        <f aca="false">IF($K234="SEM CULTURA",0,$W234*$H234)</f>
        <v>326.508608284024</v>
      </c>
      <c r="AJ234" s="18" t="n">
        <f aca="false">IF($K234="SEM CULTURA",0,$S234*$H234)</f>
        <v>3122.76</v>
      </c>
      <c r="AK234" s="8" t="str">
        <f aca="false">$E234&amp;"|"&amp;TEXT($AD234,"0.000000")</f>
        <v>PV 105|0.037254</v>
      </c>
    </row>
    <row r="235" customFormat="false" ht="15" hidden="false" customHeight="false" outlineLevel="0" collapsed="false">
      <c r="B235" s="16" t="n">
        <v>32</v>
      </c>
      <c r="C235" s="17" t="n">
        <f aca="false">DATA_INICIO_SAFRA+($B235-1)*DIAS_POR_SEMANA</f>
        <v>46482</v>
      </c>
      <c r="D235" s="17" t="n">
        <f aca="false">$C235+DIAS_POR_SEMANA-1</f>
        <v>46488</v>
      </c>
      <c r="E235" s="15" t="s">
        <v>262</v>
      </c>
      <c r="F235" s="8" t="str">
        <f aca="false">IFERROR(INDEX(CADASTRO_PIVOS!$C$6:$C$41,MATCH($E235,CADASTRO_PIVOS!$B$6:$B$41,0)),"?")</f>
        <v>RM03</v>
      </c>
      <c r="G235" s="8" t="str">
        <f aca="false">IFERROR(INDEX(CADASTRO_PIVOS!$D$6:$D$41,MATCH($E235,CADASTRO_PIVOS!$B$6:$B$41,0)),"?")</f>
        <v>TR03</v>
      </c>
      <c r="H235" s="20" t="n">
        <f aca="false">IFERROR(INDEX(CADASTRO_PIVOS!$E$6:$E$41,MATCH($E235,CADASTRO_PIVOS!$B$6:$B$41,0)),0)</f>
        <v>98.2</v>
      </c>
      <c r="I235" s="16" t="n">
        <f aca="false">IFERROR(SUMIFS(ROTACAO_RDM!$B$6:$B$71,ROTACAO_RDM!$D$6:$D$71,$E235,ROTACAO_RDM!$I$6:$I$71,"&lt;="&amp;$C235+INT(DIAS_POR_SEMANA/2),ROTACAO_RDM!$J$6:$J$71,"&gt;="&amp;$C235+INT(DIAS_POR_SEMANA/2)),0)</f>
        <v>8</v>
      </c>
      <c r="J235" s="16" t="n">
        <f aca="false">IFERROR(MATCH($I235,ROTACAO_RDM!$B$6:$B$71,0),0)</f>
        <v>8</v>
      </c>
      <c r="K235" s="8" t="str">
        <f aca="false">IF($J235=0,"SEM CULTURA",INDEX(ROTACAO_RDM!$F$6:$F$71,$J235))</f>
        <v>ALGODAO</v>
      </c>
      <c r="L235" s="8" t="str">
        <f aca="false">IF($J235=0,"",INDEX(ROTACAO_RDM!$G$6:$G$71,$J235))</f>
        <v>FM 933 STP</v>
      </c>
      <c r="M235" s="17" t="n">
        <f aca="false">IF($J235=0,"",INDEX(ROTACAO_RDM!$I$6:$I$71,$J235))</f>
        <v>46424</v>
      </c>
      <c r="N235" s="16" t="n">
        <f aca="false">IF($J235=0,0,MAX(0,$C235+INT(DIAS_POR_SEMANA/2)-INDEX(ROTACAO_RDM!$I$6:$I$71,$J235)))</f>
        <v>61</v>
      </c>
      <c r="O235" s="19" t="n">
        <f aca="false">IF($J235=0,0,MIN(1,$N235/MAX(1,INDEX(ROTACAO_RDM!$K$6:$K$71,$J235))))</f>
        <v>0.312820512820513</v>
      </c>
      <c r="P235" s="16" t="n">
        <f aca="false">IF($J235=0,0,IFERROR(MATCH(INDEX(ROTACAO_RDM!$N$6:$N$71,$J235),PARAMETROS_CULTURAS!$B$6:$B$28,0),0))</f>
        <v>5</v>
      </c>
      <c r="Q235" s="8" t="str">
        <f aca="false">IF($P235=0,"-",IF($O235&lt;=INDEX(PARAMETROS_CULTURAS!$F$6:$F$28,$P235),"INICIAL",IF($O235&lt;=INDEX(PARAMETROS_CULTURAS!$F$6:$F$28,$P235)+INDEX(PARAMETROS_CULTURAS!$G$6:$G$28,$P235),"DESENVOLVIMENTO",IF($O235&lt;=INDEX(PARAMETROS_CULTURAS!$F$6:$F$28,$P235)+INDEX(PARAMETROS_CULTURAS!$G$6:$G$28,$P235)+INDEX(PARAMETROS_CULTURAS!$H$6:$H$28,$P235),"MEDIA","FINAL"))))</f>
        <v>DESENVOLVIMENTO</v>
      </c>
      <c r="R235" s="24" t="n">
        <f aca="false">IF($P235=0,0,IF($O235&lt;=INDEX(PARAMETROS_CULTURAS!$F$6:$F$28,$P235),INDEX(PARAMETROS_CULTURAS!$K$6:$K$28,$P235),IF($O235&lt;=INDEX(PARAMETROS_CULTURAS!$F$6:$F$28,$P235)+INDEX(PARAMETROS_CULTURAS!$G$6:$G$28,$P235),INDEX(PARAMETROS_CULTURAS!$K$6:$K$28,$P235)+(INDEX(PARAMETROS_CULTURAS!$L$6:$L$28,$P235)-INDEX(PARAMETROS_CULTURAS!$K$6:$K$28,$P235))*($O235-INDEX(PARAMETROS_CULTURAS!$F$6:$F$28,$P235))/MAX(INDEX(PARAMETROS_CULTURAS!$G$6:$G$28,$P235),0.0001),IF($O235&lt;=INDEX(PARAMETROS_CULTURAS!$F$6:$F$28,$P235)+INDEX(PARAMETROS_CULTURAS!$G$6:$G$28,$P235)+INDEX(PARAMETROS_CULTURAS!$H$6:$H$28,$P235),INDEX(PARAMETROS_CULTURAS!$L$6:$L$28,$P235),INDEX(PARAMETROS_CULTURAS!$L$6:$L$28,$P235)+(INDEX(PARAMETROS_CULTURAS!$M$6:$M$28,$P235)-INDEX(PARAMETROS_CULTURAS!$L$6:$L$28,$P235))*($O235-INDEX(PARAMETROS_CULTURAS!$F$6:$F$28,$P235)-INDEX(PARAMETROS_CULTURAS!$G$6:$G$28,$P235)-INDEX(PARAMETROS_CULTURAS!$H$6:$H$28,$P235))/MAX(INDEX(PARAMETROS_CULTURAS!$I$6:$I$28,$P235),0.0001)))))</f>
        <v>0.850986193293886</v>
      </c>
      <c r="S235" s="18" t="n">
        <f aca="false">IFERROR(INDEX(SEMANAS!$H$6:$H$71,MATCH($B235,SEMANAS!$B$6:$B$71,0)),0)</f>
        <v>31.5</v>
      </c>
      <c r="T235" s="18" t="n">
        <f aca="false">$R235*$S235</f>
        <v>26.8060650887574</v>
      </c>
      <c r="U235" s="18" t="n">
        <f aca="false">IFERROR(INDEX(SEMANAS!$I$6:$I$71,MATCH($B235,SEMANAS!$B$6:$B$71,0)),0)</f>
        <v>16.31</v>
      </c>
      <c r="V235" s="18" t="n">
        <f aca="false">IFERROR(INDEX(SEMANAS!$J$6:$J$71,MATCH($B235,SEMANAS!$B$6:$B$71,0)),0)</f>
        <v>13.048</v>
      </c>
      <c r="W235" s="18" t="n">
        <f aca="false">MAX(0,$T235-$V235)</f>
        <v>13.7580650887574</v>
      </c>
      <c r="X235" s="19" t="n">
        <f aca="false">IFERROR(INDEX(CADASTRO_PIVOS!$K$6:$K$41,MATCH($E235,CADASTRO_PIVOS!$B$6:$B$41,0)),EFICIENCIA_PADRAO)</f>
        <v>0.85</v>
      </c>
      <c r="Y235" s="18" t="n">
        <f aca="false">IF($X235&lt;=0,0,$W235/$X235)</f>
        <v>16.1859589279499</v>
      </c>
      <c r="Z235" s="16" t="n">
        <f aca="false">$Y235*$H235*MM_PARA_M3_HA</f>
        <v>15894.6116672468</v>
      </c>
      <c r="AA235" s="18" t="n">
        <f aca="false">IFERROR(INDEX(CADASTRO_PIVOS!$I$6:$I$41,MATCH($E235,CADASTRO_PIVOS!$B$6:$B$41,0)),0)</f>
        <v>701.428571428571</v>
      </c>
      <c r="AB235" s="18" t="n">
        <f aca="false">IF($Z235&lt;=0,0,$Z235/$AA235)</f>
        <v>22.6603424991298</v>
      </c>
      <c r="AC235" s="16" t="n">
        <f aca="false">IFERROR(INDEX(SEMANAS!$K$6:$K$71,MATCH($B235,SEMANAS!$B$6:$B$71,0)),0)</f>
        <v>147</v>
      </c>
      <c r="AD235" s="19" t="n">
        <f aca="false">IF($AC235&lt;=0,0,$AB235/$AC235)</f>
        <v>0.154151989789999</v>
      </c>
      <c r="AE235" s="8" t="str">
        <f aca="false">IF($K235="SEM CULTURA","SEM CULTURA",IF($AA235&lt;=0,"DADO PENDENTE",IF($AD235&gt;LIMITE_CRITICO,"INVIAVEL",IF($AD235&gt;LIMITE_ATENCAO,"CRITICO",IF($AD235&gt;LIMITE_CONFORTAVEL,"ATENCAO","OK")))))</f>
        <v>OK</v>
      </c>
      <c r="AF235" s="8" t="str">
        <f aca="false">$B235&amp;"|"&amp;TEXT($AD235,"0.000000")</f>
        <v>32|0.154152</v>
      </c>
      <c r="AG235" s="18" t="n">
        <f aca="false">IF($K235="SEM CULTURA",0,$T235*$H235)</f>
        <v>2632.35559171598</v>
      </c>
      <c r="AH235" s="18" t="n">
        <f aca="false">IF($K235="SEM CULTURA",0,$V235*$H235)</f>
        <v>1281.3136</v>
      </c>
      <c r="AI235" s="18" t="n">
        <f aca="false">IF($K235="SEM CULTURA",0,$W235*$H235)</f>
        <v>1351.04199171598</v>
      </c>
      <c r="AJ235" s="18" t="n">
        <f aca="false">IF($K235="SEM CULTURA",0,$S235*$H235)</f>
        <v>3093.3</v>
      </c>
      <c r="AK235" s="8" t="str">
        <f aca="false">$E235&amp;"|"&amp;TEXT($AD235,"0.000000")</f>
        <v>PV 105|0.154152</v>
      </c>
    </row>
    <row r="236" customFormat="false" ht="15" hidden="false" customHeight="false" outlineLevel="0" collapsed="false">
      <c r="B236" s="16" t="n">
        <v>33</v>
      </c>
      <c r="C236" s="17" t="n">
        <f aca="false">DATA_INICIO_SAFRA+($B236-1)*DIAS_POR_SEMANA</f>
        <v>46489</v>
      </c>
      <c r="D236" s="17" t="n">
        <f aca="false">$C236+DIAS_POR_SEMANA-1</f>
        <v>46495</v>
      </c>
      <c r="E236" s="15" t="s">
        <v>262</v>
      </c>
      <c r="F236" s="8" t="str">
        <f aca="false">IFERROR(INDEX(CADASTRO_PIVOS!$C$6:$C$41,MATCH($E236,CADASTRO_PIVOS!$B$6:$B$41,0)),"?")</f>
        <v>RM03</v>
      </c>
      <c r="G236" s="8" t="str">
        <f aca="false">IFERROR(INDEX(CADASTRO_PIVOS!$D$6:$D$41,MATCH($E236,CADASTRO_PIVOS!$B$6:$B$41,0)),"?")</f>
        <v>TR03</v>
      </c>
      <c r="H236" s="20" t="n">
        <f aca="false">IFERROR(INDEX(CADASTRO_PIVOS!$E$6:$E$41,MATCH($E236,CADASTRO_PIVOS!$B$6:$B$41,0)),0)</f>
        <v>98.2</v>
      </c>
      <c r="I236" s="16" t="n">
        <f aca="false">IFERROR(SUMIFS(ROTACAO_RDM!$B$6:$B$71,ROTACAO_RDM!$D$6:$D$71,$E236,ROTACAO_RDM!$I$6:$I$71,"&lt;="&amp;$C236+INT(DIAS_POR_SEMANA/2),ROTACAO_RDM!$J$6:$J$71,"&gt;="&amp;$C236+INT(DIAS_POR_SEMANA/2)),0)</f>
        <v>8</v>
      </c>
      <c r="J236" s="16" t="n">
        <f aca="false">IFERROR(MATCH($I236,ROTACAO_RDM!$B$6:$B$71,0),0)</f>
        <v>8</v>
      </c>
      <c r="K236" s="8" t="str">
        <f aca="false">IF($J236=0,"SEM CULTURA",INDEX(ROTACAO_RDM!$F$6:$F$71,$J236))</f>
        <v>ALGODAO</v>
      </c>
      <c r="L236" s="8" t="str">
        <f aca="false">IF($J236=0,"",INDEX(ROTACAO_RDM!$G$6:$G$71,$J236))</f>
        <v>FM 933 STP</v>
      </c>
      <c r="M236" s="17" t="n">
        <f aca="false">IF($J236=0,"",INDEX(ROTACAO_RDM!$I$6:$I$71,$J236))</f>
        <v>46424</v>
      </c>
      <c r="N236" s="16" t="n">
        <f aca="false">IF($J236=0,0,MAX(0,$C236+INT(DIAS_POR_SEMANA/2)-INDEX(ROTACAO_RDM!$I$6:$I$71,$J236)))</f>
        <v>68</v>
      </c>
      <c r="O236" s="19" t="n">
        <f aca="false">IF($J236=0,0,MIN(1,$N236/MAX(1,INDEX(ROTACAO_RDM!$K$6:$K$71,$J236))))</f>
        <v>0.348717948717949</v>
      </c>
      <c r="P236" s="16" t="n">
        <f aca="false">IF($J236=0,0,IFERROR(MATCH(INDEX(ROTACAO_RDM!$N$6:$N$71,$J236),PARAMETROS_CULTURAS!$B$6:$B$28,0),0))</f>
        <v>5</v>
      </c>
      <c r="Q236" s="8" t="str">
        <f aca="false">IF($P236=0,"-",IF($O236&lt;=INDEX(PARAMETROS_CULTURAS!$F$6:$F$28,$P236),"INICIAL",IF($O236&lt;=INDEX(PARAMETROS_CULTURAS!$F$6:$F$28,$P236)+INDEX(PARAMETROS_CULTURAS!$G$6:$G$28,$P236),"DESENVOLVIMENTO",IF($O236&lt;=INDEX(PARAMETROS_CULTURAS!$F$6:$F$28,$P236)+INDEX(PARAMETROS_CULTURAS!$G$6:$G$28,$P236)+INDEX(PARAMETROS_CULTURAS!$H$6:$H$28,$P236),"MEDIA","FINAL"))))</f>
        <v>DESENVOLVIMENTO</v>
      </c>
      <c r="R236" s="24" t="n">
        <f aca="false">IF($P236=0,0,IF($O236&lt;=INDEX(PARAMETROS_CULTURAS!$F$6:$F$28,$P236),INDEX(PARAMETROS_CULTURAS!$K$6:$K$28,$P236),IF($O236&lt;=INDEX(PARAMETROS_CULTURAS!$F$6:$F$28,$P236)+INDEX(PARAMETROS_CULTURAS!$G$6:$G$28,$P236),INDEX(PARAMETROS_CULTURAS!$K$6:$K$28,$P236)+(INDEX(PARAMETROS_CULTURAS!$L$6:$L$28,$P236)-INDEX(PARAMETROS_CULTURAS!$K$6:$K$28,$P236))*($O236-INDEX(PARAMETROS_CULTURAS!$F$6:$F$28,$P236))/MAX(INDEX(PARAMETROS_CULTURAS!$G$6:$G$28,$P236),0.0001),IF($O236&lt;=INDEX(PARAMETROS_CULTURAS!$F$6:$F$28,$P236)+INDEX(PARAMETROS_CULTURAS!$G$6:$G$28,$P236)+INDEX(PARAMETROS_CULTURAS!$H$6:$H$28,$P236),INDEX(PARAMETROS_CULTURAS!$L$6:$L$28,$P236),INDEX(PARAMETROS_CULTURAS!$L$6:$L$28,$P236)+(INDEX(PARAMETROS_CULTURAS!$M$6:$M$28,$P236)-INDEX(PARAMETROS_CULTURAS!$L$6:$L$28,$P236))*($O236-INDEX(PARAMETROS_CULTURAS!$F$6:$F$28,$P236)-INDEX(PARAMETROS_CULTURAS!$G$6:$G$28,$P236)-INDEX(PARAMETROS_CULTURAS!$H$6:$H$28,$P236))/MAX(INDEX(PARAMETROS_CULTURAS!$I$6:$I$28,$P236),0.0001)))))</f>
        <v>0.961439842209073</v>
      </c>
      <c r="S236" s="18" t="n">
        <f aca="false">IFERROR(INDEX(SEMANAS!$H$6:$H$71,MATCH($B236,SEMANAS!$B$6:$B$71,0)),0)</f>
        <v>31.5</v>
      </c>
      <c r="T236" s="18" t="n">
        <f aca="false">$R236*$S236</f>
        <v>30.2853550295858</v>
      </c>
      <c r="U236" s="18" t="n">
        <f aca="false">IFERROR(INDEX(SEMANAS!$I$6:$I$71,MATCH($B236,SEMANAS!$B$6:$B$71,0)),0)</f>
        <v>16.31</v>
      </c>
      <c r="V236" s="18" t="n">
        <f aca="false">IFERROR(INDEX(SEMANAS!$J$6:$J$71,MATCH($B236,SEMANAS!$B$6:$B$71,0)),0)</f>
        <v>13.048</v>
      </c>
      <c r="W236" s="18" t="n">
        <f aca="false">MAX(0,$T236-$V236)</f>
        <v>17.2373550295858</v>
      </c>
      <c r="X236" s="19" t="n">
        <f aca="false">IFERROR(INDEX(CADASTRO_PIVOS!$K$6:$K$41,MATCH($E236,CADASTRO_PIVOS!$B$6:$B$41,0)),EFICIENCIA_PADRAO)</f>
        <v>0.85</v>
      </c>
      <c r="Y236" s="18" t="n">
        <f aca="false">IF($X236&lt;=0,0,$W236/$X236)</f>
        <v>20.2792412112774</v>
      </c>
      <c r="Z236" s="16" t="n">
        <f aca="false">$Y236*$H236*MM_PARA_M3_HA</f>
        <v>19914.2148694744</v>
      </c>
      <c r="AA236" s="18" t="n">
        <f aca="false">IFERROR(INDEX(CADASTRO_PIVOS!$I$6:$I$41,MATCH($E236,CADASTRO_PIVOS!$B$6:$B$41,0)),0)</f>
        <v>701.428571428571</v>
      </c>
      <c r="AB236" s="18" t="n">
        <f aca="false">IF($Z236&lt;=0,0,$Z236/$AA236)</f>
        <v>28.3909376957884</v>
      </c>
      <c r="AC236" s="16" t="n">
        <f aca="false">IFERROR(INDEX(SEMANAS!$K$6:$K$71,MATCH($B236,SEMANAS!$B$6:$B$71,0)),0)</f>
        <v>147</v>
      </c>
      <c r="AD236" s="19" t="n">
        <f aca="false">IF($AC236&lt;=0,0,$AB236/$AC236)</f>
        <v>0.193135630583594</v>
      </c>
      <c r="AE236" s="8" t="str">
        <f aca="false">IF($K236="SEM CULTURA","SEM CULTURA",IF($AA236&lt;=0,"DADO PENDENTE",IF($AD236&gt;LIMITE_CRITICO,"INVIAVEL",IF($AD236&gt;LIMITE_ATENCAO,"CRITICO",IF($AD236&gt;LIMITE_CONFORTAVEL,"ATENCAO","OK")))))</f>
        <v>OK</v>
      </c>
      <c r="AF236" s="8" t="str">
        <f aca="false">$B236&amp;"|"&amp;TEXT($AD236,"0.000000")</f>
        <v>33|0.193136</v>
      </c>
      <c r="AG236" s="18" t="n">
        <f aca="false">IF($K236="SEM CULTURA",0,$T236*$H236)</f>
        <v>2974.02186390533</v>
      </c>
      <c r="AH236" s="18" t="n">
        <f aca="false">IF($K236="SEM CULTURA",0,$V236*$H236)</f>
        <v>1281.3136</v>
      </c>
      <c r="AI236" s="18" t="n">
        <f aca="false">IF($K236="SEM CULTURA",0,$W236*$H236)</f>
        <v>1692.70826390532</v>
      </c>
      <c r="AJ236" s="18" t="n">
        <f aca="false">IF($K236="SEM CULTURA",0,$S236*$H236)</f>
        <v>3093.3</v>
      </c>
      <c r="AK236" s="8" t="str">
        <f aca="false">$E236&amp;"|"&amp;TEXT($AD236,"0.000000")</f>
        <v>PV 105|0.193136</v>
      </c>
    </row>
    <row r="237" customFormat="false" ht="15" hidden="false" customHeight="false" outlineLevel="0" collapsed="false">
      <c r="B237" s="16" t="n">
        <v>34</v>
      </c>
      <c r="C237" s="17" t="n">
        <f aca="false">DATA_INICIO_SAFRA+($B237-1)*DIAS_POR_SEMANA</f>
        <v>46496</v>
      </c>
      <c r="D237" s="17" t="n">
        <f aca="false">$C237+DIAS_POR_SEMANA-1</f>
        <v>46502</v>
      </c>
      <c r="E237" s="15" t="s">
        <v>262</v>
      </c>
      <c r="F237" s="8" t="str">
        <f aca="false">IFERROR(INDEX(CADASTRO_PIVOS!$C$6:$C$41,MATCH($E237,CADASTRO_PIVOS!$B$6:$B$41,0)),"?")</f>
        <v>RM03</v>
      </c>
      <c r="G237" s="8" t="str">
        <f aca="false">IFERROR(INDEX(CADASTRO_PIVOS!$D$6:$D$41,MATCH($E237,CADASTRO_PIVOS!$B$6:$B$41,0)),"?")</f>
        <v>TR03</v>
      </c>
      <c r="H237" s="20" t="n">
        <f aca="false">IFERROR(INDEX(CADASTRO_PIVOS!$E$6:$E$41,MATCH($E237,CADASTRO_PIVOS!$B$6:$B$41,0)),0)</f>
        <v>98.2</v>
      </c>
      <c r="I237" s="16" t="n">
        <f aca="false">IFERROR(SUMIFS(ROTACAO_RDM!$B$6:$B$71,ROTACAO_RDM!$D$6:$D$71,$E237,ROTACAO_RDM!$I$6:$I$71,"&lt;="&amp;$C237+INT(DIAS_POR_SEMANA/2),ROTACAO_RDM!$J$6:$J$71,"&gt;="&amp;$C237+INT(DIAS_POR_SEMANA/2)),0)</f>
        <v>8</v>
      </c>
      <c r="J237" s="16" t="n">
        <f aca="false">IFERROR(MATCH($I237,ROTACAO_RDM!$B$6:$B$71,0),0)</f>
        <v>8</v>
      </c>
      <c r="K237" s="8" t="str">
        <f aca="false">IF($J237=0,"SEM CULTURA",INDEX(ROTACAO_RDM!$F$6:$F$71,$J237))</f>
        <v>ALGODAO</v>
      </c>
      <c r="L237" s="8" t="str">
        <f aca="false">IF($J237=0,"",INDEX(ROTACAO_RDM!$G$6:$G$71,$J237))</f>
        <v>FM 933 STP</v>
      </c>
      <c r="M237" s="17" t="n">
        <f aca="false">IF($J237=0,"",INDEX(ROTACAO_RDM!$I$6:$I$71,$J237))</f>
        <v>46424</v>
      </c>
      <c r="N237" s="16" t="n">
        <f aca="false">IF($J237=0,0,MAX(0,$C237+INT(DIAS_POR_SEMANA/2)-INDEX(ROTACAO_RDM!$I$6:$I$71,$J237)))</f>
        <v>75</v>
      </c>
      <c r="O237" s="19" t="n">
        <f aca="false">IF($J237=0,0,MIN(1,$N237/MAX(1,INDEX(ROTACAO_RDM!$K$6:$K$71,$J237))))</f>
        <v>0.384615384615385</v>
      </c>
      <c r="P237" s="16" t="n">
        <f aca="false">IF($J237=0,0,IFERROR(MATCH(INDEX(ROTACAO_RDM!$N$6:$N$71,$J237),PARAMETROS_CULTURAS!$B$6:$B$28,0),0))</f>
        <v>5</v>
      </c>
      <c r="Q237" s="8" t="str">
        <f aca="false">IF($P237=0,"-",IF($O237&lt;=INDEX(PARAMETROS_CULTURAS!$F$6:$F$28,$P237),"INICIAL",IF($O237&lt;=INDEX(PARAMETROS_CULTURAS!$F$6:$F$28,$P237)+INDEX(PARAMETROS_CULTURAS!$G$6:$G$28,$P237),"DESENVOLVIMENTO",IF($O237&lt;=INDEX(PARAMETROS_CULTURAS!$F$6:$F$28,$P237)+INDEX(PARAMETROS_CULTURAS!$G$6:$G$28,$P237)+INDEX(PARAMETROS_CULTURAS!$H$6:$H$28,$P237),"MEDIA","FINAL"))))</f>
        <v>DESENVOLVIMENTO</v>
      </c>
      <c r="R237" s="24" t="n">
        <f aca="false">IF($P237=0,0,IF($O237&lt;=INDEX(PARAMETROS_CULTURAS!$F$6:$F$28,$P237),INDEX(PARAMETROS_CULTURAS!$K$6:$K$28,$P237),IF($O237&lt;=INDEX(PARAMETROS_CULTURAS!$F$6:$F$28,$P237)+INDEX(PARAMETROS_CULTURAS!$G$6:$G$28,$P237),INDEX(PARAMETROS_CULTURAS!$K$6:$K$28,$P237)+(INDEX(PARAMETROS_CULTURAS!$L$6:$L$28,$P237)-INDEX(PARAMETROS_CULTURAS!$K$6:$K$28,$P237))*($O237-INDEX(PARAMETROS_CULTURAS!$F$6:$F$28,$P237))/MAX(INDEX(PARAMETROS_CULTURAS!$G$6:$G$28,$P237),0.0001),IF($O237&lt;=INDEX(PARAMETROS_CULTURAS!$F$6:$F$28,$P237)+INDEX(PARAMETROS_CULTURAS!$G$6:$G$28,$P237)+INDEX(PARAMETROS_CULTURAS!$H$6:$H$28,$P237),INDEX(PARAMETROS_CULTURAS!$L$6:$L$28,$P237),INDEX(PARAMETROS_CULTURAS!$L$6:$L$28,$P237)+(INDEX(PARAMETROS_CULTURAS!$M$6:$M$28,$P237)-INDEX(PARAMETROS_CULTURAS!$L$6:$L$28,$P237))*($O237-INDEX(PARAMETROS_CULTURAS!$F$6:$F$28,$P237)-INDEX(PARAMETROS_CULTURAS!$G$6:$G$28,$P237)-INDEX(PARAMETROS_CULTURAS!$H$6:$H$28,$P237))/MAX(INDEX(PARAMETROS_CULTURAS!$I$6:$I$28,$P237),0.0001)))))</f>
        <v>1.07189349112426</v>
      </c>
      <c r="S237" s="18" t="n">
        <f aca="false">IFERROR(INDEX(SEMANAS!$H$6:$H$71,MATCH($B237,SEMANAS!$B$6:$B$71,0)),0)</f>
        <v>31.5</v>
      </c>
      <c r="T237" s="18" t="n">
        <f aca="false">$R237*$S237</f>
        <v>33.7646449704142</v>
      </c>
      <c r="U237" s="18" t="n">
        <f aca="false">IFERROR(INDEX(SEMANAS!$I$6:$I$71,MATCH($B237,SEMANAS!$B$6:$B$71,0)),0)</f>
        <v>16.31</v>
      </c>
      <c r="V237" s="18" t="n">
        <f aca="false">IFERROR(INDEX(SEMANAS!$J$6:$J$71,MATCH($B237,SEMANAS!$B$6:$B$71,0)),0)</f>
        <v>13.048</v>
      </c>
      <c r="W237" s="18" t="n">
        <f aca="false">MAX(0,$T237-$V237)</f>
        <v>20.7166449704142</v>
      </c>
      <c r="X237" s="19" t="n">
        <f aca="false">IFERROR(INDEX(CADASTRO_PIVOS!$K$6:$K$41,MATCH($E237,CADASTRO_PIVOS!$B$6:$B$41,0)),EFICIENCIA_PADRAO)</f>
        <v>0.85</v>
      </c>
      <c r="Y237" s="18" t="n">
        <f aca="false">IF($X237&lt;=0,0,$W237/$X237)</f>
        <v>24.3725234946049</v>
      </c>
      <c r="Z237" s="16" t="n">
        <f aca="false">$Y237*$H237*MM_PARA_M3_HA</f>
        <v>23933.818071702</v>
      </c>
      <c r="AA237" s="18" t="n">
        <f aca="false">IFERROR(INDEX(CADASTRO_PIVOS!$I$6:$I$41,MATCH($E237,CADASTRO_PIVOS!$B$6:$B$41,0)),0)</f>
        <v>701.428571428571</v>
      </c>
      <c r="AB237" s="18" t="n">
        <f aca="false">IF($Z237&lt;=0,0,$Z237/$AA237)</f>
        <v>34.1215328924469</v>
      </c>
      <c r="AC237" s="16" t="n">
        <f aca="false">IFERROR(INDEX(SEMANAS!$K$6:$K$71,MATCH($B237,SEMANAS!$B$6:$B$71,0)),0)</f>
        <v>147</v>
      </c>
      <c r="AD237" s="19" t="n">
        <f aca="false">IF($AC237&lt;=0,0,$AB237/$AC237)</f>
        <v>0.23211927137719</v>
      </c>
      <c r="AE237" s="8" t="str">
        <f aca="false">IF($K237="SEM CULTURA","SEM CULTURA",IF($AA237&lt;=0,"DADO PENDENTE",IF($AD237&gt;LIMITE_CRITICO,"INVIAVEL",IF($AD237&gt;LIMITE_ATENCAO,"CRITICO",IF($AD237&gt;LIMITE_CONFORTAVEL,"ATENCAO","OK")))))</f>
        <v>OK</v>
      </c>
      <c r="AF237" s="8" t="str">
        <f aca="false">$B237&amp;"|"&amp;TEXT($AD237,"0.000000")</f>
        <v>34|0.232119</v>
      </c>
      <c r="AG237" s="18" t="n">
        <f aca="false">IF($K237="SEM CULTURA",0,$T237*$H237)</f>
        <v>3315.68813609467</v>
      </c>
      <c r="AH237" s="18" t="n">
        <f aca="false">IF($K237="SEM CULTURA",0,$V237*$H237)</f>
        <v>1281.3136</v>
      </c>
      <c r="AI237" s="18" t="n">
        <f aca="false">IF($K237="SEM CULTURA",0,$W237*$H237)</f>
        <v>2034.37453609467</v>
      </c>
      <c r="AJ237" s="18" t="n">
        <f aca="false">IF($K237="SEM CULTURA",0,$S237*$H237)</f>
        <v>3093.3</v>
      </c>
      <c r="AK237" s="8" t="str">
        <f aca="false">$E237&amp;"|"&amp;TEXT($AD237,"0.000000")</f>
        <v>PV 105|0.232119</v>
      </c>
    </row>
    <row r="238" customFormat="false" ht="15" hidden="false" customHeight="false" outlineLevel="0" collapsed="false">
      <c r="B238" s="16" t="n">
        <v>35</v>
      </c>
      <c r="C238" s="17" t="n">
        <f aca="false">DATA_INICIO_SAFRA+($B238-1)*DIAS_POR_SEMANA</f>
        <v>46503</v>
      </c>
      <c r="D238" s="17" t="n">
        <f aca="false">$C238+DIAS_POR_SEMANA-1</f>
        <v>46509</v>
      </c>
      <c r="E238" s="15" t="s">
        <v>262</v>
      </c>
      <c r="F238" s="8" t="str">
        <f aca="false">IFERROR(INDEX(CADASTRO_PIVOS!$C$6:$C$41,MATCH($E238,CADASTRO_PIVOS!$B$6:$B$41,0)),"?")</f>
        <v>RM03</v>
      </c>
      <c r="G238" s="8" t="str">
        <f aca="false">IFERROR(INDEX(CADASTRO_PIVOS!$D$6:$D$41,MATCH($E238,CADASTRO_PIVOS!$B$6:$B$41,0)),"?")</f>
        <v>TR03</v>
      </c>
      <c r="H238" s="20" t="n">
        <f aca="false">IFERROR(INDEX(CADASTRO_PIVOS!$E$6:$E$41,MATCH($E238,CADASTRO_PIVOS!$B$6:$B$41,0)),0)</f>
        <v>98.2</v>
      </c>
      <c r="I238" s="16" t="n">
        <f aca="false">IFERROR(SUMIFS(ROTACAO_RDM!$B$6:$B$71,ROTACAO_RDM!$D$6:$D$71,$E238,ROTACAO_RDM!$I$6:$I$71,"&lt;="&amp;$C238+INT(DIAS_POR_SEMANA/2),ROTACAO_RDM!$J$6:$J$71,"&gt;="&amp;$C238+INT(DIAS_POR_SEMANA/2)),0)</f>
        <v>8</v>
      </c>
      <c r="J238" s="16" t="n">
        <f aca="false">IFERROR(MATCH($I238,ROTACAO_RDM!$B$6:$B$71,0),0)</f>
        <v>8</v>
      </c>
      <c r="K238" s="8" t="str">
        <f aca="false">IF($J238=0,"SEM CULTURA",INDEX(ROTACAO_RDM!$F$6:$F$71,$J238))</f>
        <v>ALGODAO</v>
      </c>
      <c r="L238" s="8" t="str">
        <f aca="false">IF($J238=0,"",INDEX(ROTACAO_RDM!$G$6:$G$71,$J238))</f>
        <v>FM 933 STP</v>
      </c>
      <c r="M238" s="17" t="n">
        <f aca="false">IF($J238=0,"",INDEX(ROTACAO_RDM!$I$6:$I$71,$J238))</f>
        <v>46424</v>
      </c>
      <c r="N238" s="16" t="n">
        <f aca="false">IF($J238=0,0,MAX(0,$C238+INT(DIAS_POR_SEMANA/2)-INDEX(ROTACAO_RDM!$I$6:$I$71,$J238)))</f>
        <v>82</v>
      </c>
      <c r="O238" s="19" t="n">
        <f aca="false">IF($J238=0,0,MIN(1,$N238/MAX(1,INDEX(ROTACAO_RDM!$K$6:$K$71,$J238))))</f>
        <v>0.420512820512821</v>
      </c>
      <c r="P238" s="16" t="n">
        <f aca="false">IF($J238=0,0,IFERROR(MATCH(INDEX(ROTACAO_RDM!$N$6:$N$71,$J238),PARAMETROS_CULTURAS!$B$6:$B$28,0),0))</f>
        <v>5</v>
      </c>
      <c r="Q238" s="8" t="str">
        <f aca="false">IF($P238=0,"-",IF($O238&lt;=INDEX(PARAMETROS_CULTURAS!$F$6:$F$28,$P238),"INICIAL",IF($O238&lt;=INDEX(PARAMETROS_CULTURAS!$F$6:$F$28,$P238)+INDEX(PARAMETROS_CULTURAS!$G$6:$G$28,$P238),"DESENVOLVIMENTO",IF($O238&lt;=INDEX(PARAMETROS_CULTURAS!$F$6:$F$28,$P238)+INDEX(PARAMETROS_CULTURAS!$G$6:$G$28,$P238)+INDEX(PARAMETROS_CULTURAS!$H$6:$H$28,$P238),"MEDIA","FINAL"))))</f>
        <v>MEDIA</v>
      </c>
      <c r="R238" s="24" t="n">
        <f aca="false">IF($P238=0,0,IF($O238&lt;=INDEX(PARAMETROS_CULTURAS!$F$6:$F$28,$P238),INDEX(PARAMETROS_CULTURAS!$K$6:$K$28,$P238),IF($O238&lt;=INDEX(PARAMETROS_CULTURAS!$F$6:$F$28,$P238)+INDEX(PARAMETROS_CULTURAS!$G$6:$G$28,$P238),INDEX(PARAMETROS_CULTURAS!$K$6:$K$28,$P238)+(INDEX(PARAMETROS_CULTURAS!$L$6:$L$28,$P238)-INDEX(PARAMETROS_CULTURAS!$K$6:$K$28,$P238))*($O238-INDEX(PARAMETROS_CULTURAS!$F$6:$F$28,$P238))/MAX(INDEX(PARAMETROS_CULTURAS!$G$6:$G$28,$P238),0.0001),IF($O238&lt;=INDEX(PARAMETROS_CULTURAS!$F$6:$F$28,$P238)+INDEX(PARAMETROS_CULTURAS!$G$6:$G$28,$P238)+INDEX(PARAMETROS_CULTURAS!$H$6:$H$28,$P238),INDEX(PARAMETROS_CULTURAS!$L$6:$L$28,$P238),INDEX(PARAMETROS_CULTURAS!$L$6:$L$28,$P238)+(INDEX(PARAMETROS_CULTURAS!$M$6:$M$28,$P238)-INDEX(PARAMETROS_CULTURAS!$L$6:$L$28,$P238))*($O238-INDEX(PARAMETROS_CULTURAS!$F$6:$F$28,$P238)-INDEX(PARAMETROS_CULTURAS!$G$6:$G$28,$P238)-INDEX(PARAMETROS_CULTURAS!$H$6:$H$28,$P238))/MAX(INDEX(PARAMETROS_CULTURAS!$I$6:$I$28,$P238),0.0001)))))</f>
        <v>1.15</v>
      </c>
      <c r="S238" s="18" t="n">
        <f aca="false">IFERROR(INDEX(SEMANAS!$H$6:$H$71,MATCH($B238,SEMANAS!$B$6:$B$71,0)),0)</f>
        <v>30.9</v>
      </c>
      <c r="T238" s="18" t="n">
        <f aca="false">$R238*$S238</f>
        <v>35.535</v>
      </c>
      <c r="U238" s="18" t="n">
        <f aca="false">IFERROR(INDEX(SEMANAS!$I$6:$I$71,MATCH($B238,SEMANAS!$B$6:$B$71,0)),0)</f>
        <v>12.61</v>
      </c>
      <c r="V238" s="18" t="n">
        <f aca="false">IFERROR(INDEX(SEMANAS!$J$6:$J$71,MATCH($B238,SEMANAS!$B$6:$B$71,0)),0)</f>
        <v>10.088</v>
      </c>
      <c r="W238" s="18" t="n">
        <f aca="false">MAX(0,$T238-$V238)</f>
        <v>25.447</v>
      </c>
      <c r="X238" s="19" t="n">
        <f aca="false">IFERROR(INDEX(CADASTRO_PIVOS!$K$6:$K$41,MATCH($E238,CADASTRO_PIVOS!$B$6:$B$41,0)),EFICIENCIA_PADRAO)</f>
        <v>0.85</v>
      </c>
      <c r="Y238" s="18" t="n">
        <f aca="false">IF($X238&lt;=0,0,$W238/$X238)</f>
        <v>29.9376470588235</v>
      </c>
      <c r="Z238" s="16" t="n">
        <f aca="false">$Y238*$H238*MM_PARA_M3_HA</f>
        <v>29398.7694117647</v>
      </c>
      <c r="AA238" s="18" t="n">
        <f aca="false">IFERROR(INDEX(CADASTRO_PIVOS!$I$6:$I$41,MATCH($E238,CADASTRO_PIVOS!$B$6:$B$41,0)),0)</f>
        <v>701.428571428571</v>
      </c>
      <c r="AB238" s="18" t="n">
        <f aca="false">IF($Z238&lt;=0,0,$Z238/$AA238)</f>
        <v>41.9127058823529</v>
      </c>
      <c r="AC238" s="16" t="n">
        <f aca="false">IFERROR(INDEX(SEMANAS!$K$6:$K$71,MATCH($B238,SEMANAS!$B$6:$B$71,0)),0)</f>
        <v>147</v>
      </c>
      <c r="AD238" s="19" t="n">
        <f aca="false">IF($AC238&lt;=0,0,$AB238/$AC238)</f>
        <v>0.285120448179272</v>
      </c>
      <c r="AE238" s="8" t="str">
        <f aca="false">IF($K238="SEM CULTURA","SEM CULTURA",IF($AA238&lt;=0,"DADO PENDENTE",IF($AD238&gt;LIMITE_CRITICO,"INVIAVEL",IF($AD238&gt;LIMITE_ATENCAO,"CRITICO",IF($AD238&gt;LIMITE_CONFORTAVEL,"ATENCAO","OK")))))</f>
        <v>OK</v>
      </c>
      <c r="AF238" s="8" t="str">
        <f aca="false">$B238&amp;"|"&amp;TEXT($AD238,"0.000000")</f>
        <v>35|0.285120</v>
      </c>
      <c r="AG238" s="18" t="n">
        <f aca="false">IF($K238="SEM CULTURA",0,$T238*$H238)</f>
        <v>3489.537</v>
      </c>
      <c r="AH238" s="18" t="n">
        <f aca="false">IF($K238="SEM CULTURA",0,$V238*$H238)</f>
        <v>990.6416</v>
      </c>
      <c r="AI238" s="18" t="n">
        <f aca="false">IF($K238="SEM CULTURA",0,$W238*$H238)</f>
        <v>2498.8954</v>
      </c>
      <c r="AJ238" s="18" t="n">
        <f aca="false">IF($K238="SEM CULTURA",0,$S238*$H238)</f>
        <v>3034.38</v>
      </c>
      <c r="AK238" s="8" t="str">
        <f aca="false">$E238&amp;"|"&amp;TEXT($AD238,"0.000000")</f>
        <v>PV 105|0.285120</v>
      </c>
    </row>
    <row r="239" customFormat="false" ht="15" hidden="false" customHeight="false" outlineLevel="0" collapsed="false">
      <c r="B239" s="16" t="n">
        <v>36</v>
      </c>
      <c r="C239" s="17" t="n">
        <f aca="false">DATA_INICIO_SAFRA+($B239-1)*DIAS_POR_SEMANA</f>
        <v>46510</v>
      </c>
      <c r="D239" s="17" t="n">
        <f aca="false">$C239+DIAS_POR_SEMANA-1</f>
        <v>46516</v>
      </c>
      <c r="E239" s="15" t="s">
        <v>262</v>
      </c>
      <c r="F239" s="8" t="str">
        <f aca="false">IFERROR(INDEX(CADASTRO_PIVOS!$C$6:$C$41,MATCH($E239,CADASTRO_PIVOS!$B$6:$B$41,0)),"?")</f>
        <v>RM03</v>
      </c>
      <c r="G239" s="8" t="str">
        <f aca="false">IFERROR(INDEX(CADASTRO_PIVOS!$D$6:$D$41,MATCH($E239,CADASTRO_PIVOS!$B$6:$B$41,0)),"?")</f>
        <v>TR03</v>
      </c>
      <c r="H239" s="20" t="n">
        <f aca="false">IFERROR(INDEX(CADASTRO_PIVOS!$E$6:$E$41,MATCH($E239,CADASTRO_PIVOS!$B$6:$B$41,0)),0)</f>
        <v>98.2</v>
      </c>
      <c r="I239" s="16" t="n">
        <f aca="false">IFERROR(SUMIFS(ROTACAO_RDM!$B$6:$B$71,ROTACAO_RDM!$D$6:$D$71,$E239,ROTACAO_RDM!$I$6:$I$71,"&lt;="&amp;$C239+INT(DIAS_POR_SEMANA/2),ROTACAO_RDM!$J$6:$J$71,"&gt;="&amp;$C239+INT(DIAS_POR_SEMANA/2)),0)</f>
        <v>8</v>
      </c>
      <c r="J239" s="16" t="n">
        <f aca="false">IFERROR(MATCH($I239,ROTACAO_RDM!$B$6:$B$71,0),0)</f>
        <v>8</v>
      </c>
      <c r="K239" s="8" t="str">
        <f aca="false">IF($J239=0,"SEM CULTURA",INDEX(ROTACAO_RDM!$F$6:$F$71,$J239))</f>
        <v>ALGODAO</v>
      </c>
      <c r="L239" s="8" t="str">
        <f aca="false">IF($J239=0,"",INDEX(ROTACAO_RDM!$G$6:$G$71,$J239))</f>
        <v>FM 933 STP</v>
      </c>
      <c r="M239" s="17" t="n">
        <f aca="false">IF($J239=0,"",INDEX(ROTACAO_RDM!$I$6:$I$71,$J239))</f>
        <v>46424</v>
      </c>
      <c r="N239" s="16" t="n">
        <f aca="false">IF($J239=0,0,MAX(0,$C239+INT(DIAS_POR_SEMANA/2)-INDEX(ROTACAO_RDM!$I$6:$I$71,$J239)))</f>
        <v>89</v>
      </c>
      <c r="O239" s="19" t="n">
        <f aca="false">IF($J239=0,0,MIN(1,$N239/MAX(1,INDEX(ROTACAO_RDM!$K$6:$K$71,$J239))))</f>
        <v>0.456410256410256</v>
      </c>
      <c r="P239" s="16" t="n">
        <f aca="false">IF($J239=0,0,IFERROR(MATCH(INDEX(ROTACAO_RDM!$N$6:$N$71,$J239),PARAMETROS_CULTURAS!$B$6:$B$28,0),0))</f>
        <v>5</v>
      </c>
      <c r="Q239" s="8" t="str">
        <f aca="false">IF($P239=0,"-",IF($O239&lt;=INDEX(PARAMETROS_CULTURAS!$F$6:$F$28,$P239),"INICIAL",IF($O239&lt;=INDEX(PARAMETROS_CULTURAS!$F$6:$F$28,$P239)+INDEX(PARAMETROS_CULTURAS!$G$6:$G$28,$P239),"DESENVOLVIMENTO",IF($O239&lt;=INDEX(PARAMETROS_CULTURAS!$F$6:$F$28,$P239)+INDEX(PARAMETROS_CULTURAS!$G$6:$G$28,$P239)+INDEX(PARAMETROS_CULTURAS!$H$6:$H$28,$P239),"MEDIA","FINAL"))))</f>
        <v>MEDIA</v>
      </c>
      <c r="R239" s="24" t="n">
        <f aca="false">IF($P239=0,0,IF($O239&lt;=INDEX(PARAMETROS_CULTURAS!$F$6:$F$28,$P239),INDEX(PARAMETROS_CULTURAS!$K$6:$K$28,$P239),IF($O239&lt;=INDEX(PARAMETROS_CULTURAS!$F$6:$F$28,$P239)+INDEX(PARAMETROS_CULTURAS!$G$6:$G$28,$P239),INDEX(PARAMETROS_CULTURAS!$K$6:$K$28,$P239)+(INDEX(PARAMETROS_CULTURAS!$L$6:$L$28,$P239)-INDEX(PARAMETROS_CULTURAS!$K$6:$K$28,$P239))*($O239-INDEX(PARAMETROS_CULTURAS!$F$6:$F$28,$P239))/MAX(INDEX(PARAMETROS_CULTURAS!$G$6:$G$28,$P239),0.0001),IF($O239&lt;=INDEX(PARAMETROS_CULTURAS!$F$6:$F$28,$P239)+INDEX(PARAMETROS_CULTURAS!$G$6:$G$28,$P239)+INDEX(PARAMETROS_CULTURAS!$H$6:$H$28,$P239),INDEX(PARAMETROS_CULTURAS!$L$6:$L$28,$P239),INDEX(PARAMETROS_CULTURAS!$L$6:$L$28,$P239)+(INDEX(PARAMETROS_CULTURAS!$M$6:$M$28,$P239)-INDEX(PARAMETROS_CULTURAS!$L$6:$L$28,$P239))*($O239-INDEX(PARAMETROS_CULTURAS!$F$6:$F$28,$P239)-INDEX(PARAMETROS_CULTURAS!$G$6:$G$28,$P239)-INDEX(PARAMETROS_CULTURAS!$H$6:$H$28,$P239))/MAX(INDEX(PARAMETROS_CULTURAS!$I$6:$I$28,$P239),0.0001)))))</f>
        <v>1.15</v>
      </c>
      <c r="S239" s="18" t="n">
        <f aca="false">IFERROR(INDEX(SEMANAS!$H$6:$H$71,MATCH($B239,SEMANAS!$B$6:$B$71,0)),0)</f>
        <v>29.4</v>
      </c>
      <c r="T239" s="18" t="n">
        <f aca="false">$R239*$S239</f>
        <v>33.81</v>
      </c>
      <c r="U239" s="18" t="n">
        <f aca="false">IFERROR(INDEX(SEMANAS!$I$6:$I$71,MATCH($B239,SEMANAS!$B$6:$B$71,0)),0)</f>
        <v>3.36</v>
      </c>
      <c r="V239" s="18" t="n">
        <f aca="false">IFERROR(INDEX(SEMANAS!$J$6:$J$71,MATCH($B239,SEMANAS!$B$6:$B$71,0)),0)</f>
        <v>2.688</v>
      </c>
      <c r="W239" s="18" t="n">
        <f aca="false">MAX(0,$T239-$V239)</f>
        <v>31.122</v>
      </c>
      <c r="X239" s="19" t="n">
        <f aca="false">IFERROR(INDEX(CADASTRO_PIVOS!$K$6:$K$41,MATCH($E239,CADASTRO_PIVOS!$B$6:$B$41,0)),EFICIENCIA_PADRAO)</f>
        <v>0.85</v>
      </c>
      <c r="Y239" s="18" t="n">
        <f aca="false">IF($X239&lt;=0,0,$W239/$X239)</f>
        <v>36.6141176470588</v>
      </c>
      <c r="Z239" s="16" t="n">
        <f aca="false">$Y239*$H239*MM_PARA_M3_HA</f>
        <v>35955.0635294118</v>
      </c>
      <c r="AA239" s="18" t="n">
        <f aca="false">IFERROR(INDEX(CADASTRO_PIVOS!$I$6:$I$41,MATCH($E239,CADASTRO_PIVOS!$B$6:$B$41,0)),0)</f>
        <v>701.428571428571</v>
      </c>
      <c r="AB239" s="18" t="n">
        <f aca="false">IF($Z239&lt;=0,0,$Z239/$AA239)</f>
        <v>51.2597647058824</v>
      </c>
      <c r="AC239" s="16" t="n">
        <f aca="false">IFERROR(INDEX(SEMANAS!$K$6:$K$71,MATCH($B239,SEMANAS!$B$6:$B$71,0)),0)</f>
        <v>147</v>
      </c>
      <c r="AD239" s="19" t="n">
        <f aca="false">IF($AC239&lt;=0,0,$AB239/$AC239)</f>
        <v>0.348705882352941</v>
      </c>
      <c r="AE239" s="8" t="str">
        <f aca="false">IF($K239="SEM CULTURA","SEM CULTURA",IF($AA239&lt;=0,"DADO PENDENTE",IF($AD239&gt;LIMITE_CRITICO,"INVIAVEL",IF($AD239&gt;LIMITE_ATENCAO,"CRITICO",IF($AD239&gt;LIMITE_CONFORTAVEL,"ATENCAO","OK")))))</f>
        <v>OK</v>
      </c>
      <c r="AF239" s="8" t="str">
        <f aca="false">$B239&amp;"|"&amp;TEXT($AD239,"0.000000")</f>
        <v>36|0.348706</v>
      </c>
      <c r="AG239" s="18" t="n">
        <f aca="false">IF($K239="SEM CULTURA",0,$T239*$H239)</f>
        <v>3320.142</v>
      </c>
      <c r="AH239" s="18" t="n">
        <f aca="false">IF($K239="SEM CULTURA",0,$V239*$H239)</f>
        <v>263.9616</v>
      </c>
      <c r="AI239" s="18" t="n">
        <f aca="false">IF($K239="SEM CULTURA",0,$W239*$H239)</f>
        <v>3056.1804</v>
      </c>
      <c r="AJ239" s="18" t="n">
        <f aca="false">IF($K239="SEM CULTURA",0,$S239*$H239)</f>
        <v>2887.08</v>
      </c>
      <c r="AK239" s="8" t="str">
        <f aca="false">$E239&amp;"|"&amp;TEXT($AD239,"0.000000")</f>
        <v>PV 105|0.348706</v>
      </c>
    </row>
    <row r="240" customFormat="false" ht="15" hidden="false" customHeight="false" outlineLevel="0" collapsed="false">
      <c r="B240" s="16" t="n">
        <v>37</v>
      </c>
      <c r="C240" s="17" t="n">
        <f aca="false">DATA_INICIO_SAFRA+($B240-1)*DIAS_POR_SEMANA</f>
        <v>46517</v>
      </c>
      <c r="D240" s="17" t="n">
        <f aca="false">$C240+DIAS_POR_SEMANA-1</f>
        <v>46523</v>
      </c>
      <c r="E240" s="15" t="s">
        <v>262</v>
      </c>
      <c r="F240" s="8" t="str">
        <f aca="false">IFERROR(INDEX(CADASTRO_PIVOS!$C$6:$C$41,MATCH($E240,CADASTRO_PIVOS!$B$6:$B$41,0)),"?")</f>
        <v>RM03</v>
      </c>
      <c r="G240" s="8" t="str">
        <f aca="false">IFERROR(INDEX(CADASTRO_PIVOS!$D$6:$D$41,MATCH($E240,CADASTRO_PIVOS!$B$6:$B$41,0)),"?")</f>
        <v>TR03</v>
      </c>
      <c r="H240" s="20" t="n">
        <f aca="false">IFERROR(INDEX(CADASTRO_PIVOS!$E$6:$E$41,MATCH($E240,CADASTRO_PIVOS!$B$6:$B$41,0)),0)</f>
        <v>98.2</v>
      </c>
      <c r="I240" s="16" t="n">
        <f aca="false">IFERROR(SUMIFS(ROTACAO_RDM!$B$6:$B$71,ROTACAO_RDM!$D$6:$D$71,$E240,ROTACAO_RDM!$I$6:$I$71,"&lt;="&amp;$C240+INT(DIAS_POR_SEMANA/2),ROTACAO_RDM!$J$6:$J$71,"&gt;="&amp;$C240+INT(DIAS_POR_SEMANA/2)),0)</f>
        <v>8</v>
      </c>
      <c r="J240" s="16" t="n">
        <f aca="false">IFERROR(MATCH($I240,ROTACAO_RDM!$B$6:$B$71,0),0)</f>
        <v>8</v>
      </c>
      <c r="K240" s="8" t="str">
        <f aca="false">IF($J240=0,"SEM CULTURA",INDEX(ROTACAO_RDM!$F$6:$F$71,$J240))</f>
        <v>ALGODAO</v>
      </c>
      <c r="L240" s="8" t="str">
        <f aca="false">IF($J240=0,"",INDEX(ROTACAO_RDM!$G$6:$G$71,$J240))</f>
        <v>FM 933 STP</v>
      </c>
      <c r="M240" s="17" t="n">
        <f aca="false">IF($J240=0,"",INDEX(ROTACAO_RDM!$I$6:$I$71,$J240))</f>
        <v>46424</v>
      </c>
      <c r="N240" s="16" t="n">
        <f aca="false">IF($J240=0,0,MAX(0,$C240+INT(DIAS_POR_SEMANA/2)-INDEX(ROTACAO_RDM!$I$6:$I$71,$J240)))</f>
        <v>96</v>
      </c>
      <c r="O240" s="19" t="n">
        <f aca="false">IF($J240=0,0,MIN(1,$N240/MAX(1,INDEX(ROTACAO_RDM!$K$6:$K$71,$J240))))</f>
        <v>0.492307692307692</v>
      </c>
      <c r="P240" s="16" t="n">
        <f aca="false">IF($J240=0,0,IFERROR(MATCH(INDEX(ROTACAO_RDM!$N$6:$N$71,$J240),PARAMETROS_CULTURAS!$B$6:$B$28,0),0))</f>
        <v>5</v>
      </c>
      <c r="Q240" s="8" t="str">
        <f aca="false">IF($P240=0,"-",IF($O240&lt;=INDEX(PARAMETROS_CULTURAS!$F$6:$F$28,$P240),"INICIAL",IF($O240&lt;=INDEX(PARAMETROS_CULTURAS!$F$6:$F$28,$P240)+INDEX(PARAMETROS_CULTURAS!$G$6:$G$28,$P240),"DESENVOLVIMENTO",IF($O240&lt;=INDEX(PARAMETROS_CULTURAS!$F$6:$F$28,$P240)+INDEX(PARAMETROS_CULTURAS!$G$6:$G$28,$P240)+INDEX(PARAMETROS_CULTURAS!$H$6:$H$28,$P240),"MEDIA","FINAL"))))</f>
        <v>MEDIA</v>
      </c>
      <c r="R240" s="24" t="n">
        <f aca="false">IF($P240=0,0,IF($O240&lt;=INDEX(PARAMETROS_CULTURAS!$F$6:$F$28,$P240),INDEX(PARAMETROS_CULTURAS!$K$6:$K$28,$P240),IF($O240&lt;=INDEX(PARAMETROS_CULTURAS!$F$6:$F$28,$P240)+INDEX(PARAMETROS_CULTURAS!$G$6:$G$28,$P240),INDEX(PARAMETROS_CULTURAS!$K$6:$K$28,$P240)+(INDEX(PARAMETROS_CULTURAS!$L$6:$L$28,$P240)-INDEX(PARAMETROS_CULTURAS!$K$6:$K$28,$P240))*($O240-INDEX(PARAMETROS_CULTURAS!$F$6:$F$28,$P240))/MAX(INDEX(PARAMETROS_CULTURAS!$G$6:$G$28,$P240),0.0001),IF($O240&lt;=INDEX(PARAMETROS_CULTURAS!$F$6:$F$28,$P240)+INDEX(PARAMETROS_CULTURAS!$G$6:$G$28,$P240)+INDEX(PARAMETROS_CULTURAS!$H$6:$H$28,$P240),INDEX(PARAMETROS_CULTURAS!$L$6:$L$28,$P240),INDEX(PARAMETROS_CULTURAS!$L$6:$L$28,$P240)+(INDEX(PARAMETROS_CULTURAS!$M$6:$M$28,$P240)-INDEX(PARAMETROS_CULTURAS!$L$6:$L$28,$P240))*($O240-INDEX(PARAMETROS_CULTURAS!$F$6:$F$28,$P240)-INDEX(PARAMETROS_CULTURAS!$G$6:$G$28,$P240)-INDEX(PARAMETROS_CULTURAS!$H$6:$H$28,$P240))/MAX(INDEX(PARAMETROS_CULTURAS!$I$6:$I$28,$P240),0.0001)))))</f>
        <v>1.15</v>
      </c>
      <c r="S240" s="18" t="n">
        <f aca="false">IFERROR(INDEX(SEMANAS!$H$6:$H$71,MATCH($B240,SEMANAS!$B$6:$B$71,0)),0)</f>
        <v>29.4</v>
      </c>
      <c r="T240" s="18" t="n">
        <f aca="false">$R240*$S240</f>
        <v>33.81</v>
      </c>
      <c r="U240" s="18" t="n">
        <f aca="false">IFERROR(INDEX(SEMANAS!$I$6:$I$71,MATCH($B240,SEMANAS!$B$6:$B$71,0)),0)</f>
        <v>3.36</v>
      </c>
      <c r="V240" s="18" t="n">
        <f aca="false">IFERROR(INDEX(SEMANAS!$J$6:$J$71,MATCH($B240,SEMANAS!$B$6:$B$71,0)),0)</f>
        <v>2.688</v>
      </c>
      <c r="W240" s="18" t="n">
        <f aca="false">MAX(0,$T240-$V240)</f>
        <v>31.122</v>
      </c>
      <c r="X240" s="19" t="n">
        <f aca="false">IFERROR(INDEX(CADASTRO_PIVOS!$K$6:$K$41,MATCH($E240,CADASTRO_PIVOS!$B$6:$B$41,0)),EFICIENCIA_PADRAO)</f>
        <v>0.85</v>
      </c>
      <c r="Y240" s="18" t="n">
        <f aca="false">IF($X240&lt;=0,0,$W240/$X240)</f>
        <v>36.6141176470588</v>
      </c>
      <c r="Z240" s="16" t="n">
        <f aca="false">$Y240*$H240*MM_PARA_M3_HA</f>
        <v>35955.0635294118</v>
      </c>
      <c r="AA240" s="18" t="n">
        <f aca="false">IFERROR(INDEX(CADASTRO_PIVOS!$I$6:$I$41,MATCH($E240,CADASTRO_PIVOS!$B$6:$B$41,0)),0)</f>
        <v>701.428571428571</v>
      </c>
      <c r="AB240" s="18" t="n">
        <f aca="false">IF($Z240&lt;=0,0,$Z240/$AA240)</f>
        <v>51.2597647058824</v>
      </c>
      <c r="AC240" s="16" t="n">
        <f aca="false">IFERROR(INDEX(SEMANAS!$K$6:$K$71,MATCH($B240,SEMANAS!$B$6:$B$71,0)),0)</f>
        <v>147</v>
      </c>
      <c r="AD240" s="19" t="n">
        <f aca="false">IF($AC240&lt;=0,0,$AB240/$AC240)</f>
        <v>0.348705882352941</v>
      </c>
      <c r="AE240" s="8" t="str">
        <f aca="false">IF($K240="SEM CULTURA","SEM CULTURA",IF($AA240&lt;=0,"DADO PENDENTE",IF($AD240&gt;LIMITE_CRITICO,"INVIAVEL",IF($AD240&gt;LIMITE_ATENCAO,"CRITICO",IF($AD240&gt;LIMITE_CONFORTAVEL,"ATENCAO","OK")))))</f>
        <v>OK</v>
      </c>
      <c r="AF240" s="8" t="str">
        <f aca="false">$B240&amp;"|"&amp;TEXT($AD240,"0.000000")</f>
        <v>37|0.348706</v>
      </c>
      <c r="AG240" s="18" t="n">
        <f aca="false">IF($K240="SEM CULTURA",0,$T240*$H240)</f>
        <v>3320.142</v>
      </c>
      <c r="AH240" s="18" t="n">
        <f aca="false">IF($K240="SEM CULTURA",0,$V240*$H240)</f>
        <v>263.9616</v>
      </c>
      <c r="AI240" s="18" t="n">
        <f aca="false">IF($K240="SEM CULTURA",0,$W240*$H240)</f>
        <v>3056.1804</v>
      </c>
      <c r="AJ240" s="18" t="n">
        <f aca="false">IF($K240="SEM CULTURA",0,$S240*$H240)</f>
        <v>2887.08</v>
      </c>
      <c r="AK240" s="8" t="str">
        <f aca="false">$E240&amp;"|"&amp;TEXT($AD240,"0.000000")</f>
        <v>PV 105|0.348706</v>
      </c>
    </row>
    <row r="241" customFormat="false" ht="15" hidden="false" customHeight="false" outlineLevel="0" collapsed="false">
      <c r="B241" s="16" t="n">
        <v>38</v>
      </c>
      <c r="C241" s="17" t="n">
        <f aca="false">DATA_INICIO_SAFRA+($B241-1)*DIAS_POR_SEMANA</f>
        <v>46524</v>
      </c>
      <c r="D241" s="17" t="n">
        <f aca="false">$C241+DIAS_POR_SEMANA-1</f>
        <v>46530</v>
      </c>
      <c r="E241" s="15" t="s">
        <v>262</v>
      </c>
      <c r="F241" s="8" t="str">
        <f aca="false">IFERROR(INDEX(CADASTRO_PIVOS!$C$6:$C$41,MATCH($E241,CADASTRO_PIVOS!$B$6:$B$41,0)),"?")</f>
        <v>RM03</v>
      </c>
      <c r="G241" s="8" t="str">
        <f aca="false">IFERROR(INDEX(CADASTRO_PIVOS!$D$6:$D$41,MATCH($E241,CADASTRO_PIVOS!$B$6:$B$41,0)),"?")</f>
        <v>TR03</v>
      </c>
      <c r="H241" s="20" t="n">
        <f aca="false">IFERROR(INDEX(CADASTRO_PIVOS!$E$6:$E$41,MATCH($E241,CADASTRO_PIVOS!$B$6:$B$41,0)),0)</f>
        <v>98.2</v>
      </c>
      <c r="I241" s="16" t="n">
        <f aca="false">IFERROR(SUMIFS(ROTACAO_RDM!$B$6:$B$71,ROTACAO_RDM!$D$6:$D$71,$E241,ROTACAO_RDM!$I$6:$I$71,"&lt;="&amp;$C241+INT(DIAS_POR_SEMANA/2),ROTACAO_RDM!$J$6:$J$71,"&gt;="&amp;$C241+INT(DIAS_POR_SEMANA/2)),0)</f>
        <v>8</v>
      </c>
      <c r="J241" s="16" t="n">
        <f aca="false">IFERROR(MATCH($I241,ROTACAO_RDM!$B$6:$B$71,0),0)</f>
        <v>8</v>
      </c>
      <c r="K241" s="8" t="str">
        <f aca="false">IF($J241=0,"SEM CULTURA",INDEX(ROTACAO_RDM!$F$6:$F$71,$J241))</f>
        <v>ALGODAO</v>
      </c>
      <c r="L241" s="8" t="str">
        <f aca="false">IF($J241=0,"",INDEX(ROTACAO_RDM!$G$6:$G$71,$J241))</f>
        <v>FM 933 STP</v>
      </c>
      <c r="M241" s="17" t="n">
        <f aca="false">IF($J241=0,"",INDEX(ROTACAO_RDM!$I$6:$I$71,$J241))</f>
        <v>46424</v>
      </c>
      <c r="N241" s="16" t="n">
        <f aca="false">IF($J241=0,0,MAX(0,$C241+INT(DIAS_POR_SEMANA/2)-INDEX(ROTACAO_RDM!$I$6:$I$71,$J241)))</f>
        <v>103</v>
      </c>
      <c r="O241" s="19" t="n">
        <f aca="false">IF($J241=0,0,MIN(1,$N241/MAX(1,INDEX(ROTACAO_RDM!$K$6:$K$71,$J241))))</f>
        <v>0.528205128205128</v>
      </c>
      <c r="P241" s="16" t="n">
        <f aca="false">IF($J241=0,0,IFERROR(MATCH(INDEX(ROTACAO_RDM!$N$6:$N$71,$J241),PARAMETROS_CULTURAS!$B$6:$B$28,0),0))</f>
        <v>5</v>
      </c>
      <c r="Q241" s="8" t="str">
        <f aca="false">IF($P241=0,"-",IF($O241&lt;=INDEX(PARAMETROS_CULTURAS!$F$6:$F$28,$P241),"INICIAL",IF($O241&lt;=INDEX(PARAMETROS_CULTURAS!$F$6:$F$28,$P241)+INDEX(PARAMETROS_CULTURAS!$G$6:$G$28,$P241),"DESENVOLVIMENTO",IF($O241&lt;=INDEX(PARAMETROS_CULTURAS!$F$6:$F$28,$P241)+INDEX(PARAMETROS_CULTURAS!$G$6:$G$28,$P241)+INDEX(PARAMETROS_CULTURAS!$H$6:$H$28,$P241),"MEDIA","FINAL"))))</f>
        <v>MEDIA</v>
      </c>
      <c r="R241" s="24" t="n">
        <f aca="false">IF($P241=0,0,IF($O241&lt;=INDEX(PARAMETROS_CULTURAS!$F$6:$F$28,$P241),INDEX(PARAMETROS_CULTURAS!$K$6:$K$28,$P241),IF($O241&lt;=INDEX(PARAMETROS_CULTURAS!$F$6:$F$28,$P241)+INDEX(PARAMETROS_CULTURAS!$G$6:$G$28,$P241),INDEX(PARAMETROS_CULTURAS!$K$6:$K$28,$P241)+(INDEX(PARAMETROS_CULTURAS!$L$6:$L$28,$P241)-INDEX(PARAMETROS_CULTURAS!$K$6:$K$28,$P241))*($O241-INDEX(PARAMETROS_CULTURAS!$F$6:$F$28,$P241))/MAX(INDEX(PARAMETROS_CULTURAS!$G$6:$G$28,$P241),0.0001),IF($O241&lt;=INDEX(PARAMETROS_CULTURAS!$F$6:$F$28,$P241)+INDEX(PARAMETROS_CULTURAS!$G$6:$G$28,$P241)+INDEX(PARAMETROS_CULTURAS!$H$6:$H$28,$P241),INDEX(PARAMETROS_CULTURAS!$L$6:$L$28,$P241),INDEX(PARAMETROS_CULTURAS!$L$6:$L$28,$P241)+(INDEX(PARAMETROS_CULTURAS!$M$6:$M$28,$P241)-INDEX(PARAMETROS_CULTURAS!$L$6:$L$28,$P241))*($O241-INDEX(PARAMETROS_CULTURAS!$F$6:$F$28,$P241)-INDEX(PARAMETROS_CULTURAS!$G$6:$G$28,$P241)-INDEX(PARAMETROS_CULTURAS!$H$6:$H$28,$P241))/MAX(INDEX(PARAMETROS_CULTURAS!$I$6:$I$28,$P241),0.0001)))))</f>
        <v>1.15</v>
      </c>
      <c r="S241" s="18" t="n">
        <f aca="false">IFERROR(INDEX(SEMANAS!$H$6:$H$71,MATCH($B241,SEMANAS!$B$6:$B$71,0)),0)</f>
        <v>29.4</v>
      </c>
      <c r="T241" s="18" t="n">
        <f aca="false">$R241*$S241</f>
        <v>33.81</v>
      </c>
      <c r="U241" s="18" t="n">
        <f aca="false">IFERROR(INDEX(SEMANAS!$I$6:$I$71,MATCH($B241,SEMANAS!$B$6:$B$71,0)),0)</f>
        <v>3.36</v>
      </c>
      <c r="V241" s="18" t="n">
        <f aca="false">IFERROR(INDEX(SEMANAS!$J$6:$J$71,MATCH($B241,SEMANAS!$B$6:$B$71,0)),0)</f>
        <v>2.688</v>
      </c>
      <c r="W241" s="18" t="n">
        <f aca="false">MAX(0,$T241-$V241)</f>
        <v>31.122</v>
      </c>
      <c r="X241" s="19" t="n">
        <f aca="false">IFERROR(INDEX(CADASTRO_PIVOS!$K$6:$K$41,MATCH($E241,CADASTRO_PIVOS!$B$6:$B$41,0)),EFICIENCIA_PADRAO)</f>
        <v>0.85</v>
      </c>
      <c r="Y241" s="18" t="n">
        <f aca="false">IF($X241&lt;=0,0,$W241/$X241)</f>
        <v>36.6141176470588</v>
      </c>
      <c r="Z241" s="16" t="n">
        <f aca="false">$Y241*$H241*MM_PARA_M3_HA</f>
        <v>35955.0635294118</v>
      </c>
      <c r="AA241" s="18" t="n">
        <f aca="false">IFERROR(INDEX(CADASTRO_PIVOS!$I$6:$I$41,MATCH($E241,CADASTRO_PIVOS!$B$6:$B$41,0)),0)</f>
        <v>701.428571428571</v>
      </c>
      <c r="AB241" s="18" t="n">
        <f aca="false">IF($Z241&lt;=0,0,$Z241/$AA241)</f>
        <v>51.2597647058824</v>
      </c>
      <c r="AC241" s="16" t="n">
        <f aca="false">IFERROR(INDEX(SEMANAS!$K$6:$K$71,MATCH($B241,SEMANAS!$B$6:$B$71,0)),0)</f>
        <v>147</v>
      </c>
      <c r="AD241" s="19" t="n">
        <f aca="false">IF($AC241&lt;=0,0,$AB241/$AC241)</f>
        <v>0.348705882352941</v>
      </c>
      <c r="AE241" s="8" t="str">
        <f aca="false">IF($K241="SEM CULTURA","SEM CULTURA",IF($AA241&lt;=0,"DADO PENDENTE",IF($AD241&gt;LIMITE_CRITICO,"INVIAVEL",IF($AD241&gt;LIMITE_ATENCAO,"CRITICO",IF($AD241&gt;LIMITE_CONFORTAVEL,"ATENCAO","OK")))))</f>
        <v>OK</v>
      </c>
      <c r="AF241" s="8" t="str">
        <f aca="false">$B241&amp;"|"&amp;TEXT($AD241,"0.000000")</f>
        <v>38|0.348706</v>
      </c>
      <c r="AG241" s="18" t="n">
        <f aca="false">IF($K241="SEM CULTURA",0,$T241*$H241)</f>
        <v>3320.142</v>
      </c>
      <c r="AH241" s="18" t="n">
        <f aca="false">IF($K241="SEM CULTURA",0,$V241*$H241)</f>
        <v>263.9616</v>
      </c>
      <c r="AI241" s="18" t="n">
        <f aca="false">IF($K241="SEM CULTURA",0,$W241*$H241)</f>
        <v>3056.1804</v>
      </c>
      <c r="AJ241" s="18" t="n">
        <f aca="false">IF($K241="SEM CULTURA",0,$S241*$H241)</f>
        <v>2887.08</v>
      </c>
      <c r="AK241" s="8" t="str">
        <f aca="false">$E241&amp;"|"&amp;TEXT($AD241,"0.000000")</f>
        <v>PV 105|0.348706</v>
      </c>
    </row>
    <row r="242" customFormat="false" ht="15" hidden="false" customHeight="false" outlineLevel="0" collapsed="false">
      <c r="B242" s="16" t="n">
        <v>39</v>
      </c>
      <c r="C242" s="17" t="n">
        <f aca="false">DATA_INICIO_SAFRA+($B242-1)*DIAS_POR_SEMANA</f>
        <v>46531</v>
      </c>
      <c r="D242" s="17" t="n">
        <f aca="false">$C242+DIAS_POR_SEMANA-1</f>
        <v>46537</v>
      </c>
      <c r="E242" s="15" t="s">
        <v>262</v>
      </c>
      <c r="F242" s="8" t="str">
        <f aca="false">IFERROR(INDEX(CADASTRO_PIVOS!$C$6:$C$41,MATCH($E242,CADASTRO_PIVOS!$B$6:$B$41,0)),"?")</f>
        <v>RM03</v>
      </c>
      <c r="G242" s="8" t="str">
        <f aca="false">IFERROR(INDEX(CADASTRO_PIVOS!$D$6:$D$41,MATCH($E242,CADASTRO_PIVOS!$B$6:$B$41,0)),"?")</f>
        <v>TR03</v>
      </c>
      <c r="H242" s="20" t="n">
        <f aca="false">IFERROR(INDEX(CADASTRO_PIVOS!$E$6:$E$41,MATCH($E242,CADASTRO_PIVOS!$B$6:$B$41,0)),0)</f>
        <v>98.2</v>
      </c>
      <c r="I242" s="16" t="n">
        <f aca="false">IFERROR(SUMIFS(ROTACAO_RDM!$B$6:$B$71,ROTACAO_RDM!$D$6:$D$71,$E242,ROTACAO_RDM!$I$6:$I$71,"&lt;="&amp;$C242+INT(DIAS_POR_SEMANA/2),ROTACAO_RDM!$J$6:$J$71,"&gt;="&amp;$C242+INT(DIAS_POR_SEMANA/2)),0)</f>
        <v>8</v>
      </c>
      <c r="J242" s="16" t="n">
        <f aca="false">IFERROR(MATCH($I242,ROTACAO_RDM!$B$6:$B$71,0),0)</f>
        <v>8</v>
      </c>
      <c r="K242" s="8" t="str">
        <f aca="false">IF($J242=0,"SEM CULTURA",INDEX(ROTACAO_RDM!$F$6:$F$71,$J242))</f>
        <v>ALGODAO</v>
      </c>
      <c r="L242" s="8" t="str">
        <f aca="false">IF($J242=0,"",INDEX(ROTACAO_RDM!$G$6:$G$71,$J242))</f>
        <v>FM 933 STP</v>
      </c>
      <c r="M242" s="17" t="n">
        <f aca="false">IF($J242=0,"",INDEX(ROTACAO_RDM!$I$6:$I$71,$J242))</f>
        <v>46424</v>
      </c>
      <c r="N242" s="16" t="n">
        <f aca="false">IF($J242=0,0,MAX(0,$C242+INT(DIAS_POR_SEMANA/2)-INDEX(ROTACAO_RDM!$I$6:$I$71,$J242)))</f>
        <v>110</v>
      </c>
      <c r="O242" s="19" t="n">
        <f aca="false">IF($J242=0,0,MIN(1,$N242/MAX(1,INDEX(ROTACAO_RDM!$K$6:$K$71,$J242))))</f>
        <v>0.564102564102564</v>
      </c>
      <c r="P242" s="16" t="n">
        <f aca="false">IF($J242=0,0,IFERROR(MATCH(INDEX(ROTACAO_RDM!$N$6:$N$71,$J242),PARAMETROS_CULTURAS!$B$6:$B$28,0),0))</f>
        <v>5</v>
      </c>
      <c r="Q242" s="8" t="str">
        <f aca="false">IF($P242=0,"-",IF($O242&lt;=INDEX(PARAMETROS_CULTURAS!$F$6:$F$28,$P242),"INICIAL",IF($O242&lt;=INDEX(PARAMETROS_CULTURAS!$F$6:$F$28,$P242)+INDEX(PARAMETROS_CULTURAS!$G$6:$G$28,$P242),"DESENVOLVIMENTO",IF($O242&lt;=INDEX(PARAMETROS_CULTURAS!$F$6:$F$28,$P242)+INDEX(PARAMETROS_CULTURAS!$G$6:$G$28,$P242)+INDEX(PARAMETROS_CULTURAS!$H$6:$H$28,$P242),"MEDIA","FINAL"))))</f>
        <v>MEDIA</v>
      </c>
      <c r="R242" s="24" t="n">
        <f aca="false">IF($P242=0,0,IF($O242&lt;=INDEX(PARAMETROS_CULTURAS!$F$6:$F$28,$P242),INDEX(PARAMETROS_CULTURAS!$K$6:$K$28,$P242),IF($O242&lt;=INDEX(PARAMETROS_CULTURAS!$F$6:$F$28,$P242)+INDEX(PARAMETROS_CULTURAS!$G$6:$G$28,$P242),INDEX(PARAMETROS_CULTURAS!$K$6:$K$28,$P242)+(INDEX(PARAMETROS_CULTURAS!$L$6:$L$28,$P242)-INDEX(PARAMETROS_CULTURAS!$K$6:$K$28,$P242))*($O242-INDEX(PARAMETROS_CULTURAS!$F$6:$F$28,$P242))/MAX(INDEX(PARAMETROS_CULTURAS!$G$6:$G$28,$P242),0.0001),IF($O242&lt;=INDEX(PARAMETROS_CULTURAS!$F$6:$F$28,$P242)+INDEX(PARAMETROS_CULTURAS!$G$6:$G$28,$P242)+INDEX(PARAMETROS_CULTURAS!$H$6:$H$28,$P242),INDEX(PARAMETROS_CULTURAS!$L$6:$L$28,$P242),INDEX(PARAMETROS_CULTURAS!$L$6:$L$28,$P242)+(INDEX(PARAMETROS_CULTURAS!$M$6:$M$28,$P242)-INDEX(PARAMETROS_CULTURAS!$L$6:$L$28,$P242))*($O242-INDEX(PARAMETROS_CULTURAS!$F$6:$F$28,$P242)-INDEX(PARAMETROS_CULTURAS!$G$6:$G$28,$P242)-INDEX(PARAMETROS_CULTURAS!$H$6:$H$28,$P242))/MAX(INDEX(PARAMETROS_CULTURAS!$I$6:$I$28,$P242),0.0001)))))</f>
        <v>1.15</v>
      </c>
      <c r="S242" s="18" t="n">
        <f aca="false">IFERROR(INDEX(SEMANAS!$H$6:$H$71,MATCH($B242,SEMANAS!$B$6:$B$71,0)),0)</f>
        <v>29.4</v>
      </c>
      <c r="T242" s="18" t="n">
        <f aca="false">$R242*$S242</f>
        <v>33.81</v>
      </c>
      <c r="U242" s="18" t="n">
        <f aca="false">IFERROR(INDEX(SEMANAS!$I$6:$I$71,MATCH($B242,SEMANAS!$B$6:$B$71,0)),0)</f>
        <v>3.36</v>
      </c>
      <c r="V242" s="18" t="n">
        <f aca="false">IFERROR(INDEX(SEMANAS!$J$6:$J$71,MATCH($B242,SEMANAS!$B$6:$B$71,0)),0)</f>
        <v>2.688</v>
      </c>
      <c r="W242" s="18" t="n">
        <f aca="false">MAX(0,$T242-$V242)</f>
        <v>31.122</v>
      </c>
      <c r="X242" s="19" t="n">
        <f aca="false">IFERROR(INDEX(CADASTRO_PIVOS!$K$6:$K$41,MATCH($E242,CADASTRO_PIVOS!$B$6:$B$41,0)),EFICIENCIA_PADRAO)</f>
        <v>0.85</v>
      </c>
      <c r="Y242" s="18" t="n">
        <f aca="false">IF($X242&lt;=0,0,$W242/$X242)</f>
        <v>36.6141176470588</v>
      </c>
      <c r="Z242" s="16" t="n">
        <f aca="false">$Y242*$H242*MM_PARA_M3_HA</f>
        <v>35955.0635294118</v>
      </c>
      <c r="AA242" s="18" t="n">
        <f aca="false">IFERROR(INDEX(CADASTRO_PIVOS!$I$6:$I$41,MATCH($E242,CADASTRO_PIVOS!$B$6:$B$41,0)),0)</f>
        <v>701.428571428571</v>
      </c>
      <c r="AB242" s="18" t="n">
        <f aca="false">IF($Z242&lt;=0,0,$Z242/$AA242)</f>
        <v>51.2597647058824</v>
      </c>
      <c r="AC242" s="16" t="n">
        <f aca="false">IFERROR(INDEX(SEMANAS!$K$6:$K$71,MATCH($B242,SEMANAS!$B$6:$B$71,0)),0)</f>
        <v>147</v>
      </c>
      <c r="AD242" s="19" t="n">
        <f aca="false">IF($AC242&lt;=0,0,$AB242/$AC242)</f>
        <v>0.348705882352941</v>
      </c>
      <c r="AE242" s="8" t="str">
        <f aca="false">IF($K242="SEM CULTURA","SEM CULTURA",IF($AA242&lt;=0,"DADO PENDENTE",IF($AD242&gt;LIMITE_CRITICO,"INVIAVEL",IF($AD242&gt;LIMITE_ATENCAO,"CRITICO",IF($AD242&gt;LIMITE_CONFORTAVEL,"ATENCAO","OK")))))</f>
        <v>OK</v>
      </c>
      <c r="AF242" s="8" t="str">
        <f aca="false">$B242&amp;"|"&amp;TEXT($AD242,"0.000000")</f>
        <v>39|0.348706</v>
      </c>
      <c r="AG242" s="18" t="n">
        <f aca="false">IF($K242="SEM CULTURA",0,$T242*$H242)</f>
        <v>3320.142</v>
      </c>
      <c r="AH242" s="18" t="n">
        <f aca="false">IF($K242="SEM CULTURA",0,$V242*$H242)</f>
        <v>263.9616</v>
      </c>
      <c r="AI242" s="18" t="n">
        <f aca="false">IF($K242="SEM CULTURA",0,$W242*$H242)</f>
        <v>3056.1804</v>
      </c>
      <c r="AJ242" s="18" t="n">
        <f aca="false">IF($K242="SEM CULTURA",0,$S242*$H242)</f>
        <v>2887.08</v>
      </c>
      <c r="AK242" s="8" t="str">
        <f aca="false">$E242&amp;"|"&amp;TEXT($AD242,"0.000000")</f>
        <v>PV 105|0.348706</v>
      </c>
    </row>
    <row r="243" customFormat="false" ht="15" hidden="false" customHeight="false" outlineLevel="0" collapsed="false">
      <c r="B243" s="16" t="n">
        <v>40</v>
      </c>
      <c r="C243" s="17" t="n">
        <f aca="false">DATA_INICIO_SAFRA+($B243-1)*DIAS_POR_SEMANA</f>
        <v>46538</v>
      </c>
      <c r="D243" s="17" t="n">
        <f aca="false">$C243+DIAS_POR_SEMANA-1</f>
        <v>46544</v>
      </c>
      <c r="E243" s="15" t="s">
        <v>262</v>
      </c>
      <c r="F243" s="8" t="str">
        <f aca="false">IFERROR(INDEX(CADASTRO_PIVOS!$C$6:$C$41,MATCH($E243,CADASTRO_PIVOS!$B$6:$B$41,0)),"?")</f>
        <v>RM03</v>
      </c>
      <c r="G243" s="8" t="str">
        <f aca="false">IFERROR(INDEX(CADASTRO_PIVOS!$D$6:$D$41,MATCH($E243,CADASTRO_PIVOS!$B$6:$B$41,0)),"?")</f>
        <v>TR03</v>
      </c>
      <c r="H243" s="20" t="n">
        <f aca="false">IFERROR(INDEX(CADASTRO_PIVOS!$E$6:$E$41,MATCH($E243,CADASTRO_PIVOS!$B$6:$B$41,0)),0)</f>
        <v>98.2</v>
      </c>
      <c r="I243" s="16" t="n">
        <f aca="false">IFERROR(SUMIFS(ROTACAO_RDM!$B$6:$B$71,ROTACAO_RDM!$D$6:$D$71,$E243,ROTACAO_RDM!$I$6:$I$71,"&lt;="&amp;$C243+INT(DIAS_POR_SEMANA/2),ROTACAO_RDM!$J$6:$J$71,"&gt;="&amp;$C243+INT(DIAS_POR_SEMANA/2)),0)</f>
        <v>8</v>
      </c>
      <c r="J243" s="16" t="n">
        <f aca="false">IFERROR(MATCH($I243,ROTACAO_RDM!$B$6:$B$71,0),0)</f>
        <v>8</v>
      </c>
      <c r="K243" s="8" t="str">
        <f aca="false">IF($J243=0,"SEM CULTURA",INDEX(ROTACAO_RDM!$F$6:$F$71,$J243))</f>
        <v>ALGODAO</v>
      </c>
      <c r="L243" s="8" t="str">
        <f aca="false">IF($J243=0,"",INDEX(ROTACAO_RDM!$G$6:$G$71,$J243))</f>
        <v>FM 933 STP</v>
      </c>
      <c r="M243" s="17" t="n">
        <f aca="false">IF($J243=0,"",INDEX(ROTACAO_RDM!$I$6:$I$71,$J243))</f>
        <v>46424</v>
      </c>
      <c r="N243" s="16" t="n">
        <f aca="false">IF($J243=0,0,MAX(0,$C243+INT(DIAS_POR_SEMANA/2)-INDEX(ROTACAO_RDM!$I$6:$I$71,$J243)))</f>
        <v>117</v>
      </c>
      <c r="O243" s="19" t="n">
        <f aca="false">IF($J243=0,0,MIN(1,$N243/MAX(1,INDEX(ROTACAO_RDM!$K$6:$K$71,$J243))))</f>
        <v>0.6</v>
      </c>
      <c r="P243" s="16" t="n">
        <f aca="false">IF($J243=0,0,IFERROR(MATCH(INDEX(ROTACAO_RDM!$N$6:$N$71,$J243),PARAMETROS_CULTURAS!$B$6:$B$28,0),0))</f>
        <v>5</v>
      </c>
      <c r="Q243" s="8" t="str">
        <f aca="false">IF($P243=0,"-",IF($O243&lt;=INDEX(PARAMETROS_CULTURAS!$F$6:$F$28,$P243),"INICIAL",IF($O243&lt;=INDEX(PARAMETROS_CULTURAS!$F$6:$F$28,$P243)+INDEX(PARAMETROS_CULTURAS!$G$6:$G$28,$P243),"DESENVOLVIMENTO",IF($O243&lt;=INDEX(PARAMETROS_CULTURAS!$F$6:$F$28,$P243)+INDEX(PARAMETROS_CULTURAS!$G$6:$G$28,$P243)+INDEX(PARAMETROS_CULTURAS!$H$6:$H$28,$P243),"MEDIA","FINAL"))))</f>
        <v>MEDIA</v>
      </c>
      <c r="R243" s="24" t="n">
        <f aca="false">IF($P243=0,0,IF($O243&lt;=INDEX(PARAMETROS_CULTURAS!$F$6:$F$28,$P243),INDEX(PARAMETROS_CULTURAS!$K$6:$K$28,$P243),IF($O243&lt;=INDEX(PARAMETROS_CULTURAS!$F$6:$F$28,$P243)+INDEX(PARAMETROS_CULTURAS!$G$6:$G$28,$P243),INDEX(PARAMETROS_CULTURAS!$K$6:$K$28,$P243)+(INDEX(PARAMETROS_CULTURAS!$L$6:$L$28,$P243)-INDEX(PARAMETROS_CULTURAS!$K$6:$K$28,$P243))*($O243-INDEX(PARAMETROS_CULTURAS!$F$6:$F$28,$P243))/MAX(INDEX(PARAMETROS_CULTURAS!$G$6:$G$28,$P243),0.0001),IF($O243&lt;=INDEX(PARAMETROS_CULTURAS!$F$6:$F$28,$P243)+INDEX(PARAMETROS_CULTURAS!$G$6:$G$28,$P243)+INDEX(PARAMETROS_CULTURAS!$H$6:$H$28,$P243),INDEX(PARAMETROS_CULTURAS!$L$6:$L$28,$P243),INDEX(PARAMETROS_CULTURAS!$L$6:$L$28,$P243)+(INDEX(PARAMETROS_CULTURAS!$M$6:$M$28,$P243)-INDEX(PARAMETROS_CULTURAS!$L$6:$L$28,$P243))*($O243-INDEX(PARAMETROS_CULTURAS!$F$6:$F$28,$P243)-INDEX(PARAMETROS_CULTURAS!$G$6:$G$28,$P243)-INDEX(PARAMETROS_CULTURAS!$H$6:$H$28,$P243))/MAX(INDEX(PARAMETROS_CULTURAS!$I$6:$I$28,$P243),0.0001)))))</f>
        <v>1.15</v>
      </c>
      <c r="S243" s="18" t="n">
        <f aca="false">IFERROR(INDEX(SEMANAS!$H$6:$H$71,MATCH($B243,SEMANAS!$B$6:$B$71,0)),0)</f>
        <v>28.2</v>
      </c>
      <c r="T243" s="18" t="n">
        <f aca="false">$R243*$S243</f>
        <v>32.43</v>
      </c>
      <c r="U243" s="18" t="n">
        <f aca="false">IFERROR(INDEX(SEMANAS!$I$6:$I$71,MATCH($B243,SEMANAS!$B$6:$B$71,0)),0)</f>
        <v>1.5</v>
      </c>
      <c r="V243" s="18" t="n">
        <f aca="false">IFERROR(INDEX(SEMANAS!$J$6:$J$71,MATCH($B243,SEMANAS!$B$6:$B$71,0)),0)</f>
        <v>1.2</v>
      </c>
      <c r="W243" s="18" t="n">
        <f aca="false">MAX(0,$T243-$V243)</f>
        <v>31.23</v>
      </c>
      <c r="X243" s="19" t="n">
        <f aca="false">IFERROR(INDEX(CADASTRO_PIVOS!$K$6:$K$41,MATCH($E243,CADASTRO_PIVOS!$B$6:$B$41,0)),EFICIENCIA_PADRAO)</f>
        <v>0.85</v>
      </c>
      <c r="Y243" s="18" t="n">
        <f aca="false">IF($X243&lt;=0,0,$W243/$X243)</f>
        <v>36.7411764705882</v>
      </c>
      <c r="Z243" s="16" t="n">
        <f aca="false">$Y243*$H243*MM_PARA_M3_HA</f>
        <v>36079.8352941177</v>
      </c>
      <c r="AA243" s="18" t="n">
        <f aca="false">IFERROR(INDEX(CADASTRO_PIVOS!$I$6:$I$41,MATCH($E243,CADASTRO_PIVOS!$B$6:$B$41,0)),0)</f>
        <v>701.428571428571</v>
      </c>
      <c r="AB243" s="18" t="n">
        <f aca="false">IF($Z243&lt;=0,0,$Z243/$AA243)</f>
        <v>51.4376470588235</v>
      </c>
      <c r="AC243" s="16" t="n">
        <f aca="false">IFERROR(INDEX(SEMANAS!$K$6:$K$71,MATCH($B243,SEMANAS!$B$6:$B$71,0)),0)</f>
        <v>147</v>
      </c>
      <c r="AD243" s="19" t="n">
        <f aca="false">IF($AC243&lt;=0,0,$AB243/$AC243)</f>
        <v>0.349915966386555</v>
      </c>
      <c r="AE243" s="8" t="str">
        <f aca="false">IF($K243="SEM CULTURA","SEM CULTURA",IF($AA243&lt;=0,"DADO PENDENTE",IF($AD243&gt;LIMITE_CRITICO,"INVIAVEL",IF($AD243&gt;LIMITE_ATENCAO,"CRITICO",IF($AD243&gt;LIMITE_CONFORTAVEL,"ATENCAO","OK")))))</f>
        <v>OK</v>
      </c>
      <c r="AF243" s="8" t="str">
        <f aca="false">$B243&amp;"|"&amp;TEXT($AD243,"0.000000")</f>
        <v>40|0.349916</v>
      </c>
      <c r="AG243" s="18" t="n">
        <f aca="false">IF($K243="SEM CULTURA",0,$T243*$H243)</f>
        <v>3184.626</v>
      </c>
      <c r="AH243" s="18" t="n">
        <f aca="false">IF($K243="SEM CULTURA",0,$V243*$H243)</f>
        <v>117.84</v>
      </c>
      <c r="AI243" s="18" t="n">
        <f aca="false">IF($K243="SEM CULTURA",0,$W243*$H243)</f>
        <v>3066.786</v>
      </c>
      <c r="AJ243" s="18" t="n">
        <f aca="false">IF($K243="SEM CULTURA",0,$S243*$H243)</f>
        <v>2769.24</v>
      </c>
      <c r="AK243" s="8" t="str">
        <f aca="false">$E243&amp;"|"&amp;TEXT($AD243,"0.000000")</f>
        <v>PV 105|0.349916</v>
      </c>
    </row>
    <row r="244" customFormat="false" ht="15" hidden="false" customHeight="false" outlineLevel="0" collapsed="false">
      <c r="B244" s="16" t="n">
        <v>41</v>
      </c>
      <c r="C244" s="17" t="n">
        <f aca="false">DATA_INICIO_SAFRA+($B244-1)*DIAS_POR_SEMANA</f>
        <v>46545</v>
      </c>
      <c r="D244" s="17" t="n">
        <f aca="false">$C244+DIAS_POR_SEMANA-1</f>
        <v>46551</v>
      </c>
      <c r="E244" s="15" t="s">
        <v>262</v>
      </c>
      <c r="F244" s="8" t="str">
        <f aca="false">IFERROR(INDEX(CADASTRO_PIVOS!$C$6:$C$41,MATCH($E244,CADASTRO_PIVOS!$B$6:$B$41,0)),"?")</f>
        <v>RM03</v>
      </c>
      <c r="G244" s="8" t="str">
        <f aca="false">IFERROR(INDEX(CADASTRO_PIVOS!$D$6:$D$41,MATCH($E244,CADASTRO_PIVOS!$B$6:$B$41,0)),"?")</f>
        <v>TR03</v>
      </c>
      <c r="H244" s="20" t="n">
        <f aca="false">IFERROR(INDEX(CADASTRO_PIVOS!$E$6:$E$41,MATCH($E244,CADASTRO_PIVOS!$B$6:$B$41,0)),0)</f>
        <v>98.2</v>
      </c>
      <c r="I244" s="16" t="n">
        <f aca="false">IFERROR(SUMIFS(ROTACAO_RDM!$B$6:$B$71,ROTACAO_RDM!$D$6:$D$71,$E244,ROTACAO_RDM!$I$6:$I$71,"&lt;="&amp;$C244+INT(DIAS_POR_SEMANA/2),ROTACAO_RDM!$J$6:$J$71,"&gt;="&amp;$C244+INT(DIAS_POR_SEMANA/2)),0)</f>
        <v>8</v>
      </c>
      <c r="J244" s="16" t="n">
        <f aca="false">IFERROR(MATCH($I244,ROTACAO_RDM!$B$6:$B$71,0),0)</f>
        <v>8</v>
      </c>
      <c r="K244" s="8" t="str">
        <f aca="false">IF($J244=0,"SEM CULTURA",INDEX(ROTACAO_RDM!$F$6:$F$71,$J244))</f>
        <v>ALGODAO</v>
      </c>
      <c r="L244" s="8" t="str">
        <f aca="false">IF($J244=0,"",INDEX(ROTACAO_RDM!$G$6:$G$71,$J244))</f>
        <v>FM 933 STP</v>
      </c>
      <c r="M244" s="17" t="n">
        <f aca="false">IF($J244=0,"",INDEX(ROTACAO_RDM!$I$6:$I$71,$J244))</f>
        <v>46424</v>
      </c>
      <c r="N244" s="16" t="n">
        <f aca="false">IF($J244=0,0,MAX(0,$C244+INT(DIAS_POR_SEMANA/2)-INDEX(ROTACAO_RDM!$I$6:$I$71,$J244)))</f>
        <v>124</v>
      </c>
      <c r="O244" s="19" t="n">
        <f aca="false">IF($J244=0,0,MIN(1,$N244/MAX(1,INDEX(ROTACAO_RDM!$K$6:$K$71,$J244))))</f>
        <v>0.635897435897436</v>
      </c>
      <c r="P244" s="16" t="n">
        <f aca="false">IF($J244=0,0,IFERROR(MATCH(INDEX(ROTACAO_RDM!$N$6:$N$71,$J244),PARAMETROS_CULTURAS!$B$6:$B$28,0),0))</f>
        <v>5</v>
      </c>
      <c r="Q244" s="8" t="str">
        <f aca="false">IF($P244=0,"-",IF($O244&lt;=INDEX(PARAMETROS_CULTURAS!$F$6:$F$28,$P244),"INICIAL",IF($O244&lt;=INDEX(PARAMETROS_CULTURAS!$F$6:$F$28,$P244)+INDEX(PARAMETROS_CULTURAS!$G$6:$G$28,$P244),"DESENVOLVIMENTO",IF($O244&lt;=INDEX(PARAMETROS_CULTURAS!$F$6:$F$28,$P244)+INDEX(PARAMETROS_CULTURAS!$G$6:$G$28,$P244)+INDEX(PARAMETROS_CULTURAS!$H$6:$H$28,$P244),"MEDIA","FINAL"))))</f>
        <v>MEDIA</v>
      </c>
      <c r="R244" s="24" t="n">
        <f aca="false">IF($P244=0,0,IF($O244&lt;=INDEX(PARAMETROS_CULTURAS!$F$6:$F$28,$P244),INDEX(PARAMETROS_CULTURAS!$K$6:$K$28,$P244),IF($O244&lt;=INDEX(PARAMETROS_CULTURAS!$F$6:$F$28,$P244)+INDEX(PARAMETROS_CULTURAS!$G$6:$G$28,$P244),INDEX(PARAMETROS_CULTURAS!$K$6:$K$28,$P244)+(INDEX(PARAMETROS_CULTURAS!$L$6:$L$28,$P244)-INDEX(PARAMETROS_CULTURAS!$K$6:$K$28,$P244))*($O244-INDEX(PARAMETROS_CULTURAS!$F$6:$F$28,$P244))/MAX(INDEX(PARAMETROS_CULTURAS!$G$6:$G$28,$P244),0.0001),IF($O244&lt;=INDEX(PARAMETROS_CULTURAS!$F$6:$F$28,$P244)+INDEX(PARAMETROS_CULTURAS!$G$6:$G$28,$P244)+INDEX(PARAMETROS_CULTURAS!$H$6:$H$28,$P244),INDEX(PARAMETROS_CULTURAS!$L$6:$L$28,$P244),INDEX(PARAMETROS_CULTURAS!$L$6:$L$28,$P244)+(INDEX(PARAMETROS_CULTURAS!$M$6:$M$28,$P244)-INDEX(PARAMETROS_CULTURAS!$L$6:$L$28,$P244))*($O244-INDEX(PARAMETROS_CULTURAS!$F$6:$F$28,$P244)-INDEX(PARAMETROS_CULTURAS!$G$6:$G$28,$P244)-INDEX(PARAMETROS_CULTURAS!$H$6:$H$28,$P244))/MAX(INDEX(PARAMETROS_CULTURAS!$I$6:$I$28,$P244),0.0001)))))</f>
        <v>1.15</v>
      </c>
      <c r="S244" s="18" t="n">
        <f aca="false">IFERROR(INDEX(SEMANAS!$H$6:$H$71,MATCH($B244,SEMANAS!$B$6:$B$71,0)),0)</f>
        <v>28</v>
      </c>
      <c r="T244" s="18" t="n">
        <f aca="false">$R244*$S244</f>
        <v>32.2</v>
      </c>
      <c r="U244" s="18" t="n">
        <f aca="false">IFERROR(INDEX(SEMANAS!$I$6:$I$71,MATCH($B244,SEMANAS!$B$6:$B$71,0)),0)</f>
        <v>1.19</v>
      </c>
      <c r="V244" s="18" t="n">
        <f aca="false">IFERROR(INDEX(SEMANAS!$J$6:$J$71,MATCH($B244,SEMANAS!$B$6:$B$71,0)),0)</f>
        <v>0.952</v>
      </c>
      <c r="W244" s="18" t="n">
        <f aca="false">MAX(0,$T244-$V244)</f>
        <v>31.248</v>
      </c>
      <c r="X244" s="19" t="n">
        <f aca="false">IFERROR(INDEX(CADASTRO_PIVOS!$K$6:$K$41,MATCH($E244,CADASTRO_PIVOS!$B$6:$B$41,0)),EFICIENCIA_PADRAO)</f>
        <v>0.85</v>
      </c>
      <c r="Y244" s="18" t="n">
        <f aca="false">IF($X244&lt;=0,0,$W244/$X244)</f>
        <v>36.7623529411765</v>
      </c>
      <c r="Z244" s="16" t="n">
        <f aca="false">$Y244*$H244*MM_PARA_M3_HA</f>
        <v>36100.6305882353</v>
      </c>
      <c r="AA244" s="18" t="n">
        <f aca="false">IFERROR(INDEX(CADASTRO_PIVOS!$I$6:$I$41,MATCH($E244,CADASTRO_PIVOS!$B$6:$B$41,0)),0)</f>
        <v>701.428571428571</v>
      </c>
      <c r="AB244" s="18" t="n">
        <f aca="false">IF($Z244&lt;=0,0,$Z244/$AA244)</f>
        <v>51.4672941176471</v>
      </c>
      <c r="AC244" s="16" t="n">
        <f aca="false">IFERROR(INDEX(SEMANAS!$K$6:$K$71,MATCH($B244,SEMANAS!$B$6:$B$71,0)),0)</f>
        <v>147</v>
      </c>
      <c r="AD244" s="19" t="n">
        <f aca="false">IF($AC244&lt;=0,0,$AB244/$AC244)</f>
        <v>0.350117647058824</v>
      </c>
      <c r="AE244" s="8" t="str">
        <f aca="false">IF($K244="SEM CULTURA","SEM CULTURA",IF($AA244&lt;=0,"DADO PENDENTE",IF($AD244&gt;LIMITE_CRITICO,"INVIAVEL",IF($AD244&gt;LIMITE_ATENCAO,"CRITICO",IF($AD244&gt;LIMITE_CONFORTAVEL,"ATENCAO","OK")))))</f>
        <v>OK</v>
      </c>
      <c r="AF244" s="8" t="str">
        <f aca="false">$B244&amp;"|"&amp;TEXT($AD244,"0.000000")</f>
        <v>41|0.350118</v>
      </c>
      <c r="AG244" s="18" t="n">
        <f aca="false">IF($K244="SEM CULTURA",0,$T244*$H244)</f>
        <v>3162.04</v>
      </c>
      <c r="AH244" s="18" t="n">
        <f aca="false">IF($K244="SEM CULTURA",0,$V244*$H244)</f>
        <v>93.4864</v>
      </c>
      <c r="AI244" s="18" t="n">
        <f aca="false">IF($K244="SEM CULTURA",0,$W244*$H244)</f>
        <v>3068.5536</v>
      </c>
      <c r="AJ244" s="18" t="n">
        <f aca="false">IF($K244="SEM CULTURA",0,$S244*$H244)</f>
        <v>2749.6</v>
      </c>
      <c r="AK244" s="8" t="str">
        <f aca="false">$E244&amp;"|"&amp;TEXT($AD244,"0.000000")</f>
        <v>PV 105|0.350118</v>
      </c>
    </row>
    <row r="245" customFormat="false" ht="15" hidden="false" customHeight="false" outlineLevel="0" collapsed="false">
      <c r="B245" s="16" t="n">
        <v>42</v>
      </c>
      <c r="C245" s="17" t="n">
        <f aca="false">DATA_INICIO_SAFRA+($B245-1)*DIAS_POR_SEMANA</f>
        <v>46552</v>
      </c>
      <c r="D245" s="17" t="n">
        <f aca="false">$C245+DIAS_POR_SEMANA-1</f>
        <v>46558</v>
      </c>
      <c r="E245" s="15" t="s">
        <v>262</v>
      </c>
      <c r="F245" s="8" t="str">
        <f aca="false">IFERROR(INDEX(CADASTRO_PIVOS!$C$6:$C$41,MATCH($E245,CADASTRO_PIVOS!$B$6:$B$41,0)),"?")</f>
        <v>RM03</v>
      </c>
      <c r="G245" s="8" t="str">
        <f aca="false">IFERROR(INDEX(CADASTRO_PIVOS!$D$6:$D$41,MATCH($E245,CADASTRO_PIVOS!$B$6:$B$41,0)),"?")</f>
        <v>TR03</v>
      </c>
      <c r="H245" s="20" t="n">
        <f aca="false">IFERROR(INDEX(CADASTRO_PIVOS!$E$6:$E$41,MATCH($E245,CADASTRO_PIVOS!$B$6:$B$41,0)),0)</f>
        <v>98.2</v>
      </c>
      <c r="I245" s="16" t="n">
        <f aca="false">IFERROR(SUMIFS(ROTACAO_RDM!$B$6:$B$71,ROTACAO_RDM!$D$6:$D$71,$E245,ROTACAO_RDM!$I$6:$I$71,"&lt;="&amp;$C245+INT(DIAS_POR_SEMANA/2),ROTACAO_RDM!$J$6:$J$71,"&gt;="&amp;$C245+INT(DIAS_POR_SEMANA/2)),0)</f>
        <v>8</v>
      </c>
      <c r="J245" s="16" t="n">
        <f aca="false">IFERROR(MATCH($I245,ROTACAO_RDM!$B$6:$B$71,0),0)</f>
        <v>8</v>
      </c>
      <c r="K245" s="8" t="str">
        <f aca="false">IF($J245=0,"SEM CULTURA",INDEX(ROTACAO_RDM!$F$6:$F$71,$J245))</f>
        <v>ALGODAO</v>
      </c>
      <c r="L245" s="8" t="str">
        <f aca="false">IF($J245=0,"",INDEX(ROTACAO_RDM!$G$6:$G$71,$J245))</f>
        <v>FM 933 STP</v>
      </c>
      <c r="M245" s="17" t="n">
        <f aca="false">IF($J245=0,"",INDEX(ROTACAO_RDM!$I$6:$I$71,$J245))</f>
        <v>46424</v>
      </c>
      <c r="N245" s="16" t="n">
        <f aca="false">IF($J245=0,0,MAX(0,$C245+INT(DIAS_POR_SEMANA/2)-INDEX(ROTACAO_RDM!$I$6:$I$71,$J245)))</f>
        <v>131</v>
      </c>
      <c r="O245" s="19" t="n">
        <f aca="false">IF($J245=0,0,MIN(1,$N245/MAX(1,INDEX(ROTACAO_RDM!$K$6:$K$71,$J245))))</f>
        <v>0.671794871794872</v>
      </c>
      <c r="P245" s="16" t="n">
        <f aca="false">IF($J245=0,0,IFERROR(MATCH(INDEX(ROTACAO_RDM!$N$6:$N$71,$J245),PARAMETROS_CULTURAS!$B$6:$B$28,0),0))</f>
        <v>5</v>
      </c>
      <c r="Q245" s="8" t="str">
        <f aca="false">IF($P245=0,"-",IF($O245&lt;=INDEX(PARAMETROS_CULTURAS!$F$6:$F$28,$P245),"INICIAL",IF($O245&lt;=INDEX(PARAMETROS_CULTURAS!$F$6:$F$28,$P245)+INDEX(PARAMETROS_CULTURAS!$G$6:$G$28,$P245),"DESENVOLVIMENTO",IF($O245&lt;=INDEX(PARAMETROS_CULTURAS!$F$6:$F$28,$P245)+INDEX(PARAMETROS_CULTURAS!$G$6:$G$28,$P245)+INDEX(PARAMETROS_CULTURAS!$H$6:$H$28,$P245),"MEDIA","FINAL"))))</f>
        <v>MEDIA</v>
      </c>
      <c r="R245" s="24" t="n">
        <f aca="false">IF($P245=0,0,IF($O245&lt;=INDEX(PARAMETROS_CULTURAS!$F$6:$F$28,$P245),INDEX(PARAMETROS_CULTURAS!$K$6:$K$28,$P245),IF($O245&lt;=INDEX(PARAMETROS_CULTURAS!$F$6:$F$28,$P245)+INDEX(PARAMETROS_CULTURAS!$G$6:$G$28,$P245),INDEX(PARAMETROS_CULTURAS!$K$6:$K$28,$P245)+(INDEX(PARAMETROS_CULTURAS!$L$6:$L$28,$P245)-INDEX(PARAMETROS_CULTURAS!$K$6:$K$28,$P245))*($O245-INDEX(PARAMETROS_CULTURAS!$F$6:$F$28,$P245))/MAX(INDEX(PARAMETROS_CULTURAS!$G$6:$G$28,$P245),0.0001),IF($O245&lt;=INDEX(PARAMETROS_CULTURAS!$F$6:$F$28,$P245)+INDEX(PARAMETROS_CULTURAS!$G$6:$G$28,$P245)+INDEX(PARAMETROS_CULTURAS!$H$6:$H$28,$P245),INDEX(PARAMETROS_CULTURAS!$L$6:$L$28,$P245),INDEX(PARAMETROS_CULTURAS!$L$6:$L$28,$P245)+(INDEX(PARAMETROS_CULTURAS!$M$6:$M$28,$P245)-INDEX(PARAMETROS_CULTURAS!$L$6:$L$28,$P245))*($O245-INDEX(PARAMETROS_CULTURAS!$F$6:$F$28,$P245)-INDEX(PARAMETROS_CULTURAS!$G$6:$G$28,$P245)-INDEX(PARAMETROS_CULTURAS!$H$6:$H$28,$P245))/MAX(INDEX(PARAMETROS_CULTURAS!$I$6:$I$28,$P245),0.0001)))))</f>
        <v>1.15</v>
      </c>
      <c r="S245" s="18" t="n">
        <f aca="false">IFERROR(INDEX(SEMANAS!$H$6:$H$71,MATCH($B245,SEMANAS!$B$6:$B$71,0)),0)</f>
        <v>28</v>
      </c>
      <c r="T245" s="18" t="n">
        <f aca="false">$R245*$S245</f>
        <v>32.2</v>
      </c>
      <c r="U245" s="18" t="n">
        <f aca="false">IFERROR(INDEX(SEMANAS!$I$6:$I$71,MATCH($B245,SEMANAS!$B$6:$B$71,0)),0)</f>
        <v>1.19</v>
      </c>
      <c r="V245" s="18" t="n">
        <f aca="false">IFERROR(INDEX(SEMANAS!$J$6:$J$71,MATCH($B245,SEMANAS!$B$6:$B$71,0)),0)</f>
        <v>0.952</v>
      </c>
      <c r="W245" s="18" t="n">
        <f aca="false">MAX(0,$T245-$V245)</f>
        <v>31.248</v>
      </c>
      <c r="X245" s="19" t="n">
        <f aca="false">IFERROR(INDEX(CADASTRO_PIVOS!$K$6:$K$41,MATCH($E245,CADASTRO_PIVOS!$B$6:$B$41,0)),EFICIENCIA_PADRAO)</f>
        <v>0.85</v>
      </c>
      <c r="Y245" s="18" t="n">
        <f aca="false">IF($X245&lt;=0,0,$W245/$X245)</f>
        <v>36.7623529411765</v>
      </c>
      <c r="Z245" s="16" t="n">
        <f aca="false">$Y245*$H245*MM_PARA_M3_HA</f>
        <v>36100.6305882353</v>
      </c>
      <c r="AA245" s="18" t="n">
        <f aca="false">IFERROR(INDEX(CADASTRO_PIVOS!$I$6:$I$41,MATCH($E245,CADASTRO_PIVOS!$B$6:$B$41,0)),0)</f>
        <v>701.428571428571</v>
      </c>
      <c r="AB245" s="18" t="n">
        <f aca="false">IF($Z245&lt;=0,0,$Z245/$AA245)</f>
        <v>51.4672941176471</v>
      </c>
      <c r="AC245" s="16" t="n">
        <f aca="false">IFERROR(INDEX(SEMANAS!$K$6:$K$71,MATCH($B245,SEMANAS!$B$6:$B$71,0)),0)</f>
        <v>147</v>
      </c>
      <c r="AD245" s="19" t="n">
        <f aca="false">IF($AC245&lt;=0,0,$AB245/$AC245)</f>
        <v>0.350117647058824</v>
      </c>
      <c r="AE245" s="8" t="str">
        <f aca="false">IF($K245="SEM CULTURA","SEM CULTURA",IF($AA245&lt;=0,"DADO PENDENTE",IF($AD245&gt;LIMITE_CRITICO,"INVIAVEL",IF($AD245&gt;LIMITE_ATENCAO,"CRITICO",IF($AD245&gt;LIMITE_CONFORTAVEL,"ATENCAO","OK")))))</f>
        <v>OK</v>
      </c>
      <c r="AF245" s="8" t="str">
        <f aca="false">$B245&amp;"|"&amp;TEXT($AD245,"0.000000")</f>
        <v>42|0.350118</v>
      </c>
      <c r="AG245" s="18" t="n">
        <f aca="false">IF($K245="SEM CULTURA",0,$T245*$H245)</f>
        <v>3162.04</v>
      </c>
      <c r="AH245" s="18" t="n">
        <f aca="false">IF($K245="SEM CULTURA",0,$V245*$H245)</f>
        <v>93.4864</v>
      </c>
      <c r="AI245" s="18" t="n">
        <f aca="false">IF($K245="SEM CULTURA",0,$W245*$H245)</f>
        <v>3068.5536</v>
      </c>
      <c r="AJ245" s="18" t="n">
        <f aca="false">IF($K245="SEM CULTURA",0,$S245*$H245)</f>
        <v>2749.6</v>
      </c>
      <c r="AK245" s="8" t="str">
        <f aca="false">$E245&amp;"|"&amp;TEXT($AD245,"0.000000")</f>
        <v>PV 105|0.350118</v>
      </c>
    </row>
    <row r="246" customFormat="false" ht="15" hidden="false" customHeight="false" outlineLevel="0" collapsed="false">
      <c r="B246" s="16" t="n">
        <v>43</v>
      </c>
      <c r="C246" s="17" t="n">
        <f aca="false">DATA_INICIO_SAFRA+($B246-1)*DIAS_POR_SEMANA</f>
        <v>46559</v>
      </c>
      <c r="D246" s="17" t="n">
        <f aca="false">$C246+DIAS_POR_SEMANA-1</f>
        <v>46565</v>
      </c>
      <c r="E246" s="15" t="s">
        <v>262</v>
      </c>
      <c r="F246" s="8" t="str">
        <f aca="false">IFERROR(INDEX(CADASTRO_PIVOS!$C$6:$C$41,MATCH($E246,CADASTRO_PIVOS!$B$6:$B$41,0)),"?")</f>
        <v>RM03</v>
      </c>
      <c r="G246" s="8" t="str">
        <f aca="false">IFERROR(INDEX(CADASTRO_PIVOS!$D$6:$D$41,MATCH($E246,CADASTRO_PIVOS!$B$6:$B$41,0)),"?")</f>
        <v>TR03</v>
      </c>
      <c r="H246" s="20" t="n">
        <f aca="false">IFERROR(INDEX(CADASTRO_PIVOS!$E$6:$E$41,MATCH($E246,CADASTRO_PIVOS!$B$6:$B$41,0)),0)</f>
        <v>98.2</v>
      </c>
      <c r="I246" s="16" t="n">
        <f aca="false">IFERROR(SUMIFS(ROTACAO_RDM!$B$6:$B$71,ROTACAO_RDM!$D$6:$D$71,$E246,ROTACAO_RDM!$I$6:$I$71,"&lt;="&amp;$C246+INT(DIAS_POR_SEMANA/2),ROTACAO_RDM!$J$6:$J$71,"&gt;="&amp;$C246+INT(DIAS_POR_SEMANA/2)),0)</f>
        <v>8</v>
      </c>
      <c r="J246" s="16" t="n">
        <f aca="false">IFERROR(MATCH($I246,ROTACAO_RDM!$B$6:$B$71,0),0)</f>
        <v>8</v>
      </c>
      <c r="K246" s="8" t="str">
        <f aca="false">IF($J246=0,"SEM CULTURA",INDEX(ROTACAO_RDM!$F$6:$F$71,$J246))</f>
        <v>ALGODAO</v>
      </c>
      <c r="L246" s="8" t="str">
        <f aca="false">IF($J246=0,"",INDEX(ROTACAO_RDM!$G$6:$G$71,$J246))</f>
        <v>FM 933 STP</v>
      </c>
      <c r="M246" s="17" t="n">
        <f aca="false">IF($J246=0,"",INDEX(ROTACAO_RDM!$I$6:$I$71,$J246))</f>
        <v>46424</v>
      </c>
      <c r="N246" s="16" t="n">
        <f aca="false">IF($J246=0,0,MAX(0,$C246+INT(DIAS_POR_SEMANA/2)-INDEX(ROTACAO_RDM!$I$6:$I$71,$J246)))</f>
        <v>138</v>
      </c>
      <c r="O246" s="19" t="n">
        <f aca="false">IF($J246=0,0,MIN(1,$N246/MAX(1,INDEX(ROTACAO_RDM!$K$6:$K$71,$J246))))</f>
        <v>0.707692307692308</v>
      </c>
      <c r="P246" s="16" t="n">
        <f aca="false">IF($J246=0,0,IFERROR(MATCH(INDEX(ROTACAO_RDM!$N$6:$N$71,$J246),PARAMETROS_CULTURAS!$B$6:$B$28,0),0))</f>
        <v>5</v>
      </c>
      <c r="Q246" s="8" t="str">
        <f aca="false">IF($P246=0,"-",IF($O246&lt;=INDEX(PARAMETROS_CULTURAS!$F$6:$F$28,$P246),"INICIAL",IF($O246&lt;=INDEX(PARAMETROS_CULTURAS!$F$6:$F$28,$P246)+INDEX(PARAMETROS_CULTURAS!$G$6:$G$28,$P246),"DESENVOLVIMENTO",IF($O246&lt;=INDEX(PARAMETROS_CULTURAS!$F$6:$F$28,$P246)+INDEX(PARAMETROS_CULTURAS!$G$6:$G$28,$P246)+INDEX(PARAMETROS_CULTURAS!$H$6:$H$28,$P246),"MEDIA","FINAL"))))</f>
        <v>MEDIA</v>
      </c>
      <c r="R246" s="24" t="n">
        <f aca="false">IF($P246=0,0,IF($O246&lt;=INDEX(PARAMETROS_CULTURAS!$F$6:$F$28,$P246),INDEX(PARAMETROS_CULTURAS!$K$6:$K$28,$P246),IF($O246&lt;=INDEX(PARAMETROS_CULTURAS!$F$6:$F$28,$P246)+INDEX(PARAMETROS_CULTURAS!$G$6:$G$28,$P246),INDEX(PARAMETROS_CULTURAS!$K$6:$K$28,$P246)+(INDEX(PARAMETROS_CULTURAS!$L$6:$L$28,$P246)-INDEX(PARAMETROS_CULTURAS!$K$6:$K$28,$P246))*($O246-INDEX(PARAMETROS_CULTURAS!$F$6:$F$28,$P246))/MAX(INDEX(PARAMETROS_CULTURAS!$G$6:$G$28,$P246),0.0001),IF($O246&lt;=INDEX(PARAMETROS_CULTURAS!$F$6:$F$28,$P246)+INDEX(PARAMETROS_CULTURAS!$G$6:$G$28,$P246)+INDEX(PARAMETROS_CULTURAS!$H$6:$H$28,$P246),INDEX(PARAMETROS_CULTURAS!$L$6:$L$28,$P246),INDEX(PARAMETROS_CULTURAS!$L$6:$L$28,$P246)+(INDEX(PARAMETROS_CULTURAS!$M$6:$M$28,$P246)-INDEX(PARAMETROS_CULTURAS!$L$6:$L$28,$P246))*($O246-INDEX(PARAMETROS_CULTURAS!$F$6:$F$28,$P246)-INDEX(PARAMETROS_CULTURAS!$G$6:$G$28,$P246)-INDEX(PARAMETROS_CULTURAS!$H$6:$H$28,$P246))/MAX(INDEX(PARAMETROS_CULTURAS!$I$6:$I$28,$P246),0.0001)))))</f>
        <v>1.15</v>
      </c>
      <c r="S246" s="18" t="n">
        <f aca="false">IFERROR(INDEX(SEMANAS!$H$6:$H$71,MATCH($B246,SEMANAS!$B$6:$B$71,0)),0)</f>
        <v>28</v>
      </c>
      <c r="T246" s="18" t="n">
        <f aca="false">$R246*$S246</f>
        <v>32.2</v>
      </c>
      <c r="U246" s="18" t="n">
        <f aca="false">IFERROR(INDEX(SEMANAS!$I$6:$I$71,MATCH($B246,SEMANAS!$B$6:$B$71,0)),0)</f>
        <v>1.19</v>
      </c>
      <c r="V246" s="18" t="n">
        <f aca="false">IFERROR(INDEX(SEMANAS!$J$6:$J$71,MATCH($B246,SEMANAS!$B$6:$B$71,0)),0)</f>
        <v>0.952</v>
      </c>
      <c r="W246" s="18" t="n">
        <f aca="false">MAX(0,$T246-$V246)</f>
        <v>31.248</v>
      </c>
      <c r="X246" s="19" t="n">
        <f aca="false">IFERROR(INDEX(CADASTRO_PIVOS!$K$6:$K$41,MATCH($E246,CADASTRO_PIVOS!$B$6:$B$41,0)),EFICIENCIA_PADRAO)</f>
        <v>0.85</v>
      </c>
      <c r="Y246" s="18" t="n">
        <f aca="false">IF($X246&lt;=0,0,$W246/$X246)</f>
        <v>36.7623529411765</v>
      </c>
      <c r="Z246" s="16" t="n">
        <f aca="false">$Y246*$H246*MM_PARA_M3_HA</f>
        <v>36100.6305882353</v>
      </c>
      <c r="AA246" s="18" t="n">
        <f aca="false">IFERROR(INDEX(CADASTRO_PIVOS!$I$6:$I$41,MATCH($E246,CADASTRO_PIVOS!$B$6:$B$41,0)),0)</f>
        <v>701.428571428571</v>
      </c>
      <c r="AB246" s="18" t="n">
        <f aca="false">IF($Z246&lt;=0,0,$Z246/$AA246)</f>
        <v>51.4672941176471</v>
      </c>
      <c r="AC246" s="16" t="n">
        <f aca="false">IFERROR(INDEX(SEMANAS!$K$6:$K$71,MATCH($B246,SEMANAS!$B$6:$B$71,0)),0)</f>
        <v>147</v>
      </c>
      <c r="AD246" s="19" t="n">
        <f aca="false">IF($AC246&lt;=0,0,$AB246/$AC246)</f>
        <v>0.350117647058824</v>
      </c>
      <c r="AE246" s="8" t="str">
        <f aca="false">IF($K246="SEM CULTURA","SEM CULTURA",IF($AA246&lt;=0,"DADO PENDENTE",IF($AD246&gt;LIMITE_CRITICO,"INVIAVEL",IF($AD246&gt;LIMITE_ATENCAO,"CRITICO",IF($AD246&gt;LIMITE_CONFORTAVEL,"ATENCAO","OK")))))</f>
        <v>OK</v>
      </c>
      <c r="AF246" s="8" t="str">
        <f aca="false">$B246&amp;"|"&amp;TEXT($AD246,"0.000000")</f>
        <v>43|0.350118</v>
      </c>
      <c r="AG246" s="18" t="n">
        <f aca="false">IF($K246="SEM CULTURA",0,$T246*$H246)</f>
        <v>3162.04</v>
      </c>
      <c r="AH246" s="18" t="n">
        <f aca="false">IF($K246="SEM CULTURA",0,$V246*$H246)</f>
        <v>93.4864</v>
      </c>
      <c r="AI246" s="18" t="n">
        <f aca="false">IF($K246="SEM CULTURA",0,$W246*$H246)</f>
        <v>3068.5536</v>
      </c>
      <c r="AJ246" s="18" t="n">
        <f aca="false">IF($K246="SEM CULTURA",0,$S246*$H246)</f>
        <v>2749.6</v>
      </c>
      <c r="AK246" s="8" t="str">
        <f aca="false">$E246&amp;"|"&amp;TEXT($AD246,"0.000000")</f>
        <v>PV 105|0.350118</v>
      </c>
    </row>
    <row r="247" customFormat="false" ht="15" hidden="false" customHeight="false" outlineLevel="0" collapsed="false">
      <c r="B247" s="16" t="n">
        <v>44</v>
      </c>
      <c r="C247" s="17" t="n">
        <f aca="false">DATA_INICIO_SAFRA+($B247-1)*DIAS_POR_SEMANA</f>
        <v>46566</v>
      </c>
      <c r="D247" s="17" t="n">
        <f aca="false">$C247+DIAS_POR_SEMANA-1</f>
        <v>46572</v>
      </c>
      <c r="E247" s="15" t="s">
        <v>262</v>
      </c>
      <c r="F247" s="8" t="str">
        <f aca="false">IFERROR(INDEX(CADASTRO_PIVOS!$C$6:$C$41,MATCH($E247,CADASTRO_PIVOS!$B$6:$B$41,0)),"?")</f>
        <v>RM03</v>
      </c>
      <c r="G247" s="8" t="str">
        <f aca="false">IFERROR(INDEX(CADASTRO_PIVOS!$D$6:$D$41,MATCH($E247,CADASTRO_PIVOS!$B$6:$B$41,0)),"?")</f>
        <v>TR03</v>
      </c>
      <c r="H247" s="20" t="n">
        <f aca="false">IFERROR(INDEX(CADASTRO_PIVOS!$E$6:$E$41,MATCH($E247,CADASTRO_PIVOS!$B$6:$B$41,0)),0)</f>
        <v>98.2</v>
      </c>
      <c r="I247" s="16" t="n">
        <f aca="false">IFERROR(SUMIFS(ROTACAO_RDM!$B$6:$B$71,ROTACAO_RDM!$D$6:$D$71,$E247,ROTACAO_RDM!$I$6:$I$71,"&lt;="&amp;$C247+INT(DIAS_POR_SEMANA/2),ROTACAO_RDM!$J$6:$J$71,"&gt;="&amp;$C247+INT(DIAS_POR_SEMANA/2)),0)</f>
        <v>8</v>
      </c>
      <c r="J247" s="16" t="n">
        <f aca="false">IFERROR(MATCH($I247,ROTACAO_RDM!$B$6:$B$71,0),0)</f>
        <v>8</v>
      </c>
      <c r="K247" s="8" t="str">
        <f aca="false">IF($J247=0,"SEM CULTURA",INDEX(ROTACAO_RDM!$F$6:$F$71,$J247))</f>
        <v>ALGODAO</v>
      </c>
      <c r="L247" s="8" t="str">
        <f aca="false">IF($J247=0,"",INDEX(ROTACAO_RDM!$G$6:$G$71,$J247))</f>
        <v>FM 933 STP</v>
      </c>
      <c r="M247" s="17" t="n">
        <f aca="false">IF($J247=0,"",INDEX(ROTACAO_RDM!$I$6:$I$71,$J247))</f>
        <v>46424</v>
      </c>
      <c r="N247" s="16" t="n">
        <f aca="false">IF($J247=0,0,MAX(0,$C247+INT(DIAS_POR_SEMANA/2)-INDEX(ROTACAO_RDM!$I$6:$I$71,$J247)))</f>
        <v>145</v>
      </c>
      <c r="O247" s="19" t="n">
        <f aca="false">IF($J247=0,0,MIN(1,$N247/MAX(1,INDEX(ROTACAO_RDM!$K$6:$K$71,$J247))))</f>
        <v>0.743589743589744</v>
      </c>
      <c r="P247" s="16" t="n">
        <f aca="false">IF($J247=0,0,IFERROR(MATCH(INDEX(ROTACAO_RDM!$N$6:$N$71,$J247),PARAMETROS_CULTURAS!$B$6:$B$28,0),0))</f>
        <v>5</v>
      </c>
      <c r="Q247" s="8" t="str">
        <f aca="false">IF($P247=0,"-",IF($O247&lt;=INDEX(PARAMETROS_CULTURAS!$F$6:$F$28,$P247),"INICIAL",IF($O247&lt;=INDEX(PARAMETROS_CULTURAS!$F$6:$F$28,$P247)+INDEX(PARAMETROS_CULTURAS!$G$6:$G$28,$P247),"DESENVOLVIMENTO",IF($O247&lt;=INDEX(PARAMETROS_CULTURAS!$F$6:$F$28,$P247)+INDEX(PARAMETROS_CULTURAS!$G$6:$G$28,$P247)+INDEX(PARAMETROS_CULTURAS!$H$6:$H$28,$P247),"MEDIA","FINAL"))))</f>
        <v>FINAL</v>
      </c>
      <c r="R247" s="24" t="n">
        <f aca="false">IF($P247=0,0,IF($O247&lt;=INDEX(PARAMETROS_CULTURAS!$F$6:$F$28,$P247),INDEX(PARAMETROS_CULTURAS!$K$6:$K$28,$P247),IF($O247&lt;=INDEX(PARAMETROS_CULTURAS!$F$6:$F$28,$P247)+INDEX(PARAMETROS_CULTURAS!$G$6:$G$28,$P247),INDEX(PARAMETROS_CULTURAS!$K$6:$K$28,$P247)+(INDEX(PARAMETROS_CULTURAS!$L$6:$L$28,$P247)-INDEX(PARAMETROS_CULTURAS!$K$6:$K$28,$P247))*($O247-INDEX(PARAMETROS_CULTURAS!$F$6:$F$28,$P247))/MAX(INDEX(PARAMETROS_CULTURAS!$G$6:$G$28,$P247),0.0001),IF($O247&lt;=INDEX(PARAMETROS_CULTURAS!$F$6:$F$28,$P247)+INDEX(PARAMETROS_CULTURAS!$G$6:$G$28,$P247)+INDEX(PARAMETROS_CULTURAS!$H$6:$H$28,$P247),INDEX(PARAMETROS_CULTURAS!$L$6:$L$28,$P247),INDEX(PARAMETROS_CULTURAS!$L$6:$L$28,$P247)+(INDEX(PARAMETROS_CULTURAS!$M$6:$M$28,$P247)-INDEX(PARAMETROS_CULTURAS!$L$6:$L$28,$P247))*($O247-INDEX(PARAMETROS_CULTURAS!$F$6:$F$28,$P247)-INDEX(PARAMETROS_CULTURAS!$G$6:$G$28,$P247)-INDEX(PARAMETROS_CULTURAS!$H$6:$H$28,$P247))/MAX(INDEX(PARAMETROS_CULTURAS!$I$6:$I$28,$P247),0.0001)))))</f>
        <v>1.103663003663</v>
      </c>
      <c r="S247" s="18" t="n">
        <f aca="false">IFERROR(INDEX(SEMANAS!$H$6:$H$71,MATCH($B247,SEMANAS!$B$6:$B$71,0)),0)</f>
        <v>29.2</v>
      </c>
      <c r="T247" s="18" t="n">
        <f aca="false">$R247*$S247</f>
        <v>32.2269597069597</v>
      </c>
      <c r="U247" s="18" t="n">
        <f aca="false">IFERROR(INDEX(SEMANAS!$I$6:$I$71,MATCH($B247,SEMANAS!$B$6:$B$71,0)),0)</f>
        <v>0.91</v>
      </c>
      <c r="V247" s="18" t="n">
        <f aca="false">IFERROR(INDEX(SEMANAS!$J$6:$J$71,MATCH($B247,SEMANAS!$B$6:$B$71,0)),0)</f>
        <v>0.728</v>
      </c>
      <c r="W247" s="18" t="n">
        <f aca="false">MAX(0,$T247-$V247)</f>
        <v>31.4989597069597</v>
      </c>
      <c r="X247" s="19" t="n">
        <f aca="false">IFERROR(INDEX(CADASTRO_PIVOS!$K$6:$K$41,MATCH($E247,CADASTRO_PIVOS!$B$6:$B$41,0)),EFICIENCIA_PADRAO)</f>
        <v>0.85</v>
      </c>
      <c r="Y247" s="18" t="n">
        <f aca="false">IF($X247&lt;=0,0,$W247/$X247)</f>
        <v>37.0575996552467</v>
      </c>
      <c r="Z247" s="16" t="n">
        <f aca="false">$Y247*$H247*MM_PARA_M3_HA</f>
        <v>36390.5628614523</v>
      </c>
      <c r="AA247" s="18" t="n">
        <f aca="false">IFERROR(INDEX(CADASTRO_PIVOS!$I$6:$I$41,MATCH($E247,CADASTRO_PIVOS!$B$6:$B$41,0)),0)</f>
        <v>701.428571428571</v>
      </c>
      <c r="AB247" s="18" t="n">
        <f aca="false">IF($Z247&lt;=0,0,$Z247/$AA247)</f>
        <v>51.8806395173454</v>
      </c>
      <c r="AC247" s="16" t="n">
        <f aca="false">IFERROR(INDEX(SEMANAS!$K$6:$K$71,MATCH($B247,SEMANAS!$B$6:$B$71,0)),0)</f>
        <v>147</v>
      </c>
      <c r="AD247" s="19" t="n">
        <f aca="false">IF($AC247&lt;=0,0,$AB247/$AC247)</f>
        <v>0.352929520526159</v>
      </c>
      <c r="AE247" s="8" t="str">
        <f aca="false">IF($K247="SEM CULTURA","SEM CULTURA",IF($AA247&lt;=0,"DADO PENDENTE",IF($AD247&gt;LIMITE_CRITICO,"INVIAVEL",IF($AD247&gt;LIMITE_ATENCAO,"CRITICO",IF($AD247&gt;LIMITE_CONFORTAVEL,"ATENCAO","OK")))))</f>
        <v>OK</v>
      </c>
      <c r="AF247" s="8" t="str">
        <f aca="false">$B247&amp;"|"&amp;TEXT($AD247,"0.000000")</f>
        <v>44|0.352930</v>
      </c>
      <c r="AG247" s="18" t="n">
        <f aca="false">IF($K247="SEM CULTURA",0,$T247*$H247)</f>
        <v>3164.68744322344</v>
      </c>
      <c r="AH247" s="18" t="n">
        <f aca="false">IF($K247="SEM CULTURA",0,$V247*$H247)</f>
        <v>71.4896</v>
      </c>
      <c r="AI247" s="18" t="n">
        <f aca="false">IF($K247="SEM CULTURA",0,$W247*$H247)</f>
        <v>3093.19784322344</v>
      </c>
      <c r="AJ247" s="18" t="n">
        <f aca="false">IF($K247="SEM CULTURA",0,$S247*$H247)</f>
        <v>2867.44</v>
      </c>
      <c r="AK247" s="8" t="str">
        <f aca="false">$E247&amp;"|"&amp;TEXT($AD247,"0.000000")</f>
        <v>PV 105|0.352930</v>
      </c>
    </row>
    <row r="248" customFormat="false" ht="15" hidden="false" customHeight="false" outlineLevel="0" collapsed="false">
      <c r="B248" s="16" t="n">
        <v>45</v>
      </c>
      <c r="C248" s="17" t="n">
        <f aca="false">DATA_INICIO_SAFRA+($B248-1)*DIAS_POR_SEMANA</f>
        <v>46573</v>
      </c>
      <c r="D248" s="17" t="n">
        <f aca="false">$C248+DIAS_POR_SEMANA-1</f>
        <v>46579</v>
      </c>
      <c r="E248" s="15" t="s">
        <v>262</v>
      </c>
      <c r="F248" s="8" t="str">
        <f aca="false">IFERROR(INDEX(CADASTRO_PIVOS!$C$6:$C$41,MATCH($E248,CADASTRO_PIVOS!$B$6:$B$41,0)),"?")</f>
        <v>RM03</v>
      </c>
      <c r="G248" s="8" t="str">
        <f aca="false">IFERROR(INDEX(CADASTRO_PIVOS!$D$6:$D$41,MATCH($E248,CADASTRO_PIVOS!$B$6:$B$41,0)),"?")</f>
        <v>TR03</v>
      </c>
      <c r="H248" s="20" t="n">
        <f aca="false">IFERROR(INDEX(CADASTRO_PIVOS!$E$6:$E$41,MATCH($E248,CADASTRO_PIVOS!$B$6:$B$41,0)),0)</f>
        <v>98.2</v>
      </c>
      <c r="I248" s="16" t="n">
        <f aca="false">IFERROR(SUMIFS(ROTACAO_RDM!$B$6:$B$71,ROTACAO_RDM!$D$6:$D$71,$E248,ROTACAO_RDM!$I$6:$I$71,"&lt;="&amp;$C248+INT(DIAS_POR_SEMANA/2),ROTACAO_RDM!$J$6:$J$71,"&gt;="&amp;$C248+INT(DIAS_POR_SEMANA/2)),0)</f>
        <v>8</v>
      </c>
      <c r="J248" s="16" t="n">
        <f aca="false">IFERROR(MATCH($I248,ROTACAO_RDM!$B$6:$B$71,0),0)</f>
        <v>8</v>
      </c>
      <c r="K248" s="8" t="str">
        <f aca="false">IF($J248=0,"SEM CULTURA",INDEX(ROTACAO_RDM!$F$6:$F$71,$J248))</f>
        <v>ALGODAO</v>
      </c>
      <c r="L248" s="8" t="str">
        <f aca="false">IF($J248=0,"",INDEX(ROTACAO_RDM!$G$6:$G$71,$J248))</f>
        <v>FM 933 STP</v>
      </c>
      <c r="M248" s="17" t="n">
        <f aca="false">IF($J248=0,"",INDEX(ROTACAO_RDM!$I$6:$I$71,$J248))</f>
        <v>46424</v>
      </c>
      <c r="N248" s="16" t="n">
        <f aca="false">IF($J248=0,0,MAX(0,$C248+INT(DIAS_POR_SEMANA/2)-INDEX(ROTACAO_RDM!$I$6:$I$71,$J248)))</f>
        <v>152</v>
      </c>
      <c r="O248" s="19" t="n">
        <f aca="false">IF($J248=0,0,MIN(1,$N248/MAX(1,INDEX(ROTACAO_RDM!$K$6:$K$71,$J248))))</f>
        <v>0.77948717948718</v>
      </c>
      <c r="P248" s="16" t="n">
        <f aca="false">IF($J248=0,0,IFERROR(MATCH(INDEX(ROTACAO_RDM!$N$6:$N$71,$J248),PARAMETROS_CULTURAS!$B$6:$B$28,0),0))</f>
        <v>5</v>
      </c>
      <c r="Q248" s="8" t="str">
        <f aca="false">IF($P248=0,"-",IF($O248&lt;=INDEX(PARAMETROS_CULTURAS!$F$6:$F$28,$P248),"INICIAL",IF($O248&lt;=INDEX(PARAMETROS_CULTURAS!$F$6:$F$28,$P248)+INDEX(PARAMETROS_CULTURAS!$G$6:$G$28,$P248),"DESENVOLVIMENTO",IF($O248&lt;=INDEX(PARAMETROS_CULTURAS!$F$6:$F$28,$P248)+INDEX(PARAMETROS_CULTURAS!$G$6:$G$28,$P248)+INDEX(PARAMETROS_CULTURAS!$H$6:$H$28,$P248),"MEDIA","FINAL"))))</f>
        <v>FINAL</v>
      </c>
      <c r="R248" s="24" t="n">
        <f aca="false">IF($P248=0,0,IF($O248&lt;=INDEX(PARAMETROS_CULTURAS!$F$6:$F$28,$P248),INDEX(PARAMETROS_CULTURAS!$K$6:$K$28,$P248),IF($O248&lt;=INDEX(PARAMETROS_CULTURAS!$F$6:$F$28,$P248)+INDEX(PARAMETROS_CULTURAS!$G$6:$G$28,$P248),INDEX(PARAMETROS_CULTURAS!$K$6:$K$28,$P248)+(INDEX(PARAMETROS_CULTURAS!$L$6:$L$28,$P248)-INDEX(PARAMETROS_CULTURAS!$K$6:$K$28,$P248))*($O248-INDEX(PARAMETROS_CULTURAS!$F$6:$F$28,$P248))/MAX(INDEX(PARAMETROS_CULTURAS!$G$6:$G$28,$P248),0.0001),IF($O248&lt;=INDEX(PARAMETROS_CULTURAS!$F$6:$F$28,$P248)+INDEX(PARAMETROS_CULTURAS!$G$6:$G$28,$P248)+INDEX(PARAMETROS_CULTURAS!$H$6:$H$28,$P248),INDEX(PARAMETROS_CULTURAS!$L$6:$L$28,$P248),INDEX(PARAMETROS_CULTURAS!$L$6:$L$28,$P248)+(INDEX(PARAMETROS_CULTURAS!$M$6:$M$28,$P248)-INDEX(PARAMETROS_CULTURAS!$L$6:$L$28,$P248))*($O248-INDEX(PARAMETROS_CULTURAS!$F$6:$F$28,$P248)-INDEX(PARAMETROS_CULTURAS!$G$6:$G$28,$P248)-INDEX(PARAMETROS_CULTURAS!$H$6:$H$28,$P248))/MAX(INDEX(PARAMETROS_CULTURAS!$I$6:$I$28,$P248),0.0001)))))</f>
        <v>1.03315018315018</v>
      </c>
      <c r="S248" s="18" t="n">
        <f aca="false">IFERROR(INDEX(SEMANAS!$H$6:$H$71,MATCH($B248,SEMANAS!$B$6:$B$71,0)),0)</f>
        <v>30.1</v>
      </c>
      <c r="T248" s="18" t="n">
        <f aca="false">$R248*$S248</f>
        <v>31.0978205128205</v>
      </c>
      <c r="U248" s="18" t="n">
        <f aca="false">IFERROR(INDEX(SEMANAS!$I$6:$I$71,MATCH($B248,SEMANAS!$B$6:$B$71,0)),0)</f>
        <v>0.7</v>
      </c>
      <c r="V248" s="18" t="n">
        <f aca="false">IFERROR(INDEX(SEMANAS!$J$6:$J$71,MATCH($B248,SEMANAS!$B$6:$B$71,0)),0)</f>
        <v>0.56</v>
      </c>
      <c r="W248" s="18" t="n">
        <f aca="false">MAX(0,$T248-$V248)</f>
        <v>30.5378205128205</v>
      </c>
      <c r="X248" s="19" t="n">
        <f aca="false">IFERROR(INDEX(CADASTRO_PIVOS!$K$6:$K$41,MATCH($E248,CADASTRO_PIVOS!$B$6:$B$41,0)),EFICIENCIA_PADRAO)</f>
        <v>0.85</v>
      </c>
      <c r="Y248" s="18" t="n">
        <f aca="false">IF($X248&lt;=0,0,$W248/$X248)</f>
        <v>35.9268476621418</v>
      </c>
      <c r="Z248" s="16" t="n">
        <f aca="false">$Y248*$H248*MM_PARA_M3_HA</f>
        <v>35280.1644042232</v>
      </c>
      <c r="AA248" s="18" t="n">
        <f aca="false">IFERROR(INDEX(CADASTRO_PIVOS!$I$6:$I$41,MATCH($E248,CADASTRO_PIVOS!$B$6:$B$41,0)),0)</f>
        <v>701.428571428571</v>
      </c>
      <c r="AB248" s="18" t="n">
        <f aca="false">IF($Z248&lt;=0,0,$Z248/$AA248)</f>
        <v>50.2975867269985</v>
      </c>
      <c r="AC248" s="16" t="n">
        <f aca="false">IFERROR(INDEX(SEMANAS!$K$6:$K$71,MATCH($B248,SEMANAS!$B$6:$B$71,0)),0)</f>
        <v>147</v>
      </c>
      <c r="AD248" s="19" t="n">
        <f aca="false">IF($AC248&lt;=0,0,$AB248/$AC248)</f>
        <v>0.34216045392516</v>
      </c>
      <c r="AE248" s="8" t="str">
        <f aca="false">IF($K248="SEM CULTURA","SEM CULTURA",IF($AA248&lt;=0,"DADO PENDENTE",IF($AD248&gt;LIMITE_CRITICO,"INVIAVEL",IF($AD248&gt;LIMITE_ATENCAO,"CRITICO",IF($AD248&gt;LIMITE_CONFORTAVEL,"ATENCAO","OK")))))</f>
        <v>OK</v>
      </c>
      <c r="AF248" s="8" t="str">
        <f aca="false">$B248&amp;"|"&amp;TEXT($AD248,"0.000000")</f>
        <v>45|0.342160</v>
      </c>
      <c r="AG248" s="18" t="n">
        <f aca="false">IF($K248="SEM CULTURA",0,$T248*$H248)</f>
        <v>3053.80597435897</v>
      </c>
      <c r="AH248" s="18" t="n">
        <f aca="false">IF($K248="SEM CULTURA",0,$V248*$H248)</f>
        <v>54.992</v>
      </c>
      <c r="AI248" s="18" t="n">
        <f aca="false">IF($K248="SEM CULTURA",0,$W248*$H248)</f>
        <v>2998.81397435897</v>
      </c>
      <c r="AJ248" s="18" t="n">
        <f aca="false">IF($K248="SEM CULTURA",0,$S248*$H248)</f>
        <v>2955.82</v>
      </c>
      <c r="AK248" s="8" t="str">
        <f aca="false">$E248&amp;"|"&amp;TEXT($AD248,"0.000000")</f>
        <v>PV 105|0.342160</v>
      </c>
    </row>
    <row r="249" customFormat="false" ht="15" hidden="false" customHeight="false" outlineLevel="0" collapsed="false">
      <c r="B249" s="16" t="n">
        <v>46</v>
      </c>
      <c r="C249" s="17" t="n">
        <f aca="false">DATA_INICIO_SAFRA+($B249-1)*DIAS_POR_SEMANA</f>
        <v>46580</v>
      </c>
      <c r="D249" s="17" t="n">
        <f aca="false">$C249+DIAS_POR_SEMANA-1</f>
        <v>46586</v>
      </c>
      <c r="E249" s="15" t="s">
        <v>262</v>
      </c>
      <c r="F249" s="8" t="str">
        <f aca="false">IFERROR(INDEX(CADASTRO_PIVOS!$C$6:$C$41,MATCH($E249,CADASTRO_PIVOS!$B$6:$B$41,0)),"?")</f>
        <v>RM03</v>
      </c>
      <c r="G249" s="8" t="str">
        <f aca="false">IFERROR(INDEX(CADASTRO_PIVOS!$D$6:$D$41,MATCH($E249,CADASTRO_PIVOS!$B$6:$B$41,0)),"?")</f>
        <v>TR03</v>
      </c>
      <c r="H249" s="20" t="n">
        <f aca="false">IFERROR(INDEX(CADASTRO_PIVOS!$E$6:$E$41,MATCH($E249,CADASTRO_PIVOS!$B$6:$B$41,0)),0)</f>
        <v>98.2</v>
      </c>
      <c r="I249" s="16" t="n">
        <f aca="false">IFERROR(SUMIFS(ROTACAO_RDM!$B$6:$B$71,ROTACAO_RDM!$D$6:$D$71,$E249,ROTACAO_RDM!$I$6:$I$71,"&lt;="&amp;$C249+INT(DIAS_POR_SEMANA/2),ROTACAO_RDM!$J$6:$J$71,"&gt;="&amp;$C249+INT(DIAS_POR_SEMANA/2)),0)</f>
        <v>8</v>
      </c>
      <c r="J249" s="16" t="n">
        <f aca="false">IFERROR(MATCH($I249,ROTACAO_RDM!$B$6:$B$71,0),0)</f>
        <v>8</v>
      </c>
      <c r="K249" s="8" t="str">
        <f aca="false">IF($J249=0,"SEM CULTURA",INDEX(ROTACAO_RDM!$F$6:$F$71,$J249))</f>
        <v>ALGODAO</v>
      </c>
      <c r="L249" s="8" t="str">
        <f aca="false">IF($J249=0,"",INDEX(ROTACAO_RDM!$G$6:$G$71,$J249))</f>
        <v>FM 933 STP</v>
      </c>
      <c r="M249" s="17" t="n">
        <f aca="false">IF($J249=0,"",INDEX(ROTACAO_RDM!$I$6:$I$71,$J249))</f>
        <v>46424</v>
      </c>
      <c r="N249" s="16" t="n">
        <f aca="false">IF($J249=0,0,MAX(0,$C249+INT(DIAS_POR_SEMANA/2)-INDEX(ROTACAO_RDM!$I$6:$I$71,$J249)))</f>
        <v>159</v>
      </c>
      <c r="O249" s="19" t="n">
        <f aca="false">IF($J249=0,0,MIN(1,$N249/MAX(1,INDEX(ROTACAO_RDM!$K$6:$K$71,$J249))))</f>
        <v>0.815384615384615</v>
      </c>
      <c r="P249" s="16" t="n">
        <f aca="false">IF($J249=0,0,IFERROR(MATCH(INDEX(ROTACAO_RDM!$N$6:$N$71,$J249),PARAMETROS_CULTURAS!$B$6:$B$28,0),0))</f>
        <v>5</v>
      </c>
      <c r="Q249" s="8" t="str">
        <f aca="false">IF($P249=0,"-",IF($O249&lt;=INDEX(PARAMETROS_CULTURAS!$F$6:$F$28,$P249),"INICIAL",IF($O249&lt;=INDEX(PARAMETROS_CULTURAS!$F$6:$F$28,$P249)+INDEX(PARAMETROS_CULTURAS!$G$6:$G$28,$P249),"DESENVOLVIMENTO",IF($O249&lt;=INDEX(PARAMETROS_CULTURAS!$F$6:$F$28,$P249)+INDEX(PARAMETROS_CULTURAS!$G$6:$G$28,$P249)+INDEX(PARAMETROS_CULTURAS!$H$6:$H$28,$P249),"MEDIA","FINAL"))))</f>
        <v>FINAL</v>
      </c>
      <c r="R249" s="24" t="n">
        <f aca="false">IF($P249=0,0,IF($O249&lt;=INDEX(PARAMETROS_CULTURAS!$F$6:$F$28,$P249),INDEX(PARAMETROS_CULTURAS!$K$6:$K$28,$P249),IF($O249&lt;=INDEX(PARAMETROS_CULTURAS!$F$6:$F$28,$P249)+INDEX(PARAMETROS_CULTURAS!$G$6:$G$28,$P249),INDEX(PARAMETROS_CULTURAS!$K$6:$K$28,$P249)+(INDEX(PARAMETROS_CULTURAS!$L$6:$L$28,$P249)-INDEX(PARAMETROS_CULTURAS!$K$6:$K$28,$P249))*($O249-INDEX(PARAMETROS_CULTURAS!$F$6:$F$28,$P249))/MAX(INDEX(PARAMETROS_CULTURAS!$G$6:$G$28,$P249),0.0001),IF($O249&lt;=INDEX(PARAMETROS_CULTURAS!$F$6:$F$28,$P249)+INDEX(PARAMETROS_CULTURAS!$G$6:$G$28,$P249)+INDEX(PARAMETROS_CULTURAS!$H$6:$H$28,$P249),INDEX(PARAMETROS_CULTURAS!$L$6:$L$28,$P249),INDEX(PARAMETROS_CULTURAS!$L$6:$L$28,$P249)+(INDEX(PARAMETROS_CULTURAS!$M$6:$M$28,$P249)-INDEX(PARAMETROS_CULTURAS!$L$6:$L$28,$P249))*($O249-INDEX(PARAMETROS_CULTURAS!$F$6:$F$28,$P249)-INDEX(PARAMETROS_CULTURAS!$G$6:$G$28,$P249)-INDEX(PARAMETROS_CULTURAS!$H$6:$H$28,$P249))/MAX(INDEX(PARAMETROS_CULTURAS!$I$6:$I$28,$P249),0.0001)))))</f>
        <v>0.962637362637363</v>
      </c>
      <c r="S249" s="18" t="n">
        <f aca="false">IFERROR(INDEX(SEMANAS!$H$6:$H$71,MATCH($B249,SEMANAS!$B$6:$B$71,0)),0)</f>
        <v>30.1</v>
      </c>
      <c r="T249" s="18" t="n">
        <f aca="false">$R249*$S249</f>
        <v>28.9753846153846</v>
      </c>
      <c r="U249" s="18" t="n">
        <f aca="false">IFERROR(INDEX(SEMANAS!$I$6:$I$71,MATCH($B249,SEMANAS!$B$6:$B$71,0)),0)</f>
        <v>0.7</v>
      </c>
      <c r="V249" s="18" t="n">
        <f aca="false">IFERROR(INDEX(SEMANAS!$J$6:$J$71,MATCH($B249,SEMANAS!$B$6:$B$71,0)),0)</f>
        <v>0.56</v>
      </c>
      <c r="W249" s="18" t="n">
        <f aca="false">MAX(0,$T249-$V249)</f>
        <v>28.4153846153846</v>
      </c>
      <c r="X249" s="19" t="n">
        <f aca="false">IFERROR(INDEX(CADASTRO_PIVOS!$K$6:$K$41,MATCH($E249,CADASTRO_PIVOS!$B$6:$B$41,0)),EFICIENCIA_PADRAO)</f>
        <v>0.85</v>
      </c>
      <c r="Y249" s="18" t="n">
        <f aca="false">IF($X249&lt;=0,0,$W249/$X249)</f>
        <v>33.4298642533937</v>
      </c>
      <c r="Z249" s="16" t="n">
        <f aca="false">$Y249*$H249*MM_PARA_M3_HA</f>
        <v>32828.1266968326</v>
      </c>
      <c r="AA249" s="18" t="n">
        <f aca="false">IFERROR(INDEX(CADASTRO_PIVOS!$I$6:$I$41,MATCH($E249,CADASTRO_PIVOS!$B$6:$B$41,0)),0)</f>
        <v>701.428571428571</v>
      </c>
      <c r="AB249" s="18" t="n">
        <f aca="false">IF($Z249&lt;=0,0,$Z249/$AA249)</f>
        <v>46.8018099547511</v>
      </c>
      <c r="AC249" s="16" t="n">
        <f aca="false">IFERROR(INDEX(SEMANAS!$K$6:$K$71,MATCH($B249,SEMANAS!$B$6:$B$71,0)),0)</f>
        <v>147</v>
      </c>
      <c r="AD249" s="19" t="n">
        <f aca="false">IF($AC249&lt;=0,0,$AB249/$AC249)</f>
        <v>0.31837965955613</v>
      </c>
      <c r="AE249" s="8" t="str">
        <f aca="false">IF($K249="SEM CULTURA","SEM CULTURA",IF($AA249&lt;=0,"DADO PENDENTE",IF($AD249&gt;LIMITE_CRITICO,"INVIAVEL",IF($AD249&gt;LIMITE_ATENCAO,"CRITICO",IF($AD249&gt;LIMITE_CONFORTAVEL,"ATENCAO","OK")))))</f>
        <v>OK</v>
      </c>
      <c r="AF249" s="8" t="str">
        <f aca="false">$B249&amp;"|"&amp;TEXT($AD249,"0.000000")</f>
        <v>46|0.318380</v>
      </c>
      <c r="AG249" s="18" t="n">
        <f aca="false">IF($K249="SEM CULTURA",0,$T249*$H249)</f>
        <v>2845.38276923077</v>
      </c>
      <c r="AH249" s="18" t="n">
        <f aca="false">IF($K249="SEM CULTURA",0,$V249*$H249)</f>
        <v>54.992</v>
      </c>
      <c r="AI249" s="18" t="n">
        <f aca="false">IF($K249="SEM CULTURA",0,$W249*$H249)</f>
        <v>2790.39076923077</v>
      </c>
      <c r="AJ249" s="18" t="n">
        <f aca="false">IF($K249="SEM CULTURA",0,$S249*$H249)</f>
        <v>2955.82</v>
      </c>
      <c r="AK249" s="8" t="str">
        <f aca="false">$E249&amp;"|"&amp;TEXT($AD249,"0.000000")</f>
        <v>PV 105|0.318380</v>
      </c>
    </row>
    <row r="250" customFormat="false" ht="15" hidden="false" customHeight="false" outlineLevel="0" collapsed="false">
      <c r="B250" s="16" t="n">
        <v>47</v>
      </c>
      <c r="C250" s="17" t="n">
        <f aca="false">DATA_INICIO_SAFRA+($B250-1)*DIAS_POR_SEMANA</f>
        <v>46587</v>
      </c>
      <c r="D250" s="17" t="n">
        <f aca="false">$C250+DIAS_POR_SEMANA-1</f>
        <v>46593</v>
      </c>
      <c r="E250" s="15" t="s">
        <v>262</v>
      </c>
      <c r="F250" s="8" t="str">
        <f aca="false">IFERROR(INDEX(CADASTRO_PIVOS!$C$6:$C$41,MATCH($E250,CADASTRO_PIVOS!$B$6:$B$41,0)),"?")</f>
        <v>RM03</v>
      </c>
      <c r="G250" s="8" t="str">
        <f aca="false">IFERROR(INDEX(CADASTRO_PIVOS!$D$6:$D$41,MATCH($E250,CADASTRO_PIVOS!$B$6:$B$41,0)),"?")</f>
        <v>TR03</v>
      </c>
      <c r="H250" s="20" t="n">
        <f aca="false">IFERROR(INDEX(CADASTRO_PIVOS!$E$6:$E$41,MATCH($E250,CADASTRO_PIVOS!$B$6:$B$41,0)),0)</f>
        <v>98.2</v>
      </c>
      <c r="I250" s="16" t="n">
        <f aca="false">IFERROR(SUMIFS(ROTACAO_RDM!$B$6:$B$71,ROTACAO_RDM!$D$6:$D$71,$E250,ROTACAO_RDM!$I$6:$I$71,"&lt;="&amp;$C250+INT(DIAS_POR_SEMANA/2),ROTACAO_RDM!$J$6:$J$71,"&gt;="&amp;$C250+INT(DIAS_POR_SEMANA/2)),0)</f>
        <v>8</v>
      </c>
      <c r="J250" s="16" t="n">
        <f aca="false">IFERROR(MATCH($I250,ROTACAO_RDM!$B$6:$B$71,0),0)</f>
        <v>8</v>
      </c>
      <c r="K250" s="8" t="str">
        <f aca="false">IF($J250=0,"SEM CULTURA",INDEX(ROTACAO_RDM!$F$6:$F$71,$J250))</f>
        <v>ALGODAO</v>
      </c>
      <c r="L250" s="8" t="str">
        <f aca="false">IF($J250=0,"",INDEX(ROTACAO_RDM!$G$6:$G$71,$J250))</f>
        <v>FM 933 STP</v>
      </c>
      <c r="M250" s="17" t="n">
        <f aca="false">IF($J250=0,"",INDEX(ROTACAO_RDM!$I$6:$I$71,$J250))</f>
        <v>46424</v>
      </c>
      <c r="N250" s="16" t="n">
        <f aca="false">IF($J250=0,0,MAX(0,$C250+INT(DIAS_POR_SEMANA/2)-INDEX(ROTACAO_RDM!$I$6:$I$71,$J250)))</f>
        <v>166</v>
      </c>
      <c r="O250" s="19" t="n">
        <f aca="false">IF($J250=0,0,MIN(1,$N250/MAX(1,INDEX(ROTACAO_RDM!$K$6:$K$71,$J250))))</f>
        <v>0.851282051282051</v>
      </c>
      <c r="P250" s="16" t="n">
        <f aca="false">IF($J250=0,0,IFERROR(MATCH(INDEX(ROTACAO_RDM!$N$6:$N$71,$J250),PARAMETROS_CULTURAS!$B$6:$B$28,0),0))</f>
        <v>5</v>
      </c>
      <c r="Q250" s="8" t="str">
        <f aca="false">IF($P250=0,"-",IF($O250&lt;=INDEX(PARAMETROS_CULTURAS!$F$6:$F$28,$P250),"INICIAL",IF($O250&lt;=INDEX(PARAMETROS_CULTURAS!$F$6:$F$28,$P250)+INDEX(PARAMETROS_CULTURAS!$G$6:$G$28,$P250),"DESENVOLVIMENTO",IF($O250&lt;=INDEX(PARAMETROS_CULTURAS!$F$6:$F$28,$P250)+INDEX(PARAMETROS_CULTURAS!$G$6:$G$28,$P250)+INDEX(PARAMETROS_CULTURAS!$H$6:$H$28,$P250),"MEDIA","FINAL"))))</f>
        <v>FINAL</v>
      </c>
      <c r="R250" s="24" t="n">
        <f aca="false">IF($P250=0,0,IF($O250&lt;=INDEX(PARAMETROS_CULTURAS!$F$6:$F$28,$P250),INDEX(PARAMETROS_CULTURAS!$K$6:$K$28,$P250),IF($O250&lt;=INDEX(PARAMETROS_CULTURAS!$F$6:$F$28,$P250)+INDEX(PARAMETROS_CULTURAS!$G$6:$G$28,$P250),INDEX(PARAMETROS_CULTURAS!$K$6:$K$28,$P250)+(INDEX(PARAMETROS_CULTURAS!$L$6:$L$28,$P250)-INDEX(PARAMETROS_CULTURAS!$K$6:$K$28,$P250))*($O250-INDEX(PARAMETROS_CULTURAS!$F$6:$F$28,$P250))/MAX(INDEX(PARAMETROS_CULTURAS!$G$6:$G$28,$P250),0.0001),IF($O250&lt;=INDEX(PARAMETROS_CULTURAS!$F$6:$F$28,$P250)+INDEX(PARAMETROS_CULTURAS!$G$6:$G$28,$P250)+INDEX(PARAMETROS_CULTURAS!$H$6:$H$28,$P250),INDEX(PARAMETROS_CULTURAS!$L$6:$L$28,$P250),INDEX(PARAMETROS_CULTURAS!$L$6:$L$28,$P250)+(INDEX(PARAMETROS_CULTURAS!$M$6:$M$28,$P250)-INDEX(PARAMETROS_CULTURAS!$L$6:$L$28,$P250))*($O250-INDEX(PARAMETROS_CULTURAS!$F$6:$F$28,$P250)-INDEX(PARAMETROS_CULTURAS!$G$6:$G$28,$P250)-INDEX(PARAMETROS_CULTURAS!$H$6:$H$28,$P250))/MAX(INDEX(PARAMETROS_CULTURAS!$I$6:$I$28,$P250),0.0001)))))</f>
        <v>0.892124542124542</v>
      </c>
      <c r="S250" s="18" t="n">
        <f aca="false">IFERROR(INDEX(SEMANAS!$H$6:$H$71,MATCH($B250,SEMANAS!$B$6:$B$71,0)),0)</f>
        <v>30.1</v>
      </c>
      <c r="T250" s="18" t="n">
        <f aca="false">$R250*$S250</f>
        <v>26.8529487179487</v>
      </c>
      <c r="U250" s="18" t="n">
        <f aca="false">IFERROR(INDEX(SEMANAS!$I$6:$I$71,MATCH($B250,SEMANAS!$B$6:$B$71,0)),0)</f>
        <v>0.7</v>
      </c>
      <c r="V250" s="18" t="n">
        <f aca="false">IFERROR(INDEX(SEMANAS!$J$6:$J$71,MATCH($B250,SEMANAS!$B$6:$B$71,0)),0)</f>
        <v>0.56</v>
      </c>
      <c r="W250" s="18" t="n">
        <f aca="false">MAX(0,$T250-$V250)</f>
        <v>26.2929487179487</v>
      </c>
      <c r="X250" s="19" t="n">
        <f aca="false">IFERROR(INDEX(CADASTRO_PIVOS!$K$6:$K$41,MATCH($E250,CADASTRO_PIVOS!$B$6:$B$41,0)),EFICIENCIA_PADRAO)</f>
        <v>0.85</v>
      </c>
      <c r="Y250" s="18" t="n">
        <f aca="false">IF($X250&lt;=0,0,$W250/$X250)</f>
        <v>30.9328808446456</v>
      </c>
      <c r="Z250" s="16" t="n">
        <f aca="false">$Y250*$H250*MM_PARA_M3_HA</f>
        <v>30376.0889894419</v>
      </c>
      <c r="AA250" s="18" t="n">
        <f aca="false">IFERROR(INDEX(CADASTRO_PIVOS!$I$6:$I$41,MATCH($E250,CADASTRO_PIVOS!$B$6:$B$41,0)),0)</f>
        <v>701.428571428571</v>
      </c>
      <c r="AB250" s="18" t="n">
        <f aca="false">IF($Z250&lt;=0,0,$Z250/$AA250)</f>
        <v>43.3060331825038</v>
      </c>
      <c r="AC250" s="16" t="n">
        <f aca="false">IFERROR(INDEX(SEMANAS!$K$6:$K$71,MATCH($B250,SEMANAS!$B$6:$B$71,0)),0)</f>
        <v>147</v>
      </c>
      <c r="AD250" s="19" t="n">
        <f aca="false">IF($AC250&lt;=0,0,$AB250/$AC250)</f>
        <v>0.294598865187101</v>
      </c>
      <c r="AE250" s="8" t="str">
        <f aca="false">IF($K250="SEM CULTURA","SEM CULTURA",IF($AA250&lt;=0,"DADO PENDENTE",IF($AD250&gt;LIMITE_CRITICO,"INVIAVEL",IF($AD250&gt;LIMITE_ATENCAO,"CRITICO",IF($AD250&gt;LIMITE_CONFORTAVEL,"ATENCAO","OK")))))</f>
        <v>OK</v>
      </c>
      <c r="AF250" s="8" t="str">
        <f aca="false">$B250&amp;"|"&amp;TEXT($AD250,"0.000000")</f>
        <v>47|0.294599</v>
      </c>
      <c r="AG250" s="18" t="n">
        <f aca="false">IF($K250="SEM CULTURA",0,$T250*$H250)</f>
        <v>2636.95956410256</v>
      </c>
      <c r="AH250" s="18" t="n">
        <f aca="false">IF($K250="SEM CULTURA",0,$V250*$H250)</f>
        <v>54.992</v>
      </c>
      <c r="AI250" s="18" t="n">
        <f aca="false">IF($K250="SEM CULTURA",0,$W250*$H250)</f>
        <v>2581.96756410256</v>
      </c>
      <c r="AJ250" s="18" t="n">
        <f aca="false">IF($K250="SEM CULTURA",0,$S250*$H250)</f>
        <v>2955.82</v>
      </c>
      <c r="AK250" s="8" t="str">
        <f aca="false">$E250&amp;"|"&amp;TEXT($AD250,"0.000000")</f>
        <v>PV 105|0.294599</v>
      </c>
    </row>
    <row r="251" customFormat="false" ht="15" hidden="false" customHeight="false" outlineLevel="0" collapsed="false">
      <c r="B251" s="16" t="n">
        <v>48</v>
      </c>
      <c r="C251" s="17" t="n">
        <f aca="false">DATA_INICIO_SAFRA+($B251-1)*DIAS_POR_SEMANA</f>
        <v>46594</v>
      </c>
      <c r="D251" s="17" t="n">
        <f aca="false">$C251+DIAS_POR_SEMANA-1</f>
        <v>46600</v>
      </c>
      <c r="E251" s="15" t="s">
        <v>262</v>
      </c>
      <c r="F251" s="8" t="str">
        <f aca="false">IFERROR(INDEX(CADASTRO_PIVOS!$C$6:$C$41,MATCH($E251,CADASTRO_PIVOS!$B$6:$B$41,0)),"?")</f>
        <v>RM03</v>
      </c>
      <c r="G251" s="8" t="str">
        <f aca="false">IFERROR(INDEX(CADASTRO_PIVOS!$D$6:$D$41,MATCH($E251,CADASTRO_PIVOS!$B$6:$B$41,0)),"?")</f>
        <v>TR03</v>
      </c>
      <c r="H251" s="20" t="n">
        <f aca="false">IFERROR(INDEX(CADASTRO_PIVOS!$E$6:$E$41,MATCH($E251,CADASTRO_PIVOS!$B$6:$B$41,0)),0)</f>
        <v>98.2</v>
      </c>
      <c r="I251" s="16" t="n">
        <f aca="false">IFERROR(SUMIFS(ROTACAO_RDM!$B$6:$B$71,ROTACAO_RDM!$D$6:$D$71,$E251,ROTACAO_RDM!$I$6:$I$71,"&lt;="&amp;$C251+INT(DIAS_POR_SEMANA/2),ROTACAO_RDM!$J$6:$J$71,"&gt;="&amp;$C251+INT(DIAS_POR_SEMANA/2)),0)</f>
        <v>8</v>
      </c>
      <c r="J251" s="16" t="n">
        <f aca="false">IFERROR(MATCH($I251,ROTACAO_RDM!$B$6:$B$71,0),0)</f>
        <v>8</v>
      </c>
      <c r="K251" s="8" t="str">
        <f aca="false">IF($J251=0,"SEM CULTURA",INDEX(ROTACAO_RDM!$F$6:$F$71,$J251))</f>
        <v>ALGODAO</v>
      </c>
      <c r="L251" s="8" t="str">
        <f aca="false">IF($J251=0,"",INDEX(ROTACAO_RDM!$G$6:$G$71,$J251))</f>
        <v>FM 933 STP</v>
      </c>
      <c r="M251" s="17" t="n">
        <f aca="false">IF($J251=0,"",INDEX(ROTACAO_RDM!$I$6:$I$71,$J251))</f>
        <v>46424</v>
      </c>
      <c r="N251" s="16" t="n">
        <f aca="false">IF($J251=0,0,MAX(0,$C251+INT(DIAS_POR_SEMANA/2)-INDEX(ROTACAO_RDM!$I$6:$I$71,$J251)))</f>
        <v>173</v>
      </c>
      <c r="O251" s="19" t="n">
        <f aca="false">IF($J251=0,0,MIN(1,$N251/MAX(1,INDEX(ROTACAO_RDM!$K$6:$K$71,$J251))))</f>
        <v>0.887179487179487</v>
      </c>
      <c r="P251" s="16" t="n">
        <f aca="false">IF($J251=0,0,IFERROR(MATCH(INDEX(ROTACAO_RDM!$N$6:$N$71,$J251),PARAMETROS_CULTURAS!$B$6:$B$28,0),0))</f>
        <v>5</v>
      </c>
      <c r="Q251" s="8" t="str">
        <f aca="false">IF($P251=0,"-",IF($O251&lt;=INDEX(PARAMETROS_CULTURAS!$F$6:$F$28,$P251),"INICIAL",IF($O251&lt;=INDEX(PARAMETROS_CULTURAS!$F$6:$F$28,$P251)+INDEX(PARAMETROS_CULTURAS!$G$6:$G$28,$P251),"DESENVOLVIMENTO",IF($O251&lt;=INDEX(PARAMETROS_CULTURAS!$F$6:$F$28,$P251)+INDEX(PARAMETROS_CULTURAS!$G$6:$G$28,$P251)+INDEX(PARAMETROS_CULTURAS!$H$6:$H$28,$P251),"MEDIA","FINAL"))))</f>
        <v>FINAL</v>
      </c>
      <c r="R251" s="24" t="n">
        <f aca="false">IF($P251=0,0,IF($O251&lt;=INDEX(PARAMETROS_CULTURAS!$F$6:$F$28,$P251),INDEX(PARAMETROS_CULTURAS!$K$6:$K$28,$P251),IF($O251&lt;=INDEX(PARAMETROS_CULTURAS!$F$6:$F$28,$P251)+INDEX(PARAMETROS_CULTURAS!$G$6:$G$28,$P251),INDEX(PARAMETROS_CULTURAS!$K$6:$K$28,$P251)+(INDEX(PARAMETROS_CULTURAS!$L$6:$L$28,$P251)-INDEX(PARAMETROS_CULTURAS!$K$6:$K$28,$P251))*($O251-INDEX(PARAMETROS_CULTURAS!$F$6:$F$28,$P251))/MAX(INDEX(PARAMETROS_CULTURAS!$G$6:$G$28,$P251),0.0001),IF($O251&lt;=INDEX(PARAMETROS_CULTURAS!$F$6:$F$28,$P251)+INDEX(PARAMETROS_CULTURAS!$G$6:$G$28,$P251)+INDEX(PARAMETROS_CULTURAS!$H$6:$H$28,$P251),INDEX(PARAMETROS_CULTURAS!$L$6:$L$28,$P251),INDEX(PARAMETROS_CULTURAS!$L$6:$L$28,$P251)+(INDEX(PARAMETROS_CULTURAS!$M$6:$M$28,$P251)-INDEX(PARAMETROS_CULTURAS!$L$6:$L$28,$P251))*($O251-INDEX(PARAMETROS_CULTURAS!$F$6:$F$28,$P251)-INDEX(PARAMETROS_CULTURAS!$G$6:$G$28,$P251)-INDEX(PARAMETROS_CULTURAS!$H$6:$H$28,$P251))/MAX(INDEX(PARAMETROS_CULTURAS!$I$6:$I$28,$P251),0.0001)))))</f>
        <v>0.821611721611722</v>
      </c>
      <c r="S251" s="18" t="n">
        <f aca="false">IFERROR(INDEX(SEMANAS!$H$6:$H$71,MATCH($B251,SEMANAS!$B$6:$B$71,0)),0)</f>
        <v>31</v>
      </c>
      <c r="T251" s="18" t="n">
        <f aca="false">$R251*$S251</f>
        <v>25.4699633699634</v>
      </c>
      <c r="U251" s="18" t="n">
        <f aca="false">IFERROR(INDEX(SEMANAS!$I$6:$I$71,MATCH($B251,SEMANAS!$B$6:$B$71,0)),0)</f>
        <v>0.76</v>
      </c>
      <c r="V251" s="18" t="n">
        <f aca="false">IFERROR(INDEX(SEMANAS!$J$6:$J$71,MATCH($B251,SEMANAS!$B$6:$B$71,0)),0)</f>
        <v>0.608</v>
      </c>
      <c r="W251" s="18" t="n">
        <f aca="false">MAX(0,$T251-$V251)</f>
        <v>24.8619633699634</v>
      </c>
      <c r="X251" s="19" t="n">
        <f aca="false">IFERROR(INDEX(CADASTRO_PIVOS!$K$6:$K$41,MATCH($E251,CADASTRO_PIVOS!$B$6:$B$41,0)),EFICIENCIA_PADRAO)</f>
        <v>0.85</v>
      </c>
      <c r="Y251" s="18" t="n">
        <f aca="false">IF($X251&lt;=0,0,$W251/$X251)</f>
        <v>29.2493686705452</v>
      </c>
      <c r="Z251" s="16" t="n">
        <f aca="false">$Y251*$H251*MM_PARA_M3_HA</f>
        <v>28722.8800344753</v>
      </c>
      <c r="AA251" s="18" t="n">
        <f aca="false">IFERROR(INDEX(CADASTRO_PIVOS!$I$6:$I$41,MATCH($E251,CADASTRO_PIVOS!$B$6:$B$41,0)),0)</f>
        <v>701.428571428571</v>
      </c>
      <c r="AB251" s="18" t="n">
        <f aca="false">IF($Z251&lt;=0,0,$Z251/$AA251)</f>
        <v>40.9491161387632</v>
      </c>
      <c r="AC251" s="16" t="n">
        <f aca="false">IFERROR(INDEX(SEMANAS!$K$6:$K$71,MATCH($B251,SEMANAS!$B$6:$B$71,0)),0)</f>
        <v>147</v>
      </c>
      <c r="AD251" s="19" t="n">
        <f aca="false">IF($AC251&lt;=0,0,$AB251/$AC251)</f>
        <v>0.278565415909954</v>
      </c>
      <c r="AE251" s="8" t="str">
        <f aca="false">IF($K251="SEM CULTURA","SEM CULTURA",IF($AA251&lt;=0,"DADO PENDENTE",IF($AD251&gt;LIMITE_CRITICO,"INVIAVEL",IF($AD251&gt;LIMITE_ATENCAO,"CRITICO",IF($AD251&gt;LIMITE_CONFORTAVEL,"ATENCAO","OK")))))</f>
        <v>OK</v>
      </c>
      <c r="AF251" s="8" t="str">
        <f aca="false">$B251&amp;"|"&amp;TEXT($AD251,"0.000000")</f>
        <v>48|0.278565</v>
      </c>
      <c r="AG251" s="18" t="n">
        <f aca="false">IF($K251="SEM CULTURA",0,$T251*$H251)</f>
        <v>2501.1504029304</v>
      </c>
      <c r="AH251" s="18" t="n">
        <f aca="false">IF($K251="SEM CULTURA",0,$V251*$H251)</f>
        <v>59.7056</v>
      </c>
      <c r="AI251" s="18" t="n">
        <f aca="false">IF($K251="SEM CULTURA",0,$W251*$H251)</f>
        <v>2441.4448029304</v>
      </c>
      <c r="AJ251" s="18" t="n">
        <f aca="false">IF($K251="SEM CULTURA",0,$S251*$H251)</f>
        <v>3044.2</v>
      </c>
      <c r="AK251" s="8" t="str">
        <f aca="false">$E251&amp;"|"&amp;TEXT($AD251,"0.000000")</f>
        <v>PV 105|0.278565</v>
      </c>
    </row>
    <row r="252" customFormat="false" ht="15" hidden="false" customHeight="false" outlineLevel="0" collapsed="false">
      <c r="B252" s="16" t="n">
        <v>49</v>
      </c>
      <c r="C252" s="17" t="n">
        <f aca="false">DATA_INICIO_SAFRA+($B252-1)*DIAS_POR_SEMANA</f>
        <v>46601</v>
      </c>
      <c r="D252" s="17" t="n">
        <f aca="false">$C252+DIAS_POR_SEMANA-1</f>
        <v>46607</v>
      </c>
      <c r="E252" s="15" t="s">
        <v>262</v>
      </c>
      <c r="F252" s="8" t="str">
        <f aca="false">IFERROR(INDEX(CADASTRO_PIVOS!$C$6:$C$41,MATCH($E252,CADASTRO_PIVOS!$B$6:$B$41,0)),"?")</f>
        <v>RM03</v>
      </c>
      <c r="G252" s="8" t="str">
        <f aca="false">IFERROR(INDEX(CADASTRO_PIVOS!$D$6:$D$41,MATCH($E252,CADASTRO_PIVOS!$B$6:$B$41,0)),"?")</f>
        <v>TR03</v>
      </c>
      <c r="H252" s="20" t="n">
        <f aca="false">IFERROR(INDEX(CADASTRO_PIVOS!$E$6:$E$41,MATCH($E252,CADASTRO_PIVOS!$B$6:$B$41,0)),0)</f>
        <v>98.2</v>
      </c>
      <c r="I252" s="16" t="n">
        <f aca="false">IFERROR(SUMIFS(ROTACAO_RDM!$B$6:$B$71,ROTACAO_RDM!$D$6:$D$71,$E252,ROTACAO_RDM!$I$6:$I$71,"&lt;="&amp;$C252+INT(DIAS_POR_SEMANA/2),ROTACAO_RDM!$J$6:$J$71,"&gt;="&amp;$C252+INT(DIAS_POR_SEMANA/2)),0)</f>
        <v>8</v>
      </c>
      <c r="J252" s="16" t="n">
        <f aca="false">IFERROR(MATCH($I252,ROTACAO_RDM!$B$6:$B$71,0),0)</f>
        <v>8</v>
      </c>
      <c r="K252" s="8" t="str">
        <f aca="false">IF($J252=0,"SEM CULTURA",INDEX(ROTACAO_RDM!$F$6:$F$71,$J252))</f>
        <v>ALGODAO</v>
      </c>
      <c r="L252" s="8" t="str">
        <f aca="false">IF($J252=0,"",INDEX(ROTACAO_RDM!$G$6:$G$71,$J252))</f>
        <v>FM 933 STP</v>
      </c>
      <c r="M252" s="17" t="n">
        <f aca="false">IF($J252=0,"",INDEX(ROTACAO_RDM!$I$6:$I$71,$J252))</f>
        <v>46424</v>
      </c>
      <c r="N252" s="16" t="n">
        <f aca="false">IF($J252=0,0,MAX(0,$C252+INT(DIAS_POR_SEMANA/2)-INDEX(ROTACAO_RDM!$I$6:$I$71,$J252)))</f>
        <v>180</v>
      </c>
      <c r="O252" s="19" t="n">
        <f aca="false">IF($J252=0,0,MIN(1,$N252/MAX(1,INDEX(ROTACAO_RDM!$K$6:$K$71,$J252))))</f>
        <v>0.923076923076923</v>
      </c>
      <c r="P252" s="16" t="n">
        <f aca="false">IF($J252=0,0,IFERROR(MATCH(INDEX(ROTACAO_RDM!$N$6:$N$71,$J252),PARAMETROS_CULTURAS!$B$6:$B$28,0),0))</f>
        <v>5</v>
      </c>
      <c r="Q252" s="8" t="str">
        <f aca="false">IF($P252=0,"-",IF($O252&lt;=INDEX(PARAMETROS_CULTURAS!$F$6:$F$28,$P252),"INICIAL",IF($O252&lt;=INDEX(PARAMETROS_CULTURAS!$F$6:$F$28,$P252)+INDEX(PARAMETROS_CULTURAS!$G$6:$G$28,$P252),"DESENVOLVIMENTO",IF($O252&lt;=INDEX(PARAMETROS_CULTURAS!$F$6:$F$28,$P252)+INDEX(PARAMETROS_CULTURAS!$G$6:$G$28,$P252)+INDEX(PARAMETROS_CULTURAS!$H$6:$H$28,$P252),"MEDIA","FINAL"))))</f>
        <v>FINAL</v>
      </c>
      <c r="R252" s="24" t="n">
        <f aca="false">IF($P252=0,0,IF($O252&lt;=INDEX(PARAMETROS_CULTURAS!$F$6:$F$28,$P252),INDEX(PARAMETROS_CULTURAS!$K$6:$K$28,$P252),IF($O252&lt;=INDEX(PARAMETROS_CULTURAS!$F$6:$F$28,$P252)+INDEX(PARAMETROS_CULTURAS!$G$6:$G$28,$P252),INDEX(PARAMETROS_CULTURAS!$K$6:$K$28,$P252)+(INDEX(PARAMETROS_CULTURAS!$L$6:$L$28,$P252)-INDEX(PARAMETROS_CULTURAS!$K$6:$K$28,$P252))*($O252-INDEX(PARAMETROS_CULTURAS!$F$6:$F$28,$P252))/MAX(INDEX(PARAMETROS_CULTURAS!$G$6:$G$28,$P252),0.0001),IF($O252&lt;=INDEX(PARAMETROS_CULTURAS!$F$6:$F$28,$P252)+INDEX(PARAMETROS_CULTURAS!$G$6:$G$28,$P252)+INDEX(PARAMETROS_CULTURAS!$H$6:$H$28,$P252),INDEX(PARAMETROS_CULTURAS!$L$6:$L$28,$P252),INDEX(PARAMETROS_CULTURAS!$L$6:$L$28,$P252)+(INDEX(PARAMETROS_CULTURAS!$M$6:$M$28,$P252)-INDEX(PARAMETROS_CULTURAS!$L$6:$L$28,$P252))*($O252-INDEX(PARAMETROS_CULTURAS!$F$6:$F$28,$P252)-INDEX(PARAMETROS_CULTURAS!$G$6:$G$28,$P252)-INDEX(PARAMETROS_CULTURAS!$H$6:$H$28,$P252))/MAX(INDEX(PARAMETROS_CULTURAS!$I$6:$I$28,$P252),0.0001)))))</f>
        <v>0.751098901098901</v>
      </c>
      <c r="S252" s="18" t="n">
        <f aca="false">IFERROR(INDEX(SEMANAS!$H$6:$H$71,MATCH($B252,SEMANAS!$B$6:$B$71,0)),0)</f>
        <v>36.4</v>
      </c>
      <c r="T252" s="18" t="n">
        <f aca="false">$R252*$S252</f>
        <v>27.34</v>
      </c>
      <c r="U252" s="18" t="n">
        <f aca="false">IFERROR(INDEX(SEMANAS!$I$6:$I$71,MATCH($B252,SEMANAS!$B$6:$B$71,0)),0)</f>
        <v>1.12</v>
      </c>
      <c r="V252" s="18" t="n">
        <f aca="false">IFERROR(INDEX(SEMANAS!$J$6:$J$71,MATCH($B252,SEMANAS!$B$6:$B$71,0)),0)</f>
        <v>0.896</v>
      </c>
      <c r="W252" s="18" t="n">
        <f aca="false">MAX(0,$T252-$V252)</f>
        <v>26.444</v>
      </c>
      <c r="X252" s="19" t="n">
        <f aca="false">IFERROR(INDEX(CADASTRO_PIVOS!$K$6:$K$41,MATCH($E252,CADASTRO_PIVOS!$B$6:$B$41,0)),EFICIENCIA_PADRAO)</f>
        <v>0.85</v>
      </c>
      <c r="Y252" s="18" t="n">
        <f aca="false">IF($X252&lt;=0,0,$W252/$X252)</f>
        <v>31.1105882352941</v>
      </c>
      <c r="Z252" s="16" t="n">
        <f aca="false">$Y252*$H252*MM_PARA_M3_HA</f>
        <v>30550.5976470588</v>
      </c>
      <c r="AA252" s="18" t="n">
        <f aca="false">IFERROR(INDEX(CADASTRO_PIVOS!$I$6:$I$41,MATCH($E252,CADASTRO_PIVOS!$B$6:$B$41,0)),0)</f>
        <v>701.428571428571</v>
      </c>
      <c r="AB252" s="18" t="n">
        <f aca="false">IF($Z252&lt;=0,0,$Z252/$AA252)</f>
        <v>43.5548235294118</v>
      </c>
      <c r="AC252" s="16" t="n">
        <f aca="false">IFERROR(INDEX(SEMANAS!$K$6:$K$71,MATCH($B252,SEMANAS!$B$6:$B$71,0)),0)</f>
        <v>147</v>
      </c>
      <c r="AD252" s="19" t="n">
        <f aca="false">IF($AC252&lt;=0,0,$AB252/$AC252)</f>
        <v>0.296291316526611</v>
      </c>
      <c r="AE252" s="8" t="str">
        <f aca="false">IF($K252="SEM CULTURA","SEM CULTURA",IF($AA252&lt;=0,"DADO PENDENTE",IF($AD252&gt;LIMITE_CRITICO,"INVIAVEL",IF($AD252&gt;LIMITE_ATENCAO,"CRITICO",IF($AD252&gt;LIMITE_CONFORTAVEL,"ATENCAO","OK")))))</f>
        <v>OK</v>
      </c>
      <c r="AF252" s="8" t="str">
        <f aca="false">$B252&amp;"|"&amp;TEXT($AD252,"0.000000")</f>
        <v>49|0.296291</v>
      </c>
      <c r="AG252" s="18" t="n">
        <f aca="false">IF($K252="SEM CULTURA",0,$T252*$H252)</f>
        <v>2684.788</v>
      </c>
      <c r="AH252" s="18" t="n">
        <f aca="false">IF($K252="SEM CULTURA",0,$V252*$H252)</f>
        <v>87.9872</v>
      </c>
      <c r="AI252" s="18" t="n">
        <f aca="false">IF($K252="SEM CULTURA",0,$W252*$H252)</f>
        <v>2596.8008</v>
      </c>
      <c r="AJ252" s="18" t="n">
        <f aca="false">IF($K252="SEM CULTURA",0,$S252*$H252)</f>
        <v>3574.48</v>
      </c>
      <c r="AK252" s="8" t="str">
        <f aca="false">$E252&amp;"|"&amp;TEXT($AD252,"0.000000")</f>
        <v>PV 105|0.296291</v>
      </c>
    </row>
    <row r="253" customFormat="false" ht="15" hidden="false" customHeight="false" outlineLevel="0" collapsed="false">
      <c r="B253" s="16" t="n">
        <v>50</v>
      </c>
      <c r="C253" s="17" t="n">
        <f aca="false">DATA_INICIO_SAFRA+($B253-1)*DIAS_POR_SEMANA</f>
        <v>46608</v>
      </c>
      <c r="D253" s="17" t="n">
        <f aca="false">$C253+DIAS_POR_SEMANA-1</f>
        <v>46614</v>
      </c>
      <c r="E253" s="15" t="s">
        <v>262</v>
      </c>
      <c r="F253" s="8" t="str">
        <f aca="false">IFERROR(INDEX(CADASTRO_PIVOS!$C$6:$C$41,MATCH($E253,CADASTRO_PIVOS!$B$6:$B$41,0)),"?")</f>
        <v>RM03</v>
      </c>
      <c r="G253" s="8" t="str">
        <f aca="false">IFERROR(INDEX(CADASTRO_PIVOS!$D$6:$D$41,MATCH($E253,CADASTRO_PIVOS!$B$6:$B$41,0)),"?")</f>
        <v>TR03</v>
      </c>
      <c r="H253" s="20" t="n">
        <f aca="false">IFERROR(INDEX(CADASTRO_PIVOS!$E$6:$E$41,MATCH($E253,CADASTRO_PIVOS!$B$6:$B$41,0)),0)</f>
        <v>98.2</v>
      </c>
      <c r="I253" s="16" t="n">
        <f aca="false">IFERROR(SUMIFS(ROTACAO_RDM!$B$6:$B$71,ROTACAO_RDM!$D$6:$D$71,$E253,ROTACAO_RDM!$I$6:$I$71,"&lt;="&amp;$C253+INT(DIAS_POR_SEMANA/2),ROTACAO_RDM!$J$6:$J$71,"&gt;="&amp;$C253+INT(DIAS_POR_SEMANA/2)),0)</f>
        <v>8</v>
      </c>
      <c r="J253" s="16" t="n">
        <f aca="false">IFERROR(MATCH($I253,ROTACAO_RDM!$B$6:$B$71,0),0)</f>
        <v>8</v>
      </c>
      <c r="K253" s="8" t="str">
        <f aca="false">IF($J253=0,"SEM CULTURA",INDEX(ROTACAO_RDM!$F$6:$F$71,$J253))</f>
        <v>ALGODAO</v>
      </c>
      <c r="L253" s="8" t="str">
        <f aca="false">IF($J253=0,"",INDEX(ROTACAO_RDM!$G$6:$G$71,$J253))</f>
        <v>FM 933 STP</v>
      </c>
      <c r="M253" s="17" t="n">
        <f aca="false">IF($J253=0,"",INDEX(ROTACAO_RDM!$I$6:$I$71,$J253))</f>
        <v>46424</v>
      </c>
      <c r="N253" s="16" t="n">
        <f aca="false">IF($J253=0,0,MAX(0,$C253+INT(DIAS_POR_SEMANA/2)-INDEX(ROTACAO_RDM!$I$6:$I$71,$J253)))</f>
        <v>187</v>
      </c>
      <c r="O253" s="19" t="n">
        <f aca="false">IF($J253=0,0,MIN(1,$N253/MAX(1,INDEX(ROTACAO_RDM!$K$6:$K$71,$J253))))</f>
        <v>0.958974358974359</v>
      </c>
      <c r="P253" s="16" t="n">
        <f aca="false">IF($J253=0,0,IFERROR(MATCH(INDEX(ROTACAO_RDM!$N$6:$N$71,$J253),PARAMETROS_CULTURAS!$B$6:$B$28,0),0))</f>
        <v>5</v>
      </c>
      <c r="Q253" s="8" t="str">
        <f aca="false">IF($P253=0,"-",IF($O253&lt;=INDEX(PARAMETROS_CULTURAS!$F$6:$F$28,$P253),"INICIAL",IF($O253&lt;=INDEX(PARAMETROS_CULTURAS!$F$6:$F$28,$P253)+INDEX(PARAMETROS_CULTURAS!$G$6:$G$28,$P253),"DESENVOLVIMENTO",IF($O253&lt;=INDEX(PARAMETROS_CULTURAS!$F$6:$F$28,$P253)+INDEX(PARAMETROS_CULTURAS!$G$6:$G$28,$P253)+INDEX(PARAMETROS_CULTURAS!$H$6:$H$28,$P253),"MEDIA","FINAL"))))</f>
        <v>FINAL</v>
      </c>
      <c r="R253" s="24" t="n">
        <f aca="false">IF($P253=0,0,IF($O253&lt;=INDEX(PARAMETROS_CULTURAS!$F$6:$F$28,$P253),INDEX(PARAMETROS_CULTURAS!$K$6:$K$28,$P253),IF($O253&lt;=INDEX(PARAMETROS_CULTURAS!$F$6:$F$28,$P253)+INDEX(PARAMETROS_CULTURAS!$G$6:$G$28,$P253),INDEX(PARAMETROS_CULTURAS!$K$6:$K$28,$P253)+(INDEX(PARAMETROS_CULTURAS!$L$6:$L$28,$P253)-INDEX(PARAMETROS_CULTURAS!$K$6:$K$28,$P253))*($O253-INDEX(PARAMETROS_CULTURAS!$F$6:$F$28,$P253))/MAX(INDEX(PARAMETROS_CULTURAS!$G$6:$G$28,$P253),0.0001),IF($O253&lt;=INDEX(PARAMETROS_CULTURAS!$F$6:$F$28,$P253)+INDEX(PARAMETROS_CULTURAS!$G$6:$G$28,$P253)+INDEX(PARAMETROS_CULTURAS!$H$6:$H$28,$P253),INDEX(PARAMETROS_CULTURAS!$L$6:$L$28,$P253),INDEX(PARAMETROS_CULTURAS!$L$6:$L$28,$P253)+(INDEX(PARAMETROS_CULTURAS!$M$6:$M$28,$P253)-INDEX(PARAMETROS_CULTURAS!$L$6:$L$28,$P253))*($O253-INDEX(PARAMETROS_CULTURAS!$F$6:$F$28,$P253)-INDEX(PARAMETROS_CULTURAS!$G$6:$G$28,$P253)-INDEX(PARAMETROS_CULTURAS!$H$6:$H$28,$P253))/MAX(INDEX(PARAMETROS_CULTURAS!$I$6:$I$28,$P253),0.0001)))))</f>
        <v>0.680586080586081</v>
      </c>
      <c r="S253" s="18" t="n">
        <f aca="false">IFERROR(INDEX(SEMANAS!$H$6:$H$71,MATCH($B253,SEMANAS!$B$6:$B$71,0)),0)</f>
        <v>36.4</v>
      </c>
      <c r="T253" s="18" t="n">
        <f aca="false">$R253*$S253</f>
        <v>24.7733333333333</v>
      </c>
      <c r="U253" s="18" t="n">
        <f aca="false">IFERROR(INDEX(SEMANAS!$I$6:$I$71,MATCH($B253,SEMANAS!$B$6:$B$71,0)),0)</f>
        <v>1.12</v>
      </c>
      <c r="V253" s="18" t="n">
        <f aca="false">IFERROR(INDEX(SEMANAS!$J$6:$J$71,MATCH($B253,SEMANAS!$B$6:$B$71,0)),0)</f>
        <v>0.896</v>
      </c>
      <c r="W253" s="18" t="n">
        <f aca="false">MAX(0,$T253-$V253)</f>
        <v>23.8773333333333</v>
      </c>
      <c r="X253" s="19" t="n">
        <f aca="false">IFERROR(INDEX(CADASTRO_PIVOS!$K$6:$K$41,MATCH($E253,CADASTRO_PIVOS!$B$6:$B$41,0)),EFICIENCIA_PADRAO)</f>
        <v>0.85</v>
      </c>
      <c r="Y253" s="18" t="n">
        <f aca="false">IF($X253&lt;=0,0,$W253/$X253)</f>
        <v>28.0909803921569</v>
      </c>
      <c r="Z253" s="16" t="n">
        <f aca="false">$Y253*$H253*MM_PARA_M3_HA</f>
        <v>27585.342745098</v>
      </c>
      <c r="AA253" s="18" t="n">
        <f aca="false">IFERROR(INDEX(CADASTRO_PIVOS!$I$6:$I$41,MATCH($E253,CADASTRO_PIVOS!$B$6:$B$41,0)),0)</f>
        <v>701.428571428571</v>
      </c>
      <c r="AB253" s="18" t="n">
        <f aca="false">IF($Z253&lt;=0,0,$Z253/$AA253)</f>
        <v>39.3273725490196</v>
      </c>
      <c r="AC253" s="16" t="n">
        <f aca="false">IFERROR(INDEX(SEMANAS!$K$6:$K$71,MATCH($B253,SEMANAS!$B$6:$B$71,0)),0)</f>
        <v>147</v>
      </c>
      <c r="AD253" s="19" t="n">
        <f aca="false">IF($AC253&lt;=0,0,$AB253/$AC253)</f>
        <v>0.26753314659197</v>
      </c>
      <c r="AE253" s="8" t="str">
        <f aca="false">IF($K253="SEM CULTURA","SEM CULTURA",IF($AA253&lt;=0,"DADO PENDENTE",IF($AD253&gt;LIMITE_CRITICO,"INVIAVEL",IF($AD253&gt;LIMITE_ATENCAO,"CRITICO",IF($AD253&gt;LIMITE_CONFORTAVEL,"ATENCAO","OK")))))</f>
        <v>OK</v>
      </c>
      <c r="AF253" s="8" t="str">
        <f aca="false">$B253&amp;"|"&amp;TEXT($AD253,"0.000000")</f>
        <v>50|0.267533</v>
      </c>
      <c r="AG253" s="18" t="n">
        <f aca="false">IF($K253="SEM CULTURA",0,$T253*$H253)</f>
        <v>2432.74133333333</v>
      </c>
      <c r="AH253" s="18" t="n">
        <f aca="false">IF($K253="SEM CULTURA",0,$V253*$H253)</f>
        <v>87.9872</v>
      </c>
      <c r="AI253" s="18" t="n">
        <f aca="false">IF($K253="SEM CULTURA",0,$W253*$H253)</f>
        <v>2344.75413333333</v>
      </c>
      <c r="AJ253" s="18" t="n">
        <f aca="false">IF($K253="SEM CULTURA",0,$S253*$H253)</f>
        <v>3574.48</v>
      </c>
      <c r="AK253" s="8" t="str">
        <f aca="false">$E253&amp;"|"&amp;TEXT($AD253,"0.000000")</f>
        <v>PV 105|0.267533</v>
      </c>
    </row>
    <row r="254" customFormat="false" ht="15" hidden="false" customHeight="false" outlineLevel="0" collapsed="false">
      <c r="B254" s="16" t="n">
        <v>51</v>
      </c>
      <c r="C254" s="17" t="n">
        <f aca="false">DATA_INICIO_SAFRA+($B254-1)*DIAS_POR_SEMANA</f>
        <v>46615</v>
      </c>
      <c r="D254" s="17" t="n">
        <f aca="false">$C254+DIAS_POR_SEMANA-1</f>
        <v>46621</v>
      </c>
      <c r="E254" s="15" t="s">
        <v>262</v>
      </c>
      <c r="F254" s="8" t="str">
        <f aca="false">IFERROR(INDEX(CADASTRO_PIVOS!$C$6:$C$41,MATCH($E254,CADASTRO_PIVOS!$B$6:$B$41,0)),"?")</f>
        <v>RM03</v>
      </c>
      <c r="G254" s="8" t="str">
        <f aca="false">IFERROR(INDEX(CADASTRO_PIVOS!$D$6:$D$41,MATCH($E254,CADASTRO_PIVOS!$B$6:$B$41,0)),"?")</f>
        <v>TR03</v>
      </c>
      <c r="H254" s="20" t="n">
        <f aca="false">IFERROR(INDEX(CADASTRO_PIVOS!$E$6:$E$41,MATCH($E254,CADASTRO_PIVOS!$B$6:$B$41,0)),0)</f>
        <v>98.2</v>
      </c>
      <c r="I254" s="16" t="n">
        <f aca="false">IFERROR(SUMIFS(ROTACAO_RDM!$B$6:$B$71,ROTACAO_RDM!$D$6:$D$71,$E254,ROTACAO_RDM!$I$6:$I$71,"&lt;="&amp;$C254+INT(DIAS_POR_SEMANA/2),ROTACAO_RDM!$J$6:$J$71,"&gt;="&amp;$C254+INT(DIAS_POR_SEMANA/2)),0)</f>
        <v>8</v>
      </c>
      <c r="J254" s="16" t="n">
        <f aca="false">IFERROR(MATCH($I254,ROTACAO_RDM!$B$6:$B$71,0),0)</f>
        <v>8</v>
      </c>
      <c r="K254" s="8" t="str">
        <f aca="false">IF($J254=0,"SEM CULTURA",INDEX(ROTACAO_RDM!$F$6:$F$71,$J254))</f>
        <v>ALGODAO</v>
      </c>
      <c r="L254" s="8" t="str">
        <f aca="false">IF($J254=0,"",INDEX(ROTACAO_RDM!$G$6:$G$71,$J254))</f>
        <v>FM 933 STP</v>
      </c>
      <c r="M254" s="17" t="n">
        <f aca="false">IF($J254=0,"",INDEX(ROTACAO_RDM!$I$6:$I$71,$J254))</f>
        <v>46424</v>
      </c>
      <c r="N254" s="16" t="n">
        <f aca="false">IF($J254=0,0,MAX(0,$C254+INT(DIAS_POR_SEMANA/2)-INDEX(ROTACAO_RDM!$I$6:$I$71,$J254)))</f>
        <v>194</v>
      </c>
      <c r="O254" s="19" t="n">
        <f aca="false">IF($J254=0,0,MIN(1,$N254/MAX(1,INDEX(ROTACAO_RDM!$K$6:$K$71,$J254))))</f>
        <v>0.994871794871795</v>
      </c>
      <c r="P254" s="16" t="n">
        <f aca="false">IF($J254=0,0,IFERROR(MATCH(INDEX(ROTACAO_RDM!$N$6:$N$71,$J254),PARAMETROS_CULTURAS!$B$6:$B$28,0),0))</f>
        <v>5</v>
      </c>
      <c r="Q254" s="8" t="str">
        <f aca="false">IF($P254=0,"-",IF($O254&lt;=INDEX(PARAMETROS_CULTURAS!$F$6:$F$28,$P254),"INICIAL",IF($O254&lt;=INDEX(PARAMETROS_CULTURAS!$F$6:$F$28,$P254)+INDEX(PARAMETROS_CULTURAS!$G$6:$G$28,$P254),"DESENVOLVIMENTO",IF($O254&lt;=INDEX(PARAMETROS_CULTURAS!$F$6:$F$28,$P254)+INDEX(PARAMETROS_CULTURAS!$G$6:$G$28,$P254)+INDEX(PARAMETROS_CULTURAS!$H$6:$H$28,$P254),"MEDIA","FINAL"))))</f>
        <v>FINAL</v>
      </c>
      <c r="R254" s="24" t="n">
        <f aca="false">IF($P254=0,0,IF($O254&lt;=INDEX(PARAMETROS_CULTURAS!$F$6:$F$28,$P254),INDEX(PARAMETROS_CULTURAS!$K$6:$K$28,$P254),IF($O254&lt;=INDEX(PARAMETROS_CULTURAS!$F$6:$F$28,$P254)+INDEX(PARAMETROS_CULTURAS!$G$6:$G$28,$P254),INDEX(PARAMETROS_CULTURAS!$K$6:$K$28,$P254)+(INDEX(PARAMETROS_CULTURAS!$L$6:$L$28,$P254)-INDEX(PARAMETROS_CULTURAS!$K$6:$K$28,$P254))*($O254-INDEX(PARAMETROS_CULTURAS!$F$6:$F$28,$P254))/MAX(INDEX(PARAMETROS_CULTURAS!$G$6:$G$28,$P254),0.0001),IF($O254&lt;=INDEX(PARAMETROS_CULTURAS!$F$6:$F$28,$P254)+INDEX(PARAMETROS_CULTURAS!$G$6:$G$28,$P254)+INDEX(PARAMETROS_CULTURAS!$H$6:$H$28,$P254),INDEX(PARAMETROS_CULTURAS!$L$6:$L$28,$P254),INDEX(PARAMETROS_CULTURAS!$L$6:$L$28,$P254)+(INDEX(PARAMETROS_CULTURAS!$M$6:$M$28,$P254)-INDEX(PARAMETROS_CULTURAS!$L$6:$L$28,$P254))*($O254-INDEX(PARAMETROS_CULTURAS!$F$6:$F$28,$P254)-INDEX(PARAMETROS_CULTURAS!$G$6:$G$28,$P254)-INDEX(PARAMETROS_CULTURAS!$H$6:$H$28,$P254))/MAX(INDEX(PARAMETROS_CULTURAS!$I$6:$I$28,$P254),0.0001)))))</f>
        <v>0.61007326007326</v>
      </c>
      <c r="S254" s="18" t="n">
        <f aca="false">IFERROR(INDEX(SEMANAS!$H$6:$H$71,MATCH($B254,SEMANAS!$B$6:$B$71,0)),0)</f>
        <v>36.4</v>
      </c>
      <c r="T254" s="18" t="n">
        <f aca="false">$R254*$S254</f>
        <v>22.2066666666667</v>
      </c>
      <c r="U254" s="18" t="n">
        <f aca="false">IFERROR(INDEX(SEMANAS!$I$6:$I$71,MATCH($B254,SEMANAS!$B$6:$B$71,0)),0)</f>
        <v>1.12</v>
      </c>
      <c r="V254" s="18" t="n">
        <f aca="false">IFERROR(INDEX(SEMANAS!$J$6:$J$71,MATCH($B254,SEMANAS!$B$6:$B$71,0)),0)</f>
        <v>0.896</v>
      </c>
      <c r="W254" s="18" t="n">
        <f aca="false">MAX(0,$T254-$V254)</f>
        <v>21.3106666666667</v>
      </c>
      <c r="X254" s="19" t="n">
        <f aca="false">IFERROR(INDEX(CADASTRO_PIVOS!$K$6:$K$41,MATCH($E254,CADASTRO_PIVOS!$B$6:$B$41,0)),EFICIENCIA_PADRAO)</f>
        <v>0.85</v>
      </c>
      <c r="Y254" s="18" t="n">
        <f aca="false">IF($X254&lt;=0,0,$W254/$X254)</f>
        <v>25.0713725490196</v>
      </c>
      <c r="Z254" s="16" t="n">
        <f aca="false">$Y254*$H254*MM_PARA_M3_HA</f>
        <v>24620.0878431373</v>
      </c>
      <c r="AA254" s="18" t="n">
        <f aca="false">IFERROR(INDEX(CADASTRO_PIVOS!$I$6:$I$41,MATCH($E254,CADASTRO_PIVOS!$B$6:$B$41,0)),0)</f>
        <v>701.428571428571</v>
      </c>
      <c r="AB254" s="18" t="n">
        <f aca="false">IF($Z254&lt;=0,0,$Z254/$AA254)</f>
        <v>35.0999215686275</v>
      </c>
      <c r="AC254" s="16" t="n">
        <f aca="false">IFERROR(INDEX(SEMANAS!$K$6:$K$71,MATCH($B254,SEMANAS!$B$6:$B$71,0)),0)</f>
        <v>147</v>
      </c>
      <c r="AD254" s="19" t="n">
        <f aca="false">IF($AC254&lt;=0,0,$AB254/$AC254)</f>
        <v>0.23877497665733</v>
      </c>
      <c r="AE254" s="8" t="str">
        <f aca="false">IF($K254="SEM CULTURA","SEM CULTURA",IF($AA254&lt;=0,"DADO PENDENTE",IF($AD254&gt;LIMITE_CRITICO,"INVIAVEL",IF($AD254&gt;LIMITE_ATENCAO,"CRITICO",IF($AD254&gt;LIMITE_CONFORTAVEL,"ATENCAO","OK")))))</f>
        <v>OK</v>
      </c>
      <c r="AF254" s="8" t="str">
        <f aca="false">$B254&amp;"|"&amp;TEXT($AD254,"0.000000")</f>
        <v>51|0.238775</v>
      </c>
      <c r="AG254" s="18" t="n">
        <f aca="false">IF($K254="SEM CULTURA",0,$T254*$H254)</f>
        <v>2180.69466666667</v>
      </c>
      <c r="AH254" s="18" t="n">
        <f aca="false">IF($K254="SEM CULTURA",0,$V254*$H254)</f>
        <v>87.9872</v>
      </c>
      <c r="AI254" s="18" t="n">
        <f aca="false">IF($K254="SEM CULTURA",0,$W254*$H254)</f>
        <v>2092.70746666667</v>
      </c>
      <c r="AJ254" s="18" t="n">
        <f aca="false">IF($K254="SEM CULTURA",0,$S254*$H254)</f>
        <v>3574.48</v>
      </c>
      <c r="AK254" s="8" t="str">
        <f aca="false">$E254&amp;"|"&amp;TEXT($AD254,"0.000000")</f>
        <v>PV 105|0.238775</v>
      </c>
    </row>
    <row r="255" customFormat="false" ht="15" hidden="false" customHeight="false" outlineLevel="0" collapsed="false">
      <c r="B255" s="16" t="n">
        <v>52</v>
      </c>
      <c r="C255" s="17" t="n">
        <f aca="false">DATA_INICIO_SAFRA+($B255-1)*DIAS_POR_SEMANA</f>
        <v>46622</v>
      </c>
      <c r="D255" s="17" t="n">
        <f aca="false">$C255+DIAS_POR_SEMANA-1</f>
        <v>46628</v>
      </c>
      <c r="E255" s="15" t="s">
        <v>262</v>
      </c>
      <c r="F255" s="8" t="str">
        <f aca="false">IFERROR(INDEX(CADASTRO_PIVOS!$C$6:$C$41,MATCH($E255,CADASTRO_PIVOS!$B$6:$B$41,0)),"?")</f>
        <v>RM03</v>
      </c>
      <c r="G255" s="8" t="str">
        <f aca="false">IFERROR(INDEX(CADASTRO_PIVOS!$D$6:$D$41,MATCH($E255,CADASTRO_PIVOS!$B$6:$B$41,0)),"?")</f>
        <v>TR03</v>
      </c>
      <c r="H255" s="20" t="n">
        <f aca="false">IFERROR(INDEX(CADASTRO_PIVOS!$E$6:$E$41,MATCH($E255,CADASTRO_PIVOS!$B$6:$B$41,0)),0)</f>
        <v>98.2</v>
      </c>
      <c r="I255" s="16" t="n">
        <f aca="false">IFERROR(SUMIFS(ROTACAO_RDM!$B$6:$B$71,ROTACAO_RDM!$D$6:$D$71,$E255,ROTACAO_RDM!$I$6:$I$71,"&lt;="&amp;$C255+INT(DIAS_POR_SEMANA/2),ROTACAO_RDM!$J$6:$J$71,"&gt;="&amp;$C255+INT(DIAS_POR_SEMANA/2)),0)</f>
        <v>0</v>
      </c>
      <c r="J255" s="16" t="n">
        <f aca="false">IFERROR(MATCH($I255,ROTACAO_RDM!$B$6:$B$71,0),0)</f>
        <v>0</v>
      </c>
      <c r="K255" s="8" t="str">
        <f aca="false">IF($J255=0,"SEM CULTURA",INDEX(ROTACAO_RDM!$F$6:$F$71,$J255))</f>
        <v>SEM CULTURA</v>
      </c>
      <c r="L255" s="8" t="str">
        <f aca="false">IF($J255=0,"",INDEX(ROTACAO_RDM!$G$6:$G$71,$J255))</f>
        <v/>
      </c>
      <c r="M255" s="17" t="str">
        <f aca="false">IF($J255=0,"",INDEX(ROTACAO_RDM!$I$6:$I$71,$J255))</f>
        <v/>
      </c>
      <c r="N255" s="16" t="n">
        <f aca="false">IF($J255=0,0,MAX(0,$C255+INT(DIAS_POR_SEMANA/2)-INDEX(ROTACAO_RDM!$I$6:$I$71,$J255)))</f>
        <v>0</v>
      </c>
      <c r="O255" s="19" t="n">
        <f aca="false">IF($J255=0,0,MIN(1,$N255/MAX(1,INDEX(ROTACAO_RDM!$K$6:$K$71,$J255))))</f>
        <v>0</v>
      </c>
      <c r="P255" s="16" t="n">
        <f aca="false">IF($J255=0,0,IFERROR(MATCH(INDEX(ROTACAO_RDM!$N$6:$N$71,$J255),PARAMETROS_CULTURAS!$B$6:$B$28,0),0))</f>
        <v>0</v>
      </c>
      <c r="Q255" s="8" t="str">
        <f aca="false">IF($P255=0,"-",IF($O255&lt;=INDEX(PARAMETROS_CULTURAS!$F$6:$F$28,$P255),"INICIAL",IF($O255&lt;=INDEX(PARAMETROS_CULTURAS!$F$6:$F$28,$P255)+INDEX(PARAMETROS_CULTURAS!$G$6:$G$28,$P255),"DESENVOLVIMENTO",IF($O255&lt;=INDEX(PARAMETROS_CULTURAS!$F$6:$F$28,$P255)+INDEX(PARAMETROS_CULTURAS!$G$6:$G$28,$P255)+INDEX(PARAMETROS_CULTURAS!$H$6:$H$28,$P255),"MEDIA","FINAL"))))</f>
        <v>-</v>
      </c>
      <c r="R255" s="24" t="n">
        <f aca="false">IF($P255=0,0,IF($O255&lt;=INDEX(PARAMETROS_CULTURAS!$F$6:$F$28,$P255),INDEX(PARAMETROS_CULTURAS!$K$6:$K$28,$P255),IF($O255&lt;=INDEX(PARAMETROS_CULTURAS!$F$6:$F$28,$P255)+INDEX(PARAMETROS_CULTURAS!$G$6:$G$28,$P255),INDEX(PARAMETROS_CULTURAS!$K$6:$K$28,$P255)+(INDEX(PARAMETROS_CULTURAS!$L$6:$L$28,$P255)-INDEX(PARAMETROS_CULTURAS!$K$6:$K$28,$P255))*($O255-INDEX(PARAMETROS_CULTURAS!$F$6:$F$28,$P255))/MAX(INDEX(PARAMETROS_CULTURAS!$G$6:$G$28,$P255),0.0001),IF($O255&lt;=INDEX(PARAMETROS_CULTURAS!$F$6:$F$28,$P255)+INDEX(PARAMETROS_CULTURAS!$G$6:$G$28,$P255)+INDEX(PARAMETROS_CULTURAS!$H$6:$H$28,$P255),INDEX(PARAMETROS_CULTURAS!$L$6:$L$28,$P255),INDEX(PARAMETROS_CULTURAS!$L$6:$L$28,$P255)+(INDEX(PARAMETROS_CULTURAS!$M$6:$M$28,$P255)-INDEX(PARAMETROS_CULTURAS!$L$6:$L$28,$P255))*($O255-INDEX(PARAMETROS_CULTURAS!$F$6:$F$28,$P255)-INDEX(PARAMETROS_CULTURAS!$G$6:$G$28,$P255)-INDEX(PARAMETROS_CULTURAS!$H$6:$H$28,$P255))/MAX(INDEX(PARAMETROS_CULTURAS!$I$6:$I$28,$P255),0.0001)))))</f>
        <v>0</v>
      </c>
      <c r="S255" s="18" t="n">
        <f aca="false">IFERROR(INDEX(SEMANAS!$H$6:$H$71,MATCH($B255,SEMANAS!$B$6:$B$71,0)),0)</f>
        <v>36.4</v>
      </c>
      <c r="T255" s="18" t="n">
        <f aca="false">$R255*$S255</f>
        <v>0</v>
      </c>
      <c r="U255" s="18" t="n">
        <f aca="false">IFERROR(INDEX(SEMANAS!$I$6:$I$71,MATCH($B255,SEMANAS!$B$6:$B$71,0)),0)</f>
        <v>1.12</v>
      </c>
      <c r="V255" s="18" t="n">
        <f aca="false">IFERROR(INDEX(SEMANAS!$J$6:$J$71,MATCH($B255,SEMANAS!$B$6:$B$71,0)),0)</f>
        <v>0.896</v>
      </c>
      <c r="W255" s="18" t="n">
        <f aca="false">MAX(0,$T255-$V255)</f>
        <v>0</v>
      </c>
      <c r="X255" s="19" t="n">
        <f aca="false">IFERROR(INDEX(CADASTRO_PIVOS!$K$6:$K$41,MATCH($E255,CADASTRO_PIVOS!$B$6:$B$41,0)),EFICIENCIA_PADRAO)</f>
        <v>0.85</v>
      </c>
      <c r="Y255" s="18" t="n">
        <f aca="false">IF($X255&lt;=0,0,$W255/$X255)</f>
        <v>0</v>
      </c>
      <c r="Z255" s="16" t="n">
        <f aca="false">$Y255*$H255*MM_PARA_M3_HA</f>
        <v>0</v>
      </c>
      <c r="AA255" s="18" t="n">
        <f aca="false">IFERROR(INDEX(CADASTRO_PIVOS!$I$6:$I$41,MATCH($E255,CADASTRO_PIVOS!$B$6:$B$41,0)),0)</f>
        <v>701.428571428571</v>
      </c>
      <c r="AB255" s="18" t="n">
        <f aca="false">IF($Z255&lt;=0,0,$Z255/$AA255)</f>
        <v>0</v>
      </c>
      <c r="AC255" s="16" t="n">
        <f aca="false">IFERROR(INDEX(SEMANAS!$K$6:$K$71,MATCH($B255,SEMANAS!$B$6:$B$71,0)),0)</f>
        <v>147</v>
      </c>
      <c r="AD255" s="19" t="n">
        <f aca="false">IF($AC255&lt;=0,0,$AB255/$AC255)</f>
        <v>0</v>
      </c>
      <c r="AE255" s="8" t="str">
        <f aca="false">IF($K255="SEM CULTURA","SEM CULTURA",IF($AA255&lt;=0,"DADO PENDENTE",IF($AD255&gt;LIMITE_CRITICO,"INVIAVEL",IF($AD255&gt;LIMITE_ATENCAO,"CRITICO",IF($AD255&gt;LIMITE_CONFORTAVEL,"ATENCAO","OK")))))</f>
        <v>SEM CULTURA</v>
      </c>
      <c r="AF255" s="8" t="str">
        <f aca="false">$B255&amp;"|"&amp;TEXT($AD255,"0.000000")</f>
        <v>52|0.000000</v>
      </c>
      <c r="AG255" s="18" t="n">
        <f aca="false">IF($K255="SEM CULTURA",0,$T255*$H255)</f>
        <v>0</v>
      </c>
      <c r="AH255" s="18" t="n">
        <f aca="false">IF($K255="SEM CULTURA",0,$V255*$H255)</f>
        <v>0</v>
      </c>
      <c r="AI255" s="18" t="n">
        <f aca="false">IF($K255="SEM CULTURA",0,$W255*$H255)</f>
        <v>0</v>
      </c>
      <c r="AJ255" s="18" t="n">
        <f aca="false">IF($K255="SEM CULTURA",0,$S255*$H255)</f>
        <v>0</v>
      </c>
      <c r="AK255" s="8" t="str">
        <f aca="false">$E255&amp;"|"&amp;TEXT($AD255,"0.000000")</f>
        <v>PV 105|0.000000</v>
      </c>
    </row>
    <row r="256" customFormat="false" ht="15" hidden="false" customHeight="false" outlineLevel="0" collapsed="false">
      <c r="B256" s="16" t="n">
        <v>53</v>
      </c>
      <c r="C256" s="17" t="n">
        <f aca="false">DATA_INICIO_SAFRA+($B256-1)*DIAS_POR_SEMANA</f>
        <v>46629</v>
      </c>
      <c r="D256" s="17" t="n">
        <f aca="false">$C256+DIAS_POR_SEMANA-1</f>
        <v>46635</v>
      </c>
      <c r="E256" s="15" t="s">
        <v>262</v>
      </c>
      <c r="F256" s="8" t="str">
        <f aca="false">IFERROR(INDEX(CADASTRO_PIVOS!$C$6:$C$41,MATCH($E256,CADASTRO_PIVOS!$B$6:$B$41,0)),"?")</f>
        <v>RM03</v>
      </c>
      <c r="G256" s="8" t="str">
        <f aca="false">IFERROR(INDEX(CADASTRO_PIVOS!$D$6:$D$41,MATCH($E256,CADASTRO_PIVOS!$B$6:$B$41,0)),"?")</f>
        <v>TR03</v>
      </c>
      <c r="H256" s="20" t="n">
        <f aca="false">IFERROR(INDEX(CADASTRO_PIVOS!$E$6:$E$41,MATCH($E256,CADASTRO_PIVOS!$B$6:$B$41,0)),0)</f>
        <v>98.2</v>
      </c>
      <c r="I256" s="16" t="n">
        <f aca="false">IFERROR(SUMIFS(ROTACAO_RDM!$B$6:$B$71,ROTACAO_RDM!$D$6:$D$71,$E256,ROTACAO_RDM!$I$6:$I$71,"&lt;="&amp;$C256+INT(DIAS_POR_SEMANA/2),ROTACAO_RDM!$J$6:$J$71,"&gt;="&amp;$C256+INT(DIAS_POR_SEMANA/2)),0)</f>
        <v>0</v>
      </c>
      <c r="J256" s="16" t="n">
        <f aca="false">IFERROR(MATCH($I256,ROTACAO_RDM!$B$6:$B$71,0),0)</f>
        <v>0</v>
      </c>
      <c r="K256" s="8" t="str">
        <f aca="false">IF($J256=0,"SEM CULTURA",INDEX(ROTACAO_RDM!$F$6:$F$71,$J256))</f>
        <v>SEM CULTURA</v>
      </c>
      <c r="L256" s="8" t="str">
        <f aca="false">IF($J256=0,"",INDEX(ROTACAO_RDM!$G$6:$G$71,$J256))</f>
        <v/>
      </c>
      <c r="M256" s="17" t="str">
        <f aca="false">IF($J256=0,"",INDEX(ROTACAO_RDM!$I$6:$I$71,$J256))</f>
        <v/>
      </c>
      <c r="N256" s="16" t="n">
        <f aca="false">IF($J256=0,0,MAX(0,$C256+INT(DIAS_POR_SEMANA/2)-INDEX(ROTACAO_RDM!$I$6:$I$71,$J256)))</f>
        <v>0</v>
      </c>
      <c r="O256" s="19" t="n">
        <f aca="false">IF($J256=0,0,MIN(1,$N256/MAX(1,INDEX(ROTACAO_RDM!$K$6:$K$71,$J256))))</f>
        <v>0</v>
      </c>
      <c r="P256" s="16" t="n">
        <f aca="false">IF($J256=0,0,IFERROR(MATCH(INDEX(ROTACAO_RDM!$N$6:$N$71,$J256),PARAMETROS_CULTURAS!$B$6:$B$28,0),0))</f>
        <v>0</v>
      </c>
      <c r="Q256" s="8" t="str">
        <f aca="false">IF($P256=0,"-",IF($O256&lt;=INDEX(PARAMETROS_CULTURAS!$F$6:$F$28,$P256),"INICIAL",IF($O256&lt;=INDEX(PARAMETROS_CULTURAS!$F$6:$F$28,$P256)+INDEX(PARAMETROS_CULTURAS!$G$6:$G$28,$P256),"DESENVOLVIMENTO",IF($O256&lt;=INDEX(PARAMETROS_CULTURAS!$F$6:$F$28,$P256)+INDEX(PARAMETROS_CULTURAS!$G$6:$G$28,$P256)+INDEX(PARAMETROS_CULTURAS!$H$6:$H$28,$P256),"MEDIA","FINAL"))))</f>
        <v>-</v>
      </c>
      <c r="R256" s="24" t="n">
        <f aca="false">IF($P256=0,0,IF($O256&lt;=INDEX(PARAMETROS_CULTURAS!$F$6:$F$28,$P256),INDEX(PARAMETROS_CULTURAS!$K$6:$K$28,$P256),IF($O256&lt;=INDEX(PARAMETROS_CULTURAS!$F$6:$F$28,$P256)+INDEX(PARAMETROS_CULTURAS!$G$6:$G$28,$P256),INDEX(PARAMETROS_CULTURAS!$K$6:$K$28,$P256)+(INDEX(PARAMETROS_CULTURAS!$L$6:$L$28,$P256)-INDEX(PARAMETROS_CULTURAS!$K$6:$K$28,$P256))*($O256-INDEX(PARAMETROS_CULTURAS!$F$6:$F$28,$P256))/MAX(INDEX(PARAMETROS_CULTURAS!$G$6:$G$28,$P256),0.0001),IF($O256&lt;=INDEX(PARAMETROS_CULTURAS!$F$6:$F$28,$P256)+INDEX(PARAMETROS_CULTURAS!$G$6:$G$28,$P256)+INDEX(PARAMETROS_CULTURAS!$H$6:$H$28,$P256),INDEX(PARAMETROS_CULTURAS!$L$6:$L$28,$P256),INDEX(PARAMETROS_CULTURAS!$L$6:$L$28,$P256)+(INDEX(PARAMETROS_CULTURAS!$M$6:$M$28,$P256)-INDEX(PARAMETROS_CULTURAS!$L$6:$L$28,$P256))*($O256-INDEX(PARAMETROS_CULTURAS!$F$6:$F$28,$P256)-INDEX(PARAMETROS_CULTURAS!$G$6:$G$28,$P256)-INDEX(PARAMETROS_CULTURAS!$H$6:$H$28,$P256))/MAX(INDEX(PARAMETROS_CULTURAS!$I$6:$I$28,$P256),0.0001)))))</f>
        <v>0</v>
      </c>
      <c r="S256" s="18" t="n">
        <f aca="false">IFERROR(INDEX(SEMANAS!$H$6:$H$71,MATCH($B256,SEMANAS!$B$6:$B$71,0)),0)</f>
        <v>39.4</v>
      </c>
      <c r="T256" s="18" t="n">
        <f aca="false">$R256*$S256</f>
        <v>0</v>
      </c>
      <c r="U256" s="18" t="n">
        <f aca="false">IFERROR(INDEX(SEMANAS!$I$6:$I$71,MATCH($B256,SEMANAS!$B$6:$B$71,0)),0)</f>
        <v>5.32</v>
      </c>
      <c r="V256" s="18" t="n">
        <f aca="false">IFERROR(INDEX(SEMANAS!$J$6:$J$71,MATCH($B256,SEMANAS!$B$6:$B$71,0)),0)</f>
        <v>4.256</v>
      </c>
      <c r="W256" s="18" t="n">
        <f aca="false">MAX(0,$T256-$V256)</f>
        <v>0</v>
      </c>
      <c r="X256" s="19" t="n">
        <f aca="false">IFERROR(INDEX(CADASTRO_PIVOS!$K$6:$K$41,MATCH($E256,CADASTRO_PIVOS!$B$6:$B$41,0)),EFICIENCIA_PADRAO)</f>
        <v>0.85</v>
      </c>
      <c r="Y256" s="18" t="n">
        <f aca="false">IF($X256&lt;=0,0,$W256/$X256)</f>
        <v>0</v>
      </c>
      <c r="Z256" s="16" t="n">
        <f aca="false">$Y256*$H256*MM_PARA_M3_HA</f>
        <v>0</v>
      </c>
      <c r="AA256" s="18" t="n">
        <f aca="false">IFERROR(INDEX(CADASTRO_PIVOS!$I$6:$I$41,MATCH($E256,CADASTRO_PIVOS!$B$6:$B$41,0)),0)</f>
        <v>701.428571428571</v>
      </c>
      <c r="AB256" s="18" t="n">
        <f aca="false">IF($Z256&lt;=0,0,$Z256/$AA256)</f>
        <v>0</v>
      </c>
      <c r="AC256" s="16" t="n">
        <f aca="false">IFERROR(INDEX(SEMANAS!$K$6:$K$71,MATCH($B256,SEMANAS!$B$6:$B$71,0)),0)</f>
        <v>147</v>
      </c>
      <c r="AD256" s="19" t="n">
        <f aca="false">IF($AC256&lt;=0,0,$AB256/$AC256)</f>
        <v>0</v>
      </c>
      <c r="AE256" s="8" t="str">
        <f aca="false">IF($K256="SEM CULTURA","SEM CULTURA",IF($AA256&lt;=0,"DADO PENDENTE",IF($AD256&gt;LIMITE_CRITICO,"INVIAVEL",IF($AD256&gt;LIMITE_ATENCAO,"CRITICO",IF($AD256&gt;LIMITE_CONFORTAVEL,"ATENCAO","OK")))))</f>
        <v>SEM CULTURA</v>
      </c>
      <c r="AF256" s="8" t="str">
        <f aca="false">$B256&amp;"|"&amp;TEXT($AD256,"0.000000")</f>
        <v>53|0.000000</v>
      </c>
      <c r="AG256" s="18" t="n">
        <f aca="false">IF($K256="SEM CULTURA",0,$T256*$H256)</f>
        <v>0</v>
      </c>
      <c r="AH256" s="18" t="n">
        <f aca="false">IF($K256="SEM CULTURA",0,$V256*$H256)</f>
        <v>0</v>
      </c>
      <c r="AI256" s="18" t="n">
        <f aca="false">IF($K256="SEM CULTURA",0,$W256*$H256)</f>
        <v>0</v>
      </c>
      <c r="AJ256" s="18" t="n">
        <f aca="false">IF($K256="SEM CULTURA",0,$S256*$H256)</f>
        <v>0</v>
      </c>
      <c r="AK256" s="8" t="str">
        <f aca="false">$E256&amp;"|"&amp;TEXT($AD256,"0.000000")</f>
        <v>PV 105|0.000000</v>
      </c>
    </row>
    <row r="257" customFormat="false" ht="15" hidden="false" customHeight="false" outlineLevel="0" collapsed="false">
      <c r="B257" s="16" t="n">
        <v>54</v>
      </c>
      <c r="C257" s="17" t="n">
        <f aca="false">DATA_INICIO_SAFRA+($B257-1)*DIAS_POR_SEMANA</f>
        <v>46636</v>
      </c>
      <c r="D257" s="17" t="n">
        <f aca="false">$C257+DIAS_POR_SEMANA-1</f>
        <v>46642</v>
      </c>
      <c r="E257" s="15" t="s">
        <v>262</v>
      </c>
      <c r="F257" s="8" t="str">
        <f aca="false">IFERROR(INDEX(CADASTRO_PIVOS!$C$6:$C$41,MATCH($E257,CADASTRO_PIVOS!$B$6:$B$41,0)),"?")</f>
        <v>RM03</v>
      </c>
      <c r="G257" s="8" t="str">
        <f aca="false">IFERROR(INDEX(CADASTRO_PIVOS!$D$6:$D$41,MATCH($E257,CADASTRO_PIVOS!$B$6:$B$41,0)),"?")</f>
        <v>TR03</v>
      </c>
      <c r="H257" s="20" t="n">
        <f aca="false">IFERROR(INDEX(CADASTRO_PIVOS!$E$6:$E$41,MATCH($E257,CADASTRO_PIVOS!$B$6:$B$41,0)),0)</f>
        <v>98.2</v>
      </c>
      <c r="I257" s="16" t="n">
        <f aca="false">IFERROR(SUMIFS(ROTACAO_RDM!$B$6:$B$71,ROTACAO_RDM!$D$6:$D$71,$E257,ROTACAO_RDM!$I$6:$I$71,"&lt;="&amp;$C257+INT(DIAS_POR_SEMANA/2),ROTACAO_RDM!$J$6:$J$71,"&gt;="&amp;$C257+INT(DIAS_POR_SEMANA/2)),0)</f>
        <v>0</v>
      </c>
      <c r="J257" s="16" t="n">
        <f aca="false">IFERROR(MATCH($I257,ROTACAO_RDM!$B$6:$B$71,0),0)</f>
        <v>0</v>
      </c>
      <c r="K257" s="8" t="str">
        <f aca="false">IF($J257=0,"SEM CULTURA",INDEX(ROTACAO_RDM!$F$6:$F$71,$J257))</f>
        <v>SEM CULTURA</v>
      </c>
      <c r="L257" s="8" t="str">
        <f aca="false">IF($J257=0,"",INDEX(ROTACAO_RDM!$G$6:$G$71,$J257))</f>
        <v/>
      </c>
      <c r="M257" s="17" t="str">
        <f aca="false">IF($J257=0,"",INDEX(ROTACAO_RDM!$I$6:$I$71,$J257))</f>
        <v/>
      </c>
      <c r="N257" s="16" t="n">
        <f aca="false">IF($J257=0,0,MAX(0,$C257+INT(DIAS_POR_SEMANA/2)-INDEX(ROTACAO_RDM!$I$6:$I$71,$J257)))</f>
        <v>0</v>
      </c>
      <c r="O257" s="19" t="n">
        <f aca="false">IF($J257=0,0,MIN(1,$N257/MAX(1,INDEX(ROTACAO_RDM!$K$6:$K$71,$J257))))</f>
        <v>0</v>
      </c>
      <c r="P257" s="16" t="n">
        <f aca="false">IF($J257=0,0,IFERROR(MATCH(INDEX(ROTACAO_RDM!$N$6:$N$71,$J257),PARAMETROS_CULTURAS!$B$6:$B$28,0),0))</f>
        <v>0</v>
      </c>
      <c r="Q257" s="8" t="str">
        <f aca="false">IF($P257=0,"-",IF($O257&lt;=INDEX(PARAMETROS_CULTURAS!$F$6:$F$28,$P257),"INICIAL",IF($O257&lt;=INDEX(PARAMETROS_CULTURAS!$F$6:$F$28,$P257)+INDEX(PARAMETROS_CULTURAS!$G$6:$G$28,$P257),"DESENVOLVIMENTO",IF($O257&lt;=INDEX(PARAMETROS_CULTURAS!$F$6:$F$28,$P257)+INDEX(PARAMETROS_CULTURAS!$G$6:$G$28,$P257)+INDEX(PARAMETROS_CULTURAS!$H$6:$H$28,$P257),"MEDIA","FINAL"))))</f>
        <v>-</v>
      </c>
      <c r="R257" s="24" t="n">
        <f aca="false">IF($P257=0,0,IF($O257&lt;=INDEX(PARAMETROS_CULTURAS!$F$6:$F$28,$P257),INDEX(PARAMETROS_CULTURAS!$K$6:$K$28,$P257),IF($O257&lt;=INDEX(PARAMETROS_CULTURAS!$F$6:$F$28,$P257)+INDEX(PARAMETROS_CULTURAS!$G$6:$G$28,$P257),INDEX(PARAMETROS_CULTURAS!$K$6:$K$28,$P257)+(INDEX(PARAMETROS_CULTURAS!$L$6:$L$28,$P257)-INDEX(PARAMETROS_CULTURAS!$K$6:$K$28,$P257))*($O257-INDEX(PARAMETROS_CULTURAS!$F$6:$F$28,$P257))/MAX(INDEX(PARAMETROS_CULTURAS!$G$6:$G$28,$P257),0.0001),IF($O257&lt;=INDEX(PARAMETROS_CULTURAS!$F$6:$F$28,$P257)+INDEX(PARAMETROS_CULTURAS!$G$6:$G$28,$P257)+INDEX(PARAMETROS_CULTURAS!$H$6:$H$28,$P257),INDEX(PARAMETROS_CULTURAS!$L$6:$L$28,$P257),INDEX(PARAMETROS_CULTURAS!$L$6:$L$28,$P257)+(INDEX(PARAMETROS_CULTURAS!$M$6:$M$28,$P257)-INDEX(PARAMETROS_CULTURAS!$L$6:$L$28,$P257))*($O257-INDEX(PARAMETROS_CULTURAS!$F$6:$F$28,$P257)-INDEX(PARAMETROS_CULTURAS!$G$6:$G$28,$P257)-INDEX(PARAMETROS_CULTURAS!$H$6:$H$28,$P257))/MAX(INDEX(PARAMETROS_CULTURAS!$I$6:$I$28,$P257),0.0001)))))</f>
        <v>0</v>
      </c>
      <c r="S257" s="18" t="n">
        <f aca="false">IFERROR(INDEX(SEMANAS!$H$6:$H$71,MATCH($B257,SEMANAS!$B$6:$B$71,0)),0)</f>
        <v>40.6</v>
      </c>
      <c r="T257" s="18" t="n">
        <f aca="false">$R257*$S257</f>
        <v>0</v>
      </c>
      <c r="U257" s="18" t="n">
        <f aca="false">IFERROR(INDEX(SEMANAS!$I$6:$I$71,MATCH($B257,SEMANAS!$B$6:$B$71,0)),0)</f>
        <v>7</v>
      </c>
      <c r="V257" s="18" t="n">
        <f aca="false">IFERROR(INDEX(SEMANAS!$J$6:$J$71,MATCH($B257,SEMANAS!$B$6:$B$71,0)),0)</f>
        <v>5.6</v>
      </c>
      <c r="W257" s="18" t="n">
        <f aca="false">MAX(0,$T257-$V257)</f>
        <v>0</v>
      </c>
      <c r="X257" s="19" t="n">
        <f aca="false">IFERROR(INDEX(CADASTRO_PIVOS!$K$6:$K$41,MATCH($E257,CADASTRO_PIVOS!$B$6:$B$41,0)),EFICIENCIA_PADRAO)</f>
        <v>0.85</v>
      </c>
      <c r="Y257" s="18" t="n">
        <f aca="false">IF($X257&lt;=0,0,$W257/$X257)</f>
        <v>0</v>
      </c>
      <c r="Z257" s="16" t="n">
        <f aca="false">$Y257*$H257*MM_PARA_M3_HA</f>
        <v>0</v>
      </c>
      <c r="AA257" s="18" t="n">
        <f aca="false">IFERROR(INDEX(CADASTRO_PIVOS!$I$6:$I$41,MATCH($E257,CADASTRO_PIVOS!$B$6:$B$41,0)),0)</f>
        <v>701.428571428571</v>
      </c>
      <c r="AB257" s="18" t="n">
        <f aca="false">IF($Z257&lt;=0,0,$Z257/$AA257)</f>
        <v>0</v>
      </c>
      <c r="AC257" s="16" t="n">
        <f aca="false">IFERROR(INDEX(SEMANAS!$K$6:$K$71,MATCH($B257,SEMANAS!$B$6:$B$71,0)),0)</f>
        <v>147</v>
      </c>
      <c r="AD257" s="19" t="n">
        <f aca="false">IF($AC257&lt;=0,0,$AB257/$AC257)</f>
        <v>0</v>
      </c>
      <c r="AE257" s="8" t="str">
        <f aca="false">IF($K257="SEM CULTURA","SEM CULTURA",IF($AA257&lt;=0,"DADO PENDENTE",IF($AD257&gt;LIMITE_CRITICO,"INVIAVEL",IF($AD257&gt;LIMITE_ATENCAO,"CRITICO",IF($AD257&gt;LIMITE_CONFORTAVEL,"ATENCAO","OK")))))</f>
        <v>SEM CULTURA</v>
      </c>
      <c r="AF257" s="8" t="str">
        <f aca="false">$B257&amp;"|"&amp;TEXT($AD257,"0.000000")</f>
        <v>54|0.000000</v>
      </c>
      <c r="AG257" s="18" t="n">
        <f aca="false">IF($K257="SEM CULTURA",0,$T257*$H257)</f>
        <v>0</v>
      </c>
      <c r="AH257" s="18" t="n">
        <f aca="false">IF($K257="SEM CULTURA",0,$V257*$H257)</f>
        <v>0</v>
      </c>
      <c r="AI257" s="18" t="n">
        <f aca="false">IF($K257="SEM CULTURA",0,$W257*$H257)</f>
        <v>0</v>
      </c>
      <c r="AJ257" s="18" t="n">
        <f aca="false">IF($K257="SEM CULTURA",0,$S257*$H257)</f>
        <v>0</v>
      </c>
      <c r="AK257" s="8" t="str">
        <f aca="false">$E257&amp;"|"&amp;TEXT($AD257,"0.000000")</f>
        <v>PV 105|0.000000</v>
      </c>
    </row>
    <row r="258" customFormat="false" ht="15" hidden="false" customHeight="false" outlineLevel="0" collapsed="false">
      <c r="B258" s="16" t="n">
        <v>55</v>
      </c>
      <c r="C258" s="17" t="n">
        <f aca="false">DATA_INICIO_SAFRA+($B258-1)*DIAS_POR_SEMANA</f>
        <v>46643</v>
      </c>
      <c r="D258" s="17" t="n">
        <f aca="false">$C258+DIAS_POR_SEMANA-1</f>
        <v>46649</v>
      </c>
      <c r="E258" s="15" t="s">
        <v>262</v>
      </c>
      <c r="F258" s="8" t="str">
        <f aca="false">IFERROR(INDEX(CADASTRO_PIVOS!$C$6:$C$41,MATCH($E258,CADASTRO_PIVOS!$B$6:$B$41,0)),"?")</f>
        <v>RM03</v>
      </c>
      <c r="G258" s="8" t="str">
        <f aca="false">IFERROR(INDEX(CADASTRO_PIVOS!$D$6:$D$41,MATCH($E258,CADASTRO_PIVOS!$B$6:$B$41,0)),"?")</f>
        <v>TR03</v>
      </c>
      <c r="H258" s="20" t="n">
        <f aca="false">IFERROR(INDEX(CADASTRO_PIVOS!$E$6:$E$41,MATCH($E258,CADASTRO_PIVOS!$B$6:$B$41,0)),0)</f>
        <v>98.2</v>
      </c>
      <c r="I258" s="16" t="n">
        <f aca="false">IFERROR(SUMIFS(ROTACAO_RDM!$B$6:$B$71,ROTACAO_RDM!$D$6:$D$71,$E258,ROTACAO_RDM!$I$6:$I$71,"&lt;="&amp;$C258+INT(DIAS_POR_SEMANA/2),ROTACAO_RDM!$J$6:$J$71,"&gt;="&amp;$C258+INT(DIAS_POR_SEMANA/2)),0)</f>
        <v>0</v>
      </c>
      <c r="J258" s="16" t="n">
        <f aca="false">IFERROR(MATCH($I258,ROTACAO_RDM!$B$6:$B$71,0),0)</f>
        <v>0</v>
      </c>
      <c r="K258" s="8" t="str">
        <f aca="false">IF($J258=0,"SEM CULTURA",INDEX(ROTACAO_RDM!$F$6:$F$71,$J258))</f>
        <v>SEM CULTURA</v>
      </c>
      <c r="L258" s="8" t="str">
        <f aca="false">IF($J258=0,"",INDEX(ROTACAO_RDM!$G$6:$G$71,$J258))</f>
        <v/>
      </c>
      <c r="M258" s="17" t="str">
        <f aca="false">IF($J258=0,"",INDEX(ROTACAO_RDM!$I$6:$I$71,$J258))</f>
        <v/>
      </c>
      <c r="N258" s="16" t="n">
        <f aca="false">IF($J258=0,0,MAX(0,$C258+INT(DIAS_POR_SEMANA/2)-INDEX(ROTACAO_RDM!$I$6:$I$71,$J258)))</f>
        <v>0</v>
      </c>
      <c r="O258" s="19" t="n">
        <f aca="false">IF($J258=0,0,MIN(1,$N258/MAX(1,INDEX(ROTACAO_RDM!$K$6:$K$71,$J258))))</f>
        <v>0</v>
      </c>
      <c r="P258" s="16" t="n">
        <f aca="false">IF($J258=0,0,IFERROR(MATCH(INDEX(ROTACAO_RDM!$N$6:$N$71,$J258),PARAMETROS_CULTURAS!$B$6:$B$28,0),0))</f>
        <v>0</v>
      </c>
      <c r="Q258" s="8" t="str">
        <f aca="false">IF($P258=0,"-",IF($O258&lt;=INDEX(PARAMETROS_CULTURAS!$F$6:$F$28,$P258),"INICIAL",IF($O258&lt;=INDEX(PARAMETROS_CULTURAS!$F$6:$F$28,$P258)+INDEX(PARAMETROS_CULTURAS!$G$6:$G$28,$P258),"DESENVOLVIMENTO",IF($O258&lt;=INDEX(PARAMETROS_CULTURAS!$F$6:$F$28,$P258)+INDEX(PARAMETROS_CULTURAS!$G$6:$G$28,$P258)+INDEX(PARAMETROS_CULTURAS!$H$6:$H$28,$P258),"MEDIA","FINAL"))))</f>
        <v>-</v>
      </c>
      <c r="R258" s="24" t="n">
        <f aca="false">IF($P258=0,0,IF($O258&lt;=INDEX(PARAMETROS_CULTURAS!$F$6:$F$28,$P258),INDEX(PARAMETROS_CULTURAS!$K$6:$K$28,$P258),IF($O258&lt;=INDEX(PARAMETROS_CULTURAS!$F$6:$F$28,$P258)+INDEX(PARAMETROS_CULTURAS!$G$6:$G$28,$P258),INDEX(PARAMETROS_CULTURAS!$K$6:$K$28,$P258)+(INDEX(PARAMETROS_CULTURAS!$L$6:$L$28,$P258)-INDEX(PARAMETROS_CULTURAS!$K$6:$K$28,$P258))*($O258-INDEX(PARAMETROS_CULTURAS!$F$6:$F$28,$P258))/MAX(INDEX(PARAMETROS_CULTURAS!$G$6:$G$28,$P258),0.0001),IF($O258&lt;=INDEX(PARAMETROS_CULTURAS!$F$6:$F$28,$P258)+INDEX(PARAMETROS_CULTURAS!$G$6:$G$28,$P258)+INDEX(PARAMETROS_CULTURAS!$H$6:$H$28,$P258),INDEX(PARAMETROS_CULTURAS!$L$6:$L$28,$P258),INDEX(PARAMETROS_CULTURAS!$L$6:$L$28,$P258)+(INDEX(PARAMETROS_CULTURAS!$M$6:$M$28,$P258)-INDEX(PARAMETROS_CULTURAS!$L$6:$L$28,$P258))*($O258-INDEX(PARAMETROS_CULTURAS!$F$6:$F$28,$P258)-INDEX(PARAMETROS_CULTURAS!$G$6:$G$28,$P258)-INDEX(PARAMETROS_CULTURAS!$H$6:$H$28,$P258))/MAX(INDEX(PARAMETROS_CULTURAS!$I$6:$I$28,$P258),0.0001)))))</f>
        <v>0</v>
      </c>
      <c r="S258" s="18" t="n">
        <f aca="false">IFERROR(INDEX(SEMANAS!$H$6:$H$71,MATCH($B258,SEMANAS!$B$6:$B$71,0)),0)</f>
        <v>40.6</v>
      </c>
      <c r="T258" s="18" t="n">
        <f aca="false">$R258*$S258</f>
        <v>0</v>
      </c>
      <c r="U258" s="18" t="n">
        <f aca="false">IFERROR(INDEX(SEMANAS!$I$6:$I$71,MATCH($B258,SEMANAS!$B$6:$B$71,0)),0)</f>
        <v>7</v>
      </c>
      <c r="V258" s="18" t="n">
        <f aca="false">IFERROR(INDEX(SEMANAS!$J$6:$J$71,MATCH($B258,SEMANAS!$B$6:$B$71,0)),0)</f>
        <v>5.6</v>
      </c>
      <c r="W258" s="18" t="n">
        <f aca="false">MAX(0,$T258-$V258)</f>
        <v>0</v>
      </c>
      <c r="X258" s="19" t="n">
        <f aca="false">IFERROR(INDEX(CADASTRO_PIVOS!$K$6:$K$41,MATCH($E258,CADASTRO_PIVOS!$B$6:$B$41,0)),EFICIENCIA_PADRAO)</f>
        <v>0.85</v>
      </c>
      <c r="Y258" s="18" t="n">
        <f aca="false">IF($X258&lt;=0,0,$W258/$X258)</f>
        <v>0</v>
      </c>
      <c r="Z258" s="16" t="n">
        <f aca="false">$Y258*$H258*MM_PARA_M3_HA</f>
        <v>0</v>
      </c>
      <c r="AA258" s="18" t="n">
        <f aca="false">IFERROR(INDEX(CADASTRO_PIVOS!$I$6:$I$41,MATCH($E258,CADASTRO_PIVOS!$B$6:$B$41,0)),0)</f>
        <v>701.428571428571</v>
      </c>
      <c r="AB258" s="18" t="n">
        <f aca="false">IF($Z258&lt;=0,0,$Z258/$AA258)</f>
        <v>0</v>
      </c>
      <c r="AC258" s="16" t="n">
        <f aca="false">IFERROR(INDEX(SEMANAS!$K$6:$K$71,MATCH($B258,SEMANAS!$B$6:$B$71,0)),0)</f>
        <v>147</v>
      </c>
      <c r="AD258" s="19" t="n">
        <f aca="false">IF($AC258&lt;=0,0,$AB258/$AC258)</f>
        <v>0</v>
      </c>
      <c r="AE258" s="8" t="str">
        <f aca="false">IF($K258="SEM CULTURA","SEM CULTURA",IF($AA258&lt;=0,"DADO PENDENTE",IF($AD258&gt;LIMITE_CRITICO,"INVIAVEL",IF($AD258&gt;LIMITE_ATENCAO,"CRITICO",IF($AD258&gt;LIMITE_CONFORTAVEL,"ATENCAO","OK")))))</f>
        <v>SEM CULTURA</v>
      </c>
      <c r="AF258" s="8" t="str">
        <f aca="false">$B258&amp;"|"&amp;TEXT($AD258,"0.000000")</f>
        <v>55|0.000000</v>
      </c>
      <c r="AG258" s="18" t="n">
        <f aca="false">IF($K258="SEM CULTURA",0,$T258*$H258)</f>
        <v>0</v>
      </c>
      <c r="AH258" s="18" t="n">
        <f aca="false">IF($K258="SEM CULTURA",0,$V258*$H258)</f>
        <v>0</v>
      </c>
      <c r="AI258" s="18" t="n">
        <f aca="false">IF($K258="SEM CULTURA",0,$W258*$H258)</f>
        <v>0</v>
      </c>
      <c r="AJ258" s="18" t="n">
        <f aca="false">IF($K258="SEM CULTURA",0,$S258*$H258)</f>
        <v>0</v>
      </c>
      <c r="AK258" s="8" t="str">
        <f aca="false">$E258&amp;"|"&amp;TEXT($AD258,"0.000000")</f>
        <v>PV 105|0.000000</v>
      </c>
    </row>
    <row r="259" customFormat="false" ht="15" hidden="false" customHeight="false" outlineLevel="0" collapsed="false">
      <c r="B259" s="16" t="n">
        <v>56</v>
      </c>
      <c r="C259" s="17" t="n">
        <f aca="false">DATA_INICIO_SAFRA+($B259-1)*DIAS_POR_SEMANA</f>
        <v>46650</v>
      </c>
      <c r="D259" s="17" t="n">
        <f aca="false">$C259+DIAS_POR_SEMANA-1</f>
        <v>46656</v>
      </c>
      <c r="E259" s="15" t="s">
        <v>262</v>
      </c>
      <c r="F259" s="8" t="str">
        <f aca="false">IFERROR(INDEX(CADASTRO_PIVOS!$C$6:$C$41,MATCH($E259,CADASTRO_PIVOS!$B$6:$B$41,0)),"?")</f>
        <v>RM03</v>
      </c>
      <c r="G259" s="8" t="str">
        <f aca="false">IFERROR(INDEX(CADASTRO_PIVOS!$D$6:$D$41,MATCH($E259,CADASTRO_PIVOS!$B$6:$B$41,0)),"?")</f>
        <v>TR03</v>
      </c>
      <c r="H259" s="20" t="n">
        <f aca="false">IFERROR(INDEX(CADASTRO_PIVOS!$E$6:$E$41,MATCH($E259,CADASTRO_PIVOS!$B$6:$B$41,0)),0)</f>
        <v>98.2</v>
      </c>
      <c r="I259" s="16" t="n">
        <f aca="false">IFERROR(SUMIFS(ROTACAO_RDM!$B$6:$B$71,ROTACAO_RDM!$D$6:$D$71,$E259,ROTACAO_RDM!$I$6:$I$71,"&lt;="&amp;$C259+INT(DIAS_POR_SEMANA/2),ROTACAO_RDM!$J$6:$J$71,"&gt;="&amp;$C259+INT(DIAS_POR_SEMANA/2)),0)</f>
        <v>0</v>
      </c>
      <c r="J259" s="16" t="n">
        <f aca="false">IFERROR(MATCH($I259,ROTACAO_RDM!$B$6:$B$71,0),0)</f>
        <v>0</v>
      </c>
      <c r="K259" s="8" t="str">
        <f aca="false">IF($J259=0,"SEM CULTURA",INDEX(ROTACAO_RDM!$F$6:$F$71,$J259))</f>
        <v>SEM CULTURA</v>
      </c>
      <c r="L259" s="8" t="str">
        <f aca="false">IF($J259=0,"",INDEX(ROTACAO_RDM!$G$6:$G$71,$J259))</f>
        <v/>
      </c>
      <c r="M259" s="17" t="str">
        <f aca="false">IF($J259=0,"",INDEX(ROTACAO_RDM!$I$6:$I$71,$J259))</f>
        <v/>
      </c>
      <c r="N259" s="16" t="n">
        <f aca="false">IF($J259=0,0,MAX(0,$C259+INT(DIAS_POR_SEMANA/2)-INDEX(ROTACAO_RDM!$I$6:$I$71,$J259)))</f>
        <v>0</v>
      </c>
      <c r="O259" s="19" t="n">
        <f aca="false">IF($J259=0,0,MIN(1,$N259/MAX(1,INDEX(ROTACAO_RDM!$K$6:$K$71,$J259))))</f>
        <v>0</v>
      </c>
      <c r="P259" s="16" t="n">
        <f aca="false">IF($J259=0,0,IFERROR(MATCH(INDEX(ROTACAO_RDM!$N$6:$N$71,$J259),PARAMETROS_CULTURAS!$B$6:$B$28,0),0))</f>
        <v>0</v>
      </c>
      <c r="Q259" s="8" t="str">
        <f aca="false">IF($P259=0,"-",IF($O259&lt;=INDEX(PARAMETROS_CULTURAS!$F$6:$F$28,$P259),"INICIAL",IF($O259&lt;=INDEX(PARAMETROS_CULTURAS!$F$6:$F$28,$P259)+INDEX(PARAMETROS_CULTURAS!$G$6:$G$28,$P259),"DESENVOLVIMENTO",IF($O259&lt;=INDEX(PARAMETROS_CULTURAS!$F$6:$F$28,$P259)+INDEX(PARAMETROS_CULTURAS!$G$6:$G$28,$P259)+INDEX(PARAMETROS_CULTURAS!$H$6:$H$28,$P259),"MEDIA","FINAL"))))</f>
        <v>-</v>
      </c>
      <c r="R259" s="24" t="n">
        <f aca="false">IF($P259=0,0,IF($O259&lt;=INDEX(PARAMETROS_CULTURAS!$F$6:$F$28,$P259),INDEX(PARAMETROS_CULTURAS!$K$6:$K$28,$P259),IF($O259&lt;=INDEX(PARAMETROS_CULTURAS!$F$6:$F$28,$P259)+INDEX(PARAMETROS_CULTURAS!$G$6:$G$28,$P259),INDEX(PARAMETROS_CULTURAS!$K$6:$K$28,$P259)+(INDEX(PARAMETROS_CULTURAS!$L$6:$L$28,$P259)-INDEX(PARAMETROS_CULTURAS!$K$6:$K$28,$P259))*($O259-INDEX(PARAMETROS_CULTURAS!$F$6:$F$28,$P259))/MAX(INDEX(PARAMETROS_CULTURAS!$G$6:$G$28,$P259),0.0001),IF($O259&lt;=INDEX(PARAMETROS_CULTURAS!$F$6:$F$28,$P259)+INDEX(PARAMETROS_CULTURAS!$G$6:$G$28,$P259)+INDEX(PARAMETROS_CULTURAS!$H$6:$H$28,$P259),INDEX(PARAMETROS_CULTURAS!$L$6:$L$28,$P259),INDEX(PARAMETROS_CULTURAS!$L$6:$L$28,$P259)+(INDEX(PARAMETROS_CULTURAS!$M$6:$M$28,$P259)-INDEX(PARAMETROS_CULTURAS!$L$6:$L$28,$P259))*($O259-INDEX(PARAMETROS_CULTURAS!$F$6:$F$28,$P259)-INDEX(PARAMETROS_CULTURAS!$G$6:$G$28,$P259)-INDEX(PARAMETROS_CULTURAS!$H$6:$H$28,$P259))/MAX(INDEX(PARAMETROS_CULTURAS!$I$6:$I$28,$P259),0.0001)))))</f>
        <v>0</v>
      </c>
      <c r="S259" s="18" t="n">
        <f aca="false">IFERROR(INDEX(SEMANAS!$H$6:$H$71,MATCH($B259,SEMANAS!$B$6:$B$71,0)),0)</f>
        <v>40.6</v>
      </c>
      <c r="T259" s="18" t="n">
        <f aca="false">$R259*$S259</f>
        <v>0</v>
      </c>
      <c r="U259" s="18" t="n">
        <f aca="false">IFERROR(INDEX(SEMANAS!$I$6:$I$71,MATCH($B259,SEMANAS!$B$6:$B$71,0)),0)</f>
        <v>7</v>
      </c>
      <c r="V259" s="18" t="n">
        <f aca="false">IFERROR(INDEX(SEMANAS!$J$6:$J$71,MATCH($B259,SEMANAS!$B$6:$B$71,0)),0)</f>
        <v>5.6</v>
      </c>
      <c r="W259" s="18" t="n">
        <f aca="false">MAX(0,$T259-$V259)</f>
        <v>0</v>
      </c>
      <c r="X259" s="19" t="n">
        <f aca="false">IFERROR(INDEX(CADASTRO_PIVOS!$K$6:$K$41,MATCH($E259,CADASTRO_PIVOS!$B$6:$B$41,0)),EFICIENCIA_PADRAO)</f>
        <v>0.85</v>
      </c>
      <c r="Y259" s="18" t="n">
        <f aca="false">IF($X259&lt;=0,0,$W259/$X259)</f>
        <v>0</v>
      </c>
      <c r="Z259" s="16" t="n">
        <f aca="false">$Y259*$H259*MM_PARA_M3_HA</f>
        <v>0</v>
      </c>
      <c r="AA259" s="18" t="n">
        <f aca="false">IFERROR(INDEX(CADASTRO_PIVOS!$I$6:$I$41,MATCH($E259,CADASTRO_PIVOS!$B$6:$B$41,0)),0)</f>
        <v>701.428571428571</v>
      </c>
      <c r="AB259" s="18" t="n">
        <f aca="false">IF($Z259&lt;=0,0,$Z259/$AA259)</f>
        <v>0</v>
      </c>
      <c r="AC259" s="16" t="n">
        <f aca="false">IFERROR(INDEX(SEMANAS!$K$6:$K$71,MATCH($B259,SEMANAS!$B$6:$B$71,0)),0)</f>
        <v>147</v>
      </c>
      <c r="AD259" s="19" t="n">
        <f aca="false">IF($AC259&lt;=0,0,$AB259/$AC259)</f>
        <v>0</v>
      </c>
      <c r="AE259" s="8" t="str">
        <f aca="false">IF($K259="SEM CULTURA","SEM CULTURA",IF($AA259&lt;=0,"DADO PENDENTE",IF($AD259&gt;LIMITE_CRITICO,"INVIAVEL",IF($AD259&gt;LIMITE_ATENCAO,"CRITICO",IF($AD259&gt;LIMITE_CONFORTAVEL,"ATENCAO","OK")))))</f>
        <v>SEM CULTURA</v>
      </c>
      <c r="AF259" s="8" t="str">
        <f aca="false">$B259&amp;"|"&amp;TEXT($AD259,"0.000000")</f>
        <v>56|0.000000</v>
      </c>
      <c r="AG259" s="18" t="n">
        <f aca="false">IF($K259="SEM CULTURA",0,$T259*$H259)</f>
        <v>0</v>
      </c>
      <c r="AH259" s="18" t="n">
        <f aca="false">IF($K259="SEM CULTURA",0,$V259*$H259)</f>
        <v>0</v>
      </c>
      <c r="AI259" s="18" t="n">
        <f aca="false">IF($K259="SEM CULTURA",0,$W259*$H259)</f>
        <v>0</v>
      </c>
      <c r="AJ259" s="18" t="n">
        <f aca="false">IF($K259="SEM CULTURA",0,$S259*$H259)</f>
        <v>0</v>
      </c>
      <c r="AK259" s="8" t="str">
        <f aca="false">$E259&amp;"|"&amp;TEXT($AD259,"0.000000")</f>
        <v>PV 105|0.000000</v>
      </c>
    </row>
    <row r="260" customFormat="false" ht="15" hidden="false" customHeight="false" outlineLevel="0" collapsed="false">
      <c r="B260" s="16" t="n">
        <v>57</v>
      </c>
      <c r="C260" s="17" t="n">
        <f aca="false">DATA_INICIO_SAFRA+($B260-1)*DIAS_POR_SEMANA</f>
        <v>46657</v>
      </c>
      <c r="D260" s="17" t="n">
        <f aca="false">$C260+DIAS_POR_SEMANA-1</f>
        <v>46663</v>
      </c>
      <c r="E260" s="15" t="s">
        <v>262</v>
      </c>
      <c r="F260" s="8" t="str">
        <f aca="false">IFERROR(INDEX(CADASTRO_PIVOS!$C$6:$C$41,MATCH($E260,CADASTRO_PIVOS!$B$6:$B$41,0)),"?")</f>
        <v>RM03</v>
      </c>
      <c r="G260" s="8" t="str">
        <f aca="false">IFERROR(INDEX(CADASTRO_PIVOS!$D$6:$D$41,MATCH($E260,CADASTRO_PIVOS!$B$6:$B$41,0)),"?")</f>
        <v>TR03</v>
      </c>
      <c r="H260" s="20" t="n">
        <f aca="false">IFERROR(INDEX(CADASTRO_PIVOS!$E$6:$E$41,MATCH($E260,CADASTRO_PIVOS!$B$6:$B$41,0)),0)</f>
        <v>98.2</v>
      </c>
      <c r="I260" s="16" t="n">
        <f aca="false">IFERROR(SUMIFS(ROTACAO_RDM!$B$6:$B$71,ROTACAO_RDM!$D$6:$D$71,$E260,ROTACAO_RDM!$I$6:$I$71,"&lt;="&amp;$C260+INT(DIAS_POR_SEMANA/2),ROTACAO_RDM!$J$6:$J$71,"&gt;="&amp;$C260+INT(DIAS_POR_SEMANA/2)),0)</f>
        <v>0</v>
      </c>
      <c r="J260" s="16" t="n">
        <f aca="false">IFERROR(MATCH($I260,ROTACAO_RDM!$B$6:$B$71,0),0)</f>
        <v>0</v>
      </c>
      <c r="K260" s="8" t="str">
        <f aca="false">IF($J260=0,"SEM CULTURA",INDEX(ROTACAO_RDM!$F$6:$F$71,$J260))</f>
        <v>SEM CULTURA</v>
      </c>
      <c r="L260" s="8" t="str">
        <f aca="false">IF($J260=0,"",INDEX(ROTACAO_RDM!$G$6:$G$71,$J260))</f>
        <v/>
      </c>
      <c r="M260" s="17" t="str">
        <f aca="false">IF($J260=0,"",INDEX(ROTACAO_RDM!$I$6:$I$71,$J260))</f>
        <v/>
      </c>
      <c r="N260" s="16" t="n">
        <f aca="false">IF($J260=0,0,MAX(0,$C260+INT(DIAS_POR_SEMANA/2)-INDEX(ROTACAO_RDM!$I$6:$I$71,$J260)))</f>
        <v>0</v>
      </c>
      <c r="O260" s="19" t="n">
        <f aca="false">IF($J260=0,0,MIN(1,$N260/MAX(1,INDEX(ROTACAO_RDM!$K$6:$K$71,$J260))))</f>
        <v>0</v>
      </c>
      <c r="P260" s="16" t="n">
        <f aca="false">IF($J260=0,0,IFERROR(MATCH(INDEX(ROTACAO_RDM!$N$6:$N$71,$J260),PARAMETROS_CULTURAS!$B$6:$B$28,0),0))</f>
        <v>0</v>
      </c>
      <c r="Q260" s="8" t="str">
        <f aca="false">IF($P260=0,"-",IF($O260&lt;=INDEX(PARAMETROS_CULTURAS!$F$6:$F$28,$P260),"INICIAL",IF($O260&lt;=INDEX(PARAMETROS_CULTURAS!$F$6:$F$28,$P260)+INDEX(PARAMETROS_CULTURAS!$G$6:$G$28,$P260),"DESENVOLVIMENTO",IF($O260&lt;=INDEX(PARAMETROS_CULTURAS!$F$6:$F$28,$P260)+INDEX(PARAMETROS_CULTURAS!$G$6:$G$28,$P260)+INDEX(PARAMETROS_CULTURAS!$H$6:$H$28,$P260),"MEDIA","FINAL"))))</f>
        <v>-</v>
      </c>
      <c r="R260" s="24" t="n">
        <f aca="false">IF($P260=0,0,IF($O260&lt;=INDEX(PARAMETROS_CULTURAS!$F$6:$F$28,$P260),INDEX(PARAMETROS_CULTURAS!$K$6:$K$28,$P260),IF($O260&lt;=INDEX(PARAMETROS_CULTURAS!$F$6:$F$28,$P260)+INDEX(PARAMETROS_CULTURAS!$G$6:$G$28,$P260),INDEX(PARAMETROS_CULTURAS!$K$6:$K$28,$P260)+(INDEX(PARAMETROS_CULTURAS!$L$6:$L$28,$P260)-INDEX(PARAMETROS_CULTURAS!$K$6:$K$28,$P260))*($O260-INDEX(PARAMETROS_CULTURAS!$F$6:$F$28,$P260))/MAX(INDEX(PARAMETROS_CULTURAS!$G$6:$G$28,$P260),0.0001),IF($O260&lt;=INDEX(PARAMETROS_CULTURAS!$F$6:$F$28,$P260)+INDEX(PARAMETROS_CULTURAS!$G$6:$G$28,$P260)+INDEX(PARAMETROS_CULTURAS!$H$6:$H$28,$P260),INDEX(PARAMETROS_CULTURAS!$L$6:$L$28,$P260),INDEX(PARAMETROS_CULTURAS!$L$6:$L$28,$P260)+(INDEX(PARAMETROS_CULTURAS!$M$6:$M$28,$P260)-INDEX(PARAMETROS_CULTURAS!$L$6:$L$28,$P260))*($O260-INDEX(PARAMETROS_CULTURAS!$F$6:$F$28,$P260)-INDEX(PARAMETROS_CULTURAS!$G$6:$G$28,$P260)-INDEX(PARAMETROS_CULTURAS!$H$6:$H$28,$P260))/MAX(INDEX(PARAMETROS_CULTURAS!$I$6:$I$28,$P260),0.0001)))))</f>
        <v>0</v>
      </c>
      <c r="S260" s="18" t="n">
        <f aca="false">IFERROR(INDEX(SEMANAS!$H$6:$H$71,MATCH($B260,SEMANAS!$B$6:$B$71,0)),0)</f>
        <v>40</v>
      </c>
      <c r="T260" s="18" t="n">
        <f aca="false">$R260*$S260</f>
        <v>0</v>
      </c>
      <c r="U260" s="18" t="n">
        <f aca="false">IFERROR(INDEX(SEMANAS!$I$6:$I$71,MATCH($B260,SEMANAS!$B$6:$B$71,0)),0)</f>
        <v>15.61</v>
      </c>
      <c r="V260" s="18" t="n">
        <f aca="false">IFERROR(INDEX(SEMANAS!$J$6:$J$71,MATCH($B260,SEMANAS!$B$6:$B$71,0)),0)</f>
        <v>12.488</v>
      </c>
      <c r="W260" s="18" t="n">
        <f aca="false">MAX(0,$T260-$V260)</f>
        <v>0</v>
      </c>
      <c r="X260" s="19" t="n">
        <f aca="false">IFERROR(INDEX(CADASTRO_PIVOS!$K$6:$K$41,MATCH($E260,CADASTRO_PIVOS!$B$6:$B$41,0)),EFICIENCIA_PADRAO)</f>
        <v>0.85</v>
      </c>
      <c r="Y260" s="18" t="n">
        <f aca="false">IF($X260&lt;=0,0,$W260/$X260)</f>
        <v>0</v>
      </c>
      <c r="Z260" s="16" t="n">
        <f aca="false">$Y260*$H260*MM_PARA_M3_HA</f>
        <v>0</v>
      </c>
      <c r="AA260" s="18" t="n">
        <f aca="false">IFERROR(INDEX(CADASTRO_PIVOS!$I$6:$I$41,MATCH($E260,CADASTRO_PIVOS!$B$6:$B$41,0)),0)</f>
        <v>701.428571428571</v>
      </c>
      <c r="AB260" s="18" t="n">
        <f aca="false">IF($Z260&lt;=0,0,$Z260/$AA260)</f>
        <v>0</v>
      </c>
      <c r="AC260" s="16" t="n">
        <f aca="false">IFERROR(INDEX(SEMANAS!$K$6:$K$71,MATCH($B260,SEMANAS!$B$6:$B$71,0)),0)</f>
        <v>147</v>
      </c>
      <c r="AD260" s="19" t="n">
        <f aca="false">IF($AC260&lt;=0,0,$AB260/$AC260)</f>
        <v>0</v>
      </c>
      <c r="AE260" s="8" t="str">
        <f aca="false">IF($K260="SEM CULTURA","SEM CULTURA",IF($AA260&lt;=0,"DADO PENDENTE",IF($AD260&gt;LIMITE_CRITICO,"INVIAVEL",IF($AD260&gt;LIMITE_ATENCAO,"CRITICO",IF($AD260&gt;LIMITE_CONFORTAVEL,"ATENCAO","OK")))))</f>
        <v>SEM CULTURA</v>
      </c>
      <c r="AF260" s="8" t="str">
        <f aca="false">$B260&amp;"|"&amp;TEXT($AD260,"0.000000")</f>
        <v>57|0.000000</v>
      </c>
      <c r="AG260" s="18" t="n">
        <f aca="false">IF($K260="SEM CULTURA",0,$T260*$H260)</f>
        <v>0</v>
      </c>
      <c r="AH260" s="18" t="n">
        <f aca="false">IF($K260="SEM CULTURA",0,$V260*$H260)</f>
        <v>0</v>
      </c>
      <c r="AI260" s="18" t="n">
        <f aca="false">IF($K260="SEM CULTURA",0,$W260*$H260)</f>
        <v>0</v>
      </c>
      <c r="AJ260" s="18" t="n">
        <f aca="false">IF($K260="SEM CULTURA",0,$S260*$H260)</f>
        <v>0</v>
      </c>
      <c r="AK260" s="8" t="str">
        <f aca="false">$E260&amp;"|"&amp;TEXT($AD260,"0.000000")</f>
        <v>PV 105|0.000000</v>
      </c>
    </row>
    <row r="261" customFormat="false" ht="15" hidden="false" customHeight="false" outlineLevel="0" collapsed="false">
      <c r="B261" s="16" t="n">
        <v>58</v>
      </c>
      <c r="C261" s="17" t="n">
        <f aca="false">DATA_INICIO_SAFRA+($B261-1)*DIAS_POR_SEMANA</f>
        <v>46664</v>
      </c>
      <c r="D261" s="17" t="n">
        <f aca="false">$C261+DIAS_POR_SEMANA-1</f>
        <v>46670</v>
      </c>
      <c r="E261" s="15" t="s">
        <v>262</v>
      </c>
      <c r="F261" s="8" t="str">
        <f aca="false">IFERROR(INDEX(CADASTRO_PIVOS!$C$6:$C$41,MATCH($E261,CADASTRO_PIVOS!$B$6:$B$41,0)),"?")</f>
        <v>RM03</v>
      </c>
      <c r="G261" s="8" t="str">
        <f aca="false">IFERROR(INDEX(CADASTRO_PIVOS!$D$6:$D$41,MATCH($E261,CADASTRO_PIVOS!$B$6:$B$41,0)),"?")</f>
        <v>TR03</v>
      </c>
      <c r="H261" s="20" t="n">
        <f aca="false">IFERROR(INDEX(CADASTRO_PIVOS!$E$6:$E$41,MATCH($E261,CADASTRO_PIVOS!$B$6:$B$41,0)),0)</f>
        <v>98.2</v>
      </c>
      <c r="I261" s="16" t="n">
        <f aca="false">IFERROR(SUMIFS(ROTACAO_RDM!$B$6:$B$71,ROTACAO_RDM!$D$6:$D$71,$E261,ROTACAO_RDM!$I$6:$I$71,"&lt;="&amp;$C261+INT(DIAS_POR_SEMANA/2),ROTACAO_RDM!$J$6:$J$71,"&gt;="&amp;$C261+INT(DIAS_POR_SEMANA/2)),0)</f>
        <v>0</v>
      </c>
      <c r="J261" s="16" t="n">
        <f aca="false">IFERROR(MATCH($I261,ROTACAO_RDM!$B$6:$B$71,0),0)</f>
        <v>0</v>
      </c>
      <c r="K261" s="8" t="str">
        <f aca="false">IF($J261=0,"SEM CULTURA",INDEX(ROTACAO_RDM!$F$6:$F$71,$J261))</f>
        <v>SEM CULTURA</v>
      </c>
      <c r="L261" s="8" t="str">
        <f aca="false">IF($J261=0,"",INDEX(ROTACAO_RDM!$G$6:$G$71,$J261))</f>
        <v/>
      </c>
      <c r="M261" s="17" t="str">
        <f aca="false">IF($J261=0,"",INDEX(ROTACAO_RDM!$I$6:$I$71,$J261))</f>
        <v/>
      </c>
      <c r="N261" s="16" t="n">
        <f aca="false">IF($J261=0,0,MAX(0,$C261+INT(DIAS_POR_SEMANA/2)-INDEX(ROTACAO_RDM!$I$6:$I$71,$J261)))</f>
        <v>0</v>
      </c>
      <c r="O261" s="19" t="n">
        <f aca="false">IF($J261=0,0,MIN(1,$N261/MAX(1,INDEX(ROTACAO_RDM!$K$6:$K$71,$J261))))</f>
        <v>0</v>
      </c>
      <c r="P261" s="16" t="n">
        <f aca="false">IF($J261=0,0,IFERROR(MATCH(INDEX(ROTACAO_RDM!$N$6:$N$71,$J261),PARAMETROS_CULTURAS!$B$6:$B$28,0),0))</f>
        <v>0</v>
      </c>
      <c r="Q261" s="8" t="str">
        <f aca="false">IF($P261=0,"-",IF($O261&lt;=INDEX(PARAMETROS_CULTURAS!$F$6:$F$28,$P261),"INICIAL",IF($O261&lt;=INDEX(PARAMETROS_CULTURAS!$F$6:$F$28,$P261)+INDEX(PARAMETROS_CULTURAS!$G$6:$G$28,$P261),"DESENVOLVIMENTO",IF($O261&lt;=INDEX(PARAMETROS_CULTURAS!$F$6:$F$28,$P261)+INDEX(PARAMETROS_CULTURAS!$G$6:$G$28,$P261)+INDEX(PARAMETROS_CULTURAS!$H$6:$H$28,$P261),"MEDIA","FINAL"))))</f>
        <v>-</v>
      </c>
      <c r="R261" s="24" t="n">
        <f aca="false">IF($P261=0,0,IF($O261&lt;=INDEX(PARAMETROS_CULTURAS!$F$6:$F$28,$P261),INDEX(PARAMETROS_CULTURAS!$K$6:$K$28,$P261),IF($O261&lt;=INDEX(PARAMETROS_CULTURAS!$F$6:$F$28,$P261)+INDEX(PARAMETROS_CULTURAS!$G$6:$G$28,$P261),INDEX(PARAMETROS_CULTURAS!$K$6:$K$28,$P261)+(INDEX(PARAMETROS_CULTURAS!$L$6:$L$28,$P261)-INDEX(PARAMETROS_CULTURAS!$K$6:$K$28,$P261))*($O261-INDEX(PARAMETROS_CULTURAS!$F$6:$F$28,$P261))/MAX(INDEX(PARAMETROS_CULTURAS!$G$6:$G$28,$P261),0.0001),IF($O261&lt;=INDEX(PARAMETROS_CULTURAS!$F$6:$F$28,$P261)+INDEX(PARAMETROS_CULTURAS!$G$6:$G$28,$P261)+INDEX(PARAMETROS_CULTURAS!$H$6:$H$28,$P261),INDEX(PARAMETROS_CULTURAS!$L$6:$L$28,$P261),INDEX(PARAMETROS_CULTURAS!$L$6:$L$28,$P261)+(INDEX(PARAMETROS_CULTURAS!$M$6:$M$28,$P261)-INDEX(PARAMETROS_CULTURAS!$L$6:$L$28,$P261))*($O261-INDEX(PARAMETROS_CULTURAS!$F$6:$F$28,$P261)-INDEX(PARAMETROS_CULTURAS!$G$6:$G$28,$P261)-INDEX(PARAMETROS_CULTURAS!$H$6:$H$28,$P261))/MAX(INDEX(PARAMETROS_CULTURAS!$I$6:$I$28,$P261),0.0001)))))</f>
        <v>0</v>
      </c>
      <c r="S261" s="18" t="n">
        <f aca="false">IFERROR(INDEX(SEMANAS!$H$6:$H$71,MATCH($B261,SEMANAS!$B$6:$B$71,0)),0)</f>
        <v>39.2</v>
      </c>
      <c r="T261" s="18" t="n">
        <f aca="false">$R261*$S261</f>
        <v>0</v>
      </c>
      <c r="U261" s="18" t="n">
        <f aca="false">IFERROR(INDEX(SEMANAS!$I$6:$I$71,MATCH($B261,SEMANAS!$B$6:$B$71,0)),0)</f>
        <v>27.09</v>
      </c>
      <c r="V261" s="18" t="n">
        <f aca="false">IFERROR(INDEX(SEMANAS!$J$6:$J$71,MATCH($B261,SEMANAS!$B$6:$B$71,0)),0)</f>
        <v>21.672</v>
      </c>
      <c r="W261" s="18" t="n">
        <f aca="false">MAX(0,$T261-$V261)</f>
        <v>0</v>
      </c>
      <c r="X261" s="19" t="n">
        <f aca="false">IFERROR(INDEX(CADASTRO_PIVOS!$K$6:$K$41,MATCH($E261,CADASTRO_PIVOS!$B$6:$B$41,0)),EFICIENCIA_PADRAO)</f>
        <v>0.85</v>
      </c>
      <c r="Y261" s="18" t="n">
        <f aca="false">IF($X261&lt;=0,0,$W261/$X261)</f>
        <v>0</v>
      </c>
      <c r="Z261" s="16" t="n">
        <f aca="false">$Y261*$H261*MM_PARA_M3_HA</f>
        <v>0</v>
      </c>
      <c r="AA261" s="18" t="n">
        <f aca="false">IFERROR(INDEX(CADASTRO_PIVOS!$I$6:$I$41,MATCH($E261,CADASTRO_PIVOS!$B$6:$B$41,0)),0)</f>
        <v>701.428571428571</v>
      </c>
      <c r="AB261" s="18" t="n">
        <f aca="false">IF($Z261&lt;=0,0,$Z261/$AA261)</f>
        <v>0</v>
      </c>
      <c r="AC261" s="16" t="n">
        <f aca="false">IFERROR(INDEX(SEMANAS!$K$6:$K$71,MATCH($B261,SEMANAS!$B$6:$B$71,0)),0)</f>
        <v>147</v>
      </c>
      <c r="AD261" s="19" t="n">
        <f aca="false">IF($AC261&lt;=0,0,$AB261/$AC261)</f>
        <v>0</v>
      </c>
      <c r="AE261" s="8" t="str">
        <f aca="false">IF($K261="SEM CULTURA","SEM CULTURA",IF($AA261&lt;=0,"DADO PENDENTE",IF($AD261&gt;LIMITE_CRITICO,"INVIAVEL",IF($AD261&gt;LIMITE_ATENCAO,"CRITICO",IF($AD261&gt;LIMITE_CONFORTAVEL,"ATENCAO","OK")))))</f>
        <v>SEM CULTURA</v>
      </c>
      <c r="AF261" s="8" t="str">
        <f aca="false">$B261&amp;"|"&amp;TEXT($AD261,"0.000000")</f>
        <v>58|0.000000</v>
      </c>
      <c r="AG261" s="18" t="n">
        <f aca="false">IF($K261="SEM CULTURA",0,$T261*$H261)</f>
        <v>0</v>
      </c>
      <c r="AH261" s="18" t="n">
        <f aca="false">IF($K261="SEM CULTURA",0,$V261*$H261)</f>
        <v>0</v>
      </c>
      <c r="AI261" s="18" t="n">
        <f aca="false">IF($K261="SEM CULTURA",0,$W261*$H261)</f>
        <v>0</v>
      </c>
      <c r="AJ261" s="18" t="n">
        <f aca="false">IF($K261="SEM CULTURA",0,$S261*$H261)</f>
        <v>0</v>
      </c>
      <c r="AK261" s="8" t="str">
        <f aca="false">$E261&amp;"|"&amp;TEXT($AD261,"0.000000")</f>
        <v>PV 105|0.000000</v>
      </c>
    </row>
    <row r="262" customFormat="false" ht="15" hidden="false" customHeight="false" outlineLevel="0" collapsed="false">
      <c r="B262" s="16" t="n">
        <v>59</v>
      </c>
      <c r="C262" s="17" t="n">
        <f aca="false">DATA_INICIO_SAFRA+($B262-1)*DIAS_POR_SEMANA</f>
        <v>46671</v>
      </c>
      <c r="D262" s="17" t="n">
        <f aca="false">$C262+DIAS_POR_SEMANA-1</f>
        <v>46677</v>
      </c>
      <c r="E262" s="15" t="s">
        <v>262</v>
      </c>
      <c r="F262" s="8" t="str">
        <f aca="false">IFERROR(INDEX(CADASTRO_PIVOS!$C$6:$C$41,MATCH($E262,CADASTRO_PIVOS!$B$6:$B$41,0)),"?")</f>
        <v>RM03</v>
      </c>
      <c r="G262" s="8" t="str">
        <f aca="false">IFERROR(INDEX(CADASTRO_PIVOS!$D$6:$D$41,MATCH($E262,CADASTRO_PIVOS!$B$6:$B$41,0)),"?")</f>
        <v>TR03</v>
      </c>
      <c r="H262" s="20" t="n">
        <f aca="false">IFERROR(INDEX(CADASTRO_PIVOS!$E$6:$E$41,MATCH($E262,CADASTRO_PIVOS!$B$6:$B$41,0)),0)</f>
        <v>98.2</v>
      </c>
      <c r="I262" s="16" t="n">
        <f aca="false">IFERROR(SUMIFS(ROTACAO_RDM!$B$6:$B$71,ROTACAO_RDM!$D$6:$D$71,$E262,ROTACAO_RDM!$I$6:$I$71,"&lt;="&amp;$C262+INT(DIAS_POR_SEMANA/2),ROTACAO_RDM!$J$6:$J$71,"&gt;="&amp;$C262+INT(DIAS_POR_SEMANA/2)),0)</f>
        <v>0</v>
      </c>
      <c r="J262" s="16" t="n">
        <f aca="false">IFERROR(MATCH($I262,ROTACAO_RDM!$B$6:$B$71,0),0)</f>
        <v>0</v>
      </c>
      <c r="K262" s="8" t="str">
        <f aca="false">IF($J262=0,"SEM CULTURA",INDEX(ROTACAO_RDM!$F$6:$F$71,$J262))</f>
        <v>SEM CULTURA</v>
      </c>
      <c r="L262" s="8" t="str">
        <f aca="false">IF($J262=0,"",INDEX(ROTACAO_RDM!$G$6:$G$71,$J262))</f>
        <v/>
      </c>
      <c r="M262" s="17" t="str">
        <f aca="false">IF($J262=0,"",INDEX(ROTACAO_RDM!$I$6:$I$71,$J262))</f>
        <v/>
      </c>
      <c r="N262" s="16" t="n">
        <f aca="false">IF($J262=0,0,MAX(0,$C262+INT(DIAS_POR_SEMANA/2)-INDEX(ROTACAO_RDM!$I$6:$I$71,$J262)))</f>
        <v>0</v>
      </c>
      <c r="O262" s="19" t="n">
        <f aca="false">IF($J262=0,0,MIN(1,$N262/MAX(1,INDEX(ROTACAO_RDM!$K$6:$K$71,$J262))))</f>
        <v>0</v>
      </c>
      <c r="P262" s="16" t="n">
        <f aca="false">IF($J262=0,0,IFERROR(MATCH(INDEX(ROTACAO_RDM!$N$6:$N$71,$J262),PARAMETROS_CULTURAS!$B$6:$B$28,0),0))</f>
        <v>0</v>
      </c>
      <c r="Q262" s="8" t="str">
        <f aca="false">IF($P262=0,"-",IF($O262&lt;=INDEX(PARAMETROS_CULTURAS!$F$6:$F$28,$P262),"INICIAL",IF($O262&lt;=INDEX(PARAMETROS_CULTURAS!$F$6:$F$28,$P262)+INDEX(PARAMETROS_CULTURAS!$G$6:$G$28,$P262),"DESENVOLVIMENTO",IF($O262&lt;=INDEX(PARAMETROS_CULTURAS!$F$6:$F$28,$P262)+INDEX(PARAMETROS_CULTURAS!$G$6:$G$28,$P262)+INDEX(PARAMETROS_CULTURAS!$H$6:$H$28,$P262),"MEDIA","FINAL"))))</f>
        <v>-</v>
      </c>
      <c r="R262" s="24" t="n">
        <f aca="false">IF($P262=0,0,IF($O262&lt;=INDEX(PARAMETROS_CULTURAS!$F$6:$F$28,$P262),INDEX(PARAMETROS_CULTURAS!$K$6:$K$28,$P262),IF($O262&lt;=INDEX(PARAMETROS_CULTURAS!$F$6:$F$28,$P262)+INDEX(PARAMETROS_CULTURAS!$G$6:$G$28,$P262),INDEX(PARAMETROS_CULTURAS!$K$6:$K$28,$P262)+(INDEX(PARAMETROS_CULTURAS!$L$6:$L$28,$P262)-INDEX(PARAMETROS_CULTURAS!$K$6:$K$28,$P262))*($O262-INDEX(PARAMETROS_CULTURAS!$F$6:$F$28,$P262))/MAX(INDEX(PARAMETROS_CULTURAS!$G$6:$G$28,$P262),0.0001),IF($O262&lt;=INDEX(PARAMETROS_CULTURAS!$F$6:$F$28,$P262)+INDEX(PARAMETROS_CULTURAS!$G$6:$G$28,$P262)+INDEX(PARAMETROS_CULTURAS!$H$6:$H$28,$P262),INDEX(PARAMETROS_CULTURAS!$L$6:$L$28,$P262),INDEX(PARAMETROS_CULTURAS!$L$6:$L$28,$P262)+(INDEX(PARAMETROS_CULTURAS!$M$6:$M$28,$P262)-INDEX(PARAMETROS_CULTURAS!$L$6:$L$28,$P262))*($O262-INDEX(PARAMETROS_CULTURAS!$F$6:$F$28,$P262)-INDEX(PARAMETROS_CULTURAS!$G$6:$G$28,$P262)-INDEX(PARAMETROS_CULTURAS!$H$6:$H$28,$P262))/MAX(INDEX(PARAMETROS_CULTURAS!$I$6:$I$28,$P262),0.0001)))))</f>
        <v>0</v>
      </c>
      <c r="S262" s="18" t="n">
        <f aca="false">IFERROR(INDEX(SEMANAS!$H$6:$H$71,MATCH($B262,SEMANAS!$B$6:$B$71,0)),0)</f>
        <v>39.2</v>
      </c>
      <c r="T262" s="18" t="n">
        <f aca="false">$R262*$S262</f>
        <v>0</v>
      </c>
      <c r="U262" s="18" t="n">
        <f aca="false">IFERROR(INDEX(SEMANAS!$I$6:$I$71,MATCH($B262,SEMANAS!$B$6:$B$71,0)),0)</f>
        <v>27.09</v>
      </c>
      <c r="V262" s="18" t="n">
        <f aca="false">IFERROR(INDEX(SEMANAS!$J$6:$J$71,MATCH($B262,SEMANAS!$B$6:$B$71,0)),0)</f>
        <v>21.672</v>
      </c>
      <c r="W262" s="18" t="n">
        <f aca="false">MAX(0,$T262-$V262)</f>
        <v>0</v>
      </c>
      <c r="X262" s="19" t="n">
        <f aca="false">IFERROR(INDEX(CADASTRO_PIVOS!$K$6:$K$41,MATCH($E262,CADASTRO_PIVOS!$B$6:$B$41,0)),EFICIENCIA_PADRAO)</f>
        <v>0.85</v>
      </c>
      <c r="Y262" s="18" t="n">
        <f aca="false">IF($X262&lt;=0,0,$W262/$X262)</f>
        <v>0</v>
      </c>
      <c r="Z262" s="16" t="n">
        <f aca="false">$Y262*$H262*MM_PARA_M3_HA</f>
        <v>0</v>
      </c>
      <c r="AA262" s="18" t="n">
        <f aca="false">IFERROR(INDEX(CADASTRO_PIVOS!$I$6:$I$41,MATCH($E262,CADASTRO_PIVOS!$B$6:$B$41,0)),0)</f>
        <v>701.428571428571</v>
      </c>
      <c r="AB262" s="18" t="n">
        <f aca="false">IF($Z262&lt;=0,0,$Z262/$AA262)</f>
        <v>0</v>
      </c>
      <c r="AC262" s="16" t="n">
        <f aca="false">IFERROR(INDEX(SEMANAS!$K$6:$K$71,MATCH($B262,SEMANAS!$B$6:$B$71,0)),0)</f>
        <v>147</v>
      </c>
      <c r="AD262" s="19" t="n">
        <f aca="false">IF($AC262&lt;=0,0,$AB262/$AC262)</f>
        <v>0</v>
      </c>
      <c r="AE262" s="8" t="str">
        <f aca="false">IF($K262="SEM CULTURA","SEM CULTURA",IF($AA262&lt;=0,"DADO PENDENTE",IF($AD262&gt;LIMITE_CRITICO,"INVIAVEL",IF($AD262&gt;LIMITE_ATENCAO,"CRITICO",IF($AD262&gt;LIMITE_CONFORTAVEL,"ATENCAO","OK")))))</f>
        <v>SEM CULTURA</v>
      </c>
      <c r="AF262" s="8" t="str">
        <f aca="false">$B262&amp;"|"&amp;TEXT($AD262,"0.000000")</f>
        <v>59|0.000000</v>
      </c>
      <c r="AG262" s="18" t="n">
        <f aca="false">IF($K262="SEM CULTURA",0,$T262*$H262)</f>
        <v>0</v>
      </c>
      <c r="AH262" s="18" t="n">
        <f aca="false">IF($K262="SEM CULTURA",0,$V262*$H262)</f>
        <v>0</v>
      </c>
      <c r="AI262" s="18" t="n">
        <f aca="false">IF($K262="SEM CULTURA",0,$W262*$H262)</f>
        <v>0</v>
      </c>
      <c r="AJ262" s="18" t="n">
        <f aca="false">IF($K262="SEM CULTURA",0,$S262*$H262)</f>
        <v>0</v>
      </c>
      <c r="AK262" s="8" t="str">
        <f aca="false">$E262&amp;"|"&amp;TEXT($AD262,"0.000000")</f>
        <v>PV 105|0.000000</v>
      </c>
    </row>
    <row r="263" customFormat="false" ht="15" hidden="false" customHeight="false" outlineLevel="0" collapsed="false">
      <c r="B263" s="16" t="n">
        <v>60</v>
      </c>
      <c r="C263" s="17" t="n">
        <f aca="false">DATA_INICIO_SAFRA+($B263-1)*DIAS_POR_SEMANA</f>
        <v>46678</v>
      </c>
      <c r="D263" s="17" t="n">
        <f aca="false">$C263+DIAS_POR_SEMANA-1</f>
        <v>46684</v>
      </c>
      <c r="E263" s="15" t="s">
        <v>262</v>
      </c>
      <c r="F263" s="8" t="str">
        <f aca="false">IFERROR(INDEX(CADASTRO_PIVOS!$C$6:$C$41,MATCH($E263,CADASTRO_PIVOS!$B$6:$B$41,0)),"?")</f>
        <v>RM03</v>
      </c>
      <c r="G263" s="8" t="str">
        <f aca="false">IFERROR(INDEX(CADASTRO_PIVOS!$D$6:$D$41,MATCH($E263,CADASTRO_PIVOS!$B$6:$B$41,0)),"?")</f>
        <v>TR03</v>
      </c>
      <c r="H263" s="20" t="n">
        <f aca="false">IFERROR(INDEX(CADASTRO_PIVOS!$E$6:$E$41,MATCH($E263,CADASTRO_PIVOS!$B$6:$B$41,0)),0)</f>
        <v>98.2</v>
      </c>
      <c r="I263" s="16" t="n">
        <f aca="false">IFERROR(SUMIFS(ROTACAO_RDM!$B$6:$B$71,ROTACAO_RDM!$D$6:$D$71,$E263,ROTACAO_RDM!$I$6:$I$71,"&lt;="&amp;$C263+INT(DIAS_POR_SEMANA/2),ROTACAO_RDM!$J$6:$J$71,"&gt;="&amp;$C263+INT(DIAS_POR_SEMANA/2)),0)</f>
        <v>0</v>
      </c>
      <c r="J263" s="16" t="n">
        <f aca="false">IFERROR(MATCH($I263,ROTACAO_RDM!$B$6:$B$71,0),0)</f>
        <v>0</v>
      </c>
      <c r="K263" s="8" t="str">
        <f aca="false">IF($J263=0,"SEM CULTURA",INDEX(ROTACAO_RDM!$F$6:$F$71,$J263))</f>
        <v>SEM CULTURA</v>
      </c>
      <c r="L263" s="8" t="str">
        <f aca="false">IF($J263=0,"",INDEX(ROTACAO_RDM!$G$6:$G$71,$J263))</f>
        <v/>
      </c>
      <c r="M263" s="17" t="str">
        <f aca="false">IF($J263=0,"",INDEX(ROTACAO_RDM!$I$6:$I$71,$J263))</f>
        <v/>
      </c>
      <c r="N263" s="16" t="n">
        <f aca="false">IF($J263=0,0,MAX(0,$C263+INT(DIAS_POR_SEMANA/2)-INDEX(ROTACAO_RDM!$I$6:$I$71,$J263)))</f>
        <v>0</v>
      </c>
      <c r="O263" s="19" t="n">
        <f aca="false">IF($J263=0,0,MIN(1,$N263/MAX(1,INDEX(ROTACAO_RDM!$K$6:$K$71,$J263))))</f>
        <v>0</v>
      </c>
      <c r="P263" s="16" t="n">
        <f aca="false">IF($J263=0,0,IFERROR(MATCH(INDEX(ROTACAO_RDM!$N$6:$N$71,$J263),PARAMETROS_CULTURAS!$B$6:$B$28,0),0))</f>
        <v>0</v>
      </c>
      <c r="Q263" s="8" t="str">
        <f aca="false">IF($P263=0,"-",IF($O263&lt;=INDEX(PARAMETROS_CULTURAS!$F$6:$F$28,$P263),"INICIAL",IF($O263&lt;=INDEX(PARAMETROS_CULTURAS!$F$6:$F$28,$P263)+INDEX(PARAMETROS_CULTURAS!$G$6:$G$28,$P263),"DESENVOLVIMENTO",IF($O263&lt;=INDEX(PARAMETROS_CULTURAS!$F$6:$F$28,$P263)+INDEX(PARAMETROS_CULTURAS!$G$6:$G$28,$P263)+INDEX(PARAMETROS_CULTURAS!$H$6:$H$28,$P263),"MEDIA","FINAL"))))</f>
        <v>-</v>
      </c>
      <c r="R263" s="24" t="n">
        <f aca="false">IF($P263=0,0,IF($O263&lt;=INDEX(PARAMETROS_CULTURAS!$F$6:$F$28,$P263),INDEX(PARAMETROS_CULTURAS!$K$6:$K$28,$P263),IF($O263&lt;=INDEX(PARAMETROS_CULTURAS!$F$6:$F$28,$P263)+INDEX(PARAMETROS_CULTURAS!$G$6:$G$28,$P263),INDEX(PARAMETROS_CULTURAS!$K$6:$K$28,$P263)+(INDEX(PARAMETROS_CULTURAS!$L$6:$L$28,$P263)-INDEX(PARAMETROS_CULTURAS!$K$6:$K$28,$P263))*($O263-INDEX(PARAMETROS_CULTURAS!$F$6:$F$28,$P263))/MAX(INDEX(PARAMETROS_CULTURAS!$G$6:$G$28,$P263),0.0001),IF($O263&lt;=INDEX(PARAMETROS_CULTURAS!$F$6:$F$28,$P263)+INDEX(PARAMETROS_CULTURAS!$G$6:$G$28,$P263)+INDEX(PARAMETROS_CULTURAS!$H$6:$H$28,$P263),INDEX(PARAMETROS_CULTURAS!$L$6:$L$28,$P263),INDEX(PARAMETROS_CULTURAS!$L$6:$L$28,$P263)+(INDEX(PARAMETROS_CULTURAS!$M$6:$M$28,$P263)-INDEX(PARAMETROS_CULTURAS!$L$6:$L$28,$P263))*($O263-INDEX(PARAMETROS_CULTURAS!$F$6:$F$28,$P263)-INDEX(PARAMETROS_CULTURAS!$G$6:$G$28,$P263)-INDEX(PARAMETROS_CULTURAS!$H$6:$H$28,$P263))/MAX(INDEX(PARAMETROS_CULTURAS!$I$6:$I$28,$P263),0.0001)))))</f>
        <v>0</v>
      </c>
      <c r="S263" s="18" t="n">
        <f aca="false">IFERROR(INDEX(SEMANAS!$H$6:$H$71,MATCH($B263,SEMANAS!$B$6:$B$71,0)),0)</f>
        <v>39.2</v>
      </c>
      <c r="T263" s="18" t="n">
        <f aca="false">$R263*$S263</f>
        <v>0</v>
      </c>
      <c r="U263" s="18" t="n">
        <f aca="false">IFERROR(INDEX(SEMANAS!$I$6:$I$71,MATCH($B263,SEMANAS!$B$6:$B$71,0)),0)</f>
        <v>27.09</v>
      </c>
      <c r="V263" s="18" t="n">
        <f aca="false">IFERROR(INDEX(SEMANAS!$J$6:$J$71,MATCH($B263,SEMANAS!$B$6:$B$71,0)),0)</f>
        <v>21.672</v>
      </c>
      <c r="W263" s="18" t="n">
        <f aca="false">MAX(0,$T263-$V263)</f>
        <v>0</v>
      </c>
      <c r="X263" s="19" t="n">
        <f aca="false">IFERROR(INDEX(CADASTRO_PIVOS!$K$6:$K$41,MATCH($E263,CADASTRO_PIVOS!$B$6:$B$41,0)),EFICIENCIA_PADRAO)</f>
        <v>0.85</v>
      </c>
      <c r="Y263" s="18" t="n">
        <f aca="false">IF($X263&lt;=0,0,$W263/$X263)</f>
        <v>0</v>
      </c>
      <c r="Z263" s="16" t="n">
        <f aca="false">$Y263*$H263*MM_PARA_M3_HA</f>
        <v>0</v>
      </c>
      <c r="AA263" s="18" t="n">
        <f aca="false">IFERROR(INDEX(CADASTRO_PIVOS!$I$6:$I$41,MATCH($E263,CADASTRO_PIVOS!$B$6:$B$41,0)),0)</f>
        <v>701.428571428571</v>
      </c>
      <c r="AB263" s="18" t="n">
        <f aca="false">IF($Z263&lt;=0,0,$Z263/$AA263)</f>
        <v>0</v>
      </c>
      <c r="AC263" s="16" t="n">
        <f aca="false">IFERROR(INDEX(SEMANAS!$K$6:$K$71,MATCH($B263,SEMANAS!$B$6:$B$71,0)),0)</f>
        <v>147</v>
      </c>
      <c r="AD263" s="19" t="n">
        <f aca="false">IF($AC263&lt;=0,0,$AB263/$AC263)</f>
        <v>0</v>
      </c>
      <c r="AE263" s="8" t="str">
        <f aca="false">IF($K263="SEM CULTURA","SEM CULTURA",IF($AA263&lt;=0,"DADO PENDENTE",IF($AD263&gt;LIMITE_CRITICO,"INVIAVEL",IF($AD263&gt;LIMITE_ATENCAO,"CRITICO",IF($AD263&gt;LIMITE_CONFORTAVEL,"ATENCAO","OK")))))</f>
        <v>SEM CULTURA</v>
      </c>
      <c r="AF263" s="8" t="str">
        <f aca="false">$B263&amp;"|"&amp;TEXT($AD263,"0.000000")</f>
        <v>60|0.000000</v>
      </c>
      <c r="AG263" s="18" t="n">
        <f aca="false">IF($K263="SEM CULTURA",0,$T263*$H263)</f>
        <v>0</v>
      </c>
      <c r="AH263" s="18" t="n">
        <f aca="false">IF($K263="SEM CULTURA",0,$V263*$H263)</f>
        <v>0</v>
      </c>
      <c r="AI263" s="18" t="n">
        <f aca="false">IF($K263="SEM CULTURA",0,$W263*$H263)</f>
        <v>0</v>
      </c>
      <c r="AJ263" s="18" t="n">
        <f aca="false">IF($K263="SEM CULTURA",0,$S263*$H263)</f>
        <v>0</v>
      </c>
      <c r="AK263" s="8" t="str">
        <f aca="false">$E263&amp;"|"&amp;TEXT($AD263,"0.000000")</f>
        <v>PV 105|0.000000</v>
      </c>
    </row>
    <row r="264" customFormat="false" ht="15" hidden="false" customHeight="false" outlineLevel="0" collapsed="false">
      <c r="B264" s="16" t="n">
        <v>61</v>
      </c>
      <c r="C264" s="17" t="n">
        <f aca="false">DATA_INICIO_SAFRA+($B264-1)*DIAS_POR_SEMANA</f>
        <v>46685</v>
      </c>
      <c r="D264" s="17" t="n">
        <f aca="false">$C264+DIAS_POR_SEMANA-1</f>
        <v>46691</v>
      </c>
      <c r="E264" s="15" t="s">
        <v>262</v>
      </c>
      <c r="F264" s="8" t="str">
        <f aca="false">IFERROR(INDEX(CADASTRO_PIVOS!$C$6:$C$41,MATCH($E264,CADASTRO_PIVOS!$B$6:$B$41,0)),"?")</f>
        <v>RM03</v>
      </c>
      <c r="G264" s="8" t="str">
        <f aca="false">IFERROR(INDEX(CADASTRO_PIVOS!$D$6:$D$41,MATCH($E264,CADASTRO_PIVOS!$B$6:$B$41,0)),"?")</f>
        <v>TR03</v>
      </c>
      <c r="H264" s="20" t="n">
        <f aca="false">IFERROR(INDEX(CADASTRO_PIVOS!$E$6:$E$41,MATCH($E264,CADASTRO_PIVOS!$B$6:$B$41,0)),0)</f>
        <v>98.2</v>
      </c>
      <c r="I264" s="16" t="n">
        <f aca="false">IFERROR(SUMIFS(ROTACAO_RDM!$B$6:$B$71,ROTACAO_RDM!$D$6:$D$71,$E264,ROTACAO_RDM!$I$6:$I$71,"&lt;="&amp;$C264+INT(DIAS_POR_SEMANA/2),ROTACAO_RDM!$J$6:$J$71,"&gt;="&amp;$C264+INT(DIAS_POR_SEMANA/2)),0)</f>
        <v>0</v>
      </c>
      <c r="J264" s="16" t="n">
        <f aca="false">IFERROR(MATCH($I264,ROTACAO_RDM!$B$6:$B$71,0),0)</f>
        <v>0</v>
      </c>
      <c r="K264" s="8" t="str">
        <f aca="false">IF($J264=0,"SEM CULTURA",INDEX(ROTACAO_RDM!$F$6:$F$71,$J264))</f>
        <v>SEM CULTURA</v>
      </c>
      <c r="L264" s="8" t="str">
        <f aca="false">IF($J264=0,"",INDEX(ROTACAO_RDM!$G$6:$G$71,$J264))</f>
        <v/>
      </c>
      <c r="M264" s="17" t="str">
        <f aca="false">IF($J264=0,"",INDEX(ROTACAO_RDM!$I$6:$I$71,$J264))</f>
        <v/>
      </c>
      <c r="N264" s="16" t="n">
        <f aca="false">IF($J264=0,0,MAX(0,$C264+INT(DIAS_POR_SEMANA/2)-INDEX(ROTACAO_RDM!$I$6:$I$71,$J264)))</f>
        <v>0</v>
      </c>
      <c r="O264" s="19" t="n">
        <f aca="false">IF($J264=0,0,MIN(1,$N264/MAX(1,INDEX(ROTACAO_RDM!$K$6:$K$71,$J264))))</f>
        <v>0</v>
      </c>
      <c r="P264" s="16" t="n">
        <f aca="false">IF($J264=0,0,IFERROR(MATCH(INDEX(ROTACAO_RDM!$N$6:$N$71,$J264),PARAMETROS_CULTURAS!$B$6:$B$28,0),0))</f>
        <v>0</v>
      </c>
      <c r="Q264" s="8" t="str">
        <f aca="false">IF($P264=0,"-",IF($O264&lt;=INDEX(PARAMETROS_CULTURAS!$F$6:$F$28,$P264),"INICIAL",IF($O264&lt;=INDEX(PARAMETROS_CULTURAS!$F$6:$F$28,$P264)+INDEX(PARAMETROS_CULTURAS!$G$6:$G$28,$P264),"DESENVOLVIMENTO",IF($O264&lt;=INDEX(PARAMETROS_CULTURAS!$F$6:$F$28,$P264)+INDEX(PARAMETROS_CULTURAS!$G$6:$G$28,$P264)+INDEX(PARAMETROS_CULTURAS!$H$6:$H$28,$P264),"MEDIA","FINAL"))))</f>
        <v>-</v>
      </c>
      <c r="R264" s="24" t="n">
        <f aca="false">IF($P264=0,0,IF($O264&lt;=INDEX(PARAMETROS_CULTURAS!$F$6:$F$28,$P264),INDEX(PARAMETROS_CULTURAS!$K$6:$K$28,$P264),IF($O264&lt;=INDEX(PARAMETROS_CULTURAS!$F$6:$F$28,$P264)+INDEX(PARAMETROS_CULTURAS!$G$6:$G$28,$P264),INDEX(PARAMETROS_CULTURAS!$K$6:$K$28,$P264)+(INDEX(PARAMETROS_CULTURAS!$L$6:$L$28,$P264)-INDEX(PARAMETROS_CULTURAS!$K$6:$K$28,$P264))*($O264-INDEX(PARAMETROS_CULTURAS!$F$6:$F$28,$P264))/MAX(INDEX(PARAMETROS_CULTURAS!$G$6:$G$28,$P264),0.0001),IF($O264&lt;=INDEX(PARAMETROS_CULTURAS!$F$6:$F$28,$P264)+INDEX(PARAMETROS_CULTURAS!$G$6:$G$28,$P264)+INDEX(PARAMETROS_CULTURAS!$H$6:$H$28,$P264),INDEX(PARAMETROS_CULTURAS!$L$6:$L$28,$P264),INDEX(PARAMETROS_CULTURAS!$L$6:$L$28,$P264)+(INDEX(PARAMETROS_CULTURAS!$M$6:$M$28,$P264)-INDEX(PARAMETROS_CULTURAS!$L$6:$L$28,$P264))*($O264-INDEX(PARAMETROS_CULTURAS!$F$6:$F$28,$P264)-INDEX(PARAMETROS_CULTURAS!$G$6:$G$28,$P264)-INDEX(PARAMETROS_CULTURAS!$H$6:$H$28,$P264))/MAX(INDEX(PARAMETROS_CULTURAS!$I$6:$I$28,$P264),0.0001)))))</f>
        <v>0</v>
      </c>
      <c r="S264" s="18" t="n">
        <f aca="false">IFERROR(INDEX(SEMANAS!$H$6:$H$71,MATCH($B264,SEMANAS!$B$6:$B$71,0)),0)</f>
        <v>39.2</v>
      </c>
      <c r="T264" s="18" t="n">
        <f aca="false">$R264*$S264</f>
        <v>0</v>
      </c>
      <c r="U264" s="18" t="n">
        <f aca="false">IFERROR(INDEX(SEMANAS!$I$6:$I$71,MATCH($B264,SEMANAS!$B$6:$B$71,0)),0)</f>
        <v>27.09</v>
      </c>
      <c r="V264" s="18" t="n">
        <f aca="false">IFERROR(INDEX(SEMANAS!$J$6:$J$71,MATCH($B264,SEMANAS!$B$6:$B$71,0)),0)</f>
        <v>21.672</v>
      </c>
      <c r="W264" s="18" t="n">
        <f aca="false">MAX(0,$T264-$V264)</f>
        <v>0</v>
      </c>
      <c r="X264" s="19" t="n">
        <f aca="false">IFERROR(INDEX(CADASTRO_PIVOS!$K$6:$K$41,MATCH($E264,CADASTRO_PIVOS!$B$6:$B$41,0)),EFICIENCIA_PADRAO)</f>
        <v>0.85</v>
      </c>
      <c r="Y264" s="18" t="n">
        <f aca="false">IF($X264&lt;=0,0,$W264/$X264)</f>
        <v>0</v>
      </c>
      <c r="Z264" s="16" t="n">
        <f aca="false">$Y264*$H264*MM_PARA_M3_HA</f>
        <v>0</v>
      </c>
      <c r="AA264" s="18" t="n">
        <f aca="false">IFERROR(INDEX(CADASTRO_PIVOS!$I$6:$I$41,MATCH($E264,CADASTRO_PIVOS!$B$6:$B$41,0)),0)</f>
        <v>701.428571428571</v>
      </c>
      <c r="AB264" s="18" t="n">
        <f aca="false">IF($Z264&lt;=0,0,$Z264/$AA264)</f>
        <v>0</v>
      </c>
      <c r="AC264" s="16" t="n">
        <f aca="false">IFERROR(INDEX(SEMANAS!$K$6:$K$71,MATCH($B264,SEMANAS!$B$6:$B$71,0)),0)</f>
        <v>147</v>
      </c>
      <c r="AD264" s="19" t="n">
        <f aca="false">IF($AC264&lt;=0,0,$AB264/$AC264)</f>
        <v>0</v>
      </c>
      <c r="AE264" s="8" t="str">
        <f aca="false">IF($K264="SEM CULTURA","SEM CULTURA",IF($AA264&lt;=0,"DADO PENDENTE",IF($AD264&gt;LIMITE_CRITICO,"INVIAVEL",IF($AD264&gt;LIMITE_ATENCAO,"CRITICO",IF($AD264&gt;LIMITE_CONFORTAVEL,"ATENCAO","OK")))))</f>
        <v>SEM CULTURA</v>
      </c>
      <c r="AF264" s="8" t="str">
        <f aca="false">$B264&amp;"|"&amp;TEXT($AD264,"0.000000")</f>
        <v>61|0.000000</v>
      </c>
      <c r="AG264" s="18" t="n">
        <f aca="false">IF($K264="SEM CULTURA",0,$T264*$H264)</f>
        <v>0</v>
      </c>
      <c r="AH264" s="18" t="n">
        <f aca="false">IF($K264="SEM CULTURA",0,$V264*$H264)</f>
        <v>0</v>
      </c>
      <c r="AI264" s="18" t="n">
        <f aca="false">IF($K264="SEM CULTURA",0,$W264*$H264)</f>
        <v>0</v>
      </c>
      <c r="AJ264" s="18" t="n">
        <f aca="false">IF($K264="SEM CULTURA",0,$S264*$H264)</f>
        <v>0</v>
      </c>
      <c r="AK264" s="8" t="str">
        <f aca="false">$E264&amp;"|"&amp;TEXT($AD264,"0.000000")</f>
        <v>PV 105|0.000000</v>
      </c>
    </row>
    <row r="265" customFormat="false" ht="15" hidden="false" customHeight="false" outlineLevel="0" collapsed="false">
      <c r="B265" s="16" t="n">
        <v>62</v>
      </c>
      <c r="C265" s="17" t="n">
        <f aca="false">DATA_INICIO_SAFRA+($B265-1)*DIAS_POR_SEMANA</f>
        <v>46692</v>
      </c>
      <c r="D265" s="17" t="n">
        <f aca="false">$C265+DIAS_POR_SEMANA-1</f>
        <v>46698</v>
      </c>
      <c r="E265" s="15" t="s">
        <v>262</v>
      </c>
      <c r="F265" s="8" t="str">
        <f aca="false">IFERROR(INDEX(CADASTRO_PIVOS!$C$6:$C$41,MATCH($E265,CADASTRO_PIVOS!$B$6:$B$41,0)),"?")</f>
        <v>RM03</v>
      </c>
      <c r="G265" s="8" t="str">
        <f aca="false">IFERROR(INDEX(CADASTRO_PIVOS!$D$6:$D$41,MATCH($E265,CADASTRO_PIVOS!$B$6:$B$41,0)),"?")</f>
        <v>TR03</v>
      </c>
      <c r="H265" s="20" t="n">
        <f aca="false">IFERROR(INDEX(CADASTRO_PIVOS!$E$6:$E$41,MATCH($E265,CADASTRO_PIVOS!$B$6:$B$41,0)),0)</f>
        <v>98.2</v>
      </c>
      <c r="I265" s="16" t="n">
        <f aca="false">IFERROR(SUMIFS(ROTACAO_RDM!$B$6:$B$71,ROTACAO_RDM!$D$6:$D$71,$E265,ROTACAO_RDM!$I$6:$I$71,"&lt;="&amp;$C265+INT(DIAS_POR_SEMANA/2),ROTACAO_RDM!$J$6:$J$71,"&gt;="&amp;$C265+INT(DIAS_POR_SEMANA/2)),0)</f>
        <v>0</v>
      </c>
      <c r="J265" s="16" t="n">
        <f aca="false">IFERROR(MATCH($I265,ROTACAO_RDM!$B$6:$B$71,0),0)</f>
        <v>0</v>
      </c>
      <c r="K265" s="8" t="str">
        <f aca="false">IF($J265=0,"SEM CULTURA",INDEX(ROTACAO_RDM!$F$6:$F$71,$J265))</f>
        <v>SEM CULTURA</v>
      </c>
      <c r="L265" s="8" t="str">
        <f aca="false">IF($J265=0,"",INDEX(ROTACAO_RDM!$G$6:$G$71,$J265))</f>
        <v/>
      </c>
      <c r="M265" s="17" t="str">
        <f aca="false">IF($J265=0,"",INDEX(ROTACAO_RDM!$I$6:$I$71,$J265))</f>
        <v/>
      </c>
      <c r="N265" s="16" t="n">
        <f aca="false">IF($J265=0,0,MAX(0,$C265+INT(DIAS_POR_SEMANA/2)-INDEX(ROTACAO_RDM!$I$6:$I$71,$J265)))</f>
        <v>0</v>
      </c>
      <c r="O265" s="19" t="n">
        <f aca="false">IF($J265=0,0,MIN(1,$N265/MAX(1,INDEX(ROTACAO_RDM!$K$6:$K$71,$J265))))</f>
        <v>0</v>
      </c>
      <c r="P265" s="16" t="n">
        <f aca="false">IF($J265=0,0,IFERROR(MATCH(INDEX(ROTACAO_RDM!$N$6:$N$71,$J265),PARAMETROS_CULTURAS!$B$6:$B$28,0),0))</f>
        <v>0</v>
      </c>
      <c r="Q265" s="8" t="str">
        <f aca="false">IF($P265=0,"-",IF($O265&lt;=INDEX(PARAMETROS_CULTURAS!$F$6:$F$28,$P265),"INICIAL",IF($O265&lt;=INDEX(PARAMETROS_CULTURAS!$F$6:$F$28,$P265)+INDEX(PARAMETROS_CULTURAS!$G$6:$G$28,$P265),"DESENVOLVIMENTO",IF($O265&lt;=INDEX(PARAMETROS_CULTURAS!$F$6:$F$28,$P265)+INDEX(PARAMETROS_CULTURAS!$G$6:$G$28,$P265)+INDEX(PARAMETROS_CULTURAS!$H$6:$H$28,$P265),"MEDIA","FINAL"))))</f>
        <v>-</v>
      </c>
      <c r="R265" s="24" t="n">
        <f aca="false">IF($P265=0,0,IF($O265&lt;=INDEX(PARAMETROS_CULTURAS!$F$6:$F$28,$P265),INDEX(PARAMETROS_CULTURAS!$K$6:$K$28,$P265),IF($O265&lt;=INDEX(PARAMETROS_CULTURAS!$F$6:$F$28,$P265)+INDEX(PARAMETROS_CULTURAS!$G$6:$G$28,$P265),INDEX(PARAMETROS_CULTURAS!$K$6:$K$28,$P265)+(INDEX(PARAMETROS_CULTURAS!$L$6:$L$28,$P265)-INDEX(PARAMETROS_CULTURAS!$K$6:$K$28,$P265))*($O265-INDEX(PARAMETROS_CULTURAS!$F$6:$F$28,$P265))/MAX(INDEX(PARAMETROS_CULTURAS!$G$6:$G$28,$P265),0.0001),IF($O265&lt;=INDEX(PARAMETROS_CULTURAS!$F$6:$F$28,$P265)+INDEX(PARAMETROS_CULTURAS!$G$6:$G$28,$P265)+INDEX(PARAMETROS_CULTURAS!$H$6:$H$28,$P265),INDEX(PARAMETROS_CULTURAS!$L$6:$L$28,$P265),INDEX(PARAMETROS_CULTURAS!$L$6:$L$28,$P265)+(INDEX(PARAMETROS_CULTURAS!$M$6:$M$28,$P265)-INDEX(PARAMETROS_CULTURAS!$L$6:$L$28,$P265))*($O265-INDEX(PARAMETROS_CULTURAS!$F$6:$F$28,$P265)-INDEX(PARAMETROS_CULTURAS!$G$6:$G$28,$P265)-INDEX(PARAMETROS_CULTURAS!$H$6:$H$28,$P265))/MAX(INDEX(PARAMETROS_CULTURAS!$I$6:$I$28,$P265),0.0001)))))</f>
        <v>0</v>
      </c>
      <c r="S265" s="18" t="n">
        <f aca="false">IFERROR(INDEX(SEMANAS!$H$6:$H$71,MATCH($B265,SEMANAS!$B$6:$B$71,0)),0)</f>
        <v>34.3</v>
      </c>
      <c r="T265" s="18" t="n">
        <f aca="false">$R265*$S265</f>
        <v>0</v>
      </c>
      <c r="U265" s="18" t="n">
        <f aca="false">IFERROR(INDEX(SEMANAS!$I$6:$I$71,MATCH($B265,SEMANAS!$B$6:$B$71,0)),0)</f>
        <v>46.69</v>
      </c>
      <c r="V265" s="18" t="n">
        <f aca="false">IFERROR(INDEX(SEMANAS!$J$6:$J$71,MATCH($B265,SEMANAS!$B$6:$B$71,0)),0)</f>
        <v>37.352</v>
      </c>
      <c r="W265" s="18" t="n">
        <f aca="false">MAX(0,$T265-$V265)</f>
        <v>0</v>
      </c>
      <c r="X265" s="19" t="n">
        <f aca="false">IFERROR(INDEX(CADASTRO_PIVOS!$K$6:$K$41,MATCH($E265,CADASTRO_PIVOS!$B$6:$B$41,0)),EFICIENCIA_PADRAO)</f>
        <v>0.85</v>
      </c>
      <c r="Y265" s="18" t="n">
        <f aca="false">IF($X265&lt;=0,0,$W265/$X265)</f>
        <v>0</v>
      </c>
      <c r="Z265" s="16" t="n">
        <f aca="false">$Y265*$H265*MM_PARA_M3_HA</f>
        <v>0</v>
      </c>
      <c r="AA265" s="18" t="n">
        <f aca="false">IFERROR(INDEX(CADASTRO_PIVOS!$I$6:$I$41,MATCH($E265,CADASTRO_PIVOS!$B$6:$B$41,0)),0)</f>
        <v>701.428571428571</v>
      </c>
      <c r="AB265" s="18" t="n">
        <f aca="false">IF($Z265&lt;=0,0,$Z265/$AA265)</f>
        <v>0</v>
      </c>
      <c r="AC265" s="16" t="n">
        <f aca="false">IFERROR(INDEX(SEMANAS!$K$6:$K$71,MATCH($B265,SEMANAS!$B$6:$B$71,0)),0)</f>
        <v>147</v>
      </c>
      <c r="AD265" s="19" t="n">
        <f aca="false">IF($AC265&lt;=0,0,$AB265/$AC265)</f>
        <v>0</v>
      </c>
      <c r="AE265" s="8" t="str">
        <f aca="false">IF($K265="SEM CULTURA","SEM CULTURA",IF($AA265&lt;=0,"DADO PENDENTE",IF($AD265&gt;LIMITE_CRITICO,"INVIAVEL",IF($AD265&gt;LIMITE_ATENCAO,"CRITICO",IF($AD265&gt;LIMITE_CONFORTAVEL,"ATENCAO","OK")))))</f>
        <v>SEM CULTURA</v>
      </c>
      <c r="AF265" s="8" t="str">
        <f aca="false">$B265&amp;"|"&amp;TEXT($AD265,"0.000000")</f>
        <v>62|0.000000</v>
      </c>
      <c r="AG265" s="18" t="n">
        <f aca="false">IF($K265="SEM CULTURA",0,$T265*$H265)</f>
        <v>0</v>
      </c>
      <c r="AH265" s="18" t="n">
        <f aca="false">IF($K265="SEM CULTURA",0,$V265*$H265)</f>
        <v>0</v>
      </c>
      <c r="AI265" s="18" t="n">
        <f aca="false">IF($K265="SEM CULTURA",0,$W265*$H265)</f>
        <v>0</v>
      </c>
      <c r="AJ265" s="18" t="n">
        <f aca="false">IF($K265="SEM CULTURA",0,$S265*$H265)</f>
        <v>0</v>
      </c>
      <c r="AK265" s="8" t="str">
        <f aca="false">$E265&amp;"|"&amp;TEXT($AD265,"0.000000")</f>
        <v>PV 105|0.000000</v>
      </c>
    </row>
    <row r="266" customFormat="false" ht="15" hidden="false" customHeight="false" outlineLevel="0" collapsed="false">
      <c r="B266" s="16" t="n">
        <v>63</v>
      </c>
      <c r="C266" s="17" t="n">
        <f aca="false">DATA_INICIO_SAFRA+($B266-1)*DIAS_POR_SEMANA</f>
        <v>46699</v>
      </c>
      <c r="D266" s="17" t="n">
        <f aca="false">$C266+DIAS_POR_SEMANA-1</f>
        <v>46705</v>
      </c>
      <c r="E266" s="15" t="s">
        <v>262</v>
      </c>
      <c r="F266" s="8" t="str">
        <f aca="false">IFERROR(INDEX(CADASTRO_PIVOS!$C$6:$C$41,MATCH($E266,CADASTRO_PIVOS!$B$6:$B$41,0)),"?")</f>
        <v>RM03</v>
      </c>
      <c r="G266" s="8" t="str">
        <f aca="false">IFERROR(INDEX(CADASTRO_PIVOS!$D$6:$D$41,MATCH($E266,CADASTRO_PIVOS!$B$6:$B$41,0)),"?")</f>
        <v>TR03</v>
      </c>
      <c r="H266" s="20" t="n">
        <f aca="false">IFERROR(INDEX(CADASTRO_PIVOS!$E$6:$E$41,MATCH($E266,CADASTRO_PIVOS!$B$6:$B$41,0)),0)</f>
        <v>98.2</v>
      </c>
      <c r="I266" s="16" t="n">
        <f aca="false">IFERROR(SUMIFS(ROTACAO_RDM!$B$6:$B$71,ROTACAO_RDM!$D$6:$D$71,$E266,ROTACAO_RDM!$I$6:$I$71,"&lt;="&amp;$C266+INT(DIAS_POR_SEMANA/2),ROTACAO_RDM!$J$6:$J$71,"&gt;="&amp;$C266+INT(DIAS_POR_SEMANA/2)),0)</f>
        <v>0</v>
      </c>
      <c r="J266" s="16" t="n">
        <f aca="false">IFERROR(MATCH($I266,ROTACAO_RDM!$B$6:$B$71,0),0)</f>
        <v>0</v>
      </c>
      <c r="K266" s="8" t="str">
        <f aca="false">IF($J266=0,"SEM CULTURA",INDEX(ROTACAO_RDM!$F$6:$F$71,$J266))</f>
        <v>SEM CULTURA</v>
      </c>
      <c r="L266" s="8" t="str">
        <f aca="false">IF($J266=0,"",INDEX(ROTACAO_RDM!$G$6:$G$71,$J266))</f>
        <v/>
      </c>
      <c r="M266" s="17" t="str">
        <f aca="false">IF($J266=0,"",INDEX(ROTACAO_RDM!$I$6:$I$71,$J266))</f>
        <v/>
      </c>
      <c r="N266" s="16" t="n">
        <f aca="false">IF($J266=0,0,MAX(0,$C266+INT(DIAS_POR_SEMANA/2)-INDEX(ROTACAO_RDM!$I$6:$I$71,$J266)))</f>
        <v>0</v>
      </c>
      <c r="O266" s="19" t="n">
        <f aca="false">IF($J266=0,0,MIN(1,$N266/MAX(1,INDEX(ROTACAO_RDM!$K$6:$K$71,$J266))))</f>
        <v>0</v>
      </c>
      <c r="P266" s="16" t="n">
        <f aca="false">IF($J266=0,0,IFERROR(MATCH(INDEX(ROTACAO_RDM!$N$6:$N$71,$J266),PARAMETROS_CULTURAS!$B$6:$B$28,0),0))</f>
        <v>0</v>
      </c>
      <c r="Q266" s="8" t="str">
        <f aca="false">IF($P266=0,"-",IF($O266&lt;=INDEX(PARAMETROS_CULTURAS!$F$6:$F$28,$P266),"INICIAL",IF($O266&lt;=INDEX(PARAMETROS_CULTURAS!$F$6:$F$28,$P266)+INDEX(PARAMETROS_CULTURAS!$G$6:$G$28,$P266),"DESENVOLVIMENTO",IF($O266&lt;=INDEX(PARAMETROS_CULTURAS!$F$6:$F$28,$P266)+INDEX(PARAMETROS_CULTURAS!$G$6:$G$28,$P266)+INDEX(PARAMETROS_CULTURAS!$H$6:$H$28,$P266),"MEDIA","FINAL"))))</f>
        <v>-</v>
      </c>
      <c r="R266" s="24" t="n">
        <f aca="false">IF($P266=0,0,IF($O266&lt;=INDEX(PARAMETROS_CULTURAS!$F$6:$F$28,$P266),INDEX(PARAMETROS_CULTURAS!$K$6:$K$28,$P266),IF($O266&lt;=INDEX(PARAMETROS_CULTURAS!$F$6:$F$28,$P266)+INDEX(PARAMETROS_CULTURAS!$G$6:$G$28,$P266),INDEX(PARAMETROS_CULTURAS!$K$6:$K$28,$P266)+(INDEX(PARAMETROS_CULTURAS!$L$6:$L$28,$P266)-INDEX(PARAMETROS_CULTURAS!$K$6:$K$28,$P266))*($O266-INDEX(PARAMETROS_CULTURAS!$F$6:$F$28,$P266))/MAX(INDEX(PARAMETROS_CULTURAS!$G$6:$G$28,$P266),0.0001),IF($O266&lt;=INDEX(PARAMETROS_CULTURAS!$F$6:$F$28,$P266)+INDEX(PARAMETROS_CULTURAS!$G$6:$G$28,$P266)+INDEX(PARAMETROS_CULTURAS!$H$6:$H$28,$P266),INDEX(PARAMETROS_CULTURAS!$L$6:$L$28,$P266),INDEX(PARAMETROS_CULTURAS!$L$6:$L$28,$P266)+(INDEX(PARAMETROS_CULTURAS!$M$6:$M$28,$P266)-INDEX(PARAMETROS_CULTURAS!$L$6:$L$28,$P266))*($O266-INDEX(PARAMETROS_CULTURAS!$F$6:$F$28,$P266)-INDEX(PARAMETROS_CULTURAS!$G$6:$G$28,$P266)-INDEX(PARAMETROS_CULTURAS!$H$6:$H$28,$P266))/MAX(INDEX(PARAMETROS_CULTURAS!$I$6:$I$28,$P266),0.0001)))))</f>
        <v>0</v>
      </c>
      <c r="S266" s="18" t="n">
        <f aca="false">IFERROR(INDEX(SEMANAS!$H$6:$H$71,MATCH($B266,SEMANAS!$B$6:$B$71,0)),0)</f>
        <v>34.3</v>
      </c>
      <c r="T266" s="18" t="n">
        <f aca="false">$R266*$S266</f>
        <v>0</v>
      </c>
      <c r="U266" s="18" t="n">
        <f aca="false">IFERROR(INDEX(SEMANAS!$I$6:$I$71,MATCH($B266,SEMANAS!$B$6:$B$71,0)),0)</f>
        <v>46.69</v>
      </c>
      <c r="V266" s="18" t="n">
        <f aca="false">IFERROR(INDEX(SEMANAS!$J$6:$J$71,MATCH($B266,SEMANAS!$B$6:$B$71,0)),0)</f>
        <v>37.352</v>
      </c>
      <c r="W266" s="18" t="n">
        <f aca="false">MAX(0,$T266-$V266)</f>
        <v>0</v>
      </c>
      <c r="X266" s="19" t="n">
        <f aca="false">IFERROR(INDEX(CADASTRO_PIVOS!$K$6:$K$41,MATCH($E266,CADASTRO_PIVOS!$B$6:$B$41,0)),EFICIENCIA_PADRAO)</f>
        <v>0.85</v>
      </c>
      <c r="Y266" s="18" t="n">
        <f aca="false">IF($X266&lt;=0,0,$W266/$X266)</f>
        <v>0</v>
      </c>
      <c r="Z266" s="16" t="n">
        <f aca="false">$Y266*$H266*MM_PARA_M3_HA</f>
        <v>0</v>
      </c>
      <c r="AA266" s="18" t="n">
        <f aca="false">IFERROR(INDEX(CADASTRO_PIVOS!$I$6:$I$41,MATCH($E266,CADASTRO_PIVOS!$B$6:$B$41,0)),0)</f>
        <v>701.428571428571</v>
      </c>
      <c r="AB266" s="18" t="n">
        <f aca="false">IF($Z266&lt;=0,0,$Z266/$AA266)</f>
        <v>0</v>
      </c>
      <c r="AC266" s="16" t="n">
        <f aca="false">IFERROR(INDEX(SEMANAS!$K$6:$K$71,MATCH($B266,SEMANAS!$B$6:$B$71,0)),0)</f>
        <v>147</v>
      </c>
      <c r="AD266" s="19" t="n">
        <f aca="false">IF($AC266&lt;=0,0,$AB266/$AC266)</f>
        <v>0</v>
      </c>
      <c r="AE266" s="8" t="str">
        <f aca="false">IF($K266="SEM CULTURA","SEM CULTURA",IF($AA266&lt;=0,"DADO PENDENTE",IF($AD266&gt;LIMITE_CRITICO,"INVIAVEL",IF($AD266&gt;LIMITE_ATENCAO,"CRITICO",IF($AD266&gt;LIMITE_CONFORTAVEL,"ATENCAO","OK")))))</f>
        <v>SEM CULTURA</v>
      </c>
      <c r="AF266" s="8" t="str">
        <f aca="false">$B266&amp;"|"&amp;TEXT($AD266,"0.000000")</f>
        <v>63|0.000000</v>
      </c>
      <c r="AG266" s="18" t="n">
        <f aca="false">IF($K266="SEM CULTURA",0,$T266*$H266)</f>
        <v>0</v>
      </c>
      <c r="AH266" s="18" t="n">
        <f aca="false">IF($K266="SEM CULTURA",0,$V266*$H266)</f>
        <v>0</v>
      </c>
      <c r="AI266" s="18" t="n">
        <f aca="false">IF($K266="SEM CULTURA",0,$W266*$H266)</f>
        <v>0</v>
      </c>
      <c r="AJ266" s="18" t="n">
        <f aca="false">IF($K266="SEM CULTURA",0,$S266*$H266)</f>
        <v>0</v>
      </c>
      <c r="AK266" s="8" t="str">
        <f aca="false">$E266&amp;"|"&amp;TEXT($AD266,"0.000000")</f>
        <v>PV 105|0.000000</v>
      </c>
    </row>
    <row r="267" customFormat="false" ht="15" hidden="false" customHeight="false" outlineLevel="0" collapsed="false">
      <c r="B267" s="16" t="n">
        <v>64</v>
      </c>
      <c r="C267" s="17" t="n">
        <f aca="false">DATA_INICIO_SAFRA+($B267-1)*DIAS_POR_SEMANA</f>
        <v>46706</v>
      </c>
      <c r="D267" s="17" t="n">
        <f aca="false">$C267+DIAS_POR_SEMANA-1</f>
        <v>46712</v>
      </c>
      <c r="E267" s="15" t="s">
        <v>262</v>
      </c>
      <c r="F267" s="8" t="str">
        <f aca="false">IFERROR(INDEX(CADASTRO_PIVOS!$C$6:$C$41,MATCH($E267,CADASTRO_PIVOS!$B$6:$B$41,0)),"?")</f>
        <v>RM03</v>
      </c>
      <c r="G267" s="8" t="str">
        <f aca="false">IFERROR(INDEX(CADASTRO_PIVOS!$D$6:$D$41,MATCH($E267,CADASTRO_PIVOS!$B$6:$B$41,0)),"?")</f>
        <v>TR03</v>
      </c>
      <c r="H267" s="20" t="n">
        <f aca="false">IFERROR(INDEX(CADASTRO_PIVOS!$E$6:$E$41,MATCH($E267,CADASTRO_PIVOS!$B$6:$B$41,0)),0)</f>
        <v>98.2</v>
      </c>
      <c r="I267" s="16" t="n">
        <f aca="false">IFERROR(SUMIFS(ROTACAO_RDM!$B$6:$B$71,ROTACAO_RDM!$D$6:$D$71,$E267,ROTACAO_RDM!$I$6:$I$71,"&lt;="&amp;$C267+INT(DIAS_POR_SEMANA/2),ROTACAO_RDM!$J$6:$J$71,"&gt;="&amp;$C267+INT(DIAS_POR_SEMANA/2)),0)</f>
        <v>0</v>
      </c>
      <c r="J267" s="16" t="n">
        <f aca="false">IFERROR(MATCH($I267,ROTACAO_RDM!$B$6:$B$71,0),0)</f>
        <v>0</v>
      </c>
      <c r="K267" s="8" t="str">
        <f aca="false">IF($J267=0,"SEM CULTURA",INDEX(ROTACAO_RDM!$F$6:$F$71,$J267))</f>
        <v>SEM CULTURA</v>
      </c>
      <c r="L267" s="8" t="str">
        <f aca="false">IF($J267=0,"",INDEX(ROTACAO_RDM!$G$6:$G$71,$J267))</f>
        <v/>
      </c>
      <c r="M267" s="17" t="str">
        <f aca="false">IF($J267=0,"",INDEX(ROTACAO_RDM!$I$6:$I$71,$J267))</f>
        <v/>
      </c>
      <c r="N267" s="16" t="n">
        <f aca="false">IF($J267=0,0,MAX(0,$C267+INT(DIAS_POR_SEMANA/2)-INDEX(ROTACAO_RDM!$I$6:$I$71,$J267)))</f>
        <v>0</v>
      </c>
      <c r="O267" s="19" t="n">
        <f aca="false">IF($J267=0,0,MIN(1,$N267/MAX(1,INDEX(ROTACAO_RDM!$K$6:$K$71,$J267))))</f>
        <v>0</v>
      </c>
      <c r="P267" s="16" t="n">
        <f aca="false">IF($J267=0,0,IFERROR(MATCH(INDEX(ROTACAO_RDM!$N$6:$N$71,$J267),PARAMETROS_CULTURAS!$B$6:$B$28,0),0))</f>
        <v>0</v>
      </c>
      <c r="Q267" s="8" t="str">
        <f aca="false">IF($P267=0,"-",IF($O267&lt;=INDEX(PARAMETROS_CULTURAS!$F$6:$F$28,$P267),"INICIAL",IF($O267&lt;=INDEX(PARAMETROS_CULTURAS!$F$6:$F$28,$P267)+INDEX(PARAMETROS_CULTURAS!$G$6:$G$28,$P267),"DESENVOLVIMENTO",IF($O267&lt;=INDEX(PARAMETROS_CULTURAS!$F$6:$F$28,$P267)+INDEX(PARAMETROS_CULTURAS!$G$6:$G$28,$P267)+INDEX(PARAMETROS_CULTURAS!$H$6:$H$28,$P267),"MEDIA","FINAL"))))</f>
        <v>-</v>
      </c>
      <c r="R267" s="24" t="n">
        <f aca="false">IF($P267=0,0,IF($O267&lt;=INDEX(PARAMETROS_CULTURAS!$F$6:$F$28,$P267),INDEX(PARAMETROS_CULTURAS!$K$6:$K$28,$P267),IF($O267&lt;=INDEX(PARAMETROS_CULTURAS!$F$6:$F$28,$P267)+INDEX(PARAMETROS_CULTURAS!$G$6:$G$28,$P267),INDEX(PARAMETROS_CULTURAS!$K$6:$K$28,$P267)+(INDEX(PARAMETROS_CULTURAS!$L$6:$L$28,$P267)-INDEX(PARAMETROS_CULTURAS!$K$6:$K$28,$P267))*($O267-INDEX(PARAMETROS_CULTURAS!$F$6:$F$28,$P267))/MAX(INDEX(PARAMETROS_CULTURAS!$G$6:$G$28,$P267),0.0001),IF($O267&lt;=INDEX(PARAMETROS_CULTURAS!$F$6:$F$28,$P267)+INDEX(PARAMETROS_CULTURAS!$G$6:$G$28,$P267)+INDEX(PARAMETROS_CULTURAS!$H$6:$H$28,$P267),INDEX(PARAMETROS_CULTURAS!$L$6:$L$28,$P267),INDEX(PARAMETROS_CULTURAS!$L$6:$L$28,$P267)+(INDEX(PARAMETROS_CULTURAS!$M$6:$M$28,$P267)-INDEX(PARAMETROS_CULTURAS!$L$6:$L$28,$P267))*($O267-INDEX(PARAMETROS_CULTURAS!$F$6:$F$28,$P267)-INDEX(PARAMETROS_CULTURAS!$G$6:$G$28,$P267)-INDEX(PARAMETROS_CULTURAS!$H$6:$H$28,$P267))/MAX(INDEX(PARAMETROS_CULTURAS!$I$6:$I$28,$P267),0.0001)))))</f>
        <v>0</v>
      </c>
      <c r="S267" s="18" t="n">
        <f aca="false">IFERROR(INDEX(SEMANAS!$H$6:$H$71,MATCH($B267,SEMANAS!$B$6:$B$71,0)),0)</f>
        <v>34.3</v>
      </c>
      <c r="T267" s="18" t="n">
        <f aca="false">$R267*$S267</f>
        <v>0</v>
      </c>
      <c r="U267" s="18" t="n">
        <f aca="false">IFERROR(INDEX(SEMANAS!$I$6:$I$71,MATCH($B267,SEMANAS!$B$6:$B$71,0)),0)</f>
        <v>46.69</v>
      </c>
      <c r="V267" s="18" t="n">
        <f aca="false">IFERROR(INDEX(SEMANAS!$J$6:$J$71,MATCH($B267,SEMANAS!$B$6:$B$71,0)),0)</f>
        <v>37.352</v>
      </c>
      <c r="W267" s="18" t="n">
        <f aca="false">MAX(0,$T267-$V267)</f>
        <v>0</v>
      </c>
      <c r="X267" s="19" t="n">
        <f aca="false">IFERROR(INDEX(CADASTRO_PIVOS!$K$6:$K$41,MATCH($E267,CADASTRO_PIVOS!$B$6:$B$41,0)),EFICIENCIA_PADRAO)</f>
        <v>0.85</v>
      </c>
      <c r="Y267" s="18" t="n">
        <f aca="false">IF($X267&lt;=0,0,$W267/$X267)</f>
        <v>0</v>
      </c>
      <c r="Z267" s="16" t="n">
        <f aca="false">$Y267*$H267*MM_PARA_M3_HA</f>
        <v>0</v>
      </c>
      <c r="AA267" s="18" t="n">
        <f aca="false">IFERROR(INDEX(CADASTRO_PIVOS!$I$6:$I$41,MATCH($E267,CADASTRO_PIVOS!$B$6:$B$41,0)),0)</f>
        <v>701.428571428571</v>
      </c>
      <c r="AB267" s="18" t="n">
        <f aca="false">IF($Z267&lt;=0,0,$Z267/$AA267)</f>
        <v>0</v>
      </c>
      <c r="AC267" s="16" t="n">
        <f aca="false">IFERROR(INDEX(SEMANAS!$K$6:$K$71,MATCH($B267,SEMANAS!$B$6:$B$71,0)),0)</f>
        <v>147</v>
      </c>
      <c r="AD267" s="19" t="n">
        <f aca="false">IF($AC267&lt;=0,0,$AB267/$AC267)</f>
        <v>0</v>
      </c>
      <c r="AE267" s="8" t="str">
        <f aca="false">IF($K267="SEM CULTURA","SEM CULTURA",IF($AA267&lt;=0,"DADO PENDENTE",IF($AD267&gt;LIMITE_CRITICO,"INVIAVEL",IF($AD267&gt;LIMITE_ATENCAO,"CRITICO",IF($AD267&gt;LIMITE_CONFORTAVEL,"ATENCAO","OK")))))</f>
        <v>SEM CULTURA</v>
      </c>
      <c r="AF267" s="8" t="str">
        <f aca="false">$B267&amp;"|"&amp;TEXT($AD267,"0.000000")</f>
        <v>64|0.000000</v>
      </c>
      <c r="AG267" s="18" t="n">
        <f aca="false">IF($K267="SEM CULTURA",0,$T267*$H267)</f>
        <v>0</v>
      </c>
      <c r="AH267" s="18" t="n">
        <f aca="false">IF($K267="SEM CULTURA",0,$V267*$H267)</f>
        <v>0</v>
      </c>
      <c r="AI267" s="18" t="n">
        <f aca="false">IF($K267="SEM CULTURA",0,$W267*$H267)</f>
        <v>0</v>
      </c>
      <c r="AJ267" s="18" t="n">
        <f aca="false">IF($K267="SEM CULTURA",0,$S267*$H267)</f>
        <v>0</v>
      </c>
      <c r="AK267" s="8" t="str">
        <f aca="false">$E267&amp;"|"&amp;TEXT($AD267,"0.000000")</f>
        <v>PV 105|0.000000</v>
      </c>
    </row>
    <row r="268" customFormat="false" ht="15" hidden="false" customHeight="false" outlineLevel="0" collapsed="false">
      <c r="B268" s="16" t="n">
        <v>65</v>
      </c>
      <c r="C268" s="17" t="n">
        <f aca="false">DATA_INICIO_SAFRA+($B268-1)*DIAS_POR_SEMANA</f>
        <v>46713</v>
      </c>
      <c r="D268" s="17" t="n">
        <f aca="false">$C268+DIAS_POR_SEMANA-1</f>
        <v>46719</v>
      </c>
      <c r="E268" s="15" t="s">
        <v>262</v>
      </c>
      <c r="F268" s="8" t="str">
        <f aca="false">IFERROR(INDEX(CADASTRO_PIVOS!$C$6:$C$41,MATCH($E268,CADASTRO_PIVOS!$B$6:$B$41,0)),"?")</f>
        <v>RM03</v>
      </c>
      <c r="G268" s="8" t="str">
        <f aca="false">IFERROR(INDEX(CADASTRO_PIVOS!$D$6:$D$41,MATCH($E268,CADASTRO_PIVOS!$B$6:$B$41,0)),"?")</f>
        <v>TR03</v>
      </c>
      <c r="H268" s="20" t="n">
        <f aca="false">IFERROR(INDEX(CADASTRO_PIVOS!$E$6:$E$41,MATCH($E268,CADASTRO_PIVOS!$B$6:$B$41,0)),0)</f>
        <v>98.2</v>
      </c>
      <c r="I268" s="16" t="n">
        <f aca="false">IFERROR(SUMIFS(ROTACAO_RDM!$B$6:$B$71,ROTACAO_RDM!$D$6:$D$71,$E268,ROTACAO_RDM!$I$6:$I$71,"&lt;="&amp;$C268+INT(DIAS_POR_SEMANA/2),ROTACAO_RDM!$J$6:$J$71,"&gt;="&amp;$C268+INT(DIAS_POR_SEMANA/2)),0)</f>
        <v>0</v>
      </c>
      <c r="J268" s="16" t="n">
        <f aca="false">IFERROR(MATCH($I268,ROTACAO_RDM!$B$6:$B$71,0),0)</f>
        <v>0</v>
      </c>
      <c r="K268" s="8" t="str">
        <f aca="false">IF($J268=0,"SEM CULTURA",INDEX(ROTACAO_RDM!$F$6:$F$71,$J268))</f>
        <v>SEM CULTURA</v>
      </c>
      <c r="L268" s="8" t="str">
        <f aca="false">IF($J268=0,"",INDEX(ROTACAO_RDM!$G$6:$G$71,$J268))</f>
        <v/>
      </c>
      <c r="M268" s="17" t="str">
        <f aca="false">IF($J268=0,"",INDEX(ROTACAO_RDM!$I$6:$I$71,$J268))</f>
        <v/>
      </c>
      <c r="N268" s="16" t="n">
        <f aca="false">IF($J268=0,0,MAX(0,$C268+INT(DIAS_POR_SEMANA/2)-INDEX(ROTACAO_RDM!$I$6:$I$71,$J268)))</f>
        <v>0</v>
      </c>
      <c r="O268" s="19" t="n">
        <f aca="false">IF($J268=0,0,MIN(1,$N268/MAX(1,INDEX(ROTACAO_RDM!$K$6:$K$71,$J268))))</f>
        <v>0</v>
      </c>
      <c r="P268" s="16" t="n">
        <f aca="false">IF($J268=0,0,IFERROR(MATCH(INDEX(ROTACAO_RDM!$N$6:$N$71,$J268),PARAMETROS_CULTURAS!$B$6:$B$28,0),0))</f>
        <v>0</v>
      </c>
      <c r="Q268" s="8" t="str">
        <f aca="false">IF($P268=0,"-",IF($O268&lt;=INDEX(PARAMETROS_CULTURAS!$F$6:$F$28,$P268),"INICIAL",IF($O268&lt;=INDEX(PARAMETROS_CULTURAS!$F$6:$F$28,$P268)+INDEX(PARAMETROS_CULTURAS!$G$6:$G$28,$P268),"DESENVOLVIMENTO",IF($O268&lt;=INDEX(PARAMETROS_CULTURAS!$F$6:$F$28,$P268)+INDEX(PARAMETROS_CULTURAS!$G$6:$G$28,$P268)+INDEX(PARAMETROS_CULTURAS!$H$6:$H$28,$P268),"MEDIA","FINAL"))))</f>
        <v>-</v>
      </c>
      <c r="R268" s="24" t="n">
        <f aca="false">IF($P268=0,0,IF($O268&lt;=INDEX(PARAMETROS_CULTURAS!$F$6:$F$28,$P268),INDEX(PARAMETROS_CULTURAS!$K$6:$K$28,$P268),IF($O268&lt;=INDEX(PARAMETROS_CULTURAS!$F$6:$F$28,$P268)+INDEX(PARAMETROS_CULTURAS!$G$6:$G$28,$P268),INDEX(PARAMETROS_CULTURAS!$K$6:$K$28,$P268)+(INDEX(PARAMETROS_CULTURAS!$L$6:$L$28,$P268)-INDEX(PARAMETROS_CULTURAS!$K$6:$K$28,$P268))*($O268-INDEX(PARAMETROS_CULTURAS!$F$6:$F$28,$P268))/MAX(INDEX(PARAMETROS_CULTURAS!$G$6:$G$28,$P268),0.0001),IF($O268&lt;=INDEX(PARAMETROS_CULTURAS!$F$6:$F$28,$P268)+INDEX(PARAMETROS_CULTURAS!$G$6:$G$28,$P268)+INDEX(PARAMETROS_CULTURAS!$H$6:$H$28,$P268),INDEX(PARAMETROS_CULTURAS!$L$6:$L$28,$P268),INDEX(PARAMETROS_CULTURAS!$L$6:$L$28,$P268)+(INDEX(PARAMETROS_CULTURAS!$M$6:$M$28,$P268)-INDEX(PARAMETROS_CULTURAS!$L$6:$L$28,$P268))*($O268-INDEX(PARAMETROS_CULTURAS!$F$6:$F$28,$P268)-INDEX(PARAMETROS_CULTURAS!$G$6:$G$28,$P268)-INDEX(PARAMETROS_CULTURAS!$H$6:$H$28,$P268))/MAX(INDEX(PARAMETROS_CULTURAS!$I$6:$I$28,$P268),0.0001)))))</f>
        <v>0</v>
      </c>
      <c r="S268" s="18" t="n">
        <f aca="false">IFERROR(INDEX(SEMANAS!$H$6:$H$71,MATCH($B268,SEMANAS!$B$6:$B$71,0)),0)</f>
        <v>34.3</v>
      </c>
      <c r="T268" s="18" t="n">
        <f aca="false">$R268*$S268</f>
        <v>0</v>
      </c>
      <c r="U268" s="18" t="n">
        <f aca="false">IFERROR(INDEX(SEMANAS!$I$6:$I$71,MATCH($B268,SEMANAS!$B$6:$B$71,0)),0)</f>
        <v>46.69</v>
      </c>
      <c r="V268" s="18" t="n">
        <f aca="false">IFERROR(INDEX(SEMANAS!$J$6:$J$71,MATCH($B268,SEMANAS!$B$6:$B$71,0)),0)</f>
        <v>37.352</v>
      </c>
      <c r="W268" s="18" t="n">
        <f aca="false">MAX(0,$T268-$V268)</f>
        <v>0</v>
      </c>
      <c r="X268" s="19" t="n">
        <f aca="false">IFERROR(INDEX(CADASTRO_PIVOS!$K$6:$K$41,MATCH($E268,CADASTRO_PIVOS!$B$6:$B$41,0)),EFICIENCIA_PADRAO)</f>
        <v>0.85</v>
      </c>
      <c r="Y268" s="18" t="n">
        <f aca="false">IF($X268&lt;=0,0,$W268/$X268)</f>
        <v>0</v>
      </c>
      <c r="Z268" s="16" t="n">
        <f aca="false">$Y268*$H268*MM_PARA_M3_HA</f>
        <v>0</v>
      </c>
      <c r="AA268" s="18" t="n">
        <f aca="false">IFERROR(INDEX(CADASTRO_PIVOS!$I$6:$I$41,MATCH($E268,CADASTRO_PIVOS!$B$6:$B$41,0)),0)</f>
        <v>701.428571428571</v>
      </c>
      <c r="AB268" s="18" t="n">
        <f aca="false">IF($Z268&lt;=0,0,$Z268/$AA268)</f>
        <v>0</v>
      </c>
      <c r="AC268" s="16" t="n">
        <f aca="false">IFERROR(INDEX(SEMANAS!$K$6:$K$71,MATCH($B268,SEMANAS!$B$6:$B$71,0)),0)</f>
        <v>147</v>
      </c>
      <c r="AD268" s="19" t="n">
        <f aca="false">IF($AC268&lt;=0,0,$AB268/$AC268)</f>
        <v>0</v>
      </c>
      <c r="AE268" s="8" t="str">
        <f aca="false">IF($K268="SEM CULTURA","SEM CULTURA",IF($AA268&lt;=0,"DADO PENDENTE",IF($AD268&gt;LIMITE_CRITICO,"INVIAVEL",IF($AD268&gt;LIMITE_ATENCAO,"CRITICO",IF($AD268&gt;LIMITE_CONFORTAVEL,"ATENCAO","OK")))))</f>
        <v>SEM CULTURA</v>
      </c>
      <c r="AF268" s="8" t="str">
        <f aca="false">$B268&amp;"|"&amp;TEXT($AD268,"0.000000")</f>
        <v>65|0.000000</v>
      </c>
      <c r="AG268" s="18" t="n">
        <f aca="false">IF($K268="SEM CULTURA",0,$T268*$H268)</f>
        <v>0</v>
      </c>
      <c r="AH268" s="18" t="n">
        <f aca="false">IF($K268="SEM CULTURA",0,$V268*$H268)</f>
        <v>0</v>
      </c>
      <c r="AI268" s="18" t="n">
        <f aca="false">IF($K268="SEM CULTURA",0,$W268*$H268)</f>
        <v>0</v>
      </c>
      <c r="AJ268" s="18" t="n">
        <f aca="false">IF($K268="SEM CULTURA",0,$S268*$H268)</f>
        <v>0</v>
      </c>
      <c r="AK268" s="8" t="str">
        <f aca="false">$E268&amp;"|"&amp;TEXT($AD268,"0.000000")</f>
        <v>PV 105|0.000000</v>
      </c>
    </row>
    <row r="269" customFormat="false" ht="15" hidden="false" customHeight="false" outlineLevel="0" collapsed="false">
      <c r="B269" s="16" t="n">
        <v>66</v>
      </c>
      <c r="C269" s="17" t="n">
        <f aca="false">DATA_INICIO_SAFRA+($B269-1)*DIAS_POR_SEMANA</f>
        <v>46720</v>
      </c>
      <c r="D269" s="17" t="n">
        <f aca="false">$C269+DIAS_POR_SEMANA-1</f>
        <v>46726</v>
      </c>
      <c r="E269" s="15" t="s">
        <v>262</v>
      </c>
      <c r="F269" s="8" t="str">
        <f aca="false">IFERROR(INDEX(CADASTRO_PIVOS!$C$6:$C$41,MATCH($E269,CADASTRO_PIVOS!$B$6:$B$41,0)),"?")</f>
        <v>RM03</v>
      </c>
      <c r="G269" s="8" t="str">
        <f aca="false">IFERROR(INDEX(CADASTRO_PIVOS!$D$6:$D$41,MATCH($E269,CADASTRO_PIVOS!$B$6:$B$41,0)),"?")</f>
        <v>TR03</v>
      </c>
      <c r="H269" s="20" t="n">
        <f aca="false">IFERROR(INDEX(CADASTRO_PIVOS!$E$6:$E$41,MATCH($E269,CADASTRO_PIVOS!$B$6:$B$41,0)),0)</f>
        <v>98.2</v>
      </c>
      <c r="I269" s="16" t="n">
        <f aca="false">IFERROR(SUMIFS(ROTACAO_RDM!$B$6:$B$71,ROTACAO_RDM!$D$6:$D$71,$E269,ROTACAO_RDM!$I$6:$I$71,"&lt;="&amp;$C269+INT(DIAS_POR_SEMANA/2),ROTACAO_RDM!$J$6:$J$71,"&gt;="&amp;$C269+INT(DIAS_POR_SEMANA/2)),0)</f>
        <v>0</v>
      </c>
      <c r="J269" s="16" t="n">
        <f aca="false">IFERROR(MATCH($I269,ROTACAO_RDM!$B$6:$B$71,0),0)</f>
        <v>0</v>
      </c>
      <c r="K269" s="8" t="str">
        <f aca="false">IF($J269=0,"SEM CULTURA",INDEX(ROTACAO_RDM!$F$6:$F$71,$J269))</f>
        <v>SEM CULTURA</v>
      </c>
      <c r="L269" s="8" t="str">
        <f aca="false">IF($J269=0,"",INDEX(ROTACAO_RDM!$G$6:$G$71,$J269))</f>
        <v/>
      </c>
      <c r="M269" s="17" t="str">
        <f aca="false">IF($J269=0,"",INDEX(ROTACAO_RDM!$I$6:$I$71,$J269))</f>
        <v/>
      </c>
      <c r="N269" s="16" t="n">
        <f aca="false">IF($J269=0,0,MAX(0,$C269+INT(DIAS_POR_SEMANA/2)-INDEX(ROTACAO_RDM!$I$6:$I$71,$J269)))</f>
        <v>0</v>
      </c>
      <c r="O269" s="19" t="n">
        <f aca="false">IF($J269=0,0,MIN(1,$N269/MAX(1,INDEX(ROTACAO_RDM!$K$6:$K$71,$J269))))</f>
        <v>0</v>
      </c>
      <c r="P269" s="16" t="n">
        <f aca="false">IF($J269=0,0,IFERROR(MATCH(INDEX(ROTACAO_RDM!$N$6:$N$71,$J269),PARAMETROS_CULTURAS!$B$6:$B$28,0),0))</f>
        <v>0</v>
      </c>
      <c r="Q269" s="8" t="str">
        <f aca="false">IF($P269=0,"-",IF($O269&lt;=INDEX(PARAMETROS_CULTURAS!$F$6:$F$28,$P269),"INICIAL",IF($O269&lt;=INDEX(PARAMETROS_CULTURAS!$F$6:$F$28,$P269)+INDEX(PARAMETROS_CULTURAS!$G$6:$G$28,$P269),"DESENVOLVIMENTO",IF($O269&lt;=INDEX(PARAMETROS_CULTURAS!$F$6:$F$28,$P269)+INDEX(PARAMETROS_CULTURAS!$G$6:$G$28,$P269)+INDEX(PARAMETROS_CULTURAS!$H$6:$H$28,$P269),"MEDIA","FINAL"))))</f>
        <v>-</v>
      </c>
      <c r="R269" s="24" t="n">
        <f aca="false">IF($P269=0,0,IF($O269&lt;=INDEX(PARAMETROS_CULTURAS!$F$6:$F$28,$P269),INDEX(PARAMETROS_CULTURAS!$K$6:$K$28,$P269),IF($O269&lt;=INDEX(PARAMETROS_CULTURAS!$F$6:$F$28,$P269)+INDEX(PARAMETROS_CULTURAS!$G$6:$G$28,$P269),INDEX(PARAMETROS_CULTURAS!$K$6:$K$28,$P269)+(INDEX(PARAMETROS_CULTURAS!$L$6:$L$28,$P269)-INDEX(PARAMETROS_CULTURAS!$K$6:$K$28,$P269))*($O269-INDEX(PARAMETROS_CULTURAS!$F$6:$F$28,$P269))/MAX(INDEX(PARAMETROS_CULTURAS!$G$6:$G$28,$P269),0.0001),IF($O269&lt;=INDEX(PARAMETROS_CULTURAS!$F$6:$F$28,$P269)+INDEX(PARAMETROS_CULTURAS!$G$6:$G$28,$P269)+INDEX(PARAMETROS_CULTURAS!$H$6:$H$28,$P269),INDEX(PARAMETROS_CULTURAS!$L$6:$L$28,$P269),INDEX(PARAMETROS_CULTURAS!$L$6:$L$28,$P269)+(INDEX(PARAMETROS_CULTURAS!$M$6:$M$28,$P269)-INDEX(PARAMETROS_CULTURAS!$L$6:$L$28,$P269))*($O269-INDEX(PARAMETROS_CULTURAS!$F$6:$F$28,$P269)-INDEX(PARAMETROS_CULTURAS!$G$6:$G$28,$P269)-INDEX(PARAMETROS_CULTURAS!$H$6:$H$28,$P269))/MAX(INDEX(PARAMETROS_CULTURAS!$I$6:$I$28,$P269),0.0001)))))</f>
        <v>0</v>
      </c>
      <c r="S269" s="18" t="n">
        <f aca="false">IFERROR(INDEX(SEMANAS!$H$6:$H$71,MATCH($B269,SEMANAS!$B$6:$B$71,0)),0)</f>
        <v>33.3</v>
      </c>
      <c r="T269" s="18" t="n">
        <f aca="false">$R269*$S269</f>
        <v>0</v>
      </c>
      <c r="U269" s="18" t="n">
        <f aca="false">IFERROR(INDEX(SEMANAS!$I$6:$I$71,MATCH($B269,SEMANAS!$B$6:$B$71,0)),0)</f>
        <v>48.04</v>
      </c>
      <c r="V269" s="18" t="n">
        <f aca="false">IFERROR(INDEX(SEMANAS!$J$6:$J$71,MATCH($B269,SEMANAS!$B$6:$B$71,0)),0)</f>
        <v>38.432</v>
      </c>
      <c r="W269" s="18" t="n">
        <f aca="false">MAX(0,$T269-$V269)</f>
        <v>0</v>
      </c>
      <c r="X269" s="19" t="n">
        <f aca="false">IFERROR(INDEX(CADASTRO_PIVOS!$K$6:$K$41,MATCH($E269,CADASTRO_PIVOS!$B$6:$B$41,0)),EFICIENCIA_PADRAO)</f>
        <v>0.85</v>
      </c>
      <c r="Y269" s="18" t="n">
        <f aca="false">IF($X269&lt;=0,0,$W269/$X269)</f>
        <v>0</v>
      </c>
      <c r="Z269" s="16" t="n">
        <f aca="false">$Y269*$H269*MM_PARA_M3_HA</f>
        <v>0</v>
      </c>
      <c r="AA269" s="18" t="n">
        <f aca="false">IFERROR(INDEX(CADASTRO_PIVOS!$I$6:$I$41,MATCH($E269,CADASTRO_PIVOS!$B$6:$B$41,0)),0)</f>
        <v>701.428571428571</v>
      </c>
      <c r="AB269" s="18" t="n">
        <f aca="false">IF($Z269&lt;=0,0,$Z269/$AA269)</f>
        <v>0</v>
      </c>
      <c r="AC269" s="16" t="n">
        <f aca="false">IFERROR(INDEX(SEMANAS!$K$6:$K$71,MATCH($B269,SEMANAS!$B$6:$B$71,0)),0)</f>
        <v>147</v>
      </c>
      <c r="AD269" s="19" t="n">
        <f aca="false">IF($AC269&lt;=0,0,$AB269/$AC269)</f>
        <v>0</v>
      </c>
      <c r="AE269" s="8" t="str">
        <f aca="false">IF($K269="SEM CULTURA","SEM CULTURA",IF($AA269&lt;=0,"DADO PENDENTE",IF($AD269&gt;LIMITE_CRITICO,"INVIAVEL",IF($AD269&gt;LIMITE_ATENCAO,"CRITICO",IF($AD269&gt;LIMITE_CONFORTAVEL,"ATENCAO","OK")))))</f>
        <v>SEM CULTURA</v>
      </c>
      <c r="AF269" s="8" t="str">
        <f aca="false">$B269&amp;"|"&amp;TEXT($AD269,"0.000000")</f>
        <v>66|0.000000</v>
      </c>
      <c r="AG269" s="18" t="n">
        <f aca="false">IF($K269="SEM CULTURA",0,$T269*$H269)</f>
        <v>0</v>
      </c>
      <c r="AH269" s="18" t="n">
        <f aca="false">IF($K269="SEM CULTURA",0,$V269*$H269)</f>
        <v>0</v>
      </c>
      <c r="AI269" s="18" t="n">
        <f aca="false">IF($K269="SEM CULTURA",0,$W269*$H269)</f>
        <v>0</v>
      </c>
      <c r="AJ269" s="18" t="n">
        <f aca="false">IF($K269="SEM CULTURA",0,$S269*$H269)</f>
        <v>0</v>
      </c>
      <c r="AK269" s="8" t="str">
        <f aca="false">$E269&amp;"|"&amp;TEXT($AD269,"0.000000")</f>
        <v>PV 105|0.000000</v>
      </c>
    </row>
    <row r="270" customFormat="false" ht="15" hidden="false" customHeight="false" outlineLevel="0" collapsed="false">
      <c r="B270" s="16" t="n">
        <v>1</v>
      </c>
      <c r="C270" s="17" t="n">
        <f aca="false">DATA_INICIO_SAFRA+($B270-1)*DIAS_POR_SEMANA</f>
        <v>46265</v>
      </c>
      <c r="D270" s="17" t="n">
        <f aca="false">$C270+DIAS_POR_SEMANA-1</f>
        <v>46271</v>
      </c>
      <c r="E270" s="15" t="s">
        <v>263</v>
      </c>
      <c r="F270" s="8" t="str">
        <f aca="false">IFERROR(INDEX(CADASTRO_PIVOS!$C$6:$C$41,MATCH($E270,CADASTRO_PIVOS!$B$6:$B$41,0)),"?")</f>
        <v>RM03</v>
      </c>
      <c r="G270" s="8" t="str">
        <f aca="false">IFERROR(INDEX(CADASTRO_PIVOS!$D$6:$D$41,MATCH($E270,CADASTRO_PIVOS!$B$6:$B$41,0)),"?")</f>
        <v>TR03</v>
      </c>
      <c r="H270" s="20" t="n">
        <f aca="false">IFERROR(INDEX(CADASTRO_PIVOS!$E$6:$E$41,MATCH($E270,CADASTRO_PIVOS!$B$6:$B$41,0)),0)</f>
        <v>99.58</v>
      </c>
      <c r="I270" s="16" t="n">
        <f aca="false">IFERROR(SUMIFS(ROTACAO_RDM!$B$6:$B$71,ROTACAO_RDM!$D$6:$D$71,$E270,ROTACAO_RDM!$I$6:$I$71,"&lt;="&amp;$C270+INT(DIAS_POR_SEMANA/2),ROTACAO_RDM!$J$6:$J$71,"&gt;="&amp;$C270+INT(DIAS_POR_SEMANA/2)),0)</f>
        <v>0</v>
      </c>
      <c r="J270" s="16" t="n">
        <f aca="false">IFERROR(MATCH($I270,ROTACAO_RDM!$B$6:$B$71,0),0)</f>
        <v>0</v>
      </c>
      <c r="K270" s="8" t="str">
        <f aca="false">IF($J270=0,"SEM CULTURA",INDEX(ROTACAO_RDM!$F$6:$F$71,$J270))</f>
        <v>SEM CULTURA</v>
      </c>
      <c r="L270" s="8" t="str">
        <f aca="false">IF($J270=0,"",INDEX(ROTACAO_RDM!$G$6:$G$71,$J270))</f>
        <v/>
      </c>
      <c r="M270" s="17" t="str">
        <f aca="false">IF($J270=0,"",INDEX(ROTACAO_RDM!$I$6:$I$71,$J270))</f>
        <v/>
      </c>
      <c r="N270" s="16" t="n">
        <f aca="false">IF($J270=0,0,MAX(0,$C270+INT(DIAS_POR_SEMANA/2)-INDEX(ROTACAO_RDM!$I$6:$I$71,$J270)))</f>
        <v>0</v>
      </c>
      <c r="O270" s="19" t="n">
        <f aca="false">IF($J270=0,0,MIN(1,$N270/MAX(1,INDEX(ROTACAO_RDM!$K$6:$K$71,$J270))))</f>
        <v>0</v>
      </c>
      <c r="P270" s="16" t="n">
        <f aca="false">IF($J270=0,0,IFERROR(MATCH(INDEX(ROTACAO_RDM!$N$6:$N$71,$J270),PARAMETROS_CULTURAS!$B$6:$B$28,0),0))</f>
        <v>0</v>
      </c>
      <c r="Q270" s="8" t="str">
        <f aca="false">IF($P270=0,"-",IF($O270&lt;=INDEX(PARAMETROS_CULTURAS!$F$6:$F$28,$P270),"INICIAL",IF($O270&lt;=INDEX(PARAMETROS_CULTURAS!$F$6:$F$28,$P270)+INDEX(PARAMETROS_CULTURAS!$G$6:$G$28,$P270),"DESENVOLVIMENTO",IF($O270&lt;=INDEX(PARAMETROS_CULTURAS!$F$6:$F$28,$P270)+INDEX(PARAMETROS_CULTURAS!$G$6:$G$28,$P270)+INDEX(PARAMETROS_CULTURAS!$H$6:$H$28,$P270),"MEDIA","FINAL"))))</f>
        <v>-</v>
      </c>
      <c r="R270" s="24" t="n">
        <f aca="false">IF($P270=0,0,IF($O270&lt;=INDEX(PARAMETROS_CULTURAS!$F$6:$F$28,$P270),INDEX(PARAMETROS_CULTURAS!$K$6:$K$28,$P270),IF($O270&lt;=INDEX(PARAMETROS_CULTURAS!$F$6:$F$28,$P270)+INDEX(PARAMETROS_CULTURAS!$G$6:$G$28,$P270),INDEX(PARAMETROS_CULTURAS!$K$6:$K$28,$P270)+(INDEX(PARAMETROS_CULTURAS!$L$6:$L$28,$P270)-INDEX(PARAMETROS_CULTURAS!$K$6:$K$28,$P270))*($O270-INDEX(PARAMETROS_CULTURAS!$F$6:$F$28,$P270))/MAX(INDEX(PARAMETROS_CULTURAS!$G$6:$G$28,$P270),0.0001),IF($O270&lt;=INDEX(PARAMETROS_CULTURAS!$F$6:$F$28,$P270)+INDEX(PARAMETROS_CULTURAS!$G$6:$G$28,$P270)+INDEX(PARAMETROS_CULTURAS!$H$6:$H$28,$P270),INDEX(PARAMETROS_CULTURAS!$L$6:$L$28,$P270),INDEX(PARAMETROS_CULTURAS!$L$6:$L$28,$P270)+(INDEX(PARAMETROS_CULTURAS!$M$6:$M$28,$P270)-INDEX(PARAMETROS_CULTURAS!$L$6:$L$28,$P270))*($O270-INDEX(PARAMETROS_CULTURAS!$F$6:$F$28,$P270)-INDEX(PARAMETROS_CULTURAS!$G$6:$G$28,$P270)-INDEX(PARAMETROS_CULTURAS!$H$6:$H$28,$P270))/MAX(INDEX(PARAMETROS_CULTURAS!$I$6:$I$28,$P270),0.0001)))))</f>
        <v>0</v>
      </c>
      <c r="S270" s="18" t="n">
        <f aca="false">IFERROR(INDEX(SEMANAS!$H$6:$H$71,MATCH($B270,SEMANAS!$B$6:$B$71,0)),0)</f>
        <v>40</v>
      </c>
      <c r="T270" s="18" t="n">
        <f aca="false">$R270*$S270</f>
        <v>0</v>
      </c>
      <c r="U270" s="18" t="n">
        <f aca="false">IFERROR(INDEX(SEMANAS!$I$6:$I$71,MATCH($B270,SEMANAS!$B$6:$B$71,0)),0)</f>
        <v>6.16</v>
      </c>
      <c r="V270" s="18" t="n">
        <f aca="false">IFERROR(INDEX(SEMANAS!$J$6:$J$71,MATCH($B270,SEMANAS!$B$6:$B$71,0)),0)</f>
        <v>4.928</v>
      </c>
      <c r="W270" s="18" t="n">
        <f aca="false">MAX(0,$T270-$V270)</f>
        <v>0</v>
      </c>
      <c r="X270" s="19" t="n">
        <f aca="false">IFERROR(INDEX(CADASTRO_PIVOS!$K$6:$K$41,MATCH($E270,CADASTRO_PIVOS!$B$6:$B$41,0)),EFICIENCIA_PADRAO)</f>
        <v>0.85</v>
      </c>
      <c r="Y270" s="18" t="n">
        <f aca="false">IF($X270&lt;=0,0,$W270/$X270)</f>
        <v>0</v>
      </c>
      <c r="Z270" s="16" t="n">
        <f aca="false">$Y270*$H270*MM_PARA_M3_HA</f>
        <v>0</v>
      </c>
      <c r="AA270" s="18" t="n">
        <f aca="false">IFERROR(INDEX(CADASTRO_PIVOS!$I$6:$I$41,MATCH($E270,CADASTRO_PIVOS!$B$6:$B$41,0)),0)</f>
        <v>711.285714285714</v>
      </c>
      <c r="AB270" s="18" t="n">
        <f aca="false">IF($Z270&lt;=0,0,$Z270/$AA270)</f>
        <v>0</v>
      </c>
      <c r="AC270" s="16" t="n">
        <f aca="false">IFERROR(INDEX(SEMANAS!$K$6:$K$71,MATCH($B270,SEMANAS!$B$6:$B$71,0)),0)</f>
        <v>147</v>
      </c>
      <c r="AD270" s="19" t="n">
        <f aca="false">IF($AC270&lt;=0,0,$AB270/$AC270)</f>
        <v>0</v>
      </c>
      <c r="AE270" s="8" t="str">
        <f aca="false">IF($K270="SEM CULTURA","SEM CULTURA",IF($AA270&lt;=0,"DADO PENDENTE",IF($AD270&gt;LIMITE_CRITICO,"INVIAVEL",IF($AD270&gt;LIMITE_ATENCAO,"CRITICO",IF($AD270&gt;LIMITE_CONFORTAVEL,"ATENCAO","OK")))))</f>
        <v>SEM CULTURA</v>
      </c>
      <c r="AF270" s="8" t="str">
        <f aca="false">$B270&amp;"|"&amp;TEXT($AD270,"0.000000")</f>
        <v>1|0.000000</v>
      </c>
      <c r="AG270" s="18" t="n">
        <f aca="false">IF($K270="SEM CULTURA",0,$T270*$H270)</f>
        <v>0</v>
      </c>
      <c r="AH270" s="18" t="n">
        <f aca="false">IF($K270="SEM CULTURA",0,$V270*$H270)</f>
        <v>0</v>
      </c>
      <c r="AI270" s="18" t="n">
        <f aca="false">IF($K270="SEM CULTURA",0,$W270*$H270)</f>
        <v>0</v>
      </c>
      <c r="AJ270" s="18" t="n">
        <f aca="false">IF($K270="SEM CULTURA",0,$S270*$H270)</f>
        <v>0</v>
      </c>
      <c r="AK270" s="8" t="str">
        <f aca="false">$E270&amp;"|"&amp;TEXT($AD270,"0.000000")</f>
        <v>PV 107|0.000000</v>
      </c>
    </row>
    <row r="271" customFormat="false" ht="15" hidden="false" customHeight="false" outlineLevel="0" collapsed="false">
      <c r="B271" s="16" t="n">
        <v>2</v>
      </c>
      <c r="C271" s="17" t="n">
        <f aca="false">DATA_INICIO_SAFRA+($B271-1)*DIAS_POR_SEMANA</f>
        <v>46272</v>
      </c>
      <c r="D271" s="17" t="n">
        <f aca="false">$C271+DIAS_POR_SEMANA-1</f>
        <v>46278</v>
      </c>
      <c r="E271" s="15" t="s">
        <v>263</v>
      </c>
      <c r="F271" s="8" t="str">
        <f aca="false">IFERROR(INDEX(CADASTRO_PIVOS!$C$6:$C$41,MATCH($E271,CADASTRO_PIVOS!$B$6:$B$41,0)),"?")</f>
        <v>RM03</v>
      </c>
      <c r="G271" s="8" t="str">
        <f aca="false">IFERROR(INDEX(CADASTRO_PIVOS!$D$6:$D$41,MATCH($E271,CADASTRO_PIVOS!$B$6:$B$41,0)),"?")</f>
        <v>TR03</v>
      </c>
      <c r="H271" s="20" t="n">
        <f aca="false">IFERROR(INDEX(CADASTRO_PIVOS!$E$6:$E$41,MATCH($E271,CADASTRO_PIVOS!$B$6:$B$41,0)),0)</f>
        <v>99.58</v>
      </c>
      <c r="I271" s="16" t="n">
        <f aca="false">IFERROR(SUMIFS(ROTACAO_RDM!$B$6:$B$71,ROTACAO_RDM!$D$6:$D$71,$E271,ROTACAO_RDM!$I$6:$I$71,"&lt;="&amp;$C271+INT(DIAS_POR_SEMANA/2),ROTACAO_RDM!$J$6:$J$71,"&gt;="&amp;$C271+INT(DIAS_POR_SEMANA/2)),0)</f>
        <v>0</v>
      </c>
      <c r="J271" s="16" t="n">
        <f aca="false">IFERROR(MATCH($I271,ROTACAO_RDM!$B$6:$B$71,0),0)</f>
        <v>0</v>
      </c>
      <c r="K271" s="8" t="str">
        <f aca="false">IF($J271=0,"SEM CULTURA",INDEX(ROTACAO_RDM!$F$6:$F$71,$J271))</f>
        <v>SEM CULTURA</v>
      </c>
      <c r="L271" s="8" t="str">
        <f aca="false">IF($J271=0,"",INDEX(ROTACAO_RDM!$G$6:$G$71,$J271))</f>
        <v/>
      </c>
      <c r="M271" s="17" t="str">
        <f aca="false">IF($J271=0,"",INDEX(ROTACAO_RDM!$I$6:$I$71,$J271))</f>
        <v/>
      </c>
      <c r="N271" s="16" t="n">
        <f aca="false">IF($J271=0,0,MAX(0,$C271+INT(DIAS_POR_SEMANA/2)-INDEX(ROTACAO_RDM!$I$6:$I$71,$J271)))</f>
        <v>0</v>
      </c>
      <c r="O271" s="19" t="n">
        <f aca="false">IF($J271=0,0,MIN(1,$N271/MAX(1,INDEX(ROTACAO_RDM!$K$6:$K$71,$J271))))</f>
        <v>0</v>
      </c>
      <c r="P271" s="16" t="n">
        <f aca="false">IF($J271=0,0,IFERROR(MATCH(INDEX(ROTACAO_RDM!$N$6:$N$71,$J271),PARAMETROS_CULTURAS!$B$6:$B$28,0),0))</f>
        <v>0</v>
      </c>
      <c r="Q271" s="8" t="str">
        <f aca="false">IF($P271=0,"-",IF($O271&lt;=INDEX(PARAMETROS_CULTURAS!$F$6:$F$28,$P271),"INICIAL",IF($O271&lt;=INDEX(PARAMETROS_CULTURAS!$F$6:$F$28,$P271)+INDEX(PARAMETROS_CULTURAS!$G$6:$G$28,$P271),"DESENVOLVIMENTO",IF($O271&lt;=INDEX(PARAMETROS_CULTURAS!$F$6:$F$28,$P271)+INDEX(PARAMETROS_CULTURAS!$G$6:$G$28,$P271)+INDEX(PARAMETROS_CULTURAS!$H$6:$H$28,$P271),"MEDIA","FINAL"))))</f>
        <v>-</v>
      </c>
      <c r="R271" s="24" t="n">
        <f aca="false">IF($P271=0,0,IF($O271&lt;=INDEX(PARAMETROS_CULTURAS!$F$6:$F$28,$P271),INDEX(PARAMETROS_CULTURAS!$K$6:$K$28,$P271),IF($O271&lt;=INDEX(PARAMETROS_CULTURAS!$F$6:$F$28,$P271)+INDEX(PARAMETROS_CULTURAS!$G$6:$G$28,$P271),INDEX(PARAMETROS_CULTURAS!$K$6:$K$28,$P271)+(INDEX(PARAMETROS_CULTURAS!$L$6:$L$28,$P271)-INDEX(PARAMETROS_CULTURAS!$K$6:$K$28,$P271))*($O271-INDEX(PARAMETROS_CULTURAS!$F$6:$F$28,$P271))/MAX(INDEX(PARAMETROS_CULTURAS!$G$6:$G$28,$P271),0.0001),IF($O271&lt;=INDEX(PARAMETROS_CULTURAS!$F$6:$F$28,$P271)+INDEX(PARAMETROS_CULTURAS!$G$6:$G$28,$P271)+INDEX(PARAMETROS_CULTURAS!$H$6:$H$28,$P271),INDEX(PARAMETROS_CULTURAS!$L$6:$L$28,$P271),INDEX(PARAMETROS_CULTURAS!$L$6:$L$28,$P271)+(INDEX(PARAMETROS_CULTURAS!$M$6:$M$28,$P271)-INDEX(PARAMETROS_CULTURAS!$L$6:$L$28,$P271))*($O271-INDEX(PARAMETROS_CULTURAS!$F$6:$F$28,$P271)-INDEX(PARAMETROS_CULTURAS!$G$6:$G$28,$P271)-INDEX(PARAMETROS_CULTURAS!$H$6:$H$28,$P271))/MAX(INDEX(PARAMETROS_CULTURAS!$I$6:$I$28,$P271),0.0001)))))</f>
        <v>0</v>
      </c>
      <c r="S271" s="18" t="n">
        <f aca="false">IFERROR(INDEX(SEMANAS!$H$6:$H$71,MATCH($B271,SEMANAS!$B$6:$B$71,0)),0)</f>
        <v>40.6</v>
      </c>
      <c r="T271" s="18" t="n">
        <f aca="false">$R271*$S271</f>
        <v>0</v>
      </c>
      <c r="U271" s="18" t="n">
        <f aca="false">IFERROR(INDEX(SEMANAS!$I$6:$I$71,MATCH($B271,SEMANAS!$B$6:$B$71,0)),0)</f>
        <v>7</v>
      </c>
      <c r="V271" s="18" t="n">
        <f aca="false">IFERROR(INDEX(SEMANAS!$J$6:$J$71,MATCH($B271,SEMANAS!$B$6:$B$71,0)),0)</f>
        <v>5.6</v>
      </c>
      <c r="W271" s="18" t="n">
        <f aca="false">MAX(0,$T271-$V271)</f>
        <v>0</v>
      </c>
      <c r="X271" s="19" t="n">
        <f aca="false">IFERROR(INDEX(CADASTRO_PIVOS!$K$6:$K$41,MATCH($E271,CADASTRO_PIVOS!$B$6:$B$41,0)),EFICIENCIA_PADRAO)</f>
        <v>0.85</v>
      </c>
      <c r="Y271" s="18" t="n">
        <f aca="false">IF($X271&lt;=0,0,$W271/$X271)</f>
        <v>0</v>
      </c>
      <c r="Z271" s="16" t="n">
        <f aca="false">$Y271*$H271*MM_PARA_M3_HA</f>
        <v>0</v>
      </c>
      <c r="AA271" s="18" t="n">
        <f aca="false">IFERROR(INDEX(CADASTRO_PIVOS!$I$6:$I$41,MATCH($E271,CADASTRO_PIVOS!$B$6:$B$41,0)),0)</f>
        <v>711.285714285714</v>
      </c>
      <c r="AB271" s="18" t="n">
        <f aca="false">IF($Z271&lt;=0,0,$Z271/$AA271)</f>
        <v>0</v>
      </c>
      <c r="AC271" s="16" t="n">
        <f aca="false">IFERROR(INDEX(SEMANAS!$K$6:$K$71,MATCH($B271,SEMANAS!$B$6:$B$71,0)),0)</f>
        <v>147</v>
      </c>
      <c r="AD271" s="19" t="n">
        <f aca="false">IF($AC271&lt;=0,0,$AB271/$AC271)</f>
        <v>0</v>
      </c>
      <c r="AE271" s="8" t="str">
        <f aca="false">IF($K271="SEM CULTURA","SEM CULTURA",IF($AA271&lt;=0,"DADO PENDENTE",IF($AD271&gt;LIMITE_CRITICO,"INVIAVEL",IF($AD271&gt;LIMITE_ATENCAO,"CRITICO",IF($AD271&gt;LIMITE_CONFORTAVEL,"ATENCAO","OK")))))</f>
        <v>SEM CULTURA</v>
      </c>
      <c r="AF271" s="8" t="str">
        <f aca="false">$B271&amp;"|"&amp;TEXT($AD271,"0.000000")</f>
        <v>2|0.000000</v>
      </c>
      <c r="AG271" s="18" t="n">
        <f aca="false">IF($K271="SEM CULTURA",0,$T271*$H271)</f>
        <v>0</v>
      </c>
      <c r="AH271" s="18" t="n">
        <f aca="false">IF($K271="SEM CULTURA",0,$V271*$H271)</f>
        <v>0</v>
      </c>
      <c r="AI271" s="18" t="n">
        <f aca="false">IF($K271="SEM CULTURA",0,$W271*$H271)</f>
        <v>0</v>
      </c>
      <c r="AJ271" s="18" t="n">
        <f aca="false">IF($K271="SEM CULTURA",0,$S271*$H271)</f>
        <v>0</v>
      </c>
      <c r="AK271" s="8" t="str">
        <f aca="false">$E271&amp;"|"&amp;TEXT($AD271,"0.000000")</f>
        <v>PV 107|0.000000</v>
      </c>
    </row>
    <row r="272" customFormat="false" ht="15" hidden="false" customHeight="false" outlineLevel="0" collapsed="false">
      <c r="B272" s="16" t="n">
        <v>3</v>
      </c>
      <c r="C272" s="17" t="n">
        <f aca="false">DATA_INICIO_SAFRA+($B272-1)*DIAS_POR_SEMANA</f>
        <v>46279</v>
      </c>
      <c r="D272" s="17" t="n">
        <f aca="false">$C272+DIAS_POR_SEMANA-1</f>
        <v>46285</v>
      </c>
      <c r="E272" s="15" t="s">
        <v>263</v>
      </c>
      <c r="F272" s="8" t="str">
        <f aca="false">IFERROR(INDEX(CADASTRO_PIVOS!$C$6:$C$41,MATCH($E272,CADASTRO_PIVOS!$B$6:$B$41,0)),"?")</f>
        <v>RM03</v>
      </c>
      <c r="G272" s="8" t="str">
        <f aca="false">IFERROR(INDEX(CADASTRO_PIVOS!$D$6:$D$41,MATCH($E272,CADASTRO_PIVOS!$B$6:$B$41,0)),"?")</f>
        <v>TR03</v>
      </c>
      <c r="H272" s="20" t="n">
        <f aca="false">IFERROR(INDEX(CADASTRO_PIVOS!$E$6:$E$41,MATCH($E272,CADASTRO_PIVOS!$B$6:$B$41,0)),0)</f>
        <v>99.58</v>
      </c>
      <c r="I272" s="16" t="n">
        <f aca="false">IFERROR(SUMIFS(ROTACAO_RDM!$B$6:$B$71,ROTACAO_RDM!$D$6:$D$71,$E272,ROTACAO_RDM!$I$6:$I$71,"&lt;="&amp;$C272+INT(DIAS_POR_SEMANA/2),ROTACAO_RDM!$J$6:$J$71,"&gt;="&amp;$C272+INT(DIAS_POR_SEMANA/2)),0)</f>
        <v>0</v>
      </c>
      <c r="J272" s="16" t="n">
        <f aca="false">IFERROR(MATCH($I272,ROTACAO_RDM!$B$6:$B$71,0),0)</f>
        <v>0</v>
      </c>
      <c r="K272" s="8" t="str">
        <f aca="false">IF($J272=0,"SEM CULTURA",INDEX(ROTACAO_RDM!$F$6:$F$71,$J272))</f>
        <v>SEM CULTURA</v>
      </c>
      <c r="L272" s="8" t="str">
        <f aca="false">IF($J272=0,"",INDEX(ROTACAO_RDM!$G$6:$G$71,$J272))</f>
        <v/>
      </c>
      <c r="M272" s="17" t="str">
        <f aca="false">IF($J272=0,"",INDEX(ROTACAO_RDM!$I$6:$I$71,$J272))</f>
        <v/>
      </c>
      <c r="N272" s="16" t="n">
        <f aca="false">IF($J272=0,0,MAX(0,$C272+INT(DIAS_POR_SEMANA/2)-INDEX(ROTACAO_RDM!$I$6:$I$71,$J272)))</f>
        <v>0</v>
      </c>
      <c r="O272" s="19" t="n">
        <f aca="false">IF($J272=0,0,MIN(1,$N272/MAX(1,INDEX(ROTACAO_RDM!$K$6:$K$71,$J272))))</f>
        <v>0</v>
      </c>
      <c r="P272" s="16" t="n">
        <f aca="false">IF($J272=0,0,IFERROR(MATCH(INDEX(ROTACAO_RDM!$N$6:$N$71,$J272),PARAMETROS_CULTURAS!$B$6:$B$28,0),0))</f>
        <v>0</v>
      </c>
      <c r="Q272" s="8" t="str">
        <f aca="false">IF($P272=0,"-",IF($O272&lt;=INDEX(PARAMETROS_CULTURAS!$F$6:$F$28,$P272),"INICIAL",IF($O272&lt;=INDEX(PARAMETROS_CULTURAS!$F$6:$F$28,$P272)+INDEX(PARAMETROS_CULTURAS!$G$6:$G$28,$P272),"DESENVOLVIMENTO",IF($O272&lt;=INDEX(PARAMETROS_CULTURAS!$F$6:$F$28,$P272)+INDEX(PARAMETROS_CULTURAS!$G$6:$G$28,$P272)+INDEX(PARAMETROS_CULTURAS!$H$6:$H$28,$P272),"MEDIA","FINAL"))))</f>
        <v>-</v>
      </c>
      <c r="R272" s="24" t="n">
        <f aca="false">IF($P272=0,0,IF($O272&lt;=INDEX(PARAMETROS_CULTURAS!$F$6:$F$28,$P272),INDEX(PARAMETROS_CULTURAS!$K$6:$K$28,$P272),IF($O272&lt;=INDEX(PARAMETROS_CULTURAS!$F$6:$F$28,$P272)+INDEX(PARAMETROS_CULTURAS!$G$6:$G$28,$P272),INDEX(PARAMETROS_CULTURAS!$K$6:$K$28,$P272)+(INDEX(PARAMETROS_CULTURAS!$L$6:$L$28,$P272)-INDEX(PARAMETROS_CULTURAS!$K$6:$K$28,$P272))*($O272-INDEX(PARAMETROS_CULTURAS!$F$6:$F$28,$P272))/MAX(INDEX(PARAMETROS_CULTURAS!$G$6:$G$28,$P272),0.0001),IF($O272&lt;=INDEX(PARAMETROS_CULTURAS!$F$6:$F$28,$P272)+INDEX(PARAMETROS_CULTURAS!$G$6:$G$28,$P272)+INDEX(PARAMETROS_CULTURAS!$H$6:$H$28,$P272),INDEX(PARAMETROS_CULTURAS!$L$6:$L$28,$P272),INDEX(PARAMETROS_CULTURAS!$L$6:$L$28,$P272)+(INDEX(PARAMETROS_CULTURAS!$M$6:$M$28,$P272)-INDEX(PARAMETROS_CULTURAS!$L$6:$L$28,$P272))*($O272-INDEX(PARAMETROS_CULTURAS!$F$6:$F$28,$P272)-INDEX(PARAMETROS_CULTURAS!$G$6:$G$28,$P272)-INDEX(PARAMETROS_CULTURAS!$H$6:$H$28,$P272))/MAX(INDEX(PARAMETROS_CULTURAS!$I$6:$I$28,$P272),0.0001)))))</f>
        <v>0</v>
      </c>
      <c r="S272" s="18" t="n">
        <f aca="false">IFERROR(INDEX(SEMANAS!$H$6:$H$71,MATCH($B272,SEMANAS!$B$6:$B$71,0)),0)</f>
        <v>40.6</v>
      </c>
      <c r="T272" s="18" t="n">
        <f aca="false">$R272*$S272</f>
        <v>0</v>
      </c>
      <c r="U272" s="18" t="n">
        <f aca="false">IFERROR(INDEX(SEMANAS!$I$6:$I$71,MATCH($B272,SEMANAS!$B$6:$B$71,0)),0)</f>
        <v>7</v>
      </c>
      <c r="V272" s="18" t="n">
        <f aca="false">IFERROR(INDEX(SEMANAS!$J$6:$J$71,MATCH($B272,SEMANAS!$B$6:$B$71,0)),0)</f>
        <v>5.6</v>
      </c>
      <c r="W272" s="18" t="n">
        <f aca="false">MAX(0,$T272-$V272)</f>
        <v>0</v>
      </c>
      <c r="X272" s="19" t="n">
        <f aca="false">IFERROR(INDEX(CADASTRO_PIVOS!$K$6:$K$41,MATCH($E272,CADASTRO_PIVOS!$B$6:$B$41,0)),EFICIENCIA_PADRAO)</f>
        <v>0.85</v>
      </c>
      <c r="Y272" s="18" t="n">
        <f aca="false">IF($X272&lt;=0,0,$W272/$X272)</f>
        <v>0</v>
      </c>
      <c r="Z272" s="16" t="n">
        <f aca="false">$Y272*$H272*MM_PARA_M3_HA</f>
        <v>0</v>
      </c>
      <c r="AA272" s="18" t="n">
        <f aca="false">IFERROR(INDEX(CADASTRO_PIVOS!$I$6:$I$41,MATCH($E272,CADASTRO_PIVOS!$B$6:$B$41,0)),0)</f>
        <v>711.285714285714</v>
      </c>
      <c r="AB272" s="18" t="n">
        <f aca="false">IF($Z272&lt;=0,0,$Z272/$AA272)</f>
        <v>0</v>
      </c>
      <c r="AC272" s="16" t="n">
        <f aca="false">IFERROR(INDEX(SEMANAS!$K$6:$K$71,MATCH($B272,SEMANAS!$B$6:$B$71,0)),0)</f>
        <v>147</v>
      </c>
      <c r="AD272" s="19" t="n">
        <f aca="false">IF($AC272&lt;=0,0,$AB272/$AC272)</f>
        <v>0</v>
      </c>
      <c r="AE272" s="8" t="str">
        <f aca="false">IF($K272="SEM CULTURA","SEM CULTURA",IF($AA272&lt;=0,"DADO PENDENTE",IF($AD272&gt;LIMITE_CRITICO,"INVIAVEL",IF($AD272&gt;LIMITE_ATENCAO,"CRITICO",IF($AD272&gt;LIMITE_CONFORTAVEL,"ATENCAO","OK")))))</f>
        <v>SEM CULTURA</v>
      </c>
      <c r="AF272" s="8" t="str">
        <f aca="false">$B272&amp;"|"&amp;TEXT($AD272,"0.000000")</f>
        <v>3|0.000000</v>
      </c>
      <c r="AG272" s="18" t="n">
        <f aca="false">IF($K272="SEM CULTURA",0,$T272*$H272)</f>
        <v>0</v>
      </c>
      <c r="AH272" s="18" t="n">
        <f aca="false">IF($K272="SEM CULTURA",0,$V272*$H272)</f>
        <v>0</v>
      </c>
      <c r="AI272" s="18" t="n">
        <f aca="false">IF($K272="SEM CULTURA",0,$W272*$H272)</f>
        <v>0</v>
      </c>
      <c r="AJ272" s="18" t="n">
        <f aca="false">IF($K272="SEM CULTURA",0,$S272*$H272)</f>
        <v>0</v>
      </c>
      <c r="AK272" s="8" t="str">
        <f aca="false">$E272&amp;"|"&amp;TEXT($AD272,"0.000000")</f>
        <v>PV 107|0.000000</v>
      </c>
    </row>
    <row r="273" customFormat="false" ht="15" hidden="false" customHeight="false" outlineLevel="0" collapsed="false">
      <c r="B273" s="16" t="n">
        <v>4</v>
      </c>
      <c r="C273" s="17" t="n">
        <f aca="false">DATA_INICIO_SAFRA+($B273-1)*DIAS_POR_SEMANA</f>
        <v>46286</v>
      </c>
      <c r="D273" s="17" t="n">
        <f aca="false">$C273+DIAS_POR_SEMANA-1</f>
        <v>46292</v>
      </c>
      <c r="E273" s="15" t="s">
        <v>263</v>
      </c>
      <c r="F273" s="8" t="str">
        <f aca="false">IFERROR(INDEX(CADASTRO_PIVOS!$C$6:$C$41,MATCH($E273,CADASTRO_PIVOS!$B$6:$B$41,0)),"?")</f>
        <v>RM03</v>
      </c>
      <c r="G273" s="8" t="str">
        <f aca="false">IFERROR(INDEX(CADASTRO_PIVOS!$D$6:$D$41,MATCH($E273,CADASTRO_PIVOS!$B$6:$B$41,0)),"?")</f>
        <v>TR03</v>
      </c>
      <c r="H273" s="20" t="n">
        <f aca="false">IFERROR(INDEX(CADASTRO_PIVOS!$E$6:$E$41,MATCH($E273,CADASTRO_PIVOS!$B$6:$B$41,0)),0)</f>
        <v>99.58</v>
      </c>
      <c r="I273" s="16" t="n">
        <f aca="false">IFERROR(SUMIFS(ROTACAO_RDM!$B$6:$B$71,ROTACAO_RDM!$D$6:$D$71,$E273,ROTACAO_RDM!$I$6:$I$71,"&lt;="&amp;$C273+INT(DIAS_POR_SEMANA/2),ROTACAO_RDM!$J$6:$J$71,"&gt;="&amp;$C273+INT(DIAS_POR_SEMANA/2)),0)</f>
        <v>0</v>
      </c>
      <c r="J273" s="16" t="n">
        <f aca="false">IFERROR(MATCH($I273,ROTACAO_RDM!$B$6:$B$71,0),0)</f>
        <v>0</v>
      </c>
      <c r="K273" s="8" t="str">
        <f aca="false">IF($J273=0,"SEM CULTURA",INDEX(ROTACAO_RDM!$F$6:$F$71,$J273))</f>
        <v>SEM CULTURA</v>
      </c>
      <c r="L273" s="8" t="str">
        <f aca="false">IF($J273=0,"",INDEX(ROTACAO_RDM!$G$6:$G$71,$J273))</f>
        <v/>
      </c>
      <c r="M273" s="17" t="str">
        <f aca="false">IF($J273=0,"",INDEX(ROTACAO_RDM!$I$6:$I$71,$J273))</f>
        <v/>
      </c>
      <c r="N273" s="16" t="n">
        <f aca="false">IF($J273=0,0,MAX(0,$C273+INT(DIAS_POR_SEMANA/2)-INDEX(ROTACAO_RDM!$I$6:$I$71,$J273)))</f>
        <v>0</v>
      </c>
      <c r="O273" s="19" t="n">
        <f aca="false">IF($J273=0,0,MIN(1,$N273/MAX(1,INDEX(ROTACAO_RDM!$K$6:$K$71,$J273))))</f>
        <v>0</v>
      </c>
      <c r="P273" s="16" t="n">
        <f aca="false">IF($J273=0,0,IFERROR(MATCH(INDEX(ROTACAO_RDM!$N$6:$N$71,$J273),PARAMETROS_CULTURAS!$B$6:$B$28,0),0))</f>
        <v>0</v>
      </c>
      <c r="Q273" s="8" t="str">
        <f aca="false">IF($P273=0,"-",IF($O273&lt;=INDEX(PARAMETROS_CULTURAS!$F$6:$F$28,$P273),"INICIAL",IF($O273&lt;=INDEX(PARAMETROS_CULTURAS!$F$6:$F$28,$P273)+INDEX(PARAMETROS_CULTURAS!$G$6:$G$28,$P273),"DESENVOLVIMENTO",IF($O273&lt;=INDEX(PARAMETROS_CULTURAS!$F$6:$F$28,$P273)+INDEX(PARAMETROS_CULTURAS!$G$6:$G$28,$P273)+INDEX(PARAMETROS_CULTURAS!$H$6:$H$28,$P273),"MEDIA","FINAL"))))</f>
        <v>-</v>
      </c>
      <c r="R273" s="24" t="n">
        <f aca="false">IF($P273=0,0,IF($O273&lt;=INDEX(PARAMETROS_CULTURAS!$F$6:$F$28,$P273),INDEX(PARAMETROS_CULTURAS!$K$6:$K$28,$P273),IF($O273&lt;=INDEX(PARAMETROS_CULTURAS!$F$6:$F$28,$P273)+INDEX(PARAMETROS_CULTURAS!$G$6:$G$28,$P273),INDEX(PARAMETROS_CULTURAS!$K$6:$K$28,$P273)+(INDEX(PARAMETROS_CULTURAS!$L$6:$L$28,$P273)-INDEX(PARAMETROS_CULTURAS!$K$6:$K$28,$P273))*($O273-INDEX(PARAMETROS_CULTURAS!$F$6:$F$28,$P273))/MAX(INDEX(PARAMETROS_CULTURAS!$G$6:$G$28,$P273),0.0001),IF($O273&lt;=INDEX(PARAMETROS_CULTURAS!$F$6:$F$28,$P273)+INDEX(PARAMETROS_CULTURAS!$G$6:$G$28,$P273)+INDEX(PARAMETROS_CULTURAS!$H$6:$H$28,$P273),INDEX(PARAMETROS_CULTURAS!$L$6:$L$28,$P273),INDEX(PARAMETROS_CULTURAS!$L$6:$L$28,$P273)+(INDEX(PARAMETROS_CULTURAS!$M$6:$M$28,$P273)-INDEX(PARAMETROS_CULTURAS!$L$6:$L$28,$P273))*($O273-INDEX(PARAMETROS_CULTURAS!$F$6:$F$28,$P273)-INDEX(PARAMETROS_CULTURAS!$G$6:$G$28,$P273)-INDEX(PARAMETROS_CULTURAS!$H$6:$H$28,$P273))/MAX(INDEX(PARAMETROS_CULTURAS!$I$6:$I$28,$P273),0.0001)))))</f>
        <v>0</v>
      </c>
      <c r="S273" s="18" t="n">
        <f aca="false">IFERROR(INDEX(SEMANAS!$H$6:$H$71,MATCH($B273,SEMANAS!$B$6:$B$71,0)),0)</f>
        <v>40.6</v>
      </c>
      <c r="T273" s="18" t="n">
        <f aca="false">$R273*$S273</f>
        <v>0</v>
      </c>
      <c r="U273" s="18" t="n">
        <f aca="false">IFERROR(INDEX(SEMANAS!$I$6:$I$71,MATCH($B273,SEMANAS!$B$6:$B$71,0)),0)</f>
        <v>7</v>
      </c>
      <c r="V273" s="18" t="n">
        <f aca="false">IFERROR(INDEX(SEMANAS!$J$6:$J$71,MATCH($B273,SEMANAS!$B$6:$B$71,0)),0)</f>
        <v>5.6</v>
      </c>
      <c r="W273" s="18" t="n">
        <f aca="false">MAX(0,$T273-$V273)</f>
        <v>0</v>
      </c>
      <c r="X273" s="19" t="n">
        <f aca="false">IFERROR(INDEX(CADASTRO_PIVOS!$K$6:$K$41,MATCH($E273,CADASTRO_PIVOS!$B$6:$B$41,0)),EFICIENCIA_PADRAO)</f>
        <v>0.85</v>
      </c>
      <c r="Y273" s="18" t="n">
        <f aca="false">IF($X273&lt;=0,0,$W273/$X273)</f>
        <v>0</v>
      </c>
      <c r="Z273" s="16" t="n">
        <f aca="false">$Y273*$H273*MM_PARA_M3_HA</f>
        <v>0</v>
      </c>
      <c r="AA273" s="18" t="n">
        <f aca="false">IFERROR(INDEX(CADASTRO_PIVOS!$I$6:$I$41,MATCH($E273,CADASTRO_PIVOS!$B$6:$B$41,0)),0)</f>
        <v>711.285714285714</v>
      </c>
      <c r="AB273" s="18" t="n">
        <f aca="false">IF($Z273&lt;=0,0,$Z273/$AA273)</f>
        <v>0</v>
      </c>
      <c r="AC273" s="16" t="n">
        <f aca="false">IFERROR(INDEX(SEMANAS!$K$6:$K$71,MATCH($B273,SEMANAS!$B$6:$B$71,0)),0)</f>
        <v>147</v>
      </c>
      <c r="AD273" s="19" t="n">
        <f aca="false">IF($AC273&lt;=0,0,$AB273/$AC273)</f>
        <v>0</v>
      </c>
      <c r="AE273" s="8" t="str">
        <f aca="false">IF($K273="SEM CULTURA","SEM CULTURA",IF($AA273&lt;=0,"DADO PENDENTE",IF($AD273&gt;LIMITE_CRITICO,"INVIAVEL",IF($AD273&gt;LIMITE_ATENCAO,"CRITICO",IF($AD273&gt;LIMITE_CONFORTAVEL,"ATENCAO","OK")))))</f>
        <v>SEM CULTURA</v>
      </c>
      <c r="AF273" s="8" t="str">
        <f aca="false">$B273&amp;"|"&amp;TEXT($AD273,"0.000000")</f>
        <v>4|0.000000</v>
      </c>
      <c r="AG273" s="18" t="n">
        <f aca="false">IF($K273="SEM CULTURA",0,$T273*$H273)</f>
        <v>0</v>
      </c>
      <c r="AH273" s="18" t="n">
        <f aca="false">IF($K273="SEM CULTURA",0,$V273*$H273)</f>
        <v>0</v>
      </c>
      <c r="AI273" s="18" t="n">
        <f aca="false">IF($K273="SEM CULTURA",0,$W273*$H273)</f>
        <v>0</v>
      </c>
      <c r="AJ273" s="18" t="n">
        <f aca="false">IF($K273="SEM CULTURA",0,$S273*$H273)</f>
        <v>0</v>
      </c>
      <c r="AK273" s="8" t="str">
        <f aca="false">$E273&amp;"|"&amp;TEXT($AD273,"0.000000")</f>
        <v>PV 107|0.000000</v>
      </c>
    </row>
    <row r="274" customFormat="false" ht="15" hidden="false" customHeight="false" outlineLevel="0" collapsed="false">
      <c r="B274" s="16" t="n">
        <v>5</v>
      </c>
      <c r="C274" s="17" t="n">
        <f aca="false">DATA_INICIO_SAFRA+($B274-1)*DIAS_POR_SEMANA</f>
        <v>46293</v>
      </c>
      <c r="D274" s="17" t="n">
        <f aca="false">$C274+DIAS_POR_SEMANA-1</f>
        <v>46299</v>
      </c>
      <c r="E274" s="15" t="s">
        <v>263</v>
      </c>
      <c r="F274" s="8" t="str">
        <f aca="false">IFERROR(INDEX(CADASTRO_PIVOS!$C$6:$C$41,MATCH($E274,CADASTRO_PIVOS!$B$6:$B$41,0)),"?")</f>
        <v>RM03</v>
      </c>
      <c r="G274" s="8" t="str">
        <f aca="false">IFERROR(INDEX(CADASTRO_PIVOS!$D$6:$D$41,MATCH($E274,CADASTRO_PIVOS!$B$6:$B$41,0)),"?")</f>
        <v>TR03</v>
      </c>
      <c r="H274" s="20" t="n">
        <f aca="false">IFERROR(INDEX(CADASTRO_PIVOS!$E$6:$E$41,MATCH($E274,CADASTRO_PIVOS!$B$6:$B$41,0)),0)</f>
        <v>99.58</v>
      </c>
      <c r="I274" s="16" t="n">
        <f aca="false">IFERROR(SUMIFS(ROTACAO_RDM!$B$6:$B$71,ROTACAO_RDM!$D$6:$D$71,$E274,ROTACAO_RDM!$I$6:$I$71,"&lt;="&amp;$C274+INT(DIAS_POR_SEMANA/2),ROTACAO_RDM!$J$6:$J$71,"&gt;="&amp;$C274+INT(DIAS_POR_SEMANA/2)),0)</f>
        <v>12</v>
      </c>
      <c r="J274" s="16" t="n">
        <f aca="false">IFERROR(MATCH($I274,ROTACAO_RDM!$B$6:$B$71,0),0)</f>
        <v>12</v>
      </c>
      <c r="K274" s="8" t="str">
        <f aca="false">IF($J274=0,"SEM CULTURA",INDEX(ROTACAO_RDM!$F$6:$F$71,$J274))</f>
        <v>SOJA</v>
      </c>
      <c r="L274" s="8" t="str">
        <f aca="false">IF($J274=0,"",INDEX(ROTACAO_RDM!$G$6:$G$71,$J274))</f>
        <v>NEO 761 I2X</v>
      </c>
      <c r="M274" s="17" t="n">
        <f aca="false">IF($J274=0,"",INDEX(ROTACAO_RDM!$I$6:$I$71,$J274))</f>
        <v>46293</v>
      </c>
      <c r="N274" s="16" t="n">
        <f aca="false">IF($J274=0,0,MAX(0,$C274+INT(DIAS_POR_SEMANA/2)-INDEX(ROTACAO_RDM!$I$6:$I$71,$J274)))</f>
        <v>3</v>
      </c>
      <c r="O274" s="19" t="n">
        <f aca="false">IF($J274=0,0,MIN(1,$N274/MAX(1,INDEX(ROTACAO_RDM!$K$6:$K$71,$J274))))</f>
        <v>0.0258620689655172</v>
      </c>
      <c r="P274" s="16" t="n">
        <f aca="false">IF($J274=0,0,IFERROR(MATCH(INDEX(ROTACAO_RDM!$N$6:$N$71,$J274),PARAMETROS_CULTURAS!$B$6:$B$28,0),0))</f>
        <v>2</v>
      </c>
      <c r="Q274" s="8" t="str">
        <f aca="false">IF($P274=0,"-",IF($O274&lt;=INDEX(PARAMETROS_CULTURAS!$F$6:$F$28,$P274),"INICIAL",IF($O274&lt;=INDEX(PARAMETROS_CULTURAS!$F$6:$F$28,$P274)+INDEX(PARAMETROS_CULTURAS!$G$6:$G$28,$P274),"DESENVOLVIMENTO",IF($O274&lt;=INDEX(PARAMETROS_CULTURAS!$F$6:$F$28,$P274)+INDEX(PARAMETROS_CULTURAS!$G$6:$G$28,$P274)+INDEX(PARAMETROS_CULTURAS!$H$6:$H$28,$P274),"MEDIA","FINAL"))))</f>
        <v>INICIAL</v>
      </c>
      <c r="R274" s="24" t="n">
        <f aca="false">IF($P274=0,0,IF($O274&lt;=INDEX(PARAMETROS_CULTURAS!$F$6:$F$28,$P274),INDEX(PARAMETROS_CULTURAS!$K$6:$K$28,$P274),IF($O274&lt;=INDEX(PARAMETROS_CULTURAS!$F$6:$F$28,$P274)+INDEX(PARAMETROS_CULTURAS!$G$6:$G$28,$P274),INDEX(PARAMETROS_CULTURAS!$K$6:$K$28,$P274)+(INDEX(PARAMETROS_CULTURAS!$L$6:$L$28,$P274)-INDEX(PARAMETROS_CULTURAS!$K$6:$K$28,$P274))*($O274-INDEX(PARAMETROS_CULTURAS!$F$6:$F$28,$P274))/MAX(INDEX(PARAMETROS_CULTURAS!$G$6:$G$28,$P274),0.0001),IF($O274&lt;=INDEX(PARAMETROS_CULTURAS!$F$6:$F$28,$P274)+INDEX(PARAMETROS_CULTURAS!$G$6:$G$28,$P274)+INDEX(PARAMETROS_CULTURAS!$H$6:$H$28,$P274),INDEX(PARAMETROS_CULTURAS!$L$6:$L$28,$P274),INDEX(PARAMETROS_CULTURAS!$L$6:$L$28,$P274)+(INDEX(PARAMETROS_CULTURAS!$M$6:$M$28,$P274)-INDEX(PARAMETROS_CULTURAS!$L$6:$L$28,$P274))*($O274-INDEX(PARAMETROS_CULTURAS!$F$6:$F$28,$P274)-INDEX(PARAMETROS_CULTURAS!$G$6:$G$28,$P274)-INDEX(PARAMETROS_CULTURAS!$H$6:$H$28,$P274))/MAX(INDEX(PARAMETROS_CULTURAS!$I$6:$I$28,$P274),0.0001)))))</f>
        <v>0.4</v>
      </c>
      <c r="S274" s="18" t="n">
        <f aca="false">IFERROR(INDEX(SEMANAS!$H$6:$H$71,MATCH($B274,SEMANAS!$B$6:$B$71,0)),0)</f>
        <v>39.8</v>
      </c>
      <c r="T274" s="18" t="n">
        <f aca="false">$R274*$S274</f>
        <v>15.92</v>
      </c>
      <c r="U274" s="18" t="n">
        <f aca="false">IFERROR(INDEX(SEMANAS!$I$6:$I$71,MATCH($B274,SEMANAS!$B$6:$B$71,0)),0)</f>
        <v>18.48</v>
      </c>
      <c r="V274" s="18" t="n">
        <f aca="false">IFERROR(INDEX(SEMANAS!$J$6:$J$71,MATCH($B274,SEMANAS!$B$6:$B$71,0)),0)</f>
        <v>14.784</v>
      </c>
      <c r="W274" s="18" t="n">
        <f aca="false">MAX(0,$T274-$V274)</f>
        <v>1.136</v>
      </c>
      <c r="X274" s="19" t="n">
        <f aca="false">IFERROR(INDEX(CADASTRO_PIVOS!$K$6:$K$41,MATCH($E274,CADASTRO_PIVOS!$B$6:$B$41,0)),EFICIENCIA_PADRAO)</f>
        <v>0.85</v>
      </c>
      <c r="Y274" s="18" t="n">
        <f aca="false">IF($X274&lt;=0,0,$W274/$X274)</f>
        <v>1.33647058823529</v>
      </c>
      <c r="Z274" s="16" t="n">
        <f aca="false">$Y274*$H274*MM_PARA_M3_HA</f>
        <v>1330.85741176471</v>
      </c>
      <c r="AA274" s="18" t="n">
        <f aca="false">IFERROR(INDEX(CADASTRO_PIVOS!$I$6:$I$41,MATCH($E274,CADASTRO_PIVOS!$B$6:$B$41,0)),0)</f>
        <v>711.285714285714</v>
      </c>
      <c r="AB274" s="18" t="n">
        <f aca="false">IF($Z274&lt;=0,0,$Z274/$AA274)</f>
        <v>1.87105882352941</v>
      </c>
      <c r="AC274" s="16" t="n">
        <f aca="false">IFERROR(INDEX(SEMANAS!$K$6:$K$71,MATCH($B274,SEMANAS!$B$6:$B$71,0)),0)</f>
        <v>147</v>
      </c>
      <c r="AD274" s="19" t="n">
        <f aca="false">IF($AC274&lt;=0,0,$AB274/$AC274)</f>
        <v>0.0127282913165266</v>
      </c>
      <c r="AE274" s="8" t="str">
        <f aca="false">IF($K274="SEM CULTURA","SEM CULTURA",IF($AA274&lt;=0,"DADO PENDENTE",IF($AD274&gt;LIMITE_CRITICO,"INVIAVEL",IF($AD274&gt;LIMITE_ATENCAO,"CRITICO",IF($AD274&gt;LIMITE_CONFORTAVEL,"ATENCAO","OK")))))</f>
        <v>OK</v>
      </c>
      <c r="AF274" s="8" t="str">
        <f aca="false">$B274&amp;"|"&amp;TEXT($AD274,"0.000000")</f>
        <v>5|0.012728</v>
      </c>
      <c r="AG274" s="18" t="n">
        <f aca="false">IF($K274="SEM CULTURA",0,$T274*$H274)</f>
        <v>1585.3136</v>
      </c>
      <c r="AH274" s="18" t="n">
        <f aca="false">IF($K274="SEM CULTURA",0,$V274*$H274)</f>
        <v>1472.19072</v>
      </c>
      <c r="AI274" s="18" t="n">
        <f aca="false">IF($K274="SEM CULTURA",0,$W274*$H274)</f>
        <v>113.12288</v>
      </c>
      <c r="AJ274" s="18" t="n">
        <f aca="false">IF($K274="SEM CULTURA",0,$S274*$H274)</f>
        <v>3963.284</v>
      </c>
      <c r="AK274" s="8" t="str">
        <f aca="false">$E274&amp;"|"&amp;TEXT($AD274,"0.000000")</f>
        <v>PV 107|0.012728</v>
      </c>
    </row>
    <row r="275" customFormat="false" ht="15" hidden="false" customHeight="false" outlineLevel="0" collapsed="false">
      <c r="B275" s="16" t="n">
        <v>6</v>
      </c>
      <c r="C275" s="17" t="n">
        <f aca="false">DATA_INICIO_SAFRA+($B275-1)*DIAS_POR_SEMANA</f>
        <v>46300</v>
      </c>
      <c r="D275" s="17" t="n">
        <f aca="false">$C275+DIAS_POR_SEMANA-1</f>
        <v>46306</v>
      </c>
      <c r="E275" s="15" t="s">
        <v>263</v>
      </c>
      <c r="F275" s="8" t="str">
        <f aca="false">IFERROR(INDEX(CADASTRO_PIVOS!$C$6:$C$41,MATCH($E275,CADASTRO_PIVOS!$B$6:$B$41,0)),"?")</f>
        <v>RM03</v>
      </c>
      <c r="G275" s="8" t="str">
        <f aca="false">IFERROR(INDEX(CADASTRO_PIVOS!$D$6:$D$41,MATCH($E275,CADASTRO_PIVOS!$B$6:$B$41,0)),"?")</f>
        <v>TR03</v>
      </c>
      <c r="H275" s="20" t="n">
        <f aca="false">IFERROR(INDEX(CADASTRO_PIVOS!$E$6:$E$41,MATCH($E275,CADASTRO_PIVOS!$B$6:$B$41,0)),0)</f>
        <v>99.58</v>
      </c>
      <c r="I275" s="16" t="n">
        <f aca="false">IFERROR(SUMIFS(ROTACAO_RDM!$B$6:$B$71,ROTACAO_RDM!$D$6:$D$71,$E275,ROTACAO_RDM!$I$6:$I$71,"&lt;="&amp;$C275+INT(DIAS_POR_SEMANA/2),ROTACAO_RDM!$J$6:$J$71,"&gt;="&amp;$C275+INT(DIAS_POR_SEMANA/2)),0)</f>
        <v>12</v>
      </c>
      <c r="J275" s="16" t="n">
        <f aca="false">IFERROR(MATCH($I275,ROTACAO_RDM!$B$6:$B$71,0),0)</f>
        <v>12</v>
      </c>
      <c r="K275" s="8" t="str">
        <f aca="false">IF($J275=0,"SEM CULTURA",INDEX(ROTACAO_RDM!$F$6:$F$71,$J275))</f>
        <v>SOJA</v>
      </c>
      <c r="L275" s="8" t="str">
        <f aca="false">IF($J275=0,"",INDEX(ROTACAO_RDM!$G$6:$G$71,$J275))</f>
        <v>NEO 761 I2X</v>
      </c>
      <c r="M275" s="17" t="n">
        <f aca="false">IF($J275=0,"",INDEX(ROTACAO_RDM!$I$6:$I$71,$J275))</f>
        <v>46293</v>
      </c>
      <c r="N275" s="16" t="n">
        <f aca="false">IF($J275=0,0,MAX(0,$C275+INT(DIAS_POR_SEMANA/2)-INDEX(ROTACAO_RDM!$I$6:$I$71,$J275)))</f>
        <v>10</v>
      </c>
      <c r="O275" s="19" t="n">
        <f aca="false">IF($J275=0,0,MIN(1,$N275/MAX(1,INDEX(ROTACAO_RDM!$K$6:$K$71,$J275))))</f>
        <v>0.0862068965517241</v>
      </c>
      <c r="P275" s="16" t="n">
        <f aca="false">IF($J275=0,0,IFERROR(MATCH(INDEX(ROTACAO_RDM!$N$6:$N$71,$J275),PARAMETROS_CULTURAS!$B$6:$B$28,0),0))</f>
        <v>2</v>
      </c>
      <c r="Q275" s="8" t="str">
        <f aca="false">IF($P275=0,"-",IF($O275&lt;=INDEX(PARAMETROS_CULTURAS!$F$6:$F$28,$P275),"INICIAL",IF($O275&lt;=INDEX(PARAMETROS_CULTURAS!$F$6:$F$28,$P275)+INDEX(PARAMETROS_CULTURAS!$G$6:$G$28,$P275),"DESENVOLVIMENTO",IF($O275&lt;=INDEX(PARAMETROS_CULTURAS!$F$6:$F$28,$P275)+INDEX(PARAMETROS_CULTURAS!$G$6:$G$28,$P275)+INDEX(PARAMETROS_CULTURAS!$H$6:$H$28,$P275),"MEDIA","FINAL"))))</f>
        <v>INICIAL</v>
      </c>
      <c r="R275" s="24" t="n">
        <f aca="false">IF($P275=0,0,IF($O275&lt;=INDEX(PARAMETROS_CULTURAS!$F$6:$F$28,$P275),INDEX(PARAMETROS_CULTURAS!$K$6:$K$28,$P275),IF($O275&lt;=INDEX(PARAMETROS_CULTURAS!$F$6:$F$28,$P275)+INDEX(PARAMETROS_CULTURAS!$G$6:$G$28,$P275),INDEX(PARAMETROS_CULTURAS!$K$6:$K$28,$P275)+(INDEX(PARAMETROS_CULTURAS!$L$6:$L$28,$P275)-INDEX(PARAMETROS_CULTURAS!$K$6:$K$28,$P275))*($O275-INDEX(PARAMETROS_CULTURAS!$F$6:$F$28,$P275))/MAX(INDEX(PARAMETROS_CULTURAS!$G$6:$G$28,$P275),0.0001),IF($O275&lt;=INDEX(PARAMETROS_CULTURAS!$F$6:$F$28,$P275)+INDEX(PARAMETROS_CULTURAS!$G$6:$G$28,$P275)+INDEX(PARAMETROS_CULTURAS!$H$6:$H$28,$P275),INDEX(PARAMETROS_CULTURAS!$L$6:$L$28,$P275),INDEX(PARAMETROS_CULTURAS!$L$6:$L$28,$P275)+(INDEX(PARAMETROS_CULTURAS!$M$6:$M$28,$P275)-INDEX(PARAMETROS_CULTURAS!$L$6:$L$28,$P275))*($O275-INDEX(PARAMETROS_CULTURAS!$F$6:$F$28,$P275)-INDEX(PARAMETROS_CULTURAS!$G$6:$G$28,$P275)-INDEX(PARAMETROS_CULTURAS!$H$6:$H$28,$P275))/MAX(INDEX(PARAMETROS_CULTURAS!$I$6:$I$28,$P275),0.0001)))))</f>
        <v>0.4</v>
      </c>
      <c r="S275" s="18" t="n">
        <f aca="false">IFERROR(INDEX(SEMANAS!$H$6:$H$71,MATCH($B275,SEMANAS!$B$6:$B$71,0)),0)</f>
        <v>39.2</v>
      </c>
      <c r="T275" s="18" t="n">
        <f aca="false">$R275*$S275</f>
        <v>15.68</v>
      </c>
      <c r="U275" s="18" t="n">
        <f aca="false">IFERROR(INDEX(SEMANAS!$I$6:$I$71,MATCH($B275,SEMANAS!$B$6:$B$71,0)),0)</f>
        <v>27.09</v>
      </c>
      <c r="V275" s="18" t="n">
        <f aca="false">IFERROR(INDEX(SEMANAS!$J$6:$J$71,MATCH($B275,SEMANAS!$B$6:$B$71,0)),0)</f>
        <v>21.672</v>
      </c>
      <c r="W275" s="18" t="n">
        <f aca="false">MAX(0,$T275-$V275)</f>
        <v>0</v>
      </c>
      <c r="X275" s="19" t="n">
        <f aca="false">IFERROR(INDEX(CADASTRO_PIVOS!$K$6:$K$41,MATCH($E275,CADASTRO_PIVOS!$B$6:$B$41,0)),EFICIENCIA_PADRAO)</f>
        <v>0.85</v>
      </c>
      <c r="Y275" s="18" t="n">
        <f aca="false">IF($X275&lt;=0,0,$W275/$X275)</f>
        <v>0</v>
      </c>
      <c r="Z275" s="16" t="n">
        <f aca="false">$Y275*$H275*MM_PARA_M3_HA</f>
        <v>0</v>
      </c>
      <c r="AA275" s="18" t="n">
        <f aca="false">IFERROR(INDEX(CADASTRO_PIVOS!$I$6:$I$41,MATCH($E275,CADASTRO_PIVOS!$B$6:$B$41,0)),0)</f>
        <v>711.285714285714</v>
      </c>
      <c r="AB275" s="18" t="n">
        <f aca="false">IF($Z275&lt;=0,0,$Z275/$AA275)</f>
        <v>0</v>
      </c>
      <c r="AC275" s="16" t="n">
        <f aca="false">IFERROR(INDEX(SEMANAS!$K$6:$K$71,MATCH($B275,SEMANAS!$B$6:$B$71,0)),0)</f>
        <v>147</v>
      </c>
      <c r="AD275" s="19" t="n">
        <f aca="false">IF($AC275&lt;=0,0,$AB275/$AC275)</f>
        <v>0</v>
      </c>
      <c r="AE275" s="8" t="str">
        <f aca="false">IF($K275="SEM CULTURA","SEM CULTURA",IF($AA275&lt;=0,"DADO PENDENTE",IF($AD275&gt;LIMITE_CRITICO,"INVIAVEL",IF($AD275&gt;LIMITE_ATENCAO,"CRITICO",IF($AD275&gt;LIMITE_CONFORTAVEL,"ATENCAO","OK")))))</f>
        <v>OK</v>
      </c>
      <c r="AF275" s="8" t="str">
        <f aca="false">$B275&amp;"|"&amp;TEXT($AD275,"0.000000")</f>
        <v>6|0.000000</v>
      </c>
      <c r="AG275" s="18" t="n">
        <f aca="false">IF($K275="SEM CULTURA",0,$T275*$H275)</f>
        <v>1561.4144</v>
      </c>
      <c r="AH275" s="18" t="n">
        <f aca="false">IF($K275="SEM CULTURA",0,$V275*$H275)</f>
        <v>2158.09776</v>
      </c>
      <c r="AI275" s="18" t="n">
        <f aca="false">IF($K275="SEM CULTURA",0,$W275*$H275)</f>
        <v>0</v>
      </c>
      <c r="AJ275" s="18" t="n">
        <f aca="false">IF($K275="SEM CULTURA",0,$S275*$H275)</f>
        <v>3903.536</v>
      </c>
      <c r="AK275" s="8" t="str">
        <f aca="false">$E275&amp;"|"&amp;TEXT($AD275,"0.000000")</f>
        <v>PV 107|0.000000</v>
      </c>
    </row>
    <row r="276" customFormat="false" ht="15" hidden="false" customHeight="false" outlineLevel="0" collapsed="false">
      <c r="B276" s="16" t="n">
        <v>7</v>
      </c>
      <c r="C276" s="17" t="n">
        <f aca="false">DATA_INICIO_SAFRA+($B276-1)*DIAS_POR_SEMANA</f>
        <v>46307</v>
      </c>
      <c r="D276" s="17" t="n">
        <f aca="false">$C276+DIAS_POR_SEMANA-1</f>
        <v>46313</v>
      </c>
      <c r="E276" s="15" t="s">
        <v>263</v>
      </c>
      <c r="F276" s="8" t="str">
        <f aca="false">IFERROR(INDEX(CADASTRO_PIVOS!$C$6:$C$41,MATCH($E276,CADASTRO_PIVOS!$B$6:$B$41,0)),"?")</f>
        <v>RM03</v>
      </c>
      <c r="G276" s="8" t="str">
        <f aca="false">IFERROR(INDEX(CADASTRO_PIVOS!$D$6:$D$41,MATCH($E276,CADASTRO_PIVOS!$B$6:$B$41,0)),"?")</f>
        <v>TR03</v>
      </c>
      <c r="H276" s="20" t="n">
        <f aca="false">IFERROR(INDEX(CADASTRO_PIVOS!$E$6:$E$41,MATCH($E276,CADASTRO_PIVOS!$B$6:$B$41,0)),0)</f>
        <v>99.58</v>
      </c>
      <c r="I276" s="16" t="n">
        <f aca="false">IFERROR(SUMIFS(ROTACAO_RDM!$B$6:$B$71,ROTACAO_RDM!$D$6:$D$71,$E276,ROTACAO_RDM!$I$6:$I$71,"&lt;="&amp;$C276+INT(DIAS_POR_SEMANA/2),ROTACAO_RDM!$J$6:$J$71,"&gt;="&amp;$C276+INT(DIAS_POR_SEMANA/2)),0)</f>
        <v>12</v>
      </c>
      <c r="J276" s="16" t="n">
        <f aca="false">IFERROR(MATCH($I276,ROTACAO_RDM!$B$6:$B$71,0),0)</f>
        <v>12</v>
      </c>
      <c r="K276" s="8" t="str">
        <f aca="false">IF($J276=0,"SEM CULTURA",INDEX(ROTACAO_RDM!$F$6:$F$71,$J276))</f>
        <v>SOJA</v>
      </c>
      <c r="L276" s="8" t="str">
        <f aca="false">IF($J276=0,"",INDEX(ROTACAO_RDM!$G$6:$G$71,$J276))</f>
        <v>NEO 761 I2X</v>
      </c>
      <c r="M276" s="17" t="n">
        <f aca="false">IF($J276=0,"",INDEX(ROTACAO_RDM!$I$6:$I$71,$J276))</f>
        <v>46293</v>
      </c>
      <c r="N276" s="16" t="n">
        <f aca="false">IF($J276=0,0,MAX(0,$C276+INT(DIAS_POR_SEMANA/2)-INDEX(ROTACAO_RDM!$I$6:$I$71,$J276)))</f>
        <v>17</v>
      </c>
      <c r="O276" s="19" t="n">
        <f aca="false">IF($J276=0,0,MIN(1,$N276/MAX(1,INDEX(ROTACAO_RDM!$K$6:$K$71,$J276))))</f>
        <v>0.146551724137931</v>
      </c>
      <c r="P276" s="16" t="n">
        <f aca="false">IF($J276=0,0,IFERROR(MATCH(INDEX(ROTACAO_RDM!$N$6:$N$71,$J276),PARAMETROS_CULTURAS!$B$6:$B$28,0),0))</f>
        <v>2</v>
      </c>
      <c r="Q276" s="8" t="str">
        <f aca="false">IF($P276=0,"-",IF($O276&lt;=INDEX(PARAMETROS_CULTURAS!$F$6:$F$28,$P276),"INICIAL",IF($O276&lt;=INDEX(PARAMETROS_CULTURAS!$F$6:$F$28,$P276)+INDEX(PARAMETROS_CULTURAS!$G$6:$G$28,$P276),"DESENVOLVIMENTO",IF($O276&lt;=INDEX(PARAMETROS_CULTURAS!$F$6:$F$28,$P276)+INDEX(PARAMETROS_CULTURAS!$G$6:$G$28,$P276)+INDEX(PARAMETROS_CULTURAS!$H$6:$H$28,$P276),"MEDIA","FINAL"))))</f>
        <v>INICIAL</v>
      </c>
      <c r="R276" s="24" t="n">
        <f aca="false">IF($P276=0,0,IF($O276&lt;=INDEX(PARAMETROS_CULTURAS!$F$6:$F$28,$P276),INDEX(PARAMETROS_CULTURAS!$K$6:$K$28,$P276),IF($O276&lt;=INDEX(PARAMETROS_CULTURAS!$F$6:$F$28,$P276)+INDEX(PARAMETROS_CULTURAS!$G$6:$G$28,$P276),INDEX(PARAMETROS_CULTURAS!$K$6:$K$28,$P276)+(INDEX(PARAMETROS_CULTURAS!$L$6:$L$28,$P276)-INDEX(PARAMETROS_CULTURAS!$K$6:$K$28,$P276))*($O276-INDEX(PARAMETROS_CULTURAS!$F$6:$F$28,$P276))/MAX(INDEX(PARAMETROS_CULTURAS!$G$6:$G$28,$P276),0.0001),IF($O276&lt;=INDEX(PARAMETROS_CULTURAS!$F$6:$F$28,$P276)+INDEX(PARAMETROS_CULTURAS!$G$6:$G$28,$P276)+INDEX(PARAMETROS_CULTURAS!$H$6:$H$28,$P276),INDEX(PARAMETROS_CULTURAS!$L$6:$L$28,$P276),INDEX(PARAMETROS_CULTURAS!$L$6:$L$28,$P276)+(INDEX(PARAMETROS_CULTURAS!$M$6:$M$28,$P276)-INDEX(PARAMETROS_CULTURAS!$L$6:$L$28,$P276))*($O276-INDEX(PARAMETROS_CULTURAS!$F$6:$F$28,$P276)-INDEX(PARAMETROS_CULTURAS!$G$6:$G$28,$P276)-INDEX(PARAMETROS_CULTURAS!$H$6:$H$28,$P276))/MAX(INDEX(PARAMETROS_CULTURAS!$I$6:$I$28,$P276),0.0001)))))</f>
        <v>0.4</v>
      </c>
      <c r="S276" s="18" t="n">
        <f aca="false">IFERROR(INDEX(SEMANAS!$H$6:$H$71,MATCH($B276,SEMANAS!$B$6:$B$71,0)),0)</f>
        <v>39.2</v>
      </c>
      <c r="T276" s="18" t="n">
        <f aca="false">$R276*$S276</f>
        <v>15.68</v>
      </c>
      <c r="U276" s="18" t="n">
        <f aca="false">IFERROR(INDEX(SEMANAS!$I$6:$I$71,MATCH($B276,SEMANAS!$B$6:$B$71,0)),0)</f>
        <v>27.09</v>
      </c>
      <c r="V276" s="18" t="n">
        <f aca="false">IFERROR(INDEX(SEMANAS!$J$6:$J$71,MATCH($B276,SEMANAS!$B$6:$B$71,0)),0)</f>
        <v>21.672</v>
      </c>
      <c r="W276" s="18" t="n">
        <f aca="false">MAX(0,$T276-$V276)</f>
        <v>0</v>
      </c>
      <c r="X276" s="19" t="n">
        <f aca="false">IFERROR(INDEX(CADASTRO_PIVOS!$K$6:$K$41,MATCH($E276,CADASTRO_PIVOS!$B$6:$B$41,0)),EFICIENCIA_PADRAO)</f>
        <v>0.85</v>
      </c>
      <c r="Y276" s="18" t="n">
        <f aca="false">IF($X276&lt;=0,0,$W276/$X276)</f>
        <v>0</v>
      </c>
      <c r="Z276" s="16" t="n">
        <f aca="false">$Y276*$H276*MM_PARA_M3_HA</f>
        <v>0</v>
      </c>
      <c r="AA276" s="18" t="n">
        <f aca="false">IFERROR(INDEX(CADASTRO_PIVOS!$I$6:$I$41,MATCH($E276,CADASTRO_PIVOS!$B$6:$B$41,0)),0)</f>
        <v>711.285714285714</v>
      </c>
      <c r="AB276" s="18" t="n">
        <f aca="false">IF($Z276&lt;=0,0,$Z276/$AA276)</f>
        <v>0</v>
      </c>
      <c r="AC276" s="16" t="n">
        <f aca="false">IFERROR(INDEX(SEMANAS!$K$6:$K$71,MATCH($B276,SEMANAS!$B$6:$B$71,0)),0)</f>
        <v>147</v>
      </c>
      <c r="AD276" s="19" t="n">
        <f aca="false">IF($AC276&lt;=0,0,$AB276/$AC276)</f>
        <v>0</v>
      </c>
      <c r="AE276" s="8" t="str">
        <f aca="false">IF($K276="SEM CULTURA","SEM CULTURA",IF($AA276&lt;=0,"DADO PENDENTE",IF($AD276&gt;LIMITE_CRITICO,"INVIAVEL",IF($AD276&gt;LIMITE_ATENCAO,"CRITICO",IF($AD276&gt;LIMITE_CONFORTAVEL,"ATENCAO","OK")))))</f>
        <v>OK</v>
      </c>
      <c r="AF276" s="8" t="str">
        <f aca="false">$B276&amp;"|"&amp;TEXT($AD276,"0.000000")</f>
        <v>7|0.000000</v>
      </c>
      <c r="AG276" s="18" t="n">
        <f aca="false">IF($K276="SEM CULTURA",0,$T276*$H276)</f>
        <v>1561.4144</v>
      </c>
      <c r="AH276" s="18" t="n">
        <f aca="false">IF($K276="SEM CULTURA",0,$V276*$H276)</f>
        <v>2158.09776</v>
      </c>
      <c r="AI276" s="18" t="n">
        <f aca="false">IF($K276="SEM CULTURA",0,$W276*$H276)</f>
        <v>0</v>
      </c>
      <c r="AJ276" s="18" t="n">
        <f aca="false">IF($K276="SEM CULTURA",0,$S276*$H276)</f>
        <v>3903.536</v>
      </c>
      <c r="AK276" s="8" t="str">
        <f aca="false">$E276&amp;"|"&amp;TEXT($AD276,"0.000000")</f>
        <v>PV 107|0.000000</v>
      </c>
    </row>
    <row r="277" customFormat="false" ht="15" hidden="false" customHeight="false" outlineLevel="0" collapsed="false">
      <c r="B277" s="16" t="n">
        <v>8</v>
      </c>
      <c r="C277" s="17" t="n">
        <f aca="false">DATA_INICIO_SAFRA+($B277-1)*DIAS_POR_SEMANA</f>
        <v>46314</v>
      </c>
      <c r="D277" s="17" t="n">
        <f aca="false">$C277+DIAS_POR_SEMANA-1</f>
        <v>46320</v>
      </c>
      <c r="E277" s="15" t="s">
        <v>263</v>
      </c>
      <c r="F277" s="8" t="str">
        <f aca="false">IFERROR(INDEX(CADASTRO_PIVOS!$C$6:$C$41,MATCH($E277,CADASTRO_PIVOS!$B$6:$B$41,0)),"?")</f>
        <v>RM03</v>
      </c>
      <c r="G277" s="8" t="str">
        <f aca="false">IFERROR(INDEX(CADASTRO_PIVOS!$D$6:$D$41,MATCH($E277,CADASTRO_PIVOS!$B$6:$B$41,0)),"?")</f>
        <v>TR03</v>
      </c>
      <c r="H277" s="20" t="n">
        <f aca="false">IFERROR(INDEX(CADASTRO_PIVOS!$E$6:$E$41,MATCH($E277,CADASTRO_PIVOS!$B$6:$B$41,0)),0)</f>
        <v>99.58</v>
      </c>
      <c r="I277" s="16" t="n">
        <f aca="false">IFERROR(SUMIFS(ROTACAO_RDM!$B$6:$B$71,ROTACAO_RDM!$D$6:$D$71,$E277,ROTACAO_RDM!$I$6:$I$71,"&lt;="&amp;$C277+INT(DIAS_POR_SEMANA/2),ROTACAO_RDM!$J$6:$J$71,"&gt;="&amp;$C277+INT(DIAS_POR_SEMANA/2)),0)</f>
        <v>12</v>
      </c>
      <c r="J277" s="16" t="n">
        <f aca="false">IFERROR(MATCH($I277,ROTACAO_RDM!$B$6:$B$71,0),0)</f>
        <v>12</v>
      </c>
      <c r="K277" s="8" t="str">
        <f aca="false">IF($J277=0,"SEM CULTURA",INDEX(ROTACAO_RDM!$F$6:$F$71,$J277))</f>
        <v>SOJA</v>
      </c>
      <c r="L277" s="8" t="str">
        <f aca="false">IF($J277=0,"",INDEX(ROTACAO_RDM!$G$6:$G$71,$J277))</f>
        <v>NEO 761 I2X</v>
      </c>
      <c r="M277" s="17" t="n">
        <f aca="false">IF($J277=0,"",INDEX(ROTACAO_RDM!$I$6:$I$71,$J277))</f>
        <v>46293</v>
      </c>
      <c r="N277" s="16" t="n">
        <f aca="false">IF($J277=0,0,MAX(0,$C277+INT(DIAS_POR_SEMANA/2)-INDEX(ROTACAO_RDM!$I$6:$I$71,$J277)))</f>
        <v>24</v>
      </c>
      <c r="O277" s="19" t="n">
        <f aca="false">IF($J277=0,0,MIN(1,$N277/MAX(1,INDEX(ROTACAO_RDM!$K$6:$K$71,$J277))))</f>
        <v>0.206896551724138</v>
      </c>
      <c r="P277" s="16" t="n">
        <f aca="false">IF($J277=0,0,IFERROR(MATCH(INDEX(ROTACAO_RDM!$N$6:$N$71,$J277),PARAMETROS_CULTURAS!$B$6:$B$28,0),0))</f>
        <v>2</v>
      </c>
      <c r="Q277" s="8" t="str">
        <f aca="false">IF($P277=0,"-",IF($O277&lt;=INDEX(PARAMETROS_CULTURAS!$F$6:$F$28,$P277),"INICIAL",IF($O277&lt;=INDEX(PARAMETROS_CULTURAS!$F$6:$F$28,$P277)+INDEX(PARAMETROS_CULTURAS!$G$6:$G$28,$P277),"DESENVOLVIMENTO",IF($O277&lt;=INDEX(PARAMETROS_CULTURAS!$F$6:$F$28,$P277)+INDEX(PARAMETROS_CULTURAS!$G$6:$G$28,$P277)+INDEX(PARAMETROS_CULTURAS!$H$6:$H$28,$P277),"MEDIA","FINAL"))))</f>
        <v>DESENVOLVIMENTO</v>
      </c>
      <c r="R277" s="24" t="n">
        <f aca="false">IF($P277=0,0,IF($O277&lt;=INDEX(PARAMETROS_CULTURAS!$F$6:$F$28,$P277),INDEX(PARAMETROS_CULTURAS!$K$6:$K$28,$P277),IF($O277&lt;=INDEX(PARAMETROS_CULTURAS!$F$6:$F$28,$P277)+INDEX(PARAMETROS_CULTURAS!$G$6:$G$28,$P277),INDEX(PARAMETROS_CULTURAS!$K$6:$K$28,$P277)+(INDEX(PARAMETROS_CULTURAS!$L$6:$L$28,$P277)-INDEX(PARAMETROS_CULTURAS!$K$6:$K$28,$P277))*($O277-INDEX(PARAMETROS_CULTURAS!$F$6:$F$28,$P277))/MAX(INDEX(PARAMETROS_CULTURAS!$G$6:$G$28,$P277),0.0001),IF($O277&lt;=INDEX(PARAMETROS_CULTURAS!$F$6:$F$28,$P277)+INDEX(PARAMETROS_CULTURAS!$G$6:$G$28,$P277)+INDEX(PARAMETROS_CULTURAS!$H$6:$H$28,$P277),INDEX(PARAMETROS_CULTURAS!$L$6:$L$28,$P277),INDEX(PARAMETROS_CULTURAS!$L$6:$L$28,$P277)+(INDEX(PARAMETROS_CULTURAS!$M$6:$M$28,$P277)-INDEX(PARAMETROS_CULTURAS!$L$6:$L$28,$P277))*($O277-INDEX(PARAMETROS_CULTURAS!$F$6:$F$28,$P277)-INDEX(PARAMETROS_CULTURAS!$G$6:$G$28,$P277)-INDEX(PARAMETROS_CULTURAS!$H$6:$H$28,$P277))/MAX(INDEX(PARAMETROS_CULTURAS!$I$6:$I$28,$P277),0.0001)))))</f>
        <v>0.552923538230885</v>
      </c>
      <c r="S277" s="18" t="n">
        <f aca="false">IFERROR(INDEX(SEMANAS!$H$6:$H$71,MATCH($B277,SEMANAS!$B$6:$B$71,0)),0)</f>
        <v>39.2</v>
      </c>
      <c r="T277" s="18" t="n">
        <f aca="false">$R277*$S277</f>
        <v>21.6746026986507</v>
      </c>
      <c r="U277" s="18" t="n">
        <f aca="false">IFERROR(INDEX(SEMANAS!$I$6:$I$71,MATCH($B277,SEMANAS!$B$6:$B$71,0)),0)</f>
        <v>27.09</v>
      </c>
      <c r="V277" s="18" t="n">
        <f aca="false">IFERROR(INDEX(SEMANAS!$J$6:$J$71,MATCH($B277,SEMANAS!$B$6:$B$71,0)),0)</f>
        <v>21.672</v>
      </c>
      <c r="W277" s="18" t="n">
        <f aca="false">MAX(0,$T277-$V277)</f>
        <v>0.00260269865067286</v>
      </c>
      <c r="X277" s="19" t="n">
        <f aca="false">IFERROR(INDEX(CADASTRO_PIVOS!$K$6:$K$41,MATCH($E277,CADASTRO_PIVOS!$B$6:$B$41,0)),EFICIENCIA_PADRAO)</f>
        <v>0.85</v>
      </c>
      <c r="Y277" s="18" t="n">
        <f aca="false">IF($X277&lt;=0,0,$W277/$X277)</f>
        <v>0.00306199841255631</v>
      </c>
      <c r="Z277" s="16" t="n">
        <f aca="false">$Y277*$H277*MM_PARA_M3_HA</f>
        <v>3.04913801922357</v>
      </c>
      <c r="AA277" s="18" t="n">
        <f aca="false">IFERROR(INDEX(CADASTRO_PIVOS!$I$6:$I$41,MATCH($E277,CADASTRO_PIVOS!$B$6:$B$41,0)),0)</f>
        <v>711.285714285714</v>
      </c>
      <c r="AB277" s="18" t="n">
        <f aca="false">IF($Z277&lt;=0,0,$Z277/$AA277)</f>
        <v>0.00428679777757883</v>
      </c>
      <c r="AC277" s="16" t="n">
        <f aca="false">IFERROR(INDEX(SEMANAS!$K$6:$K$71,MATCH($B277,SEMANAS!$B$6:$B$71,0)),0)</f>
        <v>147</v>
      </c>
      <c r="AD277" s="19" t="n">
        <f aca="false">IF($AC277&lt;=0,0,$AB277/$AC277)</f>
        <v>2.91618896433934E-005</v>
      </c>
      <c r="AE277" s="8" t="str">
        <f aca="false">IF($K277="SEM CULTURA","SEM CULTURA",IF($AA277&lt;=0,"DADO PENDENTE",IF($AD277&gt;LIMITE_CRITICO,"INVIAVEL",IF($AD277&gt;LIMITE_ATENCAO,"CRITICO",IF($AD277&gt;LIMITE_CONFORTAVEL,"ATENCAO","OK")))))</f>
        <v>OK</v>
      </c>
      <c r="AF277" s="8" t="str">
        <f aca="false">$B277&amp;"|"&amp;TEXT($AD277,"0.000000")</f>
        <v>8|0.000029</v>
      </c>
      <c r="AG277" s="18" t="n">
        <f aca="false">IF($K277="SEM CULTURA",0,$T277*$H277)</f>
        <v>2158.35693673163</v>
      </c>
      <c r="AH277" s="18" t="n">
        <f aca="false">IF($K277="SEM CULTURA",0,$V277*$H277)</f>
        <v>2158.09776</v>
      </c>
      <c r="AI277" s="18" t="n">
        <f aca="false">IF($K277="SEM CULTURA",0,$W277*$H277)</f>
        <v>0.259176731634004</v>
      </c>
      <c r="AJ277" s="18" t="n">
        <f aca="false">IF($K277="SEM CULTURA",0,$S277*$H277)</f>
        <v>3903.536</v>
      </c>
      <c r="AK277" s="8" t="str">
        <f aca="false">$E277&amp;"|"&amp;TEXT($AD277,"0.000000")</f>
        <v>PV 107|0.000029</v>
      </c>
    </row>
    <row r="278" customFormat="false" ht="15" hidden="false" customHeight="false" outlineLevel="0" collapsed="false">
      <c r="B278" s="16" t="n">
        <v>9</v>
      </c>
      <c r="C278" s="17" t="n">
        <f aca="false">DATA_INICIO_SAFRA+($B278-1)*DIAS_POR_SEMANA</f>
        <v>46321</v>
      </c>
      <c r="D278" s="17" t="n">
        <f aca="false">$C278+DIAS_POR_SEMANA-1</f>
        <v>46327</v>
      </c>
      <c r="E278" s="15" t="s">
        <v>263</v>
      </c>
      <c r="F278" s="8" t="str">
        <f aca="false">IFERROR(INDEX(CADASTRO_PIVOS!$C$6:$C$41,MATCH($E278,CADASTRO_PIVOS!$B$6:$B$41,0)),"?")</f>
        <v>RM03</v>
      </c>
      <c r="G278" s="8" t="str">
        <f aca="false">IFERROR(INDEX(CADASTRO_PIVOS!$D$6:$D$41,MATCH($E278,CADASTRO_PIVOS!$B$6:$B$41,0)),"?")</f>
        <v>TR03</v>
      </c>
      <c r="H278" s="20" t="n">
        <f aca="false">IFERROR(INDEX(CADASTRO_PIVOS!$E$6:$E$41,MATCH($E278,CADASTRO_PIVOS!$B$6:$B$41,0)),0)</f>
        <v>99.58</v>
      </c>
      <c r="I278" s="16" t="n">
        <f aca="false">IFERROR(SUMIFS(ROTACAO_RDM!$B$6:$B$71,ROTACAO_RDM!$D$6:$D$71,$E278,ROTACAO_RDM!$I$6:$I$71,"&lt;="&amp;$C278+INT(DIAS_POR_SEMANA/2),ROTACAO_RDM!$J$6:$J$71,"&gt;="&amp;$C278+INT(DIAS_POR_SEMANA/2)),0)</f>
        <v>12</v>
      </c>
      <c r="J278" s="16" t="n">
        <f aca="false">IFERROR(MATCH($I278,ROTACAO_RDM!$B$6:$B$71,0),0)</f>
        <v>12</v>
      </c>
      <c r="K278" s="8" t="str">
        <f aca="false">IF($J278=0,"SEM CULTURA",INDEX(ROTACAO_RDM!$F$6:$F$71,$J278))</f>
        <v>SOJA</v>
      </c>
      <c r="L278" s="8" t="str">
        <f aca="false">IF($J278=0,"",INDEX(ROTACAO_RDM!$G$6:$G$71,$J278))</f>
        <v>NEO 761 I2X</v>
      </c>
      <c r="M278" s="17" t="n">
        <f aca="false">IF($J278=0,"",INDEX(ROTACAO_RDM!$I$6:$I$71,$J278))</f>
        <v>46293</v>
      </c>
      <c r="N278" s="16" t="n">
        <f aca="false">IF($J278=0,0,MAX(0,$C278+INT(DIAS_POR_SEMANA/2)-INDEX(ROTACAO_RDM!$I$6:$I$71,$J278)))</f>
        <v>31</v>
      </c>
      <c r="O278" s="19" t="n">
        <f aca="false">IF($J278=0,0,MIN(1,$N278/MAX(1,INDEX(ROTACAO_RDM!$K$6:$K$71,$J278))))</f>
        <v>0.267241379310345</v>
      </c>
      <c r="P278" s="16" t="n">
        <f aca="false">IF($J278=0,0,IFERROR(MATCH(INDEX(ROTACAO_RDM!$N$6:$N$71,$J278),PARAMETROS_CULTURAS!$B$6:$B$28,0),0))</f>
        <v>2</v>
      </c>
      <c r="Q278" s="8" t="str">
        <f aca="false">IF($P278=0,"-",IF($O278&lt;=INDEX(PARAMETROS_CULTURAS!$F$6:$F$28,$P278),"INICIAL",IF($O278&lt;=INDEX(PARAMETROS_CULTURAS!$F$6:$F$28,$P278)+INDEX(PARAMETROS_CULTURAS!$G$6:$G$28,$P278),"DESENVOLVIMENTO",IF($O278&lt;=INDEX(PARAMETROS_CULTURAS!$F$6:$F$28,$P278)+INDEX(PARAMETROS_CULTURAS!$G$6:$G$28,$P278)+INDEX(PARAMETROS_CULTURAS!$H$6:$H$28,$P278),"MEDIA","FINAL"))))</f>
        <v>DESENVOLVIMENTO</v>
      </c>
      <c r="R278" s="24" t="n">
        <f aca="false">IF($P278=0,0,IF($O278&lt;=INDEX(PARAMETROS_CULTURAS!$F$6:$F$28,$P278),INDEX(PARAMETROS_CULTURAS!$K$6:$K$28,$P278),IF($O278&lt;=INDEX(PARAMETROS_CULTURAS!$F$6:$F$28,$P278)+INDEX(PARAMETROS_CULTURAS!$G$6:$G$28,$P278),INDEX(PARAMETROS_CULTURAS!$K$6:$K$28,$P278)+(INDEX(PARAMETROS_CULTURAS!$L$6:$L$28,$P278)-INDEX(PARAMETROS_CULTURAS!$K$6:$K$28,$P278))*($O278-INDEX(PARAMETROS_CULTURAS!$F$6:$F$28,$P278))/MAX(INDEX(PARAMETROS_CULTURAS!$G$6:$G$28,$P278),0.0001),IF($O278&lt;=INDEX(PARAMETROS_CULTURAS!$F$6:$F$28,$P278)+INDEX(PARAMETROS_CULTURAS!$G$6:$G$28,$P278)+INDEX(PARAMETROS_CULTURAS!$H$6:$H$28,$P278),INDEX(PARAMETROS_CULTURAS!$L$6:$L$28,$P278),INDEX(PARAMETROS_CULTURAS!$L$6:$L$28,$P278)+(INDEX(PARAMETROS_CULTURAS!$M$6:$M$28,$P278)-INDEX(PARAMETROS_CULTURAS!$L$6:$L$28,$P278))*($O278-INDEX(PARAMETROS_CULTURAS!$F$6:$F$28,$P278)-INDEX(PARAMETROS_CULTURAS!$G$6:$G$28,$P278)-INDEX(PARAMETROS_CULTURAS!$H$6:$H$28,$P278))/MAX(INDEX(PARAMETROS_CULTURAS!$I$6:$I$28,$P278),0.0001)))))</f>
        <v>0.749700149925037</v>
      </c>
      <c r="S278" s="18" t="n">
        <f aca="false">IFERROR(INDEX(SEMANAS!$H$6:$H$71,MATCH($B278,SEMANAS!$B$6:$B$71,0)),0)</f>
        <v>38.5</v>
      </c>
      <c r="T278" s="18" t="n">
        <f aca="false">$R278*$S278</f>
        <v>28.8634557721139</v>
      </c>
      <c r="U278" s="18" t="n">
        <f aca="false">IFERROR(INDEX(SEMANAS!$I$6:$I$71,MATCH($B278,SEMANAS!$B$6:$B$71,0)),0)</f>
        <v>29.89</v>
      </c>
      <c r="V278" s="18" t="n">
        <f aca="false">IFERROR(INDEX(SEMANAS!$J$6:$J$71,MATCH($B278,SEMANAS!$B$6:$B$71,0)),0)</f>
        <v>23.912</v>
      </c>
      <c r="W278" s="18" t="n">
        <f aca="false">MAX(0,$T278-$V278)</f>
        <v>4.95145577211394</v>
      </c>
      <c r="X278" s="19" t="n">
        <f aca="false">IFERROR(INDEX(CADASTRO_PIVOS!$K$6:$K$41,MATCH($E278,CADASTRO_PIVOS!$B$6:$B$41,0)),EFICIENCIA_PADRAO)</f>
        <v>0.85</v>
      </c>
      <c r="Y278" s="18" t="n">
        <f aca="false">IF($X278&lt;=0,0,$W278/$X278)</f>
        <v>5.82524208483993</v>
      </c>
      <c r="Z278" s="16" t="n">
        <f aca="false">$Y278*$H278*MM_PARA_M3_HA</f>
        <v>5800.7760680836</v>
      </c>
      <c r="AA278" s="18" t="n">
        <f aca="false">IFERROR(INDEX(CADASTRO_PIVOS!$I$6:$I$41,MATCH($E278,CADASTRO_PIVOS!$B$6:$B$41,0)),0)</f>
        <v>711.285714285714</v>
      </c>
      <c r="AB278" s="18" t="n">
        <f aca="false">IF($Z278&lt;=0,0,$Z278/$AA278)</f>
        <v>8.1553389187759</v>
      </c>
      <c r="AC278" s="16" t="n">
        <f aca="false">IFERROR(INDEX(SEMANAS!$K$6:$K$71,MATCH($B278,SEMANAS!$B$6:$B$71,0)),0)</f>
        <v>147</v>
      </c>
      <c r="AD278" s="19" t="n">
        <f aca="false">IF($AC278&lt;=0,0,$AB278/$AC278)</f>
        <v>0.0554784960460946</v>
      </c>
      <c r="AE278" s="8" t="str">
        <f aca="false">IF($K278="SEM CULTURA","SEM CULTURA",IF($AA278&lt;=0,"DADO PENDENTE",IF($AD278&gt;LIMITE_CRITICO,"INVIAVEL",IF($AD278&gt;LIMITE_ATENCAO,"CRITICO",IF($AD278&gt;LIMITE_CONFORTAVEL,"ATENCAO","OK")))))</f>
        <v>OK</v>
      </c>
      <c r="AF278" s="8" t="str">
        <f aca="false">$B278&amp;"|"&amp;TEXT($AD278,"0.000000")</f>
        <v>9|0.055478</v>
      </c>
      <c r="AG278" s="18" t="n">
        <f aca="false">IF($K278="SEM CULTURA",0,$T278*$H278)</f>
        <v>2874.22292578711</v>
      </c>
      <c r="AH278" s="18" t="n">
        <f aca="false">IF($K278="SEM CULTURA",0,$V278*$H278)</f>
        <v>2381.15696</v>
      </c>
      <c r="AI278" s="18" t="n">
        <f aca="false">IF($K278="SEM CULTURA",0,$W278*$H278)</f>
        <v>493.065965787106</v>
      </c>
      <c r="AJ278" s="18" t="n">
        <f aca="false">IF($K278="SEM CULTURA",0,$S278*$H278)</f>
        <v>3833.83</v>
      </c>
      <c r="AK278" s="8" t="str">
        <f aca="false">$E278&amp;"|"&amp;TEXT($AD278,"0.000000")</f>
        <v>PV 107|0.055478</v>
      </c>
    </row>
    <row r="279" customFormat="false" ht="15" hidden="false" customHeight="false" outlineLevel="0" collapsed="false">
      <c r="B279" s="16" t="n">
        <v>10</v>
      </c>
      <c r="C279" s="17" t="n">
        <f aca="false">DATA_INICIO_SAFRA+($B279-1)*DIAS_POR_SEMANA</f>
        <v>46328</v>
      </c>
      <c r="D279" s="17" t="n">
        <f aca="false">$C279+DIAS_POR_SEMANA-1</f>
        <v>46334</v>
      </c>
      <c r="E279" s="15" t="s">
        <v>263</v>
      </c>
      <c r="F279" s="8" t="str">
        <f aca="false">IFERROR(INDEX(CADASTRO_PIVOS!$C$6:$C$41,MATCH($E279,CADASTRO_PIVOS!$B$6:$B$41,0)),"?")</f>
        <v>RM03</v>
      </c>
      <c r="G279" s="8" t="str">
        <f aca="false">IFERROR(INDEX(CADASTRO_PIVOS!$D$6:$D$41,MATCH($E279,CADASTRO_PIVOS!$B$6:$B$41,0)),"?")</f>
        <v>TR03</v>
      </c>
      <c r="H279" s="20" t="n">
        <f aca="false">IFERROR(INDEX(CADASTRO_PIVOS!$E$6:$E$41,MATCH($E279,CADASTRO_PIVOS!$B$6:$B$41,0)),0)</f>
        <v>99.58</v>
      </c>
      <c r="I279" s="16" t="n">
        <f aca="false">IFERROR(SUMIFS(ROTACAO_RDM!$B$6:$B$71,ROTACAO_RDM!$D$6:$D$71,$E279,ROTACAO_RDM!$I$6:$I$71,"&lt;="&amp;$C279+INT(DIAS_POR_SEMANA/2),ROTACAO_RDM!$J$6:$J$71,"&gt;="&amp;$C279+INT(DIAS_POR_SEMANA/2)),0)</f>
        <v>12</v>
      </c>
      <c r="J279" s="16" t="n">
        <f aca="false">IFERROR(MATCH($I279,ROTACAO_RDM!$B$6:$B$71,0),0)</f>
        <v>12</v>
      </c>
      <c r="K279" s="8" t="str">
        <f aca="false">IF($J279=0,"SEM CULTURA",INDEX(ROTACAO_RDM!$F$6:$F$71,$J279))</f>
        <v>SOJA</v>
      </c>
      <c r="L279" s="8" t="str">
        <f aca="false">IF($J279=0,"",INDEX(ROTACAO_RDM!$G$6:$G$71,$J279))</f>
        <v>NEO 761 I2X</v>
      </c>
      <c r="M279" s="17" t="n">
        <f aca="false">IF($J279=0,"",INDEX(ROTACAO_RDM!$I$6:$I$71,$J279))</f>
        <v>46293</v>
      </c>
      <c r="N279" s="16" t="n">
        <f aca="false">IF($J279=0,0,MAX(0,$C279+INT(DIAS_POR_SEMANA/2)-INDEX(ROTACAO_RDM!$I$6:$I$71,$J279)))</f>
        <v>38</v>
      </c>
      <c r="O279" s="19" t="n">
        <f aca="false">IF($J279=0,0,MIN(1,$N279/MAX(1,INDEX(ROTACAO_RDM!$K$6:$K$71,$J279))))</f>
        <v>0.327586206896552</v>
      </c>
      <c r="P279" s="16" t="n">
        <f aca="false">IF($J279=0,0,IFERROR(MATCH(INDEX(ROTACAO_RDM!$N$6:$N$71,$J279),PARAMETROS_CULTURAS!$B$6:$B$28,0),0))</f>
        <v>2</v>
      </c>
      <c r="Q279" s="8" t="str">
        <f aca="false">IF($P279=0,"-",IF($O279&lt;=INDEX(PARAMETROS_CULTURAS!$F$6:$F$28,$P279),"INICIAL",IF($O279&lt;=INDEX(PARAMETROS_CULTURAS!$F$6:$F$28,$P279)+INDEX(PARAMETROS_CULTURAS!$G$6:$G$28,$P279),"DESENVOLVIMENTO",IF($O279&lt;=INDEX(PARAMETROS_CULTURAS!$F$6:$F$28,$P279)+INDEX(PARAMETROS_CULTURAS!$G$6:$G$28,$P279)+INDEX(PARAMETROS_CULTURAS!$H$6:$H$28,$P279),"MEDIA","FINAL"))))</f>
        <v>DESENVOLVIMENTO</v>
      </c>
      <c r="R279" s="24" t="n">
        <f aca="false">IF($P279=0,0,IF($O279&lt;=INDEX(PARAMETROS_CULTURAS!$F$6:$F$28,$P279),INDEX(PARAMETROS_CULTURAS!$K$6:$K$28,$P279),IF($O279&lt;=INDEX(PARAMETROS_CULTURAS!$F$6:$F$28,$P279)+INDEX(PARAMETROS_CULTURAS!$G$6:$G$28,$P279),INDEX(PARAMETROS_CULTURAS!$K$6:$K$28,$P279)+(INDEX(PARAMETROS_CULTURAS!$L$6:$L$28,$P279)-INDEX(PARAMETROS_CULTURAS!$K$6:$K$28,$P279))*($O279-INDEX(PARAMETROS_CULTURAS!$F$6:$F$28,$P279))/MAX(INDEX(PARAMETROS_CULTURAS!$G$6:$G$28,$P279),0.0001),IF($O279&lt;=INDEX(PARAMETROS_CULTURAS!$F$6:$F$28,$P279)+INDEX(PARAMETROS_CULTURAS!$G$6:$G$28,$P279)+INDEX(PARAMETROS_CULTURAS!$H$6:$H$28,$P279),INDEX(PARAMETROS_CULTURAS!$L$6:$L$28,$P279),INDEX(PARAMETROS_CULTURAS!$L$6:$L$28,$P279)+(INDEX(PARAMETROS_CULTURAS!$M$6:$M$28,$P279)-INDEX(PARAMETROS_CULTURAS!$L$6:$L$28,$P279))*($O279-INDEX(PARAMETROS_CULTURAS!$F$6:$F$28,$P279)-INDEX(PARAMETROS_CULTURAS!$G$6:$G$28,$P279)-INDEX(PARAMETROS_CULTURAS!$H$6:$H$28,$P279))/MAX(INDEX(PARAMETROS_CULTURAS!$I$6:$I$28,$P279),0.0001)))))</f>
        <v>0.94647676161919</v>
      </c>
      <c r="S279" s="18" t="n">
        <f aca="false">IFERROR(INDEX(SEMANAS!$H$6:$H$71,MATCH($B279,SEMANAS!$B$6:$B$71,0)),0)</f>
        <v>34.3</v>
      </c>
      <c r="T279" s="18" t="n">
        <f aca="false">$R279*$S279</f>
        <v>32.4641529235382</v>
      </c>
      <c r="U279" s="18" t="n">
        <f aca="false">IFERROR(INDEX(SEMANAS!$I$6:$I$71,MATCH($B279,SEMANAS!$B$6:$B$71,0)),0)</f>
        <v>46.69</v>
      </c>
      <c r="V279" s="18" t="n">
        <f aca="false">IFERROR(INDEX(SEMANAS!$J$6:$J$71,MATCH($B279,SEMANAS!$B$6:$B$71,0)),0)</f>
        <v>37.352</v>
      </c>
      <c r="W279" s="18" t="n">
        <f aca="false">MAX(0,$T279-$V279)</f>
        <v>0</v>
      </c>
      <c r="X279" s="19" t="n">
        <f aca="false">IFERROR(INDEX(CADASTRO_PIVOS!$K$6:$K$41,MATCH($E279,CADASTRO_PIVOS!$B$6:$B$41,0)),EFICIENCIA_PADRAO)</f>
        <v>0.85</v>
      </c>
      <c r="Y279" s="18" t="n">
        <f aca="false">IF($X279&lt;=0,0,$W279/$X279)</f>
        <v>0</v>
      </c>
      <c r="Z279" s="16" t="n">
        <f aca="false">$Y279*$H279*MM_PARA_M3_HA</f>
        <v>0</v>
      </c>
      <c r="AA279" s="18" t="n">
        <f aca="false">IFERROR(INDEX(CADASTRO_PIVOS!$I$6:$I$41,MATCH($E279,CADASTRO_PIVOS!$B$6:$B$41,0)),0)</f>
        <v>711.285714285714</v>
      </c>
      <c r="AB279" s="18" t="n">
        <f aca="false">IF($Z279&lt;=0,0,$Z279/$AA279)</f>
        <v>0</v>
      </c>
      <c r="AC279" s="16" t="n">
        <f aca="false">IFERROR(INDEX(SEMANAS!$K$6:$K$71,MATCH($B279,SEMANAS!$B$6:$B$71,0)),0)</f>
        <v>147</v>
      </c>
      <c r="AD279" s="19" t="n">
        <f aca="false">IF($AC279&lt;=0,0,$AB279/$AC279)</f>
        <v>0</v>
      </c>
      <c r="AE279" s="8" t="str">
        <f aca="false">IF($K279="SEM CULTURA","SEM CULTURA",IF($AA279&lt;=0,"DADO PENDENTE",IF($AD279&gt;LIMITE_CRITICO,"INVIAVEL",IF($AD279&gt;LIMITE_ATENCAO,"CRITICO",IF($AD279&gt;LIMITE_CONFORTAVEL,"ATENCAO","OK")))))</f>
        <v>OK</v>
      </c>
      <c r="AF279" s="8" t="str">
        <f aca="false">$B279&amp;"|"&amp;TEXT($AD279,"0.000000")</f>
        <v>10|0.000000</v>
      </c>
      <c r="AG279" s="18" t="n">
        <f aca="false">IF($K279="SEM CULTURA",0,$T279*$H279)</f>
        <v>3232.78034812594</v>
      </c>
      <c r="AH279" s="18" t="n">
        <f aca="false">IF($K279="SEM CULTURA",0,$V279*$H279)</f>
        <v>3719.51216</v>
      </c>
      <c r="AI279" s="18" t="n">
        <f aca="false">IF($K279="SEM CULTURA",0,$W279*$H279)</f>
        <v>0</v>
      </c>
      <c r="AJ279" s="18" t="n">
        <f aca="false">IF($K279="SEM CULTURA",0,$S279*$H279)</f>
        <v>3415.594</v>
      </c>
      <c r="AK279" s="8" t="str">
        <f aca="false">$E279&amp;"|"&amp;TEXT($AD279,"0.000000")</f>
        <v>PV 107|0.000000</v>
      </c>
    </row>
    <row r="280" customFormat="false" ht="15" hidden="false" customHeight="false" outlineLevel="0" collapsed="false">
      <c r="B280" s="16" t="n">
        <v>11</v>
      </c>
      <c r="C280" s="17" t="n">
        <f aca="false">DATA_INICIO_SAFRA+($B280-1)*DIAS_POR_SEMANA</f>
        <v>46335</v>
      </c>
      <c r="D280" s="17" t="n">
        <f aca="false">$C280+DIAS_POR_SEMANA-1</f>
        <v>46341</v>
      </c>
      <c r="E280" s="15" t="s">
        <v>263</v>
      </c>
      <c r="F280" s="8" t="str">
        <f aca="false">IFERROR(INDEX(CADASTRO_PIVOS!$C$6:$C$41,MATCH($E280,CADASTRO_PIVOS!$B$6:$B$41,0)),"?")</f>
        <v>RM03</v>
      </c>
      <c r="G280" s="8" t="str">
        <f aca="false">IFERROR(INDEX(CADASTRO_PIVOS!$D$6:$D$41,MATCH($E280,CADASTRO_PIVOS!$B$6:$B$41,0)),"?")</f>
        <v>TR03</v>
      </c>
      <c r="H280" s="20" t="n">
        <f aca="false">IFERROR(INDEX(CADASTRO_PIVOS!$E$6:$E$41,MATCH($E280,CADASTRO_PIVOS!$B$6:$B$41,0)),0)</f>
        <v>99.58</v>
      </c>
      <c r="I280" s="16" t="n">
        <f aca="false">IFERROR(SUMIFS(ROTACAO_RDM!$B$6:$B$71,ROTACAO_RDM!$D$6:$D$71,$E280,ROTACAO_RDM!$I$6:$I$71,"&lt;="&amp;$C280+INT(DIAS_POR_SEMANA/2),ROTACAO_RDM!$J$6:$J$71,"&gt;="&amp;$C280+INT(DIAS_POR_SEMANA/2)),0)</f>
        <v>12</v>
      </c>
      <c r="J280" s="16" t="n">
        <f aca="false">IFERROR(MATCH($I280,ROTACAO_RDM!$B$6:$B$71,0),0)</f>
        <v>12</v>
      </c>
      <c r="K280" s="8" t="str">
        <f aca="false">IF($J280=0,"SEM CULTURA",INDEX(ROTACAO_RDM!$F$6:$F$71,$J280))</f>
        <v>SOJA</v>
      </c>
      <c r="L280" s="8" t="str">
        <f aca="false">IF($J280=0,"",INDEX(ROTACAO_RDM!$G$6:$G$71,$J280))</f>
        <v>NEO 761 I2X</v>
      </c>
      <c r="M280" s="17" t="n">
        <f aca="false">IF($J280=0,"",INDEX(ROTACAO_RDM!$I$6:$I$71,$J280))</f>
        <v>46293</v>
      </c>
      <c r="N280" s="16" t="n">
        <f aca="false">IF($J280=0,0,MAX(0,$C280+INT(DIAS_POR_SEMANA/2)-INDEX(ROTACAO_RDM!$I$6:$I$71,$J280)))</f>
        <v>45</v>
      </c>
      <c r="O280" s="19" t="n">
        <f aca="false">IF($J280=0,0,MIN(1,$N280/MAX(1,INDEX(ROTACAO_RDM!$K$6:$K$71,$J280))))</f>
        <v>0.387931034482759</v>
      </c>
      <c r="P280" s="16" t="n">
        <f aca="false">IF($J280=0,0,IFERROR(MATCH(INDEX(ROTACAO_RDM!$N$6:$N$71,$J280),PARAMETROS_CULTURAS!$B$6:$B$28,0),0))</f>
        <v>2</v>
      </c>
      <c r="Q280" s="8" t="str">
        <f aca="false">IF($P280=0,"-",IF($O280&lt;=INDEX(PARAMETROS_CULTURAS!$F$6:$F$28,$P280),"INICIAL",IF($O280&lt;=INDEX(PARAMETROS_CULTURAS!$F$6:$F$28,$P280)+INDEX(PARAMETROS_CULTURAS!$G$6:$G$28,$P280),"DESENVOLVIMENTO",IF($O280&lt;=INDEX(PARAMETROS_CULTURAS!$F$6:$F$28,$P280)+INDEX(PARAMETROS_CULTURAS!$G$6:$G$28,$P280)+INDEX(PARAMETROS_CULTURAS!$H$6:$H$28,$P280),"MEDIA","FINAL"))))</f>
        <v>DESENVOLVIMENTO</v>
      </c>
      <c r="R280" s="24" t="n">
        <f aca="false">IF($P280=0,0,IF($O280&lt;=INDEX(PARAMETROS_CULTURAS!$F$6:$F$28,$P280),INDEX(PARAMETROS_CULTURAS!$K$6:$K$28,$P280),IF($O280&lt;=INDEX(PARAMETROS_CULTURAS!$F$6:$F$28,$P280)+INDEX(PARAMETROS_CULTURAS!$G$6:$G$28,$P280),INDEX(PARAMETROS_CULTURAS!$K$6:$K$28,$P280)+(INDEX(PARAMETROS_CULTURAS!$L$6:$L$28,$P280)-INDEX(PARAMETROS_CULTURAS!$K$6:$K$28,$P280))*($O280-INDEX(PARAMETROS_CULTURAS!$F$6:$F$28,$P280))/MAX(INDEX(PARAMETROS_CULTURAS!$G$6:$G$28,$P280),0.0001),IF($O280&lt;=INDEX(PARAMETROS_CULTURAS!$F$6:$F$28,$P280)+INDEX(PARAMETROS_CULTURAS!$G$6:$G$28,$P280)+INDEX(PARAMETROS_CULTURAS!$H$6:$H$28,$P280),INDEX(PARAMETROS_CULTURAS!$L$6:$L$28,$P280),INDEX(PARAMETROS_CULTURAS!$L$6:$L$28,$P280)+(INDEX(PARAMETROS_CULTURAS!$M$6:$M$28,$P280)-INDEX(PARAMETROS_CULTURAS!$L$6:$L$28,$P280))*($O280-INDEX(PARAMETROS_CULTURAS!$F$6:$F$28,$P280)-INDEX(PARAMETROS_CULTURAS!$G$6:$G$28,$P280)-INDEX(PARAMETROS_CULTURAS!$H$6:$H$28,$P280))/MAX(INDEX(PARAMETROS_CULTURAS!$I$6:$I$28,$P280),0.0001)))))</f>
        <v>1.14325337331334</v>
      </c>
      <c r="S280" s="18" t="n">
        <f aca="false">IFERROR(INDEX(SEMANAS!$H$6:$H$71,MATCH($B280,SEMANAS!$B$6:$B$71,0)),0)</f>
        <v>34.3</v>
      </c>
      <c r="T280" s="18" t="n">
        <f aca="false">$R280*$S280</f>
        <v>39.2135907046477</v>
      </c>
      <c r="U280" s="18" t="n">
        <f aca="false">IFERROR(INDEX(SEMANAS!$I$6:$I$71,MATCH($B280,SEMANAS!$B$6:$B$71,0)),0)</f>
        <v>46.69</v>
      </c>
      <c r="V280" s="18" t="n">
        <f aca="false">IFERROR(INDEX(SEMANAS!$J$6:$J$71,MATCH($B280,SEMANAS!$B$6:$B$71,0)),0)</f>
        <v>37.352</v>
      </c>
      <c r="W280" s="18" t="n">
        <f aca="false">MAX(0,$T280-$V280)</f>
        <v>1.86159070464768</v>
      </c>
      <c r="X280" s="19" t="n">
        <f aca="false">IFERROR(INDEX(CADASTRO_PIVOS!$K$6:$K$41,MATCH($E280,CADASTRO_PIVOS!$B$6:$B$41,0)),EFICIENCIA_PADRAO)</f>
        <v>0.85</v>
      </c>
      <c r="Y280" s="18" t="n">
        <f aca="false">IF($X280&lt;=0,0,$W280/$X280)</f>
        <v>2.19010671135021</v>
      </c>
      <c r="Z280" s="16" t="n">
        <f aca="false">$Y280*$H280*MM_PARA_M3_HA</f>
        <v>2180.90826316254</v>
      </c>
      <c r="AA280" s="18" t="n">
        <f aca="false">IFERROR(INDEX(CADASTRO_PIVOS!$I$6:$I$41,MATCH($E280,CADASTRO_PIVOS!$B$6:$B$41,0)),0)</f>
        <v>711.285714285714</v>
      </c>
      <c r="AB280" s="18" t="n">
        <f aca="false">IF($Z280&lt;=0,0,$Z280/$AA280)</f>
        <v>3.06614939589029</v>
      </c>
      <c r="AC280" s="16" t="n">
        <f aca="false">IFERROR(INDEX(SEMANAS!$K$6:$K$71,MATCH($B280,SEMANAS!$B$6:$B$71,0)),0)</f>
        <v>147</v>
      </c>
      <c r="AD280" s="19" t="n">
        <f aca="false">IF($AC280&lt;=0,0,$AB280/$AC280)</f>
        <v>0.0208581591557162</v>
      </c>
      <c r="AE280" s="8" t="str">
        <f aca="false">IF($K280="SEM CULTURA","SEM CULTURA",IF($AA280&lt;=0,"DADO PENDENTE",IF($AD280&gt;LIMITE_CRITICO,"INVIAVEL",IF($AD280&gt;LIMITE_ATENCAO,"CRITICO",IF($AD280&gt;LIMITE_CONFORTAVEL,"ATENCAO","OK")))))</f>
        <v>OK</v>
      </c>
      <c r="AF280" s="8" t="str">
        <f aca="false">$B280&amp;"|"&amp;TEXT($AD280,"0.000000")</f>
        <v>11|0.020858</v>
      </c>
      <c r="AG280" s="18" t="n">
        <f aca="false">IF($K280="SEM CULTURA",0,$T280*$H280)</f>
        <v>3904.88936236882</v>
      </c>
      <c r="AH280" s="18" t="n">
        <f aca="false">IF($K280="SEM CULTURA",0,$V280*$H280)</f>
        <v>3719.51216</v>
      </c>
      <c r="AI280" s="18" t="n">
        <f aca="false">IF($K280="SEM CULTURA",0,$W280*$H280)</f>
        <v>185.377202368815</v>
      </c>
      <c r="AJ280" s="18" t="n">
        <f aca="false">IF($K280="SEM CULTURA",0,$S280*$H280)</f>
        <v>3415.594</v>
      </c>
      <c r="AK280" s="8" t="str">
        <f aca="false">$E280&amp;"|"&amp;TEXT($AD280,"0.000000")</f>
        <v>PV 107|0.020858</v>
      </c>
    </row>
    <row r="281" customFormat="false" ht="15" hidden="false" customHeight="false" outlineLevel="0" collapsed="false">
      <c r="B281" s="16" t="n">
        <v>12</v>
      </c>
      <c r="C281" s="17" t="n">
        <f aca="false">DATA_INICIO_SAFRA+($B281-1)*DIAS_POR_SEMANA</f>
        <v>46342</v>
      </c>
      <c r="D281" s="17" t="n">
        <f aca="false">$C281+DIAS_POR_SEMANA-1</f>
        <v>46348</v>
      </c>
      <c r="E281" s="15" t="s">
        <v>263</v>
      </c>
      <c r="F281" s="8" t="str">
        <f aca="false">IFERROR(INDEX(CADASTRO_PIVOS!$C$6:$C$41,MATCH($E281,CADASTRO_PIVOS!$B$6:$B$41,0)),"?")</f>
        <v>RM03</v>
      </c>
      <c r="G281" s="8" t="str">
        <f aca="false">IFERROR(INDEX(CADASTRO_PIVOS!$D$6:$D$41,MATCH($E281,CADASTRO_PIVOS!$B$6:$B$41,0)),"?")</f>
        <v>TR03</v>
      </c>
      <c r="H281" s="20" t="n">
        <f aca="false">IFERROR(INDEX(CADASTRO_PIVOS!$E$6:$E$41,MATCH($E281,CADASTRO_PIVOS!$B$6:$B$41,0)),0)</f>
        <v>99.58</v>
      </c>
      <c r="I281" s="16" t="n">
        <f aca="false">IFERROR(SUMIFS(ROTACAO_RDM!$B$6:$B$71,ROTACAO_RDM!$D$6:$D$71,$E281,ROTACAO_RDM!$I$6:$I$71,"&lt;="&amp;$C281+INT(DIAS_POR_SEMANA/2),ROTACAO_RDM!$J$6:$J$71,"&gt;="&amp;$C281+INT(DIAS_POR_SEMANA/2)),0)</f>
        <v>12</v>
      </c>
      <c r="J281" s="16" t="n">
        <f aca="false">IFERROR(MATCH($I281,ROTACAO_RDM!$B$6:$B$71,0),0)</f>
        <v>12</v>
      </c>
      <c r="K281" s="8" t="str">
        <f aca="false">IF($J281=0,"SEM CULTURA",INDEX(ROTACAO_RDM!$F$6:$F$71,$J281))</f>
        <v>SOJA</v>
      </c>
      <c r="L281" s="8" t="str">
        <f aca="false">IF($J281=0,"",INDEX(ROTACAO_RDM!$G$6:$G$71,$J281))</f>
        <v>NEO 761 I2X</v>
      </c>
      <c r="M281" s="17" t="n">
        <f aca="false">IF($J281=0,"",INDEX(ROTACAO_RDM!$I$6:$I$71,$J281))</f>
        <v>46293</v>
      </c>
      <c r="N281" s="16" t="n">
        <f aca="false">IF($J281=0,0,MAX(0,$C281+INT(DIAS_POR_SEMANA/2)-INDEX(ROTACAO_RDM!$I$6:$I$71,$J281)))</f>
        <v>52</v>
      </c>
      <c r="O281" s="19" t="n">
        <f aca="false">IF($J281=0,0,MIN(1,$N281/MAX(1,INDEX(ROTACAO_RDM!$K$6:$K$71,$J281))))</f>
        <v>0.448275862068966</v>
      </c>
      <c r="P281" s="16" t="n">
        <f aca="false">IF($J281=0,0,IFERROR(MATCH(INDEX(ROTACAO_RDM!$N$6:$N$71,$J281),PARAMETROS_CULTURAS!$B$6:$B$28,0),0))</f>
        <v>2</v>
      </c>
      <c r="Q281" s="8" t="str">
        <f aca="false">IF($P281=0,"-",IF($O281&lt;=INDEX(PARAMETROS_CULTURAS!$F$6:$F$28,$P281),"INICIAL",IF($O281&lt;=INDEX(PARAMETROS_CULTURAS!$F$6:$F$28,$P281)+INDEX(PARAMETROS_CULTURAS!$G$6:$G$28,$P281),"DESENVOLVIMENTO",IF($O281&lt;=INDEX(PARAMETROS_CULTURAS!$F$6:$F$28,$P281)+INDEX(PARAMETROS_CULTURAS!$G$6:$G$28,$P281)+INDEX(PARAMETROS_CULTURAS!$H$6:$H$28,$P281),"MEDIA","FINAL"))))</f>
        <v>MEDIA</v>
      </c>
      <c r="R281" s="24" t="n">
        <f aca="false">IF($P281=0,0,IF($O281&lt;=INDEX(PARAMETROS_CULTURAS!$F$6:$F$28,$P281),INDEX(PARAMETROS_CULTURAS!$K$6:$K$28,$P281),IF($O281&lt;=INDEX(PARAMETROS_CULTURAS!$F$6:$F$28,$P281)+INDEX(PARAMETROS_CULTURAS!$G$6:$G$28,$P281),INDEX(PARAMETROS_CULTURAS!$K$6:$K$28,$P281)+(INDEX(PARAMETROS_CULTURAS!$L$6:$L$28,$P281)-INDEX(PARAMETROS_CULTURAS!$K$6:$K$28,$P281))*($O281-INDEX(PARAMETROS_CULTURAS!$F$6:$F$28,$P281))/MAX(INDEX(PARAMETROS_CULTURAS!$G$6:$G$28,$P281),0.0001),IF($O281&lt;=INDEX(PARAMETROS_CULTURAS!$F$6:$F$28,$P281)+INDEX(PARAMETROS_CULTURAS!$G$6:$G$28,$P281)+INDEX(PARAMETROS_CULTURAS!$H$6:$H$28,$P281),INDEX(PARAMETROS_CULTURAS!$L$6:$L$28,$P281),INDEX(PARAMETROS_CULTURAS!$L$6:$L$28,$P281)+(INDEX(PARAMETROS_CULTURAS!$M$6:$M$28,$P281)-INDEX(PARAMETROS_CULTURAS!$L$6:$L$28,$P281))*($O281-INDEX(PARAMETROS_CULTURAS!$F$6:$F$28,$P281)-INDEX(PARAMETROS_CULTURAS!$G$6:$G$28,$P281)-INDEX(PARAMETROS_CULTURAS!$H$6:$H$28,$P281))/MAX(INDEX(PARAMETROS_CULTURAS!$I$6:$I$28,$P281),0.0001)))))</f>
        <v>1.15</v>
      </c>
      <c r="S281" s="18" t="n">
        <f aca="false">IFERROR(INDEX(SEMANAS!$H$6:$H$71,MATCH($B281,SEMANAS!$B$6:$B$71,0)),0)</f>
        <v>34.3</v>
      </c>
      <c r="T281" s="18" t="n">
        <f aca="false">$R281*$S281</f>
        <v>39.445</v>
      </c>
      <c r="U281" s="18" t="n">
        <f aca="false">IFERROR(INDEX(SEMANAS!$I$6:$I$71,MATCH($B281,SEMANAS!$B$6:$B$71,0)),0)</f>
        <v>46.69</v>
      </c>
      <c r="V281" s="18" t="n">
        <f aca="false">IFERROR(INDEX(SEMANAS!$J$6:$J$71,MATCH($B281,SEMANAS!$B$6:$B$71,0)),0)</f>
        <v>37.352</v>
      </c>
      <c r="W281" s="18" t="n">
        <f aca="false">MAX(0,$T281-$V281)</f>
        <v>2.093</v>
      </c>
      <c r="X281" s="19" t="n">
        <f aca="false">IFERROR(INDEX(CADASTRO_PIVOS!$K$6:$K$41,MATCH($E281,CADASTRO_PIVOS!$B$6:$B$41,0)),EFICIENCIA_PADRAO)</f>
        <v>0.85</v>
      </c>
      <c r="Y281" s="18" t="n">
        <f aca="false">IF($X281&lt;=0,0,$W281/$X281)</f>
        <v>2.46235294117647</v>
      </c>
      <c r="Z281" s="16" t="n">
        <f aca="false">$Y281*$H281*MM_PARA_M3_HA</f>
        <v>2452.01105882353</v>
      </c>
      <c r="AA281" s="18" t="n">
        <f aca="false">IFERROR(INDEX(CADASTRO_PIVOS!$I$6:$I$41,MATCH($E281,CADASTRO_PIVOS!$B$6:$B$41,0)),0)</f>
        <v>711.285714285714</v>
      </c>
      <c r="AB281" s="18" t="n">
        <f aca="false">IF($Z281&lt;=0,0,$Z281/$AA281)</f>
        <v>3.44729411764705</v>
      </c>
      <c r="AC281" s="16" t="n">
        <f aca="false">IFERROR(INDEX(SEMANAS!$K$6:$K$71,MATCH($B281,SEMANAS!$B$6:$B$71,0)),0)</f>
        <v>147</v>
      </c>
      <c r="AD281" s="19" t="n">
        <f aca="false">IF($AC281&lt;=0,0,$AB281/$AC281)</f>
        <v>0.0234509803921568</v>
      </c>
      <c r="AE281" s="8" t="str">
        <f aca="false">IF($K281="SEM CULTURA","SEM CULTURA",IF($AA281&lt;=0,"DADO PENDENTE",IF($AD281&gt;LIMITE_CRITICO,"INVIAVEL",IF($AD281&gt;LIMITE_ATENCAO,"CRITICO",IF($AD281&gt;LIMITE_CONFORTAVEL,"ATENCAO","OK")))))</f>
        <v>OK</v>
      </c>
      <c r="AF281" s="8" t="str">
        <f aca="false">$B281&amp;"|"&amp;TEXT($AD281,"0.000000")</f>
        <v>12|0.023451</v>
      </c>
      <c r="AG281" s="18" t="n">
        <f aca="false">IF($K281="SEM CULTURA",0,$T281*$H281)</f>
        <v>3927.9331</v>
      </c>
      <c r="AH281" s="18" t="n">
        <f aca="false">IF($K281="SEM CULTURA",0,$V281*$H281)</f>
        <v>3719.51216</v>
      </c>
      <c r="AI281" s="18" t="n">
        <f aca="false">IF($K281="SEM CULTURA",0,$W281*$H281)</f>
        <v>208.42094</v>
      </c>
      <c r="AJ281" s="18" t="n">
        <f aca="false">IF($K281="SEM CULTURA",0,$S281*$H281)</f>
        <v>3415.594</v>
      </c>
      <c r="AK281" s="8" t="str">
        <f aca="false">$E281&amp;"|"&amp;TEXT($AD281,"0.000000")</f>
        <v>PV 107|0.023451</v>
      </c>
    </row>
    <row r="282" customFormat="false" ht="15" hidden="false" customHeight="false" outlineLevel="0" collapsed="false">
      <c r="B282" s="16" t="n">
        <v>13</v>
      </c>
      <c r="C282" s="17" t="n">
        <f aca="false">DATA_INICIO_SAFRA+($B282-1)*DIAS_POR_SEMANA</f>
        <v>46349</v>
      </c>
      <c r="D282" s="17" t="n">
        <f aca="false">$C282+DIAS_POR_SEMANA-1</f>
        <v>46355</v>
      </c>
      <c r="E282" s="15" t="s">
        <v>263</v>
      </c>
      <c r="F282" s="8" t="str">
        <f aca="false">IFERROR(INDEX(CADASTRO_PIVOS!$C$6:$C$41,MATCH($E282,CADASTRO_PIVOS!$B$6:$B$41,0)),"?")</f>
        <v>RM03</v>
      </c>
      <c r="G282" s="8" t="str">
        <f aca="false">IFERROR(INDEX(CADASTRO_PIVOS!$D$6:$D$41,MATCH($E282,CADASTRO_PIVOS!$B$6:$B$41,0)),"?")</f>
        <v>TR03</v>
      </c>
      <c r="H282" s="20" t="n">
        <f aca="false">IFERROR(INDEX(CADASTRO_PIVOS!$E$6:$E$41,MATCH($E282,CADASTRO_PIVOS!$B$6:$B$41,0)),0)</f>
        <v>99.58</v>
      </c>
      <c r="I282" s="16" t="n">
        <f aca="false">IFERROR(SUMIFS(ROTACAO_RDM!$B$6:$B$71,ROTACAO_RDM!$D$6:$D$71,$E282,ROTACAO_RDM!$I$6:$I$71,"&lt;="&amp;$C282+INT(DIAS_POR_SEMANA/2),ROTACAO_RDM!$J$6:$J$71,"&gt;="&amp;$C282+INT(DIAS_POR_SEMANA/2)),0)</f>
        <v>12</v>
      </c>
      <c r="J282" s="16" t="n">
        <f aca="false">IFERROR(MATCH($I282,ROTACAO_RDM!$B$6:$B$71,0),0)</f>
        <v>12</v>
      </c>
      <c r="K282" s="8" t="str">
        <f aca="false">IF($J282=0,"SEM CULTURA",INDEX(ROTACAO_RDM!$F$6:$F$71,$J282))</f>
        <v>SOJA</v>
      </c>
      <c r="L282" s="8" t="str">
        <f aca="false">IF($J282=0,"",INDEX(ROTACAO_RDM!$G$6:$G$71,$J282))</f>
        <v>NEO 761 I2X</v>
      </c>
      <c r="M282" s="17" t="n">
        <f aca="false">IF($J282=0,"",INDEX(ROTACAO_RDM!$I$6:$I$71,$J282))</f>
        <v>46293</v>
      </c>
      <c r="N282" s="16" t="n">
        <f aca="false">IF($J282=0,0,MAX(0,$C282+INT(DIAS_POR_SEMANA/2)-INDEX(ROTACAO_RDM!$I$6:$I$71,$J282)))</f>
        <v>59</v>
      </c>
      <c r="O282" s="19" t="n">
        <f aca="false">IF($J282=0,0,MIN(1,$N282/MAX(1,INDEX(ROTACAO_RDM!$K$6:$K$71,$J282))))</f>
        <v>0.508620689655172</v>
      </c>
      <c r="P282" s="16" t="n">
        <f aca="false">IF($J282=0,0,IFERROR(MATCH(INDEX(ROTACAO_RDM!$N$6:$N$71,$J282),PARAMETROS_CULTURAS!$B$6:$B$28,0),0))</f>
        <v>2</v>
      </c>
      <c r="Q282" s="8" t="str">
        <f aca="false">IF($P282=0,"-",IF($O282&lt;=INDEX(PARAMETROS_CULTURAS!$F$6:$F$28,$P282),"INICIAL",IF($O282&lt;=INDEX(PARAMETROS_CULTURAS!$F$6:$F$28,$P282)+INDEX(PARAMETROS_CULTURAS!$G$6:$G$28,$P282),"DESENVOLVIMENTO",IF($O282&lt;=INDEX(PARAMETROS_CULTURAS!$F$6:$F$28,$P282)+INDEX(PARAMETROS_CULTURAS!$G$6:$G$28,$P282)+INDEX(PARAMETROS_CULTURAS!$H$6:$H$28,$P282),"MEDIA","FINAL"))))</f>
        <v>MEDIA</v>
      </c>
      <c r="R282" s="24" t="n">
        <f aca="false">IF($P282=0,0,IF($O282&lt;=INDEX(PARAMETROS_CULTURAS!$F$6:$F$28,$P282),INDEX(PARAMETROS_CULTURAS!$K$6:$K$28,$P282),IF($O282&lt;=INDEX(PARAMETROS_CULTURAS!$F$6:$F$28,$P282)+INDEX(PARAMETROS_CULTURAS!$G$6:$G$28,$P282),INDEX(PARAMETROS_CULTURAS!$K$6:$K$28,$P282)+(INDEX(PARAMETROS_CULTURAS!$L$6:$L$28,$P282)-INDEX(PARAMETROS_CULTURAS!$K$6:$K$28,$P282))*($O282-INDEX(PARAMETROS_CULTURAS!$F$6:$F$28,$P282))/MAX(INDEX(PARAMETROS_CULTURAS!$G$6:$G$28,$P282),0.0001),IF($O282&lt;=INDEX(PARAMETROS_CULTURAS!$F$6:$F$28,$P282)+INDEX(PARAMETROS_CULTURAS!$G$6:$G$28,$P282)+INDEX(PARAMETROS_CULTURAS!$H$6:$H$28,$P282),INDEX(PARAMETROS_CULTURAS!$L$6:$L$28,$P282),INDEX(PARAMETROS_CULTURAS!$L$6:$L$28,$P282)+(INDEX(PARAMETROS_CULTURAS!$M$6:$M$28,$P282)-INDEX(PARAMETROS_CULTURAS!$L$6:$L$28,$P282))*($O282-INDEX(PARAMETROS_CULTURAS!$F$6:$F$28,$P282)-INDEX(PARAMETROS_CULTURAS!$G$6:$G$28,$P282)-INDEX(PARAMETROS_CULTURAS!$H$6:$H$28,$P282))/MAX(INDEX(PARAMETROS_CULTURAS!$I$6:$I$28,$P282),0.0001)))))</f>
        <v>1.15</v>
      </c>
      <c r="S282" s="18" t="n">
        <f aca="false">IFERROR(INDEX(SEMANAS!$H$6:$H$71,MATCH($B282,SEMANAS!$B$6:$B$71,0)),0)</f>
        <v>34.3</v>
      </c>
      <c r="T282" s="18" t="n">
        <f aca="false">$R282*$S282</f>
        <v>39.445</v>
      </c>
      <c r="U282" s="18" t="n">
        <f aca="false">IFERROR(INDEX(SEMANAS!$I$6:$I$71,MATCH($B282,SEMANAS!$B$6:$B$71,0)),0)</f>
        <v>46.69</v>
      </c>
      <c r="V282" s="18" t="n">
        <f aca="false">IFERROR(INDEX(SEMANAS!$J$6:$J$71,MATCH($B282,SEMANAS!$B$6:$B$71,0)),0)</f>
        <v>37.352</v>
      </c>
      <c r="W282" s="18" t="n">
        <f aca="false">MAX(0,$T282-$V282)</f>
        <v>2.093</v>
      </c>
      <c r="X282" s="19" t="n">
        <f aca="false">IFERROR(INDEX(CADASTRO_PIVOS!$K$6:$K$41,MATCH($E282,CADASTRO_PIVOS!$B$6:$B$41,0)),EFICIENCIA_PADRAO)</f>
        <v>0.85</v>
      </c>
      <c r="Y282" s="18" t="n">
        <f aca="false">IF($X282&lt;=0,0,$W282/$X282)</f>
        <v>2.46235294117647</v>
      </c>
      <c r="Z282" s="16" t="n">
        <f aca="false">$Y282*$H282*MM_PARA_M3_HA</f>
        <v>2452.01105882353</v>
      </c>
      <c r="AA282" s="18" t="n">
        <f aca="false">IFERROR(INDEX(CADASTRO_PIVOS!$I$6:$I$41,MATCH($E282,CADASTRO_PIVOS!$B$6:$B$41,0)),0)</f>
        <v>711.285714285714</v>
      </c>
      <c r="AB282" s="18" t="n">
        <f aca="false">IF($Z282&lt;=0,0,$Z282/$AA282)</f>
        <v>3.44729411764705</v>
      </c>
      <c r="AC282" s="16" t="n">
        <f aca="false">IFERROR(INDEX(SEMANAS!$K$6:$K$71,MATCH($B282,SEMANAS!$B$6:$B$71,0)),0)</f>
        <v>147</v>
      </c>
      <c r="AD282" s="19" t="n">
        <f aca="false">IF($AC282&lt;=0,0,$AB282/$AC282)</f>
        <v>0.0234509803921568</v>
      </c>
      <c r="AE282" s="8" t="str">
        <f aca="false">IF($K282="SEM CULTURA","SEM CULTURA",IF($AA282&lt;=0,"DADO PENDENTE",IF($AD282&gt;LIMITE_CRITICO,"INVIAVEL",IF($AD282&gt;LIMITE_ATENCAO,"CRITICO",IF($AD282&gt;LIMITE_CONFORTAVEL,"ATENCAO","OK")))))</f>
        <v>OK</v>
      </c>
      <c r="AF282" s="8" t="str">
        <f aca="false">$B282&amp;"|"&amp;TEXT($AD282,"0.000000")</f>
        <v>13|0.023451</v>
      </c>
      <c r="AG282" s="18" t="n">
        <f aca="false">IF($K282="SEM CULTURA",0,$T282*$H282)</f>
        <v>3927.9331</v>
      </c>
      <c r="AH282" s="18" t="n">
        <f aca="false">IF($K282="SEM CULTURA",0,$V282*$H282)</f>
        <v>3719.51216</v>
      </c>
      <c r="AI282" s="18" t="n">
        <f aca="false">IF($K282="SEM CULTURA",0,$W282*$H282)</f>
        <v>208.42094</v>
      </c>
      <c r="AJ282" s="18" t="n">
        <f aca="false">IF($K282="SEM CULTURA",0,$S282*$H282)</f>
        <v>3415.594</v>
      </c>
      <c r="AK282" s="8" t="str">
        <f aca="false">$E282&amp;"|"&amp;TEXT($AD282,"0.000000")</f>
        <v>PV 107|0.023451</v>
      </c>
    </row>
    <row r="283" customFormat="false" ht="15" hidden="false" customHeight="false" outlineLevel="0" collapsed="false">
      <c r="B283" s="16" t="n">
        <v>14</v>
      </c>
      <c r="C283" s="17" t="n">
        <f aca="false">DATA_INICIO_SAFRA+($B283-1)*DIAS_POR_SEMANA</f>
        <v>46356</v>
      </c>
      <c r="D283" s="17" t="n">
        <f aca="false">$C283+DIAS_POR_SEMANA-1</f>
        <v>46362</v>
      </c>
      <c r="E283" s="15" t="s">
        <v>263</v>
      </c>
      <c r="F283" s="8" t="str">
        <f aca="false">IFERROR(INDEX(CADASTRO_PIVOS!$C$6:$C$41,MATCH($E283,CADASTRO_PIVOS!$B$6:$B$41,0)),"?")</f>
        <v>RM03</v>
      </c>
      <c r="G283" s="8" t="str">
        <f aca="false">IFERROR(INDEX(CADASTRO_PIVOS!$D$6:$D$41,MATCH($E283,CADASTRO_PIVOS!$B$6:$B$41,0)),"?")</f>
        <v>TR03</v>
      </c>
      <c r="H283" s="20" t="n">
        <f aca="false">IFERROR(INDEX(CADASTRO_PIVOS!$E$6:$E$41,MATCH($E283,CADASTRO_PIVOS!$B$6:$B$41,0)),0)</f>
        <v>99.58</v>
      </c>
      <c r="I283" s="16" t="n">
        <f aca="false">IFERROR(SUMIFS(ROTACAO_RDM!$B$6:$B$71,ROTACAO_RDM!$D$6:$D$71,$E283,ROTACAO_RDM!$I$6:$I$71,"&lt;="&amp;$C283+INT(DIAS_POR_SEMANA/2),ROTACAO_RDM!$J$6:$J$71,"&gt;="&amp;$C283+INT(DIAS_POR_SEMANA/2)),0)</f>
        <v>12</v>
      </c>
      <c r="J283" s="16" t="n">
        <f aca="false">IFERROR(MATCH($I283,ROTACAO_RDM!$B$6:$B$71,0),0)</f>
        <v>12</v>
      </c>
      <c r="K283" s="8" t="str">
        <f aca="false">IF($J283=0,"SEM CULTURA",INDEX(ROTACAO_RDM!$F$6:$F$71,$J283))</f>
        <v>SOJA</v>
      </c>
      <c r="L283" s="8" t="str">
        <f aca="false">IF($J283=0,"",INDEX(ROTACAO_RDM!$G$6:$G$71,$J283))</f>
        <v>NEO 761 I2X</v>
      </c>
      <c r="M283" s="17" t="n">
        <f aca="false">IF($J283=0,"",INDEX(ROTACAO_RDM!$I$6:$I$71,$J283))</f>
        <v>46293</v>
      </c>
      <c r="N283" s="16" t="n">
        <f aca="false">IF($J283=0,0,MAX(0,$C283+INT(DIAS_POR_SEMANA/2)-INDEX(ROTACAO_RDM!$I$6:$I$71,$J283)))</f>
        <v>66</v>
      </c>
      <c r="O283" s="19" t="n">
        <f aca="false">IF($J283=0,0,MIN(1,$N283/MAX(1,INDEX(ROTACAO_RDM!$K$6:$K$71,$J283))))</f>
        <v>0.568965517241379</v>
      </c>
      <c r="P283" s="16" t="n">
        <f aca="false">IF($J283=0,0,IFERROR(MATCH(INDEX(ROTACAO_RDM!$N$6:$N$71,$J283),PARAMETROS_CULTURAS!$B$6:$B$28,0),0))</f>
        <v>2</v>
      </c>
      <c r="Q283" s="8" t="str">
        <f aca="false">IF($P283=0,"-",IF($O283&lt;=INDEX(PARAMETROS_CULTURAS!$F$6:$F$28,$P283),"INICIAL",IF($O283&lt;=INDEX(PARAMETROS_CULTURAS!$F$6:$F$28,$P283)+INDEX(PARAMETROS_CULTURAS!$G$6:$G$28,$P283),"DESENVOLVIMENTO",IF($O283&lt;=INDEX(PARAMETROS_CULTURAS!$F$6:$F$28,$P283)+INDEX(PARAMETROS_CULTURAS!$G$6:$G$28,$P283)+INDEX(PARAMETROS_CULTURAS!$H$6:$H$28,$P283),"MEDIA","FINAL"))))</f>
        <v>MEDIA</v>
      </c>
      <c r="R283" s="24" t="n">
        <f aca="false">IF($P283=0,0,IF($O283&lt;=INDEX(PARAMETROS_CULTURAS!$F$6:$F$28,$P283),INDEX(PARAMETROS_CULTURAS!$K$6:$K$28,$P283),IF($O283&lt;=INDEX(PARAMETROS_CULTURAS!$F$6:$F$28,$P283)+INDEX(PARAMETROS_CULTURAS!$G$6:$G$28,$P283),INDEX(PARAMETROS_CULTURAS!$K$6:$K$28,$P283)+(INDEX(PARAMETROS_CULTURAS!$L$6:$L$28,$P283)-INDEX(PARAMETROS_CULTURAS!$K$6:$K$28,$P283))*($O283-INDEX(PARAMETROS_CULTURAS!$F$6:$F$28,$P283))/MAX(INDEX(PARAMETROS_CULTURAS!$G$6:$G$28,$P283),0.0001),IF($O283&lt;=INDEX(PARAMETROS_CULTURAS!$F$6:$F$28,$P283)+INDEX(PARAMETROS_CULTURAS!$G$6:$G$28,$P283)+INDEX(PARAMETROS_CULTURAS!$H$6:$H$28,$P283),INDEX(PARAMETROS_CULTURAS!$L$6:$L$28,$P283),INDEX(PARAMETROS_CULTURAS!$L$6:$L$28,$P283)+(INDEX(PARAMETROS_CULTURAS!$M$6:$M$28,$P283)-INDEX(PARAMETROS_CULTURAS!$L$6:$L$28,$P283))*($O283-INDEX(PARAMETROS_CULTURAS!$F$6:$F$28,$P283)-INDEX(PARAMETROS_CULTURAS!$G$6:$G$28,$P283)-INDEX(PARAMETROS_CULTURAS!$H$6:$H$28,$P283))/MAX(INDEX(PARAMETROS_CULTURAS!$I$6:$I$28,$P283),0.0001)))))</f>
        <v>1.15</v>
      </c>
      <c r="S283" s="18" t="n">
        <f aca="false">IFERROR(INDEX(SEMANAS!$H$6:$H$71,MATCH($B283,SEMANAS!$B$6:$B$71,0)),0)</f>
        <v>33.1</v>
      </c>
      <c r="T283" s="18" t="n">
        <f aca="false">$R283*$S283</f>
        <v>38.065</v>
      </c>
      <c r="U283" s="18" t="n">
        <f aca="false">IFERROR(INDEX(SEMANAS!$I$6:$I$71,MATCH($B283,SEMANAS!$B$6:$B$71,0)),0)</f>
        <v>48.31</v>
      </c>
      <c r="V283" s="18" t="n">
        <f aca="false">IFERROR(INDEX(SEMANAS!$J$6:$J$71,MATCH($B283,SEMANAS!$B$6:$B$71,0)),0)</f>
        <v>38.648</v>
      </c>
      <c r="W283" s="18" t="n">
        <f aca="false">MAX(0,$T283-$V283)</f>
        <v>0</v>
      </c>
      <c r="X283" s="19" t="n">
        <f aca="false">IFERROR(INDEX(CADASTRO_PIVOS!$K$6:$K$41,MATCH($E283,CADASTRO_PIVOS!$B$6:$B$41,0)),EFICIENCIA_PADRAO)</f>
        <v>0.85</v>
      </c>
      <c r="Y283" s="18" t="n">
        <f aca="false">IF($X283&lt;=0,0,$W283/$X283)</f>
        <v>0</v>
      </c>
      <c r="Z283" s="16" t="n">
        <f aca="false">$Y283*$H283*MM_PARA_M3_HA</f>
        <v>0</v>
      </c>
      <c r="AA283" s="18" t="n">
        <f aca="false">IFERROR(INDEX(CADASTRO_PIVOS!$I$6:$I$41,MATCH($E283,CADASTRO_PIVOS!$B$6:$B$41,0)),0)</f>
        <v>711.285714285714</v>
      </c>
      <c r="AB283" s="18" t="n">
        <f aca="false">IF($Z283&lt;=0,0,$Z283/$AA283)</f>
        <v>0</v>
      </c>
      <c r="AC283" s="16" t="n">
        <f aca="false">IFERROR(INDEX(SEMANAS!$K$6:$K$71,MATCH($B283,SEMANAS!$B$6:$B$71,0)),0)</f>
        <v>147</v>
      </c>
      <c r="AD283" s="19" t="n">
        <f aca="false">IF($AC283&lt;=0,0,$AB283/$AC283)</f>
        <v>0</v>
      </c>
      <c r="AE283" s="8" t="str">
        <f aca="false">IF($K283="SEM CULTURA","SEM CULTURA",IF($AA283&lt;=0,"DADO PENDENTE",IF($AD283&gt;LIMITE_CRITICO,"INVIAVEL",IF($AD283&gt;LIMITE_ATENCAO,"CRITICO",IF($AD283&gt;LIMITE_CONFORTAVEL,"ATENCAO","OK")))))</f>
        <v>OK</v>
      </c>
      <c r="AF283" s="8" t="str">
        <f aca="false">$B283&amp;"|"&amp;TEXT($AD283,"0.000000")</f>
        <v>14|0.000000</v>
      </c>
      <c r="AG283" s="18" t="n">
        <f aca="false">IF($K283="SEM CULTURA",0,$T283*$H283)</f>
        <v>3790.5127</v>
      </c>
      <c r="AH283" s="18" t="n">
        <f aca="false">IF($K283="SEM CULTURA",0,$V283*$H283)</f>
        <v>3848.56784</v>
      </c>
      <c r="AI283" s="18" t="n">
        <f aca="false">IF($K283="SEM CULTURA",0,$W283*$H283)</f>
        <v>0</v>
      </c>
      <c r="AJ283" s="18" t="n">
        <f aca="false">IF($K283="SEM CULTURA",0,$S283*$H283)</f>
        <v>3296.098</v>
      </c>
      <c r="AK283" s="8" t="str">
        <f aca="false">$E283&amp;"|"&amp;TEXT($AD283,"0.000000")</f>
        <v>PV 107|0.000000</v>
      </c>
    </row>
    <row r="284" customFormat="false" ht="15" hidden="false" customHeight="false" outlineLevel="0" collapsed="false">
      <c r="B284" s="16" t="n">
        <v>15</v>
      </c>
      <c r="C284" s="17" t="n">
        <f aca="false">DATA_INICIO_SAFRA+($B284-1)*DIAS_POR_SEMANA</f>
        <v>46363</v>
      </c>
      <c r="D284" s="17" t="n">
        <f aca="false">$C284+DIAS_POR_SEMANA-1</f>
        <v>46369</v>
      </c>
      <c r="E284" s="15" t="s">
        <v>263</v>
      </c>
      <c r="F284" s="8" t="str">
        <f aca="false">IFERROR(INDEX(CADASTRO_PIVOS!$C$6:$C$41,MATCH($E284,CADASTRO_PIVOS!$B$6:$B$41,0)),"?")</f>
        <v>RM03</v>
      </c>
      <c r="G284" s="8" t="str">
        <f aca="false">IFERROR(INDEX(CADASTRO_PIVOS!$D$6:$D$41,MATCH($E284,CADASTRO_PIVOS!$B$6:$B$41,0)),"?")</f>
        <v>TR03</v>
      </c>
      <c r="H284" s="20" t="n">
        <f aca="false">IFERROR(INDEX(CADASTRO_PIVOS!$E$6:$E$41,MATCH($E284,CADASTRO_PIVOS!$B$6:$B$41,0)),0)</f>
        <v>99.58</v>
      </c>
      <c r="I284" s="16" t="n">
        <f aca="false">IFERROR(SUMIFS(ROTACAO_RDM!$B$6:$B$71,ROTACAO_RDM!$D$6:$D$71,$E284,ROTACAO_RDM!$I$6:$I$71,"&lt;="&amp;$C284+INT(DIAS_POR_SEMANA/2),ROTACAO_RDM!$J$6:$J$71,"&gt;="&amp;$C284+INT(DIAS_POR_SEMANA/2)),0)</f>
        <v>12</v>
      </c>
      <c r="J284" s="16" t="n">
        <f aca="false">IFERROR(MATCH($I284,ROTACAO_RDM!$B$6:$B$71,0),0)</f>
        <v>12</v>
      </c>
      <c r="K284" s="8" t="str">
        <f aca="false">IF($J284=0,"SEM CULTURA",INDEX(ROTACAO_RDM!$F$6:$F$71,$J284))</f>
        <v>SOJA</v>
      </c>
      <c r="L284" s="8" t="str">
        <f aca="false">IF($J284=0,"",INDEX(ROTACAO_RDM!$G$6:$G$71,$J284))</f>
        <v>NEO 761 I2X</v>
      </c>
      <c r="M284" s="17" t="n">
        <f aca="false">IF($J284=0,"",INDEX(ROTACAO_RDM!$I$6:$I$71,$J284))</f>
        <v>46293</v>
      </c>
      <c r="N284" s="16" t="n">
        <f aca="false">IF($J284=0,0,MAX(0,$C284+INT(DIAS_POR_SEMANA/2)-INDEX(ROTACAO_RDM!$I$6:$I$71,$J284)))</f>
        <v>73</v>
      </c>
      <c r="O284" s="19" t="n">
        <f aca="false">IF($J284=0,0,MIN(1,$N284/MAX(1,INDEX(ROTACAO_RDM!$K$6:$K$71,$J284))))</f>
        <v>0.629310344827586</v>
      </c>
      <c r="P284" s="16" t="n">
        <f aca="false">IF($J284=0,0,IFERROR(MATCH(INDEX(ROTACAO_RDM!$N$6:$N$71,$J284),PARAMETROS_CULTURAS!$B$6:$B$28,0),0))</f>
        <v>2</v>
      </c>
      <c r="Q284" s="8" t="str">
        <f aca="false">IF($P284=0,"-",IF($O284&lt;=INDEX(PARAMETROS_CULTURAS!$F$6:$F$28,$P284),"INICIAL",IF($O284&lt;=INDEX(PARAMETROS_CULTURAS!$F$6:$F$28,$P284)+INDEX(PARAMETROS_CULTURAS!$G$6:$G$28,$P284),"DESENVOLVIMENTO",IF($O284&lt;=INDEX(PARAMETROS_CULTURAS!$F$6:$F$28,$P284)+INDEX(PARAMETROS_CULTURAS!$G$6:$G$28,$P284)+INDEX(PARAMETROS_CULTURAS!$H$6:$H$28,$P284),"MEDIA","FINAL"))))</f>
        <v>MEDIA</v>
      </c>
      <c r="R284" s="24" t="n">
        <f aca="false">IF($P284=0,0,IF($O284&lt;=INDEX(PARAMETROS_CULTURAS!$F$6:$F$28,$P284),INDEX(PARAMETROS_CULTURAS!$K$6:$K$28,$P284),IF($O284&lt;=INDEX(PARAMETROS_CULTURAS!$F$6:$F$28,$P284)+INDEX(PARAMETROS_CULTURAS!$G$6:$G$28,$P284),INDEX(PARAMETROS_CULTURAS!$K$6:$K$28,$P284)+(INDEX(PARAMETROS_CULTURAS!$L$6:$L$28,$P284)-INDEX(PARAMETROS_CULTURAS!$K$6:$K$28,$P284))*($O284-INDEX(PARAMETROS_CULTURAS!$F$6:$F$28,$P284))/MAX(INDEX(PARAMETROS_CULTURAS!$G$6:$G$28,$P284),0.0001),IF($O284&lt;=INDEX(PARAMETROS_CULTURAS!$F$6:$F$28,$P284)+INDEX(PARAMETROS_CULTURAS!$G$6:$G$28,$P284)+INDEX(PARAMETROS_CULTURAS!$H$6:$H$28,$P284),INDEX(PARAMETROS_CULTURAS!$L$6:$L$28,$P284),INDEX(PARAMETROS_CULTURAS!$L$6:$L$28,$P284)+(INDEX(PARAMETROS_CULTURAS!$M$6:$M$28,$P284)-INDEX(PARAMETROS_CULTURAS!$L$6:$L$28,$P284))*($O284-INDEX(PARAMETROS_CULTURAS!$F$6:$F$28,$P284)-INDEX(PARAMETROS_CULTURAS!$G$6:$G$28,$P284)-INDEX(PARAMETROS_CULTURAS!$H$6:$H$28,$P284))/MAX(INDEX(PARAMETROS_CULTURAS!$I$6:$I$28,$P284),0.0001)))))</f>
        <v>1.15</v>
      </c>
      <c r="S284" s="18" t="n">
        <f aca="false">IFERROR(INDEX(SEMANAS!$H$6:$H$71,MATCH($B284,SEMANAS!$B$6:$B$71,0)),0)</f>
        <v>32.9</v>
      </c>
      <c r="T284" s="18" t="n">
        <f aca="false">$R284*$S284</f>
        <v>37.835</v>
      </c>
      <c r="U284" s="18" t="n">
        <f aca="false">IFERROR(INDEX(SEMANAS!$I$6:$I$71,MATCH($B284,SEMANAS!$B$6:$B$71,0)),0)</f>
        <v>48.58</v>
      </c>
      <c r="V284" s="18" t="n">
        <f aca="false">IFERROR(INDEX(SEMANAS!$J$6:$J$71,MATCH($B284,SEMANAS!$B$6:$B$71,0)),0)</f>
        <v>38.864</v>
      </c>
      <c r="W284" s="18" t="n">
        <f aca="false">MAX(0,$T284-$V284)</f>
        <v>0</v>
      </c>
      <c r="X284" s="19" t="n">
        <f aca="false">IFERROR(INDEX(CADASTRO_PIVOS!$K$6:$K$41,MATCH($E284,CADASTRO_PIVOS!$B$6:$B$41,0)),EFICIENCIA_PADRAO)</f>
        <v>0.85</v>
      </c>
      <c r="Y284" s="18" t="n">
        <f aca="false">IF($X284&lt;=0,0,$W284/$X284)</f>
        <v>0</v>
      </c>
      <c r="Z284" s="16" t="n">
        <f aca="false">$Y284*$H284*MM_PARA_M3_HA</f>
        <v>0</v>
      </c>
      <c r="AA284" s="18" t="n">
        <f aca="false">IFERROR(INDEX(CADASTRO_PIVOS!$I$6:$I$41,MATCH($E284,CADASTRO_PIVOS!$B$6:$B$41,0)),0)</f>
        <v>711.285714285714</v>
      </c>
      <c r="AB284" s="18" t="n">
        <f aca="false">IF($Z284&lt;=0,0,$Z284/$AA284)</f>
        <v>0</v>
      </c>
      <c r="AC284" s="16" t="n">
        <f aca="false">IFERROR(INDEX(SEMANAS!$K$6:$K$71,MATCH($B284,SEMANAS!$B$6:$B$71,0)),0)</f>
        <v>147</v>
      </c>
      <c r="AD284" s="19" t="n">
        <f aca="false">IF($AC284&lt;=0,0,$AB284/$AC284)</f>
        <v>0</v>
      </c>
      <c r="AE284" s="8" t="str">
        <f aca="false">IF($K284="SEM CULTURA","SEM CULTURA",IF($AA284&lt;=0,"DADO PENDENTE",IF($AD284&gt;LIMITE_CRITICO,"INVIAVEL",IF($AD284&gt;LIMITE_ATENCAO,"CRITICO",IF($AD284&gt;LIMITE_CONFORTAVEL,"ATENCAO","OK")))))</f>
        <v>OK</v>
      </c>
      <c r="AF284" s="8" t="str">
        <f aca="false">$B284&amp;"|"&amp;TEXT($AD284,"0.000000")</f>
        <v>15|0.000000</v>
      </c>
      <c r="AG284" s="18" t="n">
        <f aca="false">IF($K284="SEM CULTURA",0,$T284*$H284)</f>
        <v>3767.6093</v>
      </c>
      <c r="AH284" s="18" t="n">
        <f aca="false">IF($K284="SEM CULTURA",0,$V284*$H284)</f>
        <v>3870.07712</v>
      </c>
      <c r="AI284" s="18" t="n">
        <f aca="false">IF($K284="SEM CULTURA",0,$W284*$H284)</f>
        <v>0</v>
      </c>
      <c r="AJ284" s="18" t="n">
        <f aca="false">IF($K284="SEM CULTURA",0,$S284*$H284)</f>
        <v>3276.182</v>
      </c>
      <c r="AK284" s="8" t="str">
        <f aca="false">$E284&amp;"|"&amp;TEXT($AD284,"0.000000")</f>
        <v>PV 107|0.000000</v>
      </c>
    </row>
    <row r="285" customFormat="false" ht="15" hidden="false" customHeight="false" outlineLevel="0" collapsed="false">
      <c r="B285" s="16" t="n">
        <v>16</v>
      </c>
      <c r="C285" s="17" t="n">
        <f aca="false">DATA_INICIO_SAFRA+($B285-1)*DIAS_POR_SEMANA</f>
        <v>46370</v>
      </c>
      <c r="D285" s="17" t="n">
        <f aca="false">$C285+DIAS_POR_SEMANA-1</f>
        <v>46376</v>
      </c>
      <c r="E285" s="15" t="s">
        <v>263</v>
      </c>
      <c r="F285" s="8" t="str">
        <f aca="false">IFERROR(INDEX(CADASTRO_PIVOS!$C$6:$C$41,MATCH($E285,CADASTRO_PIVOS!$B$6:$B$41,0)),"?")</f>
        <v>RM03</v>
      </c>
      <c r="G285" s="8" t="str">
        <f aca="false">IFERROR(INDEX(CADASTRO_PIVOS!$D$6:$D$41,MATCH($E285,CADASTRO_PIVOS!$B$6:$B$41,0)),"?")</f>
        <v>TR03</v>
      </c>
      <c r="H285" s="20" t="n">
        <f aca="false">IFERROR(INDEX(CADASTRO_PIVOS!$E$6:$E$41,MATCH($E285,CADASTRO_PIVOS!$B$6:$B$41,0)),0)</f>
        <v>99.58</v>
      </c>
      <c r="I285" s="16" t="n">
        <f aca="false">IFERROR(SUMIFS(ROTACAO_RDM!$B$6:$B$71,ROTACAO_RDM!$D$6:$D$71,$E285,ROTACAO_RDM!$I$6:$I$71,"&lt;="&amp;$C285+INT(DIAS_POR_SEMANA/2),ROTACAO_RDM!$J$6:$J$71,"&gt;="&amp;$C285+INT(DIAS_POR_SEMANA/2)),0)</f>
        <v>12</v>
      </c>
      <c r="J285" s="16" t="n">
        <f aca="false">IFERROR(MATCH($I285,ROTACAO_RDM!$B$6:$B$71,0),0)</f>
        <v>12</v>
      </c>
      <c r="K285" s="8" t="str">
        <f aca="false">IF($J285=0,"SEM CULTURA",INDEX(ROTACAO_RDM!$F$6:$F$71,$J285))</f>
        <v>SOJA</v>
      </c>
      <c r="L285" s="8" t="str">
        <f aca="false">IF($J285=0,"",INDEX(ROTACAO_RDM!$G$6:$G$71,$J285))</f>
        <v>NEO 761 I2X</v>
      </c>
      <c r="M285" s="17" t="n">
        <f aca="false">IF($J285=0,"",INDEX(ROTACAO_RDM!$I$6:$I$71,$J285))</f>
        <v>46293</v>
      </c>
      <c r="N285" s="16" t="n">
        <f aca="false">IF($J285=0,0,MAX(0,$C285+INT(DIAS_POR_SEMANA/2)-INDEX(ROTACAO_RDM!$I$6:$I$71,$J285)))</f>
        <v>80</v>
      </c>
      <c r="O285" s="19" t="n">
        <f aca="false">IF($J285=0,0,MIN(1,$N285/MAX(1,INDEX(ROTACAO_RDM!$K$6:$K$71,$J285))))</f>
        <v>0.689655172413793</v>
      </c>
      <c r="P285" s="16" t="n">
        <f aca="false">IF($J285=0,0,IFERROR(MATCH(INDEX(ROTACAO_RDM!$N$6:$N$71,$J285),PARAMETROS_CULTURAS!$B$6:$B$28,0),0))</f>
        <v>2</v>
      </c>
      <c r="Q285" s="8" t="str">
        <f aca="false">IF($P285=0,"-",IF($O285&lt;=INDEX(PARAMETROS_CULTURAS!$F$6:$F$28,$P285),"INICIAL",IF($O285&lt;=INDEX(PARAMETROS_CULTURAS!$F$6:$F$28,$P285)+INDEX(PARAMETROS_CULTURAS!$G$6:$G$28,$P285),"DESENVOLVIMENTO",IF($O285&lt;=INDEX(PARAMETROS_CULTURAS!$F$6:$F$28,$P285)+INDEX(PARAMETROS_CULTURAS!$G$6:$G$28,$P285)+INDEX(PARAMETROS_CULTURAS!$H$6:$H$28,$P285),"MEDIA","FINAL"))))</f>
        <v>MEDIA</v>
      </c>
      <c r="R285" s="24" t="n">
        <f aca="false">IF($P285=0,0,IF($O285&lt;=INDEX(PARAMETROS_CULTURAS!$F$6:$F$28,$P285),INDEX(PARAMETROS_CULTURAS!$K$6:$K$28,$P285),IF($O285&lt;=INDEX(PARAMETROS_CULTURAS!$F$6:$F$28,$P285)+INDEX(PARAMETROS_CULTURAS!$G$6:$G$28,$P285),INDEX(PARAMETROS_CULTURAS!$K$6:$K$28,$P285)+(INDEX(PARAMETROS_CULTURAS!$L$6:$L$28,$P285)-INDEX(PARAMETROS_CULTURAS!$K$6:$K$28,$P285))*($O285-INDEX(PARAMETROS_CULTURAS!$F$6:$F$28,$P285))/MAX(INDEX(PARAMETROS_CULTURAS!$G$6:$G$28,$P285),0.0001),IF($O285&lt;=INDEX(PARAMETROS_CULTURAS!$F$6:$F$28,$P285)+INDEX(PARAMETROS_CULTURAS!$G$6:$G$28,$P285)+INDEX(PARAMETROS_CULTURAS!$H$6:$H$28,$P285),INDEX(PARAMETROS_CULTURAS!$L$6:$L$28,$P285),INDEX(PARAMETROS_CULTURAS!$L$6:$L$28,$P285)+(INDEX(PARAMETROS_CULTURAS!$M$6:$M$28,$P285)-INDEX(PARAMETROS_CULTURAS!$L$6:$L$28,$P285))*($O285-INDEX(PARAMETROS_CULTURAS!$F$6:$F$28,$P285)-INDEX(PARAMETROS_CULTURAS!$G$6:$G$28,$P285)-INDEX(PARAMETROS_CULTURAS!$H$6:$H$28,$P285))/MAX(INDEX(PARAMETROS_CULTURAS!$I$6:$I$28,$P285),0.0001)))))</f>
        <v>1.15</v>
      </c>
      <c r="S285" s="18" t="n">
        <f aca="false">IFERROR(INDEX(SEMANAS!$H$6:$H$71,MATCH($B285,SEMANAS!$B$6:$B$71,0)),0)</f>
        <v>32.9</v>
      </c>
      <c r="T285" s="18" t="n">
        <f aca="false">$R285*$S285</f>
        <v>37.835</v>
      </c>
      <c r="U285" s="18" t="n">
        <f aca="false">IFERROR(INDEX(SEMANAS!$I$6:$I$71,MATCH($B285,SEMANAS!$B$6:$B$71,0)),0)</f>
        <v>48.58</v>
      </c>
      <c r="V285" s="18" t="n">
        <f aca="false">IFERROR(INDEX(SEMANAS!$J$6:$J$71,MATCH($B285,SEMANAS!$B$6:$B$71,0)),0)</f>
        <v>38.864</v>
      </c>
      <c r="W285" s="18" t="n">
        <f aca="false">MAX(0,$T285-$V285)</f>
        <v>0</v>
      </c>
      <c r="X285" s="19" t="n">
        <f aca="false">IFERROR(INDEX(CADASTRO_PIVOS!$K$6:$K$41,MATCH($E285,CADASTRO_PIVOS!$B$6:$B$41,0)),EFICIENCIA_PADRAO)</f>
        <v>0.85</v>
      </c>
      <c r="Y285" s="18" t="n">
        <f aca="false">IF($X285&lt;=0,0,$W285/$X285)</f>
        <v>0</v>
      </c>
      <c r="Z285" s="16" t="n">
        <f aca="false">$Y285*$H285*MM_PARA_M3_HA</f>
        <v>0</v>
      </c>
      <c r="AA285" s="18" t="n">
        <f aca="false">IFERROR(INDEX(CADASTRO_PIVOS!$I$6:$I$41,MATCH($E285,CADASTRO_PIVOS!$B$6:$B$41,0)),0)</f>
        <v>711.285714285714</v>
      </c>
      <c r="AB285" s="18" t="n">
        <f aca="false">IF($Z285&lt;=0,0,$Z285/$AA285)</f>
        <v>0</v>
      </c>
      <c r="AC285" s="16" t="n">
        <f aca="false">IFERROR(INDEX(SEMANAS!$K$6:$K$71,MATCH($B285,SEMANAS!$B$6:$B$71,0)),0)</f>
        <v>147</v>
      </c>
      <c r="AD285" s="19" t="n">
        <f aca="false">IF($AC285&lt;=0,0,$AB285/$AC285)</f>
        <v>0</v>
      </c>
      <c r="AE285" s="8" t="str">
        <f aca="false">IF($K285="SEM CULTURA","SEM CULTURA",IF($AA285&lt;=0,"DADO PENDENTE",IF($AD285&gt;LIMITE_CRITICO,"INVIAVEL",IF($AD285&gt;LIMITE_ATENCAO,"CRITICO",IF($AD285&gt;LIMITE_CONFORTAVEL,"ATENCAO","OK")))))</f>
        <v>OK</v>
      </c>
      <c r="AF285" s="8" t="str">
        <f aca="false">$B285&amp;"|"&amp;TEXT($AD285,"0.000000")</f>
        <v>16|0.000000</v>
      </c>
      <c r="AG285" s="18" t="n">
        <f aca="false">IF($K285="SEM CULTURA",0,$T285*$H285)</f>
        <v>3767.6093</v>
      </c>
      <c r="AH285" s="18" t="n">
        <f aca="false">IF($K285="SEM CULTURA",0,$V285*$H285)</f>
        <v>3870.07712</v>
      </c>
      <c r="AI285" s="18" t="n">
        <f aca="false">IF($K285="SEM CULTURA",0,$W285*$H285)</f>
        <v>0</v>
      </c>
      <c r="AJ285" s="18" t="n">
        <f aca="false">IF($K285="SEM CULTURA",0,$S285*$H285)</f>
        <v>3276.182</v>
      </c>
      <c r="AK285" s="8" t="str">
        <f aca="false">$E285&amp;"|"&amp;TEXT($AD285,"0.000000")</f>
        <v>PV 107|0.000000</v>
      </c>
    </row>
    <row r="286" customFormat="false" ht="15" hidden="false" customHeight="false" outlineLevel="0" collapsed="false">
      <c r="B286" s="16" t="n">
        <v>17</v>
      </c>
      <c r="C286" s="17" t="n">
        <f aca="false">DATA_INICIO_SAFRA+($B286-1)*DIAS_POR_SEMANA</f>
        <v>46377</v>
      </c>
      <c r="D286" s="17" t="n">
        <f aca="false">$C286+DIAS_POR_SEMANA-1</f>
        <v>46383</v>
      </c>
      <c r="E286" s="15" t="s">
        <v>263</v>
      </c>
      <c r="F286" s="8" t="str">
        <f aca="false">IFERROR(INDEX(CADASTRO_PIVOS!$C$6:$C$41,MATCH($E286,CADASTRO_PIVOS!$B$6:$B$41,0)),"?")</f>
        <v>RM03</v>
      </c>
      <c r="G286" s="8" t="str">
        <f aca="false">IFERROR(INDEX(CADASTRO_PIVOS!$D$6:$D$41,MATCH($E286,CADASTRO_PIVOS!$B$6:$B$41,0)),"?")</f>
        <v>TR03</v>
      </c>
      <c r="H286" s="20" t="n">
        <f aca="false">IFERROR(INDEX(CADASTRO_PIVOS!$E$6:$E$41,MATCH($E286,CADASTRO_PIVOS!$B$6:$B$41,0)),0)</f>
        <v>99.58</v>
      </c>
      <c r="I286" s="16" t="n">
        <f aca="false">IFERROR(SUMIFS(ROTACAO_RDM!$B$6:$B$71,ROTACAO_RDM!$D$6:$D$71,$E286,ROTACAO_RDM!$I$6:$I$71,"&lt;="&amp;$C286+INT(DIAS_POR_SEMANA/2),ROTACAO_RDM!$J$6:$J$71,"&gt;="&amp;$C286+INT(DIAS_POR_SEMANA/2)),0)</f>
        <v>12</v>
      </c>
      <c r="J286" s="16" t="n">
        <f aca="false">IFERROR(MATCH($I286,ROTACAO_RDM!$B$6:$B$71,0),0)</f>
        <v>12</v>
      </c>
      <c r="K286" s="8" t="str">
        <f aca="false">IF($J286=0,"SEM CULTURA",INDEX(ROTACAO_RDM!$F$6:$F$71,$J286))</f>
        <v>SOJA</v>
      </c>
      <c r="L286" s="8" t="str">
        <f aca="false">IF($J286=0,"",INDEX(ROTACAO_RDM!$G$6:$G$71,$J286))</f>
        <v>NEO 761 I2X</v>
      </c>
      <c r="M286" s="17" t="n">
        <f aca="false">IF($J286=0,"",INDEX(ROTACAO_RDM!$I$6:$I$71,$J286))</f>
        <v>46293</v>
      </c>
      <c r="N286" s="16" t="n">
        <f aca="false">IF($J286=0,0,MAX(0,$C286+INT(DIAS_POR_SEMANA/2)-INDEX(ROTACAO_RDM!$I$6:$I$71,$J286)))</f>
        <v>87</v>
      </c>
      <c r="O286" s="19" t="n">
        <f aca="false">IF($J286=0,0,MIN(1,$N286/MAX(1,INDEX(ROTACAO_RDM!$K$6:$K$71,$J286))))</f>
        <v>0.75</v>
      </c>
      <c r="P286" s="16" t="n">
        <f aca="false">IF($J286=0,0,IFERROR(MATCH(INDEX(ROTACAO_RDM!$N$6:$N$71,$J286),PARAMETROS_CULTURAS!$B$6:$B$28,0),0))</f>
        <v>2</v>
      </c>
      <c r="Q286" s="8" t="str">
        <f aca="false">IF($P286=0,"-",IF($O286&lt;=INDEX(PARAMETROS_CULTURAS!$F$6:$F$28,$P286),"INICIAL",IF($O286&lt;=INDEX(PARAMETROS_CULTURAS!$F$6:$F$28,$P286)+INDEX(PARAMETROS_CULTURAS!$G$6:$G$28,$P286),"DESENVOLVIMENTO",IF($O286&lt;=INDEX(PARAMETROS_CULTURAS!$F$6:$F$28,$P286)+INDEX(PARAMETROS_CULTURAS!$G$6:$G$28,$P286)+INDEX(PARAMETROS_CULTURAS!$H$6:$H$28,$P286),"MEDIA","FINAL"))))</f>
        <v>MEDIA</v>
      </c>
      <c r="R286" s="24" t="n">
        <f aca="false">IF($P286=0,0,IF($O286&lt;=INDEX(PARAMETROS_CULTURAS!$F$6:$F$28,$P286),INDEX(PARAMETROS_CULTURAS!$K$6:$K$28,$P286),IF($O286&lt;=INDEX(PARAMETROS_CULTURAS!$F$6:$F$28,$P286)+INDEX(PARAMETROS_CULTURAS!$G$6:$G$28,$P286),INDEX(PARAMETROS_CULTURAS!$K$6:$K$28,$P286)+(INDEX(PARAMETROS_CULTURAS!$L$6:$L$28,$P286)-INDEX(PARAMETROS_CULTURAS!$K$6:$K$28,$P286))*($O286-INDEX(PARAMETROS_CULTURAS!$F$6:$F$28,$P286))/MAX(INDEX(PARAMETROS_CULTURAS!$G$6:$G$28,$P286),0.0001),IF($O286&lt;=INDEX(PARAMETROS_CULTURAS!$F$6:$F$28,$P286)+INDEX(PARAMETROS_CULTURAS!$G$6:$G$28,$P286)+INDEX(PARAMETROS_CULTURAS!$H$6:$H$28,$P286),INDEX(PARAMETROS_CULTURAS!$L$6:$L$28,$P286),INDEX(PARAMETROS_CULTURAS!$L$6:$L$28,$P286)+(INDEX(PARAMETROS_CULTURAS!$M$6:$M$28,$P286)-INDEX(PARAMETROS_CULTURAS!$L$6:$L$28,$P286))*($O286-INDEX(PARAMETROS_CULTURAS!$F$6:$F$28,$P286)-INDEX(PARAMETROS_CULTURAS!$G$6:$G$28,$P286)-INDEX(PARAMETROS_CULTURAS!$H$6:$H$28,$P286))/MAX(INDEX(PARAMETROS_CULTURAS!$I$6:$I$28,$P286),0.0001)))))</f>
        <v>1.15</v>
      </c>
      <c r="S286" s="18" t="n">
        <f aca="false">IFERROR(INDEX(SEMANAS!$H$6:$H$71,MATCH($B286,SEMANAS!$B$6:$B$71,0)),0)</f>
        <v>32.9</v>
      </c>
      <c r="T286" s="18" t="n">
        <f aca="false">$R286*$S286</f>
        <v>37.835</v>
      </c>
      <c r="U286" s="18" t="n">
        <f aca="false">IFERROR(INDEX(SEMANAS!$I$6:$I$71,MATCH($B286,SEMANAS!$B$6:$B$71,0)),0)</f>
        <v>48.58</v>
      </c>
      <c r="V286" s="18" t="n">
        <f aca="false">IFERROR(INDEX(SEMANAS!$J$6:$J$71,MATCH($B286,SEMANAS!$B$6:$B$71,0)),0)</f>
        <v>38.864</v>
      </c>
      <c r="W286" s="18" t="n">
        <f aca="false">MAX(0,$T286-$V286)</f>
        <v>0</v>
      </c>
      <c r="X286" s="19" t="n">
        <f aca="false">IFERROR(INDEX(CADASTRO_PIVOS!$K$6:$K$41,MATCH($E286,CADASTRO_PIVOS!$B$6:$B$41,0)),EFICIENCIA_PADRAO)</f>
        <v>0.85</v>
      </c>
      <c r="Y286" s="18" t="n">
        <f aca="false">IF($X286&lt;=0,0,$W286/$X286)</f>
        <v>0</v>
      </c>
      <c r="Z286" s="16" t="n">
        <f aca="false">$Y286*$H286*MM_PARA_M3_HA</f>
        <v>0</v>
      </c>
      <c r="AA286" s="18" t="n">
        <f aca="false">IFERROR(INDEX(CADASTRO_PIVOS!$I$6:$I$41,MATCH($E286,CADASTRO_PIVOS!$B$6:$B$41,0)),0)</f>
        <v>711.285714285714</v>
      </c>
      <c r="AB286" s="18" t="n">
        <f aca="false">IF($Z286&lt;=0,0,$Z286/$AA286)</f>
        <v>0</v>
      </c>
      <c r="AC286" s="16" t="n">
        <f aca="false">IFERROR(INDEX(SEMANAS!$K$6:$K$71,MATCH($B286,SEMANAS!$B$6:$B$71,0)),0)</f>
        <v>147</v>
      </c>
      <c r="AD286" s="19" t="n">
        <f aca="false">IF($AC286&lt;=0,0,$AB286/$AC286)</f>
        <v>0</v>
      </c>
      <c r="AE286" s="8" t="str">
        <f aca="false">IF($K286="SEM CULTURA","SEM CULTURA",IF($AA286&lt;=0,"DADO PENDENTE",IF($AD286&gt;LIMITE_CRITICO,"INVIAVEL",IF($AD286&gt;LIMITE_ATENCAO,"CRITICO",IF($AD286&gt;LIMITE_CONFORTAVEL,"ATENCAO","OK")))))</f>
        <v>OK</v>
      </c>
      <c r="AF286" s="8" t="str">
        <f aca="false">$B286&amp;"|"&amp;TEXT($AD286,"0.000000")</f>
        <v>17|0.000000</v>
      </c>
      <c r="AG286" s="18" t="n">
        <f aca="false">IF($K286="SEM CULTURA",0,$T286*$H286)</f>
        <v>3767.6093</v>
      </c>
      <c r="AH286" s="18" t="n">
        <f aca="false">IF($K286="SEM CULTURA",0,$V286*$H286)</f>
        <v>3870.07712</v>
      </c>
      <c r="AI286" s="18" t="n">
        <f aca="false">IF($K286="SEM CULTURA",0,$W286*$H286)</f>
        <v>0</v>
      </c>
      <c r="AJ286" s="18" t="n">
        <f aca="false">IF($K286="SEM CULTURA",0,$S286*$H286)</f>
        <v>3276.182</v>
      </c>
      <c r="AK286" s="8" t="str">
        <f aca="false">$E286&amp;"|"&amp;TEXT($AD286,"0.000000")</f>
        <v>PV 107|0.000000</v>
      </c>
    </row>
    <row r="287" customFormat="false" ht="15" hidden="false" customHeight="false" outlineLevel="0" collapsed="false">
      <c r="B287" s="16" t="n">
        <v>18</v>
      </c>
      <c r="C287" s="17" t="n">
        <f aca="false">DATA_INICIO_SAFRA+($B287-1)*DIAS_POR_SEMANA</f>
        <v>46384</v>
      </c>
      <c r="D287" s="17" t="n">
        <f aca="false">$C287+DIAS_POR_SEMANA-1</f>
        <v>46390</v>
      </c>
      <c r="E287" s="15" t="s">
        <v>263</v>
      </c>
      <c r="F287" s="8" t="str">
        <f aca="false">IFERROR(INDEX(CADASTRO_PIVOS!$C$6:$C$41,MATCH($E287,CADASTRO_PIVOS!$B$6:$B$41,0)),"?")</f>
        <v>RM03</v>
      </c>
      <c r="G287" s="8" t="str">
        <f aca="false">IFERROR(INDEX(CADASTRO_PIVOS!$D$6:$D$41,MATCH($E287,CADASTRO_PIVOS!$B$6:$B$41,0)),"?")</f>
        <v>TR03</v>
      </c>
      <c r="H287" s="20" t="n">
        <f aca="false">IFERROR(INDEX(CADASTRO_PIVOS!$E$6:$E$41,MATCH($E287,CADASTRO_PIVOS!$B$6:$B$41,0)),0)</f>
        <v>99.58</v>
      </c>
      <c r="I287" s="16" t="n">
        <f aca="false">IFERROR(SUMIFS(ROTACAO_RDM!$B$6:$B$71,ROTACAO_RDM!$D$6:$D$71,$E287,ROTACAO_RDM!$I$6:$I$71,"&lt;="&amp;$C287+INT(DIAS_POR_SEMANA/2),ROTACAO_RDM!$J$6:$J$71,"&gt;="&amp;$C287+INT(DIAS_POR_SEMANA/2)),0)</f>
        <v>12</v>
      </c>
      <c r="J287" s="16" t="n">
        <f aca="false">IFERROR(MATCH($I287,ROTACAO_RDM!$B$6:$B$71,0),0)</f>
        <v>12</v>
      </c>
      <c r="K287" s="8" t="str">
        <f aca="false">IF($J287=0,"SEM CULTURA",INDEX(ROTACAO_RDM!$F$6:$F$71,$J287))</f>
        <v>SOJA</v>
      </c>
      <c r="L287" s="8" t="str">
        <f aca="false">IF($J287=0,"",INDEX(ROTACAO_RDM!$G$6:$G$71,$J287))</f>
        <v>NEO 761 I2X</v>
      </c>
      <c r="M287" s="17" t="n">
        <f aca="false">IF($J287=0,"",INDEX(ROTACAO_RDM!$I$6:$I$71,$J287))</f>
        <v>46293</v>
      </c>
      <c r="N287" s="16" t="n">
        <f aca="false">IF($J287=0,0,MAX(0,$C287+INT(DIAS_POR_SEMANA/2)-INDEX(ROTACAO_RDM!$I$6:$I$71,$J287)))</f>
        <v>94</v>
      </c>
      <c r="O287" s="19" t="n">
        <f aca="false">IF($J287=0,0,MIN(1,$N287/MAX(1,INDEX(ROTACAO_RDM!$K$6:$K$71,$J287))))</f>
        <v>0.810344827586207</v>
      </c>
      <c r="P287" s="16" t="n">
        <f aca="false">IF($J287=0,0,IFERROR(MATCH(INDEX(ROTACAO_RDM!$N$6:$N$71,$J287),PARAMETROS_CULTURAS!$B$6:$B$28,0),0))</f>
        <v>2</v>
      </c>
      <c r="Q287" s="8" t="str">
        <f aca="false">IF($P287=0,"-",IF($O287&lt;=INDEX(PARAMETROS_CULTURAS!$F$6:$F$28,$P287),"INICIAL",IF($O287&lt;=INDEX(PARAMETROS_CULTURAS!$F$6:$F$28,$P287)+INDEX(PARAMETROS_CULTURAS!$G$6:$G$28,$P287),"DESENVOLVIMENTO",IF($O287&lt;=INDEX(PARAMETROS_CULTURAS!$F$6:$F$28,$P287)+INDEX(PARAMETROS_CULTURAS!$G$6:$G$28,$P287)+INDEX(PARAMETROS_CULTURAS!$H$6:$H$28,$P287),"MEDIA","FINAL"))))</f>
        <v>FINAL</v>
      </c>
      <c r="R287" s="24" t="n">
        <f aca="false">IF($P287=0,0,IF($O287&lt;=INDEX(PARAMETROS_CULTURAS!$F$6:$F$28,$P287),INDEX(PARAMETROS_CULTURAS!$K$6:$K$28,$P287),IF($O287&lt;=INDEX(PARAMETROS_CULTURAS!$F$6:$F$28,$P287)+INDEX(PARAMETROS_CULTURAS!$G$6:$G$28,$P287),INDEX(PARAMETROS_CULTURAS!$K$6:$K$28,$P287)+(INDEX(PARAMETROS_CULTURAS!$L$6:$L$28,$P287)-INDEX(PARAMETROS_CULTURAS!$K$6:$K$28,$P287))*($O287-INDEX(PARAMETROS_CULTURAS!$F$6:$F$28,$P287))/MAX(INDEX(PARAMETROS_CULTURAS!$G$6:$G$28,$P287),0.0001),IF($O287&lt;=INDEX(PARAMETROS_CULTURAS!$F$6:$F$28,$P287)+INDEX(PARAMETROS_CULTURAS!$G$6:$G$28,$P287)+INDEX(PARAMETROS_CULTURAS!$H$6:$H$28,$P287),INDEX(PARAMETROS_CULTURAS!$L$6:$L$28,$P287),INDEX(PARAMETROS_CULTURAS!$L$6:$L$28,$P287)+(INDEX(PARAMETROS_CULTURAS!$M$6:$M$28,$P287)-INDEX(PARAMETROS_CULTURAS!$L$6:$L$28,$P287))*($O287-INDEX(PARAMETROS_CULTURAS!$F$6:$F$28,$P287)-INDEX(PARAMETROS_CULTURAS!$G$6:$G$28,$P287)-INDEX(PARAMETROS_CULTURAS!$H$6:$H$28,$P287))/MAX(INDEX(PARAMETROS_CULTURAS!$I$6:$I$28,$P287),0.0001)))))</f>
        <v>1.14882032667877</v>
      </c>
      <c r="S287" s="18" t="n">
        <f aca="false">IFERROR(INDEX(SEMANAS!$H$6:$H$71,MATCH($B287,SEMANAS!$B$6:$B$71,0)),0)</f>
        <v>33.2</v>
      </c>
      <c r="T287" s="18" t="n">
        <f aca="false">$R287*$S287</f>
        <v>38.140834845735</v>
      </c>
      <c r="U287" s="18" t="n">
        <f aca="false">IFERROR(INDEX(SEMANAS!$I$6:$I$71,MATCH($B287,SEMANAS!$B$6:$B$71,0)),0)</f>
        <v>47.11</v>
      </c>
      <c r="V287" s="18" t="n">
        <f aca="false">IFERROR(INDEX(SEMANAS!$J$6:$J$71,MATCH($B287,SEMANAS!$B$6:$B$71,0)),0)</f>
        <v>37.688</v>
      </c>
      <c r="W287" s="18" t="n">
        <f aca="false">MAX(0,$T287-$V287)</f>
        <v>0.452834845735033</v>
      </c>
      <c r="X287" s="19" t="n">
        <f aca="false">IFERROR(INDEX(CADASTRO_PIVOS!$K$6:$K$41,MATCH($E287,CADASTRO_PIVOS!$B$6:$B$41,0)),EFICIENCIA_PADRAO)</f>
        <v>0.85</v>
      </c>
      <c r="Y287" s="18" t="n">
        <f aca="false">IF($X287&lt;=0,0,$W287/$X287)</f>
        <v>0.532746877335333</v>
      </c>
      <c r="Z287" s="16" t="n">
        <f aca="false">$Y287*$H287*MM_PARA_M3_HA</f>
        <v>530.509340450525</v>
      </c>
      <c r="AA287" s="18" t="n">
        <f aca="false">IFERROR(INDEX(CADASTRO_PIVOS!$I$6:$I$41,MATCH($E287,CADASTRO_PIVOS!$B$6:$B$41,0)),0)</f>
        <v>711.285714285714</v>
      </c>
      <c r="AB287" s="18" t="n">
        <f aca="false">IF($Z287&lt;=0,0,$Z287/$AA287)</f>
        <v>0.745845628269467</v>
      </c>
      <c r="AC287" s="16" t="n">
        <f aca="false">IFERROR(INDEX(SEMANAS!$K$6:$K$71,MATCH($B287,SEMANAS!$B$6:$B$71,0)),0)</f>
        <v>147</v>
      </c>
      <c r="AD287" s="19" t="n">
        <f aca="false">IF($AC287&lt;=0,0,$AB287/$AC287)</f>
        <v>0.00507377978414603</v>
      </c>
      <c r="AE287" s="8" t="str">
        <f aca="false">IF($K287="SEM CULTURA","SEM CULTURA",IF($AA287&lt;=0,"DADO PENDENTE",IF($AD287&gt;LIMITE_CRITICO,"INVIAVEL",IF($AD287&gt;LIMITE_ATENCAO,"CRITICO",IF($AD287&gt;LIMITE_CONFORTAVEL,"ATENCAO","OK")))))</f>
        <v>OK</v>
      </c>
      <c r="AF287" s="8" t="str">
        <f aca="false">$B287&amp;"|"&amp;TEXT($AD287,"0.000000")</f>
        <v>18|0.005074</v>
      </c>
      <c r="AG287" s="18" t="n">
        <f aca="false">IF($K287="SEM CULTURA",0,$T287*$H287)</f>
        <v>3798.06433393829</v>
      </c>
      <c r="AH287" s="18" t="n">
        <f aca="false">IF($K287="SEM CULTURA",0,$V287*$H287)</f>
        <v>3752.97104</v>
      </c>
      <c r="AI287" s="18" t="n">
        <f aca="false">IF($K287="SEM CULTURA",0,$W287*$H287)</f>
        <v>45.0932939382946</v>
      </c>
      <c r="AJ287" s="18" t="n">
        <f aca="false">IF($K287="SEM CULTURA",0,$S287*$H287)</f>
        <v>3306.056</v>
      </c>
      <c r="AK287" s="8" t="str">
        <f aca="false">$E287&amp;"|"&amp;TEXT($AD287,"0.000000")</f>
        <v>PV 107|0.005074</v>
      </c>
    </row>
    <row r="288" customFormat="false" ht="15" hidden="false" customHeight="false" outlineLevel="0" collapsed="false">
      <c r="B288" s="16" t="n">
        <v>19</v>
      </c>
      <c r="C288" s="17" t="n">
        <f aca="false">DATA_INICIO_SAFRA+($B288-1)*DIAS_POR_SEMANA</f>
        <v>46391</v>
      </c>
      <c r="D288" s="17" t="n">
        <f aca="false">$C288+DIAS_POR_SEMANA-1</f>
        <v>46397</v>
      </c>
      <c r="E288" s="15" t="s">
        <v>263</v>
      </c>
      <c r="F288" s="8" t="str">
        <f aca="false">IFERROR(INDEX(CADASTRO_PIVOS!$C$6:$C$41,MATCH($E288,CADASTRO_PIVOS!$B$6:$B$41,0)),"?")</f>
        <v>RM03</v>
      </c>
      <c r="G288" s="8" t="str">
        <f aca="false">IFERROR(INDEX(CADASTRO_PIVOS!$D$6:$D$41,MATCH($E288,CADASTRO_PIVOS!$B$6:$B$41,0)),"?")</f>
        <v>TR03</v>
      </c>
      <c r="H288" s="20" t="n">
        <f aca="false">IFERROR(INDEX(CADASTRO_PIVOS!$E$6:$E$41,MATCH($E288,CADASTRO_PIVOS!$B$6:$B$41,0)),0)</f>
        <v>99.58</v>
      </c>
      <c r="I288" s="16" t="n">
        <f aca="false">IFERROR(SUMIFS(ROTACAO_RDM!$B$6:$B$71,ROTACAO_RDM!$D$6:$D$71,$E288,ROTACAO_RDM!$I$6:$I$71,"&lt;="&amp;$C288+INT(DIAS_POR_SEMANA/2),ROTACAO_RDM!$J$6:$J$71,"&gt;="&amp;$C288+INT(DIAS_POR_SEMANA/2)),0)</f>
        <v>12</v>
      </c>
      <c r="J288" s="16" t="n">
        <f aca="false">IFERROR(MATCH($I288,ROTACAO_RDM!$B$6:$B$71,0),0)</f>
        <v>12</v>
      </c>
      <c r="K288" s="8" t="str">
        <f aca="false">IF($J288=0,"SEM CULTURA",INDEX(ROTACAO_RDM!$F$6:$F$71,$J288))</f>
        <v>SOJA</v>
      </c>
      <c r="L288" s="8" t="str">
        <f aca="false">IF($J288=0,"",INDEX(ROTACAO_RDM!$G$6:$G$71,$J288))</f>
        <v>NEO 761 I2X</v>
      </c>
      <c r="M288" s="17" t="n">
        <f aca="false">IF($J288=0,"",INDEX(ROTACAO_RDM!$I$6:$I$71,$J288))</f>
        <v>46293</v>
      </c>
      <c r="N288" s="16" t="n">
        <f aca="false">IF($J288=0,0,MAX(0,$C288+INT(DIAS_POR_SEMANA/2)-INDEX(ROTACAO_RDM!$I$6:$I$71,$J288)))</f>
        <v>101</v>
      </c>
      <c r="O288" s="19" t="n">
        <f aca="false">IF($J288=0,0,MIN(1,$N288/MAX(1,INDEX(ROTACAO_RDM!$K$6:$K$71,$J288))))</f>
        <v>0.870689655172414</v>
      </c>
      <c r="P288" s="16" t="n">
        <f aca="false">IF($J288=0,0,IFERROR(MATCH(INDEX(ROTACAO_RDM!$N$6:$N$71,$J288),PARAMETROS_CULTURAS!$B$6:$B$28,0),0))</f>
        <v>2</v>
      </c>
      <c r="Q288" s="8" t="str">
        <f aca="false">IF($P288=0,"-",IF($O288&lt;=INDEX(PARAMETROS_CULTURAS!$F$6:$F$28,$P288),"INICIAL",IF($O288&lt;=INDEX(PARAMETROS_CULTURAS!$F$6:$F$28,$P288)+INDEX(PARAMETROS_CULTURAS!$G$6:$G$28,$P288),"DESENVOLVIMENTO",IF($O288&lt;=INDEX(PARAMETROS_CULTURAS!$F$6:$F$28,$P288)+INDEX(PARAMETROS_CULTURAS!$G$6:$G$28,$P288)+INDEX(PARAMETROS_CULTURAS!$H$6:$H$28,$P288),"MEDIA","FINAL"))))</f>
        <v>FINAL</v>
      </c>
      <c r="R288" s="24" t="n">
        <f aca="false">IF($P288=0,0,IF($O288&lt;=INDEX(PARAMETROS_CULTURAS!$F$6:$F$28,$P288),INDEX(PARAMETROS_CULTURAS!$K$6:$K$28,$P288),IF($O288&lt;=INDEX(PARAMETROS_CULTURAS!$F$6:$F$28,$P288)+INDEX(PARAMETROS_CULTURAS!$G$6:$G$28,$P288),INDEX(PARAMETROS_CULTURAS!$K$6:$K$28,$P288)+(INDEX(PARAMETROS_CULTURAS!$L$6:$L$28,$P288)-INDEX(PARAMETROS_CULTURAS!$K$6:$K$28,$P288))*($O288-INDEX(PARAMETROS_CULTURAS!$F$6:$F$28,$P288))/MAX(INDEX(PARAMETROS_CULTURAS!$G$6:$G$28,$P288),0.0001),IF($O288&lt;=INDEX(PARAMETROS_CULTURAS!$F$6:$F$28,$P288)+INDEX(PARAMETROS_CULTURAS!$G$6:$G$28,$P288)+INDEX(PARAMETROS_CULTURAS!$H$6:$H$28,$P288),INDEX(PARAMETROS_CULTURAS!$L$6:$L$28,$P288),INDEX(PARAMETROS_CULTURAS!$L$6:$L$28,$P288)+(INDEX(PARAMETROS_CULTURAS!$M$6:$M$28,$P288)-INDEX(PARAMETROS_CULTURAS!$L$6:$L$28,$P288))*($O288-INDEX(PARAMETROS_CULTURAS!$F$6:$F$28,$P288)-INDEX(PARAMETROS_CULTURAS!$G$6:$G$28,$P288)-INDEX(PARAMETROS_CULTURAS!$H$6:$H$28,$P288))/MAX(INDEX(PARAMETROS_CULTURAS!$I$6:$I$28,$P288),0.0001)))))</f>
        <v>0.942377495462795</v>
      </c>
      <c r="S288" s="18" t="n">
        <f aca="false">IFERROR(INDEX(SEMANAS!$H$6:$H$71,MATCH($B288,SEMANAS!$B$6:$B$71,0)),0)</f>
        <v>33.6</v>
      </c>
      <c r="T288" s="18" t="n">
        <f aca="false">$R288*$S288</f>
        <v>31.6638838475499</v>
      </c>
      <c r="U288" s="18" t="n">
        <f aca="false">IFERROR(INDEX(SEMANAS!$I$6:$I$71,MATCH($B288,SEMANAS!$B$6:$B$71,0)),0)</f>
        <v>45.15</v>
      </c>
      <c r="V288" s="18" t="n">
        <f aca="false">IFERROR(INDEX(SEMANAS!$J$6:$J$71,MATCH($B288,SEMANAS!$B$6:$B$71,0)),0)</f>
        <v>36.12</v>
      </c>
      <c r="W288" s="18" t="n">
        <f aca="false">MAX(0,$T288-$V288)</f>
        <v>0</v>
      </c>
      <c r="X288" s="19" t="n">
        <f aca="false">IFERROR(INDEX(CADASTRO_PIVOS!$K$6:$K$41,MATCH($E288,CADASTRO_PIVOS!$B$6:$B$41,0)),EFICIENCIA_PADRAO)</f>
        <v>0.85</v>
      </c>
      <c r="Y288" s="18" t="n">
        <f aca="false">IF($X288&lt;=0,0,$W288/$X288)</f>
        <v>0</v>
      </c>
      <c r="Z288" s="16" t="n">
        <f aca="false">$Y288*$H288*MM_PARA_M3_HA</f>
        <v>0</v>
      </c>
      <c r="AA288" s="18" t="n">
        <f aca="false">IFERROR(INDEX(CADASTRO_PIVOS!$I$6:$I$41,MATCH($E288,CADASTRO_PIVOS!$B$6:$B$41,0)),0)</f>
        <v>711.285714285714</v>
      </c>
      <c r="AB288" s="18" t="n">
        <f aca="false">IF($Z288&lt;=0,0,$Z288/$AA288)</f>
        <v>0</v>
      </c>
      <c r="AC288" s="16" t="n">
        <f aca="false">IFERROR(INDEX(SEMANAS!$K$6:$K$71,MATCH($B288,SEMANAS!$B$6:$B$71,0)),0)</f>
        <v>147</v>
      </c>
      <c r="AD288" s="19" t="n">
        <f aca="false">IF($AC288&lt;=0,0,$AB288/$AC288)</f>
        <v>0</v>
      </c>
      <c r="AE288" s="8" t="str">
        <f aca="false">IF($K288="SEM CULTURA","SEM CULTURA",IF($AA288&lt;=0,"DADO PENDENTE",IF($AD288&gt;LIMITE_CRITICO,"INVIAVEL",IF($AD288&gt;LIMITE_ATENCAO,"CRITICO",IF($AD288&gt;LIMITE_CONFORTAVEL,"ATENCAO","OK")))))</f>
        <v>OK</v>
      </c>
      <c r="AF288" s="8" t="str">
        <f aca="false">$B288&amp;"|"&amp;TEXT($AD288,"0.000000")</f>
        <v>19|0.000000</v>
      </c>
      <c r="AG288" s="18" t="n">
        <f aca="false">IF($K288="SEM CULTURA",0,$T288*$H288)</f>
        <v>3153.08955353902</v>
      </c>
      <c r="AH288" s="18" t="n">
        <f aca="false">IF($K288="SEM CULTURA",0,$V288*$H288)</f>
        <v>3596.8296</v>
      </c>
      <c r="AI288" s="18" t="n">
        <f aca="false">IF($K288="SEM CULTURA",0,$W288*$H288)</f>
        <v>0</v>
      </c>
      <c r="AJ288" s="18" t="n">
        <f aca="false">IF($K288="SEM CULTURA",0,$S288*$H288)</f>
        <v>3345.888</v>
      </c>
      <c r="AK288" s="8" t="str">
        <f aca="false">$E288&amp;"|"&amp;TEXT($AD288,"0.000000")</f>
        <v>PV 107|0.000000</v>
      </c>
    </row>
    <row r="289" customFormat="false" ht="15" hidden="false" customHeight="false" outlineLevel="0" collapsed="false">
      <c r="B289" s="16" t="n">
        <v>20</v>
      </c>
      <c r="C289" s="17" t="n">
        <f aca="false">DATA_INICIO_SAFRA+($B289-1)*DIAS_POR_SEMANA</f>
        <v>46398</v>
      </c>
      <c r="D289" s="17" t="n">
        <f aca="false">$C289+DIAS_POR_SEMANA-1</f>
        <v>46404</v>
      </c>
      <c r="E289" s="15" t="s">
        <v>263</v>
      </c>
      <c r="F289" s="8" t="str">
        <f aca="false">IFERROR(INDEX(CADASTRO_PIVOS!$C$6:$C$41,MATCH($E289,CADASTRO_PIVOS!$B$6:$B$41,0)),"?")</f>
        <v>RM03</v>
      </c>
      <c r="G289" s="8" t="str">
        <f aca="false">IFERROR(INDEX(CADASTRO_PIVOS!$D$6:$D$41,MATCH($E289,CADASTRO_PIVOS!$B$6:$B$41,0)),"?")</f>
        <v>TR03</v>
      </c>
      <c r="H289" s="20" t="n">
        <f aca="false">IFERROR(INDEX(CADASTRO_PIVOS!$E$6:$E$41,MATCH($E289,CADASTRO_PIVOS!$B$6:$B$41,0)),0)</f>
        <v>99.58</v>
      </c>
      <c r="I289" s="16" t="n">
        <f aca="false">IFERROR(SUMIFS(ROTACAO_RDM!$B$6:$B$71,ROTACAO_RDM!$D$6:$D$71,$E289,ROTACAO_RDM!$I$6:$I$71,"&lt;="&amp;$C289+INT(DIAS_POR_SEMANA/2),ROTACAO_RDM!$J$6:$J$71,"&gt;="&amp;$C289+INT(DIAS_POR_SEMANA/2)),0)</f>
        <v>12</v>
      </c>
      <c r="J289" s="16" t="n">
        <f aca="false">IFERROR(MATCH($I289,ROTACAO_RDM!$B$6:$B$71,0),0)</f>
        <v>12</v>
      </c>
      <c r="K289" s="8" t="str">
        <f aca="false">IF($J289=0,"SEM CULTURA",INDEX(ROTACAO_RDM!$F$6:$F$71,$J289))</f>
        <v>SOJA</v>
      </c>
      <c r="L289" s="8" t="str">
        <f aca="false">IF($J289=0,"",INDEX(ROTACAO_RDM!$G$6:$G$71,$J289))</f>
        <v>NEO 761 I2X</v>
      </c>
      <c r="M289" s="17" t="n">
        <f aca="false">IF($J289=0,"",INDEX(ROTACAO_RDM!$I$6:$I$71,$J289))</f>
        <v>46293</v>
      </c>
      <c r="N289" s="16" t="n">
        <f aca="false">IF($J289=0,0,MAX(0,$C289+INT(DIAS_POR_SEMANA/2)-INDEX(ROTACAO_RDM!$I$6:$I$71,$J289)))</f>
        <v>108</v>
      </c>
      <c r="O289" s="19" t="n">
        <f aca="false">IF($J289=0,0,MIN(1,$N289/MAX(1,INDEX(ROTACAO_RDM!$K$6:$K$71,$J289))))</f>
        <v>0.931034482758621</v>
      </c>
      <c r="P289" s="16" t="n">
        <f aca="false">IF($J289=0,0,IFERROR(MATCH(INDEX(ROTACAO_RDM!$N$6:$N$71,$J289),PARAMETROS_CULTURAS!$B$6:$B$28,0),0))</f>
        <v>2</v>
      </c>
      <c r="Q289" s="8" t="str">
        <f aca="false">IF($P289=0,"-",IF($O289&lt;=INDEX(PARAMETROS_CULTURAS!$F$6:$F$28,$P289),"INICIAL",IF($O289&lt;=INDEX(PARAMETROS_CULTURAS!$F$6:$F$28,$P289)+INDEX(PARAMETROS_CULTURAS!$G$6:$G$28,$P289),"DESENVOLVIMENTO",IF($O289&lt;=INDEX(PARAMETROS_CULTURAS!$F$6:$F$28,$P289)+INDEX(PARAMETROS_CULTURAS!$G$6:$G$28,$P289)+INDEX(PARAMETROS_CULTURAS!$H$6:$H$28,$P289),"MEDIA","FINAL"))))</f>
        <v>FINAL</v>
      </c>
      <c r="R289" s="24" t="n">
        <f aca="false">IF($P289=0,0,IF($O289&lt;=INDEX(PARAMETROS_CULTURAS!$F$6:$F$28,$P289),INDEX(PARAMETROS_CULTURAS!$K$6:$K$28,$P289),IF($O289&lt;=INDEX(PARAMETROS_CULTURAS!$F$6:$F$28,$P289)+INDEX(PARAMETROS_CULTURAS!$G$6:$G$28,$P289),INDEX(PARAMETROS_CULTURAS!$K$6:$K$28,$P289)+(INDEX(PARAMETROS_CULTURAS!$L$6:$L$28,$P289)-INDEX(PARAMETROS_CULTURAS!$K$6:$K$28,$P289))*($O289-INDEX(PARAMETROS_CULTURAS!$F$6:$F$28,$P289))/MAX(INDEX(PARAMETROS_CULTURAS!$G$6:$G$28,$P289),0.0001),IF($O289&lt;=INDEX(PARAMETROS_CULTURAS!$F$6:$F$28,$P289)+INDEX(PARAMETROS_CULTURAS!$G$6:$G$28,$P289)+INDEX(PARAMETROS_CULTURAS!$H$6:$H$28,$P289),INDEX(PARAMETROS_CULTURAS!$L$6:$L$28,$P289),INDEX(PARAMETROS_CULTURAS!$L$6:$L$28,$P289)+(INDEX(PARAMETROS_CULTURAS!$M$6:$M$28,$P289)-INDEX(PARAMETROS_CULTURAS!$L$6:$L$28,$P289))*($O289-INDEX(PARAMETROS_CULTURAS!$F$6:$F$28,$P289)-INDEX(PARAMETROS_CULTURAS!$G$6:$G$28,$P289)-INDEX(PARAMETROS_CULTURAS!$H$6:$H$28,$P289))/MAX(INDEX(PARAMETROS_CULTURAS!$I$6:$I$28,$P289),0.0001)))))</f>
        <v>0.735934664246824</v>
      </c>
      <c r="S289" s="18" t="n">
        <f aca="false">IFERROR(INDEX(SEMANAS!$H$6:$H$71,MATCH($B289,SEMANAS!$B$6:$B$71,0)),0)</f>
        <v>33.6</v>
      </c>
      <c r="T289" s="18" t="n">
        <f aca="false">$R289*$S289</f>
        <v>24.7274047186933</v>
      </c>
      <c r="U289" s="18" t="n">
        <f aca="false">IFERROR(INDEX(SEMANAS!$I$6:$I$71,MATCH($B289,SEMANAS!$B$6:$B$71,0)),0)</f>
        <v>45.15</v>
      </c>
      <c r="V289" s="18" t="n">
        <f aca="false">IFERROR(INDEX(SEMANAS!$J$6:$J$71,MATCH($B289,SEMANAS!$B$6:$B$71,0)),0)</f>
        <v>36.12</v>
      </c>
      <c r="W289" s="18" t="n">
        <f aca="false">MAX(0,$T289-$V289)</f>
        <v>0</v>
      </c>
      <c r="X289" s="19" t="n">
        <f aca="false">IFERROR(INDEX(CADASTRO_PIVOS!$K$6:$K$41,MATCH($E289,CADASTRO_PIVOS!$B$6:$B$41,0)),EFICIENCIA_PADRAO)</f>
        <v>0.85</v>
      </c>
      <c r="Y289" s="18" t="n">
        <f aca="false">IF($X289&lt;=0,0,$W289/$X289)</f>
        <v>0</v>
      </c>
      <c r="Z289" s="16" t="n">
        <f aca="false">$Y289*$H289*MM_PARA_M3_HA</f>
        <v>0</v>
      </c>
      <c r="AA289" s="18" t="n">
        <f aca="false">IFERROR(INDEX(CADASTRO_PIVOS!$I$6:$I$41,MATCH($E289,CADASTRO_PIVOS!$B$6:$B$41,0)),0)</f>
        <v>711.285714285714</v>
      </c>
      <c r="AB289" s="18" t="n">
        <f aca="false">IF($Z289&lt;=0,0,$Z289/$AA289)</f>
        <v>0</v>
      </c>
      <c r="AC289" s="16" t="n">
        <f aca="false">IFERROR(INDEX(SEMANAS!$K$6:$K$71,MATCH($B289,SEMANAS!$B$6:$B$71,0)),0)</f>
        <v>147</v>
      </c>
      <c r="AD289" s="19" t="n">
        <f aca="false">IF($AC289&lt;=0,0,$AB289/$AC289)</f>
        <v>0</v>
      </c>
      <c r="AE289" s="8" t="str">
        <f aca="false">IF($K289="SEM CULTURA","SEM CULTURA",IF($AA289&lt;=0,"DADO PENDENTE",IF($AD289&gt;LIMITE_CRITICO,"INVIAVEL",IF($AD289&gt;LIMITE_ATENCAO,"CRITICO",IF($AD289&gt;LIMITE_CONFORTAVEL,"ATENCAO","OK")))))</f>
        <v>OK</v>
      </c>
      <c r="AF289" s="8" t="str">
        <f aca="false">$B289&amp;"|"&amp;TEXT($AD289,"0.000000")</f>
        <v>20|0.000000</v>
      </c>
      <c r="AG289" s="18" t="n">
        <f aca="false">IF($K289="SEM CULTURA",0,$T289*$H289)</f>
        <v>2462.35496188748</v>
      </c>
      <c r="AH289" s="18" t="n">
        <f aca="false">IF($K289="SEM CULTURA",0,$V289*$H289)</f>
        <v>3596.8296</v>
      </c>
      <c r="AI289" s="18" t="n">
        <f aca="false">IF($K289="SEM CULTURA",0,$W289*$H289)</f>
        <v>0</v>
      </c>
      <c r="AJ289" s="18" t="n">
        <f aca="false">IF($K289="SEM CULTURA",0,$S289*$H289)</f>
        <v>3345.888</v>
      </c>
      <c r="AK289" s="8" t="str">
        <f aca="false">$E289&amp;"|"&amp;TEXT($AD289,"0.000000")</f>
        <v>PV 107|0.000000</v>
      </c>
    </row>
    <row r="290" customFormat="false" ht="15" hidden="false" customHeight="false" outlineLevel="0" collapsed="false">
      <c r="B290" s="16" t="n">
        <v>21</v>
      </c>
      <c r="C290" s="17" t="n">
        <f aca="false">DATA_INICIO_SAFRA+($B290-1)*DIAS_POR_SEMANA</f>
        <v>46405</v>
      </c>
      <c r="D290" s="17" t="n">
        <f aca="false">$C290+DIAS_POR_SEMANA-1</f>
        <v>46411</v>
      </c>
      <c r="E290" s="15" t="s">
        <v>263</v>
      </c>
      <c r="F290" s="8" t="str">
        <f aca="false">IFERROR(INDEX(CADASTRO_PIVOS!$C$6:$C$41,MATCH($E290,CADASTRO_PIVOS!$B$6:$B$41,0)),"?")</f>
        <v>RM03</v>
      </c>
      <c r="G290" s="8" t="str">
        <f aca="false">IFERROR(INDEX(CADASTRO_PIVOS!$D$6:$D$41,MATCH($E290,CADASTRO_PIVOS!$B$6:$B$41,0)),"?")</f>
        <v>TR03</v>
      </c>
      <c r="H290" s="20" t="n">
        <f aca="false">IFERROR(INDEX(CADASTRO_PIVOS!$E$6:$E$41,MATCH($E290,CADASTRO_PIVOS!$B$6:$B$41,0)),0)</f>
        <v>99.58</v>
      </c>
      <c r="I290" s="16" t="n">
        <f aca="false">IFERROR(SUMIFS(ROTACAO_RDM!$B$6:$B$71,ROTACAO_RDM!$D$6:$D$71,$E290,ROTACAO_RDM!$I$6:$I$71,"&lt;="&amp;$C290+INT(DIAS_POR_SEMANA/2),ROTACAO_RDM!$J$6:$J$71,"&gt;="&amp;$C290+INT(DIAS_POR_SEMANA/2)),0)</f>
        <v>12</v>
      </c>
      <c r="J290" s="16" t="n">
        <f aca="false">IFERROR(MATCH($I290,ROTACAO_RDM!$B$6:$B$71,0),0)</f>
        <v>12</v>
      </c>
      <c r="K290" s="8" t="str">
        <f aca="false">IF($J290=0,"SEM CULTURA",INDEX(ROTACAO_RDM!$F$6:$F$71,$J290))</f>
        <v>SOJA</v>
      </c>
      <c r="L290" s="8" t="str">
        <f aca="false">IF($J290=0,"",INDEX(ROTACAO_RDM!$G$6:$G$71,$J290))</f>
        <v>NEO 761 I2X</v>
      </c>
      <c r="M290" s="17" t="n">
        <f aca="false">IF($J290=0,"",INDEX(ROTACAO_RDM!$I$6:$I$71,$J290))</f>
        <v>46293</v>
      </c>
      <c r="N290" s="16" t="n">
        <f aca="false">IF($J290=0,0,MAX(0,$C290+INT(DIAS_POR_SEMANA/2)-INDEX(ROTACAO_RDM!$I$6:$I$71,$J290)))</f>
        <v>115</v>
      </c>
      <c r="O290" s="19" t="n">
        <f aca="false">IF($J290=0,0,MIN(1,$N290/MAX(1,INDEX(ROTACAO_RDM!$K$6:$K$71,$J290))))</f>
        <v>0.991379310344828</v>
      </c>
      <c r="P290" s="16" t="n">
        <f aca="false">IF($J290=0,0,IFERROR(MATCH(INDEX(ROTACAO_RDM!$N$6:$N$71,$J290),PARAMETROS_CULTURAS!$B$6:$B$28,0),0))</f>
        <v>2</v>
      </c>
      <c r="Q290" s="8" t="str">
        <f aca="false">IF($P290=0,"-",IF($O290&lt;=INDEX(PARAMETROS_CULTURAS!$F$6:$F$28,$P290),"INICIAL",IF($O290&lt;=INDEX(PARAMETROS_CULTURAS!$F$6:$F$28,$P290)+INDEX(PARAMETROS_CULTURAS!$G$6:$G$28,$P290),"DESENVOLVIMENTO",IF($O290&lt;=INDEX(PARAMETROS_CULTURAS!$F$6:$F$28,$P290)+INDEX(PARAMETROS_CULTURAS!$G$6:$G$28,$P290)+INDEX(PARAMETROS_CULTURAS!$H$6:$H$28,$P290),"MEDIA","FINAL"))))</f>
        <v>FINAL</v>
      </c>
      <c r="R290" s="24" t="n">
        <f aca="false">IF($P290=0,0,IF($O290&lt;=INDEX(PARAMETROS_CULTURAS!$F$6:$F$28,$P290),INDEX(PARAMETROS_CULTURAS!$K$6:$K$28,$P290),IF($O290&lt;=INDEX(PARAMETROS_CULTURAS!$F$6:$F$28,$P290)+INDEX(PARAMETROS_CULTURAS!$G$6:$G$28,$P290),INDEX(PARAMETROS_CULTURAS!$K$6:$K$28,$P290)+(INDEX(PARAMETROS_CULTURAS!$L$6:$L$28,$P290)-INDEX(PARAMETROS_CULTURAS!$K$6:$K$28,$P290))*($O290-INDEX(PARAMETROS_CULTURAS!$F$6:$F$28,$P290))/MAX(INDEX(PARAMETROS_CULTURAS!$G$6:$G$28,$P290),0.0001),IF($O290&lt;=INDEX(PARAMETROS_CULTURAS!$F$6:$F$28,$P290)+INDEX(PARAMETROS_CULTURAS!$G$6:$G$28,$P290)+INDEX(PARAMETROS_CULTURAS!$H$6:$H$28,$P290),INDEX(PARAMETROS_CULTURAS!$L$6:$L$28,$P290),INDEX(PARAMETROS_CULTURAS!$L$6:$L$28,$P290)+(INDEX(PARAMETROS_CULTURAS!$M$6:$M$28,$P290)-INDEX(PARAMETROS_CULTURAS!$L$6:$L$28,$P290))*($O290-INDEX(PARAMETROS_CULTURAS!$F$6:$F$28,$P290)-INDEX(PARAMETROS_CULTURAS!$G$6:$G$28,$P290)-INDEX(PARAMETROS_CULTURAS!$H$6:$H$28,$P290))/MAX(INDEX(PARAMETROS_CULTURAS!$I$6:$I$28,$P290),0.0001)))))</f>
        <v>0.529491833030853</v>
      </c>
      <c r="S290" s="18" t="n">
        <f aca="false">IFERROR(INDEX(SEMANAS!$H$6:$H$71,MATCH($B290,SEMANAS!$B$6:$B$71,0)),0)</f>
        <v>33.6</v>
      </c>
      <c r="T290" s="18" t="n">
        <f aca="false">$R290*$S290</f>
        <v>17.7909255898367</v>
      </c>
      <c r="U290" s="18" t="n">
        <f aca="false">IFERROR(INDEX(SEMANAS!$I$6:$I$71,MATCH($B290,SEMANAS!$B$6:$B$71,0)),0)</f>
        <v>45.15</v>
      </c>
      <c r="V290" s="18" t="n">
        <f aca="false">IFERROR(INDEX(SEMANAS!$J$6:$J$71,MATCH($B290,SEMANAS!$B$6:$B$71,0)),0)</f>
        <v>36.12</v>
      </c>
      <c r="W290" s="18" t="n">
        <f aca="false">MAX(0,$T290-$V290)</f>
        <v>0</v>
      </c>
      <c r="X290" s="19" t="n">
        <f aca="false">IFERROR(INDEX(CADASTRO_PIVOS!$K$6:$K$41,MATCH($E290,CADASTRO_PIVOS!$B$6:$B$41,0)),EFICIENCIA_PADRAO)</f>
        <v>0.85</v>
      </c>
      <c r="Y290" s="18" t="n">
        <f aca="false">IF($X290&lt;=0,0,$W290/$X290)</f>
        <v>0</v>
      </c>
      <c r="Z290" s="16" t="n">
        <f aca="false">$Y290*$H290*MM_PARA_M3_HA</f>
        <v>0</v>
      </c>
      <c r="AA290" s="18" t="n">
        <f aca="false">IFERROR(INDEX(CADASTRO_PIVOS!$I$6:$I$41,MATCH($E290,CADASTRO_PIVOS!$B$6:$B$41,0)),0)</f>
        <v>711.285714285714</v>
      </c>
      <c r="AB290" s="18" t="n">
        <f aca="false">IF($Z290&lt;=0,0,$Z290/$AA290)</f>
        <v>0</v>
      </c>
      <c r="AC290" s="16" t="n">
        <f aca="false">IFERROR(INDEX(SEMANAS!$K$6:$K$71,MATCH($B290,SEMANAS!$B$6:$B$71,0)),0)</f>
        <v>147</v>
      </c>
      <c r="AD290" s="19" t="n">
        <f aca="false">IF($AC290&lt;=0,0,$AB290/$AC290)</f>
        <v>0</v>
      </c>
      <c r="AE290" s="8" t="str">
        <f aca="false">IF($K290="SEM CULTURA","SEM CULTURA",IF($AA290&lt;=0,"DADO PENDENTE",IF($AD290&gt;LIMITE_CRITICO,"INVIAVEL",IF($AD290&gt;LIMITE_ATENCAO,"CRITICO",IF($AD290&gt;LIMITE_CONFORTAVEL,"ATENCAO","OK")))))</f>
        <v>OK</v>
      </c>
      <c r="AF290" s="8" t="str">
        <f aca="false">$B290&amp;"|"&amp;TEXT($AD290,"0.000000")</f>
        <v>21|0.000000</v>
      </c>
      <c r="AG290" s="18" t="n">
        <f aca="false">IF($K290="SEM CULTURA",0,$T290*$H290)</f>
        <v>1771.62037023593</v>
      </c>
      <c r="AH290" s="18" t="n">
        <f aca="false">IF($K290="SEM CULTURA",0,$V290*$H290)</f>
        <v>3596.8296</v>
      </c>
      <c r="AI290" s="18" t="n">
        <f aca="false">IF($K290="SEM CULTURA",0,$W290*$H290)</f>
        <v>0</v>
      </c>
      <c r="AJ290" s="18" t="n">
        <f aca="false">IF($K290="SEM CULTURA",0,$S290*$H290)</f>
        <v>3345.888</v>
      </c>
      <c r="AK290" s="8" t="str">
        <f aca="false">$E290&amp;"|"&amp;TEXT($AD290,"0.000000")</f>
        <v>PV 107|0.000000</v>
      </c>
    </row>
    <row r="291" customFormat="false" ht="15" hidden="false" customHeight="false" outlineLevel="0" collapsed="false">
      <c r="B291" s="16" t="n">
        <v>22</v>
      </c>
      <c r="C291" s="17" t="n">
        <f aca="false">DATA_INICIO_SAFRA+($B291-1)*DIAS_POR_SEMANA</f>
        <v>46412</v>
      </c>
      <c r="D291" s="17" t="n">
        <f aca="false">$C291+DIAS_POR_SEMANA-1</f>
        <v>46418</v>
      </c>
      <c r="E291" s="15" t="s">
        <v>263</v>
      </c>
      <c r="F291" s="8" t="str">
        <f aca="false">IFERROR(INDEX(CADASTRO_PIVOS!$C$6:$C$41,MATCH($E291,CADASTRO_PIVOS!$B$6:$B$41,0)),"?")</f>
        <v>RM03</v>
      </c>
      <c r="G291" s="8" t="str">
        <f aca="false">IFERROR(INDEX(CADASTRO_PIVOS!$D$6:$D$41,MATCH($E291,CADASTRO_PIVOS!$B$6:$B$41,0)),"?")</f>
        <v>TR03</v>
      </c>
      <c r="H291" s="20" t="n">
        <f aca="false">IFERROR(INDEX(CADASTRO_PIVOS!$E$6:$E$41,MATCH($E291,CADASTRO_PIVOS!$B$6:$B$41,0)),0)</f>
        <v>99.58</v>
      </c>
      <c r="I291" s="16" t="n">
        <f aca="false">IFERROR(SUMIFS(ROTACAO_RDM!$B$6:$B$71,ROTACAO_RDM!$D$6:$D$71,$E291,ROTACAO_RDM!$I$6:$I$71,"&lt;="&amp;$C291+INT(DIAS_POR_SEMANA/2),ROTACAO_RDM!$J$6:$J$71,"&gt;="&amp;$C291+INT(DIAS_POR_SEMANA/2)),0)</f>
        <v>0</v>
      </c>
      <c r="J291" s="16" t="n">
        <f aca="false">IFERROR(MATCH($I291,ROTACAO_RDM!$B$6:$B$71,0),0)</f>
        <v>0</v>
      </c>
      <c r="K291" s="8" t="str">
        <f aca="false">IF($J291=0,"SEM CULTURA",INDEX(ROTACAO_RDM!$F$6:$F$71,$J291))</f>
        <v>SEM CULTURA</v>
      </c>
      <c r="L291" s="8" t="str">
        <f aca="false">IF($J291=0,"",INDEX(ROTACAO_RDM!$G$6:$G$71,$J291))</f>
        <v/>
      </c>
      <c r="M291" s="17" t="str">
        <f aca="false">IF($J291=0,"",INDEX(ROTACAO_RDM!$I$6:$I$71,$J291))</f>
        <v/>
      </c>
      <c r="N291" s="16" t="n">
        <f aca="false">IF($J291=0,0,MAX(0,$C291+INT(DIAS_POR_SEMANA/2)-INDEX(ROTACAO_RDM!$I$6:$I$71,$J291)))</f>
        <v>0</v>
      </c>
      <c r="O291" s="19" t="n">
        <f aca="false">IF($J291=0,0,MIN(1,$N291/MAX(1,INDEX(ROTACAO_RDM!$K$6:$K$71,$J291))))</f>
        <v>0</v>
      </c>
      <c r="P291" s="16" t="n">
        <f aca="false">IF($J291=0,0,IFERROR(MATCH(INDEX(ROTACAO_RDM!$N$6:$N$71,$J291),PARAMETROS_CULTURAS!$B$6:$B$28,0),0))</f>
        <v>0</v>
      </c>
      <c r="Q291" s="8" t="str">
        <f aca="false">IF($P291=0,"-",IF($O291&lt;=INDEX(PARAMETROS_CULTURAS!$F$6:$F$28,$P291),"INICIAL",IF($O291&lt;=INDEX(PARAMETROS_CULTURAS!$F$6:$F$28,$P291)+INDEX(PARAMETROS_CULTURAS!$G$6:$G$28,$P291),"DESENVOLVIMENTO",IF($O291&lt;=INDEX(PARAMETROS_CULTURAS!$F$6:$F$28,$P291)+INDEX(PARAMETROS_CULTURAS!$G$6:$G$28,$P291)+INDEX(PARAMETROS_CULTURAS!$H$6:$H$28,$P291),"MEDIA","FINAL"))))</f>
        <v>-</v>
      </c>
      <c r="R291" s="24" t="n">
        <f aca="false">IF($P291=0,0,IF($O291&lt;=INDEX(PARAMETROS_CULTURAS!$F$6:$F$28,$P291),INDEX(PARAMETROS_CULTURAS!$K$6:$K$28,$P291),IF($O291&lt;=INDEX(PARAMETROS_CULTURAS!$F$6:$F$28,$P291)+INDEX(PARAMETROS_CULTURAS!$G$6:$G$28,$P291),INDEX(PARAMETROS_CULTURAS!$K$6:$K$28,$P291)+(INDEX(PARAMETROS_CULTURAS!$L$6:$L$28,$P291)-INDEX(PARAMETROS_CULTURAS!$K$6:$K$28,$P291))*($O291-INDEX(PARAMETROS_CULTURAS!$F$6:$F$28,$P291))/MAX(INDEX(PARAMETROS_CULTURAS!$G$6:$G$28,$P291),0.0001),IF($O291&lt;=INDEX(PARAMETROS_CULTURAS!$F$6:$F$28,$P291)+INDEX(PARAMETROS_CULTURAS!$G$6:$G$28,$P291)+INDEX(PARAMETROS_CULTURAS!$H$6:$H$28,$P291),INDEX(PARAMETROS_CULTURAS!$L$6:$L$28,$P291),INDEX(PARAMETROS_CULTURAS!$L$6:$L$28,$P291)+(INDEX(PARAMETROS_CULTURAS!$M$6:$M$28,$P291)-INDEX(PARAMETROS_CULTURAS!$L$6:$L$28,$P291))*($O291-INDEX(PARAMETROS_CULTURAS!$F$6:$F$28,$P291)-INDEX(PARAMETROS_CULTURAS!$G$6:$G$28,$P291)-INDEX(PARAMETROS_CULTURAS!$H$6:$H$28,$P291))/MAX(INDEX(PARAMETROS_CULTURAS!$I$6:$I$28,$P291),0.0001)))))</f>
        <v>0</v>
      </c>
      <c r="S291" s="18" t="n">
        <f aca="false">IFERROR(INDEX(SEMANAS!$H$6:$H$71,MATCH($B291,SEMANAS!$B$6:$B$71,0)),0)</f>
        <v>33.6</v>
      </c>
      <c r="T291" s="18" t="n">
        <f aca="false">$R291*$S291</f>
        <v>0</v>
      </c>
      <c r="U291" s="18" t="n">
        <f aca="false">IFERROR(INDEX(SEMANAS!$I$6:$I$71,MATCH($B291,SEMANAS!$B$6:$B$71,0)),0)</f>
        <v>45.15</v>
      </c>
      <c r="V291" s="18" t="n">
        <f aca="false">IFERROR(INDEX(SEMANAS!$J$6:$J$71,MATCH($B291,SEMANAS!$B$6:$B$71,0)),0)</f>
        <v>36.12</v>
      </c>
      <c r="W291" s="18" t="n">
        <f aca="false">MAX(0,$T291-$V291)</f>
        <v>0</v>
      </c>
      <c r="X291" s="19" t="n">
        <f aca="false">IFERROR(INDEX(CADASTRO_PIVOS!$K$6:$K$41,MATCH($E291,CADASTRO_PIVOS!$B$6:$B$41,0)),EFICIENCIA_PADRAO)</f>
        <v>0.85</v>
      </c>
      <c r="Y291" s="18" t="n">
        <f aca="false">IF($X291&lt;=0,0,$W291/$X291)</f>
        <v>0</v>
      </c>
      <c r="Z291" s="16" t="n">
        <f aca="false">$Y291*$H291*MM_PARA_M3_HA</f>
        <v>0</v>
      </c>
      <c r="AA291" s="18" t="n">
        <f aca="false">IFERROR(INDEX(CADASTRO_PIVOS!$I$6:$I$41,MATCH($E291,CADASTRO_PIVOS!$B$6:$B$41,0)),0)</f>
        <v>711.285714285714</v>
      </c>
      <c r="AB291" s="18" t="n">
        <f aca="false">IF($Z291&lt;=0,0,$Z291/$AA291)</f>
        <v>0</v>
      </c>
      <c r="AC291" s="16" t="n">
        <f aca="false">IFERROR(INDEX(SEMANAS!$K$6:$K$71,MATCH($B291,SEMANAS!$B$6:$B$71,0)),0)</f>
        <v>147</v>
      </c>
      <c r="AD291" s="19" t="n">
        <f aca="false">IF($AC291&lt;=0,0,$AB291/$AC291)</f>
        <v>0</v>
      </c>
      <c r="AE291" s="8" t="str">
        <f aca="false">IF($K291="SEM CULTURA","SEM CULTURA",IF($AA291&lt;=0,"DADO PENDENTE",IF($AD291&gt;LIMITE_CRITICO,"INVIAVEL",IF($AD291&gt;LIMITE_ATENCAO,"CRITICO",IF($AD291&gt;LIMITE_CONFORTAVEL,"ATENCAO","OK")))))</f>
        <v>SEM CULTURA</v>
      </c>
      <c r="AF291" s="8" t="str">
        <f aca="false">$B291&amp;"|"&amp;TEXT($AD291,"0.000000")</f>
        <v>22|0.000000</v>
      </c>
      <c r="AG291" s="18" t="n">
        <f aca="false">IF($K291="SEM CULTURA",0,$T291*$H291)</f>
        <v>0</v>
      </c>
      <c r="AH291" s="18" t="n">
        <f aca="false">IF($K291="SEM CULTURA",0,$V291*$H291)</f>
        <v>0</v>
      </c>
      <c r="AI291" s="18" t="n">
        <f aca="false">IF($K291="SEM CULTURA",0,$W291*$H291)</f>
        <v>0</v>
      </c>
      <c r="AJ291" s="18" t="n">
        <f aca="false">IF($K291="SEM CULTURA",0,$S291*$H291)</f>
        <v>0</v>
      </c>
      <c r="AK291" s="8" t="str">
        <f aca="false">$E291&amp;"|"&amp;TEXT($AD291,"0.000000")</f>
        <v>PV 107|0.000000</v>
      </c>
    </row>
    <row r="292" customFormat="false" ht="15" hidden="false" customHeight="false" outlineLevel="0" collapsed="false">
      <c r="B292" s="16" t="n">
        <v>23</v>
      </c>
      <c r="C292" s="17" t="n">
        <f aca="false">DATA_INICIO_SAFRA+($B292-1)*DIAS_POR_SEMANA</f>
        <v>46419</v>
      </c>
      <c r="D292" s="17" t="n">
        <f aca="false">$C292+DIAS_POR_SEMANA-1</f>
        <v>46425</v>
      </c>
      <c r="E292" s="15" t="s">
        <v>263</v>
      </c>
      <c r="F292" s="8" t="str">
        <f aca="false">IFERROR(INDEX(CADASTRO_PIVOS!$C$6:$C$41,MATCH($E292,CADASTRO_PIVOS!$B$6:$B$41,0)),"?")</f>
        <v>RM03</v>
      </c>
      <c r="G292" s="8" t="str">
        <f aca="false">IFERROR(INDEX(CADASTRO_PIVOS!$D$6:$D$41,MATCH($E292,CADASTRO_PIVOS!$B$6:$B$41,0)),"?")</f>
        <v>TR03</v>
      </c>
      <c r="H292" s="20" t="n">
        <f aca="false">IFERROR(INDEX(CADASTRO_PIVOS!$E$6:$E$41,MATCH($E292,CADASTRO_PIVOS!$B$6:$B$41,0)),0)</f>
        <v>99.58</v>
      </c>
      <c r="I292" s="16" t="n">
        <f aca="false">IFERROR(SUMIFS(ROTACAO_RDM!$B$6:$B$71,ROTACAO_RDM!$D$6:$D$71,$E292,ROTACAO_RDM!$I$6:$I$71,"&lt;="&amp;$C292+INT(DIAS_POR_SEMANA/2),ROTACAO_RDM!$J$6:$J$71,"&gt;="&amp;$C292+INT(DIAS_POR_SEMANA/2)),0)</f>
        <v>0</v>
      </c>
      <c r="J292" s="16" t="n">
        <f aca="false">IFERROR(MATCH($I292,ROTACAO_RDM!$B$6:$B$71,0),0)</f>
        <v>0</v>
      </c>
      <c r="K292" s="8" t="str">
        <f aca="false">IF($J292=0,"SEM CULTURA",INDEX(ROTACAO_RDM!$F$6:$F$71,$J292))</f>
        <v>SEM CULTURA</v>
      </c>
      <c r="L292" s="8" t="str">
        <f aca="false">IF($J292=0,"",INDEX(ROTACAO_RDM!$G$6:$G$71,$J292))</f>
        <v/>
      </c>
      <c r="M292" s="17" t="str">
        <f aca="false">IF($J292=0,"",INDEX(ROTACAO_RDM!$I$6:$I$71,$J292))</f>
        <v/>
      </c>
      <c r="N292" s="16" t="n">
        <f aca="false">IF($J292=0,0,MAX(0,$C292+INT(DIAS_POR_SEMANA/2)-INDEX(ROTACAO_RDM!$I$6:$I$71,$J292)))</f>
        <v>0</v>
      </c>
      <c r="O292" s="19" t="n">
        <f aca="false">IF($J292=0,0,MIN(1,$N292/MAX(1,INDEX(ROTACAO_RDM!$K$6:$K$71,$J292))))</f>
        <v>0</v>
      </c>
      <c r="P292" s="16" t="n">
        <f aca="false">IF($J292=0,0,IFERROR(MATCH(INDEX(ROTACAO_RDM!$N$6:$N$71,$J292),PARAMETROS_CULTURAS!$B$6:$B$28,0),0))</f>
        <v>0</v>
      </c>
      <c r="Q292" s="8" t="str">
        <f aca="false">IF($P292=0,"-",IF($O292&lt;=INDEX(PARAMETROS_CULTURAS!$F$6:$F$28,$P292),"INICIAL",IF($O292&lt;=INDEX(PARAMETROS_CULTURAS!$F$6:$F$28,$P292)+INDEX(PARAMETROS_CULTURAS!$G$6:$G$28,$P292),"DESENVOLVIMENTO",IF($O292&lt;=INDEX(PARAMETROS_CULTURAS!$F$6:$F$28,$P292)+INDEX(PARAMETROS_CULTURAS!$G$6:$G$28,$P292)+INDEX(PARAMETROS_CULTURAS!$H$6:$H$28,$P292),"MEDIA","FINAL"))))</f>
        <v>-</v>
      </c>
      <c r="R292" s="24" t="n">
        <f aca="false">IF($P292=0,0,IF($O292&lt;=INDEX(PARAMETROS_CULTURAS!$F$6:$F$28,$P292),INDEX(PARAMETROS_CULTURAS!$K$6:$K$28,$P292),IF($O292&lt;=INDEX(PARAMETROS_CULTURAS!$F$6:$F$28,$P292)+INDEX(PARAMETROS_CULTURAS!$G$6:$G$28,$P292),INDEX(PARAMETROS_CULTURAS!$K$6:$K$28,$P292)+(INDEX(PARAMETROS_CULTURAS!$L$6:$L$28,$P292)-INDEX(PARAMETROS_CULTURAS!$K$6:$K$28,$P292))*($O292-INDEX(PARAMETROS_CULTURAS!$F$6:$F$28,$P292))/MAX(INDEX(PARAMETROS_CULTURAS!$G$6:$G$28,$P292),0.0001),IF($O292&lt;=INDEX(PARAMETROS_CULTURAS!$F$6:$F$28,$P292)+INDEX(PARAMETROS_CULTURAS!$G$6:$G$28,$P292)+INDEX(PARAMETROS_CULTURAS!$H$6:$H$28,$P292),INDEX(PARAMETROS_CULTURAS!$L$6:$L$28,$P292),INDEX(PARAMETROS_CULTURAS!$L$6:$L$28,$P292)+(INDEX(PARAMETROS_CULTURAS!$M$6:$M$28,$P292)-INDEX(PARAMETROS_CULTURAS!$L$6:$L$28,$P292))*($O292-INDEX(PARAMETROS_CULTURAS!$F$6:$F$28,$P292)-INDEX(PARAMETROS_CULTURAS!$G$6:$G$28,$P292)-INDEX(PARAMETROS_CULTURAS!$H$6:$H$28,$P292))/MAX(INDEX(PARAMETROS_CULTURAS!$I$6:$I$28,$P292),0.0001)))))</f>
        <v>0</v>
      </c>
      <c r="S292" s="18" t="n">
        <f aca="false">IFERROR(INDEX(SEMANAS!$H$6:$H$71,MATCH($B292,SEMANAS!$B$6:$B$71,0)),0)</f>
        <v>32.9</v>
      </c>
      <c r="T292" s="18" t="n">
        <f aca="false">$R292*$S292</f>
        <v>0</v>
      </c>
      <c r="U292" s="18" t="n">
        <f aca="false">IFERROR(INDEX(SEMANAS!$I$6:$I$71,MATCH($B292,SEMANAS!$B$6:$B$71,0)),0)</f>
        <v>39.97</v>
      </c>
      <c r="V292" s="18" t="n">
        <f aca="false">IFERROR(INDEX(SEMANAS!$J$6:$J$71,MATCH($B292,SEMANAS!$B$6:$B$71,0)),0)</f>
        <v>31.976</v>
      </c>
      <c r="W292" s="18" t="n">
        <f aca="false">MAX(0,$T292-$V292)</f>
        <v>0</v>
      </c>
      <c r="X292" s="19" t="n">
        <f aca="false">IFERROR(INDEX(CADASTRO_PIVOS!$K$6:$K$41,MATCH($E292,CADASTRO_PIVOS!$B$6:$B$41,0)),EFICIENCIA_PADRAO)</f>
        <v>0.85</v>
      </c>
      <c r="Y292" s="18" t="n">
        <f aca="false">IF($X292&lt;=0,0,$W292/$X292)</f>
        <v>0</v>
      </c>
      <c r="Z292" s="16" t="n">
        <f aca="false">$Y292*$H292*MM_PARA_M3_HA</f>
        <v>0</v>
      </c>
      <c r="AA292" s="18" t="n">
        <f aca="false">IFERROR(INDEX(CADASTRO_PIVOS!$I$6:$I$41,MATCH($E292,CADASTRO_PIVOS!$B$6:$B$41,0)),0)</f>
        <v>711.285714285714</v>
      </c>
      <c r="AB292" s="18" t="n">
        <f aca="false">IF($Z292&lt;=0,0,$Z292/$AA292)</f>
        <v>0</v>
      </c>
      <c r="AC292" s="16" t="n">
        <f aca="false">IFERROR(INDEX(SEMANAS!$K$6:$K$71,MATCH($B292,SEMANAS!$B$6:$B$71,0)),0)</f>
        <v>147</v>
      </c>
      <c r="AD292" s="19" t="n">
        <f aca="false">IF($AC292&lt;=0,0,$AB292/$AC292)</f>
        <v>0</v>
      </c>
      <c r="AE292" s="8" t="str">
        <f aca="false">IF($K292="SEM CULTURA","SEM CULTURA",IF($AA292&lt;=0,"DADO PENDENTE",IF($AD292&gt;LIMITE_CRITICO,"INVIAVEL",IF($AD292&gt;LIMITE_ATENCAO,"CRITICO",IF($AD292&gt;LIMITE_CONFORTAVEL,"ATENCAO","OK")))))</f>
        <v>SEM CULTURA</v>
      </c>
      <c r="AF292" s="8" t="str">
        <f aca="false">$B292&amp;"|"&amp;TEXT($AD292,"0.000000")</f>
        <v>23|0.000000</v>
      </c>
      <c r="AG292" s="18" t="n">
        <f aca="false">IF($K292="SEM CULTURA",0,$T292*$H292)</f>
        <v>0</v>
      </c>
      <c r="AH292" s="18" t="n">
        <f aca="false">IF($K292="SEM CULTURA",0,$V292*$H292)</f>
        <v>0</v>
      </c>
      <c r="AI292" s="18" t="n">
        <f aca="false">IF($K292="SEM CULTURA",0,$W292*$H292)</f>
        <v>0</v>
      </c>
      <c r="AJ292" s="18" t="n">
        <f aca="false">IF($K292="SEM CULTURA",0,$S292*$H292)</f>
        <v>0</v>
      </c>
      <c r="AK292" s="8" t="str">
        <f aca="false">$E292&amp;"|"&amp;TEXT($AD292,"0.000000")</f>
        <v>PV 107|0.000000</v>
      </c>
    </row>
    <row r="293" customFormat="false" ht="15" hidden="false" customHeight="false" outlineLevel="0" collapsed="false">
      <c r="B293" s="16" t="n">
        <v>24</v>
      </c>
      <c r="C293" s="17" t="n">
        <f aca="false">DATA_INICIO_SAFRA+($B293-1)*DIAS_POR_SEMANA</f>
        <v>46426</v>
      </c>
      <c r="D293" s="17" t="n">
        <f aca="false">$C293+DIAS_POR_SEMANA-1</f>
        <v>46432</v>
      </c>
      <c r="E293" s="15" t="s">
        <v>263</v>
      </c>
      <c r="F293" s="8" t="str">
        <f aca="false">IFERROR(INDEX(CADASTRO_PIVOS!$C$6:$C$41,MATCH($E293,CADASTRO_PIVOS!$B$6:$B$41,0)),"?")</f>
        <v>RM03</v>
      </c>
      <c r="G293" s="8" t="str">
        <f aca="false">IFERROR(INDEX(CADASTRO_PIVOS!$D$6:$D$41,MATCH($E293,CADASTRO_PIVOS!$B$6:$B$41,0)),"?")</f>
        <v>TR03</v>
      </c>
      <c r="H293" s="20" t="n">
        <f aca="false">IFERROR(INDEX(CADASTRO_PIVOS!$E$6:$E$41,MATCH($E293,CADASTRO_PIVOS!$B$6:$B$41,0)),0)</f>
        <v>99.58</v>
      </c>
      <c r="I293" s="16" t="n">
        <f aca="false">IFERROR(SUMIFS(ROTACAO_RDM!$B$6:$B$71,ROTACAO_RDM!$D$6:$D$71,$E293,ROTACAO_RDM!$I$6:$I$71,"&lt;="&amp;$C293+INT(DIAS_POR_SEMANA/2),ROTACAO_RDM!$J$6:$J$71,"&gt;="&amp;$C293+INT(DIAS_POR_SEMANA/2)),0)</f>
        <v>13</v>
      </c>
      <c r="J293" s="16" t="n">
        <f aca="false">IFERROR(MATCH($I293,ROTACAO_RDM!$B$6:$B$71,0),0)</f>
        <v>13</v>
      </c>
      <c r="K293" s="8" t="str">
        <f aca="false">IF($J293=0,"SEM CULTURA",INDEX(ROTACAO_RDM!$F$6:$F$71,$J293))</f>
        <v>ALGODAO</v>
      </c>
      <c r="L293" s="8" t="str">
        <f aca="false">IF($J293=0,"",INDEX(ROTACAO_RDM!$G$6:$G$71,$J293))</f>
        <v>FM 933 STP</v>
      </c>
      <c r="M293" s="17" t="n">
        <f aca="false">IF($J293=0,"",INDEX(ROTACAO_RDM!$I$6:$I$71,$J293))</f>
        <v>46424</v>
      </c>
      <c r="N293" s="16" t="n">
        <f aca="false">IF($J293=0,0,MAX(0,$C293+INT(DIAS_POR_SEMANA/2)-INDEX(ROTACAO_RDM!$I$6:$I$71,$J293)))</f>
        <v>5</v>
      </c>
      <c r="O293" s="19" t="n">
        <f aca="false">IF($J293=0,0,MIN(1,$N293/MAX(1,INDEX(ROTACAO_RDM!$K$6:$K$71,$J293))))</f>
        <v>0.0256410256410256</v>
      </c>
      <c r="P293" s="16" t="n">
        <f aca="false">IF($J293=0,0,IFERROR(MATCH(INDEX(ROTACAO_RDM!$N$6:$N$71,$J293),PARAMETROS_CULTURAS!$B$6:$B$28,0),0))</f>
        <v>5</v>
      </c>
      <c r="Q293" s="8" t="str">
        <f aca="false">IF($P293=0,"-",IF($O293&lt;=INDEX(PARAMETROS_CULTURAS!$F$6:$F$28,$P293),"INICIAL",IF($O293&lt;=INDEX(PARAMETROS_CULTURAS!$F$6:$F$28,$P293)+INDEX(PARAMETROS_CULTURAS!$G$6:$G$28,$P293),"DESENVOLVIMENTO",IF($O293&lt;=INDEX(PARAMETROS_CULTURAS!$F$6:$F$28,$P293)+INDEX(PARAMETROS_CULTURAS!$G$6:$G$28,$P293)+INDEX(PARAMETROS_CULTURAS!$H$6:$H$28,$P293),"MEDIA","FINAL"))))</f>
        <v>INICIAL</v>
      </c>
      <c r="R293" s="24" t="n">
        <f aca="false">IF($P293=0,0,IF($O293&lt;=INDEX(PARAMETROS_CULTURAS!$F$6:$F$28,$P293),INDEX(PARAMETROS_CULTURAS!$K$6:$K$28,$P293),IF($O293&lt;=INDEX(PARAMETROS_CULTURAS!$F$6:$F$28,$P293)+INDEX(PARAMETROS_CULTURAS!$G$6:$G$28,$P293),INDEX(PARAMETROS_CULTURAS!$K$6:$K$28,$P293)+(INDEX(PARAMETROS_CULTURAS!$L$6:$L$28,$P293)-INDEX(PARAMETROS_CULTURAS!$K$6:$K$28,$P293))*($O293-INDEX(PARAMETROS_CULTURAS!$F$6:$F$28,$P293))/MAX(INDEX(PARAMETROS_CULTURAS!$G$6:$G$28,$P293),0.0001),IF($O293&lt;=INDEX(PARAMETROS_CULTURAS!$F$6:$F$28,$P293)+INDEX(PARAMETROS_CULTURAS!$G$6:$G$28,$P293)+INDEX(PARAMETROS_CULTURAS!$H$6:$H$28,$P293),INDEX(PARAMETROS_CULTURAS!$L$6:$L$28,$P293),INDEX(PARAMETROS_CULTURAS!$L$6:$L$28,$P293)+(INDEX(PARAMETROS_CULTURAS!$M$6:$M$28,$P293)-INDEX(PARAMETROS_CULTURAS!$L$6:$L$28,$P293))*($O293-INDEX(PARAMETROS_CULTURAS!$F$6:$F$28,$P293)-INDEX(PARAMETROS_CULTURAS!$G$6:$G$28,$P293)-INDEX(PARAMETROS_CULTURAS!$H$6:$H$28,$P293))/MAX(INDEX(PARAMETROS_CULTURAS!$I$6:$I$28,$P293),0.0001)))))</f>
        <v>0.35</v>
      </c>
      <c r="S293" s="18" t="n">
        <f aca="false">IFERROR(INDEX(SEMANAS!$H$6:$H$71,MATCH($B293,SEMANAS!$B$6:$B$71,0)),0)</f>
        <v>32.9</v>
      </c>
      <c r="T293" s="18" t="n">
        <f aca="false">$R293*$S293</f>
        <v>11.515</v>
      </c>
      <c r="U293" s="18" t="n">
        <f aca="false">IFERROR(INDEX(SEMANAS!$I$6:$I$71,MATCH($B293,SEMANAS!$B$6:$B$71,0)),0)</f>
        <v>39.97</v>
      </c>
      <c r="V293" s="18" t="n">
        <f aca="false">IFERROR(INDEX(SEMANAS!$J$6:$J$71,MATCH($B293,SEMANAS!$B$6:$B$71,0)),0)</f>
        <v>31.976</v>
      </c>
      <c r="W293" s="18" t="n">
        <f aca="false">MAX(0,$T293-$V293)</f>
        <v>0</v>
      </c>
      <c r="X293" s="19" t="n">
        <f aca="false">IFERROR(INDEX(CADASTRO_PIVOS!$K$6:$K$41,MATCH($E293,CADASTRO_PIVOS!$B$6:$B$41,0)),EFICIENCIA_PADRAO)</f>
        <v>0.85</v>
      </c>
      <c r="Y293" s="18" t="n">
        <f aca="false">IF($X293&lt;=0,0,$W293/$X293)</f>
        <v>0</v>
      </c>
      <c r="Z293" s="16" t="n">
        <f aca="false">$Y293*$H293*MM_PARA_M3_HA</f>
        <v>0</v>
      </c>
      <c r="AA293" s="18" t="n">
        <f aca="false">IFERROR(INDEX(CADASTRO_PIVOS!$I$6:$I$41,MATCH($E293,CADASTRO_PIVOS!$B$6:$B$41,0)),0)</f>
        <v>711.285714285714</v>
      </c>
      <c r="AB293" s="18" t="n">
        <f aca="false">IF($Z293&lt;=0,0,$Z293/$AA293)</f>
        <v>0</v>
      </c>
      <c r="AC293" s="16" t="n">
        <f aca="false">IFERROR(INDEX(SEMANAS!$K$6:$K$71,MATCH($B293,SEMANAS!$B$6:$B$71,0)),0)</f>
        <v>147</v>
      </c>
      <c r="AD293" s="19" t="n">
        <f aca="false">IF($AC293&lt;=0,0,$AB293/$AC293)</f>
        <v>0</v>
      </c>
      <c r="AE293" s="8" t="str">
        <f aca="false">IF($K293="SEM CULTURA","SEM CULTURA",IF($AA293&lt;=0,"DADO PENDENTE",IF($AD293&gt;LIMITE_CRITICO,"INVIAVEL",IF($AD293&gt;LIMITE_ATENCAO,"CRITICO",IF($AD293&gt;LIMITE_CONFORTAVEL,"ATENCAO","OK")))))</f>
        <v>OK</v>
      </c>
      <c r="AF293" s="8" t="str">
        <f aca="false">$B293&amp;"|"&amp;TEXT($AD293,"0.000000")</f>
        <v>24|0.000000</v>
      </c>
      <c r="AG293" s="18" t="n">
        <f aca="false">IF($K293="SEM CULTURA",0,$T293*$H293)</f>
        <v>1146.6637</v>
      </c>
      <c r="AH293" s="18" t="n">
        <f aca="false">IF($K293="SEM CULTURA",0,$V293*$H293)</f>
        <v>3184.17008</v>
      </c>
      <c r="AI293" s="18" t="n">
        <f aca="false">IF($K293="SEM CULTURA",0,$W293*$H293)</f>
        <v>0</v>
      </c>
      <c r="AJ293" s="18" t="n">
        <f aca="false">IF($K293="SEM CULTURA",0,$S293*$H293)</f>
        <v>3276.182</v>
      </c>
      <c r="AK293" s="8" t="str">
        <f aca="false">$E293&amp;"|"&amp;TEXT($AD293,"0.000000")</f>
        <v>PV 107|0.000000</v>
      </c>
    </row>
    <row r="294" customFormat="false" ht="15" hidden="false" customHeight="false" outlineLevel="0" collapsed="false">
      <c r="B294" s="16" t="n">
        <v>25</v>
      </c>
      <c r="C294" s="17" t="n">
        <f aca="false">DATA_INICIO_SAFRA+($B294-1)*DIAS_POR_SEMANA</f>
        <v>46433</v>
      </c>
      <c r="D294" s="17" t="n">
        <f aca="false">$C294+DIAS_POR_SEMANA-1</f>
        <v>46439</v>
      </c>
      <c r="E294" s="15" t="s">
        <v>263</v>
      </c>
      <c r="F294" s="8" t="str">
        <f aca="false">IFERROR(INDEX(CADASTRO_PIVOS!$C$6:$C$41,MATCH($E294,CADASTRO_PIVOS!$B$6:$B$41,0)),"?")</f>
        <v>RM03</v>
      </c>
      <c r="G294" s="8" t="str">
        <f aca="false">IFERROR(INDEX(CADASTRO_PIVOS!$D$6:$D$41,MATCH($E294,CADASTRO_PIVOS!$B$6:$B$41,0)),"?")</f>
        <v>TR03</v>
      </c>
      <c r="H294" s="20" t="n">
        <f aca="false">IFERROR(INDEX(CADASTRO_PIVOS!$E$6:$E$41,MATCH($E294,CADASTRO_PIVOS!$B$6:$B$41,0)),0)</f>
        <v>99.58</v>
      </c>
      <c r="I294" s="16" t="n">
        <f aca="false">IFERROR(SUMIFS(ROTACAO_RDM!$B$6:$B$71,ROTACAO_RDM!$D$6:$D$71,$E294,ROTACAO_RDM!$I$6:$I$71,"&lt;="&amp;$C294+INT(DIAS_POR_SEMANA/2),ROTACAO_RDM!$J$6:$J$71,"&gt;="&amp;$C294+INT(DIAS_POR_SEMANA/2)),0)</f>
        <v>13</v>
      </c>
      <c r="J294" s="16" t="n">
        <f aca="false">IFERROR(MATCH($I294,ROTACAO_RDM!$B$6:$B$71,0),0)</f>
        <v>13</v>
      </c>
      <c r="K294" s="8" t="str">
        <f aca="false">IF($J294=0,"SEM CULTURA",INDEX(ROTACAO_RDM!$F$6:$F$71,$J294))</f>
        <v>ALGODAO</v>
      </c>
      <c r="L294" s="8" t="str">
        <f aca="false">IF($J294=0,"",INDEX(ROTACAO_RDM!$G$6:$G$71,$J294))</f>
        <v>FM 933 STP</v>
      </c>
      <c r="M294" s="17" t="n">
        <f aca="false">IF($J294=0,"",INDEX(ROTACAO_RDM!$I$6:$I$71,$J294))</f>
        <v>46424</v>
      </c>
      <c r="N294" s="16" t="n">
        <f aca="false">IF($J294=0,0,MAX(0,$C294+INT(DIAS_POR_SEMANA/2)-INDEX(ROTACAO_RDM!$I$6:$I$71,$J294)))</f>
        <v>12</v>
      </c>
      <c r="O294" s="19" t="n">
        <f aca="false">IF($J294=0,0,MIN(1,$N294/MAX(1,INDEX(ROTACAO_RDM!$K$6:$K$71,$J294))))</f>
        <v>0.0615384615384615</v>
      </c>
      <c r="P294" s="16" t="n">
        <f aca="false">IF($J294=0,0,IFERROR(MATCH(INDEX(ROTACAO_RDM!$N$6:$N$71,$J294),PARAMETROS_CULTURAS!$B$6:$B$28,0),0))</f>
        <v>5</v>
      </c>
      <c r="Q294" s="8" t="str">
        <f aca="false">IF($P294=0,"-",IF($O294&lt;=INDEX(PARAMETROS_CULTURAS!$F$6:$F$28,$P294),"INICIAL",IF($O294&lt;=INDEX(PARAMETROS_CULTURAS!$F$6:$F$28,$P294)+INDEX(PARAMETROS_CULTURAS!$G$6:$G$28,$P294),"DESENVOLVIMENTO",IF($O294&lt;=INDEX(PARAMETROS_CULTURAS!$F$6:$F$28,$P294)+INDEX(PARAMETROS_CULTURAS!$G$6:$G$28,$P294)+INDEX(PARAMETROS_CULTURAS!$H$6:$H$28,$P294),"MEDIA","FINAL"))))</f>
        <v>INICIAL</v>
      </c>
      <c r="R294" s="24" t="n">
        <f aca="false">IF($P294=0,0,IF($O294&lt;=INDEX(PARAMETROS_CULTURAS!$F$6:$F$28,$P294),INDEX(PARAMETROS_CULTURAS!$K$6:$K$28,$P294),IF($O294&lt;=INDEX(PARAMETROS_CULTURAS!$F$6:$F$28,$P294)+INDEX(PARAMETROS_CULTURAS!$G$6:$G$28,$P294),INDEX(PARAMETROS_CULTURAS!$K$6:$K$28,$P294)+(INDEX(PARAMETROS_CULTURAS!$L$6:$L$28,$P294)-INDEX(PARAMETROS_CULTURAS!$K$6:$K$28,$P294))*($O294-INDEX(PARAMETROS_CULTURAS!$F$6:$F$28,$P294))/MAX(INDEX(PARAMETROS_CULTURAS!$G$6:$G$28,$P294),0.0001),IF($O294&lt;=INDEX(PARAMETROS_CULTURAS!$F$6:$F$28,$P294)+INDEX(PARAMETROS_CULTURAS!$G$6:$G$28,$P294)+INDEX(PARAMETROS_CULTURAS!$H$6:$H$28,$P294),INDEX(PARAMETROS_CULTURAS!$L$6:$L$28,$P294),INDEX(PARAMETROS_CULTURAS!$L$6:$L$28,$P294)+(INDEX(PARAMETROS_CULTURAS!$M$6:$M$28,$P294)-INDEX(PARAMETROS_CULTURAS!$L$6:$L$28,$P294))*($O294-INDEX(PARAMETROS_CULTURAS!$F$6:$F$28,$P294)-INDEX(PARAMETROS_CULTURAS!$G$6:$G$28,$P294)-INDEX(PARAMETROS_CULTURAS!$H$6:$H$28,$P294))/MAX(INDEX(PARAMETROS_CULTURAS!$I$6:$I$28,$P294),0.0001)))))</f>
        <v>0.35</v>
      </c>
      <c r="S294" s="18" t="n">
        <f aca="false">IFERROR(INDEX(SEMANAS!$H$6:$H$71,MATCH($B294,SEMANAS!$B$6:$B$71,0)),0)</f>
        <v>32.9</v>
      </c>
      <c r="T294" s="18" t="n">
        <f aca="false">$R294*$S294</f>
        <v>11.515</v>
      </c>
      <c r="U294" s="18" t="n">
        <f aca="false">IFERROR(INDEX(SEMANAS!$I$6:$I$71,MATCH($B294,SEMANAS!$B$6:$B$71,0)),0)</f>
        <v>39.97</v>
      </c>
      <c r="V294" s="18" t="n">
        <f aca="false">IFERROR(INDEX(SEMANAS!$J$6:$J$71,MATCH($B294,SEMANAS!$B$6:$B$71,0)),0)</f>
        <v>31.976</v>
      </c>
      <c r="W294" s="18" t="n">
        <f aca="false">MAX(0,$T294-$V294)</f>
        <v>0</v>
      </c>
      <c r="X294" s="19" t="n">
        <f aca="false">IFERROR(INDEX(CADASTRO_PIVOS!$K$6:$K$41,MATCH($E294,CADASTRO_PIVOS!$B$6:$B$41,0)),EFICIENCIA_PADRAO)</f>
        <v>0.85</v>
      </c>
      <c r="Y294" s="18" t="n">
        <f aca="false">IF($X294&lt;=0,0,$W294/$X294)</f>
        <v>0</v>
      </c>
      <c r="Z294" s="16" t="n">
        <f aca="false">$Y294*$H294*MM_PARA_M3_HA</f>
        <v>0</v>
      </c>
      <c r="AA294" s="18" t="n">
        <f aca="false">IFERROR(INDEX(CADASTRO_PIVOS!$I$6:$I$41,MATCH($E294,CADASTRO_PIVOS!$B$6:$B$41,0)),0)</f>
        <v>711.285714285714</v>
      </c>
      <c r="AB294" s="18" t="n">
        <f aca="false">IF($Z294&lt;=0,0,$Z294/$AA294)</f>
        <v>0</v>
      </c>
      <c r="AC294" s="16" t="n">
        <f aca="false">IFERROR(INDEX(SEMANAS!$K$6:$K$71,MATCH($B294,SEMANAS!$B$6:$B$71,0)),0)</f>
        <v>147</v>
      </c>
      <c r="AD294" s="19" t="n">
        <f aca="false">IF($AC294&lt;=0,0,$AB294/$AC294)</f>
        <v>0</v>
      </c>
      <c r="AE294" s="8" t="str">
        <f aca="false">IF($K294="SEM CULTURA","SEM CULTURA",IF($AA294&lt;=0,"DADO PENDENTE",IF($AD294&gt;LIMITE_CRITICO,"INVIAVEL",IF($AD294&gt;LIMITE_ATENCAO,"CRITICO",IF($AD294&gt;LIMITE_CONFORTAVEL,"ATENCAO","OK")))))</f>
        <v>OK</v>
      </c>
      <c r="AF294" s="8" t="str">
        <f aca="false">$B294&amp;"|"&amp;TEXT($AD294,"0.000000")</f>
        <v>25|0.000000</v>
      </c>
      <c r="AG294" s="18" t="n">
        <f aca="false">IF($K294="SEM CULTURA",0,$T294*$H294)</f>
        <v>1146.6637</v>
      </c>
      <c r="AH294" s="18" t="n">
        <f aca="false">IF($K294="SEM CULTURA",0,$V294*$H294)</f>
        <v>3184.17008</v>
      </c>
      <c r="AI294" s="18" t="n">
        <f aca="false">IF($K294="SEM CULTURA",0,$W294*$H294)</f>
        <v>0</v>
      </c>
      <c r="AJ294" s="18" t="n">
        <f aca="false">IF($K294="SEM CULTURA",0,$S294*$H294)</f>
        <v>3276.182</v>
      </c>
      <c r="AK294" s="8" t="str">
        <f aca="false">$E294&amp;"|"&amp;TEXT($AD294,"0.000000")</f>
        <v>PV 107|0.000000</v>
      </c>
    </row>
    <row r="295" customFormat="false" ht="15" hidden="false" customHeight="false" outlineLevel="0" collapsed="false">
      <c r="B295" s="16" t="n">
        <v>26</v>
      </c>
      <c r="C295" s="17" t="n">
        <f aca="false">DATA_INICIO_SAFRA+($B295-1)*DIAS_POR_SEMANA</f>
        <v>46440</v>
      </c>
      <c r="D295" s="17" t="n">
        <f aca="false">$C295+DIAS_POR_SEMANA-1</f>
        <v>46446</v>
      </c>
      <c r="E295" s="15" t="s">
        <v>263</v>
      </c>
      <c r="F295" s="8" t="str">
        <f aca="false">IFERROR(INDEX(CADASTRO_PIVOS!$C$6:$C$41,MATCH($E295,CADASTRO_PIVOS!$B$6:$B$41,0)),"?")</f>
        <v>RM03</v>
      </c>
      <c r="G295" s="8" t="str">
        <f aca="false">IFERROR(INDEX(CADASTRO_PIVOS!$D$6:$D$41,MATCH($E295,CADASTRO_PIVOS!$B$6:$B$41,0)),"?")</f>
        <v>TR03</v>
      </c>
      <c r="H295" s="20" t="n">
        <f aca="false">IFERROR(INDEX(CADASTRO_PIVOS!$E$6:$E$41,MATCH($E295,CADASTRO_PIVOS!$B$6:$B$41,0)),0)</f>
        <v>99.58</v>
      </c>
      <c r="I295" s="16" t="n">
        <f aca="false">IFERROR(SUMIFS(ROTACAO_RDM!$B$6:$B$71,ROTACAO_RDM!$D$6:$D$71,$E295,ROTACAO_RDM!$I$6:$I$71,"&lt;="&amp;$C295+INT(DIAS_POR_SEMANA/2),ROTACAO_RDM!$J$6:$J$71,"&gt;="&amp;$C295+INT(DIAS_POR_SEMANA/2)),0)</f>
        <v>13</v>
      </c>
      <c r="J295" s="16" t="n">
        <f aca="false">IFERROR(MATCH($I295,ROTACAO_RDM!$B$6:$B$71,0),0)</f>
        <v>13</v>
      </c>
      <c r="K295" s="8" t="str">
        <f aca="false">IF($J295=0,"SEM CULTURA",INDEX(ROTACAO_RDM!$F$6:$F$71,$J295))</f>
        <v>ALGODAO</v>
      </c>
      <c r="L295" s="8" t="str">
        <f aca="false">IF($J295=0,"",INDEX(ROTACAO_RDM!$G$6:$G$71,$J295))</f>
        <v>FM 933 STP</v>
      </c>
      <c r="M295" s="17" t="n">
        <f aca="false">IF($J295=0,"",INDEX(ROTACAO_RDM!$I$6:$I$71,$J295))</f>
        <v>46424</v>
      </c>
      <c r="N295" s="16" t="n">
        <f aca="false">IF($J295=0,0,MAX(0,$C295+INT(DIAS_POR_SEMANA/2)-INDEX(ROTACAO_RDM!$I$6:$I$71,$J295)))</f>
        <v>19</v>
      </c>
      <c r="O295" s="19" t="n">
        <f aca="false">IF($J295=0,0,MIN(1,$N295/MAX(1,INDEX(ROTACAO_RDM!$K$6:$K$71,$J295))))</f>
        <v>0.0974358974358974</v>
      </c>
      <c r="P295" s="16" t="n">
        <f aca="false">IF($J295=0,0,IFERROR(MATCH(INDEX(ROTACAO_RDM!$N$6:$N$71,$J295),PARAMETROS_CULTURAS!$B$6:$B$28,0),0))</f>
        <v>5</v>
      </c>
      <c r="Q295" s="8" t="str">
        <f aca="false">IF($P295=0,"-",IF($O295&lt;=INDEX(PARAMETROS_CULTURAS!$F$6:$F$28,$P295),"INICIAL",IF($O295&lt;=INDEX(PARAMETROS_CULTURAS!$F$6:$F$28,$P295)+INDEX(PARAMETROS_CULTURAS!$G$6:$G$28,$P295),"DESENVOLVIMENTO",IF($O295&lt;=INDEX(PARAMETROS_CULTURAS!$F$6:$F$28,$P295)+INDEX(PARAMETROS_CULTURAS!$G$6:$G$28,$P295)+INDEX(PARAMETROS_CULTURAS!$H$6:$H$28,$P295),"MEDIA","FINAL"))))</f>
        <v>INICIAL</v>
      </c>
      <c r="R295" s="24" t="n">
        <f aca="false">IF($P295=0,0,IF($O295&lt;=INDEX(PARAMETROS_CULTURAS!$F$6:$F$28,$P295),INDEX(PARAMETROS_CULTURAS!$K$6:$K$28,$P295),IF($O295&lt;=INDEX(PARAMETROS_CULTURAS!$F$6:$F$28,$P295)+INDEX(PARAMETROS_CULTURAS!$G$6:$G$28,$P295),INDEX(PARAMETROS_CULTURAS!$K$6:$K$28,$P295)+(INDEX(PARAMETROS_CULTURAS!$L$6:$L$28,$P295)-INDEX(PARAMETROS_CULTURAS!$K$6:$K$28,$P295))*($O295-INDEX(PARAMETROS_CULTURAS!$F$6:$F$28,$P295))/MAX(INDEX(PARAMETROS_CULTURAS!$G$6:$G$28,$P295),0.0001),IF($O295&lt;=INDEX(PARAMETROS_CULTURAS!$F$6:$F$28,$P295)+INDEX(PARAMETROS_CULTURAS!$G$6:$G$28,$P295)+INDEX(PARAMETROS_CULTURAS!$H$6:$H$28,$P295),INDEX(PARAMETROS_CULTURAS!$L$6:$L$28,$P295),INDEX(PARAMETROS_CULTURAS!$L$6:$L$28,$P295)+(INDEX(PARAMETROS_CULTURAS!$M$6:$M$28,$P295)-INDEX(PARAMETROS_CULTURAS!$L$6:$L$28,$P295))*($O295-INDEX(PARAMETROS_CULTURAS!$F$6:$F$28,$P295)-INDEX(PARAMETROS_CULTURAS!$G$6:$G$28,$P295)-INDEX(PARAMETROS_CULTURAS!$H$6:$H$28,$P295))/MAX(INDEX(PARAMETROS_CULTURAS!$I$6:$I$28,$P295),0.0001)))))</f>
        <v>0.35</v>
      </c>
      <c r="S295" s="18" t="n">
        <f aca="false">IFERROR(INDEX(SEMANAS!$H$6:$H$71,MATCH($B295,SEMANAS!$B$6:$B$71,0)),0)</f>
        <v>32.9</v>
      </c>
      <c r="T295" s="18" t="n">
        <f aca="false">$R295*$S295</f>
        <v>11.515</v>
      </c>
      <c r="U295" s="18" t="n">
        <f aca="false">IFERROR(INDEX(SEMANAS!$I$6:$I$71,MATCH($B295,SEMANAS!$B$6:$B$71,0)),0)</f>
        <v>39.97</v>
      </c>
      <c r="V295" s="18" t="n">
        <f aca="false">IFERROR(INDEX(SEMANAS!$J$6:$J$71,MATCH($B295,SEMANAS!$B$6:$B$71,0)),0)</f>
        <v>31.976</v>
      </c>
      <c r="W295" s="18" t="n">
        <f aca="false">MAX(0,$T295-$V295)</f>
        <v>0</v>
      </c>
      <c r="X295" s="19" t="n">
        <f aca="false">IFERROR(INDEX(CADASTRO_PIVOS!$K$6:$K$41,MATCH($E295,CADASTRO_PIVOS!$B$6:$B$41,0)),EFICIENCIA_PADRAO)</f>
        <v>0.85</v>
      </c>
      <c r="Y295" s="18" t="n">
        <f aca="false">IF($X295&lt;=0,0,$W295/$X295)</f>
        <v>0</v>
      </c>
      <c r="Z295" s="16" t="n">
        <f aca="false">$Y295*$H295*MM_PARA_M3_HA</f>
        <v>0</v>
      </c>
      <c r="AA295" s="18" t="n">
        <f aca="false">IFERROR(INDEX(CADASTRO_PIVOS!$I$6:$I$41,MATCH($E295,CADASTRO_PIVOS!$B$6:$B$41,0)),0)</f>
        <v>711.285714285714</v>
      </c>
      <c r="AB295" s="18" t="n">
        <f aca="false">IF($Z295&lt;=0,0,$Z295/$AA295)</f>
        <v>0</v>
      </c>
      <c r="AC295" s="16" t="n">
        <f aca="false">IFERROR(INDEX(SEMANAS!$K$6:$K$71,MATCH($B295,SEMANAS!$B$6:$B$71,0)),0)</f>
        <v>147</v>
      </c>
      <c r="AD295" s="19" t="n">
        <f aca="false">IF($AC295&lt;=0,0,$AB295/$AC295)</f>
        <v>0</v>
      </c>
      <c r="AE295" s="8" t="str">
        <f aca="false">IF($K295="SEM CULTURA","SEM CULTURA",IF($AA295&lt;=0,"DADO PENDENTE",IF($AD295&gt;LIMITE_CRITICO,"INVIAVEL",IF($AD295&gt;LIMITE_ATENCAO,"CRITICO",IF($AD295&gt;LIMITE_CONFORTAVEL,"ATENCAO","OK")))))</f>
        <v>OK</v>
      </c>
      <c r="AF295" s="8" t="str">
        <f aca="false">$B295&amp;"|"&amp;TEXT($AD295,"0.000000")</f>
        <v>26|0.000000</v>
      </c>
      <c r="AG295" s="18" t="n">
        <f aca="false">IF($K295="SEM CULTURA",0,$T295*$H295)</f>
        <v>1146.6637</v>
      </c>
      <c r="AH295" s="18" t="n">
        <f aca="false">IF($K295="SEM CULTURA",0,$V295*$H295)</f>
        <v>3184.17008</v>
      </c>
      <c r="AI295" s="18" t="n">
        <f aca="false">IF($K295="SEM CULTURA",0,$W295*$H295)</f>
        <v>0</v>
      </c>
      <c r="AJ295" s="18" t="n">
        <f aca="false">IF($K295="SEM CULTURA",0,$S295*$H295)</f>
        <v>3276.182</v>
      </c>
      <c r="AK295" s="8" t="str">
        <f aca="false">$E295&amp;"|"&amp;TEXT($AD295,"0.000000")</f>
        <v>PV 107|0.000000</v>
      </c>
    </row>
    <row r="296" customFormat="false" ht="15" hidden="false" customHeight="false" outlineLevel="0" collapsed="false">
      <c r="B296" s="16" t="n">
        <v>27</v>
      </c>
      <c r="C296" s="17" t="n">
        <f aca="false">DATA_INICIO_SAFRA+($B296-1)*DIAS_POR_SEMANA</f>
        <v>46447</v>
      </c>
      <c r="D296" s="17" t="n">
        <f aca="false">$C296+DIAS_POR_SEMANA-1</f>
        <v>46453</v>
      </c>
      <c r="E296" s="15" t="s">
        <v>263</v>
      </c>
      <c r="F296" s="8" t="str">
        <f aca="false">IFERROR(INDEX(CADASTRO_PIVOS!$C$6:$C$41,MATCH($E296,CADASTRO_PIVOS!$B$6:$B$41,0)),"?")</f>
        <v>RM03</v>
      </c>
      <c r="G296" s="8" t="str">
        <f aca="false">IFERROR(INDEX(CADASTRO_PIVOS!$D$6:$D$41,MATCH($E296,CADASTRO_PIVOS!$B$6:$B$41,0)),"?")</f>
        <v>TR03</v>
      </c>
      <c r="H296" s="20" t="n">
        <f aca="false">IFERROR(INDEX(CADASTRO_PIVOS!$E$6:$E$41,MATCH($E296,CADASTRO_PIVOS!$B$6:$B$41,0)),0)</f>
        <v>99.58</v>
      </c>
      <c r="I296" s="16" t="n">
        <f aca="false">IFERROR(SUMIFS(ROTACAO_RDM!$B$6:$B$71,ROTACAO_RDM!$D$6:$D$71,$E296,ROTACAO_RDM!$I$6:$I$71,"&lt;="&amp;$C296+INT(DIAS_POR_SEMANA/2),ROTACAO_RDM!$J$6:$J$71,"&gt;="&amp;$C296+INT(DIAS_POR_SEMANA/2)),0)</f>
        <v>13</v>
      </c>
      <c r="J296" s="16" t="n">
        <f aca="false">IFERROR(MATCH($I296,ROTACAO_RDM!$B$6:$B$71,0),0)</f>
        <v>13</v>
      </c>
      <c r="K296" s="8" t="str">
        <f aca="false">IF($J296=0,"SEM CULTURA",INDEX(ROTACAO_RDM!$F$6:$F$71,$J296))</f>
        <v>ALGODAO</v>
      </c>
      <c r="L296" s="8" t="str">
        <f aca="false">IF($J296=0,"",INDEX(ROTACAO_RDM!$G$6:$G$71,$J296))</f>
        <v>FM 933 STP</v>
      </c>
      <c r="M296" s="17" t="n">
        <f aca="false">IF($J296=0,"",INDEX(ROTACAO_RDM!$I$6:$I$71,$J296))</f>
        <v>46424</v>
      </c>
      <c r="N296" s="16" t="n">
        <f aca="false">IF($J296=0,0,MAX(0,$C296+INT(DIAS_POR_SEMANA/2)-INDEX(ROTACAO_RDM!$I$6:$I$71,$J296)))</f>
        <v>26</v>
      </c>
      <c r="O296" s="19" t="n">
        <f aca="false">IF($J296=0,0,MIN(1,$N296/MAX(1,INDEX(ROTACAO_RDM!$K$6:$K$71,$J296))))</f>
        <v>0.133333333333333</v>
      </c>
      <c r="P296" s="16" t="n">
        <f aca="false">IF($J296=0,0,IFERROR(MATCH(INDEX(ROTACAO_RDM!$N$6:$N$71,$J296),PARAMETROS_CULTURAS!$B$6:$B$28,0),0))</f>
        <v>5</v>
      </c>
      <c r="Q296" s="8" t="str">
        <f aca="false">IF($P296=0,"-",IF($O296&lt;=INDEX(PARAMETROS_CULTURAS!$F$6:$F$28,$P296),"INICIAL",IF($O296&lt;=INDEX(PARAMETROS_CULTURAS!$F$6:$F$28,$P296)+INDEX(PARAMETROS_CULTURAS!$G$6:$G$28,$P296),"DESENVOLVIMENTO",IF($O296&lt;=INDEX(PARAMETROS_CULTURAS!$F$6:$F$28,$P296)+INDEX(PARAMETROS_CULTURAS!$G$6:$G$28,$P296)+INDEX(PARAMETROS_CULTURAS!$H$6:$H$28,$P296),"MEDIA","FINAL"))))</f>
        <v>INICIAL</v>
      </c>
      <c r="R296" s="24" t="n">
        <f aca="false">IF($P296=0,0,IF($O296&lt;=INDEX(PARAMETROS_CULTURAS!$F$6:$F$28,$P296),INDEX(PARAMETROS_CULTURAS!$K$6:$K$28,$P296),IF($O296&lt;=INDEX(PARAMETROS_CULTURAS!$F$6:$F$28,$P296)+INDEX(PARAMETROS_CULTURAS!$G$6:$G$28,$P296),INDEX(PARAMETROS_CULTURAS!$K$6:$K$28,$P296)+(INDEX(PARAMETROS_CULTURAS!$L$6:$L$28,$P296)-INDEX(PARAMETROS_CULTURAS!$K$6:$K$28,$P296))*($O296-INDEX(PARAMETROS_CULTURAS!$F$6:$F$28,$P296))/MAX(INDEX(PARAMETROS_CULTURAS!$G$6:$G$28,$P296),0.0001),IF($O296&lt;=INDEX(PARAMETROS_CULTURAS!$F$6:$F$28,$P296)+INDEX(PARAMETROS_CULTURAS!$G$6:$G$28,$P296)+INDEX(PARAMETROS_CULTURAS!$H$6:$H$28,$P296),INDEX(PARAMETROS_CULTURAS!$L$6:$L$28,$P296),INDEX(PARAMETROS_CULTURAS!$L$6:$L$28,$P296)+(INDEX(PARAMETROS_CULTURAS!$M$6:$M$28,$P296)-INDEX(PARAMETROS_CULTURAS!$L$6:$L$28,$P296))*($O296-INDEX(PARAMETROS_CULTURAS!$F$6:$F$28,$P296)-INDEX(PARAMETROS_CULTURAS!$G$6:$G$28,$P296)-INDEX(PARAMETROS_CULTURAS!$H$6:$H$28,$P296))/MAX(INDEX(PARAMETROS_CULTURAS!$I$6:$I$28,$P296),0.0001)))))</f>
        <v>0.35</v>
      </c>
      <c r="S296" s="18" t="n">
        <f aca="false">IFERROR(INDEX(SEMANAS!$H$6:$H$71,MATCH($B296,SEMANAS!$B$6:$B$71,0)),0)</f>
        <v>32.2</v>
      </c>
      <c r="T296" s="18" t="n">
        <f aca="false">$R296*$S296</f>
        <v>11.27</v>
      </c>
      <c r="U296" s="18" t="n">
        <f aca="false">IFERROR(INDEX(SEMANAS!$I$6:$I$71,MATCH($B296,SEMANAS!$B$6:$B$71,0)),0)</f>
        <v>37.24</v>
      </c>
      <c r="V296" s="18" t="n">
        <f aca="false">IFERROR(INDEX(SEMANAS!$J$6:$J$71,MATCH($B296,SEMANAS!$B$6:$B$71,0)),0)</f>
        <v>29.792</v>
      </c>
      <c r="W296" s="18" t="n">
        <f aca="false">MAX(0,$T296-$V296)</f>
        <v>0</v>
      </c>
      <c r="X296" s="19" t="n">
        <f aca="false">IFERROR(INDEX(CADASTRO_PIVOS!$K$6:$K$41,MATCH($E296,CADASTRO_PIVOS!$B$6:$B$41,0)),EFICIENCIA_PADRAO)</f>
        <v>0.85</v>
      </c>
      <c r="Y296" s="18" t="n">
        <f aca="false">IF($X296&lt;=0,0,$W296/$X296)</f>
        <v>0</v>
      </c>
      <c r="Z296" s="16" t="n">
        <f aca="false">$Y296*$H296*MM_PARA_M3_HA</f>
        <v>0</v>
      </c>
      <c r="AA296" s="18" t="n">
        <f aca="false">IFERROR(INDEX(CADASTRO_PIVOS!$I$6:$I$41,MATCH($E296,CADASTRO_PIVOS!$B$6:$B$41,0)),0)</f>
        <v>711.285714285714</v>
      </c>
      <c r="AB296" s="18" t="n">
        <f aca="false">IF($Z296&lt;=0,0,$Z296/$AA296)</f>
        <v>0</v>
      </c>
      <c r="AC296" s="16" t="n">
        <f aca="false">IFERROR(INDEX(SEMANAS!$K$6:$K$71,MATCH($B296,SEMANAS!$B$6:$B$71,0)),0)</f>
        <v>147</v>
      </c>
      <c r="AD296" s="19" t="n">
        <f aca="false">IF($AC296&lt;=0,0,$AB296/$AC296)</f>
        <v>0</v>
      </c>
      <c r="AE296" s="8" t="str">
        <f aca="false">IF($K296="SEM CULTURA","SEM CULTURA",IF($AA296&lt;=0,"DADO PENDENTE",IF($AD296&gt;LIMITE_CRITICO,"INVIAVEL",IF($AD296&gt;LIMITE_ATENCAO,"CRITICO",IF($AD296&gt;LIMITE_CONFORTAVEL,"ATENCAO","OK")))))</f>
        <v>OK</v>
      </c>
      <c r="AF296" s="8" t="str">
        <f aca="false">$B296&amp;"|"&amp;TEXT($AD296,"0.000000")</f>
        <v>27|0.000000</v>
      </c>
      <c r="AG296" s="18" t="n">
        <f aca="false">IF($K296="SEM CULTURA",0,$T296*$H296)</f>
        <v>1122.2666</v>
      </c>
      <c r="AH296" s="18" t="n">
        <f aca="false">IF($K296="SEM CULTURA",0,$V296*$H296)</f>
        <v>2966.68736</v>
      </c>
      <c r="AI296" s="18" t="n">
        <f aca="false">IF($K296="SEM CULTURA",0,$W296*$H296)</f>
        <v>0</v>
      </c>
      <c r="AJ296" s="18" t="n">
        <f aca="false">IF($K296="SEM CULTURA",0,$S296*$H296)</f>
        <v>3206.476</v>
      </c>
      <c r="AK296" s="8" t="str">
        <f aca="false">$E296&amp;"|"&amp;TEXT($AD296,"0.000000")</f>
        <v>PV 107|0.000000</v>
      </c>
    </row>
    <row r="297" customFormat="false" ht="15" hidden="false" customHeight="false" outlineLevel="0" collapsed="false">
      <c r="B297" s="16" t="n">
        <v>28</v>
      </c>
      <c r="C297" s="17" t="n">
        <f aca="false">DATA_INICIO_SAFRA+($B297-1)*DIAS_POR_SEMANA</f>
        <v>46454</v>
      </c>
      <c r="D297" s="17" t="n">
        <f aca="false">$C297+DIAS_POR_SEMANA-1</f>
        <v>46460</v>
      </c>
      <c r="E297" s="15" t="s">
        <v>263</v>
      </c>
      <c r="F297" s="8" t="str">
        <f aca="false">IFERROR(INDEX(CADASTRO_PIVOS!$C$6:$C$41,MATCH($E297,CADASTRO_PIVOS!$B$6:$B$41,0)),"?")</f>
        <v>RM03</v>
      </c>
      <c r="G297" s="8" t="str">
        <f aca="false">IFERROR(INDEX(CADASTRO_PIVOS!$D$6:$D$41,MATCH($E297,CADASTRO_PIVOS!$B$6:$B$41,0)),"?")</f>
        <v>TR03</v>
      </c>
      <c r="H297" s="20" t="n">
        <f aca="false">IFERROR(INDEX(CADASTRO_PIVOS!$E$6:$E$41,MATCH($E297,CADASTRO_PIVOS!$B$6:$B$41,0)),0)</f>
        <v>99.58</v>
      </c>
      <c r="I297" s="16" t="n">
        <f aca="false">IFERROR(SUMIFS(ROTACAO_RDM!$B$6:$B$71,ROTACAO_RDM!$D$6:$D$71,$E297,ROTACAO_RDM!$I$6:$I$71,"&lt;="&amp;$C297+INT(DIAS_POR_SEMANA/2),ROTACAO_RDM!$J$6:$J$71,"&gt;="&amp;$C297+INT(DIAS_POR_SEMANA/2)),0)</f>
        <v>13</v>
      </c>
      <c r="J297" s="16" t="n">
        <f aca="false">IFERROR(MATCH($I297,ROTACAO_RDM!$B$6:$B$71,0),0)</f>
        <v>13</v>
      </c>
      <c r="K297" s="8" t="str">
        <f aca="false">IF($J297=0,"SEM CULTURA",INDEX(ROTACAO_RDM!$F$6:$F$71,$J297))</f>
        <v>ALGODAO</v>
      </c>
      <c r="L297" s="8" t="str">
        <f aca="false">IF($J297=0,"",INDEX(ROTACAO_RDM!$G$6:$G$71,$J297))</f>
        <v>FM 933 STP</v>
      </c>
      <c r="M297" s="17" t="n">
        <f aca="false">IF($J297=0,"",INDEX(ROTACAO_RDM!$I$6:$I$71,$J297))</f>
        <v>46424</v>
      </c>
      <c r="N297" s="16" t="n">
        <f aca="false">IF($J297=0,0,MAX(0,$C297+INT(DIAS_POR_SEMANA/2)-INDEX(ROTACAO_RDM!$I$6:$I$71,$J297)))</f>
        <v>33</v>
      </c>
      <c r="O297" s="19" t="n">
        <f aca="false">IF($J297=0,0,MIN(1,$N297/MAX(1,INDEX(ROTACAO_RDM!$K$6:$K$71,$J297))))</f>
        <v>0.169230769230769</v>
      </c>
      <c r="P297" s="16" t="n">
        <f aca="false">IF($J297=0,0,IFERROR(MATCH(INDEX(ROTACAO_RDM!$N$6:$N$71,$J297),PARAMETROS_CULTURAS!$B$6:$B$28,0),0))</f>
        <v>5</v>
      </c>
      <c r="Q297" s="8" t="str">
        <f aca="false">IF($P297=0,"-",IF($O297&lt;=INDEX(PARAMETROS_CULTURAS!$F$6:$F$28,$P297),"INICIAL",IF($O297&lt;=INDEX(PARAMETROS_CULTURAS!$F$6:$F$28,$P297)+INDEX(PARAMETROS_CULTURAS!$G$6:$G$28,$P297),"DESENVOLVIMENTO",IF($O297&lt;=INDEX(PARAMETROS_CULTURAS!$F$6:$F$28,$P297)+INDEX(PARAMETROS_CULTURAS!$G$6:$G$28,$P297)+INDEX(PARAMETROS_CULTURAS!$H$6:$H$28,$P297),"MEDIA","FINAL"))))</f>
        <v>DESENVOLVIMENTO</v>
      </c>
      <c r="R297" s="24" t="n">
        <f aca="false">IF($P297=0,0,IF($O297&lt;=INDEX(PARAMETROS_CULTURAS!$F$6:$F$28,$P297),INDEX(PARAMETROS_CULTURAS!$K$6:$K$28,$P297),IF($O297&lt;=INDEX(PARAMETROS_CULTURAS!$F$6:$F$28,$P297)+INDEX(PARAMETROS_CULTURAS!$G$6:$G$28,$P297),INDEX(PARAMETROS_CULTURAS!$K$6:$K$28,$P297)+(INDEX(PARAMETROS_CULTURAS!$L$6:$L$28,$P297)-INDEX(PARAMETROS_CULTURAS!$K$6:$K$28,$P297))*($O297-INDEX(PARAMETROS_CULTURAS!$F$6:$F$28,$P297))/MAX(INDEX(PARAMETROS_CULTURAS!$G$6:$G$28,$P297),0.0001),IF($O297&lt;=INDEX(PARAMETROS_CULTURAS!$F$6:$F$28,$P297)+INDEX(PARAMETROS_CULTURAS!$G$6:$G$28,$P297)+INDEX(PARAMETROS_CULTURAS!$H$6:$H$28,$P297),INDEX(PARAMETROS_CULTURAS!$L$6:$L$28,$P297),INDEX(PARAMETROS_CULTURAS!$L$6:$L$28,$P297)+(INDEX(PARAMETROS_CULTURAS!$M$6:$M$28,$P297)-INDEX(PARAMETROS_CULTURAS!$L$6:$L$28,$P297))*($O297-INDEX(PARAMETROS_CULTURAS!$F$6:$F$28,$P297)-INDEX(PARAMETROS_CULTURAS!$G$6:$G$28,$P297)-INDEX(PARAMETROS_CULTURAS!$H$6:$H$28,$P297))/MAX(INDEX(PARAMETROS_CULTURAS!$I$6:$I$28,$P297),0.0001)))))</f>
        <v>0.409171597633136</v>
      </c>
      <c r="S297" s="18" t="n">
        <f aca="false">IFERROR(INDEX(SEMANAS!$H$6:$H$71,MATCH($B297,SEMANAS!$B$6:$B$71,0)),0)</f>
        <v>32.2</v>
      </c>
      <c r="T297" s="18" t="n">
        <f aca="false">$R297*$S297</f>
        <v>13.175325443787</v>
      </c>
      <c r="U297" s="18" t="n">
        <f aca="false">IFERROR(INDEX(SEMANAS!$I$6:$I$71,MATCH($B297,SEMANAS!$B$6:$B$71,0)),0)</f>
        <v>37.24</v>
      </c>
      <c r="V297" s="18" t="n">
        <f aca="false">IFERROR(INDEX(SEMANAS!$J$6:$J$71,MATCH($B297,SEMANAS!$B$6:$B$71,0)),0)</f>
        <v>29.792</v>
      </c>
      <c r="W297" s="18" t="n">
        <f aca="false">MAX(0,$T297-$V297)</f>
        <v>0</v>
      </c>
      <c r="X297" s="19" t="n">
        <f aca="false">IFERROR(INDEX(CADASTRO_PIVOS!$K$6:$K$41,MATCH($E297,CADASTRO_PIVOS!$B$6:$B$41,0)),EFICIENCIA_PADRAO)</f>
        <v>0.85</v>
      </c>
      <c r="Y297" s="18" t="n">
        <f aca="false">IF($X297&lt;=0,0,$W297/$X297)</f>
        <v>0</v>
      </c>
      <c r="Z297" s="16" t="n">
        <f aca="false">$Y297*$H297*MM_PARA_M3_HA</f>
        <v>0</v>
      </c>
      <c r="AA297" s="18" t="n">
        <f aca="false">IFERROR(INDEX(CADASTRO_PIVOS!$I$6:$I$41,MATCH($E297,CADASTRO_PIVOS!$B$6:$B$41,0)),0)</f>
        <v>711.285714285714</v>
      </c>
      <c r="AB297" s="18" t="n">
        <f aca="false">IF($Z297&lt;=0,0,$Z297/$AA297)</f>
        <v>0</v>
      </c>
      <c r="AC297" s="16" t="n">
        <f aca="false">IFERROR(INDEX(SEMANAS!$K$6:$K$71,MATCH($B297,SEMANAS!$B$6:$B$71,0)),0)</f>
        <v>147</v>
      </c>
      <c r="AD297" s="19" t="n">
        <f aca="false">IF($AC297&lt;=0,0,$AB297/$AC297)</f>
        <v>0</v>
      </c>
      <c r="AE297" s="8" t="str">
        <f aca="false">IF($K297="SEM CULTURA","SEM CULTURA",IF($AA297&lt;=0,"DADO PENDENTE",IF($AD297&gt;LIMITE_CRITICO,"INVIAVEL",IF($AD297&gt;LIMITE_ATENCAO,"CRITICO",IF($AD297&gt;LIMITE_CONFORTAVEL,"ATENCAO","OK")))))</f>
        <v>OK</v>
      </c>
      <c r="AF297" s="8" t="str">
        <f aca="false">$B297&amp;"|"&amp;TEXT($AD297,"0.000000")</f>
        <v>28|0.000000</v>
      </c>
      <c r="AG297" s="18" t="n">
        <f aca="false">IF($K297="SEM CULTURA",0,$T297*$H297)</f>
        <v>1311.99890769231</v>
      </c>
      <c r="AH297" s="18" t="n">
        <f aca="false">IF($K297="SEM CULTURA",0,$V297*$H297)</f>
        <v>2966.68736</v>
      </c>
      <c r="AI297" s="18" t="n">
        <f aca="false">IF($K297="SEM CULTURA",0,$W297*$H297)</f>
        <v>0</v>
      </c>
      <c r="AJ297" s="18" t="n">
        <f aca="false">IF($K297="SEM CULTURA",0,$S297*$H297)</f>
        <v>3206.476</v>
      </c>
      <c r="AK297" s="8" t="str">
        <f aca="false">$E297&amp;"|"&amp;TEXT($AD297,"0.000000")</f>
        <v>PV 107|0.000000</v>
      </c>
    </row>
    <row r="298" customFormat="false" ht="15" hidden="false" customHeight="false" outlineLevel="0" collapsed="false">
      <c r="B298" s="16" t="n">
        <v>29</v>
      </c>
      <c r="C298" s="17" t="n">
        <f aca="false">DATA_INICIO_SAFRA+($B298-1)*DIAS_POR_SEMANA</f>
        <v>46461</v>
      </c>
      <c r="D298" s="17" t="n">
        <f aca="false">$C298+DIAS_POR_SEMANA-1</f>
        <v>46467</v>
      </c>
      <c r="E298" s="15" t="s">
        <v>263</v>
      </c>
      <c r="F298" s="8" t="str">
        <f aca="false">IFERROR(INDEX(CADASTRO_PIVOS!$C$6:$C$41,MATCH($E298,CADASTRO_PIVOS!$B$6:$B$41,0)),"?")</f>
        <v>RM03</v>
      </c>
      <c r="G298" s="8" t="str">
        <f aca="false">IFERROR(INDEX(CADASTRO_PIVOS!$D$6:$D$41,MATCH($E298,CADASTRO_PIVOS!$B$6:$B$41,0)),"?")</f>
        <v>TR03</v>
      </c>
      <c r="H298" s="20" t="n">
        <f aca="false">IFERROR(INDEX(CADASTRO_PIVOS!$E$6:$E$41,MATCH($E298,CADASTRO_PIVOS!$B$6:$B$41,0)),0)</f>
        <v>99.58</v>
      </c>
      <c r="I298" s="16" t="n">
        <f aca="false">IFERROR(SUMIFS(ROTACAO_RDM!$B$6:$B$71,ROTACAO_RDM!$D$6:$D$71,$E298,ROTACAO_RDM!$I$6:$I$71,"&lt;="&amp;$C298+INT(DIAS_POR_SEMANA/2),ROTACAO_RDM!$J$6:$J$71,"&gt;="&amp;$C298+INT(DIAS_POR_SEMANA/2)),0)</f>
        <v>13</v>
      </c>
      <c r="J298" s="16" t="n">
        <f aca="false">IFERROR(MATCH($I298,ROTACAO_RDM!$B$6:$B$71,0),0)</f>
        <v>13</v>
      </c>
      <c r="K298" s="8" t="str">
        <f aca="false">IF($J298=0,"SEM CULTURA",INDEX(ROTACAO_RDM!$F$6:$F$71,$J298))</f>
        <v>ALGODAO</v>
      </c>
      <c r="L298" s="8" t="str">
        <f aca="false">IF($J298=0,"",INDEX(ROTACAO_RDM!$G$6:$G$71,$J298))</f>
        <v>FM 933 STP</v>
      </c>
      <c r="M298" s="17" t="n">
        <f aca="false">IF($J298=0,"",INDEX(ROTACAO_RDM!$I$6:$I$71,$J298))</f>
        <v>46424</v>
      </c>
      <c r="N298" s="16" t="n">
        <f aca="false">IF($J298=0,0,MAX(0,$C298+INT(DIAS_POR_SEMANA/2)-INDEX(ROTACAO_RDM!$I$6:$I$71,$J298)))</f>
        <v>40</v>
      </c>
      <c r="O298" s="19" t="n">
        <f aca="false">IF($J298=0,0,MIN(1,$N298/MAX(1,INDEX(ROTACAO_RDM!$K$6:$K$71,$J298))))</f>
        <v>0.205128205128205</v>
      </c>
      <c r="P298" s="16" t="n">
        <f aca="false">IF($J298=0,0,IFERROR(MATCH(INDEX(ROTACAO_RDM!$N$6:$N$71,$J298),PARAMETROS_CULTURAS!$B$6:$B$28,0),0))</f>
        <v>5</v>
      </c>
      <c r="Q298" s="8" t="str">
        <f aca="false">IF($P298=0,"-",IF($O298&lt;=INDEX(PARAMETROS_CULTURAS!$F$6:$F$28,$P298),"INICIAL",IF($O298&lt;=INDEX(PARAMETROS_CULTURAS!$F$6:$F$28,$P298)+INDEX(PARAMETROS_CULTURAS!$G$6:$G$28,$P298),"DESENVOLVIMENTO",IF($O298&lt;=INDEX(PARAMETROS_CULTURAS!$F$6:$F$28,$P298)+INDEX(PARAMETROS_CULTURAS!$G$6:$G$28,$P298)+INDEX(PARAMETROS_CULTURAS!$H$6:$H$28,$P298),"MEDIA","FINAL"))))</f>
        <v>DESENVOLVIMENTO</v>
      </c>
      <c r="R298" s="24" t="n">
        <f aca="false">IF($P298=0,0,IF($O298&lt;=INDEX(PARAMETROS_CULTURAS!$F$6:$F$28,$P298),INDEX(PARAMETROS_CULTURAS!$K$6:$K$28,$P298),IF($O298&lt;=INDEX(PARAMETROS_CULTURAS!$F$6:$F$28,$P298)+INDEX(PARAMETROS_CULTURAS!$G$6:$G$28,$P298),INDEX(PARAMETROS_CULTURAS!$K$6:$K$28,$P298)+(INDEX(PARAMETROS_CULTURAS!$L$6:$L$28,$P298)-INDEX(PARAMETROS_CULTURAS!$K$6:$K$28,$P298))*($O298-INDEX(PARAMETROS_CULTURAS!$F$6:$F$28,$P298))/MAX(INDEX(PARAMETROS_CULTURAS!$G$6:$G$28,$P298),0.0001),IF($O298&lt;=INDEX(PARAMETROS_CULTURAS!$F$6:$F$28,$P298)+INDEX(PARAMETROS_CULTURAS!$G$6:$G$28,$P298)+INDEX(PARAMETROS_CULTURAS!$H$6:$H$28,$P298),INDEX(PARAMETROS_CULTURAS!$L$6:$L$28,$P298),INDEX(PARAMETROS_CULTURAS!$L$6:$L$28,$P298)+(INDEX(PARAMETROS_CULTURAS!$M$6:$M$28,$P298)-INDEX(PARAMETROS_CULTURAS!$L$6:$L$28,$P298))*($O298-INDEX(PARAMETROS_CULTURAS!$F$6:$F$28,$P298)-INDEX(PARAMETROS_CULTURAS!$G$6:$G$28,$P298)-INDEX(PARAMETROS_CULTURAS!$H$6:$H$28,$P298))/MAX(INDEX(PARAMETROS_CULTURAS!$I$6:$I$28,$P298),0.0001)))))</f>
        <v>0.519625246548323</v>
      </c>
      <c r="S298" s="18" t="n">
        <f aca="false">IFERROR(INDEX(SEMANAS!$H$6:$H$71,MATCH($B298,SEMANAS!$B$6:$B$71,0)),0)</f>
        <v>32.2</v>
      </c>
      <c r="T298" s="18" t="n">
        <f aca="false">$R298*$S298</f>
        <v>16.731932938856</v>
      </c>
      <c r="U298" s="18" t="n">
        <f aca="false">IFERROR(INDEX(SEMANAS!$I$6:$I$71,MATCH($B298,SEMANAS!$B$6:$B$71,0)),0)</f>
        <v>37.24</v>
      </c>
      <c r="V298" s="18" t="n">
        <f aca="false">IFERROR(INDEX(SEMANAS!$J$6:$J$71,MATCH($B298,SEMANAS!$B$6:$B$71,0)),0)</f>
        <v>29.792</v>
      </c>
      <c r="W298" s="18" t="n">
        <f aca="false">MAX(0,$T298-$V298)</f>
        <v>0</v>
      </c>
      <c r="X298" s="19" t="n">
        <f aca="false">IFERROR(INDEX(CADASTRO_PIVOS!$K$6:$K$41,MATCH($E298,CADASTRO_PIVOS!$B$6:$B$41,0)),EFICIENCIA_PADRAO)</f>
        <v>0.85</v>
      </c>
      <c r="Y298" s="18" t="n">
        <f aca="false">IF($X298&lt;=0,0,$W298/$X298)</f>
        <v>0</v>
      </c>
      <c r="Z298" s="16" t="n">
        <f aca="false">$Y298*$H298*MM_PARA_M3_HA</f>
        <v>0</v>
      </c>
      <c r="AA298" s="18" t="n">
        <f aca="false">IFERROR(INDEX(CADASTRO_PIVOS!$I$6:$I$41,MATCH($E298,CADASTRO_PIVOS!$B$6:$B$41,0)),0)</f>
        <v>711.285714285714</v>
      </c>
      <c r="AB298" s="18" t="n">
        <f aca="false">IF($Z298&lt;=0,0,$Z298/$AA298)</f>
        <v>0</v>
      </c>
      <c r="AC298" s="16" t="n">
        <f aca="false">IFERROR(INDEX(SEMANAS!$K$6:$K$71,MATCH($B298,SEMANAS!$B$6:$B$71,0)),0)</f>
        <v>147</v>
      </c>
      <c r="AD298" s="19" t="n">
        <f aca="false">IF($AC298&lt;=0,0,$AB298/$AC298)</f>
        <v>0</v>
      </c>
      <c r="AE298" s="8" t="str">
        <f aca="false">IF($K298="SEM CULTURA","SEM CULTURA",IF($AA298&lt;=0,"DADO PENDENTE",IF($AD298&gt;LIMITE_CRITICO,"INVIAVEL",IF($AD298&gt;LIMITE_ATENCAO,"CRITICO",IF($AD298&gt;LIMITE_CONFORTAVEL,"ATENCAO","OK")))))</f>
        <v>OK</v>
      </c>
      <c r="AF298" s="8" t="str">
        <f aca="false">$B298&amp;"|"&amp;TEXT($AD298,"0.000000")</f>
        <v>29|0.000000</v>
      </c>
      <c r="AG298" s="18" t="n">
        <f aca="false">IF($K298="SEM CULTURA",0,$T298*$H298)</f>
        <v>1666.16588205128</v>
      </c>
      <c r="AH298" s="18" t="n">
        <f aca="false">IF($K298="SEM CULTURA",0,$V298*$H298)</f>
        <v>2966.68736</v>
      </c>
      <c r="AI298" s="18" t="n">
        <f aca="false">IF($K298="SEM CULTURA",0,$W298*$H298)</f>
        <v>0</v>
      </c>
      <c r="AJ298" s="18" t="n">
        <f aca="false">IF($K298="SEM CULTURA",0,$S298*$H298)</f>
        <v>3206.476</v>
      </c>
      <c r="AK298" s="8" t="str">
        <f aca="false">$E298&amp;"|"&amp;TEXT($AD298,"0.000000")</f>
        <v>PV 107|0.000000</v>
      </c>
    </row>
    <row r="299" customFormat="false" ht="15" hidden="false" customHeight="false" outlineLevel="0" collapsed="false">
      <c r="B299" s="16" t="n">
        <v>30</v>
      </c>
      <c r="C299" s="17" t="n">
        <f aca="false">DATA_INICIO_SAFRA+($B299-1)*DIAS_POR_SEMANA</f>
        <v>46468</v>
      </c>
      <c r="D299" s="17" t="n">
        <f aca="false">$C299+DIAS_POR_SEMANA-1</f>
        <v>46474</v>
      </c>
      <c r="E299" s="15" t="s">
        <v>263</v>
      </c>
      <c r="F299" s="8" t="str">
        <f aca="false">IFERROR(INDEX(CADASTRO_PIVOS!$C$6:$C$41,MATCH($E299,CADASTRO_PIVOS!$B$6:$B$41,0)),"?")</f>
        <v>RM03</v>
      </c>
      <c r="G299" s="8" t="str">
        <f aca="false">IFERROR(INDEX(CADASTRO_PIVOS!$D$6:$D$41,MATCH($E299,CADASTRO_PIVOS!$B$6:$B$41,0)),"?")</f>
        <v>TR03</v>
      </c>
      <c r="H299" s="20" t="n">
        <f aca="false">IFERROR(INDEX(CADASTRO_PIVOS!$E$6:$E$41,MATCH($E299,CADASTRO_PIVOS!$B$6:$B$41,0)),0)</f>
        <v>99.58</v>
      </c>
      <c r="I299" s="16" t="n">
        <f aca="false">IFERROR(SUMIFS(ROTACAO_RDM!$B$6:$B$71,ROTACAO_RDM!$D$6:$D$71,$E299,ROTACAO_RDM!$I$6:$I$71,"&lt;="&amp;$C299+INT(DIAS_POR_SEMANA/2),ROTACAO_RDM!$J$6:$J$71,"&gt;="&amp;$C299+INT(DIAS_POR_SEMANA/2)),0)</f>
        <v>13</v>
      </c>
      <c r="J299" s="16" t="n">
        <f aca="false">IFERROR(MATCH($I299,ROTACAO_RDM!$B$6:$B$71,0),0)</f>
        <v>13</v>
      </c>
      <c r="K299" s="8" t="str">
        <f aca="false">IF($J299=0,"SEM CULTURA",INDEX(ROTACAO_RDM!$F$6:$F$71,$J299))</f>
        <v>ALGODAO</v>
      </c>
      <c r="L299" s="8" t="str">
        <f aca="false">IF($J299=0,"",INDEX(ROTACAO_RDM!$G$6:$G$71,$J299))</f>
        <v>FM 933 STP</v>
      </c>
      <c r="M299" s="17" t="n">
        <f aca="false">IF($J299=0,"",INDEX(ROTACAO_RDM!$I$6:$I$71,$J299))</f>
        <v>46424</v>
      </c>
      <c r="N299" s="16" t="n">
        <f aca="false">IF($J299=0,0,MAX(0,$C299+INT(DIAS_POR_SEMANA/2)-INDEX(ROTACAO_RDM!$I$6:$I$71,$J299)))</f>
        <v>47</v>
      </c>
      <c r="O299" s="19" t="n">
        <f aca="false">IF($J299=0,0,MIN(1,$N299/MAX(1,INDEX(ROTACAO_RDM!$K$6:$K$71,$J299))))</f>
        <v>0.241025641025641</v>
      </c>
      <c r="P299" s="16" t="n">
        <f aca="false">IF($J299=0,0,IFERROR(MATCH(INDEX(ROTACAO_RDM!$N$6:$N$71,$J299),PARAMETROS_CULTURAS!$B$6:$B$28,0),0))</f>
        <v>5</v>
      </c>
      <c r="Q299" s="8" t="str">
        <f aca="false">IF($P299=0,"-",IF($O299&lt;=INDEX(PARAMETROS_CULTURAS!$F$6:$F$28,$P299),"INICIAL",IF($O299&lt;=INDEX(PARAMETROS_CULTURAS!$F$6:$F$28,$P299)+INDEX(PARAMETROS_CULTURAS!$G$6:$G$28,$P299),"DESENVOLVIMENTO",IF($O299&lt;=INDEX(PARAMETROS_CULTURAS!$F$6:$F$28,$P299)+INDEX(PARAMETROS_CULTURAS!$G$6:$G$28,$P299)+INDEX(PARAMETROS_CULTURAS!$H$6:$H$28,$P299),"MEDIA","FINAL"))))</f>
        <v>DESENVOLVIMENTO</v>
      </c>
      <c r="R299" s="24" t="n">
        <f aca="false">IF($P299=0,0,IF($O299&lt;=INDEX(PARAMETROS_CULTURAS!$F$6:$F$28,$P299),INDEX(PARAMETROS_CULTURAS!$K$6:$K$28,$P299),IF($O299&lt;=INDEX(PARAMETROS_CULTURAS!$F$6:$F$28,$P299)+INDEX(PARAMETROS_CULTURAS!$G$6:$G$28,$P299),INDEX(PARAMETROS_CULTURAS!$K$6:$K$28,$P299)+(INDEX(PARAMETROS_CULTURAS!$L$6:$L$28,$P299)-INDEX(PARAMETROS_CULTURAS!$K$6:$K$28,$P299))*($O299-INDEX(PARAMETROS_CULTURAS!$F$6:$F$28,$P299))/MAX(INDEX(PARAMETROS_CULTURAS!$G$6:$G$28,$P299),0.0001),IF($O299&lt;=INDEX(PARAMETROS_CULTURAS!$F$6:$F$28,$P299)+INDEX(PARAMETROS_CULTURAS!$G$6:$G$28,$P299)+INDEX(PARAMETROS_CULTURAS!$H$6:$H$28,$P299),INDEX(PARAMETROS_CULTURAS!$L$6:$L$28,$P299),INDEX(PARAMETROS_CULTURAS!$L$6:$L$28,$P299)+(INDEX(PARAMETROS_CULTURAS!$M$6:$M$28,$P299)-INDEX(PARAMETROS_CULTURAS!$L$6:$L$28,$P299))*($O299-INDEX(PARAMETROS_CULTURAS!$F$6:$F$28,$P299)-INDEX(PARAMETROS_CULTURAS!$G$6:$G$28,$P299)-INDEX(PARAMETROS_CULTURAS!$H$6:$H$28,$P299))/MAX(INDEX(PARAMETROS_CULTURAS!$I$6:$I$28,$P299),0.0001)))))</f>
        <v>0.630078895463511</v>
      </c>
      <c r="S299" s="18" t="n">
        <f aca="false">IFERROR(INDEX(SEMANAS!$H$6:$H$71,MATCH($B299,SEMANAS!$B$6:$B$71,0)),0)</f>
        <v>32.2</v>
      </c>
      <c r="T299" s="18" t="n">
        <f aca="false">$R299*$S299</f>
        <v>20.288540433925</v>
      </c>
      <c r="U299" s="18" t="n">
        <f aca="false">IFERROR(INDEX(SEMANAS!$I$6:$I$71,MATCH($B299,SEMANAS!$B$6:$B$71,0)),0)</f>
        <v>37.24</v>
      </c>
      <c r="V299" s="18" t="n">
        <f aca="false">IFERROR(INDEX(SEMANAS!$J$6:$J$71,MATCH($B299,SEMANAS!$B$6:$B$71,0)),0)</f>
        <v>29.792</v>
      </c>
      <c r="W299" s="18" t="n">
        <f aca="false">MAX(0,$T299-$V299)</f>
        <v>0</v>
      </c>
      <c r="X299" s="19" t="n">
        <f aca="false">IFERROR(INDEX(CADASTRO_PIVOS!$K$6:$K$41,MATCH($E299,CADASTRO_PIVOS!$B$6:$B$41,0)),EFICIENCIA_PADRAO)</f>
        <v>0.85</v>
      </c>
      <c r="Y299" s="18" t="n">
        <f aca="false">IF($X299&lt;=0,0,$W299/$X299)</f>
        <v>0</v>
      </c>
      <c r="Z299" s="16" t="n">
        <f aca="false">$Y299*$H299*MM_PARA_M3_HA</f>
        <v>0</v>
      </c>
      <c r="AA299" s="18" t="n">
        <f aca="false">IFERROR(INDEX(CADASTRO_PIVOS!$I$6:$I$41,MATCH($E299,CADASTRO_PIVOS!$B$6:$B$41,0)),0)</f>
        <v>711.285714285714</v>
      </c>
      <c r="AB299" s="18" t="n">
        <f aca="false">IF($Z299&lt;=0,0,$Z299/$AA299)</f>
        <v>0</v>
      </c>
      <c r="AC299" s="16" t="n">
        <f aca="false">IFERROR(INDEX(SEMANAS!$K$6:$K$71,MATCH($B299,SEMANAS!$B$6:$B$71,0)),0)</f>
        <v>147</v>
      </c>
      <c r="AD299" s="19" t="n">
        <f aca="false">IF($AC299&lt;=0,0,$AB299/$AC299)</f>
        <v>0</v>
      </c>
      <c r="AE299" s="8" t="str">
        <f aca="false">IF($K299="SEM CULTURA","SEM CULTURA",IF($AA299&lt;=0,"DADO PENDENTE",IF($AD299&gt;LIMITE_CRITICO,"INVIAVEL",IF($AD299&gt;LIMITE_ATENCAO,"CRITICO",IF($AD299&gt;LIMITE_CONFORTAVEL,"ATENCAO","OK")))))</f>
        <v>OK</v>
      </c>
      <c r="AF299" s="8" t="str">
        <f aca="false">$B299&amp;"|"&amp;TEXT($AD299,"0.000000")</f>
        <v>30|0.000000</v>
      </c>
      <c r="AG299" s="18" t="n">
        <f aca="false">IF($K299="SEM CULTURA",0,$T299*$H299)</f>
        <v>2020.33285641026</v>
      </c>
      <c r="AH299" s="18" t="n">
        <f aca="false">IF($K299="SEM CULTURA",0,$V299*$H299)</f>
        <v>2966.68736</v>
      </c>
      <c r="AI299" s="18" t="n">
        <f aca="false">IF($K299="SEM CULTURA",0,$W299*$H299)</f>
        <v>0</v>
      </c>
      <c r="AJ299" s="18" t="n">
        <f aca="false">IF($K299="SEM CULTURA",0,$S299*$H299)</f>
        <v>3206.476</v>
      </c>
      <c r="AK299" s="8" t="str">
        <f aca="false">$E299&amp;"|"&amp;TEXT($AD299,"0.000000")</f>
        <v>PV 107|0.000000</v>
      </c>
    </row>
    <row r="300" customFormat="false" ht="15" hidden="false" customHeight="false" outlineLevel="0" collapsed="false">
      <c r="B300" s="16" t="n">
        <v>31</v>
      </c>
      <c r="C300" s="17" t="n">
        <f aca="false">DATA_INICIO_SAFRA+($B300-1)*DIAS_POR_SEMANA</f>
        <v>46475</v>
      </c>
      <c r="D300" s="17" t="n">
        <f aca="false">$C300+DIAS_POR_SEMANA-1</f>
        <v>46481</v>
      </c>
      <c r="E300" s="15" t="s">
        <v>263</v>
      </c>
      <c r="F300" s="8" t="str">
        <f aca="false">IFERROR(INDEX(CADASTRO_PIVOS!$C$6:$C$41,MATCH($E300,CADASTRO_PIVOS!$B$6:$B$41,0)),"?")</f>
        <v>RM03</v>
      </c>
      <c r="G300" s="8" t="str">
        <f aca="false">IFERROR(INDEX(CADASTRO_PIVOS!$D$6:$D$41,MATCH($E300,CADASTRO_PIVOS!$B$6:$B$41,0)),"?")</f>
        <v>TR03</v>
      </c>
      <c r="H300" s="20" t="n">
        <f aca="false">IFERROR(INDEX(CADASTRO_PIVOS!$E$6:$E$41,MATCH($E300,CADASTRO_PIVOS!$B$6:$B$41,0)),0)</f>
        <v>99.58</v>
      </c>
      <c r="I300" s="16" t="n">
        <f aca="false">IFERROR(SUMIFS(ROTACAO_RDM!$B$6:$B$71,ROTACAO_RDM!$D$6:$D$71,$E300,ROTACAO_RDM!$I$6:$I$71,"&lt;="&amp;$C300+INT(DIAS_POR_SEMANA/2),ROTACAO_RDM!$J$6:$J$71,"&gt;="&amp;$C300+INT(DIAS_POR_SEMANA/2)),0)</f>
        <v>13</v>
      </c>
      <c r="J300" s="16" t="n">
        <f aca="false">IFERROR(MATCH($I300,ROTACAO_RDM!$B$6:$B$71,0),0)</f>
        <v>13</v>
      </c>
      <c r="K300" s="8" t="str">
        <f aca="false">IF($J300=0,"SEM CULTURA",INDEX(ROTACAO_RDM!$F$6:$F$71,$J300))</f>
        <v>ALGODAO</v>
      </c>
      <c r="L300" s="8" t="str">
        <f aca="false">IF($J300=0,"",INDEX(ROTACAO_RDM!$G$6:$G$71,$J300))</f>
        <v>FM 933 STP</v>
      </c>
      <c r="M300" s="17" t="n">
        <f aca="false">IF($J300=0,"",INDEX(ROTACAO_RDM!$I$6:$I$71,$J300))</f>
        <v>46424</v>
      </c>
      <c r="N300" s="16" t="n">
        <f aca="false">IF($J300=0,0,MAX(0,$C300+INT(DIAS_POR_SEMANA/2)-INDEX(ROTACAO_RDM!$I$6:$I$71,$J300)))</f>
        <v>54</v>
      </c>
      <c r="O300" s="19" t="n">
        <f aca="false">IF($J300=0,0,MIN(1,$N300/MAX(1,INDEX(ROTACAO_RDM!$K$6:$K$71,$J300))))</f>
        <v>0.276923076923077</v>
      </c>
      <c r="P300" s="16" t="n">
        <f aca="false">IF($J300=0,0,IFERROR(MATCH(INDEX(ROTACAO_RDM!$N$6:$N$71,$J300),PARAMETROS_CULTURAS!$B$6:$B$28,0),0))</f>
        <v>5</v>
      </c>
      <c r="Q300" s="8" t="str">
        <f aca="false">IF($P300=0,"-",IF($O300&lt;=INDEX(PARAMETROS_CULTURAS!$F$6:$F$28,$P300),"INICIAL",IF($O300&lt;=INDEX(PARAMETROS_CULTURAS!$F$6:$F$28,$P300)+INDEX(PARAMETROS_CULTURAS!$G$6:$G$28,$P300),"DESENVOLVIMENTO",IF($O300&lt;=INDEX(PARAMETROS_CULTURAS!$F$6:$F$28,$P300)+INDEX(PARAMETROS_CULTURAS!$G$6:$G$28,$P300)+INDEX(PARAMETROS_CULTURAS!$H$6:$H$28,$P300),"MEDIA","FINAL"))))</f>
        <v>DESENVOLVIMENTO</v>
      </c>
      <c r="R300" s="24" t="n">
        <f aca="false">IF($P300=0,0,IF($O300&lt;=INDEX(PARAMETROS_CULTURAS!$F$6:$F$28,$P300),INDEX(PARAMETROS_CULTURAS!$K$6:$K$28,$P300),IF($O300&lt;=INDEX(PARAMETROS_CULTURAS!$F$6:$F$28,$P300)+INDEX(PARAMETROS_CULTURAS!$G$6:$G$28,$P300),INDEX(PARAMETROS_CULTURAS!$K$6:$K$28,$P300)+(INDEX(PARAMETROS_CULTURAS!$L$6:$L$28,$P300)-INDEX(PARAMETROS_CULTURAS!$K$6:$K$28,$P300))*($O300-INDEX(PARAMETROS_CULTURAS!$F$6:$F$28,$P300))/MAX(INDEX(PARAMETROS_CULTURAS!$G$6:$G$28,$P300),0.0001),IF($O300&lt;=INDEX(PARAMETROS_CULTURAS!$F$6:$F$28,$P300)+INDEX(PARAMETROS_CULTURAS!$G$6:$G$28,$P300)+INDEX(PARAMETROS_CULTURAS!$H$6:$H$28,$P300),INDEX(PARAMETROS_CULTURAS!$L$6:$L$28,$P300),INDEX(PARAMETROS_CULTURAS!$L$6:$L$28,$P300)+(INDEX(PARAMETROS_CULTURAS!$M$6:$M$28,$P300)-INDEX(PARAMETROS_CULTURAS!$L$6:$L$28,$P300))*($O300-INDEX(PARAMETROS_CULTURAS!$F$6:$F$28,$P300)-INDEX(PARAMETROS_CULTURAS!$G$6:$G$28,$P300)-INDEX(PARAMETROS_CULTURAS!$H$6:$H$28,$P300))/MAX(INDEX(PARAMETROS_CULTURAS!$I$6:$I$28,$P300),0.0001)))))</f>
        <v>0.740532544378698</v>
      </c>
      <c r="S300" s="18" t="n">
        <f aca="false">IFERROR(INDEX(SEMANAS!$H$6:$H$71,MATCH($B300,SEMANAS!$B$6:$B$71,0)),0)</f>
        <v>31.8</v>
      </c>
      <c r="T300" s="18" t="n">
        <f aca="false">$R300*$S300</f>
        <v>23.5489349112426</v>
      </c>
      <c r="U300" s="18" t="n">
        <f aca="false">IFERROR(INDEX(SEMANAS!$I$6:$I$71,MATCH($B300,SEMANAS!$B$6:$B$71,0)),0)</f>
        <v>25.28</v>
      </c>
      <c r="V300" s="18" t="n">
        <f aca="false">IFERROR(INDEX(SEMANAS!$J$6:$J$71,MATCH($B300,SEMANAS!$B$6:$B$71,0)),0)</f>
        <v>20.224</v>
      </c>
      <c r="W300" s="18" t="n">
        <f aca="false">MAX(0,$T300-$V300)</f>
        <v>3.3249349112426</v>
      </c>
      <c r="X300" s="19" t="n">
        <f aca="false">IFERROR(INDEX(CADASTRO_PIVOS!$K$6:$K$41,MATCH($E300,CADASTRO_PIVOS!$B$6:$B$41,0)),EFICIENCIA_PADRAO)</f>
        <v>0.85</v>
      </c>
      <c r="Y300" s="18" t="n">
        <f aca="false">IF($X300&lt;=0,0,$W300/$X300)</f>
        <v>3.91168813087365</v>
      </c>
      <c r="Z300" s="16" t="n">
        <f aca="false">$Y300*$H300*MM_PARA_M3_HA</f>
        <v>3895.25904072398</v>
      </c>
      <c r="AA300" s="18" t="n">
        <f aca="false">IFERROR(INDEX(CADASTRO_PIVOS!$I$6:$I$41,MATCH($E300,CADASTRO_PIVOS!$B$6:$B$41,0)),0)</f>
        <v>711.285714285714</v>
      </c>
      <c r="AB300" s="18" t="n">
        <f aca="false">IF($Z300&lt;=0,0,$Z300/$AA300)</f>
        <v>5.47636338322311</v>
      </c>
      <c r="AC300" s="16" t="n">
        <f aca="false">IFERROR(INDEX(SEMANAS!$K$6:$K$71,MATCH($B300,SEMANAS!$B$6:$B$71,0)),0)</f>
        <v>147</v>
      </c>
      <c r="AD300" s="19" t="n">
        <f aca="false">IF($AC300&lt;=0,0,$AB300/$AC300)</f>
        <v>0.0372541726749872</v>
      </c>
      <c r="AE300" s="8" t="str">
        <f aca="false">IF($K300="SEM CULTURA","SEM CULTURA",IF($AA300&lt;=0,"DADO PENDENTE",IF($AD300&gt;LIMITE_CRITICO,"INVIAVEL",IF($AD300&gt;LIMITE_ATENCAO,"CRITICO",IF($AD300&gt;LIMITE_CONFORTAVEL,"ATENCAO","OK")))))</f>
        <v>OK</v>
      </c>
      <c r="AF300" s="8" t="str">
        <f aca="false">$B300&amp;"|"&amp;TEXT($AD300,"0.000000")</f>
        <v>31|0.037254</v>
      </c>
      <c r="AG300" s="18" t="n">
        <f aca="false">IF($K300="SEM CULTURA",0,$T300*$H300)</f>
        <v>2345.00293846154</v>
      </c>
      <c r="AH300" s="18" t="n">
        <f aca="false">IF($K300="SEM CULTURA",0,$V300*$H300)</f>
        <v>2013.90592</v>
      </c>
      <c r="AI300" s="18" t="n">
        <f aca="false">IF($K300="SEM CULTURA",0,$W300*$H300)</f>
        <v>331.097018461539</v>
      </c>
      <c r="AJ300" s="18" t="n">
        <f aca="false">IF($K300="SEM CULTURA",0,$S300*$H300)</f>
        <v>3166.644</v>
      </c>
      <c r="AK300" s="8" t="str">
        <f aca="false">$E300&amp;"|"&amp;TEXT($AD300,"0.000000")</f>
        <v>PV 107|0.037254</v>
      </c>
    </row>
    <row r="301" customFormat="false" ht="15" hidden="false" customHeight="false" outlineLevel="0" collapsed="false">
      <c r="B301" s="16" t="n">
        <v>32</v>
      </c>
      <c r="C301" s="17" t="n">
        <f aca="false">DATA_INICIO_SAFRA+($B301-1)*DIAS_POR_SEMANA</f>
        <v>46482</v>
      </c>
      <c r="D301" s="17" t="n">
        <f aca="false">$C301+DIAS_POR_SEMANA-1</f>
        <v>46488</v>
      </c>
      <c r="E301" s="15" t="s">
        <v>263</v>
      </c>
      <c r="F301" s="8" t="str">
        <f aca="false">IFERROR(INDEX(CADASTRO_PIVOS!$C$6:$C$41,MATCH($E301,CADASTRO_PIVOS!$B$6:$B$41,0)),"?")</f>
        <v>RM03</v>
      </c>
      <c r="G301" s="8" t="str">
        <f aca="false">IFERROR(INDEX(CADASTRO_PIVOS!$D$6:$D$41,MATCH($E301,CADASTRO_PIVOS!$B$6:$B$41,0)),"?")</f>
        <v>TR03</v>
      </c>
      <c r="H301" s="20" t="n">
        <f aca="false">IFERROR(INDEX(CADASTRO_PIVOS!$E$6:$E$41,MATCH($E301,CADASTRO_PIVOS!$B$6:$B$41,0)),0)</f>
        <v>99.58</v>
      </c>
      <c r="I301" s="16" t="n">
        <f aca="false">IFERROR(SUMIFS(ROTACAO_RDM!$B$6:$B$71,ROTACAO_RDM!$D$6:$D$71,$E301,ROTACAO_RDM!$I$6:$I$71,"&lt;="&amp;$C301+INT(DIAS_POR_SEMANA/2),ROTACAO_RDM!$J$6:$J$71,"&gt;="&amp;$C301+INT(DIAS_POR_SEMANA/2)),0)</f>
        <v>13</v>
      </c>
      <c r="J301" s="16" t="n">
        <f aca="false">IFERROR(MATCH($I301,ROTACAO_RDM!$B$6:$B$71,0),0)</f>
        <v>13</v>
      </c>
      <c r="K301" s="8" t="str">
        <f aca="false">IF($J301=0,"SEM CULTURA",INDEX(ROTACAO_RDM!$F$6:$F$71,$J301))</f>
        <v>ALGODAO</v>
      </c>
      <c r="L301" s="8" t="str">
        <f aca="false">IF($J301=0,"",INDEX(ROTACAO_RDM!$G$6:$G$71,$J301))</f>
        <v>FM 933 STP</v>
      </c>
      <c r="M301" s="17" t="n">
        <f aca="false">IF($J301=0,"",INDEX(ROTACAO_RDM!$I$6:$I$71,$J301))</f>
        <v>46424</v>
      </c>
      <c r="N301" s="16" t="n">
        <f aca="false">IF($J301=0,0,MAX(0,$C301+INT(DIAS_POR_SEMANA/2)-INDEX(ROTACAO_RDM!$I$6:$I$71,$J301)))</f>
        <v>61</v>
      </c>
      <c r="O301" s="19" t="n">
        <f aca="false">IF($J301=0,0,MIN(1,$N301/MAX(1,INDEX(ROTACAO_RDM!$K$6:$K$71,$J301))))</f>
        <v>0.312820512820513</v>
      </c>
      <c r="P301" s="16" t="n">
        <f aca="false">IF($J301=0,0,IFERROR(MATCH(INDEX(ROTACAO_RDM!$N$6:$N$71,$J301),PARAMETROS_CULTURAS!$B$6:$B$28,0),0))</f>
        <v>5</v>
      </c>
      <c r="Q301" s="8" t="str">
        <f aca="false">IF($P301=0,"-",IF($O301&lt;=INDEX(PARAMETROS_CULTURAS!$F$6:$F$28,$P301),"INICIAL",IF($O301&lt;=INDEX(PARAMETROS_CULTURAS!$F$6:$F$28,$P301)+INDEX(PARAMETROS_CULTURAS!$G$6:$G$28,$P301),"DESENVOLVIMENTO",IF($O301&lt;=INDEX(PARAMETROS_CULTURAS!$F$6:$F$28,$P301)+INDEX(PARAMETROS_CULTURAS!$G$6:$G$28,$P301)+INDEX(PARAMETROS_CULTURAS!$H$6:$H$28,$P301),"MEDIA","FINAL"))))</f>
        <v>DESENVOLVIMENTO</v>
      </c>
      <c r="R301" s="24" t="n">
        <f aca="false">IF($P301=0,0,IF($O301&lt;=INDEX(PARAMETROS_CULTURAS!$F$6:$F$28,$P301),INDEX(PARAMETROS_CULTURAS!$K$6:$K$28,$P301),IF($O301&lt;=INDEX(PARAMETROS_CULTURAS!$F$6:$F$28,$P301)+INDEX(PARAMETROS_CULTURAS!$G$6:$G$28,$P301),INDEX(PARAMETROS_CULTURAS!$K$6:$K$28,$P301)+(INDEX(PARAMETROS_CULTURAS!$L$6:$L$28,$P301)-INDEX(PARAMETROS_CULTURAS!$K$6:$K$28,$P301))*($O301-INDEX(PARAMETROS_CULTURAS!$F$6:$F$28,$P301))/MAX(INDEX(PARAMETROS_CULTURAS!$G$6:$G$28,$P301),0.0001),IF($O301&lt;=INDEX(PARAMETROS_CULTURAS!$F$6:$F$28,$P301)+INDEX(PARAMETROS_CULTURAS!$G$6:$G$28,$P301)+INDEX(PARAMETROS_CULTURAS!$H$6:$H$28,$P301),INDEX(PARAMETROS_CULTURAS!$L$6:$L$28,$P301),INDEX(PARAMETROS_CULTURAS!$L$6:$L$28,$P301)+(INDEX(PARAMETROS_CULTURAS!$M$6:$M$28,$P301)-INDEX(PARAMETROS_CULTURAS!$L$6:$L$28,$P301))*($O301-INDEX(PARAMETROS_CULTURAS!$F$6:$F$28,$P301)-INDEX(PARAMETROS_CULTURAS!$G$6:$G$28,$P301)-INDEX(PARAMETROS_CULTURAS!$H$6:$H$28,$P301))/MAX(INDEX(PARAMETROS_CULTURAS!$I$6:$I$28,$P301),0.0001)))))</f>
        <v>0.850986193293886</v>
      </c>
      <c r="S301" s="18" t="n">
        <f aca="false">IFERROR(INDEX(SEMANAS!$H$6:$H$71,MATCH($B301,SEMANAS!$B$6:$B$71,0)),0)</f>
        <v>31.5</v>
      </c>
      <c r="T301" s="18" t="n">
        <f aca="false">$R301*$S301</f>
        <v>26.8060650887574</v>
      </c>
      <c r="U301" s="18" t="n">
        <f aca="false">IFERROR(INDEX(SEMANAS!$I$6:$I$71,MATCH($B301,SEMANAS!$B$6:$B$71,0)),0)</f>
        <v>16.31</v>
      </c>
      <c r="V301" s="18" t="n">
        <f aca="false">IFERROR(INDEX(SEMANAS!$J$6:$J$71,MATCH($B301,SEMANAS!$B$6:$B$71,0)),0)</f>
        <v>13.048</v>
      </c>
      <c r="W301" s="18" t="n">
        <f aca="false">MAX(0,$T301-$V301)</f>
        <v>13.7580650887574</v>
      </c>
      <c r="X301" s="19" t="n">
        <f aca="false">IFERROR(INDEX(CADASTRO_PIVOS!$K$6:$K$41,MATCH($E301,CADASTRO_PIVOS!$B$6:$B$41,0)),EFICIENCIA_PADRAO)</f>
        <v>0.85</v>
      </c>
      <c r="Y301" s="18" t="n">
        <f aca="false">IF($X301&lt;=0,0,$W301/$X301)</f>
        <v>16.1859589279499</v>
      </c>
      <c r="Z301" s="16" t="n">
        <f aca="false">$Y301*$H301*MM_PARA_M3_HA</f>
        <v>16117.9779004525</v>
      </c>
      <c r="AA301" s="18" t="n">
        <f aca="false">IFERROR(INDEX(CADASTRO_PIVOS!$I$6:$I$41,MATCH($E301,CADASTRO_PIVOS!$B$6:$B$41,0)),0)</f>
        <v>711.285714285714</v>
      </c>
      <c r="AB301" s="18" t="n">
        <f aca="false">IF($Z301&lt;=0,0,$Z301/$AA301)</f>
        <v>22.6603424991298</v>
      </c>
      <c r="AC301" s="16" t="n">
        <f aca="false">IFERROR(INDEX(SEMANAS!$K$6:$K$71,MATCH($B301,SEMANAS!$B$6:$B$71,0)),0)</f>
        <v>147</v>
      </c>
      <c r="AD301" s="19" t="n">
        <f aca="false">IF($AC301&lt;=0,0,$AB301/$AC301)</f>
        <v>0.154151989789999</v>
      </c>
      <c r="AE301" s="8" t="str">
        <f aca="false">IF($K301="SEM CULTURA","SEM CULTURA",IF($AA301&lt;=0,"DADO PENDENTE",IF($AD301&gt;LIMITE_CRITICO,"INVIAVEL",IF($AD301&gt;LIMITE_ATENCAO,"CRITICO",IF($AD301&gt;LIMITE_CONFORTAVEL,"ATENCAO","OK")))))</f>
        <v>OK</v>
      </c>
      <c r="AF301" s="8" t="str">
        <f aca="false">$B301&amp;"|"&amp;TEXT($AD301,"0.000000")</f>
        <v>32|0.154152</v>
      </c>
      <c r="AG301" s="18" t="n">
        <f aca="false">IF($K301="SEM CULTURA",0,$T301*$H301)</f>
        <v>2669.34796153846</v>
      </c>
      <c r="AH301" s="18" t="n">
        <f aca="false">IF($K301="SEM CULTURA",0,$V301*$H301)</f>
        <v>1299.31984</v>
      </c>
      <c r="AI301" s="18" t="n">
        <f aca="false">IF($K301="SEM CULTURA",0,$W301*$H301)</f>
        <v>1370.02812153846</v>
      </c>
      <c r="AJ301" s="18" t="n">
        <f aca="false">IF($K301="SEM CULTURA",0,$S301*$H301)</f>
        <v>3136.77</v>
      </c>
      <c r="AK301" s="8" t="str">
        <f aca="false">$E301&amp;"|"&amp;TEXT($AD301,"0.000000")</f>
        <v>PV 107|0.154152</v>
      </c>
    </row>
    <row r="302" customFormat="false" ht="15" hidden="false" customHeight="false" outlineLevel="0" collapsed="false">
      <c r="B302" s="16" t="n">
        <v>33</v>
      </c>
      <c r="C302" s="17" t="n">
        <f aca="false">DATA_INICIO_SAFRA+($B302-1)*DIAS_POR_SEMANA</f>
        <v>46489</v>
      </c>
      <c r="D302" s="17" t="n">
        <f aca="false">$C302+DIAS_POR_SEMANA-1</f>
        <v>46495</v>
      </c>
      <c r="E302" s="15" t="s">
        <v>263</v>
      </c>
      <c r="F302" s="8" t="str">
        <f aca="false">IFERROR(INDEX(CADASTRO_PIVOS!$C$6:$C$41,MATCH($E302,CADASTRO_PIVOS!$B$6:$B$41,0)),"?")</f>
        <v>RM03</v>
      </c>
      <c r="G302" s="8" t="str">
        <f aca="false">IFERROR(INDEX(CADASTRO_PIVOS!$D$6:$D$41,MATCH($E302,CADASTRO_PIVOS!$B$6:$B$41,0)),"?")</f>
        <v>TR03</v>
      </c>
      <c r="H302" s="20" t="n">
        <f aca="false">IFERROR(INDEX(CADASTRO_PIVOS!$E$6:$E$41,MATCH($E302,CADASTRO_PIVOS!$B$6:$B$41,0)),0)</f>
        <v>99.58</v>
      </c>
      <c r="I302" s="16" t="n">
        <f aca="false">IFERROR(SUMIFS(ROTACAO_RDM!$B$6:$B$71,ROTACAO_RDM!$D$6:$D$71,$E302,ROTACAO_RDM!$I$6:$I$71,"&lt;="&amp;$C302+INT(DIAS_POR_SEMANA/2),ROTACAO_RDM!$J$6:$J$71,"&gt;="&amp;$C302+INT(DIAS_POR_SEMANA/2)),0)</f>
        <v>13</v>
      </c>
      <c r="J302" s="16" t="n">
        <f aca="false">IFERROR(MATCH($I302,ROTACAO_RDM!$B$6:$B$71,0),0)</f>
        <v>13</v>
      </c>
      <c r="K302" s="8" t="str">
        <f aca="false">IF($J302=0,"SEM CULTURA",INDEX(ROTACAO_RDM!$F$6:$F$71,$J302))</f>
        <v>ALGODAO</v>
      </c>
      <c r="L302" s="8" t="str">
        <f aca="false">IF($J302=0,"",INDEX(ROTACAO_RDM!$G$6:$G$71,$J302))</f>
        <v>FM 933 STP</v>
      </c>
      <c r="M302" s="17" t="n">
        <f aca="false">IF($J302=0,"",INDEX(ROTACAO_RDM!$I$6:$I$71,$J302))</f>
        <v>46424</v>
      </c>
      <c r="N302" s="16" t="n">
        <f aca="false">IF($J302=0,0,MAX(0,$C302+INT(DIAS_POR_SEMANA/2)-INDEX(ROTACAO_RDM!$I$6:$I$71,$J302)))</f>
        <v>68</v>
      </c>
      <c r="O302" s="19" t="n">
        <f aca="false">IF($J302=0,0,MIN(1,$N302/MAX(1,INDEX(ROTACAO_RDM!$K$6:$K$71,$J302))))</f>
        <v>0.348717948717949</v>
      </c>
      <c r="P302" s="16" t="n">
        <f aca="false">IF($J302=0,0,IFERROR(MATCH(INDEX(ROTACAO_RDM!$N$6:$N$71,$J302),PARAMETROS_CULTURAS!$B$6:$B$28,0),0))</f>
        <v>5</v>
      </c>
      <c r="Q302" s="8" t="str">
        <f aca="false">IF($P302=0,"-",IF($O302&lt;=INDEX(PARAMETROS_CULTURAS!$F$6:$F$28,$P302),"INICIAL",IF($O302&lt;=INDEX(PARAMETROS_CULTURAS!$F$6:$F$28,$P302)+INDEX(PARAMETROS_CULTURAS!$G$6:$G$28,$P302),"DESENVOLVIMENTO",IF($O302&lt;=INDEX(PARAMETROS_CULTURAS!$F$6:$F$28,$P302)+INDEX(PARAMETROS_CULTURAS!$G$6:$G$28,$P302)+INDEX(PARAMETROS_CULTURAS!$H$6:$H$28,$P302),"MEDIA","FINAL"))))</f>
        <v>DESENVOLVIMENTO</v>
      </c>
      <c r="R302" s="24" t="n">
        <f aca="false">IF($P302=0,0,IF($O302&lt;=INDEX(PARAMETROS_CULTURAS!$F$6:$F$28,$P302),INDEX(PARAMETROS_CULTURAS!$K$6:$K$28,$P302),IF($O302&lt;=INDEX(PARAMETROS_CULTURAS!$F$6:$F$28,$P302)+INDEX(PARAMETROS_CULTURAS!$G$6:$G$28,$P302),INDEX(PARAMETROS_CULTURAS!$K$6:$K$28,$P302)+(INDEX(PARAMETROS_CULTURAS!$L$6:$L$28,$P302)-INDEX(PARAMETROS_CULTURAS!$K$6:$K$28,$P302))*($O302-INDEX(PARAMETROS_CULTURAS!$F$6:$F$28,$P302))/MAX(INDEX(PARAMETROS_CULTURAS!$G$6:$G$28,$P302),0.0001),IF($O302&lt;=INDEX(PARAMETROS_CULTURAS!$F$6:$F$28,$P302)+INDEX(PARAMETROS_CULTURAS!$G$6:$G$28,$P302)+INDEX(PARAMETROS_CULTURAS!$H$6:$H$28,$P302),INDEX(PARAMETROS_CULTURAS!$L$6:$L$28,$P302),INDEX(PARAMETROS_CULTURAS!$L$6:$L$28,$P302)+(INDEX(PARAMETROS_CULTURAS!$M$6:$M$28,$P302)-INDEX(PARAMETROS_CULTURAS!$L$6:$L$28,$P302))*($O302-INDEX(PARAMETROS_CULTURAS!$F$6:$F$28,$P302)-INDEX(PARAMETROS_CULTURAS!$G$6:$G$28,$P302)-INDEX(PARAMETROS_CULTURAS!$H$6:$H$28,$P302))/MAX(INDEX(PARAMETROS_CULTURAS!$I$6:$I$28,$P302),0.0001)))))</f>
        <v>0.961439842209073</v>
      </c>
      <c r="S302" s="18" t="n">
        <f aca="false">IFERROR(INDEX(SEMANAS!$H$6:$H$71,MATCH($B302,SEMANAS!$B$6:$B$71,0)),0)</f>
        <v>31.5</v>
      </c>
      <c r="T302" s="18" t="n">
        <f aca="false">$R302*$S302</f>
        <v>30.2853550295858</v>
      </c>
      <c r="U302" s="18" t="n">
        <f aca="false">IFERROR(INDEX(SEMANAS!$I$6:$I$71,MATCH($B302,SEMANAS!$B$6:$B$71,0)),0)</f>
        <v>16.31</v>
      </c>
      <c r="V302" s="18" t="n">
        <f aca="false">IFERROR(INDEX(SEMANAS!$J$6:$J$71,MATCH($B302,SEMANAS!$B$6:$B$71,0)),0)</f>
        <v>13.048</v>
      </c>
      <c r="W302" s="18" t="n">
        <f aca="false">MAX(0,$T302-$V302)</f>
        <v>17.2373550295858</v>
      </c>
      <c r="X302" s="19" t="n">
        <f aca="false">IFERROR(INDEX(CADASTRO_PIVOS!$K$6:$K$41,MATCH($E302,CADASTRO_PIVOS!$B$6:$B$41,0)),EFICIENCIA_PADRAO)</f>
        <v>0.85</v>
      </c>
      <c r="Y302" s="18" t="n">
        <f aca="false">IF($X302&lt;=0,0,$W302/$X302)</f>
        <v>20.2792412112774</v>
      </c>
      <c r="Z302" s="16" t="n">
        <f aca="false">$Y302*$H302*MM_PARA_M3_HA</f>
        <v>20194.06839819</v>
      </c>
      <c r="AA302" s="18" t="n">
        <f aca="false">IFERROR(INDEX(CADASTRO_PIVOS!$I$6:$I$41,MATCH($E302,CADASTRO_PIVOS!$B$6:$B$41,0)),0)</f>
        <v>711.285714285714</v>
      </c>
      <c r="AB302" s="18" t="n">
        <f aca="false">IF($Z302&lt;=0,0,$Z302/$AA302)</f>
        <v>28.3909376957884</v>
      </c>
      <c r="AC302" s="16" t="n">
        <f aca="false">IFERROR(INDEX(SEMANAS!$K$6:$K$71,MATCH($B302,SEMANAS!$B$6:$B$71,0)),0)</f>
        <v>147</v>
      </c>
      <c r="AD302" s="19" t="n">
        <f aca="false">IF($AC302&lt;=0,0,$AB302/$AC302)</f>
        <v>0.193135630583594</v>
      </c>
      <c r="AE302" s="8" t="str">
        <f aca="false">IF($K302="SEM CULTURA","SEM CULTURA",IF($AA302&lt;=0,"DADO PENDENTE",IF($AD302&gt;LIMITE_CRITICO,"INVIAVEL",IF($AD302&gt;LIMITE_ATENCAO,"CRITICO",IF($AD302&gt;LIMITE_CONFORTAVEL,"ATENCAO","OK")))))</f>
        <v>OK</v>
      </c>
      <c r="AF302" s="8" t="str">
        <f aca="false">$B302&amp;"|"&amp;TEXT($AD302,"0.000000")</f>
        <v>33|0.193136</v>
      </c>
      <c r="AG302" s="18" t="n">
        <f aca="false">IF($K302="SEM CULTURA",0,$T302*$H302)</f>
        <v>3015.81565384615</v>
      </c>
      <c r="AH302" s="18" t="n">
        <f aca="false">IF($K302="SEM CULTURA",0,$V302*$H302)</f>
        <v>1299.31984</v>
      </c>
      <c r="AI302" s="18" t="n">
        <f aca="false">IF($K302="SEM CULTURA",0,$W302*$H302)</f>
        <v>1716.49581384615</v>
      </c>
      <c r="AJ302" s="18" t="n">
        <f aca="false">IF($K302="SEM CULTURA",0,$S302*$H302)</f>
        <v>3136.77</v>
      </c>
      <c r="AK302" s="8" t="str">
        <f aca="false">$E302&amp;"|"&amp;TEXT($AD302,"0.000000")</f>
        <v>PV 107|0.193136</v>
      </c>
    </row>
    <row r="303" customFormat="false" ht="15" hidden="false" customHeight="false" outlineLevel="0" collapsed="false">
      <c r="B303" s="16" t="n">
        <v>34</v>
      </c>
      <c r="C303" s="17" t="n">
        <f aca="false">DATA_INICIO_SAFRA+($B303-1)*DIAS_POR_SEMANA</f>
        <v>46496</v>
      </c>
      <c r="D303" s="17" t="n">
        <f aca="false">$C303+DIAS_POR_SEMANA-1</f>
        <v>46502</v>
      </c>
      <c r="E303" s="15" t="s">
        <v>263</v>
      </c>
      <c r="F303" s="8" t="str">
        <f aca="false">IFERROR(INDEX(CADASTRO_PIVOS!$C$6:$C$41,MATCH($E303,CADASTRO_PIVOS!$B$6:$B$41,0)),"?")</f>
        <v>RM03</v>
      </c>
      <c r="G303" s="8" t="str">
        <f aca="false">IFERROR(INDEX(CADASTRO_PIVOS!$D$6:$D$41,MATCH($E303,CADASTRO_PIVOS!$B$6:$B$41,0)),"?")</f>
        <v>TR03</v>
      </c>
      <c r="H303" s="20" t="n">
        <f aca="false">IFERROR(INDEX(CADASTRO_PIVOS!$E$6:$E$41,MATCH($E303,CADASTRO_PIVOS!$B$6:$B$41,0)),0)</f>
        <v>99.58</v>
      </c>
      <c r="I303" s="16" t="n">
        <f aca="false">IFERROR(SUMIFS(ROTACAO_RDM!$B$6:$B$71,ROTACAO_RDM!$D$6:$D$71,$E303,ROTACAO_RDM!$I$6:$I$71,"&lt;="&amp;$C303+INT(DIAS_POR_SEMANA/2),ROTACAO_RDM!$J$6:$J$71,"&gt;="&amp;$C303+INT(DIAS_POR_SEMANA/2)),0)</f>
        <v>13</v>
      </c>
      <c r="J303" s="16" t="n">
        <f aca="false">IFERROR(MATCH($I303,ROTACAO_RDM!$B$6:$B$71,0),0)</f>
        <v>13</v>
      </c>
      <c r="K303" s="8" t="str">
        <f aca="false">IF($J303=0,"SEM CULTURA",INDEX(ROTACAO_RDM!$F$6:$F$71,$J303))</f>
        <v>ALGODAO</v>
      </c>
      <c r="L303" s="8" t="str">
        <f aca="false">IF($J303=0,"",INDEX(ROTACAO_RDM!$G$6:$G$71,$J303))</f>
        <v>FM 933 STP</v>
      </c>
      <c r="M303" s="17" t="n">
        <f aca="false">IF($J303=0,"",INDEX(ROTACAO_RDM!$I$6:$I$71,$J303))</f>
        <v>46424</v>
      </c>
      <c r="N303" s="16" t="n">
        <f aca="false">IF($J303=0,0,MAX(0,$C303+INT(DIAS_POR_SEMANA/2)-INDEX(ROTACAO_RDM!$I$6:$I$71,$J303)))</f>
        <v>75</v>
      </c>
      <c r="O303" s="19" t="n">
        <f aca="false">IF($J303=0,0,MIN(1,$N303/MAX(1,INDEX(ROTACAO_RDM!$K$6:$K$71,$J303))))</f>
        <v>0.384615384615385</v>
      </c>
      <c r="P303" s="16" t="n">
        <f aca="false">IF($J303=0,0,IFERROR(MATCH(INDEX(ROTACAO_RDM!$N$6:$N$71,$J303),PARAMETROS_CULTURAS!$B$6:$B$28,0),0))</f>
        <v>5</v>
      </c>
      <c r="Q303" s="8" t="str">
        <f aca="false">IF($P303=0,"-",IF($O303&lt;=INDEX(PARAMETROS_CULTURAS!$F$6:$F$28,$P303),"INICIAL",IF($O303&lt;=INDEX(PARAMETROS_CULTURAS!$F$6:$F$28,$P303)+INDEX(PARAMETROS_CULTURAS!$G$6:$G$28,$P303),"DESENVOLVIMENTO",IF($O303&lt;=INDEX(PARAMETROS_CULTURAS!$F$6:$F$28,$P303)+INDEX(PARAMETROS_CULTURAS!$G$6:$G$28,$P303)+INDEX(PARAMETROS_CULTURAS!$H$6:$H$28,$P303),"MEDIA","FINAL"))))</f>
        <v>DESENVOLVIMENTO</v>
      </c>
      <c r="R303" s="24" t="n">
        <f aca="false">IF($P303=0,0,IF($O303&lt;=INDEX(PARAMETROS_CULTURAS!$F$6:$F$28,$P303),INDEX(PARAMETROS_CULTURAS!$K$6:$K$28,$P303),IF($O303&lt;=INDEX(PARAMETROS_CULTURAS!$F$6:$F$28,$P303)+INDEX(PARAMETROS_CULTURAS!$G$6:$G$28,$P303),INDEX(PARAMETROS_CULTURAS!$K$6:$K$28,$P303)+(INDEX(PARAMETROS_CULTURAS!$L$6:$L$28,$P303)-INDEX(PARAMETROS_CULTURAS!$K$6:$K$28,$P303))*($O303-INDEX(PARAMETROS_CULTURAS!$F$6:$F$28,$P303))/MAX(INDEX(PARAMETROS_CULTURAS!$G$6:$G$28,$P303),0.0001),IF($O303&lt;=INDEX(PARAMETROS_CULTURAS!$F$6:$F$28,$P303)+INDEX(PARAMETROS_CULTURAS!$G$6:$G$28,$P303)+INDEX(PARAMETROS_CULTURAS!$H$6:$H$28,$P303),INDEX(PARAMETROS_CULTURAS!$L$6:$L$28,$P303),INDEX(PARAMETROS_CULTURAS!$L$6:$L$28,$P303)+(INDEX(PARAMETROS_CULTURAS!$M$6:$M$28,$P303)-INDEX(PARAMETROS_CULTURAS!$L$6:$L$28,$P303))*($O303-INDEX(PARAMETROS_CULTURAS!$F$6:$F$28,$P303)-INDEX(PARAMETROS_CULTURAS!$G$6:$G$28,$P303)-INDEX(PARAMETROS_CULTURAS!$H$6:$H$28,$P303))/MAX(INDEX(PARAMETROS_CULTURAS!$I$6:$I$28,$P303),0.0001)))))</f>
        <v>1.07189349112426</v>
      </c>
      <c r="S303" s="18" t="n">
        <f aca="false">IFERROR(INDEX(SEMANAS!$H$6:$H$71,MATCH($B303,SEMANAS!$B$6:$B$71,0)),0)</f>
        <v>31.5</v>
      </c>
      <c r="T303" s="18" t="n">
        <f aca="false">$R303*$S303</f>
        <v>33.7646449704142</v>
      </c>
      <c r="U303" s="18" t="n">
        <f aca="false">IFERROR(INDEX(SEMANAS!$I$6:$I$71,MATCH($B303,SEMANAS!$B$6:$B$71,0)),0)</f>
        <v>16.31</v>
      </c>
      <c r="V303" s="18" t="n">
        <f aca="false">IFERROR(INDEX(SEMANAS!$J$6:$J$71,MATCH($B303,SEMANAS!$B$6:$B$71,0)),0)</f>
        <v>13.048</v>
      </c>
      <c r="W303" s="18" t="n">
        <f aca="false">MAX(0,$T303-$V303)</f>
        <v>20.7166449704142</v>
      </c>
      <c r="X303" s="19" t="n">
        <f aca="false">IFERROR(INDEX(CADASTRO_PIVOS!$K$6:$K$41,MATCH($E303,CADASTRO_PIVOS!$B$6:$B$41,0)),EFICIENCIA_PADRAO)</f>
        <v>0.85</v>
      </c>
      <c r="Y303" s="18" t="n">
        <f aca="false">IF($X303&lt;=0,0,$W303/$X303)</f>
        <v>24.3725234946049</v>
      </c>
      <c r="Z303" s="16" t="n">
        <f aca="false">$Y303*$H303*MM_PARA_M3_HA</f>
        <v>24270.1588959276</v>
      </c>
      <c r="AA303" s="18" t="n">
        <f aca="false">IFERROR(INDEX(CADASTRO_PIVOS!$I$6:$I$41,MATCH($E303,CADASTRO_PIVOS!$B$6:$B$41,0)),0)</f>
        <v>711.285714285714</v>
      </c>
      <c r="AB303" s="18" t="n">
        <f aca="false">IF($Z303&lt;=0,0,$Z303/$AA303)</f>
        <v>34.1215328924469</v>
      </c>
      <c r="AC303" s="16" t="n">
        <f aca="false">IFERROR(INDEX(SEMANAS!$K$6:$K$71,MATCH($B303,SEMANAS!$B$6:$B$71,0)),0)</f>
        <v>147</v>
      </c>
      <c r="AD303" s="19" t="n">
        <f aca="false">IF($AC303&lt;=0,0,$AB303/$AC303)</f>
        <v>0.23211927137719</v>
      </c>
      <c r="AE303" s="8" t="str">
        <f aca="false">IF($K303="SEM CULTURA","SEM CULTURA",IF($AA303&lt;=0,"DADO PENDENTE",IF($AD303&gt;LIMITE_CRITICO,"INVIAVEL",IF($AD303&gt;LIMITE_ATENCAO,"CRITICO",IF($AD303&gt;LIMITE_CONFORTAVEL,"ATENCAO","OK")))))</f>
        <v>OK</v>
      </c>
      <c r="AF303" s="8" t="str">
        <f aca="false">$B303&amp;"|"&amp;TEXT($AD303,"0.000000")</f>
        <v>34|0.232119</v>
      </c>
      <c r="AG303" s="18" t="n">
        <f aca="false">IF($K303="SEM CULTURA",0,$T303*$H303)</f>
        <v>3362.28334615385</v>
      </c>
      <c r="AH303" s="18" t="n">
        <f aca="false">IF($K303="SEM CULTURA",0,$V303*$H303)</f>
        <v>1299.31984</v>
      </c>
      <c r="AI303" s="18" t="n">
        <f aca="false">IF($K303="SEM CULTURA",0,$W303*$H303)</f>
        <v>2062.96350615385</v>
      </c>
      <c r="AJ303" s="18" t="n">
        <f aca="false">IF($K303="SEM CULTURA",0,$S303*$H303)</f>
        <v>3136.77</v>
      </c>
      <c r="AK303" s="8" t="str">
        <f aca="false">$E303&amp;"|"&amp;TEXT($AD303,"0.000000")</f>
        <v>PV 107|0.232119</v>
      </c>
    </row>
    <row r="304" customFormat="false" ht="15" hidden="false" customHeight="false" outlineLevel="0" collapsed="false">
      <c r="B304" s="16" t="n">
        <v>35</v>
      </c>
      <c r="C304" s="17" t="n">
        <f aca="false">DATA_INICIO_SAFRA+($B304-1)*DIAS_POR_SEMANA</f>
        <v>46503</v>
      </c>
      <c r="D304" s="17" t="n">
        <f aca="false">$C304+DIAS_POR_SEMANA-1</f>
        <v>46509</v>
      </c>
      <c r="E304" s="15" t="s">
        <v>263</v>
      </c>
      <c r="F304" s="8" t="str">
        <f aca="false">IFERROR(INDEX(CADASTRO_PIVOS!$C$6:$C$41,MATCH($E304,CADASTRO_PIVOS!$B$6:$B$41,0)),"?")</f>
        <v>RM03</v>
      </c>
      <c r="G304" s="8" t="str">
        <f aca="false">IFERROR(INDEX(CADASTRO_PIVOS!$D$6:$D$41,MATCH($E304,CADASTRO_PIVOS!$B$6:$B$41,0)),"?")</f>
        <v>TR03</v>
      </c>
      <c r="H304" s="20" t="n">
        <f aca="false">IFERROR(INDEX(CADASTRO_PIVOS!$E$6:$E$41,MATCH($E304,CADASTRO_PIVOS!$B$6:$B$41,0)),0)</f>
        <v>99.58</v>
      </c>
      <c r="I304" s="16" t="n">
        <f aca="false">IFERROR(SUMIFS(ROTACAO_RDM!$B$6:$B$71,ROTACAO_RDM!$D$6:$D$71,$E304,ROTACAO_RDM!$I$6:$I$71,"&lt;="&amp;$C304+INT(DIAS_POR_SEMANA/2),ROTACAO_RDM!$J$6:$J$71,"&gt;="&amp;$C304+INT(DIAS_POR_SEMANA/2)),0)</f>
        <v>13</v>
      </c>
      <c r="J304" s="16" t="n">
        <f aca="false">IFERROR(MATCH($I304,ROTACAO_RDM!$B$6:$B$71,0),0)</f>
        <v>13</v>
      </c>
      <c r="K304" s="8" t="str">
        <f aca="false">IF($J304=0,"SEM CULTURA",INDEX(ROTACAO_RDM!$F$6:$F$71,$J304))</f>
        <v>ALGODAO</v>
      </c>
      <c r="L304" s="8" t="str">
        <f aca="false">IF($J304=0,"",INDEX(ROTACAO_RDM!$G$6:$G$71,$J304))</f>
        <v>FM 933 STP</v>
      </c>
      <c r="M304" s="17" t="n">
        <f aca="false">IF($J304=0,"",INDEX(ROTACAO_RDM!$I$6:$I$71,$J304))</f>
        <v>46424</v>
      </c>
      <c r="N304" s="16" t="n">
        <f aca="false">IF($J304=0,0,MAX(0,$C304+INT(DIAS_POR_SEMANA/2)-INDEX(ROTACAO_RDM!$I$6:$I$71,$J304)))</f>
        <v>82</v>
      </c>
      <c r="O304" s="19" t="n">
        <f aca="false">IF($J304=0,0,MIN(1,$N304/MAX(1,INDEX(ROTACAO_RDM!$K$6:$K$71,$J304))))</f>
        <v>0.420512820512821</v>
      </c>
      <c r="P304" s="16" t="n">
        <f aca="false">IF($J304=0,0,IFERROR(MATCH(INDEX(ROTACAO_RDM!$N$6:$N$71,$J304),PARAMETROS_CULTURAS!$B$6:$B$28,0),0))</f>
        <v>5</v>
      </c>
      <c r="Q304" s="8" t="str">
        <f aca="false">IF($P304=0,"-",IF($O304&lt;=INDEX(PARAMETROS_CULTURAS!$F$6:$F$28,$P304),"INICIAL",IF($O304&lt;=INDEX(PARAMETROS_CULTURAS!$F$6:$F$28,$P304)+INDEX(PARAMETROS_CULTURAS!$G$6:$G$28,$P304),"DESENVOLVIMENTO",IF($O304&lt;=INDEX(PARAMETROS_CULTURAS!$F$6:$F$28,$P304)+INDEX(PARAMETROS_CULTURAS!$G$6:$G$28,$P304)+INDEX(PARAMETROS_CULTURAS!$H$6:$H$28,$P304),"MEDIA","FINAL"))))</f>
        <v>MEDIA</v>
      </c>
      <c r="R304" s="24" t="n">
        <f aca="false">IF($P304=0,0,IF($O304&lt;=INDEX(PARAMETROS_CULTURAS!$F$6:$F$28,$P304),INDEX(PARAMETROS_CULTURAS!$K$6:$K$28,$P304),IF($O304&lt;=INDEX(PARAMETROS_CULTURAS!$F$6:$F$28,$P304)+INDEX(PARAMETROS_CULTURAS!$G$6:$G$28,$P304),INDEX(PARAMETROS_CULTURAS!$K$6:$K$28,$P304)+(INDEX(PARAMETROS_CULTURAS!$L$6:$L$28,$P304)-INDEX(PARAMETROS_CULTURAS!$K$6:$K$28,$P304))*($O304-INDEX(PARAMETROS_CULTURAS!$F$6:$F$28,$P304))/MAX(INDEX(PARAMETROS_CULTURAS!$G$6:$G$28,$P304),0.0001),IF($O304&lt;=INDEX(PARAMETROS_CULTURAS!$F$6:$F$28,$P304)+INDEX(PARAMETROS_CULTURAS!$G$6:$G$28,$P304)+INDEX(PARAMETROS_CULTURAS!$H$6:$H$28,$P304),INDEX(PARAMETROS_CULTURAS!$L$6:$L$28,$P304),INDEX(PARAMETROS_CULTURAS!$L$6:$L$28,$P304)+(INDEX(PARAMETROS_CULTURAS!$M$6:$M$28,$P304)-INDEX(PARAMETROS_CULTURAS!$L$6:$L$28,$P304))*($O304-INDEX(PARAMETROS_CULTURAS!$F$6:$F$28,$P304)-INDEX(PARAMETROS_CULTURAS!$G$6:$G$28,$P304)-INDEX(PARAMETROS_CULTURAS!$H$6:$H$28,$P304))/MAX(INDEX(PARAMETROS_CULTURAS!$I$6:$I$28,$P304),0.0001)))))</f>
        <v>1.15</v>
      </c>
      <c r="S304" s="18" t="n">
        <f aca="false">IFERROR(INDEX(SEMANAS!$H$6:$H$71,MATCH($B304,SEMANAS!$B$6:$B$71,0)),0)</f>
        <v>30.9</v>
      </c>
      <c r="T304" s="18" t="n">
        <f aca="false">$R304*$S304</f>
        <v>35.535</v>
      </c>
      <c r="U304" s="18" t="n">
        <f aca="false">IFERROR(INDEX(SEMANAS!$I$6:$I$71,MATCH($B304,SEMANAS!$B$6:$B$71,0)),0)</f>
        <v>12.61</v>
      </c>
      <c r="V304" s="18" t="n">
        <f aca="false">IFERROR(INDEX(SEMANAS!$J$6:$J$71,MATCH($B304,SEMANAS!$B$6:$B$71,0)),0)</f>
        <v>10.088</v>
      </c>
      <c r="W304" s="18" t="n">
        <f aca="false">MAX(0,$T304-$V304)</f>
        <v>25.447</v>
      </c>
      <c r="X304" s="19" t="n">
        <f aca="false">IFERROR(INDEX(CADASTRO_PIVOS!$K$6:$K$41,MATCH($E304,CADASTRO_PIVOS!$B$6:$B$41,0)),EFICIENCIA_PADRAO)</f>
        <v>0.85</v>
      </c>
      <c r="Y304" s="18" t="n">
        <f aca="false">IF($X304&lt;=0,0,$W304/$X304)</f>
        <v>29.9376470588235</v>
      </c>
      <c r="Z304" s="16" t="n">
        <f aca="false">$Y304*$H304*MM_PARA_M3_HA</f>
        <v>29811.9089411765</v>
      </c>
      <c r="AA304" s="18" t="n">
        <f aca="false">IFERROR(INDEX(CADASTRO_PIVOS!$I$6:$I$41,MATCH($E304,CADASTRO_PIVOS!$B$6:$B$41,0)),0)</f>
        <v>711.285714285714</v>
      </c>
      <c r="AB304" s="18" t="n">
        <f aca="false">IF($Z304&lt;=0,0,$Z304/$AA304)</f>
        <v>41.9127058823529</v>
      </c>
      <c r="AC304" s="16" t="n">
        <f aca="false">IFERROR(INDEX(SEMANAS!$K$6:$K$71,MATCH($B304,SEMANAS!$B$6:$B$71,0)),0)</f>
        <v>147</v>
      </c>
      <c r="AD304" s="19" t="n">
        <f aca="false">IF($AC304&lt;=0,0,$AB304/$AC304)</f>
        <v>0.285120448179272</v>
      </c>
      <c r="AE304" s="8" t="str">
        <f aca="false">IF($K304="SEM CULTURA","SEM CULTURA",IF($AA304&lt;=0,"DADO PENDENTE",IF($AD304&gt;LIMITE_CRITICO,"INVIAVEL",IF($AD304&gt;LIMITE_ATENCAO,"CRITICO",IF($AD304&gt;LIMITE_CONFORTAVEL,"ATENCAO","OK")))))</f>
        <v>OK</v>
      </c>
      <c r="AF304" s="8" t="str">
        <f aca="false">$B304&amp;"|"&amp;TEXT($AD304,"0.000000")</f>
        <v>35|0.285120</v>
      </c>
      <c r="AG304" s="18" t="n">
        <f aca="false">IF($K304="SEM CULTURA",0,$T304*$H304)</f>
        <v>3538.5753</v>
      </c>
      <c r="AH304" s="18" t="n">
        <f aca="false">IF($K304="SEM CULTURA",0,$V304*$H304)</f>
        <v>1004.56304</v>
      </c>
      <c r="AI304" s="18" t="n">
        <f aca="false">IF($K304="SEM CULTURA",0,$W304*$H304)</f>
        <v>2534.01226</v>
      </c>
      <c r="AJ304" s="18" t="n">
        <f aca="false">IF($K304="SEM CULTURA",0,$S304*$H304)</f>
        <v>3077.022</v>
      </c>
      <c r="AK304" s="8" t="str">
        <f aca="false">$E304&amp;"|"&amp;TEXT($AD304,"0.000000")</f>
        <v>PV 107|0.285120</v>
      </c>
    </row>
    <row r="305" customFormat="false" ht="15" hidden="false" customHeight="false" outlineLevel="0" collapsed="false">
      <c r="B305" s="16" t="n">
        <v>36</v>
      </c>
      <c r="C305" s="17" t="n">
        <f aca="false">DATA_INICIO_SAFRA+($B305-1)*DIAS_POR_SEMANA</f>
        <v>46510</v>
      </c>
      <c r="D305" s="17" t="n">
        <f aca="false">$C305+DIAS_POR_SEMANA-1</f>
        <v>46516</v>
      </c>
      <c r="E305" s="15" t="s">
        <v>263</v>
      </c>
      <c r="F305" s="8" t="str">
        <f aca="false">IFERROR(INDEX(CADASTRO_PIVOS!$C$6:$C$41,MATCH($E305,CADASTRO_PIVOS!$B$6:$B$41,0)),"?")</f>
        <v>RM03</v>
      </c>
      <c r="G305" s="8" t="str">
        <f aca="false">IFERROR(INDEX(CADASTRO_PIVOS!$D$6:$D$41,MATCH($E305,CADASTRO_PIVOS!$B$6:$B$41,0)),"?")</f>
        <v>TR03</v>
      </c>
      <c r="H305" s="20" t="n">
        <f aca="false">IFERROR(INDEX(CADASTRO_PIVOS!$E$6:$E$41,MATCH($E305,CADASTRO_PIVOS!$B$6:$B$41,0)),0)</f>
        <v>99.58</v>
      </c>
      <c r="I305" s="16" t="n">
        <f aca="false">IFERROR(SUMIFS(ROTACAO_RDM!$B$6:$B$71,ROTACAO_RDM!$D$6:$D$71,$E305,ROTACAO_RDM!$I$6:$I$71,"&lt;="&amp;$C305+INT(DIAS_POR_SEMANA/2),ROTACAO_RDM!$J$6:$J$71,"&gt;="&amp;$C305+INT(DIAS_POR_SEMANA/2)),0)</f>
        <v>13</v>
      </c>
      <c r="J305" s="16" t="n">
        <f aca="false">IFERROR(MATCH($I305,ROTACAO_RDM!$B$6:$B$71,0),0)</f>
        <v>13</v>
      </c>
      <c r="K305" s="8" t="str">
        <f aca="false">IF($J305=0,"SEM CULTURA",INDEX(ROTACAO_RDM!$F$6:$F$71,$J305))</f>
        <v>ALGODAO</v>
      </c>
      <c r="L305" s="8" t="str">
        <f aca="false">IF($J305=0,"",INDEX(ROTACAO_RDM!$G$6:$G$71,$J305))</f>
        <v>FM 933 STP</v>
      </c>
      <c r="M305" s="17" t="n">
        <f aca="false">IF($J305=0,"",INDEX(ROTACAO_RDM!$I$6:$I$71,$J305))</f>
        <v>46424</v>
      </c>
      <c r="N305" s="16" t="n">
        <f aca="false">IF($J305=0,0,MAX(0,$C305+INT(DIAS_POR_SEMANA/2)-INDEX(ROTACAO_RDM!$I$6:$I$71,$J305)))</f>
        <v>89</v>
      </c>
      <c r="O305" s="19" t="n">
        <f aca="false">IF($J305=0,0,MIN(1,$N305/MAX(1,INDEX(ROTACAO_RDM!$K$6:$K$71,$J305))))</f>
        <v>0.456410256410256</v>
      </c>
      <c r="P305" s="16" t="n">
        <f aca="false">IF($J305=0,0,IFERROR(MATCH(INDEX(ROTACAO_RDM!$N$6:$N$71,$J305),PARAMETROS_CULTURAS!$B$6:$B$28,0),0))</f>
        <v>5</v>
      </c>
      <c r="Q305" s="8" t="str">
        <f aca="false">IF($P305=0,"-",IF($O305&lt;=INDEX(PARAMETROS_CULTURAS!$F$6:$F$28,$P305),"INICIAL",IF($O305&lt;=INDEX(PARAMETROS_CULTURAS!$F$6:$F$28,$P305)+INDEX(PARAMETROS_CULTURAS!$G$6:$G$28,$P305),"DESENVOLVIMENTO",IF($O305&lt;=INDEX(PARAMETROS_CULTURAS!$F$6:$F$28,$P305)+INDEX(PARAMETROS_CULTURAS!$G$6:$G$28,$P305)+INDEX(PARAMETROS_CULTURAS!$H$6:$H$28,$P305),"MEDIA","FINAL"))))</f>
        <v>MEDIA</v>
      </c>
      <c r="R305" s="24" t="n">
        <f aca="false">IF($P305=0,0,IF($O305&lt;=INDEX(PARAMETROS_CULTURAS!$F$6:$F$28,$P305),INDEX(PARAMETROS_CULTURAS!$K$6:$K$28,$P305),IF($O305&lt;=INDEX(PARAMETROS_CULTURAS!$F$6:$F$28,$P305)+INDEX(PARAMETROS_CULTURAS!$G$6:$G$28,$P305),INDEX(PARAMETROS_CULTURAS!$K$6:$K$28,$P305)+(INDEX(PARAMETROS_CULTURAS!$L$6:$L$28,$P305)-INDEX(PARAMETROS_CULTURAS!$K$6:$K$28,$P305))*($O305-INDEX(PARAMETROS_CULTURAS!$F$6:$F$28,$P305))/MAX(INDEX(PARAMETROS_CULTURAS!$G$6:$G$28,$P305),0.0001),IF($O305&lt;=INDEX(PARAMETROS_CULTURAS!$F$6:$F$28,$P305)+INDEX(PARAMETROS_CULTURAS!$G$6:$G$28,$P305)+INDEX(PARAMETROS_CULTURAS!$H$6:$H$28,$P305),INDEX(PARAMETROS_CULTURAS!$L$6:$L$28,$P305),INDEX(PARAMETROS_CULTURAS!$L$6:$L$28,$P305)+(INDEX(PARAMETROS_CULTURAS!$M$6:$M$28,$P305)-INDEX(PARAMETROS_CULTURAS!$L$6:$L$28,$P305))*($O305-INDEX(PARAMETROS_CULTURAS!$F$6:$F$28,$P305)-INDEX(PARAMETROS_CULTURAS!$G$6:$G$28,$P305)-INDEX(PARAMETROS_CULTURAS!$H$6:$H$28,$P305))/MAX(INDEX(PARAMETROS_CULTURAS!$I$6:$I$28,$P305),0.0001)))))</f>
        <v>1.15</v>
      </c>
      <c r="S305" s="18" t="n">
        <f aca="false">IFERROR(INDEX(SEMANAS!$H$6:$H$71,MATCH($B305,SEMANAS!$B$6:$B$71,0)),0)</f>
        <v>29.4</v>
      </c>
      <c r="T305" s="18" t="n">
        <f aca="false">$R305*$S305</f>
        <v>33.81</v>
      </c>
      <c r="U305" s="18" t="n">
        <f aca="false">IFERROR(INDEX(SEMANAS!$I$6:$I$71,MATCH($B305,SEMANAS!$B$6:$B$71,0)),0)</f>
        <v>3.36</v>
      </c>
      <c r="V305" s="18" t="n">
        <f aca="false">IFERROR(INDEX(SEMANAS!$J$6:$J$71,MATCH($B305,SEMANAS!$B$6:$B$71,0)),0)</f>
        <v>2.688</v>
      </c>
      <c r="W305" s="18" t="n">
        <f aca="false">MAX(0,$T305-$V305)</f>
        <v>31.122</v>
      </c>
      <c r="X305" s="19" t="n">
        <f aca="false">IFERROR(INDEX(CADASTRO_PIVOS!$K$6:$K$41,MATCH($E305,CADASTRO_PIVOS!$B$6:$B$41,0)),EFICIENCIA_PADRAO)</f>
        <v>0.85</v>
      </c>
      <c r="Y305" s="18" t="n">
        <f aca="false">IF($X305&lt;=0,0,$W305/$X305)</f>
        <v>36.6141176470588</v>
      </c>
      <c r="Z305" s="16" t="n">
        <f aca="false">$Y305*$H305*MM_PARA_M3_HA</f>
        <v>36460.3383529412</v>
      </c>
      <c r="AA305" s="18" t="n">
        <f aca="false">IFERROR(INDEX(CADASTRO_PIVOS!$I$6:$I$41,MATCH($E305,CADASTRO_PIVOS!$B$6:$B$41,0)),0)</f>
        <v>711.285714285714</v>
      </c>
      <c r="AB305" s="18" t="n">
        <f aca="false">IF($Z305&lt;=0,0,$Z305/$AA305)</f>
        <v>51.2597647058824</v>
      </c>
      <c r="AC305" s="16" t="n">
        <f aca="false">IFERROR(INDEX(SEMANAS!$K$6:$K$71,MATCH($B305,SEMANAS!$B$6:$B$71,0)),0)</f>
        <v>147</v>
      </c>
      <c r="AD305" s="19" t="n">
        <f aca="false">IF($AC305&lt;=0,0,$AB305/$AC305)</f>
        <v>0.348705882352941</v>
      </c>
      <c r="AE305" s="8" t="str">
        <f aca="false">IF($K305="SEM CULTURA","SEM CULTURA",IF($AA305&lt;=0,"DADO PENDENTE",IF($AD305&gt;LIMITE_CRITICO,"INVIAVEL",IF($AD305&gt;LIMITE_ATENCAO,"CRITICO",IF($AD305&gt;LIMITE_CONFORTAVEL,"ATENCAO","OK")))))</f>
        <v>OK</v>
      </c>
      <c r="AF305" s="8" t="str">
        <f aca="false">$B305&amp;"|"&amp;TEXT($AD305,"0.000000")</f>
        <v>36|0.348706</v>
      </c>
      <c r="AG305" s="18" t="n">
        <f aca="false">IF($K305="SEM CULTURA",0,$T305*$H305)</f>
        <v>3366.7998</v>
      </c>
      <c r="AH305" s="18" t="n">
        <f aca="false">IF($K305="SEM CULTURA",0,$V305*$H305)</f>
        <v>267.67104</v>
      </c>
      <c r="AI305" s="18" t="n">
        <f aca="false">IF($K305="SEM CULTURA",0,$W305*$H305)</f>
        <v>3099.12876</v>
      </c>
      <c r="AJ305" s="18" t="n">
        <f aca="false">IF($K305="SEM CULTURA",0,$S305*$H305)</f>
        <v>2927.652</v>
      </c>
      <c r="AK305" s="8" t="str">
        <f aca="false">$E305&amp;"|"&amp;TEXT($AD305,"0.000000")</f>
        <v>PV 107|0.348706</v>
      </c>
    </row>
    <row r="306" customFormat="false" ht="15" hidden="false" customHeight="false" outlineLevel="0" collapsed="false">
      <c r="B306" s="16" t="n">
        <v>37</v>
      </c>
      <c r="C306" s="17" t="n">
        <f aca="false">DATA_INICIO_SAFRA+($B306-1)*DIAS_POR_SEMANA</f>
        <v>46517</v>
      </c>
      <c r="D306" s="17" t="n">
        <f aca="false">$C306+DIAS_POR_SEMANA-1</f>
        <v>46523</v>
      </c>
      <c r="E306" s="15" t="s">
        <v>263</v>
      </c>
      <c r="F306" s="8" t="str">
        <f aca="false">IFERROR(INDEX(CADASTRO_PIVOS!$C$6:$C$41,MATCH($E306,CADASTRO_PIVOS!$B$6:$B$41,0)),"?")</f>
        <v>RM03</v>
      </c>
      <c r="G306" s="8" t="str">
        <f aca="false">IFERROR(INDEX(CADASTRO_PIVOS!$D$6:$D$41,MATCH($E306,CADASTRO_PIVOS!$B$6:$B$41,0)),"?")</f>
        <v>TR03</v>
      </c>
      <c r="H306" s="20" t="n">
        <f aca="false">IFERROR(INDEX(CADASTRO_PIVOS!$E$6:$E$41,MATCH($E306,CADASTRO_PIVOS!$B$6:$B$41,0)),0)</f>
        <v>99.58</v>
      </c>
      <c r="I306" s="16" t="n">
        <f aca="false">IFERROR(SUMIFS(ROTACAO_RDM!$B$6:$B$71,ROTACAO_RDM!$D$6:$D$71,$E306,ROTACAO_RDM!$I$6:$I$71,"&lt;="&amp;$C306+INT(DIAS_POR_SEMANA/2),ROTACAO_RDM!$J$6:$J$71,"&gt;="&amp;$C306+INT(DIAS_POR_SEMANA/2)),0)</f>
        <v>13</v>
      </c>
      <c r="J306" s="16" t="n">
        <f aca="false">IFERROR(MATCH($I306,ROTACAO_RDM!$B$6:$B$71,0),0)</f>
        <v>13</v>
      </c>
      <c r="K306" s="8" t="str">
        <f aca="false">IF($J306=0,"SEM CULTURA",INDEX(ROTACAO_RDM!$F$6:$F$71,$J306))</f>
        <v>ALGODAO</v>
      </c>
      <c r="L306" s="8" t="str">
        <f aca="false">IF($J306=0,"",INDEX(ROTACAO_RDM!$G$6:$G$71,$J306))</f>
        <v>FM 933 STP</v>
      </c>
      <c r="M306" s="17" t="n">
        <f aca="false">IF($J306=0,"",INDEX(ROTACAO_RDM!$I$6:$I$71,$J306))</f>
        <v>46424</v>
      </c>
      <c r="N306" s="16" t="n">
        <f aca="false">IF($J306=0,0,MAX(0,$C306+INT(DIAS_POR_SEMANA/2)-INDEX(ROTACAO_RDM!$I$6:$I$71,$J306)))</f>
        <v>96</v>
      </c>
      <c r="O306" s="19" t="n">
        <f aca="false">IF($J306=0,0,MIN(1,$N306/MAX(1,INDEX(ROTACAO_RDM!$K$6:$K$71,$J306))))</f>
        <v>0.492307692307692</v>
      </c>
      <c r="P306" s="16" t="n">
        <f aca="false">IF($J306=0,0,IFERROR(MATCH(INDEX(ROTACAO_RDM!$N$6:$N$71,$J306),PARAMETROS_CULTURAS!$B$6:$B$28,0),0))</f>
        <v>5</v>
      </c>
      <c r="Q306" s="8" t="str">
        <f aca="false">IF($P306=0,"-",IF($O306&lt;=INDEX(PARAMETROS_CULTURAS!$F$6:$F$28,$P306),"INICIAL",IF($O306&lt;=INDEX(PARAMETROS_CULTURAS!$F$6:$F$28,$P306)+INDEX(PARAMETROS_CULTURAS!$G$6:$G$28,$P306),"DESENVOLVIMENTO",IF($O306&lt;=INDEX(PARAMETROS_CULTURAS!$F$6:$F$28,$P306)+INDEX(PARAMETROS_CULTURAS!$G$6:$G$28,$P306)+INDEX(PARAMETROS_CULTURAS!$H$6:$H$28,$P306),"MEDIA","FINAL"))))</f>
        <v>MEDIA</v>
      </c>
      <c r="R306" s="24" t="n">
        <f aca="false">IF($P306=0,0,IF($O306&lt;=INDEX(PARAMETROS_CULTURAS!$F$6:$F$28,$P306),INDEX(PARAMETROS_CULTURAS!$K$6:$K$28,$P306),IF($O306&lt;=INDEX(PARAMETROS_CULTURAS!$F$6:$F$28,$P306)+INDEX(PARAMETROS_CULTURAS!$G$6:$G$28,$P306),INDEX(PARAMETROS_CULTURAS!$K$6:$K$28,$P306)+(INDEX(PARAMETROS_CULTURAS!$L$6:$L$28,$P306)-INDEX(PARAMETROS_CULTURAS!$K$6:$K$28,$P306))*($O306-INDEX(PARAMETROS_CULTURAS!$F$6:$F$28,$P306))/MAX(INDEX(PARAMETROS_CULTURAS!$G$6:$G$28,$P306),0.0001),IF($O306&lt;=INDEX(PARAMETROS_CULTURAS!$F$6:$F$28,$P306)+INDEX(PARAMETROS_CULTURAS!$G$6:$G$28,$P306)+INDEX(PARAMETROS_CULTURAS!$H$6:$H$28,$P306),INDEX(PARAMETROS_CULTURAS!$L$6:$L$28,$P306),INDEX(PARAMETROS_CULTURAS!$L$6:$L$28,$P306)+(INDEX(PARAMETROS_CULTURAS!$M$6:$M$28,$P306)-INDEX(PARAMETROS_CULTURAS!$L$6:$L$28,$P306))*($O306-INDEX(PARAMETROS_CULTURAS!$F$6:$F$28,$P306)-INDEX(PARAMETROS_CULTURAS!$G$6:$G$28,$P306)-INDEX(PARAMETROS_CULTURAS!$H$6:$H$28,$P306))/MAX(INDEX(PARAMETROS_CULTURAS!$I$6:$I$28,$P306),0.0001)))))</f>
        <v>1.15</v>
      </c>
      <c r="S306" s="18" t="n">
        <f aca="false">IFERROR(INDEX(SEMANAS!$H$6:$H$71,MATCH($B306,SEMANAS!$B$6:$B$71,0)),0)</f>
        <v>29.4</v>
      </c>
      <c r="T306" s="18" t="n">
        <f aca="false">$R306*$S306</f>
        <v>33.81</v>
      </c>
      <c r="U306" s="18" t="n">
        <f aca="false">IFERROR(INDEX(SEMANAS!$I$6:$I$71,MATCH($B306,SEMANAS!$B$6:$B$71,0)),0)</f>
        <v>3.36</v>
      </c>
      <c r="V306" s="18" t="n">
        <f aca="false">IFERROR(INDEX(SEMANAS!$J$6:$J$71,MATCH($B306,SEMANAS!$B$6:$B$71,0)),0)</f>
        <v>2.688</v>
      </c>
      <c r="W306" s="18" t="n">
        <f aca="false">MAX(0,$T306-$V306)</f>
        <v>31.122</v>
      </c>
      <c r="X306" s="19" t="n">
        <f aca="false">IFERROR(INDEX(CADASTRO_PIVOS!$K$6:$K$41,MATCH($E306,CADASTRO_PIVOS!$B$6:$B$41,0)),EFICIENCIA_PADRAO)</f>
        <v>0.85</v>
      </c>
      <c r="Y306" s="18" t="n">
        <f aca="false">IF($X306&lt;=0,0,$W306/$X306)</f>
        <v>36.6141176470588</v>
      </c>
      <c r="Z306" s="16" t="n">
        <f aca="false">$Y306*$H306*MM_PARA_M3_HA</f>
        <v>36460.3383529412</v>
      </c>
      <c r="AA306" s="18" t="n">
        <f aca="false">IFERROR(INDEX(CADASTRO_PIVOS!$I$6:$I$41,MATCH($E306,CADASTRO_PIVOS!$B$6:$B$41,0)),0)</f>
        <v>711.285714285714</v>
      </c>
      <c r="AB306" s="18" t="n">
        <f aca="false">IF($Z306&lt;=0,0,$Z306/$AA306)</f>
        <v>51.2597647058824</v>
      </c>
      <c r="AC306" s="16" t="n">
        <f aca="false">IFERROR(INDEX(SEMANAS!$K$6:$K$71,MATCH($B306,SEMANAS!$B$6:$B$71,0)),0)</f>
        <v>147</v>
      </c>
      <c r="AD306" s="19" t="n">
        <f aca="false">IF($AC306&lt;=0,0,$AB306/$AC306)</f>
        <v>0.348705882352941</v>
      </c>
      <c r="AE306" s="8" t="str">
        <f aca="false">IF($K306="SEM CULTURA","SEM CULTURA",IF($AA306&lt;=0,"DADO PENDENTE",IF($AD306&gt;LIMITE_CRITICO,"INVIAVEL",IF($AD306&gt;LIMITE_ATENCAO,"CRITICO",IF($AD306&gt;LIMITE_CONFORTAVEL,"ATENCAO","OK")))))</f>
        <v>OK</v>
      </c>
      <c r="AF306" s="8" t="str">
        <f aca="false">$B306&amp;"|"&amp;TEXT($AD306,"0.000000")</f>
        <v>37|0.348706</v>
      </c>
      <c r="AG306" s="18" t="n">
        <f aca="false">IF($K306="SEM CULTURA",0,$T306*$H306)</f>
        <v>3366.7998</v>
      </c>
      <c r="AH306" s="18" t="n">
        <f aca="false">IF($K306="SEM CULTURA",0,$V306*$H306)</f>
        <v>267.67104</v>
      </c>
      <c r="AI306" s="18" t="n">
        <f aca="false">IF($K306="SEM CULTURA",0,$W306*$H306)</f>
        <v>3099.12876</v>
      </c>
      <c r="AJ306" s="18" t="n">
        <f aca="false">IF($K306="SEM CULTURA",0,$S306*$H306)</f>
        <v>2927.652</v>
      </c>
      <c r="AK306" s="8" t="str">
        <f aca="false">$E306&amp;"|"&amp;TEXT($AD306,"0.000000")</f>
        <v>PV 107|0.348706</v>
      </c>
    </row>
    <row r="307" customFormat="false" ht="15" hidden="false" customHeight="false" outlineLevel="0" collapsed="false">
      <c r="B307" s="16" t="n">
        <v>38</v>
      </c>
      <c r="C307" s="17" t="n">
        <f aca="false">DATA_INICIO_SAFRA+($B307-1)*DIAS_POR_SEMANA</f>
        <v>46524</v>
      </c>
      <c r="D307" s="17" t="n">
        <f aca="false">$C307+DIAS_POR_SEMANA-1</f>
        <v>46530</v>
      </c>
      <c r="E307" s="15" t="s">
        <v>263</v>
      </c>
      <c r="F307" s="8" t="str">
        <f aca="false">IFERROR(INDEX(CADASTRO_PIVOS!$C$6:$C$41,MATCH($E307,CADASTRO_PIVOS!$B$6:$B$41,0)),"?")</f>
        <v>RM03</v>
      </c>
      <c r="G307" s="8" t="str">
        <f aca="false">IFERROR(INDEX(CADASTRO_PIVOS!$D$6:$D$41,MATCH($E307,CADASTRO_PIVOS!$B$6:$B$41,0)),"?")</f>
        <v>TR03</v>
      </c>
      <c r="H307" s="20" t="n">
        <f aca="false">IFERROR(INDEX(CADASTRO_PIVOS!$E$6:$E$41,MATCH($E307,CADASTRO_PIVOS!$B$6:$B$41,0)),0)</f>
        <v>99.58</v>
      </c>
      <c r="I307" s="16" t="n">
        <f aca="false">IFERROR(SUMIFS(ROTACAO_RDM!$B$6:$B$71,ROTACAO_RDM!$D$6:$D$71,$E307,ROTACAO_RDM!$I$6:$I$71,"&lt;="&amp;$C307+INT(DIAS_POR_SEMANA/2),ROTACAO_RDM!$J$6:$J$71,"&gt;="&amp;$C307+INT(DIAS_POR_SEMANA/2)),0)</f>
        <v>13</v>
      </c>
      <c r="J307" s="16" t="n">
        <f aca="false">IFERROR(MATCH($I307,ROTACAO_RDM!$B$6:$B$71,0),0)</f>
        <v>13</v>
      </c>
      <c r="K307" s="8" t="str">
        <f aca="false">IF($J307=0,"SEM CULTURA",INDEX(ROTACAO_RDM!$F$6:$F$71,$J307))</f>
        <v>ALGODAO</v>
      </c>
      <c r="L307" s="8" t="str">
        <f aca="false">IF($J307=0,"",INDEX(ROTACAO_RDM!$G$6:$G$71,$J307))</f>
        <v>FM 933 STP</v>
      </c>
      <c r="M307" s="17" t="n">
        <f aca="false">IF($J307=0,"",INDEX(ROTACAO_RDM!$I$6:$I$71,$J307))</f>
        <v>46424</v>
      </c>
      <c r="N307" s="16" t="n">
        <f aca="false">IF($J307=0,0,MAX(0,$C307+INT(DIAS_POR_SEMANA/2)-INDEX(ROTACAO_RDM!$I$6:$I$71,$J307)))</f>
        <v>103</v>
      </c>
      <c r="O307" s="19" t="n">
        <f aca="false">IF($J307=0,0,MIN(1,$N307/MAX(1,INDEX(ROTACAO_RDM!$K$6:$K$71,$J307))))</f>
        <v>0.528205128205128</v>
      </c>
      <c r="P307" s="16" t="n">
        <f aca="false">IF($J307=0,0,IFERROR(MATCH(INDEX(ROTACAO_RDM!$N$6:$N$71,$J307),PARAMETROS_CULTURAS!$B$6:$B$28,0),0))</f>
        <v>5</v>
      </c>
      <c r="Q307" s="8" t="str">
        <f aca="false">IF($P307=0,"-",IF($O307&lt;=INDEX(PARAMETROS_CULTURAS!$F$6:$F$28,$P307),"INICIAL",IF($O307&lt;=INDEX(PARAMETROS_CULTURAS!$F$6:$F$28,$P307)+INDEX(PARAMETROS_CULTURAS!$G$6:$G$28,$P307),"DESENVOLVIMENTO",IF($O307&lt;=INDEX(PARAMETROS_CULTURAS!$F$6:$F$28,$P307)+INDEX(PARAMETROS_CULTURAS!$G$6:$G$28,$P307)+INDEX(PARAMETROS_CULTURAS!$H$6:$H$28,$P307),"MEDIA","FINAL"))))</f>
        <v>MEDIA</v>
      </c>
      <c r="R307" s="24" t="n">
        <f aca="false">IF($P307=0,0,IF($O307&lt;=INDEX(PARAMETROS_CULTURAS!$F$6:$F$28,$P307),INDEX(PARAMETROS_CULTURAS!$K$6:$K$28,$P307),IF($O307&lt;=INDEX(PARAMETROS_CULTURAS!$F$6:$F$28,$P307)+INDEX(PARAMETROS_CULTURAS!$G$6:$G$28,$P307),INDEX(PARAMETROS_CULTURAS!$K$6:$K$28,$P307)+(INDEX(PARAMETROS_CULTURAS!$L$6:$L$28,$P307)-INDEX(PARAMETROS_CULTURAS!$K$6:$K$28,$P307))*($O307-INDEX(PARAMETROS_CULTURAS!$F$6:$F$28,$P307))/MAX(INDEX(PARAMETROS_CULTURAS!$G$6:$G$28,$P307),0.0001),IF($O307&lt;=INDEX(PARAMETROS_CULTURAS!$F$6:$F$28,$P307)+INDEX(PARAMETROS_CULTURAS!$G$6:$G$28,$P307)+INDEX(PARAMETROS_CULTURAS!$H$6:$H$28,$P307),INDEX(PARAMETROS_CULTURAS!$L$6:$L$28,$P307),INDEX(PARAMETROS_CULTURAS!$L$6:$L$28,$P307)+(INDEX(PARAMETROS_CULTURAS!$M$6:$M$28,$P307)-INDEX(PARAMETROS_CULTURAS!$L$6:$L$28,$P307))*($O307-INDEX(PARAMETROS_CULTURAS!$F$6:$F$28,$P307)-INDEX(PARAMETROS_CULTURAS!$G$6:$G$28,$P307)-INDEX(PARAMETROS_CULTURAS!$H$6:$H$28,$P307))/MAX(INDEX(PARAMETROS_CULTURAS!$I$6:$I$28,$P307),0.0001)))))</f>
        <v>1.15</v>
      </c>
      <c r="S307" s="18" t="n">
        <f aca="false">IFERROR(INDEX(SEMANAS!$H$6:$H$71,MATCH($B307,SEMANAS!$B$6:$B$71,0)),0)</f>
        <v>29.4</v>
      </c>
      <c r="T307" s="18" t="n">
        <f aca="false">$R307*$S307</f>
        <v>33.81</v>
      </c>
      <c r="U307" s="18" t="n">
        <f aca="false">IFERROR(INDEX(SEMANAS!$I$6:$I$71,MATCH($B307,SEMANAS!$B$6:$B$71,0)),0)</f>
        <v>3.36</v>
      </c>
      <c r="V307" s="18" t="n">
        <f aca="false">IFERROR(INDEX(SEMANAS!$J$6:$J$71,MATCH($B307,SEMANAS!$B$6:$B$71,0)),0)</f>
        <v>2.688</v>
      </c>
      <c r="W307" s="18" t="n">
        <f aca="false">MAX(0,$T307-$V307)</f>
        <v>31.122</v>
      </c>
      <c r="X307" s="19" t="n">
        <f aca="false">IFERROR(INDEX(CADASTRO_PIVOS!$K$6:$K$41,MATCH($E307,CADASTRO_PIVOS!$B$6:$B$41,0)),EFICIENCIA_PADRAO)</f>
        <v>0.85</v>
      </c>
      <c r="Y307" s="18" t="n">
        <f aca="false">IF($X307&lt;=0,0,$W307/$X307)</f>
        <v>36.6141176470588</v>
      </c>
      <c r="Z307" s="16" t="n">
        <f aca="false">$Y307*$H307*MM_PARA_M3_HA</f>
        <v>36460.3383529412</v>
      </c>
      <c r="AA307" s="18" t="n">
        <f aca="false">IFERROR(INDEX(CADASTRO_PIVOS!$I$6:$I$41,MATCH($E307,CADASTRO_PIVOS!$B$6:$B$41,0)),0)</f>
        <v>711.285714285714</v>
      </c>
      <c r="AB307" s="18" t="n">
        <f aca="false">IF($Z307&lt;=0,0,$Z307/$AA307)</f>
        <v>51.2597647058824</v>
      </c>
      <c r="AC307" s="16" t="n">
        <f aca="false">IFERROR(INDEX(SEMANAS!$K$6:$K$71,MATCH($B307,SEMANAS!$B$6:$B$71,0)),0)</f>
        <v>147</v>
      </c>
      <c r="AD307" s="19" t="n">
        <f aca="false">IF($AC307&lt;=0,0,$AB307/$AC307)</f>
        <v>0.348705882352941</v>
      </c>
      <c r="AE307" s="8" t="str">
        <f aca="false">IF($K307="SEM CULTURA","SEM CULTURA",IF($AA307&lt;=0,"DADO PENDENTE",IF($AD307&gt;LIMITE_CRITICO,"INVIAVEL",IF($AD307&gt;LIMITE_ATENCAO,"CRITICO",IF($AD307&gt;LIMITE_CONFORTAVEL,"ATENCAO","OK")))))</f>
        <v>OK</v>
      </c>
      <c r="AF307" s="8" t="str">
        <f aca="false">$B307&amp;"|"&amp;TEXT($AD307,"0.000000")</f>
        <v>38|0.348706</v>
      </c>
      <c r="AG307" s="18" t="n">
        <f aca="false">IF($K307="SEM CULTURA",0,$T307*$H307)</f>
        <v>3366.7998</v>
      </c>
      <c r="AH307" s="18" t="n">
        <f aca="false">IF($K307="SEM CULTURA",0,$V307*$H307)</f>
        <v>267.67104</v>
      </c>
      <c r="AI307" s="18" t="n">
        <f aca="false">IF($K307="SEM CULTURA",0,$W307*$H307)</f>
        <v>3099.12876</v>
      </c>
      <c r="AJ307" s="18" t="n">
        <f aca="false">IF($K307="SEM CULTURA",0,$S307*$H307)</f>
        <v>2927.652</v>
      </c>
      <c r="AK307" s="8" t="str">
        <f aca="false">$E307&amp;"|"&amp;TEXT($AD307,"0.000000")</f>
        <v>PV 107|0.348706</v>
      </c>
    </row>
    <row r="308" customFormat="false" ht="15" hidden="false" customHeight="false" outlineLevel="0" collapsed="false">
      <c r="B308" s="16" t="n">
        <v>39</v>
      </c>
      <c r="C308" s="17" t="n">
        <f aca="false">DATA_INICIO_SAFRA+($B308-1)*DIAS_POR_SEMANA</f>
        <v>46531</v>
      </c>
      <c r="D308" s="17" t="n">
        <f aca="false">$C308+DIAS_POR_SEMANA-1</f>
        <v>46537</v>
      </c>
      <c r="E308" s="15" t="s">
        <v>263</v>
      </c>
      <c r="F308" s="8" t="str">
        <f aca="false">IFERROR(INDEX(CADASTRO_PIVOS!$C$6:$C$41,MATCH($E308,CADASTRO_PIVOS!$B$6:$B$41,0)),"?")</f>
        <v>RM03</v>
      </c>
      <c r="G308" s="8" t="str">
        <f aca="false">IFERROR(INDEX(CADASTRO_PIVOS!$D$6:$D$41,MATCH($E308,CADASTRO_PIVOS!$B$6:$B$41,0)),"?")</f>
        <v>TR03</v>
      </c>
      <c r="H308" s="20" t="n">
        <f aca="false">IFERROR(INDEX(CADASTRO_PIVOS!$E$6:$E$41,MATCH($E308,CADASTRO_PIVOS!$B$6:$B$41,0)),0)</f>
        <v>99.58</v>
      </c>
      <c r="I308" s="16" t="n">
        <f aca="false">IFERROR(SUMIFS(ROTACAO_RDM!$B$6:$B$71,ROTACAO_RDM!$D$6:$D$71,$E308,ROTACAO_RDM!$I$6:$I$71,"&lt;="&amp;$C308+INT(DIAS_POR_SEMANA/2),ROTACAO_RDM!$J$6:$J$71,"&gt;="&amp;$C308+INT(DIAS_POR_SEMANA/2)),0)</f>
        <v>13</v>
      </c>
      <c r="J308" s="16" t="n">
        <f aca="false">IFERROR(MATCH($I308,ROTACAO_RDM!$B$6:$B$71,0),0)</f>
        <v>13</v>
      </c>
      <c r="K308" s="8" t="str">
        <f aca="false">IF($J308=0,"SEM CULTURA",INDEX(ROTACAO_RDM!$F$6:$F$71,$J308))</f>
        <v>ALGODAO</v>
      </c>
      <c r="L308" s="8" t="str">
        <f aca="false">IF($J308=0,"",INDEX(ROTACAO_RDM!$G$6:$G$71,$J308))</f>
        <v>FM 933 STP</v>
      </c>
      <c r="M308" s="17" t="n">
        <f aca="false">IF($J308=0,"",INDEX(ROTACAO_RDM!$I$6:$I$71,$J308))</f>
        <v>46424</v>
      </c>
      <c r="N308" s="16" t="n">
        <f aca="false">IF($J308=0,0,MAX(0,$C308+INT(DIAS_POR_SEMANA/2)-INDEX(ROTACAO_RDM!$I$6:$I$71,$J308)))</f>
        <v>110</v>
      </c>
      <c r="O308" s="19" t="n">
        <f aca="false">IF($J308=0,0,MIN(1,$N308/MAX(1,INDEX(ROTACAO_RDM!$K$6:$K$71,$J308))))</f>
        <v>0.564102564102564</v>
      </c>
      <c r="P308" s="16" t="n">
        <f aca="false">IF($J308=0,0,IFERROR(MATCH(INDEX(ROTACAO_RDM!$N$6:$N$71,$J308),PARAMETROS_CULTURAS!$B$6:$B$28,0),0))</f>
        <v>5</v>
      </c>
      <c r="Q308" s="8" t="str">
        <f aca="false">IF($P308=0,"-",IF($O308&lt;=INDEX(PARAMETROS_CULTURAS!$F$6:$F$28,$P308),"INICIAL",IF($O308&lt;=INDEX(PARAMETROS_CULTURAS!$F$6:$F$28,$P308)+INDEX(PARAMETROS_CULTURAS!$G$6:$G$28,$P308),"DESENVOLVIMENTO",IF($O308&lt;=INDEX(PARAMETROS_CULTURAS!$F$6:$F$28,$P308)+INDEX(PARAMETROS_CULTURAS!$G$6:$G$28,$P308)+INDEX(PARAMETROS_CULTURAS!$H$6:$H$28,$P308),"MEDIA","FINAL"))))</f>
        <v>MEDIA</v>
      </c>
      <c r="R308" s="24" t="n">
        <f aca="false">IF($P308=0,0,IF($O308&lt;=INDEX(PARAMETROS_CULTURAS!$F$6:$F$28,$P308),INDEX(PARAMETROS_CULTURAS!$K$6:$K$28,$P308),IF($O308&lt;=INDEX(PARAMETROS_CULTURAS!$F$6:$F$28,$P308)+INDEX(PARAMETROS_CULTURAS!$G$6:$G$28,$P308),INDEX(PARAMETROS_CULTURAS!$K$6:$K$28,$P308)+(INDEX(PARAMETROS_CULTURAS!$L$6:$L$28,$P308)-INDEX(PARAMETROS_CULTURAS!$K$6:$K$28,$P308))*($O308-INDEX(PARAMETROS_CULTURAS!$F$6:$F$28,$P308))/MAX(INDEX(PARAMETROS_CULTURAS!$G$6:$G$28,$P308),0.0001),IF($O308&lt;=INDEX(PARAMETROS_CULTURAS!$F$6:$F$28,$P308)+INDEX(PARAMETROS_CULTURAS!$G$6:$G$28,$P308)+INDEX(PARAMETROS_CULTURAS!$H$6:$H$28,$P308),INDEX(PARAMETROS_CULTURAS!$L$6:$L$28,$P308),INDEX(PARAMETROS_CULTURAS!$L$6:$L$28,$P308)+(INDEX(PARAMETROS_CULTURAS!$M$6:$M$28,$P308)-INDEX(PARAMETROS_CULTURAS!$L$6:$L$28,$P308))*($O308-INDEX(PARAMETROS_CULTURAS!$F$6:$F$28,$P308)-INDEX(PARAMETROS_CULTURAS!$G$6:$G$28,$P308)-INDEX(PARAMETROS_CULTURAS!$H$6:$H$28,$P308))/MAX(INDEX(PARAMETROS_CULTURAS!$I$6:$I$28,$P308),0.0001)))))</f>
        <v>1.15</v>
      </c>
      <c r="S308" s="18" t="n">
        <f aca="false">IFERROR(INDEX(SEMANAS!$H$6:$H$71,MATCH($B308,SEMANAS!$B$6:$B$71,0)),0)</f>
        <v>29.4</v>
      </c>
      <c r="T308" s="18" t="n">
        <f aca="false">$R308*$S308</f>
        <v>33.81</v>
      </c>
      <c r="U308" s="18" t="n">
        <f aca="false">IFERROR(INDEX(SEMANAS!$I$6:$I$71,MATCH($B308,SEMANAS!$B$6:$B$71,0)),0)</f>
        <v>3.36</v>
      </c>
      <c r="V308" s="18" t="n">
        <f aca="false">IFERROR(INDEX(SEMANAS!$J$6:$J$71,MATCH($B308,SEMANAS!$B$6:$B$71,0)),0)</f>
        <v>2.688</v>
      </c>
      <c r="W308" s="18" t="n">
        <f aca="false">MAX(0,$T308-$V308)</f>
        <v>31.122</v>
      </c>
      <c r="X308" s="19" t="n">
        <f aca="false">IFERROR(INDEX(CADASTRO_PIVOS!$K$6:$K$41,MATCH($E308,CADASTRO_PIVOS!$B$6:$B$41,0)),EFICIENCIA_PADRAO)</f>
        <v>0.85</v>
      </c>
      <c r="Y308" s="18" t="n">
        <f aca="false">IF($X308&lt;=0,0,$W308/$X308)</f>
        <v>36.6141176470588</v>
      </c>
      <c r="Z308" s="16" t="n">
        <f aca="false">$Y308*$H308*MM_PARA_M3_HA</f>
        <v>36460.3383529412</v>
      </c>
      <c r="AA308" s="18" t="n">
        <f aca="false">IFERROR(INDEX(CADASTRO_PIVOS!$I$6:$I$41,MATCH($E308,CADASTRO_PIVOS!$B$6:$B$41,0)),0)</f>
        <v>711.285714285714</v>
      </c>
      <c r="AB308" s="18" t="n">
        <f aca="false">IF($Z308&lt;=0,0,$Z308/$AA308)</f>
        <v>51.2597647058824</v>
      </c>
      <c r="AC308" s="16" t="n">
        <f aca="false">IFERROR(INDEX(SEMANAS!$K$6:$K$71,MATCH($B308,SEMANAS!$B$6:$B$71,0)),0)</f>
        <v>147</v>
      </c>
      <c r="AD308" s="19" t="n">
        <f aca="false">IF($AC308&lt;=0,0,$AB308/$AC308)</f>
        <v>0.348705882352941</v>
      </c>
      <c r="AE308" s="8" t="str">
        <f aca="false">IF($K308="SEM CULTURA","SEM CULTURA",IF($AA308&lt;=0,"DADO PENDENTE",IF($AD308&gt;LIMITE_CRITICO,"INVIAVEL",IF($AD308&gt;LIMITE_ATENCAO,"CRITICO",IF($AD308&gt;LIMITE_CONFORTAVEL,"ATENCAO","OK")))))</f>
        <v>OK</v>
      </c>
      <c r="AF308" s="8" t="str">
        <f aca="false">$B308&amp;"|"&amp;TEXT($AD308,"0.000000")</f>
        <v>39|0.348706</v>
      </c>
      <c r="AG308" s="18" t="n">
        <f aca="false">IF($K308="SEM CULTURA",0,$T308*$H308)</f>
        <v>3366.7998</v>
      </c>
      <c r="AH308" s="18" t="n">
        <f aca="false">IF($K308="SEM CULTURA",0,$V308*$H308)</f>
        <v>267.67104</v>
      </c>
      <c r="AI308" s="18" t="n">
        <f aca="false">IF($K308="SEM CULTURA",0,$W308*$H308)</f>
        <v>3099.12876</v>
      </c>
      <c r="AJ308" s="18" t="n">
        <f aca="false">IF($K308="SEM CULTURA",0,$S308*$H308)</f>
        <v>2927.652</v>
      </c>
      <c r="AK308" s="8" t="str">
        <f aca="false">$E308&amp;"|"&amp;TEXT($AD308,"0.000000")</f>
        <v>PV 107|0.348706</v>
      </c>
    </row>
    <row r="309" customFormat="false" ht="15" hidden="false" customHeight="false" outlineLevel="0" collapsed="false">
      <c r="B309" s="16" t="n">
        <v>40</v>
      </c>
      <c r="C309" s="17" t="n">
        <f aca="false">DATA_INICIO_SAFRA+($B309-1)*DIAS_POR_SEMANA</f>
        <v>46538</v>
      </c>
      <c r="D309" s="17" t="n">
        <f aca="false">$C309+DIAS_POR_SEMANA-1</f>
        <v>46544</v>
      </c>
      <c r="E309" s="15" t="s">
        <v>263</v>
      </c>
      <c r="F309" s="8" t="str">
        <f aca="false">IFERROR(INDEX(CADASTRO_PIVOS!$C$6:$C$41,MATCH($E309,CADASTRO_PIVOS!$B$6:$B$41,0)),"?")</f>
        <v>RM03</v>
      </c>
      <c r="G309" s="8" t="str">
        <f aca="false">IFERROR(INDEX(CADASTRO_PIVOS!$D$6:$D$41,MATCH($E309,CADASTRO_PIVOS!$B$6:$B$41,0)),"?")</f>
        <v>TR03</v>
      </c>
      <c r="H309" s="20" t="n">
        <f aca="false">IFERROR(INDEX(CADASTRO_PIVOS!$E$6:$E$41,MATCH($E309,CADASTRO_PIVOS!$B$6:$B$41,0)),0)</f>
        <v>99.58</v>
      </c>
      <c r="I309" s="16" t="n">
        <f aca="false">IFERROR(SUMIFS(ROTACAO_RDM!$B$6:$B$71,ROTACAO_RDM!$D$6:$D$71,$E309,ROTACAO_RDM!$I$6:$I$71,"&lt;="&amp;$C309+INT(DIAS_POR_SEMANA/2),ROTACAO_RDM!$J$6:$J$71,"&gt;="&amp;$C309+INT(DIAS_POR_SEMANA/2)),0)</f>
        <v>13</v>
      </c>
      <c r="J309" s="16" t="n">
        <f aca="false">IFERROR(MATCH($I309,ROTACAO_RDM!$B$6:$B$71,0),0)</f>
        <v>13</v>
      </c>
      <c r="K309" s="8" t="str">
        <f aca="false">IF($J309=0,"SEM CULTURA",INDEX(ROTACAO_RDM!$F$6:$F$71,$J309))</f>
        <v>ALGODAO</v>
      </c>
      <c r="L309" s="8" t="str">
        <f aca="false">IF($J309=0,"",INDEX(ROTACAO_RDM!$G$6:$G$71,$J309))</f>
        <v>FM 933 STP</v>
      </c>
      <c r="M309" s="17" t="n">
        <f aca="false">IF($J309=0,"",INDEX(ROTACAO_RDM!$I$6:$I$71,$J309))</f>
        <v>46424</v>
      </c>
      <c r="N309" s="16" t="n">
        <f aca="false">IF($J309=0,0,MAX(0,$C309+INT(DIAS_POR_SEMANA/2)-INDEX(ROTACAO_RDM!$I$6:$I$71,$J309)))</f>
        <v>117</v>
      </c>
      <c r="O309" s="19" t="n">
        <f aca="false">IF($J309=0,0,MIN(1,$N309/MAX(1,INDEX(ROTACAO_RDM!$K$6:$K$71,$J309))))</f>
        <v>0.6</v>
      </c>
      <c r="P309" s="16" t="n">
        <f aca="false">IF($J309=0,0,IFERROR(MATCH(INDEX(ROTACAO_RDM!$N$6:$N$71,$J309),PARAMETROS_CULTURAS!$B$6:$B$28,0),0))</f>
        <v>5</v>
      </c>
      <c r="Q309" s="8" t="str">
        <f aca="false">IF($P309=0,"-",IF($O309&lt;=INDEX(PARAMETROS_CULTURAS!$F$6:$F$28,$P309),"INICIAL",IF($O309&lt;=INDEX(PARAMETROS_CULTURAS!$F$6:$F$28,$P309)+INDEX(PARAMETROS_CULTURAS!$G$6:$G$28,$P309),"DESENVOLVIMENTO",IF($O309&lt;=INDEX(PARAMETROS_CULTURAS!$F$6:$F$28,$P309)+INDEX(PARAMETROS_CULTURAS!$G$6:$G$28,$P309)+INDEX(PARAMETROS_CULTURAS!$H$6:$H$28,$P309),"MEDIA","FINAL"))))</f>
        <v>MEDIA</v>
      </c>
      <c r="R309" s="24" t="n">
        <f aca="false">IF($P309=0,0,IF($O309&lt;=INDEX(PARAMETROS_CULTURAS!$F$6:$F$28,$P309),INDEX(PARAMETROS_CULTURAS!$K$6:$K$28,$P309),IF($O309&lt;=INDEX(PARAMETROS_CULTURAS!$F$6:$F$28,$P309)+INDEX(PARAMETROS_CULTURAS!$G$6:$G$28,$P309),INDEX(PARAMETROS_CULTURAS!$K$6:$K$28,$P309)+(INDEX(PARAMETROS_CULTURAS!$L$6:$L$28,$P309)-INDEX(PARAMETROS_CULTURAS!$K$6:$K$28,$P309))*($O309-INDEX(PARAMETROS_CULTURAS!$F$6:$F$28,$P309))/MAX(INDEX(PARAMETROS_CULTURAS!$G$6:$G$28,$P309),0.0001),IF($O309&lt;=INDEX(PARAMETROS_CULTURAS!$F$6:$F$28,$P309)+INDEX(PARAMETROS_CULTURAS!$G$6:$G$28,$P309)+INDEX(PARAMETROS_CULTURAS!$H$6:$H$28,$P309),INDEX(PARAMETROS_CULTURAS!$L$6:$L$28,$P309),INDEX(PARAMETROS_CULTURAS!$L$6:$L$28,$P309)+(INDEX(PARAMETROS_CULTURAS!$M$6:$M$28,$P309)-INDEX(PARAMETROS_CULTURAS!$L$6:$L$28,$P309))*($O309-INDEX(PARAMETROS_CULTURAS!$F$6:$F$28,$P309)-INDEX(PARAMETROS_CULTURAS!$G$6:$G$28,$P309)-INDEX(PARAMETROS_CULTURAS!$H$6:$H$28,$P309))/MAX(INDEX(PARAMETROS_CULTURAS!$I$6:$I$28,$P309),0.0001)))))</f>
        <v>1.15</v>
      </c>
      <c r="S309" s="18" t="n">
        <f aca="false">IFERROR(INDEX(SEMANAS!$H$6:$H$71,MATCH($B309,SEMANAS!$B$6:$B$71,0)),0)</f>
        <v>28.2</v>
      </c>
      <c r="T309" s="18" t="n">
        <f aca="false">$R309*$S309</f>
        <v>32.43</v>
      </c>
      <c r="U309" s="18" t="n">
        <f aca="false">IFERROR(INDEX(SEMANAS!$I$6:$I$71,MATCH($B309,SEMANAS!$B$6:$B$71,0)),0)</f>
        <v>1.5</v>
      </c>
      <c r="V309" s="18" t="n">
        <f aca="false">IFERROR(INDEX(SEMANAS!$J$6:$J$71,MATCH($B309,SEMANAS!$B$6:$B$71,0)),0)</f>
        <v>1.2</v>
      </c>
      <c r="W309" s="18" t="n">
        <f aca="false">MAX(0,$T309-$V309)</f>
        <v>31.23</v>
      </c>
      <c r="X309" s="19" t="n">
        <f aca="false">IFERROR(INDEX(CADASTRO_PIVOS!$K$6:$K$41,MATCH($E309,CADASTRO_PIVOS!$B$6:$B$41,0)),EFICIENCIA_PADRAO)</f>
        <v>0.85</v>
      </c>
      <c r="Y309" s="18" t="n">
        <f aca="false">IF($X309&lt;=0,0,$W309/$X309)</f>
        <v>36.7411764705882</v>
      </c>
      <c r="Z309" s="16" t="n">
        <f aca="false">$Y309*$H309*MM_PARA_M3_HA</f>
        <v>36586.8635294118</v>
      </c>
      <c r="AA309" s="18" t="n">
        <f aca="false">IFERROR(INDEX(CADASTRO_PIVOS!$I$6:$I$41,MATCH($E309,CADASTRO_PIVOS!$B$6:$B$41,0)),0)</f>
        <v>711.285714285714</v>
      </c>
      <c r="AB309" s="18" t="n">
        <f aca="false">IF($Z309&lt;=0,0,$Z309/$AA309)</f>
        <v>51.4376470588235</v>
      </c>
      <c r="AC309" s="16" t="n">
        <f aca="false">IFERROR(INDEX(SEMANAS!$K$6:$K$71,MATCH($B309,SEMANAS!$B$6:$B$71,0)),0)</f>
        <v>147</v>
      </c>
      <c r="AD309" s="19" t="n">
        <f aca="false">IF($AC309&lt;=0,0,$AB309/$AC309)</f>
        <v>0.349915966386555</v>
      </c>
      <c r="AE309" s="8" t="str">
        <f aca="false">IF($K309="SEM CULTURA","SEM CULTURA",IF($AA309&lt;=0,"DADO PENDENTE",IF($AD309&gt;LIMITE_CRITICO,"INVIAVEL",IF($AD309&gt;LIMITE_ATENCAO,"CRITICO",IF($AD309&gt;LIMITE_CONFORTAVEL,"ATENCAO","OK")))))</f>
        <v>OK</v>
      </c>
      <c r="AF309" s="8" t="str">
        <f aca="false">$B309&amp;"|"&amp;TEXT($AD309,"0.000000")</f>
        <v>40|0.349916</v>
      </c>
      <c r="AG309" s="18" t="n">
        <f aca="false">IF($K309="SEM CULTURA",0,$T309*$H309)</f>
        <v>3229.3794</v>
      </c>
      <c r="AH309" s="18" t="n">
        <f aca="false">IF($K309="SEM CULTURA",0,$V309*$H309)</f>
        <v>119.496</v>
      </c>
      <c r="AI309" s="18" t="n">
        <f aca="false">IF($K309="SEM CULTURA",0,$W309*$H309)</f>
        <v>3109.8834</v>
      </c>
      <c r="AJ309" s="18" t="n">
        <f aca="false">IF($K309="SEM CULTURA",0,$S309*$H309)</f>
        <v>2808.156</v>
      </c>
      <c r="AK309" s="8" t="str">
        <f aca="false">$E309&amp;"|"&amp;TEXT($AD309,"0.000000")</f>
        <v>PV 107|0.349916</v>
      </c>
    </row>
    <row r="310" customFormat="false" ht="15" hidden="false" customHeight="false" outlineLevel="0" collapsed="false">
      <c r="B310" s="16" t="n">
        <v>41</v>
      </c>
      <c r="C310" s="17" t="n">
        <f aca="false">DATA_INICIO_SAFRA+($B310-1)*DIAS_POR_SEMANA</f>
        <v>46545</v>
      </c>
      <c r="D310" s="17" t="n">
        <f aca="false">$C310+DIAS_POR_SEMANA-1</f>
        <v>46551</v>
      </c>
      <c r="E310" s="15" t="s">
        <v>263</v>
      </c>
      <c r="F310" s="8" t="str">
        <f aca="false">IFERROR(INDEX(CADASTRO_PIVOS!$C$6:$C$41,MATCH($E310,CADASTRO_PIVOS!$B$6:$B$41,0)),"?")</f>
        <v>RM03</v>
      </c>
      <c r="G310" s="8" t="str">
        <f aca="false">IFERROR(INDEX(CADASTRO_PIVOS!$D$6:$D$41,MATCH($E310,CADASTRO_PIVOS!$B$6:$B$41,0)),"?")</f>
        <v>TR03</v>
      </c>
      <c r="H310" s="20" t="n">
        <f aca="false">IFERROR(INDEX(CADASTRO_PIVOS!$E$6:$E$41,MATCH($E310,CADASTRO_PIVOS!$B$6:$B$41,0)),0)</f>
        <v>99.58</v>
      </c>
      <c r="I310" s="16" t="n">
        <f aca="false">IFERROR(SUMIFS(ROTACAO_RDM!$B$6:$B$71,ROTACAO_RDM!$D$6:$D$71,$E310,ROTACAO_RDM!$I$6:$I$71,"&lt;="&amp;$C310+INT(DIAS_POR_SEMANA/2),ROTACAO_RDM!$J$6:$J$71,"&gt;="&amp;$C310+INT(DIAS_POR_SEMANA/2)),0)</f>
        <v>13</v>
      </c>
      <c r="J310" s="16" t="n">
        <f aca="false">IFERROR(MATCH($I310,ROTACAO_RDM!$B$6:$B$71,0),0)</f>
        <v>13</v>
      </c>
      <c r="K310" s="8" t="str">
        <f aca="false">IF($J310=0,"SEM CULTURA",INDEX(ROTACAO_RDM!$F$6:$F$71,$J310))</f>
        <v>ALGODAO</v>
      </c>
      <c r="L310" s="8" t="str">
        <f aca="false">IF($J310=0,"",INDEX(ROTACAO_RDM!$G$6:$G$71,$J310))</f>
        <v>FM 933 STP</v>
      </c>
      <c r="M310" s="17" t="n">
        <f aca="false">IF($J310=0,"",INDEX(ROTACAO_RDM!$I$6:$I$71,$J310))</f>
        <v>46424</v>
      </c>
      <c r="N310" s="16" t="n">
        <f aca="false">IF($J310=0,0,MAX(0,$C310+INT(DIAS_POR_SEMANA/2)-INDEX(ROTACAO_RDM!$I$6:$I$71,$J310)))</f>
        <v>124</v>
      </c>
      <c r="O310" s="19" t="n">
        <f aca="false">IF($J310=0,0,MIN(1,$N310/MAX(1,INDEX(ROTACAO_RDM!$K$6:$K$71,$J310))))</f>
        <v>0.635897435897436</v>
      </c>
      <c r="P310" s="16" t="n">
        <f aca="false">IF($J310=0,0,IFERROR(MATCH(INDEX(ROTACAO_RDM!$N$6:$N$71,$J310),PARAMETROS_CULTURAS!$B$6:$B$28,0),0))</f>
        <v>5</v>
      </c>
      <c r="Q310" s="8" t="str">
        <f aca="false">IF($P310=0,"-",IF($O310&lt;=INDEX(PARAMETROS_CULTURAS!$F$6:$F$28,$P310),"INICIAL",IF($O310&lt;=INDEX(PARAMETROS_CULTURAS!$F$6:$F$28,$P310)+INDEX(PARAMETROS_CULTURAS!$G$6:$G$28,$P310),"DESENVOLVIMENTO",IF($O310&lt;=INDEX(PARAMETROS_CULTURAS!$F$6:$F$28,$P310)+INDEX(PARAMETROS_CULTURAS!$G$6:$G$28,$P310)+INDEX(PARAMETROS_CULTURAS!$H$6:$H$28,$P310),"MEDIA","FINAL"))))</f>
        <v>MEDIA</v>
      </c>
      <c r="R310" s="24" t="n">
        <f aca="false">IF($P310=0,0,IF($O310&lt;=INDEX(PARAMETROS_CULTURAS!$F$6:$F$28,$P310),INDEX(PARAMETROS_CULTURAS!$K$6:$K$28,$P310),IF($O310&lt;=INDEX(PARAMETROS_CULTURAS!$F$6:$F$28,$P310)+INDEX(PARAMETROS_CULTURAS!$G$6:$G$28,$P310),INDEX(PARAMETROS_CULTURAS!$K$6:$K$28,$P310)+(INDEX(PARAMETROS_CULTURAS!$L$6:$L$28,$P310)-INDEX(PARAMETROS_CULTURAS!$K$6:$K$28,$P310))*($O310-INDEX(PARAMETROS_CULTURAS!$F$6:$F$28,$P310))/MAX(INDEX(PARAMETROS_CULTURAS!$G$6:$G$28,$P310),0.0001),IF($O310&lt;=INDEX(PARAMETROS_CULTURAS!$F$6:$F$28,$P310)+INDEX(PARAMETROS_CULTURAS!$G$6:$G$28,$P310)+INDEX(PARAMETROS_CULTURAS!$H$6:$H$28,$P310),INDEX(PARAMETROS_CULTURAS!$L$6:$L$28,$P310),INDEX(PARAMETROS_CULTURAS!$L$6:$L$28,$P310)+(INDEX(PARAMETROS_CULTURAS!$M$6:$M$28,$P310)-INDEX(PARAMETROS_CULTURAS!$L$6:$L$28,$P310))*($O310-INDEX(PARAMETROS_CULTURAS!$F$6:$F$28,$P310)-INDEX(PARAMETROS_CULTURAS!$G$6:$G$28,$P310)-INDEX(PARAMETROS_CULTURAS!$H$6:$H$28,$P310))/MAX(INDEX(PARAMETROS_CULTURAS!$I$6:$I$28,$P310),0.0001)))))</f>
        <v>1.15</v>
      </c>
      <c r="S310" s="18" t="n">
        <f aca="false">IFERROR(INDEX(SEMANAS!$H$6:$H$71,MATCH($B310,SEMANAS!$B$6:$B$71,0)),0)</f>
        <v>28</v>
      </c>
      <c r="T310" s="18" t="n">
        <f aca="false">$R310*$S310</f>
        <v>32.2</v>
      </c>
      <c r="U310" s="18" t="n">
        <f aca="false">IFERROR(INDEX(SEMANAS!$I$6:$I$71,MATCH($B310,SEMANAS!$B$6:$B$71,0)),0)</f>
        <v>1.19</v>
      </c>
      <c r="V310" s="18" t="n">
        <f aca="false">IFERROR(INDEX(SEMANAS!$J$6:$J$71,MATCH($B310,SEMANAS!$B$6:$B$71,0)),0)</f>
        <v>0.952</v>
      </c>
      <c r="W310" s="18" t="n">
        <f aca="false">MAX(0,$T310-$V310)</f>
        <v>31.248</v>
      </c>
      <c r="X310" s="19" t="n">
        <f aca="false">IFERROR(INDEX(CADASTRO_PIVOS!$K$6:$K$41,MATCH($E310,CADASTRO_PIVOS!$B$6:$B$41,0)),EFICIENCIA_PADRAO)</f>
        <v>0.85</v>
      </c>
      <c r="Y310" s="18" t="n">
        <f aca="false">IF($X310&lt;=0,0,$W310/$X310)</f>
        <v>36.7623529411765</v>
      </c>
      <c r="Z310" s="16" t="n">
        <f aca="false">$Y310*$H310*MM_PARA_M3_HA</f>
        <v>36607.9510588235</v>
      </c>
      <c r="AA310" s="18" t="n">
        <f aca="false">IFERROR(INDEX(CADASTRO_PIVOS!$I$6:$I$41,MATCH($E310,CADASTRO_PIVOS!$B$6:$B$41,0)),0)</f>
        <v>711.285714285714</v>
      </c>
      <c r="AB310" s="18" t="n">
        <f aca="false">IF($Z310&lt;=0,0,$Z310/$AA310)</f>
        <v>51.467294117647</v>
      </c>
      <c r="AC310" s="16" t="n">
        <f aca="false">IFERROR(INDEX(SEMANAS!$K$6:$K$71,MATCH($B310,SEMANAS!$B$6:$B$71,0)),0)</f>
        <v>147</v>
      </c>
      <c r="AD310" s="19" t="n">
        <f aca="false">IF($AC310&lt;=0,0,$AB310/$AC310)</f>
        <v>0.350117647058823</v>
      </c>
      <c r="AE310" s="8" t="str">
        <f aca="false">IF($K310="SEM CULTURA","SEM CULTURA",IF($AA310&lt;=0,"DADO PENDENTE",IF($AD310&gt;LIMITE_CRITICO,"INVIAVEL",IF($AD310&gt;LIMITE_ATENCAO,"CRITICO",IF($AD310&gt;LIMITE_CONFORTAVEL,"ATENCAO","OK")))))</f>
        <v>OK</v>
      </c>
      <c r="AF310" s="8" t="str">
        <f aca="false">$B310&amp;"|"&amp;TEXT($AD310,"0.000000")</f>
        <v>41|0.350118</v>
      </c>
      <c r="AG310" s="18" t="n">
        <f aca="false">IF($K310="SEM CULTURA",0,$T310*$H310)</f>
        <v>3206.476</v>
      </c>
      <c r="AH310" s="18" t="n">
        <f aca="false">IF($K310="SEM CULTURA",0,$V310*$H310)</f>
        <v>94.80016</v>
      </c>
      <c r="AI310" s="18" t="n">
        <f aca="false">IF($K310="SEM CULTURA",0,$W310*$H310)</f>
        <v>3111.67584</v>
      </c>
      <c r="AJ310" s="18" t="n">
        <f aca="false">IF($K310="SEM CULTURA",0,$S310*$H310)</f>
        <v>2788.24</v>
      </c>
      <c r="AK310" s="8" t="str">
        <f aca="false">$E310&amp;"|"&amp;TEXT($AD310,"0.000000")</f>
        <v>PV 107|0.350118</v>
      </c>
    </row>
    <row r="311" customFormat="false" ht="15" hidden="false" customHeight="false" outlineLevel="0" collapsed="false">
      <c r="B311" s="16" t="n">
        <v>42</v>
      </c>
      <c r="C311" s="17" t="n">
        <f aca="false">DATA_INICIO_SAFRA+($B311-1)*DIAS_POR_SEMANA</f>
        <v>46552</v>
      </c>
      <c r="D311" s="17" t="n">
        <f aca="false">$C311+DIAS_POR_SEMANA-1</f>
        <v>46558</v>
      </c>
      <c r="E311" s="15" t="s">
        <v>263</v>
      </c>
      <c r="F311" s="8" t="str">
        <f aca="false">IFERROR(INDEX(CADASTRO_PIVOS!$C$6:$C$41,MATCH($E311,CADASTRO_PIVOS!$B$6:$B$41,0)),"?")</f>
        <v>RM03</v>
      </c>
      <c r="G311" s="8" t="str">
        <f aca="false">IFERROR(INDEX(CADASTRO_PIVOS!$D$6:$D$41,MATCH($E311,CADASTRO_PIVOS!$B$6:$B$41,0)),"?")</f>
        <v>TR03</v>
      </c>
      <c r="H311" s="20" t="n">
        <f aca="false">IFERROR(INDEX(CADASTRO_PIVOS!$E$6:$E$41,MATCH($E311,CADASTRO_PIVOS!$B$6:$B$41,0)),0)</f>
        <v>99.58</v>
      </c>
      <c r="I311" s="16" t="n">
        <f aca="false">IFERROR(SUMIFS(ROTACAO_RDM!$B$6:$B$71,ROTACAO_RDM!$D$6:$D$71,$E311,ROTACAO_RDM!$I$6:$I$71,"&lt;="&amp;$C311+INT(DIAS_POR_SEMANA/2),ROTACAO_RDM!$J$6:$J$71,"&gt;="&amp;$C311+INT(DIAS_POR_SEMANA/2)),0)</f>
        <v>13</v>
      </c>
      <c r="J311" s="16" t="n">
        <f aca="false">IFERROR(MATCH($I311,ROTACAO_RDM!$B$6:$B$71,0),0)</f>
        <v>13</v>
      </c>
      <c r="K311" s="8" t="str">
        <f aca="false">IF($J311=0,"SEM CULTURA",INDEX(ROTACAO_RDM!$F$6:$F$71,$J311))</f>
        <v>ALGODAO</v>
      </c>
      <c r="L311" s="8" t="str">
        <f aca="false">IF($J311=0,"",INDEX(ROTACAO_RDM!$G$6:$G$71,$J311))</f>
        <v>FM 933 STP</v>
      </c>
      <c r="M311" s="17" t="n">
        <f aca="false">IF($J311=0,"",INDEX(ROTACAO_RDM!$I$6:$I$71,$J311))</f>
        <v>46424</v>
      </c>
      <c r="N311" s="16" t="n">
        <f aca="false">IF($J311=0,0,MAX(0,$C311+INT(DIAS_POR_SEMANA/2)-INDEX(ROTACAO_RDM!$I$6:$I$71,$J311)))</f>
        <v>131</v>
      </c>
      <c r="O311" s="19" t="n">
        <f aca="false">IF($J311=0,0,MIN(1,$N311/MAX(1,INDEX(ROTACAO_RDM!$K$6:$K$71,$J311))))</f>
        <v>0.671794871794872</v>
      </c>
      <c r="P311" s="16" t="n">
        <f aca="false">IF($J311=0,0,IFERROR(MATCH(INDEX(ROTACAO_RDM!$N$6:$N$71,$J311),PARAMETROS_CULTURAS!$B$6:$B$28,0),0))</f>
        <v>5</v>
      </c>
      <c r="Q311" s="8" t="str">
        <f aca="false">IF($P311=0,"-",IF($O311&lt;=INDEX(PARAMETROS_CULTURAS!$F$6:$F$28,$P311),"INICIAL",IF($O311&lt;=INDEX(PARAMETROS_CULTURAS!$F$6:$F$28,$P311)+INDEX(PARAMETROS_CULTURAS!$G$6:$G$28,$P311),"DESENVOLVIMENTO",IF($O311&lt;=INDEX(PARAMETROS_CULTURAS!$F$6:$F$28,$P311)+INDEX(PARAMETROS_CULTURAS!$G$6:$G$28,$P311)+INDEX(PARAMETROS_CULTURAS!$H$6:$H$28,$P311),"MEDIA","FINAL"))))</f>
        <v>MEDIA</v>
      </c>
      <c r="R311" s="24" t="n">
        <f aca="false">IF($P311=0,0,IF($O311&lt;=INDEX(PARAMETROS_CULTURAS!$F$6:$F$28,$P311),INDEX(PARAMETROS_CULTURAS!$K$6:$K$28,$P311),IF($O311&lt;=INDEX(PARAMETROS_CULTURAS!$F$6:$F$28,$P311)+INDEX(PARAMETROS_CULTURAS!$G$6:$G$28,$P311),INDEX(PARAMETROS_CULTURAS!$K$6:$K$28,$P311)+(INDEX(PARAMETROS_CULTURAS!$L$6:$L$28,$P311)-INDEX(PARAMETROS_CULTURAS!$K$6:$K$28,$P311))*($O311-INDEX(PARAMETROS_CULTURAS!$F$6:$F$28,$P311))/MAX(INDEX(PARAMETROS_CULTURAS!$G$6:$G$28,$P311),0.0001),IF($O311&lt;=INDEX(PARAMETROS_CULTURAS!$F$6:$F$28,$P311)+INDEX(PARAMETROS_CULTURAS!$G$6:$G$28,$P311)+INDEX(PARAMETROS_CULTURAS!$H$6:$H$28,$P311),INDEX(PARAMETROS_CULTURAS!$L$6:$L$28,$P311),INDEX(PARAMETROS_CULTURAS!$L$6:$L$28,$P311)+(INDEX(PARAMETROS_CULTURAS!$M$6:$M$28,$P311)-INDEX(PARAMETROS_CULTURAS!$L$6:$L$28,$P311))*($O311-INDEX(PARAMETROS_CULTURAS!$F$6:$F$28,$P311)-INDEX(PARAMETROS_CULTURAS!$G$6:$G$28,$P311)-INDEX(PARAMETROS_CULTURAS!$H$6:$H$28,$P311))/MAX(INDEX(PARAMETROS_CULTURAS!$I$6:$I$28,$P311),0.0001)))))</f>
        <v>1.15</v>
      </c>
      <c r="S311" s="18" t="n">
        <f aca="false">IFERROR(INDEX(SEMANAS!$H$6:$H$71,MATCH($B311,SEMANAS!$B$6:$B$71,0)),0)</f>
        <v>28</v>
      </c>
      <c r="T311" s="18" t="n">
        <f aca="false">$R311*$S311</f>
        <v>32.2</v>
      </c>
      <c r="U311" s="18" t="n">
        <f aca="false">IFERROR(INDEX(SEMANAS!$I$6:$I$71,MATCH($B311,SEMANAS!$B$6:$B$71,0)),0)</f>
        <v>1.19</v>
      </c>
      <c r="V311" s="18" t="n">
        <f aca="false">IFERROR(INDEX(SEMANAS!$J$6:$J$71,MATCH($B311,SEMANAS!$B$6:$B$71,0)),0)</f>
        <v>0.952</v>
      </c>
      <c r="W311" s="18" t="n">
        <f aca="false">MAX(0,$T311-$V311)</f>
        <v>31.248</v>
      </c>
      <c r="X311" s="19" t="n">
        <f aca="false">IFERROR(INDEX(CADASTRO_PIVOS!$K$6:$K$41,MATCH($E311,CADASTRO_PIVOS!$B$6:$B$41,0)),EFICIENCIA_PADRAO)</f>
        <v>0.85</v>
      </c>
      <c r="Y311" s="18" t="n">
        <f aca="false">IF($X311&lt;=0,0,$W311/$X311)</f>
        <v>36.7623529411765</v>
      </c>
      <c r="Z311" s="16" t="n">
        <f aca="false">$Y311*$H311*MM_PARA_M3_HA</f>
        <v>36607.9510588235</v>
      </c>
      <c r="AA311" s="18" t="n">
        <f aca="false">IFERROR(INDEX(CADASTRO_PIVOS!$I$6:$I$41,MATCH($E311,CADASTRO_PIVOS!$B$6:$B$41,0)),0)</f>
        <v>711.285714285714</v>
      </c>
      <c r="AB311" s="18" t="n">
        <f aca="false">IF($Z311&lt;=0,0,$Z311/$AA311)</f>
        <v>51.467294117647</v>
      </c>
      <c r="AC311" s="16" t="n">
        <f aca="false">IFERROR(INDEX(SEMANAS!$K$6:$K$71,MATCH($B311,SEMANAS!$B$6:$B$71,0)),0)</f>
        <v>147</v>
      </c>
      <c r="AD311" s="19" t="n">
        <f aca="false">IF($AC311&lt;=0,0,$AB311/$AC311)</f>
        <v>0.350117647058823</v>
      </c>
      <c r="AE311" s="8" t="str">
        <f aca="false">IF($K311="SEM CULTURA","SEM CULTURA",IF($AA311&lt;=0,"DADO PENDENTE",IF($AD311&gt;LIMITE_CRITICO,"INVIAVEL",IF($AD311&gt;LIMITE_ATENCAO,"CRITICO",IF($AD311&gt;LIMITE_CONFORTAVEL,"ATENCAO","OK")))))</f>
        <v>OK</v>
      </c>
      <c r="AF311" s="8" t="str">
        <f aca="false">$B311&amp;"|"&amp;TEXT($AD311,"0.000000")</f>
        <v>42|0.350118</v>
      </c>
      <c r="AG311" s="18" t="n">
        <f aca="false">IF($K311="SEM CULTURA",0,$T311*$H311)</f>
        <v>3206.476</v>
      </c>
      <c r="AH311" s="18" t="n">
        <f aca="false">IF($K311="SEM CULTURA",0,$V311*$H311)</f>
        <v>94.80016</v>
      </c>
      <c r="AI311" s="18" t="n">
        <f aca="false">IF($K311="SEM CULTURA",0,$W311*$H311)</f>
        <v>3111.67584</v>
      </c>
      <c r="AJ311" s="18" t="n">
        <f aca="false">IF($K311="SEM CULTURA",0,$S311*$H311)</f>
        <v>2788.24</v>
      </c>
      <c r="AK311" s="8" t="str">
        <f aca="false">$E311&amp;"|"&amp;TEXT($AD311,"0.000000")</f>
        <v>PV 107|0.350118</v>
      </c>
    </row>
    <row r="312" customFormat="false" ht="15" hidden="false" customHeight="false" outlineLevel="0" collapsed="false">
      <c r="B312" s="16" t="n">
        <v>43</v>
      </c>
      <c r="C312" s="17" t="n">
        <f aca="false">DATA_INICIO_SAFRA+($B312-1)*DIAS_POR_SEMANA</f>
        <v>46559</v>
      </c>
      <c r="D312" s="17" t="n">
        <f aca="false">$C312+DIAS_POR_SEMANA-1</f>
        <v>46565</v>
      </c>
      <c r="E312" s="15" t="s">
        <v>263</v>
      </c>
      <c r="F312" s="8" t="str">
        <f aca="false">IFERROR(INDEX(CADASTRO_PIVOS!$C$6:$C$41,MATCH($E312,CADASTRO_PIVOS!$B$6:$B$41,0)),"?")</f>
        <v>RM03</v>
      </c>
      <c r="G312" s="8" t="str">
        <f aca="false">IFERROR(INDEX(CADASTRO_PIVOS!$D$6:$D$41,MATCH($E312,CADASTRO_PIVOS!$B$6:$B$41,0)),"?")</f>
        <v>TR03</v>
      </c>
      <c r="H312" s="20" t="n">
        <f aca="false">IFERROR(INDEX(CADASTRO_PIVOS!$E$6:$E$41,MATCH($E312,CADASTRO_PIVOS!$B$6:$B$41,0)),0)</f>
        <v>99.58</v>
      </c>
      <c r="I312" s="16" t="n">
        <f aca="false">IFERROR(SUMIFS(ROTACAO_RDM!$B$6:$B$71,ROTACAO_RDM!$D$6:$D$71,$E312,ROTACAO_RDM!$I$6:$I$71,"&lt;="&amp;$C312+INT(DIAS_POR_SEMANA/2),ROTACAO_RDM!$J$6:$J$71,"&gt;="&amp;$C312+INT(DIAS_POR_SEMANA/2)),0)</f>
        <v>13</v>
      </c>
      <c r="J312" s="16" t="n">
        <f aca="false">IFERROR(MATCH($I312,ROTACAO_RDM!$B$6:$B$71,0),0)</f>
        <v>13</v>
      </c>
      <c r="K312" s="8" t="str">
        <f aca="false">IF($J312=0,"SEM CULTURA",INDEX(ROTACAO_RDM!$F$6:$F$71,$J312))</f>
        <v>ALGODAO</v>
      </c>
      <c r="L312" s="8" t="str">
        <f aca="false">IF($J312=0,"",INDEX(ROTACAO_RDM!$G$6:$G$71,$J312))</f>
        <v>FM 933 STP</v>
      </c>
      <c r="M312" s="17" t="n">
        <f aca="false">IF($J312=0,"",INDEX(ROTACAO_RDM!$I$6:$I$71,$J312))</f>
        <v>46424</v>
      </c>
      <c r="N312" s="16" t="n">
        <f aca="false">IF($J312=0,0,MAX(0,$C312+INT(DIAS_POR_SEMANA/2)-INDEX(ROTACAO_RDM!$I$6:$I$71,$J312)))</f>
        <v>138</v>
      </c>
      <c r="O312" s="19" t="n">
        <f aca="false">IF($J312=0,0,MIN(1,$N312/MAX(1,INDEX(ROTACAO_RDM!$K$6:$K$71,$J312))))</f>
        <v>0.707692307692308</v>
      </c>
      <c r="P312" s="16" t="n">
        <f aca="false">IF($J312=0,0,IFERROR(MATCH(INDEX(ROTACAO_RDM!$N$6:$N$71,$J312),PARAMETROS_CULTURAS!$B$6:$B$28,0),0))</f>
        <v>5</v>
      </c>
      <c r="Q312" s="8" t="str">
        <f aca="false">IF($P312=0,"-",IF($O312&lt;=INDEX(PARAMETROS_CULTURAS!$F$6:$F$28,$P312),"INICIAL",IF($O312&lt;=INDEX(PARAMETROS_CULTURAS!$F$6:$F$28,$P312)+INDEX(PARAMETROS_CULTURAS!$G$6:$G$28,$P312),"DESENVOLVIMENTO",IF($O312&lt;=INDEX(PARAMETROS_CULTURAS!$F$6:$F$28,$P312)+INDEX(PARAMETROS_CULTURAS!$G$6:$G$28,$P312)+INDEX(PARAMETROS_CULTURAS!$H$6:$H$28,$P312),"MEDIA","FINAL"))))</f>
        <v>MEDIA</v>
      </c>
      <c r="R312" s="24" t="n">
        <f aca="false">IF($P312=0,0,IF($O312&lt;=INDEX(PARAMETROS_CULTURAS!$F$6:$F$28,$P312),INDEX(PARAMETROS_CULTURAS!$K$6:$K$28,$P312),IF($O312&lt;=INDEX(PARAMETROS_CULTURAS!$F$6:$F$28,$P312)+INDEX(PARAMETROS_CULTURAS!$G$6:$G$28,$P312),INDEX(PARAMETROS_CULTURAS!$K$6:$K$28,$P312)+(INDEX(PARAMETROS_CULTURAS!$L$6:$L$28,$P312)-INDEX(PARAMETROS_CULTURAS!$K$6:$K$28,$P312))*($O312-INDEX(PARAMETROS_CULTURAS!$F$6:$F$28,$P312))/MAX(INDEX(PARAMETROS_CULTURAS!$G$6:$G$28,$P312),0.0001),IF($O312&lt;=INDEX(PARAMETROS_CULTURAS!$F$6:$F$28,$P312)+INDEX(PARAMETROS_CULTURAS!$G$6:$G$28,$P312)+INDEX(PARAMETROS_CULTURAS!$H$6:$H$28,$P312),INDEX(PARAMETROS_CULTURAS!$L$6:$L$28,$P312),INDEX(PARAMETROS_CULTURAS!$L$6:$L$28,$P312)+(INDEX(PARAMETROS_CULTURAS!$M$6:$M$28,$P312)-INDEX(PARAMETROS_CULTURAS!$L$6:$L$28,$P312))*($O312-INDEX(PARAMETROS_CULTURAS!$F$6:$F$28,$P312)-INDEX(PARAMETROS_CULTURAS!$G$6:$G$28,$P312)-INDEX(PARAMETROS_CULTURAS!$H$6:$H$28,$P312))/MAX(INDEX(PARAMETROS_CULTURAS!$I$6:$I$28,$P312),0.0001)))))</f>
        <v>1.15</v>
      </c>
      <c r="S312" s="18" t="n">
        <f aca="false">IFERROR(INDEX(SEMANAS!$H$6:$H$71,MATCH($B312,SEMANAS!$B$6:$B$71,0)),0)</f>
        <v>28</v>
      </c>
      <c r="T312" s="18" t="n">
        <f aca="false">$R312*$S312</f>
        <v>32.2</v>
      </c>
      <c r="U312" s="18" t="n">
        <f aca="false">IFERROR(INDEX(SEMANAS!$I$6:$I$71,MATCH($B312,SEMANAS!$B$6:$B$71,0)),0)</f>
        <v>1.19</v>
      </c>
      <c r="V312" s="18" t="n">
        <f aca="false">IFERROR(INDEX(SEMANAS!$J$6:$J$71,MATCH($B312,SEMANAS!$B$6:$B$71,0)),0)</f>
        <v>0.952</v>
      </c>
      <c r="W312" s="18" t="n">
        <f aca="false">MAX(0,$T312-$V312)</f>
        <v>31.248</v>
      </c>
      <c r="X312" s="19" t="n">
        <f aca="false">IFERROR(INDEX(CADASTRO_PIVOS!$K$6:$K$41,MATCH($E312,CADASTRO_PIVOS!$B$6:$B$41,0)),EFICIENCIA_PADRAO)</f>
        <v>0.85</v>
      </c>
      <c r="Y312" s="18" t="n">
        <f aca="false">IF($X312&lt;=0,0,$W312/$X312)</f>
        <v>36.7623529411765</v>
      </c>
      <c r="Z312" s="16" t="n">
        <f aca="false">$Y312*$H312*MM_PARA_M3_HA</f>
        <v>36607.9510588235</v>
      </c>
      <c r="AA312" s="18" t="n">
        <f aca="false">IFERROR(INDEX(CADASTRO_PIVOS!$I$6:$I$41,MATCH($E312,CADASTRO_PIVOS!$B$6:$B$41,0)),0)</f>
        <v>711.285714285714</v>
      </c>
      <c r="AB312" s="18" t="n">
        <f aca="false">IF($Z312&lt;=0,0,$Z312/$AA312)</f>
        <v>51.467294117647</v>
      </c>
      <c r="AC312" s="16" t="n">
        <f aca="false">IFERROR(INDEX(SEMANAS!$K$6:$K$71,MATCH($B312,SEMANAS!$B$6:$B$71,0)),0)</f>
        <v>147</v>
      </c>
      <c r="AD312" s="19" t="n">
        <f aca="false">IF($AC312&lt;=0,0,$AB312/$AC312)</f>
        <v>0.350117647058823</v>
      </c>
      <c r="AE312" s="8" t="str">
        <f aca="false">IF($K312="SEM CULTURA","SEM CULTURA",IF($AA312&lt;=0,"DADO PENDENTE",IF($AD312&gt;LIMITE_CRITICO,"INVIAVEL",IF($AD312&gt;LIMITE_ATENCAO,"CRITICO",IF($AD312&gt;LIMITE_CONFORTAVEL,"ATENCAO","OK")))))</f>
        <v>OK</v>
      </c>
      <c r="AF312" s="8" t="str">
        <f aca="false">$B312&amp;"|"&amp;TEXT($AD312,"0.000000")</f>
        <v>43|0.350118</v>
      </c>
      <c r="AG312" s="18" t="n">
        <f aca="false">IF($K312="SEM CULTURA",0,$T312*$H312)</f>
        <v>3206.476</v>
      </c>
      <c r="AH312" s="18" t="n">
        <f aca="false">IF($K312="SEM CULTURA",0,$V312*$H312)</f>
        <v>94.80016</v>
      </c>
      <c r="AI312" s="18" t="n">
        <f aca="false">IF($K312="SEM CULTURA",0,$W312*$H312)</f>
        <v>3111.67584</v>
      </c>
      <c r="AJ312" s="18" t="n">
        <f aca="false">IF($K312="SEM CULTURA",0,$S312*$H312)</f>
        <v>2788.24</v>
      </c>
      <c r="AK312" s="8" t="str">
        <f aca="false">$E312&amp;"|"&amp;TEXT($AD312,"0.000000")</f>
        <v>PV 107|0.350118</v>
      </c>
    </row>
    <row r="313" customFormat="false" ht="15" hidden="false" customHeight="false" outlineLevel="0" collapsed="false">
      <c r="B313" s="16" t="n">
        <v>44</v>
      </c>
      <c r="C313" s="17" t="n">
        <f aca="false">DATA_INICIO_SAFRA+($B313-1)*DIAS_POR_SEMANA</f>
        <v>46566</v>
      </c>
      <c r="D313" s="17" t="n">
        <f aca="false">$C313+DIAS_POR_SEMANA-1</f>
        <v>46572</v>
      </c>
      <c r="E313" s="15" t="s">
        <v>263</v>
      </c>
      <c r="F313" s="8" t="str">
        <f aca="false">IFERROR(INDEX(CADASTRO_PIVOS!$C$6:$C$41,MATCH($E313,CADASTRO_PIVOS!$B$6:$B$41,0)),"?")</f>
        <v>RM03</v>
      </c>
      <c r="G313" s="8" t="str">
        <f aca="false">IFERROR(INDEX(CADASTRO_PIVOS!$D$6:$D$41,MATCH($E313,CADASTRO_PIVOS!$B$6:$B$41,0)),"?")</f>
        <v>TR03</v>
      </c>
      <c r="H313" s="20" t="n">
        <f aca="false">IFERROR(INDEX(CADASTRO_PIVOS!$E$6:$E$41,MATCH($E313,CADASTRO_PIVOS!$B$6:$B$41,0)),0)</f>
        <v>99.58</v>
      </c>
      <c r="I313" s="16" t="n">
        <f aca="false">IFERROR(SUMIFS(ROTACAO_RDM!$B$6:$B$71,ROTACAO_RDM!$D$6:$D$71,$E313,ROTACAO_RDM!$I$6:$I$71,"&lt;="&amp;$C313+INT(DIAS_POR_SEMANA/2),ROTACAO_RDM!$J$6:$J$71,"&gt;="&amp;$C313+INT(DIAS_POR_SEMANA/2)),0)</f>
        <v>13</v>
      </c>
      <c r="J313" s="16" t="n">
        <f aca="false">IFERROR(MATCH($I313,ROTACAO_RDM!$B$6:$B$71,0),0)</f>
        <v>13</v>
      </c>
      <c r="K313" s="8" t="str">
        <f aca="false">IF($J313=0,"SEM CULTURA",INDEX(ROTACAO_RDM!$F$6:$F$71,$J313))</f>
        <v>ALGODAO</v>
      </c>
      <c r="L313" s="8" t="str">
        <f aca="false">IF($J313=0,"",INDEX(ROTACAO_RDM!$G$6:$G$71,$J313))</f>
        <v>FM 933 STP</v>
      </c>
      <c r="M313" s="17" t="n">
        <f aca="false">IF($J313=0,"",INDEX(ROTACAO_RDM!$I$6:$I$71,$J313))</f>
        <v>46424</v>
      </c>
      <c r="N313" s="16" t="n">
        <f aca="false">IF($J313=0,0,MAX(0,$C313+INT(DIAS_POR_SEMANA/2)-INDEX(ROTACAO_RDM!$I$6:$I$71,$J313)))</f>
        <v>145</v>
      </c>
      <c r="O313" s="19" t="n">
        <f aca="false">IF($J313=0,0,MIN(1,$N313/MAX(1,INDEX(ROTACAO_RDM!$K$6:$K$71,$J313))))</f>
        <v>0.743589743589744</v>
      </c>
      <c r="P313" s="16" t="n">
        <f aca="false">IF($J313=0,0,IFERROR(MATCH(INDEX(ROTACAO_RDM!$N$6:$N$71,$J313),PARAMETROS_CULTURAS!$B$6:$B$28,0),0))</f>
        <v>5</v>
      </c>
      <c r="Q313" s="8" t="str">
        <f aca="false">IF($P313=0,"-",IF($O313&lt;=INDEX(PARAMETROS_CULTURAS!$F$6:$F$28,$P313),"INICIAL",IF($O313&lt;=INDEX(PARAMETROS_CULTURAS!$F$6:$F$28,$P313)+INDEX(PARAMETROS_CULTURAS!$G$6:$G$28,$P313),"DESENVOLVIMENTO",IF($O313&lt;=INDEX(PARAMETROS_CULTURAS!$F$6:$F$28,$P313)+INDEX(PARAMETROS_CULTURAS!$G$6:$G$28,$P313)+INDEX(PARAMETROS_CULTURAS!$H$6:$H$28,$P313),"MEDIA","FINAL"))))</f>
        <v>FINAL</v>
      </c>
      <c r="R313" s="24" t="n">
        <f aca="false">IF($P313=0,0,IF($O313&lt;=INDEX(PARAMETROS_CULTURAS!$F$6:$F$28,$P313),INDEX(PARAMETROS_CULTURAS!$K$6:$K$28,$P313),IF($O313&lt;=INDEX(PARAMETROS_CULTURAS!$F$6:$F$28,$P313)+INDEX(PARAMETROS_CULTURAS!$G$6:$G$28,$P313),INDEX(PARAMETROS_CULTURAS!$K$6:$K$28,$P313)+(INDEX(PARAMETROS_CULTURAS!$L$6:$L$28,$P313)-INDEX(PARAMETROS_CULTURAS!$K$6:$K$28,$P313))*($O313-INDEX(PARAMETROS_CULTURAS!$F$6:$F$28,$P313))/MAX(INDEX(PARAMETROS_CULTURAS!$G$6:$G$28,$P313),0.0001),IF($O313&lt;=INDEX(PARAMETROS_CULTURAS!$F$6:$F$28,$P313)+INDEX(PARAMETROS_CULTURAS!$G$6:$G$28,$P313)+INDEX(PARAMETROS_CULTURAS!$H$6:$H$28,$P313),INDEX(PARAMETROS_CULTURAS!$L$6:$L$28,$P313),INDEX(PARAMETROS_CULTURAS!$L$6:$L$28,$P313)+(INDEX(PARAMETROS_CULTURAS!$M$6:$M$28,$P313)-INDEX(PARAMETROS_CULTURAS!$L$6:$L$28,$P313))*($O313-INDEX(PARAMETROS_CULTURAS!$F$6:$F$28,$P313)-INDEX(PARAMETROS_CULTURAS!$G$6:$G$28,$P313)-INDEX(PARAMETROS_CULTURAS!$H$6:$H$28,$P313))/MAX(INDEX(PARAMETROS_CULTURAS!$I$6:$I$28,$P313),0.0001)))))</f>
        <v>1.103663003663</v>
      </c>
      <c r="S313" s="18" t="n">
        <f aca="false">IFERROR(INDEX(SEMANAS!$H$6:$H$71,MATCH($B313,SEMANAS!$B$6:$B$71,0)),0)</f>
        <v>29.2</v>
      </c>
      <c r="T313" s="18" t="n">
        <f aca="false">$R313*$S313</f>
        <v>32.2269597069597</v>
      </c>
      <c r="U313" s="18" t="n">
        <f aca="false">IFERROR(INDEX(SEMANAS!$I$6:$I$71,MATCH($B313,SEMANAS!$B$6:$B$71,0)),0)</f>
        <v>0.91</v>
      </c>
      <c r="V313" s="18" t="n">
        <f aca="false">IFERROR(INDEX(SEMANAS!$J$6:$J$71,MATCH($B313,SEMANAS!$B$6:$B$71,0)),0)</f>
        <v>0.728</v>
      </c>
      <c r="W313" s="18" t="n">
        <f aca="false">MAX(0,$T313-$V313)</f>
        <v>31.4989597069597</v>
      </c>
      <c r="X313" s="19" t="n">
        <f aca="false">IFERROR(INDEX(CADASTRO_PIVOS!$K$6:$K$41,MATCH($E313,CADASTRO_PIVOS!$B$6:$B$41,0)),EFICIENCIA_PADRAO)</f>
        <v>0.85</v>
      </c>
      <c r="Y313" s="18" t="n">
        <f aca="false">IF($X313&lt;=0,0,$W313/$X313)</f>
        <v>37.0575996552467</v>
      </c>
      <c r="Z313" s="16" t="n">
        <f aca="false">$Y313*$H313*MM_PARA_M3_HA</f>
        <v>36901.9577366947</v>
      </c>
      <c r="AA313" s="18" t="n">
        <f aca="false">IFERROR(INDEX(CADASTRO_PIVOS!$I$6:$I$41,MATCH($E313,CADASTRO_PIVOS!$B$6:$B$41,0)),0)</f>
        <v>711.285714285714</v>
      </c>
      <c r="AB313" s="18" t="n">
        <f aca="false">IF($Z313&lt;=0,0,$Z313/$AA313)</f>
        <v>51.8806395173454</v>
      </c>
      <c r="AC313" s="16" t="n">
        <f aca="false">IFERROR(INDEX(SEMANAS!$K$6:$K$71,MATCH($B313,SEMANAS!$B$6:$B$71,0)),0)</f>
        <v>147</v>
      </c>
      <c r="AD313" s="19" t="n">
        <f aca="false">IF($AC313&lt;=0,0,$AB313/$AC313)</f>
        <v>0.352929520526159</v>
      </c>
      <c r="AE313" s="8" t="str">
        <f aca="false">IF($K313="SEM CULTURA","SEM CULTURA",IF($AA313&lt;=0,"DADO PENDENTE",IF($AD313&gt;LIMITE_CRITICO,"INVIAVEL",IF($AD313&gt;LIMITE_ATENCAO,"CRITICO",IF($AD313&gt;LIMITE_CONFORTAVEL,"ATENCAO","OK")))))</f>
        <v>OK</v>
      </c>
      <c r="AF313" s="8" t="str">
        <f aca="false">$B313&amp;"|"&amp;TEXT($AD313,"0.000000")</f>
        <v>44|0.352930</v>
      </c>
      <c r="AG313" s="18" t="n">
        <f aca="false">IF($K313="SEM CULTURA",0,$T313*$H313)</f>
        <v>3209.16064761905</v>
      </c>
      <c r="AH313" s="18" t="n">
        <f aca="false">IF($K313="SEM CULTURA",0,$V313*$H313)</f>
        <v>72.49424</v>
      </c>
      <c r="AI313" s="18" t="n">
        <f aca="false">IF($K313="SEM CULTURA",0,$W313*$H313)</f>
        <v>3136.66640761905</v>
      </c>
      <c r="AJ313" s="18" t="n">
        <f aca="false">IF($K313="SEM CULTURA",0,$S313*$H313)</f>
        <v>2907.736</v>
      </c>
      <c r="AK313" s="8" t="str">
        <f aca="false">$E313&amp;"|"&amp;TEXT($AD313,"0.000000")</f>
        <v>PV 107|0.352930</v>
      </c>
    </row>
    <row r="314" customFormat="false" ht="15" hidden="false" customHeight="false" outlineLevel="0" collapsed="false">
      <c r="B314" s="16" t="n">
        <v>45</v>
      </c>
      <c r="C314" s="17" t="n">
        <f aca="false">DATA_INICIO_SAFRA+($B314-1)*DIAS_POR_SEMANA</f>
        <v>46573</v>
      </c>
      <c r="D314" s="17" t="n">
        <f aca="false">$C314+DIAS_POR_SEMANA-1</f>
        <v>46579</v>
      </c>
      <c r="E314" s="15" t="s">
        <v>263</v>
      </c>
      <c r="F314" s="8" t="str">
        <f aca="false">IFERROR(INDEX(CADASTRO_PIVOS!$C$6:$C$41,MATCH($E314,CADASTRO_PIVOS!$B$6:$B$41,0)),"?")</f>
        <v>RM03</v>
      </c>
      <c r="G314" s="8" t="str">
        <f aca="false">IFERROR(INDEX(CADASTRO_PIVOS!$D$6:$D$41,MATCH($E314,CADASTRO_PIVOS!$B$6:$B$41,0)),"?")</f>
        <v>TR03</v>
      </c>
      <c r="H314" s="20" t="n">
        <f aca="false">IFERROR(INDEX(CADASTRO_PIVOS!$E$6:$E$41,MATCH($E314,CADASTRO_PIVOS!$B$6:$B$41,0)),0)</f>
        <v>99.58</v>
      </c>
      <c r="I314" s="16" t="n">
        <f aca="false">IFERROR(SUMIFS(ROTACAO_RDM!$B$6:$B$71,ROTACAO_RDM!$D$6:$D$71,$E314,ROTACAO_RDM!$I$6:$I$71,"&lt;="&amp;$C314+INT(DIAS_POR_SEMANA/2),ROTACAO_RDM!$J$6:$J$71,"&gt;="&amp;$C314+INT(DIAS_POR_SEMANA/2)),0)</f>
        <v>13</v>
      </c>
      <c r="J314" s="16" t="n">
        <f aca="false">IFERROR(MATCH($I314,ROTACAO_RDM!$B$6:$B$71,0),0)</f>
        <v>13</v>
      </c>
      <c r="K314" s="8" t="str">
        <f aca="false">IF($J314=0,"SEM CULTURA",INDEX(ROTACAO_RDM!$F$6:$F$71,$J314))</f>
        <v>ALGODAO</v>
      </c>
      <c r="L314" s="8" t="str">
        <f aca="false">IF($J314=0,"",INDEX(ROTACAO_RDM!$G$6:$G$71,$J314))</f>
        <v>FM 933 STP</v>
      </c>
      <c r="M314" s="17" t="n">
        <f aca="false">IF($J314=0,"",INDEX(ROTACAO_RDM!$I$6:$I$71,$J314))</f>
        <v>46424</v>
      </c>
      <c r="N314" s="16" t="n">
        <f aca="false">IF($J314=0,0,MAX(0,$C314+INT(DIAS_POR_SEMANA/2)-INDEX(ROTACAO_RDM!$I$6:$I$71,$J314)))</f>
        <v>152</v>
      </c>
      <c r="O314" s="19" t="n">
        <f aca="false">IF($J314=0,0,MIN(1,$N314/MAX(1,INDEX(ROTACAO_RDM!$K$6:$K$71,$J314))))</f>
        <v>0.77948717948718</v>
      </c>
      <c r="P314" s="16" t="n">
        <f aca="false">IF($J314=0,0,IFERROR(MATCH(INDEX(ROTACAO_RDM!$N$6:$N$71,$J314),PARAMETROS_CULTURAS!$B$6:$B$28,0),0))</f>
        <v>5</v>
      </c>
      <c r="Q314" s="8" t="str">
        <f aca="false">IF($P314=0,"-",IF($O314&lt;=INDEX(PARAMETROS_CULTURAS!$F$6:$F$28,$P314),"INICIAL",IF($O314&lt;=INDEX(PARAMETROS_CULTURAS!$F$6:$F$28,$P314)+INDEX(PARAMETROS_CULTURAS!$G$6:$G$28,$P314),"DESENVOLVIMENTO",IF($O314&lt;=INDEX(PARAMETROS_CULTURAS!$F$6:$F$28,$P314)+INDEX(PARAMETROS_CULTURAS!$G$6:$G$28,$P314)+INDEX(PARAMETROS_CULTURAS!$H$6:$H$28,$P314),"MEDIA","FINAL"))))</f>
        <v>FINAL</v>
      </c>
      <c r="R314" s="24" t="n">
        <f aca="false">IF($P314=0,0,IF($O314&lt;=INDEX(PARAMETROS_CULTURAS!$F$6:$F$28,$P314),INDEX(PARAMETROS_CULTURAS!$K$6:$K$28,$P314),IF($O314&lt;=INDEX(PARAMETROS_CULTURAS!$F$6:$F$28,$P314)+INDEX(PARAMETROS_CULTURAS!$G$6:$G$28,$P314),INDEX(PARAMETROS_CULTURAS!$K$6:$K$28,$P314)+(INDEX(PARAMETROS_CULTURAS!$L$6:$L$28,$P314)-INDEX(PARAMETROS_CULTURAS!$K$6:$K$28,$P314))*($O314-INDEX(PARAMETROS_CULTURAS!$F$6:$F$28,$P314))/MAX(INDEX(PARAMETROS_CULTURAS!$G$6:$G$28,$P314),0.0001),IF($O314&lt;=INDEX(PARAMETROS_CULTURAS!$F$6:$F$28,$P314)+INDEX(PARAMETROS_CULTURAS!$G$6:$G$28,$P314)+INDEX(PARAMETROS_CULTURAS!$H$6:$H$28,$P314),INDEX(PARAMETROS_CULTURAS!$L$6:$L$28,$P314),INDEX(PARAMETROS_CULTURAS!$L$6:$L$28,$P314)+(INDEX(PARAMETROS_CULTURAS!$M$6:$M$28,$P314)-INDEX(PARAMETROS_CULTURAS!$L$6:$L$28,$P314))*($O314-INDEX(PARAMETROS_CULTURAS!$F$6:$F$28,$P314)-INDEX(PARAMETROS_CULTURAS!$G$6:$G$28,$P314)-INDEX(PARAMETROS_CULTURAS!$H$6:$H$28,$P314))/MAX(INDEX(PARAMETROS_CULTURAS!$I$6:$I$28,$P314),0.0001)))))</f>
        <v>1.03315018315018</v>
      </c>
      <c r="S314" s="18" t="n">
        <f aca="false">IFERROR(INDEX(SEMANAS!$H$6:$H$71,MATCH($B314,SEMANAS!$B$6:$B$71,0)),0)</f>
        <v>30.1</v>
      </c>
      <c r="T314" s="18" t="n">
        <f aca="false">$R314*$S314</f>
        <v>31.0978205128205</v>
      </c>
      <c r="U314" s="18" t="n">
        <f aca="false">IFERROR(INDEX(SEMANAS!$I$6:$I$71,MATCH($B314,SEMANAS!$B$6:$B$71,0)),0)</f>
        <v>0.7</v>
      </c>
      <c r="V314" s="18" t="n">
        <f aca="false">IFERROR(INDEX(SEMANAS!$J$6:$J$71,MATCH($B314,SEMANAS!$B$6:$B$71,0)),0)</f>
        <v>0.56</v>
      </c>
      <c r="W314" s="18" t="n">
        <f aca="false">MAX(0,$T314-$V314)</f>
        <v>30.5378205128205</v>
      </c>
      <c r="X314" s="19" t="n">
        <f aca="false">IFERROR(INDEX(CADASTRO_PIVOS!$K$6:$K$41,MATCH($E314,CADASTRO_PIVOS!$B$6:$B$41,0)),EFICIENCIA_PADRAO)</f>
        <v>0.85</v>
      </c>
      <c r="Y314" s="18" t="n">
        <f aca="false">IF($X314&lt;=0,0,$W314/$X314)</f>
        <v>35.9268476621418</v>
      </c>
      <c r="Z314" s="16" t="n">
        <f aca="false">$Y314*$H314*MM_PARA_M3_HA</f>
        <v>35775.9549019608</v>
      </c>
      <c r="AA314" s="18" t="n">
        <f aca="false">IFERROR(INDEX(CADASTRO_PIVOS!$I$6:$I$41,MATCH($E314,CADASTRO_PIVOS!$B$6:$B$41,0)),0)</f>
        <v>711.285714285714</v>
      </c>
      <c r="AB314" s="18" t="n">
        <f aca="false">IF($Z314&lt;=0,0,$Z314/$AA314)</f>
        <v>50.2975867269985</v>
      </c>
      <c r="AC314" s="16" t="n">
        <f aca="false">IFERROR(INDEX(SEMANAS!$K$6:$K$71,MATCH($B314,SEMANAS!$B$6:$B$71,0)),0)</f>
        <v>147</v>
      </c>
      <c r="AD314" s="19" t="n">
        <f aca="false">IF($AC314&lt;=0,0,$AB314/$AC314)</f>
        <v>0.34216045392516</v>
      </c>
      <c r="AE314" s="8" t="str">
        <f aca="false">IF($K314="SEM CULTURA","SEM CULTURA",IF($AA314&lt;=0,"DADO PENDENTE",IF($AD314&gt;LIMITE_CRITICO,"INVIAVEL",IF($AD314&gt;LIMITE_ATENCAO,"CRITICO",IF($AD314&gt;LIMITE_CONFORTAVEL,"ATENCAO","OK")))))</f>
        <v>OK</v>
      </c>
      <c r="AF314" s="8" t="str">
        <f aca="false">$B314&amp;"|"&amp;TEXT($AD314,"0.000000")</f>
        <v>45|0.342160</v>
      </c>
      <c r="AG314" s="18" t="n">
        <f aca="false">IF($K314="SEM CULTURA",0,$T314*$H314)</f>
        <v>3096.72096666667</v>
      </c>
      <c r="AH314" s="18" t="n">
        <f aca="false">IF($K314="SEM CULTURA",0,$V314*$H314)</f>
        <v>55.7648</v>
      </c>
      <c r="AI314" s="18" t="n">
        <f aca="false">IF($K314="SEM CULTURA",0,$W314*$H314)</f>
        <v>3040.95616666667</v>
      </c>
      <c r="AJ314" s="18" t="n">
        <f aca="false">IF($K314="SEM CULTURA",0,$S314*$H314)</f>
        <v>2997.358</v>
      </c>
      <c r="AK314" s="8" t="str">
        <f aca="false">$E314&amp;"|"&amp;TEXT($AD314,"0.000000")</f>
        <v>PV 107|0.342160</v>
      </c>
    </row>
    <row r="315" customFormat="false" ht="15" hidden="false" customHeight="false" outlineLevel="0" collapsed="false">
      <c r="B315" s="16" t="n">
        <v>46</v>
      </c>
      <c r="C315" s="17" t="n">
        <f aca="false">DATA_INICIO_SAFRA+($B315-1)*DIAS_POR_SEMANA</f>
        <v>46580</v>
      </c>
      <c r="D315" s="17" t="n">
        <f aca="false">$C315+DIAS_POR_SEMANA-1</f>
        <v>46586</v>
      </c>
      <c r="E315" s="15" t="s">
        <v>263</v>
      </c>
      <c r="F315" s="8" t="str">
        <f aca="false">IFERROR(INDEX(CADASTRO_PIVOS!$C$6:$C$41,MATCH($E315,CADASTRO_PIVOS!$B$6:$B$41,0)),"?")</f>
        <v>RM03</v>
      </c>
      <c r="G315" s="8" t="str">
        <f aca="false">IFERROR(INDEX(CADASTRO_PIVOS!$D$6:$D$41,MATCH($E315,CADASTRO_PIVOS!$B$6:$B$41,0)),"?")</f>
        <v>TR03</v>
      </c>
      <c r="H315" s="20" t="n">
        <f aca="false">IFERROR(INDEX(CADASTRO_PIVOS!$E$6:$E$41,MATCH($E315,CADASTRO_PIVOS!$B$6:$B$41,0)),0)</f>
        <v>99.58</v>
      </c>
      <c r="I315" s="16" t="n">
        <f aca="false">IFERROR(SUMIFS(ROTACAO_RDM!$B$6:$B$71,ROTACAO_RDM!$D$6:$D$71,$E315,ROTACAO_RDM!$I$6:$I$71,"&lt;="&amp;$C315+INT(DIAS_POR_SEMANA/2),ROTACAO_RDM!$J$6:$J$71,"&gt;="&amp;$C315+INT(DIAS_POR_SEMANA/2)),0)</f>
        <v>13</v>
      </c>
      <c r="J315" s="16" t="n">
        <f aca="false">IFERROR(MATCH($I315,ROTACAO_RDM!$B$6:$B$71,0),0)</f>
        <v>13</v>
      </c>
      <c r="K315" s="8" t="str">
        <f aca="false">IF($J315=0,"SEM CULTURA",INDEX(ROTACAO_RDM!$F$6:$F$71,$J315))</f>
        <v>ALGODAO</v>
      </c>
      <c r="L315" s="8" t="str">
        <f aca="false">IF($J315=0,"",INDEX(ROTACAO_RDM!$G$6:$G$71,$J315))</f>
        <v>FM 933 STP</v>
      </c>
      <c r="M315" s="17" t="n">
        <f aca="false">IF($J315=0,"",INDEX(ROTACAO_RDM!$I$6:$I$71,$J315))</f>
        <v>46424</v>
      </c>
      <c r="N315" s="16" t="n">
        <f aca="false">IF($J315=0,0,MAX(0,$C315+INT(DIAS_POR_SEMANA/2)-INDEX(ROTACAO_RDM!$I$6:$I$71,$J315)))</f>
        <v>159</v>
      </c>
      <c r="O315" s="19" t="n">
        <f aca="false">IF($J315=0,0,MIN(1,$N315/MAX(1,INDEX(ROTACAO_RDM!$K$6:$K$71,$J315))))</f>
        <v>0.815384615384615</v>
      </c>
      <c r="P315" s="16" t="n">
        <f aca="false">IF($J315=0,0,IFERROR(MATCH(INDEX(ROTACAO_RDM!$N$6:$N$71,$J315),PARAMETROS_CULTURAS!$B$6:$B$28,0),0))</f>
        <v>5</v>
      </c>
      <c r="Q315" s="8" t="str">
        <f aca="false">IF($P315=0,"-",IF($O315&lt;=INDEX(PARAMETROS_CULTURAS!$F$6:$F$28,$P315),"INICIAL",IF($O315&lt;=INDEX(PARAMETROS_CULTURAS!$F$6:$F$28,$P315)+INDEX(PARAMETROS_CULTURAS!$G$6:$G$28,$P315),"DESENVOLVIMENTO",IF($O315&lt;=INDEX(PARAMETROS_CULTURAS!$F$6:$F$28,$P315)+INDEX(PARAMETROS_CULTURAS!$G$6:$G$28,$P315)+INDEX(PARAMETROS_CULTURAS!$H$6:$H$28,$P315),"MEDIA","FINAL"))))</f>
        <v>FINAL</v>
      </c>
      <c r="R315" s="24" t="n">
        <f aca="false">IF($P315=0,0,IF($O315&lt;=INDEX(PARAMETROS_CULTURAS!$F$6:$F$28,$P315),INDEX(PARAMETROS_CULTURAS!$K$6:$K$28,$P315),IF($O315&lt;=INDEX(PARAMETROS_CULTURAS!$F$6:$F$28,$P315)+INDEX(PARAMETROS_CULTURAS!$G$6:$G$28,$P315),INDEX(PARAMETROS_CULTURAS!$K$6:$K$28,$P315)+(INDEX(PARAMETROS_CULTURAS!$L$6:$L$28,$P315)-INDEX(PARAMETROS_CULTURAS!$K$6:$K$28,$P315))*($O315-INDEX(PARAMETROS_CULTURAS!$F$6:$F$28,$P315))/MAX(INDEX(PARAMETROS_CULTURAS!$G$6:$G$28,$P315),0.0001),IF($O315&lt;=INDEX(PARAMETROS_CULTURAS!$F$6:$F$28,$P315)+INDEX(PARAMETROS_CULTURAS!$G$6:$G$28,$P315)+INDEX(PARAMETROS_CULTURAS!$H$6:$H$28,$P315),INDEX(PARAMETROS_CULTURAS!$L$6:$L$28,$P315),INDEX(PARAMETROS_CULTURAS!$L$6:$L$28,$P315)+(INDEX(PARAMETROS_CULTURAS!$M$6:$M$28,$P315)-INDEX(PARAMETROS_CULTURAS!$L$6:$L$28,$P315))*($O315-INDEX(PARAMETROS_CULTURAS!$F$6:$F$28,$P315)-INDEX(PARAMETROS_CULTURAS!$G$6:$G$28,$P315)-INDEX(PARAMETROS_CULTURAS!$H$6:$H$28,$P315))/MAX(INDEX(PARAMETROS_CULTURAS!$I$6:$I$28,$P315),0.0001)))))</f>
        <v>0.962637362637363</v>
      </c>
      <c r="S315" s="18" t="n">
        <f aca="false">IFERROR(INDEX(SEMANAS!$H$6:$H$71,MATCH($B315,SEMANAS!$B$6:$B$71,0)),0)</f>
        <v>30.1</v>
      </c>
      <c r="T315" s="18" t="n">
        <f aca="false">$R315*$S315</f>
        <v>28.9753846153846</v>
      </c>
      <c r="U315" s="18" t="n">
        <f aca="false">IFERROR(INDEX(SEMANAS!$I$6:$I$71,MATCH($B315,SEMANAS!$B$6:$B$71,0)),0)</f>
        <v>0.7</v>
      </c>
      <c r="V315" s="18" t="n">
        <f aca="false">IFERROR(INDEX(SEMANAS!$J$6:$J$71,MATCH($B315,SEMANAS!$B$6:$B$71,0)),0)</f>
        <v>0.56</v>
      </c>
      <c r="W315" s="18" t="n">
        <f aca="false">MAX(0,$T315-$V315)</f>
        <v>28.4153846153846</v>
      </c>
      <c r="X315" s="19" t="n">
        <f aca="false">IFERROR(INDEX(CADASTRO_PIVOS!$K$6:$K$41,MATCH($E315,CADASTRO_PIVOS!$B$6:$B$41,0)),EFICIENCIA_PADRAO)</f>
        <v>0.85</v>
      </c>
      <c r="Y315" s="18" t="n">
        <f aca="false">IF($X315&lt;=0,0,$W315/$X315)</f>
        <v>33.4298642533937</v>
      </c>
      <c r="Z315" s="16" t="n">
        <f aca="false">$Y315*$H315*MM_PARA_M3_HA</f>
        <v>33289.4588235294</v>
      </c>
      <c r="AA315" s="18" t="n">
        <f aca="false">IFERROR(INDEX(CADASTRO_PIVOS!$I$6:$I$41,MATCH($E315,CADASTRO_PIVOS!$B$6:$B$41,0)),0)</f>
        <v>711.285714285714</v>
      </c>
      <c r="AB315" s="18" t="n">
        <f aca="false">IF($Z315&lt;=0,0,$Z315/$AA315)</f>
        <v>46.8018099547511</v>
      </c>
      <c r="AC315" s="16" t="n">
        <f aca="false">IFERROR(INDEX(SEMANAS!$K$6:$K$71,MATCH($B315,SEMANAS!$B$6:$B$71,0)),0)</f>
        <v>147</v>
      </c>
      <c r="AD315" s="19" t="n">
        <f aca="false">IF($AC315&lt;=0,0,$AB315/$AC315)</f>
        <v>0.31837965955613</v>
      </c>
      <c r="AE315" s="8" t="str">
        <f aca="false">IF($K315="SEM CULTURA","SEM CULTURA",IF($AA315&lt;=0,"DADO PENDENTE",IF($AD315&gt;LIMITE_CRITICO,"INVIAVEL",IF($AD315&gt;LIMITE_ATENCAO,"CRITICO",IF($AD315&gt;LIMITE_CONFORTAVEL,"ATENCAO","OK")))))</f>
        <v>OK</v>
      </c>
      <c r="AF315" s="8" t="str">
        <f aca="false">$B315&amp;"|"&amp;TEXT($AD315,"0.000000")</f>
        <v>46|0.318380</v>
      </c>
      <c r="AG315" s="18" t="n">
        <f aca="false">IF($K315="SEM CULTURA",0,$T315*$H315)</f>
        <v>2885.3688</v>
      </c>
      <c r="AH315" s="18" t="n">
        <f aca="false">IF($K315="SEM CULTURA",0,$V315*$H315)</f>
        <v>55.7648</v>
      </c>
      <c r="AI315" s="18" t="n">
        <f aca="false">IF($K315="SEM CULTURA",0,$W315*$H315)</f>
        <v>2829.604</v>
      </c>
      <c r="AJ315" s="18" t="n">
        <f aca="false">IF($K315="SEM CULTURA",0,$S315*$H315)</f>
        <v>2997.358</v>
      </c>
      <c r="AK315" s="8" t="str">
        <f aca="false">$E315&amp;"|"&amp;TEXT($AD315,"0.000000")</f>
        <v>PV 107|0.318380</v>
      </c>
    </row>
    <row r="316" customFormat="false" ht="15" hidden="false" customHeight="false" outlineLevel="0" collapsed="false">
      <c r="B316" s="16" t="n">
        <v>47</v>
      </c>
      <c r="C316" s="17" t="n">
        <f aca="false">DATA_INICIO_SAFRA+($B316-1)*DIAS_POR_SEMANA</f>
        <v>46587</v>
      </c>
      <c r="D316" s="17" t="n">
        <f aca="false">$C316+DIAS_POR_SEMANA-1</f>
        <v>46593</v>
      </c>
      <c r="E316" s="15" t="s">
        <v>263</v>
      </c>
      <c r="F316" s="8" t="str">
        <f aca="false">IFERROR(INDEX(CADASTRO_PIVOS!$C$6:$C$41,MATCH($E316,CADASTRO_PIVOS!$B$6:$B$41,0)),"?")</f>
        <v>RM03</v>
      </c>
      <c r="G316" s="8" t="str">
        <f aca="false">IFERROR(INDEX(CADASTRO_PIVOS!$D$6:$D$41,MATCH($E316,CADASTRO_PIVOS!$B$6:$B$41,0)),"?")</f>
        <v>TR03</v>
      </c>
      <c r="H316" s="20" t="n">
        <f aca="false">IFERROR(INDEX(CADASTRO_PIVOS!$E$6:$E$41,MATCH($E316,CADASTRO_PIVOS!$B$6:$B$41,0)),0)</f>
        <v>99.58</v>
      </c>
      <c r="I316" s="16" t="n">
        <f aca="false">IFERROR(SUMIFS(ROTACAO_RDM!$B$6:$B$71,ROTACAO_RDM!$D$6:$D$71,$E316,ROTACAO_RDM!$I$6:$I$71,"&lt;="&amp;$C316+INT(DIAS_POR_SEMANA/2),ROTACAO_RDM!$J$6:$J$71,"&gt;="&amp;$C316+INT(DIAS_POR_SEMANA/2)),0)</f>
        <v>13</v>
      </c>
      <c r="J316" s="16" t="n">
        <f aca="false">IFERROR(MATCH($I316,ROTACAO_RDM!$B$6:$B$71,0),0)</f>
        <v>13</v>
      </c>
      <c r="K316" s="8" t="str">
        <f aca="false">IF($J316=0,"SEM CULTURA",INDEX(ROTACAO_RDM!$F$6:$F$71,$J316))</f>
        <v>ALGODAO</v>
      </c>
      <c r="L316" s="8" t="str">
        <f aca="false">IF($J316=0,"",INDEX(ROTACAO_RDM!$G$6:$G$71,$J316))</f>
        <v>FM 933 STP</v>
      </c>
      <c r="M316" s="17" t="n">
        <f aca="false">IF($J316=0,"",INDEX(ROTACAO_RDM!$I$6:$I$71,$J316))</f>
        <v>46424</v>
      </c>
      <c r="N316" s="16" t="n">
        <f aca="false">IF($J316=0,0,MAX(0,$C316+INT(DIAS_POR_SEMANA/2)-INDEX(ROTACAO_RDM!$I$6:$I$71,$J316)))</f>
        <v>166</v>
      </c>
      <c r="O316" s="19" t="n">
        <f aca="false">IF($J316=0,0,MIN(1,$N316/MAX(1,INDEX(ROTACAO_RDM!$K$6:$K$71,$J316))))</f>
        <v>0.851282051282051</v>
      </c>
      <c r="P316" s="16" t="n">
        <f aca="false">IF($J316=0,0,IFERROR(MATCH(INDEX(ROTACAO_RDM!$N$6:$N$71,$J316),PARAMETROS_CULTURAS!$B$6:$B$28,0),0))</f>
        <v>5</v>
      </c>
      <c r="Q316" s="8" t="str">
        <f aca="false">IF($P316=0,"-",IF($O316&lt;=INDEX(PARAMETROS_CULTURAS!$F$6:$F$28,$P316),"INICIAL",IF($O316&lt;=INDEX(PARAMETROS_CULTURAS!$F$6:$F$28,$P316)+INDEX(PARAMETROS_CULTURAS!$G$6:$G$28,$P316),"DESENVOLVIMENTO",IF($O316&lt;=INDEX(PARAMETROS_CULTURAS!$F$6:$F$28,$P316)+INDEX(PARAMETROS_CULTURAS!$G$6:$G$28,$P316)+INDEX(PARAMETROS_CULTURAS!$H$6:$H$28,$P316),"MEDIA","FINAL"))))</f>
        <v>FINAL</v>
      </c>
      <c r="R316" s="24" t="n">
        <f aca="false">IF($P316=0,0,IF($O316&lt;=INDEX(PARAMETROS_CULTURAS!$F$6:$F$28,$P316),INDEX(PARAMETROS_CULTURAS!$K$6:$K$28,$P316),IF($O316&lt;=INDEX(PARAMETROS_CULTURAS!$F$6:$F$28,$P316)+INDEX(PARAMETROS_CULTURAS!$G$6:$G$28,$P316),INDEX(PARAMETROS_CULTURAS!$K$6:$K$28,$P316)+(INDEX(PARAMETROS_CULTURAS!$L$6:$L$28,$P316)-INDEX(PARAMETROS_CULTURAS!$K$6:$K$28,$P316))*($O316-INDEX(PARAMETROS_CULTURAS!$F$6:$F$28,$P316))/MAX(INDEX(PARAMETROS_CULTURAS!$G$6:$G$28,$P316),0.0001),IF($O316&lt;=INDEX(PARAMETROS_CULTURAS!$F$6:$F$28,$P316)+INDEX(PARAMETROS_CULTURAS!$G$6:$G$28,$P316)+INDEX(PARAMETROS_CULTURAS!$H$6:$H$28,$P316),INDEX(PARAMETROS_CULTURAS!$L$6:$L$28,$P316),INDEX(PARAMETROS_CULTURAS!$L$6:$L$28,$P316)+(INDEX(PARAMETROS_CULTURAS!$M$6:$M$28,$P316)-INDEX(PARAMETROS_CULTURAS!$L$6:$L$28,$P316))*($O316-INDEX(PARAMETROS_CULTURAS!$F$6:$F$28,$P316)-INDEX(PARAMETROS_CULTURAS!$G$6:$G$28,$P316)-INDEX(PARAMETROS_CULTURAS!$H$6:$H$28,$P316))/MAX(INDEX(PARAMETROS_CULTURAS!$I$6:$I$28,$P316),0.0001)))))</f>
        <v>0.892124542124542</v>
      </c>
      <c r="S316" s="18" t="n">
        <f aca="false">IFERROR(INDEX(SEMANAS!$H$6:$H$71,MATCH($B316,SEMANAS!$B$6:$B$71,0)),0)</f>
        <v>30.1</v>
      </c>
      <c r="T316" s="18" t="n">
        <f aca="false">$R316*$S316</f>
        <v>26.8529487179487</v>
      </c>
      <c r="U316" s="18" t="n">
        <f aca="false">IFERROR(INDEX(SEMANAS!$I$6:$I$71,MATCH($B316,SEMANAS!$B$6:$B$71,0)),0)</f>
        <v>0.7</v>
      </c>
      <c r="V316" s="18" t="n">
        <f aca="false">IFERROR(INDEX(SEMANAS!$J$6:$J$71,MATCH($B316,SEMANAS!$B$6:$B$71,0)),0)</f>
        <v>0.56</v>
      </c>
      <c r="W316" s="18" t="n">
        <f aca="false">MAX(0,$T316-$V316)</f>
        <v>26.2929487179487</v>
      </c>
      <c r="X316" s="19" t="n">
        <f aca="false">IFERROR(INDEX(CADASTRO_PIVOS!$K$6:$K$41,MATCH($E316,CADASTRO_PIVOS!$B$6:$B$41,0)),EFICIENCIA_PADRAO)</f>
        <v>0.85</v>
      </c>
      <c r="Y316" s="18" t="n">
        <f aca="false">IF($X316&lt;=0,0,$W316/$X316)</f>
        <v>30.9328808446456</v>
      </c>
      <c r="Z316" s="16" t="n">
        <f aca="false">$Y316*$H316*MM_PARA_M3_HA</f>
        <v>30802.962745098</v>
      </c>
      <c r="AA316" s="18" t="n">
        <f aca="false">IFERROR(INDEX(CADASTRO_PIVOS!$I$6:$I$41,MATCH($E316,CADASTRO_PIVOS!$B$6:$B$41,0)),0)</f>
        <v>711.285714285714</v>
      </c>
      <c r="AB316" s="18" t="n">
        <f aca="false">IF($Z316&lt;=0,0,$Z316/$AA316)</f>
        <v>43.3060331825038</v>
      </c>
      <c r="AC316" s="16" t="n">
        <f aca="false">IFERROR(INDEX(SEMANAS!$K$6:$K$71,MATCH($B316,SEMANAS!$B$6:$B$71,0)),0)</f>
        <v>147</v>
      </c>
      <c r="AD316" s="19" t="n">
        <f aca="false">IF($AC316&lt;=0,0,$AB316/$AC316)</f>
        <v>0.294598865187101</v>
      </c>
      <c r="AE316" s="8" t="str">
        <f aca="false">IF($K316="SEM CULTURA","SEM CULTURA",IF($AA316&lt;=0,"DADO PENDENTE",IF($AD316&gt;LIMITE_CRITICO,"INVIAVEL",IF($AD316&gt;LIMITE_ATENCAO,"CRITICO",IF($AD316&gt;LIMITE_CONFORTAVEL,"ATENCAO","OK")))))</f>
        <v>OK</v>
      </c>
      <c r="AF316" s="8" t="str">
        <f aca="false">$B316&amp;"|"&amp;TEXT($AD316,"0.000000")</f>
        <v>47|0.294599</v>
      </c>
      <c r="AG316" s="18" t="n">
        <f aca="false">IF($K316="SEM CULTURA",0,$T316*$H316)</f>
        <v>2674.01663333333</v>
      </c>
      <c r="AH316" s="18" t="n">
        <f aca="false">IF($K316="SEM CULTURA",0,$V316*$H316)</f>
        <v>55.7648</v>
      </c>
      <c r="AI316" s="18" t="n">
        <f aca="false">IF($K316="SEM CULTURA",0,$W316*$H316)</f>
        <v>2618.25183333333</v>
      </c>
      <c r="AJ316" s="18" t="n">
        <f aca="false">IF($K316="SEM CULTURA",0,$S316*$H316)</f>
        <v>2997.358</v>
      </c>
      <c r="AK316" s="8" t="str">
        <f aca="false">$E316&amp;"|"&amp;TEXT($AD316,"0.000000")</f>
        <v>PV 107|0.294599</v>
      </c>
    </row>
    <row r="317" customFormat="false" ht="15" hidden="false" customHeight="false" outlineLevel="0" collapsed="false">
      <c r="B317" s="16" t="n">
        <v>48</v>
      </c>
      <c r="C317" s="17" t="n">
        <f aca="false">DATA_INICIO_SAFRA+($B317-1)*DIAS_POR_SEMANA</f>
        <v>46594</v>
      </c>
      <c r="D317" s="17" t="n">
        <f aca="false">$C317+DIAS_POR_SEMANA-1</f>
        <v>46600</v>
      </c>
      <c r="E317" s="15" t="s">
        <v>263</v>
      </c>
      <c r="F317" s="8" t="str">
        <f aca="false">IFERROR(INDEX(CADASTRO_PIVOS!$C$6:$C$41,MATCH($E317,CADASTRO_PIVOS!$B$6:$B$41,0)),"?")</f>
        <v>RM03</v>
      </c>
      <c r="G317" s="8" t="str">
        <f aca="false">IFERROR(INDEX(CADASTRO_PIVOS!$D$6:$D$41,MATCH($E317,CADASTRO_PIVOS!$B$6:$B$41,0)),"?")</f>
        <v>TR03</v>
      </c>
      <c r="H317" s="20" t="n">
        <f aca="false">IFERROR(INDEX(CADASTRO_PIVOS!$E$6:$E$41,MATCH($E317,CADASTRO_PIVOS!$B$6:$B$41,0)),0)</f>
        <v>99.58</v>
      </c>
      <c r="I317" s="16" t="n">
        <f aca="false">IFERROR(SUMIFS(ROTACAO_RDM!$B$6:$B$71,ROTACAO_RDM!$D$6:$D$71,$E317,ROTACAO_RDM!$I$6:$I$71,"&lt;="&amp;$C317+INT(DIAS_POR_SEMANA/2),ROTACAO_RDM!$J$6:$J$71,"&gt;="&amp;$C317+INT(DIAS_POR_SEMANA/2)),0)</f>
        <v>13</v>
      </c>
      <c r="J317" s="16" t="n">
        <f aca="false">IFERROR(MATCH($I317,ROTACAO_RDM!$B$6:$B$71,0),0)</f>
        <v>13</v>
      </c>
      <c r="K317" s="8" t="str">
        <f aca="false">IF($J317=0,"SEM CULTURA",INDEX(ROTACAO_RDM!$F$6:$F$71,$J317))</f>
        <v>ALGODAO</v>
      </c>
      <c r="L317" s="8" t="str">
        <f aca="false">IF($J317=0,"",INDEX(ROTACAO_RDM!$G$6:$G$71,$J317))</f>
        <v>FM 933 STP</v>
      </c>
      <c r="M317" s="17" t="n">
        <f aca="false">IF($J317=0,"",INDEX(ROTACAO_RDM!$I$6:$I$71,$J317))</f>
        <v>46424</v>
      </c>
      <c r="N317" s="16" t="n">
        <f aca="false">IF($J317=0,0,MAX(0,$C317+INT(DIAS_POR_SEMANA/2)-INDEX(ROTACAO_RDM!$I$6:$I$71,$J317)))</f>
        <v>173</v>
      </c>
      <c r="O317" s="19" t="n">
        <f aca="false">IF($J317=0,0,MIN(1,$N317/MAX(1,INDEX(ROTACAO_RDM!$K$6:$K$71,$J317))))</f>
        <v>0.887179487179487</v>
      </c>
      <c r="P317" s="16" t="n">
        <f aca="false">IF($J317=0,0,IFERROR(MATCH(INDEX(ROTACAO_RDM!$N$6:$N$71,$J317),PARAMETROS_CULTURAS!$B$6:$B$28,0),0))</f>
        <v>5</v>
      </c>
      <c r="Q317" s="8" t="str">
        <f aca="false">IF($P317=0,"-",IF($O317&lt;=INDEX(PARAMETROS_CULTURAS!$F$6:$F$28,$P317),"INICIAL",IF($O317&lt;=INDEX(PARAMETROS_CULTURAS!$F$6:$F$28,$P317)+INDEX(PARAMETROS_CULTURAS!$G$6:$G$28,$P317),"DESENVOLVIMENTO",IF($O317&lt;=INDEX(PARAMETROS_CULTURAS!$F$6:$F$28,$P317)+INDEX(PARAMETROS_CULTURAS!$G$6:$G$28,$P317)+INDEX(PARAMETROS_CULTURAS!$H$6:$H$28,$P317),"MEDIA","FINAL"))))</f>
        <v>FINAL</v>
      </c>
      <c r="R317" s="24" t="n">
        <f aca="false">IF($P317=0,0,IF($O317&lt;=INDEX(PARAMETROS_CULTURAS!$F$6:$F$28,$P317),INDEX(PARAMETROS_CULTURAS!$K$6:$K$28,$P317),IF($O317&lt;=INDEX(PARAMETROS_CULTURAS!$F$6:$F$28,$P317)+INDEX(PARAMETROS_CULTURAS!$G$6:$G$28,$P317),INDEX(PARAMETROS_CULTURAS!$K$6:$K$28,$P317)+(INDEX(PARAMETROS_CULTURAS!$L$6:$L$28,$P317)-INDEX(PARAMETROS_CULTURAS!$K$6:$K$28,$P317))*($O317-INDEX(PARAMETROS_CULTURAS!$F$6:$F$28,$P317))/MAX(INDEX(PARAMETROS_CULTURAS!$G$6:$G$28,$P317),0.0001),IF($O317&lt;=INDEX(PARAMETROS_CULTURAS!$F$6:$F$28,$P317)+INDEX(PARAMETROS_CULTURAS!$G$6:$G$28,$P317)+INDEX(PARAMETROS_CULTURAS!$H$6:$H$28,$P317),INDEX(PARAMETROS_CULTURAS!$L$6:$L$28,$P317),INDEX(PARAMETROS_CULTURAS!$L$6:$L$28,$P317)+(INDEX(PARAMETROS_CULTURAS!$M$6:$M$28,$P317)-INDEX(PARAMETROS_CULTURAS!$L$6:$L$28,$P317))*($O317-INDEX(PARAMETROS_CULTURAS!$F$6:$F$28,$P317)-INDEX(PARAMETROS_CULTURAS!$G$6:$G$28,$P317)-INDEX(PARAMETROS_CULTURAS!$H$6:$H$28,$P317))/MAX(INDEX(PARAMETROS_CULTURAS!$I$6:$I$28,$P317),0.0001)))))</f>
        <v>0.821611721611722</v>
      </c>
      <c r="S317" s="18" t="n">
        <f aca="false">IFERROR(INDEX(SEMANAS!$H$6:$H$71,MATCH($B317,SEMANAS!$B$6:$B$71,0)),0)</f>
        <v>31</v>
      </c>
      <c r="T317" s="18" t="n">
        <f aca="false">$R317*$S317</f>
        <v>25.4699633699634</v>
      </c>
      <c r="U317" s="18" t="n">
        <f aca="false">IFERROR(INDEX(SEMANAS!$I$6:$I$71,MATCH($B317,SEMANAS!$B$6:$B$71,0)),0)</f>
        <v>0.76</v>
      </c>
      <c r="V317" s="18" t="n">
        <f aca="false">IFERROR(INDEX(SEMANAS!$J$6:$J$71,MATCH($B317,SEMANAS!$B$6:$B$71,0)),0)</f>
        <v>0.608</v>
      </c>
      <c r="W317" s="18" t="n">
        <f aca="false">MAX(0,$T317-$V317)</f>
        <v>24.8619633699634</v>
      </c>
      <c r="X317" s="19" t="n">
        <f aca="false">IFERROR(INDEX(CADASTRO_PIVOS!$K$6:$K$41,MATCH($E317,CADASTRO_PIVOS!$B$6:$B$41,0)),EFICIENCIA_PADRAO)</f>
        <v>0.85</v>
      </c>
      <c r="Y317" s="18" t="n">
        <f aca="false">IF($X317&lt;=0,0,$W317/$X317)</f>
        <v>29.2493686705452</v>
      </c>
      <c r="Z317" s="16" t="n">
        <f aca="false">$Y317*$H317*MM_PARA_M3_HA</f>
        <v>29126.5213221289</v>
      </c>
      <c r="AA317" s="18" t="n">
        <f aca="false">IFERROR(INDEX(CADASTRO_PIVOS!$I$6:$I$41,MATCH($E317,CADASTRO_PIVOS!$B$6:$B$41,0)),0)</f>
        <v>711.285714285714</v>
      </c>
      <c r="AB317" s="18" t="n">
        <f aca="false">IF($Z317&lt;=0,0,$Z317/$AA317)</f>
        <v>40.9491161387632</v>
      </c>
      <c r="AC317" s="16" t="n">
        <f aca="false">IFERROR(INDEX(SEMANAS!$K$6:$K$71,MATCH($B317,SEMANAS!$B$6:$B$71,0)),0)</f>
        <v>147</v>
      </c>
      <c r="AD317" s="19" t="n">
        <f aca="false">IF($AC317&lt;=0,0,$AB317/$AC317)</f>
        <v>0.278565415909954</v>
      </c>
      <c r="AE317" s="8" t="str">
        <f aca="false">IF($K317="SEM CULTURA","SEM CULTURA",IF($AA317&lt;=0,"DADO PENDENTE",IF($AD317&gt;LIMITE_CRITICO,"INVIAVEL",IF($AD317&gt;LIMITE_ATENCAO,"CRITICO",IF($AD317&gt;LIMITE_CONFORTAVEL,"ATENCAO","OK")))))</f>
        <v>OK</v>
      </c>
      <c r="AF317" s="8" t="str">
        <f aca="false">$B317&amp;"|"&amp;TEXT($AD317,"0.000000")</f>
        <v>48|0.278565</v>
      </c>
      <c r="AG317" s="18" t="n">
        <f aca="false">IF($K317="SEM CULTURA",0,$T317*$H317)</f>
        <v>2536.29895238095</v>
      </c>
      <c r="AH317" s="18" t="n">
        <f aca="false">IF($K317="SEM CULTURA",0,$V317*$H317)</f>
        <v>60.54464</v>
      </c>
      <c r="AI317" s="18" t="n">
        <f aca="false">IF($K317="SEM CULTURA",0,$W317*$H317)</f>
        <v>2475.75431238095</v>
      </c>
      <c r="AJ317" s="18" t="n">
        <f aca="false">IF($K317="SEM CULTURA",0,$S317*$H317)</f>
        <v>3086.98</v>
      </c>
      <c r="AK317" s="8" t="str">
        <f aca="false">$E317&amp;"|"&amp;TEXT($AD317,"0.000000")</f>
        <v>PV 107|0.278565</v>
      </c>
    </row>
    <row r="318" customFormat="false" ht="15" hidden="false" customHeight="false" outlineLevel="0" collapsed="false">
      <c r="B318" s="16" t="n">
        <v>49</v>
      </c>
      <c r="C318" s="17" t="n">
        <f aca="false">DATA_INICIO_SAFRA+($B318-1)*DIAS_POR_SEMANA</f>
        <v>46601</v>
      </c>
      <c r="D318" s="17" t="n">
        <f aca="false">$C318+DIAS_POR_SEMANA-1</f>
        <v>46607</v>
      </c>
      <c r="E318" s="15" t="s">
        <v>263</v>
      </c>
      <c r="F318" s="8" t="str">
        <f aca="false">IFERROR(INDEX(CADASTRO_PIVOS!$C$6:$C$41,MATCH($E318,CADASTRO_PIVOS!$B$6:$B$41,0)),"?")</f>
        <v>RM03</v>
      </c>
      <c r="G318" s="8" t="str">
        <f aca="false">IFERROR(INDEX(CADASTRO_PIVOS!$D$6:$D$41,MATCH($E318,CADASTRO_PIVOS!$B$6:$B$41,0)),"?")</f>
        <v>TR03</v>
      </c>
      <c r="H318" s="20" t="n">
        <f aca="false">IFERROR(INDEX(CADASTRO_PIVOS!$E$6:$E$41,MATCH($E318,CADASTRO_PIVOS!$B$6:$B$41,0)),0)</f>
        <v>99.58</v>
      </c>
      <c r="I318" s="16" t="n">
        <f aca="false">IFERROR(SUMIFS(ROTACAO_RDM!$B$6:$B$71,ROTACAO_RDM!$D$6:$D$71,$E318,ROTACAO_RDM!$I$6:$I$71,"&lt;="&amp;$C318+INT(DIAS_POR_SEMANA/2),ROTACAO_RDM!$J$6:$J$71,"&gt;="&amp;$C318+INT(DIAS_POR_SEMANA/2)),0)</f>
        <v>13</v>
      </c>
      <c r="J318" s="16" t="n">
        <f aca="false">IFERROR(MATCH($I318,ROTACAO_RDM!$B$6:$B$71,0),0)</f>
        <v>13</v>
      </c>
      <c r="K318" s="8" t="str">
        <f aca="false">IF($J318=0,"SEM CULTURA",INDEX(ROTACAO_RDM!$F$6:$F$71,$J318))</f>
        <v>ALGODAO</v>
      </c>
      <c r="L318" s="8" t="str">
        <f aca="false">IF($J318=0,"",INDEX(ROTACAO_RDM!$G$6:$G$71,$J318))</f>
        <v>FM 933 STP</v>
      </c>
      <c r="M318" s="17" t="n">
        <f aca="false">IF($J318=0,"",INDEX(ROTACAO_RDM!$I$6:$I$71,$J318))</f>
        <v>46424</v>
      </c>
      <c r="N318" s="16" t="n">
        <f aca="false">IF($J318=0,0,MAX(0,$C318+INT(DIAS_POR_SEMANA/2)-INDEX(ROTACAO_RDM!$I$6:$I$71,$J318)))</f>
        <v>180</v>
      </c>
      <c r="O318" s="19" t="n">
        <f aca="false">IF($J318=0,0,MIN(1,$N318/MAX(1,INDEX(ROTACAO_RDM!$K$6:$K$71,$J318))))</f>
        <v>0.923076923076923</v>
      </c>
      <c r="P318" s="16" t="n">
        <f aca="false">IF($J318=0,0,IFERROR(MATCH(INDEX(ROTACAO_RDM!$N$6:$N$71,$J318),PARAMETROS_CULTURAS!$B$6:$B$28,0),0))</f>
        <v>5</v>
      </c>
      <c r="Q318" s="8" t="str">
        <f aca="false">IF($P318=0,"-",IF($O318&lt;=INDEX(PARAMETROS_CULTURAS!$F$6:$F$28,$P318),"INICIAL",IF($O318&lt;=INDEX(PARAMETROS_CULTURAS!$F$6:$F$28,$P318)+INDEX(PARAMETROS_CULTURAS!$G$6:$G$28,$P318),"DESENVOLVIMENTO",IF($O318&lt;=INDEX(PARAMETROS_CULTURAS!$F$6:$F$28,$P318)+INDEX(PARAMETROS_CULTURAS!$G$6:$G$28,$P318)+INDEX(PARAMETROS_CULTURAS!$H$6:$H$28,$P318),"MEDIA","FINAL"))))</f>
        <v>FINAL</v>
      </c>
      <c r="R318" s="24" t="n">
        <f aca="false">IF($P318=0,0,IF($O318&lt;=INDEX(PARAMETROS_CULTURAS!$F$6:$F$28,$P318),INDEX(PARAMETROS_CULTURAS!$K$6:$K$28,$P318),IF($O318&lt;=INDEX(PARAMETROS_CULTURAS!$F$6:$F$28,$P318)+INDEX(PARAMETROS_CULTURAS!$G$6:$G$28,$P318),INDEX(PARAMETROS_CULTURAS!$K$6:$K$28,$P318)+(INDEX(PARAMETROS_CULTURAS!$L$6:$L$28,$P318)-INDEX(PARAMETROS_CULTURAS!$K$6:$K$28,$P318))*($O318-INDEX(PARAMETROS_CULTURAS!$F$6:$F$28,$P318))/MAX(INDEX(PARAMETROS_CULTURAS!$G$6:$G$28,$P318),0.0001),IF($O318&lt;=INDEX(PARAMETROS_CULTURAS!$F$6:$F$28,$P318)+INDEX(PARAMETROS_CULTURAS!$G$6:$G$28,$P318)+INDEX(PARAMETROS_CULTURAS!$H$6:$H$28,$P318),INDEX(PARAMETROS_CULTURAS!$L$6:$L$28,$P318),INDEX(PARAMETROS_CULTURAS!$L$6:$L$28,$P318)+(INDEX(PARAMETROS_CULTURAS!$M$6:$M$28,$P318)-INDEX(PARAMETROS_CULTURAS!$L$6:$L$28,$P318))*($O318-INDEX(PARAMETROS_CULTURAS!$F$6:$F$28,$P318)-INDEX(PARAMETROS_CULTURAS!$G$6:$G$28,$P318)-INDEX(PARAMETROS_CULTURAS!$H$6:$H$28,$P318))/MAX(INDEX(PARAMETROS_CULTURAS!$I$6:$I$28,$P318),0.0001)))))</f>
        <v>0.751098901098901</v>
      </c>
      <c r="S318" s="18" t="n">
        <f aca="false">IFERROR(INDEX(SEMANAS!$H$6:$H$71,MATCH($B318,SEMANAS!$B$6:$B$71,0)),0)</f>
        <v>36.4</v>
      </c>
      <c r="T318" s="18" t="n">
        <f aca="false">$R318*$S318</f>
        <v>27.34</v>
      </c>
      <c r="U318" s="18" t="n">
        <f aca="false">IFERROR(INDEX(SEMANAS!$I$6:$I$71,MATCH($B318,SEMANAS!$B$6:$B$71,0)),0)</f>
        <v>1.12</v>
      </c>
      <c r="V318" s="18" t="n">
        <f aca="false">IFERROR(INDEX(SEMANAS!$J$6:$J$71,MATCH($B318,SEMANAS!$B$6:$B$71,0)),0)</f>
        <v>0.896</v>
      </c>
      <c r="W318" s="18" t="n">
        <f aca="false">MAX(0,$T318-$V318)</f>
        <v>26.444</v>
      </c>
      <c r="X318" s="19" t="n">
        <f aca="false">IFERROR(INDEX(CADASTRO_PIVOS!$K$6:$K$41,MATCH($E318,CADASTRO_PIVOS!$B$6:$B$41,0)),EFICIENCIA_PADRAO)</f>
        <v>0.85</v>
      </c>
      <c r="Y318" s="18" t="n">
        <f aca="false">IF($X318&lt;=0,0,$W318/$X318)</f>
        <v>31.1105882352941</v>
      </c>
      <c r="Z318" s="16" t="n">
        <f aca="false">$Y318*$H318*MM_PARA_M3_HA</f>
        <v>30979.9237647059</v>
      </c>
      <c r="AA318" s="18" t="n">
        <f aca="false">IFERROR(INDEX(CADASTRO_PIVOS!$I$6:$I$41,MATCH($E318,CADASTRO_PIVOS!$B$6:$B$41,0)),0)</f>
        <v>711.285714285714</v>
      </c>
      <c r="AB318" s="18" t="n">
        <f aca="false">IF($Z318&lt;=0,0,$Z318/$AA318)</f>
        <v>43.5548235294118</v>
      </c>
      <c r="AC318" s="16" t="n">
        <f aca="false">IFERROR(INDEX(SEMANAS!$K$6:$K$71,MATCH($B318,SEMANAS!$B$6:$B$71,0)),0)</f>
        <v>147</v>
      </c>
      <c r="AD318" s="19" t="n">
        <f aca="false">IF($AC318&lt;=0,0,$AB318/$AC318)</f>
        <v>0.296291316526611</v>
      </c>
      <c r="AE318" s="8" t="str">
        <f aca="false">IF($K318="SEM CULTURA","SEM CULTURA",IF($AA318&lt;=0,"DADO PENDENTE",IF($AD318&gt;LIMITE_CRITICO,"INVIAVEL",IF($AD318&gt;LIMITE_ATENCAO,"CRITICO",IF($AD318&gt;LIMITE_CONFORTAVEL,"ATENCAO","OK")))))</f>
        <v>OK</v>
      </c>
      <c r="AF318" s="8" t="str">
        <f aca="false">$B318&amp;"|"&amp;TEXT($AD318,"0.000000")</f>
        <v>49|0.296291</v>
      </c>
      <c r="AG318" s="18" t="n">
        <f aca="false">IF($K318="SEM CULTURA",0,$T318*$H318)</f>
        <v>2722.5172</v>
      </c>
      <c r="AH318" s="18" t="n">
        <f aca="false">IF($K318="SEM CULTURA",0,$V318*$H318)</f>
        <v>89.22368</v>
      </c>
      <c r="AI318" s="18" t="n">
        <f aca="false">IF($K318="SEM CULTURA",0,$W318*$H318)</f>
        <v>2633.29352</v>
      </c>
      <c r="AJ318" s="18" t="n">
        <f aca="false">IF($K318="SEM CULTURA",0,$S318*$H318)</f>
        <v>3624.712</v>
      </c>
      <c r="AK318" s="8" t="str">
        <f aca="false">$E318&amp;"|"&amp;TEXT($AD318,"0.000000")</f>
        <v>PV 107|0.296291</v>
      </c>
    </row>
    <row r="319" customFormat="false" ht="15" hidden="false" customHeight="false" outlineLevel="0" collapsed="false">
      <c r="B319" s="16" t="n">
        <v>50</v>
      </c>
      <c r="C319" s="17" t="n">
        <f aca="false">DATA_INICIO_SAFRA+($B319-1)*DIAS_POR_SEMANA</f>
        <v>46608</v>
      </c>
      <c r="D319" s="17" t="n">
        <f aca="false">$C319+DIAS_POR_SEMANA-1</f>
        <v>46614</v>
      </c>
      <c r="E319" s="15" t="s">
        <v>263</v>
      </c>
      <c r="F319" s="8" t="str">
        <f aca="false">IFERROR(INDEX(CADASTRO_PIVOS!$C$6:$C$41,MATCH($E319,CADASTRO_PIVOS!$B$6:$B$41,0)),"?")</f>
        <v>RM03</v>
      </c>
      <c r="G319" s="8" t="str">
        <f aca="false">IFERROR(INDEX(CADASTRO_PIVOS!$D$6:$D$41,MATCH($E319,CADASTRO_PIVOS!$B$6:$B$41,0)),"?")</f>
        <v>TR03</v>
      </c>
      <c r="H319" s="20" t="n">
        <f aca="false">IFERROR(INDEX(CADASTRO_PIVOS!$E$6:$E$41,MATCH($E319,CADASTRO_PIVOS!$B$6:$B$41,0)),0)</f>
        <v>99.58</v>
      </c>
      <c r="I319" s="16" t="n">
        <f aca="false">IFERROR(SUMIFS(ROTACAO_RDM!$B$6:$B$71,ROTACAO_RDM!$D$6:$D$71,$E319,ROTACAO_RDM!$I$6:$I$71,"&lt;="&amp;$C319+INT(DIAS_POR_SEMANA/2),ROTACAO_RDM!$J$6:$J$71,"&gt;="&amp;$C319+INT(DIAS_POR_SEMANA/2)),0)</f>
        <v>13</v>
      </c>
      <c r="J319" s="16" t="n">
        <f aca="false">IFERROR(MATCH($I319,ROTACAO_RDM!$B$6:$B$71,0),0)</f>
        <v>13</v>
      </c>
      <c r="K319" s="8" t="str">
        <f aca="false">IF($J319=0,"SEM CULTURA",INDEX(ROTACAO_RDM!$F$6:$F$71,$J319))</f>
        <v>ALGODAO</v>
      </c>
      <c r="L319" s="8" t="str">
        <f aca="false">IF($J319=0,"",INDEX(ROTACAO_RDM!$G$6:$G$71,$J319))</f>
        <v>FM 933 STP</v>
      </c>
      <c r="M319" s="17" t="n">
        <f aca="false">IF($J319=0,"",INDEX(ROTACAO_RDM!$I$6:$I$71,$J319))</f>
        <v>46424</v>
      </c>
      <c r="N319" s="16" t="n">
        <f aca="false">IF($J319=0,0,MAX(0,$C319+INT(DIAS_POR_SEMANA/2)-INDEX(ROTACAO_RDM!$I$6:$I$71,$J319)))</f>
        <v>187</v>
      </c>
      <c r="O319" s="19" t="n">
        <f aca="false">IF($J319=0,0,MIN(1,$N319/MAX(1,INDEX(ROTACAO_RDM!$K$6:$K$71,$J319))))</f>
        <v>0.958974358974359</v>
      </c>
      <c r="P319" s="16" t="n">
        <f aca="false">IF($J319=0,0,IFERROR(MATCH(INDEX(ROTACAO_RDM!$N$6:$N$71,$J319),PARAMETROS_CULTURAS!$B$6:$B$28,0),0))</f>
        <v>5</v>
      </c>
      <c r="Q319" s="8" t="str">
        <f aca="false">IF($P319=0,"-",IF($O319&lt;=INDEX(PARAMETROS_CULTURAS!$F$6:$F$28,$P319),"INICIAL",IF($O319&lt;=INDEX(PARAMETROS_CULTURAS!$F$6:$F$28,$P319)+INDEX(PARAMETROS_CULTURAS!$G$6:$G$28,$P319),"DESENVOLVIMENTO",IF($O319&lt;=INDEX(PARAMETROS_CULTURAS!$F$6:$F$28,$P319)+INDEX(PARAMETROS_CULTURAS!$G$6:$G$28,$P319)+INDEX(PARAMETROS_CULTURAS!$H$6:$H$28,$P319),"MEDIA","FINAL"))))</f>
        <v>FINAL</v>
      </c>
      <c r="R319" s="24" t="n">
        <f aca="false">IF($P319=0,0,IF($O319&lt;=INDEX(PARAMETROS_CULTURAS!$F$6:$F$28,$P319),INDEX(PARAMETROS_CULTURAS!$K$6:$K$28,$P319),IF($O319&lt;=INDEX(PARAMETROS_CULTURAS!$F$6:$F$28,$P319)+INDEX(PARAMETROS_CULTURAS!$G$6:$G$28,$P319),INDEX(PARAMETROS_CULTURAS!$K$6:$K$28,$P319)+(INDEX(PARAMETROS_CULTURAS!$L$6:$L$28,$P319)-INDEX(PARAMETROS_CULTURAS!$K$6:$K$28,$P319))*($O319-INDEX(PARAMETROS_CULTURAS!$F$6:$F$28,$P319))/MAX(INDEX(PARAMETROS_CULTURAS!$G$6:$G$28,$P319),0.0001),IF($O319&lt;=INDEX(PARAMETROS_CULTURAS!$F$6:$F$28,$P319)+INDEX(PARAMETROS_CULTURAS!$G$6:$G$28,$P319)+INDEX(PARAMETROS_CULTURAS!$H$6:$H$28,$P319),INDEX(PARAMETROS_CULTURAS!$L$6:$L$28,$P319),INDEX(PARAMETROS_CULTURAS!$L$6:$L$28,$P319)+(INDEX(PARAMETROS_CULTURAS!$M$6:$M$28,$P319)-INDEX(PARAMETROS_CULTURAS!$L$6:$L$28,$P319))*($O319-INDEX(PARAMETROS_CULTURAS!$F$6:$F$28,$P319)-INDEX(PARAMETROS_CULTURAS!$G$6:$G$28,$P319)-INDEX(PARAMETROS_CULTURAS!$H$6:$H$28,$P319))/MAX(INDEX(PARAMETROS_CULTURAS!$I$6:$I$28,$P319),0.0001)))))</f>
        <v>0.680586080586081</v>
      </c>
      <c r="S319" s="18" t="n">
        <f aca="false">IFERROR(INDEX(SEMANAS!$H$6:$H$71,MATCH($B319,SEMANAS!$B$6:$B$71,0)),0)</f>
        <v>36.4</v>
      </c>
      <c r="T319" s="18" t="n">
        <f aca="false">$R319*$S319</f>
        <v>24.7733333333333</v>
      </c>
      <c r="U319" s="18" t="n">
        <f aca="false">IFERROR(INDEX(SEMANAS!$I$6:$I$71,MATCH($B319,SEMANAS!$B$6:$B$71,0)),0)</f>
        <v>1.12</v>
      </c>
      <c r="V319" s="18" t="n">
        <f aca="false">IFERROR(INDEX(SEMANAS!$J$6:$J$71,MATCH($B319,SEMANAS!$B$6:$B$71,0)),0)</f>
        <v>0.896</v>
      </c>
      <c r="W319" s="18" t="n">
        <f aca="false">MAX(0,$T319-$V319)</f>
        <v>23.8773333333333</v>
      </c>
      <c r="X319" s="19" t="n">
        <f aca="false">IFERROR(INDEX(CADASTRO_PIVOS!$K$6:$K$41,MATCH($E319,CADASTRO_PIVOS!$B$6:$B$41,0)),EFICIENCIA_PADRAO)</f>
        <v>0.85</v>
      </c>
      <c r="Y319" s="18" t="n">
        <f aca="false">IF($X319&lt;=0,0,$W319/$X319)</f>
        <v>28.0909803921569</v>
      </c>
      <c r="Z319" s="16" t="n">
        <f aca="false">$Y319*$H319*MM_PARA_M3_HA</f>
        <v>27972.9982745098</v>
      </c>
      <c r="AA319" s="18" t="n">
        <f aca="false">IFERROR(INDEX(CADASTRO_PIVOS!$I$6:$I$41,MATCH($E319,CADASTRO_PIVOS!$B$6:$B$41,0)),0)</f>
        <v>711.285714285714</v>
      </c>
      <c r="AB319" s="18" t="n">
        <f aca="false">IF($Z319&lt;=0,0,$Z319/$AA319)</f>
        <v>39.3273725490196</v>
      </c>
      <c r="AC319" s="16" t="n">
        <f aca="false">IFERROR(INDEX(SEMANAS!$K$6:$K$71,MATCH($B319,SEMANAS!$B$6:$B$71,0)),0)</f>
        <v>147</v>
      </c>
      <c r="AD319" s="19" t="n">
        <f aca="false">IF($AC319&lt;=0,0,$AB319/$AC319)</f>
        <v>0.26753314659197</v>
      </c>
      <c r="AE319" s="8" t="str">
        <f aca="false">IF($K319="SEM CULTURA","SEM CULTURA",IF($AA319&lt;=0,"DADO PENDENTE",IF($AD319&gt;LIMITE_CRITICO,"INVIAVEL",IF($AD319&gt;LIMITE_ATENCAO,"CRITICO",IF($AD319&gt;LIMITE_CONFORTAVEL,"ATENCAO","OK")))))</f>
        <v>OK</v>
      </c>
      <c r="AF319" s="8" t="str">
        <f aca="false">$B319&amp;"|"&amp;TEXT($AD319,"0.000000")</f>
        <v>50|0.267533</v>
      </c>
      <c r="AG319" s="18" t="n">
        <f aca="false">IF($K319="SEM CULTURA",0,$T319*$H319)</f>
        <v>2466.92853333333</v>
      </c>
      <c r="AH319" s="18" t="n">
        <f aca="false">IF($K319="SEM CULTURA",0,$V319*$H319)</f>
        <v>89.22368</v>
      </c>
      <c r="AI319" s="18" t="n">
        <f aca="false">IF($K319="SEM CULTURA",0,$W319*$H319)</f>
        <v>2377.70485333333</v>
      </c>
      <c r="AJ319" s="18" t="n">
        <f aca="false">IF($K319="SEM CULTURA",0,$S319*$H319)</f>
        <v>3624.712</v>
      </c>
      <c r="AK319" s="8" t="str">
        <f aca="false">$E319&amp;"|"&amp;TEXT($AD319,"0.000000")</f>
        <v>PV 107|0.267533</v>
      </c>
    </row>
    <row r="320" customFormat="false" ht="15" hidden="false" customHeight="false" outlineLevel="0" collapsed="false">
      <c r="B320" s="16" t="n">
        <v>51</v>
      </c>
      <c r="C320" s="17" t="n">
        <f aca="false">DATA_INICIO_SAFRA+($B320-1)*DIAS_POR_SEMANA</f>
        <v>46615</v>
      </c>
      <c r="D320" s="17" t="n">
        <f aca="false">$C320+DIAS_POR_SEMANA-1</f>
        <v>46621</v>
      </c>
      <c r="E320" s="15" t="s">
        <v>263</v>
      </c>
      <c r="F320" s="8" t="str">
        <f aca="false">IFERROR(INDEX(CADASTRO_PIVOS!$C$6:$C$41,MATCH($E320,CADASTRO_PIVOS!$B$6:$B$41,0)),"?")</f>
        <v>RM03</v>
      </c>
      <c r="G320" s="8" t="str">
        <f aca="false">IFERROR(INDEX(CADASTRO_PIVOS!$D$6:$D$41,MATCH($E320,CADASTRO_PIVOS!$B$6:$B$41,0)),"?")</f>
        <v>TR03</v>
      </c>
      <c r="H320" s="20" t="n">
        <f aca="false">IFERROR(INDEX(CADASTRO_PIVOS!$E$6:$E$41,MATCH($E320,CADASTRO_PIVOS!$B$6:$B$41,0)),0)</f>
        <v>99.58</v>
      </c>
      <c r="I320" s="16" t="n">
        <f aca="false">IFERROR(SUMIFS(ROTACAO_RDM!$B$6:$B$71,ROTACAO_RDM!$D$6:$D$71,$E320,ROTACAO_RDM!$I$6:$I$71,"&lt;="&amp;$C320+INT(DIAS_POR_SEMANA/2),ROTACAO_RDM!$J$6:$J$71,"&gt;="&amp;$C320+INT(DIAS_POR_SEMANA/2)),0)</f>
        <v>13</v>
      </c>
      <c r="J320" s="16" t="n">
        <f aca="false">IFERROR(MATCH($I320,ROTACAO_RDM!$B$6:$B$71,0),0)</f>
        <v>13</v>
      </c>
      <c r="K320" s="8" t="str">
        <f aca="false">IF($J320=0,"SEM CULTURA",INDEX(ROTACAO_RDM!$F$6:$F$71,$J320))</f>
        <v>ALGODAO</v>
      </c>
      <c r="L320" s="8" t="str">
        <f aca="false">IF($J320=0,"",INDEX(ROTACAO_RDM!$G$6:$G$71,$J320))</f>
        <v>FM 933 STP</v>
      </c>
      <c r="M320" s="17" t="n">
        <f aca="false">IF($J320=0,"",INDEX(ROTACAO_RDM!$I$6:$I$71,$J320))</f>
        <v>46424</v>
      </c>
      <c r="N320" s="16" t="n">
        <f aca="false">IF($J320=0,0,MAX(0,$C320+INT(DIAS_POR_SEMANA/2)-INDEX(ROTACAO_RDM!$I$6:$I$71,$J320)))</f>
        <v>194</v>
      </c>
      <c r="O320" s="19" t="n">
        <f aca="false">IF($J320=0,0,MIN(1,$N320/MAX(1,INDEX(ROTACAO_RDM!$K$6:$K$71,$J320))))</f>
        <v>0.994871794871795</v>
      </c>
      <c r="P320" s="16" t="n">
        <f aca="false">IF($J320=0,0,IFERROR(MATCH(INDEX(ROTACAO_RDM!$N$6:$N$71,$J320),PARAMETROS_CULTURAS!$B$6:$B$28,0),0))</f>
        <v>5</v>
      </c>
      <c r="Q320" s="8" t="str">
        <f aca="false">IF($P320=0,"-",IF($O320&lt;=INDEX(PARAMETROS_CULTURAS!$F$6:$F$28,$P320),"INICIAL",IF($O320&lt;=INDEX(PARAMETROS_CULTURAS!$F$6:$F$28,$P320)+INDEX(PARAMETROS_CULTURAS!$G$6:$G$28,$P320),"DESENVOLVIMENTO",IF($O320&lt;=INDEX(PARAMETROS_CULTURAS!$F$6:$F$28,$P320)+INDEX(PARAMETROS_CULTURAS!$G$6:$G$28,$P320)+INDEX(PARAMETROS_CULTURAS!$H$6:$H$28,$P320),"MEDIA","FINAL"))))</f>
        <v>FINAL</v>
      </c>
      <c r="R320" s="24" t="n">
        <f aca="false">IF($P320=0,0,IF($O320&lt;=INDEX(PARAMETROS_CULTURAS!$F$6:$F$28,$P320),INDEX(PARAMETROS_CULTURAS!$K$6:$K$28,$P320),IF($O320&lt;=INDEX(PARAMETROS_CULTURAS!$F$6:$F$28,$P320)+INDEX(PARAMETROS_CULTURAS!$G$6:$G$28,$P320),INDEX(PARAMETROS_CULTURAS!$K$6:$K$28,$P320)+(INDEX(PARAMETROS_CULTURAS!$L$6:$L$28,$P320)-INDEX(PARAMETROS_CULTURAS!$K$6:$K$28,$P320))*($O320-INDEX(PARAMETROS_CULTURAS!$F$6:$F$28,$P320))/MAX(INDEX(PARAMETROS_CULTURAS!$G$6:$G$28,$P320),0.0001),IF($O320&lt;=INDEX(PARAMETROS_CULTURAS!$F$6:$F$28,$P320)+INDEX(PARAMETROS_CULTURAS!$G$6:$G$28,$P320)+INDEX(PARAMETROS_CULTURAS!$H$6:$H$28,$P320),INDEX(PARAMETROS_CULTURAS!$L$6:$L$28,$P320),INDEX(PARAMETROS_CULTURAS!$L$6:$L$28,$P320)+(INDEX(PARAMETROS_CULTURAS!$M$6:$M$28,$P320)-INDEX(PARAMETROS_CULTURAS!$L$6:$L$28,$P320))*($O320-INDEX(PARAMETROS_CULTURAS!$F$6:$F$28,$P320)-INDEX(PARAMETROS_CULTURAS!$G$6:$G$28,$P320)-INDEX(PARAMETROS_CULTURAS!$H$6:$H$28,$P320))/MAX(INDEX(PARAMETROS_CULTURAS!$I$6:$I$28,$P320),0.0001)))))</f>
        <v>0.61007326007326</v>
      </c>
      <c r="S320" s="18" t="n">
        <f aca="false">IFERROR(INDEX(SEMANAS!$H$6:$H$71,MATCH($B320,SEMANAS!$B$6:$B$71,0)),0)</f>
        <v>36.4</v>
      </c>
      <c r="T320" s="18" t="n">
        <f aca="false">$R320*$S320</f>
        <v>22.2066666666667</v>
      </c>
      <c r="U320" s="18" t="n">
        <f aca="false">IFERROR(INDEX(SEMANAS!$I$6:$I$71,MATCH($B320,SEMANAS!$B$6:$B$71,0)),0)</f>
        <v>1.12</v>
      </c>
      <c r="V320" s="18" t="n">
        <f aca="false">IFERROR(INDEX(SEMANAS!$J$6:$J$71,MATCH($B320,SEMANAS!$B$6:$B$71,0)),0)</f>
        <v>0.896</v>
      </c>
      <c r="W320" s="18" t="n">
        <f aca="false">MAX(0,$T320-$V320)</f>
        <v>21.3106666666667</v>
      </c>
      <c r="X320" s="19" t="n">
        <f aca="false">IFERROR(INDEX(CADASTRO_PIVOS!$K$6:$K$41,MATCH($E320,CADASTRO_PIVOS!$B$6:$B$41,0)),EFICIENCIA_PADRAO)</f>
        <v>0.85</v>
      </c>
      <c r="Y320" s="18" t="n">
        <f aca="false">IF($X320&lt;=0,0,$W320/$X320)</f>
        <v>25.0713725490196</v>
      </c>
      <c r="Z320" s="16" t="n">
        <f aca="false">$Y320*$H320*MM_PARA_M3_HA</f>
        <v>24966.0727843137</v>
      </c>
      <c r="AA320" s="18" t="n">
        <f aca="false">IFERROR(INDEX(CADASTRO_PIVOS!$I$6:$I$41,MATCH($E320,CADASTRO_PIVOS!$B$6:$B$41,0)),0)</f>
        <v>711.285714285714</v>
      </c>
      <c r="AB320" s="18" t="n">
        <f aca="false">IF($Z320&lt;=0,0,$Z320/$AA320)</f>
        <v>35.0999215686274</v>
      </c>
      <c r="AC320" s="16" t="n">
        <f aca="false">IFERROR(INDEX(SEMANAS!$K$6:$K$71,MATCH($B320,SEMANAS!$B$6:$B$71,0)),0)</f>
        <v>147</v>
      </c>
      <c r="AD320" s="19" t="n">
        <f aca="false">IF($AC320&lt;=0,0,$AB320/$AC320)</f>
        <v>0.23877497665733</v>
      </c>
      <c r="AE320" s="8" t="str">
        <f aca="false">IF($K320="SEM CULTURA","SEM CULTURA",IF($AA320&lt;=0,"DADO PENDENTE",IF($AD320&gt;LIMITE_CRITICO,"INVIAVEL",IF($AD320&gt;LIMITE_ATENCAO,"CRITICO",IF($AD320&gt;LIMITE_CONFORTAVEL,"ATENCAO","OK")))))</f>
        <v>OK</v>
      </c>
      <c r="AF320" s="8" t="str">
        <f aca="false">$B320&amp;"|"&amp;TEXT($AD320,"0.000000")</f>
        <v>51|0.238775</v>
      </c>
      <c r="AG320" s="18" t="n">
        <f aca="false">IF($K320="SEM CULTURA",0,$T320*$H320)</f>
        <v>2211.33986666667</v>
      </c>
      <c r="AH320" s="18" t="n">
        <f aca="false">IF($K320="SEM CULTURA",0,$V320*$H320)</f>
        <v>89.22368</v>
      </c>
      <c r="AI320" s="18" t="n">
        <f aca="false">IF($K320="SEM CULTURA",0,$W320*$H320)</f>
        <v>2122.11618666667</v>
      </c>
      <c r="AJ320" s="18" t="n">
        <f aca="false">IF($K320="SEM CULTURA",0,$S320*$H320)</f>
        <v>3624.712</v>
      </c>
      <c r="AK320" s="8" t="str">
        <f aca="false">$E320&amp;"|"&amp;TEXT($AD320,"0.000000")</f>
        <v>PV 107|0.238775</v>
      </c>
    </row>
    <row r="321" customFormat="false" ht="15" hidden="false" customHeight="false" outlineLevel="0" collapsed="false">
      <c r="B321" s="16" t="n">
        <v>52</v>
      </c>
      <c r="C321" s="17" t="n">
        <f aca="false">DATA_INICIO_SAFRA+($B321-1)*DIAS_POR_SEMANA</f>
        <v>46622</v>
      </c>
      <c r="D321" s="17" t="n">
        <f aca="false">$C321+DIAS_POR_SEMANA-1</f>
        <v>46628</v>
      </c>
      <c r="E321" s="15" t="s">
        <v>263</v>
      </c>
      <c r="F321" s="8" t="str">
        <f aca="false">IFERROR(INDEX(CADASTRO_PIVOS!$C$6:$C$41,MATCH($E321,CADASTRO_PIVOS!$B$6:$B$41,0)),"?")</f>
        <v>RM03</v>
      </c>
      <c r="G321" s="8" t="str">
        <f aca="false">IFERROR(INDEX(CADASTRO_PIVOS!$D$6:$D$41,MATCH($E321,CADASTRO_PIVOS!$B$6:$B$41,0)),"?")</f>
        <v>TR03</v>
      </c>
      <c r="H321" s="20" t="n">
        <f aca="false">IFERROR(INDEX(CADASTRO_PIVOS!$E$6:$E$41,MATCH($E321,CADASTRO_PIVOS!$B$6:$B$41,0)),0)</f>
        <v>99.58</v>
      </c>
      <c r="I321" s="16" t="n">
        <f aca="false">IFERROR(SUMIFS(ROTACAO_RDM!$B$6:$B$71,ROTACAO_RDM!$D$6:$D$71,$E321,ROTACAO_RDM!$I$6:$I$71,"&lt;="&amp;$C321+INT(DIAS_POR_SEMANA/2),ROTACAO_RDM!$J$6:$J$71,"&gt;="&amp;$C321+INT(DIAS_POR_SEMANA/2)),0)</f>
        <v>0</v>
      </c>
      <c r="J321" s="16" t="n">
        <f aca="false">IFERROR(MATCH($I321,ROTACAO_RDM!$B$6:$B$71,0),0)</f>
        <v>0</v>
      </c>
      <c r="K321" s="8" t="str">
        <f aca="false">IF($J321=0,"SEM CULTURA",INDEX(ROTACAO_RDM!$F$6:$F$71,$J321))</f>
        <v>SEM CULTURA</v>
      </c>
      <c r="L321" s="8" t="str">
        <f aca="false">IF($J321=0,"",INDEX(ROTACAO_RDM!$G$6:$G$71,$J321))</f>
        <v/>
      </c>
      <c r="M321" s="17" t="str">
        <f aca="false">IF($J321=0,"",INDEX(ROTACAO_RDM!$I$6:$I$71,$J321))</f>
        <v/>
      </c>
      <c r="N321" s="16" t="n">
        <f aca="false">IF($J321=0,0,MAX(0,$C321+INT(DIAS_POR_SEMANA/2)-INDEX(ROTACAO_RDM!$I$6:$I$71,$J321)))</f>
        <v>0</v>
      </c>
      <c r="O321" s="19" t="n">
        <f aca="false">IF($J321=0,0,MIN(1,$N321/MAX(1,INDEX(ROTACAO_RDM!$K$6:$K$71,$J321))))</f>
        <v>0</v>
      </c>
      <c r="P321" s="16" t="n">
        <f aca="false">IF($J321=0,0,IFERROR(MATCH(INDEX(ROTACAO_RDM!$N$6:$N$71,$J321),PARAMETROS_CULTURAS!$B$6:$B$28,0),0))</f>
        <v>0</v>
      </c>
      <c r="Q321" s="8" t="str">
        <f aca="false">IF($P321=0,"-",IF($O321&lt;=INDEX(PARAMETROS_CULTURAS!$F$6:$F$28,$P321),"INICIAL",IF($O321&lt;=INDEX(PARAMETROS_CULTURAS!$F$6:$F$28,$P321)+INDEX(PARAMETROS_CULTURAS!$G$6:$G$28,$P321),"DESENVOLVIMENTO",IF($O321&lt;=INDEX(PARAMETROS_CULTURAS!$F$6:$F$28,$P321)+INDEX(PARAMETROS_CULTURAS!$G$6:$G$28,$P321)+INDEX(PARAMETROS_CULTURAS!$H$6:$H$28,$P321),"MEDIA","FINAL"))))</f>
        <v>-</v>
      </c>
      <c r="R321" s="24" t="n">
        <f aca="false">IF($P321=0,0,IF($O321&lt;=INDEX(PARAMETROS_CULTURAS!$F$6:$F$28,$P321),INDEX(PARAMETROS_CULTURAS!$K$6:$K$28,$P321),IF($O321&lt;=INDEX(PARAMETROS_CULTURAS!$F$6:$F$28,$P321)+INDEX(PARAMETROS_CULTURAS!$G$6:$G$28,$P321),INDEX(PARAMETROS_CULTURAS!$K$6:$K$28,$P321)+(INDEX(PARAMETROS_CULTURAS!$L$6:$L$28,$P321)-INDEX(PARAMETROS_CULTURAS!$K$6:$K$28,$P321))*($O321-INDEX(PARAMETROS_CULTURAS!$F$6:$F$28,$P321))/MAX(INDEX(PARAMETROS_CULTURAS!$G$6:$G$28,$P321),0.0001),IF($O321&lt;=INDEX(PARAMETROS_CULTURAS!$F$6:$F$28,$P321)+INDEX(PARAMETROS_CULTURAS!$G$6:$G$28,$P321)+INDEX(PARAMETROS_CULTURAS!$H$6:$H$28,$P321),INDEX(PARAMETROS_CULTURAS!$L$6:$L$28,$P321),INDEX(PARAMETROS_CULTURAS!$L$6:$L$28,$P321)+(INDEX(PARAMETROS_CULTURAS!$M$6:$M$28,$P321)-INDEX(PARAMETROS_CULTURAS!$L$6:$L$28,$P321))*($O321-INDEX(PARAMETROS_CULTURAS!$F$6:$F$28,$P321)-INDEX(PARAMETROS_CULTURAS!$G$6:$G$28,$P321)-INDEX(PARAMETROS_CULTURAS!$H$6:$H$28,$P321))/MAX(INDEX(PARAMETROS_CULTURAS!$I$6:$I$28,$P321),0.0001)))))</f>
        <v>0</v>
      </c>
      <c r="S321" s="18" t="n">
        <f aca="false">IFERROR(INDEX(SEMANAS!$H$6:$H$71,MATCH($B321,SEMANAS!$B$6:$B$71,0)),0)</f>
        <v>36.4</v>
      </c>
      <c r="T321" s="18" t="n">
        <f aca="false">$R321*$S321</f>
        <v>0</v>
      </c>
      <c r="U321" s="18" t="n">
        <f aca="false">IFERROR(INDEX(SEMANAS!$I$6:$I$71,MATCH($B321,SEMANAS!$B$6:$B$71,0)),0)</f>
        <v>1.12</v>
      </c>
      <c r="V321" s="18" t="n">
        <f aca="false">IFERROR(INDEX(SEMANAS!$J$6:$J$71,MATCH($B321,SEMANAS!$B$6:$B$71,0)),0)</f>
        <v>0.896</v>
      </c>
      <c r="W321" s="18" t="n">
        <f aca="false">MAX(0,$T321-$V321)</f>
        <v>0</v>
      </c>
      <c r="X321" s="19" t="n">
        <f aca="false">IFERROR(INDEX(CADASTRO_PIVOS!$K$6:$K$41,MATCH($E321,CADASTRO_PIVOS!$B$6:$B$41,0)),EFICIENCIA_PADRAO)</f>
        <v>0.85</v>
      </c>
      <c r="Y321" s="18" t="n">
        <f aca="false">IF($X321&lt;=0,0,$W321/$X321)</f>
        <v>0</v>
      </c>
      <c r="Z321" s="16" t="n">
        <f aca="false">$Y321*$H321*MM_PARA_M3_HA</f>
        <v>0</v>
      </c>
      <c r="AA321" s="18" t="n">
        <f aca="false">IFERROR(INDEX(CADASTRO_PIVOS!$I$6:$I$41,MATCH($E321,CADASTRO_PIVOS!$B$6:$B$41,0)),0)</f>
        <v>711.285714285714</v>
      </c>
      <c r="AB321" s="18" t="n">
        <f aca="false">IF($Z321&lt;=0,0,$Z321/$AA321)</f>
        <v>0</v>
      </c>
      <c r="AC321" s="16" t="n">
        <f aca="false">IFERROR(INDEX(SEMANAS!$K$6:$K$71,MATCH($B321,SEMANAS!$B$6:$B$71,0)),0)</f>
        <v>147</v>
      </c>
      <c r="AD321" s="19" t="n">
        <f aca="false">IF($AC321&lt;=0,0,$AB321/$AC321)</f>
        <v>0</v>
      </c>
      <c r="AE321" s="8" t="str">
        <f aca="false">IF($K321="SEM CULTURA","SEM CULTURA",IF($AA321&lt;=0,"DADO PENDENTE",IF($AD321&gt;LIMITE_CRITICO,"INVIAVEL",IF($AD321&gt;LIMITE_ATENCAO,"CRITICO",IF($AD321&gt;LIMITE_CONFORTAVEL,"ATENCAO","OK")))))</f>
        <v>SEM CULTURA</v>
      </c>
      <c r="AF321" s="8" t="str">
        <f aca="false">$B321&amp;"|"&amp;TEXT($AD321,"0.000000")</f>
        <v>52|0.000000</v>
      </c>
      <c r="AG321" s="18" t="n">
        <f aca="false">IF($K321="SEM CULTURA",0,$T321*$H321)</f>
        <v>0</v>
      </c>
      <c r="AH321" s="18" t="n">
        <f aca="false">IF($K321="SEM CULTURA",0,$V321*$H321)</f>
        <v>0</v>
      </c>
      <c r="AI321" s="18" t="n">
        <f aca="false">IF($K321="SEM CULTURA",0,$W321*$H321)</f>
        <v>0</v>
      </c>
      <c r="AJ321" s="18" t="n">
        <f aca="false">IF($K321="SEM CULTURA",0,$S321*$H321)</f>
        <v>0</v>
      </c>
      <c r="AK321" s="8" t="str">
        <f aca="false">$E321&amp;"|"&amp;TEXT($AD321,"0.000000")</f>
        <v>PV 107|0.000000</v>
      </c>
    </row>
    <row r="322" customFormat="false" ht="15" hidden="false" customHeight="false" outlineLevel="0" collapsed="false">
      <c r="B322" s="16" t="n">
        <v>53</v>
      </c>
      <c r="C322" s="17" t="n">
        <f aca="false">DATA_INICIO_SAFRA+($B322-1)*DIAS_POR_SEMANA</f>
        <v>46629</v>
      </c>
      <c r="D322" s="17" t="n">
        <f aca="false">$C322+DIAS_POR_SEMANA-1</f>
        <v>46635</v>
      </c>
      <c r="E322" s="15" t="s">
        <v>263</v>
      </c>
      <c r="F322" s="8" t="str">
        <f aca="false">IFERROR(INDEX(CADASTRO_PIVOS!$C$6:$C$41,MATCH($E322,CADASTRO_PIVOS!$B$6:$B$41,0)),"?")</f>
        <v>RM03</v>
      </c>
      <c r="G322" s="8" t="str">
        <f aca="false">IFERROR(INDEX(CADASTRO_PIVOS!$D$6:$D$41,MATCH($E322,CADASTRO_PIVOS!$B$6:$B$41,0)),"?")</f>
        <v>TR03</v>
      </c>
      <c r="H322" s="20" t="n">
        <f aca="false">IFERROR(INDEX(CADASTRO_PIVOS!$E$6:$E$41,MATCH($E322,CADASTRO_PIVOS!$B$6:$B$41,0)),0)</f>
        <v>99.58</v>
      </c>
      <c r="I322" s="16" t="n">
        <f aca="false">IFERROR(SUMIFS(ROTACAO_RDM!$B$6:$B$71,ROTACAO_RDM!$D$6:$D$71,$E322,ROTACAO_RDM!$I$6:$I$71,"&lt;="&amp;$C322+INT(DIAS_POR_SEMANA/2),ROTACAO_RDM!$J$6:$J$71,"&gt;="&amp;$C322+INT(DIAS_POR_SEMANA/2)),0)</f>
        <v>0</v>
      </c>
      <c r="J322" s="16" t="n">
        <f aca="false">IFERROR(MATCH($I322,ROTACAO_RDM!$B$6:$B$71,0),0)</f>
        <v>0</v>
      </c>
      <c r="K322" s="8" t="str">
        <f aca="false">IF($J322=0,"SEM CULTURA",INDEX(ROTACAO_RDM!$F$6:$F$71,$J322))</f>
        <v>SEM CULTURA</v>
      </c>
      <c r="L322" s="8" t="str">
        <f aca="false">IF($J322=0,"",INDEX(ROTACAO_RDM!$G$6:$G$71,$J322))</f>
        <v/>
      </c>
      <c r="M322" s="17" t="str">
        <f aca="false">IF($J322=0,"",INDEX(ROTACAO_RDM!$I$6:$I$71,$J322))</f>
        <v/>
      </c>
      <c r="N322" s="16" t="n">
        <f aca="false">IF($J322=0,0,MAX(0,$C322+INT(DIAS_POR_SEMANA/2)-INDEX(ROTACAO_RDM!$I$6:$I$71,$J322)))</f>
        <v>0</v>
      </c>
      <c r="O322" s="19" t="n">
        <f aca="false">IF($J322=0,0,MIN(1,$N322/MAX(1,INDEX(ROTACAO_RDM!$K$6:$K$71,$J322))))</f>
        <v>0</v>
      </c>
      <c r="P322" s="16" t="n">
        <f aca="false">IF($J322=0,0,IFERROR(MATCH(INDEX(ROTACAO_RDM!$N$6:$N$71,$J322),PARAMETROS_CULTURAS!$B$6:$B$28,0),0))</f>
        <v>0</v>
      </c>
      <c r="Q322" s="8" t="str">
        <f aca="false">IF($P322=0,"-",IF($O322&lt;=INDEX(PARAMETROS_CULTURAS!$F$6:$F$28,$P322),"INICIAL",IF($O322&lt;=INDEX(PARAMETROS_CULTURAS!$F$6:$F$28,$P322)+INDEX(PARAMETROS_CULTURAS!$G$6:$G$28,$P322),"DESENVOLVIMENTO",IF($O322&lt;=INDEX(PARAMETROS_CULTURAS!$F$6:$F$28,$P322)+INDEX(PARAMETROS_CULTURAS!$G$6:$G$28,$P322)+INDEX(PARAMETROS_CULTURAS!$H$6:$H$28,$P322),"MEDIA","FINAL"))))</f>
        <v>-</v>
      </c>
      <c r="R322" s="24" t="n">
        <f aca="false">IF($P322=0,0,IF($O322&lt;=INDEX(PARAMETROS_CULTURAS!$F$6:$F$28,$P322),INDEX(PARAMETROS_CULTURAS!$K$6:$K$28,$P322),IF($O322&lt;=INDEX(PARAMETROS_CULTURAS!$F$6:$F$28,$P322)+INDEX(PARAMETROS_CULTURAS!$G$6:$G$28,$P322),INDEX(PARAMETROS_CULTURAS!$K$6:$K$28,$P322)+(INDEX(PARAMETROS_CULTURAS!$L$6:$L$28,$P322)-INDEX(PARAMETROS_CULTURAS!$K$6:$K$28,$P322))*($O322-INDEX(PARAMETROS_CULTURAS!$F$6:$F$28,$P322))/MAX(INDEX(PARAMETROS_CULTURAS!$G$6:$G$28,$P322),0.0001),IF($O322&lt;=INDEX(PARAMETROS_CULTURAS!$F$6:$F$28,$P322)+INDEX(PARAMETROS_CULTURAS!$G$6:$G$28,$P322)+INDEX(PARAMETROS_CULTURAS!$H$6:$H$28,$P322),INDEX(PARAMETROS_CULTURAS!$L$6:$L$28,$P322),INDEX(PARAMETROS_CULTURAS!$L$6:$L$28,$P322)+(INDEX(PARAMETROS_CULTURAS!$M$6:$M$28,$P322)-INDEX(PARAMETROS_CULTURAS!$L$6:$L$28,$P322))*($O322-INDEX(PARAMETROS_CULTURAS!$F$6:$F$28,$P322)-INDEX(PARAMETROS_CULTURAS!$G$6:$G$28,$P322)-INDEX(PARAMETROS_CULTURAS!$H$6:$H$28,$P322))/MAX(INDEX(PARAMETROS_CULTURAS!$I$6:$I$28,$P322),0.0001)))))</f>
        <v>0</v>
      </c>
      <c r="S322" s="18" t="n">
        <f aca="false">IFERROR(INDEX(SEMANAS!$H$6:$H$71,MATCH($B322,SEMANAS!$B$6:$B$71,0)),0)</f>
        <v>39.4</v>
      </c>
      <c r="T322" s="18" t="n">
        <f aca="false">$R322*$S322</f>
        <v>0</v>
      </c>
      <c r="U322" s="18" t="n">
        <f aca="false">IFERROR(INDEX(SEMANAS!$I$6:$I$71,MATCH($B322,SEMANAS!$B$6:$B$71,0)),0)</f>
        <v>5.32</v>
      </c>
      <c r="V322" s="18" t="n">
        <f aca="false">IFERROR(INDEX(SEMANAS!$J$6:$J$71,MATCH($B322,SEMANAS!$B$6:$B$71,0)),0)</f>
        <v>4.256</v>
      </c>
      <c r="W322" s="18" t="n">
        <f aca="false">MAX(0,$T322-$V322)</f>
        <v>0</v>
      </c>
      <c r="X322" s="19" t="n">
        <f aca="false">IFERROR(INDEX(CADASTRO_PIVOS!$K$6:$K$41,MATCH($E322,CADASTRO_PIVOS!$B$6:$B$41,0)),EFICIENCIA_PADRAO)</f>
        <v>0.85</v>
      </c>
      <c r="Y322" s="18" t="n">
        <f aca="false">IF($X322&lt;=0,0,$W322/$X322)</f>
        <v>0</v>
      </c>
      <c r="Z322" s="16" t="n">
        <f aca="false">$Y322*$H322*MM_PARA_M3_HA</f>
        <v>0</v>
      </c>
      <c r="AA322" s="18" t="n">
        <f aca="false">IFERROR(INDEX(CADASTRO_PIVOS!$I$6:$I$41,MATCH($E322,CADASTRO_PIVOS!$B$6:$B$41,0)),0)</f>
        <v>711.285714285714</v>
      </c>
      <c r="AB322" s="18" t="n">
        <f aca="false">IF($Z322&lt;=0,0,$Z322/$AA322)</f>
        <v>0</v>
      </c>
      <c r="AC322" s="16" t="n">
        <f aca="false">IFERROR(INDEX(SEMANAS!$K$6:$K$71,MATCH($B322,SEMANAS!$B$6:$B$71,0)),0)</f>
        <v>147</v>
      </c>
      <c r="AD322" s="19" t="n">
        <f aca="false">IF($AC322&lt;=0,0,$AB322/$AC322)</f>
        <v>0</v>
      </c>
      <c r="AE322" s="8" t="str">
        <f aca="false">IF($K322="SEM CULTURA","SEM CULTURA",IF($AA322&lt;=0,"DADO PENDENTE",IF($AD322&gt;LIMITE_CRITICO,"INVIAVEL",IF($AD322&gt;LIMITE_ATENCAO,"CRITICO",IF($AD322&gt;LIMITE_CONFORTAVEL,"ATENCAO","OK")))))</f>
        <v>SEM CULTURA</v>
      </c>
      <c r="AF322" s="8" t="str">
        <f aca="false">$B322&amp;"|"&amp;TEXT($AD322,"0.000000")</f>
        <v>53|0.000000</v>
      </c>
      <c r="AG322" s="18" t="n">
        <f aca="false">IF($K322="SEM CULTURA",0,$T322*$H322)</f>
        <v>0</v>
      </c>
      <c r="AH322" s="18" t="n">
        <f aca="false">IF($K322="SEM CULTURA",0,$V322*$H322)</f>
        <v>0</v>
      </c>
      <c r="AI322" s="18" t="n">
        <f aca="false">IF($K322="SEM CULTURA",0,$W322*$H322)</f>
        <v>0</v>
      </c>
      <c r="AJ322" s="18" t="n">
        <f aca="false">IF($K322="SEM CULTURA",0,$S322*$H322)</f>
        <v>0</v>
      </c>
      <c r="AK322" s="8" t="str">
        <f aca="false">$E322&amp;"|"&amp;TEXT($AD322,"0.000000")</f>
        <v>PV 107|0.000000</v>
      </c>
    </row>
    <row r="323" customFormat="false" ht="15" hidden="false" customHeight="false" outlineLevel="0" collapsed="false">
      <c r="B323" s="16" t="n">
        <v>54</v>
      </c>
      <c r="C323" s="17" t="n">
        <f aca="false">DATA_INICIO_SAFRA+($B323-1)*DIAS_POR_SEMANA</f>
        <v>46636</v>
      </c>
      <c r="D323" s="17" t="n">
        <f aca="false">$C323+DIAS_POR_SEMANA-1</f>
        <v>46642</v>
      </c>
      <c r="E323" s="15" t="s">
        <v>263</v>
      </c>
      <c r="F323" s="8" t="str">
        <f aca="false">IFERROR(INDEX(CADASTRO_PIVOS!$C$6:$C$41,MATCH($E323,CADASTRO_PIVOS!$B$6:$B$41,0)),"?")</f>
        <v>RM03</v>
      </c>
      <c r="G323" s="8" t="str">
        <f aca="false">IFERROR(INDEX(CADASTRO_PIVOS!$D$6:$D$41,MATCH($E323,CADASTRO_PIVOS!$B$6:$B$41,0)),"?")</f>
        <v>TR03</v>
      </c>
      <c r="H323" s="20" t="n">
        <f aca="false">IFERROR(INDEX(CADASTRO_PIVOS!$E$6:$E$41,MATCH($E323,CADASTRO_PIVOS!$B$6:$B$41,0)),0)</f>
        <v>99.58</v>
      </c>
      <c r="I323" s="16" t="n">
        <f aca="false">IFERROR(SUMIFS(ROTACAO_RDM!$B$6:$B$71,ROTACAO_RDM!$D$6:$D$71,$E323,ROTACAO_RDM!$I$6:$I$71,"&lt;="&amp;$C323+INT(DIAS_POR_SEMANA/2),ROTACAO_RDM!$J$6:$J$71,"&gt;="&amp;$C323+INT(DIAS_POR_SEMANA/2)),0)</f>
        <v>0</v>
      </c>
      <c r="J323" s="16" t="n">
        <f aca="false">IFERROR(MATCH($I323,ROTACAO_RDM!$B$6:$B$71,0),0)</f>
        <v>0</v>
      </c>
      <c r="K323" s="8" t="str">
        <f aca="false">IF($J323=0,"SEM CULTURA",INDEX(ROTACAO_RDM!$F$6:$F$71,$J323))</f>
        <v>SEM CULTURA</v>
      </c>
      <c r="L323" s="8" t="str">
        <f aca="false">IF($J323=0,"",INDEX(ROTACAO_RDM!$G$6:$G$71,$J323))</f>
        <v/>
      </c>
      <c r="M323" s="17" t="str">
        <f aca="false">IF($J323=0,"",INDEX(ROTACAO_RDM!$I$6:$I$71,$J323))</f>
        <v/>
      </c>
      <c r="N323" s="16" t="n">
        <f aca="false">IF($J323=0,0,MAX(0,$C323+INT(DIAS_POR_SEMANA/2)-INDEX(ROTACAO_RDM!$I$6:$I$71,$J323)))</f>
        <v>0</v>
      </c>
      <c r="O323" s="19" t="n">
        <f aca="false">IF($J323=0,0,MIN(1,$N323/MAX(1,INDEX(ROTACAO_RDM!$K$6:$K$71,$J323))))</f>
        <v>0</v>
      </c>
      <c r="P323" s="16" t="n">
        <f aca="false">IF($J323=0,0,IFERROR(MATCH(INDEX(ROTACAO_RDM!$N$6:$N$71,$J323),PARAMETROS_CULTURAS!$B$6:$B$28,0),0))</f>
        <v>0</v>
      </c>
      <c r="Q323" s="8" t="str">
        <f aca="false">IF($P323=0,"-",IF($O323&lt;=INDEX(PARAMETROS_CULTURAS!$F$6:$F$28,$P323),"INICIAL",IF($O323&lt;=INDEX(PARAMETROS_CULTURAS!$F$6:$F$28,$P323)+INDEX(PARAMETROS_CULTURAS!$G$6:$G$28,$P323),"DESENVOLVIMENTO",IF($O323&lt;=INDEX(PARAMETROS_CULTURAS!$F$6:$F$28,$P323)+INDEX(PARAMETROS_CULTURAS!$G$6:$G$28,$P323)+INDEX(PARAMETROS_CULTURAS!$H$6:$H$28,$P323),"MEDIA","FINAL"))))</f>
        <v>-</v>
      </c>
      <c r="R323" s="24" t="n">
        <f aca="false">IF($P323=0,0,IF($O323&lt;=INDEX(PARAMETROS_CULTURAS!$F$6:$F$28,$P323),INDEX(PARAMETROS_CULTURAS!$K$6:$K$28,$P323),IF($O323&lt;=INDEX(PARAMETROS_CULTURAS!$F$6:$F$28,$P323)+INDEX(PARAMETROS_CULTURAS!$G$6:$G$28,$P323),INDEX(PARAMETROS_CULTURAS!$K$6:$K$28,$P323)+(INDEX(PARAMETROS_CULTURAS!$L$6:$L$28,$P323)-INDEX(PARAMETROS_CULTURAS!$K$6:$K$28,$P323))*($O323-INDEX(PARAMETROS_CULTURAS!$F$6:$F$28,$P323))/MAX(INDEX(PARAMETROS_CULTURAS!$G$6:$G$28,$P323),0.0001),IF($O323&lt;=INDEX(PARAMETROS_CULTURAS!$F$6:$F$28,$P323)+INDEX(PARAMETROS_CULTURAS!$G$6:$G$28,$P323)+INDEX(PARAMETROS_CULTURAS!$H$6:$H$28,$P323),INDEX(PARAMETROS_CULTURAS!$L$6:$L$28,$P323),INDEX(PARAMETROS_CULTURAS!$L$6:$L$28,$P323)+(INDEX(PARAMETROS_CULTURAS!$M$6:$M$28,$P323)-INDEX(PARAMETROS_CULTURAS!$L$6:$L$28,$P323))*($O323-INDEX(PARAMETROS_CULTURAS!$F$6:$F$28,$P323)-INDEX(PARAMETROS_CULTURAS!$G$6:$G$28,$P323)-INDEX(PARAMETROS_CULTURAS!$H$6:$H$28,$P323))/MAX(INDEX(PARAMETROS_CULTURAS!$I$6:$I$28,$P323),0.0001)))))</f>
        <v>0</v>
      </c>
      <c r="S323" s="18" t="n">
        <f aca="false">IFERROR(INDEX(SEMANAS!$H$6:$H$71,MATCH($B323,SEMANAS!$B$6:$B$71,0)),0)</f>
        <v>40.6</v>
      </c>
      <c r="T323" s="18" t="n">
        <f aca="false">$R323*$S323</f>
        <v>0</v>
      </c>
      <c r="U323" s="18" t="n">
        <f aca="false">IFERROR(INDEX(SEMANAS!$I$6:$I$71,MATCH($B323,SEMANAS!$B$6:$B$71,0)),0)</f>
        <v>7</v>
      </c>
      <c r="V323" s="18" t="n">
        <f aca="false">IFERROR(INDEX(SEMANAS!$J$6:$J$71,MATCH($B323,SEMANAS!$B$6:$B$71,0)),0)</f>
        <v>5.6</v>
      </c>
      <c r="W323" s="18" t="n">
        <f aca="false">MAX(0,$T323-$V323)</f>
        <v>0</v>
      </c>
      <c r="X323" s="19" t="n">
        <f aca="false">IFERROR(INDEX(CADASTRO_PIVOS!$K$6:$K$41,MATCH($E323,CADASTRO_PIVOS!$B$6:$B$41,0)),EFICIENCIA_PADRAO)</f>
        <v>0.85</v>
      </c>
      <c r="Y323" s="18" t="n">
        <f aca="false">IF($X323&lt;=0,0,$W323/$X323)</f>
        <v>0</v>
      </c>
      <c r="Z323" s="16" t="n">
        <f aca="false">$Y323*$H323*MM_PARA_M3_HA</f>
        <v>0</v>
      </c>
      <c r="AA323" s="18" t="n">
        <f aca="false">IFERROR(INDEX(CADASTRO_PIVOS!$I$6:$I$41,MATCH($E323,CADASTRO_PIVOS!$B$6:$B$41,0)),0)</f>
        <v>711.285714285714</v>
      </c>
      <c r="AB323" s="18" t="n">
        <f aca="false">IF($Z323&lt;=0,0,$Z323/$AA323)</f>
        <v>0</v>
      </c>
      <c r="AC323" s="16" t="n">
        <f aca="false">IFERROR(INDEX(SEMANAS!$K$6:$K$71,MATCH($B323,SEMANAS!$B$6:$B$71,0)),0)</f>
        <v>147</v>
      </c>
      <c r="AD323" s="19" t="n">
        <f aca="false">IF($AC323&lt;=0,0,$AB323/$AC323)</f>
        <v>0</v>
      </c>
      <c r="AE323" s="8" t="str">
        <f aca="false">IF($K323="SEM CULTURA","SEM CULTURA",IF($AA323&lt;=0,"DADO PENDENTE",IF($AD323&gt;LIMITE_CRITICO,"INVIAVEL",IF($AD323&gt;LIMITE_ATENCAO,"CRITICO",IF($AD323&gt;LIMITE_CONFORTAVEL,"ATENCAO","OK")))))</f>
        <v>SEM CULTURA</v>
      </c>
      <c r="AF323" s="8" t="str">
        <f aca="false">$B323&amp;"|"&amp;TEXT($AD323,"0.000000")</f>
        <v>54|0.000000</v>
      </c>
      <c r="AG323" s="18" t="n">
        <f aca="false">IF($K323="SEM CULTURA",0,$T323*$H323)</f>
        <v>0</v>
      </c>
      <c r="AH323" s="18" t="n">
        <f aca="false">IF($K323="SEM CULTURA",0,$V323*$H323)</f>
        <v>0</v>
      </c>
      <c r="AI323" s="18" t="n">
        <f aca="false">IF($K323="SEM CULTURA",0,$W323*$H323)</f>
        <v>0</v>
      </c>
      <c r="AJ323" s="18" t="n">
        <f aca="false">IF($K323="SEM CULTURA",0,$S323*$H323)</f>
        <v>0</v>
      </c>
      <c r="AK323" s="8" t="str">
        <f aca="false">$E323&amp;"|"&amp;TEXT($AD323,"0.000000")</f>
        <v>PV 107|0.000000</v>
      </c>
    </row>
    <row r="324" customFormat="false" ht="15" hidden="false" customHeight="false" outlineLevel="0" collapsed="false">
      <c r="B324" s="16" t="n">
        <v>55</v>
      </c>
      <c r="C324" s="17" t="n">
        <f aca="false">DATA_INICIO_SAFRA+($B324-1)*DIAS_POR_SEMANA</f>
        <v>46643</v>
      </c>
      <c r="D324" s="17" t="n">
        <f aca="false">$C324+DIAS_POR_SEMANA-1</f>
        <v>46649</v>
      </c>
      <c r="E324" s="15" t="s">
        <v>263</v>
      </c>
      <c r="F324" s="8" t="str">
        <f aca="false">IFERROR(INDEX(CADASTRO_PIVOS!$C$6:$C$41,MATCH($E324,CADASTRO_PIVOS!$B$6:$B$41,0)),"?")</f>
        <v>RM03</v>
      </c>
      <c r="G324" s="8" t="str">
        <f aca="false">IFERROR(INDEX(CADASTRO_PIVOS!$D$6:$D$41,MATCH($E324,CADASTRO_PIVOS!$B$6:$B$41,0)),"?")</f>
        <v>TR03</v>
      </c>
      <c r="H324" s="20" t="n">
        <f aca="false">IFERROR(INDEX(CADASTRO_PIVOS!$E$6:$E$41,MATCH($E324,CADASTRO_PIVOS!$B$6:$B$41,0)),0)</f>
        <v>99.58</v>
      </c>
      <c r="I324" s="16" t="n">
        <f aca="false">IFERROR(SUMIFS(ROTACAO_RDM!$B$6:$B$71,ROTACAO_RDM!$D$6:$D$71,$E324,ROTACAO_RDM!$I$6:$I$71,"&lt;="&amp;$C324+INT(DIAS_POR_SEMANA/2),ROTACAO_RDM!$J$6:$J$71,"&gt;="&amp;$C324+INT(DIAS_POR_SEMANA/2)),0)</f>
        <v>0</v>
      </c>
      <c r="J324" s="16" t="n">
        <f aca="false">IFERROR(MATCH($I324,ROTACAO_RDM!$B$6:$B$71,0),0)</f>
        <v>0</v>
      </c>
      <c r="K324" s="8" t="str">
        <f aca="false">IF($J324=0,"SEM CULTURA",INDEX(ROTACAO_RDM!$F$6:$F$71,$J324))</f>
        <v>SEM CULTURA</v>
      </c>
      <c r="L324" s="8" t="str">
        <f aca="false">IF($J324=0,"",INDEX(ROTACAO_RDM!$G$6:$G$71,$J324))</f>
        <v/>
      </c>
      <c r="M324" s="17" t="str">
        <f aca="false">IF($J324=0,"",INDEX(ROTACAO_RDM!$I$6:$I$71,$J324))</f>
        <v/>
      </c>
      <c r="N324" s="16" t="n">
        <f aca="false">IF($J324=0,0,MAX(0,$C324+INT(DIAS_POR_SEMANA/2)-INDEX(ROTACAO_RDM!$I$6:$I$71,$J324)))</f>
        <v>0</v>
      </c>
      <c r="O324" s="19" t="n">
        <f aca="false">IF($J324=0,0,MIN(1,$N324/MAX(1,INDEX(ROTACAO_RDM!$K$6:$K$71,$J324))))</f>
        <v>0</v>
      </c>
      <c r="P324" s="16" t="n">
        <f aca="false">IF($J324=0,0,IFERROR(MATCH(INDEX(ROTACAO_RDM!$N$6:$N$71,$J324),PARAMETROS_CULTURAS!$B$6:$B$28,0),0))</f>
        <v>0</v>
      </c>
      <c r="Q324" s="8" t="str">
        <f aca="false">IF($P324=0,"-",IF($O324&lt;=INDEX(PARAMETROS_CULTURAS!$F$6:$F$28,$P324),"INICIAL",IF($O324&lt;=INDEX(PARAMETROS_CULTURAS!$F$6:$F$28,$P324)+INDEX(PARAMETROS_CULTURAS!$G$6:$G$28,$P324),"DESENVOLVIMENTO",IF($O324&lt;=INDEX(PARAMETROS_CULTURAS!$F$6:$F$28,$P324)+INDEX(PARAMETROS_CULTURAS!$G$6:$G$28,$P324)+INDEX(PARAMETROS_CULTURAS!$H$6:$H$28,$P324),"MEDIA","FINAL"))))</f>
        <v>-</v>
      </c>
      <c r="R324" s="24" t="n">
        <f aca="false">IF($P324=0,0,IF($O324&lt;=INDEX(PARAMETROS_CULTURAS!$F$6:$F$28,$P324),INDEX(PARAMETROS_CULTURAS!$K$6:$K$28,$P324),IF($O324&lt;=INDEX(PARAMETROS_CULTURAS!$F$6:$F$28,$P324)+INDEX(PARAMETROS_CULTURAS!$G$6:$G$28,$P324),INDEX(PARAMETROS_CULTURAS!$K$6:$K$28,$P324)+(INDEX(PARAMETROS_CULTURAS!$L$6:$L$28,$P324)-INDEX(PARAMETROS_CULTURAS!$K$6:$K$28,$P324))*($O324-INDEX(PARAMETROS_CULTURAS!$F$6:$F$28,$P324))/MAX(INDEX(PARAMETROS_CULTURAS!$G$6:$G$28,$P324),0.0001),IF($O324&lt;=INDEX(PARAMETROS_CULTURAS!$F$6:$F$28,$P324)+INDEX(PARAMETROS_CULTURAS!$G$6:$G$28,$P324)+INDEX(PARAMETROS_CULTURAS!$H$6:$H$28,$P324),INDEX(PARAMETROS_CULTURAS!$L$6:$L$28,$P324),INDEX(PARAMETROS_CULTURAS!$L$6:$L$28,$P324)+(INDEX(PARAMETROS_CULTURAS!$M$6:$M$28,$P324)-INDEX(PARAMETROS_CULTURAS!$L$6:$L$28,$P324))*($O324-INDEX(PARAMETROS_CULTURAS!$F$6:$F$28,$P324)-INDEX(PARAMETROS_CULTURAS!$G$6:$G$28,$P324)-INDEX(PARAMETROS_CULTURAS!$H$6:$H$28,$P324))/MAX(INDEX(PARAMETROS_CULTURAS!$I$6:$I$28,$P324),0.0001)))))</f>
        <v>0</v>
      </c>
      <c r="S324" s="18" t="n">
        <f aca="false">IFERROR(INDEX(SEMANAS!$H$6:$H$71,MATCH($B324,SEMANAS!$B$6:$B$71,0)),0)</f>
        <v>40.6</v>
      </c>
      <c r="T324" s="18" t="n">
        <f aca="false">$R324*$S324</f>
        <v>0</v>
      </c>
      <c r="U324" s="18" t="n">
        <f aca="false">IFERROR(INDEX(SEMANAS!$I$6:$I$71,MATCH($B324,SEMANAS!$B$6:$B$71,0)),0)</f>
        <v>7</v>
      </c>
      <c r="V324" s="18" t="n">
        <f aca="false">IFERROR(INDEX(SEMANAS!$J$6:$J$71,MATCH($B324,SEMANAS!$B$6:$B$71,0)),0)</f>
        <v>5.6</v>
      </c>
      <c r="W324" s="18" t="n">
        <f aca="false">MAX(0,$T324-$V324)</f>
        <v>0</v>
      </c>
      <c r="X324" s="19" t="n">
        <f aca="false">IFERROR(INDEX(CADASTRO_PIVOS!$K$6:$K$41,MATCH($E324,CADASTRO_PIVOS!$B$6:$B$41,0)),EFICIENCIA_PADRAO)</f>
        <v>0.85</v>
      </c>
      <c r="Y324" s="18" t="n">
        <f aca="false">IF($X324&lt;=0,0,$W324/$X324)</f>
        <v>0</v>
      </c>
      <c r="Z324" s="16" t="n">
        <f aca="false">$Y324*$H324*MM_PARA_M3_HA</f>
        <v>0</v>
      </c>
      <c r="AA324" s="18" t="n">
        <f aca="false">IFERROR(INDEX(CADASTRO_PIVOS!$I$6:$I$41,MATCH($E324,CADASTRO_PIVOS!$B$6:$B$41,0)),0)</f>
        <v>711.285714285714</v>
      </c>
      <c r="AB324" s="18" t="n">
        <f aca="false">IF($Z324&lt;=0,0,$Z324/$AA324)</f>
        <v>0</v>
      </c>
      <c r="AC324" s="16" t="n">
        <f aca="false">IFERROR(INDEX(SEMANAS!$K$6:$K$71,MATCH($B324,SEMANAS!$B$6:$B$71,0)),0)</f>
        <v>147</v>
      </c>
      <c r="AD324" s="19" t="n">
        <f aca="false">IF($AC324&lt;=0,0,$AB324/$AC324)</f>
        <v>0</v>
      </c>
      <c r="AE324" s="8" t="str">
        <f aca="false">IF($K324="SEM CULTURA","SEM CULTURA",IF($AA324&lt;=0,"DADO PENDENTE",IF($AD324&gt;LIMITE_CRITICO,"INVIAVEL",IF($AD324&gt;LIMITE_ATENCAO,"CRITICO",IF($AD324&gt;LIMITE_CONFORTAVEL,"ATENCAO","OK")))))</f>
        <v>SEM CULTURA</v>
      </c>
      <c r="AF324" s="8" t="str">
        <f aca="false">$B324&amp;"|"&amp;TEXT($AD324,"0.000000")</f>
        <v>55|0.000000</v>
      </c>
      <c r="AG324" s="18" t="n">
        <f aca="false">IF($K324="SEM CULTURA",0,$T324*$H324)</f>
        <v>0</v>
      </c>
      <c r="AH324" s="18" t="n">
        <f aca="false">IF($K324="SEM CULTURA",0,$V324*$H324)</f>
        <v>0</v>
      </c>
      <c r="AI324" s="18" t="n">
        <f aca="false">IF($K324="SEM CULTURA",0,$W324*$H324)</f>
        <v>0</v>
      </c>
      <c r="AJ324" s="18" t="n">
        <f aca="false">IF($K324="SEM CULTURA",0,$S324*$H324)</f>
        <v>0</v>
      </c>
      <c r="AK324" s="8" t="str">
        <f aca="false">$E324&amp;"|"&amp;TEXT($AD324,"0.000000")</f>
        <v>PV 107|0.000000</v>
      </c>
    </row>
    <row r="325" customFormat="false" ht="15" hidden="false" customHeight="false" outlineLevel="0" collapsed="false">
      <c r="B325" s="16" t="n">
        <v>56</v>
      </c>
      <c r="C325" s="17" t="n">
        <f aca="false">DATA_INICIO_SAFRA+($B325-1)*DIAS_POR_SEMANA</f>
        <v>46650</v>
      </c>
      <c r="D325" s="17" t="n">
        <f aca="false">$C325+DIAS_POR_SEMANA-1</f>
        <v>46656</v>
      </c>
      <c r="E325" s="15" t="s">
        <v>263</v>
      </c>
      <c r="F325" s="8" t="str">
        <f aca="false">IFERROR(INDEX(CADASTRO_PIVOS!$C$6:$C$41,MATCH($E325,CADASTRO_PIVOS!$B$6:$B$41,0)),"?")</f>
        <v>RM03</v>
      </c>
      <c r="G325" s="8" t="str">
        <f aca="false">IFERROR(INDEX(CADASTRO_PIVOS!$D$6:$D$41,MATCH($E325,CADASTRO_PIVOS!$B$6:$B$41,0)),"?")</f>
        <v>TR03</v>
      </c>
      <c r="H325" s="20" t="n">
        <f aca="false">IFERROR(INDEX(CADASTRO_PIVOS!$E$6:$E$41,MATCH($E325,CADASTRO_PIVOS!$B$6:$B$41,0)),0)</f>
        <v>99.58</v>
      </c>
      <c r="I325" s="16" t="n">
        <f aca="false">IFERROR(SUMIFS(ROTACAO_RDM!$B$6:$B$71,ROTACAO_RDM!$D$6:$D$71,$E325,ROTACAO_RDM!$I$6:$I$71,"&lt;="&amp;$C325+INT(DIAS_POR_SEMANA/2),ROTACAO_RDM!$J$6:$J$71,"&gt;="&amp;$C325+INT(DIAS_POR_SEMANA/2)),0)</f>
        <v>0</v>
      </c>
      <c r="J325" s="16" t="n">
        <f aca="false">IFERROR(MATCH($I325,ROTACAO_RDM!$B$6:$B$71,0),0)</f>
        <v>0</v>
      </c>
      <c r="K325" s="8" t="str">
        <f aca="false">IF($J325=0,"SEM CULTURA",INDEX(ROTACAO_RDM!$F$6:$F$71,$J325))</f>
        <v>SEM CULTURA</v>
      </c>
      <c r="L325" s="8" t="str">
        <f aca="false">IF($J325=0,"",INDEX(ROTACAO_RDM!$G$6:$G$71,$J325))</f>
        <v/>
      </c>
      <c r="M325" s="17" t="str">
        <f aca="false">IF($J325=0,"",INDEX(ROTACAO_RDM!$I$6:$I$71,$J325))</f>
        <v/>
      </c>
      <c r="N325" s="16" t="n">
        <f aca="false">IF($J325=0,0,MAX(0,$C325+INT(DIAS_POR_SEMANA/2)-INDEX(ROTACAO_RDM!$I$6:$I$71,$J325)))</f>
        <v>0</v>
      </c>
      <c r="O325" s="19" t="n">
        <f aca="false">IF($J325=0,0,MIN(1,$N325/MAX(1,INDEX(ROTACAO_RDM!$K$6:$K$71,$J325))))</f>
        <v>0</v>
      </c>
      <c r="P325" s="16" t="n">
        <f aca="false">IF($J325=0,0,IFERROR(MATCH(INDEX(ROTACAO_RDM!$N$6:$N$71,$J325),PARAMETROS_CULTURAS!$B$6:$B$28,0),0))</f>
        <v>0</v>
      </c>
      <c r="Q325" s="8" t="str">
        <f aca="false">IF($P325=0,"-",IF($O325&lt;=INDEX(PARAMETROS_CULTURAS!$F$6:$F$28,$P325),"INICIAL",IF($O325&lt;=INDEX(PARAMETROS_CULTURAS!$F$6:$F$28,$P325)+INDEX(PARAMETROS_CULTURAS!$G$6:$G$28,$P325),"DESENVOLVIMENTO",IF($O325&lt;=INDEX(PARAMETROS_CULTURAS!$F$6:$F$28,$P325)+INDEX(PARAMETROS_CULTURAS!$G$6:$G$28,$P325)+INDEX(PARAMETROS_CULTURAS!$H$6:$H$28,$P325),"MEDIA","FINAL"))))</f>
        <v>-</v>
      </c>
      <c r="R325" s="24" t="n">
        <f aca="false">IF($P325=0,0,IF($O325&lt;=INDEX(PARAMETROS_CULTURAS!$F$6:$F$28,$P325),INDEX(PARAMETROS_CULTURAS!$K$6:$K$28,$P325),IF($O325&lt;=INDEX(PARAMETROS_CULTURAS!$F$6:$F$28,$P325)+INDEX(PARAMETROS_CULTURAS!$G$6:$G$28,$P325),INDEX(PARAMETROS_CULTURAS!$K$6:$K$28,$P325)+(INDEX(PARAMETROS_CULTURAS!$L$6:$L$28,$P325)-INDEX(PARAMETROS_CULTURAS!$K$6:$K$28,$P325))*($O325-INDEX(PARAMETROS_CULTURAS!$F$6:$F$28,$P325))/MAX(INDEX(PARAMETROS_CULTURAS!$G$6:$G$28,$P325),0.0001),IF($O325&lt;=INDEX(PARAMETROS_CULTURAS!$F$6:$F$28,$P325)+INDEX(PARAMETROS_CULTURAS!$G$6:$G$28,$P325)+INDEX(PARAMETROS_CULTURAS!$H$6:$H$28,$P325),INDEX(PARAMETROS_CULTURAS!$L$6:$L$28,$P325),INDEX(PARAMETROS_CULTURAS!$L$6:$L$28,$P325)+(INDEX(PARAMETROS_CULTURAS!$M$6:$M$28,$P325)-INDEX(PARAMETROS_CULTURAS!$L$6:$L$28,$P325))*($O325-INDEX(PARAMETROS_CULTURAS!$F$6:$F$28,$P325)-INDEX(PARAMETROS_CULTURAS!$G$6:$G$28,$P325)-INDEX(PARAMETROS_CULTURAS!$H$6:$H$28,$P325))/MAX(INDEX(PARAMETROS_CULTURAS!$I$6:$I$28,$P325),0.0001)))))</f>
        <v>0</v>
      </c>
      <c r="S325" s="18" t="n">
        <f aca="false">IFERROR(INDEX(SEMANAS!$H$6:$H$71,MATCH($B325,SEMANAS!$B$6:$B$71,0)),0)</f>
        <v>40.6</v>
      </c>
      <c r="T325" s="18" t="n">
        <f aca="false">$R325*$S325</f>
        <v>0</v>
      </c>
      <c r="U325" s="18" t="n">
        <f aca="false">IFERROR(INDEX(SEMANAS!$I$6:$I$71,MATCH($B325,SEMANAS!$B$6:$B$71,0)),0)</f>
        <v>7</v>
      </c>
      <c r="V325" s="18" t="n">
        <f aca="false">IFERROR(INDEX(SEMANAS!$J$6:$J$71,MATCH($B325,SEMANAS!$B$6:$B$71,0)),0)</f>
        <v>5.6</v>
      </c>
      <c r="W325" s="18" t="n">
        <f aca="false">MAX(0,$T325-$V325)</f>
        <v>0</v>
      </c>
      <c r="X325" s="19" t="n">
        <f aca="false">IFERROR(INDEX(CADASTRO_PIVOS!$K$6:$K$41,MATCH($E325,CADASTRO_PIVOS!$B$6:$B$41,0)),EFICIENCIA_PADRAO)</f>
        <v>0.85</v>
      </c>
      <c r="Y325" s="18" t="n">
        <f aca="false">IF($X325&lt;=0,0,$W325/$X325)</f>
        <v>0</v>
      </c>
      <c r="Z325" s="16" t="n">
        <f aca="false">$Y325*$H325*MM_PARA_M3_HA</f>
        <v>0</v>
      </c>
      <c r="AA325" s="18" t="n">
        <f aca="false">IFERROR(INDEX(CADASTRO_PIVOS!$I$6:$I$41,MATCH($E325,CADASTRO_PIVOS!$B$6:$B$41,0)),0)</f>
        <v>711.285714285714</v>
      </c>
      <c r="AB325" s="18" t="n">
        <f aca="false">IF($Z325&lt;=0,0,$Z325/$AA325)</f>
        <v>0</v>
      </c>
      <c r="AC325" s="16" t="n">
        <f aca="false">IFERROR(INDEX(SEMANAS!$K$6:$K$71,MATCH($B325,SEMANAS!$B$6:$B$71,0)),0)</f>
        <v>147</v>
      </c>
      <c r="AD325" s="19" t="n">
        <f aca="false">IF($AC325&lt;=0,0,$AB325/$AC325)</f>
        <v>0</v>
      </c>
      <c r="AE325" s="8" t="str">
        <f aca="false">IF($K325="SEM CULTURA","SEM CULTURA",IF($AA325&lt;=0,"DADO PENDENTE",IF($AD325&gt;LIMITE_CRITICO,"INVIAVEL",IF($AD325&gt;LIMITE_ATENCAO,"CRITICO",IF($AD325&gt;LIMITE_CONFORTAVEL,"ATENCAO","OK")))))</f>
        <v>SEM CULTURA</v>
      </c>
      <c r="AF325" s="8" t="str">
        <f aca="false">$B325&amp;"|"&amp;TEXT($AD325,"0.000000")</f>
        <v>56|0.000000</v>
      </c>
      <c r="AG325" s="18" t="n">
        <f aca="false">IF($K325="SEM CULTURA",0,$T325*$H325)</f>
        <v>0</v>
      </c>
      <c r="AH325" s="18" t="n">
        <f aca="false">IF($K325="SEM CULTURA",0,$V325*$H325)</f>
        <v>0</v>
      </c>
      <c r="AI325" s="18" t="n">
        <f aca="false">IF($K325="SEM CULTURA",0,$W325*$H325)</f>
        <v>0</v>
      </c>
      <c r="AJ325" s="18" t="n">
        <f aca="false">IF($K325="SEM CULTURA",0,$S325*$H325)</f>
        <v>0</v>
      </c>
      <c r="AK325" s="8" t="str">
        <f aca="false">$E325&amp;"|"&amp;TEXT($AD325,"0.000000")</f>
        <v>PV 107|0.000000</v>
      </c>
    </row>
    <row r="326" customFormat="false" ht="15" hidden="false" customHeight="false" outlineLevel="0" collapsed="false">
      <c r="B326" s="16" t="n">
        <v>57</v>
      </c>
      <c r="C326" s="17" t="n">
        <f aca="false">DATA_INICIO_SAFRA+($B326-1)*DIAS_POR_SEMANA</f>
        <v>46657</v>
      </c>
      <c r="D326" s="17" t="n">
        <f aca="false">$C326+DIAS_POR_SEMANA-1</f>
        <v>46663</v>
      </c>
      <c r="E326" s="15" t="s">
        <v>263</v>
      </c>
      <c r="F326" s="8" t="str">
        <f aca="false">IFERROR(INDEX(CADASTRO_PIVOS!$C$6:$C$41,MATCH($E326,CADASTRO_PIVOS!$B$6:$B$41,0)),"?")</f>
        <v>RM03</v>
      </c>
      <c r="G326" s="8" t="str">
        <f aca="false">IFERROR(INDEX(CADASTRO_PIVOS!$D$6:$D$41,MATCH($E326,CADASTRO_PIVOS!$B$6:$B$41,0)),"?")</f>
        <v>TR03</v>
      </c>
      <c r="H326" s="20" t="n">
        <f aca="false">IFERROR(INDEX(CADASTRO_PIVOS!$E$6:$E$41,MATCH($E326,CADASTRO_PIVOS!$B$6:$B$41,0)),0)</f>
        <v>99.58</v>
      </c>
      <c r="I326" s="16" t="n">
        <f aca="false">IFERROR(SUMIFS(ROTACAO_RDM!$B$6:$B$71,ROTACAO_RDM!$D$6:$D$71,$E326,ROTACAO_RDM!$I$6:$I$71,"&lt;="&amp;$C326+INT(DIAS_POR_SEMANA/2),ROTACAO_RDM!$J$6:$J$71,"&gt;="&amp;$C326+INT(DIAS_POR_SEMANA/2)),0)</f>
        <v>0</v>
      </c>
      <c r="J326" s="16" t="n">
        <f aca="false">IFERROR(MATCH($I326,ROTACAO_RDM!$B$6:$B$71,0),0)</f>
        <v>0</v>
      </c>
      <c r="K326" s="8" t="str">
        <f aca="false">IF($J326=0,"SEM CULTURA",INDEX(ROTACAO_RDM!$F$6:$F$71,$J326))</f>
        <v>SEM CULTURA</v>
      </c>
      <c r="L326" s="8" t="str">
        <f aca="false">IF($J326=0,"",INDEX(ROTACAO_RDM!$G$6:$G$71,$J326))</f>
        <v/>
      </c>
      <c r="M326" s="17" t="str">
        <f aca="false">IF($J326=0,"",INDEX(ROTACAO_RDM!$I$6:$I$71,$J326))</f>
        <v/>
      </c>
      <c r="N326" s="16" t="n">
        <f aca="false">IF($J326=0,0,MAX(0,$C326+INT(DIAS_POR_SEMANA/2)-INDEX(ROTACAO_RDM!$I$6:$I$71,$J326)))</f>
        <v>0</v>
      </c>
      <c r="O326" s="19" t="n">
        <f aca="false">IF($J326=0,0,MIN(1,$N326/MAX(1,INDEX(ROTACAO_RDM!$K$6:$K$71,$J326))))</f>
        <v>0</v>
      </c>
      <c r="P326" s="16" t="n">
        <f aca="false">IF($J326=0,0,IFERROR(MATCH(INDEX(ROTACAO_RDM!$N$6:$N$71,$J326),PARAMETROS_CULTURAS!$B$6:$B$28,0),0))</f>
        <v>0</v>
      </c>
      <c r="Q326" s="8" t="str">
        <f aca="false">IF($P326=0,"-",IF($O326&lt;=INDEX(PARAMETROS_CULTURAS!$F$6:$F$28,$P326),"INICIAL",IF($O326&lt;=INDEX(PARAMETROS_CULTURAS!$F$6:$F$28,$P326)+INDEX(PARAMETROS_CULTURAS!$G$6:$G$28,$P326),"DESENVOLVIMENTO",IF($O326&lt;=INDEX(PARAMETROS_CULTURAS!$F$6:$F$28,$P326)+INDEX(PARAMETROS_CULTURAS!$G$6:$G$28,$P326)+INDEX(PARAMETROS_CULTURAS!$H$6:$H$28,$P326),"MEDIA","FINAL"))))</f>
        <v>-</v>
      </c>
      <c r="R326" s="24" t="n">
        <f aca="false">IF($P326=0,0,IF($O326&lt;=INDEX(PARAMETROS_CULTURAS!$F$6:$F$28,$P326),INDEX(PARAMETROS_CULTURAS!$K$6:$K$28,$P326),IF($O326&lt;=INDEX(PARAMETROS_CULTURAS!$F$6:$F$28,$P326)+INDEX(PARAMETROS_CULTURAS!$G$6:$G$28,$P326),INDEX(PARAMETROS_CULTURAS!$K$6:$K$28,$P326)+(INDEX(PARAMETROS_CULTURAS!$L$6:$L$28,$P326)-INDEX(PARAMETROS_CULTURAS!$K$6:$K$28,$P326))*($O326-INDEX(PARAMETROS_CULTURAS!$F$6:$F$28,$P326))/MAX(INDEX(PARAMETROS_CULTURAS!$G$6:$G$28,$P326),0.0001),IF($O326&lt;=INDEX(PARAMETROS_CULTURAS!$F$6:$F$28,$P326)+INDEX(PARAMETROS_CULTURAS!$G$6:$G$28,$P326)+INDEX(PARAMETROS_CULTURAS!$H$6:$H$28,$P326),INDEX(PARAMETROS_CULTURAS!$L$6:$L$28,$P326),INDEX(PARAMETROS_CULTURAS!$L$6:$L$28,$P326)+(INDEX(PARAMETROS_CULTURAS!$M$6:$M$28,$P326)-INDEX(PARAMETROS_CULTURAS!$L$6:$L$28,$P326))*($O326-INDEX(PARAMETROS_CULTURAS!$F$6:$F$28,$P326)-INDEX(PARAMETROS_CULTURAS!$G$6:$G$28,$P326)-INDEX(PARAMETROS_CULTURAS!$H$6:$H$28,$P326))/MAX(INDEX(PARAMETROS_CULTURAS!$I$6:$I$28,$P326),0.0001)))))</f>
        <v>0</v>
      </c>
      <c r="S326" s="18" t="n">
        <f aca="false">IFERROR(INDEX(SEMANAS!$H$6:$H$71,MATCH($B326,SEMANAS!$B$6:$B$71,0)),0)</f>
        <v>40</v>
      </c>
      <c r="T326" s="18" t="n">
        <f aca="false">$R326*$S326</f>
        <v>0</v>
      </c>
      <c r="U326" s="18" t="n">
        <f aca="false">IFERROR(INDEX(SEMANAS!$I$6:$I$71,MATCH($B326,SEMANAS!$B$6:$B$71,0)),0)</f>
        <v>15.61</v>
      </c>
      <c r="V326" s="18" t="n">
        <f aca="false">IFERROR(INDEX(SEMANAS!$J$6:$J$71,MATCH($B326,SEMANAS!$B$6:$B$71,0)),0)</f>
        <v>12.488</v>
      </c>
      <c r="W326" s="18" t="n">
        <f aca="false">MAX(0,$T326-$V326)</f>
        <v>0</v>
      </c>
      <c r="X326" s="19" t="n">
        <f aca="false">IFERROR(INDEX(CADASTRO_PIVOS!$K$6:$K$41,MATCH($E326,CADASTRO_PIVOS!$B$6:$B$41,0)),EFICIENCIA_PADRAO)</f>
        <v>0.85</v>
      </c>
      <c r="Y326" s="18" t="n">
        <f aca="false">IF($X326&lt;=0,0,$W326/$X326)</f>
        <v>0</v>
      </c>
      <c r="Z326" s="16" t="n">
        <f aca="false">$Y326*$H326*MM_PARA_M3_HA</f>
        <v>0</v>
      </c>
      <c r="AA326" s="18" t="n">
        <f aca="false">IFERROR(INDEX(CADASTRO_PIVOS!$I$6:$I$41,MATCH($E326,CADASTRO_PIVOS!$B$6:$B$41,0)),0)</f>
        <v>711.285714285714</v>
      </c>
      <c r="AB326" s="18" t="n">
        <f aca="false">IF($Z326&lt;=0,0,$Z326/$AA326)</f>
        <v>0</v>
      </c>
      <c r="AC326" s="16" t="n">
        <f aca="false">IFERROR(INDEX(SEMANAS!$K$6:$K$71,MATCH($B326,SEMANAS!$B$6:$B$71,0)),0)</f>
        <v>147</v>
      </c>
      <c r="AD326" s="19" t="n">
        <f aca="false">IF($AC326&lt;=0,0,$AB326/$AC326)</f>
        <v>0</v>
      </c>
      <c r="AE326" s="8" t="str">
        <f aca="false">IF($K326="SEM CULTURA","SEM CULTURA",IF($AA326&lt;=0,"DADO PENDENTE",IF($AD326&gt;LIMITE_CRITICO,"INVIAVEL",IF($AD326&gt;LIMITE_ATENCAO,"CRITICO",IF($AD326&gt;LIMITE_CONFORTAVEL,"ATENCAO","OK")))))</f>
        <v>SEM CULTURA</v>
      </c>
      <c r="AF326" s="8" t="str">
        <f aca="false">$B326&amp;"|"&amp;TEXT($AD326,"0.000000")</f>
        <v>57|0.000000</v>
      </c>
      <c r="AG326" s="18" t="n">
        <f aca="false">IF($K326="SEM CULTURA",0,$T326*$H326)</f>
        <v>0</v>
      </c>
      <c r="AH326" s="18" t="n">
        <f aca="false">IF($K326="SEM CULTURA",0,$V326*$H326)</f>
        <v>0</v>
      </c>
      <c r="AI326" s="18" t="n">
        <f aca="false">IF($K326="SEM CULTURA",0,$W326*$H326)</f>
        <v>0</v>
      </c>
      <c r="AJ326" s="18" t="n">
        <f aca="false">IF($K326="SEM CULTURA",0,$S326*$H326)</f>
        <v>0</v>
      </c>
      <c r="AK326" s="8" t="str">
        <f aca="false">$E326&amp;"|"&amp;TEXT($AD326,"0.000000")</f>
        <v>PV 107|0.000000</v>
      </c>
    </row>
    <row r="327" customFormat="false" ht="15" hidden="false" customHeight="false" outlineLevel="0" collapsed="false">
      <c r="B327" s="16" t="n">
        <v>58</v>
      </c>
      <c r="C327" s="17" t="n">
        <f aca="false">DATA_INICIO_SAFRA+($B327-1)*DIAS_POR_SEMANA</f>
        <v>46664</v>
      </c>
      <c r="D327" s="17" t="n">
        <f aca="false">$C327+DIAS_POR_SEMANA-1</f>
        <v>46670</v>
      </c>
      <c r="E327" s="15" t="s">
        <v>263</v>
      </c>
      <c r="F327" s="8" t="str">
        <f aca="false">IFERROR(INDEX(CADASTRO_PIVOS!$C$6:$C$41,MATCH($E327,CADASTRO_PIVOS!$B$6:$B$41,0)),"?")</f>
        <v>RM03</v>
      </c>
      <c r="G327" s="8" t="str">
        <f aca="false">IFERROR(INDEX(CADASTRO_PIVOS!$D$6:$D$41,MATCH($E327,CADASTRO_PIVOS!$B$6:$B$41,0)),"?")</f>
        <v>TR03</v>
      </c>
      <c r="H327" s="20" t="n">
        <f aca="false">IFERROR(INDEX(CADASTRO_PIVOS!$E$6:$E$41,MATCH($E327,CADASTRO_PIVOS!$B$6:$B$41,0)),0)</f>
        <v>99.58</v>
      </c>
      <c r="I327" s="16" t="n">
        <f aca="false">IFERROR(SUMIFS(ROTACAO_RDM!$B$6:$B$71,ROTACAO_RDM!$D$6:$D$71,$E327,ROTACAO_RDM!$I$6:$I$71,"&lt;="&amp;$C327+INT(DIAS_POR_SEMANA/2),ROTACAO_RDM!$J$6:$J$71,"&gt;="&amp;$C327+INT(DIAS_POR_SEMANA/2)),0)</f>
        <v>0</v>
      </c>
      <c r="J327" s="16" t="n">
        <f aca="false">IFERROR(MATCH($I327,ROTACAO_RDM!$B$6:$B$71,0),0)</f>
        <v>0</v>
      </c>
      <c r="K327" s="8" t="str">
        <f aca="false">IF($J327=0,"SEM CULTURA",INDEX(ROTACAO_RDM!$F$6:$F$71,$J327))</f>
        <v>SEM CULTURA</v>
      </c>
      <c r="L327" s="8" t="str">
        <f aca="false">IF($J327=0,"",INDEX(ROTACAO_RDM!$G$6:$G$71,$J327))</f>
        <v/>
      </c>
      <c r="M327" s="17" t="str">
        <f aca="false">IF($J327=0,"",INDEX(ROTACAO_RDM!$I$6:$I$71,$J327))</f>
        <v/>
      </c>
      <c r="N327" s="16" t="n">
        <f aca="false">IF($J327=0,0,MAX(0,$C327+INT(DIAS_POR_SEMANA/2)-INDEX(ROTACAO_RDM!$I$6:$I$71,$J327)))</f>
        <v>0</v>
      </c>
      <c r="O327" s="19" t="n">
        <f aca="false">IF($J327=0,0,MIN(1,$N327/MAX(1,INDEX(ROTACAO_RDM!$K$6:$K$71,$J327))))</f>
        <v>0</v>
      </c>
      <c r="P327" s="16" t="n">
        <f aca="false">IF($J327=0,0,IFERROR(MATCH(INDEX(ROTACAO_RDM!$N$6:$N$71,$J327),PARAMETROS_CULTURAS!$B$6:$B$28,0),0))</f>
        <v>0</v>
      </c>
      <c r="Q327" s="8" t="str">
        <f aca="false">IF($P327=0,"-",IF($O327&lt;=INDEX(PARAMETROS_CULTURAS!$F$6:$F$28,$P327),"INICIAL",IF($O327&lt;=INDEX(PARAMETROS_CULTURAS!$F$6:$F$28,$P327)+INDEX(PARAMETROS_CULTURAS!$G$6:$G$28,$P327),"DESENVOLVIMENTO",IF($O327&lt;=INDEX(PARAMETROS_CULTURAS!$F$6:$F$28,$P327)+INDEX(PARAMETROS_CULTURAS!$G$6:$G$28,$P327)+INDEX(PARAMETROS_CULTURAS!$H$6:$H$28,$P327),"MEDIA","FINAL"))))</f>
        <v>-</v>
      </c>
      <c r="R327" s="24" t="n">
        <f aca="false">IF($P327=0,0,IF($O327&lt;=INDEX(PARAMETROS_CULTURAS!$F$6:$F$28,$P327),INDEX(PARAMETROS_CULTURAS!$K$6:$K$28,$P327),IF($O327&lt;=INDEX(PARAMETROS_CULTURAS!$F$6:$F$28,$P327)+INDEX(PARAMETROS_CULTURAS!$G$6:$G$28,$P327),INDEX(PARAMETROS_CULTURAS!$K$6:$K$28,$P327)+(INDEX(PARAMETROS_CULTURAS!$L$6:$L$28,$P327)-INDEX(PARAMETROS_CULTURAS!$K$6:$K$28,$P327))*($O327-INDEX(PARAMETROS_CULTURAS!$F$6:$F$28,$P327))/MAX(INDEX(PARAMETROS_CULTURAS!$G$6:$G$28,$P327),0.0001),IF($O327&lt;=INDEX(PARAMETROS_CULTURAS!$F$6:$F$28,$P327)+INDEX(PARAMETROS_CULTURAS!$G$6:$G$28,$P327)+INDEX(PARAMETROS_CULTURAS!$H$6:$H$28,$P327),INDEX(PARAMETROS_CULTURAS!$L$6:$L$28,$P327),INDEX(PARAMETROS_CULTURAS!$L$6:$L$28,$P327)+(INDEX(PARAMETROS_CULTURAS!$M$6:$M$28,$P327)-INDEX(PARAMETROS_CULTURAS!$L$6:$L$28,$P327))*($O327-INDEX(PARAMETROS_CULTURAS!$F$6:$F$28,$P327)-INDEX(PARAMETROS_CULTURAS!$G$6:$G$28,$P327)-INDEX(PARAMETROS_CULTURAS!$H$6:$H$28,$P327))/MAX(INDEX(PARAMETROS_CULTURAS!$I$6:$I$28,$P327),0.0001)))))</f>
        <v>0</v>
      </c>
      <c r="S327" s="18" t="n">
        <f aca="false">IFERROR(INDEX(SEMANAS!$H$6:$H$71,MATCH($B327,SEMANAS!$B$6:$B$71,0)),0)</f>
        <v>39.2</v>
      </c>
      <c r="T327" s="18" t="n">
        <f aca="false">$R327*$S327</f>
        <v>0</v>
      </c>
      <c r="U327" s="18" t="n">
        <f aca="false">IFERROR(INDEX(SEMANAS!$I$6:$I$71,MATCH($B327,SEMANAS!$B$6:$B$71,0)),0)</f>
        <v>27.09</v>
      </c>
      <c r="V327" s="18" t="n">
        <f aca="false">IFERROR(INDEX(SEMANAS!$J$6:$J$71,MATCH($B327,SEMANAS!$B$6:$B$71,0)),0)</f>
        <v>21.672</v>
      </c>
      <c r="W327" s="18" t="n">
        <f aca="false">MAX(0,$T327-$V327)</f>
        <v>0</v>
      </c>
      <c r="X327" s="19" t="n">
        <f aca="false">IFERROR(INDEX(CADASTRO_PIVOS!$K$6:$K$41,MATCH($E327,CADASTRO_PIVOS!$B$6:$B$41,0)),EFICIENCIA_PADRAO)</f>
        <v>0.85</v>
      </c>
      <c r="Y327" s="18" t="n">
        <f aca="false">IF($X327&lt;=0,0,$W327/$X327)</f>
        <v>0</v>
      </c>
      <c r="Z327" s="16" t="n">
        <f aca="false">$Y327*$H327*MM_PARA_M3_HA</f>
        <v>0</v>
      </c>
      <c r="AA327" s="18" t="n">
        <f aca="false">IFERROR(INDEX(CADASTRO_PIVOS!$I$6:$I$41,MATCH($E327,CADASTRO_PIVOS!$B$6:$B$41,0)),0)</f>
        <v>711.285714285714</v>
      </c>
      <c r="AB327" s="18" t="n">
        <f aca="false">IF($Z327&lt;=0,0,$Z327/$AA327)</f>
        <v>0</v>
      </c>
      <c r="AC327" s="16" t="n">
        <f aca="false">IFERROR(INDEX(SEMANAS!$K$6:$K$71,MATCH($B327,SEMANAS!$B$6:$B$71,0)),0)</f>
        <v>147</v>
      </c>
      <c r="AD327" s="19" t="n">
        <f aca="false">IF($AC327&lt;=0,0,$AB327/$AC327)</f>
        <v>0</v>
      </c>
      <c r="AE327" s="8" t="str">
        <f aca="false">IF($K327="SEM CULTURA","SEM CULTURA",IF($AA327&lt;=0,"DADO PENDENTE",IF($AD327&gt;LIMITE_CRITICO,"INVIAVEL",IF($AD327&gt;LIMITE_ATENCAO,"CRITICO",IF($AD327&gt;LIMITE_CONFORTAVEL,"ATENCAO","OK")))))</f>
        <v>SEM CULTURA</v>
      </c>
      <c r="AF327" s="8" t="str">
        <f aca="false">$B327&amp;"|"&amp;TEXT($AD327,"0.000000")</f>
        <v>58|0.000000</v>
      </c>
      <c r="AG327" s="18" t="n">
        <f aca="false">IF($K327="SEM CULTURA",0,$T327*$H327)</f>
        <v>0</v>
      </c>
      <c r="AH327" s="18" t="n">
        <f aca="false">IF($K327="SEM CULTURA",0,$V327*$H327)</f>
        <v>0</v>
      </c>
      <c r="AI327" s="18" t="n">
        <f aca="false">IF($K327="SEM CULTURA",0,$W327*$H327)</f>
        <v>0</v>
      </c>
      <c r="AJ327" s="18" t="n">
        <f aca="false">IF($K327="SEM CULTURA",0,$S327*$H327)</f>
        <v>0</v>
      </c>
      <c r="AK327" s="8" t="str">
        <f aca="false">$E327&amp;"|"&amp;TEXT($AD327,"0.000000")</f>
        <v>PV 107|0.000000</v>
      </c>
    </row>
    <row r="328" customFormat="false" ht="15" hidden="false" customHeight="false" outlineLevel="0" collapsed="false">
      <c r="B328" s="16" t="n">
        <v>59</v>
      </c>
      <c r="C328" s="17" t="n">
        <f aca="false">DATA_INICIO_SAFRA+($B328-1)*DIAS_POR_SEMANA</f>
        <v>46671</v>
      </c>
      <c r="D328" s="17" t="n">
        <f aca="false">$C328+DIAS_POR_SEMANA-1</f>
        <v>46677</v>
      </c>
      <c r="E328" s="15" t="s">
        <v>263</v>
      </c>
      <c r="F328" s="8" t="str">
        <f aca="false">IFERROR(INDEX(CADASTRO_PIVOS!$C$6:$C$41,MATCH($E328,CADASTRO_PIVOS!$B$6:$B$41,0)),"?")</f>
        <v>RM03</v>
      </c>
      <c r="G328" s="8" t="str">
        <f aca="false">IFERROR(INDEX(CADASTRO_PIVOS!$D$6:$D$41,MATCH($E328,CADASTRO_PIVOS!$B$6:$B$41,0)),"?")</f>
        <v>TR03</v>
      </c>
      <c r="H328" s="20" t="n">
        <f aca="false">IFERROR(INDEX(CADASTRO_PIVOS!$E$6:$E$41,MATCH($E328,CADASTRO_PIVOS!$B$6:$B$41,0)),0)</f>
        <v>99.58</v>
      </c>
      <c r="I328" s="16" t="n">
        <f aca="false">IFERROR(SUMIFS(ROTACAO_RDM!$B$6:$B$71,ROTACAO_RDM!$D$6:$D$71,$E328,ROTACAO_RDM!$I$6:$I$71,"&lt;="&amp;$C328+INT(DIAS_POR_SEMANA/2),ROTACAO_RDM!$J$6:$J$71,"&gt;="&amp;$C328+INT(DIAS_POR_SEMANA/2)),0)</f>
        <v>0</v>
      </c>
      <c r="J328" s="16" t="n">
        <f aca="false">IFERROR(MATCH($I328,ROTACAO_RDM!$B$6:$B$71,0),0)</f>
        <v>0</v>
      </c>
      <c r="K328" s="8" t="str">
        <f aca="false">IF($J328=0,"SEM CULTURA",INDEX(ROTACAO_RDM!$F$6:$F$71,$J328))</f>
        <v>SEM CULTURA</v>
      </c>
      <c r="L328" s="8" t="str">
        <f aca="false">IF($J328=0,"",INDEX(ROTACAO_RDM!$G$6:$G$71,$J328))</f>
        <v/>
      </c>
      <c r="M328" s="17" t="str">
        <f aca="false">IF($J328=0,"",INDEX(ROTACAO_RDM!$I$6:$I$71,$J328))</f>
        <v/>
      </c>
      <c r="N328" s="16" t="n">
        <f aca="false">IF($J328=0,0,MAX(0,$C328+INT(DIAS_POR_SEMANA/2)-INDEX(ROTACAO_RDM!$I$6:$I$71,$J328)))</f>
        <v>0</v>
      </c>
      <c r="O328" s="19" t="n">
        <f aca="false">IF($J328=0,0,MIN(1,$N328/MAX(1,INDEX(ROTACAO_RDM!$K$6:$K$71,$J328))))</f>
        <v>0</v>
      </c>
      <c r="P328" s="16" t="n">
        <f aca="false">IF($J328=0,0,IFERROR(MATCH(INDEX(ROTACAO_RDM!$N$6:$N$71,$J328),PARAMETROS_CULTURAS!$B$6:$B$28,0),0))</f>
        <v>0</v>
      </c>
      <c r="Q328" s="8" t="str">
        <f aca="false">IF($P328=0,"-",IF($O328&lt;=INDEX(PARAMETROS_CULTURAS!$F$6:$F$28,$P328),"INICIAL",IF($O328&lt;=INDEX(PARAMETROS_CULTURAS!$F$6:$F$28,$P328)+INDEX(PARAMETROS_CULTURAS!$G$6:$G$28,$P328),"DESENVOLVIMENTO",IF($O328&lt;=INDEX(PARAMETROS_CULTURAS!$F$6:$F$28,$P328)+INDEX(PARAMETROS_CULTURAS!$G$6:$G$28,$P328)+INDEX(PARAMETROS_CULTURAS!$H$6:$H$28,$P328),"MEDIA","FINAL"))))</f>
        <v>-</v>
      </c>
      <c r="R328" s="24" t="n">
        <f aca="false">IF($P328=0,0,IF($O328&lt;=INDEX(PARAMETROS_CULTURAS!$F$6:$F$28,$P328),INDEX(PARAMETROS_CULTURAS!$K$6:$K$28,$P328),IF($O328&lt;=INDEX(PARAMETROS_CULTURAS!$F$6:$F$28,$P328)+INDEX(PARAMETROS_CULTURAS!$G$6:$G$28,$P328),INDEX(PARAMETROS_CULTURAS!$K$6:$K$28,$P328)+(INDEX(PARAMETROS_CULTURAS!$L$6:$L$28,$P328)-INDEX(PARAMETROS_CULTURAS!$K$6:$K$28,$P328))*($O328-INDEX(PARAMETROS_CULTURAS!$F$6:$F$28,$P328))/MAX(INDEX(PARAMETROS_CULTURAS!$G$6:$G$28,$P328),0.0001),IF($O328&lt;=INDEX(PARAMETROS_CULTURAS!$F$6:$F$28,$P328)+INDEX(PARAMETROS_CULTURAS!$G$6:$G$28,$P328)+INDEX(PARAMETROS_CULTURAS!$H$6:$H$28,$P328),INDEX(PARAMETROS_CULTURAS!$L$6:$L$28,$P328),INDEX(PARAMETROS_CULTURAS!$L$6:$L$28,$P328)+(INDEX(PARAMETROS_CULTURAS!$M$6:$M$28,$P328)-INDEX(PARAMETROS_CULTURAS!$L$6:$L$28,$P328))*($O328-INDEX(PARAMETROS_CULTURAS!$F$6:$F$28,$P328)-INDEX(PARAMETROS_CULTURAS!$G$6:$G$28,$P328)-INDEX(PARAMETROS_CULTURAS!$H$6:$H$28,$P328))/MAX(INDEX(PARAMETROS_CULTURAS!$I$6:$I$28,$P328),0.0001)))))</f>
        <v>0</v>
      </c>
      <c r="S328" s="18" t="n">
        <f aca="false">IFERROR(INDEX(SEMANAS!$H$6:$H$71,MATCH($B328,SEMANAS!$B$6:$B$71,0)),0)</f>
        <v>39.2</v>
      </c>
      <c r="T328" s="18" t="n">
        <f aca="false">$R328*$S328</f>
        <v>0</v>
      </c>
      <c r="U328" s="18" t="n">
        <f aca="false">IFERROR(INDEX(SEMANAS!$I$6:$I$71,MATCH($B328,SEMANAS!$B$6:$B$71,0)),0)</f>
        <v>27.09</v>
      </c>
      <c r="V328" s="18" t="n">
        <f aca="false">IFERROR(INDEX(SEMANAS!$J$6:$J$71,MATCH($B328,SEMANAS!$B$6:$B$71,0)),0)</f>
        <v>21.672</v>
      </c>
      <c r="W328" s="18" t="n">
        <f aca="false">MAX(0,$T328-$V328)</f>
        <v>0</v>
      </c>
      <c r="X328" s="19" t="n">
        <f aca="false">IFERROR(INDEX(CADASTRO_PIVOS!$K$6:$K$41,MATCH($E328,CADASTRO_PIVOS!$B$6:$B$41,0)),EFICIENCIA_PADRAO)</f>
        <v>0.85</v>
      </c>
      <c r="Y328" s="18" t="n">
        <f aca="false">IF($X328&lt;=0,0,$W328/$X328)</f>
        <v>0</v>
      </c>
      <c r="Z328" s="16" t="n">
        <f aca="false">$Y328*$H328*MM_PARA_M3_HA</f>
        <v>0</v>
      </c>
      <c r="AA328" s="18" t="n">
        <f aca="false">IFERROR(INDEX(CADASTRO_PIVOS!$I$6:$I$41,MATCH($E328,CADASTRO_PIVOS!$B$6:$B$41,0)),0)</f>
        <v>711.285714285714</v>
      </c>
      <c r="AB328" s="18" t="n">
        <f aca="false">IF($Z328&lt;=0,0,$Z328/$AA328)</f>
        <v>0</v>
      </c>
      <c r="AC328" s="16" t="n">
        <f aca="false">IFERROR(INDEX(SEMANAS!$K$6:$K$71,MATCH($B328,SEMANAS!$B$6:$B$71,0)),0)</f>
        <v>147</v>
      </c>
      <c r="AD328" s="19" t="n">
        <f aca="false">IF($AC328&lt;=0,0,$AB328/$AC328)</f>
        <v>0</v>
      </c>
      <c r="AE328" s="8" t="str">
        <f aca="false">IF($K328="SEM CULTURA","SEM CULTURA",IF($AA328&lt;=0,"DADO PENDENTE",IF($AD328&gt;LIMITE_CRITICO,"INVIAVEL",IF($AD328&gt;LIMITE_ATENCAO,"CRITICO",IF($AD328&gt;LIMITE_CONFORTAVEL,"ATENCAO","OK")))))</f>
        <v>SEM CULTURA</v>
      </c>
      <c r="AF328" s="8" t="str">
        <f aca="false">$B328&amp;"|"&amp;TEXT($AD328,"0.000000")</f>
        <v>59|0.000000</v>
      </c>
      <c r="AG328" s="18" t="n">
        <f aca="false">IF($K328="SEM CULTURA",0,$T328*$H328)</f>
        <v>0</v>
      </c>
      <c r="AH328" s="18" t="n">
        <f aca="false">IF($K328="SEM CULTURA",0,$V328*$H328)</f>
        <v>0</v>
      </c>
      <c r="AI328" s="18" t="n">
        <f aca="false">IF($K328="SEM CULTURA",0,$W328*$H328)</f>
        <v>0</v>
      </c>
      <c r="AJ328" s="18" t="n">
        <f aca="false">IF($K328="SEM CULTURA",0,$S328*$H328)</f>
        <v>0</v>
      </c>
      <c r="AK328" s="8" t="str">
        <f aca="false">$E328&amp;"|"&amp;TEXT($AD328,"0.000000")</f>
        <v>PV 107|0.000000</v>
      </c>
    </row>
    <row r="329" customFormat="false" ht="15" hidden="false" customHeight="false" outlineLevel="0" collapsed="false">
      <c r="B329" s="16" t="n">
        <v>60</v>
      </c>
      <c r="C329" s="17" t="n">
        <f aca="false">DATA_INICIO_SAFRA+($B329-1)*DIAS_POR_SEMANA</f>
        <v>46678</v>
      </c>
      <c r="D329" s="17" t="n">
        <f aca="false">$C329+DIAS_POR_SEMANA-1</f>
        <v>46684</v>
      </c>
      <c r="E329" s="15" t="s">
        <v>263</v>
      </c>
      <c r="F329" s="8" t="str">
        <f aca="false">IFERROR(INDEX(CADASTRO_PIVOS!$C$6:$C$41,MATCH($E329,CADASTRO_PIVOS!$B$6:$B$41,0)),"?")</f>
        <v>RM03</v>
      </c>
      <c r="G329" s="8" t="str">
        <f aca="false">IFERROR(INDEX(CADASTRO_PIVOS!$D$6:$D$41,MATCH($E329,CADASTRO_PIVOS!$B$6:$B$41,0)),"?")</f>
        <v>TR03</v>
      </c>
      <c r="H329" s="20" t="n">
        <f aca="false">IFERROR(INDEX(CADASTRO_PIVOS!$E$6:$E$41,MATCH($E329,CADASTRO_PIVOS!$B$6:$B$41,0)),0)</f>
        <v>99.58</v>
      </c>
      <c r="I329" s="16" t="n">
        <f aca="false">IFERROR(SUMIFS(ROTACAO_RDM!$B$6:$B$71,ROTACAO_RDM!$D$6:$D$71,$E329,ROTACAO_RDM!$I$6:$I$71,"&lt;="&amp;$C329+INT(DIAS_POR_SEMANA/2),ROTACAO_RDM!$J$6:$J$71,"&gt;="&amp;$C329+INT(DIAS_POR_SEMANA/2)),0)</f>
        <v>0</v>
      </c>
      <c r="J329" s="16" t="n">
        <f aca="false">IFERROR(MATCH($I329,ROTACAO_RDM!$B$6:$B$71,0),0)</f>
        <v>0</v>
      </c>
      <c r="K329" s="8" t="str">
        <f aca="false">IF($J329=0,"SEM CULTURA",INDEX(ROTACAO_RDM!$F$6:$F$71,$J329))</f>
        <v>SEM CULTURA</v>
      </c>
      <c r="L329" s="8" t="str">
        <f aca="false">IF($J329=0,"",INDEX(ROTACAO_RDM!$G$6:$G$71,$J329))</f>
        <v/>
      </c>
      <c r="M329" s="17" t="str">
        <f aca="false">IF($J329=0,"",INDEX(ROTACAO_RDM!$I$6:$I$71,$J329))</f>
        <v/>
      </c>
      <c r="N329" s="16" t="n">
        <f aca="false">IF($J329=0,0,MAX(0,$C329+INT(DIAS_POR_SEMANA/2)-INDEX(ROTACAO_RDM!$I$6:$I$71,$J329)))</f>
        <v>0</v>
      </c>
      <c r="O329" s="19" t="n">
        <f aca="false">IF($J329=0,0,MIN(1,$N329/MAX(1,INDEX(ROTACAO_RDM!$K$6:$K$71,$J329))))</f>
        <v>0</v>
      </c>
      <c r="P329" s="16" t="n">
        <f aca="false">IF($J329=0,0,IFERROR(MATCH(INDEX(ROTACAO_RDM!$N$6:$N$71,$J329),PARAMETROS_CULTURAS!$B$6:$B$28,0),0))</f>
        <v>0</v>
      </c>
      <c r="Q329" s="8" t="str">
        <f aca="false">IF($P329=0,"-",IF($O329&lt;=INDEX(PARAMETROS_CULTURAS!$F$6:$F$28,$P329),"INICIAL",IF($O329&lt;=INDEX(PARAMETROS_CULTURAS!$F$6:$F$28,$P329)+INDEX(PARAMETROS_CULTURAS!$G$6:$G$28,$P329),"DESENVOLVIMENTO",IF($O329&lt;=INDEX(PARAMETROS_CULTURAS!$F$6:$F$28,$P329)+INDEX(PARAMETROS_CULTURAS!$G$6:$G$28,$P329)+INDEX(PARAMETROS_CULTURAS!$H$6:$H$28,$P329),"MEDIA","FINAL"))))</f>
        <v>-</v>
      </c>
      <c r="R329" s="24" t="n">
        <f aca="false">IF($P329=0,0,IF($O329&lt;=INDEX(PARAMETROS_CULTURAS!$F$6:$F$28,$P329),INDEX(PARAMETROS_CULTURAS!$K$6:$K$28,$P329),IF($O329&lt;=INDEX(PARAMETROS_CULTURAS!$F$6:$F$28,$P329)+INDEX(PARAMETROS_CULTURAS!$G$6:$G$28,$P329),INDEX(PARAMETROS_CULTURAS!$K$6:$K$28,$P329)+(INDEX(PARAMETROS_CULTURAS!$L$6:$L$28,$P329)-INDEX(PARAMETROS_CULTURAS!$K$6:$K$28,$P329))*($O329-INDEX(PARAMETROS_CULTURAS!$F$6:$F$28,$P329))/MAX(INDEX(PARAMETROS_CULTURAS!$G$6:$G$28,$P329),0.0001),IF($O329&lt;=INDEX(PARAMETROS_CULTURAS!$F$6:$F$28,$P329)+INDEX(PARAMETROS_CULTURAS!$G$6:$G$28,$P329)+INDEX(PARAMETROS_CULTURAS!$H$6:$H$28,$P329),INDEX(PARAMETROS_CULTURAS!$L$6:$L$28,$P329),INDEX(PARAMETROS_CULTURAS!$L$6:$L$28,$P329)+(INDEX(PARAMETROS_CULTURAS!$M$6:$M$28,$P329)-INDEX(PARAMETROS_CULTURAS!$L$6:$L$28,$P329))*($O329-INDEX(PARAMETROS_CULTURAS!$F$6:$F$28,$P329)-INDEX(PARAMETROS_CULTURAS!$G$6:$G$28,$P329)-INDEX(PARAMETROS_CULTURAS!$H$6:$H$28,$P329))/MAX(INDEX(PARAMETROS_CULTURAS!$I$6:$I$28,$P329),0.0001)))))</f>
        <v>0</v>
      </c>
      <c r="S329" s="18" t="n">
        <f aca="false">IFERROR(INDEX(SEMANAS!$H$6:$H$71,MATCH($B329,SEMANAS!$B$6:$B$71,0)),0)</f>
        <v>39.2</v>
      </c>
      <c r="T329" s="18" t="n">
        <f aca="false">$R329*$S329</f>
        <v>0</v>
      </c>
      <c r="U329" s="18" t="n">
        <f aca="false">IFERROR(INDEX(SEMANAS!$I$6:$I$71,MATCH($B329,SEMANAS!$B$6:$B$71,0)),0)</f>
        <v>27.09</v>
      </c>
      <c r="V329" s="18" t="n">
        <f aca="false">IFERROR(INDEX(SEMANAS!$J$6:$J$71,MATCH($B329,SEMANAS!$B$6:$B$71,0)),0)</f>
        <v>21.672</v>
      </c>
      <c r="W329" s="18" t="n">
        <f aca="false">MAX(0,$T329-$V329)</f>
        <v>0</v>
      </c>
      <c r="X329" s="19" t="n">
        <f aca="false">IFERROR(INDEX(CADASTRO_PIVOS!$K$6:$K$41,MATCH($E329,CADASTRO_PIVOS!$B$6:$B$41,0)),EFICIENCIA_PADRAO)</f>
        <v>0.85</v>
      </c>
      <c r="Y329" s="18" t="n">
        <f aca="false">IF($X329&lt;=0,0,$W329/$X329)</f>
        <v>0</v>
      </c>
      <c r="Z329" s="16" t="n">
        <f aca="false">$Y329*$H329*MM_PARA_M3_HA</f>
        <v>0</v>
      </c>
      <c r="AA329" s="18" t="n">
        <f aca="false">IFERROR(INDEX(CADASTRO_PIVOS!$I$6:$I$41,MATCH($E329,CADASTRO_PIVOS!$B$6:$B$41,0)),0)</f>
        <v>711.285714285714</v>
      </c>
      <c r="AB329" s="18" t="n">
        <f aca="false">IF($Z329&lt;=0,0,$Z329/$AA329)</f>
        <v>0</v>
      </c>
      <c r="AC329" s="16" t="n">
        <f aca="false">IFERROR(INDEX(SEMANAS!$K$6:$K$71,MATCH($B329,SEMANAS!$B$6:$B$71,0)),0)</f>
        <v>147</v>
      </c>
      <c r="AD329" s="19" t="n">
        <f aca="false">IF($AC329&lt;=0,0,$AB329/$AC329)</f>
        <v>0</v>
      </c>
      <c r="AE329" s="8" t="str">
        <f aca="false">IF($K329="SEM CULTURA","SEM CULTURA",IF($AA329&lt;=0,"DADO PENDENTE",IF($AD329&gt;LIMITE_CRITICO,"INVIAVEL",IF($AD329&gt;LIMITE_ATENCAO,"CRITICO",IF($AD329&gt;LIMITE_CONFORTAVEL,"ATENCAO","OK")))))</f>
        <v>SEM CULTURA</v>
      </c>
      <c r="AF329" s="8" t="str">
        <f aca="false">$B329&amp;"|"&amp;TEXT($AD329,"0.000000")</f>
        <v>60|0.000000</v>
      </c>
      <c r="AG329" s="18" t="n">
        <f aca="false">IF($K329="SEM CULTURA",0,$T329*$H329)</f>
        <v>0</v>
      </c>
      <c r="AH329" s="18" t="n">
        <f aca="false">IF($K329="SEM CULTURA",0,$V329*$H329)</f>
        <v>0</v>
      </c>
      <c r="AI329" s="18" t="n">
        <f aca="false">IF($K329="SEM CULTURA",0,$W329*$H329)</f>
        <v>0</v>
      </c>
      <c r="AJ329" s="18" t="n">
        <f aca="false">IF($K329="SEM CULTURA",0,$S329*$H329)</f>
        <v>0</v>
      </c>
      <c r="AK329" s="8" t="str">
        <f aca="false">$E329&amp;"|"&amp;TEXT($AD329,"0.000000")</f>
        <v>PV 107|0.000000</v>
      </c>
    </row>
    <row r="330" customFormat="false" ht="15" hidden="false" customHeight="false" outlineLevel="0" collapsed="false">
      <c r="B330" s="16" t="n">
        <v>61</v>
      </c>
      <c r="C330" s="17" t="n">
        <f aca="false">DATA_INICIO_SAFRA+($B330-1)*DIAS_POR_SEMANA</f>
        <v>46685</v>
      </c>
      <c r="D330" s="17" t="n">
        <f aca="false">$C330+DIAS_POR_SEMANA-1</f>
        <v>46691</v>
      </c>
      <c r="E330" s="15" t="s">
        <v>263</v>
      </c>
      <c r="F330" s="8" t="str">
        <f aca="false">IFERROR(INDEX(CADASTRO_PIVOS!$C$6:$C$41,MATCH($E330,CADASTRO_PIVOS!$B$6:$B$41,0)),"?")</f>
        <v>RM03</v>
      </c>
      <c r="G330" s="8" t="str">
        <f aca="false">IFERROR(INDEX(CADASTRO_PIVOS!$D$6:$D$41,MATCH($E330,CADASTRO_PIVOS!$B$6:$B$41,0)),"?")</f>
        <v>TR03</v>
      </c>
      <c r="H330" s="20" t="n">
        <f aca="false">IFERROR(INDEX(CADASTRO_PIVOS!$E$6:$E$41,MATCH($E330,CADASTRO_PIVOS!$B$6:$B$41,0)),0)</f>
        <v>99.58</v>
      </c>
      <c r="I330" s="16" t="n">
        <f aca="false">IFERROR(SUMIFS(ROTACAO_RDM!$B$6:$B$71,ROTACAO_RDM!$D$6:$D$71,$E330,ROTACAO_RDM!$I$6:$I$71,"&lt;="&amp;$C330+INT(DIAS_POR_SEMANA/2),ROTACAO_RDM!$J$6:$J$71,"&gt;="&amp;$C330+INT(DIAS_POR_SEMANA/2)),0)</f>
        <v>0</v>
      </c>
      <c r="J330" s="16" t="n">
        <f aca="false">IFERROR(MATCH($I330,ROTACAO_RDM!$B$6:$B$71,0),0)</f>
        <v>0</v>
      </c>
      <c r="K330" s="8" t="str">
        <f aca="false">IF($J330=0,"SEM CULTURA",INDEX(ROTACAO_RDM!$F$6:$F$71,$J330))</f>
        <v>SEM CULTURA</v>
      </c>
      <c r="L330" s="8" t="str">
        <f aca="false">IF($J330=0,"",INDEX(ROTACAO_RDM!$G$6:$G$71,$J330))</f>
        <v/>
      </c>
      <c r="M330" s="17" t="str">
        <f aca="false">IF($J330=0,"",INDEX(ROTACAO_RDM!$I$6:$I$71,$J330))</f>
        <v/>
      </c>
      <c r="N330" s="16" t="n">
        <f aca="false">IF($J330=0,0,MAX(0,$C330+INT(DIAS_POR_SEMANA/2)-INDEX(ROTACAO_RDM!$I$6:$I$71,$J330)))</f>
        <v>0</v>
      </c>
      <c r="O330" s="19" t="n">
        <f aca="false">IF($J330=0,0,MIN(1,$N330/MAX(1,INDEX(ROTACAO_RDM!$K$6:$K$71,$J330))))</f>
        <v>0</v>
      </c>
      <c r="P330" s="16" t="n">
        <f aca="false">IF($J330=0,0,IFERROR(MATCH(INDEX(ROTACAO_RDM!$N$6:$N$71,$J330),PARAMETROS_CULTURAS!$B$6:$B$28,0),0))</f>
        <v>0</v>
      </c>
      <c r="Q330" s="8" t="str">
        <f aca="false">IF($P330=0,"-",IF($O330&lt;=INDEX(PARAMETROS_CULTURAS!$F$6:$F$28,$P330),"INICIAL",IF($O330&lt;=INDEX(PARAMETROS_CULTURAS!$F$6:$F$28,$P330)+INDEX(PARAMETROS_CULTURAS!$G$6:$G$28,$P330),"DESENVOLVIMENTO",IF($O330&lt;=INDEX(PARAMETROS_CULTURAS!$F$6:$F$28,$P330)+INDEX(PARAMETROS_CULTURAS!$G$6:$G$28,$P330)+INDEX(PARAMETROS_CULTURAS!$H$6:$H$28,$P330),"MEDIA","FINAL"))))</f>
        <v>-</v>
      </c>
      <c r="R330" s="24" t="n">
        <f aca="false">IF($P330=0,0,IF($O330&lt;=INDEX(PARAMETROS_CULTURAS!$F$6:$F$28,$P330),INDEX(PARAMETROS_CULTURAS!$K$6:$K$28,$P330),IF($O330&lt;=INDEX(PARAMETROS_CULTURAS!$F$6:$F$28,$P330)+INDEX(PARAMETROS_CULTURAS!$G$6:$G$28,$P330),INDEX(PARAMETROS_CULTURAS!$K$6:$K$28,$P330)+(INDEX(PARAMETROS_CULTURAS!$L$6:$L$28,$P330)-INDEX(PARAMETROS_CULTURAS!$K$6:$K$28,$P330))*($O330-INDEX(PARAMETROS_CULTURAS!$F$6:$F$28,$P330))/MAX(INDEX(PARAMETROS_CULTURAS!$G$6:$G$28,$P330),0.0001),IF($O330&lt;=INDEX(PARAMETROS_CULTURAS!$F$6:$F$28,$P330)+INDEX(PARAMETROS_CULTURAS!$G$6:$G$28,$P330)+INDEX(PARAMETROS_CULTURAS!$H$6:$H$28,$P330),INDEX(PARAMETROS_CULTURAS!$L$6:$L$28,$P330),INDEX(PARAMETROS_CULTURAS!$L$6:$L$28,$P330)+(INDEX(PARAMETROS_CULTURAS!$M$6:$M$28,$P330)-INDEX(PARAMETROS_CULTURAS!$L$6:$L$28,$P330))*($O330-INDEX(PARAMETROS_CULTURAS!$F$6:$F$28,$P330)-INDEX(PARAMETROS_CULTURAS!$G$6:$G$28,$P330)-INDEX(PARAMETROS_CULTURAS!$H$6:$H$28,$P330))/MAX(INDEX(PARAMETROS_CULTURAS!$I$6:$I$28,$P330),0.0001)))))</f>
        <v>0</v>
      </c>
      <c r="S330" s="18" t="n">
        <f aca="false">IFERROR(INDEX(SEMANAS!$H$6:$H$71,MATCH($B330,SEMANAS!$B$6:$B$71,0)),0)</f>
        <v>39.2</v>
      </c>
      <c r="T330" s="18" t="n">
        <f aca="false">$R330*$S330</f>
        <v>0</v>
      </c>
      <c r="U330" s="18" t="n">
        <f aca="false">IFERROR(INDEX(SEMANAS!$I$6:$I$71,MATCH($B330,SEMANAS!$B$6:$B$71,0)),0)</f>
        <v>27.09</v>
      </c>
      <c r="V330" s="18" t="n">
        <f aca="false">IFERROR(INDEX(SEMANAS!$J$6:$J$71,MATCH($B330,SEMANAS!$B$6:$B$71,0)),0)</f>
        <v>21.672</v>
      </c>
      <c r="W330" s="18" t="n">
        <f aca="false">MAX(0,$T330-$V330)</f>
        <v>0</v>
      </c>
      <c r="X330" s="19" t="n">
        <f aca="false">IFERROR(INDEX(CADASTRO_PIVOS!$K$6:$K$41,MATCH($E330,CADASTRO_PIVOS!$B$6:$B$41,0)),EFICIENCIA_PADRAO)</f>
        <v>0.85</v>
      </c>
      <c r="Y330" s="18" t="n">
        <f aca="false">IF($X330&lt;=0,0,$W330/$X330)</f>
        <v>0</v>
      </c>
      <c r="Z330" s="16" t="n">
        <f aca="false">$Y330*$H330*MM_PARA_M3_HA</f>
        <v>0</v>
      </c>
      <c r="AA330" s="18" t="n">
        <f aca="false">IFERROR(INDEX(CADASTRO_PIVOS!$I$6:$I$41,MATCH($E330,CADASTRO_PIVOS!$B$6:$B$41,0)),0)</f>
        <v>711.285714285714</v>
      </c>
      <c r="AB330" s="18" t="n">
        <f aca="false">IF($Z330&lt;=0,0,$Z330/$AA330)</f>
        <v>0</v>
      </c>
      <c r="AC330" s="16" t="n">
        <f aca="false">IFERROR(INDEX(SEMANAS!$K$6:$K$71,MATCH($B330,SEMANAS!$B$6:$B$71,0)),0)</f>
        <v>147</v>
      </c>
      <c r="AD330" s="19" t="n">
        <f aca="false">IF($AC330&lt;=0,0,$AB330/$AC330)</f>
        <v>0</v>
      </c>
      <c r="AE330" s="8" t="str">
        <f aca="false">IF($K330="SEM CULTURA","SEM CULTURA",IF($AA330&lt;=0,"DADO PENDENTE",IF($AD330&gt;LIMITE_CRITICO,"INVIAVEL",IF($AD330&gt;LIMITE_ATENCAO,"CRITICO",IF($AD330&gt;LIMITE_CONFORTAVEL,"ATENCAO","OK")))))</f>
        <v>SEM CULTURA</v>
      </c>
      <c r="AF330" s="8" t="str">
        <f aca="false">$B330&amp;"|"&amp;TEXT($AD330,"0.000000")</f>
        <v>61|0.000000</v>
      </c>
      <c r="AG330" s="18" t="n">
        <f aca="false">IF($K330="SEM CULTURA",0,$T330*$H330)</f>
        <v>0</v>
      </c>
      <c r="AH330" s="18" t="n">
        <f aca="false">IF($K330="SEM CULTURA",0,$V330*$H330)</f>
        <v>0</v>
      </c>
      <c r="AI330" s="18" t="n">
        <f aca="false">IF($K330="SEM CULTURA",0,$W330*$H330)</f>
        <v>0</v>
      </c>
      <c r="AJ330" s="18" t="n">
        <f aca="false">IF($K330="SEM CULTURA",0,$S330*$H330)</f>
        <v>0</v>
      </c>
      <c r="AK330" s="8" t="str">
        <f aca="false">$E330&amp;"|"&amp;TEXT($AD330,"0.000000")</f>
        <v>PV 107|0.000000</v>
      </c>
    </row>
    <row r="331" customFormat="false" ht="15" hidden="false" customHeight="false" outlineLevel="0" collapsed="false">
      <c r="B331" s="16" t="n">
        <v>62</v>
      </c>
      <c r="C331" s="17" t="n">
        <f aca="false">DATA_INICIO_SAFRA+($B331-1)*DIAS_POR_SEMANA</f>
        <v>46692</v>
      </c>
      <c r="D331" s="17" t="n">
        <f aca="false">$C331+DIAS_POR_SEMANA-1</f>
        <v>46698</v>
      </c>
      <c r="E331" s="15" t="s">
        <v>263</v>
      </c>
      <c r="F331" s="8" t="str">
        <f aca="false">IFERROR(INDEX(CADASTRO_PIVOS!$C$6:$C$41,MATCH($E331,CADASTRO_PIVOS!$B$6:$B$41,0)),"?")</f>
        <v>RM03</v>
      </c>
      <c r="G331" s="8" t="str">
        <f aca="false">IFERROR(INDEX(CADASTRO_PIVOS!$D$6:$D$41,MATCH($E331,CADASTRO_PIVOS!$B$6:$B$41,0)),"?")</f>
        <v>TR03</v>
      </c>
      <c r="H331" s="20" t="n">
        <f aca="false">IFERROR(INDEX(CADASTRO_PIVOS!$E$6:$E$41,MATCH($E331,CADASTRO_PIVOS!$B$6:$B$41,0)),0)</f>
        <v>99.58</v>
      </c>
      <c r="I331" s="16" t="n">
        <f aca="false">IFERROR(SUMIFS(ROTACAO_RDM!$B$6:$B$71,ROTACAO_RDM!$D$6:$D$71,$E331,ROTACAO_RDM!$I$6:$I$71,"&lt;="&amp;$C331+INT(DIAS_POR_SEMANA/2),ROTACAO_RDM!$J$6:$J$71,"&gt;="&amp;$C331+INT(DIAS_POR_SEMANA/2)),0)</f>
        <v>0</v>
      </c>
      <c r="J331" s="16" t="n">
        <f aca="false">IFERROR(MATCH($I331,ROTACAO_RDM!$B$6:$B$71,0),0)</f>
        <v>0</v>
      </c>
      <c r="K331" s="8" t="str">
        <f aca="false">IF($J331=0,"SEM CULTURA",INDEX(ROTACAO_RDM!$F$6:$F$71,$J331))</f>
        <v>SEM CULTURA</v>
      </c>
      <c r="L331" s="8" t="str">
        <f aca="false">IF($J331=0,"",INDEX(ROTACAO_RDM!$G$6:$G$71,$J331))</f>
        <v/>
      </c>
      <c r="M331" s="17" t="str">
        <f aca="false">IF($J331=0,"",INDEX(ROTACAO_RDM!$I$6:$I$71,$J331))</f>
        <v/>
      </c>
      <c r="N331" s="16" t="n">
        <f aca="false">IF($J331=0,0,MAX(0,$C331+INT(DIAS_POR_SEMANA/2)-INDEX(ROTACAO_RDM!$I$6:$I$71,$J331)))</f>
        <v>0</v>
      </c>
      <c r="O331" s="19" t="n">
        <f aca="false">IF($J331=0,0,MIN(1,$N331/MAX(1,INDEX(ROTACAO_RDM!$K$6:$K$71,$J331))))</f>
        <v>0</v>
      </c>
      <c r="P331" s="16" t="n">
        <f aca="false">IF($J331=0,0,IFERROR(MATCH(INDEX(ROTACAO_RDM!$N$6:$N$71,$J331),PARAMETROS_CULTURAS!$B$6:$B$28,0),0))</f>
        <v>0</v>
      </c>
      <c r="Q331" s="8" t="str">
        <f aca="false">IF($P331=0,"-",IF($O331&lt;=INDEX(PARAMETROS_CULTURAS!$F$6:$F$28,$P331),"INICIAL",IF($O331&lt;=INDEX(PARAMETROS_CULTURAS!$F$6:$F$28,$P331)+INDEX(PARAMETROS_CULTURAS!$G$6:$G$28,$P331),"DESENVOLVIMENTO",IF($O331&lt;=INDEX(PARAMETROS_CULTURAS!$F$6:$F$28,$P331)+INDEX(PARAMETROS_CULTURAS!$G$6:$G$28,$P331)+INDEX(PARAMETROS_CULTURAS!$H$6:$H$28,$P331),"MEDIA","FINAL"))))</f>
        <v>-</v>
      </c>
      <c r="R331" s="24" t="n">
        <f aca="false">IF($P331=0,0,IF($O331&lt;=INDEX(PARAMETROS_CULTURAS!$F$6:$F$28,$P331),INDEX(PARAMETROS_CULTURAS!$K$6:$K$28,$P331),IF($O331&lt;=INDEX(PARAMETROS_CULTURAS!$F$6:$F$28,$P331)+INDEX(PARAMETROS_CULTURAS!$G$6:$G$28,$P331),INDEX(PARAMETROS_CULTURAS!$K$6:$K$28,$P331)+(INDEX(PARAMETROS_CULTURAS!$L$6:$L$28,$P331)-INDEX(PARAMETROS_CULTURAS!$K$6:$K$28,$P331))*($O331-INDEX(PARAMETROS_CULTURAS!$F$6:$F$28,$P331))/MAX(INDEX(PARAMETROS_CULTURAS!$G$6:$G$28,$P331),0.0001),IF($O331&lt;=INDEX(PARAMETROS_CULTURAS!$F$6:$F$28,$P331)+INDEX(PARAMETROS_CULTURAS!$G$6:$G$28,$P331)+INDEX(PARAMETROS_CULTURAS!$H$6:$H$28,$P331),INDEX(PARAMETROS_CULTURAS!$L$6:$L$28,$P331),INDEX(PARAMETROS_CULTURAS!$L$6:$L$28,$P331)+(INDEX(PARAMETROS_CULTURAS!$M$6:$M$28,$P331)-INDEX(PARAMETROS_CULTURAS!$L$6:$L$28,$P331))*($O331-INDEX(PARAMETROS_CULTURAS!$F$6:$F$28,$P331)-INDEX(PARAMETROS_CULTURAS!$G$6:$G$28,$P331)-INDEX(PARAMETROS_CULTURAS!$H$6:$H$28,$P331))/MAX(INDEX(PARAMETROS_CULTURAS!$I$6:$I$28,$P331),0.0001)))))</f>
        <v>0</v>
      </c>
      <c r="S331" s="18" t="n">
        <f aca="false">IFERROR(INDEX(SEMANAS!$H$6:$H$71,MATCH($B331,SEMANAS!$B$6:$B$71,0)),0)</f>
        <v>34.3</v>
      </c>
      <c r="T331" s="18" t="n">
        <f aca="false">$R331*$S331</f>
        <v>0</v>
      </c>
      <c r="U331" s="18" t="n">
        <f aca="false">IFERROR(INDEX(SEMANAS!$I$6:$I$71,MATCH($B331,SEMANAS!$B$6:$B$71,0)),0)</f>
        <v>46.69</v>
      </c>
      <c r="V331" s="18" t="n">
        <f aca="false">IFERROR(INDEX(SEMANAS!$J$6:$J$71,MATCH($B331,SEMANAS!$B$6:$B$71,0)),0)</f>
        <v>37.352</v>
      </c>
      <c r="W331" s="18" t="n">
        <f aca="false">MAX(0,$T331-$V331)</f>
        <v>0</v>
      </c>
      <c r="X331" s="19" t="n">
        <f aca="false">IFERROR(INDEX(CADASTRO_PIVOS!$K$6:$K$41,MATCH($E331,CADASTRO_PIVOS!$B$6:$B$41,0)),EFICIENCIA_PADRAO)</f>
        <v>0.85</v>
      </c>
      <c r="Y331" s="18" t="n">
        <f aca="false">IF($X331&lt;=0,0,$W331/$X331)</f>
        <v>0</v>
      </c>
      <c r="Z331" s="16" t="n">
        <f aca="false">$Y331*$H331*MM_PARA_M3_HA</f>
        <v>0</v>
      </c>
      <c r="AA331" s="18" t="n">
        <f aca="false">IFERROR(INDEX(CADASTRO_PIVOS!$I$6:$I$41,MATCH($E331,CADASTRO_PIVOS!$B$6:$B$41,0)),0)</f>
        <v>711.285714285714</v>
      </c>
      <c r="AB331" s="18" t="n">
        <f aca="false">IF($Z331&lt;=0,0,$Z331/$AA331)</f>
        <v>0</v>
      </c>
      <c r="AC331" s="16" t="n">
        <f aca="false">IFERROR(INDEX(SEMANAS!$K$6:$K$71,MATCH($B331,SEMANAS!$B$6:$B$71,0)),0)</f>
        <v>147</v>
      </c>
      <c r="AD331" s="19" t="n">
        <f aca="false">IF($AC331&lt;=0,0,$AB331/$AC331)</f>
        <v>0</v>
      </c>
      <c r="AE331" s="8" t="str">
        <f aca="false">IF($K331="SEM CULTURA","SEM CULTURA",IF($AA331&lt;=0,"DADO PENDENTE",IF($AD331&gt;LIMITE_CRITICO,"INVIAVEL",IF($AD331&gt;LIMITE_ATENCAO,"CRITICO",IF($AD331&gt;LIMITE_CONFORTAVEL,"ATENCAO","OK")))))</f>
        <v>SEM CULTURA</v>
      </c>
      <c r="AF331" s="8" t="str">
        <f aca="false">$B331&amp;"|"&amp;TEXT($AD331,"0.000000")</f>
        <v>62|0.000000</v>
      </c>
      <c r="AG331" s="18" t="n">
        <f aca="false">IF($K331="SEM CULTURA",0,$T331*$H331)</f>
        <v>0</v>
      </c>
      <c r="AH331" s="18" t="n">
        <f aca="false">IF($K331="SEM CULTURA",0,$V331*$H331)</f>
        <v>0</v>
      </c>
      <c r="AI331" s="18" t="n">
        <f aca="false">IF($K331="SEM CULTURA",0,$W331*$H331)</f>
        <v>0</v>
      </c>
      <c r="AJ331" s="18" t="n">
        <f aca="false">IF($K331="SEM CULTURA",0,$S331*$H331)</f>
        <v>0</v>
      </c>
      <c r="AK331" s="8" t="str">
        <f aca="false">$E331&amp;"|"&amp;TEXT($AD331,"0.000000")</f>
        <v>PV 107|0.000000</v>
      </c>
    </row>
    <row r="332" customFormat="false" ht="15" hidden="false" customHeight="false" outlineLevel="0" collapsed="false">
      <c r="B332" s="16" t="n">
        <v>63</v>
      </c>
      <c r="C332" s="17" t="n">
        <f aca="false">DATA_INICIO_SAFRA+($B332-1)*DIAS_POR_SEMANA</f>
        <v>46699</v>
      </c>
      <c r="D332" s="17" t="n">
        <f aca="false">$C332+DIAS_POR_SEMANA-1</f>
        <v>46705</v>
      </c>
      <c r="E332" s="15" t="s">
        <v>263</v>
      </c>
      <c r="F332" s="8" t="str">
        <f aca="false">IFERROR(INDEX(CADASTRO_PIVOS!$C$6:$C$41,MATCH($E332,CADASTRO_PIVOS!$B$6:$B$41,0)),"?")</f>
        <v>RM03</v>
      </c>
      <c r="G332" s="8" t="str">
        <f aca="false">IFERROR(INDEX(CADASTRO_PIVOS!$D$6:$D$41,MATCH($E332,CADASTRO_PIVOS!$B$6:$B$41,0)),"?")</f>
        <v>TR03</v>
      </c>
      <c r="H332" s="20" t="n">
        <f aca="false">IFERROR(INDEX(CADASTRO_PIVOS!$E$6:$E$41,MATCH($E332,CADASTRO_PIVOS!$B$6:$B$41,0)),0)</f>
        <v>99.58</v>
      </c>
      <c r="I332" s="16" t="n">
        <f aca="false">IFERROR(SUMIFS(ROTACAO_RDM!$B$6:$B$71,ROTACAO_RDM!$D$6:$D$71,$E332,ROTACAO_RDM!$I$6:$I$71,"&lt;="&amp;$C332+INT(DIAS_POR_SEMANA/2),ROTACAO_RDM!$J$6:$J$71,"&gt;="&amp;$C332+INT(DIAS_POR_SEMANA/2)),0)</f>
        <v>0</v>
      </c>
      <c r="J332" s="16" t="n">
        <f aca="false">IFERROR(MATCH($I332,ROTACAO_RDM!$B$6:$B$71,0),0)</f>
        <v>0</v>
      </c>
      <c r="K332" s="8" t="str">
        <f aca="false">IF($J332=0,"SEM CULTURA",INDEX(ROTACAO_RDM!$F$6:$F$71,$J332))</f>
        <v>SEM CULTURA</v>
      </c>
      <c r="L332" s="8" t="str">
        <f aca="false">IF($J332=0,"",INDEX(ROTACAO_RDM!$G$6:$G$71,$J332))</f>
        <v/>
      </c>
      <c r="M332" s="17" t="str">
        <f aca="false">IF($J332=0,"",INDEX(ROTACAO_RDM!$I$6:$I$71,$J332))</f>
        <v/>
      </c>
      <c r="N332" s="16" t="n">
        <f aca="false">IF($J332=0,0,MAX(0,$C332+INT(DIAS_POR_SEMANA/2)-INDEX(ROTACAO_RDM!$I$6:$I$71,$J332)))</f>
        <v>0</v>
      </c>
      <c r="O332" s="19" t="n">
        <f aca="false">IF($J332=0,0,MIN(1,$N332/MAX(1,INDEX(ROTACAO_RDM!$K$6:$K$71,$J332))))</f>
        <v>0</v>
      </c>
      <c r="P332" s="16" t="n">
        <f aca="false">IF($J332=0,0,IFERROR(MATCH(INDEX(ROTACAO_RDM!$N$6:$N$71,$J332),PARAMETROS_CULTURAS!$B$6:$B$28,0),0))</f>
        <v>0</v>
      </c>
      <c r="Q332" s="8" t="str">
        <f aca="false">IF($P332=0,"-",IF($O332&lt;=INDEX(PARAMETROS_CULTURAS!$F$6:$F$28,$P332),"INICIAL",IF($O332&lt;=INDEX(PARAMETROS_CULTURAS!$F$6:$F$28,$P332)+INDEX(PARAMETROS_CULTURAS!$G$6:$G$28,$P332),"DESENVOLVIMENTO",IF($O332&lt;=INDEX(PARAMETROS_CULTURAS!$F$6:$F$28,$P332)+INDEX(PARAMETROS_CULTURAS!$G$6:$G$28,$P332)+INDEX(PARAMETROS_CULTURAS!$H$6:$H$28,$P332),"MEDIA","FINAL"))))</f>
        <v>-</v>
      </c>
      <c r="R332" s="24" t="n">
        <f aca="false">IF($P332=0,0,IF($O332&lt;=INDEX(PARAMETROS_CULTURAS!$F$6:$F$28,$P332),INDEX(PARAMETROS_CULTURAS!$K$6:$K$28,$P332),IF($O332&lt;=INDEX(PARAMETROS_CULTURAS!$F$6:$F$28,$P332)+INDEX(PARAMETROS_CULTURAS!$G$6:$G$28,$P332),INDEX(PARAMETROS_CULTURAS!$K$6:$K$28,$P332)+(INDEX(PARAMETROS_CULTURAS!$L$6:$L$28,$P332)-INDEX(PARAMETROS_CULTURAS!$K$6:$K$28,$P332))*($O332-INDEX(PARAMETROS_CULTURAS!$F$6:$F$28,$P332))/MAX(INDEX(PARAMETROS_CULTURAS!$G$6:$G$28,$P332),0.0001),IF($O332&lt;=INDEX(PARAMETROS_CULTURAS!$F$6:$F$28,$P332)+INDEX(PARAMETROS_CULTURAS!$G$6:$G$28,$P332)+INDEX(PARAMETROS_CULTURAS!$H$6:$H$28,$P332),INDEX(PARAMETROS_CULTURAS!$L$6:$L$28,$P332),INDEX(PARAMETROS_CULTURAS!$L$6:$L$28,$P332)+(INDEX(PARAMETROS_CULTURAS!$M$6:$M$28,$P332)-INDEX(PARAMETROS_CULTURAS!$L$6:$L$28,$P332))*($O332-INDEX(PARAMETROS_CULTURAS!$F$6:$F$28,$P332)-INDEX(PARAMETROS_CULTURAS!$G$6:$G$28,$P332)-INDEX(PARAMETROS_CULTURAS!$H$6:$H$28,$P332))/MAX(INDEX(PARAMETROS_CULTURAS!$I$6:$I$28,$P332),0.0001)))))</f>
        <v>0</v>
      </c>
      <c r="S332" s="18" t="n">
        <f aca="false">IFERROR(INDEX(SEMANAS!$H$6:$H$71,MATCH($B332,SEMANAS!$B$6:$B$71,0)),0)</f>
        <v>34.3</v>
      </c>
      <c r="T332" s="18" t="n">
        <f aca="false">$R332*$S332</f>
        <v>0</v>
      </c>
      <c r="U332" s="18" t="n">
        <f aca="false">IFERROR(INDEX(SEMANAS!$I$6:$I$71,MATCH($B332,SEMANAS!$B$6:$B$71,0)),0)</f>
        <v>46.69</v>
      </c>
      <c r="V332" s="18" t="n">
        <f aca="false">IFERROR(INDEX(SEMANAS!$J$6:$J$71,MATCH($B332,SEMANAS!$B$6:$B$71,0)),0)</f>
        <v>37.352</v>
      </c>
      <c r="W332" s="18" t="n">
        <f aca="false">MAX(0,$T332-$V332)</f>
        <v>0</v>
      </c>
      <c r="X332" s="19" t="n">
        <f aca="false">IFERROR(INDEX(CADASTRO_PIVOS!$K$6:$K$41,MATCH($E332,CADASTRO_PIVOS!$B$6:$B$41,0)),EFICIENCIA_PADRAO)</f>
        <v>0.85</v>
      </c>
      <c r="Y332" s="18" t="n">
        <f aca="false">IF($X332&lt;=0,0,$W332/$X332)</f>
        <v>0</v>
      </c>
      <c r="Z332" s="16" t="n">
        <f aca="false">$Y332*$H332*MM_PARA_M3_HA</f>
        <v>0</v>
      </c>
      <c r="AA332" s="18" t="n">
        <f aca="false">IFERROR(INDEX(CADASTRO_PIVOS!$I$6:$I$41,MATCH($E332,CADASTRO_PIVOS!$B$6:$B$41,0)),0)</f>
        <v>711.285714285714</v>
      </c>
      <c r="AB332" s="18" t="n">
        <f aca="false">IF($Z332&lt;=0,0,$Z332/$AA332)</f>
        <v>0</v>
      </c>
      <c r="AC332" s="16" t="n">
        <f aca="false">IFERROR(INDEX(SEMANAS!$K$6:$K$71,MATCH($B332,SEMANAS!$B$6:$B$71,0)),0)</f>
        <v>147</v>
      </c>
      <c r="AD332" s="19" t="n">
        <f aca="false">IF($AC332&lt;=0,0,$AB332/$AC332)</f>
        <v>0</v>
      </c>
      <c r="AE332" s="8" t="str">
        <f aca="false">IF($K332="SEM CULTURA","SEM CULTURA",IF($AA332&lt;=0,"DADO PENDENTE",IF($AD332&gt;LIMITE_CRITICO,"INVIAVEL",IF($AD332&gt;LIMITE_ATENCAO,"CRITICO",IF($AD332&gt;LIMITE_CONFORTAVEL,"ATENCAO","OK")))))</f>
        <v>SEM CULTURA</v>
      </c>
      <c r="AF332" s="8" t="str">
        <f aca="false">$B332&amp;"|"&amp;TEXT($AD332,"0.000000")</f>
        <v>63|0.000000</v>
      </c>
      <c r="AG332" s="18" t="n">
        <f aca="false">IF($K332="SEM CULTURA",0,$T332*$H332)</f>
        <v>0</v>
      </c>
      <c r="AH332" s="18" t="n">
        <f aca="false">IF($K332="SEM CULTURA",0,$V332*$H332)</f>
        <v>0</v>
      </c>
      <c r="AI332" s="18" t="n">
        <f aca="false">IF($K332="SEM CULTURA",0,$W332*$H332)</f>
        <v>0</v>
      </c>
      <c r="AJ332" s="18" t="n">
        <f aca="false">IF($K332="SEM CULTURA",0,$S332*$H332)</f>
        <v>0</v>
      </c>
      <c r="AK332" s="8" t="str">
        <f aca="false">$E332&amp;"|"&amp;TEXT($AD332,"0.000000")</f>
        <v>PV 107|0.000000</v>
      </c>
    </row>
    <row r="333" customFormat="false" ht="15" hidden="false" customHeight="false" outlineLevel="0" collapsed="false">
      <c r="B333" s="16" t="n">
        <v>64</v>
      </c>
      <c r="C333" s="17" t="n">
        <f aca="false">DATA_INICIO_SAFRA+($B333-1)*DIAS_POR_SEMANA</f>
        <v>46706</v>
      </c>
      <c r="D333" s="17" t="n">
        <f aca="false">$C333+DIAS_POR_SEMANA-1</f>
        <v>46712</v>
      </c>
      <c r="E333" s="15" t="s">
        <v>263</v>
      </c>
      <c r="F333" s="8" t="str">
        <f aca="false">IFERROR(INDEX(CADASTRO_PIVOS!$C$6:$C$41,MATCH($E333,CADASTRO_PIVOS!$B$6:$B$41,0)),"?")</f>
        <v>RM03</v>
      </c>
      <c r="G333" s="8" t="str">
        <f aca="false">IFERROR(INDEX(CADASTRO_PIVOS!$D$6:$D$41,MATCH($E333,CADASTRO_PIVOS!$B$6:$B$41,0)),"?")</f>
        <v>TR03</v>
      </c>
      <c r="H333" s="20" t="n">
        <f aca="false">IFERROR(INDEX(CADASTRO_PIVOS!$E$6:$E$41,MATCH($E333,CADASTRO_PIVOS!$B$6:$B$41,0)),0)</f>
        <v>99.58</v>
      </c>
      <c r="I333" s="16" t="n">
        <f aca="false">IFERROR(SUMIFS(ROTACAO_RDM!$B$6:$B$71,ROTACAO_RDM!$D$6:$D$71,$E333,ROTACAO_RDM!$I$6:$I$71,"&lt;="&amp;$C333+INT(DIAS_POR_SEMANA/2),ROTACAO_RDM!$J$6:$J$71,"&gt;="&amp;$C333+INT(DIAS_POR_SEMANA/2)),0)</f>
        <v>0</v>
      </c>
      <c r="J333" s="16" t="n">
        <f aca="false">IFERROR(MATCH($I333,ROTACAO_RDM!$B$6:$B$71,0),0)</f>
        <v>0</v>
      </c>
      <c r="K333" s="8" t="str">
        <f aca="false">IF($J333=0,"SEM CULTURA",INDEX(ROTACAO_RDM!$F$6:$F$71,$J333))</f>
        <v>SEM CULTURA</v>
      </c>
      <c r="L333" s="8" t="str">
        <f aca="false">IF($J333=0,"",INDEX(ROTACAO_RDM!$G$6:$G$71,$J333))</f>
        <v/>
      </c>
      <c r="M333" s="17" t="str">
        <f aca="false">IF($J333=0,"",INDEX(ROTACAO_RDM!$I$6:$I$71,$J333))</f>
        <v/>
      </c>
      <c r="N333" s="16" t="n">
        <f aca="false">IF($J333=0,0,MAX(0,$C333+INT(DIAS_POR_SEMANA/2)-INDEX(ROTACAO_RDM!$I$6:$I$71,$J333)))</f>
        <v>0</v>
      </c>
      <c r="O333" s="19" t="n">
        <f aca="false">IF($J333=0,0,MIN(1,$N333/MAX(1,INDEX(ROTACAO_RDM!$K$6:$K$71,$J333))))</f>
        <v>0</v>
      </c>
      <c r="P333" s="16" t="n">
        <f aca="false">IF($J333=0,0,IFERROR(MATCH(INDEX(ROTACAO_RDM!$N$6:$N$71,$J333),PARAMETROS_CULTURAS!$B$6:$B$28,0),0))</f>
        <v>0</v>
      </c>
      <c r="Q333" s="8" t="str">
        <f aca="false">IF($P333=0,"-",IF($O333&lt;=INDEX(PARAMETROS_CULTURAS!$F$6:$F$28,$P333),"INICIAL",IF($O333&lt;=INDEX(PARAMETROS_CULTURAS!$F$6:$F$28,$P333)+INDEX(PARAMETROS_CULTURAS!$G$6:$G$28,$P333),"DESENVOLVIMENTO",IF($O333&lt;=INDEX(PARAMETROS_CULTURAS!$F$6:$F$28,$P333)+INDEX(PARAMETROS_CULTURAS!$G$6:$G$28,$P333)+INDEX(PARAMETROS_CULTURAS!$H$6:$H$28,$P333),"MEDIA","FINAL"))))</f>
        <v>-</v>
      </c>
      <c r="R333" s="24" t="n">
        <f aca="false">IF($P333=0,0,IF($O333&lt;=INDEX(PARAMETROS_CULTURAS!$F$6:$F$28,$P333),INDEX(PARAMETROS_CULTURAS!$K$6:$K$28,$P333),IF($O333&lt;=INDEX(PARAMETROS_CULTURAS!$F$6:$F$28,$P333)+INDEX(PARAMETROS_CULTURAS!$G$6:$G$28,$P333),INDEX(PARAMETROS_CULTURAS!$K$6:$K$28,$P333)+(INDEX(PARAMETROS_CULTURAS!$L$6:$L$28,$P333)-INDEX(PARAMETROS_CULTURAS!$K$6:$K$28,$P333))*($O333-INDEX(PARAMETROS_CULTURAS!$F$6:$F$28,$P333))/MAX(INDEX(PARAMETROS_CULTURAS!$G$6:$G$28,$P333),0.0001),IF($O333&lt;=INDEX(PARAMETROS_CULTURAS!$F$6:$F$28,$P333)+INDEX(PARAMETROS_CULTURAS!$G$6:$G$28,$P333)+INDEX(PARAMETROS_CULTURAS!$H$6:$H$28,$P333),INDEX(PARAMETROS_CULTURAS!$L$6:$L$28,$P333),INDEX(PARAMETROS_CULTURAS!$L$6:$L$28,$P333)+(INDEX(PARAMETROS_CULTURAS!$M$6:$M$28,$P333)-INDEX(PARAMETROS_CULTURAS!$L$6:$L$28,$P333))*($O333-INDEX(PARAMETROS_CULTURAS!$F$6:$F$28,$P333)-INDEX(PARAMETROS_CULTURAS!$G$6:$G$28,$P333)-INDEX(PARAMETROS_CULTURAS!$H$6:$H$28,$P333))/MAX(INDEX(PARAMETROS_CULTURAS!$I$6:$I$28,$P333),0.0001)))))</f>
        <v>0</v>
      </c>
      <c r="S333" s="18" t="n">
        <f aca="false">IFERROR(INDEX(SEMANAS!$H$6:$H$71,MATCH($B333,SEMANAS!$B$6:$B$71,0)),0)</f>
        <v>34.3</v>
      </c>
      <c r="T333" s="18" t="n">
        <f aca="false">$R333*$S333</f>
        <v>0</v>
      </c>
      <c r="U333" s="18" t="n">
        <f aca="false">IFERROR(INDEX(SEMANAS!$I$6:$I$71,MATCH($B333,SEMANAS!$B$6:$B$71,0)),0)</f>
        <v>46.69</v>
      </c>
      <c r="V333" s="18" t="n">
        <f aca="false">IFERROR(INDEX(SEMANAS!$J$6:$J$71,MATCH($B333,SEMANAS!$B$6:$B$71,0)),0)</f>
        <v>37.352</v>
      </c>
      <c r="W333" s="18" t="n">
        <f aca="false">MAX(0,$T333-$V333)</f>
        <v>0</v>
      </c>
      <c r="X333" s="19" t="n">
        <f aca="false">IFERROR(INDEX(CADASTRO_PIVOS!$K$6:$K$41,MATCH($E333,CADASTRO_PIVOS!$B$6:$B$41,0)),EFICIENCIA_PADRAO)</f>
        <v>0.85</v>
      </c>
      <c r="Y333" s="18" t="n">
        <f aca="false">IF($X333&lt;=0,0,$W333/$X333)</f>
        <v>0</v>
      </c>
      <c r="Z333" s="16" t="n">
        <f aca="false">$Y333*$H333*MM_PARA_M3_HA</f>
        <v>0</v>
      </c>
      <c r="AA333" s="18" t="n">
        <f aca="false">IFERROR(INDEX(CADASTRO_PIVOS!$I$6:$I$41,MATCH($E333,CADASTRO_PIVOS!$B$6:$B$41,0)),0)</f>
        <v>711.285714285714</v>
      </c>
      <c r="AB333" s="18" t="n">
        <f aca="false">IF($Z333&lt;=0,0,$Z333/$AA333)</f>
        <v>0</v>
      </c>
      <c r="AC333" s="16" t="n">
        <f aca="false">IFERROR(INDEX(SEMANAS!$K$6:$K$71,MATCH($B333,SEMANAS!$B$6:$B$71,0)),0)</f>
        <v>147</v>
      </c>
      <c r="AD333" s="19" t="n">
        <f aca="false">IF($AC333&lt;=0,0,$AB333/$AC333)</f>
        <v>0</v>
      </c>
      <c r="AE333" s="8" t="str">
        <f aca="false">IF($K333="SEM CULTURA","SEM CULTURA",IF($AA333&lt;=0,"DADO PENDENTE",IF($AD333&gt;LIMITE_CRITICO,"INVIAVEL",IF($AD333&gt;LIMITE_ATENCAO,"CRITICO",IF($AD333&gt;LIMITE_CONFORTAVEL,"ATENCAO","OK")))))</f>
        <v>SEM CULTURA</v>
      </c>
      <c r="AF333" s="8" t="str">
        <f aca="false">$B333&amp;"|"&amp;TEXT($AD333,"0.000000")</f>
        <v>64|0.000000</v>
      </c>
      <c r="AG333" s="18" t="n">
        <f aca="false">IF($K333="SEM CULTURA",0,$T333*$H333)</f>
        <v>0</v>
      </c>
      <c r="AH333" s="18" t="n">
        <f aca="false">IF($K333="SEM CULTURA",0,$V333*$H333)</f>
        <v>0</v>
      </c>
      <c r="AI333" s="18" t="n">
        <f aca="false">IF($K333="SEM CULTURA",0,$W333*$H333)</f>
        <v>0</v>
      </c>
      <c r="AJ333" s="18" t="n">
        <f aca="false">IF($K333="SEM CULTURA",0,$S333*$H333)</f>
        <v>0</v>
      </c>
      <c r="AK333" s="8" t="str">
        <f aca="false">$E333&amp;"|"&amp;TEXT($AD333,"0.000000")</f>
        <v>PV 107|0.000000</v>
      </c>
    </row>
    <row r="334" customFormat="false" ht="15" hidden="false" customHeight="false" outlineLevel="0" collapsed="false">
      <c r="B334" s="16" t="n">
        <v>65</v>
      </c>
      <c r="C334" s="17" t="n">
        <f aca="false">DATA_INICIO_SAFRA+($B334-1)*DIAS_POR_SEMANA</f>
        <v>46713</v>
      </c>
      <c r="D334" s="17" t="n">
        <f aca="false">$C334+DIAS_POR_SEMANA-1</f>
        <v>46719</v>
      </c>
      <c r="E334" s="15" t="s">
        <v>263</v>
      </c>
      <c r="F334" s="8" t="str">
        <f aca="false">IFERROR(INDEX(CADASTRO_PIVOS!$C$6:$C$41,MATCH($E334,CADASTRO_PIVOS!$B$6:$B$41,0)),"?")</f>
        <v>RM03</v>
      </c>
      <c r="G334" s="8" t="str">
        <f aca="false">IFERROR(INDEX(CADASTRO_PIVOS!$D$6:$D$41,MATCH($E334,CADASTRO_PIVOS!$B$6:$B$41,0)),"?")</f>
        <v>TR03</v>
      </c>
      <c r="H334" s="20" t="n">
        <f aca="false">IFERROR(INDEX(CADASTRO_PIVOS!$E$6:$E$41,MATCH($E334,CADASTRO_PIVOS!$B$6:$B$41,0)),0)</f>
        <v>99.58</v>
      </c>
      <c r="I334" s="16" t="n">
        <f aca="false">IFERROR(SUMIFS(ROTACAO_RDM!$B$6:$B$71,ROTACAO_RDM!$D$6:$D$71,$E334,ROTACAO_RDM!$I$6:$I$71,"&lt;="&amp;$C334+INT(DIAS_POR_SEMANA/2),ROTACAO_RDM!$J$6:$J$71,"&gt;="&amp;$C334+INT(DIAS_POR_SEMANA/2)),0)</f>
        <v>0</v>
      </c>
      <c r="J334" s="16" t="n">
        <f aca="false">IFERROR(MATCH($I334,ROTACAO_RDM!$B$6:$B$71,0),0)</f>
        <v>0</v>
      </c>
      <c r="K334" s="8" t="str">
        <f aca="false">IF($J334=0,"SEM CULTURA",INDEX(ROTACAO_RDM!$F$6:$F$71,$J334))</f>
        <v>SEM CULTURA</v>
      </c>
      <c r="L334" s="8" t="str">
        <f aca="false">IF($J334=0,"",INDEX(ROTACAO_RDM!$G$6:$G$71,$J334))</f>
        <v/>
      </c>
      <c r="M334" s="17" t="str">
        <f aca="false">IF($J334=0,"",INDEX(ROTACAO_RDM!$I$6:$I$71,$J334))</f>
        <v/>
      </c>
      <c r="N334" s="16" t="n">
        <f aca="false">IF($J334=0,0,MAX(0,$C334+INT(DIAS_POR_SEMANA/2)-INDEX(ROTACAO_RDM!$I$6:$I$71,$J334)))</f>
        <v>0</v>
      </c>
      <c r="O334" s="19" t="n">
        <f aca="false">IF($J334=0,0,MIN(1,$N334/MAX(1,INDEX(ROTACAO_RDM!$K$6:$K$71,$J334))))</f>
        <v>0</v>
      </c>
      <c r="P334" s="16" t="n">
        <f aca="false">IF($J334=0,0,IFERROR(MATCH(INDEX(ROTACAO_RDM!$N$6:$N$71,$J334),PARAMETROS_CULTURAS!$B$6:$B$28,0),0))</f>
        <v>0</v>
      </c>
      <c r="Q334" s="8" t="str">
        <f aca="false">IF($P334=0,"-",IF($O334&lt;=INDEX(PARAMETROS_CULTURAS!$F$6:$F$28,$P334),"INICIAL",IF($O334&lt;=INDEX(PARAMETROS_CULTURAS!$F$6:$F$28,$P334)+INDEX(PARAMETROS_CULTURAS!$G$6:$G$28,$P334),"DESENVOLVIMENTO",IF($O334&lt;=INDEX(PARAMETROS_CULTURAS!$F$6:$F$28,$P334)+INDEX(PARAMETROS_CULTURAS!$G$6:$G$28,$P334)+INDEX(PARAMETROS_CULTURAS!$H$6:$H$28,$P334),"MEDIA","FINAL"))))</f>
        <v>-</v>
      </c>
      <c r="R334" s="24" t="n">
        <f aca="false">IF($P334=0,0,IF($O334&lt;=INDEX(PARAMETROS_CULTURAS!$F$6:$F$28,$P334),INDEX(PARAMETROS_CULTURAS!$K$6:$K$28,$P334),IF($O334&lt;=INDEX(PARAMETROS_CULTURAS!$F$6:$F$28,$P334)+INDEX(PARAMETROS_CULTURAS!$G$6:$G$28,$P334),INDEX(PARAMETROS_CULTURAS!$K$6:$K$28,$P334)+(INDEX(PARAMETROS_CULTURAS!$L$6:$L$28,$P334)-INDEX(PARAMETROS_CULTURAS!$K$6:$K$28,$P334))*($O334-INDEX(PARAMETROS_CULTURAS!$F$6:$F$28,$P334))/MAX(INDEX(PARAMETROS_CULTURAS!$G$6:$G$28,$P334),0.0001),IF($O334&lt;=INDEX(PARAMETROS_CULTURAS!$F$6:$F$28,$P334)+INDEX(PARAMETROS_CULTURAS!$G$6:$G$28,$P334)+INDEX(PARAMETROS_CULTURAS!$H$6:$H$28,$P334),INDEX(PARAMETROS_CULTURAS!$L$6:$L$28,$P334),INDEX(PARAMETROS_CULTURAS!$L$6:$L$28,$P334)+(INDEX(PARAMETROS_CULTURAS!$M$6:$M$28,$P334)-INDEX(PARAMETROS_CULTURAS!$L$6:$L$28,$P334))*($O334-INDEX(PARAMETROS_CULTURAS!$F$6:$F$28,$P334)-INDEX(PARAMETROS_CULTURAS!$G$6:$G$28,$P334)-INDEX(PARAMETROS_CULTURAS!$H$6:$H$28,$P334))/MAX(INDEX(PARAMETROS_CULTURAS!$I$6:$I$28,$P334),0.0001)))))</f>
        <v>0</v>
      </c>
      <c r="S334" s="18" t="n">
        <f aca="false">IFERROR(INDEX(SEMANAS!$H$6:$H$71,MATCH($B334,SEMANAS!$B$6:$B$71,0)),0)</f>
        <v>34.3</v>
      </c>
      <c r="T334" s="18" t="n">
        <f aca="false">$R334*$S334</f>
        <v>0</v>
      </c>
      <c r="U334" s="18" t="n">
        <f aca="false">IFERROR(INDEX(SEMANAS!$I$6:$I$71,MATCH($B334,SEMANAS!$B$6:$B$71,0)),0)</f>
        <v>46.69</v>
      </c>
      <c r="V334" s="18" t="n">
        <f aca="false">IFERROR(INDEX(SEMANAS!$J$6:$J$71,MATCH($B334,SEMANAS!$B$6:$B$71,0)),0)</f>
        <v>37.352</v>
      </c>
      <c r="W334" s="18" t="n">
        <f aca="false">MAX(0,$T334-$V334)</f>
        <v>0</v>
      </c>
      <c r="X334" s="19" t="n">
        <f aca="false">IFERROR(INDEX(CADASTRO_PIVOS!$K$6:$K$41,MATCH($E334,CADASTRO_PIVOS!$B$6:$B$41,0)),EFICIENCIA_PADRAO)</f>
        <v>0.85</v>
      </c>
      <c r="Y334" s="18" t="n">
        <f aca="false">IF($X334&lt;=0,0,$W334/$X334)</f>
        <v>0</v>
      </c>
      <c r="Z334" s="16" t="n">
        <f aca="false">$Y334*$H334*MM_PARA_M3_HA</f>
        <v>0</v>
      </c>
      <c r="AA334" s="18" t="n">
        <f aca="false">IFERROR(INDEX(CADASTRO_PIVOS!$I$6:$I$41,MATCH($E334,CADASTRO_PIVOS!$B$6:$B$41,0)),0)</f>
        <v>711.285714285714</v>
      </c>
      <c r="AB334" s="18" t="n">
        <f aca="false">IF($Z334&lt;=0,0,$Z334/$AA334)</f>
        <v>0</v>
      </c>
      <c r="AC334" s="16" t="n">
        <f aca="false">IFERROR(INDEX(SEMANAS!$K$6:$K$71,MATCH($B334,SEMANAS!$B$6:$B$71,0)),0)</f>
        <v>147</v>
      </c>
      <c r="AD334" s="19" t="n">
        <f aca="false">IF($AC334&lt;=0,0,$AB334/$AC334)</f>
        <v>0</v>
      </c>
      <c r="AE334" s="8" t="str">
        <f aca="false">IF($K334="SEM CULTURA","SEM CULTURA",IF($AA334&lt;=0,"DADO PENDENTE",IF($AD334&gt;LIMITE_CRITICO,"INVIAVEL",IF($AD334&gt;LIMITE_ATENCAO,"CRITICO",IF($AD334&gt;LIMITE_CONFORTAVEL,"ATENCAO","OK")))))</f>
        <v>SEM CULTURA</v>
      </c>
      <c r="AF334" s="8" t="str">
        <f aca="false">$B334&amp;"|"&amp;TEXT($AD334,"0.000000")</f>
        <v>65|0.000000</v>
      </c>
      <c r="AG334" s="18" t="n">
        <f aca="false">IF($K334="SEM CULTURA",0,$T334*$H334)</f>
        <v>0</v>
      </c>
      <c r="AH334" s="18" t="n">
        <f aca="false">IF($K334="SEM CULTURA",0,$V334*$H334)</f>
        <v>0</v>
      </c>
      <c r="AI334" s="18" t="n">
        <f aca="false">IF($K334="SEM CULTURA",0,$W334*$H334)</f>
        <v>0</v>
      </c>
      <c r="AJ334" s="18" t="n">
        <f aca="false">IF($K334="SEM CULTURA",0,$S334*$H334)</f>
        <v>0</v>
      </c>
      <c r="AK334" s="8" t="str">
        <f aca="false">$E334&amp;"|"&amp;TEXT($AD334,"0.000000")</f>
        <v>PV 107|0.000000</v>
      </c>
    </row>
    <row r="335" customFormat="false" ht="15" hidden="false" customHeight="false" outlineLevel="0" collapsed="false">
      <c r="B335" s="16" t="n">
        <v>66</v>
      </c>
      <c r="C335" s="17" t="n">
        <f aca="false">DATA_INICIO_SAFRA+($B335-1)*DIAS_POR_SEMANA</f>
        <v>46720</v>
      </c>
      <c r="D335" s="17" t="n">
        <f aca="false">$C335+DIAS_POR_SEMANA-1</f>
        <v>46726</v>
      </c>
      <c r="E335" s="15" t="s">
        <v>263</v>
      </c>
      <c r="F335" s="8" t="str">
        <f aca="false">IFERROR(INDEX(CADASTRO_PIVOS!$C$6:$C$41,MATCH($E335,CADASTRO_PIVOS!$B$6:$B$41,0)),"?")</f>
        <v>RM03</v>
      </c>
      <c r="G335" s="8" t="str">
        <f aca="false">IFERROR(INDEX(CADASTRO_PIVOS!$D$6:$D$41,MATCH($E335,CADASTRO_PIVOS!$B$6:$B$41,0)),"?")</f>
        <v>TR03</v>
      </c>
      <c r="H335" s="20" t="n">
        <f aca="false">IFERROR(INDEX(CADASTRO_PIVOS!$E$6:$E$41,MATCH($E335,CADASTRO_PIVOS!$B$6:$B$41,0)),0)</f>
        <v>99.58</v>
      </c>
      <c r="I335" s="16" t="n">
        <f aca="false">IFERROR(SUMIFS(ROTACAO_RDM!$B$6:$B$71,ROTACAO_RDM!$D$6:$D$71,$E335,ROTACAO_RDM!$I$6:$I$71,"&lt;="&amp;$C335+INT(DIAS_POR_SEMANA/2),ROTACAO_RDM!$J$6:$J$71,"&gt;="&amp;$C335+INT(DIAS_POR_SEMANA/2)),0)</f>
        <v>0</v>
      </c>
      <c r="J335" s="16" t="n">
        <f aca="false">IFERROR(MATCH($I335,ROTACAO_RDM!$B$6:$B$71,0),0)</f>
        <v>0</v>
      </c>
      <c r="K335" s="8" t="str">
        <f aca="false">IF($J335=0,"SEM CULTURA",INDEX(ROTACAO_RDM!$F$6:$F$71,$J335))</f>
        <v>SEM CULTURA</v>
      </c>
      <c r="L335" s="8" t="str">
        <f aca="false">IF($J335=0,"",INDEX(ROTACAO_RDM!$G$6:$G$71,$J335))</f>
        <v/>
      </c>
      <c r="M335" s="17" t="str">
        <f aca="false">IF($J335=0,"",INDEX(ROTACAO_RDM!$I$6:$I$71,$J335))</f>
        <v/>
      </c>
      <c r="N335" s="16" t="n">
        <f aca="false">IF($J335=0,0,MAX(0,$C335+INT(DIAS_POR_SEMANA/2)-INDEX(ROTACAO_RDM!$I$6:$I$71,$J335)))</f>
        <v>0</v>
      </c>
      <c r="O335" s="19" t="n">
        <f aca="false">IF($J335=0,0,MIN(1,$N335/MAX(1,INDEX(ROTACAO_RDM!$K$6:$K$71,$J335))))</f>
        <v>0</v>
      </c>
      <c r="P335" s="16" t="n">
        <f aca="false">IF($J335=0,0,IFERROR(MATCH(INDEX(ROTACAO_RDM!$N$6:$N$71,$J335),PARAMETROS_CULTURAS!$B$6:$B$28,0),0))</f>
        <v>0</v>
      </c>
      <c r="Q335" s="8" t="str">
        <f aca="false">IF($P335=0,"-",IF($O335&lt;=INDEX(PARAMETROS_CULTURAS!$F$6:$F$28,$P335),"INICIAL",IF($O335&lt;=INDEX(PARAMETROS_CULTURAS!$F$6:$F$28,$P335)+INDEX(PARAMETROS_CULTURAS!$G$6:$G$28,$P335),"DESENVOLVIMENTO",IF($O335&lt;=INDEX(PARAMETROS_CULTURAS!$F$6:$F$28,$P335)+INDEX(PARAMETROS_CULTURAS!$G$6:$G$28,$P335)+INDEX(PARAMETROS_CULTURAS!$H$6:$H$28,$P335),"MEDIA","FINAL"))))</f>
        <v>-</v>
      </c>
      <c r="R335" s="24" t="n">
        <f aca="false">IF($P335=0,0,IF($O335&lt;=INDEX(PARAMETROS_CULTURAS!$F$6:$F$28,$P335),INDEX(PARAMETROS_CULTURAS!$K$6:$K$28,$P335),IF($O335&lt;=INDEX(PARAMETROS_CULTURAS!$F$6:$F$28,$P335)+INDEX(PARAMETROS_CULTURAS!$G$6:$G$28,$P335),INDEX(PARAMETROS_CULTURAS!$K$6:$K$28,$P335)+(INDEX(PARAMETROS_CULTURAS!$L$6:$L$28,$P335)-INDEX(PARAMETROS_CULTURAS!$K$6:$K$28,$P335))*($O335-INDEX(PARAMETROS_CULTURAS!$F$6:$F$28,$P335))/MAX(INDEX(PARAMETROS_CULTURAS!$G$6:$G$28,$P335),0.0001),IF($O335&lt;=INDEX(PARAMETROS_CULTURAS!$F$6:$F$28,$P335)+INDEX(PARAMETROS_CULTURAS!$G$6:$G$28,$P335)+INDEX(PARAMETROS_CULTURAS!$H$6:$H$28,$P335),INDEX(PARAMETROS_CULTURAS!$L$6:$L$28,$P335),INDEX(PARAMETROS_CULTURAS!$L$6:$L$28,$P335)+(INDEX(PARAMETROS_CULTURAS!$M$6:$M$28,$P335)-INDEX(PARAMETROS_CULTURAS!$L$6:$L$28,$P335))*($O335-INDEX(PARAMETROS_CULTURAS!$F$6:$F$28,$P335)-INDEX(PARAMETROS_CULTURAS!$G$6:$G$28,$P335)-INDEX(PARAMETROS_CULTURAS!$H$6:$H$28,$P335))/MAX(INDEX(PARAMETROS_CULTURAS!$I$6:$I$28,$P335),0.0001)))))</f>
        <v>0</v>
      </c>
      <c r="S335" s="18" t="n">
        <f aca="false">IFERROR(INDEX(SEMANAS!$H$6:$H$71,MATCH($B335,SEMANAS!$B$6:$B$71,0)),0)</f>
        <v>33.3</v>
      </c>
      <c r="T335" s="18" t="n">
        <f aca="false">$R335*$S335</f>
        <v>0</v>
      </c>
      <c r="U335" s="18" t="n">
        <f aca="false">IFERROR(INDEX(SEMANAS!$I$6:$I$71,MATCH($B335,SEMANAS!$B$6:$B$71,0)),0)</f>
        <v>48.04</v>
      </c>
      <c r="V335" s="18" t="n">
        <f aca="false">IFERROR(INDEX(SEMANAS!$J$6:$J$71,MATCH($B335,SEMANAS!$B$6:$B$71,0)),0)</f>
        <v>38.432</v>
      </c>
      <c r="W335" s="18" t="n">
        <f aca="false">MAX(0,$T335-$V335)</f>
        <v>0</v>
      </c>
      <c r="X335" s="19" t="n">
        <f aca="false">IFERROR(INDEX(CADASTRO_PIVOS!$K$6:$K$41,MATCH($E335,CADASTRO_PIVOS!$B$6:$B$41,0)),EFICIENCIA_PADRAO)</f>
        <v>0.85</v>
      </c>
      <c r="Y335" s="18" t="n">
        <f aca="false">IF($X335&lt;=0,0,$W335/$X335)</f>
        <v>0</v>
      </c>
      <c r="Z335" s="16" t="n">
        <f aca="false">$Y335*$H335*MM_PARA_M3_HA</f>
        <v>0</v>
      </c>
      <c r="AA335" s="18" t="n">
        <f aca="false">IFERROR(INDEX(CADASTRO_PIVOS!$I$6:$I$41,MATCH($E335,CADASTRO_PIVOS!$B$6:$B$41,0)),0)</f>
        <v>711.285714285714</v>
      </c>
      <c r="AB335" s="18" t="n">
        <f aca="false">IF($Z335&lt;=0,0,$Z335/$AA335)</f>
        <v>0</v>
      </c>
      <c r="AC335" s="16" t="n">
        <f aca="false">IFERROR(INDEX(SEMANAS!$K$6:$K$71,MATCH($B335,SEMANAS!$B$6:$B$71,0)),0)</f>
        <v>147</v>
      </c>
      <c r="AD335" s="19" t="n">
        <f aca="false">IF($AC335&lt;=0,0,$AB335/$AC335)</f>
        <v>0</v>
      </c>
      <c r="AE335" s="8" t="str">
        <f aca="false">IF($K335="SEM CULTURA","SEM CULTURA",IF($AA335&lt;=0,"DADO PENDENTE",IF($AD335&gt;LIMITE_CRITICO,"INVIAVEL",IF($AD335&gt;LIMITE_ATENCAO,"CRITICO",IF($AD335&gt;LIMITE_CONFORTAVEL,"ATENCAO","OK")))))</f>
        <v>SEM CULTURA</v>
      </c>
      <c r="AF335" s="8" t="str">
        <f aca="false">$B335&amp;"|"&amp;TEXT($AD335,"0.000000")</f>
        <v>66|0.000000</v>
      </c>
      <c r="AG335" s="18" t="n">
        <f aca="false">IF($K335="SEM CULTURA",0,$T335*$H335)</f>
        <v>0</v>
      </c>
      <c r="AH335" s="18" t="n">
        <f aca="false">IF($K335="SEM CULTURA",0,$V335*$H335)</f>
        <v>0</v>
      </c>
      <c r="AI335" s="18" t="n">
        <f aca="false">IF($K335="SEM CULTURA",0,$W335*$H335)</f>
        <v>0</v>
      </c>
      <c r="AJ335" s="18" t="n">
        <f aca="false">IF($K335="SEM CULTURA",0,$S335*$H335)</f>
        <v>0</v>
      </c>
      <c r="AK335" s="8" t="str">
        <f aca="false">$E335&amp;"|"&amp;TEXT($AD335,"0.000000")</f>
        <v>PV 107|0.000000</v>
      </c>
    </row>
    <row r="336" customFormat="false" ht="15" hidden="false" customHeight="false" outlineLevel="0" collapsed="false">
      <c r="B336" s="16" t="n">
        <v>1</v>
      </c>
      <c r="C336" s="17" t="n">
        <f aca="false">DATA_INICIO_SAFRA+($B336-1)*DIAS_POR_SEMANA</f>
        <v>46265</v>
      </c>
      <c r="D336" s="17" t="n">
        <f aca="false">$C336+DIAS_POR_SEMANA-1</f>
        <v>46271</v>
      </c>
      <c r="E336" s="15" t="s">
        <v>264</v>
      </c>
      <c r="F336" s="8" t="str">
        <f aca="false">IFERROR(INDEX(CADASTRO_PIVOS!$C$6:$C$41,MATCH($E336,CADASTRO_PIVOS!$B$6:$B$41,0)),"?")</f>
        <v>RM04</v>
      </c>
      <c r="G336" s="8" t="str">
        <f aca="false">IFERROR(INDEX(CADASTRO_PIVOS!$D$6:$D$41,MATCH($E336,CADASTRO_PIVOS!$B$6:$B$41,0)),"?")</f>
        <v>TR04</v>
      </c>
      <c r="H336" s="20" t="n">
        <f aca="false">IFERROR(INDEX(CADASTRO_PIVOS!$E$6:$E$41,MATCH($E336,CADASTRO_PIVOS!$B$6:$B$41,0)),0)</f>
        <v>129.16</v>
      </c>
      <c r="I336" s="16" t="n">
        <f aca="false">IFERROR(SUMIFS(ROTACAO_RDM!$B$6:$B$71,ROTACAO_RDM!$D$6:$D$71,$E336,ROTACAO_RDM!$I$6:$I$71,"&lt;="&amp;$C336+INT(DIAS_POR_SEMANA/2),ROTACAO_RDM!$J$6:$J$71,"&gt;="&amp;$C336+INT(DIAS_POR_SEMANA/2)),0)</f>
        <v>0</v>
      </c>
      <c r="J336" s="16" t="n">
        <f aca="false">IFERROR(MATCH($I336,ROTACAO_RDM!$B$6:$B$71,0),0)</f>
        <v>0</v>
      </c>
      <c r="K336" s="8" t="str">
        <f aca="false">IF($J336=0,"SEM CULTURA",INDEX(ROTACAO_RDM!$F$6:$F$71,$J336))</f>
        <v>SEM CULTURA</v>
      </c>
      <c r="L336" s="8" t="str">
        <f aca="false">IF($J336=0,"",INDEX(ROTACAO_RDM!$G$6:$G$71,$J336))</f>
        <v/>
      </c>
      <c r="M336" s="17" t="str">
        <f aca="false">IF($J336=0,"",INDEX(ROTACAO_RDM!$I$6:$I$71,$J336))</f>
        <v/>
      </c>
      <c r="N336" s="16" t="n">
        <f aca="false">IF($J336=0,0,MAX(0,$C336+INT(DIAS_POR_SEMANA/2)-INDEX(ROTACAO_RDM!$I$6:$I$71,$J336)))</f>
        <v>0</v>
      </c>
      <c r="O336" s="19" t="n">
        <f aca="false">IF($J336=0,0,MIN(1,$N336/MAX(1,INDEX(ROTACAO_RDM!$K$6:$K$71,$J336))))</f>
        <v>0</v>
      </c>
      <c r="P336" s="16" t="n">
        <f aca="false">IF($J336=0,0,IFERROR(MATCH(INDEX(ROTACAO_RDM!$N$6:$N$71,$J336),PARAMETROS_CULTURAS!$B$6:$B$28,0),0))</f>
        <v>0</v>
      </c>
      <c r="Q336" s="8" t="str">
        <f aca="false">IF($P336=0,"-",IF($O336&lt;=INDEX(PARAMETROS_CULTURAS!$F$6:$F$28,$P336),"INICIAL",IF($O336&lt;=INDEX(PARAMETROS_CULTURAS!$F$6:$F$28,$P336)+INDEX(PARAMETROS_CULTURAS!$G$6:$G$28,$P336),"DESENVOLVIMENTO",IF($O336&lt;=INDEX(PARAMETROS_CULTURAS!$F$6:$F$28,$P336)+INDEX(PARAMETROS_CULTURAS!$G$6:$G$28,$P336)+INDEX(PARAMETROS_CULTURAS!$H$6:$H$28,$P336),"MEDIA","FINAL"))))</f>
        <v>-</v>
      </c>
      <c r="R336" s="24" t="n">
        <f aca="false">IF($P336=0,0,IF($O336&lt;=INDEX(PARAMETROS_CULTURAS!$F$6:$F$28,$P336),INDEX(PARAMETROS_CULTURAS!$K$6:$K$28,$P336),IF($O336&lt;=INDEX(PARAMETROS_CULTURAS!$F$6:$F$28,$P336)+INDEX(PARAMETROS_CULTURAS!$G$6:$G$28,$P336),INDEX(PARAMETROS_CULTURAS!$K$6:$K$28,$P336)+(INDEX(PARAMETROS_CULTURAS!$L$6:$L$28,$P336)-INDEX(PARAMETROS_CULTURAS!$K$6:$K$28,$P336))*($O336-INDEX(PARAMETROS_CULTURAS!$F$6:$F$28,$P336))/MAX(INDEX(PARAMETROS_CULTURAS!$G$6:$G$28,$P336),0.0001),IF($O336&lt;=INDEX(PARAMETROS_CULTURAS!$F$6:$F$28,$P336)+INDEX(PARAMETROS_CULTURAS!$G$6:$G$28,$P336)+INDEX(PARAMETROS_CULTURAS!$H$6:$H$28,$P336),INDEX(PARAMETROS_CULTURAS!$L$6:$L$28,$P336),INDEX(PARAMETROS_CULTURAS!$L$6:$L$28,$P336)+(INDEX(PARAMETROS_CULTURAS!$M$6:$M$28,$P336)-INDEX(PARAMETROS_CULTURAS!$L$6:$L$28,$P336))*($O336-INDEX(PARAMETROS_CULTURAS!$F$6:$F$28,$P336)-INDEX(PARAMETROS_CULTURAS!$G$6:$G$28,$P336)-INDEX(PARAMETROS_CULTURAS!$H$6:$H$28,$P336))/MAX(INDEX(PARAMETROS_CULTURAS!$I$6:$I$28,$P336),0.0001)))))</f>
        <v>0</v>
      </c>
      <c r="S336" s="18" t="n">
        <f aca="false">IFERROR(INDEX(SEMANAS!$H$6:$H$71,MATCH($B336,SEMANAS!$B$6:$B$71,0)),0)</f>
        <v>40</v>
      </c>
      <c r="T336" s="18" t="n">
        <f aca="false">$R336*$S336</f>
        <v>0</v>
      </c>
      <c r="U336" s="18" t="n">
        <f aca="false">IFERROR(INDEX(SEMANAS!$I$6:$I$71,MATCH($B336,SEMANAS!$B$6:$B$71,0)),0)</f>
        <v>6.16</v>
      </c>
      <c r="V336" s="18" t="n">
        <f aca="false">IFERROR(INDEX(SEMANAS!$J$6:$J$71,MATCH($B336,SEMANAS!$B$6:$B$71,0)),0)</f>
        <v>4.928</v>
      </c>
      <c r="W336" s="18" t="n">
        <f aca="false">MAX(0,$T336-$V336)</f>
        <v>0</v>
      </c>
      <c r="X336" s="19" t="n">
        <f aca="false">IFERROR(INDEX(CADASTRO_PIVOS!$K$6:$K$41,MATCH($E336,CADASTRO_PIVOS!$B$6:$B$41,0)),EFICIENCIA_PADRAO)</f>
        <v>0.85</v>
      </c>
      <c r="Y336" s="18" t="n">
        <f aca="false">IF($X336&lt;=0,0,$W336/$X336)</f>
        <v>0</v>
      </c>
      <c r="Z336" s="16" t="n">
        <f aca="false">$Y336*$H336*MM_PARA_M3_HA</f>
        <v>0</v>
      </c>
      <c r="AA336" s="18" t="n">
        <f aca="false">IFERROR(INDEX(CADASTRO_PIVOS!$I$6:$I$41,MATCH($E336,CADASTRO_PIVOS!$B$6:$B$41,0)),0)</f>
        <v>922.571428571429</v>
      </c>
      <c r="AB336" s="18" t="n">
        <f aca="false">IF($Z336&lt;=0,0,$Z336/$AA336)</f>
        <v>0</v>
      </c>
      <c r="AC336" s="16" t="n">
        <f aca="false">IFERROR(INDEX(SEMANAS!$K$6:$K$71,MATCH($B336,SEMANAS!$B$6:$B$71,0)),0)</f>
        <v>147</v>
      </c>
      <c r="AD336" s="19" t="n">
        <f aca="false">IF($AC336&lt;=0,0,$AB336/$AC336)</f>
        <v>0</v>
      </c>
      <c r="AE336" s="8" t="str">
        <f aca="false">IF($K336="SEM CULTURA","SEM CULTURA",IF($AA336&lt;=0,"DADO PENDENTE",IF($AD336&gt;LIMITE_CRITICO,"INVIAVEL",IF($AD336&gt;LIMITE_ATENCAO,"CRITICO",IF($AD336&gt;LIMITE_CONFORTAVEL,"ATENCAO","OK")))))</f>
        <v>SEM CULTURA</v>
      </c>
      <c r="AF336" s="8" t="str">
        <f aca="false">$B336&amp;"|"&amp;TEXT($AD336,"0.000000")</f>
        <v>1|0.000000</v>
      </c>
      <c r="AG336" s="18" t="n">
        <f aca="false">IF($K336="SEM CULTURA",0,$T336*$H336)</f>
        <v>0</v>
      </c>
      <c r="AH336" s="18" t="n">
        <f aca="false">IF($K336="SEM CULTURA",0,$V336*$H336)</f>
        <v>0</v>
      </c>
      <c r="AI336" s="18" t="n">
        <f aca="false">IF($K336="SEM CULTURA",0,$W336*$H336)</f>
        <v>0</v>
      </c>
      <c r="AJ336" s="18" t="n">
        <f aca="false">IF($K336="SEM CULTURA",0,$S336*$H336)</f>
        <v>0</v>
      </c>
      <c r="AK336" s="8" t="str">
        <f aca="false">$E336&amp;"|"&amp;TEXT($AD336,"0.000000")</f>
        <v>PV 101|0.000000</v>
      </c>
    </row>
    <row r="337" customFormat="false" ht="15" hidden="false" customHeight="false" outlineLevel="0" collapsed="false">
      <c r="B337" s="16" t="n">
        <v>2</v>
      </c>
      <c r="C337" s="17" t="n">
        <f aca="false">DATA_INICIO_SAFRA+($B337-1)*DIAS_POR_SEMANA</f>
        <v>46272</v>
      </c>
      <c r="D337" s="17" t="n">
        <f aca="false">$C337+DIAS_POR_SEMANA-1</f>
        <v>46278</v>
      </c>
      <c r="E337" s="15" t="s">
        <v>264</v>
      </c>
      <c r="F337" s="8" t="str">
        <f aca="false">IFERROR(INDEX(CADASTRO_PIVOS!$C$6:$C$41,MATCH($E337,CADASTRO_PIVOS!$B$6:$B$41,0)),"?")</f>
        <v>RM04</v>
      </c>
      <c r="G337" s="8" t="str">
        <f aca="false">IFERROR(INDEX(CADASTRO_PIVOS!$D$6:$D$41,MATCH($E337,CADASTRO_PIVOS!$B$6:$B$41,0)),"?")</f>
        <v>TR04</v>
      </c>
      <c r="H337" s="20" t="n">
        <f aca="false">IFERROR(INDEX(CADASTRO_PIVOS!$E$6:$E$41,MATCH($E337,CADASTRO_PIVOS!$B$6:$B$41,0)),0)</f>
        <v>129.16</v>
      </c>
      <c r="I337" s="16" t="n">
        <f aca="false">IFERROR(SUMIFS(ROTACAO_RDM!$B$6:$B$71,ROTACAO_RDM!$D$6:$D$71,$E337,ROTACAO_RDM!$I$6:$I$71,"&lt;="&amp;$C337+INT(DIAS_POR_SEMANA/2),ROTACAO_RDM!$J$6:$J$71,"&gt;="&amp;$C337+INT(DIAS_POR_SEMANA/2)),0)</f>
        <v>0</v>
      </c>
      <c r="J337" s="16" t="n">
        <f aca="false">IFERROR(MATCH($I337,ROTACAO_RDM!$B$6:$B$71,0),0)</f>
        <v>0</v>
      </c>
      <c r="K337" s="8" t="str">
        <f aca="false">IF($J337=0,"SEM CULTURA",INDEX(ROTACAO_RDM!$F$6:$F$71,$J337))</f>
        <v>SEM CULTURA</v>
      </c>
      <c r="L337" s="8" t="str">
        <f aca="false">IF($J337=0,"",INDEX(ROTACAO_RDM!$G$6:$G$71,$J337))</f>
        <v/>
      </c>
      <c r="M337" s="17" t="str">
        <f aca="false">IF($J337=0,"",INDEX(ROTACAO_RDM!$I$6:$I$71,$J337))</f>
        <v/>
      </c>
      <c r="N337" s="16" t="n">
        <f aca="false">IF($J337=0,0,MAX(0,$C337+INT(DIAS_POR_SEMANA/2)-INDEX(ROTACAO_RDM!$I$6:$I$71,$J337)))</f>
        <v>0</v>
      </c>
      <c r="O337" s="19" t="n">
        <f aca="false">IF($J337=0,0,MIN(1,$N337/MAX(1,INDEX(ROTACAO_RDM!$K$6:$K$71,$J337))))</f>
        <v>0</v>
      </c>
      <c r="P337" s="16" t="n">
        <f aca="false">IF($J337=0,0,IFERROR(MATCH(INDEX(ROTACAO_RDM!$N$6:$N$71,$J337),PARAMETROS_CULTURAS!$B$6:$B$28,0),0))</f>
        <v>0</v>
      </c>
      <c r="Q337" s="8" t="str">
        <f aca="false">IF($P337=0,"-",IF($O337&lt;=INDEX(PARAMETROS_CULTURAS!$F$6:$F$28,$P337),"INICIAL",IF($O337&lt;=INDEX(PARAMETROS_CULTURAS!$F$6:$F$28,$P337)+INDEX(PARAMETROS_CULTURAS!$G$6:$G$28,$P337),"DESENVOLVIMENTO",IF($O337&lt;=INDEX(PARAMETROS_CULTURAS!$F$6:$F$28,$P337)+INDEX(PARAMETROS_CULTURAS!$G$6:$G$28,$P337)+INDEX(PARAMETROS_CULTURAS!$H$6:$H$28,$P337),"MEDIA","FINAL"))))</f>
        <v>-</v>
      </c>
      <c r="R337" s="24" t="n">
        <f aca="false">IF($P337=0,0,IF($O337&lt;=INDEX(PARAMETROS_CULTURAS!$F$6:$F$28,$P337),INDEX(PARAMETROS_CULTURAS!$K$6:$K$28,$P337),IF($O337&lt;=INDEX(PARAMETROS_CULTURAS!$F$6:$F$28,$P337)+INDEX(PARAMETROS_CULTURAS!$G$6:$G$28,$P337),INDEX(PARAMETROS_CULTURAS!$K$6:$K$28,$P337)+(INDEX(PARAMETROS_CULTURAS!$L$6:$L$28,$P337)-INDEX(PARAMETROS_CULTURAS!$K$6:$K$28,$P337))*($O337-INDEX(PARAMETROS_CULTURAS!$F$6:$F$28,$P337))/MAX(INDEX(PARAMETROS_CULTURAS!$G$6:$G$28,$P337),0.0001),IF($O337&lt;=INDEX(PARAMETROS_CULTURAS!$F$6:$F$28,$P337)+INDEX(PARAMETROS_CULTURAS!$G$6:$G$28,$P337)+INDEX(PARAMETROS_CULTURAS!$H$6:$H$28,$P337),INDEX(PARAMETROS_CULTURAS!$L$6:$L$28,$P337),INDEX(PARAMETROS_CULTURAS!$L$6:$L$28,$P337)+(INDEX(PARAMETROS_CULTURAS!$M$6:$M$28,$P337)-INDEX(PARAMETROS_CULTURAS!$L$6:$L$28,$P337))*($O337-INDEX(PARAMETROS_CULTURAS!$F$6:$F$28,$P337)-INDEX(PARAMETROS_CULTURAS!$G$6:$G$28,$P337)-INDEX(PARAMETROS_CULTURAS!$H$6:$H$28,$P337))/MAX(INDEX(PARAMETROS_CULTURAS!$I$6:$I$28,$P337),0.0001)))))</f>
        <v>0</v>
      </c>
      <c r="S337" s="18" t="n">
        <f aca="false">IFERROR(INDEX(SEMANAS!$H$6:$H$71,MATCH($B337,SEMANAS!$B$6:$B$71,0)),0)</f>
        <v>40.6</v>
      </c>
      <c r="T337" s="18" t="n">
        <f aca="false">$R337*$S337</f>
        <v>0</v>
      </c>
      <c r="U337" s="18" t="n">
        <f aca="false">IFERROR(INDEX(SEMANAS!$I$6:$I$71,MATCH($B337,SEMANAS!$B$6:$B$71,0)),0)</f>
        <v>7</v>
      </c>
      <c r="V337" s="18" t="n">
        <f aca="false">IFERROR(INDEX(SEMANAS!$J$6:$J$71,MATCH($B337,SEMANAS!$B$6:$B$71,0)),0)</f>
        <v>5.6</v>
      </c>
      <c r="W337" s="18" t="n">
        <f aca="false">MAX(0,$T337-$V337)</f>
        <v>0</v>
      </c>
      <c r="X337" s="19" t="n">
        <f aca="false">IFERROR(INDEX(CADASTRO_PIVOS!$K$6:$K$41,MATCH($E337,CADASTRO_PIVOS!$B$6:$B$41,0)),EFICIENCIA_PADRAO)</f>
        <v>0.85</v>
      </c>
      <c r="Y337" s="18" t="n">
        <f aca="false">IF($X337&lt;=0,0,$W337/$X337)</f>
        <v>0</v>
      </c>
      <c r="Z337" s="16" t="n">
        <f aca="false">$Y337*$H337*MM_PARA_M3_HA</f>
        <v>0</v>
      </c>
      <c r="AA337" s="18" t="n">
        <f aca="false">IFERROR(INDEX(CADASTRO_PIVOS!$I$6:$I$41,MATCH($E337,CADASTRO_PIVOS!$B$6:$B$41,0)),0)</f>
        <v>922.571428571429</v>
      </c>
      <c r="AB337" s="18" t="n">
        <f aca="false">IF($Z337&lt;=0,0,$Z337/$AA337)</f>
        <v>0</v>
      </c>
      <c r="AC337" s="16" t="n">
        <f aca="false">IFERROR(INDEX(SEMANAS!$K$6:$K$71,MATCH($B337,SEMANAS!$B$6:$B$71,0)),0)</f>
        <v>147</v>
      </c>
      <c r="AD337" s="19" t="n">
        <f aca="false">IF($AC337&lt;=0,0,$AB337/$AC337)</f>
        <v>0</v>
      </c>
      <c r="AE337" s="8" t="str">
        <f aca="false">IF($K337="SEM CULTURA","SEM CULTURA",IF($AA337&lt;=0,"DADO PENDENTE",IF($AD337&gt;LIMITE_CRITICO,"INVIAVEL",IF($AD337&gt;LIMITE_ATENCAO,"CRITICO",IF($AD337&gt;LIMITE_CONFORTAVEL,"ATENCAO","OK")))))</f>
        <v>SEM CULTURA</v>
      </c>
      <c r="AF337" s="8" t="str">
        <f aca="false">$B337&amp;"|"&amp;TEXT($AD337,"0.000000")</f>
        <v>2|0.000000</v>
      </c>
      <c r="AG337" s="18" t="n">
        <f aca="false">IF($K337="SEM CULTURA",0,$T337*$H337)</f>
        <v>0</v>
      </c>
      <c r="AH337" s="18" t="n">
        <f aca="false">IF($K337="SEM CULTURA",0,$V337*$H337)</f>
        <v>0</v>
      </c>
      <c r="AI337" s="18" t="n">
        <f aca="false">IF($K337="SEM CULTURA",0,$W337*$H337)</f>
        <v>0</v>
      </c>
      <c r="AJ337" s="18" t="n">
        <f aca="false">IF($K337="SEM CULTURA",0,$S337*$H337)</f>
        <v>0</v>
      </c>
      <c r="AK337" s="8" t="str">
        <f aca="false">$E337&amp;"|"&amp;TEXT($AD337,"0.000000")</f>
        <v>PV 101|0.000000</v>
      </c>
    </row>
    <row r="338" customFormat="false" ht="15" hidden="false" customHeight="false" outlineLevel="0" collapsed="false">
      <c r="B338" s="16" t="n">
        <v>3</v>
      </c>
      <c r="C338" s="17" t="n">
        <f aca="false">DATA_INICIO_SAFRA+($B338-1)*DIAS_POR_SEMANA</f>
        <v>46279</v>
      </c>
      <c r="D338" s="17" t="n">
        <f aca="false">$C338+DIAS_POR_SEMANA-1</f>
        <v>46285</v>
      </c>
      <c r="E338" s="15" t="s">
        <v>264</v>
      </c>
      <c r="F338" s="8" t="str">
        <f aca="false">IFERROR(INDEX(CADASTRO_PIVOS!$C$6:$C$41,MATCH($E338,CADASTRO_PIVOS!$B$6:$B$41,0)),"?")</f>
        <v>RM04</v>
      </c>
      <c r="G338" s="8" t="str">
        <f aca="false">IFERROR(INDEX(CADASTRO_PIVOS!$D$6:$D$41,MATCH($E338,CADASTRO_PIVOS!$B$6:$B$41,0)),"?")</f>
        <v>TR04</v>
      </c>
      <c r="H338" s="20" t="n">
        <f aca="false">IFERROR(INDEX(CADASTRO_PIVOS!$E$6:$E$41,MATCH($E338,CADASTRO_PIVOS!$B$6:$B$41,0)),0)</f>
        <v>129.16</v>
      </c>
      <c r="I338" s="16" t="n">
        <f aca="false">IFERROR(SUMIFS(ROTACAO_RDM!$B$6:$B$71,ROTACAO_RDM!$D$6:$D$71,$E338,ROTACAO_RDM!$I$6:$I$71,"&lt;="&amp;$C338+INT(DIAS_POR_SEMANA/2),ROTACAO_RDM!$J$6:$J$71,"&gt;="&amp;$C338+INT(DIAS_POR_SEMANA/2)),0)</f>
        <v>0</v>
      </c>
      <c r="J338" s="16" t="n">
        <f aca="false">IFERROR(MATCH($I338,ROTACAO_RDM!$B$6:$B$71,0),0)</f>
        <v>0</v>
      </c>
      <c r="K338" s="8" t="str">
        <f aca="false">IF($J338=0,"SEM CULTURA",INDEX(ROTACAO_RDM!$F$6:$F$71,$J338))</f>
        <v>SEM CULTURA</v>
      </c>
      <c r="L338" s="8" t="str">
        <f aca="false">IF($J338=0,"",INDEX(ROTACAO_RDM!$G$6:$G$71,$J338))</f>
        <v/>
      </c>
      <c r="M338" s="17" t="str">
        <f aca="false">IF($J338=0,"",INDEX(ROTACAO_RDM!$I$6:$I$71,$J338))</f>
        <v/>
      </c>
      <c r="N338" s="16" t="n">
        <f aca="false">IF($J338=0,0,MAX(0,$C338+INT(DIAS_POR_SEMANA/2)-INDEX(ROTACAO_RDM!$I$6:$I$71,$J338)))</f>
        <v>0</v>
      </c>
      <c r="O338" s="19" t="n">
        <f aca="false">IF($J338=0,0,MIN(1,$N338/MAX(1,INDEX(ROTACAO_RDM!$K$6:$K$71,$J338))))</f>
        <v>0</v>
      </c>
      <c r="P338" s="16" t="n">
        <f aca="false">IF($J338=0,0,IFERROR(MATCH(INDEX(ROTACAO_RDM!$N$6:$N$71,$J338),PARAMETROS_CULTURAS!$B$6:$B$28,0),0))</f>
        <v>0</v>
      </c>
      <c r="Q338" s="8" t="str">
        <f aca="false">IF($P338=0,"-",IF($O338&lt;=INDEX(PARAMETROS_CULTURAS!$F$6:$F$28,$P338),"INICIAL",IF($O338&lt;=INDEX(PARAMETROS_CULTURAS!$F$6:$F$28,$P338)+INDEX(PARAMETROS_CULTURAS!$G$6:$G$28,$P338),"DESENVOLVIMENTO",IF($O338&lt;=INDEX(PARAMETROS_CULTURAS!$F$6:$F$28,$P338)+INDEX(PARAMETROS_CULTURAS!$G$6:$G$28,$P338)+INDEX(PARAMETROS_CULTURAS!$H$6:$H$28,$P338),"MEDIA","FINAL"))))</f>
        <v>-</v>
      </c>
      <c r="R338" s="24" t="n">
        <f aca="false">IF($P338=0,0,IF($O338&lt;=INDEX(PARAMETROS_CULTURAS!$F$6:$F$28,$P338),INDEX(PARAMETROS_CULTURAS!$K$6:$K$28,$P338),IF($O338&lt;=INDEX(PARAMETROS_CULTURAS!$F$6:$F$28,$P338)+INDEX(PARAMETROS_CULTURAS!$G$6:$G$28,$P338),INDEX(PARAMETROS_CULTURAS!$K$6:$K$28,$P338)+(INDEX(PARAMETROS_CULTURAS!$L$6:$L$28,$P338)-INDEX(PARAMETROS_CULTURAS!$K$6:$K$28,$P338))*($O338-INDEX(PARAMETROS_CULTURAS!$F$6:$F$28,$P338))/MAX(INDEX(PARAMETROS_CULTURAS!$G$6:$G$28,$P338),0.0001),IF($O338&lt;=INDEX(PARAMETROS_CULTURAS!$F$6:$F$28,$P338)+INDEX(PARAMETROS_CULTURAS!$G$6:$G$28,$P338)+INDEX(PARAMETROS_CULTURAS!$H$6:$H$28,$P338),INDEX(PARAMETROS_CULTURAS!$L$6:$L$28,$P338),INDEX(PARAMETROS_CULTURAS!$L$6:$L$28,$P338)+(INDEX(PARAMETROS_CULTURAS!$M$6:$M$28,$P338)-INDEX(PARAMETROS_CULTURAS!$L$6:$L$28,$P338))*($O338-INDEX(PARAMETROS_CULTURAS!$F$6:$F$28,$P338)-INDEX(PARAMETROS_CULTURAS!$G$6:$G$28,$P338)-INDEX(PARAMETROS_CULTURAS!$H$6:$H$28,$P338))/MAX(INDEX(PARAMETROS_CULTURAS!$I$6:$I$28,$P338),0.0001)))))</f>
        <v>0</v>
      </c>
      <c r="S338" s="18" t="n">
        <f aca="false">IFERROR(INDEX(SEMANAS!$H$6:$H$71,MATCH($B338,SEMANAS!$B$6:$B$71,0)),0)</f>
        <v>40.6</v>
      </c>
      <c r="T338" s="18" t="n">
        <f aca="false">$R338*$S338</f>
        <v>0</v>
      </c>
      <c r="U338" s="18" t="n">
        <f aca="false">IFERROR(INDEX(SEMANAS!$I$6:$I$71,MATCH($B338,SEMANAS!$B$6:$B$71,0)),0)</f>
        <v>7</v>
      </c>
      <c r="V338" s="18" t="n">
        <f aca="false">IFERROR(INDEX(SEMANAS!$J$6:$J$71,MATCH($B338,SEMANAS!$B$6:$B$71,0)),0)</f>
        <v>5.6</v>
      </c>
      <c r="W338" s="18" t="n">
        <f aca="false">MAX(0,$T338-$V338)</f>
        <v>0</v>
      </c>
      <c r="X338" s="19" t="n">
        <f aca="false">IFERROR(INDEX(CADASTRO_PIVOS!$K$6:$K$41,MATCH($E338,CADASTRO_PIVOS!$B$6:$B$41,0)),EFICIENCIA_PADRAO)</f>
        <v>0.85</v>
      </c>
      <c r="Y338" s="18" t="n">
        <f aca="false">IF($X338&lt;=0,0,$W338/$X338)</f>
        <v>0</v>
      </c>
      <c r="Z338" s="16" t="n">
        <f aca="false">$Y338*$H338*MM_PARA_M3_HA</f>
        <v>0</v>
      </c>
      <c r="AA338" s="18" t="n">
        <f aca="false">IFERROR(INDEX(CADASTRO_PIVOS!$I$6:$I$41,MATCH($E338,CADASTRO_PIVOS!$B$6:$B$41,0)),0)</f>
        <v>922.571428571429</v>
      </c>
      <c r="AB338" s="18" t="n">
        <f aca="false">IF($Z338&lt;=0,0,$Z338/$AA338)</f>
        <v>0</v>
      </c>
      <c r="AC338" s="16" t="n">
        <f aca="false">IFERROR(INDEX(SEMANAS!$K$6:$K$71,MATCH($B338,SEMANAS!$B$6:$B$71,0)),0)</f>
        <v>147</v>
      </c>
      <c r="AD338" s="19" t="n">
        <f aca="false">IF($AC338&lt;=0,0,$AB338/$AC338)</f>
        <v>0</v>
      </c>
      <c r="AE338" s="8" t="str">
        <f aca="false">IF($K338="SEM CULTURA","SEM CULTURA",IF($AA338&lt;=0,"DADO PENDENTE",IF($AD338&gt;LIMITE_CRITICO,"INVIAVEL",IF($AD338&gt;LIMITE_ATENCAO,"CRITICO",IF($AD338&gt;LIMITE_CONFORTAVEL,"ATENCAO","OK")))))</f>
        <v>SEM CULTURA</v>
      </c>
      <c r="AF338" s="8" t="str">
        <f aca="false">$B338&amp;"|"&amp;TEXT($AD338,"0.000000")</f>
        <v>3|0.000000</v>
      </c>
      <c r="AG338" s="18" t="n">
        <f aca="false">IF($K338="SEM CULTURA",0,$T338*$H338)</f>
        <v>0</v>
      </c>
      <c r="AH338" s="18" t="n">
        <f aca="false">IF($K338="SEM CULTURA",0,$V338*$H338)</f>
        <v>0</v>
      </c>
      <c r="AI338" s="18" t="n">
        <f aca="false">IF($K338="SEM CULTURA",0,$W338*$H338)</f>
        <v>0</v>
      </c>
      <c r="AJ338" s="18" t="n">
        <f aca="false">IF($K338="SEM CULTURA",0,$S338*$H338)</f>
        <v>0</v>
      </c>
      <c r="AK338" s="8" t="str">
        <f aca="false">$E338&amp;"|"&amp;TEXT($AD338,"0.000000")</f>
        <v>PV 101|0.000000</v>
      </c>
    </row>
    <row r="339" customFormat="false" ht="15" hidden="false" customHeight="false" outlineLevel="0" collapsed="false">
      <c r="B339" s="16" t="n">
        <v>4</v>
      </c>
      <c r="C339" s="17" t="n">
        <f aca="false">DATA_INICIO_SAFRA+($B339-1)*DIAS_POR_SEMANA</f>
        <v>46286</v>
      </c>
      <c r="D339" s="17" t="n">
        <f aca="false">$C339+DIAS_POR_SEMANA-1</f>
        <v>46292</v>
      </c>
      <c r="E339" s="15" t="s">
        <v>264</v>
      </c>
      <c r="F339" s="8" t="str">
        <f aca="false">IFERROR(INDEX(CADASTRO_PIVOS!$C$6:$C$41,MATCH($E339,CADASTRO_PIVOS!$B$6:$B$41,0)),"?")</f>
        <v>RM04</v>
      </c>
      <c r="G339" s="8" t="str">
        <f aca="false">IFERROR(INDEX(CADASTRO_PIVOS!$D$6:$D$41,MATCH($E339,CADASTRO_PIVOS!$B$6:$B$41,0)),"?")</f>
        <v>TR04</v>
      </c>
      <c r="H339" s="20" t="n">
        <f aca="false">IFERROR(INDEX(CADASTRO_PIVOS!$E$6:$E$41,MATCH($E339,CADASTRO_PIVOS!$B$6:$B$41,0)),0)</f>
        <v>129.16</v>
      </c>
      <c r="I339" s="16" t="n">
        <f aca="false">IFERROR(SUMIFS(ROTACAO_RDM!$B$6:$B$71,ROTACAO_RDM!$D$6:$D$71,$E339,ROTACAO_RDM!$I$6:$I$71,"&lt;="&amp;$C339+INT(DIAS_POR_SEMANA/2),ROTACAO_RDM!$J$6:$J$71,"&gt;="&amp;$C339+INT(DIAS_POR_SEMANA/2)),0)</f>
        <v>0</v>
      </c>
      <c r="J339" s="16" t="n">
        <f aca="false">IFERROR(MATCH($I339,ROTACAO_RDM!$B$6:$B$71,0),0)</f>
        <v>0</v>
      </c>
      <c r="K339" s="8" t="str">
        <f aca="false">IF($J339=0,"SEM CULTURA",INDEX(ROTACAO_RDM!$F$6:$F$71,$J339))</f>
        <v>SEM CULTURA</v>
      </c>
      <c r="L339" s="8" t="str">
        <f aca="false">IF($J339=0,"",INDEX(ROTACAO_RDM!$G$6:$G$71,$J339))</f>
        <v/>
      </c>
      <c r="M339" s="17" t="str">
        <f aca="false">IF($J339=0,"",INDEX(ROTACAO_RDM!$I$6:$I$71,$J339))</f>
        <v/>
      </c>
      <c r="N339" s="16" t="n">
        <f aca="false">IF($J339=0,0,MAX(0,$C339+INT(DIAS_POR_SEMANA/2)-INDEX(ROTACAO_RDM!$I$6:$I$71,$J339)))</f>
        <v>0</v>
      </c>
      <c r="O339" s="19" t="n">
        <f aca="false">IF($J339=0,0,MIN(1,$N339/MAX(1,INDEX(ROTACAO_RDM!$K$6:$K$71,$J339))))</f>
        <v>0</v>
      </c>
      <c r="P339" s="16" t="n">
        <f aca="false">IF($J339=0,0,IFERROR(MATCH(INDEX(ROTACAO_RDM!$N$6:$N$71,$J339),PARAMETROS_CULTURAS!$B$6:$B$28,0),0))</f>
        <v>0</v>
      </c>
      <c r="Q339" s="8" t="str">
        <f aca="false">IF($P339=0,"-",IF($O339&lt;=INDEX(PARAMETROS_CULTURAS!$F$6:$F$28,$P339),"INICIAL",IF($O339&lt;=INDEX(PARAMETROS_CULTURAS!$F$6:$F$28,$P339)+INDEX(PARAMETROS_CULTURAS!$G$6:$G$28,$P339),"DESENVOLVIMENTO",IF($O339&lt;=INDEX(PARAMETROS_CULTURAS!$F$6:$F$28,$P339)+INDEX(PARAMETROS_CULTURAS!$G$6:$G$28,$P339)+INDEX(PARAMETROS_CULTURAS!$H$6:$H$28,$P339),"MEDIA","FINAL"))))</f>
        <v>-</v>
      </c>
      <c r="R339" s="24" t="n">
        <f aca="false">IF($P339=0,0,IF($O339&lt;=INDEX(PARAMETROS_CULTURAS!$F$6:$F$28,$P339),INDEX(PARAMETROS_CULTURAS!$K$6:$K$28,$P339),IF($O339&lt;=INDEX(PARAMETROS_CULTURAS!$F$6:$F$28,$P339)+INDEX(PARAMETROS_CULTURAS!$G$6:$G$28,$P339),INDEX(PARAMETROS_CULTURAS!$K$6:$K$28,$P339)+(INDEX(PARAMETROS_CULTURAS!$L$6:$L$28,$P339)-INDEX(PARAMETROS_CULTURAS!$K$6:$K$28,$P339))*($O339-INDEX(PARAMETROS_CULTURAS!$F$6:$F$28,$P339))/MAX(INDEX(PARAMETROS_CULTURAS!$G$6:$G$28,$P339),0.0001),IF($O339&lt;=INDEX(PARAMETROS_CULTURAS!$F$6:$F$28,$P339)+INDEX(PARAMETROS_CULTURAS!$G$6:$G$28,$P339)+INDEX(PARAMETROS_CULTURAS!$H$6:$H$28,$P339),INDEX(PARAMETROS_CULTURAS!$L$6:$L$28,$P339),INDEX(PARAMETROS_CULTURAS!$L$6:$L$28,$P339)+(INDEX(PARAMETROS_CULTURAS!$M$6:$M$28,$P339)-INDEX(PARAMETROS_CULTURAS!$L$6:$L$28,$P339))*($O339-INDEX(PARAMETROS_CULTURAS!$F$6:$F$28,$P339)-INDEX(PARAMETROS_CULTURAS!$G$6:$G$28,$P339)-INDEX(PARAMETROS_CULTURAS!$H$6:$H$28,$P339))/MAX(INDEX(PARAMETROS_CULTURAS!$I$6:$I$28,$P339),0.0001)))))</f>
        <v>0</v>
      </c>
      <c r="S339" s="18" t="n">
        <f aca="false">IFERROR(INDEX(SEMANAS!$H$6:$H$71,MATCH($B339,SEMANAS!$B$6:$B$71,0)),0)</f>
        <v>40.6</v>
      </c>
      <c r="T339" s="18" t="n">
        <f aca="false">$R339*$S339</f>
        <v>0</v>
      </c>
      <c r="U339" s="18" t="n">
        <f aca="false">IFERROR(INDEX(SEMANAS!$I$6:$I$71,MATCH($B339,SEMANAS!$B$6:$B$71,0)),0)</f>
        <v>7</v>
      </c>
      <c r="V339" s="18" t="n">
        <f aca="false">IFERROR(INDEX(SEMANAS!$J$6:$J$71,MATCH($B339,SEMANAS!$B$6:$B$71,0)),0)</f>
        <v>5.6</v>
      </c>
      <c r="W339" s="18" t="n">
        <f aca="false">MAX(0,$T339-$V339)</f>
        <v>0</v>
      </c>
      <c r="X339" s="19" t="n">
        <f aca="false">IFERROR(INDEX(CADASTRO_PIVOS!$K$6:$K$41,MATCH($E339,CADASTRO_PIVOS!$B$6:$B$41,0)),EFICIENCIA_PADRAO)</f>
        <v>0.85</v>
      </c>
      <c r="Y339" s="18" t="n">
        <f aca="false">IF($X339&lt;=0,0,$W339/$X339)</f>
        <v>0</v>
      </c>
      <c r="Z339" s="16" t="n">
        <f aca="false">$Y339*$H339*MM_PARA_M3_HA</f>
        <v>0</v>
      </c>
      <c r="AA339" s="18" t="n">
        <f aca="false">IFERROR(INDEX(CADASTRO_PIVOS!$I$6:$I$41,MATCH($E339,CADASTRO_PIVOS!$B$6:$B$41,0)),0)</f>
        <v>922.571428571429</v>
      </c>
      <c r="AB339" s="18" t="n">
        <f aca="false">IF($Z339&lt;=0,0,$Z339/$AA339)</f>
        <v>0</v>
      </c>
      <c r="AC339" s="16" t="n">
        <f aca="false">IFERROR(INDEX(SEMANAS!$K$6:$K$71,MATCH($B339,SEMANAS!$B$6:$B$71,0)),0)</f>
        <v>147</v>
      </c>
      <c r="AD339" s="19" t="n">
        <f aca="false">IF($AC339&lt;=0,0,$AB339/$AC339)</f>
        <v>0</v>
      </c>
      <c r="AE339" s="8" t="str">
        <f aca="false">IF($K339="SEM CULTURA","SEM CULTURA",IF($AA339&lt;=0,"DADO PENDENTE",IF($AD339&gt;LIMITE_CRITICO,"INVIAVEL",IF($AD339&gt;LIMITE_ATENCAO,"CRITICO",IF($AD339&gt;LIMITE_CONFORTAVEL,"ATENCAO","OK")))))</f>
        <v>SEM CULTURA</v>
      </c>
      <c r="AF339" s="8" t="str">
        <f aca="false">$B339&amp;"|"&amp;TEXT($AD339,"0.000000")</f>
        <v>4|0.000000</v>
      </c>
      <c r="AG339" s="18" t="n">
        <f aca="false">IF($K339="SEM CULTURA",0,$T339*$H339)</f>
        <v>0</v>
      </c>
      <c r="AH339" s="18" t="n">
        <f aca="false">IF($K339="SEM CULTURA",0,$V339*$H339)</f>
        <v>0</v>
      </c>
      <c r="AI339" s="18" t="n">
        <f aca="false">IF($K339="SEM CULTURA",0,$W339*$H339)</f>
        <v>0</v>
      </c>
      <c r="AJ339" s="18" t="n">
        <f aca="false">IF($K339="SEM CULTURA",0,$S339*$H339)</f>
        <v>0</v>
      </c>
      <c r="AK339" s="8" t="str">
        <f aca="false">$E339&amp;"|"&amp;TEXT($AD339,"0.000000")</f>
        <v>PV 101|0.000000</v>
      </c>
    </row>
    <row r="340" customFormat="false" ht="15" hidden="false" customHeight="false" outlineLevel="0" collapsed="false">
      <c r="B340" s="16" t="n">
        <v>5</v>
      </c>
      <c r="C340" s="17" t="n">
        <f aca="false">DATA_INICIO_SAFRA+($B340-1)*DIAS_POR_SEMANA</f>
        <v>46293</v>
      </c>
      <c r="D340" s="17" t="n">
        <f aca="false">$C340+DIAS_POR_SEMANA-1</f>
        <v>46299</v>
      </c>
      <c r="E340" s="15" t="s">
        <v>264</v>
      </c>
      <c r="F340" s="8" t="str">
        <f aca="false">IFERROR(INDEX(CADASTRO_PIVOS!$C$6:$C$41,MATCH($E340,CADASTRO_PIVOS!$B$6:$B$41,0)),"?")</f>
        <v>RM04</v>
      </c>
      <c r="G340" s="8" t="str">
        <f aca="false">IFERROR(INDEX(CADASTRO_PIVOS!$D$6:$D$41,MATCH($E340,CADASTRO_PIVOS!$B$6:$B$41,0)),"?")</f>
        <v>TR04</v>
      </c>
      <c r="H340" s="20" t="n">
        <f aca="false">IFERROR(INDEX(CADASTRO_PIVOS!$E$6:$E$41,MATCH($E340,CADASTRO_PIVOS!$B$6:$B$41,0)),0)</f>
        <v>129.16</v>
      </c>
      <c r="I340" s="16" t="n">
        <f aca="false">IFERROR(SUMIFS(ROTACAO_RDM!$B$6:$B$71,ROTACAO_RDM!$D$6:$D$71,$E340,ROTACAO_RDM!$I$6:$I$71,"&lt;="&amp;$C340+INT(DIAS_POR_SEMANA/2),ROTACAO_RDM!$J$6:$J$71,"&gt;="&amp;$C340+INT(DIAS_POR_SEMANA/2)),0)</f>
        <v>0</v>
      </c>
      <c r="J340" s="16" t="n">
        <f aca="false">IFERROR(MATCH($I340,ROTACAO_RDM!$B$6:$B$71,0),0)</f>
        <v>0</v>
      </c>
      <c r="K340" s="8" t="str">
        <f aca="false">IF($J340=0,"SEM CULTURA",INDEX(ROTACAO_RDM!$F$6:$F$71,$J340))</f>
        <v>SEM CULTURA</v>
      </c>
      <c r="L340" s="8" t="str">
        <f aca="false">IF($J340=0,"",INDEX(ROTACAO_RDM!$G$6:$G$71,$J340))</f>
        <v/>
      </c>
      <c r="M340" s="17" t="str">
        <f aca="false">IF($J340=0,"",INDEX(ROTACAO_RDM!$I$6:$I$71,$J340))</f>
        <v/>
      </c>
      <c r="N340" s="16" t="n">
        <f aca="false">IF($J340=0,0,MAX(0,$C340+INT(DIAS_POR_SEMANA/2)-INDEX(ROTACAO_RDM!$I$6:$I$71,$J340)))</f>
        <v>0</v>
      </c>
      <c r="O340" s="19" t="n">
        <f aca="false">IF($J340=0,0,MIN(1,$N340/MAX(1,INDEX(ROTACAO_RDM!$K$6:$K$71,$J340))))</f>
        <v>0</v>
      </c>
      <c r="P340" s="16" t="n">
        <f aca="false">IF($J340=0,0,IFERROR(MATCH(INDEX(ROTACAO_RDM!$N$6:$N$71,$J340),PARAMETROS_CULTURAS!$B$6:$B$28,0),0))</f>
        <v>0</v>
      </c>
      <c r="Q340" s="8" t="str">
        <f aca="false">IF($P340=0,"-",IF($O340&lt;=INDEX(PARAMETROS_CULTURAS!$F$6:$F$28,$P340),"INICIAL",IF($O340&lt;=INDEX(PARAMETROS_CULTURAS!$F$6:$F$28,$P340)+INDEX(PARAMETROS_CULTURAS!$G$6:$G$28,$P340),"DESENVOLVIMENTO",IF($O340&lt;=INDEX(PARAMETROS_CULTURAS!$F$6:$F$28,$P340)+INDEX(PARAMETROS_CULTURAS!$G$6:$G$28,$P340)+INDEX(PARAMETROS_CULTURAS!$H$6:$H$28,$P340),"MEDIA","FINAL"))))</f>
        <v>-</v>
      </c>
      <c r="R340" s="24" t="n">
        <f aca="false">IF($P340=0,0,IF($O340&lt;=INDEX(PARAMETROS_CULTURAS!$F$6:$F$28,$P340),INDEX(PARAMETROS_CULTURAS!$K$6:$K$28,$P340),IF($O340&lt;=INDEX(PARAMETROS_CULTURAS!$F$6:$F$28,$P340)+INDEX(PARAMETROS_CULTURAS!$G$6:$G$28,$P340),INDEX(PARAMETROS_CULTURAS!$K$6:$K$28,$P340)+(INDEX(PARAMETROS_CULTURAS!$L$6:$L$28,$P340)-INDEX(PARAMETROS_CULTURAS!$K$6:$K$28,$P340))*($O340-INDEX(PARAMETROS_CULTURAS!$F$6:$F$28,$P340))/MAX(INDEX(PARAMETROS_CULTURAS!$G$6:$G$28,$P340),0.0001),IF($O340&lt;=INDEX(PARAMETROS_CULTURAS!$F$6:$F$28,$P340)+INDEX(PARAMETROS_CULTURAS!$G$6:$G$28,$P340)+INDEX(PARAMETROS_CULTURAS!$H$6:$H$28,$P340),INDEX(PARAMETROS_CULTURAS!$L$6:$L$28,$P340),INDEX(PARAMETROS_CULTURAS!$L$6:$L$28,$P340)+(INDEX(PARAMETROS_CULTURAS!$M$6:$M$28,$P340)-INDEX(PARAMETROS_CULTURAS!$L$6:$L$28,$P340))*($O340-INDEX(PARAMETROS_CULTURAS!$F$6:$F$28,$P340)-INDEX(PARAMETROS_CULTURAS!$G$6:$G$28,$P340)-INDEX(PARAMETROS_CULTURAS!$H$6:$H$28,$P340))/MAX(INDEX(PARAMETROS_CULTURAS!$I$6:$I$28,$P340),0.0001)))))</f>
        <v>0</v>
      </c>
      <c r="S340" s="18" t="n">
        <f aca="false">IFERROR(INDEX(SEMANAS!$H$6:$H$71,MATCH($B340,SEMANAS!$B$6:$B$71,0)),0)</f>
        <v>39.8</v>
      </c>
      <c r="T340" s="18" t="n">
        <f aca="false">$R340*$S340</f>
        <v>0</v>
      </c>
      <c r="U340" s="18" t="n">
        <f aca="false">IFERROR(INDEX(SEMANAS!$I$6:$I$71,MATCH($B340,SEMANAS!$B$6:$B$71,0)),0)</f>
        <v>18.48</v>
      </c>
      <c r="V340" s="18" t="n">
        <f aca="false">IFERROR(INDEX(SEMANAS!$J$6:$J$71,MATCH($B340,SEMANAS!$B$6:$B$71,0)),0)</f>
        <v>14.784</v>
      </c>
      <c r="W340" s="18" t="n">
        <f aca="false">MAX(0,$T340-$V340)</f>
        <v>0</v>
      </c>
      <c r="X340" s="19" t="n">
        <f aca="false">IFERROR(INDEX(CADASTRO_PIVOS!$K$6:$K$41,MATCH($E340,CADASTRO_PIVOS!$B$6:$B$41,0)),EFICIENCIA_PADRAO)</f>
        <v>0.85</v>
      </c>
      <c r="Y340" s="18" t="n">
        <f aca="false">IF($X340&lt;=0,0,$W340/$X340)</f>
        <v>0</v>
      </c>
      <c r="Z340" s="16" t="n">
        <f aca="false">$Y340*$H340*MM_PARA_M3_HA</f>
        <v>0</v>
      </c>
      <c r="AA340" s="18" t="n">
        <f aca="false">IFERROR(INDEX(CADASTRO_PIVOS!$I$6:$I$41,MATCH($E340,CADASTRO_PIVOS!$B$6:$B$41,0)),0)</f>
        <v>922.571428571429</v>
      </c>
      <c r="AB340" s="18" t="n">
        <f aca="false">IF($Z340&lt;=0,0,$Z340/$AA340)</f>
        <v>0</v>
      </c>
      <c r="AC340" s="16" t="n">
        <f aca="false">IFERROR(INDEX(SEMANAS!$K$6:$K$71,MATCH($B340,SEMANAS!$B$6:$B$71,0)),0)</f>
        <v>147</v>
      </c>
      <c r="AD340" s="19" t="n">
        <f aca="false">IF($AC340&lt;=0,0,$AB340/$AC340)</f>
        <v>0</v>
      </c>
      <c r="AE340" s="8" t="str">
        <f aca="false">IF($K340="SEM CULTURA","SEM CULTURA",IF($AA340&lt;=0,"DADO PENDENTE",IF($AD340&gt;LIMITE_CRITICO,"INVIAVEL",IF($AD340&gt;LIMITE_ATENCAO,"CRITICO",IF($AD340&gt;LIMITE_CONFORTAVEL,"ATENCAO","OK")))))</f>
        <v>SEM CULTURA</v>
      </c>
      <c r="AF340" s="8" t="str">
        <f aca="false">$B340&amp;"|"&amp;TEXT($AD340,"0.000000")</f>
        <v>5|0.000000</v>
      </c>
      <c r="AG340" s="18" t="n">
        <f aca="false">IF($K340="SEM CULTURA",0,$T340*$H340)</f>
        <v>0</v>
      </c>
      <c r="AH340" s="18" t="n">
        <f aca="false">IF($K340="SEM CULTURA",0,$V340*$H340)</f>
        <v>0</v>
      </c>
      <c r="AI340" s="18" t="n">
        <f aca="false">IF($K340="SEM CULTURA",0,$W340*$H340)</f>
        <v>0</v>
      </c>
      <c r="AJ340" s="18" t="n">
        <f aca="false">IF($K340="SEM CULTURA",0,$S340*$H340)</f>
        <v>0</v>
      </c>
      <c r="AK340" s="8" t="str">
        <f aca="false">$E340&amp;"|"&amp;TEXT($AD340,"0.000000")</f>
        <v>PV 101|0.000000</v>
      </c>
    </row>
    <row r="341" customFormat="false" ht="15" hidden="false" customHeight="false" outlineLevel="0" collapsed="false">
      <c r="B341" s="16" t="n">
        <v>6</v>
      </c>
      <c r="C341" s="17" t="n">
        <f aca="false">DATA_INICIO_SAFRA+($B341-1)*DIAS_POR_SEMANA</f>
        <v>46300</v>
      </c>
      <c r="D341" s="17" t="n">
        <f aca="false">$C341+DIAS_POR_SEMANA-1</f>
        <v>46306</v>
      </c>
      <c r="E341" s="15" t="s">
        <v>264</v>
      </c>
      <c r="F341" s="8" t="str">
        <f aca="false">IFERROR(INDEX(CADASTRO_PIVOS!$C$6:$C$41,MATCH($E341,CADASTRO_PIVOS!$B$6:$B$41,0)),"?")</f>
        <v>RM04</v>
      </c>
      <c r="G341" s="8" t="str">
        <f aca="false">IFERROR(INDEX(CADASTRO_PIVOS!$D$6:$D$41,MATCH($E341,CADASTRO_PIVOS!$B$6:$B$41,0)),"?")</f>
        <v>TR04</v>
      </c>
      <c r="H341" s="20" t="n">
        <f aca="false">IFERROR(INDEX(CADASTRO_PIVOS!$E$6:$E$41,MATCH($E341,CADASTRO_PIVOS!$B$6:$B$41,0)),0)</f>
        <v>129.16</v>
      </c>
      <c r="I341" s="16" t="n">
        <f aca="false">IFERROR(SUMIFS(ROTACAO_RDM!$B$6:$B$71,ROTACAO_RDM!$D$6:$D$71,$E341,ROTACAO_RDM!$I$6:$I$71,"&lt;="&amp;$C341+INT(DIAS_POR_SEMANA/2),ROTACAO_RDM!$J$6:$J$71,"&gt;="&amp;$C341+INT(DIAS_POR_SEMANA/2)),0)</f>
        <v>0</v>
      </c>
      <c r="J341" s="16" t="n">
        <f aca="false">IFERROR(MATCH($I341,ROTACAO_RDM!$B$6:$B$71,0),0)</f>
        <v>0</v>
      </c>
      <c r="K341" s="8" t="str">
        <f aca="false">IF($J341=0,"SEM CULTURA",INDEX(ROTACAO_RDM!$F$6:$F$71,$J341))</f>
        <v>SEM CULTURA</v>
      </c>
      <c r="L341" s="8" t="str">
        <f aca="false">IF($J341=0,"",INDEX(ROTACAO_RDM!$G$6:$G$71,$J341))</f>
        <v/>
      </c>
      <c r="M341" s="17" t="str">
        <f aca="false">IF($J341=0,"",INDEX(ROTACAO_RDM!$I$6:$I$71,$J341))</f>
        <v/>
      </c>
      <c r="N341" s="16" t="n">
        <f aca="false">IF($J341=0,0,MAX(0,$C341+INT(DIAS_POR_SEMANA/2)-INDEX(ROTACAO_RDM!$I$6:$I$71,$J341)))</f>
        <v>0</v>
      </c>
      <c r="O341" s="19" t="n">
        <f aca="false">IF($J341=0,0,MIN(1,$N341/MAX(1,INDEX(ROTACAO_RDM!$K$6:$K$71,$J341))))</f>
        <v>0</v>
      </c>
      <c r="P341" s="16" t="n">
        <f aca="false">IF($J341=0,0,IFERROR(MATCH(INDEX(ROTACAO_RDM!$N$6:$N$71,$J341),PARAMETROS_CULTURAS!$B$6:$B$28,0),0))</f>
        <v>0</v>
      </c>
      <c r="Q341" s="8" t="str">
        <f aca="false">IF($P341=0,"-",IF($O341&lt;=INDEX(PARAMETROS_CULTURAS!$F$6:$F$28,$P341),"INICIAL",IF($O341&lt;=INDEX(PARAMETROS_CULTURAS!$F$6:$F$28,$P341)+INDEX(PARAMETROS_CULTURAS!$G$6:$G$28,$P341),"DESENVOLVIMENTO",IF($O341&lt;=INDEX(PARAMETROS_CULTURAS!$F$6:$F$28,$P341)+INDEX(PARAMETROS_CULTURAS!$G$6:$G$28,$P341)+INDEX(PARAMETROS_CULTURAS!$H$6:$H$28,$P341),"MEDIA","FINAL"))))</f>
        <v>-</v>
      </c>
      <c r="R341" s="24" t="n">
        <f aca="false">IF($P341=0,0,IF($O341&lt;=INDEX(PARAMETROS_CULTURAS!$F$6:$F$28,$P341),INDEX(PARAMETROS_CULTURAS!$K$6:$K$28,$P341),IF($O341&lt;=INDEX(PARAMETROS_CULTURAS!$F$6:$F$28,$P341)+INDEX(PARAMETROS_CULTURAS!$G$6:$G$28,$P341),INDEX(PARAMETROS_CULTURAS!$K$6:$K$28,$P341)+(INDEX(PARAMETROS_CULTURAS!$L$6:$L$28,$P341)-INDEX(PARAMETROS_CULTURAS!$K$6:$K$28,$P341))*($O341-INDEX(PARAMETROS_CULTURAS!$F$6:$F$28,$P341))/MAX(INDEX(PARAMETROS_CULTURAS!$G$6:$G$28,$P341),0.0001),IF($O341&lt;=INDEX(PARAMETROS_CULTURAS!$F$6:$F$28,$P341)+INDEX(PARAMETROS_CULTURAS!$G$6:$G$28,$P341)+INDEX(PARAMETROS_CULTURAS!$H$6:$H$28,$P341),INDEX(PARAMETROS_CULTURAS!$L$6:$L$28,$P341),INDEX(PARAMETROS_CULTURAS!$L$6:$L$28,$P341)+(INDEX(PARAMETROS_CULTURAS!$M$6:$M$28,$P341)-INDEX(PARAMETROS_CULTURAS!$L$6:$L$28,$P341))*($O341-INDEX(PARAMETROS_CULTURAS!$F$6:$F$28,$P341)-INDEX(PARAMETROS_CULTURAS!$G$6:$G$28,$P341)-INDEX(PARAMETROS_CULTURAS!$H$6:$H$28,$P341))/MAX(INDEX(PARAMETROS_CULTURAS!$I$6:$I$28,$P341),0.0001)))))</f>
        <v>0</v>
      </c>
      <c r="S341" s="18" t="n">
        <f aca="false">IFERROR(INDEX(SEMANAS!$H$6:$H$71,MATCH($B341,SEMANAS!$B$6:$B$71,0)),0)</f>
        <v>39.2</v>
      </c>
      <c r="T341" s="18" t="n">
        <f aca="false">$R341*$S341</f>
        <v>0</v>
      </c>
      <c r="U341" s="18" t="n">
        <f aca="false">IFERROR(INDEX(SEMANAS!$I$6:$I$71,MATCH($B341,SEMANAS!$B$6:$B$71,0)),0)</f>
        <v>27.09</v>
      </c>
      <c r="V341" s="18" t="n">
        <f aca="false">IFERROR(INDEX(SEMANAS!$J$6:$J$71,MATCH($B341,SEMANAS!$B$6:$B$71,0)),0)</f>
        <v>21.672</v>
      </c>
      <c r="W341" s="18" t="n">
        <f aca="false">MAX(0,$T341-$V341)</f>
        <v>0</v>
      </c>
      <c r="X341" s="19" t="n">
        <f aca="false">IFERROR(INDEX(CADASTRO_PIVOS!$K$6:$K$41,MATCH($E341,CADASTRO_PIVOS!$B$6:$B$41,0)),EFICIENCIA_PADRAO)</f>
        <v>0.85</v>
      </c>
      <c r="Y341" s="18" t="n">
        <f aca="false">IF($X341&lt;=0,0,$W341/$X341)</f>
        <v>0</v>
      </c>
      <c r="Z341" s="16" t="n">
        <f aca="false">$Y341*$H341*MM_PARA_M3_HA</f>
        <v>0</v>
      </c>
      <c r="AA341" s="18" t="n">
        <f aca="false">IFERROR(INDEX(CADASTRO_PIVOS!$I$6:$I$41,MATCH($E341,CADASTRO_PIVOS!$B$6:$B$41,0)),0)</f>
        <v>922.571428571429</v>
      </c>
      <c r="AB341" s="18" t="n">
        <f aca="false">IF($Z341&lt;=0,0,$Z341/$AA341)</f>
        <v>0</v>
      </c>
      <c r="AC341" s="16" t="n">
        <f aca="false">IFERROR(INDEX(SEMANAS!$K$6:$K$71,MATCH($B341,SEMANAS!$B$6:$B$71,0)),0)</f>
        <v>147</v>
      </c>
      <c r="AD341" s="19" t="n">
        <f aca="false">IF($AC341&lt;=0,0,$AB341/$AC341)</f>
        <v>0</v>
      </c>
      <c r="AE341" s="8" t="str">
        <f aca="false">IF($K341="SEM CULTURA","SEM CULTURA",IF($AA341&lt;=0,"DADO PENDENTE",IF($AD341&gt;LIMITE_CRITICO,"INVIAVEL",IF($AD341&gt;LIMITE_ATENCAO,"CRITICO",IF($AD341&gt;LIMITE_CONFORTAVEL,"ATENCAO","OK")))))</f>
        <v>SEM CULTURA</v>
      </c>
      <c r="AF341" s="8" t="str">
        <f aca="false">$B341&amp;"|"&amp;TEXT($AD341,"0.000000")</f>
        <v>6|0.000000</v>
      </c>
      <c r="AG341" s="18" t="n">
        <f aca="false">IF($K341="SEM CULTURA",0,$T341*$H341)</f>
        <v>0</v>
      </c>
      <c r="AH341" s="18" t="n">
        <f aca="false">IF($K341="SEM CULTURA",0,$V341*$H341)</f>
        <v>0</v>
      </c>
      <c r="AI341" s="18" t="n">
        <f aca="false">IF($K341="SEM CULTURA",0,$W341*$H341)</f>
        <v>0</v>
      </c>
      <c r="AJ341" s="18" t="n">
        <f aca="false">IF($K341="SEM CULTURA",0,$S341*$H341)</f>
        <v>0</v>
      </c>
      <c r="AK341" s="8" t="str">
        <f aca="false">$E341&amp;"|"&amp;TEXT($AD341,"0.000000")</f>
        <v>PV 101|0.000000</v>
      </c>
    </row>
    <row r="342" customFormat="false" ht="15" hidden="false" customHeight="false" outlineLevel="0" collapsed="false">
      <c r="B342" s="16" t="n">
        <v>7</v>
      </c>
      <c r="C342" s="17" t="n">
        <f aca="false">DATA_INICIO_SAFRA+($B342-1)*DIAS_POR_SEMANA</f>
        <v>46307</v>
      </c>
      <c r="D342" s="17" t="n">
        <f aca="false">$C342+DIAS_POR_SEMANA-1</f>
        <v>46313</v>
      </c>
      <c r="E342" s="15" t="s">
        <v>264</v>
      </c>
      <c r="F342" s="8" t="str">
        <f aca="false">IFERROR(INDEX(CADASTRO_PIVOS!$C$6:$C$41,MATCH($E342,CADASTRO_PIVOS!$B$6:$B$41,0)),"?")</f>
        <v>RM04</v>
      </c>
      <c r="G342" s="8" t="str">
        <f aca="false">IFERROR(INDEX(CADASTRO_PIVOS!$D$6:$D$41,MATCH($E342,CADASTRO_PIVOS!$B$6:$B$41,0)),"?")</f>
        <v>TR04</v>
      </c>
      <c r="H342" s="20" t="n">
        <f aca="false">IFERROR(INDEX(CADASTRO_PIVOS!$E$6:$E$41,MATCH($E342,CADASTRO_PIVOS!$B$6:$B$41,0)),0)</f>
        <v>129.16</v>
      </c>
      <c r="I342" s="16" t="n">
        <f aca="false">IFERROR(SUMIFS(ROTACAO_RDM!$B$6:$B$71,ROTACAO_RDM!$D$6:$D$71,$E342,ROTACAO_RDM!$I$6:$I$71,"&lt;="&amp;$C342+INT(DIAS_POR_SEMANA/2),ROTACAO_RDM!$J$6:$J$71,"&gt;="&amp;$C342+INT(DIAS_POR_SEMANA/2)),0)</f>
        <v>0</v>
      </c>
      <c r="J342" s="16" t="n">
        <f aca="false">IFERROR(MATCH($I342,ROTACAO_RDM!$B$6:$B$71,0),0)</f>
        <v>0</v>
      </c>
      <c r="K342" s="8" t="str">
        <f aca="false">IF($J342=0,"SEM CULTURA",INDEX(ROTACAO_RDM!$F$6:$F$71,$J342))</f>
        <v>SEM CULTURA</v>
      </c>
      <c r="L342" s="8" t="str">
        <f aca="false">IF($J342=0,"",INDEX(ROTACAO_RDM!$G$6:$G$71,$J342))</f>
        <v/>
      </c>
      <c r="M342" s="17" t="str">
        <f aca="false">IF($J342=0,"",INDEX(ROTACAO_RDM!$I$6:$I$71,$J342))</f>
        <v/>
      </c>
      <c r="N342" s="16" t="n">
        <f aca="false">IF($J342=0,0,MAX(0,$C342+INT(DIAS_POR_SEMANA/2)-INDEX(ROTACAO_RDM!$I$6:$I$71,$J342)))</f>
        <v>0</v>
      </c>
      <c r="O342" s="19" t="n">
        <f aca="false">IF($J342=0,0,MIN(1,$N342/MAX(1,INDEX(ROTACAO_RDM!$K$6:$K$71,$J342))))</f>
        <v>0</v>
      </c>
      <c r="P342" s="16" t="n">
        <f aca="false">IF($J342=0,0,IFERROR(MATCH(INDEX(ROTACAO_RDM!$N$6:$N$71,$J342),PARAMETROS_CULTURAS!$B$6:$B$28,0),0))</f>
        <v>0</v>
      </c>
      <c r="Q342" s="8" t="str">
        <f aca="false">IF($P342=0,"-",IF($O342&lt;=INDEX(PARAMETROS_CULTURAS!$F$6:$F$28,$P342),"INICIAL",IF($O342&lt;=INDEX(PARAMETROS_CULTURAS!$F$6:$F$28,$P342)+INDEX(PARAMETROS_CULTURAS!$G$6:$G$28,$P342),"DESENVOLVIMENTO",IF($O342&lt;=INDEX(PARAMETROS_CULTURAS!$F$6:$F$28,$P342)+INDEX(PARAMETROS_CULTURAS!$G$6:$G$28,$P342)+INDEX(PARAMETROS_CULTURAS!$H$6:$H$28,$P342),"MEDIA","FINAL"))))</f>
        <v>-</v>
      </c>
      <c r="R342" s="24" t="n">
        <f aca="false">IF($P342=0,0,IF($O342&lt;=INDEX(PARAMETROS_CULTURAS!$F$6:$F$28,$P342),INDEX(PARAMETROS_CULTURAS!$K$6:$K$28,$P342),IF($O342&lt;=INDEX(PARAMETROS_CULTURAS!$F$6:$F$28,$P342)+INDEX(PARAMETROS_CULTURAS!$G$6:$G$28,$P342),INDEX(PARAMETROS_CULTURAS!$K$6:$K$28,$P342)+(INDEX(PARAMETROS_CULTURAS!$L$6:$L$28,$P342)-INDEX(PARAMETROS_CULTURAS!$K$6:$K$28,$P342))*($O342-INDEX(PARAMETROS_CULTURAS!$F$6:$F$28,$P342))/MAX(INDEX(PARAMETROS_CULTURAS!$G$6:$G$28,$P342),0.0001),IF($O342&lt;=INDEX(PARAMETROS_CULTURAS!$F$6:$F$28,$P342)+INDEX(PARAMETROS_CULTURAS!$G$6:$G$28,$P342)+INDEX(PARAMETROS_CULTURAS!$H$6:$H$28,$P342),INDEX(PARAMETROS_CULTURAS!$L$6:$L$28,$P342),INDEX(PARAMETROS_CULTURAS!$L$6:$L$28,$P342)+(INDEX(PARAMETROS_CULTURAS!$M$6:$M$28,$P342)-INDEX(PARAMETROS_CULTURAS!$L$6:$L$28,$P342))*($O342-INDEX(PARAMETROS_CULTURAS!$F$6:$F$28,$P342)-INDEX(PARAMETROS_CULTURAS!$G$6:$G$28,$P342)-INDEX(PARAMETROS_CULTURAS!$H$6:$H$28,$P342))/MAX(INDEX(PARAMETROS_CULTURAS!$I$6:$I$28,$P342),0.0001)))))</f>
        <v>0</v>
      </c>
      <c r="S342" s="18" t="n">
        <f aca="false">IFERROR(INDEX(SEMANAS!$H$6:$H$71,MATCH($B342,SEMANAS!$B$6:$B$71,0)),0)</f>
        <v>39.2</v>
      </c>
      <c r="T342" s="18" t="n">
        <f aca="false">$R342*$S342</f>
        <v>0</v>
      </c>
      <c r="U342" s="18" t="n">
        <f aca="false">IFERROR(INDEX(SEMANAS!$I$6:$I$71,MATCH($B342,SEMANAS!$B$6:$B$71,0)),0)</f>
        <v>27.09</v>
      </c>
      <c r="V342" s="18" t="n">
        <f aca="false">IFERROR(INDEX(SEMANAS!$J$6:$J$71,MATCH($B342,SEMANAS!$B$6:$B$71,0)),0)</f>
        <v>21.672</v>
      </c>
      <c r="W342" s="18" t="n">
        <f aca="false">MAX(0,$T342-$V342)</f>
        <v>0</v>
      </c>
      <c r="X342" s="19" t="n">
        <f aca="false">IFERROR(INDEX(CADASTRO_PIVOS!$K$6:$K$41,MATCH($E342,CADASTRO_PIVOS!$B$6:$B$41,0)),EFICIENCIA_PADRAO)</f>
        <v>0.85</v>
      </c>
      <c r="Y342" s="18" t="n">
        <f aca="false">IF($X342&lt;=0,0,$W342/$X342)</f>
        <v>0</v>
      </c>
      <c r="Z342" s="16" t="n">
        <f aca="false">$Y342*$H342*MM_PARA_M3_HA</f>
        <v>0</v>
      </c>
      <c r="AA342" s="18" t="n">
        <f aca="false">IFERROR(INDEX(CADASTRO_PIVOS!$I$6:$I$41,MATCH($E342,CADASTRO_PIVOS!$B$6:$B$41,0)),0)</f>
        <v>922.571428571429</v>
      </c>
      <c r="AB342" s="18" t="n">
        <f aca="false">IF($Z342&lt;=0,0,$Z342/$AA342)</f>
        <v>0</v>
      </c>
      <c r="AC342" s="16" t="n">
        <f aca="false">IFERROR(INDEX(SEMANAS!$K$6:$K$71,MATCH($B342,SEMANAS!$B$6:$B$71,0)),0)</f>
        <v>147</v>
      </c>
      <c r="AD342" s="19" t="n">
        <f aca="false">IF($AC342&lt;=0,0,$AB342/$AC342)</f>
        <v>0</v>
      </c>
      <c r="AE342" s="8" t="str">
        <f aca="false">IF($K342="SEM CULTURA","SEM CULTURA",IF($AA342&lt;=0,"DADO PENDENTE",IF($AD342&gt;LIMITE_CRITICO,"INVIAVEL",IF($AD342&gt;LIMITE_ATENCAO,"CRITICO",IF($AD342&gt;LIMITE_CONFORTAVEL,"ATENCAO","OK")))))</f>
        <v>SEM CULTURA</v>
      </c>
      <c r="AF342" s="8" t="str">
        <f aca="false">$B342&amp;"|"&amp;TEXT($AD342,"0.000000")</f>
        <v>7|0.000000</v>
      </c>
      <c r="AG342" s="18" t="n">
        <f aca="false">IF($K342="SEM CULTURA",0,$T342*$H342)</f>
        <v>0</v>
      </c>
      <c r="AH342" s="18" t="n">
        <f aca="false">IF($K342="SEM CULTURA",0,$V342*$H342)</f>
        <v>0</v>
      </c>
      <c r="AI342" s="18" t="n">
        <f aca="false">IF($K342="SEM CULTURA",0,$W342*$H342)</f>
        <v>0</v>
      </c>
      <c r="AJ342" s="18" t="n">
        <f aca="false">IF($K342="SEM CULTURA",0,$S342*$H342)</f>
        <v>0</v>
      </c>
      <c r="AK342" s="8" t="str">
        <f aca="false">$E342&amp;"|"&amp;TEXT($AD342,"0.000000")</f>
        <v>PV 101|0.000000</v>
      </c>
    </row>
    <row r="343" customFormat="false" ht="15" hidden="false" customHeight="false" outlineLevel="0" collapsed="false">
      <c r="B343" s="16" t="n">
        <v>8</v>
      </c>
      <c r="C343" s="17" t="n">
        <f aca="false">DATA_INICIO_SAFRA+($B343-1)*DIAS_POR_SEMANA</f>
        <v>46314</v>
      </c>
      <c r="D343" s="17" t="n">
        <f aca="false">$C343+DIAS_POR_SEMANA-1</f>
        <v>46320</v>
      </c>
      <c r="E343" s="15" t="s">
        <v>264</v>
      </c>
      <c r="F343" s="8" t="str">
        <f aca="false">IFERROR(INDEX(CADASTRO_PIVOS!$C$6:$C$41,MATCH($E343,CADASTRO_PIVOS!$B$6:$B$41,0)),"?")</f>
        <v>RM04</v>
      </c>
      <c r="G343" s="8" t="str">
        <f aca="false">IFERROR(INDEX(CADASTRO_PIVOS!$D$6:$D$41,MATCH($E343,CADASTRO_PIVOS!$B$6:$B$41,0)),"?")</f>
        <v>TR04</v>
      </c>
      <c r="H343" s="20" t="n">
        <f aca="false">IFERROR(INDEX(CADASTRO_PIVOS!$E$6:$E$41,MATCH($E343,CADASTRO_PIVOS!$B$6:$B$41,0)),0)</f>
        <v>129.16</v>
      </c>
      <c r="I343" s="16" t="n">
        <f aca="false">IFERROR(SUMIFS(ROTACAO_RDM!$B$6:$B$71,ROTACAO_RDM!$D$6:$D$71,$E343,ROTACAO_RDM!$I$6:$I$71,"&lt;="&amp;$C343+INT(DIAS_POR_SEMANA/2),ROTACAO_RDM!$J$6:$J$71,"&gt;="&amp;$C343+INT(DIAS_POR_SEMANA/2)),0)</f>
        <v>0</v>
      </c>
      <c r="J343" s="16" t="n">
        <f aca="false">IFERROR(MATCH($I343,ROTACAO_RDM!$B$6:$B$71,0),0)</f>
        <v>0</v>
      </c>
      <c r="K343" s="8" t="str">
        <f aca="false">IF($J343=0,"SEM CULTURA",INDEX(ROTACAO_RDM!$F$6:$F$71,$J343))</f>
        <v>SEM CULTURA</v>
      </c>
      <c r="L343" s="8" t="str">
        <f aca="false">IF($J343=0,"",INDEX(ROTACAO_RDM!$G$6:$G$71,$J343))</f>
        <v/>
      </c>
      <c r="M343" s="17" t="str">
        <f aca="false">IF($J343=0,"",INDEX(ROTACAO_RDM!$I$6:$I$71,$J343))</f>
        <v/>
      </c>
      <c r="N343" s="16" t="n">
        <f aca="false">IF($J343=0,0,MAX(0,$C343+INT(DIAS_POR_SEMANA/2)-INDEX(ROTACAO_RDM!$I$6:$I$71,$J343)))</f>
        <v>0</v>
      </c>
      <c r="O343" s="19" t="n">
        <f aca="false">IF($J343=0,0,MIN(1,$N343/MAX(1,INDEX(ROTACAO_RDM!$K$6:$K$71,$J343))))</f>
        <v>0</v>
      </c>
      <c r="P343" s="16" t="n">
        <f aca="false">IF($J343=0,0,IFERROR(MATCH(INDEX(ROTACAO_RDM!$N$6:$N$71,$J343),PARAMETROS_CULTURAS!$B$6:$B$28,0),0))</f>
        <v>0</v>
      </c>
      <c r="Q343" s="8" t="str">
        <f aca="false">IF($P343=0,"-",IF($O343&lt;=INDEX(PARAMETROS_CULTURAS!$F$6:$F$28,$P343),"INICIAL",IF($O343&lt;=INDEX(PARAMETROS_CULTURAS!$F$6:$F$28,$P343)+INDEX(PARAMETROS_CULTURAS!$G$6:$G$28,$P343),"DESENVOLVIMENTO",IF($O343&lt;=INDEX(PARAMETROS_CULTURAS!$F$6:$F$28,$P343)+INDEX(PARAMETROS_CULTURAS!$G$6:$G$28,$P343)+INDEX(PARAMETROS_CULTURAS!$H$6:$H$28,$P343),"MEDIA","FINAL"))))</f>
        <v>-</v>
      </c>
      <c r="R343" s="24" t="n">
        <f aca="false">IF($P343=0,0,IF($O343&lt;=INDEX(PARAMETROS_CULTURAS!$F$6:$F$28,$P343),INDEX(PARAMETROS_CULTURAS!$K$6:$K$28,$P343),IF($O343&lt;=INDEX(PARAMETROS_CULTURAS!$F$6:$F$28,$P343)+INDEX(PARAMETROS_CULTURAS!$G$6:$G$28,$P343),INDEX(PARAMETROS_CULTURAS!$K$6:$K$28,$P343)+(INDEX(PARAMETROS_CULTURAS!$L$6:$L$28,$P343)-INDEX(PARAMETROS_CULTURAS!$K$6:$K$28,$P343))*($O343-INDEX(PARAMETROS_CULTURAS!$F$6:$F$28,$P343))/MAX(INDEX(PARAMETROS_CULTURAS!$G$6:$G$28,$P343),0.0001),IF($O343&lt;=INDEX(PARAMETROS_CULTURAS!$F$6:$F$28,$P343)+INDEX(PARAMETROS_CULTURAS!$G$6:$G$28,$P343)+INDEX(PARAMETROS_CULTURAS!$H$6:$H$28,$P343),INDEX(PARAMETROS_CULTURAS!$L$6:$L$28,$P343),INDEX(PARAMETROS_CULTURAS!$L$6:$L$28,$P343)+(INDEX(PARAMETROS_CULTURAS!$M$6:$M$28,$P343)-INDEX(PARAMETROS_CULTURAS!$L$6:$L$28,$P343))*($O343-INDEX(PARAMETROS_CULTURAS!$F$6:$F$28,$P343)-INDEX(PARAMETROS_CULTURAS!$G$6:$G$28,$P343)-INDEX(PARAMETROS_CULTURAS!$H$6:$H$28,$P343))/MAX(INDEX(PARAMETROS_CULTURAS!$I$6:$I$28,$P343),0.0001)))))</f>
        <v>0</v>
      </c>
      <c r="S343" s="18" t="n">
        <f aca="false">IFERROR(INDEX(SEMANAS!$H$6:$H$71,MATCH($B343,SEMANAS!$B$6:$B$71,0)),0)</f>
        <v>39.2</v>
      </c>
      <c r="T343" s="18" t="n">
        <f aca="false">$R343*$S343</f>
        <v>0</v>
      </c>
      <c r="U343" s="18" t="n">
        <f aca="false">IFERROR(INDEX(SEMANAS!$I$6:$I$71,MATCH($B343,SEMANAS!$B$6:$B$71,0)),0)</f>
        <v>27.09</v>
      </c>
      <c r="V343" s="18" t="n">
        <f aca="false">IFERROR(INDEX(SEMANAS!$J$6:$J$71,MATCH($B343,SEMANAS!$B$6:$B$71,0)),0)</f>
        <v>21.672</v>
      </c>
      <c r="W343" s="18" t="n">
        <f aca="false">MAX(0,$T343-$V343)</f>
        <v>0</v>
      </c>
      <c r="X343" s="19" t="n">
        <f aca="false">IFERROR(INDEX(CADASTRO_PIVOS!$K$6:$K$41,MATCH($E343,CADASTRO_PIVOS!$B$6:$B$41,0)),EFICIENCIA_PADRAO)</f>
        <v>0.85</v>
      </c>
      <c r="Y343" s="18" t="n">
        <f aca="false">IF($X343&lt;=0,0,$W343/$X343)</f>
        <v>0</v>
      </c>
      <c r="Z343" s="16" t="n">
        <f aca="false">$Y343*$H343*MM_PARA_M3_HA</f>
        <v>0</v>
      </c>
      <c r="AA343" s="18" t="n">
        <f aca="false">IFERROR(INDEX(CADASTRO_PIVOS!$I$6:$I$41,MATCH($E343,CADASTRO_PIVOS!$B$6:$B$41,0)),0)</f>
        <v>922.571428571429</v>
      </c>
      <c r="AB343" s="18" t="n">
        <f aca="false">IF($Z343&lt;=0,0,$Z343/$AA343)</f>
        <v>0</v>
      </c>
      <c r="AC343" s="16" t="n">
        <f aca="false">IFERROR(INDEX(SEMANAS!$K$6:$K$71,MATCH($B343,SEMANAS!$B$6:$B$71,0)),0)</f>
        <v>147</v>
      </c>
      <c r="AD343" s="19" t="n">
        <f aca="false">IF($AC343&lt;=0,0,$AB343/$AC343)</f>
        <v>0</v>
      </c>
      <c r="AE343" s="8" t="str">
        <f aca="false">IF($K343="SEM CULTURA","SEM CULTURA",IF($AA343&lt;=0,"DADO PENDENTE",IF($AD343&gt;LIMITE_CRITICO,"INVIAVEL",IF($AD343&gt;LIMITE_ATENCAO,"CRITICO",IF($AD343&gt;LIMITE_CONFORTAVEL,"ATENCAO","OK")))))</f>
        <v>SEM CULTURA</v>
      </c>
      <c r="AF343" s="8" t="str">
        <f aca="false">$B343&amp;"|"&amp;TEXT($AD343,"0.000000")</f>
        <v>8|0.000000</v>
      </c>
      <c r="AG343" s="18" t="n">
        <f aca="false">IF($K343="SEM CULTURA",0,$T343*$H343)</f>
        <v>0</v>
      </c>
      <c r="AH343" s="18" t="n">
        <f aca="false">IF($K343="SEM CULTURA",0,$V343*$H343)</f>
        <v>0</v>
      </c>
      <c r="AI343" s="18" t="n">
        <f aca="false">IF($K343="SEM CULTURA",0,$W343*$H343)</f>
        <v>0</v>
      </c>
      <c r="AJ343" s="18" t="n">
        <f aca="false">IF($K343="SEM CULTURA",0,$S343*$H343)</f>
        <v>0</v>
      </c>
      <c r="AK343" s="8" t="str">
        <f aca="false">$E343&amp;"|"&amp;TEXT($AD343,"0.000000")</f>
        <v>PV 101|0.000000</v>
      </c>
    </row>
    <row r="344" customFormat="false" ht="15" hidden="false" customHeight="false" outlineLevel="0" collapsed="false">
      <c r="B344" s="16" t="n">
        <v>9</v>
      </c>
      <c r="C344" s="17" t="n">
        <f aca="false">DATA_INICIO_SAFRA+($B344-1)*DIAS_POR_SEMANA</f>
        <v>46321</v>
      </c>
      <c r="D344" s="17" t="n">
        <f aca="false">$C344+DIAS_POR_SEMANA-1</f>
        <v>46327</v>
      </c>
      <c r="E344" s="15" t="s">
        <v>264</v>
      </c>
      <c r="F344" s="8" t="str">
        <f aca="false">IFERROR(INDEX(CADASTRO_PIVOS!$C$6:$C$41,MATCH($E344,CADASTRO_PIVOS!$B$6:$B$41,0)),"?")</f>
        <v>RM04</v>
      </c>
      <c r="G344" s="8" t="str">
        <f aca="false">IFERROR(INDEX(CADASTRO_PIVOS!$D$6:$D$41,MATCH($E344,CADASTRO_PIVOS!$B$6:$B$41,0)),"?")</f>
        <v>TR04</v>
      </c>
      <c r="H344" s="20" t="n">
        <f aca="false">IFERROR(INDEX(CADASTRO_PIVOS!$E$6:$E$41,MATCH($E344,CADASTRO_PIVOS!$B$6:$B$41,0)),0)</f>
        <v>129.16</v>
      </c>
      <c r="I344" s="16" t="n">
        <f aca="false">IFERROR(SUMIFS(ROTACAO_RDM!$B$6:$B$71,ROTACAO_RDM!$D$6:$D$71,$E344,ROTACAO_RDM!$I$6:$I$71,"&lt;="&amp;$C344+INT(DIAS_POR_SEMANA/2),ROTACAO_RDM!$J$6:$J$71,"&gt;="&amp;$C344+INT(DIAS_POR_SEMANA/2)),0)</f>
        <v>0</v>
      </c>
      <c r="J344" s="16" t="n">
        <f aca="false">IFERROR(MATCH($I344,ROTACAO_RDM!$B$6:$B$71,0),0)</f>
        <v>0</v>
      </c>
      <c r="K344" s="8" t="str">
        <f aca="false">IF($J344=0,"SEM CULTURA",INDEX(ROTACAO_RDM!$F$6:$F$71,$J344))</f>
        <v>SEM CULTURA</v>
      </c>
      <c r="L344" s="8" t="str">
        <f aca="false">IF($J344=0,"",INDEX(ROTACAO_RDM!$G$6:$G$71,$J344))</f>
        <v/>
      </c>
      <c r="M344" s="17" t="str">
        <f aca="false">IF($J344=0,"",INDEX(ROTACAO_RDM!$I$6:$I$71,$J344))</f>
        <v/>
      </c>
      <c r="N344" s="16" t="n">
        <f aca="false">IF($J344=0,0,MAX(0,$C344+INT(DIAS_POR_SEMANA/2)-INDEX(ROTACAO_RDM!$I$6:$I$71,$J344)))</f>
        <v>0</v>
      </c>
      <c r="O344" s="19" t="n">
        <f aca="false">IF($J344=0,0,MIN(1,$N344/MAX(1,INDEX(ROTACAO_RDM!$K$6:$K$71,$J344))))</f>
        <v>0</v>
      </c>
      <c r="P344" s="16" t="n">
        <f aca="false">IF($J344=0,0,IFERROR(MATCH(INDEX(ROTACAO_RDM!$N$6:$N$71,$J344),PARAMETROS_CULTURAS!$B$6:$B$28,0),0))</f>
        <v>0</v>
      </c>
      <c r="Q344" s="8" t="str">
        <f aca="false">IF($P344=0,"-",IF($O344&lt;=INDEX(PARAMETROS_CULTURAS!$F$6:$F$28,$P344),"INICIAL",IF($O344&lt;=INDEX(PARAMETROS_CULTURAS!$F$6:$F$28,$P344)+INDEX(PARAMETROS_CULTURAS!$G$6:$G$28,$P344),"DESENVOLVIMENTO",IF($O344&lt;=INDEX(PARAMETROS_CULTURAS!$F$6:$F$28,$P344)+INDEX(PARAMETROS_CULTURAS!$G$6:$G$28,$P344)+INDEX(PARAMETROS_CULTURAS!$H$6:$H$28,$P344),"MEDIA","FINAL"))))</f>
        <v>-</v>
      </c>
      <c r="R344" s="24" t="n">
        <f aca="false">IF($P344=0,0,IF($O344&lt;=INDEX(PARAMETROS_CULTURAS!$F$6:$F$28,$P344),INDEX(PARAMETROS_CULTURAS!$K$6:$K$28,$P344),IF($O344&lt;=INDEX(PARAMETROS_CULTURAS!$F$6:$F$28,$P344)+INDEX(PARAMETROS_CULTURAS!$G$6:$G$28,$P344),INDEX(PARAMETROS_CULTURAS!$K$6:$K$28,$P344)+(INDEX(PARAMETROS_CULTURAS!$L$6:$L$28,$P344)-INDEX(PARAMETROS_CULTURAS!$K$6:$K$28,$P344))*($O344-INDEX(PARAMETROS_CULTURAS!$F$6:$F$28,$P344))/MAX(INDEX(PARAMETROS_CULTURAS!$G$6:$G$28,$P344),0.0001),IF($O344&lt;=INDEX(PARAMETROS_CULTURAS!$F$6:$F$28,$P344)+INDEX(PARAMETROS_CULTURAS!$G$6:$G$28,$P344)+INDEX(PARAMETROS_CULTURAS!$H$6:$H$28,$P344),INDEX(PARAMETROS_CULTURAS!$L$6:$L$28,$P344),INDEX(PARAMETROS_CULTURAS!$L$6:$L$28,$P344)+(INDEX(PARAMETROS_CULTURAS!$M$6:$M$28,$P344)-INDEX(PARAMETROS_CULTURAS!$L$6:$L$28,$P344))*($O344-INDEX(PARAMETROS_CULTURAS!$F$6:$F$28,$P344)-INDEX(PARAMETROS_CULTURAS!$G$6:$G$28,$P344)-INDEX(PARAMETROS_CULTURAS!$H$6:$H$28,$P344))/MAX(INDEX(PARAMETROS_CULTURAS!$I$6:$I$28,$P344),0.0001)))))</f>
        <v>0</v>
      </c>
      <c r="S344" s="18" t="n">
        <f aca="false">IFERROR(INDEX(SEMANAS!$H$6:$H$71,MATCH($B344,SEMANAS!$B$6:$B$71,0)),0)</f>
        <v>38.5</v>
      </c>
      <c r="T344" s="18" t="n">
        <f aca="false">$R344*$S344</f>
        <v>0</v>
      </c>
      <c r="U344" s="18" t="n">
        <f aca="false">IFERROR(INDEX(SEMANAS!$I$6:$I$71,MATCH($B344,SEMANAS!$B$6:$B$71,0)),0)</f>
        <v>29.89</v>
      </c>
      <c r="V344" s="18" t="n">
        <f aca="false">IFERROR(INDEX(SEMANAS!$J$6:$J$71,MATCH($B344,SEMANAS!$B$6:$B$71,0)),0)</f>
        <v>23.912</v>
      </c>
      <c r="W344" s="18" t="n">
        <f aca="false">MAX(0,$T344-$V344)</f>
        <v>0</v>
      </c>
      <c r="X344" s="19" t="n">
        <f aca="false">IFERROR(INDEX(CADASTRO_PIVOS!$K$6:$K$41,MATCH($E344,CADASTRO_PIVOS!$B$6:$B$41,0)),EFICIENCIA_PADRAO)</f>
        <v>0.85</v>
      </c>
      <c r="Y344" s="18" t="n">
        <f aca="false">IF($X344&lt;=0,0,$W344/$X344)</f>
        <v>0</v>
      </c>
      <c r="Z344" s="16" t="n">
        <f aca="false">$Y344*$H344*MM_PARA_M3_HA</f>
        <v>0</v>
      </c>
      <c r="AA344" s="18" t="n">
        <f aca="false">IFERROR(INDEX(CADASTRO_PIVOS!$I$6:$I$41,MATCH($E344,CADASTRO_PIVOS!$B$6:$B$41,0)),0)</f>
        <v>922.571428571429</v>
      </c>
      <c r="AB344" s="18" t="n">
        <f aca="false">IF($Z344&lt;=0,0,$Z344/$AA344)</f>
        <v>0</v>
      </c>
      <c r="AC344" s="16" t="n">
        <f aca="false">IFERROR(INDEX(SEMANAS!$K$6:$K$71,MATCH($B344,SEMANAS!$B$6:$B$71,0)),0)</f>
        <v>147</v>
      </c>
      <c r="AD344" s="19" t="n">
        <f aca="false">IF($AC344&lt;=0,0,$AB344/$AC344)</f>
        <v>0</v>
      </c>
      <c r="AE344" s="8" t="str">
        <f aca="false">IF($K344="SEM CULTURA","SEM CULTURA",IF($AA344&lt;=0,"DADO PENDENTE",IF($AD344&gt;LIMITE_CRITICO,"INVIAVEL",IF($AD344&gt;LIMITE_ATENCAO,"CRITICO",IF($AD344&gt;LIMITE_CONFORTAVEL,"ATENCAO","OK")))))</f>
        <v>SEM CULTURA</v>
      </c>
      <c r="AF344" s="8" t="str">
        <f aca="false">$B344&amp;"|"&amp;TEXT($AD344,"0.000000")</f>
        <v>9|0.000000</v>
      </c>
      <c r="AG344" s="18" t="n">
        <f aca="false">IF($K344="SEM CULTURA",0,$T344*$H344)</f>
        <v>0</v>
      </c>
      <c r="AH344" s="18" t="n">
        <f aca="false">IF($K344="SEM CULTURA",0,$V344*$H344)</f>
        <v>0</v>
      </c>
      <c r="AI344" s="18" t="n">
        <f aca="false">IF($K344="SEM CULTURA",0,$W344*$H344)</f>
        <v>0</v>
      </c>
      <c r="AJ344" s="18" t="n">
        <f aca="false">IF($K344="SEM CULTURA",0,$S344*$H344)</f>
        <v>0</v>
      </c>
      <c r="AK344" s="8" t="str">
        <f aca="false">$E344&amp;"|"&amp;TEXT($AD344,"0.000000")</f>
        <v>PV 101|0.000000</v>
      </c>
    </row>
    <row r="345" customFormat="false" ht="15" hidden="false" customHeight="false" outlineLevel="0" collapsed="false">
      <c r="B345" s="16" t="n">
        <v>10</v>
      </c>
      <c r="C345" s="17" t="n">
        <f aca="false">DATA_INICIO_SAFRA+($B345-1)*DIAS_POR_SEMANA</f>
        <v>46328</v>
      </c>
      <c r="D345" s="17" t="n">
        <f aca="false">$C345+DIAS_POR_SEMANA-1</f>
        <v>46334</v>
      </c>
      <c r="E345" s="15" t="s">
        <v>264</v>
      </c>
      <c r="F345" s="8" t="str">
        <f aca="false">IFERROR(INDEX(CADASTRO_PIVOS!$C$6:$C$41,MATCH($E345,CADASTRO_PIVOS!$B$6:$B$41,0)),"?")</f>
        <v>RM04</v>
      </c>
      <c r="G345" s="8" t="str">
        <f aca="false">IFERROR(INDEX(CADASTRO_PIVOS!$D$6:$D$41,MATCH($E345,CADASTRO_PIVOS!$B$6:$B$41,0)),"?")</f>
        <v>TR04</v>
      </c>
      <c r="H345" s="20" t="n">
        <f aca="false">IFERROR(INDEX(CADASTRO_PIVOS!$E$6:$E$41,MATCH($E345,CADASTRO_PIVOS!$B$6:$B$41,0)),0)</f>
        <v>129.16</v>
      </c>
      <c r="I345" s="16" t="n">
        <f aca="false">IFERROR(SUMIFS(ROTACAO_RDM!$B$6:$B$71,ROTACAO_RDM!$D$6:$D$71,$E345,ROTACAO_RDM!$I$6:$I$71,"&lt;="&amp;$C345+INT(DIAS_POR_SEMANA/2),ROTACAO_RDM!$J$6:$J$71,"&gt;="&amp;$C345+INT(DIAS_POR_SEMANA/2)),0)</f>
        <v>0</v>
      </c>
      <c r="J345" s="16" t="n">
        <f aca="false">IFERROR(MATCH($I345,ROTACAO_RDM!$B$6:$B$71,0),0)</f>
        <v>0</v>
      </c>
      <c r="K345" s="8" t="str">
        <f aca="false">IF($J345=0,"SEM CULTURA",INDEX(ROTACAO_RDM!$F$6:$F$71,$J345))</f>
        <v>SEM CULTURA</v>
      </c>
      <c r="L345" s="8" t="str">
        <f aca="false">IF($J345=0,"",INDEX(ROTACAO_RDM!$G$6:$G$71,$J345))</f>
        <v/>
      </c>
      <c r="M345" s="17" t="str">
        <f aca="false">IF($J345=0,"",INDEX(ROTACAO_RDM!$I$6:$I$71,$J345))</f>
        <v/>
      </c>
      <c r="N345" s="16" t="n">
        <f aca="false">IF($J345=0,0,MAX(0,$C345+INT(DIAS_POR_SEMANA/2)-INDEX(ROTACAO_RDM!$I$6:$I$71,$J345)))</f>
        <v>0</v>
      </c>
      <c r="O345" s="19" t="n">
        <f aca="false">IF($J345=0,0,MIN(1,$N345/MAX(1,INDEX(ROTACAO_RDM!$K$6:$K$71,$J345))))</f>
        <v>0</v>
      </c>
      <c r="P345" s="16" t="n">
        <f aca="false">IF($J345=0,0,IFERROR(MATCH(INDEX(ROTACAO_RDM!$N$6:$N$71,$J345),PARAMETROS_CULTURAS!$B$6:$B$28,0),0))</f>
        <v>0</v>
      </c>
      <c r="Q345" s="8" t="str">
        <f aca="false">IF($P345=0,"-",IF($O345&lt;=INDEX(PARAMETROS_CULTURAS!$F$6:$F$28,$P345),"INICIAL",IF($O345&lt;=INDEX(PARAMETROS_CULTURAS!$F$6:$F$28,$P345)+INDEX(PARAMETROS_CULTURAS!$G$6:$G$28,$P345),"DESENVOLVIMENTO",IF($O345&lt;=INDEX(PARAMETROS_CULTURAS!$F$6:$F$28,$P345)+INDEX(PARAMETROS_CULTURAS!$G$6:$G$28,$P345)+INDEX(PARAMETROS_CULTURAS!$H$6:$H$28,$P345),"MEDIA","FINAL"))))</f>
        <v>-</v>
      </c>
      <c r="R345" s="24" t="n">
        <f aca="false">IF($P345=0,0,IF($O345&lt;=INDEX(PARAMETROS_CULTURAS!$F$6:$F$28,$P345),INDEX(PARAMETROS_CULTURAS!$K$6:$K$28,$P345),IF($O345&lt;=INDEX(PARAMETROS_CULTURAS!$F$6:$F$28,$P345)+INDEX(PARAMETROS_CULTURAS!$G$6:$G$28,$P345),INDEX(PARAMETROS_CULTURAS!$K$6:$K$28,$P345)+(INDEX(PARAMETROS_CULTURAS!$L$6:$L$28,$P345)-INDEX(PARAMETROS_CULTURAS!$K$6:$K$28,$P345))*($O345-INDEX(PARAMETROS_CULTURAS!$F$6:$F$28,$P345))/MAX(INDEX(PARAMETROS_CULTURAS!$G$6:$G$28,$P345),0.0001),IF($O345&lt;=INDEX(PARAMETROS_CULTURAS!$F$6:$F$28,$P345)+INDEX(PARAMETROS_CULTURAS!$G$6:$G$28,$P345)+INDEX(PARAMETROS_CULTURAS!$H$6:$H$28,$P345),INDEX(PARAMETROS_CULTURAS!$L$6:$L$28,$P345),INDEX(PARAMETROS_CULTURAS!$L$6:$L$28,$P345)+(INDEX(PARAMETROS_CULTURAS!$M$6:$M$28,$P345)-INDEX(PARAMETROS_CULTURAS!$L$6:$L$28,$P345))*($O345-INDEX(PARAMETROS_CULTURAS!$F$6:$F$28,$P345)-INDEX(PARAMETROS_CULTURAS!$G$6:$G$28,$P345)-INDEX(PARAMETROS_CULTURAS!$H$6:$H$28,$P345))/MAX(INDEX(PARAMETROS_CULTURAS!$I$6:$I$28,$P345),0.0001)))))</f>
        <v>0</v>
      </c>
      <c r="S345" s="18" t="n">
        <f aca="false">IFERROR(INDEX(SEMANAS!$H$6:$H$71,MATCH($B345,SEMANAS!$B$6:$B$71,0)),0)</f>
        <v>34.3</v>
      </c>
      <c r="T345" s="18" t="n">
        <f aca="false">$R345*$S345</f>
        <v>0</v>
      </c>
      <c r="U345" s="18" t="n">
        <f aca="false">IFERROR(INDEX(SEMANAS!$I$6:$I$71,MATCH($B345,SEMANAS!$B$6:$B$71,0)),0)</f>
        <v>46.69</v>
      </c>
      <c r="V345" s="18" t="n">
        <f aca="false">IFERROR(INDEX(SEMANAS!$J$6:$J$71,MATCH($B345,SEMANAS!$B$6:$B$71,0)),0)</f>
        <v>37.352</v>
      </c>
      <c r="W345" s="18" t="n">
        <f aca="false">MAX(0,$T345-$V345)</f>
        <v>0</v>
      </c>
      <c r="X345" s="19" t="n">
        <f aca="false">IFERROR(INDEX(CADASTRO_PIVOS!$K$6:$K$41,MATCH($E345,CADASTRO_PIVOS!$B$6:$B$41,0)),EFICIENCIA_PADRAO)</f>
        <v>0.85</v>
      </c>
      <c r="Y345" s="18" t="n">
        <f aca="false">IF($X345&lt;=0,0,$W345/$X345)</f>
        <v>0</v>
      </c>
      <c r="Z345" s="16" t="n">
        <f aca="false">$Y345*$H345*MM_PARA_M3_HA</f>
        <v>0</v>
      </c>
      <c r="AA345" s="18" t="n">
        <f aca="false">IFERROR(INDEX(CADASTRO_PIVOS!$I$6:$I$41,MATCH($E345,CADASTRO_PIVOS!$B$6:$B$41,0)),0)</f>
        <v>922.571428571429</v>
      </c>
      <c r="AB345" s="18" t="n">
        <f aca="false">IF($Z345&lt;=0,0,$Z345/$AA345)</f>
        <v>0</v>
      </c>
      <c r="AC345" s="16" t="n">
        <f aca="false">IFERROR(INDEX(SEMANAS!$K$6:$K$71,MATCH($B345,SEMANAS!$B$6:$B$71,0)),0)</f>
        <v>147</v>
      </c>
      <c r="AD345" s="19" t="n">
        <f aca="false">IF($AC345&lt;=0,0,$AB345/$AC345)</f>
        <v>0</v>
      </c>
      <c r="AE345" s="8" t="str">
        <f aca="false">IF($K345="SEM CULTURA","SEM CULTURA",IF($AA345&lt;=0,"DADO PENDENTE",IF($AD345&gt;LIMITE_CRITICO,"INVIAVEL",IF($AD345&gt;LIMITE_ATENCAO,"CRITICO",IF($AD345&gt;LIMITE_CONFORTAVEL,"ATENCAO","OK")))))</f>
        <v>SEM CULTURA</v>
      </c>
      <c r="AF345" s="8" t="str">
        <f aca="false">$B345&amp;"|"&amp;TEXT($AD345,"0.000000")</f>
        <v>10|0.000000</v>
      </c>
      <c r="AG345" s="18" t="n">
        <f aca="false">IF($K345="SEM CULTURA",0,$T345*$H345)</f>
        <v>0</v>
      </c>
      <c r="AH345" s="18" t="n">
        <f aca="false">IF($K345="SEM CULTURA",0,$V345*$H345)</f>
        <v>0</v>
      </c>
      <c r="AI345" s="18" t="n">
        <f aca="false">IF($K345="SEM CULTURA",0,$W345*$H345)</f>
        <v>0</v>
      </c>
      <c r="AJ345" s="18" t="n">
        <f aca="false">IF($K345="SEM CULTURA",0,$S345*$H345)</f>
        <v>0</v>
      </c>
      <c r="AK345" s="8" t="str">
        <f aca="false">$E345&amp;"|"&amp;TEXT($AD345,"0.000000")</f>
        <v>PV 101|0.000000</v>
      </c>
    </row>
    <row r="346" customFormat="false" ht="15" hidden="false" customHeight="false" outlineLevel="0" collapsed="false">
      <c r="B346" s="16" t="n">
        <v>11</v>
      </c>
      <c r="C346" s="17" t="n">
        <f aca="false">DATA_INICIO_SAFRA+($B346-1)*DIAS_POR_SEMANA</f>
        <v>46335</v>
      </c>
      <c r="D346" s="17" t="n">
        <f aca="false">$C346+DIAS_POR_SEMANA-1</f>
        <v>46341</v>
      </c>
      <c r="E346" s="15" t="s">
        <v>264</v>
      </c>
      <c r="F346" s="8" t="str">
        <f aca="false">IFERROR(INDEX(CADASTRO_PIVOS!$C$6:$C$41,MATCH($E346,CADASTRO_PIVOS!$B$6:$B$41,0)),"?")</f>
        <v>RM04</v>
      </c>
      <c r="G346" s="8" t="str">
        <f aca="false">IFERROR(INDEX(CADASTRO_PIVOS!$D$6:$D$41,MATCH($E346,CADASTRO_PIVOS!$B$6:$B$41,0)),"?")</f>
        <v>TR04</v>
      </c>
      <c r="H346" s="20" t="n">
        <f aca="false">IFERROR(INDEX(CADASTRO_PIVOS!$E$6:$E$41,MATCH($E346,CADASTRO_PIVOS!$B$6:$B$41,0)),0)</f>
        <v>129.16</v>
      </c>
      <c r="I346" s="16" t="n">
        <f aca="false">IFERROR(SUMIFS(ROTACAO_RDM!$B$6:$B$71,ROTACAO_RDM!$D$6:$D$71,$E346,ROTACAO_RDM!$I$6:$I$71,"&lt;="&amp;$C346+INT(DIAS_POR_SEMANA/2),ROTACAO_RDM!$J$6:$J$71,"&gt;="&amp;$C346+INT(DIAS_POR_SEMANA/2)),0)</f>
        <v>0</v>
      </c>
      <c r="J346" s="16" t="n">
        <f aca="false">IFERROR(MATCH($I346,ROTACAO_RDM!$B$6:$B$71,0),0)</f>
        <v>0</v>
      </c>
      <c r="K346" s="8" t="str">
        <f aca="false">IF($J346=0,"SEM CULTURA",INDEX(ROTACAO_RDM!$F$6:$F$71,$J346))</f>
        <v>SEM CULTURA</v>
      </c>
      <c r="L346" s="8" t="str">
        <f aca="false">IF($J346=0,"",INDEX(ROTACAO_RDM!$G$6:$G$71,$J346))</f>
        <v/>
      </c>
      <c r="M346" s="17" t="str">
        <f aca="false">IF($J346=0,"",INDEX(ROTACAO_RDM!$I$6:$I$71,$J346))</f>
        <v/>
      </c>
      <c r="N346" s="16" t="n">
        <f aca="false">IF($J346=0,0,MAX(0,$C346+INT(DIAS_POR_SEMANA/2)-INDEX(ROTACAO_RDM!$I$6:$I$71,$J346)))</f>
        <v>0</v>
      </c>
      <c r="O346" s="19" t="n">
        <f aca="false">IF($J346=0,0,MIN(1,$N346/MAX(1,INDEX(ROTACAO_RDM!$K$6:$K$71,$J346))))</f>
        <v>0</v>
      </c>
      <c r="P346" s="16" t="n">
        <f aca="false">IF($J346=0,0,IFERROR(MATCH(INDEX(ROTACAO_RDM!$N$6:$N$71,$J346),PARAMETROS_CULTURAS!$B$6:$B$28,0),0))</f>
        <v>0</v>
      </c>
      <c r="Q346" s="8" t="str">
        <f aca="false">IF($P346=0,"-",IF($O346&lt;=INDEX(PARAMETROS_CULTURAS!$F$6:$F$28,$P346),"INICIAL",IF($O346&lt;=INDEX(PARAMETROS_CULTURAS!$F$6:$F$28,$P346)+INDEX(PARAMETROS_CULTURAS!$G$6:$G$28,$P346),"DESENVOLVIMENTO",IF($O346&lt;=INDEX(PARAMETROS_CULTURAS!$F$6:$F$28,$P346)+INDEX(PARAMETROS_CULTURAS!$G$6:$G$28,$P346)+INDEX(PARAMETROS_CULTURAS!$H$6:$H$28,$P346),"MEDIA","FINAL"))))</f>
        <v>-</v>
      </c>
      <c r="R346" s="24" t="n">
        <f aca="false">IF($P346=0,0,IF($O346&lt;=INDEX(PARAMETROS_CULTURAS!$F$6:$F$28,$P346),INDEX(PARAMETROS_CULTURAS!$K$6:$K$28,$P346),IF($O346&lt;=INDEX(PARAMETROS_CULTURAS!$F$6:$F$28,$P346)+INDEX(PARAMETROS_CULTURAS!$G$6:$G$28,$P346),INDEX(PARAMETROS_CULTURAS!$K$6:$K$28,$P346)+(INDEX(PARAMETROS_CULTURAS!$L$6:$L$28,$P346)-INDEX(PARAMETROS_CULTURAS!$K$6:$K$28,$P346))*($O346-INDEX(PARAMETROS_CULTURAS!$F$6:$F$28,$P346))/MAX(INDEX(PARAMETROS_CULTURAS!$G$6:$G$28,$P346),0.0001),IF($O346&lt;=INDEX(PARAMETROS_CULTURAS!$F$6:$F$28,$P346)+INDEX(PARAMETROS_CULTURAS!$G$6:$G$28,$P346)+INDEX(PARAMETROS_CULTURAS!$H$6:$H$28,$P346),INDEX(PARAMETROS_CULTURAS!$L$6:$L$28,$P346),INDEX(PARAMETROS_CULTURAS!$L$6:$L$28,$P346)+(INDEX(PARAMETROS_CULTURAS!$M$6:$M$28,$P346)-INDEX(PARAMETROS_CULTURAS!$L$6:$L$28,$P346))*($O346-INDEX(PARAMETROS_CULTURAS!$F$6:$F$28,$P346)-INDEX(PARAMETROS_CULTURAS!$G$6:$G$28,$P346)-INDEX(PARAMETROS_CULTURAS!$H$6:$H$28,$P346))/MAX(INDEX(PARAMETROS_CULTURAS!$I$6:$I$28,$P346),0.0001)))))</f>
        <v>0</v>
      </c>
      <c r="S346" s="18" t="n">
        <f aca="false">IFERROR(INDEX(SEMANAS!$H$6:$H$71,MATCH($B346,SEMANAS!$B$6:$B$71,0)),0)</f>
        <v>34.3</v>
      </c>
      <c r="T346" s="18" t="n">
        <f aca="false">$R346*$S346</f>
        <v>0</v>
      </c>
      <c r="U346" s="18" t="n">
        <f aca="false">IFERROR(INDEX(SEMANAS!$I$6:$I$71,MATCH($B346,SEMANAS!$B$6:$B$71,0)),0)</f>
        <v>46.69</v>
      </c>
      <c r="V346" s="18" t="n">
        <f aca="false">IFERROR(INDEX(SEMANAS!$J$6:$J$71,MATCH($B346,SEMANAS!$B$6:$B$71,0)),0)</f>
        <v>37.352</v>
      </c>
      <c r="W346" s="18" t="n">
        <f aca="false">MAX(0,$T346-$V346)</f>
        <v>0</v>
      </c>
      <c r="X346" s="19" t="n">
        <f aca="false">IFERROR(INDEX(CADASTRO_PIVOS!$K$6:$K$41,MATCH($E346,CADASTRO_PIVOS!$B$6:$B$41,0)),EFICIENCIA_PADRAO)</f>
        <v>0.85</v>
      </c>
      <c r="Y346" s="18" t="n">
        <f aca="false">IF($X346&lt;=0,0,$W346/$X346)</f>
        <v>0</v>
      </c>
      <c r="Z346" s="16" t="n">
        <f aca="false">$Y346*$H346*MM_PARA_M3_HA</f>
        <v>0</v>
      </c>
      <c r="AA346" s="18" t="n">
        <f aca="false">IFERROR(INDEX(CADASTRO_PIVOS!$I$6:$I$41,MATCH($E346,CADASTRO_PIVOS!$B$6:$B$41,0)),0)</f>
        <v>922.571428571429</v>
      </c>
      <c r="AB346" s="18" t="n">
        <f aca="false">IF($Z346&lt;=0,0,$Z346/$AA346)</f>
        <v>0</v>
      </c>
      <c r="AC346" s="16" t="n">
        <f aca="false">IFERROR(INDEX(SEMANAS!$K$6:$K$71,MATCH($B346,SEMANAS!$B$6:$B$71,0)),0)</f>
        <v>147</v>
      </c>
      <c r="AD346" s="19" t="n">
        <f aca="false">IF($AC346&lt;=0,0,$AB346/$AC346)</f>
        <v>0</v>
      </c>
      <c r="AE346" s="8" t="str">
        <f aca="false">IF($K346="SEM CULTURA","SEM CULTURA",IF($AA346&lt;=0,"DADO PENDENTE",IF($AD346&gt;LIMITE_CRITICO,"INVIAVEL",IF($AD346&gt;LIMITE_ATENCAO,"CRITICO",IF($AD346&gt;LIMITE_CONFORTAVEL,"ATENCAO","OK")))))</f>
        <v>SEM CULTURA</v>
      </c>
      <c r="AF346" s="8" t="str">
        <f aca="false">$B346&amp;"|"&amp;TEXT($AD346,"0.000000")</f>
        <v>11|0.000000</v>
      </c>
      <c r="AG346" s="18" t="n">
        <f aca="false">IF($K346="SEM CULTURA",0,$T346*$H346)</f>
        <v>0</v>
      </c>
      <c r="AH346" s="18" t="n">
        <f aca="false">IF($K346="SEM CULTURA",0,$V346*$H346)</f>
        <v>0</v>
      </c>
      <c r="AI346" s="18" t="n">
        <f aca="false">IF($K346="SEM CULTURA",0,$W346*$H346)</f>
        <v>0</v>
      </c>
      <c r="AJ346" s="18" t="n">
        <f aca="false">IF($K346="SEM CULTURA",0,$S346*$H346)</f>
        <v>0</v>
      </c>
      <c r="AK346" s="8" t="str">
        <f aca="false">$E346&amp;"|"&amp;TEXT($AD346,"0.000000")</f>
        <v>PV 101|0.000000</v>
      </c>
    </row>
    <row r="347" customFormat="false" ht="15" hidden="false" customHeight="false" outlineLevel="0" collapsed="false">
      <c r="B347" s="16" t="n">
        <v>12</v>
      </c>
      <c r="C347" s="17" t="n">
        <f aca="false">DATA_INICIO_SAFRA+($B347-1)*DIAS_POR_SEMANA</f>
        <v>46342</v>
      </c>
      <c r="D347" s="17" t="n">
        <f aca="false">$C347+DIAS_POR_SEMANA-1</f>
        <v>46348</v>
      </c>
      <c r="E347" s="15" t="s">
        <v>264</v>
      </c>
      <c r="F347" s="8" t="str">
        <f aca="false">IFERROR(INDEX(CADASTRO_PIVOS!$C$6:$C$41,MATCH($E347,CADASTRO_PIVOS!$B$6:$B$41,0)),"?")</f>
        <v>RM04</v>
      </c>
      <c r="G347" s="8" t="str">
        <f aca="false">IFERROR(INDEX(CADASTRO_PIVOS!$D$6:$D$41,MATCH($E347,CADASTRO_PIVOS!$B$6:$B$41,0)),"?")</f>
        <v>TR04</v>
      </c>
      <c r="H347" s="20" t="n">
        <f aca="false">IFERROR(INDEX(CADASTRO_PIVOS!$E$6:$E$41,MATCH($E347,CADASTRO_PIVOS!$B$6:$B$41,0)),0)</f>
        <v>129.16</v>
      </c>
      <c r="I347" s="16" t="n">
        <f aca="false">IFERROR(SUMIFS(ROTACAO_RDM!$B$6:$B$71,ROTACAO_RDM!$D$6:$D$71,$E347,ROTACAO_RDM!$I$6:$I$71,"&lt;="&amp;$C347+INT(DIAS_POR_SEMANA/2),ROTACAO_RDM!$J$6:$J$71,"&gt;="&amp;$C347+INT(DIAS_POR_SEMANA/2)),0)</f>
        <v>0</v>
      </c>
      <c r="J347" s="16" t="n">
        <f aca="false">IFERROR(MATCH($I347,ROTACAO_RDM!$B$6:$B$71,0),0)</f>
        <v>0</v>
      </c>
      <c r="K347" s="8" t="str">
        <f aca="false">IF($J347=0,"SEM CULTURA",INDEX(ROTACAO_RDM!$F$6:$F$71,$J347))</f>
        <v>SEM CULTURA</v>
      </c>
      <c r="L347" s="8" t="str">
        <f aca="false">IF($J347=0,"",INDEX(ROTACAO_RDM!$G$6:$G$71,$J347))</f>
        <v/>
      </c>
      <c r="M347" s="17" t="str">
        <f aca="false">IF($J347=0,"",INDEX(ROTACAO_RDM!$I$6:$I$71,$J347))</f>
        <v/>
      </c>
      <c r="N347" s="16" t="n">
        <f aca="false">IF($J347=0,0,MAX(0,$C347+INT(DIAS_POR_SEMANA/2)-INDEX(ROTACAO_RDM!$I$6:$I$71,$J347)))</f>
        <v>0</v>
      </c>
      <c r="O347" s="19" t="n">
        <f aca="false">IF($J347=0,0,MIN(1,$N347/MAX(1,INDEX(ROTACAO_RDM!$K$6:$K$71,$J347))))</f>
        <v>0</v>
      </c>
      <c r="P347" s="16" t="n">
        <f aca="false">IF($J347=0,0,IFERROR(MATCH(INDEX(ROTACAO_RDM!$N$6:$N$71,$J347),PARAMETROS_CULTURAS!$B$6:$B$28,0),0))</f>
        <v>0</v>
      </c>
      <c r="Q347" s="8" t="str">
        <f aca="false">IF($P347=0,"-",IF($O347&lt;=INDEX(PARAMETROS_CULTURAS!$F$6:$F$28,$P347),"INICIAL",IF($O347&lt;=INDEX(PARAMETROS_CULTURAS!$F$6:$F$28,$P347)+INDEX(PARAMETROS_CULTURAS!$G$6:$G$28,$P347),"DESENVOLVIMENTO",IF($O347&lt;=INDEX(PARAMETROS_CULTURAS!$F$6:$F$28,$P347)+INDEX(PARAMETROS_CULTURAS!$G$6:$G$28,$P347)+INDEX(PARAMETROS_CULTURAS!$H$6:$H$28,$P347),"MEDIA","FINAL"))))</f>
        <v>-</v>
      </c>
      <c r="R347" s="24" t="n">
        <f aca="false">IF($P347=0,0,IF($O347&lt;=INDEX(PARAMETROS_CULTURAS!$F$6:$F$28,$P347),INDEX(PARAMETROS_CULTURAS!$K$6:$K$28,$P347),IF($O347&lt;=INDEX(PARAMETROS_CULTURAS!$F$6:$F$28,$P347)+INDEX(PARAMETROS_CULTURAS!$G$6:$G$28,$P347),INDEX(PARAMETROS_CULTURAS!$K$6:$K$28,$P347)+(INDEX(PARAMETROS_CULTURAS!$L$6:$L$28,$P347)-INDEX(PARAMETROS_CULTURAS!$K$6:$K$28,$P347))*($O347-INDEX(PARAMETROS_CULTURAS!$F$6:$F$28,$P347))/MAX(INDEX(PARAMETROS_CULTURAS!$G$6:$G$28,$P347),0.0001),IF($O347&lt;=INDEX(PARAMETROS_CULTURAS!$F$6:$F$28,$P347)+INDEX(PARAMETROS_CULTURAS!$G$6:$G$28,$P347)+INDEX(PARAMETROS_CULTURAS!$H$6:$H$28,$P347),INDEX(PARAMETROS_CULTURAS!$L$6:$L$28,$P347),INDEX(PARAMETROS_CULTURAS!$L$6:$L$28,$P347)+(INDEX(PARAMETROS_CULTURAS!$M$6:$M$28,$P347)-INDEX(PARAMETROS_CULTURAS!$L$6:$L$28,$P347))*($O347-INDEX(PARAMETROS_CULTURAS!$F$6:$F$28,$P347)-INDEX(PARAMETROS_CULTURAS!$G$6:$G$28,$P347)-INDEX(PARAMETROS_CULTURAS!$H$6:$H$28,$P347))/MAX(INDEX(PARAMETROS_CULTURAS!$I$6:$I$28,$P347),0.0001)))))</f>
        <v>0</v>
      </c>
      <c r="S347" s="18" t="n">
        <f aca="false">IFERROR(INDEX(SEMANAS!$H$6:$H$71,MATCH($B347,SEMANAS!$B$6:$B$71,0)),0)</f>
        <v>34.3</v>
      </c>
      <c r="T347" s="18" t="n">
        <f aca="false">$R347*$S347</f>
        <v>0</v>
      </c>
      <c r="U347" s="18" t="n">
        <f aca="false">IFERROR(INDEX(SEMANAS!$I$6:$I$71,MATCH($B347,SEMANAS!$B$6:$B$71,0)),0)</f>
        <v>46.69</v>
      </c>
      <c r="V347" s="18" t="n">
        <f aca="false">IFERROR(INDEX(SEMANAS!$J$6:$J$71,MATCH($B347,SEMANAS!$B$6:$B$71,0)),0)</f>
        <v>37.352</v>
      </c>
      <c r="W347" s="18" t="n">
        <f aca="false">MAX(0,$T347-$V347)</f>
        <v>0</v>
      </c>
      <c r="X347" s="19" t="n">
        <f aca="false">IFERROR(INDEX(CADASTRO_PIVOS!$K$6:$K$41,MATCH($E347,CADASTRO_PIVOS!$B$6:$B$41,0)),EFICIENCIA_PADRAO)</f>
        <v>0.85</v>
      </c>
      <c r="Y347" s="18" t="n">
        <f aca="false">IF($X347&lt;=0,0,$W347/$X347)</f>
        <v>0</v>
      </c>
      <c r="Z347" s="16" t="n">
        <f aca="false">$Y347*$H347*MM_PARA_M3_HA</f>
        <v>0</v>
      </c>
      <c r="AA347" s="18" t="n">
        <f aca="false">IFERROR(INDEX(CADASTRO_PIVOS!$I$6:$I$41,MATCH($E347,CADASTRO_PIVOS!$B$6:$B$41,0)),0)</f>
        <v>922.571428571429</v>
      </c>
      <c r="AB347" s="18" t="n">
        <f aca="false">IF($Z347&lt;=0,0,$Z347/$AA347)</f>
        <v>0</v>
      </c>
      <c r="AC347" s="16" t="n">
        <f aca="false">IFERROR(INDEX(SEMANAS!$K$6:$K$71,MATCH($B347,SEMANAS!$B$6:$B$71,0)),0)</f>
        <v>147</v>
      </c>
      <c r="AD347" s="19" t="n">
        <f aca="false">IF($AC347&lt;=0,0,$AB347/$AC347)</f>
        <v>0</v>
      </c>
      <c r="AE347" s="8" t="str">
        <f aca="false">IF($K347="SEM CULTURA","SEM CULTURA",IF($AA347&lt;=0,"DADO PENDENTE",IF($AD347&gt;LIMITE_CRITICO,"INVIAVEL",IF($AD347&gt;LIMITE_ATENCAO,"CRITICO",IF($AD347&gt;LIMITE_CONFORTAVEL,"ATENCAO","OK")))))</f>
        <v>SEM CULTURA</v>
      </c>
      <c r="AF347" s="8" t="str">
        <f aca="false">$B347&amp;"|"&amp;TEXT($AD347,"0.000000")</f>
        <v>12|0.000000</v>
      </c>
      <c r="AG347" s="18" t="n">
        <f aca="false">IF($K347="SEM CULTURA",0,$T347*$H347)</f>
        <v>0</v>
      </c>
      <c r="AH347" s="18" t="n">
        <f aca="false">IF($K347="SEM CULTURA",0,$V347*$H347)</f>
        <v>0</v>
      </c>
      <c r="AI347" s="18" t="n">
        <f aca="false">IF($K347="SEM CULTURA",0,$W347*$H347)</f>
        <v>0</v>
      </c>
      <c r="AJ347" s="18" t="n">
        <f aca="false">IF($K347="SEM CULTURA",0,$S347*$H347)</f>
        <v>0</v>
      </c>
      <c r="AK347" s="8" t="str">
        <f aca="false">$E347&amp;"|"&amp;TEXT($AD347,"0.000000")</f>
        <v>PV 101|0.000000</v>
      </c>
    </row>
    <row r="348" customFormat="false" ht="15" hidden="false" customHeight="false" outlineLevel="0" collapsed="false">
      <c r="B348" s="16" t="n">
        <v>13</v>
      </c>
      <c r="C348" s="17" t="n">
        <f aca="false">DATA_INICIO_SAFRA+($B348-1)*DIAS_POR_SEMANA</f>
        <v>46349</v>
      </c>
      <c r="D348" s="17" t="n">
        <f aca="false">$C348+DIAS_POR_SEMANA-1</f>
        <v>46355</v>
      </c>
      <c r="E348" s="15" t="s">
        <v>264</v>
      </c>
      <c r="F348" s="8" t="str">
        <f aca="false">IFERROR(INDEX(CADASTRO_PIVOS!$C$6:$C$41,MATCH($E348,CADASTRO_PIVOS!$B$6:$B$41,0)),"?")</f>
        <v>RM04</v>
      </c>
      <c r="G348" s="8" t="str">
        <f aca="false">IFERROR(INDEX(CADASTRO_PIVOS!$D$6:$D$41,MATCH($E348,CADASTRO_PIVOS!$B$6:$B$41,0)),"?")</f>
        <v>TR04</v>
      </c>
      <c r="H348" s="20" t="n">
        <f aca="false">IFERROR(INDEX(CADASTRO_PIVOS!$E$6:$E$41,MATCH($E348,CADASTRO_PIVOS!$B$6:$B$41,0)),0)</f>
        <v>129.16</v>
      </c>
      <c r="I348" s="16" t="n">
        <f aca="false">IFERROR(SUMIFS(ROTACAO_RDM!$B$6:$B$71,ROTACAO_RDM!$D$6:$D$71,$E348,ROTACAO_RDM!$I$6:$I$71,"&lt;="&amp;$C348+INT(DIAS_POR_SEMANA/2),ROTACAO_RDM!$J$6:$J$71,"&gt;="&amp;$C348+INT(DIAS_POR_SEMANA/2)),0)</f>
        <v>0</v>
      </c>
      <c r="J348" s="16" t="n">
        <f aca="false">IFERROR(MATCH($I348,ROTACAO_RDM!$B$6:$B$71,0),0)</f>
        <v>0</v>
      </c>
      <c r="K348" s="8" t="str">
        <f aca="false">IF($J348=0,"SEM CULTURA",INDEX(ROTACAO_RDM!$F$6:$F$71,$J348))</f>
        <v>SEM CULTURA</v>
      </c>
      <c r="L348" s="8" t="str">
        <f aca="false">IF($J348=0,"",INDEX(ROTACAO_RDM!$G$6:$G$71,$J348))</f>
        <v/>
      </c>
      <c r="M348" s="17" t="str">
        <f aca="false">IF($J348=0,"",INDEX(ROTACAO_RDM!$I$6:$I$71,$J348))</f>
        <v/>
      </c>
      <c r="N348" s="16" t="n">
        <f aca="false">IF($J348=0,0,MAX(0,$C348+INT(DIAS_POR_SEMANA/2)-INDEX(ROTACAO_RDM!$I$6:$I$71,$J348)))</f>
        <v>0</v>
      </c>
      <c r="O348" s="19" t="n">
        <f aca="false">IF($J348=0,0,MIN(1,$N348/MAX(1,INDEX(ROTACAO_RDM!$K$6:$K$71,$J348))))</f>
        <v>0</v>
      </c>
      <c r="P348" s="16" t="n">
        <f aca="false">IF($J348=0,0,IFERROR(MATCH(INDEX(ROTACAO_RDM!$N$6:$N$71,$J348),PARAMETROS_CULTURAS!$B$6:$B$28,0),0))</f>
        <v>0</v>
      </c>
      <c r="Q348" s="8" t="str">
        <f aca="false">IF($P348=0,"-",IF($O348&lt;=INDEX(PARAMETROS_CULTURAS!$F$6:$F$28,$P348),"INICIAL",IF($O348&lt;=INDEX(PARAMETROS_CULTURAS!$F$6:$F$28,$P348)+INDEX(PARAMETROS_CULTURAS!$G$6:$G$28,$P348),"DESENVOLVIMENTO",IF($O348&lt;=INDEX(PARAMETROS_CULTURAS!$F$6:$F$28,$P348)+INDEX(PARAMETROS_CULTURAS!$G$6:$G$28,$P348)+INDEX(PARAMETROS_CULTURAS!$H$6:$H$28,$P348),"MEDIA","FINAL"))))</f>
        <v>-</v>
      </c>
      <c r="R348" s="24" t="n">
        <f aca="false">IF($P348=0,0,IF($O348&lt;=INDEX(PARAMETROS_CULTURAS!$F$6:$F$28,$P348),INDEX(PARAMETROS_CULTURAS!$K$6:$K$28,$P348),IF($O348&lt;=INDEX(PARAMETROS_CULTURAS!$F$6:$F$28,$P348)+INDEX(PARAMETROS_CULTURAS!$G$6:$G$28,$P348),INDEX(PARAMETROS_CULTURAS!$K$6:$K$28,$P348)+(INDEX(PARAMETROS_CULTURAS!$L$6:$L$28,$P348)-INDEX(PARAMETROS_CULTURAS!$K$6:$K$28,$P348))*($O348-INDEX(PARAMETROS_CULTURAS!$F$6:$F$28,$P348))/MAX(INDEX(PARAMETROS_CULTURAS!$G$6:$G$28,$P348),0.0001),IF($O348&lt;=INDEX(PARAMETROS_CULTURAS!$F$6:$F$28,$P348)+INDEX(PARAMETROS_CULTURAS!$G$6:$G$28,$P348)+INDEX(PARAMETROS_CULTURAS!$H$6:$H$28,$P348),INDEX(PARAMETROS_CULTURAS!$L$6:$L$28,$P348),INDEX(PARAMETROS_CULTURAS!$L$6:$L$28,$P348)+(INDEX(PARAMETROS_CULTURAS!$M$6:$M$28,$P348)-INDEX(PARAMETROS_CULTURAS!$L$6:$L$28,$P348))*($O348-INDEX(PARAMETROS_CULTURAS!$F$6:$F$28,$P348)-INDEX(PARAMETROS_CULTURAS!$G$6:$G$28,$P348)-INDEX(PARAMETROS_CULTURAS!$H$6:$H$28,$P348))/MAX(INDEX(PARAMETROS_CULTURAS!$I$6:$I$28,$P348),0.0001)))))</f>
        <v>0</v>
      </c>
      <c r="S348" s="18" t="n">
        <f aca="false">IFERROR(INDEX(SEMANAS!$H$6:$H$71,MATCH($B348,SEMANAS!$B$6:$B$71,0)),0)</f>
        <v>34.3</v>
      </c>
      <c r="T348" s="18" t="n">
        <f aca="false">$R348*$S348</f>
        <v>0</v>
      </c>
      <c r="U348" s="18" t="n">
        <f aca="false">IFERROR(INDEX(SEMANAS!$I$6:$I$71,MATCH($B348,SEMANAS!$B$6:$B$71,0)),0)</f>
        <v>46.69</v>
      </c>
      <c r="V348" s="18" t="n">
        <f aca="false">IFERROR(INDEX(SEMANAS!$J$6:$J$71,MATCH($B348,SEMANAS!$B$6:$B$71,0)),0)</f>
        <v>37.352</v>
      </c>
      <c r="W348" s="18" t="n">
        <f aca="false">MAX(0,$T348-$V348)</f>
        <v>0</v>
      </c>
      <c r="X348" s="19" t="n">
        <f aca="false">IFERROR(INDEX(CADASTRO_PIVOS!$K$6:$K$41,MATCH($E348,CADASTRO_PIVOS!$B$6:$B$41,0)),EFICIENCIA_PADRAO)</f>
        <v>0.85</v>
      </c>
      <c r="Y348" s="18" t="n">
        <f aca="false">IF($X348&lt;=0,0,$W348/$X348)</f>
        <v>0</v>
      </c>
      <c r="Z348" s="16" t="n">
        <f aca="false">$Y348*$H348*MM_PARA_M3_HA</f>
        <v>0</v>
      </c>
      <c r="AA348" s="18" t="n">
        <f aca="false">IFERROR(INDEX(CADASTRO_PIVOS!$I$6:$I$41,MATCH($E348,CADASTRO_PIVOS!$B$6:$B$41,0)),0)</f>
        <v>922.571428571429</v>
      </c>
      <c r="AB348" s="18" t="n">
        <f aca="false">IF($Z348&lt;=0,0,$Z348/$AA348)</f>
        <v>0</v>
      </c>
      <c r="AC348" s="16" t="n">
        <f aca="false">IFERROR(INDEX(SEMANAS!$K$6:$K$71,MATCH($B348,SEMANAS!$B$6:$B$71,0)),0)</f>
        <v>147</v>
      </c>
      <c r="AD348" s="19" t="n">
        <f aca="false">IF($AC348&lt;=0,0,$AB348/$AC348)</f>
        <v>0</v>
      </c>
      <c r="AE348" s="8" t="str">
        <f aca="false">IF($K348="SEM CULTURA","SEM CULTURA",IF($AA348&lt;=0,"DADO PENDENTE",IF($AD348&gt;LIMITE_CRITICO,"INVIAVEL",IF($AD348&gt;LIMITE_ATENCAO,"CRITICO",IF($AD348&gt;LIMITE_CONFORTAVEL,"ATENCAO","OK")))))</f>
        <v>SEM CULTURA</v>
      </c>
      <c r="AF348" s="8" t="str">
        <f aca="false">$B348&amp;"|"&amp;TEXT($AD348,"0.000000")</f>
        <v>13|0.000000</v>
      </c>
      <c r="AG348" s="18" t="n">
        <f aca="false">IF($K348="SEM CULTURA",0,$T348*$H348)</f>
        <v>0</v>
      </c>
      <c r="AH348" s="18" t="n">
        <f aca="false">IF($K348="SEM CULTURA",0,$V348*$H348)</f>
        <v>0</v>
      </c>
      <c r="AI348" s="18" t="n">
        <f aca="false">IF($K348="SEM CULTURA",0,$W348*$H348)</f>
        <v>0</v>
      </c>
      <c r="AJ348" s="18" t="n">
        <f aca="false">IF($K348="SEM CULTURA",0,$S348*$H348)</f>
        <v>0</v>
      </c>
      <c r="AK348" s="8" t="str">
        <f aca="false">$E348&amp;"|"&amp;TEXT($AD348,"0.000000")</f>
        <v>PV 101|0.000000</v>
      </c>
    </row>
    <row r="349" customFormat="false" ht="15" hidden="false" customHeight="false" outlineLevel="0" collapsed="false">
      <c r="B349" s="16" t="n">
        <v>14</v>
      </c>
      <c r="C349" s="17" t="n">
        <f aca="false">DATA_INICIO_SAFRA+($B349-1)*DIAS_POR_SEMANA</f>
        <v>46356</v>
      </c>
      <c r="D349" s="17" t="n">
        <f aca="false">$C349+DIAS_POR_SEMANA-1</f>
        <v>46362</v>
      </c>
      <c r="E349" s="15" t="s">
        <v>264</v>
      </c>
      <c r="F349" s="8" t="str">
        <f aca="false">IFERROR(INDEX(CADASTRO_PIVOS!$C$6:$C$41,MATCH($E349,CADASTRO_PIVOS!$B$6:$B$41,0)),"?")</f>
        <v>RM04</v>
      </c>
      <c r="G349" s="8" t="str">
        <f aca="false">IFERROR(INDEX(CADASTRO_PIVOS!$D$6:$D$41,MATCH($E349,CADASTRO_PIVOS!$B$6:$B$41,0)),"?")</f>
        <v>TR04</v>
      </c>
      <c r="H349" s="20" t="n">
        <f aca="false">IFERROR(INDEX(CADASTRO_PIVOS!$E$6:$E$41,MATCH($E349,CADASTRO_PIVOS!$B$6:$B$41,0)),0)</f>
        <v>129.16</v>
      </c>
      <c r="I349" s="16" t="n">
        <f aca="false">IFERROR(SUMIFS(ROTACAO_RDM!$B$6:$B$71,ROTACAO_RDM!$D$6:$D$71,$E349,ROTACAO_RDM!$I$6:$I$71,"&lt;="&amp;$C349+INT(DIAS_POR_SEMANA/2),ROTACAO_RDM!$J$6:$J$71,"&gt;="&amp;$C349+INT(DIAS_POR_SEMANA/2)),0)</f>
        <v>1</v>
      </c>
      <c r="J349" s="16" t="n">
        <f aca="false">IFERROR(MATCH($I349,ROTACAO_RDM!$B$6:$B$71,0),0)</f>
        <v>1</v>
      </c>
      <c r="K349" s="8" t="str">
        <f aca="false">IF($J349=0,"SEM CULTURA",INDEX(ROTACAO_RDM!$F$6:$F$71,$J349))</f>
        <v>ALGODAO</v>
      </c>
      <c r="L349" s="8" t="str">
        <f aca="false">IF($J349=0,"",INDEX(ROTACAO_RDM!$G$6:$G$71,$J349))</f>
        <v>FM 933 STP</v>
      </c>
      <c r="M349" s="17" t="n">
        <f aca="false">IF($J349=0,"",INDEX(ROTACAO_RDM!$I$6:$I$71,$J349))</f>
        <v>46359</v>
      </c>
      <c r="N349" s="16" t="n">
        <f aca="false">IF($J349=0,0,MAX(0,$C349+INT(DIAS_POR_SEMANA/2)-INDEX(ROTACAO_RDM!$I$6:$I$71,$J349)))</f>
        <v>0</v>
      </c>
      <c r="O349" s="19" t="n">
        <f aca="false">IF($J349=0,0,MIN(1,$N349/MAX(1,INDEX(ROTACAO_RDM!$K$6:$K$71,$J349))))</f>
        <v>0</v>
      </c>
      <c r="P349" s="16" t="n">
        <f aca="false">IF($J349=0,0,IFERROR(MATCH(INDEX(ROTACAO_RDM!$N$6:$N$71,$J349),PARAMETROS_CULTURAS!$B$6:$B$28,0),0))</f>
        <v>5</v>
      </c>
      <c r="Q349" s="8" t="str">
        <f aca="false">IF($P349=0,"-",IF($O349&lt;=INDEX(PARAMETROS_CULTURAS!$F$6:$F$28,$P349),"INICIAL",IF($O349&lt;=INDEX(PARAMETROS_CULTURAS!$F$6:$F$28,$P349)+INDEX(PARAMETROS_CULTURAS!$G$6:$G$28,$P349),"DESENVOLVIMENTO",IF($O349&lt;=INDEX(PARAMETROS_CULTURAS!$F$6:$F$28,$P349)+INDEX(PARAMETROS_CULTURAS!$G$6:$G$28,$P349)+INDEX(PARAMETROS_CULTURAS!$H$6:$H$28,$P349),"MEDIA","FINAL"))))</f>
        <v>INICIAL</v>
      </c>
      <c r="R349" s="24" t="n">
        <f aca="false">IF($P349=0,0,IF($O349&lt;=INDEX(PARAMETROS_CULTURAS!$F$6:$F$28,$P349),INDEX(PARAMETROS_CULTURAS!$K$6:$K$28,$P349),IF($O349&lt;=INDEX(PARAMETROS_CULTURAS!$F$6:$F$28,$P349)+INDEX(PARAMETROS_CULTURAS!$G$6:$G$28,$P349),INDEX(PARAMETROS_CULTURAS!$K$6:$K$28,$P349)+(INDEX(PARAMETROS_CULTURAS!$L$6:$L$28,$P349)-INDEX(PARAMETROS_CULTURAS!$K$6:$K$28,$P349))*($O349-INDEX(PARAMETROS_CULTURAS!$F$6:$F$28,$P349))/MAX(INDEX(PARAMETROS_CULTURAS!$G$6:$G$28,$P349),0.0001),IF($O349&lt;=INDEX(PARAMETROS_CULTURAS!$F$6:$F$28,$P349)+INDEX(PARAMETROS_CULTURAS!$G$6:$G$28,$P349)+INDEX(PARAMETROS_CULTURAS!$H$6:$H$28,$P349),INDEX(PARAMETROS_CULTURAS!$L$6:$L$28,$P349),INDEX(PARAMETROS_CULTURAS!$L$6:$L$28,$P349)+(INDEX(PARAMETROS_CULTURAS!$M$6:$M$28,$P349)-INDEX(PARAMETROS_CULTURAS!$L$6:$L$28,$P349))*($O349-INDEX(PARAMETROS_CULTURAS!$F$6:$F$28,$P349)-INDEX(PARAMETROS_CULTURAS!$G$6:$G$28,$P349)-INDEX(PARAMETROS_CULTURAS!$H$6:$H$28,$P349))/MAX(INDEX(PARAMETROS_CULTURAS!$I$6:$I$28,$P349),0.0001)))))</f>
        <v>0.35</v>
      </c>
      <c r="S349" s="18" t="n">
        <f aca="false">IFERROR(INDEX(SEMANAS!$H$6:$H$71,MATCH($B349,SEMANAS!$B$6:$B$71,0)),0)</f>
        <v>33.1</v>
      </c>
      <c r="T349" s="18" t="n">
        <f aca="false">$R349*$S349</f>
        <v>11.585</v>
      </c>
      <c r="U349" s="18" t="n">
        <f aca="false">IFERROR(INDEX(SEMANAS!$I$6:$I$71,MATCH($B349,SEMANAS!$B$6:$B$71,0)),0)</f>
        <v>48.31</v>
      </c>
      <c r="V349" s="18" t="n">
        <f aca="false">IFERROR(INDEX(SEMANAS!$J$6:$J$71,MATCH($B349,SEMANAS!$B$6:$B$71,0)),0)</f>
        <v>38.648</v>
      </c>
      <c r="W349" s="18" t="n">
        <f aca="false">MAX(0,$T349-$V349)</f>
        <v>0</v>
      </c>
      <c r="X349" s="19" t="n">
        <f aca="false">IFERROR(INDEX(CADASTRO_PIVOS!$K$6:$K$41,MATCH($E349,CADASTRO_PIVOS!$B$6:$B$41,0)),EFICIENCIA_PADRAO)</f>
        <v>0.85</v>
      </c>
      <c r="Y349" s="18" t="n">
        <f aca="false">IF($X349&lt;=0,0,$W349/$X349)</f>
        <v>0</v>
      </c>
      <c r="Z349" s="16" t="n">
        <f aca="false">$Y349*$H349*MM_PARA_M3_HA</f>
        <v>0</v>
      </c>
      <c r="AA349" s="18" t="n">
        <f aca="false">IFERROR(INDEX(CADASTRO_PIVOS!$I$6:$I$41,MATCH($E349,CADASTRO_PIVOS!$B$6:$B$41,0)),0)</f>
        <v>922.571428571429</v>
      </c>
      <c r="AB349" s="18" t="n">
        <f aca="false">IF($Z349&lt;=0,0,$Z349/$AA349)</f>
        <v>0</v>
      </c>
      <c r="AC349" s="16" t="n">
        <f aca="false">IFERROR(INDEX(SEMANAS!$K$6:$K$71,MATCH($B349,SEMANAS!$B$6:$B$71,0)),0)</f>
        <v>147</v>
      </c>
      <c r="AD349" s="19" t="n">
        <f aca="false">IF($AC349&lt;=0,0,$AB349/$AC349)</f>
        <v>0</v>
      </c>
      <c r="AE349" s="8" t="str">
        <f aca="false">IF($K349="SEM CULTURA","SEM CULTURA",IF($AA349&lt;=0,"DADO PENDENTE",IF($AD349&gt;LIMITE_CRITICO,"INVIAVEL",IF($AD349&gt;LIMITE_ATENCAO,"CRITICO",IF($AD349&gt;LIMITE_CONFORTAVEL,"ATENCAO","OK")))))</f>
        <v>OK</v>
      </c>
      <c r="AF349" s="8" t="str">
        <f aca="false">$B349&amp;"|"&amp;TEXT($AD349,"0.000000")</f>
        <v>14|0.000000</v>
      </c>
      <c r="AG349" s="18" t="n">
        <f aca="false">IF($K349="SEM CULTURA",0,$T349*$H349)</f>
        <v>1496.3186</v>
      </c>
      <c r="AH349" s="18" t="n">
        <f aca="false">IF($K349="SEM CULTURA",0,$V349*$H349)</f>
        <v>4991.77568</v>
      </c>
      <c r="AI349" s="18" t="n">
        <f aca="false">IF($K349="SEM CULTURA",0,$W349*$H349)</f>
        <v>0</v>
      </c>
      <c r="AJ349" s="18" t="n">
        <f aca="false">IF($K349="SEM CULTURA",0,$S349*$H349)</f>
        <v>4275.196</v>
      </c>
      <c r="AK349" s="8" t="str">
        <f aca="false">$E349&amp;"|"&amp;TEXT($AD349,"0.000000")</f>
        <v>PV 101|0.000000</v>
      </c>
    </row>
    <row r="350" customFormat="false" ht="15" hidden="false" customHeight="false" outlineLevel="0" collapsed="false">
      <c r="B350" s="16" t="n">
        <v>15</v>
      </c>
      <c r="C350" s="17" t="n">
        <f aca="false">DATA_INICIO_SAFRA+($B350-1)*DIAS_POR_SEMANA</f>
        <v>46363</v>
      </c>
      <c r="D350" s="17" t="n">
        <f aca="false">$C350+DIAS_POR_SEMANA-1</f>
        <v>46369</v>
      </c>
      <c r="E350" s="15" t="s">
        <v>264</v>
      </c>
      <c r="F350" s="8" t="str">
        <f aca="false">IFERROR(INDEX(CADASTRO_PIVOS!$C$6:$C$41,MATCH($E350,CADASTRO_PIVOS!$B$6:$B$41,0)),"?")</f>
        <v>RM04</v>
      </c>
      <c r="G350" s="8" t="str">
        <f aca="false">IFERROR(INDEX(CADASTRO_PIVOS!$D$6:$D$41,MATCH($E350,CADASTRO_PIVOS!$B$6:$B$41,0)),"?")</f>
        <v>TR04</v>
      </c>
      <c r="H350" s="20" t="n">
        <f aca="false">IFERROR(INDEX(CADASTRO_PIVOS!$E$6:$E$41,MATCH($E350,CADASTRO_PIVOS!$B$6:$B$41,0)),0)</f>
        <v>129.16</v>
      </c>
      <c r="I350" s="16" t="n">
        <f aca="false">IFERROR(SUMIFS(ROTACAO_RDM!$B$6:$B$71,ROTACAO_RDM!$D$6:$D$71,$E350,ROTACAO_RDM!$I$6:$I$71,"&lt;="&amp;$C350+INT(DIAS_POR_SEMANA/2),ROTACAO_RDM!$J$6:$J$71,"&gt;="&amp;$C350+INT(DIAS_POR_SEMANA/2)),0)</f>
        <v>1</v>
      </c>
      <c r="J350" s="16" t="n">
        <f aca="false">IFERROR(MATCH($I350,ROTACAO_RDM!$B$6:$B$71,0),0)</f>
        <v>1</v>
      </c>
      <c r="K350" s="8" t="str">
        <f aca="false">IF($J350=0,"SEM CULTURA",INDEX(ROTACAO_RDM!$F$6:$F$71,$J350))</f>
        <v>ALGODAO</v>
      </c>
      <c r="L350" s="8" t="str">
        <f aca="false">IF($J350=0,"",INDEX(ROTACAO_RDM!$G$6:$G$71,$J350))</f>
        <v>FM 933 STP</v>
      </c>
      <c r="M350" s="17" t="n">
        <f aca="false">IF($J350=0,"",INDEX(ROTACAO_RDM!$I$6:$I$71,$J350))</f>
        <v>46359</v>
      </c>
      <c r="N350" s="16" t="n">
        <f aca="false">IF($J350=0,0,MAX(0,$C350+INT(DIAS_POR_SEMANA/2)-INDEX(ROTACAO_RDM!$I$6:$I$71,$J350)))</f>
        <v>7</v>
      </c>
      <c r="O350" s="19" t="n">
        <f aca="false">IF($J350=0,0,MIN(1,$N350/MAX(1,INDEX(ROTACAO_RDM!$K$6:$K$71,$J350))))</f>
        <v>0.0358974358974359</v>
      </c>
      <c r="P350" s="16" t="n">
        <f aca="false">IF($J350=0,0,IFERROR(MATCH(INDEX(ROTACAO_RDM!$N$6:$N$71,$J350),PARAMETROS_CULTURAS!$B$6:$B$28,0),0))</f>
        <v>5</v>
      </c>
      <c r="Q350" s="8" t="str">
        <f aca="false">IF($P350=0,"-",IF($O350&lt;=INDEX(PARAMETROS_CULTURAS!$F$6:$F$28,$P350),"INICIAL",IF($O350&lt;=INDEX(PARAMETROS_CULTURAS!$F$6:$F$28,$P350)+INDEX(PARAMETROS_CULTURAS!$G$6:$G$28,$P350),"DESENVOLVIMENTO",IF($O350&lt;=INDEX(PARAMETROS_CULTURAS!$F$6:$F$28,$P350)+INDEX(PARAMETROS_CULTURAS!$G$6:$G$28,$P350)+INDEX(PARAMETROS_CULTURAS!$H$6:$H$28,$P350),"MEDIA","FINAL"))))</f>
        <v>INICIAL</v>
      </c>
      <c r="R350" s="24" t="n">
        <f aca="false">IF($P350=0,0,IF($O350&lt;=INDEX(PARAMETROS_CULTURAS!$F$6:$F$28,$P350),INDEX(PARAMETROS_CULTURAS!$K$6:$K$28,$P350),IF($O350&lt;=INDEX(PARAMETROS_CULTURAS!$F$6:$F$28,$P350)+INDEX(PARAMETROS_CULTURAS!$G$6:$G$28,$P350),INDEX(PARAMETROS_CULTURAS!$K$6:$K$28,$P350)+(INDEX(PARAMETROS_CULTURAS!$L$6:$L$28,$P350)-INDEX(PARAMETROS_CULTURAS!$K$6:$K$28,$P350))*($O350-INDEX(PARAMETROS_CULTURAS!$F$6:$F$28,$P350))/MAX(INDEX(PARAMETROS_CULTURAS!$G$6:$G$28,$P350),0.0001),IF($O350&lt;=INDEX(PARAMETROS_CULTURAS!$F$6:$F$28,$P350)+INDEX(PARAMETROS_CULTURAS!$G$6:$G$28,$P350)+INDEX(PARAMETROS_CULTURAS!$H$6:$H$28,$P350),INDEX(PARAMETROS_CULTURAS!$L$6:$L$28,$P350),INDEX(PARAMETROS_CULTURAS!$L$6:$L$28,$P350)+(INDEX(PARAMETROS_CULTURAS!$M$6:$M$28,$P350)-INDEX(PARAMETROS_CULTURAS!$L$6:$L$28,$P350))*($O350-INDEX(PARAMETROS_CULTURAS!$F$6:$F$28,$P350)-INDEX(PARAMETROS_CULTURAS!$G$6:$G$28,$P350)-INDEX(PARAMETROS_CULTURAS!$H$6:$H$28,$P350))/MAX(INDEX(PARAMETROS_CULTURAS!$I$6:$I$28,$P350),0.0001)))))</f>
        <v>0.35</v>
      </c>
      <c r="S350" s="18" t="n">
        <f aca="false">IFERROR(INDEX(SEMANAS!$H$6:$H$71,MATCH($B350,SEMANAS!$B$6:$B$71,0)),0)</f>
        <v>32.9</v>
      </c>
      <c r="T350" s="18" t="n">
        <f aca="false">$R350*$S350</f>
        <v>11.515</v>
      </c>
      <c r="U350" s="18" t="n">
        <f aca="false">IFERROR(INDEX(SEMANAS!$I$6:$I$71,MATCH($B350,SEMANAS!$B$6:$B$71,0)),0)</f>
        <v>48.58</v>
      </c>
      <c r="V350" s="18" t="n">
        <f aca="false">IFERROR(INDEX(SEMANAS!$J$6:$J$71,MATCH($B350,SEMANAS!$B$6:$B$71,0)),0)</f>
        <v>38.864</v>
      </c>
      <c r="W350" s="18" t="n">
        <f aca="false">MAX(0,$T350-$V350)</f>
        <v>0</v>
      </c>
      <c r="X350" s="19" t="n">
        <f aca="false">IFERROR(INDEX(CADASTRO_PIVOS!$K$6:$K$41,MATCH($E350,CADASTRO_PIVOS!$B$6:$B$41,0)),EFICIENCIA_PADRAO)</f>
        <v>0.85</v>
      </c>
      <c r="Y350" s="18" t="n">
        <f aca="false">IF($X350&lt;=0,0,$W350/$X350)</f>
        <v>0</v>
      </c>
      <c r="Z350" s="16" t="n">
        <f aca="false">$Y350*$H350*MM_PARA_M3_HA</f>
        <v>0</v>
      </c>
      <c r="AA350" s="18" t="n">
        <f aca="false">IFERROR(INDEX(CADASTRO_PIVOS!$I$6:$I$41,MATCH($E350,CADASTRO_PIVOS!$B$6:$B$41,0)),0)</f>
        <v>922.571428571429</v>
      </c>
      <c r="AB350" s="18" t="n">
        <f aca="false">IF($Z350&lt;=0,0,$Z350/$AA350)</f>
        <v>0</v>
      </c>
      <c r="AC350" s="16" t="n">
        <f aca="false">IFERROR(INDEX(SEMANAS!$K$6:$K$71,MATCH($B350,SEMANAS!$B$6:$B$71,0)),0)</f>
        <v>147</v>
      </c>
      <c r="AD350" s="19" t="n">
        <f aca="false">IF($AC350&lt;=0,0,$AB350/$AC350)</f>
        <v>0</v>
      </c>
      <c r="AE350" s="8" t="str">
        <f aca="false">IF($K350="SEM CULTURA","SEM CULTURA",IF($AA350&lt;=0,"DADO PENDENTE",IF($AD350&gt;LIMITE_CRITICO,"INVIAVEL",IF($AD350&gt;LIMITE_ATENCAO,"CRITICO",IF($AD350&gt;LIMITE_CONFORTAVEL,"ATENCAO","OK")))))</f>
        <v>OK</v>
      </c>
      <c r="AF350" s="8" t="str">
        <f aca="false">$B350&amp;"|"&amp;TEXT($AD350,"0.000000")</f>
        <v>15|0.000000</v>
      </c>
      <c r="AG350" s="18" t="n">
        <f aca="false">IF($K350="SEM CULTURA",0,$T350*$H350)</f>
        <v>1487.2774</v>
      </c>
      <c r="AH350" s="18" t="n">
        <f aca="false">IF($K350="SEM CULTURA",0,$V350*$H350)</f>
        <v>5019.67424</v>
      </c>
      <c r="AI350" s="18" t="n">
        <f aca="false">IF($K350="SEM CULTURA",0,$W350*$H350)</f>
        <v>0</v>
      </c>
      <c r="AJ350" s="18" t="n">
        <f aca="false">IF($K350="SEM CULTURA",0,$S350*$H350)</f>
        <v>4249.364</v>
      </c>
      <c r="AK350" s="8" t="str">
        <f aca="false">$E350&amp;"|"&amp;TEXT($AD350,"0.000000")</f>
        <v>PV 101|0.000000</v>
      </c>
    </row>
    <row r="351" customFormat="false" ht="15" hidden="false" customHeight="false" outlineLevel="0" collapsed="false">
      <c r="B351" s="16" t="n">
        <v>16</v>
      </c>
      <c r="C351" s="17" t="n">
        <f aca="false">DATA_INICIO_SAFRA+($B351-1)*DIAS_POR_SEMANA</f>
        <v>46370</v>
      </c>
      <c r="D351" s="17" t="n">
        <f aca="false">$C351+DIAS_POR_SEMANA-1</f>
        <v>46376</v>
      </c>
      <c r="E351" s="15" t="s">
        <v>264</v>
      </c>
      <c r="F351" s="8" t="str">
        <f aca="false">IFERROR(INDEX(CADASTRO_PIVOS!$C$6:$C$41,MATCH($E351,CADASTRO_PIVOS!$B$6:$B$41,0)),"?")</f>
        <v>RM04</v>
      </c>
      <c r="G351" s="8" t="str">
        <f aca="false">IFERROR(INDEX(CADASTRO_PIVOS!$D$6:$D$41,MATCH($E351,CADASTRO_PIVOS!$B$6:$B$41,0)),"?")</f>
        <v>TR04</v>
      </c>
      <c r="H351" s="20" t="n">
        <f aca="false">IFERROR(INDEX(CADASTRO_PIVOS!$E$6:$E$41,MATCH($E351,CADASTRO_PIVOS!$B$6:$B$41,0)),0)</f>
        <v>129.16</v>
      </c>
      <c r="I351" s="16" t="n">
        <f aca="false">IFERROR(SUMIFS(ROTACAO_RDM!$B$6:$B$71,ROTACAO_RDM!$D$6:$D$71,$E351,ROTACAO_RDM!$I$6:$I$71,"&lt;="&amp;$C351+INT(DIAS_POR_SEMANA/2),ROTACAO_RDM!$J$6:$J$71,"&gt;="&amp;$C351+INT(DIAS_POR_SEMANA/2)),0)</f>
        <v>1</v>
      </c>
      <c r="J351" s="16" t="n">
        <f aca="false">IFERROR(MATCH($I351,ROTACAO_RDM!$B$6:$B$71,0),0)</f>
        <v>1</v>
      </c>
      <c r="K351" s="8" t="str">
        <f aca="false">IF($J351=0,"SEM CULTURA",INDEX(ROTACAO_RDM!$F$6:$F$71,$J351))</f>
        <v>ALGODAO</v>
      </c>
      <c r="L351" s="8" t="str">
        <f aca="false">IF($J351=0,"",INDEX(ROTACAO_RDM!$G$6:$G$71,$J351))</f>
        <v>FM 933 STP</v>
      </c>
      <c r="M351" s="17" t="n">
        <f aca="false">IF($J351=0,"",INDEX(ROTACAO_RDM!$I$6:$I$71,$J351))</f>
        <v>46359</v>
      </c>
      <c r="N351" s="16" t="n">
        <f aca="false">IF($J351=0,0,MAX(0,$C351+INT(DIAS_POR_SEMANA/2)-INDEX(ROTACAO_RDM!$I$6:$I$71,$J351)))</f>
        <v>14</v>
      </c>
      <c r="O351" s="19" t="n">
        <f aca="false">IF($J351=0,0,MIN(1,$N351/MAX(1,INDEX(ROTACAO_RDM!$K$6:$K$71,$J351))))</f>
        <v>0.0717948717948718</v>
      </c>
      <c r="P351" s="16" t="n">
        <f aca="false">IF($J351=0,0,IFERROR(MATCH(INDEX(ROTACAO_RDM!$N$6:$N$71,$J351),PARAMETROS_CULTURAS!$B$6:$B$28,0),0))</f>
        <v>5</v>
      </c>
      <c r="Q351" s="8" t="str">
        <f aca="false">IF($P351=0,"-",IF($O351&lt;=INDEX(PARAMETROS_CULTURAS!$F$6:$F$28,$P351),"INICIAL",IF($O351&lt;=INDEX(PARAMETROS_CULTURAS!$F$6:$F$28,$P351)+INDEX(PARAMETROS_CULTURAS!$G$6:$G$28,$P351),"DESENVOLVIMENTO",IF($O351&lt;=INDEX(PARAMETROS_CULTURAS!$F$6:$F$28,$P351)+INDEX(PARAMETROS_CULTURAS!$G$6:$G$28,$P351)+INDEX(PARAMETROS_CULTURAS!$H$6:$H$28,$P351),"MEDIA","FINAL"))))</f>
        <v>INICIAL</v>
      </c>
      <c r="R351" s="24" t="n">
        <f aca="false">IF($P351=0,0,IF($O351&lt;=INDEX(PARAMETROS_CULTURAS!$F$6:$F$28,$P351),INDEX(PARAMETROS_CULTURAS!$K$6:$K$28,$P351),IF($O351&lt;=INDEX(PARAMETROS_CULTURAS!$F$6:$F$28,$P351)+INDEX(PARAMETROS_CULTURAS!$G$6:$G$28,$P351),INDEX(PARAMETROS_CULTURAS!$K$6:$K$28,$P351)+(INDEX(PARAMETROS_CULTURAS!$L$6:$L$28,$P351)-INDEX(PARAMETROS_CULTURAS!$K$6:$K$28,$P351))*($O351-INDEX(PARAMETROS_CULTURAS!$F$6:$F$28,$P351))/MAX(INDEX(PARAMETROS_CULTURAS!$G$6:$G$28,$P351),0.0001),IF($O351&lt;=INDEX(PARAMETROS_CULTURAS!$F$6:$F$28,$P351)+INDEX(PARAMETROS_CULTURAS!$G$6:$G$28,$P351)+INDEX(PARAMETROS_CULTURAS!$H$6:$H$28,$P351),INDEX(PARAMETROS_CULTURAS!$L$6:$L$28,$P351),INDEX(PARAMETROS_CULTURAS!$L$6:$L$28,$P351)+(INDEX(PARAMETROS_CULTURAS!$M$6:$M$28,$P351)-INDEX(PARAMETROS_CULTURAS!$L$6:$L$28,$P351))*($O351-INDEX(PARAMETROS_CULTURAS!$F$6:$F$28,$P351)-INDEX(PARAMETROS_CULTURAS!$G$6:$G$28,$P351)-INDEX(PARAMETROS_CULTURAS!$H$6:$H$28,$P351))/MAX(INDEX(PARAMETROS_CULTURAS!$I$6:$I$28,$P351),0.0001)))))</f>
        <v>0.35</v>
      </c>
      <c r="S351" s="18" t="n">
        <f aca="false">IFERROR(INDEX(SEMANAS!$H$6:$H$71,MATCH($B351,SEMANAS!$B$6:$B$71,0)),0)</f>
        <v>32.9</v>
      </c>
      <c r="T351" s="18" t="n">
        <f aca="false">$R351*$S351</f>
        <v>11.515</v>
      </c>
      <c r="U351" s="18" t="n">
        <f aca="false">IFERROR(INDEX(SEMANAS!$I$6:$I$71,MATCH($B351,SEMANAS!$B$6:$B$71,0)),0)</f>
        <v>48.58</v>
      </c>
      <c r="V351" s="18" t="n">
        <f aca="false">IFERROR(INDEX(SEMANAS!$J$6:$J$71,MATCH($B351,SEMANAS!$B$6:$B$71,0)),0)</f>
        <v>38.864</v>
      </c>
      <c r="W351" s="18" t="n">
        <f aca="false">MAX(0,$T351-$V351)</f>
        <v>0</v>
      </c>
      <c r="X351" s="19" t="n">
        <f aca="false">IFERROR(INDEX(CADASTRO_PIVOS!$K$6:$K$41,MATCH($E351,CADASTRO_PIVOS!$B$6:$B$41,0)),EFICIENCIA_PADRAO)</f>
        <v>0.85</v>
      </c>
      <c r="Y351" s="18" t="n">
        <f aca="false">IF($X351&lt;=0,0,$W351/$X351)</f>
        <v>0</v>
      </c>
      <c r="Z351" s="16" t="n">
        <f aca="false">$Y351*$H351*MM_PARA_M3_HA</f>
        <v>0</v>
      </c>
      <c r="AA351" s="18" t="n">
        <f aca="false">IFERROR(INDEX(CADASTRO_PIVOS!$I$6:$I$41,MATCH($E351,CADASTRO_PIVOS!$B$6:$B$41,0)),0)</f>
        <v>922.571428571429</v>
      </c>
      <c r="AB351" s="18" t="n">
        <f aca="false">IF($Z351&lt;=0,0,$Z351/$AA351)</f>
        <v>0</v>
      </c>
      <c r="AC351" s="16" t="n">
        <f aca="false">IFERROR(INDEX(SEMANAS!$K$6:$K$71,MATCH($B351,SEMANAS!$B$6:$B$71,0)),0)</f>
        <v>147</v>
      </c>
      <c r="AD351" s="19" t="n">
        <f aca="false">IF($AC351&lt;=0,0,$AB351/$AC351)</f>
        <v>0</v>
      </c>
      <c r="AE351" s="8" t="str">
        <f aca="false">IF($K351="SEM CULTURA","SEM CULTURA",IF($AA351&lt;=0,"DADO PENDENTE",IF($AD351&gt;LIMITE_CRITICO,"INVIAVEL",IF($AD351&gt;LIMITE_ATENCAO,"CRITICO",IF($AD351&gt;LIMITE_CONFORTAVEL,"ATENCAO","OK")))))</f>
        <v>OK</v>
      </c>
      <c r="AF351" s="8" t="str">
        <f aca="false">$B351&amp;"|"&amp;TEXT($AD351,"0.000000")</f>
        <v>16|0.000000</v>
      </c>
      <c r="AG351" s="18" t="n">
        <f aca="false">IF($K351="SEM CULTURA",0,$T351*$H351)</f>
        <v>1487.2774</v>
      </c>
      <c r="AH351" s="18" t="n">
        <f aca="false">IF($K351="SEM CULTURA",0,$V351*$H351)</f>
        <v>5019.67424</v>
      </c>
      <c r="AI351" s="18" t="n">
        <f aca="false">IF($K351="SEM CULTURA",0,$W351*$H351)</f>
        <v>0</v>
      </c>
      <c r="AJ351" s="18" t="n">
        <f aca="false">IF($K351="SEM CULTURA",0,$S351*$H351)</f>
        <v>4249.364</v>
      </c>
      <c r="AK351" s="8" t="str">
        <f aca="false">$E351&amp;"|"&amp;TEXT($AD351,"0.000000")</f>
        <v>PV 101|0.000000</v>
      </c>
    </row>
    <row r="352" customFormat="false" ht="15" hidden="false" customHeight="false" outlineLevel="0" collapsed="false">
      <c r="B352" s="16" t="n">
        <v>17</v>
      </c>
      <c r="C352" s="17" t="n">
        <f aca="false">DATA_INICIO_SAFRA+($B352-1)*DIAS_POR_SEMANA</f>
        <v>46377</v>
      </c>
      <c r="D352" s="17" t="n">
        <f aca="false">$C352+DIAS_POR_SEMANA-1</f>
        <v>46383</v>
      </c>
      <c r="E352" s="15" t="s">
        <v>264</v>
      </c>
      <c r="F352" s="8" t="str">
        <f aca="false">IFERROR(INDEX(CADASTRO_PIVOS!$C$6:$C$41,MATCH($E352,CADASTRO_PIVOS!$B$6:$B$41,0)),"?")</f>
        <v>RM04</v>
      </c>
      <c r="G352" s="8" t="str">
        <f aca="false">IFERROR(INDEX(CADASTRO_PIVOS!$D$6:$D$41,MATCH($E352,CADASTRO_PIVOS!$B$6:$B$41,0)),"?")</f>
        <v>TR04</v>
      </c>
      <c r="H352" s="20" t="n">
        <f aca="false">IFERROR(INDEX(CADASTRO_PIVOS!$E$6:$E$41,MATCH($E352,CADASTRO_PIVOS!$B$6:$B$41,0)),0)</f>
        <v>129.16</v>
      </c>
      <c r="I352" s="16" t="n">
        <f aca="false">IFERROR(SUMIFS(ROTACAO_RDM!$B$6:$B$71,ROTACAO_RDM!$D$6:$D$71,$E352,ROTACAO_RDM!$I$6:$I$71,"&lt;="&amp;$C352+INT(DIAS_POR_SEMANA/2),ROTACAO_RDM!$J$6:$J$71,"&gt;="&amp;$C352+INT(DIAS_POR_SEMANA/2)),0)</f>
        <v>1</v>
      </c>
      <c r="J352" s="16" t="n">
        <f aca="false">IFERROR(MATCH($I352,ROTACAO_RDM!$B$6:$B$71,0),0)</f>
        <v>1</v>
      </c>
      <c r="K352" s="8" t="str">
        <f aca="false">IF($J352=0,"SEM CULTURA",INDEX(ROTACAO_RDM!$F$6:$F$71,$J352))</f>
        <v>ALGODAO</v>
      </c>
      <c r="L352" s="8" t="str">
        <f aca="false">IF($J352=0,"",INDEX(ROTACAO_RDM!$G$6:$G$71,$J352))</f>
        <v>FM 933 STP</v>
      </c>
      <c r="M352" s="17" t="n">
        <f aca="false">IF($J352=0,"",INDEX(ROTACAO_RDM!$I$6:$I$71,$J352))</f>
        <v>46359</v>
      </c>
      <c r="N352" s="16" t="n">
        <f aca="false">IF($J352=0,0,MAX(0,$C352+INT(DIAS_POR_SEMANA/2)-INDEX(ROTACAO_RDM!$I$6:$I$71,$J352)))</f>
        <v>21</v>
      </c>
      <c r="O352" s="19" t="n">
        <f aca="false">IF($J352=0,0,MIN(1,$N352/MAX(1,INDEX(ROTACAO_RDM!$K$6:$K$71,$J352))))</f>
        <v>0.107692307692308</v>
      </c>
      <c r="P352" s="16" t="n">
        <f aca="false">IF($J352=0,0,IFERROR(MATCH(INDEX(ROTACAO_RDM!$N$6:$N$71,$J352),PARAMETROS_CULTURAS!$B$6:$B$28,0),0))</f>
        <v>5</v>
      </c>
      <c r="Q352" s="8" t="str">
        <f aca="false">IF($P352=0,"-",IF($O352&lt;=INDEX(PARAMETROS_CULTURAS!$F$6:$F$28,$P352),"INICIAL",IF($O352&lt;=INDEX(PARAMETROS_CULTURAS!$F$6:$F$28,$P352)+INDEX(PARAMETROS_CULTURAS!$G$6:$G$28,$P352),"DESENVOLVIMENTO",IF($O352&lt;=INDEX(PARAMETROS_CULTURAS!$F$6:$F$28,$P352)+INDEX(PARAMETROS_CULTURAS!$G$6:$G$28,$P352)+INDEX(PARAMETROS_CULTURAS!$H$6:$H$28,$P352),"MEDIA","FINAL"))))</f>
        <v>INICIAL</v>
      </c>
      <c r="R352" s="24" t="n">
        <f aca="false">IF($P352=0,0,IF($O352&lt;=INDEX(PARAMETROS_CULTURAS!$F$6:$F$28,$P352),INDEX(PARAMETROS_CULTURAS!$K$6:$K$28,$P352),IF($O352&lt;=INDEX(PARAMETROS_CULTURAS!$F$6:$F$28,$P352)+INDEX(PARAMETROS_CULTURAS!$G$6:$G$28,$P352),INDEX(PARAMETROS_CULTURAS!$K$6:$K$28,$P352)+(INDEX(PARAMETROS_CULTURAS!$L$6:$L$28,$P352)-INDEX(PARAMETROS_CULTURAS!$K$6:$K$28,$P352))*($O352-INDEX(PARAMETROS_CULTURAS!$F$6:$F$28,$P352))/MAX(INDEX(PARAMETROS_CULTURAS!$G$6:$G$28,$P352),0.0001),IF($O352&lt;=INDEX(PARAMETROS_CULTURAS!$F$6:$F$28,$P352)+INDEX(PARAMETROS_CULTURAS!$G$6:$G$28,$P352)+INDEX(PARAMETROS_CULTURAS!$H$6:$H$28,$P352),INDEX(PARAMETROS_CULTURAS!$L$6:$L$28,$P352),INDEX(PARAMETROS_CULTURAS!$L$6:$L$28,$P352)+(INDEX(PARAMETROS_CULTURAS!$M$6:$M$28,$P352)-INDEX(PARAMETROS_CULTURAS!$L$6:$L$28,$P352))*($O352-INDEX(PARAMETROS_CULTURAS!$F$6:$F$28,$P352)-INDEX(PARAMETROS_CULTURAS!$G$6:$G$28,$P352)-INDEX(PARAMETROS_CULTURAS!$H$6:$H$28,$P352))/MAX(INDEX(PARAMETROS_CULTURAS!$I$6:$I$28,$P352),0.0001)))))</f>
        <v>0.35</v>
      </c>
      <c r="S352" s="18" t="n">
        <f aca="false">IFERROR(INDEX(SEMANAS!$H$6:$H$71,MATCH($B352,SEMANAS!$B$6:$B$71,0)),0)</f>
        <v>32.9</v>
      </c>
      <c r="T352" s="18" t="n">
        <f aca="false">$R352*$S352</f>
        <v>11.515</v>
      </c>
      <c r="U352" s="18" t="n">
        <f aca="false">IFERROR(INDEX(SEMANAS!$I$6:$I$71,MATCH($B352,SEMANAS!$B$6:$B$71,0)),0)</f>
        <v>48.58</v>
      </c>
      <c r="V352" s="18" t="n">
        <f aca="false">IFERROR(INDEX(SEMANAS!$J$6:$J$71,MATCH($B352,SEMANAS!$B$6:$B$71,0)),0)</f>
        <v>38.864</v>
      </c>
      <c r="W352" s="18" t="n">
        <f aca="false">MAX(0,$T352-$V352)</f>
        <v>0</v>
      </c>
      <c r="X352" s="19" t="n">
        <f aca="false">IFERROR(INDEX(CADASTRO_PIVOS!$K$6:$K$41,MATCH($E352,CADASTRO_PIVOS!$B$6:$B$41,0)),EFICIENCIA_PADRAO)</f>
        <v>0.85</v>
      </c>
      <c r="Y352" s="18" t="n">
        <f aca="false">IF($X352&lt;=0,0,$W352/$X352)</f>
        <v>0</v>
      </c>
      <c r="Z352" s="16" t="n">
        <f aca="false">$Y352*$H352*MM_PARA_M3_HA</f>
        <v>0</v>
      </c>
      <c r="AA352" s="18" t="n">
        <f aca="false">IFERROR(INDEX(CADASTRO_PIVOS!$I$6:$I$41,MATCH($E352,CADASTRO_PIVOS!$B$6:$B$41,0)),0)</f>
        <v>922.571428571429</v>
      </c>
      <c r="AB352" s="18" t="n">
        <f aca="false">IF($Z352&lt;=0,0,$Z352/$AA352)</f>
        <v>0</v>
      </c>
      <c r="AC352" s="16" t="n">
        <f aca="false">IFERROR(INDEX(SEMANAS!$K$6:$K$71,MATCH($B352,SEMANAS!$B$6:$B$71,0)),0)</f>
        <v>147</v>
      </c>
      <c r="AD352" s="19" t="n">
        <f aca="false">IF($AC352&lt;=0,0,$AB352/$AC352)</f>
        <v>0</v>
      </c>
      <c r="AE352" s="8" t="str">
        <f aca="false">IF($K352="SEM CULTURA","SEM CULTURA",IF($AA352&lt;=0,"DADO PENDENTE",IF($AD352&gt;LIMITE_CRITICO,"INVIAVEL",IF($AD352&gt;LIMITE_ATENCAO,"CRITICO",IF($AD352&gt;LIMITE_CONFORTAVEL,"ATENCAO","OK")))))</f>
        <v>OK</v>
      </c>
      <c r="AF352" s="8" t="str">
        <f aca="false">$B352&amp;"|"&amp;TEXT($AD352,"0.000000")</f>
        <v>17|0.000000</v>
      </c>
      <c r="AG352" s="18" t="n">
        <f aca="false">IF($K352="SEM CULTURA",0,$T352*$H352)</f>
        <v>1487.2774</v>
      </c>
      <c r="AH352" s="18" t="n">
        <f aca="false">IF($K352="SEM CULTURA",0,$V352*$H352)</f>
        <v>5019.67424</v>
      </c>
      <c r="AI352" s="18" t="n">
        <f aca="false">IF($K352="SEM CULTURA",0,$W352*$H352)</f>
        <v>0</v>
      </c>
      <c r="AJ352" s="18" t="n">
        <f aca="false">IF($K352="SEM CULTURA",0,$S352*$H352)</f>
        <v>4249.364</v>
      </c>
      <c r="AK352" s="8" t="str">
        <f aca="false">$E352&amp;"|"&amp;TEXT($AD352,"0.000000")</f>
        <v>PV 101|0.000000</v>
      </c>
    </row>
    <row r="353" customFormat="false" ht="15" hidden="false" customHeight="false" outlineLevel="0" collapsed="false">
      <c r="B353" s="16" t="n">
        <v>18</v>
      </c>
      <c r="C353" s="17" t="n">
        <f aca="false">DATA_INICIO_SAFRA+($B353-1)*DIAS_POR_SEMANA</f>
        <v>46384</v>
      </c>
      <c r="D353" s="17" t="n">
        <f aca="false">$C353+DIAS_POR_SEMANA-1</f>
        <v>46390</v>
      </c>
      <c r="E353" s="15" t="s">
        <v>264</v>
      </c>
      <c r="F353" s="8" t="str">
        <f aca="false">IFERROR(INDEX(CADASTRO_PIVOS!$C$6:$C$41,MATCH($E353,CADASTRO_PIVOS!$B$6:$B$41,0)),"?")</f>
        <v>RM04</v>
      </c>
      <c r="G353" s="8" t="str">
        <f aca="false">IFERROR(INDEX(CADASTRO_PIVOS!$D$6:$D$41,MATCH($E353,CADASTRO_PIVOS!$B$6:$B$41,0)),"?")</f>
        <v>TR04</v>
      </c>
      <c r="H353" s="20" t="n">
        <f aca="false">IFERROR(INDEX(CADASTRO_PIVOS!$E$6:$E$41,MATCH($E353,CADASTRO_PIVOS!$B$6:$B$41,0)),0)</f>
        <v>129.16</v>
      </c>
      <c r="I353" s="16" t="n">
        <f aca="false">IFERROR(SUMIFS(ROTACAO_RDM!$B$6:$B$71,ROTACAO_RDM!$D$6:$D$71,$E353,ROTACAO_RDM!$I$6:$I$71,"&lt;="&amp;$C353+INT(DIAS_POR_SEMANA/2),ROTACAO_RDM!$J$6:$J$71,"&gt;="&amp;$C353+INT(DIAS_POR_SEMANA/2)),0)</f>
        <v>1</v>
      </c>
      <c r="J353" s="16" t="n">
        <f aca="false">IFERROR(MATCH($I353,ROTACAO_RDM!$B$6:$B$71,0),0)</f>
        <v>1</v>
      </c>
      <c r="K353" s="8" t="str">
        <f aca="false">IF($J353=0,"SEM CULTURA",INDEX(ROTACAO_RDM!$F$6:$F$71,$J353))</f>
        <v>ALGODAO</v>
      </c>
      <c r="L353" s="8" t="str">
        <f aca="false">IF($J353=0,"",INDEX(ROTACAO_RDM!$G$6:$G$71,$J353))</f>
        <v>FM 933 STP</v>
      </c>
      <c r="M353" s="17" t="n">
        <f aca="false">IF($J353=0,"",INDEX(ROTACAO_RDM!$I$6:$I$71,$J353))</f>
        <v>46359</v>
      </c>
      <c r="N353" s="16" t="n">
        <f aca="false">IF($J353=0,0,MAX(0,$C353+INT(DIAS_POR_SEMANA/2)-INDEX(ROTACAO_RDM!$I$6:$I$71,$J353)))</f>
        <v>28</v>
      </c>
      <c r="O353" s="19" t="n">
        <f aca="false">IF($J353=0,0,MIN(1,$N353/MAX(1,INDEX(ROTACAO_RDM!$K$6:$K$71,$J353))))</f>
        <v>0.143589743589744</v>
      </c>
      <c r="P353" s="16" t="n">
        <f aca="false">IF($J353=0,0,IFERROR(MATCH(INDEX(ROTACAO_RDM!$N$6:$N$71,$J353),PARAMETROS_CULTURAS!$B$6:$B$28,0),0))</f>
        <v>5</v>
      </c>
      <c r="Q353" s="8" t="str">
        <f aca="false">IF($P353=0,"-",IF($O353&lt;=INDEX(PARAMETROS_CULTURAS!$F$6:$F$28,$P353),"INICIAL",IF($O353&lt;=INDEX(PARAMETROS_CULTURAS!$F$6:$F$28,$P353)+INDEX(PARAMETROS_CULTURAS!$G$6:$G$28,$P353),"DESENVOLVIMENTO",IF($O353&lt;=INDEX(PARAMETROS_CULTURAS!$F$6:$F$28,$P353)+INDEX(PARAMETROS_CULTURAS!$G$6:$G$28,$P353)+INDEX(PARAMETROS_CULTURAS!$H$6:$H$28,$P353),"MEDIA","FINAL"))))</f>
        <v>INICIAL</v>
      </c>
      <c r="R353" s="24" t="n">
        <f aca="false">IF($P353=0,0,IF($O353&lt;=INDEX(PARAMETROS_CULTURAS!$F$6:$F$28,$P353),INDEX(PARAMETROS_CULTURAS!$K$6:$K$28,$P353),IF($O353&lt;=INDEX(PARAMETROS_CULTURAS!$F$6:$F$28,$P353)+INDEX(PARAMETROS_CULTURAS!$G$6:$G$28,$P353),INDEX(PARAMETROS_CULTURAS!$K$6:$K$28,$P353)+(INDEX(PARAMETROS_CULTURAS!$L$6:$L$28,$P353)-INDEX(PARAMETROS_CULTURAS!$K$6:$K$28,$P353))*($O353-INDEX(PARAMETROS_CULTURAS!$F$6:$F$28,$P353))/MAX(INDEX(PARAMETROS_CULTURAS!$G$6:$G$28,$P353),0.0001),IF($O353&lt;=INDEX(PARAMETROS_CULTURAS!$F$6:$F$28,$P353)+INDEX(PARAMETROS_CULTURAS!$G$6:$G$28,$P353)+INDEX(PARAMETROS_CULTURAS!$H$6:$H$28,$P353),INDEX(PARAMETROS_CULTURAS!$L$6:$L$28,$P353),INDEX(PARAMETROS_CULTURAS!$L$6:$L$28,$P353)+(INDEX(PARAMETROS_CULTURAS!$M$6:$M$28,$P353)-INDEX(PARAMETROS_CULTURAS!$L$6:$L$28,$P353))*($O353-INDEX(PARAMETROS_CULTURAS!$F$6:$F$28,$P353)-INDEX(PARAMETROS_CULTURAS!$G$6:$G$28,$P353)-INDEX(PARAMETROS_CULTURAS!$H$6:$H$28,$P353))/MAX(INDEX(PARAMETROS_CULTURAS!$I$6:$I$28,$P353),0.0001)))))</f>
        <v>0.35</v>
      </c>
      <c r="S353" s="18" t="n">
        <f aca="false">IFERROR(INDEX(SEMANAS!$H$6:$H$71,MATCH($B353,SEMANAS!$B$6:$B$71,0)),0)</f>
        <v>33.2</v>
      </c>
      <c r="T353" s="18" t="n">
        <f aca="false">$R353*$S353</f>
        <v>11.62</v>
      </c>
      <c r="U353" s="18" t="n">
        <f aca="false">IFERROR(INDEX(SEMANAS!$I$6:$I$71,MATCH($B353,SEMANAS!$B$6:$B$71,0)),0)</f>
        <v>47.11</v>
      </c>
      <c r="V353" s="18" t="n">
        <f aca="false">IFERROR(INDEX(SEMANAS!$J$6:$J$71,MATCH($B353,SEMANAS!$B$6:$B$71,0)),0)</f>
        <v>37.688</v>
      </c>
      <c r="W353" s="18" t="n">
        <f aca="false">MAX(0,$T353-$V353)</f>
        <v>0</v>
      </c>
      <c r="X353" s="19" t="n">
        <f aca="false">IFERROR(INDEX(CADASTRO_PIVOS!$K$6:$K$41,MATCH($E353,CADASTRO_PIVOS!$B$6:$B$41,0)),EFICIENCIA_PADRAO)</f>
        <v>0.85</v>
      </c>
      <c r="Y353" s="18" t="n">
        <f aca="false">IF($X353&lt;=0,0,$W353/$X353)</f>
        <v>0</v>
      </c>
      <c r="Z353" s="16" t="n">
        <f aca="false">$Y353*$H353*MM_PARA_M3_HA</f>
        <v>0</v>
      </c>
      <c r="AA353" s="18" t="n">
        <f aca="false">IFERROR(INDEX(CADASTRO_PIVOS!$I$6:$I$41,MATCH($E353,CADASTRO_PIVOS!$B$6:$B$41,0)),0)</f>
        <v>922.571428571429</v>
      </c>
      <c r="AB353" s="18" t="n">
        <f aca="false">IF($Z353&lt;=0,0,$Z353/$AA353)</f>
        <v>0</v>
      </c>
      <c r="AC353" s="16" t="n">
        <f aca="false">IFERROR(INDEX(SEMANAS!$K$6:$K$71,MATCH($B353,SEMANAS!$B$6:$B$71,0)),0)</f>
        <v>147</v>
      </c>
      <c r="AD353" s="19" t="n">
        <f aca="false">IF($AC353&lt;=0,0,$AB353/$AC353)</f>
        <v>0</v>
      </c>
      <c r="AE353" s="8" t="str">
        <f aca="false">IF($K353="SEM CULTURA","SEM CULTURA",IF($AA353&lt;=0,"DADO PENDENTE",IF($AD353&gt;LIMITE_CRITICO,"INVIAVEL",IF($AD353&gt;LIMITE_ATENCAO,"CRITICO",IF($AD353&gt;LIMITE_CONFORTAVEL,"ATENCAO","OK")))))</f>
        <v>OK</v>
      </c>
      <c r="AF353" s="8" t="str">
        <f aca="false">$B353&amp;"|"&amp;TEXT($AD353,"0.000000")</f>
        <v>18|0.000000</v>
      </c>
      <c r="AG353" s="18" t="n">
        <f aca="false">IF($K353="SEM CULTURA",0,$T353*$H353)</f>
        <v>1500.8392</v>
      </c>
      <c r="AH353" s="18" t="n">
        <f aca="false">IF($K353="SEM CULTURA",0,$V353*$H353)</f>
        <v>4867.78208</v>
      </c>
      <c r="AI353" s="18" t="n">
        <f aca="false">IF($K353="SEM CULTURA",0,$W353*$H353)</f>
        <v>0</v>
      </c>
      <c r="AJ353" s="18" t="n">
        <f aca="false">IF($K353="SEM CULTURA",0,$S353*$H353)</f>
        <v>4288.112</v>
      </c>
      <c r="AK353" s="8" t="str">
        <f aca="false">$E353&amp;"|"&amp;TEXT($AD353,"0.000000")</f>
        <v>PV 101|0.000000</v>
      </c>
    </row>
    <row r="354" customFormat="false" ht="15" hidden="false" customHeight="false" outlineLevel="0" collapsed="false">
      <c r="B354" s="16" t="n">
        <v>19</v>
      </c>
      <c r="C354" s="17" t="n">
        <f aca="false">DATA_INICIO_SAFRA+($B354-1)*DIAS_POR_SEMANA</f>
        <v>46391</v>
      </c>
      <c r="D354" s="17" t="n">
        <f aca="false">$C354+DIAS_POR_SEMANA-1</f>
        <v>46397</v>
      </c>
      <c r="E354" s="15" t="s">
        <v>264</v>
      </c>
      <c r="F354" s="8" t="str">
        <f aca="false">IFERROR(INDEX(CADASTRO_PIVOS!$C$6:$C$41,MATCH($E354,CADASTRO_PIVOS!$B$6:$B$41,0)),"?")</f>
        <v>RM04</v>
      </c>
      <c r="G354" s="8" t="str">
        <f aca="false">IFERROR(INDEX(CADASTRO_PIVOS!$D$6:$D$41,MATCH($E354,CADASTRO_PIVOS!$B$6:$B$41,0)),"?")</f>
        <v>TR04</v>
      </c>
      <c r="H354" s="20" t="n">
        <f aca="false">IFERROR(INDEX(CADASTRO_PIVOS!$E$6:$E$41,MATCH($E354,CADASTRO_PIVOS!$B$6:$B$41,0)),0)</f>
        <v>129.16</v>
      </c>
      <c r="I354" s="16" t="n">
        <f aca="false">IFERROR(SUMIFS(ROTACAO_RDM!$B$6:$B$71,ROTACAO_RDM!$D$6:$D$71,$E354,ROTACAO_RDM!$I$6:$I$71,"&lt;="&amp;$C354+INT(DIAS_POR_SEMANA/2),ROTACAO_RDM!$J$6:$J$71,"&gt;="&amp;$C354+INT(DIAS_POR_SEMANA/2)),0)</f>
        <v>1</v>
      </c>
      <c r="J354" s="16" t="n">
        <f aca="false">IFERROR(MATCH($I354,ROTACAO_RDM!$B$6:$B$71,0),0)</f>
        <v>1</v>
      </c>
      <c r="K354" s="8" t="str">
        <f aca="false">IF($J354=0,"SEM CULTURA",INDEX(ROTACAO_RDM!$F$6:$F$71,$J354))</f>
        <v>ALGODAO</v>
      </c>
      <c r="L354" s="8" t="str">
        <f aca="false">IF($J354=0,"",INDEX(ROTACAO_RDM!$G$6:$G$71,$J354))</f>
        <v>FM 933 STP</v>
      </c>
      <c r="M354" s="17" t="n">
        <f aca="false">IF($J354=0,"",INDEX(ROTACAO_RDM!$I$6:$I$71,$J354))</f>
        <v>46359</v>
      </c>
      <c r="N354" s="16" t="n">
        <f aca="false">IF($J354=0,0,MAX(0,$C354+INT(DIAS_POR_SEMANA/2)-INDEX(ROTACAO_RDM!$I$6:$I$71,$J354)))</f>
        <v>35</v>
      </c>
      <c r="O354" s="19" t="n">
        <f aca="false">IF($J354=0,0,MIN(1,$N354/MAX(1,INDEX(ROTACAO_RDM!$K$6:$K$71,$J354))))</f>
        <v>0.17948717948718</v>
      </c>
      <c r="P354" s="16" t="n">
        <f aca="false">IF($J354=0,0,IFERROR(MATCH(INDEX(ROTACAO_RDM!$N$6:$N$71,$J354),PARAMETROS_CULTURAS!$B$6:$B$28,0),0))</f>
        <v>5</v>
      </c>
      <c r="Q354" s="8" t="str">
        <f aca="false">IF($P354=0,"-",IF($O354&lt;=INDEX(PARAMETROS_CULTURAS!$F$6:$F$28,$P354),"INICIAL",IF($O354&lt;=INDEX(PARAMETROS_CULTURAS!$F$6:$F$28,$P354)+INDEX(PARAMETROS_CULTURAS!$G$6:$G$28,$P354),"DESENVOLVIMENTO",IF($O354&lt;=INDEX(PARAMETROS_CULTURAS!$F$6:$F$28,$P354)+INDEX(PARAMETROS_CULTURAS!$G$6:$G$28,$P354)+INDEX(PARAMETROS_CULTURAS!$H$6:$H$28,$P354),"MEDIA","FINAL"))))</f>
        <v>DESENVOLVIMENTO</v>
      </c>
      <c r="R354" s="24" t="n">
        <f aca="false">IF($P354=0,0,IF($O354&lt;=INDEX(PARAMETROS_CULTURAS!$F$6:$F$28,$P354),INDEX(PARAMETROS_CULTURAS!$K$6:$K$28,$P354),IF($O354&lt;=INDEX(PARAMETROS_CULTURAS!$F$6:$F$28,$P354)+INDEX(PARAMETROS_CULTURAS!$G$6:$G$28,$P354),INDEX(PARAMETROS_CULTURAS!$K$6:$K$28,$P354)+(INDEX(PARAMETROS_CULTURAS!$L$6:$L$28,$P354)-INDEX(PARAMETROS_CULTURAS!$K$6:$K$28,$P354))*($O354-INDEX(PARAMETROS_CULTURAS!$F$6:$F$28,$P354))/MAX(INDEX(PARAMETROS_CULTURAS!$G$6:$G$28,$P354),0.0001),IF($O354&lt;=INDEX(PARAMETROS_CULTURAS!$F$6:$F$28,$P354)+INDEX(PARAMETROS_CULTURAS!$G$6:$G$28,$P354)+INDEX(PARAMETROS_CULTURAS!$H$6:$H$28,$P354),INDEX(PARAMETROS_CULTURAS!$L$6:$L$28,$P354),INDEX(PARAMETROS_CULTURAS!$L$6:$L$28,$P354)+(INDEX(PARAMETROS_CULTURAS!$M$6:$M$28,$P354)-INDEX(PARAMETROS_CULTURAS!$L$6:$L$28,$P354))*($O354-INDEX(PARAMETROS_CULTURAS!$F$6:$F$28,$P354)-INDEX(PARAMETROS_CULTURAS!$G$6:$G$28,$P354)-INDEX(PARAMETROS_CULTURAS!$H$6:$H$28,$P354))/MAX(INDEX(PARAMETROS_CULTURAS!$I$6:$I$28,$P354),0.0001)))))</f>
        <v>0.440729783037475</v>
      </c>
      <c r="S354" s="18" t="n">
        <f aca="false">IFERROR(INDEX(SEMANAS!$H$6:$H$71,MATCH($B354,SEMANAS!$B$6:$B$71,0)),0)</f>
        <v>33.6</v>
      </c>
      <c r="T354" s="18" t="n">
        <f aca="false">$R354*$S354</f>
        <v>14.8085207100592</v>
      </c>
      <c r="U354" s="18" t="n">
        <f aca="false">IFERROR(INDEX(SEMANAS!$I$6:$I$71,MATCH($B354,SEMANAS!$B$6:$B$71,0)),0)</f>
        <v>45.15</v>
      </c>
      <c r="V354" s="18" t="n">
        <f aca="false">IFERROR(INDEX(SEMANAS!$J$6:$J$71,MATCH($B354,SEMANAS!$B$6:$B$71,0)),0)</f>
        <v>36.12</v>
      </c>
      <c r="W354" s="18" t="n">
        <f aca="false">MAX(0,$T354-$V354)</f>
        <v>0</v>
      </c>
      <c r="X354" s="19" t="n">
        <f aca="false">IFERROR(INDEX(CADASTRO_PIVOS!$K$6:$K$41,MATCH($E354,CADASTRO_PIVOS!$B$6:$B$41,0)),EFICIENCIA_PADRAO)</f>
        <v>0.85</v>
      </c>
      <c r="Y354" s="18" t="n">
        <f aca="false">IF($X354&lt;=0,0,$W354/$X354)</f>
        <v>0</v>
      </c>
      <c r="Z354" s="16" t="n">
        <f aca="false">$Y354*$H354*MM_PARA_M3_HA</f>
        <v>0</v>
      </c>
      <c r="AA354" s="18" t="n">
        <f aca="false">IFERROR(INDEX(CADASTRO_PIVOS!$I$6:$I$41,MATCH($E354,CADASTRO_PIVOS!$B$6:$B$41,0)),0)</f>
        <v>922.571428571429</v>
      </c>
      <c r="AB354" s="18" t="n">
        <f aca="false">IF($Z354&lt;=0,0,$Z354/$AA354)</f>
        <v>0</v>
      </c>
      <c r="AC354" s="16" t="n">
        <f aca="false">IFERROR(INDEX(SEMANAS!$K$6:$K$71,MATCH($B354,SEMANAS!$B$6:$B$71,0)),0)</f>
        <v>147</v>
      </c>
      <c r="AD354" s="19" t="n">
        <f aca="false">IF($AC354&lt;=0,0,$AB354/$AC354)</f>
        <v>0</v>
      </c>
      <c r="AE354" s="8" t="str">
        <f aca="false">IF($K354="SEM CULTURA","SEM CULTURA",IF($AA354&lt;=0,"DADO PENDENTE",IF($AD354&gt;LIMITE_CRITICO,"INVIAVEL",IF($AD354&gt;LIMITE_ATENCAO,"CRITICO",IF($AD354&gt;LIMITE_CONFORTAVEL,"ATENCAO","OK")))))</f>
        <v>OK</v>
      </c>
      <c r="AF354" s="8" t="str">
        <f aca="false">$B354&amp;"|"&amp;TEXT($AD354,"0.000000")</f>
        <v>19|0.000000</v>
      </c>
      <c r="AG354" s="18" t="n">
        <f aca="false">IF($K354="SEM CULTURA",0,$T354*$H354)</f>
        <v>1912.66853491124</v>
      </c>
      <c r="AH354" s="18" t="n">
        <f aca="false">IF($K354="SEM CULTURA",0,$V354*$H354)</f>
        <v>4665.2592</v>
      </c>
      <c r="AI354" s="18" t="n">
        <f aca="false">IF($K354="SEM CULTURA",0,$W354*$H354)</f>
        <v>0</v>
      </c>
      <c r="AJ354" s="18" t="n">
        <f aca="false">IF($K354="SEM CULTURA",0,$S354*$H354)</f>
        <v>4339.776</v>
      </c>
      <c r="AK354" s="8" t="str">
        <f aca="false">$E354&amp;"|"&amp;TEXT($AD354,"0.000000")</f>
        <v>PV 101|0.000000</v>
      </c>
    </row>
    <row r="355" customFormat="false" ht="15" hidden="false" customHeight="false" outlineLevel="0" collapsed="false">
      <c r="B355" s="16" t="n">
        <v>20</v>
      </c>
      <c r="C355" s="17" t="n">
        <f aca="false">DATA_INICIO_SAFRA+($B355-1)*DIAS_POR_SEMANA</f>
        <v>46398</v>
      </c>
      <c r="D355" s="17" t="n">
        <f aca="false">$C355+DIAS_POR_SEMANA-1</f>
        <v>46404</v>
      </c>
      <c r="E355" s="15" t="s">
        <v>264</v>
      </c>
      <c r="F355" s="8" t="str">
        <f aca="false">IFERROR(INDEX(CADASTRO_PIVOS!$C$6:$C$41,MATCH($E355,CADASTRO_PIVOS!$B$6:$B$41,0)),"?")</f>
        <v>RM04</v>
      </c>
      <c r="G355" s="8" t="str">
        <f aca="false">IFERROR(INDEX(CADASTRO_PIVOS!$D$6:$D$41,MATCH($E355,CADASTRO_PIVOS!$B$6:$B$41,0)),"?")</f>
        <v>TR04</v>
      </c>
      <c r="H355" s="20" t="n">
        <f aca="false">IFERROR(INDEX(CADASTRO_PIVOS!$E$6:$E$41,MATCH($E355,CADASTRO_PIVOS!$B$6:$B$41,0)),0)</f>
        <v>129.16</v>
      </c>
      <c r="I355" s="16" t="n">
        <f aca="false">IFERROR(SUMIFS(ROTACAO_RDM!$B$6:$B$71,ROTACAO_RDM!$D$6:$D$71,$E355,ROTACAO_RDM!$I$6:$I$71,"&lt;="&amp;$C355+INT(DIAS_POR_SEMANA/2),ROTACAO_RDM!$J$6:$J$71,"&gt;="&amp;$C355+INT(DIAS_POR_SEMANA/2)),0)</f>
        <v>1</v>
      </c>
      <c r="J355" s="16" t="n">
        <f aca="false">IFERROR(MATCH($I355,ROTACAO_RDM!$B$6:$B$71,0),0)</f>
        <v>1</v>
      </c>
      <c r="K355" s="8" t="str">
        <f aca="false">IF($J355=0,"SEM CULTURA",INDEX(ROTACAO_RDM!$F$6:$F$71,$J355))</f>
        <v>ALGODAO</v>
      </c>
      <c r="L355" s="8" t="str">
        <f aca="false">IF($J355=0,"",INDEX(ROTACAO_RDM!$G$6:$G$71,$J355))</f>
        <v>FM 933 STP</v>
      </c>
      <c r="M355" s="17" t="n">
        <f aca="false">IF($J355=0,"",INDEX(ROTACAO_RDM!$I$6:$I$71,$J355))</f>
        <v>46359</v>
      </c>
      <c r="N355" s="16" t="n">
        <f aca="false">IF($J355=0,0,MAX(0,$C355+INT(DIAS_POR_SEMANA/2)-INDEX(ROTACAO_RDM!$I$6:$I$71,$J355)))</f>
        <v>42</v>
      </c>
      <c r="O355" s="19" t="n">
        <f aca="false">IF($J355=0,0,MIN(1,$N355/MAX(1,INDEX(ROTACAO_RDM!$K$6:$K$71,$J355))))</f>
        <v>0.215384615384615</v>
      </c>
      <c r="P355" s="16" t="n">
        <f aca="false">IF($J355=0,0,IFERROR(MATCH(INDEX(ROTACAO_RDM!$N$6:$N$71,$J355),PARAMETROS_CULTURAS!$B$6:$B$28,0),0))</f>
        <v>5</v>
      </c>
      <c r="Q355" s="8" t="str">
        <f aca="false">IF($P355=0,"-",IF($O355&lt;=INDEX(PARAMETROS_CULTURAS!$F$6:$F$28,$P355),"INICIAL",IF($O355&lt;=INDEX(PARAMETROS_CULTURAS!$F$6:$F$28,$P355)+INDEX(PARAMETROS_CULTURAS!$G$6:$G$28,$P355),"DESENVOLVIMENTO",IF($O355&lt;=INDEX(PARAMETROS_CULTURAS!$F$6:$F$28,$P355)+INDEX(PARAMETROS_CULTURAS!$G$6:$G$28,$P355)+INDEX(PARAMETROS_CULTURAS!$H$6:$H$28,$P355),"MEDIA","FINAL"))))</f>
        <v>DESENVOLVIMENTO</v>
      </c>
      <c r="R355" s="24" t="n">
        <f aca="false">IF($P355=0,0,IF($O355&lt;=INDEX(PARAMETROS_CULTURAS!$F$6:$F$28,$P355),INDEX(PARAMETROS_CULTURAS!$K$6:$K$28,$P355),IF($O355&lt;=INDEX(PARAMETROS_CULTURAS!$F$6:$F$28,$P355)+INDEX(PARAMETROS_CULTURAS!$G$6:$G$28,$P355),INDEX(PARAMETROS_CULTURAS!$K$6:$K$28,$P355)+(INDEX(PARAMETROS_CULTURAS!$L$6:$L$28,$P355)-INDEX(PARAMETROS_CULTURAS!$K$6:$K$28,$P355))*($O355-INDEX(PARAMETROS_CULTURAS!$F$6:$F$28,$P355))/MAX(INDEX(PARAMETROS_CULTURAS!$G$6:$G$28,$P355),0.0001),IF($O355&lt;=INDEX(PARAMETROS_CULTURAS!$F$6:$F$28,$P355)+INDEX(PARAMETROS_CULTURAS!$G$6:$G$28,$P355)+INDEX(PARAMETROS_CULTURAS!$H$6:$H$28,$P355),INDEX(PARAMETROS_CULTURAS!$L$6:$L$28,$P355),INDEX(PARAMETROS_CULTURAS!$L$6:$L$28,$P355)+(INDEX(PARAMETROS_CULTURAS!$M$6:$M$28,$P355)-INDEX(PARAMETROS_CULTURAS!$L$6:$L$28,$P355))*($O355-INDEX(PARAMETROS_CULTURAS!$F$6:$F$28,$P355)-INDEX(PARAMETROS_CULTURAS!$G$6:$G$28,$P355)-INDEX(PARAMETROS_CULTURAS!$H$6:$H$28,$P355))/MAX(INDEX(PARAMETROS_CULTURAS!$I$6:$I$28,$P355),0.0001)))))</f>
        <v>0.551183431952663</v>
      </c>
      <c r="S355" s="18" t="n">
        <f aca="false">IFERROR(INDEX(SEMANAS!$H$6:$H$71,MATCH($B355,SEMANAS!$B$6:$B$71,0)),0)</f>
        <v>33.6</v>
      </c>
      <c r="T355" s="18" t="n">
        <f aca="false">$R355*$S355</f>
        <v>18.5197633136095</v>
      </c>
      <c r="U355" s="18" t="n">
        <f aca="false">IFERROR(INDEX(SEMANAS!$I$6:$I$71,MATCH($B355,SEMANAS!$B$6:$B$71,0)),0)</f>
        <v>45.15</v>
      </c>
      <c r="V355" s="18" t="n">
        <f aca="false">IFERROR(INDEX(SEMANAS!$J$6:$J$71,MATCH($B355,SEMANAS!$B$6:$B$71,0)),0)</f>
        <v>36.12</v>
      </c>
      <c r="W355" s="18" t="n">
        <f aca="false">MAX(0,$T355-$V355)</f>
        <v>0</v>
      </c>
      <c r="X355" s="19" t="n">
        <f aca="false">IFERROR(INDEX(CADASTRO_PIVOS!$K$6:$K$41,MATCH($E355,CADASTRO_PIVOS!$B$6:$B$41,0)),EFICIENCIA_PADRAO)</f>
        <v>0.85</v>
      </c>
      <c r="Y355" s="18" t="n">
        <f aca="false">IF($X355&lt;=0,0,$W355/$X355)</f>
        <v>0</v>
      </c>
      <c r="Z355" s="16" t="n">
        <f aca="false">$Y355*$H355*MM_PARA_M3_HA</f>
        <v>0</v>
      </c>
      <c r="AA355" s="18" t="n">
        <f aca="false">IFERROR(INDEX(CADASTRO_PIVOS!$I$6:$I$41,MATCH($E355,CADASTRO_PIVOS!$B$6:$B$41,0)),0)</f>
        <v>922.571428571429</v>
      </c>
      <c r="AB355" s="18" t="n">
        <f aca="false">IF($Z355&lt;=0,0,$Z355/$AA355)</f>
        <v>0</v>
      </c>
      <c r="AC355" s="16" t="n">
        <f aca="false">IFERROR(INDEX(SEMANAS!$K$6:$K$71,MATCH($B355,SEMANAS!$B$6:$B$71,0)),0)</f>
        <v>147</v>
      </c>
      <c r="AD355" s="19" t="n">
        <f aca="false">IF($AC355&lt;=0,0,$AB355/$AC355)</f>
        <v>0</v>
      </c>
      <c r="AE355" s="8" t="str">
        <f aca="false">IF($K355="SEM CULTURA","SEM CULTURA",IF($AA355&lt;=0,"DADO PENDENTE",IF($AD355&gt;LIMITE_CRITICO,"INVIAVEL",IF($AD355&gt;LIMITE_ATENCAO,"CRITICO",IF($AD355&gt;LIMITE_CONFORTAVEL,"ATENCAO","OK")))))</f>
        <v>OK</v>
      </c>
      <c r="AF355" s="8" t="str">
        <f aca="false">$B355&amp;"|"&amp;TEXT($AD355,"0.000000")</f>
        <v>20|0.000000</v>
      </c>
      <c r="AG355" s="18" t="n">
        <f aca="false">IF($K355="SEM CULTURA",0,$T355*$H355)</f>
        <v>2392.0126295858</v>
      </c>
      <c r="AH355" s="18" t="n">
        <f aca="false">IF($K355="SEM CULTURA",0,$V355*$H355)</f>
        <v>4665.2592</v>
      </c>
      <c r="AI355" s="18" t="n">
        <f aca="false">IF($K355="SEM CULTURA",0,$W355*$H355)</f>
        <v>0</v>
      </c>
      <c r="AJ355" s="18" t="n">
        <f aca="false">IF($K355="SEM CULTURA",0,$S355*$H355)</f>
        <v>4339.776</v>
      </c>
      <c r="AK355" s="8" t="str">
        <f aca="false">$E355&amp;"|"&amp;TEXT($AD355,"0.000000")</f>
        <v>PV 101|0.000000</v>
      </c>
    </row>
    <row r="356" customFormat="false" ht="15" hidden="false" customHeight="false" outlineLevel="0" collapsed="false">
      <c r="B356" s="16" t="n">
        <v>21</v>
      </c>
      <c r="C356" s="17" t="n">
        <f aca="false">DATA_INICIO_SAFRA+($B356-1)*DIAS_POR_SEMANA</f>
        <v>46405</v>
      </c>
      <c r="D356" s="17" t="n">
        <f aca="false">$C356+DIAS_POR_SEMANA-1</f>
        <v>46411</v>
      </c>
      <c r="E356" s="15" t="s">
        <v>264</v>
      </c>
      <c r="F356" s="8" t="str">
        <f aca="false">IFERROR(INDEX(CADASTRO_PIVOS!$C$6:$C$41,MATCH($E356,CADASTRO_PIVOS!$B$6:$B$41,0)),"?")</f>
        <v>RM04</v>
      </c>
      <c r="G356" s="8" t="str">
        <f aca="false">IFERROR(INDEX(CADASTRO_PIVOS!$D$6:$D$41,MATCH($E356,CADASTRO_PIVOS!$B$6:$B$41,0)),"?")</f>
        <v>TR04</v>
      </c>
      <c r="H356" s="20" t="n">
        <f aca="false">IFERROR(INDEX(CADASTRO_PIVOS!$E$6:$E$41,MATCH($E356,CADASTRO_PIVOS!$B$6:$B$41,0)),0)</f>
        <v>129.16</v>
      </c>
      <c r="I356" s="16" t="n">
        <f aca="false">IFERROR(SUMIFS(ROTACAO_RDM!$B$6:$B$71,ROTACAO_RDM!$D$6:$D$71,$E356,ROTACAO_RDM!$I$6:$I$71,"&lt;="&amp;$C356+INT(DIAS_POR_SEMANA/2),ROTACAO_RDM!$J$6:$J$71,"&gt;="&amp;$C356+INT(DIAS_POR_SEMANA/2)),0)</f>
        <v>1</v>
      </c>
      <c r="J356" s="16" t="n">
        <f aca="false">IFERROR(MATCH($I356,ROTACAO_RDM!$B$6:$B$71,0),0)</f>
        <v>1</v>
      </c>
      <c r="K356" s="8" t="str">
        <f aca="false">IF($J356=0,"SEM CULTURA",INDEX(ROTACAO_RDM!$F$6:$F$71,$J356))</f>
        <v>ALGODAO</v>
      </c>
      <c r="L356" s="8" t="str">
        <f aca="false">IF($J356=0,"",INDEX(ROTACAO_RDM!$G$6:$G$71,$J356))</f>
        <v>FM 933 STP</v>
      </c>
      <c r="M356" s="17" t="n">
        <f aca="false">IF($J356=0,"",INDEX(ROTACAO_RDM!$I$6:$I$71,$J356))</f>
        <v>46359</v>
      </c>
      <c r="N356" s="16" t="n">
        <f aca="false">IF($J356=0,0,MAX(0,$C356+INT(DIAS_POR_SEMANA/2)-INDEX(ROTACAO_RDM!$I$6:$I$71,$J356)))</f>
        <v>49</v>
      </c>
      <c r="O356" s="19" t="n">
        <f aca="false">IF($J356=0,0,MIN(1,$N356/MAX(1,INDEX(ROTACAO_RDM!$K$6:$K$71,$J356))))</f>
        <v>0.251282051282051</v>
      </c>
      <c r="P356" s="16" t="n">
        <f aca="false">IF($J356=0,0,IFERROR(MATCH(INDEX(ROTACAO_RDM!$N$6:$N$71,$J356),PARAMETROS_CULTURAS!$B$6:$B$28,0),0))</f>
        <v>5</v>
      </c>
      <c r="Q356" s="8" t="str">
        <f aca="false">IF($P356=0,"-",IF($O356&lt;=INDEX(PARAMETROS_CULTURAS!$F$6:$F$28,$P356),"INICIAL",IF($O356&lt;=INDEX(PARAMETROS_CULTURAS!$F$6:$F$28,$P356)+INDEX(PARAMETROS_CULTURAS!$G$6:$G$28,$P356),"DESENVOLVIMENTO",IF($O356&lt;=INDEX(PARAMETROS_CULTURAS!$F$6:$F$28,$P356)+INDEX(PARAMETROS_CULTURAS!$G$6:$G$28,$P356)+INDEX(PARAMETROS_CULTURAS!$H$6:$H$28,$P356),"MEDIA","FINAL"))))</f>
        <v>DESENVOLVIMENTO</v>
      </c>
      <c r="R356" s="24" t="n">
        <f aca="false">IF($P356=0,0,IF($O356&lt;=INDEX(PARAMETROS_CULTURAS!$F$6:$F$28,$P356),INDEX(PARAMETROS_CULTURAS!$K$6:$K$28,$P356),IF($O356&lt;=INDEX(PARAMETROS_CULTURAS!$F$6:$F$28,$P356)+INDEX(PARAMETROS_CULTURAS!$G$6:$G$28,$P356),INDEX(PARAMETROS_CULTURAS!$K$6:$K$28,$P356)+(INDEX(PARAMETROS_CULTURAS!$L$6:$L$28,$P356)-INDEX(PARAMETROS_CULTURAS!$K$6:$K$28,$P356))*($O356-INDEX(PARAMETROS_CULTURAS!$F$6:$F$28,$P356))/MAX(INDEX(PARAMETROS_CULTURAS!$G$6:$G$28,$P356),0.0001),IF($O356&lt;=INDEX(PARAMETROS_CULTURAS!$F$6:$F$28,$P356)+INDEX(PARAMETROS_CULTURAS!$G$6:$G$28,$P356)+INDEX(PARAMETROS_CULTURAS!$H$6:$H$28,$P356),INDEX(PARAMETROS_CULTURAS!$L$6:$L$28,$P356),INDEX(PARAMETROS_CULTURAS!$L$6:$L$28,$P356)+(INDEX(PARAMETROS_CULTURAS!$M$6:$M$28,$P356)-INDEX(PARAMETROS_CULTURAS!$L$6:$L$28,$P356))*($O356-INDEX(PARAMETROS_CULTURAS!$F$6:$F$28,$P356)-INDEX(PARAMETROS_CULTURAS!$G$6:$G$28,$P356)-INDEX(PARAMETROS_CULTURAS!$H$6:$H$28,$P356))/MAX(INDEX(PARAMETROS_CULTURAS!$I$6:$I$28,$P356),0.0001)))))</f>
        <v>0.66163708086785</v>
      </c>
      <c r="S356" s="18" t="n">
        <f aca="false">IFERROR(INDEX(SEMANAS!$H$6:$H$71,MATCH($B356,SEMANAS!$B$6:$B$71,0)),0)</f>
        <v>33.6</v>
      </c>
      <c r="T356" s="18" t="n">
        <f aca="false">$R356*$S356</f>
        <v>22.2310059171598</v>
      </c>
      <c r="U356" s="18" t="n">
        <f aca="false">IFERROR(INDEX(SEMANAS!$I$6:$I$71,MATCH($B356,SEMANAS!$B$6:$B$71,0)),0)</f>
        <v>45.15</v>
      </c>
      <c r="V356" s="18" t="n">
        <f aca="false">IFERROR(INDEX(SEMANAS!$J$6:$J$71,MATCH($B356,SEMANAS!$B$6:$B$71,0)),0)</f>
        <v>36.12</v>
      </c>
      <c r="W356" s="18" t="n">
        <f aca="false">MAX(0,$T356-$V356)</f>
        <v>0</v>
      </c>
      <c r="X356" s="19" t="n">
        <f aca="false">IFERROR(INDEX(CADASTRO_PIVOS!$K$6:$K$41,MATCH($E356,CADASTRO_PIVOS!$B$6:$B$41,0)),EFICIENCIA_PADRAO)</f>
        <v>0.85</v>
      </c>
      <c r="Y356" s="18" t="n">
        <f aca="false">IF($X356&lt;=0,0,$W356/$X356)</f>
        <v>0</v>
      </c>
      <c r="Z356" s="16" t="n">
        <f aca="false">$Y356*$H356*MM_PARA_M3_HA</f>
        <v>0</v>
      </c>
      <c r="AA356" s="18" t="n">
        <f aca="false">IFERROR(INDEX(CADASTRO_PIVOS!$I$6:$I$41,MATCH($E356,CADASTRO_PIVOS!$B$6:$B$41,0)),0)</f>
        <v>922.571428571429</v>
      </c>
      <c r="AB356" s="18" t="n">
        <f aca="false">IF($Z356&lt;=0,0,$Z356/$AA356)</f>
        <v>0</v>
      </c>
      <c r="AC356" s="16" t="n">
        <f aca="false">IFERROR(INDEX(SEMANAS!$K$6:$K$71,MATCH($B356,SEMANAS!$B$6:$B$71,0)),0)</f>
        <v>147</v>
      </c>
      <c r="AD356" s="19" t="n">
        <f aca="false">IF($AC356&lt;=0,0,$AB356/$AC356)</f>
        <v>0</v>
      </c>
      <c r="AE356" s="8" t="str">
        <f aca="false">IF($K356="SEM CULTURA","SEM CULTURA",IF($AA356&lt;=0,"DADO PENDENTE",IF($AD356&gt;LIMITE_CRITICO,"INVIAVEL",IF($AD356&gt;LIMITE_ATENCAO,"CRITICO",IF($AD356&gt;LIMITE_CONFORTAVEL,"ATENCAO","OK")))))</f>
        <v>OK</v>
      </c>
      <c r="AF356" s="8" t="str">
        <f aca="false">$B356&amp;"|"&amp;TEXT($AD356,"0.000000")</f>
        <v>21|0.000000</v>
      </c>
      <c r="AG356" s="18" t="n">
        <f aca="false">IF($K356="SEM CULTURA",0,$T356*$H356)</f>
        <v>2871.35672426035</v>
      </c>
      <c r="AH356" s="18" t="n">
        <f aca="false">IF($K356="SEM CULTURA",0,$V356*$H356)</f>
        <v>4665.2592</v>
      </c>
      <c r="AI356" s="18" t="n">
        <f aca="false">IF($K356="SEM CULTURA",0,$W356*$H356)</f>
        <v>0</v>
      </c>
      <c r="AJ356" s="18" t="n">
        <f aca="false">IF($K356="SEM CULTURA",0,$S356*$H356)</f>
        <v>4339.776</v>
      </c>
      <c r="AK356" s="8" t="str">
        <f aca="false">$E356&amp;"|"&amp;TEXT($AD356,"0.000000")</f>
        <v>PV 101|0.000000</v>
      </c>
    </row>
    <row r="357" customFormat="false" ht="15" hidden="false" customHeight="false" outlineLevel="0" collapsed="false">
      <c r="B357" s="16" t="n">
        <v>22</v>
      </c>
      <c r="C357" s="17" t="n">
        <f aca="false">DATA_INICIO_SAFRA+($B357-1)*DIAS_POR_SEMANA</f>
        <v>46412</v>
      </c>
      <c r="D357" s="17" t="n">
        <f aca="false">$C357+DIAS_POR_SEMANA-1</f>
        <v>46418</v>
      </c>
      <c r="E357" s="15" t="s">
        <v>264</v>
      </c>
      <c r="F357" s="8" t="str">
        <f aca="false">IFERROR(INDEX(CADASTRO_PIVOS!$C$6:$C$41,MATCH($E357,CADASTRO_PIVOS!$B$6:$B$41,0)),"?")</f>
        <v>RM04</v>
      </c>
      <c r="G357" s="8" t="str">
        <f aca="false">IFERROR(INDEX(CADASTRO_PIVOS!$D$6:$D$41,MATCH($E357,CADASTRO_PIVOS!$B$6:$B$41,0)),"?")</f>
        <v>TR04</v>
      </c>
      <c r="H357" s="20" t="n">
        <f aca="false">IFERROR(INDEX(CADASTRO_PIVOS!$E$6:$E$41,MATCH($E357,CADASTRO_PIVOS!$B$6:$B$41,0)),0)</f>
        <v>129.16</v>
      </c>
      <c r="I357" s="16" t="n">
        <f aca="false">IFERROR(SUMIFS(ROTACAO_RDM!$B$6:$B$71,ROTACAO_RDM!$D$6:$D$71,$E357,ROTACAO_RDM!$I$6:$I$71,"&lt;="&amp;$C357+INT(DIAS_POR_SEMANA/2),ROTACAO_RDM!$J$6:$J$71,"&gt;="&amp;$C357+INT(DIAS_POR_SEMANA/2)),0)</f>
        <v>1</v>
      </c>
      <c r="J357" s="16" t="n">
        <f aca="false">IFERROR(MATCH($I357,ROTACAO_RDM!$B$6:$B$71,0),0)</f>
        <v>1</v>
      </c>
      <c r="K357" s="8" t="str">
        <f aca="false">IF($J357=0,"SEM CULTURA",INDEX(ROTACAO_RDM!$F$6:$F$71,$J357))</f>
        <v>ALGODAO</v>
      </c>
      <c r="L357" s="8" t="str">
        <f aca="false">IF($J357=0,"",INDEX(ROTACAO_RDM!$G$6:$G$71,$J357))</f>
        <v>FM 933 STP</v>
      </c>
      <c r="M357" s="17" t="n">
        <f aca="false">IF($J357=0,"",INDEX(ROTACAO_RDM!$I$6:$I$71,$J357))</f>
        <v>46359</v>
      </c>
      <c r="N357" s="16" t="n">
        <f aca="false">IF($J357=0,0,MAX(0,$C357+INT(DIAS_POR_SEMANA/2)-INDEX(ROTACAO_RDM!$I$6:$I$71,$J357)))</f>
        <v>56</v>
      </c>
      <c r="O357" s="19" t="n">
        <f aca="false">IF($J357=0,0,MIN(1,$N357/MAX(1,INDEX(ROTACAO_RDM!$K$6:$K$71,$J357))))</f>
        <v>0.287179487179487</v>
      </c>
      <c r="P357" s="16" t="n">
        <f aca="false">IF($J357=0,0,IFERROR(MATCH(INDEX(ROTACAO_RDM!$N$6:$N$71,$J357),PARAMETROS_CULTURAS!$B$6:$B$28,0),0))</f>
        <v>5</v>
      </c>
      <c r="Q357" s="8" t="str">
        <f aca="false">IF($P357=0,"-",IF($O357&lt;=INDEX(PARAMETROS_CULTURAS!$F$6:$F$28,$P357),"INICIAL",IF($O357&lt;=INDEX(PARAMETROS_CULTURAS!$F$6:$F$28,$P357)+INDEX(PARAMETROS_CULTURAS!$G$6:$G$28,$P357),"DESENVOLVIMENTO",IF($O357&lt;=INDEX(PARAMETROS_CULTURAS!$F$6:$F$28,$P357)+INDEX(PARAMETROS_CULTURAS!$G$6:$G$28,$P357)+INDEX(PARAMETROS_CULTURAS!$H$6:$H$28,$P357),"MEDIA","FINAL"))))</f>
        <v>DESENVOLVIMENTO</v>
      </c>
      <c r="R357" s="24" t="n">
        <f aca="false">IF($P357=0,0,IF($O357&lt;=INDEX(PARAMETROS_CULTURAS!$F$6:$F$28,$P357),INDEX(PARAMETROS_CULTURAS!$K$6:$K$28,$P357),IF($O357&lt;=INDEX(PARAMETROS_CULTURAS!$F$6:$F$28,$P357)+INDEX(PARAMETROS_CULTURAS!$G$6:$G$28,$P357),INDEX(PARAMETROS_CULTURAS!$K$6:$K$28,$P357)+(INDEX(PARAMETROS_CULTURAS!$L$6:$L$28,$P357)-INDEX(PARAMETROS_CULTURAS!$K$6:$K$28,$P357))*($O357-INDEX(PARAMETROS_CULTURAS!$F$6:$F$28,$P357))/MAX(INDEX(PARAMETROS_CULTURAS!$G$6:$G$28,$P357),0.0001),IF($O357&lt;=INDEX(PARAMETROS_CULTURAS!$F$6:$F$28,$P357)+INDEX(PARAMETROS_CULTURAS!$G$6:$G$28,$P357)+INDEX(PARAMETROS_CULTURAS!$H$6:$H$28,$P357),INDEX(PARAMETROS_CULTURAS!$L$6:$L$28,$P357),INDEX(PARAMETROS_CULTURAS!$L$6:$L$28,$P357)+(INDEX(PARAMETROS_CULTURAS!$M$6:$M$28,$P357)-INDEX(PARAMETROS_CULTURAS!$L$6:$L$28,$P357))*($O357-INDEX(PARAMETROS_CULTURAS!$F$6:$F$28,$P357)-INDEX(PARAMETROS_CULTURAS!$G$6:$G$28,$P357)-INDEX(PARAMETROS_CULTURAS!$H$6:$H$28,$P357))/MAX(INDEX(PARAMETROS_CULTURAS!$I$6:$I$28,$P357),0.0001)))))</f>
        <v>0.772090729783037</v>
      </c>
      <c r="S357" s="18" t="n">
        <f aca="false">IFERROR(INDEX(SEMANAS!$H$6:$H$71,MATCH($B357,SEMANAS!$B$6:$B$71,0)),0)</f>
        <v>33.6</v>
      </c>
      <c r="T357" s="18" t="n">
        <f aca="false">$R357*$S357</f>
        <v>25.9422485207101</v>
      </c>
      <c r="U357" s="18" t="n">
        <f aca="false">IFERROR(INDEX(SEMANAS!$I$6:$I$71,MATCH($B357,SEMANAS!$B$6:$B$71,0)),0)</f>
        <v>45.15</v>
      </c>
      <c r="V357" s="18" t="n">
        <f aca="false">IFERROR(INDEX(SEMANAS!$J$6:$J$71,MATCH($B357,SEMANAS!$B$6:$B$71,0)),0)</f>
        <v>36.12</v>
      </c>
      <c r="W357" s="18" t="n">
        <f aca="false">MAX(0,$T357-$V357)</f>
        <v>0</v>
      </c>
      <c r="X357" s="19" t="n">
        <f aca="false">IFERROR(INDEX(CADASTRO_PIVOS!$K$6:$K$41,MATCH($E357,CADASTRO_PIVOS!$B$6:$B$41,0)),EFICIENCIA_PADRAO)</f>
        <v>0.85</v>
      </c>
      <c r="Y357" s="18" t="n">
        <f aca="false">IF($X357&lt;=0,0,$W357/$X357)</f>
        <v>0</v>
      </c>
      <c r="Z357" s="16" t="n">
        <f aca="false">$Y357*$H357*MM_PARA_M3_HA</f>
        <v>0</v>
      </c>
      <c r="AA357" s="18" t="n">
        <f aca="false">IFERROR(INDEX(CADASTRO_PIVOS!$I$6:$I$41,MATCH($E357,CADASTRO_PIVOS!$B$6:$B$41,0)),0)</f>
        <v>922.571428571429</v>
      </c>
      <c r="AB357" s="18" t="n">
        <f aca="false">IF($Z357&lt;=0,0,$Z357/$AA357)</f>
        <v>0</v>
      </c>
      <c r="AC357" s="16" t="n">
        <f aca="false">IFERROR(INDEX(SEMANAS!$K$6:$K$71,MATCH($B357,SEMANAS!$B$6:$B$71,0)),0)</f>
        <v>147</v>
      </c>
      <c r="AD357" s="19" t="n">
        <f aca="false">IF($AC357&lt;=0,0,$AB357/$AC357)</f>
        <v>0</v>
      </c>
      <c r="AE357" s="8" t="str">
        <f aca="false">IF($K357="SEM CULTURA","SEM CULTURA",IF($AA357&lt;=0,"DADO PENDENTE",IF($AD357&gt;LIMITE_CRITICO,"INVIAVEL",IF($AD357&gt;LIMITE_ATENCAO,"CRITICO",IF($AD357&gt;LIMITE_CONFORTAVEL,"ATENCAO","OK")))))</f>
        <v>OK</v>
      </c>
      <c r="AF357" s="8" t="str">
        <f aca="false">$B357&amp;"|"&amp;TEXT($AD357,"0.000000")</f>
        <v>22|0.000000</v>
      </c>
      <c r="AG357" s="18" t="n">
        <f aca="false">IF($K357="SEM CULTURA",0,$T357*$H357)</f>
        <v>3350.70081893491</v>
      </c>
      <c r="AH357" s="18" t="n">
        <f aca="false">IF($K357="SEM CULTURA",0,$V357*$H357)</f>
        <v>4665.2592</v>
      </c>
      <c r="AI357" s="18" t="n">
        <f aca="false">IF($K357="SEM CULTURA",0,$W357*$H357)</f>
        <v>0</v>
      </c>
      <c r="AJ357" s="18" t="n">
        <f aca="false">IF($K357="SEM CULTURA",0,$S357*$H357)</f>
        <v>4339.776</v>
      </c>
      <c r="AK357" s="8" t="str">
        <f aca="false">$E357&amp;"|"&amp;TEXT($AD357,"0.000000")</f>
        <v>PV 101|0.000000</v>
      </c>
    </row>
    <row r="358" customFormat="false" ht="15" hidden="false" customHeight="false" outlineLevel="0" collapsed="false">
      <c r="B358" s="16" t="n">
        <v>23</v>
      </c>
      <c r="C358" s="17" t="n">
        <f aca="false">DATA_INICIO_SAFRA+($B358-1)*DIAS_POR_SEMANA</f>
        <v>46419</v>
      </c>
      <c r="D358" s="17" t="n">
        <f aca="false">$C358+DIAS_POR_SEMANA-1</f>
        <v>46425</v>
      </c>
      <c r="E358" s="15" t="s">
        <v>264</v>
      </c>
      <c r="F358" s="8" t="str">
        <f aca="false">IFERROR(INDEX(CADASTRO_PIVOS!$C$6:$C$41,MATCH($E358,CADASTRO_PIVOS!$B$6:$B$41,0)),"?")</f>
        <v>RM04</v>
      </c>
      <c r="G358" s="8" t="str">
        <f aca="false">IFERROR(INDEX(CADASTRO_PIVOS!$D$6:$D$41,MATCH($E358,CADASTRO_PIVOS!$B$6:$B$41,0)),"?")</f>
        <v>TR04</v>
      </c>
      <c r="H358" s="20" t="n">
        <f aca="false">IFERROR(INDEX(CADASTRO_PIVOS!$E$6:$E$41,MATCH($E358,CADASTRO_PIVOS!$B$6:$B$41,0)),0)</f>
        <v>129.16</v>
      </c>
      <c r="I358" s="16" t="n">
        <f aca="false">IFERROR(SUMIFS(ROTACAO_RDM!$B$6:$B$71,ROTACAO_RDM!$D$6:$D$71,$E358,ROTACAO_RDM!$I$6:$I$71,"&lt;="&amp;$C358+INT(DIAS_POR_SEMANA/2),ROTACAO_RDM!$J$6:$J$71,"&gt;="&amp;$C358+INT(DIAS_POR_SEMANA/2)),0)</f>
        <v>1</v>
      </c>
      <c r="J358" s="16" t="n">
        <f aca="false">IFERROR(MATCH($I358,ROTACAO_RDM!$B$6:$B$71,0),0)</f>
        <v>1</v>
      </c>
      <c r="K358" s="8" t="str">
        <f aca="false">IF($J358=0,"SEM CULTURA",INDEX(ROTACAO_RDM!$F$6:$F$71,$J358))</f>
        <v>ALGODAO</v>
      </c>
      <c r="L358" s="8" t="str">
        <f aca="false">IF($J358=0,"",INDEX(ROTACAO_RDM!$G$6:$G$71,$J358))</f>
        <v>FM 933 STP</v>
      </c>
      <c r="M358" s="17" t="n">
        <f aca="false">IF($J358=0,"",INDEX(ROTACAO_RDM!$I$6:$I$71,$J358))</f>
        <v>46359</v>
      </c>
      <c r="N358" s="16" t="n">
        <f aca="false">IF($J358=0,0,MAX(0,$C358+INT(DIAS_POR_SEMANA/2)-INDEX(ROTACAO_RDM!$I$6:$I$71,$J358)))</f>
        <v>63</v>
      </c>
      <c r="O358" s="19" t="n">
        <f aca="false">IF($J358=0,0,MIN(1,$N358/MAX(1,INDEX(ROTACAO_RDM!$K$6:$K$71,$J358))))</f>
        <v>0.323076923076923</v>
      </c>
      <c r="P358" s="16" t="n">
        <f aca="false">IF($J358=0,0,IFERROR(MATCH(INDEX(ROTACAO_RDM!$N$6:$N$71,$J358),PARAMETROS_CULTURAS!$B$6:$B$28,0),0))</f>
        <v>5</v>
      </c>
      <c r="Q358" s="8" t="str">
        <f aca="false">IF($P358=0,"-",IF($O358&lt;=INDEX(PARAMETROS_CULTURAS!$F$6:$F$28,$P358),"INICIAL",IF($O358&lt;=INDEX(PARAMETROS_CULTURAS!$F$6:$F$28,$P358)+INDEX(PARAMETROS_CULTURAS!$G$6:$G$28,$P358),"DESENVOLVIMENTO",IF($O358&lt;=INDEX(PARAMETROS_CULTURAS!$F$6:$F$28,$P358)+INDEX(PARAMETROS_CULTURAS!$G$6:$G$28,$P358)+INDEX(PARAMETROS_CULTURAS!$H$6:$H$28,$P358),"MEDIA","FINAL"))))</f>
        <v>DESENVOLVIMENTO</v>
      </c>
      <c r="R358" s="24" t="n">
        <f aca="false">IF($P358=0,0,IF($O358&lt;=INDEX(PARAMETROS_CULTURAS!$F$6:$F$28,$P358),INDEX(PARAMETROS_CULTURAS!$K$6:$K$28,$P358),IF($O358&lt;=INDEX(PARAMETROS_CULTURAS!$F$6:$F$28,$P358)+INDEX(PARAMETROS_CULTURAS!$G$6:$G$28,$P358),INDEX(PARAMETROS_CULTURAS!$K$6:$K$28,$P358)+(INDEX(PARAMETROS_CULTURAS!$L$6:$L$28,$P358)-INDEX(PARAMETROS_CULTURAS!$K$6:$K$28,$P358))*($O358-INDEX(PARAMETROS_CULTURAS!$F$6:$F$28,$P358))/MAX(INDEX(PARAMETROS_CULTURAS!$G$6:$G$28,$P358),0.0001),IF($O358&lt;=INDEX(PARAMETROS_CULTURAS!$F$6:$F$28,$P358)+INDEX(PARAMETROS_CULTURAS!$G$6:$G$28,$P358)+INDEX(PARAMETROS_CULTURAS!$H$6:$H$28,$P358),INDEX(PARAMETROS_CULTURAS!$L$6:$L$28,$P358),INDEX(PARAMETROS_CULTURAS!$L$6:$L$28,$P358)+(INDEX(PARAMETROS_CULTURAS!$M$6:$M$28,$P358)-INDEX(PARAMETROS_CULTURAS!$L$6:$L$28,$P358))*($O358-INDEX(PARAMETROS_CULTURAS!$F$6:$F$28,$P358)-INDEX(PARAMETROS_CULTURAS!$G$6:$G$28,$P358)-INDEX(PARAMETROS_CULTURAS!$H$6:$H$28,$P358))/MAX(INDEX(PARAMETROS_CULTURAS!$I$6:$I$28,$P358),0.0001)))))</f>
        <v>0.882544378698225</v>
      </c>
      <c r="S358" s="18" t="n">
        <f aca="false">IFERROR(INDEX(SEMANAS!$H$6:$H$71,MATCH($B358,SEMANAS!$B$6:$B$71,0)),0)</f>
        <v>32.9</v>
      </c>
      <c r="T358" s="18" t="n">
        <f aca="false">$R358*$S358</f>
        <v>29.0357100591716</v>
      </c>
      <c r="U358" s="18" t="n">
        <f aca="false">IFERROR(INDEX(SEMANAS!$I$6:$I$71,MATCH($B358,SEMANAS!$B$6:$B$71,0)),0)</f>
        <v>39.97</v>
      </c>
      <c r="V358" s="18" t="n">
        <f aca="false">IFERROR(INDEX(SEMANAS!$J$6:$J$71,MATCH($B358,SEMANAS!$B$6:$B$71,0)),0)</f>
        <v>31.976</v>
      </c>
      <c r="W358" s="18" t="n">
        <f aca="false">MAX(0,$T358-$V358)</f>
        <v>0</v>
      </c>
      <c r="X358" s="19" t="n">
        <f aca="false">IFERROR(INDEX(CADASTRO_PIVOS!$K$6:$K$41,MATCH($E358,CADASTRO_PIVOS!$B$6:$B$41,0)),EFICIENCIA_PADRAO)</f>
        <v>0.85</v>
      </c>
      <c r="Y358" s="18" t="n">
        <f aca="false">IF($X358&lt;=0,0,$W358/$X358)</f>
        <v>0</v>
      </c>
      <c r="Z358" s="16" t="n">
        <f aca="false">$Y358*$H358*MM_PARA_M3_HA</f>
        <v>0</v>
      </c>
      <c r="AA358" s="18" t="n">
        <f aca="false">IFERROR(INDEX(CADASTRO_PIVOS!$I$6:$I$41,MATCH($E358,CADASTRO_PIVOS!$B$6:$B$41,0)),0)</f>
        <v>922.571428571429</v>
      </c>
      <c r="AB358" s="18" t="n">
        <f aca="false">IF($Z358&lt;=0,0,$Z358/$AA358)</f>
        <v>0</v>
      </c>
      <c r="AC358" s="16" t="n">
        <f aca="false">IFERROR(INDEX(SEMANAS!$K$6:$K$71,MATCH($B358,SEMANAS!$B$6:$B$71,0)),0)</f>
        <v>147</v>
      </c>
      <c r="AD358" s="19" t="n">
        <f aca="false">IF($AC358&lt;=0,0,$AB358/$AC358)</f>
        <v>0</v>
      </c>
      <c r="AE358" s="8" t="str">
        <f aca="false">IF($K358="SEM CULTURA","SEM CULTURA",IF($AA358&lt;=0,"DADO PENDENTE",IF($AD358&gt;LIMITE_CRITICO,"INVIAVEL",IF($AD358&gt;LIMITE_ATENCAO,"CRITICO",IF($AD358&gt;LIMITE_CONFORTAVEL,"ATENCAO","OK")))))</f>
        <v>OK</v>
      </c>
      <c r="AF358" s="8" t="str">
        <f aca="false">$B358&amp;"|"&amp;TEXT($AD358,"0.000000")</f>
        <v>23|0.000000</v>
      </c>
      <c r="AG358" s="18" t="n">
        <f aca="false">IF($K358="SEM CULTURA",0,$T358*$H358)</f>
        <v>3750.2523112426</v>
      </c>
      <c r="AH358" s="18" t="n">
        <f aca="false">IF($K358="SEM CULTURA",0,$V358*$H358)</f>
        <v>4130.02016</v>
      </c>
      <c r="AI358" s="18" t="n">
        <f aca="false">IF($K358="SEM CULTURA",0,$W358*$H358)</f>
        <v>0</v>
      </c>
      <c r="AJ358" s="18" t="n">
        <f aca="false">IF($K358="SEM CULTURA",0,$S358*$H358)</f>
        <v>4249.364</v>
      </c>
      <c r="AK358" s="8" t="str">
        <f aca="false">$E358&amp;"|"&amp;TEXT($AD358,"0.000000")</f>
        <v>PV 101|0.000000</v>
      </c>
    </row>
    <row r="359" customFormat="false" ht="15" hidden="false" customHeight="false" outlineLevel="0" collapsed="false">
      <c r="B359" s="16" t="n">
        <v>24</v>
      </c>
      <c r="C359" s="17" t="n">
        <f aca="false">DATA_INICIO_SAFRA+($B359-1)*DIAS_POR_SEMANA</f>
        <v>46426</v>
      </c>
      <c r="D359" s="17" t="n">
        <f aca="false">$C359+DIAS_POR_SEMANA-1</f>
        <v>46432</v>
      </c>
      <c r="E359" s="15" t="s">
        <v>264</v>
      </c>
      <c r="F359" s="8" t="str">
        <f aca="false">IFERROR(INDEX(CADASTRO_PIVOS!$C$6:$C$41,MATCH($E359,CADASTRO_PIVOS!$B$6:$B$41,0)),"?")</f>
        <v>RM04</v>
      </c>
      <c r="G359" s="8" t="str">
        <f aca="false">IFERROR(INDEX(CADASTRO_PIVOS!$D$6:$D$41,MATCH($E359,CADASTRO_PIVOS!$B$6:$B$41,0)),"?")</f>
        <v>TR04</v>
      </c>
      <c r="H359" s="20" t="n">
        <f aca="false">IFERROR(INDEX(CADASTRO_PIVOS!$E$6:$E$41,MATCH($E359,CADASTRO_PIVOS!$B$6:$B$41,0)),0)</f>
        <v>129.16</v>
      </c>
      <c r="I359" s="16" t="n">
        <f aca="false">IFERROR(SUMIFS(ROTACAO_RDM!$B$6:$B$71,ROTACAO_RDM!$D$6:$D$71,$E359,ROTACAO_RDM!$I$6:$I$71,"&lt;="&amp;$C359+INT(DIAS_POR_SEMANA/2),ROTACAO_RDM!$J$6:$J$71,"&gt;="&amp;$C359+INT(DIAS_POR_SEMANA/2)),0)</f>
        <v>1</v>
      </c>
      <c r="J359" s="16" t="n">
        <f aca="false">IFERROR(MATCH($I359,ROTACAO_RDM!$B$6:$B$71,0),0)</f>
        <v>1</v>
      </c>
      <c r="K359" s="8" t="str">
        <f aca="false">IF($J359=0,"SEM CULTURA",INDEX(ROTACAO_RDM!$F$6:$F$71,$J359))</f>
        <v>ALGODAO</v>
      </c>
      <c r="L359" s="8" t="str">
        <f aca="false">IF($J359=0,"",INDEX(ROTACAO_RDM!$G$6:$G$71,$J359))</f>
        <v>FM 933 STP</v>
      </c>
      <c r="M359" s="17" t="n">
        <f aca="false">IF($J359=0,"",INDEX(ROTACAO_RDM!$I$6:$I$71,$J359))</f>
        <v>46359</v>
      </c>
      <c r="N359" s="16" t="n">
        <f aca="false">IF($J359=0,0,MAX(0,$C359+INT(DIAS_POR_SEMANA/2)-INDEX(ROTACAO_RDM!$I$6:$I$71,$J359)))</f>
        <v>70</v>
      </c>
      <c r="O359" s="19" t="n">
        <f aca="false">IF($J359=0,0,MIN(1,$N359/MAX(1,INDEX(ROTACAO_RDM!$K$6:$K$71,$J359))))</f>
        <v>0.358974358974359</v>
      </c>
      <c r="P359" s="16" t="n">
        <f aca="false">IF($J359=0,0,IFERROR(MATCH(INDEX(ROTACAO_RDM!$N$6:$N$71,$J359),PARAMETROS_CULTURAS!$B$6:$B$28,0),0))</f>
        <v>5</v>
      </c>
      <c r="Q359" s="8" t="str">
        <f aca="false">IF($P359=0,"-",IF($O359&lt;=INDEX(PARAMETROS_CULTURAS!$F$6:$F$28,$P359),"INICIAL",IF($O359&lt;=INDEX(PARAMETROS_CULTURAS!$F$6:$F$28,$P359)+INDEX(PARAMETROS_CULTURAS!$G$6:$G$28,$P359),"DESENVOLVIMENTO",IF($O359&lt;=INDEX(PARAMETROS_CULTURAS!$F$6:$F$28,$P359)+INDEX(PARAMETROS_CULTURAS!$G$6:$G$28,$P359)+INDEX(PARAMETROS_CULTURAS!$H$6:$H$28,$P359),"MEDIA","FINAL"))))</f>
        <v>DESENVOLVIMENTO</v>
      </c>
      <c r="R359" s="24" t="n">
        <f aca="false">IF($P359=0,0,IF($O359&lt;=INDEX(PARAMETROS_CULTURAS!$F$6:$F$28,$P359),INDEX(PARAMETROS_CULTURAS!$K$6:$K$28,$P359),IF($O359&lt;=INDEX(PARAMETROS_CULTURAS!$F$6:$F$28,$P359)+INDEX(PARAMETROS_CULTURAS!$G$6:$G$28,$P359),INDEX(PARAMETROS_CULTURAS!$K$6:$K$28,$P359)+(INDEX(PARAMETROS_CULTURAS!$L$6:$L$28,$P359)-INDEX(PARAMETROS_CULTURAS!$K$6:$K$28,$P359))*($O359-INDEX(PARAMETROS_CULTURAS!$F$6:$F$28,$P359))/MAX(INDEX(PARAMETROS_CULTURAS!$G$6:$G$28,$P359),0.0001),IF($O359&lt;=INDEX(PARAMETROS_CULTURAS!$F$6:$F$28,$P359)+INDEX(PARAMETROS_CULTURAS!$G$6:$G$28,$P359)+INDEX(PARAMETROS_CULTURAS!$H$6:$H$28,$P359),INDEX(PARAMETROS_CULTURAS!$L$6:$L$28,$P359),INDEX(PARAMETROS_CULTURAS!$L$6:$L$28,$P359)+(INDEX(PARAMETROS_CULTURAS!$M$6:$M$28,$P359)-INDEX(PARAMETROS_CULTURAS!$L$6:$L$28,$P359))*($O359-INDEX(PARAMETROS_CULTURAS!$F$6:$F$28,$P359)-INDEX(PARAMETROS_CULTURAS!$G$6:$G$28,$P359)-INDEX(PARAMETROS_CULTURAS!$H$6:$H$28,$P359))/MAX(INDEX(PARAMETROS_CULTURAS!$I$6:$I$28,$P359),0.0001)))))</f>
        <v>0.992998027613412</v>
      </c>
      <c r="S359" s="18" t="n">
        <f aca="false">IFERROR(INDEX(SEMANAS!$H$6:$H$71,MATCH($B359,SEMANAS!$B$6:$B$71,0)),0)</f>
        <v>32.9</v>
      </c>
      <c r="T359" s="18" t="n">
        <f aca="false">$R359*$S359</f>
        <v>32.6696351084813</v>
      </c>
      <c r="U359" s="18" t="n">
        <f aca="false">IFERROR(INDEX(SEMANAS!$I$6:$I$71,MATCH($B359,SEMANAS!$B$6:$B$71,0)),0)</f>
        <v>39.97</v>
      </c>
      <c r="V359" s="18" t="n">
        <f aca="false">IFERROR(INDEX(SEMANAS!$J$6:$J$71,MATCH($B359,SEMANAS!$B$6:$B$71,0)),0)</f>
        <v>31.976</v>
      </c>
      <c r="W359" s="18" t="n">
        <f aca="false">MAX(0,$T359-$V359)</f>
        <v>0.693635108481256</v>
      </c>
      <c r="X359" s="19" t="n">
        <f aca="false">IFERROR(INDEX(CADASTRO_PIVOS!$K$6:$K$41,MATCH($E359,CADASTRO_PIVOS!$B$6:$B$41,0)),EFICIENCIA_PADRAO)</f>
        <v>0.85</v>
      </c>
      <c r="Y359" s="18" t="n">
        <f aca="false">IF($X359&lt;=0,0,$W359/$X359)</f>
        <v>0.816041304095596</v>
      </c>
      <c r="Z359" s="16" t="n">
        <f aca="false">$Y359*$H359*MM_PARA_M3_HA</f>
        <v>1053.99894836987</v>
      </c>
      <c r="AA359" s="18" t="n">
        <f aca="false">IFERROR(INDEX(CADASTRO_PIVOS!$I$6:$I$41,MATCH($E359,CADASTRO_PIVOS!$B$6:$B$41,0)),0)</f>
        <v>922.571428571429</v>
      </c>
      <c r="AB359" s="18" t="n">
        <f aca="false">IF($Z359&lt;=0,0,$Z359/$AA359)</f>
        <v>1.14245782573383</v>
      </c>
      <c r="AC359" s="16" t="n">
        <f aca="false">IFERROR(INDEX(SEMANAS!$K$6:$K$71,MATCH($B359,SEMANAS!$B$6:$B$71,0)),0)</f>
        <v>147</v>
      </c>
      <c r="AD359" s="19" t="n">
        <f aca="false">IF($AC359&lt;=0,0,$AB359/$AC359)</f>
        <v>0.00777182194376758</v>
      </c>
      <c r="AE359" s="8" t="str">
        <f aca="false">IF($K359="SEM CULTURA","SEM CULTURA",IF($AA359&lt;=0,"DADO PENDENTE",IF($AD359&gt;LIMITE_CRITICO,"INVIAVEL",IF($AD359&gt;LIMITE_ATENCAO,"CRITICO",IF($AD359&gt;LIMITE_CONFORTAVEL,"ATENCAO","OK")))))</f>
        <v>OK</v>
      </c>
      <c r="AF359" s="8" t="str">
        <f aca="false">$B359&amp;"|"&amp;TEXT($AD359,"0.000000")</f>
        <v>24|0.007772</v>
      </c>
      <c r="AG359" s="18" t="n">
        <f aca="false">IF($K359="SEM CULTURA",0,$T359*$H359)</f>
        <v>4219.61007061144</v>
      </c>
      <c r="AH359" s="18" t="n">
        <f aca="false">IF($K359="SEM CULTURA",0,$V359*$H359)</f>
        <v>4130.02016</v>
      </c>
      <c r="AI359" s="18" t="n">
        <f aca="false">IF($K359="SEM CULTURA",0,$W359*$H359)</f>
        <v>89.5899106114391</v>
      </c>
      <c r="AJ359" s="18" t="n">
        <f aca="false">IF($K359="SEM CULTURA",0,$S359*$H359)</f>
        <v>4249.364</v>
      </c>
      <c r="AK359" s="8" t="str">
        <f aca="false">$E359&amp;"|"&amp;TEXT($AD359,"0.000000")</f>
        <v>PV 101|0.007772</v>
      </c>
    </row>
    <row r="360" customFormat="false" ht="15" hidden="false" customHeight="false" outlineLevel="0" collapsed="false">
      <c r="B360" s="16" t="n">
        <v>25</v>
      </c>
      <c r="C360" s="17" t="n">
        <f aca="false">DATA_INICIO_SAFRA+($B360-1)*DIAS_POR_SEMANA</f>
        <v>46433</v>
      </c>
      <c r="D360" s="17" t="n">
        <f aca="false">$C360+DIAS_POR_SEMANA-1</f>
        <v>46439</v>
      </c>
      <c r="E360" s="15" t="s">
        <v>264</v>
      </c>
      <c r="F360" s="8" t="str">
        <f aca="false">IFERROR(INDEX(CADASTRO_PIVOS!$C$6:$C$41,MATCH($E360,CADASTRO_PIVOS!$B$6:$B$41,0)),"?")</f>
        <v>RM04</v>
      </c>
      <c r="G360" s="8" t="str">
        <f aca="false">IFERROR(INDEX(CADASTRO_PIVOS!$D$6:$D$41,MATCH($E360,CADASTRO_PIVOS!$B$6:$B$41,0)),"?")</f>
        <v>TR04</v>
      </c>
      <c r="H360" s="20" t="n">
        <f aca="false">IFERROR(INDEX(CADASTRO_PIVOS!$E$6:$E$41,MATCH($E360,CADASTRO_PIVOS!$B$6:$B$41,0)),0)</f>
        <v>129.16</v>
      </c>
      <c r="I360" s="16" t="n">
        <f aca="false">IFERROR(SUMIFS(ROTACAO_RDM!$B$6:$B$71,ROTACAO_RDM!$D$6:$D$71,$E360,ROTACAO_RDM!$I$6:$I$71,"&lt;="&amp;$C360+INT(DIAS_POR_SEMANA/2),ROTACAO_RDM!$J$6:$J$71,"&gt;="&amp;$C360+INT(DIAS_POR_SEMANA/2)),0)</f>
        <v>1</v>
      </c>
      <c r="J360" s="16" t="n">
        <f aca="false">IFERROR(MATCH($I360,ROTACAO_RDM!$B$6:$B$71,0),0)</f>
        <v>1</v>
      </c>
      <c r="K360" s="8" t="str">
        <f aca="false">IF($J360=0,"SEM CULTURA",INDEX(ROTACAO_RDM!$F$6:$F$71,$J360))</f>
        <v>ALGODAO</v>
      </c>
      <c r="L360" s="8" t="str">
        <f aca="false">IF($J360=0,"",INDEX(ROTACAO_RDM!$G$6:$G$71,$J360))</f>
        <v>FM 933 STP</v>
      </c>
      <c r="M360" s="17" t="n">
        <f aca="false">IF($J360=0,"",INDEX(ROTACAO_RDM!$I$6:$I$71,$J360))</f>
        <v>46359</v>
      </c>
      <c r="N360" s="16" t="n">
        <f aca="false">IF($J360=0,0,MAX(0,$C360+INT(DIAS_POR_SEMANA/2)-INDEX(ROTACAO_RDM!$I$6:$I$71,$J360)))</f>
        <v>77</v>
      </c>
      <c r="O360" s="19" t="n">
        <f aca="false">IF($J360=0,0,MIN(1,$N360/MAX(1,INDEX(ROTACAO_RDM!$K$6:$K$71,$J360))))</f>
        <v>0.394871794871795</v>
      </c>
      <c r="P360" s="16" t="n">
        <f aca="false">IF($J360=0,0,IFERROR(MATCH(INDEX(ROTACAO_RDM!$N$6:$N$71,$J360),PARAMETROS_CULTURAS!$B$6:$B$28,0),0))</f>
        <v>5</v>
      </c>
      <c r="Q360" s="8" t="str">
        <f aca="false">IF($P360=0,"-",IF($O360&lt;=INDEX(PARAMETROS_CULTURAS!$F$6:$F$28,$P360),"INICIAL",IF($O360&lt;=INDEX(PARAMETROS_CULTURAS!$F$6:$F$28,$P360)+INDEX(PARAMETROS_CULTURAS!$G$6:$G$28,$P360),"DESENVOLVIMENTO",IF($O360&lt;=INDEX(PARAMETROS_CULTURAS!$F$6:$F$28,$P360)+INDEX(PARAMETROS_CULTURAS!$G$6:$G$28,$P360)+INDEX(PARAMETROS_CULTURAS!$H$6:$H$28,$P360),"MEDIA","FINAL"))))</f>
        <v>DESENVOLVIMENTO</v>
      </c>
      <c r="R360" s="24" t="n">
        <f aca="false">IF($P360=0,0,IF($O360&lt;=INDEX(PARAMETROS_CULTURAS!$F$6:$F$28,$P360),INDEX(PARAMETROS_CULTURAS!$K$6:$K$28,$P360),IF($O360&lt;=INDEX(PARAMETROS_CULTURAS!$F$6:$F$28,$P360)+INDEX(PARAMETROS_CULTURAS!$G$6:$G$28,$P360),INDEX(PARAMETROS_CULTURAS!$K$6:$K$28,$P360)+(INDEX(PARAMETROS_CULTURAS!$L$6:$L$28,$P360)-INDEX(PARAMETROS_CULTURAS!$K$6:$K$28,$P360))*($O360-INDEX(PARAMETROS_CULTURAS!$F$6:$F$28,$P360))/MAX(INDEX(PARAMETROS_CULTURAS!$G$6:$G$28,$P360),0.0001),IF($O360&lt;=INDEX(PARAMETROS_CULTURAS!$F$6:$F$28,$P360)+INDEX(PARAMETROS_CULTURAS!$G$6:$G$28,$P360)+INDEX(PARAMETROS_CULTURAS!$H$6:$H$28,$P360),INDEX(PARAMETROS_CULTURAS!$L$6:$L$28,$P360),INDEX(PARAMETROS_CULTURAS!$L$6:$L$28,$P360)+(INDEX(PARAMETROS_CULTURAS!$M$6:$M$28,$P360)-INDEX(PARAMETROS_CULTURAS!$L$6:$L$28,$P360))*($O360-INDEX(PARAMETROS_CULTURAS!$F$6:$F$28,$P360)-INDEX(PARAMETROS_CULTURAS!$G$6:$G$28,$P360)-INDEX(PARAMETROS_CULTURAS!$H$6:$H$28,$P360))/MAX(INDEX(PARAMETROS_CULTURAS!$I$6:$I$28,$P360),0.0001)))))</f>
        <v>1.1034516765286</v>
      </c>
      <c r="S360" s="18" t="n">
        <f aca="false">IFERROR(INDEX(SEMANAS!$H$6:$H$71,MATCH($B360,SEMANAS!$B$6:$B$71,0)),0)</f>
        <v>32.9</v>
      </c>
      <c r="T360" s="18" t="n">
        <f aca="false">$R360*$S360</f>
        <v>36.3035601577909</v>
      </c>
      <c r="U360" s="18" t="n">
        <f aca="false">IFERROR(INDEX(SEMANAS!$I$6:$I$71,MATCH($B360,SEMANAS!$B$6:$B$71,0)),0)</f>
        <v>39.97</v>
      </c>
      <c r="V360" s="18" t="n">
        <f aca="false">IFERROR(INDEX(SEMANAS!$J$6:$J$71,MATCH($B360,SEMANAS!$B$6:$B$71,0)),0)</f>
        <v>31.976</v>
      </c>
      <c r="W360" s="18" t="n">
        <f aca="false">MAX(0,$T360-$V360)</f>
        <v>4.32756015779092</v>
      </c>
      <c r="X360" s="19" t="n">
        <f aca="false">IFERROR(INDEX(CADASTRO_PIVOS!$K$6:$K$41,MATCH($E360,CADASTRO_PIVOS!$B$6:$B$41,0)),EFICIENCIA_PADRAO)</f>
        <v>0.85</v>
      </c>
      <c r="Y360" s="18" t="n">
        <f aca="false">IF($X360&lt;=0,0,$W360/$X360)</f>
        <v>5.09124724445991</v>
      </c>
      <c r="Z360" s="16" t="n">
        <f aca="false">$Y360*$H360*MM_PARA_M3_HA</f>
        <v>6575.85494094442</v>
      </c>
      <c r="AA360" s="18" t="n">
        <f aca="false">IFERROR(INDEX(CADASTRO_PIVOS!$I$6:$I$41,MATCH($E360,CADASTRO_PIVOS!$B$6:$B$41,0)),0)</f>
        <v>922.571428571429</v>
      </c>
      <c r="AB360" s="18" t="n">
        <f aca="false">IF($Z360&lt;=0,0,$Z360/$AA360)</f>
        <v>7.12774614224387</v>
      </c>
      <c r="AC360" s="16" t="n">
        <f aca="false">IFERROR(INDEX(SEMANAS!$K$6:$K$71,MATCH($B360,SEMANAS!$B$6:$B$71,0)),0)</f>
        <v>147</v>
      </c>
      <c r="AD360" s="19" t="n">
        <f aca="false">IF($AC360&lt;=0,0,$AB360/$AC360)</f>
        <v>0.0484880689948563</v>
      </c>
      <c r="AE360" s="8" t="str">
        <f aca="false">IF($K360="SEM CULTURA","SEM CULTURA",IF($AA360&lt;=0,"DADO PENDENTE",IF($AD360&gt;LIMITE_CRITICO,"INVIAVEL",IF($AD360&gt;LIMITE_ATENCAO,"CRITICO",IF($AD360&gt;LIMITE_CONFORTAVEL,"ATENCAO","OK")))))</f>
        <v>OK</v>
      </c>
      <c r="AF360" s="8" t="str">
        <f aca="false">$B360&amp;"|"&amp;TEXT($AD360,"0.000000")</f>
        <v>25|0.048488</v>
      </c>
      <c r="AG360" s="18" t="n">
        <f aca="false">IF($K360="SEM CULTURA",0,$T360*$H360)</f>
        <v>4688.96782998028</v>
      </c>
      <c r="AH360" s="18" t="n">
        <f aca="false">IF($K360="SEM CULTURA",0,$V360*$H360)</f>
        <v>4130.02016</v>
      </c>
      <c r="AI360" s="18" t="n">
        <f aca="false">IF($K360="SEM CULTURA",0,$W360*$H360)</f>
        <v>558.947669980276</v>
      </c>
      <c r="AJ360" s="18" t="n">
        <f aca="false">IF($K360="SEM CULTURA",0,$S360*$H360)</f>
        <v>4249.364</v>
      </c>
      <c r="AK360" s="8" t="str">
        <f aca="false">$E360&amp;"|"&amp;TEXT($AD360,"0.000000")</f>
        <v>PV 101|0.048488</v>
      </c>
    </row>
    <row r="361" customFormat="false" ht="15" hidden="false" customHeight="false" outlineLevel="0" collapsed="false">
      <c r="B361" s="16" t="n">
        <v>26</v>
      </c>
      <c r="C361" s="17" t="n">
        <f aca="false">DATA_INICIO_SAFRA+($B361-1)*DIAS_POR_SEMANA</f>
        <v>46440</v>
      </c>
      <c r="D361" s="17" t="n">
        <f aca="false">$C361+DIAS_POR_SEMANA-1</f>
        <v>46446</v>
      </c>
      <c r="E361" s="15" t="s">
        <v>264</v>
      </c>
      <c r="F361" s="8" t="str">
        <f aca="false">IFERROR(INDEX(CADASTRO_PIVOS!$C$6:$C$41,MATCH($E361,CADASTRO_PIVOS!$B$6:$B$41,0)),"?")</f>
        <v>RM04</v>
      </c>
      <c r="G361" s="8" t="str">
        <f aca="false">IFERROR(INDEX(CADASTRO_PIVOS!$D$6:$D$41,MATCH($E361,CADASTRO_PIVOS!$B$6:$B$41,0)),"?")</f>
        <v>TR04</v>
      </c>
      <c r="H361" s="20" t="n">
        <f aca="false">IFERROR(INDEX(CADASTRO_PIVOS!$E$6:$E$41,MATCH($E361,CADASTRO_PIVOS!$B$6:$B$41,0)),0)</f>
        <v>129.16</v>
      </c>
      <c r="I361" s="16" t="n">
        <f aca="false">IFERROR(SUMIFS(ROTACAO_RDM!$B$6:$B$71,ROTACAO_RDM!$D$6:$D$71,$E361,ROTACAO_RDM!$I$6:$I$71,"&lt;="&amp;$C361+INT(DIAS_POR_SEMANA/2),ROTACAO_RDM!$J$6:$J$71,"&gt;="&amp;$C361+INT(DIAS_POR_SEMANA/2)),0)</f>
        <v>1</v>
      </c>
      <c r="J361" s="16" t="n">
        <f aca="false">IFERROR(MATCH($I361,ROTACAO_RDM!$B$6:$B$71,0),0)</f>
        <v>1</v>
      </c>
      <c r="K361" s="8" t="str">
        <f aca="false">IF($J361=0,"SEM CULTURA",INDEX(ROTACAO_RDM!$F$6:$F$71,$J361))</f>
        <v>ALGODAO</v>
      </c>
      <c r="L361" s="8" t="str">
        <f aca="false">IF($J361=0,"",INDEX(ROTACAO_RDM!$G$6:$G$71,$J361))</f>
        <v>FM 933 STP</v>
      </c>
      <c r="M361" s="17" t="n">
        <f aca="false">IF($J361=0,"",INDEX(ROTACAO_RDM!$I$6:$I$71,$J361))</f>
        <v>46359</v>
      </c>
      <c r="N361" s="16" t="n">
        <f aca="false">IF($J361=0,0,MAX(0,$C361+INT(DIAS_POR_SEMANA/2)-INDEX(ROTACAO_RDM!$I$6:$I$71,$J361)))</f>
        <v>84</v>
      </c>
      <c r="O361" s="19" t="n">
        <f aca="false">IF($J361=0,0,MIN(1,$N361/MAX(1,INDEX(ROTACAO_RDM!$K$6:$K$71,$J361))))</f>
        <v>0.430769230769231</v>
      </c>
      <c r="P361" s="16" t="n">
        <f aca="false">IF($J361=0,0,IFERROR(MATCH(INDEX(ROTACAO_RDM!$N$6:$N$71,$J361),PARAMETROS_CULTURAS!$B$6:$B$28,0),0))</f>
        <v>5</v>
      </c>
      <c r="Q361" s="8" t="str">
        <f aca="false">IF($P361=0,"-",IF($O361&lt;=INDEX(PARAMETROS_CULTURAS!$F$6:$F$28,$P361),"INICIAL",IF($O361&lt;=INDEX(PARAMETROS_CULTURAS!$F$6:$F$28,$P361)+INDEX(PARAMETROS_CULTURAS!$G$6:$G$28,$P361),"DESENVOLVIMENTO",IF($O361&lt;=INDEX(PARAMETROS_CULTURAS!$F$6:$F$28,$P361)+INDEX(PARAMETROS_CULTURAS!$G$6:$G$28,$P361)+INDEX(PARAMETROS_CULTURAS!$H$6:$H$28,$P361),"MEDIA","FINAL"))))</f>
        <v>MEDIA</v>
      </c>
      <c r="R361" s="24" t="n">
        <f aca="false">IF($P361=0,0,IF($O361&lt;=INDEX(PARAMETROS_CULTURAS!$F$6:$F$28,$P361),INDEX(PARAMETROS_CULTURAS!$K$6:$K$28,$P361),IF($O361&lt;=INDEX(PARAMETROS_CULTURAS!$F$6:$F$28,$P361)+INDEX(PARAMETROS_CULTURAS!$G$6:$G$28,$P361),INDEX(PARAMETROS_CULTURAS!$K$6:$K$28,$P361)+(INDEX(PARAMETROS_CULTURAS!$L$6:$L$28,$P361)-INDEX(PARAMETROS_CULTURAS!$K$6:$K$28,$P361))*($O361-INDEX(PARAMETROS_CULTURAS!$F$6:$F$28,$P361))/MAX(INDEX(PARAMETROS_CULTURAS!$G$6:$G$28,$P361),0.0001),IF($O361&lt;=INDEX(PARAMETROS_CULTURAS!$F$6:$F$28,$P361)+INDEX(PARAMETROS_CULTURAS!$G$6:$G$28,$P361)+INDEX(PARAMETROS_CULTURAS!$H$6:$H$28,$P361),INDEX(PARAMETROS_CULTURAS!$L$6:$L$28,$P361),INDEX(PARAMETROS_CULTURAS!$L$6:$L$28,$P361)+(INDEX(PARAMETROS_CULTURAS!$M$6:$M$28,$P361)-INDEX(PARAMETROS_CULTURAS!$L$6:$L$28,$P361))*($O361-INDEX(PARAMETROS_CULTURAS!$F$6:$F$28,$P361)-INDEX(PARAMETROS_CULTURAS!$G$6:$G$28,$P361)-INDEX(PARAMETROS_CULTURAS!$H$6:$H$28,$P361))/MAX(INDEX(PARAMETROS_CULTURAS!$I$6:$I$28,$P361),0.0001)))))</f>
        <v>1.15</v>
      </c>
      <c r="S361" s="18" t="n">
        <f aca="false">IFERROR(INDEX(SEMANAS!$H$6:$H$71,MATCH($B361,SEMANAS!$B$6:$B$71,0)),0)</f>
        <v>32.9</v>
      </c>
      <c r="T361" s="18" t="n">
        <f aca="false">$R361*$S361</f>
        <v>37.835</v>
      </c>
      <c r="U361" s="18" t="n">
        <f aca="false">IFERROR(INDEX(SEMANAS!$I$6:$I$71,MATCH($B361,SEMANAS!$B$6:$B$71,0)),0)</f>
        <v>39.97</v>
      </c>
      <c r="V361" s="18" t="n">
        <f aca="false">IFERROR(INDEX(SEMANAS!$J$6:$J$71,MATCH($B361,SEMANAS!$B$6:$B$71,0)),0)</f>
        <v>31.976</v>
      </c>
      <c r="W361" s="18" t="n">
        <f aca="false">MAX(0,$T361-$V361)</f>
        <v>5.85899999999999</v>
      </c>
      <c r="X361" s="19" t="n">
        <f aca="false">IFERROR(INDEX(CADASTRO_PIVOS!$K$6:$K$41,MATCH($E361,CADASTRO_PIVOS!$B$6:$B$41,0)),EFICIENCIA_PADRAO)</f>
        <v>0.85</v>
      </c>
      <c r="Y361" s="18" t="n">
        <f aca="false">IF($X361&lt;=0,0,$W361/$X361)</f>
        <v>6.89294117647058</v>
      </c>
      <c r="Z361" s="16" t="n">
        <f aca="false">$Y361*$H361*MM_PARA_M3_HA</f>
        <v>8902.9228235294</v>
      </c>
      <c r="AA361" s="18" t="n">
        <f aca="false">IFERROR(INDEX(CADASTRO_PIVOS!$I$6:$I$41,MATCH($E361,CADASTRO_PIVOS!$B$6:$B$41,0)),0)</f>
        <v>922.571428571429</v>
      </c>
      <c r="AB361" s="18" t="n">
        <f aca="false">IF($Z361&lt;=0,0,$Z361/$AA361)</f>
        <v>9.65011764705881</v>
      </c>
      <c r="AC361" s="16" t="n">
        <f aca="false">IFERROR(INDEX(SEMANAS!$K$6:$K$71,MATCH($B361,SEMANAS!$B$6:$B$71,0)),0)</f>
        <v>147</v>
      </c>
      <c r="AD361" s="19" t="n">
        <f aca="false">IF($AC361&lt;=0,0,$AB361/$AC361)</f>
        <v>0.0656470588235293</v>
      </c>
      <c r="AE361" s="8" t="str">
        <f aca="false">IF($K361="SEM CULTURA","SEM CULTURA",IF($AA361&lt;=0,"DADO PENDENTE",IF($AD361&gt;LIMITE_CRITICO,"INVIAVEL",IF($AD361&gt;LIMITE_ATENCAO,"CRITICO",IF($AD361&gt;LIMITE_CONFORTAVEL,"ATENCAO","OK")))))</f>
        <v>OK</v>
      </c>
      <c r="AF361" s="8" t="str">
        <f aca="false">$B361&amp;"|"&amp;TEXT($AD361,"0.000000")</f>
        <v>26|0.065647</v>
      </c>
      <c r="AG361" s="18" t="n">
        <f aca="false">IF($K361="SEM CULTURA",0,$T361*$H361)</f>
        <v>4886.7686</v>
      </c>
      <c r="AH361" s="18" t="n">
        <f aca="false">IF($K361="SEM CULTURA",0,$V361*$H361)</f>
        <v>4130.02016</v>
      </c>
      <c r="AI361" s="18" t="n">
        <f aca="false">IF($K361="SEM CULTURA",0,$W361*$H361)</f>
        <v>756.748439999999</v>
      </c>
      <c r="AJ361" s="18" t="n">
        <f aca="false">IF($K361="SEM CULTURA",0,$S361*$H361)</f>
        <v>4249.364</v>
      </c>
      <c r="AK361" s="8" t="str">
        <f aca="false">$E361&amp;"|"&amp;TEXT($AD361,"0.000000")</f>
        <v>PV 101|0.065647</v>
      </c>
    </row>
    <row r="362" customFormat="false" ht="15" hidden="false" customHeight="false" outlineLevel="0" collapsed="false">
      <c r="B362" s="16" t="n">
        <v>27</v>
      </c>
      <c r="C362" s="17" t="n">
        <f aca="false">DATA_INICIO_SAFRA+($B362-1)*DIAS_POR_SEMANA</f>
        <v>46447</v>
      </c>
      <c r="D362" s="17" t="n">
        <f aca="false">$C362+DIAS_POR_SEMANA-1</f>
        <v>46453</v>
      </c>
      <c r="E362" s="15" t="s">
        <v>264</v>
      </c>
      <c r="F362" s="8" t="str">
        <f aca="false">IFERROR(INDEX(CADASTRO_PIVOS!$C$6:$C$41,MATCH($E362,CADASTRO_PIVOS!$B$6:$B$41,0)),"?")</f>
        <v>RM04</v>
      </c>
      <c r="G362" s="8" t="str">
        <f aca="false">IFERROR(INDEX(CADASTRO_PIVOS!$D$6:$D$41,MATCH($E362,CADASTRO_PIVOS!$B$6:$B$41,0)),"?")</f>
        <v>TR04</v>
      </c>
      <c r="H362" s="20" t="n">
        <f aca="false">IFERROR(INDEX(CADASTRO_PIVOS!$E$6:$E$41,MATCH($E362,CADASTRO_PIVOS!$B$6:$B$41,0)),0)</f>
        <v>129.16</v>
      </c>
      <c r="I362" s="16" t="n">
        <f aca="false">IFERROR(SUMIFS(ROTACAO_RDM!$B$6:$B$71,ROTACAO_RDM!$D$6:$D$71,$E362,ROTACAO_RDM!$I$6:$I$71,"&lt;="&amp;$C362+INT(DIAS_POR_SEMANA/2),ROTACAO_RDM!$J$6:$J$71,"&gt;="&amp;$C362+INT(DIAS_POR_SEMANA/2)),0)</f>
        <v>1</v>
      </c>
      <c r="J362" s="16" t="n">
        <f aca="false">IFERROR(MATCH($I362,ROTACAO_RDM!$B$6:$B$71,0),0)</f>
        <v>1</v>
      </c>
      <c r="K362" s="8" t="str">
        <f aca="false">IF($J362=0,"SEM CULTURA",INDEX(ROTACAO_RDM!$F$6:$F$71,$J362))</f>
        <v>ALGODAO</v>
      </c>
      <c r="L362" s="8" t="str">
        <f aca="false">IF($J362=0,"",INDEX(ROTACAO_RDM!$G$6:$G$71,$J362))</f>
        <v>FM 933 STP</v>
      </c>
      <c r="M362" s="17" t="n">
        <f aca="false">IF($J362=0,"",INDEX(ROTACAO_RDM!$I$6:$I$71,$J362))</f>
        <v>46359</v>
      </c>
      <c r="N362" s="16" t="n">
        <f aca="false">IF($J362=0,0,MAX(0,$C362+INT(DIAS_POR_SEMANA/2)-INDEX(ROTACAO_RDM!$I$6:$I$71,$J362)))</f>
        <v>91</v>
      </c>
      <c r="O362" s="19" t="n">
        <f aca="false">IF($J362=0,0,MIN(1,$N362/MAX(1,INDEX(ROTACAO_RDM!$K$6:$K$71,$J362))))</f>
        <v>0.466666666666667</v>
      </c>
      <c r="P362" s="16" t="n">
        <f aca="false">IF($J362=0,0,IFERROR(MATCH(INDEX(ROTACAO_RDM!$N$6:$N$71,$J362),PARAMETROS_CULTURAS!$B$6:$B$28,0),0))</f>
        <v>5</v>
      </c>
      <c r="Q362" s="8" t="str">
        <f aca="false">IF($P362=0,"-",IF($O362&lt;=INDEX(PARAMETROS_CULTURAS!$F$6:$F$28,$P362),"INICIAL",IF($O362&lt;=INDEX(PARAMETROS_CULTURAS!$F$6:$F$28,$P362)+INDEX(PARAMETROS_CULTURAS!$G$6:$G$28,$P362),"DESENVOLVIMENTO",IF($O362&lt;=INDEX(PARAMETROS_CULTURAS!$F$6:$F$28,$P362)+INDEX(PARAMETROS_CULTURAS!$G$6:$G$28,$P362)+INDEX(PARAMETROS_CULTURAS!$H$6:$H$28,$P362),"MEDIA","FINAL"))))</f>
        <v>MEDIA</v>
      </c>
      <c r="R362" s="24" t="n">
        <f aca="false">IF($P362=0,0,IF($O362&lt;=INDEX(PARAMETROS_CULTURAS!$F$6:$F$28,$P362),INDEX(PARAMETROS_CULTURAS!$K$6:$K$28,$P362),IF($O362&lt;=INDEX(PARAMETROS_CULTURAS!$F$6:$F$28,$P362)+INDEX(PARAMETROS_CULTURAS!$G$6:$G$28,$P362),INDEX(PARAMETROS_CULTURAS!$K$6:$K$28,$P362)+(INDEX(PARAMETROS_CULTURAS!$L$6:$L$28,$P362)-INDEX(PARAMETROS_CULTURAS!$K$6:$K$28,$P362))*($O362-INDEX(PARAMETROS_CULTURAS!$F$6:$F$28,$P362))/MAX(INDEX(PARAMETROS_CULTURAS!$G$6:$G$28,$P362),0.0001),IF($O362&lt;=INDEX(PARAMETROS_CULTURAS!$F$6:$F$28,$P362)+INDEX(PARAMETROS_CULTURAS!$G$6:$G$28,$P362)+INDEX(PARAMETROS_CULTURAS!$H$6:$H$28,$P362),INDEX(PARAMETROS_CULTURAS!$L$6:$L$28,$P362),INDEX(PARAMETROS_CULTURAS!$L$6:$L$28,$P362)+(INDEX(PARAMETROS_CULTURAS!$M$6:$M$28,$P362)-INDEX(PARAMETROS_CULTURAS!$L$6:$L$28,$P362))*($O362-INDEX(PARAMETROS_CULTURAS!$F$6:$F$28,$P362)-INDEX(PARAMETROS_CULTURAS!$G$6:$G$28,$P362)-INDEX(PARAMETROS_CULTURAS!$H$6:$H$28,$P362))/MAX(INDEX(PARAMETROS_CULTURAS!$I$6:$I$28,$P362),0.0001)))))</f>
        <v>1.15</v>
      </c>
      <c r="S362" s="18" t="n">
        <f aca="false">IFERROR(INDEX(SEMANAS!$H$6:$H$71,MATCH($B362,SEMANAS!$B$6:$B$71,0)),0)</f>
        <v>32.2</v>
      </c>
      <c r="T362" s="18" t="n">
        <f aca="false">$R362*$S362</f>
        <v>37.03</v>
      </c>
      <c r="U362" s="18" t="n">
        <f aca="false">IFERROR(INDEX(SEMANAS!$I$6:$I$71,MATCH($B362,SEMANAS!$B$6:$B$71,0)),0)</f>
        <v>37.24</v>
      </c>
      <c r="V362" s="18" t="n">
        <f aca="false">IFERROR(INDEX(SEMANAS!$J$6:$J$71,MATCH($B362,SEMANAS!$B$6:$B$71,0)),0)</f>
        <v>29.792</v>
      </c>
      <c r="W362" s="18" t="n">
        <f aca="false">MAX(0,$T362-$V362)</f>
        <v>7.23799999999999</v>
      </c>
      <c r="X362" s="19" t="n">
        <f aca="false">IFERROR(INDEX(CADASTRO_PIVOS!$K$6:$K$41,MATCH($E362,CADASTRO_PIVOS!$B$6:$B$41,0)),EFICIENCIA_PADRAO)</f>
        <v>0.85</v>
      </c>
      <c r="Y362" s="18" t="n">
        <f aca="false">IF($X362&lt;=0,0,$W362/$X362)</f>
        <v>8.51529411764705</v>
      </c>
      <c r="Z362" s="16" t="n">
        <f aca="false">$Y362*$H362*MM_PARA_M3_HA</f>
        <v>10998.3538823529</v>
      </c>
      <c r="AA362" s="18" t="n">
        <f aca="false">IFERROR(INDEX(CADASTRO_PIVOS!$I$6:$I$41,MATCH($E362,CADASTRO_PIVOS!$B$6:$B$41,0)),0)</f>
        <v>922.571428571429</v>
      </c>
      <c r="AB362" s="18" t="n">
        <f aca="false">IF($Z362&lt;=0,0,$Z362/$AA362)</f>
        <v>11.9214117647059</v>
      </c>
      <c r="AC362" s="16" t="n">
        <f aca="false">IFERROR(INDEX(SEMANAS!$K$6:$K$71,MATCH($B362,SEMANAS!$B$6:$B$71,0)),0)</f>
        <v>147</v>
      </c>
      <c r="AD362" s="19" t="n">
        <f aca="false">IF($AC362&lt;=0,0,$AB362/$AC362)</f>
        <v>0.0810980392156862</v>
      </c>
      <c r="AE362" s="8" t="str">
        <f aca="false">IF($K362="SEM CULTURA","SEM CULTURA",IF($AA362&lt;=0,"DADO PENDENTE",IF($AD362&gt;LIMITE_CRITICO,"INVIAVEL",IF($AD362&gt;LIMITE_ATENCAO,"CRITICO",IF($AD362&gt;LIMITE_CONFORTAVEL,"ATENCAO","OK")))))</f>
        <v>OK</v>
      </c>
      <c r="AF362" s="8" t="str">
        <f aca="false">$B362&amp;"|"&amp;TEXT($AD362,"0.000000")</f>
        <v>27|0.081098</v>
      </c>
      <c r="AG362" s="18" t="n">
        <f aca="false">IF($K362="SEM CULTURA",0,$T362*$H362)</f>
        <v>4782.7948</v>
      </c>
      <c r="AH362" s="18" t="n">
        <f aca="false">IF($K362="SEM CULTURA",0,$V362*$H362)</f>
        <v>3847.93472</v>
      </c>
      <c r="AI362" s="18" t="n">
        <f aca="false">IF($K362="SEM CULTURA",0,$W362*$H362)</f>
        <v>934.860079999999</v>
      </c>
      <c r="AJ362" s="18" t="n">
        <f aca="false">IF($K362="SEM CULTURA",0,$S362*$H362)</f>
        <v>4158.952</v>
      </c>
      <c r="AK362" s="8" t="str">
        <f aca="false">$E362&amp;"|"&amp;TEXT($AD362,"0.000000")</f>
        <v>PV 101|0.081098</v>
      </c>
    </row>
    <row r="363" customFormat="false" ht="15" hidden="false" customHeight="false" outlineLevel="0" collapsed="false">
      <c r="B363" s="16" t="n">
        <v>28</v>
      </c>
      <c r="C363" s="17" t="n">
        <f aca="false">DATA_INICIO_SAFRA+($B363-1)*DIAS_POR_SEMANA</f>
        <v>46454</v>
      </c>
      <c r="D363" s="17" t="n">
        <f aca="false">$C363+DIAS_POR_SEMANA-1</f>
        <v>46460</v>
      </c>
      <c r="E363" s="15" t="s">
        <v>264</v>
      </c>
      <c r="F363" s="8" t="str">
        <f aca="false">IFERROR(INDEX(CADASTRO_PIVOS!$C$6:$C$41,MATCH($E363,CADASTRO_PIVOS!$B$6:$B$41,0)),"?")</f>
        <v>RM04</v>
      </c>
      <c r="G363" s="8" t="str">
        <f aca="false">IFERROR(INDEX(CADASTRO_PIVOS!$D$6:$D$41,MATCH($E363,CADASTRO_PIVOS!$B$6:$B$41,0)),"?")</f>
        <v>TR04</v>
      </c>
      <c r="H363" s="20" t="n">
        <f aca="false">IFERROR(INDEX(CADASTRO_PIVOS!$E$6:$E$41,MATCH($E363,CADASTRO_PIVOS!$B$6:$B$41,0)),0)</f>
        <v>129.16</v>
      </c>
      <c r="I363" s="16" t="n">
        <f aca="false">IFERROR(SUMIFS(ROTACAO_RDM!$B$6:$B$71,ROTACAO_RDM!$D$6:$D$71,$E363,ROTACAO_RDM!$I$6:$I$71,"&lt;="&amp;$C363+INT(DIAS_POR_SEMANA/2),ROTACAO_RDM!$J$6:$J$71,"&gt;="&amp;$C363+INT(DIAS_POR_SEMANA/2)),0)</f>
        <v>1</v>
      </c>
      <c r="J363" s="16" t="n">
        <f aca="false">IFERROR(MATCH($I363,ROTACAO_RDM!$B$6:$B$71,0),0)</f>
        <v>1</v>
      </c>
      <c r="K363" s="8" t="str">
        <f aca="false">IF($J363=0,"SEM CULTURA",INDEX(ROTACAO_RDM!$F$6:$F$71,$J363))</f>
        <v>ALGODAO</v>
      </c>
      <c r="L363" s="8" t="str">
        <f aca="false">IF($J363=0,"",INDEX(ROTACAO_RDM!$G$6:$G$71,$J363))</f>
        <v>FM 933 STP</v>
      </c>
      <c r="M363" s="17" t="n">
        <f aca="false">IF($J363=0,"",INDEX(ROTACAO_RDM!$I$6:$I$71,$J363))</f>
        <v>46359</v>
      </c>
      <c r="N363" s="16" t="n">
        <f aca="false">IF($J363=0,0,MAX(0,$C363+INT(DIAS_POR_SEMANA/2)-INDEX(ROTACAO_RDM!$I$6:$I$71,$J363)))</f>
        <v>98</v>
      </c>
      <c r="O363" s="19" t="n">
        <f aca="false">IF($J363=0,0,MIN(1,$N363/MAX(1,INDEX(ROTACAO_RDM!$K$6:$K$71,$J363))))</f>
        <v>0.502564102564103</v>
      </c>
      <c r="P363" s="16" t="n">
        <f aca="false">IF($J363=0,0,IFERROR(MATCH(INDEX(ROTACAO_RDM!$N$6:$N$71,$J363),PARAMETROS_CULTURAS!$B$6:$B$28,0),0))</f>
        <v>5</v>
      </c>
      <c r="Q363" s="8" t="str">
        <f aca="false">IF($P363=0,"-",IF($O363&lt;=INDEX(PARAMETROS_CULTURAS!$F$6:$F$28,$P363),"INICIAL",IF($O363&lt;=INDEX(PARAMETROS_CULTURAS!$F$6:$F$28,$P363)+INDEX(PARAMETROS_CULTURAS!$G$6:$G$28,$P363),"DESENVOLVIMENTO",IF($O363&lt;=INDEX(PARAMETROS_CULTURAS!$F$6:$F$28,$P363)+INDEX(PARAMETROS_CULTURAS!$G$6:$G$28,$P363)+INDEX(PARAMETROS_CULTURAS!$H$6:$H$28,$P363),"MEDIA","FINAL"))))</f>
        <v>MEDIA</v>
      </c>
      <c r="R363" s="24" t="n">
        <f aca="false">IF($P363=0,0,IF($O363&lt;=INDEX(PARAMETROS_CULTURAS!$F$6:$F$28,$P363),INDEX(PARAMETROS_CULTURAS!$K$6:$K$28,$P363),IF($O363&lt;=INDEX(PARAMETROS_CULTURAS!$F$6:$F$28,$P363)+INDEX(PARAMETROS_CULTURAS!$G$6:$G$28,$P363),INDEX(PARAMETROS_CULTURAS!$K$6:$K$28,$P363)+(INDEX(PARAMETROS_CULTURAS!$L$6:$L$28,$P363)-INDEX(PARAMETROS_CULTURAS!$K$6:$K$28,$P363))*($O363-INDEX(PARAMETROS_CULTURAS!$F$6:$F$28,$P363))/MAX(INDEX(PARAMETROS_CULTURAS!$G$6:$G$28,$P363),0.0001),IF($O363&lt;=INDEX(PARAMETROS_CULTURAS!$F$6:$F$28,$P363)+INDEX(PARAMETROS_CULTURAS!$G$6:$G$28,$P363)+INDEX(PARAMETROS_CULTURAS!$H$6:$H$28,$P363),INDEX(PARAMETROS_CULTURAS!$L$6:$L$28,$P363),INDEX(PARAMETROS_CULTURAS!$L$6:$L$28,$P363)+(INDEX(PARAMETROS_CULTURAS!$M$6:$M$28,$P363)-INDEX(PARAMETROS_CULTURAS!$L$6:$L$28,$P363))*($O363-INDEX(PARAMETROS_CULTURAS!$F$6:$F$28,$P363)-INDEX(PARAMETROS_CULTURAS!$G$6:$G$28,$P363)-INDEX(PARAMETROS_CULTURAS!$H$6:$H$28,$P363))/MAX(INDEX(PARAMETROS_CULTURAS!$I$6:$I$28,$P363),0.0001)))))</f>
        <v>1.15</v>
      </c>
      <c r="S363" s="18" t="n">
        <f aca="false">IFERROR(INDEX(SEMANAS!$H$6:$H$71,MATCH($B363,SEMANAS!$B$6:$B$71,0)),0)</f>
        <v>32.2</v>
      </c>
      <c r="T363" s="18" t="n">
        <f aca="false">$R363*$S363</f>
        <v>37.03</v>
      </c>
      <c r="U363" s="18" t="n">
        <f aca="false">IFERROR(INDEX(SEMANAS!$I$6:$I$71,MATCH($B363,SEMANAS!$B$6:$B$71,0)),0)</f>
        <v>37.24</v>
      </c>
      <c r="V363" s="18" t="n">
        <f aca="false">IFERROR(INDEX(SEMANAS!$J$6:$J$71,MATCH($B363,SEMANAS!$B$6:$B$71,0)),0)</f>
        <v>29.792</v>
      </c>
      <c r="W363" s="18" t="n">
        <f aca="false">MAX(0,$T363-$V363)</f>
        <v>7.23799999999999</v>
      </c>
      <c r="X363" s="19" t="n">
        <f aca="false">IFERROR(INDEX(CADASTRO_PIVOS!$K$6:$K$41,MATCH($E363,CADASTRO_PIVOS!$B$6:$B$41,0)),EFICIENCIA_PADRAO)</f>
        <v>0.85</v>
      </c>
      <c r="Y363" s="18" t="n">
        <f aca="false">IF($X363&lt;=0,0,$W363/$X363)</f>
        <v>8.51529411764705</v>
      </c>
      <c r="Z363" s="16" t="n">
        <f aca="false">$Y363*$H363*MM_PARA_M3_HA</f>
        <v>10998.3538823529</v>
      </c>
      <c r="AA363" s="18" t="n">
        <f aca="false">IFERROR(INDEX(CADASTRO_PIVOS!$I$6:$I$41,MATCH($E363,CADASTRO_PIVOS!$B$6:$B$41,0)),0)</f>
        <v>922.571428571429</v>
      </c>
      <c r="AB363" s="18" t="n">
        <f aca="false">IF($Z363&lt;=0,0,$Z363/$AA363)</f>
        <v>11.9214117647059</v>
      </c>
      <c r="AC363" s="16" t="n">
        <f aca="false">IFERROR(INDEX(SEMANAS!$K$6:$K$71,MATCH($B363,SEMANAS!$B$6:$B$71,0)),0)</f>
        <v>147</v>
      </c>
      <c r="AD363" s="19" t="n">
        <f aca="false">IF($AC363&lt;=0,0,$AB363/$AC363)</f>
        <v>0.0810980392156862</v>
      </c>
      <c r="AE363" s="8" t="str">
        <f aca="false">IF($K363="SEM CULTURA","SEM CULTURA",IF($AA363&lt;=0,"DADO PENDENTE",IF($AD363&gt;LIMITE_CRITICO,"INVIAVEL",IF($AD363&gt;LIMITE_ATENCAO,"CRITICO",IF($AD363&gt;LIMITE_CONFORTAVEL,"ATENCAO","OK")))))</f>
        <v>OK</v>
      </c>
      <c r="AF363" s="8" t="str">
        <f aca="false">$B363&amp;"|"&amp;TEXT($AD363,"0.000000")</f>
        <v>28|0.081098</v>
      </c>
      <c r="AG363" s="18" t="n">
        <f aca="false">IF($K363="SEM CULTURA",0,$T363*$H363)</f>
        <v>4782.7948</v>
      </c>
      <c r="AH363" s="18" t="n">
        <f aca="false">IF($K363="SEM CULTURA",0,$V363*$H363)</f>
        <v>3847.93472</v>
      </c>
      <c r="AI363" s="18" t="n">
        <f aca="false">IF($K363="SEM CULTURA",0,$W363*$H363)</f>
        <v>934.860079999999</v>
      </c>
      <c r="AJ363" s="18" t="n">
        <f aca="false">IF($K363="SEM CULTURA",0,$S363*$H363)</f>
        <v>4158.952</v>
      </c>
      <c r="AK363" s="8" t="str">
        <f aca="false">$E363&amp;"|"&amp;TEXT($AD363,"0.000000")</f>
        <v>PV 101|0.081098</v>
      </c>
    </row>
    <row r="364" customFormat="false" ht="15" hidden="false" customHeight="false" outlineLevel="0" collapsed="false">
      <c r="B364" s="16" t="n">
        <v>29</v>
      </c>
      <c r="C364" s="17" t="n">
        <f aca="false">DATA_INICIO_SAFRA+($B364-1)*DIAS_POR_SEMANA</f>
        <v>46461</v>
      </c>
      <c r="D364" s="17" t="n">
        <f aca="false">$C364+DIAS_POR_SEMANA-1</f>
        <v>46467</v>
      </c>
      <c r="E364" s="15" t="s">
        <v>264</v>
      </c>
      <c r="F364" s="8" t="str">
        <f aca="false">IFERROR(INDEX(CADASTRO_PIVOS!$C$6:$C$41,MATCH($E364,CADASTRO_PIVOS!$B$6:$B$41,0)),"?")</f>
        <v>RM04</v>
      </c>
      <c r="G364" s="8" t="str">
        <f aca="false">IFERROR(INDEX(CADASTRO_PIVOS!$D$6:$D$41,MATCH($E364,CADASTRO_PIVOS!$B$6:$B$41,0)),"?")</f>
        <v>TR04</v>
      </c>
      <c r="H364" s="20" t="n">
        <f aca="false">IFERROR(INDEX(CADASTRO_PIVOS!$E$6:$E$41,MATCH($E364,CADASTRO_PIVOS!$B$6:$B$41,0)),0)</f>
        <v>129.16</v>
      </c>
      <c r="I364" s="16" t="n">
        <f aca="false">IFERROR(SUMIFS(ROTACAO_RDM!$B$6:$B$71,ROTACAO_RDM!$D$6:$D$71,$E364,ROTACAO_RDM!$I$6:$I$71,"&lt;="&amp;$C364+INT(DIAS_POR_SEMANA/2),ROTACAO_RDM!$J$6:$J$71,"&gt;="&amp;$C364+INT(DIAS_POR_SEMANA/2)),0)</f>
        <v>1</v>
      </c>
      <c r="J364" s="16" t="n">
        <f aca="false">IFERROR(MATCH($I364,ROTACAO_RDM!$B$6:$B$71,0),0)</f>
        <v>1</v>
      </c>
      <c r="K364" s="8" t="str">
        <f aca="false">IF($J364=0,"SEM CULTURA",INDEX(ROTACAO_RDM!$F$6:$F$71,$J364))</f>
        <v>ALGODAO</v>
      </c>
      <c r="L364" s="8" t="str">
        <f aca="false">IF($J364=0,"",INDEX(ROTACAO_RDM!$G$6:$G$71,$J364))</f>
        <v>FM 933 STP</v>
      </c>
      <c r="M364" s="17" t="n">
        <f aca="false">IF($J364=0,"",INDEX(ROTACAO_RDM!$I$6:$I$71,$J364))</f>
        <v>46359</v>
      </c>
      <c r="N364" s="16" t="n">
        <f aca="false">IF($J364=0,0,MAX(0,$C364+INT(DIAS_POR_SEMANA/2)-INDEX(ROTACAO_RDM!$I$6:$I$71,$J364)))</f>
        <v>105</v>
      </c>
      <c r="O364" s="19" t="n">
        <f aca="false">IF($J364=0,0,MIN(1,$N364/MAX(1,INDEX(ROTACAO_RDM!$K$6:$K$71,$J364))))</f>
        <v>0.538461538461538</v>
      </c>
      <c r="P364" s="16" t="n">
        <f aca="false">IF($J364=0,0,IFERROR(MATCH(INDEX(ROTACAO_RDM!$N$6:$N$71,$J364),PARAMETROS_CULTURAS!$B$6:$B$28,0),0))</f>
        <v>5</v>
      </c>
      <c r="Q364" s="8" t="str">
        <f aca="false">IF($P364=0,"-",IF($O364&lt;=INDEX(PARAMETROS_CULTURAS!$F$6:$F$28,$P364),"INICIAL",IF($O364&lt;=INDEX(PARAMETROS_CULTURAS!$F$6:$F$28,$P364)+INDEX(PARAMETROS_CULTURAS!$G$6:$G$28,$P364),"DESENVOLVIMENTO",IF($O364&lt;=INDEX(PARAMETROS_CULTURAS!$F$6:$F$28,$P364)+INDEX(PARAMETROS_CULTURAS!$G$6:$G$28,$P364)+INDEX(PARAMETROS_CULTURAS!$H$6:$H$28,$P364),"MEDIA","FINAL"))))</f>
        <v>MEDIA</v>
      </c>
      <c r="R364" s="24" t="n">
        <f aca="false">IF($P364=0,0,IF($O364&lt;=INDEX(PARAMETROS_CULTURAS!$F$6:$F$28,$P364),INDEX(PARAMETROS_CULTURAS!$K$6:$K$28,$P364),IF($O364&lt;=INDEX(PARAMETROS_CULTURAS!$F$6:$F$28,$P364)+INDEX(PARAMETROS_CULTURAS!$G$6:$G$28,$P364),INDEX(PARAMETROS_CULTURAS!$K$6:$K$28,$P364)+(INDEX(PARAMETROS_CULTURAS!$L$6:$L$28,$P364)-INDEX(PARAMETROS_CULTURAS!$K$6:$K$28,$P364))*($O364-INDEX(PARAMETROS_CULTURAS!$F$6:$F$28,$P364))/MAX(INDEX(PARAMETROS_CULTURAS!$G$6:$G$28,$P364),0.0001),IF($O364&lt;=INDEX(PARAMETROS_CULTURAS!$F$6:$F$28,$P364)+INDEX(PARAMETROS_CULTURAS!$G$6:$G$28,$P364)+INDEX(PARAMETROS_CULTURAS!$H$6:$H$28,$P364),INDEX(PARAMETROS_CULTURAS!$L$6:$L$28,$P364),INDEX(PARAMETROS_CULTURAS!$L$6:$L$28,$P364)+(INDEX(PARAMETROS_CULTURAS!$M$6:$M$28,$P364)-INDEX(PARAMETROS_CULTURAS!$L$6:$L$28,$P364))*($O364-INDEX(PARAMETROS_CULTURAS!$F$6:$F$28,$P364)-INDEX(PARAMETROS_CULTURAS!$G$6:$G$28,$P364)-INDEX(PARAMETROS_CULTURAS!$H$6:$H$28,$P364))/MAX(INDEX(PARAMETROS_CULTURAS!$I$6:$I$28,$P364),0.0001)))))</f>
        <v>1.15</v>
      </c>
      <c r="S364" s="18" t="n">
        <f aca="false">IFERROR(INDEX(SEMANAS!$H$6:$H$71,MATCH($B364,SEMANAS!$B$6:$B$71,0)),0)</f>
        <v>32.2</v>
      </c>
      <c r="T364" s="18" t="n">
        <f aca="false">$R364*$S364</f>
        <v>37.03</v>
      </c>
      <c r="U364" s="18" t="n">
        <f aca="false">IFERROR(INDEX(SEMANAS!$I$6:$I$71,MATCH($B364,SEMANAS!$B$6:$B$71,0)),0)</f>
        <v>37.24</v>
      </c>
      <c r="V364" s="18" t="n">
        <f aca="false">IFERROR(INDEX(SEMANAS!$J$6:$J$71,MATCH($B364,SEMANAS!$B$6:$B$71,0)),0)</f>
        <v>29.792</v>
      </c>
      <c r="W364" s="18" t="n">
        <f aca="false">MAX(0,$T364-$V364)</f>
        <v>7.23799999999999</v>
      </c>
      <c r="X364" s="19" t="n">
        <f aca="false">IFERROR(INDEX(CADASTRO_PIVOS!$K$6:$K$41,MATCH($E364,CADASTRO_PIVOS!$B$6:$B$41,0)),EFICIENCIA_PADRAO)</f>
        <v>0.85</v>
      </c>
      <c r="Y364" s="18" t="n">
        <f aca="false">IF($X364&lt;=0,0,$W364/$X364)</f>
        <v>8.51529411764705</v>
      </c>
      <c r="Z364" s="16" t="n">
        <f aca="false">$Y364*$H364*MM_PARA_M3_HA</f>
        <v>10998.3538823529</v>
      </c>
      <c r="AA364" s="18" t="n">
        <f aca="false">IFERROR(INDEX(CADASTRO_PIVOS!$I$6:$I$41,MATCH($E364,CADASTRO_PIVOS!$B$6:$B$41,0)),0)</f>
        <v>922.571428571429</v>
      </c>
      <c r="AB364" s="18" t="n">
        <f aca="false">IF($Z364&lt;=0,0,$Z364/$AA364)</f>
        <v>11.9214117647059</v>
      </c>
      <c r="AC364" s="16" t="n">
        <f aca="false">IFERROR(INDEX(SEMANAS!$K$6:$K$71,MATCH($B364,SEMANAS!$B$6:$B$71,0)),0)</f>
        <v>147</v>
      </c>
      <c r="AD364" s="19" t="n">
        <f aca="false">IF($AC364&lt;=0,0,$AB364/$AC364)</f>
        <v>0.0810980392156862</v>
      </c>
      <c r="AE364" s="8" t="str">
        <f aca="false">IF($K364="SEM CULTURA","SEM CULTURA",IF($AA364&lt;=0,"DADO PENDENTE",IF($AD364&gt;LIMITE_CRITICO,"INVIAVEL",IF($AD364&gt;LIMITE_ATENCAO,"CRITICO",IF($AD364&gt;LIMITE_CONFORTAVEL,"ATENCAO","OK")))))</f>
        <v>OK</v>
      </c>
      <c r="AF364" s="8" t="str">
        <f aca="false">$B364&amp;"|"&amp;TEXT($AD364,"0.000000")</f>
        <v>29|0.081098</v>
      </c>
      <c r="AG364" s="18" t="n">
        <f aca="false">IF($K364="SEM CULTURA",0,$T364*$H364)</f>
        <v>4782.7948</v>
      </c>
      <c r="AH364" s="18" t="n">
        <f aca="false">IF($K364="SEM CULTURA",0,$V364*$H364)</f>
        <v>3847.93472</v>
      </c>
      <c r="AI364" s="18" t="n">
        <f aca="false">IF($K364="SEM CULTURA",0,$W364*$H364)</f>
        <v>934.860079999999</v>
      </c>
      <c r="AJ364" s="18" t="n">
        <f aca="false">IF($K364="SEM CULTURA",0,$S364*$H364)</f>
        <v>4158.952</v>
      </c>
      <c r="AK364" s="8" t="str">
        <f aca="false">$E364&amp;"|"&amp;TEXT($AD364,"0.000000")</f>
        <v>PV 101|0.081098</v>
      </c>
    </row>
    <row r="365" customFormat="false" ht="15" hidden="false" customHeight="false" outlineLevel="0" collapsed="false">
      <c r="B365" s="16" t="n">
        <v>30</v>
      </c>
      <c r="C365" s="17" t="n">
        <f aca="false">DATA_INICIO_SAFRA+($B365-1)*DIAS_POR_SEMANA</f>
        <v>46468</v>
      </c>
      <c r="D365" s="17" t="n">
        <f aca="false">$C365+DIAS_POR_SEMANA-1</f>
        <v>46474</v>
      </c>
      <c r="E365" s="15" t="s">
        <v>264</v>
      </c>
      <c r="F365" s="8" t="str">
        <f aca="false">IFERROR(INDEX(CADASTRO_PIVOS!$C$6:$C$41,MATCH($E365,CADASTRO_PIVOS!$B$6:$B$41,0)),"?")</f>
        <v>RM04</v>
      </c>
      <c r="G365" s="8" t="str">
        <f aca="false">IFERROR(INDEX(CADASTRO_PIVOS!$D$6:$D$41,MATCH($E365,CADASTRO_PIVOS!$B$6:$B$41,0)),"?")</f>
        <v>TR04</v>
      </c>
      <c r="H365" s="20" t="n">
        <f aca="false">IFERROR(INDEX(CADASTRO_PIVOS!$E$6:$E$41,MATCH($E365,CADASTRO_PIVOS!$B$6:$B$41,0)),0)</f>
        <v>129.16</v>
      </c>
      <c r="I365" s="16" t="n">
        <f aca="false">IFERROR(SUMIFS(ROTACAO_RDM!$B$6:$B$71,ROTACAO_RDM!$D$6:$D$71,$E365,ROTACAO_RDM!$I$6:$I$71,"&lt;="&amp;$C365+INT(DIAS_POR_SEMANA/2),ROTACAO_RDM!$J$6:$J$71,"&gt;="&amp;$C365+INT(DIAS_POR_SEMANA/2)),0)</f>
        <v>1</v>
      </c>
      <c r="J365" s="16" t="n">
        <f aca="false">IFERROR(MATCH($I365,ROTACAO_RDM!$B$6:$B$71,0),0)</f>
        <v>1</v>
      </c>
      <c r="K365" s="8" t="str">
        <f aca="false">IF($J365=0,"SEM CULTURA",INDEX(ROTACAO_RDM!$F$6:$F$71,$J365))</f>
        <v>ALGODAO</v>
      </c>
      <c r="L365" s="8" t="str">
        <f aca="false">IF($J365=0,"",INDEX(ROTACAO_RDM!$G$6:$G$71,$J365))</f>
        <v>FM 933 STP</v>
      </c>
      <c r="M365" s="17" t="n">
        <f aca="false">IF($J365=0,"",INDEX(ROTACAO_RDM!$I$6:$I$71,$J365))</f>
        <v>46359</v>
      </c>
      <c r="N365" s="16" t="n">
        <f aca="false">IF($J365=0,0,MAX(0,$C365+INT(DIAS_POR_SEMANA/2)-INDEX(ROTACAO_RDM!$I$6:$I$71,$J365)))</f>
        <v>112</v>
      </c>
      <c r="O365" s="19" t="n">
        <f aca="false">IF($J365=0,0,MIN(1,$N365/MAX(1,INDEX(ROTACAO_RDM!$K$6:$K$71,$J365))))</f>
        <v>0.574358974358974</v>
      </c>
      <c r="P365" s="16" t="n">
        <f aca="false">IF($J365=0,0,IFERROR(MATCH(INDEX(ROTACAO_RDM!$N$6:$N$71,$J365),PARAMETROS_CULTURAS!$B$6:$B$28,0),0))</f>
        <v>5</v>
      </c>
      <c r="Q365" s="8" t="str">
        <f aca="false">IF($P365=0,"-",IF($O365&lt;=INDEX(PARAMETROS_CULTURAS!$F$6:$F$28,$P365),"INICIAL",IF($O365&lt;=INDEX(PARAMETROS_CULTURAS!$F$6:$F$28,$P365)+INDEX(PARAMETROS_CULTURAS!$G$6:$G$28,$P365),"DESENVOLVIMENTO",IF($O365&lt;=INDEX(PARAMETROS_CULTURAS!$F$6:$F$28,$P365)+INDEX(PARAMETROS_CULTURAS!$G$6:$G$28,$P365)+INDEX(PARAMETROS_CULTURAS!$H$6:$H$28,$P365),"MEDIA","FINAL"))))</f>
        <v>MEDIA</v>
      </c>
      <c r="R365" s="24" t="n">
        <f aca="false">IF($P365=0,0,IF($O365&lt;=INDEX(PARAMETROS_CULTURAS!$F$6:$F$28,$P365),INDEX(PARAMETROS_CULTURAS!$K$6:$K$28,$P365),IF($O365&lt;=INDEX(PARAMETROS_CULTURAS!$F$6:$F$28,$P365)+INDEX(PARAMETROS_CULTURAS!$G$6:$G$28,$P365),INDEX(PARAMETROS_CULTURAS!$K$6:$K$28,$P365)+(INDEX(PARAMETROS_CULTURAS!$L$6:$L$28,$P365)-INDEX(PARAMETROS_CULTURAS!$K$6:$K$28,$P365))*($O365-INDEX(PARAMETROS_CULTURAS!$F$6:$F$28,$P365))/MAX(INDEX(PARAMETROS_CULTURAS!$G$6:$G$28,$P365),0.0001),IF($O365&lt;=INDEX(PARAMETROS_CULTURAS!$F$6:$F$28,$P365)+INDEX(PARAMETROS_CULTURAS!$G$6:$G$28,$P365)+INDEX(PARAMETROS_CULTURAS!$H$6:$H$28,$P365),INDEX(PARAMETROS_CULTURAS!$L$6:$L$28,$P365),INDEX(PARAMETROS_CULTURAS!$L$6:$L$28,$P365)+(INDEX(PARAMETROS_CULTURAS!$M$6:$M$28,$P365)-INDEX(PARAMETROS_CULTURAS!$L$6:$L$28,$P365))*($O365-INDEX(PARAMETROS_CULTURAS!$F$6:$F$28,$P365)-INDEX(PARAMETROS_CULTURAS!$G$6:$G$28,$P365)-INDEX(PARAMETROS_CULTURAS!$H$6:$H$28,$P365))/MAX(INDEX(PARAMETROS_CULTURAS!$I$6:$I$28,$P365),0.0001)))))</f>
        <v>1.15</v>
      </c>
      <c r="S365" s="18" t="n">
        <f aca="false">IFERROR(INDEX(SEMANAS!$H$6:$H$71,MATCH($B365,SEMANAS!$B$6:$B$71,0)),0)</f>
        <v>32.2</v>
      </c>
      <c r="T365" s="18" t="n">
        <f aca="false">$R365*$S365</f>
        <v>37.03</v>
      </c>
      <c r="U365" s="18" t="n">
        <f aca="false">IFERROR(INDEX(SEMANAS!$I$6:$I$71,MATCH($B365,SEMANAS!$B$6:$B$71,0)),0)</f>
        <v>37.24</v>
      </c>
      <c r="V365" s="18" t="n">
        <f aca="false">IFERROR(INDEX(SEMANAS!$J$6:$J$71,MATCH($B365,SEMANAS!$B$6:$B$71,0)),0)</f>
        <v>29.792</v>
      </c>
      <c r="W365" s="18" t="n">
        <f aca="false">MAX(0,$T365-$V365)</f>
        <v>7.23799999999999</v>
      </c>
      <c r="X365" s="19" t="n">
        <f aca="false">IFERROR(INDEX(CADASTRO_PIVOS!$K$6:$K$41,MATCH($E365,CADASTRO_PIVOS!$B$6:$B$41,0)),EFICIENCIA_PADRAO)</f>
        <v>0.85</v>
      </c>
      <c r="Y365" s="18" t="n">
        <f aca="false">IF($X365&lt;=0,0,$W365/$X365)</f>
        <v>8.51529411764705</v>
      </c>
      <c r="Z365" s="16" t="n">
        <f aca="false">$Y365*$H365*MM_PARA_M3_HA</f>
        <v>10998.3538823529</v>
      </c>
      <c r="AA365" s="18" t="n">
        <f aca="false">IFERROR(INDEX(CADASTRO_PIVOS!$I$6:$I$41,MATCH($E365,CADASTRO_PIVOS!$B$6:$B$41,0)),0)</f>
        <v>922.571428571429</v>
      </c>
      <c r="AB365" s="18" t="n">
        <f aca="false">IF($Z365&lt;=0,0,$Z365/$AA365)</f>
        <v>11.9214117647059</v>
      </c>
      <c r="AC365" s="16" t="n">
        <f aca="false">IFERROR(INDEX(SEMANAS!$K$6:$K$71,MATCH($B365,SEMANAS!$B$6:$B$71,0)),0)</f>
        <v>147</v>
      </c>
      <c r="AD365" s="19" t="n">
        <f aca="false">IF($AC365&lt;=0,0,$AB365/$AC365)</f>
        <v>0.0810980392156862</v>
      </c>
      <c r="AE365" s="8" t="str">
        <f aca="false">IF($K365="SEM CULTURA","SEM CULTURA",IF($AA365&lt;=0,"DADO PENDENTE",IF($AD365&gt;LIMITE_CRITICO,"INVIAVEL",IF($AD365&gt;LIMITE_ATENCAO,"CRITICO",IF($AD365&gt;LIMITE_CONFORTAVEL,"ATENCAO","OK")))))</f>
        <v>OK</v>
      </c>
      <c r="AF365" s="8" t="str">
        <f aca="false">$B365&amp;"|"&amp;TEXT($AD365,"0.000000")</f>
        <v>30|0.081098</v>
      </c>
      <c r="AG365" s="18" t="n">
        <f aca="false">IF($K365="SEM CULTURA",0,$T365*$H365)</f>
        <v>4782.7948</v>
      </c>
      <c r="AH365" s="18" t="n">
        <f aca="false">IF($K365="SEM CULTURA",0,$V365*$H365)</f>
        <v>3847.93472</v>
      </c>
      <c r="AI365" s="18" t="n">
        <f aca="false">IF($K365="SEM CULTURA",0,$W365*$H365)</f>
        <v>934.860079999999</v>
      </c>
      <c r="AJ365" s="18" t="n">
        <f aca="false">IF($K365="SEM CULTURA",0,$S365*$H365)</f>
        <v>4158.952</v>
      </c>
      <c r="AK365" s="8" t="str">
        <f aca="false">$E365&amp;"|"&amp;TEXT($AD365,"0.000000")</f>
        <v>PV 101|0.081098</v>
      </c>
    </row>
    <row r="366" customFormat="false" ht="15" hidden="false" customHeight="false" outlineLevel="0" collapsed="false">
      <c r="B366" s="16" t="n">
        <v>31</v>
      </c>
      <c r="C366" s="17" t="n">
        <f aca="false">DATA_INICIO_SAFRA+($B366-1)*DIAS_POR_SEMANA</f>
        <v>46475</v>
      </c>
      <c r="D366" s="17" t="n">
        <f aca="false">$C366+DIAS_POR_SEMANA-1</f>
        <v>46481</v>
      </c>
      <c r="E366" s="15" t="s">
        <v>264</v>
      </c>
      <c r="F366" s="8" t="str">
        <f aca="false">IFERROR(INDEX(CADASTRO_PIVOS!$C$6:$C$41,MATCH($E366,CADASTRO_PIVOS!$B$6:$B$41,0)),"?")</f>
        <v>RM04</v>
      </c>
      <c r="G366" s="8" t="str">
        <f aca="false">IFERROR(INDEX(CADASTRO_PIVOS!$D$6:$D$41,MATCH($E366,CADASTRO_PIVOS!$B$6:$B$41,0)),"?")</f>
        <v>TR04</v>
      </c>
      <c r="H366" s="20" t="n">
        <f aca="false">IFERROR(INDEX(CADASTRO_PIVOS!$E$6:$E$41,MATCH($E366,CADASTRO_PIVOS!$B$6:$B$41,0)),0)</f>
        <v>129.16</v>
      </c>
      <c r="I366" s="16" t="n">
        <f aca="false">IFERROR(SUMIFS(ROTACAO_RDM!$B$6:$B$71,ROTACAO_RDM!$D$6:$D$71,$E366,ROTACAO_RDM!$I$6:$I$71,"&lt;="&amp;$C366+INT(DIAS_POR_SEMANA/2),ROTACAO_RDM!$J$6:$J$71,"&gt;="&amp;$C366+INT(DIAS_POR_SEMANA/2)),0)</f>
        <v>1</v>
      </c>
      <c r="J366" s="16" t="n">
        <f aca="false">IFERROR(MATCH($I366,ROTACAO_RDM!$B$6:$B$71,0),0)</f>
        <v>1</v>
      </c>
      <c r="K366" s="8" t="str">
        <f aca="false">IF($J366=0,"SEM CULTURA",INDEX(ROTACAO_RDM!$F$6:$F$71,$J366))</f>
        <v>ALGODAO</v>
      </c>
      <c r="L366" s="8" t="str">
        <f aca="false">IF($J366=0,"",INDEX(ROTACAO_RDM!$G$6:$G$71,$J366))</f>
        <v>FM 933 STP</v>
      </c>
      <c r="M366" s="17" t="n">
        <f aca="false">IF($J366=0,"",INDEX(ROTACAO_RDM!$I$6:$I$71,$J366))</f>
        <v>46359</v>
      </c>
      <c r="N366" s="16" t="n">
        <f aca="false">IF($J366=0,0,MAX(0,$C366+INT(DIAS_POR_SEMANA/2)-INDEX(ROTACAO_RDM!$I$6:$I$71,$J366)))</f>
        <v>119</v>
      </c>
      <c r="O366" s="19" t="n">
        <f aca="false">IF($J366=0,0,MIN(1,$N366/MAX(1,INDEX(ROTACAO_RDM!$K$6:$K$71,$J366))))</f>
        <v>0.61025641025641</v>
      </c>
      <c r="P366" s="16" t="n">
        <f aca="false">IF($J366=0,0,IFERROR(MATCH(INDEX(ROTACAO_RDM!$N$6:$N$71,$J366),PARAMETROS_CULTURAS!$B$6:$B$28,0),0))</f>
        <v>5</v>
      </c>
      <c r="Q366" s="8" t="str">
        <f aca="false">IF($P366=0,"-",IF($O366&lt;=INDEX(PARAMETROS_CULTURAS!$F$6:$F$28,$P366),"INICIAL",IF($O366&lt;=INDEX(PARAMETROS_CULTURAS!$F$6:$F$28,$P366)+INDEX(PARAMETROS_CULTURAS!$G$6:$G$28,$P366),"DESENVOLVIMENTO",IF($O366&lt;=INDEX(PARAMETROS_CULTURAS!$F$6:$F$28,$P366)+INDEX(PARAMETROS_CULTURAS!$G$6:$G$28,$P366)+INDEX(PARAMETROS_CULTURAS!$H$6:$H$28,$P366),"MEDIA","FINAL"))))</f>
        <v>MEDIA</v>
      </c>
      <c r="R366" s="24" t="n">
        <f aca="false">IF($P366=0,0,IF($O366&lt;=INDEX(PARAMETROS_CULTURAS!$F$6:$F$28,$P366),INDEX(PARAMETROS_CULTURAS!$K$6:$K$28,$P366),IF($O366&lt;=INDEX(PARAMETROS_CULTURAS!$F$6:$F$28,$P366)+INDEX(PARAMETROS_CULTURAS!$G$6:$G$28,$P366),INDEX(PARAMETROS_CULTURAS!$K$6:$K$28,$P366)+(INDEX(PARAMETROS_CULTURAS!$L$6:$L$28,$P366)-INDEX(PARAMETROS_CULTURAS!$K$6:$K$28,$P366))*($O366-INDEX(PARAMETROS_CULTURAS!$F$6:$F$28,$P366))/MAX(INDEX(PARAMETROS_CULTURAS!$G$6:$G$28,$P366),0.0001),IF($O366&lt;=INDEX(PARAMETROS_CULTURAS!$F$6:$F$28,$P366)+INDEX(PARAMETROS_CULTURAS!$G$6:$G$28,$P366)+INDEX(PARAMETROS_CULTURAS!$H$6:$H$28,$P366),INDEX(PARAMETROS_CULTURAS!$L$6:$L$28,$P366),INDEX(PARAMETROS_CULTURAS!$L$6:$L$28,$P366)+(INDEX(PARAMETROS_CULTURAS!$M$6:$M$28,$P366)-INDEX(PARAMETROS_CULTURAS!$L$6:$L$28,$P366))*($O366-INDEX(PARAMETROS_CULTURAS!$F$6:$F$28,$P366)-INDEX(PARAMETROS_CULTURAS!$G$6:$G$28,$P366)-INDEX(PARAMETROS_CULTURAS!$H$6:$H$28,$P366))/MAX(INDEX(PARAMETROS_CULTURAS!$I$6:$I$28,$P366),0.0001)))))</f>
        <v>1.15</v>
      </c>
      <c r="S366" s="18" t="n">
        <f aca="false">IFERROR(INDEX(SEMANAS!$H$6:$H$71,MATCH($B366,SEMANAS!$B$6:$B$71,0)),0)</f>
        <v>31.8</v>
      </c>
      <c r="T366" s="18" t="n">
        <f aca="false">$R366*$S366</f>
        <v>36.57</v>
      </c>
      <c r="U366" s="18" t="n">
        <f aca="false">IFERROR(INDEX(SEMANAS!$I$6:$I$71,MATCH($B366,SEMANAS!$B$6:$B$71,0)),0)</f>
        <v>25.28</v>
      </c>
      <c r="V366" s="18" t="n">
        <f aca="false">IFERROR(INDEX(SEMANAS!$J$6:$J$71,MATCH($B366,SEMANAS!$B$6:$B$71,0)),0)</f>
        <v>20.224</v>
      </c>
      <c r="W366" s="18" t="n">
        <f aca="false">MAX(0,$T366-$V366)</f>
        <v>16.346</v>
      </c>
      <c r="X366" s="19" t="n">
        <f aca="false">IFERROR(INDEX(CADASTRO_PIVOS!$K$6:$K$41,MATCH($E366,CADASTRO_PIVOS!$B$6:$B$41,0)),EFICIENCIA_PADRAO)</f>
        <v>0.85</v>
      </c>
      <c r="Y366" s="18" t="n">
        <f aca="false">IF($X366&lt;=0,0,$W366/$X366)</f>
        <v>19.2305882352941</v>
      </c>
      <c r="Z366" s="16" t="n">
        <f aca="false">$Y366*$H366*MM_PARA_M3_HA</f>
        <v>24838.2277647059</v>
      </c>
      <c r="AA366" s="18" t="n">
        <f aca="false">IFERROR(INDEX(CADASTRO_PIVOS!$I$6:$I$41,MATCH($E366,CADASTRO_PIVOS!$B$6:$B$41,0)),0)</f>
        <v>922.571428571429</v>
      </c>
      <c r="AB366" s="18" t="n">
        <f aca="false">IF($Z366&lt;=0,0,$Z366/$AA366)</f>
        <v>26.9228235294118</v>
      </c>
      <c r="AC366" s="16" t="n">
        <f aca="false">IFERROR(INDEX(SEMANAS!$K$6:$K$71,MATCH($B366,SEMANAS!$B$6:$B$71,0)),0)</f>
        <v>147</v>
      </c>
      <c r="AD366" s="19" t="n">
        <f aca="false">IF($AC366&lt;=0,0,$AB366/$AC366)</f>
        <v>0.183148459383753</v>
      </c>
      <c r="AE366" s="8" t="str">
        <f aca="false">IF($K366="SEM CULTURA","SEM CULTURA",IF($AA366&lt;=0,"DADO PENDENTE",IF($AD366&gt;LIMITE_CRITICO,"INVIAVEL",IF($AD366&gt;LIMITE_ATENCAO,"CRITICO",IF($AD366&gt;LIMITE_CONFORTAVEL,"ATENCAO","OK")))))</f>
        <v>OK</v>
      </c>
      <c r="AF366" s="8" t="str">
        <f aca="false">$B366&amp;"|"&amp;TEXT($AD366,"0.000000")</f>
        <v>31|0.183148</v>
      </c>
      <c r="AG366" s="18" t="n">
        <f aca="false">IF($K366="SEM CULTURA",0,$T366*$H366)</f>
        <v>4723.3812</v>
      </c>
      <c r="AH366" s="18" t="n">
        <f aca="false">IF($K366="SEM CULTURA",0,$V366*$H366)</f>
        <v>2612.13184</v>
      </c>
      <c r="AI366" s="18" t="n">
        <f aca="false">IF($K366="SEM CULTURA",0,$W366*$H366)</f>
        <v>2111.24936</v>
      </c>
      <c r="AJ366" s="18" t="n">
        <f aca="false">IF($K366="SEM CULTURA",0,$S366*$H366)</f>
        <v>4107.288</v>
      </c>
      <c r="AK366" s="8" t="str">
        <f aca="false">$E366&amp;"|"&amp;TEXT($AD366,"0.000000")</f>
        <v>PV 101|0.183148</v>
      </c>
    </row>
    <row r="367" customFormat="false" ht="15" hidden="false" customHeight="false" outlineLevel="0" collapsed="false">
      <c r="B367" s="16" t="n">
        <v>32</v>
      </c>
      <c r="C367" s="17" t="n">
        <f aca="false">DATA_INICIO_SAFRA+($B367-1)*DIAS_POR_SEMANA</f>
        <v>46482</v>
      </c>
      <c r="D367" s="17" t="n">
        <f aca="false">$C367+DIAS_POR_SEMANA-1</f>
        <v>46488</v>
      </c>
      <c r="E367" s="15" t="s">
        <v>264</v>
      </c>
      <c r="F367" s="8" t="str">
        <f aca="false">IFERROR(INDEX(CADASTRO_PIVOS!$C$6:$C$41,MATCH($E367,CADASTRO_PIVOS!$B$6:$B$41,0)),"?")</f>
        <v>RM04</v>
      </c>
      <c r="G367" s="8" t="str">
        <f aca="false">IFERROR(INDEX(CADASTRO_PIVOS!$D$6:$D$41,MATCH($E367,CADASTRO_PIVOS!$B$6:$B$41,0)),"?")</f>
        <v>TR04</v>
      </c>
      <c r="H367" s="20" t="n">
        <f aca="false">IFERROR(INDEX(CADASTRO_PIVOS!$E$6:$E$41,MATCH($E367,CADASTRO_PIVOS!$B$6:$B$41,0)),0)</f>
        <v>129.16</v>
      </c>
      <c r="I367" s="16" t="n">
        <f aca="false">IFERROR(SUMIFS(ROTACAO_RDM!$B$6:$B$71,ROTACAO_RDM!$D$6:$D$71,$E367,ROTACAO_RDM!$I$6:$I$71,"&lt;="&amp;$C367+INT(DIAS_POR_SEMANA/2),ROTACAO_RDM!$J$6:$J$71,"&gt;="&amp;$C367+INT(DIAS_POR_SEMANA/2)),0)</f>
        <v>1</v>
      </c>
      <c r="J367" s="16" t="n">
        <f aca="false">IFERROR(MATCH($I367,ROTACAO_RDM!$B$6:$B$71,0),0)</f>
        <v>1</v>
      </c>
      <c r="K367" s="8" t="str">
        <f aca="false">IF($J367=0,"SEM CULTURA",INDEX(ROTACAO_RDM!$F$6:$F$71,$J367))</f>
        <v>ALGODAO</v>
      </c>
      <c r="L367" s="8" t="str">
        <f aca="false">IF($J367=0,"",INDEX(ROTACAO_RDM!$G$6:$G$71,$J367))</f>
        <v>FM 933 STP</v>
      </c>
      <c r="M367" s="17" t="n">
        <f aca="false">IF($J367=0,"",INDEX(ROTACAO_RDM!$I$6:$I$71,$J367))</f>
        <v>46359</v>
      </c>
      <c r="N367" s="16" t="n">
        <f aca="false">IF($J367=0,0,MAX(0,$C367+INT(DIAS_POR_SEMANA/2)-INDEX(ROTACAO_RDM!$I$6:$I$71,$J367)))</f>
        <v>126</v>
      </c>
      <c r="O367" s="19" t="n">
        <f aca="false">IF($J367=0,0,MIN(1,$N367/MAX(1,INDEX(ROTACAO_RDM!$K$6:$K$71,$J367))))</f>
        <v>0.646153846153846</v>
      </c>
      <c r="P367" s="16" t="n">
        <f aca="false">IF($J367=0,0,IFERROR(MATCH(INDEX(ROTACAO_RDM!$N$6:$N$71,$J367),PARAMETROS_CULTURAS!$B$6:$B$28,0),0))</f>
        <v>5</v>
      </c>
      <c r="Q367" s="8" t="str">
        <f aca="false">IF($P367=0,"-",IF($O367&lt;=INDEX(PARAMETROS_CULTURAS!$F$6:$F$28,$P367),"INICIAL",IF($O367&lt;=INDEX(PARAMETROS_CULTURAS!$F$6:$F$28,$P367)+INDEX(PARAMETROS_CULTURAS!$G$6:$G$28,$P367),"DESENVOLVIMENTO",IF($O367&lt;=INDEX(PARAMETROS_CULTURAS!$F$6:$F$28,$P367)+INDEX(PARAMETROS_CULTURAS!$G$6:$G$28,$P367)+INDEX(PARAMETROS_CULTURAS!$H$6:$H$28,$P367),"MEDIA","FINAL"))))</f>
        <v>MEDIA</v>
      </c>
      <c r="R367" s="24" t="n">
        <f aca="false">IF($P367=0,0,IF($O367&lt;=INDEX(PARAMETROS_CULTURAS!$F$6:$F$28,$P367),INDEX(PARAMETROS_CULTURAS!$K$6:$K$28,$P367),IF($O367&lt;=INDEX(PARAMETROS_CULTURAS!$F$6:$F$28,$P367)+INDEX(PARAMETROS_CULTURAS!$G$6:$G$28,$P367),INDEX(PARAMETROS_CULTURAS!$K$6:$K$28,$P367)+(INDEX(PARAMETROS_CULTURAS!$L$6:$L$28,$P367)-INDEX(PARAMETROS_CULTURAS!$K$6:$K$28,$P367))*($O367-INDEX(PARAMETROS_CULTURAS!$F$6:$F$28,$P367))/MAX(INDEX(PARAMETROS_CULTURAS!$G$6:$G$28,$P367),0.0001),IF($O367&lt;=INDEX(PARAMETROS_CULTURAS!$F$6:$F$28,$P367)+INDEX(PARAMETROS_CULTURAS!$G$6:$G$28,$P367)+INDEX(PARAMETROS_CULTURAS!$H$6:$H$28,$P367),INDEX(PARAMETROS_CULTURAS!$L$6:$L$28,$P367),INDEX(PARAMETROS_CULTURAS!$L$6:$L$28,$P367)+(INDEX(PARAMETROS_CULTURAS!$M$6:$M$28,$P367)-INDEX(PARAMETROS_CULTURAS!$L$6:$L$28,$P367))*($O367-INDEX(PARAMETROS_CULTURAS!$F$6:$F$28,$P367)-INDEX(PARAMETROS_CULTURAS!$G$6:$G$28,$P367)-INDEX(PARAMETROS_CULTURAS!$H$6:$H$28,$P367))/MAX(INDEX(PARAMETROS_CULTURAS!$I$6:$I$28,$P367),0.0001)))))</f>
        <v>1.15</v>
      </c>
      <c r="S367" s="18" t="n">
        <f aca="false">IFERROR(INDEX(SEMANAS!$H$6:$H$71,MATCH($B367,SEMANAS!$B$6:$B$71,0)),0)</f>
        <v>31.5</v>
      </c>
      <c r="T367" s="18" t="n">
        <f aca="false">$R367*$S367</f>
        <v>36.225</v>
      </c>
      <c r="U367" s="18" t="n">
        <f aca="false">IFERROR(INDEX(SEMANAS!$I$6:$I$71,MATCH($B367,SEMANAS!$B$6:$B$71,0)),0)</f>
        <v>16.31</v>
      </c>
      <c r="V367" s="18" t="n">
        <f aca="false">IFERROR(INDEX(SEMANAS!$J$6:$J$71,MATCH($B367,SEMANAS!$B$6:$B$71,0)),0)</f>
        <v>13.048</v>
      </c>
      <c r="W367" s="18" t="n">
        <f aca="false">MAX(0,$T367-$V367)</f>
        <v>23.177</v>
      </c>
      <c r="X367" s="19" t="n">
        <f aca="false">IFERROR(INDEX(CADASTRO_PIVOS!$K$6:$K$41,MATCH($E367,CADASTRO_PIVOS!$B$6:$B$41,0)),EFICIENCIA_PADRAO)</f>
        <v>0.85</v>
      </c>
      <c r="Y367" s="18" t="n">
        <f aca="false">IF($X367&lt;=0,0,$W367/$X367)</f>
        <v>27.2670588235294</v>
      </c>
      <c r="Z367" s="16" t="n">
        <f aca="false">$Y367*$H367*MM_PARA_M3_HA</f>
        <v>35218.1331764706</v>
      </c>
      <c r="AA367" s="18" t="n">
        <f aca="false">IFERROR(INDEX(CADASTRO_PIVOS!$I$6:$I$41,MATCH($E367,CADASTRO_PIVOS!$B$6:$B$41,0)),0)</f>
        <v>922.571428571429</v>
      </c>
      <c r="AB367" s="18" t="n">
        <f aca="false">IF($Z367&lt;=0,0,$Z367/$AA367)</f>
        <v>38.1738823529412</v>
      </c>
      <c r="AC367" s="16" t="n">
        <f aca="false">IFERROR(INDEX(SEMANAS!$K$6:$K$71,MATCH($B367,SEMANAS!$B$6:$B$71,0)),0)</f>
        <v>147</v>
      </c>
      <c r="AD367" s="19" t="n">
        <f aca="false">IF($AC367&lt;=0,0,$AB367/$AC367)</f>
        <v>0.259686274509804</v>
      </c>
      <c r="AE367" s="8" t="str">
        <f aca="false">IF($K367="SEM CULTURA","SEM CULTURA",IF($AA367&lt;=0,"DADO PENDENTE",IF($AD367&gt;LIMITE_CRITICO,"INVIAVEL",IF($AD367&gt;LIMITE_ATENCAO,"CRITICO",IF($AD367&gt;LIMITE_CONFORTAVEL,"ATENCAO","OK")))))</f>
        <v>OK</v>
      </c>
      <c r="AF367" s="8" t="str">
        <f aca="false">$B367&amp;"|"&amp;TEXT($AD367,"0.000000")</f>
        <v>32|0.259686</v>
      </c>
      <c r="AG367" s="18" t="n">
        <f aca="false">IF($K367="SEM CULTURA",0,$T367*$H367)</f>
        <v>4678.821</v>
      </c>
      <c r="AH367" s="18" t="n">
        <f aca="false">IF($K367="SEM CULTURA",0,$V367*$H367)</f>
        <v>1685.27968</v>
      </c>
      <c r="AI367" s="18" t="n">
        <f aca="false">IF($K367="SEM CULTURA",0,$W367*$H367)</f>
        <v>2993.54132</v>
      </c>
      <c r="AJ367" s="18" t="n">
        <f aca="false">IF($K367="SEM CULTURA",0,$S367*$H367)</f>
        <v>4068.54</v>
      </c>
      <c r="AK367" s="8" t="str">
        <f aca="false">$E367&amp;"|"&amp;TEXT($AD367,"0.000000")</f>
        <v>PV 101|0.259686</v>
      </c>
    </row>
    <row r="368" customFormat="false" ht="15" hidden="false" customHeight="false" outlineLevel="0" collapsed="false">
      <c r="B368" s="16" t="n">
        <v>33</v>
      </c>
      <c r="C368" s="17" t="n">
        <f aca="false">DATA_INICIO_SAFRA+($B368-1)*DIAS_POR_SEMANA</f>
        <v>46489</v>
      </c>
      <c r="D368" s="17" t="n">
        <f aca="false">$C368+DIAS_POR_SEMANA-1</f>
        <v>46495</v>
      </c>
      <c r="E368" s="15" t="s">
        <v>264</v>
      </c>
      <c r="F368" s="8" t="str">
        <f aca="false">IFERROR(INDEX(CADASTRO_PIVOS!$C$6:$C$41,MATCH($E368,CADASTRO_PIVOS!$B$6:$B$41,0)),"?")</f>
        <v>RM04</v>
      </c>
      <c r="G368" s="8" t="str">
        <f aca="false">IFERROR(INDEX(CADASTRO_PIVOS!$D$6:$D$41,MATCH($E368,CADASTRO_PIVOS!$B$6:$B$41,0)),"?")</f>
        <v>TR04</v>
      </c>
      <c r="H368" s="20" t="n">
        <f aca="false">IFERROR(INDEX(CADASTRO_PIVOS!$E$6:$E$41,MATCH($E368,CADASTRO_PIVOS!$B$6:$B$41,0)),0)</f>
        <v>129.16</v>
      </c>
      <c r="I368" s="16" t="n">
        <f aca="false">IFERROR(SUMIFS(ROTACAO_RDM!$B$6:$B$71,ROTACAO_RDM!$D$6:$D$71,$E368,ROTACAO_RDM!$I$6:$I$71,"&lt;="&amp;$C368+INT(DIAS_POR_SEMANA/2),ROTACAO_RDM!$J$6:$J$71,"&gt;="&amp;$C368+INT(DIAS_POR_SEMANA/2)),0)</f>
        <v>1</v>
      </c>
      <c r="J368" s="16" t="n">
        <f aca="false">IFERROR(MATCH($I368,ROTACAO_RDM!$B$6:$B$71,0),0)</f>
        <v>1</v>
      </c>
      <c r="K368" s="8" t="str">
        <f aca="false">IF($J368=0,"SEM CULTURA",INDEX(ROTACAO_RDM!$F$6:$F$71,$J368))</f>
        <v>ALGODAO</v>
      </c>
      <c r="L368" s="8" t="str">
        <f aca="false">IF($J368=0,"",INDEX(ROTACAO_RDM!$G$6:$G$71,$J368))</f>
        <v>FM 933 STP</v>
      </c>
      <c r="M368" s="17" t="n">
        <f aca="false">IF($J368=0,"",INDEX(ROTACAO_RDM!$I$6:$I$71,$J368))</f>
        <v>46359</v>
      </c>
      <c r="N368" s="16" t="n">
        <f aca="false">IF($J368=0,0,MAX(0,$C368+INT(DIAS_POR_SEMANA/2)-INDEX(ROTACAO_RDM!$I$6:$I$71,$J368)))</f>
        <v>133</v>
      </c>
      <c r="O368" s="19" t="n">
        <f aca="false">IF($J368=0,0,MIN(1,$N368/MAX(1,INDEX(ROTACAO_RDM!$K$6:$K$71,$J368))))</f>
        <v>0.682051282051282</v>
      </c>
      <c r="P368" s="16" t="n">
        <f aca="false">IF($J368=0,0,IFERROR(MATCH(INDEX(ROTACAO_RDM!$N$6:$N$71,$J368),PARAMETROS_CULTURAS!$B$6:$B$28,0),0))</f>
        <v>5</v>
      </c>
      <c r="Q368" s="8" t="str">
        <f aca="false">IF($P368=0,"-",IF($O368&lt;=INDEX(PARAMETROS_CULTURAS!$F$6:$F$28,$P368),"INICIAL",IF($O368&lt;=INDEX(PARAMETROS_CULTURAS!$F$6:$F$28,$P368)+INDEX(PARAMETROS_CULTURAS!$G$6:$G$28,$P368),"DESENVOLVIMENTO",IF($O368&lt;=INDEX(PARAMETROS_CULTURAS!$F$6:$F$28,$P368)+INDEX(PARAMETROS_CULTURAS!$G$6:$G$28,$P368)+INDEX(PARAMETROS_CULTURAS!$H$6:$H$28,$P368),"MEDIA","FINAL"))))</f>
        <v>MEDIA</v>
      </c>
      <c r="R368" s="24" t="n">
        <f aca="false">IF($P368=0,0,IF($O368&lt;=INDEX(PARAMETROS_CULTURAS!$F$6:$F$28,$P368),INDEX(PARAMETROS_CULTURAS!$K$6:$K$28,$P368),IF($O368&lt;=INDEX(PARAMETROS_CULTURAS!$F$6:$F$28,$P368)+INDEX(PARAMETROS_CULTURAS!$G$6:$G$28,$P368),INDEX(PARAMETROS_CULTURAS!$K$6:$K$28,$P368)+(INDEX(PARAMETROS_CULTURAS!$L$6:$L$28,$P368)-INDEX(PARAMETROS_CULTURAS!$K$6:$K$28,$P368))*($O368-INDEX(PARAMETROS_CULTURAS!$F$6:$F$28,$P368))/MAX(INDEX(PARAMETROS_CULTURAS!$G$6:$G$28,$P368),0.0001),IF($O368&lt;=INDEX(PARAMETROS_CULTURAS!$F$6:$F$28,$P368)+INDEX(PARAMETROS_CULTURAS!$G$6:$G$28,$P368)+INDEX(PARAMETROS_CULTURAS!$H$6:$H$28,$P368),INDEX(PARAMETROS_CULTURAS!$L$6:$L$28,$P368),INDEX(PARAMETROS_CULTURAS!$L$6:$L$28,$P368)+(INDEX(PARAMETROS_CULTURAS!$M$6:$M$28,$P368)-INDEX(PARAMETROS_CULTURAS!$L$6:$L$28,$P368))*($O368-INDEX(PARAMETROS_CULTURAS!$F$6:$F$28,$P368)-INDEX(PARAMETROS_CULTURAS!$G$6:$G$28,$P368)-INDEX(PARAMETROS_CULTURAS!$H$6:$H$28,$P368))/MAX(INDEX(PARAMETROS_CULTURAS!$I$6:$I$28,$P368),0.0001)))))</f>
        <v>1.15</v>
      </c>
      <c r="S368" s="18" t="n">
        <f aca="false">IFERROR(INDEX(SEMANAS!$H$6:$H$71,MATCH($B368,SEMANAS!$B$6:$B$71,0)),0)</f>
        <v>31.5</v>
      </c>
      <c r="T368" s="18" t="n">
        <f aca="false">$R368*$S368</f>
        <v>36.225</v>
      </c>
      <c r="U368" s="18" t="n">
        <f aca="false">IFERROR(INDEX(SEMANAS!$I$6:$I$71,MATCH($B368,SEMANAS!$B$6:$B$71,0)),0)</f>
        <v>16.31</v>
      </c>
      <c r="V368" s="18" t="n">
        <f aca="false">IFERROR(INDEX(SEMANAS!$J$6:$J$71,MATCH($B368,SEMANAS!$B$6:$B$71,0)),0)</f>
        <v>13.048</v>
      </c>
      <c r="W368" s="18" t="n">
        <f aca="false">MAX(0,$T368-$V368)</f>
        <v>23.177</v>
      </c>
      <c r="X368" s="19" t="n">
        <f aca="false">IFERROR(INDEX(CADASTRO_PIVOS!$K$6:$K$41,MATCH($E368,CADASTRO_PIVOS!$B$6:$B$41,0)),EFICIENCIA_PADRAO)</f>
        <v>0.85</v>
      </c>
      <c r="Y368" s="18" t="n">
        <f aca="false">IF($X368&lt;=0,0,$W368/$X368)</f>
        <v>27.2670588235294</v>
      </c>
      <c r="Z368" s="16" t="n">
        <f aca="false">$Y368*$H368*MM_PARA_M3_HA</f>
        <v>35218.1331764706</v>
      </c>
      <c r="AA368" s="18" t="n">
        <f aca="false">IFERROR(INDEX(CADASTRO_PIVOS!$I$6:$I$41,MATCH($E368,CADASTRO_PIVOS!$B$6:$B$41,0)),0)</f>
        <v>922.571428571429</v>
      </c>
      <c r="AB368" s="18" t="n">
        <f aca="false">IF($Z368&lt;=0,0,$Z368/$AA368)</f>
        <v>38.1738823529412</v>
      </c>
      <c r="AC368" s="16" t="n">
        <f aca="false">IFERROR(INDEX(SEMANAS!$K$6:$K$71,MATCH($B368,SEMANAS!$B$6:$B$71,0)),0)</f>
        <v>147</v>
      </c>
      <c r="AD368" s="19" t="n">
        <f aca="false">IF($AC368&lt;=0,0,$AB368/$AC368)</f>
        <v>0.259686274509804</v>
      </c>
      <c r="AE368" s="8" t="str">
        <f aca="false">IF($K368="SEM CULTURA","SEM CULTURA",IF($AA368&lt;=0,"DADO PENDENTE",IF($AD368&gt;LIMITE_CRITICO,"INVIAVEL",IF($AD368&gt;LIMITE_ATENCAO,"CRITICO",IF($AD368&gt;LIMITE_CONFORTAVEL,"ATENCAO","OK")))))</f>
        <v>OK</v>
      </c>
      <c r="AF368" s="8" t="str">
        <f aca="false">$B368&amp;"|"&amp;TEXT($AD368,"0.000000")</f>
        <v>33|0.259686</v>
      </c>
      <c r="AG368" s="18" t="n">
        <f aca="false">IF($K368="SEM CULTURA",0,$T368*$H368)</f>
        <v>4678.821</v>
      </c>
      <c r="AH368" s="18" t="n">
        <f aca="false">IF($K368="SEM CULTURA",0,$V368*$H368)</f>
        <v>1685.27968</v>
      </c>
      <c r="AI368" s="18" t="n">
        <f aca="false">IF($K368="SEM CULTURA",0,$W368*$H368)</f>
        <v>2993.54132</v>
      </c>
      <c r="AJ368" s="18" t="n">
        <f aca="false">IF($K368="SEM CULTURA",0,$S368*$H368)</f>
        <v>4068.54</v>
      </c>
      <c r="AK368" s="8" t="str">
        <f aca="false">$E368&amp;"|"&amp;TEXT($AD368,"0.000000")</f>
        <v>PV 101|0.259686</v>
      </c>
    </row>
    <row r="369" customFormat="false" ht="15" hidden="false" customHeight="false" outlineLevel="0" collapsed="false">
      <c r="B369" s="16" t="n">
        <v>34</v>
      </c>
      <c r="C369" s="17" t="n">
        <f aca="false">DATA_INICIO_SAFRA+($B369-1)*DIAS_POR_SEMANA</f>
        <v>46496</v>
      </c>
      <c r="D369" s="17" t="n">
        <f aca="false">$C369+DIAS_POR_SEMANA-1</f>
        <v>46502</v>
      </c>
      <c r="E369" s="15" t="s">
        <v>264</v>
      </c>
      <c r="F369" s="8" t="str">
        <f aca="false">IFERROR(INDEX(CADASTRO_PIVOS!$C$6:$C$41,MATCH($E369,CADASTRO_PIVOS!$B$6:$B$41,0)),"?")</f>
        <v>RM04</v>
      </c>
      <c r="G369" s="8" t="str">
        <f aca="false">IFERROR(INDEX(CADASTRO_PIVOS!$D$6:$D$41,MATCH($E369,CADASTRO_PIVOS!$B$6:$B$41,0)),"?")</f>
        <v>TR04</v>
      </c>
      <c r="H369" s="20" t="n">
        <f aca="false">IFERROR(INDEX(CADASTRO_PIVOS!$E$6:$E$41,MATCH($E369,CADASTRO_PIVOS!$B$6:$B$41,0)),0)</f>
        <v>129.16</v>
      </c>
      <c r="I369" s="16" t="n">
        <f aca="false">IFERROR(SUMIFS(ROTACAO_RDM!$B$6:$B$71,ROTACAO_RDM!$D$6:$D$71,$E369,ROTACAO_RDM!$I$6:$I$71,"&lt;="&amp;$C369+INT(DIAS_POR_SEMANA/2),ROTACAO_RDM!$J$6:$J$71,"&gt;="&amp;$C369+INT(DIAS_POR_SEMANA/2)),0)</f>
        <v>1</v>
      </c>
      <c r="J369" s="16" t="n">
        <f aca="false">IFERROR(MATCH($I369,ROTACAO_RDM!$B$6:$B$71,0),0)</f>
        <v>1</v>
      </c>
      <c r="K369" s="8" t="str">
        <f aca="false">IF($J369=0,"SEM CULTURA",INDEX(ROTACAO_RDM!$F$6:$F$71,$J369))</f>
        <v>ALGODAO</v>
      </c>
      <c r="L369" s="8" t="str">
        <f aca="false">IF($J369=0,"",INDEX(ROTACAO_RDM!$G$6:$G$71,$J369))</f>
        <v>FM 933 STP</v>
      </c>
      <c r="M369" s="17" t="n">
        <f aca="false">IF($J369=0,"",INDEX(ROTACAO_RDM!$I$6:$I$71,$J369))</f>
        <v>46359</v>
      </c>
      <c r="N369" s="16" t="n">
        <f aca="false">IF($J369=0,0,MAX(0,$C369+INT(DIAS_POR_SEMANA/2)-INDEX(ROTACAO_RDM!$I$6:$I$71,$J369)))</f>
        <v>140</v>
      </c>
      <c r="O369" s="19" t="n">
        <f aca="false">IF($J369=0,0,MIN(1,$N369/MAX(1,INDEX(ROTACAO_RDM!$K$6:$K$71,$J369))))</f>
        <v>0.717948717948718</v>
      </c>
      <c r="P369" s="16" t="n">
        <f aca="false">IF($J369=0,0,IFERROR(MATCH(INDEX(ROTACAO_RDM!$N$6:$N$71,$J369),PARAMETROS_CULTURAS!$B$6:$B$28,0),0))</f>
        <v>5</v>
      </c>
      <c r="Q369" s="8" t="str">
        <f aca="false">IF($P369=0,"-",IF($O369&lt;=INDEX(PARAMETROS_CULTURAS!$F$6:$F$28,$P369),"INICIAL",IF($O369&lt;=INDEX(PARAMETROS_CULTURAS!$F$6:$F$28,$P369)+INDEX(PARAMETROS_CULTURAS!$G$6:$G$28,$P369),"DESENVOLVIMENTO",IF($O369&lt;=INDEX(PARAMETROS_CULTURAS!$F$6:$F$28,$P369)+INDEX(PARAMETROS_CULTURAS!$G$6:$G$28,$P369)+INDEX(PARAMETROS_CULTURAS!$H$6:$H$28,$P369),"MEDIA","FINAL"))))</f>
        <v>MEDIA</v>
      </c>
      <c r="R369" s="24" t="n">
        <f aca="false">IF($P369=0,0,IF($O369&lt;=INDEX(PARAMETROS_CULTURAS!$F$6:$F$28,$P369),INDEX(PARAMETROS_CULTURAS!$K$6:$K$28,$P369),IF($O369&lt;=INDEX(PARAMETROS_CULTURAS!$F$6:$F$28,$P369)+INDEX(PARAMETROS_CULTURAS!$G$6:$G$28,$P369),INDEX(PARAMETROS_CULTURAS!$K$6:$K$28,$P369)+(INDEX(PARAMETROS_CULTURAS!$L$6:$L$28,$P369)-INDEX(PARAMETROS_CULTURAS!$K$6:$K$28,$P369))*($O369-INDEX(PARAMETROS_CULTURAS!$F$6:$F$28,$P369))/MAX(INDEX(PARAMETROS_CULTURAS!$G$6:$G$28,$P369),0.0001),IF($O369&lt;=INDEX(PARAMETROS_CULTURAS!$F$6:$F$28,$P369)+INDEX(PARAMETROS_CULTURAS!$G$6:$G$28,$P369)+INDEX(PARAMETROS_CULTURAS!$H$6:$H$28,$P369),INDEX(PARAMETROS_CULTURAS!$L$6:$L$28,$P369),INDEX(PARAMETROS_CULTURAS!$L$6:$L$28,$P369)+(INDEX(PARAMETROS_CULTURAS!$M$6:$M$28,$P369)-INDEX(PARAMETROS_CULTURAS!$L$6:$L$28,$P369))*($O369-INDEX(PARAMETROS_CULTURAS!$F$6:$F$28,$P369)-INDEX(PARAMETROS_CULTURAS!$G$6:$G$28,$P369)-INDEX(PARAMETROS_CULTURAS!$H$6:$H$28,$P369))/MAX(INDEX(PARAMETROS_CULTURAS!$I$6:$I$28,$P369),0.0001)))))</f>
        <v>1.15</v>
      </c>
      <c r="S369" s="18" t="n">
        <f aca="false">IFERROR(INDEX(SEMANAS!$H$6:$H$71,MATCH($B369,SEMANAS!$B$6:$B$71,0)),0)</f>
        <v>31.5</v>
      </c>
      <c r="T369" s="18" t="n">
        <f aca="false">$R369*$S369</f>
        <v>36.225</v>
      </c>
      <c r="U369" s="18" t="n">
        <f aca="false">IFERROR(INDEX(SEMANAS!$I$6:$I$71,MATCH($B369,SEMANAS!$B$6:$B$71,0)),0)</f>
        <v>16.31</v>
      </c>
      <c r="V369" s="18" t="n">
        <f aca="false">IFERROR(INDEX(SEMANAS!$J$6:$J$71,MATCH($B369,SEMANAS!$B$6:$B$71,0)),0)</f>
        <v>13.048</v>
      </c>
      <c r="W369" s="18" t="n">
        <f aca="false">MAX(0,$T369-$V369)</f>
        <v>23.177</v>
      </c>
      <c r="X369" s="19" t="n">
        <f aca="false">IFERROR(INDEX(CADASTRO_PIVOS!$K$6:$K$41,MATCH($E369,CADASTRO_PIVOS!$B$6:$B$41,0)),EFICIENCIA_PADRAO)</f>
        <v>0.85</v>
      </c>
      <c r="Y369" s="18" t="n">
        <f aca="false">IF($X369&lt;=0,0,$W369/$X369)</f>
        <v>27.2670588235294</v>
      </c>
      <c r="Z369" s="16" t="n">
        <f aca="false">$Y369*$H369*MM_PARA_M3_HA</f>
        <v>35218.1331764706</v>
      </c>
      <c r="AA369" s="18" t="n">
        <f aca="false">IFERROR(INDEX(CADASTRO_PIVOS!$I$6:$I$41,MATCH($E369,CADASTRO_PIVOS!$B$6:$B$41,0)),0)</f>
        <v>922.571428571429</v>
      </c>
      <c r="AB369" s="18" t="n">
        <f aca="false">IF($Z369&lt;=0,0,$Z369/$AA369)</f>
        <v>38.1738823529412</v>
      </c>
      <c r="AC369" s="16" t="n">
        <f aca="false">IFERROR(INDEX(SEMANAS!$K$6:$K$71,MATCH($B369,SEMANAS!$B$6:$B$71,0)),0)</f>
        <v>147</v>
      </c>
      <c r="AD369" s="19" t="n">
        <f aca="false">IF($AC369&lt;=0,0,$AB369/$AC369)</f>
        <v>0.259686274509804</v>
      </c>
      <c r="AE369" s="8" t="str">
        <f aca="false">IF($K369="SEM CULTURA","SEM CULTURA",IF($AA369&lt;=0,"DADO PENDENTE",IF($AD369&gt;LIMITE_CRITICO,"INVIAVEL",IF($AD369&gt;LIMITE_ATENCAO,"CRITICO",IF($AD369&gt;LIMITE_CONFORTAVEL,"ATENCAO","OK")))))</f>
        <v>OK</v>
      </c>
      <c r="AF369" s="8" t="str">
        <f aca="false">$B369&amp;"|"&amp;TEXT($AD369,"0.000000")</f>
        <v>34|0.259686</v>
      </c>
      <c r="AG369" s="18" t="n">
        <f aca="false">IF($K369="SEM CULTURA",0,$T369*$H369)</f>
        <v>4678.821</v>
      </c>
      <c r="AH369" s="18" t="n">
        <f aca="false">IF($K369="SEM CULTURA",0,$V369*$H369)</f>
        <v>1685.27968</v>
      </c>
      <c r="AI369" s="18" t="n">
        <f aca="false">IF($K369="SEM CULTURA",0,$W369*$H369)</f>
        <v>2993.54132</v>
      </c>
      <c r="AJ369" s="18" t="n">
        <f aca="false">IF($K369="SEM CULTURA",0,$S369*$H369)</f>
        <v>4068.54</v>
      </c>
      <c r="AK369" s="8" t="str">
        <f aca="false">$E369&amp;"|"&amp;TEXT($AD369,"0.000000")</f>
        <v>PV 101|0.259686</v>
      </c>
    </row>
    <row r="370" customFormat="false" ht="15" hidden="false" customHeight="false" outlineLevel="0" collapsed="false">
      <c r="B370" s="16" t="n">
        <v>35</v>
      </c>
      <c r="C370" s="17" t="n">
        <f aca="false">DATA_INICIO_SAFRA+($B370-1)*DIAS_POR_SEMANA</f>
        <v>46503</v>
      </c>
      <c r="D370" s="17" t="n">
        <f aca="false">$C370+DIAS_POR_SEMANA-1</f>
        <v>46509</v>
      </c>
      <c r="E370" s="15" t="s">
        <v>264</v>
      </c>
      <c r="F370" s="8" t="str">
        <f aca="false">IFERROR(INDEX(CADASTRO_PIVOS!$C$6:$C$41,MATCH($E370,CADASTRO_PIVOS!$B$6:$B$41,0)),"?")</f>
        <v>RM04</v>
      </c>
      <c r="G370" s="8" t="str">
        <f aca="false">IFERROR(INDEX(CADASTRO_PIVOS!$D$6:$D$41,MATCH($E370,CADASTRO_PIVOS!$B$6:$B$41,0)),"?")</f>
        <v>TR04</v>
      </c>
      <c r="H370" s="20" t="n">
        <f aca="false">IFERROR(INDEX(CADASTRO_PIVOS!$E$6:$E$41,MATCH($E370,CADASTRO_PIVOS!$B$6:$B$41,0)),0)</f>
        <v>129.16</v>
      </c>
      <c r="I370" s="16" t="n">
        <f aca="false">IFERROR(SUMIFS(ROTACAO_RDM!$B$6:$B$71,ROTACAO_RDM!$D$6:$D$71,$E370,ROTACAO_RDM!$I$6:$I$71,"&lt;="&amp;$C370+INT(DIAS_POR_SEMANA/2),ROTACAO_RDM!$J$6:$J$71,"&gt;="&amp;$C370+INT(DIAS_POR_SEMANA/2)),0)</f>
        <v>1</v>
      </c>
      <c r="J370" s="16" t="n">
        <f aca="false">IFERROR(MATCH($I370,ROTACAO_RDM!$B$6:$B$71,0),0)</f>
        <v>1</v>
      </c>
      <c r="K370" s="8" t="str">
        <f aca="false">IF($J370=0,"SEM CULTURA",INDEX(ROTACAO_RDM!$F$6:$F$71,$J370))</f>
        <v>ALGODAO</v>
      </c>
      <c r="L370" s="8" t="str">
        <f aca="false">IF($J370=0,"",INDEX(ROTACAO_RDM!$G$6:$G$71,$J370))</f>
        <v>FM 933 STP</v>
      </c>
      <c r="M370" s="17" t="n">
        <f aca="false">IF($J370=0,"",INDEX(ROTACAO_RDM!$I$6:$I$71,$J370))</f>
        <v>46359</v>
      </c>
      <c r="N370" s="16" t="n">
        <f aca="false">IF($J370=0,0,MAX(0,$C370+INT(DIAS_POR_SEMANA/2)-INDEX(ROTACAO_RDM!$I$6:$I$71,$J370)))</f>
        <v>147</v>
      </c>
      <c r="O370" s="19" t="n">
        <f aca="false">IF($J370=0,0,MIN(1,$N370/MAX(1,INDEX(ROTACAO_RDM!$K$6:$K$71,$J370))))</f>
        <v>0.753846153846154</v>
      </c>
      <c r="P370" s="16" t="n">
        <f aca="false">IF($J370=0,0,IFERROR(MATCH(INDEX(ROTACAO_RDM!$N$6:$N$71,$J370),PARAMETROS_CULTURAS!$B$6:$B$28,0),0))</f>
        <v>5</v>
      </c>
      <c r="Q370" s="8" t="str">
        <f aca="false">IF($P370=0,"-",IF($O370&lt;=INDEX(PARAMETROS_CULTURAS!$F$6:$F$28,$P370),"INICIAL",IF($O370&lt;=INDEX(PARAMETROS_CULTURAS!$F$6:$F$28,$P370)+INDEX(PARAMETROS_CULTURAS!$G$6:$G$28,$P370),"DESENVOLVIMENTO",IF($O370&lt;=INDEX(PARAMETROS_CULTURAS!$F$6:$F$28,$P370)+INDEX(PARAMETROS_CULTURAS!$G$6:$G$28,$P370)+INDEX(PARAMETROS_CULTURAS!$H$6:$H$28,$P370),"MEDIA","FINAL"))))</f>
        <v>FINAL</v>
      </c>
      <c r="R370" s="24" t="n">
        <f aca="false">IF($P370=0,0,IF($O370&lt;=INDEX(PARAMETROS_CULTURAS!$F$6:$F$28,$P370),INDEX(PARAMETROS_CULTURAS!$K$6:$K$28,$P370),IF($O370&lt;=INDEX(PARAMETROS_CULTURAS!$F$6:$F$28,$P370)+INDEX(PARAMETROS_CULTURAS!$G$6:$G$28,$P370),INDEX(PARAMETROS_CULTURAS!$K$6:$K$28,$P370)+(INDEX(PARAMETROS_CULTURAS!$L$6:$L$28,$P370)-INDEX(PARAMETROS_CULTURAS!$K$6:$K$28,$P370))*($O370-INDEX(PARAMETROS_CULTURAS!$F$6:$F$28,$P370))/MAX(INDEX(PARAMETROS_CULTURAS!$G$6:$G$28,$P370),0.0001),IF($O370&lt;=INDEX(PARAMETROS_CULTURAS!$F$6:$F$28,$P370)+INDEX(PARAMETROS_CULTURAS!$G$6:$G$28,$P370)+INDEX(PARAMETROS_CULTURAS!$H$6:$H$28,$P370),INDEX(PARAMETROS_CULTURAS!$L$6:$L$28,$P370),INDEX(PARAMETROS_CULTURAS!$L$6:$L$28,$P370)+(INDEX(PARAMETROS_CULTURAS!$M$6:$M$28,$P370)-INDEX(PARAMETROS_CULTURAS!$L$6:$L$28,$P370))*($O370-INDEX(PARAMETROS_CULTURAS!$F$6:$F$28,$P370)-INDEX(PARAMETROS_CULTURAS!$G$6:$G$28,$P370)-INDEX(PARAMETROS_CULTURAS!$H$6:$H$28,$P370))/MAX(INDEX(PARAMETROS_CULTURAS!$I$6:$I$28,$P370),0.0001)))))</f>
        <v>1.08351648351648</v>
      </c>
      <c r="S370" s="18" t="n">
        <f aca="false">IFERROR(INDEX(SEMANAS!$H$6:$H$71,MATCH($B370,SEMANAS!$B$6:$B$71,0)),0)</f>
        <v>30.9</v>
      </c>
      <c r="T370" s="18" t="n">
        <f aca="false">$R370*$S370</f>
        <v>33.4806593406593</v>
      </c>
      <c r="U370" s="18" t="n">
        <f aca="false">IFERROR(INDEX(SEMANAS!$I$6:$I$71,MATCH($B370,SEMANAS!$B$6:$B$71,0)),0)</f>
        <v>12.61</v>
      </c>
      <c r="V370" s="18" t="n">
        <f aca="false">IFERROR(INDEX(SEMANAS!$J$6:$J$71,MATCH($B370,SEMANAS!$B$6:$B$71,0)),0)</f>
        <v>10.088</v>
      </c>
      <c r="W370" s="18" t="n">
        <f aca="false">MAX(0,$T370-$V370)</f>
        <v>23.3926593406593</v>
      </c>
      <c r="X370" s="19" t="n">
        <f aca="false">IFERROR(INDEX(CADASTRO_PIVOS!$K$6:$K$41,MATCH($E370,CADASTRO_PIVOS!$B$6:$B$41,0)),EFICIENCIA_PADRAO)</f>
        <v>0.85</v>
      </c>
      <c r="Y370" s="18" t="n">
        <f aca="false">IF($X370&lt;=0,0,$W370/$X370)</f>
        <v>27.5207756948933</v>
      </c>
      <c r="Z370" s="16" t="n">
        <f aca="false">$Y370*$H370*MM_PARA_M3_HA</f>
        <v>35545.8338875242</v>
      </c>
      <c r="AA370" s="18" t="n">
        <f aca="false">IFERROR(INDEX(CADASTRO_PIVOS!$I$6:$I$41,MATCH($E370,CADASTRO_PIVOS!$B$6:$B$41,0)),0)</f>
        <v>922.571428571429</v>
      </c>
      <c r="AB370" s="18" t="n">
        <f aca="false">IF($Z370&lt;=0,0,$Z370/$AA370)</f>
        <v>38.5290859728507</v>
      </c>
      <c r="AC370" s="16" t="n">
        <f aca="false">IFERROR(INDEX(SEMANAS!$K$6:$K$71,MATCH($B370,SEMANAS!$B$6:$B$71,0)),0)</f>
        <v>147</v>
      </c>
      <c r="AD370" s="19" t="n">
        <f aca="false">IF($AC370&lt;=0,0,$AB370/$AC370)</f>
        <v>0.262102625665651</v>
      </c>
      <c r="AE370" s="8" t="str">
        <f aca="false">IF($K370="SEM CULTURA","SEM CULTURA",IF($AA370&lt;=0,"DADO PENDENTE",IF($AD370&gt;LIMITE_CRITICO,"INVIAVEL",IF($AD370&gt;LIMITE_ATENCAO,"CRITICO",IF($AD370&gt;LIMITE_CONFORTAVEL,"ATENCAO","OK")))))</f>
        <v>OK</v>
      </c>
      <c r="AF370" s="8" t="str">
        <f aca="false">$B370&amp;"|"&amp;TEXT($AD370,"0.000000")</f>
        <v>35|0.262103</v>
      </c>
      <c r="AG370" s="18" t="n">
        <f aca="false">IF($K370="SEM CULTURA",0,$T370*$H370)</f>
        <v>4324.36196043956</v>
      </c>
      <c r="AH370" s="18" t="n">
        <f aca="false">IF($K370="SEM CULTURA",0,$V370*$H370)</f>
        <v>1302.96608</v>
      </c>
      <c r="AI370" s="18" t="n">
        <f aca="false">IF($K370="SEM CULTURA",0,$W370*$H370)</f>
        <v>3021.39588043956</v>
      </c>
      <c r="AJ370" s="18" t="n">
        <f aca="false">IF($K370="SEM CULTURA",0,$S370*$H370)</f>
        <v>3991.044</v>
      </c>
      <c r="AK370" s="8" t="str">
        <f aca="false">$E370&amp;"|"&amp;TEXT($AD370,"0.000000")</f>
        <v>PV 101|0.262103</v>
      </c>
    </row>
    <row r="371" customFormat="false" ht="15" hidden="false" customHeight="false" outlineLevel="0" collapsed="false">
      <c r="B371" s="16" t="n">
        <v>36</v>
      </c>
      <c r="C371" s="17" t="n">
        <f aca="false">DATA_INICIO_SAFRA+($B371-1)*DIAS_POR_SEMANA</f>
        <v>46510</v>
      </c>
      <c r="D371" s="17" t="n">
        <f aca="false">$C371+DIAS_POR_SEMANA-1</f>
        <v>46516</v>
      </c>
      <c r="E371" s="15" t="s">
        <v>264</v>
      </c>
      <c r="F371" s="8" t="str">
        <f aca="false">IFERROR(INDEX(CADASTRO_PIVOS!$C$6:$C$41,MATCH($E371,CADASTRO_PIVOS!$B$6:$B$41,0)),"?")</f>
        <v>RM04</v>
      </c>
      <c r="G371" s="8" t="str">
        <f aca="false">IFERROR(INDEX(CADASTRO_PIVOS!$D$6:$D$41,MATCH($E371,CADASTRO_PIVOS!$B$6:$B$41,0)),"?")</f>
        <v>TR04</v>
      </c>
      <c r="H371" s="20" t="n">
        <f aca="false">IFERROR(INDEX(CADASTRO_PIVOS!$E$6:$E$41,MATCH($E371,CADASTRO_PIVOS!$B$6:$B$41,0)),0)</f>
        <v>129.16</v>
      </c>
      <c r="I371" s="16" t="n">
        <f aca="false">IFERROR(SUMIFS(ROTACAO_RDM!$B$6:$B$71,ROTACAO_RDM!$D$6:$D$71,$E371,ROTACAO_RDM!$I$6:$I$71,"&lt;="&amp;$C371+INT(DIAS_POR_SEMANA/2),ROTACAO_RDM!$J$6:$J$71,"&gt;="&amp;$C371+INT(DIAS_POR_SEMANA/2)),0)</f>
        <v>1</v>
      </c>
      <c r="J371" s="16" t="n">
        <f aca="false">IFERROR(MATCH($I371,ROTACAO_RDM!$B$6:$B$71,0),0)</f>
        <v>1</v>
      </c>
      <c r="K371" s="8" t="str">
        <f aca="false">IF($J371=0,"SEM CULTURA",INDEX(ROTACAO_RDM!$F$6:$F$71,$J371))</f>
        <v>ALGODAO</v>
      </c>
      <c r="L371" s="8" t="str">
        <f aca="false">IF($J371=0,"",INDEX(ROTACAO_RDM!$G$6:$G$71,$J371))</f>
        <v>FM 933 STP</v>
      </c>
      <c r="M371" s="17" t="n">
        <f aca="false">IF($J371=0,"",INDEX(ROTACAO_RDM!$I$6:$I$71,$J371))</f>
        <v>46359</v>
      </c>
      <c r="N371" s="16" t="n">
        <f aca="false">IF($J371=0,0,MAX(0,$C371+INT(DIAS_POR_SEMANA/2)-INDEX(ROTACAO_RDM!$I$6:$I$71,$J371)))</f>
        <v>154</v>
      </c>
      <c r="O371" s="19" t="n">
        <f aca="false">IF($J371=0,0,MIN(1,$N371/MAX(1,INDEX(ROTACAO_RDM!$K$6:$K$71,$J371))))</f>
        <v>0.78974358974359</v>
      </c>
      <c r="P371" s="16" t="n">
        <f aca="false">IF($J371=0,0,IFERROR(MATCH(INDEX(ROTACAO_RDM!$N$6:$N$71,$J371),PARAMETROS_CULTURAS!$B$6:$B$28,0),0))</f>
        <v>5</v>
      </c>
      <c r="Q371" s="8" t="str">
        <f aca="false">IF($P371=0,"-",IF($O371&lt;=INDEX(PARAMETROS_CULTURAS!$F$6:$F$28,$P371),"INICIAL",IF($O371&lt;=INDEX(PARAMETROS_CULTURAS!$F$6:$F$28,$P371)+INDEX(PARAMETROS_CULTURAS!$G$6:$G$28,$P371),"DESENVOLVIMENTO",IF($O371&lt;=INDEX(PARAMETROS_CULTURAS!$F$6:$F$28,$P371)+INDEX(PARAMETROS_CULTURAS!$G$6:$G$28,$P371)+INDEX(PARAMETROS_CULTURAS!$H$6:$H$28,$P371),"MEDIA","FINAL"))))</f>
        <v>FINAL</v>
      </c>
      <c r="R371" s="24" t="n">
        <f aca="false">IF($P371=0,0,IF($O371&lt;=INDEX(PARAMETROS_CULTURAS!$F$6:$F$28,$P371),INDEX(PARAMETROS_CULTURAS!$K$6:$K$28,$P371),IF($O371&lt;=INDEX(PARAMETROS_CULTURAS!$F$6:$F$28,$P371)+INDEX(PARAMETROS_CULTURAS!$G$6:$G$28,$P371),INDEX(PARAMETROS_CULTURAS!$K$6:$K$28,$P371)+(INDEX(PARAMETROS_CULTURAS!$L$6:$L$28,$P371)-INDEX(PARAMETROS_CULTURAS!$K$6:$K$28,$P371))*($O371-INDEX(PARAMETROS_CULTURAS!$F$6:$F$28,$P371))/MAX(INDEX(PARAMETROS_CULTURAS!$G$6:$G$28,$P371),0.0001),IF($O371&lt;=INDEX(PARAMETROS_CULTURAS!$F$6:$F$28,$P371)+INDEX(PARAMETROS_CULTURAS!$G$6:$G$28,$P371)+INDEX(PARAMETROS_CULTURAS!$H$6:$H$28,$P371),INDEX(PARAMETROS_CULTURAS!$L$6:$L$28,$P371),INDEX(PARAMETROS_CULTURAS!$L$6:$L$28,$P371)+(INDEX(PARAMETROS_CULTURAS!$M$6:$M$28,$P371)-INDEX(PARAMETROS_CULTURAS!$L$6:$L$28,$P371))*($O371-INDEX(PARAMETROS_CULTURAS!$F$6:$F$28,$P371)-INDEX(PARAMETROS_CULTURAS!$G$6:$G$28,$P371)-INDEX(PARAMETROS_CULTURAS!$H$6:$H$28,$P371))/MAX(INDEX(PARAMETROS_CULTURAS!$I$6:$I$28,$P371),0.0001)))))</f>
        <v>1.01300366300366</v>
      </c>
      <c r="S371" s="18" t="n">
        <f aca="false">IFERROR(INDEX(SEMANAS!$H$6:$H$71,MATCH($B371,SEMANAS!$B$6:$B$71,0)),0)</f>
        <v>29.4</v>
      </c>
      <c r="T371" s="18" t="n">
        <f aca="false">$R371*$S371</f>
        <v>29.7823076923077</v>
      </c>
      <c r="U371" s="18" t="n">
        <f aca="false">IFERROR(INDEX(SEMANAS!$I$6:$I$71,MATCH($B371,SEMANAS!$B$6:$B$71,0)),0)</f>
        <v>3.36</v>
      </c>
      <c r="V371" s="18" t="n">
        <f aca="false">IFERROR(INDEX(SEMANAS!$J$6:$J$71,MATCH($B371,SEMANAS!$B$6:$B$71,0)),0)</f>
        <v>2.688</v>
      </c>
      <c r="W371" s="18" t="n">
        <f aca="false">MAX(0,$T371-$V371)</f>
        <v>27.0943076923077</v>
      </c>
      <c r="X371" s="19" t="n">
        <f aca="false">IFERROR(INDEX(CADASTRO_PIVOS!$K$6:$K$41,MATCH($E371,CADASTRO_PIVOS!$B$6:$B$41,0)),EFICIENCIA_PADRAO)</f>
        <v>0.85</v>
      </c>
      <c r="Y371" s="18" t="n">
        <f aca="false">IF($X371&lt;=0,0,$W371/$X371)</f>
        <v>31.8756561085973</v>
      </c>
      <c r="Z371" s="16" t="n">
        <f aca="false">$Y371*$H371*MM_PARA_M3_HA</f>
        <v>41170.5974298643</v>
      </c>
      <c r="AA371" s="18" t="n">
        <f aca="false">IFERROR(INDEX(CADASTRO_PIVOS!$I$6:$I$41,MATCH($E371,CADASTRO_PIVOS!$B$6:$B$41,0)),0)</f>
        <v>922.571428571429</v>
      </c>
      <c r="AB371" s="18" t="n">
        <f aca="false">IF($Z371&lt;=0,0,$Z371/$AA371)</f>
        <v>44.6259185520362</v>
      </c>
      <c r="AC371" s="16" t="n">
        <f aca="false">IFERROR(INDEX(SEMANAS!$K$6:$K$71,MATCH($B371,SEMANAS!$B$6:$B$71,0)),0)</f>
        <v>147</v>
      </c>
      <c r="AD371" s="19" t="n">
        <f aca="false">IF($AC371&lt;=0,0,$AB371/$AC371)</f>
        <v>0.303577677224736</v>
      </c>
      <c r="AE371" s="8" t="str">
        <f aca="false">IF($K371="SEM CULTURA","SEM CULTURA",IF($AA371&lt;=0,"DADO PENDENTE",IF($AD371&gt;LIMITE_CRITICO,"INVIAVEL",IF($AD371&gt;LIMITE_ATENCAO,"CRITICO",IF($AD371&gt;LIMITE_CONFORTAVEL,"ATENCAO","OK")))))</f>
        <v>OK</v>
      </c>
      <c r="AF371" s="8" t="str">
        <f aca="false">$B371&amp;"|"&amp;TEXT($AD371,"0.000000")</f>
        <v>36|0.303578</v>
      </c>
      <c r="AG371" s="18" t="n">
        <f aca="false">IF($K371="SEM CULTURA",0,$T371*$H371)</f>
        <v>3846.68286153846</v>
      </c>
      <c r="AH371" s="18" t="n">
        <f aca="false">IF($K371="SEM CULTURA",0,$V371*$H371)</f>
        <v>347.18208</v>
      </c>
      <c r="AI371" s="18" t="n">
        <f aca="false">IF($K371="SEM CULTURA",0,$W371*$H371)</f>
        <v>3499.50078153846</v>
      </c>
      <c r="AJ371" s="18" t="n">
        <f aca="false">IF($K371="SEM CULTURA",0,$S371*$H371)</f>
        <v>3797.304</v>
      </c>
      <c r="AK371" s="8" t="str">
        <f aca="false">$E371&amp;"|"&amp;TEXT($AD371,"0.000000")</f>
        <v>PV 101|0.303578</v>
      </c>
    </row>
    <row r="372" customFormat="false" ht="15" hidden="false" customHeight="false" outlineLevel="0" collapsed="false">
      <c r="B372" s="16" t="n">
        <v>37</v>
      </c>
      <c r="C372" s="17" t="n">
        <f aca="false">DATA_INICIO_SAFRA+($B372-1)*DIAS_POR_SEMANA</f>
        <v>46517</v>
      </c>
      <c r="D372" s="17" t="n">
        <f aca="false">$C372+DIAS_POR_SEMANA-1</f>
        <v>46523</v>
      </c>
      <c r="E372" s="15" t="s">
        <v>264</v>
      </c>
      <c r="F372" s="8" t="str">
        <f aca="false">IFERROR(INDEX(CADASTRO_PIVOS!$C$6:$C$41,MATCH($E372,CADASTRO_PIVOS!$B$6:$B$41,0)),"?")</f>
        <v>RM04</v>
      </c>
      <c r="G372" s="8" t="str">
        <f aca="false">IFERROR(INDEX(CADASTRO_PIVOS!$D$6:$D$41,MATCH($E372,CADASTRO_PIVOS!$B$6:$B$41,0)),"?")</f>
        <v>TR04</v>
      </c>
      <c r="H372" s="20" t="n">
        <f aca="false">IFERROR(INDEX(CADASTRO_PIVOS!$E$6:$E$41,MATCH($E372,CADASTRO_PIVOS!$B$6:$B$41,0)),0)</f>
        <v>129.16</v>
      </c>
      <c r="I372" s="16" t="n">
        <f aca="false">IFERROR(SUMIFS(ROTACAO_RDM!$B$6:$B$71,ROTACAO_RDM!$D$6:$D$71,$E372,ROTACAO_RDM!$I$6:$I$71,"&lt;="&amp;$C372+INT(DIAS_POR_SEMANA/2),ROTACAO_RDM!$J$6:$J$71,"&gt;="&amp;$C372+INT(DIAS_POR_SEMANA/2)),0)</f>
        <v>1</v>
      </c>
      <c r="J372" s="16" t="n">
        <f aca="false">IFERROR(MATCH($I372,ROTACAO_RDM!$B$6:$B$71,0),0)</f>
        <v>1</v>
      </c>
      <c r="K372" s="8" t="str">
        <f aca="false">IF($J372=0,"SEM CULTURA",INDEX(ROTACAO_RDM!$F$6:$F$71,$J372))</f>
        <v>ALGODAO</v>
      </c>
      <c r="L372" s="8" t="str">
        <f aca="false">IF($J372=0,"",INDEX(ROTACAO_RDM!$G$6:$G$71,$J372))</f>
        <v>FM 933 STP</v>
      </c>
      <c r="M372" s="17" t="n">
        <f aca="false">IF($J372=0,"",INDEX(ROTACAO_RDM!$I$6:$I$71,$J372))</f>
        <v>46359</v>
      </c>
      <c r="N372" s="16" t="n">
        <f aca="false">IF($J372=0,0,MAX(0,$C372+INT(DIAS_POR_SEMANA/2)-INDEX(ROTACAO_RDM!$I$6:$I$71,$J372)))</f>
        <v>161</v>
      </c>
      <c r="O372" s="19" t="n">
        <f aca="false">IF($J372=0,0,MIN(1,$N372/MAX(1,INDEX(ROTACAO_RDM!$K$6:$K$71,$J372))))</f>
        <v>0.825641025641026</v>
      </c>
      <c r="P372" s="16" t="n">
        <f aca="false">IF($J372=0,0,IFERROR(MATCH(INDEX(ROTACAO_RDM!$N$6:$N$71,$J372),PARAMETROS_CULTURAS!$B$6:$B$28,0),0))</f>
        <v>5</v>
      </c>
      <c r="Q372" s="8" t="str">
        <f aca="false">IF($P372=0,"-",IF($O372&lt;=INDEX(PARAMETROS_CULTURAS!$F$6:$F$28,$P372),"INICIAL",IF($O372&lt;=INDEX(PARAMETROS_CULTURAS!$F$6:$F$28,$P372)+INDEX(PARAMETROS_CULTURAS!$G$6:$G$28,$P372),"DESENVOLVIMENTO",IF($O372&lt;=INDEX(PARAMETROS_CULTURAS!$F$6:$F$28,$P372)+INDEX(PARAMETROS_CULTURAS!$G$6:$G$28,$P372)+INDEX(PARAMETROS_CULTURAS!$H$6:$H$28,$P372),"MEDIA","FINAL"))))</f>
        <v>FINAL</v>
      </c>
      <c r="R372" s="24" t="n">
        <f aca="false">IF($P372=0,0,IF($O372&lt;=INDEX(PARAMETROS_CULTURAS!$F$6:$F$28,$P372),INDEX(PARAMETROS_CULTURAS!$K$6:$K$28,$P372),IF($O372&lt;=INDEX(PARAMETROS_CULTURAS!$F$6:$F$28,$P372)+INDEX(PARAMETROS_CULTURAS!$G$6:$G$28,$P372),INDEX(PARAMETROS_CULTURAS!$K$6:$K$28,$P372)+(INDEX(PARAMETROS_CULTURAS!$L$6:$L$28,$P372)-INDEX(PARAMETROS_CULTURAS!$K$6:$K$28,$P372))*($O372-INDEX(PARAMETROS_CULTURAS!$F$6:$F$28,$P372))/MAX(INDEX(PARAMETROS_CULTURAS!$G$6:$G$28,$P372),0.0001),IF($O372&lt;=INDEX(PARAMETROS_CULTURAS!$F$6:$F$28,$P372)+INDEX(PARAMETROS_CULTURAS!$G$6:$G$28,$P372)+INDEX(PARAMETROS_CULTURAS!$H$6:$H$28,$P372),INDEX(PARAMETROS_CULTURAS!$L$6:$L$28,$P372),INDEX(PARAMETROS_CULTURAS!$L$6:$L$28,$P372)+(INDEX(PARAMETROS_CULTURAS!$M$6:$M$28,$P372)-INDEX(PARAMETROS_CULTURAS!$L$6:$L$28,$P372))*($O372-INDEX(PARAMETROS_CULTURAS!$F$6:$F$28,$P372)-INDEX(PARAMETROS_CULTURAS!$G$6:$G$28,$P372)-INDEX(PARAMETROS_CULTURAS!$H$6:$H$28,$P372))/MAX(INDEX(PARAMETROS_CULTURAS!$I$6:$I$28,$P372),0.0001)))))</f>
        <v>0.942490842490843</v>
      </c>
      <c r="S372" s="18" t="n">
        <f aca="false">IFERROR(INDEX(SEMANAS!$H$6:$H$71,MATCH($B372,SEMANAS!$B$6:$B$71,0)),0)</f>
        <v>29.4</v>
      </c>
      <c r="T372" s="18" t="n">
        <f aca="false">$R372*$S372</f>
        <v>27.7092307692308</v>
      </c>
      <c r="U372" s="18" t="n">
        <f aca="false">IFERROR(INDEX(SEMANAS!$I$6:$I$71,MATCH($B372,SEMANAS!$B$6:$B$71,0)),0)</f>
        <v>3.36</v>
      </c>
      <c r="V372" s="18" t="n">
        <f aca="false">IFERROR(INDEX(SEMANAS!$J$6:$J$71,MATCH($B372,SEMANAS!$B$6:$B$71,0)),0)</f>
        <v>2.688</v>
      </c>
      <c r="W372" s="18" t="n">
        <f aca="false">MAX(0,$T372-$V372)</f>
        <v>25.0212307692308</v>
      </c>
      <c r="X372" s="19" t="n">
        <f aca="false">IFERROR(INDEX(CADASTRO_PIVOS!$K$6:$K$41,MATCH($E372,CADASTRO_PIVOS!$B$6:$B$41,0)),EFICIENCIA_PADRAO)</f>
        <v>0.85</v>
      </c>
      <c r="Y372" s="18" t="n">
        <f aca="false">IF($X372&lt;=0,0,$W372/$X372)</f>
        <v>29.436742081448</v>
      </c>
      <c r="Z372" s="16" t="n">
        <f aca="false">$Y372*$H372*MM_PARA_M3_HA</f>
        <v>38020.4960723982</v>
      </c>
      <c r="AA372" s="18" t="n">
        <f aca="false">IFERROR(INDEX(CADASTRO_PIVOS!$I$6:$I$41,MATCH($E372,CADASTRO_PIVOS!$B$6:$B$41,0)),0)</f>
        <v>922.571428571429</v>
      </c>
      <c r="AB372" s="18" t="n">
        <f aca="false">IF($Z372&lt;=0,0,$Z372/$AA372)</f>
        <v>41.2114389140272</v>
      </c>
      <c r="AC372" s="16" t="n">
        <f aca="false">IFERROR(INDEX(SEMANAS!$K$6:$K$71,MATCH($B372,SEMANAS!$B$6:$B$71,0)),0)</f>
        <v>147</v>
      </c>
      <c r="AD372" s="19" t="n">
        <f aca="false">IF($AC372&lt;=0,0,$AB372/$AC372)</f>
        <v>0.280349924585219</v>
      </c>
      <c r="AE372" s="8" t="str">
        <f aca="false">IF($K372="SEM CULTURA","SEM CULTURA",IF($AA372&lt;=0,"DADO PENDENTE",IF($AD372&gt;LIMITE_CRITICO,"INVIAVEL",IF($AD372&gt;LIMITE_ATENCAO,"CRITICO",IF($AD372&gt;LIMITE_CONFORTAVEL,"ATENCAO","OK")))))</f>
        <v>OK</v>
      </c>
      <c r="AF372" s="8" t="str">
        <f aca="false">$B372&amp;"|"&amp;TEXT($AD372,"0.000000")</f>
        <v>37|0.280350</v>
      </c>
      <c r="AG372" s="18" t="n">
        <f aca="false">IF($K372="SEM CULTURA",0,$T372*$H372)</f>
        <v>3578.92424615385</v>
      </c>
      <c r="AH372" s="18" t="n">
        <f aca="false">IF($K372="SEM CULTURA",0,$V372*$H372)</f>
        <v>347.18208</v>
      </c>
      <c r="AI372" s="18" t="n">
        <f aca="false">IF($K372="SEM CULTURA",0,$W372*$H372)</f>
        <v>3231.74216615385</v>
      </c>
      <c r="AJ372" s="18" t="n">
        <f aca="false">IF($K372="SEM CULTURA",0,$S372*$H372)</f>
        <v>3797.304</v>
      </c>
      <c r="AK372" s="8" t="str">
        <f aca="false">$E372&amp;"|"&amp;TEXT($AD372,"0.000000")</f>
        <v>PV 101|0.280350</v>
      </c>
    </row>
    <row r="373" customFormat="false" ht="15" hidden="false" customHeight="false" outlineLevel="0" collapsed="false">
      <c r="B373" s="16" t="n">
        <v>38</v>
      </c>
      <c r="C373" s="17" t="n">
        <f aca="false">DATA_INICIO_SAFRA+($B373-1)*DIAS_POR_SEMANA</f>
        <v>46524</v>
      </c>
      <c r="D373" s="17" t="n">
        <f aca="false">$C373+DIAS_POR_SEMANA-1</f>
        <v>46530</v>
      </c>
      <c r="E373" s="15" t="s">
        <v>264</v>
      </c>
      <c r="F373" s="8" t="str">
        <f aca="false">IFERROR(INDEX(CADASTRO_PIVOS!$C$6:$C$41,MATCH($E373,CADASTRO_PIVOS!$B$6:$B$41,0)),"?")</f>
        <v>RM04</v>
      </c>
      <c r="G373" s="8" t="str">
        <f aca="false">IFERROR(INDEX(CADASTRO_PIVOS!$D$6:$D$41,MATCH($E373,CADASTRO_PIVOS!$B$6:$B$41,0)),"?")</f>
        <v>TR04</v>
      </c>
      <c r="H373" s="20" t="n">
        <f aca="false">IFERROR(INDEX(CADASTRO_PIVOS!$E$6:$E$41,MATCH($E373,CADASTRO_PIVOS!$B$6:$B$41,0)),0)</f>
        <v>129.16</v>
      </c>
      <c r="I373" s="16" t="n">
        <f aca="false">IFERROR(SUMIFS(ROTACAO_RDM!$B$6:$B$71,ROTACAO_RDM!$D$6:$D$71,$E373,ROTACAO_RDM!$I$6:$I$71,"&lt;="&amp;$C373+INT(DIAS_POR_SEMANA/2),ROTACAO_RDM!$J$6:$J$71,"&gt;="&amp;$C373+INT(DIAS_POR_SEMANA/2)),0)</f>
        <v>1</v>
      </c>
      <c r="J373" s="16" t="n">
        <f aca="false">IFERROR(MATCH($I373,ROTACAO_RDM!$B$6:$B$71,0),0)</f>
        <v>1</v>
      </c>
      <c r="K373" s="8" t="str">
        <f aca="false">IF($J373=0,"SEM CULTURA",INDEX(ROTACAO_RDM!$F$6:$F$71,$J373))</f>
        <v>ALGODAO</v>
      </c>
      <c r="L373" s="8" t="str">
        <f aca="false">IF($J373=0,"",INDEX(ROTACAO_RDM!$G$6:$G$71,$J373))</f>
        <v>FM 933 STP</v>
      </c>
      <c r="M373" s="17" t="n">
        <f aca="false">IF($J373=0,"",INDEX(ROTACAO_RDM!$I$6:$I$71,$J373))</f>
        <v>46359</v>
      </c>
      <c r="N373" s="16" t="n">
        <f aca="false">IF($J373=0,0,MAX(0,$C373+INT(DIAS_POR_SEMANA/2)-INDEX(ROTACAO_RDM!$I$6:$I$71,$J373)))</f>
        <v>168</v>
      </c>
      <c r="O373" s="19" t="n">
        <f aca="false">IF($J373=0,0,MIN(1,$N373/MAX(1,INDEX(ROTACAO_RDM!$K$6:$K$71,$J373))))</f>
        <v>0.861538461538462</v>
      </c>
      <c r="P373" s="16" t="n">
        <f aca="false">IF($J373=0,0,IFERROR(MATCH(INDEX(ROTACAO_RDM!$N$6:$N$71,$J373),PARAMETROS_CULTURAS!$B$6:$B$28,0),0))</f>
        <v>5</v>
      </c>
      <c r="Q373" s="8" t="str">
        <f aca="false">IF($P373=0,"-",IF($O373&lt;=INDEX(PARAMETROS_CULTURAS!$F$6:$F$28,$P373),"INICIAL",IF($O373&lt;=INDEX(PARAMETROS_CULTURAS!$F$6:$F$28,$P373)+INDEX(PARAMETROS_CULTURAS!$G$6:$G$28,$P373),"DESENVOLVIMENTO",IF($O373&lt;=INDEX(PARAMETROS_CULTURAS!$F$6:$F$28,$P373)+INDEX(PARAMETROS_CULTURAS!$G$6:$G$28,$P373)+INDEX(PARAMETROS_CULTURAS!$H$6:$H$28,$P373),"MEDIA","FINAL"))))</f>
        <v>FINAL</v>
      </c>
      <c r="R373" s="24" t="n">
        <f aca="false">IF($P373=0,0,IF($O373&lt;=INDEX(PARAMETROS_CULTURAS!$F$6:$F$28,$P373),INDEX(PARAMETROS_CULTURAS!$K$6:$K$28,$P373),IF($O373&lt;=INDEX(PARAMETROS_CULTURAS!$F$6:$F$28,$P373)+INDEX(PARAMETROS_CULTURAS!$G$6:$G$28,$P373),INDEX(PARAMETROS_CULTURAS!$K$6:$K$28,$P373)+(INDEX(PARAMETROS_CULTURAS!$L$6:$L$28,$P373)-INDEX(PARAMETROS_CULTURAS!$K$6:$K$28,$P373))*($O373-INDEX(PARAMETROS_CULTURAS!$F$6:$F$28,$P373))/MAX(INDEX(PARAMETROS_CULTURAS!$G$6:$G$28,$P373),0.0001),IF($O373&lt;=INDEX(PARAMETROS_CULTURAS!$F$6:$F$28,$P373)+INDEX(PARAMETROS_CULTURAS!$G$6:$G$28,$P373)+INDEX(PARAMETROS_CULTURAS!$H$6:$H$28,$P373),INDEX(PARAMETROS_CULTURAS!$L$6:$L$28,$P373),INDEX(PARAMETROS_CULTURAS!$L$6:$L$28,$P373)+(INDEX(PARAMETROS_CULTURAS!$M$6:$M$28,$P373)-INDEX(PARAMETROS_CULTURAS!$L$6:$L$28,$P373))*($O373-INDEX(PARAMETROS_CULTURAS!$F$6:$F$28,$P373)-INDEX(PARAMETROS_CULTURAS!$G$6:$G$28,$P373)-INDEX(PARAMETROS_CULTURAS!$H$6:$H$28,$P373))/MAX(INDEX(PARAMETROS_CULTURAS!$I$6:$I$28,$P373),0.0001)))))</f>
        <v>0.871978021978022</v>
      </c>
      <c r="S373" s="18" t="n">
        <f aca="false">IFERROR(INDEX(SEMANAS!$H$6:$H$71,MATCH($B373,SEMANAS!$B$6:$B$71,0)),0)</f>
        <v>29.4</v>
      </c>
      <c r="T373" s="18" t="n">
        <f aca="false">$R373*$S373</f>
        <v>25.6361538461539</v>
      </c>
      <c r="U373" s="18" t="n">
        <f aca="false">IFERROR(INDEX(SEMANAS!$I$6:$I$71,MATCH($B373,SEMANAS!$B$6:$B$71,0)),0)</f>
        <v>3.36</v>
      </c>
      <c r="V373" s="18" t="n">
        <f aca="false">IFERROR(INDEX(SEMANAS!$J$6:$J$71,MATCH($B373,SEMANAS!$B$6:$B$71,0)),0)</f>
        <v>2.688</v>
      </c>
      <c r="W373" s="18" t="n">
        <f aca="false">MAX(0,$T373-$V373)</f>
        <v>22.9481538461539</v>
      </c>
      <c r="X373" s="19" t="n">
        <f aca="false">IFERROR(INDEX(CADASTRO_PIVOS!$K$6:$K$41,MATCH($E373,CADASTRO_PIVOS!$B$6:$B$41,0)),EFICIENCIA_PADRAO)</f>
        <v>0.85</v>
      </c>
      <c r="Y373" s="18" t="n">
        <f aca="false">IF($X373&lt;=0,0,$W373/$X373)</f>
        <v>26.9978280542986</v>
      </c>
      <c r="Z373" s="16" t="n">
        <f aca="false">$Y373*$H373*MM_PARA_M3_HA</f>
        <v>34870.3947149321</v>
      </c>
      <c r="AA373" s="18" t="n">
        <f aca="false">IFERROR(INDEX(CADASTRO_PIVOS!$I$6:$I$41,MATCH($E373,CADASTRO_PIVOS!$B$6:$B$41,0)),0)</f>
        <v>922.571428571429</v>
      </c>
      <c r="AB373" s="18" t="n">
        <f aca="false">IF($Z373&lt;=0,0,$Z373/$AA373)</f>
        <v>37.7969592760181</v>
      </c>
      <c r="AC373" s="16" t="n">
        <f aca="false">IFERROR(INDEX(SEMANAS!$K$6:$K$71,MATCH($B373,SEMANAS!$B$6:$B$71,0)),0)</f>
        <v>147</v>
      </c>
      <c r="AD373" s="19" t="n">
        <f aca="false">IF($AC373&lt;=0,0,$AB373/$AC373)</f>
        <v>0.257122171945701</v>
      </c>
      <c r="AE373" s="8" t="str">
        <f aca="false">IF($K373="SEM CULTURA","SEM CULTURA",IF($AA373&lt;=0,"DADO PENDENTE",IF($AD373&gt;LIMITE_CRITICO,"INVIAVEL",IF($AD373&gt;LIMITE_ATENCAO,"CRITICO",IF($AD373&gt;LIMITE_CONFORTAVEL,"ATENCAO","OK")))))</f>
        <v>OK</v>
      </c>
      <c r="AF373" s="8" t="str">
        <f aca="false">$B373&amp;"|"&amp;TEXT($AD373,"0.000000")</f>
        <v>38|0.257122</v>
      </c>
      <c r="AG373" s="18" t="n">
        <f aca="false">IF($K373="SEM CULTURA",0,$T373*$H373)</f>
        <v>3311.16563076923</v>
      </c>
      <c r="AH373" s="18" t="n">
        <f aca="false">IF($K373="SEM CULTURA",0,$V373*$H373)</f>
        <v>347.18208</v>
      </c>
      <c r="AI373" s="18" t="n">
        <f aca="false">IF($K373="SEM CULTURA",0,$W373*$H373)</f>
        <v>2963.98355076923</v>
      </c>
      <c r="AJ373" s="18" t="n">
        <f aca="false">IF($K373="SEM CULTURA",0,$S373*$H373)</f>
        <v>3797.304</v>
      </c>
      <c r="AK373" s="8" t="str">
        <f aca="false">$E373&amp;"|"&amp;TEXT($AD373,"0.000000")</f>
        <v>PV 101|0.257122</v>
      </c>
    </row>
    <row r="374" customFormat="false" ht="15" hidden="false" customHeight="false" outlineLevel="0" collapsed="false">
      <c r="B374" s="16" t="n">
        <v>39</v>
      </c>
      <c r="C374" s="17" t="n">
        <f aca="false">DATA_INICIO_SAFRA+($B374-1)*DIAS_POR_SEMANA</f>
        <v>46531</v>
      </c>
      <c r="D374" s="17" t="n">
        <f aca="false">$C374+DIAS_POR_SEMANA-1</f>
        <v>46537</v>
      </c>
      <c r="E374" s="15" t="s">
        <v>264</v>
      </c>
      <c r="F374" s="8" t="str">
        <f aca="false">IFERROR(INDEX(CADASTRO_PIVOS!$C$6:$C$41,MATCH($E374,CADASTRO_PIVOS!$B$6:$B$41,0)),"?")</f>
        <v>RM04</v>
      </c>
      <c r="G374" s="8" t="str">
        <f aca="false">IFERROR(INDEX(CADASTRO_PIVOS!$D$6:$D$41,MATCH($E374,CADASTRO_PIVOS!$B$6:$B$41,0)),"?")</f>
        <v>TR04</v>
      </c>
      <c r="H374" s="20" t="n">
        <f aca="false">IFERROR(INDEX(CADASTRO_PIVOS!$E$6:$E$41,MATCH($E374,CADASTRO_PIVOS!$B$6:$B$41,0)),0)</f>
        <v>129.16</v>
      </c>
      <c r="I374" s="16" t="n">
        <f aca="false">IFERROR(SUMIFS(ROTACAO_RDM!$B$6:$B$71,ROTACAO_RDM!$D$6:$D$71,$E374,ROTACAO_RDM!$I$6:$I$71,"&lt;="&amp;$C374+INT(DIAS_POR_SEMANA/2),ROTACAO_RDM!$J$6:$J$71,"&gt;="&amp;$C374+INT(DIAS_POR_SEMANA/2)),0)</f>
        <v>1</v>
      </c>
      <c r="J374" s="16" t="n">
        <f aca="false">IFERROR(MATCH($I374,ROTACAO_RDM!$B$6:$B$71,0),0)</f>
        <v>1</v>
      </c>
      <c r="K374" s="8" t="str">
        <f aca="false">IF($J374=0,"SEM CULTURA",INDEX(ROTACAO_RDM!$F$6:$F$71,$J374))</f>
        <v>ALGODAO</v>
      </c>
      <c r="L374" s="8" t="str">
        <f aca="false">IF($J374=0,"",INDEX(ROTACAO_RDM!$G$6:$G$71,$J374))</f>
        <v>FM 933 STP</v>
      </c>
      <c r="M374" s="17" t="n">
        <f aca="false">IF($J374=0,"",INDEX(ROTACAO_RDM!$I$6:$I$71,$J374))</f>
        <v>46359</v>
      </c>
      <c r="N374" s="16" t="n">
        <f aca="false">IF($J374=0,0,MAX(0,$C374+INT(DIAS_POR_SEMANA/2)-INDEX(ROTACAO_RDM!$I$6:$I$71,$J374)))</f>
        <v>175</v>
      </c>
      <c r="O374" s="19" t="n">
        <f aca="false">IF($J374=0,0,MIN(1,$N374/MAX(1,INDEX(ROTACAO_RDM!$K$6:$K$71,$J374))))</f>
        <v>0.897435897435898</v>
      </c>
      <c r="P374" s="16" t="n">
        <f aca="false">IF($J374=0,0,IFERROR(MATCH(INDEX(ROTACAO_RDM!$N$6:$N$71,$J374),PARAMETROS_CULTURAS!$B$6:$B$28,0),0))</f>
        <v>5</v>
      </c>
      <c r="Q374" s="8" t="str">
        <f aca="false">IF($P374=0,"-",IF($O374&lt;=INDEX(PARAMETROS_CULTURAS!$F$6:$F$28,$P374),"INICIAL",IF($O374&lt;=INDEX(PARAMETROS_CULTURAS!$F$6:$F$28,$P374)+INDEX(PARAMETROS_CULTURAS!$G$6:$G$28,$P374),"DESENVOLVIMENTO",IF($O374&lt;=INDEX(PARAMETROS_CULTURAS!$F$6:$F$28,$P374)+INDEX(PARAMETROS_CULTURAS!$G$6:$G$28,$P374)+INDEX(PARAMETROS_CULTURAS!$H$6:$H$28,$P374),"MEDIA","FINAL"))))</f>
        <v>FINAL</v>
      </c>
      <c r="R374" s="24" t="n">
        <f aca="false">IF($P374=0,0,IF($O374&lt;=INDEX(PARAMETROS_CULTURAS!$F$6:$F$28,$P374),INDEX(PARAMETROS_CULTURAS!$K$6:$K$28,$P374),IF($O374&lt;=INDEX(PARAMETROS_CULTURAS!$F$6:$F$28,$P374)+INDEX(PARAMETROS_CULTURAS!$G$6:$G$28,$P374),INDEX(PARAMETROS_CULTURAS!$K$6:$K$28,$P374)+(INDEX(PARAMETROS_CULTURAS!$L$6:$L$28,$P374)-INDEX(PARAMETROS_CULTURAS!$K$6:$K$28,$P374))*($O374-INDEX(PARAMETROS_CULTURAS!$F$6:$F$28,$P374))/MAX(INDEX(PARAMETROS_CULTURAS!$G$6:$G$28,$P374),0.0001),IF($O374&lt;=INDEX(PARAMETROS_CULTURAS!$F$6:$F$28,$P374)+INDEX(PARAMETROS_CULTURAS!$G$6:$G$28,$P374)+INDEX(PARAMETROS_CULTURAS!$H$6:$H$28,$P374),INDEX(PARAMETROS_CULTURAS!$L$6:$L$28,$P374),INDEX(PARAMETROS_CULTURAS!$L$6:$L$28,$P374)+(INDEX(PARAMETROS_CULTURAS!$M$6:$M$28,$P374)-INDEX(PARAMETROS_CULTURAS!$L$6:$L$28,$P374))*($O374-INDEX(PARAMETROS_CULTURAS!$F$6:$F$28,$P374)-INDEX(PARAMETROS_CULTURAS!$G$6:$G$28,$P374)-INDEX(PARAMETROS_CULTURAS!$H$6:$H$28,$P374))/MAX(INDEX(PARAMETROS_CULTURAS!$I$6:$I$28,$P374),0.0001)))))</f>
        <v>0.801465201465202</v>
      </c>
      <c r="S374" s="18" t="n">
        <f aca="false">IFERROR(INDEX(SEMANAS!$H$6:$H$71,MATCH($B374,SEMANAS!$B$6:$B$71,0)),0)</f>
        <v>29.4</v>
      </c>
      <c r="T374" s="18" t="n">
        <f aca="false">$R374*$S374</f>
        <v>23.5630769230769</v>
      </c>
      <c r="U374" s="18" t="n">
        <f aca="false">IFERROR(INDEX(SEMANAS!$I$6:$I$71,MATCH($B374,SEMANAS!$B$6:$B$71,0)),0)</f>
        <v>3.36</v>
      </c>
      <c r="V374" s="18" t="n">
        <f aca="false">IFERROR(INDEX(SEMANAS!$J$6:$J$71,MATCH($B374,SEMANAS!$B$6:$B$71,0)),0)</f>
        <v>2.688</v>
      </c>
      <c r="W374" s="18" t="n">
        <f aca="false">MAX(0,$T374-$V374)</f>
        <v>20.8750769230769</v>
      </c>
      <c r="X374" s="19" t="n">
        <f aca="false">IFERROR(INDEX(CADASTRO_PIVOS!$K$6:$K$41,MATCH($E374,CADASTRO_PIVOS!$B$6:$B$41,0)),EFICIENCIA_PADRAO)</f>
        <v>0.85</v>
      </c>
      <c r="Y374" s="18" t="n">
        <f aca="false">IF($X374&lt;=0,0,$W374/$X374)</f>
        <v>24.5589140271493</v>
      </c>
      <c r="Z374" s="16" t="n">
        <f aca="false">$Y374*$H374*MM_PARA_M3_HA</f>
        <v>31720.2933574661</v>
      </c>
      <c r="AA374" s="18" t="n">
        <f aca="false">IFERROR(INDEX(CADASTRO_PIVOS!$I$6:$I$41,MATCH($E374,CADASTRO_PIVOS!$B$6:$B$41,0)),0)</f>
        <v>922.571428571429</v>
      </c>
      <c r="AB374" s="18" t="n">
        <f aca="false">IF($Z374&lt;=0,0,$Z374/$AA374)</f>
        <v>34.3824796380091</v>
      </c>
      <c r="AC374" s="16" t="n">
        <f aca="false">IFERROR(INDEX(SEMANAS!$K$6:$K$71,MATCH($B374,SEMANAS!$B$6:$B$71,0)),0)</f>
        <v>147</v>
      </c>
      <c r="AD374" s="19" t="n">
        <f aca="false">IF($AC374&lt;=0,0,$AB374/$AC374)</f>
        <v>0.233894419306184</v>
      </c>
      <c r="AE374" s="8" t="str">
        <f aca="false">IF($K374="SEM CULTURA","SEM CULTURA",IF($AA374&lt;=0,"DADO PENDENTE",IF($AD374&gt;LIMITE_CRITICO,"INVIAVEL",IF($AD374&gt;LIMITE_ATENCAO,"CRITICO",IF($AD374&gt;LIMITE_CONFORTAVEL,"ATENCAO","OK")))))</f>
        <v>OK</v>
      </c>
      <c r="AF374" s="8" t="str">
        <f aca="false">$B374&amp;"|"&amp;TEXT($AD374,"0.000000")</f>
        <v>39|0.233894</v>
      </c>
      <c r="AG374" s="18" t="n">
        <f aca="false">IF($K374="SEM CULTURA",0,$T374*$H374)</f>
        <v>3043.40701538462</v>
      </c>
      <c r="AH374" s="18" t="n">
        <f aca="false">IF($K374="SEM CULTURA",0,$V374*$H374)</f>
        <v>347.18208</v>
      </c>
      <c r="AI374" s="18" t="n">
        <f aca="false">IF($K374="SEM CULTURA",0,$W374*$H374)</f>
        <v>2696.22493538462</v>
      </c>
      <c r="AJ374" s="18" t="n">
        <f aca="false">IF($K374="SEM CULTURA",0,$S374*$H374)</f>
        <v>3797.304</v>
      </c>
      <c r="AK374" s="8" t="str">
        <f aca="false">$E374&amp;"|"&amp;TEXT($AD374,"0.000000")</f>
        <v>PV 101|0.233894</v>
      </c>
    </row>
    <row r="375" customFormat="false" ht="15" hidden="false" customHeight="false" outlineLevel="0" collapsed="false">
      <c r="B375" s="16" t="n">
        <v>40</v>
      </c>
      <c r="C375" s="17" t="n">
        <f aca="false">DATA_INICIO_SAFRA+($B375-1)*DIAS_POR_SEMANA</f>
        <v>46538</v>
      </c>
      <c r="D375" s="17" t="n">
        <f aca="false">$C375+DIAS_POR_SEMANA-1</f>
        <v>46544</v>
      </c>
      <c r="E375" s="15" t="s">
        <v>264</v>
      </c>
      <c r="F375" s="8" t="str">
        <f aca="false">IFERROR(INDEX(CADASTRO_PIVOS!$C$6:$C$41,MATCH($E375,CADASTRO_PIVOS!$B$6:$B$41,0)),"?")</f>
        <v>RM04</v>
      </c>
      <c r="G375" s="8" t="str">
        <f aca="false">IFERROR(INDEX(CADASTRO_PIVOS!$D$6:$D$41,MATCH($E375,CADASTRO_PIVOS!$B$6:$B$41,0)),"?")</f>
        <v>TR04</v>
      </c>
      <c r="H375" s="20" t="n">
        <f aca="false">IFERROR(INDEX(CADASTRO_PIVOS!$E$6:$E$41,MATCH($E375,CADASTRO_PIVOS!$B$6:$B$41,0)),0)</f>
        <v>129.16</v>
      </c>
      <c r="I375" s="16" t="n">
        <f aca="false">IFERROR(SUMIFS(ROTACAO_RDM!$B$6:$B$71,ROTACAO_RDM!$D$6:$D$71,$E375,ROTACAO_RDM!$I$6:$I$71,"&lt;="&amp;$C375+INT(DIAS_POR_SEMANA/2),ROTACAO_RDM!$J$6:$J$71,"&gt;="&amp;$C375+INT(DIAS_POR_SEMANA/2)),0)</f>
        <v>1</v>
      </c>
      <c r="J375" s="16" t="n">
        <f aca="false">IFERROR(MATCH($I375,ROTACAO_RDM!$B$6:$B$71,0),0)</f>
        <v>1</v>
      </c>
      <c r="K375" s="8" t="str">
        <f aca="false">IF($J375=0,"SEM CULTURA",INDEX(ROTACAO_RDM!$F$6:$F$71,$J375))</f>
        <v>ALGODAO</v>
      </c>
      <c r="L375" s="8" t="str">
        <f aca="false">IF($J375=0,"",INDEX(ROTACAO_RDM!$G$6:$G$71,$J375))</f>
        <v>FM 933 STP</v>
      </c>
      <c r="M375" s="17" t="n">
        <f aca="false">IF($J375=0,"",INDEX(ROTACAO_RDM!$I$6:$I$71,$J375))</f>
        <v>46359</v>
      </c>
      <c r="N375" s="16" t="n">
        <f aca="false">IF($J375=0,0,MAX(0,$C375+INT(DIAS_POR_SEMANA/2)-INDEX(ROTACAO_RDM!$I$6:$I$71,$J375)))</f>
        <v>182</v>
      </c>
      <c r="O375" s="19" t="n">
        <f aca="false">IF($J375=0,0,MIN(1,$N375/MAX(1,INDEX(ROTACAO_RDM!$K$6:$K$71,$J375))))</f>
        <v>0.933333333333333</v>
      </c>
      <c r="P375" s="16" t="n">
        <f aca="false">IF($J375=0,0,IFERROR(MATCH(INDEX(ROTACAO_RDM!$N$6:$N$71,$J375),PARAMETROS_CULTURAS!$B$6:$B$28,0),0))</f>
        <v>5</v>
      </c>
      <c r="Q375" s="8" t="str">
        <f aca="false">IF($P375=0,"-",IF($O375&lt;=INDEX(PARAMETROS_CULTURAS!$F$6:$F$28,$P375),"INICIAL",IF($O375&lt;=INDEX(PARAMETROS_CULTURAS!$F$6:$F$28,$P375)+INDEX(PARAMETROS_CULTURAS!$G$6:$G$28,$P375),"DESENVOLVIMENTO",IF($O375&lt;=INDEX(PARAMETROS_CULTURAS!$F$6:$F$28,$P375)+INDEX(PARAMETROS_CULTURAS!$G$6:$G$28,$P375)+INDEX(PARAMETROS_CULTURAS!$H$6:$H$28,$P375),"MEDIA","FINAL"))))</f>
        <v>FINAL</v>
      </c>
      <c r="R375" s="24" t="n">
        <f aca="false">IF($P375=0,0,IF($O375&lt;=INDEX(PARAMETROS_CULTURAS!$F$6:$F$28,$P375),INDEX(PARAMETROS_CULTURAS!$K$6:$K$28,$P375),IF($O375&lt;=INDEX(PARAMETROS_CULTURAS!$F$6:$F$28,$P375)+INDEX(PARAMETROS_CULTURAS!$G$6:$G$28,$P375),INDEX(PARAMETROS_CULTURAS!$K$6:$K$28,$P375)+(INDEX(PARAMETROS_CULTURAS!$L$6:$L$28,$P375)-INDEX(PARAMETROS_CULTURAS!$K$6:$K$28,$P375))*($O375-INDEX(PARAMETROS_CULTURAS!$F$6:$F$28,$P375))/MAX(INDEX(PARAMETROS_CULTURAS!$G$6:$G$28,$P375),0.0001),IF($O375&lt;=INDEX(PARAMETROS_CULTURAS!$F$6:$F$28,$P375)+INDEX(PARAMETROS_CULTURAS!$G$6:$G$28,$P375)+INDEX(PARAMETROS_CULTURAS!$H$6:$H$28,$P375),INDEX(PARAMETROS_CULTURAS!$L$6:$L$28,$P375),INDEX(PARAMETROS_CULTURAS!$L$6:$L$28,$P375)+(INDEX(PARAMETROS_CULTURAS!$M$6:$M$28,$P375)-INDEX(PARAMETROS_CULTURAS!$L$6:$L$28,$P375))*($O375-INDEX(PARAMETROS_CULTURAS!$F$6:$F$28,$P375)-INDEX(PARAMETROS_CULTURAS!$G$6:$G$28,$P375)-INDEX(PARAMETROS_CULTURAS!$H$6:$H$28,$P375))/MAX(INDEX(PARAMETROS_CULTURAS!$I$6:$I$28,$P375),0.0001)))))</f>
        <v>0.730952380952381</v>
      </c>
      <c r="S375" s="18" t="n">
        <f aca="false">IFERROR(INDEX(SEMANAS!$H$6:$H$71,MATCH($B375,SEMANAS!$B$6:$B$71,0)),0)</f>
        <v>28.2</v>
      </c>
      <c r="T375" s="18" t="n">
        <f aca="false">$R375*$S375</f>
        <v>20.6128571428571</v>
      </c>
      <c r="U375" s="18" t="n">
        <f aca="false">IFERROR(INDEX(SEMANAS!$I$6:$I$71,MATCH($B375,SEMANAS!$B$6:$B$71,0)),0)</f>
        <v>1.5</v>
      </c>
      <c r="V375" s="18" t="n">
        <f aca="false">IFERROR(INDEX(SEMANAS!$J$6:$J$71,MATCH($B375,SEMANAS!$B$6:$B$71,0)),0)</f>
        <v>1.2</v>
      </c>
      <c r="W375" s="18" t="n">
        <f aca="false">MAX(0,$T375-$V375)</f>
        <v>19.4128571428571</v>
      </c>
      <c r="X375" s="19" t="n">
        <f aca="false">IFERROR(INDEX(CADASTRO_PIVOS!$K$6:$K$41,MATCH($E375,CADASTRO_PIVOS!$B$6:$B$41,0)),EFICIENCIA_PADRAO)</f>
        <v>0.85</v>
      </c>
      <c r="Y375" s="18" t="n">
        <f aca="false">IF($X375&lt;=0,0,$W375/$X375)</f>
        <v>22.8386554621849</v>
      </c>
      <c r="Z375" s="16" t="n">
        <f aca="false">$Y375*$H375*MM_PARA_M3_HA</f>
        <v>29498.407394958</v>
      </c>
      <c r="AA375" s="18" t="n">
        <f aca="false">IFERROR(INDEX(CADASTRO_PIVOS!$I$6:$I$41,MATCH($E375,CADASTRO_PIVOS!$B$6:$B$41,0)),0)</f>
        <v>922.571428571429</v>
      </c>
      <c r="AB375" s="18" t="n">
        <f aca="false">IF($Z375&lt;=0,0,$Z375/$AA375)</f>
        <v>31.9741176470588</v>
      </c>
      <c r="AC375" s="16" t="n">
        <f aca="false">IFERROR(INDEX(SEMANAS!$K$6:$K$71,MATCH($B375,SEMANAS!$B$6:$B$71,0)),0)</f>
        <v>147</v>
      </c>
      <c r="AD375" s="19" t="n">
        <f aca="false">IF($AC375&lt;=0,0,$AB375/$AC375)</f>
        <v>0.217511004401761</v>
      </c>
      <c r="AE375" s="8" t="str">
        <f aca="false">IF($K375="SEM CULTURA","SEM CULTURA",IF($AA375&lt;=0,"DADO PENDENTE",IF($AD375&gt;LIMITE_CRITICO,"INVIAVEL",IF($AD375&gt;LIMITE_ATENCAO,"CRITICO",IF($AD375&gt;LIMITE_CONFORTAVEL,"ATENCAO","OK")))))</f>
        <v>OK</v>
      </c>
      <c r="AF375" s="8" t="str">
        <f aca="false">$B375&amp;"|"&amp;TEXT($AD375,"0.000000")</f>
        <v>40|0.217511</v>
      </c>
      <c r="AG375" s="18" t="n">
        <f aca="false">IF($K375="SEM CULTURA",0,$T375*$H375)</f>
        <v>2662.35662857143</v>
      </c>
      <c r="AH375" s="18" t="n">
        <f aca="false">IF($K375="SEM CULTURA",0,$V375*$H375)</f>
        <v>154.992</v>
      </c>
      <c r="AI375" s="18" t="n">
        <f aca="false">IF($K375="SEM CULTURA",0,$W375*$H375)</f>
        <v>2507.36462857143</v>
      </c>
      <c r="AJ375" s="18" t="n">
        <f aca="false">IF($K375="SEM CULTURA",0,$S375*$H375)</f>
        <v>3642.312</v>
      </c>
      <c r="AK375" s="8" t="str">
        <f aca="false">$E375&amp;"|"&amp;TEXT($AD375,"0.000000")</f>
        <v>PV 101|0.217511</v>
      </c>
    </row>
    <row r="376" customFormat="false" ht="15" hidden="false" customHeight="false" outlineLevel="0" collapsed="false">
      <c r="B376" s="16" t="n">
        <v>41</v>
      </c>
      <c r="C376" s="17" t="n">
        <f aca="false">DATA_INICIO_SAFRA+($B376-1)*DIAS_POR_SEMANA</f>
        <v>46545</v>
      </c>
      <c r="D376" s="17" t="n">
        <f aca="false">$C376+DIAS_POR_SEMANA-1</f>
        <v>46551</v>
      </c>
      <c r="E376" s="15" t="s">
        <v>264</v>
      </c>
      <c r="F376" s="8" t="str">
        <f aca="false">IFERROR(INDEX(CADASTRO_PIVOS!$C$6:$C$41,MATCH($E376,CADASTRO_PIVOS!$B$6:$B$41,0)),"?")</f>
        <v>RM04</v>
      </c>
      <c r="G376" s="8" t="str">
        <f aca="false">IFERROR(INDEX(CADASTRO_PIVOS!$D$6:$D$41,MATCH($E376,CADASTRO_PIVOS!$B$6:$B$41,0)),"?")</f>
        <v>TR04</v>
      </c>
      <c r="H376" s="20" t="n">
        <f aca="false">IFERROR(INDEX(CADASTRO_PIVOS!$E$6:$E$41,MATCH($E376,CADASTRO_PIVOS!$B$6:$B$41,0)),0)</f>
        <v>129.16</v>
      </c>
      <c r="I376" s="16" t="n">
        <f aca="false">IFERROR(SUMIFS(ROTACAO_RDM!$B$6:$B$71,ROTACAO_RDM!$D$6:$D$71,$E376,ROTACAO_RDM!$I$6:$I$71,"&lt;="&amp;$C376+INT(DIAS_POR_SEMANA/2),ROTACAO_RDM!$J$6:$J$71,"&gt;="&amp;$C376+INT(DIAS_POR_SEMANA/2)),0)</f>
        <v>1</v>
      </c>
      <c r="J376" s="16" t="n">
        <f aca="false">IFERROR(MATCH($I376,ROTACAO_RDM!$B$6:$B$71,0),0)</f>
        <v>1</v>
      </c>
      <c r="K376" s="8" t="str">
        <f aca="false">IF($J376=0,"SEM CULTURA",INDEX(ROTACAO_RDM!$F$6:$F$71,$J376))</f>
        <v>ALGODAO</v>
      </c>
      <c r="L376" s="8" t="str">
        <f aca="false">IF($J376=0,"",INDEX(ROTACAO_RDM!$G$6:$G$71,$J376))</f>
        <v>FM 933 STP</v>
      </c>
      <c r="M376" s="17" t="n">
        <f aca="false">IF($J376=0,"",INDEX(ROTACAO_RDM!$I$6:$I$71,$J376))</f>
        <v>46359</v>
      </c>
      <c r="N376" s="16" t="n">
        <f aca="false">IF($J376=0,0,MAX(0,$C376+INT(DIAS_POR_SEMANA/2)-INDEX(ROTACAO_RDM!$I$6:$I$71,$J376)))</f>
        <v>189</v>
      </c>
      <c r="O376" s="19" t="n">
        <f aca="false">IF($J376=0,0,MIN(1,$N376/MAX(1,INDEX(ROTACAO_RDM!$K$6:$K$71,$J376))))</f>
        <v>0.969230769230769</v>
      </c>
      <c r="P376" s="16" t="n">
        <f aca="false">IF($J376=0,0,IFERROR(MATCH(INDEX(ROTACAO_RDM!$N$6:$N$71,$J376),PARAMETROS_CULTURAS!$B$6:$B$28,0),0))</f>
        <v>5</v>
      </c>
      <c r="Q376" s="8" t="str">
        <f aca="false">IF($P376=0,"-",IF($O376&lt;=INDEX(PARAMETROS_CULTURAS!$F$6:$F$28,$P376),"INICIAL",IF($O376&lt;=INDEX(PARAMETROS_CULTURAS!$F$6:$F$28,$P376)+INDEX(PARAMETROS_CULTURAS!$G$6:$G$28,$P376),"DESENVOLVIMENTO",IF($O376&lt;=INDEX(PARAMETROS_CULTURAS!$F$6:$F$28,$P376)+INDEX(PARAMETROS_CULTURAS!$G$6:$G$28,$P376)+INDEX(PARAMETROS_CULTURAS!$H$6:$H$28,$P376),"MEDIA","FINAL"))))</f>
        <v>FINAL</v>
      </c>
      <c r="R376" s="24" t="n">
        <f aca="false">IF($P376=0,0,IF($O376&lt;=INDEX(PARAMETROS_CULTURAS!$F$6:$F$28,$P376),INDEX(PARAMETROS_CULTURAS!$K$6:$K$28,$P376),IF($O376&lt;=INDEX(PARAMETROS_CULTURAS!$F$6:$F$28,$P376)+INDEX(PARAMETROS_CULTURAS!$G$6:$G$28,$P376),INDEX(PARAMETROS_CULTURAS!$K$6:$K$28,$P376)+(INDEX(PARAMETROS_CULTURAS!$L$6:$L$28,$P376)-INDEX(PARAMETROS_CULTURAS!$K$6:$K$28,$P376))*($O376-INDEX(PARAMETROS_CULTURAS!$F$6:$F$28,$P376))/MAX(INDEX(PARAMETROS_CULTURAS!$G$6:$G$28,$P376),0.0001),IF($O376&lt;=INDEX(PARAMETROS_CULTURAS!$F$6:$F$28,$P376)+INDEX(PARAMETROS_CULTURAS!$G$6:$G$28,$P376)+INDEX(PARAMETROS_CULTURAS!$H$6:$H$28,$P376),INDEX(PARAMETROS_CULTURAS!$L$6:$L$28,$P376),INDEX(PARAMETROS_CULTURAS!$L$6:$L$28,$P376)+(INDEX(PARAMETROS_CULTURAS!$M$6:$M$28,$P376)-INDEX(PARAMETROS_CULTURAS!$L$6:$L$28,$P376))*($O376-INDEX(PARAMETROS_CULTURAS!$F$6:$F$28,$P376)-INDEX(PARAMETROS_CULTURAS!$G$6:$G$28,$P376)-INDEX(PARAMETROS_CULTURAS!$H$6:$H$28,$P376))/MAX(INDEX(PARAMETROS_CULTURAS!$I$6:$I$28,$P376),0.0001)))))</f>
        <v>0.660439560439561</v>
      </c>
      <c r="S376" s="18" t="n">
        <f aca="false">IFERROR(INDEX(SEMANAS!$H$6:$H$71,MATCH($B376,SEMANAS!$B$6:$B$71,0)),0)</f>
        <v>28</v>
      </c>
      <c r="T376" s="18" t="n">
        <f aca="false">$R376*$S376</f>
        <v>18.4923076923077</v>
      </c>
      <c r="U376" s="18" t="n">
        <f aca="false">IFERROR(INDEX(SEMANAS!$I$6:$I$71,MATCH($B376,SEMANAS!$B$6:$B$71,0)),0)</f>
        <v>1.19</v>
      </c>
      <c r="V376" s="18" t="n">
        <f aca="false">IFERROR(INDEX(SEMANAS!$J$6:$J$71,MATCH($B376,SEMANAS!$B$6:$B$71,0)),0)</f>
        <v>0.952</v>
      </c>
      <c r="W376" s="18" t="n">
        <f aca="false">MAX(0,$T376-$V376)</f>
        <v>17.5403076923077</v>
      </c>
      <c r="X376" s="19" t="n">
        <f aca="false">IFERROR(INDEX(CADASTRO_PIVOS!$K$6:$K$41,MATCH($E376,CADASTRO_PIVOS!$B$6:$B$41,0)),EFICIENCIA_PADRAO)</f>
        <v>0.85</v>
      </c>
      <c r="Y376" s="18" t="n">
        <f aca="false">IF($X376&lt;=0,0,$W376/$X376)</f>
        <v>20.6356561085973</v>
      </c>
      <c r="Z376" s="16" t="n">
        <f aca="false">$Y376*$H376*MM_PARA_M3_HA</f>
        <v>26653.0134298643</v>
      </c>
      <c r="AA376" s="18" t="n">
        <f aca="false">IFERROR(INDEX(CADASTRO_PIVOS!$I$6:$I$41,MATCH($E376,CADASTRO_PIVOS!$B$6:$B$41,0)),0)</f>
        <v>922.571428571429</v>
      </c>
      <c r="AB376" s="18" t="n">
        <f aca="false">IF($Z376&lt;=0,0,$Z376/$AA376)</f>
        <v>28.8899185520362</v>
      </c>
      <c r="AC376" s="16" t="n">
        <f aca="false">IFERROR(INDEX(SEMANAS!$K$6:$K$71,MATCH($B376,SEMANAS!$B$6:$B$71,0)),0)</f>
        <v>147</v>
      </c>
      <c r="AD376" s="19" t="n">
        <f aca="false">IF($AC376&lt;=0,0,$AB376/$AC376)</f>
        <v>0.196530058177117</v>
      </c>
      <c r="AE376" s="8" t="str">
        <f aca="false">IF($K376="SEM CULTURA","SEM CULTURA",IF($AA376&lt;=0,"DADO PENDENTE",IF($AD376&gt;LIMITE_CRITICO,"INVIAVEL",IF($AD376&gt;LIMITE_ATENCAO,"CRITICO",IF($AD376&gt;LIMITE_CONFORTAVEL,"ATENCAO","OK")))))</f>
        <v>OK</v>
      </c>
      <c r="AF376" s="8" t="str">
        <f aca="false">$B376&amp;"|"&amp;TEXT($AD376,"0.000000")</f>
        <v>41|0.196530</v>
      </c>
      <c r="AG376" s="18" t="n">
        <f aca="false">IF($K376="SEM CULTURA",0,$T376*$H376)</f>
        <v>2388.46646153846</v>
      </c>
      <c r="AH376" s="18" t="n">
        <f aca="false">IF($K376="SEM CULTURA",0,$V376*$H376)</f>
        <v>122.96032</v>
      </c>
      <c r="AI376" s="18" t="n">
        <f aca="false">IF($K376="SEM CULTURA",0,$W376*$H376)</f>
        <v>2265.50614153846</v>
      </c>
      <c r="AJ376" s="18" t="n">
        <f aca="false">IF($K376="SEM CULTURA",0,$S376*$H376)</f>
        <v>3616.48</v>
      </c>
      <c r="AK376" s="8" t="str">
        <f aca="false">$E376&amp;"|"&amp;TEXT($AD376,"0.000000")</f>
        <v>PV 101|0.196530</v>
      </c>
    </row>
    <row r="377" customFormat="false" ht="15" hidden="false" customHeight="false" outlineLevel="0" collapsed="false">
      <c r="B377" s="16" t="n">
        <v>42</v>
      </c>
      <c r="C377" s="17" t="n">
        <f aca="false">DATA_INICIO_SAFRA+($B377-1)*DIAS_POR_SEMANA</f>
        <v>46552</v>
      </c>
      <c r="D377" s="17" t="n">
        <f aca="false">$C377+DIAS_POR_SEMANA-1</f>
        <v>46558</v>
      </c>
      <c r="E377" s="15" t="s">
        <v>264</v>
      </c>
      <c r="F377" s="8" t="str">
        <f aca="false">IFERROR(INDEX(CADASTRO_PIVOS!$C$6:$C$41,MATCH($E377,CADASTRO_PIVOS!$B$6:$B$41,0)),"?")</f>
        <v>RM04</v>
      </c>
      <c r="G377" s="8" t="str">
        <f aca="false">IFERROR(INDEX(CADASTRO_PIVOS!$D$6:$D$41,MATCH($E377,CADASTRO_PIVOS!$B$6:$B$41,0)),"?")</f>
        <v>TR04</v>
      </c>
      <c r="H377" s="20" t="n">
        <f aca="false">IFERROR(INDEX(CADASTRO_PIVOS!$E$6:$E$41,MATCH($E377,CADASTRO_PIVOS!$B$6:$B$41,0)),0)</f>
        <v>129.16</v>
      </c>
      <c r="I377" s="16" t="n">
        <f aca="false">IFERROR(SUMIFS(ROTACAO_RDM!$B$6:$B$71,ROTACAO_RDM!$D$6:$D$71,$E377,ROTACAO_RDM!$I$6:$I$71,"&lt;="&amp;$C377+INT(DIAS_POR_SEMANA/2),ROTACAO_RDM!$J$6:$J$71,"&gt;="&amp;$C377+INT(DIAS_POR_SEMANA/2)),0)</f>
        <v>0</v>
      </c>
      <c r="J377" s="16" t="n">
        <f aca="false">IFERROR(MATCH($I377,ROTACAO_RDM!$B$6:$B$71,0),0)</f>
        <v>0</v>
      </c>
      <c r="K377" s="8" t="str">
        <f aca="false">IF($J377=0,"SEM CULTURA",INDEX(ROTACAO_RDM!$F$6:$F$71,$J377))</f>
        <v>SEM CULTURA</v>
      </c>
      <c r="L377" s="8" t="str">
        <f aca="false">IF($J377=0,"",INDEX(ROTACAO_RDM!$G$6:$G$71,$J377))</f>
        <v/>
      </c>
      <c r="M377" s="17" t="str">
        <f aca="false">IF($J377=0,"",INDEX(ROTACAO_RDM!$I$6:$I$71,$J377))</f>
        <v/>
      </c>
      <c r="N377" s="16" t="n">
        <f aca="false">IF($J377=0,0,MAX(0,$C377+INT(DIAS_POR_SEMANA/2)-INDEX(ROTACAO_RDM!$I$6:$I$71,$J377)))</f>
        <v>0</v>
      </c>
      <c r="O377" s="19" t="n">
        <f aca="false">IF($J377=0,0,MIN(1,$N377/MAX(1,INDEX(ROTACAO_RDM!$K$6:$K$71,$J377))))</f>
        <v>0</v>
      </c>
      <c r="P377" s="16" t="n">
        <f aca="false">IF($J377=0,0,IFERROR(MATCH(INDEX(ROTACAO_RDM!$N$6:$N$71,$J377),PARAMETROS_CULTURAS!$B$6:$B$28,0),0))</f>
        <v>0</v>
      </c>
      <c r="Q377" s="8" t="str">
        <f aca="false">IF($P377=0,"-",IF($O377&lt;=INDEX(PARAMETROS_CULTURAS!$F$6:$F$28,$P377),"INICIAL",IF($O377&lt;=INDEX(PARAMETROS_CULTURAS!$F$6:$F$28,$P377)+INDEX(PARAMETROS_CULTURAS!$G$6:$G$28,$P377),"DESENVOLVIMENTO",IF($O377&lt;=INDEX(PARAMETROS_CULTURAS!$F$6:$F$28,$P377)+INDEX(PARAMETROS_CULTURAS!$G$6:$G$28,$P377)+INDEX(PARAMETROS_CULTURAS!$H$6:$H$28,$P377),"MEDIA","FINAL"))))</f>
        <v>-</v>
      </c>
      <c r="R377" s="24" t="n">
        <f aca="false">IF($P377=0,0,IF($O377&lt;=INDEX(PARAMETROS_CULTURAS!$F$6:$F$28,$P377),INDEX(PARAMETROS_CULTURAS!$K$6:$K$28,$P377),IF($O377&lt;=INDEX(PARAMETROS_CULTURAS!$F$6:$F$28,$P377)+INDEX(PARAMETROS_CULTURAS!$G$6:$G$28,$P377),INDEX(PARAMETROS_CULTURAS!$K$6:$K$28,$P377)+(INDEX(PARAMETROS_CULTURAS!$L$6:$L$28,$P377)-INDEX(PARAMETROS_CULTURAS!$K$6:$K$28,$P377))*($O377-INDEX(PARAMETROS_CULTURAS!$F$6:$F$28,$P377))/MAX(INDEX(PARAMETROS_CULTURAS!$G$6:$G$28,$P377),0.0001),IF($O377&lt;=INDEX(PARAMETROS_CULTURAS!$F$6:$F$28,$P377)+INDEX(PARAMETROS_CULTURAS!$G$6:$G$28,$P377)+INDEX(PARAMETROS_CULTURAS!$H$6:$H$28,$P377),INDEX(PARAMETROS_CULTURAS!$L$6:$L$28,$P377),INDEX(PARAMETROS_CULTURAS!$L$6:$L$28,$P377)+(INDEX(PARAMETROS_CULTURAS!$M$6:$M$28,$P377)-INDEX(PARAMETROS_CULTURAS!$L$6:$L$28,$P377))*($O377-INDEX(PARAMETROS_CULTURAS!$F$6:$F$28,$P377)-INDEX(PARAMETROS_CULTURAS!$G$6:$G$28,$P377)-INDEX(PARAMETROS_CULTURAS!$H$6:$H$28,$P377))/MAX(INDEX(PARAMETROS_CULTURAS!$I$6:$I$28,$P377),0.0001)))))</f>
        <v>0</v>
      </c>
      <c r="S377" s="18" t="n">
        <f aca="false">IFERROR(INDEX(SEMANAS!$H$6:$H$71,MATCH($B377,SEMANAS!$B$6:$B$71,0)),0)</f>
        <v>28</v>
      </c>
      <c r="T377" s="18" t="n">
        <f aca="false">$R377*$S377</f>
        <v>0</v>
      </c>
      <c r="U377" s="18" t="n">
        <f aca="false">IFERROR(INDEX(SEMANAS!$I$6:$I$71,MATCH($B377,SEMANAS!$B$6:$B$71,0)),0)</f>
        <v>1.19</v>
      </c>
      <c r="V377" s="18" t="n">
        <f aca="false">IFERROR(INDEX(SEMANAS!$J$6:$J$71,MATCH($B377,SEMANAS!$B$6:$B$71,0)),0)</f>
        <v>0.952</v>
      </c>
      <c r="W377" s="18" t="n">
        <f aca="false">MAX(0,$T377-$V377)</f>
        <v>0</v>
      </c>
      <c r="X377" s="19" t="n">
        <f aca="false">IFERROR(INDEX(CADASTRO_PIVOS!$K$6:$K$41,MATCH($E377,CADASTRO_PIVOS!$B$6:$B$41,0)),EFICIENCIA_PADRAO)</f>
        <v>0.85</v>
      </c>
      <c r="Y377" s="18" t="n">
        <f aca="false">IF($X377&lt;=0,0,$W377/$X377)</f>
        <v>0</v>
      </c>
      <c r="Z377" s="16" t="n">
        <f aca="false">$Y377*$H377*MM_PARA_M3_HA</f>
        <v>0</v>
      </c>
      <c r="AA377" s="18" t="n">
        <f aca="false">IFERROR(INDEX(CADASTRO_PIVOS!$I$6:$I$41,MATCH($E377,CADASTRO_PIVOS!$B$6:$B$41,0)),0)</f>
        <v>922.571428571429</v>
      </c>
      <c r="AB377" s="18" t="n">
        <f aca="false">IF($Z377&lt;=0,0,$Z377/$AA377)</f>
        <v>0</v>
      </c>
      <c r="AC377" s="16" t="n">
        <f aca="false">IFERROR(INDEX(SEMANAS!$K$6:$K$71,MATCH($B377,SEMANAS!$B$6:$B$71,0)),0)</f>
        <v>147</v>
      </c>
      <c r="AD377" s="19" t="n">
        <f aca="false">IF($AC377&lt;=0,0,$AB377/$AC377)</f>
        <v>0</v>
      </c>
      <c r="AE377" s="8" t="str">
        <f aca="false">IF($K377="SEM CULTURA","SEM CULTURA",IF($AA377&lt;=0,"DADO PENDENTE",IF($AD377&gt;LIMITE_CRITICO,"INVIAVEL",IF($AD377&gt;LIMITE_ATENCAO,"CRITICO",IF($AD377&gt;LIMITE_CONFORTAVEL,"ATENCAO","OK")))))</f>
        <v>SEM CULTURA</v>
      </c>
      <c r="AF377" s="8" t="str">
        <f aca="false">$B377&amp;"|"&amp;TEXT($AD377,"0.000000")</f>
        <v>42|0.000000</v>
      </c>
      <c r="AG377" s="18" t="n">
        <f aca="false">IF($K377="SEM CULTURA",0,$T377*$H377)</f>
        <v>0</v>
      </c>
      <c r="AH377" s="18" t="n">
        <f aca="false">IF($K377="SEM CULTURA",0,$V377*$H377)</f>
        <v>0</v>
      </c>
      <c r="AI377" s="18" t="n">
        <f aca="false">IF($K377="SEM CULTURA",0,$W377*$H377)</f>
        <v>0</v>
      </c>
      <c r="AJ377" s="18" t="n">
        <f aca="false">IF($K377="SEM CULTURA",0,$S377*$H377)</f>
        <v>0</v>
      </c>
      <c r="AK377" s="8" t="str">
        <f aca="false">$E377&amp;"|"&amp;TEXT($AD377,"0.000000")</f>
        <v>PV 101|0.000000</v>
      </c>
    </row>
    <row r="378" customFormat="false" ht="15" hidden="false" customHeight="false" outlineLevel="0" collapsed="false">
      <c r="B378" s="16" t="n">
        <v>43</v>
      </c>
      <c r="C378" s="17" t="n">
        <f aca="false">DATA_INICIO_SAFRA+($B378-1)*DIAS_POR_SEMANA</f>
        <v>46559</v>
      </c>
      <c r="D378" s="17" t="n">
        <f aca="false">$C378+DIAS_POR_SEMANA-1</f>
        <v>46565</v>
      </c>
      <c r="E378" s="15" t="s">
        <v>264</v>
      </c>
      <c r="F378" s="8" t="str">
        <f aca="false">IFERROR(INDEX(CADASTRO_PIVOS!$C$6:$C$41,MATCH($E378,CADASTRO_PIVOS!$B$6:$B$41,0)),"?")</f>
        <v>RM04</v>
      </c>
      <c r="G378" s="8" t="str">
        <f aca="false">IFERROR(INDEX(CADASTRO_PIVOS!$D$6:$D$41,MATCH($E378,CADASTRO_PIVOS!$B$6:$B$41,0)),"?")</f>
        <v>TR04</v>
      </c>
      <c r="H378" s="20" t="n">
        <f aca="false">IFERROR(INDEX(CADASTRO_PIVOS!$E$6:$E$41,MATCH($E378,CADASTRO_PIVOS!$B$6:$B$41,0)),0)</f>
        <v>129.16</v>
      </c>
      <c r="I378" s="16" t="n">
        <f aca="false">IFERROR(SUMIFS(ROTACAO_RDM!$B$6:$B$71,ROTACAO_RDM!$D$6:$D$71,$E378,ROTACAO_RDM!$I$6:$I$71,"&lt;="&amp;$C378+INT(DIAS_POR_SEMANA/2),ROTACAO_RDM!$J$6:$J$71,"&gt;="&amp;$C378+INT(DIAS_POR_SEMANA/2)),0)</f>
        <v>0</v>
      </c>
      <c r="J378" s="16" t="n">
        <f aca="false">IFERROR(MATCH($I378,ROTACAO_RDM!$B$6:$B$71,0),0)</f>
        <v>0</v>
      </c>
      <c r="K378" s="8" t="str">
        <f aca="false">IF($J378=0,"SEM CULTURA",INDEX(ROTACAO_RDM!$F$6:$F$71,$J378))</f>
        <v>SEM CULTURA</v>
      </c>
      <c r="L378" s="8" t="str">
        <f aca="false">IF($J378=0,"",INDEX(ROTACAO_RDM!$G$6:$G$71,$J378))</f>
        <v/>
      </c>
      <c r="M378" s="17" t="str">
        <f aca="false">IF($J378=0,"",INDEX(ROTACAO_RDM!$I$6:$I$71,$J378))</f>
        <v/>
      </c>
      <c r="N378" s="16" t="n">
        <f aca="false">IF($J378=0,0,MAX(0,$C378+INT(DIAS_POR_SEMANA/2)-INDEX(ROTACAO_RDM!$I$6:$I$71,$J378)))</f>
        <v>0</v>
      </c>
      <c r="O378" s="19" t="n">
        <f aca="false">IF($J378=0,0,MIN(1,$N378/MAX(1,INDEX(ROTACAO_RDM!$K$6:$K$71,$J378))))</f>
        <v>0</v>
      </c>
      <c r="P378" s="16" t="n">
        <f aca="false">IF($J378=0,0,IFERROR(MATCH(INDEX(ROTACAO_RDM!$N$6:$N$71,$J378),PARAMETROS_CULTURAS!$B$6:$B$28,0),0))</f>
        <v>0</v>
      </c>
      <c r="Q378" s="8" t="str">
        <f aca="false">IF($P378=0,"-",IF($O378&lt;=INDEX(PARAMETROS_CULTURAS!$F$6:$F$28,$P378),"INICIAL",IF($O378&lt;=INDEX(PARAMETROS_CULTURAS!$F$6:$F$28,$P378)+INDEX(PARAMETROS_CULTURAS!$G$6:$G$28,$P378),"DESENVOLVIMENTO",IF($O378&lt;=INDEX(PARAMETROS_CULTURAS!$F$6:$F$28,$P378)+INDEX(PARAMETROS_CULTURAS!$G$6:$G$28,$P378)+INDEX(PARAMETROS_CULTURAS!$H$6:$H$28,$P378),"MEDIA","FINAL"))))</f>
        <v>-</v>
      </c>
      <c r="R378" s="24" t="n">
        <f aca="false">IF($P378=0,0,IF($O378&lt;=INDEX(PARAMETROS_CULTURAS!$F$6:$F$28,$P378),INDEX(PARAMETROS_CULTURAS!$K$6:$K$28,$P378),IF($O378&lt;=INDEX(PARAMETROS_CULTURAS!$F$6:$F$28,$P378)+INDEX(PARAMETROS_CULTURAS!$G$6:$G$28,$P378),INDEX(PARAMETROS_CULTURAS!$K$6:$K$28,$P378)+(INDEX(PARAMETROS_CULTURAS!$L$6:$L$28,$P378)-INDEX(PARAMETROS_CULTURAS!$K$6:$K$28,$P378))*($O378-INDEX(PARAMETROS_CULTURAS!$F$6:$F$28,$P378))/MAX(INDEX(PARAMETROS_CULTURAS!$G$6:$G$28,$P378),0.0001),IF($O378&lt;=INDEX(PARAMETROS_CULTURAS!$F$6:$F$28,$P378)+INDEX(PARAMETROS_CULTURAS!$G$6:$G$28,$P378)+INDEX(PARAMETROS_CULTURAS!$H$6:$H$28,$P378),INDEX(PARAMETROS_CULTURAS!$L$6:$L$28,$P378),INDEX(PARAMETROS_CULTURAS!$L$6:$L$28,$P378)+(INDEX(PARAMETROS_CULTURAS!$M$6:$M$28,$P378)-INDEX(PARAMETROS_CULTURAS!$L$6:$L$28,$P378))*($O378-INDEX(PARAMETROS_CULTURAS!$F$6:$F$28,$P378)-INDEX(PARAMETROS_CULTURAS!$G$6:$G$28,$P378)-INDEX(PARAMETROS_CULTURAS!$H$6:$H$28,$P378))/MAX(INDEX(PARAMETROS_CULTURAS!$I$6:$I$28,$P378),0.0001)))))</f>
        <v>0</v>
      </c>
      <c r="S378" s="18" t="n">
        <f aca="false">IFERROR(INDEX(SEMANAS!$H$6:$H$71,MATCH($B378,SEMANAS!$B$6:$B$71,0)),0)</f>
        <v>28</v>
      </c>
      <c r="T378" s="18" t="n">
        <f aca="false">$R378*$S378</f>
        <v>0</v>
      </c>
      <c r="U378" s="18" t="n">
        <f aca="false">IFERROR(INDEX(SEMANAS!$I$6:$I$71,MATCH($B378,SEMANAS!$B$6:$B$71,0)),0)</f>
        <v>1.19</v>
      </c>
      <c r="V378" s="18" t="n">
        <f aca="false">IFERROR(INDEX(SEMANAS!$J$6:$J$71,MATCH($B378,SEMANAS!$B$6:$B$71,0)),0)</f>
        <v>0.952</v>
      </c>
      <c r="W378" s="18" t="n">
        <f aca="false">MAX(0,$T378-$V378)</f>
        <v>0</v>
      </c>
      <c r="X378" s="19" t="n">
        <f aca="false">IFERROR(INDEX(CADASTRO_PIVOS!$K$6:$K$41,MATCH($E378,CADASTRO_PIVOS!$B$6:$B$41,0)),EFICIENCIA_PADRAO)</f>
        <v>0.85</v>
      </c>
      <c r="Y378" s="18" t="n">
        <f aca="false">IF($X378&lt;=0,0,$W378/$X378)</f>
        <v>0</v>
      </c>
      <c r="Z378" s="16" t="n">
        <f aca="false">$Y378*$H378*MM_PARA_M3_HA</f>
        <v>0</v>
      </c>
      <c r="AA378" s="18" t="n">
        <f aca="false">IFERROR(INDEX(CADASTRO_PIVOS!$I$6:$I$41,MATCH($E378,CADASTRO_PIVOS!$B$6:$B$41,0)),0)</f>
        <v>922.571428571429</v>
      </c>
      <c r="AB378" s="18" t="n">
        <f aca="false">IF($Z378&lt;=0,0,$Z378/$AA378)</f>
        <v>0</v>
      </c>
      <c r="AC378" s="16" t="n">
        <f aca="false">IFERROR(INDEX(SEMANAS!$K$6:$K$71,MATCH($B378,SEMANAS!$B$6:$B$71,0)),0)</f>
        <v>147</v>
      </c>
      <c r="AD378" s="19" t="n">
        <f aca="false">IF($AC378&lt;=0,0,$AB378/$AC378)</f>
        <v>0</v>
      </c>
      <c r="AE378" s="8" t="str">
        <f aca="false">IF($K378="SEM CULTURA","SEM CULTURA",IF($AA378&lt;=0,"DADO PENDENTE",IF($AD378&gt;LIMITE_CRITICO,"INVIAVEL",IF($AD378&gt;LIMITE_ATENCAO,"CRITICO",IF($AD378&gt;LIMITE_CONFORTAVEL,"ATENCAO","OK")))))</f>
        <v>SEM CULTURA</v>
      </c>
      <c r="AF378" s="8" t="str">
        <f aca="false">$B378&amp;"|"&amp;TEXT($AD378,"0.000000")</f>
        <v>43|0.000000</v>
      </c>
      <c r="AG378" s="18" t="n">
        <f aca="false">IF($K378="SEM CULTURA",0,$T378*$H378)</f>
        <v>0</v>
      </c>
      <c r="AH378" s="18" t="n">
        <f aca="false">IF($K378="SEM CULTURA",0,$V378*$H378)</f>
        <v>0</v>
      </c>
      <c r="AI378" s="18" t="n">
        <f aca="false">IF($K378="SEM CULTURA",0,$W378*$H378)</f>
        <v>0</v>
      </c>
      <c r="AJ378" s="18" t="n">
        <f aca="false">IF($K378="SEM CULTURA",0,$S378*$H378)</f>
        <v>0</v>
      </c>
      <c r="AK378" s="8" t="str">
        <f aca="false">$E378&amp;"|"&amp;TEXT($AD378,"0.000000")</f>
        <v>PV 101|0.000000</v>
      </c>
    </row>
    <row r="379" customFormat="false" ht="15" hidden="false" customHeight="false" outlineLevel="0" collapsed="false">
      <c r="B379" s="16" t="n">
        <v>44</v>
      </c>
      <c r="C379" s="17" t="n">
        <f aca="false">DATA_INICIO_SAFRA+($B379-1)*DIAS_POR_SEMANA</f>
        <v>46566</v>
      </c>
      <c r="D379" s="17" t="n">
        <f aca="false">$C379+DIAS_POR_SEMANA-1</f>
        <v>46572</v>
      </c>
      <c r="E379" s="15" t="s">
        <v>264</v>
      </c>
      <c r="F379" s="8" t="str">
        <f aca="false">IFERROR(INDEX(CADASTRO_PIVOS!$C$6:$C$41,MATCH($E379,CADASTRO_PIVOS!$B$6:$B$41,0)),"?")</f>
        <v>RM04</v>
      </c>
      <c r="G379" s="8" t="str">
        <f aca="false">IFERROR(INDEX(CADASTRO_PIVOS!$D$6:$D$41,MATCH($E379,CADASTRO_PIVOS!$B$6:$B$41,0)),"?")</f>
        <v>TR04</v>
      </c>
      <c r="H379" s="20" t="n">
        <f aca="false">IFERROR(INDEX(CADASTRO_PIVOS!$E$6:$E$41,MATCH($E379,CADASTRO_PIVOS!$B$6:$B$41,0)),0)</f>
        <v>129.16</v>
      </c>
      <c r="I379" s="16" t="n">
        <f aca="false">IFERROR(SUMIFS(ROTACAO_RDM!$B$6:$B$71,ROTACAO_RDM!$D$6:$D$71,$E379,ROTACAO_RDM!$I$6:$I$71,"&lt;="&amp;$C379+INT(DIAS_POR_SEMANA/2),ROTACAO_RDM!$J$6:$J$71,"&gt;="&amp;$C379+INT(DIAS_POR_SEMANA/2)),0)</f>
        <v>0</v>
      </c>
      <c r="J379" s="16" t="n">
        <f aca="false">IFERROR(MATCH($I379,ROTACAO_RDM!$B$6:$B$71,0),0)</f>
        <v>0</v>
      </c>
      <c r="K379" s="8" t="str">
        <f aca="false">IF($J379=0,"SEM CULTURA",INDEX(ROTACAO_RDM!$F$6:$F$71,$J379))</f>
        <v>SEM CULTURA</v>
      </c>
      <c r="L379" s="8" t="str">
        <f aca="false">IF($J379=0,"",INDEX(ROTACAO_RDM!$G$6:$G$71,$J379))</f>
        <v/>
      </c>
      <c r="M379" s="17" t="str">
        <f aca="false">IF($J379=0,"",INDEX(ROTACAO_RDM!$I$6:$I$71,$J379))</f>
        <v/>
      </c>
      <c r="N379" s="16" t="n">
        <f aca="false">IF($J379=0,0,MAX(0,$C379+INT(DIAS_POR_SEMANA/2)-INDEX(ROTACAO_RDM!$I$6:$I$71,$J379)))</f>
        <v>0</v>
      </c>
      <c r="O379" s="19" t="n">
        <f aca="false">IF($J379=0,0,MIN(1,$N379/MAX(1,INDEX(ROTACAO_RDM!$K$6:$K$71,$J379))))</f>
        <v>0</v>
      </c>
      <c r="P379" s="16" t="n">
        <f aca="false">IF($J379=0,0,IFERROR(MATCH(INDEX(ROTACAO_RDM!$N$6:$N$71,$J379),PARAMETROS_CULTURAS!$B$6:$B$28,0),0))</f>
        <v>0</v>
      </c>
      <c r="Q379" s="8" t="str">
        <f aca="false">IF($P379=0,"-",IF($O379&lt;=INDEX(PARAMETROS_CULTURAS!$F$6:$F$28,$P379),"INICIAL",IF($O379&lt;=INDEX(PARAMETROS_CULTURAS!$F$6:$F$28,$P379)+INDEX(PARAMETROS_CULTURAS!$G$6:$G$28,$P379),"DESENVOLVIMENTO",IF($O379&lt;=INDEX(PARAMETROS_CULTURAS!$F$6:$F$28,$P379)+INDEX(PARAMETROS_CULTURAS!$G$6:$G$28,$P379)+INDEX(PARAMETROS_CULTURAS!$H$6:$H$28,$P379),"MEDIA","FINAL"))))</f>
        <v>-</v>
      </c>
      <c r="R379" s="24" t="n">
        <f aca="false">IF($P379=0,0,IF($O379&lt;=INDEX(PARAMETROS_CULTURAS!$F$6:$F$28,$P379),INDEX(PARAMETROS_CULTURAS!$K$6:$K$28,$P379),IF($O379&lt;=INDEX(PARAMETROS_CULTURAS!$F$6:$F$28,$P379)+INDEX(PARAMETROS_CULTURAS!$G$6:$G$28,$P379),INDEX(PARAMETROS_CULTURAS!$K$6:$K$28,$P379)+(INDEX(PARAMETROS_CULTURAS!$L$6:$L$28,$P379)-INDEX(PARAMETROS_CULTURAS!$K$6:$K$28,$P379))*($O379-INDEX(PARAMETROS_CULTURAS!$F$6:$F$28,$P379))/MAX(INDEX(PARAMETROS_CULTURAS!$G$6:$G$28,$P379),0.0001),IF($O379&lt;=INDEX(PARAMETROS_CULTURAS!$F$6:$F$28,$P379)+INDEX(PARAMETROS_CULTURAS!$G$6:$G$28,$P379)+INDEX(PARAMETROS_CULTURAS!$H$6:$H$28,$P379),INDEX(PARAMETROS_CULTURAS!$L$6:$L$28,$P379),INDEX(PARAMETROS_CULTURAS!$L$6:$L$28,$P379)+(INDEX(PARAMETROS_CULTURAS!$M$6:$M$28,$P379)-INDEX(PARAMETROS_CULTURAS!$L$6:$L$28,$P379))*($O379-INDEX(PARAMETROS_CULTURAS!$F$6:$F$28,$P379)-INDEX(PARAMETROS_CULTURAS!$G$6:$G$28,$P379)-INDEX(PARAMETROS_CULTURAS!$H$6:$H$28,$P379))/MAX(INDEX(PARAMETROS_CULTURAS!$I$6:$I$28,$P379),0.0001)))))</f>
        <v>0</v>
      </c>
      <c r="S379" s="18" t="n">
        <f aca="false">IFERROR(INDEX(SEMANAS!$H$6:$H$71,MATCH($B379,SEMANAS!$B$6:$B$71,0)),0)</f>
        <v>29.2</v>
      </c>
      <c r="T379" s="18" t="n">
        <f aca="false">$R379*$S379</f>
        <v>0</v>
      </c>
      <c r="U379" s="18" t="n">
        <f aca="false">IFERROR(INDEX(SEMANAS!$I$6:$I$71,MATCH($B379,SEMANAS!$B$6:$B$71,0)),0)</f>
        <v>0.91</v>
      </c>
      <c r="V379" s="18" t="n">
        <f aca="false">IFERROR(INDEX(SEMANAS!$J$6:$J$71,MATCH($B379,SEMANAS!$B$6:$B$71,0)),0)</f>
        <v>0.728</v>
      </c>
      <c r="W379" s="18" t="n">
        <f aca="false">MAX(0,$T379-$V379)</f>
        <v>0</v>
      </c>
      <c r="X379" s="19" t="n">
        <f aca="false">IFERROR(INDEX(CADASTRO_PIVOS!$K$6:$K$41,MATCH($E379,CADASTRO_PIVOS!$B$6:$B$41,0)),EFICIENCIA_PADRAO)</f>
        <v>0.85</v>
      </c>
      <c r="Y379" s="18" t="n">
        <f aca="false">IF($X379&lt;=0,0,$W379/$X379)</f>
        <v>0</v>
      </c>
      <c r="Z379" s="16" t="n">
        <f aca="false">$Y379*$H379*MM_PARA_M3_HA</f>
        <v>0</v>
      </c>
      <c r="AA379" s="18" t="n">
        <f aca="false">IFERROR(INDEX(CADASTRO_PIVOS!$I$6:$I$41,MATCH($E379,CADASTRO_PIVOS!$B$6:$B$41,0)),0)</f>
        <v>922.571428571429</v>
      </c>
      <c r="AB379" s="18" t="n">
        <f aca="false">IF($Z379&lt;=0,0,$Z379/$AA379)</f>
        <v>0</v>
      </c>
      <c r="AC379" s="16" t="n">
        <f aca="false">IFERROR(INDEX(SEMANAS!$K$6:$K$71,MATCH($B379,SEMANAS!$B$6:$B$71,0)),0)</f>
        <v>147</v>
      </c>
      <c r="AD379" s="19" t="n">
        <f aca="false">IF($AC379&lt;=0,0,$AB379/$AC379)</f>
        <v>0</v>
      </c>
      <c r="AE379" s="8" t="str">
        <f aca="false">IF($K379="SEM CULTURA","SEM CULTURA",IF($AA379&lt;=0,"DADO PENDENTE",IF($AD379&gt;LIMITE_CRITICO,"INVIAVEL",IF($AD379&gt;LIMITE_ATENCAO,"CRITICO",IF($AD379&gt;LIMITE_CONFORTAVEL,"ATENCAO","OK")))))</f>
        <v>SEM CULTURA</v>
      </c>
      <c r="AF379" s="8" t="str">
        <f aca="false">$B379&amp;"|"&amp;TEXT($AD379,"0.000000")</f>
        <v>44|0.000000</v>
      </c>
      <c r="AG379" s="18" t="n">
        <f aca="false">IF($K379="SEM CULTURA",0,$T379*$H379)</f>
        <v>0</v>
      </c>
      <c r="AH379" s="18" t="n">
        <f aca="false">IF($K379="SEM CULTURA",0,$V379*$H379)</f>
        <v>0</v>
      </c>
      <c r="AI379" s="18" t="n">
        <f aca="false">IF($K379="SEM CULTURA",0,$W379*$H379)</f>
        <v>0</v>
      </c>
      <c r="AJ379" s="18" t="n">
        <f aca="false">IF($K379="SEM CULTURA",0,$S379*$H379)</f>
        <v>0</v>
      </c>
      <c r="AK379" s="8" t="str">
        <f aca="false">$E379&amp;"|"&amp;TEXT($AD379,"0.000000")</f>
        <v>PV 101|0.000000</v>
      </c>
    </row>
    <row r="380" customFormat="false" ht="15" hidden="false" customHeight="false" outlineLevel="0" collapsed="false">
      <c r="B380" s="16" t="n">
        <v>45</v>
      </c>
      <c r="C380" s="17" t="n">
        <f aca="false">DATA_INICIO_SAFRA+($B380-1)*DIAS_POR_SEMANA</f>
        <v>46573</v>
      </c>
      <c r="D380" s="17" t="n">
        <f aca="false">$C380+DIAS_POR_SEMANA-1</f>
        <v>46579</v>
      </c>
      <c r="E380" s="15" t="s">
        <v>264</v>
      </c>
      <c r="F380" s="8" t="str">
        <f aca="false">IFERROR(INDEX(CADASTRO_PIVOS!$C$6:$C$41,MATCH($E380,CADASTRO_PIVOS!$B$6:$B$41,0)),"?")</f>
        <v>RM04</v>
      </c>
      <c r="G380" s="8" t="str">
        <f aca="false">IFERROR(INDEX(CADASTRO_PIVOS!$D$6:$D$41,MATCH($E380,CADASTRO_PIVOS!$B$6:$B$41,0)),"?")</f>
        <v>TR04</v>
      </c>
      <c r="H380" s="20" t="n">
        <f aca="false">IFERROR(INDEX(CADASTRO_PIVOS!$E$6:$E$41,MATCH($E380,CADASTRO_PIVOS!$B$6:$B$41,0)),0)</f>
        <v>129.16</v>
      </c>
      <c r="I380" s="16" t="n">
        <f aca="false">IFERROR(SUMIFS(ROTACAO_RDM!$B$6:$B$71,ROTACAO_RDM!$D$6:$D$71,$E380,ROTACAO_RDM!$I$6:$I$71,"&lt;="&amp;$C380+INT(DIAS_POR_SEMANA/2),ROTACAO_RDM!$J$6:$J$71,"&gt;="&amp;$C380+INT(DIAS_POR_SEMANA/2)),0)</f>
        <v>0</v>
      </c>
      <c r="J380" s="16" t="n">
        <f aca="false">IFERROR(MATCH($I380,ROTACAO_RDM!$B$6:$B$71,0),0)</f>
        <v>0</v>
      </c>
      <c r="K380" s="8" t="str">
        <f aca="false">IF($J380=0,"SEM CULTURA",INDEX(ROTACAO_RDM!$F$6:$F$71,$J380))</f>
        <v>SEM CULTURA</v>
      </c>
      <c r="L380" s="8" t="str">
        <f aca="false">IF($J380=0,"",INDEX(ROTACAO_RDM!$G$6:$G$71,$J380))</f>
        <v/>
      </c>
      <c r="M380" s="17" t="str">
        <f aca="false">IF($J380=0,"",INDEX(ROTACAO_RDM!$I$6:$I$71,$J380))</f>
        <v/>
      </c>
      <c r="N380" s="16" t="n">
        <f aca="false">IF($J380=0,0,MAX(0,$C380+INT(DIAS_POR_SEMANA/2)-INDEX(ROTACAO_RDM!$I$6:$I$71,$J380)))</f>
        <v>0</v>
      </c>
      <c r="O380" s="19" t="n">
        <f aca="false">IF($J380=0,0,MIN(1,$N380/MAX(1,INDEX(ROTACAO_RDM!$K$6:$K$71,$J380))))</f>
        <v>0</v>
      </c>
      <c r="P380" s="16" t="n">
        <f aca="false">IF($J380=0,0,IFERROR(MATCH(INDEX(ROTACAO_RDM!$N$6:$N$71,$J380),PARAMETROS_CULTURAS!$B$6:$B$28,0),0))</f>
        <v>0</v>
      </c>
      <c r="Q380" s="8" t="str">
        <f aca="false">IF($P380=0,"-",IF($O380&lt;=INDEX(PARAMETROS_CULTURAS!$F$6:$F$28,$P380),"INICIAL",IF($O380&lt;=INDEX(PARAMETROS_CULTURAS!$F$6:$F$28,$P380)+INDEX(PARAMETROS_CULTURAS!$G$6:$G$28,$P380),"DESENVOLVIMENTO",IF($O380&lt;=INDEX(PARAMETROS_CULTURAS!$F$6:$F$28,$P380)+INDEX(PARAMETROS_CULTURAS!$G$6:$G$28,$P380)+INDEX(PARAMETROS_CULTURAS!$H$6:$H$28,$P380),"MEDIA","FINAL"))))</f>
        <v>-</v>
      </c>
      <c r="R380" s="24" t="n">
        <f aca="false">IF($P380=0,0,IF($O380&lt;=INDEX(PARAMETROS_CULTURAS!$F$6:$F$28,$P380),INDEX(PARAMETROS_CULTURAS!$K$6:$K$28,$P380),IF($O380&lt;=INDEX(PARAMETROS_CULTURAS!$F$6:$F$28,$P380)+INDEX(PARAMETROS_CULTURAS!$G$6:$G$28,$P380),INDEX(PARAMETROS_CULTURAS!$K$6:$K$28,$P380)+(INDEX(PARAMETROS_CULTURAS!$L$6:$L$28,$P380)-INDEX(PARAMETROS_CULTURAS!$K$6:$K$28,$P380))*($O380-INDEX(PARAMETROS_CULTURAS!$F$6:$F$28,$P380))/MAX(INDEX(PARAMETROS_CULTURAS!$G$6:$G$28,$P380),0.0001),IF($O380&lt;=INDEX(PARAMETROS_CULTURAS!$F$6:$F$28,$P380)+INDEX(PARAMETROS_CULTURAS!$G$6:$G$28,$P380)+INDEX(PARAMETROS_CULTURAS!$H$6:$H$28,$P380),INDEX(PARAMETROS_CULTURAS!$L$6:$L$28,$P380),INDEX(PARAMETROS_CULTURAS!$L$6:$L$28,$P380)+(INDEX(PARAMETROS_CULTURAS!$M$6:$M$28,$P380)-INDEX(PARAMETROS_CULTURAS!$L$6:$L$28,$P380))*($O380-INDEX(PARAMETROS_CULTURAS!$F$6:$F$28,$P380)-INDEX(PARAMETROS_CULTURAS!$G$6:$G$28,$P380)-INDEX(PARAMETROS_CULTURAS!$H$6:$H$28,$P380))/MAX(INDEX(PARAMETROS_CULTURAS!$I$6:$I$28,$P380),0.0001)))))</f>
        <v>0</v>
      </c>
      <c r="S380" s="18" t="n">
        <f aca="false">IFERROR(INDEX(SEMANAS!$H$6:$H$71,MATCH($B380,SEMANAS!$B$6:$B$71,0)),0)</f>
        <v>30.1</v>
      </c>
      <c r="T380" s="18" t="n">
        <f aca="false">$R380*$S380</f>
        <v>0</v>
      </c>
      <c r="U380" s="18" t="n">
        <f aca="false">IFERROR(INDEX(SEMANAS!$I$6:$I$71,MATCH($B380,SEMANAS!$B$6:$B$71,0)),0)</f>
        <v>0.7</v>
      </c>
      <c r="V380" s="18" t="n">
        <f aca="false">IFERROR(INDEX(SEMANAS!$J$6:$J$71,MATCH($B380,SEMANAS!$B$6:$B$71,0)),0)</f>
        <v>0.56</v>
      </c>
      <c r="W380" s="18" t="n">
        <f aca="false">MAX(0,$T380-$V380)</f>
        <v>0</v>
      </c>
      <c r="X380" s="19" t="n">
        <f aca="false">IFERROR(INDEX(CADASTRO_PIVOS!$K$6:$K$41,MATCH($E380,CADASTRO_PIVOS!$B$6:$B$41,0)),EFICIENCIA_PADRAO)</f>
        <v>0.85</v>
      </c>
      <c r="Y380" s="18" t="n">
        <f aca="false">IF($X380&lt;=0,0,$W380/$X380)</f>
        <v>0</v>
      </c>
      <c r="Z380" s="16" t="n">
        <f aca="false">$Y380*$H380*MM_PARA_M3_HA</f>
        <v>0</v>
      </c>
      <c r="AA380" s="18" t="n">
        <f aca="false">IFERROR(INDEX(CADASTRO_PIVOS!$I$6:$I$41,MATCH($E380,CADASTRO_PIVOS!$B$6:$B$41,0)),0)</f>
        <v>922.571428571429</v>
      </c>
      <c r="AB380" s="18" t="n">
        <f aca="false">IF($Z380&lt;=0,0,$Z380/$AA380)</f>
        <v>0</v>
      </c>
      <c r="AC380" s="16" t="n">
        <f aca="false">IFERROR(INDEX(SEMANAS!$K$6:$K$71,MATCH($B380,SEMANAS!$B$6:$B$71,0)),0)</f>
        <v>147</v>
      </c>
      <c r="AD380" s="19" t="n">
        <f aca="false">IF($AC380&lt;=0,0,$AB380/$AC380)</f>
        <v>0</v>
      </c>
      <c r="AE380" s="8" t="str">
        <f aca="false">IF($K380="SEM CULTURA","SEM CULTURA",IF($AA380&lt;=0,"DADO PENDENTE",IF($AD380&gt;LIMITE_CRITICO,"INVIAVEL",IF($AD380&gt;LIMITE_ATENCAO,"CRITICO",IF($AD380&gt;LIMITE_CONFORTAVEL,"ATENCAO","OK")))))</f>
        <v>SEM CULTURA</v>
      </c>
      <c r="AF380" s="8" t="str">
        <f aca="false">$B380&amp;"|"&amp;TEXT($AD380,"0.000000")</f>
        <v>45|0.000000</v>
      </c>
      <c r="AG380" s="18" t="n">
        <f aca="false">IF($K380="SEM CULTURA",0,$T380*$H380)</f>
        <v>0</v>
      </c>
      <c r="AH380" s="18" t="n">
        <f aca="false">IF($K380="SEM CULTURA",0,$V380*$H380)</f>
        <v>0</v>
      </c>
      <c r="AI380" s="18" t="n">
        <f aca="false">IF($K380="SEM CULTURA",0,$W380*$H380)</f>
        <v>0</v>
      </c>
      <c r="AJ380" s="18" t="n">
        <f aca="false">IF($K380="SEM CULTURA",0,$S380*$H380)</f>
        <v>0</v>
      </c>
      <c r="AK380" s="8" t="str">
        <f aca="false">$E380&amp;"|"&amp;TEXT($AD380,"0.000000")</f>
        <v>PV 101|0.000000</v>
      </c>
    </row>
    <row r="381" customFormat="false" ht="15" hidden="false" customHeight="false" outlineLevel="0" collapsed="false">
      <c r="B381" s="16" t="n">
        <v>46</v>
      </c>
      <c r="C381" s="17" t="n">
        <f aca="false">DATA_INICIO_SAFRA+($B381-1)*DIAS_POR_SEMANA</f>
        <v>46580</v>
      </c>
      <c r="D381" s="17" t="n">
        <f aca="false">$C381+DIAS_POR_SEMANA-1</f>
        <v>46586</v>
      </c>
      <c r="E381" s="15" t="s">
        <v>264</v>
      </c>
      <c r="F381" s="8" t="str">
        <f aca="false">IFERROR(INDEX(CADASTRO_PIVOS!$C$6:$C$41,MATCH($E381,CADASTRO_PIVOS!$B$6:$B$41,0)),"?")</f>
        <v>RM04</v>
      </c>
      <c r="G381" s="8" t="str">
        <f aca="false">IFERROR(INDEX(CADASTRO_PIVOS!$D$6:$D$41,MATCH($E381,CADASTRO_PIVOS!$B$6:$B$41,0)),"?")</f>
        <v>TR04</v>
      </c>
      <c r="H381" s="20" t="n">
        <f aca="false">IFERROR(INDEX(CADASTRO_PIVOS!$E$6:$E$41,MATCH($E381,CADASTRO_PIVOS!$B$6:$B$41,0)),0)</f>
        <v>129.16</v>
      </c>
      <c r="I381" s="16" t="n">
        <f aca="false">IFERROR(SUMIFS(ROTACAO_RDM!$B$6:$B$71,ROTACAO_RDM!$D$6:$D$71,$E381,ROTACAO_RDM!$I$6:$I$71,"&lt;="&amp;$C381+INT(DIAS_POR_SEMANA/2),ROTACAO_RDM!$J$6:$J$71,"&gt;="&amp;$C381+INT(DIAS_POR_SEMANA/2)),0)</f>
        <v>0</v>
      </c>
      <c r="J381" s="16" t="n">
        <f aca="false">IFERROR(MATCH($I381,ROTACAO_RDM!$B$6:$B$71,0),0)</f>
        <v>0</v>
      </c>
      <c r="K381" s="8" t="str">
        <f aca="false">IF($J381=0,"SEM CULTURA",INDEX(ROTACAO_RDM!$F$6:$F$71,$J381))</f>
        <v>SEM CULTURA</v>
      </c>
      <c r="L381" s="8" t="str">
        <f aca="false">IF($J381=0,"",INDEX(ROTACAO_RDM!$G$6:$G$71,$J381))</f>
        <v/>
      </c>
      <c r="M381" s="17" t="str">
        <f aca="false">IF($J381=0,"",INDEX(ROTACAO_RDM!$I$6:$I$71,$J381))</f>
        <v/>
      </c>
      <c r="N381" s="16" t="n">
        <f aca="false">IF($J381=0,0,MAX(0,$C381+INT(DIAS_POR_SEMANA/2)-INDEX(ROTACAO_RDM!$I$6:$I$71,$J381)))</f>
        <v>0</v>
      </c>
      <c r="O381" s="19" t="n">
        <f aca="false">IF($J381=0,0,MIN(1,$N381/MAX(1,INDEX(ROTACAO_RDM!$K$6:$K$71,$J381))))</f>
        <v>0</v>
      </c>
      <c r="P381" s="16" t="n">
        <f aca="false">IF($J381=0,0,IFERROR(MATCH(INDEX(ROTACAO_RDM!$N$6:$N$71,$J381),PARAMETROS_CULTURAS!$B$6:$B$28,0),0))</f>
        <v>0</v>
      </c>
      <c r="Q381" s="8" t="str">
        <f aca="false">IF($P381=0,"-",IF($O381&lt;=INDEX(PARAMETROS_CULTURAS!$F$6:$F$28,$P381),"INICIAL",IF($O381&lt;=INDEX(PARAMETROS_CULTURAS!$F$6:$F$28,$P381)+INDEX(PARAMETROS_CULTURAS!$G$6:$G$28,$P381),"DESENVOLVIMENTO",IF($O381&lt;=INDEX(PARAMETROS_CULTURAS!$F$6:$F$28,$P381)+INDEX(PARAMETROS_CULTURAS!$G$6:$G$28,$P381)+INDEX(PARAMETROS_CULTURAS!$H$6:$H$28,$P381),"MEDIA","FINAL"))))</f>
        <v>-</v>
      </c>
      <c r="R381" s="24" t="n">
        <f aca="false">IF($P381=0,0,IF($O381&lt;=INDEX(PARAMETROS_CULTURAS!$F$6:$F$28,$P381),INDEX(PARAMETROS_CULTURAS!$K$6:$K$28,$P381),IF($O381&lt;=INDEX(PARAMETROS_CULTURAS!$F$6:$F$28,$P381)+INDEX(PARAMETROS_CULTURAS!$G$6:$G$28,$P381),INDEX(PARAMETROS_CULTURAS!$K$6:$K$28,$P381)+(INDEX(PARAMETROS_CULTURAS!$L$6:$L$28,$P381)-INDEX(PARAMETROS_CULTURAS!$K$6:$K$28,$P381))*($O381-INDEX(PARAMETROS_CULTURAS!$F$6:$F$28,$P381))/MAX(INDEX(PARAMETROS_CULTURAS!$G$6:$G$28,$P381),0.0001),IF($O381&lt;=INDEX(PARAMETROS_CULTURAS!$F$6:$F$28,$P381)+INDEX(PARAMETROS_CULTURAS!$G$6:$G$28,$P381)+INDEX(PARAMETROS_CULTURAS!$H$6:$H$28,$P381),INDEX(PARAMETROS_CULTURAS!$L$6:$L$28,$P381),INDEX(PARAMETROS_CULTURAS!$L$6:$L$28,$P381)+(INDEX(PARAMETROS_CULTURAS!$M$6:$M$28,$P381)-INDEX(PARAMETROS_CULTURAS!$L$6:$L$28,$P381))*($O381-INDEX(PARAMETROS_CULTURAS!$F$6:$F$28,$P381)-INDEX(PARAMETROS_CULTURAS!$G$6:$G$28,$P381)-INDEX(PARAMETROS_CULTURAS!$H$6:$H$28,$P381))/MAX(INDEX(PARAMETROS_CULTURAS!$I$6:$I$28,$P381),0.0001)))))</f>
        <v>0</v>
      </c>
      <c r="S381" s="18" t="n">
        <f aca="false">IFERROR(INDEX(SEMANAS!$H$6:$H$71,MATCH($B381,SEMANAS!$B$6:$B$71,0)),0)</f>
        <v>30.1</v>
      </c>
      <c r="T381" s="18" t="n">
        <f aca="false">$R381*$S381</f>
        <v>0</v>
      </c>
      <c r="U381" s="18" t="n">
        <f aca="false">IFERROR(INDEX(SEMANAS!$I$6:$I$71,MATCH($B381,SEMANAS!$B$6:$B$71,0)),0)</f>
        <v>0.7</v>
      </c>
      <c r="V381" s="18" t="n">
        <f aca="false">IFERROR(INDEX(SEMANAS!$J$6:$J$71,MATCH($B381,SEMANAS!$B$6:$B$71,0)),0)</f>
        <v>0.56</v>
      </c>
      <c r="W381" s="18" t="n">
        <f aca="false">MAX(0,$T381-$V381)</f>
        <v>0</v>
      </c>
      <c r="X381" s="19" t="n">
        <f aca="false">IFERROR(INDEX(CADASTRO_PIVOS!$K$6:$K$41,MATCH($E381,CADASTRO_PIVOS!$B$6:$B$41,0)),EFICIENCIA_PADRAO)</f>
        <v>0.85</v>
      </c>
      <c r="Y381" s="18" t="n">
        <f aca="false">IF($X381&lt;=0,0,$W381/$X381)</f>
        <v>0</v>
      </c>
      <c r="Z381" s="16" t="n">
        <f aca="false">$Y381*$H381*MM_PARA_M3_HA</f>
        <v>0</v>
      </c>
      <c r="AA381" s="18" t="n">
        <f aca="false">IFERROR(INDEX(CADASTRO_PIVOS!$I$6:$I$41,MATCH($E381,CADASTRO_PIVOS!$B$6:$B$41,0)),0)</f>
        <v>922.571428571429</v>
      </c>
      <c r="AB381" s="18" t="n">
        <f aca="false">IF($Z381&lt;=0,0,$Z381/$AA381)</f>
        <v>0</v>
      </c>
      <c r="AC381" s="16" t="n">
        <f aca="false">IFERROR(INDEX(SEMANAS!$K$6:$K$71,MATCH($B381,SEMANAS!$B$6:$B$71,0)),0)</f>
        <v>147</v>
      </c>
      <c r="AD381" s="19" t="n">
        <f aca="false">IF($AC381&lt;=0,0,$AB381/$AC381)</f>
        <v>0</v>
      </c>
      <c r="AE381" s="8" t="str">
        <f aca="false">IF($K381="SEM CULTURA","SEM CULTURA",IF($AA381&lt;=0,"DADO PENDENTE",IF($AD381&gt;LIMITE_CRITICO,"INVIAVEL",IF($AD381&gt;LIMITE_ATENCAO,"CRITICO",IF($AD381&gt;LIMITE_CONFORTAVEL,"ATENCAO","OK")))))</f>
        <v>SEM CULTURA</v>
      </c>
      <c r="AF381" s="8" t="str">
        <f aca="false">$B381&amp;"|"&amp;TEXT($AD381,"0.000000")</f>
        <v>46|0.000000</v>
      </c>
      <c r="AG381" s="18" t="n">
        <f aca="false">IF($K381="SEM CULTURA",0,$T381*$H381)</f>
        <v>0</v>
      </c>
      <c r="AH381" s="18" t="n">
        <f aca="false">IF($K381="SEM CULTURA",0,$V381*$H381)</f>
        <v>0</v>
      </c>
      <c r="AI381" s="18" t="n">
        <f aca="false">IF($K381="SEM CULTURA",0,$W381*$H381)</f>
        <v>0</v>
      </c>
      <c r="AJ381" s="18" t="n">
        <f aca="false">IF($K381="SEM CULTURA",0,$S381*$H381)</f>
        <v>0</v>
      </c>
      <c r="AK381" s="8" t="str">
        <f aca="false">$E381&amp;"|"&amp;TEXT($AD381,"0.000000")</f>
        <v>PV 101|0.000000</v>
      </c>
    </row>
    <row r="382" customFormat="false" ht="15" hidden="false" customHeight="false" outlineLevel="0" collapsed="false">
      <c r="B382" s="16" t="n">
        <v>47</v>
      </c>
      <c r="C382" s="17" t="n">
        <f aca="false">DATA_INICIO_SAFRA+($B382-1)*DIAS_POR_SEMANA</f>
        <v>46587</v>
      </c>
      <c r="D382" s="17" t="n">
        <f aca="false">$C382+DIAS_POR_SEMANA-1</f>
        <v>46593</v>
      </c>
      <c r="E382" s="15" t="s">
        <v>264</v>
      </c>
      <c r="F382" s="8" t="str">
        <f aca="false">IFERROR(INDEX(CADASTRO_PIVOS!$C$6:$C$41,MATCH($E382,CADASTRO_PIVOS!$B$6:$B$41,0)),"?")</f>
        <v>RM04</v>
      </c>
      <c r="G382" s="8" t="str">
        <f aca="false">IFERROR(INDEX(CADASTRO_PIVOS!$D$6:$D$41,MATCH($E382,CADASTRO_PIVOS!$B$6:$B$41,0)),"?")</f>
        <v>TR04</v>
      </c>
      <c r="H382" s="20" t="n">
        <f aca="false">IFERROR(INDEX(CADASTRO_PIVOS!$E$6:$E$41,MATCH($E382,CADASTRO_PIVOS!$B$6:$B$41,0)),0)</f>
        <v>129.16</v>
      </c>
      <c r="I382" s="16" t="n">
        <f aca="false">IFERROR(SUMIFS(ROTACAO_RDM!$B$6:$B$71,ROTACAO_RDM!$D$6:$D$71,$E382,ROTACAO_RDM!$I$6:$I$71,"&lt;="&amp;$C382+INT(DIAS_POR_SEMANA/2),ROTACAO_RDM!$J$6:$J$71,"&gt;="&amp;$C382+INT(DIAS_POR_SEMANA/2)),0)</f>
        <v>0</v>
      </c>
      <c r="J382" s="16" t="n">
        <f aca="false">IFERROR(MATCH($I382,ROTACAO_RDM!$B$6:$B$71,0),0)</f>
        <v>0</v>
      </c>
      <c r="K382" s="8" t="str">
        <f aca="false">IF($J382=0,"SEM CULTURA",INDEX(ROTACAO_RDM!$F$6:$F$71,$J382))</f>
        <v>SEM CULTURA</v>
      </c>
      <c r="L382" s="8" t="str">
        <f aca="false">IF($J382=0,"",INDEX(ROTACAO_RDM!$G$6:$G$71,$J382))</f>
        <v/>
      </c>
      <c r="M382" s="17" t="str">
        <f aca="false">IF($J382=0,"",INDEX(ROTACAO_RDM!$I$6:$I$71,$J382))</f>
        <v/>
      </c>
      <c r="N382" s="16" t="n">
        <f aca="false">IF($J382=0,0,MAX(0,$C382+INT(DIAS_POR_SEMANA/2)-INDEX(ROTACAO_RDM!$I$6:$I$71,$J382)))</f>
        <v>0</v>
      </c>
      <c r="O382" s="19" t="n">
        <f aca="false">IF($J382=0,0,MIN(1,$N382/MAX(1,INDEX(ROTACAO_RDM!$K$6:$K$71,$J382))))</f>
        <v>0</v>
      </c>
      <c r="P382" s="16" t="n">
        <f aca="false">IF($J382=0,0,IFERROR(MATCH(INDEX(ROTACAO_RDM!$N$6:$N$71,$J382),PARAMETROS_CULTURAS!$B$6:$B$28,0),0))</f>
        <v>0</v>
      </c>
      <c r="Q382" s="8" t="str">
        <f aca="false">IF($P382=0,"-",IF($O382&lt;=INDEX(PARAMETROS_CULTURAS!$F$6:$F$28,$P382),"INICIAL",IF($O382&lt;=INDEX(PARAMETROS_CULTURAS!$F$6:$F$28,$P382)+INDEX(PARAMETROS_CULTURAS!$G$6:$G$28,$P382),"DESENVOLVIMENTO",IF($O382&lt;=INDEX(PARAMETROS_CULTURAS!$F$6:$F$28,$P382)+INDEX(PARAMETROS_CULTURAS!$G$6:$G$28,$P382)+INDEX(PARAMETROS_CULTURAS!$H$6:$H$28,$P382),"MEDIA","FINAL"))))</f>
        <v>-</v>
      </c>
      <c r="R382" s="24" t="n">
        <f aca="false">IF($P382=0,0,IF($O382&lt;=INDEX(PARAMETROS_CULTURAS!$F$6:$F$28,$P382),INDEX(PARAMETROS_CULTURAS!$K$6:$K$28,$P382),IF($O382&lt;=INDEX(PARAMETROS_CULTURAS!$F$6:$F$28,$P382)+INDEX(PARAMETROS_CULTURAS!$G$6:$G$28,$P382),INDEX(PARAMETROS_CULTURAS!$K$6:$K$28,$P382)+(INDEX(PARAMETROS_CULTURAS!$L$6:$L$28,$P382)-INDEX(PARAMETROS_CULTURAS!$K$6:$K$28,$P382))*($O382-INDEX(PARAMETROS_CULTURAS!$F$6:$F$28,$P382))/MAX(INDEX(PARAMETROS_CULTURAS!$G$6:$G$28,$P382),0.0001),IF($O382&lt;=INDEX(PARAMETROS_CULTURAS!$F$6:$F$28,$P382)+INDEX(PARAMETROS_CULTURAS!$G$6:$G$28,$P382)+INDEX(PARAMETROS_CULTURAS!$H$6:$H$28,$P382),INDEX(PARAMETROS_CULTURAS!$L$6:$L$28,$P382),INDEX(PARAMETROS_CULTURAS!$L$6:$L$28,$P382)+(INDEX(PARAMETROS_CULTURAS!$M$6:$M$28,$P382)-INDEX(PARAMETROS_CULTURAS!$L$6:$L$28,$P382))*($O382-INDEX(PARAMETROS_CULTURAS!$F$6:$F$28,$P382)-INDEX(PARAMETROS_CULTURAS!$G$6:$G$28,$P382)-INDEX(PARAMETROS_CULTURAS!$H$6:$H$28,$P382))/MAX(INDEX(PARAMETROS_CULTURAS!$I$6:$I$28,$P382),0.0001)))))</f>
        <v>0</v>
      </c>
      <c r="S382" s="18" t="n">
        <f aca="false">IFERROR(INDEX(SEMANAS!$H$6:$H$71,MATCH($B382,SEMANAS!$B$6:$B$71,0)),0)</f>
        <v>30.1</v>
      </c>
      <c r="T382" s="18" t="n">
        <f aca="false">$R382*$S382</f>
        <v>0</v>
      </c>
      <c r="U382" s="18" t="n">
        <f aca="false">IFERROR(INDEX(SEMANAS!$I$6:$I$71,MATCH($B382,SEMANAS!$B$6:$B$71,0)),0)</f>
        <v>0.7</v>
      </c>
      <c r="V382" s="18" t="n">
        <f aca="false">IFERROR(INDEX(SEMANAS!$J$6:$J$71,MATCH($B382,SEMANAS!$B$6:$B$71,0)),0)</f>
        <v>0.56</v>
      </c>
      <c r="W382" s="18" t="n">
        <f aca="false">MAX(0,$T382-$V382)</f>
        <v>0</v>
      </c>
      <c r="X382" s="19" t="n">
        <f aca="false">IFERROR(INDEX(CADASTRO_PIVOS!$K$6:$K$41,MATCH($E382,CADASTRO_PIVOS!$B$6:$B$41,0)),EFICIENCIA_PADRAO)</f>
        <v>0.85</v>
      </c>
      <c r="Y382" s="18" t="n">
        <f aca="false">IF($X382&lt;=0,0,$W382/$X382)</f>
        <v>0</v>
      </c>
      <c r="Z382" s="16" t="n">
        <f aca="false">$Y382*$H382*MM_PARA_M3_HA</f>
        <v>0</v>
      </c>
      <c r="AA382" s="18" t="n">
        <f aca="false">IFERROR(INDEX(CADASTRO_PIVOS!$I$6:$I$41,MATCH($E382,CADASTRO_PIVOS!$B$6:$B$41,0)),0)</f>
        <v>922.571428571429</v>
      </c>
      <c r="AB382" s="18" t="n">
        <f aca="false">IF($Z382&lt;=0,0,$Z382/$AA382)</f>
        <v>0</v>
      </c>
      <c r="AC382" s="16" t="n">
        <f aca="false">IFERROR(INDEX(SEMANAS!$K$6:$K$71,MATCH($B382,SEMANAS!$B$6:$B$71,0)),0)</f>
        <v>147</v>
      </c>
      <c r="AD382" s="19" t="n">
        <f aca="false">IF($AC382&lt;=0,0,$AB382/$AC382)</f>
        <v>0</v>
      </c>
      <c r="AE382" s="8" t="str">
        <f aca="false">IF($K382="SEM CULTURA","SEM CULTURA",IF($AA382&lt;=0,"DADO PENDENTE",IF($AD382&gt;LIMITE_CRITICO,"INVIAVEL",IF($AD382&gt;LIMITE_ATENCAO,"CRITICO",IF($AD382&gt;LIMITE_CONFORTAVEL,"ATENCAO","OK")))))</f>
        <v>SEM CULTURA</v>
      </c>
      <c r="AF382" s="8" t="str">
        <f aca="false">$B382&amp;"|"&amp;TEXT($AD382,"0.000000")</f>
        <v>47|0.000000</v>
      </c>
      <c r="AG382" s="18" t="n">
        <f aca="false">IF($K382="SEM CULTURA",0,$T382*$H382)</f>
        <v>0</v>
      </c>
      <c r="AH382" s="18" t="n">
        <f aca="false">IF($K382="SEM CULTURA",0,$V382*$H382)</f>
        <v>0</v>
      </c>
      <c r="AI382" s="18" t="n">
        <f aca="false">IF($K382="SEM CULTURA",0,$W382*$H382)</f>
        <v>0</v>
      </c>
      <c r="AJ382" s="18" t="n">
        <f aca="false">IF($K382="SEM CULTURA",0,$S382*$H382)</f>
        <v>0</v>
      </c>
      <c r="AK382" s="8" t="str">
        <f aca="false">$E382&amp;"|"&amp;TEXT($AD382,"0.000000")</f>
        <v>PV 101|0.000000</v>
      </c>
    </row>
    <row r="383" customFormat="false" ht="15" hidden="false" customHeight="false" outlineLevel="0" collapsed="false">
      <c r="B383" s="16" t="n">
        <v>48</v>
      </c>
      <c r="C383" s="17" t="n">
        <f aca="false">DATA_INICIO_SAFRA+($B383-1)*DIAS_POR_SEMANA</f>
        <v>46594</v>
      </c>
      <c r="D383" s="17" t="n">
        <f aca="false">$C383+DIAS_POR_SEMANA-1</f>
        <v>46600</v>
      </c>
      <c r="E383" s="15" t="s">
        <v>264</v>
      </c>
      <c r="F383" s="8" t="str">
        <f aca="false">IFERROR(INDEX(CADASTRO_PIVOS!$C$6:$C$41,MATCH($E383,CADASTRO_PIVOS!$B$6:$B$41,0)),"?")</f>
        <v>RM04</v>
      </c>
      <c r="G383" s="8" t="str">
        <f aca="false">IFERROR(INDEX(CADASTRO_PIVOS!$D$6:$D$41,MATCH($E383,CADASTRO_PIVOS!$B$6:$B$41,0)),"?")</f>
        <v>TR04</v>
      </c>
      <c r="H383" s="20" t="n">
        <f aca="false">IFERROR(INDEX(CADASTRO_PIVOS!$E$6:$E$41,MATCH($E383,CADASTRO_PIVOS!$B$6:$B$41,0)),0)</f>
        <v>129.16</v>
      </c>
      <c r="I383" s="16" t="n">
        <f aca="false">IFERROR(SUMIFS(ROTACAO_RDM!$B$6:$B$71,ROTACAO_RDM!$D$6:$D$71,$E383,ROTACAO_RDM!$I$6:$I$71,"&lt;="&amp;$C383+INT(DIAS_POR_SEMANA/2),ROTACAO_RDM!$J$6:$J$71,"&gt;="&amp;$C383+INT(DIAS_POR_SEMANA/2)),0)</f>
        <v>0</v>
      </c>
      <c r="J383" s="16" t="n">
        <f aca="false">IFERROR(MATCH($I383,ROTACAO_RDM!$B$6:$B$71,0),0)</f>
        <v>0</v>
      </c>
      <c r="K383" s="8" t="str">
        <f aca="false">IF($J383=0,"SEM CULTURA",INDEX(ROTACAO_RDM!$F$6:$F$71,$J383))</f>
        <v>SEM CULTURA</v>
      </c>
      <c r="L383" s="8" t="str">
        <f aca="false">IF($J383=0,"",INDEX(ROTACAO_RDM!$G$6:$G$71,$J383))</f>
        <v/>
      </c>
      <c r="M383" s="17" t="str">
        <f aca="false">IF($J383=0,"",INDEX(ROTACAO_RDM!$I$6:$I$71,$J383))</f>
        <v/>
      </c>
      <c r="N383" s="16" t="n">
        <f aca="false">IF($J383=0,0,MAX(0,$C383+INT(DIAS_POR_SEMANA/2)-INDEX(ROTACAO_RDM!$I$6:$I$71,$J383)))</f>
        <v>0</v>
      </c>
      <c r="O383" s="19" t="n">
        <f aca="false">IF($J383=0,0,MIN(1,$N383/MAX(1,INDEX(ROTACAO_RDM!$K$6:$K$71,$J383))))</f>
        <v>0</v>
      </c>
      <c r="P383" s="16" t="n">
        <f aca="false">IF($J383=0,0,IFERROR(MATCH(INDEX(ROTACAO_RDM!$N$6:$N$71,$J383),PARAMETROS_CULTURAS!$B$6:$B$28,0),0))</f>
        <v>0</v>
      </c>
      <c r="Q383" s="8" t="str">
        <f aca="false">IF($P383=0,"-",IF($O383&lt;=INDEX(PARAMETROS_CULTURAS!$F$6:$F$28,$P383),"INICIAL",IF($O383&lt;=INDEX(PARAMETROS_CULTURAS!$F$6:$F$28,$P383)+INDEX(PARAMETROS_CULTURAS!$G$6:$G$28,$P383),"DESENVOLVIMENTO",IF($O383&lt;=INDEX(PARAMETROS_CULTURAS!$F$6:$F$28,$P383)+INDEX(PARAMETROS_CULTURAS!$G$6:$G$28,$P383)+INDEX(PARAMETROS_CULTURAS!$H$6:$H$28,$P383),"MEDIA","FINAL"))))</f>
        <v>-</v>
      </c>
      <c r="R383" s="24" t="n">
        <f aca="false">IF($P383=0,0,IF($O383&lt;=INDEX(PARAMETROS_CULTURAS!$F$6:$F$28,$P383),INDEX(PARAMETROS_CULTURAS!$K$6:$K$28,$P383),IF($O383&lt;=INDEX(PARAMETROS_CULTURAS!$F$6:$F$28,$P383)+INDEX(PARAMETROS_CULTURAS!$G$6:$G$28,$P383),INDEX(PARAMETROS_CULTURAS!$K$6:$K$28,$P383)+(INDEX(PARAMETROS_CULTURAS!$L$6:$L$28,$P383)-INDEX(PARAMETROS_CULTURAS!$K$6:$K$28,$P383))*($O383-INDEX(PARAMETROS_CULTURAS!$F$6:$F$28,$P383))/MAX(INDEX(PARAMETROS_CULTURAS!$G$6:$G$28,$P383),0.0001),IF($O383&lt;=INDEX(PARAMETROS_CULTURAS!$F$6:$F$28,$P383)+INDEX(PARAMETROS_CULTURAS!$G$6:$G$28,$P383)+INDEX(PARAMETROS_CULTURAS!$H$6:$H$28,$P383),INDEX(PARAMETROS_CULTURAS!$L$6:$L$28,$P383),INDEX(PARAMETROS_CULTURAS!$L$6:$L$28,$P383)+(INDEX(PARAMETROS_CULTURAS!$M$6:$M$28,$P383)-INDEX(PARAMETROS_CULTURAS!$L$6:$L$28,$P383))*($O383-INDEX(PARAMETROS_CULTURAS!$F$6:$F$28,$P383)-INDEX(PARAMETROS_CULTURAS!$G$6:$G$28,$P383)-INDEX(PARAMETROS_CULTURAS!$H$6:$H$28,$P383))/MAX(INDEX(PARAMETROS_CULTURAS!$I$6:$I$28,$P383),0.0001)))))</f>
        <v>0</v>
      </c>
      <c r="S383" s="18" t="n">
        <f aca="false">IFERROR(INDEX(SEMANAS!$H$6:$H$71,MATCH($B383,SEMANAS!$B$6:$B$71,0)),0)</f>
        <v>31</v>
      </c>
      <c r="T383" s="18" t="n">
        <f aca="false">$R383*$S383</f>
        <v>0</v>
      </c>
      <c r="U383" s="18" t="n">
        <f aca="false">IFERROR(INDEX(SEMANAS!$I$6:$I$71,MATCH($B383,SEMANAS!$B$6:$B$71,0)),0)</f>
        <v>0.76</v>
      </c>
      <c r="V383" s="18" t="n">
        <f aca="false">IFERROR(INDEX(SEMANAS!$J$6:$J$71,MATCH($B383,SEMANAS!$B$6:$B$71,0)),0)</f>
        <v>0.608</v>
      </c>
      <c r="W383" s="18" t="n">
        <f aca="false">MAX(0,$T383-$V383)</f>
        <v>0</v>
      </c>
      <c r="X383" s="19" t="n">
        <f aca="false">IFERROR(INDEX(CADASTRO_PIVOS!$K$6:$K$41,MATCH($E383,CADASTRO_PIVOS!$B$6:$B$41,0)),EFICIENCIA_PADRAO)</f>
        <v>0.85</v>
      </c>
      <c r="Y383" s="18" t="n">
        <f aca="false">IF($X383&lt;=0,0,$W383/$X383)</f>
        <v>0</v>
      </c>
      <c r="Z383" s="16" t="n">
        <f aca="false">$Y383*$H383*MM_PARA_M3_HA</f>
        <v>0</v>
      </c>
      <c r="AA383" s="18" t="n">
        <f aca="false">IFERROR(INDEX(CADASTRO_PIVOS!$I$6:$I$41,MATCH($E383,CADASTRO_PIVOS!$B$6:$B$41,0)),0)</f>
        <v>922.571428571429</v>
      </c>
      <c r="AB383" s="18" t="n">
        <f aca="false">IF($Z383&lt;=0,0,$Z383/$AA383)</f>
        <v>0</v>
      </c>
      <c r="AC383" s="16" t="n">
        <f aca="false">IFERROR(INDEX(SEMANAS!$K$6:$K$71,MATCH($B383,SEMANAS!$B$6:$B$71,0)),0)</f>
        <v>147</v>
      </c>
      <c r="AD383" s="19" t="n">
        <f aca="false">IF($AC383&lt;=0,0,$AB383/$AC383)</f>
        <v>0</v>
      </c>
      <c r="AE383" s="8" t="str">
        <f aca="false">IF($K383="SEM CULTURA","SEM CULTURA",IF($AA383&lt;=0,"DADO PENDENTE",IF($AD383&gt;LIMITE_CRITICO,"INVIAVEL",IF($AD383&gt;LIMITE_ATENCAO,"CRITICO",IF($AD383&gt;LIMITE_CONFORTAVEL,"ATENCAO","OK")))))</f>
        <v>SEM CULTURA</v>
      </c>
      <c r="AF383" s="8" t="str">
        <f aca="false">$B383&amp;"|"&amp;TEXT($AD383,"0.000000")</f>
        <v>48|0.000000</v>
      </c>
      <c r="AG383" s="18" t="n">
        <f aca="false">IF($K383="SEM CULTURA",0,$T383*$H383)</f>
        <v>0</v>
      </c>
      <c r="AH383" s="18" t="n">
        <f aca="false">IF($K383="SEM CULTURA",0,$V383*$H383)</f>
        <v>0</v>
      </c>
      <c r="AI383" s="18" t="n">
        <f aca="false">IF($K383="SEM CULTURA",0,$W383*$H383)</f>
        <v>0</v>
      </c>
      <c r="AJ383" s="18" t="n">
        <f aca="false">IF($K383="SEM CULTURA",0,$S383*$H383)</f>
        <v>0</v>
      </c>
      <c r="AK383" s="8" t="str">
        <f aca="false">$E383&amp;"|"&amp;TEXT($AD383,"0.000000")</f>
        <v>PV 101|0.000000</v>
      </c>
    </row>
    <row r="384" customFormat="false" ht="15" hidden="false" customHeight="false" outlineLevel="0" collapsed="false">
      <c r="B384" s="16" t="n">
        <v>49</v>
      </c>
      <c r="C384" s="17" t="n">
        <f aca="false">DATA_INICIO_SAFRA+($B384-1)*DIAS_POR_SEMANA</f>
        <v>46601</v>
      </c>
      <c r="D384" s="17" t="n">
        <f aca="false">$C384+DIAS_POR_SEMANA-1</f>
        <v>46607</v>
      </c>
      <c r="E384" s="15" t="s">
        <v>264</v>
      </c>
      <c r="F384" s="8" t="str">
        <f aca="false">IFERROR(INDEX(CADASTRO_PIVOS!$C$6:$C$41,MATCH($E384,CADASTRO_PIVOS!$B$6:$B$41,0)),"?")</f>
        <v>RM04</v>
      </c>
      <c r="G384" s="8" t="str">
        <f aca="false">IFERROR(INDEX(CADASTRO_PIVOS!$D$6:$D$41,MATCH($E384,CADASTRO_PIVOS!$B$6:$B$41,0)),"?")</f>
        <v>TR04</v>
      </c>
      <c r="H384" s="20" t="n">
        <f aca="false">IFERROR(INDEX(CADASTRO_PIVOS!$E$6:$E$41,MATCH($E384,CADASTRO_PIVOS!$B$6:$B$41,0)),0)</f>
        <v>129.16</v>
      </c>
      <c r="I384" s="16" t="n">
        <f aca="false">IFERROR(SUMIFS(ROTACAO_RDM!$B$6:$B$71,ROTACAO_RDM!$D$6:$D$71,$E384,ROTACAO_RDM!$I$6:$I$71,"&lt;="&amp;$C384+INT(DIAS_POR_SEMANA/2),ROTACAO_RDM!$J$6:$J$71,"&gt;="&amp;$C384+INT(DIAS_POR_SEMANA/2)),0)</f>
        <v>0</v>
      </c>
      <c r="J384" s="16" t="n">
        <f aca="false">IFERROR(MATCH($I384,ROTACAO_RDM!$B$6:$B$71,0),0)</f>
        <v>0</v>
      </c>
      <c r="K384" s="8" t="str">
        <f aca="false">IF($J384=0,"SEM CULTURA",INDEX(ROTACAO_RDM!$F$6:$F$71,$J384))</f>
        <v>SEM CULTURA</v>
      </c>
      <c r="L384" s="8" t="str">
        <f aca="false">IF($J384=0,"",INDEX(ROTACAO_RDM!$G$6:$G$71,$J384))</f>
        <v/>
      </c>
      <c r="M384" s="17" t="str">
        <f aca="false">IF($J384=0,"",INDEX(ROTACAO_RDM!$I$6:$I$71,$J384))</f>
        <v/>
      </c>
      <c r="N384" s="16" t="n">
        <f aca="false">IF($J384=0,0,MAX(0,$C384+INT(DIAS_POR_SEMANA/2)-INDEX(ROTACAO_RDM!$I$6:$I$71,$J384)))</f>
        <v>0</v>
      </c>
      <c r="O384" s="19" t="n">
        <f aca="false">IF($J384=0,0,MIN(1,$N384/MAX(1,INDEX(ROTACAO_RDM!$K$6:$K$71,$J384))))</f>
        <v>0</v>
      </c>
      <c r="P384" s="16" t="n">
        <f aca="false">IF($J384=0,0,IFERROR(MATCH(INDEX(ROTACAO_RDM!$N$6:$N$71,$J384),PARAMETROS_CULTURAS!$B$6:$B$28,0),0))</f>
        <v>0</v>
      </c>
      <c r="Q384" s="8" t="str">
        <f aca="false">IF($P384=0,"-",IF($O384&lt;=INDEX(PARAMETROS_CULTURAS!$F$6:$F$28,$P384),"INICIAL",IF($O384&lt;=INDEX(PARAMETROS_CULTURAS!$F$6:$F$28,$P384)+INDEX(PARAMETROS_CULTURAS!$G$6:$G$28,$P384),"DESENVOLVIMENTO",IF($O384&lt;=INDEX(PARAMETROS_CULTURAS!$F$6:$F$28,$P384)+INDEX(PARAMETROS_CULTURAS!$G$6:$G$28,$P384)+INDEX(PARAMETROS_CULTURAS!$H$6:$H$28,$P384),"MEDIA","FINAL"))))</f>
        <v>-</v>
      </c>
      <c r="R384" s="24" t="n">
        <f aca="false">IF($P384=0,0,IF($O384&lt;=INDEX(PARAMETROS_CULTURAS!$F$6:$F$28,$P384),INDEX(PARAMETROS_CULTURAS!$K$6:$K$28,$P384),IF($O384&lt;=INDEX(PARAMETROS_CULTURAS!$F$6:$F$28,$P384)+INDEX(PARAMETROS_CULTURAS!$G$6:$G$28,$P384),INDEX(PARAMETROS_CULTURAS!$K$6:$K$28,$P384)+(INDEX(PARAMETROS_CULTURAS!$L$6:$L$28,$P384)-INDEX(PARAMETROS_CULTURAS!$K$6:$K$28,$P384))*($O384-INDEX(PARAMETROS_CULTURAS!$F$6:$F$28,$P384))/MAX(INDEX(PARAMETROS_CULTURAS!$G$6:$G$28,$P384),0.0001),IF($O384&lt;=INDEX(PARAMETROS_CULTURAS!$F$6:$F$28,$P384)+INDEX(PARAMETROS_CULTURAS!$G$6:$G$28,$P384)+INDEX(PARAMETROS_CULTURAS!$H$6:$H$28,$P384),INDEX(PARAMETROS_CULTURAS!$L$6:$L$28,$P384),INDEX(PARAMETROS_CULTURAS!$L$6:$L$28,$P384)+(INDEX(PARAMETROS_CULTURAS!$M$6:$M$28,$P384)-INDEX(PARAMETROS_CULTURAS!$L$6:$L$28,$P384))*($O384-INDEX(PARAMETROS_CULTURAS!$F$6:$F$28,$P384)-INDEX(PARAMETROS_CULTURAS!$G$6:$G$28,$P384)-INDEX(PARAMETROS_CULTURAS!$H$6:$H$28,$P384))/MAX(INDEX(PARAMETROS_CULTURAS!$I$6:$I$28,$P384),0.0001)))))</f>
        <v>0</v>
      </c>
      <c r="S384" s="18" t="n">
        <f aca="false">IFERROR(INDEX(SEMANAS!$H$6:$H$71,MATCH($B384,SEMANAS!$B$6:$B$71,0)),0)</f>
        <v>36.4</v>
      </c>
      <c r="T384" s="18" t="n">
        <f aca="false">$R384*$S384</f>
        <v>0</v>
      </c>
      <c r="U384" s="18" t="n">
        <f aca="false">IFERROR(INDEX(SEMANAS!$I$6:$I$71,MATCH($B384,SEMANAS!$B$6:$B$71,0)),0)</f>
        <v>1.12</v>
      </c>
      <c r="V384" s="18" t="n">
        <f aca="false">IFERROR(INDEX(SEMANAS!$J$6:$J$71,MATCH($B384,SEMANAS!$B$6:$B$71,0)),0)</f>
        <v>0.896</v>
      </c>
      <c r="W384" s="18" t="n">
        <f aca="false">MAX(0,$T384-$V384)</f>
        <v>0</v>
      </c>
      <c r="X384" s="19" t="n">
        <f aca="false">IFERROR(INDEX(CADASTRO_PIVOS!$K$6:$K$41,MATCH($E384,CADASTRO_PIVOS!$B$6:$B$41,0)),EFICIENCIA_PADRAO)</f>
        <v>0.85</v>
      </c>
      <c r="Y384" s="18" t="n">
        <f aca="false">IF($X384&lt;=0,0,$W384/$X384)</f>
        <v>0</v>
      </c>
      <c r="Z384" s="16" t="n">
        <f aca="false">$Y384*$H384*MM_PARA_M3_HA</f>
        <v>0</v>
      </c>
      <c r="AA384" s="18" t="n">
        <f aca="false">IFERROR(INDEX(CADASTRO_PIVOS!$I$6:$I$41,MATCH($E384,CADASTRO_PIVOS!$B$6:$B$41,0)),0)</f>
        <v>922.571428571429</v>
      </c>
      <c r="AB384" s="18" t="n">
        <f aca="false">IF($Z384&lt;=0,0,$Z384/$AA384)</f>
        <v>0</v>
      </c>
      <c r="AC384" s="16" t="n">
        <f aca="false">IFERROR(INDEX(SEMANAS!$K$6:$K$71,MATCH($B384,SEMANAS!$B$6:$B$71,0)),0)</f>
        <v>147</v>
      </c>
      <c r="AD384" s="19" t="n">
        <f aca="false">IF($AC384&lt;=0,0,$AB384/$AC384)</f>
        <v>0</v>
      </c>
      <c r="AE384" s="8" t="str">
        <f aca="false">IF($K384="SEM CULTURA","SEM CULTURA",IF($AA384&lt;=0,"DADO PENDENTE",IF($AD384&gt;LIMITE_CRITICO,"INVIAVEL",IF($AD384&gt;LIMITE_ATENCAO,"CRITICO",IF($AD384&gt;LIMITE_CONFORTAVEL,"ATENCAO","OK")))))</f>
        <v>SEM CULTURA</v>
      </c>
      <c r="AF384" s="8" t="str">
        <f aca="false">$B384&amp;"|"&amp;TEXT($AD384,"0.000000")</f>
        <v>49|0.000000</v>
      </c>
      <c r="AG384" s="18" t="n">
        <f aca="false">IF($K384="SEM CULTURA",0,$T384*$H384)</f>
        <v>0</v>
      </c>
      <c r="AH384" s="18" t="n">
        <f aca="false">IF($K384="SEM CULTURA",0,$V384*$H384)</f>
        <v>0</v>
      </c>
      <c r="AI384" s="18" t="n">
        <f aca="false">IF($K384="SEM CULTURA",0,$W384*$H384)</f>
        <v>0</v>
      </c>
      <c r="AJ384" s="18" t="n">
        <f aca="false">IF($K384="SEM CULTURA",0,$S384*$H384)</f>
        <v>0</v>
      </c>
      <c r="AK384" s="8" t="str">
        <f aca="false">$E384&amp;"|"&amp;TEXT($AD384,"0.000000")</f>
        <v>PV 101|0.000000</v>
      </c>
    </row>
    <row r="385" customFormat="false" ht="15" hidden="false" customHeight="false" outlineLevel="0" collapsed="false">
      <c r="B385" s="16" t="n">
        <v>50</v>
      </c>
      <c r="C385" s="17" t="n">
        <f aca="false">DATA_INICIO_SAFRA+($B385-1)*DIAS_POR_SEMANA</f>
        <v>46608</v>
      </c>
      <c r="D385" s="17" t="n">
        <f aca="false">$C385+DIAS_POR_SEMANA-1</f>
        <v>46614</v>
      </c>
      <c r="E385" s="15" t="s">
        <v>264</v>
      </c>
      <c r="F385" s="8" t="str">
        <f aca="false">IFERROR(INDEX(CADASTRO_PIVOS!$C$6:$C$41,MATCH($E385,CADASTRO_PIVOS!$B$6:$B$41,0)),"?")</f>
        <v>RM04</v>
      </c>
      <c r="G385" s="8" t="str">
        <f aca="false">IFERROR(INDEX(CADASTRO_PIVOS!$D$6:$D$41,MATCH($E385,CADASTRO_PIVOS!$B$6:$B$41,0)),"?")</f>
        <v>TR04</v>
      </c>
      <c r="H385" s="20" t="n">
        <f aca="false">IFERROR(INDEX(CADASTRO_PIVOS!$E$6:$E$41,MATCH($E385,CADASTRO_PIVOS!$B$6:$B$41,0)),0)</f>
        <v>129.16</v>
      </c>
      <c r="I385" s="16" t="n">
        <f aca="false">IFERROR(SUMIFS(ROTACAO_RDM!$B$6:$B$71,ROTACAO_RDM!$D$6:$D$71,$E385,ROTACAO_RDM!$I$6:$I$71,"&lt;="&amp;$C385+INT(DIAS_POR_SEMANA/2),ROTACAO_RDM!$J$6:$J$71,"&gt;="&amp;$C385+INT(DIAS_POR_SEMANA/2)),0)</f>
        <v>0</v>
      </c>
      <c r="J385" s="16" t="n">
        <f aca="false">IFERROR(MATCH($I385,ROTACAO_RDM!$B$6:$B$71,0),0)</f>
        <v>0</v>
      </c>
      <c r="K385" s="8" t="str">
        <f aca="false">IF($J385=0,"SEM CULTURA",INDEX(ROTACAO_RDM!$F$6:$F$71,$J385))</f>
        <v>SEM CULTURA</v>
      </c>
      <c r="L385" s="8" t="str">
        <f aca="false">IF($J385=0,"",INDEX(ROTACAO_RDM!$G$6:$G$71,$J385))</f>
        <v/>
      </c>
      <c r="M385" s="17" t="str">
        <f aca="false">IF($J385=0,"",INDEX(ROTACAO_RDM!$I$6:$I$71,$J385))</f>
        <v/>
      </c>
      <c r="N385" s="16" t="n">
        <f aca="false">IF($J385=0,0,MAX(0,$C385+INT(DIAS_POR_SEMANA/2)-INDEX(ROTACAO_RDM!$I$6:$I$71,$J385)))</f>
        <v>0</v>
      </c>
      <c r="O385" s="19" t="n">
        <f aca="false">IF($J385=0,0,MIN(1,$N385/MAX(1,INDEX(ROTACAO_RDM!$K$6:$K$71,$J385))))</f>
        <v>0</v>
      </c>
      <c r="P385" s="16" t="n">
        <f aca="false">IF($J385=0,0,IFERROR(MATCH(INDEX(ROTACAO_RDM!$N$6:$N$71,$J385),PARAMETROS_CULTURAS!$B$6:$B$28,0),0))</f>
        <v>0</v>
      </c>
      <c r="Q385" s="8" t="str">
        <f aca="false">IF($P385=0,"-",IF($O385&lt;=INDEX(PARAMETROS_CULTURAS!$F$6:$F$28,$P385),"INICIAL",IF($O385&lt;=INDEX(PARAMETROS_CULTURAS!$F$6:$F$28,$P385)+INDEX(PARAMETROS_CULTURAS!$G$6:$G$28,$P385),"DESENVOLVIMENTO",IF($O385&lt;=INDEX(PARAMETROS_CULTURAS!$F$6:$F$28,$P385)+INDEX(PARAMETROS_CULTURAS!$G$6:$G$28,$P385)+INDEX(PARAMETROS_CULTURAS!$H$6:$H$28,$P385),"MEDIA","FINAL"))))</f>
        <v>-</v>
      </c>
      <c r="R385" s="24" t="n">
        <f aca="false">IF($P385=0,0,IF($O385&lt;=INDEX(PARAMETROS_CULTURAS!$F$6:$F$28,$P385),INDEX(PARAMETROS_CULTURAS!$K$6:$K$28,$P385),IF($O385&lt;=INDEX(PARAMETROS_CULTURAS!$F$6:$F$28,$P385)+INDEX(PARAMETROS_CULTURAS!$G$6:$G$28,$P385),INDEX(PARAMETROS_CULTURAS!$K$6:$K$28,$P385)+(INDEX(PARAMETROS_CULTURAS!$L$6:$L$28,$P385)-INDEX(PARAMETROS_CULTURAS!$K$6:$K$28,$P385))*($O385-INDEX(PARAMETROS_CULTURAS!$F$6:$F$28,$P385))/MAX(INDEX(PARAMETROS_CULTURAS!$G$6:$G$28,$P385),0.0001),IF($O385&lt;=INDEX(PARAMETROS_CULTURAS!$F$6:$F$28,$P385)+INDEX(PARAMETROS_CULTURAS!$G$6:$G$28,$P385)+INDEX(PARAMETROS_CULTURAS!$H$6:$H$28,$P385),INDEX(PARAMETROS_CULTURAS!$L$6:$L$28,$P385),INDEX(PARAMETROS_CULTURAS!$L$6:$L$28,$P385)+(INDEX(PARAMETROS_CULTURAS!$M$6:$M$28,$P385)-INDEX(PARAMETROS_CULTURAS!$L$6:$L$28,$P385))*($O385-INDEX(PARAMETROS_CULTURAS!$F$6:$F$28,$P385)-INDEX(PARAMETROS_CULTURAS!$G$6:$G$28,$P385)-INDEX(PARAMETROS_CULTURAS!$H$6:$H$28,$P385))/MAX(INDEX(PARAMETROS_CULTURAS!$I$6:$I$28,$P385),0.0001)))))</f>
        <v>0</v>
      </c>
      <c r="S385" s="18" t="n">
        <f aca="false">IFERROR(INDEX(SEMANAS!$H$6:$H$71,MATCH($B385,SEMANAS!$B$6:$B$71,0)),0)</f>
        <v>36.4</v>
      </c>
      <c r="T385" s="18" t="n">
        <f aca="false">$R385*$S385</f>
        <v>0</v>
      </c>
      <c r="U385" s="18" t="n">
        <f aca="false">IFERROR(INDEX(SEMANAS!$I$6:$I$71,MATCH($B385,SEMANAS!$B$6:$B$71,0)),0)</f>
        <v>1.12</v>
      </c>
      <c r="V385" s="18" t="n">
        <f aca="false">IFERROR(INDEX(SEMANAS!$J$6:$J$71,MATCH($B385,SEMANAS!$B$6:$B$71,0)),0)</f>
        <v>0.896</v>
      </c>
      <c r="W385" s="18" t="n">
        <f aca="false">MAX(0,$T385-$V385)</f>
        <v>0</v>
      </c>
      <c r="X385" s="19" t="n">
        <f aca="false">IFERROR(INDEX(CADASTRO_PIVOS!$K$6:$K$41,MATCH($E385,CADASTRO_PIVOS!$B$6:$B$41,0)),EFICIENCIA_PADRAO)</f>
        <v>0.85</v>
      </c>
      <c r="Y385" s="18" t="n">
        <f aca="false">IF($X385&lt;=0,0,$W385/$X385)</f>
        <v>0</v>
      </c>
      <c r="Z385" s="16" t="n">
        <f aca="false">$Y385*$H385*MM_PARA_M3_HA</f>
        <v>0</v>
      </c>
      <c r="AA385" s="18" t="n">
        <f aca="false">IFERROR(INDEX(CADASTRO_PIVOS!$I$6:$I$41,MATCH($E385,CADASTRO_PIVOS!$B$6:$B$41,0)),0)</f>
        <v>922.571428571429</v>
      </c>
      <c r="AB385" s="18" t="n">
        <f aca="false">IF($Z385&lt;=0,0,$Z385/$AA385)</f>
        <v>0</v>
      </c>
      <c r="AC385" s="16" t="n">
        <f aca="false">IFERROR(INDEX(SEMANAS!$K$6:$K$71,MATCH($B385,SEMANAS!$B$6:$B$71,0)),0)</f>
        <v>147</v>
      </c>
      <c r="AD385" s="19" t="n">
        <f aca="false">IF($AC385&lt;=0,0,$AB385/$AC385)</f>
        <v>0</v>
      </c>
      <c r="AE385" s="8" t="str">
        <f aca="false">IF($K385="SEM CULTURA","SEM CULTURA",IF($AA385&lt;=0,"DADO PENDENTE",IF($AD385&gt;LIMITE_CRITICO,"INVIAVEL",IF($AD385&gt;LIMITE_ATENCAO,"CRITICO",IF($AD385&gt;LIMITE_CONFORTAVEL,"ATENCAO","OK")))))</f>
        <v>SEM CULTURA</v>
      </c>
      <c r="AF385" s="8" t="str">
        <f aca="false">$B385&amp;"|"&amp;TEXT($AD385,"0.000000")</f>
        <v>50|0.000000</v>
      </c>
      <c r="AG385" s="18" t="n">
        <f aca="false">IF($K385="SEM CULTURA",0,$T385*$H385)</f>
        <v>0</v>
      </c>
      <c r="AH385" s="18" t="n">
        <f aca="false">IF($K385="SEM CULTURA",0,$V385*$H385)</f>
        <v>0</v>
      </c>
      <c r="AI385" s="18" t="n">
        <f aca="false">IF($K385="SEM CULTURA",0,$W385*$H385)</f>
        <v>0</v>
      </c>
      <c r="AJ385" s="18" t="n">
        <f aca="false">IF($K385="SEM CULTURA",0,$S385*$H385)</f>
        <v>0</v>
      </c>
      <c r="AK385" s="8" t="str">
        <f aca="false">$E385&amp;"|"&amp;TEXT($AD385,"0.000000")</f>
        <v>PV 101|0.000000</v>
      </c>
    </row>
    <row r="386" customFormat="false" ht="15" hidden="false" customHeight="false" outlineLevel="0" collapsed="false">
      <c r="B386" s="16" t="n">
        <v>51</v>
      </c>
      <c r="C386" s="17" t="n">
        <f aca="false">DATA_INICIO_SAFRA+($B386-1)*DIAS_POR_SEMANA</f>
        <v>46615</v>
      </c>
      <c r="D386" s="17" t="n">
        <f aca="false">$C386+DIAS_POR_SEMANA-1</f>
        <v>46621</v>
      </c>
      <c r="E386" s="15" t="s">
        <v>264</v>
      </c>
      <c r="F386" s="8" t="str">
        <f aca="false">IFERROR(INDEX(CADASTRO_PIVOS!$C$6:$C$41,MATCH($E386,CADASTRO_PIVOS!$B$6:$B$41,0)),"?")</f>
        <v>RM04</v>
      </c>
      <c r="G386" s="8" t="str">
        <f aca="false">IFERROR(INDEX(CADASTRO_PIVOS!$D$6:$D$41,MATCH($E386,CADASTRO_PIVOS!$B$6:$B$41,0)),"?")</f>
        <v>TR04</v>
      </c>
      <c r="H386" s="20" t="n">
        <f aca="false">IFERROR(INDEX(CADASTRO_PIVOS!$E$6:$E$41,MATCH($E386,CADASTRO_PIVOS!$B$6:$B$41,0)),0)</f>
        <v>129.16</v>
      </c>
      <c r="I386" s="16" t="n">
        <f aca="false">IFERROR(SUMIFS(ROTACAO_RDM!$B$6:$B$71,ROTACAO_RDM!$D$6:$D$71,$E386,ROTACAO_RDM!$I$6:$I$71,"&lt;="&amp;$C386+INT(DIAS_POR_SEMANA/2),ROTACAO_RDM!$J$6:$J$71,"&gt;="&amp;$C386+INT(DIAS_POR_SEMANA/2)),0)</f>
        <v>0</v>
      </c>
      <c r="J386" s="16" t="n">
        <f aca="false">IFERROR(MATCH($I386,ROTACAO_RDM!$B$6:$B$71,0),0)</f>
        <v>0</v>
      </c>
      <c r="K386" s="8" t="str">
        <f aca="false">IF($J386=0,"SEM CULTURA",INDEX(ROTACAO_RDM!$F$6:$F$71,$J386))</f>
        <v>SEM CULTURA</v>
      </c>
      <c r="L386" s="8" t="str">
        <f aca="false">IF($J386=0,"",INDEX(ROTACAO_RDM!$G$6:$G$71,$J386))</f>
        <v/>
      </c>
      <c r="M386" s="17" t="str">
        <f aca="false">IF($J386=0,"",INDEX(ROTACAO_RDM!$I$6:$I$71,$J386))</f>
        <v/>
      </c>
      <c r="N386" s="16" t="n">
        <f aca="false">IF($J386=0,0,MAX(0,$C386+INT(DIAS_POR_SEMANA/2)-INDEX(ROTACAO_RDM!$I$6:$I$71,$J386)))</f>
        <v>0</v>
      </c>
      <c r="O386" s="19" t="n">
        <f aca="false">IF($J386=0,0,MIN(1,$N386/MAX(1,INDEX(ROTACAO_RDM!$K$6:$K$71,$J386))))</f>
        <v>0</v>
      </c>
      <c r="P386" s="16" t="n">
        <f aca="false">IF($J386=0,0,IFERROR(MATCH(INDEX(ROTACAO_RDM!$N$6:$N$71,$J386),PARAMETROS_CULTURAS!$B$6:$B$28,0),0))</f>
        <v>0</v>
      </c>
      <c r="Q386" s="8" t="str">
        <f aca="false">IF($P386=0,"-",IF($O386&lt;=INDEX(PARAMETROS_CULTURAS!$F$6:$F$28,$P386),"INICIAL",IF($O386&lt;=INDEX(PARAMETROS_CULTURAS!$F$6:$F$28,$P386)+INDEX(PARAMETROS_CULTURAS!$G$6:$G$28,$P386),"DESENVOLVIMENTO",IF($O386&lt;=INDEX(PARAMETROS_CULTURAS!$F$6:$F$28,$P386)+INDEX(PARAMETROS_CULTURAS!$G$6:$G$28,$P386)+INDEX(PARAMETROS_CULTURAS!$H$6:$H$28,$P386),"MEDIA","FINAL"))))</f>
        <v>-</v>
      </c>
      <c r="R386" s="24" t="n">
        <f aca="false">IF($P386=0,0,IF($O386&lt;=INDEX(PARAMETROS_CULTURAS!$F$6:$F$28,$P386),INDEX(PARAMETROS_CULTURAS!$K$6:$K$28,$P386),IF($O386&lt;=INDEX(PARAMETROS_CULTURAS!$F$6:$F$28,$P386)+INDEX(PARAMETROS_CULTURAS!$G$6:$G$28,$P386),INDEX(PARAMETROS_CULTURAS!$K$6:$K$28,$P386)+(INDEX(PARAMETROS_CULTURAS!$L$6:$L$28,$P386)-INDEX(PARAMETROS_CULTURAS!$K$6:$K$28,$P386))*($O386-INDEX(PARAMETROS_CULTURAS!$F$6:$F$28,$P386))/MAX(INDEX(PARAMETROS_CULTURAS!$G$6:$G$28,$P386),0.0001),IF($O386&lt;=INDEX(PARAMETROS_CULTURAS!$F$6:$F$28,$P386)+INDEX(PARAMETROS_CULTURAS!$G$6:$G$28,$P386)+INDEX(PARAMETROS_CULTURAS!$H$6:$H$28,$P386),INDEX(PARAMETROS_CULTURAS!$L$6:$L$28,$P386),INDEX(PARAMETROS_CULTURAS!$L$6:$L$28,$P386)+(INDEX(PARAMETROS_CULTURAS!$M$6:$M$28,$P386)-INDEX(PARAMETROS_CULTURAS!$L$6:$L$28,$P386))*($O386-INDEX(PARAMETROS_CULTURAS!$F$6:$F$28,$P386)-INDEX(PARAMETROS_CULTURAS!$G$6:$G$28,$P386)-INDEX(PARAMETROS_CULTURAS!$H$6:$H$28,$P386))/MAX(INDEX(PARAMETROS_CULTURAS!$I$6:$I$28,$P386),0.0001)))))</f>
        <v>0</v>
      </c>
      <c r="S386" s="18" t="n">
        <f aca="false">IFERROR(INDEX(SEMANAS!$H$6:$H$71,MATCH($B386,SEMANAS!$B$6:$B$71,0)),0)</f>
        <v>36.4</v>
      </c>
      <c r="T386" s="18" t="n">
        <f aca="false">$R386*$S386</f>
        <v>0</v>
      </c>
      <c r="U386" s="18" t="n">
        <f aca="false">IFERROR(INDEX(SEMANAS!$I$6:$I$71,MATCH($B386,SEMANAS!$B$6:$B$71,0)),0)</f>
        <v>1.12</v>
      </c>
      <c r="V386" s="18" t="n">
        <f aca="false">IFERROR(INDEX(SEMANAS!$J$6:$J$71,MATCH($B386,SEMANAS!$B$6:$B$71,0)),0)</f>
        <v>0.896</v>
      </c>
      <c r="W386" s="18" t="n">
        <f aca="false">MAX(0,$T386-$V386)</f>
        <v>0</v>
      </c>
      <c r="X386" s="19" t="n">
        <f aca="false">IFERROR(INDEX(CADASTRO_PIVOS!$K$6:$K$41,MATCH($E386,CADASTRO_PIVOS!$B$6:$B$41,0)),EFICIENCIA_PADRAO)</f>
        <v>0.85</v>
      </c>
      <c r="Y386" s="18" t="n">
        <f aca="false">IF($X386&lt;=0,0,$W386/$X386)</f>
        <v>0</v>
      </c>
      <c r="Z386" s="16" t="n">
        <f aca="false">$Y386*$H386*MM_PARA_M3_HA</f>
        <v>0</v>
      </c>
      <c r="AA386" s="18" t="n">
        <f aca="false">IFERROR(INDEX(CADASTRO_PIVOS!$I$6:$I$41,MATCH($E386,CADASTRO_PIVOS!$B$6:$B$41,0)),0)</f>
        <v>922.571428571429</v>
      </c>
      <c r="AB386" s="18" t="n">
        <f aca="false">IF($Z386&lt;=0,0,$Z386/$AA386)</f>
        <v>0</v>
      </c>
      <c r="AC386" s="16" t="n">
        <f aca="false">IFERROR(INDEX(SEMANAS!$K$6:$K$71,MATCH($B386,SEMANAS!$B$6:$B$71,0)),0)</f>
        <v>147</v>
      </c>
      <c r="AD386" s="19" t="n">
        <f aca="false">IF($AC386&lt;=0,0,$AB386/$AC386)</f>
        <v>0</v>
      </c>
      <c r="AE386" s="8" t="str">
        <f aca="false">IF($K386="SEM CULTURA","SEM CULTURA",IF($AA386&lt;=0,"DADO PENDENTE",IF($AD386&gt;LIMITE_CRITICO,"INVIAVEL",IF($AD386&gt;LIMITE_ATENCAO,"CRITICO",IF($AD386&gt;LIMITE_CONFORTAVEL,"ATENCAO","OK")))))</f>
        <v>SEM CULTURA</v>
      </c>
      <c r="AF386" s="8" t="str">
        <f aca="false">$B386&amp;"|"&amp;TEXT($AD386,"0.000000")</f>
        <v>51|0.000000</v>
      </c>
      <c r="AG386" s="18" t="n">
        <f aca="false">IF($K386="SEM CULTURA",0,$T386*$H386)</f>
        <v>0</v>
      </c>
      <c r="AH386" s="18" t="n">
        <f aca="false">IF($K386="SEM CULTURA",0,$V386*$H386)</f>
        <v>0</v>
      </c>
      <c r="AI386" s="18" t="n">
        <f aca="false">IF($K386="SEM CULTURA",0,$W386*$H386)</f>
        <v>0</v>
      </c>
      <c r="AJ386" s="18" t="n">
        <f aca="false">IF($K386="SEM CULTURA",0,$S386*$H386)</f>
        <v>0</v>
      </c>
      <c r="AK386" s="8" t="str">
        <f aca="false">$E386&amp;"|"&amp;TEXT($AD386,"0.000000")</f>
        <v>PV 101|0.000000</v>
      </c>
    </row>
    <row r="387" customFormat="false" ht="15" hidden="false" customHeight="false" outlineLevel="0" collapsed="false">
      <c r="B387" s="16" t="n">
        <v>52</v>
      </c>
      <c r="C387" s="17" t="n">
        <f aca="false">DATA_INICIO_SAFRA+($B387-1)*DIAS_POR_SEMANA</f>
        <v>46622</v>
      </c>
      <c r="D387" s="17" t="n">
        <f aca="false">$C387+DIAS_POR_SEMANA-1</f>
        <v>46628</v>
      </c>
      <c r="E387" s="15" t="s">
        <v>264</v>
      </c>
      <c r="F387" s="8" t="str">
        <f aca="false">IFERROR(INDEX(CADASTRO_PIVOS!$C$6:$C$41,MATCH($E387,CADASTRO_PIVOS!$B$6:$B$41,0)),"?")</f>
        <v>RM04</v>
      </c>
      <c r="G387" s="8" t="str">
        <f aca="false">IFERROR(INDEX(CADASTRO_PIVOS!$D$6:$D$41,MATCH($E387,CADASTRO_PIVOS!$B$6:$B$41,0)),"?")</f>
        <v>TR04</v>
      </c>
      <c r="H387" s="20" t="n">
        <f aca="false">IFERROR(INDEX(CADASTRO_PIVOS!$E$6:$E$41,MATCH($E387,CADASTRO_PIVOS!$B$6:$B$41,0)),0)</f>
        <v>129.16</v>
      </c>
      <c r="I387" s="16" t="n">
        <f aca="false">IFERROR(SUMIFS(ROTACAO_RDM!$B$6:$B$71,ROTACAO_RDM!$D$6:$D$71,$E387,ROTACAO_RDM!$I$6:$I$71,"&lt;="&amp;$C387+INT(DIAS_POR_SEMANA/2),ROTACAO_RDM!$J$6:$J$71,"&gt;="&amp;$C387+INT(DIAS_POR_SEMANA/2)),0)</f>
        <v>0</v>
      </c>
      <c r="J387" s="16" t="n">
        <f aca="false">IFERROR(MATCH($I387,ROTACAO_RDM!$B$6:$B$71,0),0)</f>
        <v>0</v>
      </c>
      <c r="K387" s="8" t="str">
        <f aca="false">IF($J387=0,"SEM CULTURA",INDEX(ROTACAO_RDM!$F$6:$F$71,$J387))</f>
        <v>SEM CULTURA</v>
      </c>
      <c r="L387" s="8" t="str">
        <f aca="false">IF($J387=0,"",INDEX(ROTACAO_RDM!$G$6:$G$71,$J387))</f>
        <v/>
      </c>
      <c r="M387" s="17" t="str">
        <f aca="false">IF($J387=0,"",INDEX(ROTACAO_RDM!$I$6:$I$71,$J387))</f>
        <v/>
      </c>
      <c r="N387" s="16" t="n">
        <f aca="false">IF($J387=0,0,MAX(0,$C387+INT(DIAS_POR_SEMANA/2)-INDEX(ROTACAO_RDM!$I$6:$I$71,$J387)))</f>
        <v>0</v>
      </c>
      <c r="O387" s="19" t="n">
        <f aca="false">IF($J387=0,0,MIN(1,$N387/MAX(1,INDEX(ROTACAO_RDM!$K$6:$K$71,$J387))))</f>
        <v>0</v>
      </c>
      <c r="P387" s="16" t="n">
        <f aca="false">IF($J387=0,0,IFERROR(MATCH(INDEX(ROTACAO_RDM!$N$6:$N$71,$J387),PARAMETROS_CULTURAS!$B$6:$B$28,0),0))</f>
        <v>0</v>
      </c>
      <c r="Q387" s="8" t="str">
        <f aca="false">IF($P387=0,"-",IF($O387&lt;=INDEX(PARAMETROS_CULTURAS!$F$6:$F$28,$P387),"INICIAL",IF($O387&lt;=INDEX(PARAMETROS_CULTURAS!$F$6:$F$28,$P387)+INDEX(PARAMETROS_CULTURAS!$G$6:$G$28,$P387),"DESENVOLVIMENTO",IF($O387&lt;=INDEX(PARAMETROS_CULTURAS!$F$6:$F$28,$P387)+INDEX(PARAMETROS_CULTURAS!$G$6:$G$28,$P387)+INDEX(PARAMETROS_CULTURAS!$H$6:$H$28,$P387),"MEDIA","FINAL"))))</f>
        <v>-</v>
      </c>
      <c r="R387" s="24" t="n">
        <f aca="false">IF($P387=0,0,IF($O387&lt;=INDEX(PARAMETROS_CULTURAS!$F$6:$F$28,$P387),INDEX(PARAMETROS_CULTURAS!$K$6:$K$28,$P387),IF($O387&lt;=INDEX(PARAMETROS_CULTURAS!$F$6:$F$28,$P387)+INDEX(PARAMETROS_CULTURAS!$G$6:$G$28,$P387),INDEX(PARAMETROS_CULTURAS!$K$6:$K$28,$P387)+(INDEX(PARAMETROS_CULTURAS!$L$6:$L$28,$P387)-INDEX(PARAMETROS_CULTURAS!$K$6:$K$28,$P387))*($O387-INDEX(PARAMETROS_CULTURAS!$F$6:$F$28,$P387))/MAX(INDEX(PARAMETROS_CULTURAS!$G$6:$G$28,$P387),0.0001),IF($O387&lt;=INDEX(PARAMETROS_CULTURAS!$F$6:$F$28,$P387)+INDEX(PARAMETROS_CULTURAS!$G$6:$G$28,$P387)+INDEX(PARAMETROS_CULTURAS!$H$6:$H$28,$P387),INDEX(PARAMETROS_CULTURAS!$L$6:$L$28,$P387),INDEX(PARAMETROS_CULTURAS!$L$6:$L$28,$P387)+(INDEX(PARAMETROS_CULTURAS!$M$6:$M$28,$P387)-INDEX(PARAMETROS_CULTURAS!$L$6:$L$28,$P387))*($O387-INDEX(PARAMETROS_CULTURAS!$F$6:$F$28,$P387)-INDEX(PARAMETROS_CULTURAS!$G$6:$G$28,$P387)-INDEX(PARAMETROS_CULTURAS!$H$6:$H$28,$P387))/MAX(INDEX(PARAMETROS_CULTURAS!$I$6:$I$28,$P387),0.0001)))))</f>
        <v>0</v>
      </c>
      <c r="S387" s="18" t="n">
        <f aca="false">IFERROR(INDEX(SEMANAS!$H$6:$H$71,MATCH($B387,SEMANAS!$B$6:$B$71,0)),0)</f>
        <v>36.4</v>
      </c>
      <c r="T387" s="18" t="n">
        <f aca="false">$R387*$S387</f>
        <v>0</v>
      </c>
      <c r="U387" s="18" t="n">
        <f aca="false">IFERROR(INDEX(SEMANAS!$I$6:$I$71,MATCH($B387,SEMANAS!$B$6:$B$71,0)),0)</f>
        <v>1.12</v>
      </c>
      <c r="V387" s="18" t="n">
        <f aca="false">IFERROR(INDEX(SEMANAS!$J$6:$J$71,MATCH($B387,SEMANAS!$B$6:$B$71,0)),0)</f>
        <v>0.896</v>
      </c>
      <c r="W387" s="18" t="n">
        <f aca="false">MAX(0,$T387-$V387)</f>
        <v>0</v>
      </c>
      <c r="X387" s="19" t="n">
        <f aca="false">IFERROR(INDEX(CADASTRO_PIVOS!$K$6:$K$41,MATCH($E387,CADASTRO_PIVOS!$B$6:$B$41,0)),EFICIENCIA_PADRAO)</f>
        <v>0.85</v>
      </c>
      <c r="Y387" s="18" t="n">
        <f aca="false">IF($X387&lt;=0,0,$W387/$X387)</f>
        <v>0</v>
      </c>
      <c r="Z387" s="16" t="n">
        <f aca="false">$Y387*$H387*MM_PARA_M3_HA</f>
        <v>0</v>
      </c>
      <c r="AA387" s="18" t="n">
        <f aca="false">IFERROR(INDEX(CADASTRO_PIVOS!$I$6:$I$41,MATCH($E387,CADASTRO_PIVOS!$B$6:$B$41,0)),0)</f>
        <v>922.571428571429</v>
      </c>
      <c r="AB387" s="18" t="n">
        <f aca="false">IF($Z387&lt;=0,0,$Z387/$AA387)</f>
        <v>0</v>
      </c>
      <c r="AC387" s="16" t="n">
        <f aca="false">IFERROR(INDEX(SEMANAS!$K$6:$K$71,MATCH($B387,SEMANAS!$B$6:$B$71,0)),0)</f>
        <v>147</v>
      </c>
      <c r="AD387" s="19" t="n">
        <f aca="false">IF($AC387&lt;=0,0,$AB387/$AC387)</f>
        <v>0</v>
      </c>
      <c r="AE387" s="8" t="str">
        <f aca="false">IF($K387="SEM CULTURA","SEM CULTURA",IF($AA387&lt;=0,"DADO PENDENTE",IF($AD387&gt;LIMITE_CRITICO,"INVIAVEL",IF($AD387&gt;LIMITE_ATENCAO,"CRITICO",IF($AD387&gt;LIMITE_CONFORTAVEL,"ATENCAO","OK")))))</f>
        <v>SEM CULTURA</v>
      </c>
      <c r="AF387" s="8" t="str">
        <f aca="false">$B387&amp;"|"&amp;TEXT($AD387,"0.000000")</f>
        <v>52|0.000000</v>
      </c>
      <c r="AG387" s="18" t="n">
        <f aca="false">IF($K387="SEM CULTURA",0,$T387*$H387)</f>
        <v>0</v>
      </c>
      <c r="AH387" s="18" t="n">
        <f aca="false">IF($K387="SEM CULTURA",0,$V387*$H387)</f>
        <v>0</v>
      </c>
      <c r="AI387" s="18" t="n">
        <f aca="false">IF($K387="SEM CULTURA",0,$W387*$H387)</f>
        <v>0</v>
      </c>
      <c r="AJ387" s="18" t="n">
        <f aca="false">IF($K387="SEM CULTURA",0,$S387*$H387)</f>
        <v>0</v>
      </c>
      <c r="AK387" s="8" t="str">
        <f aca="false">$E387&amp;"|"&amp;TEXT($AD387,"0.000000")</f>
        <v>PV 101|0.000000</v>
      </c>
    </row>
    <row r="388" customFormat="false" ht="15" hidden="false" customHeight="false" outlineLevel="0" collapsed="false">
      <c r="B388" s="16" t="n">
        <v>53</v>
      </c>
      <c r="C388" s="17" t="n">
        <f aca="false">DATA_INICIO_SAFRA+($B388-1)*DIAS_POR_SEMANA</f>
        <v>46629</v>
      </c>
      <c r="D388" s="17" t="n">
        <f aca="false">$C388+DIAS_POR_SEMANA-1</f>
        <v>46635</v>
      </c>
      <c r="E388" s="15" t="s">
        <v>264</v>
      </c>
      <c r="F388" s="8" t="str">
        <f aca="false">IFERROR(INDEX(CADASTRO_PIVOS!$C$6:$C$41,MATCH($E388,CADASTRO_PIVOS!$B$6:$B$41,0)),"?")</f>
        <v>RM04</v>
      </c>
      <c r="G388" s="8" t="str">
        <f aca="false">IFERROR(INDEX(CADASTRO_PIVOS!$D$6:$D$41,MATCH($E388,CADASTRO_PIVOS!$B$6:$B$41,0)),"?")</f>
        <v>TR04</v>
      </c>
      <c r="H388" s="20" t="n">
        <f aca="false">IFERROR(INDEX(CADASTRO_PIVOS!$E$6:$E$41,MATCH($E388,CADASTRO_PIVOS!$B$6:$B$41,0)),0)</f>
        <v>129.16</v>
      </c>
      <c r="I388" s="16" t="n">
        <f aca="false">IFERROR(SUMIFS(ROTACAO_RDM!$B$6:$B$71,ROTACAO_RDM!$D$6:$D$71,$E388,ROTACAO_RDM!$I$6:$I$71,"&lt;="&amp;$C388+INT(DIAS_POR_SEMANA/2),ROTACAO_RDM!$J$6:$J$71,"&gt;="&amp;$C388+INT(DIAS_POR_SEMANA/2)),0)</f>
        <v>0</v>
      </c>
      <c r="J388" s="16" t="n">
        <f aca="false">IFERROR(MATCH($I388,ROTACAO_RDM!$B$6:$B$71,0),0)</f>
        <v>0</v>
      </c>
      <c r="K388" s="8" t="str">
        <f aca="false">IF($J388=0,"SEM CULTURA",INDEX(ROTACAO_RDM!$F$6:$F$71,$J388))</f>
        <v>SEM CULTURA</v>
      </c>
      <c r="L388" s="8" t="str">
        <f aca="false">IF($J388=0,"",INDEX(ROTACAO_RDM!$G$6:$G$71,$J388))</f>
        <v/>
      </c>
      <c r="M388" s="17" t="str">
        <f aca="false">IF($J388=0,"",INDEX(ROTACAO_RDM!$I$6:$I$71,$J388))</f>
        <v/>
      </c>
      <c r="N388" s="16" t="n">
        <f aca="false">IF($J388=0,0,MAX(0,$C388+INT(DIAS_POR_SEMANA/2)-INDEX(ROTACAO_RDM!$I$6:$I$71,$J388)))</f>
        <v>0</v>
      </c>
      <c r="O388" s="19" t="n">
        <f aca="false">IF($J388=0,0,MIN(1,$N388/MAX(1,INDEX(ROTACAO_RDM!$K$6:$K$71,$J388))))</f>
        <v>0</v>
      </c>
      <c r="P388" s="16" t="n">
        <f aca="false">IF($J388=0,0,IFERROR(MATCH(INDEX(ROTACAO_RDM!$N$6:$N$71,$J388),PARAMETROS_CULTURAS!$B$6:$B$28,0),0))</f>
        <v>0</v>
      </c>
      <c r="Q388" s="8" t="str">
        <f aca="false">IF($P388=0,"-",IF($O388&lt;=INDEX(PARAMETROS_CULTURAS!$F$6:$F$28,$P388),"INICIAL",IF($O388&lt;=INDEX(PARAMETROS_CULTURAS!$F$6:$F$28,$P388)+INDEX(PARAMETROS_CULTURAS!$G$6:$G$28,$P388),"DESENVOLVIMENTO",IF($O388&lt;=INDEX(PARAMETROS_CULTURAS!$F$6:$F$28,$P388)+INDEX(PARAMETROS_CULTURAS!$G$6:$G$28,$P388)+INDEX(PARAMETROS_CULTURAS!$H$6:$H$28,$P388),"MEDIA","FINAL"))))</f>
        <v>-</v>
      </c>
      <c r="R388" s="24" t="n">
        <f aca="false">IF($P388=0,0,IF($O388&lt;=INDEX(PARAMETROS_CULTURAS!$F$6:$F$28,$P388),INDEX(PARAMETROS_CULTURAS!$K$6:$K$28,$P388),IF($O388&lt;=INDEX(PARAMETROS_CULTURAS!$F$6:$F$28,$P388)+INDEX(PARAMETROS_CULTURAS!$G$6:$G$28,$P388),INDEX(PARAMETROS_CULTURAS!$K$6:$K$28,$P388)+(INDEX(PARAMETROS_CULTURAS!$L$6:$L$28,$P388)-INDEX(PARAMETROS_CULTURAS!$K$6:$K$28,$P388))*($O388-INDEX(PARAMETROS_CULTURAS!$F$6:$F$28,$P388))/MAX(INDEX(PARAMETROS_CULTURAS!$G$6:$G$28,$P388),0.0001),IF($O388&lt;=INDEX(PARAMETROS_CULTURAS!$F$6:$F$28,$P388)+INDEX(PARAMETROS_CULTURAS!$G$6:$G$28,$P388)+INDEX(PARAMETROS_CULTURAS!$H$6:$H$28,$P388),INDEX(PARAMETROS_CULTURAS!$L$6:$L$28,$P388),INDEX(PARAMETROS_CULTURAS!$L$6:$L$28,$P388)+(INDEX(PARAMETROS_CULTURAS!$M$6:$M$28,$P388)-INDEX(PARAMETROS_CULTURAS!$L$6:$L$28,$P388))*($O388-INDEX(PARAMETROS_CULTURAS!$F$6:$F$28,$P388)-INDEX(PARAMETROS_CULTURAS!$G$6:$G$28,$P388)-INDEX(PARAMETROS_CULTURAS!$H$6:$H$28,$P388))/MAX(INDEX(PARAMETROS_CULTURAS!$I$6:$I$28,$P388),0.0001)))))</f>
        <v>0</v>
      </c>
      <c r="S388" s="18" t="n">
        <f aca="false">IFERROR(INDEX(SEMANAS!$H$6:$H$71,MATCH($B388,SEMANAS!$B$6:$B$71,0)),0)</f>
        <v>39.4</v>
      </c>
      <c r="T388" s="18" t="n">
        <f aca="false">$R388*$S388</f>
        <v>0</v>
      </c>
      <c r="U388" s="18" t="n">
        <f aca="false">IFERROR(INDEX(SEMANAS!$I$6:$I$71,MATCH($B388,SEMANAS!$B$6:$B$71,0)),0)</f>
        <v>5.32</v>
      </c>
      <c r="V388" s="18" t="n">
        <f aca="false">IFERROR(INDEX(SEMANAS!$J$6:$J$71,MATCH($B388,SEMANAS!$B$6:$B$71,0)),0)</f>
        <v>4.256</v>
      </c>
      <c r="W388" s="18" t="n">
        <f aca="false">MAX(0,$T388-$V388)</f>
        <v>0</v>
      </c>
      <c r="X388" s="19" t="n">
        <f aca="false">IFERROR(INDEX(CADASTRO_PIVOS!$K$6:$K$41,MATCH($E388,CADASTRO_PIVOS!$B$6:$B$41,0)),EFICIENCIA_PADRAO)</f>
        <v>0.85</v>
      </c>
      <c r="Y388" s="18" t="n">
        <f aca="false">IF($X388&lt;=0,0,$W388/$X388)</f>
        <v>0</v>
      </c>
      <c r="Z388" s="16" t="n">
        <f aca="false">$Y388*$H388*MM_PARA_M3_HA</f>
        <v>0</v>
      </c>
      <c r="AA388" s="18" t="n">
        <f aca="false">IFERROR(INDEX(CADASTRO_PIVOS!$I$6:$I$41,MATCH($E388,CADASTRO_PIVOS!$B$6:$B$41,0)),0)</f>
        <v>922.571428571429</v>
      </c>
      <c r="AB388" s="18" t="n">
        <f aca="false">IF($Z388&lt;=0,0,$Z388/$AA388)</f>
        <v>0</v>
      </c>
      <c r="AC388" s="16" t="n">
        <f aca="false">IFERROR(INDEX(SEMANAS!$K$6:$K$71,MATCH($B388,SEMANAS!$B$6:$B$71,0)),0)</f>
        <v>147</v>
      </c>
      <c r="AD388" s="19" t="n">
        <f aca="false">IF($AC388&lt;=0,0,$AB388/$AC388)</f>
        <v>0</v>
      </c>
      <c r="AE388" s="8" t="str">
        <f aca="false">IF($K388="SEM CULTURA","SEM CULTURA",IF($AA388&lt;=0,"DADO PENDENTE",IF($AD388&gt;LIMITE_CRITICO,"INVIAVEL",IF($AD388&gt;LIMITE_ATENCAO,"CRITICO",IF($AD388&gt;LIMITE_CONFORTAVEL,"ATENCAO","OK")))))</f>
        <v>SEM CULTURA</v>
      </c>
      <c r="AF388" s="8" t="str">
        <f aca="false">$B388&amp;"|"&amp;TEXT($AD388,"0.000000")</f>
        <v>53|0.000000</v>
      </c>
      <c r="AG388" s="18" t="n">
        <f aca="false">IF($K388="SEM CULTURA",0,$T388*$H388)</f>
        <v>0</v>
      </c>
      <c r="AH388" s="18" t="n">
        <f aca="false">IF($K388="SEM CULTURA",0,$V388*$H388)</f>
        <v>0</v>
      </c>
      <c r="AI388" s="18" t="n">
        <f aca="false">IF($K388="SEM CULTURA",0,$W388*$H388)</f>
        <v>0</v>
      </c>
      <c r="AJ388" s="18" t="n">
        <f aca="false">IF($K388="SEM CULTURA",0,$S388*$H388)</f>
        <v>0</v>
      </c>
      <c r="AK388" s="8" t="str">
        <f aca="false">$E388&amp;"|"&amp;TEXT($AD388,"0.000000")</f>
        <v>PV 101|0.000000</v>
      </c>
    </row>
    <row r="389" customFormat="false" ht="15" hidden="false" customHeight="false" outlineLevel="0" collapsed="false">
      <c r="B389" s="16" t="n">
        <v>54</v>
      </c>
      <c r="C389" s="17" t="n">
        <f aca="false">DATA_INICIO_SAFRA+($B389-1)*DIAS_POR_SEMANA</f>
        <v>46636</v>
      </c>
      <c r="D389" s="17" t="n">
        <f aca="false">$C389+DIAS_POR_SEMANA-1</f>
        <v>46642</v>
      </c>
      <c r="E389" s="15" t="s">
        <v>264</v>
      </c>
      <c r="F389" s="8" t="str">
        <f aca="false">IFERROR(INDEX(CADASTRO_PIVOS!$C$6:$C$41,MATCH($E389,CADASTRO_PIVOS!$B$6:$B$41,0)),"?")</f>
        <v>RM04</v>
      </c>
      <c r="G389" s="8" t="str">
        <f aca="false">IFERROR(INDEX(CADASTRO_PIVOS!$D$6:$D$41,MATCH($E389,CADASTRO_PIVOS!$B$6:$B$41,0)),"?")</f>
        <v>TR04</v>
      </c>
      <c r="H389" s="20" t="n">
        <f aca="false">IFERROR(INDEX(CADASTRO_PIVOS!$E$6:$E$41,MATCH($E389,CADASTRO_PIVOS!$B$6:$B$41,0)),0)</f>
        <v>129.16</v>
      </c>
      <c r="I389" s="16" t="n">
        <f aca="false">IFERROR(SUMIFS(ROTACAO_RDM!$B$6:$B$71,ROTACAO_RDM!$D$6:$D$71,$E389,ROTACAO_RDM!$I$6:$I$71,"&lt;="&amp;$C389+INT(DIAS_POR_SEMANA/2),ROTACAO_RDM!$J$6:$J$71,"&gt;="&amp;$C389+INT(DIAS_POR_SEMANA/2)),0)</f>
        <v>0</v>
      </c>
      <c r="J389" s="16" t="n">
        <f aca="false">IFERROR(MATCH($I389,ROTACAO_RDM!$B$6:$B$71,0),0)</f>
        <v>0</v>
      </c>
      <c r="K389" s="8" t="str">
        <f aca="false">IF($J389=0,"SEM CULTURA",INDEX(ROTACAO_RDM!$F$6:$F$71,$J389))</f>
        <v>SEM CULTURA</v>
      </c>
      <c r="L389" s="8" t="str">
        <f aca="false">IF($J389=0,"",INDEX(ROTACAO_RDM!$G$6:$G$71,$J389))</f>
        <v/>
      </c>
      <c r="M389" s="17" t="str">
        <f aca="false">IF($J389=0,"",INDEX(ROTACAO_RDM!$I$6:$I$71,$J389))</f>
        <v/>
      </c>
      <c r="N389" s="16" t="n">
        <f aca="false">IF($J389=0,0,MAX(0,$C389+INT(DIAS_POR_SEMANA/2)-INDEX(ROTACAO_RDM!$I$6:$I$71,$J389)))</f>
        <v>0</v>
      </c>
      <c r="O389" s="19" t="n">
        <f aca="false">IF($J389=0,0,MIN(1,$N389/MAX(1,INDEX(ROTACAO_RDM!$K$6:$K$71,$J389))))</f>
        <v>0</v>
      </c>
      <c r="P389" s="16" t="n">
        <f aca="false">IF($J389=0,0,IFERROR(MATCH(INDEX(ROTACAO_RDM!$N$6:$N$71,$J389),PARAMETROS_CULTURAS!$B$6:$B$28,0),0))</f>
        <v>0</v>
      </c>
      <c r="Q389" s="8" t="str">
        <f aca="false">IF($P389=0,"-",IF($O389&lt;=INDEX(PARAMETROS_CULTURAS!$F$6:$F$28,$P389),"INICIAL",IF($O389&lt;=INDEX(PARAMETROS_CULTURAS!$F$6:$F$28,$P389)+INDEX(PARAMETROS_CULTURAS!$G$6:$G$28,$P389),"DESENVOLVIMENTO",IF($O389&lt;=INDEX(PARAMETROS_CULTURAS!$F$6:$F$28,$P389)+INDEX(PARAMETROS_CULTURAS!$G$6:$G$28,$P389)+INDEX(PARAMETROS_CULTURAS!$H$6:$H$28,$P389),"MEDIA","FINAL"))))</f>
        <v>-</v>
      </c>
      <c r="R389" s="24" t="n">
        <f aca="false">IF($P389=0,0,IF($O389&lt;=INDEX(PARAMETROS_CULTURAS!$F$6:$F$28,$P389),INDEX(PARAMETROS_CULTURAS!$K$6:$K$28,$P389),IF($O389&lt;=INDEX(PARAMETROS_CULTURAS!$F$6:$F$28,$P389)+INDEX(PARAMETROS_CULTURAS!$G$6:$G$28,$P389),INDEX(PARAMETROS_CULTURAS!$K$6:$K$28,$P389)+(INDEX(PARAMETROS_CULTURAS!$L$6:$L$28,$P389)-INDEX(PARAMETROS_CULTURAS!$K$6:$K$28,$P389))*($O389-INDEX(PARAMETROS_CULTURAS!$F$6:$F$28,$P389))/MAX(INDEX(PARAMETROS_CULTURAS!$G$6:$G$28,$P389),0.0001),IF($O389&lt;=INDEX(PARAMETROS_CULTURAS!$F$6:$F$28,$P389)+INDEX(PARAMETROS_CULTURAS!$G$6:$G$28,$P389)+INDEX(PARAMETROS_CULTURAS!$H$6:$H$28,$P389),INDEX(PARAMETROS_CULTURAS!$L$6:$L$28,$P389),INDEX(PARAMETROS_CULTURAS!$L$6:$L$28,$P389)+(INDEX(PARAMETROS_CULTURAS!$M$6:$M$28,$P389)-INDEX(PARAMETROS_CULTURAS!$L$6:$L$28,$P389))*($O389-INDEX(PARAMETROS_CULTURAS!$F$6:$F$28,$P389)-INDEX(PARAMETROS_CULTURAS!$G$6:$G$28,$P389)-INDEX(PARAMETROS_CULTURAS!$H$6:$H$28,$P389))/MAX(INDEX(PARAMETROS_CULTURAS!$I$6:$I$28,$P389),0.0001)))))</f>
        <v>0</v>
      </c>
      <c r="S389" s="18" t="n">
        <f aca="false">IFERROR(INDEX(SEMANAS!$H$6:$H$71,MATCH($B389,SEMANAS!$B$6:$B$71,0)),0)</f>
        <v>40.6</v>
      </c>
      <c r="T389" s="18" t="n">
        <f aca="false">$R389*$S389</f>
        <v>0</v>
      </c>
      <c r="U389" s="18" t="n">
        <f aca="false">IFERROR(INDEX(SEMANAS!$I$6:$I$71,MATCH($B389,SEMANAS!$B$6:$B$71,0)),0)</f>
        <v>7</v>
      </c>
      <c r="V389" s="18" t="n">
        <f aca="false">IFERROR(INDEX(SEMANAS!$J$6:$J$71,MATCH($B389,SEMANAS!$B$6:$B$71,0)),0)</f>
        <v>5.6</v>
      </c>
      <c r="W389" s="18" t="n">
        <f aca="false">MAX(0,$T389-$V389)</f>
        <v>0</v>
      </c>
      <c r="X389" s="19" t="n">
        <f aca="false">IFERROR(INDEX(CADASTRO_PIVOS!$K$6:$K$41,MATCH($E389,CADASTRO_PIVOS!$B$6:$B$41,0)),EFICIENCIA_PADRAO)</f>
        <v>0.85</v>
      </c>
      <c r="Y389" s="18" t="n">
        <f aca="false">IF($X389&lt;=0,0,$W389/$X389)</f>
        <v>0</v>
      </c>
      <c r="Z389" s="16" t="n">
        <f aca="false">$Y389*$H389*MM_PARA_M3_HA</f>
        <v>0</v>
      </c>
      <c r="AA389" s="18" t="n">
        <f aca="false">IFERROR(INDEX(CADASTRO_PIVOS!$I$6:$I$41,MATCH($E389,CADASTRO_PIVOS!$B$6:$B$41,0)),0)</f>
        <v>922.571428571429</v>
      </c>
      <c r="AB389" s="18" t="n">
        <f aca="false">IF($Z389&lt;=0,0,$Z389/$AA389)</f>
        <v>0</v>
      </c>
      <c r="AC389" s="16" t="n">
        <f aca="false">IFERROR(INDEX(SEMANAS!$K$6:$K$71,MATCH($B389,SEMANAS!$B$6:$B$71,0)),0)</f>
        <v>147</v>
      </c>
      <c r="AD389" s="19" t="n">
        <f aca="false">IF($AC389&lt;=0,0,$AB389/$AC389)</f>
        <v>0</v>
      </c>
      <c r="AE389" s="8" t="str">
        <f aca="false">IF($K389="SEM CULTURA","SEM CULTURA",IF($AA389&lt;=0,"DADO PENDENTE",IF($AD389&gt;LIMITE_CRITICO,"INVIAVEL",IF($AD389&gt;LIMITE_ATENCAO,"CRITICO",IF($AD389&gt;LIMITE_CONFORTAVEL,"ATENCAO","OK")))))</f>
        <v>SEM CULTURA</v>
      </c>
      <c r="AF389" s="8" t="str">
        <f aca="false">$B389&amp;"|"&amp;TEXT($AD389,"0.000000")</f>
        <v>54|0.000000</v>
      </c>
      <c r="AG389" s="18" t="n">
        <f aca="false">IF($K389="SEM CULTURA",0,$T389*$H389)</f>
        <v>0</v>
      </c>
      <c r="AH389" s="18" t="n">
        <f aca="false">IF($K389="SEM CULTURA",0,$V389*$H389)</f>
        <v>0</v>
      </c>
      <c r="AI389" s="18" t="n">
        <f aca="false">IF($K389="SEM CULTURA",0,$W389*$H389)</f>
        <v>0</v>
      </c>
      <c r="AJ389" s="18" t="n">
        <f aca="false">IF($K389="SEM CULTURA",0,$S389*$H389)</f>
        <v>0</v>
      </c>
      <c r="AK389" s="8" t="str">
        <f aca="false">$E389&amp;"|"&amp;TEXT($AD389,"0.000000")</f>
        <v>PV 101|0.000000</v>
      </c>
    </row>
    <row r="390" customFormat="false" ht="15" hidden="false" customHeight="false" outlineLevel="0" collapsed="false">
      <c r="B390" s="16" t="n">
        <v>55</v>
      </c>
      <c r="C390" s="17" t="n">
        <f aca="false">DATA_INICIO_SAFRA+($B390-1)*DIAS_POR_SEMANA</f>
        <v>46643</v>
      </c>
      <c r="D390" s="17" t="n">
        <f aca="false">$C390+DIAS_POR_SEMANA-1</f>
        <v>46649</v>
      </c>
      <c r="E390" s="15" t="s">
        <v>264</v>
      </c>
      <c r="F390" s="8" t="str">
        <f aca="false">IFERROR(INDEX(CADASTRO_PIVOS!$C$6:$C$41,MATCH($E390,CADASTRO_PIVOS!$B$6:$B$41,0)),"?")</f>
        <v>RM04</v>
      </c>
      <c r="G390" s="8" t="str">
        <f aca="false">IFERROR(INDEX(CADASTRO_PIVOS!$D$6:$D$41,MATCH($E390,CADASTRO_PIVOS!$B$6:$B$41,0)),"?")</f>
        <v>TR04</v>
      </c>
      <c r="H390" s="20" t="n">
        <f aca="false">IFERROR(INDEX(CADASTRO_PIVOS!$E$6:$E$41,MATCH($E390,CADASTRO_PIVOS!$B$6:$B$41,0)),0)</f>
        <v>129.16</v>
      </c>
      <c r="I390" s="16" t="n">
        <f aca="false">IFERROR(SUMIFS(ROTACAO_RDM!$B$6:$B$71,ROTACAO_RDM!$D$6:$D$71,$E390,ROTACAO_RDM!$I$6:$I$71,"&lt;="&amp;$C390+INT(DIAS_POR_SEMANA/2),ROTACAO_RDM!$J$6:$J$71,"&gt;="&amp;$C390+INT(DIAS_POR_SEMANA/2)),0)</f>
        <v>0</v>
      </c>
      <c r="J390" s="16" t="n">
        <f aca="false">IFERROR(MATCH($I390,ROTACAO_RDM!$B$6:$B$71,0),0)</f>
        <v>0</v>
      </c>
      <c r="K390" s="8" t="str">
        <f aca="false">IF($J390=0,"SEM CULTURA",INDEX(ROTACAO_RDM!$F$6:$F$71,$J390))</f>
        <v>SEM CULTURA</v>
      </c>
      <c r="L390" s="8" t="str">
        <f aca="false">IF($J390=0,"",INDEX(ROTACAO_RDM!$G$6:$G$71,$J390))</f>
        <v/>
      </c>
      <c r="M390" s="17" t="str">
        <f aca="false">IF($J390=0,"",INDEX(ROTACAO_RDM!$I$6:$I$71,$J390))</f>
        <v/>
      </c>
      <c r="N390" s="16" t="n">
        <f aca="false">IF($J390=0,0,MAX(0,$C390+INT(DIAS_POR_SEMANA/2)-INDEX(ROTACAO_RDM!$I$6:$I$71,$J390)))</f>
        <v>0</v>
      </c>
      <c r="O390" s="19" t="n">
        <f aca="false">IF($J390=0,0,MIN(1,$N390/MAX(1,INDEX(ROTACAO_RDM!$K$6:$K$71,$J390))))</f>
        <v>0</v>
      </c>
      <c r="P390" s="16" t="n">
        <f aca="false">IF($J390=0,0,IFERROR(MATCH(INDEX(ROTACAO_RDM!$N$6:$N$71,$J390),PARAMETROS_CULTURAS!$B$6:$B$28,0),0))</f>
        <v>0</v>
      </c>
      <c r="Q390" s="8" t="str">
        <f aca="false">IF($P390=0,"-",IF($O390&lt;=INDEX(PARAMETROS_CULTURAS!$F$6:$F$28,$P390),"INICIAL",IF($O390&lt;=INDEX(PARAMETROS_CULTURAS!$F$6:$F$28,$P390)+INDEX(PARAMETROS_CULTURAS!$G$6:$G$28,$P390),"DESENVOLVIMENTO",IF($O390&lt;=INDEX(PARAMETROS_CULTURAS!$F$6:$F$28,$P390)+INDEX(PARAMETROS_CULTURAS!$G$6:$G$28,$P390)+INDEX(PARAMETROS_CULTURAS!$H$6:$H$28,$P390),"MEDIA","FINAL"))))</f>
        <v>-</v>
      </c>
      <c r="R390" s="24" t="n">
        <f aca="false">IF($P390=0,0,IF($O390&lt;=INDEX(PARAMETROS_CULTURAS!$F$6:$F$28,$P390),INDEX(PARAMETROS_CULTURAS!$K$6:$K$28,$P390),IF($O390&lt;=INDEX(PARAMETROS_CULTURAS!$F$6:$F$28,$P390)+INDEX(PARAMETROS_CULTURAS!$G$6:$G$28,$P390),INDEX(PARAMETROS_CULTURAS!$K$6:$K$28,$P390)+(INDEX(PARAMETROS_CULTURAS!$L$6:$L$28,$P390)-INDEX(PARAMETROS_CULTURAS!$K$6:$K$28,$P390))*($O390-INDEX(PARAMETROS_CULTURAS!$F$6:$F$28,$P390))/MAX(INDEX(PARAMETROS_CULTURAS!$G$6:$G$28,$P390),0.0001),IF($O390&lt;=INDEX(PARAMETROS_CULTURAS!$F$6:$F$28,$P390)+INDEX(PARAMETROS_CULTURAS!$G$6:$G$28,$P390)+INDEX(PARAMETROS_CULTURAS!$H$6:$H$28,$P390),INDEX(PARAMETROS_CULTURAS!$L$6:$L$28,$P390),INDEX(PARAMETROS_CULTURAS!$L$6:$L$28,$P390)+(INDEX(PARAMETROS_CULTURAS!$M$6:$M$28,$P390)-INDEX(PARAMETROS_CULTURAS!$L$6:$L$28,$P390))*($O390-INDEX(PARAMETROS_CULTURAS!$F$6:$F$28,$P390)-INDEX(PARAMETROS_CULTURAS!$G$6:$G$28,$P390)-INDEX(PARAMETROS_CULTURAS!$H$6:$H$28,$P390))/MAX(INDEX(PARAMETROS_CULTURAS!$I$6:$I$28,$P390),0.0001)))))</f>
        <v>0</v>
      </c>
      <c r="S390" s="18" t="n">
        <f aca="false">IFERROR(INDEX(SEMANAS!$H$6:$H$71,MATCH($B390,SEMANAS!$B$6:$B$71,0)),0)</f>
        <v>40.6</v>
      </c>
      <c r="T390" s="18" t="n">
        <f aca="false">$R390*$S390</f>
        <v>0</v>
      </c>
      <c r="U390" s="18" t="n">
        <f aca="false">IFERROR(INDEX(SEMANAS!$I$6:$I$71,MATCH($B390,SEMANAS!$B$6:$B$71,0)),0)</f>
        <v>7</v>
      </c>
      <c r="V390" s="18" t="n">
        <f aca="false">IFERROR(INDEX(SEMANAS!$J$6:$J$71,MATCH($B390,SEMANAS!$B$6:$B$71,0)),0)</f>
        <v>5.6</v>
      </c>
      <c r="W390" s="18" t="n">
        <f aca="false">MAX(0,$T390-$V390)</f>
        <v>0</v>
      </c>
      <c r="X390" s="19" t="n">
        <f aca="false">IFERROR(INDEX(CADASTRO_PIVOS!$K$6:$K$41,MATCH($E390,CADASTRO_PIVOS!$B$6:$B$41,0)),EFICIENCIA_PADRAO)</f>
        <v>0.85</v>
      </c>
      <c r="Y390" s="18" t="n">
        <f aca="false">IF($X390&lt;=0,0,$W390/$X390)</f>
        <v>0</v>
      </c>
      <c r="Z390" s="16" t="n">
        <f aca="false">$Y390*$H390*MM_PARA_M3_HA</f>
        <v>0</v>
      </c>
      <c r="AA390" s="18" t="n">
        <f aca="false">IFERROR(INDEX(CADASTRO_PIVOS!$I$6:$I$41,MATCH($E390,CADASTRO_PIVOS!$B$6:$B$41,0)),0)</f>
        <v>922.571428571429</v>
      </c>
      <c r="AB390" s="18" t="n">
        <f aca="false">IF($Z390&lt;=0,0,$Z390/$AA390)</f>
        <v>0</v>
      </c>
      <c r="AC390" s="16" t="n">
        <f aca="false">IFERROR(INDEX(SEMANAS!$K$6:$K$71,MATCH($B390,SEMANAS!$B$6:$B$71,0)),0)</f>
        <v>147</v>
      </c>
      <c r="AD390" s="19" t="n">
        <f aca="false">IF($AC390&lt;=0,0,$AB390/$AC390)</f>
        <v>0</v>
      </c>
      <c r="AE390" s="8" t="str">
        <f aca="false">IF($K390="SEM CULTURA","SEM CULTURA",IF($AA390&lt;=0,"DADO PENDENTE",IF($AD390&gt;LIMITE_CRITICO,"INVIAVEL",IF($AD390&gt;LIMITE_ATENCAO,"CRITICO",IF($AD390&gt;LIMITE_CONFORTAVEL,"ATENCAO","OK")))))</f>
        <v>SEM CULTURA</v>
      </c>
      <c r="AF390" s="8" t="str">
        <f aca="false">$B390&amp;"|"&amp;TEXT($AD390,"0.000000")</f>
        <v>55|0.000000</v>
      </c>
      <c r="AG390" s="18" t="n">
        <f aca="false">IF($K390="SEM CULTURA",0,$T390*$H390)</f>
        <v>0</v>
      </c>
      <c r="AH390" s="18" t="n">
        <f aca="false">IF($K390="SEM CULTURA",0,$V390*$H390)</f>
        <v>0</v>
      </c>
      <c r="AI390" s="18" t="n">
        <f aca="false">IF($K390="SEM CULTURA",0,$W390*$H390)</f>
        <v>0</v>
      </c>
      <c r="AJ390" s="18" t="n">
        <f aca="false">IF($K390="SEM CULTURA",0,$S390*$H390)</f>
        <v>0</v>
      </c>
      <c r="AK390" s="8" t="str">
        <f aca="false">$E390&amp;"|"&amp;TEXT($AD390,"0.000000")</f>
        <v>PV 101|0.000000</v>
      </c>
    </row>
    <row r="391" customFormat="false" ht="15" hidden="false" customHeight="false" outlineLevel="0" collapsed="false">
      <c r="B391" s="16" t="n">
        <v>56</v>
      </c>
      <c r="C391" s="17" t="n">
        <f aca="false">DATA_INICIO_SAFRA+($B391-1)*DIAS_POR_SEMANA</f>
        <v>46650</v>
      </c>
      <c r="D391" s="17" t="n">
        <f aca="false">$C391+DIAS_POR_SEMANA-1</f>
        <v>46656</v>
      </c>
      <c r="E391" s="15" t="s">
        <v>264</v>
      </c>
      <c r="F391" s="8" t="str">
        <f aca="false">IFERROR(INDEX(CADASTRO_PIVOS!$C$6:$C$41,MATCH($E391,CADASTRO_PIVOS!$B$6:$B$41,0)),"?")</f>
        <v>RM04</v>
      </c>
      <c r="G391" s="8" t="str">
        <f aca="false">IFERROR(INDEX(CADASTRO_PIVOS!$D$6:$D$41,MATCH($E391,CADASTRO_PIVOS!$B$6:$B$41,0)),"?")</f>
        <v>TR04</v>
      </c>
      <c r="H391" s="20" t="n">
        <f aca="false">IFERROR(INDEX(CADASTRO_PIVOS!$E$6:$E$41,MATCH($E391,CADASTRO_PIVOS!$B$6:$B$41,0)),0)</f>
        <v>129.16</v>
      </c>
      <c r="I391" s="16" t="n">
        <f aca="false">IFERROR(SUMIFS(ROTACAO_RDM!$B$6:$B$71,ROTACAO_RDM!$D$6:$D$71,$E391,ROTACAO_RDM!$I$6:$I$71,"&lt;="&amp;$C391+INT(DIAS_POR_SEMANA/2),ROTACAO_RDM!$J$6:$J$71,"&gt;="&amp;$C391+INT(DIAS_POR_SEMANA/2)),0)</f>
        <v>0</v>
      </c>
      <c r="J391" s="16" t="n">
        <f aca="false">IFERROR(MATCH($I391,ROTACAO_RDM!$B$6:$B$71,0),0)</f>
        <v>0</v>
      </c>
      <c r="K391" s="8" t="str">
        <f aca="false">IF($J391=0,"SEM CULTURA",INDEX(ROTACAO_RDM!$F$6:$F$71,$J391))</f>
        <v>SEM CULTURA</v>
      </c>
      <c r="L391" s="8" t="str">
        <f aca="false">IF($J391=0,"",INDEX(ROTACAO_RDM!$G$6:$G$71,$J391))</f>
        <v/>
      </c>
      <c r="M391" s="17" t="str">
        <f aca="false">IF($J391=0,"",INDEX(ROTACAO_RDM!$I$6:$I$71,$J391))</f>
        <v/>
      </c>
      <c r="N391" s="16" t="n">
        <f aca="false">IF($J391=0,0,MAX(0,$C391+INT(DIAS_POR_SEMANA/2)-INDEX(ROTACAO_RDM!$I$6:$I$71,$J391)))</f>
        <v>0</v>
      </c>
      <c r="O391" s="19" t="n">
        <f aca="false">IF($J391=0,0,MIN(1,$N391/MAX(1,INDEX(ROTACAO_RDM!$K$6:$K$71,$J391))))</f>
        <v>0</v>
      </c>
      <c r="P391" s="16" t="n">
        <f aca="false">IF($J391=0,0,IFERROR(MATCH(INDEX(ROTACAO_RDM!$N$6:$N$71,$J391),PARAMETROS_CULTURAS!$B$6:$B$28,0),0))</f>
        <v>0</v>
      </c>
      <c r="Q391" s="8" t="str">
        <f aca="false">IF($P391=0,"-",IF($O391&lt;=INDEX(PARAMETROS_CULTURAS!$F$6:$F$28,$P391),"INICIAL",IF($O391&lt;=INDEX(PARAMETROS_CULTURAS!$F$6:$F$28,$P391)+INDEX(PARAMETROS_CULTURAS!$G$6:$G$28,$P391),"DESENVOLVIMENTO",IF($O391&lt;=INDEX(PARAMETROS_CULTURAS!$F$6:$F$28,$P391)+INDEX(PARAMETROS_CULTURAS!$G$6:$G$28,$P391)+INDEX(PARAMETROS_CULTURAS!$H$6:$H$28,$P391),"MEDIA","FINAL"))))</f>
        <v>-</v>
      </c>
      <c r="R391" s="24" t="n">
        <f aca="false">IF($P391=0,0,IF($O391&lt;=INDEX(PARAMETROS_CULTURAS!$F$6:$F$28,$P391),INDEX(PARAMETROS_CULTURAS!$K$6:$K$28,$P391),IF($O391&lt;=INDEX(PARAMETROS_CULTURAS!$F$6:$F$28,$P391)+INDEX(PARAMETROS_CULTURAS!$G$6:$G$28,$P391),INDEX(PARAMETROS_CULTURAS!$K$6:$K$28,$P391)+(INDEX(PARAMETROS_CULTURAS!$L$6:$L$28,$P391)-INDEX(PARAMETROS_CULTURAS!$K$6:$K$28,$P391))*($O391-INDEX(PARAMETROS_CULTURAS!$F$6:$F$28,$P391))/MAX(INDEX(PARAMETROS_CULTURAS!$G$6:$G$28,$P391),0.0001),IF($O391&lt;=INDEX(PARAMETROS_CULTURAS!$F$6:$F$28,$P391)+INDEX(PARAMETROS_CULTURAS!$G$6:$G$28,$P391)+INDEX(PARAMETROS_CULTURAS!$H$6:$H$28,$P391),INDEX(PARAMETROS_CULTURAS!$L$6:$L$28,$P391),INDEX(PARAMETROS_CULTURAS!$L$6:$L$28,$P391)+(INDEX(PARAMETROS_CULTURAS!$M$6:$M$28,$P391)-INDEX(PARAMETROS_CULTURAS!$L$6:$L$28,$P391))*($O391-INDEX(PARAMETROS_CULTURAS!$F$6:$F$28,$P391)-INDEX(PARAMETROS_CULTURAS!$G$6:$G$28,$P391)-INDEX(PARAMETROS_CULTURAS!$H$6:$H$28,$P391))/MAX(INDEX(PARAMETROS_CULTURAS!$I$6:$I$28,$P391),0.0001)))))</f>
        <v>0</v>
      </c>
      <c r="S391" s="18" t="n">
        <f aca="false">IFERROR(INDEX(SEMANAS!$H$6:$H$71,MATCH($B391,SEMANAS!$B$6:$B$71,0)),0)</f>
        <v>40.6</v>
      </c>
      <c r="T391" s="18" t="n">
        <f aca="false">$R391*$S391</f>
        <v>0</v>
      </c>
      <c r="U391" s="18" t="n">
        <f aca="false">IFERROR(INDEX(SEMANAS!$I$6:$I$71,MATCH($B391,SEMANAS!$B$6:$B$71,0)),0)</f>
        <v>7</v>
      </c>
      <c r="V391" s="18" t="n">
        <f aca="false">IFERROR(INDEX(SEMANAS!$J$6:$J$71,MATCH($B391,SEMANAS!$B$6:$B$71,0)),0)</f>
        <v>5.6</v>
      </c>
      <c r="W391" s="18" t="n">
        <f aca="false">MAX(0,$T391-$V391)</f>
        <v>0</v>
      </c>
      <c r="X391" s="19" t="n">
        <f aca="false">IFERROR(INDEX(CADASTRO_PIVOS!$K$6:$K$41,MATCH($E391,CADASTRO_PIVOS!$B$6:$B$41,0)),EFICIENCIA_PADRAO)</f>
        <v>0.85</v>
      </c>
      <c r="Y391" s="18" t="n">
        <f aca="false">IF($X391&lt;=0,0,$W391/$X391)</f>
        <v>0</v>
      </c>
      <c r="Z391" s="16" t="n">
        <f aca="false">$Y391*$H391*MM_PARA_M3_HA</f>
        <v>0</v>
      </c>
      <c r="AA391" s="18" t="n">
        <f aca="false">IFERROR(INDEX(CADASTRO_PIVOS!$I$6:$I$41,MATCH($E391,CADASTRO_PIVOS!$B$6:$B$41,0)),0)</f>
        <v>922.571428571429</v>
      </c>
      <c r="AB391" s="18" t="n">
        <f aca="false">IF($Z391&lt;=0,0,$Z391/$AA391)</f>
        <v>0</v>
      </c>
      <c r="AC391" s="16" t="n">
        <f aca="false">IFERROR(INDEX(SEMANAS!$K$6:$K$71,MATCH($B391,SEMANAS!$B$6:$B$71,0)),0)</f>
        <v>147</v>
      </c>
      <c r="AD391" s="19" t="n">
        <f aca="false">IF($AC391&lt;=0,0,$AB391/$AC391)</f>
        <v>0</v>
      </c>
      <c r="AE391" s="8" t="str">
        <f aca="false">IF($K391="SEM CULTURA","SEM CULTURA",IF($AA391&lt;=0,"DADO PENDENTE",IF($AD391&gt;LIMITE_CRITICO,"INVIAVEL",IF($AD391&gt;LIMITE_ATENCAO,"CRITICO",IF($AD391&gt;LIMITE_CONFORTAVEL,"ATENCAO","OK")))))</f>
        <v>SEM CULTURA</v>
      </c>
      <c r="AF391" s="8" t="str">
        <f aca="false">$B391&amp;"|"&amp;TEXT($AD391,"0.000000")</f>
        <v>56|0.000000</v>
      </c>
      <c r="AG391" s="18" t="n">
        <f aca="false">IF($K391="SEM CULTURA",0,$T391*$H391)</f>
        <v>0</v>
      </c>
      <c r="AH391" s="18" t="n">
        <f aca="false">IF($K391="SEM CULTURA",0,$V391*$H391)</f>
        <v>0</v>
      </c>
      <c r="AI391" s="18" t="n">
        <f aca="false">IF($K391="SEM CULTURA",0,$W391*$H391)</f>
        <v>0</v>
      </c>
      <c r="AJ391" s="18" t="n">
        <f aca="false">IF($K391="SEM CULTURA",0,$S391*$H391)</f>
        <v>0</v>
      </c>
      <c r="AK391" s="8" t="str">
        <f aca="false">$E391&amp;"|"&amp;TEXT($AD391,"0.000000")</f>
        <v>PV 101|0.000000</v>
      </c>
    </row>
    <row r="392" customFormat="false" ht="15" hidden="false" customHeight="false" outlineLevel="0" collapsed="false">
      <c r="B392" s="16" t="n">
        <v>57</v>
      </c>
      <c r="C392" s="17" t="n">
        <f aca="false">DATA_INICIO_SAFRA+($B392-1)*DIAS_POR_SEMANA</f>
        <v>46657</v>
      </c>
      <c r="D392" s="17" t="n">
        <f aca="false">$C392+DIAS_POR_SEMANA-1</f>
        <v>46663</v>
      </c>
      <c r="E392" s="15" t="s">
        <v>264</v>
      </c>
      <c r="F392" s="8" t="str">
        <f aca="false">IFERROR(INDEX(CADASTRO_PIVOS!$C$6:$C$41,MATCH($E392,CADASTRO_PIVOS!$B$6:$B$41,0)),"?")</f>
        <v>RM04</v>
      </c>
      <c r="G392" s="8" t="str">
        <f aca="false">IFERROR(INDEX(CADASTRO_PIVOS!$D$6:$D$41,MATCH($E392,CADASTRO_PIVOS!$B$6:$B$41,0)),"?")</f>
        <v>TR04</v>
      </c>
      <c r="H392" s="20" t="n">
        <f aca="false">IFERROR(INDEX(CADASTRO_PIVOS!$E$6:$E$41,MATCH($E392,CADASTRO_PIVOS!$B$6:$B$41,0)),0)</f>
        <v>129.16</v>
      </c>
      <c r="I392" s="16" t="n">
        <f aca="false">IFERROR(SUMIFS(ROTACAO_RDM!$B$6:$B$71,ROTACAO_RDM!$D$6:$D$71,$E392,ROTACAO_RDM!$I$6:$I$71,"&lt;="&amp;$C392+INT(DIAS_POR_SEMANA/2),ROTACAO_RDM!$J$6:$J$71,"&gt;="&amp;$C392+INT(DIAS_POR_SEMANA/2)),0)</f>
        <v>0</v>
      </c>
      <c r="J392" s="16" t="n">
        <f aca="false">IFERROR(MATCH($I392,ROTACAO_RDM!$B$6:$B$71,0),0)</f>
        <v>0</v>
      </c>
      <c r="K392" s="8" t="str">
        <f aca="false">IF($J392=0,"SEM CULTURA",INDEX(ROTACAO_RDM!$F$6:$F$71,$J392))</f>
        <v>SEM CULTURA</v>
      </c>
      <c r="L392" s="8" t="str">
        <f aca="false">IF($J392=0,"",INDEX(ROTACAO_RDM!$G$6:$G$71,$J392))</f>
        <v/>
      </c>
      <c r="M392" s="17" t="str">
        <f aca="false">IF($J392=0,"",INDEX(ROTACAO_RDM!$I$6:$I$71,$J392))</f>
        <v/>
      </c>
      <c r="N392" s="16" t="n">
        <f aca="false">IF($J392=0,0,MAX(0,$C392+INT(DIAS_POR_SEMANA/2)-INDEX(ROTACAO_RDM!$I$6:$I$71,$J392)))</f>
        <v>0</v>
      </c>
      <c r="O392" s="19" t="n">
        <f aca="false">IF($J392=0,0,MIN(1,$N392/MAX(1,INDEX(ROTACAO_RDM!$K$6:$K$71,$J392))))</f>
        <v>0</v>
      </c>
      <c r="P392" s="16" t="n">
        <f aca="false">IF($J392=0,0,IFERROR(MATCH(INDEX(ROTACAO_RDM!$N$6:$N$71,$J392),PARAMETROS_CULTURAS!$B$6:$B$28,0),0))</f>
        <v>0</v>
      </c>
      <c r="Q392" s="8" t="str">
        <f aca="false">IF($P392=0,"-",IF($O392&lt;=INDEX(PARAMETROS_CULTURAS!$F$6:$F$28,$P392),"INICIAL",IF($O392&lt;=INDEX(PARAMETROS_CULTURAS!$F$6:$F$28,$P392)+INDEX(PARAMETROS_CULTURAS!$G$6:$G$28,$P392),"DESENVOLVIMENTO",IF($O392&lt;=INDEX(PARAMETROS_CULTURAS!$F$6:$F$28,$P392)+INDEX(PARAMETROS_CULTURAS!$G$6:$G$28,$P392)+INDEX(PARAMETROS_CULTURAS!$H$6:$H$28,$P392),"MEDIA","FINAL"))))</f>
        <v>-</v>
      </c>
      <c r="R392" s="24" t="n">
        <f aca="false">IF($P392=0,0,IF($O392&lt;=INDEX(PARAMETROS_CULTURAS!$F$6:$F$28,$P392),INDEX(PARAMETROS_CULTURAS!$K$6:$K$28,$P392),IF($O392&lt;=INDEX(PARAMETROS_CULTURAS!$F$6:$F$28,$P392)+INDEX(PARAMETROS_CULTURAS!$G$6:$G$28,$P392),INDEX(PARAMETROS_CULTURAS!$K$6:$K$28,$P392)+(INDEX(PARAMETROS_CULTURAS!$L$6:$L$28,$P392)-INDEX(PARAMETROS_CULTURAS!$K$6:$K$28,$P392))*($O392-INDEX(PARAMETROS_CULTURAS!$F$6:$F$28,$P392))/MAX(INDEX(PARAMETROS_CULTURAS!$G$6:$G$28,$P392),0.0001),IF($O392&lt;=INDEX(PARAMETROS_CULTURAS!$F$6:$F$28,$P392)+INDEX(PARAMETROS_CULTURAS!$G$6:$G$28,$P392)+INDEX(PARAMETROS_CULTURAS!$H$6:$H$28,$P392),INDEX(PARAMETROS_CULTURAS!$L$6:$L$28,$P392),INDEX(PARAMETROS_CULTURAS!$L$6:$L$28,$P392)+(INDEX(PARAMETROS_CULTURAS!$M$6:$M$28,$P392)-INDEX(PARAMETROS_CULTURAS!$L$6:$L$28,$P392))*($O392-INDEX(PARAMETROS_CULTURAS!$F$6:$F$28,$P392)-INDEX(PARAMETROS_CULTURAS!$G$6:$G$28,$P392)-INDEX(PARAMETROS_CULTURAS!$H$6:$H$28,$P392))/MAX(INDEX(PARAMETROS_CULTURAS!$I$6:$I$28,$P392),0.0001)))))</f>
        <v>0</v>
      </c>
      <c r="S392" s="18" t="n">
        <f aca="false">IFERROR(INDEX(SEMANAS!$H$6:$H$71,MATCH($B392,SEMANAS!$B$6:$B$71,0)),0)</f>
        <v>40</v>
      </c>
      <c r="T392" s="18" t="n">
        <f aca="false">$R392*$S392</f>
        <v>0</v>
      </c>
      <c r="U392" s="18" t="n">
        <f aca="false">IFERROR(INDEX(SEMANAS!$I$6:$I$71,MATCH($B392,SEMANAS!$B$6:$B$71,0)),0)</f>
        <v>15.61</v>
      </c>
      <c r="V392" s="18" t="n">
        <f aca="false">IFERROR(INDEX(SEMANAS!$J$6:$J$71,MATCH($B392,SEMANAS!$B$6:$B$71,0)),0)</f>
        <v>12.488</v>
      </c>
      <c r="W392" s="18" t="n">
        <f aca="false">MAX(0,$T392-$V392)</f>
        <v>0</v>
      </c>
      <c r="X392" s="19" t="n">
        <f aca="false">IFERROR(INDEX(CADASTRO_PIVOS!$K$6:$K$41,MATCH($E392,CADASTRO_PIVOS!$B$6:$B$41,0)),EFICIENCIA_PADRAO)</f>
        <v>0.85</v>
      </c>
      <c r="Y392" s="18" t="n">
        <f aca="false">IF($X392&lt;=0,0,$W392/$X392)</f>
        <v>0</v>
      </c>
      <c r="Z392" s="16" t="n">
        <f aca="false">$Y392*$H392*MM_PARA_M3_HA</f>
        <v>0</v>
      </c>
      <c r="AA392" s="18" t="n">
        <f aca="false">IFERROR(INDEX(CADASTRO_PIVOS!$I$6:$I$41,MATCH($E392,CADASTRO_PIVOS!$B$6:$B$41,0)),0)</f>
        <v>922.571428571429</v>
      </c>
      <c r="AB392" s="18" t="n">
        <f aca="false">IF($Z392&lt;=0,0,$Z392/$AA392)</f>
        <v>0</v>
      </c>
      <c r="AC392" s="16" t="n">
        <f aca="false">IFERROR(INDEX(SEMANAS!$K$6:$K$71,MATCH($B392,SEMANAS!$B$6:$B$71,0)),0)</f>
        <v>147</v>
      </c>
      <c r="AD392" s="19" t="n">
        <f aca="false">IF($AC392&lt;=0,0,$AB392/$AC392)</f>
        <v>0</v>
      </c>
      <c r="AE392" s="8" t="str">
        <f aca="false">IF($K392="SEM CULTURA","SEM CULTURA",IF($AA392&lt;=0,"DADO PENDENTE",IF($AD392&gt;LIMITE_CRITICO,"INVIAVEL",IF($AD392&gt;LIMITE_ATENCAO,"CRITICO",IF($AD392&gt;LIMITE_CONFORTAVEL,"ATENCAO","OK")))))</f>
        <v>SEM CULTURA</v>
      </c>
      <c r="AF392" s="8" t="str">
        <f aca="false">$B392&amp;"|"&amp;TEXT($AD392,"0.000000")</f>
        <v>57|0.000000</v>
      </c>
      <c r="AG392" s="18" t="n">
        <f aca="false">IF($K392="SEM CULTURA",0,$T392*$H392)</f>
        <v>0</v>
      </c>
      <c r="AH392" s="18" t="n">
        <f aca="false">IF($K392="SEM CULTURA",0,$V392*$H392)</f>
        <v>0</v>
      </c>
      <c r="AI392" s="18" t="n">
        <f aca="false">IF($K392="SEM CULTURA",0,$W392*$H392)</f>
        <v>0</v>
      </c>
      <c r="AJ392" s="18" t="n">
        <f aca="false">IF($K392="SEM CULTURA",0,$S392*$H392)</f>
        <v>0</v>
      </c>
      <c r="AK392" s="8" t="str">
        <f aca="false">$E392&amp;"|"&amp;TEXT($AD392,"0.000000")</f>
        <v>PV 101|0.000000</v>
      </c>
    </row>
    <row r="393" customFormat="false" ht="15" hidden="false" customHeight="false" outlineLevel="0" collapsed="false">
      <c r="B393" s="16" t="n">
        <v>58</v>
      </c>
      <c r="C393" s="17" t="n">
        <f aca="false">DATA_INICIO_SAFRA+($B393-1)*DIAS_POR_SEMANA</f>
        <v>46664</v>
      </c>
      <c r="D393" s="17" t="n">
        <f aca="false">$C393+DIAS_POR_SEMANA-1</f>
        <v>46670</v>
      </c>
      <c r="E393" s="15" t="s">
        <v>264</v>
      </c>
      <c r="F393" s="8" t="str">
        <f aca="false">IFERROR(INDEX(CADASTRO_PIVOS!$C$6:$C$41,MATCH($E393,CADASTRO_PIVOS!$B$6:$B$41,0)),"?")</f>
        <v>RM04</v>
      </c>
      <c r="G393" s="8" t="str">
        <f aca="false">IFERROR(INDEX(CADASTRO_PIVOS!$D$6:$D$41,MATCH($E393,CADASTRO_PIVOS!$B$6:$B$41,0)),"?")</f>
        <v>TR04</v>
      </c>
      <c r="H393" s="20" t="n">
        <f aca="false">IFERROR(INDEX(CADASTRO_PIVOS!$E$6:$E$41,MATCH($E393,CADASTRO_PIVOS!$B$6:$B$41,0)),0)</f>
        <v>129.16</v>
      </c>
      <c r="I393" s="16" t="n">
        <f aca="false">IFERROR(SUMIFS(ROTACAO_RDM!$B$6:$B$71,ROTACAO_RDM!$D$6:$D$71,$E393,ROTACAO_RDM!$I$6:$I$71,"&lt;="&amp;$C393+INT(DIAS_POR_SEMANA/2),ROTACAO_RDM!$J$6:$J$71,"&gt;="&amp;$C393+INT(DIAS_POR_SEMANA/2)),0)</f>
        <v>0</v>
      </c>
      <c r="J393" s="16" t="n">
        <f aca="false">IFERROR(MATCH($I393,ROTACAO_RDM!$B$6:$B$71,0),0)</f>
        <v>0</v>
      </c>
      <c r="K393" s="8" t="str">
        <f aca="false">IF($J393=0,"SEM CULTURA",INDEX(ROTACAO_RDM!$F$6:$F$71,$J393))</f>
        <v>SEM CULTURA</v>
      </c>
      <c r="L393" s="8" t="str">
        <f aca="false">IF($J393=0,"",INDEX(ROTACAO_RDM!$G$6:$G$71,$J393))</f>
        <v/>
      </c>
      <c r="M393" s="17" t="str">
        <f aca="false">IF($J393=0,"",INDEX(ROTACAO_RDM!$I$6:$I$71,$J393))</f>
        <v/>
      </c>
      <c r="N393" s="16" t="n">
        <f aca="false">IF($J393=0,0,MAX(0,$C393+INT(DIAS_POR_SEMANA/2)-INDEX(ROTACAO_RDM!$I$6:$I$71,$J393)))</f>
        <v>0</v>
      </c>
      <c r="O393" s="19" t="n">
        <f aca="false">IF($J393=0,0,MIN(1,$N393/MAX(1,INDEX(ROTACAO_RDM!$K$6:$K$71,$J393))))</f>
        <v>0</v>
      </c>
      <c r="P393" s="16" t="n">
        <f aca="false">IF($J393=0,0,IFERROR(MATCH(INDEX(ROTACAO_RDM!$N$6:$N$71,$J393),PARAMETROS_CULTURAS!$B$6:$B$28,0),0))</f>
        <v>0</v>
      </c>
      <c r="Q393" s="8" t="str">
        <f aca="false">IF($P393=0,"-",IF($O393&lt;=INDEX(PARAMETROS_CULTURAS!$F$6:$F$28,$P393),"INICIAL",IF($O393&lt;=INDEX(PARAMETROS_CULTURAS!$F$6:$F$28,$P393)+INDEX(PARAMETROS_CULTURAS!$G$6:$G$28,$P393),"DESENVOLVIMENTO",IF($O393&lt;=INDEX(PARAMETROS_CULTURAS!$F$6:$F$28,$P393)+INDEX(PARAMETROS_CULTURAS!$G$6:$G$28,$P393)+INDEX(PARAMETROS_CULTURAS!$H$6:$H$28,$P393),"MEDIA","FINAL"))))</f>
        <v>-</v>
      </c>
      <c r="R393" s="24" t="n">
        <f aca="false">IF($P393=0,0,IF($O393&lt;=INDEX(PARAMETROS_CULTURAS!$F$6:$F$28,$P393),INDEX(PARAMETROS_CULTURAS!$K$6:$K$28,$P393),IF($O393&lt;=INDEX(PARAMETROS_CULTURAS!$F$6:$F$28,$P393)+INDEX(PARAMETROS_CULTURAS!$G$6:$G$28,$P393),INDEX(PARAMETROS_CULTURAS!$K$6:$K$28,$P393)+(INDEX(PARAMETROS_CULTURAS!$L$6:$L$28,$P393)-INDEX(PARAMETROS_CULTURAS!$K$6:$K$28,$P393))*($O393-INDEX(PARAMETROS_CULTURAS!$F$6:$F$28,$P393))/MAX(INDEX(PARAMETROS_CULTURAS!$G$6:$G$28,$P393),0.0001),IF($O393&lt;=INDEX(PARAMETROS_CULTURAS!$F$6:$F$28,$P393)+INDEX(PARAMETROS_CULTURAS!$G$6:$G$28,$P393)+INDEX(PARAMETROS_CULTURAS!$H$6:$H$28,$P393),INDEX(PARAMETROS_CULTURAS!$L$6:$L$28,$P393),INDEX(PARAMETROS_CULTURAS!$L$6:$L$28,$P393)+(INDEX(PARAMETROS_CULTURAS!$M$6:$M$28,$P393)-INDEX(PARAMETROS_CULTURAS!$L$6:$L$28,$P393))*($O393-INDEX(PARAMETROS_CULTURAS!$F$6:$F$28,$P393)-INDEX(PARAMETROS_CULTURAS!$G$6:$G$28,$P393)-INDEX(PARAMETROS_CULTURAS!$H$6:$H$28,$P393))/MAX(INDEX(PARAMETROS_CULTURAS!$I$6:$I$28,$P393),0.0001)))))</f>
        <v>0</v>
      </c>
      <c r="S393" s="18" t="n">
        <f aca="false">IFERROR(INDEX(SEMANAS!$H$6:$H$71,MATCH($B393,SEMANAS!$B$6:$B$71,0)),0)</f>
        <v>39.2</v>
      </c>
      <c r="T393" s="18" t="n">
        <f aca="false">$R393*$S393</f>
        <v>0</v>
      </c>
      <c r="U393" s="18" t="n">
        <f aca="false">IFERROR(INDEX(SEMANAS!$I$6:$I$71,MATCH($B393,SEMANAS!$B$6:$B$71,0)),0)</f>
        <v>27.09</v>
      </c>
      <c r="V393" s="18" t="n">
        <f aca="false">IFERROR(INDEX(SEMANAS!$J$6:$J$71,MATCH($B393,SEMANAS!$B$6:$B$71,0)),0)</f>
        <v>21.672</v>
      </c>
      <c r="W393" s="18" t="n">
        <f aca="false">MAX(0,$T393-$V393)</f>
        <v>0</v>
      </c>
      <c r="X393" s="19" t="n">
        <f aca="false">IFERROR(INDEX(CADASTRO_PIVOS!$K$6:$K$41,MATCH($E393,CADASTRO_PIVOS!$B$6:$B$41,0)),EFICIENCIA_PADRAO)</f>
        <v>0.85</v>
      </c>
      <c r="Y393" s="18" t="n">
        <f aca="false">IF($X393&lt;=0,0,$W393/$X393)</f>
        <v>0</v>
      </c>
      <c r="Z393" s="16" t="n">
        <f aca="false">$Y393*$H393*MM_PARA_M3_HA</f>
        <v>0</v>
      </c>
      <c r="AA393" s="18" t="n">
        <f aca="false">IFERROR(INDEX(CADASTRO_PIVOS!$I$6:$I$41,MATCH($E393,CADASTRO_PIVOS!$B$6:$B$41,0)),0)</f>
        <v>922.571428571429</v>
      </c>
      <c r="AB393" s="18" t="n">
        <f aca="false">IF($Z393&lt;=0,0,$Z393/$AA393)</f>
        <v>0</v>
      </c>
      <c r="AC393" s="16" t="n">
        <f aca="false">IFERROR(INDEX(SEMANAS!$K$6:$K$71,MATCH($B393,SEMANAS!$B$6:$B$71,0)),0)</f>
        <v>147</v>
      </c>
      <c r="AD393" s="19" t="n">
        <f aca="false">IF($AC393&lt;=0,0,$AB393/$AC393)</f>
        <v>0</v>
      </c>
      <c r="AE393" s="8" t="str">
        <f aca="false">IF($K393="SEM CULTURA","SEM CULTURA",IF($AA393&lt;=0,"DADO PENDENTE",IF($AD393&gt;LIMITE_CRITICO,"INVIAVEL",IF($AD393&gt;LIMITE_ATENCAO,"CRITICO",IF($AD393&gt;LIMITE_CONFORTAVEL,"ATENCAO","OK")))))</f>
        <v>SEM CULTURA</v>
      </c>
      <c r="AF393" s="8" t="str">
        <f aca="false">$B393&amp;"|"&amp;TEXT($AD393,"0.000000")</f>
        <v>58|0.000000</v>
      </c>
      <c r="AG393" s="18" t="n">
        <f aca="false">IF($K393="SEM CULTURA",0,$T393*$H393)</f>
        <v>0</v>
      </c>
      <c r="AH393" s="18" t="n">
        <f aca="false">IF($K393="SEM CULTURA",0,$V393*$H393)</f>
        <v>0</v>
      </c>
      <c r="AI393" s="18" t="n">
        <f aca="false">IF($K393="SEM CULTURA",0,$W393*$H393)</f>
        <v>0</v>
      </c>
      <c r="AJ393" s="18" t="n">
        <f aca="false">IF($K393="SEM CULTURA",0,$S393*$H393)</f>
        <v>0</v>
      </c>
      <c r="AK393" s="8" t="str">
        <f aca="false">$E393&amp;"|"&amp;TEXT($AD393,"0.000000")</f>
        <v>PV 101|0.000000</v>
      </c>
    </row>
    <row r="394" customFormat="false" ht="15" hidden="false" customHeight="false" outlineLevel="0" collapsed="false">
      <c r="B394" s="16" t="n">
        <v>59</v>
      </c>
      <c r="C394" s="17" t="n">
        <f aca="false">DATA_INICIO_SAFRA+($B394-1)*DIAS_POR_SEMANA</f>
        <v>46671</v>
      </c>
      <c r="D394" s="17" t="n">
        <f aca="false">$C394+DIAS_POR_SEMANA-1</f>
        <v>46677</v>
      </c>
      <c r="E394" s="15" t="s">
        <v>264</v>
      </c>
      <c r="F394" s="8" t="str">
        <f aca="false">IFERROR(INDEX(CADASTRO_PIVOS!$C$6:$C$41,MATCH($E394,CADASTRO_PIVOS!$B$6:$B$41,0)),"?")</f>
        <v>RM04</v>
      </c>
      <c r="G394" s="8" t="str">
        <f aca="false">IFERROR(INDEX(CADASTRO_PIVOS!$D$6:$D$41,MATCH($E394,CADASTRO_PIVOS!$B$6:$B$41,0)),"?")</f>
        <v>TR04</v>
      </c>
      <c r="H394" s="20" t="n">
        <f aca="false">IFERROR(INDEX(CADASTRO_PIVOS!$E$6:$E$41,MATCH($E394,CADASTRO_PIVOS!$B$6:$B$41,0)),0)</f>
        <v>129.16</v>
      </c>
      <c r="I394" s="16" t="n">
        <f aca="false">IFERROR(SUMIFS(ROTACAO_RDM!$B$6:$B$71,ROTACAO_RDM!$D$6:$D$71,$E394,ROTACAO_RDM!$I$6:$I$71,"&lt;="&amp;$C394+INT(DIAS_POR_SEMANA/2),ROTACAO_RDM!$J$6:$J$71,"&gt;="&amp;$C394+INT(DIAS_POR_SEMANA/2)),0)</f>
        <v>0</v>
      </c>
      <c r="J394" s="16" t="n">
        <f aca="false">IFERROR(MATCH($I394,ROTACAO_RDM!$B$6:$B$71,0),0)</f>
        <v>0</v>
      </c>
      <c r="K394" s="8" t="str">
        <f aca="false">IF($J394=0,"SEM CULTURA",INDEX(ROTACAO_RDM!$F$6:$F$71,$J394))</f>
        <v>SEM CULTURA</v>
      </c>
      <c r="L394" s="8" t="str">
        <f aca="false">IF($J394=0,"",INDEX(ROTACAO_RDM!$G$6:$G$71,$J394))</f>
        <v/>
      </c>
      <c r="M394" s="17" t="str">
        <f aca="false">IF($J394=0,"",INDEX(ROTACAO_RDM!$I$6:$I$71,$J394))</f>
        <v/>
      </c>
      <c r="N394" s="16" t="n">
        <f aca="false">IF($J394=0,0,MAX(0,$C394+INT(DIAS_POR_SEMANA/2)-INDEX(ROTACAO_RDM!$I$6:$I$71,$J394)))</f>
        <v>0</v>
      </c>
      <c r="O394" s="19" t="n">
        <f aca="false">IF($J394=0,0,MIN(1,$N394/MAX(1,INDEX(ROTACAO_RDM!$K$6:$K$71,$J394))))</f>
        <v>0</v>
      </c>
      <c r="P394" s="16" t="n">
        <f aca="false">IF($J394=0,0,IFERROR(MATCH(INDEX(ROTACAO_RDM!$N$6:$N$71,$J394),PARAMETROS_CULTURAS!$B$6:$B$28,0),0))</f>
        <v>0</v>
      </c>
      <c r="Q394" s="8" t="str">
        <f aca="false">IF($P394=0,"-",IF($O394&lt;=INDEX(PARAMETROS_CULTURAS!$F$6:$F$28,$P394),"INICIAL",IF($O394&lt;=INDEX(PARAMETROS_CULTURAS!$F$6:$F$28,$P394)+INDEX(PARAMETROS_CULTURAS!$G$6:$G$28,$P394),"DESENVOLVIMENTO",IF($O394&lt;=INDEX(PARAMETROS_CULTURAS!$F$6:$F$28,$P394)+INDEX(PARAMETROS_CULTURAS!$G$6:$G$28,$P394)+INDEX(PARAMETROS_CULTURAS!$H$6:$H$28,$P394),"MEDIA","FINAL"))))</f>
        <v>-</v>
      </c>
      <c r="R394" s="24" t="n">
        <f aca="false">IF($P394=0,0,IF($O394&lt;=INDEX(PARAMETROS_CULTURAS!$F$6:$F$28,$P394),INDEX(PARAMETROS_CULTURAS!$K$6:$K$28,$P394),IF($O394&lt;=INDEX(PARAMETROS_CULTURAS!$F$6:$F$28,$P394)+INDEX(PARAMETROS_CULTURAS!$G$6:$G$28,$P394),INDEX(PARAMETROS_CULTURAS!$K$6:$K$28,$P394)+(INDEX(PARAMETROS_CULTURAS!$L$6:$L$28,$P394)-INDEX(PARAMETROS_CULTURAS!$K$6:$K$28,$P394))*($O394-INDEX(PARAMETROS_CULTURAS!$F$6:$F$28,$P394))/MAX(INDEX(PARAMETROS_CULTURAS!$G$6:$G$28,$P394),0.0001),IF($O394&lt;=INDEX(PARAMETROS_CULTURAS!$F$6:$F$28,$P394)+INDEX(PARAMETROS_CULTURAS!$G$6:$G$28,$P394)+INDEX(PARAMETROS_CULTURAS!$H$6:$H$28,$P394),INDEX(PARAMETROS_CULTURAS!$L$6:$L$28,$P394),INDEX(PARAMETROS_CULTURAS!$L$6:$L$28,$P394)+(INDEX(PARAMETROS_CULTURAS!$M$6:$M$28,$P394)-INDEX(PARAMETROS_CULTURAS!$L$6:$L$28,$P394))*($O394-INDEX(PARAMETROS_CULTURAS!$F$6:$F$28,$P394)-INDEX(PARAMETROS_CULTURAS!$G$6:$G$28,$P394)-INDEX(PARAMETROS_CULTURAS!$H$6:$H$28,$P394))/MAX(INDEX(PARAMETROS_CULTURAS!$I$6:$I$28,$P394),0.0001)))))</f>
        <v>0</v>
      </c>
      <c r="S394" s="18" t="n">
        <f aca="false">IFERROR(INDEX(SEMANAS!$H$6:$H$71,MATCH($B394,SEMANAS!$B$6:$B$71,0)),0)</f>
        <v>39.2</v>
      </c>
      <c r="T394" s="18" t="n">
        <f aca="false">$R394*$S394</f>
        <v>0</v>
      </c>
      <c r="U394" s="18" t="n">
        <f aca="false">IFERROR(INDEX(SEMANAS!$I$6:$I$71,MATCH($B394,SEMANAS!$B$6:$B$71,0)),0)</f>
        <v>27.09</v>
      </c>
      <c r="V394" s="18" t="n">
        <f aca="false">IFERROR(INDEX(SEMANAS!$J$6:$J$71,MATCH($B394,SEMANAS!$B$6:$B$71,0)),0)</f>
        <v>21.672</v>
      </c>
      <c r="W394" s="18" t="n">
        <f aca="false">MAX(0,$T394-$V394)</f>
        <v>0</v>
      </c>
      <c r="X394" s="19" t="n">
        <f aca="false">IFERROR(INDEX(CADASTRO_PIVOS!$K$6:$K$41,MATCH($E394,CADASTRO_PIVOS!$B$6:$B$41,0)),EFICIENCIA_PADRAO)</f>
        <v>0.85</v>
      </c>
      <c r="Y394" s="18" t="n">
        <f aca="false">IF($X394&lt;=0,0,$W394/$X394)</f>
        <v>0</v>
      </c>
      <c r="Z394" s="16" t="n">
        <f aca="false">$Y394*$H394*MM_PARA_M3_HA</f>
        <v>0</v>
      </c>
      <c r="AA394" s="18" t="n">
        <f aca="false">IFERROR(INDEX(CADASTRO_PIVOS!$I$6:$I$41,MATCH($E394,CADASTRO_PIVOS!$B$6:$B$41,0)),0)</f>
        <v>922.571428571429</v>
      </c>
      <c r="AB394" s="18" t="n">
        <f aca="false">IF($Z394&lt;=0,0,$Z394/$AA394)</f>
        <v>0</v>
      </c>
      <c r="AC394" s="16" t="n">
        <f aca="false">IFERROR(INDEX(SEMANAS!$K$6:$K$71,MATCH($B394,SEMANAS!$B$6:$B$71,0)),0)</f>
        <v>147</v>
      </c>
      <c r="AD394" s="19" t="n">
        <f aca="false">IF($AC394&lt;=0,0,$AB394/$AC394)</f>
        <v>0</v>
      </c>
      <c r="AE394" s="8" t="str">
        <f aca="false">IF($K394="SEM CULTURA","SEM CULTURA",IF($AA394&lt;=0,"DADO PENDENTE",IF($AD394&gt;LIMITE_CRITICO,"INVIAVEL",IF($AD394&gt;LIMITE_ATENCAO,"CRITICO",IF($AD394&gt;LIMITE_CONFORTAVEL,"ATENCAO","OK")))))</f>
        <v>SEM CULTURA</v>
      </c>
      <c r="AF394" s="8" t="str">
        <f aca="false">$B394&amp;"|"&amp;TEXT($AD394,"0.000000")</f>
        <v>59|0.000000</v>
      </c>
      <c r="AG394" s="18" t="n">
        <f aca="false">IF($K394="SEM CULTURA",0,$T394*$H394)</f>
        <v>0</v>
      </c>
      <c r="AH394" s="18" t="n">
        <f aca="false">IF($K394="SEM CULTURA",0,$V394*$H394)</f>
        <v>0</v>
      </c>
      <c r="AI394" s="18" t="n">
        <f aca="false">IF($K394="SEM CULTURA",0,$W394*$H394)</f>
        <v>0</v>
      </c>
      <c r="AJ394" s="18" t="n">
        <f aca="false">IF($K394="SEM CULTURA",0,$S394*$H394)</f>
        <v>0</v>
      </c>
      <c r="AK394" s="8" t="str">
        <f aca="false">$E394&amp;"|"&amp;TEXT($AD394,"0.000000")</f>
        <v>PV 101|0.000000</v>
      </c>
    </row>
    <row r="395" customFormat="false" ht="15" hidden="false" customHeight="false" outlineLevel="0" collapsed="false">
      <c r="B395" s="16" t="n">
        <v>60</v>
      </c>
      <c r="C395" s="17" t="n">
        <f aca="false">DATA_INICIO_SAFRA+($B395-1)*DIAS_POR_SEMANA</f>
        <v>46678</v>
      </c>
      <c r="D395" s="17" t="n">
        <f aca="false">$C395+DIAS_POR_SEMANA-1</f>
        <v>46684</v>
      </c>
      <c r="E395" s="15" t="s">
        <v>264</v>
      </c>
      <c r="F395" s="8" t="str">
        <f aca="false">IFERROR(INDEX(CADASTRO_PIVOS!$C$6:$C$41,MATCH($E395,CADASTRO_PIVOS!$B$6:$B$41,0)),"?")</f>
        <v>RM04</v>
      </c>
      <c r="G395" s="8" t="str">
        <f aca="false">IFERROR(INDEX(CADASTRO_PIVOS!$D$6:$D$41,MATCH($E395,CADASTRO_PIVOS!$B$6:$B$41,0)),"?")</f>
        <v>TR04</v>
      </c>
      <c r="H395" s="20" t="n">
        <f aca="false">IFERROR(INDEX(CADASTRO_PIVOS!$E$6:$E$41,MATCH($E395,CADASTRO_PIVOS!$B$6:$B$41,0)),0)</f>
        <v>129.16</v>
      </c>
      <c r="I395" s="16" t="n">
        <f aca="false">IFERROR(SUMIFS(ROTACAO_RDM!$B$6:$B$71,ROTACAO_RDM!$D$6:$D$71,$E395,ROTACAO_RDM!$I$6:$I$71,"&lt;="&amp;$C395+INT(DIAS_POR_SEMANA/2),ROTACAO_RDM!$J$6:$J$71,"&gt;="&amp;$C395+INT(DIAS_POR_SEMANA/2)),0)</f>
        <v>0</v>
      </c>
      <c r="J395" s="16" t="n">
        <f aca="false">IFERROR(MATCH($I395,ROTACAO_RDM!$B$6:$B$71,0),0)</f>
        <v>0</v>
      </c>
      <c r="K395" s="8" t="str">
        <f aca="false">IF($J395=0,"SEM CULTURA",INDEX(ROTACAO_RDM!$F$6:$F$71,$J395))</f>
        <v>SEM CULTURA</v>
      </c>
      <c r="L395" s="8" t="str">
        <f aca="false">IF($J395=0,"",INDEX(ROTACAO_RDM!$G$6:$G$71,$J395))</f>
        <v/>
      </c>
      <c r="M395" s="17" t="str">
        <f aca="false">IF($J395=0,"",INDEX(ROTACAO_RDM!$I$6:$I$71,$J395))</f>
        <v/>
      </c>
      <c r="N395" s="16" t="n">
        <f aca="false">IF($J395=0,0,MAX(0,$C395+INT(DIAS_POR_SEMANA/2)-INDEX(ROTACAO_RDM!$I$6:$I$71,$J395)))</f>
        <v>0</v>
      </c>
      <c r="O395" s="19" t="n">
        <f aca="false">IF($J395=0,0,MIN(1,$N395/MAX(1,INDEX(ROTACAO_RDM!$K$6:$K$71,$J395))))</f>
        <v>0</v>
      </c>
      <c r="P395" s="16" t="n">
        <f aca="false">IF($J395=0,0,IFERROR(MATCH(INDEX(ROTACAO_RDM!$N$6:$N$71,$J395),PARAMETROS_CULTURAS!$B$6:$B$28,0),0))</f>
        <v>0</v>
      </c>
      <c r="Q395" s="8" t="str">
        <f aca="false">IF($P395=0,"-",IF($O395&lt;=INDEX(PARAMETROS_CULTURAS!$F$6:$F$28,$P395),"INICIAL",IF($O395&lt;=INDEX(PARAMETROS_CULTURAS!$F$6:$F$28,$P395)+INDEX(PARAMETROS_CULTURAS!$G$6:$G$28,$P395),"DESENVOLVIMENTO",IF($O395&lt;=INDEX(PARAMETROS_CULTURAS!$F$6:$F$28,$P395)+INDEX(PARAMETROS_CULTURAS!$G$6:$G$28,$P395)+INDEX(PARAMETROS_CULTURAS!$H$6:$H$28,$P395),"MEDIA","FINAL"))))</f>
        <v>-</v>
      </c>
      <c r="R395" s="24" t="n">
        <f aca="false">IF($P395=0,0,IF($O395&lt;=INDEX(PARAMETROS_CULTURAS!$F$6:$F$28,$P395),INDEX(PARAMETROS_CULTURAS!$K$6:$K$28,$P395),IF($O395&lt;=INDEX(PARAMETROS_CULTURAS!$F$6:$F$28,$P395)+INDEX(PARAMETROS_CULTURAS!$G$6:$G$28,$P395),INDEX(PARAMETROS_CULTURAS!$K$6:$K$28,$P395)+(INDEX(PARAMETROS_CULTURAS!$L$6:$L$28,$P395)-INDEX(PARAMETROS_CULTURAS!$K$6:$K$28,$P395))*($O395-INDEX(PARAMETROS_CULTURAS!$F$6:$F$28,$P395))/MAX(INDEX(PARAMETROS_CULTURAS!$G$6:$G$28,$P395),0.0001),IF($O395&lt;=INDEX(PARAMETROS_CULTURAS!$F$6:$F$28,$P395)+INDEX(PARAMETROS_CULTURAS!$G$6:$G$28,$P395)+INDEX(PARAMETROS_CULTURAS!$H$6:$H$28,$P395),INDEX(PARAMETROS_CULTURAS!$L$6:$L$28,$P395),INDEX(PARAMETROS_CULTURAS!$L$6:$L$28,$P395)+(INDEX(PARAMETROS_CULTURAS!$M$6:$M$28,$P395)-INDEX(PARAMETROS_CULTURAS!$L$6:$L$28,$P395))*($O395-INDEX(PARAMETROS_CULTURAS!$F$6:$F$28,$P395)-INDEX(PARAMETROS_CULTURAS!$G$6:$G$28,$P395)-INDEX(PARAMETROS_CULTURAS!$H$6:$H$28,$P395))/MAX(INDEX(PARAMETROS_CULTURAS!$I$6:$I$28,$P395),0.0001)))))</f>
        <v>0</v>
      </c>
      <c r="S395" s="18" t="n">
        <f aca="false">IFERROR(INDEX(SEMANAS!$H$6:$H$71,MATCH($B395,SEMANAS!$B$6:$B$71,0)),0)</f>
        <v>39.2</v>
      </c>
      <c r="T395" s="18" t="n">
        <f aca="false">$R395*$S395</f>
        <v>0</v>
      </c>
      <c r="U395" s="18" t="n">
        <f aca="false">IFERROR(INDEX(SEMANAS!$I$6:$I$71,MATCH($B395,SEMANAS!$B$6:$B$71,0)),0)</f>
        <v>27.09</v>
      </c>
      <c r="V395" s="18" t="n">
        <f aca="false">IFERROR(INDEX(SEMANAS!$J$6:$J$71,MATCH($B395,SEMANAS!$B$6:$B$71,0)),0)</f>
        <v>21.672</v>
      </c>
      <c r="W395" s="18" t="n">
        <f aca="false">MAX(0,$T395-$V395)</f>
        <v>0</v>
      </c>
      <c r="X395" s="19" t="n">
        <f aca="false">IFERROR(INDEX(CADASTRO_PIVOS!$K$6:$K$41,MATCH($E395,CADASTRO_PIVOS!$B$6:$B$41,0)),EFICIENCIA_PADRAO)</f>
        <v>0.85</v>
      </c>
      <c r="Y395" s="18" t="n">
        <f aca="false">IF($X395&lt;=0,0,$W395/$X395)</f>
        <v>0</v>
      </c>
      <c r="Z395" s="16" t="n">
        <f aca="false">$Y395*$H395*MM_PARA_M3_HA</f>
        <v>0</v>
      </c>
      <c r="AA395" s="18" t="n">
        <f aca="false">IFERROR(INDEX(CADASTRO_PIVOS!$I$6:$I$41,MATCH($E395,CADASTRO_PIVOS!$B$6:$B$41,0)),0)</f>
        <v>922.571428571429</v>
      </c>
      <c r="AB395" s="18" t="n">
        <f aca="false">IF($Z395&lt;=0,0,$Z395/$AA395)</f>
        <v>0</v>
      </c>
      <c r="AC395" s="16" t="n">
        <f aca="false">IFERROR(INDEX(SEMANAS!$K$6:$K$71,MATCH($B395,SEMANAS!$B$6:$B$71,0)),0)</f>
        <v>147</v>
      </c>
      <c r="AD395" s="19" t="n">
        <f aca="false">IF($AC395&lt;=0,0,$AB395/$AC395)</f>
        <v>0</v>
      </c>
      <c r="AE395" s="8" t="str">
        <f aca="false">IF($K395="SEM CULTURA","SEM CULTURA",IF($AA395&lt;=0,"DADO PENDENTE",IF($AD395&gt;LIMITE_CRITICO,"INVIAVEL",IF($AD395&gt;LIMITE_ATENCAO,"CRITICO",IF($AD395&gt;LIMITE_CONFORTAVEL,"ATENCAO","OK")))))</f>
        <v>SEM CULTURA</v>
      </c>
      <c r="AF395" s="8" t="str">
        <f aca="false">$B395&amp;"|"&amp;TEXT($AD395,"0.000000")</f>
        <v>60|0.000000</v>
      </c>
      <c r="AG395" s="18" t="n">
        <f aca="false">IF($K395="SEM CULTURA",0,$T395*$H395)</f>
        <v>0</v>
      </c>
      <c r="AH395" s="18" t="n">
        <f aca="false">IF($K395="SEM CULTURA",0,$V395*$H395)</f>
        <v>0</v>
      </c>
      <c r="AI395" s="18" t="n">
        <f aca="false">IF($K395="SEM CULTURA",0,$W395*$H395)</f>
        <v>0</v>
      </c>
      <c r="AJ395" s="18" t="n">
        <f aca="false">IF($K395="SEM CULTURA",0,$S395*$H395)</f>
        <v>0</v>
      </c>
      <c r="AK395" s="8" t="str">
        <f aca="false">$E395&amp;"|"&amp;TEXT($AD395,"0.000000")</f>
        <v>PV 101|0.000000</v>
      </c>
    </row>
    <row r="396" customFormat="false" ht="15" hidden="false" customHeight="false" outlineLevel="0" collapsed="false">
      <c r="B396" s="16" t="n">
        <v>61</v>
      </c>
      <c r="C396" s="17" t="n">
        <f aca="false">DATA_INICIO_SAFRA+($B396-1)*DIAS_POR_SEMANA</f>
        <v>46685</v>
      </c>
      <c r="D396" s="17" t="n">
        <f aca="false">$C396+DIAS_POR_SEMANA-1</f>
        <v>46691</v>
      </c>
      <c r="E396" s="15" t="s">
        <v>264</v>
      </c>
      <c r="F396" s="8" t="str">
        <f aca="false">IFERROR(INDEX(CADASTRO_PIVOS!$C$6:$C$41,MATCH($E396,CADASTRO_PIVOS!$B$6:$B$41,0)),"?")</f>
        <v>RM04</v>
      </c>
      <c r="G396" s="8" t="str">
        <f aca="false">IFERROR(INDEX(CADASTRO_PIVOS!$D$6:$D$41,MATCH($E396,CADASTRO_PIVOS!$B$6:$B$41,0)),"?")</f>
        <v>TR04</v>
      </c>
      <c r="H396" s="20" t="n">
        <f aca="false">IFERROR(INDEX(CADASTRO_PIVOS!$E$6:$E$41,MATCH($E396,CADASTRO_PIVOS!$B$6:$B$41,0)),0)</f>
        <v>129.16</v>
      </c>
      <c r="I396" s="16" t="n">
        <f aca="false">IFERROR(SUMIFS(ROTACAO_RDM!$B$6:$B$71,ROTACAO_RDM!$D$6:$D$71,$E396,ROTACAO_RDM!$I$6:$I$71,"&lt;="&amp;$C396+INT(DIAS_POR_SEMANA/2),ROTACAO_RDM!$J$6:$J$71,"&gt;="&amp;$C396+INT(DIAS_POR_SEMANA/2)),0)</f>
        <v>0</v>
      </c>
      <c r="J396" s="16" t="n">
        <f aca="false">IFERROR(MATCH($I396,ROTACAO_RDM!$B$6:$B$71,0),0)</f>
        <v>0</v>
      </c>
      <c r="K396" s="8" t="str">
        <f aca="false">IF($J396=0,"SEM CULTURA",INDEX(ROTACAO_RDM!$F$6:$F$71,$J396))</f>
        <v>SEM CULTURA</v>
      </c>
      <c r="L396" s="8" t="str">
        <f aca="false">IF($J396=0,"",INDEX(ROTACAO_RDM!$G$6:$G$71,$J396))</f>
        <v/>
      </c>
      <c r="M396" s="17" t="str">
        <f aca="false">IF($J396=0,"",INDEX(ROTACAO_RDM!$I$6:$I$71,$J396))</f>
        <v/>
      </c>
      <c r="N396" s="16" t="n">
        <f aca="false">IF($J396=0,0,MAX(0,$C396+INT(DIAS_POR_SEMANA/2)-INDEX(ROTACAO_RDM!$I$6:$I$71,$J396)))</f>
        <v>0</v>
      </c>
      <c r="O396" s="19" t="n">
        <f aca="false">IF($J396=0,0,MIN(1,$N396/MAX(1,INDEX(ROTACAO_RDM!$K$6:$K$71,$J396))))</f>
        <v>0</v>
      </c>
      <c r="P396" s="16" t="n">
        <f aca="false">IF($J396=0,0,IFERROR(MATCH(INDEX(ROTACAO_RDM!$N$6:$N$71,$J396),PARAMETROS_CULTURAS!$B$6:$B$28,0),0))</f>
        <v>0</v>
      </c>
      <c r="Q396" s="8" t="str">
        <f aca="false">IF($P396=0,"-",IF($O396&lt;=INDEX(PARAMETROS_CULTURAS!$F$6:$F$28,$P396),"INICIAL",IF($O396&lt;=INDEX(PARAMETROS_CULTURAS!$F$6:$F$28,$P396)+INDEX(PARAMETROS_CULTURAS!$G$6:$G$28,$P396),"DESENVOLVIMENTO",IF($O396&lt;=INDEX(PARAMETROS_CULTURAS!$F$6:$F$28,$P396)+INDEX(PARAMETROS_CULTURAS!$G$6:$G$28,$P396)+INDEX(PARAMETROS_CULTURAS!$H$6:$H$28,$P396),"MEDIA","FINAL"))))</f>
        <v>-</v>
      </c>
      <c r="R396" s="24" t="n">
        <f aca="false">IF($P396=0,0,IF($O396&lt;=INDEX(PARAMETROS_CULTURAS!$F$6:$F$28,$P396),INDEX(PARAMETROS_CULTURAS!$K$6:$K$28,$P396),IF($O396&lt;=INDEX(PARAMETROS_CULTURAS!$F$6:$F$28,$P396)+INDEX(PARAMETROS_CULTURAS!$G$6:$G$28,$P396),INDEX(PARAMETROS_CULTURAS!$K$6:$K$28,$P396)+(INDEX(PARAMETROS_CULTURAS!$L$6:$L$28,$P396)-INDEX(PARAMETROS_CULTURAS!$K$6:$K$28,$P396))*($O396-INDEX(PARAMETROS_CULTURAS!$F$6:$F$28,$P396))/MAX(INDEX(PARAMETROS_CULTURAS!$G$6:$G$28,$P396),0.0001),IF($O396&lt;=INDEX(PARAMETROS_CULTURAS!$F$6:$F$28,$P396)+INDEX(PARAMETROS_CULTURAS!$G$6:$G$28,$P396)+INDEX(PARAMETROS_CULTURAS!$H$6:$H$28,$P396),INDEX(PARAMETROS_CULTURAS!$L$6:$L$28,$P396),INDEX(PARAMETROS_CULTURAS!$L$6:$L$28,$P396)+(INDEX(PARAMETROS_CULTURAS!$M$6:$M$28,$P396)-INDEX(PARAMETROS_CULTURAS!$L$6:$L$28,$P396))*($O396-INDEX(PARAMETROS_CULTURAS!$F$6:$F$28,$P396)-INDEX(PARAMETROS_CULTURAS!$G$6:$G$28,$P396)-INDEX(PARAMETROS_CULTURAS!$H$6:$H$28,$P396))/MAX(INDEX(PARAMETROS_CULTURAS!$I$6:$I$28,$P396),0.0001)))))</f>
        <v>0</v>
      </c>
      <c r="S396" s="18" t="n">
        <f aca="false">IFERROR(INDEX(SEMANAS!$H$6:$H$71,MATCH($B396,SEMANAS!$B$6:$B$71,0)),0)</f>
        <v>39.2</v>
      </c>
      <c r="T396" s="18" t="n">
        <f aca="false">$R396*$S396</f>
        <v>0</v>
      </c>
      <c r="U396" s="18" t="n">
        <f aca="false">IFERROR(INDEX(SEMANAS!$I$6:$I$71,MATCH($B396,SEMANAS!$B$6:$B$71,0)),0)</f>
        <v>27.09</v>
      </c>
      <c r="V396" s="18" t="n">
        <f aca="false">IFERROR(INDEX(SEMANAS!$J$6:$J$71,MATCH($B396,SEMANAS!$B$6:$B$71,0)),0)</f>
        <v>21.672</v>
      </c>
      <c r="W396" s="18" t="n">
        <f aca="false">MAX(0,$T396-$V396)</f>
        <v>0</v>
      </c>
      <c r="X396" s="19" t="n">
        <f aca="false">IFERROR(INDEX(CADASTRO_PIVOS!$K$6:$K$41,MATCH($E396,CADASTRO_PIVOS!$B$6:$B$41,0)),EFICIENCIA_PADRAO)</f>
        <v>0.85</v>
      </c>
      <c r="Y396" s="18" t="n">
        <f aca="false">IF($X396&lt;=0,0,$W396/$X396)</f>
        <v>0</v>
      </c>
      <c r="Z396" s="16" t="n">
        <f aca="false">$Y396*$H396*MM_PARA_M3_HA</f>
        <v>0</v>
      </c>
      <c r="AA396" s="18" t="n">
        <f aca="false">IFERROR(INDEX(CADASTRO_PIVOS!$I$6:$I$41,MATCH($E396,CADASTRO_PIVOS!$B$6:$B$41,0)),0)</f>
        <v>922.571428571429</v>
      </c>
      <c r="AB396" s="18" t="n">
        <f aca="false">IF($Z396&lt;=0,0,$Z396/$AA396)</f>
        <v>0</v>
      </c>
      <c r="AC396" s="16" t="n">
        <f aca="false">IFERROR(INDEX(SEMANAS!$K$6:$K$71,MATCH($B396,SEMANAS!$B$6:$B$71,0)),0)</f>
        <v>147</v>
      </c>
      <c r="AD396" s="19" t="n">
        <f aca="false">IF($AC396&lt;=0,0,$AB396/$AC396)</f>
        <v>0</v>
      </c>
      <c r="AE396" s="8" t="str">
        <f aca="false">IF($K396="SEM CULTURA","SEM CULTURA",IF($AA396&lt;=0,"DADO PENDENTE",IF($AD396&gt;LIMITE_CRITICO,"INVIAVEL",IF($AD396&gt;LIMITE_ATENCAO,"CRITICO",IF($AD396&gt;LIMITE_CONFORTAVEL,"ATENCAO","OK")))))</f>
        <v>SEM CULTURA</v>
      </c>
      <c r="AF396" s="8" t="str">
        <f aca="false">$B396&amp;"|"&amp;TEXT($AD396,"0.000000")</f>
        <v>61|0.000000</v>
      </c>
      <c r="AG396" s="18" t="n">
        <f aca="false">IF($K396="SEM CULTURA",0,$T396*$H396)</f>
        <v>0</v>
      </c>
      <c r="AH396" s="18" t="n">
        <f aca="false">IF($K396="SEM CULTURA",0,$V396*$H396)</f>
        <v>0</v>
      </c>
      <c r="AI396" s="18" t="n">
        <f aca="false">IF($K396="SEM CULTURA",0,$W396*$H396)</f>
        <v>0</v>
      </c>
      <c r="AJ396" s="18" t="n">
        <f aca="false">IF($K396="SEM CULTURA",0,$S396*$H396)</f>
        <v>0</v>
      </c>
      <c r="AK396" s="8" t="str">
        <f aca="false">$E396&amp;"|"&amp;TEXT($AD396,"0.000000")</f>
        <v>PV 101|0.000000</v>
      </c>
    </row>
    <row r="397" customFormat="false" ht="15" hidden="false" customHeight="false" outlineLevel="0" collapsed="false">
      <c r="B397" s="16" t="n">
        <v>62</v>
      </c>
      <c r="C397" s="17" t="n">
        <f aca="false">DATA_INICIO_SAFRA+($B397-1)*DIAS_POR_SEMANA</f>
        <v>46692</v>
      </c>
      <c r="D397" s="17" t="n">
        <f aca="false">$C397+DIAS_POR_SEMANA-1</f>
        <v>46698</v>
      </c>
      <c r="E397" s="15" t="s">
        <v>264</v>
      </c>
      <c r="F397" s="8" t="str">
        <f aca="false">IFERROR(INDEX(CADASTRO_PIVOS!$C$6:$C$41,MATCH($E397,CADASTRO_PIVOS!$B$6:$B$41,0)),"?")</f>
        <v>RM04</v>
      </c>
      <c r="G397" s="8" t="str">
        <f aca="false">IFERROR(INDEX(CADASTRO_PIVOS!$D$6:$D$41,MATCH($E397,CADASTRO_PIVOS!$B$6:$B$41,0)),"?")</f>
        <v>TR04</v>
      </c>
      <c r="H397" s="20" t="n">
        <f aca="false">IFERROR(INDEX(CADASTRO_PIVOS!$E$6:$E$41,MATCH($E397,CADASTRO_PIVOS!$B$6:$B$41,0)),0)</f>
        <v>129.16</v>
      </c>
      <c r="I397" s="16" t="n">
        <f aca="false">IFERROR(SUMIFS(ROTACAO_RDM!$B$6:$B$71,ROTACAO_RDM!$D$6:$D$71,$E397,ROTACAO_RDM!$I$6:$I$71,"&lt;="&amp;$C397+INT(DIAS_POR_SEMANA/2),ROTACAO_RDM!$J$6:$J$71,"&gt;="&amp;$C397+INT(DIAS_POR_SEMANA/2)),0)</f>
        <v>0</v>
      </c>
      <c r="J397" s="16" t="n">
        <f aca="false">IFERROR(MATCH($I397,ROTACAO_RDM!$B$6:$B$71,0),0)</f>
        <v>0</v>
      </c>
      <c r="K397" s="8" t="str">
        <f aca="false">IF($J397=0,"SEM CULTURA",INDEX(ROTACAO_RDM!$F$6:$F$71,$J397))</f>
        <v>SEM CULTURA</v>
      </c>
      <c r="L397" s="8" t="str">
        <f aca="false">IF($J397=0,"",INDEX(ROTACAO_RDM!$G$6:$G$71,$J397))</f>
        <v/>
      </c>
      <c r="M397" s="17" t="str">
        <f aca="false">IF($J397=0,"",INDEX(ROTACAO_RDM!$I$6:$I$71,$J397))</f>
        <v/>
      </c>
      <c r="N397" s="16" t="n">
        <f aca="false">IF($J397=0,0,MAX(0,$C397+INT(DIAS_POR_SEMANA/2)-INDEX(ROTACAO_RDM!$I$6:$I$71,$J397)))</f>
        <v>0</v>
      </c>
      <c r="O397" s="19" t="n">
        <f aca="false">IF($J397=0,0,MIN(1,$N397/MAX(1,INDEX(ROTACAO_RDM!$K$6:$K$71,$J397))))</f>
        <v>0</v>
      </c>
      <c r="P397" s="16" t="n">
        <f aca="false">IF($J397=0,0,IFERROR(MATCH(INDEX(ROTACAO_RDM!$N$6:$N$71,$J397),PARAMETROS_CULTURAS!$B$6:$B$28,0),0))</f>
        <v>0</v>
      </c>
      <c r="Q397" s="8" t="str">
        <f aca="false">IF($P397=0,"-",IF($O397&lt;=INDEX(PARAMETROS_CULTURAS!$F$6:$F$28,$P397),"INICIAL",IF($O397&lt;=INDEX(PARAMETROS_CULTURAS!$F$6:$F$28,$P397)+INDEX(PARAMETROS_CULTURAS!$G$6:$G$28,$P397),"DESENVOLVIMENTO",IF($O397&lt;=INDEX(PARAMETROS_CULTURAS!$F$6:$F$28,$P397)+INDEX(PARAMETROS_CULTURAS!$G$6:$G$28,$P397)+INDEX(PARAMETROS_CULTURAS!$H$6:$H$28,$P397),"MEDIA","FINAL"))))</f>
        <v>-</v>
      </c>
      <c r="R397" s="24" t="n">
        <f aca="false">IF($P397=0,0,IF($O397&lt;=INDEX(PARAMETROS_CULTURAS!$F$6:$F$28,$P397),INDEX(PARAMETROS_CULTURAS!$K$6:$K$28,$P397),IF($O397&lt;=INDEX(PARAMETROS_CULTURAS!$F$6:$F$28,$P397)+INDEX(PARAMETROS_CULTURAS!$G$6:$G$28,$P397),INDEX(PARAMETROS_CULTURAS!$K$6:$K$28,$P397)+(INDEX(PARAMETROS_CULTURAS!$L$6:$L$28,$P397)-INDEX(PARAMETROS_CULTURAS!$K$6:$K$28,$P397))*($O397-INDEX(PARAMETROS_CULTURAS!$F$6:$F$28,$P397))/MAX(INDEX(PARAMETROS_CULTURAS!$G$6:$G$28,$P397),0.0001),IF($O397&lt;=INDEX(PARAMETROS_CULTURAS!$F$6:$F$28,$P397)+INDEX(PARAMETROS_CULTURAS!$G$6:$G$28,$P397)+INDEX(PARAMETROS_CULTURAS!$H$6:$H$28,$P397),INDEX(PARAMETROS_CULTURAS!$L$6:$L$28,$P397),INDEX(PARAMETROS_CULTURAS!$L$6:$L$28,$P397)+(INDEX(PARAMETROS_CULTURAS!$M$6:$M$28,$P397)-INDEX(PARAMETROS_CULTURAS!$L$6:$L$28,$P397))*($O397-INDEX(PARAMETROS_CULTURAS!$F$6:$F$28,$P397)-INDEX(PARAMETROS_CULTURAS!$G$6:$G$28,$P397)-INDEX(PARAMETROS_CULTURAS!$H$6:$H$28,$P397))/MAX(INDEX(PARAMETROS_CULTURAS!$I$6:$I$28,$P397),0.0001)))))</f>
        <v>0</v>
      </c>
      <c r="S397" s="18" t="n">
        <f aca="false">IFERROR(INDEX(SEMANAS!$H$6:$H$71,MATCH($B397,SEMANAS!$B$6:$B$71,0)),0)</f>
        <v>34.3</v>
      </c>
      <c r="T397" s="18" t="n">
        <f aca="false">$R397*$S397</f>
        <v>0</v>
      </c>
      <c r="U397" s="18" t="n">
        <f aca="false">IFERROR(INDEX(SEMANAS!$I$6:$I$71,MATCH($B397,SEMANAS!$B$6:$B$71,0)),0)</f>
        <v>46.69</v>
      </c>
      <c r="V397" s="18" t="n">
        <f aca="false">IFERROR(INDEX(SEMANAS!$J$6:$J$71,MATCH($B397,SEMANAS!$B$6:$B$71,0)),0)</f>
        <v>37.352</v>
      </c>
      <c r="W397" s="18" t="n">
        <f aca="false">MAX(0,$T397-$V397)</f>
        <v>0</v>
      </c>
      <c r="X397" s="19" t="n">
        <f aca="false">IFERROR(INDEX(CADASTRO_PIVOS!$K$6:$K$41,MATCH($E397,CADASTRO_PIVOS!$B$6:$B$41,0)),EFICIENCIA_PADRAO)</f>
        <v>0.85</v>
      </c>
      <c r="Y397" s="18" t="n">
        <f aca="false">IF($X397&lt;=0,0,$W397/$X397)</f>
        <v>0</v>
      </c>
      <c r="Z397" s="16" t="n">
        <f aca="false">$Y397*$H397*MM_PARA_M3_HA</f>
        <v>0</v>
      </c>
      <c r="AA397" s="18" t="n">
        <f aca="false">IFERROR(INDEX(CADASTRO_PIVOS!$I$6:$I$41,MATCH($E397,CADASTRO_PIVOS!$B$6:$B$41,0)),0)</f>
        <v>922.571428571429</v>
      </c>
      <c r="AB397" s="18" t="n">
        <f aca="false">IF($Z397&lt;=0,0,$Z397/$AA397)</f>
        <v>0</v>
      </c>
      <c r="AC397" s="16" t="n">
        <f aca="false">IFERROR(INDEX(SEMANAS!$K$6:$K$71,MATCH($B397,SEMANAS!$B$6:$B$71,0)),0)</f>
        <v>147</v>
      </c>
      <c r="AD397" s="19" t="n">
        <f aca="false">IF($AC397&lt;=0,0,$AB397/$AC397)</f>
        <v>0</v>
      </c>
      <c r="AE397" s="8" t="str">
        <f aca="false">IF($K397="SEM CULTURA","SEM CULTURA",IF($AA397&lt;=0,"DADO PENDENTE",IF($AD397&gt;LIMITE_CRITICO,"INVIAVEL",IF($AD397&gt;LIMITE_ATENCAO,"CRITICO",IF($AD397&gt;LIMITE_CONFORTAVEL,"ATENCAO","OK")))))</f>
        <v>SEM CULTURA</v>
      </c>
      <c r="AF397" s="8" t="str">
        <f aca="false">$B397&amp;"|"&amp;TEXT($AD397,"0.000000")</f>
        <v>62|0.000000</v>
      </c>
      <c r="AG397" s="18" t="n">
        <f aca="false">IF($K397="SEM CULTURA",0,$T397*$H397)</f>
        <v>0</v>
      </c>
      <c r="AH397" s="18" t="n">
        <f aca="false">IF($K397="SEM CULTURA",0,$V397*$H397)</f>
        <v>0</v>
      </c>
      <c r="AI397" s="18" t="n">
        <f aca="false">IF($K397="SEM CULTURA",0,$W397*$H397)</f>
        <v>0</v>
      </c>
      <c r="AJ397" s="18" t="n">
        <f aca="false">IF($K397="SEM CULTURA",0,$S397*$H397)</f>
        <v>0</v>
      </c>
      <c r="AK397" s="8" t="str">
        <f aca="false">$E397&amp;"|"&amp;TEXT($AD397,"0.000000")</f>
        <v>PV 101|0.000000</v>
      </c>
    </row>
    <row r="398" customFormat="false" ht="15" hidden="false" customHeight="false" outlineLevel="0" collapsed="false">
      <c r="B398" s="16" t="n">
        <v>63</v>
      </c>
      <c r="C398" s="17" t="n">
        <f aca="false">DATA_INICIO_SAFRA+($B398-1)*DIAS_POR_SEMANA</f>
        <v>46699</v>
      </c>
      <c r="D398" s="17" t="n">
        <f aca="false">$C398+DIAS_POR_SEMANA-1</f>
        <v>46705</v>
      </c>
      <c r="E398" s="15" t="s">
        <v>264</v>
      </c>
      <c r="F398" s="8" t="str">
        <f aca="false">IFERROR(INDEX(CADASTRO_PIVOS!$C$6:$C$41,MATCH($E398,CADASTRO_PIVOS!$B$6:$B$41,0)),"?")</f>
        <v>RM04</v>
      </c>
      <c r="G398" s="8" t="str">
        <f aca="false">IFERROR(INDEX(CADASTRO_PIVOS!$D$6:$D$41,MATCH($E398,CADASTRO_PIVOS!$B$6:$B$41,0)),"?")</f>
        <v>TR04</v>
      </c>
      <c r="H398" s="20" t="n">
        <f aca="false">IFERROR(INDEX(CADASTRO_PIVOS!$E$6:$E$41,MATCH($E398,CADASTRO_PIVOS!$B$6:$B$41,0)),0)</f>
        <v>129.16</v>
      </c>
      <c r="I398" s="16" t="n">
        <f aca="false">IFERROR(SUMIFS(ROTACAO_RDM!$B$6:$B$71,ROTACAO_RDM!$D$6:$D$71,$E398,ROTACAO_RDM!$I$6:$I$71,"&lt;="&amp;$C398+INT(DIAS_POR_SEMANA/2),ROTACAO_RDM!$J$6:$J$71,"&gt;="&amp;$C398+INT(DIAS_POR_SEMANA/2)),0)</f>
        <v>0</v>
      </c>
      <c r="J398" s="16" t="n">
        <f aca="false">IFERROR(MATCH($I398,ROTACAO_RDM!$B$6:$B$71,0),0)</f>
        <v>0</v>
      </c>
      <c r="K398" s="8" t="str">
        <f aca="false">IF($J398=0,"SEM CULTURA",INDEX(ROTACAO_RDM!$F$6:$F$71,$J398))</f>
        <v>SEM CULTURA</v>
      </c>
      <c r="L398" s="8" t="str">
        <f aca="false">IF($J398=0,"",INDEX(ROTACAO_RDM!$G$6:$G$71,$J398))</f>
        <v/>
      </c>
      <c r="M398" s="17" t="str">
        <f aca="false">IF($J398=0,"",INDEX(ROTACAO_RDM!$I$6:$I$71,$J398))</f>
        <v/>
      </c>
      <c r="N398" s="16" t="n">
        <f aca="false">IF($J398=0,0,MAX(0,$C398+INT(DIAS_POR_SEMANA/2)-INDEX(ROTACAO_RDM!$I$6:$I$71,$J398)))</f>
        <v>0</v>
      </c>
      <c r="O398" s="19" t="n">
        <f aca="false">IF($J398=0,0,MIN(1,$N398/MAX(1,INDEX(ROTACAO_RDM!$K$6:$K$71,$J398))))</f>
        <v>0</v>
      </c>
      <c r="P398" s="16" t="n">
        <f aca="false">IF($J398=0,0,IFERROR(MATCH(INDEX(ROTACAO_RDM!$N$6:$N$71,$J398),PARAMETROS_CULTURAS!$B$6:$B$28,0),0))</f>
        <v>0</v>
      </c>
      <c r="Q398" s="8" t="str">
        <f aca="false">IF($P398=0,"-",IF($O398&lt;=INDEX(PARAMETROS_CULTURAS!$F$6:$F$28,$P398),"INICIAL",IF($O398&lt;=INDEX(PARAMETROS_CULTURAS!$F$6:$F$28,$P398)+INDEX(PARAMETROS_CULTURAS!$G$6:$G$28,$P398),"DESENVOLVIMENTO",IF($O398&lt;=INDEX(PARAMETROS_CULTURAS!$F$6:$F$28,$P398)+INDEX(PARAMETROS_CULTURAS!$G$6:$G$28,$P398)+INDEX(PARAMETROS_CULTURAS!$H$6:$H$28,$P398),"MEDIA","FINAL"))))</f>
        <v>-</v>
      </c>
      <c r="R398" s="24" t="n">
        <f aca="false">IF($P398=0,0,IF($O398&lt;=INDEX(PARAMETROS_CULTURAS!$F$6:$F$28,$P398),INDEX(PARAMETROS_CULTURAS!$K$6:$K$28,$P398),IF($O398&lt;=INDEX(PARAMETROS_CULTURAS!$F$6:$F$28,$P398)+INDEX(PARAMETROS_CULTURAS!$G$6:$G$28,$P398),INDEX(PARAMETROS_CULTURAS!$K$6:$K$28,$P398)+(INDEX(PARAMETROS_CULTURAS!$L$6:$L$28,$P398)-INDEX(PARAMETROS_CULTURAS!$K$6:$K$28,$P398))*($O398-INDEX(PARAMETROS_CULTURAS!$F$6:$F$28,$P398))/MAX(INDEX(PARAMETROS_CULTURAS!$G$6:$G$28,$P398),0.0001),IF($O398&lt;=INDEX(PARAMETROS_CULTURAS!$F$6:$F$28,$P398)+INDEX(PARAMETROS_CULTURAS!$G$6:$G$28,$P398)+INDEX(PARAMETROS_CULTURAS!$H$6:$H$28,$P398),INDEX(PARAMETROS_CULTURAS!$L$6:$L$28,$P398),INDEX(PARAMETROS_CULTURAS!$L$6:$L$28,$P398)+(INDEX(PARAMETROS_CULTURAS!$M$6:$M$28,$P398)-INDEX(PARAMETROS_CULTURAS!$L$6:$L$28,$P398))*($O398-INDEX(PARAMETROS_CULTURAS!$F$6:$F$28,$P398)-INDEX(PARAMETROS_CULTURAS!$G$6:$G$28,$P398)-INDEX(PARAMETROS_CULTURAS!$H$6:$H$28,$P398))/MAX(INDEX(PARAMETROS_CULTURAS!$I$6:$I$28,$P398),0.0001)))))</f>
        <v>0</v>
      </c>
      <c r="S398" s="18" t="n">
        <f aca="false">IFERROR(INDEX(SEMANAS!$H$6:$H$71,MATCH($B398,SEMANAS!$B$6:$B$71,0)),0)</f>
        <v>34.3</v>
      </c>
      <c r="T398" s="18" t="n">
        <f aca="false">$R398*$S398</f>
        <v>0</v>
      </c>
      <c r="U398" s="18" t="n">
        <f aca="false">IFERROR(INDEX(SEMANAS!$I$6:$I$71,MATCH($B398,SEMANAS!$B$6:$B$71,0)),0)</f>
        <v>46.69</v>
      </c>
      <c r="V398" s="18" t="n">
        <f aca="false">IFERROR(INDEX(SEMANAS!$J$6:$J$71,MATCH($B398,SEMANAS!$B$6:$B$71,0)),0)</f>
        <v>37.352</v>
      </c>
      <c r="W398" s="18" t="n">
        <f aca="false">MAX(0,$T398-$V398)</f>
        <v>0</v>
      </c>
      <c r="X398" s="19" t="n">
        <f aca="false">IFERROR(INDEX(CADASTRO_PIVOS!$K$6:$K$41,MATCH($E398,CADASTRO_PIVOS!$B$6:$B$41,0)),EFICIENCIA_PADRAO)</f>
        <v>0.85</v>
      </c>
      <c r="Y398" s="18" t="n">
        <f aca="false">IF($X398&lt;=0,0,$W398/$X398)</f>
        <v>0</v>
      </c>
      <c r="Z398" s="16" t="n">
        <f aca="false">$Y398*$H398*MM_PARA_M3_HA</f>
        <v>0</v>
      </c>
      <c r="AA398" s="18" t="n">
        <f aca="false">IFERROR(INDEX(CADASTRO_PIVOS!$I$6:$I$41,MATCH($E398,CADASTRO_PIVOS!$B$6:$B$41,0)),0)</f>
        <v>922.571428571429</v>
      </c>
      <c r="AB398" s="18" t="n">
        <f aca="false">IF($Z398&lt;=0,0,$Z398/$AA398)</f>
        <v>0</v>
      </c>
      <c r="AC398" s="16" t="n">
        <f aca="false">IFERROR(INDEX(SEMANAS!$K$6:$K$71,MATCH($B398,SEMANAS!$B$6:$B$71,0)),0)</f>
        <v>147</v>
      </c>
      <c r="AD398" s="19" t="n">
        <f aca="false">IF($AC398&lt;=0,0,$AB398/$AC398)</f>
        <v>0</v>
      </c>
      <c r="AE398" s="8" t="str">
        <f aca="false">IF($K398="SEM CULTURA","SEM CULTURA",IF($AA398&lt;=0,"DADO PENDENTE",IF($AD398&gt;LIMITE_CRITICO,"INVIAVEL",IF($AD398&gt;LIMITE_ATENCAO,"CRITICO",IF($AD398&gt;LIMITE_CONFORTAVEL,"ATENCAO","OK")))))</f>
        <v>SEM CULTURA</v>
      </c>
      <c r="AF398" s="8" t="str">
        <f aca="false">$B398&amp;"|"&amp;TEXT($AD398,"0.000000")</f>
        <v>63|0.000000</v>
      </c>
      <c r="AG398" s="18" t="n">
        <f aca="false">IF($K398="SEM CULTURA",0,$T398*$H398)</f>
        <v>0</v>
      </c>
      <c r="AH398" s="18" t="n">
        <f aca="false">IF($K398="SEM CULTURA",0,$V398*$H398)</f>
        <v>0</v>
      </c>
      <c r="AI398" s="18" t="n">
        <f aca="false">IF($K398="SEM CULTURA",0,$W398*$H398)</f>
        <v>0</v>
      </c>
      <c r="AJ398" s="18" t="n">
        <f aca="false">IF($K398="SEM CULTURA",0,$S398*$H398)</f>
        <v>0</v>
      </c>
      <c r="AK398" s="8" t="str">
        <f aca="false">$E398&amp;"|"&amp;TEXT($AD398,"0.000000")</f>
        <v>PV 101|0.000000</v>
      </c>
    </row>
    <row r="399" customFormat="false" ht="15" hidden="false" customHeight="false" outlineLevel="0" collapsed="false">
      <c r="B399" s="16" t="n">
        <v>64</v>
      </c>
      <c r="C399" s="17" t="n">
        <f aca="false">DATA_INICIO_SAFRA+($B399-1)*DIAS_POR_SEMANA</f>
        <v>46706</v>
      </c>
      <c r="D399" s="17" t="n">
        <f aca="false">$C399+DIAS_POR_SEMANA-1</f>
        <v>46712</v>
      </c>
      <c r="E399" s="15" t="s">
        <v>264</v>
      </c>
      <c r="F399" s="8" t="str">
        <f aca="false">IFERROR(INDEX(CADASTRO_PIVOS!$C$6:$C$41,MATCH($E399,CADASTRO_PIVOS!$B$6:$B$41,0)),"?")</f>
        <v>RM04</v>
      </c>
      <c r="G399" s="8" t="str">
        <f aca="false">IFERROR(INDEX(CADASTRO_PIVOS!$D$6:$D$41,MATCH($E399,CADASTRO_PIVOS!$B$6:$B$41,0)),"?")</f>
        <v>TR04</v>
      </c>
      <c r="H399" s="20" t="n">
        <f aca="false">IFERROR(INDEX(CADASTRO_PIVOS!$E$6:$E$41,MATCH($E399,CADASTRO_PIVOS!$B$6:$B$41,0)),0)</f>
        <v>129.16</v>
      </c>
      <c r="I399" s="16" t="n">
        <f aca="false">IFERROR(SUMIFS(ROTACAO_RDM!$B$6:$B$71,ROTACAO_RDM!$D$6:$D$71,$E399,ROTACAO_RDM!$I$6:$I$71,"&lt;="&amp;$C399+INT(DIAS_POR_SEMANA/2),ROTACAO_RDM!$J$6:$J$71,"&gt;="&amp;$C399+INT(DIAS_POR_SEMANA/2)),0)</f>
        <v>0</v>
      </c>
      <c r="J399" s="16" t="n">
        <f aca="false">IFERROR(MATCH($I399,ROTACAO_RDM!$B$6:$B$71,0),0)</f>
        <v>0</v>
      </c>
      <c r="K399" s="8" t="str">
        <f aca="false">IF($J399=0,"SEM CULTURA",INDEX(ROTACAO_RDM!$F$6:$F$71,$J399))</f>
        <v>SEM CULTURA</v>
      </c>
      <c r="L399" s="8" t="str">
        <f aca="false">IF($J399=0,"",INDEX(ROTACAO_RDM!$G$6:$G$71,$J399))</f>
        <v/>
      </c>
      <c r="M399" s="17" t="str">
        <f aca="false">IF($J399=0,"",INDEX(ROTACAO_RDM!$I$6:$I$71,$J399))</f>
        <v/>
      </c>
      <c r="N399" s="16" t="n">
        <f aca="false">IF($J399=0,0,MAX(0,$C399+INT(DIAS_POR_SEMANA/2)-INDEX(ROTACAO_RDM!$I$6:$I$71,$J399)))</f>
        <v>0</v>
      </c>
      <c r="O399" s="19" t="n">
        <f aca="false">IF($J399=0,0,MIN(1,$N399/MAX(1,INDEX(ROTACAO_RDM!$K$6:$K$71,$J399))))</f>
        <v>0</v>
      </c>
      <c r="P399" s="16" t="n">
        <f aca="false">IF($J399=0,0,IFERROR(MATCH(INDEX(ROTACAO_RDM!$N$6:$N$71,$J399),PARAMETROS_CULTURAS!$B$6:$B$28,0),0))</f>
        <v>0</v>
      </c>
      <c r="Q399" s="8" t="str">
        <f aca="false">IF($P399=0,"-",IF($O399&lt;=INDEX(PARAMETROS_CULTURAS!$F$6:$F$28,$P399),"INICIAL",IF($O399&lt;=INDEX(PARAMETROS_CULTURAS!$F$6:$F$28,$P399)+INDEX(PARAMETROS_CULTURAS!$G$6:$G$28,$P399),"DESENVOLVIMENTO",IF($O399&lt;=INDEX(PARAMETROS_CULTURAS!$F$6:$F$28,$P399)+INDEX(PARAMETROS_CULTURAS!$G$6:$G$28,$P399)+INDEX(PARAMETROS_CULTURAS!$H$6:$H$28,$P399),"MEDIA","FINAL"))))</f>
        <v>-</v>
      </c>
      <c r="R399" s="24" t="n">
        <f aca="false">IF($P399=0,0,IF($O399&lt;=INDEX(PARAMETROS_CULTURAS!$F$6:$F$28,$P399),INDEX(PARAMETROS_CULTURAS!$K$6:$K$28,$P399),IF($O399&lt;=INDEX(PARAMETROS_CULTURAS!$F$6:$F$28,$P399)+INDEX(PARAMETROS_CULTURAS!$G$6:$G$28,$P399),INDEX(PARAMETROS_CULTURAS!$K$6:$K$28,$P399)+(INDEX(PARAMETROS_CULTURAS!$L$6:$L$28,$P399)-INDEX(PARAMETROS_CULTURAS!$K$6:$K$28,$P399))*($O399-INDEX(PARAMETROS_CULTURAS!$F$6:$F$28,$P399))/MAX(INDEX(PARAMETROS_CULTURAS!$G$6:$G$28,$P399),0.0001),IF($O399&lt;=INDEX(PARAMETROS_CULTURAS!$F$6:$F$28,$P399)+INDEX(PARAMETROS_CULTURAS!$G$6:$G$28,$P399)+INDEX(PARAMETROS_CULTURAS!$H$6:$H$28,$P399),INDEX(PARAMETROS_CULTURAS!$L$6:$L$28,$P399),INDEX(PARAMETROS_CULTURAS!$L$6:$L$28,$P399)+(INDEX(PARAMETROS_CULTURAS!$M$6:$M$28,$P399)-INDEX(PARAMETROS_CULTURAS!$L$6:$L$28,$P399))*($O399-INDEX(PARAMETROS_CULTURAS!$F$6:$F$28,$P399)-INDEX(PARAMETROS_CULTURAS!$G$6:$G$28,$P399)-INDEX(PARAMETROS_CULTURAS!$H$6:$H$28,$P399))/MAX(INDEX(PARAMETROS_CULTURAS!$I$6:$I$28,$P399),0.0001)))))</f>
        <v>0</v>
      </c>
      <c r="S399" s="18" t="n">
        <f aca="false">IFERROR(INDEX(SEMANAS!$H$6:$H$71,MATCH($B399,SEMANAS!$B$6:$B$71,0)),0)</f>
        <v>34.3</v>
      </c>
      <c r="T399" s="18" t="n">
        <f aca="false">$R399*$S399</f>
        <v>0</v>
      </c>
      <c r="U399" s="18" t="n">
        <f aca="false">IFERROR(INDEX(SEMANAS!$I$6:$I$71,MATCH($B399,SEMANAS!$B$6:$B$71,0)),0)</f>
        <v>46.69</v>
      </c>
      <c r="V399" s="18" t="n">
        <f aca="false">IFERROR(INDEX(SEMANAS!$J$6:$J$71,MATCH($B399,SEMANAS!$B$6:$B$71,0)),0)</f>
        <v>37.352</v>
      </c>
      <c r="W399" s="18" t="n">
        <f aca="false">MAX(0,$T399-$V399)</f>
        <v>0</v>
      </c>
      <c r="X399" s="19" t="n">
        <f aca="false">IFERROR(INDEX(CADASTRO_PIVOS!$K$6:$K$41,MATCH($E399,CADASTRO_PIVOS!$B$6:$B$41,0)),EFICIENCIA_PADRAO)</f>
        <v>0.85</v>
      </c>
      <c r="Y399" s="18" t="n">
        <f aca="false">IF($X399&lt;=0,0,$W399/$X399)</f>
        <v>0</v>
      </c>
      <c r="Z399" s="16" t="n">
        <f aca="false">$Y399*$H399*MM_PARA_M3_HA</f>
        <v>0</v>
      </c>
      <c r="AA399" s="18" t="n">
        <f aca="false">IFERROR(INDEX(CADASTRO_PIVOS!$I$6:$I$41,MATCH($E399,CADASTRO_PIVOS!$B$6:$B$41,0)),0)</f>
        <v>922.571428571429</v>
      </c>
      <c r="AB399" s="18" t="n">
        <f aca="false">IF($Z399&lt;=0,0,$Z399/$AA399)</f>
        <v>0</v>
      </c>
      <c r="AC399" s="16" t="n">
        <f aca="false">IFERROR(INDEX(SEMANAS!$K$6:$K$71,MATCH($B399,SEMANAS!$B$6:$B$71,0)),0)</f>
        <v>147</v>
      </c>
      <c r="AD399" s="19" t="n">
        <f aca="false">IF($AC399&lt;=0,0,$AB399/$AC399)</f>
        <v>0</v>
      </c>
      <c r="AE399" s="8" t="str">
        <f aca="false">IF($K399="SEM CULTURA","SEM CULTURA",IF($AA399&lt;=0,"DADO PENDENTE",IF($AD399&gt;LIMITE_CRITICO,"INVIAVEL",IF($AD399&gt;LIMITE_ATENCAO,"CRITICO",IF($AD399&gt;LIMITE_CONFORTAVEL,"ATENCAO","OK")))))</f>
        <v>SEM CULTURA</v>
      </c>
      <c r="AF399" s="8" t="str">
        <f aca="false">$B399&amp;"|"&amp;TEXT($AD399,"0.000000")</f>
        <v>64|0.000000</v>
      </c>
      <c r="AG399" s="18" t="n">
        <f aca="false">IF($K399="SEM CULTURA",0,$T399*$H399)</f>
        <v>0</v>
      </c>
      <c r="AH399" s="18" t="n">
        <f aca="false">IF($K399="SEM CULTURA",0,$V399*$H399)</f>
        <v>0</v>
      </c>
      <c r="AI399" s="18" t="n">
        <f aca="false">IF($K399="SEM CULTURA",0,$W399*$H399)</f>
        <v>0</v>
      </c>
      <c r="AJ399" s="18" t="n">
        <f aca="false">IF($K399="SEM CULTURA",0,$S399*$H399)</f>
        <v>0</v>
      </c>
      <c r="AK399" s="8" t="str">
        <f aca="false">$E399&amp;"|"&amp;TEXT($AD399,"0.000000")</f>
        <v>PV 101|0.000000</v>
      </c>
    </row>
    <row r="400" customFormat="false" ht="15" hidden="false" customHeight="false" outlineLevel="0" collapsed="false">
      <c r="B400" s="16" t="n">
        <v>65</v>
      </c>
      <c r="C400" s="17" t="n">
        <f aca="false">DATA_INICIO_SAFRA+($B400-1)*DIAS_POR_SEMANA</f>
        <v>46713</v>
      </c>
      <c r="D400" s="17" t="n">
        <f aca="false">$C400+DIAS_POR_SEMANA-1</f>
        <v>46719</v>
      </c>
      <c r="E400" s="15" t="s">
        <v>264</v>
      </c>
      <c r="F400" s="8" t="str">
        <f aca="false">IFERROR(INDEX(CADASTRO_PIVOS!$C$6:$C$41,MATCH($E400,CADASTRO_PIVOS!$B$6:$B$41,0)),"?")</f>
        <v>RM04</v>
      </c>
      <c r="G400" s="8" t="str">
        <f aca="false">IFERROR(INDEX(CADASTRO_PIVOS!$D$6:$D$41,MATCH($E400,CADASTRO_PIVOS!$B$6:$B$41,0)),"?")</f>
        <v>TR04</v>
      </c>
      <c r="H400" s="20" t="n">
        <f aca="false">IFERROR(INDEX(CADASTRO_PIVOS!$E$6:$E$41,MATCH($E400,CADASTRO_PIVOS!$B$6:$B$41,0)),0)</f>
        <v>129.16</v>
      </c>
      <c r="I400" s="16" t="n">
        <f aca="false">IFERROR(SUMIFS(ROTACAO_RDM!$B$6:$B$71,ROTACAO_RDM!$D$6:$D$71,$E400,ROTACAO_RDM!$I$6:$I$71,"&lt;="&amp;$C400+INT(DIAS_POR_SEMANA/2),ROTACAO_RDM!$J$6:$J$71,"&gt;="&amp;$C400+INT(DIAS_POR_SEMANA/2)),0)</f>
        <v>0</v>
      </c>
      <c r="J400" s="16" t="n">
        <f aca="false">IFERROR(MATCH($I400,ROTACAO_RDM!$B$6:$B$71,0),0)</f>
        <v>0</v>
      </c>
      <c r="K400" s="8" t="str">
        <f aca="false">IF($J400=0,"SEM CULTURA",INDEX(ROTACAO_RDM!$F$6:$F$71,$J400))</f>
        <v>SEM CULTURA</v>
      </c>
      <c r="L400" s="8" t="str">
        <f aca="false">IF($J400=0,"",INDEX(ROTACAO_RDM!$G$6:$G$71,$J400))</f>
        <v/>
      </c>
      <c r="M400" s="17" t="str">
        <f aca="false">IF($J400=0,"",INDEX(ROTACAO_RDM!$I$6:$I$71,$J400))</f>
        <v/>
      </c>
      <c r="N400" s="16" t="n">
        <f aca="false">IF($J400=0,0,MAX(0,$C400+INT(DIAS_POR_SEMANA/2)-INDEX(ROTACAO_RDM!$I$6:$I$71,$J400)))</f>
        <v>0</v>
      </c>
      <c r="O400" s="19" t="n">
        <f aca="false">IF($J400=0,0,MIN(1,$N400/MAX(1,INDEX(ROTACAO_RDM!$K$6:$K$71,$J400))))</f>
        <v>0</v>
      </c>
      <c r="P400" s="16" t="n">
        <f aca="false">IF($J400=0,0,IFERROR(MATCH(INDEX(ROTACAO_RDM!$N$6:$N$71,$J400),PARAMETROS_CULTURAS!$B$6:$B$28,0),0))</f>
        <v>0</v>
      </c>
      <c r="Q400" s="8" t="str">
        <f aca="false">IF($P400=0,"-",IF($O400&lt;=INDEX(PARAMETROS_CULTURAS!$F$6:$F$28,$P400),"INICIAL",IF($O400&lt;=INDEX(PARAMETROS_CULTURAS!$F$6:$F$28,$P400)+INDEX(PARAMETROS_CULTURAS!$G$6:$G$28,$P400),"DESENVOLVIMENTO",IF($O400&lt;=INDEX(PARAMETROS_CULTURAS!$F$6:$F$28,$P400)+INDEX(PARAMETROS_CULTURAS!$G$6:$G$28,$P400)+INDEX(PARAMETROS_CULTURAS!$H$6:$H$28,$P400),"MEDIA","FINAL"))))</f>
        <v>-</v>
      </c>
      <c r="R400" s="24" t="n">
        <f aca="false">IF($P400=0,0,IF($O400&lt;=INDEX(PARAMETROS_CULTURAS!$F$6:$F$28,$P400),INDEX(PARAMETROS_CULTURAS!$K$6:$K$28,$P400),IF($O400&lt;=INDEX(PARAMETROS_CULTURAS!$F$6:$F$28,$P400)+INDEX(PARAMETROS_CULTURAS!$G$6:$G$28,$P400),INDEX(PARAMETROS_CULTURAS!$K$6:$K$28,$P400)+(INDEX(PARAMETROS_CULTURAS!$L$6:$L$28,$P400)-INDEX(PARAMETROS_CULTURAS!$K$6:$K$28,$P400))*($O400-INDEX(PARAMETROS_CULTURAS!$F$6:$F$28,$P400))/MAX(INDEX(PARAMETROS_CULTURAS!$G$6:$G$28,$P400),0.0001),IF($O400&lt;=INDEX(PARAMETROS_CULTURAS!$F$6:$F$28,$P400)+INDEX(PARAMETROS_CULTURAS!$G$6:$G$28,$P400)+INDEX(PARAMETROS_CULTURAS!$H$6:$H$28,$P400),INDEX(PARAMETROS_CULTURAS!$L$6:$L$28,$P400),INDEX(PARAMETROS_CULTURAS!$L$6:$L$28,$P400)+(INDEX(PARAMETROS_CULTURAS!$M$6:$M$28,$P400)-INDEX(PARAMETROS_CULTURAS!$L$6:$L$28,$P400))*($O400-INDEX(PARAMETROS_CULTURAS!$F$6:$F$28,$P400)-INDEX(PARAMETROS_CULTURAS!$G$6:$G$28,$P400)-INDEX(PARAMETROS_CULTURAS!$H$6:$H$28,$P400))/MAX(INDEX(PARAMETROS_CULTURAS!$I$6:$I$28,$P400),0.0001)))))</f>
        <v>0</v>
      </c>
      <c r="S400" s="18" t="n">
        <f aca="false">IFERROR(INDEX(SEMANAS!$H$6:$H$71,MATCH($B400,SEMANAS!$B$6:$B$71,0)),0)</f>
        <v>34.3</v>
      </c>
      <c r="T400" s="18" t="n">
        <f aca="false">$R400*$S400</f>
        <v>0</v>
      </c>
      <c r="U400" s="18" t="n">
        <f aca="false">IFERROR(INDEX(SEMANAS!$I$6:$I$71,MATCH($B400,SEMANAS!$B$6:$B$71,0)),0)</f>
        <v>46.69</v>
      </c>
      <c r="V400" s="18" t="n">
        <f aca="false">IFERROR(INDEX(SEMANAS!$J$6:$J$71,MATCH($B400,SEMANAS!$B$6:$B$71,0)),0)</f>
        <v>37.352</v>
      </c>
      <c r="W400" s="18" t="n">
        <f aca="false">MAX(0,$T400-$V400)</f>
        <v>0</v>
      </c>
      <c r="X400" s="19" t="n">
        <f aca="false">IFERROR(INDEX(CADASTRO_PIVOS!$K$6:$K$41,MATCH($E400,CADASTRO_PIVOS!$B$6:$B$41,0)),EFICIENCIA_PADRAO)</f>
        <v>0.85</v>
      </c>
      <c r="Y400" s="18" t="n">
        <f aca="false">IF($X400&lt;=0,0,$W400/$X400)</f>
        <v>0</v>
      </c>
      <c r="Z400" s="16" t="n">
        <f aca="false">$Y400*$H400*MM_PARA_M3_HA</f>
        <v>0</v>
      </c>
      <c r="AA400" s="18" t="n">
        <f aca="false">IFERROR(INDEX(CADASTRO_PIVOS!$I$6:$I$41,MATCH($E400,CADASTRO_PIVOS!$B$6:$B$41,0)),0)</f>
        <v>922.571428571429</v>
      </c>
      <c r="AB400" s="18" t="n">
        <f aca="false">IF($Z400&lt;=0,0,$Z400/$AA400)</f>
        <v>0</v>
      </c>
      <c r="AC400" s="16" t="n">
        <f aca="false">IFERROR(INDEX(SEMANAS!$K$6:$K$71,MATCH($B400,SEMANAS!$B$6:$B$71,0)),0)</f>
        <v>147</v>
      </c>
      <c r="AD400" s="19" t="n">
        <f aca="false">IF($AC400&lt;=0,0,$AB400/$AC400)</f>
        <v>0</v>
      </c>
      <c r="AE400" s="8" t="str">
        <f aca="false">IF($K400="SEM CULTURA","SEM CULTURA",IF($AA400&lt;=0,"DADO PENDENTE",IF($AD400&gt;LIMITE_CRITICO,"INVIAVEL",IF($AD400&gt;LIMITE_ATENCAO,"CRITICO",IF($AD400&gt;LIMITE_CONFORTAVEL,"ATENCAO","OK")))))</f>
        <v>SEM CULTURA</v>
      </c>
      <c r="AF400" s="8" t="str">
        <f aca="false">$B400&amp;"|"&amp;TEXT($AD400,"0.000000")</f>
        <v>65|0.000000</v>
      </c>
      <c r="AG400" s="18" t="n">
        <f aca="false">IF($K400="SEM CULTURA",0,$T400*$H400)</f>
        <v>0</v>
      </c>
      <c r="AH400" s="18" t="n">
        <f aca="false">IF($K400="SEM CULTURA",0,$V400*$H400)</f>
        <v>0</v>
      </c>
      <c r="AI400" s="18" t="n">
        <f aca="false">IF($K400="SEM CULTURA",0,$W400*$H400)</f>
        <v>0</v>
      </c>
      <c r="AJ400" s="18" t="n">
        <f aca="false">IF($K400="SEM CULTURA",0,$S400*$H400)</f>
        <v>0</v>
      </c>
      <c r="AK400" s="8" t="str">
        <f aca="false">$E400&amp;"|"&amp;TEXT($AD400,"0.000000")</f>
        <v>PV 101|0.000000</v>
      </c>
    </row>
    <row r="401" customFormat="false" ht="15" hidden="false" customHeight="false" outlineLevel="0" collapsed="false">
      <c r="B401" s="16" t="n">
        <v>66</v>
      </c>
      <c r="C401" s="17" t="n">
        <f aca="false">DATA_INICIO_SAFRA+($B401-1)*DIAS_POR_SEMANA</f>
        <v>46720</v>
      </c>
      <c r="D401" s="17" t="n">
        <f aca="false">$C401+DIAS_POR_SEMANA-1</f>
        <v>46726</v>
      </c>
      <c r="E401" s="15" t="s">
        <v>264</v>
      </c>
      <c r="F401" s="8" t="str">
        <f aca="false">IFERROR(INDEX(CADASTRO_PIVOS!$C$6:$C$41,MATCH($E401,CADASTRO_PIVOS!$B$6:$B$41,0)),"?")</f>
        <v>RM04</v>
      </c>
      <c r="G401" s="8" t="str">
        <f aca="false">IFERROR(INDEX(CADASTRO_PIVOS!$D$6:$D$41,MATCH($E401,CADASTRO_PIVOS!$B$6:$B$41,0)),"?")</f>
        <v>TR04</v>
      </c>
      <c r="H401" s="20" t="n">
        <f aca="false">IFERROR(INDEX(CADASTRO_PIVOS!$E$6:$E$41,MATCH($E401,CADASTRO_PIVOS!$B$6:$B$41,0)),0)</f>
        <v>129.16</v>
      </c>
      <c r="I401" s="16" t="n">
        <f aca="false">IFERROR(SUMIFS(ROTACAO_RDM!$B$6:$B$71,ROTACAO_RDM!$D$6:$D$71,$E401,ROTACAO_RDM!$I$6:$I$71,"&lt;="&amp;$C401+INT(DIAS_POR_SEMANA/2),ROTACAO_RDM!$J$6:$J$71,"&gt;="&amp;$C401+INT(DIAS_POR_SEMANA/2)),0)</f>
        <v>0</v>
      </c>
      <c r="J401" s="16" t="n">
        <f aca="false">IFERROR(MATCH($I401,ROTACAO_RDM!$B$6:$B$71,0),0)</f>
        <v>0</v>
      </c>
      <c r="K401" s="8" t="str">
        <f aca="false">IF($J401=0,"SEM CULTURA",INDEX(ROTACAO_RDM!$F$6:$F$71,$J401))</f>
        <v>SEM CULTURA</v>
      </c>
      <c r="L401" s="8" t="str">
        <f aca="false">IF($J401=0,"",INDEX(ROTACAO_RDM!$G$6:$G$71,$J401))</f>
        <v/>
      </c>
      <c r="M401" s="17" t="str">
        <f aca="false">IF($J401=0,"",INDEX(ROTACAO_RDM!$I$6:$I$71,$J401))</f>
        <v/>
      </c>
      <c r="N401" s="16" t="n">
        <f aca="false">IF($J401=0,0,MAX(0,$C401+INT(DIAS_POR_SEMANA/2)-INDEX(ROTACAO_RDM!$I$6:$I$71,$J401)))</f>
        <v>0</v>
      </c>
      <c r="O401" s="19" t="n">
        <f aca="false">IF($J401=0,0,MIN(1,$N401/MAX(1,INDEX(ROTACAO_RDM!$K$6:$K$71,$J401))))</f>
        <v>0</v>
      </c>
      <c r="P401" s="16" t="n">
        <f aca="false">IF($J401=0,0,IFERROR(MATCH(INDEX(ROTACAO_RDM!$N$6:$N$71,$J401),PARAMETROS_CULTURAS!$B$6:$B$28,0),0))</f>
        <v>0</v>
      </c>
      <c r="Q401" s="8" t="str">
        <f aca="false">IF($P401=0,"-",IF($O401&lt;=INDEX(PARAMETROS_CULTURAS!$F$6:$F$28,$P401),"INICIAL",IF($O401&lt;=INDEX(PARAMETROS_CULTURAS!$F$6:$F$28,$P401)+INDEX(PARAMETROS_CULTURAS!$G$6:$G$28,$P401),"DESENVOLVIMENTO",IF($O401&lt;=INDEX(PARAMETROS_CULTURAS!$F$6:$F$28,$P401)+INDEX(PARAMETROS_CULTURAS!$G$6:$G$28,$P401)+INDEX(PARAMETROS_CULTURAS!$H$6:$H$28,$P401),"MEDIA","FINAL"))))</f>
        <v>-</v>
      </c>
      <c r="R401" s="24" t="n">
        <f aca="false">IF($P401=0,0,IF($O401&lt;=INDEX(PARAMETROS_CULTURAS!$F$6:$F$28,$P401),INDEX(PARAMETROS_CULTURAS!$K$6:$K$28,$P401),IF($O401&lt;=INDEX(PARAMETROS_CULTURAS!$F$6:$F$28,$P401)+INDEX(PARAMETROS_CULTURAS!$G$6:$G$28,$P401),INDEX(PARAMETROS_CULTURAS!$K$6:$K$28,$P401)+(INDEX(PARAMETROS_CULTURAS!$L$6:$L$28,$P401)-INDEX(PARAMETROS_CULTURAS!$K$6:$K$28,$P401))*($O401-INDEX(PARAMETROS_CULTURAS!$F$6:$F$28,$P401))/MAX(INDEX(PARAMETROS_CULTURAS!$G$6:$G$28,$P401),0.0001),IF($O401&lt;=INDEX(PARAMETROS_CULTURAS!$F$6:$F$28,$P401)+INDEX(PARAMETROS_CULTURAS!$G$6:$G$28,$P401)+INDEX(PARAMETROS_CULTURAS!$H$6:$H$28,$P401),INDEX(PARAMETROS_CULTURAS!$L$6:$L$28,$P401),INDEX(PARAMETROS_CULTURAS!$L$6:$L$28,$P401)+(INDEX(PARAMETROS_CULTURAS!$M$6:$M$28,$P401)-INDEX(PARAMETROS_CULTURAS!$L$6:$L$28,$P401))*($O401-INDEX(PARAMETROS_CULTURAS!$F$6:$F$28,$P401)-INDEX(PARAMETROS_CULTURAS!$G$6:$G$28,$P401)-INDEX(PARAMETROS_CULTURAS!$H$6:$H$28,$P401))/MAX(INDEX(PARAMETROS_CULTURAS!$I$6:$I$28,$P401),0.0001)))))</f>
        <v>0</v>
      </c>
      <c r="S401" s="18" t="n">
        <f aca="false">IFERROR(INDEX(SEMANAS!$H$6:$H$71,MATCH($B401,SEMANAS!$B$6:$B$71,0)),0)</f>
        <v>33.3</v>
      </c>
      <c r="T401" s="18" t="n">
        <f aca="false">$R401*$S401</f>
        <v>0</v>
      </c>
      <c r="U401" s="18" t="n">
        <f aca="false">IFERROR(INDEX(SEMANAS!$I$6:$I$71,MATCH($B401,SEMANAS!$B$6:$B$71,0)),0)</f>
        <v>48.04</v>
      </c>
      <c r="V401" s="18" t="n">
        <f aca="false">IFERROR(INDEX(SEMANAS!$J$6:$J$71,MATCH($B401,SEMANAS!$B$6:$B$71,0)),0)</f>
        <v>38.432</v>
      </c>
      <c r="W401" s="18" t="n">
        <f aca="false">MAX(0,$T401-$V401)</f>
        <v>0</v>
      </c>
      <c r="X401" s="19" t="n">
        <f aca="false">IFERROR(INDEX(CADASTRO_PIVOS!$K$6:$K$41,MATCH($E401,CADASTRO_PIVOS!$B$6:$B$41,0)),EFICIENCIA_PADRAO)</f>
        <v>0.85</v>
      </c>
      <c r="Y401" s="18" t="n">
        <f aca="false">IF($X401&lt;=0,0,$W401/$X401)</f>
        <v>0</v>
      </c>
      <c r="Z401" s="16" t="n">
        <f aca="false">$Y401*$H401*MM_PARA_M3_HA</f>
        <v>0</v>
      </c>
      <c r="AA401" s="18" t="n">
        <f aca="false">IFERROR(INDEX(CADASTRO_PIVOS!$I$6:$I$41,MATCH($E401,CADASTRO_PIVOS!$B$6:$B$41,0)),0)</f>
        <v>922.571428571429</v>
      </c>
      <c r="AB401" s="18" t="n">
        <f aca="false">IF($Z401&lt;=0,0,$Z401/$AA401)</f>
        <v>0</v>
      </c>
      <c r="AC401" s="16" t="n">
        <f aca="false">IFERROR(INDEX(SEMANAS!$K$6:$K$71,MATCH($B401,SEMANAS!$B$6:$B$71,0)),0)</f>
        <v>147</v>
      </c>
      <c r="AD401" s="19" t="n">
        <f aca="false">IF($AC401&lt;=0,0,$AB401/$AC401)</f>
        <v>0</v>
      </c>
      <c r="AE401" s="8" t="str">
        <f aca="false">IF($K401="SEM CULTURA","SEM CULTURA",IF($AA401&lt;=0,"DADO PENDENTE",IF($AD401&gt;LIMITE_CRITICO,"INVIAVEL",IF($AD401&gt;LIMITE_ATENCAO,"CRITICO",IF($AD401&gt;LIMITE_CONFORTAVEL,"ATENCAO","OK")))))</f>
        <v>SEM CULTURA</v>
      </c>
      <c r="AF401" s="8" t="str">
        <f aca="false">$B401&amp;"|"&amp;TEXT($AD401,"0.000000")</f>
        <v>66|0.000000</v>
      </c>
      <c r="AG401" s="18" t="n">
        <f aca="false">IF($K401="SEM CULTURA",0,$T401*$H401)</f>
        <v>0</v>
      </c>
      <c r="AH401" s="18" t="n">
        <f aca="false">IF($K401="SEM CULTURA",0,$V401*$H401)</f>
        <v>0</v>
      </c>
      <c r="AI401" s="18" t="n">
        <f aca="false">IF($K401="SEM CULTURA",0,$W401*$H401)</f>
        <v>0</v>
      </c>
      <c r="AJ401" s="18" t="n">
        <f aca="false">IF($K401="SEM CULTURA",0,$S401*$H401)</f>
        <v>0</v>
      </c>
      <c r="AK401" s="8" t="str">
        <f aca="false">$E401&amp;"|"&amp;TEXT($AD401,"0.000000")</f>
        <v>PV 101|0.000000</v>
      </c>
    </row>
    <row r="402" customFormat="false" ht="15" hidden="false" customHeight="false" outlineLevel="0" collapsed="false">
      <c r="B402" s="16" t="n">
        <v>1</v>
      </c>
      <c r="C402" s="17" t="n">
        <f aca="false">DATA_INICIO_SAFRA+($B402-1)*DIAS_POR_SEMANA</f>
        <v>46265</v>
      </c>
      <c r="D402" s="17" t="n">
        <f aca="false">$C402+DIAS_POR_SEMANA-1</f>
        <v>46271</v>
      </c>
      <c r="E402" s="15" t="s">
        <v>265</v>
      </c>
      <c r="F402" s="8" t="str">
        <f aca="false">IFERROR(INDEX(CADASTRO_PIVOS!$C$6:$C$41,MATCH($E402,CADASTRO_PIVOS!$B$6:$B$41,0)),"?")</f>
        <v>RM04</v>
      </c>
      <c r="G402" s="8" t="str">
        <f aca="false">IFERROR(INDEX(CADASTRO_PIVOS!$D$6:$D$41,MATCH($E402,CADASTRO_PIVOS!$B$6:$B$41,0)),"?")</f>
        <v>TR04</v>
      </c>
      <c r="H402" s="20" t="n">
        <f aca="false">IFERROR(INDEX(CADASTRO_PIVOS!$E$6:$E$41,MATCH($E402,CADASTRO_PIVOS!$B$6:$B$41,0)),0)</f>
        <v>100.07</v>
      </c>
      <c r="I402" s="16" t="n">
        <f aca="false">IFERROR(SUMIFS(ROTACAO_RDM!$B$6:$B$71,ROTACAO_RDM!$D$6:$D$71,$E402,ROTACAO_RDM!$I$6:$I$71,"&lt;="&amp;$C402+INT(DIAS_POR_SEMANA/2),ROTACAO_RDM!$J$6:$J$71,"&gt;="&amp;$C402+INT(DIAS_POR_SEMANA/2)),0)</f>
        <v>2</v>
      </c>
      <c r="J402" s="16" t="n">
        <f aca="false">IFERROR(MATCH($I402,ROTACAO_RDM!$B$6:$B$71,0),0)</f>
        <v>2</v>
      </c>
      <c r="K402" s="8" t="str">
        <f aca="false">IF($J402=0,"SEM CULTURA",INDEX(ROTACAO_RDM!$F$6:$F$71,$J402))</f>
        <v>MILHO_SEMENTE</v>
      </c>
      <c r="L402" s="8" t="str">
        <f aca="false">IF($J402=0,"",INDEX(ROTACAO_RDM!$G$6:$G$71,$J402))</f>
        <v>Syngenta</v>
      </c>
      <c r="M402" s="17" t="n">
        <f aca="false">IF($J402=0,"",INDEX(ROTACAO_RDM!$I$6:$I$71,$J402))</f>
        <v>46200</v>
      </c>
      <c r="N402" s="16" t="n">
        <f aca="false">IF($J402=0,0,MAX(0,$C402+INT(DIAS_POR_SEMANA/2)-INDEX(ROTACAO_RDM!$I$6:$I$71,$J402)))</f>
        <v>68</v>
      </c>
      <c r="O402" s="19" t="n">
        <f aca="false">IF($J402=0,0,MIN(1,$N402/MAX(1,INDEX(ROTACAO_RDM!$K$6:$K$71,$J402))))</f>
        <v>0.425</v>
      </c>
      <c r="P402" s="16" t="n">
        <f aca="false">IF($J402=0,0,IFERROR(MATCH(INDEX(ROTACAO_RDM!$N$6:$N$71,$J402),PARAMETROS_CULTURAS!$B$6:$B$28,0),0))</f>
        <v>7</v>
      </c>
      <c r="Q402" s="8" t="str">
        <f aca="false">IF($P402=0,"-",IF($O402&lt;=INDEX(PARAMETROS_CULTURAS!$F$6:$F$28,$P402),"INICIAL",IF($O402&lt;=INDEX(PARAMETROS_CULTURAS!$F$6:$F$28,$P402)+INDEX(PARAMETROS_CULTURAS!$G$6:$G$28,$P402),"DESENVOLVIMENTO",IF($O402&lt;=INDEX(PARAMETROS_CULTURAS!$F$6:$F$28,$P402)+INDEX(PARAMETROS_CULTURAS!$G$6:$G$28,$P402)+INDEX(PARAMETROS_CULTURAS!$H$6:$H$28,$P402),"MEDIA","FINAL"))))</f>
        <v>DESENVOLVIMENTO</v>
      </c>
      <c r="R402" s="24" t="n">
        <f aca="false">IF($P402=0,0,IF($O402&lt;=INDEX(PARAMETROS_CULTURAS!$F$6:$F$28,$P402),INDEX(PARAMETROS_CULTURAS!$K$6:$K$28,$P402),IF($O402&lt;=INDEX(PARAMETROS_CULTURAS!$F$6:$F$28,$P402)+INDEX(PARAMETROS_CULTURAS!$G$6:$G$28,$P402),INDEX(PARAMETROS_CULTURAS!$K$6:$K$28,$P402)+(INDEX(PARAMETROS_CULTURAS!$L$6:$L$28,$P402)-INDEX(PARAMETROS_CULTURAS!$K$6:$K$28,$P402))*($O402-INDEX(PARAMETROS_CULTURAS!$F$6:$F$28,$P402))/MAX(INDEX(PARAMETROS_CULTURAS!$G$6:$G$28,$P402),0.0001),IF($O402&lt;=INDEX(PARAMETROS_CULTURAS!$F$6:$F$28,$P402)+INDEX(PARAMETROS_CULTURAS!$G$6:$G$28,$P402)+INDEX(PARAMETROS_CULTURAS!$H$6:$H$28,$P402),INDEX(PARAMETROS_CULTURAS!$L$6:$L$28,$P402),INDEX(PARAMETROS_CULTURAS!$L$6:$L$28,$P402)+(INDEX(PARAMETROS_CULTURAS!$M$6:$M$28,$P402)-INDEX(PARAMETROS_CULTURAS!$L$6:$L$28,$P402))*($O402-INDEX(PARAMETROS_CULTURAS!$F$6:$F$28,$P402)-INDEX(PARAMETROS_CULTURAS!$G$6:$G$28,$P402)-INDEX(PARAMETROS_CULTURAS!$H$6:$H$28,$P402))/MAX(INDEX(PARAMETROS_CULTURAS!$I$6:$I$28,$P402),0.0001)))))</f>
        <v>1.099</v>
      </c>
      <c r="S402" s="18" t="n">
        <f aca="false">IFERROR(INDEX(SEMANAS!$H$6:$H$71,MATCH($B402,SEMANAS!$B$6:$B$71,0)),0)</f>
        <v>40</v>
      </c>
      <c r="T402" s="18" t="n">
        <f aca="false">$R402*$S402</f>
        <v>43.96</v>
      </c>
      <c r="U402" s="18" t="n">
        <f aca="false">IFERROR(INDEX(SEMANAS!$I$6:$I$71,MATCH($B402,SEMANAS!$B$6:$B$71,0)),0)</f>
        <v>6.16</v>
      </c>
      <c r="V402" s="18" t="n">
        <f aca="false">IFERROR(INDEX(SEMANAS!$J$6:$J$71,MATCH($B402,SEMANAS!$B$6:$B$71,0)),0)</f>
        <v>4.928</v>
      </c>
      <c r="W402" s="18" t="n">
        <f aca="false">MAX(0,$T402-$V402)</f>
        <v>39.032</v>
      </c>
      <c r="X402" s="19" t="n">
        <f aca="false">IFERROR(INDEX(CADASTRO_PIVOS!$K$6:$K$41,MATCH($E402,CADASTRO_PIVOS!$B$6:$B$41,0)),EFICIENCIA_PADRAO)</f>
        <v>0.85</v>
      </c>
      <c r="Y402" s="18" t="n">
        <f aca="false">IF($X402&lt;=0,0,$W402/$X402)</f>
        <v>45.92</v>
      </c>
      <c r="Z402" s="16" t="n">
        <f aca="false">$Y402*$H402*MM_PARA_M3_HA</f>
        <v>45952.144</v>
      </c>
      <c r="AA402" s="18" t="n">
        <f aca="false">IFERROR(INDEX(CADASTRO_PIVOS!$I$6:$I$41,MATCH($E402,CADASTRO_PIVOS!$B$6:$B$41,0)),0)</f>
        <v>714.785714285714</v>
      </c>
      <c r="AB402" s="18" t="n">
        <f aca="false">IF($Z402&lt;=0,0,$Z402/$AA402)</f>
        <v>64.288</v>
      </c>
      <c r="AC402" s="16" t="n">
        <f aca="false">IFERROR(INDEX(SEMANAS!$K$6:$K$71,MATCH($B402,SEMANAS!$B$6:$B$71,0)),0)</f>
        <v>147</v>
      </c>
      <c r="AD402" s="19" t="n">
        <f aca="false">IF($AC402&lt;=0,0,$AB402/$AC402)</f>
        <v>0.437333333333333</v>
      </c>
      <c r="AE402" s="8" t="str">
        <f aca="false">IF($K402="SEM CULTURA","SEM CULTURA",IF($AA402&lt;=0,"DADO PENDENTE",IF($AD402&gt;LIMITE_CRITICO,"INVIAVEL",IF($AD402&gt;LIMITE_ATENCAO,"CRITICO",IF($AD402&gt;LIMITE_CONFORTAVEL,"ATENCAO","OK")))))</f>
        <v>OK</v>
      </c>
      <c r="AF402" s="8" t="str">
        <f aca="false">$B402&amp;"|"&amp;TEXT($AD402,"0.000000")</f>
        <v>1|0.437333</v>
      </c>
      <c r="AG402" s="18" t="n">
        <f aca="false">IF($K402="SEM CULTURA",0,$T402*$H402)</f>
        <v>4399.0772</v>
      </c>
      <c r="AH402" s="18" t="n">
        <f aca="false">IF($K402="SEM CULTURA",0,$V402*$H402)</f>
        <v>493.14496</v>
      </c>
      <c r="AI402" s="18" t="n">
        <f aca="false">IF($K402="SEM CULTURA",0,$W402*$H402)</f>
        <v>3905.93224</v>
      </c>
      <c r="AJ402" s="18" t="n">
        <f aca="false">IF($K402="SEM CULTURA",0,$S402*$H402)</f>
        <v>4002.8</v>
      </c>
      <c r="AK402" s="8" t="str">
        <f aca="false">$E402&amp;"|"&amp;TEXT($AD402,"0.000000")</f>
        <v>PV 102|0.437333</v>
      </c>
    </row>
    <row r="403" customFormat="false" ht="15" hidden="false" customHeight="false" outlineLevel="0" collapsed="false">
      <c r="B403" s="16" t="n">
        <v>2</v>
      </c>
      <c r="C403" s="17" t="n">
        <f aca="false">DATA_INICIO_SAFRA+($B403-1)*DIAS_POR_SEMANA</f>
        <v>46272</v>
      </c>
      <c r="D403" s="17" t="n">
        <f aca="false">$C403+DIAS_POR_SEMANA-1</f>
        <v>46278</v>
      </c>
      <c r="E403" s="15" t="s">
        <v>265</v>
      </c>
      <c r="F403" s="8" t="str">
        <f aca="false">IFERROR(INDEX(CADASTRO_PIVOS!$C$6:$C$41,MATCH($E403,CADASTRO_PIVOS!$B$6:$B$41,0)),"?")</f>
        <v>RM04</v>
      </c>
      <c r="G403" s="8" t="str">
        <f aca="false">IFERROR(INDEX(CADASTRO_PIVOS!$D$6:$D$41,MATCH($E403,CADASTRO_PIVOS!$B$6:$B$41,0)),"?")</f>
        <v>TR04</v>
      </c>
      <c r="H403" s="20" t="n">
        <f aca="false">IFERROR(INDEX(CADASTRO_PIVOS!$E$6:$E$41,MATCH($E403,CADASTRO_PIVOS!$B$6:$B$41,0)),0)</f>
        <v>100.07</v>
      </c>
      <c r="I403" s="16" t="n">
        <f aca="false">IFERROR(SUMIFS(ROTACAO_RDM!$B$6:$B$71,ROTACAO_RDM!$D$6:$D$71,$E403,ROTACAO_RDM!$I$6:$I$71,"&lt;="&amp;$C403+INT(DIAS_POR_SEMANA/2),ROTACAO_RDM!$J$6:$J$71,"&gt;="&amp;$C403+INT(DIAS_POR_SEMANA/2)),0)</f>
        <v>2</v>
      </c>
      <c r="J403" s="16" t="n">
        <f aca="false">IFERROR(MATCH($I403,ROTACAO_RDM!$B$6:$B$71,0),0)</f>
        <v>2</v>
      </c>
      <c r="K403" s="8" t="str">
        <f aca="false">IF($J403=0,"SEM CULTURA",INDEX(ROTACAO_RDM!$F$6:$F$71,$J403))</f>
        <v>MILHO_SEMENTE</v>
      </c>
      <c r="L403" s="8" t="str">
        <f aca="false">IF($J403=0,"",INDEX(ROTACAO_RDM!$G$6:$G$71,$J403))</f>
        <v>Syngenta</v>
      </c>
      <c r="M403" s="17" t="n">
        <f aca="false">IF($J403=0,"",INDEX(ROTACAO_RDM!$I$6:$I$71,$J403))</f>
        <v>46200</v>
      </c>
      <c r="N403" s="16" t="n">
        <f aca="false">IF($J403=0,0,MAX(0,$C403+INT(DIAS_POR_SEMANA/2)-INDEX(ROTACAO_RDM!$I$6:$I$71,$J403)))</f>
        <v>75</v>
      </c>
      <c r="O403" s="19" t="n">
        <f aca="false">IF($J403=0,0,MIN(1,$N403/MAX(1,INDEX(ROTACAO_RDM!$K$6:$K$71,$J403))))</f>
        <v>0.46875</v>
      </c>
      <c r="P403" s="16" t="n">
        <f aca="false">IF($J403=0,0,IFERROR(MATCH(INDEX(ROTACAO_RDM!$N$6:$N$71,$J403),PARAMETROS_CULTURAS!$B$6:$B$28,0),0))</f>
        <v>7</v>
      </c>
      <c r="Q403" s="8" t="str">
        <f aca="false">IF($P403=0,"-",IF($O403&lt;=INDEX(PARAMETROS_CULTURAS!$F$6:$F$28,$P403),"INICIAL",IF($O403&lt;=INDEX(PARAMETROS_CULTURAS!$F$6:$F$28,$P403)+INDEX(PARAMETROS_CULTURAS!$G$6:$G$28,$P403),"DESENVOLVIMENTO",IF($O403&lt;=INDEX(PARAMETROS_CULTURAS!$F$6:$F$28,$P403)+INDEX(PARAMETROS_CULTURAS!$G$6:$G$28,$P403)+INDEX(PARAMETROS_CULTURAS!$H$6:$H$28,$P403),"MEDIA","FINAL"))))</f>
        <v>MEDIA</v>
      </c>
      <c r="R403" s="24" t="n">
        <f aca="false">IF($P403=0,0,IF($O403&lt;=INDEX(PARAMETROS_CULTURAS!$F$6:$F$28,$P403),INDEX(PARAMETROS_CULTURAS!$K$6:$K$28,$P403),IF($O403&lt;=INDEX(PARAMETROS_CULTURAS!$F$6:$F$28,$P403)+INDEX(PARAMETROS_CULTURAS!$G$6:$G$28,$P403),INDEX(PARAMETROS_CULTURAS!$K$6:$K$28,$P403)+(INDEX(PARAMETROS_CULTURAS!$L$6:$L$28,$P403)-INDEX(PARAMETROS_CULTURAS!$K$6:$K$28,$P403))*($O403-INDEX(PARAMETROS_CULTURAS!$F$6:$F$28,$P403))/MAX(INDEX(PARAMETROS_CULTURAS!$G$6:$G$28,$P403),0.0001),IF($O403&lt;=INDEX(PARAMETROS_CULTURAS!$F$6:$F$28,$P403)+INDEX(PARAMETROS_CULTURAS!$G$6:$G$28,$P403)+INDEX(PARAMETROS_CULTURAS!$H$6:$H$28,$P403),INDEX(PARAMETROS_CULTURAS!$L$6:$L$28,$P403),INDEX(PARAMETROS_CULTURAS!$L$6:$L$28,$P403)+(INDEX(PARAMETROS_CULTURAS!$M$6:$M$28,$P403)-INDEX(PARAMETROS_CULTURAS!$L$6:$L$28,$P403))*($O403-INDEX(PARAMETROS_CULTURAS!$F$6:$F$28,$P403)-INDEX(PARAMETROS_CULTURAS!$G$6:$G$28,$P403)-INDEX(PARAMETROS_CULTURAS!$H$6:$H$28,$P403))/MAX(INDEX(PARAMETROS_CULTURAS!$I$6:$I$28,$P403),0.0001)))))</f>
        <v>1.15</v>
      </c>
      <c r="S403" s="18" t="n">
        <f aca="false">IFERROR(INDEX(SEMANAS!$H$6:$H$71,MATCH($B403,SEMANAS!$B$6:$B$71,0)),0)</f>
        <v>40.6</v>
      </c>
      <c r="T403" s="18" t="n">
        <f aca="false">$R403*$S403</f>
        <v>46.69</v>
      </c>
      <c r="U403" s="18" t="n">
        <f aca="false">IFERROR(INDEX(SEMANAS!$I$6:$I$71,MATCH($B403,SEMANAS!$B$6:$B$71,0)),0)</f>
        <v>7</v>
      </c>
      <c r="V403" s="18" t="n">
        <f aca="false">IFERROR(INDEX(SEMANAS!$J$6:$J$71,MATCH($B403,SEMANAS!$B$6:$B$71,0)),0)</f>
        <v>5.6</v>
      </c>
      <c r="W403" s="18" t="n">
        <f aca="false">MAX(0,$T403-$V403)</f>
        <v>41.09</v>
      </c>
      <c r="X403" s="19" t="n">
        <f aca="false">IFERROR(INDEX(CADASTRO_PIVOS!$K$6:$K$41,MATCH($E403,CADASTRO_PIVOS!$B$6:$B$41,0)),EFICIENCIA_PADRAO)</f>
        <v>0.85</v>
      </c>
      <c r="Y403" s="18" t="n">
        <f aca="false">IF($X403&lt;=0,0,$W403/$X403)</f>
        <v>48.3411764705882</v>
      </c>
      <c r="Z403" s="16" t="n">
        <f aca="false">$Y403*$H403*MM_PARA_M3_HA</f>
        <v>48375.0152941176</v>
      </c>
      <c r="AA403" s="18" t="n">
        <f aca="false">IFERROR(INDEX(CADASTRO_PIVOS!$I$6:$I$41,MATCH($E403,CADASTRO_PIVOS!$B$6:$B$41,0)),0)</f>
        <v>714.785714285714</v>
      </c>
      <c r="AB403" s="18" t="n">
        <f aca="false">IF($Z403&lt;=0,0,$Z403/$AA403)</f>
        <v>67.6776470588235</v>
      </c>
      <c r="AC403" s="16" t="n">
        <f aca="false">IFERROR(INDEX(SEMANAS!$K$6:$K$71,MATCH($B403,SEMANAS!$B$6:$B$71,0)),0)</f>
        <v>147</v>
      </c>
      <c r="AD403" s="19" t="n">
        <f aca="false">IF($AC403&lt;=0,0,$AB403/$AC403)</f>
        <v>0.460392156862745</v>
      </c>
      <c r="AE403" s="8" t="str">
        <f aca="false">IF($K403="SEM CULTURA","SEM CULTURA",IF($AA403&lt;=0,"DADO PENDENTE",IF($AD403&gt;LIMITE_CRITICO,"INVIAVEL",IF($AD403&gt;LIMITE_ATENCAO,"CRITICO",IF($AD403&gt;LIMITE_CONFORTAVEL,"ATENCAO","OK")))))</f>
        <v>OK</v>
      </c>
      <c r="AF403" s="8" t="str">
        <f aca="false">$B403&amp;"|"&amp;TEXT($AD403,"0.000000")</f>
        <v>2|0.460392</v>
      </c>
      <c r="AG403" s="18" t="n">
        <f aca="false">IF($K403="SEM CULTURA",0,$T403*$H403)</f>
        <v>4672.2683</v>
      </c>
      <c r="AH403" s="18" t="n">
        <f aca="false">IF($K403="SEM CULTURA",0,$V403*$H403)</f>
        <v>560.392</v>
      </c>
      <c r="AI403" s="18" t="n">
        <f aca="false">IF($K403="SEM CULTURA",0,$W403*$H403)</f>
        <v>4111.8763</v>
      </c>
      <c r="AJ403" s="18" t="n">
        <f aca="false">IF($K403="SEM CULTURA",0,$S403*$H403)</f>
        <v>4062.842</v>
      </c>
      <c r="AK403" s="8" t="str">
        <f aca="false">$E403&amp;"|"&amp;TEXT($AD403,"0.000000")</f>
        <v>PV 102|0.460392</v>
      </c>
    </row>
    <row r="404" customFormat="false" ht="15" hidden="false" customHeight="false" outlineLevel="0" collapsed="false">
      <c r="B404" s="16" t="n">
        <v>3</v>
      </c>
      <c r="C404" s="17" t="n">
        <f aca="false">DATA_INICIO_SAFRA+($B404-1)*DIAS_POR_SEMANA</f>
        <v>46279</v>
      </c>
      <c r="D404" s="17" t="n">
        <f aca="false">$C404+DIAS_POR_SEMANA-1</f>
        <v>46285</v>
      </c>
      <c r="E404" s="15" t="s">
        <v>265</v>
      </c>
      <c r="F404" s="8" t="str">
        <f aca="false">IFERROR(INDEX(CADASTRO_PIVOS!$C$6:$C$41,MATCH($E404,CADASTRO_PIVOS!$B$6:$B$41,0)),"?")</f>
        <v>RM04</v>
      </c>
      <c r="G404" s="8" t="str">
        <f aca="false">IFERROR(INDEX(CADASTRO_PIVOS!$D$6:$D$41,MATCH($E404,CADASTRO_PIVOS!$B$6:$B$41,0)),"?")</f>
        <v>TR04</v>
      </c>
      <c r="H404" s="20" t="n">
        <f aca="false">IFERROR(INDEX(CADASTRO_PIVOS!$E$6:$E$41,MATCH($E404,CADASTRO_PIVOS!$B$6:$B$41,0)),0)</f>
        <v>100.07</v>
      </c>
      <c r="I404" s="16" t="n">
        <f aca="false">IFERROR(SUMIFS(ROTACAO_RDM!$B$6:$B$71,ROTACAO_RDM!$D$6:$D$71,$E404,ROTACAO_RDM!$I$6:$I$71,"&lt;="&amp;$C404+INT(DIAS_POR_SEMANA/2),ROTACAO_RDM!$J$6:$J$71,"&gt;="&amp;$C404+INT(DIAS_POR_SEMANA/2)),0)</f>
        <v>2</v>
      </c>
      <c r="J404" s="16" t="n">
        <f aca="false">IFERROR(MATCH($I404,ROTACAO_RDM!$B$6:$B$71,0),0)</f>
        <v>2</v>
      </c>
      <c r="K404" s="8" t="str">
        <f aca="false">IF($J404=0,"SEM CULTURA",INDEX(ROTACAO_RDM!$F$6:$F$71,$J404))</f>
        <v>MILHO_SEMENTE</v>
      </c>
      <c r="L404" s="8" t="str">
        <f aca="false">IF($J404=0,"",INDEX(ROTACAO_RDM!$G$6:$G$71,$J404))</f>
        <v>Syngenta</v>
      </c>
      <c r="M404" s="17" t="n">
        <f aca="false">IF($J404=0,"",INDEX(ROTACAO_RDM!$I$6:$I$71,$J404))</f>
        <v>46200</v>
      </c>
      <c r="N404" s="16" t="n">
        <f aca="false">IF($J404=0,0,MAX(0,$C404+INT(DIAS_POR_SEMANA/2)-INDEX(ROTACAO_RDM!$I$6:$I$71,$J404)))</f>
        <v>82</v>
      </c>
      <c r="O404" s="19" t="n">
        <f aca="false">IF($J404=0,0,MIN(1,$N404/MAX(1,INDEX(ROTACAO_RDM!$K$6:$K$71,$J404))))</f>
        <v>0.5125</v>
      </c>
      <c r="P404" s="16" t="n">
        <f aca="false">IF($J404=0,0,IFERROR(MATCH(INDEX(ROTACAO_RDM!$N$6:$N$71,$J404),PARAMETROS_CULTURAS!$B$6:$B$28,0),0))</f>
        <v>7</v>
      </c>
      <c r="Q404" s="8" t="str">
        <f aca="false">IF($P404=0,"-",IF($O404&lt;=INDEX(PARAMETROS_CULTURAS!$F$6:$F$28,$P404),"INICIAL",IF($O404&lt;=INDEX(PARAMETROS_CULTURAS!$F$6:$F$28,$P404)+INDEX(PARAMETROS_CULTURAS!$G$6:$G$28,$P404),"DESENVOLVIMENTO",IF($O404&lt;=INDEX(PARAMETROS_CULTURAS!$F$6:$F$28,$P404)+INDEX(PARAMETROS_CULTURAS!$G$6:$G$28,$P404)+INDEX(PARAMETROS_CULTURAS!$H$6:$H$28,$P404),"MEDIA","FINAL"))))</f>
        <v>MEDIA</v>
      </c>
      <c r="R404" s="24" t="n">
        <f aca="false">IF($P404=0,0,IF($O404&lt;=INDEX(PARAMETROS_CULTURAS!$F$6:$F$28,$P404),INDEX(PARAMETROS_CULTURAS!$K$6:$K$28,$P404),IF($O404&lt;=INDEX(PARAMETROS_CULTURAS!$F$6:$F$28,$P404)+INDEX(PARAMETROS_CULTURAS!$G$6:$G$28,$P404),INDEX(PARAMETROS_CULTURAS!$K$6:$K$28,$P404)+(INDEX(PARAMETROS_CULTURAS!$L$6:$L$28,$P404)-INDEX(PARAMETROS_CULTURAS!$K$6:$K$28,$P404))*($O404-INDEX(PARAMETROS_CULTURAS!$F$6:$F$28,$P404))/MAX(INDEX(PARAMETROS_CULTURAS!$G$6:$G$28,$P404),0.0001),IF($O404&lt;=INDEX(PARAMETROS_CULTURAS!$F$6:$F$28,$P404)+INDEX(PARAMETROS_CULTURAS!$G$6:$G$28,$P404)+INDEX(PARAMETROS_CULTURAS!$H$6:$H$28,$P404),INDEX(PARAMETROS_CULTURAS!$L$6:$L$28,$P404),INDEX(PARAMETROS_CULTURAS!$L$6:$L$28,$P404)+(INDEX(PARAMETROS_CULTURAS!$M$6:$M$28,$P404)-INDEX(PARAMETROS_CULTURAS!$L$6:$L$28,$P404))*($O404-INDEX(PARAMETROS_CULTURAS!$F$6:$F$28,$P404)-INDEX(PARAMETROS_CULTURAS!$G$6:$G$28,$P404)-INDEX(PARAMETROS_CULTURAS!$H$6:$H$28,$P404))/MAX(INDEX(PARAMETROS_CULTURAS!$I$6:$I$28,$P404),0.0001)))))</f>
        <v>1.15</v>
      </c>
      <c r="S404" s="18" t="n">
        <f aca="false">IFERROR(INDEX(SEMANAS!$H$6:$H$71,MATCH($B404,SEMANAS!$B$6:$B$71,0)),0)</f>
        <v>40.6</v>
      </c>
      <c r="T404" s="18" t="n">
        <f aca="false">$R404*$S404</f>
        <v>46.69</v>
      </c>
      <c r="U404" s="18" t="n">
        <f aca="false">IFERROR(INDEX(SEMANAS!$I$6:$I$71,MATCH($B404,SEMANAS!$B$6:$B$71,0)),0)</f>
        <v>7</v>
      </c>
      <c r="V404" s="18" t="n">
        <f aca="false">IFERROR(INDEX(SEMANAS!$J$6:$J$71,MATCH($B404,SEMANAS!$B$6:$B$71,0)),0)</f>
        <v>5.6</v>
      </c>
      <c r="W404" s="18" t="n">
        <f aca="false">MAX(0,$T404-$V404)</f>
        <v>41.09</v>
      </c>
      <c r="X404" s="19" t="n">
        <f aca="false">IFERROR(INDEX(CADASTRO_PIVOS!$K$6:$K$41,MATCH($E404,CADASTRO_PIVOS!$B$6:$B$41,0)),EFICIENCIA_PADRAO)</f>
        <v>0.85</v>
      </c>
      <c r="Y404" s="18" t="n">
        <f aca="false">IF($X404&lt;=0,0,$W404/$X404)</f>
        <v>48.3411764705882</v>
      </c>
      <c r="Z404" s="16" t="n">
        <f aca="false">$Y404*$H404*MM_PARA_M3_HA</f>
        <v>48375.0152941176</v>
      </c>
      <c r="AA404" s="18" t="n">
        <f aca="false">IFERROR(INDEX(CADASTRO_PIVOS!$I$6:$I$41,MATCH($E404,CADASTRO_PIVOS!$B$6:$B$41,0)),0)</f>
        <v>714.785714285714</v>
      </c>
      <c r="AB404" s="18" t="n">
        <f aca="false">IF($Z404&lt;=0,0,$Z404/$AA404)</f>
        <v>67.6776470588235</v>
      </c>
      <c r="AC404" s="16" t="n">
        <f aca="false">IFERROR(INDEX(SEMANAS!$K$6:$K$71,MATCH($B404,SEMANAS!$B$6:$B$71,0)),0)</f>
        <v>147</v>
      </c>
      <c r="AD404" s="19" t="n">
        <f aca="false">IF($AC404&lt;=0,0,$AB404/$AC404)</f>
        <v>0.460392156862745</v>
      </c>
      <c r="AE404" s="8" t="str">
        <f aca="false">IF($K404="SEM CULTURA","SEM CULTURA",IF($AA404&lt;=0,"DADO PENDENTE",IF($AD404&gt;LIMITE_CRITICO,"INVIAVEL",IF($AD404&gt;LIMITE_ATENCAO,"CRITICO",IF($AD404&gt;LIMITE_CONFORTAVEL,"ATENCAO","OK")))))</f>
        <v>OK</v>
      </c>
      <c r="AF404" s="8" t="str">
        <f aca="false">$B404&amp;"|"&amp;TEXT($AD404,"0.000000")</f>
        <v>3|0.460392</v>
      </c>
      <c r="AG404" s="18" t="n">
        <f aca="false">IF($K404="SEM CULTURA",0,$T404*$H404)</f>
        <v>4672.2683</v>
      </c>
      <c r="AH404" s="18" t="n">
        <f aca="false">IF($K404="SEM CULTURA",0,$V404*$H404)</f>
        <v>560.392</v>
      </c>
      <c r="AI404" s="18" t="n">
        <f aca="false">IF($K404="SEM CULTURA",0,$W404*$H404)</f>
        <v>4111.8763</v>
      </c>
      <c r="AJ404" s="18" t="n">
        <f aca="false">IF($K404="SEM CULTURA",0,$S404*$H404)</f>
        <v>4062.842</v>
      </c>
      <c r="AK404" s="8" t="str">
        <f aca="false">$E404&amp;"|"&amp;TEXT($AD404,"0.000000")</f>
        <v>PV 102|0.460392</v>
      </c>
    </row>
    <row r="405" customFormat="false" ht="15" hidden="false" customHeight="false" outlineLevel="0" collapsed="false">
      <c r="B405" s="16" t="n">
        <v>4</v>
      </c>
      <c r="C405" s="17" t="n">
        <f aca="false">DATA_INICIO_SAFRA+($B405-1)*DIAS_POR_SEMANA</f>
        <v>46286</v>
      </c>
      <c r="D405" s="17" t="n">
        <f aca="false">$C405+DIAS_POR_SEMANA-1</f>
        <v>46292</v>
      </c>
      <c r="E405" s="15" t="s">
        <v>265</v>
      </c>
      <c r="F405" s="8" t="str">
        <f aca="false">IFERROR(INDEX(CADASTRO_PIVOS!$C$6:$C$41,MATCH($E405,CADASTRO_PIVOS!$B$6:$B$41,0)),"?")</f>
        <v>RM04</v>
      </c>
      <c r="G405" s="8" t="str">
        <f aca="false">IFERROR(INDEX(CADASTRO_PIVOS!$D$6:$D$41,MATCH($E405,CADASTRO_PIVOS!$B$6:$B$41,0)),"?")</f>
        <v>TR04</v>
      </c>
      <c r="H405" s="20" t="n">
        <f aca="false">IFERROR(INDEX(CADASTRO_PIVOS!$E$6:$E$41,MATCH($E405,CADASTRO_PIVOS!$B$6:$B$41,0)),0)</f>
        <v>100.07</v>
      </c>
      <c r="I405" s="16" t="n">
        <f aca="false">IFERROR(SUMIFS(ROTACAO_RDM!$B$6:$B$71,ROTACAO_RDM!$D$6:$D$71,$E405,ROTACAO_RDM!$I$6:$I$71,"&lt;="&amp;$C405+INT(DIAS_POR_SEMANA/2),ROTACAO_RDM!$J$6:$J$71,"&gt;="&amp;$C405+INT(DIAS_POR_SEMANA/2)),0)</f>
        <v>2</v>
      </c>
      <c r="J405" s="16" t="n">
        <f aca="false">IFERROR(MATCH($I405,ROTACAO_RDM!$B$6:$B$71,0),0)</f>
        <v>2</v>
      </c>
      <c r="K405" s="8" t="str">
        <f aca="false">IF($J405=0,"SEM CULTURA",INDEX(ROTACAO_RDM!$F$6:$F$71,$J405))</f>
        <v>MILHO_SEMENTE</v>
      </c>
      <c r="L405" s="8" t="str">
        <f aca="false">IF($J405=0,"",INDEX(ROTACAO_RDM!$G$6:$G$71,$J405))</f>
        <v>Syngenta</v>
      </c>
      <c r="M405" s="17" t="n">
        <f aca="false">IF($J405=0,"",INDEX(ROTACAO_RDM!$I$6:$I$71,$J405))</f>
        <v>46200</v>
      </c>
      <c r="N405" s="16" t="n">
        <f aca="false">IF($J405=0,0,MAX(0,$C405+INT(DIAS_POR_SEMANA/2)-INDEX(ROTACAO_RDM!$I$6:$I$71,$J405)))</f>
        <v>89</v>
      </c>
      <c r="O405" s="19" t="n">
        <f aca="false">IF($J405=0,0,MIN(1,$N405/MAX(1,INDEX(ROTACAO_RDM!$K$6:$K$71,$J405))))</f>
        <v>0.55625</v>
      </c>
      <c r="P405" s="16" t="n">
        <f aca="false">IF($J405=0,0,IFERROR(MATCH(INDEX(ROTACAO_RDM!$N$6:$N$71,$J405),PARAMETROS_CULTURAS!$B$6:$B$28,0),0))</f>
        <v>7</v>
      </c>
      <c r="Q405" s="8" t="str">
        <f aca="false">IF($P405=0,"-",IF($O405&lt;=INDEX(PARAMETROS_CULTURAS!$F$6:$F$28,$P405),"INICIAL",IF($O405&lt;=INDEX(PARAMETROS_CULTURAS!$F$6:$F$28,$P405)+INDEX(PARAMETROS_CULTURAS!$G$6:$G$28,$P405),"DESENVOLVIMENTO",IF($O405&lt;=INDEX(PARAMETROS_CULTURAS!$F$6:$F$28,$P405)+INDEX(PARAMETROS_CULTURAS!$G$6:$G$28,$P405)+INDEX(PARAMETROS_CULTURAS!$H$6:$H$28,$P405),"MEDIA","FINAL"))))</f>
        <v>MEDIA</v>
      </c>
      <c r="R405" s="24" t="n">
        <f aca="false">IF($P405=0,0,IF($O405&lt;=INDEX(PARAMETROS_CULTURAS!$F$6:$F$28,$P405),INDEX(PARAMETROS_CULTURAS!$K$6:$K$28,$P405),IF($O405&lt;=INDEX(PARAMETROS_CULTURAS!$F$6:$F$28,$P405)+INDEX(PARAMETROS_CULTURAS!$G$6:$G$28,$P405),INDEX(PARAMETROS_CULTURAS!$K$6:$K$28,$P405)+(INDEX(PARAMETROS_CULTURAS!$L$6:$L$28,$P405)-INDEX(PARAMETROS_CULTURAS!$K$6:$K$28,$P405))*($O405-INDEX(PARAMETROS_CULTURAS!$F$6:$F$28,$P405))/MAX(INDEX(PARAMETROS_CULTURAS!$G$6:$G$28,$P405),0.0001),IF($O405&lt;=INDEX(PARAMETROS_CULTURAS!$F$6:$F$28,$P405)+INDEX(PARAMETROS_CULTURAS!$G$6:$G$28,$P405)+INDEX(PARAMETROS_CULTURAS!$H$6:$H$28,$P405),INDEX(PARAMETROS_CULTURAS!$L$6:$L$28,$P405),INDEX(PARAMETROS_CULTURAS!$L$6:$L$28,$P405)+(INDEX(PARAMETROS_CULTURAS!$M$6:$M$28,$P405)-INDEX(PARAMETROS_CULTURAS!$L$6:$L$28,$P405))*($O405-INDEX(PARAMETROS_CULTURAS!$F$6:$F$28,$P405)-INDEX(PARAMETROS_CULTURAS!$G$6:$G$28,$P405)-INDEX(PARAMETROS_CULTURAS!$H$6:$H$28,$P405))/MAX(INDEX(PARAMETROS_CULTURAS!$I$6:$I$28,$P405),0.0001)))))</f>
        <v>1.15</v>
      </c>
      <c r="S405" s="18" t="n">
        <f aca="false">IFERROR(INDEX(SEMANAS!$H$6:$H$71,MATCH($B405,SEMANAS!$B$6:$B$71,0)),0)</f>
        <v>40.6</v>
      </c>
      <c r="T405" s="18" t="n">
        <f aca="false">$R405*$S405</f>
        <v>46.69</v>
      </c>
      <c r="U405" s="18" t="n">
        <f aca="false">IFERROR(INDEX(SEMANAS!$I$6:$I$71,MATCH($B405,SEMANAS!$B$6:$B$71,0)),0)</f>
        <v>7</v>
      </c>
      <c r="V405" s="18" t="n">
        <f aca="false">IFERROR(INDEX(SEMANAS!$J$6:$J$71,MATCH($B405,SEMANAS!$B$6:$B$71,0)),0)</f>
        <v>5.6</v>
      </c>
      <c r="W405" s="18" t="n">
        <f aca="false">MAX(0,$T405-$V405)</f>
        <v>41.09</v>
      </c>
      <c r="X405" s="19" t="n">
        <f aca="false">IFERROR(INDEX(CADASTRO_PIVOS!$K$6:$K$41,MATCH($E405,CADASTRO_PIVOS!$B$6:$B$41,0)),EFICIENCIA_PADRAO)</f>
        <v>0.85</v>
      </c>
      <c r="Y405" s="18" t="n">
        <f aca="false">IF($X405&lt;=0,0,$W405/$X405)</f>
        <v>48.3411764705882</v>
      </c>
      <c r="Z405" s="16" t="n">
        <f aca="false">$Y405*$H405*MM_PARA_M3_HA</f>
        <v>48375.0152941176</v>
      </c>
      <c r="AA405" s="18" t="n">
        <f aca="false">IFERROR(INDEX(CADASTRO_PIVOS!$I$6:$I$41,MATCH($E405,CADASTRO_PIVOS!$B$6:$B$41,0)),0)</f>
        <v>714.785714285714</v>
      </c>
      <c r="AB405" s="18" t="n">
        <f aca="false">IF($Z405&lt;=0,0,$Z405/$AA405)</f>
        <v>67.6776470588235</v>
      </c>
      <c r="AC405" s="16" t="n">
        <f aca="false">IFERROR(INDEX(SEMANAS!$K$6:$K$71,MATCH($B405,SEMANAS!$B$6:$B$71,0)),0)</f>
        <v>147</v>
      </c>
      <c r="AD405" s="19" t="n">
        <f aca="false">IF($AC405&lt;=0,0,$AB405/$AC405)</f>
        <v>0.460392156862745</v>
      </c>
      <c r="AE405" s="8" t="str">
        <f aca="false">IF($K405="SEM CULTURA","SEM CULTURA",IF($AA405&lt;=0,"DADO PENDENTE",IF($AD405&gt;LIMITE_CRITICO,"INVIAVEL",IF($AD405&gt;LIMITE_ATENCAO,"CRITICO",IF($AD405&gt;LIMITE_CONFORTAVEL,"ATENCAO","OK")))))</f>
        <v>OK</v>
      </c>
      <c r="AF405" s="8" t="str">
        <f aca="false">$B405&amp;"|"&amp;TEXT($AD405,"0.000000")</f>
        <v>4|0.460392</v>
      </c>
      <c r="AG405" s="18" t="n">
        <f aca="false">IF($K405="SEM CULTURA",0,$T405*$H405)</f>
        <v>4672.2683</v>
      </c>
      <c r="AH405" s="18" t="n">
        <f aca="false">IF($K405="SEM CULTURA",0,$V405*$H405)</f>
        <v>560.392</v>
      </c>
      <c r="AI405" s="18" t="n">
        <f aca="false">IF($K405="SEM CULTURA",0,$W405*$H405)</f>
        <v>4111.8763</v>
      </c>
      <c r="AJ405" s="18" t="n">
        <f aca="false">IF($K405="SEM CULTURA",0,$S405*$H405)</f>
        <v>4062.842</v>
      </c>
      <c r="AK405" s="8" t="str">
        <f aca="false">$E405&amp;"|"&amp;TEXT($AD405,"0.000000")</f>
        <v>PV 102|0.460392</v>
      </c>
    </row>
    <row r="406" customFormat="false" ht="15" hidden="false" customHeight="false" outlineLevel="0" collapsed="false">
      <c r="B406" s="16" t="n">
        <v>5</v>
      </c>
      <c r="C406" s="17" t="n">
        <f aca="false">DATA_INICIO_SAFRA+($B406-1)*DIAS_POR_SEMANA</f>
        <v>46293</v>
      </c>
      <c r="D406" s="17" t="n">
        <f aca="false">$C406+DIAS_POR_SEMANA-1</f>
        <v>46299</v>
      </c>
      <c r="E406" s="15" t="s">
        <v>265</v>
      </c>
      <c r="F406" s="8" t="str">
        <f aca="false">IFERROR(INDEX(CADASTRO_PIVOS!$C$6:$C$41,MATCH($E406,CADASTRO_PIVOS!$B$6:$B$41,0)),"?")</f>
        <v>RM04</v>
      </c>
      <c r="G406" s="8" t="str">
        <f aca="false">IFERROR(INDEX(CADASTRO_PIVOS!$D$6:$D$41,MATCH($E406,CADASTRO_PIVOS!$B$6:$B$41,0)),"?")</f>
        <v>TR04</v>
      </c>
      <c r="H406" s="20" t="n">
        <f aca="false">IFERROR(INDEX(CADASTRO_PIVOS!$E$6:$E$41,MATCH($E406,CADASTRO_PIVOS!$B$6:$B$41,0)),0)</f>
        <v>100.07</v>
      </c>
      <c r="I406" s="16" t="n">
        <f aca="false">IFERROR(SUMIFS(ROTACAO_RDM!$B$6:$B$71,ROTACAO_RDM!$D$6:$D$71,$E406,ROTACAO_RDM!$I$6:$I$71,"&lt;="&amp;$C406+INT(DIAS_POR_SEMANA/2),ROTACAO_RDM!$J$6:$J$71,"&gt;="&amp;$C406+INT(DIAS_POR_SEMANA/2)),0)</f>
        <v>2</v>
      </c>
      <c r="J406" s="16" t="n">
        <f aca="false">IFERROR(MATCH($I406,ROTACAO_RDM!$B$6:$B$71,0),0)</f>
        <v>2</v>
      </c>
      <c r="K406" s="8" t="str">
        <f aca="false">IF($J406=0,"SEM CULTURA",INDEX(ROTACAO_RDM!$F$6:$F$71,$J406))</f>
        <v>MILHO_SEMENTE</v>
      </c>
      <c r="L406" s="8" t="str">
        <f aca="false">IF($J406=0,"",INDEX(ROTACAO_RDM!$G$6:$G$71,$J406))</f>
        <v>Syngenta</v>
      </c>
      <c r="M406" s="17" t="n">
        <f aca="false">IF($J406=0,"",INDEX(ROTACAO_RDM!$I$6:$I$71,$J406))</f>
        <v>46200</v>
      </c>
      <c r="N406" s="16" t="n">
        <f aca="false">IF($J406=0,0,MAX(0,$C406+INT(DIAS_POR_SEMANA/2)-INDEX(ROTACAO_RDM!$I$6:$I$71,$J406)))</f>
        <v>96</v>
      </c>
      <c r="O406" s="19" t="n">
        <f aca="false">IF($J406=0,0,MIN(1,$N406/MAX(1,INDEX(ROTACAO_RDM!$K$6:$K$71,$J406))))</f>
        <v>0.6</v>
      </c>
      <c r="P406" s="16" t="n">
        <f aca="false">IF($J406=0,0,IFERROR(MATCH(INDEX(ROTACAO_RDM!$N$6:$N$71,$J406),PARAMETROS_CULTURAS!$B$6:$B$28,0),0))</f>
        <v>7</v>
      </c>
      <c r="Q406" s="8" t="str">
        <f aca="false">IF($P406=0,"-",IF($O406&lt;=INDEX(PARAMETROS_CULTURAS!$F$6:$F$28,$P406),"INICIAL",IF($O406&lt;=INDEX(PARAMETROS_CULTURAS!$F$6:$F$28,$P406)+INDEX(PARAMETROS_CULTURAS!$G$6:$G$28,$P406),"DESENVOLVIMENTO",IF($O406&lt;=INDEX(PARAMETROS_CULTURAS!$F$6:$F$28,$P406)+INDEX(PARAMETROS_CULTURAS!$G$6:$G$28,$P406)+INDEX(PARAMETROS_CULTURAS!$H$6:$H$28,$P406),"MEDIA","FINAL"))))</f>
        <v>MEDIA</v>
      </c>
      <c r="R406" s="24" t="n">
        <f aca="false">IF($P406=0,0,IF($O406&lt;=INDEX(PARAMETROS_CULTURAS!$F$6:$F$28,$P406),INDEX(PARAMETROS_CULTURAS!$K$6:$K$28,$P406),IF($O406&lt;=INDEX(PARAMETROS_CULTURAS!$F$6:$F$28,$P406)+INDEX(PARAMETROS_CULTURAS!$G$6:$G$28,$P406),INDEX(PARAMETROS_CULTURAS!$K$6:$K$28,$P406)+(INDEX(PARAMETROS_CULTURAS!$L$6:$L$28,$P406)-INDEX(PARAMETROS_CULTURAS!$K$6:$K$28,$P406))*($O406-INDEX(PARAMETROS_CULTURAS!$F$6:$F$28,$P406))/MAX(INDEX(PARAMETROS_CULTURAS!$G$6:$G$28,$P406),0.0001),IF($O406&lt;=INDEX(PARAMETROS_CULTURAS!$F$6:$F$28,$P406)+INDEX(PARAMETROS_CULTURAS!$G$6:$G$28,$P406)+INDEX(PARAMETROS_CULTURAS!$H$6:$H$28,$P406),INDEX(PARAMETROS_CULTURAS!$L$6:$L$28,$P406),INDEX(PARAMETROS_CULTURAS!$L$6:$L$28,$P406)+(INDEX(PARAMETROS_CULTURAS!$M$6:$M$28,$P406)-INDEX(PARAMETROS_CULTURAS!$L$6:$L$28,$P406))*($O406-INDEX(PARAMETROS_CULTURAS!$F$6:$F$28,$P406)-INDEX(PARAMETROS_CULTURAS!$G$6:$G$28,$P406)-INDEX(PARAMETROS_CULTURAS!$H$6:$H$28,$P406))/MAX(INDEX(PARAMETROS_CULTURAS!$I$6:$I$28,$P406),0.0001)))))</f>
        <v>1.15</v>
      </c>
      <c r="S406" s="18" t="n">
        <f aca="false">IFERROR(INDEX(SEMANAS!$H$6:$H$71,MATCH($B406,SEMANAS!$B$6:$B$71,0)),0)</f>
        <v>39.8</v>
      </c>
      <c r="T406" s="18" t="n">
        <f aca="false">$R406*$S406</f>
        <v>45.77</v>
      </c>
      <c r="U406" s="18" t="n">
        <f aca="false">IFERROR(INDEX(SEMANAS!$I$6:$I$71,MATCH($B406,SEMANAS!$B$6:$B$71,0)),0)</f>
        <v>18.48</v>
      </c>
      <c r="V406" s="18" t="n">
        <f aca="false">IFERROR(INDEX(SEMANAS!$J$6:$J$71,MATCH($B406,SEMANAS!$B$6:$B$71,0)),0)</f>
        <v>14.784</v>
      </c>
      <c r="W406" s="18" t="n">
        <f aca="false">MAX(0,$T406-$V406)</f>
        <v>30.986</v>
      </c>
      <c r="X406" s="19" t="n">
        <f aca="false">IFERROR(INDEX(CADASTRO_PIVOS!$K$6:$K$41,MATCH($E406,CADASTRO_PIVOS!$B$6:$B$41,0)),EFICIENCIA_PADRAO)</f>
        <v>0.85</v>
      </c>
      <c r="Y406" s="18" t="n">
        <f aca="false">IF($X406&lt;=0,0,$W406/$X406)</f>
        <v>36.4541176470588</v>
      </c>
      <c r="Z406" s="16" t="n">
        <f aca="false">$Y406*$H406*MM_PARA_M3_HA</f>
        <v>36479.6355294118</v>
      </c>
      <c r="AA406" s="18" t="n">
        <f aca="false">IFERROR(INDEX(CADASTRO_PIVOS!$I$6:$I$41,MATCH($E406,CADASTRO_PIVOS!$B$6:$B$41,0)),0)</f>
        <v>714.785714285714</v>
      </c>
      <c r="AB406" s="18" t="n">
        <f aca="false">IF($Z406&lt;=0,0,$Z406/$AA406)</f>
        <v>51.0357647058823</v>
      </c>
      <c r="AC406" s="16" t="n">
        <f aca="false">IFERROR(INDEX(SEMANAS!$K$6:$K$71,MATCH($B406,SEMANAS!$B$6:$B$71,0)),0)</f>
        <v>147</v>
      </c>
      <c r="AD406" s="19" t="n">
        <f aca="false">IF($AC406&lt;=0,0,$AB406/$AC406)</f>
        <v>0.347182072829132</v>
      </c>
      <c r="AE406" s="8" t="str">
        <f aca="false">IF($K406="SEM CULTURA","SEM CULTURA",IF($AA406&lt;=0,"DADO PENDENTE",IF($AD406&gt;LIMITE_CRITICO,"INVIAVEL",IF($AD406&gt;LIMITE_ATENCAO,"CRITICO",IF($AD406&gt;LIMITE_CONFORTAVEL,"ATENCAO","OK")))))</f>
        <v>OK</v>
      </c>
      <c r="AF406" s="8" t="str">
        <f aca="false">$B406&amp;"|"&amp;TEXT($AD406,"0.000000")</f>
        <v>5|0.347182</v>
      </c>
      <c r="AG406" s="18" t="n">
        <f aca="false">IF($K406="SEM CULTURA",0,$T406*$H406)</f>
        <v>4580.2039</v>
      </c>
      <c r="AH406" s="18" t="n">
        <f aca="false">IF($K406="SEM CULTURA",0,$V406*$H406)</f>
        <v>1479.43488</v>
      </c>
      <c r="AI406" s="18" t="n">
        <f aca="false">IF($K406="SEM CULTURA",0,$W406*$H406)</f>
        <v>3100.76902</v>
      </c>
      <c r="AJ406" s="18" t="n">
        <f aca="false">IF($K406="SEM CULTURA",0,$S406*$H406)</f>
        <v>3982.786</v>
      </c>
      <c r="AK406" s="8" t="str">
        <f aca="false">$E406&amp;"|"&amp;TEXT($AD406,"0.000000")</f>
        <v>PV 102|0.347182</v>
      </c>
    </row>
    <row r="407" customFormat="false" ht="15" hidden="false" customHeight="false" outlineLevel="0" collapsed="false">
      <c r="B407" s="16" t="n">
        <v>6</v>
      </c>
      <c r="C407" s="17" t="n">
        <f aca="false">DATA_INICIO_SAFRA+($B407-1)*DIAS_POR_SEMANA</f>
        <v>46300</v>
      </c>
      <c r="D407" s="17" t="n">
        <f aca="false">$C407+DIAS_POR_SEMANA-1</f>
        <v>46306</v>
      </c>
      <c r="E407" s="15" t="s">
        <v>265</v>
      </c>
      <c r="F407" s="8" t="str">
        <f aca="false">IFERROR(INDEX(CADASTRO_PIVOS!$C$6:$C$41,MATCH($E407,CADASTRO_PIVOS!$B$6:$B$41,0)),"?")</f>
        <v>RM04</v>
      </c>
      <c r="G407" s="8" t="str">
        <f aca="false">IFERROR(INDEX(CADASTRO_PIVOS!$D$6:$D$41,MATCH($E407,CADASTRO_PIVOS!$B$6:$B$41,0)),"?")</f>
        <v>TR04</v>
      </c>
      <c r="H407" s="20" t="n">
        <f aca="false">IFERROR(INDEX(CADASTRO_PIVOS!$E$6:$E$41,MATCH($E407,CADASTRO_PIVOS!$B$6:$B$41,0)),0)</f>
        <v>100.07</v>
      </c>
      <c r="I407" s="16" t="n">
        <f aca="false">IFERROR(SUMIFS(ROTACAO_RDM!$B$6:$B$71,ROTACAO_RDM!$D$6:$D$71,$E407,ROTACAO_RDM!$I$6:$I$71,"&lt;="&amp;$C407+INT(DIAS_POR_SEMANA/2),ROTACAO_RDM!$J$6:$J$71,"&gt;="&amp;$C407+INT(DIAS_POR_SEMANA/2)),0)</f>
        <v>2</v>
      </c>
      <c r="J407" s="16" t="n">
        <f aca="false">IFERROR(MATCH($I407,ROTACAO_RDM!$B$6:$B$71,0),0)</f>
        <v>2</v>
      </c>
      <c r="K407" s="8" t="str">
        <f aca="false">IF($J407=0,"SEM CULTURA",INDEX(ROTACAO_RDM!$F$6:$F$71,$J407))</f>
        <v>MILHO_SEMENTE</v>
      </c>
      <c r="L407" s="8" t="str">
        <f aca="false">IF($J407=0,"",INDEX(ROTACAO_RDM!$G$6:$G$71,$J407))</f>
        <v>Syngenta</v>
      </c>
      <c r="M407" s="17" t="n">
        <f aca="false">IF($J407=0,"",INDEX(ROTACAO_RDM!$I$6:$I$71,$J407))</f>
        <v>46200</v>
      </c>
      <c r="N407" s="16" t="n">
        <f aca="false">IF($J407=0,0,MAX(0,$C407+INT(DIAS_POR_SEMANA/2)-INDEX(ROTACAO_RDM!$I$6:$I$71,$J407)))</f>
        <v>103</v>
      </c>
      <c r="O407" s="19" t="n">
        <f aca="false">IF($J407=0,0,MIN(1,$N407/MAX(1,INDEX(ROTACAO_RDM!$K$6:$K$71,$J407))))</f>
        <v>0.64375</v>
      </c>
      <c r="P407" s="16" t="n">
        <f aca="false">IF($J407=0,0,IFERROR(MATCH(INDEX(ROTACAO_RDM!$N$6:$N$71,$J407),PARAMETROS_CULTURAS!$B$6:$B$28,0),0))</f>
        <v>7</v>
      </c>
      <c r="Q407" s="8" t="str">
        <f aca="false">IF($P407=0,"-",IF($O407&lt;=INDEX(PARAMETROS_CULTURAS!$F$6:$F$28,$P407),"INICIAL",IF($O407&lt;=INDEX(PARAMETROS_CULTURAS!$F$6:$F$28,$P407)+INDEX(PARAMETROS_CULTURAS!$G$6:$G$28,$P407),"DESENVOLVIMENTO",IF($O407&lt;=INDEX(PARAMETROS_CULTURAS!$F$6:$F$28,$P407)+INDEX(PARAMETROS_CULTURAS!$G$6:$G$28,$P407)+INDEX(PARAMETROS_CULTURAS!$H$6:$H$28,$P407),"MEDIA","FINAL"))))</f>
        <v>MEDIA</v>
      </c>
      <c r="R407" s="24" t="n">
        <f aca="false">IF($P407=0,0,IF($O407&lt;=INDEX(PARAMETROS_CULTURAS!$F$6:$F$28,$P407),INDEX(PARAMETROS_CULTURAS!$K$6:$K$28,$P407),IF($O407&lt;=INDEX(PARAMETROS_CULTURAS!$F$6:$F$28,$P407)+INDEX(PARAMETROS_CULTURAS!$G$6:$G$28,$P407),INDEX(PARAMETROS_CULTURAS!$K$6:$K$28,$P407)+(INDEX(PARAMETROS_CULTURAS!$L$6:$L$28,$P407)-INDEX(PARAMETROS_CULTURAS!$K$6:$K$28,$P407))*($O407-INDEX(PARAMETROS_CULTURAS!$F$6:$F$28,$P407))/MAX(INDEX(PARAMETROS_CULTURAS!$G$6:$G$28,$P407),0.0001),IF($O407&lt;=INDEX(PARAMETROS_CULTURAS!$F$6:$F$28,$P407)+INDEX(PARAMETROS_CULTURAS!$G$6:$G$28,$P407)+INDEX(PARAMETROS_CULTURAS!$H$6:$H$28,$P407),INDEX(PARAMETROS_CULTURAS!$L$6:$L$28,$P407),INDEX(PARAMETROS_CULTURAS!$L$6:$L$28,$P407)+(INDEX(PARAMETROS_CULTURAS!$M$6:$M$28,$P407)-INDEX(PARAMETROS_CULTURAS!$L$6:$L$28,$P407))*($O407-INDEX(PARAMETROS_CULTURAS!$F$6:$F$28,$P407)-INDEX(PARAMETROS_CULTURAS!$G$6:$G$28,$P407)-INDEX(PARAMETROS_CULTURAS!$H$6:$H$28,$P407))/MAX(INDEX(PARAMETROS_CULTURAS!$I$6:$I$28,$P407),0.0001)))))</f>
        <v>1.15</v>
      </c>
      <c r="S407" s="18" t="n">
        <f aca="false">IFERROR(INDEX(SEMANAS!$H$6:$H$71,MATCH($B407,SEMANAS!$B$6:$B$71,0)),0)</f>
        <v>39.2</v>
      </c>
      <c r="T407" s="18" t="n">
        <f aca="false">$R407*$S407</f>
        <v>45.08</v>
      </c>
      <c r="U407" s="18" t="n">
        <f aca="false">IFERROR(INDEX(SEMANAS!$I$6:$I$71,MATCH($B407,SEMANAS!$B$6:$B$71,0)),0)</f>
        <v>27.09</v>
      </c>
      <c r="V407" s="18" t="n">
        <f aca="false">IFERROR(INDEX(SEMANAS!$J$6:$J$71,MATCH($B407,SEMANAS!$B$6:$B$71,0)),0)</f>
        <v>21.672</v>
      </c>
      <c r="W407" s="18" t="n">
        <f aca="false">MAX(0,$T407-$V407)</f>
        <v>23.408</v>
      </c>
      <c r="X407" s="19" t="n">
        <f aca="false">IFERROR(INDEX(CADASTRO_PIVOS!$K$6:$K$41,MATCH($E407,CADASTRO_PIVOS!$B$6:$B$41,0)),EFICIENCIA_PADRAO)</f>
        <v>0.85</v>
      </c>
      <c r="Y407" s="18" t="n">
        <f aca="false">IF($X407&lt;=0,0,$W407/$X407)</f>
        <v>27.5388235294118</v>
      </c>
      <c r="Z407" s="16" t="n">
        <f aca="false">$Y407*$H407*MM_PARA_M3_HA</f>
        <v>27558.1007058823</v>
      </c>
      <c r="AA407" s="18" t="n">
        <f aca="false">IFERROR(INDEX(CADASTRO_PIVOS!$I$6:$I$41,MATCH($E407,CADASTRO_PIVOS!$B$6:$B$41,0)),0)</f>
        <v>714.785714285714</v>
      </c>
      <c r="AB407" s="18" t="n">
        <f aca="false">IF($Z407&lt;=0,0,$Z407/$AA407)</f>
        <v>38.5543529411765</v>
      </c>
      <c r="AC407" s="16" t="n">
        <f aca="false">IFERROR(INDEX(SEMANAS!$K$6:$K$71,MATCH($B407,SEMANAS!$B$6:$B$71,0)),0)</f>
        <v>147</v>
      </c>
      <c r="AD407" s="19" t="n">
        <f aca="false">IF($AC407&lt;=0,0,$AB407/$AC407)</f>
        <v>0.262274509803921</v>
      </c>
      <c r="AE407" s="8" t="str">
        <f aca="false">IF($K407="SEM CULTURA","SEM CULTURA",IF($AA407&lt;=0,"DADO PENDENTE",IF($AD407&gt;LIMITE_CRITICO,"INVIAVEL",IF($AD407&gt;LIMITE_ATENCAO,"CRITICO",IF($AD407&gt;LIMITE_CONFORTAVEL,"ATENCAO","OK")))))</f>
        <v>OK</v>
      </c>
      <c r="AF407" s="8" t="str">
        <f aca="false">$B407&amp;"|"&amp;TEXT($AD407,"0.000000")</f>
        <v>6|0.262275</v>
      </c>
      <c r="AG407" s="18" t="n">
        <f aca="false">IF($K407="SEM CULTURA",0,$T407*$H407)</f>
        <v>4511.1556</v>
      </c>
      <c r="AH407" s="18" t="n">
        <f aca="false">IF($K407="SEM CULTURA",0,$V407*$H407)</f>
        <v>2168.71704</v>
      </c>
      <c r="AI407" s="18" t="n">
        <f aca="false">IF($K407="SEM CULTURA",0,$W407*$H407)</f>
        <v>2342.43856</v>
      </c>
      <c r="AJ407" s="18" t="n">
        <f aca="false">IF($K407="SEM CULTURA",0,$S407*$H407)</f>
        <v>3922.744</v>
      </c>
      <c r="AK407" s="8" t="str">
        <f aca="false">$E407&amp;"|"&amp;TEXT($AD407,"0.000000")</f>
        <v>PV 102|0.262275</v>
      </c>
    </row>
    <row r="408" customFormat="false" ht="15" hidden="false" customHeight="false" outlineLevel="0" collapsed="false">
      <c r="B408" s="16" t="n">
        <v>7</v>
      </c>
      <c r="C408" s="17" t="n">
        <f aca="false">DATA_INICIO_SAFRA+($B408-1)*DIAS_POR_SEMANA</f>
        <v>46307</v>
      </c>
      <c r="D408" s="17" t="n">
        <f aca="false">$C408+DIAS_POR_SEMANA-1</f>
        <v>46313</v>
      </c>
      <c r="E408" s="15" t="s">
        <v>265</v>
      </c>
      <c r="F408" s="8" t="str">
        <f aca="false">IFERROR(INDEX(CADASTRO_PIVOS!$C$6:$C$41,MATCH($E408,CADASTRO_PIVOS!$B$6:$B$41,0)),"?")</f>
        <v>RM04</v>
      </c>
      <c r="G408" s="8" t="str">
        <f aca="false">IFERROR(INDEX(CADASTRO_PIVOS!$D$6:$D$41,MATCH($E408,CADASTRO_PIVOS!$B$6:$B$41,0)),"?")</f>
        <v>TR04</v>
      </c>
      <c r="H408" s="20" t="n">
        <f aca="false">IFERROR(INDEX(CADASTRO_PIVOS!$E$6:$E$41,MATCH($E408,CADASTRO_PIVOS!$B$6:$B$41,0)),0)</f>
        <v>100.07</v>
      </c>
      <c r="I408" s="16" t="n">
        <f aca="false">IFERROR(SUMIFS(ROTACAO_RDM!$B$6:$B$71,ROTACAO_RDM!$D$6:$D$71,$E408,ROTACAO_RDM!$I$6:$I$71,"&lt;="&amp;$C408+INT(DIAS_POR_SEMANA/2),ROTACAO_RDM!$J$6:$J$71,"&gt;="&amp;$C408+INT(DIAS_POR_SEMANA/2)),0)</f>
        <v>2</v>
      </c>
      <c r="J408" s="16" t="n">
        <f aca="false">IFERROR(MATCH($I408,ROTACAO_RDM!$B$6:$B$71,0),0)</f>
        <v>2</v>
      </c>
      <c r="K408" s="8" t="str">
        <f aca="false">IF($J408=0,"SEM CULTURA",INDEX(ROTACAO_RDM!$F$6:$F$71,$J408))</f>
        <v>MILHO_SEMENTE</v>
      </c>
      <c r="L408" s="8" t="str">
        <f aca="false">IF($J408=0,"",INDEX(ROTACAO_RDM!$G$6:$G$71,$J408))</f>
        <v>Syngenta</v>
      </c>
      <c r="M408" s="17" t="n">
        <f aca="false">IF($J408=0,"",INDEX(ROTACAO_RDM!$I$6:$I$71,$J408))</f>
        <v>46200</v>
      </c>
      <c r="N408" s="16" t="n">
        <f aca="false">IF($J408=0,0,MAX(0,$C408+INT(DIAS_POR_SEMANA/2)-INDEX(ROTACAO_RDM!$I$6:$I$71,$J408)))</f>
        <v>110</v>
      </c>
      <c r="O408" s="19" t="n">
        <f aca="false">IF($J408=0,0,MIN(1,$N408/MAX(1,INDEX(ROTACAO_RDM!$K$6:$K$71,$J408))))</f>
        <v>0.6875</v>
      </c>
      <c r="P408" s="16" t="n">
        <f aca="false">IF($J408=0,0,IFERROR(MATCH(INDEX(ROTACAO_RDM!$N$6:$N$71,$J408),PARAMETROS_CULTURAS!$B$6:$B$28,0),0))</f>
        <v>7</v>
      </c>
      <c r="Q408" s="8" t="str">
        <f aca="false">IF($P408=0,"-",IF($O408&lt;=INDEX(PARAMETROS_CULTURAS!$F$6:$F$28,$P408),"INICIAL",IF($O408&lt;=INDEX(PARAMETROS_CULTURAS!$F$6:$F$28,$P408)+INDEX(PARAMETROS_CULTURAS!$G$6:$G$28,$P408),"DESENVOLVIMENTO",IF($O408&lt;=INDEX(PARAMETROS_CULTURAS!$F$6:$F$28,$P408)+INDEX(PARAMETROS_CULTURAS!$G$6:$G$28,$P408)+INDEX(PARAMETROS_CULTURAS!$H$6:$H$28,$P408),"MEDIA","FINAL"))))</f>
        <v>MEDIA</v>
      </c>
      <c r="R408" s="24" t="n">
        <f aca="false">IF($P408=0,0,IF($O408&lt;=INDEX(PARAMETROS_CULTURAS!$F$6:$F$28,$P408),INDEX(PARAMETROS_CULTURAS!$K$6:$K$28,$P408),IF($O408&lt;=INDEX(PARAMETROS_CULTURAS!$F$6:$F$28,$P408)+INDEX(PARAMETROS_CULTURAS!$G$6:$G$28,$P408),INDEX(PARAMETROS_CULTURAS!$K$6:$K$28,$P408)+(INDEX(PARAMETROS_CULTURAS!$L$6:$L$28,$P408)-INDEX(PARAMETROS_CULTURAS!$K$6:$K$28,$P408))*($O408-INDEX(PARAMETROS_CULTURAS!$F$6:$F$28,$P408))/MAX(INDEX(PARAMETROS_CULTURAS!$G$6:$G$28,$P408),0.0001),IF($O408&lt;=INDEX(PARAMETROS_CULTURAS!$F$6:$F$28,$P408)+INDEX(PARAMETROS_CULTURAS!$G$6:$G$28,$P408)+INDEX(PARAMETROS_CULTURAS!$H$6:$H$28,$P408),INDEX(PARAMETROS_CULTURAS!$L$6:$L$28,$P408),INDEX(PARAMETROS_CULTURAS!$L$6:$L$28,$P408)+(INDEX(PARAMETROS_CULTURAS!$M$6:$M$28,$P408)-INDEX(PARAMETROS_CULTURAS!$L$6:$L$28,$P408))*($O408-INDEX(PARAMETROS_CULTURAS!$F$6:$F$28,$P408)-INDEX(PARAMETROS_CULTURAS!$G$6:$G$28,$P408)-INDEX(PARAMETROS_CULTURAS!$H$6:$H$28,$P408))/MAX(INDEX(PARAMETROS_CULTURAS!$I$6:$I$28,$P408),0.0001)))))</f>
        <v>1.15</v>
      </c>
      <c r="S408" s="18" t="n">
        <f aca="false">IFERROR(INDEX(SEMANAS!$H$6:$H$71,MATCH($B408,SEMANAS!$B$6:$B$71,0)),0)</f>
        <v>39.2</v>
      </c>
      <c r="T408" s="18" t="n">
        <f aca="false">$R408*$S408</f>
        <v>45.08</v>
      </c>
      <c r="U408" s="18" t="n">
        <f aca="false">IFERROR(INDEX(SEMANAS!$I$6:$I$71,MATCH($B408,SEMANAS!$B$6:$B$71,0)),0)</f>
        <v>27.09</v>
      </c>
      <c r="V408" s="18" t="n">
        <f aca="false">IFERROR(INDEX(SEMANAS!$J$6:$J$71,MATCH($B408,SEMANAS!$B$6:$B$71,0)),0)</f>
        <v>21.672</v>
      </c>
      <c r="W408" s="18" t="n">
        <f aca="false">MAX(0,$T408-$V408)</f>
        <v>23.408</v>
      </c>
      <c r="X408" s="19" t="n">
        <f aca="false">IFERROR(INDEX(CADASTRO_PIVOS!$K$6:$K$41,MATCH($E408,CADASTRO_PIVOS!$B$6:$B$41,0)),EFICIENCIA_PADRAO)</f>
        <v>0.85</v>
      </c>
      <c r="Y408" s="18" t="n">
        <f aca="false">IF($X408&lt;=0,0,$W408/$X408)</f>
        <v>27.5388235294118</v>
      </c>
      <c r="Z408" s="16" t="n">
        <f aca="false">$Y408*$H408*MM_PARA_M3_HA</f>
        <v>27558.1007058823</v>
      </c>
      <c r="AA408" s="18" t="n">
        <f aca="false">IFERROR(INDEX(CADASTRO_PIVOS!$I$6:$I$41,MATCH($E408,CADASTRO_PIVOS!$B$6:$B$41,0)),0)</f>
        <v>714.785714285714</v>
      </c>
      <c r="AB408" s="18" t="n">
        <f aca="false">IF($Z408&lt;=0,0,$Z408/$AA408)</f>
        <v>38.5543529411765</v>
      </c>
      <c r="AC408" s="16" t="n">
        <f aca="false">IFERROR(INDEX(SEMANAS!$K$6:$K$71,MATCH($B408,SEMANAS!$B$6:$B$71,0)),0)</f>
        <v>147</v>
      </c>
      <c r="AD408" s="19" t="n">
        <f aca="false">IF($AC408&lt;=0,0,$AB408/$AC408)</f>
        <v>0.262274509803921</v>
      </c>
      <c r="AE408" s="8" t="str">
        <f aca="false">IF($K408="SEM CULTURA","SEM CULTURA",IF($AA408&lt;=0,"DADO PENDENTE",IF($AD408&gt;LIMITE_CRITICO,"INVIAVEL",IF($AD408&gt;LIMITE_ATENCAO,"CRITICO",IF($AD408&gt;LIMITE_CONFORTAVEL,"ATENCAO","OK")))))</f>
        <v>OK</v>
      </c>
      <c r="AF408" s="8" t="str">
        <f aca="false">$B408&amp;"|"&amp;TEXT($AD408,"0.000000")</f>
        <v>7|0.262275</v>
      </c>
      <c r="AG408" s="18" t="n">
        <f aca="false">IF($K408="SEM CULTURA",0,$T408*$H408)</f>
        <v>4511.1556</v>
      </c>
      <c r="AH408" s="18" t="n">
        <f aca="false">IF($K408="SEM CULTURA",0,$V408*$H408)</f>
        <v>2168.71704</v>
      </c>
      <c r="AI408" s="18" t="n">
        <f aca="false">IF($K408="SEM CULTURA",0,$W408*$H408)</f>
        <v>2342.43856</v>
      </c>
      <c r="AJ408" s="18" t="n">
        <f aca="false">IF($K408="SEM CULTURA",0,$S408*$H408)</f>
        <v>3922.744</v>
      </c>
      <c r="AK408" s="8" t="str">
        <f aca="false">$E408&amp;"|"&amp;TEXT($AD408,"0.000000")</f>
        <v>PV 102|0.262275</v>
      </c>
    </row>
    <row r="409" customFormat="false" ht="15" hidden="false" customHeight="false" outlineLevel="0" collapsed="false">
      <c r="B409" s="16" t="n">
        <v>8</v>
      </c>
      <c r="C409" s="17" t="n">
        <f aca="false">DATA_INICIO_SAFRA+($B409-1)*DIAS_POR_SEMANA</f>
        <v>46314</v>
      </c>
      <c r="D409" s="17" t="n">
        <f aca="false">$C409+DIAS_POR_SEMANA-1</f>
        <v>46320</v>
      </c>
      <c r="E409" s="15" t="s">
        <v>265</v>
      </c>
      <c r="F409" s="8" t="str">
        <f aca="false">IFERROR(INDEX(CADASTRO_PIVOS!$C$6:$C$41,MATCH($E409,CADASTRO_PIVOS!$B$6:$B$41,0)),"?")</f>
        <v>RM04</v>
      </c>
      <c r="G409" s="8" t="str">
        <f aca="false">IFERROR(INDEX(CADASTRO_PIVOS!$D$6:$D$41,MATCH($E409,CADASTRO_PIVOS!$B$6:$B$41,0)),"?")</f>
        <v>TR04</v>
      </c>
      <c r="H409" s="20" t="n">
        <f aca="false">IFERROR(INDEX(CADASTRO_PIVOS!$E$6:$E$41,MATCH($E409,CADASTRO_PIVOS!$B$6:$B$41,0)),0)</f>
        <v>100.07</v>
      </c>
      <c r="I409" s="16" t="n">
        <f aca="false">IFERROR(SUMIFS(ROTACAO_RDM!$B$6:$B$71,ROTACAO_RDM!$D$6:$D$71,$E409,ROTACAO_RDM!$I$6:$I$71,"&lt;="&amp;$C409+INT(DIAS_POR_SEMANA/2),ROTACAO_RDM!$J$6:$J$71,"&gt;="&amp;$C409+INT(DIAS_POR_SEMANA/2)),0)</f>
        <v>2</v>
      </c>
      <c r="J409" s="16" t="n">
        <f aca="false">IFERROR(MATCH($I409,ROTACAO_RDM!$B$6:$B$71,0),0)</f>
        <v>2</v>
      </c>
      <c r="K409" s="8" t="str">
        <f aca="false">IF($J409=0,"SEM CULTURA",INDEX(ROTACAO_RDM!$F$6:$F$71,$J409))</f>
        <v>MILHO_SEMENTE</v>
      </c>
      <c r="L409" s="8" t="str">
        <f aca="false">IF($J409=0,"",INDEX(ROTACAO_RDM!$G$6:$G$71,$J409))</f>
        <v>Syngenta</v>
      </c>
      <c r="M409" s="17" t="n">
        <f aca="false">IF($J409=0,"",INDEX(ROTACAO_RDM!$I$6:$I$71,$J409))</f>
        <v>46200</v>
      </c>
      <c r="N409" s="16" t="n">
        <f aca="false">IF($J409=0,0,MAX(0,$C409+INT(DIAS_POR_SEMANA/2)-INDEX(ROTACAO_RDM!$I$6:$I$71,$J409)))</f>
        <v>117</v>
      </c>
      <c r="O409" s="19" t="n">
        <f aca="false">IF($J409=0,0,MIN(1,$N409/MAX(1,INDEX(ROTACAO_RDM!$K$6:$K$71,$J409))))</f>
        <v>0.73125</v>
      </c>
      <c r="P409" s="16" t="n">
        <f aca="false">IF($J409=0,0,IFERROR(MATCH(INDEX(ROTACAO_RDM!$N$6:$N$71,$J409),PARAMETROS_CULTURAS!$B$6:$B$28,0),0))</f>
        <v>7</v>
      </c>
      <c r="Q409" s="8" t="str">
        <f aca="false">IF($P409=0,"-",IF($O409&lt;=INDEX(PARAMETROS_CULTURAS!$F$6:$F$28,$P409),"INICIAL",IF($O409&lt;=INDEX(PARAMETROS_CULTURAS!$F$6:$F$28,$P409)+INDEX(PARAMETROS_CULTURAS!$G$6:$G$28,$P409),"DESENVOLVIMENTO",IF($O409&lt;=INDEX(PARAMETROS_CULTURAS!$F$6:$F$28,$P409)+INDEX(PARAMETROS_CULTURAS!$G$6:$G$28,$P409)+INDEX(PARAMETROS_CULTURAS!$H$6:$H$28,$P409),"MEDIA","FINAL"))))</f>
        <v>MEDIA</v>
      </c>
      <c r="R409" s="24" t="n">
        <f aca="false">IF($P409=0,0,IF($O409&lt;=INDEX(PARAMETROS_CULTURAS!$F$6:$F$28,$P409),INDEX(PARAMETROS_CULTURAS!$K$6:$K$28,$P409),IF($O409&lt;=INDEX(PARAMETROS_CULTURAS!$F$6:$F$28,$P409)+INDEX(PARAMETROS_CULTURAS!$G$6:$G$28,$P409),INDEX(PARAMETROS_CULTURAS!$K$6:$K$28,$P409)+(INDEX(PARAMETROS_CULTURAS!$L$6:$L$28,$P409)-INDEX(PARAMETROS_CULTURAS!$K$6:$K$28,$P409))*($O409-INDEX(PARAMETROS_CULTURAS!$F$6:$F$28,$P409))/MAX(INDEX(PARAMETROS_CULTURAS!$G$6:$G$28,$P409),0.0001),IF($O409&lt;=INDEX(PARAMETROS_CULTURAS!$F$6:$F$28,$P409)+INDEX(PARAMETROS_CULTURAS!$G$6:$G$28,$P409)+INDEX(PARAMETROS_CULTURAS!$H$6:$H$28,$P409),INDEX(PARAMETROS_CULTURAS!$L$6:$L$28,$P409),INDEX(PARAMETROS_CULTURAS!$L$6:$L$28,$P409)+(INDEX(PARAMETROS_CULTURAS!$M$6:$M$28,$P409)-INDEX(PARAMETROS_CULTURAS!$L$6:$L$28,$P409))*($O409-INDEX(PARAMETROS_CULTURAS!$F$6:$F$28,$P409)-INDEX(PARAMETROS_CULTURAS!$G$6:$G$28,$P409)-INDEX(PARAMETROS_CULTURAS!$H$6:$H$28,$P409))/MAX(INDEX(PARAMETROS_CULTURAS!$I$6:$I$28,$P409),0.0001)))))</f>
        <v>1.15</v>
      </c>
      <c r="S409" s="18" t="n">
        <f aca="false">IFERROR(INDEX(SEMANAS!$H$6:$H$71,MATCH($B409,SEMANAS!$B$6:$B$71,0)),0)</f>
        <v>39.2</v>
      </c>
      <c r="T409" s="18" t="n">
        <f aca="false">$R409*$S409</f>
        <v>45.08</v>
      </c>
      <c r="U409" s="18" t="n">
        <f aca="false">IFERROR(INDEX(SEMANAS!$I$6:$I$71,MATCH($B409,SEMANAS!$B$6:$B$71,0)),0)</f>
        <v>27.09</v>
      </c>
      <c r="V409" s="18" t="n">
        <f aca="false">IFERROR(INDEX(SEMANAS!$J$6:$J$71,MATCH($B409,SEMANAS!$B$6:$B$71,0)),0)</f>
        <v>21.672</v>
      </c>
      <c r="W409" s="18" t="n">
        <f aca="false">MAX(0,$T409-$V409)</f>
        <v>23.408</v>
      </c>
      <c r="X409" s="19" t="n">
        <f aca="false">IFERROR(INDEX(CADASTRO_PIVOS!$K$6:$K$41,MATCH($E409,CADASTRO_PIVOS!$B$6:$B$41,0)),EFICIENCIA_PADRAO)</f>
        <v>0.85</v>
      </c>
      <c r="Y409" s="18" t="n">
        <f aca="false">IF($X409&lt;=0,0,$W409/$X409)</f>
        <v>27.5388235294118</v>
      </c>
      <c r="Z409" s="16" t="n">
        <f aca="false">$Y409*$H409*MM_PARA_M3_HA</f>
        <v>27558.1007058823</v>
      </c>
      <c r="AA409" s="18" t="n">
        <f aca="false">IFERROR(INDEX(CADASTRO_PIVOS!$I$6:$I$41,MATCH($E409,CADASTRO_PIVOS!$B$6:$B$41,0)),0)</f>
        <v>714.785714285714</v>
      </c>
      <c r="AB409" s="18" t="n">
        <f aca="false">IF($Z409&lt;=0,0,$Z409/$AA409)</f>
        <v>38.5543529411765</v>
      </c>
      <c r="AC409" s="16" t="n">
        <f aca="false">IFERROR(INDEX(SEMANAS!$K$6:$K$71,MATCH($B409,SEMANAS!$B$6:$B$71,0)),0)</f>
        <v>147</v>
      </c>
      <c r="AD409" s="19" t="n">
        <f aca="false">IF($AC409&lt;=0,0,$AB409/$AC409)</f>
        <v>0.262274509803921</v>
      </c>
      <c r="AE409" s="8" t="str">
        <f aca="false">IF($K409="SEM CULTURA","SEM CULTURA",IF($AA409&lt;=0,"DADO PENDENTE",IF($AD409&gt;LIMITE_CRITICO,"INVIAVEL",IF($AD409&gt;LIMITE_ATENCAO,"CRITICO",IF($AD409&gt;LIMITE_CONFORTAVEL,"ATENCAO","OK")))))</f>
        <v>OK</v>
      </c>
      <c r="AF409" s="8" t="str">
        <f aca="false">$B409&amp;"|"&amp;TEXT($AD409,"0.000000")</f>
        <v>8|0.262275</v>
      </c>
      <c r="AG409" s="18" t="n">
        <f aca="false">IF($K409="SEM CULTURA",0,$T409*$H409)</f>
        <v>4511.1556</v>
      </c>
      <c r="AH409" s="18" t="n">
        <f aca="false">IF($K409="SEM CULTURA",0,$V409*$H409)</f>
        <v>2168.71704</v>
      </c>
      <c r="AI409" s="18" t="n">
        <f aca="false">IF($K409="SEM CULTURA",0,$W409*$H409)</f>
        <v>2342.43856</v>
      </c>
      <c r="AJ409" s="18" t="n">
        <f aca="false">IF($K409="SEM CULTURA",0,$S409*$H409)</f>
        <v>3922.744</v>
      </c>
      <c r="AK409" s="8" t="str">
        <f aca="false">$E409&amp;"|"&amp;TEXT($AD409,"0.000000")</f>
        <v>PV 102|0.262275</v>
      </c>
    </row>
    <row r="410" customFormat="false" ht="15" hidden="false" customHeight="false" outlineLevel="0" collapsed="false">
      <c r="B410" s="16" t="n">
        <v>9</v>
      </c>
      <c r="C410" s="17" t="n">
        <f aca="false">DATA_INICIO_SAFRA+($B410-1)*DIAS_POR_SEMANA</f>
        <v>46321</v>
      </c>
      <c r="D410" s="17" t="n">
        <f aca="false">$C410+DIAS_POR_SEMANA-1</f>
        <v>46327</v>
      </c>
      <c r="E410" s="15" t="s">
        <v>265</v>
      </c>
      <c r="F410" s="8" t="str">
        <f aca="false">IFERROR(INDEX(CADASTRO_PIVOS!$C$6:$C$41,MATCH($E410,CADASTRO_PIVOS!$B$6:$B$41,0)),"?")</f>
        <v>RM04</v>
      </c>
      <c r="G410" s="8" t="str">
        <f aca="false">IFERROR(INDEX(CADASTRO_PIVOS!$D$6:$D$41,MATCH($E410,CADASTRO_PIVOS!$B$6:$B$41,0)),"?")</f>
        <v>TR04</v>
      </c>
      <c r="H410" s="20" t="n">
        <f aca="false">IFERROR(INDEX(CADASTRO_PIVOS!$E$6:$E$41,MATCH($E410,CADASTRO_PIVOS!$B$6:$B$41,0)),0)</f>
        <v>100.07</v>
      </c>
      <c r="I410" s="16" t="n">
        <f aca="false">IFERROR(SUMIFS(ROTACAO_RDM!$B$6:$B$71,ROTACAO_RDM!$D$6:$D$71,$E410,ROTACAO_RDM!$I$6:$I$71,"&lt;="&amp;$C410+INT(DIAS_POR_SEMANA/2),ROTACAO_RDM!$J$6:$J$71,"&gt;="&amp;$C410+INT(DIAS_POR_SEMANA/2)),0)</f>
        <v>2</v>
      </c>
      <c r="J410" s="16" t="n">
        <f aca="false">IFERROR(MATCH($I410,ROTACAO_RDM!$B$6:$B$71,0),0)</f>
        <v>2</v>
      </c>
      <c r="K410" s="8" t="str">
        <f aca="false">IF($J410=0,"SEM CULTURA",INDEX(ROTACAO_RDM!$F$6:$F$71,$J410))</f>
        <v>MILHO_SEMENTE</v>
      </c>
      <c r="L410" s="8" t="str">
        <f aca="false">IF($J410=0,"",INDEX(ROTACAO_RDM!$G$6:$G$71,$J410))</f>
        <v>Syngenta</v>
      </c>
      <c r="M410" s="17" t="n">
        <f aca="false">IF($J410=0,"",INDEX(ROTACAO_RDM!$I$6:$I$71,$J410))</f>
        <v>46200</v>
      </c>
      <c r="N410" s="16" t="n">
        <f aca="false">IF($J410=0,0,MAX(0,$C410+INT(DIAS_POR_SEMANA/2)-INDEX(ROTACAO_RDM!$I$6:$I$71,$J410)))</f>
        <v>124</v>
      </c>
      <c r="O410" s="19" t="n">
        <f aca="false">IF($J410=0,0,MIN(1,$N410/MAX(1,INDEX(ROTACAO_RDM!$K$6:$K$71,$J410))))</f>
        <v>0.775</v>
      </c>
      <c r="P410" s="16" t="n">
        <f aca="false">IF($J410=0,0,IFERROR(MATCH(INDEX(ROTACAO_RDM!$N$6:$N$71,$J410),PARAMETROS_CULTURAS!$B$6:$B$28,0),0))</f>
        <v>7</v>
      </c>
      <c r="Q410" s="8" t="str">
        <f aca="false">IF($P410=0,"-",IF($O410&lt;=INDEX(PARAMETROS_CULTURAS!$F$6:$F$28,$P410),"INICIAL",IF($O410&lt;=INDEX(PARAMETROS_CULTURAS!$F$6:$F$28,$P410)+INDEX(PARAMETROS_CULTURAS!$G$6:$G$28,$P410),"DESENVOLVIMENTO",IF($O410&lt;=INDEX(PARAMETROS_CULTURAS!$F$6:$F$28,$P410)+INDEX(PARAMETROS_CULTURAS!$G$6:$G$28,$P410)+INDEX(PARAMETROS_CULTURAS!$H$6:$H$28,$P410),"MEDIA","FINAL"))))</f>
        <v>FINAL</v>
      </c>
      <c r="R410" s="24" t="n">
        <f aca="false">IF($P410=0,0,IF($O410&lt;=INDEX(PARAMETROS_CULTURAS!$F$6:$F$28,$P410),INDEX(PARAMETROS_CULTURAS!$K$6:$K$28,$P410),IF($O410&lt;=INDEX(PARAMETROS_CULTURAS!$F$6:$F$28,$P410)+INDEX(PARAMETROS_CULTURAS!$G$6:$G$28,$P410),INDEX(PARAMETROS_CULTURAS!$K$6:$K$28,$P410)+(INDEX(PARAMETROS_CULTURAS!$L$6:$L$28,$P410)-INDEX(PARAMETROS_CULTURAS!$K$6:$K$28,$P410))*($O410-INDEX(PARAMETROS_CULTURAS!$F$6:$F$28,$P410))/MAX(INDEX(PARAMETROS_CULTURAS!$G$6:$G$28,$P410),0.0001),IF($O410&lt;=INDEX(PARAMETROS_CULTURAS!$F$6:$F$28,$P410)+INDEX(PARAMETROS_CULTURAS!$G$6:$G$28,$P410)+INDEX(PARAMETROS_CULTURAS!$H$6:$H$28,$P410),INDEX(PARAMETROS_CULTURAS!$L$6:$L$28,$P410),INDEX(PARAMETROS_CULTURAS!$L$6:$L$28,$P410)+(INDEX(PARAMETROS_CULTURAS!$M$6:$M$28,$P410)-INDEX(PARAMETROS_CULTURAS!$L$6:$L$28,$P410))*($O410-INDEX(PARAMETROS_CULTURAS!$F$6:$F$28,$P410)-INDEX(PARAMETROS_CULTURAS!$G$6:$G$28,$P410)-INDEX(PARAMETROS_CULTURAS!$H$6:$H$28,$P410))/MAX(INDEX(PARAMETROS_CULTURAS!$I$6:$I$28,$P410),0.0001)))))</f>
        <v>1.095</v>
      </c>
      <c r="S410" s="18" t="n">
        <f aca="false">IFERROR(INDEX(SEMANAS!$H$6:$H$71,MATCH($B410,SEMANAS!$B$6:$B$71,0)),0)</f>
        <v>38.5</v>
      </c>
      <c r="T410" s="18" t="n">
        <f aca="false">$R410*$S410</f>
        <v>42.1575</v>
      </c>
      <c r="U410" s="18" t="n">
        <f aca="false">IFERROR(INDEX(SEMANAS!$I$6:$I$71,MATCH($B410,SEMANAS!$B$6:$B$71,0)),0)</f>
        <v>29.89</v>
      </c>
      <c r="V410" s="18" t="n">
        <f aca="false">IFERROR(INDEX(SEMANAS!$J$6:$J$71,MATCH($B410,SEMANAS!$B$6:$B$71,0)),0)</f>
        <v>23.912</v>
      </c>
      <c r="W410" s="18" t="n">
        <f aca="false">MAX(0,$T410-$V410)</f>
        <v>18.2455</v>
      </c>
      <c r="X410" s="19" t="n">
        <f aca="false">IFERROR(INDEX(CADASTRO_PIVOS!$K$6:$K$41,MATCH($E410,CADASTRO_PIVOS!$B$6:$B$41,0)),EFICIENCIA_PADRAO)</f>
        <v>0.85</v>
      </c>
      <c r="Y410" s="18" t="n">
        <f aca="false">IF($X410&lt;=0,0,$W410/$X410)</f>
        <v>21.4652941176471</v>
      </c>
      <c r="Z410" s="16" t="n">
        <f aca="false">$Y410*$H410*MM_PARA_M3_HA</f>
        <v>21480.3198235294</v>
      </c>
      <c r="AA410" s="18" t="n">
        <f aca="false">IFERROR(INDEX(CADASTRO_PIVOS!$I$6:$I$41,MATCH($E410,CADASTRO_PIVOS!$B$6:$B$41,0)),0)</f>
        <v>714.785714285714</v>
      </c>
      <c r="AB410" s="18" t="n">
        <f aca="false">IF($Z410&lt;=0,0,$Z410/$AA410)</f>
        <v>30.0514117647059</v>
      </c>
      <c r="AC410" s="16" t="n">
        <f aca="false">IFERROR(INDEX(SEMANAS!$K$6:$K$71,MATCH($B410,SEMANAS!$B$6:$B$71,0)),0)</f>
        <v>147</v>
      </c>
      <c r="AD410" s="19" t="n">
        <f aca="false">IF($AC410&lt;=0,0,$AB410/$AC410)</f>
        <v>0.20443137254902</v>
      </c>
      <c r="AE410" s="8" t="str">
        <f aca="false">IF($K410="SEM CULTURA","SEM CULTURA",IF($AA410&lt;=0,"DADO PENDENTE",IF($AD410&gt;LIMITE_CRITICO,"INVIAVEL",IF($AD410&gt;LIMITE_ATENCAO,"CRITICO",IF($AD410&gt;LIMITE_CONFORTAVEL,"ATENCAO","OK")))))</f>
        <v>OK</v>
      </c>
      <c r="AF410" s="8" t="str">
        <f aca="false">$B410&amp;"|"&amp;TEXT($AD410,"0.000000")</f>
        <v>9|0.204431</v>
      </c>
      <c r="AG410" s="18" t="n">
        <f aca="false">IF($K410="SEM CULTURA",0,$T410*$H410)</f>
        <v>4218.701025</v>
      </c>
      <c r="AH410" s="18" t="n">
        <f aca="false">IF($K410="SEM CULTURA",0,$V410*$H410)</f>
        <v>2392.87384</v>
      </c>
      <c r="AI410" s="18" t="n">
        <f aca="false">IF($K410="SEM CULTURA",0,$W410*$H410)</f>
        <v>1825.827185</v>
      </c>
      <c r="AJ410" s="18" t="n">
        <f aca="false">IF($K410="SEM CULTURA",0,$S410*$H410)</f>
        <v>3852.695</v>
      </c>
      <c r="AK410" s="8" t="str">
        <f aca="false">$E410&amp;"|"&amp;TEXT($AD410,"0.000000")</f>
        <v>PV 102|0.204431</v>
      </c>
    </row>
    <row r="411" customFormat="false" ht="15" hidden="false" customHeight="false" outlineLevel="0" collapsed="false">
      <c r="B411" s="16" t="n">
        <v>10</v>
      </c>
      <c r="C411" s="17" t="n">
        <f aca="false">DATA_INICIO_SAFRA+($B411-1)*DIAS_POR_SEMANA</f>
        <v>46328</v>
      </c>
      <c r="D411" s="17" t="n">
        <f aca="false">$C411+DIAS_POR_SEMANA-1</f>
        <v>46334</v>
      </c>
      <c r="E411" s="15" t="s">
        <v>265</v>
      </c>
      <c r="F411" s="8" t="str">
        <f aca="false">IFERROR(INDEX(CADASTRO_PIVOS!$C$6:$C$41,MATCH($E411,CADASTRO_PIVOS!$B$6:$B$41,0)),"?")</f>
        <v>RM04</v>
      </c>
      <c r="G411" s="8" t="str">
        <f aca="false">IFERROR(INDEX(CADASTRO_PIVOS!$D$6:$D$41,MATCH($E411,CADASTRO_PIVOS!$B$6:$B$41,0)),"?")</f>
        <v>TR04</v>
      </c>
      <c r="H411" s="20" t="n">
        <f aca="false">IFERROR(INDEX(CADASTRO_PIVOS!$E$6:$E$41,MATCH($E411,CADASTRO_PIVOS!$B$6:$B$41,0)),0)</f>
        <v>100.07</v>
      </c>
      <c r="I411" s="16" t="n">
        <f aca="false">IFERROR(SUMIFS(ROTACAO_RDM!$B$6:$B$71,ROTACAO_RDM!$D$6:$D$71,$E411,ROTACAO_RDM!$I$6:$I$71,"&lt;="&amp;$C411+INT(DIAS_POR_SEMANA/2),ROTACAO_RDM!$J$6:$J$71,"&gt;="&amp;$C411+INT(DIAS_POR_SEMANA/2)),0)</f>
        <v>2</v>
      </c>
      <c r="J411" s="16" t="n">
        <f aca="false">IFERROR(MATCH($I411,ROTACAO_RDM!$B$6:$B$71,0),0)</f>
        <v>2</v>
      </c>
      <c r="K411" s="8" t="str">
        <f aca="false">IF($J411=0,"SEM CULTURA",INDEX(ROTACAO_RDM!$F$6:$F$71,$J411))</f>
        <v>MILHO_SEMENTE</v>
      </c>
      <c r="L411" s="8" t="str">
        <f aca="false">IF($J411=0,"",INDEX(ROTACAO_RDM!$G$6:$G$71,$J411))</f>
        <v>Syngenta</v>
      </c>
      <c r="M411" s="17" t="n">
        <f aca="false">IF($J411=0,"",INDEX(ROTACAO_RDM!$I$6:$I$71,$J411))</f>
        <v>46200</v>
      </c>
      <c r="N411" s="16" t="n">
        <f aca="false">IF($J411=0,0,MAX(0,$C411+INT(DIAS_POR_SEMANA/2)-INDEX(ROTACAO_RDM!$I$6:$I$71,$J411)))</f>
        <v>131</v>
      </c>
      <c r="O411" s="19" t="n">
        <f aca="false">IF($J411=0,0,MIN(1,$N411/MAX(1,INDEX(ROTACAO_RDM!$K$6:$K$71,$J411))))</f>
        <v>0.81875</v>
      </c>
      <c r="P411" s="16" t="n">
        <f aca="false">IF($J411=0,0,IFERROR(MATCH(INDEX(ROTACAO_RDM!$N$6:$N$71,$J411),PARAMETROS_CULTURAS!$B$6:$B$28,0),0))</f>
        <v>7</v>
      </c>
      <c r="Q411" s="8" t="str">
        <f aca="false">IF($P411=0,"-",IF($O411&lt;=INDEX(PARAMETROS_CULTURAS!$F$6:$F$28,$P411),"INICIAL",IF($O411&lt;=INDEX(PARAMETROS_CULTURAS!$F$6:$F$28,$P411)+INDEX(PARAMETROS_CULTURAS!$G$6:$G$28,$P411),"DESENVOLVIMENTO",IF($O411&lt;=INDEX(PARAMETROS_CULTURAS!$F$6:$F$28,$P411)+INDEX(PARAMETROS_CULTURAS!$G$6:$G$28,$P411)+INDEX(PARAMETROS_CULTURAS!$H$6:$H$28,$P411),"MEDIA","FINAL"))))</f>
        <v>FINAL</v>
      </c>
      <c r="R411" s="24" t="n">
        <f aca="false">IF($P411=0,0,IF($O411&lt;=INDEX(PARAMETROS_CULTURAS!$F$6:$F$28,$P411),INDEX(PARAMETROS_CULTURAS!$K$6:$K$28,$P411),IF($O411&lt;=INDEX(PARAMETROS_CULTURAS!$F$6:$F$28,$P411)+INDEX(PARAMETROS_CULTURAS!$G$6:$G$28,$P411),INDEX(PARAMETROS_CULTURAS!$K$6:$K$28,$P411)+(INDEX(PARAMETROS_CULTURAS!$L$6:$L$28,$P411)-INDEX(PARAMETROS_CULTURAS!$K$6:$K$28,$P411))*($O411-INDEX(PARAMETROS_CULTURAS!$F$6:$F$28,$P411))/MAX(INDEX(PARAMETROS_CULTURAS!$G$6:$G$28,$P411),0.0001),IF($O411&lt;=INDEX(PARAMETROS_CULTURAS!$F$6:$F$28,$P411)+INDEX(PARAMETROS_CULTURAS!$G$6:$G$28,$P411)+INDEX(PARAMETROS_CULTURAS!$H$6:$H$28,$P411),INDEX(PARAMETROS_CULTURAS!$L$6:$L$28,$P411),INDEX(PARAMETROS_CULTURAS!$L$6:$L$28,$P411)+(INDEX(PARAMETROS_CULTURAS!$M$6:$M$28,$P411)-INDEX(PARAMETROS_CULTURAS!$L$6:$L$28,$P411))*($O411-INDEX(PARAMETROS_CULTURAS!$F$6:$F$28,$P411)-INDEX(PARAMETROS_CULTURAS!$G$6:$G$28,$P411)-INDEX(PARAMETROS_CULTURAS!$H$6:$H$28,$P411))/MAX(INDEX(PARAMETROS_CULTURAS!$I$6:$I$28,$P411),0.0001)))))</f>
        <v>0.99875</v>
      </c>
      <c r="S411" s="18" t="n">
        <f aca="false">IFERROR(INDEX(SEMANAS!$H$6:$H$71,MATCH($B411,SEMANAS!$B$6:$B$71,0)),0)</f>
        <v>34.3</v>
      </c>
      <c r="T411" s="18" t="n">
        <f aca="false">$R411*$S411</f>
        <v>34.257125</v>
      </c>
      <c r="U411" s="18" t="n">
        <f aca="false">IFERROR(INDEX(SEMANAS!$I$6:$I$71,MATCH($B411,SEMANAS!$B$6:$B$71,0)),0)</f>
        <v>46.69</v>
      </c>
      <c r="V411" s="18" t="n">
        <f aca="false">IFERROR(INDEX(SEMANAS!$J$6:$J$71,MATCH($B411,SEMANAS!$B$6:$B$71,0)),0)</f>
        <v>37.352</v>
      </c>
      <c r="W411" s="18" t="n">
        <f aca="false">MAX(0,$T411-$V411)</f>
        <v>0</v>
      </c>
      <c r="X411" s="19" t="n">
        <f aca="false">IFERROR(INDEX(CADASTRO_PIVOS!$K$6:$K$41,MATCH($E411,CADASTRO_PIVOS!$B$6:$B$41,0)),EFICIENCIA_PADRAO)</f>
        <v>0.85</v>
      </c>
      <c r="Y411" s="18" t="n">
        <f aca="false">IF($X411&lt;=0,0,$W411/$X411)</f>
        <v>0</v>
      </c>
      <c r="Z411" s="16" t="n">
        <f aca="false">$Y411*$H411*MM_PARA_M3_HA</f>
        <v>0</v>
      </c>
      <c r="AA411" s="18" t="n">
        <f aca="false">IFERROR(INDEX(CADASTRO_PIVOS!$I$6:$I$41,MATCH($E411,CADASTRO_PIVOS!$B$6:$B$41,0)),0)</f>
        <v>714.785714285714</v>
      </c>
      <c r="AB411" s="18" t="n">
        <f aca="false">IF($Z411&lt;=0,0,$Z411/$AA411)</f>
        <v>0</v>
      </c>
      <c r="AC411" s="16" t="n">
        <f aca="false">IFERROR(INDEX(SEMANAS!$K$6:$K$71,MATCH($B411,SEMANAS!$B$6:$B$71,0)),0)</f>
        <v>147</v>
      </c>
      <c r="AD411" s="19" t="n">
        <f aca="false">IF($AC411&lt;=0,0,$AB411/$AC411)</f>
        <v>0</v>
      </c>
      <c r="AE411" s="8" t="str">
        <f aca="false">IF($K411="SEM CULTURA","SEM CULTURA",IF($AA411&lt;=0,"DADO PENDENTE",IF($AD411&gt;LIMITE_CRITICO,"INVIAVEL",IF($AD411&gt;LIMITE_ATENCAO,"CRITICO",IF($AD411&gt;LIMITE_CONFORTAVEL,"ATENCAO","OK")))))</f>
        <v>OK</v>
      </c>
      <c r="AF411" s="8" t="str">
        <f aca="false">$B411&amp;"|"&amp;TEXT($AD411,"0.000000")</f>
        <v>10|0.000000</v>
      </c>
      <c r="AG411" s="18" t="n">
        <f aca="false">IF($K411="SEM CULTURA",0,$T411*$H411)</f>
        <v>3428.11049875</v>
      </c>
      <c r="AH411" s="18" t="n">
        <f aca="false">IF($K411="SEM CULTURA",0,$V411*$H411)</f>
        <v>3737.81464</v>
      </c>
      <c r="AI411" s="18" t="n">
        <f aca="false">IF($K411="SEM CULTURA",0,$W411*$H411)</f>
        <v>0</v>
      </c>
      <c r="AJ411" s="18" t="n">
        <f aca="false">IF($K411="SEM CULTURA",0,$S411*$H411)</f>
        <v>3432.401</v>
      </c>
      <c r="AK411" s="8" t="str">
        <f aca="false">$E411&amp;"|"&amp;TEXT($AD411,"0.000000")</f>
        <v>PV 102|0.000000</v>
      </c>
    </row>
    <row r="412" customFormat="false" ht="15" hidden="false" customHeight="false" outlineLevel="0" collapsed="false">
      <c r="B412" s="16" t="n">
        <v>11</v>
      </c>
      <c r="C412" s="17" t="n">
        <f aca="false">DATA_INICIO_SAFRA+($B412-1)*DIAS_POR_SEMANA</f>
        <v>46335</v>
      </c>
      <c r="D412" s="17" t="n">
        <f aca="false">$C412+DIAS_POR_SEMANA-1</f>
        <v>46341</v>
      </c>
      <c r="E412" s="15" t="s">
        <v>265</v>
      </c>
      <c r="F412" s="8" t="str">
        <f aca="false">IFERROR(INDEX(CADASTRO_PIVOS!$C$6:$C$41,MATCH($E412,CADASTRO_PIVOS!$B$6:$B$41,0)),"?")</f>
        <v>RM04</v>
      </c>
      <c r="G412" s="8" t="str">
        <f aca="false">IFERROR(INDEX(CADASTRO_PIVOS!$D$6:$D$41,MATCH($E412,CADASTRO_PIVOS!$B$6:$B$41,0)),"?")</f>
        <v>TR04</v>
      </c>
      <c r="H412" s="20" t="n">
        <f aca="false">IFERROR(INDEX(CADASTRO_PIVOS!$E$6:$E$41,MATCH($E412,CADASTRO_PIVOS!$B$6:$B$41,0)),0)</f>
        <v>100.07</v>
      </c>
      <c r="I412" s="16" t="n">
        <f aca="false">IFERROR(SUMIFS(ROTACAO_RDM!$B$6:$B$71,ROTACAO_RDM!$D$6:$D$71,$E412,ROTACAO_RDM!$I$6:$I$71,"&lt;="&amp;$C412+INT(DIAS_POR_SEMANA/2),ROTACAO_RDM!$J$6:$J$71,"&gt;="&amp;$C412+INT(DIAS_POR_SEMANA/2)),0)</f>
        <v>2</v>
      </c>
      <c r="J412" s="16" t="n">
        <f aca="false">IFERROR(MATCH($I412,ROTACAO_RDM!$B$6:$B$71,0),0)</f>
        <v>2</v>
      </c>
      <c r="K412" s="8" t="str">
        <f aca="false">IF($J412=0,"SEM CULTURA",INDEX(ROTACAO_RDM!$F$6:$F$71,$J412))</f>
        <v>MILHO_SEMENTE</v>
      </c>
      <c r="L412" s="8" t="str">
        <f aca="false">IF($J412=0,"",INDEX(ROTACAO_RDM!$G$6:$G$71,$J412))</f>
        <v>Syngenta</v>
      </c>
      <c r="M412" s="17" t="n">
        <f aca="false">IF($J412=0,"",INDEX(ROTACAO_RDM!$I$6:$I$71,$J412))</f>
        <v>46200</v>
      </c>
      <c r="N412" s="16" t="n">
        <f aca="false">IF($J412=0,0,MAX(0,$C412+INT(DIAS_POR_SEMANA/2)-INDEX(ROTACAO_RDM!$I$6:$I$71,$J412)))</f>
        <v>138</v>
      </c>
      <c r="O412" s="19" t="n">
        <f aca="false">IF($J412=0,0,MIN(1,$N412/MAX(1,INDEX(ROTACAO_RDM!$K$6:$K$71,$J412))))</f>
        <v>0.8625</v>
      </c>
      <c r="P412" s="16" t="n">
        <f aca="false">IF($J412=0,0,IFERROR(MATCH(INDEX(ROTACAO_RDM!$N$6:$N$71,$J412),PARAMETROS_CULTURAS!$B$6:$B$28,0),0))</f>
        <v>7</v>
      </c>
      <c r="Q412" s="8" t="str">
        <f aca="false">IF($P412=0,"-",IF($O412&lt;=INDEX(PARAMETROS_CULTURAS!$F$6:$F$28,$P412),"INICIAL",IF($O412&lt;=INDEX(PARAMETROS_CULTURAS!$F$6:$F$28,$P412)+INDEX(PARAMETROS_CULTURAS!$G$6:$G$28,$P412),"DESENVOLVIMENTO",IF($O412&lt;=INDEX(PARAMETROS_CULTURAS!$F$6:$F$28,$P412)+INDEX(PARAMETROS_CULTURAS!$G$6:$G$28,$P412)+INDEX(PARAMETROS_CULTURAS!$H$6:$H$28,$P412),"MEDIA","FINAL"))))</f>
        <v>FINAL</v>
      </c>
      <c r="R412" s="24" t="n">
        <f aca="false">IF($P412=0,0,IF($O412&lt;=INDEX(PARAMETROS_CULTURAS!$F$6:$F$28,$P412),INDEX(PARAMETROS_CULTURAS!$K$6:$K$28,$P412),IF($O412&lt;=INDEX(PARAMETROS_CULTURAS!$F$6:$F$28,$P412)+INDEX(PARAMETROS_CULTURAS!$G$6:$G$28,$P412),INDEX(PARAMETROS_CULTURAS!$K$6:$K$28,$P412)+(INDEX(PARAMETROS_CULTURAS!$L$6:$L$28,$P412)-INDEX(PARAMETROS_CULTURAS!$K$6:$K$28,$P412))*($O412-INDEX(PARAMETROS_CULTURAS!$F$6:$F$28,$P412))/MAX(INDEX(PARAMETROS_CULTURAS!$G$6:$G$28,$P412),0.0001),IF($O412&lt;=INDEX(PARAMETROS_CULTURAS!$F$6:$F$28,$P412)+INDEX(PARAMETROS_CULTURAS!$G$6:$G$28,$P412)+INDEX(PARAMETROS_CULTURAS!$H$6:$H$28,$P412),INDEX(PARAMETROS_CULTURAS!$L$6:$L$28,$P412),INDEX(PARAMETROS_CULTURAS!$L$6:$L$28,$P412)+(INDEX(PARAMETROS_CULTURAS!$M$6:$M$28,$P412)-INDEX(PARAMETROS_CULTURAS!$L$6:$L$28,$P412))*($O412-INDEX(PARAMETROS_CULTURAS!$F$6:$F$28,$P412)-INDEX(PARAMETROS_CULTURAS!$G$6:$G$28,$P412)-INDEX(PARAMETROS_CULTURAS!$H$6:$H$28,$P412))/MAX(INDEX(PARAMETROS_CULTURAS!$I$6:$I$28,$P412),0.0001)))))</f>
        <v>0.9025</v>
      </c>
      <c r="S412" s="18" t="n">
        <f aca="false">IFERROR(INDEX(SEMANAS!$H$6:$H$71,MATCH($B412,SEMANAS!$B$6:$B$71,0)),0)</f>
        <v>34.3</v>
      </c>
      <c r="T412" s="18" t="n">
        <f aca="false">$R412*$S412</f>
        <v>30.95575</v>
      </c>
      <c r="U412" s="18" t="n">
        <f aca="false">IFERROR(INDEX(SEMANAS!$I$6:$I$71,MATCH($B412,SEMANAS!$B$6:$B$71,0)),0)</f>
        <v>46.69</v>
      </c>
      <c r="V412" s="18" t="n">
        <f aca="false">IFERROR(INDEX(SEMANAS!$J$6:$J$71,MATCH($B412,SEMANAS!$B$6:$B$71,0)),0)</f>
        <v>37.352</v>
      </c>
      <c r="W412" s="18" t="n">
        <f aca="false">MAX(0,$T412-$V412)</f>
        <v>0</v>
      </c>
      <c r="X412" s="19" t="n">
        <f aca="false">IFERROR(INDEX(CADASTRO_PIVOS!$K$6:$K$41,MATCH($E412,CADASTRO_PIVOS!$B$6:$B$41,0)),EFICIENCIA_PADRAO)</f>
        <v>0.85</v>
      </c>
      <c r="Y412" s="18" t="n">
        <f aca="false">IF($X412&lt;=0,0,$W412/$X412)</f>
        <v>0</v>
      </c>
      <c r="Z412" s="16" t="n">
        <f aca="false">$Y412*$H412*MM_PARA_M3_HA</f>
        <v>0</v>
      </c>
      <c r="AA412" s="18" t="n">
        <f aca="false">IFERROR(INDEX(CADASTRO_PIVOS!$I$6:$I$41,MATCH($E412,CADASTRO_PIVOS!$B$6:$B$41,0)),0)</f>
        <v>714.785714285714</v>
      </c>
      <c r="AB412" s="18" t="n">
        <f aca="false">IF($Z412&lt;=0,0,$Z412/$AA412)</f>
        <v>0</v>
      </c>
      <c r="AC412" s="16" t="n">
        <f aca="false">IFERROR(INDEX(SEMANAS!$K$6:$K$71,MATCH($B412,SEMANAS!$B$6:$B$71,0)),0)</f>
        <v>147</v>
      </c>
      <c r="AD412" s="19" t="n">
        <f aca="false">IF($AC412&lt;=0,0,$AB412/$AC412)</f>
        <v>0</v>
      </c>
      <c r="AE412" s="8" t="str">
        <f aca="false">IF($K412="SEM CULTURA","SEM CULTURA",IF($AA412&lt;=0,"DADO PENDENTE",IF($AD412&gt;LIMITE_CRITICO,"INVIAVEL",IF($AD412&gt;LIMITE_ATENCAO,"CRITICO",IF($AD412&gt;LIMITE_CONFORTAVEL,"ATENCAO","OK")))))</f>
        <v>OK</v>
      </c>
      <c r="AF412" s="8" t="str">
        <f aca="false">$B412&amp;"|"&amp;TEXT($AD412,"0.000000")</f>
        <v>11|0.000000</v>
      </c>
      <c r="AG412" s="18" t="n">
        <f aca="false">IF($K412="SEM CULTURA",0,$T412*$H412)</f>
        <v>3097.7419025</v>
      </c>
      <c r="AH412" s="18" t="n">
        <f aca="false">IF($K412="SEM CULTURA",0,$V412*$H412)</f>
        <v>3737.81464</v>
      </c>
      <c r="AI412" s="18" t="n">
        <f aca="false">IF($K412="SEM CULTURA",0,$W412*$H412)</f>
        <v>0</v>
      </c>
      <c r="AJ412" s="18" t="n">
        <f aca="false">IF($K412="SEM CULTURA",0,$S412*$H412)</f>
        <v>3432.401</v>
      </c>
      <c r="AK412" s="8" t="str">
        <f aca="false">$E412&amp;"|"&amp;TEXT($AD412,"0.000000")</f>
        <v>PV 102|0.000000</v>
      </c>
    </row>
    <row r="413" customFormat="false" ht="15" hidden="false" customHeight="false" outlineLevel="0" collapsed="false">
      <c r="B413" s="16" t="n">
        <v>12</v>
      </c>
      <c r="C413" s="17" t="n">
        <f aca="false">DATA_INICIO_SAFRA+($B413-1)*DIAS_POR_SEMANA</f>
        <v>46342</v>
      </c>
      <c r="D413" s="17" t="n">
        <f aca="false">$C413+DIAS_POR_SEMANA-1</f>
        <v>46348</v>
      </c>
      <c r="E413" s="15" t="s">
        <v>265</v>
      </c>
      <c r="F413" s="8" t="str">
        <f aca="false">IFERROR(INDEX(CADASTRO_PIVOS!$C$6:$C$41,MATCH($E413,CADASTRO_PIVOS!$B$6:$B$41,0)),"?")</f>
        <v>RM04</v>
      </c>
      <c r="G413" s="8" t="str">
        <f aca="false">IFERROR(INDEX(CADASTRO_PIVOS!$D$6:$D$41,MATCH($E413,CADASTRO_PIVOS!$B$6:$B$41,0)),"?")</f>
        <v>TR04</v>
      </c>
      <c r="H413" s="20" t="n">
        <f aca="false">IFERROR(INDEX(CADASTRO_PIVOS!$E$6:$E$41,MATCH($E413,CADASTRO_PIVOS!$B$6:$B$41,0)),0)</f>
        <v>100.07</v>
      </c>
      <c r="I413" s="16" t="n">
        <f aca="false">IFERROR(SUMIFS(ROTACAO_RDM!$B$6:$B$71,ROTACAO_RDM!$D$6:$D$71,$E413,ROTACAO_RDM!$I$6:$I$71,"&lt;="&amp;$C413+INT(DIAS_POR_SEMANA/2),ROTACAO_RDM!$J$6:$J$71,"&gt;="&amp;$C413+INT(DIAS_POR_SEMANA/2)),0)</f>
        <v>2</v>
      </c>
      <c r="J413" s="16" t="n">
        <f aca="false">IFERROR(MATCH($I413,ROTACAO_RDM!$B$6:$B$71,0),0)</f>
        <v>2</v>
      </c>
      <c r="K413" s="8" t="str">
        <f aca="false">IF($J413=0,"SEM CULTURA",INDEX(ROTACAO_RDM!$F$6:$F$71,$J413))</f>
        <v>MILHO_SEMENTE</v>
      </c>
      <c r="L413" s="8" t="str">
        <f aca="false">IF($J413=0,"",INDEX(ROTACAO_RDM!$G$6:$G$71,$J413))</f>
        <v>Syngenta</v>
      </c>
      <c r="M413" s="17" t="n">
        <f aca="false">IF($J413=0,"",INDEX(ROTACAO_RDM!$I$6:$I$71,$J413))</f>
        <v>46200</v>
      </c>
      <c r="N413" s="16" t="n">
        <f aca="false">IF($J413=0,0,MAX(0,$C413+INT(DIAS_POR_SEMANA/2)-INDEX(ROTACAO_RDM!$I$6:$I$71,$J413)))</f>
        <v>145</v>
      </c>
      <c r="O413" s="19" t="n">
        <f aca="false">IF($J413=0,0,MIN(1,$N413/MAX(1,INDEX(ROTACAO_RDM!$K$6:$K$71,$J413))))</f>
        <v>0.90625</v>
      </c>
      <c r="P413" s="16" t="n">
        <f aca="false">IF($J413=0,0,IFERROR(MATCH(INDEX(ROTACAO_RDM!$N$6:$N$71,$J413),PARAMETROS_CULTURAS!$B$6:$B$28,0),0))</f>
        <v>7</v>
      </c>
      <c r="Q413" s="8" t="str">
        <f aca="false">IF($P413=0,"-",IF($O413&lt;=INDEX(PARAMETROS_CULTURAS!$F$6:$F$28,$P413),"INICIAL",IF($O413&lt;=INDEX(PARAMETROS_CULTURAS!$F$6:$F$28,$P413)+INDEX(PARAMETROS_CULTURAS!$G$6:$G$28,$P413),"DESENVOLVIMENTO",IF($O413&lt;=INDEX(PARAMETROS_CULTURAS!$F$6:$F$28,$P413)+INDEX(PARAMETROS_CULTURAS!$G$6:$G$28,$P413)+INDEX(PARAMETROS_CULTURAS!$H$6:$H$28,$P413),"MEDIA","FINAL"))))</f>
        <v>FINAL</v>
      </c>
      <c r="R413" s="24" t="n">
        <f aca="false">IF($P413=0,0,IF($O413&lt;=INDEX(PARAMETROS_CULTURAS!$F$6:$F$28,$P413),INDEX(PARAMETROS_CULTURAS!$K$6:$K$28,$P413),IF($O413&lt;=INDEX(PARAMETROS_CULTURAS!$F$6:$F$28,$P413)+INDEX(PARAMETROS_CULTURAS!$G$6:$G$28,$P413),INDEX(PARAMETROS_CULTURAS!$K$6:$K$28,$P413)+(INDEX(PARAMETROS_CULTURAS!$L$6:$L$28,$P413)-INDEX(PARAMETROS_CULTURAS!$K$6:$K$28,$P413))*($O413-INDEX(PARAMETROS_CULTURAS!$F$6:$F$28,$P413))/MAX(INDEX(PARAMETROS_CULTURAS!$G$6:$G$28,$P413),0.0001),IF($O413&lt;=INDEX(PARAMETROS_CULTURAS!$F$6:$F$28,$P413)+INDEX(PARAMETROS_CULTURAS!$G$6:$G$28,$P413)+INDEX(PARAMETROS_CULTURAS!$H$6:$H$28,$P413),INDEX(PARAMETROS_CULTURAS!$L$6:$L$28,$P413),INDEX(PARAMETROS_CULTURAS!$L$6:$L$28,$P413)+(INDEX(PARAMETROS_CULTURAS!$M$6:$M$28,$P413)-INDEX(PARAMETROS_CULTURAS!$L$6:$L$28,$P413))*($O413-INDEX(PARAMETROS_CULTURAS!$F$6:$F$28,$P413)-INDEX(PARAMETROS_CULTURAS!$G$6:$G$28,$P413)-INDEX(PARAMETROS_CULTURAS!$H$6:$H$28,$P413))/MAX(INDEX(PARAMETROS_CULTURAS!$I$6:$I$28,$P413),0.0001)))))</f>
        <v>0.80625</v>
      </c>
      <c r="S413" s="18" t="n">
        <f aca="false">IFERROR(INDEX(SEMANAS!$H$6:$H$71,MATCH($B413,SEMANAS!$B$6:$B$71,0)),0)</f>
        <v>34.3</v>
      </c>
      <c r="T413" s="18" t="n">
        <f aca="false">$R413*$S413</f>
        <v>27.654375</v>
      </c>
      <c r="U413" s="18" t="n">
        <f aca="false">IFERROR(INDEX(SEMANAS!$I$6:$I$71,MATCH($B413,SEMANAS!$B$6:$B$71,0)),0)</f>
        <v>46.69</v>
      </c>
      <c r="V413" s="18" t="n">
        <f aca="false">IFERROR(INDEX(SEMANAS!$J$6:$J$71,MATCH($B413,SEMANAS!$B$6:$B$71,0)),0)</f>
        <v>37.352</v>
      </c>
      <c r="W413" s="18" t="n">
        <f aca="false">MAX(0,$T413-$V413)</f>
        <v>0</v>
      </c>
      <c r="X413" s="19" t="n">
        <f aca="false">IFERROR(INDEX(CADASTRO_PIVOS!$K$6:$K$41,MATCH($E413,CADASTRO_PIVOS!$B$6:$B$41,0)),EFICIENCIA_PADRAO)</f>
        <v>0.85</v>
      </c>
      <c r="Y413" s="18" t="n">
        <f aca="false">IF($X413&lt;=0,0,$W413/$X413)</f>
        <v>0</v>
      </c>
      <c r="Z413" s="16" t="n">
        <f aca="false">$Y413*$H413*MM_PARA_M3_HA</f>
        <v>0</v>
      </c>
      <c r="AA413" s="18" t="n">
        <f aca="false">IFERROR(INDEX(CADASTRO_PIVOS!$I$6:$I$41,MATCH($E413,CADASTRO_PIVOS!$B$6:$B$41,0)),0)</f>
        <v>714.785714285714</v>
      </c>
      <c r="AB413" s="18" t="n">
        <f aca="false">IF($Z413&lt;=0,0,$Z413/$AA413)</f>
        <v>0</v>
      </c>
      <c r="AC413" s="16" t="n">
        <f aca="false">IFERROR(INDEX(SEMANAS!$K$6:$K$71,MATCH($B413,SEMANAS!$B$6:$B$71,0)),0)</f>
        <v>147</v>
      </c>
      <c r="AD413" s="19" t="n">
        <f aca="false">IF($AC413&lt;=0,0,$AB413/$AC413)</f>
        <v>0</v>
      </c>
      <c r="AE413" s="8" t="str">
        <f aca="false">IF($K413="SEM CULTURA","SEM CULTURA",IF($AA413&lt;=0,"DADO PENDENTE",IF($AD413&gt;LIMITE_CRITICO,"INVIAVEL",IF($AD413&gt;LIMITE_ATENCAO,"CRITICO",IF($AD413&gt;LIMITE_CONFORTAVEL,"ATENCAO","OK")))))</f>
        <v>OK</v>
      </c>
      <c r="AF413" s="8" t="str">
        <f aca="false">$B413&amp;"|"&amp;TEXT($AD413,"0.000000")</f>
        <v>12|0.000000</v>
      </c>
      <c r="AG413" s="18" t="n">
        <f aca="false">IF($K413="SEM CULTURA",0,$T413*$H413)</f>
        <v>2767.37330625</v>
      </c>
      <c r="AH413" s="18" t="n">
        <f aca="false">IF($K413="SEM CULTURA",0,$V413*$H413)</f>
        <v>3737.81464</v>
      </c>
      <c r="AI413" s="18" t="n">
        <f aca="false">IF($K413="SEM CULTURA",0,$W413*$H413)</f>
        <v>0</v>
      </c>
      <c r="AJ413" s="18" t="n">
        <f aca="false">IF($K413="SEM CULTURA",0,$S413*$H413)</f>
        <v>3432.401</v>
      </c>
      <c r="AK413" s="8" t="str">
        <f aca="false">$E413&amp;"|"&amp;TEXT($AD413,"0.000000")</f>
        <v>PV 102|0.000000</v>
      </c>
    </row>
    <row r="414" customFormat="false" ht="15" hidden="false" customHeight="false" outlineLevel="0" collapsed="false">
      <c r="B414" s="16" t="n">
        <v>13</v>
      </c>
      <c r="C414" s="17" t="n">
        <f aca="false">DATA_INICIO_SAFRA+($B414-1)*DIAS_POR_SEMANA</f>
        <v>46349</v>
      </c>
      <c r="D414" s="17" t="n">
        <f aca="false">$C414+DIAS_POR_SEMANA-1</f>
        <v>46355</v>
      </c>
      <c r="E414" s="15" t="s">
        <v>265</v>
      </c>
      <c r="F414" s="8" t="str">
        <f aca="false">IFERROR(INDEX(CADASTRO_PIVOS!$C$6:$C$41,MATCH($E414,CADASTRO_PIVOS!$B$6:$B$41,0)),"?")</f>
        <v>RM04</v>
      </c>
      <c r="G414" s="8" t="str">
        <f aca="false">IFERROR(INDEX(CADASTRO_PIVOS!$D$6:$D$41,MATCH($E414,CADASTRO_PIVOS!$B$6:$B$41,0)),"?")</f>
        <v>TR04</v>
      </c>
      <c r="H414" s="20" t="n">
        <f aca="false">IFERROR(INDEX(CADASTRO_PIVOS!$E$6:$E$41,MATCH($E414,CADASTRO_PIVOS!$B$6:$B$41,0)),0)</f>
        <v>100.07</v>
      </c>
      <c r="I414" s="16" t="n">
        <f aca="false">IFERROR(SUMIFS(ROTACAO_RDM!$B$6:$B$71,ROTACAO_RDM!$D$6:$D$71,$E414,ROTACAO_RDM!$I$6:$I$71,"&lt;="&amp;$C414+INT(DIAS_POR_SEMANA/2),ROTACAO_RDM!$J$6:$J$71,"&gt;="&amp;$C414+INT(DIAS_POR_SEMANA/2)),0)</f>
        <v>2</v>
      </c>
      <c r="J414" s="16" t="n">
        <f aca="false">IFERROR(MATCH($I414,ROTACAO_RDM!$B$6:$B$71,0),0)</f>
        <v>2</v>
      </c>
      <c r="K414" s="8" t="str">
        <f aca="false">IF($J414=0,"SEM CULTURA",INDEX(ROTACAO_RDM!$F$6:$F$71,$J414))</f>
        <v>MILHO_SEMENTE</v>
      </c>
      <c r="L414" s="8" t="str">
        <f aca="false">IF($J414=0,"",INDEX(ROTACAO_RDM!$G$6:$G$71,$J414))</f>
        <v>Syngenta</v>
      </c>
      <c r="M414" s="17" t="n">
        <f aca="false">IF($J414=0,"",INDEX(ROTACAO_RDM!$I$6:$I$71,$J414))</f>
        <v>46200</v>
      </c>
      <c r="N414" s="16" t="n">
        <f aca="false">IF($J414=0,0,MAX(0,$C414+INT(DIAS_POR_SEMANA/2)-INDEX(ROTACAO_RDM!$I$6:$I$71,$J414)))</f>
        <v>152</v>
      </c>
      <c r="O414" s="19" t="n">
        <f aca="false">IF($J414=0,0,MIN(1,$N414/MAX(1,INDEX(ROTACAO_RDM!$K$6:$K$71,$J414))))</f>
        <v>0.95</v>
      </c>
      <c r="P414" s="16" t="n">
        <f aca="false">IF($J414=0,0,IFERROR(MATCH(INDEX(ROTACAO_RDM!$N$6:$N$71,$J414),PARAMETROS_CULTURAS!$B$6:$B$28,0),0))</f>
        <v>7</v>
      </c>
      <c r="Q414" s="8" t="str">
        <f aca="false">IF($P414=0,"-",IF($O414&lt;=INDEX(PARAMETROS_CULTURAS!$F$6:$F$28,$P414),"INICIAL",IF($O414&lt;=INDEX(PARAMETROS_CULTURAS!$F$6:$F$28,$P414)+INDEX(PARAMETROS_CULTURAS!$G$6:$G$28,$P414),"DESENVOLVIMENTO",IF($O414&lt;=INDEX(PARAMETROS_CULTURAS!$F$6:$F$28,$P414)+INDEX(PARAMETROS_CULTURAS!$G$6:$G$28,$P414)+INDEX(PARAMETROS_CULTURAS!$H$6:$H$28,$P414),"MEDIA","FINAL"))))</f>
        <v>FINAL</v>
      </c>
      <c r="R414" s="24" t="n">
        <f aca="false">IF($P414=0,0,IF($O414&lt;=INDEX(PARAMETROS_CULTURAS!$F$6:$F$28,$P414),INDEX(PARAMETROS_CULTURAS!$K$6:$K$28,$P414),IF($O414&lt;=INDEX(PARAMETROS_CULTURAS!$F$6:$F$28,$P414)+INDEX(PARAMETROS_CULTURAS!$G$6:$G$28,$P414),INDEX(PARAMETROS_CULTURAS!$K$6:$K$28,$P414)+(INDEX(PARAMETROS_CULTURAS!$L$6:$L$28,$P414)-INDEX(PARAMETROS_CULTURAS!$K$6:$K$28,$P414))*($O414-INDEX(PARAMETROS_CULTURAS!$F$6:$F$28,$P414))/MAX(INDEX(PARAMETROS_CULTURAS!$G$6:$G$28,$P414),0.0001),IF($O414&lt;=INDEX(PARAMETROS_CULTURAS!$F$6:$F$28,$P414)+INDEX(PARAMETROS_CULTURAS!$G$6:$G$28,$P414)+INDEX(PARAMETROS_CULTURAS!$H$6:$H$28,$P414),INDEX(PARAMETROS_CULTURAS!$L$6:$L$28,$P414),INDEX(PARAMETROS_CULTURAS!$L$6:$L$28,$P414)+(INDEX(PARAMETROS_CULTURAS!$M$6:$M$28,$P414)-INDEX(PARAMETROS_CULTURAS!$L$6:$L$28,$P414))*($O414-INDEX(PARAMETROS_CULTURAS!$F$6:$F$28,$P414)-INDEX(PARAMETROS_CULTURAS!$G$6:$G$28,$P414)-INDEX(PARAMETROS_CULTURAS!$H$6:$H$28,$P414))/MAX(INDEX(PARAMETROS_CULTURAS!$I$6:$I$28,$P414),0.0001)))))</f>
        <v>0.71</v>
      </c>
      <c r="S414" s="18" t="n">
        <f aca="false">IFERROR(INDEX(SEMANAS!$H$6:$H$71,MATCH($B414,SEMANAS!$B$6:$B$71,0)),0)</f>
        <v>34.3</v>
      </c>
      <c r="T414" s="18" t="n">
        <f aca="false">$R414*$S414</f>
        <v>24.353</v>
      </c>
      <c r="U414" s="18" t="n">
        <f aca="false">IFERROR(INDEX(SEMANAS!$I$6:$I$71,MATCH($B414,SEMANAS!$B$6:$B$71,0)),0)</f>
        <v>46.69</v>
      </c>
      <c r="V414" s="18" t="n">
        <f aca="false">IFERROR(INDEX(SEMANAS!$J$6:$J$71,MATCH($B414,SEMANAS!$B$6:$B$71,0)),0)</f>
        <v>37.352</v>
      </c>
      <c r="W414" s="18" t="n">
        <f aca="false">MAX(0,$T414-$V414)</f>
        <v>0</v>
      </c>
      <c r="X414" s="19" t="n">
        <f aca="false">IFERROR(INDEX(CADASTRO_PIVOS!$K$6:$K$41,MATCH($E414,CADASTRO_PIVOS!$B$6:$B$41,0)),EFICIENCIA_PADRAO)</f>
        <v>0.85</v>
      </c>
      <c r="Y414" s="18" t="n">
        <f aca="false">IF($X414&lt;=0,0,$W414/$X414)</f>
        <v>0</v>
      </c>
      <c r="Z414" s="16" t="n">
        <f aca="false">$Y414*$H414*MM_PARA_M3_HA</f>
        <v>0</v>
      </c>
      <c r="AA414" s="18" t="n">
        <f aca="false">IFERROR(INDEX(CADASTRO_PIVOS!$I$6:$I$41,MATCH($E414,CADASTRO_PIVOS!$B$6:$B$41,0)),0)</f>
        <v>714.785714285714</v>
      </c>
      <c r="AB414" s="18" t="n">
        <f aca="false">IF($Z414&lt;=0,0,$Z414/$AA414)</f>
        <v>0</v>
      </c>
      <c r="AC414" s="16" t="n">
        <f aca="false">IFERROR(INDEX(SEMANAS!$K$6:$K$71,MATCH($B414,SEMANAS!$B$6:$B$71,0)),0)</f>
        <v>147</v>
      </c>
      <c r="AD414" s="19" t="n">
        <f aca="false">IF($AC414&lt;=0,0,$AB414/$AC414)</f>
        <v>0</v>
      </c>
      <c r="AE414" s="8" t="str">
        <f aca="false">IF($K414="SEM CULTURA","SEM CULTURA",IF($AA414&lt;=0,"DADO PENDENTE",IF($AD414&gt;LIMITE_CRITICO,"INVIAVEL",IF($AD414&gt;LIMITE_ATENCAO,"CRITICO",IF($AD414&gt;LIMITE_CONFORTAVEL,"ATENCAO","OK")))))</f>
        <v>OK</v>
      </c>
      <c r="AF414" s="8" t="str">
        <f aca="false">$B414&amp;"|"&amp;TEXT($AD414,"0.000000")</f>
        <v>13|0.000000</v>
      </c>
      <c r="AG414" s="18" t="n">
        <f aca="false">IF($K414="SEM CULTURA",0,$T414*$H414)</f>
        <v>2437.00471</v>
      </c>
      <c r="AH414" s="18" t="n">
        <f aca="false">IF($K414="SEM CULTURA",0,$V414*$H414)</f>
        <v>3737.81464</v>
      </c>
      <c r="AI414" s="18" t="n">
        <f aca="false">IF($K414="SEM CULTURA",0,$W414*$H414)</f>
        <v>0</v>
      </c>
      <c r="AJ414" s="18" t="n">
        <f aca="false">IF($K414="SEM CULTURA",0,$S414*$H414)</f>
        <v>3432.401</v>
      </c>
      <c r="AK414" s="8" t="str">
        <f aca="false">$E414&amp;"|"&amp;TEXT($AD414,"0.000000")</f>
        <v>PV 102|0.000000</v>
      </c>
    </row>
    <row r="415" customFormat="false" ht="15" hidden="false" customHeight="false" outlineLevel="0" collapsed="false">
      <c r="B415" s="16" t="n">
        <v>14</v>
      </c>
      <c r="C415" s="17" t="n">
        <f aca="false">DATA_INICIO_SAFRA+($B415-1)*DIAS_POR_SEMANA</f>
        <v>46356</v>
      </c>
      <c r="D415" s="17" t="n">
        <f aca="false">$C415+DIAS_POR_SEMANA-1</f>
        <v>46362</v>
      </c>
      <c r="E415" s="15" t="s">
        <v>265</v>
      </c>
      <c r="F415" s="8" t="str">
        <f aca="false">IFERROR(INDEX(CADASTRO_PIVOS!$C$6:$C$41,MATCH($E415,CADASTRO_PIVOS!$B$6:$B$41,0)),"?")</f>
        <v>RM04</v>
      </c>
      <c r="G415" s="8" t="str">
        <f aca="false">IFERROR(INDEX(CADASTRO_PIVOS!$D$6:$D$41,MATCH($E415,CADASTRO_PIVOS!$B$6:$B$41,0)),"?")</f>
        <v>TR04</v>
      </c>
      <c r="H415" s="20" t="n">
        <f aca="false">IFERROR(INDEX(CADASTRO_PIVOS!$E$6:$E$41,MATCH($E415,CADASTRO_PIVOS!$B$6:$B$41,0)),0)</f>
        <v>100.07</v>
      </c>
      <c r="I415" s="16" t="n">
        <f aca="false">IFERROR(SUMIFS(ROTACAO_RDM!$B$6:$B$71,ROTACAO_RDM!$D$6:$D$71,$E415,ROTACAO_RDM!$I$6:$I$71,"&lt;="&amp;$C415+INT(DIAS_POR_SEMANA/2),ROTACAO_RDM!$J$6:$J$71,"&gt;="&amp;$C415+INT(DIAS_POR_SEMANA/2)),0)</f>
        <v>2</v>
      </c>
      <c r="J415" s="16" t="n">
        <f aca="false">IFERROR(MATCH($I415,ROTACAO_RDM!$B$6:$B$71,0),0)</f>
        <v>2</v>
      </c>
      <c r="K415" s="8" t="str">
        <f aca="false">IF($J415=0,"SEM CULTURA",INDEX(ROTACAO_RDM!$F$6:$F$71,$J415))</f>
        <v>MILHO_SEMENTE</v>
      </c>
      <c r="L415" s="8" t="str">
        <f aca="false">IF($J415=0,"",INDEX(ROTACAO_RDM!$G$6:$G$71,$J415))</f>
        <v>Syngenta</v>
      </c>
      <c r="M415" s="17" t="n">
        <f aca="false">IF($J415=0,"",INDEX(ROTACAO_RDM!$I$6:$I$71,$J415))</f>
        <v>46200</v>
      </c>
      <c r="N415" s="16" t="n">
        <f aca="false">IF($J415=0,0,MAX(0,$C415+INT(DIAS_POR_SEMANA/2)-INDEX(ROTACAO_RDM!$I$6:$I$71,$J415)))</f>
        <v>159</v>
      </c>
      <c r="O415" s="19" t="n">
        <f aca="false">IF($J415=0,0,MIN(1,$N415/MAX(1,INDEX(ROTACAO_RDM!$K$6:$K$71,$J415))))</f>
        <v>0.99375</v>
      </c>
      <c r="P415" s="16" t="n">
        <f aca="false">IF($J415=0,0,IFERROR(MATCH(INDEX(ROTACAO_RDM!$N$6:$N$71,$J415),PARAMETROS_CULTURAS!$B$6:$B$28,0),0))</f>
        <v>7</v>
      </c>
      <c r="Q415" s="8" t="str">
        <f aca="false">IF($P415=0,"-",IF($O415&lt;=INDEX(PARAMETROS_CULTURAS!$F$6:$F$28,$P415),"INICIAL",IF($O415&lt;=INDEX(PARAMETROS_CULTURAS!$F$6:$F$28,$P415)+INDEX(PARAMETROS_CULTURAS!$G$6:$G$28,$P415),"DESENVOLVIMENTO",IF($O415&lt;=INDEX(PARAMETROS_CULTURAS!$F$6:$F$28,$P415)+INDEX(PARAMETROS_CULTURAS!$G$6:$G$28,$P415)+INDEX(PARAMETROS_CULTURAS!$H$6:$H$28,$P415),"MEDIA","FINAL"))))</f>
        <v>FINAL</v>
      </c>
      <c r="R415" s="24" t="n">
        <f aca="false">IF($P415=0,0,IF($O415&lt;=INDEX(PARAMETROS_CULTURAS!$F$6:$F$28,$P415),INDEX(PARAMETROS_CULTURAS!$K$6:$K$28,$P415),IF($O415&lt;=INDEX(PARAMETROS_CULTURAS!$F$6:$F$28,$P415)+INDEX(PARAMETROS_CULTURAS!$G$6:$G$28,$P415),INDEX(PARAMETROS_CULTURAS!$K$6:$K$28,$P415)+(INDEX(PARAMETROS_CULTURAS!$L$6:$L$28,$P415)-INDEX(PARAMETROS_CULTURAS!$K$6:$K$28,$P415))*($O415-INDEX(PARAMETROS_CULTURAS!$F$6:$F$28,$P415))/MAX(INDEX(PARAMETROS_CULTURAS!$G$6:$G$28,$P415),0.0001),IF($O415&lt;=INDEX(PARAMETROS_CULTURAS!$F$6:$F$28,$P415)+INDEX(PARAMETROS_CULTURAS!$G$6:$G$28,$P415)+INDEX(PARAMETROS_CULTURAS!$H$6:$H$28,$P415),INDEX(PARAMETROS_CULTURAS!$L$6:$L$28,$P415),INDEX(PARAMETROS_CULTURAS!$L$6:$L$28,$P415)+(INDEX(PARAMETROS_CULTURAS!$M$6:$M$28,$P415)-INDEX(PARAMETROS_CULTURAS!$L$6:$L$28,$P415))*($O415-INDEX(PARAMETROS_CULTURAS!$F$6:$F$28,$P415)-INDEX(PARAMETROS_CULTURAS!$G$6:$G$28,$P415)-INDEX(PARAMETROS_CULTURAS!$H$6:$H$28,$P415))/MAX(INDEX(PARAMETROS_CULTURAS!$I$6:$I$28,$P415),0.0001)))))</f>
        <v>0.61375</v>
      </c>
      <c r="S415" s="18" t="n">
        <f aca="false">IFERROR(INDEX(SEMANAS!$H$6:$H$71,MATCH($B415,SEMANAS!$B$6:$B$71,0)),0)</f>
        <v>33.1</v>
      </c>
      <c r="T415" s="18" t="n">
        <f aca="false">$R415*$S415</f>
        <v>20.315125</v>
      </c>
      <c r="U415" s="18" t="n">
        <f aca="false">IFERROR(INDEX(SEMANAS!$I$6:$I$71,MATCH($B415,SEMANAS!$B$6:$B$71,0)),0)</f>
        <v>48.31</v>
      </c>
      <c r="V415" s="18" t="n">
        <f aca="false">IFERROR(INDEX(SEMANAS!$J$6:$J$71,MATCH($B415,SEMANAS!$B$6:$B$71,0)),0)</f>
        <v>38.648</v>
      </c>
      <c r="W415" s="18" t="n">
        <f aca="false">MAX(0,$T415-$V415)</f>
        <v>0</v>
      </c>
      <c r="X415" s="19" t="n">
        <f aca="false">IFERROR(INDEX(CADASTRO_PIVOS!$K$6:$K$41,MATCH($E415,CADASTRO_PIVOS!$B$6:$B$41,0)),EFICIENCIA_PADRAO)</f>
        <v>0.85</v>
      </c>
      <c r="Y415" s="18" t="n">
        <f aca="false">IF($X415&lt;=0,0,$W415/$X415)</f>
        <v>0</v>
      </c>
      <c r="Z415" s="16" t="n">
        <f aca="false">$Y415*$H415*MM_PARA_M3_HA</f>
        <v>0</v>
      </c>
      <c r="AA415" s="18" t="n">
        <f aca="false">IFERROR(INDEX(CADASTRO_PIVOS!$I$6:$I$41,MATCH($E415,CADASTRO_PIVOS!$B$6:$B$41,0)),0)</f>
        <v>714.785714285714</v>
      </c>
      <c r="AB415" s="18" t="n">
        <f aca="false">IF($Z415&lt;=0,0,$Z415/$AA415)</f>
        <v>0</v>
      </c>
      <c r="AC415" s="16" t="n">
        <f aca="false">IFERROR(INDEX(SEMANAS!$K$6:$K$71,MATCH($B415,SEMANAS!$B$6:$B$71,0)),0)</f>
        <v>147</v>
      </c>
      <c r="AD415" s="19" t="n">
        <f aca="false">IF($AC415&lt;=0,0,$AB415/$AC415)</f>
        <v>0</v>
      </c>
      <c r="AE415" s="8" t="str">
        <f aca="false">IF($K415="SEM CULTURA","SEM CULTURA",IF($AA415&lt;=0,"DADO PENDENTE",IF($AD415&gt;LIMITE_CRITICO,"INVIAVEL",IF($AD415&gt;LIMITE_ATENCAO,"CRITICO",IF($AD415&gt;LIMITE_CONFORTAVEL,"ATENCAO","OK")))))</f>
        <v>OK</v>
      </c>
      <c r="AF415" s="8" t="str">
        <f aca="false">$B415&amp;"|"&amp;TEXT($AD415,"0.000000")</f>
        <v>14|0.000000</v>
      </c>
      <c r="AG415" s="18" t="n">
        <f aca="false">IF($K415="SEM CULTURA",0,$T415*$H415)</f>
        <v>2032.93455875</v>
      </c>
      <c r="AH415" s="18" t="n">
        <f aca="false">IF($K415="SEM CULTURA",0,$V415*$H415)</f>
        <v>3867.50536</v>
      </c>
      <c r="AI415" s="18" t="n">
        <f aca="false">IF($K415="SEM CULTURA",0,$W415*$H415)</f>
        <v>0</v>
      </c>
      <c r="AJ415" s="18" t="n">
        <f aca="false">IF($K415="SEM CULTURA",0,$S415*$H415)</f>
        <v>3312.317</v>
      </c>
      <c r="AK415" s="8" t="str">
        <f aca="false">$E415&amp;"|"&amp;TEXT($AD415,"0.000000")</f>
        <v>PV 102|0.000000</v>
      </c>
    </row>
    <row r="416" customFormat="false" ht="15" hidden="false" customHeight="false" outlineLevel="0" collapsed="false">
      <c r="B416" s="16" t="n">
        <v>15</v>
      </c>
      <c r="C416" s="17" t="n">
        <f aca="false">DATA_INICIO_SAFRA+($B416-1)*DIAS_POR_SEMANA</f>
        <v>46363</v>
      </c>
      <c r="D416" s="17" t="n">
        <f aca="false">$C416+DIAS_POR_SEMANA-1</f>
        <v>46369</v>
      </c>
      <c r="E416" s="15" t="s">
        <v>265</v>
      </c>
      <c r="F416" s="8" t="str">
        <f aca="false">IFERROR(INDEX(CADASTRO_PIVOS!$C$6:$C$41,MATCH($E416,CADASTRO_PIVOS!$B$6:$B$41,0)),"?")</f>
        <v>RM04</v>
      </c>
      <c r="G416" s="8" t="str">
        <f aca="false">IFERROR(INDEX(CADASTRO_PIVOS!$D$6:$D$41,MATCH($E416,CADASTRO_PIVOS!$B$6:$B$41,0)),"?")</f>
        <v>TR04</v>
      </c>
      <c r="H416" s="20" t="n">
        <f aca="false">IFERROR(INDEX(CADASTRO_PIVOS!$E$6:$E$41,MATCH($E416,CADASTRO_PIVOS!$B$6:$B$41,0)),0)</f>
        <v>100.07</v>
      </c>
      <c r="I416" s="16" t="n">
        <f aca="false">IFERROR(SUMIFS(ROTACAO_RDM!$B$6:$B$71,ROTACAO_RDM!$D$6:$D$71,$E416,ROTACAO_RDM!$I$6:$I$71,"&lt;="&amp;$C416+INT(DIAS_POR_SEMANA/2),ROTACAO_RDM!$J$6:$J$71,"&gt;="&amp;$C416+INT(DIAS_POR_SEMANA/2)),0)</f>
        <v>0</v>
      </c>
      <c r="J416" s="16" t="n">
        <f aca="false">IFERROR(MATCH($I416,ROTACAO_RDM!$B$6:$B$71,0),0)</f>
        <v>0</v>
      </c>
      <c r="K416" s="8" t="str">
        <f aca="false">IF($J416=0,"SEM CULTURA",INDEX(ROTACAO_RDM!$F$6:$F$71,$J416))</f>
        <v>SEM CULTURA</v>
      </c>
      <c r="L416" s="8" t="str">
        <f aca="false">IF($J416=0,"",INDEX(ROTACAO_RDM!$G$6:$G$71,$J416))</f>
        <v/>
      </c>
      <c r="M416" s="17" t="str">
        <f aca="false">IF($J416=0,"",INDEX(ROTACAO_RDM!$I$6:$I$71,$J416))</f>
        <v/>
      </c>
      <c r="N416" s="16" t="n">
        <f aca="false">IF($J416=0,0,MAX(0,$C416+INT(DIAS_POR_SEMANA/2)-INDEX(ROTACAO_RDM!$I$6:$I$71,$J416)))</f>
        <v>0</v>
      </c>
      <c r="O416" s="19" t="n">
        <f aca="false">IF($J416=0,0,MIN(1,$N416/MAX(1,INDEX(ROTACAO_RDM!$K$6:$K$71,$J416))))</f>
        <v>0</v>
      </c>
      <c r="P416" s="16" t="n">
        <f aca="false">IF($J416=0,0,IFERROR(MATCH(INDEX(ROTACAO_RDM!$N$6:$N$71,$J416),PARAMETROS_CULTURAS!$B$6:$B$28,0),0))</f>
        <v>0</v>
      </c>
      <c r="Q416" s="8" t="str">
        <f aca="false">IF($P416=0,"-",IF($O416&lt;=INDEX(PARAMETROS_CULTURAS!$F$6:$F$28,$P416),"INICIAL",IF($O416&lt;=INDEX(PARAMETROS_CULTURAS!$F$6:$F$28,$P416)+INDEX(PARAMETROS_CULTURAS!$G$6:$G$28,$P416),"DESENVOLVIMENTO",IF($O416&lt;=INDEX(PARAMETROS_CULTURAS!$F$6:$F$28,$P416)+INDEX(PARAMETROS_CULTURAS!$G$6:$G$28,$P416)+INDEX(PARAMETROS_CULTURAS!$H$6:$H$28,$P416),"MEDIA","FINAL"))))</f>
        <v>-</v>
      </c>
      <c r="R416" s="24" t="n">
        <f aca="false">IF($P416=0,0,IF($O416&lt;=INDEX(PARAMETROS_CULTURAS!$F$6:$F$28,$P416),INDEX(PARAMETROS_CULTURAS!$K$6:$K$28,$P416),IF($O416&lt;=INDEX(PARAMETROS_CULTURAS!$F$6:$F$28,$P416)+INDEX(PARAMETROS_CULTURAS!$G$6:$G$28,$P416),INDEX(PARAMETROS_CULTURAS!$K$6:$K$28,$P416)+(INDEX(PARAMETROS_CULTURAS!$L$6:$L$28,$P416)-INDEX(PARAMETROS_CULTURAS!$K$6:$K$28,$P416))*($O416-INDEX(PARAMETROS_CULTURAS!$F$6:$F$28,$P416))/MAX(INDEX(PARAMETROS_CULTURAS!$G$6:$G$28,$P416),0.0001),IF($O416&lt;=INDEX(PARAMETROS_CULTURAS!$F$6:$F$28,$P416)+INDEX(PARAMETROS_CULTURAS!$G$6:$G$28,$P416)+INDEX(PARAMETROS_CULTURAS!$H$6:$H$28,$P416),INDEX(PARAMETROS_CULTURAS!$L$6:$L$28,$P416),INDEX(PARAMETROS_CULTURAS!$L$6:$L$28,$P416)+(INDEX(PARAMETROS_CULTURAS!$M$6:$M$28,$P416)-INDEX(PARAMETROS_CULTURAS!$L$6:$L$28,$P416))*($O416-INDEX(PARAMETROS_CULTURAS!$F$6:$F$28,$P416)-INDEX(PARAMETROS_CULTURAS!$G$6:$G$28,$P416)-INDEX(PARAMETROS_CULTURAS!$H$6:$H$28,$P416))/MAX(INDEX(PARAMETROS_CULTURAS!$I$6:$I$28,$P416),0.0001)))))</f>
        <v>0</v>
      </c>
      <c r="S416" s="18" t="n">
        <f aca="false">IFERROR(INDEX(SEMANAS!$H$6:$H$71,MATCH($B416,SEMANAS!$B$6:$B$71,0)),0)</f>
        <v>32.9</v>
      </c>
      <c r="T416" s="18" t="n">
        <f aca="false">$R416*$S416</f>
        <v>0</v>
      </c>
      <c r="U416" s="18" t="n">
        <f aca="false">IFERROR(INDEX(SEMANAS!$I$6:$I$71,MATCH($B416,SEMANAS!$B$6:$B$71,0)),0)</f>
        <v>48.58</v>
      </c>
      <c r="V416" s="18" t="n">
        <f aca="false">IFERROR(INDEX(SEMANAS!$J$6:$J$71,MATCH($B416,SEMANAS!$B$6:$B$71,0)),0)</f>
        <v>38.864</v>
      </c>
      <c r="W416" s="18" t="n">
        <f aca="false">MAX(0,$T416-$V416)</f>
        <v>0</v>
      </c>
      <c r="X416" s="19" t="n">
        <f aca="false">IFERROR(INDEX(CADASTRO_PIVOS!$K$6:$K$41,MATCH($E416,CADASTRO_PIVOS!$B$6:$B$41,0)),EFICIENCIA_PADRAO)</f>
        <v>0.85</v>
      </c>
      <c r="Y416" s="18" t="n">
        <f aca="false">IF($X416&lt;=0,0,$W416/$X416)</f>
        <v>0</v>
      </c>
      <c r="Z416" s="16" t="n">
        <f aca="false">$Y416*$H416*MM_PARA_M3_HA</f>
        <v>0</v>
      </c>
      <c r="AA416" s="18" t="n">
        <f aca="false">IFERROR(INDEX(CADASTRO_PIVOS!$I$6:$I$41,MATCH($E416,CADASTRO_PIVOS!$B$6:$B$41,0)),0)</f>
        <v>714.785714285714</v>
      </c>
      <c r="AB416" s="18" t="n">
        <f aca="false">IF($Z416&lt;=0,0,$Z416/$AA416)</f>
        <v>0</v>
      </c>
      <c r="AC416" s="16" t="n">
        <f aca="false">IFERROR(INDEX(SEMANAS!$K$6:$K$71,MATCH($B416,SEMANAS!$B$6:$B$71,0)),0)</f>
        <v>147</v>
      </c>
      <c r="AD416" s="19" t="n">
        <f aca="false">IF($AC416&lt;=0,0,$AB416/$AC416)</f>
        <v>0</v>
      </c>
      <c r="AE416" s="8" t="str">
        <f aca="false">IF($K416="SEM CULTURA","SEM CULTURA",IF($AA416&lt;=0,"DADO PENDENTE",IF($AD416&gt;LIMITE_CRITICO,"INVIAVEL",IF($AD416&gt;LIMITE_ATENCAO,"CRITICO",IF($AD416&gt;LIMITE_CONFORTAVEL,"ATENCAO","OK")))))</f>
        <v>SEM CULTURA</v>
      </c>
      <c r="AF416" s="8" t="str">
        <f aca="false">$B416&amp;"|"&amp;TEXT($AD416,"0.000000")</f>
        <v>15|0.000000</v>
      </c>
      <c r="AG416" s="18" t="n">
        <f aca="false">IF($K416="SEM CULTURA",0,$T416*$H416)</f>
        <v>0</v>
      </c>
      <c r="AH416" s="18" t="n">
        <f aca="false">IF($K416="SEM CULTURA",0,$V416*$H416)</f>
        <v>0</v>
      </c>
      <c r="AI416" s="18" t="n">
        <f aca="false">IF($K416="SEM CULTURA",0,$W416*$H416)</f>
        <v>0</v>
      </c>
      <c r="AJ416" s="18" t="n">
        <f aca="false">IF($K416="SEM CULTURA",0,$S416*$H416)</f>
        <v>0</v>
      </c>
      <c r="AK416" s="8" t="str">
        <f aca="false">$E416&amp;"|"&amp;TEXT($AD416,"0.000000")</f>
        <v>PV 102|0.000000</v>
      </c>
    </row>
    <row r="417" customFormat="false" ht="15" hidden="false" customHeight="false" outlineLevel="0" collapsed="false">
      <c r="B417" s="16" t="n">
        <v>16</v>
      </c>
      <c r="C417" s="17" t="n">
        <f aca="false">DATA_INICIO_SAFRA+($B417-1)*DIAS_POR_SEMANA</f>
        <v>46370</v>
      </c>
      <c r="D417" s="17" t="n">
        <f aca="false">$C417+DIAS_POR_SEMANA-1</f>
        <v>46376</v>
      </c>
      <c r="E417" s="15" t="s">
        <v>265</v>
      </c>
      <c r="F417" s="8" t="str">
        <f aca="false">IFERROR(INDEX(CADASTRO_PIVOS!$C$6:$C$41,MATCH($E417,CADASTRO_PIVOS!$B$6:$B$41,0)),"?")</f>
        <v>RM04</v>
      </c>
      <c r="G417" s="8" t="str">
        <f aca="false">IFERROR(INDEX(CADASTRO_PIVOS!$D$6:$D$41,MATCH($E417,CADASTRO_PIVOS!$B$6:$B$41,0)),"?")</f>
        <v>TR04</v>
      </c>
      <c r="H417" s="20" t="n">
        <f aca="false">IFERROR(INDEX(CADASTRO_PIVOS!$E$6:$E$41,MATCH($E417,CADASTRO_PIVOS!$B$6:$B$41,0)),0)</f>
        <v>100.07</v>
      </c>
      <c r="I417" s="16" t="n">
        <f aca="false">IFERROR(SUMIFS(ROTACAO_RDM!$B$6:$B$71,ROTACAO_RDM!$D$6:$D$71,$E417,ROTACAO_RDM!$I$6:$I$71,"&lt;="&amp;$C417+INT(DIAS_POR_SEMANA/2),ROTACAO_RDM!$J$6:$J$71,"&gt;="&amp;$C417+INT(DIAS_POR_SEMANA/2)),0)</f>
        <v>3</v>
      </c>
      <c r="J417" s="16" t="n">
        <f aca="false">IFERROR(MATCH($I417,ROTACAO_RDM!$B$6:$B$71,0),0)</f>
        <v>3</v>
      </c>
      <c r="K417" s="8" t="str">
        <f aca="false">IF($J417=0,"SEM CULTURA",INDEX(ROTACAO_RDM!$F$6:$F$71,$J417))</f>
        <v>ALGODAO</v>
      </c>
      <c r="L417" s="8" t="str">
        <f aca="false">IF($J417=0,"",INDEX(ROTACAO_RDM!$G$6:$G$71,$J417))</f>
        <v>IMA 5901 B2RF</v>
      </c>
      <c r="M417" s="17" t="n">
        <f aca="false">IF($J417=0,"",INDEX(ROTACAO_RDM!$I$6:$I$71,$J417))</f>
        <v>46367</v>
      </c>
      <c r="N417" s="16" t="n">
        <f aca="false">IF($J417=0,0,MAX(0,$C417+INT(DIAS_POR_SEMANA/2)-INDEX(ROTACAO_RDM!$I$6:$I$71,$J417)))</f>
        <v>6</v>
      </c>
      <c r="O417" s="19" t="n">
        <f aca="false">IF($J417=0,0,MIN(1,$N417/MAX(1,INDEX(ROTACAO_RDM!$K$6:$K$71,$J417))))</f>
        <v>0.0307692307692308</v>
      </c>
      <c r="P417" s="16" t="n">
        <f aca="false">IF($J417=0,0,IFERROR(MATCH(INDEX(ROTACAO_RDM!$N$6:$N$71,$J417),PARAMETROS_CULTURAS!$B$6:$B$28,0),0))</f>
        <v>5</v>
      </c>
      <c r="Q417" s="8" t="str">
        <f aca="false">IF($P417=0,"-",IF($O417&lt;=INDEX(PARAMETROS_CULTURAS!$F$6:$F$28,$P417),"INICIAL",IF($O417&lt;=INDEX(PARAMETROS_CULTURAS!$F$6:$F$28,$P417)+INDEX(PARAMETROS_CULTURAS!$G$6:$G$28,$P417),"DESENVOLVIMENTO",IF($O417&lt;=INDEX(PARAMETROS_CULTURAS!$F$6:$F$28,$P417)+INDEX(PARAMETROS_CULTURAS!$G$6:$G$28,$P417)+INDEX(PARAMETROS_CULTURAS!$H$6:$H$28,$P417),"MEDIA","FINAL"))))</f>
        <v>INICIAL</v>
      </c>
      <c r="R417" s="24" t="n">
        <f aca="false">IF($P417=0,0,IF($O417&lt;=INDEX(PARAMETROS_CULTURAS!$F$6:$F$28,$P417),INDEX(PARAMETROS_CULTURAS!$K$6:$K$28,$P417),IF($O417&lt;=INDEX(PARAMETROS_CULTURAS!$F$6:$F$28,$P417)+INDEX(PARAMETROS_CULTURAS!$G$6:$G$28,$P417),INDEX(PARAMETROS_CULTURAS!$K$6:$K$28,$P417)+(INDEX(PARAMETROS_CULTURAS!$L$6:$L$28,$P417)-INDEX(PARAMETROS_CULTURAS!$K$6:$K$28,$P417))*($O417-INDEX(PARAMETROS_CULTURAS!$F$6:$F$28,$P417))/MAX(INDEX(PARAMETROS_CULTURAS!$G$6:$G$28,$P417),0.0001),IF($O417&lt;=INDEX(PARAMETROS_CULTURAS!$F$6:$F$28,$P417)+INDEX(PARAMETROS_CULTURAS!$G$6:$G$28,$P417)+INDEX(PARAMETROS_CULTURAS!$H$6:$H$28,$P417),INDEX(PARAMETROS_CULTURAS!$L$6:$L$28,$P417),INDEX(PARAMETROS_CULTURAS!$L$6:$L$28,$P417)+(INDEX(PARAMETROS_CULTURAS!$M$6:$M$28,$P417)-INDEX(PARAMETROS_CULTURAS!$L$6:$L$28,$P417))*($O417-INDEX(PARAMETROS_CULTURAS!$F$6:$F$28,$P417)-INDEX(PARAMETROS_CULTURAS!$G$6:$G$28,$P417)-INDEX(PARAMETROS_CULTURAS!$H$6:$H$28,$P417))/MAX(INDEX(PARAMETROS_CULTURAS!$I$6:$I$28,$P417),0.0001)))))</f>
        <v>0.35</v>
      </c>
      <c r="S417" s="18" t="n">
        <f aca="false">IFERROR(INDEX(SEMANAS!$H$6:$H$71,MATCH($B417,SEMANAS!$B$6:$B$71,0)),0)</f>
        <v>32.9</v>
      </c>
      <c r="T417" s="18" t="n">
        <f aca="false">$R417*$S417</f>
        <v>11.515</v>
      </c>
      <c r="U417" s="18" t="n">
        <f aca="false">IFERROR(INDEX(SEMANAS!$I$6:$I$71,MATCH($B417,SEMANAS!$B$6:$B$71,0)),0)</f>
        <v>48.58</v>
      </c>
      <c r="V417" s="18" t="n">
        <f aca="false">IFERROR(INDEX(SEMANAS!$J$6:$J$71,MATCH($B417,SEMANAS!$B$6:$B$71,0)),0)</f>
        <v>38.864</v>
      </c>
      <c r="W417" s="18" t="n">
        <f aca="false">MAX(0,$T417-$V417)</f>
        <v>0</v>
      </c>
      <c r="X417" s="19" t="n">
        <f aca="false">IFERROR(INDEX(CADASTRO_PIVOS!$K$6:$K$41,MATCH($E417,CADASTRO_PIVOS!$B$6:$B$41,0)),EFICIENCIA_PADRAO)</f>
        <v>0.85</v>
      </c>
      <c r="Y417" s="18" t="n">
        <f aca="false">IF($X417&lt;=0,0,$W417/$X417)</f>
        <v>0</v>
      </c>
      <c r="Z417" s="16" t="n">
        <f aca="false">$Y417*$H417*MM_PARA_M3_HA</f>
        <v>0</v>
      </c>
      <c r="AA417" s="18" t="n">
        <f aca="false">IFERROR(INDEX(CADASTRO_PIVOS!$I$6:$I$41,MATCH($E417,CADASTRO_PIVOS!$B$6:$B$41,0)),0)</f>
        <v>714.785714285714</v>
      </c>
      <c r="AB417" s="18" t="n">
        <f aca="false">IF($Z417&lt;=0,0,$Z417/$AA417)</f>
        <v>0</v>
      </c>
      <c r="AC417" s="16" t="n">
        <f aca="false">IFERROR(INDEX(SEMANAS!$K$6:$K$71,MATCH($B417,SEMANAS!$B$6:$B$71,0)),0)</f>
        <v>147</v>
      </c>
      <c r="AD417" s="19" t="n">
        <f aca="false">IF($AC417&lt;=0,0,$AB417/$AC417)</f>
        <v>0</v>
      </c>
      <c r="AE417" s="8" t="str">
        <f aca="false">IF($K417="SEM CULTURA","SEM CULTURA",IF($AA417&lt;=0,"DADO PENDENTE",IF($AD417&gt;LIMITE_CRITICO,"INVIAVEL",IF($AD417&gt;LIMITE_ATENCAO,"CRITICO",IF($AD417&gt;LIMITE_CONFORTAVEL,"ATENCAO","OK")))))</f>
        <v>OK</v>
      </c>
      <c r="AF417" s="8" t="str">
        <f aca="false">$B417&amp;"|"&amp;TEXT($AD417,"0.000000")</f>
        <v>16|0.000000</v>
      </c>
      <c r="AG417" s="18" t="n">
        <f aca="false">IF($K417="SEM CULTURA",0,$T417*$H417)</f>
        <v>1152.30605</v>
      </c>
      <c r="AH417" s="18" t="n">
        <f aca="false">IF($K417="SEM CULTURA",0,$V417*$H417)</f>
        <v>3889.12048</v>
      </c>
      <c r="AI417" s="18" t="n">
        <f aca="false">IF($K417="SEM CULTURA",0,$W417*$H417)</f>
        <v>0</v>
      </c>
      <c r="AJ417" s="18" t="n">
        <f aca="false">IF($K417="SEM CULTURA",0,$S417*$H417)</f>
        <v>3292.303</v>
      </c>
      <c r="AK417" s="8" t="str">
        <f aca="false">$E417&amp;"|"&amp;TEXT($AD417,"0.000000")</f>
        <v>PV 102|0.000000</v>
      </c>
    </row>
    <row r="418" customFormat="false" ht="15" hidden="false" customHeight="false" outlineLevel="0" collapsed="false">
      <c r="B418" s="16" t="n">
        <v>17</v>
      </c>
      <c r="C418" s="17" t="n">
        <f aca="false">DATA_INICIO_SAFRA+($B418-1)*DIAS_POR_SEMANA</f>
        <v>46377</v>
      </c>
      <c r="D418" s="17" t="n">
        <f aca="false">$C418+DIAS_POR_SEMANA-1</f>
        <v>46383</v>
      </c>
      <c r="E418" s="15" t="s">
        <v>265</v>
      </c>
      <c r="F418" s="8" t="str">
        <f aca="false">IFERROR(INDEX(CADASTRO_PIVOS!$C$6:$C$41,MATCH($E418,CADASTRO_PIVOS!$B$6:$B$41,0)),"?")</f>
        <v>RM04</v>
      </c>
      <c r="G418" s="8" t="str">
        <f aca="false">IFERROR(INDEX(CADASTRO_PIVOS!$D$6:$D$41,MATCH($E418,CADASTRO_PIVOS!$B$6:$B$41,0)),"?")</f>
        <v>TR04</v>
      </c>
      <c r="H418" s="20" t="n">
        <f aca="false">IFERROR(INDEX(CADASTRO_PIVOS!$E$6:$E$41,MATCH($E418,CADASTRO_PIVOS!$B$6:$B$41,0)),0)</f>
        <v>100.07</v>
      </c>
      <c r="I418" s="16" t="n">
        <f aca="false">IFERROR(SUMIFS(ROTACAO_RDM!$B$6:$B$71,ROTACAO_RDM!$D$6:$D$71,$E418,ROTACAO_RDM!$I$6:$I$71,"&lt;="&amp;$C418+INT(DIAS_POR_SEMANA/2),ROTACAO_RDM!$J$6:$J$71,"&gt;="&amp;$C418+INT(DIAS_POR_SEMANA/2)),0)</f>
        <v>3</v>
      </c>
      <c r="J418" s="16" t="n">
        <f aca="false">IFERROR(MATCH($I418,ROTACAO_RDM!$B$6:$B$71,0),0)</f>
        <v>3</v>
      </c>
      <c r="K418" s="8" t="str">
        <f aca="false">IF($J418=0,"SEM CULTURA",INDEX(ROTACAO_RDM!$F$6:$F$71,$J418))</f>
        <v>ALGODAO</v>
      </c>
      <c r="L418" s="8" t="str">
        <f aca="false">IF($J418=0,"",INDEX(ROTACAO_RDM!$G$6:$G$71,$J418))</f>
        <v>IMA 5901 B2RF</v>
      </c>
      <c r="M418" s="17" t="n">
        <f aca="false">IF($J418=0,"",INDEX(ROTACAO_RDM!$I$6:$I$71,$J418))</f>
        <v>46367</v>
      </c>
      <c r="N418" s="16" t="n">
        <f aca="false">IF($J418=0,0,MAX(0,$C418+INT(DIAS_POR_SEMANA/2)-INDEX(ROTACAO_RDM!$I$6:$I$71,$J418)))</f>
        <v>13</v>
      </c>
      <c r="O418" s="19" t="n">
        <f aca="false">IF($J418=0,0,MIN(1,$N418/MAX(1,INDEX(ROTACAO_RDM!$K$6:$K$71,$J418))))</f>
        <v>0.0666666666666667</v>
      </c>
      <c r="P418" s="16" t="n">
        <f aca="false">IF($J418=0,0,IFERROR(MATCH(INDEX(ROTACAO_RDM!$N$6:$N$71,$J418),PARAMETROS_CULTURAS!$B$6:$B$28,0),0))</f>
        <v>5</v>
      </c>
      <c r="Q418" s="8" t="str">
        <f aca="false">IF($P418=0,"-",IF($O418&lt;=INDEX(PARAMETROS_CULTURAS!$F$6:$F$28,$P418),"INICIAL",IF($O418&lt;=INDEX(PARAMETROS_CULTURAS!$F$6:$F$28,$P418)+INDEX(PARAMETROS_CULTURAS!$G$6:$G$28,$P418),"DESENVOLVIMENTO",IF($O418&lt;=INDEX(PARAMETROS_CULTURAS!$F$6:$F$28,$P418)+INDEX(PARAMETROS_CULTURAS!$G$6:$G$28,$P418)+INDEX(PARAMETROS_CULTURAS!$H$6:$H$28,$P418),"MEDIA","FINAL"))))</f>
        <v>INICIAL</v>
      </c>
      <c r="R418" s="24" t="n">
        <f aca="false">IF($P418=0,0,IF($O418&lt;=INDEX(PARAMETROS_CULTURAS!$F$6:$F$28,$P418),INDEX(PARAMETROS_CULTURAS!$K$6:$K$28,$P418),IF($O418&lt;=INDEX(PARAMETROS_CULTURAS!$F$6:$F$28,$P418)+INDEX(PARAMETROS_CULTURAS!$G$6:$G$28,$P418),INDEX(PARAMETROS_CULTURAS!$K$6:$K$28,$P418)+(INDEX(PARAMETROS_CULTURAS!$L$6:$L$28,$P418)-INDEX(PARAMETROS_CULTURAS!$K$6:$K$28,$P418))*($O418-INDEX(PARAMETROS_CULTURAS!$F$6:$F$28,$P418))/MAX(INDEX(PARAMETROS_CULTURAS!$G$6:$G$28,$P418),0.0001),IF($O418&lt;=INDEX(PARAMETROS_CULTURAS!$F$6:$F$28,$P418)+INDEX(PARAMETROS_CULTURAS!$G$6:$G$28,$P418)+INDEX(PARAMETROS_CULTURAS!$H$6:$H$28,$P418),INDEX(PARAMETROS_CULTURAS!$L$6:$L$28,$P418),INDEX(PARAMETROS_CULTURAS!$L$6:$L$28,$P418)+(INDEX(PARAMETROS_CULTURAS!$M$6:$M$28,$P418)-INDEX(PARAMETROS_CULTURAS!$L$6:$L$28,$P418))*($O418-INDEX(PARAMETROS_CULTURAS!$F$6:$F$28,$P418)-INDEX(PARAMETROS_CULTURAS!$G$6:$G$28,$P418)-INDEX(PARAMETROS_CULTURAS!$H$6:$H$28,$P418))/MAX(INDEX(PARAMETROS_CULTURAS!$I$6:$I$28,$P418),0.0001)))))</f>
        <v>0.35</v>
      </c>
      <c r="S418" s="18" t="n">
        <f aca="false">IFERROR(INDEX(SEMANAS!$H$6:$H$71,MATCH($B418,SEMANAS!$B$6:$B$71,0)),0)</f>
        <v>32.9</v>
      </c>
      <c r="T418" s="18" t="n">
        <f aca="false">$R418*$S418</f>
        <v>11.515</v>
      </c>
      <c r="U418" s="18" t="n">
        <f aca="false">IFERROR(INDEX(SEMANAS!$I$6:$I$71,MATCH($B418,SEMANAS!$B$6:$B$71,0)),0)</f>
        <v>48.58</v>
      </c>
      <c r="V418" s="18" t="n">
        <f aca="false">IFERROR(INDEX(SEMANAS!$J$6:$J$71,MATCH($B418,SEMANAS!$B$6:$B$71,0)),0)</f>
        <v>38.864</v>
      </c>
      <c r="W418" s="18" t="n">
        <f aca="false">MAX(0,$T418-$V418)</f>
        <v>0</v>
      </c>
      <c r="X418" s="19" t="n">
        <f aca="false">IFERROR(INDEX(CADASTRO_PIVOS!$K$6:$K$41,MATCH($E418,CADASTRO_PIVOS!$B$6:$B$41,0)),EFICIENCIA_PADRAO)</f>
        <v>0.85</v>
      </c>
      <c r="Y418" s="18" t="n">
        <f aca="false">IF($X418&lt;=0,0,$W418/$X418)</f>
        <v>0</v>
      </c>
      <c r="Z418" s="16" t="n">
        <f aca="false">$Y418*$H418*MM_PARA_M3_HA</f>
        <v>0</v>
      </c>
      <c r="AA418" s="18" t="n">
        <f aca="false">IFERROR(INDEX(CADASTRO_PIVOS!$I$6:$I$41,MATCH($E418,CADASTRO_PIVOS!$B$6:$B$41,0)),0)</f>
        <v>714.785714285714</v>
      </c>
      <c r="AB418" s="18" t="n">
        <f aca="false">IF($Z418&lt;=0,0,$Z418/$AA418)</f>
        <v>0</v>
      </c>
      <c r="AC418" s="16" t="n">
        <f aca="false">IFERROR(INDEX(SEMANAS!$K$6:$K$71,MATCH($B418,SEMANAS!$B$6:$B$71,0)),0)</f>
        <v>147</v>
      </c>
      <c r="AD418" s="19" t="n">
        <f aca="false">IF($AC418&lt;=0,0,$AB418/$AC418)</f>
        <v>0</v>
      </c>
      <c r="AE418" s="8" t="str">
        <f aca="false">IF($K418="SEM CULTURA","SEM CULTURA",IF($AA418&lt;=0,"DADO PENDENTE",IF($AD418&gt;LIMITE_CRITICO,"INVIAVEL",IF($AD418&gt;LIMITE_ATENCAO,"CRITICO",IF($AD418&gt;LIMITE_CONFORTAVEL,"ATENCAO","OK")))))</f>
        <v>OK</v>
      </c>
      <c r="AF418" s="8" t="str">
        <f aca="false">$B418&amp;"|"&amp;TEXT($AD418,"0.000000")</f>
        <v>17|0.000000</v>
      </c>
      <c r="AG418" s="18" t="n">
        <f aca="false">IF($K418="SEM CULTURA",0,$T418*$H418)</f>
        <v>1152.30605</v>
      </c>
      <c r="AH418" s="18" t="n">
        <f aca="false">IF($K418="SEM CULTURA",0,$V418*$H418)</f>
        <v>3889.12048</v>
      </c>
      <c r="AI418" s="18" t="n">
        <f aca="false">IF($K418="SEM CULTURA",0,$W418*$H418)</f>
        <v>0</v>
      </c>
      <c r="AJ418" s="18" t="n">
        <f aca="false">IF($K418="SEM CULTURA",0,$S418*$H418)</f>
        <v>3292.303</v>
      </c>
      <c r="AK418" s="8" t="str">
        <f aca="false">$E418&amp;"|"&amp;TEXT($AD418,"0.000000")</f>
        <v>PV 102|0.000000</v>
      </c>
    </row>
    <row r="419" customFormat="false" ht="15" hidden="false" customHeight="false" outlineLevel="0" collapsed="false">
      <c r="B419" s="16" t="n">
        <v>18</v>
      </c>
      <c r="C419" s="17" t="n">
        <f aca="false">DATA_INICIO_SAFRA+($B419-1)*DIAS_POR_SEMANA</f>
        <v>46384</v>
      </c>
      <c r="D419" s="17" t="n">
        <f aca="false">$C419+DIAS_POR_SEMANA-1</f>
        <v>46390</v>
      </c>
      <c r="E419" s="15" t="s">
        <v>265</v>
      </c>
      <c r="F419" s="8" t="str">
        <f aca="false">IFERROR(INDEX(CADASTRO_PIVOS!$C$6:$C$41,MATCH($E419,CADASTRO_PIVOS!$B$6:$B$41,0)),"?")</f>
        <v>RM04</v>
      </c>
      <c r="G419" s="8" t="str">
        <f aca="false">IFERROR(INDEX(CADASTRO_PIVOS!$D$6:$D$41,MATCH($E419,CADASTRO_PIVOS!$B$6:$B$41,0)),"?")</f>
        <v>TR04</v>
      </c>
      <c r="H419" s="20" t="n">
        <f aca="false">IFERROR(INDEX(CADASTRO_PIVOS!$E$6:$E$41,MATCH($E419,CADASTRO_PIVOS!$B$6:$B$41,0)),0)</f>
        <v>100.07</v>
      </c>
      <c r="I419" s="16" t="n">
        <f aca="false">IFERROR(SUMIFS(ROTACAO_RDM!$B$6:$B$71,ROTACAO_RDM!$D$6:$D$71,$E419,ROTACAO_RDM!$I$6:$I$71,"&lt;="&amp;$C419+INT(DIAS_POR_SEMANA/2),ROTACAO_RDM!$J$6:$J$71,"&gt;="&amp;$C419+INT(DIAS_POR_SEMANA/2)),0)</f>
        <v>3</v>
      </c>
      <c r="J419" s="16" t="n">
        <f aca="false">IFERROR(MATCH($I419,ROTACAO_RDM!$B$6:$B$71,0),0)</f>
        <v>3</v>
      </c>
      <c r="K419" s="8" t="str">
        <f aca="false">IF($J419=0,"SEM CULTURA",INDEX(ROTACAO_RDM!$F$6:$F$71,$J419))</f>
        <v>ALGODAO</v>
      </c>
      <c r="L419" s="8" t="str">
        <f aca="false">IF($J419=0,"",INDEX(ROTACAO_RDM!$G$6:$G$71,$J419))</f>
        <v>IMA 5901 B2RF</v>
      </c>
      <c r="M419" s="17" t="n">
        <f aca="false">IF($J419=0,"",INDEX(ROTACAO_RDM!$I$6:$I$71,$J419))</f>
        <v>46367</v>
      </c>
      <c r="N419" s="16" t="n">
        <f aca="false">IF($J419=0,0,MAX(0,$C419+INT(DIAS_POR_SEMANA/2)-INDEX(ROTACAO_RDM!$I$6:$I$71,$J419)))</f>
        <v>20</v>
      </c>
      <c r="O419" s="19" t="n">
        <f aca="false">IF($J419=0,0,MIN(1,$N419/MAX(1,INDEX(ROTACAO_RDM!$K$6:$K$71,$J419))))</f>
        <v>0.102564102564103</v>
      </c>
      <c r="P419" s="16" t="n">
        <f aca="false">IF($J419=0,0,IFERROR(MATCH(INDEX(ROTACAO_RDM!$N$6:$N$71,$J419),PARAMETROS_CULTURAS!$B$6:$B$28,0),0))</f>
        <v>5</v>
      </c>
      <c r="Q419" s="8" t="str">
        <f aca="false">IF($P419=0,"-",IF($O419&lt;=INDEX(PARAMETROS_CULTURAS!$F$6:$F$28,$P419),"INICIAL",IF($O419&lt;=INDEX(PARAMETROS_CULTURAS!$F$6:$F$28,$P419)+INDEX(PARAMETROS_CULTURAS!$G$6:$G$28,$P419),"DESENVOLVIMENTO",IF($O419&lt;=INDEX(PARAMETROS_CULTURAS!$F$6:$F$28,$P419)+INDEX(PARAMETROS_CULTURAS!$G$6:$G$28,$P419)+INDEX(PARAMETROS_CULTURAS!$H$6:$H$28,$P419),"MEDIA","FINAL"))))</f>
        <v>INICIAL</v>
      </c>
      <c r="R419" s="24" t="n">
        <f aca="false">IF($P419=0,0,IF($O419&lt;=INDEX(PARAMETROS_CULTURAS!$F$6:$F$28,$P419),INDEX(PARAMETROS_CULTURAS!$K$6:$K$28,$P419),IF($O419&lt;=INDEX(PARAMETROS_CULTURAS!$F$6:$F$28,$P419)+INDEX(PARAMETROS_CULTURAS!$G$6:$G$28,$P419),INDEX(PARAMETROS_CULTURAS!$K$6:$K$28,$P419)+(INDEX(PARAMETROS_CULTURAS!$L$6:$L$28,$P419)-INDEX(PARAMETROS_CULTURAS!$K$6:$K$28,$P419))*($O419-INDEX(PARAMETROS_CULTURAS!$F$6:$F$28,$P419))/MAX(INDEX(PARAMETROS_CULTURAS!$G$6:$G$28,$P419),0.0001),IF($O419&lt;=INDEX(PARAMETROS_CULTURAS!$F$6:$F$28,$P419)+INDEX(PARAMETROS_CULTURAS!$G$6:$G$28,$P419)+INDEX(PARAMETROS_CULTURAS!$H$6:$H$28,$P419),INDEX(PARAMETROS_CULTURAS!$L$6:$L$28,$P419),INDEX(PARAMETROS_CULTURAS!$L$6:$L$28,$P419)+(INDEX(PARAMETROS_CULTURAS!$M$6:$M$28,$P419)-INDEX(PARAMETROS_CULTURAS!$L$6:$L$28,$P419))*($O419-INDEX(PARAMETROS_CULTURAS!$F$6:$F$28,$P419)-INDEX(PARAMETROS_CULTURAS!$G$6:$G$28,$P419)-INDEX(PARAMETROS_CULTURAS!$H$6:$H$28,$P419))/MAX(INDEX(PARAMETROS_CULTURAS!$I$6:$I$28,$P419),0.0001)))))</f>
        <v>0.35</v>
      </c>
      <c r="S419" s="18" t="n">
        <f aca="false">IFERROR(INDEX(SEMANAS!$H$6:$H$71,MATCH($B419,SEMANAS!$B$6:$B$71,0)),0)</f>
        <v>33.2</v>
      </c>
      <c r="T419" s="18" t="n">
        <f aca="false">$R419*$S419</f>
        <v>11.62</v>
      </c>
      <c r="U419" s="18" t="n">
        <f aca="false">IFERROR(INDEX(SEMANAS!$I$6:$I$71,MATCH($B419,SEMANAS!$B$6:$B$71,0)),0)</f>
        <v>47.11</v>
      </c>
      <c r="V419" s="18" t="n">
        <f aca="false">IFERROR(INDEX(SEMANAS!$J$6:$J$71,MATCH($B419,SEMANAS!$B$6:$B$71,0)),0)</f>
        <v>37.688</v>
      </c>
      <c r="W419" s="18" t="n">
        <f aca="false">MAX(0,$T419-$V419)</f>
        <v>0</v>
      </c>
      <c r="X419" s="19" t="n">
        <f aca="false">IFERROR(INDEX(CADASTRO_PIVOS!$K$6:$K$41,MATCH($E419,CADASTRO_PIVOS!$B$6:$B$41,0)),EFICIENCIA_PADRAO)</f>
        <v>0.85</v>
      </c>
      <c r="Y419" s="18" t="n">
        <f aca="false">IF($X419&lt;=0,0,$W419/$X419)</f>
        <v>0</v>
      </c>
      <c r="Z419" s="16" t="n">
        <f aca="false">$Y419*$H419*MM_PARA_M3_HA</f>
        <v>0</v>
      </c>
      <c r="AA419" s="18" t="n">
        <f aca="false">IFERROR(INDEX(CADASTRO_PIVOS!$I$6:$I$41,MATCH($E419,CADASTRO_PIVOS!$B$6:$B$41,0)),0)</f>
        <v>714.785714285714</v>
      </c>
      <c r="AB419" s="18" t="n">
        <f aca="false">IF($Z419&lt;=0,0,$Z419/$AA419)</f>
        <v>0</v>
      </c>
      <c r="AC419" s="16" t="n">
        <f aca="false">IFERROR(INDEX(SEMANAS!$K$6:$K$71,MATCH($B419,SEMANAS!$B$6:$B$71,0)),0)</f>
        <v>147</v>
      </c>
      <c r="AD419" s="19" t="n">
        <f aca="false">IF($AC419&lt;=0,0,$AB419/$AC419)</f>
        <v>0</v>
      </c>
      <c r="AE419" s="8" t="str">
        <f aca="false">IF($K419="SEM CULTURA","SEM CULTURA",IF($AA419&lt;=0,"DADO PENDENTE",IF($AD419&gt;LIMITE_CRITICO,"INVIAVEL",IF($AD419&gt;LIMITE_ATENCAO,"CRITICO",IF($AD419&gt;LIMITE_CONFORTAVEL,"ATENCAO","OK")))))</f>
        <v>OK</v>
      </c>
      <c r="AF419" s="8" t="str">
        <f aca="false">$B419&amp;"|"&amp;TEXT($AD419,"0.000000")</f>
        <v>18|0.000000</v>
      </c>
      <c r="AG419" s="18" t="n">
        <f aca="false">IF($K419="SEM CULTURA",0,$T419*$H419)</f>
        <v>1162.8134</v>
      </c>
      <c r="AH419" s="18" t="n">
        <f aca="false">IF($K419="SEM CULTURA",0,$V419*$H419)</f>
        <v>3771.43816</v>
      </c>
      <c r="AI419" s="18" t="n">
        <f aca="false">IF($K419="SEM CULTURA",0,$W419*$H419)</f>
        <v>0</v>
      </c>
      <c r="AJ419" s="18" t="n">
        <f aca="false">IF($K419="SEM CULTURA",0,$S419*$H419)</f>
        <v>3322.324</v>
      </c>
      <c r="AK419" s="8" t="str">
        <f aca="false">$E419&amp;"|"&amp;TEXT($AD419,"0.000000")</f>
        <v>PV 102|0.000000</v>
      </c>
    </row>
    <row r="420" customFormat="false" ht="15" hidden="false" customHeight="false" outlineLevel="0" collapsed="false">
      <c r="B420" s="16" t="n">
        <v>19</v>
      </c>
      <c r="C420" s="17" t="n">
        <f aca="false">DATA_INICIO_SAFRA+($B420-1)*DIAS_POR_SEMANA</f>
        <v>46391</v>
      </c>
      <c r="D420" s="17" t="n">
        <f aca="false">$C420+DIAS_POR_SEMANA-1</f>
        <v>46397</v>
      </c>
      <c r="E420" s="15" t="s">
        <v>265</v>
      </c>
      <c r="F420" s="8" t="str">
        <f aca="false">IFERROR(INDEX(CADASTRO_PIVOS!$C$6:$C$41,MATCH($E420,CADASTRO_PIVOS!$B$6:$B$41,0)),"?")</f>
        <v>RM04</v>
      </c>
      <c r="G420" s="8" t="str">
        <f aca="false">IFERROR(INDEX(CADASTRO_PIVOS!$D$6:$D$41,MATCH($E420,CADASTRO_PIVOS!$B$6:$B$41,0)),"?")</f>
        <v>TR04</v>
      </c>
      <c r="H420" s="20" t="n">
        <f aca="false">IFERROR(INDEX(CADASTRO_PIVOS!$E$6:$E$41,MATCH($E420,CADASTRO_PIVOS!$B$6:$B$41,0)),0)</f>
        <v>100.07</v>
      </c>
      <c r="I420" s="16" t="n">
        <f aca="false">IFERROR(SUMIFS(ROTACAO_RDM!$B$6:$B$71,ROTACAO_RDM!$D$6:$D$71,$E420,ROTACAO_RDM!$I$6:$I$71,"&lt;="&amp;$C420+INT(DIAS_POR_SEMANA/2),ROTACAO_RDM!$J$6:$J$71,"&gt;="&amp;$C420+INT(DIAS_POR_SEMANA/2)),0)</f>
        <v>3</v>
      </c>
      <c r="J420" s="16" t="n">
        <f aca="false">IFERROR(MATCH($I420,ROTACAO_RDM!$B$6:$B$71,0),0)</f>
        <v>3</v>
      </c>
      <c r="K420" s="8" t="str">
        <f aca="false">IF($J420=0,"SEM CULTURA",INDEX(ROTACAO_RDM!$F$6:$F$71,$J420))</f>
        <v>ALGODAO</v>
      </c>
      <c r="L420" s="8" t="str">
        <f aca="false">IF($J420=0,"",INDEX(ROTACAO_RDM!$G$6:$G$71,$J420))</f>
        <v>IMA 5901 B2RF</v>
      </c>
      <c r="M420" s="17" t="n">
        <f aca="false">IF($J420=0,"",INDEX(ROTACAO_RDM!$I$6:$I$71,$J420))</f>
        <v>46367</v>
      </c>
      <c r="N420" s="16" t="n">
        <f aca="false">IF($J420=0,0,MAX(0,$C420+INT(DIAS_POR_SEMANA/2)-INDEX(ROTACAO_RDM!$I$6:$I$71,$J420)))</f>
        <v>27</v>
      </c>
      <c r="O420" s="19" t="n">
        <f aca="false">IF($J420=0,0,MIN(1,$N420/MAX(1,INDEX(ROTACAO_RDM!$K$6:$K$71,$J420))))</f>
        <v>0.138461538461538</v>
      </c>
      <c r="P420" s="16" t="n">
        <f aca="false">IF($J420=0,0,IFERROR(MATCH(INDEX(ROTACAO_RDM!$N$6:$N$71,$J420),PARAMETROS_CULTURAS!$B$6:$B$28,0),0))</f>
        <v>5</v>
      </c>
      <c r="Q420" s="8" t="str">
        <f aca="false">IF($P420=0,"-",IF($O420&lt;=INDEX(PARAMETROS_CULTURAS!$F$6:$F$28,$P420),"INICIAL",IF($O420&lt;=INDEX(PARAMETROS_CULTURAS!$F$6:$F$28,$P420)+INDEX(PARAMETROS_CULTURAS!$G$6:$G$28,$P420),"DESENVOLVIMENTO",IF($O420&lt;=INDEX(PARAMETROS_CULTURAS!$F$6:$F$28,$P420)+INDEX(PARAMETROS_CULTURAS!$G$6:$G$28,$P420)+INDEX(PARAMETROS_CULTURAS!$H$6:$H$28,$P420),"MEDIA","FINAL"))))</f>
        <v>INICIAL</v>
      </c>
      <c r="R420" s="24" t="n">
        <f aca="false">IF($P420=0,0,IF($O420&lt;=INDEX(PARAMETROS_CULTURAS!$F$6:$F$28,$P420),INDEX(PARAMETROS_CULTURAS!$K$6:$K$28,$P420),IF($O420&lt;=INDEX(PARAMETROS_CULTURAS!$F$6:$F$28,$P420)+INDEX(PARAMETROS_CULTURAS!$G$6:$G$28,$P420),INDEX(PARAMETROS_CULTURAS!$K$6:$K$28,$P420)+(INDEX(PARAMETROS_CULTURAS!$L$6:$L$28,$P420)-INDEX(PARAMETROS_CULTURAS!$K$6:$K$28,$P420))*($O420-INDEX(PARAMETROS_CULTURAS!$F$6:$F$28,$P420))/MAX(INDEX(PARAMETROS_CULTURAS!$G$6:$G$28,$P420),0.0001),IF($O420&lt;=INDEX(PARAMETROS_CULTURAS!$F$6:$F$28,$P420)+INDEX(PARAMETROS_CULTURAS!$G$6:$G$28,$P420)+INDEX(PARAMETROS_CULTURAS!$H$6:$H$28,$P420),INDEX(PARAMETROS_CULTURAS!$L$6:$L$28,$P420),INDEX(PARAMETROS_CULTURAS!$L$6:$L$28,$P420)+(INDEX(PARAMETROS_CULTURAS!$M$6:$M$28,$P420)-INDEX(PARAMETROS_CULTURAS!$L$6:$L$28,$P420))*($O420-INDEX(PARAMETROS_CULTURAS!$F$6:$F$28,$P420)-INDEX(PARAMETROS_CULTURAS!$G$6:$G$28,$P420)-INDEX(PARAMETROS_CULTURAS!$H$6:$H$28,$P420))/MAX(INDEX(PARAMETROS_CULTURAS!$I$6:$I$28,$P420),0.0001)))))</f>
        <v>0.35</v>
      </c>
      <c r="S420" s="18" t="n">
        <f aca="false">IFERROR(INDEX(SEMANAS!$H$6:$H$71,MATCH($B420,SEMANAS!$B$6:$B$71,0)),0)</f>
        <v>33.6</v>
      </c>
      <c r="T420" s="18" t="n">
        <f aca="false">$R420*$S420</f>
        <v>11.76</v>
      </c>
      <c r="U420" s="18" t="n">
        <f aca="false">IFERROR(INDEX(SEMANAS!$I$6:$I$71,MATCH($B420,SEMANAS!$B$6:$B$71,0)),0)</f>
        <v>45.15</v>
      </c>
      <c r="V420" s="18" t="n">
        <f aca="false">IFERROR(INDEX(SEMANAS!$J$6:$J$71,MATCH($B420,SEMANAS!$B$6:$B$71,0)),0)</f>
        <v>36.12</v>
      </c>
      <c r="W420" s="18" t="n">
        <f aca="false">MAX(0,$T420-$V420)</f>
        <v>0</v>
      </c>
      <c r="X420" s="19" t="n">
        <f aca="false">IFERROR(INDEX(CADASTRO_PIVOS!$K$6:$K$41,MATCH($E420,CADASTRO_PIVOS!$B$6:$B$41,0)),EFICIENCIA_PADRAO)</f>
        <v>0.85</v>
      </c>
      <c r="Y420" s="18" t="n">
        <f aca="false">IF($X420&lt;=0,0,$W420/$X420)</f>
        <v>0</v>
      </c>
      <c r="Z420" s="16" t="n">
        <f aca="false">$Y420*$H420*MM_PARA_M3_HA</f>
        <v>0</v>
      </c>
      <c r="AA420" s="18" t="n">
        <f aca="false">IFERROR(INDEX(CADASTRO_PIVOS!$I$6:$I$41,MATCH($E420,CADASTRO_PIVOS!$B$6:$B$41,0)),0)</f>
        <v>714.785714285714</v>
      </c>
      <c r="AB420" s="18" t="n">
        <f aca="false">IF($Z420&lt;=0,0,$Z420/$AA420)</f>
        <v>0</v>
      </c>
      <c r="AC420" s="16" t="n">
        <f aca="false">IFERROR(INDEX(SEMANAS!$K$6:$K$71,MATCH($B420,SEMANAS!$B$6:$B$71,0)),0)</f>
        <v>147</v>
      </c>
      <c r="AD420" s="19" t="n">
        <f aca="false">IF($AC420&lt;=0,0,$AB420/$AC420)</f>
        <v>0</v>
      </c>
      <c r="AE420" s="8" t="str">
        <f aca="false">IF($K420="SEM CULTURA","SEM CULTURA",IF($AA420&lt;=0,"DADO PENDENTE",IF($AD420&gt;LIMITE_CRITICO,"INVIAVEL",IF($AD420&gt;LIMITE_ATENCAO,"CRITICO",IF($AD420&gt;LIMITE_CONFORTAVEL,"ATENCAO","OK")))))</f>
        <v>OK</v>
      </c>
      <c r="AF420" s="8" t="str">
        <f aca="false">$B420&amp;"|"&amp;TEXT($AD420,"0.000000")</f>
        <v>19|0.000000</v>
      </c>
      <c r="AG420" s="18" t="n">
        <f aca="false">IF($K420="SEM CULTURA",0,$T420*$H420)</f>
        <v>1176.8232</v>
      </c>
      <c r="AH420" s="18" t="n">
        <f aca="false">IF($K420="SEM CULTURA",0,$V420*$H420)</f>
        <v>3614.5284</v>
      </c>
      <c r="AI420" s="18" t="n">
        <f aca="false">IF($K420="SEM CULTURA",0,$W420*$H420)</f>
        <v>0</v>
      </c>
      <c r="AJ420" s="18" t="n">
        <f aca="false">IF($K420="SEM CULTURA",0,$S420*$H420)</f>
        <v>3362.352</v>
      </c>
      <c r="AK420" s="8" t="str">
        <f aca="false">$E420&amp;"|"&amp;TEXT($AD420,"0.000000")</f>
        <v>PV 102|0.000000</v>
      </c>
    </row>
    <row r="421" customFormat="false" ht="15" hidden="false" customHeight="false" outlineLevel="0" collapsed="false">
      <c r="B421" s="16" t="n">
        <v>20</v>
      </c>
      <c r="C421" s="17" t="n">
        <f aca="false">DATA_INICIO_SAFRA+($B421-1)*DIAS_POR_SEMANA</f>
        <v>46398</v>
      </c>
      <c r="D421" s="17" t="n">
        <f aca="false">$C421+DIAS_POR_SEMANA-1</f>
        <v>46404</v>
      </c>
      <c r="E421" s="15" t="s">
        <v>265</v>
      </c>
      <c r="F421" s="8" t="str">
        <f aca="false">IFERROR(INDEX(CADASTRO_PIVOS!$C$6:$C$41,MATCH($E421,CADASTRO_PIVOS!$B$6:$B$41,0)),"?")</f>
        <v>RM04</v>
      </c>
      <c r="G421" s="8" t="str">
        <f aca="false">IFERROR(INDEX(CADASTRO_PIVOS!$D$6:$D$41,MATCH($E421,CADASTRO_PIVOS!$B$6:$B$41,0)),"?")</f>
        <v>TR04</v>
      </c>
      <c r="H421" s="20" t="n">
        <f aca="false">IFERROR(INDEX(CADASTRO_PIVOS!$E$6:$E$41,MATCH($E421,CADASTRO_PIVOS!$B$6:$B$41,0)),0)</f>
        <v>100.07</v>
      </c>
      <c r="I421" s="16" t="n">
        <f aca="false">IFERROR(SUMIFS(ROTACAO_RDM!$B$6:$B$71,ROTACAO_RDM!$D$6:$D$71,$E421,ROTACAO_RDM!$I$6:$I$71,"&lt;="&amp;$C421+INT(DIAS_POR_SEMANA/2),ROTACAO_RDM!$J$6:$J$71,"&gt;="&amp;$C421+INT(DIAS_POR_SEMANA/2)),0)</f>
        <v>3</v>
      </c>
      <c r="J421" s="16" t="n">
        <f aca="false">IFERROR(MATCH($I421,ROTACAO_RDM!$B$6:$B$71,0),0)</f>
        <v>3</v>
      </c>
      <c r="K421" s="8" t="str">
        <f aca="false">IF($J421=0,"SEM CULTURA",INDEX(ROTACAO_RDM!$F$6:$F$71,$J421))</f>
        <v>ALGODAO</v>
      </c>
      <c r="L421" s="8" t="str">
        <f aca="false">IF($J421=0,"",INDEX(ROTACAO_RDM!$G$6:$G$71,$J421))</f>
        <v>IMA 5901 B2RF</v>
      </c>
      <c r="M421" s="17" t="n">
        <f aca="false">IF($J421=0,"",INDEX(ROTACAO_RDM!$I$6:$I$71,$J421))</f>
        <v>46367</v>
      </c>
      <c r="N421" s="16" t="n">
        <f aca="false">IF($J421=0,0,MAX(0,$C421+INT(DIAS_POR_SEMANA/2)-INDEX(ROTACAO_RDM!$I$6:$I$71,$J421)))</f>
        <v>34</v>
      </c>
      <c r="O421" s="19" t="n">
        <f aca="false">IF($J421=0,0,MIN(1,$N421/MAX(1,INDEX(ROTACAO_RDM!$K$6:$K$71,$J421))))</f>
        <v>0.174358974358974</v>
      </c>
      <c r="P421" s="16" t="n">
        <f aca="false">IF($J421=0,0,IFERROR(MATCH(INDEX(ROTACAO_RDM!$N$6:$N$71,$J421),PARAMETROS_CULTURAS!$B$6:$B$28,0),0))</f>
        <v>5</v>
      </c>
      <c r="Q421" s="8" t="str">
        <f aca="false">IF($P421=0,"-",IF($O421&lt;=INDEX(PARAMETROS_CULTURAS!$F$6:$F$28,$P421),"INICIAL",IF($O421&lt;=INDEX(PARAMETROS_CULTURAS!$F$6:$F$28,$P421)+INDEX(PARAMETROS_CULTURAS!$G$6:$G$28,$P421),"DESENVOLVIMENTO",IF($O421&lt;=INDEX(PARAMETROS_CULTURAS!$F$6:$F$28,$P421)+INDEX(PARAMETROS_CULTURAS!$G$6:$G$28,$P421)+INDEX(PARAMETROS_CULTURAS!$H$6:$H$28,$P421),"MEDIA","FINAL"))))</f>
        <v>DESENVOLVIMENTO</v>
      </c>
      <c r="R421" s="24" t="n">
        <f aca="false">IF($P421=0,0,IF($O421&lt;=INDEX(PARAMETROS_CULTURAS!$F$6:$F$28,$P421),INDEX(PARAMETROS_CULTURAS!$K$6:$K$28,$P421),IF($O421&lt;=INDEX(PARAMETROS_CULTURAS!$F$6:$F$28,$P421)+INDEX(PARAMETROS_CULTURAS!$G$6:$G$28,$P421),INDEX(PARAMETROS_CULTURAS!$K$6:$K$28,$P421)+(INDEX(PARAMETROS_CULTURAS!$L$6:$L$28,$P421)-INDEX(PARAMETROS_CULTURAS!$K$6:$K$28,$P421))*($O421-INDEX(PARAMETROS_CULTURAS!$F$6:$F$28,$P421))/MAX(INDEX(PARAMETROS_CULTURAS!$G$6:$G$28,$P421),0.0001),IF($O421&lt;=INDEX(PARAMETROS_CULTURAS!$F$6:$F$28,$P421)+INDEX(PARAMETROS_CULTURAS!$G$6:$G$28,$P421)+INDEX(PARAMETROS_CULTURAS!$H$6:$H$28,$P421),INDEX(PARAMETROS_CULTURAS!$L$6:$L$28,$P421),INDEX(PARAMETROS_CULTURAS!$L$6:$L$28,$P421)+(INDEX(PARAMETROS_CULTURAS!$M$6:$M$28,$P421)-INDEX(PARAMETROS_CULTURAS!$L$6:$L$28,$P421))*($O421-INDEX(PARAMETROS_CULTURAS!$F$6:$F$28,$P421)-INDEX(PARAMETROS_CULTURAS!$G$6:$G$28,$P421)-INDEX(PARAMETROS_CULTURAS!$H$6:$H$28,$P421))/MAX(INDEX(PARAMETROS_CULTURAS!$I$6:$I$28,$P421),0.0001)))))</f>
        <v>0.424950690335306</v>
      </c>
      <c r="S421" s="18" t="n">
        <f aca="false">IFERROR(INDEX(SEMANAS!$H$6:$H$71,MATCH($B421,SEMANAS!$B$6:$B$71,0)),0)</f>
        <v>33.6</v>
      </c>
      <c r="T421" s="18" t="n">
        <f aca="false">$R421*$S421</f>
        <v>14.2783431952663</v>
      </c>
      <c r="U421" s="18" t="n">
        <f aca="false">IFERROR(INDEX(SEMANAS!$I$6:$I$71,MATCH($B421,SEMANAS!$B$6:$B$71,0)),0)</f>
        <v>45.15</v>
      </c>
      <c r="V421" s="18" t="n">
        <f aca="false">IFERROR(INDEX(SEMANAS!$J$6:$J$71,MATCH($B421,SEMANAS!$B$6:$B$71,0)),0)</f>
        <v>36.12</v>
      </c>
      <c r="W421" s="18" t="n">
        <f aca="false">MAX(0,$T421-$V421)</f>
        <v>0</v>
      </c>
      <c r="X421" s="19" t="n">
        <f aca="false">IFERROR(INDEX(CADASTRO_PIVOS!$K$6:$K$41,MATCH($E421,CADASTRO_PIVOS!$B$6:$B$41,0)),EFICIENCIA_PADRAO)</f>
        <v>0.85</v>
      </c>
      <c r="Y421" s="18" t="n">
        <f aca="false">IF($X421&lt;=0,0,$W421/$X421)</f>
        <v>0</v>
      </c>
      <c r="Z421" s="16" t="n">
        <f aca="false">$Y421*$H421*MM_PARA_M3_HA</f>
        <v>0</v>
      </c>
      <c r="AA421" s="18" t="n">
        <f aca="false">IFERROR(INDEX(CADASTRO_PIVOS!$I$6:$I$41,MATCH($E421,CADASTRO_PIVOS!$B$6:$B$41,0)),0)</f>
        <v>714.785714285714</v>
      </c>
      <c r="AB421" s="18" t="n">
        <f aca="false">IF($Z421&lt;=0,0,$Z421/$AA421)</f>
        <v>0</v>
      </c>
      <c r="AC421" s="16" t="n">
        <f aca="false">IFERROR(INDEX(SEMANAS!$K$6:$K$71,MATCH($B421,SEMANAS!$B$6:$B$71,0)),0)</f>
        <v>147</v>
      </c>
      <c r="AD421" s="19" t="n">
        <f aca="false">IF($AC421&lt;=0,0,$AB421/$AC421)</f>
        <v>0</v>
      </c>
      <c r="AE421" s="8" t="str">
        <f aca="false">IF($K421="SEM CULTURA","SEM CULTURA",IF($AA421&lt;=0,"DADO PENDENTE",IF($AD421&gt;LIMITE_CRITICO,"INVIAVEL",IF($AD421&gt;LIMITE_ATENCAO,"CRITICO",IF($AD421&gt;LIMITE_CONFORTAVEL,"ATENCAO","OK")))))</f>
        <v>OK</v>
      </c>
      <c r="AF421" s="8" t="str">
        <f aca="false">$B421&amp;"|"&amp;TEXT($AD421,"0.000000")</f>
        <v>20|0.000000</v>
      </c>
      <c r="AG421" s="18" t="n">
        <f aca="false">IF($K421="SEM CULTURA",0,$T421*$H421)</f>
        <v>1428.8338035503</v>
      </c>
      <c r="AH421" s="18" t="n">
        <f aca="false">IF($K421="SEM CULTURA",0,$V421*$H421)</f>
        <v>3614.5284</v>
      </c>
      <c r="AI421" s="18" t="n">
        <f aca="false">IF($K421="SEM CULTURA",0,$W421*$H421)</f>
        <v>0</v>
      </c>
      <c r="AJ421" s="18" t="n">
        <f aca="false">IF($K421="SEM CULTURA",0,$S421*$H421)</f>
        <v>3362.352</v>
      </c>
      <c r="AK421" s="8" t="str">
        <f aca="false">$E421&amp;"|"&amp;TEXT($AD421,"0.000000")</f>
        <v>PV 102|0.000000</v>
      </c>
    </row>
    <row r="422" customFormat="false" ht="15" hidden="false" customHeight="false" outlineLevel="0" collapsed="false">
      <c r="B422" s="16" t="n">
        <v>21</v>
      </c>
      <c r="C422" s="17" t="n">
        <f aca="false">DATA_INICIO_SAFRA+($B422-1)*DIAS_POR_SEMANA</f>
        <v>46405</v>
      </c>
      <c r="D422" s="17" t="n">
        <f aca="false">$C422+DIAS_POR_SEMANA-1</f>
        <v>46411</v>
      </c>
      <c r="E422" s="15" t="s">
        <v>265</v>
      </c>
      <c r="F422" s="8" t="str">
        <f aca="false">IFERROR(INDEX(CADASTRO_PIVOS!$C$6:$C$41,MATCH($E422,CADASTRO_PIVOS!$B$6:$B$41,0)),"?")</f>
        <v>RM04</v>
      </c>
      <c r="G422" s="8" t="str">
        <f aca="false">IFERROR(INDEX(CADASTRO_PIVOS!$D$6:$D$41,MATCH($E422,CADASTRO_PIVOS!$B$6:$B$41,0)),"?")</f>
        <v>TR04</v>
      </c>
      <c r="H422" s="20" t="n">
        <f aca="false">IFERROR(INDEX(CADASTRO_PIVOS!$E$6:$E$41,MATCH($E422,CADASTRO_PIVOS!$B$6:$B$41,0)),0)</f>
        <v>100.07</v>
      </c>
      <c r="I422" s="16" t="n">
        <f aca="false">IFERROR(SUMIFS(ROTACAO_RDM!$B$6:$B$71,ROTACAO_RDM!$D$6:$D$71,$E422,ROTACAO_RDM!$I$6:$I$71,"&lt;="&amp;$C422+INT(DIAS_POR_SEMANA/2),ROTACAO_RDM!$J$6:$J$71,"&gt;="&amp;$C422+INT(DIAS_POR_SEMANA/2)),0)</f>
        <v>3</v>
      </c>
      <c r="J422" s="16" t="n">
        <f aca="false">IFERROR(MATCH($I422,ROTACAO_RDM!$B$6:$B$71,0),0)</f>
        <v>3</v>
      </c>
      <c r="K422" s="8" t="str">
        <f aca="false">IF($J422=0,"SEM CULTURA",INDEX(ROTACAO_RDM!$F$6:$F$71,$J422))</f>
        <v>ALGODAO</v>
      </c>
      <c r="L422" s="8" t="str">
        <f aca="false">IF($J422=0,"",INDEX(ROTACAO_RDM!$G$6:$G$71,$J422))</f>
        <v>IMA 5901 B2RF</v>
      </c>
      <c r="M422" s="17" t="n">
        <f aca="false">IF($J422=0,"",INDEX(ROTACAO_RDM!$I$6:$I$71,$J422))</f>
        <v>46367</v>
      </c>
      <c r="N422" s="16" t="n">
        <f aca="false">IF($J422=0,0,MAX(0,$C422+INT(DIAS_POR_SEMANA/2)-INDEX(ROTACAO_RDM!$I$6:$I$71,$J422)))</f>
        <v>41</v>
      </c>
      <c r="O422" s="19" t="n">
        <f aca="false">IF($J422=0,0,MIN(1,$N422/MAX(1,INDEX(ROTACAO_RDM!$K$6:$K$71,$J422))))</f>
        <v>0.21025641025641</v>
      </c>
      <c r="P422" s="16" t="n">
        <f aca="false">IF($J422=0,0,IFERROR(MATCH(INDEX(ROTACAO_RDM!$N$6:$N$71,$J422),PARAMETROS_CULTURAS!$B$6:$B$28,0),0))</f>
        <v>5</v>
      </c>
      <c r="Q422" s="8" t="str">
        <f aca="false">IF($P422=0,"-",IF($O422&lt;=INDEX(PARAMETROS_CULTURAS!$F$6:$F$28,$P422),"INICIAL",IF($O422&lt;=INDEX(PARAMETROS_CULTURAS!$F$6:$F$28,$P422)+INDEX(PARAMETROS_CULTURAS!$G$6:$G$28,$P422),"DESENVOLVIMENTO",IF($O422&lt;=INDEX(PARAMETROS_CULTURAS!$F$6:$F$28,$P422)+INDEX(PARAMETROS_CULTURAS!$G$6:$G$28,$P422)+INDEX(PARAMETROS_CULTURAS!$H$6:$H$28,$P422),"MEDIA","FINAL"))))</f>
        <v>DESENVOLVIMENTO</v>
      </c>
      <c r="R422" s="24" t="n">
        <f aca="false">IF($P422=0,0,IF($O422&lt;=INDEX(PARAMETROS_CULTURAS!$F$6:$F$28,$P422),INDEX(PARAMETROS_CULTURAS!$K$6:$K$28,$P422),IF($O422&lt;=INDEX(PARAMETROS_CULTURAS!$F$6:$F$28,$P422)+INDEX(PARAMETROS_CULTURAS!$G$6:$G$28,$P422),INDEX(PARAMETROS_CULTURAS!$K$6:$K$28,$P422)+(INDEX(PARAMETROS_CULTURAS!$L$6:$L$28,$P422)-INDEX(PARAMETROS_CULTURAS!$K$6:$K$28,$P422))*($O422-INDEX(PARAMETROS_CULTURAS!$F$6:$F$28,$P422))/MAX(INDEX(PARAMETROS_CULTURAS!$G$6:$G$28,$P422),0.0001),IF($O422&lt;=INDEX(PARAMETROS_CULTURAS!$F$6:$F$28,$P422)+INDEX(PARAMETROS_CULTURAS!$G$6:$G$28,$P422)+INDEX(PARAMETROS_CULTURAS!$H$6:$H$28,$P422),INDEX(PARAMETROS_CULTURAS!$L$6:$L$28,$P422),INDEX(PARAMETROS_CULTURAS!$L$6:$L$28,$P422)+(INDEX(PARAMETROS_CULTURAS!$M$6:$M$28,$P422)-INDEX(PARAMETROS_CULTURAS!$L$6:$L$28,$P422))*($O422-INDEX(PARAMETROS_CULTURAS!$F$6:$F$28,$P422)-INDEX(PARAMETROS_CULTURAS!$G$6:$G$28,$P422)-INDEX(PARAMETROS_CULTURAS!$H$6:$H$28,$P422))/MAX(INDEX(PARAMETROS_CULTURAS!$I$6:$I$28,$P422),0.0001)))))</f>
        <v>0.535404339250493</v>
      </c>
      <c r="S422" s="18" t="n">
        <f aca="false">IFERROR(INDEX(SEMANAS!$H$6:$H$71,MATCH($B422,SEMANAS!$B$6:$B$71,0)),0)</f>
        <v>33.6</v>
      </c>
      <c r="T422" s="18" t="n">
        <f aca="false">$R422*$S422</f>
        <v>17.9895857988166</v>
      </c>
      <c r="U422" s="18" t="n">
        <f aca="false">IFERROR(INDEX(SEMANAS!$I$6:$I$71,MATCH($B422,SEMANAS!$B$6:$B$71,0)),0)</f>
        <v>45.15</v>
      </c>
      <c r="V422" s="18" t="n">
        <f aca="false">IFERROR(INDEX(SEMANAS!$J$6:$J$71,MATCH($B422,SEMANAS!$B$6:$B$71,0)),0)</f>
        <v>36.12</v>
      </c>
      <c r="W422" s="18" t="n">
        <f aca="false">MAX(0,$T422-$V422)</f>
        <v>0</v>
      </c>
      <c r="X422" s="19" t="n">
        <f aca="false">IFERROR(INDEX(CADASTRO_PIVOS!$K$6:$K$41,MATCH($E422,CADASTRO_PIVOS!$B$6:$B$41,0)),EFICIENCIA_PADRAO)</f>
        <v>0.85</v>
      </c>
      <c r="Y422" s="18" t="n">
        <f aca="false">IF($X422&lt;=0,0,$W422/$X422)</f>
        <v>0</v>
      </c>
      <c r="Z422" s="16" t="n">
        <f aca="false">$Y422*$H422*MM_PARA_M3_HA</f>
        <v>0</v>
      </c>
      <c r="AA422" s="18" t="n">
        <f aca="false">IFERROR(INDEX(CADASTRO_PIVOS!$I$6:$I$41,MATCH($E422,CADASTRO_PIVOS!$B$6:$B$41,0)),0)</f>
        <v>714.785714285714</v>
      </c>
      <c r="AB422" s="18" t="n">
        <f aca="false">IF($Z422&lt;=0,0,$Z422/$AA422)</f>
        <v>0</v>
      </c>
      <c r="AC422" s="16" t="n">
        <f aca="false">IFERROR(INDEX(SEMANAS!$K$6:$K$71,MATCH($B422,SEMANAS!$B$6:$B$71,0)),0)</f>
        <v>147</v>
      </c>
      <c r="AD422" s="19" t="n">
        <f aca="false">IF($AC422&lt;=0,0,$AB422/$AC422)</f>
        <v>0</v>
      </c>
      <c r="AE422" s="8" t="str">
        <f aca="false">IF($K422="SEM CULTURA","SEM CULTURA",IF($AA422&lt;=0,"DADO PENDENTE",IF($AD422&gt;LIMITE_CRITICO,"INVIAVEL",IF($AD422&gt;LIMITE_ATENCAO,"CRITICO",IF($AD422&gt;LIMITE_CONFORTAVEL,"ATENCAO","OK")))))</f>
        <v>OK</v>
      </c>
      <c r="AF422" s="8" t="str">
        <f aca="false">$B422&amp;"|"&amp;TEXT($AD422,"0.000000")</f>
        <v>21|0.000000</v>
      </c>
      <c r="AG422" s="18" t="n">
        <f aca="false">IF($K422="SEM CULTURA",0,$T422*$H422)</f>
        <v>1800.21785088757</v>
      </c>
      <c r="AH422" s="18" t="n">
        <f aca="false">IF($K422="SEM CULTURA",0,$V422*$H422)</f>
        <v>3614.5284</v>
      </c>
      <c r="AI422" s="18" t="n">
        <f aca="false">IF($K422="SEM CULTURA",0,$W422*$H422)</f>
        <v>0</v>
      </c>
      <c r="AJ422" s="18" t="n">
        <f aca="false">IF($K422="SEM CULTURA",0,$S422*$H422)</f>
        <v>3362.352</v>
      </c>
      <c r="AK422" s="8" t="str">
        <f aca="false">$E422&amp;"|"&amp;TEXT($AD422,"0.000000")</f>
        <v>PV 102|0.000000</v>
      </c>
    </row>
    <row r="423" customFormat="false" ht="15" hidden="false" customHeight="false" outlineLevel="0" collapsed="false">
      <c r="B423" s="16" t="n">
        <v>22</v>
      </c>
      <c r="C423" s="17" t="n">
        <f aca="false">DATA_INICIO_SAFRA+($B423-1)*DIAS_POR_SEMANA</f>
        <v>46412</v>
      </c>
      <c r="D423" s="17" t="n">
        <f aca="false">$C423+DIAS_POR_SEMANA-1</f>
        <v>46418</v>
      </c>
      <c r="E423" s="15" t="s">
        <v>265</v>
      </c>
      <c r="F423" s="8" t="str">
        <f aca="false">IFERROR(INDEX(CADASTRO_PIVOS!$C$6:$C$41,MATCH($E423,CADASTRO_PIVOS!$B$6:$B$41,0)),"?")</f>
        <v>RM04</v>
      </c>
      <c r="G423" s="8" t="str">
        <f aca="false">IFERROR(INDEX(CADASTRO_PIVOS!$D$6:$D$41,MATCH($E423,CADASTRO_PIVOS!$B$6:$B$41,0)),"?")</f>
        <v>TR04</v>
      </c>
      <c r="H423" s="20" t="n">
        <f aca="false">IFERROR(INDEX(CADASTRO_PIVOS!$E$6:$E$41,MATCH($E423,CADASTRO_PIVOS!$B$6:$B$41,0)),0)</f>
        <v>100.07</v>
      </c>
      <c r="I423" s="16" t="n">
        <f aca="false">IFERROR(SUMIFS(ROTACAO_RDM!$B$6:$B$71,ROTACAO_RDM!$D$6:$D$71,$E423,ROTACAO_RDM!$I$6:$I$71,"&lt;="&amp;$C423+INT(DIAS_POR_SEMANA/2),ROTACAO_RDM!$J$6:$J$71,"&gt;="&amp;$C423+INT(DIAS_POR_SEMANA/2)),0)</f>
        <v>3</v>
      </c>
      <c r="J423" s="16" t="n">
        <f aca="false">IFERROR(MATCH($I423,ROTACAO_RDM!$B$6:$B$71,0),0)</f>
        <v>3</v>
      </c>
      <c r="K423" s="8" t="str">
        <f aca="false">IF($J423=0,"SEM CULTURA",INDEX(ROTACAO_RDM!$F$6:$F$71,$J423))</f>
        <v>ALGODAO</v>
      </c>
      <c r="L423" s="8" t="str">
        <f aca="false">IF($J423=0,"",INDEX(ROTACAO_RDM!$G$6:$G$71,$J423))</f>
        <v>IMA 5901 B2RF</v>
      </c>
      <c r="M423" s="17" t="n">
        <f aca="false">IF($J423=0,"",INDEX(ROTACAO_RDM!$I$6:$I$71,$J423))</f>
        <v>46367</v>
      </c>
      <c r="N423" s="16" t="n">
        <f aca="false">IF($J423=0,0,MAX(0,$C423+INT(DIAS_POR_SEMANA/2)-INDEX(ROTACAO_RDM!$I$6:$I$71,$J423)))</f>
        <v>48</v>
      </c>
      <c r="O423" s="19" t="n">
        <f aca="false">IF($J423=0,0,MIN(1,$N423/MAX(1,INDEX(ROTACAO_RDM!$K$6:$K$71,$J423))))</f>
        <v>0.246153846153846</v>
      </c>
      <c r="P423" s="16" t="n">
        <f aca="false">IF($J423=0,0,IFERROR(MATCH(INDEX(ROTACAO_RDM!$N$6:$N$71,$J423),PARAMETROS_CULTURAS!$B$6:$B$28,0),0))</f>
        <v>5</v>
      </c>
      <c r="Q423" s="8" t="str">
        <f aca="false">IF($P423=0,"-",IF($O423&lt;=INDEX(PARAMETROS_CULTURAS!$F$6:$F$28,$P423),"INICIAL",IF($O423&lt;=INDEX(PARAMETROS_CULTURAS!$F$6:$F$28,$P423)+INDEX(PARAMETROS_CULTURAS!$G$6:$G$28,$P423),"DESENVOLVIMENTO",IF($O423&lt;=INDEX(PARAMETROS_CULTURAS!$F$6:$F$28,$P423)+INDEX(PARAMETROS_CULTURAS!$G$6:$G$28,$P423)+INDEX(PARAMETROS_CULTURAS!$H$6:$H$28,$P423),"MEDIA","FINAL"))))</f>
        <v>DESENVOLVIMENTO</v>
      </c>
      <c r="R423" s="24" t="n">
        <f aca="false">IF($P423=0,0,IF($O423&lt;=INDEX(PARAMETROS_CULTURAS!$F$6:$F$28,$P423),INDEX(PARAMETROS_CULTURAS!$K$6:$K$28,$P423),IF($O423&lt;=INDEX(PARAMETROS_CULTURAS!$F$6:$F$28,$P423)+INDEX(PARAMETROS_CULTURAS!$G$6:$G$28,$P423),INDEX(PARAMETROS_CULTURAS!$K$6:$K$28,$P423)+(INDEX(PARAMETROS_CULTURAS!$L$6:$L$28,$P423)-INDEX(PARAMETROS_CULTURAS!$K$6:$K$28,$P423))*($O423-INDEX(PARAMETROS_CULTURAS!$F$6:$F$28,$P423))/MAX(INDEX(PARAMETROS_CULTURAS!$G$6:$G$28,$P423),0.0001),IF($O423&lt;=INDEX(PARAMETROS_CULTURAS!$F$6:$F$28,$P423)+INDEX(PARAMETROS_CULTURAS!$G$6:$G$28,$P423)+INDEX(PARAMETROS_CULTURAS!$H$6:$H$28,$P423),INDEX(PARAMETROS_CULTURAS!$L$6:$L$28,$P423),INDEX(PARAMETROS_CULTURAS!$L$6:$L$28,$P423)+(INDEX(PARAMETROS_CULTURAS!$M$6:$M$28,$P423)-INDEX(PARAMETROS_CULTURAS!$L$6:$L$28,$P423))*($O423-INDEX(PARAMETROS_CULTURAS!$F$6:$F$28,$P423)-INDEX(PARAMETROS_CULTURAS!$G$6:$G$28,$P423)-INDEX(PARAMETROS_CULTURAS!$H$6:$H$28,$P423))/MAX(INDEX(PARAMETROS_CULTURAS!$I$6:$I$28,$P423),0.0001)))))</f>
        <v>0.645857988165681</v>
      </c>
      <c r="S423" s="18" t="n">
        <f aca="false">IFERROR(INDEX(SEMANAS!$H$6:$H$71,MATCH($B423,SEMANAS!$B$6:$B$71,0)),0)</f>
        <v>33.6</v>
      </c>
      <c r="T423" s="18" t="n">
        <f aca="false">$R423*$S423</f>
        <v>21.7008284023669</v>
      </c>
      <c r="U423" s="18" t="n">
        <f aca="false">IFERROR(INDEX(SEMANAS!$I$6:$I$71,MATCH($B423,SEMANAS!$B$6:$B$71,0)),0)</f>
        <v>45.15</v>
      </c>
      <c r="V423" s="18" t="n">
        <f aca="false">IFERROR(INDEX(SEMANAS!$J$6:$J$71,MATCH($B423,SEMANAS!$B$6:$B$71,0)),0)</f>
        <v>36.12</v>
      </c>
      <c r="W423" s="18" t="n">
        <f aca="false">MAX(0,$T423-$V423)</f>
        <v>0</v>
      </c>
      <c r="X423" s="19" t="n">
        <f aca="false">IFERROR(INDEX(CADASTRO_PIVOS!$K$6:$K$41,MATCH($E423,CADASTRO_PIVOS!$B$6:$B$41,0)),EFICIENCIA_PADRAO)</f>
        <v>0.85</v>
      </c>
      <c r="Y423" s="18" t="n">
        <f aca="false">IF($X423&lt;=0,0,$W423/$X423)</f>
        <v>0</v>
      </c>
      <c r="Z423" s="16" t="n">
        <f aca="false">$Y423*$H423*MM_PARA_M3_HA</f>
        <v>0</v>
      </c>
      <c r="AA423" s="18" t="n">
        <f aca="false">IFERROR(INDEX(CADASTRO_PIVOS!$I$6:$I$41,MATCH($E423,CADASTRO_PIVOS!$B$6:$B$41,0)),0)</f>
        <v>714.785714285714</v>
      </c>
      <c r="AB423" s="18" t="n">
        <f aca="false">IF($Z423&lt;=0,0,$Z423/$AA423)</f>
        <v>0</v>
      </c>
      <c r="AC423" s="16" t="n">
        <f aca="false">IFERROR(INDEX(SEMANAS!$K$6:$K$71,MATCH($B423,SEMANAS!$B$6:$B$71,0)),0)</f>
        <v>147</v>
      </c>
      <c r="AD423" s="19" t="n">
        <f aca="false">IF($AC423&lt;=0,0,$AB423/$AC423)</f>
        <v>0</v>
      </c>
      <c r="AE423" s="8" t="str">
        <f aca="false">IF($K423="SEM CULTURA","SEM CULTURA",IF($AA423&lt;=0,"DADO PENDENTE",IF($AD423&gt;LIMITE_CRITICO,"INVIAVEL",IF($AD423&gt;LIMITE_ATENCAO,"CRITICO",IF($AD423&gt;LIMITE_CONFORTAVEL,"ATENCAO","OK")))))</f>
        <v>OK</v>
      </c>
      <c r="AF423" s="8" t="str">
        <f aca="false">$B423&amp;"|"&amp;TEXT($AD423,"0.000000")</f>
        <v>22|0.000000</v>
      </c>
      <c r="AG423" s="18" t="n">
        <f aca="false">IF($K423="SEM CULTURA",0,$T423*$H423)</f>
        <v>2171.60189822485</v>
      </c>
      <c r="AH423" s="18" t="n">
        <f aca="false">IF($K423="SEM CULTURA",0,$V423*$H423)</f>
        <v>3614.5284</v>
      </c>
      <c r="AI423" s="18" t="n">
        <f aca="false">IF($K423="SEM CULTURA",0,$W423*$H423)</f>
        <v>0</v>
      </c>
      <c r="AJ423" s="18" t="n">
        <f aca="false">IF($K423="SEM CULTURA",0,$S423*$H423)</f>
        <v>3362.352</v>
      </c>
      <c r="AK423" s="8" t="str">
        <f aca="false">$E423&amp;"|"&amp;TEXT($AD423,"0.000000")</f>
        <v>PV 102|0.000000</v>
      </c>
    </row>
    <row r="424" customFormat="false" ht="15" hidden="false" customHeight="false" outlineLevel="0" collapsed="false">
      <c r="B424" s="16" t="n">
        <v>23</v>
      </c>
      <c r="C424" s="17" t="n">
        <f aca="false">DATA_INICIO_SAFRA+($B424-1)*DIAS_POR_SEMANA</f>
        <v>46419</v>
      </c>
      <c r="D424" s="17" t="n">
        <f aca="false">$C424+DIAS_POR_SEMANA-1</f>
        <v>46425</v>
      </c>
      <c r="E424" s="15" t="s">
        <v>265</v>
      </c>
      <c r="F424" s="8" t="str">
        <f aca="false">IFERROR(INDEX(CADASTRO_PIVOS!$C$6:$C$41,MATCH($E424,CADASTRO_PIVOS!$B$6:$B$41,0)),"?")</f>
        <v>RM04</v>
      </c>
      <c r="G424" s="8" t="str">
        <f aca="false">IFERROR(INDEX(CADASTRO_PIVOS!$D$6:$D$41,MATCH($E424,CADASTRO_PIVOS!$B$6:$B$41,0)),"?")</f>
        <v>TR04</v>
      </c>
      <c r="H424" s="20" t="n">
        <f aca="false">IFERROR(INDEX(CADASTRO_PIVOS!$E$6:$E$41,MATCH($E424,CADASTRO_PIVOS!$B$6:$B$41,0)),0)</f>
        <v>100.07</v>
      </c>
      <c r="I424" s="16" t="n">
        <f aca="false">IFERROR(SUMIFS(ROTACAO_RDM!$B$6:$B$71,ROTACAO_RDM!$D$6:$D$71,$E424,ROTACAO_RDM!$I$6:$I$71,"&lt;="&amp;$C424+INT(DIAS_POR_SEMANA/2),ROTACAO_RDM!$J$6:$J$71,"&gt;="&amp;$C424+INT(DIAS_POR_SEMANA/2)),0)</f>
        <v>3</v>
      </c>
      <c r="J424" s="16" t="n">
        <f aca="false">IFERROR(MATCH($I424,ROTACAO_RDM!$B$6:$B$71,0),0)</f>
        <v>3</v>
      </c>
      <c r="K424" s="8" t="str">
        <f aca="false">IF($J424=0,"SEM CULTURA",INDEX(ROTACAO_RDM!$F$6:$F$71,$J424))</f>
        <v>ALGODAO</v>
      </c>
      <c r="L424" s="8" t="str">
        <f aca="false">IF($J424=0,"",INDEX(ROTACAO_RDM!$G$6:$G$71,$J424))</f>
        <v>IMA 5901 B2RF</v>
      </c>
      <c r="M424" s="17" t="n">
        <f aca="false">IF($J424=0,"",INDEX(ROTACAO_RDM!$I$6:$I$71,$J424))</f>
        <v>46367</v>
      </c>
      <c r="N424" s="16" t="n">
        <f aca="false">IF($J424=0,0,MAX(0,$C424+INT(DIAS_POR_SEMANA/2)-INDEX(ROTACAO_RDM!$I$6:$I$71,$J424)))</f>
        <v>55</v>
      </c>
      <c r="O424" s="19" t="n">
        <f aca="false">IF($J424=0,0,MIN(1,$N424/MAX(1,INDEX(ROTACAO_RDM!$K$6:$K$71,$J424))))</f>
        <v>0.282051282051282</v>
      </c>
      <c r="P424" s="16" t="n">
        <f aca="false">IF($J424=0,0,IFERROR(MATCH(INDEX(ROTACAO_RDM!$N$6:$N$71,$J424),PARAMETROS_CULTURAS!$B$6:$B$28,0),0))</f>
        <v>5</v>
      </c>
      <c r="Q424" s="8" t="str">
        <f aca="false">IF($P424=0,"-",IF($O424&lt;=INDEX(PARAMETROS_CULTURAS!$F$6:$F$28,$P424),"INICIAL",IF($O424&lt;=INDEX(PARAMETROS_CULTURAS!$F$6:$F$28,$P424)+INDEX(PARAMETROS_CULTURAS!$G$6:$G$28,$P424),"DESENVOLVIMENTO",IF($O424&lt;=INDEX(PARAMETROS_CULTURAS!$F$6:$F$28,$P424)+INDEX(PARAMETROS_CULTURAS!$G$6:$G$28,$P424)+INDEX(PARAMETROS_CULTURAS!$H$6:$H$28,$P424),"MEDIA","FINAL"))))</f>
        <v>DESENVOLVIMENTO</v>
      </c>
      <c r="R424" s="24" t="n">
        <f aca="false">IF($P424=0,0,IF($O424&lt;=INDEX(PARAMETROS_CULTURAS!$F$6:$F$28,$P424),INDEX(PARAMETROS_CULTURAS!$K$6:$K$28,$P424),IF($O424&lt;=INDEX(PARAMETROS_CULTURAS!$F$6:$F$28,$P424)+INDEX(PARAMETROS_CULTURAS!$G$6:$G$28,$P424),INDEX(PARAMETROS_CULTURAS!$K$6:$K$28,$P424)+(INDEX(PARAMETROS_CULTURAS!$L$6:$L$28,$P424)-INDEX(PARAMETROS_CULTURAS!$K$6:$K$28,$P424))*($O424-INDEX(PARAMETROS_CULTURAS!$F$6:$F$28,$P424))/MAX(INDEX(PARAMETROS_CULTURAS!$G$6:$G$28,$P424),0.0001),IF($O424&lt;=INDEX(PARAMETROS_CULTURAS!$F$6:$F$28,$P424)+INDEX(PARAMETROS_CULTURAS!$G$6:$G$28,$P424)+INDEX(PARAMETROS_CULTURAS!$H$6:$H$28,$P424),INDEX(PARAMETROS_CULTURAS!$L$6:$L$28,$P424),INDEX(PARAMETROS_CULTURAS!$L$6:$L$28,$P424)+(INDEX(PARAMETROS_CULTURAS!$M$6:$M$28,$P424)-INDEX(PARAMETROS_CULTURAS!$L$6:$L$28,$P424))*($O424-INDEX(PARAMETROS_CULTURAS!$F$6:$F$28,$P424)-INDEX(PARAMETROS_CULTURAS!$G$6:$G$28,$P424)-INDEX(PARAMETROS_CULTURAS!$H$6:$H$28,$P424))/MAX(INDEX(PARAMETROS_CULTURAS!$I$6:$I$28,$P424),0.0001)))))</f>
        <v>0.756311637080868</v>
      </c>
      <c r="S424" s="18" t="n">
        <f aca="false">IFERROR(INDEX(SEMANAS!$H$6:$H$71,MATCH($B424,SEMANAS!$B$6:$B$71,0)),0)</f>
        <v>32.9</v>
      </c>
      <c r="T424" s="18" t="n">
        <f aca="false">$R424*$S424</f>
        <v>24.8826528599606</v>
      </c>
      <c r="U424" s="18" t="n">
        <f aca="false">IFERROR(INDEX(SEMANAS!$I$6:$I$71,MATCH($B424,SEMANAS!$B$6:$B$71,0)),0)</f>
        <v>39.97</v>
      </c>
      <c r="V424" s="18" t="n">
        <f aca="false">IFERROR(INDEX(SEMANAS!$J$6:$J$71,MATCH($B424,SEMANAS!$B$6:$B$71,0)),0)</f>
        <v>31.976</v>
      </c>
      <c r="W424" s="18" t="n">
        <f aca="false">MAX(0,$T424-$V424)</f>
        <v>0</v>
      </c>
      <c r="X424" s="19" t="n">
        <f aca="false">IFERROR(INDEX(CADASTRO_PIVOS!$K$6:$K$41,MATCH($E424,CADASTRO_PIVOS!$B$6:$B$41,0)),EFICIENCIA_PADRAO)</f>
        <v>0.85</v>
      </c>
      <c r="Y424" s="18" t="n">
        <f aca="false">IF($X424&lt;=0,0,$W424/$X424)</f>
        <v>0</v>
      </c>
      <c r="Z424" s="16" t="n">
        <f aca="false">$Y424*$H424*MM_PARA_M3_HA</f>
        <v>0</v>
      </c>
      <c r="AA424" s="18" t="n">
        <f aca="false">IFERROR(INDEX(CADASTRO_PIVOS!$I$6:$I$41,MATCH($E424,CADASTRO_PIVOS!$B$6:$B$41,0)),0)</f>
        <v>714.785714285714</v>
      </c>
      <c r="AB424" s="18" t="n">
        <f aca="false">IF($Z424&lt;=0,0,$Z424/$AA424)</f>
        <v>0</v>
      </c>
      <c r="AC424" s="16" t="n">
        <f aca="false">IFERROR(INDEX(SEMANAS!$K$6:$K$71,MATCH($B424,SEMANAS!$B$6:$B$71,0)),0)</f>
        <v>147</v>
      </c>
      <c r="AD424" s="19" t="n">
        <f aca="false">IF($AC424&lt;=0,0,$AB424/$AC424)</f>
        <v>0</v>
      </c>
      <c r="AE424" s="8" t="str">
        <f aca="false">IF($K424="SEM CULTURA","SEM CULTURA",IF($AA424&lt;=0,"DADO PENDENTE",IF($AD424&gt;LIMITE_CRITICO,"INVIAVEL",IF($AD424&gt;LIMITE_ATENCAO,"CRITICO",IF($AD424&gt;LIMITE_CONFORTAVEL,"ATENCAO","OK")))))</f>
        <v>OK</v>
      </c>
      <c r="AF424" s="8" t="str">
        <f aca="false">$B424&amp;"|"&amp;TEXT($AD424,"0.000000")</f>
        <v>23|0.000000</v>
      </c>
      <c r="AG424" s="18" t="n">
        <f aca="false">IF($K424="SEM CULTURA",0,$T424*$H424)</f>
        <v>2490.00707169625</v>
      </c>
      <c r="AH424" s="18" t="n">
        <f aca="false">IF($K424="SEM CULTURA",0,$V424*$H424)</f>
        <v>3199.83832</v>
      </c>
      <c r="AI424" s="18" t="n">
        <f aca="false">IF($K424="SEM CULTURA",0,$W424*$H424)</f>
        <v>0</v>
      </c>
      <c r="AJ424" s="18" t="n">
        <f aca="false">IF($K424="SEM CULTURA",0,$S424*$H424)</f>
        <v>3292.303</v>
      </c>
      <c r="AK424" s="8" t="str">
        <f aca="false">$E424&amp;"|"&amp;TEXT($AD424,"0.000000")</f>
        <v>PV 102|0.000000</v>
      </c>
    </row>
    <row r="425" customFormat="false" ht="15" hidden="false" customHeight="false" outlineLevel="0" collapsed="false">
      <c r="B425" s="16" t="n">
        <v>24</v>
      </c>
      <c r="C425" s="17" t="n">
        <f aca="false">DATA_INICIO_SAFRA+($B425-1)*DIAS_POR_SEMANA</f>
        <v>46426</v>
      </c>
      <c r="D425" s="17" t="n">
        <f aca="false">$C425+DIAS_POR_SEMANA-1</f>
        <v>46432</v>
      </c>
      <c r="E425" s="15" t="s">
        <v>265</v>
      </c>
      <c r="F425" s="8" t="str">
        <f aca="false">IFERROR(INDEX(CADASTRO_PIVOS!$C$6:$C$41,MATCH($E425,CADASTRO_PIVOS!$B$6:$B$41,0)),"?")</f>
        <v>RM04</v>
      </c>
      <c r="G425" s="8" t="str">
        <f aca="false">IFERROR(INDEX(CADASTRO_PIVOS!$D$6:$D$41,MATCH($E425,CADASTRO_PIVOS!$B$6:$B$41,0)),"?")</f>
        <v>TR04</v>
      </c>
      <c r="H425" s="20" t="n">
        <f aca="false">IFERROR(INDEX(CADASTRO_PIVOS!$E$6:$E$41,MATCH($E425,CADASTRO_PIVOS!$B$6:$B$41,0)),0)</f>
        <v>100.07</v>
      </c>
      <c r="I425" s="16" t="n">
        <f aca="false">IFERROR(SUMIFS(ROTACAO_RDM!$B$6:$B$71,ROTACAO_RDM!$D$6:$D$71,$E425,ROTACAO_RDM!$I$6:$I$71,"&lt;="&amp;$C425+INT(DIAS_POR_SEMANA/2),ROTACAO_RDM!$J$6:$J$71,"&gt;="&amp;$C425+INT(DIAS_POR_SEMANA/2)),0)</f>
        <v>3</v>
      </c>
      <c r="J425" s="16" t="n">
        <f aca="false">IFERROR(MATCH($I425,ROTACAO_RDM!$B$6:$B$71,0),0)</f>
        <v>3</v>
      </c>
      <c r="K425" s="8" t="str">
        <f aca="false">IF($J425=0,"SEM CULTURA",INDEX(ROTACAO_RDM!$F$6:$F$71,$J425))</f>
        <v>ALGODAO</v>
      </c>
      <c r="L425" s="8" t="str">
        <f aca="false">IF($J425=0,"",INDEX(ROTACAO_RDM!$G$6:$G$71,$J425))</f>
        <v>IMA 5901 B2RF</v>
      </c>
      <c r="M425" s="17" t="n">
        <f aca="false">IF($J425=0,"",INDEX(ROTACAO_RDM!$I$6:$I$71,$J425))</f>
        <v>46367</v>
      </c>
      <c r="N425" s="16" t="n">
        <f aca="false">IF($J425=0,0,MAX(0,$C425+INT(DIAS_POR_SEMANA/2)-INDEX(ROTACAO_RDM!$I$6:$I$71,$J425)))</f>
        <v>62</v>
      </c>
      <c r="O425" s="19" t="n">
        <f aca="false">IF($J425=0,0,MIN(1,$N425/MAX(1,INDEX(ROTACAO_RDM!$K$6:$K$71,$J425))))</f>
        <v>0.317948717948718</v>
      </c>
      <c r="P425" s="16" t="n">
        <f aca="false">IF($J425=0,0,IFERROR(MATCH(INDEX(ROTACAO_RDM!$N$6:$N$71,$J425),PARAMETROS_CULTURAS!$B$6:$B$28,0),0))</f>
        <v>5</v>
      </c>
      <c r="Q425" s="8" t="str">
        <f aca="false">IF($P425=0,"-",IF($O425&lt;=INDEX(PARAMETROS_CULTURAS!$F$6:$F$28,$P425),"INICIAL",IF($O425&lt;=INDEX(PARAMETROS_CULTURAS!$F$6:$F$28,$P425)+INDEX(PARAMETROS_CULTURAS!$G$6:$G$28,$P425),"DESENVOLVIMENTO",IF($O425&lt;=INDEX(PARAMETROS_CULTURAS!$F$6:$F$28,$P425)+INDEX(PARAMETROS_CULTURAS!$G$6:$G$28,$P425)+INDEX(PARAMETROS_CULTURAS!$H$6:$H$28,$P425),"MEDIA","FINAL"))))</f>
        <v>DESENVOLVIMENTO</v>
      </c>
      <c r="R425" s="24" t="n">
        <f aca="false">IF($P425=0,0,IF($O425&lt;=INDEX(PARAMETROS_CULTURAS!$F$6:$F$28,$P425),INDEX(PARAMETROS_CULTURAS!$K$6:$K$28,$P425),IF($O425&lt;=INDEX(PARAMETROS_CULTURAS!$F$6:$F$28,$P425)+INDEX(PARAMETROS_CULTURAS!$G$6:$G$28,$P425),INDEX(PARAMETROS_CULTURAS!$K$6:$K$28,$P425)+(INDEX(PARAMETROS_CULTURAS!$L$6:$L$28,$P425)-INDEX(PARAMETROS_CULTURAS!$K$6:$K$28,$P425))*($O425-INDEX(PARAMETROS_CULTURAS!$F$6:$F$28,$P425))/MAX(INDEX(PARAMETROS_CULTURAS!$G$6:$G$28,$P425),0.0001),IF($O425&lt;=INDEX(PARAMETROS_CULTURAS!$F$6:$F$28,$P425)+INDEX(PARAMETROS_CULTURAS!$G$6:$G$28,$P425)+INDEX(PARAMETROS_CULTURAS!$H$6:$H$28,$P425),INDEX(PARAMETROS_CULTURAS!$L$6:$L$28,$P425),INDEX(PARAMETROS_CULTURAS!$L$6:$L$28,$P425)+(INDEX(PARAMETROS_CULTURAS!$M$6:$M$28,$P425)-INDEX(PARAMETROS_CULTURAS!$L$6:$L$28,$P425))*($O425-INDEX(PARAMETROS_CULTURAS!$F$6:$F$28,$P425)-INDEX(PARAMETROS_CULTURAS!$G$6:$G$28,$P425)-INDEX(PARAMETROS_CULTURAS!$H$6:$H$28,$P425))/MAX(INDEX(PARAMETROS_CULTURAS!$I$6:$I$28,$P425),0.0001)))))</f>
        <v>0.866765285996055</v>
      </c>
      <c r="S425" s="18" t="n">
        <f aca="false">IFERROR(INDEX(SEMANAS!$H$6:$H$71,MATCH($B425,SEMANAS!$B$6:$B$71,0)),0)</f>
        <v>32.9</v>
      </c>
      <c r="T425" s="18" t="n">
        <f aca="false">$R425*$S425</f>
        <v>28.5165779092702</v>
      </c>
      <c r="U425" s="18" t="n">
        <f aca="false">IFERROR(INDEX(SEMANAS!$I$6:$I$71,MATCH($B425,SEMANAS!$B$6:$B$71,0)),0)</f>
        <v>39.97</v>
      </c>
      <c r="V425" s="18" t="n">
        <f aca="false">IFERROR(INDEX(SEMANAS!$J$6:$J$71,MATCH($B425,SEMANAS!$B$6:$B$71,0)),0)</f>
        <v>31.976</v>
      </c>
      <c r="W425" s="18" t="n">
        <f aca="false">MAX(0,$T425-$V425)</f>
        <v>0</v>
      </c>
      <c r="X425" s="19" t="n">
        <f aca="false">IFERROR(INDEX(CADASTRO_PIVOS!$K$6:$K$41,MATCH($E425,CADASTRO_PIVOS!$B$6:$B$41,0)),EFICIENCIA_PADRAO)</f>
        <v>0.85</v>
      </c>
      <c r="Y425" s="18" t="n">
        <f aca="false">IF($X425&lt;=0,0,$W425/$X425)</f>
        <v>0</v>
      </c>
      <c r="Z425" s="16" t="n">
        <f aca="false">$Y425*$H425*MM_PARA_M3_HA</f>
        <v>0</v>
      </c>
      <c r="AA425" s="18" t="n">
        <f aca="false">IFERROR(INDEX(CADASTRO_PIVOS!$I$6:$I$41,MATCH($E425,CADASTRO_PIVOS!$B$6:$B$41,0)),0)</f>
        <v>714.785714285714</v>
      </c>
      <c r="AB425" s="18" t="n">
        <f aca="false">IF($Z425&lt;=0,0,$Z425/$AA425)</f>
        <v>0</v>
      </c>
      <c r="AC425" s="16" t="n">
        <f aca="false">IFERROR(INDEX(SEMANAS!$K$6:$K$71,MATCH($B425,SEMANAS!$B$6:$B$71,0)),0)</f>
        <v>147</v>
      </c>
      <c r="AD425" s="19" t="n">
        <f aca="false">IF($AC425&lt;=0,0,$AB425/$AC425)</f>
        <v>0</v>
      </c>
      <c r="AE425" s="8" t="str">
        <f aca="false">IF($K425="SEM CULTURA","SEM CULTURA",IF($AA425&lt;=0,"DADO PENDENTE",IF($AD425&gt;LIMITE_CRITICO,"INVIAVEL",IF($AD425&gt;LIMITE_ATENCAO,"CRITICO",IF($AD425&gt;LIMITE_CONFORTAVEL,"ATENCAO","OK")))))</f>
        <v>OK</v>
      </c>
      <c r="AF425" s="8" t="str">
        <f aca="false">$B425&amp;"|"&amp;TEXT($AD425,"0.000000")</f>
        <v>24|0.000000</v>
      </c>
      <c r="AG425" s="18" t="n">
        <f aca="false">IF($K425="SEM CULTURA",0,$T425*$H425)</f>
        <v>2853.65395138067</v>
      </c>
      <c r="AH425" s="18" t="n">
        <f aca="false">IF($K425="SEM CULTURA",0,$V425*$H425)</f>
        <v>3199.83832</v>
      </c>
      <c r="AI425" s="18" t="n">
        <f aca="false">IF($K425="SEM CULTURA",0,$W425*$H425)</f>
        <v>0</v>
      </c>
      <c r="AJ425" s="18" t="n">
        <f aca="false">IF($K425="SEM CULTURA",0,$S425*$H425)</f>
        <v>3292.303</v>
      </c>
      <c r="AK425" s="8" t="str">
        <f aca="false">$E425&amp;"|"&amp;TEXT($AD425,"0.000000")</f>
        <v>PV 102|0.000000</v>
      </c>
    </row>
    <row r="426" customFormat="false" ht="15" hidden="false" customHeight="false" outlineLevel="0" collapsed="false">
      <c r="B426" s="16" t="n">
        <v>25</v>
      </c>
      <c r="C426" s="17" t="n">
        <f aca="false">DATA_INICIO_SAFRA+($B426-1)*DIAS_POR_SEMANA</f>
        <v>46433</v>
      </c>
      <c r="D426" s="17" t="n">
        <f aca="false">$C426+DIAS_POR_SEMANA-1</f>
        <v>46439</v>
      </c>
      <c r="E426" s="15" t="s">
        <v>265</v>
      </c>
      <c r="F426" s="8" t="str">
        <f aca="false">IFERROR(INDEX(CADASTRO_PIVOS!$C$6:$C$41,MATCH($E426,CADASTRO_PIVOS!$B$6:$B$41,0)),"?")</f>
        <v>RM04</v>
      </c>
      <c r="G426" s="8" t="str">
        <f aca="false">IFERROR(INDEX(CADASTRO_PIVOS!$D$6:$D$41,MATCH($E426,CADASTRO_PIVOS!$B$6:$B$41,0)),"?")</f>
        <v>TR04</v>
      </c>
      <c r="H426" s="20" t="n">
        <f aca="false">IFERROR(INDEX(CADASTRO_PIVOS!$E$6:$E$41,MATCH($E426,CADASTRO_PIVOS!$B$6:$B$41,0)),0)</f>
        <v>100.07</v>
      </c>
      <c r="I426" s="16" t="n">
        <f aca="false">IFERROR(SUMIFS(ROTACAO_RDM!$B$6:$B$71,ROTACAO_RDM!$D$6:$D$71,$E426,ROTACAO_RDM!$I$6:$I$71,"&lt;="&amp;$C426+INT(DIAS_POR_SEMANA/2),ROTACAO_RDM!$J$6:$J$71,"&gt;="&amp;$C426+INT(DIAS_POR_SEMANA/2)),0)</f>
        <v>3</v>
      </c>
      <c r="J426" s="16" t="n">
        <f aca="false">IFERROR(MATCH($I426,ROTACAO_RDM!$B$6:$B$71,0),0)</f>
        <v>3</v>
      </c>
      <c r="K426" s="8" t="str">
        <f aca="false">IF($J426=0,"SEM CULTURA",INDEX(ROTACAO_RDM!$F$6:$F$71,$J426))</f>
        <v>ALGODAO</v>
      </c>
      <c r="L426" s="8" t="str">
        <f aca="false">IF($J426=0,"",INDEX(ROTACAO_RDM!$G$6:$G$71,$J426))</f>
        <v>IMA 5901 B2RF</v>
      </c>
      <c r="M426" s="17" t="n">
        <f aca="false">IF($J426=0,"",INDEX(ROTACAO_RDM!$I$6:$I$71,$J426))</f>
        <v>46367</v>
      </c>
      <c r="N426" s="16" t="n">
        <f aca="false">IF($J426=0,0,MAX(0,$C426+INT(DIAS_POR_SEMANA/2)-INDEX(ROTACAO_RDM!$I$6:$I$71,$J426)))</f>
        <v>69</v>
      </c>
      <c r="O426" s="19" t="n">
        <f aca="false">IF($J426=0,0,MIN(1,$N426/MAX(1,INDEX(ROTACAO_RDM!$K$6:$K$71,$J426))))</f>
        <v>0.353846153846154</v>
      </c>
      <c r="P426" s="16" t="n">
        <f aca="false">IF($J426=0,0,IFERROR(MATCH(INDEX(ROTACAO_RDM!$N$6:$N$71,$J426),PARAMETROS_CULTURAS!$B$6:$B$28,0),0))</f>
        <v>5</v>
      </c>
      <c r="Q426" s="8" t="str">
        <f aca="false">IF($P426=0,"-",IF($O426&lt;=INDEX(PARAMETROS_CULTURAS!$F$6:$F$28,$P426),"INICIAL",IF($O426&lt;=INDEX(PARAMETROS_CULTURAS!$F$6:$F$28,$P426)+INDEX(PARAMETROS_CULTURAS!$G$6:$G$28,$P426),"DESENVOLVIMENTO",IF($O426&lt;=INDEX(PARAMETROS_CULTURAS!$F$6:$F$28,$P426)+INDEX(PARAMETROS_CULTURAS!$G$6:$G$28,$P426)+INDEX(PARAMETROS_CULTURAS!$H$6:$H$28,$P426),"MEDIA","FINAL"))))</f>
        <v>DESENVOLVIMENTO</v>
      </c>
      <c r="R426" s="24" t="n">
        <f aca="false">IF($P426=0,0,IF($O426&lt;=INDEX(PARAMETROS_CULTURAS!$F$6:$F$28,$P426),INDEX(PARAMETROS_CULTURAS!$K$6:$K$28,$P426),IF($O426&lt;=INDEX(PARAMETROS_CULTURAS!$F$6:$F$28,$P426)+INDEX(PARAMETROS_CULTURAS!$G$6:$G$28,$P426),INDEX(PARAMETROS_CULTURAS!$K$6:$K$28,$P426)+(INDEX(PARAMETROS_CULTURAS!$L$6:$L$28,$P426)-INDEX(PARAMETROS_CULTURAS!$K$6:$K$28,$P426))*($O426-INDEX(PARAMETROS_CULTURAS!$F$6:$F$28,$P426))/MAX(INDEX(PARAMETROS_CULTURAS!$G$6:$G$28,$P426),0.0001),IF($O426&lt;=INDEX(PARAMETROS_CULTURAS!$F$6:$F$28,$P426)+INDEX(PARAMETROS_CULTURAS!$G$6:$G$28,$P426)+INDEX(PARAMETROS_CULTURAS!$H$6:$H$28,$P426),INDEX(PARAMETROS_CULTURAS!$L$6:$L$28,$P426),INDEX(PARAMETROS_CULTURAS!$L$6:$L$28,$P426)+(INDEX(PARAMETROS_CULTURAS!$M$6:$M$28,$P426)-INDEX(PARAMETROS_CULTURAS!$L$6:$L$28,$P426))*($O426-INDEX(PARAMETROS_CULTURAS!$F$6:$F$28,$P426)-INDEX(PARAMETROS_CULTURAS!$G$6:$G$28,$P426)-INDEX(PARAMETROS_CULTURAS!$H$6:$H$28,$P426))/MAX(INDEX(PARAMETROS_CULTURAS!$I$6:$I$28,$P426),0.0001)))))</f>
        <v>0.977218934911243</v>
      </c>
      <c r="S426" s="18" t="n">
        <f aca="false">IFERROR(INDEX(SEMANAS!$H$6:$H$71,MATCH($B426,SEMANAS!$B$6:$B$71,0)),0)</f>
        <v>32.9</v>
      </c>
      <c r="T426" s="18" t="n">
        <f aca="false">$R426*$S426</f>
        <v>32.1505029585799</v>
      </c>
      <c r="U426" s="18" t="n">
        <f aca="false">IFERROR(INDEX(SEMANAS!$I$6:$I$71,MATCH($B426,SEMANAS!$B$6:$B$71,0)),0)</f>
        <v>39.97</v>
      </c>
      <c r="V426" s="18" t="n">
        <f aca="false">IFERROR(INDEX(SEMANAS!$J$6:$J$71,MATCH($B426,SEMANAS!$B$6:$B$71,0)),0)</f>
        <v>31.976</v>
      </c>
      <c r="W426" s="18" t="n">
        <f aca="false">MAX(0,$T426-$V426)</f>
        <v>0.174502958579875</v>
      </c>
      <c r="X426" s="19" t="n">
        <f aca="false">IFERROR(INDEX(CADASTRO_PIVOS!$K$6:$K$41,MATCH($E426,CADASTRO_PIVOS!$B$6:$B$41,0)),EFICIENCIA_PADRAO)</f>
        <v>0.85</v>
      </c>
      <c r="Y426" s="18" t="n">
        <f aca="false">IF($X426&lt;=0,0,$W426/$X426)</f>
        <v>0.205297598329265</v>
      </c>
      <c r="Z426" s="16" t="n">
        <f aca="false">$Y426*$H426*MM_PARA_M3_HA</f>
        <v>205.441306648096</v>
      </c>
      <c r="AA426" s="18" t="n">
        <f aca="false">IFERROR(INDEX(CADASTRO_PIVOS!$I$6:$I$41,MATCH($E426,CADASTRO_PIVOS!$B$6:$B$41,0)),0)</f>
        <v>714.785714285714</v>
      </c>
      <c r="AB426" s="18" t="n">
        <f aca="false">IF($Z426&lt;=0,0,$Z426/$AA426)</f>
        <v>0.287416637660971</v>
      </c>
      <c r="AC426" s="16" t="n">
        <f aca="false">IFERROR(INDEX(SEMANAS!$K$6:$K$71,MATCH($B426,SEMANAS!$B$6:$B$71,0)),0)</f>
        <v>147</v>
      </c>
      <c r="AD426" s="19" t="n">
        <f aca="false">IF($AC426&lt;=0,0,$AB426/$AC426)</f>
        <v>0.00195521522218348</v>
      </c>
      <c r="AE426" s="8" t="str">
        <f aca="false">IF($K426="SEM CULTURA","SEM CULTURA",IF($AA426&lt;=0,"DADO PENDENTE",IF($AD426&gt;LIMITE_CRITICO,"INVIAVEL",IF($AD426&gt;LIMITE_ATENCAO,"CRITICO",IF($AD426&gt;LIMITE_CONFORTAVEL,"ATENCAO","OK")))))</f>
        <v>OK</v>
      </c>
      <c r="AF426" s="8" t="str">
        <f aca="false">$B426&amp;"|"&amp;TEXT($AD426,"0.000000")</f>
        <v>25|0.001955</v>
      </c>
      <c r="AG426" s="18" t="n">
        <f aca="false">IF($K426="SEM CULTURA",0,$T426*$H426)</f>
        <v>3217.30083106509</v>
      </c>
      <c r="AH426" s="18" t="n">
        <f aca="false">IF($K426="SEM CULTURA",0,$V426*$H426)</f>
        <v>3199.83832</v>
      </c>
      <c r="AI426" s="18" t="n">
        <f aca="false">IF($K426="SEM CULTURA",0,$W426*$H426)</f>
        <v>17.4625110650881</v>
      </c>
      <c r="AJ426" s="18" t="n">
        <f aca="false">IF($K426="SEM CULTURA",0,$S426*$H426)</f>
        <v>3292.303</v>
      </c>
      <c r="AK426" s="8" t="str">
        <f aca="false">$E426&amp;"|"&amp;TEXT($AD426,"0.000000")</f>
        <v>PV 102|0.001955</v>
      </c>
    </row>
    <row r="427" customFormat="false" ht="15" hidden="false" customHeight="false" outlineLevel="0" collapsed="false">
      <c r="B427" s="16" t="n">
        <v>26</v>
      </c>
      <c r="C427" s="17" t="n">
        <f aca="false">DATA_INICIO_SAFRA+($B427-1)*DIAS_POR_SEMANA</f>
        <v>46440</v>
      </c>
      <c r="D427" s="17" t="n">
        <f aca="false">$C427+DIAS_POR_SEMANA-1</f>
        <v>46446</v>
      </c>
      <c r="E427" s="15" t="s">
        <v>265</v>
      </c>
      <c r="F427" s="8" t="str">
        <f aca="false">IFERROR(INDEX(CADASTRO_PIVOS!$C$6:$C$41,MATCH($E427,CADASTRO_PIVOS!$B$6:$B$41,0)),"?")</f>
        <v>RM04</v>
      </c>
      <c r="G427" s="8" t="str">
        <f aca="false">IFERROR(INDEX(CADASTRO_PIVOS!$D$6:$D$41,MATCH($E427,CADASTRO_PIVOS!$B$6:$B$41,0)),"?")</f>
        <v>TR04</v>
      </c>
      <c r="H427" s="20" t="n">
        <f aca="false">IFERROR(INDEX(CADASTRO_PIVOS!$E$6:$E$41,MATCH($E427,CADASTRO_PIVOS!$B$6:$B$41,0)),0)</f>
        <v>100.07</v>
      </c>
      <c r="I427" s="16" t="n">
        <f aca="false">IFERROR(SUMIFS(ROTACAO_RDM!$B$6:$B$71,ROTACAO_RDM!$D$6:$D$71,$E427,ROTACAO_RDM!$I$6:$I$71,"&lt;="&amp;$C427+INT(DIAS_POR_SEMANA/2),ROTACAO_RDM!$J$6:$J$71,"&gt;="&amp;$C427+INT(DIAS_POR_SEMANA/2)),0)</f>
        <v>3</v>
      </c>
      <c r="J427" s="16" t="n">
        <f aca="false">IFERROR(MATCH($I427,ROTACAO_RDM!$B$6:$B$71,0),0)</f>
        <v>3</v>
      </c>
      <c r="K427" s="8" t="str">
        <f aca="false">IF($J427=0,"SEM CULTURA",INDEX(ROTACAO_RDM!$F$6:$F$71,$J427))</f>
        <v>ALGODAO</v>
      </c>
      <c r="L427" s="8" t="str">
        <f aca="false">IF($J427=0,"",INDEX(ROTACAO_RDM!$G$6:$G$71,$J427))</f>
        <v>IMA 5901 B2RF</v>
      </c>
      <c r="M427" s="17" t="n">
        <f aca="false">IF($J427=0,"",INDEX(ROTACAO_RDM!$I$6:$I$71,$J427))</f>
        <v>46367</v>
      </c>
      <c r="N427" s="16" t="n">
        <f aca="false">IF($J427=0,0,MAX(0,$C427+INT(DIAS_POR_SEMANA/2)-INDEX(ROTACAO_RDM!$I$6:$I$71,$J427)))</f>
        <v>76</v>
      </c>
      <c r="O427" s="19" t="n">
        <f aca="false">IF($J427=0,0,MIN(1,$N427/MAX(1,INDEX(ROTACAO_RDM!$K$6:$K$71,$J427))))</f>
        <v>0.38974358974359</v>
      </c>
      <c r="P427" s="16" t="n">
        <f aca="false">IF($J427=0,0,IFERROR(MATCH(INDEX(ROTACAO_RDM!$N$6:$N$71,$J427),PARAMETROS_CULTURAS!$B$6:$B$28,0),0))</f>
        <v>5</v>
      </c>
      <c r="Q427" s="8" t="str">
        <f aca="false">IF($P427=0,"-",IF($O427&lt;=INDEX(PARAMETROS_CULTURAS!$F$6:$F$28,$P427),"INICIAL",IF($O427&lt;=INDEX(PARAMETROS_CULTURAS!$F$6:$F$28,$P427)+INDEX(PARAMETROS_CULTURAS!$G$6:$G$28,$P427),"DESENVOLVIMENTO",IF($O427&lt;=INDEX(PARAMETROS_CULTURAS!$F$6:$F$28,$P427)+INDEX(PARAMETROS_CULTURAS!$G$6:$G$28,$P427)+INDEX(PARAMETROS_CULTURAS!$H$6:$H$28,$P427),"MEDIA","FINAL"))))</f>
        <v>DESENVOLVIMENTO</v>
      </c>
      <c r="R427" s="24" t="n">
        <f aca="false">IF($P427=0,0,IF($O427&lt;=INDEX(PARAMETROS_CULTURAS!$F$6:$F$28,$P427),INDEX(PARAMETROS_CULTURAS!$K$6:$K$28,$P427),IF($O427&lt;=INDEX(PARAMETROS_CULTURAS!$F$6:$F$28,$P427)+INDEX(PARAMETROS_CULTURAS!$G$6:$G$28,$P427),INDEX(PARAMETROS_CULTURAS!$K$6:$K$28,$P427)+(INDEX(PARAMETROS_CULTURAS!$L$6:$L$28,$P427)-INDEX(PARAMETROS_CULTURAS!$K$6:$K$28,$P427))*($O427-INDEX(PARAMETROS_CULTURAS!$F$6:$F$28,$P427))/MAX(INDEX(PARAMETROS_CULTURAS!$G$6:$G$28,$P427),0.0001),IF($O427&lt;=INDEX(PARAMETROS_CULTURAS!$F$6:$F$28,$P427)+INDEX(PARAMETROS_CULTURAS!$G$6:$G$28,$P427)+INDEX(PARAMETROS_CULTURAS!$H$6:$H$28,$P427),INDEX(PARAMETROS_CULTURAS!$L$6:$L$28,$P427),INDEX(PARAMETROS_CULTURAS!$L$6:$L$28,$P427)+(INDEX(PARAMETROS_CULTURAS!$M$6:$M$28,$P427)-INDEX(PARAMETROS_CULTURAS!$L$6:$L$28,$P427))*($O427-INDEX(PARAMETROS_CULTURAS!$F$6:$F$28,$P427)-INDEX(PARAMETROS_CULTURAS!$G$6:$G$28,$P427)-INDEX(PARAMETROS_CULTURAS!$H$6:$H$28,$P427))/MAX(INDEX(PARAMETROS_CULTURAS!$I$6:$I$28,$P427),0.0001)))))</f>
        <v>1.08767258382643</v>
      </c>
      <c r="S427" s="18" t="n">
        <f aca="false">IFERROR(INDEX(SEMANAS!$H$6:$H$71,MATCH($B427,SEMANAS!$B$6:$B$71,0)),0)</f>
        <v>32.9</v>
      </c>
      <c r="T427" s="18" t="n">
        <f aca="false">$R427*$S427</f>
        <v>35.7844280078895</v>
      </c>
      <c r="U427" s="18" t="n">
        <f aca="false">IFERROR(INDEX(SEMANAS!$I$6:$I$71,MATCH($B427,SEMANAS!$B$6:$B$71,0)),0)</f>
        <v>39.97</v>
      </c>
      <c r="V427" s="18" t="n">
        <f aca="false">IFERROR(INDEX(SEMANAS!$J$6:$J$71,MATCH($B427,SEMANAS!$B$6:$B$71,0)),0)</f>
        <v>31.976</v>
      </c>
      <c r="W427" s="18" t="n">
        <f aca="false">MAX(0,$T427-$V427)</f>
        <v>3.80842800788954</v>
      </c>
      <c r="X427" s="19" t="n">
        <f aca="false">IFERROR(INDEX(CADASTRO_PIVOS!$K$6:$K$41,MATCH($E427,CADASTRO_PIVOS!$B$6:$B$41,0)),EFICIENCIA_PADRAO)</f>
        <v>0.85</v>
      </c>
      <c r="Y427" s="18" t="n">
        <f aca="false">IF($X427&lt;=0,0,$W427/$X427)</f>
        <v>4.48050353869357</v>
      </c>
      <c r="Z427" s="16" t="n">
        <f aca="false">$Y427*$H427*MM_PARA_M3_HA</f>
        <v>4483.63989117066</v>
      </c>
      <c r="AA427" s="18" t="n">
        <f aca="false">IFERROR(INDEX(CADASTRO_PIVOS!$I$6:$I$41,MATCH($E427,CADASTRO_PIVOS!$B$6:$B$41,0)),0)</f>
        <v>714.785714285714</v>
      </c>
      <c r="AB427" s="18" t="n">
        <f aca="false">IF($Z427&lt;=0,0,$Z427/$AA427)</f>
        <v>6.272704954171</v>
      </c>
      <c r="AC427" s="16" t="n">
        <f aca="false">IFERROR(INDEX(SEMANAS!$K$6:$K$71,MATCH($B427,SEMANAS!$B$6:$B$71,0)),0)</f>
        <v>147</v>
      </c>
      <c r="AD427" s="19" t="n">
        <f aca="false">IF($AC427&lt;=0,0,$AB427/$AC427)</f>
        <v>0.0426714622732721</v>
      </c>
      <c r="AE427" s="8" t="str">
        <f aca="false">IF($K427="SEM CULTURA","SEM CULTURA",IF($AA427&lt;=0,"DADO PENDENTE",IF($AD427&gt;LIMITE_CRITICO,"INVIAVEL",IF($AD427&gt;LIMITE_ATENCAO,"CRITICO",IF($AD427&gt;LIMITE_CONFORTAVEL,"ATENCAO","OK")))))</f>
        <v>OK</v>
      </c>
      <c r="AF427" s="8" t="str">
        <f aca="false">$B427&amp;"|"&amp;TEXT($AD427,"0.000000")</f>
        <v>26|0.042671</v>
      </c>
      <c r="AG427" s="18" t="n">
        <f aca="false">IF($K427="SEM CULTURA",0,$T427*$H427)</f>
        <v>3580.94771074951</v>
      </c>
      <c r="AH427" s="18" t="n">
        <f aca="false">IF($K427="SEM CULTURA",0,$V427*$H427)</f>
        <v>3199.83832</v>
      </c>
      <c r="AI427" s="18" t="n">
        <f aca="false">IF($K427="SEM CULTURA",0,$W427*$H427)</f>
        <v>381.109390749506</v>
      </c>
      <c r="AJ427" s="18" t="n">
        <f aca="false">IF($K427="SEM CULTURA",0,$S427*$H427)</f>
        <v>3292.303</v>
      </c>
      <c r="AK427" s="8" t="str">
        <f aca="false">$E427&amp;"|"&amp;TEXT($AD427,"0.000000")</f>
        <v>PV 102|0.042671</v>
      </c>
    </row>
    <row r="428" customFormat="false" ht="15" hidden="false" customHeight="false" outlineLevel="0" collapsed="false">
      <c r="B428" s="16" t="n">
        <v>27</v>
      </c>
      <c r="C428" s="17" t="n">
        <f aca="false">DATA_INICIO_SAFRA+($B428-1)*DIAS_POR_SEMANA</f>
        <v>46447</v>
      </c>
      <c r="D428" s="17" t="n">
        <f aca="false">$C428+DIAS_POR_SEMANA-1</f>
        <v>46453</v>
      </c>
      <c r="E428" s="15" t="s">
        <v>265</v>
      </c>
      <c r="F428" s="8" t="str">
        <f aca="false">IFERROR(INDEX(CADASTRO_PIVOS!$C$6:$C$41,MATCH($E428,CADASTRO_PIVOS!$B$6:$B$41,0)),"?")</f>
        <v>RM04</v>
      </c>
      <c r="G428" s="8" t="str">
        <f aca="false">IFERROR(INDEX(CADASTRO_PIVOS!$D$6:$D$41,MATCH($E428,CADASTRO_PIVOS!$B$6:$B$41,0)),"?")</f>
        <v>TR04</v>
      </c>
      <c r="H428" s="20" t="n">
        <f aca="false">IFERROR(INDEX(CADASTRO_PIVOS!$E$6:$E$41,MATCH($E428,CADASTRO_PIVOS!$B$6:$B$41,0)),0)</f>
        <v>100.07</v>
      </c>
      <c r="I428" s="16" t="n">
        <f aca="false">IFERROR(SUMIFS(ROTACAO_RDM!$B$6:$B$71,ROTACAO_RDM!$D$6:$D$71,$E428,ROTACAO_RDM!$I$6:$I$71,"&lt;="&amp;$C428+INT(DIAS_POR_SEMANA/2),ROTACAO_RDM!$J$6:$J$71,"&gt;="&amp;$C428+INT(DIAS_POR_SEMANA/2)),0)</f>
        <v>3</v>
      </c>
      <c r="J428" s="16" t="n">
        <f aca="false">IFERROR(MATCH($I428,ROTACAO_RDM!$B$6:$B$71,0),0)</f>
        <v>3</v>
      </c>
      <c r="K428" s="8" t="str">
        <f aca="false">IF($J428=0,"SEM CULTURA",INDEX(ROTACAO_RDM!$F$6:$F$71,$J428))</f>
        <v>ALGODAO</v>
      </c>
      <c r="L428" s="8" t="str">
        <f aca="false">IF($J428=0,"",INDEX(ROTACAO_RDM!$G$6:$G$71,$J428))</f>
        <v>IMA 5901 B2RF</v>
      </c>
      <c r="M428" s="17" t="n">
        <f aca="false">IF($J428=0,"",INDEX(ROTACAO_RDM!$I$6:$I$71,$J428))</f>
        <v>46367</v>
      </c>
      <c r="N428" s="16" t="n">
        <f aca="false">IF($J428=0,0,MAX(0,$C428+INT(DIAS_POR_SEMANA/2)-INDEX(ROTACAO_RDM!$I$6:$I$71,$J428)))</f>
        <v>83</v>
      </c>
      <c r="O428" s="19" t="n">
        <f aca="false">IF($J428=0,0,MIN(1,$N428/MAX(1,INDEX(ROTACAO_RDM!$K$6:$K$71,$J428))))</f>
        <v>0.425641025641026</v>
      </c>
      <c r="P428" s="16" t="n">
        <f aca="false">IF($J428=0,0,IFERROR(MATCH(INDEX(ROTACAO_RDM!$N$6:$N$71,$J428),PARAMETROS_CULTURAS!$B$6:$B$28,0),0))</f>
        <v>5</v>
      </c>
      <c r="Q428" s="8" t="str">
        <f aca="false">IF($P428=0,"-",IF($O428&lt;=INDEX(PARAMETROS_CULTURAS!$F$6:$F$28,$P428),"INICIAL",IF($O428&lt;=INDEX(PARAMETROS_CULTURAS!$F$6:$F$28,$P428)+INDEX(PARAMETROS_CULTURAS!$G$6:$G$28,$P428),"DESENVOLVIMENTO",IF($O428&lt;=INDEX(PARAMETROS_CULTURAS!$F$6:$F$28,$P428)+INDEX(PARAMETROS_CULTURAS!$G$6:$G$28,$P428)+INDEX(PARAMETROS_CULTURAS!$H$6:$H$28,$P428),"MEDIA","FINAL"))))</f>
        <v>MEDIA</v>
      </c>
      <c r="R428" s="24" t="n">
        <f aca="false">IF($P428=0,0,IF($O428&lt;=INDEX(PARAMETROS_CULTURAS!$F$6:$F$28,$P428),INDEX(PARAMETROS_CULTURAS!$K$6:$K$28,$P428),IF($O428&lt;=INDEX(PARAMETROS_CULTURAS!$F$6:$F$28,$P428)+INDEX(PARAMETROS_CULTURAS!$G$6:$G$28,$P428),INDEX(PARAMETROS_CULTURAS!$K$6:$K$28,$P428)+(INDEX(PARAMETROS_CULTURAS!$L$6:$L$28,$P428)-INDEX(PARAMETROS_CULTURAS!$K$6:$K$28,$P428))*($O428-INDEX(PARAMETROS_CULTURAS!$F$6:$F$28,$P428))/MAX(INDEX(PARAMETROS_CULTURAS!$G$6:$G$28,$P428),0.0001),IF($O428&lt;=INDEX(PARAMETROS_CULTURAS!$F$6:$F$28,$P428)+INDEX(PARAMETROS_CULTURAS!$G$6:$G$28,$P428)+INDEX(PARAMETROS_CULTURAS!$H$6:$H$28,$P428),INDEX(PARAMETROS_CULTURAS!$L$6:$L$28,$P428),INDEX(PARAMETROS_CULTURAS!$L$6:$L$28,$P428)+(INDEX(PARAMETROS_CULTURAS!$M$6:$M$28,$P428)-INDEX(PARAMETROS_CULTURAS!$L$6:$L$28,$P428))*($O428-INDEX(PARAMETROS_CULTURAS!$F$6:$F$28,$P428)-INDEX(PARAMETROS_CULTURAS!$G$6:$G$28,$P428)-INDEX(PARAMETROS_CULTURAS!$H$6:$H$28,$P428))/MAX(INDEX(PARAMETROS_CULTURAS!$I$6:$I$28,$P428),0.0001)))))</f>
        <v>1.15</v>
      </c>
      <c r="S428" s="18" t="n">
        <f aca="false">IFERROR(INDEX(SEMANAS!$H$6:$H$71,MATCH($B428,SEMANAS!$B$6:$B$71,0)),0)</f>
        <v>32.2</v>
      </c>
      <c r="T428" s="18" t="n">
        <f aca="false">$R428*$S428</f>
        <v>37.03</v>
      </c>
      <c r="U428" s="18" t="n">
        <f aca="false">IFERROR(INDEX(SEMANAS!$I$6:$I$71,MATCH($B428,SEMANAS!$B$6:$B$71,0)),0)</f>
        <v>37.24</v>
      </c>
      <c r="V428" s="18" t="n">
        <f aca="false">IFERROR(INDEX(SEMANAS!$J$6:$J$71,MATCH($B428,SEMANAS!$B$6:$B$71,0)),0)</f>
        <v>29.792</v>
      </c>
      <c r="W428" s="18" t="n">
        <f aca="false">MAX(0,$T428-$V428)</f>
        <v>7.23799999999999</v>
      </c>
      <c r="X428" s="19" t="n">
        <f aca="false">IFERROR(INDEX(CADASTRO_PIVOS!$K$6:$K$41,MATCH($E428,CADASTRO_PIVOS!$B$6:$B$41,0)),EFICIENCIA_PADRAO)</f>
        <v>0.85</v>
      </c>
      <c r="Y428" s="18" t="n">
        <f aca="false">IF($X428&lt;=0,0,$W428/$X428)</f>
        <v>8.51529411764705</v>
      </c>
      <c r="Z428" s="16" t="n">
        <f aca="false">$Y428*$H428*MM_PARA_M3_HA</f>
        <v>8521.2548235294</v>
      </c>
      <c r="AA428" s="18" t="n">
        <f aca="false">IFERROR(INDEX(CADASTRO_PIVOS!$I$6:$I$41,MATCH($E428,CADASTRO_PIVOS!$B$6:$B$41,0)),0)</f>
        <v>714.785714285714</v>
      </c>
      <c r="AB428" s="18" t="n">
        <f aca="false">IF($Z428&lt;=0,0,$Z428/$AA428)</f>
        <v>11.9214117647059</v>
      </c>
      <c r="AC428" s="16" t="n">
        <f aca="false">IFERROR(INDEX(SEMANAS!$K$6:$K$71,MATCH($B428,SEMANAS!$B$6:$B$71,0)),0)</f>
        <v>147</v>
      </c>
      <c r="AD428" s="19" t="n">
        <f aca="false">IF($AC428&lt;=0,0,$AB428/$AC428)</f>
        <v>0.0810980392156862</v>
      </c>
      <c r="AE428" s="8" t="str">
        <f aca="false">IF($K428="SEM CULTURA","SEM CULTURA",IF($AA428&lt;=0,"DADO PENDENTE",IF($AD428&gt;LIMITE_CRITICO,"INVIAVEL",IF($AD428&gt;LIMITE_ATENCAO,"CRITICO",IF($AD428&gt;LIMITE_CONFORTAVEL,"ATENCAO","OK")))))</f>
        <v>OK</v>
      </c>
      <c r="AF428" s="8" t="str">
        <f aca="false">$B428&amp;"|"&amp;TEXT($AD428,"0.000000")</f>
        <v>27|0.081098</v>
      </c>
      <c r="AG428" s="18" t="n">
        <f aca="false">IF($K428="SEM CULTURA",0,$T428*$H428)</f>
        <v>3705.5921</v>
      </c>
      <c r="AH428" s="18" t="n">
        <f aca="false">IF($K428="SEM CULTURA",0,$V428*$H428)</f>
        <v>2981.28544</v>
      </c>
      <c r="AI428" s="18" t="n">
        <f aca="false">IF($K428="SEM CULTURA",0,$W428*$H428)</f>
        <v>724.306659999999</v>
      </c>
      <c r="AJ428" s="18" t="n">
        <f aca="false">IF($K428="SEM CULTURA",0,$S428*$H428)</f>
        <v>3222.254</v>
      </c>
      <c r="AK428" s="8" t="str">
        <f aca="false">$E428&amp;"|"&amp;TEXT($AD428,"0.000000")</f>
        <v>PV 102|0.081098</v>
      </c>
    </row>
    <row r="429" customFormat="false" ht="15" hidden="false" customHeight="false" outlineLevel="0" collapsed="false">
      <c r="B429" s="16" t="n">
        <v>28</v>
      </c>
      <c r="C429" s="17" t="n">
        <f aca="false">DATA_INICIO_SAFRA+($B429-1)*DIAS_POR_SEMANA</f>
        <v>46454</v>
      </c>
      <c r="D429" s="17" t="n">
        <f aca="false">$C429+DIAS_POR_SEMANA-1</f>
        <v>46460</v>
      </c>
      <c r="E429" s="15" t="s">
        <v>265</v>
      </c>
      <c r="F429" s="8" t="str">
        <f aca="false">IFERROR(INDEX(CADASTRO_PIVOS!$C$6:$C$41,MATCH($E429,CADASTRO_PIVOS!$B$6:$B$41,0)),"?")</f>
        <v>RM04</v>
      </c>
      <c r="G429" s="8" t="str">
        <f aca="false">IFERROR(INDEX(CADASTRO_PIVOS!$D$6:$D$41,MATCH($E429,CADASTRO_PIVOS!$B$6:$B$41,0)),"?")</f>
        <v>TR04</v>
      </c>
      <c r="H429" s="20" t="n">
        <f aca="false">IFERROR(INDEX(CADASTRO_PIVOS!$E$6:$E$41,MATCH($E429,CADASTRO_PIVOS!$B$6:$B$41,0)),0)</f>
        <v>100.07</v>
      </c>
      <c r="I429" s="16" t="n">
        <f aca="false">IFERROR(SUMIFS(ROTACAO_RDM!$B$6:$B$71,ROTACAO_RDM!$D$6:$D$71,$E429,ROTACAO_RDM!$I$6:$I$71,"&lt;="&amp;$C429+INT(DIAS_POR_SEMANA/2),ROTACAO_RDM!$J$6:$J$71,"&gt;="&amp;$C429+INT(DIAS_POR_SEMANA/2)),0)</f>
        <v>3</v>
      </c>
      <c r="J429" s="16" t="n">
        <f aca="false">IFERROR(MATCH($I429,ROTACAO_RDM!$B$6:$B$71,0),0)</f>
        <v>3</v>
      </c>
      <c r="K429" s="8" t="str">
        <f aca="false">IF($J429=0,"SEM CULTURA",INDEX(ROTACAO_RDM!$F$6:$F$71,$J429))</f>
        <v>ALGODAO</v>
      </c>
      <c r="L429" s="8" t="str">
        <f aca="false">IF($J429=0,"",INDEX(ROTACAO_RDM!$G$6:$G$71,$J429))</f>
        <v>IMA 5901 B2RF</v>
      </c>
      <c r="M429" s="17" t="n">
        <f aca="false">IF($J429=0,"",INDEX(ROTACAO_RDM!$I$6:$I$71,$J429))</f>
        <v>46367</v>
      </c>
      <c r="N429" s="16" t="n">
        <f aca="false">IF($J429=0,0,MAX(0,$C429+INT(DIAS_POR_SEMANA/2)-INDEX(ROTACAO_RDM!$I$6:$I$71,$J429)))</f>
        <v>90</v>
      </c>
      <c r="O429" s="19" t="n">
        <f aca="false">IF($J429=0,0,MIN(1,$N429/MAX(1,INDEX(ROTACAO_RDM!$K$6:$K$71,$J429))))</f>
        <v>0.461538461538462</v>
      </c>
      <c r="P429" s="16" t="n">
        <f aca="false">IF($J429=0,0,IFERROR(MATCH(INDEX(ROTACAO_RDM!$N$6:$N$71,$J429),PARAMETROS_CULTURAS!$B$6:$B$28,0),0))</f>
        <v>5</v>
      </c>
      <c r="Q429" s="8" t="str">
        <f aca="false">IF($P429=0,"-",IF($O429&lt;=INDEX(PARAMETROS_CULTURAS!$F$6:$F$28,$P429),"INICIAL",IF($O429&lt;=INDEX(PARAMETROS_CULTURAS!$F$6:$F$28,$P429)+INDEX(PARAMETROS_CULTURAS!$G$6:$G$28,$P429),"DESENVOLVIMENTO",IF($O429&lt;=INDEX(PARAMETROS_CULTURAS!$F$6:$F$28,$P429)+INDEX(PARAMETROS_CULTURAS!$G$6:$G$28,$P429)+INDEX(PARAMETROS_CULTURAS!$H$6:$H$28,$P429),"MEDIA","FINAL"))))</f>
        <v>MEDIA</v>
      </c>
      <c r="R429" s="24" t="n">
        <f aca="false">IF($P429=0,0,IF($O429&lt;=INDEX(PARAMETROS_CULTURAS!$F$6:$F$28,$P429),INDEX(PARAMETROS_CULTURAS!$K$6:$K$28,$P429),IF($O429&lt;=INDEX(PARAMETROS_CULTURAS!$F$6:$F$28,$P429)+INDEX(PARAMETROS_CULTURAS!$G$6:$G$28,$P429),INDEX(PARAMETROS_CULTURAS!$K$6:$K$28,$P429)+(INDEX(PARAMETROS_CULTURAS!$L$6:$L$28,$P429)-INDEX(PARAMETROS_CULTURAS!$K$6:$K$28,$P429))*($O429-INDEX(PARAMETROS_CULTURAS!$F$6:$F$28,$P429))/MAX(INDEX(PARAMETROS_CULTURAS!$G$6:$G$28,$P429),0.0001),IF($O429&lt;=INDEX(PARAMETROS_CULTURAS!$F$6:$F$28,$P429)+INDEX(PARAMETROS_CULTURAS!$G$6:$G$28,$P429)+INDEX(PARAMETROS_CULTURAS!$H$6:$H$28,$P429),INDEX(PARAMETROS_CULTURAS!$L$6:$L$28,$P429),INDEX(PARAMETROS_CULTURAS!$L$6:$L$28,$P429)+(INDEX(PARAMETROS_CULTURAS!$M$6:$M$28,$P429)-INDEX(PARAMETROS_CULTURAS!$L$6:$L$28,$P429))*($O429-INDEX(PARAMETROS_CULTURAS!$F$6:$F$28,$P429)-INDEX(PARAMETROS_CULTURAS!$G$6:$G$28,$P429)-INDEX(PARAMETROS_CULTURAS!$H$6:$H$28,$P429))/MAX(INDEX(PARAMETROS_CULTURAS!$I$6:$I$28,$P429),0.0001)))))</f>
        <v>1.15</v>
      </c>
      <c r="S429" s="18" t="n">
        <f aca="false">IFERROR(INDEX(SEMANAS!$H$6:$H$71,MATCH($B429,SEMANAS!$B$6:$B$71,0)),0)</f>
        <v>32.2</v>
      </c>
      <c r="T429" s="18" t="n">
        <f aca="false">$R429*$S429</f>
        <v>37.03</v>
      </c>
      <c r="U429" s="18" t="n">
        <f aca="false">IFERROR(INDEX(SEMANAS!$I$6:$I$71,MATCH($B429,SEMANAS!$B$6:$B$71,0)),0)</f>
        <v>37.24</v>
      </c>
      <c r="V429" s="18" t="n">
        <f aca="false">IFERROR(INDEX(SEMANAS!$J$6:$J$71,MATCH($B429,SEMANAS!$B$6:$B$71,0)),0)</f>
        <v>29.792</v>
      </c>
      <c r="W429" s="18" t="n">
        <f aca="false">MAX(0,$T429-$V429)</f>
        <v>7.23799999999999</v>
      </c>
      <c r="X429" s="19" t="n">
        <f aca="false">IFERROR(INDEX(CADASTRO_PIVOS!$K$6:$K$41,MATCH($E429,CADASTRO_PIVOS!$B$6:$B$41,0)),EFICIENCIA_PADRAO)</f>
        <v>0.85</v>
      </c>
      <c r="Y429" s="18" t="n">
        <f aca="false">IF($X429&lt;=0,0,$W429/$X429)</f>
        <v>8.51529411764705</v>
      </c>
      <c r="Z429" s="16" t="n">
        <f aca="false">$Y429*$H429*MM_PARA_M3_HA</f>
        <v>8521.2548235294</v>
      </c>
      <c r="AA429" s="18" t="n">
        <f aca="false">IFERROR(INDEX(CADASTRO_PIVOS!$I$6:$I$41,MATCH($E429,CADASTRO_PIVOS!$B$6:$B$41,0)),0)</f>
        <v>714.785714285714</v>
      </c>
      <c r="AB429" s="18" t="n">
        <f aca="false">IF($Z429&lt;=0,0,$Z429/$AA429)</f>
        <v>11.9214117647059</v>
      </c>
      <c r="AC429" s="16" t="n">
        <f aca="false">IFERROR(INDEX(SEMANAS!$K$6:$K$71,MATCH($B429,SEMANAS!$B$6:$B$71,0)),0)</f>
        <v>147</v>
      </c>
      <c r="AD429" s="19" t="n">
        <f aca="false">IF($AC429&lt;=0,0,$AB429/$AC429)</f>
        <v>0.0810980392156862</v>
      </c>
      <c r="AE429" s="8" t="str">
        <f aca="false">IF($K429="SEM CULTURA","SEM CULTURA",IF($AA429&lt;=0,"DADO PENDENTE",IF($AD429&gt;LIMITE_CRITICO,"INVIAVEL",IF($AD429&gt;LIMITE_ATENCAO,"CRITICO",IF($AD429&gt;LIMITE_CONFORTAVEL,"ATENCAO","OK")))))</f>
        <v>OK</v>
      </c>
      <c r="AF429" s="8" t="str">
        <f aca="false">$B429&amp;"|"&amp;TEXT($AD429,"0.000000")</f>
        <v>28|0.081098</v>
      </c>
      <c r="AG429" s="18" t="n">
        <f aca="false">IF($K429="SEM CULTURA",0,$T429*$H429)</f>
        <v>3705.5921</v>
      </c>
      <c r="AH429" s="18" t="n">
        <f aca="false">IF($K429="SEM CULTURA",0,$V429*$H429)</f>
        <v>2981.28544</v>
      </c>
      <c r="AI429" s="18" t="n">
        <f aca="false">IF($K429="SEM CULTURA",0,$W429*$H429)</f>
        <v>724.306659999999</v>
      </c>
      <c r="AJ429" s="18" t="n">
        <f aca="false">IF($K429="SEM CULTURA",0,$S429*$H429)</f>
        <v>3222.254</v>
      </c>
      <c r="AK429" s="8" t="str">
        <f aca="false">$E429&amp;"|"&amp;TEXT($AD429,"0.000000")</f>
        <v>PV 102|0.081098</v>
      </c>
    </row>
    <row r="430" customFormat="false" ht="15" hidden="false" customHeight="false" outlineLevel="0" collapsed="false">
      <c r="B430" s="16" t="n">
        <v>29</v>
      </c>
      <c r="C430" s="17" t="n">
        <f aca="false">DATA_INICIO_SAFRA+($B430-1)*DIAS_POR_SEMANA</f>
        <v>46461</v>
      </c>
      <c r="D430" s="17" t="n">
        <f aca="false">$C430+DIAS_POR_SEMANA-1</f>
        <v>46467</v>
      </c>
      <c r="E430" s="15" t="s">
        <v>265</v>
      </c>
      <c r="F430" s="8" t="str">
        <f aca="false">IFERROR(INDEX(CADASTRO_PIVOS!$C$6:$C$41,MATCH($E430,CADASTRO_PIVOS!$B$6:$B$41,0)),"?")</f>
        <v>RM04</v>
      </c>
      <c r="G430" s="8" t="str">
        <f aca="false">IFERROR(INDEX(CADASTRO_PIVOS!$D$6:$D$41,MATCH($E430,CADASTRO_PIVOS!$B$6:$B$41,0)),"?")</f>
        <v>TR04</v>
      </c>
      <c r="H430" s="20" t="n">
        <f aca="false">IFERROR(INDEX(CADASTRO_PIVOS!$E$6:$E$41,MATCH($E430,CADASTRO_PIVOS!$B$6:$B$41,0)),0)</f>
        <v>100.07</v>
      </c>
      <c r="I430" s="16" t="n">
        <f aca="false">IFERROR(SUMIFS(ROTACAO_RDM!$B$6:$B$71,ROTACAO_RDM!$D$6:$D$71,$E430,ROTACAO_RDM!$I$6:$I$71,"&lt;="&amp;$C430+INT(DIAS_POR_SEMANA/2),ROTACAO_RDM!$J$6:$J$71,"&gt;="&amp;$C430+INT(DIAS_POR_SEMANA/2)),0)</f>
        <v>3</v>
      </c>
      <c r="J430" s="16" t="n">
        <f aca="false">IFERROR(MATCH($I430,ROTACAO_RDM!$B$6:$B$71,0),0)</f>
        <v>3</v>
      </c>
      <c r="K430" s="8" t="str">
        <f aca="false">IF($J430=0,"SEM CULTURA",INDEX(ROTACAO_RDM!$F$6:$F$71,$J430))</f>
        <v>ALGODAO</v>
      </c>
      <c r="L430" s="8" t="str">
        <f aca="false">IF($J430=0,"",INDEX(ROTACAO_RDM!$G$6:$G$71,$J430))</f>
        <v>IMA 5901 B2RF</v>
      </c>
      <c r="M430" s="17" t="n">
        <f aca="false">IF($J430=0,"",INDEX(ROTACAO_RDM!$I$6:$I$71,$J430))</f>
        <v>46367</v>
      </c>
      <c r="N430" s="16" t="n">
        <f aca="false">IF($J430=0,0,MAX(0,$C430+INT(DIAS_POR_SEMANA/2)-INDEX(ROTACAO_RDM!$I$6:$I$71,$J430)))</f>
        <v>97</v>
      </c>
      <c r="O430" s="19" t="n">
        <f aca="false">IF($J430=0,0,MIN(1,$N430/MAX(1,INDEX(ROTACAO_RDM!$K$6:$K$71,$J430))))</f>
        <v>0.497435897435897</v>
      </c>
      <c r="P430" s="16" t="n">
        <f aca="false">IF($J430=0,0,IFERROR(MATCH(INDEX(ROTACAO_RDM!$N$6:$N$71,$J430),PARAMETROS_CULTURAS!$B$6:$B$28,0),0))</f>
        <v>5</v>
      </c>
      <c r="Q430" s="8" t="str">
        <f aca="false">IF($P430=0,"-",IF($O430&lt;=INDEX(PARAMETROS_CULTURAS!$F$6:$F$28,$P430),"INICIAL",IF($O430&lt;=INDEX(PARAMETROS_CULTURAS!$F$6:$F$28,$P430)+INDEX(PARAMETROS_CULTURAS!$G$6:$G$28,$P430),"DESENVOLVIMENTO",IF($O430&lt;=INDEX(PARAMETROS_CULTURAS!$F$6:$F$28,$P430)+INDEX(PARAMETROS_CULTURAS!$G$6:$G$28,$P430)+INDEX(PARAMETROS_CULTURAS!$H$6:$H$28,$P430),"MEDIA","FINAL"))))</f>
        <v>MEDIA</v>
      </c>
      <c r="R430" s="24" t="n">
        <f aca="false">IF($P430=0,0,IF($O430&lt;=INDEX(PARAMETROS_CULTURAS!$F$6:$F$28,$P430),INDEX(PARAMETROS_CULTURAS!$K$6:$K$28,$P430),IF($O430&lt;=INDEX(PARAMETROS_CULTURAS!$F$6:$F$28,$P430)+INDEX(PARAMETROS_CULTURAS!$G$6:$G$28,$P430),INDEX(PARAMETROS_CULTURAS!$K$6:$K$28,$P430)+(INDEX(PARAMETROS_CULTURAS!$L$6:$L$28,$P430)-INDEX(PARAMETROS_CULTURAS!$K$6:$K$28,$P430))*($O430-INDEX(PARAMETROS_CULTURAS!$F$6:$F$28,$P430))/MAX(INDEX(PARAMETROS_CULTURAS!$G$6:$G$28,$P430),0.0001),IF($O430&lt;=INDEX(PARAMETROS_CULTURAS!$F$6:$F$28,$P430)+INDEX(PARAMETROS_CULTURAS!$G$6:$G$28,$P430)+INDEX(PARAMETROS_CULTURAS!$H$6:$H$28,$P430),INDEX(PARAMETROS_CULTURAS!$L$6:$L$28,$P430),INDEX(PARAMETROS_CULTURAS!$L$6:$L$28,$P430)+(INDEX(PARAMETROS_CULTURAS!$M$6:$M$28,$P430)-INDEX(PARAMETROS_CULTURAS!$L$6:$L$28,$P430))*($O430-INDEX(PARAMETROS_CULTURAS!$F$6:$F$28,$P430)-INDEX(PARAMETROS_CULTURAS!$G$6:$G$28,$P430)-INDEX(PARAMETROS_CULTURAS!$H$6:$H$28,$P430))/MAX(INDEX(PARAMETROS_CULTURAS!$I$6:$I$28,$P430),0.0001)))))</f>
        <v>1.15</v>
      </c>
      <c r="S430" s="18" t="n">
        <f aca="false">IFERROR(INDEX(SEMANAS!$H$6:$H$71,MATCH($B430,SEMANAS!$B$6:$B$71,0)),0)</f>
        <v>32.2</v>
      </c>
      <c r="T430" s="18" t="n">
        <f aca="false">$R430*$S430</f>
        <v>37.03</v>
      </c>
      <c r="U430" s="18" t="n">
        <f aca="false">IFERROR(INDEX(SEMANAS!$I$6:$I$71,MATCH($B430,SEMANAS!$B$6:$B$71,0)),0)</f>
        <v>37.24</v>
      </c>
      <c r="V430" s="18" t="n">
        <f aca="false">IFERROR(INDEX(SEMANAS!$J$6:$J$71,MATCH($B430,SEMANAS!$B$6:$B$71,0)),0)</f>
        <v>29.792</v>
      </c>
      <c r="W430" s="18" t="n">
        <f aca="false">MAX(0,$T430-$V430)</f>
        <v>7.23799999999999</v>
      </c>
      <c r="X430" s="19" t="n">
        <f aca="false">IFERROR(INDEX(CADASTRO_PIVOS!$K$6:$K$41,MATCH($E430,CADASTRO_PIVOS!$B$6:$B$41,0)),EFICIENCIA_PADRAO)</f>
        <v>0.85</v>
      </c>
      <c r="Y430" s="18" t="n">
        <f aca="false">IF($X430&lt;=0,0,$W430/$X430)</f>
        <v>8.51529411764705</v>
      </c>
      <c r="Z430" s="16" t="n">
        <f aca="false">$Y430*$H430*MM_PARA_M3_HA</f>
        <v>8521.2548235294</v>
      </c>
      <c r="AA430" s="18" t="n">
        <f aca="false">IFERROR(INDEX(CADASTRO_PIVOS!$I$6:$I$41,MATCH($E430,CADASTRO_PIVOS!$B$6:$B$41,0)),0)</f>
        <v>714.785714285714</v>
      </c>
      <c r="AB430" s="18" t="n">
        <f aca="false">IF($Z430&lt;=0,0,$Z430/$AA430)</f>
        <v>11.9214117647059</v>
      </c>
      <c r="AC430" s="16" t="n">
        <f aca="false">IFERROR(INDEX(SEMANAS!$K$6:$K$71,MATCH($B430,SEMANAS!$B$6:$B$71,0)),0)</f>
        <v>147</v>
      </c>
      <c r="AD430" s="19" t="n">
        <f aca="false">IF($AC430&lt;=0,0,$AB430/$AC430)</f>
        <v>0.0810980392156862</v>
      </c>
      <c r="AE430" s="8" t="str">
        <f aca="false">IF($K430="SEM CULTURA","SEM CULTURA",IF($AA430&lt;=0,"DADO PENDENTE",IF($AD430&gt;LIMITE_CRITICO,"INVIAVEL",IF($AD430&gt;LIMITE_ATENCAO,"CRITICO",IF($AD430&gt;LIMITE_CONFORTAVEL,"ATENCAO","OK")))))</f>
        <v>OK</v>
      </c>
      <c r="AF430" s="8" t="str">
        <f aca="false">$B430&amp;"|"&amp;TEXT($AD430,"0.000000")</f>
        <v>29|0.081098</v>
      </c>
      <c r="AG430" s="18" t="n">
        <f aca="false">IF($K430="SEM CULTURA",0,$T430*$H430)</f>
        <v>3705.5921</v>
      </c>
      <c r="AH430" s="18" t="n">
        <f aca="false">IF($K430="SEM CULTURA",0,$V430*$H430)</f>
        <v>2981.28544</v>
      </c>
      <c r="AI430" s="18" t="n">
        <f aca="false">IF($K430="SEM CULTURA",0,$W430*$H430)</f>
        <v>724.306659999999</v>
      </c>
      <c r="AJ430" s="18" t="n">
        <f aca="false">IF($K430="SEM CULTURA",0,$S430*$H430)</f>
        <v>3222.254</v>
      </c>
      <c r="AK430" s="8" t="str">
        <f aca="false">$E430&amp;"|"&amp;TEXT($AD430,"0.000000")</f>
        <v>PV 102|0.081098</v>
      </c>
    </row>
    <row r="431" customFormat="false" ht="15" hidden="false" customHeight="false" outlineLevel="0" collapsed="false">
      <c r="B431" s="16" t="n">
        <v>30</v>
      </c>
      <c r="C431" s="17" t="n">
        <f aca="false">DATA_INICIO_SAFRA+($B431-1)*DIAS_POR_SEMANA</f>
        <v>46468</v>
      </c>
      <c r="D431" s="17" t="n">
        <f aca="false">$C431+DIAS_POR_SEMANA-1</f>
        <v>46474</v>
      </c>
      <c r="E431" s="15" t="s">
        <v>265</v>
      </c>
      <c r="F431" s="8" t="str">
        <f aca="false">IFERROR(INDEX(CADASTRO_PIVOS!$C$6:$C$41,MATCH($E431,CADASTRO_PIVOS!$B$6:$B$41,0)),"?")</f>
        <v>RM04</v>
      </c>
      <c r="G431" s="8" t="str">
        <f aca="false">IFERROR(INDEX(CADASTRO_PIVOS!$D$6:$D$41,MATCH($E431,CADASTRO_PIVOS!$B$6:$B$41,0)),"?")</f>
        <v>TR04</v>
      </c>
      <c r="H431" s="20" t="n">
        <f aca="false">IFERROR(INDEX(CADASTRO_PIVOS!$E$6:$E$41,MATCH($E431,CADASTRO_PIVOS!$B$6:$B$41,0)),0)</f>
        <v>100.07</v>
      </c>
      <c r="I431" s="16" t="n">
        <f aca="false">IFERROR(SUMIFS(ROTACAO_RDM!$B$6:$B$71,ROTACAO_RDM!$D$6:$D$71,$E431,ROTACAO_RDM!$I$6:$I$71,"&lt;="&amp;$C431+INT(DIAS_POR_SEMANA/2),ROTACAO_RDM!$J$6:$J$71,"&gt;="&amp;$C431+INT(DIAS_POR_SEMANA/2)),0)</f>
        <v>3</v>
      </c>
      <c r="J431" s="16" t="n">
        <f aca="false">IFERROR(MATCH($I431,ROTACAO_RDM!$B$6:$B$71,0),0)</f>
        <v>3</v>
      </c>
      <c r="K431" s="8" t="str">
        <f aca="false">IF($J431=0,"SEM CULTURA",INDEX(ROTACAO_RDM!$F$6:$F$71,$J431))</f>
        <v>ALGODAO</v>
      </c>
      <c r="L431" s="8" t="str">
        <f aca="false">IF($J431=0,"",INDEX(ROTACAO_RDM!$G$6:$G$71,$J431))</f>
        <v>IMA 5901 B2RF</v>
      </c>
      <c r="M431" s="17" t="n">
        <f aca="false">IF($J431=0,"",INDEX(ROTACAO_RDM!$I$6:$I$71,$J431))</f>
        <v>46367</v>
      </c>
      <c r="N431" s="16" t="n">
        <f aca="false">IF($J431=0,0,MAX(0,$C431+INT(DIAS_POR_SEMANA/2)-INDEX(ROTACAO_RDM!$I$6:$I$71,$J431)))</f>
        <v>104</v>
      </c>
      <c r="O431" s="19" t="n">
        <f aca="false">IF($J431=0,0,MIN(1,$N431/MAX(1,INDEX(ROTACAO_RDM!$K$6:$K$71,$J431))))</f>
        <v>0.533333333333333</v>
      </c>
      <c r="P431" s="16" t="n">
        <f aca="false">IF($J431=0,0,IFERROR(MATCH(INDEX(ROTACAO_RDM!$N$6:$N$71,$J431),PARAMETROS_CULTURAS!$B$6:$B$28,0),0))</f>
        <v>5</v>
      </c>
      <c r="Q431" s="8" t="str">
        <f aca="false">IF($P431=0,"-",IF($O431&lt;=INDEX(PARAMETROS_CULTURAS!$F$6:$F$28,$P431),"INICIAL",IF($O431&lt;=INDEX(PARAMETROS_CULTURAS!$F$6:$F$28,$P431)+INDEX(PARAMETROS_CULTURAS!$G$6:$G$28,$P431),"DESENVOLVIMENTO",IF($O431&lt;=INDEX(PARAMETROS_CULTURAS!$F$6:$F$28,$P431)+INDEX(PARAMETROS_CULTURAS!$G$6:$G$28,$P431)+INDEX(PARAMETROS_CULTURAS!$H$6:$H$28,$P431),"MEDIA","FINAL"))))</f>
        <v>MEDIA</v>
      </c>
      <c r="R431" s="24" t="n">
        <f aca="false">IF($P431=0,0,IF($O431&lt;=INDEX(PARAMETROS_CULTURAS!$F$6:$F$28,$P431),INDEX(PARAMETROS_CULTURAS!$K$6:$K$28,$P431),IF($O431&lt;=INDEX(PARAMETROS_CULTURAS!$F$6:$F$28,$P431)+INDEX(PARAMETROS_CULTURAS!$G$6:$G$28,$P431),INDEX(PARAMETROS_CULTURAS!$K$6:$K$28,$P431)+(INDEX(PARAMETROS_CULTURAS!$L$6:$L$28,$P431)-INDEX(PARAMETROS_CULTURAS!$K$6:$K$28,$P431))*($O431-INDEX(PARAMETROS_CULTURAS!$F$6:$F$28,$P431))/MAX(INDEX(PARAMETROS_CULTURAS!$G$6:$G$28,$P431),0.0001),IF($O431&lt;=INDEX(PARAMETROS_CULTURAS!$F$6:$F$28,$P431)+INDEX(PARAMETROS_CULTURAS!$G$6:$G$28,$P431)+INDEX(PARAMETROS_CULTURAS!$H$6:$H$28,$P431),INDEX(PARAMETROS_CULTURAS!$L$6:$L$28,$P431),INDEX(PARAMETROS_CULTURAS!$L$6:$L$28,$P431)+(INDEX(PARAMETROS_CULTURAS!$M$6:$M$28,$P431)-INDEX(PARAMETROS_CULTURAS!$L$6:$L$28,$P431))*($O431-INDEX(PARAMETROS_CULTURAS!$F$6:$F$28,$P431)-INDEX(PARAMETROS_CULTURAS!$G$6:$G$28,$P431)-INDEX(PARAMETROS_CULTURAS!$H$6:$H$28,$P431))/MAX(INDEX(PARAMETROS_CULTURAS!$I$6:$I$28,$P431),0.0001)))))</f>
        <v>1.15</v>
      </c>
      <c r="S431" s="18" t="n">
        <f aca="false">IFERROR(INDEX(SEMANAS!$H$6:$H$71,MATCH($B431,SEMANAS!$B$6:$B$71,0)),0)</f>
        <v>32.2</v>
      </c>
      <c r="T431" s="18" t="n">
        <f aca="false">$R431*$S431</f>
        <v>37.03</v>
      </c>
      <c r="U431" s="18" t="n">
        <f aca="false">IFERROR(INDEX(SEMANAS!$I$6:$I$71,MATCH($B431,SEMANAS!$B$6:$B$71,0)),0)</f>
        <v>37.24</v>
      </c>
      <c r="V431" s="18" t="n">
        <f aca="false">IFERROR(INDEX(SEMANAS!$J$6:$J$71,MATCH($B431,SEMANAS!$B$6:$B$71,0)),0)</f>
        <v>29.792</v>
      </c>
      <c r="W431" s="18" t="n">
        <f aca="false">MAX(0,$T431-$V431)</f>
        <v>7.23799999999999</v>
      </c>
      <c r="X431" s="19" t="n">
        <f aca="false">IFERROR(INDEX(CADASTRO_PIVOS!$K$6:$K$41,MATCH($E431,CADASTRO_PIVOS!$B$6:$B$41,0)),EFICIENCIA_PADRAO)</f>
        <v>0.85</v>
      </c>
      <c r="Y431" s="18" t="n">
        <f aca="false">IF($X431&lt;=0,0,$W431/$X431)</f>
        <v>8.51529411764705</v>
      </c>
      <c r="Z431" s="16" t="n">
        <f aca="false">$Y431*$H431*MM_PARA_M3_HA</f>
        <v>8521.2548235294</v>
      </c>
      <c r="AA431" s="18" t="n">
        <f aca="false">IFERROR(INDEX(CADASTRO_PIVOS!$I$6:$I$41,MATCH($E431,CADASTRO_PIVOS!$B$6:$B$41,0)),0)</f>
        <v>714.785714285714</v>
      </c>
      <c r="AB431" s="18" t="n">
        <f aca="false">IF($Z431&lt;=0,0,$Z431/$AA431)</f>
        <v>11.9214117647059</v>
      </c>
      <c r="AC431" s="16" t="n">
        <f aca="false">IFERROR(INDEX(SEMANAS!$K$6:$K$71,MATCH($B431,SEMANAS!$B$6:$B$71,0)),0)</f>
        <v>147</v>
      </c>
      <c r="AD431" s="19" t="n">
        <f aca="false">IF($AC431&lt;=0,0,$AB431/$AC431)</f>
        <v>0.0810980392156862</v>
      </c>
      <c r="AE431" s="8" t="str">
        <f aca="false">IF($K431="SEM CULTURA","SEM CULTURA",IF($AA431&lt;=0,"DADO PENDENTE",IF($AD431&gt;LIMITE_CRITICO,"INVIAVEL",IF($AD431&gt;LIMITE_ATENCAO,"CRITICO",IF($AD431&gt;LIMITE_CONFORTAVEL,"ATENCAO","OK")))))</f>
        <v>OK</v>
      </c>
      <c r="AF431" s="8" t="str">
        <f aca="false">$B431&amp;"|"&amp;TEXT($AD431,"0.000000")</f>
        <v>30|0.081098</v>
      </c>
      <c r="AG431" s="18" t="n">
        <f aca="false">IF($K431="SEM CULTURA",0,$T431*$H431)</f>
        <v>3705.5921</v>
      </c>
      <c r="AH431" s="18" t="n">
        <f aca="false">IF($K431="SEM CULTURA",0,$V431*$H431)</f>
        <v>2981.28544</v>
      </c>
      <c r="AI431" s="18" t="n">
        <f aca="false">IF($K431="SEM CULTURA",0,$W431*$H431)</f>
        <v>724.306659999999</v>
      </c>
      <c r="AJ431" s="18" t="n">
        <f aca="false">IF($K431="SEM CULTURA",0,$S431*$H431)</f>
        <v>3222.254</v>
      </c>
      <c r="AK431" s="8" t="str">
        <f aca="false">$E431&amp;"|"&amp;TEXT($AD431,"0.000000")</f>
        <v>PV 102|0.081098</v>
      </c>
    </row>
    <row r="432" customFormat="false" ht="15" hidden="false" customHeight="false" outlineLevel="0" collapsed="false">
      <c r="B432" s="16" t="n">
        <v>31</v>
      </c>
      <c r="C432" s="17" t="n">
        <f aca="false">DATA_INICIO_SAFRA+($B432-1)*DIAS_POR_SEMANA</f>
        <v>46475</v>
      </c>
      <c r="D432" s="17" t="n">
        <f aca="false">$C432+DIAS_POR_SEMANA-1</f>
        <v>46481</v>
      </c>
      <c r="E432" s="15" t="s">
        <v>265</v>
      </c>
      <c r="F432" s="8" t="str">
        <f aca="false">IFERROR(INDEX(CADASTRO_PIVOS!$C$6:$C$41,MATCH($E432,CADASTRO_PIVOS!$B$6:$B$41,0)),"?")</f>
        <v>RM04</v>
      </c>
      <c r="G432" s="8" t="str">
        <f aca="false">IFERROR(INDEX(CADASTRO_PIVOS!$D$6:$D$41,MATCH($E432,CADASTRO_PIVOS!$B$6:$B$41,0)),"?")</f>
        <v>TR04</v>
      </c>
      <c r="H432" s="20" t="n">
        <f aca="false">IFERROR(INDEX(CADASTRO_PIVOS!$E$6:$E$41,MATCH($E432,CADASTRO_PIVOS!$B$6:$B$41,0)),0)</f>
        <v>100.07</v>
      </c>
      <c r="I432" s="16" t="n">
        <f aca="false">IFERROR(SUMIFS(ROTACAO_RDM!$B$6:$B$71,ROTACAO_RDM!$D$6:$D$71,$E432,ROTACAO_RDM!$I$6:$I$71,"&lt;="&amp;$C432+INT(DIAS_POR_SEMANA/2),ROTACAO_RDM!$J$6:$J$71,"&gt;="&amp;$C432+INT(DIAS_POR_SEMANA/2)),0)</f>
        <v>3</v>
      </c>
      <c r="J432" s="16" t="n">
        <f aca="false">IFERROR(MATCH($I432,ROTACAO_RDM!$B$6:$B$71,0),0)</f>
        <v>3</v>
      </c>
      <c r="K432" s="8" t="str">
        <f aca="false">IF($J432=0,"SEM CULTURA",INDEX(ROTACAO_RDM!$F$6:$F$71,$J432))</f>
        <v>ALGODAO</v>
      </c>
      <c r="L432" s="8" t="str">
        <f aca="false">IF($J432=0,"",INDEX(ROTACAO_RDM!$G$6:$G$71,$J432))</f>
        <v>IMA 5901 B2RF</v>
      </c>
      <c r="M432" s="17" t="n">
        <f aca="false">IF($J432=0,"",INDEX(ROTACAO_RDM!$I$6:$I$71,$J432))</f>
        <v>46367</v>
      </c>
      <c r="N432" s="16" t="n">
        <f aca="false">IF($J432=0,0,MAX(0,$C432+INT(DIAS_POR_SEMANA/2)-INDEX(ROTACAO_RDM!$I$6:$I$71,$J432)))</f>
        <v>111</v>
      </c>
      <c r="O432" s="19" t="n">
        <f aca="false">IF($J432=0,0,MIN(1,$N432/MAX(1,INDEX(ROTACAO_RDM!$K$6:$K$71,$J432))))</f>
        <v>0.569230769230769</v>
      </c>
      <c r="P432" s="16" t="n">
        <f aca="false">IF($J432=0,0,IFERROR(MATCH(INDEX(ROTACAO_RDM!$N$6:$N$71,$J432),PARAMETROS_CULTURAS!$B$6:$B$28,0),0))</f>
        <v>5</v>
      </c>
      <c r="Q432" s="8" t="str">
        <f aca="false">IF($P432=0,"-",IF($O432&lt;=INDEX(PARAMETROS_CULTURAS!$F$6:$F$28,$P432),"INICIAL",IF($O432&lt;=INDEX(PARAMETROS_CULTURAS!$F$6:$F$28,$P432)+INDEX(PARAMETROS_CULTURAS!$G$6:$G$28,$P432),"DESENVOLVIMENTO",IF($O432&lt;=INDEX(PARAMETROS_CULTURAS!$F$6:$F$28,$P432)+INDEX(PARAMETROS_CULTURAS!$G$6:$G$28,$P432)+INDEX(PARAMETROS_CULTURAS!$H$6:$H$28,$P432),"MEDIA","FINAL"))))</f>
        <v>MEDIA</v>
      </c>
      <c r="R432" s="24" t="n">
        <f aca="false">IF($P432=0,0,IF($O432&lt;=INDEX(PARAMETROS_CULTURAS!$F$6:$F$28,$P432),INDEX(PARAMETROS_CULTURAS!$K$6:$K$28,$P432),IF($O432&lt;=INDEX(PARAMETROS_CULTURAS!$F$6:$F$28,$P432)+INDEX(PARAMETROS_CULTURAS!$G$6:$G$28,$P432),INDEX(PARAMETROS_CULTURAS!$K$6:$K$28,$P432)+(INDEX(PARAMETROS_CULTURAS!$L$6:$L$28,$P432)-INDEX(PARAMETROS_CULTURAS!$K$6:$K$28,$P432))*($O432-INDEX(PARAMETROS_CULTURAS!$F$6:$F$28,$P432))/MAX(INDEX(PARAMETROS_CULTURAS!$G$6:$G$28,$P432),0.0001),IF($O432&lt;=INDEX(PARAMETROS_CULTURAS!$F$6:$F$28,$P432)+INDEX(PARAMETROS_CULTURAS!$G$6:$G$28,$P432)+INDEX(PARAMETROS_CULTURAS!$H$6:$H$28,$P432),INDEX(PARAMETROS_CULTURAS!$L$6:$L$28,$P432),INDEX(PARAMETROS_CULTURAS!$L$6:$L$28,$P432)+(INDEX(PARAMETROS_CULTURAS!$M$6:$M$28,$P432)-INDEX(PARAMETROS_CULTURAS!$L$6:$L$28,$P432))*($O432-INDEX(PARAMETROS_CULTURAS!$F$6:$F$28,$P432)-INDEX(PARAMETROS_CULTURAS!$G$6:$G$28,$P432)-INDEX(PARAMETROS_CULTURAS!$H$6:$H$28,$P432))/MAX(INDEX(PARAMETROS_CULTURAS!$I$6:$I$28,$P432),0.0001)))))</f>
        <v>1.15</v>
      </c>
      <c r="S432" s="18" t="n">
        <f aca="false">IFERROR(INDEX(SEMANAS!$H$6:$H$71,MATCH($B432,SEMANAS!$B$6:$B$71,0)),0)</f>
        <v>31.8</v>
      </c>
      <c r="T432" s="18" t="n">
        <f aca="false">$R432*$S432</f>
        <v>36.57</v>
      </c>
      <c r="U432" s="18" t="n">
        <f aca="false">IFERROR(INDEX(SEMANAS!$I$6:$I$71,MATCH($B432,SEMANAS!$B$6:$B$71,0)),0)</f>
        <v>25.28</v>
      </c>
      <c r="V432" s="18" t="n">
        <f aca="false">IFERROR(INDEX(SEMANAS!$J$6:$J$71,MATCH($B432,SEMANAS!$B$6:$B$71,0)),0)</f>
        <v>20.224</v>
      </c>
      <c r="W432" s="18" t="n">
        <f aca="false">MAX(0,$T432-$V432)</f>
        <v>16.346</v>
      </c>
      <c r="X432" s="19" t="n">
        <f aca="false">IFERROR(INDEX(CADASTRO_PIVOS!$K$6:$K$41,MATCH($E432,CADASTRO_PIVOS!$B$6:$B$41,0)),EFICIENCIA_PADRAO)</f>
        <v>0.85</v>
      </c>
      <c r="Y432" s="18" t="n">
        <f aca="false">IF($X432&lt;=0,0,$W432/$X432)</f>
        <v>19.2305882352941</v>
      </c>
      <c r="Z432" s="16" t="n">
        <f aca="false">$Y432*$H432*MM_PARA_M3_HA</f>
        <v>19244.0496470588</v>
      </c>
      <c r="AA432" s="18" t="n">
        <f aca="false">IFERROR(INDEX(CADASTRO_PIVOS!$I$6:$I$41,MATCH($E432,CADASTRO_PIVOS!$B$6:$B$41,0)),0)</f>
        <v>714.785714285714</v>
      </c>
      <c r="AB432" s="18" t="n">
        <f aca="false">IF($Z432&lt;=0,0,$Z432/$AA432)</f>
        <v>26.9228235294118</v>
      </c>
      <c r="AC432" s="16" t="n">
        <f aca="false">IFERROR(INDEX(SEMANAS!$K$6:$K$71,MATCH($B432,SEMANAS!$B$6:$B$71,0)),0)</f>
        <v>147</v>
      </c>
      <c r="AD432" s="19" t="n">
        <f aca="false">IF($AC432&lt;=0,0,$AB432/$AC432)</f>
        <v>0.183148459383753</v>
      </c>
      <c r="AE432" s="8" t="str">
        <f aca="false">IF($K432="SEM CULTURA","SEM CULTURA",IF($AA432&lt;=0,"DADO PENDENTE",IF($AD432&gt;LIMITE_CRITICO,"INVIAVEL",IF($AD432&gt;LIMITE_ATENCAO,"CRITICO",IF($AD432&gt;LIMITE_CONFORTAVEL,"ATENCAO","OK")))))</f>
        <v>OK</v>
      </c>
      <c r="AF432" s="8" t="str">
        <f aca="false">$B432&amp;"|"&amp;TEXT($AD432,"0.000000")</f>
        <v>31|0.183148</v>
      </c>
      <c r="AG432" s="18" t="n">
        <f aca="false">IF($K432="SEM CULTURA",0,$T432*$H432)</f>
        <v>3659.5599</v>
      </c>
      <c r="AH432" s="18" t="n">
        <f aca="false">IF($K432="SEM CULTURA",0,$V432*$H432)</f>
        <v>2023.81568</v>
      </c>
      <c r="AI432" s="18" t="n">
        <f aca="false">IF($K432="SEM CULTURA",0,$W432*$H432)</f>
        <v>1635.74422</v>
      </c>
      <c r="AJ432" s="18" t="n">
        <f aca="false">IF($K432="SEM CULTURA",0,$S432*$H432)</f>
        <v>3182.226</v>
      </c>
      <c r="AK432" s="8" t="str">
        <f aca="false">$E432&amp;"|"&amp;TEXT($AD432,"0.000000")</f>
        <v>PV 102|0.183148</v>
      </c>
    </row>
    <row r="433" customFormat="false" ht="15" hidden="false" customHeight="false" outlineLevel="0" collapsed="false">
      <c r="B433" s="16" t="n">
        <v>32</v>
      </c>
      <c r="C433" s="17" t="n">
        <f aca="false">DATA_INICIO_SAFRA+($B433-1)*DIAS_POR_SEMANA</f>
        <v>46482</v>
      </c>
      <c r="D433" s="17" t="n">
        <f aca="false">$C433+DIAS_POR_SEMANA-1</f>
        <v>46488</v>
      </c>
      <c r="E433" s="15" t="s">
        <v>265</v>
      </c>
      <c r="F433" s="8" t="str">
        <f aca="false">IFERROR(INDEX(CADASTRO_PIVOS!$C$6:$C$41,MATCH($E433,CADASTRO_PIVOS!$B$6:$B$41,0)),"?")</f>
        <v>RM04</v>
      </c>
      <c r="G433" s="8" t="str">
        <f aca="false">IFERROR(INDEX(CADASTRO_PIVOS!$D$6:$D$41,MATCH($E433,CADASTRO_PIVOS!$B$6:$B$41,0)),"?")</f>
        <v>TR04</v>
      </c>
      <c r="H433" s="20" t="n">
        <f aca="false">IFERROR(INDEX(CADASTRO_PIVOS!$E$6:$E$41,MATCH($E433,CADASTRO_PIVOS!$B$6:$B$41,0)),0)</f>
        <v>100.07</v>
      </c>
      <c r="I433" s="16" t="n">
        <f aca="false">IFERROR(SUMIFS(ROTACAO_RDM!$B$6:$B$71,ROTACAO_RDM!$D$6:$D$71,$E433,ROTACAO_RDM!$I$6:$I$71,"&lt;="&amp;$C433+INT(DIAS_POR_SEMANA/2),ROTACAO_RDM!$J$6:$J$71,"&gt;="&amp;$C433+INT(DIAS_POR_SEMANA/2)),0)</f>
        <v>3</v>
      </c>
      <c r="J433" s="16" t="n">
        <f aca="false">IFERROR(MATCH($I433,ROTACAO_RDM!$B$6:$B$71,0),0)</f>
        <v>3</v>
      </c>
      <c r="K433" s="8" t="str">
        <f aca="false">IF($J433=0,"SEM CULTURA",INDEX(ROTACAO_RDM!$F$6:$F$71,$J433))</f>
        <v>ALGODAO</v>
      </c>
      <c r="L433" s="8" t="str">
        <f aca="false">IF($J433=0,"",INDEX(ROTACAO_RDM!$G$6:$G$71,$J433))</f>
        <v>IMA 5901 B2RF</v>
      </c>
      <c r="M433" s="17" t="n">
        <f aca="false">IF($J433=0,"",INDEX(ROTACAO_RDM!$I$6:$I$71,$J433))</f>
        <v>46367</v>
      </c>
      <c r="N433" s="16" t="n">
        <f aca="false">IF($J433=0,0,MAX(0,$C433+INT(DIAS_POR_SEMANA/2)-INDEX(ROTACAO_RDM!$I$6:$I$71,$J433)))</f>
        <v>118</v>
      </c>
      <c r="O433" s="19" t="n">
        <f aca="false">IF($J433=0,0,MIN(1,$N433/MAX(1,INDEX(ROTACAO_RDM!$K$6:$K$71,$J433))))</f>
        <v>0.605128205128205</v>
      </c>
      <c r="P433" s="16" t="n">
        <f aca="false">IF($J433=0,0,IFERROR(MATCH(INDEX(ROTACAO_RDM!$N$6:$N$71,$J433),PARAMETROS_CULTURAS!$B$6:$B$28,0),0))</f>
        <v>5</v>
      </c>
      <c r="Q433" s="8" t="str">
        <f aca="false">IF($P433=0,"-",IF($O433&lt;=INDEX(PARAMETROS_CULTURAS!$F$6:$F$28,$P433),"INICIAL",IF($O433&lt;=INDEX(PARAMETROS_CULTURAS!$F$6:$F$28,$P433)+INDEX(PARAMETROS_CULTURAS!$G$6:$G$28,$P433),"DESENVOLVIMENTO",IF($O433&lt;=INDEX(PARAMETROS_CULTURAS!$F$6:$F$28,$P433)+INDEX(PARAMETROS_CULTURAS!$G$6:$G$28,$P433)+INDEX(PARAMETROS_CULTURAS!$H$6:$H$28,$P433),"MEDIA","FINAL"))))</f>
        <v>MEDIA</v>
      </c>
      <c r="R433" s="24" t="n">
        <f aca="false">IF($P433=0,0,IF($O433&lt;=INDEX(PARAMETROS_CULTURAS!$F$6:$F$28,$P433),INDEX(PARAMETROS_CULTURAS!$K$6:$K$28,$P433),IF($O433&lt;=INDEX(PARAMETROS_CULTURAS!$F$6:$F$28,$P433)+INDEX(PARAMETROS_CULTURAS!$G$6:$G$28,$P433),INDEX(PARAMETROS_CULTURAS!$K$6:$K$28,$P433)+(INDEX(PARAMETROS_CULTURAS!$L$6:$L$28,$P433)-INDEX(PARAMETROS_CULTURAS!$K$6:$K$28,$P433))*($O433-INDEX(PARAMETROS_CULTURAS!$F$6:$F$28,$P433))/MAX(INDEX(PARAMETROS_CULTURAS!$G$6:$G$28,$P433),0.0001),IF($O433&lt;=INDEX(PARAMETROS_CULTURAS!$F$6:$F$28,$P433)+INDEX(PARAMETROS_CULTURAS!$G$6:$G$28,$P433)+INDEX(PARAMETROS_CULTURAS!$H$6:$H$28,$P433),INDEX(PARAMETROS_CULTURAS!$L$6:$L$28,$P433),INDEX(PARAMETROS_CULTURAS!$L$6:$L$28,$P433)+(INDEX(PARAMETROS_CULTURAS!$M$6:$M$28,$P433)-INDEX(PARAMETROS_CULTURAS!$L$6:$L$28,$P433))*($O433-INDEX(PARAMETROS_CULTURAS!$F$6:$F$28,$P433)-INDEX(PARAMETROS_CULTURAS!$G$6:$G$28,$P433)-INDEX(PARAMETROS_CULTURAS!$H$6:$H$28,$P433))/MAX(INDEX(PARAMETROS_CULTURAS!$I$6:$I$28,$P433),0.0001)))))</f>
        <v>1.15</v>
      </c>
      <c r="S433" s="18" t="n">
        <f aca="false">IFERROR(INDEX(SEMANAS!$H$6:$H$71,MATCH($B433,SEMANAS!$B$6:$B$71,0)),0)</f>
        <v>31.5</v>
      </c>
      <c r="T433" s="18" t="n">
        <f aca="false">$R433*$S433</f>
        <v>36.225</v>
      </c>
      <c r="U433" s="18" t="n">
        <f aca="false">IFERROR(INDEX(SEMANAS!$I$6:$I$71,MATCH($B433,SEMANAS!$B$6:$B$71,0)),0)</f>
        <v>16.31</v>
      </c>
      <c r="V433" s="18" t="n">
        <f aca="false">IFERROR(INDEX(SEMANAS!$J$6:$J$71,MATCH($B433,SEMANAS!$B$6:$B$71,0)),0)</f>
        <v>13.048</v>
      </c>
      <c r="W433" s="18" t="n">
        <f aca="false">MAX(0,$T433-$V433)</f>
        <v>23.177</v>
      </c>
      <c r="X433" s="19" t="n">
        <f aca="false">IFERROR(INDEX(CADASTRO_PIVOS!$K$6:$K$41,MATCH($E433,CADASTRO_PIVOS!$B$6:$B$41,0)),EFICIENCIA_PADRAO)</f>
        <v>0.85</v>
      </c>
      <c r="Y433" s="18" t="n">
        <f aca="false">IF($X433&lt;=0,0,$W433/$X433)</f>
        <v>27.2670588235294</v>
      </c>
      <c r="Z433" s="16" t="n">
        <f aca="false">$Y433*$H433*MM_PARA_M3_HA</f>
        <v>27286.1457647059</v>
      </c>
      <c r="AA433" s="18" t="n">
        <f aca="false">IFERROR(INDEX(CADASTRO_PIVOS!$I$6:$I$41,MATCH($E433,CADASTRO_PIVOS!$B$6:$B$41,0)),0)</f>
        <v>714.785714285714</v>
      </c>
      <c r="AB433" s="18" t="n">
        <f aca="false">IF($Z433&lt;=0,0,$Z433/$AA433)</f>
        <v>38.1738823529412</v>
      </c>
      <c r="AC433" s="16" t="n">
        <f aca="false">IFERROR(INDEX(SEMANAS!$K$6:$K$71,MATCH($B433,SEMANAS!$B$6:$B$71,0)),0)</f>
        <v>147</v>
      </c>
      <c r="AD433" s="19" t="n">
        <f aca="false">IF($AC433&lt;=0,0,$AB433/$AC433)</f>
        <v>0.259686274509804</v>
      </c>
      <c r="AE433" s="8" t="str">
        <f aca="false">IF($K433="SEM CULTURA","SEM CULTURA",IF($AA433&lt;=0,"DADO PENDENTE",IF($AD433&gt;LIMITE_CRITICO,"INVIAVEL",IF($AD433&gt;LIMITE_ATENCAO,"CRITICO",IF($AD433&gt;LIMITE_CONFORTAVEL,"ATENCAO","OK")))))</f>
        <v>OK</v>
      </c>
      <c r="AF433" s="8" t="str">
        <f aca="false">$B433&amp;"|"&amp;TEXT($AD433,"0.000000")</f>
        <v>32|0.259686</v>
      </c>
      <c r="AG433" s="18" t="n">
        <f aca="false">IF($K433="SEM CULTURA",0,$T433*$H433)</f>
        <v>3625.03575</v>
      </c>
      <c r="AH433" s="18" t="n">
        <f aca="false">IF($K433="SEM CULTURA",0,$V433*$H433)</f>
        <v>1305.71336</v>
      </c>
      <c r="AI433" s="18" t="n">
        <f aca="false">IF($K433="SEM CULTURA",0,$W433*$H433)</f>
        <v>2319.32239</v>
      </c>
      <c r="AJ433" s="18" t="n">
        <f aca="false">IF($K433="SEM CULTURA",0,$S433*$H433)</f>
        <v>3152.205</v>
      </c>
      <c r="AK433" s="8" t="str">
        <f aca="false">$E433&amp;"|"&amp;TEXT($AD433,"0.000000")</f>
        <v>PV 102|0.259686</v>
      </c>
    </row>
    <row r="434" customFormat="false" ht="15" hidden="false" customHeight="false" outlineLevel="0" collapsed="false">
      <c r="B434" s="16" t="n">
        <v>33</v>
      </c>
      <c r="C434" s="17" t="n">
        <f aca="false">DATA_INICIO_SAFRA+($B434-1)*DIAS_POR_SEMANA</f>
        <v>46489</v>
      </c>
      <c r="D434" s="17" t="n">
        <f aca="false">$C434+DIAS_POR_SEMANA-1</f>
        <v>46495</v>
      </c>
      <c r="E434" s="15" t="s">
        <v>265</v>
      </c>
      <c r="F434" s="8" t="str">
        <f aca="false">IFERROR(INDEX(CADASTRO_PIVOS!$C$6:$C$41,MATCH($E434,CADASTRO_PIVOS!$B$6:$B$41,0)),"?")</f>
        <v>RM04</v>
      </c>
      <c r="G434" s="8" t="str">
        <f aca="false">IFERROR(INDEX(CADASTRO_PIVOS!$D$6:$D$41,MATCH($E434,CADASTRO_PIVOS!$B$6:$B$41,0)),"?")</f>
        <v>TR04</v>
      </c>
      <c r="H434" s="20" t="n">
        <f aca="false">IFERROR(INDEX(CADASTRO_PIVOS!$E$6:$E$41,MATCH($E434,CADASTRO_PIVOS!$B$6:$B$41,0)),0)</f>
        <v>100.07</v>
      </c>
      <c r="I434" s="16" t="n">
        <f aca="false">IFERROR(SUMIFS(ROTACAO_RDM!$B$6:$B$71,ROTACAO_RDM!$D$6:$D$71,$E434,ROTACAO_RDM!$I$6:$I$71,"&lt;="&amp;$C434+INT(DIAS_POR_SEMANA/2),ROTACAO_RDM!$J$6:$J$71,"&gt;="&amp;$C434+INT(DIAS_POR_SEMANA/2)),0)</f>
        <v>3</v>
      </c>
      <c r="J434" s="16" t="n">
        <f aca="false">IFERROR(MATCH($I434,ROTACAO_RDM!$B$6:$B$71,0),0)</f>
        <v>3</v>
      </c>
      <c r="K434" s="8" t="str">
        <f aca="false">IF($J434=0,"SEM CULTURA",INDEX(ROTACAO_RDM!$F$6:$F$71,$J434))</f>
        <v>ALGODAO</v>
      </c>
      <c r="L434" s="8" t="str">
        <f aca="false">IF($J434=0,"",INDEX(ROTACAO_RDM!$G$6:$G$71,$J434))</f>
        <v>IMA 5901 B2RF</v>
      </c>
      <c r="M434" s="17" t="n">
        <f aca="false">IF($J434=0,"",INDEX(ROTACAO_RDM!$I$6:$I$71,$J434))</f>
        <v>46367</v>
      </c>
      <c r="N434" s="16" t="n">
        <f aca="false">IF($J434=0,0,MAX(0,$C434+INT(DIAS_POR_SEMANA/2)-INDEX(ROTACAO_RDM!$I$6:$I$71,$J434)))</f>
        <v>125</v>
      </c>
      <c r="O434" s="19" t="n">
        <f aca="false">IF($J434=0,0,MIN(1,$N434/MAX(1,INDEX(ROTACAO_RDM!$K$6:$K$71,$J434))))</f>
        <v>0.641025641025641</v>
      </c>
      <c r="P434" s="16" t="n">
        <f aca="false">IF($J434=0,0,IFERROR(MATCH(INDEX(ROTACAO_RDM!$N$6:$N$71,$J434),PARAMETROS_CULTURAS!$B$6:$B$28,0),0))</f>
        <v>5</v>
      </c>
      <c r="Q434" s="8" t="str">
        <f aca="false">IF($P434=0,"-",IF($O434&lt;=INDEX(PARAMETROS_CULTURAS!$F$6:$F$28,$P434),"INICIAL",IF($O434&lt;=INDEX(PARAMETROS_CULTURAS!$F$6:$F$28,$P434)+INDEX(PARAMETROS_CULTURAS!$G$6:$G$28,$P434),"DESENVOLVIMENTO",IF($O434&lt;=INDEX(PARAMETROS_CULTURAS!$F$6:$F$28,$P434)+INDEX(PARAMETROS_CULTURAS!$G$6:$G$28,$P434)+INDEX(PARAMETROS_CULTURAS!$H$6:$H$28,$P434),"MEDIA","FINAL"))))</f>
        <v>MEDIA</v>
      </c>
      <c r="R434" s="24" t="n">
        <f aca="false">IF($P434=0,0,IF($O434&lt;=INDEX(PARAMETROS_CULTURAS!$F$6:$F$28,$P434),INDEX(PARAMETROS_CULTURAS!$K$6:$K$28,$P434),IF($O434&lt;=INDEX(PARAMETROS_CULTURAS!$F$6:$F$28,$P434)+INDEX(PARAMETROS_CULTURAS!$G$6:$G$28,$P434),INDEX(PARAMETROS_CULTURAS!$K$6:$K$28,$P434)+(INDEX(PARAMETROS_CULTURAS!$L$6:$L$28,$P434)-INDEX(PARAMETROS_CULTURAS!$K$6:$K$28,$P434))*($O434-INDEX(PARAMETROS_CULTURAS!$F$6:$F$28,$P434))/MAX(INDEX(PARAMETROS_CULTURAS!$G$6:$G$28,$P434),0.0001),IF($O434&lt;=INDEX(PARAMETROS_CULTURAS!$F$6:$F$28,$P434)+INDEX(PARAMETROS_CULTURAS!$G$6:$G$28,$P434)+INDEX(PARAMETROS_CULTURAS!$H$6:$H$28,$P434),INDEX(PARAMETROS_CULTURAS!$L$6:$L$28,$P434),INDEX(PARAMETROS_CULTURAS!$L$6:$L$28,$P434)+(INDEX(PARAMETROS_CULTURAS!$M$6:$M$28,$P434)-INDEX(PARAMETROS_CULTURAS!$L$6:$L$28,$P434))*($O434-INDEX(PARAMETROS_CULTURAS!$F$6:$F$28,$P434)-INDEX(PARAMETROS_CULTURAS!$G$6:$G$28,$P434)-INDEX(PARAMETROS_CULTURAS!$H$6:$H$28,$P434))/MAX(INDEX(PARAMETROS_CULTURAS!$I$6:$I$28,$P434),0.0001)))))</f>
        <v>1.15</v>
      </c>
      <c r="S434" s="18" t="n">
        <f aca="false">IFERROR(INDEX(SEMANAS!$H$6:$H$71,MATCH($B434,SEMANAS!$B$6:$B$71,0)),0)</f>
        <v>31.5</v>
      </c>
      <c r="T434" s="18" t="n">
        <f aca="false">$R434*$S434</f>
        <v>36.225</v>
      </c>
      <c r="U434" s="18" t="n">
        <f aca="false">IFERROR(INDEX(SEMANAS!$I$6:$I$71,MATCH($B434,SEMANAS!$B$6:$B$71,0)),0)</f>
        <v>16.31</v>
      </c>
      <c r="V434" s="18" t="n">
        <f aca="false">IFERROR(INDEX(SEMANAS!$J$6:$J$71,MATCH($B434,SEMANAS!$B$6:$B$71,0)),0)</f>
        <v>13.048</v>
      </c>
      <c r="W434" s="18" t="n">
        <f aca="false">MAX(0,$T434-$V434)</f>
        <v>23.177</v>
      </c>
      <c r="X434" s="19" t="n">
        <f aca="false">IFERROR(INDEX(CADASTRO_PIVOS!$K$6:$K$41,MATCH($E434,CADASTRO_PIVOS!$B$6:$B$41,0)),EFICIENCIA_PADRAO)</f>
        <v>0.85</v>
      </c>
      <c r="Y434" s="18" t="n">
        <f aca="false">IF($X434&lt;=0,0,$W434/$X434)</f>
        <v>27.2670588235294</v>
      </c>
      <c r="Z434" s="16" t="n">
        <f aca="false">$Y434*$H434*MM_PARA_M3_HA</f>
        <v>27286.1457647059</v>
      </c>
      <c r="AA434" s="18" t="n">
        <f aca="false">IFERROR(INDEX(CADASTRO_PIVOS!$I$6:$I$41,MATCH($E434,CADASTRO_PIVOS!$B$6:$B$41,0)),0)</f>
        <v>714.785714285714</v>
      </c>
      <c r="AB434" s="18" t="n">
        <f aca="false">IF($Z434&lt;=0,0,$Z434/$AA434)</f>
        <v>38.1738823529412</v>
      </c>
      <c r="AC434" s="16" t="n">
        <f aca="false">IFERROR(INDEX(SEMANAS!$K$6:$K$71,MATCH($B434,SEMANAS!$B$6:$B$71,0)),0)</f>
        <v>147</v>
      </c>
      <c r="AD434" s="19" t="n">
        <f aca="false">IF($AC434&lt;=0,0,$AB434/$AC434)</f>
        <v>0.259686274509804</v>
      </c>
      <c r="AE434" s="8" t="str">
        <f aca="false">IF($K434="SEM CULTURA","SEM CULTURA",IF($AA434&lt;=0,"DADO PENDENTE",IF($AD434&gt;LIMITE_CRITICO,"INVIAVEL",IF($AD434&gt;LIMITE_ATENCAO,"CRITICO",IF($AD434&gt;LIMITE_CONFORTAVEL,"ATENCAO","OK")))))</f>
        <v>OK</v>
      </c>
      <c r="AF434" s="8" t="str">
        <f aca="false">$B434&amp;"|"&amp;TEXT($AD434,"0.000000")</f>
        <v>33|0.259686</v>
      </c>
      <c r="AG434" s="18" t="n">
        <f aca="false">IF($K434="SEM CULTURA",0,$T434*$H434)</f>
        <v>3625.03575</v>
      </c>
      <c r="AH434" s="18" t="n">
        <f aca="false">IF($K434="SEM CULTURA",0,$V434*$H434)</f>
        <v>1305.71336</v>
      </c>
      <c r="AI434" s="18" t="n">
        <f aca="false">IF($K434="SEM CULTURA",0,$W434*$H434)</f>
        <v>2319.32239</v>
      </c>
      <c r="AJ434" s="18" t="n">
        <f aca="false">IF($K434="SEM CULTURA",0,$S434*$H434)</f>
        <v>3152.205</v>
      </c>
      <c r="AK434" s="8" t="str">
        <f aca="false">$E434&amp;"|"&amp;TEXT($AD434,"0.000000")</f>
        <v>PV 102|0.259686</v>
      </c>
    </row>
    <row r="435" customFormat="false" ht="15" hidden="false" customHeight="false" outlineLevel="0" collapsed="false">
      <c r="B435" s="16" t="n">
        <v>34</v>
      </c>
      <c r="C435" s="17" t="n">
        <f aca="false">DATA_INICIO_SAFRA+($B435-1)*DIAS_POR_SEMANA</f>
        <v>46496</v>
      </c>
      <c r="D435" s="17" t="n">
        <f aca="false">$C435+DIAS_POR_SEMANA-1</f>
        <v>46502</v>
      </c>
      <c r="E435" s="15" t="s">
        <v>265</v>
      </c>
      <c r="F435" s="8" t="str">
        <f aca="false">IFERROR(INDEX(CADASTRO_PIVOS!$C$6:$C$41,MATCH($E435,CADASTRO_PIVOS!$B$6:$B$41,0)),"?")</f>
        <v>RM04</v>
      </c>
      <c r="G435" s="8" t="str">
        <f aca="false">IFERROR(INDEX(CADASTRO_PIVOS!$D$6:$D$41,MATCH($E435,CADASTRO_PIVOS!$B$6:$B$41,0)),"?")</f>
        <v>TR04</v>
      </c>
      <c r="H435" s="20" t="n">
        <f aca="false">IFERROR(INDEX(CADASTRO_PIVOS!$E$6:$E$41,MATCH($E435,CADASTRO_PIVOS!$B$6:$B$41,0)),0)</f>
        <v>100.07</v>
      </c>
      <c r="I435" s="16" t="n">
        <f aca="false">IFERROR(SUMIFS(ROTACAO_RDM!$B$6:$B$71,ROTACAO_RDM!$D$6:$D$71,$E435,ROTACAO_RDM!$I$6:$I$71,"&lt;="&amp;$C435+INT(DIAS_POR_SEMANA/2),ROTACAO_RDM!$J$6:$J$71,"&gt;="&amp;$C435+INT(DIAS_POR_SEMANA/2)),0)</f>
        <v>3</v>
      </c>
      <c r="J435" s="16" t="n">
        <f aca="false">IFERROR(MATCH($I435,ROTACAO_RDM!$B$6:$B$71,0),0)</f>
        <v>3</v>
      </c>
      <c r="K435" s="8" t="str">
        <f aca="false">IF($J435=0,"SEM CULTURA",INDEX(ROTACAO_RDM!$F$6:$F$71,$J435))</f>
        <v>ALGODAO</v>
      </c>
      <c r="L435" s="8" t="str">
        <f aca="false">IF($J435=0,"",INDEX(ROTACAO_RDM!$G$6:$G$71,$J435))</f>
        <v>IMA 5901 B2RF</v>
      </c>
      <c r="M435" s="17" t="n">
        <f aca="false">IF($J435=0,"",INDEX(ROTACAO_RDM!$I$6:$I$71,$J435))</f>
        <v>46367</v>
      </c>
      <c r="N435" s="16" t="n">
        <f aca="false">IF($J435=0,0,MAX(0,$C435+INT(DIAS_POR_SEMANA/2)-INDEX(ROTACAO_RDM!$I$6:$I$71,$J435)))</f>
        <v>132</v>
      </c>
      <c r="O435" s="19" t="n">
        <f aca="false">IF($J435=0,0,MIN(1,$N435/MAX(1,INDEX(ROTACAO_RDM!$K$6:$K$71,$J435))))</f>
        <v>0.676923076923077</v>
      </c>
      <c r="P435" s="16" t="n">
        <f aca="false">IF($J435=0,0,IFERROR(MATCH(INDEX(ROTACAO_RDM!$N$6:$N$71,$J435),PARAMETROS_CULTURAS!$B$6:$B$28,0),0))</f>
        <v>5</v>
      </c>
      <c r="Q435" s="8" t="str">
        <f aca="false">IF($P435=0,"-",IF($O435&lt;=INDEX(PARAMETROS_CULTURAS!$F$6:$F$28,$P435),"INICIAL",IF($O435&lt;=INDEX(PARAMETROS_CULTURAS!$F$6:$F$28,$P435)+INDEX(PARAMETROS_CULTURAS!$G$6:$G$28,$P435),"DESENVOLVIMENTO",IF($O435&lt;=INDEX(PARAMETROS_CULTURAS!$F$6:$F$28,$P435)+INDEX(PARAMETROS_CULTURAS!$G$6:$G$28,$P435)+INDEX(PARAMETROS_CULTURAS!$H$6:$H$28,$P435),"MEDIA","FINAL"))))</f>
        <v>MEDIA</v>
      </c>
      <c r="R435" s="24" t="n">
        <f aca="false">IF($P435=0,0,IF($O435&lt;=INDEX(PARAMETROS_CULTURAS!$F$6:$F$28,$P435),INDEX(PARAMETROS_CULTURAS!$K$6:$K$28,$P435),IF($O435&lt;=INDEX(PARAMETROS_CULTURAS!$F$6:$F$28,$P435)+INDEX(PARAMETROS_CULTURAS!$G$6:$G$28,$P435),INDEX(PARAMETROS_CULTURAS!$K$6:$K$28,$P435)+(INDEX(PARAMETROS_CULTURAS!$L$6:$L$28,$P435)-INDEX(PARAMETROS_CULTURAS!$K$6:$K$28,$P435))*($O435-INDEX(PARAMETROS_CULTURAS!$F$6:$F$28,$P435))/MAX(INDEX(PARAMETROS_CULTURAS!$G$6:$G$28,$P435),0.0001),IF($O435&lt;=INDEX(PARAMETROS_CULTURAS!$F$6:$F$28,$P435)+INDEX(PARAMETROS_CULTURAS!$G$6:$G$28,$P435)+INDEX(PARAMETROS_CULTURAS!$H$6:$H$28,$P435),INDEX(PARAMETROS_CULTURAS!$L$6:$L$28,$P435),INDEX(PARAMETROS_CULTURAS!$L$6:$L$28,$P435)+(INDEX(PARAMETROS_CULTURAS!$M$6:$M$28,$P435)-INDEX(PARAMETROS_CULTURAS!$L$6:$L$28,$P435))*($O435-INDEX(PARAMETROS_CULTURAS!$F$6:$F$28,$P435)-INDEX(PARAMETROS_CULTURAS!$G$6:$G$28,$P435)-INDEX(PARAMETROS_CULTURAS!$H$6:$H$28,$P435))/MAX(INDEX(PARAMETROS_CULTURAS!$I$6:$I$28,$P435),0.0001)))))</f>
        <v>1.15</v>
      </c>
      <c r="S435" s="18" t="n">
        <f aca="false">IFERROR(INDEX(SEMANAS!$H$6:$H$71,MATCH($B435,SEMANAS!$B$6:$B$71,0)),0)</f>
        <v>31.5</v>
      </c>
      <c r="T435" s="18" t="n">
        <f aca="false">$R435*$S435</f>
        <v>36.225</v>
      </c>
      <c r="U435" s="18" t="n">
        <f aca="false">IFERROR(INDEX(SEMANAS!$I$6:$I$71,MATCH($B435,SEMANAS!$B$6:$B$71,0)),0)</f>
        <v>16.31</v>
      </c>
      <c r="V435" s="18" t="n">
        <f aca="false">IFERROR(INDEX(SEMANAS!$J$6:$J$71,MATCH($B435,SEMANAS!$B$6:$B$71,0)),0)</f>
        <v>13.048</v>
      </c>
      <c r="W435" s="18" t="n">
        <f aca="false">MAX(0,$T435-$V435)</f>
        <v>23.177</v>
      </c>
      <c r="X435" s="19" t="n">
        <f aca="false">IFERROR(INDEX(CADASTRO_PIVOS!$K$6:$K$41,MATCH($E435,CADASTRO_PIVOS!$B$6:$B$41,0)),EFICIENCIA_PADRAO)</f>
        <v>0.85</v>
      </c>
      <c r="Y435" s="18" t="n">
        <f aca="false">IF($X435&lt;=0,0,$W435/$X435)</f>
        <v>27.2670588235294</v>
      </c>
      <c r="Z435" s="16" t="n">
        <f aca="false">$Y435*$H435*MM_PARA_M3_HA</f>
        <v>27286.1457647059</v>
      </c>
      <c r="AA435" s="18" t="n">
        <f aca="false">IFERROR(INDEX(CADASTRO_PIVOS!$I$6:$I$41,MATCH($E435,CADASTRO_PIVOS!$B$6:$B$41,0)),0)</f>
        <v>714.785714285714</v>
      </c>
      <c r="AB435" s="18" t="n">
        <f aca="false">IF($Z435&lt;=0,0,$Z435/$AA435)</f>
        <v>38.1738823529412</v>
      </c>
      <c r="AC435" s="16" t="n">
        <f aca="false">IFERROR(INDEX(SEMANAS!$K$6:$K$71,MATCH($B435,SEMANAS!$B$6:$B$71,0)),0)</f>
        <v>147</v>
      </c>
      <c r="AD435" s="19" t="n">
        <f aca="false">IF($AC435&lt;=0,0,$AB435/$AC435)</f>
        <v>0.259686274509804</v>
      </c>
      <c r="AE435" s="8" t="str">
        <f aca="false">IF($K435="SEM CULTURA","SEM CULTURA",IF($AA435&lt;=0,"DADO PENDENTE",IF($AD435&gt;LIMITE_CRITICO,"INVIAVEL",IF($AD435&gt;LIMITE_ATENCAO,"CRITICO",IF($AD435&gt;LIMITE_CONFORTAVEL,"ATENCAO","OK")))))</f>
        <v>OK</v>
      </c>
      <c r="AF435" s="8" t="str">
        <f aca="false">$B435&amp;"|"&amp;TEXT($AD435,"0.000000")</f>
        <v>34|0.259686</v>
      </c>
      <c r="AG435" s="18" t="n">
        <f aca="false">IF($K435="SEM CULTURA",0,$T435*$H435)</f>
        <v>3625.03575</v>
      </c>
      <c r="AH435" s="18" t="n">
        <f aca="false">IF($K435="SEM CULTURA",0,$V435*$H435)</f>
        <v>1305.71336</v>
      </c>
      <c r="AI435" s="18" t="n">
        <f aca="false">IF($K435="SEM CULTURA",0,$W435*$H435)</f>
        <v>2319.32239</v>
      </c>
      <c r="AJ435" s="18" t="n">
        <f aca="false">IF($K435="SEM CULTURA",0,$S435*$H435)</f>
        <v>3152.205</v>
      </c>
      <c r="AK435" s="8" t="str">
        <f aca="false">$E435&amp;"|"&amp;TEXT($AD435,"0.000000")</f>
        <v>PV 102|0.259686</v>
      </c>
    </row>
    <row r="436" customFormat="false" ht="15" hidden="false" customHeight="false" outlineLevel="0" collapsed="false">
      <c r="B436" s="16" t="n">
        <v>35</v>
      </c>
      <c r="C436" s="17" t="n">
        <f aca="false">DATA_INICIO_SAFRA+($B436-1)*DIAS_POR_SEMANA</f>
        <v>46503</v>
      </c>
      <c r="D436" s="17" t="n">
        <f aca="false">$C436+DIAS_POR_SEMANA-1</f>
        <v>46509</v>
      </c>
      <c r="E436" s="15" t="s">
        <v>265</v>
      </c>
      <c r="F436" s="8" t="str">
        <f aca="false">IFERROR(INDEX(CADASTRO_PIVOS!$C$6:$C$41,MATCH($E436,CADASTRO_PIVOS!$B$6:$B$41,0)),"?")</f>
        <v>RM04</v>
      </c>
      <c r="G436" s="8" t="str">
        <f aca="false">IFERROR(INDEX(CADASTRO_PIVOS!$D$6:$D$41,MATCH($E436,CADASTRO_PIVOS!$B$6:$B$41,0)),"?")</f>
        <v>TR04</v>
      </c>
      <c r="H436" s="20" t="n">
        <f aca="false">IFERROR(INDEX(CADASTRO_PIVOS!$E$6:$E$41,MATCH($E436,CADASTRO_PIVOS!$B$6:$B$41,0)),0)</f>
        <v>100.07</v>
      </c>
      <c r="I436" s="16" t="n">
        <f aca="false">IFERROR(SUMIFS(ROTACAO_RDM!$B$6:$B$71,ROTACAO_RDM!$D$6:$D$71,$E436,ROTACAO_RDM!$I$6:$I$71,"&lt;="&amp;$C436+INT(DIAS_POR_SEMANA/2),ROTACAO_RDM!$J$6:$J$71,"&gt;="&amp;$C436+INT(DIAS_POR_SEMANA/2)),0)</f>
        <v>3</v>
      </c>
      <c r="J436" s="16" t="n">
        <f aca="false">IFERROR(MATCH($I436,ROTACAO_RDM!$B$6:$B$71,0),0)</f>
        <v>3</v>
      </c>
      <c r="K436" s="8" t="str">
        <f aca="false">IF($J436=0,"SEM CULTURA",INDEX(ROTACAO_RDM!$F$6:$F$71,$J436))</f>
        <v>ALGODAO</v>
      </c>
      <c r="L436" s="8" t="str">
        <f aca="false">IF($J436=0,"",INDEX(ROTACAO_RDM!$G$6:$G$71,$J436))</f>
        <v>IMA 5901 B2RF</v>
      </c>
      <c r="M436" s="17" t="n">
        <f aca="false">IF($J436=0,"",INDEX(ROTACAO_RDM!$I$6:$I$71,$J436))</f>
        <v>46367</v>
      </c>
      <c r="N436" s="16" t="n">
        <f aca="false">IF($J436=0,0,MAX(0,$C436+INT(DIAS_POR_SEMANA/2)-INDEX(ROTACAO_RDM!$I$6:$I$71,$J436)))</f>
        <v>139</v>
      </c>
      <c r="O436" s="19" t="n">
        <f aca="false">IF($J436=0,0,MIN(1,$N436/MAX(1,INDEX(ROTACAO_RDM!$K$6:$K$71,$J436))))</f>
        <v>0.712820512820513</v>
      </c>
      <c r="P436" s="16" t="n">
        <f aca="false">IF($J436=0,0,IFERROR(MATCH(INDEX(ROTACAO_RDM!$N$6:$N$71,$J436),PARAMETROS_CULTURAS!$B$6:$B$28,0),0))</f>
        <v>5</v>
      </c>
      <c r="Q436" s="8" t="str">
        <f aca="false">IF($P436=0,"-",IF($O436&lt;=INDEX(PARAMETROS_CULTURAS!$F$6:$F$28,$P436),"INICIAL",IF($O436&lt;=INDEX(PARAMETROS_CULTURAS!$F$6:$F$28,$P436)+INDEX(PARAMETROS_CULTURAS!$G$6:$G$28,$P436),"DESENVOLVIMENTO",IF($O436&lt;=INDEX(PARAMETROS_CULTURAS!$F$6:$F$28,$P436)+INDEX(PARAMETROS_CULTURAS!$G$6:$G$28,$P436)+INDEX(PARAMETROS_CULTURAS!$H$6:$H$28,$P436),"MEDIA","FINAL"))))</f>
        <v>MEDIA</v>
      </c>
      <c r="R436" s="24" t="n">
        <f aca="false">IF($P436=0,0,IF($O436&lt;=INDEX(PARAMETROS_CULTURAS!$F$6:$F$28,$P436),INDEX(PARAMETROS_CULTURAS!$K$6:$K$28,$P436),IF($O436&lt;=INDEX(PARAMETROS_CULTURAS!$F$6:$F$28,$P436)+INDEX(PARAMETROS_CULTURAS!$G$6:$G$28,$P436),INDEX(PARAMETROS_CULTURAS!$K$6:$K$28,$P436)+(INDEX(PARAMETROS_CULTURAS!$L$6:$L$28,$P436)-INDEX(PARAMETROS_CULTURAS!$K$6:$K$28,$P436))*($O436-INDEX(PARAMETROS_CULTURAS!$F$6:$F$28,$P436))/MAX(INDEX(PARAMETROS_CULTURAS!$G$6:$G$28,$P436),0.0001),IF($O436&lt;=INDEX(PARAMETROS_CULTURAS!$F$6:$F$28,$P436)+INDEX(PARAMETROS_CULTURAS!$G$6:$G$28,$P436)+INDEX(PARAMETROS_CULTURAS!$H$6:$H$28,$P436),INDEX(PARAMETROS_CULTURAS!$L$6:$L$28,$P436),INDEX(PARAMETROS_CULTURAS!$L$6:$L$28,$P436)+(INDEX(PARAMETROS_CULTURAS!$M$6:$M$28,$P436)-INDEX(PARAMETROS_CULTURAS!$L$6:$L$28,$P436))*($O436-INDEX(PARAMETROS_CULTURAS!$F$6:$F$28,$P436)-INDEX(PARAMETROS_CULTURAS!$G$6:$G$28,$P436)-INDEX(PARAMETROS_CULTURAS!$H$6:$H$28,$P436))/MAX(INDEX(PARAMETROS_CULTURAS!$I$6:$I$28,$P436),0.0001)))))</f>
        <v>1.15</v>
      </c>
      <c r="S436" s="18" t="n">
        <f aca="false">IFERROR(INDEX(SEMANAS!$H$6:$H$71,MATCH($B436,SEMANAS!$B$6:$B$71,0)),0)</f>
        <v>30.9</v>
      </c>
      <c r="T436" s="18" t="n">
        <f aca="false">$R436*$S436</f>
        <v>35.535</v>
      </c>
      <c r="U436" s="18" t="n">
        <f aca="false">IFERROR(INDEX(SEMANAS!$I$6:$I$71,MATCH($B436,SEMANAS!$B$6:$B$71,0)),0)</f>
        <v>12.61</v>
      </c>
      <c r="V436" s="18" t="n">
        <f aca="false">IFERROR(INDEX(SEMANAS!$J$6:$J$71,MATCH($B436,SEMANAS!$B$6:$B$71,0)),0)</f>
        <v>10.088</v>
      </c>
      <c r="W436" s="18" t="n">
        <f aca="false">MAX(0,$T436-$V436)</f>
        <v>25.447</v>
      </c>
      <c r="X436" s="19" t="n">
        <f aca="false">IFERROR(INDEX(CADASTRO_PIVOS!$K$6:$K$41,MATCH($E436,CADASTRO_PIVOS!$B$6:$B$41,0)),EFICIENCIA_PADRAO)</f>
        <v>0.85</v>
      </c>
      <c r="Y436" s="18" t="n">
        <f aca="false">IF($X436&lt;=0,0,$W436/$X436)</f>
        <v>29.9376470588235</v>
      </c>
      <c r="Z436" s="16" t="n">
        <f aca="false">$Y436*$H436*MM_PARA_M3_HA</f>
        <v>29958.6034117647</v>
      </c>
      <c r="AA436" s="18" t="n">
        <f aca="false">IFERROR(INDEX(CADASTRO_PIVOS!$I$6:$I$41,MATCH($E436,CADASTRO_PIVOS!$B$6:$B$41,0)),0)</f>
        <v>714.785714285714</v>
      </c>
      <c r="AB436" s="18" t="n">
        <f aca="false">IF($Z436&lt;=0,0,$Z436/$AA436)</f>
        <v>41.9127058823529</v>
      </c>
      <c r="AC436" s="16" t="n">
        <f aca="false">IFERROR(INDEX(SEMANAS!$K$6:$K$71,MATCH($B436,SEMANAS!$B$6:$B$71,0)),0)</f>
        <v>147</v>
      </c>
      <c r="AD436" s="19" t="n">
        <f aca="false">IF($AC436&lt;=0,0,$AB436/$AC436)</f>
        <v>0.285120448179272</v>
      </c>
      <c r="AE436" s="8" t="str">
        <f aca="false">IF($K436="SEM CULTURA","SEM CULTURA",IF($AA436&lt;=0,"DADO PENDENTE",IF($AD436&gt;LIMITE_CRITICO,"INVIAVEL",IF($AD436&gt;LIMITE_ATENCAO,"CRITICO",IF($AD436&gt;LIMITE_CONFORTAVEL,"ATENCAO","OK")))))</f>
        <v>OK</v>
      </c>
      <c r="AF436" s="8" t="str">
        <f aca="false">$B436&amp;"|"&amp;TEXT($AD436,"0.000000")</f>
        <v>35|0.285120</v>
      </c>
      <c r="AG436" s="18" t="n">
        <f aca="false">IF($K436="SEM CULTURA",0,$T436*$H436)</f>
        <v>3555.98745</v>
      </c>
      <c r="AH436" s="18" t="n">
        <f aca="false">IF($K436="SEM CULTURA",0,$V436*$H436)</f>
        <v>1009.50616</v>
      </c>
      <c r="AI436" s="18" t="n">
        <f aca="false">IF($K436="SEM CULTURA",0,$W436*$H436)</f>
        <v>2546.48129</v>
      </c>
      <c r="AJ436" s="18" t="n">
        <f aca="false">IF($K436="SEM CULTURA",0,$S436*$H436)</f>
        <v>3092.163</v>
      </c>
      <c r="AK436" s="8" t="str">
        <f aca="false">$E436&amp;"|"&amp;TEXT($AD436,"0.000000")</f>
        <v>PV 102|0.285120</v>
      </c>
    </row>
    <row r="437" customFormat="false" ht="15" hidden="false" customHeight="false" outlineLevel="0" collapsed="false">
      <c r="B437" s="16" t="n">
        <v>36</v>
      </c>
      <c r="C437" s="17" t="n">
        <f aca="false">DATA_INICIO_SAFRA+($B437-1)*DIAS_POR_SEMANA</f>
        <v>46510</v>
      </c>
      <c r="D437" s="17" t="n">
        <f aca="false">$C437+DIAS_POR_SEMANA-1</f>
        <v>46516</v>
      </c>
      <c r="E437" s="15" t="s">
        <v>265</v>
      </c>
      <c r="F437" s="8" t="str">
        <f aca="false">IFERROR(INDEX(CADASTRO_PIVOS!$C$6:$C$41,MATCH($E437,CADASTRO_PIVOS!$B$6:$B$41,0)),"?")</f>
        <v>RM04</v>
      </c>
      <c r="G437" s="8" t="str">
        <f aca="false">IFERROR(INDEX(CADASTRO_PIVOS!$D$6:$D$41,MATCH($E437,CADASTRO_PIVOS!$B$6:$B$41,0)),"?")</f>
        <v>TR04</v>
      </c>
      <c r="H437" s="20" t="n">
        <f aca="false">IFERROR(INDEX(CADASTRO_PIVOS!$E$6:$E$41,MATCH($E437,CADASTRO_PIVOS!$B$6:$B$41,0)),0)</f>
        <v>100.07</v>
      </c>
      <c r="I437" s="16" t="n">
        <f aca="false">IFERROR(SUMIFS(ROTACAO_RDM!$B$6:$B$71,ROTACAO_RDM!$D$6:$D$71,$E437,ROTACAO_RDM!$I$6:$I$71,"&lt;="&amp;$C437+INT(DIAS_POR_SEMANA/2),ROTACAO_RDM!$J$6:$J$71,"&gt;="&amp;$C437+INT(DIAS_POR_SEMANA/2)),0)</f>
        <v>3</v>
      </c>
      <c r="J437" s="16" t="n">
        <f aca="false">IFERROR(MATCH($I437,ROTACAO_RDM!$B$6:$B$71,0),0)</f>
        <v>3</v>
      </c>
      <c r="K437" s="8" t="str">
        <f aca="false">IF($J437=0,"SEM CULTURA",INDEX(ROTACAO_RDM!$F$6:$F$71,$J437))</f>
        <v>ALGODAO</v>
      </c>
      <c r="L437" s="8" t="str">
        <f aca="false">IF($J437=0,"",INDEX(ROTACAO_RDM!$G$6:$G$71,$J437))</f>
        <v>IMA 5901 B2RF</v>
      </c>
      <c r="M437" s="17" t="n">
        <f aca="false">IF($J437=0,"",INDEX(ROTACAO_RDM!$I$6:$I$71,$J437))</f>
        <v>46367</v>
      </c>
      <c r="N437" s="16" t="n">
        <f aca="false">IF($J437=0,0,MAX(0,$C437+INT(DIAS_POR_SEMANA/2)-INDEX(ROTACAO_RDM!$I$6:$I$71,$J437)))</f>
        <v>146</v>
      </c>
      <c r="O437" s="19" t="n">
        <f aca="false">IF($J437=0,0,MIN(1,$N437/MAX(1,INDEX(ROTACAO_RDM!$K$6:$K$71,$J437))))</f>
        <v>0.748717948717949</v>
      </c>
      <c r="P437" s="16" t="n">
        <f aca="false">IF($J437=0,0,IFERROR(MATCH(INDEX(ROTACAO_RDM!$N$6:$N$71,$J437),PARAMETROS_CULTURAS!$B$6:$B$28,0),0))</f>
        <v>5</v>
      </c>
      <c r="Q437" s="8" t="str">
        <f aca="false">IF($P437=0,"-",IF($O437&lt;=INDEX(PARAMETROS_CULTURAS!$F$6:$F$28,$P437),"INICIAL",IF($O437&lt;=INDEX(PARAMETROS_CULTURAS!$F$6:$F$28,$P437)+INDEX(PARAMETROS_CULTURAS!$G$6:$G$28,$P437),"DESENVOLVIMENTO",IF($O437&lt;=INDEX(PARAMETROS_CULTURAS!$F$6:$F$28,$P437)+INDEX(PARAMETROS_CULTURAS!$G$6:$G$28,$P437)+INDEX(PARAMETROS_CULTURAS!$H$6:$H$28,$P437),"MEDIA","FINAL"))))</f>
        <v>FINAL</v>
      </c>
      <c r="R437" s="24" t="n">
        <f aca="false">IF($P437=0,0,IF($O437&lt;=INDEX(PARAMETROS_CULTURAS!$F$6:$F$28,$P437),INDEX(PARAMETROS_CULTURAS!$K$6:$K$28,$P437),IF($O437&lt;=INDEX(PARAMETROS_CULTURAS!$F$6:$F$28,$P437)+INDEX(PARAMETROS_CULTURAS!$G$6:$G$28,$P437),INDEX(PARAMETROS_CULTURAS!$K$6:$K$28,$P437)+(INDEX(PARAMETROS_CULTURAS!$L$6:$L$28,$P437)-INDEX(PARAMETROS_CULTURAS!$K$6:$K$28,$P437))*($O437-INDEX(PARAMETROS_CULTURAS!$F$6:$F$28,$P437))/MAX(INDEX(PARAMETROS_CULTURAS!$G$6:$G$28,$P437),0.0001),IF($O437&lt;=INDEX(PARAMETROS_CULTURAS!$F$6:$F$28,$P437)+INDEX(PARAMETROS_CULTURAS!$G$6:$G$28,$P437)+INDEX(PARAMETROS_CULTURAS!$H$6:$H$28,$P437),INDEX(PARAMETROS_CULTURAS!$L$6:$L$28,$P437),INDEX(PARAMETROS_CULTURAS!$L$6:$L$28,$P437)+(INDEX(PARAMETROS_CULTURAS!$M$6:$M$28,$P437)-INDEX(PARAMETROS_CULTURAS!$L$6:$L$28,$P437))*($O437-INDEX(PARAMETROS_CULTURAS!$F$6:$F$28,$P437)-INDEX(PARAMETROS_CULTURAS!$G$6:$G$28,$P437)-INDEX(PARAMETROS_CULTURAS!$H$6:$H$28,$P437))/MAX(INDEX(PARAMETROS_CULTURAS!$I$6:$I$28,$P437),0.0001)))))</f>
        <v>1.09358974358974</v>
      </c>
      <c r="S437" s="18" t="n">
        <f aca="false">IFERROR(INDEX(SEMANAS!$H$6:$H$71,MATCH($B437,SEMANAS!$B$6:$B$71,0)),0)</f>
        <v>29.4</v>
      </c>
      <c r="T437" s="18" t="n">
        <f aca="false">$R437*$S437</f>
        <v>32.1515384615385</v>
      </c>
      <c r="U437" s="18" t="n">
        <f aca="false">IFERROR(INDEX(SEMANAS!$I$6:$I$71,MATCH($B437,SEMANAS!$B$6:$B$71,0)),0)</f>
        <v>3.36</v>
      </c>
      <c r="V437" s="18" t="n">
        <f aca="false">IFERROR(INDEX(SEMANAS!$J$6:$J$71,MATCH($B437,SEMANAS!$B$6:$B$71,0)),0)</f>
        <v>2.688</v>
      </c>
      <c r="W437" s="18" t="n">
        <f aca="false">MAX(0,$T437-$V437)</f>
        <v>29.4635384615385</v>
      </c>
      <c r="X437" s="19" t="n">
        <f aca="false">IFERROR(INDEX(CADASTRO_PIVOS!$K$6:$K$41,MATCH($E437,CADASTRO_PIVOS!$B$6:$B$41,0)),EFICIENCIA_PADRAO)</f>
        <v>0.85</v>
      </c>
      <c r="Y437" s="18" t="n">
        <f aca="false">IF($X437&lt;=0,0,$W437/$X437)</f>
        <v>34.6629864253394</v>
      </c>
      <c r="Z437" s="16" t="n">
        <f aca="false">$Y437*$H437*MM_PARA_M3_HA</f>
        <v>34687.2505158371</v>
      </c>
      <c r="AA437" s="18" t="n">
        <f aca="false">IFERROR(INDEX(CADASTRO_PIVOS!$I$6:$I$41,MATCH($E437,CADASTRO_PIVOS!$B$6:$B$41,0)),0)</f>
        <v>714.785714285714</v>
      </c>
      <c r="AB437" s="18" t="n">
        <f aca="false">IF($Z437&lt;=0,0,$Z437/$AA437)</f>
        <v>48.5281809954751</v>
      </c>
      <c r="AC437" s="16" t="n">
        <f aca="false">IFERROR(INDEX(SEMANAS!$K$6:$K$71,MATCH($B437,SEMANAS!$B$6:$B$71,0)),0)</f>
        <v>147</v>
      </c>
      <c r="AD437" s="19" t="n">
        <f aca="false">IF($AC437&lt;=0,0,$AB437/$AC437)</f>
        <v>0.330123680241327</v>
      </c>
      <c r="AE437" s="8" t="str">
        <f aca="false">IF($K437="SEM CULTURA","SEM CULTURA",IF($AA437&lt;=0,"DADO PENDENTE",IF($AD437&gt;LIMITE_CRITICO,"INVIAVEL",IF($AD437&gt;LIMITE_ATENCAO,"CRITICO",IF($AD437&gt;LIMITE_CONFORTAVEL,"ATENCAO","OK")))))</f>
        <v>OK</v>
      </c>
      <c r="AF437" s="8" t="str">
        <f aca="false">$B437&amp;"|"&amp;TEXT($AD437,"0.000000")</f>
        <v>36|0.330124</v>
      </c>
      <c r="AG437" s="18" t="n">
        <f aca="false">IF($K437="SEM CULTURA",0,$T437*$H437)</f>
        <v>3217.40445384615</v>
      </c>
      <c r="AH437" s="18" t="n">
        <f aca="false">IF($K437="SEM CULTURA",0,$V437*$H437)</f>
        <v>268.98816</v>
      </c>
      <c r="AI437" s="18" t="n">
        <f aca="false">IF($K437="SEM CULTURA",0,$W437*$H437)</f>
        <v>2948.41629384615</v>
      </c>
      <c r="AJ437" s="18" t="n">
        <f aca="false">IF($K437="SEM CULTURA",0,$S437*$H437)</f>
        <v>2942.058</v>
      </c>
      <c r="AK437" s="8" t="str">
        <f aca="false">$E437&amp;"|"&amp;TEXT($AD437,"0.000000")</f>
        <v>PV 102|0.330124</v>
      </c>
    </row>
    <row r="438" customFormat="false" ht="15" hidden="false" customHeight="false" outlineLevel="0" collapsed="false">
      <c r="B438" s="16" t="n">
        <v>37</v>
      </c>
      <c r="C438" s="17" t="n">
        <f aca="false">DATA_INICIO_SAFRA+($B438-1)*DIAS_POR_SEMANA</f>
        <v>46517</v>
      </c>
      <c r="D438" s="17" t="n">
        <f aca="false">$C438+DIAS_POR_SEMANA-1</f>
        <v>46523</v>
      </c>
      <c r="E438" s="15" t="s">
        <v>265</v>
      </c>
      <c r="F438" s="8" t="str">
        <f aca="false">IFERROR(INDEX(CADASTRO_PIVOS!$C$6:$C$41,MATCH($E438,CADASTRO_PIVOS!$B$6:$B$41,0)),"?")</f>
        <v>RM04</v>
      </c>
      <c r="G438" s="8" t="str">
        <f aca="false">IFERROR(INDEX(CADASTRO_PIVOS!$D$6:$D$41,MATCH($E438,CADASTRO_PIVOS!$B$6:$B$41,0)),"?")</f>
        <v>TR04</v>
      </c>
      <c r="H438" s="20" t="n">
        <f aca="false">IFERROR(INDEX(CADASTRO_PIVOS!$E$6:$E$41,MATCH($E438,CADASTRO_PIVOS!$B$6:$B$41,0)),0)</f>
        <v>100.07</v>
      </c>
      <c r="I438" s="16" t="n">
        <f aca="false">IFERROR(SUMIFS(ROTACAO_RDM!$B$6:$B$71,ROTACAO_RDM!$D$6:$D$71,$E438,ROTACAO_RDM!$I$6:$I$71,"&lt;="&amp;$C438+INT(DIAS_POR_SEMANA/2),ROTACAO_RDM!$J$6:$J$71,"&gt;="&amp;$C438+INT(DIAS_POR_SEMANA/2)),0)</f>
        <v>3</v>
      </c>
      <c r="J438" s="16" t="n">
        <f aca="false">IFERROR(MATCH($I438,ROTACAO_RDM!$B$6:$B$71,0),0)</f>
        <v>3</v>
      </c>
      <c r="K438" s="8" t="str">
        <f aca="false">IF($J438=0,"SEM CULTURA",INDEX(ROTACAO_RDM!$F$6:$F$71,$J438))</f>
        <v>ALGODAO</v>
      </c>
      <c r="L438" s="8" t="str">
        <f aca="false">IF($J438=0,"",INDEX(ROTACAO_RDM!$G$6:$G$71,$J438))</f>
        <v>IMA 5901 B2RF</v>
      </c>
      <c r="M438" s="17" t="n">
        <f aca="false">IF($J438=0,"",INDEX(ROTACAO_RDM!$I$6:$I$71,$J438))</f>
        <v>46367</v>
      </c>
      <c r="N438" s="16" t="n">
        <f aca="false">IF($J438=0,0,MAX(0,$C438+INT(DIAS_POR_SEMANA/2)-INDEX(ROTACAO_RDM!$I$6:$I$71,$J438)))</f>
        <v>153</v>
      </c>
      <c r="O438" s="19" t="n">
        <f aca="false">IF($J438=0,0,MIN(1,$N438/MAX(1,INDEX(ROTACAO_RDM!$K$6:$K$71,$J438))))</f>
        <v>0.784615384615385</v>
      </c>
      <c r="P438" s="16" t="n">
        <f aca="false">IF($J438=0,0,IFERROR(MATCH(INDEX(ROTACAO_RDM!$N$6:$N$71,$J438),PARAMETROS_CULTURAS!$B$6:$B$28,0),0))</f>
        <v>5</v>
      </c>
      <c r="Q438" s="8" t="str">
        <f aca="false">IF($P438=0,"-",IF($O438&lt;=INDEX(PARAMETROS_CULTURAS!$F$6:$F$28,$P438),"INICIAL",IF($O438&lt;=INDEX(PARAMETROS_CULTURAS!$F$6:$F$28,$P438)+INDEX(PARAMETROS_CULTURAS!$G$6:$G$28,$P438),"DESENVOLVIMENTO",IF($O438&lt;=INDEX(PARAMETROS_CULTURAS!$F$6:$F$28,$P438)+INDEX(PARAMETROS_CULTURAS!$G$6:$G$28,$P438)+INDEX(PARAMETROS_CULTURAS!$H$6:$H$28,$P438),"MEDIA","FINAL"))))</f>
        <v>FINAL</v>
      </c>
      <c r="R438" s="24" t="n">
        <f aca="false">IF($P438=0,0,IF($O438&lt;=INDEX(PARAMETROS_CULTURAS!$F$6:$F$28,$P438),INDEX(PARAMETROS_CULTURAS!$K$6:$K$28,$P438),IF($O438&lt;=INDEX(PARAMETROS_CULTURAS!$F$6:$F$28,$P438)+INDEX(PARAMETROS_CULTURAS!$G$6:$G$28,$P438),INDEX(PARAMETROS_CULTURAS!$K$6:$K$28,$P438)+(INDEX(PARAMETROS_CULTURAS!$L$6:$L$28,$P438)-INDEX(PARAMETROS_CULTURAS!$K$6:$K$28,$P438))*($O438-INDEX(PARAMETROS_CULTURAS!$F$6:$F$28,$P438))/MAX(INDEX(PARAMETROS_CULTURAS!$G$6:$G$28,$P438),0.0001),IF($O438&lt;=INDEX(PARAMETROS_CULTURAS!$F$6:$F$28,$P438)+INDEX(PARAMETROS_CULTURAS!$G$6:$G$28,$P438)+INDEX(PARAMETROS_CULTURAS!$H$6:$H$28,$P438),INDEX(PARAMETROS_CULTURAS!$L$6:$L$28,$P438),INDEX(PARAMETROS_CULTURAS!$L$6:$L$28,$P438)+(INDEX(PARAMETROS_CULTURAS!$M$6:$M$28,$P438)-INDEX(PARAMETROS_CULTURAS!$L$6:$L$28,$P438))*($O438-INDEX(PARAMETROS_CULTURAS!$F$6:$F$28,$P438)-INDEX(PARAMETROS_CULTURAS!$G$6:$G$28,$P438)-INDEX(PARAMETROS_CULTURAS!$H$6:$H$28,$P438))/MAX(INDEX(PARAMETROS_CULTURAS!$I$6:$I$28,$P438),0.0001)))))</f>
        <v>1.02307692307692</v>
      </c>
      <c r="S438" s="18" t="n">
        <f aca="false">IFERROR(INDEX(SEMANAS!$H$6:$H$71,MATCH($B438,SEMANAS!$B$6:$B$71,0)),0)</f>
        <v>29.4</v>
      </c>
      <c r="T438" s="18" t="n">
        <f aca="false">$R438*$S438</f>
        <v>30.0784615384615</v>
      </c>
      <c r="U438" s="18" t="n">
        <f aca="false">IFERROR(INDEX(SEMANAS!$I$6:$I$71,MATCH($B438,SEMANAS!$B$6:$B$71,0)),0)</f>
        <v>3.36</v>
      </c>
      <c r="V438" s="18" t="n">
        <f aca="false">IFERROR(INDEX(SEMANAS!$J$6:$J$71,MATCH($B438,SEMANAS!$B$6:$B$71,0)),0)</f>
        <v>2.688</v>
      </c>
      <c r="W438" s="18" t="n">
        <f aca="false">MAX(0,$T438-$V438)</f>
        <v>27.3904615384615</v>
      </c>
      <c r="X438" s="19" t="n">
        <f aca="false">IFERROR(INDEX(CADASTRO_PIVOS!$K$6:$K$41,MATCH($E438,CADASTRO_PIVOS!$B$6:$B$41,0)),EFICIENCIA_PADRAO)</f>
        <v>0.85</v>
      </c>
      <c r="Y438" s="18" t="n">
        <f aca="false">IF($X438&lt;=0,0,$W438/$X438)</f>
        <v>32.22407239819</v>
      </c>
      <c r="Z438" s="16" t="n">
        <f aca="false">$Y438*$H438*MM_PARA_M3_HA</f>
        <v>32246.6292488688</v>
      </c>
      <c r="AA438" s="18" t="n">
        <f aca="false">IFERROR(INDEX(CADASTRO_PIVOS!$I$6:$I$41,MATCH($E438,CADASTRO_PIVOS!$B$6:$B$41,0)),0)</f>
        <v>714.785714285714</v>
      </c>
      <c r="AB438" s="18" t="n">
        <f aca="false">IF($Z438&lt;=0,0,$Z438/$AA438)</f>
        <v>45.1137013574661</v>
      </c>
      <c r="AC438" s="16" t="n">
        <f aca="false">IFERROR(INDEX(SEMANAS!$K$6:$K$71,MATCH($B438,SEMANAS!$B$6:$B$71,0)),0)</f>
        <v>147</v>
      </c>
      <c r="AD438" s="19" t="n">
        <f aca="false">IF($AC438&lt;=0,0,$AB438/$AC438)</f>
        <v>0.30689592760181</v>
      </c>
      <c r="AE438" s="8" t="str">
        <f aca="false">IF($K438="SEM CULTURA","SEM CULTURA",IF($AA438&lt;=0,"DADO PENDENTE",IF($AD438&gt;LIMITE_CRITICO,"INVIAVEL",IF($AD438&gt;LIMITE_ATENCAO,"CRITICO",IF($AD438&gt;LIMITE_CONFORTAVEL,"ATENCAO","OK")))))</f>
        <v>OK</v>
      </c>
      <c r="AF438" s="8" t="str">
        <f aca="false">$B438&amp;"|"&amp;TEXT($AD438,"0.000000")</f>
        <v>37|0.306896</v>
      </c>
      <c r="AG438" s="18" t="n">
        <f aca="false">IF($K438="SEM CULTURA",0,$T438*$H438)</f>
        <v>3009.95164615385</v>
      </c>
      <c r="AH438" s="18" t="n">
        <f aca="false">IF($K438="SEM CULTURA",0,$V438*$H438)</f>
        <v>268.98816</v>
      </c>
      <c r="AI438" s="18" t="n">
        <f aca="false">IF($K438="SEM CULTURA",0,$W438*$H438)</f>
        <v>2740.96348615385</v>
      </c>
      <c r="AJ438" s="18" t="n">
        <f aca="false">IF($K438="SEM CULTURA",0,$S438*$H438)</f>
        <v>2942.058</v>
      </c>
      <c r="AK438" s="8" t="str">
        <f aca="false">$E438&amp;"|"&amp;TEXT($AD438,"0.000000")</f>
        <v>PV 102|0.306896</v>
      </c>
    </row>
    <row r="439" customFormat="false" ht="15" hidden="false" customHeight="false" outlineLevel="0" collapsed="false">
      <c r="B439" s="16" t="n">
        <v>38</v>
      </c>
      <c r="C439" s="17" t="n">
        <f aca="false">DATA_INICIO_SAFRA+($B439-1)*DIAS_POR_SEMANA</f>
        <v>46524</v>
      </c>
      <c r="D439" s="17" t="n">
        <f aca="false">$C439+DIAS_POR_SEMANA-1</f>
        <v>46530</v>
      </c>
      <c r="E439" s="15" t="s">
        <v>265</v>
      </c>
      <c r="F439" s="8" t="str">
        <f aca="false">IFERROR(INDEX(CADASTRO_PIVOS!$C$6:$C$41,MATCH($E439,CADASTRO_PIVOS!$B$6:$B$41,0)),"?")</f>
        <v>RM04</v>
      </c>
      <c r="G439" s="8" t="str">
        <f aca="false">IFERROR(INDEX(CADASTRO_PIVOS!$D$6:$D$41,MATCH($E439,CADASTRO_PIVOS!$B$6:$B$41,0)),"?")</f>
        <v>TR04</v>
      </c>
      <c r="H439" s="20" t="n">
        <f aca="false">IFERROR(INDEX(CADASTRO_PIVOS!$E$6:$E$41,MATCH($E439,CADASTRO_PIVOS!$B$6:$B$41,0)),0)</f>
        <v>100.07</v>
      </c>
      <c r="I439" s="16" t="n">
        <f aca="false">IFERROR(SUMIFS(ROTACAO_RDM!$B$6:$B$71,ROTACAO_RDM!$D$6:$D$71,$E439,ROTACAO_RDM!$I$6:$I$71,"&lt;="&amp;$C439+INT(DIAS_POR_SEMANA/2),ROTACAO_RDM!$J$6:$J$71,"&gt;="&amp;$C439+INT(DIAS_POR_SEMANA/2)),0)</f>
        <v>3</v>
      </c>
      <c r="J439" s="16" t="n">
        <f aca="false">IFERROR(MATCH($I439,ROTACAO_RDM!$B$6:$B$71,0),0)</f>
        <v>3</v>
      </c>
      <c r="K439" s="8" t="str">
        <f aca="false">IF($J439=0,"SEM CULTURA",INDEX(ROTACAO_RDM!$F$6:$F$71,$J439))</f>
        <v>ALGODAO</v>
      </c>
      <c r="L439" s="8" t="str">
        <f aca="false">IF($J439=0,"",INDEX(ROTACAO_RDM!$G$6:$G$71,$J439))</f>
        <v>IMA 5901 B2RF</v>
      </c>
      <c r="M439" s="17" t="n">
        <f aca="false">IF($J439=0,"",INDEX(ROTACAO_RDM!$I$6:$I$71,$J439))</f>
        <v>46367</v>
      </c>
      <c r="N439" s="16" t="n">
        <f aca="false">IF($J439=0,0,MAX(0,$C439+INT(DIAS_POR_SEMANA/2)-INDEX(ROTACAO_RDM!$I$6:$I$71,$J439)))</f>
        <v>160</v>
      </c>
      <c r="O439" s="19" t="n">
        <f aca="false">IF($J439=0,0,MIN(1,$N439/MAX(1,INDEX(ROTACAO_RDM!$K$6:$K$71,$J439))))</f>
        <v>0.820512820512821</v>
      </c>
      <c r="P439" s="16" t="n">
        <f aca="false">IF($J439=0,0,IFERROR(MATCH(INDEX(ROTACAO_RDM!$N$6:$N$71,$J439),PARAMETROS_CULTURAS!$B$6:$B$28,0),0))</f>
        <v>5</v>
      </c>
      <c r="Q439" s="8" t="str">
        <f aca="false">IF($P439=0,"-",IF($O439&lt;=INDEX(PARAMETROS_CULTURAS!$F$6:$F$28,$P439),"INICIAL",IF($O439&lt;=INDEX(PARAMETROS_CULTURAS!$F$6:$F$28,$P439)+INDEX(PARAMETROS_CULTURAS!$G$6:$G$28,$P439),"DESENVOLVIMENTO",IF($O439&lt;=INDEX(PARAMETROS_CULTURAS!$F$6:$F$28,$P439)+INDEX(PARAMETROS_CULTURAS!$G$6:$G$28,$P439)+INDEX(PARAMETROS_CULTURAS!$H$6:$H$28,$P439),"MEDIA","FINAL"))))</f>
        <v>FINAL</v>
      </c>
      <c r="R439" s="24" t="n">
        <f aca="false">IF($P439=0,0,IF($O439&lt;=INDEX(PARAMETROS_CULTURAS!$F$6:$F$28,$P439),INDEX(PARAMETROS_CULTURAS!$K$6:$K$28,$P439),IF($O439&lt;=INDEX(PARAMETROS_CULTURAS!$F$6:$F$28,$P439)+INDEX(PARAMETROS_CULTURAS!$G$6:$G$28,$P439),INDEX(PARAMETROS_CULTURAS!$K$6:$K$28,$P439)+(INDEX(PARAMETROS_CULTURAS!$L$6:$L$28,$P439)-INDEX(PARAMETROS_CULTURAS!$K$6:$K$28,$P439))*($O439-INDEX(PARAMETROS_CULTURAS!$F$6:$F$28,$P439))/MAX(INDEX(PARAMETROS_CULTURAS!$G$6:$G$28,$P439),0.0001),IF($O439&lt;=INDEX(PARAMETROS_CULTURAS!$F$6:$F$28,$P439)+INDEX(PARAMETROS_CULTURAS!$G$6:$G$28,$P439)+INDEX(PARAMETROS_CULTURAS!$H$6:$H$28,$P439),INDEX(PARAMETROS_CULTURAS!$L$6:$L$28,$P439),INDEX(PARAMETROS_CULTURAS!$L$6:$L$28,$P439)+(INDEX(PARAMETROS_CULTURAS!$M$6:$M$28,$P439)-INDEX(PARAMETROS_CULTURAS!$L$6:$L$28,$P439))*($O439-INDEX(PARAMETROS_CULTURAS!$F$6:$F$28,$P439)-INDEX(PARAMETROS_CULTURAS!$G$6:$G$28,$P439)-INDEX(PARAMETROS_CULTURAS!$H$6:$H$28,$P439))/MAX(INDEX(PARAMETROS_CULTURAS!$I$6:$I$28,$P439),0.0001)))))</f>
        <v>0.952564102564103</v>
      </c>
      <c r="S439" s="18" t="n">
        <f aca="false">IFERROR(INDEX(SEMANAS!$H$6:$H$71,MATCH($B439,SEMANAS!$B$6:$B$71,0)),0)</f>
        <v>29.4</v>
      </c>
      <c r="T439" s="18" t="n">
        <f aca="false">$R439*$S439</f>
        <v>28.0053846153846</v>
      </c>
      <c r="U439" s="18" t="n">
        <f aca="false">IFERROR(INDEX(SEMANAS!$I$6:$I$71,MATCH($B439,SEMANAS!$B$6:$B$71,0)),0)</f>
        <v>3.36</v>
      </c>
      <c r="V439" s="18" t="n">
        <f aca="false">IFERROR(INDEX(SEMANAS!$J$6:$J$71,MATCH($B439,SEMANAS!$B$6:$B$71,0)),0)</f>
        <v>2.688</v>
      </c>
      <c r="W439" s="18" t="n">
        <f aca="false">MAX(0,$T439-$V439)</f>
        <v>25.3173846153846</v>
      </c>
      <c r="X439" s="19" t="n">
        <f aca="false">IFERROR(INDEX(CADASTRO_PIVOS!$K$6:$K$41,MATCH($E439,CADASTRO_PIVOS!$B$6:$B$41,0)),EFICIENCIA_PADRAO)</f>
        <v>0.85</v>
      </c>
      <c r="Y439" s="18" t="n">
        <f aca="false">IF($X439&lt;=0,0,$W439/$X439)</f>
        <v>29.7851583710407</v>
      </c>
      <c r="Z439" s="16" t="n">
        <f aca="false">$Y439*$H439*MM_PARA_M3_HA</f>
        <v>29806.0079819005</v>
      </c>
      <c r="AA439" s="18" t="n">
        <f aca="false">IFERROR(INDEX(CADASTRO_PIVOS!$I$6:$I$41,MATCH($E439,CADASTRO_PIVOS!$B$6:$B$41,0)),0)</f>
        <v>714.785714285714</v>
      </c>
      <c r="AB439" s="18" t="n">
        <f aca="false">IF($Z439&lt;=0,0,$Z439/$AA439)</f>
        <v>41.699221719457</v>
      </c>
      <c r="AC439" s="16" t="n">
        <f aca="false">IFERROR(INDEX(SEMANAS!$K$6:$K$71,MATCH($B439,SEMANAS!$B$6:$B$71,0)),0)</f>
        <v>147</v>
      </c>
      <c r="AD439" s="19" t="n">
        <f aca="false">IF($AC439&lt;=0,0,$AB439/$AC439)</f>
        <v>0.283668174962293</v>
      </c>
      <c r="AE439" s="8" t="str">
        <f aca="false">IF($K439="SEM CULTURA","SEM CULTURA",IF($AA439&lt;=0,"DADO PENDENTE",IF($AD439&gt;LIMITE_CRITICO,"INVIAVEL",IF($AD439&gt;LIMITE_ATENCAO,"CRITICO",IF($AD439&gt;LIMITE_CONFORTAVEL,"ATENCAO","OK")))))</f>
        <v>OK</v>
      </c>
      <c r="AF439" s="8" t="str">
        <f aca="false">$B439&amp;"|"&amp;TEXT($AD439,"0.000000")</f>
        <v>38|0.283668</v>
      </c>
      <c r="AG439" s="18" t="n">
        <f aca="false">IF($K439="SEM CULTURA",0,$T439*$H439)</f>
        <v>2802.49883846154</v>
      </c>
      <c r="AH439" s="18" t="n">
        <f aca="false">IF($K439="SEM CULTURA",0,$V439*$H439)</f>
        <v>268.98816</v>
      </c>
      <c r="AI439" s="18" t="n">
        <f aca="false">IF($K439="SEM CULTURA",0,$W439*$H439)</f>
        <v>2533.51067846154</v>
      </c>
      <c r="AJ439" s="18" t="n">
        <f aca="false">IF($K439="SEM CULTURA",0,$S439*$H439)</f>
        <v>2942.058</v>
      </c>
      <c r="AK439" s="8" t="str">
        <f aca="false">$E439&amp;"|"&amp;TEXT($AD439,"0.000000")</f>
        <v>PV 102|0.283668</v>
      </c>
    </row>
    <row r="440" customFormat="false" ht="15" hidden="false" customHeight="false" outlineLevel="0" collapsed="false">
      <c r="B440" s="16" t="n">
        <v>39</v>
      </c>
      <c r="C440" s="17" t="n">
        <f aca="false">DATA_INICIO_SAFRA+($B440-1)*DIAS_POR_SEMANA</f>
        <v>46531</v>
      </c>
      <c r="D440" s="17" t="n">
        <f aca="false">$C440+DIAS_POR_SEMANA-1</f>
        <v>46537</v>
      </c>
      <c r="E440" s="15" t="s">
        <v>265</v>
      </c>
      <c r="F440" s="8" t="str">
        <f aca="false">IFERROR(INDEX(CADASTRO_PIVOS!$C$6:$C$41,MATCH($E440,CADASTRO_PIVOS!$B$6:$B$41,0)),"?")</f>
        <v>RM04</v>
      </c>
      <c r="G440" s="8" t="str">
        <f aca="false">IFERROR(INDEX(CADASTRO_PIVOS!$D$6:$D$41,MATCH($E440,CADASTRO_PIVOS!$B$6:$B$41,0)),"?")</f>
        <v>TR04</v>
      </c>
      <c r="H440" s="20" t="n">
        <f aca="false">IFERROR(INDEX(CADASTRO_PIVOS!$E$6:$E$41,MATCH($E440,CADASTRO_PIVOS!$B$6:$B$41,0)),0)</f>
        <v>100.07</v>
      </c>
      <c r="I440" s="16" t="n">
        <f aca="false">IFERROR(SUMIFS(ROTACAO_RDM!$B$6:$B$71,ROTACAO_RDM!$D$6:$D$71,$E440,ROTACAO_RDM!$I$6:$I$71,"&lt;="&amp;$C440+INT(DIAS_POR_SEMANA/2),ROTACAO_RDM!$J$6:$J$71,"&gt;="&amp;$C440+INT(DIAS_POR_SEMANA/2)),0)</f>
        <v>3</v>
      </c>
      <c r="J440" s="16" t="n">
        <f aca="false">IFERROR(MATCH($I440,ROTACAO_RDM!$B$6:$B$71,0),0)</f>
        <v>3</v>
      </c>
      <c r="K440" s="8" t="str">
        <f aca="false">IF($J440=0,"SEM CULTURA",INDEX(ROTACAO_RDM!$F$6:$F$71,$J440))</f>
        <v>ALGODAO</v>
      </c>
      <c r="L440" s="8" t="str">
        <f aca="false">IF($J440=0,"",INDEX(ROTACAO_RDM!$G$6:$G$71,$J440))</f>
        <v>IMA 5901 B2RF</v>
      </c>
      <c r="M440" s="17" t="n">
        <f aca="false">IF($J440=0,"",INDEX(ROTACAO_RDM!$I$6:$I$71,$J440))</f>
        <v>46367</v>
      </c>
      <c r="N440" s="16" t="n">
        <f aca="false">IF($J440=0,0,MAX(0,$C440+INT(DIAS_POR_SEMANA/2)-INDEX(ROTACAO_RDM!$I$6:$I$71,$J440)))</f>
        <v>167</v>
      </c>
      <c r="O440" s="19" t="n">
        <f aca="false">IF($J440=0,0,MIN(1,$N440/MAX(1,INDEX(ROTACAO_RDM!$K$6:$K$71,$J440))))</f>
        <v>0.856410256410256</v>
      </c>
      <c r="P440" s="16" t="n">
        <f aca="false">IF($J440=0,0,IFERROR(MATCH(INDEX(ROTACAO_RDM!$N$6:$N$71,$J440),PARAMETROS_CULTURAS!$B$6:$B$28,0),0))</f>
        <v>5</v>
      </c>
      <c r="Q440" s="8" t="str">
        <f aca="false">IF($P440=0,"-",IF($O440&lt;=INDEX(PARAMETROS_CULTURAS!$F$6:$F$28,$P440),"INICIAL",IF($O440&lt;=INDEX(PARAMETROS_CULTURAS!$F$6:$F$28,$P440)+INDEX(PARAMETROS_CULTURAS!$G$6:$G$28,$P440),"DESENVOLVIMENTO",IF($O440&lt;=INDEX(PARAMETROS_CULTURAS!$F$6:$F$28,$P440)+INDEX(PARAMETROS_CULTURAS!$G$6:$G$28,$P440)+INDEX(PARAMETROS_CULTURAS!$H$6:$H$28,$P440),"MEDIA","FINAL"))))</f>
        <v>FINAL</v>
      </c>
      <c r="R440" s="24" t="n">
        <f aca="false">IF($P440=0,0,IF($O440&lt;=INDEX(PARAMETROS_CULTURAS!$F$6:$F$28,$P440),INDEX(PARAMETROS_CULTURAS!$K$6:$K$28,$P440),IF($O440&lt;=INDEX(PARAMETROS_CULTURAS!$F$6:$F$28,$P440)+INDEX(PARAMETROS_CULTURAS!$G$6:$G$28,$P440),INDEX(PARAMETROS_CULTURAS!$K$6:$K$28,$P440)+(INDEX(PARAMETROS_CULTURAS!$L$6:$L$28,$P440)-INDEX(PARAMETROS_CULTURAS!$K$6:$K$28,$P440))*($O440-INDEX(PARAMETROS_CULTURAS!$F$6:$F$28,$P440))/MAX(INDEX(PARAMETROS_CULTURAS!$G$6:$G$28,$P440),0.0001),IF($O440&lt;=INDEX(PARAMETROS_CULTURAS!$F$6:$F$28,$P440)+INDEX(PARAMETROS_CULTURAS!$G$6:$G$28,$P440)+INDEX(PARAMETROS_CULTURAS!$H$6:$H$28,$P440),INDEX(PARAMETROS_CULTURAS!$L$6:$L$28,$P440),INDEX(PARAMETROS_CULTURAS!$L$6:$L$28,$P440)+(INDEX(PARAMETROS_CULTURAS!$M$6:$M$28,$P440)-INDEX(PARAMETROS_CULTURAS!$L$6:$L$28,$P440))*($O440-INDEX(PARAMETROS_CULTURAS!$F$6:$F$28,$P440)-INDEX(PARAMETROS_CULTURAS!$G$6:$G$28,$P440)-INDEX(PARAMETROS_CULTURAS!$H$6:$H$28,$P440))/MAX(INDEX(PARAMETROS_CULTURAS!$I$6:$I$28,$P440),0.0001)))))</f>
        <v>0.882051282051282</v>
      </c>
      <c r="S440" s="18" t="n">
        <f aca="false">IFERROR(INDEX(SEMANAS!$H$6:$H$71,MATCH($B440,SEMANAS!$B$6:$B$71,0)),0)</f>
        <v>29.4</v>
      </c>
      <c r="T440" s="18" t="n">
        <f aca="false">$R440*$S440</f>
        <v>25.9323076923077</v>
      </c>
      <c r="U440" s="18" t="n">
        <f aca="false">IFERROR(INDEX(SEMANAS!$I$6:$I$71,MATCH($B440,SEMANAS!$B$6:$B$71,0)),0)</f>
        <v>3.36</v>
      </c>
      <c r="V440" s="18" t="n">
        <f aca="false">IFERROR(INDEX(SEMANAS!$J$6:$J$71,MATCH($B440,SEMANAS!$B$6:$B$71,0)),0)</f>
        <v>2.688</v>
      </c>
      <c r="W440" s="18" t="n">
        <f aca="false">MAX(0,$T440-$V440)</f>
        <v>23.2443076923077</v>
      </c>
      <c r="X440" s="19" t="n">
        <f aca="false">IFERROR(INDEX(CADASTRO_PIVOS!$K$6:$K$41,MATCH($E440,CADASTRO_PIVOS!$B$6:$B$41,0)),EFICIENCIA_PADRAO)</f>
        <v>0.85</v>
      </c>
      <c r="Y440" s="18" t="n">
        <f aca="false">IF($X440&lt;=0,0,$W440/$X440)</f>
        <v>27.3462443438914</v>
      </c>
      <c r="Z440" s="16" t="n">
        <f aca="false">$Y440*$H440*MM_PARA_M3_HA</f>
        <v>27365.3867149321</v>
      </c>
      <c r="AA440" s="18" t="n">
        <f aca="false">IFERROR(INDEX(CADASTRO_PIVOS!$I$6:$I$41,MATCH($E440,CADASTRO_PIVOS!$B$6:$B$41,0)),0)</f>
        <v>714.785714285714</v>
      </c>
      <c r="AB440" s="18" t="n">
        <f aca="false">IF($Z440&lt;=0,0,$Z440/$AA440)</f>
        <v>38.284742081448</v>
      </c>
      <c r="AC440" s="16" t="n">
        <f aca="false">IFERROR(INDEX(SEMANAS!$K$6:$K$71,MATCH($B440,SEMANAS!$B$6:$B$71,0)),0)</f>
        <v>147</v>
      </c>
      <c r="AD440" s="19" t="n">
        <f aca="false">IF($AC440&lt;=0,0,$AB440/$AC440)</f>
        <v>0.260440422322775</v>
      </c>
      <c r="AE440" s="8" t="str">
        <f aca="false">IF($K440="SEM CULTURA","SEM CULTURA",IF($AA440&lt;=0,"DADO PENDENTE",IF($AD440&gt;LIMITE_CRITICO,"INVIAVEL",IF($AD440&gt;LIMITE_ATENCAO,"CRITICO",IF($AD440&gt;LIMITE_CONFORTAVEL,"ATENCAO","OK")))))</f>
        <v>OK</v>
      </c>
      <c r="AF440" s="8" t="str">
        <f aca="false">$B440&amp;"|"&amp;TEXT($AD440,"0.000000")</f>
        <v>39|0.260440</v>
      </c>
      <c r="AG440" s="18" t="n">
        <f aca="false">IF($K440="SEM CULTURA",0,$T440*$H440)</f>
        <v>2595.04603076923</v>
      </c>
      <c r="AH440" s="18" t="n">
        <f aca="false">IF($K440="SEM CULTURA",0,$V440*$H440)</f>
        <v>268.98816</v>
      </c>
      <c r="AI440" s="18" t="n">
        <f aca="false">IF($K440="SEM CULTURA",0,$W440*$H440)</f>
        <v>2326.05787076923</v>
      </c>
      <c r="AJ440" s="18" t="n">
        <f aca="false">IF($K440="SEM CULTURA",0,$S440*$H440)</f>
        <v>2942.058</v>
      </c>
      <c r="AK440" s="8" t="str">
        <f aca="false">$E440&amp;"|"&amp;TEXT($AD440,"0.000000")</f>
        <v>PV 102|0.260440</v>
      </c>
    </row>
    <row r="441" customFormat="false" ht="15" hidden="false" customHeight="false" outlineLevel="0" collapsed="false">
      <c r="B441" s="16" t="n">
        <v>40</v>
      </c>
      <c r="C441" s="17" t="n">
        <f aca="false">DATA_INICIO_SAFRA+($B441-1)*DIAS_POR_SEMANA</f>
        <v>46538</v>
      </c>
      <c r="D441" s="17" t="n">
        <f aca="false">$C441+DIAS_POR_SEMANA-1</f>
        <v>46544</v>
      </c>
      <c r="E441" s="15" t="s">
        <v>265</v>
      </c>
      <c r="F441" s="8" t="str">
        <f aca="false">IFERROR(INDEX(CADASTRO_PIVOS!$C$6:$C$41,MATCH($E441,CADASTRO_PIVOS!$B$6:$B$41,0)),"?")</f>
        <v>RM04</v>
      </c>
      <c r="G441" s="8" t="str">
        <f aca="false">IFERROR(INDEX(CADASTRO_PIVOS!$D$6:$D$41,MATCH($E441,CADASTRO_PIVOS!$B$6:$B$41,0)),"?")</f>
        <v>TR04</v>
      </c>
      <c r="H441" s="20" t="n">
        <f aca="false">IFERROR(INDEX(CADASTRO_PIVOS!$E$6:$E$41,MATCH($E441,CADASTRO_PIVOS!$B$6:$B$41,0)),0)</f>
        <v>100.07</v>
      </c>
      <c r="I441" s="16" t="n">
        <f aca="false">IFERROR(SUMIFS(ROTACAO_RDM!$B$6:$B$71,ROTACAO_RDM!$D$6:$D$71,$E441,ROTACAO_RDM!$I$6:$I$71,"&lt;="&amp;$C441+INT(DIAS_POR_SEMANA/2),ROTACAO_RDM!$J$6:$J$71,"&gt;="&amp;$C441+INT(DIAS_POR_SEMANA/2)),0)</f>
        <v>3</v>
      </c>
      <c r="J441" s="16" t="n">
        <f aca="false">IFERROR(MATCH($I441,ROTACAO_RDM!$B$6:$B$71,0),0)</f>
        <v>3</v>
      </c>
      <c r="K441" s="8" t="str">
        <f aca="false">IF($J441=0,"SEM CULTURA",INDEX(ROTACAO_RDM!$F$6:$F$71,$J441))</f>
        <v>ALGODAO</v>
      </c>
      <c r="L441" s="8" t="str">
        <f aca="false">IF($J441=0,"",INDEX(ROTACAO_RDM!$G$6:$G$71,$J441))</f>
        <v>IMA 5901 B2RF</v>
      </c>
      <c r="M441" s="17" t="n">
        <f aca="false">IF($J441=0,"",INDEX(ROTACAO_RDM!$I$6:$I$71,$J441))</f>
        <v>46367</v>
      </c>
      <c r="N441" s="16" t="n">
        <f aca="false">IF($J441=0,0,MAX(0,$C441+INT(DIAS_POR_SEMANA/2)-INDEX(ROTACAO_RDM!$I$6:$I$71,$J441)))</f>
        <v>174</v>
      </c>
      <c r="O441" s="19" t="n">
        <f aca="false">IF($J441=0,0,MIN(1,$N441/MAX(1,INDEX(ROTACAO_RDM!$K$6:$K$71,$J441))))</f>
        <v>0.892307692307692</v>
      </c>
      <c r="P441" s="16" t="n">
        <f aca="false">IF($J441=0,0,IFERROR(MATCH(INDEX(ROTACAO_RDM!$N$6:$N$71,$J441),PARAMETROS_CULTURAS!$B$6:$B$28,0),0))</f>
        <v>5</v>
      </c>
      <c r="Q441" s="8" t="str">
        <f aca="false">IF($P441=0,"-",IF($O441&lt;=INDEX(PARAMETROS_CULTURAS!$F$6:$F$28,$P441),"INICIAL",IF($O441&lt;=INDEX(PARAMETROS_CULTURAS!$F$6:$F$28,$P441)+INDEX(PARAMETROS_CULTURAS!$G$6:$G$28,$P441),"DESENVOLVIMENTO",IF($O441&lt;=INDEX(PARAMETROS_CULTURAS!$F$6:$F$28,$P441)+INDEX(PARAMETROS_CULTURAS!$G$6:$G$28,$P441)+INDEX(PARAMETROS_CULTURAS!$H$6:$H$28,$P441),"MEDIA","FINAL"))))</f>
        <v>FINAL</v>
      </c>
      <c r="R441" s="24" t="n">
        <f aca="false">IF($P441=0,0,IF($O441&lt;=INDEX(PARAMETROS_CULTURAS!$F$6:$F$28,$P441),INDEX(PARAMETROS_CULTURAS!$K$6:$K$28,$P441),IF($O441&lt;=INDEX(PARAMETROS_CULTURAS!$F$6:$F$28,$P441)+INDEX(PARAMETROS_CULTURAS!$G$6:$G$28,$P441),INDEX(PARAMETROS_CULTURAS!$K$6:$K$28,$P441)+(INDEX(PARAMETROS_CULTURAS!$L$6:$L$28,$P441)-INDEX(PARAMETROS_CULTURAS!$K$6:$K$28,$P441))*($O441-INDEX(PARAMETROS_CULTURAS!$F$6:$F$28,$P441))/MAX(INDEX(PARAMETROS_CULTURAS!$G$6:$G$28,$P441),0.0001),IF($O441&lt;=INDEX(PARAMETROS_CULTURAS!$F$6:$F$28,$P441)+INDEX(PARAMETROS_CULTURAS!$G$6:$G$28,$P441)+INDEX(PARAMETROS_CULTURAS!$H$6:$H$28,$P441),INDEX(PARAMETROS_CULTURAS!$L$6:$L$28,$P441),INDEX(PARAMETROS_CULTURAS!$L$6:$L$28,$P441)+(INDEX(PARAMETROS_CULTURAS!$M$6:$M$28,$P441)-INDEX(PARAMETROS_CULTURAS!$L$6:$L$28,$P441))*($O441-INDEX(PARAMETROS_CULTURAS!$F$6:$F$28,$P441)-INDEX(PARAMETROS_CULTURAS!$G$6:$G$28,$P441)-INDEX(PARAMETROS_CULTURAS!$H$6:$H$28,$P441))/MAX(INDEX(PARAMETROS_CULTURAS!$I$6:$I$28,$P441),0.0001)))))</f>
        <v>0.811538461538462</v>
      </c>
      <c r="S441" s="18" t="n">
        <f aca="false">IFERROR(INDEX(SEMANAS!$H$6:$H$71,MATCH($B441,SEMANAS!$B$6:$B$71,0)),0)</f>
        <v>28.2</v>
      </c>
      <c r="T441" s="18" t="n">
        <f aca="false">$R441*$S441</f>
        <v>22.8853846153846</v>
      </c>
      <c r="U441" s="18" t="n">
        <f aca="false">IFERROR(INDEX(SEMANAS!$I$6:$I$71,MATCH($B441,SEMANAS!$B$6:$B$71,0)),0)</f>
        <v>1.5</v>
      </c>
      <c r="V441" s="18" t="n">
        <f aca="false">IFERROR(INDEX(SEMANAS!$J$6:$J$71,MATCH($B441,SEMANAS!$B$6:$B$71,0)),0)</f>
        <v>1.2</v>
      </c>
      <c r="W441" s="18" t="n">
        <f aca="false">MAX(0,$T441-$V441)</f>
        <v>21.6853846153846</v>
      </c>
      <c r="X441" s="19" t="n">
        <f aca="false">IFERROR(INDEX(CADASTRO_PIVOS!$K$6:$K$41,MATCH($E441,CADASTRO_PIVOS!$B$6:$B$41,0)),EFICIENCIA_PADRAO)</f>
        <v>0.85</v>
      </c>
      <c r="Y441" s="18" t="n">
        <f aca="false">IF($X441&lt;=0,0,$W441/$X441)</f>
        <v>25.5122171945701</v>
      </c>
      <c r="Z441" s="16" t="n">
        <f aca="false">$Y441*$H441*MM_PARA_M3_HA</f>
        <v>25530.0757466063</v>
      </c>
      <c r="AA441" s="18" t="n">
        <f aca="false">IFERROR(INDEX(CADASTRO_PIVOS!$I$6:$I$41,MATCH($E441,CADASTRO_PIVOS!$B$6:$B$41,0)),0)</f>
        <v>714.785714285714</v>
      </c>
      <c r="AB441" s="18" t="n">
        <f aca="false">IF($Z441&lt;=0,0,$Z441/$AA441)</f>
        <v>35.7171040723982</v>
      </c>
      <c r="AC441" s="16" t="n">
        <f aca="false">IFERROR(INDEX(SEMANAS!$K$6:$K$71,MATCH($B441,SEMANAS!$B$6:$B$71,0)),0)</f>
        <v>147</v>
      </c>
      <c r="AD441" s="19" t="n">
        <f aca="false">IF($AC441&lt;=0,0,$AB441/$AC441)</f>
        <v>0.242973497091144</v>
      </c>
      <c r="AE441" s="8" t="str">
        <f aca="false">IF($K441="SEM CULTURA","SEM CULTURA",IF($AA441&lt;=0,"DADO PENDENTE",IF($AD441&gt;LIMITE_CRITICO,"INVIAVEL",IF($AD441&gt;LIMITE_ATENCAO,"CRITICO",IF($AD441&gt;LIMITE_CONFORTAVEL,"ATENCAO","OK")))))</f>
        <v>OK</v>
      </c>
      <c r="AF441" s="8" t="str">
        <f aca="false">$B441&amp;"|"&amp;TEXT($AD441,"0.000000")</f>
        <v>40|0.242973</v>
      </c>
      <c r="AG441" s="18" t="n">
        <f aca="false">IF($K441="SEM CULTURA",0,$T441*$H441)</f>
        <v>2290.14043846154</v>
      </c>
      <c r="AH441" s="18" t="n">
        <f aca="false">IF($K441="SEM CULTURA",0,$V441*$H441)</f>
        <v>120.084</v>
      </c>
      <c r="AI441" s="18" t="n">
        <f aca="false">IF($K441="SEM CULTURA",0,$W441*$H441)</f>
        <v>2170.05643846154</v>
      </c>
      <c r="AJ441" s="18" t="n">
        <f aca="false">IF($K441="SEM CULTURA",0,$S441*$H441)</f>
        <v>2821.974</v>
      </c>
      <c r="AK441" s="8" t="str">
        <f aca="false">$E441&amp;"|"&amp;TEXT($AD441,"0.000000")</f>
        <v>PV 102|0.242973</v>
      </c>
    </row>
    <row r="442" customFormat="false" ht="15" hidden="false" customHeight="false" outlineLevel="0" collapsed="false">
      <c r="B442" s="16" t="n">
        <v>41</v>
      </c>
      <c r="C442" s="17" t="n">
        <f aca="false">DATA_INICIO_SAFRA+($B442-1)*DIAS_POR_SEMANA</f>
        <v>46545</v>
      </c>
      <c r="D442" s="17" t="n">
        <f aca="false">$C442+DIAS_POR_SEMANA-1</f>
        <v>46551</v>
      </c>
      <c r="E442" s="15" t="s">
        <v>265</v>
      </c>
      <c r="F442" s="8" t="str">
        <f aca="false">IFERROR(INDEX(CADASTRO_PIVOS!$C$6:$C$41,MATCH($E442,CADASTRO_PIVOS!$B$6:$B$41,0)),"?")</f>
        <v>RM04</v>
      </c>
      <c r="G442" s="8" t="str">
        <f aca="false">IFERROR(INDEX(CADASTRO_PIVOS!$D$6:$D$41,MATCH($E442,CADASTRO_PIVOS!$B$6:$B$41,0)),"?")</f>
        <v>TR04</v>
      </c>
      <c r="H442" s="20" t="n">
        <f aca="false">IFERROR(INDEX(CADASTRO_PIVOS!$E$6:$E$41,MATCH($E442,CADASTRO_PIVOS!$B$6:$B$41,0)),0)</f>
        <v>100.07</v>
      </c>
      <c r="I442" s="16" t="n">
        <f aca="false">IFERROR(SUMIFS(ROTACAO_RDM!$B$6:$B$71,ROTACAO_RDM!$D$6:$D$71,$E442,ROTACAO_RDM!$I$6:$I$71,"&lt;="&amp;$C442+INT(DIAS_POR_SEMANA/2),ROTACAO_RDM!$J$6:$J$71,"&gt;="&amp;$C442+INT(DIAS_POR_SEMANA/2)),0)</f>
        <v>3</v>
      </c>
      <c r="J442" s="16" t="n">
        <f aca="false">IFERROR(MATCH($I442,ROTACAO_RDM!$B$6:$B$71,0),0)</f>
        <v>3</v>
      </c>
      <c r="K442" s="8" t="str">
        <f aca="false">IF($J442=0,"SEM CULTURA",INDEX(ROTACAO_RDM!$F$6:$F$71,$J442))</f>
        <v>ALGODAO</v>
      </c>
      <c r="L442" s="8" t="str">
        <f aca="false">IF($J442=0,"",INDEX(ROTACAO_RDM!$G$6:$G$71,$J442))</f>
        <v>IMA 5901 B2RF</v>
      </c>
      <c r="M442" s="17" t="n">
        <f aca="false">IF($J442=0,"",INDEX(ROTACAO_RDM!$I$6:$I$71,$J442))</f>
        <v>46367</v>
      </c>
      <c r="N442" s="16" t="n">
        <f aca="false">IF($J442=0,0,MAX(0,$C442+INT(DIAS_POR_SEMANA/2)-INDEX(ROTACAO_RDM!$I$6:$I$71,$J442)))</f>
        <v>181</v>
      </c>
      <c r="O442" s="19" t="n">
        <f aca="false">IF($J442=0,0,MIN(1,$N442/MAX(1,INDEX(ROTACAO_RDM!$K$6:$K$71,$J442))))</f>
        <v>0.928205128205128</v>
      </c>
      <c r="P442" s="16" t="n">
        <f aca="false">IF($J442=0,0,IFERROR(MATCH(INDEX(ROTACAO_RDM!$N$6:$N$71,$J442),PARAMETROS_CULTURAS!$B$6:$B$28,0),0))</f>
        <v>5</v>
      </c>
      <c r="Q442" s="8" t="str">
        <f aca="false">IF($P442=0,"-",IF($O442&lt;=INDEX(PARAMETROS_CULTURAS!$F$6:$F$28,$P442),"INICIAL",IF($O442&lt;=INDEX(PARAMETROS_CULTURAS!$F$6:$F$28,$P442)+INDEX(PARAMETROS_CULTURAS!$G$6:$G$28,$P442),"DESENVOLVIMENTO",IF($O442&lt;=INDEX(PARAMETROS_CULTURAS!$F$6:$F$28,$P442)+INDEX(PARAMETROS_CULTURAS!$G$6:$G$28,$P442)+INDEX(PARAMETROS_CULTURAS!$H$6:$H$28,$P442),"MEDIA","FINAL"))))</f>
        <v>FINAL</v>
      </c>
      <c r="R442" s="24" t="n">
        <f aca="false">IF($P442=0,0,IF($O442&lt;=INDEX(PARAMETROS_CULTURAS!$F$6:$F$28,$P442),INDEX(PARAMETROS_CULTURAS!$K$6:$K$28,$P442),IF($O442&lt;=INDEX(PARAMETROS_CULTURAS!$F$6:$F$28,$P442)+INDEX(PARAMETROS_CULTURAS!$G$6:$G$28,$P442),INDEX(PARAMETROS_CULTURAS!$K$6:$K$28,$P442)+(INDEX(PARAMETROS_CULTURAS!$L$6:$L$28,$P442)-INDEX(PARAMETROS_CULTURAS!$K$6:$K$28,$P442))*($O442-INDEX(PARAMETROS_CULTURAS!$F$6:$F$28,$P442))/MAX(INDEX(PARAMETROS_CULTURAS!$G$6:$G$28,$P442),0.0001),IF($O442&lt;=INDEX(PARAMETROS_CULTURAS!$F$6:$F$28,$P442)+INDEX(PARAMETROS_CULTURAS!$G$6:$G$28,$P442)+INDEX(PARAMETROS_CULTURAS!$H$6:$H$28,$P442),INDEX(PARAMETROS_CULTURAS!$L$6:$L$28,$P442),INDEX(PARAMETROS_CULTURAS!$L$6:$L$28,$P442)+(INDEX(PARAMETROS_CULTURAS!$M$6:$M$28,$P442)-INDEX(PARAMETROS_CULTURAS!$L$6:$L$28,$P442))*($O442-INDEX(PARAMETROS_CULTURAS!$F$6:$F$28,$P442)-INDEX(PARAMETROS_CULTURAS!$G$6:$G$28,$P442)-INDEX(PARAMETROS_CULTURAS!$H$6:$H$28,$P442))/MAX(INDEX(PARAMETROS_CULTURAS!$I$6:$I$28,$P442),0.0001)))))</f>
        <v>0.741025641025641</v>
      </c>
      <c r="S442" s="18" t="n">
        <f aca="false">IFERROR(INDEX(SEMANAS!$H$6:$H$71,MATCH($B442,SEMANAS!$B$6:$B$71,0)),0)</f>
        <v>28</v>
      </c>
      <c r="T442" s="18" t="n">
        <f aca="false">$R442*$S442</f>
        <v>20.748717948718</v>
      </c>
      <c r="U442" s="18" t="n">
        <f aca="false">IFERROR(INDEX(SEMANAS!$I$6:$I$71,MATCH($B442,SEMANAS!$B$6:$B$71,0)),0)</f>
        <v>1.19</v>
      </c>
      <c r="V442" s="18" t="n">
        <f aca="false">IFERROR(INDEX(SEMANAS!$J$6:$J$71,MATCH($B442,SEMANAS!$B$6:$B$71,0)),0)</f>
        <v>0.952</v>
      </c>
      <c r="W442" s="18" t="n">
        <f aca="false">MAX(0,$T442-$V442)</f>
        <v>19.7967179487179</v>
      </c>
      <c r="X442" s="19" t="n">
        <f aca="false">IFERROR(INDEX(CADASTRO_PIVOS!$K$6:$K$41,MATCH($E442,CADASTRO_PIVOS!$B$6:$B$41,0)),EFICIENCIA_PADRAO)</f>
        <v>0.85</v>
      </c>
      <c r="Y442" s="18" t="n">
        <f aca="false">IF($X442&lt;=0,0,$W442/$X442)</f>
        <v>23.2902564102564</v>
      </c>
      <c r="Z442" s="16" t="n">
        <f aca="false">$Y442*$H442*MM_PARA_M3_HA</f>
        <v>23306.5595897436</v>
      </c>
      <c r="AA442" s="18" t="n">
        <f aca="false">IFERROR(INDEX(CADASTRO_PIVOS!$I$6:$I$41,MATCH($E442,CADASTRO_PIVOS!$B$6:$B$41,0)),0)</f>
        <v>714.785714285714</v>
      </c>
      <c r="AB442" s="18" t="n">
        <f aca="false">IF($Z442&lt;=0,0,$Z442/$AA442)</f>
        <v>32.606358974359</v>
      </c>
      <c r="AC442" s="16" t="n">
        <f aca="false">IFERROR(INDEX(SEMANAS!$K$6:$K$71,MATCH($B442,SEMANAS!$B$6:$B$71,0)),0)</f>
        <v>147</v>
      </c>
      <c r="AD442" s="19" t="n">
        <f aca="false">IF($AC442&lt;=0,0,$AB442/$AC442)</f>
        <v>0.221811965811966</v>
      </c>
      <c r="AE442" s="8" t="str">
        <f aca="false">IF($K442="SEM CULTURA","SEM CULTURA",IF($AA442&lt;=0,"DADO PENDENTE",IF($AD442&gt;LIMITE_CRITICO,"INVIAVEL",IF($AD442&gt;LIMITE_ATENCAO,"CRITICO",IF($AD442&gt;LIMITE_CONFORTAVEL,"ATENCAO","OK")))))</f>
        <v>OK</v>
      </c>
      <c r="AF442" s="8" t="str">
        <f aca="false">$B442&amp;"|"&amp;TEXT($AD442,"0.000000")</f>
        <v>41|0.221812</v>
      </c>
      <c r="AG442" s="18" t="n">
        <f aca="false">IF($K442="SEM CULTURA",0,$T442*$H442)</f>
        <v>2076.32420512821</v>
      </c>
      <c r="AH442" s="18" t="n">
        <f aca="false">IF($K442="SEM CULTURA",0,$V442*$H442)</f>
        <v>95.26664</v>
      </c>
      <c r="AI442" s="18" t="n">
        <f aca="false">IF($K442="SEM CULTURA",0,$W442*$H442)</f>
        <v>1981.05756512821</v>
      </c>
      <c r="AJ442" s="18" t="n">
        <f aca="false">IF($K442="SEM CULTURA",0,$S442*$H442)</f>
        <v>2801.96</v>
      </c>
      <c r="AK442" s="8" t="str">
        <f aca="false">$E442&amp;"|"&amp;TEXT($AD442,"0.000000")</f>
        <v>PV 102|0.221812</v>
      </c>
    </row>
    <row r="443" customFormat="false" ht="15" hidden="false" customHeight="false" outlineLevel="0" collapsed="false">
      <c r="B443" s="16" t="n">
        <v>42</v>
      </c>
      <c r="C443" s="17" t="n">
        <f aca="false">DATA_INICIO_SAFRA+($B443-1)*DIAS_POR_SEMANA</f>
        <v>46552</v>
      </c>
      <c r="D443" s="17" t="n">
        <f aca="false">$C443+DIAS_POR_SEMANA-1</f>
        <v>46558</v>
      </c>
      <c r="E443" s="15" t="s">
        <v>265</v>
      </c>
      <c r="F443" s="8" t="str">
        <f aca="false">IFERROR(INDEX(CADASTRO_PIVOS!$C$6:$C$41,MATCH($E443,CADASTRO_PIVOS!$B$6:$B$41,0)),"?")</f>
        <v>RM04</v>
      </c>
      <c r="G443" s="8" t="str">
        <f aca="false">IFERROR(INDEX(CADASTRO_PIVOS!$D$6:$D$41,MATCH($E443,CADASTRO_PIVOS!$B$6:$B$41,0)),"?")</f>
        <v>TR04</v>
      </c>
      <c r="H443" s="20" t="n">
        <f aca="false">IFERROR(INDEX(CADASTRO_PIVOS!$E$6:$E$41,MATCH($E443,CADASTRO_PIVOS!$B$6:$B$41,0)),0)</f>
        <v>100.07</v>
      </c>
      <c r="I443" s="16" t="n">
        <f aca="false">IFERROR(SUMIFS(ROTACAO_RDM!$B$6:$B$71,ROTACAO_RDM!$D$6:$D$71,$E443,ROTACAO_RDM!$I$6:$I$71,"&lt;="&amp;$C443+INT(DIAS_POR_SEMANA/2),ROTACAO_RDM!$J$6:$J$71,"&gt;="&amp;$C443+INT(DIAS_POR_SEMANA/2)),0)</f>
        <v>3</v>
      </c>
      <c r="J443" s="16" t="n">
        <f aca="false">IFERROR(MATCH($I443,ROTACAO_RDM!$B$6:$B$71,0),0)</f>
        <v>3</v>
      </c>
      <c r="K443" s="8" t="str">
        <f aca="false">IF($J443=0,"SEM CULTURA",INDEX(ROTACAO_RDM!$F$6:$F$71,$J443))</f>
        <v>ALGODAO</v>
      </c>
      <c r="L443" s="8" t="str">
        <f aca="false">IF($J443=0,"",INDEX(ROTACAO_RDM!$G$6:$G$71,$J443))</f>
        <v>IMA 5901 B2RF</v>
      </c>
      <c r="M443" s="17" t="n">
        <f aca="false">IF($J443=0,"",INDEX(ROTACAO_RDM!$I$6:$I$71,$J443))</f>
        <v>46367</v>
      </c>
      <c r="N443" s="16" t="n">
        <f aca="false">IF($J443=0,0,MAX(0,$C443+INT(DIAS_POR_SEMANA/2)-INDEX(ROTACAO_RDM!$I$6:$I$71,$J443)))</f>
        <v>188</v>
      </c>
      <c r="O443" s="19" t="n">
        <f aca="false">IF($J443=0,0,MIN(1,$N443/MAX(1,INDEX(ROTACAO_RDM!$K$6:$K$71,$J443))))</f>
        <v>0.964102564102564</v>
      </c>
      <c r="P443" s="16" t="n">
        <f aca="false">IF($J443=0,0,IFERROR(MATCH(INDEX(ROTACAO_RDM!$N$6:$N$71,$J443),PARAMETROS_CULTURAS!$B$6:$B$28,0),0))</f>
        <v>5</v>
      </c>
      <c r="Q443" s="8" t="str">
        <f aca="false">IF($P443=0,"-",IF($O443&lt;=INDEX(PARAMETROS_CULTURAS!$F$6:$F$28,$P443),"INICIAL",IF($O443&lt;=INDEX(PARAMETROS_CULTURAS!$F$6:$F$28,$P443)+INDEX(PARAMETROS_CULTURAS!$G$6:$G$28,$P443),"DESENVOLVIMENTO",IF($O443&lt;=INDEX(PARAMETROS_CULTURAS!$F$6:$F$28,$P443)+INDEX(PARAMETROS_CULTURAS!$G$6:$G$28,$P443)+INDEX(PARAMETROS_CULTURAS!$H$6:$H$28,$P443),"MEDIA","FINAL"))))</f>
        <v>FINAL</v>
      </c>
      <c r="R443" s="24" t="n">
        <f aca="false">IF($P443=0,0,IF($O443&lt;=INDEX(PARAMETROS_CULTURAS!$F$6:$F$28,$P443),INDEX(PARAMETROS_CULTURAS!$K$6:$K$28,$P443),IF($O443&lt;=INDEX(PARAMETROS_CULTURAS!$F$6:$F$28,$P443)+INDEX(PARAMETROS_CULTURAS!$G$6:$G$28,$P443),INDEX(PARAMETROS_CULTURAS!$K$6:$K$28,$P443)+(INDEX(PARAMETROS_CULTURAS!$L$6:$L$28,$P443)-INDEX(PARAMETROS_CULTURAS!$K$6:$K$28,$P443))*($O443-INDEX(PARAMETROS_CULTURAS!$F$6:$F$28,$P443))/MAX(INDEX(PARAMETROS_CULTURAS!$G$6:$G$28,$P443),0.0001),IF($O443&lt;=INDEX(PARAMETROS_CULTURAS!$F$6:$F$28,$P443)+INDEX(PARAMETROS_CULTURAS!$G$6:$G$28,$P443)+INDEX(PARAMETROS_CULTURAS!$H$6:$H$28,$P443),INDEX(PARAMETROS_CULTURAS!$L$6:$L$28,$P443),INDEX(PARAMETROS_CULTURAS!$L$6:$L$28,$P443)+(INDEX(PARAMETROS_CULTURAS!$M$6:$M$28,$P443)-INDEX(PARAMETROS_CULTURAS!$L$6:$L$28,$P443))*($O443-INDEX(PARAMETROS_CULTURAS!$F$6:$F$28,$P443)-INDEX(PARAMETROS_CULTURAS!$G$6:$G$28,$P443)-INDEX(PARAMETROS_CULTURAS!$H$6:$H$28,$P443))/MAX(INDEX(PARAMETROS_CULTURAS!$I$6:$I$28,$P443),0.0001)))))</f>
        <v>0.670512820512821</v>
      </c>
      <c r="S443" s="18" t="n">
        <f aca="false">IFERROR(INDEX(SEMANAS!$H$6:$H$71,MATCH($B443,SEMANAS!$B$6:$B$71,0)),0)</f>
        <v>28</v>
      </c>
      <c r="T443" s="18" t="n">
        <f aca="false">$R443*$S443</f>
        <v>18.774358974359</v>
      </c>
      <c r="U443" s="18" t="n">
        <f aca="false">IFERROR(INDEX(SEMANAS!$I$6:$I$71,MATCH($B443,SEMANAS!$B$6:$B$71,0)),0)</f>
        <v>1.19</v>
      </c>
      <c r="V443" s="18" t="n">
        <f aca="false">IFERROR(INDEX(SEMANAS!$J$6:$J$71,MATCH($B443,SEMANAS!$B$6:$B$71,0)),0)</f>
        <v>0.952</v>
      </c>
      <c r="W443" s="18" t="n">
        <f aca="false">MAX(0,$T443-$V443)</f>
        <v>17.822358974359</v>
      </c>
      <c r="X443" s="19" t="n">
        <f aca="false">IFERROR(INDEX(CADASTRO_PIVOS!$K$6:$K$41,MATCH($E443,CADASTRO_PIVOS!$B$6:$B$41,0)),EFICIENCIA_PADRAO)</f>
        <v>0.85</v>
      </c>
      <c r="Y443" s="18" t="n">
        <f aca="false">IF($X443&lt;=0,0,$W443/$X443)</f>
        <v>20.9674811463047</v>
      </c>
      <c r="Z443" s="16" t="n">
        <f aca="false">$Y443*$H443*MM_PARA_M3_HA</f>
        <v>20982.1583831071</v>
      </c>
      <c r="AA443" s="18" t="n">
        <f aca="false">IFERROR(INDEX(CADASTRO_PIVOS!$I$6:$I$41,MATCH($E443,CADASTRO_PIVOS!$B$6:$B$41,0)),0)</f>
        <v>714.785714285714</v>
      </c>
      <c r="AB443" s="18" t="n">
        <f aca="false">IF($Z443&lt;=0,0,$Z443/$AA443)</f>
        <v>29.3544736048265</v>
      </c>
      <c r="AC443" s="16" t="n">
        <f aca="false">IFERROR(INDEX(SEMANAS!$K$6:$K$71,MATCH($B443,SEMANAS!$B$6:$B$71,0)),0)</f>
        <v>147</v>
      </c>
      <c r="AD443" s="19" t="n">
        <f aca="false">IF($AC443&lt;=0,0,$AB443/$AC443)</f>
        <v>0.199690296631473</v>
      </c>
      <c r="AE443" s="8" t="str">
        <f aca="false">IF($K443="SEM CULTURA","SEM CULTURA",IF($AA443&lt;=0,"DADO PENDENTE",IF($AD443&gt;LIMITE_CRITICO,"INVIAVEL",IF($AD443&gt;LIMITE_ATENCAO,"CRITICO",IF($AD443&gt;LIMITE_CONFORTAVEL,"ATENCAO","OK")))))</f>
        <v>OK</v>
      </c>
      <c r="AF443" s="8" t="str">
        <f aca="false">$B443&amp;"|"&amp;TEXT($AD443,"0.000000")</f>
        <v>42|0.199690</v>
      </c>
      <c r="AG443" s="18" t="n">
        <f aca="false">IF($K443="SEM CULTURA",0,$T443*$H443)</f>
        <v>1878.7501025641</v>
      </c>
      <c r="AH443" s="18" t="n">
        <f aca="false">IF($K443="SEM CULTURA",0,$V443*$H443)</f>
        <v>95.26664</v>
      </c>
      <c r="AI443" s="18" t="n">
        <f aca="false">IF($K443="SEM CULTURA",0,$W443*$H443)</f>
        <v>1783.4834625641</v>
      </c>
      <c r="AJ443" s="18" t="n">
        <f aca="false">IF($K443="SEM CULTURA",0,$S443*$H443)</f>
        <v>2801.96</v>
      </c>
      <c r="AK443" s="8" t="str">
        <f aca="false">$E443&amp;"|"&amp;TEXT($AD443,"0.000000")</f>
        <v>PV 102|0.199690</v>
      </c>
    </row>
    <row r="444" customFormat="false" ht="15" hidden="false" customHeight="false" outlineLevel="0" collapsed="false">
      <c r="B444" s="16" t="n">
        <v>43</v>
      </c>
      <c r="C444" s="17" t="n">
        <f aca="false">DATA_INICIO_SAFRA+($B444-1)*DIAS_POR_SEMANA</f>
        <v>46559</v>
      </c>
      <c r="D444" s="17" t="n">
        <f aca="false">$C444+DIAS_POR_SEMANA-1</f>
        <v>46565</v>
      </c>
      <c r="E444" s="15" t="s">
        <v>265</v>
      </c>
      <c r="F444" s="8" t="str">
        <f aca="false">IFERROR(INDEX(CADASTRO_PIVOS!$C$6:$C$41,MATCH($E444,CADASTRO_PIVOS!$B$6:$B$41,0)),"?")</f>
        <v>RM04</v>
      </c>
      <c r="G444" s="8" t="str">
        <f aca="false">IFERROR(INDEX(CADASTRO_PIVOS!$D$6:$D$41,MATCH($E444,CADASTRO_PIVOS!$B$6:$B$41,0)),"?")</f>
        <v>TR04</v>
      </c>
      <c r="H444" s="20" t="n">
        <f aca="false">IFERROR(INDEX(CADASTRO_PIVOS!$E$6:$E$41,MATCH($E444,CADASTRO_PIVOS!$B$6:$B$41,0)),0)</f>
        <v>100.07</v>
      </c>
      <c r="I444" s="16" t="n">
        <f aca="false">IFERROR(SUMIFS(ROTACAO_RDM!$B$6:$B$71,ROTACAO_RDM!$D$6:$D$71,$E444,ROTACAO_RDM!$I$6:$I$71,"&lt;="&amp;$C444+INT(DIAS_POR_SEMANA/2),ROTACAO_RDM!$J$6:$J$71,"&gt;="&amp;$C444+INT(DIAS_POR_SEMANA/2)),0)</f>
        <v>3</v>
      </c>
      <c r="J444" s="16" t="n">
        <f aca="false">IFERROR(MATCH($I444,ROTACAO_RDM!$B$6:$B$71,0),0)</f>
        <v>3</v>
      </c>
      <c r="K444" s="8" t="str">
        <f aca="false">IF($J444=0,"SEM CULTURA",INDEX(ROTACAO_RDM!$F$6:$F$71,$J444))</f>
        <v>ALGODAO</v>
      </c>
      <c r="L444" s="8" t="str">
        <f aca="false">IF($J444=0,"",INDEX(ROTACAO_RDM!$G$6:$G$71,$J444))</f>
        <v>IMA 5901 B2RF</v>
      </c>
      <c r="M444" s="17" t="n">
        <f aca="false">IF($J444=0,"",INDEX(ROTACAO_RDM!$I$6:$I$71,$J444))</f>
        <v>46367</v>
      </c>
      <c r="N444" s="16" t="n">
        <f aca="false">IF($J444=0,0,MAX(0,$C444+INT(DIAS_POR_SEMANA/2)-INDEX(ROTACAO_RDM!$I$6:$I$71,$J444)))</f>
        <v>195</v>
      </c>
      <c r="O444" s="19" t="n">
        <f aca="false">IF($J444=0,0,MIN(1,$N444/MAX(1,INDEX(ROTACAO_RDM!$K$6:$K$71,$J444))))</f>
        <v>1</v>
      </c>
      <c r="P444" s="16" t="n">
        <f aca="false">IF($J444=0,0,IFERROR(MATCH(INDEX(ROTACAO_RDM!$N$6:$N$71,$J444),PARAMETROS_CULTURAS!$B$6:$B$28,0),0))</f>
        <v>5</v>
      </c>
      <c r="Q444" s="8" t="str">
        <f aca="false">IF($P444=0,"-",IF($O444&lt;=INDEX(PARAMETROS_CULTURAS!$F$6:$F$28,$P444),"INICIAL",IF($O444&lt;=INDEX(PARAMETROS_CULTURAS!$F$6:$F$28,$P444)+INDEX(PARAMETROS_CULTURAS!$G$6:$G$28,$P444),"DESENVOLVIMENTO",IF($O444&lt;=INDEX(PARAMETROS_CULTURAS!$F$6:$F$28,$P444)+INDEX(PARAMETROS_CULTURAS!$G$6:$G$28,$P444)+INDEX(PARAMETROS_CULTURAS!$H$6:$H$28,$P444),"MEDIA","FINAL"))))</f>
        <v>FINAL</v>
      </c>
      <c r="R444" s="24" t="n">
        <f aca="false">IF($P444=0,0,IF($O444&lt;=INDEX(PARAMETROS_CULTURAS!$F$6:$F$28,$P444),INDEX(PARAMETROS_CULTURAS!$K$6:$K$28,$P444),IF($O444&lt;=INDEX(PARAMETROS_CULTURAS!$F$6:$F$28,$P444)+INDEX(PARAMETROS_CULTURAS!$G$6:$G$28,$P444),INDEX(PARAMETROS_CULTURAS!$K$6:$K$28,$P444)+(INDEX(PARAMETROS_CULTURAS!$L$6:$L$28,$P444)-INDEX(PARAMETROS_CULTURAS!$K$6:$K$28,$P444))*($O444-INDEX(PARAMETROS_CULTURAS!$F$6:$F$28,$P444))/MAX(INDEX(PARAMETROS_CULTURAS!$G$6:$G$28,$P444),0.0001),IF($O444&lt;=INDEX(PARAMETROS_CULTURAS!$F$6:$F$28,$P444)+INDEX(PARAMETROS_CULTURAS!$G$6:$G$28,$P444)+INDEX(PARAMETROS_CULTURAS!$H$6:$H$28,$P444),INDEX(PARAMETROS_CULTURAS!$L$6:$L$28,$P444),INDEX(PARAMETROS_CULTURAS!$L$6:$L$28,$P444)+(INDEX(PARAMETROS_CULTURAS!$M$6:$M$28,$P444)-INDEX(PARAMETROS_CULTURAS!$L$6:$L$28,$P444))*($O444-INDEX(PARAMETROS_CULTURAS!$F$6:$F$28,$P444)-INDEX(PARAMETROS_CULTURAS!$G$6:$G$28,$P444)-INDEX(PARAMETROS_CULTURAS!$H$6:$H$28,$P444))/MAX(INDEX(PARAMETROS_CULTURAS!$I$6:$I$28,$P444),0.0001)))))</f>
        <v>0.6</v>
      </c>
      <c r="S444" s="18" t="n">
        <f aca="false">IFERROR(INDEX(SEMANAS!$H$6:$H$71,MATCH($B444,SEMANAS!$B$6:$B$71,0)),0)</f>
        <v>28</v>
      </c>
      <c r="T444" s="18" t="n">
        <f aca="false">$R444*$S444</f>
        <v>16.8</v>
      </c>
      <c r="U444" s="18" t="n">
        <f aca="false">IFERROR(INDEX(SEMANAS!$I$6:$I$71,MATCH($B444,SEMANAS!$B$6:$B$71,0)),0)</f>
        <v>1.19</v>
      </c>
      <c r="V444" s="18" t="n">
        <f aca="false">IFERROR(INDEX(SEMANAS!$J$6:$J$71,MATCH($B444,SEMANAS!$B$6:$B$71,0)),0)</f>
        <v>0.952</v>
      </c>
      <c r="W444" s="18" t="n">
        <f aca="false">MAX(0,$T444-$V444)</f>
        <v>15.848</v>
      </c>
      <c r="X444" s="19" t="n">
        <f aca="false">IFERROR(INDEX(CADASTRO_PIVOS!$K$6:$K$41,MATCH($E444,CADASTRO_PIVOS!$B$6:$B$41,0)),EFICIENCIA_PADRAO)</f>
        <v>0.85</v>
      </c>
      <c r="Y444" s="18" t="n">
        <f aca="false">IF($X444&lt;=0,0,$W444/$X444)</f>
        <v>18.6447058823529</v>
      </c>
      <c r="Z444" s="16" t="n">
        <f aca="false">$Y444*$H444*MM_PARA_M3_HA</f>
        <v>18657.7571764706</v>
      </c>
      <c r="AA444" s="18" t="n">
        <f aca="false">IFERROR(INDEX(CADASTRO_PIVOS!$I$6:$I$41,MATCH($E444,CADASTRO_PIVOS!$B$6:$B$41,0)),0)</f>
        <v>714.785714285714</v>
      </c>
      <c r="AB444" s="18" t="n">
        <f aca="false">IF($Z444&lt;=0,0,$Z444/$AA444)</f>
        <v>26.1025882352941</v>
      </c>
      <c r="AC444" s="16" t="n">
        <f aca="false">IFERROR(INDEX(SEMANAS!$K$6:$K$71,MATCH($B444,SEMANAS!$B$6:$B$71,0)),0)</f>
        <v>147</v>
      </c>
      <c r="AD444" s="19" t="n">
        <f aca="false">IF($AC444&lt;=0,0,$AB444/$AC444)</f>
        <v>0.17756862745098</v>
      </c>
      <c r="AE444" s="8" t="str">
        <f aca="false">IF($K444="SEM CULTURA","SEM CULTURA",IF($AA444&lt;=0,"DADO PENDENTE",IF($AD444&gt;LIMITE_CRITICO,"INVIAVEL",IF($AD444&gt;LIMITE_ATENCAO,"CRITICO",IF($AD444&gt;LIMITE_CONFORTAVEL,"ATENCAO","OK")))))</f>
        <v>OK</v>
      </c>
      <c r="AF444" s="8" t="str">
        <f aca="false">$B444&amp;"|"&amp;TEXT($AD444,"0.000000")</f>
        <v>43|0.177569</v>
      </c>
      <c r="AG444" s="18" t="n">
        <f aca="false">IF($K444="SEM CULTURA",0,$T444*$H444)</f>
        <v>1681.176</v>
      </c>
      <c r="AH444" s="18" t="n">
        <f aca="false">IF($K444="SEM CULTURA",0,$V444*$H444)</f>
        <v>95.26664</v>
      </c>
      <c r="AI444" s="18" t="n">
        <f aca="false">IF($K444="SEM CULTURA",0,$W444*$H444)</f>
        <v>1585.90936</v>
      </c>
      <c r="AJ444" s="18" t="n">
        <f aca="false">IF($K444="SEM CULTURA",0,$S444*$H444)</f>
        <v>2801.96</v>
      </c>
      <c r="AK444" s="8" t="str">
        <f aca="false">$E444&amp;"|"&amp;TEXT($AD444,"0.000000")</f>
        <v>PV 102|0.177569</v>
      </c>
    </row>
    <row r="445" customFormat="false" ht="15" hidden="false" customHeight="false" outlineLevel="0" collapsed="false">
      <c r="B445" s="16" t="n">
        <v>44</v>
      </c>
      <c r="C445" s="17" t="n">
        <f aca="false">DATA_INICIO_SAFRA+($B445-1)*DIAS_POR_SEMANA</f>
        <v>46566</v>
      </c>
      <c r="D445" s="17" t="n">
        <f aca="false">$C445+DIAS_POR_SEMANA-1</f>
        <v>46572</v>
      </c>
      <c r="E445" s="15" t="s">
        <v>265</v>
      </c>
      <c r="F445" s="8" t="str">
        <f aca="false">IFERROR(INDEX(CADASTRO_PIVOS!$C$6:$C$41,MATCH($E445,CADASTRO_PIVOS!$B$6:$B$41,0)),"?")</f>
        <v>RM04</v>
      </c>
      <c r="G445" s="8" t="str">
        <f aca="false">IFERROR(INDEX(CADASTRO_PIVOS!$D$6:$D$41,MATCH($E445,CADASTRO_PIVOS!$B$6:$B$41,0)),"?")</f>
        <v>TR04</v>
      </c>
      <c r="H445" s="20" t="n">
        <f aca="false">IFERROR(INDEX(CADASTRO_PIVOS!$E$6:$E$41,MATCH($E445,CADASTRO_PIVOS!$B$6:$B$41,0)),0)</f>
        <v>100.07</v>
      </c>
      <c r="I445" s="16" t="n">
        <f aca="false">IFERROR(SUMIFS(ROTACAO_RDM!$B$6:$B$71,ROTACAO_RDM!$D$6:$D$71,$E445,ROTACAO_RDM!$I$6:$I$71,"&lt;="&amp;$C445+INT(DIAS_POR_SEMANA/2),ROTACAO_RDM!$J$6:$J$71,"&gt;="&amp;$C445+INT(DIAS_POR_SEMANA/2)),0)</f>
        <v>0</v>
      </c>
      <c r="J445" s="16" t="n">
        <f aca="false">IFERROR(MATCH($I445,ROTACAO_RDM!$B$6:$B$71,0),0)</f>
        <v>0</v>
      </c>
      <c r="K445" s="8" t="str">
        <f aca="false">IF($J445=0,"SEM CULTURA",INDEX(ROTACAO_RDM!$F$6:$F$71,$J445))</f>
        <v>SEM CULTURA</v>
      </c>
      <c r="L445" s="8" t="str">
        <f aca="false">IF($J445=0,"",INDEX(ROTACAO_RDM!$G$6:$G$71,$J445))</f>
        <v/>
      </c>
      <c r="M445" s="17" t="str">
        <f aca="false">IF($J445=0,"",INDEX(ROTACAO_RDM!$I$6:$I$71,$J445))</f>
        <v/>
      </c>
      <c r="N445" s="16" t="n">
        <f aca="false">IF($J445=0,0,MAX(0,$C445+INT(DIAS_POR_SEMANA/2)-INDEX(ROTACAO_RDM!$I$6:$I$71,$J445)))</f>
        <v>0</v>
      </c>
      <c r="O445" s="19" t="n">
        <f aca="false">IF($J445=0,0,MIN(1,$N445/MAX(1,INDEX(ROTACAO_RDM!$K$6:$K$71,$J445))))</f>
        <v>0</v>
      </c>
      <c r="P445" s="16" t="n">
        <f aca="false">IF($J445=0,0,IFERROR(MATCH(INDEX(ROTACAO_RDM!$N$6:$N$71,$J445),PARAMETROS_CULTURAS!$B$6:$B$28,0),0))</f>
        <v>0</v>
      </c>
      <c r="Q445" s="8" t="str">
        <f aca="false">IF($P445=0,"-",IF($O445&lt;=INDEX(PARAMETROS_CULTURAS!$F$6:$F$28,$P445),"INICIAL",IF($O445&lt;=INDEX(PARAMETROS_CULTURAS!$F$6:$F$28,$P445)+INDEX(PARAMETROS_CULTURAS!$G$6:$G$28,$P445),"DESENVOLVIMENTO",IF($O445&lt;=INDEX(PARAMETROS_CULTURAS!$F$6:$F$28,$P445)+INDEX(PARAMETROS_CULTURAS!$G$6:$G$28,$P445)+INDEX(PARAMETROS_CULTURAS!$H$6:$H$28,$P445),"MEDIA","FINAL"))))</f>
        <v>-</v>
      </c>
      <c r="R445" s="24" t="n">
        <f aca="false">IF($P445=0,0,IF($O445&lt;=INDEX(PARAMETROS_CULTURAS!$F$6:$F$28,$P445),INDEX(PARAMETROS_CULTURAS!$K$6:$K$28,$P445),IF($O445&lt;=INDEX(PARAMETROS_CULTURAS!$F$6:$F$28,$P445)+INDEX(PARAMETROS_CULTURAS!$G$6:$G$28,$P445),INDEX(PARAMETROS_CULTURAS!$K$6:$K$28,$P445)+(INDEX(PARAMETROS_CULTURAS!$L$6:$L$28,$P445)-INDEX(PARAMETROS_CULTURAS!$K$6:$K$28,$P445))*($O445-INDEX(PARAMETROS_CULTURAS!$F$6:$F$28,$P445))/MAX(INDEX(PARAMETROS_CULTURAS!$G$6:$G$28,$P445),0.0001),IF($O445&lt;=INDEX(PARAMETROS_CULTURAS!$F$6:$F$28,$P445)+INDEX(PARAMETROS_CULTURAS!$G$6:$G$28,$P445)+INDEX(PARAMETROS_CULTURAS!$H$6:$H$28,$P445),INDEX(PARAMETROS_CULTURAS!$L$6:$L$28,$P445),INDEX(PARAMETROS_CULTURAS!$L$6:$L$28,$P445)+(INDEX(PARAMETROS_CULTURAS!$M$6:$M$28,$P445)-INDEX(PARAMETROS_CULTURAS!$L$6:$L$28,$P445))*($O445-INDEX(PARAMETROS_CULTURAS!$F$6:$F$28,$P445)-INDEX(PARAMETROS_CULTURAS!$G$6:$G$28,$P445)-INDEX(PARAMETROS_CULTURAS!$H$6:$H$28,$P445))/MAX(INDEX(PARAMETROS_CULTURAS!$I$6:$I$28,$P445),0.0001)))))</f>
        <v>0</v>
      </c>
      <c r="S445" s="18" t="n">
        <f aca="false">IFERROR(INDEX(SEMANAS!$H$6:$H$71,MATCH($B445,SEMANAS!$B$6:$B$71,0)),0)</f>
        <v>29.2</v>
      </c>
      <c r="T445" s="18" t="n">
        <f aca="false">$R445*$S445</f>
        <v>0</v>
      </c>
      <c r="U445" s="18" t="n">
        <f aca="false">IFERROR(INDEX(SEMANAS!$I$6:$I$71,MATCH($B445,SEMANAS!$B$6:$B$71,0)),0)</f>
        <v>0.91</v>
      </c>
      <c r="V445" s="18" t="n">
        <f aca="false">IFERROR(INDEX(SEMANAS!$J$6:$J$71,MATCH($B445,SEMANAS!$B$6:$B$71,0)),0)</f>
        <v>0.728</v>
      </c>
      <c r="W445" s="18" t="n">
        <f aca="false">MAX(0,$T445-$V445)</f>
        <v>0</v>
      </c>
      <c r="X445" s="19" t="n">
        <f aca="false">IFERROR(INDEX(CADASTRO_PIVOS!$K$6:$K$41,MATCH($E445,CADASTRO_PIVOS!$B$6:$B$41,0)),EFICIENCIA_PADRAO)</f>
        <v>0.85</v>
      </c>
      <c r="Y445" s="18" t="n">
        <f aca="false">IF($X445&lt;=0,0,$W445/$X445)</f>
        <v>0</v>
      </c>
      <c r="Z445" s="16" t="n">
        <f aca="false">$Y445*$H445*MM_PARA_M3_HA</f>
        <v>0</v>
      </c>
      <c r="AA445" s="18" t="n">
        <f aca="false">IFERROR(INDEX(CADASTRO_PIVOS!$I$6:$I$41,MATCH($E445,CADASTRO_PIVOS!$B$6:$B$41,0)),0)</f>
        <v>714.785714285714</v>
      </c>
      <c r="AB445" s="18" t="n">
        <f aca="false">IF($Z445&lt;=0,0,$Z445/$AA445)</f>
        <v>0</v>
      </c>
      <c r="AC445" s="16" t="n">
        <f aca="false">IFERROR(INDEX(SEMANAS!$K$6:$K$71,MATCH($B445,SEMANAS!$B$6:$B$71,0)),0)</f>
        <v>147</v>
      </c>
      <c r="AD445" s="19" t="n">
        <f aca="false">IF($AC445&lt;=0,0,$AB445/$AC445)</f>
        <v>0</v>
      </c>
      <c r="AE445" s="8" t="str">
        <f aca="false">IF($K445="SEM CULTURA","SEM CULTURA",IF($AA445&lt;=0,"DADO PENDENTE",IF($AD445&gt;LIMITE_CRITICO,"INVIAVEL",IF($AD445&gt;LIMITE_ATENCAO,"CRITICO",IF($AD445&gt;LIMITE_CONFORTAVEL,"ATENCAO","OK")))))</f>
        <v>SEM CULTURA</v>
      </c>
      <c r="AF445" s="8" t="str">
        <f aca="false">$B445&amp;"|"&amp;TEXT($AD445,"0.000000")</f>
        <v>44|0.000000</v>
      </c>
      <c r="AG445" s="18" t="n">
        <f aca="false">IF($K445="SEM CULTURA",0,$T445*$H445)</f>
        <v>0</v>
      </c>
      <c r="AH445" s="18" t="n">
        <f aca="false">IF($K445="SEM CULTURA",0,$V445*$H445)</f>
        <v>0</v>
      </c>
      <c r="AI445" s="18" t="n">
        <f aca="false">IF($K445="SEM CULTURA",0,$W445*$H445)</f>
        <v>0</v>
      </c>
      <c r="AJ445" s="18" t="n">
        <f aca="false">IF($K445="SEM CULTURA",0,$S445*$H445)</f>
        <v>0</v>
      </c>
      <c r="AK445" s="8" t="str">
        <f aca="false">$E445&amp;"|"&amp;TEXT($AD445,"0.000000")</f>
        <v>PV 102|0.000000</v>
      </c>
    </row>
    <row r="446" customFormat="false" ht="15" hidden="false" customHeight="false" outlineLevel="0" collapsed="false">
      <c r="B446" s="16" t="n">
        <v>45</v>
      </c>
      <c r="C446" s="17" t="n">
        <f aca="false">DATA_INICIO_SAFRA+($B446-1)*DIAS_POR_SEMANA</f>
        <v>46573</v>
      </c>
      <c r="D446" s="17" t="n">
        <f aca="false">$C446+DIAS_POR_SEMANA-1</f>
        <v>46579</v>
      </c>
      <c r="E446" s="15" t="s">
        <v>265</v>
      </c>
      <c r="F446" s="8" t="str">
        <f aca="false">IFERROR(INDEX(CADASTRO_PIVOS!$C$6:$C$41,MATCH($E446,CADASTRO_PIVOS!$B$6:$B$41,0)),"?")</f>
        <v>RM04</v>
      </c>
      <c r="G446" s="8" t="str">
        <f aca="false">IFERROR(INDEX(CADASTRO_PIVOS!$D$6:$D$41,MATCH($E446,CADASTRO_PIVOS!$B$6:$B$41,0)),"?")</f>
        <v>TR04</v>
      </c>
      <c r="H446" s="20" t="n">
        <f aca="false">IFERROR(INDEX(CADASTRO_PIVOS!$E$6:$E$41,MATCH($E446,CADASTRO_PIVOS!$B$6:$B$41,0)),0)</f>
        <v>100.07</v>
      </c>
      <c r="I446" s="16" t="n">
        <f aca="false">IFERROR(SUMIFS(ROTACAO_RDM!$B$6:$B$71,ROTACAO_RDM!$D$6:$D$71,$E446,ROTACAO_RDM!$I$6:$I$71,"&lt;="&amp;$C446+INT(DIAS_POR_SEMANA/2),ROTACAO_RDM!$J$6:$J$71,"&gt;="&amp;$C446+INT(DIAS_POR_SEMANA/2)),0)</f>
        <v>0</v>
      </c>
      <c r="J446" s="16" t="n">
        <f aca="false">IFERROR(MATCH($I446,ROTACAO_RDM!$B$6:$B$71,0),0)</f>
        <v>0</v>
      </c>
      <c r="K446" s="8" t="str">
        <f aca="false">IF($J446=0,"SEM CULTURA",INDEX(ROTACAO_RDM!$F$6:$F$71,$J446))</f>
        <v>SEM CULTURA</v>
      </c>
      <c r="L446" s="8" t="str">
        <f aca="false">IF($J446=0,"",INDEX(ROTACAO_RDM!$G$6:$G$71,$J446))</f>
        <v/>
      </c>
      <c r="M446" s="17" t="str">
        <f aca="false">IF($J446=0,"",INDEX(ROTACAO_RDM!$I$6:$I$71,$J446))</f>
        <v/>
      </c>
      <c r="N446" s="16" t="n">
        <f aca="false">IF($J446=0,0,MAX(0,$C446+INT(DIAS_POR_SEMANA/2)-INDEX(ROTACAO_RDM!$I$6:$I$71,$J446)))</f>
        <v>0</v>
      </c>
      <c r="O446" s="19" t="n">
        <f aca="false">IF($J446=0,0,MIN(1,$N446/MAX(1,INDEX(ROTACAO_RDM!$K$6:$K$71,$J446))))</f>
        <v>0</v>
      </c>
      <c r="P446" s="16" t="n">
        <f aca="false">IF($J446=0,0,IFERROR(MATCH(INDEX(ROTACAO_RDM!$N$6:$N$71,$J446),PARAMETROS_CULTURAS!$B$6:$B$28,0),0))</f>
        <v>0</v>
      </c>
      <c r="Q446" s="8" t="str">
        <f aca="false">IF($P446=0,"-",IF($O446&lt;=INDEX(PARAMETROS_CULTURAS!$F$6:$F$28,$P446),"INICIAL",IF($O446&lt;=INDEX(PARAMETROS_CULTURAS!$F$6:$F$28,$P446)+INDEX(PARAMETROS_CULTURAS!$G$6:$G$28,$P446),"DESENVOLVIMENTO",IF($O446&lt;=INDEX(PARAMETROS_CULTURAS!$F$6:$F$28,$P446)+INDEX(PARAMETROS_CULTURAS!$G$6:$G$28,$P446)+INDEX(PARAMETROS_CULTURAS!$H$6:$H$28,$P446),"MEDIA","FINAL"))))</f>
        <v>-</v>
      </c>
      <c r="R446" s="24" t="n">
        <f aca="false">IF($P446=0,0,IF($O446&lt;=INDEX(PARAMETROS_CULTURAS!$F$6:$F$28,$P446),INDEX(PARAMETROS_CULTURAS!$K$6:$K$28,$P446),IF($O446&lt;=INDEX(PARAMETROS_CULTURAS!$F$6:$F$28,$P446)+INDEX(PARAMETROS_CULTURAS!$G$6:$G$28,$P446),INDEX(PARAMETROS_CULTURAS!$K$6:$K$28,$P446)+(INDEX(PARAMETROS_CULTURAS!$L$6:$L$28,$P446)-INDEX(PARAMETROS_CULTURAS!$K$6:$K$28,$P446))*($O446-INDEX(PARAMETROS_CULTURAS!$F$6:$F$28,$P446))/MAX(INDEX(PARAMETROS_CULTURAS!$G$6:$G$28,$P446),0.0001),IF($O446&lt;=INDEX(PARAMETROS_CULTURAS!$F$6:$F$28,$P446)+INDEX(PARAMETROS_CULTURAS!$G$6:$G$28,$P446)+INDEX(PARAMETROS_CULTURAS!$H$6:$H$28,$P446),INDEX(PARAMETROS_CULTURAS!$L$6:$L$28,$P446),INDEX(PARAMETROS_CULTURAS!$L$6:$L$28,$P446)+(INDEX(PARAMETROS_CULTURAS!$M$6:$M$28,$P446)-INDEX(PARAMETROS_CULTURAS!$L$6:$L$28,$P446))*($O446-INDEX(PARAMETROS_CULTURAS!$F$6:$F$28,$P446)-INDEX(PARAMETROS_CULTURAS!$G$6:$G$28,$P446)-INDEX(PARAMETROS_CULTURAS!$H$6:$H$28,$P446))/MAX(INDEX(PARAMETROS_CULTURAS!$I$6:$I$28,$P446),0.0001)))))</f>
        <v>0</v>
      </c>
      <c r="S446" s="18" t="n">
        <f aca="false">IFERROR(INDEX(SEMANAS!$H$6:$H$71,MATCH($B446,SEMANAS!$B$6:$B$71,0)),0)</f>
        <v>30.1</v>
      </c>
      <c r="T446" s="18" t="n">
        <f aca="false">$R446*$S446</f>
        <v>0</v>
      </c>
      <c r="U446" s="18" t="n">
        <f aca="false">IFERROR(INDEX(SEMANAS!$I$6:$I$71,MATCH($B446,SEMANAS!$B$6:$B$71,0)),0)</f>
        <v>0.7</v>
      </c>
      <c r="V446" s="18" t="n">
        <f aca="false">IFERROR(INDEX(SEMANAS!$J$6:$J$71,MATCH($B446,SEMANAS!$B$6:$B$71,0)),0)</f>
        <v>0.56</v>
      </c>
      <c r="W446" s="18" t="n">
        <f aca="false">MAX(0,$T446-$V446)</f>
        <v>0</v>
      </c>
      <c r="X446" s="19" t="n">
        <f aca="false">IFERROR(INDEX(CADASTRO_PIVOS!$K$6:$K$41,MATCH($E446,CADASTRO_PIVOS!$B$6:$B$41,0)),EFICIENCIA_PADRAO)</f>
        <v>0.85</v>
      </c>
      <c r="Y446" s="18" t="n">
        <f aca="false">IF($X446&lt;=0,0,$W446/$X446)</f>
        <v>0</v>
      </c>
      <c r="Z446" s="16" t="n">
        <f aca="false">$Y446*$H446*MM_PARA_M3_HA</f>
        <v>0</v>
      </c>
      <c r="AA446" s="18" t="n">
        <f aca="false">IFERROR(INDEX(CADASTRO_PIVOS!$I$6:$I$41,MATCH($E446,CADASTRO_PIVOS!$B$6:$B$41,0)),0)</f>
        <v>714.785714285714</v>
      </c>
      <c r="AB446" s="18" t="n">
        <f aca="false">IF($Z446&lt;=0,0,$Z446/$AA446)</f>
        <v>0</v>
      </c>
      <c r="AC446" s="16" t="n">
        <f aca="false">IFERROR(INDEX(SEMANAS!$K$6:$K$71,MATCH($B446,SEMANAS!$B$6:$B$71,0)),0)</f>
        <v>147</v>
      </c>
      <c r="AD446" s="19" t="n">
        <f aca="false">IF($AC446&lt;=0,0,$AB446/$AC446)</f>
        <v>0</v>
      </c>
      <c r="AE446" s="8" t="str">
        <f aca="false">IF($K446="SEM CULTURA","SEM CULTURA",IF($AA446&lt;=0,"DADO PENDENTE",IF($AD446&gt;LIMITE_CRITICO,"INVIAVEL",IF($AD446&gt;LIMITE_ATENCAO,"CRITICO",IF($AD446&gt;LIMITE_CONFORTAVEL,"ATENCAO","OK")))))</f>
        <v>SEM CULTURA</v>
      </c>
      <c r="AF446" s="8" t="str">
        <f aca="false">$B446&amp;"|"&amp;TEXT($AD446,"0.000000")</f>
        <v>45|0.000000</v>
      </c>
      <c r="AG446" s="18" t="n">
        <f aca="false">IF($K446="SEM CULTURA",0,$T446*$H446)</f>
        <v>0</v>
      </c>
      <c r="AH446" s="18" t="n">
        <f aca="false">IF($K446="SEM CULTURA",0,$V446*$H446)</f>
        <v>0</v>
      </c>
      <c r="AI446" s="18" t="n">
        <f aca="false">IF($K446="SEM CULTURA",0,$W446*$H446)</f>
        <v>0</v>
      </c>
      <c r="AJ446" s="18" t="n">
        <f aca="false">IF($K446="SEM CULTURA",0,$S446*$H446)</f>
        <v>0</v>
      </c>
      <c r="AK446" s="8" t="str">
        <f aca="false">$E446&amp;"|"&amp;TEXT($AD446,"0.000000")</f>
        <v>PV 102|0.000000</v>
      </c>
    </row>
    <row r="447" customFormat="false" ht="15" hidden="false" customHeight="false" outlineLevel="0" collapsed="false">
      <c r="B447" s="16" t="n">
        <v>46</v>
      </c>
      <c r="C447" s="17" t="n">
        <f aca="false">DATA_INICIO_SAFRA+($B447-1)*DIAS_POR_SEMANA</f>
        <v>46580</v>
      </c>
      <c r="D447" s="17" t="n">
        <f aca="false">$C447+DIAS_POR_SEMANA-1</f>
        <v>46586</v>
      </c>
      <c r="E447" s="15" t="s">
        <v>265</v>
      </c>
      <c r="F447" s="8" t="str">
        <f aca="false">IFERROR(INDEX(CADASTRO_PIVOS!$C$6:$C$41,MATCH($E447,CADASTRO_PIVOS!$B$6:$B$41,0)),"?")</f>
        <v>RM04</v>
      </c>
      <c r="G447" s="8" t="str">
        <f aca="false">IFERROR(INDEX(CADASTRO_PIVOS!$D$6:$D$41,MATCH($E447,CADASTRO_PIVOS!$B$6:$B$41,0)),"?")</f>
        <v>TR04</v>
      </c>
      <c r="H447" s="20" t="n">
        <f aca="false">IFERROR(INDEX(CADASTRO_PIVOS!$E$6:$E$41,MATCH($E447,CADASTRO_PIVOS!$B$6:$B$41,0)),0)</f>
        <v>100.07</v>
      </c>
      <c r="I447" s="16" t="n">
        <f aca="false">IFERROR(SUMIFS(ROTACAO_RDM!$B$6:$B$71,ROTACAO_RDM!$D$6:$D$71,$E447,ROTACAO_RDM!$I$6:$I$71,"&lt;="&amp;$C447+INT(DIAS_POR_SEMANA/2),ROTACAO_RDM!$J$6:$J$71,"&gt;="&amp;$C447+INT(DIAS_POR_SEMANA/2)),0)</f>
        <v>0</v>
      </c>
      <c r="J447" s="16" t="n">
        <f aca="false">IFERROR(MATCH($I447,ROTACAO_RDM!$B$6:$B$71,0),0)</f>
        <v>0</v>
      </c>
      <c r="K447" s="8" t="str">
        <f aca="false">IF($J447=0,"SEM CULTURA",INDEX(ROTACAO_RDM!$F$6:$F$71,$J447))</f>
        <v>SEM CULTURA</v>
      </c>
      <c r="L447" s="8" t="str">
        <f aca="false">IF($J447=0,"",INDEX(ROTACAO_RDM!$G$6:$G$71,$J447))</f>
        <v/>
      </c>
      <c r="M447" s="17" t="str">
        <f aca="false">IF($J447=0,"",INDEX(ROTACAO_RDM!$I$6:$I$71,$J447))</f>
        <v/>
      </c>
      <c r="N447" s="16" t="n">
        <f aca="false">IF($J447=0,0,MAX(0,$C447+INT(DIAS_POR_SEMANA/2)-INDEX(ROTACAO_RDM!$I$6:$I$71,$J447)))</f>
        <v>0</v>
      </c>
      <c r="O447" s="19" t="n">
        <f aca="false">IF($J447=0,0,MIN(1,$N447/MAX(1,INDEX(ROTACAO_RDM!$K$6:$K$71,$J447))))</f>
        <v>0</v>
      </c>
      <c r="P447" s="16" t="n">
        <f aca="false">IF($J447=0,0,IFERROR(MATCH(INDEX(ROTACAO_RDM!$N$6:$N$71,$J447),PARAMETROS_CULTURAS!$B$6:$B$28,0),0))</f>
        <v>0</v>
      </c>
      <c r="Q447" s="8" t="str">
        <f aca="false">IF($P447=0,"-",IF($O447&lt;=INDEX(PARAMETROS_CULTURAS!$F$6:$F$28,$P447),"INICIAL",IF($O447&lt;=INDEX(PARAMETROS_CULTURAS!$F$6:$F$28,$P447)+INDEX(PARAMETROS_CULTURAS!$G$6:$G$28,$P447),"DESENVOLVIMENTO",IF($O447&lt;=INDEX(PARAMETROS_CULTURAS!$F$6:$F$28,$P447)+INDEX(PARAMETROS_CULTURAS!$G$6:$G$28,$P447)+INDEX(PARAMETROS_CULTURAS!$H$6:$H$28,$P447),"MEDIA","FINAL"))))</f>
        <v>-</v>
      </c>
      <c r="R447" s="24" t="n">
        <f aca="false">IF($P447=0,0,IF($O447&lt;=INDEX(PARAMETROS_CULTURAS!$F$6:$F$28,$P447),INDEX(PARAMETROS_CULTURAS!$K$6:$K$28,$P447),IF($O447&lt;=INDEX(PARAMETROS_CULTURAS!$F$6:$F$28,$P447)+INDEX(PARAMETROS_CULTURAS!$G$6:$G$28,$P447),INDEX(PARAMETROS_CULTURAS!$K$6:$K$28,$P447)+(INDEX(PARAMETROS_CULTURAS!$L$6:$L$28,$P447)-INDEX(PARAMETROS_CULTURAS!$K$6:$K$28,$P447))*($O447-INDEX(PARAMETROS_CULTURAS!$F$6:$F$28,$P447))/MAX(INDEX(PARAMETROS_CULTURAS!$G$6:$G$28,$P447),0.0001),IF($O447&lt;=INDEX(PARAMETROS_CULTURAS!$F$6:$F$28,$P447)+INDEX(PARAMETROS_CULTURAS!$G$6:$G$28,$P447)+INDEX(PARAMETROS_CULTURAS!$H$6:$H$28,$P447),INDEX(PARAMETROS_CULTURAS!$L$6:$L$28,$P447),INDEX(PARAMETROS_CULTURAS!$L$6:$L$28,$P447)+(INDEX(PARAMETROS_CULTURAS!$M$6:$M$28,$P447)-INDEX(PARAMETROS_CULTURAS!$L$6:$L$28,$P447))*($O447-INDEX(PARAMETROS_CULTURAS!$F$6:$F$28,$P447)-INDEX(PARAMETROS_CULTURAS!$G$6:$G$28,$P447)-INDEX(PARAMETROS_CULTURAS!$H$6:$H$28,$P447))/MAX(INDEX(PARAMETROS_CULTURAS!$I$6:$I$28,$P447),0.0001)))))</f>
        <v>0</v>
      </c>
      <c r="S447" s="18" t="n">
        <f aca="false">IFERROR(INDEX(SEMANAS!$H$6:$H$71,MATCH($B447,SEMANAS!$B$6:$B$71,0)),0)</f>
        <v>30.1</v>
      </c>
      <c r="T447" s="18" t="n">
        <f aca="false">$R447*$S447</f>
        <v>0</v>
      </c>
      <c r="U447" s="18" t="n">
        <f aca="false">IFERROR(INDEX(SEMANAS!$I$6:$I$71,MATCH($B447,SEMANAS!$B$6:$B$71,0)),0)</f>
        <v>0.7</v>
      </c>
      <c r="V447" s="18" t="n">
        <f aca="false">IFERROR(INDEX(SEMANAS!$J$6:$J$71,MATCH($B447,SEMANAS!$B$6:$B$71,0)),0)</f>
        <v>0.56</v>
      </c>
      <c r="W447" s="18" t="n">
        <f aca="false">MAX(0,$T447-$V447)</f>
        <v>0</v>
      </c>
      <c r="X447" s="19" t="n">
        <f aca="false">IFERROR(INDEX(CADASTRO_PIVOS!$K$6:$K$41,MATCH($E447,CADASTRO_PIVOS!$B$6:$B$41,0)),EFICIENCIA_PADRAO)</f>
        <v>0.85</v>
      </c>
      <c r="Y447" s="18" t="n">
        <f aca="false">IF($X447&lt;=0,0,$W447/$X447)</f>
        <v>0</v>
      </c>
      <c r="Z447" s="16" t="n">
        <f aca="false">$Y447*$H447*MM_PARA_M3_HA</f>
        <v>0</v>
      </c>
      <c r="AA447" s="18" t="n">
        <f aca="false">IFERROR(INDEX(CADASTRO_PIVOS!$I$6:$I$41,MATCH($E447,CADASTRO_PIVOS!$B$6:$B$41,0)),0)</f>
        <v>714.785714285714</v>
      </c>
      <c r="AB447" s="18" t="n">
        <f aca="false">IF($Z447&lt;=0,0,$Z447/$AA447)</f>
        <v>0</v>
      </c>
      <c r="AC447" s="16" t="n">
        <f aca="false">IFERROR(INDEX(SEMANAS!$K$6:$K$71,MATCH($B447,SEMANAS!$B$6:$B$71,0)),0)</f>
        <v>147</v>
      </c>
      <c r="AD447" s="19" t="n">
        <f aca="false">IF($AC447&lt;=0,0,$AB447/$AC447)</f>
        <v>0</v>
      </c>
      <c r="AE447" s="8" t="str">
        <f aca="false">IF($K447="SEM CULTURA","SEM CULTURA",IF($AA447&lt;=0,"DADO PENDENTE",IF($AD447&gt;LIMITE_CRITICO,"INVIAVEL",IF($AD447&gt;LIMITE_ATENCAO,"CRITICO",IF($AD447&gt;LIMITE_CONFORTAVEL,"ATENCAO","OK")))))</f>
        <v>SEM CULTURA</v>
      </c>
      <c r="AF447" s="8" t="str">
        <f aca="false">$B447&amp;"|"&amp;TEXT($AD447,"0.000000")</f>
        <v>46|0.000000</v>
      </c>
      <c r="AG447" s="18" t="n">
        <f aca="false">IF($K447="SEM CULTURA",0,$T447*$H447)</f>
        <v>0</v>
      </c>
      <c r="AH447" s="18" t="n">
        <f aca="false">IF($K447="SEM CULTURA",0,$V447*$H447)</f>
        <v>0</v>
      </c>
      <c r="AI447" s="18" t="n">
        <f aca="false">IF($K447="SEM CULTURA",0,$W447*$H447)</f>
        <v>0</v>
      </c>
      <c r="AJ447" s="18" t="n">
        <f aca="false">IF($K447="SEM CULTURA",0,$S447*$H447)</f>
        <v>0</v>
      </c>
      <c r="AK447" s="8" t="str">
        <f aca="false">$E447&amp;"|"&amp;TEXT($AD447,"0.000000")</f>
        <v>PV 102|0.000000</v>
      </c>
    </row>
    <row r="448" customFormat="false" ht="15" hidden="false" customHeight="false" outlineLevel="0" collapsed="false">
      <c r="B448" s="16" t="n">
        <v>47</v>
      </c>
      <c r="C448" s="17" t="n">
        <f aca="false">DATA_INICIO_SAFRA+($B448-1)*DIAS_POR_SEMANA</f>
        <v>46587</v>
      </c>
      <c r="D448" s="17" t="n">
        <f aca="false">$C448+DIAS_POR_SEMANA-1</f>
        <v>46593</v>
      </c>
      <c r="E448" s="15" t="s">
        <v>265</v>
      </c>
      <c r="F448" s="8" t="str">
        <f aca="false">IFERROR(INDEX(CADASTRO_PIVOS!$C$6:$C$41,MATCH($E448,CADASTRO_PIVOS!$B$6:$B$41,0)),"?")</f>
        <v>RM04</v>
      </c>
      <c r="G448" s="8" t="str">
        <f aca="false">IFERROR(INDEX(CADASTRO_PIVOS!$D$6:$D$41,MATCH($E448,CADASTRO_PIVOS!$B$6:$B$41,0)),"?")</f>
        <v>TR04</v>
      </c>
      <c r="H448" s="20" t="n">
        <f aca="false">IFERROR(INDEX(CADASTRO_PIVOS!$E$6:$E$41,MATCH($E448,CADASTRO_PIVOS!$B$6:$B$41,0)),0)</f>
        <v>100.07</v>
      </c>
      <c r="I448" s="16" t="n">
        <f aca="false">IFERROR(SUMIFS(ROTACAO_RDM!$B$6:$B$71,ROTACAO_RDM!$D$6:$D$71,$E448,ROTACAO_RDM!$I$6:$I$71,"&lt;="&amp;$C448+INT(DIAS_POR_SEMANA/2),ROTACAO_RDM!$J$6:$J$71,"&gt;="&amp;$C448+INT(DIAS_POR_SEMANA/2)),0)</f>
        <v>0</v>
      </c>
      <c r="J448" s="16" t="n">
        <f aca="false">IFERROR(MATCH($I448,ROTACAO_RDM!$B$6:$B$71,0),0)</f>
        <v>0</v>
      </c>
      <c r="K448" s="8" t="str">
        <f aca="false">IF($J448=0,"SEM CULTURA",INDEX(ROTACAO_RDM!$F$6:$F$71,$J448))</f>
        <v>SEM CULTURA</v>
      </c>
      <c r="L448" s="8" t="str">
        <f aca="false">IF($J448=0,"",INDEX(ROTACAO_RDM!$G$6:$G$71,$J448))</f>
        <v/>
      </c>
      <c r="M448" s="17" t="str">
        <f aca="false">IF($J448=0,"",INDEX(ROTACAO_RDM!$I$6:$I$71,$J448))</f>
        <v/>
      </c>
      <c r="N448" s="16" t="n">
        <f aca="false">IF($J448=0,0,MAX(0,$C448+INT(DIAS_POR_SEMANA/2)-INDEX(ROTACAO_RDM!$I$6:$I$71,$J448)))</f>
        <v>0</v>
      </c>
      <c r="O448" s="19" t="n">
        <f aca="false">IF($J448=0,0,MIN(1,$N448/MAX(1,INDEX(ROTACAO_RDM!$K$6:$K$71,$J448))))</f>
        <v>0</v>
      </c>
      <c r="P448" s="16" t="n">
        <f aca="false">IF($J448=0,0,IFERROR(MATCH(INDEX(ROTACAO_RDM!$N$6:$N$71,$J448),PARAMETROS_CULTURAS!$B$6:$B$28,0),0))</f>
        <v>0</v>
      </c>
      <c r="Q448" s="8" t="str">
        <f aca="false">IF($P448=0,"-",IF($O448&lt;=INDEX(PARAMETROS_CULTURAS!$F$6:$F$28,$P448),"INICIAL",IF($O448&lt;=INDEX(PARAMETROS_CULTURAS!$F$6:$F$28,$P448)+INDEX(PARAMETROS_CULTURAS!$G$6:$G$28,$P448),"DESENVOLVIMENTO",IF($O448&lt;=INDEX(PARAMETROS_CULTURAS!$F$6:$F$28,$P448)+INDEX(PARAMETROS_CULTURAS!$G$6:$G$28,$P448)+INDEX(PARAMETROS_CULTURAS!$H$6:$H$28,$P448),"MEDIA","FINAL"))))</f>
        <v>-</v>
      </c>
      <c r="R448" s="24" t="n">
        <f aca="false">IF($P448=0,0,IF($O448&lt;=INDEX(PARAMETROS_CULTURAS!$F$6:$F$28,$P448),INDEX(PARAMETROS_CULTURAS!$K$6:$K$28,$P448),IF($O448&lt;=INDEX(PARAMETROS_CULTURAS!$F$6:$F$28,$P448)+INDEX(PARAMETROS_CULTURAS!$G$6:$G$28,$P448),INDEX(PARAMETROS_CULTURAS!$K$6:$K$28,$P448)+(INDEX(PARAMETROS_CULTURAS!$L$6:$L$28,$P448)-INDEX(PARAMETROS_CULTURAS!$K$6:$K$28,$P448))*($O448-INDEX(PARAMETROS_CULTURAS!$F$6:$F$28,$P448))/MAX(INDEX(PARAMETROS_CULTURAS!$G$6:$G$28,$P448),0.0001),IF($O448&lt;=INDEX(PARAMETROS_CULTURAS!$F$6:$F$28,$P448)+INDEX(PARAMETROS_CULTURAS!$G$6:$G$28,$P448)+INDEX(PARAMETROS_CULTURAS!$H$6:$H$28,$P448),INDEX(PARAMETROS_CULTURAS!$L$6:$L$28,$P448),INDEX(PARAMETROS_CULTURAS!$L$6:$L$28,$P448)+(INDEX(PARAMETROS_CULTURAS!$M$6:$M$28,$P448)-INDEX(PARAMETROS_CULTURAS!$L$6:$L$28,$P448))*($O448-INDEX(PARAMETROS_CULTURAS!$F$6:$F$28,$P448)-INDEX(PARAMETROS_CULTURAS!$G$6:$G$28,$P448)-INDEX(PARAMETROS_CULTURAS!$H$6:$H$28,$P448))/MAX(INDEX(PARAMETROS_CULTURAS!$I$6:$I$28,$P448),0.0001)))))</f>
        <v>0</v>
      </c>
      <c r="S448" s="18" t="n">
        <f aca="false">IFERROR(INDEX(SEMANAS!$H$6:$H$71,MATCH($B448,SEMANAS!$B$6:$B$71,0)),0)</f>
        <v>30.1</v>
      </c>
      <c r="T448" s="18" t="n">
        <f aca="false">$R448*$S448</f>
        <v>0</v>
      </c>
      <c r="U448" s="18" t="n">
        <f aca="false">IFERROR(INDEX(SEMANAS!$I$6:$I$71,MATCH($B448,SEMANAS!$B$6:$B$71,0)),0)</f>
        <v>0.7</v>
      </c>
      <c r="V448" s="18" t="n">
        <f aca="false">IFERROR(INDEX(SEMANAS!$J$6:$J$71,MATCH($B448,SEMANAS!$B$6:$B$71,0)),0)</f>
        <v>0.56</v>
      </c>
      <c r="W448" s="18" t="n">
        <f aca="false">MAX(0,$T448-$V448)</f>
        <v>0</v>
      </c>
      <c r="X448" s="19" t="n">
        <f aca="false">IFERROR(INDEX(CADASTRO_PIVOS!$K$6:$K$41,MATCH($E448,CADASTRO_PIVOS!$B$6:$B$41,0)),EFICIENCIA_PADRAO)</f>
        <v>0.85</v>
      </c>
      <c r="Y448" s="18" t="n">
        <f aca="false">IF($X448&lt;=0,0,$W448/$X448)</f>
        <v>0</v>
      </c>
      <c r="Z448" s="16" t="n">
        <f aca="false">$Y448*$H448*MM_PARA_M3_HA</f>
        <v>0</v>
      </c>
      <c r="AA448" s="18" t="n">
        <f aca="false">IFERROR(INDEX(CADASTRO_PIVOS!$I$6:$I$41,MATCH($E448,CADASTRO_PIVOS!$B$6:$B$41,0)),0)</f>
        <v>714.785714285714</v>
      </c>
      <c r="AB448" s="18" t="n">
        <f aca="false">IF($Z448&lt;=0,0,$Z448/$AA448)</f>
        <v>0</v>
      </c>
      <c r="AC448" s="16" t="n">
        <f aca="false">IFERROR(INDEX(SEMANAS!$K$6:$K$71,MATCH($B448,SEMANAS!$B$6:$B$71,0)),0)</f>
        <v>147</v>
      </c>
      <c r="AD448" s="19" t="n">
        <f aca="false">IF($AC448&lt;=0,0,$AB448/$AC448)</f>
        <v>0</v>
      </c>
      <c r="AE448" s="8" t="str">
        <f aca="false">IF($K448="SEM CULTURA","SEM CULTURA",IF($AA448&lt;=0,"DADO PENDENTE",IF($AD448&gt;LIMITE_CRITICO,"INVIAVEL",IF($AD448&gt;LIMITE_ATENCAO,"CRITICO",IF($AD448&gt;LIMITE_CONFORTAVEL,"ATENCAO","OK")))))</f>
        <v>SEM CULTURA</v>
      </c>
      <c r="AF448" s="8" t="str">
        <f aca="false">$B448&amp;"|"&amp;TEXT($AD448,"0.000000")</f>
        <v>47|0.000000</v>
      </c>
      <c r="AG448" s="18" t="n">
        <f aca="false">IF($K448="SEM CULTURA",0,$T448*$H448)</f>
        <v>0</v>
      </c>
      <c r="AH448" s="18" t="n">
        <f aca="false">IF($K448="SEM CULTURA",0,$V448*$H448)</f>
        <v>0</v>
      </c>
      <c r="AI448" s="18" t="n">
        <f aca="false">IF($K448="SEM CULTURA",0,$W448*$H448)</f>
        <v>0</v>
      </c>
      <c r="AJ448" s="18" t="n">
        <f aca="false">IF($K448="SEM CULTURA",0,$S448*$H448)</f>
        <v>0</v>
      </c>
      <c r="AK448" s="8" t="str">
        <f aca="false">$E448&amp;"|"&amp;TEXT($AD448,"0.000000")</f>
        <v>PV 102|0.000000</v>
      </c>
    </row>
    <row r="449" customFormat="false" ht="15" hidden="false" customHeight="false" outlineLevel="0" collapsed="false">
      <c r="B449" s="16" t="n">
        <v>48</v>
      </c>
      <c r="C449" s="17" t="n">
        <f aca="false">DATA_INICIO_SAFRA+($B449-1)*DIAS_POR_SEMANA</f>
        <v>46594</v>
      </c>
      <c r="D449" s="17" t="n">
        <f aca="false">$C449+DIAS_POR_SEMANA-1</f>
        <v>46600</v>
      </c>
      <c r="E449" s="15" t="s">
        <v>265</v>
      </c>
      <c r="F449" s="8" t="str">
        <f aca="false">IFERROR(INDEX(CADASTRO_PIVOS!$C$6:$C$41,MATCH($E449,CADASTRO_PIVOS!$B$6:$B$41,0)),"?")</f>
        <v>RM04</v>
      </c>
      <c r="G449" s="8" t="str">
        <f aca="false">IFERROR(INDEX(CADASTRO_PIVOS!$D$6:$D$41,MATCH($E449,CADASTRO_PIVOS!$B$6:$B$41,0)),"?")</f>
        <v>TR04</v>
      </c>
      <c r="H449" s="20" t="n">
        <f aca="false">IFERROR(INDEX(CADASTRO_PIVOS!$E$6:$E$41,MATCH($E449,CADASTRO_PIVOS!$B$6:$B$41,0)),0)</f>
        <v>100.07</v>
      </c>
      <c r="I449" s="16" t="n">
        <f aca="false">IFERROR(SUMIFS(ROTACAO_RDM!$B$6:$B$71,ROTACAO_RDM!$D$6:$D$71,$E449,ROTACAO_RDM!$I$6:$I$71,"&lt;="&amp;$C449+INT(DIAS_POR_SEMANA/2),ROTACAO_RDM!$J$6:$J$71,"&gt;="&amp;$C449+INT(DIAS_POR_SEMANA/2)),0)</f>
        <v>0</v>
      </c>
      <c r="J449" s="16" t="n">
        <f aca="false">IFERROR(MATCH($I449,ROTACAO_RDM!$B$6:$B$71,0),0)</f>
        <v>0</v>
      </c>
      <c r="K449" s="8" t="str">
        <f aca="false">IF($J449=0,"SEM CULTURA",INDEX(ROTACAO_RDM!$F$6:$F$71,$J449))</f>
        <v>SEM CULTURA</v>
      </c>
      <c r="L449" s="8" t="str">
        <f aca="false">IF($J449=0,"",INDEX(ROTACAO_RDM!$G$6:$G$71,$J449))</f>
        <v/>
      </c>
      <c r="M449" s="17" t="str">
        <f aca="false">IF($J449=0,"",INDEX(ROTACAO_RDM!$I$6:$I$71,$J449))</f>
        <v/>
      </c>
      <c r="N449" s="16" t="n">
        <f aca="false">IF($J449=0,0,MAX(0,$C449+INT(DIAS_POR_SEMANA/2)-INDEX(ROTACAO_RDM!$I$6:$I$71,$J449)))</f>
        <v>0</v>
      </c>
      <c r="O449" s="19" t="n">
        <f aca="false">IF($J449=0,0,MIN(1,$N449/MAX(1,INDEX(ROTACAO_RDM!$K$6:$K$71,$J449))))</f>
        <v>0</v>
      </c>
      <c r="P449" s="16" t="n">
        <f aca="false">IF($J449=0,0,IFERROR(MATCH(INDEX(ROTACAO_RDM!$N$6:$N$71,$J449),PARAMETROS_CULTURAS!$B$6:$B$28,0),0))</f>
        <v>0</v>
      </c>
      <c r="Q449" s="8" t="str">
        <f aca="false">IF($P449=0,"-",IF($O449&lt;=INDEX(PARAMETROS_CULTURAS!$F$6:$F$28,$P449),"INICIAL",IF($O449&lt;=INDEX(PARAMETROS_CULTURAS!$F$6:$F$28,$P449)+INDEX(PARAMETROS_CULTURAS!$G$6:$G$28,$P449),"DESENVOLVIMENTO",IF($O449&lt;=INDEX(PARAMETROS_CULTURAS!$F$6:$F$28,$P449)+INDEX(PARAMETROS_CULTURAS!$G$6:$G$28,$P449)+INDEX(PARAMETROS_CULTURAS!$H$6:$H$28,$P449),"MEDIA","FINAL"))))</f>
        <v>-</v>
      </c>
      <c r="R449" s="24" t="n">
        <f aca="false">IF($P449=0,0,IF($O449&lt;=INDEX(PARAMETROS_CULTURAS!$F$6:$F$28,$P449),INDEX(PARAMETROS_CULTURAS!$K$6:$K$28,$P449),IF($O449&lt;=INDEX(PARAMETROS_CULTURAS!$F$6:$F$28,$P449)+INDEX(PARAMETROS_CULTURAS!$G$6:$G$28,$P449),INDEX(PARAMETROS_CULTURAS!$K$6:$K$28,$P449)+(INDEX(PARAMETROS_CULTURAS!$L$6:$L$28,$P449)-INDEX(PARAMETROS_CULTURAS!$K$6:$K$28,$P449))*($O449-INDEX(PARAMETROS_CULTURAS!$F$6:$F$28,$P449))/MAX(INDEX(PARAMETROS_CULTURAS!$G$6:$G$28,$P449),0.0001),IF($O449&lt;=INDEX(PARAMETROS_CULTURAS!$F$6:$F$28,$P449)+INDEX(PARAMETROS_CULTURAS!$G$6:$G$28,$P449)+INDEX(PARAMETROS_CULTURAS!$H$6:$H$28,$P449),INDEX(PARAMETROS_CULTURAS!$L$6:$L$28,$P449),INDEX(PARAMETROS_CULTURAS!$L$6:$L$28,$P449)+(INDEX(PARAMETROS_CULTURAS!$M$6:$M$28,$P449)-INDEX(PARAMETROS_CULTURAS!$L$6:$L$28,$P449))*($O449-INDEX(PARAMETROS_CULTURAS!$F$6:$F$28,$P449)-INDEX(PARAMETROS_CULTURAS!$G$6:$G$28,$P449)-INDEX(PARAMETROS_CULTURAS!$H$6:$H$28,$P449))/MAX(INDEX(PARAMETROS_CULTURAS!$I$6:$I$28,$P449),0.0001)))))</f>
        <v>0</v>
      </c>
      <c r="S449" s="18" t="n">
        <f aca="false">IFERROR(INDEX(SEMANAS!$H$6:$H$71,MATCH($B449,SEMANAS!$B$6:$B$71,0)),0)</f>
        <v>31</v>
      </c>
      <c r="T449" s="18" t="n">
        <f aca="false">$R449*$S449</f>
        <v>0</v>
      </c>
      <c r="U449" s="18" t="n">
        <f aca="false">IFERROR(INDEX(SEMANAS!$I$6:$I$71,MATCH($B449,SEMANAS!$B$6:$B$71,0)),0)</f>
        <v>0.76</v>
      </c>
      <c r="V449" s="18" t="n">
        <f aca="false">IFERROR(INDEX(SEMANAS!$J$6:$J$71,MATCH($B449,SEMANAS!$B$6:$B$71,0)),0)</f>
        <v>0.608</v>
      </c>
      <c r="W449" s="18" t="n">
        <f aca="false">MAX(0,$T449-$V449)</f>
        <v>0</v>
      </c>
      <c r="X449" s="19" t="n">
        <f aca="false">IFERROR(INDEX(CADASTRO_PIVOS!$K$6:$K$41,MATCH($E449,CADASTRO_PIVOS!$B$6:$B$41,0)),EFICIENCIA_PADRAO)</f>
        <v>0.85</v>
      </c>
      <c r="Y449" s="18" t="n">
        <f aca="false">IF($X449&lt;=0,0,$W449/$X449)</f>
        <v>0</v>
      </c>
      <c r="Z449" s="16" t="n">
        <f aca="false">$Y449*$H449*MM_PARA_M3_HA</f>
        <v>0</v>
      </c>
      <c r="AA449" s="18" t="n">
        <f aca="false">IFERROR(INDEX(CADASTRO_PIVOS!$I$6:$I$41,MATCH($E449,CADASTRO_PIVOS!$B$6:$B$41,0)),0)</f>
        <v>714.785714285714</v>
      </c>
      <c r="AB449" s="18" t="n">
        <f aca="false">IF($Z449&lt;=0,0,$Z449/$AA449)</f>
        <v>0</v>
      </c>
      <c r="AC449" s="16" t="n">
        <f aca="false">IFERROR(INDEX(SEMANAS!$K$6:$K$71,MATCH($B449,SEMANAS!$B$6:$B$71,0)),0)</f>
        <v>147</v>
      </c>
      <c r="AD449" s="19" t="n">
        <f aca="false">IF($AC449&lt;=0,0,$AB449/$AC449)</f>
        <v>0</v>
      </c>
      <c r="AE449" s="8" t="str">
        <f aca="false">IF($K449="SEM CULTURA","SEM CULTURA",IF($AA449&lt;=0,"DADO PENDENTE",IF($AD449&gt;LIMITE_CRITICO,"INVIAVEL",IF($AD449&gt;LIMITE_ATENCAO,"CRITICO",IF($AD449&gt;LIMITE_CONFORTAVEL,"ATENCAO","OK")))))</f>
        <v>SEM CULTURA</v>
      </c>
      <c r="AF449" s="8" t="str">
        <f aca="false">$B449&amp;"|"&amp;TEXT($AD449,"0.000000")</f>
        <v>48|0.000000</v>
      </c>
      <c r="AG449" s="18" t="n">
        <f aca="false">IF($K449="SEM CULTURA",0,$T449*$H449)</f>
        <v>0</v>
      </c>
      <c r="AH449" s="18" t="n">
        <f aca="false">IF($K449="SEM CULTURA",0,$V449*$H449)</f>
        <v>0</v>
      </c>
      <c r="AI449" s="18" t="n">
        <f aca="false">IF($K449="SEM CULTURA",0,$W449*$H449)</f>
        <v>0</v>
      </c>
      <c r="AJ449" s="18" t="n">
        <f aca="false">IF($K449="SEM CULTURA",0,$S449*$H449)</f>
        <v>0</v>
      </c>
      <c r="AK449" s="8" t="str">
        <f aca="false">$E449&amp;"|"&amp;TEXT($AD449,"0.000000")</f>
        <v>PV 102|0.000000</v>
      </c>
    </row>
    <row r="450" customFormat="false" ht="15" hidden="false" customHeight="false" outlineLevel="0" collapsed="false">
      <c r="B450" s="16" t="n">
        <v>49</v>
      </c>
      <c r="C450" s="17" t="n">
        <f aca="false">DATA_INICIO_SAFRA+($B450-1)*DIAS_POR_SEMANA</f>
        <v>46601</v>
      </c>
      <c r="D450" s="17" t="n">
        <f aca="false">$C450+DIAS_POR_SEMANA-1</f>
        <v>46607</v>
      </c>
      <c r="E450" s="15" t="s">
        <v>265</v>
      </c>
      <c r="F450" s="8" t="str">
        <f aca="false">IFERROR(INDEX(CADASTRO_PIVOS!$C$6:$C$41,MATCH($E450,CADASTRO_PIVOS!$B$6:$B$41,0)),"?")</f>
        <v>RM04</v>
      </c>
      <c r="G450" s="8" t="str">
        <f aca="false">IFERROR(INDEX(CADASTRO_PIVOS!$D$6:$D$41,MATCH($E450,CADASTRO_PIVOS!$B$6:$B$41,0)),"?")</f>
        <v>TR04</v>
      </c>
      <c r="H450" s="20" t="n">
        <f aca="false">IFERROR(INDEX(CADASTRO_PIVOS!$E$6:$E$41,MATCH($E450,CADASTRO_PIVOS!$B$6:$B$41,0)),0)</f>
        <v>100.07</v>
      </c>
      <c r="I450" s="16" t="n">
        <f aca="false">IFERROR(SUMIFS(ROTACAO_RDM!$B$6:$B$71,ROTACAO_RDM!$D$6:$D$71,$E450,ROTACAO_RDM!$I$6:$I$71,"&lt;="&amp;$C450+INT(DIAS_POR_SEMANA/2),ROTACAO_RDM!$J$6:$J$71,"&gt;="&amp;$C450+INT(DIAS_POR_SEMANA/2)),0)</f>
        <v>0</v>
      </c>
      <c r="J450" s="16" t="n">
        <f aca="false">IFERROR(MATCH($I450,ROTACAO_RDM!$B$6:$B$71,0),0)</f>
        <v>0</v>
      </c>
      <c r="K450" s="8" t="str">
        <f aca="false">IF($J450=0,"SEM CULTURA",INDEX(ROTACAO_RDM!$F$6:$F$71,$J450))</f>
        <v>SEM CULTURA</v>
      </c>
      <c r="L450" s="8" t="str">
        <f aca="false">IF($J450=0,"",INDEX(ROTACAO_RDM!$G$6:$G$71,$J450))</f>
        <v/>
      </c>
      <c r="M450" s="17" t="str">
        <f aca="false">IF($J450=0,"",INDEX(ROTACAO_RDM!$I$6:$I$71,$J450))</f>
        <v/>
      </c>
      <c r="N450" s="16" t="n">
        <f aca="false">IF($J450=0,0,MAX(0,$C450+INT(DIAS_POR_SEMANA/2)-INDEX(ROTACAO_RDM!$I$6:$I$71,$J450)))</f>
        <v>0</v>
      </c>
      <c r="O450" s="19" t="n">
        <f aca="false">IF($J450=0,0,MIN(1,$N450/MAX(1,INDEX(ROTACAO_RDM!$K$6:$K$71,$J450))))</f>
        <v>0</v>
      </c>
      <c r="P450" s="16" t="n">
        <f aca="false">IF($J450=0,0,IFERROR(MATCH(INDEX(ROTACAO_RDM!$N$6:$N$71,$J450),PARAMETROS_CULTURAS!$B$6:$B$28,0),0))</f>
        <v>0</v>
      </c>
      <c r="Q450" s="8" t="str">
        <f aca="false">IF($P450=0,"-",IF($O450&lt;=INDEX(PARAMETROS_CULTURAS!$F$6:$F$28,$P450),"INICIAL",IF($O450&lt;=INDEX(PARAMETROS_CULTURAS!$F$6:$F$28,$P450)+INDEX(PARAMETROS_CULTURAS!$G$6:$G$28,$P450),"DESENVOLVIMENTO",IF($O450&lt;=INDEX(PARAMETROS_CULTURAS!$F$6:$F$28,$P450)+INDEX(PARAMETROS_CULTURAS!$G$6:$G$28,$P450)+INDEX(PARAMETROS_CULTURAS!$H$6:$H$28,$P450),"MEDIA","FINAL"))))</f>
        <v>-</v>
      </c>
      <c r="R450" s="24" t="n">
        <f aca="false">IF($P450=0,0,IF($O450&lt;=INDEX(PARAMETROS_CULTURAS!$F$6:$F$28,$P450),INDEX(PARAMETROS_CULTURAS!$K$6:$K$28,$P450),IF($O450&lt;=INDEX(PARAMETROS_CULTURAS!$F$6:$F$28,$P450)+INDEX(PARAMETROS_CULTURAS!$G$6:$G$28,$P450),INDEX(PARAMETROS_CULTURAS!$K$6:$K$28,$P450)+(INDEX(PARAMETROS_CULTURAS!$L$6:$L$28,$P450)-INDEX(PARAMETROS_CULTURAS!$K$6:$K$28,$P450))*($O450-INDEX(PARAMETROS_CULTURAS!$F$6:$F$28,$P450))/MAX(INDEX(PARAMETROS_CULTURAS!$G$6:$G$28,$P450),0.0001),IF($O450&lt;=INDEX(PARAMETROS_CULTURAS!$F$6:$F$28,$P450)+INDEX(PARAMETROS_CULTURAS!$G$6:$G$28,$P450)+INDEX(PARAMETROS_CULTURAS!$H$6:$H$28,$P450),INDEX(PARAMETROS_CULTURAS!$L$6:$L$28,$P450),INDEX(PARAMETROS_CULTURAS!$L$6:$L$28,$P450)+(INDEX(PARAMETROS_CULTURAS!$M$6:$M$28,$P450)-INDEX(PARAMETROS_CULTURAS!$L$6:$L$28,$P450))*($O450-INDEX(PARAMETROS_CULTURAS!$F$6:$F$28,$P450)-INDEX(PARAMETROS_CULTURAS!$G$6:$G$28,$P450)-INDEX(PARAMETROS_CULTURAS!$H$6:$H$28,$P450))/MAX(INDEX(PARAMETROS_CULTURAS!$I$6:$I$28,$P450),0.0001)))))</f>
        <v>0</v>
      </c>
      <c r="S450" s="18" t="n">
        <f aca="false">IFERROR(INDEX(SEMANAS!$H$6:$H$71,MATCH($B450,SEMANAS!$B$6:$B$71,0)),0)</f>
        <v>36.4</v>
      </c>
      <c r="T450" s="18" t="n">
        <f aca="false">$R450*$S450</f>
        <v>0</v>
      </c>
      <c r="U450" s="18" t="n">
        <f aca="false">IFERROR(INDEX(SEMANAS!$I$6:$I$71,MATCH($B450,SEMANAS!$B$6:$B$71,0)),0)</f>
        <v>1.12</v>
      </c>
      <c r="V450" s="18" t="n">
        <f aca="false">IFERROR(INDEX(SEMANAS!$J$6:$J$71,MATCH($B450,SEMANAS!$B$6:$B$71,0)),0)</f>
        <v>0.896</v>
      </c>
      <c r="W450" s="18" t="n">
        <f aca="false">MAX(0,$T450-$V450)</f>
        <v>0</v>
      </c>
      <c r="X450" s="19" t="n">
        <f aca="false">IFERROR(INDEX(CADASTRO_PIVOS!$K$6:$K$41,MATCH($E450,CADASTRO_PIVOS!$B$6:$B$41,0)),EFICIENCIA_PADRAO)</f>
        <v>0.85</v>
      </c>
      <c r="Y450" s="18" t="n">
        <f aca="false">IF($X450&lt;=0,0,$W450/$X450)</f>
        <v>0</v>
      </c>
      <c r="Z450" s="16" t="n">
        <f aca="false">$Y450*$H450*MM_PARA_M3_HA</f>
        <v>0</v>
      </c>
      <c r="AA450" s="18" t="n">
        <f aca="false">IFERROR(INDEX(CADASTRO_PIVOS!$I$6:$I$41,MATCH($E450,CADASTRO_PIVOS!$B$6:$B$41,0)),0)</f>
        <v>714.785714285714</v>
      </c>
      <c r="AB450" s="18" t="n">
        <f aca="false">IF($Z450&lt;=0,0,$Z450/$AA450)</f>
        <v>0</v>
      </c>
      <c r="AC450" s="16" t="n">
        <f aca="false">IFERROR(INDEX(SEMANAS!$K$6:$K$71,MATCH($B450,SEMANAS!$B$6:$B$71,0)),0)</f>
        <v>147</v>
      </c>
      <c r="AD450" s="19" t="n">
        <f aca="false">IF($AC450&lt;=0,0,$AB450/$AC450)</f>
        <v>0</v>
      </c>
      <c r="AE450" s="8" t="str">
        <f aca="false">IF($K450="SEM CULTURA","SEM CULTURA",IF($AA450&lt;=0,"DADO PENDENTE",IF($AD450&gt;LIMITE_CRITICO,"INVIAVEL",IF($AD450&gt;LIMITE_ATENCAO,"CRITICO",IF($AD450&gt;LIMITE_CONFORTAVEL,"ATENCAO","OK")))))</f>
        <v>SEM CULTURA</v>
      </c>
      <c r="AF450" s="8" t="str">
        <f aca="false">$B450&amp;"|"&amp;TEXT($AD450,"0.000000")</f>
        <v>49|0.000000</v>
      </c>
      <c r="AG450" s="18" t="n">
        <f aca="false">IF($K450="SEM CULTURA",0,$T450*$H450)</f>
        <v>0</v>
      </c>
      <c r="AH450" s="18" t="n">
        <f aca="false">IF($K450="SEM CULTURA",0,$V450*$H450)</f>
        <v>0</v>
      </c>
      <c r="AI450" s="18" t="n">
        <f aca="false">IF($K450="SEM CULTURA",0,$W450*$H450)</f>
        <v>0</v>
      </c>
      <c r="AJ450" s="18" t="n">
        <f aca="false">IF($K450="SEM CULTURA",0,$S450*$H450)</f>
        <v>0</v>
      </c>
      <c r="AK450" s="8" t="str">
        <f aca="false">$E450&amp;"|"&amp;TEXT($AD450,"0.000000")</f>
        <v>PV 102|0.000000</v>
      </c>
    </row>
    <row r="451" customFormat="false" ht="15" hidden="false" customHeight="false" outlineLevel="0" collapsed="false">
      <c r="B451" s="16" t="n">
        <v>50</v>
      </c>
      <c r="C451" s="17" t="n">
        <f aca="false">DATA_INICIO_SAFRA+($B451-1)*DIAS_POR_SEMANA</f>
        <v>46608</v>
      </c>
      <c r="D451" s="17" t="n">
        <f aca="false">$C451+DIAS_POR_SEMANA-1</f>
        <v>46614</v>
      </c>
      <c r="E451" s="15" t="s">
        <v>265</v>
      </c>
      <c r="F451" s="8" t="str">
        <f aca="false">IFERROR(INDEX(CADASTRO_PIVOS!$C$6:$C$41,MATCH($E451,CADASTRO_PIVOS!$B$6:$B$41,0)),"?")</f>
        <v>RM04</v>
      </c>
      <c r="G451" s="8" t="str">
        <f aca="false">IFERROR(INDEX(CADASTRO_PIVOS!$D$6:$D$41,MATCH($E451,CADASTRO_PIVOS!$B$6:$B$41,0)),"?")</f>
        <v>TR04</v>
      </c>
      <c r="H451" s="20" t="n">
        <f aca="false">IFERROR(INDEX(CADASTRO_PIVOS!$E$6:$E$41,MATCH($E451,CADASTRO_PIVOS!$B$6:$B$41,0)),0)</f>
        <v>100.07</v>
      </c>
      <c r="I451" s="16" t="n">
        <f aca="false">IFERROR(SUMIFS(ROTACAO_RDM!$B$6:$B$71,ROTACAO_RDM!$D$6:$D$71,$E451,ROTACAO_RDM!$I$6:$I$71,"&lt;="&amp;$C451+INT(DIAS_POR_SEMANA/2),ROTACAO_RDM!$J$6:$J$71,"&gt;="&amp;$C451+INT(DIAS_POR_SEMANA/2)),0)</f>
        <v>0</v>
      </c>
      <c r="J451" s="16" t="n">
        <f aca="false">IFERROR(MATCH($I451,ROTACAO_RDM!$B$6:$B$71,0),0)</f>
        <v>0</v>
      </c>
      <c r="K451" s="8" t="str">
        <f aca="false">IF($J451=0,"SEM CULTURA",INDEX(ROTACAO_RDM!$F$6:$F$71,$J451))</f>
        <v>SEM CULTURA</v>
      </c>
      <c r="L451" s="8" t="str">
        <f aca="false">IF($J451=0,"",INDEX(ROTACAO_RDM!$G$6:$G$71,$J451))</f>
        <v/>
      </c>
      <c r="M451" s="17" t="str">
        <f aca="false">IF($J451=0,"",INDEX(ROTACAO_RDM!$I$6:$I$71,$J451))</f>
        <v/>
      </c>
      <c r="N451" s="16" t="n">
        <f aca="false">IF($J451=0,0,MAX(0,$C451+INT(DIAS_POR_SEMANA/2)-INDEX(ROTACAO_RDM!$I$6:$I$71,$J451)))</f>
        <v>0</v>
      </c>
      <c r="O451" s="19" t="n">
        <f aca="false">IF($J451=0,0,MIN(1,$N451/MAX(1,INDEX(ROTACAO_RDM!$K$6:$K$71,$J451))))</f>
        <v>0</v>
      </c>
      <c r="P451" s="16" t="n">
        <f aca="false">IF($J451=0,0,IFERROR(MATCH(INDEX(ROTACAO_RDM!$N$6:$N$71,$J451),PARAMETROS_CULTURAS!$B$6:$B$28,0),0))</f>
        <v>0</v>
      </c>
      <c r="Q451" s="8" t="str">
        <f aca="false">IF($P451=0,"-",IF($O451&lt;=INDEX(PARAMETROS_CULTURAS!$F$6:$F$28,$P451),"INICIAL",IF($O451&lt;=INDEX(PARAMETROS_CULTURAS!$F$6:$F$28,$P451)+INDEX(PARAMETROS_CULTURAS!$G$6:$G$28,$P451),"DESENVOLVIMENTO",IF($O451&lt;=INDEX(PARAMETROS_CULTURAS!$F$6:$F$28,$P451)+INDEX(PARAMETROS_CULTURAS!$G$6:$G$28,$P451)+INDEX(PARAMETROS_CULTURAS!$H$6:$H$28,$P451),"MEDIA","FINAL"))))</f>
        <v>-</v>
      </c>
      <c r="R451" s="24" t="n">
        <f aca="false">IF($P451=0,0,IF($O451&lt;=INDEX(PARAMETROS_CULTURAS!$F$6:$F$28,$P451),INDEX(PARAMETROS_CULTURAS!$K$6:$K$28,$P451),IF($O451&lt;=INDEX(PARAMETROS_CULTURAS!$F$6:$F$28,$P451)+INDEX(PARAMETROS_CULTURAS!$G$6:$G$28,$P451),INDEX(PARAMETROS_CULTURAS!$K$6:$K$28,$P451)+(INDEX(PARAMETROS_CULTURAS!$L$6:$L$28,$P451)-INDEX(PARAMETROS_CULTURAS!$K$6:$K$28,$P451))*($O451-INDEX(PARAMETROS_CULTURAS!$F$6:$F$28,$P451))/MAX(INDEX(PARAMETROS_CULTURAS!$G$6:$G$28,$P451),0.0001),IF($O451&lt;=INDEX(PARAMETROS_CULTURAS!$F$6:$F$28,$P451)+INDEX(PARAMETROS_CULTURAS!$G$6:$G$28,$P451)+INDEX(PARAMETROS_CULTURAS!$H$6:$H$28,$P451),INDEX(PARAMETROS_CULTURAS!$L$6:$L$28,$P451),INDEX(PARAMETROS_CULTURAS!$L$6:$L$28,$P451)+(INDEX(PARAMETROS_CULTURAS!$M$6:$M$28,$P451)-INDEX(PARAMETROS_CULTURAS!$L$6:$L$28,$P451))*($O451-INDEX(PARAMETROS_CULTURAS!$F$6:$F$28,$P451)-INDEX(PARAMETROS_CULTURAS!$G$6:$G$28,$P451)-INDEX(PARAMETROS_CULTURAS!$H$6:$H$28,$P451))/MAX(INDEX(PARAMETROS_CULTURAS!$I$6:$I$28,$P451),0.0001)))))</f>
        <v>0</v>
      </c>
      <c r="S451" s="18" t="n">
        <f aca="false">IFERROR(INDEX(SEMANAS!$H$6:$H$71,MATCH($B451,SEMANAS!$B$6:$B$71,0)),0)</f>
        <v>36.4</v>
      </c>
      <c r="T451" s="18" t="n">
        <f aca="false">$R451*$S451</f>
        <v>0</v>
      </c>
      <c r="U451" s="18" t="n">
        <f aca="false">IFERROR(INDEX(SEMANAS!$I$6:$I$71,MATCH($B451,SEMANAS!$B$6:$B$71,0)),0)</f>
        <v>1.12</v>
      </c>
      <c r="V451" s="18" t="n">
        <f aca="false">IFERROR(INDEX(SEMANAS!$J$6:$J$71,MATCH($B451,SEMANAS!$B$6:$B$71,0)),0)</f>
        <v>0.896</v>
      </c>
      <c r="W451" s="18" t="n">
        <f aca="false">MAX(0,$T451-$V451)</f>
        <v>0</v>
      </c>
      <c r="X451" s="19" t="n">
        <f aca="false">IFERROR(INDEX(CADASTRO_PIVOS!$K$6:$K$41,MATCH($E451,CADASTRO_PIVOS!$B$6:$B$41,0)),EFICIENCIA_PADRAO)</f>
        <v>0.85</v>
      </c>
      <c r="Y451" s="18" t="n">
        <f aca="false">IF($X451&lt;=0,0,$W451/$X451)</f>
        <v>0</v>
      </c>
      <c r="Z451" s="16" t="n">
        <f aca="false">$Y451*$H451*MM_PARA_M3_HA</f>
        <v>0</v>
      </c>
      <c r="AA451" s="18" t="n">
        <f aca="false">IFERROR(INDEX(CADASTRO_PIVOS!$I$6:$I$41,MATCH($E451,CADASTRO_PIVOS!$B$6:$B$41,0)),0)</f>
        <v>714.785714285714</v>
      </c>
      <c r="AB451" s="18" t="n">
        <f aca="false">IF($Z451&lt;=0,0,$Z451/$AA451)</f>
        <v>0</v>
      </c>
      <c r="AC451" s="16" t="n">
        <f aca="false">IFERROR(INDEX(SEMANAS!$K$6:$K$71,MATCH($B451,SEMANAS!$B$6:$B$71,0)),0)</f>
        <v>147</v>
      </c>
      <c r="AD451" s="19" t="n">
        <f aca="false">IF($AC451&lt;=0,0,$AB451/$AC451)</f>
        <v>0</v>
      </c>
      <c r="AE451" s="8" t="str">
        <f aca="false">IF($K451="SEM CULTURA","SEM CULTURA",IF($AA451&lt;=0,"DADO PENDENTE",IF($AD451&gt;LIMITE_CRITICO,"INVIAVEL",IF($AD451&gt;LIMITE_ATENCAO,"CRITICO",IF($AD451&gt;LIMITE_CONFORTAVEL,"ATENCAO","OK")))))</f>
        <v>SEM CULTURA</v>
      </c>
      <c r="AF451" s="8" t="str">
        <f aca="false">$B451&amp;"|"&amp;TEXT($AD451,"0.000000")</f>
        <v>50|0.000000</v>
      </c>
      <c r="AG451" s="18" t="n">
        <f aca="false">IF($K451="SEM CULTURA",0,$T451*$H451)</f>
        <v>0</v>
      </c>
      <c r="AH451" s="18" t="n">
        <f aca="false">IF($K451="SEM CULTURA",0,$V451*$H451)</f>
        <v>0</v>
      </c>
      <c r="AI451" s="18" t="n">
        <f aca="false">IF($K451="SEM CULTURA",0,$W451*$H451)</f>
        <v>0</v>
      </c>
      <c r="AJ451" s="18" t="n">
        <f aca="false">IF($K451="SEM CULTURA",0,$S451*$H451)</f>
        <v>0</v>
      </c>
      <c r="AK451" s="8" t="str">
        <f aca="false">$E451&amp;"|"&amp;TEXT($AD451,"0.000000")</f>
        <v>PV 102|0.000000</v>
      </c>
    </row>
    <row r="452" customFormat="false" ht="15" hidden="false" customHeight="false" outlineLevel="0" collapsed="false">
      <c r="B452" s="16" t="n">
        <v>51</v>
      </c>
      <c r="C452" s="17" t="n">
        <f aca="false">DATA_INICIO_SAFRA+($B452-1)*DIAS_POR_SEMANA</f>
        <v>46615</v>
      </c>
      <c r="D452" s="17" t="n">
        <f aca="false">$C452+DIAS_POR_SEMANA-1</f>
        <v>46621</v>
      </c>
      <c r="E452" s="15" t="s">
        <v>265</v>
      </c>
      <c r="F452" s="8" t="str">
        <f aca="false">IFERROR(INDEX(CADASTRO_PIVOS!$C$6:$C$41,MATCH($E452,CADASTRO_PIVOS!$B$6:$B$41,0)),"?")</f>
        <v>RM04</v>
      </c>
      <c r="G452" s="8" t="str">
        <f aca="false">IFERROR(INDEX(CADASTRO_PIVOS!$D$6:$D$41,MATCH($E452,CADASTRO_PIVOS!$B$6:$B$41,0)),"?")</f>
        <v>TR04</v>
      </c>
      <c r="H452" s="20" t="n">
        <f aca="false">IFERROR(INDEX(CADASTRO_PIVOS!$E$6:$E$41,MATCH($E452,CADASTRO_PIVOS!$B$6:$B$41,0)),0)</f>
        <v>100.07</v>
      </c>
      <c r="I452" s="16" t="n">
        <f aca="false">IFERROR(SUMIFS(ROTACAO_RDM!$B$6:$B$71,ROTACAO_RDM!$D$6:$D$71,$E452,ROTACAO_RDM!$I$6:$I$71,"&lt;="&amp;$C452+INT(DIAS_POR_SEMANA/2),ROTACAO_RDM!$J$6:$J$71,"&gt;="&amp;$C452+INT(DIAS_POR_SEMANA/2)),0)</f>
        <v>0</v>
      </c>
      <c r="J452" s="16" t="n">
        <f aca="false">IFERROR(MATCH($I452,ROTACAO_RDM!$B$6:$B$71,0),0)</f>
        <v>0</v>
      </c>
      <c r="K452" s="8" t="str">
        <f aca="false">IF($J452=0,"SEM CULTURA",INDEX(ROTACAO_RDM!$F$6:$F$71,$J452))</f>
        <v>SEM CULTURA</v>
      </c>
      <c r="L452" s="8" t="str">
        <f aca="false">IF($J452=0,"",INDEX(ROTACAO_RDM!$G$6:$G$71,$J452))</f>
        <v/>
      </c>
      <c r="M452" s="17" t="str">
        <f aca="false">IF($J452=0,"",INDEX(ROTACAO_RDM!$I$6:$I$71,$J452))</f>
        <v/>
      </c>
      <c r="N452" s="16" t="n">
        <f aca="false">IF($J452=0,0,MAX(0,$C452+INT(DIAS_POR_SEMANA/2)-INDEX(ROTACAO_RDM!$I$6:$I$71,$J452)))</f>
        <v>0</v>
      </c>
      <c r="O452" s="19" t="n">
        <f aca="false">IF($J452=0,0,MIN(1,$N452/MAX(1,INDEX(ROTACAO_RDM!$K$6:$K$71,$J452))))</f>
        <v>0</v>
      </c>
      <c r="P452" s="16" t="n">
        <f aca="false">IF($J452=0,0,IFERROR(MATCH(INDEX(ROTACAO_RDM!$N$6:$N$71,$J452),PARAMETROS_CULTURAS!$B$6:$B$28,0),0))</f>
        <v>0</v>
      </c>
      <c r="Q452" s="8" t="str">
        <f aca="false">IF($P452=0,"-",IF($O452&lt;=INDEX(PARAMETROS_CULTURAS!$F$6:$F$28,$P452),"INICIAL",IF($O452&lt;=INDEX(PARAMETROS_CULTURAS!$F$6:$F$28,$P452)+INDEX(PARAMETROS_CULTURAS!$G$6:$G$28,$P452),"DESENVOLVIMENTO",IF($O452&lt;=INDEX(PARAMETROS_CULTURAS!$F$6:$F$28,$P452)+INDEX(PARAMETROS_CULTURAS!$G$6:$G$28,$P452)+INDEX(PARAMETROS_CULTURAS!$H$6:$H$28,$P452),"MEDIA","FINAL"))))</f>
        <v>-</v>
      </c>
      <c r="R452" s="24" t="n">
        <f aca="false">IF($P452=0,0,IF($O452&lt;=INDEX(PARAMETROS_CULTURAS!$F$6:$F$28,$P452),INDEX(PARAMETROS_CULTURAS!$K$6:$K$28,$P452),IF($O452&lt;=INDEX(PARAMETROS_CULTURAS!$F$6:$F$28,$P452)+INDEX(PARAMETROS_CULTURAS!$G$6:$G$28,$P452),INDEX(PARAMETROS_CULTURAS!$K$6:$K$28,$P452)+(INDEX(PARAMETROS_CULTURAS!$L$6:$L$28,$P452)-INDEX(PARAMETROS_CULTURAS!$K$6:$K$28,$P452))*($O452-INDEX(PARAMETROS_CULTURAS!$F$6:$F$28,$P452))/MAX(INDEX(PARAMETROS_CULTURAS!$G$6:$G$28,$P452),0.0001),IF($O452&lt;=INDEX(PARAMETROS_CULTURAS!$F$6:$F$28,$P452)+INDEX(PARAMETROS_CULTURAS!$G$6:$G$28,$P452)+INDEX(PARAMETROS_CULTURAS!$H$6:$H$28,$P452),INDEX(PARAMETROS_CULTURAS!$L$6:$L$28,$P452),INDEX(PARAMETROS_CULTURAS!$L$6:$L$28,$P452)+(INDEX(PARAMETROS_CULTURAS!$M$6:$M$28,$P452)-INDEX(PARAMETROS_CULTURAS!$L$6:$L$28,$P452))*($O452-INDEX(PARAMETROS_CULTURAS!$F$6:$F$28,$P452)-INDEX(PARAMETROS_CULTURAS!$G$6:$G$28,$P452)-INDEX(PARAMETROS_CULTURAS!$H$6:$H$28,$P452))/MAX(INDEX(PARAMETROS_CULTURAS!$I$6:$I$28,$P452),0.0001)))))</f>
        <v>0</v>
      </c>
      <c r="S452" s="18" t="n">
        <f aca="false">IFERROR(INDEX(SEMANAS!$H$6:$H$71,MATCH($B452,SEMANAS!$B$6:$B$71,0)),0)</f>
        <v>36.4</v>
      </c>
      <c r="T452" s="18" t="n">
        <f aca="false">$R452*$S452</f>
        <v>0</v>
      </c>
      <c r="U452" s="18" t="n">
        <f aca="false">IFERROR(INDEX(SEMANAS!$I$6:$I$71,MATCH($B452,SEMANAS!$B$6:$B$71,0)),0)</f>
        <v>1.12</v>
      </c>
      <c r="V452" s="18" t="n">
        <f aca="false">IFERROR(INDEX(SEMANAS!$J$6:$J$71,MATCH($B452,SEMANAS!$B$6:$B$71,0)),0)</f>
        <v>0.896</v>
      </c>
      <c r="W452" s="18" t="n">
        <f aca="false">MAX(0,$T452-$V452)</f>
        <v>0</v>
      </c>
      <c r="X452" s="19" t="n">
        <f aca="false">IFERROR(INDEX(CADASTRO_PIVOS!$K$6:$K$41,MATCH($E452,CADASTRO_PIVOS!$B$6:$B$41,0)),EFICIENCIA_PADRAO)</f>
        <v>0.85</v>
      </c>
      <c r="Y452" s="18" t="n">
        <f aca="false">IF($X452&lt;=0,0,$W452/$X452)</f>
        <v>0</v>
      </c>
      <c r="Z452" s="16" t="n">
        <f aca="false">$Y452*$H452*MM_PARA_M3_HA</f>
        <v>0</v>
      </c>
      <c r="AA452" s="18" t="n">
        <f aca="false">IFERROR(INDEX(CADASTRO_PIVOS!$I$6:$I$41,MATCH($E452,CADASTRO_PIVOS!$B$6:$B$41,0)),0)</f>
        <v>714.785714285714</v>
      </c>
      <c r="AB452" s="18" t="n">
        <f aca="false">IF($Z452&lt;=0,0,$Z452/$AA452)</f>
        <v>0</v>
      </c>
      <c r="AC452" s="16" t="n">
        <f aca="false">IFERROR(INDEX(SEMANAS!$K$6:$K$71,MATCH($B452,SEMANAS!$B$6:$B$71,0)),0)</f>
        <v>147</v>
      </c>
      <c r="AD452" s="19" t="n">
        <f aca="false">IF($AC452&lt;=0,0,$AB452/$AC452)</f>
        <v>0</v>
      </c>
      <c r="AE452" s="8" t="str">
        <f aca="false">IF($K452="SEM CULTURA","SEM CULTURA",IF($AA452&lt;=0,"DADO PENDENTE",IF($AD452&gt;LIMITE_CRITICO,"INVIAVEL",IF($AD452&gt;LIMITE_ATENCAO,"CRITICO",IF($AD452&gt;LIMITE_CONFORTAVEL,"ATENCAO","OK")))))</f>
        <v>SEM CULTURA</v>
      </c>
      <c r="AF452" s="8" t="str">
        <f aca="false">$B452&amp;"|"&amp;TEXT($AD452,"0.000000")</f>
        <v>51|0.000000</v>
      </c>
      <c r="AG452" s="18" t="n">
        <f aca="false">IF($K452="SEM CULTURA",0,$T452*$H452)</f>
        <v>0</v>
      </c>
      <c r="AH452" s="18" t="n">
        <f aca="false">IF($K452="SEM CULTURA",0,$V452*$H452)</f>
        <v>0</v>
      </c>
      <c r="AI452" s="18" t="n">
        <f aca="false">IF($K452="SEM CULTURA",0,$W452*$H452)</f>
        <v>0</v>
      </c>
      <c r="AJ452" s="18" t="n">
        <f aca="false">IF($K452="SEM CULTURA",0,$S452*$H452)</f>
        <v>0</v>
      </c>
      <c r="AK452" s="8" t="str">
        <f aca="false">$E452&amp;"|"&amp;TEXT($AD452,"0.000000")</f>
        <v>PV 102|0.000000</v>
      </c>
    </row>
    <row r="453" customFormat="false" ht="15" hidden="false" customHeight="false" outlineLevel="0" collapsed="false">
      <c r="B453" s="16" t="n">
        <v>52</v>
      </c>
      <c r="C453" s="17" t="n">
        <f aca="false">DATA_INICIO_SAFRA+($B453-1)*DIAS_POR_SEMANA</f>
        <v>46622</v>
      </c>
      <c r="D453" s="17" t="n">
        <f aca="false">$C453+DIAS_POR_SEMANA-1</f>
        <v>46628</v>
      </c>
      <c r="E453" s="15" t="s">
        <v>265</v>
      </c>
      <c r="F453" s="8" t="str">
        <f aca="false">IFERROR(INDEX(CADASTRO_PIVOS!$C$6:$C$41,MATCH($E453,CADASTRO_PIVOS!$B$6:$B$41,0)),"?")</f>
        <v>RM04</v>
      </c>
      <c r="G453" s="8" t="str">
        <f aca="false">IFERROR(INDEX(CADASTRO_PIVOS!$D$6:$D$41,MATCH($E453,CADASTRO_PIVOS!$B$6:$B$41,0)),"?")</f>
        <v>TR04</v>
      </c>
      <c r="H453" s="20" t="n">
        <f aca="false">IFERROR(INDEX(CADASTRO_PIVOS!$E$6:$E$41,MATCH($E453,CADASTRO_PIVOS!$B$6:$B$41,0)),0)</f>
        <v>100.07</v>
      </c>
      <c r="I453" s="16" t="n">
        <f aca="false">IFERROR(SUMIFS(ROTACAO_RDM!$B$6:$B$71,ROTACAO_RDM!$D$6:$D$71,$E453,ROTACAO_RDM!$I$6:$I$71,"&lt;="&amp;$C453+INT(DIAS_POR_SEMANA/2),ROTACAO_RDM!$J$6:$J$71,"&gt;="&amp;$C453+INT(DIAS_POR_SEMANA/2)),0)</f>
        <v>0</v>
      </c>
      <c r="J453" s="16" t="n">
        <f aca="false">IFERROR(MATCH($I453,ROTACAO_RDM!$B$6:$B$71,0),0)</f>
        <v>0</v>
      </c>
      <c r="K453" s="8" t="str">
        <f aca="false">IF($J453=0,"SEM CULTURA",INDEX(ROTACAO_RDM!$F$6:$F$71,$J453))</f>
        <v>SEM CULTURA</v>
      </c>
      <c r="L453" s="8" t="str">
        <f aca="false">IF($J453=0,"",INDEX(ROTACAO_RDM!$G$6:$G$71,$J453))</f>
        <v/>
      </c>
      <c r="M453" s="17" t="str">
        <f aca="false">IF($J453=0,"",INDEX(ROTACAO_RDM!$I$6:$I$71,$J453))</f>
        <v/>
      </c>
      <c r="N453" s="16" t="n">
        <f aca="false">IF($J453=0,0,MAX(0,$C453+INT(DIAS_POR_SEMANA/2)-INDEX(ROTACAO_RDM!$I$6:$I$71,$J453)))</f>
        <v>0</v>
      </c>
      <c r="O453" s="19" t="n">
        <f aca="false">IF($J453=0,0,MIN(1,$N453/MAX(1,INDEX(ROTACAO_RDM!$K$6:$K$71,$J453))))</f>
        <v>0</v>
      </c>
      <c r="P453" s="16" t="n">
        <f aca="false">IF($J453=0,0,IFERROR(MATCH(INDEX(ROTACAO_RDM!$N$6:$N$71,$J453),PARAMETROS_CULTURAS!$B$6:$B$28,0),0))</f>
        <v>0</v>
      </c>
      <c r="Q453" s="8" t="str">
        <f aca="false">IF($P453=0,"-",IF($O453&lt;=INDEX(PARAMETROS_CULTURAS!$F$6:$F$28,$P453),"INICIAL",IF($O453&lt;=INDEX(PARAMETROS_CULTURAS!$F$6:$F$28,$P453)+INDEX(PARAMETROS_CULTURAS!$G$6:$G$28,$P453),"DESENVOLVIMENTO",IF($O453&lt;=INDEX(PARAMETROS_CULTURAS!$F$6:$F$28,$P453)+INDEX(PARAMETROS_CULTURAS!$G$6:$G$28,$P453)+INDEX(PARAMETROS_CULTURAS!$H$6:$H$28,$P453),"MEDIA","FINAL"))))</f>
        <v>-</v>
      </c>
      <c r="R453" s="24" t="n">
        <f aca="false">IF($P453=0,0,IF($O453&lt;=INDEX(PARAMETROS_CULTURAS!$F$6:$F$28,$P453),INDEX(PARAMETROS_CULTURAS!$K$6:$K$28,$P453),IF($O453&lt;=INDEX(PARAMETROS_CULTURAS!$F$6:$F$28,$P453)+INDEX(PARAMETROS_CULTURAS!$G$6:$G$28,$P453),INDEX(PARAMETROS_CULTURAS!$K$6:$K$28,$P453)+(INDEX(PARAMETROS_CULTURAS!$L$6:$L$28,$P453)-INDEX(PARAMETROS_CULTURAS!$K$6:$K$28,$P453))*($O453-INDEX(PARAMETROS_CULTURAS!$F$6:$F$28,$P453))/MAX(INDEX(PARAMETROS_CULTURAS!$G$6:$G$28,$P453),0.0001),IF($O453&lt;=INDEX(PARAMETROS_CULTURAS!$F$6:$F$28,$P453)+INDEX(PARAMETROS_CULTURAS!$G$6:$G$28,$P453)+INDEX(PARAMETROS_CULTURAS!$H$6:$H$28,$P453),INDEX(PARAMETROS_CULTURAS!$L$6:$L$28,$P453),INDEX(PARAMETROS_CULTURAS!$L$6:$L$28,$P453)+(INDEX(PARAMETROS_CULTURAS!$M$6:$M$28,$P453)-INDEX(PARAMETROS_CULTURAS!$L$6:$L$28,$P453))*($O453-INDEX(PARAMETROS_CULTURAS!$F$6:$F$28,$P453)-INDEX(PARAMETROS_CULTURAS!$G$6:$G$28,$P453)-INDEX(PARAMETROS_CULTURAS!$H$6:$H$28,$P453))/MAX(INDEX(PARAMETROS_CULTURAS!$I$6:$I$28,$P453),0.0001)))))</f>
        <v>0</v>
      </c>
      <c r="S453" s="18" t="n">
        <f aca="false">IFERROR(INDEX(SEMANAS!$H$6:$H$71,MATCH($B453,SEMANAS!$B$6:$B$71,0)),0)</f>
        <v>36.4</v>
      </c>
      <c r="T453" s="18" t="n">
        <f aca="false">$R453*$S453</f>
        <v>0</v>
      </c>
      <c r="U453" s="18" t="n">
        <f aca="false">IFERROR(INDEX(SEMANAS!$I$6:$I$71,MATCH($B453,SEMANAS!$B$6:$B$71,0)),0)</f>
        <v>1.12</v>
      </c>
      <c r="V453" s="18" t="n">
        <f aca="false">IFERROR(INDEX(SEMANAS!$J$6:$J$71,MATCH($B453,SEMANAS!$B$6:$B$71,0)),0)</f>
        <v>0.896</v>
      </c>
      <c r="W453" s="18" t="n">
        <f aca="false">MAX(0,$T453-$V453)</f>
        <v>0</v>
      </c>
      <c r="X453" s="19" t="n">
        <f aca="false">IFERROR(INDEX(CADASTRO_PIVOS!$K$6:$K$41,MATCH($E453,CADASTRO_PIVOS!$B$6:$B$41,0)),EFICIENCIA_PADRAO)</f>
        <v>0.85</v>
      </c>
      <c r="Y453" s="18" t="n">
        <f aca="false">IF($X453&lt;=0,0,$W453/$X453)</f>
        <v>0</v>
      </c>
      <c r="Z453" s="16" t="n">
        <f aca="false">$Y453*$H453*MM_PARA_M3_HA</f>
        <v>0</v>
      </c>
      <c r="AA453" s="18" t="n">
        <f aca="false">IFERROR(INDEX(CADASTRO_PIVOS!$I$6:$I$41,MATCH($E453,CADASTRO_PIVOS!$B$6:$B$41,0)),0)</f>
        <v>714.785714285714</v>
      </c>
      <c r="AB453" s="18" t="n">
        <f aca="false">IF($Z453&lt;=0,0,$Z453/$AA453)</f>
        <v>0</v>
      </c>
      <c r="AC453" s="16" t="n">
        <f aca="false">IFERROR(INDEX(SEMANAS!$K$6:$K$71,MATCH($B453,SEMANAS!$B$6:$B$71,0)),0)</f>
        <v>147</v>
      </c>
      <c r="AD453" s="19" t="n">
        <f aca="false">IF($AC453&lt;=0,0,$AB453/$AC453)</f>
        <v>0</v>
      </c>
      <c r="AE453" s="8" t="str">
        <f aca="false">IF($K453="SEM CULTURA","SEM CULTURA",IF($AA453&lt;=0,"DADO PENDENTE",IF($AD453&gt;LIMITE_CRITICO,"INVIAVEL",IF($AD453&gt;LIMITE_ATENCAO,"CRITICO",IF($AD453&gt;LIMITE_CONFORTAVEL,"ATENCAO","OK")))))</f>
        <v>SEM CULTURA</v>
      </c>
      <c r="AF453" s="8" t="str">
        <f aca="false">$B453&amp;"|"&amp;TEXT($AD453,"0.000000")</f>
        <v>52|0.000000</v>
      </c>
      <c r="AG453" s="18" t="n">
        <f aca="false">IF($K453="SEM CULTURA",0,$T453*$H453)</f>
        <v>0</v>
      </c>
      <c r="AH453" s="18" t="n">
        <f aca="false">IF($K453="SEM CULTURA",0,$V453*$H453)</f>
        <v>0</v>
      </c>
      <c r="AI453" s="18" t="n">
        <f aca="false">IF($K453="SEM CULTURA",0,$W453*$H453)</f>
        <v>0</v>
      </c>
      <c r="AJ453" s="18" t="n">
        <f aca="false">IF($K453="SEM CULTURA",0,$S453*$H453)</f>
        <v>0</v>
      </c>
      <c r="AK453" s="8" t="str">
        <f aca="false">$E453&amp;"|"&amp;TEXT($AD453,"0.000000")</f>
        <v>PV 102|0.000000</v>
      </c>
    </row>
    <row r="454" customFormat="false" ht="15" hidden="false" customHeight="false" outlineLevel="0" collapsed="false">
      <c r="B454" s="16" t="n">
        <v>53</v>
      </c>
      <c r="C454" s="17" t="n">
        <f aca="false">DATA_INICIO_SAFRA+($B454-1)*DIAS_POR_SEMANA</f>
        <v>46629</v>
      </c>
      <c r="D454" s="17" t="n">
        <f aca="false">$C454+DIAS_POR_SEMANA-1</f>
        <v>46635</v>
      </c>
      <c r="E454" s="15" t="s">
        <v>265</v>
      </c>
      <c r="F454" s="8" t="str">
        <f aca="false">IFERROR(INDEX(CADASTRO_PIVOS!$C$6:$C$41,MATCH($E454,CADASTRO_PIVOS!$B$6:$B$41,0)),"?")</f>
        <v>RM04</v>
      </c>
      <c r="G454" s="8" t="str">
        <f aca="false">IFERROR(INDEX(CADASTRO_PIVOS!$D$6:$D$41,MATCH($E454,CADASTRO_PIVOS!$B$6:$B$41,0)),"?")</f>
        <v>TR04</v>
      </c>
      <c r="H454" s="20" t="n">
        <f aca="false">IFERROR(INDEX(CADASTRO_PIVOS!$E$6:$E$41,MATCH($E454,CADASTRO_PIVOS!$B$6:$B$41,0)),0)</f>
        <v>100.07</v>
      </c>
      <c r="I454" s="16" t="n">
        <f aca="false">IFERROR(SUMIFS(ROTACAO_RDM!$B$6:$B$71,ROTACAO_RDM!$D$6:$D$71,$E454,ROTACAO_RDM!$I$6:$I$71,"&lt;="&amp;$C454+INT(DIAS_POR_SEMANA/2),ROTACAO_RDM!$J$6:$J$71,"&gt;="&amp;$C454+INT(DIAS_POR_SEMANA/2)),0)</f>
        <v>0</v>
      </c>
      <c r="J454" s="16" t="n">
        <f aca="false">IFERROR(MATCH($I454,ROTACAO_RDM!$B$6:$B$71,0),0)</f>
        <v>0</v>
      </c>
      <c r="K454" s="8" t="str">
        <f aca="false">IF($J454=0,"SEM CULTURA",INDEX(ROTACAO_RDM!$F$6:$F$71,$J454))</f>
        <v>SEM CULTURA</v>
      </c>
      <c r="L454" s="8" t="str">
        <f aca="false">IF($J454=0,"",INDEX(ROTACAO_RDM!$G$6:$G$71,$J454))</f>
        <v/>
      </c>
      <c r="M454" s="17" t="str">
        <f aca="false">IF($J454=0,"",INDEX(ROTACAO_RDM!$I$6:$I$71,$J454))</f>
        <v/>
      </c>
      <c r="N454" s="16" t="n">
        <f aca="false">IF($J454=0,0,MAX(0,$C454+INT(DIAS_POR_SEMANA/2)-INDEX(ROTACAO_RDM!$I$6:$I$71,$J454)))</f>
        <v>0</v>
      </c>
      <c r="O454" s="19" t="n">
        <f aca="false">IF($J454=0,0,MIN(1,$N454/MAX(1,INDEX(ROTACAO_RDM!$K$6:$K$71,$J454))))</f>
        <v>0</v>
      </c>
      <c r="P454" s="16" t="n">
        <f aca="false">IF($J454=0,0,IFERROR(MATCH(INDEX(ROTACAO_RDM!$N$6:$N$71,$J454),PARAMETROS_CULTURAS!$B$6:$B$28,0),0))</f>
        <v>0</v>
      </c>
      <c r="Q454" s="8" t="str">
        <f aca="false">IF($P454=0,"-",IF($O454&lt;=INDEX(PARAMETROS_CULTURAS!$F$6:$F$28,$P454),"INICIAL",IF($O454&lt;=INDEX(PARAMETROS_CULTURAS!$F$6:$F$28,$P454)+INDEX(PARAMETROS_CULTURAS!$G$6:$G$28,$P454),"DESENVOLVIMENTO",IF($O454&lt;=INDEX(PARAMETROS_CULTURAS!$F$6:$F$28,$P454)+INDEX(PARAMETROS_CULTURAS!$G$6:$G$28,$P454)+INDEX(PARAMETROS_CULTURAS!$H$6:$H$28,$P454),"MEDIA","FINAL"))))</f>
        <v>-</v>
      </c>
      <c r="R454" s="24" t="n">
        <f aca="false">IF($P454=0,0,IF($O454&lt;=INDEX(PARAMETROS_CULTURAS!$F$6:$F$28,$P454),INDEX(PARAMETROS_CULTURAS!$K$6:$K$28,$P454),IF($O454&lt;=INDEX(PARAMETROS_CULTURAS!$F$6:$F$28,$P454)+INDEX(PARAMETROS_CULTURAS!$G$6:$G$28,$P454),INDEX(PARAMETROS_CULTURAS!$K$6:$K$28,$P454)+(INDEX(PARAMETROS_CULTURAS!$L$6:$L$28,$P454)-INDEX(PARAMETROS_CULTURAS!$K$6:$K$28,$P454))*($O454-INDEX(PARAMETROS_CULTURAS!$F$6:$F$28,$P454))/MAX(INDEX(PARAMETROS_CULTURAS!$G$6:$G$28,$P454),0.0001),IF($O454&lt;=INDEX(PARAMETROS_CULTURAS!$F$6:$F$28,$P454)+INDEX(PARAMETROS_CULTURAS!$G$6:$G$28,$P454)+INDEX(PARAMETROS_CULTURAS!$H$6:$H$28,$P454),INDEX(PARAMETROS_CULTURAS!$L$6:$L$28,$P454),INDEX(PARAMETROS_CULTURAS!$L$6:$L$28,$P454)+(INDEX(PARAMETROS_CULTURAS!$M$6:$M$28,$P454)-INDEX(PARAMETROS_CULTURAS!$L$6:$L$28,$P454))*($O454-INDEX(PARAMETROS_CULTURAS!$F$6:$F$28,$P454)-INDEX(PARAMETROS_CULTURAS!$G$6:$G$28,$P454)-INDEX(PARAMETROS_CULTURAS!$H$6:$H$28,$P454))/MAX(INDEX(PARAMETROS_CULTURAS!$I$6:$I$28,$P454),0.0001)))))</f>
        <v>0</v>
      </c>
      <c r="S454" s="18" t="n">
        <f aca="false">IFERROR(INDEX(SEMANAS!$H$6:$H$71,MATCH($B454,SEMANAS!$B$6:$B$71,0)),0)</f>
        <v>39.4</v>
      </c>
      <c r="T454" s="18" t="n">
        <f aca="false">$R454*$S454</f>
        <v>0</v>
      </c>
      <c r="U454" s="18" t="n">
        <f aca="false">IFERROR(INDEX(SEMANAS!$I$6:$I$71,MATCH($B454,SEMANAS!$B$6:$B$71,0)),0)</f>
        <v>5.32</v>
      </c>
      <c r="V454" s="18" t="n">
        <f aca="false">IFERROR(INDEX(SEMANAS!$J$6:$J$71,MATCH($B454,SEMANAS!$B$6:$B$71,0)),0)</f>
        <v>4.256</v>
      </c>
      <c r="W454" s="18" t="n">
        <f aca="false">MAX(0,$T454-$V454)</f>
        <v>0</v>
      </c>
      <c r="X454" s="19" t="n">
        <f aca="false">IFERROR(INDEX(CADASTRO_PIVOS!$K$6:$K$41,MATCH($E454,CADASTRO_PIVOS!$B$6:$B$41,0)),EFICIENCIA_PADRAO)</f>
        <v>0.85</v>
      </c>
      <c r="Y454" s="18" t="n">
        <f aca="false">IF($X454&lt;=0,0,$W454/$X454)</f>
        <v>0</v>
      </c>
      <c r="Z454" s="16" t="n">
        <f aca="false">$Y454*$H454*MM_PARA_M3_HA</f>
        <v>0</v>
      </c>
      <c r="AA454" s="18" t="n">
        <f aca="false">IFERROR(INDEX(CADASTRO_PIVOS!$I$6:$I$41,MATCH($E454,CADASTRO_PIVOS!$B$6:$B$41,0)),0)</f>
        <v>714.785714285714</v>
      </c>
      <c r="AB454" s="18" t="n">
        <f aca="false">IF($Z454&lt;=0,0,$Z454/$AA454)</f>
        <v>0</v>
      </c>
      <c r="AC454" s="16" t="n">
        <f aca="false">IFERROR(INDEX(SEMANAS!$K$6:$K$71,MATCH($B454,SEMANAS!$B$6:$B$71,0)),0)</f>
        <v>147</v>
      </c>
      <c r="AD454" s="19" t="n">
        <f aca="false">IF($AC454&lt;=0,0,$AB454/$AC454)</f>
        <v>0</v>
      </c>
      <c r="AE454" s="8" t="str">
        <f aca="false">IF($K454="SEM CULTURA","SEM CULTURA",IF($AA454&lt;=0,"DADO PENDENTE",IF($AD454&gt;LIMITE_CRITICO,"INVIAVEL",IF($AD454&gt;LIMITE_ATENCAO,"CRITICO",IF($AD454&gt;LIMITE_CONFORTAVEL,"ATENCAO","OK")))))</f>
        <v>SEM CULTURA</v>
      </c>
      <c r="AF454" s="8" t="str">
        <f aca="false">$B454&amp;"|"&amp;TEXT($AD454,"0.000000")</f>
        <v>53|0.000000</v>
      </c>
      <c r="AG454" s="18" t="n">
        <f aca="false">IF($K454="SEM CULTURA",0,$T454*$H454)</f>
        <v>0</v>
      </c>
      <c r="AH454" s="18" t="n">
        <f aca="false">IF($K454="SEM CULTURA",0,$V454*$H454)</f>
        <v>0</v>
      </c>
      <c r="AI454" s="18" t="n">
        <f aca="false">IF($K454="SEM CULTURA",0,$W454*$H454)</f>
        <v>0</v>
      </c>
      <c r="AJ454" s="18" t="n">
        <f aca="false">IF($K454="SEM CULTURA",0,$S454*$H454)</f>
        <v>0</v>
      </c>
      <c r="AK454" s="8" t="str">
        <f aca="false">$E454&amp;"|"&amp;TEXT($AD454,"0.000000")</f>
        <v>PV 102|0.000000</v>
      </c>
    </row>
    <row r="455" customFormat="false" ht="15" hidden="false" customHeight="false" outlineLevel="0" collapsed="false">
      <c r="B455" s="16" t="n">
        <v>54</v>
      </c>
      <c r="C455" s="17" t="n">
        <f aca="false">DATA_INICIO_SAFRA+($B455-1)*DIAS_POR_SEMANA</f>
        <v>46636</v>
      </c>
      <c r="D455" s="17" t="n">
        <f aca="false">$C455+DIAS_POR_SEMANA-1</f>
        <v>46642</v>
      </c>
      <c r="E455" s="15" t="s">
        <v>265</v>
      </c>
      <c r="F455" s="8" t="str">
        <f aca="false">IFERROR(INDEX(CADASTRO_PIVOS!$C$6:$C$41,MATCH($E455,CADASTRO_PIVOS!$B$6:$B$41,0)),"?")</f>
        <v>RM04</v>
      </c>
      <c r="G455" s="8" t="str">
        <f aca="false">IFERROR(INDEX(CADASTRO_PIVOS!$D$6:$D$41,MATCH($E455,CADASTRO_PIVOS!$B$6:$B$41,0)),"?")</f>
        <v>TR04</v>
      </c>
      <c r="H455" s="20" t="n">
        <f aca="false">IFERROR(INDEX(CADASTRO_PIVOS!$E$6:$E$41,MATCH($E455,CADASTRO_PIVOS!$B$6:$B$41,0)),0)</f>
        <v>100.07</v>
      </c>
      <c r="I455" s="16" t="n">
        <f aca="false">IFERROR(SUMIFS(ROTACAO_RDM!$B$6:$B$71,ROTACAO_RDM!$D$6:$D$71,$E455,ROTACAO_RDM!$I$6:$I$71,"&lt;="&amp;$C455+INT(DIAS_POR_SEMANA/2),ROTACAO_RDM!$J$6:$J$71,"&gt;="&amp;$C455+INT(DIAS_POR_SEMANA/2)),0)</f>
        <v>0</v>
      </c>
      <c r="J455" s="16" t="n">
        <f aca="false">IFERROR(MATCH($I455,ROTACAO_RDM!$B$6:$B$71,0),0)</f>
        <v>0</v>
      </c>
      <c r="K455" s="8" t="str">
        <f aca="false">IF($J455=0,"SEM CULTURA",INDEX(ROTACAO_RDM!$F$6:$F$71,$J455))</f>
        <v>SEM CULTURA</v>
      </c>
      <c r="L455" s="8" t="str">
        <f aca="false">IF($J455=0,"",INDEX(ROTACAO_RDM!$G$6:$G$71,$J455))</f>
        <v/>
      </c>
      <c r="M455" s="17" t="str">
        <f aca="false">IF($J455=0,"",INDEX(ROTACAO_RDM!$I$6:$I$71,$J455))</f>
        <v/>
      </c>
      <c r="N455" s="16" t="n">
        <f aca="false">IF($J455=0,0,MAX(0,$C455+INT(DIAS_POR_SEMANA/2)-INDEX(ROTACAO_RDM!$I$6:$I$71,$J455)))</f>
        <v>0</v>
      </c>
      <c r="O455" s="19" t="n">
        <f aca="false">IF($J455=0,0,MIN(1,$N455/MAX(1,INDEX(ROTACAO_RDM!$K$6:$K$71,$J455))))</f>
        <v>0</v>
      </c>
      <c r="P455" s="16" t="n">
        <f aca="false">IF($J455=0,0,IFERROR(MATCH(INDEX(ROTACAO_RDM!$N$6:$N$71,$J455),PARAMETROS_CULTURAS!$B$6:$B$28,0),0))</f>
        <v>0</v>
      </c>
      <c r="Q455" s="8" t="str">
        <f aca="false">IF($P455=0,"-",IF($O455&lt;=INDEX(PARAMETROS_CULTURAS!$F$6:$F$28,$P455),"INICIAL",IF($O455&lt;=INDEX(PARAMETROS_CULTURAS!$F$6:$F$28,$P455)+INDEX(PARAMETROS_CULTURAS!$G$6:$G$28,$P455),"DESENVOLVIMENTO",IF($O455&lt;=INDEX(PARAMETROS_CULTURAS!$F$6:$F$28,$P455)+INDEX(PARAMETROS_CULTURAS!$G$6:$G$28,$P455)+INDEX(PARAMETROS_CULTURAS!$H$6:$H$28,$P455),"MEDIA","FINAL"))))</f>
        <v>-</v>
      </c>
      <c r="R455" s="24" t="n">
        <f aca="false">IF($P455=0,0,IF($O455&lt;=INDEX(PARAMETROS_CULTURAS!$F$6:$F$28,$P455),INDEX(PARAMETROS_CULTURAS!$K$6:$K$28,$P455),IF($O455&lt;=INDEX(PARAMETROS_CULTURAS!$F$6:$F$28,$P455)+INDEX(PARAMETROS_CULTURAS!$G$6:$G$28,$P455),INDEX(PARAMETROS_CULTURAS!$K$6:$K$28,$P455)+(INDEX(PARAMETROS_CULTURAS!$L$6:$L$28,$P455)-INDEX(PARAMETROS_CULTURAS!$K$6:$K$28,$P455))*($O455-INDEX(PARAMETROS_CULTURAS!$F$6:$F$28,$P455))/MAX(INDEX(PARAMETROS_CULTURAS!$G$6:$G$28,$P455),0.0001),IF($O455&lt;=INDEX(PARAMETROS_CULTURAS!$F$6:$F$28,$P455)+INDEX(PARAMETROS_CULTURAS!$G$6:$G$28,$P455)+INDEX(PARAMETROS_CULTURAS!$H$6:$H$28,$P455),INDEX(PARAMETROS_CULTURAS!$L$6:$L$28,$P455),INDEX(PARAMETROS_CULTURAS!$L$6:$L$28,$P455)+(INDEX(PARAMETROS_CULTURAS!$M$6:$M$28,$P455)-INDEX(PARAMETROS_CULTURAS!$L$6:$L$28,$P455))*($O455-INDEX(PARAMETROS_CULTURAS!$F$6:$F$28,$P455)-INDEX(PARAMETROS_CULTURAS!$G$6:$G$28,$P455)-INDEX(PARAMETROS_CULTURAS!$H$6:$H$28,$P455))/MAX(INDEX(PARAMETROS_CULTURAS!$I$6:$I$28,$P455),0.0001)))))</f>
        <v>0</v>
      </c>
      <c r="S455" s="18" t="n">
        <f aca="false">IFERROR(INDEX(SEMANAS!$H$6:$H$71,MATCH($B455,SEMANAS!$B$6:$B$71,0)),0)</f>
        <v>40.6</v>
      </c>
      <c r="T455" s="18" t="n">
        <f aca="false">$R455*$S455</f>
        <v>0</v>
      </c>
      <c r="U455" s="18" t="n">
        <f aca="false">IFERROR(INDEX(SEMANAS!$I$6:$I$71,MATCH($B455,SEMANAS!$B$6:$B$71,0)),0)</f>
        <v>7</v>
      </c>
      <c r="V455" s="18" t="n">
        <f aca="false">IFERROR(INDEX(SEMANAS!$J$6:$J$71,MATCH($B455,SEMANAS!$B$6:$B$71,0)),0)</f>
        <v>5.6</v>
      </c>
      <c r="W455" s="18" t="n">
        <f aca="false">MAX(0,$T455-$V455)</f>
        <v>0</v>
      </c>
      <c r="X455" s="19" t="n">
        <f aca="false">IFERROR(INDEX(CADASTRO_PIVOS!$K$6:$K$41,MATCH($E455,CADASTRO_PIVOS!$B$6:$B$41,0)),EFICIENCIA_PADRAO)</f>
        <v>0.85</v>
      </c>
      <c r="Y455" s="18" t="n">
        <f aca="false">IF($X455&lt;=0,0,$W455/$X455)</f>
        <v>0</v>
      </c>
      <c r="Z455" s="16" t="n">
        <f aca="false">$Y455*$H455*MM_PARA_M3_HA</f>
        <v>0</v>
      </c>
      <c r="AA455" s="18" t="n">
        <f aca="false">IFERROR(INDEX(CADASTRO_PIVOS!$I$6:$I$41,MATCH($E455,CADASTRO_PIVOS!$B$6:$B$41,0)),0)</f>
        <v>714.785714285714</v>
      </c>
      <c r="AB455" s="18" t="n">
        <f aca="false">IF($Z455&lt;=0,0,$Z455/$AA455)</f>
        <v>0</v>
      </c>
      <c r="AC455" s="16" t="n">
        <f aca="false">IFERROR(INDEX(SEMANAS!$K$6:$K$71,MATCH($B455,SEMANAS!$B$6:$B$71,0)),0)</f>
        <v>147</v>
      </c>
      <c r="AD455" s="19" t="n">
        <f aca="false">IF($AC455&lt;=0,0,$AB455/$AC455)</f>
        <v>0</v>
      </c>
      <c r="AE455" s="8" t="str">
        <f aca="false">IF($K455="SEM CULTURA","SEM CULTURA",IF($AA455&lt;=0,"DADO PENDENTE",IF($AD455&gt;LIMITE_CRITICO,"INVIAVEL",IF($AD455&gt;LIMITE_ATENCAO,"CRITICO",IF($AD455&gt;LIMITE_CONFORTAVEL,"ATENCAO","OK")))))</f>
        <v>SEM CULTURA</v>
      </c>
      <c r="AF455" s="8" t="str">
        <f aca="false">$B455&amp;"|"&amp;TEXT($AD455,"0.000000")</f>
        <v>54|0.000000</v>
      </c>
      <c r="AG455" s="18" t="n">
        <f aca="false">IF($K455="SEM CULTURA",0,$T455*$H455)</f>
        <v>0</v>
      </c>
      <c r="AH455" s="18" t="n">
        <f aca="false">IF($K455="SEM CULTURA",0,$V455*$H455)</f>
        <v>0</v>
      </c>
      <c r="AI455" s="18" t="n">
        <f aca="false">IF($K455="SEM CULTURA",0,$W455*$H455)</f>
        <v>0</v>
      </c>
      <c r="AJ455" s="18" t="n">
        <f aca="false">IF($K455="SEM CULTURA",0,$S455*$H455)</f>
        <v>0</v>
      </c>
      <c r="AK455" s="8" t="str">
        <f aca="false">$E455&amp;"|"&amp;TEXT($AD455,"0.000000")</f>
        <v>PV 102|0.000000</v>
      </c>
    </row>
    <row r="456" customFormat="false" ht="15" hidden="false" customHeight="false" outlineLevel="0" collapsed="false">
      <c r="B456" s="16" t="n">
        <v>55</v>
      </c>
      <c r="C456" s="17" t="n">
        <f aca="false">DATA_INICIO_SAFRA+($B456-1)*DIAS_POR_SEMANA</f>
        <v>46643</v>
      </c>
      <c r="D456" s="17" t="n">
        <f aca="false">$C456+DIAS_POR_SEMANA-1</f>
        <v>46649</v>
      </c>
      <c r="E456" s="15" t="s">
        <v>265</v>
      </c>
      <c r="F456" s="8" t="str">
        <f aca="false">IFERROR(INDEX(CADASTRO_PIVOS!$C$6:$C$41,MATCH($E456,CADASTRO_PIVOS!$B$6:$B$41,0)),"?")</f>
        <v>RM04</v>
      </c>
      <c r="G456" s="8" t="str">
        <f aca="false">IFERROR(INDEX(CADASTRO_PIVOS!$D$6:$D$41,MATCH($E456,CADASTRO_PIVOS!$B$6:$B$41,0)),"?")</f>
        <v>TR04</v>
      </c>
      <c r="H456" s="20" t="n">
        <f aca="false">IFERROR(INDEX(CADASTRO_PIVOS!$E$6:$E$41,MATCH($E456,CADASTRO_PIVOS!$B$6:$B$41,0)),0)</f>
        <v>100.07</v>
      </c>
      <c r="I456" s="16" t="n">
        <f aca="false">IFERROR(SUMIFS(ROTACAO_RDM!$B$6:$B$71,ROTACAO_RDM!$D$6:$D$71,$E456,ROTACAO_RDM!$I$6:$I$71,"&lt;="&amp;$C456+INT(DIAS_POR_SEMANA/2),ROTACAO_RDM!$J$6:$J$71,"&gt;="&amp;$C456+INT(DIAS_POR_SEMANA/2)),0)</f>
        <v>0</v>
      </c>
      <c r="J456" s="16" t="n">
        <f aca="false">IFERROR(MATCH($I456,ROTACAO_RDM!$B$6:$B$71,0),0)</f>
        <v>0</v>
      </c>
      <c r="K456" s="8" t="str">
        <f aca="false">IF($J456=0,"SEM CULTURA",INDEX(ROTACAO_RDM!$F$6:$F$71,$J456))</f>
        <v>SEM CULTURA</v>
      </c>
      <c r="L456" s="8" t="str">
        <f aca="false">IF($J456=0,"",INDEX(ROTACAO_RDM!$G$6:$G$71,$J456))</f>
        <v/>
      </c>
      <c r="M456" s="17" t="str">
        <f aca="false">IF($J456=0,"",INDEX(ROTACAO_RDM!$I$6:$I$71,$J456))</f>
        <v/>
      </c>
      <c r="N456" s="16" t="n">
        <f aca="false">IF($J456=0,0,MAX(0,$C456+INT(DIAS_POR_SEMANA/2)-INDEX(ROTACAO_RDM!$I$6:$I$71,$J456)))</f>
        <v>0</v>
      </c>
      <c r="O456" s="19" t="n">
        <f aca="false">IF($J456=0,0,MIN(1,$N456/MAX(1,INDEX(ROTACAO_RDM!$K$6:$K$71,$J456))))</f>
        <v>0</v>
      </c>
      <c r="P456" s="16" t="n">
        <f aca="false">IF($J456=0,0,IFERROR(MATCH(INDEX(ROTACAO_RDM!$N$6:$N$71,$J456),PARAMETROS_CULTURAS!$B$6:$B$28,0),0))</f>
        <v>0</v>
      </c>
      <c r="Q456" s="8" t="str">
        <f aca="false">IF($P456=0,"-",IF($O456&lt;=INDEX(PARAMETROS_CULTURAS!$F$6:$F$28,$P456),"INICIAL",IF($O456&lt;=INDEX(PARAMETROS_CULTURAS!$F$6:$F$28,$P456)+INDEX(PARAMETROS_CULTURAS!$G$6:$G$28,$P456),"DESENVOLVIMENTO",IF($O456&lt;=INDEX(PARAMETROS_CULTURAS!$F$6:$F$28,$P456)+INDEX(PARAMETROS_CULTURAS!$G$6:$G$28,$P456)+INDEX(PARAMETROS_CULTURAS!$H$6:$H$28,$P456),"MEDIA","FINAL"))))</f>
        <v>-</v>
      </c>
      <c r="R456" s="24" t="n">
        <f aca="false">IF($P456=0,0,IF($O456&lt;=INDEX(PARAMETROS_CULTURAS!$F$6:$F$28,$P456),INDEX(PARAMETROS_CULTURAS!$K$6:$K$28,$P456),IF($O456&lt;=INDEX(PARAMETROS_CULTURAS!$F$6:$F$28,$P456)+INDEX(PARAMETROS_CULTURAS!$G$6:$G$28,$P456),INDEX(PARAMETROS_CULTURAS!$K$6:$K$28,$P456)+(INDEX(PARAMETROS_CULTURAS!$L$6:$L$28,$P456)-INDEX(PARAMETROS_CULTURAS!$K$6:$K$28,$P456))*($O456-INDEX(PARAMETROS_CULTURAS!$F$6:$F$28,$P456))/MAX(INDEX(PARAMETROS_CULTURAS!$G$6:$G$28,$P456),0.0001),IF($O456&lt;=INDEX(PARAMETROS_CULTURAS!$F$6:$F$28,$P456)+INDEX(PARAMETROS_CULTURAS!$G$6:$G$28,$P456)+INDEX(PARAMETROS_CULTURAS!$H$6:$H$28,$P456),INDEX(PARAMETROS_CULTURAS!$L$6:$L$28,$P456),INDEX(PARAMETROS_CULTURAS!$L$6:$L$28,$P456)+(INDEX(PARAMETROS_CULTURAS!$M$6:$M$28,$P456)-INDEX(PARAMETROS_CULTURAS!$L$6:$L$28,$P456))*($O456-INDEX(PARAMETROS_CULTURAS!$F$6:$F$28,$P456)-INDEX(PARAMETROS_CULTURAS!$G$6:$G$28,$P456)-INDEX(PARAMETROS_CULTURAS!$H$6:$H$28,$P456))/MAX(INDEX(PARAMETROS_CULTURAS!$I$6:$I$28,$P456),0.0001)))))</f>
        <v>0</v>
      </c>
      <c r="S456" s="18" t="n">
        <f aca="false">IFERROR(INDEX(SEMANAS!$H$6:$H$71,MATCH($B456,SEMANAS!$B$6:$B$71,0)),0)</f>
        <v>40.6</v>
      </c>
      <c r="T456" s="18" t="n">
        <f aca="false">$R456*$S456</f>
        <v>0</v>
      </c>
      <c r="U456" s="18" t="n">
        <f aca="false">IFERROR(INDEX(SEMANAS!$I$6:$I$71,MATCH($B456,SEMANAS!$B$6:$B$71,0)),0)</f>
        <v>7</v>
      </c>
      <c r="V456" s="18" t="n">
        <f aca="false">IFERROR(INDEX(SEMANAS!$J$6:$J$71,MATCH($B456,SEMANAS!$B$6:$B$71,0)),0)</f>
        <v>5.6</v>
      </c>
      <c r="W456" s="18" t="n">
        <f aca="false">MAX(0,$T456-$V456)</f>
        <v>0</v>
      </c>
      <c r="X456" s="19" t="n">
        <f aca="false">IFERROR(INDEX(CADASTRO_PIVOS!$K$6:$K$41,MATCH($E456,CADASTRO_PIVOS!$B$6:$B$41,0)),EFICIENCIA_PADRAO)</f>
        <v>0.85</v>
      </c>
      <c r="Y456" s="18" t="n">
        <f aca="false">IF($X456&lt;=0,0,$W456/$X456)</f>
        <v>0</v>
      </c>
      <c r="Z456" s="16" t="n">
        <f aca="false">$Y456*$H456*MM_PARA_M3_HA</f>
        <v>0</v>
      </c>
      <c r="AA456" s="18" t="n">
        <f aca="false">IFERROR(INDEX(CADASTRO_PIVOS!$I$6:$I$41,MATCH($E456,CADASTRO_PIVOS!$B$6:$B$41,0)),0)</f>
        <v>714.785714285714</v>
      </c>
      <c r="AB456" s="18" t="n">
        <f aca="false">IF($Z456&lt;=0,0,$Z456/$AA456)</f>
        <v>0</v>
      </c>
      <c r="AC456" s="16" t="n">
        <f aca="false">IFERROR(INDEX(SEMANAS!$K$6:$K$71,MATCH($B456,SEMANAS!$B$6:$B$71,0)),0)</f>
        <v>147</v>
      </c>
      <c r="AD456" s="19" t="n">
        <f aca="false">IF($AC456&lt;=0,0,$AB456/$AC456)</f>
        <v>0</v>
      </c>
      <c r="AE456" s="8" t="str">
        <f aca="false">IF($K456="SEM CULTURA","SEM CULTURA",IF($AA456&lt;=0,"DADO PENDENTE",IF($AD456&gt;LIMITE_CRITICO,"INVIAVEL",IF($AD456&gt;LIMITE_ATENCAO,"CRITICO",IF($AD456&gt;LIMITE_CONFORTAVEL,"ATENCAO","OK")))))</f>
        <v>SEM CULTURA</v>
      </c>
      <c r="AF456" s="8" t="str">
        <f aca="false">$B456&amp;"|"&amp;TEXT($AD456,"0.000000")</f>
        <v>55|0.000000</v>
      </c>
      <c r="AG456" s="18" t="n">
        <f aca="false">IF($K456="SEM CULTURA",0,$T456*$H456)</f>
        <v>0</v>
      </c>
      <c r="AH456" s="18" t="n">
        <f aca="false">IF($K456="SEM CULTURA",0,$V456*$H456)</f>
        <v>0</v>
      </c>
      <c r="AI456" s="18" t="n">
        <f aca="false">IF($K456="SEM CULTURA",0,$W456*$H456)</f>
        <v>0</v>
      </c>
      <c r="AJ456" s="18" t="n">
        <f aca="false">IF($K456="SEM CULTURA",0,$S456*$H456)</f>
        <v>0</v>
      </c>
      <c r="AK456" s="8" t="str">
        <f aca="false">$E456&amp;"|"&amp;TEXT($AD456,"0.000000")</f>
        <v>PV 102|0.000000</v>
      </c>
    </row>
    <row r="457" customFormat="false" ht="15" hidden="false" customHeight="false" outlineLevel="0" collapsed="false">
      <c r="B457" s="16" t="n">
        <v>56</v>
      </c>
      <c r="C457" s="17" t="n">
        <f aca="false">DATA_INICIO_SAFRA+($B457-1)*DIAS_POR_SEMANA</f>
        <v>46650</v>
      </c>
      <c r="D457" s="17" t="n">
        <f aca="false">$C457+DIAS_POR_SEMANA-1</f>
        <v>46656</v>
      </c>
      <c r="E457" s="15" t="s">
        <v>265</v>
      </c>
      <c r="F457" s="8" t="str">
        <f aca="false">IFERROR(INDEX(CADASTRO_PIVOS!$C$6:$C$41,MATCH($E457,CADASTRO_PIVOS!$B$6:$B$41,0)),"?")</f>
        <v>RM04</v>
      </c>
      <c r="G457" s="8" t="str">
        <f aca="false">IFERROR(INDEX(CADASTRO_PIVOS!$D$6:$D$41,MATCH($E457,CADASTRO_PIVOS!$B$6:$B$41,0)),"?")</f>
        <v>TR04</v>
      </c>
      <c r="H457" s="20" t="n">
        <f aca="false">IFERROR(INDEX(CADASTRO_PIVOS!$E$6:$E$41,MATCH($E457,CADASTRO_PIVOS!$B$6:$B$41,0)),0)</f>
        <v>100.07</v>
      </c>
      <c r="I457" s="16" t="n">
        <f aca="false">IFERROR(SUMIFS(ROTACAO_RDM!$B$6:$B$71,ROTACAO_RDM!$D$6:$D$71,$E457,ROTACAO_RDM!$I$6:$I$71,"&lt;="&amp;$C457+INT(DIAS_POR_SEMANA/2),ROTACAO_RDM!$J$6:$J$71,"&gt;="&amp;$C457+INT(DIAS_POR_SEMANA/2)),0)</f>
        <v>0</v>
      </c>
      <c r="J457" s="16" t="n">
        <f aca="false">IFERROR(MATCH($I457,ROTACAO_RDM!$B$6:$B$71,0),0)</f>
        <v>0</v>
      </c>
      <c r="K457" s="8" t="str">
        <f aca="false">IF($J457=0,"SEM CULTURA",INDEX(ROTACAO_RDM!$F$6:$F$71,$J457))</f>
        <v>SEM CULTURA</v>
      </c>
      <c r="L457" s="8" t="str">
        <f aca="false">IF($J457=0,"",INDEX(ROTACAO_RDM!$G$6:$G$71,$J457))</f>
        <v/>
      </c>
      <c r="M457" s="17" t="str">
        <f aca="false">IF($J457=0,"",INDEX(ROTACAO_RDM!$I$6:$I$71,$J457))</f>
        <v/>
      </c>
      <c r="N457" s="16" t="n">
        <f aca="false">IF($J457=0,0,MAX(0,$C457+INT(DIAS_POR_SEMANA/2)-INDEX(ROTACAO_RDM!$I$6:$I$71,$J457)))</f>
        <v>0</v>
      </c>
      <c r="O457" s="19" t="n">
        <f aca="false">IF($J457=0,0,MIN(1,$N457/MAX(1,INDEX(ROTACAO_RDM!$K$6:$K$71,$J457))))</f>
        <v>0</v>
      </c>
      <c r="P457" s="16" t="n">
        <f aca="false">IF($J457=0,0,IFERROR(MATCH(INDEX(ROTACAO_RDM!$N$6:$N$71,$J457),PARAMETROS_CULTURAS!$B$6:$B$28,0),0))</f>
        <v>0</v>
      </c>
      <c r="Q457" s="8" t="str">
        <f aca="false">IF($P457=0,"-",IF($O457&lt;=INDEX(PARAMETROS_CULTURAS!$F$6:$F$28,$P457),"INICIAL",IF($O457&lt;=INDEX(PARAMETROS_CULTURAS!$F$6:$F$28,$P457)+INDEX(PARAMETROS_CULTURAS!$G$6:$G$28,$P457),"DESENVOLVIMENTO",IF($O457&lt;=INDEX(PARAMETROS_CULTURAS!$F$6:$F$28,$P457)+INDEX(PARAMETROS_CULTURAS!$G$6:$G$28,$P457)+INDEX(PARAMETROS_CULTURAS!$H$6:$H$28,$P457),"MEDIA","FINAL"))))</f>
        <v>-</v>
      </c>
      <c r="R457" s="24" t="n">
        <f aca="false">IF($P457=0,0,IF($O457&lt;=INDEX(PARAMETROS_CULTURAS!$F$6:$F$28,$P457),INDEX(PARAMETROS_CULTURAS!$K$6:$K$28,$P457),IF($O457&lt;=INDEX(PARAMETROS_CULTURAS!$F$6:$F$28,$P457)+INDEX(PARAMETROS_CULTURAS!$G$6:$G$28,$P457),INDEX(PARAMETROS_CULTURAS!$K$6:$K$28,$P457)+(INDEX(PARAMETROS_CULTURAS!$L$6:$L$28,$P457)-INDEX(PARAMETROS_CULTURAS!$K$6:$K$28,$P457))*($O457-INDEX(PARAMETROS_CULTURAS!$F$6:$F$28,$P457))/MAX(INDEX(PARAMETROS_CULTURAS!$G$6:$G$28,$P457),0.0001),IF($O457&lt;=INDEX(PARAMETROS_CULTURAS!$F$6:$F$28,$P457)+INDEX(PARAMETROS_CULTURAS!$G$6:$G$28,$P457)+INDEX(PARAMETROS_CULTURAS!$H$6:$H$28,$P457),INDEX(PARAMETROS_CULTURAS!$L$6:$L$28,$P457),INDEX(PARAMETROS_CULTURAS!$L$6:$L$28,$P457)+(INDEX(PARAMETROS_CULTURAS!$M$6:$M$28,$P457)-INDEX(PARAMETROS_CULTURAS!$L$6:$L$28,$P457))*($O457-INDEX(PARAMETROS_CULTURAS!$F$6:$F$28,$P457)-INDEX(PARAMETROS_CULTURAS!$G$6:$G$28,$P457)-INDEX(PARAMETROS_CULTURAS!$H$6:$H$28,$P457))/MAX(INDEX(PARAMETROS_CULTURAS!$I$6:$I$28,$P457),0.0001)))))</f>
        <v>0</v>
      </c>
      <c r="S457" s="18" t="n">
        <f aca="false">IFERROR(INDEX(SEMANAS!$H$6:$H$71,MATCH($B457,SEMANAS!$B$6:$B$71,0)),0)</f>
        <v>40.6</v>
      </c>
      <c r="T457" s="18" t="n">
        <f aca="false">$R457*$S457</f>
        <v>0</v>
      </c>
      <c r="U457" s="18" t="n">
        <f aca="false">IFERROR(INDEX(SEMANAS!$I$6:$I$71,MATCH($B457,SEMANAS!$B$6:$B$71,0)),0)</f>
        <v>7</v>
      </c>
      <c r="V457" s="18" t="n">
        <f aca="false">IFERROR(INDEX(SEMANAS!$J$6:$J$71,MATCH($B457,SEMANAS!$B$6:$B$71,0)),0)</f>
        <v>5.6</v>
      </c>
      <c r="W457" s="18" t="n">
        <f aca="false">MAX(0,$T457-$V457)</f>
        <v>0</v>
      </c>
      <c r="X457" s="19" t="n">
        <f aca="false">IFERROR(INDEX(CADASTRO_PIVOS!$K$6:$K$41,MATCH($E457,CADASTRO_PIVOS!$B$6:$B$41,0)),EFICIENCIA_PADRAO)</f>
        <v>0.85</v>
      </c>
      <c r="Y457" s="18" t="n">
        <f aca="false">IF($X457&lt;=0,0,$W457/$X457)</f>
        <v>0</v>
      </c>
      <c r="Z457" s="16" t="n">
        <f aca="false">$Y457*$H457*MM_PARA_M3_HA</f>
        <v>0</v>
      </c>
      <c r="AA457" s="18" t="n">
        <f aca="false">IFERROR(INDEX(CADASTRO_PIVOS!$I$6:$I$41,MATCH($E457,CADASTRO_PIVOS!$B$6:$B$41,0)),0)</f>
        <v>714.785714285714</v>
      </c>
      <c r="AB457" s="18" t="n">
        <f aca="false">IF($Z457&lt;=0,0,$Z457/$AA457)</f>
        <v>0</v>
      </c>
      <c r="AC457" s="16" t="n">
        <f aca="false">IFERROR(INDEX(SEMANAS!$K$6:$K$71,MATCH($B457,SEMANAS!$B$6:$B$71,0)),0)</f>
        <v>147</v>
      </c>
      <c r="AD457" s="19" t="n">
        <f aca="false">IF($AC457&lt;=0,0,$AB457/$AC457)</f>
        <v>0</v>
      </c>
      <c r="AE457" s="8" t="str">
        <f aca="false">IF($K457="SEM CULTURA","SEM CULTURA",IF($AA457&lt;=0,"DADO PENDENTE",IF($AD457&gt;LIMITE_CRITICO,"INVIAVEL",IF($AD457&gt;LIMITE_ATENCAO,"CRITICO",IF($AD457&gt;LIMITE_CONFORTAVEL,"ATENCAO","OK")))))</f>
        <v>SEM CULTURA</v>
      </c>
      <c r="AF457" s="8" t="str">
        <f aca="false">$B457&amp;"|"&amp;TEXT($AD457,"0.000000")</f>
        <v>56|0.000000</v>
      </c>
      <c r="AG457" s="18" t="n">
        <f aca="false">IF($K457="SEM CULTURA",0,$T457*$H457)</f>
        <v>0</v>
      </c>
      <c r="AH457" s="18" t="n">
        <f aca="false">IF($K457="SEM CULTURA",0,$V457*$H457)</f>
        <v>0</v>
      </c>
      <c r="AI457" s="18" t="n">
        <f aca="false">IF($K457="SEM CULTURA",0,$W457*$H457)</f>
        <v>0</v>
      </c>
      <c r="AJ457" s="18" t="n">
        <f aca="false">IF($K457="SEM CULTURA",0,$S457*$H457)</f>
        <v>0</v>
      </c>
      <c r="AK457" s="8" t="str">
        <f aca="false">$E457&amp;"|"&amp;TEXT($AD457,"0.000000")</f>
        <v>PV 102|0.000000</v>
      </c>
    </row>
    <row r="458" customFormat="false" ht="15" hidden="false" customHeight="false" outlineLevel="0" collapsed="false">
      <c r="B458" s="16" t="n">
        <v>57</v>
      </c>
      <c r="C458" s="17" t="n">
        <f aca="false">DATA_INICIO_SAFRA+($B458-1)*DIAS_POR_SEMANA</f>
        <v>46657</v>
      </c>
      <c r="D458" s="17" t="n">
        <f aca="false">$C458+DIAS_POR_SEMANA-1</f>
        <v>46663</v>
      </c>
      <c r="E458" s="15" t="s">
        <v>265</v>
      </c>
      <c r="F458" s="8" t="str">
        <f aca="false">IFERROR(INDEX(CADASTRO_PIVOS!$C$6:$C$41,MATCH($E458,CADASTRO_PIVOS!$B$6:$B$41,0)),"?")</f>
        <v>RM04</v>
      </c>
      <c r="G458" s="8" t="str">
        <f aca="false">IFERROR(INDEX(CADASTRO_PIVOS!$D$6:$D$41,MATCH($E458,CADASTRO_PIVOS!$B$6:$B$41,0)),"?")</f>
        <v>TR04</v>
      </c>
      <c r="H458" s="20" t="n">
        <f aca="false">IFERROR(INDEX(CADASTRO_PIVOS!$E$6:$E$41,MATCH($E458,CADASTRO_PIVOS!$B$6:$B$41,0)),0)</f>
        <v>100.07</v>
      </c>
      <c r="I458" s="16" t="n">
        <f aca="false">IFERROR(SUMIFS(ROTACAO_RDM!$B$6:$B$71,ROTACAO_RDM!$D$6:$D$71,$E458,ROTACAO_RDM!$I$6:$I$71,"&lt;="&amp;$C458+INT(DIAS_POR_SEMANA/2),ROTACAO_RDM!$J$6:$J$71,"&gt;="&amp;$C458+INT(DIAS_POR_SEMANA/2)),0)</f>
        <v>0</v>
      </c>
      <c r="J458" s="16" t="n">
        <f aca="false">IFERROR(MATCH($I458,ROTACAO_RDM!$B$6:$B$71,0),0)</f>
        <v>0</v>
      </c>
      <c r="K458" s="8" t="str">
        <f aca="false">IF($J458=0,"SEM CULTURA",INDEX(ROTACAO_RDM!$F$6:$F$71,$J458))</f>
        <v>SEM CULTURA</v>
      </c>
      <c r="L458" s="8" t="str">
        <f aca="false">IF($J458=0,"",INDEX(ROTACAO_RDM!$G$6:$G$71,$J458))</f>
        <v/>
      </c>
      <c r="M458" s="17" t="str">
        <f aca="false">IF($J458=0,"",INDEX(ROTACAO_RDM!$I$6:$I$71,$J458))</f>
        <v/>
      </c>
      <c r="N458" s="16" t="n">
        <f aca="false">IF($J458=0,0,MAX(0,$C458+INT(DIAS_POR_SEMANA/2)-INDEX(ROTACAO_RDM!$I$6:$I$71,$J458)))</f>
        <v>0</v>
      </c>
      <c r="O458" s="19" t="n">
        <f aca="false">IF($J458=0,0,MIN(1,$N458/MAX(1,INDEX(ROTACAO_RDM!$K$6:$K$71,$J458))))</f>
        <v>0</v>
      </c>
      <c r="P458" s="16" t="n">
        <f aca="false">IF($J458=0,0,IFERROR(MATCH(INDEX(ROTACAO_RDM!$N$6:$N$71,$J458),PARAMETROS_CULTURAS!$B$6:$B$28,0),0))</f>
        <v>0</v>
      </c>
      <c r="Q458" s="8" t="str">
        <f aca="false">IF($P458=0,"-",IF($O458&lt;=INDEX(PARAMETROS_CULTURAS!$F$6:$F$28,$P458),"INICIAL",IF($O458&lt;=INDEX(PARAMETROS_CULTURAS!$F$6:$F$28,$P458)+INDEX(PARAMETROS_CULTURAS!$G$6:$G$28,$P458),"DESENVOLVIMENTO",IF($O458&lt;=INDEX(PARAMETROS_CULTURAS!$F$6:$F$28,$P458)+INDEX(PARAMETROS_CULTURAS!$G$6:$G$28,$P458)+INDEX(PARAMETROS_CULTURAS!$H$6:$H$28,$P458),"MEDIA","FINAL"))))</f>
        <v>-</v>
      </c>
      <c r="R458" s="24" t="n">
        <f aca="false">IF($P458=0,0,IF($O458&lt;=INDEX(PARAMETROS_CULTURAS!$F$6:$F$28,$P458),INDEX(PARAMETROS_CULTURAS!$K$6:$K$28,$P458),IF($O458&lt;=INDEX(PARAMETROS_CULTURAS!$F$6:$F$28,$P458)+INDEX(PARAMETROS_CULTURAS!$G$6:$G$28,$P458),INDEX(PARAMETROS_CULTURAS!$K$6:$K$28,$P458)+(INDEX(PARAMETROS_CULTURAS!$L$6:$L$28,$P458)-INDEX(PARAMETROS_CULTURAS!$K$6:$K$28,$P458))*($O458-INDEX(PARAMETROS_CULTURAS!$F$6:$F$28,$P458))/MAX(INDEX(PARAMETROS_CULTURAS!$G$6:$G$28,$P458),0.0001),IF($O458&lt;=INDEX(PARAMETROS_CULTURAS!$F$6:$F$28,$P458)+INDEX(PARAMETROS_CULTURAS!$G$6:$G$28,$P458)+INDEX(PARAMETROS_CULTURAS!$H$6:$H$28,$P458),INDEX(PARAMETROS_CULTURAS!$L$6:$L$28,$P458),INDEX(PARAMETROS_CULTURAS!$L$6:$L$28,$P458)+(INDEX(PARAMETROS_CULTURAS!$M$6:$M$28,$P458)-INDEX(PARAMETROS_CULTURAS!$L$6:$L$28,$P458))*($O458-INDEX(PARAMETROS_CULTURAS!$F$6:$F$28,$P458)-INDEX(PARAMETROS_CULTURAS!$G$6:$G$28,$P458)-INDEX(PARAMETROS_CULTURAS!$H$6:$H$28,$P458))/MAX(INDEX(PARAMETROS_CULTURAS!$I$6:$I$28,$P458),0.0001)))))</f>
        <v>0</v>
      </c>
      <c r="S458" s="18" t="n">
        <f aca="false">IFERROR(INDEX(SEMANAS!$H$6:$H$71,MATCH($B458,SEMANAS!$B$6:$B$71,0)),0)</f>
        <v>40</v>
      </c>
      <c r="T458" s="18" t="n">
        <f aca="false">$R458*$S458</f>
        <v>0</v>
      </c>
      <c r="U458" s="18" t="n">
        <f aca="false">IFERROR(INDEX(SEMANAS!$I$6:$I$71,MATCH($B458,SEMANAS!$B$6:$B$71,0)),0)</f>
        <v>15.61</v>
      </c>
      <c r="V458" s="18" t="n">
        <f aca="false">IFERROR(INDEX(SEMANAS!$J$6:$J$71,MATCH($B458,SEMANAS!$B$6:$B$71,0)),0)</f>
        <v>12.488</v>
      </c>
      <c r="W458" s="18" t="n">
        <f aca="false">MAX(0,$T458-$V458)</f>
        <v>0</v>
      </c>
      <c r="X458" s="19" t="n">
        <f aca="false">IFERROR(INDEX(CADASTRO_PIVOS!$K$6:$K$41,MATCH($E458,CADASTRO_PIVOS!$B$6:$B$41,0)),EFICIENCIA_PADRAO)</f>
        <v>0.85</v>
      </c>
      <c r="Y458" s="18" t="n">
        <f aca="false">IF($X458&lt;=0,0,$W458/$X458)</f>
        <v>0</v>
      </c>
      <c r="Z458" s="16" t="n">
        <f aca="false">$Y458*$H458*MM_PARA_M3_HA</f>
        <v>0</v>
      </c>
      <c r="AA458" s="18" t="n">
        <f aca="false">IFERROR(INDEX(CADASTRO_PIVOS!$I$6:$I$41,MATCH($E458,CADASTRO_PIVOS!$B$6:$B$41,0)),0)</f>
        <v>714.785714285714</v>
      </c>
      <c r="AB458" s="18" t="n">
        <f aca="false">IF($Z458&lt;=0,0,$Z458/$AA458)</f>
        <v>0</v>
      </c>
      <c r="AC458" s="16" t="n">
        <f aca="false">IFERROR(INDEX(SEMANAS!$K$6:$K$71,MATCH($B458,SEMANAS!$B$6:$B$71,0)),0)</f>
        <v>147</v>
      </c>
      <c r="AD458" s="19" t="n">
        <f aca="false">IF($AC458&lt;=0,0,$AB458/$AC458)</f>
        <v>0</v>
      </c>
      <c r="AE458" s="8" t="str">
        <f aca="false">IF($K458="SEM CULTURA","SEM CULTURA",IF($AA458&lt;=0,"DADO PENDENTE",IF($AD458&gt;LIMITE_CRITICO,"INVIAVEL",IF($AD458&gt;LIMITE_ATENCAO,"CRITICO",IF($AD458&gt;LIMITE_CONFORTAVEL,"ATENCAO","OK")))))</f>
        <v>SEM CULTURA</v>
      </c>
      <c r="AF458" s="8" t="str">
        <f aca="false">$B458&amp;"|"&amp;TEXT($AD458,"0.000000")</f>
        <v>57|0.000000</v>
      </c>
      <c r="AG458" s="18" t="n">
        <f aca="false">IF($K458="SEM CULTURA",0,$T458*$H458)</f>
        <v>0</v>
      </c>
      <c r="AH458" s="18" t="n">
        <f aca="false">IF($K458="SEM CULTURA",0,$V458*$H458)</f>
        <v>0</v>
      </c>
      <c r="AI458" s="18" t="n">
        <f aca="false">IF($K458="SEM CULTURA",0,$W458*$H458)</f>
        <v>0</v>
      </c>
      <c r="AJ458" s="18" t="n">
        <f aca="false">IF($K458="SEM CULTURA",0,$S458*$H458)</f>
        <v>0</v>
      </c>
      <c r="AK458" s="8" t="str">
        <f aca="false">$E458&amp;"|"&amp;TEXT($AD458,"0.000000")</f>
        <v>PV 102|0.000000</v>
      </c>
    </row>
    <row r="459" customFormat="false" ht="15" hidden="false" customHeight="false" outlineLevel="0" collapsed="false">
      <c r="B459" s="16" t="n">
        <v>58</v>
      </c>
      <c r="C459" s="17" t="n">
        <f aca="false">DATA_INICIO_SAFRA+($B459-1)*DIAS_POR_SEMANA</f>
        <v>46664</v>
      </c>
      <c r="D459" s="17" t="n">
        <f aca="false">$C459+DIAS_POR_SEMANA-1</f>
        <v>46670</v>
      </c>
      <c r="E459" s="15" t="s">
        <v>265</v>
      </c>
      <c r="F459" s="8" t="str">
        <f aca="false">IFERROR(INDEX(CADASTRO_PIVOS!$C$6:$C$41,MATCH($E459,CADASTRO_PIVOS!$B$6:$B$41,0)),"?")</f>
        <v>RM04</v>
      </c>
      <c r="G459" s="8" t="str">
        <f aca="false">IFERROR(INDEX(CADASTRO_PIVOS!$D$6:$D$41,MATCH($E459,CADASTRO_PIVOS!$B$6:$B$41,0)),"?")</f>
        <v>TR04</v>
      </c>
      <c r="H459" s="20" t="n">
        <f aca="false">IFERROR(INDEX(CADASTRO_PIVOS!$E$6:$E$41,MATCH($E459,CADASTRO_PIVOS!$B$6:$B$41,0)),0)</f>
        <v>100.07</v>
      </c>
      <c r="I459" s="16" t="n">
        <f aca="false">IFERROR(SUMIFS(ROTACAO_RDM!$B$6:$B$71,ROTACAO_RDM!$D$6:$D$71,$E459,ROTACAO_RDM!$I$6:$I$71,"&lt;="&amp;$C459+INT(DIAS_POR_SEMANA/2),ROTACAO_RDM!$J$6:$J$71,"&gt;="&amp;$C459+INT(DIAS_POR_SEMANA/2)),0)</f>
        <v>0</v>
      </c>
      <c r="J459" s="16" t="n">
        <f aca="false">IFERROR(MATCH($I459,ROTACAO_RDM!$B$6:$B$71,0),0)</f>
        <v>0</v>
      </c>
      <c r="K459" s="8" t="str">
        <f aca="false">IF($J459=0,"SEM CULTURA",INDEX(ROTACAO_RDM!$F$6:$F$71,$J459))</f>
        <v>SEM CULTURA</v>
      </c>
      <c r="L459" s="8" t="str">
        <f aca="false">IF($J459=0,"",INDEX(ROTACAO_RDM!$G$6:$G$71,$J459))</f>
        <v/>
      </c>
      <c r="M459" s="17" t="str">
        <f aca="false">IF($J459=0,"",INDEX(ROTACAO_RDM!$I$6:$I$71,$J459))</f>
        <v/>
      </c>
      <c r="N459" s="16" t="n">
        <f aca="false">IF($J459=0,0,MAX(0,$C459+INT(DIAS_POR_SEMANA/2)-INDEX(ROTACAO_RDM!$I$6:$I$71,$J459)))</f>
        <v>0</v>
      </c>
      <c r="O459" s="19" t="n">
        <f aca="false">IF($J459=0,0,MIN(1,$N459/MAX(1,INDEX(ROTACAO_RDM!$K$6:$K$71,$J459))))</f>
        <v>0</v>
      </c>
      <c r="P459" s="16" t="n">
        <f aca="false">IF($J459=0,0,IFERROR(MATCH(INDEX(ROTACAO_RDM!$N$6:$N$71,$J459),PARAMETROS_CULTURAS!$B$6:$B$28,0),0))</f>
        <v>0</v>
      </c>
      <c r="Q459" s="8" t="str">
        <f aca="false">IF($P459=0,"-",IF($O459&lt;=INDEX(PARAMETROS_CULTURAS!$F$6:$F$28,$P459),"INICIAL",IF($O459&lt;=INDEX(PARAMETROS_CULTURAS!$F$6:$F$28,$P459)+INDEX(PARAMETROS_CULTURAS!$G$6:$G$28,$P459),"DESENVOLVIMENTO",IF($O459&lt;=INDEX(PARAMETROS_CULTURAS!$F$6:$F$28,$P459)+INDEX(PARAMETROS_CULTURAS!$G$6:$G$28,$P459)+INDEX(PARAMETROS_CULTURAS!$H$6:$H$28,$P459),"MEDIA","FINAL"))))</f>
        <v>-</v>
      </c>
      <c r="R459" s="24" t="n">
        <f aca="false">IF($P459=0,0,IF($O459&lt;=INDEX(PARAMETROS_CULTURAS!$F$6:$F$28,$P459),INDEX(PARAMETROS_CULTURAS!$K$6:$K$28,$P459),IF($O459&lt;=INDEX(PARAMETROS_CULTURAS!$F$6:$F$28,$P459)+INDEX(PARAMETROS_CULTURAS!$G$6:$G$28,$P459),INDEX(PARAMETROS_CULTURAS!$K$6:$K$28,$P459)+(INDEX(PARAMETROS_CULTURAS!$L$6:$L$28,$P459)-INDEX(PARAMETROS_CULTURAS!$K$6:$K$28,$P459))*($O459-INDEX(PARAMETROS_CULTURAS!$F$6:$F$28,$P459))/MAX(INDEX(PARAMETROS_CULTURAS!$G$6:$G$28,$P459),0.0001),IF($O459&lt;=INDEX(PARAMETROS_CULTURAS!$F$6:$F$28,$P459)+INDEX(PARAMETROS_CULTURAS!$G$6:$G$28,$P459)+INDEX(PARAMETROS_CULTURAS!$H$6:$H$28,$P459),INDEX(PARAMETROS_CULTURAS!$L$6:$L$28,$P459),INDEX(PARAMETROS_CULTURAS!$L$6:$L$28,$P459)+(INDEX(PARAMETROS_CULTURAS!$M$6:$M$28,$P459)-INDEX(PARAMETROS_CULTURAS!$L$6:$L$28,$P459))*($O459-INDEX(PARAMETROS_CULTURAS!$F$6:$F$28,$P459)-INDEX(PARAMETROS_CULTURAS!$G$6:$G$28,$P459)-INDEX(PARAMETROS_CULTURAS!$H$6:$H$28,$P459))/MAX(INDEX(PARAMETROS_CULTURAS!$I$6:$I$28,$P459),0.0001)))))</f>
        <v>0</v>
      </c>
      <c r="S459" s="18" t="n">
        <f aca="false">IFERROR(INDEX(SEMANAS!$H$6:$H$71,MATCH($B459,SEMANAS!$B$6:$B$71,0)),0)</f>
        <v>39.2</v>
      </c>
      <c r="T459" s="18" t="n">
        <f aca="false">$R459*$S459</f>
        <v>0</v>
      </c>
      <c r="U459" s="18" t="n">
        <f aca="false">IFERROR(INDEX(SEMANAS!$I$6:$I$71,MATCH($B459,SEMANAS!$B$6:$B$71,0)),0)</f>
        <v>27.09</v>
      </c>
      <c r="V459" s="18" t="n">
        <f aca="false">IFERROR(INDEX(SEMANAS!$J$6:$J$71,MATCH($B459,SEMANAS!$B$6:$B$71,0)),0)</f>
        <v>21.672</v>
      </c>
      <c r="W459" s="18" t="n">
        <f aca="false">MAX(0,$T459-$V459)</f>
        <v>0</v>
      </c>
      <c r="X459" s="19" t="n">
        <f aca="false">IFERROR(INDEX(CADASTRO_PIVOS!$K$6:$K$41,MATCH($E459,CADASTRO_PIVOS!$B$6:$B$41,0)),EFICIENCIA_PADRAO)</f>
        <v>0.85</v>
      </c>
      <c r="Y459" s="18" t="n">
        <f aca="false">IF($X459&lt;=0,0,$W459/$X459)</f>
        <v>0</v>
      </c>
      <c r="Z459" s="16" t="n">
        <f aca="false">$Y459*$H459*MM_PARA_M3_HA</f>
        <v>0</v>
      </c>
      <c r="AA459" s="18" t="n">
        <f aca="false">IFERROR(INDEX(CADASTRO_PIVOS!$I$6:$I$41,MATCH($E459,CADASTRO_PIVOS!$B$6:$B$41,0)),0)</f>
        <v>714.785714285714</v>
      </c>
      <c r="AB459" s="18" t="n">
        <f aca="false">IF($Z459&lt;=0,0,$Z459/$AA459)</f>
        <v>0</v>
      </c>
      <c r="AC459" s="16" t="n">
        <f aca="false">IFERROR(INDEX(SEMANAS!$K$6:$K$71,MATCH($B459,SEMANAS!$B$6:$B$71,0)),0)</f>
        <v>147</v>
      </c>
      <c r="AD459" s="19" t="n">
        <f aca="false">IF($AC459&lt;=0,0,$AB459/$AC459)</f>
        <v>0</v>
      </c>
      <c r="AE459" s="8" t="str">
        <f aca="false">IF($K459="SEM CULTURA","SEM CULTURA",IF($AA459&lt;=0,"DADO PENDENTE",IF($AD459&gt;LIMITE_CRITICO,"INVIAVEL",IF($AD459&gt;LIMITE_ATENCAO,"CRITICO",IF($AD459&gt;LIMITE_CONFORTAVEL,"ATENCAO","OK")))))</f>
        <v>SEM CULTURA</v>
      </c>
      <c r="AF459" s="8" t="str">
        <f aca="false">$B459&amp;"|"&amp;TEXT($AD459,"0.000000")</f>
        <v>58|0.000000</v>
      </c>
      <c r="AG459" s="18" t="n">
        <f aca="false">IF($K459="SEM CULTURA",0,$T459*$H459)</f>
        <v>0</v>
      </c>
      <c r="AH459" s="18" t="n">
        <f aca="false">IF($K459="SEM CULTURA",0,$V459*$H459)</f>
        <v>0</v>
      </c>
      <c r="AI459" s="18" t="n">
        <f aca="false">IF($K459="SEM CULTURA",0,$W459*$H459)</f>
        <v>0</v>
      </c>
      <c r="AJ459" s="18" t="n">
        <f aca="false">IF($K459="SEM CULTURA",0,$S459*$H459)</f>
        <v>0</v>
      </c>
      <c r="AK459" s="8" t="str">
        <f aca="false">$E459&amp;"|"&amp;TEXT($AD459,"0.000000")</f>
        <v>PV 102|0.000000</v>
      </c>
    </row>
    <row r="460" customFormat="false" ht="15" hidden="false" customHeight="false" outlineLevel="0" collapsed="false">
      <c r="B460" s="16" t="n">
        <v>59</v>
      </c>
      <c r="C460" s="17" t="n">
        <f aca="false">DATA_INICIO_SAFRA+($B460-1)*DIAS_POR_SEMANA</f>
        <v>46671</v>
      </c>
      <c r="D460" s="17" t="n">
        <f aca="false">$C460+DIAS_POR_SEMANA-1</f>
        <v>46677</v>
      </c>
      <c r="E460" s="15" t="s">
        <v>265</v>
      </c>
      <c r="F460" s="8" t="str">
        <f aca="false">IFERROR(INDEX(CADASTRO_PIVOS!$C$6:$C$41,MATCH($E460,CADASTRO_PIVOS!$B$6:$B$41,0)),"?")</f>
        <v>RM04</v>
      </c>
      <c r="G460" s="8" t="str">
        <f aca="false">IFERROR(INDEX(CADASTRO_PIVOS!$D$6:$D$41,MATCH($E460,CADASTRO_PIVOS!$B$6:$B$41,0)),"?")</f>
        <v>TR04</v>
      </c>
      <c r="H460" s="20" t="n">
        <f aca="false">IFERROR(INDEX(CADASTRO_PIVOS!$E$6:$E$41,MATCH($E460,CADASTRO_PIVOS!$B$6:$B$41,0)),0)</f>
        <v>100.07</v>
      </c>
      <c r="I460" s="16" t="n">
        <f aca="false">IFERROR(SUMIFS(ROTACAO_RDM!$B$6:$B$71,ROTACAO_RDM!$D$6:$D$71,$E460,ROTACAO_RDM!$I$6:$I$71,"&lt;="&amp;$C460+INT(DIAS_POR_SEMANA/2),ROTACAO_RDM!$J$6:$J$71,"&gt;="&amp;$C460+INT(DIAS_POR_SEMANA/2)),0)</f>
        <v>0</v>
      </c>
      <c r="J460" s="16" t="n">
        <f aca="false">IFERROR(MATCH($I460,ROTACAO_RDM!$B$6:$B$71,0),0)</f>
        <v>0</v>
      </c>
      <c r="K460" s="8" t="str">
        <f aca="false">IF($J460=0,"SEM CULTURA",INDEX(ROTACAO_RDM!$F$6:$F$71,$J460))</f>
        <v>SEM CULTURA</v>
      </c>
      <c r="L460" s="8" t="str">
        <f aca="false">IF($J460=0,"",INDEX(ROTACAO_RDM!$G$6:$G$71,$J460))</f>
        <v/>
      </c>
      <c r="M460" s="17" t="str">
        <f aca="false">IF($J460=0,"",INDEX(ROTACAO_RDM!$I$6:$I$71,$J460))</f>
        <v/>
      </c>
      <c r="N460" s="16" t="n">
        <f aca="false">IF($J460=0,0,MAX(0,$C460+INT(DIAS_POR_SEMANA/2)-INDEX(ROTACAO_RDM!$I$6:$I$71,$J460)))</f>
        <v>0</v>
      </c>
      <c r="O460" s="19" t="n">
        <f aca="false">IF($J460=0,0,MIN(1,$N460/MAX(1,INDEX(ROTACAO_RDM!$K$6:$K$71,$J460))))</f>
        <v>0</v>
      </c>
      <c r="P460" s="16" t="n">
        <f aca="false">IF($J460=0,0,IFERROR(MATCH(INDEX(ROTACAO_RDM!$N$6:$N$71,$J460),PARAMETROS_CULTURAS!$B$6:$B$28,0),0))</f>
        <v>0</v>
      </c>
      <c r="Q460" s="8" t="str">
        <f aca="false">IF($P460=0,"-",IF($O460&lt;=INDEX(PARAMETROS_CULTURAS!$F$6:$F$28,$P460),"INICIAL",IF($O460&lt;=INDEX(PARAMETROS_CULTURAS!$F$6:$F$28,$P460)+INDEX(PARAMETROS_CULTURAS!$G$6:$G$28,$P460),"DESENVOLVIMENTO",IF($O460&lt;=INDEX(PARAMETROS_CULTURAS!$F$6:$F$28,$P460)+INDEX(PARAMETROS_CULTURAS!$G$6:$G$28,$P460)+INDEX(PARAMETROS_CULTURAS!$H$6:$H$28,$P460),"MEDIA","FINAL"))))</f>
        <v>-</v>
      </c>
      <c r="R460" s="24" t="n">
        <f aca="false">IF($P460=0,0,IF($O460&lt;=INDEX(PARAMETROS_CULTURAS!$F$6:$F$28,$P460),INDEX(PARAMETROS_CULTURAS!$K$6:$K$28,$P460),IF($O460&lt;=INDEX(PARAMETROS_CULTURAS!$F$6:$F$28,$P460)+INDEX(PARAMETROS_CULTURAS!$G$6:$G$28,$P460),INDEX(PARAMETROS_CULTURAS!$K$6:$K$28,$P460)+(INDEX(PARAMETROS_CULTURAS!$L$6:$L$28,$P460)-INDEX(PARAMETROS_CULTURAS!$K$6:$K$28,$P460))*($O460-INDEX(PARAMETROS_CULTURAS!$F$6:$F$28,$P460))/MAX(INDEX(PARAMETROS_CULTURAS!$G$6:$G$28,$P460),0.0001),IF($O460&lt;=INDEX(PARAMETROS_CULTURAS!$F$6:$F$28,$P460)+INDEX(PARAMETROS_CULTURAS!$G$6:$G$28,$P460)+INDEX(PARAMETROS_CULTURAS!$H$6:$H$28,$P460),INDEX(PARAMETROS_CULTURAS!$L$6:$L$28,$P460),INDEX(PARAMETROS_CULTURAS!$L$6:$L$28,$P460)+(INDEX(PARAMETROS_CULTURAS!$M$6:$M$28,$P460)-INDEX(PARAMETROS_CULTURAS!$L$6:$L$28,$P460))*($O460-INDEX(PARAMETROS_CULTURAS!$F$6:$F$28,$P460)-INDEX(PARAMETROS_CULTURAS!$G$6:$G$28,$P460)-INDEX(PARAMETROS_CULTURAS!$H$6:$H$28,$P460))/MAX(INDEX(PARAMETROS_CULTURAS!$I$6:$I$28,$P460),0.0001)))))</f>
        <v>0</v>
      </c>
      <c r="S460" s="18" t="n">
        <f aca="false">IFERROR(INDEX(SEMANAS!$H$6:$H$71,MATCH($B460,SEMANAS!$B$6:$B$71,0)),0)</f>
        <v>39.2</v>
      </c>
      <c r="T460" s="18" t="n">
        <f aca="false">$R460*$S460</f>
        <v>0</v>
      </c>
      <c r="U460" s="18" t="n">
        <f aca="false">IFERROR(INDEX(SEMANAS!$I$6:$I$71,MATCH($B460,SEMANAS!$B$6:$B$71,0)),0)</f>
        <v>27.09</v>
      </c>
      <c r="V460" s="18" t="n">
        <f aca="false">IFERROR(INDEX(SEMANAS!$J$6:$J$71,MATCH($B460,SEMANAS!$B$6:$B$71,0)),0)</f>
        <v>21.672</v>
      </c>
      <c r="W460" s="18" t="n">
        <f aca="false">MAX(0,$T460-$V460)</f>
        <v>0</v>
      </c>
      <c r="X460" s="19" t="n">
        <f aca="false">IFERROR(INDEX(CADASTRO_PIVOS!$K$6:$K$41,MATCH($E460,CADASTRO_PIVOS!$B$6:$B$41,0)),EFICIENCIA_PADRAO)</f>
        <v>0.85</v>
      </c>
      <c r="Y460" s="18" t="n">
        <f aca="false">IF($X460&lt;=0,0,$W460/$X460)</f>
        <v>0</v>
      </c>
      <c r="Z460" s="16" t="n">
        <f aca="false">$Y460*$H460*MM_PARA_M3_HA</f>
        <v>0</v>
      </c>
      <c r="AA460" s="18" t="n">
        <f aca="false">IFERROR(INDEX(CADASTRO_PIVOS!$I$6:$I$41,MATCH($E460,CADASTRO_PIVOS!$B$6:$B$41,0)),0)</f>
        <v>714.785714285714</v>
      </c>
      <c r="AB460" s="18" t="n">
        <f aca="false">IF($Z460&lt;=0,0,$Z460/$AA460)</f>
        <v>0</v>
      </c>
      <c r="AC460" s="16" t="n">
        <f aca="false">IFERROR(INDEX(SEMANAS!$K$6:$K$71,MATCH($B460,SEMANAS!$B$6:$B$71,0)),0)</f>
        <v>147</v>
      </c>
      <c r="AD460" s="19" t="n">
        <f aca="false">IF($AC460&lt;=0,0,$AB460/$AC460)</f>
        <v>0</v>
      </c>
      <c r="AE460" s="8" t="str">
        <f aca="false">IF($K460="SEM CULTURA","SEM CULTURA",IF($AA460&lt;=0,"DADO PENDENTE",IF($AD460&gt;LIMITE_CRITICO,"INVIAVEL",IF($AD460&gt;LIMITE_ATENCAO,"CRITICO",IF($AD460&gt;LIMITE_CONFORTAVEL,"ATENCAO","OK")))))</f>
        <v>SEM CULTURA</v>
      </c>
      <c r="AF460" s="8" t="str">
        <f aca="false">$B460&amp;"|"&amp;TEXT($AD460,"0.000000")</f>
        <v>59|0.000000</v>
      </c>
      <c r="AG460" s="18" t="n">
        <f aca="false">IF($K460="SEM CULTURA",0,$T460*$H460)</f>
        <v>0</v>
      </c>
      <c r="AH460" s="18" t="n">
        <f aca="false">IF($K460="SEM CULTURA",0,$V460*$H460)</f>
        <v>0</v>
      </c>
      <c r="AI460" s="18" t="n">
        <f aca="false">IF($K460="SEM CULTURA",0,$W460*$H460)</f>
        <v>0</v>
      </c>
      <c r="AJ460" s="18" t="n">
        <f aca="false">IF($K460="SEM CULTURA",0,$S460*$H460)</f>
        <v>0</v>
      </c>
      <c r="AK460" s="8" t="str">
        <f aca="false">$E460&amp;"|"&amp;TEXT($AD460,"0.000000")</f>
        <v>PV 102|0.000000</v>
      </c>
    </row>
    <row r="461" customFormat="false" ht="15" hidden="false" customHeight="false" outlineLevel="0" collapsed="false">
      <c r="B461" s="16" t="n">
        <v>60</v>
      </c>
      <c r="C461" s="17" t="n">
        <f aca="false">DATA_INICIO_SAFRA+($B461-1)*DIAS_POR_SEMANA</f>
        <v>46678</v>
      </c>
      <c r="D461" s="17" t="n">
        <f aca="false">$C461+DIAS_POR_SEMANA-1</f>
        <v>46684</v>
      </c>
      <c r="E461" s="15" t="s">
        <v>265</v>
      </c>
      <c r="F461" s="8" t="str">
        <f aca="false">IFERROR(INDEX(CADASTRO_PIVOS!$C$6:$C$41,MATCH($E461,CADASTRO_PIVOS!$B$6:$B$41,0)),"?")</f>
        <v>RM04</v>
      </c>
      <c r="G461" s="8" t="str">
        <f aca="false">IFERROR(INDEX(CADASTRO_PIVOS!$D$6:$D$41,MATCH($E461,CADASTRO_PIVOS!$B$6:$B$41,0)),"?")</f>
        <v>TR04</v>
      </c>
      <c r="H461" s="20" t="n">
        <f aca="false">IFERROR(INDEX(CADASTRO_PIVOS!$E$6:$E$41,MATCH($E461,CADASTRO_PIVOS!$B$6:$B$41,0)),0)</f>
        <v>100.07</v>
      </c>
      <c r="I461" s="16" t="n">
        <f aca="false">IFERROR(SUMIFS(ROTACAO_RDM!$B$6:$B$71,ROTACAO_RDM!$D$6:$D$71,$E461,ROTACAO_RDM!$I$6:$I$71,"&lt;="&amp;$C461+INT(DIAS_POR_SEMANA/2),ROTACAO_RDM!$J$6:$J$71,"&gt;="&amp;$C461+INT(DIAS_POR_SEMANA/2)),0)</f>
        <v>0</v>
      </c>
      <c r="J461" s="16" t="n">
        <f aca="false">IFERROR(MATCH($I461,ROTACAO_RDM!$B$6:$B$71,0),0)</f>
        <v>0</v>
      </c>
      <c r="K461" s="8" t="str">
        <f aca="false">IF($J461=0,"SEM CULTURA",INDEX(ROTACAO_RDM!$F$6:$F$71,$J461))</f>
        <v>SEM CULTURA</v>
      </c>
      <c r="L461" s="8" t="str">
        <f aca="false">IF($J461=0,"",INDEX(ROTACAO_RDM!$G$6:$G$71,$J461))</f>
        <v/>
      </c>
      <c r="M461" s="17" t="str">
        <f aca="false">IF($J461=0,"",INDEX(ROTACAO_RDM!$I$6:$I$71,$J461))</f>
        <v/>
      </c>
      <c r="N461" s="16" t="n">
        <f aca="false">IF($J461=0,0,MAX(0,$C461+INT(DIAS_POR_SEMANA/2)-INDEX(ROTACAO_RDM!$I$6:$I$71,$J461)))</f>
        <v>0</v>
      </c>
      <c r="O461" s="19" t="n">
        <f aca="false">IF($J461=0,0,MIN(1,$N461/MAX(1,INDEX(ROTACAO_RDM!$K$6:$K$71,$J461))))</f>
        <v>0</v>
      </c>
      <c r="P461" s="16" t="n">
        <f aca="false">IF($J461=0,0,IFERROR(MATCH(INDEX(ROTACAO_RDM!$N$6:$N$71,$J461),PARAMETROS_CULTURAS!$B$6:$B$28,0),0))</f>
        <v>0</v>
      </c>
      <c r="Q461" s="8" t="str">
        <f aca="false">IF($P461=0,"-",IF($O461&lt;=INDEX(PARAMETROS_CULTURAS!$F$6:$F$28,$P461),"INICIAL",IF($O461&lt;=INDEX(PARAMETROS_CULTURAS!$F$6:$F$28,$P461)+INDEX(PARAMETROS_CULTURAS!$G$6:$G$28,$P461),"DESENVOLVIMENTO",IF($O461&lt;=INDEX(PARAMETROS_CULTURAS!$F$6:$F$28,$P461)+INDEX(PARAMETROS_CULTURAS!$G$6:$G$28,$P461)+INDEX(PARAMETROS_CULTURAS!$H$6:$H$28,$P461),"MEDIA","FINAL"))))</f>
        <v>-</v>
      </c>
      <c r="R461" s="24" t="n">
        <f aca="false">IF($P461=0,0,IF($O461&lt;=INDEX(PARAMETROS_CULTURAS!$F$6:$F$28,$P461),INDEX(PARAMETROS_CULTURAS!$K$6:$K$28,$P461),IF($O461&lt;=INDEX(PARAMETROS_CULTURAS!$F$6:$F$28,$P461)+INDEX(PARAMETROS_CULTURAS!$G$6:$G$28,$P461),INDEX(PARAMETROS_CULTURAS!$K$6:$K$28,$P461)+(INDEX(PARAMETROS_CULTURAS!$L$6:$L$28,$P461)-INDEX(PARAMETROS_CULTURAS!$K$6:$K$28,$P461))*($O461-INDEX(PARAMETROS_CULTURAS!$F$6:$F$28,$P461))/MAX(INDEX(PARAMETROS_CULTURAS!$G$6:$G$28,$P461),0.0001),IF($O461&lt;=INDEX(PARAMETROS_CULTURAS!$F$6:$F$28,$P461)+INDEX(PARAMETROS_CULTURAS!$G$6:$G$28,$P461)+INDEX(PARAMETROS_CULTURAS!$H$6:$H$28,$P461),INDEX(PARAMETROS_CULTURAS!$L$6:$L$28,$P461),INDEX(PARAMETROS_CULTURAS!$L$6:$L$28,$P461)+(INDEX(PARAMETROS_CULTURAS!$M$6:$M$28,$P461)-INDEX(PARAMETROS_CULTURAS!$L$6:$L$28,$P461))*($O461-INDEX(PARAMETROS_CULTURAS!$F$6:$F$28,$P461)-INDEX(PARAMETROS_CULTURAS!$G$6:$G$28,$P461)-INDEX(PARAMETROS_CULTURAS!$H$6:$H$28,$P461))/MAX(INDEX(PARAMETROS_CULTURAS!$I$6:$I$28,$P461),0.0001)))))</f>
        <v>0</v>
      </c>
      <c r="S461" s="18" t="n">
        <f aca="false">IFERROR(INDEX(SEMANAS!$H$6:$H$71,MATCH($B461,SEMANAS!$B$6:$B$71,0)),0)</f>
        <v>39.2</v>
      </c>
      <c r="T461" s="18" t="n">
        <f aca="false">$R461*$S461</f>
        <v>0</v>
      </c>
      <c r="U461" s="18" t="n">
        <f aca="false">IFERROR(INDEX(SEMANAS!$I$6:$I$71,MATCH($B461,SEMANAS!$B$6:$B$71,0)),0)</f>
        <v>27.09</v>
      </c>
      <c r="V461" s="18" t="n">
        <f aca="false">IFERROR(INDEX(SEMANAS!$J$6:$J$71,MATCH($B461,SEMANAS!$B$6:$B$71,0)),0)</f>
        <v>21.672</v>
      </c>
      <c r="W461" s="18" t="n">
        <f aca="false">MAX(0,$T461-$V461)</f>
        <v>0</v>
      </c>
      <c r="X461" s="19" t="n">
        <f aca="false">IFERROR(INDEX(CADASTRO_PIVOS!$K$6:$K$41,MATCH($E461,CADASTRO_PIVOS!$B$6:$B$41,0)),EFICIENCIA_PADRAO)</f>
        <v>0.85</v>
      </c>
      <c r="Y461" s="18" t="n">
        <f aca="false">IF($X461&lt;=0,0,$W461/$X461)</f>
        <v>0</v>
      </c>
      <c r="Z461" s="16" t="n">
        <f aca="false">$Y461*$H461*MM_PARA_M3_HA</f>
        <v>0</v>
      </c>
      <c r="AA461" s="18" t="n">
        <f aca="false">IFERROR(INDEX(CADASTRO_PIVOS!$I$6:$I$41,MATCH($E461,CADASTRO_PIVOS!$B$6:$B$41,0)),0)</f>
        <v>714.785714285714</v>
      </c>
      <c r="AB461" s="18" t="n">
        <f aca="false">IF($Z461&lt;=0,0,$Z461/$AA461)</f>
        <v>0</v>
      </c>
      <c r="AC461" s="16" t="n">
        <f aca="false">IFERROR(INDEX(SEMANAS!$K$6:$K$71,MATCH($B461,SEMANAS!$B$6:$B$71,0)),0)</f>
        <v>147</v>
      </c>
      <c r="AD461" s="19" t="n">
        <f aca="false">IF($AC461&lt;=0,0,$AB461/$AC461)</f>
        <v>0</v>
      </c>
      <c r="AE461" s="8" t="str">
        <f aca="false">IF($K461="SEM CULTURA","SEM CULTURA",IF($AA461&lt;=0,"DADO PENDENTE",IF($AD461&gt;LIMITE_CRITICO,"INVIAVEL",IF($AD461&gt;LIMITE_ATENCAO,"CRITICO",IF($AD461&gt;LIMITE_CONFORTAVEL,"ATENCAO","OK")))))</f>
        <v>SEM CULTURA</v>
      </c>
      <c r="AF461" s="8" t="str">
        <f aca="false">$B461&amp;"|"&amp;TEXT($AD461,"0.000000")</f>
        <v>60|0.000000</v>
      </c>
      <c r="AG461" s="18" t="n">
        <f aca="false">IF($K461="SEM CULTURA",0,$T461*$H461)</f>
        <v>0</v>
      </c>
      <c r="AH461" s="18" t="n">
        <f aca="false">IF($K461="SEM CULTURA",0,$V461*$H461)</f>
        <v>0</v>
      </c>
      <c r="AI461" s="18" t="n">
        <f aca="false">IF($K461="SEM CULTURA",0,$W461*$H461)</f>
        <v>0</v>
      </c>
      <c r="AJ461" s="18" t="n">
        <f aca="false">IF($K461="SEM CULTURA",0,$S461*$H461)</f>
        <v>0</v>
      </c>
      <c r="AK461" s="8" t="str">
        <f aca="false">$E461&amp;"|"&amp;TEXT($AD461,"0.000000")</f>
        <v>PV 102|0.000000</v>
      </c>
    </row>
    <row r="462" customFormat="false" ht="15" hidden="false" customHeight="false" outlineLevel="0" collapsed="false">
      <c r="B462" s="16" t="n">
        <v>61</v>
      </c>
      <c r="C462" s="17" t="n">
        <f aca="false">DATA_INICIO_SAFRA+($B462-1)*DIAS_POR_SEMANA</f>
        <v>46685</v>
      </c>
      <c r="D462" s="17" t="n">
        <f aca="false">$C462+DIAS_POR_SEMANA-1</f>
        <v>46691</v>
      </c>
      <c r="E462" s="15" t="s">
        <v>265</v>
      </c>
      <c r="F462" s="8" t="str">
        <f aca="false">IFERROR(INDEX(CADASTRO_PIVOS!$C$6:$C$41,MATCH($E462,CADASTRO_PIVOS!$B$6:$B$41,0)),"?")</f>
        <v>RM04</v>
      </c>
      <c r="G462" s="8" t="str">
        <f aca="false">IFERROR(INDEX(CADASTRO_PIVOS!$D$6:$D$41,MATCH($E462,CADASTRO_PIVOS!$B$6:$B$41,0)),"?")</f>
        <v>TR04</v>
      </c>
      <c r="H462" s="20" t="n">
        <f aca="false">IFERROR(INDEX(CADASTRO_PIVOS!$E$6:$E$41,MATCH($E462,CADASTRO_PIVOS!$B$6:$B$41,0)),0)</f>
        <v>100.07</v>
      </c>
      <c r="I462" s="16" t="n">
        <f aca="false">IFERROR(SUMIFS(ROTACAO_RDM!$B$6:$B$71,ROTACAO_RDM!$D$6:$D$71,$E462,ROTACAO_RDM!$I$6:$I$71,"&lt;="&amp;$C462+INT(DIAS_POR_SEMANA/2),ROTACAO_RDM!$J$6:$J$71,"&gt;="&amp;$C462+INT(DIAS_POR_SEMANA/2)),0)</f>
        <v>0</v>
      </c>
      <c r="J462" s="16" t="n">
        <f aca="false">IFERROR(MATCH($I462,ROTACAO_RDM!$B$6:$B$71,0),0)</f>
        <v>0</v>
      </c>
      <c r="K462" s="8" t="str">
        <f aca="false">IF($J462=0,"SEM CULTURA",INDEX(ROTACAO_RDM!$F$6:$F$71,$J462))</f>
        <v>SEM CULTURA</v>
      </c>
      <c r="L462" s="8" t="str">
        <f aca="false">IF($J462=0,"",INDEX(ROTACAO_RDM!$G$6:$G$71,$J462))</f>
        <v/>
      </c>
      <c r="M462" s="17" t="str">
        <f aca="false">IF($J462=0,"",INDEX(ROTACAO_RDM!$I$6:$I$71,$J462))</f>
        <v/>
      </c>
      <c r="N462" s="16" t="n">
        <f aca="false">IF($J462=0,0,MAX(0,$C462+INT(DIAS_POR_SEMANA/2)-INDEX(ROTACAO_RDM!$I$6:$I$71,$J462)))</f>
        <v>0</v>
      </c>
      <c r="O462" s="19" t="n">
        <f aca="false">IF($J462=0,0,MIN(1,$N462/MAX(1,INDEX(ROTACAO_RDM!$K$6:$K$71,$J462))))</f>
        <v>0</v>
      </c>
      <c r="P462" s="16" t="n">
        <f aca="false">IF($J462=0,0,IFERROR(MATCH(INDEX(ROTACAO_RDM!$N$6:$N$71,$J462),PARAMETROS_CULTURAS!$B$6:$B$28,0),0))</f>
        <v>0</v>
      </c>
      <c r="Q462" s="8" t="str">
        <f aca="false">IF($P462=0,"-",IF($O462&lt;=INDEX(PARAMETROS_CULTURAS!$F$6:$F$28,$P462),"INICIAL",IF($O462&lt;=INDEX(PARAMETROS_CULTURAS!$F$6:$F$28,$P462)+INDEX(PARAMETROS_CULTURAS!$G$6:$G$28,$P462),"DESENVOLVIMENTO",IF($O462&lt;=INDEX(PARAMETROS_CULTURAS!$F$6:$F$28,$P462)+INDEX(PARAMETROS_CULTURAS!$G$6:$G$28,$P462)+INDEX(PARAMETROS_CULTURAS!$H$6:$H$28,$P462),"MEDIA","FINAL"))))</f>
        <v>-</v>
      </c>
      <c r="R462" s="24" t="n">
        <f aca="false">IF($P462=0,0,IF($O462&lt;=INDEX(PARAMETROS_CULTURAS!$F$6:$F$28,$P462),INDEX(PARAMETROS_CULTURAS!$K$6:$K$28,$P462),IF($O462&lt;=INDEX(PARAMETROS_CULTURAS!$F$6:$F$28,$P462)+INDEX(PARAMETROS_CULTURAS!$G$6:$G$28,$P462),INDEX(PARAMETROS_CULTURAS!$K$6:$K$28,$P462)+(INDEX(PARAMETROS_CULTURAS!$L$6:$L$28,$P462)-INDEX(PARAMETROS_CULTURAS!$K$6:$K$28,$P462))*($O462-INDEX(PARAMETROS_CULTURAS!$F$6:$F$28,$P462))/MAX(INDEX(PARAMETROS_CULTURAS!$G$6:$G$28,$P462),0.0001),IF($O462&lt;=INDEX(PARAMETROS_CULTURAS!$F$6:$F$28,$P462)+INDEX(PARAMETROS_CULTURAS!$G$6:$G$28,$P462)+INDEX(PARAMETROS_CULTURAS!$H$6:$H$28,$P462),INDEX(PARAMETROS_CULTURAS!$L$6:$L$28,$P462),INDEX(PARAMETROS_CULTURAS!$L$6:$L$28,$P462)+(INDEX(PARAMETROS_CULTURAS!$M$6:$M$28,$P462)-INDEX(PARAMETROS_CULTURAS!$L$6:$L$28,$P462))*($O462-INDEX(PARAMETROS_CULTURAS!$F$6:$F$28,$P462)-INDEX(PARAMETROS_CULTURAS!$G$6:$G$28,$P462)-INDEX(PARAMETROS_CULTURAS!$H$6:$H$28,$P462))/MAX(INDEX(PARAMETROS_CULTURAS!$I$6:$I$28,$P462),0.0001)))))</f>
        <v>0</v>
      </c>
      <c r="S462" s="18" t="n">
        <f aca="false">IFERROR(INDEX(SEMANAS!$H$6:$H$71,MATCH($B462,SEMANAS!$B$6:$B$71,0)),0)</f>
        <v>39.2</v>
      </c>
      <c r="T462" s="18" t="n">
        <f aca="false">$R462*$S462</f>
        <v>0</v>
      </c>
      <c r="U462" s="18" t="n">
        <f aca="false">IFERROR(INDEX(SEMANAS!$I$6:$I$71,MATCH($B462,SEMANAS!$B$6:$B$71,0)),0)</f>
        <v>27.09</v>
      </c>
      <c r="V462" s="18" t="n">
        <f aca="false">IFERROR(INDEX(SEMANAS!$J$6:$J$71,MATCH($B462,SEMANAS!$B$6:$B$71,0)),0)</f>
        <v>21.672</v>
      </c>
      <c r="W462" s="18" t="n">
        <f aca="false">MAX(0,$T462-$V462)</f>
        <v>0</v>
      </c>
      <c r="X462" s="19" t="n">
        <f aca="false">IFERROR(INDEX(CADASTRO_PIVOS!$K$6:$K$41,MATCH($E462,CADASTRO_PIVOS!$B$6:$B$41,0)),EFICIENCIA_PADRAO)</f>
        <v>0.85</v>
      </c>
      <c r="Y462" s="18" t="n">
        <f aca="false">IF($X462&lt;=0,0,$W462/$X462)</f>
        <v>0</v>
      </c>
      <c r="Z462" s="16" t="n">
        <f aca="false">$Y462*$H462*MM_PARA_M3_HA</f>
        <v>0</v>
      </c>
      <c r="AA462" s="18" t="n">
        <f aca="false">IFERROR(INDEX(CADASTRO_PIVOS!$I$6:$I$41,MATCH($E462,CADASTRO_PIVOS!$B$6:$B$41,0)),0)</f>
        <v>714.785714285714</v>
      </c>
      <c r="AB462" s="18" t="n">
        <f aca="false">IF($Z462&lt;=0,0,$Z462/$AA462)</f>
        <v>0</v>
      </c>
      <c r="AC462" s="16" t="n">
        <f aca="false">IFERROR(INDEX(SEMANAS!$K$6:$K$71,MATCH($B462,SEMANAS!$B$6:$B$71,0)),0)</f>
        <v>147</v>
      </c>
      <c r="AD462" s="19" t="n">
        <f aca="false">IF($AC462&lt;=0,0,$AB462/$AC462)</f>
        <v>0</v>
      </c>
      <c r="AE462" s="8" t="str">
        <f aca="false">IF($K462="SEM CULTURA","SEM CULTURA",IF($AA462&lt;=0,"DADO PENDENTE",IF($AD462&gt;LIMITE_CRITICO,"INVIAVEL",IF($AD462&gt;LIMITE_ATENCAO,"CRITICO",IF($AD462&gt;LIMITE_CONFORTAVEL,"ATENCAO","OK")))))</f>
        <v>SEM CULTURA</v>
      </c>
      <c r="AF462" s="8" t="str">
        <f aca="false">$B462&amp;"|"&amp;TEXT($AD462,"0.000000")</f>
        <v>61|0.000000</v>
      </c>
      <c r="AG462" s="18" t="n">
        <f aca="false">IF($K462="SEM CULTURA",0,$T462*$H462)</f>
        <v>0</v>
      </c>
      <c r="AH462" s="18" t="n">
        <f aca="false">IF($K462="SEM CULTURA",0,$V462*$H462)</f>
        <v>0</v>
      </c>
      <c r="AI462" s="18" t="n">
        <f aca="false">IF($K462="SEM CULTURA",0,$W462*$H462)</f>
        <v>0</v>
      </c>
      <c r="AJ462" s="18" t="n">
        <f aca="false">IF($K462="SEM CULTURA",0,$S462*$H462)</f>
        <v>0</v>
      </c>
      <c r="AK462" s="8" t="str">
        <f aca="false">$E462&amp;"|"&amp;TEXT($AD462,"0.000000")</f>
        <v>PV 102|0.000000</v>
      </c>
    </row>
    <row r="463" customFormat="false" ht="15" hidden="false" customHeight="false" outlineLevel="0" collapsed="false">
      <c r="B463" s="16" t="n">
        <v>62</v>
      </c>
      <c r="C463" s="17" t="n">
        <f aca="false">DATA_INICIO_SAFRA+($B463-1)*DIAS_POR_SEMANA</f>
        <v>46692</v>
      </c>
      <c r="D463" s="17" t="n">
        <f aca="false">$C463+DIAS_POR_SEMANA-1</f>
        <v>46698</v>
      </c>
      <c r="E463" s="15" t="s">
        <v>265</v>
      </c>
      <c r="F463" s="8" t="str">
        <f aca="false">IFERROR(INDEX(CADASTRO_PIVOS!$C$6:$C$41,MATCH($E463,CADASTRO_PIVOS!$B$6:$B$41,0)),"?")</f>
        <v>RM04</v>
      </c>
      <c r="G463" s="8" t="str">
        <f aca="false">IFERROR(INDEX(CADASTRO_PIVOS!$D$6:$D$41,MATCH($E463,CADASTRO_PIVOS!$B$6:$B$41,0)),"?")</f>
        <v>TR04</v>
      </c>
      <c r="H463" s="20" t="n">
        <f aca="false">IFERROR(INDEX(CADASTRO_PIVOS!$E$6:$E$41,MATCH($E463,CADASTRO_PIVOS!$B$6:$B$41,0)),0)</f>
        <v>100.07</v>
      </c>
      <c r="I463" s="16" t="n">
        <f aca="false">IFERROR(SUMIFS(ROTACAO_RDM!$B$6:$B$71,ROTACAO_RDM!$D$6:$D$71,$E463,ROTACAO_RDM!$I$6:$I$71,"&lt;="&amp;$C463+INT(DIAS_POR_SEMANA/2),ROTACAO_RDM!$J$6:$J$71,"&gt;="&amp;$C463+INT(DIAS_POR_SEMANA/2)),0)</f>
        <v>0</v>
      </c>
      <c r="J463" s="16" t="n">
        <f aca="false">IFERROR(MATCH($I463,ROTACAO_RDM!$B$6:$B$71,0),0)</f>
        <v>0</v>
      </c>
      <c r="K463" s="8" t="str">
        <f aca="false">IF($J463=0,"SEM CULTURA",INDEX(ROTACAO_RDM!$F$6:$F$71,$J463))</f>
        <v>SEM CULTURA</v>
      </c>
      <c r="L463" s="8" t="str">
        <f aca="false">IF($J463=0,"",INDEX(ROTACAO_RDM!$G$6:$G$71,$J463))</f>
        <v/>
      </c>
      <c r="M463" s="17" t="str">
        <f aca="false">IF($J463=0,"",INDEX(ROTACAO_RDM!$I$6:$I$71,$J463))</f>
        <v/>
      </c>
      <c r="N463" s="16" t="n">
        <f aca="false">IF($J463=0,0,MAX(0,$C463+INT(DIAS_POR_SEMANA/2)-INDEX(ROTACAO_RDM!$I$6:$I$71,$J463)))</f>
        <v>0</v>
      </c>
      <c r="O463" s="19" t="n">
        <f aca="false">IF($J463=0,0,MIN(1,$N463/MAX(1,INDEX(ROTACAO_RDM!$K$6:$K$71,$J463))))</f>
        <v>0</v>
      </c>
      <c r="P463" s="16" t="n">
        <f aca="false">IF($J463=0,0,IFERROR(MATCH(INDEX(ROTACAO_RDM!$N$6:$N$71,$J463),PARAMETROS_CULTURAS!$B$6:$B$28,0),0))</f>
        <v>0</v>
      </c>
      <c r="Q463" s="8" t="str">
        <f aca="false">IF($P463=0,"-",IF($O463&lt;=INDEX(PARAMETROS_CULTURAS!$F$6:$F$28,$P463),"INICIAL",IF($O463&lt;=INDEX(PARAMETROS_CULTURAS!$F$6:$F$28,$P463)+INDEX(PARAMETROS_CULTURAS!$G$6:$G$28,$P463),"DESENVOLVIMENTO",IF($O463&lt;=INDEX(PARAMETROS_CULTURAS!$F$6:$F$28,$P463)+INDEX(PARAMETROS_CULTURAS!$G$6:$G$28,$P463)+INDEX(PARAMETROS_CULTURAS!$H$6:$H$28,$P463),"MEDIA","FINAL"))))</f>
        <v>-</v>
      </c>
      <c r="R463" s="24" t="n">
        <f aca="false">IF($P463=0,0,IF($O463&lt;=INDEX(PARAMETROS_CULTURAS!$F$6:$F$28,$P463),INDEX(PARAMETROS_CULTURAS!$K$6:$K$28,$P463),IF($O463&lt;=INDEX(PARAMETROS_CULTURAS!$F$6:$F$28,$P463)+INDEX(PARAMETROS_CULTURAS!$G$6:$G$28,$P463),INDEX(PARAMETROS_CULTURAS!$K$6:$K$28,$P463)+(INDEX(PARAMETROS_CULTURAS!$L$6:$L$28,$P463)-INDEX(PARAMETROS_CULTURAS!$K$6:$K$28,$P463))*($O463-INDEX(PARAMETROS_CULTURAS!$F$6:$F$28,$P463))/MAX(INDEX(PARAMETROS_CULTURAS!$G$6:$G$28,$P463),0.0001),IF($O463&lt;=INDEX(PARAMETROS_CULTURAS!$F$6:$F$28,$P463)+INDEX(PARAMETROS_CULTURAS!$G$6:$G$28,$P463)+INDEX(PARAMETROS_CULTURAS!$H$6:$H$28,$P463),INDEX(PARAMETROS_CULTURAS!$L$6:$L$28,$P463),INDEX(PARAMETROS_CULTURAS!$L$6:$L$28,$P463)+(INDEX(PARAMETROS_CULTURAS!$M$6:$M$28,$P463)-INDEX(PARAMETROS_CULTURAS!$L$6:$L$28,$P463))*($O463-INDEX(PARAMETROS_CULTURAS!$F$6:$F$28,$P463)-INDEX(PARAMETROS_CULTURAS!$G$6:$G$28,$P463)-INDEX(PARAMETROS_CULTURAS!$H$6:$H$28,$P463))/MAX(INDEX(PARAMETROS_CULTURAS!$I$6:$I$28,$P463),0.0001)))))</f>
        <v>0</v>
      </c>
      <c r="S463" s="18" t="n">
        <f aca="false">IFERROR(INDEX(SEMANAS!$H$6:$H$71,MATCH($B463,SEMANAS!$B$6:$B$71,0)),0)</f>
        <v>34.3</v>
      </c>
      <c r="T463" s="18" t="n">
        <f aca="false">$R463*$S463</f>
        <v>0</v>
      </c>
      <c r="U463" s="18" t="n">
        <f aca="false">IFERROR(INDEX(SEMANAS!$I$6:$I$71,MATCH($B463,SEMANAS!$B$6:$B$71,0)),0)</f>
        <v>46.69</v>
      </c>
      <c r="V463" s="18" t="n">
        <f aca="false">IFERROR(INDEX(SEMANAS!$J$6:$J$71,MATCH($B463,SEMANAS!$B$6:$B$71,0)),0)</f>
        <v>37.352</v>
      </c>
      <c r="W463" s="18" t="n">
        <f aca="false">MAX(0,$T463-$V463)</f>
        <v>0</v>
      </c>
      <c r="X463" s="19" t="n">
        <f aca="false">IFERROR(INDEX(CADASTRO_PIVOS!$K$6:$K$41,MATCH($E463,CADASTRO_PIVOS!$B$6:$B$41,0)),EFICIENCIA_PADRAO)</f>
        <v>0.85</v>
      </c>
      <c r="Y463" s="18" t="n">
        <f aca="false">IF($X463&lt;=0,0,$W463/$X463)</f>
        <v>0</v>
      </c>
      <c r="Z463" s="16" t="n">
        <f aca="false">$Y463*$H463*MM_PARA_M3_HA</f>
        <v>0</v>
      </c>
      <c r="AA463" s="18" t="n">
        <f aca="false">IFERROR(INDEX(CADASTRO_PIVOS!$I$6:$I$41,MATCH($E463,CADASTRO_PIVOS!$B$6:$B$41,0)),0)</f>
        <v>714.785714285714</v>
      </c>
      <c r="AB463" s="18" t="n">
        <f aca="false">IF($Z463&lt;=0,0,$Z463/$AA463)</f>
        <v>0</v>
      </c>
      <c r="AC463" s="16" t="n">
        <f aca="false">IFERROR(INDEX(SEMANAS!$K$6:$K$71,MATCH($B463,SEMANAS!$B$6:$B$71,0)),0)</f>
        <v>147</v>
      </c>
      <c r="AD463" s="19" t="n">
        <f aca="false">IF($AC463&lt;=0,0,$AB463/$AC463)</f>
        <v>0</v>
      </c>
      <c r="AE463" s="8" t="str">
        <f aca="false">IF($K463="SEM CULTURA","SEM CULTURA",IF($AA463&lt;=0,"DADO PENDENTE",IF($AD463&gt;LIMITE_CRITICO,"INVIAVEL",IF($AD463&gt;LIMITE_ATENCAO,"CRITICO",IF($AD463&gt;LIMITE_CONFORTAVEL,"ATENCAO","OK")))))</f>
        <v>SEM CULTURA</v>
      </c>
      <c r="AF463" s="8" t="str">
        <f aca="false">$B463&amp;"|"&amp;TEXT($AD463,"0.000000")</f>
        <v>62|0.000000</v>
      </c>
      <c r="AG463" s="18" t="n">
        <f aca="false">IF($K463="SEM CULTURA",0,$T463*$H463)</f>
        <v>0</v>
      </c>
      <c r="AH463" s="18" t="n">
        <f aca="false">IF($K463="SEM CULTURA",0,$V463*$H463)</f>
        <v>0</v>
      </c>
      <c r="AI463" s="18" t="n">
        <f aca="false">IF($K463="SEM CULTURA",0,$W463*$H463)</f>
        <v>0</v>
      </c>
      <c r="AJ463" s="18" t="n">
        <f aca="false">IF($K463="SEM CULTURA",0,$S463*$H463)</f>
        <v>0</v>
      </c>
      <c r="AK463" s="8" t="str">
        <f aca="false">$E463&amp;"|"&amp;TEXT($AD463,"0.000000")</f>
        <v>PV 102|0.000000</v>
      </c>
    </row>
    <row r="464" customFormat="false" ht="15" hidden="false" customHeight="false" outlineLevel="0" collapsed="false">
      <c r="B464" s="16" t="n">
        <v>63</v>
      </c>
      <c r="C464" s="17" t="n">
        <f aca="false">DATA_INICIO_SAFRA+($B464-1)*DIAS_POR_SEMANA</f>
        <v>46699</v>
      </c>
      <c r="D464" s="17" t="n">
        <f aca="false">$C464+DIAS_POR_SEMANA-1</f>
        <v>46705</v>
      </c>
      <c r="E464" s="15" t="s">
        <v>265</v>
      </c>
      <c r="F464" s="8" t="str">
        <f aca="false">IFERROR(INDEX(CADASTRO_PIVOS!$C$6:$C$41,MATCH($E464,CADASTRO_PIVOS!$B$6:$B$41,0)),"?")</f>
        <v>RM04</v>
      </c>
      <c r="G464" s="8" t="str">
        <f aca="false">IFERROR(INDEX(CADASTRO_PIVOS!$D$6:$D$41,MATCH($E464,CADASTRO_PIVOS!$B$6:$B$41,0)),"?")</f>
        <v>TR04</v>
      </c>
      <c r="H464" s="20" t="n">
        <f aca="false">IFERROR(INDEX(CADASTRO_PIVOS!$E$6:$E$41,MATCH($E464,CADASTRO_PIVOS!$B$6:$B$41,0)),0)</f>
        <v>100.07</v>
      </c>
      <c r="I464" s="16" t="n">
        <f aca="false">IFERROR(SUMIFS(ROTACAO_RDM!$B$6:$B$71,ROTACAO_RDM!$D$6:$D$71,$E464,ROTACAO_RDM!$I$6:$I$71,"&lt;="&amp;$C464+INT(DIAS_POR_SEMANA/2),ROTACAO_RDM!$J$6:$J$71,"&gt;="&amp;$C464+INT(DIAS_POR_SEMANA/2)),0)</f>
        <v>0</v>
      </c>
      <c r="J464" s="16" t="n">
        <f aca="false">IFERROR(MATCH($I464,ROTACAO_RDM!$B$6:$B$71,0),0)</f>
        <v>0</v>
      </c>
      <c r="K464" s="8" t="str">
        <f aca="false">IF($J464=0,"SEM CULTURA",INDEX(ROTACAO_RDM!$F$6:$F$71,$J464))</f>
        <v>SEM CULTURA</v>
      </c>
      <c r="L464" s="8" t="str">
        <f aca="false">IF($J464=0,"",INDEX(ROTACAO_RDM!$G$6:$G$71,$J464))</f>
        <v/>
      </c>
      <c r="M464" s="17" t="str">
        <f aca="false">IF($J464=0,"",INDEX(ROTACAO_RDM!$I$6:$I$71,$J464))</f>
        <v/>
      </c>
      <c r="N464" s="16" t="n">
        <f aca="false">IF($J464=0,0,MAX(0,$C464+INT(DIAS_POR_SEMANA/2)-INDEX(ROTACAO_RDM!$I$6:$I$71,$J464)))</f>
        <v>0</v>
      </c>
      <c r="O464" s="19" t="n">
        <f aca="false">IF($J464=0,0,MIN(1,$N464/MAX(1,INDEX(ROTACAO_RDM!$K$6:$K$71,$J464))))</f>
        <v>0</v>
      </c>
      <c r="P464" s="16" t="n">
        <f aca="false">IF($J464=0,0,IFERROR(MATCH(INDEX(ROTACAO_RDM!$N$6:$N$71,$J464),PARAMETROS_CULTURAS!$B$6:$B$28,0),0))</f>
        <v>0</v>
      </c>
      <c r="Q464" s="8" t="str">
        <f aca="false">IF($P464=0,"-",IF($O464&lt;=INDEX(PARAMETROS_CULTURAS!$F$6:$F$28,$P464),"INICIAL",IF($O464&lt;=INDEX(PARAMETROS_CULTURAS!$F$6:$F$28,$P464)+INDEX(PARAMETROS_CULTURAS!$G$6:$G$28,$P464),"DESENVOLVIMENTO",IF($O464&lt;=INDEX(PARAMETROS_CULTURAS!$F$6:$F$28,$P464)+INDEX(PARAMETROS_CULTURAS!$G$6:$G$28,$P464)+INDEX(PARAMETROS_CULTURAS!$H$6:$H$28,$P464),"MEDIA","FINAL"))))</f>
        <v>-</v>
      </c>
      <c r="R464" s="24" t="n">
        <f aca="false">IF($P464=0,0,IF($O464&lt;=INDEX(PARAMETROS_CULTURAS!$F$6:$F$28,$P464),INDEX(PARAMETROS_CULTURAS!$K$6:$K$28,$P464),IF($O464&lt;=INDEX(PARAMETROS_CULTURAS!$F$6:$F$28,$P464)+INDEX(PARAMETROS_CULTURAS!$G$6:$G$28,$P464),INDEX(PARAMETROS_CULTURAS!$K$6:$K$28,$P464)+(INDEX(PARAMETROS_CULTURAS!$L$6:$L$28,$P464)-INDEX(PARAMETROS_CULTURAS!$K$6:$K$28,$P464))*($O464-INDEX(PARAMETROS_CULTURAS!$F$6:$F$28,$P464))/MAX(INDEX(PARAMETROS_CULTURAS!$G$6:$G$28,$P464),0.0001),IF($O464&lt;=INDEX(PARAMETROS_CULTURAS!$F$6:$F$28,$P464)+INDEX(PARAMETROS_CULTURAS!$G$6:$G$28,$P464)+INDEX(PARAMETROS_CULTURAS!$H$6:$H$28,$P464),INDEX(PARAMETROS_CULTURAS!$L$6:$L$28,$P464),INDEX(PARAMETROS_CULTURAS!$L$6:$L$28,$P464)+(INDEX(PARAMETROS_CULTURAS!$M$6:$M$28,$P464)-INDEX(PARAMETROS_CULTURAS!$L$6:$L$28,$P464))*($O464-INDEX(PARAMETROS_CULTURAS!$F$6:$F$28,$P464)-INDEX(PARAMETROS_CULTURAS!$G$6:$G$28,$P464)-INDEX(PARAMETROS_CULTURAS!$H$6:$H$28,$P464))/MAX(INDEX(PARAMETROS_CULTURAS!$I$6:$I$28,$P464),0.0001)))))</f>
        <v>0</v>
      </c>
      <c r="S464" s="18" t="n">
        <f aca="false">IFERROR(INDEX(SEMANAS!$H$6:$H$71,MATCH($B464,SEMANAS!$B$6:$B$71,0)),0)</f>
        <v>34.3</v>
      </c>
      <c r="T464" s="18" t="n">
        <f aca="false">$R464*$S464</f>
        <v>0</v>
      </c>
      <c r="U464" s="18" t="n">
        <f aca="false">IFERROR(INDEX(SEMANAS!$I$6:$I$71,MATCH($B464,SEMANAS!$B$6:$B$71,0)),0)</f>
        <v>46.69</v>
      </c>
      <c r="V464" s="18" t="n">
        <f aca="false">IFERROR(INDEX(SEMANAS!$J$6:$J$71,MATCH($B464,SEMANAS!$B$6:$B$71,0)),0)</f>
        <v>37.352</v>
      </c>
      <c r="W464" s="18" t="n">
        <f aca="false">MAX(0,$T464-$V464)</f>
        <v>0</v>
      </c>
      <c r="X464" s="19" t="n">
        <f aca="false">IFERROR(INDEX(CADASTRO_PIVOS!$K$6:$K$41,MATCH($E464,CADASTRO_PIVOS!$B$6:$B$41,0)),EFICIENCIA_PADRAO)</f>
        <v>0.85</v>
      </c>
      <c r="Y464" s="18" t="n">
        <f aca="false">IF($X464&lt;=0,0,$W464/$X464)</f>
        <v>0</v>
      </c>
      <c r="Z464" s="16" t="n">
        <f aca="false">$Y464*$H464*MM_PARA_M3_HA</f>
        <v>0</v>
      </c>
      <c r="AA464" s="18" t="n">
        <f aca="false">IFERROR(INDEX(CADASTRO_PIVOS!$I$6:$I$41,MATCH($E464,CADASTRO_PIVOS!$B$6:$B$41,0)),0)</f>
        <v>714.785714285714</v>
      </c>
      <c r="AB464" s="18" t="n">
        <f aca="false">IF($Z464&lt;=0,0,$Z464/$AA464)</f>
        <v>0</v>
      </c>
      <c r="AC464" s="16" t="n">
        <f aca="false">IFERROR(INDEX(SEMANAS!$K$6:$K$71,MATCH($B464,SEMANAS!$B$6:$B$71,0)),0)</f>
        <v>147</v>
      </c>
      <c r="AD464" s="19" t="n">
        <f aca="false">IF($AC464&lt;=0,0,$AB464/$AC464)</f>
        <v>0</v>
      </c>
      <c r="AE464" s="8" t="str">
        <f aca="false">IF($K464="SEM CULTURA","SEM CULTURA",IF($AA464&lt;=0,"DADO PENDENTE",IF($AD464&gt;LIMITE_CRITICO,"INVIAVEL",IF($AD464&gt;LIMITE_ATENCAO,"CRITICO",IF($AD464&gt;LIMITE_CONFORTAVEL,"ATENCAO","OK")))))</f>
        <v>SEM CULTURA</v>
      </c>
      <c r="AF464" s="8" t="str">
        <f aca="false">$B464&amp;"|"&amp;TEXT($AD464,"0.000000")</f>
        <v>63|0.000000</v>
      </c>
      <c r="AG464" s="18" t="n">
        <f aca="false">IF($K464="SEM CULTURA",0,$T464*$H464)</f>
        <v>0</v>
      </c>
      <c r="AH464" s="18" t="n">
        <f aca="false">IF($K464="SEM CULTURA",0,$V464*$H464)</f>
        <v>0</v>
      </c>
      <c r="AI464" s="18" t="n">
        <f aca="false">IF($K464="SEM CULTURA",0,$W464*$H464)</f>
        <v>0</v>
      </c>
      <c r="AJ464" s="18" t="n">
        <f aca="false">IF($K464="SEM CULTURA",0,$S464*$H464)</f>
        <v>0</v>
      </c>
      <c r="AK464" s="8" t="str">
        <f aca="false">$E464&amp;"|"&amp;TEXT($AD464,"0.000000")</f>
        <v>PV 102|0.000000</v>
      </c>
    </row>
    <row r="465" customFormat="false" ht="15" hidden="false" customHeight="false" outlineLevel="0" collapsed="false">
      <c r="B465" s="16" t="n">
        <v>64</v>
      </c>
      <c r="C465" s="17" t="n">
        <f aca="false">DATA_INICIO_SAFRA+($B465-1)*DIAS_POR_SEMANA</f>
        <v>46706</v>
      </c>
      <c r="D465" s="17" t="n">
        <f aca="false">$C465+DIAS_POR_SEMANA-1</f>
        <v>46712</v>
      </c>
      <c r="E465" s="15" t="s">
        <v>265</v>
      </c>
      <c r="F465" s="8" t="str">
        <f aca="false">IFERROR(INDEX(CADASTRO_PIVOS!$C$6:$C$41,MATCH($E465,CADASTRO_PIVOS!$B$6:$B$41,0)),"?")</f>
        <v>RM04</v>
      </c>
      <c r="G465" s="8" t="str">
        <f aca="false">IFERROR(INDEX(CADASTRO_PIVOS!$D$6:$D$41,MATCH($E465,CADASTRO_PIVOS!$B$6:$B$41,0)),"?")</f>
        <v>TR04</v>
      </c>
      <c r="H465" s="20" t="n">
        <f aca="false">IFERROR(INDEX(CADASTRO_PIVOS!$E$6:$E$41,MATCH($E465,CADASTRO_PIVOS!$B$6:$B$41,0)),0)</f>
        <v>100.07</v>
      </c>
      <c r="I465" s="16" t="n">
        <f aca="false">IFERROR(SUMIFS(ROTACAO_RDM!$B$6:$B$71,ROTACAO_RDM!$D$6:$D$71,$E465,ROTACAO_RDM!$I$6:$I$71,"&lt;="&amp;$C465+INT(DIAS_POR_SEMANA/2),ROTACAO_RDM!$J$6:$J$71,"&gt;="&amp;$C465+INT(DIAS_POR_SEMANA/2)),0)</f>
        <v>0</v>
      </c>
      <c r="J465" s="16" t="n">
        <f aca="false">IFERROR(MATCH($I465,ROTACAO_RDM!$B$6:$B$71,0),0)</f>
        <v>0</v>
      </c>
      <c r="K465" s="8" t="str">
        <f aca="false">IF($J465=0,"SEM CULTURA",INDEX(ROTACAO_RDM!$F$6:$F$71,$J465))</f>
        <v>SEM CULTURA</v>
      </c>
      <c r="L465" s="8" t="str">
        <f aca="false">IF($J465=0,"",INDEX(ROTACAO_RDM!$G$6:$G$71,$J465))</f>
        <v/>
      </c>
      <c r="M465" s="17" t="str">
        <f aca="false">IF($J465=0,"",INDEX(ROTACAO_RDM!$I$6:$I$71,$J465))</f>
        <v/>
      </c>
      <c r="N465" s="16" t="n">
        <f aca="false">IF($J465=0,0,MAX(0,$C465+INT(DIAS_POR_SEMANA/2)-INDEX(ROTACAO_RDM!$I$6:$I$71,$J465)))</f>
        <v>0</v>
      </c>
      <c r="O465" s="19" t="n">
        <f aca="false">IF($J465=0,0,MIN(1,$N465/MAX(1,INDEX(ROTACAO_RDM!$K$6:$K$71,$J465))))</f>
        <v>0</v>
      </c>
      <c r="P465" s="16" t="n">
        <f aca="false">IF($J465=0,0,IFERROR(MATCH(INDEX(ROTACAO_RDM!$N$6:$N$71,$J465),PARAMETROS_CULTURAS!$B$6:$B$28,0),0))</f>
        <v>0</v>
      </c>
      <c r="Q465" s="8" t="str">
        <f aca="false">IF($P465=0,"-",IF($O465&lt;=INDEX(PARAMETROS_CULTURAS!$F$6:$F$28,$P465),"INICIAL",IF($O465&lt;=INDEX(PARAMETROS_CULTURAS!$F$6:$F$28,$P465)+INDEX(PARAMETROS_CULTURAS!$G$6:$G$28,$P465),"DESENVOLVIMENTO",IF($O465&lt;=INDEX(PARAMETROS_CULTURAS!$F$6:$F$28,$P465)+INDEX(PARAMETROS_CULTURAS!$G$6:$G$28,$P465)+INDEX(PARAMETROS_CULTURAS!$H$6:$H$28,$P465),"MEDIA","FINAL"))))</f>
        <v>-</v>
      </c>
      <c r="R465" s="24" t="n">
        <f aca="false">IF($P465=0,0,IF($O465&lt;=INDEX(PARAMETROS_CULTURAS!$F$6:$F$28,$P465),INDEX(PARAMETROS_CULTURAS!$K$6:$K$28,$P465),IF($O465&lt;=INDEX(PARAMETROS_CULTURAS!$F$6:$F$28,$P465)+INDEX(PARAMETROS_CULTURAS!$G$6:$G$28,$P465),INDEX(PARAMETROS_CULTURAS!$K$6:$K$28,$P465)+(INDEX(PARAMETROS_CULTURAS!$L$6:$L$28,$P465)-INDEX(PARAMETROS_CULTURAS!$K$6:$K$28,$P465))*($O465-INDEX(PARAMETROS_CULTURAS!$F$6:$F$28,$P465))/MAX(INDEX(PARAMETROS_CULTURAS!$G$6:$G$28,$P465),0.0001),IF($O465&lt;=INDEX(PARAMETROS_CULTURAS!$F$6:$F$28,$P465)+INDEX(PARAMETROS_CULTURAS!$G$6:$G$28,$P465)+INDEX(PARAMETROS_CULTURAS!$H$6:$H$28,$P465),INDEX(PARAMETROS_CULTURAS!$L$6:$L$28,$P465),INDEX(PARAMETROS_CULTURAS!$L$6:$L$28,$P465)+(INDEX(PARAMETROS_CULTURAS!$M$6:$M$28,$P465)-INDEX(PARAMETROS_CULTURAS!$L$6:$L$28,$P465))*($O465-INDEX(PARAMETROS_CULTURAS!$F$6:$F$28,$P465)-INDEX(PARAMETROS_CULTURAS!$G$6:$G$28,$P465)-INDEX(PARAMETROS_CULTURAS!$H$6:$H$28,$P465))/MAX(INDEX(PARAMETROS_CULTURAS!$I$6:$I$28,$P465),0.0001)))))</f>
        <v>0</v>
      </c>
      <c r="S465" s="18" t="n">
        <f aca="false">IFERROR(INDEX(SEMANAS!$H$6:$H$71,MATCH($B465,SEMANAS!$B$6:$B$71,0)),0)</f>
        <v>34.3</v>
      </c>
      <c r="T465" s="18" t="n">
        <f aca="false">$R465*$S465</f>
        <v>0</v>
      </c>
      <c r="U465" s="18" t="n">
        <f aca="false">IFERROR(INDEX(SEMANAS!$I$6:$I$71,MATCH($B465,SEMANAS!$B$6:$B$71,0)),0)</f>
        <v>46.69</v>
      </c>
      <c r="V465" s="18" t="n">
        <f aca="false">IFERROR(INDEX(SEMANAS!$J$6:$J$71,MATCH($B465,SEMANAS!$B$6:$B$71,0)),0)</f>
        <v>37.352</v>
      </c>
      <c r="W465" s="18" t="n">
        <f aca="false">MAX(0,$T465-$V465)</f>
        <v>0</v>
      </c>
      <c r="X465" s="19" t="n">
        <f aca="false">IFERROR(INDEX(CADASTRO_PIVOS!$K$6:$K$41,MATCH($E465,CADASTRO_PIVOS!$B$6:$B$41,0)),EFICIENCIA_PADRAO)</f>
        <v>0.85</v>
      </c>
      <c r="Y465" s="18" t="n">
        <f aca="false">IF($X465&lt;=0,0,$W465/$X465)</f>
        <v>0</v>
      </c>
      <c r="Z465" s="16" t="n">
        <f aca="false">$Y465*$H465*MM_PARA_M3_HA</f>
        <v>0</v>
      </c>
      <c r="AA465" s="18" t="n">
        <f aca="false">IFERROR(INDEX(CADASTRO_PIVOS!$I$6:$I$41,MATCH($E465,CADASTRO_PIVOS!$B$6:$B$41,0)),0)</f>
        <v>714.785714285714</v>
      </c>
      <c r="AB465" s="18" t="n">
        <f aca="false">IF($Z465&lt;=0,0,$Z465/$AA465)</f>
        <v>0</v>
      </c>
      <c r="AC465" s="16" t="n">
        <f aca="false">IFERROR(INDEX(SEMANAS!$K$6:$K$71,MATCH($B465,SEMANAS!$B$6:$B$71,0)),0)</f>
        <v>147</v>
      </c>
      <c r="AD465" s="19" t="n">
        <f aca="false">IF($AC465&lt;=0,0,$AB465/$AC465)</f>
        <v>0</v>
      </c>
      <c r="AE465" s="8" t="str">
        <f aca="false">IF($K465="SEM CULTURA","SEM CULTURA",IF($AA465&lt;=0,"DADO PENDENTE",IF($AD465&gt;LIMITE_CRITICO,"INVIAVEL",IF($AD465&gt;LIMITE_ATENCAO,"CRITICO",IF($AD465&gt;LIMITE_CONFORTAVEL,"ATENCAO","OK")))))</f>
        <v>SEM CULTURA</v>
      </c>
      <c r="AF465" s="8" t="str">
        <f aca="false">$B465&amp;"|"&amp;TEXT($AD465,"0.000000")</f>
        <v>64|0.000000</v>
      </c>
      <c r="AG465" s="18" t="n">
        <f aca="false">IF($K465="SEM CULTURA",0,$T465*$H465)</f>
        <v>0</v>
      </c>
      <c r="AH465" s="18" t="n">
        <f aca="false">IF($K465="SEM CULTURA",0,$V465*$H465)</f>
        <v>0</v>
      </c>
      <c r="AI465" s="18" t="n">
        <f aca="false">IF($K465="SEM CULTURA",0,$W465*$H465)</f>
        <v>0</v>
      </c>
      <c r="AJ465" s="18" t="n">
        <f aca="false">IF($K465="SEM CULTURA",0,$S465*$H465)</f>
        <v>0</v>
      </c>
      <c r="AK465" s="8" t="str">
        <f aca="false">$E465&amp;"|"&amp;TEXT($AD465,"0.000000")</f>
        <v>PV 102|0.000000</v>
      </c>
    </row>
    <row r="466" customFormat="false" ht="15" hidden="false" customHeight="false" outlineLevel="0" collapsed="false">
      <c r="B466" s="16" t="n">
        <v>65</v>
      </c>
      <c r="C466" s="17" t="n">
        <f aca="false">DATA_INICIO_SAFRA+($B466-1)*DIAS_POR_SEMANA</f>
        <v>46713</v>
      </c>
      <c r="D466" s="17" t="n">
        <f aca="false">$C466+DIAS_POR_SEMANA-1</f>
        <v>46719</v>
      </c>
      <c r="E466" s="15" t="s">
        <v>265</v>
      </c>
      <c r="F466" s="8" t="str">
        <f aca="false">IFERROR(INDEX(CADASTRO_PIVOS!$C$6:$C$41,MATCH($E466,CADASTRO_PIVOS!$B$6:$B$41,0)),"?")</f>
        <v>RM04</v>
      </c>
      <c r="G466" s="8" t="str">
        <f aca="false">IFERROR(INDEX(CADASTRO_PIVOS!$D$6:$D$41,MATCH($E466,CADASTRO_PIVOS!$B$6:$B$41,0)),"?")</f>
        <v>TR04</v>
      </c>
      <c r="H466" s="20" t="n">
        <f aca="false">IFERROR(INDEX(CADASTRO_PIVOS!$E$6:$E$41,MATCH($E466,CADASTRO_PIVOS!$B$6:$B$41,0)),0)</f>
        <v>100.07</v>
      </c>
      <c r="I466" s="16" t="n">
        <f aca="false">IFERROR(SUMIFS(ROTACAO_RDM!$B$6:$B$71,ROTACAO_RDM!$D$6:$D$71,$E466,ROTACAO_RDM!$I$6:$I$71,"&lt;="&amp;$C466+INT(DIAS_POR_SEMANA/2),ROTACAO_RDM!$J$6:$J$71,"&gt;="&amp;$C466+INT(DIAS_POR_SEMANA/2)),0)</f>
        <v>0</v>
      </c>
      <c r="J466" s="16" t="n">
        <f aca="false">IFERROR(MATCH($I466,ROTACAO_RDM!$B$6:$B$71,0),0)</f>
        <v>0</v>
      </c>
      <c r="K466" s="8" t="str">
        <f aca="false">IF($J466=0,"SEM CULTURA",INDEX(ROTACAO_RDM!$F$6:$F$71,$J466))</f>
        <v>SEM CULTURA</v>
      </c>
      <c r="L466" s="8" t="str">
        <f aca="false">IF($J466=0,"",INDEX(ROTACAO_RDM!$G$6:$G$71,$J466))</f>
        <v/>
      </c>
      <c r="M466" s="17" t="str">
        <f aca="false">IF($J466=0,"",INDEX(ROTACAO_RDM!$I$6:$I$71,$J466))</f>
        <v/>
      </c>
      <c r="N466" s="16" t="n">
        <f aca="false">IF($J466=0,0,MAX(0,$C466+INT(DIAS_POR_SEMANA/2)-INDEX(ROTACAO_RDM!$I$6:$I$71,$J466)))</f>
        <v>0</v>
      </c>
      <c r="O466" s="19" t="n">
        <f aca="false">IF($J466=0,0,MIN(1,$N466/MAX(1,INDEX(ROTACAO_RDM!$K$6:$K$71,$J466))))</f>
        <v>0</v>
      </c>
      <c r="P466" s="16" t="n">
        <f aca="false">IF($J466=0,0,IFERROR(MATCH(INDEX(ROTACAO_RDM!$N$6:$N$71,$J466),PARAMETROS_CULTURAS!$B$6:$B$28,0),0))</f>
        <v>0</v>
      </c>
      <c r="Q466" s="8" t="str">
        <f aca="false">IF($P466=0,"-",IF($O466&lt;=INDEX(PARAMETROS_CULTURAS!$F$6:$F$28,$P466),"INICIAL",IF($O466&lt;=INDEX(PARAMETROS_CULTURAS!$F$6:$F$28,$P466)+INDEX(PARAMETROS_CULTURAS!$G$6:$G$28,$P466),"DESENVOLVIMENTO",IF($O466&lt;=INDEX(PARAMETROS_CULTURAS!$F$6:$F$28,$P466)+INDEX(PARAMETROS_CULTURAS!$G$6:$G$28,$P466)+INDEX(PARAMETROS_CULTURAS!$H$6:$H$28,$P466),"MEDIA","FINAL"))))</f>
        <v>-</v>
      </c>
      <c r="R466" s="24" t="n">
        <f aca="false">IF($P466=0,0,IF($O466&lt;=INDEX(PARAMETROS_CULTURAS!$F$6:$F$28,$P466),INDEX(PARAMETROS_CULTURAS!$K$6:$K$28,$P466),IF($O466&lt;=INDEX(PARAMETROS_CULTURAS!$F$6:$F$28,$P466)+INDEX(PARAMETROS_CULTURAS!$G$6:$G$28,$P466),INDEX(PARAMETROS_CULTURAS!$K$6:$K$28,$P466)+(INDEX(PARAMETROS_CULTURAS!$L$6:$L$28,$P466)-INDEX(PARAMETROS_CULTURAS!$K$6:$K$28,$P466))*($O466-INDEX(PARAMETROS_CULTURAS!$F$6:$F$28,$P466))/MAX(INDEX(PARAMETROS_CULTURAS!$G$6:$G$28,$P466),0.0001),IF($O466&lt;=INDEX(PARAMETROS_CULTURAS!$F$6:$F$28,$P466)+INDEX(PARAMETROS_CULTURAS!$G$6:$G$28,$P466)+INDEX(PARAMETROS_CULTURAS!$H$6:$H$28,$P466),INDEX(PARAMETROS_CULTURAS!$L$6:$L$28,$P466),INDEX(PARAMETROS_CULTURAS!$L$6:$L$28,$P466)+(INDEX(PARAMETROS_CULTURAS!$M$6:$M$28,$P466)-INDEX(PARAMETROS_CULTURAS!$L$6:$L$28,$P466))*($O466-INDEX(PARAMETROS_CULTURAS!$F$6:$F$28,$P466)-INDEX(PARAMETROS_CULTURAS!$G$6:$G$28,$P466)-INDEX(PARAMETROS_CULTURAS!$H$6:$H$28,$P466))/MAX(INDEX(PARAMETROS_CULTURAS!$I$6:$I$28,$P466),0.0001)))))</f>
        <v>0</v>
      </c>
      <c r="S466" s="18" t="n">
        <f aca="false">IFERROR(INDEX(SEMANAS!$H$6:$H$71,MATCH($B466,SEMANAS!$B$6:$B$71,0)),0)</f>
        <v>34.3</v>
      </c>
      <c r="T466" s="18" t="n">
        <f aca="false">$R466*$S466</f>
        <v>0</v>
      </c>
      <c r="U466" s="18" t="n">
        <f aca="false">IFERROR(INDEX(SEMANAS!$I$6:$I$71,MATCH($B466,SEMANAS!$B$6:$B$71,0)),0)</f>
        <v>46.69</v>
      </c>
      <c r="V466" s="18" t="n">
        <f aca="false">IFERROR(INDEX(SEMANAS!$J$6:$J$71,MATCH($B466,SEMANAS!$B$6:$B$71,0)),0)</f>
        <v>37.352</v>
      </c>
      <c r="W466" s="18" t="n">
        <f aca="false">MAX(0,$T466-$V466)</f>
        <v>0</v>
      </c>
      <c r="X466" s="19" t="n">
        <f aca="false">IFERROR(INDEX(CADASTRO_PIVOS!$K$6:$K$41,MATCH($E466,CADASTRO_PIVOS!$B$6:$B$41,0)),EFICIENCIA_PADRAO)</f>
        <v>0.85</v>
      </c>
      <c r="Y466" s="18" t="n">
        <f aca="false">IF($X466&lt;=0,0,$W466/$X466)</f>
        <v>0</v>
      </c>
      <c r="Z466" s="16" t="n">
        <f aca="false">$Y466*$H466*MM_PARA_M3_HA</f>
        <v>0</v>
      </c>
      <c r="AA466" s="18" t="n">
        <f aca="false">IFERROR(INDEX(CADASTRO_PIVOS!$I$6:$I$41,MATCH($E466,CADASTRO_PIVOS!$B$6:$B$41,0)),0)</f>
        <v>714.785714285714</v>
      </c>
      <c r="AB466" s="18" t="n">
        <f aca="false">IF($Z466&lt;=0,0,$Z466/$AA466)</f>
        <v>0</v>
      </c>
      <c r="AC466" s="16" t="n">
        <f aca="false">IFERROR(INDEX(SEMANAS!$K$6:$K$71,MATCH($B466,SEMANAS!$B$6:$B$71,0)),0)</f>
        <v>147</v>
      </c>
      <c r="AD466" s="19" t="n">
        <f aca="false">IF($AC466&lt;=0,0,$AB466/$AC466)</f>
        <v>0</v>
      </c>
      <c r="AE466" s="8" t="str">
        <f aca="false">IF($K466="SEM CULTURA","SEM CULTURA",IF($AA466&lt;=0,"DADO PENDENTE",IF($AD466&gt;LIMITE_CRITICO,"INVIAVEL",IF($AD466&gt;LIMITE_ATENCAO,"CRITICO",IF($AD466&gt;LIMITE_CONFORTAVEL,"ATENCAO","OK")))))</f>
        <v>SEM CULTURA</v>
      </c>
      <c r="AF466" s="8" t="str">
        <f aca="false">$B466&amp;"|"&amp;TEXT($AD466,"0.000000")</f>
        <v>65|0.000000</v>
      </c>
      <c r="AG466" s="18" t="n">
        <f aca="false">IF($K466="SEM CULTURA",0,$T466*$H466)</f>
        <v>0</v>
      </c>
      <c r="AH466" s="18" t="n">
        <f aca="false">IF($K466="SEM CULTURA",0,$V466*$H466)</f>
        <v>0</v>
      </c>
      <c r="AI466" s="18" t="n">
        <f aca="false">IF($K466="SEM CULTURA",0,$W466*$H466)</f>
        <v>0</v>
      </c>
      <c r="AJ466" s="18" t="n">
        <f aca="false">IF($K466="SEM CULTURA",0,$S466*$H466)</f>
        <v>0</v>
      </c>
      <c r="AK466" s="8" t="str">
        <f aca="false">$E466&amp;"|"&amp;TEXT($AD466,"0.000000")</f>
        <v>PV 102|0.000000</v>
      </c>
    </row>
    <row r="467" customFormat="false" ht="15" hidden="false" customHeight="false" outlineLevel="0" collapsed="false">
      <c r="B467" s="16" t="n">
        <v>66</v>
      </c>
      <c r="C467" s="17" t="n">
        <f aca="false">DATA_INICIO_SAFRA+($B467-1)*DIAS_POR_SEMANA</f>
        <v>46720</v>
      </c>
      <c r="D467" s="17" t="n">
        <f aca="false">$C467+DIAS_POR_SEMANA-1</f>
        <v>46726</v>
      </c>
      <c r="E467" s="15" t="s">
        <v>265</v>
      </c>
      <c r="F467" s="8" t="str">
        <f aca="false">IFERROR(INDEX(CADASTRO_PIVOS!$C$6:$C$41,MATCH($E467,CADASTRO_PIVOS!$B$6:$B$41,0)),"?")</f>
        <v>RM04</v>
      </c>
      <c r="G467" s="8" t="str">
        <f aca="false">IFERROR(INDEX(CADASTRO_PIVOS!$D$6:$D$41,MATCH($E467,CADASTRO_PIVOS!$B$6:$B$41,0)),"?")</f>
        <v>TR04</v>
      </c>
      <c r="H467" s="20" t="n">
        <f aca="false">IFERROR(INDEX(CADASTRO_PIVOS!$E$6:$E$41,MATCH($E467,CADASTRO_PIVOS!$B$6:$B$41,0)),0)</f>
        <v>100.07</v>
      </c>
      <c r="I467" s="16" t="n">
        <f aca="false">IFERROR(SUMIFS(ROTACAO_RDM!$B$6:$B$71,ROTACAO_RDM!$D$6:$D$71,$E467,ROTACAO_RDM!$I$6:$I$71,"&lt;="&amp;$C467+INT(DIAS_POR_SEMANA/2),ROTACAO_RDM!$J$6:$J$71,"&gt;="&amp;$C467+INT(DIAS_POR_SEMANA/2)),0)</f>
        <v>0</v>
      </c>
      <c r="J467" s="16" t="n">
        <f aca="false">IFERROR(MATCH($I467,ROTACAO_RDM!$B$6:$B$71,0),0)</f>
        <v>0</v>
      </c>
      <c r="K467" s="8" t="str">
        <f aca="false">IF($J467=0,"SEM CULTURA",INDEX(ROTACAO_RDM!$F$6:$F$71,$J467))</f>
        <v>SEM CULTURA</v>
      </c>
      <c r="L467" s="8" t="str">
        <f aca="false">IF($J467=0,"",INDEX(ROTACAO_RDM!$G$6:$G$71,$J467))</f>
        <v/>
      </c>
      <c r="M467" s="17" t="str">
        <f aca="false">IF($J467=0,"",INDEX(ROTACAO_RDM!$I$6:$I$71,$J467))</f>
        <v/>
      </c>
      <c r="N467" s="16" t="n">
        <f aca="false">IF($J467=0,0,MAX(0,$C467+INT(DIAS_POR_SEMANA/2)-INDEX(ROTACAO_RDM!$I$6:$I$71,$J467)))</f>
        <v>0</v>
      </c>
      <c r="O467" s="19" t="n">
        <f aca="false">IF($J467=0,0,MIN(1,$N467/MAX(1,INDEX(ROTACAO_RDM!$K$6:$K$71,$J467))))</f>
        <v>0</v>
      </c>
      <c r="P467" s="16" t="n">
        <f aca="false">IF($J467=0,0,IFERROR(MATCH(INDEX(ROTACAO_RDM!$N$6:$N$71,$J467),PARAMETROS_CULTURAS!$B$6:$B$28,0),0))</f>
        <v>0</v>
      </c>
      <c r="Q467" s="8" t="str">
        <f aca="false">IF($P467=0,"-",IF($O467&lt;=INDEX(PARAMETROS_CULTURAS!$F$6:$F$28,$P467),"INICIAL",IF($O467&lt;=INDEX(PARAMETROS_CULTURAS!$F$6:$F$28,$P467)+INDEX(PARAMETROS_CULTURAS!$G$6:$G$28,$P467),"DESENVOLVIMENTO",IF($O467&lt;=INDEX(PARAMETROS_CULTURAS!$F$6:$F$28,$P467)+INDEX(PARAMETROS_CULTURAS!$G$6:$G$28,$P467)+INDEX(PARAMETROS_CULTURAS!$H$6:$H$28,$P467),"MEDIA","FINAL"))))</f>
        <v>-</v>
      </c>
      <c r="R467" s="24" t="n">
        <f aca="false">IF($P467=0,0,IF($O467&lt;=INDEX(PARAMETROS_CULTURAS!$F$6:$F$28,$P467),INDEX(PARAMETROS_CULTURAS!$K$6:$K$28,$P467),IF($O467&lt;=INDEX(PARAMETROS_CULTURAS!$F$6:$F$28,$P467)+INDEX(PARAMETROS_CULTURAS!$G$6:$G$28,$P467),INDEX(PARAMETROS_CULTURAS!$K$6:$K$28,$P467)+(INDEX(PARAMETROS_CULTURAS!$L$6:$L$28,$P467)-INDEX(PARAMETROS_CULTURAS!$K$6:$K$28,$P467))*($O467-INDEX(PARAMETROS_CULTURAS!$F$6:$F$28,$P467))/MAX(INDEX(PARAMETROS_CULTURAS!$G$6:$G$28,$P467),0.0001),IF($O467&lt;=INDEX(PARAMETROS_CULTURAS!$F$6:$F$28,$P467)+INDEX(PARAMETROS_CULTURAS!$G$6:$G$28,$P467)+INDEX(PARAMETROS_CULTURAS!$H$6:$H$28,$P467),INDEX(PARAMETROS_CULTURAS!$L$6:$L$28,$P467),INDEX(PARAMETROS_CULTURAS!$L$6:$L$28,$P467)+(INDEX(PARAMETROS_CULTURAS!$M$6:$M$28,$P467)-INDEX(PARAMETROS_CULTURAS!$L$6:$L$28,$P467))*($O467-INDEX(PARAMETROS_CULTURAS!$F$6:$F$28,$P467)-INDEX(PARAMETROS_CULTURAS!$G$6:$G$28,$P467)-INDEX(PARAMETROS_CULTURAS!$H$6:$H$28,$P467))/MAX(INDEX(PARAMETROS_CULTURAS!$I$6:$I$28,$P467),0.0001)))))</f>
        <v>0</v>
      </c>
      <c r="S467" s="18" t="n">
        <f aca="false">IFERROR(INDEX(SEMANAS!$H$6:$H$71,MATCH($B467,SEMANAS!$B$6:$B$71,0)),0)</f>
        <v>33.3</v>
      </c>
      <c r="T467" s="18" t="n">
        <f aca="false">$R467*$S467</f>
        <v>0</v>
      </c>
      <c r="U467" s="18" t="n">
        <f aca="false">IFERROR(INDEX(SEMANAS!$I$6:$I$71,MATCH($B467,SEMANAS!$B$6:$B$71,0)),0)</f>
        <v>48.04</v>
      </c>
      <c r="V467" s="18" t="n">
        <f aca="false">IFERROR(INDEX(SEMANAS!$J$6:$J$71,MATCH($B467,SEMANAS!$B$6:$B$71,0)),0)</f>
        <v>38.432</v>
      </c>
      <c r="W467" s="18" t="n">
        <f aca="false">MAX(0,$T467-$V467)</f>
        <v>0</v>
      </c>
      <c r="X467" s="19" t="n">
        <f aca="false">IFERROR(INDEX(CADASTRO_PIVOS!$K$6:$K$41,MATCH($E467,CADASTRO_PIVOS!$B$6:$B$41,0)),EFICIENCIA_PADRAO)</f>
        <v>0.85</v>
      </c>
      <c r="Y467" s="18" t="n">
        <f aca="false">IF($X467&lt;=0,0,$W467/$X467)</f>
        <v>0</v>
      </c>
      <c r="Z467" s="16" t="n">
        <f aca="false">$Y467*$H467*MM_PARA_M3_HA</f>
        <v>0</v>
      </c>
      <c r="AA467" s="18" t="n">
        <f aca="false">IFERROR(INDEX(CADASTRO_PIVOS!$I$6:$I$41,MATCH($E467,CADASTRO_PIVOS!$B$6:$B$41,0)),0)</f>
        <v>714.785714285714</v>
      </c>
      <c r="AB467" s="18" t="n">
        <f aca="false">IF($Z467&lt;=0,0,$Z467/$AA467)</f>
        <v>0</v>
      </c>
      <c r="AC467" s="16" t="n">
        <f aca="false">IFERROR(INDEX(SEMANAS!$K$6:$K$71,MATCH($B467,SEMANAS!$B$6:$B$71,0)),0)</f>
        <v>147</v>
      </c>
      <c r="AD467" s="19" t="n">
        <f aca="false">IF($AC467&lt;=0,0,$AB467/$AC467)</f>
        <v>0</v>
      </c>
      <c r="AE467" s="8" t="str">
        <f aca="false">IF($K467="SEM CULTURA","SEM CULTURA",IF($AA467&lt;=0,"DADO PENDENTE",IF($AD467&gt;LIMITE_CRITICO,"INVIAVEL",IF($AD467&gt;LIMITE_ATENCAO,"CRITICO",IF($AD467&gt;LIMITE_CONFORTAVEL,"ATENCAO","OK")))))</f>
        <v>SEM CULTURA</v>
      </c>
      <c r="AF467" s="8" t="str">
        <f aca="false">$B467&amp;"|"&amp;TEXT($AD467,"0.000000")</f>
        <v>66|0.000000</v>
      </c>
      <c r="AG467" s="18" t="n">
        <f aca="false">IF($K467="SEM CULTURA",0,$T467*$H467)</f>
        <v>0</v>
      </c>
      <c r="AH467" s="18" t="n">
        <f aca="false">IF($K467="SEM CULTURA",0,$V467*$H467)</f>
        <v>0</v>
      </c>
      <c r="AI467" s="18" t="n">
        <f aca="false">IF($K467="SEM CULTURA",0,$W467*$H467)</f>
        <v>0</v>
      </c>
      <c r="AJ467" s="18" t="n">
        <f aca="false">IF($K467="SEM CULTURA",0,$S467*$H467)</f>
        <v>0</v>
      </c>
      <c r="AK467" s="8" t="str">
        <f aca="false">$E467&amp;"|"&amp;TEXT($AD467,"0.000000")</f>
        <v>PV 102|0.000000</v>
      </c>
    </row>
    <row r="468" customFormat="false" ht="15" hidden="false" customHeight="false" outlineLevel="0" collapsed="false">
      <c r="B468" s="16" t="n">
        <v>1</v>
      </c>
      <c r="C468" s="17" t="n">
        <f aca="false">DATA_INICIO_SAFRA+($B468-1)*DIAS_POR_SEMANA</f>
        <v>46265</v>
      </c>
      <c r="D468" s="17" t="n">
        <f aca="false">$C468+DIAS_POR_SEMANA-1</f>
        <v>46271</v>
      </c>
      <c r="E468" s="15" t="s">
        <v>266</v>
      </c>
      <c r="F468" s="8" t="str">
        <f aca="false">IFERROR(INDEX(CADASTRO_PIVOS!$C$6:$C$41,MATCH($E468,CADASTRO_PIVOS!$B$6:$B$41,0)),"?")</f>
        <v>RM04</v>
      </c>
      <c r="G468" s="8" t="str">
        <f aca="false">IFERROR(INDEX(CADASTRO_PIVOS!$D$6:$D$41,MATCH($E468,CADASTRO_PIVOS!$B$6:$B$41,0)),"?")</f>
        <v>TR04</v>
      </c>
      <c r="H468" s="20" t="n">
        <f aca="false">IFERROR(INDEX(CADASTRO_PIVOS!$E$6:$E$41,MATCH($E468,CADASTRO_PIVOS!$B$6:$B$41,0)),0)</f>
        <v>99.76</v>
      </c>
      <c r="I468" s="16" t="n">
        <f aca="false">IFERROR(SUMIFS(ROTACAO_RDM!$B$6:$B$71,ROTACAO_RDM!$D$6:$D$71,$E468,ROTACAO_RDM!$I$6:$I$71,"&lt;="&amp;$C468+INT(DIAS_POR_SEMANA/2),ROTACAO_RDM!$J$6:$J$71,"&gt;="&amp;$C468+INT(DIAS_POR_SEMANA/2)),0)</f>
        <v>0</v>
      </c>
      <c r="J468" s="16" t="n">
        <f aca="false">IFERROR(MATCH($I468,ROTACAO_RDM!$B$6:$B$71,0),0)</f>
        <v>0</v>
      </c>
      <c r="K468" s="8" t="str">
        <f aca="false">IF($J468=0,"SEM CULTURA",INDEX(ROTACAO_RDM!$F$6:$F$71,$J468))</f>
        <v>SEM CULTURA</v>
      </c>
      <c r="L468" s="8" t="str">
        <f aca="false">IF($J468=0,"",INDEX(ROTACAO_RDM!$G$6:$G$71,$J468))</f>
        <v/>
      </c>
      <c r="M468" s="17" t="str">
        <f aca="false">IF($J468=0,"",INDEX(ROTACAO_RDM!$I$6:$I$71,$J468))</f>
        <v/>
      </c>
      <c r="N468" s="16" t="n">
        <f aca="false">IF($J468=0,0,MAX(0,$C468+INT(DIAS_POR_SEMANA/2)-INDEX(ROTACAO_RDM!$I$6:$I$71,$J468)))</f>
        <v>0</v>
      </c>
      <c r="O468" s="19" t="n">
        <f aca="false">IF($J468=0,0,MIN(1,$N468/MAX(1,INDEX(ROTACAO_RDM!$K$6:$K$71,$J468))))</f>
        <v>0</v>
      </c>
      <c r="P468" s="16" t="n">
        <f aca="false">IF($J468=0,0,IFERROR(MATCH(INDEX(ROTACAO_RDM!$N$6:$N$71,$J468),PARAMETROS_CULTURAS!$B$6:$B$28,0),0))</f>
        <v>0</v>
      </c>
      <c r="Q468" s="8" t="str">
        <f aca="false">IF($P468=0,"-",IF($O468&lt;=INDEX(PARAMETROS_CULTURAS!$F$6:$F$28,$P468),"INICIAL",IF($O468&lt;=INDEX(PARAMETROS_CULTURAS!$F$6:$F$28,$P468)+INDEX(PARAMETROS_CULTURAS!$G$6:$G$28,$P468),"DESENVOLVIMENTO",IF($O468&lt;=INDEX(PARAMETROS_CULTURAS!$F$6:$F$28,$P468)+INDEX(PARAMETROS_CULTURAS!$G$6:$G$28,$P468)+INDEX(PARAMETROS_CULTURAS!$H$6:$H$28,$P468),"MEDIA","FINAL"))))</f>
        <v>-</v>
      </c>
      <c r="R468" s="24" t="n">
        <f aca="false">IF($P468=0,0,IF($O468&lt;=INDEX(PARAMETROS_CULTURAS!$F$6:$F$28,$P468),INDEX(PARAMETROS_CULTURAS!$K$6:$K$28,$P468),IF($O468&lt;=INDEX(PARAMETROS_CULTURAS!$F$6:$F$28,$P468)+INDEX(PARAMETROS_CULTURAS!$G$6:$G$28,$P468),INDEX(PARAMETROS_CULTURAS!$K$6:$K$28,$P468)+(INDEX(PARAMETROS_CULTURAS!$L$6:$L$28,$P468)-INDEX(PARAMETROS_CULTURAS!$K$6:$K$28,$P468))*($O468-INDEX(PARAMETROS_CULTURAS!$F$6:$F$28,$P468))/MAX(INDEX(PARAMETROS_CULTURAS!$G$6:$G$28,$P468),0.0001),IF($O468&lt;=INDEX(PARAMETROS_CULTURAS!$F$6:$F$28,$P468)+INDEX(PARAMETROS_CULTURAS!$G$6:$G$28,$P468)+INDEX(PARAMETROS_CULTURAS!$H$6:$H$28,$P468),INDEX(PARAMETROS_CULTURAS!$L$6:$L$28,$P468),INDEX(PARAMETROS_CULTURAS!$L$6:$L$28,$P468)+(INDEX(PARAMETROS_CULTURAS!$M$6:$M$28,$P468)-INDEX(PARAMETROS_CULTURAS!$L$6:$L$28,$P468))*($O468-INDEX(PARAMETROS_CULTURAS!$F$6:$F$28,$P468)-INDEX(PARAMETROS_CULTURAS!$G$6:$G$28,$P468)-INDEX(PARAMETROS_CULTURAS!$H$6:$H$28,$P468))/MAX(INDEX(PARAMETROS_CULTURAS!$I$6:$I$28,$P468),0.0001)))))</f>
        <v>0</v>
      </c>
      <c r="S468" s="18" t="n">
        <f aca="false">IFERROR(INDEX(SEMANAS!$H$6:$H$71,MATCH($B468,SEMANAS!$B$6:$B$71,0)),0)</f>
        <v>40</v>
      </c>
      <c r="T468" s="18" t="n">
        <f aca="false">$R468*$S468</f>
        <v>0</v>
      </c>
      <c r="U468" s="18" t="n">
        <f aca="false">IFERROR(INDEX(SEMANAS!$I$6:$I$71,MATCH($B468,SEMANAS!$B$6:$B$71,0)),0)</f>
        <v>6.16</v>
      </c>
      <c r="V468" s="18" t="n">
        <f aca="false">IFERROR(INDEX(SEMANAS!$J$6:$J$71,MATCH($B468,SEMANAS!$B$6:$B$71,0)),0)</f>
        <v>4.928</v>
      </c>
      <c r="W468" s="18" t="n">
        <f aca="false">MAX(0,$T468-$V468)</f>
        <v>0</v>
      </c>
      <c r="X468" s="19" t="n">
        <f aca="false">IFERROR(INDEX(CADASTRO_PIVOS!$K$6:$K$41,MATCH($E468,CADASTRO_PIVOS!$B$6:$B$41,0)),EFICIENCIA_PADRAO)</f>
        <v>0.85</v>
      </c>
      <c r="Y468" s="18" t="n">
        <f aca="false">IF($X468&lt;=0,0,$W468/$X468)</f>
        <v>0</v>
      </c>
      <c r="Z468" s="16" t="n">
        <f aca="false">$Y468*$H468*MM_PARA_M3_HA</f>
        <v>0</v>
      </c>
      <c r="AA468" s="18" t="n">
        <f aca="false">IFERROR(INDEX(CADASTRO_PIVOS!$I$6:$I$41,MATCH($E468,CADASTRO_PIVOS!$B$6:$B$41,0)),0)</f>
        <v>712.571428571429</v>
      </c>
      <c r="AB468" s="18" t="n">
        <f aca="false">IF($Z468&lt;=0,0,$Z468/$AA468)</f>
        <v>0</v>
      </c>
      <c r="AC468" s="16" t="n">
        <f aca="false">IFERROR(INDEX(SEMANAS!$K$6:$K$71,MATCH($B468,SEMANAS!$B$6:$B$71,0)),0)</f>
        <v>147</v>
      </c>
      <c r="AD468" s="19" t="n">
        <f aca="false">IF($AC468&lt;=0,0,$AB468/$AC468)</f>
        <v>0</v>
      </c>
      <c r="AE468" s="8" t="str">
        <f aca="false">IF($K468="SEM CULTURA","SEM CULTURA",IF($AA468&lt;=0,"DADO PENDENTE",IF($AD468&gt;LIMITE_CRITICO,"INVIAVEL",IF($AD468&gt;LIMITE_ATENCAO,"CRITICO",IF($AD468&gt;LIMITE_CONFORTAVEL,"ATENCAO","OK")))))</f>
        <v>SEM CULTURA</v>
      </c>
      <c r="AF468" s="8" t="str">
        <f aca="false">$B468&amp;"|"&amp;TEXT($AD468,"0.000000")</f>
        <v>1|0.000000</v>
      </c>
      <c r="AG468" s="18" t="n">
        <f aca="false">IF($K468="SEM CULTURA",0,$T468*$H468)</f>
        <v>0</v>
      </c>
      <c r="AH468" s="18" t="n">
        <f aca="false">IF($K468="SEM CULTURA",0,$V468*$H468)</f>
        <v>0</v>
      </c>
      <c r="AI468" s="18" t="n">
        <f aca="false">IF($K468="SEM CULTURA",0,$W468*$H468)</f>
        <v>0</v>
      </c>
      <c r="AJ468" s="18" t="n">
        <f aca="false">IF($K468="SEM CULTURA",0,$S468*$H468)</f>
        <v>0</v>
      </c>
      <c r="AK468" s="8" t="str">
        <f aca="false">$E468&amp;"|"&amp;TEXT($AD468,"0.000000")</f>
        <v>PV 103|0.000000</v>
      </c>
    </row>
    <row r="469" customFormat="false" ht="15" hidden="false" customHeight="false" outlineLevel="0" collapsed="false">
      <c r="B469" s="16" t="n">
        <v>2</v>
      </c>
      <c r="C469" s="17" t="n">
        <f aca="false">DATA_INICIO_SAFRA+($B469-1)*DIAS_POR_SEMANA</f>
        <v>46272</v>
      </c>
      <c r="D469" s="17" t="n">
        <f aca="false">$C469+DIAS_POR_SEMANA-1</f>
        <v>46278</v>
      </c>
      <c r="E469" s="15" t="s">
        <v>266</v>
      </c>
      <c r="F469" s="8" t="str">
        <f aca="false">IFERROR(INDEX(CADASTRO_PIVOS!$C$6:$C$41,MATCH($E469,CADASTRO_PIVOS!$B$6:$B$41,0)),"?")</f>
        <v>RM04</v>
      </c>
      <c r="G469" s="8" t="str">
        <f aca="false">IFERROR(INDEX(CADASTRO_PIVOS!$D$6:$D$41,MATCH($E469,CADASTRO_PIVOS!$B$6:$B$41,0)),"?")</f>
        <v>TR04</v>
      </c>
      <c r="H469" s="20" t="n">
        <f aca="false">IFERROR(INDEX(CADASTRO_PIVOS!$E$6:$E$41,MATCH($E469,CADASTRO_PIVOS!$B$6:$B$41,0)),0)</f>
        <v>99.76</v>
      </c>
      <c r="I469" s="16" t="n">
        <f aca="false">IFERROR(SUMIFS(ROTACAO_RDM!$B$6:$B$71,ROTACAO_RDM!$D$6:$D$71,$E469,ROTACAO_RDM!$I$6:$I$71,"&lt;="&amp;$C469+INT(DIAS_POR_SEMANA/2),ROTACAO_RDM!$J$6:$J$71,"&gt;="&amp;$C469+INT(DIAS_POR_SEMANA/2)),0)</f>
        <v>0</v>
      </c>
      <c r="J469" s="16" t="n">
        <f aca="false">IFERROR(MATCH($I469,ROTACAO_RDM!$B$6:$B$71,0),0)</f>
        <v>0</v>
      </c>
      <c r="K469" s="8" t="str">
        <f aca="false">IF($J469=0,"SEM CULTURA",INDEX(ROTACAO_RDM!$F$6:$F$71,$J469))</f>
        <v>SEM CULTURA</v>
      </c>
      <c r="L469" s="8" t="str">
        <f aca="false">IF($J469=0,"",INDEX(ROTACAO_RDM!$G$6:$G$71,$J469))</f>
        <v/>
      </c>
      <c r="M469" s="17" t="str">
        <f aca="false">IF($J469=0,"",INDEX(ROTACAO_RDM!$I$6:$I$71,$J469))</f>
        <v/>
      </c>
      <c r="N469" s="16" t="n">
        <f aca="false">IF($J469=0,0,MAX(0,$C469+INT(DIAS_POR_SEMANA/2)-INDEX(ROTACAO_RDM!$I$6:$I$71,$J469)))</f>
        <v>0</v>
      </c>
      <c r="O469" s="19" t="n">
        <f aca="false">IF($J469=0,0,MIN(1,$N469/MAX(1,INDEX(ROTACAO_RDM!$K$6:$K$71,$J469))))</f>
        <v>0</v>
      </c>
      <c r="P469" s="16" t="n">
        <f aca="false">IF($J469=0,0,IFERROR(MATCH(INDEX(ROTACAO_RDM!$N$6:$N$71,$J469),PARAMETROS_CULTURAS!$B$6:$B$28,0),0))</f>
        <v>0</v>
      </c>
      <c r="Q469" s="8" t="str">
        <f aca="false">IF($P469=0,"-",IF($O469&lt;=INDEX(PARAMETROS_CULTURAS!$F$6:$F$28,$P469),"INICIAL",IF($O469&lt;=INDEX(PARAMETROS_CULTURAS!$F$6:$F$28,$P469)+INDEX(PARAMETROS_CULTURAS!$G$6:$G$28,$P469),"DESENVOLVIMENTO",IF($O469&lt;=INDEX(PARAMETROS_CULTURAS!$F$6:$F$28,$P469)+INDEX(PARAMETROS_CULTURAS!$G$6:$G$28,$P469)+INDEX(PARAMETROS_CULTURAS!$H$6:$H$28,$P469),"MEDIA","FINAL"))))</f>
        <v>-</v>
      </c>
      <c r="R469" s="24" t="n">
        <f aca="false">IF($P469=0,0,IF($O469&lt;=INDEX(PARAMETROS_CULTURAS!$F$6:$F$28,$P469),INDEX(PARAMETROS_CULTURAS!$K$6:$K$28,$P469),IF($O469&lt;=INDEX(PARAMETROS_CULTURAS!$F$6:$F$28,$P469)+INDEX(PARAMETROS_CULTURAS!$G$6:$G$28,$P469),INDEX(PARAMETROS_CULTURAS!$K$6:$K$28,$P469)+(INDEX(PARAMETROS_CULTURAS!$L$6:$L$28,$P469)-INDEX(PARAMETROS_CULTURAS!$K$6:$K$28,$P469))*($O469-INDEX(PARAMETROS_CULTURAS!$F$6:$F$28,$P469))/MAX(INDEX(PARAMETROS_CULTURAS!$G$6:$G$28,$P469),0.0001),IF($O469&lt;=INDEX(PARAMETROS_CULTURAS!$F$6:$F$28,$P469)+INDEX(PARAMETROS_CULTURAS!$G$6:$G$28,$P469)+INDEX(PARAMETROS_CULTURAS!$H$6:$H$28,$P469),INDEX(PARAMETROS_CULTURAS!$L$6:$L$28,$P469),INDEX(PARAMETROS_CULTURAS!$L$6:$L$28,$P469)+(INDEX(PARAMETROS_CULTURAS!$M$6:$M$28,$P469)-INDEX(PARAMETROS_CULTURAS!$L$6:$L$28,$P469))*($O469-INDEX(PARAMETROS_CULTURAS!$F$6:$F$28,$P469)-INDEX(PARAMETROS_CULTURAS!$G$6:$G$28,$P469)-INDEX(PARAMETROS_CULTURAS!$H$6:$H$28,$P469))/MAX(INDEX(PARAMETROS_CULTURAS!$I$6:$I$28,$P469),0.0001)))))</f>
        <v>0</v>
      </c>
      <c r="S469" s="18" t="n">
        <f aca="false">IFERROR(INDEX(SEMANAS!$H$6:$H$71,MATCH($B469,SEMANAS!$B$6:$B$71,0)),0)</f>
        <v>40.6</v>
      </c>
      <c r="T469" s="18" t="n">
        <f aca="false">$R469*$S469</f>
        <v>0</v>
      </c>
      <c r="U469" s="18" t="n">
        <f aca="false">IFERROR(INDEX(SEMANAS!$I$6:$I$71,MATCH($B469,SEMANAS!$B$6:$B$71,0)),0)</f>
        <v>7</v>
      </c>
      <c r="V469" s="18" t="n">
        <f aca="false">IFERROR(INDEX(SEMANAS!$J$6:$J$71,MATCH($B469,SEMANAS!$B$6:$B$71,0)),0)</f>
        <v>5.6</v>
      </c>
      <c r="W469" s="18" t="n">
        <f aca="false">MAX(0,$T469-$V469)</f>
        <v>0</v>
      </c>
      <c r="X469" s="19" t="n">
        <f aca="false">IFERROR(INDEX(CADASTRO_PIVOS!$K$6:$K$41,MATCH($E469,CADASTRO_PIVOS!$B$6:$B$41,0)),EFICIENCIA_PADRAO)</f>
        <v>0.85</v>
      </c>
      <c r="Y469" s="18" t="n">
        <f aca="false">IF($X469&lt;=0,0,$W469/$X469)</f>
        <v>0</v>
      </c>
      <c r="Z469" s="16" t="n">
        <f aca="false">$Y469*$H469*MM_PARA_M3_HA</f>
        <v>0</v>
      </c>
      <c r="AA469" s="18" t="n">
        <f aca="false">IFERROR(INDEX(CADASTRO_PIVOS!$I$6:$I$41,MATCH($E469,CADASTRO_PIVOS!$B$6:$B$41,0)),0)</f>
        <v>712.571428571429</v>
      </c>
      <c r="AB469" s="18" t="n">
        <f aca="false">IF($Z469&lt;=0,0,$Z469/$AA469)</f>
        <v>0</v>
      </c>
      <c r="AC469" s="16" t="n">
        <f aca="false">IFERROR(INDEX(SEMANAS!$K$6:$K$71,MATCH($B469,SEMANAS!$B$6:$B$71,0)),0)</f>
        <v>147</v>
      </c>
      <c r="AD469" s="19" t="n">
        <f aca="false">IF($AC469&lt;=0,0,$AB469/$AC469)</f>
        <v>0</v>
      </c>
      <c r="AE469" s="8" t="str">
        <f aca="false">IF($K469="SEM CULTURA","SEM CULTURA",IF($AA469&lt;=0,"DADO PENDENTE",IF($AD469&gt;LIMITE_CRITICO,"INVIAVEL",IF($AD469&gt;LIMITE_ATENCAO,"CRITICO",IF($AD469&gt;LIMITE_CONFORTAVEL,"ATENCAO","OK")))))</f>
        <v>SEM CULTURA</v>
      </c>
      <c r="AF469" s="8" t="str">
        <f aca="false">$B469&amp;"|"&amp;TEXT($AD469,"0.000000")</f>
        <v>2|0.000000</v>
      </c>
      <c r="AG469" s="18" t="n">
        <f aca="false">IF($K469="SEM CULTURA",0,$T469*$H469)</f>
        <v>0</v>
      </c>
      <c r="AH469" s="18" t="n">
        <f aca="false">IF($K469="SEM CULTURA",0,$V469*$H469)</f>
        <v>0</v>
      </c>
      <c r="AI469" s="18" t="n">
        <f aca="false">IF($K469="SEM CULTURA",0,$W469*$H469)</f>
        <v>0</v>
      </c>
      <c r="AJ469" s="18" t="n">
        <f aca="false">IF($K469="SEM CULTURA",0,$S469*$H469)</f>
        <v>0</v>
      </c>
      <c r="AK469" s="8" t="str">
        <f aca="false">$E469&amp;"|"&amp;TEXT($AD469,"0.000000")</f>
        <v>PV 103|0.000000</v>
      </c>
    </row>
    <row r="470" customFormat="false" ht="15" hidden="false" customHeight="false" outlineLevel="0" collapsed="false">
      <c r="B470" s="16" t="n">
        <v>3</v>
      </c>
      <c r="C470" s="17" t="n">
        <f aca="false">DATA_INICIO_SAFRA+($B470-1)*DIAS_POR_SEMANA</f>
        <v>46279</v>
      </c>
      <c r="D470" s="17" t="n">
        <f aca="false">$C470+DIAS_POR_SEMANA-1</f>
        <v>46285</v>
      </c>
      <c r="E470" s="15" t="s">
        <v>266</v>
      </c>
      <c r="F470" s="8" t="str">
        <f aca="false">IFERROR(INDEX(CADASTRO_PIVOS!$C$6:$C$41,MATCH($E470,CADASTRO_PIVOS!$B$6:$B$41,0)),"?")</f>
        <v>RM04</v>
      </c>
      <c r="G470" s="8" t="str">
        <f aca="false">IFERROR(INDEX(CADASTRO_PIVOS!$D$6:$D$41,MATCH($E470,CADASTRO_PIVOS!$B$6:$B$41,0)),"?")</f>
        <v>TR04</v>
      </c>
      <c r="H470" s="20" t="n">
        <f aca="false">IFERROR(INDEX(CADASTRO_PIVOS!$E$6:$E$41,MATCH($E470,CADASTRO_PIVOS!$B$6:$B$41,0)),0)</f>
        <v>99.76</v>
      </c>
      <c r="I470" s="16" t="n">
        <f aca="false">IFERROR(SUMIFS(ROTACAO_RDM!$B$6:$B$71,ROTACAO_RDM!$D$6:$D$71,$E470,ROTACAO_RDM!$I$6:$I$71,"&lt;="&amp;$C470+INT(DIAS_POR_SEMANA/2),ROTACAO_RDM!$J$6:$J$71,"&gt;="&amp;$C470+INT(DIAS_POR_SEMANA/2)),0)</f>
        <v>0</v>
      </c>
      <c r="J470" s="16" t="n">
        <f aca="false">IFERROR(MATCH($I470,ROTACAO_RDM!$B$6:$B$71,0),0)</f>
        <v>0</v>
      </c>
      <c r="K470" s="8" t="str">
        <f aca="false">IF($J470=0,"SEM CULTURA",INDEX(ROTACAO_RDM!$F$6:$F$71,$J470))</f>
        <v>SEM CULTURA</v>
      </c>
      <c r="L470" s="8" t="str">
        <f aca="false">IF($J470=0,"",INDEX(ROTACAO_RDM!$G$6:$G$71,$J470))</f>
        <v/>
      </c>
      <c r="M470" s="17" t="str">
        <f aca="false">IF($J470=0,"",INDEX(ROTACAO_RDM!$I$6:$I$71,$J470))</f>
        <v/>
      </c>
      <c r="N470" s="16" t="n">
        <f aca="false">IF($J470=0,0,MAX(0,$C470+INT(DIAS_POR_SEMANA/2)-INDEX(ROTACAO_RDM!$I$6:$I$71,$J470)))</f>
        <v>0</v>
      </c>
      <c r="O470" s="19" t="n">
        <f aca="false">IF($J470=0,0,MIN(1,$N470/MAX(1,INDEX(ROTACAO_RDM!$K$6:$K$71,$J470))))</f>
        <v>0</v>
      </c>
      <c r="P470" s="16" t="n">
        <f aca="false">IF($J470=0,0,IFERROR(MATCH(INDEX(ROTACAO_RDM!$N$6:$N$71,$J470),PARAMETROS_CULTURAS!$B$6:$B$28,0),0))</f>
        <v>0</v>
      </c>
      <c r="Q470" s="8" t="str">
        <f aca="false">IF($P470=0,"-",IF($O470&lt;=INDEX(PARAMETROS_CULTURAS!$F$6:$F$28,$P470),"INICIAL",IF($O470&lt;=INDEX(PARAMETROS_CULTURAS!$F$6:$F$28,$P470)+INDEX(PARAMETROS_CULTURAS!$G$6:$G$28,$P470),"DESENVOLVIMENTO",IF($O470&lt;=INDEX(PARAMETROS_CULTURAS!$F$6:$F$28,$P470)+INDEX(PARAMETROS_CULTURAS!$G$6:$G$28,$P470)+INDEX(PARAMETROS_CULTURAS!$H$6:$H$28,$P470),"MEDIA","FINAL"))))</f>
        <v>-</v>
      </c>
      <c r="R470" s="24" t="n">
        <f aca="false">IF($P470=0,0,IF($O470&lt;=INDEX(PARAMETROS_CULTURAS!$F$6:$F$28,$P470),INDEX(PARAMETROS_CULTURAS!$K$6:$K$28,$P470),IF($O470&lt;=INDEX(PARAMETROS_CULTURAS!$F$6:$F$28,$P470)+INDEX(PARAMETROS_CULTURAS!$G$6:$G$28,$P470),INDEX(PARAMETROS_CULTURAS!$K$6:$K$28,$P470)+(INDEX(PARAMETROS_CULTURAS!$L$6:$L$28,$P470)-INDEX(PARAMETROS_CULTURAS!$K$6:$K$28,$P470))*($O470-INDEX(PARAMETROS_CULTURAS!$F$6:$F$28,$P470))/MAX(INDEX(PARAMETROS_CULTURAS!$G$6:$G$28,$P470),0.0001),IF($O470&lt;=INDEX(PARAMETROS_CULTURAS!$F$6:$F$28,$P470)+INDEX(PARAMETROS_CULTURAS!$G$6:$G$28,$P470)+INDEX(PARAMETROS_CULTURAS!$H$6:$H$28,$P470),INDEX(PARAMETROS_CULTURAS!$L$6:$L$28,$P470),INDEX(PARAMETROS_CULTURAS!$L$6:$L$28,$P470)+(INDEX(PARAMETROS_CULTURAS!$M$6:$M$28,$P470)-INDEX(PARAMETROS_CULTURAS!$L$6:$L$28,$P470))*($O470-INDEX(PARAMETROS_CULTURAS!$F$6:$F$28,$P470)-INDEX(PARAMETROS_CULTURAS!$G$6:$G$28,$P470)-INDEX(PARAMETROS_CULTURAS!$H$6:$H$28,$P470))/MAX(INDEX(PARAMETROS_CULTURAS!$I$6:$I$28,$P470),0.0001)))))</f>
        <v>0</v>
      </c>
      <c r="S470" s="18" t="n">
        <f aca="false">IFERROR(INDEX(SEMANAS!$H$6:$H$71,MATCH($B470,SEMANAS!$B$6:$B$71,0)),0)</f>
        <v>40.6</v>
      </c>
      <c r="T470" s="18" t="n">
        <f aca="false">$R470*$S470</f>
        <v>0</v>
      </c>
      <c r="U470" s="18" t="n">
        <f aca="false">IFERROR(INDEX(SEMANAS!$I$6:$I$71,MATCH($B470,SEMANAS!$B$6:$B$71,0)),0)</f>
        <v>7</v>
      </c>
      <c r="V470" s="18" t="n">
        <f aca="false">IFERROR(INDEX(SEMANAS!$J$6:$J$71,MATCH($B470,SEMANAS!$B$6:$B$71,0)),0)</f>
        <v>5.6</v>
      </c>
      <c r="W470" s="18" t="n">
        <f aca="false">MAX(0,$T470-$V470)</f>
        <v>0</v>
      </c>
      <c r="X470" s="19" t="n">
        <f aca="false">IFERROR(INDEX(CADASTRO_PIVOS!$K$6:$K$41,MATCH($E470,CADASTRO_PIVOS!$B$6:$B$41,0)),EFICIENCIA_PADRAO)</f>
        <v>0.85</v>
      </c>
      <c r="Y470" s="18" t="n">
        <f aca="false">IF($X470&lt;=0,0,$W470/$X470)</f>
        <v>0</v>
      </c>
      <c r="Z470" s="16" t="n">
        <f aca="false">$Y470*$H470*MM_PARA_M3_HA</f>
        <v>0</v>
      </c>
      <c r="AA470" s="18" t="n">
        <f aca="false">IFERROR(INDEX(CADASTRO_PIVOS!$I$6:$I$41,MATCH($E470,CADASTRO_PIVOS!$B$6:$B$41,0)),0)</f>
        <v>712.571428571429</v>
      </c>
      <c r="AB470" s="18" t="n">
        <f aca="false">IF($Z470&lt;=0,0,$Z470/$AA470)</f>
        <v>0</v>
      </c>
      <c r="AC470" s="16" t="n">
        <f aca="false">IFERROR(INDEX(SEMANAS!$K$6:$K$71,MATCH($B470,SEMANAS!$B$6:$B$71,0)),0)</f>
        <v>147</v>
      </c>
      <c r="AD470" s="19" t="n">
        <f aca="false">IF($AC470&lt;=0,0,$AB470/$AC470)</f>
        <v>0</v>
      </c>
      <c r="AE470" s="8" t="str">
        <f aca="false">IF($K470="SEM CULTURA","SEM CULTURA",IF($AA470&lt;=0,"DADO PENDENTE",IF($AD470&gt;LIMITE_CRITICO,"INVIAVEL",IF($AD470&gt;LIMITE_ATENCAO,"CRITICO",IF($AD470&gt;LIMITE_CONFORTAVEL,"ATENCAO","OK")))))</f>
        <v>SEM CULTURA</v>
      </c>
      <c r="AF470" s="8" t="str">
        <f aca="false">$B470&amp;"|"&amp;TEXT($AD470,"0.000000")</f>
        <v>3|0.000000</v>
      </c>
      <c r="AG470" s="18" t="n">
        <f aca="false">IF($K470="SEM CULTURA",0,$T470*$H470)</f>
        <v>0</v>
      </c>
      <c r="AH470" s="18" t="n">
        <f aca="false">IF($K470="SEM CULTURA",0,$V470*$H470)</f>
        <v>0</v>
      </c>
      <c r="AI470" s="18" t="n">
        <f aca="false">IF($K470="SEM CULTURA",0,$W470*$H470)</f>
        <v>0</v>
      </c>
      <c r="AJ470" s="18" t="n">
        <f aca="false">IF($K470="SEM CULTURA",0,$S470*$H470)</f>
        <v>0</v>
      </c>
      <c r="AK470" s="8" t="str">
        <f aca="false">$E470&amp;"|"&amp;TEXT($AD470,"0.000000")</f>
        <v>PV 103|0.000000</v>
      </c>
    </row>
    <row r="471" customFormat="false" ht="15" hidden="false" customHeight="false" outlineLevel="0" collapsed="false">
      <c r="B471" s="16" t="n">
        <v>4</v>
      </c>
      <c r="C471" s="17" t="n">
        <f aca="false">DATA_INICIO_SAFRA+($B471-1)*DIAS_POR_SEMANA</f>
        <v>46286</v>
      </c>
      <c r="D471" s="17" t="n">
        <f aca="false">$C471+DIAS_POR_SEMANA-1</f>
        <v>46292</v>
      </c>
      <c r="E471" s="15" t="s">
        <v>266</v>
      </c>
      <c r="F471" s="8" t="str">
        <f aca="false">IFERROR(INDEX(CADASTRO_PIVOS!$C$6:$C$41,MATCH($E471,CADASTRO_PIVOS!$B$6:$B$41,0)),"?")</f>
        <v>RM04</v>
      </c>
      <c r="G471" s="8" t="str">
        <f aca="false">IFERROR(INDEX(CADASTRO_PIVOS!$D$6:$D$41,MATCH($E471,CADASTRO_PIVOS!$B$6:$B$41,0)),"?")</f>
        <v>TR04</v>
      </c>
      <c r="H471" s="20" t="n">
        <f aca="false">IFERROR(INDEX(CADASTRO_PIVOS!$E$6:$E$41,MATCH($E471,CADASTRO_PIVOS!$B$6:$B$41,0)),0)</f>
        <v>99.76</v>
      </c>
      <c r="I471" s="16" t="n">
        <f aca="false">IFERROR(SUMIFS(ROTACAO_RDM!$B$6:$B$71,ROTACAO_RDM!$D$6:$D$71,$E471,ROTACAO_RDM!$I$6:$I$71,"&lt;="&amp;$C471+INT(DIAS_POR_SEMANA/2),ROTACAO_RDM!$J$6:$J$71,"&gt;="&amp;$C471+INT(DIAS_POR_SEMANA/2)),0)</f>
        <v>0</v>
      </c>
      <c r="J471" s="16" t="n">
        <f aca="false">IFERROR(MATCH($I471,ROTACAO_RDM!$B$6:$B$71,0),0)</f>
        <v>0</v>
      </c>
      <c r="K471" s="8" t="str">
        <f aca="false">IF($J471=0,"SEM CULTURA",INDEX(ROTACAO_RDM!$F$6:$F$71,$J471))</f>
        <v>SEM CULTURA</v>
      </c>
      <c r="L471" s="8" t="str">
        <f aca="false">IF($J471=0,"",INDEX(ROTACAO_RDM!$G$6:$G$71,$J471))</f>
        <v/>
      </c>
      <c r="M471" s="17" t="str">
        <f aca="false">IF($J471=0,"",INDEX(ROTACAO_RDM!$I$6:$I$71,$J471))</f>
        <v/>
      </c>
      <c r="N471" s="16" t="n">
        <f aca="false">IF($J471=0,0,MAX(0,$C471+INT(DIAS_POR_SEMANA/2)-INDEX(ROTACAO_RDM!$I$6:$I$71,$J471)))</f>
        <v>0</v>
      </c>
      <c r="O471" s="19" t="n">
        <f aca="false">IF($J471=0,0,MIN(1,$N471/MAX(1,INDEX(ROTACAO_RDM!$K$6:$K$71,$J471))))</f>
        <v>0</v>
      </c>
      <c r="P471" s="16" t="n">
        <f aca="false">IF($J471=0,0,IFERROR(MATCH(INDEX(ROTACAO_RDM!$N$6:$N$71,$J471),PARAMETROS_CULTURAS!$B$6:$B$28,0),0))</f>
        <v>0</v>
      </c>
      <c r="Q471" s="8" t="str">
        <f aca="false">IF($P471=0,"-",IF($O471&lt;=INDEX(PARAMETROS_CULTURAS!$F$6:$F$28,$P471),"INICIAL",IF($O471&lt;=INDEX(PARAMETROS_CULTURAS!$F$6:$F$28,$P471)+INDEX(PARAMETROS_CULTURAS!$G$6:$G$28,$P471),"DESENVOLVIMENTO",IF($O471&lt;=INDEX(PARAMETROS_CULTURAS!$F$6:$F$28,$P471)+INDEX(PARAMETROS_CULTURAS!$G$6:$G$28,$P471)+INDEX(PARAMETROS_CULTURAS!$H$6:$H$28,$P471),"MEDIA","FINAL"))))</f>
        <v>-</v>
      </c>
      <c r="R471" s="24" t="n">
        <f aca="false">IF($P471=0,0,IF($O471&lt;=INDEX(PARAMETROS_CULTURAS!$F$6:$F$28,$P471),INDEX(PARAMETROS_CULTURAS!$K$6:$K$28,$P471),IF($O471&lt;=INDEX(PARAMETROS_CULTURAS!$F$6:$F$28,$P471)+INDEX(PARAMETROS_CULTURAS!$G$6:$G$28,$P471),INDEX(PARAMETROS_CULTURAS!$K$6:$K$28,$P471)+(INDEX(PARAMETROS_CULTURAS!$L$6:$L$28,$P471)-INDEX(PARAMETROS_CULTURAS!$K$6:$K$28,$P471))*($O471-INDEX(PARAMETROS_CULTURAS!$F$6:$F$28,$P471))/MAX(INDEX(PARAMETROS_CULTURAS!$G$6:$G$28,$P471),0.0001),IF($O471&lt;=INDEX(PARAMETROS_CULTURAS!$F$6:$F$28,$P471)+INDEX(PARAMETROS_CULTURAS!$G$6:$G$28,$P471)+INDEX(PARAMETROS_CULTURAS!$H$6:$H$28,$P471),INDEX(PARAMETROS_CULTURAS!$L$6:$L$28,$P471),INDEX(PARAMETROS_CULTURAS!$L$6:$L$28,$P471)+(INDEX(PARAMETROS_CULTURAS!$M$6:$M$28,$P471)-INDEX(PARAMETROS_CULTURAS!$L$6:$L$28,$P471))*($O471-INDEX(PARAMETROS_CULTURAS!$F$6:$F$28,$P471)-INDEX(PARAMETROS_CULTURAS!$G$6:$G$28,$P471)-INDEX(PARAMETROS_CULTURAS!$H$6:$H$28,$P471))/MAX(INDEX(PARAMETROS_CULTURAS!$I$6:$I$28,$P471),0.0001)))))</f>
        <v>0</v>
      </c>
      <c r="S471" s="18" t="n">
        <f aca="false">IFERROR(INDEX(SEMANAS!$H$6:$H$71,MATCH($B471,SEMANAS!$B$6:$B$71,0)),0)</f>
        <v>40.6</v>
      </c>
      <c r="T471" s="18" t="n">
        <f aca="false">$R471*$S471</f>
        <v>0</v>
      </c>
      <c r="U471" s="18" t="n">
        <f aca="false">IFERROR(INDEX(SEMANAS!$I$6:$I$71,MATCH($B471,SEMANAS!$B$6:$B$71,0)),0)</f>
        <v>7</v>
      </c>
      <c r="V471" s="18" t="n">
        <f aca="false">IFERROR(INDEX(SEMANAS!$J$6:$J$71,MATCH($B471,SEMANAS!$B$6:$B$71,0)),0)</f>
        <v>5.6</v>
      </c>
      <c r="W471" s="18" t="n">
        <f aca="false">MAX(0,$T471-$V471)</f>
        <v>0</v>
      </c>
      <c r="X471" s="19" t="n">
        <f aca="false">IFERROR(INDEX(CADASTRO_PIVOS!$K$6:$K$41,MATCH($E471,CADASTRO_PIVOS!$B$6:$B$41,0)),EFICIENCIA_PADRAO)</f>
        <v>0.85</v>
      </c>
      <c r="Y471" s="18" t="n">
        <f aca="false">IF($X471&lt;=0,0,$W471/$X471)</f>
        <v>0</v>
      </c>
      <c r="Z471" s="16" t="n">
        <f aca="false">$Y471*$H471*MM_PARA_M3_HA</f>
        <v>0</v>
      </c>
      <c r="AA471" s="18" t="n">
        <f aca="false">IFERROR(INDEX(CADASTRO_PIVOS!$I$6:$I$41,MATCH($E471,CADASTRO_PIVOS!$B$6:$B$41,0)),0)</f>
        <v>712.571428571429</v>
      </c>
      <c r="AB471" s="18" t="n">
        <f aca="false">IF($Z471&lt;=0,0,$Z471/$AA471)</f>
        <v>0</v>
      </c>
      <c r="AC471" s="16" t="n">
        <f aca="false">IFERROR(INDEX(SEMANAS!$K$6:$K$71,MATCH($B471,SEMANAS!$B$6:$B$71,0)),0)</f>
        <v>147</v>
      </c>
      <c r="AD471" s="19" t="n">
        <f aca="false">IF($AC471&lt;=0,0,$AB471/$AC471)</f>
        <v>0</v>
      </c>
      <c r="AE471" s="8" t="str">
        <f aca="false">IF($K471="SEM CULTURA","SEM CULTURA",IF($AA471&lt;=0,"DADO PENDENTE",IF($AD471&gt;LIMITE_CRITICO,"INVIAVEL",IF($AD471&gt;LIMITE_ATENCAO,"CRITICO",IF($AD471&gt;LIMITE_CONFORTAVEL,"ATENCAO","OK")))))</f>
        <v>SEM CULTURA</v>
      </c>
      <c r="AF471" s="8" t="str">
        <f aca="false">$B471&amp;"|"&amp;TEXT($AD471,"0.000000")</f>
        <v>4|0.000000</v>
      </c>
      <c r="AG471" s="18" t="n">
        <f aca="false">IF($K471="SEM CULTURA",0,$T471*$H471)</f>
        <v>0</v>
      </c>
      <c r="AH471" s="18" t="n">
        <f aca="false">IF($K471="SEM CULTURA",0,$V471*$H471)</f>
        <v>0</v>
      </c>
      <c r="AI471" s="18" t="n">
        <f aca="false">IF($K471="SEM CULTURA",0,$W471*$H471)</f>
        <v>0</v>
      </c>
      <c r="AJ471" s="18" t="n">
        <f aca="false">IF($K471="SEM CULTURA",0,$S471*$H471)</f>
        <v>0</v>
      </c>
      <c r="AK471" s="8" t="str">
        <f aca="false">$E471&amp;"|"&amp;TEXT($AD471,"0.000000")</f>
        <v>PV 103|0.000000</v>
      </c>
    </row>
    <row r="472" customFormat="false" ht="15" hidden="false" customHeight="false" outlineLevel="0" collapsed="false">
      <c r="B472" s="16" t="n">
        <v>5</v>
      </c>
      <c r="C472" s="17" t="n">
        <f aca="false">DATA_INICIO_SAFRA+($B472-1)*DIAS_POR_SEMANA</f>
        <v>46293</v>
      </c>
      <c r="D472" s="17" t="n">
        <f aca="false">$C472+DIAS_POR_SEMANA-1</f>
        <v>46299</v>
      </c>
      <c r="E472" s="15" t="s">
        <v>266</v>
      </c>
      <c r="F472" s="8" t="str">
        <f aca="false">IFERROR(INDEX(CADASTRO_PIVOS!$C$6:$C$41,MATCH($E472,CADASTRO_PIVOS!$B$6:$B$41,0)),"?")</f>
        <v>RM04</v>
      </c>
      <c r="G472" s="8" t="str">
        <f aca="false">IFERROR(INDEX(CADASTRO_PIVOS!$D$6:$D$41,MATCH($E472,CADASTRO_PIVOS!$B$6:$B$41,0)),"?")</f>
        <v>TR04</v>
      </c>
      <c r="H472" s="20" t="n">
        <f aca="false">IFERROR(INDEX(CADASTRO_PIVOS!$E$6:$E$41,MATCH($E472,CADASTRO_PIVOS!$B$6:$B$41,0)),0)</f>
        <v>99.76</v>
      </c>
      <c r="I472" s="16" t="n">
        <f aca="false">IFERROR(SUMIFS(ROTACAO_RDM!$B$6:$B$71,ROTACAO_RDM!$D$6:$D$71,$E472,ROTACAO_RDM!$I$6:$I$71,"&lt;="&amp;$C472+INT(DIAS_POR_SEMANA/2),ROTACAO_RDM!$J$6:$J$71,"&gt;="&amp;$C472+INT(DIAS_POR_SEMANA/2)),0)</f>
        <v>0</v>
      </c>
      <c r="J472" s="16" t="n">
        <f aca="false">IFERROR(MATCH($I472,ROTACAO_RDM!$B$6:$B$71,0),0)</f>
        <v>0</v>
      </c>
      <c r="K472" s="8" t="str">
        <f aca="false">IF($J472=0,"SEM CULTURA",INDEX(ROTACAO_RDM!$F$6:$F$71,$J472))</f>
        <v>SEM CULTURA</v>
      </c>
      <c r="L472" s="8" t="str">
        <f aca="false">IF($J472=0,"",INDEX(ROTACAO_RDM!$G$6:$G$71,$J472))</f>
        <v/>
      </c>
      <c r="M472" s="17" t="str">
        <f aca="false">IF($J472=0,"",INDEX(ROTACAO_RDM!$I$6:$I$71,$J472))</f>
        <v/>
      </c>
      <c r="N472" s="16" t="n">
        <f aca="false">IF($J472=0,0,MAX(0,$C472+INT(DIAS_POR_SEMANA/2)-INDEX(ROTACAO_RDM!$I$6:$I$71,$J472)))</f>
        <v>0</v>
      </c>
      <c r="O472" s="19" t="n">
        <f aca="false">IF($J472=0,0,MIN(1,$N472/MAX(1,INDEX(ROTACAO_RDM!$K$6:$K$71,$J472))))</f>
        <v>0</v>
      </c>
      <c r="P472" s="16" t="n">
        <f aca="false">IF($J472=0,0,IFERROR(MATCH(INDEX(ROTACAO_RDM!$N$6:$N$71,$J472),PARAMETROS_CULTURAS!$B$6:$B$28,0),0))</f>
        <v>0</v>
      </c>
      <c r="Q472" s="8" t="str">
        <f aca="false">IF($P472=0,"-",IF($O472&lt;=INDEX(PARAMETROS_CULTURAS!$F$6:$F$28,$P472),"INICIAL",IF($O472&lt;=INDEX(PARAMETROS_CULTURAS!$F$6:$F$28,$P472)+INDEX(PARAMETROS_CULTURAS!$G$6:$G$28,$P472),"DESENVOLVIMENTO",IF($O472&lt;=INDEX(PARAMETROS_CULTURAS!$F$6:$F$28,$P472)+INDEX(PARAMETROS_CULTURAS!$G$6:$G$28,$P472)+INDEX(PARAMETROS_CULTURAS!$H$6:$H$28,$P472),"MEDIA","FINAL"))))</f>
        <v>-</v>
      </c>
      <c r="R472" s="24" t="n">
        <f aca="false">IF($P472=0,0,IF($O472&lt;=INDEX(PARAMETROS_CULTURAS!$F$6:$F$28,$P472),INDEX(PARAMETROS_CULTURAS!$K$6:$K$28,$P472),IF($O472&lt;=INDEX(PARAMETROS_CULTURAS!$F$6:$F$28,$P472)+INDEX(PARAMETROS_CULTURAS!$G$6:$G$28,$P472),INDEX(PARAMETROS_CULTURAS!$K$6:$K$28,$P472)+(INDEX(PARAMETROS_CULTURAS!$L$6:$L$28,$P472)-INDEX(PARAMETROS_CULTURAS!$K$6:$K$28,$P472))*($O472-INDEX(PARAMETROS_CULTURAS!$F$6:$F$28,$P472))/MAX(INDEX(PARAMETROS_CULTURAS!$G$6:$G$28,$P472),0.0001),IF($O472&lt;=INDEX(PARAMETROS_CULTURAS!$F$6:$F$28,$P472)+INDEX(PARAMETROS_CULTURAS!$G$6:$G$28,$P472)+INDEX(PARAMETROS_CULTURAS!$H$6:$H$28,$P472),INDEX(PARAMETROS_CULTURAS!$L$6:$L$28,$P472),INDEX(PARAMETROS_CULTURAS!$L$6:$L$28,$P472)+(INDEX(PARAMETROS_CULTURAS!$M$6:$M$28,$P472)-INDEX(PARAMETROS_CULTURAS!$L$6:$L$28,$P472))*($O472-INDEX(PARAMETROS_CULTURAS!$F$6:$F$28,$P472)-INDEX(PARAMETROS_CULTURAS!$G$6:$G$28,$P472)-INDEX(PARAMETROS_CULTURAS!$H$6:$H$28,$P472))/MAX(INDEX(PARAMETROS_CULTURAS!$I$6:$I$28,$P472),0.0001)))))</f>
        <v>0</v>
      </c>
      <c r="S472" s="18" t="n">
        <f aca="false">IFERROR(INDEX(SEMANAS!$H$6:$H$71,MATCH($B472,SEMANAS!$B$6:$B$71,0)),0)</f>
        <v>39.8</v>
      </c>
      <c r="T472" s="18" t="n">
        <f aca="false">$R472*$S472</f>
        <v>0</v>
      </c>
      <c r="U472" s="18" t="n">
        <f aca="false">IFERROR(INDEX(SEMANAS!$I$6:$I$71,MATCH($B472,SEMANAS!$B$6:$B$71,0)),0)</f>
        <v>18.48</v>
      </c>
      <c r="V472" s="18" t="n">
        <f aca="false">IFERROR(INDEX(SEMANAS!$J$6:$J$71,MATCH($B472,SEMANAS!$B$6:$B$71,0)),0)</f>
        <v>14.784</v>
      </c>
      <c r="W472" s="18" t="n">
        <f aca="false">MAX(0,$T472-$V472)</f>
        <v>0</v>
      </c>
      <c r="X472" s="19" t="n">
        <f aca="false">IFERROR(INDEX(CADASTRO_PIVOS!$K$6:$K$41,MATCH($E472,CADASTRO_PIVOS!$B$6:$B$41,0)),EFICIENCIA_PADRAO)</f>
        <v>0.85</v>
      </c>
      <c r="Y472" s="18" t="n">
        <f aca="false">IF($X472&lt;=0,0,$W472/$X472)</f>
        <v>0</v>
      </c>
      <c r="Z472" s="16" t="n">
        <f aca="false">$Y472*$H472*MM_PARA_M3_HA</f>
        <v>0</v>
      </c>
      <c r="AA472" s="18" t="n">
        <f aca="false">IFERROR(INDEX(CADASTRO_PIVOS!$I$6:$I$41,MATCH($E472,CADASTRO_PIVOS!$B$6:$B$41,0)),0)</f>
        <v>712.571428571429</v>
      </c>
      <c r="AB472" s="18" t="n">
        <f aca="false">IF($Z472&lt;=0,0,$Z472/$AA472)</f>
        <v>0</v>
      </c>
      <c r="AC472" s="16" t="n">
        <f aca="false">IFERROR(INDEX(SEMANAS!$K$6:$K$71,MATCH($B472,SEMANAS!$B$6:$B$71,0)),0)</f>
        <v>147</v>
      </c>
      <c r="AD472" s="19" t="n">
        <f aca="false">IF($AC472&lt;=0,0,$AB472/$AC472)</f>
        <v>0</v>
      </c>
      <c r="AE472" s="8" t="str">
        <f aca="false">IF($K472="SEM CULTURA","SEM CULTURA",IF($AA472&lt;=0,"DADO PENDENTE",IF($AD472&gt;LIMITE_CRITICO,"INVIAVEL",IF($AD472&gt;LIMITE_ATENCAO,"CRITICO",IF($AD472&gt;LIMITE_CONFORTAVEL,"ATENCAO","OK")))))</f>
        <v>SEM CULTURA</v>
      </c>
      <c r="AF472" s="8" t="str">
        <f aca="false">$B472&amp;"|"&amp;TEXT($AD472,"0.000000")</f>
        <v>5|0.000000</v>
      </c>
      <c r="AG472" s="18" t="n">
        <f aca="false">IF($K472="SEM CULTURA",0,$T472*$H472)</f>
        <v>0</v>
      </c>
      <c r="AH472" s="18" t="n">
        <f aca="false">IF($K472="SEM CULTURA",0,$V472*$H472)</f>
        <v>0</v>
      </c>
      <c r="AI472" s="18" t="n">
        <f aca="false">IF($K472="SEM CULTURA",0,$W472*$H472)</f>
        <v>0</v>
      </c>
      <c r="AJ472" s="18" t="n">
        <f aca="false">IF($K472="SEM CULTURA",0,$S472*$H472)</f>
        <v>0</v>
      </c>
      <c r="AK472" s="8" t="str">
        <f aca="false">$E472&amp;"|"&amp;TEXT($AD472,"0.000000")</f>
        <v>PV 103|0.000000</v>
      </c>
    </row>
    <row r="473" customFormat="false" ht="15" hidden="false" customHeight="false" outlineLevel="0" collapsed="false">
      <c r="B473" s="16" t="n">
        <v>6</v>
      </c>
      <c r="C473" s="17" t="n">
        <f aca="false">DATA_INICIO_SAFRA+($B473-1)*DIAS_POR_SEMANA</f>
        <v>46300</v>
      </c>
      <c r="D473" s="17" t="n">
        <f aca="false">$C473+DIAS_POR_SEMANA-1</f>
        <v>46306</v>
      </c>
      <c r="E473" s="15" t="s">
        <v>266</v>
      </c>
      <c r="F473" s="8" t="str">
        <f aca="false">IFERROR(INDEX(CADASTRO_PIVOS!$C$6:$C$41,MATCH($E473,CADASTRO_PIVOS!$B$6:$B$41,0)),"?")</f>
        <v>RM04</v>
      </c>
      <c r="G473" s="8" t="str">
        <f aca="false">IFERROR(INDEX(CADASTRO_PIVOS!$D$6:$D$41,MATCH($E473,CADASTRO_PIVOS!$B$6:$B$41,0)),"?")</f>
        <v>TR04</v>
      </c>
      <c r="H473" s="20" t="n">
        <f aca="false">IFERROR(INDEX(CADASTRO_PIVOS!$E$6:$E$41,MATCH($E473,CADASTRO_PIVOS!$B$6:$B$41,0)),0)</f>
        <v>99.76</v>
      </c>
      <c r="I473" s="16" t="n">
        <f aca="false">IFERROR(SUMIFS(ROTACAO_RDM!$B$6:$B$71,ROTACAO_RDM!$D$6:$D$71,$E473,ROTACAO_RDM!$I$6:$I$71,"&lt;="&amp;$C473+INT(DIAS_POR_SEMANA/2),ROTACAO_RDM!$J$6:$J$71,"&gt;="&amp;$C473+INT(DIAS_POR_SEMANA/2)),0)</f>
        <v>0</v>
      </c>
      <c r="J473" s="16" t="n">
        <f aca="false">IFERROR(MATCH($I473,ROTACAO_RDM!$B$6:$B$71,0),0)</f>
        <v>0</v>
      </c>
      <c r="K473" s="8" t="str">
        <f aca="false">IF($J473=0,"SEM CULTURA",INDEX(ROTACAO_RDM!$F$6:$F$71,$J473))</f>
        <v>SEM CULTURA</v>
      </c>
      <c r="L473" s="8" t="str">
        <f aca="false">IF($J473=0,"",INDEX(ROTACAO_RDM!$G$6:$G$71,$J473))</f>
        <v/>
      </c>
      <c r="M473" s="17" t="str">
        <f aca="false">IF($J473=0,"",INDEX(ROTACAO_RDM!$I$6:$I$71,$J473))</f>
        <v/>
      </c>
      <c r="N473" s="16" t="n">
        <f aca="false">IF($J473=0,0,MAX(0,$C473+INT(DIAS_POR_SEMANA/2)-INDEX(ROTACAO_RDM!$I$6:$I$71,$J473)))</f>
        <v>0</v>
      </c>
      <c r="O473" s="19" t="n">
        <f aca="false">IF($J473=0,0,MIN(1,$N473/MAX(1,INDEX(ROTACAO_RDM!$K$6:$K$71,$J473))))</f>
        <v>0</v>
      </c>
      <c r="P473" s="16" t="n">
        <f aca="false">IF($J473=0,0,IFERROR(MATCH(INDEX(ROTACAO_RDM!$N$6:$N$71,$J473),PARAMETROS_CULTURAS!$B$6:$B$28,0),0))</f>
        <v>0</v>
      </c>
      <c r="Q473" s="8" t="str">
        <f aca="false">IF($P473=0,"-",IF($O473&lt;=INDEX(PARAMETROS_CULTURAS!$F$6:$F$28,$P473),"INICIAL",IF($O473&lt;=INDEX(PARAMETROS_CULTURAS!$F$6:$F$28,$P473)+INDEX(PARAMETROS_CULTURAS!$G$6:$G$28,$P473),"DESENVOLVIMENTO",IF($O473&lt;=INDEX(PARAMETROS_CULTURAS!$F$6:$F$28,$P473)+INDEX(PARAMETROS_CULTURAS!$G$6:$G$28,$P473)+INDEX(PARAMETROS_CULTURAS!$H$6:$H$28,$P473),"MEDIA","FINAL"))))</f>
        <v>-</v>
      </c>
      <c r="R473" s="24" t="n">
        <f aca="false">IF($P473=0,0,IF($O473&lt;=INDEX(PARAMETROS_CULTURAS!$F$6:$F$28,$P473),INDEX(PARAMETROS_CULTURAS!$K$6:$K$28,$P473),IF($O473&lt;=INDEX(PARAMETROS_CULTURAS!$F$6:$F$28,$P473)+INDEX(PARAMETROS_CULTURAS!$G$6:$G$28,$P473),INDEX(PARAMETROS_CULTURAS!$K$6:$K$28,$P473)+(INDEX(PARAMETROS_CULTURAS!$L$6:$L$28,$P473)-INDEX(PARAMETROS_CULTURAS!$K$6:$K$28,$P473))*($O473-INDEX(PARAMETROS_CULTURAS!$F$6:$F$28,$P473))/MAX(INDEX(PARAMETROS_CULTURAS!$G$6:$G$28,$P473),0.0001),IF($O473&lt;=INDEX(PARAMETROS_CULTURAS!$F$6:$F$28,$P473)+INDEX(PARAMETROS_CULTURAS!$G$6:$G$28,$P473)+INDEX(PARAMETROS_CULTURAS!$H$6:$H$28,$P473),INDEX(PARAMETROS_CULTURAS!$L$6:$L$28,$P473),INDEX(PARAMETROS_CULTURAS!$L$6:$L$28,$P473)+(INDEX(PARAMETROS_CULTURAS!$M$6:$M$28,$P473)-INDEX(PARAMETROS_CULTURAS!$L$6:$L$28,$P473))*($O473-INDEX(PARAMETROS_CULTURAS!$F$6:$F$28,$P473)-INDEX(PARAMETROS_CULTURAS!$G$6:$G$28,$P473)-INDEX(PARAMETROS_CULTURAS!$H$6:$H$28,$P473))/MAX(INDEX(PARAMETROS_CULTURAS!$I$6:$I$28,$P473),0.0001)))))</f>
        <v>0</v>
      </c>
      <c r="S473" s="18" t="n">
        <f aca="false">IFERROR(INDEX(SEMANAS!$H$6:$H$71,MATCH($B473,SEMANAS!$B$6:$B$71,0)),0)</f>
        <v>39.2</v>
      </c>
      <c r="T473" s="18" t="n">
        <f aca="false">$R473*$S473</f>
        <v>0</v>
      </c>
      <c r="U473" s="18" t="n">
        <f aca="false">IFERROR(INDEX(SEMANAS!$I$6:$I$71,MATCH($B473,SEMANAS!$B$6:$B$71,0)),0)</f>
        <v>27.09</v>
      </c>
      <c r="V473" s="18" t="n">
        <f aca="false">IFERROR(INDEX(SEMANAS!$J$6:$J$71,MATCH($B473,SEMANAS!$B$6:$B$71,0)),0)</f>
        <v>21.672</v>
      </c>
      <c r="W473" s="18" t="n">
        <f aca="false">MAX(0,$T473-$V473)</f>
        <v>0</v>
      </c>
      <c r="X473" s="19" t="n">
        <f aca="false">IFERROR(INDEX(CADASTRO_PIVOS!$K$6:$K$41,MATCH($E473,CADASTRO_PIVOS!$B$6:$B$41,0)),EFICIENCIA_PADRAO)</f>
        <v>0.85</v>
      </c>
      <c r="Y473" s="18" t="n">
        <f aca="false">IF($X473&lt;=0,0,$W473/$X473)</f>
        <v>0</v>
      </c>
      <c r="Z473" s="16" t="n">
        <f aca="false">$Y473*$H473*MM_PARA_M3_HA</f>
        <v>0</v>
      </c>
      <c r="AA473" s="18" t="n">
        <f aca="false">IFERROR(INDEX(CADASTRO_PIVOS!$I$6:$I$41,MATCH($E473,CADASTRO_PIVOS!$B$6:$B$41,0)),0)</f>
        <v>712.571428571429</v>
      </c>
      <c r="AB473" s="18" t="n">
        <f aca="false">IF($Z473&lt;=0,0,$Z473/$AA473)</f>
        <v>0</v>
      </c>
      <c r="AC473" s="16" t="n">
        <f aca="false">IFERROR(INDEX(SEMANAS!$K$6:$K$71,MATCH($B473,SEMANAS!$B$6:$B$71,0)),0)</f>
        <v>147</v>
      </c>
      <c r="AD473" s="19" t="n">
        <f aca="false">IF($AC473&lt;=0,0,$AB473/$AC473)</f>
        <v>0</v>
      </c>
      <c r="AE473" s="8" t="str">
        <f aca="false">IF($K473="SEM CULTURA","SEM CULTURA",IF($AA473&lt;=0,"DADO PENDENTE",IF($AD473&gt;LIMITE_CRITICO,"INVIAVEL",IF($AD473&gt;LIMITE_ATENCAO,"CRITICO",IF($AD473&gt;LIMITE_CONFORTAVEL,"ATENCAO","OK")))))</f>
        <v>SEM CULTURA</v>
      </c>
      <c r="AF473" s="8" t="str">
        <f aca="false">$B473&amp;"|"&amp;TEXT($AD473,"0.000000")</f>
        <v>6|0.000000</v>
      </c>
      <c r="AG473" s="18" t="n">
        <f aca="false">IF($K473="SEM CULTURA",0,$T473*$H473)</f>
        <v>0</v>
      </c>
      <c r="AH473" s="18" t="n">
        <f aca="false">IF($K473="SEM CULTURA",0,$V473*$H473)</f>
        <v>0</v>
      </c>
      <c r="AI473" s="18" t="n">
        <f aca="false">IF($K473="SEM CULTURA",0,$W473*$H473)</f>
        <v>0</v>
      </c>
      <c r="AJ473" s="18" t="n">
        <f aca="false">IF($K473="SEM CULTURA",0,$S473*$H473)</f>
        <v>0</v>
      </c>
      <c r="AK473" s="8" t="str">
        <f aca="false">$E473&amp;"|"&amp;TEXT($AD473,"0.000000")</f>
        <v>PV 103|0.000000</v>
      </c>
    </row>
    <row r="474" customFormat="false" ht="15" hidden="false" customHeight="false" outlineLevel="0" collapsed="false">
      <c r="B474" s="16" t="n">
        <v>7</v>
      </c>
      <c r="C474" s="17" t="n">
        <f aca="false">DATA_INICIO_SAFRA+($B474-1)*DIAS_POR_SEMANA</f>
        <v>46307</v>
      </c>
      <c r="D474" s="17" t="n">
        <f aca="false">$C474+DIAS_POR_SEMANA-1</f>
        <v>46313</v>
      </c>
      <c r="E474" s="15" t="s">
        <v>266</v>
      </c>
      <c r="F474" s="8" t="str">
        <f aca="false">IFERROR(INDEX(CADASTRO_PIVOS!$C$6:$C$41,MATCH($E474,CADASTRO_PIVOS!$B$6:$B$41,0)),"?")</f>
        <v>RM04</v>
      </c>
      <c r="G474" s="8" t="str">
        <f aca="false">IFERROR(INDEX(CADASTRO_PIVOS!$D$6:$D$41,MATCH($E474,CADASTRO_PIVOS!$B$6:$B$41,0)),"?")</f>
        <v>TR04</v>
      </c>
      <c r="H474" s="20" t="n">
        <f aca="false">IFERROR(INDEX(CADASTRO_PIVOS!$E$6:$E$41,MATCH($E474,CADASTRO_PIVOS!$B$6:$B$41,0)),0)</f>
        <v>99.76</v>
      </c>
      <c r="I474" s="16" t="n">
        <f aca="false">IFERROR(SUMIFS(ROTACAO_RDM!$B$6:$B$71,ROTACAO_RDM!$D$6:$D$71,$E474,ROTACAO_RDM!$I$6:$I$71,"&lt;="&amp;$C474+INT(DIAS_POR_SEMANA/2),ROTACAO_RDM!$J$6:$J$71,"&gt;="&amp;$C474+INT(DIAS_POR_SEMANA/2)),0)</f>
        <v>0</v>
      </c>
      <c r="J474" s="16" t="n">
        <f aca="false">IFERROR(MATCH($I474,ROTACAO_RDM!$B$6:$B$71,0),0)</f>
        <v>0</v>
      </c>
      <c r="K474" s="8" t="str">
        <f aca="false">IF($J474=0,"SEM CULTURA",INDEX(ROTACAO_RDM!$F$6:$F$71,$J474))</f>
        <v>SEM CULTURA</v>
      </c>
      <c r="L474" s="8" t="str">
        <f aca="false">IF($J474=0,"",INDEX(ROTACAO_RDM!$G$6:$G$71,$J474))</f>
        <v/>
      </c>
      <c r="M474" s="17" t="str">
        <f aca="false">IF($J474=0,"",INDEX(ROTACAO_RDM!$I$6:$I$71,$J474))</f>
        <v/>
      </c>
      <c r="N474" s="16" t="n">
        <f aca="false">IF($J474=0,0,MAX(0,$C474+INT(DIAS_POR_SEMANA/2)-INDEX(ROTACAO_RDM!$I$6:$I$71,$J474)))</f>
        <v>0</v>
      </c>
      <c r="O474" s="19" t="n">
        <f aca="false">IF($J474=0,0,MIN(1,$N474/MAX(1,INDEX(ROTACAO_RDM!$K$6:$K$71,$J474))))</f>
        <v>0</v>
      </c>
      <c r="P474" s="16" t="n">
        <f aca="false">IF($J474=0,0,IFERROR(MATCH(INDEX(ROTACAO_RDM!$N$6:$N$71,$J474),PARAMETROS_CULTURAS!$B$6:$B$28,0),0))</f>
        <v>0</v>
      </c>
      <c r="Q474" s="8" t="str">
        <f aca="false">IF($P474=0,"-",IF($O474&lt;=INDEX(PARAMETROS_CULTURAS!$F$6:$F$28,$P474),"INICIAL",IF($O474&lt;=INDEX(PARAMETROS_CULTURAS!$F$6:$F$28,$P474)+INDEX(PARAMETROS_CULTURAS!$G$6:$G$28,$P474),"DESENVOLVIMENTO",IF($O474&lt;=INDEX(PARAMETROS_CULTURAS!$F$6:$F$28,$P474)+INDEX(PARAMETROS_CULTURAS!$G$6:$G$28,$P474)+INDEX(PARAMETROS_CULTURAS!$H$6:$H$28,$P474),"MEDIA","FINAL"))))</f>
        <v>-</v>
      </c>
      <c r="R474" s="24" t="n">
        <f aca="false">IF($P474=0,0,IF($O474&lt;=INDEX(PARAMETROS_CULTURAS!$F$6:$F$28,$P474),INDEX(PARAMETROS_CULTURAS!$K$6:$K$28,$P474),IF($O474&lt;=INDEX(PARAMETROS_CULTURAS!$F$6:$F$28,$P474)+INDEX(PARAMETROS_CULTURAS!$G$6:$G$28,$P474),INDEX(PARAMETROS_CULTURAS!$K$6:$K$28,$P474)+(INDEX(PARAMETROS_CULTURAS!$L$6:$L$28,$P474)-INDEX(PARAMETROS_CULTURAS!$K$6:$K$28,$P474))*($O474-INDEX(PARAMETROS_CULTURAS!$F$6:$F$28,$P474))/MAX(INDEX(PARAMETROS_CULTURAS!$G$6:$G$28,$P474),0.0001),IF($O474&lt;=INDEX(PARAMETROS_CULTURAS!$F$6:$F$28,$P474)+INDEX(PARAMETROS_CULTURAS!$G$6:$G$28,$P474)+INDEX(PARAMETROS_CULTURAS!$H$6:$H$28,$P474),INDEX(PARAMETROS_CULTURAS!$L$6:$L$28,$P474),INDEX(PARAMETROS_CULTURAS!$L$6:$L$28,$P474)+(INDEX(PARAMETROS_CULTURAS!$M$6:$M$28,$P474)-INDEX(PARAMETROS_CULTURAS!$L$6:$L$28,$P474))*($O474-INDEX(PARAMETROS_CULTURAS!$F$6:$F$28,$P474)-INDEX(PARAMETROS_CULTURAS!$G$6:$G$28,$P474)-INDEX(PARAMETROS_CULTURAS!$H$6:$H$28,$P474))/MAX(INDEX(PARAMETROS_CULTURAS!$I$6:$I$28,$P474),0.0001)))))</f>
        <v>0</v>
      </c>
      <c r="S474" s="18" t="n">
        <f aca="false">IFERROR(INDEX(SEMANAS!$H$6:$H$71,MATCH($B474,SEMANAS!$B$6:$B$71,0)),0)</f>
        <v>39.2</v>
      </c>
      <c r="T474" s="18" t="n">
        <f aca="false">$R474*$S474</f>
        <v>0</v>
      </c>
      <c r="U474" s="18" t="n">
        <f aca="false">IFERROR(INDEX(SEMANAS!$I$6:$I$71,MATCH($B474,SEMANAS!$B$6:$B$71,0)),0)</f>
        <v>27.09</v>
      </c>
      <c r="V474" s="18" t="n">
        <f aca="false">IFERROR(INDEX(SEMANAS!$J$6:$J$71,MATCH($B474,SEMANAS!$B$6:$B$71,0)),0)</f>
        <v>21.672</v>
      </c>
      <c r="W474" s="18" t="n">
        <f aca="false">MAX(0,$T474-$V474)</f>
        <v>0</v>
      </c>
      <c r="X474" s="19" t="n">
        <f aca="false">IFERROR(INDEX(CADASTRO_PIVOS!$K$6:$K$41,MATCH($E474,CADASTRO_PIVOS!$B$6:$B$41,0)),EFICIENCIA_PADRAO)</f>
        <v>0.85</v>
      </c>
      <c r="Y474" s="18" t="n">
        <f aca="false">IF($X474&lt;=0,0,$W474/$X474)</f>
        <v>0</v>
      </c>
      <c r="Z474" s="16" t="n">
        <f aca="false">$Y474*$H474*MM_PARA_M3_HA</f>
        <v>0</v>
      </c>
      <c r="AA474" s="18" t="n">
        <f aca="false">IFERROR(INDEX(CADASTRO_PIVOS!$I$6:$I$41,MATCH($E474,CADASTRO_PIVOS!$B$6:$B$41,0)),0)</f>
        <v>712.571428571429</v>
      </c>
      <c r="AB474" s="18" t="n">
        <f aca="false">IF($Z474&lt;=0,0,$Z474/$AA474)</f>
        <v>0</v>
      </c>
      <c r="AC474" s="16" t="n">
        <f aca="false">IFERROR(INDEX(SEMANAS!$K$6:$K$71,MATCH($B474,SEMANAS!$B$6:$B$71,0)),0)</f>
        <v>147</v>
      </c>
      <c r="AD474" s="19" t="n">
        <f aca="false">IF($AC474&lt;=0,0,$AB474/$AC474)</f>
        <v>0</v>
      </c>
      <c r="AE474" s="8" t="str">
        <f aca="false">IF($K474="SEM CULTURA","SEM CULTURA",IF($AA474&lt;=0,"DADO PENDENTE",IF($AD474&gt;LIMITE_CRITICO,"INVIAVEL",IF($AD474&gt;LIMITE_ATENCAO,"CRITICO",IF($AD474&gt;LIMITE_CONFORTAVEL,"ATENCAO","OK")))))</f>
        <v>SEM CULTURA</v>
      </c>
      <c r="AF474" s="8" t="str">
        <f aca="false">$B474&amp;"|"&amp;TEXT($AD474,"0.000000")</f>
        <v>7|0.000000</v>
      </c>
      <c r="AG474" s="18" t="n">
        <f aca="false">IF($K474="SEM CULTURA",0,$T474*$H474)</f>
        <v>0</v>
      </c>
      <c r="AH474" s="18" t="n">
        <f aca="false">IF($K474="SEM CULTURA",0,$V474*$H474)</f>
        <v>0</v>
      </c>
      <c r="AI474" s="18" t="n">
        <f aca="false">IF($K474="SEM CULTURA",0,$W474*$H474)</f>
        <v>0</v>
      </c>
      <c r="AJ474" s="18" t="n">
        <f aca="false">IF($K474="SEM CULTURA",0,$S474*$H474)</f>
        <v>0</v>
      </c>
      <c r="AK474" s="8" t="str">
        <f aca="false">$E474&amp;"|"&amp;TEXT($AD474,"0.000000")</f>
        <v>PV 103|0.000000</v>
      </c>
    </row>
    <row r="475" customFormat="false" ht="15" hidden="false" customHeight="false" outlineLevel="0" collapsed="false">
      <c r="B475" s="16" t="n">
        <v>8</v>
      </c>
      <c r="C475" s="17" t="n">
        <f aca="false">DATA_INICIO_SAFRA+($B475-1)*DIAS_POR_SEMANA</f>
        <v>46314</v>
      </c>
      <c r="D475" s="17" t="n">
        <f aca="false">$C475+DIAS_POR_SEMANA-1</f>
        <v>46320</v>
      </c>
      <c r="E475" s="15" t="s">
        <v>266</v>
      </c>
      <c r="F475" s="8" t="str">
        <f aca="false">IFERROR(INDEX(CADASTRO_PIVOS!$C$6:$C$41,MATCH($E475,CADASTRO_PIVOS!$B$6:$B$41,0)),"?")</f>
        <v>RM04</v>
      </c>
      <c r="G475" s="8" t="str">
        <f aca="false">IFERROR(INDEX(CADASTRO_PIVOS!$D$6:$D$41,MATCH($E475,CADASTRO_PIVOS!$B$6:$B$41,0)),"?")</f>
        <v>TR04</v>
      </c>
      <c r="H475" s="20" t="n">
        <f aca="false">IFERROR(INDEX(CADASTRO_PIVOS!$E$6:$E$41,MATCH($E475,CADASTRO_PIVOS!$B$6:$B$41,0)),0)</f>
        <v>99.76</v>
      </c>
      <c r="I475" s="16" t="n">
        <f aca="false">IFERROR(SUMIFS(ROTACAO_RDM!$B$6:$B$71,ROTACAO_RDM!$D$6:$D$71,$E475,ROTACAO_RDM!$I$6:$I$71,"&lt;="&amp;$C475+INT(DIAS_POR_SEMANA/2),ROTACAO_RDM!$J$6:$J$71,"&gt;="&amp;$C475+INT(DIAS_POR_SEMANA/2)),0)</f>
        <v>0</v>
      </c>
      <c r="J475" s="16" t="n">
        <f aca="false">IFERROR(MATCH($I475,ROTACAO_RDM!$B$6:$B$71,0),0)</f>
        <v>0</v>
      </c>
      <c r="K475" s="8" t="str">
        <f aca="false">IF($J475=0,"SEM CULTURA",INDEX(ROTACAO_RDM!$F$6:$F$71,$J475))</f>
        <v>SEM CULTURA</v>
      </c>
      <c r="L475" s="8" t="str">
        <f aca="false">IF($J475=0,"",INDEX(ROTACAO_RDM!$G$6:$G$71,$J475))</f>
        <v/>
      </c>
      <c r="M475" s="17" t="str">
        <f aca="false">IF($J475=0,"",INDEX(ROTACAO_RDM!$I$6:$I$71,$J475))</f>
        <v/>
      </c>
      <c r="N475" s="16" t="n">
        <f aca="false">IF($J475=0,0,MAX(0,$C475+INT(DIAS_POR_SEMANA/2)-INDEX(ROTACAO_RDM!$I$6:$I$71,$J475)))</f>
        <v>0</v>
      </c>
      <c r="O475" s="19" t="n">
        <f aca="false">IF($J475=0,0,MIN(1,$N475/MAX(1,INDEX(ROTACAO_RDM!$K$6:$K$71,$J475))))</f>
        <v>0</v>
      </c>
      <c r="P475" s="16" t="n">
        <f aca="false">IF($J475=0,0,IFERROR(MATCH(INDEX(ROTACAO_RDM!$N$6:$N$71,$J475),PARAMETROS_CULTURAS!$B$6:$B$28,0),0))</f>
        <v>0</v>
      </c>
      <c r="Q475" s="8" t="str">
        <f aca="false">IF($P475=0,"-",IF($O475&lt;=INDEX(PARAMETROS_CULTURAS!$F$6:$F$28,$P475),"INICIAL",IF($O475&lt;=INDEX(PARAMETROS_CULTURAS!$F$6:$F$28,$P475)+INDEX(PARAMETROS_CULTURAS!$G$6:$G$28,$P475),"DESENVOLVIMENTO",IF($O475&lt;=INDEX(PARAMETROS_CULTURAS!$F$6:$F$28,$P475)+INDEX(PARAMETROS_CULTURAS!$G$6:$G$28,$P475)+INDEX(PARAMETROS_CULTURAS!$H$6:$H$28,$P475),"MEDIA","FINAL"))))</f>
        <v>-</v>
      </c>
      <c r="R475" s="24" t="n">
        <f aca="false">IF($P475=0,0,IF($O475&lt;=INDEX(PARAMETROS_CULTURAS!$F$6:$F$28,$P475),INDEX(PARAMETROS_CULTURAS!$K$6:$K$28,$P475),IF($O475&lt;=INDEX(PARAMETROS_CULTURAS!$F$6:$F$28,$P475)+INDEX(PARAMETROS_CULTURAS!$G$6:$G$28,$P475),INDEX(PARAMETROS_CULTURAS!$K$6:$K$28,$P475)+(INDEX(PARAMETROS_CULTURAS!$L$6:$L$28,$P475)-INDEX(PARAMETROS_CULTURAS!$K$6:$K$28,$P475))*($O475-INDEX(PARAMETROS_CULTURAS!$F$6:$F$28,$P475))/MAX(INDEX(PARAMETROS_CULTURAS!$G$6:$G$28,$P475),0.0001),IF($O475&lt;=INDEX(PARAMETROS_CULTURAS!$F$6:$F$28,$P475)+INDEX(PARAMETROS_CULTURAS!$G$6:$G$28,$P475)+INDEX(PARAMETROS_CULTURAS!$H$6:$H$28,$P475),INDEX(PARAMETROS_CULTURAS!$L$6:$L$28,$P475),INDEX(PARAMETROS_CULTURAS!$L$6:$L$28,$P475)+(INDEX(PARAMETROS_CULTURAS!$M$6:$M$28,$P475)-INDEX(PARAMETROS_CULTURAS!$L$6:$L$28,$P475))*($O475-INDEX(PARAMETROS_CULTURAS!$F$6:$F$28,$P475)-INDEX(PARAMETROS_CULTURAS!$G$6:$G$28,$P475)-INDEX(PARAMETROS_CULTURAS!$H$6:$H$28,$P475))/MAX(INDEX(PARAMETROS_CULTURAS!$I$6:$I$28,$P475),0.0001)))))</f>
        <v>0</v>
      </c>
      <c r="S475" s="18" t="n">
        <f aca="false">IFERROR(INDEX(SEMANAS!$H$6:$H$71,MATCH($B475,SEMANAS!$B$6:$B$71,0)),0)</f>
        <v>39.2</v>
      </c>
      <c r="T475" s="18" t="n">
        <f aca="false">$R475*$S475</f>
        <v>0</v>
      </c>
      <c r="U475" s="18" t="n">
        <f aca="false">IFERROR(INDEX(SEMANAS!$I$6:$I$71,MATCH($B475,SEMANAS!$B$6:$B$71,0)),0)</f>
        <v>27.09</v>
      </c>
      <c r="V475" s="18" t="n">
        <f aca="false">IFERROR(INDEX(SEMANAS!$J$6:$J$71,MATCH($B475,SEMANAS!$B$6:$B$71,0)),0)</f>
        <v>21.672</v>
      </c>
      <c r="W475" s="18" t="n">
        <f aca="false">MAX(0,$T475-$V475)</f>
        <v>0</v>
      </c>
      <c r="X475" s="19" t="n">
        <f aca="false">IFERROR(INDEX(CADASTRO_PIVOS!$K$6:$K$41,MATCH($E475,CADASTRO_PIVOS!$B$6:$B$41,0)),EFICIENCIA_PADRAO)</f>
        <v>0.85</v>
      </c>
      <c r="Y475" s="18" t="n">
        <f aca="false">IF($X475&lt;=0,0,$W475/$X475)</f>
        <v>0</v>
      </c>
      <c r="Z475" s="16" t="n">
        <f aca="false">$Y475*$H475*MM_PARA_M3_HA</f>
        <v>0</v>
      </c>
      <c r="AA475" s="18" t="n">
        <f aca="false">IFERROR(INDEX(CADASTRO_PIVOS!$I$6:$I$41,MATCH($E475,CADASTRO_PIVOS!$B$6:$B$41,0)),0)</f>
        <v>712.571428571429</v>
      </c>
      <c r="AB475" s="18" t="n">
        <f aca="false">IF($Z475&lt;=0,0,$Z475/$AA475)</f>
        <v>0</v>
      </c>
      <c r="AC475" s="16" t="n">
        <f aca="false">IFERROR(INDEX(SEMANAS!$K$6:$K$71,MATCH($B475,SEMANAS!$B$6:$B$71,0)),0)</f>
        <v>147</v>
      </c>
      <c r="AD475" s="19" t="n">
        <f aca="false">IF($AC475&lt;=0,0,$AB475/$AC475)</f>
        <v>0</v>
      </c>
      <c r="AE475" s="8" t="str">
        <f aca="false">IF($K475="SEM CULTURA","SEM CULTURA",IF($AA475&lt;=0,"DADO PENDENTE",IF($AD475&gt;LIMITE_CRITICO,"INVIAVEL",IF($AD475&gt;LIMITE_ATENCAO,"CRITICO",IF($AD475&gt;LIMITE_CONFORTAVEL,"ATENCAO","OK")))))</f>
        <v>SEM CULTURA</v>
      </c>
      <c r="AF475" s="8" t="str">
        <f aca="false">$B475&amp;"|"&amp;TEXT($AD475,"0.000000")</f>
        <v>8|0.000000</v>
      </c>
      <c r="AG475" s="18" t="n">
        <f aca="false">IF($K475="SEM CULTURA",0,$T475*$H475)</f>
        <v>0</v>
      </c>
      <c r="AH475" s="18" t="n">
        <f aca="false">IF($K475="SEM CULTURA",0,$V475*$H475)</f>
        <v>0</v>
      </c>
      <c r="AI475" s="18" t="n">
        <f aca="false">IF($K475="SEM CULTURA",0,$W475*$H475)</f>
        <v>0</v>
      </c>
      <c r="AJ475" s="18" t="n">
        <f aca="false">IF($K475="SEM CULTURA",0,$S475*$H475)</f>
        <v>0</v>
      </c>
      <c r="AK475" s="8" t="str">
        <f aca="false">$E475&amp;"|"&amp;TEXT($AD475,"0.000000")</f>
        <v>PV 103|0.000000</v>
      </c>
    </row>
    <row r="476" customFormat="false" ht="15" hidden="false" customHeight="false" outlineLevel="0" collapsed="false">
      <c r="B476" s="16" t="n">
        <v>9</v>
      </c>
      <c r="C476" s="17" t="n">
        <f aca="false">DATA_INICIO_SAFRA+($B476-1)*DIAS_POR_SEMANA</f>
        <v>46321</v>
      </c>
      <c r="D476" s="17" t="n">
        <f aca="false">$C476+DIAS_POR_SEMANA-1</f>
        <v>46327</v>
      </c>
      <c r="E476" s="15" t="s">
        <v>266</v>
      </c>
      <c r="F476" s="8" t="str">
        <f aca="false">IFERROR(INDEX(CADASTRO_PIVOS!$C$6:$C$41,MATCH($E476,CADASTRO_PIVOS!$B$6:$B$41,0)),"?")</f>
        <v>RM04</v>
      </c>
      <c r="G476" s="8" t="str">
        <f aca="false">IFERROR(INDEX(CADASTRO_PIVOS!$D$6:$D$41,MATCH($E476,CADASTRO_PIVOS!$B$6:$B$41,0)),"?")</f>
        <v>TR04</v>
      </c>
      <c r="H476" s="20" t="n">
        <f aca="false">IFERROR(INDEX(CADASTRO_PIVOS!$E$6:$E$41,MATCH($E476,CADASTRO_PIVOS!$B$6:$B$41,0)),0)</f>
        <v>99.76</v>
      </c>
      <c r="I476" s="16" t="n">
        <f aca="false">IFERROR(SUMIFS(ROTACAO_RDM!$B$6:$B$71,ROTACAO_RDM!$D$6:$D$71,$E476,ROTACAO_RDM!$I$6:$I$71,"&lt;="&amp;$C476+INT(DIAS_POR_SEMANA/2),ROTACAO_RDM!$J$6:$J$71,"&gt;="&amp;$C476+INT(DIAS_POR_SEMANA/2)),0)</f>
        <v>0</v>
      </c>
      <c r="J476" s="16" t="n">
        <f aca="false">IFERROR(MATCH($I476,ROTACAO_RDM!$B$6:$B$71,0),0)</f>
        <v>0</v>
      </c>
      <c r="K476" s="8" t="str">
        <f aca="false">IF($J476=0,"SEM CULTURA",INDEX(ROTACAO_RDM!$F$6:$F$71,$J476))</f>
        <v>SEM CULTURA</v>
      </c>
      <c r="L476" s="8" t="str">
        <f aca="false">IF($J476=0,"",INDEX(ROTACAO_RDM!$G$6:$G$71,$J476))</f>
        <v/>
      </c>
      <c r="M476" s="17" t="str">
        <f aca="false">IF($J476=0,"",INDEX(ROTACAO_RDM!$I$6:$I$71,$J476))</f>
        <v/>
      </c>
      <c r="N476" s="16" t="n">
        <f aca="false">IF($J476=0,0,MAX(0,$C476+INT(DIAS_POR_SEMANA/2)-INDEX(ROTACAO_RDM!$I$6:$I$71,$J476)))</f>
        <v>0</v>
      </c>
      <c r="O476" s="19" t="n">
        <f aca="false">IF($J476=0,0,MIN(1,$N476/MAX(1,INDEX(ROTACAO_RDM!$K$6:$K$71,$J476))))</f>
        <v>0</v>
      </c>
      <c r="P476" s="16" t="n">
        <f aca="false">IF($J476=0,0,IFERROR(MATCH(INDEX(ROTACAO_RDM!$N$6:$N$71,$J476),PARAMETROS_CULTURAS!$B$6:$B$28,0),0))</f>
        <v>0</v>
      </c>
      <c r="Q476" s="8" t="str">
        <f aca="false">IF($P476=0,"-",IF($O476&lt;=INDEX(PARAMETROS_CULTURAS!$F$6:$F$28,$P476),"INICIAL",IF($O476&lt;=INDEX(PARAMETROS_CULTURAS!$F$6:$F$28,$P476)+INDEX(PARAMETROS_CULTURAS!$G$6:$G$28,$P476),"DESENVOLVIMENTO",IF($O476&lt;=INDEX(PARAMETROS_CULTURAS!$F$6:$F$28,$P476)+INDEX(PARAMETROS_CULTURAS!$G$6:$G$28,$P476)+INDEX(PARAMETROS_CULTURAS!$H$6:$H$28,$P476),"MEDIA","FINAL"))))</f>
        <v>-</v>
      </c>
      <c r="R476" s="24" t="n">
        <f aca="false">IF($P476=0,0,IF($O476&lt;=INDEX(PARAMETROS_CULTURAS!$F$6:$F$28,$P476),INDEX(PARAMETROS_CULTURAS!$K$6:$K$28,$P476),IF($O476&lt;=INDEX(PARAMETROS_CULTURAS!$F$6:$F$28,$P476)+INDEX(PARAMETROS_CULTURAS!$G$6:$G$28,$P476),INDEX(PARAMETROS_CULTURAS!$K$6:$K$28,$P476)+(INDEX(PARAMETROS_CULTURAS!$L$6:$L$28,$P476)-INDEX(PARAMETROS_CULTURAS!$K$6:$K$28,$P476))*($O476-INDEX(PARAMETROS_CULTURAS!$F$6:$F$28,$P476))/MAX(INDEX(PARAMETROS_CULTURAS!$G$6:$G$28,$P476),0.0001),IF($O476&lt;=INDEX(PARAMETROS_CULTURAS!$F$6:$F$28,$P476)+INDEX(PARAMETROS_CULTURAS!$G$6:$G$28,$P476)+INDEX(PARAMETROS_CULTURAS!$H$6:$H$28,$P476),INDEX(PARAMETROS_CULTURAS!$L$6:$L$28,$P476),INDEX(PARAMETROS_CULTURAS!$L$6:$L$28,$P476)+(INDEX(PARAMETROS_CULTURAS!$M$6:$M$28,$P476)-INDEX(PARAMETROS_CULTURAS!$L$6:$L$28,$P476))*($O476-INDEX(PARAMETROS_CULTURAS!$F$6:$F$28,$P476)-INDEX(PARAMETROS_CULTURAS!$G$6:$G$28,$P476)-INDEX(PARAMETROS_CULTURAS!$H$6:$H$28,$P476))/MAX(INDEX(PARAMETROS_CULTURAS!$I$6:$I$28,$P476),0.0001)))))</f>
        <v>0</v>
      </c>
      <c r="S476" s="18" t="n">
        <f aca="false">IFERROR(INDEX(SEMANAS!$H$6:$H$71,MATCH($B476,SEMANAS!$B$6:$B$71,0)),0)</f>
        <v>38.5</v>
      </c>
      <c r="T476" s="18" t="n">
        <f aca="false">$R476*$S476</f>
        <v>0</v>
      </c>
      <c r="U476" s="18" t="n">
        <f aca="false">IFERROR(INDEX(SEMANAS!$I$6:$I$71,MATCH($B476,SEMANAS!$B$6:$B$71,0)),0)</f>
        <v>29.89</v>
      </c>
      <c r="V476" s="18" t="n">
        <f aca="false">IFERROR(INDEX(SEMANAS!$J$6:$J$71,MATCH($B476,SEMANAS!$B$6:$B$71,0)),0)</f>
        <v>23.912</v>
      </c>
      <c r="W476" s="18" t="n">
        <f aca="false">MAX(0,$T476-$V476)</f>
        <v>0</v>
      </c>
      <c r="X476" s="19" t="n">
        <f aca="false">IFERROR(INDEX(CADASTRO_PIVOS!$K$6:$K$41,MATCH($E476,CADASTRO_PIVOS!$B$6:$B$41,0)),EFICIENCIA_PADRAO)</f>
        <v>0.85</v>
      </c>
      <c r="Y476" s="18" t="n">
        <f aca="false">IF($X476&lt;=0,0,$W476/$X476)</f>
        <v>0</v>
      </c>
      <c r="Z476" s="16" t="n">
        <f aca="false">$Y476*$H476*MM_PARA_M3_HA</f>
        <v>0</v>
      </c>
      <c r="AA476" s="18" t="n">
        <f aca="false">IFERROR(INDEX(CADASTRO_PIVOS!$I$6:$I$41,MATCH($E476,CADASTRO_PIVOS!$B$6:$B$41,0)),0)</f>
        <v>712.571428571429</v>
      </c>
      <c r="AB476" s="18" t="n">
        <f aca="false">IF($Z476&lt;=0,0,$Z476/$AA476)</f>
        <v>0</v>
      </c>
      <c r="AC476" s="16" t="n">
        <f aca="false">IFERROR(INDEX(SEMANAS!$K$6:$K$71,MATCH($B476,SEMANAS!$B$6:$B$71,0)),0)</f>
        <v>147</v>
      </c>
      <c r="AD476" s="19" t="n">
        <f aca="false">IF($AC476&lt;=0,0,$AB476/$AC476)</f>
        <v>0</v>
      </c>
      <c r="AE476" s="8" t="str">
        <f aca="false">IF($K476="SEM CULTURA","SEM CULTURA",IF($AA476&lt;=0,"DADO PENDENTE",IF($AD476&gt;LIMITE_CRITICO,"INVIAVEL",IF($AD476&gt;LIMITE_ATENCAO,"CRITICO",IF($AD476&gt;LIMITE_CONFORTAVEL,"ATENCAO","OK")))))</f>
        <v>SEM CULTURA</v>
      </c>
      <c r="AF476" s="8" t="str">
        <f aca="false">$B476&amp;"|"&amp;TEXT($AD476,"0.000000")</f>
        <v>9|0.000000</v>
      </c>
      <c r="AG476" s="18" t="n">
        <f aca="false">IF($K476="SEM CULTURA",0,$T476*$H476)</f>
        <v>0</v>
      </c>
      <c r="AH476" s="18" t="n">
        <f aca="false">IF($K476="SEM CULTURA",0,$V476*$H476)</f>
        <v>0</v>
      </c>
      <c r="AI476" s="18" t="n">
        <f aca="false">IF($K476="SEM CULTURA",0,$W476*$H476)</f>
        <v>0</v>
      </c>
      <c r="AJ476" s="18" t="n">
        <f aca="false">IF($K476="SEM CULTURA",0,$S476*$H476)</f>
        <v>0</v>
      </c>
      <c r="AK476" s="8" t="str">
        <f aca="false">$E476&amp;"|"&amp;TEXT($AD476,"0.000000")</f>
        <v>PV 103|0.000000</v>
      </c>
    </row>
    <row r="477" customFormat="false" ht="15" hidden="false" customHeight="false" outlineLevel="0" collapsed="false">
      <c r="B477" s="16" t="n">
        <v>10</v>
      </c>
      <c r="C477" s="17" t="n">
        <f aca="false">DATA_INICIO_SAFRA+($B477-1)*DIAS_POR_SEMANA</f>
        <v>46328</v>
      </c>
      <c r="D477" s="17" t="n">
        <f aca="false">$C477+DIAS_POR_SEMANA-1</f>
        <v>46334</v>
      </c>
      <c r="E477" s="15" t="s">
        <v>266</v>
      </c>
      <c r="F477" s="8" t="str">
        <f aca="false">IFERROR(INDEX(CADASTRO_PIVOS!$C$6:$C$41,MATCH($E477,CADASTRO_PIVOS!$B$6:$B$41,0)),"?")</f>
        <v>RM04</v>
      </c>
      <c r="G477" s="8" t="str">
        <f aca="false">IFERROR(INDEX(CADASTRO_PIVOS!$D$6:$D$41,MATCH($E477,CADASTRO_PIVOS!$B$6:$B$41,0)),"?")</f>
        <v>TR04</v>
      </c>
      <c r="H477" s="20" t="n">
        <f aca="false">IFERROR(INDEX(CADASTRO_PIVOS!$E$6:$E$41,MATCH($E477,CADASTRO_PIVOS!$B$6:$B$41,0)),0)</f>
        <v>99.76</v>
      </c>
      <c r="I477" s="16" t="n">
        <f aca="false">IFERROR(SUMIFS(ROTACAO_RDM!$B$6:$B$71,ROTACAO_RDM!$D$6:$D$71,$E477,ROTACAO_RDM!$I$6:$I$71,"&lt;="&amp;$C477+INT(DIAS_POR_SEMANA/2),ROTACAO_RDM!$J$6:$J$71,"&gt;="&amp;$C477+INT(DIAS_POR_SEMANA/2)),0)</f>
        <v>0</v>
      </c>
      <c r="J477" s="16" t="n">
        <f aca="false">IFERROR(MATCH($I477,ROTACAO_RDM!$B$6:$B$71,0),0)</f>
        <v>0</v>
      </c>
      <c r="K477" s="8" t="str">
        <f aca="false">IF($J477=0,"SEM CULTURA",INDEX(ROTACAO_RDM!$F$6:$F$71,$J477))</f>
        <v>SEM CULTURA</v>
      </c>
      <c r="L477" s="8" t="str">
        <f aca="false">IF($J477=0,"",INDEX(ROTACAO_RDM!$G$6:$G$71,$J477))</f>
        <v/>
      </c>
      <c r="M477" s="17" t="str">
        <f aca="false">IF($J477=0,"",INDEX(ROTACAO_RDM!$I$6:$I$71,$J477))</f>
        <v/>
      </c>
      <c r="N477" s="16" t="n">
        <f aca="false">IF($J477=0,0,MAX(0,$C477+INT(DIAS_POR_SEMANA/2)-INDEX(ROTACAO_RDM!$I$6:$I$71,$J477)))</f>
        <v>0</v>
      </c>
      <c r="O477" s="19" t="n">
        <f aca="false">IF($J477=0,0,MIN(1,$N477/MAX(1,INDEX(ROTACAO_RDM!$K$6:$K$71,$J477))))</f>
        <v>0</v>
      </c>
      <c r="P477" s="16" t="n">
        <f aca="false">IF($J477=0,0,IFERROR(MATCH(INDEX(ROTACAO_RDM!$N$6:$N$71,$J477),PARAMETROS_CULTURAS!$B$6:$B$28,0),0))</f>
        <v>0</v>
      </c>
      <c r="Q477" s="8" t="str">
        <f aca="false">IF($P477=0,"-",IF($O477&lt;=INDEX(PARAMETROS_CULTURAS!$F$6:$F$28,$P477),"INICIAL",IF($O477&lt;=INDEX(PARAMETROS_CULTURAS!$F$6:$F$28,$P477)+INDEX(PARAMETROS_CULTURAS!$G$6:$G$28,$P477),"DESENVOLVIMENTO",IF($O477&lt;=INDEX(PARAMETROS_CULTURAS!$F$6:$F$28,$P477)+INDEX(PARAMETROS_CULTURAS!$G$6:$G$28,$P477)+INDEX(PARAMETROS_CULTURAS!$H$6:$H$28,$P477),"MEDIA","FINAL"))))</f>
        <v>-</v>
      </c>
      <c r="R477" s="24" t="n">
        <f aca="false">IF($P477=0,0,IF($O477&lt;=INDEX(PARAMETROS_CULTURAS!$F$6:$F$28,$P477),INDEX(PARAMETROS_CULTURAS!$K$6:$K$28,$P477),IF($O477&lt;=INDEX(PARAMETROS_CULTURAS!$F$6:$F$28,$P477)+INDEX(PARAMETROS_CULTURAS!$G$6:$G$28,$P477),INDEX(PARAMETROS_CULTURAS!$K$6:$K$28,$P477)+(INDEX(PARAMETROS_CULTURAS!$L$6:$L$28,$P477)-INDEX(PARAMETROS_CULTURAS!$K$6:$K$28,$P477))*($O477-INDEX(PARAMETROS_CULTURAS!$F$6:$F$28,$P477))/MAX(INDEX(PARAMETROS_CULTURAS!$G$6:$G$28,$P477),0.0001),IF($O477&lt;=INDEX(PARAMETROS_CULTURAS!$F$6:$F$28,$P477)+INDEX(PARAMETROS_CULTURAS!$G$6:$G$28,$P477)+INDEX(PARAMETROS_CULTURAS!$H$6:$H$28,$P477),INDEX(PARAMETROS_CULTURAS!$L$6:$L$28,$P477),INDEX(PARAMETROS_CULTURAS!$L$6:$L$28,$P477)+(INDEX(PARAMETROS_CULTURAS!$M$6:$M$28,$P477)-INDEX(PARAMETROS_CULTURAS!$L$6:$L$28,$P477))*($O477-INDEX(PARAMETROS_CULTURAS!$F$6:$F$28,$P477)-INDEX(PARAMETROS_CULTURAS!$G$6:$G$28,$P477)-INDEX(PARAMETROS_CULTURAS!$H$6:$H$28,$P477))/MAX(INDEX(PARAMETROS_CULTURAS!$I$6:$I$28,$P477),0.0001)))))</f>
        <v>0</v>
      </c>
      <c r="S477" s="18" t="n">
        <f aca="false">IFERROR(INDEX(SEMANAS!$H$6:$H$71,MATCH($B477,SEMANAS!$B$6:$B$71,0)),0)</f>
        <v>34.3</v>
      </c>
      <c r="T477" s="18" t="n">
        <f aca="false">$R477*$S477</f>
        <v>0</v>
      </c>
      <c r="U477" s="18" t="n">
        <f aca="false">IFERROR(INDEX(SEMANAS!$I$6:$I$71,MATCH($B477,SEMANAS!$B$6:$B$71,0)),0)</f>
        <v>46.69</v>
      </c>
      <c r="V477" s="18" t="n">
        <f aca="false">IFERROR(INDEX(SEMANAS!$J$6:$J$71,MATCH($B477,SEMANAS!$B$6:$B$71,0)),0)</f>
        <v>37.352</v>
      </c>
      <c r="W477" s="18" t="n">
        <f aca="false">MAX(0,$T477-$V477)</f>
        <v>0</v>
      </c>
      <c r="X477" s="19" t="n">
        <f aca="false">IFERROR(INDEX(CADASTRO_PIVOS!$K$6:$K$41,MATCH($E477,CADASTRO_PIVOS!$B$6:$B$41,0)),EFICIENCIA_PADRAO)</f>
        <v>0.85</v>
      </c>
      <c r="Y477" s="18" t="n">
        <f aca="false">IF($X477&lt;=0,0,$W477/$X477)</f>
        <v>0</v>
      </c>
      <c r="Z477" s="16" t="n">
        <f aca="false">$Y477*$H477*MM_PARA_M3_HA</f>
        <v>0</v>
      </c>
      <c r="AA477" s="18" t="n">
        <f aca="false">IFERROR(INDEX(CADASTRO_PIVOS!$I$6:$I$41,MATCH($E477,CADASTRO_PIVOS!$B$6:$B$41,0)),0)</f>
        <v>712.571428571429</v>
      </c>
      <c r="AB477" s="18" t="n">
        <f aca="false">IF($Z477&lt;=0,0,$Z477/$AA477)</f>
        <v>0</v>
      </c>
      <c r="AC477" s="16" t="n">
        <f aca="false">IFERROR(INDEX(SEMANAS!$K$6:$K$71,MATCH($B477,SEMANAS!$B$6:$B$71,0)),0)</f>
        <v>147</v>
      </c>
      <c r="AD477" s="19" t="n">
        <f aca="false">IF($AC477&lt;=0,0,$AB477/$AC477)</f>
        <v>0</v>
      </c>
      <c r="AE477" s="8" t="str">
        <f aca="false">IF($K477="SEM CULTURA","SEM CULTURA",IF($AA477&lt;=0,"DADO PENDENTE",IF($AD477&gt;LIMITE_CRITICO,"INVIAVEL",IF($AD477&gt;LIMITE_ATENCAO,"CRITICO",IF($AD477&gt;LIMITE_CONFORTAVEL,"ATENCAO","OK")))))</f>
        <v>SEM CULTURA</v>
      </c>
      <c r="AF477" s="8" t="str">
        <f aca="false">$B477&amp;"|"&amp;TEXT($AD477,"0.000000")</f>
        <v>10|0.000000</v>
      </c>
      <c r="AG477" s="18" t="n">
        <f aca="false">IF($K477="SEM CULTURA",0,$T477*$H477)</f>
        <v>0</v>
      </c>
      <c r="AH477" s="18" t="n">
        <f aca="false">IF($K477="SEM CULTURA",0,$V477*$H477)</f>
        <v>0</v>
      </c>
      <c r="AI477" s="18" t="n">
        <f aca="false">IF($K477="SEM CULTURA",0,$W477*$H477)</f>
        <v>0</v>
      </c>
      <c r="AJ477" s="18" t="n">
        <f aca="false">IF($K477="SEM CULTURA",0,$S477*$H477)</f>
        <v>0</v>
      </c>
      <c r="AK477" s="8" t="str">
        <f aca="false">$E477&amp;"|"&amp;TEXT($AD477,"0.000000")</f>
        <v>PV 103|0.000000</v>
      </c>
    </row>
    <row r="478" customFormat="false" ht="15" hidden="false" customHeight="false" outlineLevel="0" collapsed="false">
      <c r="B478" s="16" t="n">
        <v>11</v>
      </c>
      <c r="C478" s="17" t="n">
        <f aca="false">DATA_INICIO_SAFRA+($B478-1)*DIAS_POR_SEMANA</f>
        <v>46335</v>
      </c>
      <c r="D478" s="17" t="n">
        <f aca="false">$C478+DIAS_POR_SEMANA-1</f>
        <v>46341</v>
      </c>
      <c r="E478" s="15" t="s">
        <v>266</v>
      </c>
      <c r="F478" s="8" t="str">
        <f aca="false">IFERROR(INDEX(CADASTRO_PIVOS!$C$6:$C$41,MATCH($E478,CADASTRO_PIVOS!$B$6:$B$41,0)),"?")</f>
        <v>RM04</v>
      </c>
      <c r="G478" s="8" t="str">
        <f aca="false">IFERROR(INDEX(CADASTRO_PIVOS!$D$6:$D$41,MATCH($E478,CADASTRO_PIVOS!$B$6:$B$41,0)),"?")</f>
        <v>TR04</v>
      </c>
      <c r="H478" s="20" t="n">
        <f aca="false">IFERROR(INDEX(CADASTRO_PIVOS!$E$6:$E$41,MATCH($E478,CADASTRO_PIVOS!$B$6:$B$41,0)),0)</f>
        <v>99.76</v>
      </c>
      <c r="I478" s="16" t="n">
        <f aca="false">IFERROR(SUMIFS(ROTACAO_RDM!$B$6:$B$71,ROTACAO_RDM!$D$6:$D$71,$E478,ROTACAO_RDM!$I$6:$I$71,"&lt;="&amp;$C478+INT(DIAS_POR_SEMANA/2),ROTACAO_RDM!$J$6:$J$71,"&gt;="&amp;$C478+INT(DIAS_POR_SEMANA/2)),0)</f>
        <v>0</v>
      </c>
      <c r="J478" s="16" t="n">
        <f aca="false">IFERROR(MATCH($I478,ROTACAO_RDM!$B$6:$B$71,0),0)</f>
        <v>0</v>
      </c>
      <c r="K478" s="8" t="str">
        <f aca="false">IF($J478=0,"SEM CULTURA",INDEX(ROTACAO_RDM!$F$6:$F$71,$J478))</f>
        <v>SEM CULTURA</v>
      </c>
      <c r="L478" s="8" t="str">
        <f aca="false">IF($J478=0,"",INDEX(ROTACAO_RDM!$G$6:$G$71,$J478))</f>
        <v/>
      </c>
      <c r="M478" s="17" t="str">
        <f aca="false">IF($J478=0,"",INDEX(ROTACAO_RDM!$I$6:$I$71,$J478))</f>
        <v/>
      </c>
      <c r="N478" s="16" t="n">
        <f aca="false">IF($J478=0,0,MAX(0,$C478+INT(DIAS_POR_SEMANA/2)-INDEX(ROTACAO_RDM!$I$6:$I$71,$J478)))</f>
        <v>0</v>
      </c>
      <c r="O478" s="19" t="n">
        <f aca="false">IF($J478=0,0,MIN(1,$N478/MAX(1,INDEX(ROTACAO_RDM!$K$6:$K$71,$J478))))</f>
        <v>0</v>
      </c>
      <c r="P478" s="16" t="n">
        <f aca="false">IF($J478=0,0,IFERROR(MATCH(INDEX(ROTACAO_RDM!$N$6:$N$71,$J478),PARAMETROS_CULTURAS!$B$6:$B$28,0),0))</f>
        <v>0</v>
      </c>
      <c r="Q478" s="8" t="str">
        <f aca="false">IF($P478=0,"-",IF($O478&lt;=INDEX(PARAMETROS_CULTURAS!$F$6:$F$28,$P478),"INICIAL",IF($O478&lt;=INDEX(PARAMETROS_CULTURAS!$F$6:$F$28,$P478)+INDEX(PARAMETROS_CULTURAS!$G$6:$G$28,$P478),"DESENVOLVIMENTO",IF($O478&lt;=INDEX(PARAMETROS_CULTURAS!$F$6:$F$28,$P478)+INDEX(PARAMETROS_CULTURAS!$G$6:$G$28,$P478)+INDEX(PARAMETROS_CULTURAS!$H$6:$H$28,$P478),"MEDIA","FINAL"))))</f>
        <v>-</v>
      </c>
      <c r="R478" s="24" t="n">
        <f aca="false">IF($P478=0,0,IF($O478&lt;=INDEX(PARAMETROS_CULTURAS!$F$6:$F$28,$P478),INDEX(PARAMETROS_CULTURAS!$K$6:$K$28,$P478),IF($O478&lt;=INDEX(PARAMETROS_CULTURAS!$F$6:$F$28,$P478)+INDEX(PARAMETROS_CULTURAS!$G$6:$G$28,$P478),INDEX(PARAMETROS_CULTURAS!$K$6:$K$28,$P478)+(INDEX(PARAMETROS_CULTURAS!$L$6:$L$28,$P478)-INDEX(PARAMETROS_CULTURAS!$K$6:$K$28,$P478))*($O478-INDEX(PARAMETROS_CULTURAS!$F$6:$F$28,$P478))/MAX(INDEX(PARAMETROS_CULTURAS!$G$6:$G$28,$P478),0.0001),IF($O478&lt;=INDEX(PARAMETROS_CULTURAS!$F$6:$F$28,$P478)+INDEX(PARAMETROS_CULTURAS!$G$6:$G$28,$P478)+INDEX(PARAMETROS_CULTURAS!$H$6:$H$28,$P478),INDEX(PARAMETROS_CULTURAS!$L$6:$L$28,$P478),INDEX(PARAMETROS_CULTURAS!$L$6:$L$28,$P478)+(INDEX(PARAMETROS_CULTURAS!$M$6:$M$28,$P478)-INDEX(PARAMETROS_CULTURAS!$L$6:$L$28,$P478))*($O478-INDEX(PARAMETROS_CULTURAS!$F$6:$F$28,$P478)-INDEX(PARAMETROS_CULTURAS!$G$6:$G$28,$P478)-INDEX(PARAMETROS_CULTURAS!$H$6:$H$28,$P478))/MAX(INDEX(PARAMETROS_CULTURAS!$I$6:$I$28,$P478),0.0001)))))</f>
        <v>0</v>
      </c>
      <c r="S478" s="18" t="n">
        <f aca="false">IFERROR(INDEX(SEMANAS!$H$6:$H$71,MATCH($B478,SEMANAS!$B$6:$B$71,0)),0)</f>
        <v>34.3</v>
      </c>
      <c r="T478" s="18" t="n">
        <f aca="false">$R478*$S478</f>
        <v>0</v>
      </c>
      <c r="U478" s="18" t="n">
        <f aca="false">IFERROR(INDEX(SEMANAS!$I$6:$I$71,MATCH($B478,SEMANAS!$B$6:$B$71,0)),0)</f>
        <v>46.69</v>
      </c>
      <c r="V478" s="18" t="n">
        <f aca="false">IFERROR(INDEX(SEMANAS!$J$6:$J$71,MATCH($B478,SEMANAS!$B$6:$B$71,0)),0)</f>
        <v>37.352</v>
      </c>
      <c r="W478" s="18" t="n">
        <f aca="false">MAX(0,$T478-$V478)</f>
        <v>0</v>
      </c>
      <c r="X478" s="19" t="n">
        <f aca="false">IFERROR(INDEX(CADASTRO_PIVOS!$K$6:$K$41,MATCH($E478,CADASTRO_PIVOS!$B$6:$B$41,0)),EFICIENCIA_PADRAO)</f>
        <v>0.85</v>
      </c>
      <c r="Y478" s="18" t="n">
        <f aca="false">IF($X478&lt;=0,0,$W478/$X478)</f>
        <v>0</v>
      </c>
      <c r="Z478" s="16" t="n">
        <f aca="false">$Y478*$H478*MM_PARA_M3_HA</f>
        <v>0</v>
      </c>
      <c r="AA478" s="18" t="n">
        <f aca="false">IFERROR(INDEX(CADASTRO_PIVOS!$I$6:$I$41,MATCH($E478,CADASTRO_PIVOS!$B$6:$B$41,0)),0)</f>
        <v>712.571428571429</v>
      </c>
      <c r="AB478" s="18" t="n">
        <f aca="false">IF($Z478&lt;=0,0,$Z478/$AA478)</f>
        <v>0</v>
      </c>
      <c r="AC478" s="16" t="n">
        <f aca="false">IFERROR(INDEX(SEMANAS!$K$6:$K$71,MATCH($B478,SEMANAS!$B$6:$B$71,0)),0)</f>
        <v>147</v>
      </c>
      <c r="AD478" s="19" t="n">
        <f aca="false">IF($AC478&lt;=0,0,$AB478/$AC478)</f>
        <v>0</v>
      </c>
      <c r="AE478" s="8" t="str">
        <f aca="false">IF($K478="SEM CULTURA","SEM CULTURA",IF($AA478&lt;=0,"DADO PENDENTE",IF($AD478&gt;LIMITE_CRITICO,"INVIAVEL",IF($AD478&gt;LIMITE_ATENCAO,"CRITICO",IF($AD478&gt;LIMITE_CONFORTAVEL,"ATENCAO","OK")))))</f>
        <v>SEM CULTURA</v>
      </c>
      <c r="AF478" s="8" t="str">
        <f aca="false">$B478&amp;"|"&amp;TEXT($AD478,"0.000000")</f>
        <v>11|0.000000</v>
      </c>
      <c r="AG478" s="18" t="n">
        <f aca="false">IF($K478="SEM CULTURA",0,$T478*$H478)</f>
        <v>0</v>
      </c>
      <c r="AH478" s="18" t="n">
        <f aca="false">IF($K478="SEM CULTURA",0,$V478*$H478)</f>
        <v>0</v>
      </c>
      <c r="AI478" s="18" t="n">
        <f aca="false">IF($K478="SEM CULTURA",0,$W478*$H478)</f>
        <v>0</v>
      </c>
      <c r="AJ478" s="18" t="n">
        <f aca="false">IF($K478="SEM CULTURA",0,$S478*$H478)</f>
        <v>0</v>
      </c>
      <c r="AK478" s="8" t="str">
        <f aca="false">$E478&amp;"|"&amp;TEXT($AD478,"0.000000")</f>
        <v>PV 103|0.000000</v>
      </c>
    </row>
    <row r="479" customFormat="false" ht="15" hidden="false" customHeight="false" outlineLevel="0" collapsed="false">
      <c r="B479" s="16" t="n">
        <v>12</v>
      </c>
      <c r="C479" s="17" t="n">
        <f aca="false">DATA_INICIO_SAFRA+($B479-1)*DIAS_POR_SEMANA</f>
        <v>46342</v>
      </c>
      <c r="D479" s="17" t="n">
        <f aca="false">$C479+DIAS_POR_SEMANA-1</f>
        <v>46348</v>
      </c>
      <c r="E479" s="15" t="s">
        <v>266</v>
      </c>
      <c r="F479" s="8" t="str">
        <f aca="false">IFERROR(INDEX(CADASTRO_PIVOS!$C$6:$C$41,MATCH($E479,CADASTRO_PIVOS!$B$6:$B$41,0)),"?")</f>
        <v>RM04</v>
      </c>
      <c r="G479" s="8" t="str">
        <f aca="false">IFERROR(INDEX(CADASTRO_PIVOS!$D$6:$D$41,MATCH($E479,CADASTRO_PIVOS!$B$6:$B$41,0)),"?")</f>
        <v>TR04</v>
      </c>
      <c r="H479" s="20" t="n">
        <f aca="false">IFERROR(INDEX(CADASTRO_PIVOS!$E$6:$E$41,MATCH($E479,CADASTRO_PIVOS!$B$6:$B$41,0)),0)</f>
        <v>99.76</v>
      </c>
      <c r="I479" s="16" t="n">
        <f aca="false">IFERROR(SUMIFS(ROTACAO_RDM!$B$6:$B$71,ROTACAO_RDM!$D$6:$D$71,$E479,ROTACAO_RDM!$I$6:$I$71,"&lt;="&amp;$C479+INT(DIAS_POR_SEMANA/2),ROTACAO_RDM!$J$6:$J$71,"&gt;="&amp;$C479+INT(DIAS_POR_SEMANA/2)),0)</f>
        <v>0</v>
      </c>
      <c r="J479" s="16" t="n">
        <f aca="false">IFERROR(MATCH($I479,ROTACAO_RDM!$B$6:$B$71,0),0)</f>
        <v>0</v>
      </c>
      <c r="K479" s="8" t="str">
        <f aca="false">IF($J479=0,"SEM CULTURA",INDEX(ROTACAO_RDM!$F$6:$F$71,$J479))</f>
        <v>SEM CULTURA</v>
      </c>
      <c r="L479" s="8" t="str">
        <f aca="false">IF($J479=0,"",INDEX(ROTACAO_RDM!$G$6:$G$71,$J479))</f>
        <v/>
      </c>
      <c r="M479" s="17" t="str">
        <f aca="false">IF($J479=0,"",INDEX(ROTACAO_RDM!$I$6:$I$71,$J479))</f>
        <v/>
      </c>
      <c r="N479" s="16" t="n">
        <f aca="false">IF($J479=0,0,MAX(0,$C479+INT(DIAS_POR_SEMANA/2)-INDEX(ROTACAO_RDM!$I$6:$I$71,$J479)))</f>
        <v>0</v>
      </c>
      <c r="O479" s="19" t="n">
        <f aca="false">IF($J479=0,0,MIN(1,$N479/MAX(1,INDEX(ROTACAO_RDM!$K$6:$K$71,$J479))))</f>
        <v>0</v>
      </c>
      <c r="P479" s="16" t="n">
        <f aca="false">IF($J479=0,0,IFERROR(MATCH(INDEX(ROTACAO_RDM!$N$6:$N$71,$J479),PARAMETROS_CULTURAS!$B$6:$B$28,0),0))</f>
        <v>0</v>
      </c>
      <c r="Q479" s="8" t="str">
        <f aca="false">IF($P479=0,"-",IF($O479&lt;=INDEX(PARAMETROS_CULTURAS!$F$6:$F$28,$P479),"INICIAL",IF($O479&lt;=INDEX(PARAMETROS_CULTURAS!$F$6:$F$28,$P479)+INDEX(PARAMETROS_CULTURAS!$G$6:$G$28,$P479),"DESENVOLVIMENTO",IF($O479&lt;=INDEX(PARAMETROS_CULTURAS!$F$6:$F$28,$P479)+INDEX(PARAMETROS_CULTURAS!$G$6:$G$28,$P479)+INDEX(PARAMETROS_CULTURAS!$H$6:$H$28,$P479),"MEDIA","FINAL"))))</f>
        <v>-</v>
      </c>
      <c r="R479" s="24" t="n">
        <f aca="false">IF($P479=0,0,IF($O479&lt;=INDEX(PARAMETROS_CULTURAS!$F$6:$F$28,$P479),INDEX(PARAMETROS_CULTURAS!$K$6:$K$28,$P479),IF($O479&lt;=INDEX(PARAMETROS_CULTURAS!$F$6:$F$28,$P479)+INDEX(PARAMETROS_CULTURAS!$G$6:$G$28,$P479),INDEX(PARAMETROS_CULTURAS!$K$6:$K$28,$P479)+(INDEX(PARAMETROS_CULTURAS!$L$6:$L$28,$P479)-INDEX(PARAMETROS_CULTURAS!$K$6:$K$28,$P479))*($O479-INDEX(PARAMETROS_CULTURAS!$F$6:$F$28,$P479))/MAX(INDEX(PARAMETROS_CULTURAS!$G$6:$G$28,$P479),0.0001),IF($O479&lt;=INDEX(PARAMETROS_CULTURAS!$F$6:$F$28,$P479)+INDEX(PARAMETROS_CULTURAS!$G$6:$G$28,$P479)+INDEX(PARAMETROS_CULTURAS!$H$6:$H$28,$P479),INDEX(PARAMETROS_CULTURAS!$L$6:$L$28,$P479),INDEX(PARAMETROS_CULTURAS!$L$6:$L$28,$P479)+(INDEX(PARAMETROS_CULTURAS!$M$6:$M$28,$P479)-INDEX(PARAMETROS_CULTURAS!$L$6:$L$28,$P479))*($O479-INDEX(PARAMETROS_CULTURAS!$F$6:$F$28,$P479)-INDEX(PARAMETROS_CULTURAS!$G$6:$G$28,$P479)-INDEX(PARAMETROS_CULTURAS!$H$6:$H$28,$P479))/MAX(INDEX(PARAMETROS_CULTURAS!$I$6:$I$28,$P479),0.0001)))))</f>
        <v>0</v>
      </c>
      <c r="S479" s="18" t="n">
        <f aca="false">IFERROR(INDEX(SEMANAS!$H$6:$H$71,MATCH($B479,SEMANAS!$B$6:$B$71,0)),0)</f>
        <v>34.3</v>
      </c>
      <c r="T479" s="18" t="n">
        <f aca="false">$R479*$S479</f>
        <v>0</v>
      </c>
      <c r="U479" s="18" t="n">
        <f aca="false">IFERROR(INDEX(SEMANAS!$I$6:$I$71,MATCH($B479,SEMANAS!$B$6:$B$71,0)),0)</f>
        <v>46.69</v>
      </c>
      <c r="V479" s="18" t="n">
        <f aca="false">IFERROR(INDEX(SEMANAS!$J$6:$J$71,MATCH($B479,SEMANAS!$B$6:$B$71,0)),0)</f>
        <v>37.352</v>
      </c>
      <c r="W479" s="18" t="n">
        <f aca="false">MAX(0,$T479-$V479)</f>
        <v>0</v>
      </c>
      <c r="X479" s="19" t="n">
        <f aca="false">IFERROR(INDEX(CADASTRO_PIVOS!$K$6:$K$41,MATCH($E479,CADASTRO_PIVOS!$B$6:$B$41,0)),EFICIENCIA_PADRAO)</f>
        <v>0.85</v>
      </c>
      <c r="Y479" s="18" t="n">
        <f aca="false">IF($X479&lt;=0,0,$W479/$X479)</f>
        <v>0</v>
      </c>
      <c r="Z479" s="16" t="n">
        <f aca="false">$Y479*$H479*MM_PARA_M3_HA</f>
        <v>0</v>
      </c>
      <c r="AA479" s="18" t="n">
        <f aca="false">IFERROR(INDEX(CADASTRO_PIVOS!$I$6:$I$41,MATCH($E479,CADASTRO_PIVOS!$B$6:$B$41,0)),0)</f>
        <v>712.571428571429</v>
      </c>
      <c r="AB479" s="18" t="n">
        <f aca="false">IF($Z479&lt;=0,0,$Z479/$AA479)</f>
        <v>0</v>
      </c>
      <c r="AC479" s="16" t="n">
        <f aca="false">IFERROR(INDEX(SEMANAS!$K$6:$K$71,MATCH($B479,SEMANAS!$B$6:$B$71,0)),0)</f>
        <v>147</v>
      </c>
      <c r="AD479" s="19" t="n">
        <f aca="false">IF($AC479&lt;=0,0,$AB479/$AC479)</f>
        <v>0</v>
      </c>
      <c r="AE479" s="8" t="str">
        <f aca="false">IF($K479="SEM CULTURA","SEM CULTURA",IF($AA479&lt;=0,"DADO PENDENTE",IF($AD479&gt;LIMITE_CRITICO,"INVIAVEL",IF($AD479&gt;LIMITE_ATENCAO,"CRITICO",IF($AD479&gt;LIMITE_CONFORTAVEL,"ATENCAO","OK")))))</f>
        <v>SEM CULTURA</v>
      </c>
      <c r="AF479" s="8" t="str">
        <f aca="false">$B479&amp;"|"&amp;TEXT($AD479,"0.000000")</f>
        <v>12|0.000000</v>
      </c>
      <c r="AG479" s="18" t="n">
        <f aca="false">IF($K479="SEM CULTURA",0,$T479*$H479)</f>
        <v>0</v>
      </c>
      <c r="AH479" s="18" t="n">
        <f aca="false">IF($K479="SEM CULTURA",0,$V479*$H479)</f>
        <v>0</v>
      </c>
      <c r="AI479" s="18" t="n">
        <f aca="false">IF($K479="SEM CULTURA",0,$W479*$H479)</f>
        <v>0</v>
      </c>
      <c r="AJ479" s="18" t="n">
        <f aca="false">IF($K479="SEM CULTURA",0,$S479*$H479)</f>
        <v>0</v>
      </c>
      <c r="AK479" s="8" t="str">
        <f aca="false">$E479&amp;"|"&amp;TEXT($AD479,"0.000000")</f>
        <v>PV 103|0.000000</v>
      </c>
    </row>
    <row r="480" customFormat="false" ht="15" hidden="false" customHeight="false" outlineLevel="0" collapsed="false">
      <c r="B480" s="16" t="n">
        <v>13</v>
      </c>
      <c r="C480" s="17" t="n">
        <f aca="false">DATA_INICIO_SAFRA+($B480-1)*DIAS_POR_SEMANA</f>
        <v>46349</v>
      </c>
      <c r="D480" s="17" t="n">
        <f aca="false">$C480+DIAS_POR_SEMANA-1</f>
        <v>46355</v>
      </c>
      <c r="E480" s="15" t="s">
        <v>266</v>
      </c>
      <c r="F480" s="8" t="str">
        <f aca="false">IFERROR(INDEX(CADASTRO_PIVOS!$C$6:$C$41,MATCH($E480,CADASTRO_PIVOS!$B$6:$B$41,0)),"?")</f>
        <v>RM04</v>
      </c>
      <c r="G480" s="8" t="str">
        <f aca="false">IFERROR(INDEX(CADASTRO_PIVOS!$D$6:$D$41,MATCH($E480,CADASTRO_PIVOS!$B$6:$B$41,0)),"?")</f>
        <v>TR04</v>
      </c>
      <c r="H480" s="20" t="n">
        <f aca="false">IFERROR(INDEX(CADASTRO_PIVOS!$E$6:$E$41,MATCH($E480,CADASTRO_PIVOS!$B$6:$B$41,0)),0)</f>
        <v>99.76</v>
      </c>
      <c r="I480" s="16" t="n">
        <f aca="false">IFERROR(SUMIFS(ROTACAO_RDM!$B$6:$B$71,ROTACAO_RDM!$D$6:$D$71,$E480,ROTACAO_RDM!$I$6:$I$71,"&lt;="&amp;$C480+INT(DIAS_POR_SEMANA/2),ROTACAO_RDM!$J$6:$J$71,"&gt;="&amp;$C480+INT(DIAS_POR_SEMANA/2)),0)</f>
        <v>0</v>
      </c>
      <c r="J480" s="16" t="n">
        <f aca="false">IFERROR(MATCH($I480,ROTACAO_RDM!$B$6:$B$71,0),0)</f>
        <v>0</v>
      </c>
      <c r="K480" s="8" t="str">
        <f aca="false">IF($J480=0,"SEM CULTURA",INDEX(ROTACAO_RDM!$F$6:$F$71,$J480))</f>
        <v>SEM CULTURA</v>
      </c>
      <c r="L480" s="8" t="str">
        <f aca="false">IF($J480=0,"",INDEX(ROTACAO_RDM!$G$6:$G$71,$J480))</f>
        <v/>
      </c>
      <c r="M480" s="17" t="str">
        <f aca="false">IF($J480=0,"",INDEX(ROTACAO_RDM!$I$6:$I$71,$J480))</f>
        <v/>
      </c>
      <c r="N480" s="16" t="n">
        <f aca="false">IF($J480=0,0,MAX(0,$C480+INT(DIAS_POR_SEMANA/2)-INDEX(ROTACAO_RDM!$I$6:$I$71,$J480)))</f>
        <v>0</v>
      </c>
      <c r="O480" s="19" t="n">
        <f aca="false">IF($J480=0,0,MIN(1,$N480/MAX(1,INDEX(ROTACAO_RDM!$K$6:$K$71,$J480))))</f>
        <v>0</v>
      </c>
      <c r="P480" s="16" t="n">
        <f aca="false">IF($J480=0,0,IFERROR(MATCH(INDEX(ROTACAO_RDM!$N$6:$N$71,$J480),PARAMETROS_CULTURAS!$B$6:$B$28,0),0))</f>
        <v>0</v>
      </c>
      <c r="Q480" s="8" t="str">
        <f aca="false">IF($P480=0,"-",IF($O480&lt;=INDEX(PARAMETROS_CULTURAS!$F$6:$F$28,$P480),"INICIAL",IF($O480&lt;=INDEX(PARAMETROS_CULTURAS!$F$6:$F$28,$P480)+INDEX(PARAMETROS_CULTURAS!$G$6:$G$28,$P480),"DESENVOLVIMENTO",IF($O480&lt;=INDEX(PARAMETROS_CULTURAS!$F$6:$F$28,$P480)+INDEX(PARAMETROS_CULTURAS!$G$6:$G$28,$P480)+INDEX(PARAMETROS_CULTURAS!$H$6:$H$28,$P480),"MEDIA","FINAL"))))</f>
        <v>-</v>
      </c>
      <c r="R480" s="24" t="n">
        <f aca="false">IF($P480=0,0,IF($O480&lt;=INDEX(PARAMETROS_CULTURAS!$F$6:$F$28,$P480),INDEX(PARAMETROS_CULTURAS!$K$6:$K$28,$P480),IF($O480&lt;=INDEX(PARAMETROS_CULTURAS!$F$6:$F$28,$P480)+INDEX(PARAMETROS_CULTURAS!$G$6:$G$28,$P480),INDEX(PARAMETROS_CULTURAS!$K$6:$K$28,$P480)+(INDEX(PARAMETROS_CULTURAS!$L$6:$L$28,$P480)-INDEX(PARAMETROS_CULTURAS!$K$6:$K$28,$P480))*($O480-INDEX(PARAMETROS_CULTURAS!$F$6:$F$28,$P480))/MAX(INDEX(PARAMETROS_CULTURAS!$G$6:$G$28,$P480),0.0001),IF($O480&lt;=INDEX(PARAMETROS_CULTURAS!$F$6:$F$28,$P480)+INDEX(PARAMETROS_CULTURAS!$G$6:$G$28,$P480)+INDEX(PARAMETROS_CULTURAS!$H$6:$H$28,$P480),INDEX(PARAMETROS_CULTURAS!$L$6:$L$28,$P480),INDEX(PARAMETROS_CULTURAS!$L$6:$L$28,$P480)+(INDEX(PARAMETROS_CULTURAS!$M$6:$M$28,$P480)-INDEX(PARAMETROS_CULTURAS!$L$6:$L$28,$P480))*($O480-INDEX(PARAMETROS_CULTURAS!$F$6:$F$28,$P480)-INDEX(PARAMETROS_CULTURAS!$G$6:$G$28,$P480)-INDEX(PARAMETROS_CULTURAS!$H$6:$H$28,$P480))/MAX(INDEX(PARAMETROS_CULTURAS!$I$6:$I$28,$P480),0.0001)))))</f>
        <v>0</v>
      </c>
      <c r="S480" s="18" t="n">
        <f aca="false">IFERROR(INDEX(SEMANAS!$H$6:$H$71,MATCH($B480,SEMANAS!$B$6:$B$71,0)),0)</f>
        <v>34.3</v>
      </c>
      <c r="T480" s="18" t="n">
        <f aca="false">$R480*$S480</f>
        <v>0</v>
      </c>
      <c r="U480" s="18" t="n">
        <f aca="false">IFERROR(INDEX(SEMANAS!$I$6:$I$71,MATCH($B480,SEMANAS!$B$6:$B$71,0)),0)</f>
        <v>46.69</v>
      </c>
      <c r="V480" s="18" t="n">
        <f aca="false">IFERROR(INDEX(SEMANAS!$J$6:$J$71,MATCH($B480,SEMANAS!$B$6:$B$71,0)),0)</f>
        <v>37.352</v>
      </c>
      <c r="W480" s="18" t="n">
        <f aca="false">MAX(0,$T480-$V480)</f>
        <v>0</v>
      </c>
      <c r="X480" s="19" t="n">
        <f aca="false">IFERROR(INDEX(CADASTRO_PIVOS!$K$6:$K$41,MATCH($E480,CADASTRO_PIVOS!$B$6:$B$41,0)),EFICIENCIA_PADRAO)</f>
        <v>0.85</v>
      </c>
      <c r="Y480" s="18" t="n">
        <f aca="false">IF($X480&lt;=0,0,$W480/$X480)</f>
        <v>0</v>
      </c>
      <c r="Z480" s="16" t="n">
        <f aca="false">$Y480*$H480*MM_PARA_M3_HA</f>
        <v>0</v>
      </c>
      <c r="AA480" s="18" t="n">
        <f aca="false">IFERROR(INDEX(CADASTRO_PIVOS!$I$6:$I$41,MATCH($E480,CADASTRO_PIVOS!$B$6:$B$41,0)),0)</f>
        <v>712.571428571429</v>
      </c>
      <c r="AB480" s="18" t="n">
        <f aca="false">IF($Z480&lt;=0,0,$Z480/$AA480)</f>
        <v>0</v>
      </c>
      <c r="AC480" s="16" t="n">
        <f aca="false">IFERROR(INDEX(SEMANAS!$K$6:$K$71,MATCH($B480,SEMANAS!$B$6:$B$71,0)),0)</f>
        <v>147</v>
      </c>
      <c r="AD480" s="19" t="n">
        <f aca="false">IF($AC480&lt;=0,0,$AB480/$AC480)</f>
        <v>0</v>
      </c>
      <c r="AE480" s="8" t="str">
        <f aca="false">IF($K480="SEM CULTURA","SEM CULTURA",IF($AA480&lt;=0,"DADO PENDENTE",IF($AD480&gt;LIMITE_CRITICO,"INVIAVEL",IF($AD480&gt;LIMITE_ATENCAO,"CRITICO",IF($AD480&gt;LIMITE_CONFORTAVEL,"ATENCAO","OK")))))</f>
        <v>SEM CULTURA</v>
      </c>
      <c r="AF480" s="8" t="str">
        <f aca="false">$B480&amp;"|"&amp;TEXT($AD480,"0.000000")</f>
        <v>13|0.000000</v>
      </c>
      <c r="AG480" s="18" t="n">
        <f aca="false">IF($K480="SEM CULTURA",0,$T480*$H480)</f>
        <v>0</v>
      </c>
      <c r="AH480" s="18" t="n">
        <f aca="false">IF($K480="SEM CULTURA",0,$V480*$H480)</f>
        <v>0</v>
      </c>
      <c r="AI480" s="18" t="n">
        <f aca="false">IF($K480="SEM CULTURA",0,$W480*$H480)</f>
        <v>0</v>
      </c>
      <c r="AJ480" s="18" t="n">
        <f aca="false">IF($K480="SEM CULTURA",0,$S480*$H480)</f>
        <v>0</v>
      </c>
      <c r="AK480" s="8" t="str">
        <f aca="false">$E480&amp;"|"&amp;TEXT($AD480,"0.000000")</f>
        <v>PV 103|0.000000</v>
      </c>
    </row>
    <row r="481" customFormat="false" ht="15" hidden="false" customHeight="false" outlineLevel="0" collapsed="false">
      <c r="B481" s="16" t="n">
        <v>14</v>
      </c>
      <c r="C481" s="17" t="n">
        <f aca="false">DATA_INICIO_SAFRA+($B481-1)*DIAS_POR_SEMANA</f>
        <v>46356</v>
      </c>
      <c r="D481" s="17" t="n">
        <f aca="false">$C481+DIAS_POR_SEMANA-1</f>
        <v>46362</v>
      </c>
      <c r="E481" s="15" t="s">
        <v>266</v>
      </c>
      <c r="F481" s="8" t="str">
        <f aca="false">IFERROR(INDEX(CADASTRO_PIVOS!$C$6:$C$41,MATCH($E481,CADASTRO_PIVOS!$B$6:$B$41,0)),"?")</f>
        <v>RM04</v>
      </c>
      <c r="G481" s="8" t="str">
        <f aca="false">IFERROR(INDEX(CADASTRO_PIVOS!$D$6:$D$41,MATCH($E481,CADASTRO_PIVOS!$B$6:$B$41,0)),"?")</f>
        <v>TR04</v>
      </c>
      <c r="H481" s="20" t="n">
        <f aca="false">IFERROR(INDEX(CADASTRO_PIVOS!$E$6:$E$41,MATCH($E481,CADASTRO_PIVOS!$B$6:$B$41,0)),0)</f>
        <v>99.76</v>
      </c>
      <c r="I481" s="16" t="n">
        <f aca="false">IFERROR(SUMIFS(ROTACAO_RDM!$B$6:$B$71,ROTACAO_RDM!$D$6:$D$71,$E481,ROTACAO_RDM!$I$6:$I$71,"&lt;="&amp;$C481+INT(DIAS_POR_SEMANA/2),ROTACAO_RDM!$J$6:$J$71,"&gt;="&amp;$C481+INT(DIAS_POR_SEMANA/2)),0)</f>
        <v>4</v>
      </c>
      <c r="J481" s="16" t="n">
        <f aca="false">IFERROR(MATCH($I481,ROTACAO_RDM!$B$6:$B$71,0),0)</f>
        <v>4</v>
      </c>
      <c r="K481" s="8" t="str">
        <f aca="false">IF($J481=0,"SEM CULTURA",INDEX(ROTACAO_RDM!$F$6:$F$71,$J481))</f>
        <v>ALGODAO</v>
      </c>
      <c r="L481" s="8" t="str">
        <f aca="false">IF($J481=0,"",INDEX(ROTACAO_RDM!$G$6:$G$71,$J481))</f>
        <v>IMA 707 B3XF</v>
      </c>
      <c r="M481" s="17" t="n">
        <f aca="false">IF($J481=0,"",INDEX(ROTACAO_RDM!$I$6:$I$71,$J481))</f>
        <v>46359</v>
      </c>
      <c r="N481" s="16" t="n">
        <f aca="false">IF($J481=0,0,MAX(0,$C481+INT(DIAS_POR_SEMANA/2)-INDEX(ROTACAO_RDM!$I$6:$I$71,$J481)))</f>
        <v>0</v>
      </c>
      <c r="O481" s="19" t="n">
        <f aca="false">IF($J481=0,0,MIN(1,$N481/MAX(1,INDEX(ROTACAO_RDM!$K$6:$K$71,$J481))))</f>
        <v>0</v>
      </c>
      <c r="P481" s="16" t="n">
        <f aca="false">IF($J481=0,0,IFERROR(MATCH(INDEX(ROTACAO_RDM!$N$6:$N$71,$J481),PARAMETROS_CULTURAS!$B$6:$B$28,0),0))</f>
        <v>5</v>
      </c>
      <c r="Q481" s="8" t="str">
        <f aca="false">IF($P481=0,"-",IF($O481&lt;=INDEX(PARAMETROS_CULTURAS!$F$6:$F$28,$P481),"INICIAL",IF($O481&lt;=INDEX(PARAMETROS_CULTURAS!$F$6:$F$28,$P481)+INDEX(PARAMETROS_CULTURAS!$G$6:$G$28,$P481),"DESENVOLVIMENTO",IF($O481&lt;=INDEX(PARAMETROS_CULTURAS!$F$6:$F$28,$P481)+INDEX(PARAMETROS_CULTURAS!$G$6:$G$28,$P481)+INDEX(PARAMETROS_CULTURAS!$H$6:$H$28,$P481),"MEDIA","FINAL"))))</f>
        <v>INICIAL</v>
      </c>
      <c r="R481" s="24" t="n">
        <f aca="false">IF($P481=0,0,IF($O481&lt;=INDEX(PARAMETROS_CULTURAS!$F$6:$F$28,$P481),INDEX(PARAMETROS_CULTURAS!$K$6:$K$28,$P481),IF($O481&lt;=INDEX(PARAMETROS_CULTURAS!$F$6:$F$28,$P481)+INDEX(PARAMETROS_CULTURAS!$G$6:$G$28,$P481),INDEX(PARAMETROS_CULTURAS!$K$6:$K$28,$P481)+(INDEX(PARAMETROS_CULTURAS!$L$6:$L$28,$P481)-INDEX(PARAMETROS_CULTURAS!$K$6:$K$28,$P481))*($O481-INDEX(PARAMETROS_CULTURAS!$F$6:$F$28,$P481))/MAX(INDEX(PARAMETROS_CULTURAS!$G$6:$G$28,$P481),0.0001),IF($O481&lt;=INDEX(PARAMETROS_CULTURAS!$F$6:$F$28,$P481)+INDEX(PARAMETROS_CULTURAS!$G$6:$G$28,$P481)+INDEX(PARAMETROS_CULTURAS!$H$6:$H$28,$P481),INDEX(PARAMETROS_CULTURAS!$L$6:$L$28,$P481),INDEX(PARAMETROS_CULTURAS!$L$6:$L$28,$P481)+(INDEX(PARAMETROS_CULTURAS!$M$6:$M$28,$P481)-INDEX(PARAMETROS_CULTURAS!$L$6:$L$28,$P481))*($O481-INDEX(PARAMETROS_CULTURAS!$F$6:$F$28,$P481)-INDEX(PARAMETROS_CULTURAS!$G$6:$G$28,$P481)-INDEX(PARAMETROS_CULTURAS!$H$6:$H$28,$P481))/MAX(INDEX(PARAMETROS_CULTURAS!$I$6:$I$28,$P481),0.0001)))))</f>
        <v>0.35</v>
      </c>
      <c r="S481" s="18" t="n">
        <f aca="false">IFERROR(INDEX(SEMANAS!$H$6:$H$71,MATCH($B481,SEMANAS!$B$6:$B$71,0)),0)</f>
        <v>33.1</v>
      </c>
      <c r="T481" s="18" t="n">
        <f aca="false">$R481*$S481</f>
        <v>11.585</v>
      </c>
      <c r="U481" s="18" t="n">
        <f aca="false">IFERROR(INDEX(SEMANAS!$I$6:$I$71,MATCH($B481,SEMANAS!$B$6:$B$71,0)),0)</f>
        <v>48.31</v>
      </c>
      <c r="V481" s="18" t="n">
        <f aca="false">IFERROR(INDEX(SEMANAS!$J$6:$J$71,MATCH($B481,SEMANAS!$B$6:$B$71,0)),0)</f>
        <v>38.648</v>
      </c>
      <c r="W481" s="18" t="n">
        <f aca="false">MAX(0,$T481-$V481)</f>
        <v>0</v>
      </c>
      <c r="X481" s="19" t="n">
        <f aca="false">IFERROR(INDEX(CADASTRO_PIVOS!$K$6:$K$41,MATCH($E481,CADASTRO_PIVOS!$B$6:$B$41,0)),EFICIENCIA_PADRAO)</f>
        <v>0.85</v>
      </c>
      <c r="Y481" s="18" t="n">
        <f aca="false">IF($X481&lt;=0,0,$W481/$X481)</f>
        <v>0</v>
      </c>
      <c r="Z481" s="16" t="n">
        <f aca="false">$Y481*$H481*MM_PARA_M3_HA</f>
        <v>0</v>
      </c>
      <c r="AA481" s="18" t="n">
        <f aca="false">IFERROR(INDEX(CADASTRO_PIVOS!$I$6:$I$41,MATCH($E481,CADASTRO_PIVOS!$B$6:$B$41,0)),0)</f>
        <v>712.571428571429</v>
      </c>
      <c r="AB481" s="18" t="n">
        <f aca="false">IF($Z481&lt;=0,0,$Z481/$AA481)</f>
        <v>0</v>
      </c>
      <c r="AC481" s="16" t="n">
        <f aca="false">IFERROR(INDEX(SEMANAS!$K$6:$K$71,MATCH($B481,SEMANAS!$B$6:$B$71,0)),0)</f>
        <v>147</v>
      </c>
      <c r="AD481" s="19" t="n">
        <f aca="false">IF($AC481&lt;=0,0,$AB481/$AC481)</f>
        <v>0</v>
      </c>
      <c r="AE481" s="8" t="str">
        <f aca="false">IF($K481="SEM CULTURA","SEM CULTURA",IF($AA481&lt;=0,"DADO PENDENTE",IF($AD481&gt;LIMITE_CRITICO,"INVIAVEL",IF($AD481&gt;LIMITE_ATENCAO,"CRITICO",IF($AD481&gt;LIMITE_CONFORTAVEL,"ATENCAO","OK")))))</f>
        <v>OK</v>
      </c>
      <c r="AF481" s="8" t="str">
        <f aca="false">$B481&amp;"|"&amp;TEXT($AD481,"0.000000")</f>
        <v>14|0.000000</v>
      </c>
      <c r="AG481" s="18" t="n">
        <f aca="false">IF($K481="SEM CULTURA",0,$T481*$H481)</f>
        <v>1155.7196</v>
      </c>
      <c r="AH481" s="18" t="n">
        <f aca="false">IF($K481="SEM CULTURA",0,$V481*$H481)</f>
        <v>3855.52448</v>
      </c>
      <c r="AI481" s="18" t="n">
        <f aca="false">IF($K481="SEM CULTURA",0,$W481*$H481)</f>
        <v>0</v>
      </c>
      <c r="AJ481" s="18" t="n">
        <f aca="false">IF($K481="SEM CULTURA",0,$S481*$H481)</f>
        <v>3302.056</v>
      </c>
      <c r="AK481" s="8" t="str">
        <f aca="false">$E481&amp;"|"&amp;TEXT($AD481,"0.000000")</f>
        <v>PV 103|0.000000</v>
      </c>
    </row>
    <row r="482" customFormat="false" ht="15" hidden="false" customHeight="false" outlineLevel="0" collapsed="false">
      <c r="B482" s="16" t="n">
        <v>15</v>
      </c>
      <c r="C482" s="17" t="n">
        <f aca="false">DATA_INICIO_SAFRA+($B482-1)*DIAS_POR_SEMANA</f>
        <v>46363</v>
      </c>
      <c r="D482" s="17" t="n">
        <f aca="false">$C482+DIAS_POR_SEMANA-1</f>
        <v>46369</v>
      </c>
      <c r="E482" s="15" t="s">
        <v>266</v>
      </c>
      <c r="F482" s="8" t="str">
        <f aca="false">IFERROR(INDEX(CADASTRO_PIVOS!$C$6:$C$41,MATCH($E482,CADASTRO_PIVOS!$B$6:$B$41,0)),"?")</f>
        <v>RM04</v>
      </c>
      <c r="G482" s="8" t="str">
        <f aca="false">IFERROR(INDEX(CADASTRO_PIVOS!$D$6:$D$41,MATCH($E482,CADASTRO_PIVOS!$B$6:$B$41,0)),"?")</f>
        <v>TR04</v>
      </c>
      <c r="H482" s="20" t="n">
        <f aca="false">IFERROR(INDEX(CADASTRO_PIVOS!$E$6:$E$41,MATCH($E482,CADASTRO_PIVOS!$B$6:$B$41,0)),0)</f>
        <v>99.76</v>
      </c>
      <c r="I482" s="16" t="n">
        <f aca="false">IFERROR(SUMIFS(ROTACAO_RDM!$B$6:$B$71,ROTACAO_RDM!$D$6:$D$71,$E482,ROTACAO_RDM!$I$6:$I$71,"&lt;="&amp;$C482+INT(DIAS_POR_SEMANA/2),ROTACAO_RDM!$J$6:$J$71,"&gt;="&amp;$C482+INT(DIAS_POR_SEMANA/2)),0)</f>
        <v>4</v>
      </c>
      <c r="J482" s="16" t="n">
        <f aca="false">IFERROR(MATCH($I482,ROTACAO_RDM!$B$6:$B$71,0),0)</f>
        <v>4</v>
      </c>
      <c r="K482" s="8" t="str">
        <f aca="false">IF($J482=0,"SEM CULTURA",INDEX(ROTACAO_RDM!$F$6:$F$71,$J482))</f>
        <v>ALGODAO</v>
      </c>
      <c r="L482" s="8" t="str">
        <f aca="false">IF($J482=0,"",INDEX(ROTACAO_RDM!$G$6:$G$71,$J482))</f>
        <v>IMA 707 B3XF</v>
      </c>
      <c r="M482" s="17" t="n">
        <f aca="false">IF($J482=0,"",INDEX(ROTACAO_RDM!$I$6:$I$71,$J482))</f>
        <v>46359</v>
      </c>
      <c r="N482" s="16" t="n">
        <f aca="false">IF($J482=0,0,MAX(0,$C482+INT(DIAS_POR_SEMANA/2)-INDEX(ROTACAO_RDM!$I$6:$I$71,$J482)))</f>
        <v>7</v>
      </c>
      <c r="O482" s="19" t="n">
        <f aca="false">IF($J482=0,0,MIN(1,$N482/MAX(1,INDEX(ROTACAO_RDM!$K$6:$K$71,$J482))))</f>
        <v>0.0358974358974359</v>
      </c>
      <c r="P482" s="16" t="n">
        <f aca="false">IF($J482=0,0,IFERROR(MATCH(INDEX(ROTACAO_RDM!$N$6:$N$71,$J482),PARAMETROS_CULTURAS!$B$6:$B$28,0),0))</f>
        <v>5</v>
      </c>
      <c r="Q482" s="8" t="str">
        <f aca="false">IF($P482=0,"-",IF($O482&lt;=INDEX(PARAMETROS_CULTURAS!$F$6:$F$28,$P482),"INICIAL",IF($O482&lt;=INDEX(PARAMETROS_CULTURAS!$F$6:$F$28,$P482)+INDEX(PARAMETROS_CULTURAS!$G$6:$G$28,$P482),"DESENVOLVIMENTO",IF($O482&lt;=INDEX(PARAMETROS_CULTURAS!$F$6:$F$28,$P482)+INDEX(PARAMETROS_CULTURAS!$G$6:$G$28,$P482)+INDEX(PARAMETROS_CULTURAS!$H$6:$H$28,$P482),"MEDIA","FINAL"))))</f>
        <v>INICIAL</v>
      </c>
      <c r="R482" s="24" t="n">
        <f aca="false">IF($P482=0,0,IF($O482&lt;=INDEX(PARAMETROS_CULTURAS!$F$6:$F$28,$P482),INDEX(PARAMETROS_CULTURAS!$K$6:$K$28,$P482),IF($O482&lt;=INDEX(PARAMETROS_CULTURAS!$F$6:$F$28,$P482)+INDEX(PARAMETROS_CULTURAS!$G$6:$G$28,$P482),INDEX(PARAMETROS_CULTURAS!$K$6:$K$28,$P482)+(INDEX(PARAMETROS_CULTURAS!$L$6:$L$28,$P482)-INDEX(PARAMETROS_CULTURAS!$K$6:$K$28,$P482))*($O482-INDEX(PARAMETROS_CULTURAS!$F$6:$F$28,$P482))/MAX(INDEX(PARAMETROS_CULTURAS!$G$6:$G$28,$P482),0.0001),IF($O482&lt;=INDEX(PARAMETROS_CULTURAS!$F$6:$F$28,$P482)+INDEX(PARAMETROS_CULTURAS!$G$6:$G$28,$P482)+INDEX(PARAMETROS_CULTURAS!$H$6:$H$28,$P482),INDEX(PARAMETROS_CULTURAS!$L$6:$L$28,$P482),INDEX(PARAMETROS_CULTURAS!$L$6:$L$28,$P482)+(INDEX(PARAMETROS_CULTURAS!$M$6:$M$28,$P482)-INDEX(PARAMETROS_CULTURAS!$L$6:$L$28,$P482))*($O482-INDEX(PARAMETROS_CULTURAS!$F$6:$F$28,$P482)-INDEX(PARAMETROS_CULTURAS!$G$6:$G$28,$P482)-INDEX(PARAMETROS_CULTURAS!$H$6:$H$28,$P482))/MAX(INDEX(PARAMETROS_CULTURAS!$I$6:$I$28,$P482),0.0001)))))</f>
        <v>0.35</v>
      </c>
      <c r="S482" s="18" t="n">
        <f aca="false">IFERROR(INDEX(SEMANAS!$H$6:$H$71,MATCH($B482,SEMANAS!$B$6:$B$71,0)),0)</f>
        <v>32.9</v>
      </c>
      <c r="T482" s="18" t="n">
        <f aca="false">$R482*$S482</f>
        <v>11.515</v>
      </c>
      <c r="U482" s="18" t="n">
        <f aca="false">IFERROR(INDEX(SEMANAS!$I$6:$I$71,MATCH($B482,SEMANAS!$B$6:$B$71,0)),0)</f>
        <v>48.58</v>
      </c>
      <c r="V482" s="18" t="n">
        <f aca="false">IFERROR(INDEX(SEMANAS!$J$6:$J$71,MATCH($B482,SEMANAS!$B$6:$B$71,0)),0)</f>
        <v>38.864</v>
      </c>
      <c r="W482" s="18" t="n">
        <f aca="false">MAX(0,$T482-$V482)</f>
        <v>0</v>
      </c>
      <c r="X482" s="19" t="n">
        <f aca="false">IFERROR(INDEX(CADASTRO_PIVOS!$K$6:$K$41,MATCH($E482,CADASTRO_PIVOS!$B$6:$B$41,0)),EFICIENCIA_PADRAO)</f>
        <v>0.85</v>
      </c>
      <c r="Y482" s="18" t="n">
        <f aca="false">IF($X482&lt;=0,0,$W482/$X482)</f>
        <v>0</v>
      </c>
      <c r="Z482" s="16" t="n">
        <f aca="false">$Y482*$H482*MM_PARA_M3_HA</f>
        <v>0</v>
      </c>
      <c r="AA482" s="18" t="n">
        <f aca="false">IFERROR(INDEX(CADASTRO_PIVOS!$I$6:$I$41,MATCH($E482,CADASTRO_PIVOS!$B$6:$B$41,0)),0)</f>
        <v>712.571428571429</v>
      </c>
      <c r="AB482" s="18" t="n">
        <f aca="false">IF($Z482&lt;=0,0,$Z482/$AA482)</f>
        <v>0</v>
      </c>
      <c r="AC482" s="16" t="n">
        <f aca="false">IFERROR(INDEX(SEMANAS!$K$6:$K$71,MATCH($B482,SEMANAS!$B$6:$B$71,0)),0)</f>
        <v>147</v>
      </c>
      <c r="AD482" s="19" t="n">
        <f aca="false">IF($AC482&lt;=0,0,$AB482/$AC482)</f>
        <v>0</v>
      </c>
      <c r="AE482" s="8" t="str">
        <f aca="false">IF($K482="SEM CULTURA","SEM CULTURA",IF($AA482&lt;=0,"DADO PENDENTE",IF($AD482&gt;LIMITE_CRITICO,"INVIAVEL",IF($AD482&gt;LIMITE_ATENCAO,"CRITICO",IF($AD482&gt;LIMITE_CONFORTAVEL,"ATENCAO","OK")))))</f>
        <v>OK</v>
      </c>
      <c r="AF482" s="8" t="str">
        <f aca="false">$B482&amp;"|"&amp;TEXT($AD482,"0.000000")</f>
        <v>15|0.000000</v>
      </c>
      <c r="AG482" s="18" t="n">
        <f aca="false">IF($K482="SEM CULTURA",0,$T482*$H482)</f>
        <v>1148.7364</v>
      </c>
      <c r="AH482" s="18" t="n">
        <f aca="false">IF($K482="SEM CULTURA",0,$V482*$H482)</f>
        <v>3877.07264</v>
      </c>
      <c r="AI482" s="18" t="n">
        <f aca="false">IF($K482="SEM CULTURA",0,$W482*$H482)</f>
        <v>0</v>
      </c>
      <c r="AJ482" s="18" t="n">
        <f aca="false">IF($K482="SEM CULTURA",0,$S482*$H482)</f>
        <v>3282.104</v>
      </c>
      <c r="AK482" s="8" t="str">
        <f aca="false">$E482&amp;"|"&amp;TEXT($AD482,"0.000000")</f>
        <v>PV 103|0.000000</v>
      </c>
    </row>
    <row r="483" customFormat="false" ht="15" hidden="false" customHeight="false" outlineLevel="0" collapsed="false">
      <c r="B483" s="16" t="n">
        <v>16</v>
      </c>
      <c r="C483" s="17" t="n">
        <f aca="false">DATA_INICIO_SAFRA+($B483-1)*DIAS_POR_SEMANA</f>
        <v>46370</v>
      </c>
      <c r="D483" s="17" t="n">
        <f aca="false">$C483+DIAS_POR_SEMANA-1</f>
        <v>46376</v>
      </c>
      <c r="E483" s="15" t="s">
        <v>266</v>
      </c>
      <c r="F483" s="8" t="str">
        <f aca="false">IFERROR(INDEX(CADASTRO_PIVOS!$C$6:$C$41,MATCH($E483,CADASTRO_PIVOS!$B$6:$B$41,0)),"?")</f>
        <v>RM04</v>
      </c>
      <c r="G483" s="8" t="str">
        <f aca="false">IFERROR(INDEX(CADASTRO_PIVOS!$D$6:$D$41,MATCH($E483,CADASTRO_PIVOS!$B$6:$B$41,0)),"?")</f>
        <v>TR04</v>
      </c>
      <c r="H483" s="20" t="n">
        <f aca="false">IFERROR(INDEX(CADASTRO_PIVOS!$E$6:$E$41,MATCH($E483,CADASTRO_PIVOS!$B$6:$B$41,0)),0)</f>
        <v>99.76</v>
      </c>
      <c r="I483" s="16" t="n">
        <f aca="false">IFERROR(SUMIFS(ROTACAO_RDM!$B$6:$B$71,ROTACAO_RDM!$D$6:$D$71,$E483,ROTACAO_RDM!$I$6:$I$71,"&lt;="&amp;$C483+INT(DIAS_POR_SEMANA/2),ROTACAO_RDM!$J$6:$J$71,"&gt;="&amp;$C483+INT(DIAS_POR_SEMANA/2)),0)</f>
        <v>4</v>
      </c>
      <c r="J483" s="16" t="n">
        <f aca="false">IFERROR(MATCH($I483,ROTACAO_RDM!$B$6:$B$71,0),0)</f>
        <v>4</v>
      </c>
      <c r="K483" s="8" t="str">
        <f aca="false">IF($J483=0,"SEM CULTURA",INDEX(ROTACAO_RDM!$F$6:$F$71,$J483))</f>
        <v>ALGODAO</v>
      </c>
      <c r="L483" s="8" t="str">
        <f aca="false">IF($J483=0,"",INDEX(ROTACAO_RDM!$G$6:$G$71,$J483))</f>
        <v>IMA 707 B3XF</v>
      </c>
      <c r="M483" s="17" t="n">
        <f aca="false">IF($J483=0,"",INDEX(ROTACAO_RDM!$I$6:$I$71,$J483))</f>
        <v>46359</v>
      </c>
      <c r="N483" s="16" t="n">
        <f aca="false">IF($J483=0,0,MAX(0,$C483+INT(DIAS_POR_SEMANA/2)-INDEX(ROTACAO_RDM!$I$6:$I$71,$J483)))</f>
        <v>14</v>
      </c>
      <c r="O483" s="19" t="n">
        <f aca="false">IF($J483=0,0,MIN(1,$N483/MAX(1,INDEX(ROTACAO_RDM!$K$6:$K$71,$J483))))</f>
        <v>0.0717948717948718</v>
      </c>
      <c r="P483" s="16" t="n">
        <f aca="false">IF($J483=0,0,IFERROR(MATCH(INDEX(ROTACAO_RDM!$N$6:$N$71,$J483),PARAMETROS_CULTURAS!$B$6:$B$28,0),0))</f>
        <v>5</v>
      </c>
      <c r="Q483" s="8" t="str">
        <f aca="false">IF($P483=0,"-",IF($O483&lt;=INDEX(PARAMETROS_CULTURAS!$F$6:$F$28,$P483),"INICIAL",IF($O483&lt;=INDEX(PARAMETROS_CULTURAS!$F$6:$F$28,$P483)+INDEX(PARAMETROS_CULTURAS!$G$6:$G$28,$P483),"DESENVOLVIMENTO",IF($O483&lt;=INDEX(PARAMETROS_CULTURAS!$F$6:$F$28,$P483)+INDEX(PARAMETROS_CULTURAS!$G$6:$G$28,$P483)+INDEX(PARAMETROS_CULTURAS!$H$6:$H$28,$P483),"MEDIA","FINAL"))))</f>
        <v>INICIAL</v>
      </c>
      <c r="R483" s="24" t="n">
        <f aca="false">IF($P483=0,0,IF($O483&lt;=INDEX(PARAMETROS_CULTURAS!$F$6:$F$28,$P483),INDEX(PARAMETROS_CULTURAS!$K$6:$K$28,$P483),IF($O483&lt;=INDEX(PARAMETROS_CULTURAS!$F$6:$F$28,$P483)+INDEX(PARAMETROS_CULTURAS!$G$6:$G$28,$P483),INDEX(PARAMETROS_CULTURAS!$K$6:$K$28,$P483)+(INDEX(PARAMETROS_CULTURAS!$L$6:$L$28,$P483)-INDEX(PARAMETROS_CULTURAS!$K$6:$K$28,$P483))*($O483-INDEX(PARAMETROS_CULTURAS!$F$6:$F$28,$P483))/MAX(INDEX(PARAMETROS_CULTURAS!$G$6:$G$28,$P483),0.0001),IF($O483&lt;=INDEX(PARAMETROS_CULTURAS!$F$6:$F$28,$P483)+INDEX(PARAMETROS_CULTURAS!$G$6:$G$28,$P483)+INDEX(PARAMETROS_CULTURAS!$H$6:$H$28,$P483),INDEX(PARAMETROS_CULTURAS!$L$6:$L$28,$P483),INDEX(PARAMETROS_CULTURAS!$L$6:$L$28,$P483)+(INDEX(PARAMETROS_CULTURAS!$M$6:$M$28,$P483)-INDEX(PARAMETROS_CULTURAS!$L$6:$L$28,$P483))*($O483-INDEX(PARAMETROS_CULTURAS!$F$6:$F$28,$P483)-INDEX(PARAMETROS_CULTURAS!$G$6:$G$28,$P483)-INDEX(PARAMETROS_CULTURAS!$H$6:$H$28,$P483))/MAX(INDEX(PARAMETROS_CULTURAS!$I$6:$I$28,$P483),0.0001)))))</f>
        <v>0.35</v>
      </c>
      <c r="S483" s="18" t="n">
        <f aca="false">IFERROR(INDEX(SEMANAS!$H$6:$H$71,MATCH($B483,SEMANAS!$B$6:$B$71,0)),0)</f>
        <v>32.9</v>
      </c>
      <c r="T483" s="18" t="n">
        <f aca="false">$R483*$S483</f>
        <v>11.515</v>
      </c>
      <c r="U483" s="18" t="n">
        <f aca="false">IFERROR(INDEX(SEMANAS!$I$6:$I$71,MATCH($B483,SEMANAS!$B$6:$B$71,0)),0)</f>
        <v>48.58</v>
      </c>
      <c r="V483" s="18" t="n">
        <f aca="false">IFERROR(INDEX(SEMANAS!$J$6:$J$71,MATCH($B483,SEMANAS!$B$6:$B$71,0)),0)</f>
        <v>38.864</v>
      </c>
      <c r="W483" s="18" t="n">
        <f aca="false">MAX(0,$T483-$V483)</f>
        <v>0</v>
      </c>
      <c r="X483" s="19" t="n">
        <f aca="false">IFERROR(INDEX(CADASTRO_PIVOS!$K$6:$K$41,MATCH($E483,CADASTRO_PIVOS!$B$6:$B$41,0)),EFICIENCIA_PADRAO)</f>
        <v>0.85</v>
      </c>
      <c r="Y483" s="18" t="n">
        <f aca="false">IF($X483&lt;=0,0,$W483/$X483)</f>
        <v>0</v>
      </c>
      <c r="Z483" s="16" t="n">
        <f aca="false">$Y483*$H483*MM_PARA_M3_HA</f>
        <v>0</v>
      </c>
      <c r="AA483" s="18" t="n">
        <f aca="false">IFERROR(INDEX(CADASTRO_PIVOS!$I$6:$I$41,MATCH($E483,CADASTRO_PIVOS!$B$6:$B$41,0)),0)</f>
        <v>712.571428571429</v>
      </c>
      <c r="AB483" s="18" t="n">
        <f aca="false">IF($Z483&lt;=0,0,$Z483/$AA483)</f>
        <v>0</v>
      </c>
      <c r="AC483" s="16" t="n">
        <f aca="false">IFERROR(INDEX(SEMANAS!$K$6:$K$71,MATCH($B483,SEMANAS!$B$6:$B$71,0)),0)</f>
        <v>147</v>
      </c>
      <c r="AD483" s="19" t="n">
        <f aca="false">IF($AC483&lt;=0,0,$AB483/$AC483)</f>
        <v>0</v>
      </c>
      <c r="AE483" s="8" t="str">
        <f aca="false">IF($K483="SEM CULTURA","SEM CULTURA",IF($AA483&lt;=0,"DADO PENDENTE",IF($AD483&gt;LIMITE_CRITICO,"INVIAVEL",IF($AD483&gt;LIMITE_ATENCAO,"CRITICO",IF($AD483&gt;LIMITE_CONFORTAVEL,"ATENCAO","OK")))))</f>
        <v>OK</v>
      </c>
      <c r="AF483" s="8" t="str">
        <f aca="false">$B483&amp;"|"&amp;TEXT($AD483,"0.000000")</f>
        <v>16|0.000000</v>
      </c>
      <c r="AG483" s="18" t="n">
        <f aca="false">IF($K483="SEM CULTURA",0,$T483*$H483)</f>
        <v>1148.7364</v>
      </c>
      <c r="AH483" s="18" t="n">
        <f aca="false">IF($K483="SEM CULTURA",0,$V483*$H483)</f>
        <v>3877.07264</v>
      </c>
      <c r="AI483" s="18" t="n">
        <f aca="false">IF($K483="SEM CULTURA",0,$W483*$H483)</f>
        <v>0</v>
      </c>
      <c r="AJ483" s="18" t="n">
        <f aca="false">IF($K483="SEM CULTURA",0,$S483*$H483)</f>
        <v>3282.104</v>
      </c>
      <c r="AK483" s="8" t="str">
        <f aca="false">$E483&amp;"|"&amp;TEXT($AD483,"0.000000")</f>
        <v>PV 103|0.000000</v>
      </c>
    </row>
    <row r="484" customFormat="false" ht="15" hidden="false" customHeight="false" outlineLevel="0" collapsed="false">
      <c r="B484" s="16" t="n">
        <v>17</v>
      </c>
      <c r="C484" s="17" t="n">
        <f aca="false">DATA_INICIO_SAFRA+($B484-1)*DIAS_POR_SEMANA</f>
        <v>46377</v>
      </c>
      <c r="D484" s="17" t="n">
        <f aca="false">$C484+DIAS_POR_SEMANA-1</f>
        <v>46383</v>
      </c>
      <c r="E484" s="15" t="s">
        <v>266</v>
      </c>
      <c r="F484" s="8" t="str">
        <f aca="false">IFERROR(INDEX(CADASTRO_PIVOS!$C$6:$C$41,MATCH($E484,CADASTRO_PIVOS!$B$6:$B$41,0)),"?")</f>
        <v>RM04</v>
      </c>
      <c r="G484" s="8" t="str">
        <f aca="false">IFERROR(INDEX(CADASTRO_PIVOS!$D$6:$D$41,MATCH($E484,CADASTRO_PIVOS!$B$6:$B$41,0)),"?")</f>
        <v>TR04</v>
      </c>
      <c r="H484" s="20" t="n">
        <f aca="false">IFERROR(INDEX(CADASTRO_PIVOS!$E$6:$E$41,MATCH($E484,CADASTRO_PIVOS!$B$6:$B$41,0)),0)</f>
        <v>99.76</v>
      </c>
      <c r="I484" s="16" t="n">
        <f aca="false">IFERROR(SUMIFS(ROTACAO_RDM!$B$6:$B$71,ROTACAO_RDM!$D$6:$D$71,$E484,ROTACAO_RDM!$I$6:$I$71,"&lt;="&amp;$C484+INT(DIAS_POR_SEMANA/2),ROTACAO_RDM!$J$6:$J$71,"&gt;="&amp;$C484+INT(DIAS_POR_SEMANA/2)),0)</f>
        <v>4</v>
      </c>
      <c r="J484" s="16" t="n">
        <f aca="false">IFERROR(MATCH($I484,ROTACAO_RDM!$B$6:$B$71,0),0)</f>
        <v>4</v>
      </c>
      <c r="K484" s="8" t="str">
        <f aca="false">IF($J484=0,"SEM CULTURA",INDEX(ROTACAO_RDM!$F$6:$F$71,$J484))</f>
        <v>ALGODAO</v>
      </c>
      <c r="L484" s="8" t="str">
        <f aca="false">IF($J484=0,"",INDEX(ROTACAO_RDM!$G$6:$G$71,$J484))</f>
        <v>IMA 707 B3XF</v>
      </c>
      <c r="M484" s="17" t="n">
        <f aca="false">IF($J484=0,"",INDEX(ROTACAO_RDM!$I$6:$I$71,$J484))</f>
        <v>46359</v>
      </c>
      <c r="N484" s="16" t="n">
        <f aca="false">IF($J484=0,0,MAX(0,$C484+INT(DIAS_POR_SEMANA/2)-INDEX(ROTACAO_RDM!$I$6:$I$71,$J484)))</f>
        <v>21</v>
      </c>
      <c r="O484" s="19" t="n">
        <f aca="false">IF($J484=0,0,MIN(1,$N484/MAX(1,INDEX(ROTACAO_RDM!$K$6:$K$71,$J484))))</f>
        <v>0.107692307692308</v>
      </c>
      <c r="P484" s="16" t="n">
        <f aca="false">IF($J484=0,0,IFERROR(MATCH(INDEX(ROTACAO_RDM!$N$6:$N$71,$J484),PARAMETROS_CULTURAS!$B$6:$B$28,0),0))</f>
        <v>5</v>
      </c>
      <c r="Q484" s="8" t="str">
        <f aca="false">IF($P484=0,"-",IF($O484&lt;=INDEX(PARAMETROS_CULTURAS!$F$6:$F$28,$P484),"INICIAL",IF($O484&lt;=INDEX(PARAMETROS_CULTURAS!$F$6:$F$28,$P484)+INDEX(PARAMETROS_CULTURAS!$G$6:$G$28,$P484),"DESENVOLVIMENTO",IF($O484&lt;=INDEX(PARAMETROS_CULTURAS!$F$6:$F$28,$P484)+INDEX(PARAMETROS_CULTURAS!$G$6:$G$28,$P484)+INDEX(PARAMETROS_CULTURAS!$H$6:$H$28,$P484),"MEDIA","FINAL"))))</f>
        <v>INICIAL</v>
      </c>
      <c r="R484" s="24" t="n">
        <f aca="false">IF($P484=0,0,IF($O484&lt;=INDEX(PARAMETROS_CULTURAS!$F$6:$F$28,$P484),INDEX(PARAMETROS_CULTURAS!$K$6:$K$28,$P484),IF($O484&lt;=INDEX(PARAMETROS_CULTURAS!$F$6:$F$28,$P484)+INDEX(PARAMETROS_CULTURAS!$G$6:$G$28,$P484),INDEX(PARAMETROS_CULTURAS!$K$6:$K$28,$P484)+(INDEX(PARAMETROS_CULTURAS!$L$6:$L$28,$P484)-INDEX(PARAMETROS_CULTURAS!$K$6:$K$28,$P484))*($O484-INDEX(PARAMETROS_CULTURAS!$F$6:$F$28,$P484))/MAX(INDEX(PARAMETROS_CULTURAS!$G$6:$G$28,$P484),0.0001),IF($O484&lt;=INDEX(PARAMETROS_CULTURAS!$F$6:$F$28,$P484)+INDEX(PARAMETROS_CULTURAS!$G$6:$G$28,$P484)+INDEX(PARAMETROS_CULTURAS!$H$6:$H$28,$P484),INDEX(PARAMETROS_CULTURAS!$L$6:$L$28,$P484),INDEX(PARAMETROS_CULTURAS!$L$6:$L$28,$P484)+(INDEX(PARAMETROS_CULTURAS!$M$6:$M$28,$P484)-INDEX(PARAMETROS_CULTURAS!$L$6:$L$28,$P484))*($O484-INDEX(PARAMETROS_CULTURAS!$F$6:$F$28,$P484)-INDEX(PARAMETROS_CULTURAS!$G$6:$G$28,$P484)-INDEX(PARAMETROS_CULTURAS!$H$6:$H$28,$P484))/MAX(INDEX(PARAMETROS_CULTURAS!$I$6:$I$28,$P484),0.0001)))))</f>
        <v>0.35</v>
      </c>
      <c r="S484" s="18" t="n">
        <f aca="false">IFERROR(INDEX(SEMANAS!$H$6:$H$71,MATCH($B484,SEMANAS!$B$6:$B$71,0)),0)</f>
        <v>32.9</v>
      </c>
      <c r="T484" s="18" t="n">
        <f aca="false">$R484*$S484</f>
        <v>11.515</v>
      </c>
      <c r="U484" s="18" t="n">
        <f aca="false">IFERROR(INDEX(SEMANAS!$I$6:$I$71,MATCH($B484,SEMANAS!$B$6:$B$71,0)),0)</f>
        <v>48.58</v>
      </c>
      <c r="V484" s="18" t="n">
        <f aca="false">IFERROR(INDEX(SEMANAS!$J$6:$J$71,MATCH($B484,SEMANAS!$B$6:$B$71,0)),0)</f>
        <v>38.864</v>
      </c>
      <c r="W484" s="18" t="n">
        <f aca="false">MAX(0,$T484-$V484)</f>
        <v>0</v>
      </c>
      <c r="X484" s="19" t="n">
        <f aca="false">IFERROR(INDEX(CADASTRO_PIVOS!$K$6:$K$41,MATCH($E484,CADASTRO_PIVOS!$B$6:$B$41,0)),EFICIENCIA_PADRAO)</f>
        <v>0.85</v>
      </c>
      <c r="Y484" s="18" t="n">
        <f aca="false">IF($X484&lt;=0,0,$W484/$X484)</f>
        <v>0</v>
      </c>
      <c r="Z484" s="16" t="n">
        <f aca="false">$Y484*$H484*MM_PARA_M3_HA</f>
        <v>0</v>
      </c>
      <c r="AA484" s="18" t="n">
        <f aca="false">IFERROR(INDEX(CADASTRO_PIVOS!$I$6:$I$41,MATCH($E484,CADASTRO_PIVOS!$B$6:$B$41,0)),0)</f>
        <v>712.571428571429</v>
      </c>
      <c r="AB484" s="18" t="n">
        <f aca="false">IF($Z484&lt;=0,0,$Z484/$AA484)</f>
        <v>0</v>
      </c>
      <c r="AC484" s="16" t="n">
        <f aca="false">IFERROR(INDEX(SEMANAS!$K$6:$K$71,MATCH($B484,SEMANAS!$B$6:$B$71,0)),0)</f>
        <v>147</v>
      </c>
      <c r="AD484" s="19" t="n">
        <f aca="false">IF($AC484&lt;=0,0,$AB484/$AC484)</f>
        <v>0</v>
      </c>
      <c r="AE484" s="8" t="str">
        <f aca="false">IF($K484="SEM CULTURA","SEM CULTURA",IF($AA484&lt;=0,"DADO PENDENTE",IF($AD484&gt;LIMITE_CRITICO,"INVIAVEL",IF($AD484&gt;LIMITE_ATENCAO,"CRITICO",IF($AD484&gt;LIMITE_CONFORTAVEL,"ATENCAO","OK")))))</f>
        <v>OK</v>
      </c>
      <c r="AF484" s="8" t="str">
        <f aca="false">$B484&amp;"|"&amp;TEXT($AD484,"0.000000")</f>
        <v>17|0.000000</v>
      </c>
      <c r="AG484" s="18" t="n">
        <f aca="false">IF($K484="SEM CULTURA",0,$T484*$H484)</f>
        <v>1148.7364</v>
      </c>
      <c r="AH484" s="18" t="n">
        <f aca="false">IF($K484="SEM CULTURA",0,$V484*$H484)</f>
        <v>3877.07264</v>
      </c>
      <c r="AI484" s="18" t="n">
        <f aca="false">IF($K484="SEM CULTURA",0,$W484*$H484)</f>
        <v>0</v>
      </c>
      <c r="AJ484" s="18" t="n">
        <f aca="false">IF($K484="SEM CULTURA",0,$S484*$H484)</f>
        <v>3282.104</v>
      </c>
      <c r="AK484" s="8" t="str">
        <f aca="false">$E484&amp;"|"&amp;TEXT($AD484,"0.000000")</f>
        <v>PV 103|0.000000</v>
      </c>
    </row>
    <row r="485" customFormat="false" ht="15" hidden="false" customHeight="false" outlineLevel="0" collapsed="false">
      <c r="B485" s="16" t="n">
        <v>18</v>
      </c>
      <c r="C485" s="17" t="n">
        <f aca="false">DATA_INICIO_SAFRA+($B485-1)*DIAS_POR_SEMANA</f>
        <v>46384</v>
      </c>
      <c r="D485" s="17" t="n">
        <f aca="false">$C485+DIAS_POR_SEMANA-1</f>
        <v>46390</v>
      </c>
      <c r="E485" s="15" t="s">
        <v>266</v>
      </c>
      <c r="F485" s="8" t="str">
        <f aca="false">IFERROR(INDEX(CADASTRO_PIVOS!$C$6:$C$41,MATCH($E485,CADASTRO_PIVOS!$B$6:$B$41,0)),"?")</f>
        <v>RM04</v>
      </c>
      <c r="G485" s="8" t="str">
        <f aca="false">IFERROR(INDEX(CADASTRO_PIVOS!$D$6:$D$41,MATCH($E485,CADASTRO_PIVOS!$B$6:$B$41,0)),"?")</f>
        <v>TR04</v>
      </c>
      <c r="H485" s="20" t="n">
        <f aca="false">IFERROR(INDEX(CADASTRO_PIVOS!$E$6:$E$41,MATCH($E485,CADASTRO_PIVOS!$B$6:$B$41,0)),0)</f>
        <v>99.76</v>
      </c>
      <c r="I485" s="16" t="n">
        <f aca="false">IFERROR(SUMIFS(ROTACAO_RDM!$B$6:$B$71,ROTACAO_RDM!$D$6:$D$71,$E485,ROTACAO_RDM!$I$6:$I$71,"&lt;="&amp;$C485+INT(DIAS_POR_SEMANA/2),ROTACAO_RDM!$J$6:$J$71,"&gt;="&amp;$C485+INT(DIAS_POR_SEMANA/2)),0)</f>
        <v>4</v>
      </c>
      <c r="J485" s="16" t="n">
        <f aca="false">IFERROR(MATCH($I485,ROTACAO_RDM!$B$6:$B$71,0),0)</f>
        <v>4</v>
      </c>
      <c r="K485" s="8" t="str">
        <f aca="false">IF($J485=0,"SEM CULTURA",INDEX(ROTACAO_RDM!$F$6:$F$71,$J485))</f>
        <v>ALGODAO</v>
      </c>
      <c r="L485" s="8" t="str">
        <f aca="false">IF($J485=0,"",INDEX(ROTACAO_RDM!$G$6:$G$71,$J485))</f>
        <v>IMA 707 B3XF</v>
      </c>
      <c r="M485" s="17" t="n">
        <f aca="false">IF($J485=0,"",INDEX(ROTACAO_RDM!$I$6:$I$71,$J485))</f>
        <v>46359</v>
      </c>
      <c r="N485" s="16" t="n">
        <f aca="false">IF($J485=0,0,MAX(0,$C485+INT(DIAS_POR_SEMANA/2)-INDEX(ROTACAO_RDM!$I$6:$I$71,$J485)))</f>
        <v>28</v>
      </c>
      <c r="O485" s="19" t="n">
        <f aca="false">IF($J485=0,0,MIN(1,$N485/MAX(1,INDEX(ROTACAO_RDM!$K$6:$K$71,$J485))))</f>
        <v>0.143589743589744</v>
      </c>
      <c r="P485" s="16" t="n">
        <f aca="false">IF($J485=0,0,IFERROR(MATCH(INDEX(ROTACAO_RDM!$N$6:$N$71,$J485),PARAMETROS_CULTURAS!$B$6:$B$28,0),0))</f>
        <v>5</v>
      </c>
      <c r="Q485" s="8" t="str">
        <f aca="false">IF($P485=0,"-",IF($O485&lt;=INDEX(PARAMETROS_CULTURAS!$F$6:$F$28,$P485),"INICIAL",IF($O485&lt;=INDEX(PARAMETROS_CULTURAS!$F$6:$F$28,$P485)+INDEX(PARAMETROS_CULTURAS!$G$6:$G$28,$P485),"DESENVOLVIMENTO",IF($O485&lt;=INDEX(PARAMETROS_CULTURAS!$F$6:$F$28,$P485)+INDEX(PARAMETROS_CULTURAS!$G$6:$G$28,$P485)+INDEX(PARAMETROS_CULTURAS!$H$6:$H$28,$P485),"MEDIA","FINAL"))))</f>
        <v>INICIAL</v>
      </c>
      <c r="R485" s="24" t="n">
        <f aca="false">IF($P485=0,0,IF($O485&lt;=INDEX(PARAMETROS_CULTURAS!$F$6:$F$28,$P485),INDEX(PARAMETROS_CULTURAS!$K$6:$K$28,$P485),IF($O485&lt;=INDEX(PARAMETROS_CULTURAS!$F$6:$F$28,$P485)+INDEX(PARAMETROS_CULTURAS!$G$6:$G$28,$P485),INDEX(PARAMETROS_CULTURAS!$K$6:$K$28,$P485)+(INDEX(PARAMETROS_CULTURAS!$L$6:$L$28,$P485)-INDEX(PARAMETROS_CULTURAS!$K$6:$K$28,$P485))*($O485-INDEX(PARAMETROS_CULTURAS!$F$6:$F$28,$P485))/MAX(INDEX(PARAMETROS_CULTURAS!$G$6:$G$28,$P485),0.0001),IF($O485&lt;=INDEX(PARAMETROS_CULTURAS!$F$6:$F$28,$P485)+INDEX(PARAMETROS_CULTURAS!$G$6:$G$28,$P485)+INDEX(PARAMETROS_CULTURAS!$H$6:$H$28,$P485),INDEX(PARAMETROS_CULTURAS!$L$6:$L$28,$P485),INDEX(PARAMETROS_CULTURAS!$L$6:$L$28,$P485)+(INDEX(PARAMETROS_CULTURAS!$M$6:$M$28,$P485)-INDEX(PARAMETROS_CULTURAS!$L$6:$L$28,$P485))*($O485-INDEX(PARAMETROS_CULTURAS!$F$6:$F$28,$P485)-INDEX(PARAMETROS_CULTURAS!$G$6:$G$28,$P485)-INDEX(PARAMETROS_CULTURAS!$H$6:$H$28,$P485))/MAX(INDEX(PARAMETROS_CULTURAS!$I$6:$I$28,$P485),0.0001)))))</f>
        <v>0.35</v>
      </c>
      <c r="S485" s="18" t="n">
        <f aca="false">IFERROR(INDEX(SEMANAS!$H$6:$H$71,MATCH($B485,SEMANAS!$B$6:$B$71,0)),0)</f>
        <v>33.2</v>
      </c>
      <c r="T485" s="18" t="n">
        <f aca="false">$R485*$S485</f>
        <v>11.62</v>
      </c>
      <c r="U485" s="18" t="n">
        <f aca="false">IFERROR(INDEX(SEMANAS!$I$6:$I$71,MATCH($B485,SEMANAS!$B$6:$B$71,0)),0)</f>
        <v>47.11</v>
      </c>
      <c r="V485" s="18" t="n">
        <f aca="false">IFERROR(INDEX(SEMANAS!$J$6:$J$71,MATCH($B485,SEMANAS!$B$6:$B$71,0)),0)</f>
        <v>37.688</v>
      </c>
      <c r="W485" s="18" t="n">
        <f aca="false">MAX(0,$T485-$V485)</f>
        <v>0</v>
      </c>
      <c r="X485" s="19" t="n">
        <f aca="false">IFERROR(INDEX(CADASTRO_PIVOS!$K$6:$K$41,MATCH($E485,CADASTRO_PIVOS!$B$6:$B$41,0)),EFICIENCIA_PADRAO)</f>
        <v>0.85</v>
      </c>
      <c r="Y485" s="18" t="n">
        <f aca="false">IF($X485&lt;=0,0,$W485/$X485)</f>
        <v>0</v>
      </c>
      <c r="Z485" s="16" t="n">
        <f aca="false">$Y485*$H485*MM_PARA_M3_HA</f>
        <v>0</v>
      </c>
      <c r="AA485" s="18" t="n">
        <f aca="false">IFERROR(INDEX(CADASTRO_PIVOS!$I$6:$I$41,MATCH($E485,CADASTRO_PIVOS!$B$6:$B$41,0)),0)</f>
        <v>712.571428571429</v>
      </c>
      <c r="AB485" s="18" t="n">
        <f aca="false">IF($Z485&lt;=0,0,$Z485/$AA485)</f>
        <v>0</v>
      </c>
      <c r="AC485" s="16" t="n">
        <f aca="false">IFERROR(INDEX(SEMANAS!$K$6:$K$71,MATCH($B485,SEMANAS!$B$6:$B$71,0)),0)</f>
        <v>147</v>
      </c>
      <c r="AD485" s="19" t="n">
        <f aca="false">IF($AC485&lt;=0,0,$AB485/$AC485)</f>
        <v>0</v>
      </c>
      <c r="AE485" s="8" t="str">
        <f aca="false">IF($K485="SEM CULTURA","SEM CULTURA",IF($AA485&lt;=0,"DADO PENDENTE",IF($AD485&gt;LIMITE_CRITICO,"INVIAVEL",IF($AD485&gt;LIMITE_ATENCAO,"CRITICO",IF($AD485&gt;LIMITE_CONFORTAVEL,"ATENCAO","OK")))))</f>
        <v>OK</v>
      </c>
      <c r="AF485" s="8" t="str">
        <f aca="false">$B485&amp;"|"&amp;TEXT($AD485,"0.000000")</f>
        <v>18|0.000000</v>
      </c>
      <c r="AG485" s="18" t="n">
        <f aca="false">IF($K485="SEM CULTURA",0,$T485*$H485)</f>
        <v>1159.2112</v>
      </c>
      <c r="AH485" s="18" t="n">
        <f aca="false">IF($K485="SEM CULTURA",0,$V485*$H485)</f>
        <v>3759.75488</v>
      </c>
      <c r="AI485" s="18" t="n">
        <f aca="false">IF($K485="SEM CULTURA",0,$W485*$H485)</f>
        <v>0</v>
      </c>
      <c r="AJ485" s="18" t="n">
        <f aca="false">IF($K485="SEM CULTURA",0,$S485*$H485)</f>
        <v>3312.032</v>
      </c>
      <c r="AK485" s="8" t="str">
        <f aca="false">$E485&amp;"|"&amp;TEXT($AD485,"0.000000")</f>
        <v>PV 103|0.000000</v>
      </c>
    </row>
    <row r="486" customFormat="false" ht="15" hidden="false" customHeight="false" outlineLevel="0" collapsed="false">
      <c r="B486" s="16" t="n">
        <v>19</v>
      </c>
      <c r="C486" s="17" t="n">
        <f aca="false">DATA_INICIO_SAFRA+($B486-1)*DIAS_POR_SEMANA</f>
        <v>46391</v>
      </c>
      <c r="D486" s="17" t="n">
        <f aca="false">$C486+DIAS_POR_SEMANA-1</f>
        <v>46397</v>
      </c>
      <c r="E486" s="15" t="s">
        <v>266</v>
      </c>
      <c r="F486" s="8" t="str">
        <f aca="false">IFERROR(INDEX(CADASTRO_PIVOS!$C$6:$C$41,MATCH($E486,CADASTRO_PIVOS!$B$6:$B$41,0)),"?")</f>
        <v>RM04</v>
      </c>
      <c r="G486" s="8" t="str">
        <f aca="false">IFERROR(INDEX(CADASTRO_PIVOS!$D$6:$D$41,MATCH($E486,CADASTRO_PIVOS!$B$6:$B$41,0)),"?")</f>
        <v>TR04</v>
      </c>
      <c r="H486" s="20" t="n">
        <f aca="false">IFERROR(INDEX(CADASTRO_PIVOS!$E$6:$E$41,MATCH($E486,CADASTRO_PIVOS!$B$6:$B$41,0)),0)</f>
        <v>99.76</v>
      </c>
      <c r="I486" s="16" t="n">
        <f aca="false">IFERROR(SUMIFS(ROTACAO_RDM!$B$6:$B$71,ROTACAO_RDM!$D$6:$D$71,$E486,ROTACAO_RDM!$I$6:$I$71,"&lt;="&amp;$C486+INT(DIAS_POR_SEMANA/2),ROTACAO_RDM!$J$6:$J$71,"&gt;="&amp;$C486+INT(DIAS_POR_SEMANA/2)),0)</f>
        <v>4</v>
      </c>
      <c r="J486" s="16" t="n">
        <f aca="false">IFERROR(MATCH($I486,ROTACAO_RDM!$B$6:$B$71,0),0)</f>
        <v>4</v>
      </c>
      <c r="K486" s="8" t="str">
        <f aca="false">IF($J486=0,"SEM CULTURA",INDEX(ROTACAO_RDM!$F$6:$F$71,$J486))</f>
        <v>ALGODAO</v>
      </c>
      <c r="L486" s="8" t="str">
        <f aca="false">IF($J486=0,"",INDEX(ROTACAO_RDM!$G$6:$G$71,$J486))</f>
        <v>IMA 707 B3XF</v>
      </c>
      <c r="M486" s="17" t="n">
        <f aca="false">IF($J486=0,"",INDEX(ROTACAO_RDM!$I$6:$I$71,$J486))</f>
        <v>46359</v>
      </c>
      <c r="N486" s="16" t="n">
        <f aca="false">IF($J486=0,0,MAX(0,$C486+INT(DIAS_POR_SEMANA/2)-INDEX(ROTACAO_RDM!$I$6:$I$71,$J486)))</f>
        <v>35</v>
      </c>
      <c r="O486" s="19" t="n">
        <f aca="false">IF($J486=0,0,MIN(1,$N486/MAX(1,INDEX(ROTACAO_RDM!$K$6:$K$71,$J486))))</f>
        <v>0.17948717948718</v>
      </c>
      <c r="P486" s="16" t="n">
        <f aca="false">IF($J486=0,0,IFERROR(MATCH(INDEX(ROTACAO_RDM!$N$6:$N$71,$J486),PARAMETROS_CULTURAS!$B$6:$B$28,0),0))</f>
        <v>5</v>
      </c>
      <c r="Q486" s="8" t="str">
        <f aca="false">IF($P486=0,"-",IF($O486&lt;=INDEX(PARAMETROS_CULTURAS!$F$6:$F$28,$P486),"INICIAL",IF($O486&lt;=INDEX(PARAMETROS_CULTURAS!$F$6:$F$28,$P486)+INDEX(PARAMETROS_CULTURAS!$G$6:$G$28,$P486),"DESENVOLVIMENTO",IF($O486&lt;=INDEX(PARAMETROS_CULTURAS!$F$6:$F$28,$P486)+INDEX(PARAMETROS_CULTURAS!$G$6:$G$28,$P486)+INDEX(PARAMETROS_CULTURAS!$H$6:$H$28,$P486),"MEDIA","FINAL"))))</f>
        <v>DESENVOLVIMENTO</v>
      </c>
      <c r="R486" s="24" t="n">
        <f aca="false">IF($P486=0,0,IF($O486&lt;=INDEX(PARAMETROS_CULTURAS!$F$6:$F$28,$P486),INDEX(PARAMETROS_CULTURAS!$K$6:$K$28,$P486),IF($O486&lt;=INDEX(PARAMETROS_CULTURAS!$F$6:$F$28,$P486)+INDEX(PARAMETROS_CULTURAS!$G$6:$G$28,$P486),INDEX(PARAMETROS_CULTURAS!$K$6:$K$28,$P486)+(INDEX(PARAMETROS_CULTURAS!$L$6:$L$28,$P486)-INDEX(PARAMETROS_CULTURAS!$K$6:$K$28,$P486))*($O486-INDEX(PARAMETROS_CULTURAS!$F$6:$F$28,$P486))/MAX(INDEX(PARAMETROS_CULTURAS!$G$6:$G$28,$P486),0.0001),IF($O486&lt;=INDEX(PARAMETROS_CULTURAS!$F$6:$F$28,$P486)+INDEX(PARAMETROS_CULTURAS!$G$6:$G$28,$P486)+INDEX(PARAMETROS_CULTURAS!$H$6:$H$28,$P486),INDEX(PARAMETROS_CULTURAS!$L$6:$L$28,$P486),INDEX(PARAMETROS_CULTURAS!$L$6:$L$28,$P486)+(INDEX(PARAMETROS_CULTURAS!$M$6:$M$28,$P486)-INDEX(PARAMETROS_CULTURAS!$L$6:$L$28,$P486))*($O486-INDEX(PARAMETROS_CULTURAS!$F$6:$F$28,$P486)-INDEX(PARAMETROS_CULTURAS!$G$6:$G$28,$P486)-INDEX(PARAMETROS_CULTURAS!$H$6:$H$28,$P486))/MAX(INDEX(PARAMETROS_CULTURAS!$I$6:$I$28,$P486),0.0001)))))</f>
        <v>0.440729783037475</v>
      </c>
      <c r="S486" s="18" t="n">
        <f aca="false">IFERROR(INDEX(SEMANAS!$H$6:$H$71,MATCH($B486,SEMANAS!$B$6:$B$71,0)),0)</f>
        <v>33.6</v>
      </c>
      <c r="T486" s="18" t="n">
        <f aca="false">$R486*$S486</f>
        <v>14.8085207100592</v>
      </c>
      <c r="U486" s="18" t="n">
        <f aca="false">IFERROR(INDEX(SEMANAS!$I$6:$I$71,MATCH($B486,SEMANAS!$B$6:$B$71,0)),0)</f>
        <v>45.15</v>
      </c>
      <c r="V486" s="18" t="n">
        <f aca="false">IFERROR(INDEX(SEMANAS!$J$6:$J$71,MATCH($B486,SEMANAS!$B$6:$B$71,0)),0)</f>
        <v>36.12</v>
      </c>
      <c r="W486" s="18" t="n">
        <f aca="false">MAX(0,$T486-$V486)</f>
        <v>0</v>
      </c>
      <c r="X486" s="19" t="n">
        <f aca="false">IFERROR(INDEX(CADASTRO_PIVOS!$K$6:$K$41,MATCH($E486,CADASTRO_PIVOS!$B$6:$B$41,0)),EFICIENCIA_PADRAO)</f>
        <v>0.85</v>
      </c>
      <c r="Y486" s="18" t="n">
        <f aca="false">IF($X486&lt;=0,0,$W486/$X486)</f>
        <v>0</v>
      </c>
      <c r="Z486" s="16" t="n">
        <f aca="false">$Y486*$H486*MM_PARA_M3_HA</f>
        <v>0</v>
      </c>
      <c r="AA486" s="18" t="n">
        <f aca="false">IFERROR(INDEX(CADASTRO_PIVOS!$I$6:$I$41,MATCH($E486,CADASTRO_PIVOS!$B$6:$B$41,0)),0)</f>
        <v>712.571428571429</v>
      </c>
      <c r="AB486" s="18" t="n">
        <f aca="false">IF($Z486&lt;=0,0,$Z486/$AA486)</f>
        <v>0</v>
      </c>
      <c r="AC486" s="16" t="n">
        <f aca="false">IFERROR(INDEX(SEMANAS!$K$6:$K$71,MATCH($B486,SEMANAS!$B$6:$B$71,0)),0)</f>
        <v>147</v>
      </c>
      <c r="AD486" s="19" t="n">
        <f aca="false">IF($AC486&lt;=0,0,$AB486/$AC486)</f>
        <v>0</v>
      </c>
      <c r="AE486" s="8" t="str">
        <f aca="false">IF($K486="SEM CULTURA","SEM CULTURA",IF($AA486&lt;=0,"DADO PENDENTE",IF($AD486&gt;LIMITE_CRITICO,"INVIAVEL",IF($AD486&gt;LIMITE_ATENCAO,"CRITICO",IF($AD486&gt;LIMITE_CONFORTAVEL,"ATENCAO","OK")))))</f>
        <v>OK</v>
      </c>
      <c r="AF486" s="8" t="str">
        <f aca="false">$B486&amp;"|"&amp;TEXT($AD486,"0.000000")</f>
        <v>19|0.000000</v>
      </c>
      <c r="AG486" s="18" t="n">
        <f aca="false">IF($K486="SEM CULTURA",0,$T486*$H486)</f>
        <v>1477.2980260355</v>
      </c>
      <c r="AH486" s="18" t="n">
        <f aca="false">IF($K486="SEM CULTURA",0,$V486*$H486)</f>
        <v>3603.3312</v>
      </c>
      <c r="AI486" s="18" t="n">
        <f aca="false">IF($K486="SEM CULTURA",0,$W486*$H486)</f>
        <v>0</v>
      </c>
      <c r="AJ486" s="18" t="n">
        <f aca="false">IF($K486="SEM CULTURA",0,$S486*$H486)</f>
        <v>3351.936</v>
      </c>
      <c r="AK486" s="8" t="str">
        <f aca="false">$E486&amp;"|"&amp;TEXT($AD486,"0.000000")</f>
        <v>PV 103|0.000000</v>
      </c>
    </row>
    <row r="487" customFormat="false" ht="15" hidden="false" customHeight="false" outlineLevel="0" collapsed="false">
      <c r="B487" s="16" t="n">
        <v>20</v>
      </c>
      <c r="C487" s="17" t="n">
        <f aca="false">DATA_INICIO_SAFRA+($B487-1)*DIAS_POR_SEMANA</f>
        <v>46398</v>
      </c>
      <c r="D487" s="17" t="n">
        <f aca="false">$C487+DIAS_POR_SEMANA-1</f>
        <v>46404</v>
      </c>
      <c r="E487" s="15" t="s">
        <v>266</v>
      </c>
      <c r="F487" s="8" t="str">
        <f aca="false">IFERROR(INDEX(CADASTRO_PIVOS!$C$6:$C$41,MATCH($E487,CADASTRO_PIVOS!$B$6:$B$41,0)),"?")</f>
        <v>RM04</v>
      </c>
      <c r="G487" s="8" t="str">
        <f aca="false">IFERROR(INDEX(CADASTRO_PIVOS!$D$6:$D$41,MATCH($E487,CADASTRO_PIVOS!$B$6:$B$41,0)),"?")</f>
        <v>TR04</v>
      </c>
      <c r="H487" s="20" t="n">
        <f aca="false">IFERROR(INDEX(CADASTRO_PIVOS!$E$6:$E$41,MATCH($E487,CADASTRO_PIVOS!$B$6:$B$41,0)),0)</f>
        <v>99.76</v>
      </c>
      <c r="I487" s="16" t="n">
        <f aca="false">IFERROR(SUMIFS(ROTACAO_RDM!$B$6:$B$71,ROTACAO_RDM!$D$6:$D$71,$E487,ROTACAO_RDM!$I$6:$I$71,"&lt;="&amp;$C487+INT(DIAS_POR_SEMANA/2),ROTACAO_RDM!$J$6:$J$71,"&gt;="&amp;$C487+INT(DIAS_POR_SEMANA/2)),0)</f>
        <v>4</v>
      </c>
      <c r="J487" s="16" t="n">
        <f aca="false">IFERROR(MATCH($I487,ROTACAO_RDM!$B$6:$B$71,0),0)</f>
        <v>4</v>
      </c>
      <c r="K487" s="8" t="str">
        <f aca="false">IF($J487=0,"SEM CULTURA",INDEX(ROTACAO_RDM!$F$6:$F$71,$J487))</f>
        <v>ALGODAO</v>
      </c>
      <c r="L487" s="8" t="str">
        <f aca="false">IF($J487=0,"",INDEX(ROTACAO_RDM!$G$6:$G$71,$J487))</f>
        <v>IMA 707 B3XF</v>
      </c>
      <c r="M487" s="17" t="n">
        <f aca="false">IF($J487=0,"",INDEX(ROTACAO_RDM!$I$6:$I$71,$J487))</f>
        <v>46359</v>
      </c>
      <c r="N487" s="16" t="n">
        <f aca="false">IF($J487=0,0,MAX(0,$C487+INT(DIAS_POR_SEMANA/2)-INDEX(ROTACAO_RDM!$I$6:$I$71,$J487)))</f>
        <v>42</v>
      </c>
      <c r="O487" s="19" t="n">
        <f aca="false">IF($J487=0,0,MIN(1,$N487/MAX(1,INDEX(ROTACAO_RDM!$K$6:$K$71,$J487))))</f>
        <v>0.215384615384615</v>
      </c>
      <c r="P487" s="16" t="n">
        <f aca="false">IF($J487=0,0,IFERROR(MATCH(INDEX(ROTACAO_RDM!$N$6:$N$71,$J487),PARAMETROS_CULTURAS!$B$6:$B$28,0),0))</f>
        <v>5</v>
      </c>
      <c r="Q487" s="8" t="str">
        <f aca="false">IF($P487=0,"-",IF($O487&lt;=INDEX(PARAMETROS_CULTURAS!$F$6:$F$28,$P487),"INICIAL",IF($O487&lt;=INDEX(PARAMETROS_CULTURAS!$F$6:$F$28,$P487)+INDEX(PARAMETROS_CULTURAS!$G$6:$G$28,$P487),"DESENVOLVIMENTO",IF($O487&lt;=INDEX(PARAMETROS_CULTURAS!$F$6:$F$28,$P487)+INDEX(PARAMETROS_CULTURAS!$G$6:$G$28,$P487)+INDEX(PARAMETROS_CULTURAS!$H$6:$H$28,$P487),"MEDIA","FINAL"))))</f>
        <v>DESENVOLVIMENTO</v>
      </c>
      <c r="R487" s="24" t="n">
        <f aca="false">IF($P487=0,0,IF($O487&lt;=INDEX(PARAMETROS_CULTURAS!$F$6:$F$28,$P487),INDEX(PARAMETROS_CULTURAS!$K$6:$K$28,$P487),IF($O487&lt;=INDEX(PARAMETROS_CULTURAS!$F$6:$F$28,$P487)+INDEX(PARAMETROS_CULTURAS!$G$6:$G$28,$P487),INDEX(PARAMETROS_CULTURAS!$K$6:$K$28,$P487)+(INDEX(PARAMETROS_CULTURAS!$L$6:$L$28,$P487)-INDEX(PARAMETROS_CULTURAS!$K$6:$K$28,$P487))*($O487-INDEX(PARAMETROS_CULTURAS!$F$6:$F$28,$P487))/MAX(INDEX(PARAMETROS_CULTURAS!$G$6:$G$28,$P487),0.0001),IF($O487&lt;=INDEX(PARAMETROS_CULTURAS!$F$6:$F$28,$P487)+INDEX(PARAMETROS_CULTURAS!$G$6:$G$28,$P487)+INDEX(PARAMETROS_CULTURAS!$H$6:$H$28,$P487),INDEX(PARAMETROS_CULTURAS!$L$6:$L$28,$P487),INDEX(PARAMETROS_CULTURAS!$L$6:$L$28,$P487)+(INDEX(PARAMETROS_CULTURAS!$M$6:$M$28,$P487)-INDEX(PARAMETROS_CULTURAS!$L$6:$L$28,$P487))*($O487-INDEX(PARAMETROS_CULTURAS!$F$6:$F$28,$P487)-INDEX(PARAMETROS_CULTURAS!$G$6:$G$28,$P487)-INDEX(PARAMETROS_CULTURAS!$H$6:$H$28,$P487))/MAX(INDEX(PARAMETROS_CULTURAS!$I$6:$I$28,$P487),0.0001)))))</f>
        <v>0.551183431952663</v>
      </c>
      <c r="S487" s="18" t="n">
        <f aca="false">IFERROR(INDEX(SEMANAS!$H$6:$H$71,MATCH($B487,SEMANAS!$B$6:$B$71,0)),0)</f>
        <v>33.6</v>
      </c>
      <c r="T487" s="18" t="n">
        <f aca="false">$R487*$S487</f>
        <v>18.5197633136095</v>
      </c>
      <c r="U487" s="18" t="n">
        <f aca="false">IFERROR(INDEX(SEMANAS!$I$6:$I$71,MATCH($B487,SEMANAS!$B$6:$B$71,0)),0)</f>
        <v>45.15</v>
      </c>
      <c r="V487" s="18" t="n">
        <f aca="false">IFERROR(INDEX(SEMANAS!$J$6:$J$71,MATCH($B487,SEMANAS!$B$6:$B$71,0)),0)</f>
        <v>36.12</v>
      </c>
      <c r="W487" s="18" t="n">
        <f aca="false">MAX(0,$T487-$V487)</f>
        <v>0</v>
      </c>
      <c r="X487" s="19" t="n">
        <f aca="false">IFERROR(INDEX(CADASTRO_PIVOS!$K$6:$K$41,MATCH($E487,CADASTRO_PIVOS!$B$6:$B$41,0)),EFICIENCIA_PADRAO)</f>
        <v>0.85</v>
      </c>
      <c r="Y487" s="18" t="n">
        <f aca="false">IF($X487&lt;=0,0,$W487/$X487)</f>
        <v>0</v>
      </c>
      <c r="Z487" s="16" t="n">
        <f aca="false">$Y487*$H487*MM_PARA_M3_HA</f>
        <v>0</v>
      </c>
      <c r="AA487" s="18" t="n">
        <f aca="false">IFERROR(INDEX(CADASTRO_PIVOS!$I$6:$I$41,MATCH($E487,CADASTRO_PIVOS!$B$6:$B$41,0)),0)</f>
        <v>712.571428571429</v>
      </c>
      <c r="AB487" s="18" t="n">
        <f aca="false">IF($Z487&lt;=0,0,$Z487/$AA487)</f>
        <v>0</v>
      </c>
      <c r="AC487" s="16" t="n">
        <f aca="false">IFERROR(INDEX(SEMANAS!$K$6:$K$71,MATCH($B487,SEMANAS!$B$6:$B$71,0)),0)</f>
        <v>147</v>
      </c>
      <c r="AD487" s="19" t="n">
        <f aca="false">IF($AC487&lt;=0,0,$AB487/$AC487)</f>
        <v>0</v>
      </c>
      <c r="AE487" s="8" t="str">
        <f aca="false">IF($K487="SEM CULTURA","SEM CULTURA",IF($AA487&lt;=0,"DADO PENDENTE",IF($AD487&gt;LIMITE_CRITICO,"INVIAVEL",IF($AD487&gt;LIMITE_ATENCAO,"CRITICO",IF($AD487&gt;LIMITE_CONFORTAVEL,"ATENCAO","OK")))))</f>
        <v>OK</v>
      </c>
      <c r="AF487" s="8" t="str">
        <f aca="false">$B487&amp;"|"&amp;TEXT($AD487,"0.000000")</f>
        <v>20|0.000000</v>
      </c>
      <c r="AG487" s="18" t="n">
        <f aca="false">IF($K487="SEM CULTURA",0,$T487*$H487)</f>
        <v>1847.53158816568</v>
      </c>
      <c r="AH487" s="18" t="n">
        <f aca="false">IF($K487="SEM CULTURA",0,$V487*$H487)</f>
        <v>3603.3312</v>
      </c>
      <c r="AI487" s="18" t="n">
        <f aca="false">IF($K487="SEM CULTURA",0,$W487*$H487)</f>
        <v>0</v>
      </c>
      <c r="AJ487" s="18" t="n">
        <f aca="false">IF($K487="SEM CULTURA",0,$S487*$H487)</f>
        <v>3351.936</v>
      </c>
      <c r="AK487" s="8" t="str">
        <f aca="false">$E487&amp;"|"&amp;TEXT($AD487,"0.000000")</f>
        <v>PV 103|0.000000</v>
      </c>
    </row>
    <row r="488" customFormat="false" ht="15" hidden="false" customHeight="false" outlineLevel="0" collapsed="false">
      <c r="B488" s="16" t="n">
        <v>21</v>
      </c>
      <c r="C488" s="17" t="n">
        <f aca="false">DATA_INICIO_SAFRA+($B488-1)*DIAS_POR_SEMANA</f>
        <v>46405</v>
      </c>
      <c r="D488" s="17" t="n">
        <f aca="false">$C488+DIAS_POR_SEMANA-1</f>
        <v>46411</v>
      </c>
      <c r="E488" s="15" t="s">
        <v>266</v>
      </c>
      <c r="F488" s="8" t="str">
        <f aca="false">IFERROR(INDEX(CADASTRO_PIVOS!$C$6:$C$41,MATCH($E488,CADASTRO_PIVOS!$B$6:$B$41,0)),"?")</f>
        <v>RM04</v>
      </c>
      <c r="G488" s="8" t="str">
        <f aca="false">IFERROR(INDEX(CADASTRO_PIVOS!$D$6:$D$41,MATCH($E488,CADASTRO_PIVOS!$B$6:$B$41,0)),"?")</f>
        <v>TR04</v>
      </c>
      <c r="H488" s="20" t="n">
        <f aca="false">IFERROR(INDEX(CADASTRO_PIVOS!$E$6:$E$41,MATCH($E488,CADASTRO_PIVOS!$B$6:$B$41,0)),0)</f>
        <v>99.76</v>
      </c>
      <c r="I488" s="16" t="n">
        <f aca="false">IFERROR(SUMIFS(ROTACAO_RDM!$B$6:$B$71,ROTACAO_RDM!$D$6:$D$71,$E488,ROTACAO_RDM!$I$6:$I$71,"&lt;="&amp;$C488+INT(DIAS_POR_SEMANA/2),ROTACAO_RDM!$J$6:$J$71,"&gt;="&amp;$C488+INT(DIAS_POR_SEMANA/2)),0)</f>
        <v>4</v>
      </c>
      <c r="J488" s="16" t="n">
        <f aca="false">IFERROR(MATCH($I488,ROTACAO_RDM!$B$6:$B$71,0),0)</f>
        <v>4</v>
      </c>
      <c r="K488" s="8" t="str">
        <f aca="false">IF($J488=0,"SEM CULTURA",INDEX(ROTACAO_RDM!$F$6:$F$71,$J488))</f>
        <v>ALGODAO</v>
      </c>
      <c r="L488" s="8" t="str">
        <f aca="false">IF($J488=0,"",INDEX(ROTACAO_RDM!$G$6:$G$71,$J488))</f>
        <v>IMA 707 B3XF</v>
      </c>
      <c r="M488" s="17" t="n">
        <f aca="false">IF($J488=0,"",INDEX(ROTACAO_RDM!$I$6:$I$71,$J488))</f>
        <v>46359</v>
      </c>
      <c r="N488" s="16" t="n">
        <f aca="false">IF($J488=0,0,MAX(0,$C488+INT(DIAS_POR_SEMANA/2)-INDEX(ROTACAO_RDM!$I$6:$I$71,$J488)))</f>
        <v>49</v>
      </c>
      <c r="O488" s="19" t="n">
        <f aca="false">IF($J488=0,0,MIN(1,$N488/MAX(1,INDEX(ROTACAO_RDM!$K$6:$K$71,$J488))))</f>
        <v>0.251282051282051</v>
      </c>
      <c r="P488" s="16" t="n">
        <f aca="false">IF($J488=0,0,IFERROR(MATCH(INDEX(ROTACAO_RDM!$N$6:$N$71,$J488),PARAMETROS_CULTURAS!$B$6:$B$28,0),0))</f>
        <v>5</v>
      </c>
      <c r="Q488" s="8" t="str">
        <f aca="false">IF($P488=0,"-",IF($O488&lt;=INDEX(PARAMETROS_CULTURAS!$F$6:$F$28,$P488),"INICIAL",IF($O488&lt;=INDEX(PARAMETROS_CULTURAS!$F$6:$F$28,$P488)+INDEX(PARAMETROS_CULTURAS!$G$6:$G$28,$P488),"DESENVOLVIMENTO",IF($O488&lt;=INDEX(PARAMETROS_CULTURAS!$F$6:$F$28,$P488)+INDEX(PARAMETROS_CULTURAS!$G$6:$G$28,$P488)+INDEX(PARAMETROS_CULTURAS!$H$6:$H$28,$P488),"MEDIA","FINAL"))))</f>
        <v>DESENVOLVIMENTO</v>
      </c>
      <c r="R488" s="24" t="n">
        <f aca="false">IF($P488=0,0,IF($O488&lt;=INDEX(PARAMETROS_CULTURAS!$F$6:$F$28,$P488),INDEX(PARAMETROS_CULTURAS!$K$6:$K$28,$P488),IF($O488&lt;=INDEX(PARAMETROS_CULTURAS!$F$6:$F$28,$P488)+INDEX(PARAMETROS_CULTURAS!$G$6:$G$28,$P488),INDEX(PARAMETROS_CULTURAS!$K$6:$K$28,$P488)+(INDEX(PARAMETROS_CULTURAS!$L$6:$L$28,$P488)-INDEX(PARAMETROS_CULTURAS!$K$6:$K$28,$P488))*($O488-INDEX(PARAMETROS_CULTURAS!$F$6:$F$28,$P488))/MAX(INDEX(PARAMETROS_CULTURAS!$G$6:$G$28,$P488),0.0001),IF($O488&lt;=INDEX(PARAMETROS_CULTURAS!$F$6:$F$28,$P488)+INDEX(PARAMETROS_CULTURAS!$G$6:$G$28,$P488)+INDEX(PARAMETROS_CULTURAS!$H$6:$H$28,$P488),INDEX(PARAMETROS_CULTURAS!$L$6:$L$28,$P488),INDEX(PARAMETROS_CULTURAS!$L$6:$L$28,$P488)+(INDEX(PARAMETROS_CULTURAS!$M$6:$M$28,$P488)-INDEX(PARAMETROS_CULTURAS!$L$6:$L$28,$P488))*($O488-INDEX(PARAMETROS_CULTURAS!$F$6:$F$28,$P488)-INDEX(PARAMETROS_CULTURAS!$G$6:$G$28,$P488)-INDEX(PARAMETROS_CULTURAS!$H$6:$H$28,$P488))/MAX(INDEX(PARAMETROS_CULTURAS!$I$6:$I$28,$P488),0.0001)))))</f>
        <v>0.66163708086785</v>
      </c>
      <c r="S488" s="18" t="n">
        <f aca="false">IFERROR(INDEX(SEMANAS!$H$6:$H$71,MATCH($B488,SEMANAS!$B$6:$B$71,0)),0)</f>
        <v>33.6</v>
      </c>
      <c r="T488" s="18" t="n">
        <f aca="false">$R488*$S488</f>
        <v>22.2310059171598</v>
      </c>
      <c r="U488" s="18" t="n">
        <f aca="false">IFERROR(INDEX(SEMANAS!$I$6:$I$71,MATCH($B488,SEMANAS!$B$6:$B$71,0)),0)</f>
        <v>45.15</v>
      </c>
      <c r="V488" s="18" t="n">
        <f aca="false">IFERROR(INDEX(SEMANAS!$J$6:$J$71,MATCH($B488,SEMANAS!$B$6:$B$71,0)),0)</f>
        <v>36.12</v>
      </c>
      <c r="W488" s="18" t="n">
        <f aca="false">MAX(0,$T488-$V488)</f>
        <v>0</v>
      </c>
      <c r="X488" s="19" t="n">
        <f aca="false">IFERROR(INDEX(CADASTRO_PIVOS!$K$6:$K$41,MATCH($E488,CADASTRO_PIVOS!$B$6:$B$41,0)),EFICIENCIA_PADRAO)</f>
        <v>0.85</v>
      </c>
      <c r="Y488" s="18" t="n">
        <f aca="false">IF($X488&lt;=0,0,$W488/$X488)</f>
        <v>0</v>
      </c>
      <c r="Z488" s="16" t="n">
        <f aca="false">$Y488*$H488*MM_PARA_M3_HA</f>
        <v>0</v>
      </c>
      <c r="AA488" s="18" t="n">
        <f aca="false">IFERROR(INDEX(CADASTRO_PIVOS!$I$6:$I$41,MATCH($E488,CADASTRO_PIVOS!$B$6:$B$41,0)),0)</f>
        <v>712.571428571429</v>
      </c>
      <c r="AB488" s="18" t="n">
        <f aca="false">IF($Z488&lt;=0,0,$Z488/$AA488)</f>
        <v>0</v>
      </c>
      <c r="AC488" s="16" t="n">
        <f aca="false">IFERROR(INDEX(SEMANAS!$K$6:$K$71,MATCH($B488,SEMANAS!$B$6:$B$71,0)),0)</f>
        <v>147</v>
      </c>
      <c r="AD488" s="19" t="n">
        <f aca="false">IF($AC488&lt;=0,0,$AB488/$AC488)</f>
        <v>0</v>
      </c>
      <c r="AE488" s="8" t="str">
        <f aca="false">IF($K488="SEM CULTURA","SEM CULTURA",IF($AA488&lt;=0,"DADO PENDENTE",IF($AD488&gt;LIMITE_CRITICO,"INVIAVEL",IF($AD488&gt;LIMITE_ATENCAO,"CRITICO",IF($AD488&gt;LIMITE_CONFORTAVEL,"ATENCAO","OK")))))</f>
        <v>OK</v>
      </c>
      <c r="AF488" s="8" t="str">
        <f aca="false">$B488&amp;"|"&amp;TEXT($AD488,"0.000000")</f>
        <v>21|0.000000</v>
      </c>
      <c r="AG488" s="18" t="n">
        <f aca="false">IF($K488="SEM CULTURA",0,$T488*$H488)</f>
        <v>2217.76515029586</v>
      </c>
      <c r="AH488" s="18" t="n">
        <f aca="false">IF($K488="SEM CULTURA",0,$V488*$H488)</f>
        <v>3603.3312</v>
      </c>
      <c r="AI488" s="18" t="n">
        <f aca="false">IF($K488="SEM CULTURA",0,$W488*$H488)</f>
        <v>0</v>
      </c>
      <c r="AJ488" s="18" t="n">
        <f aca="false">IF($K488="SEM CULTURA",0,$S488*$H488)</f>
        <v>3351.936</v>
      </c>
      <c r="AK488" s="8" t="str">
        <f aca="false">$E488&amp;"|"&amp;TEXT($AD488,"0.000000")</f>
        <v>PV 103|0.000000</v>
      </c>
    </row>
    <row r="489" customFormat="false" ht="15" hidden="false" customHeight="false" outlineLevel="0" collapsed="false">
      <c r="B489" s="16" t="n">
        <v>22</v>
      </c>
      <c r="C489" s="17" t="n">
        <f aca="false">DATA_INICIO_SAFRA+($B489-1)*DIAS_POR_SEMANA</f>
        <v>46412</v>
      </c>
      <c r="D489" s="17" t="n">
        <f aca="false">$C489+DIAS_POR_SEMANA-1</f>
        <v>46418</v>
      </c>
      <c r="E489" s="15" t="s">
        <v>266</v>
      </c>
      <c r="F489" s="8" t="str">
        <f aca="false">IFERROR(INDEX(CADASTRO_PIVOS!$C$6:$C$41,MATCH($E489,CADASTRO_PIVOS!$B$6:$B$41,0)),"?")</f>
        <v>RM04</v>
      </c>
      <c r="G489" s="8" t="str">
        <f aca="false">IFERROR(INDEX(CADASTRO_PIVOS!$D$6:$D$41,MATCH($E489,CADASTRO_PIVOS!$B$6:$B$41,0)),"?")</f>
        <v>TR04</v>
      </c>
      <c r="H489" s="20" t="n">
        <f aca="false">IFERROR(INDEX(CADASTRO_PIVOS!$E$6:$E$41,MATCH($E489,CADASTRO_PIVOS!$B$6:$B$41,0)),0)</f>
        <v>99.76</v>
      </c>
      <c r="I489" s="16" t="n">
        <f aca="false">IFERROR(SUMIFS(ROTACAO_RDM!$B$6:$B$71,ROTACAO_RDM!$D$6:$D$71,$E489,ROTACAO_RDM!$I$6:$I$71,"&lt;="&amp;$C489+INT(DIAS_POR_SEMANA/2),ROTACAO_RDM!$J$6:$J$71,"&gt;="&amp;$C489+INT(DIAS_POR_SEMANA/2)),0)</f>
        <v>4</v>
      </c>
      <c r="J489" s="16" t="n">
        <f aca="false">IFERROR(MATCH($I489,ROTACAO_RDM!$B$6:$B$71,0),0)</f>
        <v>4</v>
      </c>
      <c r="K489" s="8" t="str">
        <f aca="false">IF($J489=0,"SEM CULTURA",INDEX(ROTACAO_RDM!$F$6:$F$71,$J489))</f>
        <v>ALGODAO</v>
      </c>
      <c r="L489" s="8" t="str">
        <f aca="false">IF($J489=0,"",INDEX(ROTACAO_RDM!$G$6:$G$71,$J489))</f>
        <v>IMA 707 B3XF</v>
      </c>
      <c r="M489" s="17" t="n">
        <f aca="false">IF($J489=0,"",INDEX(ROTACAO_RDM!$I$6:$I$71,$J489))</f>
        <v>46359</v>
      </c>
      <c r="N489" s="16" t="n">
        <f aca="false">IF($J489=0,0,MAX(0,$C489+INT(DIAS_POR_SEMANA/2)-INDEX(ROTACAO_RDM!$I$6:$I$71,$J489)))</f>
        <v>56</v>
      </c>
      <c r="O489" s="19" t="n">
        <f aca="false">IF($J489=0,0,MIN(1,$N489/MAX(1,INDEX(ROTACAO_RDM!$K$6:$K$71,$J489))))</f>
        <v>0.287179487179487</v>
      </c>
      <c r="P489" s="16" t="n">
        <f aca="false">IF($J489=0,0,IFERROR(MATCH(INDEX(ROTACAO_RDM!$N$6:$N$71,$J489),PARAMETROS_CULTURAS!$B$6:$B$28,0),0))</f>
        <v>5</v>
      </c>
      <c r="Q489" s="8" t="str">
        <f aca="false">IF($P489=0,"-",IF($O489&lt;=INDEX(PARAMETROS_CULTURAS!$F$6:$F$28,$P489),"INICIAL",IF($O489&lt;=INDEX(PARAMETROS_CULTURAS!$F$6:$F$28,$P489)+INDEX(PARAMETROS_CULTURAS!$G$6:$G$28,$P489),"DESENVOLVIMENTO",IF($O489&lt;=INDEX(PARAMETROS_CULTURAS!$F$6:$F$28,$P489)+INDEX(PARAMETROS_CULTURAS!$G$6:$G$28,$P489)+INDEX(PARAMETROS_CULTURAS!$H$6:$H$28,$P489),"MEDIA","FINAL"))))</f>
        <v>DESENVOLVIMENTO</v>
      </c>
      <c r="R489" s="24" t="n">
        <f aca="false">IF($P489=0,0,IF($O489&lt;=INDEX(PARAMETROS_CULTURAS!$F$6:$F$28,$P489),INDEX(PARAMETROS_CULTURAS!$K$6:$K$28,$P489),IF($O489&lt;=INDEX(PARAMETROS_CULTURAS!$F$6:$F$28,$P489)+INDEX(PARAMETROS_CULTURAS!$G$6:$G$28,$P489),INDEX(PARAMETROS_CULTURAS!$K$6:$K$28,$P489)+(INDEX(PARAMETROS_CULTURAS!$L$6:$L$28,$P489)-INDEX(PARAMETROS_CULTURAS!$K$6:$K$28,$P489))*($O489-INDEX(PARAMETROS_CULTURAS!$F$6:$F$28,$P489))/MAX(INDEX(PARAMETROS_CULTURAS!$G$6:$G$28,$P489),0.0001),IF($O489&lt;=INDEX(PARAMETROS_CULTURAS!$F$6:$F$28,$P489)+INDEX(PARAMETROS_CULTURAS!$G$6:$G$28,$P489)+INDEX(PARAMETROS_CULTURAS!$H$6:$H$28,$P489),INDEX(PARAMETROS_CULTURAS!$L$6:$L$28,$P489),INDEX(PARAMETROS_CULTURAS!$L$6:$L$28,$P489)+(INDEX(PARAMETROS_CULTURAS!$M$6:$M$28,$P489)-INDEX(PARAMETROS_CULTURAS!$L$6:$L$28,$P489))*($O489-INDEX(PARAMETROS_CULTURAS!$F$6:$F$28,$P489)-INDEX(PARAMETROS_CULTURAS!$G$6:$G$28,$P489)-INDEX(PARAMETROS_CULTURAS!$H$6:$H$28,$P489))/MAX(INDEX(PARAMETROS_CULTURAS!$I$6:$I$28,$P489),0.0001)))))</f>
        <v>0.772090729783037</v>
      </c>
      <c r="S489" s="18" t="n">
        <f aca="false">IFERROR(INDEX(SEMANAS!$H$6:$H$71,MATCH($B489,SEMANAS!$B$6:$B$71,0)),0)</f>
        <v>33.6</v>
      </c>
      <c r="T489" s="18" t="n">
        <f aca="false">$R489*$S489</f>
        <v>25.9422485207101</v>
      </c>
      <c r="U489" s="18" t="n">
        <f aca="false">IFERROR(INDEX(SEMANAS!$I$6:$I$71,MATCH($B489,SEMANAS!$B$6:$B$71,0)),0)</f>
        <v>45.15</v>
      </c>
      <c r="V489" s="18" t="n">
        <f aca="false">IFERROR(INDEX(SEMANAS!$J$6:$J$71,MATCH($B489,SEMANAS!$B$6:$B$71,0)),0)</f>
        <v>36.12</v>
      </c>
      <c r="W489" s="18" t="n">
        <f aca="false">MAX(0,$T489-$V489)</f>
        <v>0</v>
      </c>
      <c r="X489" s="19" t="n">
        <f aca="false">IFERROR(INDEX(CADASTRO_PIVOS!$K$6:$K$41,MATCH($E489,CADASTRO_PIVOS!$B$6:$B$41,0)),EFICIENCIA_PADRAO)</f>
        <v>0.85</v>
      </c>
      <c r="Y489" s="18" t="n">
        <f aca="false">IF($X489&lt;=0,0,$W489/$X489)</f>
        <v>0</v>
      </c>
      <c r="Z489" s="16" t="n">
        <f aca="false">$Y489*$H489*MM_PARA_M3_HA</f>
        <v>0</v>
      </c>
      <c r="AA489" s="18" t="n">
        <f aca="false">IFERROR(INDEX(CADASTRO_PIVOS!$I$6:$I$41,MATCH($E489,CADASTRO_PIVOS!$B$6:$B$41,0)),0)</f>
        <v>712.571428571429</v>
      </c>
      <c r="AB489" s="18" t="n">
        <f aca="false">IF($Z489&lt;=0,0,$Z489/$AA489)</f>
        <v>0</v>
      </c>
      <c r="AC489" s="16" t="n">
        <f aca="false">IFERROR(INDEX(SEMANAS!$K$6:$K$71,MATCH($B489,SEMANAS!$B$6:$B$71,0)),0)</f>
        <v>147</v>
      </c>
      <c r="AD489" s="19" t="n">
        <f aca="false">IF($AC489&lt;=0,0,$AB489/$AC489)</f>
        <v>0</v>
      </c>
      <c r="AE489" s="8" t="str">
        <f aca="false">IF($K489="SEM CULTURA","SEM CULTURA",IF($AA489&lt;=0,"DADO PENDENTE",IF($AD489&gt;LIMITE_CRITICO,"INVIAVEL",IF($AD489&gt;LIMITE_ATENCAO,"CRITICO",IF($AD489&gt;LIMITE_CONFORTAVEL,"ATENCAO","OK")))))</f>
        <v>OK</v>
      </c>
      <c r="AF489" s="8" t="str">
        <f aca="false">$B489&amp;"|"&amp;TEXT($AD489,"0.000000")</f>
        <v>22|0.000000</v>
      </c>
      <c r="AG489" s="18" t="n">
        <f aca="false">IF($K489="SEM CULTURA",0,$T489*$H489)</f>
        <v>2587.99871242604</v>
      </c>
      <c r="AH489" s="18" t="n">
        <f aca="false">IF($K489="SEM CULTURA",0,$V489*$H489)</f>
        <v>3603.3312</v>
      </c>
      <c r="AI489" s="18" t="n">
        <f aca="false">IF($K489="SEM CULTURA",0,$W489*$H489)</f>
        <v>0</v>
      </c>
      <c r="AJ489" s="18" t="n">
        <f aca="false">IF($K489="SEM CULTURA",0,$S489*$H489)</f>
        <v>3351.936</v>
      </c>
      <c r="AK489" s="8" t="str">
        <f aca="false">$E489&amp;"|"&amp;TEXT($AD489,"0.000000")</f>
        <v>PV 103|0.000000</v>
      </c>
    </row>
    <row r="490" customFormat="false" ht="15" hidden="false" customHeight="false" outlineLevel="0" collapsed="false">
      <c r="B490" s="16" t="n">
        <v>23</v>
      </c>
      <c r="C490" s="17" t="n">
        <f aca="false">DATA_INICIO_SAFRA+($B490-1)*DIAS_POR_SEMANA</f>
        <v>46419</v>
      </c>
      <c r="D490" s="17" t="n">
        <f aca="false">$C490+DIAS_POR_SEMANA-1</f>
        <v>46425</v>
      </c>
      <c r="E490" s="15" t="s">
        <v>266</v>
      </c>
      <c r="F490" s="8" t="str">
        <f aca="false">IFERROR(INDEX(CADASTRO_PIVOS!$C$6:$C$41,MATCH($E490,CADASTRO_PIVOS!$B$6:$B$41,0)),"?")</f>
        <v>RM04</v>
      </c>
      <c r="G490" s="8" t="str">
        <f aca="false">IFERROR(INDEX(CADASTRO_PIVOS!$D$6:$D$41,MATCH($E490,CADASTRO_PIVOS!$B$6:$B$41,0)),"?")</f>
        <v>TR04</v>
      </c>
      <c r="H490" s="20" t="n">
        <f aca="false">IFERROR(INDEX(CADASTRO_PIVOS!$E$6:$E$41,MATCH($E490,CADASTRO_PIVOS!$B$6:$B$41,0)),0)</f>
        <v>99.76</v>
      </c>
      <c r="I490" s="16" t="n">
        <f aca="false">IFERROR(SUMIFS(ROTACAO_RDM!$B$6:$B$71,ROTACAO_RDM!$D$6:$D$71,$E490,ROTACAO_RDM!$I$6:$I$71,"&lt;="&amp;$C490+INT(DIAS_POR_SEMANA/2),ROTACAO_RDM!$J$6:$J$71,"&gt;="&amp;$C490+INT(DIAS_POR_SEMANA/2)),0)</f>
        <v>4</v>
      </c>
      <c r="J490" s="16" t="n">
        <f aca="false">IFERROR(MATCH($I490,ROTACAO_RDM!$B$6:$B$71,0),0)</f>
        <v>4</v>
      </c>
      <c r="K490" s="8" t="str">
        <f aca="false">IF($J490=0,"SEM CULTURA",INDEX(ROTACAO_RDM!$F$6:$F$71,$J490))</f>
        <v>ALGODAO</v>
      </c>
      <c r="L490" s="8" t="str">
        <f aca="false">IF($J490=0,"",INDEX(ROTACAO_RDM!$G$6:$G$71,$J490))</f>
        <v>IMA 707 B3XF</v>
      </c>
      <c r="M490" s="17" t="n">
        <f aca="false">IF($J490=0,"",INDEX(ROTACAO_RDM!$I$6:$I$71,$J490))</f>
        <v>46359</v>
      </c>
      <c r="N490" s="16" t="n">
        <f aca="false">IF($J490=0,0,MAX(0,$C490+INT(DIAS_POR_SEMANA/2)-INDEX(ROTACAO_RDM!$I$6:$I$71,$J490)))</f>
        <v>63</v>
      </c>
      <c r="O490" s="19" t="n">
        <f aca="false">IF($J490=0,0,MIN(1,$N490/MAX(1,INDEX(ROTACAO_RDM!$K$6:$K$71,$J490))))</f>
        <v>0.323076923076923</v>
      </c>
      <c r="P490" s="16" t="n">
        <f aca="false">IF($J490=0,0,IFERROR(MATCH(INDEX(ROTACAO_RDM!$N$6:$N$71,$J490),PARAMETROS_CULTURAS!$B$6:$B$28,0),0))</f>
        <v>5</v>
      </c>
      <c r="Q490" s="8" t="str">
        <f aca="false">IF($P490=0,"-",IF($O490&lt;=INDEX(PARAMETROS_CULTURAS!$F$6:$F$28,$P490),"INICIAL",IF($O490&lt;=INDEX(PARAMETROS_CULTURAS!$F$6:$F$28,$P490)+INDEX(PARAMETROS_CULTURAS!$G$6:$G$28,$P490),"DESENVOLVIMENTO",IF($O490&lt;=INDEX(PARAMETROS_CULTURAS!$F$6:$F$28,$P490)+INDEX(PARAMETROS_CULTURAS!$G$6:$G$28,$P490)+INDEX(PARAMETROS_CULTURAS!$H$6:$H$28,$P490),"MEDIA","FINAL"))))</f>
        <v>DESENVOLVIMENTO</v>
      </c>
      <c r="R490" s="24" t="n">
        <f aca="false">IF($P490=0,0,IF($O490&lt;=INDEX(PARAMETROS_CULTURAS!$F$6:$F$28,$P490),INDEX(PARAMETROS_CULTURAS!$K$6:$K$28,$P490),IF($O490&lt;=INDEX(PARAMETROS_CULTURAS!$F$6:$F$28,$P490)+INDEX(PARAMETROS_CULTURAS!$G$6:$G$28,$P490),INDEX(PARAMETROS_CULTURAS!$K$6:$K$28,$P490)+(INDEX(PARAMETROS_CULTURAS!$L$6:$L$28,$P490)-INDEX(PARAMETROS_CULTURAS!$K$6:$K$28,$P490))*($O490-INDEX(PARAMETROS_CULTURAS!$F$6:$F$28,$P490))/MAX(INDEX(PARAMETROS_CULTURAS!$G$6:$G$28,$P490),0.0001),IF($O490&lt;=INDEX(PARAMETROS_CULTURAS!$F$6:$F$28,$P490)+INDEX(PARAMETROS_CULTURAS!$G$6:$G$28,$P490)+INDEX(PARAMETROS_CULTURAS!$H$6:$H$28,$P490),INDEX(PARAMETROS_CULTURAS!$L$6:$L$28,$P490),INDEX(PARAMETROS_CULTURAS!$L$6:$L$28,$P490)+(INDEX(PARAMETROS_CULTURAS!$M$6:$M$28,$P490)-INDEX(PARAMETROS_CULTURAS!$L$6:$L$28,$P490))*($O490-INDEX(PARAMETROS_CULTURAS!$F$6:$F$28,$P490)-INDEX(PARAMETROS_CULTURAS!$G$6:$G$28,$P490)-INDEX(PARAMETROS_CULTURAS!$H$6:$H$28,$P490))/MAX(INDEX(PARAMETROS_CULTURAS!$I$6:$I$28,$P490),0.0001)))))</f>
        <v>0.882544378698225</v>
      </c>
      <c r="S490" s="18" t="n">
        <f aca="false">IFERROR(INDEX(SEMANAS!$H$6:$H$71,MATCH($B490,SEMANAS!$B$6:$B$71,0)),0)</f>
        <v>32.9</v>
      </c>
      <c r="T490" s="18" t="n">
        <f aca="false">$R490*$S490</f>
        <v>29.0357100591716</v>
      </c>
      <c r="U490" s="18" t="n">
        <f aca="false">IFERROR(INDEX(SEMANAS!$I$6:$I$71,MATCH($B490,SEMANAS!$B$6:$B$71,0)),0)</f>
        <v>39.97</v>
      </c>
      <c r="V490" s="18" t="n">
        <f aca="false">IFERROR(INDEX(SEMANAS!$J$6:$J$71,MATCH($B490,SEMANAS!$B$6:$B$71,0)),0)</f>
        <v>31.976</v>
      </c>
      <c r="W490" s="18" t="n">
        <f aca="false">MAX(0,$T490-$V490)</f>
        <v>0</v>
      </c>
      <c r="X490" s="19" t="n">
        <f aca="false">IFERROR(INDEX(CADASTRO_PIVOS!$K$6:$K$41,MATCH($E490,CADASTRO_PIVOS!$B$6:$B$41,0)),EFICIENCIA_PADRAO)</f>
        <v>0.85</v>
      </c>
      <c r="Y490" s="18" t="n">
        <f aca="false">IF($X490&lt;=0,0,$W490/$X490)</f>
        <v>0</v>
      </c>
      <c r="Z490" s="16" t="n">
        <f aca="false">$Y490*$H490*MM_PARA_M3_HA</f>
        <v>0</v>
      </c>
      <c r="AA490" s="18" t="n">
        <f aca="false">IFERROR(INDEX(CADASTRO_PIVOS!$I$6:$I$41,MATCH($E490,CADASTRO_PIVOS!$B$6:$B$41,0)),0)</f>
        <v>712.571428571429</v>
      </c>
      <c r="AB490" s="18" t="n">
        <f aca="false">IF($Z490&lt;=0,0,$Z490/$AA490)</f>
        <v>0</v>
      </c>
      <c r="AC490" s="16" t="n">
        <f aca="false">IFERROR(INDEX(SEMANAS!$K$6:$K$71,MATCH($B490,SEMANAS!$B$6:$B$71,0)),0)</f>
        <v>147</v>
      </c>
      <c r="AD490" s="19" t="n">
        <f aca="false">IF($AC490&lt;=0,0,$AB490/$AC490)</f>
        <v>0</v>
      </c>
      <c r="AE490" s="8" t="str">
        <f aca="false">IF($K490="SEM CULTURA","SEM CULTURA",IF($AA490&lt;=0,"DADO PENDENTE",IF($AD490&gt;LIMITE_CRITICO,"INVIAVEL",IF($AD490&gt;LIMITE_ATENCAO,"CRITICO",IF($AD490&gt;LIMITE_CONFORTAVEL,"ATENCAO","OK")))))</f>
        <v>OK</v>
      </c>
      <c r="AF490" s="8" t="str">
        <f aca="false">$B490&amp;"|"&amp;TEXT($AD490,"0.000000")</f>
        <v>23|0.000000</v>
      </c>
      <c r="AG490" s="18" t="n">
        <f aca="false">IF($K490="SEM CULTURA",0,$T490*$H490)</f>
        <v>2896.60243550296</v>
      </c>
      <c r="AH490" s="18" t="n">
        <f aca="false">IF($K490="SEM CULTURA",0,$V490*$H490)</f>
        <v>3189.92576</v>
      </c>
      <c r="AI490" s="18" t="n">
        <f aca="false">IF($K490="SEM CULTURA",0,$W490*$H490)</f>
        <v>0</v>
      </c>
      <c r="AJ490" s="18" t="n">
        <f aca="false">IF($K490="SEM CULTURA",0,$S490*$H490)</f>
        <v>3282.104</v>
      </c>
      <c r="AK490" s="8" t="str">
        <f aca="false">$E490&amp;"|"&amp;TEXT($AD490,"0.000000")</f>
        <v>PV 103|0.000000</v>
      </c>
    </row>
    <row r="491" customFormat="false" ht="15" hidden="false" customHeight="false" outlineLevel="0" collapsed="false">
      <c r="B491" s="16" t="n">
        <v>24</v>
      </c>
      <c r="C491" s="17" t="n">
        <f aca="false">DATA_INICIO_SAFRA+($B491-1)*DIAS_POR_SEMANA</f>
        <v>46426</v>
      </c>
      <c r="D491" s="17" t="n">
        <f aca="false">$C491+DIAS_POR_SEMANA-1</f>
        <v>46432</v>
      </c>
      <c r="E491" s="15" t="s">
        <v>266</v>
      </c>
      <c r="F491" s="8" t="str">
        <f aca="false">IFERROR(INDEX(CADASTRO_PIVOS!$C$6:$C$41,MATCH($E491,CADASTRO_PIVOS!$B$6:$B$41,0)),"?")</f>
        <v>RM04</v>
      </c>
      <c r="G491" s="8" t="str">
        <f aca="false">IFERROR(INDEX(CADASTRO_PIVOS!$D$6:$D$41,MATCH($E491,CADASTRO_PIVOS!$B$6:$B$41,0)),"?")</f>
        <v>TR04</v>
      </c>
      <c r="H491" s="20" t="n">
        <f aca="false">IFERROR(INDEX(CADASTRO_PIVOS!$E$6:$E$41,MATCH($E491,CADASTRO_PIVOS!$B$6:$B$41,0)),0)</f>
        <v>99.76</v>
      </c>
      <c r="I491" s="16" t="n">
        <f aca="false">IFERROR(SUMIFS(ROTACAO_RDM!$B$6:$B$71,ROTACAO_RDM!$D$6:$D$71,$E491,ROTACAO_RDM!$I$6:$I$71,"&lt;="&amp;$C491+INT(DIAS_POR_SEMANA/2),ROTACAO_RDM!$J$6:$J$71,"&gt;="&amp;$C491+INT(DIAS_POR_SEMANA/2)),0)</f>
        <v>4</v>
      </c>
      <c r="J491" s="16" t="n">
        <f aca="false">IFERROR(MATCH($I491,ROTACAO_RDM!$B$6:$B$71,0),0)</f>
        <v>4</v>
      </c>
      <c r="K491" s="8" t="str">
        <f aca="false">IF($J491=0,"SEM CULTURA",INDEX(ROTACAO_RDM!$F$6:$F$71,$J491))</f>
        <v>ALGODAO</v>
      </c>
      <c r="L491" s="8" t="str">
        <f aca="false">IF($J491=0,"",INDEX(ROTACAO_RDM!$G$6:$G$71,$J491))</f>
        <v>IMA 707 B3XF</v>
      </c>
      <c r="M491" s="17" t="n">
        <f aca="false">IF($J491=0,"",INDEX(ROTACAO_RDM!$I$6:$I$71,$J491))</f>
        <v>46359</v>
      </c>
      <c r="N491" s="16" t="n">
        <f aca="false">IF($J491=0,0,MAX(0,$C491+INT(DIAS_POR_SEMANA/2)-INDEX(ROTACAO_RDM!$I$6:$I$71,$J491)))</f>
        <v>70</v>
      </c>
      <c r="O491" s="19" t="n">
        <f aca="false">IF($J491=0,0,MIN(1,$N491/MAX(1,INDEX(ROTACAO_RDM!$K$6:$K$71,$J491))))</f>
        <v>0.358974358974359</v>
      </c>
      <c r="P491" s="16" t="n">
        <f aca="false">IF($J491=0,0,IFERROR(MATCH(INDEX(ROTACAO_RDM!$N$6:$N$71,$J491),PARAMETROS_CULTURAS!$B$6:$B$28,0),0))</f>
        <v>5</v>
      </c>
      <c r="Q491" s="8" t="str">
        <f aca="false">IF($P491=0,"-",IF($O491&lt;=INDEX(PARAMETROS_CULTURAS!$F$6:$F$28,$P491),"INICIAL",IF($O491&lt;=INDEX(PARAMETROS_CULTURAS!$F$6:$F$28,$P491)+INDEX(PARAMETROS_CULTURAS!$G$6:$G$28,$P491),"DESENVOLVIMENTO",IF($O491&lt;=INDEX(PARAMETROS_CULTURAS!$F$6:$F$28,$P491)+INDEX(PARAMETROS_CULTURAS!$G$6:$G$28,$P491)+INDEX(PARAMETROS_CULTURAS!$H$6:$H$28,$P491),"MEDIA","FINAL"))))</f>
        <v>DESENVOLVIMENTO</v>
      </c>
      <c r="R491" s="24" t="n">
        <f aca="false">IF($P491=0,0,IF($O491&lt;=INDEX(PARAMETROS_CULTURAS!$F$6:$F$28,$P491),INDEX(PARAMETROS_CULTURAS!$K$6:$K$28,$P491),IF($O491&lt;=INDEX(PARAMETROS_CULTURAS!$F$6:$F$28,$P491)+INDEX(PARAMETROS_CULTURAS!$G$6:$G$28,$P491),INDEX(PARAMETROS_CULTURAS!$K$6:$K$28,$P491)+(INDEX(PARAMETROS_CULTURAS!$L$6:$L$28,$P491)-INDEX(PARAMETROS_CULTURAS!$K$6:$K$28,$P491))*($O491-INDEX(PARAMETROS_CULTURAS!$F$6:$F$28,$P491))/MAX(INDEX(PARAMETROS_CULTURAS!$G$6:$G$28,$P491),0.0001),IF($O491&lt;=INDEX(PARAMETROS_CULTURAS!$F$6:$F$28,$P491)+INDEX(PARAMETROS_CULTURAS!$G$6:$G$28,$P491)+INDEX(PARAMETROS_CULTURAS!$H$6:$H$28,$P491),INDEX(PARAMETROS_CULTURAS!$L$6:$L$28,$P491),INDEX(PARAMETROS_CULTURAS!$L$6:$L$28,$P491)+(INDEX(PARAMETROS_CULTURAS!$M$6:$M$28,$P491)-INDEX(PARAMETROS_CULTURAS!$L$6:$L$28,$P491))*($O491-INDEX(PARAMETROS_CULTURAS!$F$6:$F$28,$P491)-INDEX(PARAMETROS_CULTURAS!$G$6:$G$28,$P491)-INDEX(PARAMETROS_CULTURAS!$H$6:$H$28,$P491))/MAX(INDEX(PARAMETROS_CULTURAS!$I$6:$I$28,$P491),0.0001)))))</f>
        <v>0.992998027613412</v>
      </c>
      <c r="S491" s="18" t="n">
        <f aca="false">IFERROR(INDEX(SEMANAS!$H$6:$H$71,MATCH($B491,SEMANAS!$B$6:$B$71,0)),0)</f>
        <v>32.9</v>
      </c>
      <c r="T491" s="18" t="n">
        <f aca="false">$R491*$S491</f>
        <v>32.6696351084813</v>
      </c>
      <c r="U491" s="18" t="n">
        <f aca="false">IFERROR(INDEX(SEMANAS!$I$6:$I$71,MATCH($B491,SEMANAS!$B$6:$B$71,0)),0)</f>
        <v>39.97</v>
      </c>
      <c r="V491" s="18" t="n">
        <f aca="false">IFERROR(INDEX(SEMANAS!$J$6:$J$71,MATCH($B491,SEMANAS!$B$6:$B$71,0)),0)</f>
        <v>31.976</v>
      </c>
      <c r="W491" s="18" t="n">
        <f aca="false">MAX(0,$T491-$V491)</f>
        <v>0.693635108481256</v>
      </c>
      <c r="X491" s="19" t="n">
        <f aca="false">IFERROR(INDEX(CADASTRO_PIVOS!$K$6:$K$41,MATCH($E491,CADASTRO_PIVOS!$B$6:$B$41,0)),EFICIENCIA_PADRAO)</f>
        <v>0.85</v>
      </c>
      <c r="Y491" s="18" t="n">
        <f aca="false">IF($X491&lt;=0,0,$W491/$X491)</f>
        <v>0.816041304095596</v>
      </c>
      <c r="Z491" s="16" t="n">
        <f aca="false">$Y491*$H491*MM_PARA_M3_HA</f>
        <v>814.082804965767</v>
      </c>
      <c r="AA491" s="18" t="n">
        <f aca="false">IFERROR(INDEX(CADASTRO_PIVOS!$I$6:$I$41,MATCH($E491,CADASTRO_PIVOS!$B$6:$B$41,0)),0)</f>
        <v>712.571428571429</v>
      </c>
      <c r="AB491" s="18" t="n">
        <f aca="false">IF($Z491&lt;=0,0,$Z491/$AA491)</f>
        <v>1.14245782573383</v>
      </c>
      <c r="AC491" s="16" t="n">
        <f aca="false">IFERROR(INDEX(SEMANAS!$K$6:$K$71,MATCH($B491,SEMANAS!$B$6:$B$71,0)),0)</f>
        <v>147</v>
      </c>
      <c r="AD491" s="19" t="n">
        <f aca="false">IF($AC491&lt;=0,0,$AB491/$AC491)</f>
        <v>0.00777182194376758</v>
      </c>
      <c r="AE491" s="8" t="str">
        <f aca="false">IF($K491="SEM CULTURA","SEM CULTURA",IF($AA491&lt;=0,"DADO PENDENTE",IF($AD491&gt;LIMITE_CRITICO,"INVIAVEL",IF($AD491&gt;LIMITE_ATENCAO,"CRITICO",IF($AD491&gt;LIMITE_CONFORTAVEL,"ATENCAO","OK")))))</f>
        <v>OK</v>
      </c>
      <c r="AF491" s="8" t="str">
        <f aca="false">$B491&amp;"|"&amp;TEXT($AD491,"0.000000")</f>
        <v>24|0.007772</v>
      </c>
      <c r="AG491" s="18" t="n">
        <f aca="false">IF($K491="SEM CULTURA",0,$T491*$H491)</f>
        <v>3259.12279842209</v>
      </c>
      <c r="AH491" s="18" t="n">
        <f aca="false">IF($K491="SEM CULTURA",0,$V491*$H491)</f>
        <v>3189.92576</v>
      </c>
      <c r="AI491" s="18" t="n">
        <f aca="false">IF($K491="SEM CULTURA",0,$W491*$H491)</f>
        <v>69.1970384220902</v>
      </c>
      <c r="AJ491" s="18" t="n">
        <f aca="false">IF($K491="SEM CULTURA",0,$S491*$H491)</f>
        <v>3282.104</v>
      </c>
      <c r="AK491" s="8" t="str">
        <f aca="false">$E491&amp;"|"&amp;TEXT($AD491,"0.000000")</f>
        <v>PV 103|0.007772</v>
      </c>
    </row>
    <row r="492" customFormat="false" ht="15" hidden="false" customHeight="false" outlineLevel="0" collapsed="false">
      <c r="B492" s="16" t="n">
        <v>25</v>
      </c>
      <c r="C492" s="17" t="n">
        <f aca="false">DATA_INICIO_SAFRA+($B492-1)*DIAS_POR_SEMANA</f>
        <v>46433</v>
      </c>
      <c r="D492" s="17" t="n">
        <f aca="false">$C492+DIAS_POR_SEMANA-1</f>
        <v>46439</v>
      </c>
      <c r="E492" s="15" t="s">
        <v>266</v>
      </c>
      <c r="F492" s="8" t="str">
        <f aca="false">IFERROR(INDEX(CADASTRO_PIVOS!$C$6:$C$41,MATCH($E492,CADASTRO_PIVOS!$B$6:$B$41,0)),"?")</f>
        <v>RM04</v>
      </c>
      <c r="G492" s="8" t="str">
        <f aca="false">IFERROR(INDEX(CADASTRO_PIVOS!$D$6:$D$41,MATCH($E492,CADASTRO_PIVOS!$B$6:$B$41,0)),"?")</f>
        <v>TR04</v>
      </c>
      <c r="H492" s="20" t="n">
        <f aca="false">IFERROR(INDEX(CADASTRO_PIVOS!$E$6:$E$41,MATCH($E492,CADASTRO_PIVOS!$B$6:$B$41,0)),0)</f>
        <v>99.76</v>
      </c>
      <c r="I492" s="16" t="n">
        <f aca="false">IFERROR(SUMIFS(ROTACAO_RDM!$B$6:$B$71,ROTACAO_RDM!$D$6:$D$71,$E492,ROTACAO_RDM!$I$6:$I$71,"&lt;="&amp;$C492+INT(DIAS_POR_SEMANA/2),ROTACAO_RDM!$J$6:$J$71,"&gt;="&amp;$C492+INT(DIAS_POR_SEMANA/2)),0)</f>
        <v>4</v>
      </c>
      <c r="J492" s="16" t="n">
        <f aca="false">IFERROR(MATCH($I492,ROTACAO_RDM!$B$6:$B$71,0),0)</f>
        <v>4</v>
      </c>
      <c r="K492" s="8" t="str">
        <f aca="false">IF($J492=0,"SEM CULTURA",INDEX(ROTACAO_RDM!$F$6:$F$71,$J492))</f>
        <v>ALGODAO</v>
      </c>
      <c r="L492" s="8" t="str">
        <f aca="false">IF($J492=0,"",INDEX(ROTACAO_RDM!$G$6:$G$71,$J492))</f>
        <v>IMA 707 B3XF</v>
      </c>
      <c r="M492" s="17" t="n">
        <f aca="false">IF($J492=0,"",INDEX(ROTACAO_RDM!$I$6:$I$71,$J492))</f>
        <v>46359</v>
      </c>
      <c r="N492" s="16" t="n">
        <f aca="false">IF($J492=0,0,MAX(0,$C492+INT(DIAS_POR_SEMANA/2)-INDEX(ROTACAO_RDM!$I$6:$I$71,$J492)))</f>
        <v>77</v>
      </c>
      <c r="O492" s="19" t="n">
        <f aca="false">IF($J492=0,0,MIN(1,$N492/MAX(1,INDEX(ROTACAO_RDM!$K$6:$K$71,$J492))))</f>
        <v>0.394871794871795</v>
      </c>
      <c r="P492" s="16" t="n">
        <f aca="false">IF($J492=0,0,IFERROR(MATCH(INDEX(ROTACAO_RDM!$N$6:$N$71,$J492),PARAMETROS_CULTURAS!$B$6:$B$28,0),0))</f>
        <v>5</v>
      </c>
      <c r="Q492" s="8" t="str">
        <f aca="false">IF($P492=0,"-",IF($O492&lt;=INDEX(PARAMETROS_CULTURAS!$F$6:$F$28,$P492),"INICIAL",IF($O492&lt;=INDEX(PARAMETROS_CULTURAS!$F$6:$F$28,$P492)+INDEX(PARAMETROS_CULTURAS!$G$6:$G$28,$P492),"DESENVOLVIMENTO",IF($O492&lt;=INDEX(PARAMETROS_CULTURAS!$F$6:$F$28,$P492)+INDEX(PARAMETROS_CULTURAS!$G$6:$G$28,$P492)+INDEX(PARAMETROS_CULTURAS!$H$6:$H$28,$P492),"MEDIA","FINAL"))))</f>
        <v>DESENVOLVIMENTO</v>
      </c>
      <c r="R492" s="24" t="n">
        <f aca="false">IF($P492=0,0,IF($O492&lt;=INDEX(PARAMETROS_CULTURAS!$F$6:$F$28,$P492),INDEX(PARAMETROS_CULTURAS!$K$6:$K$28,$P492),IF($O492&lt;=INDEX(PARAMETROS_CULTURAS!$F$6:$F$28,$P492)+INDEX(PARAMETROS_CULTURAS!$G$6:$G$28,$P492),INDEX(PARAMETROS_CULTURAS!$K$6:$K$28,$P492)+(INDEX(PARAMETROS_CULTURAS!$L$6:$L$28,$P492)-INDEX(PARAMETROS_CULTURAS!$K$6:$K$28,$P492))*($O492-INDEX(PARAMETROS_CULTURAS!$F$6:$F$28,$P492))/MAX(INDEX(PARAMETROS_CULTURAS!$G$6:$G$28,$P492),0.0001),IF($O492&lt;=INDEX(PARAMETROS_CULTURAS!$F$6:$F$28,$P492)+INDEX(PARAMETROS_CULTURAS!$G$6:$G$28,$P492)+INDEX(PARAMETROS_CULTURAS!$H$6:$H$28,$P492),INDEX(PARAMETROS_CULTURAS!$L$6:$L$28,$P492),INDEX(PARAMETROS_CULTURAS!$L$6:$L$28,$P492)+(INDEX(PARAMETROS_CULTURAS!$M$6:$M$28,$P492)-INDEX(PARAMETROS_CULTURAS!$L$6:$L$28,$P492))*($O492-INDEX(PARAMETROS_CULTURAS!$F$6:$F$28,$P492)-INDEX(PARAMETROS_CULTURAS!$G$6:$G$28,$P492)-INDEX(PARAMETROS_CULTURAS!$H$6:$H$28,$P492))/MAX(INDEX(PARAMETROS_CULTURAS!$I$6:$I$28,$P492),0.0001)))))</f>
        <v>1.1034516765286</v>
      </c>
      <c r="S492" s="18" t="n">
        <f aca="false">IFERROR(INDEX(SEMANAS!$H$6:$H$71,MATCH($B492,SEMANAS!$B$6:$B$71,0)),0)</f>
        <v>32.9</v>
      </c>
      <c r="T492" s="18" t="n">
        <f aca="false">$R492*$S492</f>
        <v>36.3035601577909</v>
      </c>
      <c r="U492" s="18" t="n">
        <f aca="false">IFERROR(INDEX(SEMANAS!$I$6:$I$71,MATCH($B492,SEMANAS!$B$6:$B$71,0)),0)</f>
        <v>39.97</v>
      </c>
      <c r="V492" s="18" t="n">
        <f aca="false">IFERROR(INDEX(SEMANAS!$J$6:$J$71,MATCH($B492,SEMANAS!$B$6:$B$71,0)),0)</f>
        <v>31.976</v>
      </c>
      <c r="W492" s="18" t="n">
        <f aca="false">MAX(0,$T492-$V492)</f>
        <v>4.32756015779092</v>
      </c>
      <c r="X492" s="19" t="n">
        <f aca="false">IFERROR(INDEX(CADASTRO_PIVOS!$K$6:$K$41,MATCH($E492,CADASTRO_PIVOS!$B$6:$B$41,0)),EFICIENCIA_PADRAO)</f>
        <v>0.85</v>
      </c>
      <c r="Y492" s="18" t="n">
        <f aca="false">IF($X492&lt;=0,0,$W492/$X492)</f>
        <v>5.09124724445991</v>
      </c>
      <c r="Z492" s="16" t="n">
        <f aca="false">$Y492*$H492*MM_PARA_M3_HA</f>
        <v>5079.02825107321</v>
      </c>
      <c r="AA492" s="18" t="n">
        <f aca="false">IFERROR(INDEX(CADASTRO_PIVOS!$I$6:$I$41,MATCH($E492,CADASTRO_PIVOS!$B$6:$B$41,0)),0)</f>
        <v>712.571428571429</v>
      </c>
      <c r="AB492" s="18" t="n">
        <f aca="false">IF($Z492&lt;=0,0,$Z492/$AA492)</f>
        <v>7.12774614224388</v>
      </c>
      <c r="AC492" s="16" t="n">
        <f aca="false">IFERROR(INDEX(SEMANAS!$K$6:$K$71,MATCH($B492,SEMANAS!$B$6:$B$71,0)),0)</f>
        <v>147</v>
      </c>
      <c r="AD492" s="19" t="n">
        <f aca="false">IF($AC492&lt;=0,0,$AB492/$AC492)</f>
        <v>0.0484880689948563</v>
      </c>
      <c r="AE492" s="8" t="str">
        <f aca="false">IF($K492="SEM CULTURA","SEM CULTURA",IF($AA492&lt;=0,"DADO PENDENTE",IF($AD492&gt;LIMITE_CRITICO,"INVIAVEL",IF($AD492&gt;LIMITE_ATENCAO,"CRITICO",IF($AD492&gt;LIMITE_CONFORTAVEL,"ATENCAO","OK")))))</f>
        <v>OK</v>
      </c>
      <c r="AF492" s="8" t="str">
        <f aca="false">$B492&amp;"|"&amp;TEXT($AD492,"0.000000")</f>
        <v>25|0.048488</v>
      </c>
      <c r="AG492" s="18" t="n">
        <f aca="false">IF($K492="SEM CULTURA",0,$T492*$H492)</f>
        <v>3621.64316134122</v>
      </c>
      <c r="AH492" s="18" t="n">
        <f aca="false">IF($K492="SEM CULTURA",0,$V492*$H492)</f>
        <v>3189.92576</v>
      </c>
      <c r="AI492" s="18" t="n">
        <f aca="false">IF($K492="SEM CULTURA",0,$W492*$H492)</f>
        <v>431.717401341223</v>
      </c>
      <c r="AJ492" s="18" t="n">
        <f aca="false">IF($K492="SEM CULTURA",0,$S492*$H492)</f>
        <v>3282.104</v>
      </c>
      <c r="AK492" s="8" t="str">
        <f aca="false">$E492&amp;"|"&amp;TEXT($AD492,"0.000000")</f>
        <v>PV 103|0.048488</v>
      </c>
    </row>
    <row r="493" customFormat="false" ht="15" hidden="false" customHeight="false" outlineLevel="0" collapsed="false">
      <c r="B493" s="16" t="n">
        <v>26</v>
      </c>
      <c r="C493" s="17" t="n">
        <f aca="false">DATA_INICIO_SAFRA+($B493-1)*DIAS_POR_SEMANA</f>
        <v>46440</v>
      </c>
      <c r="D493" s="17" t="n">
        <f aca="false">$C493+DIAS_POR_SEMANA-1</f>
        <v>46446</v>
      </c>
      <c r="E493" s="15" t="s">
        <v>266</v>
      </c>
      <c r="F493" s="8" t="str">
        <f aca="false">IFERROR(INDEX(CADASTRO_PIVOS!$C$6:$C$41,MATCH($E493,CADASTRO_PIVOS!$B$6:$B$41,0)),"?")</f>
        <v>RM04</v>
      </c>
      <c r="G493" s="8" t="str">
        <f aca="false">IFERROR(INDEX(CADASTRO_PIVOS!$D$6:$D$41,MATCH($E493,CADASTRO_PIVOS!$B$6:$B$41,0)),"?")</f>
        <v>TR04</v>
      </c>
      <c r="H493" s="20" t="n">
        <f aca="false">IFERROR(INDEX(CADASTRO_PIVOS!$E$6:$E$41,MATCH($E493,CADASTRO_PIVOS!$B$6:$B$41,0)),0)</f>
        <v>99.76</v>
      </c>
      <c r="I493" s="16" t="n">
        <f aca="false">IFERROR(SUMIFS(ROTACAO_RDM!$B$6:$B$71,ROTACAO_RDM!$D$6:$D$71,$E493,ROTACAO_RDM!$I$6:$I$71,"&lt;="&amp;$C493+INT(DIAS_POR_SEMANA/2),ROTACAO_RDM!$J$6:$J$71,"&gt;="&amp;$C493+INT(DIAS_POR_SEMANA/2)),0)</f>
        <v>4</v>
      </c>
      <c r="J493" s="16" t="n">
        <f aca="false">IFERROR(MATCH($I493,ROTACAO_RDM!$B$6:$B$71,0),0)</f>
        <v>4</v>
      </c>
      <c r="K493" s="8" t="str">
        <f aca="false">IF($J493=0,"SEM CULTURA",INDEX(ROTACAO_RDM!$F$6:$F$71,$J493))</f>
        <v>ALGODAO</v>
      </c>
      <c r="L493" s="8" t="str">
        <f aca="false">IF($J493=0,"",INDEX(ROTACAO_RDM!$G$6:$G$71,$J493))</f>
        <v>IMA 707 B3XF</v>
      </c>
      <c r="M493" s="17" t="n">
        <f aca="false">IF($J493=0,"",INDEX(ROTACAO_RDM!$I$6:$I$71,$J493))</f>
        <v>46359</v>
      </c>
      <c r="N493" s="16" t="n">
        <f aca="false">IF($J493=0,0,MAX(0,$C493+INT(DIAS_POR_SEMANA/2)-INDEX(ROTACAO_RDM!$I$6:$I$71,$J493)))</f>
        <v>84</v>
      </c>
      <c r="O493" s="19" t="n">
        <f aca="false">IF($J493=0,0,MIN(1,$N493/MAX(1,INDEX(ROTACAO_RDM!$K$6:$K$71,$J493))))</f>
        <v>0.430769230769231</v>
      </c>
      <c r="P493" s="16" t="n">
        <f aca="false">IF($J493=0,0,IFERROR(MATCH(INDEX(ROTACAO_RDM!$N$6:$N$71,$J493),PARAMETROS_CULTURAS!$B$6:$B$28,0),0))</f>
        <v>5</v>
      </c>
      <c r="Q493" s="8" t="str">
        <f aca="false">IF($P493=0,"-",IF($O493&lt;=INDEX(PARAMETROS_CULTURAS!$F$6:$F$28,$P493),"INICIAL",IF($O493&lt;=INDEX(PARAMETROS_CULTURAS!$F$6:$F$28,$P493)+INDEX(PARAMETROS_CULTURAS!$G$6:$G$28,$P493),"DESENVOLVIMENTO",IF($O493&lt;=INDEX(PARAMETROS_CULTURAS!$F$6:$F$28,$P493)+INDEX(PARAMETROS_CULTURAS!$G$6:$G$28,$P493)+INDEX(PARAMETROS_CULTURAS!$H$6:$H$28,$P493),"MEDIA","FINAL"))))</f>
        <v>MEDIA</v>
      </c>
      <c r="R493" s="24" t="n">
        <f aca="false">IF($P493=0,0,IF($O493&lt;=INDEX(PARAMETROS_CULTURAS!$F$6:$F$28,$P493),INDEX(PARAMETROS_CULTURAS!$K$6:$K$28,$P493),IF($O493&lt;=INDEX(PARAMETROS_CULTURAS!$F$6:$F$28,$P493)+INDEX(PARAMETROS_CULTURAS!$G$6:$G$28,$P493),INDEX(PARAMETROS_CULTURAS!$K$6:$K$28,$P493)+(INDEX(PARAMETROS_CULTURAS!$L$6:$L$28,$P493)-INDEX(PARAMETROS_CULTURAS!$K$6:$K$28,$P493))*($O493-INDEX(PARAMETROS_CULTURAS!$F$6:$F$28,$P493))/MAX(INDEX(PARAMETROS_CULTURAS!$G$6:$G$28,$P493),0.0001),IF($O493&lt;=INDEX(PARAMETROS_CULTURAS!$F$6:$F$28,$P493)+INDEX(PARAMETROS_CULTURAS!$G$6:$G$28,$P493)+INDEX(PARAMETROS_CULTURAS!$H$6:$H$28,$P493),INDEX(PARAMETROS_CULTURAS!$L$6:$L$28,$P493),INDEX(PARAMETROS_CULTURAS!$L$6:$L$28,$P493)+(INDEX(PARAMETROS_CULTURAS!$M$6:$M$28,$P493)-INDEX(PARAMETROS_CULTURAS!$L$6:$L$28,$P493))*($O493-INDEX(PARAMETROS_CULTURAS!$F$6:$F$28,$P493)-INDEX(PARAMETROS_CULTURAS!$G$6:$G$28,$P493)-INDEX(PARAMETROS_CULTURAS!$H$6:$H$28,$P493))/MAX(INDEX(PARAMETROS_CULTURAS!$I$6:$I$28,$P493),0.0001)))))</f>
        <v>1.15</v>
      </c>
      <c r="S493" s="18" t="n">
        <f aca="false">IFERROR(INDEX(SEMANAS!$H$6:$H$71,MATCH($B493,SEMANAS!$B$6:$B$71,0)),0)</f>
        <v>32.9</v>
      </c>
      <c r="T493" s="18" t="n">
        <f aca="false">$R493*$S493</f>
        <v>37.835</v>
      </c>
      <c r="U493" s="18" t="n">
        <f aca="false">IFERROR(INDEX(SEMANAS!$I$6:$I$71,MATCH($B493,SEMANAS!$B$6:$B$71,0)),0)</f>
        <v>39.97</v>
      </c>
      <c r="V493" s="18" t="n">
        <f aca="false">IFERROR(INDEX(SEMANAS!$J$6:$J$71,MATCH($B493,SEMANAS!$B$6:$B$71,0)),0)</f>
        <v>31.976</v>
      </c>
      <c r="W493" s="18" t="n">
        <f aca="false">MAX(0,$T493-$V493)</f>
        <v>5.85899999999999</v>
      </c>
      <c r="X493" s="19" t="n">
        <f aca="false">IFERROR(INDEX(CADASTRO_PIVOS!$K$6:$K$41,MATCH($E493,CADASTRO_PIVOS!$B$6:$B$41,0)),EFICIENCIA_PADRAO)</f>
        <v>0.85</v>
      </c>
      <c r="Y493" s="18" t="n">
        <f aca="false">IF($X493&lt;=0,0,$W493/$X493)</f>
        <v>6.89294117647058</v>
      </c>
      <c r="Z493" s="16" t="n">
        <f aca="false">$Y493*$H493*MM_PARA_M3_HA</f>
        <v>6876.39811764705</v>
      </c>
      <c r="AA493" s="18" t="n">
        <f aca="false">IFERROR(INDEX(CADASTRO_PIVOS!$I$6:$I$41,MATCH($E493,CADASTRO_PIVOS!$B$6:$B$41,0)),0)</f>
        <v>712.571428571429</v>
      </c>
      <c r="AB493" s="18" t="n">
        <f aca="false">IF($Z493&lt;=0,0,$Z493/$AA493)</f>
        <v>9.65011764705881</v>
      </c>
      <c r="AC493" s="16" t="n">
        <f aca="false">IFERROR(INDEX(SEMANAS!$K$6:$K$71,MATCH($B493,SEMANAS!$B$6:$B$71,0)),0)</f>
        <v>147</v>
      </c>
      <c r="AD493" s="19" t="n">
        <f aca="false">IF($AC493&lt;=0,0,$AB493/$AC493)</f>
        <v>0.0656470588235293</v>
      </c>
      <c r="AE493" s="8" t="str">
        <f aca="false">IF($K493="SEM CULTURA","SEM CULTURA",IF($AA493&lt;=0,"DADO PENDENTE",IF($AD493&gt;LIMITE_CRITICO,"INVIAVEL",IF($AD493&gt;LIMITE_ATENCAO,"CRITICO",IF($AD493&gt;LIMITE_CONFORTAVEL,"ATENCAO","OK")))))</f>
        <v>OK</v>
      </c>
      <c r="AF493" s="8" t="str">
        <f aca="false">$B493&amp;"|"&amp;TEXT($AD493,"0.000000")</f>
        <v>26|0.065647</v>
      </c>
      <c r="AG493" s="18" t="n">
        <f aca="false">IF($K493="SEM CULTURA",0,$T493*$H493)</f>
        <v>3774.4196</v>
      </c>
      <c r="AH493" s="18" t="n">
        <f aca="false">IF($K493="SEM CULTURA",0,$V493*$H493)</f>
        <v>3189.92576</v>
      </c>
      <c r="AI493" s="18" t="n">
        <f aca="false">IF($K493="SEM CULTURA",0,$W493*$H493)</f>
        <v>584.493839999999</v>
      </c>
      <c r="AJ493" s="18" t="n">
        <f aca="false">IF($K493="SEM CULTURA",0,$S493*$H493)</f>
        <v>3282.104</v>
      </c>
      <c r="AK493" s="8" t="str">
        <f aca="false">$E493&amp;"|"&amp;TEXT($AD493,"0.000000")</f>
        <v>PV 103|0.065647</v>
      </c>
    </row>
    <row r="494" customFormat="false" ht="15" hidden="false" customHeight="false" outlineLevel="0" collapsed="false">
      <c r="B494" s="16" t="n">
        <v>27</v>
      </c>
      <c r="C494" s="17" t="n">
        <f aca="false">DATA_INICIO_SAFRA+($B494-1)*DIAS_POR_SEMANA</f>
        <v>46447</v>
      </c>
      <c r="D494" s="17" t="n">
        <f aca="false">$C494+DIAS_POR_SEMANA-1</f>
        <v>46453</v>
      </c>
      <c r="E494" s="15" t="s">
        <v>266</v>
      </c>
      <c r="F494" s="8" t="str">
        <f aca="false">IFERROR(INDEX(CADASTRO_PIVOS!$C$6:$C$41,MATCH($E494,CADASTRO_PIVOS!$B$6:$B$41,0)),"?")</f>
        <v>RM04</v>
      </c>
      <c r="G494" s="8" t="str">
        <f aca="false">IFERROR(INDEX(CADASTRO_PIVOS!$D$6:$D$41,MATCH($E494,CADASTRO_PIVOS!$B$6:$B$41,0)),"?")</f>
        <v>TR04</v>
      </c>
      <c r="H494" s="20" t="n">
        <f aca="false">IFERROR(INDEX(CADASTRO_PIVOS!$E$6:$E$41,MATCH($E494,CADASTRO_PIVOS!$B$6:$B$41,0)),0)</f>
        <v>99.76</v>
      </c>
      <c r="I494" s="16" t="n">
        <f aca="false">IFERROR(SUMIFS(ROTACAO_RDM!$B$6:$B$71,ROTACAO_RDM!$D$6:$D$71,$E494,ROTACAO_RDM!$I$6:$I$71,"&lt;="&amp;$C494+INT(DIAS_POR_SEMANA/2),ROTACAO_RDM!$J$6:$J$71,"&gt;="&amp;$C494+INT(DIAS_POR_SEMANA/2)),0)</f>
        <v>4</v>
      </c>
      <c r="J494" s="16" t="n">
        <f aca="false">IFERROR(MATCH($I494,ROTACAO_RDM!$B$6:$B$71,0),0)</f>
        <v>4</v>
      </c>
      <c r="K494" s="8" t="str">
        <f aca="false">IF($J494=0,"SEM CULTURA",INDEX(ROTACAO_RDM!$F$6:$F$71,$J494))</f>
        <v>ALGODAO</v>
      </c>
      <c r="L494" s="8" t="str">
        <f aca="false">IF($J494=0,"",INDEX(ROTACAO_RDM!$G$6:$G$71,$J494))</f>
        <v>IMA 707 B3XF</v>
      </c>
      <c r="M494" s="17" t="n">
        <f aca="false">IF($J494=0,"",INDEX(ROTACAO_RDM!$I$6:$I$71,$J494))</f>
        <v>46359</v>
      </c>
      <c r="N494" s="16" t="n">
        <f aca="false">IF($J494=0,0,MAX(0,$C494+INT(DIAS_POR_SEMANA/2)-INDEX(ROTACAO_RDM!$I$6:$I$71,$J494)))</f>
        <v>91</v>
      </c>
      <c r="O494" s="19" t="n">
        <f aca="false">IF($J494=0,0,MIN(1,$N494/MAX(1,INDEX(ROTACAO_RDM!$K$6:$K$71,$J494))))</f>
        <v>0.466666666666667</v>
      </c>
      <c r="P494" s="16" t="n">
        <f aca="false">IF($J494=0,0,IFERROR(MATCH(INDEX(ROTACAO_RDM!$N$6:$N$71,$J494),PARAMETROS_CULTURAS!$B$6:$B$28,0),0))</f>
        <v>5</v>
      </c>
      <c r="Q494" s="8" t="str">
        <f aca="false">IF($P494=0,"-",IF($O494&lt;=INDEX(PARAMETROS_CULTURAS!$F$6:$F$28,$P494),"INICIAL",IF($O494&lt;=INDEX(PARAMETROS_CULTURAS!$F$6:$F$28,$P494)+INDEX(PARAMETROS_CULTURAS!$G$6:$G$28,$P494),"DESENVOLVIMENTO",IF($O494&lt;=INDEX(PARAMETROS_CULTURAS!$F$6:$F$28,$P494)+INDEX(PARAMETROS_CULTURAS!$G$6:$G$28,$P494)+INDEX(PARAMETROS_CULTURAS!$H$6:$H$28,$P494),"MEDIA","FINAL"))))</f>
        <v>MEDIA</v>
      </c>
      <c r="R494" s="24" t="n">
        <f aca="false">IF($P494=0,0,IF($O494&lt;=INDEX(PARAMETROS_CULTURAS!$F$6:$F$28,$P494),INDEX(PARAMETROS_CULTURAS!$K$6:$K$28,$P494),IF($O494&lt;=INDEX(PARAMETROS_CULTURAS!$F$6:$F$28,$P494)+INDEX(PARAMETROS_CULTURAS!$G$6:$G$28,$P494),INDEX(PARAMETROS_CULTURAS!$K$6:$K$28,$P494)+(INDEX(PARAMETROS_CULTURAS!$L$6:$L$28,$P494)-INDEX(PARAMETROS_CULTURAS!$K$6:$K$28,$P494))*($O494-INDEX(PARAMETROS_CULTURAS!$F$6:$F$28,$P494))/MAX(INDEX(PARAMETROS_CULTURAS!$G$6:$G$28,$P494),0.0001),IF($O494&lt;=INDEX(PARAMETROS_CULTURAS!$F$6:$F$28,$P494)+INDEX(PARAMETROS_CULTURAS!$G$6:$G$28,$P494)+INDEX(PARAMETROS_CULTURAS!$H$6:$H$28,$P494),INDEX(PARAMETROS_CULTURAS!$L$6:$L$28,$P494),INDEX(PARAMETROS_CULTURAS!$L$6:$L$28,$P494)+(INDEX(PARAMETROS_CULTURAS!$M$6:$M$28,$P494)-INDEX(PARAMETROS_CULTURAS!$L$6:$L$28,$P494))*($O494-INDEX(PARAMETROS_CULTURAS!$F$6:$F$28,$P494)-INDEX(PARAMETROS_CULTURAS!$G$6:$G$28,$P494)-INDEX(PARAMETROS_CULTURAS!$H$6:$H$28,$P494))/MAX(INDEX(PARAMETROS_CULTURAS!$I$6:$I$28,$P494),0.0001)))))</f>
        <v>1.15</v>
      </c>
      <c r="S494" s="18" t="n">
        <f aca="false">IFERROR(INDEX(SEMANAS!$H$6:$H$71,MATCH($B494,SEMANAS!$B$6:$B$71,0)),0)</f>
        <v>32.2</v>
      </c>
      <c r="T494" s="18" t="n">
        <f aca="false">$R494*$S494</f>
        <v>37.03</v>
      </c>
      <c r="U494" s="18" t="n">
        <f aca="false">IFERROR(INDEX(SEMANAS!$I$6:$I$71,MATCH($B494,SEMANAS!$B$6:$B$71,0)),0)</f>
        <v>37.24</v>
      </c>
      <c r="V494" s="18" t="n">
        <f aca="false">IFERROR(INDEX(SEMANAS!$J$6:$J$71,MATCH($B494,SEMANAS!$B$6:$B$71,0)),0)</f>
        <v>29.792</v>
      </c>
      <c r="W494" s="18" t="n">
        <f aca="false">MAX(0,$T494-$V494)</f>
        <v>7.23799999999999</v>
      </c>
      <c r="X494" s="19" t="n">
        <f aca="false">IFERROR(INDEX(CADASTRO_PIVOS!$K$6:$K$41,MATCH($E494,CADASTRO_PIVOS!$B$6:$B$41,0)),EFICIENCIA_PADRAO)</f>
        <v>0.85</v>
      </c>
      <c r="Y494" s="18" t="n">
        <f aca="false">IF($X494&lt;=0,0,$W494/$X494)</f>
        <v>8.51529411764705</v>
      </c>
      <c r="Z494" s="16" t="n">
        <f aca="false">$Y494*$H494*MM_PARA_M3_HA</f>
        <v>8494.8574117647</v>
      </c>
      <c r="AA494" s="18" t="n">
        <f aca="false">IFERROR(INDEX(CADASTRO_PIVOS!$I$6:$I$41,MATCH($E494,CADASTRO_PIVOS!$B$6:$B$41,0)),0)</f>
        <v>712.571428571429</v>
      </c>
      <c r="AB494" s="18" t="n">
        <f aca="false">IF($Z494&lt;=0,0,$Z494/$AA494)</f>
        <v>11.9214117647059</v>
      </c>
      <c r="AC494" s="16" t="n">
        <f aca="false">IFERROR(INDEX(SEMANAS!$K$6:$K$71,MATCH($B494,SEMANAS!$B$6:$B$71,0)),0)</f>
        <v>147</v>
      </c>
      <c r="AD494" s="19" t="n">
        <f aca="false">IF($AC494&lt;=0,0,$AB494/$AC494)</f>
        <v>0.0810980392156862</v>
      </c>
      <c r="AE494" s="8" t="str">
        <f aca="false">IF($K494="SEM CULTURA","SEM CULTURA",IF($AA494&lt;=0,"DADO PENDENTE",IF($AD494&gt;LIMITE_CRITICO,"INVIAVEL",IF($AD494&gt;LIMITE_ATENCAO,"CRITICO",IF($AD494&gt;LIMITE_CONFORTAVEL,"ATENCAO","OK")))))</f>
        <v>OK</v>
      </c>
      <c r="AF494" s="8" t="str">
        <f aca="false">$B494&amp;"|"&amp;TEXT($AD494,"0.000000")</f>
        <v>27|0.081098</v>
      </c>
      <c r="AG494" s="18" t="n">
        <f aca="false">IF($K494="SEM CULTURA",0,$T494*$H494)</f>
        <v>3694.1128</v>
      </c>
      <c r="AH494" s="18" t="n">
        <f aca="false">IF($K494="SEM CULTURA",0,$V494*$H494)</f>
        <v>2972.04992</v>
      </c>
      <c r="AI494" s="18" t="n">
        <f aca="false">IF($K494="SEM CULTURA",0,$W494*$H494)</f>
        <v>722.062879999999</v>
      </c>
      <c r="AJ494" s="18" t="n">
        <f aca="false">IF($K494="SEM CULTURA",0,$S494*$H494)</f>
        <v>3212.272</v>
      </c>
      <c r="AK494" s="8" t="str">
        <f aca="false">$E494&amp;"|"&amp;TEXT($AD494,"0.000000")</f>
        <v>PV 103|0.081098</v>
      </c>
    </row>
    <row r="495" customFormat="false" ht="15" hidden="false" customHeight="false" outlineLevel="0" collapsed="false">
      <c r="B495" s="16" t="n">
        <v>28</v>
      </c>
      <c r="C495" s="17" t="n">
        <f aca="false">DATA_INICIO_SAFRA+($B495-1)*DIAS_POR_SEMANA</f>
        <v>46454</v>
      </c>
      <c r="D495" s="17" t="n">
        <f aca="false">$C495+DIAS_POR_SEMANA-1</f>
        <v>46460</v>
      </c>
      <c r="E495" s="15" t="s">
        <v>266</v>
      </c>
      <c r="F495" s="8" t="str">
        <f aca="false">IFERROR(INDEX(CADASTRO_PIVOS!$C$6:$C$41,MATCH($E495,CADASTRO_PIVOS!$B$6:$B$41,0)),"?")</f>
        <v>RM04</v>
      </c>
      <c r="G495" s="8" t="str">
        <f aca="false">IFERROR(INDEX(CADASTRO_PIVOS!$D$6:$D$41,MATCH($E495,CADASTRO_PIVOS!$B$6:$B$41,0)),"?")</f>
        <v>TR04</v>
      </c>
      <c r="H495" s="20" t="n">
        <f aca="false">IFERROR(INDEX(CADASTRO_PIVOS!$E$6:$E$41,MATCH($E495,CADASTRO_PIVOS!$B$6:$B$41,0)),0)</f>
        <v>99.76</v>
      </c>
      <c r="I495" s="16" t="n">
        <f aca="false">IFERROR(SUMIFS(ROTACAO_RDM!$B$6:$B$71,ROTACAO_RDM!$D$6:$D$71,$E495,ROTACAO_RDM!$I$6:$I$71,"&lt;="&amp;$C495+INT(DIAS_POR_SEMANA/2),ROTACAO_RDM!$J$6:$J$71,"&gt;="&amp;$C495+INT(DIAS_POR_SEMANA/2)),0)</f>
        <v>4</v>
      </c>
      <c r="J495" s="16" t="n">
        <f aca="false">IFERROR(MATCH($I495,ROTACAO_RDM!$B$6:$B$71,0),0)</f>
        <v>4</v>
      </c>
      <c r="K495" s="8" t="str">
        <f aca="false">IF($J495=0,"SEM CULTURA",INDEX(ROTACAO_RDM!$F$6:$F$71,$J495))</f>
        <v>ALGODAO</v>
      </c>
      <c r="L495" s="8" t="str">
        <f aca="false">IF($J495=0,"",INDEX(ROTACAO_RDM!$G$6:$G$71,$J495))</f>
        <v>IMA 707 B3XF</v>
      </c>
      <c r="M495" s="17" t="n">
        <f aca="false">IF($J495=0,"",INDEX(ROTACAO_RDM!$I$6:$I$71,$J495))</f>
        <v>46359</v>
      </c>
      <c r="N495" s="16" t="n">
        <f aca="false">IF($J495=0,0,MAX(0,$C495+INT(DIAS_POR_SEMANA/2)-INDEX(ROTACAO_RDM!$I$6:$I$71,$J495)))</f>
        <v>98</v>
      </c>
      <c r="O495" s="19" t="n">
        <f aca="false">IF($J495=0,0,MIN(1,$N495/MAX(1,INDEX(ROTACAO_RDM!$K$6:$K$71,$J495))))</f>
        <v>0.502564102564103</v>
      </c>
      <c r="P495" s="16" t="n">
        <f aca="false">IF($J495=0,0,IFERROR(MATCH(INDEX(ROTACAO_RDM!$N$6:$N$71,$J495),PARAMETROS_CULTURAS!$B$6:$B$28,0),0))</f>
        <v>5</v>
      </c>
      <c r="Q495" s="8" t="str">
        <f aca="false">IF($P495=0,"-",IF($O495&lt;=INDEX(PARAMETROS_CULTURAS!$F$6:$F$28,$P495),"INICIAL",IF($O495&lt;=INDEX(PARAMETROS_CULTURAS!$F$6:$F$28,$P495)+INDEX(PARAMETROS_CULTURAS!$G$6:$G$28,$P495),"DESENVOLVIMENTO",IF($O495&lt;=INDEX(PARAMETROS_CULTURAS!$F$6:$F$28,$P495)+INDEX(PARAMETROS_CULTURAS!$G$6:$G$28,$P495)+INDEX(PARAMETROS_CULTURAS!$H$6:$H$28,$P495),"MEDIA","FINAL"))))</f>
        <v>MEDIA</v>
      </c>
      <c r="R495" s="24" t="n">
        <f aca="false">IF($P495=0,0,IF($O495&lt;=INDEX(PARAMETROS_CULTURAS!$F$6:$F$28,$P495),INDEX(PARAMETROS_CULTURAS!$K$6:$K$28,$P495),IF($O495&lt;=INDEX(PARAMETROS_CULTURAS!$F$6:$F$28,$P495)+INDEX(PARAMETROS_CULTURAS!$G$6:$G$28,$P495),INDEX(PARAMETROS_CULTURAS!$K$6:$K$28,$P495)+(INDEX(PARAMETROS_CULTURAS!$L$6:$L$28,$P495)-INDEX(PARAMETROS_CULTURAS!$K$6:$K$28,$P495))*($O495-INDEX(PARAMETROS_CULTURAS!$F$6:$F$28,$P495))/MAX(INDEX(PARAMETROS_CULTURAS!$G$6:$G$28,$P495),0.0001),IF($O495&lt;=INDEX(PARAMETROS_CULTURAS!$F$6:$F$28,$P495)+INDEX(PARAMETROS_CULTURAS!$G$6:$G$28,$P495)+INDEX(PARAMETROS_CULTURAS!$H$6:$H$28,$P495),INDEX(PARAMETROS_CULTURAS!$L$6:$L$28,$P495),INDEX(PARAMETROS_CULTURAS!$L$6:$L$28,$P495)+(INDEX(PARAMETROS_CULTURAS!$M$6:$M$28,$P495)-INDEX(PARAMETROS_CULTURAS!$L$6:$L$28,$P495))*($O495-INDEX(PARAMETROS_CULTURAS!$F$6:$F$28,$P495)-INDEX(PARAMETROS_CULTURAS!$G$6:$G$28,$P495)-INDEX(PARAMETROS_CULTURAS!$H$6:$H$28,$P495))/MAX(INDEX(PARAMETROS_CULTURAS!$I$6:$I$28,$P495),0.0001)))))</f>
        <v>1.15</v>
      </c>
      <c r="S495" s="18" t="n">
        <f aca="false">IFERROR(INDEX(SEMANAS!$H$6:$H$71,MATCH($B495,SEMANAS!$B$6:$B$71,0)),0)</f>
        <v>32.2</v>
      </c>
      <c r="T495" s="18" t="n">
        <f aca="false">$R495*$S495</f>
        <v>37.03</v>
      </c>
      <c r="U495" s="18" t="n">
        <f aca="false">IFERROR(INDEX(SEMANAS!$I$6:$I$71,MATCH($B495,SEMANAS!$B$6:$B$71,0)),0)</f>
        <v>37.24</v>
      </c>
      <c r="V495" s="18" t="n">
        <f aca="false">IFERROR(INDEX(SEMANAS!$J$6:$J$71,MATCH($B495,SEMANAS!$B$6:$B$71,0)),0)</f>
        <v>29.792</v>
      </c>
      <c r="W495" s="18" t="n">
        <f aca="false">MAX(0,$T495-$V495)</f>
        <v>7.23799999999999</v>
      </c>
      <c r="X495" s="19" t="n">
        <f aca="false">IFERROR(INDEX(CADASTRO_PIVOS!$K$6:$K$41,MATCH($E495,CADASTRO_PIVOS!$B$6:$B$41,0)),EFICIENCIA_PADRAO)</f>
        <v>0.85</v>
      </c>
      <c r="Y495" s="18" t="n">
        <f aca="false">IF($X495&lt;=0,0,$W495/$X495)</f>
        <v>8.51529411764705</v>
      </c>
      <c r="Z495" s="16" t="n">
        <f aca="false">$Y495*$H495*MM_PARA_M3_HA</f>
        <v>8494.8574117647</v>
      </c>
      <c r="AA495" s="18" t="n">
        <f aca="false">IFERROR(INDEX(CADASTRO_PIVOS!$I$6:$I$41,MATCH($E495,CADASTRO_PIVOS!$B$6:$B$41,0)),0)</f>
        <v>712.571428571429</v>
      </c>
      <c r="AB495" s="18" t="n">
        <f aca="false">IF($Z495&lt;=0,0,$Z495/$AA495)</f>
        <v>11.9214117647059</v>
      </c>
      <c r="AC495" s="16" t="n">
        <f aca="false">IFERROR(INDEX(SEMANAS!$K$6:$K$71,MATCH($B495,SEMANAS!$B$6:$B$71,0)),0)</f>
        <v>147</v>
      </c>
      <c r="AD495" s="19" t="n">
        <f aca="false">IF($AC495&lt;=0,0,$AB495/$AC495)</f>
        <v>0.0810980392156862</v>
      </c>
      <c r="AE495" s="8" t="str">
        <f aca="false">IF($K495="SEM CULTURA","SEM CULTURA",IF($AA495&lt;=0,"DADO PENDENTE",IF($AD495&gt;LIMITE_CRITICO,"INVIAVEL",IF($AD495&gt;LIMITE_ATENCAO,"CRITICO",IF($AD495&gt;LIMITE_CONFORTAVEL,"ATENCAO","OK")))))</f>
        <v>OK</v>
      </c>
      <c r="AF495" s="8" t="str">
        <f aca="false">$B495&amp;"|"&amp;TEXT($AD495,"0.000000")</f>
        <v>28|0.081098</v>
      </c>
      <c r="AG495" s="18" t="n">
        <f aca="false">IF($K495="SEM CULTURA",0,$T495*$H495)</f>
        <v>3694.1128</v>
      </c>
      <c r="AH495" s="18" t="n">
        <f aca="false">IF($K495="SEM CULTURA",0,$V495*$H495)</f>
        <v>2972.04992</v>
      </c>
      <c r="AI495" s="18" t="n">
        <f aca="false">IF($K495="SEM CULTURA",0,$W495*$H495)</f>
        <v>722.062879999999</v>
      </c>
      <c r="AJ495" s="18" t="n">
        <f aca="false">IF($K495="SEM CULTURA",0,$S495*$H495)</f>
        <v>3212.272</v>
      </c>
      <c r="AK495" s="8" t="str">
        <f aca="false">$E495&amp;"|"&amp;TEXT($AD495,"0.000000")</f>
        <v>PV 103|0.081098</v>
      </c>
    </row>
    <row r="496" customFormat="false" ht="15" hidden="false" customHeight="false" outlineLevel="0" collapsed="false">
      <c r="B496" s="16" t="n">
        <v>29</v>
      </c>
      <c r="C496" s="17" t="n">
        <f aca="false">DATA_INICIO_SAFRA+($B496-1)*DIAS_POR_SEMANA</f>
        <v>46461</v>
      </c>
      <c r="D496" s="17" t="n">
        <f aca="false">$C496+DIAS_POR_SEMANA-1</f>
        <v>46467</v>
      </c>
      <c r="E496" s="15" t="s">
        <v>266</v>
      </c>
      <c r="F496" s="8" t="str">
        <f aca="false">IFERROR(INDEX(CADASTRO_PIVOS!$C$6:$C$41,MATCH($E496,CADASTRO_PIVOS!$B$6:$B$41,0)),"?")</f>
        <v>RM04</v>
      </c>
      <c r="G496" s="8" t="str">
        <f aca="false">IFERROR(INDEX(CADASTRO_PIVOS!$D$6:$D$41,MATCH($E496,CADASTRO_PIVOS!$B$6:$B$41,0)),"?")</f>
        <v>TR04</v>
      </c>
      <c r="H496" s="20" t="n">
        <f aca="false">IFERROR(INDEX(CADASTRO_PIVOS!$E$6:$E$41,MATCH($E496,CADASTRO_PIVOS!$B$6:$B$41,0)),0)</f>
        <v>99.76</v>
      </c>
      <c r="I496" s="16" t="n">
        <f aca="false">IFERROR(SUMIFS(ROTACAO_RDM!$B$6:$B$71,ROTACAO_RDM!$D$6:$D$71,$E496,ROTACAO_RDM!$I$6:$I$71,"&lt;="&amp;$C496+INT(DIAS_POR_SEMANA/2),ROTACAO_RDM!$J$6:$J$71,"&gt;="&amp;$C496+INT(DIAS_POR_SEMANA/2)),0)</f>
        <v>4</v>
      </c>
      <c r="J496" s="16" t="n">
        <f aca="false">IFERROR(MATCH($I496,ROTACAO_RDM!$B$6:$B$71,0),0)</f>
        <v>4</v>
      </c>
      <c r="K496" s="8" t="str">
        <f aca="false">IF($J496=0,"SEM CULTURA",INDEX(ROTACAO_RDM!$F$6:$F$71,$J496))</f>
        <v>ALGODAO</v>
      </c>
      <c r="L496" s="8" t="str">
        <f aca="false">IF($J496=0,"",INDEX(ROTACAO_RDM!$G$6:$G$71,$J496))</f>
        <v>IMA 707 B3XF</v>
      </c>
      <c r="M496" s="17" t="n">
        <f aca="false">IF($J496=0,"",INDEX(ROTACAO_RDM!$I$6:$I$71,$J496))</f>
        <v>46359</v>
      </c>
      <c r="N496" s="16" t="n">
        <f aca="false">IF($J496=0,0,MAX(0,$C496+INT(DIAS_POR_SEMANA/2)-INDEX(ROTACAO_RDM!$I$6:$I$71,$J496)))</f>
        <v>105</v>
      </c>
      <c r="O496" s="19" t="n">
        <f aca="false">IF($J496=0,0,MIN(1,$N496/MAX(1,INDEX(ROTACAO_RDM!$K$6:$K$71,$J496))))</f>
        <v>0.538461538461538</v>
      </c>
      <c r="P496" s="16" t="n">
        <f aca="false">IF($J496=0,0,IFERROR(MATCH(INDEX(ROTACAO_RDM!$N$6:$N$71,$J496),PARAMETROS_CULTURAS!$B$6:$B$28,0),0))</f>
        <v>5</v>
      </c>
      <c r="Q496" s="8" t="str">
        <f aca="false">IF($P496=0,"-",IF($O496&lt;=INDEX(PARAMETROS_CULTURAS!$F$6:$F$28,$P496),"INICIAL",IF($O496&lt;=INDEX(PARAMETROS_CULTURAS!$F$6:$F$28,$P496)+INDEX(PARAMETROS_CULTURAS!$G$6:$G$28,$P496),"DESENVOLVIMENTO",IF($O496&lt;=INDEX(PARAMETROS_CULTURAS!$F$6:$F$28,$P496)+INDEX(PARAMETROS_CULTURAS!$G$6:$G$28,$P496)+INDEX(PARAMETROS_CULTURAS!$H$6:$H$28,$P496),"MEDIA","FINAL"))))</f>
        <v>MEDIA</v>
      </c>
      <c r="R496" s="24" t="n">
        <f aca="false">IF($P496=0,0,IF($O496&lt;=INDEX(PARAMETROS_CULTURAS!$F$6:$F$28,$P496),INDEX(PARAMETROS_CULTURAS!$K$6:$K$28,$P496),IF($O496&lt;=INDEX(PARAMETROS_CULTURAS!$F$6:$F$28,$P496)+INDEX(PARAMETROS_CULTURAS!$G$6:$G$28,$P496),INDEX(PARAMETROS_CULTURAS!$K$6:$K$28,$P496)+(INDEX(PARAMETROS_CULTURAS!$L$6:$L$28,$P496)-INDEX(PARAMETROS_CULTURAS!$K$6:$K$28,$P496))*($O496-INDEX(PARAMETROS_CULTURAS!$F$6:$F$28,$P496))/MAX(INDEX(PARAMETROS_CULTURAS!$G$6:$G$28,$P496),0.0001),IF($O496&lt;=INDEX(PARAMETROS_CULTURAS!$F$6:$F$28,$P496)+INDEX(PARAMETROS_CULTURAS!$G$6:$G$28,$P496)+INDEX(PARAMETROS_CULTURAS!$H$6:$H$28,$P496),INDEX(PARAMETROS_CULTURAS!$L$6:$L$28,$P496),INDEX(PARAMETROS_CULTURAS!$L$6:$L$28,$P496)+(INDEX(PARAMETROS_CULTURAS!$M$6:$M$28,$P496)-INDEX(PARAMETROS_CULTURAS!$L$6:$L$28,$P496))*($O496-INDEX(PARAMETROS_CULTURAS!$F$6:$F$28,$P496)-INDEX(PARAMETROS_CULTURAS!$G$6:$G$28,$P496)-INDEX(PARAMETROS_CULTURAS!$H$6:$H$28,$P496))/MAX(INDEX(PARAMETROS_CULTURAS!$I$6:$I$28,$P496),0.0001)))))</f>
        <v>1.15</v>
      </c>
      <c r="S496" s="18" t="n">
        <f aca="false">IFERROR(INDEX(SEMANAS!$H$6:$H$71,MATCH($B496,SEMANAS!$B$6:$B$71,0)),0)</f>
        <v>32.2</v>
      </c>
      <c r="T496" s="18" t="n">
        <f aca="false">$R496*$S496</f>
        <v>37.03</v>
      </c>
      <c r="U496" s="18" t="n">
        <f aca="false">IFERROR(INDEX(SEMANAS!$I$6:$I$71,MATCH($B496,SEMANAS!$B$6:$B$71,0)),0)</f>
        <v>37.24</v>
      </c>
      <c r="V496" s="18" t="n">
        <f aca="false">IFERROR(INDEX(SEMANAS!$J$6:$J$71,MATCH($B496,SEMANAS!$B$6:$B$71,0)),0)</f>
        <v>29.792</v>
      </c>
      <c r="W496" s="18" t="n">
        <f aca="false">MAX(0,$T496-$V496)</f>
        <v>7.23799999999999</v>
      </c>
      <c r="X496" s="19" t="n">
        <f aca="false">IFERROR(INDEX(CADASTRO_PIVOS!$K$6:$K$41,MATCH($E496,CADASTRO_PIVOS!$B$6:$B$41,0)),EFICIENCIA_PADRAO)</f>
        <v>0.85</v>
      </c>
      <c r="Y496" s="18" t="n">
        <f aca="false">IF($X496&lt;=0,0,$W496/$X496)</f>
        <v>8.51529411764705</v>
      </c>
      <c r="Z496" s="16" t="n">
        <f aca="false">$Y496*$H496*MM_PARA_M3_HA</f>
        <v>8494.8574117647</v>
      </c>
      <c r="AA496" s="18" t="n">
        <f aca="false">IFERROR(INDEX(CADASTRO_PIVOS!$I$6:$I$41,MATCH($E496,CADASTRO_PIVOS!$B$6:$B$41,0)),0)</f>
        <v>712.571428571429</v>
      </c>
      <c r="AB496" s="18" t="n">
        <f aca="false">IF($Z496&lt;=0,0,$Z496/$AA496)</f>
        <v>11.9214117647059</v>
      </c>
      <c r="AC496" s="16" t="n">
        <f aca="false">IFERROR(INDEX(SEMANAS!$K$6:$K$71,MATCH($B496,SEMANAS!$B$6:$B$71,0)),0)</f>
        <v>147</v>
      </c>
      <c r="AD496" s="19" t="n">
        <f aca="false">IF($AC496&lt;=0,0,$AB496/$AC496)</f>
        <v>0.0810980392156862</v>
      </c>
      <c r="AE496" s="8" t="str">
        <f aca="false">IF($K496="SEM CULTURA","SEM CULTURA",IF($AA496&lt;=0,"DADO PENDENTE",IF($AD496&gt;LIMITE_CRITICO,"INVIAVEL",IF($AD496&gt;LIMITE_ATENCAO,"CRITICO",IF($AD496&gt;LIMITE_CONFORTAVEL,"ATENCAO","OK")))))</f>
        <v>OK</v>
      </c>
      <c r="AF496" s="8" t="str">
        <f aca="false">$B496&amp;"|"&amp;TEXT($AD496,"0.000000")</f>
        <v>29|0.081098</v>
      </c>
      <c r="AG496" s="18" t="n">
        <f aca="false">IF($K496="SEM CULTURA",0,$T496*$H496)</f>
        <v>3694.1128</v>
      </c>
      <c r="AH496" s="18" t="n">
        <f aca="false">IF($K496="SEM CULTURA",0,$V496*$H496)</f>
        <v>2972.04992</v>
      </c>
      <c r="AI496" s="18" t="n">
        <f aca="false">IF($K496="SEM CULTURA",0,$W496*$H496)</f>
        <v>722.062879999999</v>
      </c>
      <c r="AJ496" s="18" t="n">
        <f aca="false">IF($K496="SEM CULTURA",0,$S496*$H496)</f>
        <v>3212.272</v>
      </c>
      <c r="AK496" s="8" t="str">
        <f aca="false">$E496&amp;"|"&amp;TEXT($AD496,"0.000000")</f>
        <v>PV 103|0.081098</v>
      </c>
    </row>
    <row r="497" customFormat="false" ht="15" hidden="false" customHeight="false" outlineLevel="0" collapsed="false">
      <c r="B497" s="16" t="n">
        <v>30</v>
      </c>
      <c r="C497" s="17" t="n">
        <f aca="false">DATA_INICIO_SAFRA+($B497-1)*DIAS_POR_SEMANA</f>
        <v>46468</v>
      </c>
      <c r="D497" s="17" t="n">
        <f aca="false">$C497+DIAS_POR_SEMANA-1</f>
        <v>46474</v>
      </c>
      <c r="E497" s="15" t="s">
        <v>266</v>
      </c>
      <c r="F497" s="8" t="str">
        <f aca="false">IFERROR(INDEX(CADASTRO_PIVOS!$C$6:$C$41,MATCH($E497,CADASTRO_PIVOS!$B$6:$B$41,0)),"?")</f>
        <v>RM04</v>
      </c>
      <c r="G497" s="8" t="str">
        <f aca="false">IFERROR(INDEX(CADASTRO_PIVOS!$D$6:$D$41,MATCH($E497,CADASTRO_PIVOS!$B$6:$B$41,0)),"?")</f>
        <v>TR04</v>
      </c>
      <c r="H497" s="20" t="n">
        <f aca="false">IFERROR(INDEX(CADASTRO_PIVOS!$E$6:$E$41,MATCH($E497,CADASTRO_PIVOS!$B$6:$B$41,0)),0)</f>
        <v>99.76</v>
      </c>
      <c r="I497" s="16" t="n">
        <f aca="false">IFERROR(SUMIFS(ROTACAO_RDM!$B$6:$B$71,ROTACAO_RDM!$D$6:$D$71,$E497,ROTACAO_RDM!$I$6:$I$71,"&lt;="&amp;$C497+INT(DIAS_POR_SEMANA/2),ROTACAO_RDM!$J$6:$J$71,"&gt;="&amp;$C497+INT(DIAS_POR_SEMANA/2)),0)</f>
        <v>4</v>
      </c>
      <c r="J497" s="16" t="n">
        <f aca="false">IFERROR(MATCH($I497,ROTACAO_RDM!$B$6:$B$71,0),0)</f>
        <v>4</v>
      </c>
      <c r="K497" s="8" t="str">
        <f aca="false">IF($J497=0,"SEM CULTURA",INDEX(ROTACAO_RDM!$F$6:$F$71,$J497))</f>
        <v>ALGODAO</v>
      </c>
      <c r="L497" s="8" t="str">
        <f aca="false">IF($J497=0,"",INDEX(ROTACAO_RDM!$G$6:$G$71,$J497))</f>
        <v>IMA 707 B3XF</v>
      </c>
      <c r="M497" s="17" t="n">
        <f aca="false">IF($J497=0,"",INDEX(ROTACAO_RDM!$I$6:$I$71,$J497))</f>
        <v>46359</v>
      </c>
      <c r="N497" s="16" t="n">
        <f aca="false">IF($J497=0,0,MAX(0,$C497+INT(DIAS_POR_SEMANA/2)-INDEX(ROTACAO_RDM!$I$6:$I$71,$J497)))</f>
        <v>112</v>
      </c>
      <c r="O497" s="19" t="n">
        <f aca="false">IF($J497=0,0,MIN(1,$N497/MAX(1,INDEX(ROTACAO_RDM!$K$6:$K$71,$J497))))</f>
        <v>0.574358974358974</v>
      </c>
      <c r="P497" s="16" t="n">
        <f aca="false">IF($J497=0,0,IFERROR(MATCH(INDEX(ROTACAO_RDM!$N$6:$N$71,$J497),PARAMETROS_CULTURAS!$B$6:$B$28,0),0))</f>
        <v>5</v>
      </c>
      <c r="Q497" s="8" t="str">
        <f aca="false">IF($P497=0,"-",IF($O497&lt;=INDEX(PARAMETROS_CULTURAS!$F$6:$F$28,$P497),"INICIAL",IF($O497&lt;=INDEX(PARAMETROS_CULTURAS!$F$6:$F$28,$P497)+INDEX(PARAMETROS_CULTURAS!$G$6:$G$28,$P497),"DESENVOLVIMENTO",IF($O497&lt;=INDEX(PARAMETROS_CULTURAS!$F$6:$F$28,$P497)+INDEX(PARAMETROS_CULTURAS!$G$6:$G$28,$P497)+INDEX(PARAMETROS_CULTURAS!$H$6:$H$28,$P497),"MEDIA","FINAL"))))</f>
        <v>MEDIA</v>
      </c>
      <c r="R497" s="24" t="n">
        <f aca="false">IF($P497=0,0,IF($O497&lt;=INDEX(PARAMETROS_CULTURAS!$F$6:$F$28,$P497),INDEX(PARAMETROS_CULTURAS!$K$6:$K$28,$P497),IF($O497&lt;=INDEX(PARAMETROS_CULTURAS!$F$6:$F$28,$P497)+INDEX(PARAMETROS_CULTURAS!$G$6:$G$28,$P497),INDEX(PARAMETROS_CULTURAS!$K$6:$K$28,$P497)+(INDEX(PARAMETROS_CULTURAS!$L$6:$L$28,$P497)-INDEX(PARAMETROS_CULTURAS!$K$6:$K$28,$P497))*($O497-INDEX(PARAMETROS_CULTURAS!$F$6:$F$28,$P497))/MAX(INDEX(PARAMETROS_CULTURAS!$G$6:$G$28,$P497),0.0001),IF($O497&lt;=INDEX(PARAMETROS_CULTURAS!$F$6:$F$28,$P497)+INDEX(PARAMETROS_CULTURAS!$G$6:$G$28,$P497)+INDEX(PARAMETROS_CULTURAS!$H$6:$H$28,$P497),INDEX(PARAMETROS_CULTURAS!$L$6:$L$28,$P497),INDEX(PARAMETROS_CULTURAS!$L$6:$L$28,$P497)+(INDEX(PARAMETROS_CULTURAS!$M$6:$M$28,$P497)-INDEX(PARAMETROS_CULTURAS!$L$6:$L$28,$P497))*($O497-INDEX(PARAMETROS_CULTURAS!$F$6:$F$28,$P497)-INDEX(PARAMETROS_CULTURAS!$G$6:$G$28,$P497)-INDEX(PARAMETROS_CULTURAS!$H$6:$H$28,$P497))/MAX(INDEX(PARAMETROS_CULTURAS!$I$6:$I$28,$P497),0.0001)))))</f>
        <v>1.15</v>
      </c>
      <c r="S497" s="18" t="n">
        <f aca="false">IFERROR(INDEX(SEMANAS!$H$6:$H$71,MATCH($B497,SEMANAS!$B$6:$B$71,0)),0)</f>
        <v>32.2</v>
      </c>
      <c r="T497" s="18" t="n">
        <f aca="false">$R497*$S497</f>
        <v>37.03</v>
      </c>
      <c r="U497" s="18" t="n">
        <f aca="false">IFERROR(INDEX(SEMANAS!$I$6:$I$71,MATCH($B497,SEMANAS!$B$6:$B$71,0)),0)</f>
        <v>37.24</v>
      </c>
      <c r="V497" s="18" t="n">
        <f aca="false">IFERROR(INDEX(SEMANAS!$J$6:$J$71,MATCH($B497,SEMANAS!$B$6:$B$71,0)),0)</f>
        <v>29.792</v>
      </c>
      <c r="W497" s="18" t="n">
        <f aca="false">MAX(0,$T497-$V497)</f>
        <v>7.23799999999999</v>
      </c>
      <c r="X497" s="19" t="n">
        <f aca="false">IFERROR(INDEX(CADASTRO_PIVOS!$K$6:$K$41,MATCH($E497,CADASTRO_PIVOS!$B$6:$B$41,0)),EFICIENCIA_PADRAO)</f>
        <v>0.85</v>
      </c>
      <c r="Y497" s="18" t="n">
        <f aca="false">IF($X497&lt;=0,0,$W497/$X497)</f>
        <v>8.51529411764705</v>
      </c>
      <c r="Z497" s="16" t="n">
        <f aca="false">$Y497*$H497*MM_PARA_M3_HA</f>
        <v>8494.8574117647</v>
      </c>
      <c r="AA497" s="18" t="n">
        <f aca="false">IFERROR(INDEX(CADASTRO_PIVOS!$I$6:$I$41,MATCH($E497,CADASTRO_PIVOS!$B$6:$B$41,0)),0)</f>
        <v>712.571428571429</v>
      </c>
      <c r="AB497" s="18" t="n">
        <f aca="false">IF($Z497&lt;=0,0,$Z497/$AA497)</f>
        <v>11.9214117647059</v>
      </c>
      <c r="AC497" s="16" t="n">
        <f aca="false">IFERROR(INDEX(SEMANAS!$K$6:$K$71,MATCH($B497,SEMANAS!$B$6:$B$71,0)),0)</f>
        <v>147</v>
      </c>
      <c r="AD497" s="19" t="n">
        <f aca="false">IF($AC497&lt;=0,0,$AB497/$AC497)</f>
        <v>0.0810980392156862</v>
      </c>
      <c r="AE497" s="8" t="str">
        <f aca="false">IF($K497="SEM CULTURA","SEM CULTURA",IF($AA497&lt;=0,"DADO PENDENTE",IF($AD497&gt;LIMITE_CRITICO,"INVIAVEL",IF($AD497&gt;LIMITE_ATENCAO,"CRITICO",IF($AD497&gt;LIMITE_CONFORTAVEL,"ATENCAO","OK")))))</f>
        <v>OK</v>
      </c>
      <c r="AF497" s="8" t="str">
        <f aca="false">$B497&amp;"|"&amp;TEXT($AD497,"0.000000")</f>
        <v>30|0.081098</v>
      </c>
      <c r="AG497" s="18" t="n">
        <f aca="false">IF($K497="SEM CULTURA",0,$T497*$H497)</f>
        <v>3694.1128</v>
      </c>
      <c r="AH497" s="18" t="n">
        <f aca="false">IF($K497="SEM CULTURA",0,$V497*$H497)</f>
        <v>2972.04992</v>
      </c>
      <c r="AI497" s="18" t="n">
        <f aca="false">IF($K497="SEM CULTURA",0,$W497*$H497)</f>
        <v>722.062879999999</v>
      </c>
      <c r="AJ497" s="18" t="n">
        <f aca="false">IF($K497="SEM CULTURA",0,$S497*$H497)</f>
        <v>3212.272</v>
      </c>
      <c r="AK497" s="8" t="str">
        <f aca="false">$E497&amp;"|"&amp;TEXT($AD497,"0.000000")</f>
        <v>PV 103|0.081098</v>
      </c>
    </row>
    <row r="498" customFormat="false" ht="15" hidden="false" customHeight="false" outlineLevel="0" collapsed="false">
      <c r="B498" s="16" t="n">
        <v>31</v>
      </c>
      <c r="C498" s="17" t="n">
        <f aca="false">DATA_INICIO_SAFRA+($B498-1)*DIAS_POR_SEMANA</f>
        <v>46475</v>
      </c>
      <c r="D498" s="17" t="n">
        <f aca="false">$C498+DIAS_POR_SEMANA-1</f>
        <v>46481</v>
      </c>
      <c r="E498" s="15" t="s">
        <v>266</v>
      </c>
      <c r="F498" s="8" t="str">
        <f aca="false">IFERROR(INDEX(CADASTRO_PIVOS!$C$6:$C$41,MATCH($E498,CADASTRO_PIVOS!$B$6:$B$41,0)),"?")</f>
        <v>RM04</v>
      </c>
      <c r="G498" s="8" t="str">
        <f aca="false">IFERROR(INDEX(CADASTRO_PIVOS!$D$6:$D$41,MATCH($E498,CADASTRO_PIVOS!$B$6:$B$41,0)),"?")</f>
        <v>TR04</v>
      </c>
      <c r="H498" s="20" t="n">
        <f aca="false">IFERROR(INDEX(CADASTRO_PIVOS!$E$6:$E$41,MATCH($E498,CADASTRO_PIVOS!$B$6:$B$41,0)),0)</f>
        <v>99.76</v>
      </c>
      <c r="I498" s="16" t="n">
        <f aca="false">IFERROR(SUMIFS(ROTACAO_RDM!$B$6:$B$71,ROTACAO_RDM!$D$6:$D$71,$E498,ROTACAO_RDM!$I$6:$I$71,"&lt;="&amp;$C498+INT(DIAS_POR_SEMANA/2),ROTACAO_RDM!$J$6:$J$71,"&gt;="&amp;$C498+INT(DIAS_POR_SEMANA/2)),0)</f>
        <v>4</v>
      </c>
      <c r="J498" s="16" t="n">
        <f aca="false">IFERROR(MATCH($I498,ROTACAO_RDM!$B$6:$B$71,0),0)</f>
        <v>4</v>
      </c>
      <c r="K498" s="8" t="str">
        <f aca="false">IF($J498=0,"SEM CULTURA",INDEX(ROTACAO_RDM!$F$6:$F$71,$J498))</f>
        <v>ALGODAO</v>
      </c>
      <c r="L498" s="8" t="str">
        <f aca="false">IF($J498=0,"",INDEX(ROTACAO_RDM!$G$6:$G$71,$J498))</f>
        <v>IMA 707 B3XF</v>
      </c>
      <c r="M498" s="17" t="n">
        <f aca="false">IF($J498=0,"",INDEX(ROTACAO_RDM!$I$6:$I$71,$J498))</f>
        <v>46359</v>
      </c>
      <c r="N498" s="16" t="n">
        <f aca="false">IF($J498=0,0,MAX(0,$C498+INT(DIAS_POR_SEMANA/2)-INDEX(ROTACAO_RDM!$I$6:$I$71,$J498)))</f>
        <v>119</v>
      </c>
      <c r="O498" s="19" t="n">
        <f aca="false">IF($J498=0,0,MIN(1,$N498/MAX(1,INDEX(ROTACAO_RDM!$K$6:$K$71,$J498))))</f>
        <v>0.61025641025641</v>
      </c>
      <c r="P498" s="16" t="n">
        <f aca="false">IF($J498=0,0,IFERROR(MATCH(INDEX(ROTACAO_RDM!$N$6:$N$71,$J498),PARAMETROS_CULTURAS!$B$6:$B$28,0),0))</f>
        <v>5</v>
      </c>
      <c r="Q498" s="8" t="str">
        <f aca="false">IF($P498=0,"-",IF($O498&lt;=INDEX(PARAMETROS_CULTURAS!$F$6:$F$28,$P498),"INICIAL",IF($O498&lt;=INDEX(PARAMETROS_CULTURAS!$F$6:$F$28,$P498)+INDEX(PARAMETROS_CULTURAS!$G$6:$G$28,$P498),"DESENVOLVIMENTO",IF($O498&lt;=INDEX(PARAMETROS_CULTURAS!$F$6:$F$28,$P498)+INDEX(PARAMETROS_CULTURAS!$G$6:$G$28,$P498)+INDEX(PARAMETROS_CULTURAS!$H$6:$H$28,$P498),"MEDIA","FINAL"))))</f>
        <v>MEDIA</v>
      </c>
      <c r="R498" s="24" t="n">
        <f aca="false">IF($P498=0,0,IF($O498&lt;=INDEX(PARAMETROS_CULTURAS!$F$6:$F$28,$P498),INDEX(PARAMETROS_CULTURAS!$K$6:$K$28,$P498),IF($O498&lt;=INDEX(PARAMETROS_CULTURAS!$F$6:$F$28,$P498)+INDEX(PARAMETROS_CULTURAS!$G$6:$G$28,$P498),INDEX(PARAMETROS_CULTURAS!$K$6:$K$28,$P498)+(INDEX(PARAMETROS_CULTURAS!$L$6:$L$28,$P498)-INDEX(PARAMETROS_CULTURAS!$K$6:$K$28,$P498))*($O498-INDEX(PARAMETROS_CULTURAS!$F$6:$F$28,$P498))/MAX(INDEX(PARAMETROS_CULTURAS!$G$6:$G$28,$P498),0.0001),IF($O498&lt;=INDEX(PARAMETROS_CULTURAS!$F$6:$F$28,$P498)+INDEX(PARAMETROS_CULTURAS!$G$6:$G$28,$P498)+INDEX(PARAMETROS_CULTURAS!$H$6:$H$28,$P498),INDEX(PARAMETROS_CULTURAS!$L$6:$L$28,$P498),INDEX(PARAMETROS_CULTURAS!$L$6:$L$28,$P498)+(INDEX(PARAMETROS_CULTURAS!$M$6:$M$28,$P498)-INDEX(PARAMETROS_CULTURAS!$L$6:$L$28,$P498))*($O498-INDEX(PARAMETROS_CULTURAS!$F$6:$F$28,$P498)-INDEX(PARAMETROS_CULTURAS!$G$6:$G$28,$P498)-INDEX(PARAMETROS_CULTURAS!$H$6:$H$28,$P498))/MAX(INDEX(PARAMETROS_CULTURAS!$I$6:$I$28,$P498),0.0001)))))</f>
        <v>1.15</v>
      </c>
      <c r="S498" s="18" t="n">
        <f aca="false">IFERROR(INDEX(SEMANAS!$H$6:$H$71,MATCH($B498,SEMANAS!$B$6:$B$71,0)),0)</f>
        <v>31.8</v>
      </c>
      <c r="T498" s="18" t="n">
        <f aca="false">$R498*$S498</f>
        <v>36.57</v>
      </c>
      <c r="U498" s="18" t="n">
        <f aca="false">IFERROR(INDEX(SEMANAS!$I$6:$I$71,MATCH($B498,SEMANAS!$B$6:$B$71,0)),0)</f>
        <v>25.28</v>
      </c>
      <c r="V498" s="18" t="n">
        <f aca="false">IFERROR(INDEX(SEMANAS!$J$6:$J$71,MATCH($B498,SEMANAS!$B$6:$B$71,0)),0)</f>
        <v>20.224</v>
      </c>
      <c r="W498" s="18" t="n">
        <f aca="false">MAX(0,$T498-$V498)</f>
        <v>16.346</v>
      </c>
      <c r="X498" s="19" t="n">
        <f aca="false">IFERROR(INDEX(CADASTRO_PIVOS!$K$6:$K$41,MATCH($E498,CADASTRO_PIVOS!$B$6:$B$41,0)),EFICIENCIA_PADRAO)</f>
        <v>0.85</v>
      </c>
      <c r="Y498" s="18" t="n">
        <f aca="false">IF($X498&lt;=0,0,$W498/$X498)</f>
        <v>19.2305882352941</v>
      </c>
      <c r="Z498" s="16" t="n">
        <f aca="false">$Y498*$H498*MM_PARA_M3_HA</f>
        <v>19184.4348235294</v>
      </c>
      <c r="AA498" s="18" t="n">
        <f aca="false">IFERROR(INDEX(CADASTRO_PIVOS!$I$6:$I$41,MATCH($E498,CADASTRO_PIVOS!$B$6:$B$41,0)),0)</f>
        <v>712.571428571429</v>
      </c>
      <c r="AB498" s="18" t="n">
        <f aca="false">IF($Z498&lt;=0,0,$Z498/$AA498)</f>
        <v>26.9228235294118</v>
      </c>
      <c r="AC498" s="16" t="n">
        <f aca="false">IFERROR(INDEX(SEMANAS!$K$6:$K$71,MATCH($B498,SEMANAS!$B$6:$B$71,0)),0)</f>
        <v>147</v>
      </c>
      <c r="AD498" s="19" t="n">
        <f aca="false">IF($AC498&lt;=0,0,$AB498/$AC498)</f>
        <v>0.183148459383753</v>
      </c>
      <c r="AE498" s="8" t="str">
        <f aca="false">IF($K498="SEM CULTURA","SEM CULTURA",IF($AA498&lt;=0,"DADO PENDENTE",IF($AD498&gt;LIMITE_CRITICO,"INVIAVEL",IF($AD498&gt;LIMITE_ATENCAO,"CRITICO",IF($AD498&gt;LIMITE_CONFORTAVEL,"ATENCAO","OK")))))</f>
        <v>OK</v>
      </c>
      <c r="AF498" s="8" t="str">
        <f aca="false">$B498&amp;"|"&amp;TEXT($AD498,"0.000000")</f>
        <v>31|0.183148</v>
      </c>
      <c r="AG498" s="18" t="n">
        <f aca="false">IF($K498="SEM CULTURA",0,$T498*$H498)</f>
        <v>3648.2232</v>
      </c>
      <c r="AH498" s="18" t="n">
        <f aca="false">IF($K498="SEM CULTURA",0,$V498*$H498)</f>
        <v>2017.54624</v>
      </c>
      <c r="AI498" s="18" t="n">
        <f aca="false">IF($K498="SEM CULTURA",0,$W498*$H498)</f>
        <v>1630.67696</v>
      </c>
      <c r="AJ498" s="18" t="n">
        <f aca="false">IF($K498="SEM CULTURA",0,$S498*$H498)</f>
        <v>3172.368</v>
      </c>
      <c r="AK498" s="8" t="str">
        <f aca="false">$E498&amp;"|"&amp;TEXT($AD498,"0.000000")</f>
        <v>PV 103|0.183148</v>
      </c>
    </row>
    <row r="499" customFormat="false" ht="15" hidden="false" customHeight="false" outlineLevel="0" collapsed="false">
      <c r="B499" s="16" t="n">
        <v>32</v>
      </c>
      <c r="C499" s="17" t="n">
        <f aca="false">DATA_INICIO_SAFRA+($B499-1)*DIAS_POR_SEMANA</f>
        <v>46482</v>
      </c>
      <c r="D499" s="17" t="n">
        <f aca="false">$C499+DIAS_POR_SEMANA-1</f>
        <v>46488</v>
      </c>
      <c r="E499" s="15" t="s">
        <v>266</v>
      </c>
      <c r="F499" s="8" t="str">
        <f aca="false">IFERROR(INDEX(CADASTRO_PIVOS!$C$6:$C$41,MATCH($E499,CADASTRO_PIVOS!$B$6:$B$41,0)),"?")</f>
        <v>RM04</v>
      </c>
      <c r="G499" s="8" t="str">
        <f aca="false">IFERROR(INDEX(CADASTRO_PIVOS!$D$6:$D$41,MATCH($E499,CADASTRO_PIVOS!$B$6:$B$41,0)),"?")</f>
        <v>TR04</v>
      </c>
      <c r="H499" s="20" t="n">
        <f aca="false">IFERROR(INDEX(CADASTRO_PIVOS!$E$6:$E$41,MATCH($E499,CADASTRO_PIVOS!$B$6:$B$41,0)),0)</f>
        <v>99.76</v>
      </c>
      <c r="I499" s="16" t="n">
        <f aca="false">IFERROR(SUMIFS(ROTACAO_RDM!$B$6:$B$71,ROTACAO_RDM!$D$6:$D$71,$E499,ROTACAO_RDM!$I$6:$I$71,"&lt;="&amp;$C499+INT(DIAS_POR_SEMANA/2),ROTACAO_RDM!$J$6:$J$71,"&gt;="&amp;$C499+INT(DIAS_POR_SEMANA/2)),0)</f>
        <v>4</v>
      </c>
      <c r="J499" s="16" t="n">
        <f aca="false">IFERROR(MATCH($I499,ROTACAO_RDM!$B$6:$B$71,0),0)</f>
        <v>4</v>
      </c>
      <c r="K499" s="8" t="str">
        <f aca="false">IF($J499=0,"SEM CULTURA",INDEX(ROTACAO_RDM!$F$6:$F$71,$J499))</f>
        <v>ALGODAO</v>
      </c>
      <c r="L499" s="8" t="str">
        <f aca="false">IF($J499=0,"",INDEX(ROTACAO_RDM!$G$6:$G$71,$J499))</f>
        <v>IMA 707 B3XF</v>
      </c>
      <c r="M499" s="17" t="n">
        <f aca="false">IF($J499=0,"",INDEX(ROTACAO_RDM!$I$6:$I$71,$J499))</f>
        <v>46359</v>
      </c>
      <c r="N499" s="16" t="n">
        <f aca="false">IF($J499=0,0,MAX(0,$C499+INT(DIAS_POR_SEMANA/2)-INDEX(ROTACAO_RDM!$I$6:$I$71,$J499)))</f>
        <v>126</v>
      </c>
      <c r="O499" s="19" t="n">
        <f aca="false">IF($J499=0,0,MIN(1,$N499/MAX(1,INDEX(ROTACAO_RDM!$K$6:$K$71,$J499))))</f>
        <v>0.646153846153846</v>
      </c>
      <c r="P499" s="16" t="n">
        <f aca="false">IF($J499=0,0,IFERROR(MATCH(INDEX(ROTACAO_RDM!$N$6:$N$71,$J499),PARAMETROS_CULTURAS!$B$6:$B$28,0),0))</f>
        <v>5</v>
      </c>
      <c r="Q499" s="8" t="str">
        <f aca="false">IF($P499=0,"-",IF($O499&lt;=INDEX(PARAMETROS_CULTURAS!$F$6:$F$28,$P499),"INICIAL",IF($O499&lt;=INDEX(PARAMETROS_CULTURAS!$F$6:$F$28,$P499)+INDEX(PARAMETROS_CULTURAS!$G$6:$G$28,$P499),"DESENVOLVIMENTO",IF($O499&lt;=INDEX(PARAMETROS_CULTURAS!$F$6:$F$28,$P499)+INDEX(PARAMETROS_CULTURAS!$G$6:$G$28,$P499)+INDEX(PARAMETROS_CULTURAS!$H$6:$H$28,$P499),"MEDIA","FINAL"))))</f>
        <v>MEDIA</v>
      </c>
      <c r="R499" s="24" t="n">
        <f aca="false">IF($P499=0,0,IF($O499&lt;=INDEX(PARAMETROS_CULTURAS!$F$6:$F$28,$P499),INDEX(PARAMETROS_CULTURAS!$K$6:$K$28,$P499),IF($O499&lt;=INDEX(PARAMETROS_CULTURAS!$F$6:$F$28,$P499)+INDEX(PARAMETROS_CULTURAS!$G$6:$G$28,$P499),INDEX(PARAMETROS_CULTURAS!$K$6:$K$28,$P499)+(INDEX(PARAMETROS_CULTURAS!$L$6:$L$28,$P499)-INDEX(PARAMETROS_CULTURAS!$K$6:$K$28,$P499))*($O499-INDEX(PARAMETROS_CULTURAS!$F$6:$F$28,$P499))/MAX(INDEX(PARAMETROS_CULTURAS!$G$6:$G$28,$P499),0.0001),IF($O499&lt;=INDEX(PARAMETROS_CULTURAS!$F$6:$F$28,$P499)+INDEX(PARAMETROS_CULTURAS!$G$6:$G$28,$P499)+INDEX(PARAMETROS_CULTURAS!$H$6:$H$28,$P499),INDEX(PARAMETROS_CULTURAS!$L$6:$L$28,$P499),INDEX(PARAMETROS_CULTURAS!$L$6:$L$28,$P499)+(INDEX(PARAMETROS_CULTURAS!$M$6:$M$28,$P499)-INDEX(PARAMETROS_CULTURAS!$L$6:$L$28,$P499))*($O499-INDEX(PARAMETROS_CULTURAS!$F$6:$F$28,$P499)-INDEX(PARAMETROS_CULTURAS!$G$6:$G$28,$P499)-INDEX(PARAMETROS_CULTURAS!$H$6:$H$28,$P499))/MAX(INDEX(PARAMETROS_CULTURAS!$I$6:$I$28,$P499),0.0001)))))</f>
        <v>1.15</v>
      </c>
      <c r="S499" s="18" t="n">
        <f aca="false">IFERROR(INDEX(SEMANAS!$H$6:$H$71,MATCH($B499,SEMANAS!$B$6:$B$71,0)),0)</f>
        <v>31.5</v>
      </c>
      <c r="T499" s="18" t="n">
        <f aca="false">$R499*$S499</f>
        <v>36.225</v>
      </c>
      <c r="U499" s="18" t="n">
        <f aca="false">IFERROR(INDEX(SEMANAS!$I$6:$I$71,MATCH($B499,SEMANAS!$B$6:$B$71,0)),0)</f>
        <v>16.31</v>
      </c>
      <c r="V499" s="18" t="n">
        <f aca="false">IFERROR(INDEX(SEMANAS!$J$6:$J$71,MATCH($B499,SEMANAS!$B$6:$B$71,0)),0)</f>
        <v>13.048</v>
      </c>
      <c r="W499" s="18" t="n">
        <f aca="false">MAX(0,$T499-$V499)</f>
        <v>23.177</v>
      </c>
      <c r="X499" s="19" t="n">
        <f aca="false">IFERROR(INDEX(CADASTRO_PIVOS!$K$6:$K$41,MATCH($E499,CADASTRO_PIVOS!$B$6:$B$41,0)),EFICIENCIA_PADRAO)</f>
        <v>0.85</v>
      </c>
      <c r="Y499" s="18" t="n">
        <f aca="false">IF($X499&lt;=0,0,$W499/$X499)</f>
        <v>27.2670588235294</v>
      </c>
      <c r="Z499" s="16" t="n">
        <f aca="false">$Y499*$H499*MM_PARA_M3_HA</f>
        <v>27201.6178823529</v>
      </c>
      <c r="AA499" s="18" t="n">
        <f aca="false">IFERROR(INDEX(CADASTRO_PIVOS!$I$6:$I$41,MATCH($E499,CADASTRO_PIVOS!$B$6:$B$41,0)),0)</f>
        <v>712.571428571429</v>
      </c>
      <c r="AB499" s="18" t="n">
        <f aca="false">IF($Z499&lt;=0,0,$Z499/$AA499)</f>
        <v>38.1738823529412</v>
      </c>
      <c r="AC499" s="16" t="n">
        <f aca="false">IFERROR(INDEX(SEMANAS!$K$6:$K$71,MATCH($B499,SEMANAS!$B$6:$B$71,0)),0)</f>
        <v>147</v>
      </c>
      <c r="AD499" s="19" t="n">
        <f aca="false">IF($AC499&lt;=0,0,$AB499/$AC499)</f>
        <v>0.259686274509804</v>
      </c>
      <c r="AE499" s="8" t="str">
        <f aca="false">IF($K499="SEM CULTURA","SEM CULTURA",IF($AA499&lt;=0,"DADO PENDENTE",IF($AD499&gt;LIMITE_CRITICO,"INVIAVEL",IF($AD499&gt;LIMITE_ATENCAO,"CRITICO",IF($AD499&gt;LIMITE_CONFORTAVEL,"ATENCAO","OK")))))</f>
        <v>OK</v>
      </c>
      <c r="AF499" s="8" t="str">
        <f aca="false">$B499&amp;"|"&amp;TEXT($AD499,"0.000000")</f>
        <v>32|0.259686</v>
      </c>
      <c r="AG499" s="18" t="n">
        <f aca="false">IF($K499="SEM CULTURA",0,$T499*$H499)</f>
        <v>3613.806</v>
      </c>
      <c r="AH499" s="18" t="n">
        <f aca="false">IF($K499="SEM CULTURA",0,$V499*$H499)</f>
        <v>1301.66848</v>
      </c>
      <c r="AI499" s="18" t="n">
        <f aca="false">IF($K499="SEM CULTURA",0,$W499*$H499)</f>
        <v>2312.13752</v>
      </c>
      <c r="AJ499" s="18" t="n">
        <f aca="false">IF($K499="SEM CULTURA",0,$S499*$H499)</f>
        <v>3142.44</v>
      </c>
      <c r="AK499" s="8" t="str">
        <f aca="false">$E499&amp;"|"&amp;TEXT($AD499,"0.000000")</f>
        <v>PV 103|0.259686</v>
      </c>
    </row>
    <row r="500" customFormat="false" ht="15" hidden="false" customHeight="false" outlineLevel="0" collapsed="false">
      <c r="B500" s="16" t="n">
        <v>33</v>
      </c>
      <c r="C500" s="17" t="n">
        <f aca="false">DATA_INICIO_SAFRA+($B500-1)*DIAS_POR_SEMANA</f>
        <v>46489</v>
      </c>
      <c r="D500" s="17" t="n">
        <f aca="false">$C500+DIAS_POR_SEMANA-1</f>
        <v>46495</v>
      </c>
      <c r="E500" s="15" t="s">
        <v>266</v>
      </c>
      <c r="F500" s="8" t="str">
        <f aca="false">IFERROR(INDEX(CADASTRO_PIVOS!$C$6:$C$41,MATCH($E500,CADASTRO_PIVOS!$B$6:$B$41,0)),"?")</f>
        <v>RM04</v>
      </c>
      <c r="G500" s="8" t="str">
        <f aca="false">IFERROR(INDEX(CADASTRO_PIVOS!$D$6:$D$41,MATCH($E500,CADASTRO_PIVOS!$B$6:$B$41,0)),"?")</f>
        <v>TR04</v>
      </c>
      <c r="H500" s="20" t="n">
        <f aca="false">IFERROR(INDEX(CADASTRO_PIVOS!$E$6:$E$41,MATCH($E500,CADASTRO_PIVOS!$B$6:$B$41,0)),0)</f>
        <v>99.76</v>
      </c>
      <c r="I500" s="16" t="n">
        <f aca="false">IFERROR(SUMIFS(ROTACAO_RDM!$B$6:$B$71,ROTACAO_RDM!$D$6:$D$71,$E500,ROTACAO_RDM!$I$6:$I$71,"&lt;="&amp;$C500+INT(DIAS_POR_SEMANA/2),ROTACAO_RDM!$J$6:$J$71,"&gt;="&amp;$C500+INT(DIAS_POR_SEMANA/2)),0)</f>
        <v>4</v>
      </c>
      <c r="J500" s="16" t="n">
        <f aca="false">IFERROR(MATCH($I500,ROTACAO_RDM!$B$6:$B$71,0),0)</f>
        <v>4</v>
      </c>
      <c r="K500" s="8" t="str">
        <f aca="false">IF($J500=0,"SEM CULTURA",INDEX(ROTACAO_RDM!$F$6:$F$71,$J500))</f>
        <v>ALGODAO</v>
      </c>
      <c r="L500" s="8" t="str">
        <f aca="false">IF($J500=0,"",INDEX(ROTACAO_RDM!$G$6:$G$71,$J500))</f>
        <v>IMA 707 B3XF</v>
      </c>
      <c r="M500" s="17" t="n">
        <f aca="false">IF($J500=0,"",INDEX(ROTACAO_RDM!$I$6:$I$71,$J500))</f>
        <v>46359</v>
      </c>
      <c r="N500" s="16" t="n">
        <f aca="false">IF($J500=0,0,MAX(0,$C500+INT(DIAS_POR_SEMANA/2)-INDEX(ROTACAO_RDM!$I$6:$I$71,$J500)))</f>
        <v>133</v>
      </c>
      <c r="O500" s="19" t="n">
        <f aca="false">IF($J500=0,0,MIN(1,$N500/MAX(1,INDEX(ROTACAO_RDM!$K$6:$K$71,$J500))))</f>
        <v>0.682051282051282</v>
      </c>
      <c r="P500" s="16" t="n">
        <f aca="false">IF($J500=0,0,IFERROR(MATCH(INDEX(ROTACAO_RDM!$N$6:$N$71,$J500),PARAMETROS_CULTURAS!$B$6:$B$28,0),0))</f>
        <v>5</v>
      </c>
      <c r="Q500" s="8" t="str">
        <f aca="false">IF($P500=0,"-",IF($O500&lt;=INDEX(PARAMETROS_CULTURAS!$F$6:$F$28,$P500),"INICIAL",IF($O500&lt;=INDEX(PARAMETROS_CULTURAS!$F$6:$F$28,$P500)+INDEX(PARAMETROS_CULTURAS!$G$6:$G$28,$P500),"DESENVOLVIMENTO",IF($O500&lt;=INDEX(PARAMETROS_CULTURAS!$F$6:$F$28,$P500)+INDEX(PARAMETROS_CULTURAS!$G$6:$G$28,$P500)+INDEX(PARAMETROS_CULTURAS!$H$6:$H$28,$P500),"MEDIA","FINAL"))))</f>
        <v>MEDIA</v>
      </c>
      <c r="R500" s="24" t="n">
        <f aca="false">IF($P500=0,0,IF($O500&lt;=INDEX(PARAMETROS_CULTURAS!$F$6:$F$28,$P500),INDEX(PARAMETROS_CULTURAS!$K$6:$K$28,$P500),IF($O500&lt;=INDEX(PARAMETROS_CULTURAS!$F$6:$F$28,$P500)+INDEX(PARAMETROS_CULTURAS!$G$6:$G$28,$P500),INDEX(PARAMETROS_CULTURAS!$K$6:$K$28,$P500)+(INDEX(PARAMETROS_CULTURAS!$L$6:$L$28,$P500)-INDEX(PARAMETROS_CULTURAS!$K$6:$K$28,$P500))*($O500-INDEX(PARAMETROS_CULTURAS!$F$6:$F$28,$P500))/MAX(INDEX(PARAMETROS_CULTURAS!$G$6:$G$28,$P500),0.0001),IF($O500&lt;=INDEX(PARAMETROS_CULTURAS!$F$6:$F$28,$P500)+INDEX(PARAMETROS_CULTURAS!$G$6:$G$28,$P500)+INDEX(PARAMETROS_CULTURAS!$H$6:$H$28,$P500),INDEX(PARAMETROS_CULTURAS!$L$6:$L$28,$P500),INDEX(PARAMETROS_CULTURAS!$L$6:$L$28,$P500)+(INDEX(PARAMETROS_CULTURAS!$M$6:$M$28,$P500)-INDEX(PARAMETROS_CULTURAS!$L$6:$L$28,$P500))*($O500-INDEX(PARAMETROS_CULTURAS!$F$6:$F$28,$P500)-INDEX(PARAMETROS_CULTURAS!$G$6:$G$28,$P500)-INDEX(PARAMETROS_CULTURAS!$H$6:$H$28,$P500))/MAX(INDEX(PARAMETROS_CULTURAS!$I$6:$I$28,$P500),0.0001)))))</f>
        <v>1.15</v>
      </c>
      <c r="S500" s="18" t="n">
        <f aca="false">IFERROR(INDEX(SEMANAS!$H$6:$H$71,MATCH($B500,SEMANAS!$B$6:$B$71,0)),0)</f>
        <v>31.5</v>
      </c>
      <c r="T500" s="18" t="n">
        <f aca="false">$R500*$S500</f>
        <v>36.225</v>
      </c>
      <c r="U500" s="18" t="n">
        <f aca="false">IFERROR(INDEX(SEMANAS!$I$6:$I$71,MATCH($B500,SEMANAS!$B$6:$B$71,0)),0)</f>
        <v>16.31</v>
      </c>
      <c r="V500" s="18" t="n">
        <f aca="false">IFERROR(INDEX(SEMANAS!$J$6:$J$71,MATCH($B500,SEMANAS!$B$6:$B$71,0)),0)</f>
        <v>13.048</v>
      </c>
      <c r="W500" s="18" t="n">
        <f aca="false">MAX(0,$T500-$V500)</f>
        <v>23.177</v>
      </c>
      <c r="X500" s="19" t="n">
        <f aca="false">IFERROR(INDEX(CADASTRO_PIVOS!$K$6:$K$41,MATCH($E500,CADASTRO_PIVOS!$B$6:$B$41,0)),EFICIENCIA_PADRAO)</f>
        <v>0.85</v>
      </c>
      <c r="Y500" s="18" t="n">
        <f aca="false">IF($X500&lt;=0,0,$W500/$X500)</f>
        <v>27.2670588235294</v>
      </c>
      <c r="Z500" s="16" t="n">
        <f aca="false">$Y500*$H500*MM_PARA_M3_HA</f>
        <v>27201.6178823529</v>
      </c>
      <c r="AA500" s="18" t="n">
        <f aca="false">IFERROR(INDEX(CADASTRO_PIVOS!$I$6:$I$41,MATCH($E500,CADASTRO_PIVOS!$B$6:$B$41,0)),0)</f>
        <v>712.571428571429</v>
      </c>
      <c r="AB500" s="18" t="n">
        <f aca="false">IF($Z500&lt;=0,0,$Z500/$AA500)</f>
        <v>38.1738823529412</v>
      </c>
      <c r="AC500" s="16" t="n">
        <f aca="false">IFERROR(INDEX(SEMANAS!$K$6:$K$71,MATCH($B500,SEMANAS!$B$6:$B$71,0)),0)</f>
        <v>147</v>
      </c>
      <c r="AD500" s="19" t="n">
        <f aca="false">IF($AC500&lt;=0,0,$AB500/$AC500)</f>
        <v>0.259686274509804</v>
      </c>
      <c r="AE500" s="8" t="str">
        <f aca="false">IF($K500="SEM CULTURA","SEM CULTURA",IF($AA500&lt;=0,"DADO PENDENTE",IF($AD500&gt;LIMITE_CRITICO,"INVIAVEL",IF($AD500&gt;LIMITE_ATENCAO,"CRITICO",IF($AD500&gt;LIMITE_CONFORTAVEL,"ATENCAO","OK")))))</f>
        <v>OK</v>
      </c>
      <c r="AF500" s="8" t="str">
        <f aca="false">$B500&amp;"|"&amp;TEXT($AD500,"0.000000")</f>
        <v>33|0.259686</v>
      </c>
      <c r="AG500" s="18" t="n">
        <f aca="false">IF($K500="SEM CULTURA",0,$T500*$H500)</f>
        <v>3613.806</v>
      </c>
      <c r="AH500" s="18" t="n">
        <f aca="false">IF($K500="SEM CULTURA",0,$V500*$H500)</f>
        <v>1301.66848</v>
      </c>
      <c r="AI500" s="18" t="n">
        <f aca="false">IF($K500="SEM CULTURA",0,$W500*$H500)</f>
        <v>2312.13752</v>
      </c>
      <c r="AJ500" s="18" t="n">
        <f aca="false">IF($K500="SEM CULTURA",0,$S500*$H500)</f>
        <v>3142.44</v>
      </c>
      <c r="AK500" s="8" t="str">
        <f aca="false">$E500&amp;"|"&amp;TEXT($AD500,"0.000000")</f>
        <v>PV 103|0.259686</v>
      </c>
    </row>
    <row r="501" customFormat="false" ht="15" hidden="false" customHeight="false" outlineLevel="0" collapsed="false">
      <c r="B501" s="16" t="n">
        <v>34</v>
      </c>
      <c r="C501" s="17" t="n">
        <f aca="false">DATA_INICIO_SAFRA+($B501-1)*DIAS_POR_SEMANA</f>
        <v>46496</v>
      </c>
      <c r="D501" s="17" t="n">
        <f aca="false">$C501+DIAS_POR_SEMANA-1</f>
        <v>46502</v>
      </c>
      <c r="E501" s="15" t="s">
        <v>266</v>
      </c>
      <c r="F501" s="8" t="str">
        <f aca="false">IFERROR(INDEX(CADASTRO_PIVOS!$C$6:$C$41,MATCH($E501,CADASTRO_PIVOS!$B$6:$B$41,0)),"?")</f>
        <v>RM04</v>
      </c>
      <c r="G501" s="8" t="str">
        <f aca="false">IFERROR(INDEX(CADASTRO_PIVOS!$D$6:$D$41,MATCH($E501,CADASTRO_PIVOS!$B$6:$B$41,0)),"?")</f>
        <v>TR04</v>
      </c>
      <c r="H501" s="20" t="n">
        <f aca="false">IFERROR(INDEX(CADASTRO_PIVOS!$E$6:$E$41,MATCH($E501,CADASTRO_PIVOS!$B$6:$B$41,0)),0)</f>
        <v>99.76</v>
      </c>
      <c r="I501" s="16" t="n">
        <f aca="false">IFERROR(SUMIFS(ROTACAO_RDM!$B$6:$B$71,ROTACAO_RDM!$D$6:$D$71,$E501,ROTACAO_RDM!$I$6:$I$71,"&lt;="&amp;$C501+INT(DIAS_POR_SEMANA/2),ROTACAO_RDM!$J$6:$J$71,"&gt;="&amp;$C501+INT(DIAS_POR_SEMANA/2)),0)</f>
        <v>4</v>
      </c>
      <c r="J501" s="16" t="n">
        <f aca="false">IFERROR(MATCH($I501,ROTACAO_RDM!$B$6:$B$71,0),0)</f>
        <v>4</v>
      </c>
      <c r="K501" s="8" t="str">
        <f aca="false">IF($J501=0,"SEM CULTURA",INDEX(ROTACAO_RDM!$F$6:$F$71,$J501))</f>
        <v>ALGODAO</v>
      </c>
      <c r="L501" s="8" t="str">
        <f aca="false">IF($J501=0,"",INDEX(ROTACAO_RDM!$G$6:$G$71,$J501))</f>
        <v>IMA 707 B3XF</v>
      </c>
      <c r="M501" s="17" t="n">
        <f aca="false">IF($J501=0,"",INDEX(ROTACAO_RDM!$I$6:$I$71,$J501))</f>
        <v>46359</v>
      </c>
      <c r="N501" s="16" t="n">
        <f aca="false">IF($J501=0,0,MAX(0,$C501+INT(DIAS_POR_SEMANA/2)-INDEX(ROTACAO_RDM!$I$6:$I$71,$J501)))</f>
        <v>140</v>
      </c>
      <c r="O501" s="19" t="n">
        <f aca="false">IF($J501=0,0,MIN(1,$N501/MAX(1,INDEX(ROTACAO_RDM!$K$6:$K$71,$J501))))</f>
        <v>0.717948717948718</v>
      </c>
      <c r="P501" s="16" t="n">
        <f aca="false">IF($J501=0,0,IFERROR(MATCH(INDEX(ROTACAO_RDM!$N$6:$N$71,$J501),PARAMETROS_CULTURAS!$B$6:$B$28,0),0))</f>
        <v>5</v>
      </c>
      <c r="Q501" s="8" t="str">
        <f aca="false">IF($P501=0,"-",IF($O501&lt;=INDEX(PARAMETROS_CULTURAS!$F$6:$F$28,$P501),"INICIAL",IF($O501&lt;=INDEX(PARAMETROS_CULTURAS!$F$6:$F$28,$P501)+INDEX(PARAMETROS_CULTURAS!$G$6:$G$28,$P501),"DESENVOLVIMENTO",IF($O501&lt;=INDEX(PARAMETROS_CULTURAS!$F$6:$F$28,$P501)+INDEX(PARAMETROS_CULTURAS!$G$6:$G$28,$P501)+INDEX(PARAMETROS_CULTURAS!$H$6:$H$28,$P501),"MEDIA","FINAL"))))</f>
        <v>MEDIA</v>
      </c>
      <c r="R501" s="24" t="n">
        <f aca="false">IF($P501=0,0,IF($O501&lt;=INDEX(PARAMETROS_CULTURAS!$F$6:$F$28,$P501),INDEX(PARAMETROS_CULTURAS!$K$6:$K$28,$P501),IF($O501&lt;=INDEX(PARAMETROS_CULTURAS!$F$6:$F$28,$P501)+INDEX(PARAMETROS_CULTURAS!$G$6:$G$28,$P501),INDEX(PARAMETROS_CULTURAS!$K$6:$K$28,$P501)+(INDEX(PARAMETROS_CULTURAS!$L$6:$L$28,$P501)-INDEX(PARAMETROS_CULTURAS!$K$6:$K$28,$P501))*($O501-INDEX(PARAMETROS_CULTURAS!$F$6:$F$28,$P501))/MAX(INDEX(PARAMETROS_CULTURAS!$G$6:$G$28,$P501),0.0001),IF($O501&lt;=INDEX(PARAMETROS_CULTURAS!$F$6:$F$28,$P501)+INDEX(PARAMETROS_CULTURAS!$G$6:$G$28,$P501)+INDEX(PARAMETROS_CULTURAS!$H$6:$H$28,$P501),INDEX(PARAMETROS_CULTURAS!$L$6:$L$28,$P501),INDEX(PARAMETROS_CULTURAS!$L$6:$L$28,$P501)+(INDEX(PARAMETROS_CULTURAS!$M$6:$M$28,$P501)-INDEX(PARAMETROS_CULTURAS!$L$6:$L$28,$P501))*($O501-INDEX(PARAMETROS_CULTURAS!$F$6:$F$28,$P501)-INDEX(PARAMETROS_CULTURAS!$G$6:$G$28,$P501)-INDEX(PARAMETROS_CULTURAS!$H$6:$H$28,$P501))/MAX(INDEX(PARAMETROS_CULTURAS!$I$6:$I$28,$P501),0.0001)))))</f>
        <v>1.15</v>
      </c>
      <c r="S501" s="18" t="n">
        <f aca="false">IFERROR(INDEX(SEMANAS!$H$6:$H$71,MATCH($B501,SEMANAS!$B$6:$B$71,0)),0)</f>
        <v>31.5</v>
      </c>
      <c r="T501" s="18" t="n">
        <f aca="false">$R501*$S501</f>
        <v>36.225</v>
      </c>
      <c r="U501" s="18" t="n">
        <f aca="false">IFERROR(INDEX(SEMANAS!$I$6:$I$71,MATCH($B501,SEMANAS!$B$6:$B$71,0)),0)</f>
        <v>16.31</v>
      </c>
      <c r="V501" s="18" t="n">
        <f aca="false">IFERROR(INDEX(SEMANAS!$J$6:$J$71,MATCH($B501,SEMANAS!$B$6:$B$71,0)),0)</f>
        <v>13.048</v>
      </c>
      <c r="W501" s="18" t="n">
        <f aca="false">MAX(0,$T501-$V501)</f>
        <v>23.177</v>
      </c>
      <c r="X501" s="19" t="n">
        <f aca="false">IFERROR(INDEX(CADASTRO_PIVOS!$K$6:$K$41,MATCH($E501,CADASTRO_PIVOS!$B$6:$B$41,0)),EFICIENCIA_PADRAO)</f>
        <v>0.85</v>
      </c>
      <c r="Y501" s="18" t="n">
        <f aca="false">IF($X501&lt;=0,0,$W501/$X501)</f>
        <v>27.2670588235294</v>
      </c>
      <c r="Z501" s="16" t="n">
        <f aca="false">$Y501*$H501*MM_PARA_M3_HA</f>
        <v>27201.6178823529</v>
      </c>
      <c r="AA501" s="18" t="n">
        <f aca="false">IFERROR(INDEX(CADASTRO_PIVOS!$I$6:$I$41,MATCH($E501,CADASTRO_PIVOS!$B$6:$B$41,0)),0)</f>
        <v>712.571428571429</v>
      </c>
      <c r="AB501" s="18" t="n">
        <f aca="false">IF($Z501&lt;=0,0,$Z501/$AA501)</f>
        <v>38.1738823529412</v>
      </c>
      <c r="AC501" s="16" t="n">
        <f aca="false">IFERROR(INDEX(SEMANAS!$K$6:$K$71,MATCH($B501,SEMANAS!$B$6:$B$71,0)),0)</f>
        <v>147</v>
      </c>
      <c r="AD501" s="19" t="n">
        <f aca="false">IF($AC501&lt;=0,0,$AB501/$AC501)</f>
        <v>0.259686274509804</v>
      </c>
      <c r="AE501" s="8" t="str">
        <f aca="false">IF($K501="SEM CULTURA","SEM CULTURA",IF($AA501&lt;=0,"DADO PENDENTE",IF($AD501&gt;LIMITE_CRITICO,"INVIAVEL",IF($AD501&gt;LIMITE_ATENCAO,"CRITICO",IF($AD501&gt;LIMITE_CONFORTAVEL,"ATENCAO","OK")))))</f>
        <v>OK</v>
      </c>
      <c r="AF501" s="8" t="str">
        <f aca="false">$B501&amp;"|"&amp;TEXT($AD501,"0.000000")</f>
        <v>34|0.259686</v>
      </c>
      <c r="AG501" s="18" t="n">
        <f aca="false">IF($K501="SEM CULTURA",0,$T501*$H501)</f>
        <v>3613.806</v>
      </c>
      <c r="AH501" s="18" t="n">
        <f aca="false">IF($K501="SEM CULTURA",0,$V501*$H501)</f>
        <v>1301.66848</v>
      </c>
      <c r="AI501" s="18" t="n">
        <f aca="false">IF($K501="SEM CULTURA",0,$W501*$H501)</f>
        <v>2312.13752</v>
      </c>
      <c r="AJ501" s="18" t="n">
        <f aca="false">IF($K501="SEM CULTURA",0,$S501*$H501)</f>
        <v>3142.44</v>
      </c>
      <c r="AK501" s="8" t="str">
        <f aca="false">$E501&amp;"|"&amp;TEXT($AD501,"0.000000")</f>
        <v>PV 103|0.259686</v>
      </c>
    </row>
    <row r="502" customFormat="false" ht="15" hidden="false" customHeight="false" outlineLevel="0" collapsed="false">
      <c r="B502" s="16" t="n">
        <v>35</v>
      </c>
      <c r="C502" s="17" t="n">
        <f aca="false">DATA_INICIO_SAFRA+($B502-1)*DIAS_POR_SEMANA</f>
        <v>46503</v>
      </c>
      <c r="D502" s="17" t="n">
        <f aca="false">$C502+DIAS_POR_SEMANA-1</f>
        <v>46509</v>
      </c>
      <c r="E502" s="15" t="s">
        <v>266</v>
      </c>
      <c r="F502" s="8" t="str">
        <f aca="false">IFERROR(INDEX(CADASTRO_PIVOS!$C$6:$C$41,MATCH($E502,CADASTRO_PIVOS!$B$6:$B$41,0)),"?")</f>
        <v>RM04</v>
      </c>
      <c r="G502" s="8" t="str">
        <f aca="false">IFERROR(INDEX(CADASTRO_PIVOS!$D$6:$D$41,MATCH($E502,CADASTRO_PIVOS!$B$6:$B$41,0)),"?")</f>
        <v>TR04</v>
      </c>
      <c r="H502" s="20" t="n">
        <f aca="false">IFERROR(INDEX(CADASTRO_PIVOS!$E$6:$E$41,MATCH($E502,CADASTRO_PIVOS!$B$6:$B$41,0)),0)</f>
        <v>99.76</v>
      </c>
      <c r="I502" s="16" t="n">
        <f aca="false">IFERROR(SUMIFS(ROTACAO_RDM!$B$6:$B$71,ROTACAO_RDM!$D$6:$D$71,$E502,ROTACAO_RDM!$I$6:$I$71,"&lt;="&amp;$C502+INT(DIAS_POR_SEMANA/2),ROTACAO_RDM!$J$6:$J$71,"&gt;="&amp;$C502+INT(DIAS_POR_SEMANA/2)),0)</f>
        <v>4</v>
      </c>
      <c r="J502" s="16" t="n">
        <f aca="false">IFERROR(MATCH($I502,ROTACAO_RDM!$B$6:$B$71,0),0)</f>
        <v>4</v>
      </c>
      <c r="K502" s="8" t="str">
        <f aca="false">IF($J502=0,"SEM CULTURA",INDEX(ROTACAO_RDM!$F$6:$F$71,$J502))</f>
        <v>ALGODAO</v>
      </c>
      <c r="L502" s="8" t="str">
        <f aca="false">IF($J502=0,"",INDEX(ROTACAO_RDM!$G$6:$G$71,$J502))</f>
        <v>IMA 707 B3XF</v>
      </c>
      <c r="M502" s="17" t="n">
        <f aca="false">IF($J502=0,"",INDEX(ROTACAO_RDM!$I$6:$I$71,$J502))</f>
        <v>46359</v>
      </c>
      <c r="N502" s="16" t="n">
        <f aca="false">IF($J502=0,0,MAX(0,$C502+INT(DIAS_POR_SEMANA/2)-INDEX(ROTACAO_RDM!$I$6:$I$71,$J502)))</f>
        <v>147</v>
      </c>
      <c r="O502" s="19" t="n">
        <f aca="false">IF($J502=0,0,MIN(1,$N502/MAX(1,INDEX(ROTACAO_RDM!$K$6:$K$71,$J502))))</f>
        <v>0.753846153846154</v>
      </c>
      <c r="P502" s="16" t="n">
        <f aca="false">IF($J502=0,0,IFERROR(MATCH(INDEX(ROTACAO_RDM!$N$6:$N$71,$J502),PARAMETROS_CULTURAS!$B$6:$B$28,0),0))</f>
        <v>5</v>
      </c>
      <c r="Q502" s="8" t="str">
        <f aca="false">IF($P502=0,"-",IF($O502&lt;=INDEX(PARAMETROS_CULTURAS!$F$6:$F$28,$P502),"INICIAL",IF($O502&lt;=INDEX(PARAMETROS_CULTURAS!$F$6:$F$28,$P502)+INDEX(PARAMETROS_CULTURAS!$G$6:$G$28,$P502),"DESENVOLVIMENTO",IF($O502&lt;=INDEX(PARAMETROS_CULTURAS!$F$6:$F$28,$P502)+INDEX(PARAMETROS_CULTURAS!$G$6:$G$28,$P502)+INDEX(PARAMETROS_CULTURAS!$H$6:$H$28,$P502),"MEDIA","FINAL"))))</f>
        <v>FINAL</v>
      </c>
      <c r="R502" s="24" t="n">
        <f aca="false">IF($P502=0,0,IF($O502&lt;=INDEX(PARAMETROS_CULTURAS!$F$6:$F$28,$P502),INDEX(PARAMETROS_CULTURAS!$K$6:$K$28,$P502),IF($O502&lt;=INDEX(PARAMETROS_CULTURAS!$F$6:$F$28,$P502)+INDEX(PARAMETROS_CULTURAS!$G$6:$G$28,$P502),INDEX(PARAMETROS_CULTURAS!$K$6:$K$28,$P502)+(INDEX(PARAMETROS_CULTURAS!$L$6:$L$28,$P502)-INDEX(PARAMETROS_CULTURAS!$K$6:$K$28,$P502))*($O502-INDEX(PARAMETROS_CULTURAS!$F$6:$F$28,$P502))/MAX(INDEX(PARAMETROS_CULTURAS!$G$6:$G$28,$P502),0.0001),IF($O502&lt;=INDEX(PARAMETROS_CULTURAS!$F$6:$F$28,$P502)+INDEX(PARAMETROS_CULTURAS!$G$6:$G$28,$P502)+INDEX(PARAMETROS_CULTURAS!$H$6:$H$28,$P502),INDEX(PARAMETROS_CULTURAS!$L$6:$L$28,$P502),INDEX(PARAMETROS_CULTURAS!$L$6:$L$28,$P502)+(INDEX(PARAMETROS_CULTURAS!$M$6:$M$28,$P502)-INDEX(PARAMETROS_CULTURAS!$L$6:$L$28,$P502))*($O502-INDEX(PARAMETROS_CULTURAS!$F$6:$F$28,$P502)-INDEX(PARAMETROS_CULTURAS!$G$6:$G$28,$P502)-INDEX(PARAMETROS_CULTURAS!$H$6:$H$28,$P502))/MAX(INDEX(PARAMETROS_CULTURAS!$I$6:$I$28,$P502),0.0001)))))</f>
        <v>1.08351648351648</v>
      </c>
      <c r="S502" s="18" t="n">
        <f aca="false">IFERROR(INDEX(SEMANAS!$H$6:$H$71,MATCH($B502,SEMANAS!$B$6:$B$71,0)),0)</f>
        <v>30.9</v>
      </c>
      <c r="T502" s="18" t="n">
        <f aca="false">$R502*$S502</f>
        <v>33.4806593406593</v>
      </c>
      <c r="U502" s="18" t="n">
        <f aca="false">IFERROR(INDEX(SEMANAS!$I$6:$I$71,MATCH($B502,SEMANAS!$B$6:$B$71,0)),0)</f>
        <v>12.61</v>
      </c>
      <c r="V502" s="18" t="n">
        <f aca="false">IFERROR(INDEX(SEMANAS!$J$6:$J$71,MATCH($B502,SEMANAS!$B$6:$B$71,0)),0)</f>
        <v>10.088</v>
      </c>
      <c r="W502" s="18" t="n">
        <f aca="false">MAX(0,$T502-$V502)</f>
        <v>23.3926593406593</v>
      </c>
      <c r="X502" s="19" t="n">
        <f aca="false">IFERROR(INDEX(CADASTRO_PIVOS!$K$6:$K$41,MATCH($E502,CADASTRO_PIVOS!$B$6:$B$41,0)),EFICIENCIA_PADRAO)</f>
        <v>0.85</v>
      </c>
      <c r="Y502" s="18" t="n">
        <f aca="false">IF($X502&lt;=0,0,$W502/$X502)</f>
        <v>27.5207756948933</v>
      </c>
      <c r="Z502" s="16" t="n">
        <f aca="false">$Y502*$H502*MM_PARA_M3_HA</f>
        <v>27454.7258332256</v>
      </c>
      <c r="AA502" s="18" t="n">
        <f aca="false">IFERROR(INDEX(CADASTRO_PIVOS!$I$6:$I$41,MATCH($E502,CADASTRO_PIVOS!$B$6:$B$41,0)),0)</f>
        <v>712.571428571429</v>
      </c>
      <c r="AB502" s="18" t="n">
        <f aca="false">IF($Z502&lt;=0,0,$Z502/$AA502)</f>
        <v>38.5290859728507</v>
      </c>
      <c r="AC502" s="16" t="n">
        <f aca="false">IFERROR(INDEX(SEMANAS!$K$6:$K$71,MATCH($B502,SEMANAS!$B$6:$B$71,0)),0)</f>
        <v>147</v>
      </c>
      <c r="AD502" s="19" t="n">
        <f aca="false">IF($AC502&lt;=0,0,$AB502/$AC502)</f>
        <v>0.262102625665651</v>
      </c>
      <c r="AE502" s="8" t="str">
        <f aca="false">IF($K502="SEM CULTURA","SEM CULTURA",IF($AA502&lt;=0,"DADO PENDENTE",IF($AD502&gt;LIMITE_CRITICO,"INVIAVEL",IF($AD502&gt;LIMITE_ATENCAO,"CRITICO",IF($AD502&gt;LIMITE_CONFORTAVEL,"ATENCAO","OK")))))</f>
        <v>OK</v>
      </c>
      <c r="AF502" s="8" t="str">
        <f aca="false">$B502&amp;"|"&amp;TEXT($AD502,"0.000000")</f>
        <v>35|0.262103</v>
      </c>
      <c r="AG502" s="18" t="n">
        <f aca="false">IF($K502="SEM CULTURA",0,$T502*$H502)</f>
        <v>3340.03057582418</v>
      </c>
      <c r="AH502" s="18" t="n">
        <f aca="false">IF($K502="SEM CULTURA",0,$V502*$H502)</f>
        <v>1006.37888</v>
      </c>
      <c r="AI502" s="18" t="n">
        <f aca="false">IF($K502="SEM CULTURA",0,$W502*$H502)</f>
        <v>2333.65169582418</v>
      </c>
      <c r="AJ502" s="18" t="n">
        <f aca="false">IF($K502="SEM CULTURA",0,$S502*$H502)</f>
        <v>3082.584</v>
      </c>
      <c r="AK502" s="8" t="str">
        <f aca="false">$E502&amp;"|"&amp;TEXT($AD502,"0.000000")</f>
        <v>PV 103|0.262103</v>
      </c>
    </row>
    <row r="503" customFormat="false" ht="15" hidden="false" customHeight="false" outlineLevel="0" collapsed="false">
      <c r="B503" s="16" t="n">
        <v>36</v>
      </c>
      <c r="C503" s="17" t="n">
        <f aca="false">DATA_INICIO_SAFRA+($B503-1)*DIAS_POR_SEMANA</f>
        <v>46510</v>
      </c>
      <c r="D503" s="17" t="n">
        <f aca="false">$C503+DIAS_POR_SEMANA-1</f>
        <v>46516</v>
      </c>
      <c r="E503" s="15" t="s">
        <v>266</v>
      </c>
      <c r="F503" s="8" t="str">
        <f aca="false">IFERROR(INDEX(CADASTRO_PIVOS!$C$6:$C$41,MATCH($E503,CADASTRO_PIVOS!$B$6:$B$41,0)),"?")</f>
        <v>RM04</v>
      </c>
      <c r="G503" s="8" t="str">
        <f aca="false">IFERROR(INDEX(CADASTRO_PIVOS!$D$6:$D$41,MATCH($E503,CADASTRO_PIVOS!$B$6:$B$41,0)),"?")</f>
        <v>TR04</v>
      </c>
      <c r="H503" s="20" t="n">
        <f aca="false">IFERROR(INDEX(CADASTRO_PIVOS!$E$6:$E$41,MATCH($E503,CADASTRO_PIVOS!$B$6:$B$41,0)),0)</f>
        <v>99.76</v>
      </c>
      <c r="I503" s="16" t="n">
        <f aca="false">IFERROR(SUMIFS(ROTACAO_RDM!$B$6:$B$71,ROTACAO_RDM!$D$6:$D$71,$E503,ROTACAO_RDM!$I$6:$I$71,"&lt;="&amp;$C503+INT(DIAS_POR_SEMANA/2),ROTACAO_RDM!$J$6:$J$71,"&gt;="&amp;$C503+INT(DIAS_POR_SEMANA/2)),0)</f>
        <v>4</v>
      </c>
      <c r="J503" s="16" t="n">
        <f aca="false">IFERROR(MATCH($I503,ROTACAO_RDM!$B$6:$B$71,0),0)</f>
        <v>4</v>
      </c>
      <c r="K503" s="8" t="str">
        <f aca="false">IF($J503=0,"SEM CULTURA",INDEX(ROTACAO_RDM!$F$6:$F$71,$J503))</f>
        <v>ALGODAO</v>
      </c>
      <c r="L503" s="8" t="str">
        <f aca="false">IF($J503=0,"",INDEX(ROTACAO_RDM!$G$6:$G$71,$J503))</f>
        <v>IMA 707 B3XF</v>
      </c>
      <c r="M503" s="17" t="n">
        <f aca="false">IF($J503=0,"",INDEX(ROTACAO_RDM!$I$6:$I$71,$J503))</f>
        <v>46359</v>
      </c>
      <c r="N503" s="16" t="n">
        <f aca="false">IF($J503=0,0,MAX(0,$C503+INT(DIAS_POR_SEMANA/2)-INDEX(ROTACAO_RDM!$I$6:$I$71,$J503)))</f>
        <v>154</v>
      </c>
      <c r="O503" s="19" t="n">
        <f aca="false">IF($J503=0,0,MIN(1,$N503/MAX(1,INDEX(ROTACAO_RDM!$K$6:$K$71,$J503))))</f>
        <v>0.78974358974359</v>
      </c>
      <c r="P503" s="16" t="n">
        <f aca="false">IF($J503=0,0,IFERROR(MATCH(INDEX(ROTACAO_RDM!$N$6:$N$71,$J503),PARAMETROS_CULTURAS!$B$6:$B$28,0),0))</f>
        <v>5</v>
      </c>
      <c r="Q503" s="8" t="str">
        <f aca="false">IF($P503=0,"-",IF($O503&lt;=INDEX(PARAMETROS_CULTURAS!$F$6:$F$28,$P503),"INICIAL",IF($O503&lt;=INDEX(PARAMETROS_CULTURAS!$F$6:$F$28,$P503)+INDEX(PARAMETROS_CULTURAS!$G$6:$G$28,$P503),"DESENVOLVIMENTO",IF($O503&lt;=INDEX(PARAMETROS_CULTURAS!$F$6:$F$28,$P503)+INDEX(PARAMETROS_CULTURAS!$G$6:$G$28,$P503)+INDEX(PARAMETROS_CULTURAS!$H$6:$H$28,$P503),"MEDIA","FINAL"))))</f>
        <v>FINAL</v>
      </c>
      <c r="R503" s="24" t="n">
        <f aca="false">IF($P503=0,0,IF($O503&lt;=INDEX(PARAMETROS_CULTURAS!$F$6:$F$28,$P503),INDEX(PARAMETROS_CULTURAS!$K$6:$K$28,$P503),IF($O503&lt;=INDEX(PARAMETROS_CULTURAS!$F$6:$F$28,$P503)+INDEX(PARAMETROS_CULTURAS!$G$6:$G$28,$P503),INDEX(PARAMETROS_CULTURAS!$K$6:$K$28,$P503)+(INDEX(PARAMETROS_CULTURAS!$L$6:$L$28,$P503)-INDEX(PARAMETROS_CULTURAS!$K$6:$K$28,$P503))*($O503-INDEX(PARAMETROS_CULTURAS!$F$6:$F$28,$P503))/MAX(INDEX(PARAMETROS_CULTURAS!$G$6:$G$28,$P503),0.0001),IF($O503&lt;=INDEX(PARAMETROS_CULTURAS!$F$6:$F$28,$P503)+INDEX(PARAMETROS_CULTURAS!$G$6:$G$28,$P503)+INDEX(PARAMETROS_CULTURAS!$H$6:$H$28,$P503),INDEX(PARAMETROS_CULTURAS!$L$6:$L$28,$P503),INDEX(PARAMETROS_CULTURAS!$L$6:$L$28,$P503)+(INDEX(PARAMETROS_CULTURAS!$M$6:$M$28,$P503)-INDEX(PARAMETROS_CULTURAS!$L$6:$L$28,$P503))*($O503-INDEX(PARAMETROS_CULTURAS!$F$6:$F$28,$P503)-INDEX(PARAMETROS_CULTURAS!$G$6:$G$28,$P503)-INDEX(PARAMETROS_CULTURAS!$H$6:$H$28,$P503))/MAX(INDEX(PARAMETROS_CULTURAS!$I$6:$I$28,$P503),0.0001)))))</f>
        <v>1.01300366300366</v>
      </c>
      <c r="S503" s="18" t="n">
        <f aca="false">IFERROR(INDEX(SEMANAS!$H$6:$H$71,MATCH($B503,SEMANAS!$B$6:$B$71,0)),0)</f>
        <v>29.4</v>
      </c>
      <c r="T503" s="18" t="n">
        <f aca="false">$R503*$S503</f>
        <v>29.7823076923077</v>
      </c>
      <c r="U503" s="18" t="n">
        <f aca="false">IFERROR(INDEX(SEMANAS!$I$6:$I$71,MATCH($B503,SEMANAS!$B$6:$B$71,0)),0)</f>
        <v>3.36</v>
      </c>
      <c r="V503" s="18" t="n">
        <f aca="false">IFERROR(INDEX(SEMANAS!$J$6:$J$71,MATCH($B503,SEMANAS!$B$6:$B$71,0)),0)</f>
        <v>2.688</v>
      </c>
      <c r="W503" s="18" t="n">
        <f aca="false">MAX(0,$T503-$V503)</f>
        <v>27.0943076923077</v>
      </c>
      <c r="X503" s="19" t="n">
        <f aca="false">IFERROR(INDEX(CADASTRO_PIVOS!$K$6:$K$41,MATCH($E503,CADASTRO_PIVOS!$B$6:$B$41,0)),EFICIENCIA_PADRAO)</f>
        <v>0.85</v>
      </c>
      <c r="Y503" s="18" t="n">
        <f aca="false">IF($X503&lt;=0,0,$W503/$X503)</f>
        <v>31.8756561085973</v>
      </c>
      <c r="Z503" s="16" t="n">
        <f aca="false">$Y503*$H503*MM_PARA_M3_HA</f>
        <v>31799.1545339367</v>
      </c>
      <c r="AA503" s="18" t="n">
        <f aca="false">IFERROR(INDEX(CADASTRO_PIVOS!$I$6:$I$41,MATCH($E503,CADASTRO_PIVOS!$B$6:$B$41,0)),0)</f>
        <v>712.571428571429</v>
      </c>
      <c r="AB503" s="18" t="n">
        <f aca="false">IF($Z503&lt;=0,0,$Z503/$AA503)</f>
        <v>44.6259185520362</v>
      </c>
      <c r="AC503" s="16" t="n">
        <f aca="false">IFERROR(INDEX(SEMANAS!$K$6:$K$71,MATCH($B503,SEMANAS!$B$6:$B$71,0)),0)</f>
        <v>147</v>
      </c>
      <c r="AD503" s="19" t="n">
        <f aca="false">IF($AC503&lt;=0,0,$AB503/$AC503)</f>
        <v>0.303577677224736</v>
      </c>
      <c r="AE503" s="8" t="str">
        <f aca="false">IF($K503="SEM CULTURA","SEM CULTURA",IF($AA503&lt;=0,"DADO PENDENTE",IF($AD503&gt;LIMITE_CRITICO,"INVIAVEL",IF($AD503&gt;LIMITE_ATENCAO,"CRITICO",IF($AD503&gt;LIMITE_CONFORTAVEL,"ATENCAO","OK")))))</f>
        <v>OK</v>
      </c>
      <c r="AF503" s="8" t="str">
        <f aca="false">$B503&amp;"|"&amp;TEXT($AD503,"0.000000")</f>
        <v>36|0.303578</v>
      </c>
      <c r="AG503" s="18" t="n">
        <f aca="false">IF($K503="SEM CULTURA",0,$T503*$H503)</f>
        <v>2971.08301538462</v>
      </c>
      <c r="AH503" s="18" t="n">
        <f aca="false">IF($K503="SEM CULTURA",0,$V503*$H503)</f>
        <v>268.15488</v>
      </c>
      <c r="AI503" s="18" t="n">
        <f aca="false">IF($K503="SEM CULTURA",0,$W503*$H503)</f>
        <v>2702.92813538462</v>
      </c>
      <c r="AJ503" s="18" t="n">
        <f aca="false">IF($K503="SEM CULTURA",0,$S503*$H503)</f>
        <v>2932.944</v>
      </c>
      <c r="AK503" s="8" t="str">
        <f aca="false">$E503&amp;"|"&amp;TEXT($AD503,"0.000000")</f>
        <v>PV 103|0.303578</v>
      </c>
    </row>
    <row r="504" customFormat="false" ht="15" hidden="false" customHeight="false" outlineLevel="0" collapsed="false">
      <c r="B504" s="16" t="n">
        <v>37</v>
      </c>
      <c r="C504" s="17" t="n">
        <f aca="false">DATA_INICIO_SAFRA+($B504-1)*DIAS_POR_SEMANA</f>
        <v>46517</v>
      </c>
      <c r="D504" s="17" t="n">
        <f aca="false">$C504+DIAS_POR_SEMANA-1</f>
        <v>46523</v>
      </c>
      <c r="E504" s="15" t="s">
        <v>266</v>
      </c>
      <c r="F504" s="8" t="str">
        <f aca="false">IFERROR(INDEX(CADASTRO_PIVOS!$C$6:$C$41,MATCH($E504,CADASTRO_PIVOS!$B$6:$B$41,0)),"?")</f>
        <v>RM04</v>
      </c>
      <c r="G504" s="8" t="str">
        <f aca="false">IFERROR(INDEX(CADASTRO_PIVOS!$D$6:$D$41,MATCH($E504,CADASTRO_PIVOS!$B$6:$B$41,0)),"?")</f>
        <v>TR04</v>
      </c>
      <c r="H504" s="20" t="n">
        <f aca="false">IFERROR(INDEX(CADASTRO_PIVOS!$E$6:$E$41,MATCH($E504,CADASTRO_PIVOS!$B$6:$B$41,0)),0)</f>
        <v>99.76</v>
      </c>
      <c r="I504" s="16" t="n">
        <f aca="false">IFERROR(SUMIFS(ROTACAO_RDM!$B$6:$B$71,ROTACAO_RDM!$D$6:$D$71,$E504,ROTACAO_RDM!$I$6:$I$71,"&lt;="&amp;$C504+INT(DIAS_POR_SEMANA/2),ROTACAO_RDM!$J$6:$J$71,"&gt;="&amp;$C504+INT(DIAS_POR_SEMANA/2)),0)</f>
        <v>4</v>
      </c>
      <c r="J504" s="16" t="n">
        <f aca="false">IFERROR(MATCH($I504,ROTACAO_RDM!$B$6:$B$71,0),0)</f>
        <v>4</v>
      </c>
      <c r="K504" s="8" t="str">
        <f aca="false">IF($J504=0,"SEM CULTURA",INDEX(ROTACAO_RDM!$F$6:$F$71,$J504))</f>
        <v>ALGODAO</v>
      </c>
      <c r="L504" s="8" t="str">
        <f aca="false">IF($J504=0,"",INDEX(ROTACAO_RDM!$G$6:$G$71,$J504))</f>
        <v>IMA 707 B3XF</v>
      </c>
      <c r="M504" s="17" t="n">
        <f aca="false">IF($J504=0,"",INDEX(ROTACAO_RDM!$I$6:$I$71,$J504))</f>
        <v>46359</v>
      </c>
      <c r="N504" s="16" t="n">
        <f aca="false">IF($J504=0,0,MAX(0,$C504+INT(DIAS_POR_SEMANA/2)-INDEX(ROTACAO_RDM!$I$6:$I$71,$J504)))</f>
        <v>161</v>
      </c>
      <c r="O504" s="19" t="n">
        <f aca="false">IF($J504=0,0,MIN(1,$N504/MAX(1,INDEX(ROTACAO_RDM!$K$6:$K$71,$J504))))</f>
        <v>0.825641025641026</v>
      </c>
      <c r="P504" s="16" t="n">
        <f aca="false">IF($J504=0,0,IFERROR(MATCH(INDEX(ROTACAO_RDM!$N$6:$N$71,$J504),PARAMETROS_CULTURAS!$B$6:$B$28,0),0))</f>
        <v>5</v>
      </c>
      <c r="Q504" s="8" t="str">
        <f aca="false">IF($P504=0,"-",IF($O504&lt;=INDEX(PARAMETROS_CULTURAS!$F$6:$F$28,$P504),"INICIAL",IF($O504&lt;=INDEX(PARAMETROS_CULTURAS!$F$6:$F$28,$P504)+INDEX(PARAMETROS_CULTURAS!$G$6:$G$28,$P504),"DESENVOLVIMENTO",IF($O504&lt;=INDEX(PARAMETROS_CULTURAS!$F$6:$F$28,$P504)+INDEX(PARAMETROS_CULTURAS!$G$6:$G$28,$P504)+INDEX(PARAMETROS_CULTURAS!$H$6:$H$28,$P504),"MEDIA","FINAL"))))</f>
        <v>FINAL</v>
      </c>
      <c r="R504" s="24" t="n">
        <f aca="false">IF($P504=0,0,IF($O504&lt;=INDEX(PARAMETROS_CULTURAS!$F$6:$F$28,$P504),INDEX(PARAMETROS_CULTURAS!$K$6:$K$28,$P504),IF($O504&lt;=INDEX(PARAMETROS_CULTURAS!$F$6:$F$28,$P504)+INDEX(PARAMETROS_CULTURAS!$G$6:$G$28,$P504),INDEX(PARAMETROS_CULTURAS!$K$6:$K$28,$P504)+(INDEX(PARAMETROS_CULTURAS!$L$6:$L$28,$P504)-INDEX(PARAMETROS_CULTURAS!$K$6:$K$28,$P504))*($O504-INDEX(PARAMETROS_CULTURAS!$F$6:$F$28,$P504))/MAX(INDEX(PARAMETROS_CULTURAS!$G$6:$G$28,$P504),0.0001),IF($O504&lt;=INDEX(PARAMETROS_CULTURAS!$F$6:$F$28,$P504)+INDEX(PARAMETROS_CULTURAS!$G$6:$G$28,$P504)+INDEX(PARAMETROS_CULTURAS!$H$6:$H$28,$P504),INDEX(PARAMETROS_CULTURAS!$L$6:$L$28,$P504),INDEX(PARAMETROS_CULTURAS!$L$6:$L$28,$P504)+(INDEX(PARAMETROS_CULTURAS!$M$6:$M$28,$P504)-INDEX(PARAMETROS_CULTURAS!$L$6:$L$28,$P504))*($O504-INDEX(PARAMETROS_CULTURAS!$F$6:$F$28,$P504)-INDEX(PARAMETROS_CULTURAS!$G$6:$G$28,$P504)-INDEX(PARAMETROS_CULTURAS!$H$6:$H$28,$P504))/MAX(INDEX(PARAMETROS_CULTURAS!$I$6:$I$28,$P504),0.0001)))))</f>
        <v>0.942490842490843</v>
      </c>
      <c r="S504" s="18" t="n">
        <f aca="false">IFERROR(INDEX(SEMANAS!$H$6:$H$71,MATCH($B504,SEMANAS!$B$6:$B$71,0)),0)</f>
        <v>29.4</v>
      </c>
      <c r="T504" s="18" t="n">
        <f aca="false">$R504*$S504</f>
        <v>27.7092307692308</v>
      </c>
      <c r="U504" s="18" t="n">
        <f aca="false">IFERROR(INDEX(SEMANAS!$I$6:$I$71,MATCH($B504,SEMANAS!$B$6:$B$71,0)),0)</f>
        <v>3.36</v>
      </c>
      <c r="V504" s="18" t="n">
        <f aca="false">IFERROR(INDEX(SEMANAS!$J$6:$J$71,MATCH($B504,SEMANAS!$B$6:$B$71,0)),0)</f>
        <v>2.688</v>
      </c>
      <c r="W504" s="18" t="n">
        <f aca="false">MAX(0,$T504-$V504)</f>
        <v>25.0212307692308</v>
      </c>
      <c r="X504" s="19" t="n">
        <f aca="false">IFERROR(INDEX(CADASTRO_PIVOS!$K$6:$K$41,MATCH($E504,CADASTRO_PIVOS!$B$6:$B$41,0)),EFICIENCIA_PADRAO)</f>
        <v>0.85</v>
      </c>
      <c r="Y504" s="18" t="n">
        <f aca="false">IF($X504&lt;=0,0,$W504/$X504)</f>
        <v>29.436742081448</v>
      </c>
      <c r="Z504" s="16" t="n">
        <f aca="false">$Y504*$H504*MM_PARA_M3_HA</f>
        <v>29366.0939004525</v>
      </c>
      <c r="AA504" s="18" t="n">
        <f aca="false">IFERROR(INDEX(CADASTRO_PIVOS!$I$6:$I$41,MATCH($E504,CADASTRO_PIVOS!$B$6:$B$41,0)),0)</f>
        <v>712.571428571429</v>
      </c>
      <c r="AB504" s="18" t="n">
        <f aca="false">IF($Z504&lt;=0,0,$Z504/$AA504)</f>
        <v>41.2114389140272</v>
      </c>
      <c r="AC504" s="16" t="n">
        <f aca="false">IFERROR(INDEX(SEMANAS!$K$6:$K$71,MATCH($B504,SEMANAS!$B$6:$B$71,0)),0)</f>
        <v>147</v>
      </c>
      <c r="AD504" s="19" t="n">
        <f aca="false">IF($AC504&lt;=0,0,$AB504/$AC504)</f>
        <v>0.280349924585219</v>
      </c>
      <c r="AE504" s="8" t="str">
        <f aca="false">IF($K504="SEM CULTURA","SEM CULTURA",IF($AA504&lt;=0,"DADO PENDENTE",IF($AD504&gt;LIMITE_CRITICO,"INVIAVEL",IF($AD504&gt;LIMITE_ATENCAO,"CRITICO",IF($AD504&gt;LIMITE_CONFORTAVEL,"ATENCAO","OK")))))</f>
        <v>OK</v>
      </c>
      <c r="AF504" s="8" t="str">
        <f aca="false">$B504&amp;"|"&amp;TEXT($AD504,"0.000000")</f>
        <v>37|0.280350</v>
      </c>
      <c r="AG504" s="18" t="n">
        <f aca="false">IF($K504="SEM CULTURA",0,$T504*$H504)</f>
        <v>2764.27286153846</v>
      </c>
      <c r="AH504" s="18" t="n">
        <f aca="false">IF($K504="SEM CULTURA",0,$V504*$H504)</f>
        <v>268.15488</v>
      </c>
      <c r="AI504" s="18" t="n">
        <f aca="false">IF($K504="SEM CULTURA",0,$W504*$H504)</f>
        <v>2496.11798153846</v>
      </c>
      <c r="AJ504" s="18" t="n">
        <f aca="false">IF($K504="SEM CULTURA",0,$S504*$H504)</f>
        <v>2932.944</v>
      </c>
      <c r="AK504" s="8" t="str">
        <f aca="false">$E504&amp;"|"&amp;TEXT($AD504,"0.000000")</f>
        <v>PV 103|0.280350</v>
      </c>
    </row>
    <row r="505" customFormat="false" ht="15" hidden="false" customHeight="false" outlineLevel="0" collapsed="false">
      <c r="B505" s="16" t="n">
        <v>38</v>
      </c>
      <c r="C505" s="17" t="n">
        <f aca="false">DATA_INICIO_SAFRA+($B505-1)*DIAS_POR_SEMANA</f>
        <v>46524</v>
      </c>
      <c r="D505" s="17" t="n">
        <f aca="false">$C505+DIAS_POR_SEMANA-1</f>
        <v>46530</v>
      </c>
      <c r="E505" s="15" t="s">
        <v>266</v>
      </c>
      <c r="F505" s="8" t="str">
        <f aca="false">IFERROR(INDEX(CADASTRO_PIVOS!$C$6:$C$41,MATCH($E505,CADASTRO_PIVOS!$B$6:$B$41,0)),"?")</f>
        <v>RM04</v>
      </c>
      <c r="G505" s="8" t="str">
        <f aca="false">IFERROR(INDEX(CADASTRO_PIVOS!$D$6:$D$41,MATCH($E505,CADASTRO_PIVOS!$B$6:$B$41,0)),"?")</f>
        <v>TR04</v>
      </c>
      <c r="H505" s="20" t="n">
        <f aca="false">IFERROR(INDEX(CADASTRO_PIVOS!$E$6:$E$41,MATCH($E505,CADASTRO_PIVOS!$B$6:$B$41,0)),0)</f>
        <v>99.76</v>
      </c>
      <c r="I505" s="16" t="n">
        <f aca="false">IFERROR(SUMIFS(ROTACAO_RDM!$B$6:$B$71,ROTACAO_RDM!$D$6:$D$71,$E505,ROTACAO_RDM!$I$6:$I$71,"&lt;="&amp;$C505+INT(DIAS_POR_SEMANA/2),ROTACAO_RDM!$J$6:$J$71,"&gt;="&amp;$C505+INT(DIAS_POR_SEMANA/2)),0)</f>
        <v>4</v>
      </c>
      <c r="J505" s="16" t="n">
        <f aca="false">IFERROR(MATCH($I505,ROTACAO_RDM!$B$6:$B$71,0),0)</f>
        <v>4</v>
      </c>
      <c r="K505" s="8" t="str">
        <f aca="false">IF($J505=0,"SEM CULTURA",INDEX(ROTACAO_RDM!$F$6:$F$71,$J505))</f>
        <v>ALGODAO</v>
      </c>
      <c r="L505" s="8" t="str">
        <f aca="false">IF($J505=0,"",INDEX(ROTACAO_RDM!$G$6:$G$71,$J505))</f>
        <v>IMA 707 B3XF</v>
      </c>
      <c r="M505" s="17" t="n">
        <f aca="false">IF($J505=0,"",INDEX(ROTACAO_RDM!$I$6:$I$71,$J505))</f>
        <v>46359</v>
      </c>
      <c r="N505" s="16" t="n">
        <f aca="false">IF($J505=0,0,MAX(0,$C505+INT(DIAS_POR_SEMANA/2)-INDEX(ROTACAO_RDM!$I$6:$I$71,$J505)))</f>
        <v>168</v>
      </c>
      <c r="O505" s="19" t="n">
        <f aca="false">IF($J505=0,0,MIN(1,$N505/MAX(1,INDEX(ROTACAO_RDM!$K$6:$K$71,$J505))))</f>
        <v>0.861538461538462</v>
      </c>
      <c r="P505" s="16" t="n">
        <f aca="false">IF($J505=0,0,IFERROR(MATCH(INDEX(ROTACAO_RDM!$N$6:$N$71,$J505),PARAMETROS_CULTURAS!$B$6:$B$28,0),0))</f>
        <v>5</v>
      </c>
      <c r="Q505" s="8" t="str">
        <f aca="false">IF($P505=0,"-",IF($O505&lt;=INDEX(PARAMETROS_CULTURAS!$F$6:$F$28,$P505),"INICIAL",IF($O505&lt;=INDEX(PARAMETROS_CULTURAS!$F$6:$F$28,$P505)+INDEX(PARAMETROS_CULTURAS!$G$6:$G$28,$P505),"DESENVOLVIMENTO",IF($O505&lt;=INDEX(PARAMETROS_CULTURAS!$F$6:$F$28,$P505)+INDEX(PARAMETROS_CULTURAS!$G$6:$G$28,$P505)+INDEX(PARAMETROS_CULTURAS!$H$6:$H$28,$P505),"MEDIA","FINAL"))))</f>
        <v>FINAL</v>
      </c>
      <c r="R505" s="24" t="n">
        <f aca="false">IF($P505=0,0,IF($O505&lt;=INDEX(PARAMETROS_CULTURAS!$F$6:$F$28,$P505),INDEX(PARAMETROS_CULTURAS!$K$6:$K$28,$P505),IF($O505&lt;=INDEX(PARAMETROS_CULTURAS!$F$6:$F$28,$P505)+INDEX(PARAMETROS_CULTURAS!$G$6:$G$28,$P505),INDEX(PARAMETROS_CULTURAS!$K$6:$K$28,$P505)+(INDEX(PARAMETROS_CULTURAS!$L$6:$L$28,$P505)-INDEX(PARAMETROS_CULTURAS!$K$6:$K$28,$P505))*($O505-INDEX(PARAMETROS_CULTURAS!$F$6:$F$28,$P505))/MAX(INDEX(PARAMETROS_CULTURAS!$G$6:$G$28,$P505),0.0001),IF($O505&lt;=INDEX(PARAMETROS_CULTURAS!$F$6:$F$28,$P505)+INDEX(PARAMETROS_CULTURAS!$G$6:$G$28,$P505)+INDEX(PARAMETROS_CULTURAS!$H$6:$H$28,$P505),INDEX(PARAMETROS_CULTURAS!$L$6:$L$28,$P505),INDEX(PARAMETROS_CULTURAS!$L$6:$L$28,$P505)+(INDEX(PARAMETROS_CULTURAS!$M$6:$M$28,$P505)-INDEX(PARAMETROS_CULTURAS!$L$6:$L$28,$P505))*($O505-INDEX(PARAMETROS_CULTURAS!$F$6:$F$28,$P505)-INDEX(PARAMETROS_CULTURAS!$G$6:$G$28,$P505)-INDEX(PARAMETROS_CULTURAS!$H$6:$H$28,$P505))/MAX(INDEX(PARAMETROS_CULTURAS!$I$6:$I$28,$P505),0.0001)))))</f>
        <v>0.871978021978022</v>
      </c>
      <c r="S505" s="18" t="n">
        <f aca="false">IFERROR(INDEX(SEMANAS!$H$6:$H$71,MATCH($B505,SEMANAS!$B$6:$B$71,0)),0)</f>
        <v>29.4</v>
      </c>
      <c r="T505" s="18" t="n">
        <f aca="false">$R505*$S505</f>
        <v>25.6361538461539</v>
      </c>
      <c r="U505" s="18" t="n">
        <f aca="false">IFERROR(INDEX(SEMANAS!$I$6:$I$71,MATCH($B505,SEMANAS!$B$6:$B$71,0)),0)</f>
        <v>3.36</v>
      </c>
      <c r="V505" s="18" t="n">
        <f aca="false">IFERROR(INDEX(SEMANAS!$J$6:$J$71,MATCH($B505,SEMANAS!$B$6:$B$71,0)),0)</f>
        <v>2.688</v>
      </c>
      <c r="W505" s="18" t="n">
        <f aca="false">MAX(0,$T505-$V505)</f>
        <v>22.9481538461539</v>
      </c>
      <c r="X505" s="19" t="n">
        <f aca="false">IFERROR(INDEX(CADASTRO_PIVOS!$K$6:$K$41,MATCH($E505,CADASTRO_PIVOS!$B$6:$B$41,0)),EFICIENCIA_PADRAO)</f>
        <v>0.85</v>
      </c>
      <c r="Y505" s="18" t="n">
        <f aca="false">IF($X505&lt;=0,0,$W505/$X505)</f>
        <v>26.9978280542986</v>
      </c>
      <c r="Z505" s="16" t="n">
        <f aca="false">$Y505*$H505*MM_PARA_M3_HA</f>
        <v>26933.0332669683</v>
      </c>
      <c r="AA505" s="18" t="n">
        <f aca="false">IFERROR(INDEX(CADASTRO_PIVOS!$I$6:$I$41,MATCH($E505,CADASTRO_PIVOS!$B$6:$B$41,0)),0)</f>
        <v>712.571428571429</v>
      </c>
      <c r="AB505" s="18" t="n">
        <f aca="false">IF($Z505&lt;=0,0,$Z505/$AA505)</f>
        <v>37.7969592760181</v>
      </c>
      <c r="AC505" s="16" t="n">
        <f aca="false">IFERROR(INDEX(SEMANAS!$K$6:$K$71,MATCH($B505,SEMANAS!$B$6:$B$71,0)),0)</f>
        <v>147</v>
      </c>
      <c r="AD505" s="19" t="n">
        <f aca="false">IF($AC505&lt;=0,0,$AB505/$AC505)</f>
        <v>0.257122171945701</v>
      </c>
      <c r="AE505" s="8" t="str">
        <f aca="false">IF($K505="SEM CULTURA","SEM CULTURA",IF($AA505&lt;=0,"DADO PENDENTE",IF($AD505&gt;LIMITE_CRITICO,"INVIAVEL",IF($AD505&gt;LIMITE_ATENCAO,"CRITICO",IF($AD505&gt;LIMITE_CONFORTAVEL,"ATENCAO","OK")))))</f>
        <v>OK</v>
      </c>
      <c r="AF505" s="8" t="str">
        <f aca="false">$B505&amp;"|"&amp;TEXT($AD505,"0.000000")</f>
        <v>38|0.257122</v>
      </c>
      <c r="AG505" s="18" t="n">
        <f aca="false">IF($K505="SEM CULTURA",0,$T505*$H505)</f>
        <v>2557.46270769231</v>
      </c>
      <c r="AH505" s="18" t="n">
        <f aca="false">IF($K505="SEM CULTURA",0,$V505*$H505)</f>
        <v>268.15488</v>
      </c>
      <c r="AI505" s="18" t="n">
        <f aca="false">IF($K505="SEM CULTURA",0,$W505*$H505)</f>
        <v>2289.30782769231</v>
      </c>
      <c r="AJ505" s="18" t="n">
        <f aca="false">IF($K505="SEM CULTURA",0,$S505*$H505)</f>
        <v>2932.944</v>
      </c>
      <c r="AK505" s="8" t="str">
        <f aca="false">$E505&amp;"|"&amp;TEXT($AD505,"0.000000")</f>
        <v>PV 103|0.257122</v>
      </c>
    </row>
    <row r="506" customFormat="false" ht="15" hidden="false" customHeight="false" outlineLevel="0" collapsed="false">
      <c r="B506" s="16" t="n">
        <v>39</v>
      </c>
      <c r="C506" s="17" t="n">
        <f aca="false">DATA_INICIO_SAFRA+($B506-1)*DIAS_POR_SEMANA</f>
        <v>46531</v>
      </c>
      <c r="D506" s="17" t="n">
        <f aca="false">$C506+DIAS_POR_SEMANA-1</f>
        <v>46537</v>
      </c>
      <c r="E506" s="15" t="s">
        <v>266</v>
      </c>
      <c r="F506" s="8" t="str">
        <f aca="false">IFERROR(INDEX(CADASTRO_PIVOS!$C$6:$C$41,MATCH($E506,CADASTRO_PIVOS!$B$6:$B$41,0)),"?")</f>
        <v>RM04</v>
      </c>
      <c r="G506" s="8" t="str">
        <f aca="false">IFERROR(INDEX(CADASTRO_PIVOS!$D$6:$D$41,MATCH($E506,CADASTRO_PIVOS!$B$6:$B$41,0)),"?")</f>
        <v>TR04</v>
      </c>
      <c r="H506" s="20" t="n">
        <f aca="false">IFERROR(INDEX(CADASTRO_PIVOS!$E$6:$E$41,MATCH($E506,CADASTRO_PIVOS!$B$6:$B$41,0)),0)</f>
        <v>99.76</v>
      </c>
      <c r="I506" s="16" t="n">
        <f aca="false">IFERROR(SUMIFS(ROTACAO_RDM!$B$6:$B$71,ROTACAO_RDM!$D$6:$D$71,$E506,ROTACAO_RDM!$I$6:$I$71,"&lt;="&amp;$C506+INT(DIAS_POR_SEMANA/2),ROTACAO_RDM!$J$6:$J$71,"&gt;="&amp;$C506+INT(DIAS_POR_SEMANA/2)),0)</f>
        <v>4</v>
      </c>
      <c r="J506" s="16" t="n">
        <f aca="false">IFERROR(MATCH($I506,ROTACAO_RDM!$B$6:$B$71,0),0)</f>
        <v>4</v>
      </c>
      <c r="K506" s="8" t="str">
        <f aca="false">IF($J506=0,"SEM CULTURA",INDEX(ROTACAO_RDM!$F$6:$F$71,$J506))</f>
        <v>ALGODAO</v>
      </c>
      <c r="L506" s="8" t="str">
        <f aca="false">IF($J506=0,"",INDEX(ROTACAO_RDM!$G$6:$G$71,$J506))</f>
        <v>IMA 707 B3XF</v>
      </c>
      <c r="M506" s="17" t="n">
        <f aca="false">IF($J506=0,"",INDEX(ROTACAO_RDM!$I$6:$I$71,$J506))</f>
        <v>46359</v>
      </c>
      <c r="N506" s="16" t="n">
        <f aca="false">IF($J506=0,0,MAX(0,$C506+INT(DIAS_POR_SEMANA/2)-INDEX(ROTACAO_RDM!$I$6:$I$71,$J506)))</f>
        <v>175</v>
      </c>
      <c r="O506" s="19" t="n">
        <f aca="false">IF($J506=0,0,MIN(1,$N506/MAX(1,INDEX(ROTACAO_RDM!$K$6:$K$71,$J506))))</f>
        <v>0.897435897435898</v>
      </c>
      <c r="P506" s="16" t="n">
        <f aca="false">IF($J506=0,0,IFERROR(MATCH(INDEX(ROTACAO_RDM!$N$6:$N$71,$J506),PARAMETROS_CULTURAS!$B$6:$B$28,0),0))</f>
        <v>5</v>
      </c>
      <c r="Q506" s="8" t="str">
        <f aca="false">IF($P506=0,"-",IF($O506&lt;=INDEX(PARAMETROS_CULTURAS!$F$6:$F$28,$P506),"INICIAL",IF($O506&lt;=INDEX(PARAMETROS_CULTURAS!$F$6:$F$28,$P506)+INDEX(PARAMETROS_CULTURAS!$G$6:$G$28,$P506),"DESENVOLVIMENTO",IF($O506&lt;=INDEX(PARAMETROS_CULTURAS!$F$6:$F$28,$P506)+INDEX(PARAMETROS_CULTURAS!$G$6:$G$28,$P506)+INDEX(PARAMETROS_CULTURAS!$H$6:$H$28,$P506),"MEDIA","FINAL"))))</f>
        <v>FINAL</v>
      </c>
      <c r="R506" s="24" t="n">
        <f aca="false">IF($P506=0,0,IF($O506&lt;=INDEX(PARAMETROS_CULTURAS!$F$6:$F$28,$P506),INDEX(PARAMETROS_CULTURAS!$K$6:$K$28,$P506),IF($O506&lt;=INDEX(PARAMETROS_CULTURAS!$F$6:$F$28,$P506)+INDEX(PARAMETROS_CULTURAS!$G$6:$G$28,$P506),INDEX(PARAMETROS_CULTURAS!$K$6:$K$28,$P506)+(INDEX(PARAMETROS_CULTURAS!$L$6:$L$28,$P506)-INDEX(PARAMETROS_CULTURAS!$K$6:$K$28,$P506))*($O506-INDEX(PARAMETROS_CULTURAS!$F$6:$F$28,$P506))/MAX(INDEX(PARAMETROS_CULTURAS!$G$6:$G$28,$P506),0.0001),IF($O506&lt;=INDEX(PARAMETROS_CULTURAS!$F$6:$F$28,$P506)+INDEX(PARAMETROS_CULTURAS!$G$6:$G$28,$P506)+INDEX(PARAMETROS_CULTURAS!$H$6:$H$28,$P506),INDEX(PARAMETROS_CULTURAS!$L$6:$L$28,$P506),INDEX(PARAMETROS_CULTURAS!$L$6:$L$28,$P506)+(INDEX(PARAMETROS_CULTURAS!$M$6:$M$28,$P506)-INDEX(PARAMETROS_CULTURAS!$L$6:$L$28,$P506))*($O506-INDEX(PARAMETROS_CULTURAS!$F$6:$F$28,$P506)-INDEX(PARAMETROS_CULTURAS!$G$6:$G$28,$P506)-INDEX(PARAMETROS_CULTURAS!$H$6:$H$28,$P506))/MAX(INDEX(PARAMETROS_CULTURAS!$I$6:$I$28,$P506),0.0001)))))</f>
        <v>0.801465201465202</v>
      </c>
      <c r="S506" s="18" t="n">
        <f aca="false">IFERROR(INDEX(SEMANAS!$H$6:$H$71,MATCH($B506,SEMANAS!$B$6:$B$71,0)),0)</f>
        <v>29.4</v>
      </c>
      <c r="T506" s="18" t="n">
        <f aca="false">$R506*$S506</f>
        <v>23.5630769230769</v>
      </c>
      <c r="U506" s="18" t="n">
        <f aca="false">IFERROR(INDEX(SEMANAS!$I$6:$I$71,MATCH($B506,SEMANAS!$B$6:$B$71,0)),0)</f>
        <v>3.36</v>
      </c>
      <c r="V506" s="18" t="n">
        <f aca="false">IFERROR(INDEX(SEMANAS!$J$6:$J$71,MATCH($B506,SEMANAS!$B$6:$B$71,0)),0)</f>
        <v>2.688</v>
      </c>
      <c r="W506" s="18" t="n">
        <f aca="false">MAX(0,$T506-$V506)</f>
        <v>20.8750769230769</v>
      </c>
      <c r="X506" s="19" t="n">
        <f aca="false">IFERROR(INDEX(CADASTRO_PIVOS!$K$6:$K$41,MATCH($E506,CADASTRO_PIVOS!$B$6:$B$41,0)),EFICIENCIA_PADRAO)</f>
        <v>0.85</v>
      </c>
      <c r="Y506" s="18" t="n">
        <f aca="false">IF($X506&lt;=0,0,$W506/$X506)</f>
        <v>24.5589140271493</v>
      </c>
      <c r="Z506" s="16" t="n">
        <f aca="false">$Y506*$H506*MM_PARA_M3_HA</f>
        <v>24499.9726334842</v>
      </c>
      <c r="AA506" s="18" t="n">
        <f aca="false">IFERROR(INDEX(CADASTRO_PIVOS!$I$6:$I$41,MATCH($E506,CADASTRO_PIVOS!$B$6:$B$41,0)),0)</f>
        <v>712.571428571429</v>
      </c>
      <c r="AB506" s="18" t="n">
        <f aca="false">IF($Z506&lt;=0,0,$Z506/$AA506)</f>
        <v>34.3824796380091</v>
      </c>
      <c r="AC506" s="16" t="n">
        <f aca="false">IFERROR(INDEX(SEMANAS!$K$6:$K$71,MATCH($B506,SEMANAS!$B$6:$B$71,0)),0)</f>
        <v>147</v>
      </c>
      <c r="AD506" s="19" t="n">
        <f aca="false">IF($AC506&lt;=0,0,$AB506/$AC506)</f>
        <v>0.233894419306184</v>
      </c>
      <c r="AE506" s="8" t="str">
        <f aca="false">IF($K506="SEM CULTURA","SEM CULTURA",IF($AA506&lt;=0,"DADO PENDENTE",IF($AD506&gt;LIMITE_CRITICO,"INVIAVEL",IF($AD506&gt;LIMITE_ATENCAO,"CRITICO",IF($AD506&gt;LIMITE_CONFORTAVEL,"ATENCAO","OK")))))</f>
        <v>OK</v>
      </c>
      <c r="AF506" s="8" t="str">
        <f aca="false">$B506&amp;"|"&amp;TEXT($AD506,"0.000000")</f>
        <v>39|0.233894</v>
      </c>
      <c r="AG506" s="18" t="n">
        <f aca="false">IF($K506="SEM CULTURA",0,$T506*$H506)</f>
        <v>2350.65255384615</v>
      </c>
      <c r="AH506" s="18" t="n">
        <f aca="false">IF($K506="SEM CULTURA",0,$V506*$H506)</f>
        <v>268.15488</v>
      </c>
      <c r="AI506" s="18" t="n">
        <f aca="false">IF($K506="SEM CULTURA",0,$W506*$H506)</f>
        <v>2082.49767384615</v>
      </c>
      <c r="AJ506" s="18" t="n">
        <f aca="false">IF($K506="SEM CULTURA",0,$S506*$H506)</f>
        <v>2932.944</v>
      </c>
      <c r="AK506" s="8" t="str">
        <f aca="false">$E506&amp;"|"&amp;TEXT($AD506,"0.000000")</f>
        <v>PV 103|0.233894</v>
      </c>
    </row>
    <row r="507" customFormat="false" ht="15" hidden="false" customHeight="false" outlineLevel="0" collapsed="false">
      <c r="B507" s="16" t="n">
        <v>40</v>
      </c>
      <c r="C507" s="17" t="n">
        <f aca="false">DATA_INICIO_SAFRA+($B507-1)*DIAS_POR_SEMANA</f>
        <v>46538</v>
      </c>
      <c r="D507" s="17" t="n">
        <f aca="false">$C507+DIAS_POR_SEMANA-1</f>
        <v>46544</v>
      </c>
      <c r="E507" s="15" t="s">
        <v>266</v>
      </c>
      <c r="F507" s="8" t="str">
        <f aca="false">IFERROR(INDEX(CADASTRO_PIVOS!$C$6:$C$41,MATCH($E507,CADASTRO_PIVOS!$B$6:$B$41,0)),"?")</f>
        <v>RM04</v>
      </c>
      <c r="G507" s="8" t="str">
        <f aca="false">IFERROR(INDEX(CADASTRO_PIVOS!$D$6:$D$41,MATCH($E507,CADASTRO_PIVOS!$B$6:$B$41,0)),"?")</f>
        <v>TR04</v>
      </c>
      <c r="H507" s="20" t="n">
        <f aca="false">IFERROR(INDEX(CADASTRO_PIVOS!$E$6:$E$41,MATCH($E507,CADASTRO_PIVOS!$B$6:$B$41,0)),0)</f>
        <v>99.76</v>
      </c>
      <c r="I507" s="16" t="n">
        <f aca="false">IFERROR(SUMIFS(ROTACAO_RDM!$B$6:$B$71,ROTACAO_RDM!$D$6:$D$71,$E507,ROTACAO_RDM!$I$6:$I$71,"&lt;="&amp;$C507+INT(DIAS_POR_SEMANA/2),ROTACAO_RDM!$J$6:$J$71,"&gt;="&amp;$C507+INT(DIAS_POR_SEMANA/2)),0)</f>
        <v>4</v>
      </c>
      <c r="J507" s="16" t="n">
        <f aca="false">IFERROR(MATCH($I507,ROTACAO_RDM!$B$6:$B$71,0),0)</f>
        <v>4</v>
      </c>
      <c r="K507" s="8" t="str">
        <f aca="false">IF($J507=0,"SEM CULTURA",INDEX(ROTACAO_RDM!$F$6:$F$71,$J507))</f>
        <v>ALGODAO</v>
      </c>
      <c r="L507" s="8" t="str">
        <f aca="false">IF($J507=0,"",INDEX(ROTACAO_RDM!$G$6:$G$71,$J507))</f>
        <v>IMA 707 B3XF</v>
      </c>
      <c r="M507" s="17" t="n">
        <f aca="false">IF($J507=0,"",INDEX(ROTACAO_RDM!$I$6:$I$71,$J507))</f>
        <v>46359</v>
      </c>
      <c r="N507" s="16" t="n">
        <f aca="false">IF($J507=0,0,MAX(0,$C507+INT(DIAS_POR_SEMANA/2)-INDEX(ROTACAO_RDM!$I$6:$I$71,$J507)))</f>
        <v>182</v>
      </c>
      <c r="O507" s="19" t="n">
        <f aca="false">IF($J507=0,0,MIN(1,$N507/MAX(1,INDEX(ROTACAO_RDM!$K$6:$K$71,$J507))))</f>
        <v>0.933333333333333</v>
      </c>
      <c r="P507" s="16" t="n">
        <f aca="false">IF($J507=0,0,IFERROR(MATCH(INDEX(ROTACAO_RDM!$N$6:$N$71,$J507),PARAMETROS_CULTURAS!$B$6:$B$28,0),0))</f>
        <v>5</v>
      </c>
      <c r="Q507" s="8" t="str">
        <f aca="false">IF($P507=0,"-",IF($O507&lt;=INDEX(PARAMETROS_CULTURAS!$F$6:$F$28,$P507),"INICIAL",IF($O507&lt;=INDEX(PARAMETROS_CULTURAS!$F$6:$F$28,$P507)+INDEX(PARAMETROS_CULTURAS!$G$6:$G$28,$P507),"DESENVOLVIMENTO",IF($O507&lt;=INDEX(PARAMETROS_CULTURAS!$F$6:$F$28,$P507)+INDEX(PARAMETROS_CULTURAS!$G$6:$G$28,$P507)+INDEX(PARAMETROS_CULTURAS!$H$6:$H$28,$P507),"MEDIA","FINAL"))))</f>
        <v>FINAL</v>
      </c>
      <c r="R507" s="24" t="n">
        <f aca="false">IF($P507=0,0,IF($O507&lt;=INDEX(PARAMETROS_CULTURAS!$F$6:$F$28,$P507),INDEX(PARAMETROS_CULTURAS!$K$6:$K$28,$P507),IF($O507&lt;=INDEX(PARAMETROS_CULTURAS!$F$6:$F$28,$P507)+INDEX(PARAMETROS_CULTURAS!$G$6:$G$28,$P507),INDEX(PARAMETROS_CULTURAS!$K$6:$K$28,$P507)+(INDEX(PARAMETROS_CULTURAS!$L$6:$L$28,$P507)-INDEX(PARAMETROS_CULTURAS!$K$6:$K$28,$P507))*($O507-INDEX(PARAMETROS_CULTURAS!$F$6:$F$28,$P507))/MAX(INDEX(PARAMETROS_CULTURAS!$G$6:$G$28,$P507),0.0001),IF($O507&lt;=INDEX(PARAMETROS_CULTURAS!$F$6:$F$28,$P507)+INDEX(PARAMETROS_CULTURAS!$G$6:$G$28,$P507)+INDEX(PARAMETROS_CULTURAS!$H$6:$H$28,$P507),INDEX(PARAMETROS_CULTURAS!$L$6:$L$28,$P507),INDEX(PARAMETROS_CULTURAS!$L$6:$L$28,$P507)+(INDEX(PARAMETROS_CULTURAS!$M$6:$M$28,$P507)-INDEX(PARAMETROS_CULTURAS!$L$6:$L$28,$P507))*($O507-INDEX(PARAMETROS_CULTURAS!$F$6:$F$28,$P507)-INDEX(PARAMETROS_CULTURAS!$G$6:$G$28,$P507)-INDEX(PARAMETROS_CULTURAS!$H$6:$H$28,$P507))/MAX(INDEX(PARAMETROS_CULTURAS!$I$6:$I$28,$P507),0.0001)))))</f>
        <v>0.730952380952381</v>
      </c>
      <c r="S507" s="18" t="n">
        <f aca="false">IFERROR(INDEX(SEMANAS!$H$6:$H$71,MATCH($B507,SEMANAS!$B$6:$B$71,0)),0)</f>
        <v>28.2</v>
      </c>
      <c r="T507" s="18" t="n">
        <f aca="false">$R507*$S507</f>
        <v>20.6128571428571</v>
      </c>
      <c r="U507" s="18" t="n">
        <f aca="false">IFERROR(INDEX(SEMANAS!$I$6:$I$71,MATCH($B507,SEMANAS!$B$6:$B$71,0)),0)</f>
        <v>1.5</v>
      </c>
      <c r="V507" s="18" t="n">
        <f aca="false">IFERROR(INDEX(SEMANAS!$J$6:$J$71,MATCH($B507,SEMANAS!$B$6:$B$71,0)),0)</f>
        <v>1.2</v>
      </c>
      <c r="W507" s="18" t="n">
        <f aca="false">MAX(0,$T507-$V507)</f>
        <v>19.4128571428571</v>
      </c>
      <c r="X507" s="19" t="n">
        <f aca="false">IFERROR(INDEX(CADASTRO_PIVOS!$K$6:$K$41,MATCH($E507,CADASTRO_PIVOS!$B$6:$B$41,0)),EFICIENCIA_PADRAO)</f>
        <v>0.85</v>
      </c>
      <c r="Y507" s="18" t="n">
        <f aca="false">IF($X507&lt;=0,0,$W507/$X507)</f>
        <v>22.8386554621849</v>
      </c>
      <c r="Z507" s="16" t="n">
        <f aca="false">$Y507*$H507*MM_PARA_M3_HA</f>
        <v>22783.8426890756</v>
      </c>
      <c r="AA507" s="18" t="n">
        <f aca="false">IFERROR(INDEX(CADASTRO_PIVOS!$I$6:$I$41,MATCH($E507,CADASTRO_PIVOS!$B$6:$B$41,0)),0)</f>
        <v>712.571428571429</v>
      </c>
      <c r="AB507" s="18" t="n">
        <f aca="false">IF($Z507&lt;=0,0,$Z507/$AA507)</f>
        <v>31.9741176470588</v>
      </c>
      <c r="AC507" s="16" t="n">
        <f aca="false">IFERROR(INDEX(SEMANAS!$K$6:$K$71,MATCH($B507,SEMANAS!$B$6:$B$71,0)),0)</f>
        <v>147</v>
      </c>
      <c r="AD507" s="19" t="n">
        <f aca="false">IF($AC507&lt;=0,0,$AB507/$AC507)</f>
        <v>0.217511004401761</v>
      </c>
      <c r="AE507" s="8" t="str">
        <f aca="false">IF($K507="SEM CULTURA","SEM CULTURA",IF($AA507&lt;=0,"DADO PENDENTE",IF($AD507&gt;LIMITE_CRITICO,"INVIAVEL",IF($AD507&gt;LIMITE_ATENCAO,"CRITICO",IF($AD507&gt;LIMITE_CONFORTAVEL,"ATENCAO","OK")))))</f>
        <v>OK</v>
      </c>
      <c r="AF507" s="8" t="str">
        <f aca="false">$B507&amp;"|"&amp;TEXT($AD507,"0.000000")</f>
        <v>40|0.217511</v>
      </c>
      <c r="AG507" s="18" t="n">
        <f aca="false">IF($K507="SEM CULTURA",0,$T507*$H507)</f>
        <v>2056.33862857143</v>
      </c>
      <c r="AH507" s="18" t="n">
        <f aca="false">IF($K507="SEM CULTURA",0,$V507*$H507)</f>
        <v>119.712</v>
      </c>
      <c r="AI507" s="18" t="n">
        <f aca="false">IF($K507="SEM CULTURA",0,$W507*$H507)</f>
        <v>1936.62662857143</v>
      </c>
      <c r="AJ507" s="18" t="n">
        <f aca="false">IF($K507="SEM CULTURA",0,$S507*$H507)</f>
        <v>2813.232</v>
      </c>
      <c r="AK507" s="8" t="str">
        <f aca="false">$E507&amp;"|"&amp;TEXT($AD507,"0.000000")</f>
        <v>PV 103|0.217511</v>
      </c>
    </row>
    <row r="508" customFormat="false" ht="15" hidden="false" customHeight="false" outlineLevel="0" collapsed="false">
      <c r="B508" s="16" t="n">
        <v>41</v>
      </c>
      <c r="C508" s="17" t="n">
        <f aca="false">DATA_INICIO_SAFRA+($B508-1)*DIAS_POR_SEMANA</f>
        <v>46545</v>
      </c>
      <c r="D508" s="17" t="n">
        <f aca="false">$C508+DIAS_POR_SEMANA-1</f>
        <v>46551</v>
      </c>
      <c r="E508" s="15" t="s">
        <v>266</v>
      </c>
      <c r="F508" s="8" t="str">
        <f aca="false">IFERROR(INDEX(CADASTRO_PIVOS!$C$6:$C$41,MATCH($E508,CADASTRO_PIVOS!$B$6:$B$41,0)),"?")</f>
        <v>RM04</v>
      </c>
      <c r="G508" s="8" t="str">
        <f aca="false">IFERROR(INDEX(CADASTRO_PIVOS!$D$6:$D$41,MATCH($E508,CADASTRO_PIVOS!$B$6:$B$41,0)),"?")</f>
        <v>TR04</v>
      </c>
      <c r="H508" s="20" t="n">
        <f aca="false">IFERROR(INDEX(CADASTRO_PIVOS!$E$6:$E$41,MATCH($E508,CADASTRO_PIVOS!$B$6:$B$41,0)),0)</f>
        <v>99.76</v>
      </c>
      <c r="I508" s="16" t="n">
        <f aca="false">IFERROR(SUMIFS(ROTACAO_RDM!$B$6:$B$71,ROTACAO_RDM!$D$6:$D$71,$E508,ROTACAO_RDM!$I$6:$I$71,"&lt;="&amp;$C508+INT(DIAS_POR_SEMANA/2),ROTACAO_RDM!$J$6:$J$71,"&gt;="&amp;$C508+INT(DIAS_POR_SEMANA/2)),0)</f>
        <v>4</v>
      </c>
      <c r="J508" s="16" t="n">
        <f aca="false">IFERROR(MATCH($I508,ROTACAO_RDM!$B$6:$B$71,0),0)</f>
        <v>4</v>
      </c>
      <c r="K508" s="8" t="str">
        <f aca="false">IF($J508=0,"SEM CULTURA",INDEX(ROTACAO_RDM!$F$6:$F$71,$J508))</f>
        <v>ALGODAO</v>
      </c>
      <c r="L508" s="8" t="str">
        <f aca="false">IF($J508=0,"",INDEX(ROTACAO_RDM!$G$6:$G$71,$J508))</f>
        <v>IMA 707 B3XF</v>
      </c>
      <c r="M508" s="17" t="n">
        <f aca="false">IF($J508=0,"",INDEX(ROTACAO_RDM!$I$6:$I$71,$J508))</f>
        <v>46359</v>
      </c>
      <c r="N508" s="16" t="n">
        <f aca="false">IF($J508=0,0,MAX(0,$C508+INT(DIAS_POR_SEMANA/2)-INDEX(ROTACAO_RDM!$I$6:$I$71,$J508)))</f>
        <v>189</v>
      </c>
      <c r="O508" s="19" t="n">
        <f aca="false">IF($J508=0,0,MIN(1,$N508/MAX(1,INDEX(ROTACAO_RDM!$K$6:$K$71,$J508))))</f>
        <v>0.969230769230769</v>
      </c>
      <c r="P508" s="16" t="n">
        <f aca="false">IF($J508=0,0,IFERROR(MATCH(INDEX(ROTACAO_RDM!$N$6:$N$71,$J508),PARAMETROS_CULTURAS!$B$6:$B$28,0),0))</f>
        <v>5</v>
      </c>
      <c r="Q508" s="8" t="str">
        <f aca="false">IF($P508=0,"-",IF($O508&lt;=INDEX(PARAMETROS_CULTURAS!$F$6:$F$28,$P508),"INICIAL",IF($O508&lt;=INDEX(PARAMETROS_CULTURAS!$F$6:$F$28,$P508)+INDEX(PARAMETROS_CULTURAS!$G$6:$G$28,$P508),"DESENVOLVIMENTO",IF($O508&lt;=INDEX(PARAMETROS_CULTURAS!$F$6:$F$28,$P508)+INDEX(PARAMETROS_CULTURAS!$G$6:$G$28,$P508)+INDEX(PARAMETROS_CULTURAS!$H$6:$H$28,$P508),"MEDIA","FINAL"))))</f>
        <v>FINAL</v>
      </c>
      <c r="R508" s="24" t="n">
        <f aca="false">IF($P508=0,0,IF($O508&lt;=INDEX(PARAMETROS_CULTURAS!$F$6:$F$28,$P508),INDEX(PARAMETROS_CULTURAS!$K$6:$K$28,$P508),IF($O508&lt;=INDEX(PARAMETROS_CULTURAS!$F$6:$F$28,$P508)+INDEX(PARAMETROS_CULTURAS!$G$6:$G$28,$P508),INDEX(PARAMETROS_CULTURAS!$K$6:$K$28,$P508)+(INDEX(PARAMETROS_CULTURAS!$L$6:$L$28,$P508)-INDEX(PARAMETROS_CULTURAS!$K$6:$K$28,$P508))*($O508-INDEX(PARAMETROS_CULTURAS!$F$6:$F$28,$P508))/MAX(INDEX(PARAMETROS_CULTURAS!$G$6:$G$28,$P508),0.0001),IF($O508&lt;=INDEX(PARAMETROS_CULTURAS!$F$6:$F$28,$P508)+INDEX(PARAMETROS_CULTURAS!$G$6:$G$28,$P508)+INDEX(PARAMETROS_CULTURAS!$H$6:$H$28,$P508),INDEX(PARAMETROS_CULTURAS!$L$6:$L$28,$P508),INDEX(PARAMETROS_CULTURAS!$L$6:$L$28,$P508)+(INDEX(PARAMETROS_CULTURAS!$M$6:$M$28,$P508)-INDEX(PARAMETROS_CULTURAS!$L$6:$L$28,$P508))*($O508-INDEX(PARAMETROS_CULTURAS!$F$6:$F$28,$P508)-INDEX(PARAMETROS_CULTURAS!$G$6:$G$28,$P508)-INDEX(PARAMETROS_CULTURAS!$H$6:$H$28,$P508))/MAX(INDEX(PARAMETROS_CULTURAS!$I$6:$I$28,$P508),0.0001)))))</f>
        <v>0.660439560439561</v>
      </c>
      <c r="S508" s="18" t="n">
        <f aca="false">IFERROR(INDEX(SEMANAS!$H$6:$H$71,MATCH($B508,SEMANAS!$B$6:$B$71,0)),0)</f>
        <v>28</v>
      </c>
      <c r="T508" s="18" t="n">
        <f aca="false">$R508*$S508</f>
        <v>18.4923076923077</v>
      </c>
      <c r="U508" s="18" t="n">
        <f aca="false">IFERROR(INDEX(SEMANAS!$I$6:$I$71,MATCH($B508,SEMANAS!$B$6:$B$71,0)),0)</f>
        <v>1.19</v>
      </c>
      <c r="V508" s="18" t="n">
        <f aca="false">IFERROR(INDEX(SEMANAS!$J$6:$J$71,MATCH($B508,SEMANAS!$B$6:$B$71,0)),0)</f>
        <v>0.952</v>
      </c>
      <c r="W508" s="18" t="n">
        <f aca="false">MAX(0,$T508-$V508)</f>
        <v>17.5403076923077</v>
      </c>
      <c r="X508" s="19" t="n">
        <f aca="false">IFERROR(INDEX(CADASTRO_PIVOS!$K$6:$K$41,MATCH($E508,CADASTRO_PIVOS!$B$6:$B$41,0)),EFICIENCIA_PADRAO)</f>
        <v>0.85</v>
      </c>
      <c r="Y508" s="18" t="n">
        <f aca="false">IF($X508&lt;=0,0,$W508/$X508)</f>
        <v>20.6356561085973</v>
      </c>
      <c r="Z508" s="16" t="n">
        <f aca="false">$Y508*$H508*MM_PARA_M3_HA</f>
        <v>20586.1305339367</v>
      </c>
      <c r="AA508" s="18" t="n">
        <f aca="false">IFERROR(INDEX(CADASTRO_PIVOS!$I$6:$I$41,MATCH($E508,CADASTRO_PIVOS!$B$6:$B$41,0)),0)</f>
        <v>712.571428571429</v>
      </c>
      <c r="AB508" s="18" t="n">
        <f aca="false">IF($Z508&lt;=0,0,$Z508/$AA508)</f>
        <v>28.8899185520362</v>
      </c>
      <c r="AC508" s="16" t="n">
        <f aca="false">IFERROR(INDEX(SEMANAS!$K$6:$K$71,MATCH($B508,SEMANAS!$B$6:$B$71,0)),0)</f>
        <v>147</v>
      </c>
      <c r="AD508" s="19" t="n">
        <f aca="false">IF($AC508&lt;=0,0,$AB508/$AC508)</f>
        <v>0.196530058177117</v>
      </c>
      <c r="AE508" s="8" t="str">
        <f aca="false">IF($K508="SEM CULTURA","SEM CULTURA",IF($AA508&lt;=0,"DADO PENDENTE",IF($AD508&gt;LIMITE_CRITICO,"INVIAVEL",IF($AD508&gt;LIMITE_ATENCAO,"CRITICO",IF($AD508&gt;LIMITE_CONFORTAVEL,"ATENCAO","OK")))))</f>
        <v>OK</v>
      </c>
      <c r="AF508" s="8" t="str">
        <f aca="false">$B508&amp;"|"&amp;TEXT($AD508,"0.000000")</f>
        <v>41|0.196530</v>
      </c>
      <c r="AG508" s="18" t="n">
        <f aca="false">IF($K508="SEM CULTURA",0,$T508*$H508)</f>
        <v>1844.79261538462</v>
      </c>
      <c r="AH508" s="18" t="n">
        <f aca="false">IF($K508="SEM CULTURA",0,$V508*$H508)</f>
        <v>94.97152</v>
      </c>
      <c r="AI508" s="18" t="n">
        <f aca="false">IF($K508="SEM CULTURA",0,$W508*$H508)</f>
        <v>1749.82109538462</v>
      </c>
      <c r="AJ508" s="18" t="n">
        <f aca="false">IF($K508="SEM CULTURA",0,$S508*$H508)</f>
        <v>2793.28</v>
      </c>
      <c r="AK508" s="8" t="str">
        <f aca="false">$E508&amp;"|"&amp;TEXT($AD508,"0.000000")</f>
        <v>PV 103|0.196530</v>
      </c>
    </row>
    <row r="509" customFormat="false" ht="15" hidden="false" customHeight="false" outlineLevel="0" collapsed="false">
      <c r="B509" s="16" t="n">
        <v>42</v>
      </c>
      <c r="C509" s="17" t="n">
        <f aca="false">DATA_INICIO_SAFRA+($B509-1)*DIAS_POR_SEMANA</f>
        <v>46552</v>
      </c>
      <c r="D509" s="17" t="n">
        <f aca="false">$C509+DIAS_POR_SEMANA-1</f>
        <v>46558</v>
      </c>
      <c r="E509" s="15" t="s">
        <v>266</v>
      </c>
      <c r="F509" s="8" t="str">
        <f aca="false">IFERROR(INDEX(CADASTRO_PIVOS!$C$6:$C$41,MATCH($E509,CADASTRO_PIVOS!$B$6:$B$41,0)),"?")</f>
        <v>RM04</v>
      </c>
      <c r="G509" s="8" t="str">
        <f aca="false">IFERROR(INDEX(CADASTRO_PIVOS!$D$6:$D$41,MATCH($E509,CADASTRO_PIVOS!$B$6:$B$41,0)),"?")</f>
        <v>TR04</v>
      </c>
      <c r="H509" s="20" t="n">
        <f aca="false">IFERROR(INDEX(CADASTRO_PIVOS!$E$6:$E$41,MATCH($E509,CADASTRO_PIVOS!$B$6:$B$41,0)),0)</f>
        <v>99.76</v>
      </c>
      <c r="I509" s="16" t="n">
        <f aca="false">IFERROR(SUMIFS(ROTACAO_RDM!$B$6:$B$71,ROTACAO_RDM!$D$6:$D$71,$E509,ROTACAO_RDM!$I$6:$I$71,"&lt;="&amp;$C509+INT(DIAS_POR_SEMANA/2),ROTACAO_RDM!$J$6:$J$71,"&gt;="&amp;$C509+INT(DIAS_POR_SEMANA/2)),0)</f>
        <v>0</v>
      </c>
      <c r="J509" s="16" t="n">
        <f aca="false">IFERROR(MATCH($I509,ROTACAO_RDM!$B$6:$B$71,0),0)</f>
        <v>0</v>
      </c>
      <c r="K509" s="8" t="str">
        <f aca="false">IF($J509=0,"SEM CULTURA",INDEX(ROTACAO_RDM!$F$6:$F$71,$J509))</f>
        <v>SEM CULTURA</v>
      </c>
      <c r="L509" s="8" t="str">
        <f aca="false">IF($J509=0,"",INDEX(ROTACAO_RDM!$G$6:$G$71,$J509))</f>
        <v/>
      </c>
      <c r="M509" s="17" t="str">
        <f aca="false">IF($J509=0,"",INDEX(ROTACAO_RDM!$I$6:$I$71,$J509))</f>
        <v/>
      </c>
      <c r="N509" s="16" t="n">
        <f aca="false">IF($J509=0,0,MAX(0,$C509+INT(DIAS_POR_SEMANA/2)-INDEX(ROTACAO_RDM!$I$6:$I$71,$J509)))</f>
        <v>0</v>
      </c>
      <c r="O509" s="19" t="n">
        <f aca="false">IF($J509=0,0,MIN(1,$N509/MAX(1,INDEX(ROTACAO_RDM!$K$6:$K$71,$J509))))</f>
        <v>0</v>
      </c>
      <c r="P509" s="16" t="n">
        <f aca="false">IF($J509=0,0,IFERROR(MATCH(INDEX(ROTACAO_RDM!$N$6:$N$71,$J509),PARAMETROS_CULTURAS!$B$6:$B$28,0),0))</f>
        <v>0</v>
      </c>
      <c r="Q509" s="8" t="str">
        <f aca="false">IF($P509=0,"-",IF($O509&lt;=INDEX(PARAMETROS_CULTURAS!$F$6:$F$28,$P509),"INICIAL",IF($O509&lt;=INDEX(PARAMETROS_CULTURAS!$F$6:$F$28,$P509)+INDEX(PARAMETROS_CULTURAS!$G$6:$G$28,$P509),"DESENVOLVIMENTO",IF($O509&lt;=INDEX(PARAMETROS_CULTURAS!$F$6:$F$28,$P509)+INDEX(PARAMETROS_CULTURAS!$G$6:$G$28,$P509)+INDEX(PARAMETROS_CULTURAS!$H$6:$H$28,$P509),"MEDIA","FINAL"))))</f>
        <v>-</v>
      </c>
      <c r="R509" s="24" t="n">
        <f aca="false">IF($P509=0,0,IF($O509&lt;=INDEX(PARAMETROS_CULTURAS!$F$6:$F$28,$P509),INDEX(PARAMETROS_CULTURAS!$K$6:$K$28,$P509),IF($O509&lt;=INDEX(PARAMETROS_CULTURAS!$F$6:$F$28,$P509)+INDEX(PARAMETROS_CULTURAS!$G$6:$G$28,$P509),INDEX(PARAMETROS_CULTURAS!$K$6:$K$28,$P509)+(INDEX(PARAMETROS_CULTURAS!$L$6:$L$28,$P509)-INDEX(PARAMETROS_CULTURAS!$K$6:$K$28,$P509))*($O509-INDEX(PARAMETROS_CULTURAS!$F$6:$F$28,$P509))/MAX(INDEX(PARAMETROS_CULTURAS!$G$6:$G$28,$P509),0.0001),IF($O509&lt;=INDEX(PARAMETROS_CULTURAS!$F$6:$F$28,$P509)+INDEX(PARAMETROS_CULTURAS!$G$6:$G$28,$P509)+INDEX(PARAMETROS_CULTURAS!$H$6:$H$28,$P509),INDEX(PARAMETROS_CULTURAS!$L$6:$L$28,$P509),INDEX(PARAMETROS_CULTURAS!$L$6:$L$28,$P509)+(INDEX(PARAMETROS_CULTURAS!$M$6:$M$28,$P509)-INDEX(PARAMETROS_CULTURAS!$L$6:$L$28,$P509))*($O509-INDEX(PARAMETROS_CULTURAS!$F$6:$F$28,$P509)-INDEX(PARAMETROS_CULTURAS!$G$6:$G$28,$P509)-INDEX(PARAMETROS_CULTURAS!$H$6:$H$28,$P509))/MAX(INDEX(PARAMETROS_CULTURAS!$I$6:$I$28,$P509),0.0001)))))</f>
        <v>0</v>
      </c>
      <c r="S509" s="18" t="n">
        <f aca="false">IFERROR(INDEX(SEMANAS!$H$6:$H$71,MATCH($B509,SEMANAS!$B$6:$B$71,0)),0)</f>
        <v>28</v>
      </c>
      <c r="T509" s="18" t="n">
        <f aca="false">$R509*$S509</f>
        <v>0</v>
      </c>
      <c r="U509" s="18" t="n">
        <f aca="false">IFERROR(INDEX(SEMANAS!$I$6:$I$71,MATCH($B509,SEMANAS!$B$6:$B$71,0)),0)</f>
        <v>1.19</v>
      </c>
      <c r="V509" s="18" t="n">
        <f aca="false">IFERROR(INDEX(SEMANAS!$J$6:$J$71,MATCH($B509,SEMANAS!$B$6:$B$71,0)),0)</f>
        <v>0.952</v>
      </c>
      <c r="W509" s="18" t="n">
        <f aca="false">MAX(0,$T509-$V509)</f>
        <v>0</v>
      </c>
      <c r="X509" s="19" t="n">
        <f aca="false">IFERROR(INDEX(CADASTRO_PIVOS!$K$6:$K$41,MATCH($E509,CADASTRO_PIVOS!$B$6:$B$41,0)),EFICIENCIA_PADRAO)</f>
        <v>0.85</v>
      </c>
      <c r="Y509" s="18" t="n">
        <f aca="false">IF($X509&lt;=0,0,$W509/$X509)</f>
        <v>0</v>
      </c>
      <c r="Z509" s="16" t="n">
        <f aca="false">$Y509*$H509*MM_PARA_M3_HA</f>
        <v>0</v>
      </c>
      <c r="AA509" s="18" t="n">
        <f aca="false">IFERROR(INDEX(CADASTRO_PIVOS!$I$6:$I$41,MATCH($E509,CADASTRO_PIVOS!$B$6:$B$41,0)),0)</f>
        <v>712.571428571429</v>
      </c>
      <c r="AB509" s="18" t="n">
        <f aca="false">IF($Z509&lt;=0,0,$Z509/$AA509)</f>
        <v>0</v>
      </c>
      <c r="AC509" s="16" t="n">
        <f aca="false">IFERROR(INDEX(SEMANAS!$K$6:$K$71,MATCH($B509,SEMANAS!$B$6:$B$71,0)),0)</f>
        <v>147</v>
      </c>
      <c r="AD509" s="19" t="n">
        <f aca="false">IF($AC509&lt;=0,0,$AB509/$AC509)</f>
        <v>0</v>
      </c>
      <c r="AE509" s="8" t="str">
        <f aca="false">IF($K509="SEM CULTURA","SEM CULTURA",IF($AA509&lt;=0,"DADO PENDENTE",IF($AD509&gt;LIMITE_CRITICO,"INVIAVEL",IF($AD509&gt;LIMITE_ATENCAO,"CRITICO",IF($AD509&gt;LIMITE_CONFORTAVEL,"ATENCAO","OK")))))</f>
        <v>SEM CULTURA</v>
      </c>
      <c r="AF509" s="8" t="str">
        <f aca="false">$B509&amp;"|"&amp;TEXT($AD509,"0.000000")</f>
        <v>42|0.000000</v>
      </c>
      <c r="AG509" s="18" t="n">
        <f aca="false">IF($K509="SEM CULTURA",0,$T509*$H509)</f>
        <v>0</v>
      </c>
      <c r="AH509" s="18" t="n">
        <f aca="false">IF($K509="SEM CULTURA",0,$V509*$H509)</f>
        <v>0</v>
      </c>
      <c r="AI509" s="18" t="n">
        <f aca="false">IF($K509="SEM CULTURA",0,$W509*$H509)</f>
        <v>0</v>
      </c>
      <c r="AJ509" s="18" t="n">
        <f aca="false">IF($K509="SEM CULTURA",0,$S509*$H509)</f>
        <v>0</v>
      </c>
      <c r="AK509" s="8" t="str">
        <f aca="false">$E509&amp;"|"&amp;TEXT($AD509,"0.000000")</f>
        <v>PV 103|0.000000</v>
      </c>
    </row>
    <row r="510" customFormat="false" ht="15" hidden="false" customHeight="false" outlineLevel="0" collapsed="false">
      <c r="B510" s="16" t="n">
        <v>43</v>
      </c>
      <c r="C510" s="17" t="n">
        <f aca="false">DATA_INICIO_SAFRA+($B510-1)*DIAS_POR_SEMANA</f>
        <v>46559</v>
      </c>
      <c r="D510" s="17" t="n">
        <f aca="false">$C510+DIAS_POR_SEMANA-1</f>
        <v>46565</v>
      </c>
      <c r="E510" s="15" t="s">
        <v>266</v>
      </c>
      <c r="F510" s="8" t="str">
        <f aca="false">IFERROR(INDEX(CADASTRO_PIVOS!$C$6:$C$41,MATCH($E510,CADASTRO_PIVOS!$B$6:$B$41,0)),"?")</f>
        <v>RM04</v>
      </c>
      <c r="G510" s="8" t="str">
        <f aca="false">IFERROR(INDEX(CADASTRO_PIVOS!$D$6:$D$41,MATCH($E510,CADASTRO_PIVOS!$B$6:$B$41,0)),"?")</f>
        <v>TR04</v>
      </c>
      <c r="H510" s="20" t="n">
        <f aca="false">IFERROR(INDEX(CADASTRO_PIVOS!$E$6:$E$41,MATCH($E510,CADASTRO_PIVOS!$B$6:$B$41,0)),0)</f>
        <v>99.76</v>
      </c>
      <c r="I510" s="16" t="n">
        <f aca="false">IFERROR(SUMIFS(ROTACAO_RDM!$B$6:$B$71,ROTACAO_RDM!$D$6:$D$71,$E510,ROTACAO_RDM!$I$6:$I$71,"&lt;="&amp;$C510+INT(DIAS_POR_SEMANA/2),ROTACAO_RDM!$J$6:$J$71,"&gt;="&amp;$C510+INT(DIAS_POR_SEMANA/2)),0)</f>
        <v>0</v>
      </c>
      <c r="J510" s="16" t="n">
        <f aca="false">IFERROR(MATCH($I510,ROTACAO_RDM!$B$6:$B$71,0),0)</f>
        <v>0</v>
      </c>
      <c r="K510" s="8" t="str">
        <f aca="false">IF($J510=0,"SEM CULTURA",INDEX(ROTACAO_RDM!$F$6:$F$71,$J510))</f>
        <v>SEM CULTURA</v>
      </c>
      <c r="L510" s="8" t="str">
        <f aca="false">IF($J510=0,"",INDEX(ROTACAO_RDM!$G$6:$G$71,$J510))</f>
        <v/>
      </c>
      <c r="M510" s="17" t="str">
        <f aca="false">IF($J510=0,"",INDEX(ROTACAO_RDM!$I$6:$I$71,$J510))</f>
        <v/>
      </c>
      <c r="N510" s="16" t="n">
        <f aca="false">IF($J510=0,0,MAX(0,$C510+INT(DIAS_POR_SEMANA/2)-INDEX(ROTACAO_RDM!$I$6:$I$71,$J510)))</f>
        <v>0</v>
      </c>
      <c r="O510" s="19" t="n">
        <f aca="false">IF($J510=0,0,MIN(1,$N510/MAX(1,INDEX(ROTACAO_RDM!$K$6:$K$71,$J510))))</f>
        <v>0</v>
      </c>
      <c r="P510" s="16" t="n">
        <f aca="false">IF($J510=0,0,IFERROR(MATCH(INDEX(ROTACAO_RDM!$N$6:$N$71,$J510),PARAMETROS_CULTURAS!$B$6:$B$28,0),0))</f>
        <v>0</v>
      </c>
      <c r="Q510" s="8" t="str">
        <f aca="false">IF($P510=0,"-",IF($O510&lt;=INDEX(PARAMETROS_CULTURAS!$F$6:$F$28,$P510),"INICIAL",IF($O510&lt;=INDEX(PARAMETROS_CULTURAS!$F$6:$F$28,$P510)+INDEX(PARAMETROS_CULTURAS!$G$6:$G$28,$P510),"DESENVOLVIMENTO",IF($O510&lt;=INDEX(PARAMETROS_CULTURAS!$F$6:$F$28,$P510)+INDEX(PARAMETROS_CULTURAS!$G$6:$G$28,$P510)+INDEX(PARAMETROS_CULTURAS!$H$6:$H$28,$P510),"MEDIA","FINAL"))))</f>
        <v>-</v>
      </c>
      <c r="R510" s="24" t="n">
        <f aca="false">IF($P510=0,0,IF($O510&lt;=INDEX(PARAMETROS_CULTURAS!$F$6:$F$28,$P510),INDEX(PARAMETROS_CULTURAS!$K$6:$K$28,$P510),IF($O510&lt;=INDEX(PARAMETROS_CULTURAS!$F$6:$F$28,$P510)+INDEX(PARAMETROS_CULTURAS!$G$6:$G$28,$P510),INDEX(PARAMETROS_CULTURAS!$K$6:$K$28,$P510)+(INDEX(PARAMETROS_CULTURAS!$L$6:$L$28,$P510)-INDEX(PARAMETROS_CULTURAS!$K$6:$K$28,$P510))*($O510-INDEX(PARAMETROS_CULTURAS!$F$6:$F$28,$P510))/MAX(INDEX(PARAMETROS_CULTURAS!$G$6:$G$28,$P510),0.0001),IF($O510&lt;=INDEX(PARAMETROS_CULTURAS!$F$6:$F$28,$P510)+INDEX(PARAMETROS_CULTURAS!$G$6:$G$28,$P510)+INDEX(PARAMETROS_CULTURAS!$H$6:$H$28,$P510),INDEX(PARAMETROS_CULTURAS!$L$6:$L$28,$P510),INDEX(PARAMETROS_CULTURAS!$L$6:$L$28,$P510)+(INDEX(PARAMETROS_CULTURAS!$M$6:$M$28,$P510)-INDEX(PARAMETROS_CULTURAS!$L$6:$L$28,$P510))*($O510-INDEX(PARAMETROS_CULTURAS!$F$6:$F$28,$P510)-INDEX(PARAMETROS_CULTURAS!$G$6:$G$28,$P510)-INDEX(PARAMETROS_CULTURAS!$H$6:$H$28,$P510))/MAX(INDEX(PARAMETROS_CULTURAS!$I$6:$I$28,$P510),0.0001)))))</f>
        <v>0</v>
      </c>
      <c r="S510" s="18" t="n">
        <f aca="false">IFERROR(INDEX(SEMANAS!$H$6:$H$71,MATCH($B510,SEMANAS!$B$6:$B$71,0)),0)</f>
        <v>28</v>
      </c>
      <c r="T510" s="18" t="n">
        <f aca="false">$R510*$S510</f>
        <v>0</v>
      </c>
      <c r="U510" s="18" t="n">
        <f aca="false">IFERROR(INDEX(SEMANAS!$I$6:$I$71,MATCH($B510,SEMANAS!$B$6:$B$71,0)),0)</f>
        <v>1.19</v>
      </c>
      <c r="V510" s="18" t="n">
        <f aca="false">IFERROR(INDEX(SEMANAS!$J$6:$J$71,MATCH($B510,SEMANAS!$B$6:$B$71,0)),0)</f>
        <v>0.952</v>
      </c>
      <c r="W510" s="18" t="n">
        <f aca="false">MAX(0,$T510-$V510)</f>
        <v>0</v>
      </c>
      <c r="X510" s="19" t="n">
        <f aca="false">IFERROR(INDEX(CADASTRO_PIVOS!$K$6:$K$41,MATCH($E510,CADASTRO_PIVOS!$B$6:$B$41,0)),EFICIENCIA_PADRAO)</f>
        <v>0.85</v>
      </c>
      <c r="Y510" s="18" t="n">
        <f aca="false">IF($X510&lt;=0,0,$W510/$X510)</f>
        <v>0</v>
      </c>
      <c r="Z510" s="16" t="n">
        <f aca="false">$Y510*$H510*MM_PARA_M3_HA</f>
        <v>0</v>
      </c>
      <c r="AA510" s="18" t="n">
        <f aca="false">IFERROR(INDEX(CADASTRO_PIVOS!$I$6:$I$41,MATCH($E510,CADASTRO_PIVOS!$B$6:$B$41,0)),0)</f>
        <v>712.571428571429</v>
      </c>
      <c r="AB510" s="18" t="n">
        <f aca="false">IF($Z510&lt;=0,0,$Z510/$AA510)</f>
        <v>0</v>
      </c>
      <c r="AC510" s="16" t="n">
        <f aca="false">IFERROR(INDEX(SEMANAS!$K$6:$K$71,MATCH($B510,SEMANAS!$B$6:$B$71,0)),0)</f>
        <v>147</v>
      </c>
      <c r="AD510" s="19" t="n">
        <f aca="false">IF($AC510&lt;=0,0,$AB510/$AC510)</f>
        <v>0</v>
      </c>
      <c r="AE510" s="8" t="str">
        <f aca="false">IF($K510="SEM CULTURA","SEM CULTURA",IF($AA510&lt;=0,"DADO PENDENTE",IF($AD510&gt;LIMITE_CRITICO,"INVIAVEL",IF($AD510&gt;LIMITE_ATENCAO,"CRITICO",IF($AD510&gt;LIMITE_CONFORTAVEL,"ATENCAO","OK")))))</f>
        <v>SEM CULTURA</v>
      </c>
      <c r="AF510" s="8" t="str">
        <f aca="false">$B510&amp;"|"&amp;TEXT($AD510,"0.000000")</f>
        <v>43|0.000000</v>
      </c>
      <c r="AG510" s="18" t="n">
        <f aca="false">IF($K510="SEM CULTURA",0,$T510*$H510)</f>
        <v>0</v>
      </c>
      <c r="AH510" s="18" t="n">
        <f aca="false">IF($K510="SEM CULTURA",0,$V510*$H510)</f>
        <v>0</v>
      </c>
      <c r="AI510" s="18" t="n">
        <f aca="false">IF($K510="SEM CULTURA",0,$W510*$H510)</f>
        <v>0</v>
      </c>
      <c r="AJ510" s="18" t="n">
        <f aca="false">IF($K510="SEM CULTURA",0,$S510*$H510)</f>
        <v>0</v>
      </c>
      <c r="AK510" s="8" t="str">
        <f aca="false">$E510&amp;"|"&amp;TEXT($AD510,"0.000000")</f>
        <v>PV 103|0.000000</v>
      </c>
    </row>
    <row r="511" customFormat="false" ht="15" hidden="false" customHeight="false" outlineLevel="0" collapsed="false">
      <c r="B511" s="16" t="n">
        <v>44</v>
      </c>
      <c r="C511" s="17" t="n">
        <f aca="false">DATA_INICIO_SAFRA+($B511-1)*DIAS_POR_SEMANA</f>
        <v>46566</v>
      </c>
      <c r="D511" s="17" t="n">
        <f aca="false">$C511+DIAS_POR_SEMANA-1</f>
        <v>46572</v>
      </c>
      <c r="E511" s="15" t="s">
        <v>266</v>
      </c>
      <c r="F511" s="8" t="str">
        <f aca="false">IFERROR(INDEX(CADASTRO_PIVOS!$C$6:$C$41,MATCH($E511,CADASTRO_PIVOS!$B$6:$B$41,0)),"?")</f>
        <v>RM04</v>
      </c>
      <c r="G511" s="8" t="str">
        <f aca="false">IFERROR(INDEX(CADASTRO_PIVOS!$D$6:$D$41,MATCH($E511,CADASTRO_PIVOS!$B$6:$B$41,0)),"?")</f>
        <v>TR04</v>
      </c>
      <c r="H511" s="20" t="n">
        <f aca="false">IFERROR(INDEX(CADASTRO_PIVOS!$E$6:$E$41,MATCH($E511,CADASTRO_PIVOS!$B$6:$B$41,0)),0)</f>
        <v>99.76</v>
      </c>
      <c r="I511" s="16" t="n">
        <f aca="false">IFERROR(SUMIFS(ROTACAO_RDM!$B$6:$B$71,ROTACAO_RDM!$D$6:$D$71,$E511,ROTACAO_RDM!$I$6:$I$71,"&lt;="&amp;$C511+INT(DIAS_POR_SEMANA/2),ROTACAO_RDM!$J$6:$J$71,"&gt;="&amp;$C511+INT(DIAS_POR_SEMANA/2)),0)</f>
        <v>0</v>
      </c>
      <c r="J511" s="16" t="n">
        <f aca="false">IFERROR(MATCH($I511,ROTACAO_RDM!$B$6:$B$71,0),0)</f>
        <v>0</v>
      </c>
      <c r="K511" s="8" t="str">
        <f aca="false">IF($J511=0,"SEM CULTURA",INDEX(ROTACAO_RDM!$F$6:$F$71,$J511))</f>
        <v>SEM CULTURA</v>
      </c>
      <c r="L511" s="8" t="str">
        <f aca="false">IF($J511=0,"",INDEX(ROTACAO_RDM!$G$6:$G$71,$J511))</f>
        <v/>
      </c>
      <c r="M511" s="17" t="str">
        <f aca="false">IF($J511=0,"",INDEX(ROTACAO_RDM!$I$6:$I$71,$J511))</f>
        <v/>
      </c>
      <c r="N511" s="16" t="n">
        <f aca="false">IF($J511=0,0,MAX(0,$C511+INT(DIAS_POR_SEMANA/2)-INDEX(ROTACAO_RDM!$I$6:$I$71,$J511)))</f>
        <v>0</v>
      </c>
      <c r="O511" s="19" t="n">
        <f aca="false">IF($J511=0,0,MIN(1,$N511/MAX(1,INDEX(ROTACAO_RDM!$K$6:$K$71,$J511))))</f>
        <v>0</v>
      </c>
      <c r="P511" s="16" t="n">
        <f aca="false">IF($J511=0,0,IFERROR(MATCH(INDEX(ROTACAO_RDM!$N$6:$N$71,$J511),PARAMETROS_CULTURAS!$B$6:$B$28,0),0))</f>
        <v>0</v>
      </c>
      <c r="Q511" s="8" t="str">
        <f aca="false">IF($P511=0,"-",IF($O511&lt;=INDEX(PARAMETROS_CULTURAS!$F$6:$F$28,$P511),"INICIAL",IF($O511&lt;=INDEX(PARAMETROS_CULTURAS!$F$6:$F$28,$P511)+INDEX(PARAMETROS_CULTURAS!$G$6:$G$28,$P511),"DESENVOLVIMENTO",IF($O511&lt;=INDEX(PARAMETROS_CULTURAS!$F$6:$F$28,$P511)+INDEX(PARAMETROS_CULTURAS!$G$6:$G$28,$P511)+INDEX(PARAMETROS_CULTURAS!$H$6:$H$28,$P511),"MEDIA","FINAL"))))</f>
        <v>-</v>
      </c>
      <c r="R511" s="24" t="n">
        <f aca="false">IF($P511=0,0,IF($O511&lt;=INDEX(PARAMETROS_CULTURAS!$F$6:$F$28,$P511),INDEX(PARAMETROS_CULTURAS!$K$6:$K$28,$P511),IF($O511&lt;=INDEX(PARAMETROS_CULTURAS!$F$6:$F$28,$P511)+INDEX(PARAMETROS_CULTURAS!$G$6:$G$28,$P511),INDEX(PARAMETROS_CULTURAS!$K$6:$K$28,$P511)+(INDEX(PARAMETROS_CULTURAS!$L$6:$L$28,$P511)-INDEX(PARAMETROS_CULTURAS!$K$6:$K$28,$P511))*($O511-INDEX(PARAMETROS_CULTURAS!$F$6:$F$28,$P511))/MAX(INDEX(PARAMETROS_CULTURAS!$G$6:$G$28,$P511),0.0001),IF($O511&lt;=INDEX(PARAMETROS_CULTURAS!$F$6:$F$28,$P511)+INDEX(PARAMETROS_CULTURAS!$G$6:$G$28,$P511)+INDEX(PARAMETROS_CULTURAS!$H$6:$H$28,$P511),INDEX(PARAMETROS_CULTURAS!$L$6:$L$28,$P511),INDEX(PARAMETROS_CULTURAS!$L$6:$L$28,$P511)+(INDEX(PARAMETROS_CULTURAS!$M$6:$M$28,$P511)-INDEX(PARAMETROS_CULTURAS!$L$6:$L$28,$P511))*($O511-INDEX(PARAMETROS_CULTURAS!$F$6:$F$28,$P511)-INDEX(PARAMETROS_CULTURAS!$G$6:$G$28,$P511)-INDEX(PARAMETROS_CULTURAS!$H$6:$H$28,$P511))/MAX(INDEX(PARAMETROS_CULTURAS!$I$6:$I$28,$P511),0.0001)))))</f>
        <v>0</v>
      </c>
      <c r="S511" s="18" t="n">
        <f aca="false">IFERROR(INDEX(SEMANAS!$H$6:$H$71,MATCH($B511,SEMANAS!$B$6:$B$71,0)),0)</f>
        <v>29.2</v>
      </c>
      <c r="T511" s="18" t="n">
        <f aca="false">$R511*$S511</f>
        <v>0</v>
      </c>
      <c r="U511" s="18" t="n">
        <f aca="false">IFERROR(INDEX(SEMANAS!$I$6:$I$71,MATCH($B511,SEMANAS!$B$6:$B$71,0)),0)</f>
        <v>0.91</v>
      </c>
      <c r="V511" s="18" t="n">
        <f aca="false">IFERROR(INDEX(SEMANAS!$J$6:$J$71,MATCH($B511,SEMANAS!$B$6:$B$71,0)),0)</f>
        <v>0.728</v>
      </c>
      <c r="W511" s="18" t="n">
        <f aca="false">MAX(0,$T511-$V511)</f>
        <v>0</v>
      </c>
      <c r="X511" s="19" t="n">
        <f aca="false">IFERROR(INDEX(CADASTRO_PIVOS!$K$6:$K$41,MATCH($E511,CADASTRO_PIVOS!$B$6:$B$41,0)),EFICIENCIA_PADRAO)</f>
        <v>0.85</v>
      </c>
      <c r="Y511" s="18" t="n">
        <f aca="false">IF($X511&lt;=0,0,$W511/$X511)</f>
        <v>0</v>
      </c>
      <c r="Z511" s="16" t="n">
        <f aca="false">$Y511*$H511*MM_PARA_M3_HA</f>
        <v>0</v>
      </c>
      <c r="AA511" s="18" t="n">
        <f aca="false">IFERROR(INDEX(CADASTRO_PIVOS!$I$6:$I$41,MATCH($E511,CADASTRO_PIVOS!$B$6:$B$41,0)),0)</f>
        <v>712.571428571429</v>
      </c>
      <c r="AB511" s="18" t="n">
        <f aca="false">IF($Z511&lt;=0,0,$Z511/$AA511)</f>
        <v>0</v>
      </c>
      <c r="AC511" s="16" t="n">
        <f aca="false">IFERROR(INDEX(SEMANAS!$K$6:$K$71,MATCH($B511,SEMANAS!$B$6:$B$71,0)),0)</f>
        <v>147</v>
      </c>
      <c r="AD511" s="19" t="n">
        <f aca="false">IF($AC511&lt;=0,0,$AB511/$AC511)</f>
        <v>0</v>
      </c>
      <c r="AE511" s="8" t="str">
        <f aca="false">IF($K511="SEM CULTURA","SEM CULTURA",IF($AA511&lt;=0,"DADO PENDENTE",IF($AD511&gt;LIMITE_CRITICO,"INVIAVEL",IF($AD511&gt;LIMITE_ATENCAO,"CRITICO",IF($AD511&gt;LIMITE_CONFORTAVEL,"ATENCAO","OK")))))</f>
        <v>SEM CULTURA</v>
      </c>
      <c r="AF511" s="8" t="str">
        <f aca="false">$B511&amp;"|"&amp;TEXT($AD511,"0.000000")</f>
        <v>44|0.000000</v>
      </c>
      <c r="AG511" s="18" t="n">
        <f aca="false">IF($K511="SEM CULTURA",0,$T511*$H511)</f>
        <v>0</v>
      </c>
      <c r="AH511" s="18" t="n">
        <f aca="false">IF($K511="SEM CULTURA",0,$V511*$H511)</f>
        <v>0</v>
      </c>
      <c r="AI511" s="18" t="n">
        <f aca="false">IF($K511="SEM CULTURA",0,$W511*$H511)</f>
        <v>0</v>
      </c>
      <c r="AJ511" s="18" t="n">
        <f aca="false">IF($K511="SEM CULTURA",0,$S511*$H511)</f>
        <v>0</v>
      </c>
      <c r="AK511" s="8" t="str">
        <f aca="false">$E511&amp;"|"&amp;TEXT($AD511,"0.000000")</f>
        <v>PV 103|0.000000</v>
      </c>
    </row>
    <row r="512" customFormat="false" ht="15" hidden="false" customHeight="false" outlineLevel="0" collapsed="false">
      <c r="B512" s="16" t="n">
        <v>45</v>
      </c>
      <c r="C512" s="17" t="n">
        <f aca="false">DATA_INICIO_SAFRA+($B512-1)*DIAS_POR_SEMANA</f>
        <v>46573</v>
      </c>
      <c r="D512" s="17" t="n">
        <f aca="false">$C512+DIAS_POR_SEMANA-1</f>
        <v>46579</v>
      </c>
      <c r="E512" s="15" t="s">
        <v>266</v>
      </c>
      <c r="F512" s="8" t="str">
        <f aca="false">IFERROR(INDEX(CADASTRO_PIVOS!$C$6:$C$41,MATCH($E512,CADASTRO_PIVOS!$B$6:$B$41,0)),"?")</f>
        <v>RM04</v>
      </c>
      <c r="G512" s="8" t="str">
        <f aca="false">IFERROR(INDEX(CADASTRO_PIVOS!$D$6:$D$41,MATCH($E512,CADASTRO_PIVOS!$B$6:$B$41,0)),"?")</f>
        <v>TR04</v>
      </c>
      <c r="H512" s="20" t="n">
        <f aca="false">IFERROR(INDEX(CADASTRO_PIVOS!$E$6:$E$41,MATCH($E512,CADASTRO_PIVOS!$B$6:$B$41,0)),0)</f>
        <v>99.76</v>
      </c>
      <c r="I512" s="16" t="n">
        <f aca="false">IFERROR(SUMIFS(ROTACAO_RDM!$B$6:$B$71,ROTACAO_RDM!$D$6:$D$71,$E512,ROTACAO_RDM!$I$6:$I$71,"&lt;="&amp;$C512+INT(DIAS_POR_SEMANA/2),ROTACAO_RDM!$J$6:$J$71,"&gt;="&amp;$C512+INT(DIAS_POR_SEMANA/2)),0)</f>
        <v>0</v>
      </c>
      <c r="J512" s="16" t="n">
        <f aca="false">IFERROR(MATCH($I512,ROTACAO_RDM!$B$6:$B$71,0),0)</f>
        <v>0</v>
      </c>
      <c r="K512" s="8" t="str">
        <f aca="false">IF($J512=0,"SEM CULTURA",INDEX(ROTACAO_RDM!$F$6:$F$71,$J512))</f>
        <v>SEM CULTURA</v>
      </c>
      <c r="L512" s="8" t="str">
        <f aca="false">IF($J512=0,"",INDEX(ROTACAO_RDM!$G$6:$G$71,$J512))</f>
        <v/>
      </c>
      <c r="M512" s="17" t="str">
        <f aca="false">IF($J512=0,"",INDEX(ROTACAO_RDM!$I$6:$I$71,$J512))</f>
        <v/>
      </c>
      <c r="N512" s="16" t="n">
        <f aca="false">IF($J512=0,0,MAX(0,$C512+INT(DIAS_POR_SEMANA/2)-INDEX(ROTACAO_RDM!$I$6:$I$71,$J512)))</f>
        <v>0</v>
      </c>
      <c r="O512" s="19" t="n">
        <f aca="false">IF($J512=0,0,MIN(1,$N512/MAX(1,INDEX(ROTACAO_RDM!$K$6:$K$71,$J512))))</f>
        <v>0</v>
      </c>
      <c r="P512" s="16" t="n">
        <f aca="false">IF($J512=0,0,IFERROR(MATCH(INDEX(ROTACAO_RDM!$N$6:$N$71,$J512),PARAMETROS_CULTURAS!$B$6:$B$28,0),0))</f>
        <v>0</v>
      </c>
      <c r="Q512" s="8" t="str">
        <f aca="false">IF($P512=0,"-",IF($O512&lt;=INDEX(PARAMETROS_CULTURAS!$F$6:$F$28,$P512),"INICIAL",IF($O512&lt;=INDEX(PARAMETROS_CULTURAS!$F$6:$F$28,$P512)+INDEX(PARAMETROS_CULTURAS!$G$6:$G$28,$P512),"DESENVOLVIMENTO",IF($O512&lt;=INDEX(PARAMETROS_CULTURAS!$F$6:$F$28,$P512)+INDEX(PARAMETROS_CULTURAS!$G$6:$G$28,$P512)+INDEX(PARAMETROS_CULTURAS!$H$6:$H$28,$P512),"MEDIA","FINAL"))))</f>
        <v>-</v>
      </c>
      <c r="R512" s="24" t="n">
        <f aca="false">IF($P512=0,0,IF($O512&lt;=INDEX(PARAMETROS_CULTURAS!$F$6:$F$28,$P512),INDEX(PARAMETROS_CULTURAS!$K$6:$K$28,$P512),IF($O512&lt;=INDEX(PARAMETROS_CULTURAS!$F$6:$F$28,$P512)+INDEX(PARAMETROS_CULTURAS!$G$6:$G$28,$P512),INDEX(PARAMETROS_CULTURAS!$K$6:$K$28,$P512)+(INDEX(PARAMETROS_CULTURAS!$L$6:$L$28,$P512)-INDEX(PARAMETROS_CULTURAS!$K$6:$K$28,$P512))*($O512-INDEX(PARAMETROS_CULTURAS!$F$6:$F$28,$P512))/MAX(INDEX(PARAMETROS_CULTURAS!$G$6:$G$28,$P512),0.0001),IF($O512&lt;=INDEX(PARAMETROS_CULTURAS!$F$6:$F$28,$P512)+INDEX(PARAMETROS_CULTURAS!$G$6:$G$28,$P512)+INDEX(PARAMETROS_CULTURAS!$H$6:$H$28,$P512),INDEX(PARAMETROS_CULTURAS!$L$6:$L$28,$P512),INDEX(PARAMETROS_CULTURAS!$L$6:$L$28,$P512)+(INDEX(PARAMETROS_CULTURAS!$M$6:$M$28,$P512)-INDEX(PARAMETROS_CULTURAS!$L$6:$L$28,$P512))*($O512-INDEX(PARAMETROS_CULTURAS!$F$6:$F$28,$P512)-INDEX(PARAMETROS_CULTURAS!$G$6:$G$28,$P512)-INDEX(PARAMETROS_CULTURAS!$H$6:$H$28,$P512))/MAX(INDEX(PARAMETROS_CULTURAS!$I$6:$I$28,$P512),0.0001)))))</f>
        <v>0</v>
      </c>
      <c r="S512" s="18" t="n">
        <f aca="false">IFERROR(INDEX(SEMANAS!$H$6:$H$71,MATCH($B512,SEMANAS!$B$6:$B$71,0)),0)</f>
        <v>30.1</v>
      </c>
      <c r="T512" s="18" t="n">
        <f aca="false">$R512*$S512</f>
        <v>0</v>
      </c>
      <c r="U512" s="18" t="n">
        <f aca="false">IFERROR(INDEX(SEMANAS!$I$6:$I$71,MATCH($B512,SEMANAS!$B$6:$B$71,0)),0)</f>
        <v>0.7</v>
      </c>
      <c r="V512" s="18" t="n">
        <f aca="false">IFERROR(INDEX(SEMANAS!$J$6:$J$71,MATCH($B512,SEMANAS!$B$6:$B$71,0)),0)</f>
        <v>0.56</v>
      </c>
      <c r="W512" s="18" t="n">
        <f aca="false">MAX(0,$T512-$V512)</f>
        <v>0</v>
      </c>
      <c r="X512" s="19" t="n">
        <f aca="false">IFERROR(INDEX(CADASTRO_PIVOS!$K$6:$K$41,MATCH($E512,CADASTRO_PIVOS!$B$6:$B$41,0)),EFICIENCIA_PADRAO)</f>
        <v>0.85</v>
      </c>
      <c r="Y512" s="18" t="n">
        <f aca="false">IF($X512&lt;=0,0,$W512/$X512)</f>
        <v>0</v>
      </c>
      <c r="Z512" s="16" t="n">
        <f aca="false">$Y512*$H512*MM_PARA_M3_HA</f>
        <v>0</v>
      </c>
      <c r="AA512" s="18" t="n">
        <f aca="false">IFERROR(INDEX(CADASTRO_PIVOS!$I$6:$I$41,MATCH($E512,CADASTRO_PIVOS!$B$6:$B$41,0)),0)</f>
        <v>712.571428571429</v>
      </c>
      <c r="AB512" s="18" t="n">
        <f aca="false">IF($Z512&lt;=0,0,$Z512/$AA512)</f>
        <v>0</v>
      </c>
      <c r="AC512" s="16" t="n">
        <f aca="false">IFERROR(INDEX(SEMANAS!$K$6:$K$71,MATCH($B512,SEMANAS!$B$6:$B$71,0)),0)</f>
        <v>147</v>
      </c>
      <c r="AD512" s="19" t="n">
        <f aca="false">IF($AC512&lt;=0,0,$AB512/$AC512)</f>
        <v>0</v>
      </c>
      <c r="AE512" s="8" t="str">
        <f aca="false">IF($K512="SEM CULTURA","SEM CULTURA",IF($AA512&lt;=0,"DADO PENDENTE",IF($AD512&gt;LIMITE_CRITICO,"INVIAVEL",IF($AD512&gt;LIMITE_ATENCAO,"CRITICO",IF($AD512&gt;LIMITE_CONFORTAVEL,"ATENCAO","OK")))))</f>
        <v>SEM CULTURA</v>
      </c>
      <c r="AF512" s="8" t="str">
        <f aca="false">$B512&amp;"|"&amp;TEXT($AD512,"0.000000")</f>
        <v>45|0.000000</v>
      </c>
      <c r="AG512" s="18" t="n">
        <f aca="false">IF($K512="SEM CULTURA",0,$T512*$H512)</f>
        <v>0</v>
      </c>
      <c r="AH512" s="18" t="n">
        <f aca="false">IF($K512="SEM CULTURA",0,$V512*$H512)</f>
        <v>0</v>
      </c>
      <c r="AI512" s="18" t="n">
        <f aca="false">IF($K512="SEM CULTURA",0,$W512*$H512)</f>
        <v>0</v>
      </c>
      <c r="AJ512" s="18" t="n">
        <f aca="false">IF($K512="SEM CULTURA",0,$S512*$H512)</f>
        <v>0</v>
      </c>
      <c r="AK512" s="8" t="str">
        <f aca="false">$E512&amp;"|"&amp;TEXT($AD512,"0.000000")</f>
        <v>PV 103|0.000000</v>
      </c>
    </row>
    <row r="513" customFormat="false" ht="15" hidden="false" customHeight="false" outlineLevel="0" collapsed="false">
      <c r="B513" s="16" t="n">
        <v>46</v>
      </c>
      <c r="C513" s="17" t="n">
        <f aca="false">DATA_INICIO_SAFRA+($B513-1)*DIAS_POR_SEMANA</f>
        <v>46580</v>
      </c>
      <c r="D513" s="17" t="n">
        <f aca="false">$C513+DIAS_POR_SEMANA-1</f>
        <v>46586</v>
      </c>
      <c r="E513" s="15" t="s">
        <v>266</v>
      </c>
      <c r="F513" s="8" t="str">
        <f aca="false">IFERROR(INDEX(CADASTRO_PIVOS!$C$6:$C$41,MATCH($E513,CADASTRO_PIVOS!$B$6:$B$41,0)),"?")</f>
        <v>RM04</v>
      </c>
      <c r="G513" s="8" t="str">
        <f aca="false">IFERROR(INDEX(CADASTRO_PIVOS!$D$6:$D$41,MATCH($E513,CADASTRO_PIVOS!$B$6:$B$41,0)),"?")</f>
        <v>TR04</v>
      </c>
      <c r="H513" s="20" t="n">
        <f aca="false">IFERROR(INDEX(CADASTRO_PIVOS!$E$6:$E$41,MATCH($E513,CADASTRO_PIVOS!$B$6:$B$41,0)),0)</f>
        <v>99.76</v>
      </c>
      <c r="I513" s="16" t="n">
        <f aca="false">IFERROR(SUMIFS(ROTACAO_RDM!$B$6:$B$71,ROTACAO_RDM!$D$6:$D$71,$E513,ROTACAO_RDM!$I$6:$I$71,"&lt;="&amp;$C513+INT(DIAS_POR_SEMANA/2),ROTACAO_RDM!$J$6:$J$71,"&gt;="&amp;$C513+INT(DIAS_POR_SEMANA/2)),0)</f>
        <v>0</v>
      </c>
      <c r="J513" s="16" t="n">
        <f aca="false">IFERROR(MATCH($I513,ROTACAO_RDM!$B$6:$B$71,0),0)</f>
        <v>0</v>
      </c>
      <c r="K513" s="8" t="str">
        <f aca="false">IF($J513=0,"SEM CULTURA",INDEX(ROTACAO_RDM!$F$6:$F$71,$J513))</f>
        <v>SEM CULTURA</v>
      </c>
      <c r="L513" s="8" t="str">
        <f aca="false">IF($J513=0,"",INDEX(ROTACAO_RDM!$G$6:$G$71,$J513))</f>
        <v/>
      </c>
      <c r="M513" s="17" t="str">
        <f aca="false">IF($J513=0,"",INDEX(ROTACAO_RDM!$I$6:$I$71,$J513))</f>
        <v/>
      </c>
      <c r="N513" s="16" t="n">
        <f aca="false">IF($J513=0,0,MAX(0,$C513+INT(DIAS_POR_SEMANA/2)-INDEX(ROTACAO_RDM!$I$6:$I$71,$J513)))</f>
        <v>0</v>
      </c>
      <c r="O513" s="19" t="n">
        <f aca="false">IF($J513=0,0,MIN(1,$N513/MAX(1,INDEX(ROTACAO_RDM!$K$6:$K$71,$J513))))</f>
        <v>0</v>
      </c>
      <c r="P513" s="16" t="n">
        <f aca="false">IF($J513=0,0,IFERROR(MATCH(INDEX(ROTACAO_RDM!$N$6:$N$71,$J513),PARAMETROS_CULTURAS!$B$6:$B$28,0),0))</f>
        <v>0</v>
      </c>
      <c r="Q513" s="8" t="str">
        <f aca="false">IF($P513=0,"-",IF($O513&lt;=INDEX(PARAMETROS_CULTURAS!$F$6:$F$28,$P513),"INICIAL",IF($O513&lt;=INDEX(PARAMETROS_CULTURAS!$F$6:$F$28,$P513)+INDEX(PARAMETROS_CULTURAS!$G$6:$G$28,$P513),"DESENVOLVIMENTO",IF($O513&lt;=INDEX(PARAMETROS_CULTURAS!$F$6:$F$28,$P513)+INDEX(PARAMETROS_CULTURAS!$G$6:$G$28,$P513)+INDEX(PARAMETROS_CULTURAS!$H$6:$H$28,$P513),"MEDIA","FINAL"))))</f>
        <v>-</v>
      </c>
      <c r="R513" s="24" t="n">
        <f aca="false">IF($P513=0,0,IF($O513&lt;=INDEX(PARAMETROS_CULTURAS!$F$6:$F$28,$P513),INDEX(PARAMETROS_CULTURAS!$K$6:$K$28,$P513),IF($O513&lt;=INDEX(PARAMETROS_CULTURAS!$F$6:$F$28,$P513)+INDEX(PARAMETROS_CULTURAS!$G$6:$G$28,$P513),INDEX(PARAMETROS_CULTURAS!$K$6:$K$28,$P513)+(INDEX(PARAMETROS_CULTURAS!$L$6:$L$28,$P513)-INDEX(PARAMETROS_CULTURAS!$K$6:$K$28,$P513))*($O513-INDEX(PARAMETROS_CULTURAS!$F$6:$F$28,$P513))/MAX(INDEX(PARAMETROS_CULTURAS!$G$6:$G$28,$P513),0.0001),IF($O513&lt;=INDEX(PARAMETROS_CULTURAS!$F$6:$F$28,$P513)+INDEX(PARAMETROS_CULTURAS!$G$6:$G$28,$P513)+INDEX(PARAMETROS_CULTURAS!$H$6:$H$28,$P513),INDEX(PARAMETROS_CULTURAS!$L$6:$L$28,$P513),INDEX(PARAMETROS_CULTURAS!$L$6:$L$28,$P513)+(INDEX(PARAMETROS_CULTURAS!$M$6:$M$28,$P513)-INDEX(PARAMETROS_CULTURAS!$L$6:$L$28,$P513))*($O513-INDEX(PARAMETROS_CULTURAS!$F$6:$F$28,$P513)-INDEX(PARAMETROS_CULTURAS!$G$6:$G$28,$P513)-INDEX(PARAMETROS_CULTURAS!$H$6:$H$28,$P513))/MAX(INDEX(PARAMETROS_CULTURAS!$I$6:$I$28,$P513),0.0001)))))</f>
        <v>0</v>
      </c>
      <c r="S513" s="18" t="n">
        <f aca="false">IFERROR(INDEX(SEMANAS!$H$6:$H$71,MATCH($B513,SEMANAS!$B$6:$B$71,0)),0)</f>
        <v>30.1</v>
      </c>
      <c r="T513" s="18" t="n">
        <f aca="false">$R513*$S513</f>
        <v>0</v>
      </c>
      <c r="U513" s="18" t="n">
        <f aca="false">IFERROR(INDEX(SEMANAS!$I$6:$I$71,MATCH($B513,SEMANAS!$B$6:$B$71,0)),0)</f>
        <v>0.7</v>
      </c>
      <c r="V513" s="18" t="n">
        <f aca="false">IFERROR(INDEX(SEMANAS!$J$6:$J$71,MATCH($B513,SEMANAS!$B$6:$B$71,0)),0)</f>
        <v>0.56</v>
      </c>
      <c r="W513" s="18" t="n">
        <f aca="false">MAX(0,$T513-$V513)</f>
        <v>0</v>
      </c>
      <c r="X513" s="19" t="n">
        <f aca="false">IFERROR(INDEX(CADASTRO_PIVOS!$K$6:$K$41,MATCH($E513,CADASTRO_PIVOS!$B$6:$B$41,0)),EFICIENCIA_PADRAO)</f>
        <v>0.85</v>
      </c>
      <c r="Y513" s="18" t="n">
        <f aca="false">IF($X513&lt;=0,0,$W513/$X513)</f>
        <v>0</v>
      </c>
      <c r="Z513" s="16" t="n">
        <f aca="false">$Y513*$H513*MM_PARA_M3_HA</f>
        <v>0</v>
      </c>
      <c r="AA513" s="18" t="n">
        <f aca="false">IFERROR(INDEX(CADASTRO_PIVOS!$I$6:$I$41,MATCH($E513,CADASTRO_PIVOS!$B$6:$B$41,0)),0)</f>
        <v>712.571428571429</v>
      </c>
      <c r="AB513" s="18" t="n">
        <f aca="false">IF($Z513&lt;=0,0,$Z513/$AA513)</f>
        <v>0</v>
      </c>
      <c r="AC513" s="16" t="n">
        <f aca="false">IFERROR(INDEX(SEMANAS!$K$6:$K$71,MATCH($B513,SEMANAS!$B$6:$B$71,0)),0)</f>
        <v>147</v>
      </c>
      <c r="AD513" s="19" t="n">
        <f aca="false">IF($AC513&lt;=0,0,$AB513/$AC513)</f>
        <v>0</v>
      </c>
      <c r="AE513" s="8" t="str">
        <f aca="false">IF($K513="SEM CULTURA","SEM CULTURA",IF($AA513&lt;=0,"DADO PENDENTE",IF($AD513&gt;LIMITE_CRITICO,"INVIAVEL",IF($AD513&gt;LIMITE_ATENCAO,"CRITICO",IF($AD513&gt;LIMITE_CONFORTAVEL,"ATENCAO","OK")))))</f>
        <v>SEM CULTURA</v>
      </c>
      <c r="AF513" s="8" t="str">
        <f aca="false">$B513&amp;"|"&amp;TEXT($AD513,"0.000000")</f>
        <v>46|0.000000</v>
      </c>
      <c r="AG513" s="18" t="n">
        <f aca="false">IF($K513="SEM CULTURA",0,$T513*$H513)</f>
        <v>0</v>
      </c>
      <c r="AH513" s="18" t="n">
        <f aca="false">IF($K513="SEM CULTURA",0,$V513*$H513)</f>
        <v>0</v>
      </c>
      <c r="AI513" s="18" t="n">
        <f aca="false">IF($K513="SEM CULTURA",0,$W513*$H513)</f>
        <v>0</v>
      </c>
      <c r="AJ513" s="18" t="n">
        <f aca="false">IF($K513="SEM CULTURA",0,$S513*$H513)</f>
        <v>0</v>
      </c>
      <c r="AK513" s="8" t="str">
        <f aca="false">$E513&amp;"|"&amp;TEXT($AD513,"0.000000")</f>
        <v>PV 103|0.000000</v>
      </c>
    </row>
    <row r="514" customFormat="false" ht="15" hidden="false" customHeight="false" outlineLevel="0" collapsed="false">
      <c r="B514" s="16" t="n">
        <v>47</v>
      </c>
      <c r="C514" s="17" t="n">
        <f aca="false">DATA_INICIO_SAFRA+($B514-1)*DIAS_POR_SEMANA</f>
        <v>46587</v>
      </c>
      <c r="D514" s="17" t="n">
        <f aca="false">$C514+DIAS_POR_SEMANA-1</f>
        <v>46593</v>
      </c>
      <c r="E514" s="15" t="s">
        <v>266</v>
      </c>
      <c r="F514" s="8" t="str">
        <f aca="false">IFERROR(INDEX(CADASTRO_PIVOS!$C$6:$C$41,MATCH($E514,CADASTRO_PIVOS!$B$6:$B$41,0)),"?")</f>
        <v>RM04</v>
      </c>
      <c r="G514" s="8" t="str">
        <f aca="false">IFERROR(INDEX(CADASTRO_PIVOS!$D$6:$D$41,MATCH($E514,CADASTRO_PIVOS!$B$6:$B$41,0)),"?")</f>
        <v>TR04</v>
      </c>
      <c r="H514" s="20" t="n">
        <f aca="false">IFERROR(INDEX(CADASTRO_PIVOS!$E$6:$E$41,MATCH($E514,CADASTRO_PIVOS!$B$6:$B$41,0)),0)</f>
        <v>99.76</v>
      </c>
      <c r="I514" s="16" t="n">
        <f aca="false">IFERROR(SUMIFS(ROTACAO_RDM!$B$6:$B$71,ROTACAO_RDM!$D$6:$D$71,$E514,ROTACAO_RDM!$I$6:$I$71,"&lt;="&amp;$C514+INT(DIAS_POR_SEMANA/2),ROTACAO_RDM!$J$6:$J$71,"&gt;="&amp;$C514+INT(DIAS_POR_SEMANA/2)),0)</f>
        <v>0</v>
      </c>
      <c r="J514" s="16" t="n">
        <f aca="false">IFERROR(MATCH($I514,ROTACAO_RDM!$B$6:$B$71,0),0)</f>
        <v>0</v>
      </c>
      <c r="K514" s="8" t="str">
        <f aca="false">IF($J514=0,"SEM CULTURA",INDEX(ROTACAO_RDM!$F$6:$F$71,$J514))</f>
        <v>SEM CULTURA</v>
      </c>
      <c r="L514" s="8" t="str">
        <f aca="false">IF($J514=0,"",INDEX(ROTACAO_RDM!$G$6:$G$71,$J514))</f>
        <v/>
      </c>
      <c r="M514" s="17" t="str">
        <f aca="false">IF($J514=0,"",INDEX(ROTACAO_RDM!$I$6:$I$71,$J514))</f>
        <v/>
      </c>
      <c r="N514" s="16" t="n">
        <f aca="false">IF($J514=0,0,MAX(0,$C514+INT(DIAS_POR_SEMANA/2)-INDEX(ROTACAO_RDM!$I$6:$I$71,$J514)))</f>
        <v>0</v>
      </c>
      <c r="O514" s="19" t="n">
        <f aca="false">IF($J514=0,0,MIN(1,$N514/MAX(1,INDEX(ROTACAO_RDM!$K$6:$K$71,$J514))))</f>
        <v>0</v>
      </c>
      <c r="P514" s="16" t="n">
        <f aca="false">IF($J514=0,0,IFERROR(MATCH(INDEX(ROTACAO_RDM!$N$6:$N$71,$J514),PARAMETROS_CULTURAS!$B$6:$B$28,0),0))</f>
        <v>0</v>
      </c>
      <c r="Q514" s="8" t="str">
        <f aca="false">IF($P514=0,"-",IF($O514&lt;=INDEX(PARAMETROS_CULTURAS!$F$6:$F$28,$P514),"INICIAL",IF($O514&lt;=INDEX(PARAMETROS_CULTURAS!$F$6:$F$28,$P514)+INDEX(PARAMETROS_CULTURAS!$G$6:$G$28,$P514),"DESENVOLVIMENTO",IF($O514&lt;=INDEX(PARAMETROS_CULTURAS!$F$6:$F$28,$P514)+INDEX(PARAMETROS_CULTURAS!$G$6:$G$28,$P514)+INDEX(PARAMETROS_CULTURAS!$H$6:$H$28,$P514),"MEDIA","FINAL"))))</f>
        <v>-</v>
      </c>
      <c r="R514" s="24" t="n">
        <f aca="false">IF($P514=0,0,IF($O514&lt;=INDEX(PARAMETROS_CULTURAS!$F$6:$F$28,$P514),INDEX(PARAMETROS_CULTURAS!$K$6:$K$28,$P514),IF($O514&lt;=INDEX(PARAMETROS_CULTURAS!$F$6:$F$28,$P514)+INDEX(PARAMETROS_CULTURAS!$G$6:$G$28,$P514),INDEX(PARAMETROS_CULTURAS!$K$6:$K$28,$P514)+(INDEX(PARAMETROS_CULTURAS!$L$6:$L$28,$P514)-INDEX(PARAMETROS_CULTURAS!$K$6:$K$28,$P514))*($O514-INDEX(PARAMETROS_CULTURAS!$F$6:$F$28,$P514))/MAX(INDEX(PARAMETROS_CULTURAS!$G$6:$G$28,$P514),0.0001),IF($O514&lt;=INDEX(PARAMETROS_CULTURAS!$F$6:$F$28,$P514)+INDEX(PARAMETROS_CULTURAS!$G$6:$G$28,$P514)+INDEX(PARAMETROS_CULTURAS!$H$6:$H$28,$P514),INDEX(PARAMETROS_CULTURAS!$L$6:$L$28,$P514),INDEX(PARAMETROS_CULTURAS!$L$6:$L$28,$P514)+(INDEX(PARAMETROS_CULTURAS!$M$6:$M$28,$P514)-INDEX(PARAMETROS_CULTURAS!$L$6:$L$28,$P514))*($O514-INDEX(PARAMETROS_CULTURAS!$F$6:$F$28,$P514)-INDEX(PARAMETROS_CULTURAS!$G$6:$G$28,$P514)-INDEX(PARAMETROS_CULTURAS!$H$6:$H$28,$P514))/MAX(INDEX(PARAMETROS_CULTURAS!$I$6:$I$28,$P514),0.0001)))))</f>
        <v>0</v>
      </c>
      <c r="S514" s="18" t="n">
        <f aca="false">IFERROR(INDEX(SEMANAS!$H$6:$H$71,MATCH($B514,SEMANAS!$B$6:$B$71,0)),0)</f>
        <v>30.1</v>
      </c>
      <c r="T514" s="18" t="n">
        <f aca="false">$R514*$S514</f>
        <v>0</v>
      </c>
      <c r="U514" s="18" t="n">
        <f aca="false">IFERROR(INDEX(SEMANAS!$I$6:$I$71,MATCH($B514,SEMANAS!$B$6:$B$71,0)),0)</f>
        <v>0.7</v>
      </c>
      <c r="V514" s="18" t="n">
        <f aca="false">IFERROR(INDEX(SEMANAS!$J$6:$J$71,MATCH($B514,SEMANAS!$B$6:$B$71,0)),0)</f>
        <v>0.56</v>
      </c>
      <c r="W514" s="18" t="n">
        <f aca="false">MAX(0,$T514-$V514)</f>
        <v>0</v>
      </c>
      <c r="X514" s="19" t="n">
        <f aca="false">IFERROR(INDEX(CADASTRO_PIVOS!$K$6:$K$41,MATCH($E514,CADASTRO_PIVOS!$B$6:$B$41,0)),EFICIENCIA_PADRAO)</f>
        <v>0.85</v>
      </c>
      <c r="Y514" s="18" t="n">
        <f aca="false">IF($X514&lt;=0,0,$W514/$X514)</f>
        <v>0</v>
      </c>
      <c r="Z514" s="16" t="n">
        <f aca="false">$Y514*$H514*MM_PARA_M3_HA</f>
        <v>0</v>
      </c>
      <c r="AA514" s="18" t="n">
        <f aca="false">IFERROR(INDEX(CADASTRO_PIVOS!$I$6:$I$41,MATCH($E514,CADASTRO_PIVOS!$B$6:$B$41,0)),0)</f>
        <v>712.571428571429</v>
      </c>
      <c r="AB514" s="18" t="n">
        <f aca="false">IF($Z514&lt;=0,0,$Z514/$AA514)</f>
        <v>0</v>
      </c>
      <c r="AC514" s="16" t="n">
        <f aca="false">IFERROR(INDEX(SEMANAS!$K$6:$K$71,MATCH($B514,SEMANAS!$B$6:$B$71,0)),0)</f>
        <v>147</v>
      </c>
      <c r="AD514" s="19" t="n">
        <f aca="false">IF($AC514&lt;=0,0,$AB514/$AC514)</f>
        <v>0</v>
      </c>
      <c r="AE514" s="8" t="str">
        <f aca="false">IF($K514="SEM CULTURA","SEM CULTURA",IF($AA514&lt;=0,"DADO PENDENTE",IF($AD514&gt;LIMITE_CRITICO,"INVIAVEL",IF($AD514&gt;LIMITE_ATENCAO,"CRITICO",IF($AD514&gt;LIMITE_CONFORTAVEL,"ATENCAO","OK")))))</f>
        <v>SEM CULTURA</v>
      </c>
      <c r="AF514" s="8" t="str">
        <f aca="false">$B514&amp;"|"&amp;TEXT($AD514,"0.000000")</f>
        <v>47|0.000000</v>
      </c>
      <c r="AG514" s="18" t="n">
        <f aca="false">IF($K514="SEM CULTURA",0,$T514*$H514)</f>
        <v>0</v>
      </c>
      <c r="AH514" s="18" t="n">
        <f aca="false">IF($K514="SEM CULTURA",0,$V514*$H514)</f>
        <v>0</v>
      </c>
      <c r="AI514" s="18" t="n">
        <f aca="false">IF($K514="SEM CULTURA",0,$W514*$H514)</f>
        <v>0</v>
      </c>
      <c r="AJ514" s="18" t="n">
        <f aca="false">IF($K514="SEM CULTURA",0,$S514*$H514)</f>
        <v>0</v>
      </c>
      <c r="AK514" s="8" t="str">
        <f aca="false">$E514&amp;"|"&amp;TEXT($AD514,"0.000000")</f>
        <v>PV 103|0.000000</v>
      </c>
    </row>
    <row r="515" customFormat="false" ht="15" hidden="false" customHeight="false" outlineLevel="0" collapsed="false">
      <c r="B515" s="16" t="n">
        <v>48</v>
      </c>
      <c r="C515" s="17" t="n">
        <f aca="false">DATA_INICIO_SAFRA+($B515-1)*DIAS_POR_SEMANA</f>
        <v>46594</v>
      </c>
      <c r="D515" s="17" t="n">
        <f aca="false">$C515+DIAS_POR_SEMANA-1</f>
        <v>46600</v>
      </c>
      <c r="E515" s="15" t="s">
        <v>266</v>
      </c>
      <c r="F515" s="8" t="str">
        <f aca="false">IFERROR(INDEX(CADASTRO_PIVOS!$C$6:$C$41,MATCH($E515,CADASTRO_PIVOS!$B$6:$B$41,0)),"?")</f>
        <v>RM04</v>
      </c>
      <c r="G515" s="8" t="str">
        <f aca="false">IFERROR(INDEX(CADASTRO_PIVOS!$D$6:$D$41,MATCH($E515,CADASTRO_PIVOS!$B$6:$B$41,0)),"?")</f>
        <v>TR04</v>
      </c>
      <c r="H515" s="20" t="n">
        <f aca="false">IFERROR(INDEX(CADASTRO_PIVOS!$E$6:$E$41,MATCH($E515,CADASTRO_PIVOS!$B$6:$B$41,0)),0)</f>
        <v>99.76</v>
      </c>
      <c r="I515" s="16" t="n">
        <f aca="false">IFERROR(SUMIFS(ROTACAO_RDM!$B$6:$B$71,ROTACAO_RDM!$D$6:$D$71,$E515,ROTACAO_RDM!$I$6:$I$71,"&lt;="&amp;$C515+INT(DIAS_POR_SEMANA/2),ROTACAO_RDM!$J$6:$J$71,"&gt;="&amp;$C515+INT(DIAS_POR_SEMANA/2)),0)</f>
        <v>0</v>
      </c>
      <c r="J515" s="16" t="n">
        <f aca="false">IFERROR(MATCH($I515,ROTACAO_RDM!$B$6:$B$71,0),0)</f>
        <v>0</v>
      </c>
      <c r="K515" s="8" t="str">
        <f aca="false">IF($J515=0,"SEM CULTURA",INDEX(ROTACAO_RDM!$F$6:$F$71,$J515))</f>
        <v>SEM CULTURA</v>
      </c>
      <c r="L515" s="8" t="str">
        <f aca="false">IF($J515=0,"",INDEX(ROTACAO_RDM!$G$6:$G$71,$J515))</f>
        <v/>
      </c>
      <c r="M515" s="17" t="str">
        <f aca="false">IF($J515=0,"",INDEX(ROTACAO_RDM!$I$6:$I$71,$J515))</f>
        <v/>
      </c>
      <c r="N515" s="16" t="n">
        <f aca="false">IF($J515=0,0,MAX(0,$C515+INT(DIAS_POR_SEMANA/2)-INDEX(ROTACAO_RDM!$I$6:$I$71,$J515)))</f>
        <v>0</v>
      </c>
      <c r="O515" s="19" t="n">
        <f aca="false">IF($J515=0,0,MIN(1,$N515/MAX(1,INDEX(ROTACAO_RDM!$K$6:$K$71,$J515))))</f>
        <v>0</v>
      </c>
      <c r="P515" s="16" t="n">
        <f aca="false">IF($J515=0,0,IFERROR(MATCH(INDEX(ROTACAO_RDM!$N$6:$N$71,$J515),PARAMETROS_CULTURAS!$B$6:$B$28,0),0))</f>
        <v>0</v>
      </c>
      <c r="Q515" s="8" t="str">
        <f aca="false">IF($P515=0,"-",IF($O515&lt;=INDEX(PARAMETROS_CULTURAS!$F$6:$F$28,$P515),"INICIAL",IF($O515&lt;=INDEX(PARAMETROS_CULTURAS!$F$6:$F$28,$P515)+INDEX(PARAMETROS_CULTURAS!$G$6:$G$28,$P515),"DESENVOLVIMENTO",IF($O515&lt;=INDEX(PARAMETROS_CULTURAS!$F$6:$F$28,$P515)+INDEX(PARAMETROS_CULTURAS!$G$6:$G$28,$P515)+INDEX(PARAMETROS_CULTURAS!$H$6:$H$28,$P515),"MEDIA","FINAL"))))</f>
        <v>-</v>
      </c>
      <c r="R515" s="24" t="n">
        <f aca="false">IF($P515=0,0,IF($O515&lt;=INDEX(PARAMETROS_CULTURAS!$F$6:$F$28,$P515),INDEX(PARAMETROS_CULTURAS!$K$6:$K$28,$P515),IF($O515&lt;=INDEX(PARAMETROS_CULTURAS!$F$6:$F$28,$P515)+INDEX(PARAMETROS_CULTURAS!$G$6:$G$28,$P515),INDEX(PARAMETROS_CULTURAS!$K$6:$K$28,$P515)+(INDEX(PARAMETROS_CULTURAS!$L$6:$L$28,$P515)-INDEX(PARAMETROS_CULTURAS!$K$6:$K$28,$P515))*($O515-INDEX(PARAMETROS_CULTURAS!$F$6:$F$28,$P515))/MAX(INDEX(PARAMETROS_CULTURAS!$G$6:$G$28,$P515),0.0001),IF($O515&lt;=INDEX(PARAMETROS_CULTURAS!$F$6:$F$28,$P515)+INDEX(PARAMETROS_CULTURAS!$G$6:$G$28,$P515)+INDEX(PARAMETROS_CULTURAS!$H$6:$H$28,$P515),INDEX(PARAMETROS_CULTURAS!$L$6:$L$28,$P515),INDEX(PARAMETROS_CULTURAS!$L$6:$L$28,$P515)+(INDEX(PARAMETROS_CULTURAS!$M$6:$M$28,$P515)-INDEX(PARAMETROS_CULTURAS!$L$6:$L$28,$P515))*($O515-INDEX(PARAMETROS_CULTURAS!$F$6:$F$28,$P515)-INDEX(PARAMETROS_CULTURAS!$G$6:$G$28,$P515)-INDEX(PARAMETROS_CULTURAS!$H$6:$H$28,$P515))/MAX(INDEX(PARAMETROS_CULTURAS!$I$6:$I$28,$P515),0.0001)))))</f>
        <v>0</v>
      </c>
      <c r="S515" s="18" t="n">
        <f aca="false">IFERROR(INDEX(SEMANAS!$H$6:$H$71,MATCH($B515,SEMANAS!$B$6:$B$71,0)),0)</f>
        <v>31</v>
      </c>
      <c r="T515" s="18" t="n">
        <f aca="false">$R515*$S515</f>
        <v>0</v>
      </c>
      <c r="U515" s="18" t="n">
        <f aca="false">IFERROR(INDEX(SEMANAS!$I$6:$I$71,MATCH($B515,SEMANAS!$B$6:$B$71,0)),0)</f>
        <v>0.76</v>
      </c>
      <c r="V515" s="18" t="n">
        <f aca="false">IFERROR(INDEX(SEMANAS!$J$6:$J$71,MATCH($B515,SEMANAS!$B$6:$B$71,0)),0)</f>
        <v>0.608</v>
      </c>
      <c r="W515" s="18" t="n">
        <f aca="false">MAX(0,$T515-$V515)</f>
        <v>0</v>
      </c>
      <c r="X515" s="19" t="n">
        <f aca="false">IFERROR(INDEX(CADASTRO_PIVOS!$K$6:$K$41,MATCH($E515,CADASTRO_PIVOS!$B$6:$B$41,0)),EFICIENCIA_PADRAO)</f>
        <v>0.85</v>
      </c>
      <c r="Y515" s="18" t="n">
        <f aca="false">IF($X515&lt;=0,0,$W515/$X515)</f>
        <v>0</v>
      </c>
      <c r="Z515" s="16" t="n">
        <f aca="false">$Y515*$H515*MM_PARA_M3_HA</f>
        <v>0</v>
      </c>
      <c r="AA515" s="18" t="n">
        <f aca="false">IFERROR(INDEX(CADASTRO_PIVOS!$I$6:$I$41,MATCH($E515,CADASTRO_PIVOS!$B$6:$B$41,0)),0)</f>
        <v>712.571428571429</v>
      </c>
      <c r="AB515" s="18" t="n">
        <f aca="false">IF($Z515&lt;=0,0,$Z515/$AA515)</f>
        <v>0</v>
      </c>
      <c r="AC515" s="16" t="n">
        <f aca="false">IFERROR(INDEX(SEMANAS!$K$6:$K$71,MATCH($B515,SEMANAS!$B$6:$B$71,0)),0)</f>
        <v>147</v>
      </c>
      <c r="AD515" s="19" t="n">
        <f aca="false">IF($AC515&lt;=0,0,$AB515/$AC515)</f>
        <v>0</v>
      </c>
      <c r="AE515" s="8" t="str">
        <f aca="false">IF($K515="SEM CULTURA","SEM CULTURA",IF($AA515&lt;=0,"DADO PENDENTE",IF($AD515&gt;LIMITE_CRITICO,"INVIAVEL",IF($AD515&gt;LIMITE_ATENCAO,"CRITICO",IF($AD515&gt;LIMITE_CONFORTAVEL,"ATENCAO","OK")))))</f>
        <v>SEM CULTURA</v>
      </c>
      <c r="AF515" s="8" t="str">
        <f aca="false">$B515&amp;"|"&amp;TEXT($AD515,"0.000000")</f>
        <v>48|0.000000</v>
      </c>
      <c r="AG515" s="18" t="n">
        <f aca="false">IF($K515="SEM CULTURA",0,$T515*$H515)</f>
        <v>0</v>
      </c>
      <c r="AH515" s="18" t="n">
        <f aca="false">IF($K515="SEM CULTURA",0,$V515*$H515)</f>
        <v>0</v>
      </c>
      <c r="AI515" s="18" t="n">
        <f aca="false">IF($K515="SEM CULTURA",0,$W515*$H515)</f>
        <v>0</v>
      </c>
      <c r="AJ515" s="18" t="n">
        <f aca="false">IF($K515="SEM CULTURA",0,$S515*$H515)</f>
        <v>0</v>
      </c>
      <c r="AK515" s="8" t="str">
        <f aca="false">$E515&amp;"|"&amp;TEXT($AD515,"0.000000")</f>
        <v>PV 103|0.000000</v>
      </c>
    </row>
    <row r="516" customFormat="false" ht="15" hidden="false" customHeight="false" outlineLevel="0" collapsed="false">
      <c r="B516" s="16" t="n">
        <v>49</v>
      </c>
      <c r="C516" s="17" t="n">
        <f aca="false">DATA_INICIO_SAFRA+($B516-1)*DIAS_POR_SEMANA</f>
        <v>46601</v>
      </c>
      <c r="D516" s="17" t="n">
        <f aca="false">$C516+DIAS_POR_SEMANA-1</f>
        <v>46607</v>
      </c>
      <c r="E516" s="15" t="s">
        <v>266</v>
      </c>
      <c r="F516" s="8" t="str">
        <f aca="false">IFERROR(INDEX(CADASTRO_PIVOS!$C$6:$C$41,MATCH($E516,CADASTRO_PIVOS!$B$6:$B$41,0)),"?")</f>
        <v>RM04</v>
      </c>
      <c r="G516" s="8" t="str">
        <f aca="false">IFERROR(INDEX(CADASTRO_PIVOS!$D$6:$D$41,MATCH($E516,CADASTRO_PIVOS!$B$6:$B$41,0)),"?")</f>
        <v>TR04</v>
      </c>
      <c r="H516" s="20" t="n">
        <f aca="false">IFERROR(INDEX(CADASTRO_PIVOS!$E$6:$E$41,MATCH($E516,CADASTRO_PIVOS!$B$6:$B$41,0)),0)</f>
        <v>99.76</v>
      </c>
      <c r="I516" s="16" t="n">
        <f aca="false">IFERROR(SUMIFS(ROTACAO_RDM!$B$6:$B$71,ROTACAO_RDM!$D$6:$D$71,$E516,ROTACAO_RDM!$I$6:$I$71,"&lt;="&amp;$C516+INT(DIAS_POR_SEMANA/2),ROTACAO_RDM!$J$6:$J$71,"&gt;="&amp;$C516+INT(DIAS_POR_SEMANA/2)),0)</f>
        <v>0</v>
      </c>
      <c r="J516" s="16" t="n">
        <f aca="false">IFERROR(MATCH($I516,ROTACAO_RDM!$B$6:$B$71,0),0)</f>
        <v>0</v>
      </c>
      <c r="K516" s="8" t="str">
        <f aca="false">IF($J516=0,"SEM CULTURA",INDEX(ROTACAO_RDM!$F$6:$F$71,$J516))</f>
        <v>SEM CULTURA</v>
      </c>
      <c r="L516" s="8" t="str">
        <f aca="false">IF($J516=0,"",INDEX(ROTACAO_RDM!$G$6:$G$71,$J516))</f>
        <v/>
      </c>
      <c r="M516" s="17" t="str">
        <f aca="false">IF($J516=0,"",INDEX(ROTACAO_RDM!$I$6:$I$71,$J516))</f>
        <v/>
      </c>
      <c r="N516" s="16" t="n">
        <f aca="false">IF($J516=0,0,MAX(0,$C516+INT(DIAS_POR_SEMANA/2)-INDEX(ROTACAO_RDM!$I$6:$I$71,$J516)))</f>
        <v>0</v>
      </c>
      <c r="O516" s="19" t="n">
        <f aca="false">IF($J516=0,0,MIN(1,$N516/MAX(1,INDEX(ROTACAO_RDM!$K$6:$K$71,$J516))))</f>
        <v>0</v>
      </c>
      <c r="P516" s="16" t="n">
        <f aca="false">IF($J516=0,0,IFERROR(MATCH(INDEX(ROTACAO_RDM!$N$6:$N$71,$J516),PARAMETROS_CULTURAS!$B$6:$B$28,0),0))</f>
        <v>0</v>
      </c>
      <c r="Q516" s="8" t="str">
        <f aca="false">IF($P516=0,"-",IF($O516&lt;=INDEX(PARAMETROS_CULTURAS!$F$6:$F$28,$P516),"INICIAL",IF($O516&lt;=INDEX(PARAMETROS_CULTURAS!$F$6:$F$28,$P516)+INDEX(PARAMETROS_CULTURAS!$G$6:$G$28,$P516),"DESENVOLVIMENTO",IF($O516&lt;=INDEX(PARAMETROS_CULTURAS!$F$6:$F$28,$P516)+INDEX(PARAMETROS_CULTURAS!$G$6:$G$28,$P516)+INDEX(PARAMETROS_CULTURAS!$H$6:$H$28,$P516),"MEDIA","FINAL"))))</f>
        <v>-</v>
      </c>
      <c r="R516" s="24" t="n">
        <f aca="false">IF($P516=0,0,IF($O516&lt;=INDEX(PARAMETROS_CULTURAS!$F$6:$F$28,$P516),INDEX(PARAMETROS_CULTURAS!$K$6:$K$28,$P516),IF($O516&lt;=INDEX(PARAMETROS_CULTURAS!$F$6:$F$28,$P516)+INDEX(PARAMETROS_CULTURAS!$G$6:$G$28,$P516),INDEX(PARAMETROS_CULTURAS!$K$6:$K$28,$P516)+(INDEX(PARAMETROS_CULTURAS!$L$6:$L$28,$P516)-INDEX(PARAMETROS_CULTURAS!$K$6:$K$28,$P516))*($O516-INDEX(PARAMETROS_CULTURAS!$F$6:$F$28,$P516))/MAX(INDEX(PARAMETROS_CULTURAS!$G$6:$G$28,$P516),0.0001),IF($O516&lt;=INDEX(PARAMETROS_CULTURAS!$F$6:$F$28,$P516)+INDEX(PARAMETROS_CULTURAS!$G$6:$G$28,$P516)+INDEX(PARAMETROS_CULTURAS!$H$6:$H$28,$P516),INDEX(PARAMETROS_CULTURAS!$L$6:$L$28,$P516),INDEX(PARAMETROS_CULTURAS!$L$6:$L$28,$P516)+(INDEX(PARAMETROS_CULTURAS!$M$6:$M$28,$P516)-INDEX(PARAMETROS_CULTURAS!$L$6:$L$28,$P516))*($O516-INDEX(PARAMETROS_CULTURAS!$F$6:$F$28,$P516)-INDEX(PARAMETROS_CULTURAS!$G$6:$G$28,$P516)-INDEX(PARAMETROS_CULTURAS!$H$6:$H$28,$P516))/MAX(INDEX(PARAMETROS_CULTURAS!$I$6:$I$28,$P516),0.0001)))))</f>
        <v>0</v>
      </c>
      <c r="S516" s="18" t="n">
        <f aca="false">IFERROR(INDEX(SEMANAS!$H$6:$H$71,MATCH($B516,SEMANAS!$B$6:$B$71,0)),0)</f>
        <v>36.4</v>
      </c>
      <c r="T516" s="18" t="n">
        <f aca="false">$R516*$S516</f>
        <v>0</v>
      </c>
      <c r="U516" s="18" t="n">
        <f aca="false">IFERROR(INDEX(SEMANAS!$I$6:$I$71,MATCH($B516,SEMANAS!$B$6:$B$71,0)),0)</f>
        <v>1.12</v>
      </c>
      <c r="V516" s="18" t="n">
        <f aca="false">IFERROR(INDEX(SEMANAS!$J$6:$J$71,MATCH($B516,SEMANAS!$B$6:$B$71,0)),0)</f>
        <v>0.896</v>
      </c>
      <c r="W516" s="18" t="n">
        <f aca="false">MAX(0,$T516-$V516)</f>
        <v>0</v>
      </c>
      <c r="X516" s="19" t="n">
        <f aca="false">IFERROR(INDEX(CADASTRO_PIVOS!$K$6:$K$41,MATCH($E516,CADASTRO_PIVOS!$B$6:$B$41,0)),EFICIENCIA_PADRAO)</f>
        <v>0.85</v>
      </c>
      <c r="Y516" s="18" t="n">
        <f aca="false">IF($X516&lt;=0,0,$W516/$X516)</f>
        <v>0</v>
      </c>
      <c r="Z516" s="16" t="n">
        <f aca="false">$Y516*$H516*MM_PARA_M3_HA</f>
        <v>0</v>
      </c>
      <c r="AA516" s="18" t="n">
        <f aca="false">IFERROR(INDEX(CADASTRO_PIVOS!$I$6:$I$41,MATCH($E516,CADASTRO_PIVOS!$B$6:$B$41,0)),0)</f>
        <v>712.571428571429</v>
      </c>
      <c r="AB516" s="18" t="n">
        <f aca="false">IF($Z516&lt;=0,0,$Z516/$AA516)</f>
        <v>0</v>
      </c>
      <c r="AC516" s="16" t="n">
        <f aca="false">IFERROR(INDEX(SEMANAS!$K$6:$K$71,MATCH($B516,SEMANAS!$B$6:$B$71,0)),0)</f>
        <v>147</v>
      </c>
      <c r="AD516" s="19" t="n">
        <f aca="false">IF($AC516&lt;=0,0,$AB516/$AC516)</f>
        <v>0</v>
      </c>
      <c r="AE516" s="8" t="str">
        <f aca="false">IF($K516="SEM CULTURA","SEM CULTURA",IF($AA516&lt;=0,"DADO PENDENTE",IF($AD516&gt;LIMITE_CRITICO,"INVIAVEL",IF($AD516&gt;LIMITE_ATENCAO,"CRITICO",IF($AD516&gt;LIMITE_CONFORTAVEL,"ATENCAO","OK")))))</f>
        <v>SEM CULTURA</v>
      </c>
      <c r="AF516" s="8" t="str">
        <f aca="false">$B516&amp;"|"&amp;TEXT($AD516,"0.000000")</f>
        <v>49|0.000000</v>
      </c>
      <c r="AG516" s="18" t="n">
        <f aca="false">IF($K516="SEM CULTURA",0,$T516*$H516)</f>
        <v>0</v>
      </c>
      <c r="AH516" s="18" t="n">
        <f aca="false">IF($K516="SEM CULTURA",0,$V516*$H516)</f>
        <v>0</v>
      </c>
      <c r="AI516" s="18" t="n">
        <f aca="false">IF($K516="SEM CULTURA",0,$W516*$H516)</f>
        <v>0</v>
      </c>
      <c r="AJ516" s="18" t="n">
        <f aca="false">IF($K516="SEM CULTURA",0,$S516*$H516)</f>
        <v>0</v>
      </c>
      <c r="AK516" s="8" t="str">
        <f aca="false">$E516&amp;"|"&amp;TEXT($AD516,"0.000000")</f>
        <v>PV 103|0.000000</v>
      </c>
    </row>
    <row r="517" customFormat="false" ht="15" hidden="false" customHeight="false" outlineLevel="0" collapsed="false">
      <c r="B517" s="16" t="n">
        <v>50</v>
      </c>
      <c r="C517" s="17" t="n">
        <f aca="false">DATA_INICIO_SAFRA+($B517-1)*DIAS_POR_SEMANA</f>
        <v>46608</v>
      </c>
      <c r="D517" s="17" t="n">
        <f aca="false">$C517+DIAS_POR_SEMANA-1</f>
        <v>46614</v>
      </c>
      <c r="E517" s="15" t="s">
        <v>266</v>
      </c>
      <c r="F517" s="8" t="str">
        <f aca="false">IFERROR(INDEX(CADASTRO_PIVOS!$C$6:$C$41,MATCH($E517,CADASTRO_PIVOS!$B$6:$B$41,0)),"?")</f>
        <v>RM04</v>
      </c>
      <c r="G517" s="8" t="str">
        <f aca="false">IFERROR(INDEX(CADASTRO_PIVOS!$D$6:$D$41,MATCH($E517,CADASTRO_PIVOS!$B$6:$B$41,0)),"?")</f>
        <v>TR04</v>
      </c>
      <c r="H517" s="20" t="n">
        <f aca="false">IFERROR(INDEX(CADASTRO_PIVOS!$E$6:$E$41,MATCH($E517,CADASTRO_PIVOS!$B$6:$B$41,0)),0)</f>
        <v>99.76</v>
      </c>
      <c r="I517" s="16" t="n">
        <f aca="false">IFERROR(SUMIFS(ROTACAO_RDM!$B$6:$B$71,ROTACAO_RDM!$D$6:$D$71,$E517,ROTACAO_RDM!$I$6:$I$71,"&lt;="&amp;$C517+INT(DIAS_POR_SEMANA/2),ROTACAO_RDM!$J$6:$J$71,"&gt;="&amp;$C517+INT(DIAS_POR_SEMANA/2)),0)</f>
        <v>0</v>
      </c>
      <c r="J517" s="16" t="n">
        <f aca="false">IFERROR(MATCH($I517,ROTACAO_RDM!$B$6:$B$71,0),0)</f>
        <v>0</v>
      </c>
      <c r="K517" s="8" t="str">
        <f aca="false">IF($J517=0,"SEM CULTURA",INDEX(ROTACAO_RDM!$F$6:$F$71,$J517))</f>
        <v>SEM CULTURA</v>
      </c>
      <c r="L517" s="8" t="str">
        <f aca="false">IF($J517=0,"",INDEX(ROTACAO_RDM!$G$6:$G$71,$J517))</f>
        <v/>
      </c>
      <c r="M517" s="17" t="str">
        <f aca="false">IF($J517=0,"",INDEX(ROTACAO_RDM!$I$6:$I$71,$J517))</f>
        <v/>
      </c>
      <c r="N517" s="16" t="n">
        <f aca="false">IF($J517=0,0,MAX(0,$C517+INT(DIAS_POR_SEMANA/2)-INDEX(ROTACAO_RDM!$I$6:$I$71,$J517)))</f>
        <v>0</v>
      </c>
      <c r="O517" s="19" t="n">
        <f aca="false">IF($J517=0,0,MIN(1,$N517/MAX(1,INDEX(ROTACAO_RDM!$K$6:$K$71,$J517))))</f>
        <v>0</v>
      </c>
      <c r="P517" s="16" t="n">
        <f aca="false">IF($J517=0,0,IFERROR(MATCH(INDEX(ROTACAO_RDM!$N$6:$N$71,$J517),PARAMETROS_CULTURAS!$B$6:$B$28,0),0))</f>
        <v>0</v>
      </c>
      <c r="Q517" s="8" t="str">
        <f aca="false">IF($P517=0,"-",IF($O517&lt;=INDEX(PARAMETROS_CULTURAS!$F$6:$F$28,$P517),"INICIAL",IF($O517&lt;=INDEX(PARAMETROS_CULTURAS!$F$6:$F$28,$P517)+INDEX(PARAMETROS_CULTURAS!$G$6:$G$28,$P517),"DESENVOLVIMENTO",IF($O517&lt;=INDEX(PARAMETROS_CULTURAS!$F$6:$F$28,$P517)+INDEX(PARAMETROS_CULTURAS!$G$6:$G$28,$P517)+INDEX(PARAMETROS_CULTURAS!$H$6:$H$28,$P517),"MEDIA","FINAL"))))</f>
        <v>-</v>
      </c>
      <c r="R517" s="24" t="n">
        <f aca="false">IF($P517=0,0,IF($O517&lt;=INDEX(PARAMETROS_CULTURAS!$F$6:$F$28,$P517),INDEX(PARAMETROS_CULTURAS!$K$6:$K$28,$P517),IF($O517&lt;=INDEX(PARAMETROS_CULTURAS!$F$6:$F$28,$P517)+INDEX(PARAMETROS_CULTURAS!$G$6:$G$28,$P517),INDEX(PARAMETROS_CULTURAS!$K$6:$K$28,$P517)+(INDEX(PARAMETROS_CULTURAS!$L$6:$L$28,$P517)-INDEX(PARAMETROS_CULTURAS!$K$6:$K$28,$P517))*($O517-INDEX(PARAMETROS_CULTURAS!$F$6:$F$28,$P517))/MAX(INDEX(PARAMETROS_CULTURAS!$G$6:$G$28,$P517),0.0001),IF($O517&lt;=INDEX(PARAMETROS_CULTURAS!$F$6:$F$28,$P517)+INDEX(PARAMETROS_CULTURAS!$G$6:$G$28,$P517)+INDEX(PARAMETROS_CULTURAS!$H$6:$H$28,$P517),INDEX(PARAMETROS_CULTURAS!$L$6:$L$28,$P517),INDEX(PARAMETROS_CULTURAS!$L$6:$L$28,$P517)+(INDEX(PARAMETROS_CULTURAS!$M$6:$M$28,$P517)-INDEX(PARAMETROS_CULTURAS!$L$6:$L$28,$P517))*($O517-INDEX(PARAMETROS_CULTURAS!$F$6:$F$28,$P517)-INDEX(PARAMETROS_CULTURAS!$G$6:$G$28,$P517)-INDEX(PARAMETROS_CULTURAS!$H$6:$H$28,$P517))/MAX(INDEX(PARAMETROS_CULTURAS!$I$6:$I$28,$P517),0.0001)))))</f>
        <v>0</v>
      </c>
      <c r="S517" s="18" t="n">
        <f aca="false">IFERROR(INDEX(SEMANAS!$H$6:$H$71,MATCH($B517,SEMANAS!$B$6:$B$71,0)),0)</f>
        <v>36.4</v>
      </c>
      <c r="T517" s="18" t="n">
        <f aca="false">$R517*$S517</f>
        <v>0</v>
      </c>
      <c r="U517" s="18" t="n">
        <f aca="false">IFERROR(INDEX(SEMANAS!$I$6:$I$71,MATCH($B517,SEMANAS!$B$6:$B$71,0)),0)</f>
        <v>1.12</v>
      </c>
      <c r="V517" s="18" t="n">
        <f aca="false">IFERROR(INDEX(SEMANAS!$J$6:$J$71,MATCH($B517,SEMANAS!$B$6:$B$71,0)),0)</f>
        <v>0.896</v>
      </c>
      <c r="W517" s="18" t="n">
        <f aca="false">MAX(0,$T517-$V517)</f>
        <v>0</v>
      </c>
      <c r="X517" s="19" t="n">
        <f aca="false">IFERROR(INDEX(CADASTRO_PIVOS!$K$6:$K$41,MATCH($E517,CADASTRO_PIVOS!$B$6:$B$41,0)),EFICIENCIA_PADRAO)</f>
        <v>0.85</v>
      </c>
      <c r="Y517" s="18" t="n">
        <f aca="false">IF($X517&lt;=0,0,$W517/$X517)</f>
        <v>0</v>
      </c>
      <c r="Z517" s="16" t="n">
        <f aca="false">$Y517*$H517*MM_PARA_M3_HA</f>
        <v>0</v>
      </c>
      <c r="AA517" s="18" t="n">
        <f aca="false">IFERROR(INDEX(CADASTRO_PIVOS!$I$6:$I$41,MATCH($E517,CADASTRO_PIVOS!$B$6:$B$41,0)),0)</f>
        <v>712.571428571429</v>
      </c>
      <c r="AB517" s="18" t="n">
        <f aca="false">IF($Z517&lt;=0,0,$Z517/$AA517)</f>
        <v>0</v>
      </c>
      <c r="AC517" s="16" t="n">
        <f aca="false">IFERROR(INDEX(SEMANAS!$K$6:$K$71,MATCH($B517,SEMANAS!$B$6:$B$71,0)),0)</f>
        <v>147</v>
      </c>
      <c r="AD517" s="19" t="n">
        <f aca="false">IF($AC517&lt;=0,0,$AB517/$AC517)</f>
        <v>0</v>
      </c>
      <c r="AE517" s="8" t="str">
        <f aca="false">IF($K517="SEM CULTURA","SEM CULTURA",IF($AA517&lt;=0,"DADO PENDENTE",IF($AD517&gt;LIMITE_CRITICO,"INVIAVEL",IF($AD517&gt;LIMITE_ATENCAO,"CRITICO",IF($AD517&gt;LIMITE_CONFORTAVEL,"ATENCAO","OK")))))</f>
        <v>SEM CULTURA</v>
      </c>
      <c r="AF517" s="8" t="str">
        <f aca="false">$B517&amp;"|"&amp;TEXT($AD517,"0.000000")</f>
        <v>50|0.000000</v>
      </c>
      <c r="AG517" s="18" t="n">
        <f aca="false">IF($K517="SEM CULTURA",0,$T517*$H517)</f>
        <v>0</v>
      </c>
      <c r="AH517" s="18" t="n">
        <f aca="false">IF($K517="SEM CULTURA",0,$V517*$H517)</f>
        <v>0</v>
      </c>
      <c r="AI517" s="18" t="n">
        <f aca="false">IF($K517="SEM CULTURA",0,$W517*$H517)</f>
        <v>0</v>
      </c>
      <c r="AJ517" s="18" t="n">
        <f aca="false">IF($K517="SEM CULTURA",0,$S517*$H517)</f>
        <v>0</v>
      </c>
      <c r="AK517" s="8" t="str">
        <f aca="false">$E517&amp;"|"&amp;TEXT($AD517,"0.000000")</f>
        <v>PV 103|0.000000</v>
      </c>
    </row>
    <row r="518" customFormat="false" ht="15" hidden="false" customHeight="false" outlineLevel="0" collapsed="false">
      <c r="B518" s="16" t="n">
        <v>51</v>
      </c>
      <c r="C518" s="17" t="n">
        <f aca="false">DATA_INICIO_SAFRA+($B518-1)*DIAS_POR_SEMANA</f>
        <v>46615</v>
      </c>
      <c r="D518" s="17" t="n">
        <f aca="false">$C518+DIAS_POR_SEMANA-1</f>
        <v>46621</v>
      </c>
      <c r="E518" s="15" t="s">
        <v>266</v>
      </c>
      <c r="F518" s="8" t="str">
        <f aca="false">IFERROR(INDEX(CADASTRO_PIVOS!$C$6:$C$41,MATCH($E518,CADASTRO_PIVOS!$B$6:$B$41,0)),"?")</f>
        <v>RM04</v>
      </c>
      <c r="G518" s="8" t="str">
        <f aca="false">IFERROR(INDEX(CADASTRO_PIVOS!$D$6:$D$41,MATCH($E518,CADASTRO_PIVOS!$B$6:$B$41,0)),"?")</f>
        <v>TR04</v>
      </c>
      <c r="H518" s="20" t="n">
        <f aca="false">IFERROR(INDEX(CADASTRO_PIVOS!$E$6:$E$41,MATCH($E518,CADASTRO_PIVOS!$B$6:$B$41,0)),0)</f>
        <v>99.76</v>
      </c>
      <c r="I518" s="16" t="n">
        <f aca="false">IFERROR(SUMIFS(ROTACAO_RDM!$B$6:$B$71,ROTACAO_RDM!$D$6:$D$71,$E518,ROTACAO_RDM!$I$6:$I$71,"&lt;="&amp;$C518+INT(DIAS_POR_SEMANA/2),ROTACAO_RDM!$J$6:$J$71,"&gt;="&amp;$C518+INT(DIAS_POR_SEMANA/2)),0)</f>
        <v>0</v>
      </c>
      <c r="J518" s="16" t="n">
        <f aca="false">IFERROR(MATCH($I518,ROTACAO_RDM!$B$6:$B$71,0),0)</f>
        <v>0</v>
      </c>
      <c r="K518" s="8" t="str">
        <f aca="false">IF($J518=0,"SEM CULTURA",INDEX(ROTACAO_RDM!$F$6:$F$71,$J518))</f>
        <v>SEM CULTURA</v>
      </c>
      <c r="L518" s="8" t="str">
        <f aca="false">IF($J518=0,"",INDEX(ROTACAO_RDM!$G$6:$G$71,$J518))</f>
        <v/>
      </c>
      <c r="M518" s="17" t="str">
        <f aca="false">IF($J518=0,"",INDEX(ROTACAO_RDM!$I$6:$I$71,$J518))</f>
        <v/>
      </c>
      <c r="N518" s="16" t="n">
        <f aca="false">IF($J518=0,0,MAX(0,$C518+INT(DIAS_POR_SEMANA/2)-INDEX(ROTACAO_RDM!$I$6:$I$71,$J518)))</f>
        <v>0</v>
      </c>
      <c r="O518" s="19" t="n">
        <f aca="false">IF($J518=0,0,MIN(1,$N518/MAX(1,INDEX(ROTACAO_RDM!$K$6:$K$71,$J518))))</f>
        <v>0</v>
      </c>
      <c r="P518" s="16" t="n">
        <f aca="false">IF($J518=0,0,IFERROR(MATCH(INDEX(ROTACAO_RDM!$N$6:$N$71,$J518),PARAMETROS_CULTURAS!$B$6:$B$28,0),0))</f>
        <v>0</v>
      </c>
      <c r="Q518" s="8" t="str">
        <f aca="false">IF($P518=0,"-",IF($O518&lt;=INDEX(PARAMETROS_CULTURAS!$F$6:$F$28,$P518),"INICIAL",IF($O518&lt;=INDEX(PARAMETROS_CULTURAS!$F$6:$F$28,$P518)+INDEX(PARAMETROS_CULTURAS!$G$6:$G$28,$P518),"DESENVOLVIMENTO",IF($O518&lt;=INDEX(PARAMETROS_CULTURAS!$F$6:$F$28,$P518)+INDEX(PARAMETROS_CULTURAS!$G$6:$G$28,$P518)+INDEX(PARAMETROS_CULTURAS!$H$6:$H$28,$P518),"MEDIA","FINAL"))))</f>
        <v>-</v>
      </c>
      <c r="R518" s="24" t="n">
        <f aca="false">IF($P518=0,0,IF($O518&lt;=INDEX(PARAMETROS_CULTURAS!$F$6:$F$28,$P518),INDEX(PARAMETROS_CULTURAS!$K$6:$K$28,$P518),IF($O518&lt;=INDEX(PARAMETROS_CULTURAS!$F$6:$F$28,$P518)+INDEX(PARAMETROS_CULTURAS!$G$6:$G$28,$P518),INDEX(PARAMETROS_CULTURAS!$K$6:$K$28,$P518)+(INDEX(PARAMETROS_CULTURAS!$L$6:$L$28,$P518)-INDEX(PARAMETROS_CULTURAS!$K$6:$K$28,$P518))*($O518-INDEX(PARAMETROS_CULTURAS!$F$6:$F$28,$P518))/MAX(INDEX(PARAMETROS_CULTURAS!$G$6:$G$28,$P518),0.0001),IF($O518&lt;=INDEX(PARAMETROS_CULTURAS!$F$6:$F$28,$P518)+INDEX(PARAMETROS_CULTURAS!$G$6:$G$28,$P518)+INDEX(PARAMETROS_CULTURAS!$H$6:$H$28,$P518),INDEX(PARAMETROS_CULTURAS!$L$6:$L$28,$P518),INDEX(PARAMETROS_CULTURAS!$L$6:$L$28,$P518)+(INDEX(PARAMETROS_CULTURAS!$M$6:$M$28,$P518)-INDEX(PARAMETROS_CULTURAS!$L$6:$L$28,$P518))*($O518-INDEX(PARAMETROS_CULTURAS!$F$6:$F$28,$P518)-INDEX(PARAMETROS_CULTURAS!$G$6:$G$28,$P518)-INDEX(PARAMETROS_CULTURAS!$H$6:$H$28,$P518))/MAX(INDEX(PARAMETROS_CULTURAS!$I$6:$I$28,$P518),0.0001)))))</f>
        <v>0</v>
      </c>
      <c r="S518" s="18" t="n">
        <f aca="false">IFERROR(INDEX(SEMANAS!$H$6:$H$71,MATCH($B518,SEMANAS!$B$6:$B$71,0)),0)</f>
        <v>36.4</v>
      </c>
      <c r="T518" s="18" t="n">
        <f aca="false">$R518*$S518</f>
        <v>0</v>
      </c>
      <c r="U518" s="18" t="n">
        <f aca="false">IFERROR(INDEX(SEMANAS!$I$6:$I$71,MATCH($B518,SEMANAS!$B$6:$B$71,0)),0)</f>
        <v>1.12</v>
      </c>
      <c r="V518" s="18" t="n">
        <f aca="false">IFERROR(INDEX(SEMANAS!$J$6:$J$71,MATCH($B518,SEMANAS!$B$6:$B$71,0)),0)</f>
        <v>0.896</v>
      </c>
      <c r="W518" s="18" t="n">
        <f aca="false">MAX(0,$T518-$V518)</f>
        <v>0</v>
      </c>
      <c r="X518" s="19" t="n">
        <f aca="false">IFERROR(INDEX(CADASTRO_PIVOS!$K$6:$K$41,MATCH($E518,CADASTRO_PIVOS!$B$6:$B$41,0)),EFICIENCIA_PADRAO)</f>
        <v>0.85</v>
      </c>
      <c r="Y518" s="18" t="n">
        <f aca="false">IF($X518&lt;=0,0,$W518/$X518)</f>
        <v>0</v>
      </c>
      <c r="Z518" s="16" t="n">
        <f aca="false">$Y518*$H518*MM_PARA_M3_HA</f>
        <v>0</v>
      </c>
      <c r="AA518" s="18" t="n">
        <f aca="false">IFERROR(INDEX(CADASTRO_PIVOS!$I$6:$I$41,MATCH($E518,CADASTRO_PIVOS!$B$6:$B$41,0)),0)</f>
        <v>712.571428571429</v>
      </c>
      <c r="AB518" s="18" t="n">
        <f aca="false">IF($Z518&lt;=0,0,$Z518/$AA518)</f>
        <v>0</v>
      </c>
      <c r="AC518" s="16" t="n">
        <f aca="false">IFERROR(INDEX(SEMANAS!$K$6:$K$71,MATCH($B518,SEMANAS!$B$6:$B$71,0)),0)</f>
        <v>147</v>
      </c>
      <c r="AD518" s="19" t="n">
        <f aca="false">IF($AC518&lt;=0,0,$AB518/$AC518)</f>
        <v>0</v>
      </c>
      <c r="AE518" s="8" t="str">
        <f aca="false">IF($K518="SEM CULTURA","SEM CULTURA",IF($AA518&lt;=0,"DADO PENDENTE",IF($AD518&gt;LIMITE_CRITICO,"INVIAVEL",IF($AD518&gt;LIMITE_ATENCAO,"CRITICO",IF($AD518&gt;LIMITE_CONFORTAVEL,"ATENCAO","OK")))))</f>
        <v>SEM CULTURA</v>
      </c>
      <c r="AF518" s="8" t="str">
        <f aca="false">$B518&amp;"|"&amp;TEXT($AD518,"0.000000")</f>
        <v>51|0.000000</v>
      </c>
      <c r="AG518" s="18" t="n">
        <f aca="false">IF($K518="SEM CULTURA",0,$T518*$H518)</f>
        <v>0</v>
      </c>
      <c r="AH518" s="18" t="n">
        <f aca="false">IF($K518="SEM CULTURA",0,$V518*$H518)</f>
        <v>0</v>
      </c>
      <c r="AI518" s="18" t="n">
        <f aca="false">IF($K518="SEM CULTURA",0,$W518*$H518)</f>
        <v>0</v>
      </c>
      <c r="AJ518" s="18" t="n">
        <f aca="false">IF($K518="SEM CULTURA",0,$S518*$H518)</f>
        <v>0</v>
      </c>
      <c r="AK518" s="8" t="str">
        <f aca="false">$E518&amp;"|"&amp;TEXT($AD518,"0.000000")</f>
        <v>PV 103|0.000000</v>
      </c>
    </row>
    <row r="519" customFormat="false" ht="15" hidden="false" customHeight="false" outlineLevel="0" collapsed="false">
      <c r="B519" s="16" t="n">
        <v>52</v>
      </c>
      <c r="C519" s="17" t="n">
        <f aca="false">DATA_INICIO_SAFRA+($B519-1)*DIAS_POR_SEMANA</f>
        <v>46622</v>
      </c>
      <c r="D519" s="17" t="n">
        <f aca="false">$C519+DIAS_POR_SEMANA-1</f>
        <v>46628</v>
      </c>
      <c r="E519" s="15" t="s">
        <v>266</v>
      </c>
      <c r="F519" s="8" t="str">
        <f aca="false">IFERROR(INDEX(CADASTRO_PIVOS!$C$6:$C$41,MATCH($E519,CADASTRO_PIVOS!$B$6:$B$41,0)),"?")</f>
        <v>RM04</v>
      </c>
      <c r="G519" s="8" t="str">
        <f aca="false">IFERROR(INDEX(CADASTRO_PIVOS!$D$6:$D$41,MATCH($E519,CADASTRO_PIVOS!$B$6:$B$41,0)),"?")</f>
        <v>TR04</v>
      </c>
      <c r="H519" s="20" t="n">
        <f aca="false">IFERROR(INDEX(CADASTRO_PIVOS!$E$6:$E$41,MATCH($E519,CADASTRO_PIVOS!$B$6:$B$41,0)),0)</f>
        <v>99.76</v>
      </c>
      <c r="I519" s="16" t="n">
        <f aca="false">IFERROR(SUMIFS(ROTACAO_RDM!$B$6:$B$71,ROTACAO_RDM!$D$6:$D$71,$E519,ROTACAO_RDM!$I$6:$I$71,"&lt;="&amp;$C519+INT(DIAS_POR_SEMANA/2),ROTACAO_RDM!$J$6:$J$71,"&gt;="&amp;$C519+INT(DIAS_POR_SEMANA/2)),0)</f>
        <v>0</v>
      </c>
      <c r="J519" s="16" t="n">
        <f aca="false">IFERROR(MATCH($I519,ROTACAO_RDM!$B$6:$B$71,0),0)</f>
        <v>0</v>
      </c>
      <c r="K519" s="8" t="str">
        <f aca="false">IF($J519=0,"SEM CULTURA",INDEX(ROTACAO_RDM!$F$6:$F$71,$J519))</f>
        <v>SEM CULTURA</v>
      </c>
      <c r="L519" s="8" t="str">
        <f aca="false">IF($J519=0,"",INDEX(ROTACAO_RDM!$G$6:$G$71,$J519))</f>
        <v/>
      </c>
      <c r="M519" s="17" t="str">
        <f aca="false">IF($J519=0,"",INDEX(ROTACAO_RDM!$I$6:$I$71,$J519))</f>
        <v/>
      </c>
      <c r="N519" s="16" t="n">
        <f aca="false">IF($J519=0,0,MAX(0,$C519+INT(DIAS_POR_SEMANA/2)-INDEX(ROTACAO_RDM!$I$6:$I$71,$J519)))</f>
        <v>0</v>
      </c>
      <c r="O519" s="19" t="n">
        <f aca="false">IF($J519=0,0,MIN(1,$N519/MAX(1,INDEX(ROTACAO_RDM!$K$6:$K$71,$J519))))</f>
        <v>0</v>
      </c>
      <c r="P519" s="16" t="n">
        <f aca="false">IF($J519=0,0,IFERROR(MATCH(INDEX(ROTACAO_RDM!$N$6:$N$71,$J519),PARAMETROS_CULTURAS!$B$6:$B$28,0),0))</f>
        <v>0</v>
      </c>
      <c r="Q519" s="8" t="str">
        <f aca="false">IF($P519=0,"-",IF($O519&lt;=INDEX(PARAMETROS_CULTURAS!$F$6:$F$28,$P519),"INICIAL",IF($O519&lt;=INDEX(PARAMETROS_CULTURAS!$F$6:$F$28,$P519)+INDEX(PARAMETROS_CULTURAS!$G$6:$G$28,$P519),"DESENVOLVIMENTO",IF($O519&lt;=INDEX(PARAMETROS_CULTURAS!$F$6:$F$28,$P519)+INDEX(PARAMETROS_CULTURAS!$G$6:$G$28,$P519)+INDEX(PARAMETROS_CULTURAS!$H$6:$H$28,$P519),"MEDIA","FINAL"))))</f>
        <v>-</v>
      </c>
      <c r="R519" s="24" t="n">
        <f aca="false">IF($P519=0,0,IF($O519&lt;=INDEX(PARAMETROS_CULTURAS!$F$6:$F$28,$P519),INDEX(PARAMETROS_CULTURAS!$K$6:$K$28,$P519),IF($O519&lt;=INDEX(PARAMETROS_CULTURAS!$F$6:$F$28,$P519)+INDEX(PARAMETROS_CULTURAS!$G$6:$G$28,$P519),INDEX(PARAMETROS_CULTURAS!$K$6:$K$28,$P519)+(INDEX(PARAMETROS_CULTURAS!$L$6:$L$28,$P519)-INDEX(PARAMETROS_CULTURAS!$K$6:$K$28,$P519))*($O519-INDEX(PARAMETROS_CULTURAS!$F$6:$F$28,$P519))/MAX(INDEX(PARAMETROS_CULTURAS!$G$6:$G$28,$P519),0.0001),IF($O519&lt;=INDEX(PARAMETROS_CULTURAS!$F$6:$F$28,$P519)+INDEX(PARAMETROS_CULTURAS!$G$6:$G$28,$P519)+INDEX(PARAMETROS_CULTURAS!$H$6:$H$28,$P519),INDEX(PARAMETROS_CULTURAS!$L$6:$L$28,$P519),INDEX(PARAMETROS_CULTURAS!$L$6:$L$28,$P519)+(INDEX(PARAMETROS_CULTURAS!$M$6:$M$28,$P519)-INDEX(PARAMETROS_CULTURAS!$L$6:$L$28,$P519))*($O519-INDEX(PARAMETROS_CULTURAS!$F$6:$F$28,$P519)-INDEX(PARAMETROS_CULTURAS!$G$6:$G$28,$P519)-INDEX(PARAMETROS_CULTURAS!$H$6:$H$28,$P519))/MAX(INDEX(PARAMETROS_CULTURAS!$I$6:$I$28,$P519),0.0001)))))</f>
        <v>0</v>
      </c>
      <c r="S519" s="18" t="n">
        <f aca="false">IFERROR(INDEX(SEMANAS!$H$6:$H$71,MATCH($B519,SEMANAS!$B$6:$B$71,0)),0)</f>
        <v>36.4</v>
      </c>
      <c r="T519" s="18" t="n">
        <f aca="false">$R519*$S519</f>
        <v>0</v>
      </c>
      <c r="U519" s="18" t="n">
        <f aca="false">IFERROR(INDEX(SEMANAS!$I$6:$I$71,MATCH($B519,SEMANAS!$B$6:$B$71,0)),0)</f>
        <v>1.12</v>
      </c>
      <c r="V519" s="18" t="n">
        <f aca="false">IFERROR(INDEX(SEMANAS!$J$6:$J$71,MATCH($B519,SEMANAS!$B$6:$B$71,0)),0)</f>
        <v>0.896</v>
      </c>
      <c r="W519" s="18" t="n">
        <f aca="false">MAX(0,$T519-$V519)</f>
        <v>0</v>
      </c>
      <c r="X519" s="19" t="n">
        <f aca="false">IFERROR(INDEX(CADASTRO_PIVOS!$K$6:$K$41,MATCH($E519,CADASTRO_PIVOS!$B$6:$B$41,0)),EFICIENCIA_PADRAO)</f>
        <v>0.85</v>
      </c>
      <c r="Y519" s="18" t="n">
        <f aca="false">IF($X519&lt;=0,0,$W519/$X519)</f>
        <v>0</v>
      </c>
      <c r="Z519" s="16" t="n">
        <f aca="false">$Y519*$H519*MM_PARA_M3_HA</f>
        <v>0</v>
      </c>
      <c r="AA519" s="18" t="n">
        <f aca="false">IFERROR(INDEX(CADASTRO_PIVOS!$I$6:$I$41,MATCH($E519,CADASTRO_PIVOS!$B$6:$B$41,0)),0)</f>
        <v>712.571428571429</v>
      </c>
      <c r="AB519" s="18" t="n">
        <f aca="false">IF($Z519&lt;=0,0,$Z519/$AA519)</f>
        <v>0</v>
      </c>
      <c r="AC519" s="16" t="n">
        <f aca="false">IFERROR(INDEX(SEMANAS!$K$6:$K$71,MATCH($B519,SEMANAS!$B$6:$B$71,0)),0)</f>
        <v>147</v>
      </c>
      <c r="AD519" s="19" t="n">
        <f aca="false">IF($AC519&lt;=0,0,$AB519/$AC519)</f>
        <v>0</v>
      </c>
      <c r="AE519" s="8" t="str">
        <f aca="false">IF($K519="SEM CULTURA","SEM CULTURA",IF($AA519&lt;=0,"DADO PENDENTE",IF($AD519&gt;LIMITE_CRITICO,"INVIAVEL",IF($AD519&gt;LIMITE_ATENCAO,"CRITICO",IF($AD519&gt;LIMITE_CONFORTAVEL,"ATENCAO","OK")))))</f>
        <v>SEM CULTURA</v>
      </c>
      <c r="AF519" s="8" t="str">
        <f aca="false">$B519&amp;"|"&amp;TEXT($AD519,"0.000000")</f>
        <v>52|0.000000</v>
      </c>
      <c r="AG519" s="18" t="n">
        <f aca="false">IF($K519="SEM CULTURA",0,$T519*$H519)</f>
        <v>0</v>
      </c>
      <c r="AH519" s="18" t="n">
        <f aca="false">IF($K519="SEM CULTURA",0,$V519*$H519)</f>
        <v>0</v>
      </c>
      <c r="AI519" s="18" t="n">
        <f aca="false">IF($K519="SEM CULTURA",0,$W519*$H519)</f>
        <v>0</v>
      </c>
      <c r="AJ519" s="18" t="n">
        <f aca="false">IF($K519="SEM CULTURA",0,$S519*$H519)</f>
        <v>0</v>
      </c>
      <c r="AK519" s="8" t="str">
        <f aca="false">$E519&amp;"|"&amp;TEXT($AD519,"0.000000")</f>
        <v>PV 103|0.000000</v>
      </c>
    </row>
    <row r="520" customFormat="false" ht="15" hidden="false" customHeight="false" outlineLevel="0" collapsed="false">
      <c r="B520" s="16" t="n">
        <v>53</v>
      </c>
      <c r="C520" s="17" t="n">
        <f aca="false">DATA_INICIO_SAFRA+($B520-1)*DIAS_POR_SEMANA</f>
        <v>46629</v>
      </c>
      <c r="D520" s="17" t="n">
        <f aca="false">$C520+DIAS_POR_SEMANA-1</f>
        <v>46635</v>
      </c>
      <c r="E520" s="15" t="s">
        <v>266</v>
      </c>
      <c r="F520" s="8" t="str">
        <f aca="false">IFERROR(INDEX(CADASTRO_PIVOS!$C$6:$C$41,MATCH($E520,CADASTRO_PIVOS!$B$6:$B$41,0)),"?")</f>
        <v>RM04</v>
      </c>
      <c r="G520" s="8" t="str">
        <f aca="false">IFERROR(INDEX(CADASTRO_PIVOS!$D$6:$D$41,MATCH($E520,CADASTRO_PIVOS!$B$6:$B$41,0)),"?")</f>
        <v>TR04</v>
      </c>
      <c r="H520" s="20" t="n">
        <f aca="false">IFERROR(INDEX(CADASTRO_PIVOS!$E$6:$E$41,MATCH($E520,CADASTRO_PIVOS!$B$6:$B$41,0)),0)</f>
        <v>99.76</v>
      </c>
      <c r="I520" s="16" t="n">
        <f aca="false">IFERROR(SUMIFS(ROTACAO_RDM!$B$6:$B$71,ROTACAO_RDM!$D$6:$D$71,$E520,ROTACAO_RDM!$I$6:$I$71,"&lt;="&amp;$C520+INT(DIAS_POR_SEMANA/2),ROTACAO_RDM!$J$6:$J$71,"&gt;="&amp;$C520+INT(DIAS_POR_SEMANA/2)),0)</f>
        <v>0</v>
      </c>
      <c r="J520" s="16" t="n">
        <f aca="false">IFERROR(MATCH($I520,ROTACAO_RDM!$B$6:$B$71,0),0)</f>
        <v>0</v>
      </c>
      <c r="K520" s="8" t="str">
        <f aca="false">IF($J520=0,"SEM CULTURA",INDEX(ROTACAO_RDM!$F$6:$F$71,$J520))</f>
        <v>SEM CULTURA</v>
      </c>
      <c r="L520" s="8" t="str">
        <f aca="false">IF($J520=0,"",INDEX(ROTACAO_RDM!$G$6:$G$71,$J520))</f>
        <v/>
      </c>
      <c r="M520" s="17" t="str">
        <f aca="false">IF($J520=0,"",INDEX(ROTACAO_RDM!$I$6:$I$71,$J520))</f>
        <v/>
      </c>
      <c r="N520" s="16" t="n">
        <f aca="false">IF($J520=0,0,MAX(0,$C520+INT(DIAS_POR_SEMANA/2)-INDEX(ROTACAO_RDM!$I$6:$I$71,$J520)))</f>
        <v>0</v>
      </c>
      <c r="O520" s="19" t="n">
        <f aca="false">IF($J520=0,0,MIN(1,$N520/MAX(1,INDEX(ROTACAO_RDM!$K$6:$K$71,$J520))))</f>
        <v>0</v>
      </c>
      <c r="P520" s="16" t="n">
        <f aca="false">IF($J520=0,0,IFERROR(MATCH(INDEX(ROTACAO_RDM!$N$6:$N$71,$J520),PARAMETROS_CULTURAS!$B$6:$B$28,0),0))</f>
        <v>0</v>
      </c>
      <c r="Q520" s="8" t="str">
        <f aca="false">IF($P520=0,"-",IF($O520&lt;=INDEX(PARAMETROS_CULTURAS!$F$6:$F$28,$P520),"INICIAL",IF($O520&lt;=INDEX(PARAMETROS_CULTURAS!$F$6:$F$28,$P520)+INDEX(PARAMETROS_CULTURAS!$G$6:$G$28,$P520),"DESENVOLVIMENTO",IF($O520&lt;=INDEX(PARAMETROS_CULTURAS!$F$6:$F$28,$P520)+INDEX(PARAMETROS_CULTURAS!$G$6:$G$28,$P520)+INDEX(PARAMETROS_CULTURAS!$H$6:$H$28,$P520),"MEDIA","FINAL"))))</f>
        <v>-</v>
      </c>
      <c r="R520" s="24" t="n">
        <f aca="false">IF($P520=0,0,IF($O520&lt;=INDEX(PARAMETROS_CULTURAS!$F$6:$F$28,$P520),INDEX(PARAMETROS_CULTURAS!$K$6:$K$28,$P520),IF($O520&lt;=INDEX(PARAMETROS_CULTURAS!$F$6:$F$28,$P520)+INDEX(PARAMETROS_CULTURAS!$G$6:$G$28,$P520),INDEX(PARAMETROS_CULTURAS!$K$6:$K$28,$P520)+(INDEX(PARAMETROS_CULTURAS!$L$6:$L$28,$P520)-INDEX(PARAMETROS_CULTURAS!$K$6:$K$28,$P520))*($O520-INDEX(PARAMETROS_CULTURAS!$F$6:$F$28,$P520))/MAX(INDEX(PARAMETROS_CULTURAS!$G$6:$G$28,$P520),0.0001),IF($O520&lt;=INDEX(PARAMETROS_CULTURAS!$F$6:$F$28,$P520)+INDEX(PARAMETROS_CULTURAS!$G$6:$G$28,$P520)+INDEX(PARAMETROS_CULTURAS!$H$6:$H$28,$P520),INDEX(PARAMETROS_CULTURAS!$L$6:$L$28,$P520),INDEX(PARAMETROS_CULTURAS!$L$6:$L$28,$P520)+(INDEX(PARAMETROS_CULTURAS!$M$6:$M$28,$P520)-INDEX(PARAMETROS_CULTURAS!$L$6:$L$28,$P520))*($O520-INDEX(PARAMETROS_CULTURAS!$F$6:$F$28,$P520)-INDEX(PARAMETROS_CULTURAS!$G$6:$G$28,$P520)-INDEX(PARAMETROS_CULTURAS!$H$6:$H$28,$P520))/MAX(INDEX(PARAMETROS_CULTURAS!$I$6:$I$28,$P520),0.0001)))))</f>
        <v>0</v>
      </c>
      <c r="S520" s="18" t="n">
        <f aca="false">IFERROR(INDEX(SEMANAS!$H$6:$H$71,MATCH($B520,SEMANAS!$B$6:$B$71,0)),0)</f>
        <v>39.4</v>
      </c>
      <c r="T520" s="18" t="n">
        <f aca="false">$R520*$S520</f>
        <v>0</v>
      </c>
      <c r="U520" s="18" t="n">
        <f aca="false">IFERROR(INDEX(SEMANAS!$I$6:$I$71,MATCH($B520,SEMANAS!$B$6:$B$71,0)),0)</f>
        <v>5.32</v>
      </c>
      <c r="V520" s="18" t="n">
        <f aca="false">IFERROR(INDEX(SEMANAS!$J$6:$J$71,MATCH($B520,SEMANAS!$B$6:$B$71,0)),0)</f>
        <v>4.256</v>
      </c>
      <c r="W520" s="18" t="n">
        <f aca="false">MAX(0,$T520-$V520)</f>
        <v>0</v>
      </c>
      <c r="X520" s="19" t="n">
        <f aca="false">IFERROR(INDEX(CADASTRO_PIVOS!$K$6:$K$41,MATCH($E520,CADASTRO_PIVOS!$B$6:$B$41,0)),EFICIENCIA_PADRAO)</f>
        <v>0.85</v>
      </c>
      <c r="Y520" s="18" t="n">
        <f aca="false">IF($X520&lt;=0,0,$W520/$X520)</f>
        <v>0</v>
      </c>
      <c r="Z520" s="16" t="n">
        <f aca="false">$Y520*$H520*MM_PARA_M3_HA</f>
        <v>0</v>
      </c>
      <c r="AA520" s="18" t="n">
        <f aca="false">IFERROR(INDEX(CADASTRO_PIVOS!$I$6:$I$41,MATCH($E520,CADASTRO_PIVOS!$B$6:$B$41,0)),0)</f>
        <v>712.571428571429</v>
      </c>
      <c r="AB520" s="18" t="n">
        <f aca="false">IF($Z520&lt;=0,0,$Z520/$AA520)</f>
        <v>0</v>
      </c>
      <c r="AC520" s="16" t="n">
        <f aca="false">IFERROR(INDEX(SEMANAS!$K$6:$K$71,MATCH($B520,SEMANAS!$B$6:$B$71,0)),0)</f>
        <v>147</v>
      </c>
      <c r="AD520" s="19" t="n">
        <f aca="false">IF($AC520&lt;=0,0,$AB520/$AC520)</f>
        <v>0</v>
      </c>
      <c r="AE520" s="8" t="str">
        <f aca="false">IF($K520="SEM CULTURA","SEM CULTURA",IF($AA520&lt;=0,"DADO PENDENTE",IF($AD520&gt;LIMITE_CRITICO,"INVIAVEL",IF($AD520&gt;LIMITE_ATENCAO,"CRITICO",IF($AD520&gt;LIMITE_CONFORTAVEL,"ATENCAO","OK")))))</f>
        <v>SEM CULTURA</v>
      </c>
      <c r="AF520" s="8" t="str">
        <f aca="false">$B520&amp;"|"&amp;TEXT($AD520,"0.000000")</f>
        <v>53|0.000000</v>
      </c>
      <c r="AG520" s="18" t="n">
        <f aca="false">IF($K520="SEM CULTURA",0,$T520*$H520)</f>
        <v>0</v>
      </c>
      <c r="AH520" s="18" t="n">
        <f aca="false">IF($K520="SEM CULTURA",0,$V520*$H520)</f>
        <v>0</v>
      </c>
      <c r="AI520" s="18" t="n">
        <f aca="false">IF($K520="SEM CULTURA",0,$W520*$H520)</f>
        <v>0</v>
      </c>
      <c r="AJ520" s="18" t="n">
        <f aca="false">IF($K520="SEM CULTURA",0,$S520*$H520)</f>
        <v>0</v>
      </c>
      <c r="AK520" s="8" t="str">
        <f aca="false">$E520&amp;"|"&amp;TEXT($AD520,"0.000000")</f>
        <v>PV 103|0.000000</v>
      </c>
    </row>
    <row r="521" customFormat="false" ht="15" hidden="false" customHeight="false" outlineLevel="0" collapsed="false">
      <c r="B521" s="16" t="n">
        <v>54</v>
      </c>
      <c r="C521" s="17" t="n">
        <f aca="false">DATA_INICIO_SAFRA+($B521-1)*DIAS_POR_SEMANA</f>
        <v>46636</v>
      </c>
      <c r="D521" s="17" t="n">
        <f aca="false">$C521+DIAS_POR_SEMANA-1</f>
        <v>46642</v>
      </c>
      <c r="E521" s="15" t="s">
        <v>266</v>
      </c>
      <c r="F521" s="8" t="str">
        <f aca="false">IFERROR(INDEX(CADASTRO_PIVOS!$C$6:$C$41,MATCH($E521,CADASTRO_PIVOS!$B$6:$B$41,0)),"?")</f>
        <v>RM04</v>
      </c>
      <c r="G521" s="8" t="str">
        <f aca="false">IFERROR(INDEX(CADASTRO_PIVOS!$D$6:$D$41,MATCH($E521,CADASTRO_PIVOS!$B$6:$B$41,0)),"?")</f>
        <v>TR04</v>
      </c>
      <c r="H521" s="20" t="n">
        <f aca="false">IFERROR(INDEX(CADASTRO_PIVOS!$E$6:$E$41,MATCH($E521,CADASTRO_PIVOS!$B$6:$B$41,0)),0)</f>
        <v>99.76</v>
      </c>
      <c r="I521" s="16" t="n">
        <f aca="false">IFERROR(SUMIFS(ROTACAO_RDM!$B$6:$B$71,ROTACAO_RDM!$D$6:$D$71,$E521,ROTACAO_RDM!$I$6:$I$71,"&lt;="&amp;$C521+INT(DIAS_POR_SEMANA/2),ROTACAO_RDM!$J$6:$J$71,"&gt;="&amp;$C521+INT(DIAS_POR_SEMANA/2)),0)</f>
        <v>0</v>
      </c>
      <c r="J521" s="16" t="n">
        <f aca="false">IFERROR(MATCH($I521,ROTACAO_RDM!$B$6:$B$71,0),0)</f>
        <v>0</v>
      </c>
      <c r="K521" s="8" t="str">
        <f aca="false">IF($J521=0,"SEM CULTURA",INDEX(ROTACAO_RDM!$F$6:$F$71,$J521))</f>
        <v>SEM CULTURA</v>
      </c>
      <c r="L521" s="8" t="str">
        <f aca="false">IF($J521=0,"",INDEX(ROTACAO_RDM!$G$6:$G$71,$J521))</f>
        <v/>
      </c>
      <c r="M521" s="17" t="str">
        <f aca="false">IF($J521=0,"",INDEX(ROTACAO_RDM!$I$6:$I$71,$J521))</f>
        <v/>
      </c>
      <c r="N521" s="16" t="n">
        <f aca="false">IF($J521=0,0,MAX(0,$C521+INT(DIAS_POR_SEMANA/2)-INDEX(ROTACAO_RDM!$I$6:$I$71,$J521)))</f>
        <v>0</v>
      </c>
      <c r="O521" s="19" t="n">
        <f aca="false">IF($J521=0,0,MIN(1,$N521/MAX(1,INDEX(ROTACAO_RDM!$K$6:$K$71,$J521))))</f>
        <v>0</v>
      </c>
      <c r="P521" s="16" t="n">
        <f aca="false">IF($J521=0,0,IFERROR(MATCH(INDEX(ROTACAO_RDM!$N$6:$N$71,$J521),PARAMETROS_CULTURAS!$B$6:$B$28,0),0))</f>
        <v>0</v>
      </c>
      <c r="Q521" s="8" t="str">
        <f aca="false">IF($P521=0,"-",IF($O521&lt;=INDEX(PARAMETROS_CULTURAS!$F$6:$F$28,$P521),"INICIAL",IF($O521&lt;=INDEX(PARAMETROS_CULTURAS!$F$6:$F$28,$P521)+INDEX(PARAMETROS_CULTURAS!$G$6:$G$28,$P521),"DESENVOLVIMENTO",IF($O521&lt;=INDEX(PARAMETROS_CULTURAS!$F$6:$F$28,$P521)+INDEX(PARAMETROS_CULTURAS!$G$6:$G$28,$P521)+INDEX(PARAMETROS_CULTURAS!$H$6:$H$28,$P521),"MEDIA","FINAL"))))</f>
        <v>-</v>
      </c>
      <c r="R521" s="24" t="n">
        <f aca="false">IF($P521=0,0,IF($O521&lt;=INDEX(PARAMETROS_CULTURAS!$F$6:$F$28,$P521),INDEX(PARAMETROS_CULTURAS!$K$6:$K$28,$P521),IF($O521&lt;=INDEX(PARAMETROS_CULTURAS!$F$6:$F$28,$P521)+INDEX(PARAMETROS_CULTURAS!$G$6:$G$28,$P521),INDEX(PARAMETROS_CULTURAS!$K$6:$K$28,$P521)+(INDEX(PARAMETROS_CULTURAS!$L$6:$L$28,$P521)-INDEX(PARAMETROS_CULTURAS!$K$6:$K$28,$P521))*($O521-INDEX(PARAMETROS_CULTURAS!$F$6:$F$28,$P521))/MAX(INDEX(PARAMETROS_CULTURAS!$G$6:$G$28,$P521),0.0001),IF($O521&lt;=INDEX(PARAMETROS_CULTURAS!$F$6:$F$28,$P521)+INDEX(PARAMETROS_CULTURAS!$G$6:$G$28,$P521)+INDEX(PARAMETROS_CULTURAS!$H$6:$H$28,$P521),INDEX(PARAMETROS_CULTURAS!$L$6:$L$28,$P521),INDEX(PARAMETROS_CULTURAS!$L$6:$L$28,$P521)+(INDEX(PARAMETROS_CULTURAS!$M$6:$M$28,$P521)-INDEX(PARAMETROS_CULTURAS!$L$6:$L$28,$P521))*($O521-INDEX(PARAMETROS_CULTURAS!$F$6:$F$28,$P521)-INDEX(PARAMETROS_CULTURAS!$G$6:$G$28,$P521)-INDEX(PARAMETROS_CULTURAS!$H$6:$H$28,$P521))/MAX(INDEX(PARAMETROS_CULTURAS!$I$6:$I$28,$P521),0.0001)))))</f>
        <v>0</v>
      </c>
      <c r="S521" s="18" t="n">
        <f aca="false">IFERROR(INDEX(SEMANAS!$H$6:$H$71,MATCH($B521,SEMANAS!$B$6:$B$71,0)),0)</f>
        <v>40.6</v>
      </c>
      <c r="T521" s="18" t="n">
        <f aca="false">$R521*$S521</f>
        <v>0</v>
      </c>
      <c r="U521" s="18" t="n">
        <f aca="false">IFERROR(INDEX(SEMANAS!$I$6:$I$71,MATCH($B521,SEMANAS!$B$6:$B$71,0)),0)</f>
        <v>7</v>
      </c>
      <c r="V521" s="18" t="n">
        <f aca="false">IFERROR(INDEX(SEMANAS!$J$6:$J$71,MATCH($B521,SEMANAS!$B$6:$B$71,0)),0)</f>
        <v>5.6</v>
      </c>
      <c r="W521" s="18" t="n">
        <f aca="false">MAX(0,$T521-$V521)</f>
        <v>0</v>
      </c>
      <c r="X521" s="19" t="n">
        <f aca="false">IFERROR(INDEX(CADASTRO_PIVOS!$K$6:$K$41,MATCH($E521,CADASTRO_PIVOS!$B$6:$B$41,0)),EFICIENCIA_PADRAO)</f>
        <v>0.85</v>
      </c>
      <c r="Y521" s="18" t="n">
        <f aca="false">IF($X521&lt;=0,0,$W521/$X521)</f>
        <v>0</v>
      </c>
      <c r="Z521" s="16" t="n">
        <f aca="false">$Y521*$H521*MM_PARA_M3_HA</f>
        <v>0</v>
      </c>
      <c r="AA521" s="18" t="n">
        <f aca="false">IFERROR(INDEX(CADASTRO_PIVOS!$I$6:$I$41,MATCH($E521,CADASTRO_PIVOS!$B$6:$B$41,0)),0)</f>
        <v>712.571428571429</v>
      </c>
      <c r="AB521" s="18" t="n">
        <f aca="false">IF($Z521&lt;=0,0,$Z521/$AA521)</f>
        <v>0</v>
      </c>
      <c r="AC521" s="16" t="n">
        <f aca="false">IFERROR(INDEX(SEMANAS!$K$6:$K$71,MATCH($B521,SEMANAS!$B$6:$B$71,0)),0)</f>
        <v>147</v>
      </c>
      <c r="AD521" s="19" t="n">
        <f aca="false">IF($AC521&lt;=0,0,$AB521/$AC521)</f>
        <v>0</v>
      </c>
      <c r="AE521" s="8" t="str">
        <f aca="false">IF($K521="SEM CULTURA","SEM CULTURA",IF($AA521&lt;=0,"DADO PENDENTE",IF($AD521&gt;LIMITE_CRITICO,"INVIAVEL",IF($AD521&gt;LIMITE_ATENCAO,"CRITICO",IF($AD521&gt;LIMITE_CONFORTAVEL,"ATENCAO","OK")))))</f>
        <v>SEM CULTURA</v>
      </c>
      <c r="AF521" s="8" t="str">
        <f aca="false">$B521&amp;"|"&amp;TEXT($AD521,"0.000000")</f>
        <v>54|0.000000</v>
      </c>
      <c r="AG521" s="18" t="n">
        <f aca="false">IF($K521="SEM CULTURA",0,$T521*$H521)</f>
        <v>0</v>
      </c>
      <c r="AH521" s="18" t="n">
        <f aca="false">IF($K521="SEM CULTURA",0,$V521*$H521)</f>
        <v>0</v>
      </c>
      <c r="AI521" s="18" t="n">
        <f aca="false">IF($K521="SEM CULTURA",0,$W521*$H521)</f>
        <v>0</v>
      </c>
      <c r="AJ521" s="18" t="n">
        <f aca="false">IF($K521="SEM CULTURA",0,$S521*$H521)</f>
        <v>0</v>
      </c>
      <c r="AK521" s="8" t="str">
        <f aca="false">$E521&amp;"|"&amp;TEXT($AD521,"0.000000")</f>
        <v>PV 103|0.000000</v>
      </c>
    </row>
    <row r="522" customFormat="false" ht="15" hidden="false" customHeight="false" outlineLevel="0" collapsed="false">
      <c r="B522" s="16" t="n">
        <v>55</v>
      </c>
      <c r="C522" s="17" t="n">
        <f aca="false">DATA_INICIO_SAFRA+($B522-1)*DIAS_POR_SEMANA</f>
        <v>46643</v>
      </c>
      <c r="D522" s="17" t="n">
        <f aca="false">$C522+DIAS_POR_SEMANA-1</f>
        <v>46649</v>
      </c>
      <c r="E522" s="15" t="s">
        <v>266</v>
      </c>
      <c r="F522" s="8" t="str">
        <f aca="false">IFERROR(INDEX(CADASTRO_PIVOS!$C$6:$C$41,MATCH($E522,CADASTRO_PIVOS!$B$6:$B$41,0)),"?")</f>
        <v>RM04</v>
      </c>
      <c r="G522" s="8" t="str">
        <f aca="false">IFERROR(INDEX(CADASTRO_PIVOS!$D$6:$D$41,MATCH($E522,CADASTRO_PIVOS!$B$6:$B$41,0)),"?")</f>
        <v>TR04</v>
      </c>
      <c r="H522" s="20" t="n">
        <f aca="false">IFERROR(INDEX(CADASTRO_PIVOS!$E$6:$E$41,MATCH($E522,CADASTRO_PIVOS!$B$6:$B$41,0)),0)</f>
        <v>99.76</v>
      </c>
      <c r="I522" s="16" t="n">
        <f aca="false">IFERROR(SUMIFS(ROTACAO_RDM!$B$6:$B$71,ROTACAO_RDM!$D$6:$D$71,$E522,ROTACAO_RDM!$I$6:$I$71,"&lt;="&amp;$C522+INT(DIAS_POR_SEMANA/2),ROTACAO_RDM!$J$6:$J$71,"&gt;="&amp;$C522+INT(DIAS_POR_SEMANA/2)),0)</f>
        <v>0</v>
      </c>
      <c r="J522" s="16" t="n">
        <f aca="false">IFERROR(MATCH($I522,ROTACAO_RDM!$B$6:$B$71,0),0)</f>
        <v>0</v>
      </c>
      <c r="K522" s="8" t="str">
        <f aca="false">IF($J522=0,"SEM CULTURA",INDEX(ROTACAO_RDM!$F$6:$F$71,$J522))</f>
        <v>SEM CULTURA</v>
      </c>
      <c r="L522" s="8" t="str">
        <f aca="false">IF($J522=0,"",INDEX(ROTACAO_RDM!$G$6:$G$71,$J522))</f>
        <v/>
      </c>
      <c r="M522" s="17" t="str">
        <f aca="false">IF($J522=0,"",INDEX(ROTACAO_RDM!$I$6:$I$71,$J522))</f>
        <v/>
      </c>
      <c r="N522" s="16" t="n">
        <f aca="false">IF($J522=0,0,MAX(0,$C522+INT(DIAS_POR_SEMANA/2)-INDEX(ROTACAO_RDM!$I$6:$I$71,$J522)))</f>
        <v>0</v>
      </c>
      <c r="O522" s="19" t="n">
        <f aca="false">IF($J522=0,0,MIN(1,$N522/MAX(1,INDEX(ROTACAO_RDM!$K$6:$K$71,$J522))))</f>
        <v>0</v>
      </c>
      <c r="P522" s="16" t="n">
        <f aca="false">IF($J522=0,0,IFERROR(MATCH(INDEX(ROTACAO_RDM!$N$6:$N$71,$J522),PARAMETROS_CULTURAS!$B$6:$B$28,0),0))</f>
        <v>0</v>
      </c>
      <c r="Q522" s="8" t="str">
        <f aca="false">IF($P522=0,"-",IF($O522&lt;=INDEX(PARAMETROS_CULTURAS!$F$6:$F$28,$P522),"INICIAL",IF($O522&lt;=INDEX(PARAMETROS_CULTURAS!$F$6:$F$28,$P522)+INDEX(PARAMETROS_CULTURAS!$G$6:$G$28,$P522),"DESENVOLVIMENTO",IF($O522&lt;=INDEX(PARAMETROS_CULTURAS!$F$6:$F$28,$P522)+INDEX(PARAMETROS_CULTURAS!$G$6:$G$28,$P522)+INDEX(PARAMETROS_CULTURAS!$H$6:$H$28,$P522),"MEDIA","FINAL"))))</f>
        <v>-</v>
      </c>
      <c r="R522" s="24" t="n">
        <f aca="false">IF($P522=0,0,IF($O522&lt;=INDEX(PARAMETROS_CULTURAS!$F$6:$F$28,$P522),INDEX(PARAMETROS_CULTURAS!$K$6:$K$28,$P522),IF($O522&lt;=INDEX(PARAMETROS_CULTURAS!$F$6:$F$28,$P522)+INDEX(PARAMETROS_CULTURAS!$G$6:$G$28,$P522),INDEX(PARAMETROS_CULTURAS!$K$6:$K$28,$P522)+(INDEX(PARAMETROS_CULTURAS!$L$6:$L$28,$P522)-INDEX(PARAMETROS_CULTURAS!$K$6:$K$28,$P522))*($O522-INDEX(PARAMETROS_CULTURAS!$F$6:$F$28,$P522))/MAX(INDEX(PARAMETROS_CULTURAS!$G$6:$G$28,$P522),0.0001),IF($O522&lt;=INDEX(PARAMETROS_CULTURAS!$F$6:$F$28,$P522)+INDEX(PARAMETROS_CULTURAS!$G$6:$G$28,$P522)+INDEX(PARAMETROS_CULTURAS!$H$6:$H$28,$P522),INDEX(PARAMETROS_CULTURAS!$L$6:$L$28,$P522),INDEX(PARAMETROS_CULTURAS!$L$6:$L$28,$P522)+(INDEX(PARAMETROS_CULTURAS!$M$6:$M$28,$P522)-INDEX(PARAMETROS_CULTURAS!$L$6:$L$28,$P522))*($O522-INDEX(PARAMETROS_CULTURAS!$F$6:$F$28,$P522)-INDEX(PARAMETROS_CULTURAS!$G$6:$G$28,$P522)-INDEX(PARAMETROS_CULTURAS!$H$6:$H$28,$P522))/MAX(INDEX(PARAMETROS_CULTURAS!$I$6:$I$28,$P522),0.0001)))))</f>
        <v>0</v>
      </c>
      <c r="S522" s="18" t="n">
        <f aca="false">IFERROR(INDEX(SEMANAS!$H$6:$H$71,MATCH($B522,SEMANAS!$B$6:$B$71,0)),0)</f>
        <v>40.6</v>
      </c>
      <c r="T522" s="18" t="n">
        <f aca="false">$R522*$S522</f>
        <v>0</v>
      </c>
      <c r="U522" s="18" t="n">
        <f aca="false">IFERROR(INDEX(SEMANAS!$I$6:$I$71,MATCH($B522,SEMANAS!$B$6:$B$71,0)),0)</f>
        <v>7</v>
      </c>
      <c r="V522" s="18" t="n">
        <f aca="false">IFERROR(INDEX(SEMANAS!$J$6:$J$71,MATCH($B522,SEMANAS!$B$6:$B$71,0)),0)</f>
        <v>5.6</v>
      </c>
      <c r="W522" s="18" t="n">
        <f aca="false">MAX(0,$T522-$V522)</f>
        <v>0</v>
      </c>
      <c r="X522" s="19" t="n">
        <f aca="false">IFERROR(INDEX(CADASTRO_PIVOS!$K$6:$K$41,MATCH($E522,CADASTRO_PIVOS!$B$6:$B$41,0)),EFICIENCIA_PADRAO)</f>
        <v>0.85</v>
      </c>
      <c r="Y522" s="18" t="n">
        <f aca="false">IF($X522&lt;=0,0,$W522/$X522)</f>
        <v>0</v>
      </c>
      <c r="Z522" s="16" t="n">
        <f aca="false">$Y522*$H522*MM_PARA_M3_HA</f>
        <v>0</v>
      </c>
      <c r="AA522" s="18" t="n">
        <f aca="false">IFERROR(INDEX(CADASTRO_PIVOS!$I$6:$I$41,MATCH($E522,CADASTRO_PIVOS!$B$6:$B$41,0)),0)</f>
        <v>712.571428571429</v>
      </c>
      <c r="AB522" s="18" t="n">
        <f aca="false">IF($Z522&lt;=0,0,$Z522/$AA522)</f>
        <v>0</v>
      </c>
      <c r="AC522" s="16" t="n">
        <f aca="false">IFERROR(INDEX(SEMANAS!$K$6:$K$71,MATCH($B522,SEMANAS!$B$6:$B$71,0)),0)</f>
        <v>147</v>
      </c>
      <c r="AD522" s="19" t="n">
        <f aca="false">IF($AC522&lt;=0,0,$AB522/$AC522)</f>
        <v>0</v>
      </c>
      <c r="AE522" s="8" t="str">
        <f aca="false">IF($K522="SEM CULTURA","SEM CULTURA",IF($AA522&lt;=0,"DADO PENDENTE",IF($AD522&gt;LIMITE_CRITICO,"INVIAVEL",IF($AD522&gt;LIMITE_ATENCAO,"CRITICO",IF($AD522&gt;LIMITE_CONFORTAVEL,"ATENCAO","OK")))))</f>
        <v>SEM CULTURA</v>
      </c>
      <c r="AF522" s="8" t="str">
        <f aca="false">$B522&amp;"|"&amp;TEXT($AD522,"0.000000")</f>
        <v>55|0.000000</v>
      </c>
      <c r="AG522" s="18" t="n">
        <f aca="false">IF($K522="SEM CULTURA",0,$T522*$H522)</f>
        <v>0</v>
      </c>
      <c r="AH522" s="18" t="n">
        <f aca="false">IF($K522="SEM CULTURA",0,$V522*$H522)</f>
        <v>0</v>
      </c>
      <c r="AI522" s="18" t="n">
        <f aca="false">IF($K522="SEM CULTURA",0,$W522*$H522)</f>
        <v>0</v>
      </c>
      <c r="AJ522" s="18" t="n">
        <f aca="false">IF($K522="SEM CULTURA",0,$S522*$H522)</f>
        <v>0</v>
      </c>
      <c r="AK522" s="8" t="str">
        <f aca="false">$E522&amp;"|"&amp;TEXT($AD522,"0.000000")</f>
        <v>PV 103|0.000000</v>
      </c>
    </row>
    <row r="523" customFormat="false" ht="15" hidden="false" customHeight="false" outlineLevel="0" collapsed="false">
      <c r="B523" s="16" t="n">
        <v>56</v>
      </c>
      <c r="C523" s="17" t="n">
        <f aca="false">DATA_INICIO_SAFRA+($B523-1)*DIAS_POR_SEMANA</f>
        <v>46650</v>
      </c>
      <c r="D523" s="17" t="n">
        <f aca="false">$C523+DIAS_POR_SEMANA-1</f>
        <v>46656</v>
      </c>
      <c r="E523" s="15" t="s">
        <v>266</v>
      </c>
      <c r="F523" s="8" t="str">
        <f aca="false">IFERROR(INDEX(CADASTRO_PIVOS!$C$6:$C$41,MATCH($E523,CADASTRO_PIVOS!$B$6:$B$41,0)),"?")</f>
        <v>RM04</v>
      </c>
      <c r="G523" s="8" t="str">
        <f aca="false">IFERROR(INDEX(CADASTRO_PIVOS!$D$6:$D$41,MATCH($E523,CADASTRO_PIVOS!$B$6:$B$41,0)),"?")</f>
        <v>TR04</v>
      </c>
      <c r="H523" s="20" t="n">
        <f aca="false">IFERROR(INDEX(CADASTRO_PIVOS!$E$6:$E$41,MATCH($E523,CADASTRO_PIVOS!$B$6:$B$41,0)),0)</f>
        <v>99.76</v>
      </c>
      <c r="I523" s="16" t="n">
        <f aca="false">IFERROR(SUMIFS(ROTACAO_RDM!$B$6:$B$71,ROTACAO_RDM!$D$6:$D$71,$E523,ROTACAO_RDM!$I$6:$I$71,"&lt;="&amp;$C523+INT(DIAS_POR_SEMANA/2),ROTACAO_RDM!$J$6:$J$71,"&gt;="&amp;$C523+INT(DIAS_POR_SEMANA/2)),0)</f>
        <v>0</v>
      </c>
      <c r="J523" s="16" t="n">
        <f aca="false">IFERROR(MATCH($I523,ROTACAO_RDM!$B$6:$B$71,0),0)</f>
        <v>0</v>
      </c>
      <c r="K523" s="8" t="str">
        <f aca="false">IF($J523=0,"SEM CULTURA",INDEX(ROTACAO_RDM!$F$6:$F$71,$J523))</f>
        <v>SEM CULTURA</v>
      </c>
      <c r="L523" s="8" t="str">
        <f aca="false">IF($J523=0,"",INDEX(ROTACAO_RDM!$G$6:$G$71,$J523))</f>
        <v/>
      </c>
      <c r="M523" s="17" t="str">
        <f aca="false">IF($J523=0,"",INDEX(ROTACAO_RDM!$I$6:$I$71,$J523))</f>
        <v/>
      </c>
      <c r="N523" s="16" t="n">
        <f aca="false">IF($J523=0,0,MAX(0,$C523+INT(DIAS_POR_SEMANA/2)-INDEX(ROTACAO_RDM!$I$6:$I$71,$J523)))</f>
        <v>0</v>
      </c>
      <c r="O523" s="19" t="n">
        <f aca="false">IF($J523=0,0,MIN(1,$N523/MAX(1,INDEX(ROTACAO_RDM!$K$6:$K$71,$J523))))</f>
        <v>0</v>
      </c>
      <c r="P523" s="16" t="n">
        <f aca="false">IF($J523=0,0,IFERROR(MATCH(INDEX(ROTACAO_RDM!$N$6:$N$71,$J523),PARAMETROS_CULTURAS!$B$6:$B$28,0),0))</f>
        <v>0</v>
      </c>
      <c r="Q523" s="8" t="str">
        <f aca="false">IF($P523=0,"-",IF($O523&lt;=INDEX(PARAMETROS_CULTURAS!$F$6:$F$28,$P523),"INICIAL",IF($O523&lt;=INDEX(PARAMETROS_CULTURAS!$F$6:$F$28,$P523)+INDEX(PARAMETROS_CULTURAS!$G$6:$G$28,$P523),"DESENVOLVIMENTO",IF($O523&lt;=INDEX(PARAMETROS_CULTURAS!$F$6:$F$28,$P523)+INDEX(PARAMETROS_CULTURAS!$G$6:$G$28,$P523)+INDEX(PARAMETROS_CULTURAS!$H$6:$H$28,$P523),"MEDIA","FINAL"))))</f>
        <v>-</v>
      </c>
      <c r="R523" s="24" t="n">
        <f aca="false">IF($P523=0,0,IF($O523&lt;=INDEX(PARAMETROS_CULTURAS!$F$6:$F$28,$P523),INDEX(PARAMETROS_CULTURAS!$K$6:$K$28,$P523),IF($O523&lt;=INDEX(PARAMETROS_CULTURAS!$F$6:$F$28,$P523)+INDEX(PARAMETROS_CULTURAS!$G$6:$G$28,$P523),INDEX(PARAMETROS_CULTURAS!$K$6:$K$28,$P523)+(INDEX(PARAMETROS_CULTURAS!$L$6:$L$28,$P523)-INDEX(PARAMETROS_CULTURAS!$K$6:$K$28,$P523))*($O523-INDEX(PARAMETROS_CULTURAS!$F$6:$F$28,$P523))/MAX(INDEX(PARAMETROS_CULTURAS!$G$6:$G$28,$P523),0.0001),IF($O523&lt;=INDEX(PARAMETROS_CULTURAS!$F$6:$F$28,$P523)+INDEX(PARAMETROS_CULTURAS!$G$6:$G$28,$P523)+INDEX(PARAMETROS_CULTURAS!$H$6:$H$28,$P523),INDEX(PARAMETROS_CULTURAS!$L$6:$L$28,$P523),INDEX(PARAMETROS_CULTURAS!$L$6:$L$28,$P523)+(INDEX(PARAMETROS_CULTURAS!$M$6:$M$28,$P523)-INDEX(PARAMETROS_CULTURAS!$L$6:$L$28,$P523))*($O523-INDEX(PARAMETROS_CULTURAS!$F$6:$F$28,$P523)-INDEX(PARAMETROS_CULTURAS!$G$6:$G$28,$P523)-INDEX(PARAMETROS_CULTURAS!$H$6:$H$28,$P523))/MAX(INDEX(PARAMETROS_CULTURAS!$I$6:$I$28,$P523),0.0001)))))</f>
        <v>0</v>
      </c>
      <c r="S523" s="18" t="n">
        <f aca="false">IFERROR(INDEX(SEMANAS!$H$6:$H$71,MATCH($B523,SEMANAS!$B$6:$B$71,0)),0)</f>
        <v>40.6</v>
      </c>
      <c r="T523" s="18" t="n">
        <f aca="false">$R523*$S523</f>
        <v>0</v>
      </c>
      <c r="U523" s="18" t="n">
        <f aca="false">IFERROR(INDEX(SEMANAS!$I$6:$I$71,MATCH($B523,SEMANAS!$B$6:$B$71,0)),0)</f>
        <v>7</v>
      </c>
      <c r="V523" s="18" t="n">
        <f aca="false">IFERROR(INDEX(SEMANAS!$J$6:$J$71,MATCH($B523,SEMANAS!$B$6:$B$71,0)),0)</f>
        <v>5.6</v>
      </c>
      <c r="W523" s="18" t="n">
        <f aca="false">MAX(0,$T523-$V523)</f>
        <v>0</v>
      </c>
      <c r="X523" s="19" t="n">
        <f aca="false">IFERROR(INDEX(CADASTRO_PIVOS!$K$6:$K$41,MATCH($E523,CADASTRO_PIVOS!$B$6:$B$41,0)),EFICIENCIA_PADRAO)</f>
        <v>0.85</v>
      </c>
      <c r="Y523" s="18" t="n">
        <f aca="false">IF($X523&lt;=0,0,$W523/$X523)</f>
        <v>0</v>
      </c>
      <c r="Z523" s="16" t="n">
        <f aca="false">$Y523*$H523*MM_PARA_M3_HA</f>
        <v>0</v>
      </c>
      <c r="AA523" s="18" t="n">
        <f aca="false">IFERROR(INDEX(CADASTRO_PIVOS!$I$6:$I$41,MATCH($E523,CADASTRO_PIVOS!$B$6:$B$41,0)),0)</f>
        <v>712.571428571429</v>
      </c>
      <c r="AB523" s="18" t="n">
        <f aca="false">IF($Z523&lt;=0,0,$Z523/$AA523)</f>
        <v>0</v>
      </c>
      <c r="AC523" s="16" t="n">
        <f aca="false">IFERROR(INDEX(SEMANAS!$K$6:$K$71,MATCH($B523,SEMANAS!$B$6:$B$71,0)),0)</f>
        <v>147</v>
      </c>
      <c r="AD523" s="19" t="n">
        <f aca="false">IF($AC523&lt;=0,0,$AB523/$AC523)</f>
        <v>0</v>
      </c>
      <c r="AE523" s="8" t="str">
        <f aca="false">IF($K523="SEM CULTURA","SEM CULTURA",IF($AA523&lt;=0,"DADO PENDENTE",IF($AD523&gt;LIMITE_CRITICO,"INVIAVEL",IF($AD523&gt;LIMITE_ATENCAO,"CRITICO",IF($AD523&gt;LIMITE_CONFORTAVEL,"ATENCAO","OK")))))</f>
        <v>SEM CULTURA</v>
      </c>
      <c r="AF523" s="8" t="str">
        <f aca="false">$B523&amp;"|"&amp;TEXT($AD523,"0.000000")</f>
        <v>56|0.000000</v>
      </c>
      <c r="AG523" s="18" t="n">
        <f aca="false">IF($K523="SEM CULTURA",0,$T523*$H523)</f>
        <v>0</v>
      </c>
      <c r="AH523" s="18" t="n">
        <f aca="false">IF($K523="SEM CULTURA",0,$V523*$H523)</f>
        <v>0</v>
      </c>
      <c r="AI523" s="18" t="n">
        <f aca="false">IF($K523="SEM CULTURA",0,$W523*$H523)</f>
        <v>0</v>
      </c>
      <c r="AJ523" s="18" t="n">
        <f aca="false">IF($K523="SEM CULTURA",0,$S523*$H523)</f>
        <v>0</v>
      </c>
      <c r="AK523" s="8" t="str">
        <f aca="false">$E523&amp;"|"&amp;TEXT($AD523,"0.000000")</f>
        <v>PV 103|0.000000</v>
      </c>
    </row>
    <row r="524" customFormat="false" ht="15" hidden="false" customHeight="false" outlineLevel="0" collapsed="false">
      <c r="B524" s="16" t="n">
        <v>57</v>
      </c>
      <c r="C524" s="17" t="n">
        <f aca="false">DATA_INICIO_SAFRA+($B524-1)*DIAS_POR_SEMANA</f>
        <v>46657</v>
      </c>
      <c r="D524" s="17" t="n">
        <f aca="false">$C524+DIAS_POR_SEMANA-1</f>
        <v>46663</v>
      </c>
      <c r="E524" s="15" t="s">
        <v>266</v>
      </c>
      <c r="F524" s="8" t="str">
        <f aca="false">IFERROR(INDEX(CADASTRO_PIVOS!$C$6:$C$41,MATCH($E524,CADASTRO_PIVOS!$B$6:$B$41,0)),"?")</f>
        <v>RM04</v>
      </c>
      <c r="G524" s="8" t="str">
        <f aca="false">IFERROR(INDEX(CADASTRO_PIVOS!$D$6:$D$41,MATCH($E524,CADASTRO_PIVOS!$B$6:$B$41,0)),"?")</f>
        <v>TR04</v>
      </c>
      <c r="H524" s="20" t="n">
        <f aca="false">IFERROR(INDEX(CADASTRO_PIVOS!$E$6:$E$41,MATCH($E524,CADASTRO_PIVOS!$B$6:$B$41,0)),0)</f>
        <v>99.76</v>
      </c>
      <c r="I524" s="16" t="n">
        <f aca="false">IFERROR(SUMIFS(ROTACAO_RDM!$B$6:$B$71,ROTACAO_RDM!$D$6:$D$71,$E524,ROTACAO_RDM!$I$6:$I$71,"&lt;="&amp;$C524+INT(DIAS_POR_SEMANA/2),ROTACAO_RDM!$J$6:$J$71,"&gt;="&amp;$C524+INT(DIAS_POR_SEMANA/2)),0)</f>
        <v>0</v>
      </c>
      <c r="J524" s="16" t="n">
        <f aca="false">IFERROR(MATCH($I524,ROTACAO_RDM!$B$6:$B$71,0),0)</f>
        <v>0</v>
      </c>
      <c r="K524" s="8" t="str">
        <f aca="false">IF($J524=0,"SEM CULTURA",INDEX(ROTACAO_RDM!$F$6:$F$71,$J524))</f>
        <v>SEM CULTURA</v>
      </c>
      <c r="L524" s="8" t="str">
        <f aca="false">IF($J524=0,"",INDEX(ROTACAO_RDM!$G$6:$G$71,$J524))</f>
        <v/>
      </c>
      <c r="M524" s="17" t="str">
        <f aca="false">IF($J524=0,"",INDEX(ROTACAO_RDM!$I$6:$I$71,$J524))</f>
        <v/>
      </c>
      <c r="N524" s="16" t="n">
        <f aca="false">IF($J524=0,0,MAX(0,$C524+INT(DIAS_POR_SEMANA/2)-INDEX(ROTACAO_RDM!$I$6:$I$71,$J524)))</f>
        <v>0</v>
      </c>
      <c r="O524" s="19" t="n">
        <f aca="false">IF($J524=0,0,MIN(1,$N524/MAX(1,INDEX(ROTACAO_RDM!$K$6:$K$71,$J524))))</f>
        <v>0</v>
      </c>
      <c r="P524" s="16" t="n">
        <f aca="false">IF($J524=0,0,IFERROR(MATCH(INDEX(ROTACAO_RDM!$N$6:$N$71,$J524),PARAMETROS_CULTURAS!$B$6:$B$28,0),0))</f>
        <v>0</v>
      </c>
      <c r="Q524" s="8" t="str">
        <f aca="false">IF($P524=0,"-",IF($O524&lt;=INDEX(PARAMETROS_CULTURAS!$F$6:$F$28,$P524),"INICIAL",IF($O524&lt;=INDEX(PARAMETROS_CULTURAS!$F$6:$F$28,$P524)+INDEX(PARAMETROS_CULTURAS!$G$6:$G$28,$P524),"DESENVOLVIMENTO",IF($O524&lt;=INDEX(PARAMETROS_CULTURAS!$F$6:$F$28,$P524)+INDEX(PARAMETROS_CULTURAS!$G$6:$G$28,$P524)+INDEX(PARAMETROS_CULTURAS!$H$6:$H$28,$P524),"MEDIA","FINAL"))))</f>
        <v>-</v>
      </c>
      <c r="R524" s="24" t="n">
        <f aca="false">IF($P524=0,0,IF($O524&lt;=INDEX(PARAMETROS_CULTURAS!$F$6:$F$28,$P524),INDEX(PARAMETROS_CULTURAS!$K$6:$K$28,$P524),IF($O524&lt;=INDEX(PARAMETROS_CULTURAS!$F$6:$F$28,$P524)+INDEX(PARAMETROS_CULTURAS!$G$6:$G$28,$P524),INDEX(PARAMETROS_CULTURAS!$K$6:$K$28,$P524)+(INDEX(PARAMETROS_CULTURAS!$L$6:$L$28,$P524)-INDEX(PARAMETROS_CULTURAS!$K$6:$K$28,$P524))*($O524-INDEX(PARAMETROS_CULTURAS!$F$6:$F$28,$P524))/MAX(INDEX(PARAMETROS_CULTURAS!$G$6:$G$28,$P524),0.0001),IF($O524&lt;=INDEX(PARAMETROS_CULTURAS!$F$6:$F$28,$P524)+INDEX(PARAMETROS_CULTURAS!$G$6:$G$28,$P524)+INDEX(PARAMETROS_CULTURAS!$H$6:$H$28,$P524),INDEX(PARAMETROS_CULTURAS!$L$6:$L$28,$P524),INDEX(PARAMETROS_CULTURAS!$L$6:$L$28,$P524)+(INDEX(PARAMETROS_CULTURAS!$M$6:$M$28,$P524)-INDEX(PARAMETROS_CULTURAS!$L$6:$L$28,$P524))*($O524-INDEX(PARAMETROS_CULTURAS!$F$6:$F$28,$P524)-INDEX(PARAMETROS_CULTURAS!$G$6:$G$28,$P524)-INDEX(PARAMETROS_CULTURAS!$H$6:$H$28,$P524))/MAX(INDEX(PARAMETROS_CULTURAS!$I$6:$I$28,$P524),0.0001)))))</f>
        <v>0</v>
      </c>
      <c r="S524" s="18" t="n">
        <f aca="false">IFERROR(INDEX(SEMANAS!$H$6:$H$71,MATCH($B524,SEMANAS!$B$6:$B$71,0)),0)</f>
        <v>40</v>
      </c>
      <c r="T524" s="18" t="n">
        <f aca="false">$R524*$S524</f>
        <v>0</v>
      </c>
      <c r="U524" s="18" t="n">
        <f aca="false">IFERROR(INDEX(SEMANAS!$I$6:$I$71,MATCH($B524,SEMANAS!$B$6:$B$71,0)),0)</f>
        <v>15.61</v>
      </c>
      <c r="V524" s="18" t="n">
        <f aca="false">IFERROR(INDEX(SEMANAS!$J$6:$J$71,MATCH($B524,SEMANAS!$B$6:$B$71,0)),0)</f>
        <v>12.488</v>
      </c>
      <c r="W524" s="18" t="n">
        <f aca="false">MAX(0,$T524-$V524)</f>
        <v>0</v>
      </c>
      <c r="X524" s="19" t="n">
        <f aca="false">IFERROR(INDEX(CADASTRO_PIVOS!$K$6:$K$41,MATCH($E524,CADASTRO_PIVOS!$B$6:$B$41,0)),EFICIENCIA_PADRAO)</f>
        <v>0.85</v>
      </c>
      <c r="Y524" s="18" t="n">
        <f aca="false">IF($X524&lt;=0,0,$W524/$X524)</f>
        <v>0</v>
      </c>
      <c r="Z524" s="16" t="n">
        <f aca="false">$Y524*$H524*MM_PARA_M3_HA</f>
        <v>0</v>
      </c>
      <c r="AA524" s="18" t="n">
        <f aca="false">IFERROR(INDEX(CADASTRO_PIVOS!$I$6:$I$41,MATCH($E524,CADASTRO_PIVOS!$B$6:$B$41,0)),0)</f>
        <v>712.571428571429</v>
      </c>
      <c r="AB524" s="18" t="n">
        <f aca="false">IF($Z524&lt;=0,0,$Z524/$AA524)</f>
        <v>0</v>
      </c>
      <c r="AC524" s="16" t="n">
        <f aca="false">IFERROR(INDEX(SEMANAS!$K$6:$K$71,MATCH($B524,SEMANAS!$B$6:$B$71,0)),0)</f>
        <v>147</v>
      </c>
      <c r="AD524" s="19" t="n">
        <f aca="false">IF($AC524&lt;=0,0,$AB524/$AC524)</f>
        <v>0</v>
      </c>
      <c r="AE524" s="8" t="str">
        <f aca="false">IF($K524="SEM CULTURA","SEM CULTURA",IF($AA524&lt;=0,"DADO PENDENTE",IF($AD524&gt;LIMITE_CRITICO,"INVIAVEL",IF($AD524&gt;LIMITE_ATENCAO,"CRITICO",IF($AD524&gt;LIMITE_CONFORTAVEL,"ATENCAO","OK")))))</f>
        <v>SEM CULTURA</v>
      </c>
      <c r="AF524" s="8" t="str">
        <f aca="false">$B524&amp;"|"&amp;TEXT($AD524,"0.000000")</f>
        <v>57|0.000000</v>
      </c>
      <c r="AG524" s="18" t="n">
        <f aca="false">IF($K524="SEM CULTURA",0,$T524*$H524)</f>
        <v>0</v>
      </c>
      <c r="AH524" s="18" t="n">
        <f aca="false">IF($K524="SEM CULTURA",0,$V524*$H524)</f>
        <v>0</v>
      </c>
      <c r="AI524" s="18" t="n">
        <f aca="false">IF($K524="SEM CULTURA",0,$W524*$H524)</f>
        <v>0</v>
      </c>
      <c r="AJ524" s="18" t="n">
        <f aca="false">IF($K524="SEM CULTURA",0,$S524*$H524)</f>
        <v>0</v>
      </c>
      <c r="AK524" s="8" t="str">
        <f aca="false">$E524&amp;"|"&amp;TEXT($AD524,"0.000000")</f>
        <v>PV 103|0.000000</v>
      </c>
    </row>
    <row r="525" customFormat="false" ht="15" hidden="false" customHeight="false" outlineLevel="0" collapsed="false">
      <c r="B525" s="16" t="n">
        <v>58</v>
      </c>
      <c r="C525" s="17" t="n">
        <f aca="false">DATA_INICIO_SAFRA+($B525-1)*DIAS_POR_SEMANA</f>
        <v>46664</v>
      </c>
      <c r="D525" s="17" t="n">
        <f aca="false">$C525+DIAS_POR_SEMANA-1</f>
        <v>46670</v>
      </c>
      <c r="E525" s="15" t="s">
        <v>266</v>
      </c>
      <c r="F525" s="8" t="str">
        <f aca="false">IFERROR(INDEX(CADASTRO_PIVOS!$C$6:$C$41,MATCH($E525,CADASTRO_PIVOS!$B$6:$B$41,0)),"?")</f>
        <v>RM04</v>
      </c>
      <c r="G525" s="8" t="str">
        <f aca="false">IFERROR(INDEX(CADASTRO_PIVOS!$D$6:$D$41,MATCH($E525,CADASTRO_PIVOS!$B$6:$B$41,0)),"?")</f>
        <v>TR04</v>
      </c>
      <c r="H525" s="20" t="n">
        <f aca="false">IFERROR(INDEX(CADASTRO_PIVOS!$E$6:$E$41,MATCH($E525,CADASTRO_PIVOS!$B$6:$B$41,0)),0)</f>
        <v>99.76</v>
      </c>
      <c r="I525" s="16" t="n">
        <f aca="false">IFERROR(SUMIFS(ROTACAO_RDM!$B$6:$B$71,ROTACAO_RDM!$D$6:$D$71,$E525,ROTACAO_RDM!$I$6:$I$71,"&lt;="&amp;$C525+INT(DIAS_POR_SEMANA/2),ROTACAO_RDM!$J$6:$J$71,"&gt;="&amp;$C525+INT(DIAS_POR_SEMANA/2)),0)</f>
        <v>0</v>
      </c>
      <c r="J525" s="16" t="n">
        <f aca="false">IFERROR(MATCH($I525,ROTACAO_RDM!$B$6:$B$71,0),0)</f>
        <v>0</v>
      </c>
      <c r="K525" s="8" t="str">
        <f aca="false">IF($J525=0,"SEM CULTURA",INDEX(ROTACAO_RDM!$F$6:$F$71,$J525))</f>
        <v>SEM CULTURA</v>
      </c>
      <c r="L525" s="8" t="str">
        <f aca="false">IF($J525=0,"",INDEX(ROTACAO_RDM!$G$6:$G$71,$J525))</f>
        <v/>
      </c>
      <c r="M525" s="17" t="str">
        <f aca="false">IF($J525=0,"",INDEX(ROTACAO_RDM!$I$6:$I$71,$J525))</f>
        <v/>
      </c>
      <c r="N525" s="16" t="n">
        <f aca="false">IF($J525=0,0,MAX(0,$C525+INT(DIAS_POR_SEMANA/2)-INDEX(ROTACAO_RDM!$I$6:$I$71,$J525)))</f>
        <v>0</v>
      </c>
      <c r="O525" s="19" t="n">
        <f aca="false">IF($J525=0,0,MIN(1,$N525/MAX(1,INDEX(ROTACAO_RDM!$K$6:$K$71,$J525))))</f>
        <v>0</v>
      </c>
      <c r="P525" s="16" t="n">
        <f aca="false">IF($J525=0,0,IFERROR(MATCH(INDEX(ROTACAO_RDM!$N$6:$N$71,$J525),PARAMETROS_CULTURAS!$B$6:$B$28,0),0))</f>
        <v>0</v>
      </c>
      <c r="Q525" s="8" t="str">
        <f aca="false">IF($P525=0,"-",IF($O525&lt;=INDEX(PARAMETROS_CULTURAS!$F$6:$F$28,$P525),"INICIAL",IF($O525&lt;=INDEX(PARAMETROS_CULTURAS!$F$6:$F$28,$P525)+INDEX(PARAMETROS_CULTURAS!$G$6:$G$28,$P525),"DESENVOLVIMENTO",IF($O525&lt;=INDEX(PARAMETROS_CULTURAS!$F$6:$F$28,$P525)+INDEX(PARAMETROS_CULTURAS!$G$6:$G$28,$P525)+INDEX(PARAMETROS_CULTURAS!$H$6:$H$28,$P525),"MEDIA","FINAL"))))</f>
        <v>-</v>
      </c>
      <c r="R525" s="24" t="n">
        <f aca="false">IF($P525=0,0,IF($O525&lt;=INDEX(PARAMETROS_CULTURAS!$F$6:$F$28,$P525),INDEX(PARAMETROS_CULTURAS!$K$6:$K$28,$P525),IF($O525&lt;=INDEX(PARAMETROS_CULTURAS!$F$6:$F$28,$P525)+INDEX(PARAMETROS_CULTURAS!$G$6:$G$28,$P525),INDEX(PARAMETROS_CULTURAS!$K$6:$K$28,$P525)+(INDEX(PARAMETROS_CULTURAS!$L$6:$L$28,$P525)-INDEX(PARAMETROS_CULTURAS!$K$6:$K$28,$P525))*($O525-INDEX(PARAMETROS_CULTURAS!$F$6:$F$28,$P525))/MAX(INDEX(PARAMETROS_CULTURAS!$G$6:$G$28,$P525),0.0001),IF($O525&lt;=INDEX(PARAMETROS_CULTURAS!$F$6:$F$28,$P525)+INDEX(PARAMETROS_CULTURAS!$G$6:$G$28,$P525)+INDEX(PARAMETROS_CULTURAS!$H$6:$H$28,$P525),INDEX(PARAMETROS_CULTURAS!$L$6:$L$28,$P525),INDEX(PARAMETROS_CULTURAS!$L$6:$L$28,$P525)+(INDEX(PARAMETROS_CULTURAS!$M$6:$M$28,$P525)-INDEX(PARAMETROS_CULTURAS!$L$6:$L$28,$P525))*($O525-INDEX(PARAMETROS_CULTURAS!$F$6:$F$28,$P525)-INDEX(PARAMETROS_CULTURAS!$G$6:$G$28,$P525)-INDEX(PARAMETROS_CULTURAS!$H$6:$H$28,$P525))/MAX(INDEX(PARAMETROS_CULTURAS!$I$6:$I$28,$P525),0.0001)))))</f>
        <v>0</v>
      </c>
      <c r="S525" s="18" t="n">
        <f aca="false">IFERROR(INDEX(SEMANAS!$H$6:$H$71,MATCH($B525,SEMANAS!$B$6:$B$71,0)),0)</f>
        <v>39.2</v>
      </c>
      <c r="T525" s="18" t="n">
        <f aca="false">$R525*$S525</f>
        <v>0</v>
      </c>
      <c r="U525" s="18" t="n">
        <f aca="false">IFERROR(INDEX(SEMANAS!$I$6:$I$71,MATCH($B525,SEMANAS!$B$6:$B$71,0)),0)</f>
        <v>27.09</v>
      </c>
      <c r="V525" s="18" t="n">
        <f aca="false">IFERROR(INDEX(SEMANAS!$J$6:$J$71,MATCH($B525,SEMANAS!$B$6:$B$71,0)),0)</f>
        <v>21.672</v>
      </c>
      <c r="W525" s="18" t="n">
        <f aca="false">MAX(0,$T525-$V525)</f>
        <v>0</v>
      </c>
      <c r="X525" s="19" t="n">
        <f aca="false">IFERROR(INDEX(CADASTRO_PIVOS!$K$6:$K$41,MATCH($E525,CADASTRO_PIVOS!$B$6:$B$41,0)),EFICIENCIA_PADRAO)</f>
        <v>0.85</v>
      </c>
      <c r="Y525" s="18" t="n">
        <f aca="false">IF($X525&lt;=0,0,$W525/$X525)</f>
        <v>0</v>
      </c>
      <c r="Z525" s="16" t="n">
        <f aca="false">$Y525*$H525*MM_PARA_M3_HA</f>
        <v>0</v>
      </c>
      <c r="AA525" s="18" t="n">
        <f aca="false">IFERROR(INDEX(CADASTRO_PIVOS!$I$6:$I$41,MATCH($E525,CADASTRO_PIVOS!$B$6:$B$41,0)),0)</f>
        <v>712.571428571429</v>
      </c>
      <c r="AB525" s="18" t="n">
        <f aca="false">IF($Z525&lt;=0,0,$Z525/$AA525)</f>
        <v>0</v>
      </c>
      <c r="AC525" s="16" t="n">
        <f aca="false">IFERROR(INDEX(SEMANAS!$K$6:$K$71,MATCH($B525,SEMANAS!$B$6:$B$71,0)),0)</f>
        <v>147</v>
      </c>
      <c r="AD525" s="19" t="n">
        <f aca="false">IF($AC525&lt;=0,0,$AB525/$AC525)</f>
        <v>0</v>
      </c>
      <c r="AE525" s="8" t="str">
        <f aca="false">IF($K525="SEM CULTURA","SEM CULTURA",IF($AA525&lt;=0,"DADO PENDENTE",IF($AD525&gt;LIMITE_CRITICO,"INVIAVEL",IF($AD525&gt;LIMITE_ATENCAO,"CRITICO",IF($AD525&gt;LIMITE_CONFORTAVEL,"ATENCAO","OK")))))</f>
        <v>SEM CULTURA</v>
      </c>
      <c r="AF525" s="8" t="str">
        <f aca="false">$B525&amp;"|"&amp;TEXT($AD525,"0.000000")</f>
        <v>58|0.000000</v>
      </c>
      <c r="AG525" s="18" t="n">
        <f aca="false">IF($K525="SEM CULTURA",0,$T525*$H525)</f>
        <v>0</v>
      </c>
      <c r="AH525" s="18" t="n">
        <f aca="false">IF($K525="SEM CULTURA",0,$V525*$H525)</f>
        <v>0</v>
      </c>
      <c r="AI525" s="18" t="n">
        <f aca="false">IF($K525="SEM CULTURA",0,$W525*$H525)</f>
        <v>0</v>
      </c>
      <c r="AJ525" s="18" t="n">
        <f aca="false">IF($K525="SEM CULTURA",0,$S525*$H525)</f>
        <v>0</v>
      </c>
      <c r="AK525" s="8" t="str">
        <f aca="false">$E525&amp;"|"&amp;TEXT($AD525,"0.000000")</f>
        <v>PV 103|0.000000</v>
      </c>
    </row>
    <row r="526" customFormat="false" ht="15" hidden="false" customHeight="false" outlineLevel="0" collapsed="false">
      <c r="B526" s="16" t="n">
        <v>59</v>
      </c>
      <c r="C526" s="17" t="n">
        <f aca="false">DATA_INICIO_SAFRA+($B526-1)*DIAS_POR_SEMANA</f>
        <v>46671</v>
      </c>
      <c r="D526" s="17" t="n">
        <f aca="false">$C526+DIAS_POR_SEMANA-1</f>
        <v>46677</v>
      </c>
      <c r="E526" s="15" t="s">
        <v>266</v>
      </c>
      <c r="F526" s="8" t="str">
        <f aca="false">IFERROR(INDEX(CADASTRO_PIVOS!$C$6:$C$41,MATCH($E526,CADASTRO_PIVOS!$B$6:$B$41,0)),"?")</f>
        <v>RM04</v>
      </c>
      <c r="G526" s="8" t="str">
        <f aca="false">IFERROR(INDEX(CADASTRO_PIVOS!$D$6:$D$41,MATCH($E526,CADASTRO_PIVOS!$B$6:$B$41,0)),"?")</f>
        <v>TR04</v>
      </c>
      <c r="H526" s="20" t="n">
        <f aca="false">IFERROR(INDEX(CADASTRO_PIVOS!$E$6:$E$41,MATCH($E526,CADASTRO_PIVOS!$B$6:$B$41,0)),0)</f>
        <v>99.76</v>
      </c>
      <c r="I526" s="16" t="n">
        <f aca="false">IFERROR(SUMIFS(ROTACAO_RDM!$B$6:$B$71,ROTACAO_RDM!$D$6:$D$71,$E526,ROTACAO_RDM!$I$6:$I$71,"&lt;="&amp;$C526+INT(DIAS_POR_SEMANA/2),ROTACAO_RDM!$J$6:$J$71,"&gt;="&amp;$C526+INT(DIAS_POR_SEMANA/2)),0)</f>
        <v>0</v>
      </c>
      <c r="J526" s="16" t="n">
        <f aca="false">IFERROR(MATCH($I526,ROTACAO_RDM!$B$6:$B$71,0),0)</f>
        <v>0</v>
      </c>
      <c r="K526" s="8" t="str">
        <f aca="false">IF($J526=0,"SEM CULTURA",INDEX(ROTACAO_RDM!$F$6:$F$71,$J526))</f>
        <v>SEM CULTURA</v>
      </c>
      <c r="L526" s="8" t="str">
        <f aca="false">IF($J526=0,"",INDEX(ROTACAO_RDM!$G$6:$G$71,$J526))</f>
        <v/>
      </c>
      <c r="M526" s="17" t="str">
        <f aca="false">IF($J526=0,"",INDEX(ROTACAO_RDM!$I$6:$I$71,$J526))</f>
        <v/>
      </c>
      <c r="N526" s="16" t="n">
        <f aca="false">IF($J526=0,0,MAX(0,$C526+INT(DIAS_POR_SEMANA/2)-INDEX(ROTACAO_RDM!$I$6:$I$71,$J526)))</f>
        <v>0</v>
      </c>
      <c r="O526" s="19" t="n">
        <f aca="false">IF($J526=0,0,MIN(1,$N526/MAX(1,INDEX(ROTACAO_RDM!$K$6:$K$71,$J526))))</f>
        <v>0</v>
      </c>
      <c r="P526" s="16" t="n">
        <f aca="false">IF($J526=0,0,IFERROR(MATCH(INDEX(ROTACAO_RDM!$N$6:$N$71,$J526),PARAMETROS_CULTURAS!$B$6:$B$28,0),0))</f>
        <v>0</v>
      </c>
      <c r="Q526" s="8" t="str">
        <f aca="false">IF($P526=0,"-",IF($O526&lt;=INDEX(PARAMETROS_CULTURAS!$F$6:$F$28,$P526),"INICIAL",IF($O526&lt;=INDEX(PARAMETROS_CULTURAS!$F$6:$F$28,$P526)+INDEX(PARAMETROS_CULTURAS!$G$6:$G$28,$P526),"DESENVOLVIMENTO",IF($O526&lt;=INDEX(PARAMETROS_CULTURAS!$F$6:$F$28,$P526)+INDEX(PARAMETROS_CULTURAS!$G$6:$G$28,$P526)+INDEX(PARAMETROS_CULTURAS!$H$6:$H$28,$P526),"MEDIA","FINAL"))))</f>
        <v>-</v>
      </c>
      <c r="R526" s="24" t="n">
        <f aca="false">IF($P526=0,0,IF($O526&lt;=INDEX(PARAMETROS_CULTURAS!$F$6:$F$28,$P526),INDEX(PARAMETROS_CULTURAS!$K$6:$K$28,$P526),IF($O526&lt;=INDEX(PARAMETROS_CULTURAS!$F$6:$F$28,$P526)+INDEX(PARAMETROS_CULTURAS!$G$6:$G$28,$P526),INDEX(PARAMETROS_CULTURAS!$K$6:$K$28,$P526)+(INDEX(PARAMETROS_CULTURAS!$L$6:$L$28,$P526)-INDEX(PARAMETROS_CULTURAS!$K$6:$K$28,$P526))*($O526-INDEX(PARAMETROS_CULTURAS!$F$6:$F$28,$P526))/MAX(INDEX(PARAMETROS_CULTURAS!$G$6:$G$28,$P526),0.0001),IF($O526&lt;=INDEX(PARAMETROS_CULTURAS!$F$6:$F$28,$P526)+INDEX(PARAMETROS_CULTURAS!$G$6:$G$28,$P526)+INDEX(PARAMETROS_CULTURAS!$H$6:$H$28,$P526),INDEX(PARAMETROS_CULTURAS!$L$6:$L$28,$P526),INDEX(PARAMETROS_CULTURAS!$L$6:$L$28,$P526)+(INDEX(PARAMETROS_CULTURAS!$M$6:$M$28,$P526)-INDEX(PARAMETROS_CULTURAS!$L$6:$L$28,$P526))*($O526-INDEX(PARAMETROS_CULTURAS!$F$6:$F$28,$P526)-INDEX(PARAMETROS_CULTURAS!$G$6:$G$28,$P526)-INDEX(PARAMETROS_CULTURAS!$H$6:$H$28,$P526))/MAX(INDEX(PARAMETROS_CULTURAS!$I$6:$I$28,$P526),0.0001)))))</f>
        <v>0</v>
      </c>
      <c r="S526" s="18" t="n">
        <f aca="false">IFERROR(INDEX(SEMANAS!$H$6:$H$71,MATCH($B526,SEMANAS!$B$6:$B$71,0)),0)</f>
        <v>39.2</v>
      </c>
      <c r="T526" s="18" t="n">
        <f aca="false">$R526*$S526</f>
        <v>0</v>
      </c>
      <c r="U526" s="18" t="n">
        <f aca="false">IFERROR(INDEX(SEMANAS!$I$6:$I$71,MATCH($B526,SEMANAS!$B$6:$B$71,0)),0)</f>
        <v>27.09</v>
      </c>
      <c r="V526" s="18" t="n">
        <f aca="false">IFERROR(INDEX(SEMANAS!$J$6:$J$71,MATCH($B526,SEMANAS!$B$6:$B$71,0)),0)</f>
        <v>21.672</v>
      </c>
      <c r="W526" s="18" t="n">
        <f aca="false">MAX(0,$T526-$V526)</f>
        <v>0</v>
      </c>
      <c r="X526" s="19" t="n">
        <f aca="false">IFERROR(INDEX(CADASTRO_PIVOS!$K$6:$K$41,MATCH($E526,CADASTRO_PIVOS!$B$6:$B$41,0)),EFICIENCIA_PADRAO)</f>
        <v>0.85</v>
      </c>
      <c r="Y526" s="18" t="n">
        <f aca="false">IF($X526&lt;=0,0,$W526/$X526)</f>
        <v>0</v>
      </c>
      <c r="Z526" s="16" t="n">
        <f aca="false">$Y526*$H526*MM_PARA_M3_HA</f>
        <v>0</v>
      </c>
      <c r="AA526" s="18" t="n">
        <f aca="false">IFERROR(INDEX(CADASTRO_PIVOS!$I$6:$I$41,MATCH($E526,CADASTRO_PIVOS!$B$6:$B$41,0)),0)</f>
        <v>712.571428571429</v>
      </c>
      <c r="AB526" s="18" t="n">
        <f aca="false">IF($Z526&lt;=0,0,$Z526/$AA526)</f>
        <v>0</v>
      </c>
      <c r="AC526" s="16" t="n">
        <f aca="false">IFERROR(INDEX(SEMANAS!$K$6:$K$71,MATCH($B526,SEMANAS!$B$6:$B$71,0)),0)</f>
        <v>147</v>
      </c>
      <c r="AD526" s="19" t="n">
        <f aca="false">IF($AC526&lt;=0,0,$AB526/$AC526)</f>
        <v>0</v>
      </c>
      <c r="AE526" s="8" t="str">
        <f aca="false">IF($K526="SEM CULTURA","SEM CULTURA",IF($AA526&lt;=0,"DADO PENDENTE",IF($AD526&gt;LIMITE_CRITICO,"INVIAVEL",IF($AD526&gt;LIMITE_ATENCAO,"CRITICO",IF($AD526&gt;LIMITE_CONFORTAVEL,"ATENCAO","OK")))))</f>
        <v>SEM CULTURA</v>
      </c>
      <c r="AF526" s="8" t="str">
        <f aca="false">$B526&amp;"|"&amp;TEXT($AD526,"0.000000")</f>
        <v>59|0.000000</v>
      </c>
      <c r="AG526" s="18" t="n">
        <f aca="false">IF($K526="SEM CULTURA",0,$T526*$H526)</f>
        <v>0</v>
      </c>
      <c r="AH526" s="18" t="n">
        <f aca="false">IF($K526="SEM CULTURA",0,$V526*$H526)</f>
        <v>0</v>
      </c>
      <c r="AI526" s="18" t="n">
        <f aca="false">IF($K526="SEM CULTURA",0,$W526*$H526)</f>
        <v>0</v>
      </c>
      <c r="AJ526" s="18" t="n">
        <f aca="false">IF($K526="SEM CULTURA",0,$S526*$H526)</f>
        <v>0</v>
      </c>
      <c r="AK526" s="8" t="str">
        <f aca="false">$E526&amp;"|"&amp;TEXT($AD526,"0.000000")</f>
        <v>PV 103|0.000000</v>
      </c>
    </row>
    <row r="527" customFormat="false" ht="15" hidden="false" customHeight="false" outlineLevel="0" collapsed="false">
      <c r="B527" s="16" t="n">
        <v>60</v>
      </c>
      <c r="C527" s="17" t="n">
        <f aca="false">DATA_INICIO_SAFRA+($B527-1)*DIAS_POR_SEMANA</f>
        <v>46678</v>
      </c>
      <c r="D527" s="17" t="n">
        <f aca="false">$C527+DIAS_POR_SEMANA-1</f>
        <v>46684</v>
      </c>
      <c r="E527" s="15" t="s">
        <v>266</v>
      </c>
      <c r="F527" s="8" t="str">
        <f aca="false">IFERROR(INDEX(CADASTRO_PIVOS!$C$6:$C$41,MATCH($E527,CADASTRO_PIVOS!$B$6:$B$41,0)),"?")</f>
        <v>RM04</v>
      </c>
      <c r="G527" s="8" t="str">
        <f aca="false">IFERROR(INDEX(CADASTRO_PIVOS!$D$6:$D$41,MATCH($E527,CADASTRO_PIVOS!$B$6:$B$41,0)),"?")</f>
        <v>TR04</v>
      </c>
      <c r="H527" s="20" t="n">
        <f aca="false">IFERROR(INDEX(CADASTRO_PIVOS!$E$6:$E$41,MATCH($E527,CADASTRO_PIVOS!$B$6:$B$41,0)),0)</f>
        <v>99.76</v>
      </c>
      <c r="I527" s="16" t="n">
        <f aca="false">IFERROR(SUMIFS(ROTACAO_RDM!$B$6:$B$71,ROTACAO_RDM!$D$6:$D$71,$E527,ROTACAO_RDM!$I$6:$I$71,"&lt;="&amp;$C527+INT(DIAS_POR_SEMANA/2),ROTACAO_RDM!$J$6:$J$71,"&gt;="&amp;$C527+INT(DIAS_POR_SEMANA/2)),0)</f>
        <v>0</v>
      </c>
      <c r="J527" s="16" t="n">
        <f aca="false">IFERROR(MATCH($I527,ROTACAO_RDM!$B$6:$B$71,0),0)</f>
        <v>0</v>
      </c>
      <c r="K527" s="8" t="str">
        <f aca="false">IF($J527=0,"SEM CULTURA",INDEX(ROTACAO_RDM!$F$6:$F$71,$J527))</f>
        <v>SEM CULTURA</v>
      </c>
      <c r="L527" s="8" t="str">
        <f aca="false">IF($J527=0,"",INDEX(ROTACAO_RDM!$G$6:$G$71,$J527))</f>
        <v/>
      </c>
      <c r="M527" s="17" t="str">
        <f aca="false">IF($J527=0,"",INDEX(ROTACAO_RDM!$I$6:$I$71,$J527))</f>
        <v/>
      </c>
      <c r="N527" s="16" t="n">
        <f aca="false">IF($J527=0,0,MAX(0,$C527+INT(DIAS_POR_SEMANA/2)-INDEX(ROTACAO_RDM!$I$6:$I$71,$J527)))</f>
        <v>0</v>
      </c>
      <c r="O527" s="19" t="n">
        <f aca="false">IF($J527=0,0,MIN(1,$N527/MAX(1,INDEX(ROTACAO_RDM!$K$6:$K$71,$J527))))</f>
        <v>0</v>
      </c>
      <c r="P527" s="16" t="n">
        <f aca="false">IF($J527=0,0,IFERROR(MATCH(INDEX(ROTACAO_RDM!$N$6:$N$71,$J527),PARAMETROS_CULTURAS!$B$6:$B$28,0),0))</f>
        <v>0</v>
      </c>
      <c r="Q527" s="8" t="str">
        <f aca="false">IF($P527=0,"-",IF($O527&lt;=INDEX(PARAMETROS_CULTURAS!$F$6:$F$28,$P527),"INICIAL",IF($O527&lt;=INDEX(PARAMETROS_CULTURAS!$F$6:$F$28,$P527)+INDEX(PARAMETROS_CULTURAS!$G$6:$G$28,$P527),"DESENVOLVIMENTO",IF($O527&lt;=INDEX(PARAMETROS_CULTURAS!$F$6:$F$28,$P527)+INDEX(PARAMETROS_CULTURAS!$G$6:$G$28,$P527)+INDEX(PARAMETROS_CULTURAS!$H$6:$H$28,$P527),"MEDIA","FINAL"))))</f>
        <v>-</v>
      </c>
      <c r="R527" s="24" t="n">
        <f aca="false">IF($P527=0,0,IF($O527&lt;=INDEX(PARAMETROS_CULTURAS!$F$6:$F$28,$P527),INDEX(PARAMETROS_CULTURAS!$K$6:$K$28,$P527),IF($O527&lt;=INDEX(PARAMETROS_CULTURAS!$F$6:$F$28,$P527)+INDEX(PARAMETROS_CULTURAS!$G$6:$G$28,$P527),INDEX(PARAMETROS_CULTURAS!$K$6:$K$28,$P527)+(INDEX(PARAMETROS_CULTURAS!$L$6:$L$28,$P527)-INDEX(PARAMETROS_CULTURAS!$K$6:$K$28,$P527))*($O527-INDEX(PARAMETROS_CULTURAS!$F$6:$F$28,$P527))/MAX(INDEX(PARAMETROS_CULTURAS!$G$6:$G$28,$P527),0.0001),IF($O527&lt;=INDEX(PARAMETROS_CULTURAS!$F$6:$F$28,$P527)+INDEX(PARAMETROS_CULTURAS!$G$6:$G$28,$P527)+INDEX(PARAMETROS_CULTURAS!$H$6:$H$28,$P527),INDEX(PARAMETROS_CULTURAS!$L$6:$L$28,$P527),INDEX(PARAMETROS_CULTURAS!$L$6:$L$28,$P527)+(INDEX(PARAMETROS_CULTURAS!$M$6:$M$28,$P527)-INDEX(PARAMETROS_CULTURAS!$L$6:$L$28,$P527))*($O527-INDEX(PARAMETROS_CULTURAS!$F$6:$F$28,$P527)-INDEX(PARAMETROS_CULTURAS!$G$6:$G$28,$P527)-INDEX(PARAMETROS_CULTURAS!$H$6:$H$28,$P527))/MAX(INDEX(PARAMETROS_CULTURAS!$I$6:$I$28,$P527),0.0001)))))</f>
        <v>0</v>
      </c>
      <c r="S527" s="18" t="n">
        <f aca="false">IFERROR(INDEX(SEMANAS!$H$6:$H$71,MATCH($B527,SEMANAS!$B$6:$B$71,0)),0)</f>
        <v>39.2</v>
      </c>
      <c r="T527" s="18" t="n">
        <f aca="false">$R527*$S527</f>
        <v>0</v>
      </c>
      <c r="U527" s="18" t="n">
        <f aca="false">IFERROR(INDEX(SEMANAS!$I$6:$I$71,MATCH($B527,SEMANAS!$B$6:$B$71,0)),0)</f>
        <v>27.09</v>
      </c>
      <c r="V527" s="18" t="n">
        <f aca="false">IFERROR(INDEX(SEMANAS!$J$6:$J$71,MATCH($B527,SEMANAS!$B$6:$B$71,0)),0)</f>
        <v>21.672</v>
      </c>
      <c r="W527" s="18" t="n">
        <f aca="false">MAX(0,$T527-$V527)</f>
        <v>0</v>
      </c>
      <c r="X527" s="19" t="n">
        <f aca="false">IFERROR(INDEX(CADASTRO_PIVOS!$K$6:$K$41,MATCH($E527,CADASTRO_PIVOS!$B$6:$B$41,0)),EFICIENCIA_PADRAO)</f>
        <v>0.85</v>
      </c>
      <c r="Y527" s="18" t="n">
        <f aca="false">IF($X527&lt;=0,0,$W527/$X527)</f>
        <v>0</v>
      </c>
      <c r="Z527" s="16" t="n">
        <f aca="false">$Y527*$H527*MM_PARA_M3_HA</f>
        <v>0</v>
      </c>
      <c r="AA527" s="18" t="n">
        <f aca="false">IFERROR(INDEX(CADASTRO_PIVOS!$I$6:$I$41,MATCH($E527,CADASTRO_PIVOS!$B$6:$B$41,0)),0)</f>
        <v>712.571428571429</v>
      </c>
      <c r="AB527" s="18" t="n">
        <f aca="false">IF($Z527&lt;=0,0,$Z527/$AA527)</f>
        <v>0</v>
      </c>
      <c r="AC527" s="16" t="n">
        <f aca="false">IFERROR(INDEX(SEMANAS!$K$6:$K$71,MATCH($B527,SEMANAS!$B$6:$B$71,0)),0)</f>
        <v>147</v>
      </c>
      <c r="AD527" s="19" t="n">
        <f aca="false">IF($AC527&lt;=0,0,$AB527/$AC527)</f>
        <v>0</v>
      </c>
      <c r="AE527" s="8" t="str">
        <f aca="false">IF($K527="SEM CULTURA","SEM CULTURA",IF($AA527&lt;=0,"DADO PENDENTE",IF($AD527&gt;LIMITE_CRITICO,"INVIAVEL",IF($AD527&gt;LIMITE_ATENCAO,"CRITICO",IF($AD527&gt;LIMITE_CONFORTAVEL,"ATENCAO","OK")))))</f>
        <v>SEM CULTURA</v>
      </c>
      <c r="AF527" s="8" t="str">
        <f aca="false">$B527&amp;"|"&amp;TEXT($AD527,"0.000000")</f>
        <v>60|0.000000</v>
      </c>
      <c r="AG527" s="18" t="n">
        <f aca="false">IF($K527="SEM CULTURA",0,$T527*$H527)</f>
        <v>0</v>
      </c>
      <c r="AH527" s="18" t="n">
        <f aca="false">IF($K527="SEM CULTURA",0,$V527*$H527)</f>
        <v>0</v>
      </c>
      <c r="AI527" s="18" t="n">
        <f aca="false">IF($K527="SEM CULTURA",0,$W527*$H527)</f>
        <v>0</v>
      </c>
      <c r="AJ527" s="18" t="n">
        <f aca="false">IF($K527="SEM CULTURA",0,$S527*$H527)</f>
        <v>0</v>
      </c>
      <c r="AK527" s="8" t="str">
        <f aca="false">$E527&amp;"|"&amp;TEXT($AD527,"0.000000")</f>
        <v>PV 103|0.000000</v>
      </c>
    </row>
    <row r="528" customFormat="false" ht="15" hidden="false" customHeight="false" outlineLevel="0" collapsed="false">
      <c r="B528" s="16" t="n">
        <v>61</v>
      </c>
      <c r="C528" s="17" t="n">
        <f aca="false">DATA_INICIO_SAFRA+($B528-1)*DIAS_POR_SEMANA</f>
        <v>46685</v>
      </c>
      <c r="D528" s="17" t="n">
        <f aca="false">$C528+DIAS_POR_SEMANA-1</f>
        <v>46691</v>
      </c>
      <c r="E528" s="15" t="s">
        <v>266</v>
      </c>
      <c r="F528" s="8" t="str">
        <f aca="false">IFERROR(INDEX(CADASTRO_PIVOS!$C$6:$C$41,MATCH($E528,CADASTRO_PIVOS!$B$6:$B$41,0)),"?")</f>
        <v>RM04</v>
      </c>
      <c r="G528" s="8" t="str">
        <f aca="false">IFERROR(INDEX(CADASTRO_PIVOS!$D$6:$D$41,MATCH($E528,CADASTRO_PIVOS!$B$6:$B$41,0)),"?")</f>
        <v>TR04</v>
      </c>
      <c r="H528" s="20" t="n">
        <f aca="false">IFERROR(INDEX(CADASTRO_PIVOS!$E$6:$E$41,MATCH($E528,CADASTRO_PIVOS!$B$6:$B$41,0)),0)</f>
        <v>99.76</v>
      </c>
      <c r="I528" s="16" t="n">
        <f aca="false">IFERROR(SUMIFS(ROTACAO_RDM!$B$6:$B$71,ROTACAO_RDM!$D$6:$D$71,$E528,ROTACAO_RDM!$I$6:$I$71,"&lt;="&amp;$C528+INT(DIAS_POR_SEMANA/2),ROTACAO_RDM!$J$6:$J$71,"&gt;="&amp;$C528+INT(DIAS_POR_SEMANA/2)),0)</f>
        <v>0</v>
      </c>
      <c r="J528" s="16" t="n">
        <f aca="false">IFERROR(MATCH($I528,ROTACAO_RDM!$B$6:$B$71,0),0)</f>
        <v>0</v>
      </c>
      <c r="K528" s="8" t="str">
        <f aca="false">IF($J528=0,"SEM CULTURA",INDEX(ROTACAO_RDM!$F$6:$F$71,$J528))</f>
        <v>SEM CULTURA</v>
      </c>
      <c r="L528" s="8" t="str">
        <f aca="false">IF($J528=0,"",INDEX(ROTACAO_RDM!$G$6:$G$71,$J528))</f>
        <v/>
      </c>
      <c r="M528" s="17" t="str">
        <f aca="false">IF($J528=0,"",INDEX(ROTACAO_RDM!$I$6:$I$71,$J528))</f>
        <v/>
      </c>
      <c r="N528" s="16" t="n">
        <f aca="false">IF($J528=0,0,MAX(0,$C528+INT(DIAS_POR_SEMANA/2)-INDEX(ROTACAO_RDM!$I$6:$I$71,$J528)))</f>
        <v>0</v>
      </c>
      <c r="O528" s="19" t="n">
        <f aca="false">IF($J528=0,0,MIN(1,$N528/MAX(1,INDEX(ROTACAO_RDM!$K$6:$K$71,$J528))))</f>
        <v>0</v>
      </c>
      <c r="P528" s="16" t="n">
        <f aca="false">IF($J528=0,0,IFERROR(MATCH(INDEX(ROTACAO_RDM!$N$6:$N$71,$J528),PARAMETROS_CULTURAS!$B$6:$B$28,0),0))</f>
        <v>0</v>
      </c>
      <c r="Q528" s="8" t="str">
        <f aca="false">IF($P528=0,"-",IF($O528&lt;=INDEX(PARAMETROS_CULTURAS!$F$6:$F$28,$P528),"INICIAL",IF($O528&lt;=INDEX(PARAMETROS_CULTURAS!$F$6:$F$28,$P528)+INDEX(PARAMETROS_CULTURAS!$G$6:$G$28,$P528),"DESENVOLVIMENTO",IF($O528&lt;=INDEX(PARAMETROS_CULTURAS!$F$6:$F$28,$P528)+INDEX(PARAMETROS_CULTURAS!$G$6:$G$28,$P528)+INDEX(PARAMETROS_CULTURAS!$H$6:$H$28,$P528),"MEDIA","FINAL"))))</f>
        <v>-</v>
      </c>
      <c r="R528" s="24" t="n">
        <f aca="false">IF($P528=0,0,IF($O528&lt;=INDEX(PARAMETROS_CULTURAS!$F$6:$F$28,$P528),INDEX(PARAMETROS_CULTURAS!$K$6:$K$28,$P528),IF($O528&lt;=INDEX(PARAMETROS_CULTURAS!$F$6:$F$28,$P528)+INDEX(PARAMETROS_CULTURAS!$G$6:$G$28,$P528),INDEX(PARAMETROS_CULTURAS!$K$6:$K$28,$P528)+(INDEX(PARAMETROS_CULTURAS!$L$6:$L$28,$P528)-INDEX(PARAMETROS_CULTURAS!$K$6:$K$28,$P528))*($O528-INDEX(PARAMETROS_CULTURAS!$F$6:$F$28,$P528))/MAX(INDEX(PARAMETROS_CULTURAS!$G$6:$G$28,$P528),0.0001),IF($O528&lt;=INDEX(PARAMETROS_CULTURAS!$F$6:$F$28,$P528)+INDEX(PARAMETROS_CULTURAS!$G$6:$G$28,$P528)+INDEX(PARAMETROS_CULTURAS!$H$6:$H$28,$P528),INDEX(PARAMETROS_CULTURAS!$L$6:$L$28,$P528),INDEX(PARAMETROS_CULTURAS!$L$6:$L$28,$P528)+(INDEX(PARAMETROS_CULTURAS!$M$6:$M$28,$P528)-INDEX(PARAMETROS_CULTURAS!$L$6:$L$28,$P528))*($O528-INDEX(PARAMETROS_CULTURAS!$F$6:$F$28,$P528)-INDEX(PARAMETROS_CULTURAS!$G$6:$G$28,$P528)-INDEX(PARAMETROS_CULTURAS!$H$6:$H$28,$P528))/MAX(INDEX(PARAMETROS_CULTURAS!$I$6:$I$28,$P528),0.0001)))))</f>
        <v>0</v>
      </c>
      <c r="S528" s="18" t="n">
        <f aca="false">IFERROR(INDEX(SEMANAS!$H$6:$H$71,MATCH($B528,SEMANAS!$B$6:$B$71,0)),0)</f>
        <v>39.2</v>
      </c>
      <c r="T528" s="18" t="n">
        <f aca="false">$R528*$S528</f>
        <v>0</v>
      </c>
      <c r="U528" s="18" t="n">
        <f aca="false">IFERROR(INDEX(SEMANAS!$I$6:$I$71,MATCH($B528,SEMANAS!$B$6:$B$71,0)),0)</f>
        <v>27.09</v>
      </c>
      <c r="V528" s="18" t="n">
        <f aca="false">IFERROR(INDEX(SEMANAS!$J$6:$J$71,MATCH($B528,SEMANAS!$B$6:$B$71,0)),0)</f>
        <v>21.672</v>
      </c>
      <c r="W528" s="18" t="n">
        <f aca="false">MAX(0,$T528-$V528)</f>
        <v>0</v>
      </c>
      <c r="X528" s="19" t="n">
        <f aca="false">IFERROR(INDEX(CADASTRO_PIVOS!$K$6:$K$41,MATCH($E528,CADASTRO_PIVOS!$B$6:$B$41,0)),EFICIENCIA_PADRAO)</f>
        <v>0.85</v>
      </c>
      <c r="Y528" s="18" t="n">
        <f aca="false">IF($X528&lt;=0,0,$W528/$X528)</f>
        <v>0</v>
      </c>
      <c r="Z528" s="16" t="n">
        <f aca="false">$Y528*$H528*MM_PARA_M3_HA</f>
        <v>0</v>
      </c>
      <c r="AA528" s="18" t="n">
        <f aca="false">IFERROR(INDEX(CADASTRO_PIVOS!$I$6:$I$41,MATCH($E528,CADASTRO_PIVOS!$B$6:$B$41,0)),0)</f>
        <v>712.571428571429</v>
      </c>
      <c r="AB528" s="18" t="n">
        <f aca="false">IF($Z528&lt;=0,0,$Z528/$AA528)</f>
        <v>0</v>
      </c>
      <c r="AC528" s="16" t="n">
        <f aca="false">IFERROR(INDEX(SEMANAS!$K$6:$K$71,MATCH($B528,SEMANAS!$B$6:$B$71,0)),0)</f>
        <v>147</v>
      </c>
      <c r="AD528" s="19" t="n">
        <f aca="false">IF($AC528&lt;=0,0,$AB528/$AC528)</f>
        <v>0</v>
      </c>
      <c r="AE528" s="8" t="str">
        <f aca="false">IF($K528="SEM CULTURA","SEM CULTURA",IF($AA528&lt;=0,"DADO PENDENTE",IF($AD528&gt;LIMITE_CRITICO,"INVIAVEL",IF($AD528&gt;LIMITE_ATENCAO,"CRITICO",IF($AD528&gt;LIMITE_CONFORTAVEL,"ATENCAO","OK")))))</f>
        <v>SEM CULTURA</v>
      </c>
      <c r="AF528" s="8" t="str">
        <f aca="false">$B528&amp;"|"&amp;TEXT($AD528,"0.000000")</f>
        <v>61|0.000000</v>
      </c>
      <c r="AG528" s="18" t="n">
        <f aca="false">IF($K528="SEM CULTURA",0,$T528*$H528)</f>
        <v>0</v>
      </c>
      <c r="AH528" s="18" t="n">
        <f aca="false">IF($K528="SEM CULTURA",0,$V528*$H528)</f>
        <v>0</v>
      </c>
      <c r="AI528" s="18" t="n">
        <f aca="false">IF($K528="SEM CULTURA",0,$W528*$H528)</f>
        <v>0</v>
      </c>
      <c r="AJ528" s="18" t="n">
        <f aca="false">IF($K528="SEM CULTURA",0,$S528*$H528)</f>
        <v>0</v>
      </c>
      <c r="AK528" s="8" t="str">
        <f aca="false">$E528&amp;"|"&amp;TEXT($AD528,"0.000000")</f>
        <v>PV 103|0.000000</v>
      </c>
    </row>
    <row r="529" customFormat="false" ht="15" hidden="false" customHeight="false" outlineLevel="0" collapsed="false">
      <c r="B529" s="16" t="n">
        <v>62</v>
      </c>
      <c r="C529" s="17" t="n">
        <f aca="false">DATA_INICIO_SAFRA+($B529-1)*DIAS_POR_SEMANA</f>
        <v>46692</v>
      </c>
      <c r="D529" s="17" t="n">
        <f aca="false">$C529+DIAS_POR_SEMANA-1</f>
        <v>46698</v>
      </c>
      <c r="E529" s="15" t="s">
        <v>266</v>
      </c>
      <c r="F529" s="8" t="str">
        <f aca="false">IFERROR(INDEX(CADASTRO_PIVOS!$C$6:$C$41,MATCH($E529,CADASTRO_PIVOS!$B$6:$B$41,0)),"?")</f>
        <v>RM04</v>
      </c>
      <c r="G529" s="8" t="str">
        <f aca="false">IFERROR(INDEX(CADASTRO_PIVOS!$D$6:$D$41,MATCH($E529,CADASTRO_PIVOS!$B$6:$B$41,0)),"?")</f>
        <v>TR04</v>
      </c>
      <c r="H529" s="20" t="n">
        <f aca="false">IFERROR(INDEX(CADASTRO_PIVOS!$E$6:$E$41,MATCH($E529,CADASTRO_PIVOS!$B$6:$B$41,0)),0)</f>
        <v>99.76</v>
      </c>
      <c r="I529" s="16" t="n">
        <f aca="false">IFERROR(SUMIFS(ROTACAO_RDM!$B$6:$B$71,ROTACAO_RDM!$D$6:$D$71,$E529,ROTACAO_RDM!$I$6:$I$71,"&lt;="&amp;$C529+INT(DIAS_POR_SEMANA/2),ROTACAO_RDM!$J$6:$J$71,"&gt;="&amp;$C529+INT(DIAS_POR_SEMANA/2)),0)</f>
        <v>0</v>
      </c>
      <c r="J529" s="16" t="n">
        <f aca="false">IFERROR(MATCH($I529,ROTACAO_RDM!$B$6:$B$71,0),0)</f>
        <v>0</v>
      </c>
      <c r="K529" s="8" t="str">
        <f aca="false">IF($J529=0,"SEM CULTURA",INDEX(ROTACAO_RDM!$F$6:$F$71,$J529))</f>
        <v>SEM CULTURA</v>
      </c>
      <c r="L529" s="8" t="str">
        <f aca="false">IF($J529=0,"",INDEX(ROTACAO_RDM!$G$6:$G$71,$J529))</f>
        <v/>
      </c>
      <c r="M529" s="17" t="str">
        <f aca="false">IF($J529=0,"",INDEX(ROTACAO_RDM!$I$6:$I$71,$J529))</f>
        <v/>
      </c>
      <c r="N529" s="16" t="n">
        <f aca="false">IF($J529=0,0,MAX(0,$C529+INT(DIAS_POR_SEMANA/2)-INDEX(ROTACAO_RDM!$I$6:$I$71,$J529)))</f>
        <v>0</v>
      </c>
      <c r="O529" s="19" t="n">
        <f aca="false">IF($J529=0,0,MIN(1,$N529/MAX(1,INDEX(ROTACAO_RDM!$K$6:$K$71,$J529))))</f>
        <v>0</v>
      </c>
      <c r="P529" s="16" t="n">
        <f aca="false">IF($J529=0,0,IFERROR(MATCH(INDEX(ROTACAO_RDM!$N$6:$N$71,$J529),PARAMETROS_CULTURAS!$B$6:$B$28,0),0))</f>
        <v>0</v>
      </c>
      <c r="Q529" s="8" t="str">
        <f aca="false">IF($P529=0,"-",IF($O529&lt;=INDEX(PARAMETROS_CULTURAS!$F$6:$F$28,$P529),"INICIAL",IF($O529&lt;=INDEX(PARAMETROS_CULTURAS!$F$6:$F$28,$P529)+INDEX(PARAMETROS_CULTURAS!$G$6:$G$28,$P529),"DESENVOLVIMENTO",IF($O529&lt;=INDEX(PARAMETROS_CULTURAS!$F$6:$F$28,$P529)+INDEX(PARAMETROS_CULTURAS!$G$6:$G$28,$P529)+INDEX(PARAMETROS_CULTURAS!$H$6:$H$28,$P529),"MEDIA","FINAL"))))</f>
        <v>-</v>
      </c>
      <c r="R529" s="24" t="n">
        <f aca="false">IF($P529=0,0,IF($O529&lt;=INDEX(PARAMETROS_CULTURAS!$F$6:$F$28,$P529),INDEX(PARAMETROS_CULTURAS!$K$6:$K$28,$P529),IF($O529&lt;=INDEX(PARAMETROS_CULTURAS!$F$6:$F$28,$P529)+INDEX(PARAMETROS_CULTURAS!$G$6:$G$28,$P529),INDEX(PARAMETROS_CULTURAS!$K$6:$K$28,$P529)+(INDEX(PARAMETROS_CULTURAS!$L$6:$L$28,$P529)-INDEX(PARAMETROS_CULTURAS!$K$6:$K$28,$P529))*($O529-INDEX(PARAMETROS_CULTURAS!$F$6:$F$28,$P529))/MAX(INDEX(PARAMETROS_CULTURAS!$G$6:$G$28,$P529),0.0001),IF($O529&lt;=INDEX(PARAMETROS_CULTURAS!$F$6:$F$28,$P529)+INDEX(PARAMETROS_CULTURAS!$G$6:$G$28,$P529)+INDEX(PARAMETROS_CULTURAS!$H$6:$H$28,$P529),INDEX(PARAMETROS_CULTURAS!$L$6:$L$28,$P529),INDEX(PARAMETROS_CULTURAS!$L$6:$L$28,$P529)+(INDEX(PARAMETROS_CULTURAS!$M$6:$M$28,$P529)-INDEX(PARAMETROS_CULTURAS!$L$6:$L$28,$P529))*($O529-INDEX(PARAMETROS_CULTURAS!$F$6:$F$28,$P529)-INDEX(PARAMETROS_CULTURAS!$G$6:$G$28,$P529)-INDEX(PARAMETROS_CULTURAS!$H$6:$H$28,$P529))/MAX(INDEX(PARAMETROS_CULTURAS!$I$6:$I$28,$P529),0.0001)))))</f>
        <v>0</v>
      </c>
      <c r="S529" s="18" t="n">
        <f aca="false">IFERROR(INDEX(SEMANAS!$H$6:$H$71,MATCH($B529,SEMANAS!$B$6:$B$71,0)),0)</f>
        <v>34.3</v>
      </c>
      <c r="T529" s="18" t="n">
        <f aca="false">$R529*$S529</f>
        <v>0</v>
      </c>
      <c r="U529" s="18" t="n">
        <f aca="false">IFERROR(INDEX(SEMANAS!$I$6:$I$71,MATCH($B529,SEMANAS!$B$6:$B$71,0)),0)</f>
        <v>46.69</v>
      </c>
      <c r="V529" s="18" t="n">
        <f aca="false">IFERROR(INDEX(SEMANAS!$J$6:$J$71,MATCH($B529,SEMANAS!$B$6:$B$71,0)),0)</f>
        <v>37.352</v>
      </c>
      <c r="W529" s="18" t="n">
        <f aca="false">MAX(0,$T529-$V529)</f>
        <v>0</v>
      </c>
      <c r="X529" s="19" t="n">
        <f aca="false">IFERROR(INDEX(CADASTRO_PIVOS!$K$6:$K$41,MATCH($E529,CADASTRO_PIVOS!$B$6:$B$41,0)),EFICIENCIA_PADRAO)</f>
        <v>0.85</v>
      </c>
      <c r="Y529" s="18" t="n">
        <f aca="false">IF($X529&lt;=0,0,$W529/$X529)</f>
        <v>0</v>
      </c>
      <c r="Z529" s="16" t="n">
        <f aca="false">$Y529*$H529*MM_PARA_M3_HA</f>
        <v>0</v>
      </c>
      <c r="AA529" s="18" t="n">
        <f aca="false">IFERROR(INDEX(CADASTRO_PIVOS!$I$6:$I$41,MATCH($E529,CADASTRO_PIVOS!$B$6:$B$41,0)),0)</f>
        <v>712.571428571429</v>
      </c>
      <c r="AB529" s="18" t="n">
        <f aca="false">IF($Z529&lt;=0,0,$Z529/$AA529)</f>
        <v>0</v>
      </c>
      <c r="AC529" s="16" t="n">
        <f aca="false">IFERROR(INDEX(SEMANAS!$K$6:$K$71,MATCH($B529,SEMANAS!$B$6:$B$71,0)),0)</f>
        <v>147</v>
      </c>
      <c r="AD529" s="19" t="n">
        <f aca="false">IF($AC529&lt;=0,0,$AB529/$AC529)</f>
        <v>0</v>
      </c>
      <c r="AE529" s="8" t="str">
        <f aca="false">IF($K529="SEM CULTURA","SEM CULTURA",IF($AA529&lt;=0,"DADO PENDENTE",IF($AD529&gt;LIMITE_CRITICO,"INVIAVEL",IF($AD529&gt;LIMITE_ATENCAO,"CRITICO",IF($AD529&gt;LIMITE_CONFORTAVEL,"ATENCAO","OK")))))</f>
        <v>SEM CULTURA</v>
      </c>
      <c r="AF529" s="8" t="str">
        <f aca="false">$B529&amp;"|"&amp;TEXT($AD529,"0.000000")</f>
        <v>62|0.000000</v>
      </c>
      <c r="AG529" s="18" t="n">
        <f aca="false">IF($K529="SEM CULTURA",0,$T529*$H529)</f>
        <v>0</v>
      </c>
      <c r="AH529" s="18" t="n">
        <f aca="false">IF($K529="SEM CULTURA",0,$V529*$H529)</f>
        <v>0</v>
      </c>
      <c r="AI529" s="18" t="n">
        <f aca="false">IF($K529="SEM CULTURA",0,$W529*$H529)</f>
        <v>0</v>
      </c>
      <c r="AJ529" s="18" t="n">
        <f aca="false">IF($K529="SEM CULTURA",0,$S529*$H529)</f>
        <v>0</v>
      </c>
      <c r="AK529" s="8" t="str">
        <f aca="false">$E529&amp;"|"&amp;TEXT($AD529,"0.000000")</f>
        <v>PV 103|0.000000</v>
      </c>
    </row>
    <row r="530" customFormat="false" ht="15" hidden="false" customHeight="false" outlineLevel="0" collapsed="false">
      <c r="B530" s="16" t="n">
        <v>63</v>
      </c>
      <c r="C530" s="17" t="n">
        <f aca="false">DATA_INICIO_SAFRA+($B530-1)*DIAS_POR_SEMANA</f>
        <v>46699</v>
      </c>
      <c r="D530" s="17" t="n">
        <f aca="false">$C530+DIAS_POR_SEMANA-1</f>
        <v>46705</v>
      </c>
      <c r="E530" s="15" t="s">
        <v>266</v>
      </c>
      <c r="F530" s="8" t="str">
        <f aca="false">IFERROR(INDEX(CADASTRO_PIVOS!$C$6:$C$41,MATCH($E530,CADASTRO_PIVOS!$B$6:$B$41,0)),"?")</f>
        <v>RM04</v>
      </c>
      <c r="G530" s="8" t="str">
        <f aca="false">IFERROR(INDEX(CADASTRO_PIVOS!$D$6:$D$41,MATCH($E530,CADASTRO_PIVOS!$B$6:$B$41,0)),"?")</f>
        <v>TR04</v>
      </c>
      <c r="H530" s="20" t="n">
        <f aca="false">IFERROR(INDEX(CADASTRO_PIVOS!$E$6:$E$41,MATCH($E530,CADASTRO_PIVOS!$B$6:$B$41,0)),0)</f>
        <v>99.76</v>
      </c>
      <c r="I530" s="16" t="n">
        <f aca="false">IFERROR(SUMIFS(ROTACAO_RDM!$B$6:$B$71,ROTACAO_RDM!$D$6:$D$71,$E530,ROTACAO_RDM!$I$6:$I$71,"&lt;="&amp;$C530+INT(DIAS_POR_SEMANA/2),ROTACAO_RDM!$J$6:$J$71,"&gt;="&amp;$C530+INT(DIAS_POR_SEMANA/2)),0)</f>
        <v>0</v>
      </c>
      <c r="J530" s="16" t="n">
        <f aca="false">IFERROR(MATCH($I530,ROTACAO_RDM!$B$6:$B$71,0),0)</f>
        <v>0</v>
      </c>
      <c r="K530" s="8" t="str">
        <f aca="false">IF($J530=0,"SEM CULTURA",INDEX(ROTACAO_RDM!$F$6:$F$71,$J530))</f>
        <v>SEM CULTURA</v>
      </c>
      <c r="L530" s="8" t="str">
        <f aca="false">IF($J530=0,"",INDEX(ROTACAO_RDM!$G$6:$G$71,$J530))</f>
        <v/>
      </c>
      <c r="M530" s="17" t="str">
        <f aca="false">IF($J530=0,"",INDEX(ROTACAO_RDM!$I$6:$I$71,$J530))</f>
        <v/>
      </c>
      <c r="N530" s="16" t="n">
        <f aca="false">IF($J530=0,0,MAX(0,$C530+INT(DIAS_POR_SEMANA/2)-INDEX(ROTACAO_RDM!$I$6:$I$71,$J530)))</f>
        <v>0</v>
      </c>
      <c r="O530" s="19" t="n">
        <f aca="false">IF($J530=0,0,MIN(1,$N530/MAX(1,INDEX(ROTACAO_RDM!$K$6:$K$71,$J530))))</f>
        <v>0</v>
      </c>
      <c r="P530" s="16" t="n">
        <f aca="false">IF($J530=0,0,IFERROR(MATCH(INDEX(ROTACAO_RDM!$N$6:$N$71,$J530),PARAMETROS_CULTURAS!$B$6:$B$28,0),0))</f>
        <v>0</v>
      </c>
      <c r="Q530" s="8" t="str">
        <f aca="false">IF($P530=0,"-",IF($O530&lt;=INDEX(PARAMETROS_CULTURAS!$F$6:$F$28,$P530),"INICIAL",IF($O530&lt;=INDEX(PARAMETROS_CULTURAS!$F$6:$F$28,$P530)+INDEX(PARAMETROS_CULTURAS!$G$6:$G$28,$P530),"DESENVOLVIMENTO",IF($O530&lt;=INDEX(PARAMETROS_CULTURAS!$F$6:$F$28,$P530)+INDEX(PARAMETROS_CULTURAS!$G$6:$G$28,$P530)+INDEX(PARAMETROS_CULTURAS!$H$6:$H$28,$P530),"MEDIA","FINAL"))))</f>
        <v>-</v>
      </c>
      <c r="R530" s="24" t="n">
        <f aca="false">IF($P530=0,0,IF($O530&lt;=INDEX(PARAMETROS_CULTURAS!$F$6:$F$28,$P530),INDEX(PARAMETROS_CULTURAS!$K$6:$K$28,$P530),IF($O530&lt;=INDEX(PARAMETROS_CULTURAS!$F$6:$F$28,$P530)+INDEX(PARAMETROS_CULTURAS!$G$6:$G$28,$P530),INDEX(PARAMETROS_CULTURAS!$K$6:$K$28,$P530)+(INDEX(PARAMETROS_CULTURAS!$L$6:$L$28,$P530)-INDEX(PARAMETROS_CULTURAS!$K$6:$K$28,$P530))*($O530-INDEX(PARAMETROS_CULTURAS!$F$6:$F$28,$P530))/MAX(INDEX(PARAMETROS_CULTURAS!$G$6:$G$28,$P530),0.0001),IF($O530&lt;=INDEX(PARAMETROS_CULTURAS!$F$6:$F$28,$P530)+INDEX(PARAMETROS_CULTURAS!$G$6:$G$28,$P530)+INDEX(PARAMETROS_CULTURAS!$H$6:$H$28,$P530),INDEX(PARAMETROS_CULTURAS!$L$6:$L$28,$P530),INDEX(PARAMETROS_CULTURAS!$L$6:$L$28,$P530)+(INDEX(PARAMETROS_CULTURAS!$M$6:$M$28,$P530)-INDEX(PARAMETROS_CULTURAS!$L$6:$L$28,$P530))*($O530-INDEX(PARAMETROS_CULTURAS!$F$6:$F$28,$P530)-INDEX(PARAMETROS_CULTURAS!$G$6:$G$28,$P530)-INDEX(PARAMETROS_CULTURAS!$H$6:$H$28,$P530))/MAX(INDEX(PARAMETROS_CULTURAS!$I$6:$I$28,$P530),0.0001)))))</f>
        <v>0</v>
      </c>
      <c r="S530" s="18" t="n">
        <f aca="false">IFERROR(INDEX(SEMANAS!$H$6:$H$71,MATCH($B530,SEMANAS!$B$6:$B$71,0)),0)</f>
        <v>34.3</v>
      </c>
      <c r="T530" s="18" t="n">
        <f aca="false">$R530*$S530</f>
        <v>0</v>
      </c>
      <c r="U530" s="18" t="n">
        <f aca="false">IFERROR(INDEX(SEMANAS!$I$6:$I$71,MATCH($B530,SEMANAS!$B$6:$B$71,0)),0)</f>
        <v>46.69</v>
      </c>
      <c r="V530" s="18" t="n">
        <f aca="false">IFERROR(INDEX(SEMANAS!$J$6:$J$71,MATCH($B530,SEMANAS!$B$6:$B$71,0)),0)</f>
        <v>37.352</v>
      </c>
      <c r="W530" s="18" t="n">
        <f aca="false">MAX(0,$T530-$V530)</f>
        <v>0</v>
      </c>
      <c r="X530" s="19" t="n">
        <f aca="false">IFERROR(INDEX(CADASTRO_PIVOS!$K$6:$K$41,MATCH($E530,CADASTRO_PIVOS!$B$6:$B$41,0)),EFICIENCIA_PADRAO)</f>
        <v>0.85</v>
      </c>
      <c r="Y530" s="18" t="n">
        <f aca="false">IF($X530&lt;=0,0,$W530/$X530)</f>
        <v>0</v>
      </c>
      <c r="Z530" s="16" t="n">
        <f aca="false">$Y530*$H530*MM_PARA_M3_HA</f>
        <v>0</v>
      </c>
      <c r="AA530" s="18" t="n">
        <f aca="false">IFERROR(INDEX(CADASTRO_PIVOS!$I$6:$I$41,MATCH($E530,CADASTRO_PIVOS!$B$6:$B$41,0)),0)</f>
        <v>712.571428571429</v>
      </c>
      <c r="AB530" s="18" t="n">
        <f aca="false">IF($Z530&lt;=0,0,$Z530/$AA530)</f>
        <v>0</v>
      </c>
      <c r="AC530" s="16" t="n">
        <f aca="false">IFERROR(INDEX(SEMANAS!$K$6:$K$71,MATCH($B530,SEMANAS!$B$6:$B$71,0)),0)</f>
        <v>147</v>
      </c>
      <c r="AD530" s="19" t="n">
        <f aca="false">IF($AC530&lt;=0,0,$AB530/$AC530)</f>
        <v>0</v>
      </c>
      <c r="AE530" s="8" t="str">
        <f aca="false">IF($K530="SEM CULTURA","SEM CULTURA",IF($AA530&lt;=0,"DADO PENDENTE",IF($AD530&gt;LIMITE_CRITICO,"INVIAVEL",IF($AD530&gt;LIMITE_ATENCAO,"CRITICO",IF($AD530&gt;LIMITE_CONFORTAVEL,"ATENCAO","OK")))))</f>
        <v>SEM CULTURA</v>
      </c>
      <c r="AF530" s="8" t="str">
        <f aca="false">$B530&amp;"|"&amp;TEXT($AD530,"0.000000")</f>
        <v>63|0.000000</v>
      </c>
      <c r="AG530" s="18" t="n">
        <f aca="false">IF($K530="SEM CULTURA",0,$T530*$H530)</f>
        <v>0</v>
      </c>
      <c r="AH530" s="18" t="n">
        <f aca="false">IF($K530="SEM CULTURA",0,$V530*$H530)</f>
        <v>0</v>
      </c>
      <c r="AI530" s="18" t="n">
        <f aca="false">IF($K530="SEM CULTURA",0,$W530*$H530)</f>
        <v>0</v>
      </c>
      <c r="AJ530" s="18" t="n">
        <f aca="false">IF($K530="SEM CULTURA",0,$S530*$H530)</f>
        <v>0</v>
      </c>
      <c r="AK530" s="8" t="str">
        <f aca="false">$E530&amp;"|"&amp;TEXT($AD530,"0.000000")</f>
        <v>PV 103|0.000000</v>
      </c>
    </row>
    <row r="531" customFormat="false" ht="15" hidden="false" customHeight="false" outlineLevel="0" collapsed="false">
      <c r="B531" s="16" t="n">
        <v>64</v>
      </c>
      <c r="C531" s="17" t="n">
        <f aca="false">DATA_INICIO_SAFRA+($B531-1)*DIAS_POR_SEMANA</f>
        <v>46706</v>
      </c>
      <c r="D531" s="17" t="n">
        <f aca="false">$C531+DIAS_POR_SEMANA-1</f>
        <v>46712</v>
      </c>
      <c r="E531" s="15" t="s">
        <v>266</v>
      </c>
      <c r="F531" s="8" t="str">
        <f aca="false">IFERROR(INDEX(CADASTRO_PIVOS!$C$6:$C$41,MATCH($E531,CADASTRO_PIVOS!$B$6:$B$41,0)),"?")</f>
        <v>RM04</v>
      </c>
      <c r="G531" s="8" t="str">
        <f aca="false">IFERROR(INDEX(CADASTRO_PIVOS!$D$6:$D$41,MATCH($E531,CADASTRO_PIVOS!$B$6:$B$41,0)),"?")</f>
        <v>TR04</v>
      </c>
      <c r="H531" s="20" t="n">
        <f aca="false">IFERROR(INDEX(CADASTRO_PIVOS!$E$6:$E$41,MATCH($E531,CADASTRO_PIVOS!$B$6:$B$41,0)),0)</f>
        <v>99.76</v>
      </c>
      <c r="I531" s="16" t="n">
        <f aca="false">IFERROR(SUMIFS(ROTACAO_RDM!$B$6:$B$71,ROTACAO_RDM!$D$6:$D$71,$E531,ROTACAO_RDM!$I$6:$I$71,"&lt;="&amp;$C531+INT(DIAS_POR_SEMANA/2),ROTACAO_RDM!$J$6:$J$71,"&gt;="&amp;$C531+INT(DIAS_POR_SEMANA/2)),0)</f>
        <v>0</v>
      </c>
      <c r="J531" s="16" t="n">
        <f aca="false">IFERROR(MATCH($I531,ROTACAO_RDM!$B$6:$B$71,0),0)</f>
        <v>0</v>
      </c>
      <c r="K531" s="8" t="str">
        <f aca="false">IF($J531=0,"SEM CULTURA",INDEX(ROTACAO_RDM!$F$6:$F$71,$J531))</f>
        <v>SEM CULTURA</v>
      </c>
      <c r="L531" s="8" t="str">
        <f aca="false">IF($J531=0,"",INDEX(ROTACAO_RDM!$G$6:$G$71,$J531))</f>
        <v/>
      </c>
      <c r="M531" s="17" t="str">
        <f aca="false">IF($J531=0,"",INDEX(ROTACAO_RDM!$I$6:$I$71,$J531))</f>
        <v/>
      </c>
      <c r="N531" s="16" t="n">
        <f aca="false">IF($J531=0,0,MAX(0,$C531+INT(DIAS_POR_SEMANA/2)-INDEX(ROTACAO_RDM!$I$6:$I$71,$J531)))</f>
        <v>0</v>
      </c>
      <c r="O531" s="19" t="n">
        <f aca="false">IF($J531=0,0,MIN(1,$N531/MAX(1,INDEX(ROTACAO_RDM!$K$6:$K$71,$J531))))</f>
        <v>0</v>
      </c>
      <c r="P531" s="16" t="n">
        <f aca="false">IF($J531=0,0,IFERROR(MATCH(INDEX(ROTACAO_RDM!$N$6:$N$71,$J531),PARAMETROS_CULTURAS!$B$6:$B$28,0),0))</f>
        <v>0</v>
      </c>
      <c r="Q531" s="8" t="str">
        <f aca="false">IF($P531=0,"-",IF($O531&lt;=INDEX(PARAMETROS_CULTURAS!$F$6:$F$28,$P531),"INICIAL",IF($O531&lt;=INDEX(PARAMETROS_CULTURAS!$F$6:$F$28,$P531)+INDEX(PARAMETROS_CULTURAS!$G$6:$G$28,$P531),"DESENVOLVIMENTO",IF($O531&lt;=INDEX(PARAMETROS_CULTURAS!$F$6:$F$28,$P531)+INDEX(PARAMETROS_CULTURAS!$G$6:$G$28,$P531)+INDEX(PARAMETROS_CULTURAS!$H$6:$H$28,$P531),"MEDIA","FINAL"))))</f>
        <v>-</v>
      </c>
      <c r="R531" s="24" t="n">
        <f aca="false">IF($P531=0,0,IF($O531&lt;=INDEX(PARAMETROS_CULTURAS!$F$6:$F$28,$P531),INDEX(PARAMETROS_CULTURAS!$K$6:$K$28,$P531),IF($O531&lt;=INDEX(PARAMETROS_CULTURAS!$F$6:$F$28,$P531)+INDEX(PARAMETROS_CULTURAS!$G$6:$G$28,$P531),INDEX(PARAMETROS_CULTURAS!$K$6:$K$28,$P531)+(INDEX(PARAMETROS_CULTURAS!$L$6:$L$28,$P531)-INDEX(PARAMETROS_CULTURAS!$K$6:$K$28,$P531))*($O531-INDEX(PARAMETROS_CULTURAS!$F$6:$F$28,$P531))/MAX(INDEX(PARAMETROS_CULTURAS!$G$6:$G$28,$P531),0.0001),IF($O531&lt;=INDEX(PARAMETROS_CULTURAS!$F$6:$F$28,$P531)+INDEX(PARAMETROS_CULTURAS!$G$6:$G$28,$P531)+INDEX(PARAMETROS_CULTURAS!$H$6:$H$28,$P531),INDEX(PARAMETROS_CULTURAS!$L$6:$L$28,$P531),INDEX(PARAMETROS_CULTURAS!$L$6:$L$28,$P531)+(INDEX(PARAMETROS_CULTURAS!$M$6:$M$28,$P531)-INDEX(PARAMETROS_CULTURAS!$L$6:$L$28,$P531))*($O531-INDEX(PARAMETROS_CULTURAS!$F$6:$F$28,$P531)-INDEX(PARAMETROS_CULTURAS!$G$6:$G$28,$P531)-INDEX(PARAMETROS_CULTURAS!$H$6:$H$28,$P531))/MAX(INDEX(PARAMETROS_CULTURAS!$I$6:$I$28,$P531),0.0001)))))</f>
        <v>0</v>
      </c>
      <c r="S531" s="18" t="n">
        <f aca="false">IFERROR(INDEX(SEMANAS!$H$6:$H$71,MATCH($B531,SEMANAS!$B$6:$B$71,0)),0)</f>
        <v>34.3</v>
      </c>
      <c r="T531" s="18" t="n">
        <f aca="false">$R531*$S531</f>
        <v>0</v>
      </c>
      <c r="U531" s="18" t="n">
        <f aca="false">IFERROR(INDEX(SEMANAS!$I$6:$I$71,MATCH($B531,SEMANAS!$B$6:$B$71,0)),0)</f>
        <v>46.69</v>
      </c>
      <c r="V531" s="18" t="n">
        <f aca="false">IFERROR(INDEX(SEMANAS!$J$6:$J$71,MATCH($B531,SEMANAS!$B$6:$B$71,0)),0)</f>
        <v>37.352</v>
      </c>
      <c r="W531" s="18" t="n">
        <f aca="false">MAX(0,$T531-$V531)</f>
        <v>0</v>
      </c>
      <c r="X531" s="19" t="n">
        <f aca="false">IFERROR(INDEX(CADASTRO_PIVOS!$K$6:$K$41,MATCH($E531,CADASTRO_PIVOS!$B$6:$B$41,0)),EFICIENCIA_PADRAO)</f>
        <v>0.85</v>
      </c>
      <c r="Y531" s="18" t="n">
        <f aca="false">IF($X531&lt;=0,0,$W531/$X531)</f>
        <v>0</v>
      </c>
      <c r="Z531" s="16" t="n">
        <f aca="false">$Y531*$H531*MM_PARA_M3_HA</f>
        <v>0</v>
      </c>
      <c r="AA531" s="18" t="n">
        <f aca="false">IFERROR(INDEX(CADASTRO_PIVOS!$I$6:$I$41,MATCH($E531,CADASTRO_PIVOS!$B$6:$B$41,0)),0)</f>
        <v>712.571428571429</v>
      </c>
      <c r="AB531" s="18" t="n">
        <f aca="false">IF($Z531&lt;=0,0,$Z531/$AA531)</f>
        <v>0</v>
      </c>
      <c r="AC531" s="16" t="n">
        <f aca="false">IFERROR(INDEX(SEMANAS!$K$6:$K$71,MATCH($B531,SEMANAS!$B$6:$B$71,0)),0)</f>
        <v>147</v>
      </c>
      <c r="AD531" s="19" t="n">
        <f aca="false">IF($AC531&lt;=0,0,$AB531/$AC531)</f>
        <v>0</v>
      </c>
      <c r="AE531" s="8" t="str">
        <f aca="false">IF($K531="SEM CULTURA","SEM CULTURA",IF($AA531&lt;=0,"DADO PENDENTE",IF($AD531&gt;LIMITE_CRITICO,"INVIAVEL",IF($AD531&gt;LIMITE_ATENCAO,"CRITICO",IF($AD531&gt;LIMITE_CONFORTAVEL,"ATENCAO","OK")))))</f>
        <v>SEM CULTURA</v>
      </c>
      <c r="AF531" s="8" t="str">
        <f aca="false">$B531&amp;"|"&amp;TEXT($AD531,"0.000000")</f>
        <v>64|0.000000</v>
      </c>
      <c r="AG531" s="18" t="n">
        <f aca="false">IF($K531="SEM CULTURA",0,$T531*$H531)</f>
        <v>0</v>
      </c>
      <c r="AH531" s="18" t="n">
        <f aca="false">IF($K531="SEM CULTURA",0,$V531*$H531)</f>
        <v>0</v>
      </c>
      <c r="AI531" s="18" t="n">
        <f aca="false">IF($K531="SEM CULTURA",0,$W531*$H531)</f>
        <v>0</v>
      </c>
      <c r="AJ531" s="18" t="n">
        <f aca="false">IF($K531="SEM CULTURA",0,$S531*$H531)</f>
        <v>0</v>
      </c>
      <c r="AK531" s="8" t="str">
        <f aca="false">$E531&amp;"|"&amp;TEXT($AD531,"0.000000")</f>
        <v>PV 103|0.000000</v>
      </c>
    </row>
    <row r="532" customFormat="false" ht="15" hidden="false" customHeight="false" outlineLevel="0" collapsed="false">
      <c r="B532" s="16" t="n">
        <v>65</v>
      </c>
      <c r="C532" s="17" t="n">
        <f aca="false">DATA_INICIO_SAFRA+($B532-1)*DIAS_POR_SEMANA</f>
        <v>46713</v>
      </c>
      <c r="D532" s="17" t="n">
        <f aca="false">$C532+DIAS_POR_SEMANA-1</f>
        <v>46719</v>
      </c>
      <c r="E532" s="15" t="s">
        <v>266</v>
      </c>
      <c r="F532" s="8" t="str">
        <f aca="false">IFERROR(INDEX(CADASTRO_PIVOS!$C$6:$C$41,MATCH($E532,CADASTRO_PIVOS!$B$6:$B$41,0)),"?")</f>
        <v>RM04</v>
      </c>
      <c r="G532" s="8" t="str">
        <f aca="false">IFERROR(INDEX(CADASTRO_PIVOS!$D$6:$D$41,MATCH($E532,CADASTRO_PIVOS!$B$6:$B$41,0)),"?")</f>
        <v>TR04</v>
      </c>
      <c r="H532" s="20" t="n">
        <f aca="false">IFERROR(INDEX(CADASTRO_PIVOS!$E$6:$E$41,MATCH($E532,CADASTRO_PIVOS!$B$6:$B$41,0)),0)</f>
        <v>99.76</v>
      </c>
      <c r="I532" s="16" t="n">
        <f aca="false">IFERROR(SUMIFS(ROTACAO_RDM!$B$6:$B$71,ROTACAO_RDM!$D$6:$D$71,$E532,ROTACAO_RDM!$I$6:$I$71,"&lt;="&amp;$C532+INT(DIAS_POR_SEMANA/2),ROTACAO_RDM!$J$6:$J$71,"&gt;="&amp;$C532+INT(DIAS_POR_SEMANA/2)),0)</f>
        <v>0</v>
      </c>
      <c r="J532" s="16" t="n">
        <f aca="false">IFERROR(MATCH($I532,ROTACAO_RDM!$B$6:$B$71,0),0)</f>
        <v>0</v>
      </c>
      <c r="K532" s="8" t="str">
        <f aca="false">IF($J532=0,"SEM CULTURA",INDEX(ROTACAO_RDM!$F$6:$F$71,$J532))</f>
        <v>SEM CULTURA</v>
      </c>
      <c r="L532" s="8" t="str">
        <f aca="false">IF($J532=0,"",INDEX(ROTACAO_RDM!$G$6:$G$71,$J532))</f>
        <v/>
      </c>
      <c r="M532" s="17" t="str">
        <f aca="false">IF($J532=0,"",INDEX(ROTACAO_RDM!$I$6:$I$71,$J532))</f>
        <v/>
      </c>
      <c r="N532" s="16" t="n">
        <f aca="false">IF($J532=0,0,MAX(0,$C532+INT(DIAS_POR_SEMANA/2)-INDEX(ROTACAO_RDM!$I$6:$I$71,$J532)))</f>
        <v>0</v>
      </c>
      <c r="O532" s="19" t="n">
        <f aca="false">IF($J532=0,0,MIN(1,$N532/MAX(1,INDEX(ROTACAO_RDM!$K$6:$K$71,$J532))))</f>
        <v>0</v>
      </c>
      <c r="P532" s="16" t="n">
        <f aca="false">IF($J532=0,0,IFERROR(MATCH(INDEX(ROTACAO_RDM!$N$6:$N$71,$J532),PARAMETROS_CULTURAS!$B$6:$B$28,0),0))</f>
        <v>0</v>
      </c>
      <c r="Q532" s="8" t="str">
        <f aca="false">IF($P532=0,"-",IF($O532&lt;=INDEX(PARAMETROS_CULTURAS!$F$6:$F$28,$P532),"INICIAL",IF($O532&lt;=INDEX(PARAMETROS_CULTURAS!$F$6:$F$28,$P532)+INDEX(PARAMETROS_CULTURAS!$G$6:$G$28,$P532),"DESENVOLVIMENTO",IF($O532&lt;=INDEX(PARAMETROS_CULTURAS!$F$6:$F$28,$P532)+INDEX(PARAMETROS_CULTURAS!$G$6:$G$28,$P532)+INDEX(PARAMETROS_CULTURAS!$H$6:$H$28,$P532),"MEDIA","FINAL"))))</f>
        <v>-</v>
      </c>
      <c r="R532" s="24" t="n">
        <f aca="false">IF($P532=0,0,IF($O532&lt;=INDEX(PARAMETROS_CULTURAS!$F$6:$F$28,$P532),INDEX(PARAMETROS_CULTURAS!$K$6:$K$28,$P532),IF($O532&lt;=INDEX(PARAMETROS_CULTURAS!$F$6:$F$28,$P532)+INDEX(PARAMETROS_CULTURAS!$G$6:$G$28,$P532),INDEX(PARAMETROS_CULTURAS!$K$6:$K$28,$P532)+(INDEX(PARAMETROS_CULTURAS!$L$6:$L$28,$P532)-INDEX(PARAMETROS_CULTURAS!$K$6:$K$28,$P532))*($O532-INDEX(PARAMETROS_CULTURAS!$F$6:$F$28,$P532))/MAX(INDEX(PARAMETROS_CULTURAS!$G$6:$G$28,$P532),0.0001),IF($O532&lt;=INDEX(PARAMETROS_CULTURAS!$F$6:$F$28,$P532)+INDEX(PARAMETROS_CULTURAS!$G$6:$G$28,$P532)+INDEX(PARAMETROS_CULTURAS!$H$6:$H$28,$P532),INDEX(PARAMETROS_CULTURAS!$L$6:$L$28,$P532),INDEX(PARAMETROS_CULTURAS!$L$6:$L$28,$P532)+(INDEX(PARAMETROS_CULTURAS!$M$6:$M$28,$P532)-INDEX(PARAMETROS_CULTURAS!$L$6:$L$28,$P532))*($O532-INDEX(PARAMETROS_CULTURAS!$F$6:$F$28,$P532)-INDEX(PARAMETROS_CULTURAS!$G$6:$G$28,$P532)-INDEX(PARAMETROS_CULTURAS!$H$6:$H$28,$P532))/MAX(INDEX(PARAMETROS_CULTURAS!$I$6:$I$28,$P532),0.0001)))))</f>
        <v>0</v>
      </c>
      <c r="S532" s="18" t="n">
        <f aca="false">IFERROR(INDEX(SEMANAS!$H$6:$H$71,MATCH($B532,SEMANAS!$B$6:$B$71,0)),0)</f>
        <v>34.3</v>
      </c>
      <c r="T532" s="18" t="n">
        <f aca="false">$R532*$S532</f>
        <v>0</v>
      </c>
      <c r="U532" s="18" t="n">
        <f aca="false">IFERROR(INDEX(SEMANAS!$I$6:$I$71,MATCH($B532,SEMANAS!$B$6:$B$71,0)),0)</f>
        <v>46.69</v>
      </c>
      <c r="V532" s="18" t="n">
        <f aca="false">IFERROR(INDEX(SEMANAS!$J$6:$J$71,MATCH($B532,SEMANAS!$B$6:$B$71,0)),0)</f>
        <v>37.352</v>
      </c>
      <c r="W532" s="18" t="n">
        <f aca="false">MAX(0,$T532-$V532)</f>
        <v>0</v>
      </c>
      <c r="X532" s="19" t="n">
        <f aca="false">IFERROR(INDEX(CADASTRO_PIVOS!$K$6:$K$41,MATCH($E532,CADASTRO_PIVOS!$B$6:$B$41,0)),EFICIENCIA_PADRAO)</f>
        <v>0.85</v>
      </c>
      <c r="Y532" s="18" t="n">
        <f aca="false">IF($X532&lt;=0,0,$W532/$X532)</f>
        <v>0</v>
      </c>
      <c r="Z532" s="16" t="n">
        <f aca="false">$Y532*$H532*MM_PARA_M3_HA</f>
        <v>0</v>
      </c>
      <c r="AA532" s="18" t="n">
        <f aca="false">IFERROR(INDEX(CADASTRO_PIVOS!$I$6:$I$41,MATCH($E532,CADASTRO_PIVOS!$B$6:$B$41,0)),0)</f>
        <v>712.571428571429</v>
      </c>
      <c r="AB532" s="18" t="n">
        <f aca="false">IF($Z532&lt;=0,0,$Z532/$AA532)</f>
        <v>0</v>
      </c>
      <c r="AC532" s="16" t="n">
        <f aca="false">IFERROR(INDEX(SEMANAS!$K$6:$K$71,MATCH($B532,SEMANAS!$B$6:$B$71,0)),0)</f>
        <v>147</v>
      </c>
      <c r="AD532" s="19" t="n">
        <f aca="false">IF($AC532&lt;=0,0,$AB532/$AC532)</f>
        <v>0</v>
      </c>
      <c r="AE532" s="8" t="str">
        <f aca="false">IF($K532="SEM CULTURA","SEM CULTURA",IF($AA532&lt;=0,"DADO PENDENTE",IF($AD532&gt;LIMITE_CRITICO,"INVIAVEL",IF($AD532&gt;LIMITE_ATENCAO,"CRITICO",IF($AD532&gt;LIMITE_CONFORTAVEL,"ATENCAO","OK")))))</f>
        <v>SEM CULTURA</v>
      </c>
      <c r="AF532" s="8" t="str">
        <f aca="false">$B532&amp;"|"&amp;TEXT($AD532,"0.000000")</f>
        <v>65|0.000000</v>
      </c>
      <c r="AG532" s="18" t="n">
        <f aca="false">IF($K532="SEM CULTURA",0,$T532*$H532)</f>
        <v>0</v>
      </c>
      <c r="AH532" s="18" t="n">
        <f aca="false">IF($K532="SEM CULTURA",0,$V532*$H532)</f>
        <v>0</v>
      </c>
      <c r="AI532" s="18" t="n">
        <f aca="false">IF($K532="SEM CULTURA",0,$W532*$H532)</f>
        <v>0</v>
      </c>
      <c r="AJ532" s="18" t="n">
        <f aca="false">IF($K532="SEM CULTURA",0,$S532*$H532)</f>
        <v>0</v>
      </c>
      <c r="AK532" s="8" t="str">
        <f aca="false">$E532&amp;"|"&amp;TEXT($AD532,"0.000000")</f>
        <v>PV 103|0.000000</v>
      </c>
    </row>
    <row r="533" customFormat="false" ht="15" hidden="false" customHeight="false" outlineLevel="0" collapsed="false">
      <c r="B533" s="16" t="n">
        <v>66</v>
      </c>
      <c r="C533" s="17" t="n">
        <f aca="false">DATA_INICIO_SAFRA+($B533-1)*DIAS_POR_SEMANA</f>
        <v>46720</v>
      </c>
      <c r="D533" s="17" t="n">
        <f aca="false">$C533+DIAS_POR_SEMANA-1</f>
        <v>46726</v>
      </c>
      <c r="E533" s="15" t="s">
        <v>266</v>
      </c>
      <c r="F533" s="8" t="str">
        <f aca="false">IFERROR(INDEX(CADASTRO_PIVOS!$C$6:$C$41,MATCH($E533,CADASTRO_PIVOS!$B$6:$B$41,0)),"?")</f>
        <v>RM04</v>
      </c>
      <c r="G533" s="8" t="str">
        <f aca="false">IFERROR(INDEX(CADASTRO_PIVOS!$D$6:$D$41,MATCH($E533,CADASTRO_PIVOS!$B$6:$B$41,0)),"?")</f>
        <v>TR04</v>
      </c>
      <c r="H533" s="20" t="n">
        <f aca="false">IFERROR(INDEX(CADASTRO_PIVOS!$E$6:$E$41,MATCH($E533,CADASTRO_PIVOS!$B$6:$B$41,0)),0)</f>
        <v>99.76</v>
      </c>
      <c r="I533" s="16" t="n">
        <f aca="false">IFERROR(SUMIFS(ROTACAO_RDM!$B$6:$B$71,ROTACAO_RDM!$D$6:$D$71,$E533,ROTACAO_RDM!$I$6:$I$71,"&lt;="&amp;$C533+INT(DIAS_POR_SEMANA/2),ROTACAO_RDM!$J$6:$J$71,"&gt;="&amp;$C533+INT(DIAS_POR_SEMANA/2)),0)</f>
        <v>0</v>
      </c>
      <c r="J533" s="16" t="n">
        <f aca="false">IFERROR(MATCH($I533,ROTACAO_RDM!$B$6:$B$71,0),0)</f>
        <v>0</v>
      </c>
      <c r="K533" s="8" t="str">
        <f aca="false">IF($J533=0,"SEM CULTURA",INDEX(ROTACAO_RDM!$F$6:$F$71,$J533))</f>
        <v>SEM CULTURA</v>
      </c>
      <c r="L533" s="8" t="str">
        <f aca="false">IF($J533=0,"",INDEX(ROTACAO_RDM!$G$6:$G$71,$J533))</f>
        <v/>
      </c>
      <c r="M533" s="17" t="str">
        <f aca="false">IF($J533=0,"",INDEX(ROTACAO_RDM!$I$6:$I$71,$J533))</f>
        <v/>
      </c>
      <c r="N533" s="16" t="n">
        <f aca="false">IF($J533=0,0,MAX(0,$C533+INT(DIAS_POR_SEMANA/2)-INDEX(ROTACAO_RDM!$I$6:$I$71,$J533)))</f>
        <v>0</v>
      </c>
      <c r="O533" s="19" t="n">
        <f aca="false">IF($J533=0,0,MIN(1,$N533/MAX(1,INDEX(ROTACAO_RDM!$K$6:$K$71,$J533))))</f>
        <v>0</v>
      </c>
      <c r="P533" s="16" t="n">
        <f aca="false">IF($J533=0,0,IFERROR(MATCH(INDEX(ROTACAO_RDM!$N$6:$N$71,$J533),PARAMETROS_CULTURAS!$B$6:$B$28,0),0))</f>
        <v>0</v>
      </c>
      <c r="Q533" s="8" t="str">
        <f aca="false">IF($P533=0,"-",IF($O533&lt;=INDEX(PARAMETROS_CULTURAS!$F$6:$F$28,$P533),"INICIAL",IF($O533&lt;=INDEX(PARAMETROS_CULTURAS!$F$6:$F$28,$P533)+INDEX(PARAMETROS_CULTURAS!$G$6:$G$28,$P533),"DESENVOLVIMENTO",IF($O533&lt;=INDEX(PARAMETROS_CULTURAS!$F$6:$F$28,$P533)+INDEX(PARAMETROS_CULTURAS!$G$6:$G$28,$P533)+INDEX(PARAMETROS_CULTURAS!$H$6:$H$28,$P533),"MEDIA","FINAL"))))</f>
        <v>-</v>
      </c>
      <c r="R533" s="24" t="n">
        <f aca="false">IF($P533=0,0,IF($O533&lt;=INDEX(PARAMETROS_CULTURAS!$F$6:$F$28,$P533),INDEX(PARAMETROS_CULTURAS!$K$6:$K$28,$P533),IF($O533&lt;=INDEX(PARAMETROS_CULTURAS!$F$6:$F$28,$P533)+INDEX(PARAMETROS_CULTURAS!$G$6:$G$28,$P533),INDEX(PARAMETROS_CULTURAS!$K$6:$K$28,$P533)+(INDEX(PARAMETROS_CULTURAS!$L$6:$L$28,$P533)-INDEX(PARAMETROS_CULTURAS!$K$6:$K$28,$P533))*($O533-INDEX(PARAMETROS_CULTURAS!$F$6:$F$28,$P533))/MAX(INDEX(PARAMETROS_CULTURAS!$G$6:$G$28,$P533),0.0001),IF($O533&lt;=INDEX(PARAMETROS_CULTURAS!$F$6:$F$28,$P533)+INDEX(PARAMETROS_CULTURAS!$G$6:$G$28,$P533)+INDEX(PARAMETROS_CULTURAS!$H$6:$H$28,$P533),INDEX(PARAMETROS_CULTURAS!$L$6:$L$28,$P533),INDEX(PARAMETROS_CULTURAS!$L$6:$L$28,$P533)+(INDEX(PARAMETROS_CULTURAS!$M$6:$M$28,$P533)-INDEX(PARAMETROS_CULTURAS!$L$6:$L$28,$P533))*($O533-INDEX(PARAMETROS_CULTURAS!$F$6:$F$28,$P533)-INDEX(PARAMETROS_CULTURAS!$G$6:$G$28,$P533)-INDEX(PARAMETROS_CULTURAS!$H$6:$H$28,$P533))/MAX(INDEX(PARAMETROS_CULTURAS!$I$6:$I$28,$P533),0.0001)))))</f>
        <v>0</v>
      </c>
      <c r="S533" s="18" t="n">
        <f aca="false">IFERROR(INDEX(SEMANAS!$H$6:$H$71,MATCH($B533,SEMANAS!$B$6:$B$71,0)),0)</f>
        <v>33.3</v>
      </c>
      <c r="T533" s="18" t="n">
        <f aca="false">$R533*$S533</f>
        <v>0</v>
      </c>
      <c r="U533" s="18" t="n">
        <f aca="false">IFERROR(INDEX(SEMANAS!$I$6:$I$71,MATCH($B533,SEMANAS!$B$6:$B$71,0)),0)</f>
        <v>48.04</v>
      </c>
      <c r="V533" s="18" t="n">
        <f aca="false">IFERROR(INDEX(SEMANAS!$J$6:$J$71,MATCH($B533,SEMANAS!$B$6:$B$71,0)),0)</f>
        <v>38.432</v>
      </c>
      <c r="W533" s="18" t="n">
        <f aca="false">MAX(0,$T533-$V533)</f>
        <v>0</v>
      </c>
      <c r="X533" s="19" t="n">
        <f aca="false">IFERROR(INDEX(CADASTRO_PIVOS!$K$6:$K$41,MATCH($E533,CADASTRO_PIVOS!$B$6:$B$41,0)),EFICIENCIA_PADRAO)</f>
        <v>0.85</v>
      </c>
      <c r="Y533" s="18" t="n">
        <f aca="false">IF($X533&lt;=0,0,$W533/$X533)</f>
        <v>0</v>
      </c>
      <c r="Z533" s="16" t="n">
        <f aca="false">$Y533*$H533*MM_PARA_M3_HA</f>
        <v>0</v>
      </c>
      <c r="AA533" s="18" t="n">
        <f aca="false">IFERROR(INDEX(CADASTRO_PIVOS!$I$6:$I$41,MATCH($E533,CADASTRO_PIVOS!$B$6:$B$41,0)),0)</f>
        <v>712.571428571429</v>
      </c>
      <c r="AB533" s="18" t="n">
        <f aca="false">IF($Z533&lt;=0,0,$Z533/$AA533)</f>
        <v>0</v>
      </c>
      <c r="AC533" s="16" t="n">
        <f aca="false">IFERROR(INDEX(SEMANAS!$K$6:$K$71,MATCH($B533,SEMANAS!$B$6:$B$71,0)),0)</f>
        <v>147</v>
      </c>
      <c r="AD533" s="19" t="n">
        <f aca="false">IF($AC533&lt;=0,0,$AB533/$AC533)</f>
        <v>0</v>
      </c>
      <c r="AE533" s="8" t="str">
        <f aca="false">IF($K533="SEM CULTURA","SEM CULTURA",IF($AA533&lt;=0,"DADO PENDENTE",IF($AD533&gt;LIMITE_CRITICO,"INVIAVEL",IF($AD533&gt;LIMITE_ATENCAO,"CRITICO",IF($AD533&gt;LIMITE_CONFORTAVEL,"ATENCAO","OK")))))</f>
        <v>SEM CULTURA</v>
      </c>
      <c r="AF533" s="8" t="str">
        <f aca="false">$B533&amp;"|"&amp;TEXT($AD533,"0.000000")</f>
        <v>66|0.000000</v>
      </c>
      <c r="AG533" s="18" t="n">
        <f aca="false">IF($K533="SEM CULTURA",0,$T533*$H533)</f>
        <v>0</v>
      </c>
      <c r="AH533" s="18" t="n">
        <f aca="false">IF($K533="SEM CULTURA",0,$V533*$H533)</f>
        <v>0</v>
      </c>
      <c r="AI533" s="18" t="n">
        <f aca="false">IF($K533="SEM CULTURA",0,$W533*$H533)</f>
        <v>0</v>
      </c>
      <c r="AJ533" s="18" t="n">
        <f aca="false">IF($K533="SEM CULTURA",0,$S533*$H533)</f>
        <v>0</v>
      </c>
      <c r="AK533" s="8" t="str">
        <f aca="false">$E533&amp;"|"&amp;TEXT($AD533,"0.000000")</f>
        <v>PV 103|0.000000</v>
      </c>
    </row>
    <row r="534" customFormat="false" ht="15" hidden="false" customHeight="false" outlineLevel="0" collapsed="false">
      <c r="B534" s="16" t="n">
        <v>1</v>
      </c>
      <c r="C534" s="17" t="n">
        <f aca="false">DATA_INICIO_SAFRA+($B534-1)*DIAS_POR_SEMANA</f>
        <v>46265</v>
      </c>
      <c r="D534" s="17" t="n">
        <f aca="false">$C534+DIAS_POR_SEMANA-1</f>
        <v>46271</v>
      </c>
      <c r="E534" s="15" t="s">
        <v>267</v>
      </c>
      <c r="F534" s="8" t="str">
        <f aca="false">IFERROR(INDEX(CADASTRO_PIVOS!$C$6:$C$41,MATCH($E534,CADASTRO_PIVOS!$B$6:$B$41,0)),"?")</f>
        <v>RM04</v>
      </c>
      <c r="G534" s="8" t="str">
        <f aca="false">IFERROR(INDEX(CADASTRO_PIVOS!$D$6:$D$41,MATCH($E534,CADASTRO_PIVOS!$B$6:$B$41,0)),"?")</f>
        <v>TR04</v>
      </c>
      <c r="H534" s="20" t="n">
        <f aca="false">IFERROR(INDEX(CADASTRO_PIVOS!$E$6:$E$41,MATCH($E534,CADASTRO_PIVOS!$B$6:$B$41,0)),0)</f>
        <v>100.41</v>
      </c>
      <c r="I534" s="16" t="n">
        <f aca="false">IFERROR(SUMIFS(ROTACAO_RDM!$B$6:$B$71,ROTACAO_RDM!$D$6:$D$71,$E534,ROTACAO_RDM!$I$6:$I$71,"&lt;="&amp;$C534+INT(DIAS_POR_SEMANA/2),ROTACAO_RDM!$J$6:$J$71,"&gt;="&amp;$C534+INT(DIAS_POR_SEMANA/2)),0)</f>
        <v>0</v>
      </c>
      <c r="J534" s="16" t="n">
        <f aca="false">IFERROR(MATCH($I534,ROTACAO_RDM!$B$6:$B$71,0),0)</f>
        <v>0</v>
      </c>
      <c r="K534" s="8" t="str">
        <f aca="false">IF($J534=0,"SEM CULTURA",INDEX(ROTACAO_RDM!$F$6:$F$71,$J534))</f>
        <v>SEM CULTURA</v>
      </c>
      <c r="L534" s="8" t="str">
        <f aca="false">IF($J534=0,"",INDEX(ROTACAO_RDM!$G$6:$G$71,$J534))</f>
        <v/>
      </c>
      <c r="M534" s="17" t="str">
        <f aca="false">IF($J534=0,"",INDEX(ROTACAO_RDM!$I$6:$I$71,$J534))</f>
        <v/>
      </c>
      <c r="N534" s="16" t="n">
        <f aca="false">IF($J534=0,0,MAX(0,$C534+INT(DIAS_POR_SEMANA/2)-INDEX(ROTACAO_RDM!$I$6:$I$71,$J534)))</f>
        <v>0</v>
      </c>
      <c r="O534" s="19" t="n">
        <f aca="false">IF($J534=0,0,MIN(1,$N534/MAX(1,INDEX(ROTACAO_RDM!$K$6:$K$71,$J534))))</f>
        <v>0</v>
      </c>
      <c r="P534" s="16" t="n">
        <f aca="false">IF($J534=0,0,IFERROR(MATCH(INDEX(ROTACAO_RDM!$N$6:$N$71,$J534),PARAMETROS_CULTURAS!$B$6:$B$28,0),0))</f>
        <v>0</v>
      </c>
      <c r="Q534" s="8" t="str">
        <f aca="false">IF($P534=0,"-",IF($O534&lt;=INDEX(PARAMETROS_CULTURAS!$F$6:$F$28,$P534),"INICIAL",IF($O534&lt;=INDEX(PARAMETROS_CULTURAS!$F$6:$F$28,$P534)+INDEX(PARAMETROS_CULTURAS!$G$6:$G$28,$P534),"DESENVOLVIMENTO",IF($O534&lt;=INDEX(PARAMETROS_CULTURAS!$F$6:$F$28,$P534)+INDEX(PARAMETROS_CULTURAS!$G$6:$G$28,$P534)+INDEX(PARAMETROS_CULTURAS!$H$6:$H$28,$P534),"MEDIA","FINAL"))))</f>
        <v>-</v>
      </c>
      <c r="R534" s="24" t="n">
        <f aca="false">IF($P534=0,0,IF($O534&lt;=INDEX(PARAMETROS_CULTURAS!$F$6:$F$28,$P534),INDEX(PARAMETROS_CULTURAS!$K$6:$K$28,$P534),IF($O534&lt;=INDEX(PARAMETROS_CULTURAS!$F$6:$F$28,$P534)+INDEX(PARAMETROS_CULTURAS!$G$6:$G$28,$P534),INDEX(PARAMETROS_CULTURAS!$K$6:$K$28,$P534)+(INDEX(PARAMETROS_CULTURAS!$L$6:$L$28,$P534)-INDEX(PARAMETROS_CULTURAS!$K$6:$K$28,$P534))*($O534-INDEX(PARAMETROS_CULTURAS!$F$6:$F$28,$P534))/MAX(INDEX(PARAMETROS_CULTURAS!$G$6:$G$28,$P534),0.0001),IF($O534&lt;=INDEX(PARAMETROS_CULTURAS!$F$6:$F$28,$P534)+INDEX(PARAMETROS_CULTURAS!$G$6:$G$28,$P534)+INDEX(PARAMETROS_CULTURAS!$H$6:$H$28,$P534),INDEX(PARAMETROS_CULTURAS!$L$6:$L$28,$P534),INDEX(PARAMETROS_CULTURAS!$L$6:$L$28,$P534)+(INDEX(PARAMETROS_CULTURAS!$M$6:$M$28,$P534)-INDEX(PARAMETROS_CULTURAS!$L$6:$L$28,$P534))*($O534-INDEX(PARAMETROS_CULTURAS!$F$6:$F$28,$P534)-INDEX(PARAMETROS_CULTURAS!$G$6:$G$28,$P534)-INDEX(PARAMETROS_CULTURAS!$H$6:$H$28,$P534))/MAX(INDEX(PARAMETROS_CULTURAS!$I$6:$I$28,$P534),0.0001)))))</f>
        <v>0</v>
      </c>
      <c r="S534" s="18" t="n">
        <f aca="false">IFERROR(INDEX(SEMANAS!$H$6:$H$71,MATCH($B534,SEMANAS!$B$6:$B$71,0)),0)</f>
        <v>40</v>
      </c>
      <c r="T534" s="18" t="n">
        <f aca="false">$R534*$S534</f>
        <v>0</v>
      </c>
      <c r="U534" s="18" t="n">
        <f aca="false">IFERROR(INDEX(SEMANAS!$I$6:$I$71,MATCH($B534,SEMANAS!$B$6:$B$71,0)),0)</f>
        <v>6.16</v>
      </c>
      <c r="V534" s="18" t="n">
        <f aca="false">IFERROR(INDEX(SEMANAS!$J$6:$J$71,MATCH($B534,SEMANAS!$B$6:$B$71,0)),0)</f>
        <v>4.928</v>
      </c>
      <c r="W534" s="18" t="n">
        <f aca="false">MAX(0,$T534-$V534)</f>
        <v>0</v>
      </c>
      <c r="X534" s="19" t="n">
        <f aca="false">IFERROR(INDEX(CADASTRO_PIVOS!$K$6:$K$41,MATCH($E534,CADASTRO_PIVOS!$B$6:$B$41,0)),EFICIENCIA_PADRAO)</f>
        <v>0.85</v>
      </c>
      <c r="Y534" s="18" t="n">
        <f aca="false">IF($X534&lt;=0,0,$W534/$X534)</f>
        <v>0</v>
      </c>
      <c r="Z534" s="16" t="n">
        <f aca="false">$Y534*$H534*MM_PARA_M3_HA</f>
        <v>0</v>
      </c>
      <c r="AA534" s="18" t="n">
        <f aca="false">IFERROR(INDEX(CADASTRO_PIVOS!$I$6:$I$41,MATCH($E534,CADASTRO_PIVOS!$B$6:$B$41,0)),0)</f>
        <v>717.214285714286</v>
      </c>
      <c r="AB534" s="18" t="n">
        <f aca="false">IF($Z534&lt;=0,0,$Z534/$AA534)</f>
        <v>0</v>
      </c>
      <c r="AC534" s="16" t="n">
        <f aca="false">IFERROR(INDEX(SEMANAS!$K$6:$K$71,MATCH($B534,SEMANAS!$B$6:$B$71,0)),0)</f>
        <v>147</v>
      </c>
      <c r="AD534" s="19" t="n">
        <f aca="false">IF($AC534&lt;=0,0,$AB534/$AC534)</f>
        <v>0</v>
      </c>
      <c r="AE534" s="8" t="str">
        <f aca="false">IF($K534="SEM CULTURA","SEM CULTURA",IF($AA534&lt;=0,"DADO PENDENTE",IF($AD534&gt;LIMITE_CRITICO,"INVIAVEL",IF($AD534&gt;LIMITE_ATENCAO,"CRITICO",IF($AD534&gt;LIMITE_CONFORTAVEL,"ATENCAO","OK")))))</f>
        <v>SEM CULTURA</v>
      </c>
      <c r="AF534" s="8" t="str">
        <f aca="false">$B534&amp;"|"&amp;TEXT($AD534,"0.000000")</f>
        <v>1|0.000000</v>
      </c>
      <c r="AG534" s="18" t="n">
        <f aca="false">IF($K534="SEM CULTURA",0,$T534*$H534)</f>
        <v>0</v>
      </c>
      <c r="AH534" s="18" t="n">
        <f aca="false">IF($K534="SEM CULTURA",0,$V534*$H534)</f>
        <v>0</v>
      </c>
      <c r="AI534" s="18" t="n">
        <f aca="false">IF($K534="SEM CULTURA",0,$W534*$H534)</f>
        <v>0</v>
      </c>
      <c r="AJ534" s="18" t="n">
        <f aca="false">IF($K534="SEM CULTURA",0,$S534*$H534)</f>
        <v>0</v>
      </c>
      <c r="AK534" s="8" t="str">
        <f aca="false">$E534&amp;"|"&amp;TEXT($AD534,"0.000000")</f>
        <v>PV 104|0.000000</v>
      </c>
    </row>
    <row r="535" customFormat="false" ht="15" hidden="false" customHeight="false" outlineLevel="0" collapsed="false">
      <c r="B535" s="16" t="n">
        <v>2</v>
      </c>
      <c r="C535" s="17" t="n">
        <f aca="false">DATA_INICIO_SAFRA+($B535-1)*DIAS_POR_SEMANA</f>
        <v>46272</v>
      </c>
      <c r="D535" s="17" t="n">
        <f aca="false">$C535+DIAS_POR_SEMANA-1</f>
        <v>46278</v>
      </c>
      <c r="E535" s="15" t="s">
        <v>267</v>
      </c>
      <c r="F535" s="8" t="str">
        <f aca="false">IFERROR(INDEX(CADASTRO_PIVOS!$C$6:$C$41,MATCH($E535,CADASTRO_PIVOS!$B$6:$B$41,0)),"?")</f>
        <v>RM04</v>
      </c>
      <c r="G535" s="8" t="str">
        <f aca="false">IFERROR(INDEX(CADASTRO_PIVOS!$D$6:$D$41,MATCH($E535,CADASTRO_PIVOS!$B$6:$B$41,0)),"?")</f>
        <v>TR04</v>
      </c>
      <c r="H535" s="20" t="n">
        <f aca="false">IFERROR(INDEX(CADASTRO_PIVOS!$E$6:$E$41,MATCH($E535,CADASTRO_PIVOS!$B$6:$B$41,0)),0)</f>
        <v>100.41</v>
      </c>
      <c r="I535" s="16" t="n">
        <f aca="false">IFERROR(SUMIFS(ROTACAO_RDM!$B$6:$B$71,ROTACAO_RDM!$D$6:$D$71,$E535,ROTACAO_RDM!$I$6:$I$71,"&lt;="&amp;$C535+INT(DIAS_POR_SEMANA/2),ROTACAO_RDM!$J$6:$J$71,"&gt;="&amp;$C535+INT(DIAS_POR_SEMANA/2)),0)</f>
        <v>0</v>
      </c>
      <c r="J535" s="16" t="n">
        <f aca="false">IFERROR(MATCH($I535,ROTACAO_RDM!$B$6:$B$71,0),0)</f>
        <v>0</v>
      </c>
      <c r="K535" s="8" t="str">
        <f aca="false">IF($J535=0,"SEM CULTURA",INDEX(ROTACAO_RDM!$F$6:$F$71,$J535))</f>
        <v>SEM CULTURA</v>
      </c>
      <c r="L535" s="8" t="str">
        <f aca="false">IF($J535=0,"",INDEX(ROTACAO_RDM!$G$6:$G$71,$J535))</f>
        <v/>
      </c>
      <c r="M535" s="17" t="str">
        <f aca="false">IF($J535=0,"",INDEX(ROTACAO_RDM!$I$6:$I$71,$J535))</f>
        <v/>
      </c>
      <c r="N535" s="16" t="n">
        <f aca="false">IF($J535=0,0,MAX(0,$C535+INT(DIAS_POR_SEMANA/2)-INDEX(ROTACAO_RDM!$I$6:$I$71,$J535)))</f>
        <v>0</v>
      </c>
      <c r="O535" s="19" t="n">
        <f aca="false">IF($J535=0,0,MIN(1,$N535/MAX(1,INDEX(ROTACAO_RDM!$K$6:$K$71,$J535))))</f>
        <v>0</v>
      </c>
      <c r="P535" s="16" t="n">
        <f aca="false">IF($J535=0,0,IFERROR(MATCH(INDEX(ROTACAO_RDM!$N$6:$N$71,$J535),PARAMETROS_CULTURAS!$B$6:$B$28,0),0))</f>
        <v>0</v>
      </c>
      <c r="Q535" s="8" t="str">
        <f aca="false">IF($P535=0,"-",IF($O535&lt;=INDEX(PARAMETROS_CULTURAS!$F$6:$F$28,$P535),"INICIAL",IF($O535&lt;=INDEX(PARAMETROS_CULTURAS!$F$6:$F$28,$P535)+INDEX(PARAMETROS_CULTURAS!$G$6:$G$28,$P535),"DESENVOLVIMENTO",IF($O535&lt;=INDEX(PARAMETROS_CULTURAS!$F$6:$F$28,$P535)+INDEX(PARAMETROS_CULTURAS!$G$6:$G$28,$P535)+INDEX(PARAMETROS_CULTURAS!$H$6:$H$28,$P535),"MEDIA","FINAL"))))</f>
        <v>-</v>
      </c>
      <c r="R535" s="24" t="n">
        <f aca="false">IF($P535=0,0,IF($O535&lt;=INDEX(PARAMETROS_CULTURAS!$F$6:$F$28,$P535),INDEX(PARAMETROS_CULTURAS!$K$6:$K$28,$P535),IF($O535&lt;=INDEX(PARAMETROS_CULTURAS!$F$6:$F$28,$P535)+INDEX(PARAMETROS_CULTURAS!$G$6:$G$28,$P535),INDEX(PARAMETROS_CULTURAS!$K$6:$K$28,$P535)+(INDEX(PARAMETROS_CULTURAS!$L$6:$L$28,$P535)-INDEX(PARAMETROS_CULTURAS!$K$6:$K$28,$P535))*($O535-INDEX(PARAMETROS_CULTURAS!$F$6:$F$28,$P535))/MAX(INDEX(PARAMETROS_CULTURAS!$G$6:$G$28,$P535),0.0001),IF($O535&lt;=INDEX(PARAMETROS_CULTURAS!$F$6:$F$28,$P535)+INDEX(PARAMETROS_CULTURAS!$G$6:$G$28,$P535)+INDEX(PARAMETROS_CULTURAS!$H$6:$H$28,$P535),INDEX(PARAMETROS_CULTURAS!$L$6:$L$28,$P535),INDEX(PARAMETROS_CULTURAS!$L$6:$L$28,$P535)+(INDEX(PARAMETROS_CULTURAS!$M$6:$M$28,$P535)-INDEX(PARAMETROS_CULTURAS!$L$6:$L$28,$P535))*($O535-INDEX(PARAMETROS_CULTURAS!$F$6:$F$28,$P535)-INDEX(PARAMETROS_CULTURAS!$G$6:$G$28,$P535)-INDEX(PARAMETROS_CULTURAS!$H$6:$H$28,$P535))/MAX(INDEX(PARAMETROS_CULTURAS!$I$6:$I$28,$P535),0.0001)))))</f>
        <v>0</v>
      </c>
      <c r="S535" s="18" t="n">
        <f aca="false">IFERROR(INDEX(SEMANAS!$H$6:$H$71,MATCH($B535,SEMANAS!$B$6:$B$71,0)),0)</f>
        <v>40.6</v>
      </c>
      <c r="T535" s="18" t="n">
        <f aca="false">$R535*$S535</f>
        <v>0</v>
      </c>
      <c r="U535" s="18" t="n">
        <f aca="false">IFERROR(INDEX(SEMANAS!$I$6:$I$71,MATCH($B535,SEMANAS!$B$6:$B$71,0)),0)</f>
        <v>7</v>
      </c>
      <c r="V535" s="18" t="n">
        <f aca="false">IFERROR(INDEX(SEMANAS!$J$6:$J$71,MATCH($B535,SEMANAS!$B$6:$B$71,0)),0)</f>
        <v>5.6</v>
      </c>
      <c r="W535" s="18" t="n">
        <f aca="false">MAX(0,$T535-$V535)</f>
        <v>0</v>
      </c>
      <c r="X535" s="19" t="n">
        <f aca="false">IFERROR(INDEX(CADASTRO_PIVOS!$K$6:$K$41,MATCH($E535,CADASTRO_PIVOS!$B$6:$B$41,0)),EFICIENCIA_PADRAO)</f>
        <v>0.85</v>
      </c>
      <c r="Y535" s="18" t="n">
        <f aca="false">IF($X535&lt;=0,0,$W535/$X535)</f>
        <v>0</v>
      </c>
      <c r="Z535" s="16" t="n">
        <f aca="false">$Y535*$H535*MM_PARA_M3_HA</f>
        <v>0</v>
      </c>
      <c r="AA535" s="18" t="n">
        <f aca="false">IFERROR(INDEX(CADASTRO_PIVOS!$I$6:$I$41,MATCH($E535,CADASTRO_PIVOS!$B$6:$B$41,0)),0)</f>
        <v>717.214285714286</v>
      </c>
      <c r="AB535" s="18" t="n">
        <f aca="false">IF($Z535&lt;=0,0,$Z535/$AA535)</f>
        <v>0</v>
      </c>
      <c r="AC535" s="16" t="n">
        <f aca="false">IFERROR(INDEX(SEMANAS!$K$6:$K$71,MATCH($B535,SEMANAS!$B$6:$B$71,0)),0)</f>
        <v>147</v>
      </c>
      <c r="AD535" s="19" t="n">
        <f aca="false">IF($AC535&lt;=0,0,$AB535/$AC535)</f>
        <v>0</v>
      </c>
      <c r="AE535" s="8" t="str">
        <f aca="false">IF($K535="SEM CULTURA","SEM CULTURA",IF($AA535&lt;=0,"DADO PENDENTE",IF($AD535&gt;LIMITE_CRITICO,"INVIAVEL",IF($AD535&gt;LIMITE_ATENCAO,"CRITICO",IF($AD535&gt;LIMITE_CONFORTAVEL,"ATENCAO","OK")))))</f>
        <v>SEM CULTURA</v>
      </c>
      <c r="AF535" s="8" t="str">
        <f aca="false">$B535&amp;"|"&amp;TEXT($AD535,"0.000000")</f>
        <v>2|0.000000</v>
      </c>
      <c r="AG535" s="18" t="n">
        <f aca="false">IF($K535="SEM CULTURA",0,$T535*$H535)</f>
        <v>0</v>
      </c>
      <c r="AH535" s="18" t="n">
        <f aca="false">IF($K535="SEM CULTURA",0,$V535*$H535)</f>
        <v>0</v>
      </c>
      <c r="AI535" s="18" t="n">
        <f aca="false">IF($K535="SEM CULTURA",0,$W535*$H535)</f>
        <v>0</v>
      </c>
      <c r="AJ535" s="18" t="n">
        <f aca="false">IF($K535="SEM CULTURA",0,$S535*$H535)</f>
        <v>0</v>
      </c>
      <c r="AK535" s="8" t="str">
        <f aca="false">$E535&amp;"|"&amp;TEXT($AD535,"0.000000")</f>
        <v>PV 104|0.000000</v>
      </c>
    </row>
    <row r="536" customFormat="false" ht="15" hidden="false" customHeight="false" outlineLevel="0" collapsed="false">
      <c r="B536" s="16" t="n">
        <v>3</v>
      </c>
      <c r="C536" s="17" t="n">
        <f aca="false">DATA_INICIO_SAFRA+($B536-1)*DIAS_POR_SEMANA</f>
        <v>46279</v>
      </c>
      <c r="D536" s="17" t="n">
        <f aca="false">$C536+DIAS_POR_SEMANA-1</f>
        <v>46285</v>
      </c>
      <c r="E536" s="15" t="s">
        <v>267</v>
      </c>
      <c r="F536" s="8" t="str">
        <f aca="false">IFERROR(INDEX(CADASTRO_PIVOS!$C$6:$C$41,MATCH($E536,CADASTRO_PIVOS!$B$6:$B$41,0)),"?")</f>
        <v>RM04</v>
      </c>
      <c r="G536" s="8" t="str">
        <f aca="false">IFERROR(INDEX(CADASTRO_PIVOS!$D$6:$D$41,MATCH($E536,CADASTRO_PIVOS!$B$6:$B$41,0)),"?")</f>
        <v>TR04</v>
      </c>
      <c r="H536" s="20" t="n">
        <f aca="false">IFERROR(INDEX(CADASTRO_PIVOS!$E$6:$E$41,MATCH($E536,CADASTRO_PIVOS!$B$6:$B$41,0)),0)</f>
        <v>100.41</v>
      </c>
      <c r="I536" s="16" t="n">
        <f aca="false">IFERROR(SUMIFS(ROTACAO_RDM!$B$6:$B$71,ROTACAO_RDM!$D$6:$D$71,$E536,ROTACAO_RDM!$I$6:$I$71,"&lt;="&amp;$C536+INT(DIAS_POR_SEMANA/2),ROTACAO_RDM!$J$6:$J$71,"&gt;="&amp;$C536+INT(DIAS_POR_SEMANA/2)),0)</f>
        <v>0</v>
      </c>
      <c r="J536" s="16" t="n">
        <f aca="false">IFERROR(MATCH($I536,ROTACAO_RDM!$B$6:$B$71,0),0)</f>
        <v>0</v>
      </c>
      <c r="K536" s="8" t="str">
        <f aca="false">IF($J536=0,"SEM CULTURA",INDEX(ROTACAO_RDM!$F$6:$F$71,$J536))</f>
        <v>SEM CULTURA</v>
      </c>
      <c r="L536" s="8" t="str">
        <f aca="false">IF($J536=0,"",INDEX(ROTACAO_RDM!$G$6:$G$71,$J536))</f>
        <v/>
      </c>
      <c r="M536" s="17" t="str">
        <f aca="false">IF($J536=0,"",INDEX(ROTACAO_RDM!$I$6:$I$71,$J536))</f>
        <v/>
      </c>
      <c r="N536" s="16" t="n">
        <f aca="false">IF($J536=0,0,MAX(0,$C536+INT(DIAS_POR_SEMANA/2)-INDEX(ROTACAO_RDM!$I$6:$I$71,$J536)))</f>
        <v>0</v>
      </c>
      <c r="O536" s="19" t="n">
        <f aca="false">IF($J536=0,0,MIN(1,$N536/MAX(1,INDEX(ROTACAO_RDM!$K$6:$K$71,$J536))))</f>
        <v>0</v>
      </c>
      <c r="P536" s="16" t="n">
        <f aca="false">IF($J536=0,0,IFERROR(MATCH(INDEX(ROTACAO_RDM!$N$6:$N$71,$J536),PARAMETROS_CULTURAS!$B$6:$B$28,0),0))</f>
        <v>0</v>
      </c>
      <c r="Q536" s="8" t="str">
        <f aca="false">IF($P536=0,"-",IF($O536&lt;=INDEX(PARAMETROS_CULTURAS!$F$6:$F$28,$P536),"INICIAL",IF($O536&lt;=INDEX(PARAMETROS_CULTURAS!$F$6:$F$28,$P536)+INDEX(PARAMETROS_CULTURAS!$G$6:$G$28,$P536),"DESENVOLVIMENTO",IF($O536&lt;=INDEX(PARAMETROS_CULTURAS!$F$6:$F$28,$P536)+INDEX(PARAMETROS_CULTURAS!$G$6:$G$28,$P536)+INDEX(PARAMETROS_CULTURAS!$H$6:$H$28,$P536),"MEDIA","FINAL"))))</f>
        <v>-</v>
      </c>
      <c r="R536" s="24" t="n">
        <f aca="false">IF($P536=0,0,IF($O536&lt;=INDEX(PARAMETROS_CULTURAS!$F$6:$F$28,$P536),INDEX(PARAMETROS_CULTURAS!$K$6:$K$28,$P536),IF($O536&lt;=INDEX(PARAMETROS_CULTURAS!$F$6:$F$28,$P536)+INDEX(PARAMETROS_CULTURAS!$G$6:$G$28,$P536),INDEX(PARAMETROS_CULTURAS!$K$6:$K$28,$P536)+(INDEX(PARAMETROS_CULTURAS!$L$6:$L$28,$P536)-INDEX(PARAMETROS_CULTURAS!$K$6:$K$28,$P536))*($O536-INDEX(PARAMETROS_CULTURAS!$F$6:$F$28,$P536))/MAX(INDEX(PARAMETROS_CULTURAS!$G$6:$G$28,$P536),0.0001),IF($O536&lt;=INDEX(PARAMETROS_CULTURAS!$F$6:$F$28,$P536)+INDEX(PARAMETROS_CULTURAS!$G$6:$G$28,$P536)+INDEX(PARAMETROS_CULTURAS!$H$6:$H$28,$P536),INDEX(PARAMETROS_CULTURAS!$L$6:$L$28,$P536),INDEX(PARAMETROS_CULTURAS!$L$6:$L$28,$P536)+(INDEX(PARAMETROS_CULTURAS!$M$6:$M$28,$P536)-INDEX(PARAMETROS_CULTURAS!$L$6:$L$28,$P536))*($O536-INDEX(PARAMETROS_CULTURAS!$F$6:$F$28,$P536)-INDEX(PARAMETROS_CULTURAS!$G$6:$G$28,$P536)-INDEX(PARAMETROS_CULTURAS!$H$6:$H$28,$P536))/MAX(INDEX(PARAMETROS_CULTURAS!$I$6:$I$28,$P536),0.0001)))))</f>
        <v>0</v>
      </c>
      <c r="S536" s="18" t="n">
        <f aca="false">IFERROR(INDEX(SEMANAS!$H$6:$H$71,MATCH($B536,SEMANAS!$B$6:$B$71,0)),0)</f>
        <v>40.6</v>
      </c>
      <c r="T536" s="18" t="n">
        <f aca="false">$R536*$S536</f>
        <v>0</v>
      </c>
      <c r="U536" s="18" t="n">
        <f aca="false">IFERROR(INDEX(SEMANAS!$I$6:$I$71,MATCH($B536,SEMANAS!$B$6:$B$71,0)),0)</f>
        <v>7</v>
      </c>
      <c r="V536" s="18" t="n">
        <f aca="false">IFERROR(INDEX(SEMANAS!$J$6:$J$71,MATCH($B536,SEMANAS!$B$6:$B$71,0)),0)</f>
        <v>5.6</v>
      </c>
      <c r="W536" s="18" t="n">
        <f aca="false">MAX(0,$T536-$V536)</f>
        <v>0</v>
      </c>
      <c r="X536" s="19" t="n">
        <f aca="false">IFERROR(INDEX(CADASTRO_PIVOS!$K$6:$K$41,MATCH($E536,CADASTRO_PIVOS!$B$6:$B$41,0)),EFICIENCIA_PADRAO)</f>
        <v>0.85</v>
      </c>
      <c r="Y536" s="18" t="n">
        <f aca="false">IF($X536&lt;=0,0,$W536/$X536)</f>
        <v>0</v>
      </c>
      <c r="Z536" s="16" t="n">
        <f aca="false">$Y536*$H536*MM_PARA_M3_HA</f>
        <v>0</v>
      </c>
      <c r="AA536" s="18" t="n">
        <f aca="false">IFERROR(INDEX(CADASTRO_PIVOS!$I$6:$I$41,MATCH($E536,CADASTRO_PIVOS!$B$6:$B$41,0)),0)</f>
        <v>717.214285714286</v>
      </c>
      <c r="AB536" s="18" t="n">
        <f aca="false">IF($Z536&lt;=0,0,$Z536/$AA536)</f>
        <v>0</v>
      </c>
      <c r="AC536" s="16" t="n">
        <f aca="false">IFERROR(INDEX(SEMANAS!$K$6:$K$71,MATCH($B536,SEMANAS!$B$6:$B$71,0)),0)</f>
        <v>147</v>
      </c>
      <c r="AD536" s="19" t="n">
        <f aca="false">IF($AC536&lt;=0,0,$AB536/$AC536)</f>
        <v>0</v>
      </c>
      <c r="AE536" s="8" t="str">
        <f aca="false">IF($K536="SEM CULTURA","SEM CULTURA",IF($AA536&lt;=0,"DADO PENDENTE",IF($AD536&gt;LIMITE_CRITICO,"INVIAVEL",IF($AD536&gt;LIMITE_ATENCAO,"CRITICO",IF($AD536&gt;LIMITE_CONFORTAVEL,"ATENCAO","OK")))))</f>
        <v>SEM CULTURA</v>
      </c>
      <c r="AF536" s="8" t="str">
        <f aca="false">$B536&amp;"|"&amp;TEXT($AD536,"0.000000")</f>
        <v>3|0.000000</v>
      </c>
      <c r="AG536" s="18" t="n">
        <f aca="false">IF($K536="SEM CULTURA",0,$T536*$H536)</f>
        <v>0</v>
      </c>
      <c r="AH536" s="18" t="n">
        <f aca="false">IF($K536="SEM CULTURA",0,$V536*$H536)</f>
        <v>0</v>
      </c>
      <c r="AI536" s="18" t="n">
        <f aca="false">IF($K536="SEM CULTURA",0,$W536*$H536)</f>
        <v>0</v>
      </c>
      <c r="AJ536" s="18" t="n">
        <f aca="false">IF($K536="SEM CULTURA",0,$S536*$H536)</f>
        <v>0</v>
      </c>
      <c r="AK536" s="8" t="str">
        <f aca="false">$E536&amp;"|"&amp;TEXT($AD536,"0.000000")</f>
        <v>PV 104|0.000000</v>
      </c>
    </row>
    <row r="537" customFormat="false" ht="15" hidden="false" customHeight="false" outlineLevel="0" collapsed="false">
      <c r="B537" s="16" t="n">
        <v>4</v>
      </c>
      <c r="C537" s="17" t="n">
        <f aca="false">DATA_INICIO_SAFRA+($B537-1)*DIAS_POR_SEMANA</f>
        <v>46286</v>
      </c>
      <c r="D537" s="17" t="n">
        <f aca="false">$C537+DIAS_POR_SEMANA-1</f>
        <v>46292</v>
      </c>
      <c r="E537" s="15" t="s">
        <v>267</v>
      </c>
      <c r="F537" s="8" t="str">
        <f aca="false">IFERROR(INDEX(CADASTRO_PIVOS!$C$6:$C$41,MATCH($E537,CADASTRO_PIVOS!$B$6:$B$41,0)),"?")</f>
        <v>RM04</v>
      </c>
      <c r="G537" s="8" t="str">
        <f aca="false">IFERROR(INDEX(CADASTRO_PIVOS!$D$6:$D$41,MATCH($E537,CADASTRO_PIVOS!$B$6:$B$41,0)),"?")</f>
        <v>TR04</v>
      </c>
      <c r="H537" s="20" t="n">
        <f aca="false">IFERROR(INDEX(CADASTRO_PIVOS!$E$6:$E$41,MATCH($E537,CADASTRO_PIVOS!$B$6:$B$41,0)),0)</f>
        <v>100.41</v>
      </c>
      <c r="I537" s="16" t="n">
        <f aca="false">IFERROR(SUMIFS(ROTACAO_RDM!$B$6:$B$71,ROTACAO_RDM!$D$6:$D$71,$E537,ROTACAO_RDM!$I$6:$I$71,"&lt;="&amp;$C537+INT(DIAS_POR_SEMANA/2),ROTACAO_RDM!$J$6:$J$71,"&gt;="&amp;$C537+INT(DIAS_POR_SEMANA/2)),0)</f>
        <v>0</v>
      </c>
      <c r="J537" s="16" t="n">
        <f aca="false">IFERROR(MATCH($I537,ROTACAO_RDM!$B$6:$B$71,0),0)</f>
        <v>0</v>
      </c>
      <c r="K537" s="8" t="str">
        <f aca="false">IF($J537=0,"SEM CULTURA",INDEX(ROTACAO_RDM!$F$6:$F$71,$J537))</f>
        <v>SEM CULTURA</v>
      </c>
      <c r="L537" s="8" t="str">
        <f aca="false">IF($J537=0,"",INDEX(ROTACAO_RDM!$G$6:$G$71,$J537))</f>
        <v/>
      </c>
      <c r="M537" s="17" t="str">
        <f aca="false">IF($J537=0,"",INDEX(ROTACAO_RDM!$I$6:$I$71,$J537))</f>
        <v/>
      </c>
      <c r="N537" s="16" t="n">
        <f aca="false">IF($J537=0,0,MAX(0,$C537+INT(DIAS_POR_SEMANA/2)-INDEX(ROTACAO_RDM!$I$6:$I$71,$J537)))</f>
        <v>0</v>
      </c>
      <c r="O537" s="19" t="n">
        <f aca="false">IF($J537=0,0,MIN(1,$N537/MAX(1,INDEX(ROTACAO_RDM!$K$6:$K$71,$J537))))</f>
        <v>0</v>
      </c>
      <c r="P537" s="16" t="n">
        <f aca="false">IF($J537=0,0,IFERROR(MATCH(INDEX(ROTACAO_RDM!$N$6:$N$71,$J537),PARAMETROS_CULTURAS!$B$6:$B$28,0),0))</f>
        <v>0</v>
      </c>
      <c r="Q537" s="8" t="str">
        <f aca="false">IF($P537=0,"-",IF($O537&lt;=INDEX(PARAMETROS_CULTURAS!$F$6:$F$28,$P537),"INICIAL",IF($O537&lt;=INDEX(PARAMETROS_CULTURAS!$F$6:$F$28,$P537)+INDEX(PARAMETROS_CULTURAS!$G$6:$G$28,$P537),"DESENVOLVIMENTO",IF($O537&lt;=INDEX(PARAMETROS_CULTURAS!$F$6:$F$28,$P537)+INDEX(PARAMETROS_CULTURAS!$G$6:$G$28,$P537)+INDEX(PARAMETROS_CULTURAS!$H$6:$H$28,$P537),"MEDIA","FINAL"))))</f>
        <v>-</v>
      </c>
      <c r="R537" s="24" t="n">
        <f aca="false">IF($P537=0,0,IF($O537&lt;=INDEX(PARAMETROS_CULTURAS!$F$6:$F$28,$P537),INDEX(PARAMETROS_CULTURAS!$K$6:$K$28,$P537),IF($O537&lt;=INDEX(PARAMETROS_CULTURAS!$F$6:$F$28,$P537)+INDEX(PARAMETROS_CULTURAS!$G$6:$G$28,$P537),INDEX(PARAMETROS_CULTURAS!$K$6:$K$28,$P537)+(INDEX(PARAMETROS_CULTURAS!$L$6:$L$28,$P537)-INDEX(PARAMETROS_CULTURAS!$K$6:$K$28,$P537))*($O537-INDEX(PARAMETROS_CULTURAS!$F$6:$F$28,$P537))/MAX(INDEX(PARAMETROS_CULTURAS!$G$6:$G$28,$P537),0.0001),IF($O537&lt;=INDEX(PARAMETROS_CULTURAS!$F$6:$F$28,$P537)+INDEX(PARAMETROS_CULTURAS!$G$6:$G$28,$P537)+INDEX(PARAMETROS_CULTURAS!$H$6:$H$28,$P537),INDEX(PARAMETROS_CULTURAS!$L$6:$L$28,$P537),INDEX(PARAMETROS_CULTURAS!$L$6:$L$28,$P537)+(INDEX(PARAMETROS_CULTURAS!$M$6:$M$28,$P537)-INDEX(PARAMETROS_CULTURAS!$L$6:$L$28,$P537))*($O537-INDEX(PARAMETROS_CULTURAS!$F$6:$F$28,$P537)-INDEX(PARAMETROS_CULTURAS!$G$6:$G$28,$P537)-INDEX(PARAMETROS_CULTURAS!$H$6:$H$28,$P537))/MAX(INDEX(PARAMETROS_CULTURAS!$I$6:$I$28,$P537),0.0001)))))</f>
        <v>0</v>
      </c>
      <c r="S537" s="18" t="n">
        <f aca="false">IFERROR(INDEX(SEMANAS!$H$6:$H$71,MATCH($B537,SEMANAS!$B$6:$B$71,0)),0)</f>
        <v>40.6</v>
      </c>
      <c r="T537" s="18" t="n">
        <f aca="false">$R537*$S537</f>
        <v>0</v>
      </c>
      <c r="U537" s="18" t="n">
        <f aca="false">IFERROR(INDEX(SEMANAS!$I$6:$I$71,MATCH($B537,SEMANAS!$B$6:$B$71,0)),0)</f>
        <v>7</v>
      </c>
      <c r="V537" s="18" t="n">
        <f aca="false">IFERROR(INDEX(SEMANAS!$J$6:$J$71,MATCH($B537,SEMANAS!$B$6:$B$71,0)),0)</f>
        <v>5.6</v>
      </c>
      <c r="W537" s="18" t="n">
        <f aca="false">MAX(0,$T537-$V537)</f>
        <v>0</v>
      </c>
      <c r="X537" s="19" t="n">
        <f aca="false">IFERROR(INDEX(CADASTRO_PIVOS!$K$6:$K$41,MATCH($E537,CADASTRO_PIVOS!$B$6:$B$41,0)),EFICIENCIA_PADRAO)</f>
        <v>0.85</v>
      </c>
      <c r="Y537" s="18" t="n">
        <f aca="false">IF($X537&lt;=0,0,$W537/$X537)</f>
        <v>0</v>
      </c>
      <c r="Z537" s="16" t="n">
        <f aca="false">$Y537*$H537*MM_PARA_M3_HA</f>
        <v>0</v>
      </c>
      <c r="AA537" s="18" t="n">
        <f aca="false">IFERROR(INDEX(CADASTRO_PIVOS!$I$6:$I$41,MATCH($E537,CADASTRO_PIVOS!$B$6:$B$41,0)),0)</f>
        <v>717.214285714286</v>
      </c>
      <c r="AB537" s="18" t="n">
        <f aca="false">IF($Z537&lt;=0,0,$Z537/$AA537)</f>
        <v>0</v>
      </c>
      <c r="AC537" s="16" t="n">
        <f aca="false">IFERROR(INDEX(SEMANAS!$K$6:$K$71,MATCH($B537,SEMANAS!$B$6:$B$71,0)),0)</f>
        <v>147</v>
      </c>
      <c r="AD537" s="19" t="n">
        <f aca="false">IF($AC537&lt;=0,0,$AB537/$AC537)</f>
        <v>0</v>
      </c>
      <c r="AE537" s="8" t="str">
        <f aca="false">IF($K537="SEM CULTURA","SEM CULTURA",IF($AA537&lt;=0,"DADO PENDENTE",IF($AD537&gt;LIMITE_CRITICO,"INVIAVEL",IF($AD537&gt;LIMITE_ATENCAO,"CRITICO",IF($AD537&gt;LIMITE_CONFORTAVEL,"ATENCAO","OK")))))</f>
        <v>SEM CULTURA</v>
      </c>
      <c r="AF537" s="8" t="str">
        <f aca="false">$B537&amp;"|"&amp;TEXT($AD537,"0.000000")</f>
        <v>4|0.000000</v>
      </c>
      <c r="AG537" s="18" t="n">
        <f aca="false">IF($K537="SEM CULTURA",0,$T537*$H537)</f>
        <v>0</v>
      </c>
      <c r="AH537" s="18" t="n">
        <f aca="false">IF($K537="SEM CULTURA",0,$V537*$H537)</f>
        <v>0</v>
      </c>
      <c r="AI537" s="18" t="n">
        <f aca="false">IF($K537="SEM CULTURA",0,$W537*$H537)</f>
        <v>0</v>
      </c>
      <c r="AJ537" s="18" t="n">
        <f aca="false">IF($K537="SEM CULTURA",0,$S537*$H537)</f>
        <v>0</v>
      </c>
      <c r="AK537" s="8" t="str">
        <f aca="false">$E537&amp;"|"&amp;TEXT($AD537,"0.000000")</f>
        <v>PV 104|0.000000</v>
      </c>
    </row>
    <row r="538" customFormat="false" ht="15" hidden="false" customHeight="false" outlineLevel="0" collapsed="false">
      <c r="B538" s="16" t="n">
        <v>5</v>
      </c>
      <c r="C538" s="17" t="n">
        <f aca="false">DATA_INICIO_SAFRA+($B538-1)*DIAS_POR_SEMANA</f>
        <v>46293</v>
      </c>
      <c r="D538" s="17" t="n">
        <f aca="false">$C538+DIAS_POR_SEMANA-1</f>
        <v>46299</v>
      </c>
      <c r="E538" s="15" t="s">
        <v>267</v>
      </c>
      <c r="F538" s="8" t="str">
        <f aca="false">IFERROR(INDEX(CADASTRO_PIVOS!$C$6:$C$41,MATCH($E538,CADASTRO_PIVOS!$B$6:$B$41,0)),"?")</f>
        <v>RM04</v>
      </c>
      <c r="G538" s="8" t="str">
        <f aca="false">IFERROR(INDEX(CADASTRO_PIVOS!$D$6:$D$41,MATCH($E538,CADASTRO_PIVOS!$B$6:$B$41,0)),"?")</f>
        <v>TR04</v>
      </c>
      <c r="H538" s="20" t="n">
        <f aca="false">IFERROR(INDEX(CADASTRO_PIVOS!$E$6:$E$41,MATCH($E538,CADASTRO_PIVOS!$B$6:$B$41,0)),0)</f>
        <v>100.41</v>
      </c>
      <c r="I538" s="16" t="n">
        <f aca="false">IFERROR(SUMIFS(ROTACAO_RDM!$B$6:$B$71,ROTACAO_RDM!$D$6:$D$71,$E538,ROTACAO_RDM!$I$6:$I$71,"&lt;="&amp;$C538+INT(DIAS_POR_SEMANA/2),ROTACAO_RDM!$J$6:$J$71,"&gt;="&amp;$C538+INT(DIAS_POR_SEMANA/2)),0)</f>
        <v>5</v>
      </c>
      <c r="J538" s="16" t="n">
        <f aca="false">IFERROR(MATCH($I538,ROTACAO_RDM!$B$6:$B$71,0),0)</f>
        <v>5</v>
      </c>
      <c r="K538" s="8" t="str">
        <f aca="false">IF($J538=0,"SEM CULTURA",INDEX(ROTACAO_RDM!$F$6:$F$71,$J538))</f>
        <v>SOJA</v>
      </c>
      <c r="L538" s="8" t="str">
        <f aca="false">IF($J538=0,"",INDEX(ROTACAO_RDM!$G$6:$G$71,$J538))</f>
        <v>COMBATE IPRO</v>
      </c>
      <c r="M538" s="17" t="n">
        <f aca="false">IF($J538=0,"",INDEX(ROTACAO_RDM!$I$6:$I$71,$J538))</f>
        <v>46291</v>
      </c>
      <c r="N538" s="16" t="n">
        <f aca="false">IF($J538=0,0,MAX(0,$C538+INT(DIAS_POR_SEMANA/2)-INDEX(ROTACAO_RDM!$I$6:$I$71,$J538)))</f>
        <v>5</v>
      </c>
      <c r="O538" s="19" t="n">
        <f aca="false">IF($J538=0,0,MIN(1,$N538/MAX(1,INDEX(ROTACAO_RDM!$K$6:$K$71,$J538))))</f>
        <v>0.043859649122807</v>
      </c>
      <c r="P538" s="16" t="n">
        <f aca="false">IF($J538=0,0,IFERROR(MATCH(INDEX(ROTACAO_RDM!$N$6:$N$71,$J538),PARAMETROS_CULTURAS!$B$6:$B$28,0),0))</f>
        <v>2</v>
      </c>
      <c r="Q538" s="8" t="str">
        <f aca="false">IF($P538=0,"-",IF($O538&lt;=INDEX(PARAMETROS_CULTURAS!$F$6:$F$28,$P538),"INICIAL",IF($O538&lt;=INDEX(PARAMETROS_CULTURAS!$F$6:$F$28,$P538)+INDEX(PARAMETROS_CULTURAS!$G$6:$G$28,$P538),"DESENVOLVIMENTO",IF($O538&lt;=INDEX(PARAMETROS_CULTURAS!$F$6:$F$28,$P538)+INDEX(PARAMETROS_CULTURAS!$G$6:$G$28,$P538)+INDEX(PARAMETROS_CULTURAS!$H$6:$H$28,$P538),"MEDIA","FINAL"))))</f>
        <v>INICIAL</v>
      </c>
      <c r="R538" s="24" t="n">
        <f aca="false">IF($P538=0,0,IF($O538&lt;=INDEX(PARAMETROS_CULTURAS!$F$6:$F$28,$P538),INDEX(PARAMETROS_CULTURAS!$K$6:$K$28,$P538),IF($O538&lt;=INDEX(PARAMETROS_CULTURAS!$F$6:$F$28,$P538)+INDEX(PARAMETROS_CULTURAS!$G$6:$G$28,$P538),INDEX(PARAMETROS_CULTURAS!$K$6:$K$28,$P538)+(INDEX(PARAMETROS_CULTURAS!$L$6:$L$28,$P538)-INDEX(PARAMETROS_CULTURAS!$K$6:$K$28,$P538))*($O538-INDEX(PARAMETROS_CULTURAS!$F$6:$F$28,$P538))/MAX(INDEX(PARAMETROS_CULTURAS!$G$6:$G$28,$P538),0.0001),IF($O538&lt;=INDEX(PARAMETROS_CULTURAS!$F$6:$F$28,$P538)+INDEX(PARAMETROS_CULTURAS!$G$6:$G$28,$P538)+INDEX(PARAMETROS_CULTURAS!$H$6:$H$28,$P538),INDEX(PARAMETROS_CULTURAS!$L$6:$L$28,$P538),INDEX(PARAMETROS_CULTURAS!$L$6:$L$28,$P538)+(INDEX(PARAMETROS_CULTURAS!$M$6:$M$28,$P538)-INDEX(PARAMETROS_CULTURAS!$L$6:$L$28,$P538))*($O538-INDEX(PARAMETROS_CULTURAS!$F$6:$F$28,$P538)-INDEX(PARAMETROS_CULTURAS!$G$6:$G$28,$P538)-INDEX(PARAMETROS_CULTURAS!$H$6:$H$28,$P538))/MAX(INDEX(PARAMETROS_CULTURAS!$I$6:$I$28,$P538),0.0001)))))</f>
        <v>0.4</v>
      </c>
      <c r="S538" s="18" t="n">
        <f aca="false">IFERROR(INDEX(SEMANAS!$H$6:$H$71,MATCH($B538,SEMANAS!$B$6:$B$71,0)),0)</f>
        <v>39.8</v>
      </c>
      <c r="T538" s="18" t="n">
        <f aca="false">$R538*$S538</f>
        <v>15.92</v>
      </c>
      <c r="U538" s="18" t="n">
        <f aca="false">IFERROR(INDEX(SEMANAS!$I$6:$I$71,MATCH($B538,SEMANAS!$B$6:$B$71,0)),0)</f>
        <v>18.48</v>
      </c>
      <c r="V538" s="18" t="n">
        <f aca="false">IFERROR(INDEX(SEMANAS!$J$6:$J$71,MATCH($B538,SEMANAS!$B$6:$B$71,0)),0)</f>
        <v>14.784</v>
      </c>
      <c r="W538" s="18" t="n">
        <f aca="false">MAX(0,$T538-$V538)</f>
        <v>1.136</v>
      </c>
      <c r="X538" s="19" t="n">
        <f aca="false">IFERROR(INDEX(CADASTRO_PIVOS!$K$6:$K$41,MATCH($E538,CADASTRO_PIVOS!$B$6:$B$41,0)),EFICIENCIA_PADRAO)</f>
        <v>0.85</v>
      </c>
      <c r="Y538" s="18" t="n">
        <f aca="false">IF($X538&lt;=0,0,$W538/$X538)</f>
        <v>1.33647058823529</v>
      </c>
      <c r="Z538" s="16" t="n">
        <f aca="false">$Y538*$H538*MM_PARA_M3_HA</f>
        <v>1341.95011764706</v>
      </c>
      <c r="AA538" s="18" t="n">
        <f aca="false">IFERROR(INDEX(CADASTRO_PIVOS!$I$6:$I$41,MATCH($E538,CADASTRO_PIVOS!$B$6:$B$41,0)),0)</f>
        <v>717.214285714286</v>
      </c>
      <c r="AB538" s="18" t="n">
        <f aca="false">IF($Z538&lt;=0,0,$Z538/$AA538)</f>
        <v>1.87105882352941</v>
      </c>
      <c r="AC538" s="16" t="n">
        <f aca="false">IFERROR(INDEX(SEMANAS!$K$6:$K$71,MATCH($B538,SEMANAS!$B$6:$B$71,0)),0)</f>
        <v>147</v>
      </c>
      <c r="AD538" s="19" t="n">
        <f aca="false">IF($AC538&lt;=0,0,$AB538/$AC538)</f>
        <v>0.0127282913165266</v>
      </c>
      <c r="AE538" s="8" t="str">
        <f aca="false">IF($K538="SEM CULTURA","SEM CULTURA",IF($AA538&lt;=0,"DADO PENDENTE",IF($AD538&gt;LIMITE_CRITICO,"INVIAVEL",IF($AD538&gt;LIMITE_ATENCAO,"CRITICO",IF($AD538&gt;LIMITE_CONFORTAVEL,"ATENCAO","OK")))))</f>
        <v>OK</v>
      </c>
      <c r="AF538" s="8" t="str">
        <f aca="false">$B538&amp;"|"&amp;TEXT($AD538,"0.000000")</f>
        <v>5|0.012728</v>
      </c>
      <c r="AG538" s="18" t="n">
        <f aca="false">IF($K538="SEM CULTURA",0,$T538*$H538)</f>
        <v>1598.5272</v>
      </c>
      <c r="AH538" s="18" t="n">
        <f aca="false">IF($K538="SEM CULTURA",0,$V538*$H538)</f>
        <v>1484.46144</v>
      </c>
      <c r="AI538" s="18" t="n">
        <f aca="false">IF($K538="SEM CULTURA",0,$W538*$H538)</f>
        <v>114.06576</v>
      </c>
      <c r="AJ538" s="18" t="n">
        <f aca="false">IF($K538="SEM CULTURA",0,$S538*$H538)</f>
        <v>3996.318</v>
      </c>
      <c r="AK538" s="8" t="str">
        <f aca="false">$E538&amp;"|"&amp;TEXT($AD538,"0.000000")</f>
        <v>PV 104|0.012728</v>
      </c>
    </row>
    <row r="539" customFormat="false" ht="15" hidden="false" customHeight="false" outlineLevel="0" collapsed="false">
      <c r="B539" s="16" t="n">
        <v>6</v>
      </c>
      <c r="C539" s="17" t="n">
        <f aca="false">DATA_INICIO_SAFRA+($B539-1)*DIAS_POR_SEMANA</f>
        <v>46300</v>
      </c>
      <c r="D539" s="17" t="n">
        <f aca="false">$C539+DIAS_POR_SEMANA-1</f>
        <v>46306</v>
      </c>
      <c r="E539" s="15" t="s">
        <v>267</v>
      </c>
      <c r="F539" s="8" t="str">
        <f aca="false">IFERROR(INDEX(CADASTRO_PIVOS!$C$6:$C$41,MATCH($E539,CADASTRO_PIVOS!$B$6:$B$41,0)),"?")</f>
        <v>RM04</v>
      </c>
      <c r="G539" s="8" t="str">
        <f aca="false">IFERROR(INDEX(CADASTRO_PIVOS!$D$6:$D$41,MATCH($E539,CADASTRO_PIVOS!$B$6:$B$41,0)),"?")</f>
        <v>TR04</v>
      </c>
      <c r="H539" s="20" t="n">
        <f aca="false">IFERROR(INDEX(CADASTRO_PIVOS!$E$6:$E$41,MATCH($E539,CADASTRO_PIVOS!$B$6:$B$41,0)),0)</f>
        <v>100.41</v>
      </c>
      <c r="I539" s="16" t="n">
        <f aca="false">IFERROR(SUMIFS(ROTACAO_RDM!$B$6:$B$71,ROTACAO_RDM!$D$6:$D$71,$E539,ROTACAO_RDM!$I$6:$I$71,"&lt;="&amp;$C539+INT(DIAS_POR_SEMANA/2),ROTACAO_RDM!$J$6:$J$71,"&gt;="&amp;$C539+INT(DIAS_POR_SEMANA/2)),0)</f>
        <v>5</v>
      </c>
      <c r="J539" s="16" t="n">
        <f aca="false">IFERROR(MATCH($I539,ROTACAO_RDM!$B$6:$B$71,0),0)</f>
        <v>5</v>
      </c>
      <c r="K539" s="8" t="str">
        <f aca="false">IF($J539=0,"SEM CULTURA",INDEX(ROTACAO_RDM!$F$6:$F$71,$J539))</f>
        <v>SOJA</v>
      </c>
      <c r="L539" s="8" t="str">
        <f aca="false">IF($J539=0,"",INDEX(ROTACAO_RDM!$G$6:$G$71,$J539))</f>
        <v>COMBATE IPRO</v>
      </c>
      <c r="M539" s="17" t="n">
        <f aca="false">IF($J539=0,"",INDEX(ROTACAO_RDM!$I$6:$I$71,$J539))</f>
        <v>46291</v>
      </c>
      <c r="N539" s="16" t="n">
        <f aca="false">IF($J539=0,0,MAX(0,$C539+INT(DIAS_POR_SEMANA/2)-INDEX(ROTACAO_RDM!$I$6:$I$71,$J539)))</f>
        <v>12</v>
      </c>
      <c r="O539" s="19" t="n">
        <f aca="false">IF($J539=0,0,MIN(1,$N539/MAX(1,INDEX(ROTACAO_RDM!$K$6:$K$71,$J539))))</f>
        <v>0.105263157894737</v>
      </c>
      <c r="P539" s="16" t="n">
        <f aca="false">IF($J539=0,0,IFERROR(MATCH(INDEX(ROTACAO_RDM!$N$6:$N$71,$J539),PARAMETROS_CULTURAS!$B$6:$B$28,0),0))</f>
        <v>2</v>
      </c>
      <c r="Q539" s="8" t="str">
        <f aca="false">IF($P539=0,"-",IF($O539&lt;=INDEX(PARAMETROS_CULTURAS!$F$6:$F$28,$P539),"INICIAL",IF($O539&lt;=INDEX(PARAMETROS_CULTURAS!$F$6:$F$28,$P539)+INDEX(PARAMETROS_CULTURAS!$G$6:$G$28,$P539),"DESENVOLVIMENTO",IF($O539&lt;=INDEX(PARAMETROS_CULTURAS!$F$6:$F$28,$P539)+INDEX(PARAMETROS_CULTURAS!$G$6:$G$28,$P539)+INDEX(PARAMETROS_CULTURAS!$H$6:$H$28,$P539),"MEDIA","FINAL"))))</f>
        <v>INICIAL</v>
      </c>
      <c r="R539" s="24" t="n">
        <f aca="false">IF($P539=0,0,IF($O539&lt;=INDEX(PARAMETROS_CULTURAS!$F$6:$F$28,$P539),INDEX(PARAMETROS_CULTURAS!$K$6:$K$28,$P539),IF($O539&lt;=INDEX(PARAMETROS_CULTURAS!$F$6:$F$28,$P539)+INDEX(PARAMETROS_CULTURAS!$G$6:$G$28,$P539),INDEX(PARAMETROS_CULTURAS!$K$6:$K$28,$P539)+(INDEX(PARAMETROS_CULTURAS!$L$6:$L$28,$P539)-INDEX(PARAMETROS_CULTURAS!$K$6:$K$28,$P539))*($O539-INDEX(PARAMETROS_CULTURAS!$F$6:$F$28,$P539))/MAX(INDEX(PARAMETROS_CULTURAS!$G$6:$G$28,$P539),0.0001),IF($O539&lt;=INDEX(PARAMETROS_CULTURAS!$F$6:$F$28,$P539)+INDEX(PARAMETROS_CULTURAS!$G$6:$G$28,$P539)+INDEX(PARAMETROS_CULTURAS!$H$6:$H$28,$P539),INDEX(PARAMETROS_CULTURAS!$L$6:$L$28,$P539),INDEX(PARAMETROS_CULTURAS!$L$6:$L$28,$P539)+(INDEX(PARAMETROS_CULTURAS!$M$6:$M$28,$P539)-INDEX(PARAMETROS_CULTURAS!$L$6:$L$28,$P539))*($O539-INDEX(PARAMETROS_CULTURAS!$F$6:$F$28,$P539)-INDEX(PARAMETROS_CULTURAS!$G$6:$G$28,$P539)-INDEX(PARAMETROS_CULTURAS!$H$6:$H$28,$P539))/MAX(INDEX(PARAMETROS_CULTURAS!$I$6:$I$28,$P539),0.0001)))))</f>
        <v>0.4</v>
      </c>
      <c r="S539" s="18" t="n">
        <f aca="false">IFERROR(INDEX(SEMANAS!$H$6:$H$71,MATCH($B539,SEMANAS!$B$6:$B$71,0)),0)</f>
        <v>39.2</v>
      </c>
      <c r="T539" s="18" t="n">
        <f aca="false">$R539*$S539</f>
        <v>15.68</v>
      </c>
      <c r="U539" s="18" t="n">
        <f aca="false">IFERROR(INDEX(SEMANAS!$I$6:$I$71,MATCH($B539,SEMANAS!$B$6:$B$71,0)),0)</f>
        <v>27.09</v>
      </c>
      <c r="V539" s="18" t="n">
        <f aca="false">IFERROR(INDEX(SEMANAS!$J$6:$J$71,MATCH($B539,SEMANAS!$B$6:$B$71,0)),0)</f>
        <v>21.672</v>
      </c>
      <c r="W539" s="18" t="n">
        <f aca="false">MAX(0,$T539-$V539)</f>
        <v>0</v>
      </c>
      <c r="X539" s="19" t="n">
        <f aca="false">IFERROR(INDEX(CADASTRO_PIVOS!$K$6:$K$41,MATCH($E539,CADASTRO_PIVOS!$B$6:$B$41,0)),EFICIENCIA_PADRAO)</f>
        <v>0.85</v>
      </c>
      <c r="Y539" s="18" t="n">
        <f aca="false">IF($X539&lt;=0,0,$W539/$X539)</f>
        <v>0</v>
      </c>
      <c r="Z539" s="16" t="n">
        <f aca="false">$Y539*$H539*MM_PARA_M3_HA</f>
        <v>0</v>
      </c>
      <c r="AA539" s="18" t="n">
        <f aca="false">IFERROR(INDEX(CADASTRO_PIVOS!$I$6:$I$41,MATCH($E539,CADASTRO_PIVOS!$B$6:$B$41,0)),0)</f>
        <v>717.214285714286</v>
      </c>
      <c r="AB539" s="18" t="n">
        <f aca="false">IF($Z539&lt;=0,0,$Z539/$AA539)</f>
        <v>0</v>
      </c>
      <c r="AC539" s="16" t="n">
        <f aca="false">IFERROR(INDEX(SEMANAS!$K$6:$K$71,MATCH($B539,SEMANAS!$B$6:$B$71,0)),0)</f>
        <v>147</v>
      </c>
      <c r="AD539" s="19" t="n">
        <f aca="false">IF($AC539&lt;=0,0,$AB539/$AC539)</f>
        <v>0</v>
      </c>
      <c r="AE539" s="8" t="str">
        <f aca="false">IF($K539="SEM CULTURA","SEM CULTURA",IF($AA539&lt;=0,"DADO PENDENTE",IF($AD539&gt;LIMITE_CRITICO,"INVIAVEL",IF($AD539&gt;LIMITE_ATENCAO,"CRITICO",IF($AD539&gt;LIMITE_CONFORTAVEL,"ATENCAO","OK")))))</f>
        <v>OK</v>
      </c>
      <c r="AF539" s="8" t="str">
        <f aca="false">$B539&amp;"|"&amp;TEXT($AD539,"0.000000")</f>
        <v>6|0.000000</v>
      </c>
      <c r="AG539" s="18" t="n">
        <f aca="false">IF($K539="SEM CULTURA",0,$T539*$H539)</f>
        <v>1574.4288</v>
      </c>
      <c r="AH539" s="18" t="n">
        <f aca="false">IF($K539="SEM CULTURA",0,$V539*$H539)</f>
        <v>2176.08552</v>
      </c>
      <c r="AI539" s="18" t="n">
        <f aca="false">IF($K539="SEM CULTURA",0,$W539*$H539)</f>
        <v>0</v>
      </c>
      <c r="AJ539" s="18" t="n">
        <f aca="false">IF($K539="SEM CULTURA",0,$S539*$H539)</f>
        <v>3936.072</v>
      </c>
      <c r="AK539" s="8" t="str">
        <f aca="false">$E539&amp;"|"&amp;TEXT($AD539,"0.000000")</f>
        <v>PV 104|0.000000</v>
      </c>
    </row>
    <row r="540" customFormat="false" ht="15" hidden="false" customHeight="false" outlineLevel="0" collapsed="false">
      <c r="B540" s="16" t="n">
        <v>7</v>
      </c>
      <c r="C540" s="17" t="n">
        <f aca="false">DATA_INICIO_SAFRA+($B540-1)*DIAS_POR_SEMANA</f>
        <v>46307</v>
      </c>
      <c r="D540" s="17" t="n">
        <f aca="false">$C540+DIAS_POR_SEMANA-1</f>
        <v>46313</v>
      </c>
      <c r="E540" s="15" t="s">
        <v>267</v>
      </c>
      <c r="F540" s="8" t="str">
        <f aca="false">IFERROR(INDEX(CADASTRO_PIVOS!$C$6:$C$41,MATCH($E540,CADASTRO_PIVOS!$B$6:$B$41,0)),"?")</f>
        <v>RM04</v>
      </c>
      <c r="G540" s="8" t="str">
        <f aca="false">IFERROR(INDEX(CADASTRO_PIVOS!$D$6:$D$41,MATCH($E540,CADASTRO_PIVOS!$B$6:$B$41,0)),"?")</f>
        <v>TR04</v>
      </c>
      <c r="H540" s="20" t="n">
        <f aca="false">IFERROR(INDEX(CADASTRO_PIVOS!$E$6:$E$41,MATCH($E540,CADASTRO_PIVOS!$B$6:$B$41,0)),0)</f>
        <v>100.41</v>
      </c>
      <c r="I540" s="16" t="n">
        <f aca="false">IFERROR(SUMIFS(ROTACAO_RDM!$B$6:$B$71,ROTACAO_RDM!$D$6:$D$71,$E540,ROTACAO_RDM!$I$6:$I$71,"&lt;="&amp;$C540+INT(DIAS_POR_SEMANA/2),ROTACAO_RDM!$J$6:$J$71,"&gt;="&amp;$C540+INT(DIAS_POR_SEMANA/2)),0)</f>
        <v>5</v>
      </c>
      <c r="J540" s="16" t="n">
        <f aca="false">IFERROR(MATCH($I540,ROTACAO_RDM!$B$6:$B$71,0),0)</f>
        <v>5</v>
      </c>
      <c r="K540" s="8" t="str">
        <f aca="false">IF($J540=0,"SEM CULTURA",INDEX(ROTACAO_RDM!$F$6:$F$71,$J540))</f>
        <v>SOJA</v>
      </c>
      <c r="L540" s="8" t="str">
        <f aca="false">IF($J540=0,"",INDEX(ROTACAO_RDM!$G$6:$G$71,$J540))</f>
        <v>COMBATE IPRO</v>
      </c>
      <c r="M540" s="17" t="n">
        <f aca="false">IF($J540=0,"",INDEX(ROTACAO_RDM!$I$6:$I$71,$J540))</f>
        <v>46291</v>
      </c>
      <c r="N540" s="16" t="n">
        <f aca="false">IF($J540=0,0,MAX(0,$C540+INT(DIAS_POR_SEMANA/2)-INDEX(ROTACAO_RDM!$I$6:$I$71,$J540)))</f>
        <v>19</v>
      </c>
      <c r="O540" s="19" t="n">
        <f aca="false">IF($J540=0,0,MIN(1,$N540/MAX(1,INDEX(ROTACAO_RDM!$K$6:$K$71,$J540))))</f>
        <v>0.166666666666667</v>
      </c>
      <c r="P540" s="16" t="n">
        <f aca="false">IF($J540=0,0,IFERROR(MATCH(INDEX(ROTACAO_RDM!$N$6:$N$71,$J540),PARAMETROS_CULTURAS!$B$6:$B$28,0),0))</f>
        <v>2</v>
      </c>
      <c r="Q540" s="8" t="str">
        <f aca="false">IF($P540=0,"-",IF($O540&lt;=INDEX(PARAMETROS_CULTURAS!$F$6:$F$28,$P540),"INICIAL",IF($O540&lt;=INDEX(PARAMETROS_CULTURAS!$F$6:$F$28,$P540)+INDEX(PARAMETROS_CULTURAS!$G$6:$G$28,$P540),"DESENVOLVIMENTO",IF($O540&lt;=INDEX(PARAMETROS_CULTURAS!$F$6:$F$28,$P540)+INDEX(PARAMETROS_CULTURAS!$G$6:$G$28,$P540)+INDEX(PARAMETROS_CULTURAS!$H$6:$H$28,$P540),"MEDIA","FINAL"))))</f>
        <v>DESENVOLVIMENTO</v>
      </c>
      <c r="R540" s="24" t="n">
        <f aca="false">IF($P540=0,0,IF($O540&lt;=INDEX(PARAMETROS_CULTURAS!$F$6:$F$28,$P540),INDEX(PARAMETROS_CULTURAS!$K$6:$K$28,$P540),IF($O540&lt;=INDEX(PARAMETROS_CULTURAS!$F$6:$F$28,$P540)+INDEX(PARAMETROS_CULTURAS!$G$6:$G$28,$P540),INDEX(PARAMETROS_CULTURAS!$K$6:$K$28,$P540)+(INDEX(PARAMETROS_CULTURAS!$L$6:$L$28,$P540)-INDEX(PARAMETROS_CULTURAS!$K$6:$K$28,$P540))*($O540-INDEX(PARAMETROS_CULTURAS!$F$6:$F$28,$P540))/MAX(INDEX(PARAMETROS_CULTURAS!$G$6:$G$28,$P540),0.0001),IF($O540&lt;=INDEX(PARAMETROS_CULTURAS!$F$6:$F$28,$P540)+INDEX(PARAMETROS_CULTURAS!$G$6:$G$28,$P540)+INDEX(PARAMETROS_CULTURAS!$H$6:$H$28,$P540),INDEX(PARAMETROS_CULTURAS!$L$6:$L$28,$P540),INDEX(PARAMETROS_CULTURAS!$L$6:$L$28,$P540)+(INDEX(PARAMETROS_CULTURAS!$M$6:$M$28,$P540)-INDEX(PARAMETROS_CULTURAS!$L$6:$L$28,$P540))*($O540-INDEX(PARAMETROS_CULTURAS!$F$6:$F$28,$P540)-INDEX(PARAMETROS_CULTURAS!$G$6:$G$28,$P540)-INDEX(PARAMETROS_CULTURAS!$H$6:$H$28,$P540))/MAX(INDEX(PARAMETROS_CULTURAS!$I$6:$I$28,$P540),0.0001)))))</f>
        <v>0.421739130434783</v>
      </c>
      <c r="S540" s="18" t="n">
        <f aca="false">IFERROR(INDEX(SEMANAS!$H$6:$H$71,MATCH($B540,SEMANAS!$B$6:$B$71,0)),0)</f>
        <v>39.2</v>
      </c>
      <c r="T540" s="18" t="n">
        <f aca="false">$R540*$S540</f>
        <v>16.5321739130435</v>
      </c>
      <c r="U540" s="18" t="n">
        <f aca="false">IFERROR(INDEX(SEMANAS!$I$6:$I$71,MATCH($B540,SEMANAS!$B$6:$B$71,0)),0)</f>
        <v>27.09</v>
      </c>
      <c r="V540" s="18" t="n">
        <f aca="false">IFERROR(INDEX(SEMANAS!$J$6:$J$71,MATCH($B540,SEMANAS!$B$6:$B$71,0)),0)</f>
        <v>21.672</v>
      </c>
      <c r="W540" s="18" t="n">
        <f aca="false">MAX(0,$T540-$V540)</f>
        <v>0</v>
      </c>
      <c r="X540" s="19" t="n">
        <f aca="false">IFERROR(INDEX(CADASTRO_PIVOS!$K$6:$K$41,MATCH($E540,CADASTRO_PIVOS!$B$6:$B$41,0)),EFICIENCIA_PADRAO)</f>
        <v>0.85</v>
      </c>
      <c r="Y540" s="18" t="n">
        <f aca="false">IF($X540&lt;=0,0,$W540/$X540)</f>
        <v>0</v>
      </c>
      <c r="Z540" s="16" t="n">
        <f aca="false">$Y540*$H540*MM_PARA_M3_HA</f>
        <v>0</v>
      </c>
      <c r="AA540" s="18" t="n">
        <f aca="false">IFERROR(INDEX(CADASTRO_PIVOS!$I$6:$I$41,MATCH($E540,CADASTRO_PIVOS!$B$6:$B$41,0)),0)</f>
        <v>717.214285714286</v>
      </c>
      <c r="AB540" s="18" t="n">
        <f aca="false">IF($Z540&lt;=0,0,$Z540/$AA540)</f>
        <v>0</v>
      </c>
      <c r="AC540" s="16" t="n">
        <f aca="false">IFERROR(INDEX(SEMANAS!$K$6:$K$71,MATCH($B540,SEMANAS!$B$6:$B$71,0)),0)</f>
        <v>147</v>
      </c>
      <c r="AD540" s="19" t="n">
        <f aca="false">IF($AC540&lt;=0,0,$AB540/$AC540)</f>
        <v>0</v>
      </c>
      <c r="AE540" s="8" t="str">
        <f aca="false">IF($K540="SEM CULTURA","SEM CULTURA",IF($AA540&lt;=0,"DADO PENDENTE",IF($AD540&gt;LIMITE_CRITICO,"INVIAVEL",IF($AD540&gt;LIMITE_ATENCAO,"CRITICO",IF($AD540&gt;LIMITE_CONFORTAVEL,"ATENCAO","OK")))))</f>
        <v>OK</v>
      </c>
      <c r="AF540" s="8" t="str">
        <f aca="false">$B540&amp;"|"&amp;TEXT($AD540,"0.000000")</f>
        <v>7|0.000000</v>
      </c>
      <c r="AG540" s="18" t="n">
        <f aca="false">IF($K540="SEM CULTURA",0,$T540*$H540)</f>
        <v>1659.9955826087</v>
      </c>
      <c r="AH540" s="18" t="n">
        <f aca="false">IF($K540="SEM CULTURA",0,$V540*$H540)</f>
        <v>2176.08552</v>
      </c>
      <c r="AI540" s="18" t="n">
        <f aca="false">IF($K540="SEM CULTURA",0,$W540*$H540)</f>
        <v>0</v>
      </c>
      <c r="AJ540" s="18" t="n">
        <f aca="false">IF($K540="SEM CULTURA",0,$S540*$H540)</f>
        <v>3936.072</v>
      </c>
      <c r="AK540" s="8" t="str">
        <f aca="false">$E540&amp;"|"&amp;TEXT($AD540,"0.000000")</f>
        <v>PV 104|0.000000</v>
      </c>
    </row>
    <row r="541" customFormat="false" ht="15" hidden="false" customHeight="false" outlineLevel="0" collapsed="false">
      <c r="B541" s="16" t="n">
        <v>8</v>
      </c>
      <c r="C541" s="17" t="n">
        <f aca="false">DATA_INICIO_SAFRA+($B541-1)*DIAS_POR_SEMANA</f>
        <v>46314</v>
      </c>
      <c r="D541" s="17" t="n">
        <f aca="false">$C541+DIAS_POR_SEMANA-1</f>
        <v>46320</v>
      </c>
      <c r="E541" s="15" t="s">
        <v>267</v>
      </c>
      <c r="F541" s="8" t="str">
        <f aca="false">IFERROR(INDEX(CADASTRO_PIVOS!$C$6:$C$41,MATCH($E541,CADASTRO_PIVOS!$B$6:$B$41,0)),"?")</f>
        <v>RM04</v>
      </c>
      <c r="G541" s="8" t="str">
        <f aca="false">IFERROR(INDEX(CADASTRO_PIVOS!$D$6:$D$41,MATCH($E541,CADASTRO_PIVOS!$B$6:$B$41,0)),"?")</f>
        <v>TR04</v>
      </c>
      <c r="H541" s="20" t="n">
        <f aca="false">IFERROR(INDEX(CADASTRO_PIVOS!$E$6:$E$41,MATCH($E541,CADASTRO_PIVOS!$B$6:$B$41,0)),0)</f>
        <v>100.41</v>
      </c>
      <c r="I541" s="16" t="n">
        <f aca="false">IFERROR(SUMIFS(ROTACAO_RDM!$B$6:$B$71,ROTACAO_RDM!$D$6:$D$71,$E541,ROTACAO_RDM!$I$6:$I$71,"&lt;="&amp;$C541+INT(DIAS_POR_SEMANA/2),ROTACAO_RDM!$J$6:$J$71,"&gt;="&amp;$C541+INT(DIAS_POR_SEMANA/2)),0)</f>
        <v>5</v>
      </c>
      <c r="J541" s="16" t="n">
        <f aca="false">IFERROR(MATCH($I541,ROTACAO_RDM!$B$6:$B$71,0),0)</f>
        <v>5</v>
      </c>
      <c r="K541" s="8" t="str">
        <f aca="false">IF($J541=0,"SEM CULTURA",INDEX(ROTACAO_RDM!$F$6:$F$71,$J541))</f>
        <v>SOJA</v>
      </c>
      <c r="L541" s="8" t="str">
        <f aca="false">IF($J541=0,"",INDEX(ROTACAO_RDM!$G$6:$G$71,$J541))</f>
        <v>COMBATE IPRO</v>
      </c>
      <c r="M541" s="17" t="n">
        <f aca="false">IF($J541=0,"",INDEX(ROTACAO_RDM!$I$6:$I$71,$J541))</f>
        <v>46291</v>
      </c>
      <c r="N541" s="16" t="n">
        <f aca="false">IF($J541=0,0,MAX(0,$C541+INT(DIAS_POR_SEMANA/2)-INDEX(ROTACAO_RDM!$I$6:$I$71,$J541)))</f>
        <v>26</v>
      </c>
      <c r="O541" s="19" t="n">
        <f aca="false">IF($J541=0,0,MIN(1,$N541/MAX(1,INDEX(ROTACAO_RDM!$K$6:$K$71,$J541))))</f>
        <v>0.228070175438596</v>
      </c>
      <c r="P541" s="16" t="n">
        <f aca="false">IF($J541=0,0,IFERROR(MATCH(INDEX(ROTACAO_RDM!$N$6:$N$71,$J541),PARAMETROS_CULTURAS!$B$6:$B$28,0),0))</f>
        <v>2</v>
      </c>
      <c r="Q541" s="8" t="str">
        <f aca="false">IF($P541=0,"-",IF($O541&lt;=INDEX(PARAMETROS_CULTURAS!$F$6:$F$28,$P541),"INICIAL",IF($O541&lt;=INDEX(PARAMETROS_CULTURAS!$F$6:$F$28,$P541)+INDEX(PARAMETROS_CULTURAS!$G$6:$G$28,$P541),"DESENVOLVIMENTO",IF($O541&lt;=INDEX(PARAMETROS_CULTURAS!$F$6:$F$28,$P541)+INDEX(PARAMETROS_CULTURAS!$G$6:$G$28,$P541)+INDEX(PARAMETROS_CULTURAS!$H$6:$H$28,$P541),"MEDIA","FINAL"))))</f>
        <v>DESENVOLVIMENTO</v>
      </c>
      <c r="R541" s="24" t="n">
        <f aca="false">IF($P541=0,0,IF($O541&lt;=INDEX(PARAMETROS_CULTURAS!$F$6:$F$28,$P541),INDEX(PARAMETROS_CULTURAS!$K$6:$K$28,$P541),IF($O541&lt;=INDEX(PARAMETROS_CULTURAS!$F$6:$F$28,$P541)+INDEX(PARAMETROS_CULTURAS!$G$6:$G$28,$P541),INDEX(PARAMETROS_CULTURAS!$K$6:$K$28,$P541)+(INDEX(PARAMETROS_CULTURAS!$L$6:$L$28,$P541)-INDEX(PARAMETROS_CULTURAS!$K$6:$K$28,$P541))*($O541-INDEX(PARAMETROS_CULTURAS!$F$6:$F$28,$P541))/MAX(INDEX(PARAMETROS_CULTURAS!$G$6:$G$28,$P541),0.0001),IF($O541&lt;=INDEX(PARAMETROS_CULTURAS!$F$6:$F$28,$P541)+INDEX(PARAMETROS_CULTURAS!$G$6:$G$28,$P541)+INDEX(PARAMETROS_CULTURAS!$H$6:$H$28,$P541),INDEX(PARAMETROS_CULTURAS!$L$6:$L$28,$P541),INDEX(PARAMETROS_CULTURAS!$L$6:$L$28,$P541)+(INDEX(PARAMETROS_CULTURAS!$M$6:$M$28,$P541)-INDEX(PARAMETROS_CULTURAS!$L$6:$L$28,$P541))*($O541-INDEX(PARAMETROS_CULTURAS!$F$6:$F$28,$P541)-INDEX(PARAMETROS_CULTURAS!$G$6:$G$28,$P541)-INDEX(PARAMETROS_CULTURAS!$H$6:$H$28,$P541))/MAX(INDEX(PARAMETROS_CULTURAS!$I$6:$I$28,$P541),0.0001)))))</f>
        <v>0.621967963386728</v>
      </c>
      <c r="S541" s="18" t="n">
        <f aca="false">IFERROR(INDEX(SEMANAS!$H$6:$H$71,MATCH($B541,SEMANAS!$B$6:$B$71,0)),0)</f>
        <v>39.2</v>
      </c>
      <c r="T541" s="18" t="n">
        <f aca="false">$R541*$S541</f>
        <v>24.3811441647597</v>
      </c>
      <c r="U541" s="18" t="n">
        <f aca="false">IFERROR(INDEX(SEMANAS!$I$6:$I$71,MATCH($B541,SEMANAS!$B$6:$B$71,0)),0)</f>
        <v>27.09</v>
      </c>
      <c r="V541" s="18" t="n">
        <f aca="false">IFERROR(INDEX(SEMANAS!$J$6:$J$71,MATCH($B541,SEMANAS!$B$6:$B$71,0)),0)</f>
        <v>21.672</v>
      </c>
      <c r="W541" s="18" t="n">
        <f aca="false">MAX(0,$T541-$V541)</f>
        <v>2.70914416475972</v>
      </c>
      <c r="X541" s="19" t="n">
        <f aca="false">IFERROR(INDEX(CADASTRO_PIVOS!$K$6:$K$41,MATCH($E541,CADASTRO_PIVOS!$B$6:$B$41,0)),EFICIENCIA_PADRAO)</f>
        <v>0.85</v>
      </c>
      <c r="Y541" s="18" t="n">
        <f aca="false">IF($X541&lt;=0,0,$W541/$X541)</f>
        <v>3.18722842912908</v>
      </c>
      <c r="Z541" s="16" t="n">
        <f aca="false">$Y541*$H541*MM_PARA_M3_HA</f>
        <v>3200.29606568851</v>
      </c>
      <c r="AA541" s="18" t="n">
        <f aca="false">IFERROR(INDEX(CADASTRO_PIVOS!$I$6:$I$41,MATCH($E541,CADASTRO_PIVOS!$B$6:$B$41,0)),0)</f>
        <v>717.214285714286</v>
      </c>
      <c r="AB541" s="18" t="n">
        <f aca="false">IF($Z541&lt;=0,0,$Z541/$AA541)</f>
        <v>4.46211980078072</v>
      </c>
      <c r="AC541" s="16" t="n">
        <f aca="false">IFERROR(INDEX(SEMANAS!$K$6:$K$71,MATCH($B541,SEMANAS!$B$6:$B$71,0)),0)</f>
        <v>147</v>
      </c>
      <c r="AD541" s="19" t="n">
        <f aca="false">IF($AC541&lt;=0,0,$AB541/$AC541)</f>
        <v>0.030354556467896</v>
      </c>
      <c r="AE541" s="8" t="str">
        <f aca="false">IF($K541="SEM CULTURA","SEM CULTURA",IF($AA541&lt;=0,"DADO PENDENTE",IF($AD541&gt;LIMITE_CRITICO,"INVIAVEL",IF($AD541&gt;LIMITE_ATENCAO,"CRITICO",IF($AD541&gt;LIMITE_CONFORTAVEL,"ATENCAO","OK")))))</f>
        <v>OK</v>
      </c>
      <c r="AF541" s="8" t="str">
        <f aca="false">$B541&amp;"|"&amp;TEXT($AD541,"0.000000")</f>
        <v>8|0.030355</v>
      </c>
      <c r="AG541" s="18" t="n">
        <f aca="false">IF($K541="SEM CULTURA",0,$T541*$H541)</f>
        <v>2448.11068558352</v>
      </c>
      <c r="AH541" s="18" t="n">
        <f aca="false">IF($K541="SEM CULTURA",0,$V541*$H541)</f>
        <v>2176.08552</v>
      </c>
      <c r="AI541" s="18" t="n">
        <f aca="false">IF($K541="SEM CULTURA",0,$W541*$H541)</f>
        <v>272.025165583524</v>
      </c>
      <c r="AJ541" s="18" t="n">
        <f aca="false">IF($K541="SEM CULTURA",0,$S541*$H541)</f>
        <v>3936.072</v>
      </c>
      <c r="AK541" s="8" t="str">
        <f aca="false">$E541&amp;"|"&amp;TEXT($AD541,"0.000000")</f>
        <v>PV 104|0.030355</v>
      </c>
    </row>
    <row r="542" customFormat="false" ht="15" hidden="false" customHeight="false" outlineLevel="0" collapsed="false">
      <c r="B542" s="16" t="n">
        <v>9</v>
      </c>
      <c r="C542" s="17" t="n">
        <f aca="false">DATA_INICIO_SAFRA+($B542-1)*DIAS_POR_SEMANA</f>
        <v>46321</v>
      </c>
      <c r="D542" s="17" t="n">
        <f aca="false">$C542+DIAS_POR_SEMANA-1</f>
        <v>46327</v>
      </c>
      <c r="E542" s="15" t="s">
        <v>267</v>
      </c>
      <c r="F542" s="8" t="str">
        <f aca="false">IFERROR(INDEX(CADASTRO_PIVOS!$C$6:$C$41,MATCH($E542,CADASTRO_PIVOS!$B$6:$B$41,0)),"?")</f>
        <v>RM04</v>
      </c>
      <c r="G542" s="8" t="str">
        <f aca="false">IFERROR(INDEX(CADASTRO_PIVOS!$D$6:$D$41,MATCH($E542,CADASTRO_PIVOS!$B$6:$B$41,0)),"?")</f>
        <v>TR04</v>
      </c>
      <c r="H542" s="20" t="n">
        <f aca="false">IFERROR(INDEX(CADASTRO_PIVOS!$E$6:$E$41,MATCH($E542,CADASTRO_PIVOS!$B$6:$B$41,0)),0)</f>
        <v>100.41</v>
      </c>
      <c r="I542" s="16" t="n">
        <f aca="false">IFERROR(SUMIFS(ROTACAO_RDM!$B$6:$B$71,ROTACAO_RDM!$D$6:$D$71,$E542,ROTACAO_RDM!$I$6:$I$71,"&lt;="&amp;$C542+INT(DIAS_POR_SEMANA/2),ROTACAO_RDM!$J$6:$J$71,"&gt;="&amp;$C542+INT(DIAS_POR_SEMANA/2)),0)</f>
        <v>5</v>
      </c>
      <c r="J542" s="16" t="n">
        <f aca="false">IFERROR(MATCH($I542,ROTACAO_RDM!$B$6:$B$71,0),0)</f>
        <v>5</v>
      </c>
      <c r="K542" s="8" t="str">
        <f aca="false">IF($J542=0,"SEM CULTURA",INDEX(ROTACAO_RDM!$F$6:$F$71,$J542))</f>
        <v>SOJA</v>
      </c>
      <c r="L542" s="8" t="str">
        <f aca="false">IF($J542=0,"",INDEX(ROTACAO_RDM!$G$6:$G$71,$J542))</f>
        <v>COMBATE IPRO</v>
      </c>
      <c r="M542" s="17" t="n">
        <f aca="false">IF($J542=0,"",INDEX(ROTACAO_RDM!$I$6:$I$71,$J542))</f>
        <v>46291</v>
      </c>
      <c r="N542" s="16" t="n">
        <f aca="false">IF($J542=0,0,MAX(0,$C542+INT(DIAS_POR_SEMANA/2)-INDEX(ROTACAO_RDM!$I$6:$I$71,$J542)))</f>
        <v>33</v>
      </c>
      <c r="O542" s="19" t="n">
        <f aca="false">IF($J542=0,0,MIN(1,$N542/MAX(1,INDEX(ROTACAO_RDM!$K$6:$K$71,$J542))))</f>
        <v>0.289473684210526</v>
      </c>
      <c r="P542" s="16" t="n">
        <f aca="false">IF($J542=0,0,IFERROR(MATCH(INDEX(ROTACAO_RDM!$N$6:$N$71,$J542),PARAMETROS_CULTURAS!$B$6:$B$28,0),0))</f>
        <v>2</v>
      </c>
      <c r="Q542" s="8" t="str">
        <f aca="false">IF($P542=0,"-",IF($O542&lt;=INDEX(PARAMETROS_CULTURAS!$F$6:$F$28,$P542),"INICIAL",IF($O542&lt;=INDEX(PARAMETROS_CULTURAS!$F$6:$F$28,$P542)+INDEX(PARAMETROS_CULTURAS!$G$6:$G$28,$P542),"DESENVOLVIMENTO",IF($O542&lt;=INDEX(PARAMETROS_CULTURAS!$F$6:$F$28,$P542)+INDEX(PARAMETROS_CULTURAS!$G$6:$G$28,$P542)+INDEX(PARAMETROS_CULTURAS!$H$6:$H$28,$P542),"MEDIA","FINAL"))))</f>
        <v>DESENVOLVIMENTO</v>
      </c>
      <c r="R542" s="24" t="n">
        <f aca="false">IF($P542=0,0,IF($O542&lt;=INDEX(PARAMETROS_CULTURAS!$F$6:$F$28,$P542),INDEX(PARAMETROS_CULTURAS!$K$6:$K$28,$P542),IF($O542&lt;=INDEX(PARAMETROS_CULTURAS!$F$6:$F$28,$P542)+INDEX(PARAMETROS_CULTURAS!$G$6:$G$28,$P542),INDEX(PARAMETROS_CULTURAS!$K$6:$K$28,$P542)+(INDEX(PARAMETROS_CULTURAS!$L$6:$L$28,$P542)-INDEX(PARAMETROS_CULTURAS!$K$6:$K$28,$P542))*($O542-INDEX(PARAMETROS_CULTURAS!$F$6:$F$28,$P542))/MAX(INDEX(PARAMETROS_CULTURAS!$G$6:$G$28,$P542),0.0001),IF($O542&lt;=INDEX(PARAMETROS_CULTURAS!$F$6:$F$28,$P542)+INDEX(PARAMETROS_CULTURAS!$G$6:$G$28,$P542)+INDEX(PARAMETROS_CULTURAS!$H$6:$H$28,$P542),INDEX(PARAMETROS_CULTURAS!$L$6:$L$28,$P542),INDEX(PARAMETROS_CULTURAS!$L$6:$L$28,$P542)+(INDEX(PARAMETROS_CULTURAS!$M$6:$M$28,$P542)-INDEX(PARAMETROS_CULTURAS!$L$6:$L$28,$P542))*($O542-INDEX(PARAMETROS_CULTURAS!$F$6:$F$28,$P542)-INDEX(PARAMETROS_CULTURAS!$G$6:$G$28,$P542)-INDEX(PARAMETROS_CULTURAS!$H$6:$H$28,$P542))/MAX(INDEX(PARAMETROS_CULTURAS!$I$6:$I$28,$P542),0.0001)))))</f>
        <v>0.822196796338673</v>
      </c>
      <c r="S542" s="18" t="n">
        <f aca="false">IFERROR(INDEX(SEMANAS!$H$6:$H$71,MATCH($B542,SEMANAS!$B$6:$B$71,0)),0)</f>
        <v>38.5</v>
      </c>
      <c r="T542" s="18" t="n">
        <f aca="false">$R542*$S542</f>
        <v>31.6545766590389</v>
      </c>
      <c r="U542" s="18" t="n">
        <f aca="false">IFERROR(INDEX(SEMANAS!$I$6:$I$71,MATCH($B542,SEMANAS!$B$6:$B$71,0)),0)</f>
        <v>29.89</v>
      </c>
      <c r="V542" s="18" t="n">
        <f aca="false">IFERROR(INDEX(SEMANAS!$J$6:$J$71,MATCH($B542,SEMANAS!$B$6:$B$71,0)),0)</f>
        <v>23.912</v>
      </c>
      <c r="W542" s="18" t="n">
        <f aca="false">MAX(0,$T542-$V542)</f>
        <v>7.7425766590389</v>
      </c>
      <c r="X542" s="19" t="n">
        <f aca="false">IFERROR(INDEX(CADASTRO_PIVOS!$K$6:$K$41,MATCH($E542,CADASTRO_PIVOS!$B$6:$B$41,0)),EFICIENCIA_PADRAO)</f>
        <v>0.85</v>
      </c>
      <c r="Y542" s="18" t="n">
        <f aca="false">IF($X542&lt;=0,0,$W542/$X542)</f>
        <v>9.10891371651635</v>
      </c>
      <c r="Z542" s="16" t="n">
        <f aca="false">$Y542*$H542*MM_PARA_M3_HA</f>
        <v>9146.26026275407</v>
      </c>
      <c r="AA542" s="18" t="n">
        <f aca="false">IFERROR(INDEX(CADASTRO_PIVOS!$I$6:$I$41,MATCH($E542,CADASTRO_PIVOS!$B$6:$B$41,0)),0)</f>
        <v>717.214285714286</v>
      </c>
      <c r="AB542" s="18" t="n">
        <f aca="false">IF($Z542&lt;=0,0,$Z542/$AA542)</f>
        <v>12.7524792031229</v>
      </c>
      <c r="AC542" s="16" t="n">
        <f aca="false">IFERROR(INDEX(SEMANAS!$K$6:$K$71,MATCH($B542,SEMANAS!$B$6:$B$71,0)),0)</f>
        <v>147</v>
      </c>
      <c r="AD542" s="19" t="n">
        <f aca="false">IF($AC542&lt;=0,0,$AB542/$AC542)</f>
        <v>0.0867515592049176</v>
      </c>
      <c r="AE542" s="8" t="str">
        <f aca="false">IF($K542="SEM CULTURA","SEM CULTURA",IF($AA542&lt;=0,"DADO PENDENTE",IF($AD542&gt;LIMITE_CRITICO,"INVIAVEL",IF($AD542&gt;LIMITE_ATENCAO,"CRITICO",IF($AD542&gt;LIMITE_CONFORTAVEL,"ATENCAO","OK")))))</f>
        <v>OK</v>
      </c>
      <c r="AF542" s="8" t="str">
        <f aca="false">$B542&amp;"|"&amp;TEXT($AD542,"0.000000")</f>
        <v>9|0.086752</v>
      </c>
      <c r="AG542" s="18" t="n">
        <f aca="false">IF($K542="SEM CULTURA",0,$T542*$H542)</f>
        <v>3178.4360423341</v>
      </c>
      <c r="AH542" s="18" t="n">
        <f aca="false">IF($K542="SEM CULTURA",0,$V542*$H542)</f>
        <v>2401.00392</v>
      </c>
      <c r="AI542" s="18" t="n">
        <f aca="false">IF($K542="SEM CULTURA",0,$W542*$H542)</f>
        <v>777.432122334096</v>
      </c>
      <c r="AJ542" s="18" t="n">
        <f aca="false">IF($K542="SEM CULTURA",0,$S542*$H542)</f>
        <v>3865.785</v>
      </c>
      <c r="AK542" s="8" t="str">
        <f aca="false">$E542&amp;"|"&amp;TEXT($AD542,"0.000000")</f>
        <v>PV 104|0.086752</v>
      </c>
    </row>
    <row r="543" customFormat="false" ht="15" hidden="false" customHeight="false" outlineLevel="0" collapsed="false">
      <c r="B543" s="16" t="n">
        <v>10</v>
      </c>
      <c r="C543" s="17" t="n">
        <f aca="false">DATA_INICIO_SAFRA+($B543-1)*DIAS_POR_SEMANA</f>
        <v>46328</v>
      </c>
      <c r="D543" s="17" t="n">
        <f aca="false">$C543+DIAS_POR_SEMANA-1</f>
        <v>46334</v>
      </c>
      <c r="E543" s="15" t="s">
        <v>267</v>
      </c>
      <c r="F543" s="8" t="str">
        <f aca="false">IFERROR(INDEX(CADASTRO_PIVOS!$C$6:$C$41,MATCH($E543,CADASTRO_PIVOS!$B$6:$B$41,0)),"?")</f>
        <v>RM04</v>
      </c>
      <c r="G543" s="8" t="str">
        <f aca="false">IFERROR(INDEX(CADASTRO_PIVOS!$D$6:$D$41,MATCH($E543,CADASTRO_PIVOS!$B$6:$B$41,0)),"?")</f>
        <v>TR04</v>
      </c>
      <c r="H543" s="20" t="n">
        <f aca="false">IFERROR(INDEX(CADASTRO_PIVOS!$E$6:$E$41,MATCH($E543,CADASTRO_PIVOS!$B$6:$B$41,0)),0)</f>
        <v>100.41</v>
      </c>
      <c r="I543" s="16" t="n">
        <f aca="false">IFERROR(SUMIFS(ROTACAO_RDM!$B$6:$B$71,ROTACAO_RDM!$D$6:$D$71,$E543,ROTACAO_RDM!$I$6:$I$71,"&lt;="&amp;$C543+INT(DIAS_POR_SEMANA/2),ROTACAO_RDM!$J$6:$J$71,"&gt;="&amp;$C543+INT(DIAS_POR_SEMANA/2)),0)</f>
        <v>5</v>
      </c>
      <c r="J543" s="16" t="n">
        <f aca="false">IFERROR(MATCH($I543,ROTACAO_RDM!$B$6:$B$71,0),0)</f>
        <v>5</v>
      </c>
      <c r="K543" s="8" t="str">
        <f aca="false">IF($J543=0,"SEM CULTURA",INDEX(ROTACAO_RDM!$F$6:$F$71,$J543))</f>
        <v>SOJA</v>
      </c>
      <c r="L543" s="8" t="str">
        <f aca="false">IF($J543=0,"",INDEX(ROTACAO_RDM!$G$6:$G$71,$J543))</f>
        <v>COMBATE IPRO</v>
      </c>
      <c r="M543" s="17" t="n">
        <f aca="false">IF($J543=0,"",INDEX(ROTACAO_RDM!$I$6:$I$71,$J543))</f>
        <v>46291</v>
      </c>
      <c r="N543" s="16" t="n">
        <f aca="false">IF($J543=0,0,MAX(0,$C543+INT(DIAS_POR_SEMANA/2)-INDEX(ROTACAO_RDM!$I$6:$I$71,$J543)))</f>
        <v>40</v>
      </c>
      <c r="O543" s="19" t="n">
        <f aca="false">IF($J543=0,0,MIN(1,$N543/MAX(1,INDEX(ROTACAO_RDM!$K$6:$K$71,$J543))))</f>
        <v>0.350877192982456</v>
      </c>
      <c r="P543" s="16" t="n">
        <f aca="false">IF($J543=0,0,IFERROR(MATCH(INDEX(ROTACAO_RDM!$N$6:$N$71,$J543),PARAMETROS_CULTURAS!$B$6:$B$28,0),0))</f>
        <v>2</v>
      </c>
      <c r="Q543" s="8" t="str">
        <f aca="false">IF($P543=0,"-",IF($O543&lt;=INDEX(PARAMETROS_CULTURAS!$F$6:$F$28,$P543),"INICIAL",IF($O543&lt;=INDEX(PARAMETROS_CULTURAS!$F$6:$F$28,$P543)+INDEX(PARAMETROS_CULTURAS!$G$6:$G$28,$P543),"DESENVOLVIMENTO",IF($O543&lt;=INDEX(PARAMETROS_CULTURAS!$F$6:$F$28,$P543)+INDEX(PARAMETROS_CULTURAS!$G$6:$G$28,$P543)+INDEX(PARAMETROS_CULTURAS!$H$6:$H$28,$P543),"MEDIA","FINAL"))))</f>
        <v>DESENVOLVIMENTO</v>
      </c>
      <c r="R543" s="24" t="n">
        <f aca="false">IF($P543=0,0,IF($O543&lt;=INDEX(PARAMETROS_CULTURAS!$F$6:$F$28,$P543),INDEX(PARAMETROS_CULTURAS!$K$6:$K$28,$P543),IF($O543&lt;=INDEX(PARAMETROS_CULTURAS!$F$6:$F$28,$P543)+INDEX(PARAMETROS_CULTURAS!$G$6:$G$28,$P543),INDEX(PARAMETROS_CULTURAS!$K$6:$K$28,$P543)+(INDEX(PARAMETROS_CULTURAS!$L$6:$L$28,$P543)-INDEX(PARAMETROS_CULTURAS!$K$6:$K$28,$P543))*($O543-INDEX(PARAMETROS_CULTURAS!$F$6:$F$28,$P543))/MAX(INDEX(PARAMETROS_CULTURAS!$G$6:$G$28,$P543),0.0001),IF($O543&lt;=INDEX(PARAMETROS_CULTURAS!$F$6:$F$28,$P543)+INDEX(PARAMETROS_CULTURAS!$G$6:$G$28,$P543)+INDEX(PARAMETROS_CULTURAS!$H$6:$H$28,$P543),INDEX(PARAMETROS_CULTURAS!$L$6:$L$28,$P543),INDEX(PARAMETROS_CULTURAS!$L$6:$L$28,$P543)+(INDEX(PARAMETROS_CULTURAS!$M$6:$M$28,$P543)-INDEX(PARAMETROS_CULTURAS!$L$6:$L$28,$P543))*($O543-INDEX(PARAMETROS_CULTURAS!$F$6:$F$28,$P543)-INDEX(PARAMETROS_CULTURAS!$G$6:$G$28,$P543)-INDEX(PARAMETROS_CULTURAS!$H$6:$H$28,$P543))/MAX(INDEX(PARAMETROS_CULTURAS!$I$6:$I$28,$P543),0.0001)))))</f>
        <v>1.02242562929062</v>
      </c>
      <c r="S543" s="18" t="n">
        <f aca="false">IFERROR(INDEX(SEMANAS!$H$6:$H$71,MATCH($B543,SEMANAS!$B$6:$B$71,0)),0)</f>
        <v>34.3</v>
      </c>
      <c r="T543" s="18" t="n">
        <f aca="false">$R543*$S543</f>
        <v>35.0691990846682</v>
      </c>
      <c r="U543" s="18" t="n">
        <f aca="false">IFERROR(INDEX(SEMANAS!$I$6:$I$71,MATCH($B543,SEMANAS!$B$6:$B$71,0)),0)</f>
        <v>46.69</v>
      </c>
      <c r="V543" s="18" t="n">
        <f aca="false">IFERROR(INDEX(SEMANAS!$J$6:$J$71,MATCH($B543,SEMANAS!$B$6:$B$71,0)),0)</f>
        <v>37.352</v>
      </c>
      <c r="W543" s="18" t="n">
        <f aca="false">MAX(0,$T543-$V543)</f>
        <v>0</v>
      </c>
      <c r="X543" s="19" t="n">
        <f aca="false">IFERROR(INDEX(CADASTRO_PIVOS!$K$6:$K$41,MATCH($E543,CADASTRO_PIVOS!$B$6:$B$41,0)),EFICIENCIA_PADRAO)</f>
        <v>0.85</v>
      </c>
      <c r="Y543" s="18" t="n">
        <f aca="false">IF($X543&lt;=0,0,$W543/$X543)</f>
        <v>0</v>
      </c>
      <c r="Z543" s="16" t="n">
        <f aca="false">$Y543*$H543*MM_PARA_M3_HA</f>
        <v>0</v>
      </c>
      <c r="AA543" s="18" t="n">
        <f aca="false">IFERROR(INDEX(CADASTRO_PIVOS!$I$6:$I$41,MATCH($E543,CADASTRO_PIVOS!$B$6:$B$41,0)),0)</f>
        <v>717.214285714286</v>
      </c>
      <c r="AB543" s="18" t="n">
        <f aca="false">IF($Z543&lt;=0,0,$Z543/$AA543)</f>
        <v>0</v>
      </c>
      <c r="AC543" s="16" t="n">
        <f aca="false">IFERROR(INDEX(SEMANAS!$K$6:$K$71,MATCH($B543,SEMANAS!$B$6:$B$71,0)),0)</f>
        <v>147</v>
      </c>
      <c r="AD543" s="19" t="n">
        <f aca="false">IF($AC543&lt;=0,0,$AB543/$AC543)</f>
        <v>0</v>
      </c>
      <c r="AE543" s="8" t="str">
        <f aca="false">IF($K543="SEM CULTURA","SEM CULTURA",IF($AA543&lt;=0,"DADO PENDENTE",IF($AD543&gt;LIMITE_CRITICO,"INVIAVEL",IF($AD543&gt;LIMITE_ATENCAO,"CRITICO",IF($AD543&gt;LIMITE_CONFORTAVEL,"ATENCAO","OK")))))</f>
        <v>OK</v>
      </c>
      <c r="AF543" s="8" t="str">
        <f aca="false">$B543&amp;"|"&amp;TEXT($AD543,"0.000000")</f>
        <v>10|0.000000</v>
      </c>
      <c r="AG543" s="18" t="n">
        <f aca="false">IF($K543="SEM CULTURA",0,$T543*$H543)</f>
        <v>3521.29828009153</v>
      </c>
      <c r="AH543" s="18" t="n">
        <f aca="false">IF($K543="SEM CULTURA",0,$V543*$H543)</f>
        <v>3750.51432</v>
      </c>
      <c r="AI543" s="18" t="n">
        <f aca="false">IF($K543="SEM CULTURA",0,$W543*$H543)</f>
        <v>0</v>
      </c>
      <c r="AJ543" s="18" t="n">
        <f aca="false">IF($K543="SEM CULTURA",0,$S543*$H543)</f>
        <v>3444.063</v>
      </c>
      <c r="AK543" s="8" t="str">
        <f aca="false">$E543&amp;"|"&amp;TEXT($AD543,"0.000000")</f>
        <v>PV 104|0.000000</v>
      </c>
    </row>
    <row r="544" customFormat="false" ht="15" hidden="false" customHeight="false" outlineLevel="0" collapsed="false">
      <c r="B544" s="16" t="n">
        <v>11</v>
      </c>
      <c r="C544" s="17" t="n">
        <f aca="false">DATA_INICIO_SAFRA+($B544-1)*DIAS_POR_SEMANA</f>
        <v>46335</v>
      </c>
      <c r="D544" s="17" t="n">
        <f aca="false">$C544+DIAS_POR_SEMANA-1</f>
        <v>46341</v>
      </c>
      <c r="E544" s="15" t="s">
        <v>267</v>
      </c>
      <c r="F544" s="8" t="str">
        <f aca="false">IFERROR(INDEX(CADASTRO_PIVOS!$C$6:$C$41,MATCH($E544,CADASTRO_PIVOS!$B$6:$B$41,0)),"?")</f>
        <v>RM04</v>
      </c>
      <c r="G544" s="8" t="str">
        <f aca="false">IFERROR(INDEX(CADASTRO_PIVOS!$D$6:$D$41,MATCH($E544,CADASTRO_PIVOS!$B$6:$B$41,0)),"?")</f>
        <v>TR04</v>
      </c>
      <c r="H544" s="20" t="n">
        <f aca="false">IFERROR(INDEX(CADASTRO_PIVOS!$E$6:$E$41,MATCH($E544,CADASTRO_PIVOS!$B$6:$B$41,0)),0)</f>
        <v>100.41</v>
      </c>
      <c r="I544" s="16" t="n">
        <f aca="false">IFERROR(SUMIFS(ROTACAO_RDM!$B$6:$B$71,ROTACAO_RDM!$D$6:$D$71,$E544,ROTACAO_RDM!$I$6:$I$71,"&lt;="&amp;$C544+INT(DIAS_POR_SEMANA/2),ROTACAO_RDM!$J$6:$J$71,"&gt;="&amp;$C544+INT(DIAS_POR_SEMANA/2)),0)</f>
        <v>5</v>
      </c>
      <c r="J544" s="16" t="n">
        <f aca="false">IFERROR(MATCH($I544,ROTACAO_RDM!$B$6:$B$71,0),0)</f>
        <v>5</v>
      </c>
      <c r="K544" s="8" t="str">
        <f aca="false">IF($J544=0,"SEM CULTURA",INDEX(ROTACAO_RDM!$F$6:$F$71,$J544))</f>
        <v>SOJA</v>
      </c>
      <c r="L544" s="8" t="str">
        <f aca="false">IF($J544=0,"",INDEX(ROTACAO_RDM!$G$6:$G$71,$J544))</f>
        <v>COMBATE IPRO</v>
      </c>
      <c r="M544" s="17" t="n">
        <f aca="false">IF($J544=0,"",INDEX(ROTACAO_RDM!$I$6:$I$71,$J544))</f>
        <v>46291</v>
      </c>
      <c r="N544" s="16" t="n">
        <f aca="false">IF($J544=0,0,MAX(0,$C544+INT(DIAS_POR_SEMANA/2)-INDEX(ROTACAO_RDM!$I$6:$I$71,$J544)))</f>
        <v>47</v>
      </c>
      <c r="O544" s="19" t="n">
        <f aca="false">IF($J544=0,0,MIN(1,$N544/MAX(1,INDEX(ROTACAO_RDM!$K$6:$K$71,$J544))))</f>
        <v>0.412280701754386</v>
      </c>
      <c r="P544" s="16" t="n">
        <f aca="false">IF($J544=0,0,IFERROR(MATCH(INDEX(ROTACAO_RDM!$N$6:$N$71,$J544),PARAMETROS_CULTURAS!$B$6:$B$28,0),0))</f>
        <v>2</v>
      </c>
      <c r="Q544" s="8" t="str">
        <f aca="false">IF($P544=0,"-",IF($O544&lt;=INDEX(PARAMETROS_CULTURAS!$F$6:$F$28,$P544),"INICIAL",IF($O544&lt;=INDEX(PARAMETROS_CULTURAS!$F$6:$F$28,$P544)+INDEX(PARAMETROS_CULTURAS!$G$6:$G$28,$P544),"DESENVOLVIMENTO",IF($O544&lt;=INDEX(PARAMETROS_CULTURAS!$F$6:$F$28,$P544)+INDEX(PARAMETROS_CULTURAS!$G$6:$G$28,$P544)+INDEX(PARAMETROS_CULTURAS!$H$6:$H$28,$P544),"MEDIA","FINAL"))))</f>
        <v>MEDIA</v>
      </c>
      <c r="R544" s="24" t="n">
        <f aca="false">IF($P544=0,0,IF($O544&lt;=INDEX(PARAMETROS_CULTURAS!$F$6:$F$28,$P544),INDEX(PARAMETROS_CULTURAS!$K$6:$K$28,$P544),IF($O544&lt;=INDEX(PARAMETROS_CULTURAS!$F$6:$F$28,$P544)+INDEX(PARAMETROS_CULTURAS!$G$6:$G$28,$P544),INDEX(PARAMETROS_CULTURAS!$K$6:$K$28,$P544)+(INDEX(PARAMETROS_CULTURAS!$L$6:$L$28,$P544)-INDEX(PARAMETROS_CULTURAS!$K$6:$K$28,$P544))*($O544-INDEX(PARAMETROS_CULTURAS!$F$6:$F$28,$P544))/MAX(INDEX(PARAMETROS_CULTURAS!$G$6:$G$28,$P544),0.0001),IF($O544&lt;=INDEX(PARAMETROS_CULTURAS!$F$6:$F$28,$P544)+INDEX(PARAMETROS_CULTURAS!$G$6:$G$28,$P544)+INDEX(PARAMETROS_CULTURAS!$H$6:$H$28,$P544),INDEX(PARAMETROS_CULTURAS!$L$6:$L$28,$P544),INDEX(PARAMETROS_CULTURAS!$L$6:$L$28,$P544)+(INDEX(PARAMETROS_CULTURAS!$M$6:$M$28,$P544)-INDEX(PARAMETROS_CULTURAS!$L$6:$L$28,$P544))*($O544-INDEX(PARAMETROS_CULTURAS!$F$6:$F$28,$P544)-INDEX(PARAMETROS_CULTURAS!$G$6:$G$28,$P544)-INDEX(PARAMETROS_CULTURAS!$H$6:$H$28,$P544))/MAX(INDEX(PARAMETROS_CULTURAS!$I$6:$I$28,$P544),0.0001)))))</f>
        <v>1.15</v>
      </c>
      <c r="S544" s="18" t="n">
        <f aca="false">IFERROR(INDEX(SEMANAS!$H$6:$H$71,MATCH($B544,SEMANAS!$B$6:$B$71,0)),0)</f>
        <v>34.3</v>
      </c>
      <c r="T544" s="18" t="n">
        <f aca="false">$R544*$S544</f>
        <v>39.445</v>
      </c>
      <c r="U544" s="18" t="n">
        <f aca="false">IFERROR(INDEX(SEMANAS!$I$6:$I$71,MATCH($B544,SEMANAS!$B$6:$B$71,0)),0)</f>
        <v>46.69</v>
      </c>
      <c r="V544" s="18" t="n">
        <f aca="false">IFERROR(INDEX(SEMANAS!$J$6:$J$71,MATCH($B544,SEMANAS!$B$6:$B$71,0)),0)</f>
        <v>37.352</v>
      </c>
      <c r="W544" s="18" t="n">
        <f aca="false">MAX(0,$T544-$V544)</f>
        <v>2.093</v>
      </c>
      <c r="X544" s="19" t="n">
        <f aca="false">IFERROR(INDEX(CADASTRO_PIVOS!$K$6:$K$41,MATCH($E544,CADASTRO_PIVOS!$B$6:$B$41,0)),EFICIENCIA_PADRAO)</f>
        <v>0.85</v>
      </c>
      <c r="Y544" s="18" t="n">
        <f aca="false">IF($X544&lt;=0,0,$W544/$X544)</f>
        <v>2.46235294117647</v>
      </c>
      <c r="Z544" s="16" t="n">
        <f aca="false">$Y544*$H544*MM_PARA_M3_HA</f>
        <v>2472.44858823529</v>
      </c>
      <c r="AA544" s="18" t="n">
        <f aca="false">IFERROR(INDEX(CADASTRO_PIVOS!$I$6:$I$41,MATCH($E544,CADASTRO_PIVOS!$B$6:$B$41,0)),0)</f>
        <v>717.214285714286</v>
      </c>
      <c r="AB544" s="18" t="n">
        <f aca="false">IF($Z544&lt;=0,0,$Z544/$AA544)</f>
        <v>3.44729411764705</v>
      </c>
      <c r="AC544" s="16" t="n">
        <f aca="false">IFERROR(INDEX(SEMANAS!$K$6:$K$71,MATCH($B544,SEMANAS!$B$6:$B$71,0)),0)</f>
        <v>147</v>
      </c>
      <c r="AD544" s="19" t="n">
        <f aca="false">IF($AC544&lt;=0,0,$AB544/$AC544)</f>
        <v>0.0234509803921568</v>
      </c>
      <c r="AE544" s="8" t="str">
        <f aca="false">IF($K544="SEM CULTURA","SEM CULTURA",IF($AA544&lt;=0,"DADO PENDENTE",IF($AD544&gt;LIMITE_CRITICO,"INVIAVEL",IF($AD544&gt;LIMITE_ATENCAO,"CRITICO",IF($AD544&gt;LIMITE_CONFORTAVEL,"ATENCAO","OK")))))</f>
        <v>OK</v>
      </c>
      <c r="AF544" s="8" t="str">
        <f aca="false">$B544&amp;"|"&amp;TEXT($AD544,"0.000000")</f>
        <v>11|0.023451</v>
      </c>
      <c r="AG544" s="18" t="n">
        <f aca="false">IF($K544="SEM CULTURA",0,$T544*$H544)</f>
        <v>3960.67245</v>
      </c>
      <c r="AH544" s="18" t="n">
        <f aca="false">IF($K544="SEM CULTURA",0,$V544*$H544)</f>
        <v>3750.51432</v>
      </c>
      <c r="AI544" s="18" t="n">
        <f aca="false">IF($K544="SEM CULTURA",0,$W544*$H544)</f>
        <v>210.15813</v>
      </c>
      <c r="AJ544" s="18" t="n">
        <f aca="false">IF($K544="SEM CULTURA",0,$S544*$H544)</f>
        <v>3444.063</v>
      </c>
      <c r="AK544" s="8" t="str">
        <f aca="false">$E544&amp;"|"&amp;TEXT($AD544,"0.000000")</f>
        <v>PV 104|0.023451</v>
      </c>
    </row>
    <row r="545" customFormat="false" ht="15" hidden="false" customHeight="false" outlineLevel="0" collapsed="false">
      <c r="B545" s="16" t="n">
        <v>12</v>
      </c>
      <c r="C545" s="17" t="n">
        <f aca="false">DATA_INICIO_SAFRA+($B545-1)*DIAS_POR_SEMANA</f>
        <v>46342</v>
      </c>
      <c r="D545" s="17" t="n">
        <f aca="false">$C545+DIAS_POR_SEMANA-1</f>
        <v>46348</v>
      </c>
      <c r="E545" s="15" t="s">
        <v>267</v>
      </c>
      <c r="F545" s="8" t="str">
        <f aca="false">IFERROR(INDEX(CADASTRO_PIVOS!$C$6:$C$41,MATCH($E545,CADASTRO_PIVOS!$B$6:$B$41,0)),"?")</f>
        <v>RM04</v>
      </c>
      <c r="G545" s="8" t="str">
        <f aca="false">IFERROR(INDEX(CADASTRO_PIVOS!$D$6:$D$41,MATCH($E545,CADASTRO_PIVOS!$B$6:$B$41,0)),"?")</f>
        <v>TR04</v>
      </c>
      <c r="H545" s="20" t="n">
        <f aca="false">IFERROR(INDEX(CADASTRO_PIVOS!$E$6:$E$41,MATCH($E545,CADASTRO_PIVOS!$B$6:$B$41,0)),0)</f>
        <v>100.41</v>
      </c>
      <c r="I545" s="16" t="n">
        <f aca="false">IFERROR(SUMIFS(ROTACAO_RDM!$B$6:$B$71,ROTACAO_RDM!$D$6:$D$71,$E545,ROTACAO_RDM!$I$6:$I$71,"&lt;="&amp;$C545+INT(DIAS_POR_SEMANA/2),ROTACAO_RDM!$J$6:$J$71,"&gt;="&amp;$C545+INT(DIAS_POR_SEMANA/2)),0)</f>
        <v>5</v>
      </c>
      <c r="J545" s="16" t="n">
        <f aca="false">IFERROR(MATCH($I545,ROTACAO_RDM!$B$6:$B$71,0),0)</f>
        <v>5</v>
      </c>
      <c r="K545" s="8" t="str">
        <f aca="false">IF($J545=0,"SEM CULTURA",INDEX(ROTACAO_RDM!$F$6:$F$71,$J545))</f>
        <v>SOJA</v>
      </c>
      <c r="L545" s="8" t="str">
        <f aca="false">IF($J545=0,"",INDEX(ROTACAO_RDM!$G$6:$G$71,$J545))</f>
        <v>COMBATE IPRO</v>
      </c>
      <c r="M545" s="17" t="n">
        <f aca="false">IF($J545=0,"",INDEX(ROTACAO_RDM!$I$6:$I$71,$J545))</f>
        <v>46291</v>
      </c>
      <c r="N545" s="16" t="n">
        <f aca="false">IF($J545=0,0,MAX(0,$C545+INT(DIAS_POR_SEMANA/2)-INDEX(ROTACAO_RDM!$I$6:$I$71,$J545)))</f>
        <v>54</v>
      </c>
      <c r="O545" s="19" t="n">
        <f aca="false">IF($J545=0,0,MIN(1,$N545/MAX(1,INDEX(ROTACAO_RDM!$K$6:$K$71,$J545))))</f>
        <v>0.473684210526316</v>
      </c>
      <c r="P545" s="16" t="n">
        <f aca="false">IF($J545=0,0,IFERROR(MATCH(INDEX(ROTACAO_RDM!$N$6:$N$71,$J545),PARAMETROS_CULTURAS!$B$6:$B$28,0),0))</f>
        <v>2</v>
      </c>
      <c r="Q545" s="8" t="str">
        <f aca="false">IF($P545=0,"-",IF($O545&lt;=INDEX(PARAMETROS_CULTURAS!$F$6:$F$28,$P545),"INICIAL",IF($O545&lt;=INDEX(PARAMETROS_CULTURAS!$F$6:$F$28,$P545)+INDEX(PARAMETROS_CULTURAS!$G$6:$G$28,$P545),"DESENVOLVIMENTO",IF($O545&lt;=INDEX(PARAMETROS_CULTURAS!$F$6:$F$28,$P545)+INDEX(PARAMETROS_CULTURAS!$G$6:$G$28,$P545)+INDEX(PARAMETROS_CULTURAS!$H$6:$H$28,$P545),"MEDIA","FINAL"))))</f>
        <v>MEDIA</v>
      </c>
      <c r="R545" s="24" t="n">
        <f aca="false">IF($P545=0,0,IF($O545&lt;=INDEX(PARAMETROS_CULTURAS!$F$6:$F$28,$P545),INDEX(PARAMETROS_CULTURAS!$K$6:$K$28,$P545),IF($O545&lt;=INDEX(PARAMETROS_CULTURAS!$F$6:$F$28,$P545)+INDEX(PARAMETROS_CULTURAS!$G$6:$G$28,$P545),INDEX(PARAMETROS_CULTURAS!$K$6:$K$28,$P545)+(INDEX(PARAMETROS_CULTURAS!$L$6:$L$28,$P545)-INDEX(PARAMETROS_CULTURAS!$K$6:$K$28,$P545))*($O545-INDEX(PARAMETROS_CULTURAS!$F$6:$F$28,$P545))/MAX(INDEX(PARAMETROS_CULTURAS!$G$6:$G$28,$P545),0.0001),IF($O545&lt;=INDEX(PARAMETROS_CULTURAS!$F$6:$F$28,$P545)+INDEX(PARAMETROS_CULTURAS!$G$6:$G$28,$P545)+INDEX(PARAMETROS_CULTURAS!$H$6:$H$28,$P545),INDEX(PARAMETROS_CULTURAS!$L$6:$L$28,$P545),INDEX(PARAMETROS_CULTURAS!$L$6:$L$28,$P545)+(INDEX(PARAMETROS_CULTURAS!$M$6:$M$28,$P545)-INDEX(PARAMETROS_CULTURAS!$L$6:$L$28,$P545))*($O545-INDEX(PARAMETROS_CULTURAS!$F$6:$F$28,$P545)-INDEX(PARAMETROS_CULTURAS!$G$6:$G$28,$P545)-INDEX(PARAMETROS_CULTURAS!$H$6:$H$28,$P545))/MAX(INDEX(PARAMETROS_CULTURAS!$I$6:$I$28,$P545),0.0001)))))</f>
        <v>1.15</v>
      </c>
      <c r="S545" s="18" t="n">
        <f aca="false">IFERROR(INDEX(SEMANAS!$H$6:$H$71,MATCH($B545,SEMANAS!$B$6:$B$71,0)),0)</f>
        <v>34.3</v>
      </c>
      <c r="T545" s="18" t="n">
        <f aca="false">$R545*$S545</f>
        <v>39.445</v>
      </c>
      <c r="U545" s="18" t="n">
        <f aca="false">IFERROR(INDEX(SEMANAS!$I$6:$I$71,MATCH($B545,SEMANAS!$B$6:$B$71,0)),0)</f>
        <v>46.69</v>
      </c>
      <c r="V545" s="18" t="n">
        <f aca="false">IFERROR(INDEX(SEMANAS!$J$6:$J$71,MATCH($B545,SEMANAS!$B$6:$B$71,0)),0)</f>
        <v>37.352</v>
      </c>
      <c r="W545" s="18" t="n">
        <f aca="false">MAX(0,$T545-$V545)</f>
        <v>2.093</v>
      </c>
      <c r="X545" s="19" t="n">
        <f aca="false">IFERROR(INDEX(CADASTRO_PIVOS!$K$6:$K$41,MATCH($E545,CADASTRO_PIVOS!$B$6:$B$41,0)),EFICIENCIA_PADRAO)</f>
        <v>0.85</v>
      </c>
      <c r="Y545" s="18" t="n">
        <f aca="false">IF($X545&lt;=0,0,$W545/$X545)</f>
        <v>2.46235294117647</v>
      </c>
      <c r="Z545" s="16" t="n">
        <f aca="false">$Y545*$H545*MM_PARA_M3_HA</f>
        <v>2472.44858823529</v>
      </c>
      <c r="AA545" s="18" t="n">
        <f aca="false">IFERROR(INDEX(CADASTRO_PIVOS!$I$6:$I$41,MATCH($E545,CADASTRO_PIVOS!$B$6:$B$41,0)),0)</f>
        <v>717.214285714286</v>
      </c>
      <c r="AB545" s="18" t="n">
        <f aca="false">IF($Z545&lt;=0,0,$Z545/$AA545)</f>
        <v>3.44729411764705</v>
      </c>
      <c r="AC545" s="16" t="n">
        <f aca="false">IFERROR(INDEX(SEMANAS!$K$6:$K$71,MATCH($B545,SEMANAS!$B$6:$B$71,0)),0)</f>
        <v>147</v>
      </c>
      <c r="AD545" s="19" t="n">
        <f aca="false">IF($AC545&lt;=0,0,$AB545/$AC545)</f>
        <v>0.0234509803921568</v>
      </c>
      <c r="AE545" s="8" t="str">
        <f aca="false">IF($K545="SEM CULTURA","SEM CULTURA",IF($AA545&lt;=0,"DADO PENDENTE",IF($AD545&gt;LIMITE_CRITICO,"INVIAVEL",IF($AD545&gt;LIMITE_ATENCAO,"CRITICO",IF($AD545&gt;LIMITE_CONFORTAVEL,"ATENCAO","OK")))))</f>
        <v>OK</v>
      </c>
      <c r="AF545" s="8" t="str">
        <f aca="false">$B545&amp;"|"&amp;TEXT($AD545,"0.000000")</f>
        <v>12|0.023451</v>
      </c>
      <c r="AG545" s="18" t="n">
        <f aca="false">IF($K545="SEM CULTURA",0,$T545*$H545)</f>
        <v>3960.67245</v>
      </c>
      <c r="AH545" s="18" t="n">
        <f aca="false">IF($K545="SEM CULTURA",0,$V545*$H545)</f>
        <v>3750.51432</v>
      </c>
      <c r="AI545" s="18" t="n">
        <f aca="false">IF($K545="SEM CULTURA",0,$W545*$H545)</f>
        <v>210.15813</v>
      </c>
      <c r="AJ545" s="18" t="n">
        <f aca="false">IF($K545="SEM CULTURA",0,$S545*$H545)</f>
        <v>3444.063</v>
      </c>
      <c r="AK545" s="8" t="str">
        <f aca="false">$E545&amp;"|"&amp;TEXT($AD545,"0.000000")</f>
        <v>PV 104|0.023451</v>
      </c>
    </row>
    <row r="546" customFormat="false" ht="15" hidden="false" customHeight="false" outlineLevel="0" collapsed="false">
      <c r="B546" s="16" t="n">
        <v>13</v>
      </c>
      <c r="C546" s="17" t="n">
        <f aca="false">DATA_INICIO_SAFRA+($B546-1)*DIAS_POR_SEMANA</f>
        <v>46349</v>
      </c>
      <c r="D546" s="17" t="n">
        <f aca="false">$C546+DIAS_POR_SEMANA-1</f>
        <v>46355</v>
      </c>
      <c r="E546" s="15" t="s">
        <v>267</v>
      </c>
      <c r="F546" s="8" t="str">
        <f aca="false">IFERROR(INDEX(CADASTRO_PIVOS!$C$6:$C$41,MATCH($E546,CADASTRO_PIVOS!$B$6:$B$41,0)),"?")</f>
        <v>RM04</v>
      </c>
      <c r="G546" s="8" t="str">
        <f aca="false">IFERROR(INDEX(CADASTRO_PIVOS!$D$6:$D$41,MATCH($E546,CADASTRO_PIVOS!$B$6:$B$41,0)),"?")</f>
        <v>TR04</v>
      </c>
      <c r="H546" s="20" t="n">
        <f aca="false">IFERROR(INDEX(CADASTRO_PIVOS!$E$6:$E$41,MATCH($E546,CADASTRO_PIVOS!$B$6:$B$41,0)),0)</f>
        <v>100.41</v>
      </c>
      <c r="I546" s="16" t="n">
        <f aca="false">IFERROR(SUMIFS(ROTACAO_RDM!$B$6:$B$71,ROTACAO_RDM!$D$6:$D$71,$E546,ROTACAO_RDM!$I$6:$I$71,"&lt;="&amp;$C546+INT(DIAS_POR_SEMANA/2),ROTACAO_RDM!$J$6:$J$71,"&gt;="&amp;$C546+INT(DIAS_POR_SEMANA/2)),0)</f>
        <v>5</v>
      </c>
      <c r="J546" s="16" t="n">
        <f aca="false">IFERROR(MATCH($I546,ROTACAO_RDM!$B$6:$B$71,0),0)</f>
        <v>5</v>
      </c>
      <c r="K546" s="8" t="str">
        <f aca="false">IF($J546=0,"SEM CULTURA",INDEX(ROTACAO_RDM!$F$6:$F$71,$J546))</f>
        <v>SOJA</v>
      </c>
      <c r="L546" s="8" t="str">
        <f aca="false">IF($J546=0,"",INDEX(ROTACAO_RDM!$G$6:$G$71,$J546))</f>
        <v>COMBATE IPRO</v>
      </c>
      <c r="M546" s="17" t="n">
        <f aca="false">IF($J546=0,"",INDEX(ROTACAO_RDM!$I$6:$I$71,$J546))</f>
        <v>46291</v>
      </c>
      <c r="N546" s="16" t="n">
        <f aca="false">IF($J546=0,0,MAX(0,$C546+INT(DIAS_POR_SEMANA/2)-INDEX(ROTACAO_RDM!$I$6:$I$71,$J546)))</f>
        <v>61</v>
      </c>
      <c r="O546" s="19" t="n">
        <f aca="false">IF($J546=0,0,MIN(1,$N546/MAX(1,INDEX(ROTACAO_RDM!$K$6:$K$71,$J546))))</f>
        <v>0.535087719298246</v>
      </c>
      <c r="P546" s="16" t="n">
        <f aca="false">IF($J546=0,0,IFERROR(MATCH(INDEX(ROTACAO_RDM!$N$6:$N$71,$J546),PARAMETROS_CULTURAS!$B$6:$B$28,0),0))</f>
        <v>2</v>
      </c>
      <c r="Q546" s="8" t="str">
        <f aca="false">IF($P546=0,"-",IF($O546&lt;=INDEX(PARAMETROS_CULTURAS!$F$6:$F$28,$P546),"INICIAL",IF($O546&lt;=INDEX(PARAMETROS_CULTURAS!$F$6:$F$28,$P546)+INDEX(PARAMETROS_CULTURAS!$G$6:$G$28,$P546),"DESENVOLVIMENTO",IF($O546&lt;=INDEX(PARAMETROS_CULTURAS!$F$6:$F$28,$P546)+INDEX(PARAMETROS_CULTURAS!$G$6:$G$28,$P546)+INDEX(PARAMETROS_CULTURAS!$H$6:$H$28,$P546),"MEDIA","FINAL"))))</f>
        <v>MEDIA</v>
      </c>
      <c r="R546" s="24" t="n">
        <f aca="false">IF($P546=0,0,IF($O546&lt;=INDEX(PARAMETROS_CULTURAS!$F$6:$F$28,$P546),INDEX(PARAMETROS_CULTURAS!$K$6:$K$28,$P546),IF($O546&lt;=INDEX(PARAMETROS_CULTURAS!$F$6:$F$28,$P546)+INDEX(PARAMETROS_CULTURAS!$G$6:$G$28,$P546),INDEX(PARAMETROS_CULTURAS!$K$6:$K$28,$P546)+(INDEX(PARAMETROS_CULTURAS!$L$6:$L$28,$P546)-INDEX(PARAMETROS_CULTURAS!$K$6:$K$28,$P546))*($O546-INDEX(PARAMETROS_CULTURAS!$F$6:$F$28,$P546))/MAX(INDEX(PARAMETROS_CULTURAS!$G$6:$G$28,$P546),0.0001),IF($O546&lt;=INDEX(PARAMETROS_CULTURAS!$F$6:$F$28,$P546)+INDEX(PARAMETROS_CULTURAS!$G$6:$G$28,$P546)+INDEX(PARAMETROS_CULTURAS!$H$6:$H$28,$P546),INDEX(PARAMETROS_CULTURAS!$L$6:$L$28,$P546),INDEX(PARAMETROS_CULTURAS!$L$6:$L$28,$P546)+(INDEX(PARAMETROS_CULTURAS!$M$6:$M$28,$P546)-INDEX(PARAMETROS_CULTURAS!$L$6:$L$28,$P546))*($O546-INDEX(PARAMETROS_CULTURAS!$F$6:$F$28,$P546)-INDEX(PARAMETROS_CULTURAS!$G$6:$G$28,$P546)-INDEX(PARAMETROS_CULTURAS!$H$6:$H$28,$P546))/MAX(INDEX(PARAMETROS_CULTURAS!$I$6:$I$28,$P546),0.0001)))))</f>
        <v>1.15</v>
      </c>
      <c r="S546" s="18" t="n">
        <f aca="false">IFERROR(INDEX(SEMANAS!$H$6:$H$71,MATCH($B546,SEMANAS!$B$6:$B$71,0)),0)</f>
        <v>34.3</v>
      </c>
      <c r="T546" s="18" t="n">
        <f aca="false">$R546*$S546</f>
        <v>39.445</v>
      </c>
      <c r="U546" s="18" t="n">
        <f aca="false">IFERROR(INDEX(SEMANAS!$I$6:$I$71,MATCH($B546,SEMANAS!$B$6:$B$71,0)),0)</f>
        <v>46.69</v>
      </c>
      <c r="V546" s="18" t="n">
        <f aca="false">IFERROR(INDEX(SEMANAS!$J$6:$J$71,MATCH($B546,SEMANAS!$B$6:$B$71,0)),0)</f>
        <v>37.352</v>
      </c>
      <c r="W546" s="18" t="n">
        <f aca="false">MAX(0,$T546-$V546)</f>
        <v>2.093</v>
      </c>
      <c r="X546" s="19" t="n">
        <f aca="false">IFERROR(INDEX(CADASTRO_PIVOS!$K$6:$K$41,MATCH($E546,CADASTRO_PIVOS!$B$6:$B$41,0)),EFICIENCIA_PADRAO)</f>
        <v>0.85</v>
      </c>
      <c r="Y546" s="18" t="n">
        <f aca="false">IF($X546&lt;=0,0,$W546/$X546)</f>
        <v>2.46235294117647</v>
      </c>
      <c r="Z546" s="16" t="n">
        <f aca="false">$Y546*$H546*MM_PARA_M3_HA</f>
        <v>2472.44858823529</v>
      </c>
      <c r="AA546" s="18" t="n">
        <f aca="false">IFERROR(INDEX(CADASTRO_PIVOS!$I$6:$I$41,MATCH($E546,CADASTRO_PIVOS!$B$6:$B$41,0)),0)</f>
        <v>717.214285714286</v>
      </c>
      <c r="AB546" s="18" t="n">
        <f aca="false">IF($Z546&lt;=0,0,$Z546/$AA546)</f>
        <v>3.44729411764705</v>
      </c>
      <c r="AC546" s="16" t="n">
        <f aca="false">IFERROR(INDEX(SEMANAS!$K$6:$K$71,MATCH($B546,SEMANAS!$B$6:$B$71,0)),0)</f>
        <v>147</v>
      </c>
      <c r="AD546" s="19" t="n">
        <f aca="false">IF($AC546&lt;=0,0,$AB546/$AC546)</f>
        <v>0.0234509803921568</v>
      </c>
      <c r="AE546" s="8" t="str">
        <f aca="false">IF($K546="SEM CULTURA","SEM CULTURA",IF($AA546&lt;=0,"DADO PENDENTE",IF($AD546&gt;LIMITE_CRITICO,"INVIAVEL",IF($AD546&gt;LIMITE_ATENCAO,"CRITICO",IF($AD546&gt;LIMITE_CONFORTAVEL,"ATENCAO","OK")))))</f>
        <v>OK</v>
      </c>
      <c r="AF546" s="8" t="str">
        <f aca="false">$B546&amp;"|"&amp;TEXT($AD546,"0.000000")</f>
        <v>13|0.023451</v>
      </c>
      <c r="AG546" s="18" t="n">
        <f aca="false">IF($K546="SEM CULTURA",0,$T546*$H546)</f>
        <v>3960.67245</v>
      </c>
      <c r="AH546" s="18" t="n">
        <f aca="false">IF($K546="SEM CULTURA",0,$V546*$H546)</f>
        <v>3750.51432</v>
      </c>
      <c r="AI546" s="18" t="n">
        <f aca="false">IF($K546="SEM CULTURA",0,$W546*$H546)</f>
        <v>210.15813</v>
      </c>
      <c r="AJ546" s="18" t="n">
        <f aca="false">IF($K546="SEM CULTURA",0,$S546*$H546)</f>
        <v>3444.063</v>
      </c>
      <c r="AK546" s="8" t="str">
        <f aca="false">$E546&amp;"|"&amp;TEXT($AD546,"0.000000")</f>
        <v>PV 104|0.023451</v>
      </c>
    </row>
    <row r="547" customFormat="false" ht="15" hidden="false" customHeight="false" outlineLevel="0" collapsed="false">
      <c r="B547" s="16" t="n">
        <v>14</v>
      </c>
      <c r="C547" s="17" t="n">
        <f aca="false">DATA_INICIO_SAFRA+($B547-1)*DIAS_POR_SEMANA</f>
        <v>46356</v>
      </c>
      <c r="D547" s="17" t="n">
        <f aca="false">$C547+DIAS_POR_SEMANA-1</f>
        <v>46362</v>
      </c>
      <c r="E547" s="15" t="s">
        <v>267</v>
      </c>
      <c r="F547" s="8" t="str">
        <f aca="false">IFERROR(INDEX(CADASTRO_PIVOS!$C$6:$C$41,MATCH($E547,CADASTRO_PIVOS!$B$6:$B$41,0)),"?")</f>
        <v>RM04</v>
      </c>
      <c r="G547" s="8" t="str">
        <f aca="false">IFERROR(INDEX(CADASTRO_PIVOS!$D$6:$D$41,MATCH($E547,CADASTRO_PIVOS!$B$6:$B$41,0)),"?")</f>
        <v>TR04</v>
      </c>
      <c r="H547" s="20" t="n">
        <f aca="false">IFERROR(INDEX(CADASTRO_PIVOS!$E$6:$E$41,MATCH($E547,CADASTRO_PIVOS!$B$6:$B$41,0)),0)</f>
        <v>100.41</v>
      </c>
      <c r="I547" s="16" t="n">
        <f aca="false">IFERROR(SUMIFS(ROTACAO_RDM!$B$6:$B$71,ROTACAO_RDM!$D$6:$D$71,$E547,ROTACAO_RDM!$I$6:$I$71,"&lt;="&amp;$C547+INT(DIAS_POR_SEMANA/2),ROTACAO_RDM!$J$6:$J$71,"&gt;="&amp;$C547+INT(DIAS_POR_SEMANA/2)),0)</f>
        <v>5</v>
      </c>
      <c r="J547" s="16" t="n">
        <f aca="false">IFERROR(MATCH($I547,ROTACAO_RDM!$B$6:$B$71,0),0)</f>
        <v>5</v>
      </c>
      <c r="K547" s="8" t="str">
        <f aca="false">IF($J547=0,"SEM CULTURA",INDEX(ROTACAO_RDM!$F$6:$F$71,$J547))</f>
        <v>SOJA</v>
      </c>
      <c r="L547" s="8" t="str">
        <f aca="false">IF($J547=0,"",INDEX(ROTACAO_RDM!$G$6:$G$71,$J547))</f>
        <v>COMBATE IPRO</v>
      </c>
      <c r="M547" s="17" t="n">
        <f aca="false">IF($J547=0,"",INDEX(ROTACAO_RDM!$I$6:$I$71,$J547))</f>
        <v>46291</v>
      </c>
      <c r="N547" s="16" t="n">
        <f aca="false">IF($J547=0,0,MAX(0,$C547+INT(DIAS_POR_SEMANA/2)-INDEX(ROTACAO_RDM!$I$6:$I$71,$J547)))</f>
        <v>68</v>
      </c>
      <c r="O547" s="19" t="n">
        <f aca="false">IF($J547=0,0,MIN(1,$N547/MAX(1,INDEX(ROTACAO_RDM!$K$6:$K$71,$J547))))</f>
        <v>0.596491228070175</v>
      </c>
      <c r="P547" s="16" t="n">
        <f aca="false">IF($J547=0,0,IFERROR(MATCH(INDEX(ROTACAO_RDM!$N$6:$N$71,$J547),PARAMETROS_CULTURAS!$B$6:$B$28,0),0))</f>
        <v>2</v>
      </c>
      <c r="Q547" s="8" t="str">
        <f aca="false">IF($P547=0,"-",IF($O547&lt;=INDEX(PARAMETROS_CULTURAS!$F$6:$F$28,$P547),"INICIAL",IF($O547&lt;=INDEX(PARAMETROS_CULTURAS!$F$6:$F$28,$P547)+INDEX(PARAMETROS_CULTURAS!$G$6:$G$28,$P547),"DESENVOLVIMENTO",IF($O547&lt;=INDEX(PARAMETROS_CULTURAS!$F$6:$F$28,$P547)+INDEX(PARAMETROS_CULTURAS!$G$6:$G$28,$P547)+INDEX(PARAMETROS_CULTURAS!$H$6:$H$28,$P547),"MEDIA","FINAL"))))</f>
        <v>MEDIA</v>
      </c>
      <c r="R547" s="24" t="n">
        <f aca="false">IF($P547=0,0,IF($O547&lt;=INDEX(PARAMETROS_CULTURAS!$F$6:$F$28,$P547),INDEX(PARAMETROS_CULTURAS!$K$6:$K$28,$P547),IF($O547&lt;=INDEX(PARAMETROS_CULTURAS!$F$6:$F$28,$P547)+INDEX(PARAMETROS_CULTURAS!$G$6:$G$28,$P547),INDEX(PARAMETROS_CULTURAS!$K$6:$K$28,$P547)+(INDEX(PARAMETROS_CULTURAS!$L$6:$L$28,$P547)-INDEX(PARAMETROS_CULTURAS!$K$6:$K$28,$P547))*($O547-INDEX(PARAMETROS_CULTURAS!$F$6:$F$28,$P547))/MAX(INDEX(PARAMETROS_CULTURAS!$G$6:$G$28,$P547),0.0001),IF($O547&lt;=INDEX(PARAMETROS_CULTURAS!$F$6:$F$28,$P547)+INDEX(PARAMETROS_CULTURAS!$G$6:$G$28,$P547)+INDEX(PARAMETROS_CULTURAS!$H$6:$H$28,$P547),INDEX(PARAMETROS_CULTURAS!$L$6:$L$28,$P547),INDEX(PARAMETROS_CULTURAS!$L$6:$L$28,$P547)+(INDEX(PARAMETROS_CULTURAS!$M$6:$M$28,$P547)-INDEX(PARAMETROS_CULTURAS!$L$6:$L$28,$P547))*($O547-INDEX(PARAMETROS_CULTURAS!$F$6:$F$28,$P547)-INDEX(PARAMETROS_CULTURAS!$G$6:$G$28,$P547)-INDEX(PARAMETROS_CULTURAS!$H$6:$H$28,$P547))/MAX(INDEX(PARAMETROS_CULTURAS!$I$6:$I$28,$P547),0.0001)))))</f>
        <v>1.15</v>
      </c>
      <c r="S547" s="18" t="n">
        <f aca="false">IFERROR(INDEX(SEMANAS!$H$6:$H$71,MATCH($B547,SEMANAS!$B$6:$B$71,0)),0)</f>
        <v>33.1</v>
      </c>
      <c r="T547" s="18" t="n">
        <f aca="false">$R547*$S547</f>
        <v>38.065</v>
      </c>
      <c r="U547" s="18" t="n">
        <f aca="false">IFERROR(INDEX(SEMANAS!$I$6:$I$71,MATCH($B547,SEMANAS!$B$6:$B$71,0)),0)</f>
        <v>48.31</v>
      </c>
      <c r="V547" s="18" t="n">
        <f aca="false">IFERROR(INDEX(SEMANAS!$J$6:$J$71,MATCH($B547,SEMANAS!$B$6:$B$71,0)),0)</f>
        <v>38.648</v>
      </c>
      <c r="W547" s="18" t="n">
        <f aca="false">MAX(0,$T547-$V547)</f>
        <v>0</v>
      </c>
      <c r="X547" s="19" t="n">
        <f aca="false">IFERROR(INDEX(CADASTRO_PIVOS!$K$6:$K$41,MATCH($E547,CADASTRO_PIVOS!$B$6:$B$41,0)),EFICIENCIA_PADRAO)</f>
        <v>0.85</v>
      </c>
      <c r="Y547" s="18" t="n">
        <f aca="false">IF($X547&lt;=0,0,$W547/$X547)</f>
        <v>0</v>
      </c>
      <c r="Z547" s="16" t="n">
        <f aca="false">$Y547*$H547*MM_PARA_M3_HA</f>
        <v>0</v>
      </c>
      <c r="AA547" s="18" t="n">
        <f aca="false">IFERROR(INDEX(CADASTRO_PIVOS!$I$6:$I$41,MATCH($E547,CADASTRO_PIVOS!$B$6:$B$41,0)),0)</f>
        <v>717.214285714286</v>
      </c>
      <c r="AB547" s="18" t="n">
        <f aca="false">IF($Z547&lt;=0,0,$Z547/$AA547)</f>
        <v>0</v>
      </c>
      <c r="AC547" s="16" t="n">
        <f aca="false">IFERROR(INDEX(SEMANAS!$K$6:$K$71,MATCH($B547,SEMANAS!$B$6:$B$71,0)),0)</f>
        <v>147</v>
      </c>
      <c r="AD547" s="19" t="n">
        <f aca="false">IF($AC547&lt;=0,0,$AB547/$AC547)</f>
        <v>0</v>
      </c>
      <c r="AE547" s="8" t="str">
        <f aca="false">IF($K547="SEM CULTURA","SEM CULTURA",IF($AA547&lt;=0,"DADO PENDENTE",IF($AD547&gt;LIMITE_CRITICO,"INVIAVEL",IF($AD547&gt;LIMITE_ATENCAO,"CRITICO",IF($AD547&gt;LIMITE_CONFORTAVEL,"ATENCAO","OK")))))</f>
        <v>OK</v>
      </c>
      <c r="AF547" s="8" t="str">
        <f aca="false">$B547&amp;"|"&amp;TEXT($AD547,"0.000000")</f>
        <v>14|0.000000</v>
      </c>
      <c r="AG547" s="18" t="n">
        <f aca="false">IF($K547="SEM CULTURA",0,$T547*$H547)</f>
        <v>3822.10665</v>
      </c>
      <c r="AH547" s="18" t="n">
        <f aca="false">IF($K547="SEM CULTURA",0,$V547*$H547)</f>
        <v>3880.64568</v>
      </c>
      <c r="AI547" s="18" t="n">
        <f aca="false">IF($K547="SEM CULTURA",0,$W547*$H547)</f>
        <v>0</v>
      </c>
      <c r="AJ547" s="18" t="n">
        <f aca="false">IF($K547="SEM CULTURA",0,$S547*$H547)</f>
        <v>3323.571</v>
      </c>
      <c r="AK547" s="8" t="str">
        <f aca="false">$E547&amp;"|"&amp;TEXT($AD547,"0.000000")</f>
        <v>PV 104|0.000000</v>
      </c>
    </row>
    <row r="548" customFormat="false" ht="15" hidden="false" customHeight="false" outlineLevel="0" collapsed="false">
      <c r="B548" s="16" t="n">
        <v>15</v>
      </c>
      <c r="C548" s="17" t="n">
        <f aca="false">DATA_INICIO_SAFRA+($B548-1)*DIAS_POR_SEMANA</f>
        <v>46363</v>
      </c>
      <c r="D548" s="17" t="n">
        <f aca="false">$C548+DIAS_POR_SEMANA-1</f>
        <v>46369</v>
      </c>
      <c r="E548" s="15" t="s">
        <v>267</v>
      </c>
      <c r="F548" s="8" t="str">
        <f aca="false">IFERROR(INDEX(CADASTRO_PIVOS!$C$6:$C$41,MATCH($E548,CADASTRO_PIVOS!$B$6:$B$41,0)),"?")</f>
        <v>RM04</v>
      </c>
      <c r="G548" s="8" t="str">
        <f aca="false">IFERROR(INDEX(CADASTRO_PIVOS!$D$6:$D$41,MATCH($E548,CADASTRO_PIVOS!$B$6:$B$41,0)),"?")</f>
        <v>TR04</v>
      </c>
      <c r="H548" s="20" t="n">
        <f aca="false">IFERROR(INDEX(CADASTRO_PIVOS!$E$6:$E$41,MATCH($E548,CADASTRO_PIVOS!$B$6:$B$41,0)),0)</f>
        <v>100.41</v>
      </c>
      <c r="I548" s="16" t="n">
        <f aca="false">IFERROR(SUMIFS(ROTACAO_RDM!$B$6:$B$71,ROTACAO_RDM!$D$6:$D$71,$E548,ROTACAO_RDM!$I$6:$I$71,"&lt;="&amp;$C548+INT(DIAS_POR_SEMANA/2),ROTACAO_RDM!$J$6:$J$71,"&gt;="&amp;$C548+INT(DIAS_POR_SEMANA/2)),0)</f>
        <v>5</v>
      </c>
      <c r="J548" s="16" t="n">
        <f aca="false">IFERROR(MATCH($I548,ROTACAO_RDM!$B$6:$B$71,0),0)</f>
        <v>5</v>
      </c>
      <c r="K548" s="8" t="str">
        <f aca="false">IF($J548=0,"SEM CULTURA",INDEX(ROTACAO_RDM!$F$6:$F$71,$J548))</f>
        <v>SOJA</v>
      </c>
      <c r="L548" s="8" t="str">
        <f aca="false">IF($J548=0,"",INDEX(ROTACAO_RDM!$G$6:$G$71,$J548))</f>
        <v>COMBATE IPRO</v>
      </c>
      <c r="M548" s="17" t="n">
        <f aca="false">IF($J548=0,"",INDEX(ROTACAO_RDM!$I$6:$I$71,$J548))</f>
        <v>46291</v>
      </c>
      <c r="N548" s="16" t="n">
        <f aca="false">IF($J548=0,0,MAX(0,$C548+INT(DIAS_POR_SEMANA/2)-INDEX(ROTACAO_RDM!$I$6:$I$71,$J548)))</f>
        <v>75</v>
      </c>
      <c r="O548" s="19" t="n">
        <f aca="false">IF($J548=0,0,MIN(1,$N548/MAX(1,INDEX(ROTACAO_RDM!$K$6:$K$71,$J548))))</f>
        <v>0.657894736842105</v>
      </c>
      <c r="P548" s="16" t="n">
        <f aca="false">IF($J548=0,0,IFERROR(MATCH(INDEX(ROTACAO_RDM!$N$6:$N$71,$J548),PARAMETROS_CULTURAS!$B$6:$B$28,0),0))</f>
        <v>2</v>
      </c>
      <c r="Q548" s="8" t="str">
        <f aca="false">IF($P548=0,"-",IF($O548&lt;=INDEX(PARAMETROS_CULTURAS!$F$6:$F$28,$P548),"INICIAL",IF($O548&lt;=INDEX(PARAMETROS_CULTURAS!$F$6:$F$28,$P548)+INDEX(PARAMETROS_CULTURAS!$G$6:$G$28,$P548),"DESENVOLVIMENTO",IF($O548&lt;=INDEX(PARAMETROS_CULTURAS!$F$6:$F$28,$P548)+INDEX(PARAMETROS_CULTURAS!$G$6:$G$28,$P548)+INDEX(PARAMETROS_CULTURAS!$H$6:$H$28,$P548),"MEDIA","FINAL"))))</f>
        <v>MEDIA</v>
      </c>
      <c r="R548" s="24" t="n">
        <f aca="false">IF($P548=0,0,IF($O548&lt;=INDEX(PARAMETROS_CULTURAS!$F$6:$F$28,$P548),INDEX(PARAMETROS_CULTURAS!$K$6:$K$28,$P548),IF($O548&lt;=INDEX(PARAMETROS_CULTURAS!$F$6:$F$28,$P548)+INDEX(PARAMETROS_CULTURAS!$G$6:$G$28,$P548),INDEX(PARAMETROS_CULTURAS!$K$6:$K$28,$P548)+(INDEX(PARAMETROS_CULTURAS!$L$6:$L$28,$P548)-INDEX(PARAMETROS_CULTURAS!$K$6:$K$28,$P548))*($O548-INDEX(PARAMETROS_CULTURAS!$F$6:$F$28,$P548))/MAX(INDEX(PARAMETROS_CULTURAS!$G$6:$G$28,$P548),0.0001),IF($O548&lt;=INDEX(PARAMETROS_CULTURAS!$F$6:$F$28,$P548)+INDEX(PARAMETROS_CULTURAS!$G$6:$G$28,$P548)+INDEX(PARAMETROS_CULTURAS!$H$6:$H$28,$P548),INDEX(PARAMETROS_CULTURAS!$L$6:$L$28,$P548),INDEX(PARAMETROS_CULTURAS!$L$6:$L$28,$P548)+(INDEX(PARAMETROS_CULTURAS!$M$6:$M$28,$P548)-INDEX(PARAMETROS_CULTURAS!$L$6:$L$28,$P548))*($O548-INDEX(PARAMETROS_CULTURAS!$F$6:$F$28,$P548)-INDEX(PARAMETROS_CULTURAS!$G$6:$G$28,$P548)-INDEX(PARAMETROS_CULTURAS!$H$6:$H$28,$P548))/MAX(INDEX(PARAMETROS_CULTURAS!$I$6:$I$28,$P548),0.0001)))))</f>
        <v>1.15</v>
      </c>
      <c r="S548" s="18" t="n">
        <f aca="false">IFERROR(INDEX(SEMANAS!$H$6:$H$71,MATCH($B548,SEMANAS!$B$6:$B$71,0)),0)</f>
        <v>32.9</v>
      </c>
      <c r="T548" s="18" t="n">
        <f aca="false">$R548*$S548</f>
        <v>37.835</v>
      </c>
      <c r="U548" s="18" t="n">
        <f aca="false">IFERROR(INDEX(SEMANAS!$I$6:$I$71,MATCH($B548,SEMANAS!$B$6:$B$71,0)),0)</f>
        <v>48.58</v>
      </c>
      <c r="V548" s="18" t="n">
        <f aca="false">IFERROR(INDEX(SEMANAS!$J$6:$J$71,MATCH($B548,SEMANAS!$B$6:$B$71,0)),0)</f>
        <v>38.864</v>
      </c>
      <c r="W548" s="18" t="n">
        <f aca="false">MAX(0,$T548-$V548)</f>
        <v>0</v>
      </c>
      <c r="X548" s="19" t="n">
        <f aca="false">IFERROR(INDEX(CADASTRO_PIVOS!$K$6:$K$41,MATCH($E548,CADASTRO_PIVOS!$B$6:$B$41,0)),EFICIENCIA_PADRAO)</f>
        <v>0.85</v>
      </c>
      <c r="Y548" s="18" t="n">
        <f aca="false">IF($X548&lt;=0,0,$W548/$X548)</f>
        <v>0</v>
      </c>
      <c r="Z548" s="16" t="n">
        <f aca="false">$Y548*$H548*MM_PARA_M3_HA</f>
        <v>0</v>
      </c>
      <c r="AA548" s="18" t="n">
        <f aca="false">IFERROR(INDEX(CADASTRO_PIVOS!$I$6:$I$41,MATCH($E548,CADASTRO_PIVOS!$B$6:$B$41,0)),0)</f>
        <v>717.214285714286</v>
      </c>
      <c r="AB548" s="18" t="n">
        <f aca="false">IF($Z548&lt;=0,0,$Z548/$AA548)</f>
        <v>0</v>
      </c>
      <c r="AC548" s="16" t="n">
        <f aca="false">IFERROR(INDEX(SEMANAS!$K$6:$K$71,MATCH($B548,SEMANAS!$B$6:$B$71,0)),0)</f>
        <v>147</v>
      </c>
      <c r="AD548" s="19" t="n">
        <f aca="false">IF($AC548&lt;=0,0,$AB548/$AC548)</f>
        <v>0</v>
      </c>
      <c r="AE548" s="8" t="str">
        <f aca="false">IF($K548="SEM CULTURA","SEM CULTURA",IF($AA548&lt;=0,"DADO PENDENTE",IF($AD548&gt;LIMITE_CRITICO,"INVIAVEL",IF($AD548&gt;LIMITE_ATENCAO,"CRITICO",IF($AD548&gt;LIMITE_CONFORTAVEL,"ATENCAO","OK")))))</f>
        <v>OK</v>
      </c>
      <c r="AF548" s="8" t="str">
        <f aca="false">$B548&amp;"|"&amp;TEXT($AD548,"0.000000")</f>
        <v>15|0.000000</v>
      </c>
      <c r="AG548" s="18" t="n">
        <f aca="false">IF($K548="SEM CULTURA",0,$T548*$H548)</f>
        <v>3799.01235</v>
      </c>
      <c r="AH548" s="18" t="n">
        <f aca="false">IF($K548="SEM CULTURA",0,$V548*$H548)</f>
        <v>3902.33424</v>
      </c>
      <c r="AI548" s="18" t="n">
        <f aca="false">IF($K548="SEM CULTURA",0,$W548*$H548)</f>
        <v>0</v>
      </c>
      <c r="AJ548" s="18" t="n">
        <f aca="false">IF($K548="SEM CULTURA",0,$S548*$H548)</f>
        <v>3303.489</v>
      </c>
      <c r="AK548" s="8" t="str">
        <f aca="false">$E548&amp;"|"&amp;TEXT($AD548,"0.000000")</f>
        <v>PV 104|0.000000</v>
      </c>
    </row>
    <row r="549" customFormat="false" ht="15" hidden="false" customHeight="false" outlineLevel="0" collapsed="false">
      <c r="B549" s="16" t="n">
        <v>16</v>
      </c>
      <c r="C549" s="17" t="n">
        <f aca="false">DATA_INICIO_SAFRA+($B549-1)*DIAS_POR_SEMANA</f>
        <v>46370</v>
      </c>
      <c r="D549" s="17" t="n">
        <f aca="false">$C549+DIAS_POR_SEMANA-1</f>
        <v>46376</v>
      </c>
      <c r="E549" s="15" t="s">
        <v>267</v>
      </c>
      <c r="F549" s="8" t="str">
        <f aca="false">IFERROR(INDEX(CADASTRO_PIVOS!$C$6:$C$41,MATCH($E549,CADASTRO_PIVOS!$B$6:$B$41,0)),"?")</f>
        <v>RM04</v>
      </c>
      <c r="G549" s="8" t="str">
        <f aca="false">IFERROR(INDEX(CADASTRO_PIVOS!$D$6:$D$41,MATCH($E549,CADASTRO_PIVOS!$B$6:$B$41,0)),"?")</f>
        <v>TR04</v>
      </c>
      <c r="H549" s="20" t="n">
        <f aca="false">IFERROR(INDEX(CADASTRO_PIVOS!$E$6:$E$41,MATCH($E549,CADASTRO_PIVOS!$B$6:$B$41,0)),0)</f>
        <v>100.41</v>
      </c>
      <c r="I549" s="16" t="n">
        <f aca="false">IFERROR(SUMIFS(ROTACAO_RDM!$B$6:$B$71,ROTACAO_RDM!$D$6:$D$71,$E549,ROTACAO_RDM!$I$6:$I$71,"&lt;="&amp;$C549+INT(DIAS_POR_SEMANA/2),ROTACAO_RDM!$J$6:$J$71,"&gt;="&amp;$C549+INT(DIAS_POR_SEMANA/2)),0)</f>
        <v>5</v>
      </c>
      <c r="J549" s="16" t="n">
        <f aca="false">IFERROR(MATCH($I549,ROTACAO_RDM!$B$6:$B$71,0),0)</f>
        <v>5</v>
      </c>
      <c r="K549" s="8" t="str">
        <f aca="false">IF($J549=0,"SEM CULTURA",INDEX(ROTACAO_RDM!$F$6:$F$71,$J549))</f>
        <v>SOJA</v>
      </c>
      <c r="L549" s="8" t="str">
        <f aca="false">IF($J549=0,"",INDEX(ROTACAO_RDM!$G$6:$G$71,$J549))</f>
        <v>COMBATE IPRO</v>
      </c>
      <c r="M549" s="17" t="n">
        <f aca="false">IF($J549=0,"",INDEX(ROTACAO_RDM!$I$6:$I$71,$J549))</f>
        <v>46291</v>
      </c>
      <c r="N549" s="16" t="n">
        <f aca="false">IF($J549=0,0,MAX(0,$C549+INT(DIAS_POR_SEMANA/2)-INDEX(ROTACAO_RDM!$I$6:$I$71,$J549)))</f>
        <v>82</v>
      </c>
      <c r="O549" s="19" t="n">
        <f aca="false">IF($J549=0,0,MIN(1,$N549/MAX(1,INDEX(ROTACAO_RDM!$K$6:$K$71,$J549))))</f>
        <v>0.719298245614035</v>
      </c>
      <c r="P549" s="16" t="n">
        <f aca="false">IF($J549=0,0,IFERROR(MATCH(INDEX(ROTACAO_RDM!$N$6:$N$71,$J549),PARAMETROS_CULTURAS!$B$6:$B$28,0),0))</f>
        <v>2</v>
      </c>
      <c r="Q549" s="8" t="str">
        <f aca="false">IF($P549=0,"-",IF($O549&lt;=INDEX(PARAMETROS_CULTURAS!$F$6:$F$28,$P549),"INICIAL",IF($O549&lt;=INDEX(PARAMETROS_CULTURAS!$F$6:$F$28,$P549)+INDEX(PARAMETROS_CULTURAS!$G$6:$G$28,$P549),"DESENVOLVIMENTO",IF($O549&lt;=INDEX(PARAMETROS_CULTURAS!$F$6:$F$28,$P549)+INDEX(PARAMETROS_CULTURAS!$G$6:$G$28,$P549)+INDEX(PARAMETROS_CULTURAS!$H$6:$H$28,$P549),"MEDIA","FINAL"))))</f>
        <v>MEDIA</v>
      </c>
      <c r="R549" s="24" t="n">
        <f aca="false">IF($P549=0,0,IF($O549&lt;=INDEX(PARAMETROS_CULTURAS!$F$6:$F$28,$P549),INDEX(PARAMETROS_CULTURAS!$K$6:$K$28,$P549),IF($O549&lt;=INDEX(PARAMETROS_CULTURAS!$F$6:$F$28,$P549)+INDEX(PARAMETROS_CULTURAS!$G$6:$G$28,$P549),INDEX(PARAMETROS_CULTURAS!$K$6:$K$28,$P549)+(INDEX(PARAMETROS_CULTURAS!$L$6:$L$28,$P549)-INDEX(PARAMETROS_CULTURAS!$K$6:$K$28,$P549))*($O549-INDEX(PARAMETROS_CULTURAS!$F$6:$F$28,$P549))/MAX(INDEX(PARAMETROS_CULTURAS!$G$6:$G$28,$P549),0.0001),IF($O549&lt;=INDEX(PARAMETROS_CULTURAS!$F$6:$F$28,$P549)+INDEX(PARAMETROS_CULTURAS!$G$6:$G$28,$P549)+INDEX(PARAMETROS_CULTURAS!$H$6:$H$28,$P549),INDEX(PARAMETROS_CULTURAS!$L$6:$L$28,$P549),INDEX(PARAMETROS_CULTURAS!$L$6:$L$28,$P549)+(INDEX(PARAMETROS_CULTURAS!$M$6:$M$28,$P549)-INDEX(PARAMETROS_CULTURAS!$L$6:$L$28,$P549))*($O549-INDEX(PARAMETROS_CULTURAS!$F$6:$F$28,$P549)-INDEX(PARAMETROS_CULTURAS!$G$6:$G$28,$P549)-INDEX(PARAMETROS_CULTURAS!$H$6:$H$28,$P549))/MAX(INDEX(PARAMETROS_CULTURAS!$I$6:$I$28,$P549),0.0001)))))</f>
        <v>1.15</v>
      </c>
      <c r="S549" s="18" t="n">
        <f aca="false">IFERROR(INDEX(SEMANAS!$H$6:$H$71,MATCH($B549,SEMANAS!$B$6:$B$71,0)),0)</f>
        <v>32.9</v>
      </c>
      <c r="T549" s="18" t="n">
        <f aca="false">$R549*$S549</f>
        <v>37.835</v>
      </c>
      <c r="U549" s="18" t="n">
        <f aca="false">IFERROR(INDEX(SEMANAS!$I$6:$I$71,MATCH($B549,SEMANAS!$B$6:$B$71,0)),0)</f>
        <v>48.58</v>
      </c>
      <c r="V549" s="18" t="n">
        <f aca="false">IFERROR(INDEX(SEMANAS!$J$6:$J$71,MATCH($B549,SEMANAS!$B$6:$B$71,0)),0)</f>
        <v>38.864</v>
      </c>
      <c r="W549" s="18" t="n">
        <f aca="false">MAX(0,$T549-$V549)</f>
        <v>0</v>
      </c>
      <c r="X549" s="19" t="n">
        <f aca="false">IFERROR(INDEX(CADASTRO_PIVOS!$K$6:$K$41,MATCH($E549,CADASTRO_PIVOS!$B$6:$B$41,0)),EFICIENCIA_PADRAO)</f>
        <v>0.85</v>
      </c>
      <c r="Y549" s="18" t="n">
        <f aca="false">IF($X549&lt;=0,0,$W549/$X549)</f>
        <v>0</v>
      </c>
      <c r="Z549" s="16" t="n">
        <f aca="false">$Y549*$H549*MM_PARA_M3_HA</f>
        <v>0</v>
      </c>
      <c r="AA549" s="18" t="n">
        <f aca="false">IFERROR(INDEX(CADASTRO_PIVOS!$I$6:$I$41,MATCH($E549,CADASTRO_PIVOS!$B$6:$B$41,0)),0)</f>
        <v>717.214285714286</v>
      </c>
      <c r="AB549" s="18" t="n">
        <f aca="false">IF($Z549&lt;=0,0,$Z549/$AA549)</f>
        <v>0</v>
      </c>
      <c r="AC549" s="16" t="n">
        <f aca="false">IFERROR(INDEX(SEMANAS!$K$6:$K$71,MATCH($B549,SEMANAS!$B$6:$B$71,0)),0)</f>
        <v>147</v>
      </c>
      <c r="AD549" s="19" t="n">
        <f aca="false">IF($AC549&lt;=0,0,$AB549/$AC549)</f>
        <v>0</v>
      </c>
      <c r="AE549" s="8" t="str">
        <f aca="false">IF($K549="SEM CULTURA","SEM CULTURA",IF($AA549&lt;=0,"DADO PENDENTE",IF($AD549&gt;LIMITE_CRITICO,"INVIAVEL",IF($AD549&gt;LIMITE_ATENCAO,"CRITICO",IF($AD549&gt;LIMITE_CONFORTAVEL,"ATENCAO","OK")))))</f>
        <v>OK</v>
      </c>
      <c r="AF549" s="8" t="str">
        <f aca="false">$B549&amp;"|"&amp;TEXT($AD549,"0.000000")</f>
        <v>16|0.000000</v>
      </c>
      <c r="AG549" s="18" t="n">
        <f aca="false">IF($K549="SEM CULTURA",0,$T549*$H549)</f>
        <v>3799.01235</v>
      </c>
      <c r="AH549" s="18" t="n">
        <f aca="false">IF($K549="SEM CULTURA",0,$V549*$H549)</f>
        <v>3902.33424</v>
      </c>
      <c r="AI549" s="18" t="n">
        <f aca="false">IF($K549="SEM CULTURA",0,$W549*$H549)</f>
        <v>0</v>
      </c>
      <c r="AJ549" s="18" t="n">
        <f aca="false">IF($K549="SEM CULTURA",0,$S549*$H549)</f>
        <v>3303.489</v>
      </c>
      <c r="AK549" s="8" t="str">
        <f aca="false">$E549&amp;"|"&amp;TEXT($AD549,"0.000000")</f>
        <v>PV 104|0.000000</v>
      </c>
    </row>
    <row r="550" customFormat="false" ht="15" hidden="false" customHeight="false" outlineLevel="0" collapsed="false">
      <c r="B550" s="16" t="n">
        <v>17</v>
      </c>
      <c r="C550" s="17" t="n">
        <f aca="false">DATA_INICIO_SAFRA+($B550-1)*DIAS_POR_SEMANA</f>
        <v>46377</v>
      </c>
      <c r="D550" s="17" t="n">
        <f aca="false">$C550+DIAS_POR_SEMANA-1</f>
        <v>46383</v>
      </c>
      <c r="E550" s="15" t="s">
        <v>267</v>
      </c>
      <c r="F550" s="8" t="str">
        <f aca="false">IFERROR(INDEX(CADASTRO_PIVOS!$C$6:$C$41,MATCH($E550,CADASTRO_PIVOS!$B$6:$B$41,0)),"?")</f>
        <v>RM04</v>
      </c>
      <c r="G550" s="8" t="str">
        <f aca="false">IFERROR(INDEX(CADASTRO_PIVOS!$D$6:$D$41,MATCH($E550,CADASTRO_PIVOS!$B$6:$B$41,0)),"?")</f>
        <v>TR04</v>
      </c>
      <c r="H550" s="20" t="n">
        <f aca="false">IFERROR(INDEX(CADASTRO_PIVOS!$E$6:$E$41,MATCH($E550,CADASTRO_PIVOS!$B$6:$B$41,0)),0)</f>
        <v>100.41</v>
      </c>
      <c r="I550" s="16" t="n">
        <f aca="false">IFERROR(SUMIFS(ROTACAO_RDM!$B$6:$B$71,ROTACAO_RDM!$D$6:$D$71,$E550,ROTACAO_RDM!$I$6:$I$71,"&lt;="&amp;$C550+INT(DIAS_POR_SEMANA/2),ROTACAO_RDM!$J$6:$J$71,"&gt;="&amp;$C550+INT(DIAS_POR_SEMANA/2)),0)</f>
        <v>5</v>
      </c>
      <c r="J550" s="16" t="n">
        <f aca="false">IFERROR(MATCH($I550,ROTACAO_RDM!$B$6:$B$71,0),0)</f>
        <v>5</v>
      </c>
      <c r="K550" s="8" t="str">
        <f aca="false">IF($J550=0,"SEM CULTURA",INDEX(ROTACAO_RDM!$F$6:$F$71,$J550))</f>
        <v>SOJA</v>
      </c>
      <c r="L550" s="8" t="str">
        <f aca="false">IF($J550=0,"",INDEX(ROTACAO_RDM!$G$6:$G$71,$J550))</f>
        <v>COMBATE IPRO</v>
      </c>
      <c r="M550" s="17" t="n">
        <f aca="false">IF($J550=0,"",INDEX(ROTACAO_RDM!$I$6:$I$71,$J550))</f>
        <v>46291</v>
      </c>
      <c r="N550" s="16" t="n">
        <f aca="false">IF($J550=0,0,MAX(0,$C550+INT(DIAS_POR_SEMANA/2)-INDEX(ROTACAO_RDM!$I$6:$I$71,$J550)))</f>
        <v>89</v>
      </c>
      <c r="O550" s="19" t="n">
        <f aca="false">IF($J550=0,0,MIN(1,$N550/MAX(1,INDEX(ROTACAO_RDM!$K$6:$K$71,$J550))))</f>
        <v>0.780701754385965</v>
      </c>
      <c r="P550" s="16" t="n">
        <f aca="false">IF($J550=0,0,IFERROR(MATCH(INDEX(ROTACAO_RDM!$N$6:$N$71,$J550),PARAMETROS_CULTURAS!$B$6:$B$28,0),0))</f>
        <v>2</v>
      </c>
      <c r="Q550" s="8" t="str">
        <f aca="false">IF($P550=0,"-",IF($O550&lt;=INDEX(PARAMETROS_CULTURAS!$F$6:$F$28,$P550),"INICIAL",IF($O550&lt;=INDEX(PARAMETROS_CULTURAS!$F$6:$F$28,$P550)+INDEX(PARAMETROS_CULTURAS!$G$6:$G$28,$P550),"DESENVOLVIMENTO",IF($O550&lt;=INDEX(PARAMETROS_CULTURAS!$F$6:$F$28,$P550)+INDEX(PARAMETROS_CULTURAS!$G$6:$G$28,$P550)+INDEX(PARAMETROS_CULTURAS!$H$6:$H$28,$P550),"MEDIA","FINAL"))))</f>
        <v>MEDIA</v>
      </c>
      <c r="R550" s="24" t="n">
        <f aca="false">IF($P550=0,0,IF($O550&lt;=INDEX(PARAMETROS_CULTURAS!$F$6:$F$28,$P550),INDEX(PARAMETROS_CULTURAS!$K$6:$K$28,$P550),IF($O550&lt;=INDEX(PARAMETROS_CULTURAS!$F$6:$F$28,$P550)+INDEX(PARAMETROS_CULTURAS!$G$6:$G$28,$P550),INDEX(PARAMETROS_CULTURAS!$K$6:$K$28,$P550)+(INDEX(PARAMETROS_CULTURAS!$L$6:$L$28,$P550)-INDEX(PARAMETROS_CULTURAS!$K$6:$K$28,$P550))*($O550-INDEX(PARAMETROS_CULTURAS!$F$6:$F$28,$P550))/MAX(INDEX(PARAMETROS_CULTURAS!$G$6:$G$28,$P550),0.0001),IF($O550&lt;=INDEX(PARAMETROS_CULTURAS!$F$6:$F$28,$P550)+INDEX(PARAMETROS_CULTURAS!$G$6:$G$28,$P550)+INDEX(PARAMETROS_CULTURAS!$H$6:$H$28,$P550),INDEX(PARAMETROS_CULTURAS!$L$6:$L$28,$P550),INDEX(PARAMETROS_CULTURAS!$L$6:$L$28,$P550)+(INDEX(PARAMETROS_CULTURAS!$M$6:$M$28,$P550)-INDEX(PARAMETROS_CULTURAS!$L$6:$L$28,$P550))*($O550-INDEX(PARAMETROS_CULTURAS!$F$6:$F$28,$P550)-INDEX(PARAMETROS_CULTURAS!$G$6:$G$28,$P550)-INDEX(PARAMETROS_CULTURAS!$H$6:$H$28,$P550))/MAX(INDEX(PARAMETROS_CULTURAS!$I$6:$I$28,$P550),0.0001)))))</f>
        <v>1.15</v>
      </c>
      <c r="S550" s="18" t="n">
        <f aca="false">IFERROR(INDEX(SEMANAS!$H$6:$H$71,MATCH($B550,SEMANAS!$B$6:$B$71,0)),0)</f>
        <v>32.9</v>
      </c>
      <c r="T550" s="18" t="n">
        <f aca="false">$R550*$S550</f>
        <v>37.835</v>
      </c>
      <c r="U550" s="18" t="n">
        <f aca="false">IFERROR(INDEX(SEMANAS!$I$6:$I$71,MATCH($B550,SEMANAS!$B$6:$B$71,0)),0)</f>
        <v>48.58</v>
      </c>
      <c r="V550" s="18" t="n">
        <f aca="false">IFERROR(INDEX(SEMANAS!$J$6:$J$71,MATCH($B550,SEMANAS!$B$6:$B$71,0)),0)</f>
        <v>38.864</v>
      </c>
      <c r="W550" s="18" t="n">
        <f aca="false">MAX(0,$T550-$V550)</f>
        <v>0</v>
      </c>
      <c r="X550" s="19" t="n">
        <f aca="false">IFERROR(INDEX(CADASTRO_PIVOS!$K$6:$K$41,MATCH($E550,CADASTRO_PIVOS!$B$6:$B$41,0)),EFICIENCIA_PADRAO)</f>
        <v>0.85</v>
      </c>
      <c r="Y550" s="18" t="n">
        <f aca="false">IF($X550&lt;=0,0,$W550/$X550)</f>
        <v>0</v>
      </c>
      <c r="Z550" s="16" t="n">
        <f aca="false">$Y550*$H550*MM_PARA_M3_HA</f>
        <v>0</v>
      </c>
      <c r="AA550" s="18" t="n">
        <f aca="false">IFERROR(INDEX(CADASTRO_PIVOS!$I$6:$I$41,MATCH($E550,CADASTRO_PIVOS!$B$6:$B$41,0)),0)</f>
        <v>717.214285714286</v>
      </c>
      <c r="AB550" s="18" t="n">
        <f aca="false">IF($Z550&lt;=0,0,$Z550/$AA550)</f>
        <v>0</v>
      </c>
      <c r="AC550" s="16" t="n">
        <f aca="false">IFERROR(INDEX(SEMANAS!$K$6:$K$71,MATCH($B550,SEMANAS!$B$6:$B$71,0)),0)</f>
        <v>147</v>
      </c>
      <c r="AD550" s="19" t="n">
        <f aca="false">IF($AC550&lt;=0,0,$AB550/$AC550)</f>
        <v>0</v>
      </c>
      <c r="AE550" s="8" t="str">
        <f aca="false">IF($K550="SEM CULTURA","SEM CULTURA",IF($AA550&lt;=0,"DADO PENDENTE",IF($AD550&gt;LIMITE_CRITICO,"INVIAVEL",IF($AD550&gt;LIMITE_ATENCAO,"CRITICO",IF($AD550&gt;LIMITE_CONFORTAVEL,"ATENCAO","OK")))))</f>
        <v>OK</v>
      </c>
      <c r="AF550" s="8" t="str">
        <f aca="false">$B550&amp;"|"&amp;TEXT($AD550,"0.000000")</f>
        <v>17|0.000000</v>
      </c>
      <c r="AG550" s="18" t="n">
        <f aca="false">IF($K550="SEM CULTURA",0,$T550*$H550)</f>
        <v>3799.01235</v>
      </c>
      <c r="AH550" s="18" t="n">
        <f aca="false">IF($K550="SEM CULTURA",0,$V550*$H550)</f>
        <v>3902.33424</v>
      </c>
      <c r="AI550" s="18" t="n">
        <f aca="false">IF($K550="SEM CULTURA",0,$W550*$H550)</f>
        <v>0</v>
      </c>
      <c r="AJ550" s="18" t="n">
        <f aca="false">IF($K550="SEM CULTURA",0,$S550*$H550)</f>
        <v>3303.489</v>
      </c>
      <c r="AK550" s="8" t="str">
        <f aca="false">$E550&amp;"|"&amp;TEXT($AD550,"0.000000")</f>
        <v>PV 104|0.000000</v>
      </c>
    </row>
    <row r="551" customFormat="false" ht="15" hidden="false" customHeight="false" outlineLevel="0" collapsed="false">
      <c r="B551" s="16" t="n">
        <v>18</v>
      </c>
      <c r="C551" s="17" t="n">
        <f aca="false">DATA_INICIO_SAFRA+($B551-1)*DIAS_POR_SEMANA</f>
        <v>46384</v>
      </c>
      <c r="D551" s="17" t="n">
        <f aca="false">$C551+DIAS_POR_SEMANA-1</f>
        <v>46390</v>
      </c>
      <c r="E551" s="15" t="s">
        <v>267</v>
      </c>
      <c r="F551" s="8" t="str">
        <f aca="false">IFERROR(INDEX(CADASTRO_PIVOS!$C$6:$C$41,MATCH($E551,CADASTRO_PIVOS!$B$6:$B$41,0)),"?")</f>
        <v>RM04</v>
      </c>
      <c r="G551" s="8" t="str">
        <f aca="false">IFERROR(INDEX(CADASTRO_PIVOS!$D$6:$D$41,MATCH($E551,CADASTRO_PIVOS!$B$6:$B$41,0)),"?")</f>
        <v>TR04</v>
      </c>
      <c r="H551" s="20" t="n">
        <f aca="false">IFERROR(INDEX(CADASTRO_PIVOS!$E$6:$E$41,MATCH($E551,CADASTRO_PIVOS!$B$6:$B$41,0)),0)</f>
        <v>100.41</v>
      </c>
      <c r="I551" s="16" t="n">
        <f aca="false">IFERROR(SUMIFS(ROTACAO_RDM!$B$6:$B$71,ROTACAO_RDM!$D$6:$D$71,$E551,ROTACAO_RDM!$I$6:$I$71,"&lt;="&amp;$C551+INT(DIAS_POR_SEMANA/2),ROTACAO_RDM!$J$6:$J$71,"&gt;="&amp;$C551+INT(DIAS_POR_SEMANA/2)),0)</f>
        <v>5</v>
      </c>
      <c r="J551" s="16" t="n">
        <f aca="false">IFERROR(MATCH($I551,ROTACAO_RDM!$B$6:$B$71,0),0)</f>
        <v>5</v>
      </c>
      <c r="K551" s="8" t="str">
        <f aca="false">IF($J551=0,"SEM CULTURA",INDEX(ROTACAO_RDM!$F$6:$F$71,$J551))</f>
        <v>SOJA</v>
      </c>
      <c r="L551" s="8" t="str">
        <f aca="false">IF($J551=0,"",INDEX(ROTACAO_RDM!$G$6:$G$71,$J551))</f>
        <v>COMBATE IPRO</v>
      </c>
      <c r="M551" s="17" t="n">
        <f aca="false">IF($J551=0,"",INDEX(ROTACAO_RDM!$I$6:$I$71,$J551))</f>
        <v>46291</v>
      </c>
      <c r="N551" s="16" t="n">
        <f aca="false">IF($J551=0,0,MAX(0,$C551+INT(DIAS_POR_SEMANA/2)-INDEX(ROTACAO_RDM!$I$6:$I$71,$J551)))</f>
        <v>96</v>
      </c>
      <c r="O551" s="19" t="n">
        <f aca="false">IF($J551=0,0,MIN(1,$N551/MAX(1,INDEX(ROTACAO_RDM!$K$6:$K$71,$J551))))</f>
        <v>0.842105263157895</v>
      </c>
      <c r="P551" s="16" t="n">
        <f aca="false">IF($J551=0,0,IFERROR(MATCH(INDEX(ROTACAO_RDM!$N$6:$N$71,$J551),PARAMETROS_CULTURAS!$B$6:$B$28,0),0))</f>
        <v>2</v>
      </c>
      <c r="Q551" s="8" t="str">
        <f aca="false">IF($P551=0,"-",IF($O551&lt;=INDEX(PARAMETROS_CULTURAS!$F$6:$F$28,$P551),"INICIAL",IF($O551&lt;=INDEX(PARAMETROS_CULTURAS!$F$6:$F$28,$P551)+INDEX(PARAMETROS_CULTURAS!$G$6:$G$28,$P551),"DESENVOLVIMENTO",IF($O551&lt;=INDEX(PARAMETROS_CULTURAS!$F$6:$F$28,$P551)+INDEX(PARAMETROS_CULTURAS!$G$6:$G$28,$P551)+INDEX(PARAMETROS_CULTURAS!$H$6:$H$28,$P551),"MEDIA","FINAL"))))</f>
        <v>FINAL</v>
      </c>
      <c r="R551" s="24" t="n">
        <f aca="false">IF($P551=0,0,IF($O551&lt;=INDEX(PARAMETROS_CULTURAS!$F$6:$F$28,$P551),INDEX(PARAMETROS_CULTURAS!$K$6:$K$28,$P551),IF($O551&lt;=INDEX(PARAMETROS_CULTURAS!$F$6:$F$28,$P551)+INDEX(PARAMETROS_CULTURAS!$G$6:$G$28,$P551),INDEX(PARAMETROS_CULTURAS!$K$6:$K$28,$P551)+(INDEX(PARAMETROS_CULTURAS!$L$6:$L$28,$P551)-INDEX(PARAMETROS_CULTURAS!$K$6:$K$28,$P551))*($O551-INDEX(PARAMETROS_CULTURAS!$F$6:$F$28,$P551))/MAX(INDEX(PARAMETROS_CULTURAS!$G$6:$G$28,$P551),0.0001),IF($O551&lt;=INDEX(PARAMETROS_CULTURAS!$F$6:$F$28,$P551)+INDEX(PARAMETROS_CULTURAS!$G$6:$G$28,$P551)+INDEX(PARAMETROS_CULTURAS!$H$6:$H$28,$P551),INDEX(PARAMETROS_CULTURAS!$L$6:$L$28,$P551),INDEX(PARAMETROS_CULTURAS!$L$6:$L$28,$P551)+(INDEX(PARAMETROS_CULTURAS!$M$6:$M$28,$P551)-INDEX(PARAMETROS_CULTURAS!$L$6:$L$28,$P551))*($O551-INDEX(PARAMETROS_CULTURAS!$F$6:$F$28,$P551)-INDEX(PARAMETROS_CULTURAS!$G$6:$G$28,$P551)-INDEX(PARAMETROS_CULTURAS!$H$6:$H$28,$P551))/MAX(INDEX(PARAMETROS_CULTURAS!$I$6:$I$28,$P551),0.0001)))))</f>
        <v>1.04016620498615</v>
      </c>
      <c r="S551" s="18" t="n">
        <f aca="false">IFERROR(INDEX(SEMANAS!$H$6:$H$71,MATCH($B551,SEMANAS!$B$6:$B$71,0)),0)</f>
        <v>33.2</v>
      </c>
      <c r="T551" s="18" t="n">
        <f aca="false">$R551*$S551</f>
        <v>34.5335180055402</v>
      </c>
      <c r="U551" s="18" t="n">
        <f aca="false">IFERROR(INDEX(SEMANAS!$I$6:$I$71,MATCH($B551,SEMANAS!$B$6:$B$71,0)),0)</f>
        <v>47.11</v>
      </c>
      <c r="V551" s="18" t="n">
        <f aca="false">IFERROR(INDEX(SEMANAS!$J$6:$J$71,MATCH($B551,SEMANAS!$B$6:$B$71,0)),0)</f>
        <v>37.688</v>
      </c>
      <c r="W551" s="18" t="n">
        <f aca="false">MAX(0,$T551-$V551)</f>
        <v>0</v>
      </c>
      <c r="X551" s="19" t="n">
        <f aca="false">IFERROR(INDEX(CADASTRO_PIVOS!$K$6:$K$41,MATCH($E551,CADASTRO_PIVOS!$B$6:$B$41,0)),EFICIENCIA_PADRAO)</f>
        <v>0.85</v>
      </c>
      <c r="Y551" s="18" t="n">
        <f aca="false">IF($X551&lt;=0,0,$W551/$X551)</f>
        <v>0</v>
      </c>
      <c r="Z551" s="16" t="n">
        <f aca="false">$Y551*$H551*MM_PARA_M3_HA</f>
        <v>0</v>
      </c>
      <c r="AA551" s="18" t="n">
        <f aca="false">IFERROR(INDEX(CADASTRO_PIVOS!$I$6:$I$41,MATCH($E551,CADASTRO_PIVOS!$B$6:$B$41,0)),0)</f>
        <v>717.214285714286</v>
      </c>
      <c r="AB551" s="18" t="n">
        <f aca="false">IF($Z551&lt;=0,0,$Z551/$AA551)</f>
        <v>0</v>
      </c>
      <c r="AC551" s="16" t="n">
        <f aca="false">IFERROR(INDEX(SEMANAS!$K$6:$K$71,MATCH($B551,SEMANAS!$B$6:$B$71,0)),0)</f>
        <v>147</v>
      </c>
      <c r="AD551" s="19" t="n">
        <f aca="false">IF($AC551&lt;=0,0,$AB551/$AC551)</f>
        <v>0</v>
      </c>
      <c r="AE551" s="8" t="str">
        <f aca="false">IF($K551="SEM CULTURA","SEM CULTURA",IF($AA551&lt;=0,"DADO PENDENTE",IF($AD551&gt;LIMITE_CRITICO,"INVIAVEL",IF($AD551&gt;LIMITE_ATENCAO,"CRITICO",IF($AD551&gt;LIMITE_CONFORTAVEL,"ATENCAO","OK")))))</f>
        <v>OK</v>
      </c>
      <c r="AF551" s="8" t="str">
        <f aca="false">$B551&amp;"|"&amp;TEXT($AD551,"0.000000")</f>
        <v>18|0.000000</v>
      </c>
      <c r="AG551" s="18" t="n">
        <f aca="false">IF($K551="SEM CULTURA",0,$T551*$H551)</f>
        <v>3467.51054293629</v>
      </c>
      <c r="AH551" s="18" t="n">
        <f aca="false">IF($K551="SEM CULTURA",0,$V551*$H551)</f>
        <v>3784.25208</v>
      </c>
      <c r="AI551" s="18" t="n">
        <f aca="false">IF($K551="SEM CULTURA",0,$W551*$H551)</f>
        <v>0</v>
      </c>
      <c r="AJ551" s="18" t="n">
        <f aca="false">IF($K551="SEM CULTURA",0,$S551*$H551)</f>
        <v>3333.612</v>
      </c>
      <c r="AK551" s="8" t="str">
        <f aca="false">$E551&amp;"|"&amp;TEXT($AD551,"0.000000")</f>
        <v>PV 104|0.000000</v>
      </c>
    </row>
    <row r="552" customFormat="false" ht="15" hidden="false" customHeight="false" outlineLevel="0" collapsed="false">
      <c r="B552" s="16" t="n">
        <v>19</v>
      </c>
      <c r="C552" s="17" t="n">
        <f aca="false">DATA_INICIO_SAFRA+($B552-1)*DIAS_POR_SEMANA</f>
        <v>46391</v>
      </c>
      <c r="D552" s="17" t="n">
        <f aca="false">$C552+DIAS_POR_SEMANA-1</f>
        <v>46397</v>
      </c>
      <c r="E552" s="15" t="s">
        <v>267</v>
      </c>
      <c r="F552" s="8" t="str">
        <f aca="false">IFERROR(INDEX(CADASTRO_PIVOS!$C$6:$C$41,MATCH($E552,CADASTRO_PIVOS!$B$6:$B$41,0)),"?")</f>
        <v>RM04</v>
      </c>
      <c r="G552" s="8" t="str">
        <f aca="false">IFERROR(INDEX(CADASTRO_PIVOS!$D$6:$D$41,MATCH($E552,CADASTRO_PIVOS!$B$6:$B$41,0)),"?")</f>
        <v>TR04</v>
      </c>
      <c r="H552" s="20" t="n">
        <f aca="false">IFERROR(INDEX(CADASTRO_PIVOS!$E$6:$E$41,MATCH($E552,CADASTRO_PIVOS!$B$6:$B$41,0)),0)</f>
        <v>100.41</v>
      </c>
      <c r="I552" s="16" t="n">
        <f aca="false">IFERROR(SUMIFS(ROTACAO_RDM!$B$6:$B$71,ROTACAO_RDM!$D$6:$D$71,$E552,ROTACAO_RDM!$I$6:$I$71,"&lt;="&amp;$C552+INT(DIAS_POR_SEMANA/2),ROTACAO_RDM!$J$6:$J$71,"&gt;="&amp;$C552+INT(DIAS_POR_SEMANA/2)),0)</f>
        <v>5</v>
      </c>
      <c r="J552" s="16" t="n">
        <f aca="false">IFERROR(MATCH($I552,ROTACAO_RDM!$B$6:$B$71,0),0)</f>
        <v>5</v>
      </c>
      <c r="K552" s="8" t="str">
        <f aca="false">IF($J552=0,"SEM CULTURA",INDEX(ROTACAO_RDM!$F$6:$F$71,$J552))</f>
        <v>SOJA</v>
      </c>
      <c r="L552" s="8" t="str">
        <f aca="false">IF($J552=0,"",INDEX(ROTACAO_RDM!$G$6:$G$71,$J552))</f>
        <v>COMBATE IPRO</v>
      </c>
      <c r="M552" s="17" t="n">
        <f aca="false">IF($J552=0,"",INDEX(ROTACAO_RDM!$I$6:$I$71,$J552))</f>
        <v>46291</v>
      </c>
      <c r="N552" s="16" t="n">
        <f aca="false">IF($J552=0,0,MAX(0,$C552+INT(DIAS_POR_SEMANA/2)-INDEX(ROTACAO_RDM!$I$6:$I$71,$J552)))</f>
        <v>103</v>
      </c>
      <c r="O552" s="19" t="n">
        <f aca="false">IF($J552=0,0,MIN(1,$N552/MAX(1,INDEX(ROTACAO_RDM!$K$6:$K$71,$J552))))</f>
        <v>0.903508771929825</v>
      </c>
      <c r="P552" s="16" t="n">
        <f aca="false">IF($J552=0,0,IFERROR(MATCH(INDEX(ROTACAO_RDM!$N$6:$N$71,$J552),PARAMETROS_CULTURAS!$B$6:$B$28,0),0))</f>
        <v>2</v>
      </c>
      <c r="Q552" s="8" t="str">
        <f aca="false">IF($P552=0,"-",IF($O552&lt;=INDEX(PARAMETROS_CULTURAS!$F$6:$F$28,$P552),"INICIAL",IF($O552&lt;=INDEX(PARAMETROS_CULTURAS!$F$6:$F$28,$P552)+INDEX(PARAMETROS_CULTURAS!$G$6:$G$28,$P552),"DESENVOLVIMENTO",IF($O552&lt;=INDEX(PARAMETROS_CULTURAS!$F$6:$F$28,$P552)+INDEX(PARAMETROS_CULTURAS!$G$6:$G$28,$P552)+INDEX(PARAMETROS_CULTURAS!$H$6:$H$28,$P552),"MEDIA","FINAL"))))</f>
        <v>FINAL</v>
      </c>
      <c r="R552" s="24" t="n">
        <f aca="false">IF($P552=0,0,IF($O552&lt;=INDEX(PARAMETROS_CULTURAS!$F$6:$F$28,$P552),INDEX(PARAMETROS_CULTURAS!$K$6:$K$28,$P552),IF($O552&lt;=INDEX(PARAMETROS_CULTURAS!$F$6:$F$28,$P552)+INDEX(PARAMETROS_CULTURAS!$G$6:$G$28,$P552),INDEX(PARAMETROS_CULTURAS!$K$6:$K$28,$P552)+(INDEX(PARAMETROS_CULTURAS!$L$6:$L$28,$P552)-INDEX(PARAMETROS_CULTURAS!$K$6:$K$28,$P552))*($O552-INDEX(PARAMETROS_CULTURAS!$F$6:$F$28,$P552))/MAX(INDEX(PARAMETROS_CULTURAS!$G$6:$G$28,$P552),0.0001),IF($O552&lt;=INDEX(PARAMETROS_CULTURAS!$F$6:$F$28,$P552)+INDEX(PARAMETROS_CULTURAS!$G$6:$G$28,$P552)+INDEX(PARAMETROS_CULTURAS!$H$6:$H$28,$P552),INDEX(PARAMETROS_CULTURAS!$L$6:$L$28,$P552),INDEX(PARAMETROS_CULTURAS!$L$6:$L$28,$P552)+(INDEX(PARAMETROS_CULTURAS!$M$6:$M$28,$P552)-INDEX(PARAMETROS_CULTURAS!$L$6:$L$28,$P552))*($O552-INDEX(PARAMETROS_CULTURAS!$F$6:$F$28,$P552)-INDEX(PARAMETROS_CULTURAS!$G$6:$G$28,$P552)-INDEX(PARAMETROS_CULTURAS!$H$6:$H$28,$P552))/MAX(INDEX(PARAMETROS_CULTURAS!$I$6:$I$28,$P552),0.0001)))))</f>
        <v>0.830101569713758</v>
      </c>
      <c r="S552" s="18" t="n">
        <f aca="false">IFERROR(INDEX(SEMANAS!$H$6:$H$71,MATCH($B552,SEMANAS!$B$6:$B$71,0)),0)</f>
        <v>33.6</v>
      </c>
      <c r="T552" s="18" t="n">
        <f aca="false">$R552*$S552</f>
        <v>27.8914127423823</v>
      </c>
      <c r="U552" s="18" t="n">
        <f aca="false">IFERROR(INDEX(SEMANAS!$I$6:$I$71,MATCH($B552,SEMANAS!$B$6:$B$71,0)),0)</f>
        <v>45.15</v>
      </c>
      <c r="V552" s="18" t="n">
        <f aca="false">IFERROR(INDEX(SEMANAS!$J$6:$J$71,MATCH($B552,SEMANAS!$B$6:$B$71,0)),0)</f>
        <v>36.12</v>
      </c>
      <c r="W552" s="18" t="n">
        <f aca="false">MAX(0,$T552-$V552)</f>
        <v>0</v>
      </c>
      <c r="X552" s="19" t="n">
        <f aca="false">IFERROR(INDEX(CADASTRO_PIVOS!$K$6:$K$41,MATCH($E552,CADASTRO_PIVOS!$B$6:$B$41,0)),EFICIENCIA_PADRAO)</f>
        <v>0.85</v>
      </c>
      <c r="Y552" s="18" t="n">
        <f aca="false">IF($X552&lt;=0,0,$W552/$X552)</f>
        <v>0</v>
      </c>
      <c r="Z552" s="16" t="n">
        <f aca="false">$Y552*$H552*MM_PARA_M3_HA</f>
        <v>0</v>
      </c>
      <c r="AA552" s="18" t="n">
        <f aca="false">IFERROR(INDEX(CADASTRO_PIVOS!$I$6:$I$41,MATCH($E552,CADASTRO_PIVOS!$B$6:$B$41,0)),0)</f>
        <v>717.214285714286</v>
      </c>
      <c r="AB552" s="18" t="n">
        <f aca="false">IF($Z552&lt;=0,0,$Z552/$AA552)</f>
        <v>0</v>
      </c>
      <c r="AC552" s="16" t="n">
        <f aca="false">IFERROR(INDEX(SEMANAS!$K$6:$K$71,MATCH($B552,SEMANAS!$B$6:$B$71,0)),0)</f>
        <v>147</v>
      </c>
      <c r="AD552" s="19" t="n">
        <f aca="false">IF($AC552&lt;=0,0,$AB552/$AC552)</f>
        <v>0</v>
      </c>
      <c r="AE552" s="8" t="str">
        <f aca="false">IF($K552="SEM CULTURA","SEM CULTURA",IF($AA552&lt;=0,"DADO PENDENTE",IF($AD552&gt;LIMITE_CRITICO,"INVIAVEL",IF($AD552&gt;LIMITE_ATENCAO,"CRITICO",IF($AD552&gt;LIMITE_CONFORTAVEL,"ATENCAO","OK")))))</f>
        <v>OK</v>
      </c>
      <c r="AF552" s="8" t="str">
        <f aca="false">$B552&amp;"|"&amp;TEXT($AD552,"0.000000")</f>
        <v>19|0.000000</v>
      </c>
      <c r="AG552" s="18" t="n">
        <f aca="false">IF($K552="SEM CULTURA",0,$T552*$H552)</f>
        <v>2800.5767534626</v>
      </c>
      <c r="AH552" s="18" t="n">
        <f aca="false">IF($K552="SEM CULTURA",0,$V552*$H552)</f>
        <v>3626.8092</v>
      </c>
      <c r="AI552" s="18" t="n">
        <f aca="false">IF($K552="SEM CULTURA",0,$W552*$H552)</f>
        <v>0</v>
      </c>
      <c r="AJ552" s="18" t="n">
        <f aca="false">IF($K552="SEM CULTURA",0,$S552*$H552)</f>
        <v>3373.776</v>
      </c>
      <c r="AK552" s="8" t="str">
        <f aca="false">$E552&amp;"|"&amp;TEXT($AD552,"0.000000")</f>
        <v>PV 104|0.000000</v>
      </c>
    </row>
    <row r="553" customFormat="false" ht="15" hidden="false" customHeight="false" outlineLevel="0" collapsed="false">
      <c r="B553" s="16" t="n">
        <v>20</v>
      </c>
      <c r="C553" s="17" t="n">
        <f aca="false">DATA_INICIO_SAFRA+($B553-1)*DIAS_POR_SEMANA</f>
        <v>46398</v>
      </c>
      <c r="D553" s="17" t="n">
        <f aca="false">$C553+DIAS_POR_SEMANA-1</f>
        <v>46404</v>
      </c>
      <c r="E553" s="15" t="s">
        <v>267</v>
      </c>
      <c r="F553" s="8" t="str">
        <f aca="false">IFERROR(INDEX(CADASTRO_PIVOS!$C$6:$C$41,MATCH($E553,CADASTRO_PIVOS!$B$6:$B$41,0)),"?")</f>
        <v>RM04</v>
      </c>
      <c r="G553" s="8" t="str">
        <f aca="false">IFERROR(INDEX(CADASTRO_PIVOS!$D$6:$D$41,MATCH($E553,CADASTRO_PIVOS!$B$6:$B$41,0)),"?")</f>
        <v>TR04</v>
      </c>
      <c r="H553" s="20" t="n">
        <f aca="false">IFERROR(INDEX(CADASTRO_PIVOS!$E$6:$E$41,MATCH($E553,CADASTRO_PIVOS!$B$6:$B$41,0)),0)</f>
        <v>100.41</v>
      </c>
      <c r="I553" s="16" t="n">
        <f aca="false">IFERROR(SUMIFS(ROTACAO_RDM!$B$6:$B$71,ROTACAO_RDM!$D$6:$D$71,$E553,ROTACAO_RDM!$I$6:$I$71,"&lt;="&amp;$C553+INT(DIAS_POR_SEMANA/2),ROTACAO_RDM!$J$6:$J$71,"&gt;="&amp;$C553+INT(DIAS_POR_SEMANA/2)),0)</f>
        <v>5</v>
      </c>
      <c r="J553" s="16" t="n">
        <f aca="false">IFERROR(MATCH($I553,ROTACAO_RDM!$B$6:$B$71,0),0)</f>
        <v>5</v>
      </c>
      <c r="K553" s="8" t="str">
        <f aca="false">IF($J553=0,"SEM CULTURA",INDEX(ROTACAO_RDM!$F$6:$F$71,$J553))</f>
        <v>SOJA</v>
      </c>
      <c r="L553" s="8" t="str">
        <f aca="false">IF($J553=0,"",INDEX(ROTACAO_RDM!$G$6:$G$71,$J553))</f>
        <v>COMBATE IPRO</v>
      </c>
      <c r="M553" s="17" t="n">
        <f aca="false">IF($J553=0,"",INDEX(ROTACAO_RDM!$I$6:$I$71,$J553))</f>
        <v>46291</v>
      </c>
      <c r="N553" s="16" t="n">
        <f aca="false">IF($J553=0,0,MAX(0,$C553+INT(DIAS_POR_SEMANA/2)-INDEX(ROTACAO_RDM!$I$6:$I$71,$J553)))</f>
        <v>110</v>
      </c>
      <c r="O553" s="19" t="n">
        <f aca="false">IF($J553=0,0,MIN(1,$N553/MAX(1,INDEX(ROTACAO_RDM!$K$6:$K$71,$J553))))</f>
        <v>0.964912280701754</v>
      </c>
      <c r="P553" s="16" t="n">
        <f aca="false">IF($J553=0,0,IFERROR(MATCH(INDEX(ROTACAO_RDM!$N$6:$N$71,$J553),PARAMETROS_CULTURAS!$B$6:$B$28,0),0))</f>
        <v>2</v>
      </c>
      <c r="Q553" s="8" t="str">
        <f aca="false">IF($P553=0,"-",IF($O553&lt;=INDEX(PARAMETROS_CULTURAS!$F$6:$F$28,$P553),"INICIAL",IF($O553&lt;=INDEX(PARAMETROS_CULTURAS!$F$6:$F$28,$P553)+INDEX(PARAMETROS_CULTURAS!$G$6:$G$28,$P553),"DESENVOLVIMENTO",IF($O553&lt;=INDEX(PARAMETROS_CULTURAS!$F$6:$F$28,$P553)+INDEX(PARAMETROS_CULTURAS!$G$6:$G$28,$P553)+INDEX(PARAMETROS_CULTURAS!$H$6:$H$28,$P553),"MEDIA","FINAL"))))</f>
        <v>FINAL</v>
      </c>
      <c r="R553" s="24" t="n">
        <f aca="false">IF($P553=0,0,IF($O553&lt;=INDEX(PARAMETROS_CULTURAS!$F$6:$F$28,$P553),INDEX(PARAMETROS_CULTURAS!$K$6:$K$28,$P553),IF($O553&lt;=INDEX(PARAMETROS_CULTURAS!$F$6:$F$28,$P553)+INDEX(PARAMETROS_CULTURAS!$G$6:$G$28,$P553),INDEX(PARAMETROS_CULTURAS!$K$6:$K$28,$P553)+(INDEX(PARAMETROS_CULTURAS!$L$6:$L$28,$P553)-INDEX(PARAMETROS_CULTURAS!$K$6:$K$28,$P553))*($O553-INDEX(PARAMETROS_CULTURAS!$F$6:$F$28,$P553))/MAX(INDEX(PARAMETROS_CULTURAS!$G$6:$G$28,$P553),0.0001),IF($O553&lt;=INDEX(PARAMETROS_CULTURAS!$F$6:$F$28,$P553)+INDEX(PARAMETROS_CULTURAS!$G$6:$G$28,$P553)+INDEX(PARAMETROS_CULTURAS!$H$6:$H$28,$P553),INDEX(PARAMETROS_CULTURAS!$L$6:$L$28,$P553),INDEX(PARAMETROS_CULTURAS!$L$6:$L$28,$P553)+(INDEX(PARAMETROS_CULTURAS!$M$6:$M$28,$P553)-INDEX(PARAMETROS_CULTURAS!$L$6:$L$28,$P553))*($O553-INDEX(PARAMETROS_CULTURAS!$F$6:$F$28,$P553)-INDEX(PARAMETROS_CULTURAS!$G$6:$G$28,$P553)-INDEX(PARAMETROS_CULTURAS!$H$6:$H$28,$P553))/MAX(INDEX(PARAMETROS_CULTURAS!$I$6:$I$28,$P553),0.0001)))))</f>
        <v>0.620036934441367</v>
      </c>
      <c r="S553" s="18" t="n">
        <f aca="false">IFERROR(INDEX(SEMANAS!$H$6:$H$71,MATCH($B553,SEMANAS!$B$6:$B$71,0)),0)</f>
        <v>33.6</v>
      </c>
      <c r="T553" s="18" t="n">
        <f aca="false">$R553*$S553</f>
        <v>20.8332409972299</v>
      </c>
      <c r="U553" s="18" t="n">
        <f aca="false">IFERROR(INDEX(SEMANAS!$I$6:$I$71,MATCH($B553,SEMANAS!$B$6:$B$71,0)),0)</f>
        <v>45.15</v>
      </c>
      <c r="V553" s="18" t="n">
        <f aca="false">IFERROR(INDEX(SEMANAS!$J$6:$J$71,MATCH($B553,SEMANAS!$B$6:$B$71,0)),0)</f>
        <v>36.12</v>
      </c>
      <c r="W553" s="18" t="n">
        <f aca="false">MAX(0,$T553-$V553)</f>
        <v>0</v>
      </c>
      <c r="X553" s="19" t="n">
        <f aca="false">IFERROR(INDEX(CADASTRO_PIVOS!$K$6:$K$41,MATCH($E553,CADASTRO_PIVOS!$B$6:$B$41,0)),EFICIENCIA_PADRAO)</f>
        <v>0.85</v>
      </c>
      <c r="Y553" s="18" t="n">
        <f aca="false">IF($X553&lt;=0,0,$W553/$X553)</f>
        <v>0</v>
      </c>
      <c r="Z553" s="16" t="n">
        <f aca="false">$Y553*$H553*MM_PARA_M3_HA</f>
        <v>0</v>
      </c>
      <c r="AA553" s="18" t="n">
        <f aca="false">IFERROR(INDEX(CADASTRO_PIVOS!$I$6:$I$41,MATCH($E553,CADASTRO_PIVOS!$B$6:$B$41,0)),0)</f>
        <v>717.214285714286</v>
      </c>
      <c r="AB553" s="18" t="n">
        <f aca="false">IF($Z553&lt;=0,0,$Z553/$AA553)</f>
        <v>0</v>
      </c>
      <c r="AC553" s="16" t="n">
        <f aca="false">IFERROR(INDEX(SEMANAS!$K$6:$K$71,MATCH($B553,SEMANAS!$B$6:$B$71,0)),0)</f>
        <v>147</v>
      </c>
      <c r="AD553" s="19" t="n">
        <f aca="false">IF($AC553&lt;=0,0,$AB553/$AC553)</f>
        <v>0</v>
      </c>
      <c r="AE553" s="8" t="str">
        <f aca="false">IF($K553="SEM CULTURA","SEM CULTURA",IF($AA553&lt;=0,"DADO PENDENTE",IF($AD553&gt;LIMITE_CRITICO,"INVIAVEL",IF($AD553&gt;LIMITE_ATENCAO,"CRITICO",IF($AD553&gt;LIMITE_CONFORTAVEL,"ATENCAO","OK")))))</f>
        <v>OK</v>
      </c>
      <c r="AF553" s="8" t="str">
        <f aca="false">$B553&amp;"|"&amp;TEXT($AD553,"0.000000")</f>
        <v>20|0.000000</v>
      </c>
      <c r="AG553" s="18" t="n">
        <f aca="false">IF($K553="SEM CULTURA",0,$T553*$H553)</f>
        <v>2091.86572853186</v>
      </c>
      <c r="AH553" s="18" t="n">
        <f aca="false">IF($K553="SEM CULTURA",0,$V553*$H553)</f>
        <v>3626.8092</v>
      </c>
      <c r="AI553" s="18" t="n">
        <f aca="false">IF($K553="SEM CULTURA",0,$W553*$H553)</f>
        <v>0</v>
      </c>
      <c r="AJ553" s="18" t="n">
        <f aca="false">IF($K553="SEM CULTURA",0,$S553*$H553)</f>
        <v>3373.776</v>
      </c>
      <c r="AK553" s="8" t="str">
        <f aca="false">$E553&amp;"|"&amp;TEXT($AD553,"0.000000")</f>
        <v>PV 104|0.000000</v>
      </c>
    </row>
    <row r="554" customFormat="false" ht="15" hidden="false" customHeight="false" outlineLevel="0" collapsed="false">
      <c r="B554" s="16" t="n">
        <v>21</v>
      </c>
      <c r="C554" s="17" t="n">
        <f aca="false">DATA_INICIO_SAFRA+($B554-1)*DIAS_POR_SEMANA</f>
        <v>46405</v>
      </c>
      <c r="D554" s="17" t="n">
        <f aca="false">$C554+DIAS_POR_SEMANA-1</f>
        <v>46411</v>
      </c>
      <c r="E554" s="15" t="s">
        <v>267</v>
      </c>
      <c r="F554" s="8" t="str">
        <f aca="false">IFERROR(INDEX(CADASTRO_PIVOS!$C$6:$C$41,MATCH($E554,CADASTRO_PIVOS!$B$6:$B$41,0)),"?")</f>
        <v>RM04</v>
      </c>
      <c r="G554" s="8" t="str">
        <f aca="false">IFERROR(INDEX(CADASTRO_PIVOS!$D$6:$D$41,MATCH($E554,CADASTRO_PIVOS!$B$6:$B$41,0)),"?")</f>
        <v>TR04</v>
      </c>
      <c r="H554" s="20" t="n">
        <f aca="false">IFERROR(INDEX(CADASTRO_PIVOS!$E$6:$E$41,MATCH($E554,CADASTRO_PIVOS!$B$6:$B$41,0)),0)</f>
        <v>100.41</v>
      </c>
      <c r="I554" s="16" t="n">
        <f aca="false">IFERROR(SUMIFS(ROTACAO_RDM!$B$6:$B$71,ROTACAO_RDM!$D$6:$D$71,$E554,ROTACAO_RDM!$I$6:$I$71,"&lt;="&amp;$C554+INT(DIAS_POR_SEMANA/2),ROTACAO_RDM!$J$6:$J$71,"&gt;="&amp;$C554+INT(DIAS_POR_SEMANA/2)),0)</f>
        <v>0</v>
      </c>
      <c r="J554" s="16" t="n">
        <f aca="false">IFERROR(MATCH($I554,ROTACAO_RDM!$B$6:$B$71,0),0)</f>
        <v>0</v>
      </c>
      <c r="K554" s="8" t="str">
        <f aca="false">IF($J554=0,"SEM CULTURA",INDEX(ROTACAO_RDM!$F$6:$F$71,$J554))</f>
        <v>SEM CULTURA</v>
      </c>
      <c r="L554" s="8" t="str">
        <f aca="false">IF($J554=0,"",INDEX(ROTACAO_RDM!$G$6:$G$71,$J554))</f>
        <v/>
      </c>
      <c r="M554" s="17" t="str">
        <f aca="false">IF($J554=0,"",INDEX(ROTACAO_RDM!$I$6:$I$71,$J554))</f>
        <v/>
      </c>
      <c r="N554" s="16" t="n">
        <f aca="false">IF($J554=0,0,MAX(0,$C554+INT(DIAS_POR_SEMANA/2)-INDEX(ROTACAO_RDM!$I$6:$I$71,$J554)))</f>
        <v>0</v>
      </c>
      <c r="O554" s="19" t="n">
        <f aca="false">IF($J554=0,0,MIN(1,$N554/MAX(1,INDEX(ROTACAO_RDM!$K$6:$K$71,$J554))))</f>
        <v>0</v>
      </c>
      <c r="P554" s="16" t="n">
        <f aca="false">IF($J554=0,0,IFERROR(MATCH(INDEX(ROTACAO_RDM!$N$6:$N$71,$J554),PARAMETROS_CULTURAS!$B$6:$B$28,0),0))</f>
        <v>0</v>
      </c>
      <c r="Q554" s="8" t="str">
        <f aca="false">IF($P554=0,"-",IF($O554&lt;=INDEX(PARAMETROS_CULTURAS!$F$6:$F$28,$P554),"INICIAL",IF($O554&lt;=INDEX(PARAMETROS_CULTURAS!$F$6:$F$28,$P554)+INDEX(PARAMETROS_CULTURAS!$G$6:$G$28,$P554),"DESENVOLVIMENTO",IF($O554&lt;=INDEX(PARAMETROS_CULTURAS!$F$6:$F$28,$P554)+INDEX(PARAMETROS_CULTURAS!$G$6:$G$28,$P554)+INDEX(PARAMETROS_CULTURAS!$H$6:$H$28,$P554),"MEDIA","FINAL"))))</f>
        <v>-</v>
      </c>
      <c r="R554" s="24" t="n">
        <f aca="false">IF($P554=0,0,IF($O554&lt;=INDEX(PARAMETROS_CULTURAS!$F$6:$F$28,$P554),INDEX(PARAMETROS_CULTURAS!$K$6:$K$28,$P554),IF($O554&lt;=INDEX(PARAMETROS_CULTURAS!$F$6:$F$28,$P554)+INDEX(PARAMETROS_CULTURAS!$G$6:$G$28,$P554),INDEX(PARAMETROS_CULTURAS!$K$6:$K$28,$P554)+(INDEX(PARAMETROS_CULTURAS!$L$6:$L$28,$P554)-INDEX(PARAMETROS_CULTURAS!$K$6:$K$28,$P554))*($O554-INDEX(PARAMETROS_CULTURAS!$F$6:$F$28,$P554))/MAX(INDEX(PARAMETROS_CULTURAS!$G$6:$G$28,$P554),0.0001),IF($O554&lt;=INDEX(PARAMETROS_CULTURAS!$F$6:$F$28,$P554)+INDEX(PARAMETROS_CULTURAS!$G$6:$G$28,$P554)+INDEX(PARAMETROS_CULTURAS!$H$6:$H$28,$P554),INDEX(PARAMETROS_CULTURAS!$L$6:$L$28,$P554),INDEX(PARAMETROS_CULTURAS!$L$6:$L$28,$P554)+(INDEX(PARAMETROS_CULTURAS!$M$6:$M$28,$P554)-INDEX(PARAMETROS_CULTURAS!$L$6:$L$28,$P554))*($O554-INDEX(PARAMETROS_CULTURAS!$F$6:$F$28,$P554)-INDEX(PARAMETROS_CULTURAS!$G$6:$G$28,$P554)-INDEX(PARAMETROS_CULTURAS!$H$6:$H$28,$P554))/MAX(INDEX(PARAMETROS_CULTURAS!$I$6:$I$28,$P554),0.0001)))))</f>
        <v>0</v>
      </c>
      <c r="S554" s="18" t="n">
        <f aca="false">IFERROR(INDEX(SEMANAS!$H$6:$H$71,MATCH($B554,SEMANAS!$B$6:$B$71,0)),0)</f>
        <v>33.6</v>
      </c>
      <c r="T554" s="18" t="n">
        <f aca="false">$R554*$S554</f>
        <v>0</v>
      </c>
      <c r="U554" s="18" t="n">
        <f aca="false">IFERROR(INDEX(SEMANAS!$I$6:$I$71,MATCH($B554,SEMANAS!$B$6:$B$71,0)),0)</f>
        <v>45.15</v>
      </c>
      <c r="V554" s="18" t="n">
        <f aca="false">IFERROR(INDEX(SEMANAS!$J$6:$J$71,MATCH($B554,SEMANAS!$B$6:$B$71,0)),0)</f>
        <v>36.12</v>
      </c>
      <c r="W554" s="18" t="n">
        <f aca="false">MAX(0,$T554-$V554)</f>
        <v>0</v>
      </c>
      <c r="X554" s="19" t="n">
        <f aca="false">IFERROR(INDEX(CADASTRO_PIVOS!$K$6:$K$41,MATCH($E554,CADASTRO_PIVOS!$B$6:$B$41,0)),EFICIENCIA_PADRAO)</f>
        <v>0.85</v>
      </c>
      <c r="Y554" s="18" t="n">
        <f aca="false">IF($X554&lt;=0,0,$W554/$X554)</f>
        <v>0</v>
      </c>
      <c r="Z554" s="16" t="n">
        <f aca="false">$Y554*$H554*MM_PARA_M3_HA</f>
        <v>0</v>
      </c>
      <c r="AA554" s="18" t="n">
        <f aca="false">IFERROR(INDEX(CADASTRO_PIVOS!$I$6:$I$41,MATCH($E554,CADASTRO_PIVOS!$B$6:$B$41,0)),0)</f>
        <v>717.214285714286</v>
      </c>
      <c r="AB554" s="18" t="n">
        <f aca="false">IF($Z554&lt;=0,0,$Z554/$AA554)</f>
        <v>0</v>
      </c>
      <c r="AC554" s="16" t="n">
        <f aca="false">IFERROR(INDEX(SEMANAS!$K$6:$K$71,MATCH($B554,SEMANAS!$B$6:$B$71,0)),0)</f>
        <v>147</v>
      </c>
      <c r="AD554" s="19" t="n">
        <f aca="false">IF($AC554&lt;=0,0,$AB554/$AC554)</f>
        <v>0</v>
      </c>
      <c r="AE554" s="8" t="str">
        <f aca="false">IF($K554="SEM CULTURA","SEM CULTURA",IF($AA554&lt;=0,"DADO PENDENTE",IF($AD554&gt;LIMITE_CRITICO,"INVIAVEL",IF($AD554&gt;LIMITE_ATENCAO,"CRITICO",IF($AD554&gt;LIMITE_CONFORTAVEL,"ATENCAO","OK")))))</f>
        <v>SEM CULTURA</v>
      </c>
      <c r="AF554" s="8" t="str">
        <f aca="false">$B554&amp;"|"&amp;TEXT($AD554,"0.000000")</f>
        <v>21|0.000000</v>
      </c>
      <c r="AG554" s="18" t="n">
        <f aca="false">IF($K554="SEM CULTURA",0,$T554*$H554)</f>
        <v>0</v>
      </c>
      <c r="AH554" s="18" t="n">
        <f aca="false">IF($K554="SEM CULTURA",0,$V554*$H554)</f>
        <v>0</v>
      </c>
      <c r="AI554" s="18" t="n">
        <f aca="false">IF($K554="SEM CULTURA",0,$W554*$H554)</f>
        <v>0</v>
      </c>
      <c r="AJ554" s="18" t="n">
        <f aca="false">IF($K554="SEM CULTURA",0,$S554*$H554)</f>
        <v>0</v>
      </c>
      <c r="AK554" s="8" t="str">
        <f aca="false">$E554&amp;"|"&amp;TEXT($AD554,"0.000000")</f>
        <v>PV 104|0.000000</v>
      </c>
    </row>
    <row r="555" customFormat="false" ht="15" hidden="false" customHeight="false" outlineLevel="0" collapsed="false">
      <c r="B555" s="16" t="n">
        <v>22</v>
      </c>
      <c r="C555" s="17" t="n">
        <f aca="false">DATA_INICIO_SAFRA+($B555-1)*DIAS_POR_SEMANA</f>
        <v>46412</v>
      </c>
      <c r="D555" s="17" t="n">
        <f aca="false">$C555+DIAS_POR_SEMANA-1</f>
        <v>46418</v>
      </c>
      <c r="E555" s="15" t="s">
        <v>267</v>
      </c>
      <c r="F555" s="8" t="str">
        <f aca="false">IFERROR(INDEX(CADASTRO_PIVOS!$C$6:$C$41,MATCH($E555,CADASTRO_PIVOS!$B$6:$B$41,0)),"?")</f>
        <v>RM04</v>
      </c>
      <c r="G555" s="8" t="str">
        <f aca="false">IFERROR(INDEX(CADASTRO_PIVOS!$D$6:$D$41,MATCH($E555,CADASTRO_PIVOS!$B$6:$B$41,0)),"?")</f>
        <v>TR04</v>
      </c>
      <c r="H555" s="20" t="n">
        <f aca="false">IFERROR(INDEX(CADASTRO_PIVOS!$E$6:$E$41,MATCH($E555,CADASTRO_PIVOS!$B$6:$B$41,0)),0)</f>
        <v>100.41</v>
      </c>
      <c r="I555" s="16" t="n">
        <f aca="false">IFERROR(SUMIFS(ROTACAO_RDM!$B$6:$B$71,ROTACAO_RDM!$D$6:$D$71,$E555,ROTACAO_RDM!$I$6:$I$71,"&lt;="&amp;$C555+INT(DIAS_POR_SEMANA/2),ROTACAO_RDM!$J$6:$J$71,"&gt;="&amp;$C555+INT(DIAS_POR_SEMANA/2)),0)</f>
        <v>0</v>
      </c>
      <c r="J555" s="16" t="n">
        <f aca="false">IFERROR(MATCH($I555,ROTACAO_RDM!$B$6:$B$71,0),0)</f>
        <v>0</v>
      </c>
      <c r="K555" s="8" t="str">
        <f aca="false">IF($J555=0,"SEM CULTURA",INDEX(ROTACAO_RDM!$F$6:$F$71,$J555))</f>
        <v>SEM CULTURA</v>
      </c>
      <c r="L555" s="8" t="str">
        <f aca="false">IF($J555=0,"",INDEX(ROTACAO_RDM!$G$6:$G$71,$J555))</f>
        <v/>
      </c>
      <c r="M555" s="17" t="str">
        <f aca="false">IF($J555=0,"",INDEX(ROTACAO_RDM!$I$6:$I$71,$J555))</f>
        <v/>
      </c>
      <c r="N555" s="16" t="n">
        <f aca="false">IF($J555=0,0,MAX(0,$C555+INT(DIAS_POR_SEMANA/2)-INDEX(ROTACAO_RDM!$I$6:$I$71,$J555)))</f>
        <v>0</v>
      </c>
      <c r="O555" s="19" t="n">
        <f aca="false">IF($J555=0,0,MIN(1,$N555/MAX(1,INDEX(ROTACAO_RDM!$K$6:$K$71,$J555))))</f>
        <v>0</v>
      </c>
      <c r="P555" s="16" t="n">
        <f aca="false">IF($J555=0,0,IFERROR(MATCH(INDEX(ROTACAO_RDM!$N$6:$N$71,$J555),PARAMETROS_CULTURAS!$B$6:$B$28,0),0))</f>
        <v>0</v>
      </c>
      <c r="Q555" s="8" t="str">
        <f aca="false">IF($P555=0,"-",IF($O555&lt;=INDEX(PARAMETROS_CULTURAS!$F$6:$F$28,$P555),"INICIAL",IF($O555&lt;=INDEX(PARAMETROS_CULTURAS!$F$6:$F$28,$P555)+INDEX(PARAMETROS_CULTURAS!$G$6:$G$28,$P555),"DESENVOLVIMENTO",IF($O555&lt;=INDEX(PARAMETROS_CULTURAS!$F$6:$F$28,$P555)+INDEX(PARAMETROS_CULTURAS!$G$6:$G$28,$P555)+INDEX(PARAMETROS_CULTURAS!$H$6:$H$28,$P555),"MEDIA","FINAL"))))</f>
        <v>-</v>
      </c>
      <c r="R555" s="24" t="n">
        <f aca="false">IF($P555=0,0,IF($O555&lt;=INDEX(PARAMETROS_CULTURAS!$F$6:$F$28,$P555),INDEX(PARAMETROS_CULTURAS!$K$6:$K$28,$P555),IF($O555&lt;=INDEX(PARAMETROS_CULTURAS!$F$6:$F$28,$P555)+INDEX(PARAMETROS_CULTURAS!$G$6:$G$28,$P555),INDEX(PARAMETROS_CULTURAS!$K$6:$K$28,$P555)+(INDEX(PARAMETROS_CULTURAS!$L$6:$L$28,$P555)-INDEX(PARAMETROS_CULTURAS!$K$6:$K$28,$P555))*($O555-INDEX(PARAMETROS_CULTURAS!$F$6:$F$28,$P555))/MAX(INDEX(PARAMETROS_CULTURAS!$G$6:$G$28,$P555),0.0001),IF($O555&lt;=INDEX(PARAMETROS_CULTURAS!$F$6:$F$28,$P555)+INDEX(PARAMETROS_CULTURAS!$G$6:$G$28,$P555)+INDEX(PARAMETROS_CULTURAS!$H$6:$H$28,$P555),INDEX(PARAMETROS_CULTURAS!$L$6:$L$28,$P555),INDEX(PARAMETROS_CULTURAS!$L$6:$L$28,$P555)+(INDEX(PARAMETROS_CULTURAS!$M$6:$M$28,$P555)-INDEX(PARAMETROS_CULTURAS!$L$6:$L$28,$P555))*($O555-INDEX(PARAMETROS_CULTURAS!$F$6:$F$28,$P555)-INDEX(PARAMETROS_CULTURAS!$G$6:$G$28,$P555)-INDEX(PARAMETROS_CULTURAS!$H$6:$H$28,$P555))/MAX(INDEX(PARAMETROS_CULTURAS!$I$6:$I$28,$P555),0.0001)))))</f>
        <v>0</v>
      </c>
      <c r="S555" s="18" t="n">
        <f aca="false">IFERROR(INDEX(SEMANAS!$H$6:$H$71,MATCH($B555,SEMANAS!$B$6:$B$71,0)),0)</f>
        <v>33.6</v>
      </c>
      <c r="T555" s="18" t="n">
        <f aca="false">$R555*$S555</f>
        <v>0</v>
      </c>
      <c r="U555" s="18" t="n">
        <f aca="false">IFERROR(INDEX(SEMANAS!$I$6:$I$71,MATCH($B555,SEMANAS!$B$6:$B$71,0)),0)</f>
        <v>45.15</v>
      </c>
      <c r="V555" s="18" t="n">
        <f aca="false">IFERROR(INDEX(SEMANAS!$J$6:$J$71,MATCH($B555,SEMANAS!$B$6:$B$71,0)),0)</f>
        <v>36.12</v>
      </c>
      <c r="W555" s="18" t="n">
        <f aca="false">MAX(0,$T555-$V555)</f>
        <v>0</v>
      </c>
      <c r="X555" s="19" t="n">
        <f aca="false">IFERROR(INDEX(CADASTRO_PIVOS!$K$6:$K$41,MATCH($E555,CADASTRO_PIVOS!$B$6:$B$41,0)),EFICIENCIA_PADRAO)</f>
        <v>0.85</v>
      </c>
      <c r="Y555" s="18" t="n">
        <f aca="false">IF($X555&lt;=0,0,$W555/$X555)</f>
        <v>0</v>
      </c>
      <c r="Z555" s="16" t="n">
        <f aca="false">$Y555*$H555*MM_PARA_M3_HA</f>
        <v>0</v>
      </c>
      <c r="AA555" s="18" t="n">
        <f aca="false">IFERROR(INDEX(CADASTRO_PIVOS!$I$6:$I$41,MATCH($E555,CADASTRO_PIVOS!$B$6:$B$41,0)),0)</f>
        <v>717.214285714286</v>
      </c>
      <c r="AB555" s="18" t="n">
        <f aca="false">IF($Z555&lt;=0,0,$Z555/$AA555)</f>
        <v>0</v>
      </c>
      <c r="AC555" s="16" t="n">
        <f aca="false">IFERROR(INDEX(SEMANAS!$K$6:$K$71,MATCH($B555,SEMANAS!$B$6:$B$71,0)),0)</f>
        <v>147</v>
      </c>
      <c r="AD555" s="19" t="n">
        <f aca="false">IF($AC555&lt;=0,0,$AB555/$AC555)</f>
        <v>0</v>
      </c>
      <c r="AE555" s="8" t="str">
        <f aca="false">IF($K555="SEM CULTURA","SEM CULTURA",IF($AA555&lt;=0,"DADO PENDENTE",IF($AD555&gt;LIMITE_CRITICO,"INVIAVEL",IF($AD555&gt;LIMITE_ATENCAO,"CRITICO",IF($AD555&gt;LIMITE_CONFORTAVEL,"ATENCAO","OK")))))</f>
        <v>SEM CULTURA</v>
      </c>
      <c r="AF555" s="8" t="str">
        <f aca="false">$B555&amp;"|"&amp;TEXT($AD555,"0.000000")</f>
        <v>22|0.000000</v>
      </c>
      <c r="AG555" s="18" t="n">
        <f aca="false">IF($K555="SEM CULTURA",0,$T555*$H555)</f>
        <v>0</v>
      </c>
      <c r="AH555" s="18" t="n">
        <f aca="false">IF($K555="SEM CULTURA",0,$V555*$H555)</f>
        <v>0</v>
      </c>
      <c r="AI555" s="18" t="n">
        <f aca="false">IF($K555="SEM CULTURA",0,$W555*$H555)</f>
        <v>0</v>
      </c>
      <c r="AJ555" s="18" t="n">
        <f aca="false">IF($K555="SEM CULTURA",0,$S555*$H555)</f>
        <v>0</v>
      </c>
      <c r="AK555" s="8" t="str">
        <f aca="false">$E555&amp;"|"&amp;TEXT($AD555,"0.000000")</f>
        <v>PV 104|0.000000</v>
      </c>
    </row>
    <row r="556" customFormat="false" ht="15" hidden="false" customHeight="false" outlineLevel="0" collapsed="false">
      <c r="B556" s="16" t="n">
        <v>23</v>
      </c>
      <c r="C556" s="17" t="n">
        <f aca="false">DATA_INICIO_SAFRA+($B556-1)*DIAS_POR_SEMANA</f>
        <v>46419</v>
      </c>
      <c r="D556" s="17" t="n">
        <f aca="false">$C556+DIAS_POR_SEMANA-1</f>
        <v>46425</v>
      </c>
      <c r="E556" s="15" t="s">
        <v>267</v>
      </c>
      <c r="F556" s="8" t="str">
        <f aca="false">IFERROR(INDEX(CADASTRO_PIVOS!$C$6:$C$41,MATCH($E556,CADASTRO_PIVOS!$B$6:$B$41,0)),"?")</f>
        <v>RM04</v>
      </c>
      <c r="G556" s="8" t="str">
        <f aca="false">IFERROR(INDEX(CADASTRO_PIVOS!$D$6:$D$41,MATCH($E556,CADASTRO_PIVOS!$B$6:$B$41,0)),"?")</f>
        <v>TR04</v>
      </c>
      <c r="H556" s="20" t="n">
        <f aca="false">IFERROR(INDEX(CADASTRO_PIVOS!$E$6:$E$41,MATCH($E556,CADASTRO_PIVOS!$B$6:$B$41,0)),0)</f>
        <v>100.41</v>
      </c>
      <c r="I556" s="16" t="n">
        <f aca="false">IFERROR(SUMIFS(ROTACAO_RDM!$B$6:$B$71,ROTACAO_RDM!$D$6:$D$71,$E556,ROTACAO_RDM!$I$6:$I$71,"&lt;="&amp;$C556+INT(DIAS_POR_SEMANA/2),ROTACAO_RDM!$J$6:$J$71,"&gt;="&amp;$C556+INT(DIAS_POR_SEMANA/2)),0)</f>
        <v>0</v>
      </c>
      <c r="J556" s="16" t="n">
        <f aca="false">IFERROR(MATCH($I556,ROTACAO_RDM!$B$6:$B$71,0),0)</f>
        <v>0</v>
      </c>
      <c r="K556" s="8" t="str">
        <f aca="false">IF($J556=0,"SEM CULTURA",INDEX(ROTACAO_RDM!$F$6:$F$71,$J556))</f>
        <v>SEM CULTURA</v>
      </c>
      <c r="L556" s="8" t="str">
        <f aca="false">IF($J556=0,"",INDEX(ROTACAO_RDM!$G$6:$G$71,$J556))</f>
        <v/>
      </c>
      <c r="M556" s="17" t="str">
        <f aca="false">IF($J556=0,"",INDEX(ROTACAO_RDM!$I$6:$I$71,$J556))</f>
        <v/>
      </c>
      <c r="N556" s="16" t="n">
        <f aca="false">IF($J556=0,0,MAX(0,$C556+INT(DIAS_POR_SEMANA/2)-INDEX(ROTACAO_RDM!$I$6:$I$71,$J556)))</f>
        <v>0</v>
      </c>
      <c r="O556" s="19" t="n">
        <f aca="false">IF($J556=0,0,MIN(1,$N556/MAX(1,INDEX(ROTACAO_RDM!$K$6:$K$71,$J556))))</f>
        <v>0</v>
      </c>
      <c r="P556" s="16" t="n">
        <f aca="false">IF($J556=0,0,IFERROR(MATCH(INDEX(ROTACAO_RDM!$N$6:$N$71,$J556),PARAMETROS_CULTURAS!$B$6:$B$28,0),0))</f>
        <v>0</v>
      </c>
      <c r="Q556" s="8" t="str">
        <f aca="false">IF($P556=0,"-",IF($O556&lt;=INDEX(PARAMETROS_CULTURAS!$F$6:$F$28,$P556),"INICIAL",IF($O556&lt;=INDEX(PARAMETROS_CULTURAS!$F$6:$F$28,$P556)+INDEX(PARAMETROS_CULTURAS!$G$6:$G$28,$P556),"DESENVOLVIMENTO",IF($O556&lt;=INDEX(PARAMETROS_CULTURAS!$F$6:$F$28,$P556)+INDEX(PARAMETROS_CULTURAS!$G$6:$G$28,$P556)+INDEX(PARAMETROS_CULTURAS!$H$6:$H$28,$P556),"MEDIA","FINAL"))))</f>
        <v>-</v>
      </c>
      <c r="R556" s="24" t="n">
        <f aca="false">IF($P556=0,0,IF($O556&lt;=INDEX(PARAMETROS_CULTURAS!$F$6:$F$28,$P556),INDEX(PARAMETROS_CULTURAS!$K$6:$K$28,$P556),IF($O556&lt;=INDEX(PARAMETROS_CULTURAS!$F$6:$F$28,$P556)+INDEX(PARAMETROS_CULTURAS!$G$6:$G$28,$P556),INDEX(PARAMETROS_CULTURAS!$K$6:$K$28,$P556)+(INDEX(PARAMETROS_CULTURAS!$L$6:$L$28,$P556)-INDEX(PARAMETROS_CULTURAS!$K$6:$K$28,$P556))*($O556-INDEX(PARAMETROS_CULTURAS!$F$6:$F$28,$P556))/MAX(INDEX(PARAMETROS_CULTURAS!$G$6:$G$28,$P556),0.0001),IF($O556&lt;=INDEX(PARAMETROS_CULTURAS!$F$6:$F$28,$P556)+INDEX(PARAMETROS_CULTURAS!$G$6:$G$28,$P556)+INDEX(PARAMETROS_CULTURAS!$H$6:$H$28,$P556),INDEX(PARAMETROS_CULTURAS!$L$6:$L$28,$P556),INDEX(PARAMETROS_CULTURAS!$L$6:$L$28,$P556)+(INDEX(PARAMETROS_CULTURAS!$M$6:$M$28,$P556)-INDEX(PARAMETROS_CULTURAS!$L$6:$L$28,$P556))*($O556-INDEX(PARAMETROS_CULTURAS!$F$6:$F$28,$P556)-INDEX(PARAMETROS_CULTURAS!$G$6:$G$28,$P556)-INDEX(PARAMETROS_CULTURAS!$H$6:$H$28,$P556))/MAX(INDEX(PARAMETROS_CULTURAS!$I$6:$I$28,$P556),0.0001)))))</f>
        <v>0</v>
      </c>
      <c r="S556" s="18" t="n">
        <f aca="false">IFERROR(INDEX(SEMANAS!$H$6:$H$71,MATCH($B556,SEMANAS!$B$6:$B$71,0)),0)</f>
        <v>32.9</v>
      </c>
      <c r="T556" s="18" t="n">
        <f aca="false">$R556*$S556</f>
        <v>0</v>
      </c>
      <c r="U556" s="18" t="n">
        <f aca="false">IFERROR(INDEX(SEMANAS!$I$6:$I$71,MATCH($B556,SEMANAS!$B$6:$B$71,0)),0)</f>
        <v>39.97</v>
      </c>
      <c r="V556" s="18" t="n">
        <f aca="false">IFERROR(INDEX(SEMANAS!$J$6:$J$71,MATCH($B556,SEMANAS!$B$6:$B$71,0)),0)</f>
        <v>31.976</v>
      </c>
      <c r="W556" s="18" t="n">
        <f aca="false">MAX(0,$T556-$V556)</f>
        <v>0</v>
      </c>
      <c r="X556" s="19" t="n">
        <f aca="false">IFERROR(INDEX(CADASTRO_PIVOS!$K$6:$K$41,MATCH($E556,CADASTRO_PIVOS!$B$6:$B$41,0)),EFICIENCIA_PADRAO)</f>
        <v>0.85</v>
      </c>
      <c r="Y556" s="18" t="n">
        <f aca="false">IF($X556&lt;=0,0,$W556/$X556)</f>
        <v>0</v>
      </c>
      <c r="Z556" s="16" t="n">
        <f aca="false">$Y556*$H556*MM_PARA_M3_HA</f>
        <v>0</v>
      </c>
      <c r="AA556" s="18" t="n">
        <f aca="false">IFERROR(INDEX(CADASTRO_PIVOS!$I$6:$I$41,MATCH($E556,CADASTRO_PIVOS!$B$6:$B$41,0)),0)</f>
        <v>717.214285714286</v>
      </c>
      <c r="AB556" s="18" t="n">
        <f aca="false">IF($Z556&lt;=0,0,$Z556/$AA556)</f>
        <v>0</v>
      </c>
      <c r="AC556" s="16" t="n">
        <f aca="false">IFERROR(INDEX(SEMANAS!$K$6:$K$71,MATCH($B556,SEMANAS!$B$6:$B$71,0)),0)</f>
        <v>147</v>
      </c>
      <c r="AD556" s="19" t="n">
        <f aca="false">IF($AC556&lt;=0,0,$AB556/$AC556)</f>
        <v>0</v>
      </c>
      <c r="AE556" s="8" t="str">
        <f aca="false">IF($K556="SEM CULTURA","SEM CULTURA",IF($AA556&lt;=0,"DADO PENDENTE",IF($AD556&gt;LIMITE_CRITICO,"INVIAVEL",IF($AD556&gt;LIMITE_ATENCAO,"CRITICO",IF($AD556&gt;LIMITE_CONFORTAVEL,"ATENCAO","OK")))))</f>
        <v>SEM CULTURA</v>
      </c>
      <c r="AF556" s="8" t="str">
        <f aca="false">$B556&amp;"|"&amp;TEXT($AD556,"0.000000")</f>
        <v>23|0.000000</v>
      </c>
      <c r="AG556" s="18" t="n">
        <f aca="false">IF($K556="SEM CULTURA",0,$T556*$H556)</f>
        <v>0</v>
      </c>
      <c r="AH556" s="18" t="n">
        <f aca="false">IF($K556="SEM CULTURA",0,$V556*$H556)</f>
        <v>0</v>
      </c>
      <c r="AI556" s="18" t="n">
        <f aca="false">IF($K556="SEM CULTURA",0,$W556*$H556)</f>
        <v>0</v>
      </c>
      <c r="AJ556" s="18" t="n">
        <f aca="false">IF($K556="SEM CULTURA",0,$S556*$H556)</f>
        <v>0</v>
      </c>
      <c r="AK556" s="8" t="str">
        <f aca="false">$E556&amp;"|"&amp;TEXT($AD556,"0.000000")</f>
        <v>PV 104|0.000000</v>
      </c>
    </row>
    <row r="557" customFormat="false" ht="15" hidden="false" customHeight="false" outlineLevel="0" collapsed="false">
      <c r="B557" s="16" t="n">
        <v>24</v>
      </c>
      <c r="C557" s="17" t="n">
        <f aca="false">DATA_INICIO_SAFRA+($B557-1)*DIAS_POR_SEMANA</f>
        <v>46426</v>
      </c>
      <c r="D557" s="17" t="n">
        <f aca="false">$C557+DIAS_POR_SEMANA-1</f>
        <v>46432</v>
      </c>
      <c r="E557" s="15" t="s">
        <v>267</v>
      </c>
      <c r="F557" s="8" t="str">
        <f aca="false">IFERROR(INDEX(CADASTRO_PIVOS!$C$6:$C$41,MATCH($E557,CADASTRO_PIVOS!$B$6:$B$41,0)),"?")</f>
        <v>RM04</v>
      </c>
      <c r="G557" s="8" t="str">
        <f aca="false">IFERROR(INDEX(CADASTRO_PIVOS!$D$6:$D$41,MATCH($E557,CADASTRO_PIVOS!$B$6:$B$41,0)),"?")</f>
        <v>TR04</v>
      </c>
      <c r="H557" s="20" t="n">
        <f aca="false">IFERROR(INDEX(CADASTRO_PIVOS!$E$6:$E$41,MATCH($E557,CADASTRO_PIVOS!$B$6:$B$41,0)),0)</f>
        <v>100.41</v>
      </c>
      <c r="I557" s="16" t="n">
        <f aca="false">IFERROR(SUMIFS(ROTACAO_RDM!$B$6:$B$71,ROTACAO_RDM!$D$6:$D$71,$E557,ROTACAO_RDM!$I$6:$I$71,"&lt;="&amp;$C557+INT(DIAS_POR_SEMANA/2),ROTACAO_RDM!$J$6:$J$71,"&gt;="&amp;$C557+INT(DIAS_POR_SEMANA/2)),0)</f>
        <v>6</v>
      </c>
      <c r="J557" s="16" t="n">
        <f aca="false">IFERROR(MATCH($I557,ROTACAO_RDM!$B$6:$B$71,0),0)</f>
        <v>6</v>
      </c>
      <c r="K557" s="8" t="str">
        <f aca="false">IF($J557=0,"SEM CULTURA",INDEX(ROTACAO_RDM!$F$6:$F$71,$J557))</f>
        <v>ALGODAO</v>
      </c>
      <c r="L557" s="8" t="str">
        <f aca="false">IF($J557=0,"",INDEX(ROTACAO_RDM!$G$6:$G$71,$J557))</f>
        <v>FM 911 GLTP</v>
      </c>
      <c r="M557" s="17" t="n">
        <f aca="false">IF($J557=0,"",INDEX(ROTACAO_RDM!$I$6:$I$71,$J557))</f>
        <v>46423</v>
      </c>
      <c r="N557" s="16" t="n">
        <f aca="false">IF($J557=0,0,MAX(0,$C557+INT(DIAS_POR_SEMANA/2)-INDEX(ROTACAO_RDM!$I$6:$I$71,$J557)))</f>
        <v>6</v>
      </c>
      <c r="O557" s="19" t="n">
        <f aca="false">IF($J557=0,0,MIN(1,$N557/MAX(1,INDEX(ROTACAO_RDM!$K$6:$K$71,$J557))))</f>
        <v>0.0333333333333333</v>
      </c>
      <c r="P557" s="16" t="n">
        <f aca="false">IF($J557=0,0,IFERROR(MATCH(INDEX(ROTACAO_RDM!$N$6:$N$71,$J557),PARAMETROS_CULTURAS!$B$6:$B$28,0),0))</f>
        <v>4</v>
      </c>
      <c r="Q557" s="8" t="str">
        <f aca="false">IF($P557=0,"-",IF($O557&lt;=INDEX(PARAMETROS_CULTURAS!$F$6:$F$28,$P557),"INICIAL",IF($O557&lt;=INDEX(PARAMETROS_CULTURAS!$F$6:$F$28,$P557)+INDEX(PARAMETROS_CULTURAS!$G$6:$G$28,$P557),"DESENVOLVIMENTO",IF($O557&lt;=INDEX(PARAMETROS_CULTURAS!$F$6:$F$28,$P557)+INDEX(PARAMETROS_CULTURAS!$G$6:$G$28,$P557)+INDEX(PARAMETROS_CULTURAS!$H$6:$H$28,$P557),"MEDIA","FINAL"))))</f>
        <v>INICIAL</v>
      </c>
      <c r="R557" s="24" t="n">
        <f aca="false">IF($P557=0,0,IF($O557&lt;=INDEX(PARAMETROS_CULTURAS!$F$6:$F$28,$P557),INDEX(PARAMETROS_CULTURAS!$K$6:$K$28,$P557),IF($O557&lt;=INDEX(PARAMETROS_CULTURAS!$F$6:$F$28,$P557)+INDEX(PARAMETROS_CULTURAS!$G$6:$G$28,$P557),INDEX(PARAMETROS_CULTURAS!$K$6:$K$28,$P557)+(INDEX(PARAMETROS_CULTURAS!$L$6:$L$28,$P557)-INDEX(PARAMETROS_CULTURAS!$K$6:$K$28,$P557))*($O557-INDEX(PARAMETROS_CULTURAS!$F$6:$F$28,$P557))/MAX(INDEX(PARAMETROS_CULTURAS!$G$6:$G$28,$P557),0.0001),IF($O557&lt;=INDEX(PARAMETROS_CULTURAS!$F$6:$F$28,$P557)+INDEX(PARAMETROS_CULTURAS!$G$6:$G$28,$P557)+INDEX(PARAMETROS_CULTURAS!$H$6:$H$28,$P557),INDEX(PARAMETROS_CULTURAS!$L$6:$L$28,$P557),INDEX(PARAMETROS_CULTURAS!$L$6:$L$28,$P557)+(INDEX(PARAMETROS_CULTURAS!$M$6:$M$28,$P557)-INDEX(PARAMETROS_CULTURAS!$L$6:$L$28,$P557))*($O557-INDEX(PARAMETROS_CULTURAS!$F$6:$F$28,$P557)-INDEX(PARAMETROS_CULTURAS!$G$6:$G$28,$P557)-INDEX(PARAMETROS_CULTURAS!$H$6:$H$28,$P557))/MAX(INDEX(PARAMETROS_CULTURAS!$I$6:$I$28,$P557),0.0001)))))</f>
        <v>0.35</v>
      </c>
      <c r="S557" s="18" t="n">
        <f aca="false">IFERROR(INDEX(SEMANAS!$H$6:$H$71,MATCH($B557,SEMANAS!$B$6:$B$71,0)),0)</f>
        <v>32.9</v>
      </c>
      <c r="T557" s="18" t="n">
        <f aca="false">$R557*$S557</f>
        <v>11.515</v>
      </c>
      <c r="U557" s="18" t="n">
        <f aca="false">IFERROR(INDEX(SEMANAS!$I$6:$I$71,MATCH($B557,SEMANAS!$B$6:$B$71,0)),0)</f>
        <v>39.97</v>
      </c>
      <c r="V557" s="18" t="n">
        <f aca="false">IFERROR(INDEX(SEMANAS!$J$6:$J$71,MATCH($B557,SEMANAS!$B$6:$B$71,0)),0)</f>
        <v>31.976</v>
      </c>
      <c r="W557" s="18" t="n">
        <f aca="false">MAX(0,$T557-$V557)</f>
        <v>0</v>
      </c>
      <c r="X557" s="19" t="n">
        <f aca="false">IFERROR(INDEX(CADASTRO_PIVOS!$K$6:$K$41,MATCH($E557,CADASTRO_PIVOS!$B$6:$B$41,0)),EFICIENCIA_PADRAO)</f>
        <v>0.85</v>
      </c>
      <c r="Y557" s="18" t="n">
        <f aca="false">IF($X557&lt;=0,0,$W557/$X557)</f>
        <v>0</v>
      </c>
      <c r="Z557" s="16" t="n">
        <f aca="false">$Y557*$H557*MM_PARA_M3_HA</f>
        <v>0</v>
      </c>
      <c r="AA557" s="18" t="n">
        <f aca="false">IFERROR(INDEX(CADASTRO_PIVOS!$I$6:$I$41,MATCH($E557,CADASTRO_PIVOS!$B$6:$B$41,0)),0)</f>
        <v>717.214285714286</v>
      </c>
      <c r="AB557" s="18" t="n">
        <f aca="false">IF($Z557&lt;=0,0,$Z557/$AA557)</f>
        <v>0</v>
      </c>
      <c r="AC557" s="16" t="n">
        <f aca="false">IFERROR(INDEX(SEMANAS!$K$6:$K$71,MATCH($B557,SEMANAS!$B$6:$B$71,0)),0)</f>
        <v>147</v>
      </c>
      <c r="AD557" s="19" t="n">
        <f aca="false">IF($AC557&lt;=0,0,$AB557/$AC557)</f>
        <v>0</v>
      </c>
      <c r="AE557" s="8" t="str">
        <f aca="false">IF($K557="SEM CULTURA","SEM CULTURA",IF($AA557&lt;=0,"DADO PENDENTE",IF($AD557&gt;LIMITE_CRITICO,"INVIAVEL",IF($AD557&gt;LIMITE_ATENCAO,"CRITICO",IF($AD557&gt;LIMITE_CONFORTAVEL,"ATENCAO","OK")))))</f>
        <v>OK</v>
      </c>
      <c r="AF557" s="8" t="str">
        <f aca="false">$B557&amp;"|"&amp;TEXT($AD557,"0.000000")</f>
        <v>24|0.000000</v>
      </c>
      <c r="AG557" s="18" t="n">
        <f aca="false">IF($K557="SEM CULTURA",0,$T557*$H557)</f>
        <v>1156.22115</v>
      </c>
      <c r="AH557" s="18" t="n">
        <f aca="false">IF($K557="SEM CULTURA",0,$V557*$H557)</f>
        <v>3210.71016</v>
      </c>
      <c r="AI557" s="18" t="n">
        <f aca="false">IF($K557="SEM CULTURA",0,$W557*$H557)</f>
        <v>0</v>
      </c>
      <c r="AJ557" s="18" t="n">
        <f aca="false">IF($K557="SEM CULTURA",0,$S557*$H557)</f>
        <v>3303.489</v>
      </c>
      <c r="AK557" s="8" t="str">
        <f aca="false">$E557&amp;"|"&amp;TEXT($AD557,"0.000000")</f>
        <v>PV 104|0.000000</v>
      </c>
    </row>
    <row r="558" customFormat="false" ht="15" hidden="false" customHeight="false" outlineLevel="0" collapsed="false">
      <c r="B558" s="16" t="n">
        <v>25</v>
      </c>
      <c r="C558" s="17" t="n">
        <f aca="false">DATA_INICIO_SAFRA+($B558-1)*DIAS_POR_SEMANA</f>
        <v>46433</v>
      </c>
      <c r="D558" s="17" t="n">
        <f aca="false">$C558+DIAS_POR_SEMANA-1</f>
        <v>46439</v>
      </c>
      <c r="E558" s="15" t="s">
        <v>267</v>
      </c>
      <c r="F558" s="8" t="str">
        <f aca="false">IFERROR(INDEX(CADASTRO_PIVOS!$C$6:$C$41,MATCH($E558,CADASTRO_PIVOS!$B$6:$B$41,0)),"?")</f>
        <v>RM04</v>
      </c>
      <c r="G558" s="8" t="str">
        <f aca="false">IFERROR(INDEX(CADASTRO_PIVOS!$D$6:$D$41,MATCH($E558,CADASTRO_PIVOS!$B$6:$B$41,0)),"?")</f>
        <v>TR04</v>
      </c>
      <c r="H558" s="20" t="n">
        <f aca="false">IFERROR(INDEX(CADASTRO_PIVOS!$E$6:$E$41,MATCH($E558,CADASTRO_PIVOS!$B$6:$B$41,0)),0)</f>
        <v>100.41</v>
      </c>
      <c r="I558" s="16" t="n">
        <f aca="false">IFERROR(SUMIFS(ROTACAO_RDM!$B$6:$B$71,ROTACAO_RDM!$D$6:$D$71,$E558,ROTACAO_RDM!$I$6:$I$71,"&lt;="&amp;$C558+INT(DIAS_POR_SEMANA/2),ROTACAO_RDM!$J$6:$J$71,"&gt;="&amp;$C558+INT(DIAS_POR_SEMANA/2)),0)</f>
        <v>6</v>
      </c>
      <c r="J558" s="16" t="n">
        <f aca="false">IFERROR(MATCH($I558,ROTACAO_RDM!$B$6:$B$71,0),0)</f>
        <v>6</v>
      </c>
      <c r="K558" s="8" t="str">
        <f aca="false">IF($J558=0,"SEM CULTURA",INDEX(ROTACAO_RDM!$F$6:$F$71,$J558))</f>
        <v>ALGODAO</v>
      </c>
      <c r="L558" s="8" t="str">
        <f aca="false">IF($J558=0,"",INDEX(ROTACAO_RDM!$G$6:$G$71,$J558))</f>
        <v>FM 911 GLTP</v>
      </c>
      <c r="M558" s="17" t="n">
        <f aca="false">IF($J558=0,"",INDEX(ROTACAO_RDM!$I$6:$I$71,$J558))</f>
        <v>46423</v>
      </c>
      <c r="N558" s="16" t="n">
        <f aca="false">IF($J558=0,0,MAX(0,$C558+INT(DIAS_POR_SEMANA/2)-INDEX(ROTACAO_RDM!$I$6:$I$71,$J558)))</f>
        <v>13</v>
      </c>
      <c r="O558" s="19" t="n">
        <f aca="false">IF($J558=0,0,MIN(1,$N558/MAX(1,INDEX(ROTACAO_RDM!$K$6:$K$71,$J558))))</f>
        <v>0.0722222222222222</v>
      </c>
      <c r="P558" s="16" t="n">
        <f aca="false">IF($J558=0,0,IFERROR(MATCH(INDEX(ROTACAO_RDM!$N$6:$N$71,$J558),PARAMETROS_CULTURAS!$B$6:$B$28,0),0))</f>
        <v>4</v>
      </c>
      <c r="Q558" s="8" t="str">
        <f aca="false">IF($P558=0,"-",IF($O558&lt;=INDEX(PARAMETROS_CULTURAS!$F$6:$F$28,$P558),"INICIAL",IF($O558&lt;=INDEX(PARAMETROS_CULTURAS!$F$6:$F$28,$P558)+INDEX(PARAMETROS_CULTURAS!$G$6:$G$28,$P558),"DESENVOLVIMENTO",IF($O558&lt;=INDEX(PARAMETROS_CULTURAS!$F$6:$F$28,$P558)+INDEX(PARAMETROS_CULTURAS!$G$6:$G$28,$P558)+INDEX(PARAMETROS_CULTURAS!$H$6:$H$28,$P558),"MEDIA","FINAL"))))</f>
        <v>INICIAL</v>
      </c>
      <c r="R558" s="24" t="n">
        <f aca="false">IF($P558=0,0,IF($O558&lt;=INDEX(PARAMETROS_CULTURAS!$F$6:$F$28,$P558),INDEX(PARAMETROS_CULTURAS!$K$6:$K$28,$P558),IF($O558&lt;=INDEX(PARAMETROS_CULTURAS!$F$6:$F$28,$P558)+INDEX(PARAMETROS_CULTURAS!$G$6:$G$28,$P558),INDEX(PARAMETROS_CULTURAS!$K$6:$K$28,$P558)+(INDEX(PARAMETROS_CULTURAS!$L$6:$L$28,$P558)-INDEX(PARAMETROS_CULTURAS!$K$6:$K$28,$P558))*($O558-INDEX(PARAMETROS_CULTURAS!$F$6:$F$28,$P558))/MAX(INDEX(PARAMETROS_CULTURAS!$G$6:$G$28,$P558),0.0001),IF($O558&lt;=INDEX(PARAMETROS_CULTURAS!$F$6:$F$28,$P558)+INDEX(PARAMETROS_CULTURAS!$G$6:$G$28,$P558)+INDEX(PARAMETROS_CULTURAS!$H$6:$H$28,$P558),INDEX(PARAMETROS_CULTURAS!$L$6:$L$28,$P558),INDEX(PARAMETROS_CULTURAS!$L$6:$L$28,$P558)+(INDEX(PARAMETROS_CULTURAS!$M$6:$M$28,$P558)-INDEX(PARAMETROS_CULTURAS!$L$6:$L$28,$P558))*($O558-INDEX(PARAMETROS_CULTURAS!$F$6:$F$28,$P558)-INDEX(PARAMETROS_CULTURAS!$G$6:$G$28,$P558)-INDEX(PARAMETROS_CULTURAS!$H$6:$H$28,$P558))/MAX(INDEX(PARAMETROS_CULTURAS!$I$6:$I$28,$P558),0.0001)))))</f>
        <v>0.35</v>
      </c>
      <c r="S558" s="18" t="n">
        <f aca="false">IFERROR(INDEX(SEMANAS!$H$6:$H$71,MATCH($B558,SEMANAS!$B$6:$B$71,0)),0)</f>
        <v>32.9</v>
      </c>
      <c r="T558" s="18" t="n">
        <f aca="false">$R558*$S558</f>
        <v>11.515</v>
      </c>
      <c r="U558" s="18" t="n">
        <f aca="false">IFERROR(INDEX(SEMANAS!$I$6:$I$71,MATCH($B558,SEMANAS!$B$6:$B$71,0)),0)</f>
        <v>39.97</v>
      </c>
      <c r="V558" s="18" t="n">
        <f aca="false">IFERROR(INDEX(SEMANAS!$J$6:$J$71,MATCH($B558,SEMANAS!$B$6:$B$71,0)),0)</f>
        <v>31.976</v>
      </c>
      <c r="W558" s="18" t="n">
        <f aca="false">MAX(0,$T558-$V558)</f>
        <v>0</v>
      </c>
      <c r="X558" s="19" t="n">
        <f aca="false">IFERROR(INDEX(CADASTRO_PIVOS!$K$6:$K$41,MATCH($E558,CADASTRO_PIVOS!$B$6:$B$41,0)),EFICIENCIA_PADRAO)</f>
        <v>0.85</v>
      </c>
      <c r="Y558" s="18" t="n">
        <f aca="false">IF($X558&lt;=0,0,$W558/$X558)</f>
        <v>0</v>
      </c>
      <c r="Z558" s="16" t="n">
        <f aca="false">$Y558*$H558*MM_PARA_M3_HA</f>
        <v>0</v>
      </c>
      <c r="AA558" s="18" t="n">
        <f aca="false">IFERROR(INDEX(CADASTRO_PIVOS!$I$6:$I$41,MATCH($E558,CADASTRO_PIVOS!$B$6:$B$41,0)),0)</f>
        <v>717.214285714286</v>
      </c>
      <c r="AB558" s="18" t="n">
        <f aca="false">IF($Z558&lt;=0,0,$Z558/$AA558)</f>
        <v>0</v>
      </c>
      <c r="AC558" s="16" t="n">
        <f aca="false">IFERROR(INDEX(SEMANAS!$K$6:$K$71,MATCH($B558,SEMANAS!$B$6:$B$71,0)),0)</f>
        <v>147</v>
      </c>
      <c r="AD558" s="19" t="n">
        <f aca="false">IF($AC558&lt;=0,0,$AB558/$AC558)</f>
        <v>0</v>
      </c>
      <c r="AE558" s="8" t="str">
        <f aca="false">IF($K558="SEM CULTURA","SEM CULTURA",IF($AA558&lt;=0,"DADO PENDENTE",IF($AD558&gt;LIMITE_CRITICO,"INVIAVEL",IF($AD558&gt;LIMITE_ATENCAO,"CRITICO",IF($AD558&gt;LIMITE_CONFORTAVEL,"ATENCAO","OK")))))</f>
        <v>OK</v>
      </c>
      <c r="AF558" s="8" t="str">
        <f aca="false">$B558&amp;"|"&amp;TEXT($AD558,"0.000000")</f>
        <v>25|0.000000</v>
      </c>
      <c r="AG558" s="18" t="n">
        <f aca="false">IF($K558="SEM CULTURA",0,$T558*$H558)</f>
        <v>1156.22115</v>
      </c>
      <c r="AH558" s="18" t="n">
        <f aca="false">IF($K558="SEM CULTURA",0,$V558*$H558)</f>
        <v>3210.71016</v>
      </c>
      <c r="AI558" s="18" t="n">
        <f aca="false">IF($K558="SEM CULTURA",0,$W558*$H558)</f>
        <v>0</v>
      </c>
      <c r="AJ558" s="18" t="n">
        <f aca="false">IF($K558="SEM CULTURA",0,$S558*$H558)</f>
        <v>3303.489</v>
      </c>
      <c r="AK558" s="8" t="str">
        <f aca="false">$E558&amp;"|"&amp;TEXT($AD558,"0.000000")</f>
        <v>PV 104|0.000000</v>
      </c>
    </row>
    <row r="559" customFormat="false" ht="15" hidden="false" customHeight="false" outlineLevel="0" collapsed="false">
      <c r="B559" s="16" t="n">
        <v>26</v>
      </c>
      <c r="C559" s="17" t="n">
        <f aca="false">DATA_INICIO_SAFRA+($B559-1)*DIAS_POR_SEMANA</f>
        <v>46440</v>
      </c>
      <c r="D559" s="17" t="n">
        <f aca="false">$C559+DIAS_POR_SEMANA-1</f>
        <v>46446</v>
      </c>
      <c r="E559" s="15" t="s">
        <v>267</v>
      </c>
      <c r="F559" s="8" t="str">
        <f aca="false">IFERROR(INDEX(CADASTRO_PIVOS!$C$6:$C$41,MATCH($E559,CADASTRO_PIVOS!$B$6:$B$41,0)),"?")</f>
        <v>RM04</v>
      </c>
      <c r="G559" s="8" t="str">
        <f aca="false">IFERROR(INDEX(CADASTRO_PIVOS!$D$6:$D$41,MATCH($E559,CADASTRO_PIVOS!$B$6:$B$41,0)),"?")</f>
        <v>TR04</v>
      </c>
      <c r="H559" s="20" t="n">
        <f aca="false">IFERROR(INDEX(CADASTRO_PIVOS!$E$6:$E$41,MATCH($E559,CADASTRO_PIVOS!$B$6:$B$41,0)),0)</f>
        <v>100.41</v>
      </c>
      <c r="I559" s="16" t="n">
        <f aca="false">IFERROR(SUMIFS(ROTACAO_RDM!$B$6:$B$71,ROTACAO_RDM!$D$6:$D$71,$E559,ROTACAO_RDM!$I$6:$I$71,"&lt;="&amp;$C559+INT(DIAS_POR_SEMANA/2),ROTACAO_RDM!$J$6:$J$71,"&gt;="&amp;$C559+INT(DIAS_POR_SEMANA/2)),0)</f>
        <v>6</v>
      </c>
      <c r="J559" s="16" t="n">
        <f aca="false">IFERROR(MATCH($I559,ROTACAO_RDM!$B$6:$B$71,0),0)</f>
        <v>6</v>
      </c>
      <c r="K559" s="8" t="str">
        <f aca="false">IF($J559=0,"SEM CULTURA",INDEX(ROTACAO_RDM!$F$6:$F$71,$J559))</f>
        <v>ALGODAO</v>
      </c>
      <c r="L559" s="8" t="str">
        <f aca="false">IF($J559=0,"",INDEX(ROTACAO_RDM!$G$6:$G$71,$J559))</f>
        <v>FM 911 GLTP</v>
      </c>
      <c r="M559" s="17" t="n">
        <f aca="false">IF($J559=0,"",INDEX(ROTACAO_RDM!$I$6:$I$71,$J559))</f>
        <v>46423</v>
      </c>
      <c r="N559" s="16" t="n">
        <f aca="false">IF($J559=0,0,MAX(0,$C559+INT(DIAS_POR_SEMANA/2)-INDEX(ROTACAO_RDM!$I$6:$I$71,$J559)))</f>
        <v>20</v>
      </c>
      <c r="O559" s="19" t="n">
        <f aca="false">IF($J559=0,0,MIN(1,$N559/MAX(1,INDEX(ROTACAO_RDM!$K$6:$K$71,$J559))))</f>
        <v>0.111111111111111</v>
      </c>
      <c r="P559" s="16" t="n">
        <f aca="false">IF($J559=0,0,IFERROR(MATCH(INDEX(ROTACAO_RDM!$N$6:$N$71,$J559),PARAMETROS_CULTURAS!$B$6:$B$28,0),0))</f>
        <v>4</v>
      </c>
      <c r="Q559" s="8" t="str">
        <f aca="false">IF($P559=0,"-",IF($O559&lt;=INDEX(PARAMETROS_CULTURAS!$F$6:$F$28,$P559),"INICIAL",IF($O559&lt;=INDEX(PARAMETROS_CULTURAS!$F$6:$F$28,$P559)+INDEX(PARAMETROS_CULTURAS!$G$6:$G$28,$P559),"DESENVOLVIMENTO",IF($O559&lt;=INDEX(PARAMETROS_CULTURAS!$F$6:$F$28,$P559)+INDEX(PARAMETROS_CULTURAS!$G$6:$G$28,$P559)+INDEX(PARAMETROS_CULTURAS!$H$6:$H$28,$P559),"MEDIA","FINAL"))))</f>
        <v>INICIAL</v>
      </c>
      <c r="R559" s="24" t="n">
        <f aca="false">IF($P559=0,0,IF($O559&lt;=INDEX(PARAMETROS_CULTURAS!$F$6:$F$28,$P559),INDEX(PARAMETROS_CULTURAS!$K$6:$K$28,$P559),IF($O559&lt;=INDEX(PARAMETROS_CULTURAS!$F$6:$F$28,$P559)+INDEX(PARAMETROS_CULTURAS!$G$6:$G$28,$P559),INDEX(PARAMETROS_CULTURAS!$K$6:$K$28,$P559)+(INDEX(PARAMETROS_CULTURAS!$L$6:$L$28,$P559)-INDEX(PARAMETROS_CULTURAS!$K$6:$K$28,$P559))*($O559-INDEX(PARAMETROS_CULTURAS!$F$6:$F$28,$P559))/MAX(INDEX(PARAMETROS_CULTURAS!$G$6:$G$28,$P559),0.0001),IF($O559&lt;=INDEX(PARAMETROS_CULTURAS!$F$6:$F$28,$P559)+INDEX(PARAMETROS_CULTURAS!$G$6:$G$28,$P559)+INDEX(PARAMETROS_CULTURAS!$H$6:$H$28,$P559),INDEX(PARAMETROS_CULTURAS!$L$6:$L$28,$P559),INDEX(PARAMETROS_CULTURAS!$L$6:$L$28,$P559)+(INDEX(PARAMETROS_CULTURAS!$M$6:$M$28,$P559)-INDEX(PARAMETROS_CULTURAS!$L$6:$L$28,$P559))*($O559-INDEX(PARAMETROS_CULTURAS!$F$6:$F$28,$P559)-INDEX(PARAMETROS_CULTURAS!$G$6:$G$28,$P559)-INDEX(PARAMETROS_CULTURAS!$H$6:$H$28,$P559))/MAX(INDEX(PARAMETROS_CULTURAS!$I$6:$I$28,$P559),0.0001)))))</f>
        <v>0.35</v>
      </c>
      <c r="S559" s="18" t="n">
        <f aca="false">IFERROR(INDEX(SEMANAS!$H$6:$H$71,MATCH($B559,SEMANAS!$B$6:$B$71,0)),0)</f>
        <v>32.9</v>
      </c>
      <c r="T559" s="18" t="n">
        <f aca="false">$R559*$S559</f>
        <v>11.515</v>
      </c>
      <c r="U559" s="18" t="n">
        <f aca="false">IFERROR(INDEX(SEMANAS!$I$6:$I$71,MATCH($B559,SEMANAS!$B$6:$B$71,0)),0)</f>
        <v>39.97</v>
      </c>
      <c r="V559" s="18" t="n">
        <f aca="false">IFERROR(INDEX(SEMANAS!$J$6:$J$71,MATCH($B559,SEMANAS!$B$6:$B$71,0)),0)</f>
        <v>31.976</v>
      </c>
      <c r="W559" s="18" t="n">
        <f aca="false">MAX(0,$T559-$V559)</f>
        <v>0</v>
      </c>
      <c r="X559" s="19" t="n">
        <f aca="false">IFERROR(INDEX(CADASTRO_PIVOS!$K$6:$K$41,MATCH($E559,CADASTRO_PIVOS!$B$6:$B$41,0)),EFICIENCIA_PADRAO)</f>
        <v>0.85</v>
      </c>
      <c r="Y559" s="18" t="n">
        <f aca="false">IF($X559&lt;=0,0,$W559/$X559)</f>
        <v>0</v>
      </c>
      <c r="Z559" s="16" t="n">
        <f aca="false">$Y559*$H559*MM_PARA_M3_HA</f>
        <v>0</v>
      </c>
      <c r="AA559" s="18" t="n">
        <f aca="false">IFERROR(INDEX(CADASTRO_PIVOS!$I$6:$I$41,MATCH($E559,CADASTRO_PIVOS!$B$6:$B$41,0)),0)</f>
        <v>717.214285714286</v>
      </c>
      <c r="AB559" s="18" t="n">
        <f aca="false">IF($Z559&lt;=0,0,$Z559/$AA559)</f>
        <v>0</v>
      </c>
      <c r="AC559" s="16" t="n">
        <f aca="false">IFERROR(INDEX(SEMANAS!$K$6:$K$71,MATCH($B559,SEMANAS!$B$6:$B$71,0)),0)</f>
        <v>147</v>
      </c>
      <c r="AD559" s="19" t="n">
        <f aca="false">IF($AC559&lt;=0,0,$AB559/$AC559)</f>
        <v>0</v>
      </c>
      <c r="AE559" s="8" t="str">
        <f aca="false">IF($K559="SEM CULTURA","SEM CULTURA",IF($AA559&lt;=0,"DADO PENDENTE",IF($AD559&gt;LIMITE_CRITICO,"INVIAVEL",IF($AD559&gt;LIMITE_ATENCAO,"CRITICO",IF($AD559&gt;LIMITE_CONFORTAVEL,"ATENCAO","OK")))))</f>
        <v>OK</v>
      </c>
      <c r="AF559" s="8" t="str">
        <f aca="false">$B559&amp;"|"&amp;TEXT($AD559,"0.000000")</f>
        <v>26|0.000000</v>
      </c>
      <c r="AG559" s="18" t="n">
        <f aca="false">IF($K559="SEM CULTURA",0,$T559*$H559)</f>
        <v>1156.22115</v>
      </c>
      <c r="AH559" s="18" t="n">
        <f aca="false">IF($K559="SEM CULTURA",0,$V559*$H559)</f>
        <v>3210.71016</v>
      </c>
      <c r="AI559" s="18" t="n">
        <f aca="false">IF($K559="SEM CULTURA",0,$W559*$H559)</f>
        <v>0</v>
      </c>
      <c r="AJ559" s="18" t="n">
        <f aca="false">IF($K559="SEM CULTURA",0,$S559*$H559)</f>
        <v>3303.489</v>
      </c>
      <c r="AK559" s="8" t="str">
        <f aca="false">$E559&amp;"|"&amp;TEXT($AD559,"0.000000")</f>
        <v>PV 104|0.000000</v>
      </c>
    </row>
    <row r="560" customFormat="false" ht="15" hidden="false" customHeight="false" outlineLevel="0" collapsed="false">
      <c r="B560" s="16" t="n">
        <v>27</v>
      </c>
      <c r="C560" s="17" t="n">
        <f aca="false">DATA_INICIO_SAFRA+($B560-1)*DIAS_POR_SEMANA</f>
        <v>46447</v>
      </c>
      <c r="D560" s="17" t="n">
        <f aca="false">$C560+DIAS_POR_SEMANA-1</f>
        <v>46453</v>
      </c>
      <c r="E560" s="15" t="s">
        <v>267</v>
      </c>
      <c r="F560" s="8" t="str">
        <f aca="false">IFERROR(INDEX(CADASTRO_PIVOS!$C$6:$C$41,MATCH($E560,CADASTRO_PIVOS!$B$6:$B$41,0)),"?")</f>
        <v>RM04</v>
      </c>
      <c r="G560" s="8" t="str">
        <f aca="false">IFERROR(INDEX(CADASTRO_PIVOS!$D$6:$D$41,MATCH($E560,CADASTRO_PIVOS!$B$6:$B$41,0)),"?")</f>
        <v>TR04</v>
      </c>
      <c r="H560" s="20" t="n">
        <f aca="false">IFERROR(INDEX(CADASTRO_PIVOS!$E$6:$E$41,MATCH($E560,CADASTRO_PIVOS!$B$6:$B$41,0)),0)</f>
        <v>100.41</v>
      </c>
      <c r="I560" s="16" t="n">
        <f aca="false">IFERROR(SUMIFS(ROTACAO_RDM!$B$6:$B$71,ROTACAO_RDM!$D$6:$D$71,$E560,ROTACAO_RDM!$I$6:$I$71,"&lt;="&amp;$C560+INT(DIAS_POR_SEMANA/2),ROTACAO_RDM!$J$6:$J$71,"&gt;="&amp;$C560+INT(DIAS_POR_SEMANA/2)),0)</f>
        <v>6</v>
      </c>
      <c r="J560" s="16" t="n">
        <f aca="false">IFERROR(MATCH($I560,ROTACAO_RDM!$B$6:$B$71,0),0)</f>
        <v>6</v>
      </c>
      <c r="K560" s="8" t="str">
        <f aca="false">IF($J560=0,"SEM CULTURA",INDEX(ROTACAO_RDM!$F$6:$F$71,$J560))</f>
        <v>ALGODAO</v>
      </c>
      <c r="L560" s="8" t="str">
        <f aca="false">IF($J560=0,"",INDEX(ROTACAO_RDM!$G$6:$G$71,$J560))</f>
        <v>FM 911 GLTP</v>
      </c>
      <c r="M560" s="17" t="n">
        <f aca="false">IF($J560=0,"",INDEX(ROTACAO_RDM!$I$6:$I$71,$J560))</f>
        <v>46423</v>
      </c>
      <c r="N560" s="16" t="n">
        <f aca="false">IF($J560=0,0,MAX(0,$C560+INT(DIAS_POR_SEMANA/2)-INDEX(ROTACAO_RDM!$I$6:$I$71,$J560)))</f>
        <v>27</v>
      </c>
      <c r="O560" s="19" t="n">
        <f aca="false">IF($J560=0,0,MIN(1,$N560/MAX(1,INDEX(ROTACAO_RDM!$K$6:$K$71,$J560))))</f>
        <v>0.15</v>
      </c>
      <c r="P560" s="16" t="n">
        <f aca="false">IF($J560=0,0,IFERROR(MATCH(INDEX(ROTACAO_RDM!$N$6:$N$71,$J560),PARAMETROS_CULTURAS!$B$6:$B$28,0),0))</f>
        <v>4</v>
      </c>
      <c r="Q560" s="8" t="str">
        <f aca="false">IF($P560=0,"-",IF($O560&lt;=INDEX(PARAMETROS_CULTURAS!$F$6:$F$28,$P560),"INICIAL",IF($O560&lt;=INDEX(PARAMETROS_CULTURAS!$F$6:$F$28,$P560)+INDEX(PARAMETROS_CULTURAS!$G$6:$G$28,$P560),"DESENVOLVIMENTO",IF($O560&lt;=INDEX(PARAMETROS_CULTURAS!$F$6:$F$28,$P560)+INDEX(PARAMETROS_CULTURAS!$G$6:$G$28,$P560)+INDEX(PARAMETROS_CULTURAS!$H$6:$H$28,$P560),"MEDIA","FINAL"))))</f>
        <v>INICIAL</v>
      </c>
      <c r="R560" s="24" t="n">
        <f aca="false">IF($P560=0,0,IF($O560&lt;=INDEX(PARAMETROS_CULTURAS!$F$6:$F$28,$P560),INDEX(PARAMETROS_CULTURAS!$K$6:$K$28,$P560),IF($O560&lt;=INDEX(PARAMETROS_CULTURAS!$F$6:$F$28,$P560)+INDEX(PARAMETROS_CULTURAS!$G$6:$G$28,$P560),INDEX(PARAMETROS_CULTURAS!$K$6:$K$28,$P560)+(INDEX(PARAMETROS_CULTURAS!$L$6:$L$28,$P560)-INDEX(PARAMETROS_CULTURAS!$K$6:$K$28,$P560))*($O560-INDEX(PARAMETROS_CULTURAS!$F$6:$F$28,$P560))/MAX(INDEX(PARAMETROS_CULTURAS!$G$6:$G$28,$P560),0.0001),IF($O560&lt;=INDEX(PARAMETROS_CULTURAS!$F$6:$F$28,$P560)+INDEX(PARAMETROS_CULTURAS!$G$6:$G$28,$P560)+INDEX(PARAMETROS_CULTURAS!$H$6:$H$28,$P560),INDEX(PARAMETROS_CULTURAS!$L$6:$L$28,$P560),INDEX(PARAMETROS_CULTURAS!$L$6:$L$28,$P560)+(INDEX(PARAMETROS_CULTURAS!$M$6:$M$28,$P560)-INDEX(PARAMETROS_CULTURAS!$L$6:$L$28,$P560))*($O560-INDEX(PARAMETROS_CULTURAS!$F$6:$F$28,$P560)-INDEX(PARAMETROS_CULTURAS!$G$6:$G$28,$P560)-INDEX(PARAMETROS_CULTURAS!$H$6:$H$28,$P560))/MAX(INDEX(PARAMETROS_CULTURAS!$I$6:$I$28,$P560),0.0001)))))</f>
        <v>0.35</v>
      </c>
      <c r="S560" s="18" t="n">
        <f aca="false">IFERROR(INDEX(SEMANAS!$H$6:$H$71,MATCH($B560,SEMANAS!$B$6:$B$71,0)),0)</f>
        <v>32.2</v>
      </c>
      <c r="T560" s="18" t="n">
        <f aca="false">$R560*$S560</f>
        <v>11.27</v>
      </c>
      <c r="U560" s="18" t="n">
        <f aca="false">IFERROR(INDEX(SEMANAS!$I$6:$I$71,MATCH($B560,SEMANAS!$B$6:$B$71,0)),0)</f>
        <v>37.24</v>
      </c>
      <c r="V560" s="18" t="n">
        <f aca="false">IFERROR(INDEX(SEMANAS!$J$6:$J$71,MATCH($B560,SEMANAS!$B$6:$B$71,0)),0)</f>
        <v>29.792</v>
      </c>
      <c r="W560" s="18" t="n">
        <f aca="false">MAX(0,$T560-$V560)</f>
        <v>0</v>
      </c>
      <c r="X560" s="19" t="n">
        <f aca="false">IFERROR(INDEX(CADASTRO_PIVOS!$K$6:$K$41,MATCH($E560,CADASTRO_PIVOS!$B$6:$B$41,0)),EFICIENCIA_PADRAO)</f>
        <v>0.85</v>
      </c>
      <c r="Y560" s="18" t="n">
        <f aca="false">IF($X560&lt;=0,0,$W560/$X560)</f>
        <v>0</v>
      </c>
      <c r="Z560" s="16" t="n">
        <f aca="false">$Y560*$H560*MM_PARA_M3_HA</f>
        <v>0</v>
      </c>
      <c r="AA560" s="18" t="n">
        <f aca="false">IFERROR(INDEX(CADASTRO_PIVOS!$I$6:$I$41,MATCH($E560,CADASTRO_PIVOS!$B$6:$B$41,0)),0)</f>
        <v>717.214285714286</v>
      </c>
      <c r="AB560" s="18" t="n">
        <f aca="false">IF($Z560&lt;=0,0,$Z560/$AA560)</f>
        <v>0</v>
      </c>
      <c r="AC560" s="16" t="n">
        <f aca="false">IFERROR(INDEX(SEMANAS!$K$6:$K$71,MATCH($B560,SEMANAS!$B$6:$B$71,0)),0)</f>
        <v>147</v>
      </c>
      <c r="AD560" s="19" t="n">
        <f aca="false">IF($AC560&lt;=0,0,$AB560/$AC560)</f>
        <v>0</v>
      </c>
      <c r="AE560" s="8" t="str">
        <f aca="false">IF($K560="SEM CULTURA","SEM CULTURA",IF($AA560&lt;=0,"DADO PENDENTE",IF($AD560&gt;LIMITE_CRITICO,"INVIAVEL",IF($AD560&gt;LIMITE_ATENCAO,"CRITICO",IF($AD560&gt;LIMITE_CONFORTAVEL,"ATENCAO","OK")))))</f>
        <v>OK</v>
      </c>
      <c r="AF560" s="8" t="str">
        <f aca="false">$B560&amp;"|"&amp;TEXT($AD560,"0.000000")</f>
        <v>27|0.000000</v>
      </c>
      <c r="AG560" s="18" t="n">
        <f aca="false">IF($K560="SEM CULTURA",0,$T560*$H560)</f>
        <v>1131.6207</v>
      </c>
      <c r="AH560" s="18" t="n">
        <f aca="false">IF($K560="SEM CULTURA",0,$V560*$H560)</f>
        <v>2991.41472</v>
      </c>
      <c r="AI560" s="18" t="n">
        <f aca="false">IF($K560="SEM CULTURA",0,$W560*$H560)</f>
        <v>0</v>
      </c>
      <c r="AJ560" s="18" t="n">
        <f aca="false">IF($K560="SEM CULTURA",0,$S560*$H560)</f>
        <v>3233.202</v>
      </c>
      <c r="AK560" s="8" t="str">
        <f aca="false">$E560&amp;"|"&amp;TEXT($AD560,"0.000000")</f>
        <v>PV 104|0.000000</v>
      </c>
    </row>
    <row r="561" customFormat="false" ht="15" hidden="false" customHeight="false" outlineLevel="0" collapsed="false">
      <c r="B561" s="16" t="n">
        <v>28</v>
      </c>
      <c r="C561" s="17" t="n">
        <f aca="false">DATA_INICIO_SAFRA+($B561-1)*DIAS_POR_SEMANA</f>
        <v>46454</v>
      </c>
      <c r="D561" s="17" t="n">
        <f aca="false">$C561+DIAS_POR_SEMANA-1</f>
        <v>46460</v>
      </c>
      <c r="E561" s="15" t="s">
        <v>267</v>
      </c>
      <c r="F561" s="8" t="str">
        <f aca="false">IFERROR(INDEX(CADASTRO_PIVOS!$C$6:$C$41,MATCH($E561,CADASTRO_PIVOS!$B$6:$B$41,0)),"?")</f>
        <v>RM04</v>
      </c>
      <c r="G561" s="8" t="str">
        <f aca="false">IFERROR(INDEX(CADASTRO_PIVOS!$D$6:$D$41,MATCH($E561,CADASTRO_PIVOS!$B$6:$B$41,0)),"?")</f>
        <v>TR04</v>
      </c>
      <c r="H561" s="20" t="n">
        <f aca="false">IFERROR(INDEX(CADASTRO_PIVOS!$E$6:$E$41,MATCH($E561,CADASTRO_PIVOS!$B$6:$B$41,0)),0)</f>
        <v>100.41</v>
      </c>
      <c r="I561" s="16" t="n">
        <f aca="false">IFERROR(SUMIFS(ROTACAO_RDM!$B$6:$B$71,ROTACAO_RDM!$D$6:$D$71,$E561,ROTACAO_RDM!$I$6:$I$71,"&lt;="&amp;$C561+INT(DIAS_POR_SEMANA/2),ROTACAO_RDM!$J$6:$J$71,"&gt;="&amp;$C561+INT(DIAS_POR_SEMANA/2)),0)</f>
        <v>6</v>
      </c>
      <c r="J561" s="16" t="n">
        <f aca="false">IFERROR(MATCH($I561,ROTACAO_RDM!$B$6:$B$71,0),0)</f>
        <v>6</v>
      </c>
      <c r="K561" s="8" t="str">
        <f aca="false">IF($J561=0,"SEM CULTURA",INDEX(ROTACAO_RDM!$F$6:$F$71,$J561))</f>
        <v>ALGODAO</v>
      </c>
      <c r="L561" s="8" t="str">
        <f aca="false">IF($J561=0,"",INDEX(ROTACAO_RDM!$G$6:$G$71,$J561))</f>
        <v>FM 911 GLTP</v>
      </c>
      <c r="M561" s="17" t="n">
        <f aca="false">IF($J561=0,"",INDEX(ROTACAO_RDM!$I$6:$I$71,$J561))</f>
        <v>46423</v>
      </c>
      <c r="N561" s="16" t="n">
        <f aca="false">IF($J561=0,0,MAX(0,$C561+INT(DIAS_POR_SEMANA/2)-INDEX(ROTACAO_RDM!$I$6:$I$71,$J561)))</f>
        <v>34</v>
      </c>
      <c r="O561" s="19" t="n">
        <f aca="false">IF($J561=0,0,MIN(1,$N561/MAX(1,INDEX(ROTACAO_RDM!$K$6:$K$71,$J561))))</f>
        <v>0.188888888888889</v>
      </c>
      <c r="P561" s="16" t="n">
        <f aca="false">IF($J561=0,0,IFERROR(MATCH(INDEX(ROTACAO_RDM!$N$6:$N$71,$J561),PARAMETROS_CULTURAS!$B$6:$B$28,0),0))</f>
        <v>4</v>
      </c>
      <c r="Q561" s="8" t="str">
        <f aca="false">IF($P561=0,"-",IF($O561&lt;=INDEX(PARAMETROS_CULTURAS!$F$6:$F$28,$P561),"INICIAL",IF($O561&lt;=INDEX(PARAMETROS_CULTURAS!$F$6:$F$28,$P561)+INDEX(PARAMETROS_CULTURAS!$G$6:$G$28,$P561),"DESENVOLVIMENTO",IF($O561&lt;=INDEX(PARAMETROS_CULTURAS!$F$6:$F$28,$P561)+INDEX(PARAMETROS_CULTURAS!$G$6:$G$28,$P561)+INDEX(PARAMETROS_CULTURAS!$H$6:$H$28,$P561),"MEDIA","FINAL"))))</f>
        <v>DESENVOLVIMENTO</v>
      </c>
      <c r="R561" s="24" t="n">
        <f aca="false">IF($P561=0,0,IF($O561&lt;=INDEX(PARAMETROS_CULTURAS!$F$6:$F$28,$P561),INDEX(PARAMETROS_CULTURAS!$K$6:$K$28,$P561),IF($O561&lt;=INDEX(PARAMETROS_CULTURAS!$F$6:$F$28,$P561)+INDEX(PARAMETROS_CULTURAS!$G$6:$G$28,$P561),INDEX(PARAMETROS_CULTURAS!$K$6:$K$28,$P561)+(INDEX(PARAMETROS_CULTURAS!$L$6:$L$28,$P561)-INDEX(PARAMETROS_CULTURAS!$K$6:$K$28,$P561))*($O561-INDEX(PARAMETROS_CULTURAS!$F$6:$F$28,$P561))/MAX(INDEX(PARAMETROS_CULTURAS!$G$6:$G$28,$P561),0.0001),IF($O561&lt;=INDEX(PARAMETROS_CULTURAS!$F$6:$F$28,$P561)+INDEX(PARAMETROS_CULTURAS!$G$6:$G$28,$P561)+INDEX(PARAMETROS_CULTURAS!$H$6:$H$28,$P561),INDEX(PARAMETROS_CULTURAS!$L$6:$L$28,$P561),INDEX(PARAMETROS_CULTURAS!$L$6:$L$28,$P561)+(INDEX(PARAMETROS_CULTURAS!$M$6:$M$28,$P561)-INDEX(PARAMETROS_CULTURAS!$L$6:$L$28,$P561))*($O561-INDEX(PARAMETROS_CULTURAS!$F$6:$F$28,$P561)-INDEX(PARAMETROS_CULTURAS!$G$6:$G$28,$P561)-INDEX(PARAMETROS_CULTURAS!$H$6:$H$28,$P561))/MAX(INDEX(PARAMETROS_CULTURAS!$I$6:$I$28,$P561),0.0001)))))</f>
        <v>0.4059670781893</v>
      </c>
      <c r="S561" s="18" t="n">
        <f aca="false">IFERROR(INDEX(SEMANAS!$H$6:$H$71,MATCH($B561,SEMANAS!$B$6:$B$71,0)),0)</f>
        <v>32.2</v>
      </c>
      <c r="T561" s="18" t="n">
        <f aca="false">$R561*$S561</f>
        <v>13.0721399176955</v>
      </c>
      <c r="U561" s="18" t="n">
        <f aca="false">IFERROR(INDEX(SEMANAS!$I$6:$I$71,MATCH($B561,SEMANAS!$B$6:$B$71,0)),0)</f>
        <v>37.24</v>
      </c>
      <c r="V561" s="18" t="n">
        <f aca="false">IFERROR(INDEX(SEMANAS!$J$6:$J$71,MATCH($B561,SEMANAS!$B$6:$B$71,0)),0)</f>
        <v>29.792</v>
      </c>
      <c r="W561" s="18" t="n">
        <f aca="false">MAX(0,$T561-$V561)</f>
        <v>0</v>
      </c>
      <c r="X561" s="19" t="n">
        <f aca="false">IFERROR(INDEX(CADASTRO_PIVOS!$K$6:$K$41,MATCH($E561,CADASTRO_PIVOS!$B$6:$B$41,0)),EFICIENCIA_PADRAO)</f>
        <v>0.85</v>
      </c>
      <c r="Y561" s="18" t="n">
        <f aca="false">IF($X561&lt;=0,0,$W561/$X561)</f>
        <v>0</v>
      </c>
      <c r="Z561" s="16" t="n">
        <f aca="false">$Y561*$H561*MM_PARA_M3_HA</f>
        <v>0</v>
      </c>
      <c r="AA561" s="18" t="n">
        <f aca="false">IFERROR(INDEX(CADASTRO_PIVOS!$I$6:$I$41,MATCH($E561,CADASTRO_PIVOS!$B$6:$B$41,0)),0)</f>
        <v>717.214285714286</v>
      </c>
      <c r="AB561" s="18" t="n">
        <f aca="false">IF($Z561&lt;=0,0,$Z561/$AA561)</f>
        <v>0</v>
      </c>
      <c r="AC561" s="16" t="n">
        <f aca="false">IFERROR(INDEX(SEMANAS!$K$6:$K$71,MATCH($B561,SEMANAS!$B$6:$B$71,0)),0)</f>
        <v>147</v>
      </c>
      <c r="AD561" s="19" t="n">
        <f aca="false">IF($AC561&lt;=0,0,$AB561/$AC561)</f>
        <v>0</v>
      </c>
      <c r="AE561" s="8" t="str">
        <f aca="false">IF($K561="SEM CULTURA","SEM CULTURA",IF($AA561&lt;=0,"DADO PENDENTE",IF($AD561&gt;LIMITE_CRITICO,"INVIAVEL",IF($AD561&gt;LIMITE_ATENCAO,"CRITICO",IF($AD561&gt;LIMITE_CONFORTAVEL,"ATENCAO","OK")))))</f>
        <v>OK</v>
      </c>
      <c r="AF561" s="8" t="str">
        <f aca="false">$B561&amp;"|"&amp;TEXT($AD561,"0.000000")</f>
        <v>28|0.000000</v>
      </c>
      <c r="AG561" s="18" t="n">
        <f aca="false">IF($K561="SEM CULTURA",0,$T561*$H561)</f>
        <v>1312.5735691358</v>
      </c>
      <c r="AH561" s="18" t="n">
        <f aca="false">IF($K561="SEM CULTURA",0,$V561*$H561)</f>
        <v>2991.41472</v>
      </c>
      <c r="AI561" s="18" t="n">
        <f aca="false">IF($K561="SEM CULTURA",0,$W561*$H561)</f>
        <v>0</v>
      </c>
      <c r="AJ561" s="18" t="n">
        <f aca="false">IF($K561="SEM CULTURA",0,$S561*$H561)</f>
        <v>3233.202</v>
      </c>
      <c r="AK561" s="8" t="str">
        <f aca="false">$E561&amp;"|"&amp;TEXT($AD561,"0.000000")</f>
        <v>PV 104|0.000000</v>
      </c>
    </row>
    <row r="562" customFormat="false" ht="15" hidden="false" customHeight="false" outlineLevel="0" collapsed="false">
      <c r="B562" s="16" t="n">
        <v>29</v>
      </c>
      <c r="C562" s="17" t="n">
        <f aca="false">DATA_INICIO_SAFRA+($B562-1)*DIAS_POR_SEMANA</f>
        <v>46461</v>
      </c>
      <c r="D562" s="17" t="n">
        <f aca="false">$C562+DIAS_POR_SEMANA-1</f>
        <v>46467</v>
      </c>
      <c r="E562" s="15" t="s">
        <v>267</v>
      </c>
      <c r="F562" s="8" t="str">
        <f aca="false">IFERROR(INDEX(CADASTRO_PIVOS!$C$6:$C$41,MATCH($E562,CADASTRO_PIVOS!$B$6:$B$41,0)),"?")</f>
        <v>RM04</v>
      </c>
      <c r="G562" s="8" t="str">
        <f aca="false">IFERROR(INDEX(CADASTRO_PIVOS!$D$6:$D$41,MATCH($E562,CADASTRO_PIVOS!$B$6:$B$41,0)),"?")</f>
        <v>TR04</v>
      </c>
      <c r="H562" s="20" t="n">
        <f aca="false">IFERROR(INDEX(CADASTRO_PIVOS!$E$6:$E$41,MATCH($E562,CADASTRO_PIVOS!$B$6:$B$41,0)),0)</f>
        <v>100.41</v>
      </c>
      <c r="I562" s="16" t="n">
        <f aca="false">IFERROR(SUMIFS(ROTACAO_RDM!$B$6:$B$71,ROTACAO_RDM!$D$6:$D$71,$E562,ROTACAO_RDM!$I$6:$I$71,"&lt;="&amp;$C562+INT(DIAS_POR_SEMANA/2),ROTACAO_RDM!$J$6:$J$71,"&gt;="&amp;$C562+INT(DIAS_POR_SEMANA/2)),0)</f>
        <v>6</v>
      </c>
      <c r="J562" s="16" t="n">
        <f aca="false">IFERROR(MATCH($I562,ROTACAO_RDM!$B$6:$B$71,0),0)</f>
        <v>6</v>
      </c>
      <c r="K562" s="8" t="str">
        <f aca="false">IF($J562=0,"SEM CULTURA",INDEX(ROTACAO_RDM!$F$6:$F$71,$J562))</f>
        <v>ALGODAO</v>
      </c>
      <c r="L562" s="8" t="str">
        <f aca="false">IF($J562=0,"",INDEX(ROTACAO_RDM!$G$6:$G$71,$J562))</f>
        <v>FM 911 GLTP</v>
      </c>
      <c r="M562" s="17" t="n">
        <f aca="false">IF($J562=0,"",INDEX(ROTACAO_RDM!$I$6:$I$71,$J562))</f>
        <v>46423</v>
      </c>
      <c r="N562" s="16" t="n">
        <f aca="false">IF($J562=0,0,MAX(0,$C562+INT(DIAS_POR_SEMANA/2)-INDEX(ROTACAO_RDM!$I$6:$I$71,$J562)))</f>
        <v>41</v>
      </c>
      <c r="O562" s="19" t="n">
        <f aca="false">IF($J562=0,0,MIN(1,$N562/MAX(1,INDEX(ROTACAO_RDM!$K$6:$K$71,$J562))))</f>
        <v>0.227777777777778</v>
      </c>
      <c r="P562" s="16" t="n">
        <f aca="false">IF($J562=0,0,IFERROR(MATCH(INDEX(ROTACAO_RDM!$N$6:$N$71,$J562),PARAMETROS_CULTURAS!$B$6:$B$28,0),0))</f>
        <v>4</v>
      </c>
      <c r="Q562" s="8" t="str">
        <f aca="false">IF($P562=0,"-",IF($O562&lt;=INDEX(PARAMETROS_CULTURAS!$F$6:$F$28,$P562),"INICIAL",IF($O562&lt;=INDEX(PARAMETROS_CULTURAS!$F$6:$F$28,$P562)+INDEX(PARAMETROS_CULTURAS!$G$6:$G$28,$P562),"DESENVOLVIMENTO",IF($O562&lt;=INDEX(PARAMETROS_CULTURAS!$F$6:$F$28,$P562)+INDEX(PARAMETROS_CULTURAS!$G$6:$G$28,$P562)+INDEX(PARAMETROS_CULTURAS!$H$6:$H$28,$P562),"MEDIA","FINAL"))))</f>
        <v>DESENVOLVIMENTO</v>
      </c>
      <c r="R562" s="24" t="n">
        <f aca="false">IF($P562=0,0,IF($O562&lt;=INDEX(PARAMETROS_CULTURAS!$F$6:$F$28,$P562),INDEX(PARAMETROS_CULTURAS!$K$6:$K$28,$P562),IF($O562&lt;=INDEX(PARAMETROS_CULTURAS!$F$6:$F$28,$P562)+INDEX(PARAMETROS_CULTURAS!$G$6:$G$28,$P562),INDEX(PARAMETROS_CULTURAS!$K$6:$K$28,$P562)+(INDEX(PARAMETROS_CULTURAS!$L$6:$L$28,$P562)-INDEX(PARAMETROS_CULTURAS!$K$6:$K$28,$P562))*($O562-INDEX(PARAMETROS_CULTURAS!$F$6:$F$28,$P562))/MAX(INDEX(PARAMETROS_CULTURAS!$G$6:$G$28,$P562),0.0001),IF($O562&lt;=INDEX(PARAMETROS_CULTURAS!$F$6:$F$28,$P562)+INDEX(PARAMETROS_CULTURAS!$G$6:$G$28,$P562)+INDEX(PARAMETROS_CULTURAS!$H$6:$H$28,$P562),INDEX(PARAMETROS_CULTURAS!$L$6:$L$28,$P562),INDEX(PARAMETROS_CULTURAS!$L$6:$L$28,$P562)+(INDEX(PARAMETROS_CULTURAS!$M$6:$M$28,$P562)-INDEX(PARAMETROS_CULTURAS!$L$6:$L$28,$P562))*($O562-INDEX(PARAMETROS_CULTURAS!$F$6:$F$28,$P562)-INDEX(PARAMETROS_CULTURAS!$G$6:$G$28,$P562)-INDEX(PARAMETROS_CULTURAS!$H$6:$H$28,$P562))/MAX(INDEX(PARAMETROS_CULTURAS!$I$6:$I$28,$P562),0.0001)))))</f>
        <v>0.52119341563786</v>
      </c>
      <c r="S562" s="18" t="n">
        <f aca="false">IFERROR(INDEX(SEMANAS!$H$6:$H$71,MATCH($B562,SEMANAS!$B$6:$B$71,0)),0)</f>
        <v>32.2</v>
      </c>
      <c r="T562" s="18" t="n">
        <f aca="false">$R562*$S562</f>
        <v>16.7824279835391</v>
      </c>
      <c r="U562" s="18" t="n">
        <f aca="false">IFERROR(INDEX(SEMANAS!$I$6:$I$71,MATCH($B562,SEMANAS!$B$6:$B$71,0)),0)</f>
        <v>37.24</v>
      </c>
      <c r="V562" s="18" t="n">
        <f aca="false">IFERROR(INDEX(SEMANAS!$J$6:$J$71,MATCH($B562,SEMANAS!$B$6:$B$71,0)),0)</f>
        <v>29.792</v>
      </c>
      <c r="W562" s="18" t="n">
        <f aca="false">MAX(0,$T562-$V562)</f>
        <v>0</v>
      </c>
      <c r="X562" s="19" t="n">
        <f aca="false">IFERROR(INDEX(CADASTRO_PIVOS!$K$6:$K$41,MATCH($E562,CADASTRO_PIVOS!$B$6:$B$41,0)),EFICIENCIA_PADRAO)</f>
        <v>0.85</v>
      </c>
      <c r="Y562" s="18" t="n">
        <f aca="false">IF($X562&lt;=0,0,$W562/$X562)</f>
        <v>0</v>
      </c>
      <c r="Z562" s="16" t="n">
        <f aca="false">$Y562*$H562*MM_PARA_M3_HA</f>
        <v>0</v>
      </c>
      <c r="AA562" s="18" t="n">
        <f aca="false">IFERROR(INDEX(CADASTRO_PIVOS!$I$6:$I$41,MATCH($E562,CADASTRO_PIVOS!$B$6:$B$41,0)),0)</f>
        <v>717.214285714286</v>
      </c>
      <c r="AB562" s="18" t="n">
        <f aca="false">IF($Z562&lt;=0,0,$Z562/$AA562)</f>
        <v>0</v>
      </c>
      <c r="AC562" s="16" t="n">
        <f aca="false">IFERROR(INDEX(SEMANAS!$K$6:$K$71,MATCH($B562,SEMANAS!$B$6:$B$71,0)),0)</f>
        <v>147</v>
      </c>
      <c r="AD562" s="19" t="n">
        <f aca="false">IF($AC562&lt;=0,0,$AB562/$AC562)</f>
        <v>0</v>
      </c>
      <c r="AE562" s="8" t="str">
        <f aca="false">IF($K562="SEM CULTURA","SEM CULTURA",IF($AA562&lt;=0,"DADO PENDENTE",IF($AD562&gt;LIMITE_CRITICO,"INVIAVEL",IF($AD562&gt;LIMITE_ATENCAO,"CRITICO",IF($AD562&gt;LIMITE_CONFORTAVEL,"ATENCAO","OK")))))</f>
        <v>OK</v>
      </c>
      <c r="AF562" s="8" t="str">
        <f aca="false">$B562&amp;"|"&amp;TEXT($AD562,"0.000000")</f>
        <v>29|0.000000</v>
      </c>
      <c r="AG562" s="18" t="n">
        <f aca="false">IF($K562="SEM CULTURA",0,$T562*$H562)</f>
        <v>1685.12359382716</v>
      </c>
      <c r="AH562" s="18" t="n">
        <f aca="false">IF($K562="SEM CULTURA",0,$V562*$H562)</f>
        <v>2991.41472</v>
      </c>
      <c r="AI562" s="18" t="n">
        <f aca="false">IF($K562="SEM CULTURA",0,$W562*$H562)</f>
        <v>0</v>
      </c>
      <c r="AJ562" s="18" t="n">
        <f aca="false">IF($K562="SEM CULTURA",0,$S562*$H562)</f>
        <v>3233.202</v>
      </c>
      <c r="AK562" s="8" t="str">
        <f aca="false">$E562&amp;"|"&amp;TEXT($AD562,"0.000000")</f>
        <v>PV 104|0.000000</v>
      </c>
    </row>
    <row r="563" customFormat="false" ht="15" hidden="false" customHeight="false" outlineLevel="0" collapsed="false">
      <c r="B563" s="16" t="n">
        <v>30</v>
      </c>
      <c r="C563" s="17" t="n">
        <f aca="false">DATA_INICIO_SAFRA+($B563-1)*DIAS_POR_SEMANA</f>
        <v>46468</v>
      </c>
      <c r="D563" s="17" t="n">
        <f aca="false">$C563+DIAS_POR_SEMANA-1</f>
        <v>46474</v>
      </c>
      <c r="E563" s="15" t="s">
        <v>267</v>
      </c>
      <c r="F563" s="8" t="str">
        <f aca="false">IFERROR(INDEX(CADASTRO_PIVOS!$C$6:$C$41,MATCH($E563,CADASTRO_PIVOS!$B$6:$B$41,0)),"?")</f>
        <v>RM04</v>
      </c>
      <c r="G563" s="8" t="str">
        <f aca="false">IFERROR(INDEX(CADASTRO_PIVOS!$D$6:$D$41,MATCH($E563,CADASTRO_PIVOS!$B$6:$B$41,0)),"?")</f>
        <v>TR04</v>
      </c>
      <c r="H563" s="20" t="n">
        <f aca="false">IFERROR(INDEX(CADASTRO_PIVOS!$E$6:$E$41,MATCH($E563,CADASTRO_PIVOS!$B$6:$B$41,0)),0)</f>
        <v>100.41</v>
      </c>
      <c r="I563" s="16" t="n">
        <f aca="false">IFERROR(SUMIFS(ROTACAO_RDM!$B$6:$B$71,ROTACAO_RDM!$D$6:$D$71,$E563,ROTACAO_RDM!$I$6:$I$71,"&lt;="&amp;$C563+INT(DIAS_POR_SEMANA/2),ROTACAO_RDM!$J$6:$J$71,"&gt;="&amp;$C563+INT(DIAS_POR_SEMANA/2)),0)</f>
        <v>6</v>
      </c>
      <c r="J563" s="16" t="n">
        <f aca="false">IFERROR(MATCH($I563,ROTACAO_RDM!$B$6:$B$71,0),0)</f>
        <v>6</v>
      </c>
      <c r="K563" s="8" t="str">
        <f aca="false">IF($J563=0,"SEM CULTURA",INDEX(ROTACAO_RDM!$F$6:$F$71,$J563))</f>
        <v>ALGODAO</v>
      </c>
      <c r="L563" s="8" t="str">
        <f aca="false">IF($J563=0,"",INDEX(ROTACAO_RDM!$G$6:$G$71,$J563))</f>
        <v>FM 911 GLTP</v>
      </c>
      <c r="M563" s="17" t="n">
        <f aca="false">IF($J563=0,"",INDEX(ROTACAO_RDM!$I$6:$I$71,$J563))</f>
        <v>46423</v>
      </c>
      <c r="N563" s="16" t="n">
        <f aca="false">IF($J563=0,0,MAX(0,$C563+INT(DIAS_POR_SEMANA/2)-INDEX(ROTACAO_RDM!$I$6:$I$71,$J563)))</f>
        <v>48</v>
      </c>
      <c r="O563" s="19" t="n">
        <f aca="false">IF($J563=0,0,MIN(1,$N563/MAX(1,INDEX(ROTACAO_RDM!$K$6:$K$71,$J563))))</f>
        <v>0.266666666666667</v>
      </c>
      <c r="P563" s="16" t="n">
        <f aca="false">IF($J563=0,0,IFERROR(MATCH(INDEX(ROTACAO_RDM!$N$6:$N$71,$J563),PARAMETROS_CULTURAS!$B$6:$B$28,0),0))</f>
        <v>4</v>
      </c>
      <c r="Q563" s="8" t="str">
        <f aca="false">IF($P563=0,"-",IF($O563&lt;=INDEX(PARAMETROS_CULTURAS!$F$6:$F$28,$P563),"INICIAL",IF($O563&lt;=INDEX(PARAMETROS_CULTURAS!$F$6:$F$28,$P563)+INDEX(PARAMETROS_CULTURAS!$G$6:$G$28,$P563),"DESENVOLVIMENTO",IF($O563&lt;=INDEX(PARAMETROS_CULTURAS!$F$6:$F$28,$P563)+INDEX(PARAMETROS_CULTURAS!$G$6:$G$28,$P563)+INDEX(PARAMETROS_CULTURAS!$H$6:$H$28,$P563),"MEDIA","FINAL"))))</f>
        <v>DESENVOLVIMENTO</v>
      </c>
      <c r="R563" s="24" t="n">
        <f aca="false">IF($P563=0,0,IF($O563&lt;=INDEX(PARAMETROS_CULTURAS!$F$6:$F$28,$P563),INDEX(PARAMETROS_CULTURAS!$K$6:$K$28,$P563),IF($O563&lt;=INDEX(PARAMETROS_CULTURAS!$F$6:$F$28,$P563)+INDEX(PARAMETROS_CULTURAS!$G$6:$G$28,$P563),INDEX(PARAMETROS_CULTURAS!$K$6:$K$28,$P563)+(INDEX(PARAMETROS_CULTURAS!$L$6:$L$28,$P563)-INDEX(PARAMETROS_CULTURAS!$K$6:$K$28,$P563))*($O563-INDEX(PARAMETROS_CULTURAS!$F$6:$F$28,$P563))/MAX(INDEX(PARAMETROS_CULTURAS!$G$6:$G$28,$P563),0.0001),IF($O563&lt;=INDEX(PARAMETROS_CULTURAS!$F$6:$F$28,$P563)+INDEX(PARAMETROS_CULTURAS!$G$6:$G$28,$P563)+INDEX(PARAMETROS_CULTURAS!$H$6:$H$28,$P563),INDEX(PARAMETROS_CULTURAS!$L$6:$L$28,$P563),INDEX(PARAMETROS_CULTURAS!$L$6:$L$28,$P563)+(INDEX(PARAMETROS_CULTURAS!$M$6:$M$28,$P563)-INDEX(PARAMETROS_CULTURAS!$L$6:$L$28,$P563))*($O563-INDEX(PARAMETROS_CULTURAS!$F$6:$F$28,$P563)-INDEX(PARAMETROS_CULTURAS!$G$6:$G$28,$P563)-INDEX(PARAMETROS_CULTURAS!$H$6:$H$28,$P563))/MAX(INDEX(PARAMETROS_CULTURAS!$I$6:$I$28,$P563),0.0001)))))</f>
        <v>0.63641975308642</v>
      </c>
      <c r="S563" s="18" t="n">
        <f aca="false">IFERROR(INDEX(SEMANAS!$H$6:$H$71,MATCH($B563,SEMANAS!$B$6:$B$71,0)),0)</f>
        <v>32.2</v>
      </c>
      <c r="T563" s="18" t="n">
        <f aca="false">$R563*$S563</f>
        <v>20.4927160493827</v>
      </c>
      <c r="U563" s="18" t="n">
        <f aca="false">IFERROR(INDEX(SEMANAS!$I$6:$I$71,MATCH($B563,SEMANAS!$B$6:$B$71,0)),0)</f>
        <v>37.24</v>
      </c>
      <c r="V563" s="18" t="n">
        <f aca="false">IFERROR(INDEX(SEMANAS!$J$6:$J$71,MATCH($B563,SEMANAS!$B$6:$B$71,0)),0)</f>
        <v>29.792</v>
      </c>
      <c r="W563" s="18" t="n">
        <f aca="false">MAX(0,$T563-$V563)</f>
        <v>0</v>
      </c>
      <c r="X563" s="19" t="n">
        <f aca="false">IFERROR(INDEX(CADASTRO_PIVOS!$K$6:$K$41,MATCH($E563,CADASTRO_PIVOS!$B$6:$B$41,0)),EFICIENCIA_PADRAO)</f>
        <v>0.85</v>
      </c>
      <c r="Y563" s="18" t="n">
        <f aca="false">IF($X563&lt;=0,0,$W563/$X563)</f>
        <v>0</v>
      </c>
      <c r="Z563" s="16" t="n">
        <f aca="false">$Y563*$H563*MM_PARA_M3_HA</f>
        <v>0</v>
      </c>
      <c r="AA563" s="18" t="n">
        <f aca="false">IFERROR(INDEX(CADASTRO_PIVOS!$I$6:$I$41,MATCH($E563,CADASTRO_PIVOS!$B$6:$B$41,0)),0)</f>
        <v>717.214285714286</v>
      </c>
      <c r="AB563" s="18" t="n">
        <f aca="false">IF($Z563&lt;=0,0,$Z563/$AA563)</f>
        <v>0</v>
      </c>
      <c r="AC563" s="16" t="n">
        <f aca="false">IFERROR(INDEX(SEMANAS!$K$6:$K$71,MATCH($B563,SEMANAS!$B$6:$B$71,0)),0)</f>
        <v>147</v>
      </c>
      <c r="AD563" s="19" t="n">
        <f aca="false">IF($AC563&lt;=0,0,$AB563/$AC563)</f>
        <v>0</v>
      </c>
      <c r="AE563" s="8" t="str">
        <f aca="false">IF($K563="SEM CULTURA","SEM CULTURA",IF($AA563&lt;=0,"DADO PENDENTE",IF($AD563&gt;LIMITE_CRITICO,"INVIAVEL",IF($AD563&gt;LIMITE_ATENCAO,"CRITICO",IF($AD563&gt;LIMITE_CONFORTAVEL,"ATENCAO","OK")))))</f>
        <v>OK</v>
      </c>
      <c r="AF563" s="8" t="str">
        <f aca="false">$B563&amp;"|"&amp;TEXT($AD563,"0.000000")</f>
        <v>30|0.000000</v>
      </c>
      <c r="AG563" s="18" t="n">
        <f aca="false">IF($K563="SEM CULTURA",0,$T563*$H563)</f>
        <v>2057.67361851852</v>
      </c>
      <c r="AH563" s="18" t="n">
        <f aca="false">IF($K563="SEM CULTURA",0,$V563*$H563)</f>
        <v>2991.41472</v>
      </c>
      <c r="AI563" s="18" t="n">
        <f aca="false">IF($K563="SEM CULTURA",0,$W563*$H563)</f>
        <v>0</v>
      </c>
      <c r="AJ563" s="18" t="n">
        <f aca="false">IF($K563="SEM CULTURA",0,$S563*$H563)</f>
        <v>3233.202</v>
      </c>
      <c r="AK563" s="8" t="str">
        <f aca="false">$E563&amp;"|"&amp;TEXT($AD563,"0.000000")</f>
        <v>PV 104|0.000000</v>
      </c>
    </row>
    <row r="564" customFormat="false" ht="15" hidden="false" customHeight="false" outlineLevel="0" collapsed="false">
      <c r="B564" s="16" t="n">
        <v>31</v>
      </c>
      <c r="C564" s="17" t="n">
        <f aca="false">DATA_INICIO_SAFRA+($B564-1)*DIAS_POR_SEMANA</f>
        <v>46475</v>
      </c>
      <c r="D564" s="17" t="n">
        <f aca="false">$C564+DIAS_POR_SEMANA-1</f>
        <v>46481</v>
      </c>
      <c r="E564" s="15" t="s">
        <v>267</v>
      </c>
      <c r="F564" s="8" t="str">
        <f aca="false">IFERROR(INDEX(CADASTRO_PIVOS!$C$6:$C$41,MATCH($E564,CADASTRO_PIVOS!$B$6:$B$41,0)),"?")</f>
        <v>RM04</v>
      </c>
      <c r="G564" s="8" t="str">
        <f aca="false">IFERROR(INDEX(CADASTRO_PIVOS!$D$6:$D$41,MATCH($E564,CADASTRO_PIVOS!$B$6:$B$41,0)),"?")</f>
        <v>TR04</v>
      </c>
      <c r="H564" s="20" t="n">
        <f aca="false">IFERROR(INDEX(CADASTRO_PIVOS!$E$6:$E$41,MATCH($E564,CADASTRO_PIVOS!$B$6:$B$41,0)),0)</f>
        <v>100.41</v>
      </c>
      <c r="I564" s="16" t="n">
        <f aca="false">IFERROR(SUMIFS(ROTACAO_RDM!$B$6:$B$71,ROTACAO_RDM!$D$6:$D$71,$E564,ROTACAO_RDM!$I$6:$I$71,"&lt;="&amp;$C564+INT(DIAS_POR_SEMANA/2),ROTACAO_RDM!$J$6:$J$71,"&gt;="&amp;$C564+INT(DIAS_POR_SEMANA/2)),0)</f>
        <v>6</v>
      </c>
      <c r="J564" s="16" t="n">
        <f aca="false">IFERROR(MATCH($I564,ROTACAO_RDM!$B$6:$B$71,0),0)</f>
        <v>6</v>
      </c>
      <c r="K564" s="8" t="str">
        <f aca="false">IF($J564=0,"SEM CULTURA",INDEX(ROTACAO_RDM!$F$6:$F$71,$J564))</f>
        <v>ALGODAO</v>
      </c>
      <c r="L564" s="8" t="str">
        <f aca="false">IF($J564=0,"",INDEX(ROTACAO_RDM!$G$6:$G$71,$J564))</f>
        <v>FM 911 GLTP</v>
      </c>
      <c r="M564" s="17" t="n">
        <f aca="false">IF($J564=0,"",INDEX(ROTACAO_RDM!$I$6:$I$71,$J564))</f>
        <v>46423</v>
      </c>
      <c r="N564" s="16" t="n">
        <f aca="false">IF($J564=0,0,MAX(0,$C564+INT(DIAS_POR_SEMANA/2)-INDEX(ROTACAO_RDM!$I$6:$I$71,$J564)))</f>
        <v>55</v>
      </c>
      <c r="O564" s="19" t="n">
        <f aca="false">IF($J564=0,0,MIN(1,$N564/MAX(1,INDEX(ROTACAO_RDM!$K$6:$K$71,$J564))))</f>
        <v>0.305555555555556</v>
      </c>
      <c r="P564" s="16" t="n">
        <f aca="false">IF($J564=0,0,IFERROR(MATCH(INDEX(ROTACAO_RDM!$N$6:$N$71,$J564),PARAMETROS_CULTURAS!$B$6:$B$28,0),0))</f>
        <v>4</v>
      </c>
      <c r="Q564" s="8" t="str">
        <f aca="false">IF($P564=0,"-",IF($O564&lt;=INDEX(PARAMETROS_CULTURAS!$F$6:$F$28,$P564),"INICIAL",IF($O564&lt;=INDEX(PARAMETROS_CULTURAS!$F$6:$F$28,$P564)+INDEX(PARAMETROS_CULTURAS!$G$6:$G$28,$P564),"DESENVOLVIMENTO",IF($O564&lt;=INDEX(PARAMETROS_CULTURAS!$F$6:$F$28,$P564)+INDEX(PARAMETROS_CULTURAS!$G$6:$G$28,$P564)+INDEX(PARAMETROS_CULTURAS!$H$6:$H$28,$P564),"MEDIA","FINAL"))))</f>
        <v>DESENVOLVIMENTO</v>
      </c>
      <c r="R564" s="24" t="n">
        <f aca="false">IF($P564=0,0,IF($O564&lt;=INDEX(PARAMETROS_CULTURAS!$F$6:$F$28,$P564),INDEX(PARAMETROS_CULTURAS!$K$6:$K$28,$P564),IF($O564&lt;=INDEX(PARAMETROS_CULTURAS!$F$6:$F$28,$P564)+INDEX(PARAMETROS_CULTURAS!$G$6:$G$28,$P564),INDEX(PARAMETROS_CULTURAS!$K$6:$K$28,$P564)+(INDEX(PARAMETROS_CULTURAS!$L$6:$L$28,$P564)-INDEX(PARAMETROS_CULTURAS!$K$6:$K$28,$P564))*($O564-INDEX(PARAMETROS_CULTURAS!$F$6:$F$28,$P564))/MAX(INDEX(PARAMETROS_CULTURAS!$G$6:$G$28,$P564),0.0001),IF($O564&lt;=INDEX(PARAMETROS_CULTURAS!$F$6:$F$28,$P564)+INDEX(PARAMETROS_CULTURAS!$G$6:$G$28,$P564)+INDEX(PARAMETROS_CULTURAS!$H$6:$H$28,$P564),INDEX(PARAMETROS_CULTURAS!$L$6:$L$28,$P564),INDEX(PARAMETROS_CULTURAS!$L$6:$L$28,$P564)+(INDEX(PARAMETROS_CULTURAS!$M$6:$M$28,$P564)-INDEX(PARAMETROS_CULTURAS!$L$6:$L$28,$P564))*($O564-INDEX(PARAMETROS_CULTURAS!$F$6:$F$28,$P564)-INDEX(PARAMETROS_CULTURAS!$G$6:$G$28,$P564)-INDEX(PARAMETROS_CULTURAS!$H$6:$H$28,$P564))/MAX(INDEX(PARAMETROS_CULTURAS!$I$6:$I$28,$P564),0.0001)))))</f>
        <v>0.751646090534979</v>
      </c>
      <c r="S564" s="18" t="n">
        <f aca="false">IFERROR(INDEX(SEMANAS!$H$6:$H$71,MATCH($B564,SEMANAS!$B$6:$B$71,0)),0)</f>
        <v>31.8</v>
      </c>
      <c r="T564" s="18" t="n">
        <f aca="false">$R564*$S564</f>
        <v>23.9023456790123</v>
      </c>
      <c r="U564" s="18" t="n">
        <f aca="false">IFERROR(INDEX(SEMANAS!$I$6:$I$71,MATCH($B564,SEMANAS!$B$6:$B$71,0)),0)</f>
        <v>25.28</v>
      </c>
      <c r="V564" s="18" t="n">
        <f aca="false">IFERROR(INDEX(SEMANAS!$J$6:$J$71,MATCH($B564,SEMANAS!$B$6:$B$71,0)),0)</f>
        <v>20.224</v>
      </c>
      <c r="W564" s="18" t="n">
        <f aca="false">MAX(0,$T564-$V564)</f>
        <v>3.67834567901234</v>
      </c>
      <c r="X564" s="19" t="n">
        <f aca="false">IFERROR(INDEX(CADASTRO_PIVOS!$K$6:$K$41,MATCH($E564,CADASTRO_PIVOS!$B$6:$B$41,0)),EFICIENCIA_PADRAO)</f>
        <v>0.85</v>
      </c>
      <c r="Y564" s="18" t="n">
        <f aca="false">IF($X564&lt;=0,0,$W564/$X564)</f>
        <v>4.3274655047204</v>
      </c>
      <c r="Z564" s="16" t="n">
        <f aca="false">$Y564*$H564*MM_PARA_M3_HA</f>
        <v>4345.20811328976</v>
      </c>
      <c r="AA564" s="18" t="n">
        <f aca="false">IFERROR(INDEX(CADASTRO_PIVOS!$I$6:$I$41,MATCH($E564,CADASTRO_PIVOS!$B$6:$B$41,0)),0)</f>
        <v>717.214285714286</v>
      </c>
      <c r="AB564" s="18" t="n">
        <f aca="false">IF($Z564&lt;=0,0,$Z564/$AA564)</f>
        <v>6.05845170660856</v>
      </c>
      <c r="AC564" s="16" t="n">
        <f aca="false">IFERROR(INDEX(SEMANAS!$K$6:$K$71,MATCH($B564,SEMANAS!$B$6:$B$71,0)),0)</f>
        <v>147</v>
      </c>
      <c r="AD564" s="19" t="n">
        <f aca="false">IF($AC564&lt;=0,0,$AB564/$AC564)</f>
        <v>0.0412139571878134</v>
      </c>
      <c r="AE564" s="8" t="str">
        <f aca="false">IF($K564="SEM CULTURA","SEM CULTURA",IF($AA564&lt;=0,"DADO PENDENTE",IF($AD564&gt;LIMITE_CRITICO,"INVIAVEL",IF($AD564&gt;LIMITE_ATENCAO,"CRITICO",IF($AD564&gt;LIMITE_CONFORTAVEL,"ATENCAO","OK")))))</f>
        <v>OK</v>
      </c>
      <c r="AF564" s="8" t="str">
        <f aca="false">$B564&amp;"|"&amp;TEXT($AD564,"0.000000")</f>
        <v>31|0.041214</v>
      </c>
      <c r="AG564" s="18" t="n">
        <f aca="false">IF($K564="SEM CULTURA",0,$T564*$H564)</f>
        <v>2400.03452962963</v>
      </c>
      <c r="AH564" s="18" t="n">
        <f aca="false">IF($K564="SEM CULTURA",0,$V564*$H564)</f>
        <v>2030.69184</v>
      </c>
      <c r="AI564" s="18" t="n">
        <f aca="false">IF($K564="SEM CULTURA",0,$W564*$H564)</f>
        <v>369.342689629629</v>
      </c>
      <c r="AJ564" s="18" t="n">
        <f aca="false">IF($K564="SEM CULTURA",0,$S564*$H564)</f>
        <v>3193.038</v>
      </c>
      <c r="AK564" s="8" t="str">
        <f aca="false">$E564&amp;"|"&amp;TEXT($AD564,"0.000000")</f>
        <v>PV 104|0.041214</v>
      </c>
    </row>
    <row r="565" customFormat="false" ht="15" hidden="false" customHeight="false" outlineLevel="0" collapsed="false">
      <c r="B565" s="16" t="n">
        <v>32</v>
      </c>
      <c r="C565" s="17" t="n">
        <f aca="false">DATA_INICIO_SAFRA+($B565-1)*DIAS_POR_SEMANA</f>
        <v>46482</v>
      </c>
      <c r="D565" s="17" t="n">
        <f aca="false">$C565+DIAS_POR_SEMANA-1</f>
        <v>46488</v>
      </c>
      <c r="E565" s="15" t="s">
        <v>267</v>
      </c>
      <c r="F565" s="8" t="str">
        <f aca="false">IFERROR(INDEX(CADASTRO_PIVOS!$C$6:$C$41,MATCH($E565,CADASTRO_PIVOS!$B$6:$B$41,0)),"?")</f>
        <v>RM04</v>
      </c>
      <c r="G565" s="8" t="str">
        <f aca="false">IFERROR(INDEX(CADASTRO_PIVOS!$D$6:$D$41,MATCH($E565,CADASTRO_PIVOS!$B$6:$B$41,0)),"?")</f>
        <v>TR04</v>
      </c>
      <c r="H565" s="20" t="n">
        <f aca="false">IFERROR(INDEX(CADASTRO_PIVOS!$E$6:$E$41,MATCH($E565,CADASTRO_PIVOS!$B$6:$B$41,0)),0)</f>
        <v>100.41</v>
      </c>
      <c r="I565" s="16" t="n">
        <f aca="false">IFERROR(SUMIFS(ROTACAO_RDM!$B$6:$B$71,ROTACAO_RDM!$D$6:$D$71,$E565,ROTACAO_RDM!$I$6:$I$71,"&lt;="&amp;$C565+INT(DIAS_POR_SEMANA/2),ROTACAO_RDM!$J$6:$J$71,"&gt;="&amp;$C565+INT(DIAS_POR_SEMANA/2)),0)</f>
        <v>6</v>
      </c>
      <c r="J565" s="16" t="n">
        <f aca="false">IFERROR(MATCH($I565,ROTACAO_RDM!$B$6:$B$71,0),0)</f>
        <v>6</v>
      </c>
      <c r="K565" s="8" t="str">
        <f aca="false">IF($J565=0,"SEM CULTURA",INDEX(ROTACAO_RDM!$F$6:$F$71,$J565))</f>
        <v>ALGODAO</v>
      </c>
      <c r="L565" s="8" t="str">
        <f aca="false">IF($J565=0,"",INDEX(ROTACAO_RDM!$G$6:$G$71,$J565))</f>
        <v>FM 911 GLTP</v>
      </c>
      <c r="M565" s="17" t="n">
        <f aca="false">IF($J565=0,"",INDEX(ROTACAO_RDM!$I$6:$I$71,$J565))</f>
        <v>46423</v>
      </c>
      <c r="N565" s="16" t="n">
        <f aca="false">IF($J565=0,0,MAX(0,$C565+INT(DIAS_POR_SEMANA/2)-INDEX(ROTACAO_RDM!$I$6:$I$71,$J565)))</f>
        <v>62</v>
      </c>
      <c r="O565" s="19" t="n">
        <f aca="false">IF($J565=0,0,MIN(1,$N565/MAX(1,INDEX(ROTACAO_RDM!$K$6:$K$71,$J565))))</f>
        <v>0.344444444444444</v>
      </c>
      <c r="P565" s="16" t="n">
        <f aca="false">IF($J565=0,0,IFERROR(MATCH(INDEX(ROTACAO_RDM!$N$6:$N$71,$J565),PARAMETROS_CULTURAS!$B$6:$B$28,0),0))</f>
        <v>4</v>
      </c>
      <c r="Q565" s="8" t="str">
        <f aca="false">IF($P565=0,"-",IF($O565&lt;=INDEX(PARAMETROS_CULTURAS!$F$6:$F$28,$P565),"INICIAL",IF($O565&lt;=INDEX(PARAMETROS_CULTURAS!$F$6:$F$28,$P565)+INDEX(PARAMETROS_CULTURAS!$G$6:$G$28,$P565),"DESENVOLVIMENTO",IF($O565&lt;=INDEX(PARAMETROS_CULTURAS!$F$6:$F$28,$P565)+INDEX(PARAMETROS_CULTURAS!$G$6:$G$28,$P565)+INDEX(PARAMETROS_CULTURAS!$H$6:$H$28,$P565),"MEDIA","FINAL"))))</f>
        <v>DESENVOLVIMENTO</v>
      </c>
      <c r="R565" s="24" t="n">
        <f aca="false">IF($P565=0,0,IF($O565&lt;=INDEX(PARAMETROS_CULTURAS!$F$6:$F$28,$P565),INDEX(PARAMETROS_CULTURAS!$K$6:$K$28,$P565),IF($O565&lt;=INDEX(PARAMETROS_CULTURAS!$F$6:$F$28,$P565)+INDEX(PARAMETROS_CULTURAS!$G$6:$G$28,$P565),INDEX(PARAMETROS_CULTURAS!$K$6:$K$28,$P565)+(INDEX(PARAMETROS_CULTURAS!$L$6:$L$28,$P565)-INDEX(PARAMETROS_CULTURAS!$K$6:$K$28,$P565))*($O565-INDEX(PARAMETROS_CULTURAS!$F$6:$F$28,$P565))/MAX(INDEX(PARAMETROS_CULTURAS!$G$6:$G$28,$P565),0.0001),IF($O565&lt;=INDEX(PARAMETROS_CULTURAS!$F$6:$F$28,$P565)+INDEX(PARAMETROS_CULTURAS!$G$6:$G$28,$P565)+INDEX(PARAMETROS_CULTURAS!$H$6:$H$28,$P565),INDEX(PARAMETROS_CULTURAS!$L$6:$L$28,$P565),INDEX(PARAMETROS_CULTURAS!$L$6:$L$28,$P565)+(INDEX(PARAMETROS_CULTURAS!$M$6:$M$28,$P565)-INDEX(PARAMETROS_CULTURAS!$L$6:$L$28,$P565))*($O565-INDEX(PARAMETROS_CULTURAS!$F$6:$F$28,$P565)-INDEX(PARAMETROS_CULTURAS!$G$6:$G$28,$P565)-INDEX(PARAMETROS_CULTURAS!$H$6:$H$28,$P565))/MAX(INDEX(PARAMETROS_CULTURAS!$I$6:$I$28,$P565),0.0001)))))</f>
        <v>0.866872427983539</v>
      </c>
      <c r="S565" s="18" t="n">
        <f aca="false">IFERROR(INDEX(SEMANAS!$H$6:$H$71,MATCH($B565,SEMANAS!$B$6:$B$71,0)),0)</f>
        <v>31.5</v>
      </c>
      <c r="T565" s="18" t="n">
        <f aca="false">$R565*$S565</f>
        <v>27.3064814814815</v>
      </c>
      <c r="U565" s="18" t="n">
        <f aca="false">IFERROR(INDEX(SEMANAS!$I$6:$I$71,MATCH($B565,SEMANAS!$B$6:$B$71,0)),0)</f>
        <v>16.31</v>
      </c>
      <c r="V565" s="18" t="n">
        <f aca="false">IFERROR(INDEX(SEMANAS!$J$6:$J$71,MATCH($B565,SEMANAS!$B$6:$B$71,0)),0)</f>
        <v>13.048</v>
      </c>
      <c r="W565" s="18" t="n">
        <f aca="false">MAX(0,$T565-$V565)</f>
        <v>14.2584814814815</v>
      </c>
      <c r="X565" s="19" t="n">
        <f aca="false">IFERROR(INDEX(CADASTRO_PIVOS!$K$6:$K$41,MATCH($E565,CADASTRO_PIVOS!$B$6:$B$41,0)),EFICIENCIA_PADRAO)</f>
        <v>0.85</v>
      </c>
      <c r="Y565" s="18" t="n">
        <f aca="false">IF($X565&lt;=0,0,$W565/$X565)</f>
        <v>16.7746840958606</v>
      </c>
      <c r="Z565" s="16" t="n">
        <f aca="false">$Y565*$H565*MM_PARA_M3_HA</f>
        <v>16843.4603006536</v>
      </c>
      <c r="AA565" s="18" t="n">
        <f aca="false">IFERROR(INDEX(CADASTRO_PIVOS!$I$6:$I$41,MATCH($E565,CADASTRO_PIVOS!$B$6:$B$41,0)),0)</f>
        <v>717.214285714286</v>
      </c>
      <c r="AB565" s="18" t="n">
        <f aca="false">IF($Z565&lt;=0,0,$Z565/$AA565)</f>
        <v>23.4845577342048</v>
      </c>
      <c r="AC565" s="16" t="n">
        <f aca="false">IFERROR(INDEX(SEMANAS!$K$6:$K$71,MATCH($B565,SEMANAS!$B$6:$B$71,0)),0)</f>
        <v>147</v>
      </c>
      <c r="AD565" s="19" t="n">
        <f aca="false">IF($AC565&lt;=0,0,$AB565/$AC565)</f>
        <v>0.159758896151053</v>
      </c>
      <c r="AE565" s="8" t="str">
        <f aca="false">IF($K565="SEM CULTURA","SEM CULTURA",IF($AA565&lt;=0,"DADO PENDENTE",IF($AD565&gt;LIMITE_CRITICO,"INVIAVEL",IF($AD565&gt;LIMITE_ATENCAO,"CRITICO",IF($AD565&gt;LIMITE_CONFORTAVEL,"ATENCAO","OK")))))</f>
        <v>OK</v>
      </c>
      <c r="AF565" s="8" t="str">
        <f aca="false">$B565&amp;"|"&amp;TEXT($AD565,"0.000000")</f>
        <v>32|0.159759</v>
      </c>
      <c r="AG565" s="18" t="n">
        <f aca="false">IF($K565="SEM CULTURA",0,$T565*$H565)</f>
        <v>2741.84380555556</v>
      </c>
      <c r="AH565" s="18" t="n">
        <f aca="false">IF($K565="SEM CULTURA",0,$V565*$H565)</f>
        <v>1310.14968</v>
      </c>
      <c r="AI565" s="18" t="n">
        <f aca="false">IF($K565="SEM CULTURA",0,$W565*$H565)</f>
        <v>1431.69412555556</v>
      </c>
      <c r="AJ565" s="18" t="n">
        <f aca="false">IF($K565="SEM CULTURA",0,$S565*$H565)</f>
        <v>3162.915</v>
      </c>
      <c r="AK565" s="8" t="str">
        <f aca="false">$E565&amp;"|"&amp;TEXT($AD565,"0.000000")</f>
        <v>PV 104|0.159759</v>
      </c>
    </row>
    <row r="566" customFormat="false" ht="15" hidden="false" customHeight="false" outlineLevel="0" collapsed="false">
      <c r="B566" s="16" t="n">
        <v>33</v>
      </c>
      <c r="C566" s="17" t="n">
        <f aca="false">DATA_INICIO_SAFRA+($B566-1)*DIAS_POR_SEMANA</f>
        <v>46489</v>
      </c>
      <c r="D566" s="17" t="n">
        <f aca="false">$C566+DIAS_POR_SEMANA-1</f>
        <v>46495</v>
      </c>
      <c r="E566" s="15" t="s">
        <v>267</v>
      </c>
      <c r="F566" s="8" t="str">
        <f aca="false">IFERROR(INDEX(CADASTRO_PIVOS!$C$6:$C$41,MATCH($E566,CADASTRO_PIVOS!$B$6:$B$41,0)),"?")</f>
        <v>RM04</v>
      </c>
      <c r="G566" s="8" t="str">
        <f aca="false">IFERROR(INDEX(CADASTRO_PIVOS!$D$6:$D$41,MATCH($E566,CADASTRO_PIVOS!$B$6:$B$41,0)),"?")</f>
        <v>TR04</v>
      </c>
      <c r="H566" s="20" t="n">
        <f aca="false">IFERROR(INDEX(CADASTRO_PIVOS!$E$6:$E$41,MATCH($E566,CADASTRO_PIVOS!$B$6:$B$41,0)),0)</f>
        <v>100.41</v>
      </c>
      <c r="I566" s="16" t="n">
        <f aca="false">IFERROR(SUMIFS(ROTACAO_RDM!$B$6:$B$71,ROTACAO_RDM!$D$6:$D$71,$E566,ROTACAO_RDM!$I$6:$I$71,"&lt;="&amp;$C566+INT(DIAS_POR_SEMANA/2),ROTACAO_RDM!$J$6:$J$71,"&gt;="&amp;$C566+INT(DIAS_POR_SEMANA/2)),0)</f>
        <v>6</v>
      </c>
      <c r="J566" s="16" t="n">
        <f aca="false">IFERROR(MATCH($I566,ROTACAO_RDM!$B$6:$B$71,0),0)</f>
        <v>6</v>
      </c>
      <c r="K566" s="8" t="str">
        <f aca="false">IF($J566=0,"SEM CULTURA",INDEX(ROTACAO_RDM!$F$6:$F$71,$J566))</f>
        <v>ALGODAO</v>
      </c>
      <c r="L566" s="8" t="str">
        <f aca="false">IF($J566=0,"",INDEX(ROTACAO_RDM!$G$6:$G$71,$J566))</f>
        <v>FM 911 GLTP</v>
      </c>
      <c r="M566" s="17" t="n">
        <f aca="false">IF($J566=0,"",INDEX(ROTACAO_RDM!$I$6:$I$71,$J566))</f>
        <v>46423</v>
      </c>
      <c r="N566" s="16" t="n">
        <f aca="false">IF($J566=0,0,MAX(0,$C566+INT(DIAS_POR_SEMANA/2)-INDEX(ROTACAO_RDM!$I$6:$I$71,$J566)))</f>
        <v>69</v>
      </c>
      <c r="O566" s="19" t="n">
        <f aca="false">IF($J566=0,0,MIN(1,$N566/MAX(1,INDEX(ROTACAO_RDM!$K$6:$K$71,$J566))))</f>
        <v>0.383333333333333</v>
      </c>
      <c r="P566" s="16" t="n">
        <f aca="false">IF($J566=0,0,IFERROR(MATCH(INDEX(ROTACAO_RDM!$N$6:$N$71,$J566),PARAMETROS_CULTURAS!$B$6:$B$28,0),0))</f>
        <v>4</v>
      </c>
      <c r="Q566" s="8" t="str">
        <f aca="false">IF($P566=0,"-",IF($O566&lt;=INDEX(PARAMETROS_CULTURAS!$F$6:$F$28,$P566),"INICIAL",IF($O566&lt;=INDEX(PARAMETROS_CULTURAS!$F$6:$F$28,$P566)+INDEX(PARAMETROS_CULTURAS!$G$6:$G$28,$P566),"DESENVOLVIMENTO",IF($O566&lt;=INDEX(PARAMETROS_CULTURAS!$F$6:$F$28,$P566)+INDEX(PARAMETROS_CULTURAS!$G$6:$G$28,$P566)+INDEX(PARAMETROS_CULTURAS!$H$6:$H$28,$P566),"MEDIA","FINAL"))))</f>
        <v>DESENVOLVIMENTO</v>
      </c>
      <c r="R566" s="24" t="n">
        <f aca="false">IF($P566=0,0,IF($O566&lt;=INDEX(PARAMETROS_CULTURAS!$F$6:$F$28,$P566),INDEX(PARAMETROS_CULTURAS!$K$6:$K$28,$P566),IF($O566&lt;=INDEX(PARAMETROS_CULTURAS!$F$6:$F$28,$P566)+INDEX(PARAMETROS_CULTURAS!$G$6:$G$28,$P566),INDEX(PARAMETROS_CULTURAS!$K$6:$K$28,$P566)+(INDEX(PARAMETROS_CULTURAS!$L$6:$L$28,$P566)-INDEX(PARAMETROS_CULTURAS!$K$6:$K$28,$P566))*($O566-INDEX(PARAMETROS_CULTURAS!$F$6:$F$28,$P566))/MAX(INDEX(PARAMETROS_CULTURAS!$G$6:$G$28,$P566),0.0001),IF($O566&lt;=INDEX(PARAMETROS_CULTURAS!$F$6:$F$28,$P566)+INDEX(PARAMETROS_CULTURAS!$G$6:$G$28,$P566)+INDEX(PARAMETROS_CULTURAS!$H$6:$H$28,$P566),INDEX(PARAMETROS_CULTURAS!$L$6:$L$28,$P566),INDEX(PARAMETROS_CULTURAS!$L$6:$L$28,$P566)+(INDEX(PARAMETROS_CULTURAS!$M$6:$M$28,$P566)-INDEX(PARAMETROS_CULTURAS!$L$6:$L$28,$P566))*($O566-INDEX(PARAMETROS_CULTURAS!$F$6:$F$28,$P566)-INDEX(PARAMETROS_CULTURAS!$G$6:$G$28,$P566)-INDEX(PARAMETROS_CULTURAS!$H$6:$H$28,$P566))/MAX(INDEX(PARAMETROS_CULTURAS!$I$6:$I$28,$P566),0.0001)))))</f>
        <v>0.982098765432099</v>
      </c>
      <c r="S566" s="18" t="n">
        <f aca="false">IFERROR(INDEX(SEMANAS!$H$6:$H$71,MATCH($B566,SEMANAS!$B$6:$B$71,0)),0)</f>
        <v>31.5</v>
      </c>
      <c r="T566" s="18" t="n">
        <f aca="false">$R566*$S566</f>
        <v>30.9361111111111</v>
      </c>
      <c r="U566" s="18" t="n">
        <f aca="false">IFERROR(INDEX(SEMANAS!$I$6:$I$71,MATCH($B566,SEMANAS!$B$6:$B$71,0)),0)</f>
        <v>16.31</v>
      </c>
      <c r="V566" s="18" t="n">
        <f aca="false">IFERROR(INDEX(SEMANAS!$J$6:$J$71,MATCH($B566,SEMANAS!$B$6:$B$71,0)),0)</f>
        <v>13.048</v>
      </c>
      <c r="W566" s="18" t="n">
        <f aca="false">MAX(0,$T566-$V566)</f>
        <v>17.8881111111111</v>
      </c>
      <c r="X566" s="19" t="n">
        <f aca="false">IFERROR(INDEX(CADASTRO_PIVOS!$K$6:$K$41,MATCH($E566,CADASTRO_PIVOS!$B$6:$B$41,0)),EFICIENCIA_PADRAO)</f>
        <v>0.85</v>
      </c>
      <c r="Y566" s="18" t="n">
        <f aca="false">IF($X566&lt;=0,0,$W566/$X566)</f>
        <v>21.0448366013072</v>
      </c>
      <c r="Z566" s="16" t="n">
        <f aca="false">$Y566*$H566*MM_PARA_M3_HA</f>
        <v>21131.1204313725</v>
      </c>
      <c r="AA566" s="18" t="n">
        <f aca="false">IFERROR(INDEX(CADASTRO_PIVOS!$I$6:$I$41,MATCH($E566,CADASTRO_PIVOS!$B$6:$B$41,0)),0)</f>
        <v>717.214285714286</v>
      </c>
      <c r="AB566" s="18" t="n">
        <f aca="false">IF($Z566&lt;=0,0,$Z566/$AA566)</f>
        <v>29.4627712418301</v>
      </c>
      <c r="AC566" s="16" t="n">
        <f aca="false">IFERROR(INDEX(SEMANAS!$K$6:$K$71,MATCH($B566,SEMANAS!$B$6:$B$71,0)),0)</f>
        <v>147</v>
      </c>
      <c r="AD566" s="19" t="n">
        <f aca="false">IF($AC566&lt;=0,0,$AB566/$AC566)</f>
        <v>0.200427015250545</v>
      </c>
      <c r="AE566" s="8" t="str">
        <f aca="false">IF($K566="SEM CULTURA","SEM CULTURA",IF($AA566&lt;=0,"DADO PENDENTE",IF($AD566&gt;LIMITE_CRITICO,"INVIAVEL",IF($AD566&gt;LIMITE_ATENCAO,"CRITICO",IF($AD566&gt;LIMITE_CONFORTAVEL,"ATENCAO","OK")))))</f>
        <v>OK</v>
      </c>
      <c r="AF566" s="8" t="str">
        <f aca="false">$B566&amp;"|"&amp;TEXT($AD566,"0.000000")</f>
        <v>33|0.200427</v>
      </c>
      <c r="AG566" s="18" t="n">
        <f aca="false">IF($K566="SEM CULTURA",0,$T566*$H566)</f>
        <v>3106.29491666667</v>
      </c>
      <c r="AH566" s="18" t="n">
        <f aca="false">IF($K566="SEM CULTURA",0,$V566*$H566)</f>
        <v>1310.14968</v>
      </c>
      <c r="AI566" s="18" t="n">
        <f aca="false">IF($K566="SEM CULTURA",0,$W566*$H566)</f>
        <v>1796.14523666667</v>
      </c>
      <c r="AJ566" s="18" t="n">
        <f aca="false">IF($K566="SEM CULTURA",0,$S566*$H566)</f>
        <v>3162.915</v>
      </c>
      <c r="AK566" s="8" t="str">
        <f aca="false">$E566&amp;"|"&amp;TEXT($AD566,"0.000000")</f>
        <v>PV 104|0.200427</v>
      </c>
    </row>
    <row r="567" customFormat="false" ht="15" hidden="false" customHeight="false" outlineLevel="0" collapsed="false">
      <c r="B567" s="16" t="n">
        <v>34</v>
      </c>
      <c r="C567" s="17" t="n">
        <f aca="false">DATA_INICIO_SAFRA+($B567-1)*DIAS_POR_SEMANA</f>
        <v>46496</v>
      </c>
      <c r="D567" s="17" t="n">
        <f aca="false">$C567+DIAS_POR_SEMANA-1</f>
        <v>46502</v>
      </c>
      <c r="E567" s="15" t="s">
        <v>267</v>
      </c>
      <c r="F567" s="8" t="str">
        <f aca="false">IFERROR(INDEX(CADASTRO_PIVOS!$C$6:$C$41,MATCH($E567,CADASTRO_PIVOS!$B$6:$B$41,0)),"?")</f>
        <v>RM04</v>
      </c>
      <c r="G567" s="8" t="str">
        <f aca="false">IFERROR(INDEX(CADASTRO_PIVOS!$D$6:$D$41,MATCH($E567,CADASTRO_PIVOS!$B$6:$B$41,0)),"?")</f>
        <v>TR04</v>
      </c>
      <c r="H567" s="20" t="n">
        <f aca="false">IFERROR(INDEX(CADASTRO_PIVOS!$E$6:$E$41,MATCH($E567,CADASTRO_PIVOS!$B$6:$B$41,0)),0)</f>
        <v>100.41</v>
      </c>
      <c r="I567" s="16" t="n">
        <f aca="false">IFERROR(SUMIFS(ROTACAO_RDM!$B$6:$B$71,ROTACAO_RDM!$D$6:$D$71,$E567,ROTACAO_RDM!$I$6:$I$71,"&lt;="&amp;$C567+INT(DIAS_POR_SEMANA/2),ROTACAO_RDM!$J$6:$J$71,"&gt;="&amp;$C567+INT(DIAS_POR_SEMANA/2)),0)</f>
        <v>6</v>
      </c>
      <c r="J567" s="16" t="n">
        <f aca="false">IFERROR(MATCH($I567,ROTACAO_RDM!$B$6:$B$71,0),0)</f>
        <v>6</v>
      </c>
      <c r="K567" s="8" t="str">
        <f aca="false">IF($J567=0,"SEM CULTURA",INDEX(ROTACAO_RDM!$F$6:$F$71,$J567))</f>
        <v>ALGODAO</v>
      </c>
      <c r="L567" s="8" t="str">
        <f aca="false">IF($J567=0,"",INDEX(ROTACAO_RDM!$G$6:$G$71,$J567))</f>
        <v>FM 911 GLTP</v>
      </c>
      <c r="M567" s="17" t="n">
        <f aca="false">IF($J567=0,"",INDEX(ROTACAO_RDM!$I$6:$I$71,$J567))</f>
        <v>46423</v>
      </c>
      <c r="N567" s="16" t="n">
        <f aca="false">IF($J567=0,0,MAX(0,$C567+INT(DIAS_POR_SEMANA/2)-INDEX(ROTACAO_RDM!$I$6:$I$71,$J567)))</f>
        <v>76</v>
      </c>
      <c r="O567" s="19" t="n">
        <f aca="false">IF($J567=0,0,MIN(1,$N567/MAX(1,INDEX(ROTACAO_RDM!$K$6:$K$71,$J567))))</f>
        <v>0.422222222222222</v>
      </c>
      <c r="P567" s="16" t="n">
        <f aca="false">IF($J567=0,0,IFERROR(MATCH(INDEX(ROTACAO_RDM!$N$6:$N$71,$J567),PARAMETROS_CULTURAS!$B$6:$B$28,0),0))</f>
        <v>4</v>
      </c>
      <c r="Q567" s="8" t="str">
        <f aca="false">IF($P567=0,"-",IF($O567&lt;=INDEX(PARAMETROS_CULTURAS!$F$6:$F$28,$P567),"INICIAL",IF($O567&lt;=INDEX(PARAMETROS_CULTURAS!$F$6:$F$28,$P567)+INDEX(PARAMETROS_CULTURAS!$G$6:$G$28,$P567),"DESENVOLVIMENTO",IF($O567&lt;=INDEX(PARAMETROS_CULTURAS!$F$6:$F$28,$P567)+INDEX(PARAMETROS_CULTURAS!$G$6:$G$28,$P567)+INDEX(PARAMETROS_CULTURAS!$H$6:$H$28,$P567),"MEDIA","FINAL"))))</f>
        <v>DESENVOLVIMENTO</v>
      </c>
      <c r="R567" s="24" t="n">
        <f aca="false">IF($P567=0,0,IF($O567&lt;=INDEX(PARAMETROS_CULTURAS!$F$6:$F$28,$P567),INDEX(PARAMETROS_CULTURAS!$K$6:$K$28,$P567),IF($O567&lt;=INDEX(PARAMETROS_CULTURAS!$F$6:$F$28,$P567)+INDEX(PARAMETROS_CULTURAS!$G$6:$G$28,$P567),INDEX(PARAMETROS_CULTURAS!$K$6:$K$28,$P567)+(INDEX(PARAMETROS_CULTURAS!$L$6:$L$28,$P567)-INDEX(PARAMETROS_CULTURAS!$K$6:$K$28,$P567))*($O567-INDEX(PARAMETROS_CULTURAS!$F$6:$F$28,$P567))/MAX(INDEX(PARAMETROS_CULTURAS!$G$6:$G$28,$P567),0.0001),IF($O567&lt;=INDEX(PARAMETROS_CULTURAS!$F$6:$F$28,$P567)+INDEX(PARAMETROS_CULTURAS!$G$6:$G$28,$P567)+INDEX(PARAMETROS_CULTURAS!$H$6:$H$28,$P567),INDEX(PARAMETROS_CULTURAS!$L$6:$L$28,$P567),INDEX(PARAMETROS_CULTURAS!$L$6:$L$28,$P567)+(INDEX(PARAMETROS_CULTURAS!$M$6:$M$28,$P567)-INDEX(PARAMETROS_CULTURAS!$L$6:$L$28,$P567))*($O567-INDEX(PARAMETROS_CULTURAS!$F$6:$F$28,$P567)-INDEX(PARAMETROS_CULTURAS!$G$6:$G$28,$P567)-INDEX(PARAMETROS_CULTURAS!$H$6:$H$28,$P567))/MAX(INDEX(PARAMETROS_CULTURAS!$I$6:$I$28,$P567),0.0001)))))</f>
        <v>1.09732510288066</v>
      </c>
      <c r="S567" s="18" t="n">
        <f aca="false">IFERROR(INDEX(SEMANAS!$H$6:$H$71,MATCH($B567,SEMANAS!$B$6:$B$71,0)),0)</f>
        <v>31.5</v>
      </c>
      <c r="T567" s="18" t="n">
        <f aca="false">$R567*$S567</f>
        <v>34.5657407407407</v>
      </c>
      <c r="U567" s="18" t="n">
        <f aca="false">IFERROR(INDEX(SEMANAS!$I$6:$I$71,MATCH($B567,SEMANAS!$B$6:$B$71,0)),0)</f>
        <v>16.31</v>
      </c>
      <c r="V567" s="18" t="n">
        <f aca="false">IFERROR(INDEX(SEMANAS!$J$6:$J$71,MATCH($B567,SEMANAS!$B$6:$B$71,0)),0)</f>
        <v>13.048</v>
      </c>
      <c r="W567" s="18" t="n">
        <f aca="false">MAX(0,$T567-$V567)</f>
        <v>21.5177407407407</v>
      </c>
      <c r="X567" s="19" t="n">
        <f aca="false">IFERROR(INDEX(CADASTRO_PIVOS!$K$6:$K$41,MATCH($E567,CADASTRO_PIVOS!$B$6:$B$41,0)),EFICIENCIA_PADRAO)</f>
        <v>0.85</v>
      </c>
      <c r="Y567" s="18" t="n">
        <f aca="false">IF($X567&lt;=0,0,$W567/$X567)</f>
        <v>25.3149891067538</v>
      </c>
      <c r="Z567" s="16" t="n">
        <f aca="false">$Y567*$H567*MM_PARA_M3_HA</f>
        <v>25418.7805620915</v>
      </c>
      <c r="AA567" s="18" t="n">
        <f aca="false">IFERROR(INDEX(CADASTRO_PIVOS!$I$6:$I$41,MATCH($E567,CADASTRO_PIVOS!$B$6:$B$41,0)),0)</f>
        <v>717.214285714286</v>
      </c>
      <c r="AB567" s="18" t="n">
        <f aca="false">IF($Z567&lt;=0,0,$Z567/$AA567)</f>
        <v>35.4409847494553</v>
      </c>
      <c r="AC567" s="16" t="n">
        <f aca="false">IFERROR(INDEX(SEMANAS!$K$6:$K$71,MATCH($B567,SEMANAS!$B$6:$B$71,0)),0)</f>
        <v>147</v>
      </c>
      <c r="AD567" s="19" t="n">
        <f aca="false">IF($AC567&lt;=0,0,$AB567/$AC567)</f>
        <v>0.241095134350036</v>
      </c>
      <c r="AE567" s="8" t="str">
        <f aca="false">IF($K567="SEM CULTURA","SEM CULTURA",IF($AA567&lt;=0,"DADO PENDENTE",IF($AD567&gt;LIMITE_CRITICO,"INVIAVEL",IF($AD567&gt;LIMITE_ATENCAO,"CRITICO",IF($AD567&gt;LIMITE_CONFORTAVEL,"ATENCAO","OK")))))</f>
        <v>OK</v>
      </c>
      <c r="AF567" s="8" t="str">
        <f aca="false">$B567&amp;"|"&amp;TEXT($AD567,"0.000000")</f>
        <v>34|0.241095</v>
      </c>
      <c r="AG567" s="18" t="n">
        <f aca="false">IF($K567="SEM CULTURA",0,$T567*$H567)</f>
        <v>3470.74602777778</v>
      </c>
      <c r="AH567" s="18" t="n">
        <f aca="false">IF($K567="SEM CULTURA",0,$V567*$H567)</f>
        <v>1310.14968</v>
      </c>
      <c r="AI567" s="18" t="n">
        <f aca="false">IF($K567="SEM CULTURA",0,$W567*$H567)</f>
        <v>2160.59634777778</v>
      </c>
      <c r="AJ567" s="18" t="n">
        <f aca="false">IF($K567="SEM CULTURA",0,$S567*$H567)</f>
        <v>3162.915</v>
      </c>
      <c r="AK567" s="8" t="str">
        <f aca="false">$E567&amp;"|"&amp;TEXT($AD567,"0.000000")</f>
        <v>PV 104|0.241095</v>
      </c>
    </row>
    <row r="568" customFormat="false" ht="15" hidden="false" customHeight="false" outlineLevel="0" collapsed="false">
      <c r="B568" s="16" t="n">
        <v>35</v>
      </c>
      <c r="C568" s="17" t="n">
        <f aca="false">DATA_INICIO_SAFRA+($B568-1)*DIAS_POR_SEMANA</f>
        <v>46503</v>
      </c>
      <c r="D568" s="17" t="n">
        <f aca="false">$C568+DIAS_POR_SEMANA-1</f>
        <v>46509</v>
      </c>
      <c r="E568" s="15" t="s">
        <v>267</v>
      </c>
      <c r="F568" s="8" t="str">
        <f aca="false">IFERROR(INDEX(CADASTRO_PIVOS!$C$6:$C$41,MATCH($E568,CADASTRO_PIVOS!$B$6:$B$41,0)),"?")</f>
        <v>RM04</v>
      </c>
      <c r="G568" s="8" t="str">
        <f aca="false">IFERROR(INDEX(CADASTRO_PIVOS!$D$6:$D$41,MATCH($E568,CADASTRO_PIVOS!$B$6:$B$41,0)),"?")</f>
        <v>TR04</v>
      </c>
      <c r="H568" s="20" t="n">
        <f aca="false">IFERROR(INDEX(CADASTRO_PIVOS!$E$6:$E$41,MATCH($E568,CADASTRO_PIVOS!$B$6:$B$41,0)),0)</f>
        <v>100.41</v>
      </c>
      <c r="I568" s="16" t="n">
        <f aca="false">IFERROR(SUMIFS(ROTACAO_RDM!$B$6:$B$71,ROTACAO_RDM!$D$6:$D$71,$E568,ROTACAO_RDM!$I$6:$I$71,"&lt;="&amp;$C568+INT(DIAS_POR_SEMANA/2),ROTACAO_RDM!$J$6:$J$71,"&gt;="&amp;$C568+INT(DIAS_POR_SEMANA/2)),0)</f>
        <v>6</v>
      </c>
      <c r="J568" s="16" t="n">
        <f aca="false">IFERROR(MATCH($I568,ROTACAO_RDM!$B$6:$B$71,0),0)</f>
        <v>6</v>
      </c>
      <c r="K568" s="8" t="str">
        <f aca="false">IF($J568=0,"SEM CULTURA",INDEX(ROTACAO_RDM!$F$6:$F$71,$J568))</f>
        <v>ALGODAO</v>
      </c>
      <c r="L568" s="8" t="str">
        <f aca="false">IF($J568=0,"",INDEX(ROTACAO_RDM!$G$6:$G$71,$J568))</f>
        <v>FM 911 GLTP</v>
      </c>
      <c r="M568" s="17" t="n">
        <f aca="false">IF($J568=0,"",INDEX(ROTACAO_RDM!$I$6:$I$71,$J568))</f>
        <v>46423</v>
      </c>
      <c r="N568" s="16" t="n">
        <f aca="false">IF($J568=0,0,MAX(0,$C568+INT(DIAS_POR_SEMANA/2)-INDEX(ROTACAO_RDM!$I$6:$I$71,$J568)))</f>
        <v>83</v>
      </c>
      <c r="O568" s="19" t="n">
        <f aca="false">IF($J568=0,0,MIN(1,$N568/MAX(1,INDEX(ROTACAO_RDM!$K$6:$K$71,$J568))))</f>
        <v>0.461111111111111</v>
      </c>
      <c r="P568" s="16" t="n">
        <f aca="false">IF($J568=0,0,IFERROR(MATCH(INDEX(ROTACAO_RDM!$N$6:$N$71,$J568),PARAMETROS_CULTURAS!$B$6:$B$28,0),0))</f>
        <v>4</v>
      </c>
      <c r="Q568" s="8" t="str">
        <f aca="false">IF($P568=0,"-",IF($O568&lt;=INDEX(PARAMETROS_CULTURAS!$F$6:$F$28,$P568),"INICIAL",IF($O568&lt;=INDEX(PARAMETROS_CULTURAS!$F$6:$F$28,$P568)+INDEX(PARAMETROS_CULTURAS!$G$6:$G$28,$P568),"DESENVOLVIMENTO",IF($O568&lt;=INDEX(PARAMETROS_CULTURAS!$F$6:$F$28,$P568)+INDEX(PARAMETROS_CULTURAS!$G$6:$G$28,$P568)+INDEX(PARAMETROS_CULTURAS!$H$6:$H$28,$P568),"MEDIA","FINAL"))))</f>
        <v>MEDIA</v>
      </c>
      <c r="R568" s="24" t="n">
        <f aca="false">IF($P568=0,0,IF($O568&lt;=INDEX(PARAMETROS_CULTURAS!$F$6:$F$28,$P568),INDEX(PARAMETROS_CULTURAS!$K$6:$K$28,$P568),IF($O568&lt;=INDEX(PARAMETROS_CULTURAS!$F$6:$F$28,$P568)+INDEX(PARAMETROS_CULTURAS!$G$6:$G$28,$P568),INDEX(PARAMETROS_CULTURAS!$K$6:$K$28,$P568)+(INDEX(PARAMETROS_CULTURAS!$L$6:$L$28,$P568)-INDEX(PARAMETROS_CULTURAS!$K$6:$K$28,$P568))*($O568-INDEX(PARAMETROS_CULTURAS!$F$6:$F$28,$P568))/MAX(INDEX(PARAMETROS_CULTURAS!$G$6:$G$28,$P568),0.0001),IF($O568&lt;=INDEX(PARAMETROS_CULTURAS!$F$6:$F$28,$P568)+INDEX(PARAMETROS_CULTURAS!$G$6:$G$28,$P568)+INDEX(PARAMETROS_CULTURAS!$H$6:$H$28,$P568),INDEX(PARAMETROS_CULTURAS!$L$6:$L$28,$P568),INDEX(PARAMETROS_CULTURAS!$L$6:$L$28,$P568)+(INDEX(PARAMETROS_CULTURAS!$M$6:$M$28,$P568)-INDEX(PARAMETROS_CULTURAS!$L$6:$L$28,$P568))*($O568-INDEX(PARAMETROS_CULTURAS!$F$6:$F$28,$P568)-INDEX(PARAMETROS_CULTURAS!$G$6:$G$28,$P568)-INDEX(PARAMETROS_CULTURAS!$H$6:$H$28,$P568))/MAX(INDEX(PARAMETROS_CULTURAS!$I$6:$I$28,$P568),0.0001)))))</f>
        <v>1.15</v>
      </c>
      <c r="S568" s="18" t="n">
        <f aca="false">IFERROR(INDEX(SEMANAS!$H$6:$H$71,MATCH($B568,SEMANAS!$B$6:$B$71,0)),0)</f>
        <v>30.9</v>
      </c>
      <c r="T568" s="18" t="n">
        <f aca="false">$R568*$S568</f>
        <v>35.535</v>
      </c>
      <c r="U568" s="18" t="n">
        <f aca="false">IFERROR(INDEX(SEMANAS!$I$6:$I$71,MATCH($B568,SEMANAS!$B$6:$B$71,0)),0)</f>
        <v>12.61</v>
      </c>
      <c r="V568" s="18" t="n">
        <f aca="false">IFERROR(INDEX(SEMANAS!$J$6:$J$71,MATCH($B568,SEMANAS!$B$6:$B$71,0)),0)</f>
        <v>10.088</v>
      </c>
      <c r="W568" s="18" t="n">
        <f aca="false">MAX(0,$T568-$V568)</f>
        <v>25.447</v>
      </c>
      <c r="X568" s="19" t="n">
        <f aca="false">IFERROR(INDEX(CADASTRO_PIVOS!$K$6:$K$41,MATCH($E568,CADASTRO_PIVOS!$B$6:$B$41,0)),EFICIENCIA_PADRAO)</f>
        <v>0.85</v>
      </c>
      <c r="Y568" s="18" t="n">
        <f aca="false">IF($X568&lt;=0,0,$W568/$X568)</f>
        <v>29.9376470588235</v>
      </c>
      <c r="Z568" s="16" t="n">
        <f aca="false">$Y568*$H568*MM_PARA_M3_HA</f>
        <v>30060.3914117647</v>
      </c>
      <c r="AA568" s="18" t="n">
        <f aca="false">IFERROR(INDEX(CADASTRO_PIVOS!$I$6:$I$41,MATCH($E568,CADASTRO_PIVOS!$B$6:$B$41,0)),0)</f>
        <v>717.214285714286</v>
      </c>
      <c r="AB568" s="18" t="n">
        <f aca="false">IF($Z568&lt;=0,0,$Z568/$AA568)</f>
        <v>41.9127058823529</v>
      </c>
      <c r="AC568" s="16" t="n">
        <f aca="false">IFERROR(INDEX(SEMANAS!$K$6:$K$71,MATCH($B568,SEMANAS!$B$6:$B$71,0)),0)</f>
        <v>147</v>
      </c>
      <c r="AD568" s="19" t="n">
        <f aca="false">IF($AC568&lt;=0,0,$AB568/$AC568)</f>
        <v>0.285120448179272</v>
      </c>
      <c r="AE568" s="8" t="str">
        <f aca="false">IF($K568="SEM CULTURA","SEM CULTURA",IF($AA568&lt;=0,"DADO PENDENTE",IF($AD568&gt;LIMITE_CRITICO,"INVIAVEL",IF($AD568&gt;LIMITE_ATENCAO,"CRITICO",IF($AD568&gt;LIMITE_CONFORTAVEL,"ATENCAO","OK")))))</f>
        <v>OK</v>
      </c>
      <c r="AF568" s="8" t="str">
        <f aca="false">$B568&amp;"|"&amp;TEXT($AD568,"0.000000")</f>
        <v>35|0.285120</v>
      </c>
      <c r="AG568" s="18" t="n">
        <f aca="false">IF($K568="SEM CULTURA",0,$T568*$H568)</f>
        <v>3568.06935</v>
      </c>
      <c r="AH568" s="18" t="n">
        <f aca="false">IF($K568="SEM CULTURA",0,$V568*$H568)</f>
        <v>1012.93608</v>
      </c>
      <c r="AI568" s="18" t="n">
        <f aca="false">IF($K568="SEM CULTURA",0,$W568*$H568)</f>
        <v>2555.13327</v>
      </c>
      <c r="AJ568" s="18" t="n">
        <f aca="false">IF($K568="SEM CULTURA",0,$S568*$H568)</f>
        <v>3102.669</v>
      </c>
      <c r="AK568" s="8" t="str">
        <f aca="false">$E568&amp;"|"&amp;TEXT($AD568,"0.000000")</f>
        <v>PV 104|0.285120</v>
      </c>
    </row>
    <row r="569" customFormat="false" ht="15" hidden="false" customHeight="false" outlineLevel="0" collapsed="false">
      <c r="B569" s="16" t="n">
        <v>36</v>
      </c>
      <c r="C569" s="17" t="n">
        <f aca="false">DATA_INICIO_SAFRA+($B569-1)*DIAS_POR_SEMANA</f>
        <v>46510</v>
      </c>
      <c r="D569" s="17" t="n">
        <f aca="false">$C569+DIAS_POR_SEMANA-1</f>
        <v>46516</v>
      </c>
      <c r="E569" s="15" t="s">
        <v>267</v>
      </c>
      <c r="F569" s="8" t="str">
        <f aca="false">IFERROR(INDEX(CADASTRO_PIVOS!$C$6:$C$41,MATCH($E569,CADASTRO_PIVOS!$B$6:$B$41,0)),"?")</f>
        <v>RM04</v>
      </c>
      <c r="G569" s="8" t="str">
        <f aca="false">IFERROR(INDEX(CADASTRO_PIVOS!$D$6:$D$41,MATCH($E569,CADASTRO_PIVOS!$B$6:$B$41,0)),"?")</f>
        <v>TR04</v>
      </c>
      <c r="H569" s="20" t="n">
        <f aca="false">IFERROR(INDEX(CADASTRO_PIVOS!$E$6:$E$41,MATCH($E569,CADASTRO_PIVOS!$B$6:$B$41,0)),0)</f>
        <v>100.41</v>
      </c>
      <c r="I569" s="16" t="n">
        <f aca="false">IFERROR(SUMIFS(ROTACAO_RDM!$B$6:$B$71,ROTACAO_RDM!$D$6:$D$71,$E569,ROTACAO_RDM!$I$6:$I$71,"&lt;="&amp;$C569+INT(DIAS_POR_SEMANA/2),ROTACAO_RDM!$J$6:$J$71,"&gt;="&amp;$C569+INT(DIAS_POR_SEMANA/2)),0)</f>
        <v>6</v>
      </c>
      <c r="J569" s="16" t="n">
        <f aca="false">IFERROR(MATCH($I569,ROTACAO_RDM!$B$6:$B$71,0),0)</f>
        <v>6</v>
      </c>
      <c r="K569" s="8" t="str">
        <f aca="false">IF($J569=0,"SEM CULTURA",INDEX(ROTACAO_RDM!$F$6:$F$71,$J569))</f>
        <v>ALGODAO</v>
      </c>
      <c r="L569" s="8" t="str">
        <f aca="false">IF($J569=0,"",INDEX(ROTACAO_RDM!$G$6:$G$71,$J569))</f>
        <v>FM 911 GLTP</v>
      </c>
      <c r="M569" s="17" t="n">
        <f aca="false">IF($J569=0,"",INDEX(ROTACAO_RDM!$I$6:$I$71,$J569))</f>
        <v>46423</v>
      </c>
      <c r="N569" s="16" t="n">
        <f aca="false">IF($J569=0,0,MAX(0,$C569+INT(DIAS_POR_SEMANA/2)-INDEX(ROTACAO_RDM!$I$6:$I$71,$J569)))</f>
        <v>90</v>
      </c>
      <c r="O569" s="19" t="n">
        <f aca="false">IF($J569=0,0,MIN(1,$N569/MAX(1,INDEX(ROTACAO_RDM!$K$6:$K$71,$J569))))</f>
        <v>0.5</v>
      </c>
      <c r="P569" s="16" t="n">
        <f aca="false">IF($J569=0,0,IFERROR(MATCH(INDEX(ROTACAO_RDM!$N$6:$N$71,$J569),PARAMETROS_CULTURAS!$B$6:$B$28,0),0))</f>
        <v>4</v>
      </c>
      <c r="Q569" s="8" t="str">
        <f aca="false">IF($P569=0,"-",IF($O569&lt;=INDEX(PARAMETROS_CULTURAS!$F$6:$F$28,$P569),"INICIAL",IF($O569&lt;=INDEX(PARAMETROS_CULTURAS!$F$6:$F$28,$P569)+INDEX(PARAMETROS_CULTURAS!$G$6:$G$28,$P569),"DESENVOLVIMENTO",IF($O569&lt;=INDEX(PARAMETROS_CULTURAS!$F$6:$F$28,$P569)+INDEX(PARAMETROS_CULTURAS!$G$6:$G$28,$P569)+INDEX(PARAMETROS_CULTURAS!$H$6:$H$28,$P569),"MEDIA","FINAL"))))</f>
        <v>MEDIA</v>
      </c>
      <c r="R569" s="24" t="n">
        <f aca="false">IF($P569=0,0,IF($O569&lt;=INDEX(PARAMETROS_CULTURAS!$F$6:$F$28,$P569),INDEX(PARAMETROS_CULTURAS!$K$6:$K$28,$P569),IF($O569&lt;=INDEX(PARAMETROS_CULTURAS!$F$6:$F$28,$P569)+INDEX(PARAMETROS_CULTURAS!$G$6:$G$28,$P569),INDEX(PARAMETROS_CULTURAS!$K$6:$K$28,$P569)+(INDEX(PARAMETROS_CULTURAS!$L$6:$L$28,$P569)-INDEX(PARAMETROS_CULTURAS!$K$6:$K$28,$P569))*($O569-INDEX(PARAMETROS_CULTURAS!$F$6:$F$28,$P569))/MAX(INDEX(PARAMETROS_CULTURAS!$G$6:$G$28,$P569),0.0001),IF($O569&lt;=INDEX(PARAMETROS_CULTURAS!$F$6:$F$28,$P569)+INDEX(PARAMETROS_CULTURAS!$G$6:$G$28,$P569)+INDEX(PARAMETROS_CULTURAS!$H$6:$H$28,$P569),INDEX(PARAMETROS_CULTURAS!$L$6:$L$28,$P569),INDEX(PARAMETROS_CULTURAS!$L$6:$L$28,$P569)+(INDEX(PARAMETROS_CULTURAS!$M$6:$M$28,$P569)-INDEX(PARAMETROS_CULTURAS!$L$6:$L$28,$P569))*($O569-INDEX(PARAMETROS_CULTURAS!$F$6:$F$28,$P569)-INDEX(PARAMETROS_CULTURAS!$G$6:$G$28,$P569)-INDEX(PARAMETROS_CULTURAS!$H$6:$H$28,$P569))/MAX(INDEX(PARAMETROS_CULTURAS!$I$6:$I$28,$P569),0.0001)))))</f>
        <v>1.15</v>
      </c>
      <c r="S569" s="18" t="n">
        <f aca="false">IFERROR(INDEX(SEMANAS!$H$6:$H$71,MATCH($B569,SEMANAS!$B$6:$B$71,0)),0)</f>
        <v>29.4</v>
      </c>
      <c r="T569" s="18" t="n">
        <f aca="false">$R569*$S569</f>
        <v>33.81</v>
      </c>
      <c r="U569" s="18" t="n">
        <f aca="false">IFERROR(INDEX(SEMANAS!$I$6:$I$71,MATCH($B569,SEMANAS!$B$6:$B$71,0)),0)</f>
        <v>3.36</v>
      </c>
      <c r="V569" s="18" t="n">
        <f aca="false">IFERROR(INDEX(SEMANAS!$J$6:$J$71,MATCH($B569,SEMANAS!$B$6:$B$71,0)),0)</f>
        <v>2.688</v>
      </c>
      <c r="W569" s="18" t="n">
        <f aca="false">MAX(0,$T569-$V569)</f>
        <v>31.122</v>
      </c>
      <c r="X569" s="19" t="n">
        <f aca="false">IFERROR(INDEX(CADASTRO_PIVOS!$K$6:$K$41,MATCH($E569,CADASTRO_PIVOS!$B$6:$B$41,0)),EFICIENCIA_PADRAO)</f>
        <v>0.85</v>
      </c>
      <c r="Y569" s="18" t="n">
        <f aca="false">IF($X569&lt;=0,0,$W569/$X569)</f>
        <v>36.6141176470588</v>
      </c>
      <c r="Z569" s="16" t="n">
        <f aca="false">$Y569*$H569*MM_PARA_M3_HA</f>
        <v>36764.2355294118</v>
      </c>
      <c r="AA569" s="18" t="n">
        <f aca="false">IFERROR(INDEX(CADASTRO_PIVOS!$I$6:$I$41,MATCH($E569,CADASTRO_PIVOS!$B$6:$B$41,0)),0)</f>
        <v>717.214285714286</v>
      </c>
      <c r="AB569" s="18" t="n">
        <f aca="false">IF($Z569&lt;=0,0,$Z569/$AA569)</f>
        <v>51.2597647058824</v>
      </c>
      <c r="AC569" s="16" t="n">
        <f aca="false">IFERROR(INDEX(SEMANAS!$K$6:$K$71,MATCH($B569,SEMANAS!$B$6:$B$71,0)),0)</f>
        <v>147</v>
      </c>
      <c r="AD569" s="19" t="n">
        <f aca="false">IF($AC569&lt;=0,0,$AB569/$AC569)</f>
        <v>0.348705882352941</v>
      </c>
      <c r="AE569" s="8" t="str">
        <f aca="false">IF($K569="SEM CULTURA","SEM CULTURA",IF($AA569&lt;=0,"DADO PENDENTE",IF($AD569&gt;LIMITE_CRITICO,"INVIAVEL",IF($AD569&gt;LIMITE_ATENCAO,"CRITICO",IF($AD569&gt;LIMITE_CONFORTAVEL,"ATENCAO","OK")))))</f>
        <v>OK</v>
      </c>
      <c r="AF569" s="8" t="str">
        <f aca="false">$B569&amp;"|"&amp;TEXT($AD569,"0.000000")</f>
        <v>36|0.348706</v>
      </c>
      <c r="AG569" s="18" t="n">
        <f aca="false">IF($K569="SEM CULTURA",0,$T569*$H569)</f>
        <v>3394.8621</v>
      </c>
      <c r="AH569" s="18" t="n">
        <f aca="false">IF($K569="SEM CULTURA",0,$V569*$H569)</f>
        <v>269.90208</v>
      </c>
      <c r="AI569" s="18" t="n">
        <f aca="false">IF($K569="SEM CULTURA",0,$W569*$H569)</f>
        <v>3124.96002</v>
      </c>
      <c r="AJ569" s="18" t="n">
        <f aca="false">IF($K569="SEM CULTURA",0,$S569*$H569)</f>
        <v>2952.054</v>
      </c>
      <c r="AK569" s="8" t="str">
        <f aca="false">$E569&amp;"|"&amp;TEXT($AD569,"0.000000")</f>
        <v>PV 104|0.348706</v>
      </c>
    </row>
    <row r="570" customFormat="false" ht="15" hidden="false" customHeight="false" outlineLevel="0" collapsed="false">
      <c r="B570" s="16" t="n">
        <v>37</v>
      </c>
      <c r="C570" s="17" t="n">
        <f aca="false">DATA_INICIO_SAFRA+($B570-1)*DIAS_POR_SEMANA</f>
        <v>46517</v>
      </c>
      <c r="D570" s="17" t="n">
        <f aca="false">$C570+DIAS_POR_SEMANA-1</f>
        <v>46523</v>
      </c>
      <c r="E570" s="15" t="s">
        <v>267</v>
      </c>
      <c r="F570" s="8" t="str">
        <f aca="false">IFERROR(INDEX(CADASTRO_PIVOS!$C$6:$C$41,MATCH($E570,CADASTRO_PIVOS!$B$6:$B$41,0)),"?")</f>
        <v>RM04</v>
      </c>
      <c r="G570" s="8" t="str">
        <f aca="false">IFERROR(INDEX(CADASTRO_PIVOS!$D$6:$D$41,MATCH($E570,CADASTRO_PIVOS!$B$6:$B$41,0)),"?")</f>
        <v>TR04</v>
      </c>
      <c r="H570" s="20" t="n">
        <f aca="false">IFERROR(INDEX(CADASTRO_PIVOS!$E$6:$E$41,MATCH($E570,CADASTRO_PIVOS!$B$6:$B$41,0)),0)</f>
        <v>100.41</v>
      </c>
      <c r="I570" s="16" t="n">
        <f aca="false">IFERROR(SUMIFS(ROTACAO_RDM!$B$6:$B$71,ROTACAO_RDM!$D$6:$D$71,$E570,ROTACAO_RDM!$I$6:$I$71,"&lt;="&amp;$C570+INT(DIAS_POR_SEMANA/2),ROTACAO_RDM!$J$6:$J$71,"&gt;="&amp;$C570+INT(DIAS_POR_SEMANA/2)),0)</f>
        <v>6</v>
      </c>
      <c r="J570" s="16" t="n">
        <f aca="false">IFERROR(MATCH($I570,ROTACAO_RDM!$B$6:$B$71,0),0)</f>
        <v>6</v>
      </c>
      <c r="K570" s="8" t="str">
        <f aca="false">IF($J570=0,"SEM CULTURA",INDEX(ROTACAO_RDM!$F$6:$F$71,$J570))</f>
        <v>ALGODAO</v>
      </c>
      <c r="L570" s="8" t="str">
        <f aca="false">IF($J570=0,"",INDEX(ROTACAO_RDM!$G$6:$G$71,$J570))</f>
        <v>FM 911 GLTP</v>
      </c>
      <c r="M570" s="17" t="n">
        <f aca="false">IF($J570=0,"",INDEX(ROTACAO_RDM!$I$6:$I$71,$J570))</f>
        <v>46423</v>
      </c>
      <c r="N570" s="16" t="n">
        <f aca="false">IF($J570=0,0,MAX(0,$C570+INT(DIAS_POR_SEMANA/2)-INDEX(ROTACAO_RDM!$I$6:$I$71,$J570)))</f>
        <v>97</v>
      </c>
      <c r="O570" s="19" t="n">
        <f aca="false">IF($J570=0,0,MIN(1,$N570/MAX(1,INDEX(ROTACAO_RDM!$K$6:$K$71,$J570))))</f>
        <v>0.538888888888889</v>
      </c>
      <c r="P570" s="16" t="n">
        <f aca="false">IF($J570=0,0,IFERROR(MATCH(INDEX(ROTACAO_RDM!$N$6:$N$71,$J570),PARAMETROS_CULTURAS!$B$6:$B$28,0),0))</f>
        <v>4</v>
      </c>
      <c r="Q570" s="8" t="str">
        <f aca="false">IF($P570=0,"-",IF($O570&lt;=INDEX(PARAMETROS_CULTURAS!$F$6:$F$28,$P570),"INICIAL",IF($O570&lt;=INDEX(PARAMETROS_CULTURAS!$F$6:$F$28,$P570)+INDEX(PARAMETROS_CULTURAS!$G$6:$G$28,$P570),"DESENVOLVIMENTO",IF($O570&lt;=INDEX(PARAMETROS_CULTURAS!$F$6:$F$28,$P570)+INDEX(PARAMETROS_CULTURAS!$G$6:$G$28,$P570)+INDEX(PARAMETROS_CULTURAS!$H$6:$H$28,$P570),"MEDIA","FINAL"))))</f>
        <v>MEDIA</v>
      </c>
      <c r="R570" s="24" t="n">
        <f aca="false">IF($P570=0,0,IF($O570&lt;=INDEX(PARAMETROS_CULTURAS!$F$6:$F$28,$P570),INDEX(PARAMETROS_CULTURAS!$K$6:$K$28,$P570),IF($O570&lt;=INDEX(PARAMETROS_CULTURAS!$F$6:$F$28,$P570)+INDEX(PARAMETROS_CULTURAS!$G$6:$G$28,$P570),INDEX(PARAMETROS_CULTURAS!$K$6:$K$28,$P570)+(INDEX(PARAMETROS_CULTURAS!$L$6:$L$28,$P570)-INDEX(PARAMETROS_CULTURAS!$K$6:$K$28,$P570))*($O570-INDEX(PARAMETROS_CULTURAS!$F$6:$F$28,$P570))/MAX(INDEX(PARAMETROS_CULTURAS!$G$6:$G$28,$P570),0.0001),IF($O570&lt;=INDEX(PARAMETROS_CULTURAS!$F$6:$F$28,$P570)+INDEX(PARAMETROS_CULTURAS!$G$6:$G$28,$P570)+INDEX(PARAMETROS_CULTURAS!$H$6:$H$28,$P570),INDEX(PARAMETROS_CULTURAS!$L$6:$L$28,$P570),INDEX(PARAMETROS_CULTURAS!$L$6:$L$28,$P570)+(INDEX(PARAMETROS_CULTURAS!$M$6:$M$28,$P570)-INDEX(PARAMETROS_CULTURAS!$L$6:$L$28,$P570))*($O570-INDEX(PARAMETROS_CULTURAS!$F$6:$F$28,$P570)-INDEX(PARAMETROS_CULTURAS!$G$6:$G$28,$P570)-INDEX(PARAMETROS_CULTURAS!$H$6:$H$28,$P570))/MAX(INDEX(PARAMETROS_CULTURAS!$I$6:$I$28,$P570),0.0001)))))</f>
        <v>1.15</v>
      </c>
      <c r="S570" s="18" t="n">
        <f aca="false">IFERROR(INDEX(SEMANAS!$H$6:$H$71,MATCH($B570,SEMANAS!$B$6:$B$71,0)),0)</f>
        <v>29.4</v>
      </c>
      <c r="T570" s="18" t="n">
        <f aca="false">$R570*$S570</f>
        <v>33.81</v>
      </c>
      <c r="U570" s="18" t="n">
        <f aca="false">IFERROR(INDEX(SEMANAS!$I$6:$I$71,MATCH($B570,SEMANAS!$B$6:$B$71,0)),0)</f>
        <v>3.36</v>
      </c>
      <c r="V570" s="18" t="n">
        <f aca="false">IFERROR(INDEX(SEMANAS!$J$6:$J$71,MATCH($B570,SEMANAS!$B$6:$B$71,0)),0)</f>
        <v>2.688</v>
      </c>
      <c r="W570" s="18" t="n">
        <f aca="false">MAX(0,$T570-$V570)</f>
        <v>31.122</v>
      </c>
      <c r="X570" s="19" t="n">
        <f aca="false">IFERROR(INDEX(CADASTRO_PIVOS!$K$6:$K$41,MATCH($E570,CADASTRO_PIVOS!$B$6:$B$41,0)),EFICIENCIA_PADRAO)</f>
        <v>0.85</v>
      </c>
      <c r="Y570" s="18" t="n">
        <f aca="false">IF($X570&lt;=0,0,$W570/$X570)</f>
        <v>36.6141176470588</v>
      </c>
      <c r="Z570" s="16" t="n">
        <f aca="false">$Y570*$H570*MM_PARA_M3_HA</f>
        <v>36764.2355294118</v>
      </c>
      <c r="AA570" s="18" t="n">
        <f aca="false">IFERROR(INDEX(CADASTRO_PIVOS!$I$6:$I$41,MATCH($E570,CADASTRO_PIVOS!$B$6:$B$41,0)),0)</f>
        <v>717.214285714286</v>
      </c>
      <c r="AB570" s="18" t="n">
        <f aca="false">IF($Z570&lt;=0,0,$Z570/$AA570)</f>
        <v>51.2597647058824</v>
      </c>
      <c r="AC570" s="16" t="n">
        <f aca="false">IFERROR(INDEX(SEMANAS!$K$6:$K$71,MATCH($B570,SEMANAS!$B$6:$B$71,0)),0)</f>
        <v>147</v>
      </c>
      <c r="AD570" s="19" t="n">
        <f aca="false">IF($AC570&lt;=0,0,$AB570/$AC570)</f>
        <v>0.348705882352941</v>
      </c>
      <c r="AE570" s="8" t="str">
        <f aca="false">IF($K570="SEM CULTURA","SEM CULTURA",IF($AA570&lt;=0,"DADO PENDENTE",IF($AD570&gt;LIMITE_CRITICO,"INVIAVEL",IF($AD570&gt;LIMITE_ATENCAO,"CRITICO",IF($AD570&gt;LIMITE_CONFORTAVEL,"ATENCAO","OK")))))</f>
        <v>OK</v>
      </c>
      <c r="AF570" s="8" t="str">
        <f aca="false">$B570&amp;"|"&amp;TEXT($AD570,"0.000000")</f>
        <v>37|0.348706</v>
      </c>
      <c r="AG570" s="18" t="n">
        <f aca="false">IF($K570="SEM CULTURA",0,$T570*$H570)</f>
        <v>3394.8621</v>
      </c>
      <c r="AH570" s="18" t="n">
        <f aca="false">IF($K570="SEM CULTURA",0,$V570*$H570)</f>
        <v>269.90208</v>
      </c>
      <c r="AI570" s="18" t="n">
        <f aca="false">IF($K570="SEM CULTURA",0,$W570*$H570)</f>
        <v>3124.96002</v>
      </c>
      <c r="AJ570" s="18" t="n">
        <f aca="false">IF($K570="SEM CULTURA",0,$S570*$H570)</f>
        <v>2952.054</v>
      </c>
      <c r="AK570" s="8" t="str">
        <f aca="false">$E570&amp;"|"&amp;TEXT($AD570,"0.000000")</f>
        <v>PV 104|0.348706</v>
      </c>
    </row>
    <row r="571" customFormat="false" ht="15" hidden="false" customHeight="false" outlineLevel="0" collapsed="false">
      <c r="B571" s="16" t="n">
        <v>38</v>
      </c>
      <c r="C571" s="17" t="n">
        <f aca="false">DATA_INICIO_SAFRA+($B571-1)*DIAS_POR_SEMANA</f>
        <v>46524</v>
      </c>
      <c r="D571" s="17" t="n">
        <f aca="false">$C571+DIAS_POR_SEMANA-1</f>
        <v>46530</v>
      </c>
      <c r="E571" s="15" t="s">
        <v>267</v>
      </c>
      <c r="F571" s="8" t="str">
        <f aca="false">IFERROR(INDEX(CADASTRO_PIVOS!$C$6:$C$41,MATCH($E571,CADASTRO_PIVOS!$B$6:$B$41,0)),"?")</f>
        <v>RM04</v>
      </c>
      <c r="G571" s="8" t="str">
        <f aca="false">IFERROR(INDEX(CADASTRO_PIVOS!$D$6:$D$41,MATCH($E571,CADASTRO_PIVOS!$B$6:$B$41,0)),"?")</f>
        <v>TR04</v>
      </c>
      <c r="H571" s="20" t="n">
        <f aca="false">IFERROR(INDEX(CADASTRO_PIVOS!$E$6:$E$41,MATCH($E571,CADASTRO_PIVOS!$B$6:$B$41,0)),0)</f>
        <v>100.41</v>
      </c>
      <c r="I571" s="16" t="n">
        <f aca="false">IFERROR(SUMIFS(ROTACAO_RDM!$B$6:$B$71,ROTACAO_RDM!$D$6:$D$71,$E571,ROTACAO_RDM!$I$6:$I$71,"&lt;="&amp;$C571+INT(DIAS_POR_SEMANA/2),ROTACAO_RDM!$J$6:$J$71,"&gt;="&amp;$C571+INT(DIAS_POR_SEMANA/2)),0)</f>
        <v>6</v>
      </c>
      <c r="J571" s="16" t="n">
        <f aca="false">IFERROR(MATCH($I571,ROTACAO_RDM!$B$6:$B$71,0),0)</f>
        <v>6</v>
      </c>
      <c r="K571" s="8" t="str">
        <f aca="false">IF($J571=0,"SEM CULTURA",INDEX(ROTACAO_RDM!$F$6:$F$71,$J571))</f>
        <v>ALGODAO</v>
      </c>
      <c r="L571" s="8" t="str">
        <f aca="false">IF($J571=0,"",INDEX(ROTACAO_RDM!$G$6:$G$71,$J571))</f>
        <v>FM 911 GLTP</v>
      </c>
      <c r="M571" s="17" t="n">
        <f aca="false">IF($J571=0,"",INDEX(ROTACAO_RDM!$I$6:$I$71,$J571))</f>
        <v>46423</v>
      </c>
      <c r="N571" s="16" t="n">
        <f aca="false">IF($J571=0,0,MAX(0,$C571+INT(DIAS_POR_SEMANA/2)-INDEX(ROTACAO_RDM!$I$6:$I$71,$J571)))</f>
        <v>104</v>
      </c>
      <c r="O571" s="19" t="n">
        <f aca="false">IF($J571=0,0,MIN(1,$N571/MAX(1,INDEX(ROTACAO_RDM!$K$6:$K$71,$J571))))</f>
        <v>0.577777777777778</v>
      </c>
      <c r="P571" s="16" t="n">
        <f aca="false">IF($J571=0,0,IFERROR(MATCH(INDEX(ROTACAO_RDM!$N$6:$N$71,$J571),PARAMETROS_CULTURAS!$B$6:$B$28,0),0))</f>
        <v>4</v>
      </c>
      <c r="Q571" s="8" t="str">
        <f aca="false">IF($P571=0,"-",IF($O571&lt;=INDEX(PARAMETROS_CULTURAS!$F$6:$F$28,$P571),"INICIAL",IF($O571&lt;=INDEX(PARAMETROS_CULTURAS!$F$6:$F$28,$P571)+INDEX(PARAMETROS_CULTURAS!$G$6:$G$28,$P571),"DESENVOLVIMENTO",IF($O571&lt;=INDEX(PARAMETROS_CULTURAS!$F$6:$F$28,$P571)+INDEX(PARAMETROS_CULTURAS!$G$6:$G$28,$P571)+INDEX(PARAMETROS_CULTURAS!$H$6:$H$28,$P571),"MEDIA","FINAL"))))</f>
        <v>MEDIA</v>
      </c>
      <c r="R571" s="24" t="n">
        <f aca="false">IF($P571=0,0,IF($O571&lt;=INDEX(PARAMETROS_CULTURAS!$F$6:$F$28,$P571),INDEX(PARAMETROS_CULTURAS!$K$6:$K$28,$P571),IF($O571&lt;=INDEX(PARAMETROS_CULTURAS!$F$6:$F$28,$P571)+INDEX(PARAMETROS_CULTURAS!$G$6:$G$28,$P571),INDEX(PARAMETROS_CULTURAS!$K$6:$K$28,$P571)+(INDEX(PARAMETROS_CULTURAS!$L$6:$L$28,$P571)-INDEX(PARAMETROS_CULTURAS!$K$6:$K$28,$P571))*($O571-INDEX(PARAMETROS_CULTURAS!$F$6:$F$28,$P571))/MAX(INDEX(PARAMETROS_CULTURAS!$G$6:$G$28,$P571),0.0001),IF($O571&lt;=INDEX(PARAMETROS_CULTURAS!$F$6:$F$28,$P571)+INDEX(PARAMETROS_CULTURAS!$G$6:$G$28,$P571)+INDEX(PARAMETROS_CULTURAS!$H$6:$H$28,$P571),INDEX(PARAMETROS_CULTURAS!$L$6:$L$28,$P571),INDEX(PARAMETROS_CULTURAS!$L$6:$L$28,$P571)+(INDEX(PARAMETROS_CULTURAS!$M$6:$M$28,$P571)-INDEX(PARAMETROS_CULTURAS!$L$6:$L$28,$P571))*($O571-INDEX(PARAMETROS_CULTURAS!$F$6:$F$28,$P571)-INDEX(PARAMETROS_CULTURAS!$G$6:$G$28,$P571)-INDEX(PARAMETROS_CULTURAS!$H$6:$H$28,$P571))/MAX(INDEX(PARAMETROS_CULTURAS!$I$6:$I$28,$P571),0.0001)))))</f>
        <v>1.15</v>
      </c>
      <c r="S571" s="18" t="n">
        <f aca="false">IFERROR(INDEX(SEMANAS!$H$6:$H$71,MATCH($B571,SEMANAS!$B$6:$B$71,0)),0)</f>
        <v>29.4</v>
      </c>
      <c r="T571" s="18" t="n">
        <f aca="false">$R571*$S571</f>
        <v>33.81</v>
      </c>
      <c r="U571" s="18" t="n">
        <f aca="false">IFERROR(INDEX(SEMANAS!$I$6:$I$71,MATCH($B571,SEMANAS!$B$6:$B$71,0)),0)</f>
        <v>3.36</v>
      </c>
      <c r="V571" s="18" t="n">
        <f aca="false">IFERROR(INDEX(SEMANAS!$J$6:$J$71,MATCH($B571,SEMANAS!$B$6:$B$71,0)),0)</f>
        <v>2.688</v>
      </c>
      <c r="W571" s="18" t="n">
        <f aca="false">MAX(0,$T571-$V571)</f>
        <v>31.122</v>
      </c>
      <c r="X571" s="19" t="n">
        <f aca="false">IFERROR(INDEX(CADASTRO_PIVOS!$K$6:$K$41,MATCH($E571,CADASTRO_PIVOS!$B$6:$B$41,0)),EFICIENCIA_PADRAO)</f>
        <v>0.85</v>
      </c>
      <c r="Y571" s="18" t="n">
        <f aca="false">IF($X571&lt;=0,0,$W571/$X571)</f>
        <v>36.6141176470588</v>
      </c>
      <c r="Z571" s="16" t="n">
        <f aca="false">$Y571*$H571*MM_PARA_M3_HA</f>
        <v>36764.2355294118</v>
      </c>
      <c r="AA571" s="18" t="n">
        <f aca="false">IFERROR(INDEX(CADASTRO_PIVOS!$I$6:$I$41,MATCH($E571,CADASTRO_PIVOS!$B$6:$B$41,0)),0)</f>
        <v>717.214285714286</v>
      </c>
      <c r="AB571" s="18" t="n">
        <f aca="false">IF($Z571&lt;=0,0,$Z571/$AA571)</f>
        <v>51.2597647058824</v>
      </c>
      <c r="AC571" s="16" t="n">
        <f aca="false">IFERROR(INDEX(SEMANAS!$K$6:$K$71,MATCH($B571,SEMANAS!$B$6:$B$71,0)),0)</f>
        <v>147</v>
      </c>
      <c r="AD571" s="19" t="n">
        <f aca="false">IF($AC571&lt;=0,0,$AB571/$AC571)</f>
        <v>0.348705882352941</v>
      </c>
      <c r="AE571" s="8" t="str">
        <f aca="false">IF($K571="SEM CULTURA","SEM CULTURA",IF($AA571&lt;=0,"DADO PENDENTE",IF($AD571&gt;LIMITE_CRITICO,"INVIAVEL",IF($AD571&gt;LIMITE_ATENCAO,"CRITICO",IF($AD571&gt;LIMITE_CONFORTAVEL,"ATENCAO","OK")))))</f>
        <v>OK</v>
      </c>
      <c r="AF571" s="8" t="str">
        <f aca="false">$B571&amp;"|"&amp;TEXT($AD571,"0.000000")</f>
        <v>38|0.348706</v>
      </c>
      <c r="AG571" s="18" t="n">
        <f aca="false">IF($K571="SEM CULTURA",0,$T571*$H571)</f>
        <v>3394.8621</v>
      </c>
      <c r="AH571" s="18" t="n">
        <f aca="false">IF($K571="SEM CULTURA",0,$V571*$H571)</f>
        <v>269.90208</v>
      </c>
      <c r="AI571" s="18" t="n">
        <f aca="false">IF($K571="SEM CULTURA",0,$W571*$H571)</f>
        <v>3124.96002</v>
      </c>
      <c r="AJ571" s="18" t="n">
        <f aca="false">IF($K571="SEM CULTURA",0,$S571*$H571)</f>
        <v>2952.054</v>
      </c>
      <c r="AK571" s="8" t="str">
        <f aca="false">$E571&amp;"|"&amp;TEXT($AD571,"0.000000")</f>
        <v>PV 104|0.348706</v>
      </c>
    </row>
    <row r="572" customFormat="false" ht="15" hidden="false" customHeight="false" outlineLevel="0" collapsed="false">
      <c r="B572" s="16" t="n">
        <v>39</v>
      </c>
      <c r="C572" s="17" t="n">
        <f aca="false">DATA_INICIO_SAFRA+($B572-1)*DIAS_POR_SEMANA</f>
        <v>46531</v>
      </c>
      <c r="D572" s="17" t="n">
        <f aca="false">$C572+DIAS_POR_SEMANA-1</f>
        <v>46537</v>
      </c>
      <c r="E572" s="15" t="s">
        <v>267</v>
      </c>
      <c r="F572" s="8" t="str">
        <f aca="false">IFERROR(INDEX(CADASTRO_PIVOS!$C$6:$C$41,MATCH($E572,CADASTRO_PIVOS!$B$6:$B$41,0)),"?")</f>
        <v>RM04</v>
      </c>
      <c r="G572" s="8" t="str">
        <f aca="false">IFERROR(INDEX(CADASTRO_PIVOS!$D$6:$D$41,MATCH($E572,CADASTRO_PIVOS!$B$6:$B$41,0)),"?")</f>
        <v>TR04</v>
      </c>
      <c r="H572" s="20" t="n">
        <f aca="false">IFERROR(INDEX(CADASTRO_PIVOS!$E$6:$E$41,MATCH($E572,CADASTRO_PIVOS!$B$6:$B$41,0)),0)</f>
        <v>100.41</v>
      </c>
      <c r="I572" s="16" t="n">
        <f aca="false">IFERROR(SUMIFS(ROTACAO_RDM!$B$6:$B$71,ROTACAO_RDM!$D$6:$D$71,$E572,ROTACAO_RDM!$I$6:$I$71,"&lt;="&amp;$C572+INT(DIAS_POR_SEMANA/2),ROTACAO_RDM!$J$6:$J$71,"&gt;="&amp;$C572+INT(DIAS_POR_SEMANA/2)),0)</f>
        <v>6</v>
      </c>
      <c r="J572" s="16" t="n">
        <f aca="false">IFERROR(MATCH($I572,ROTACAO_RDM!$B$6:$B$71,0),0)</f>
        <v>6</v>
      </c>
      <c r="K572" s="8" t="str">
        <f aca="false">IF($J572=0,"SEM CULTURA",INDEX(ROTACAO_RDM!$F$6:$F$71,$J572))</f>
        <v>ALGODAO</v>
      </c>
      <c r="L572" s="8" t="str">
        <f aca="false">IF($J572=0,"",INDEX(ROTACAO_RDM!$G$6:$G$71,$J572))</f>
        <v>FM 911 GLTP</v>
      </c>
      <c r="M572" s="17" t="n">
        <f aca="false">IF($J572=0,"",INDEX(ROTACAO_RDM!$I$6:$I$71,$J572))</f>
        <v>46423</v>
      </c>
      <c r="N572" s="16" t="n">
        <f aca="false">IF($J572=0,0,MAX(0,$C572+INT(DIAS_POR_SEMANA/2)-INDEX(ROTACAO_RDM!$I$6:$I$71,$J572)))</f>
        <v>111</v>
      </c>
      <c r="O572" s="19" t="n">
        <f aca="false">IF($J572=0,0,MIN(1,$N572/MAX(1,INDEX(ROTACAO_RDM!$K$6:$K$71,$J572))))</f>
        <v>0.616666666666667</v>
      </c>
      <c r="P572" s="16" t="n">
        <f aca="false">IF($J572=0,0,IFERROR(MATCH(INDEX(ROTACAO_RDM!$N$6:$N$71,$J572),PARAMETROS_CULTURAS!$B$6:$B$28,0),0))</f>
        <v>4</v>
      </c>
      <c r="Q572" s="8" t="str">
        <f aca="false">IF($P572=0,"-",IF($O572&lt;=INDEX(PARAMETROS_CULTURAS!$F$6:$F$28,$P572),"INICIAL",IF($O572&lt;=INDEX(PARAMETROS_CULTURAS!$F$6:$F$28,$P572)+INDEX(PARAMETROS_CULTURAS!$G$6:$G$28,$P572),"DESENVOLVIMENTO",IF($O572&lt;=INDEX(PARAMETROS_CULTURAS!$F$6:$F$28,$P572)+INDEX(PARAMETROS_CULTURAS!$G$6:$G$28,$P572)+INDEX(PARAMETROS_CULTURAS!$H$6:$H$28,$P572),"MEDIA","FINAL"))))</f>
        <v>MEDIA</v>
      </c>
      <c r="R572" s="24" t="n">
        <f aca="false">IF($P572=0,0,IF($O572&lt;=INDEX(PARAMETROS_CULTURAS!$F$6:$F$28,$P572),INDEX(PARAMETROS_CULTURAS!$K$6:$K$28,$P572),IF($O572&lt;=INDEX(PARAMETROS_CULTURAS!$F$6:$F$28,$P572)+INDEX(PARAMETROS_CULTURAS!$G$6:$G$28,$P572),INDEX(PARAMETROS_CULTURAS!$K$6:$K$28,$P572)+(INDEX(PARAMETROS_CULTURAS!$L$6:$L$28,$P572)-INDEX(PARAMETROS_CULTURAS!$K$6:$K$28,$P572))*($O572-INDEX(PARAMETROS_CULTURAS!$F$6:$F$28,$P572))/MAX(INDEX(PARAMETROS_CULTURAS!$G$6:$G$28,$P572),0.0001),IF($O572&lt;=INDEX(PARAMETROS_CULTURAS!$F$6:$F$28,$P572)+INDEX(PARAMETROS_CULTURAS!$G$6:$G$28,$P572)+INDEX(PARAMETROS_CULTURAS!$H$6:$H$28,$P572),INDEX(PARAMETROS_CULTURAS!$L$6:$L$28,$P572),INDEX(PARAMETROS_CULTURAS!$L$6:$L$28,$P572)+(INDEX(PARAMETROS_CULTURAS!$M$6:$M$28,$P572)-INDEX(PARAMETROS_CULTURAS!$L$6:$L$28,$P572))*($O572-INDEX(PARAMETROS_CULTURAS!$F$6:$F$28,$P572)-INDEX(PARAMETROS_CULTURAS!$G$6:$G$28,$P572)-INDEX(PARAMETROS_CULTURAS!$H$6:$H$28,$P572))/MAX(INDEX(PARAMETROS_CULTURAS!$I$6:$I$28,$P572),0.0001)))))</f>
        <v>1.15</v>
      </c>
      <c r="S572" s="18" t="n">
        <f aca="false">IFERROR(INDEX(SEMANAS!$H$6:$H$71,MATCH($B572,SEMANAS!$B$6:$B$71,0)),0)</f>
        <v>29.4</v>
      </c>
      <c r="T572" s="18" t="n">
        <f aca="false">$R572*$S572</f>
        <v>33.81</v>
      </c>
      <c r="U572" s="18" t="n">
        <f aca="false">IFERROR(INDEX(SEMANAS!$I$6:$I$71,MATCH($B572,SEMANAS!$B$6:$B$71,0)),0)</f>
        <v>3.36</v>
      </c>
      <c r="V572" s="18" t="n">
        <f aca="false">IFERROR(INDEX(SEMANAS!$J$6:$J$71,MATCH($B572,SEMANAS!$B$6:$B$71,0)),0)</f>
        <v>2.688</v>
      </c>
      <c r="W572" s="18" t="n">
        <f aca="false">MAX(0,$T572-$V572)</f>
        <v>31.122</v>
      </c>
      <c r="X572" s="19" t="n">
        <f aca="false">IFERROR(INDEX(CADASTRO_PIVOS!$K$6:$K$41,MATCH($E572,CADASTRO_PIVOS!$B$6:$B$41,0)),EFICIENCIA_PADRAO)</f>
        <v>0.85</v>
      </c>
      <c r="Y572" s="18" t="n">
        <f aca="false">IF($X572&lt;=0,0,$W572/$X572)</f>
        <v>36.6141176470588</v>
      </c>
      <c r="Z572" s="16" t="n">
        <f aca="false">$Y572*$H572*MM_PARA_M3_HA</f>
        <v>36764.2355294118</v>
      </c>
      <c r="AA572" s="18" t="n">
        <f aca="false">IFERROR(INDEX(CADASTRO_PIVOS!$I$6:$I$41,MATCH($E572,CADASTRO_PIVOS!$B$6:$B$41,0)),0)</f>
        <v>717.214285714286</v>
      </c>
      <c r="AB572" s="18" t="n">
        <f aca="false">IF($Z572&lt;=0,0,$Z572/$AA572)</f>
        <v>51.2597647058824</v>
      </c>
      <c r="AC572" s="16" t="n">
        <f aca="false">IFERROR(INDEX(SEMANAS!$K$6:$K$71,MATCH($B572,SEMANAS!$B$6:$B$71,0)),0)</f>
        <v>147</v>
      </c>
      <c r="AD572" s="19" t="n">
        <f aca="false">IF($AC572&lt;=0,0,$AB572/$AC572)</f>
        <v>0.348705882352941</v>
      </c>
      <c r="AE572" s="8" t="str">
        <f aca="false">IF($K572="SEM CULTURA","SEM CULTURA",IF($AA572&lt;=0,"DADO PENDENTE",IF($AD572&gt;LIMITE_CRITICO,"INVIAVEL",IF($AD572&gt;LIMITE_ATENCAO,"CRITICO",IF($AD572&gt;LIMITE_CONFORTAVEL,"ATENCAO","OK")))))</f>
        <v>OK</v>
      </c>
      <c r="AF572" s="8" t="str">
        <f aca="false">$B572&amp;"|"&amp;TEXT($AD572,"0.000000")</f>
        <v>39|0.348706</v>
      </c>
      <c r="AG572" s="18" t="n">
        <f aca="false">IF($K572="SEM CULTURA",0,$T572*$H572)</f>
        <v>3394.8621</v>
      </c>
      <c r="AH572" s="18" t="n">
        <f aca="false">IF($K572="SEM CULTURA",0,$V572*$H572)</f>
        <v>269.90208</v>
      </c>
      <c r="AI572" s="18" t="n">
        <f aca="false">IF($K572="SEM CULTURA",0,$W572*$H572)</f>
        <v>3124.96002</v>
      </c>
      <c r="AJ572" s="18" t="n">
        <f aca="false">IF($K572="SEM CULTURA",0,$S572*$H572)</f>
        <v>2952.054</v>
      </c>
      <c r="AK572" s="8" t="str">
        <f aca="false">$E572&amp;"|"&amp;TEXT($AD572,"0.000000")</f>
        <v>PV 104|0.348706</v>
      </c>
    </row>
    <row r="573" customFormat="false" ht="15" hidden="false" customHeight="false" outlineLevel="0" collapsed="false">
      <c r="B573" s="16" t="n">
        <v>40</v>
      </c>
      <c r="C573" s="17" t="n">
        <f aca="false">DATA_INICIO_SAFRA+($B573-1)*DIAS_POR_SEMANA</f>
        <v>46538</v>
      </c>
      <c r="D573" s="17" t="n">
        <f aca="false">$C573+DIAS_POR_SEMANA-1</f>
        <v>46544</v>
      </c>
      <c r="E573" s="15" t="s">
        <v>267</v>
      </c>
      <c r="F573" s="8" t="str">
        <f aca="false">IFERROR(INDEX(CADASTRO_PIVOS!$C$6:$C$41,MATCH($E573,CADASTRO_PIVOS!$B$6:$B$41,0)),"?")</f>
        <v>RM04</v>
      </c>
      <c r="G573" s="8" t="str">
        <f aca="false">IFERROR(INDEX(CADASTRO_PIVOS!$D$6:$D$41,MATCH($E573,CADASTRO_PIVOS!$B$6:$B$41,0)),"?")</f>
        <v>TR04</v>
      </c>
      <c r="H573" s="20" t="n">
        <f aca="false">IFERROR(INDEX(CADASTRO_PIVOS!$E$6:$E$41,MATCH($E573,CADASTRO_PIVOS!$B$6:$B$41,0)),0)</f>
        <v>100.41</v>
      </c>
      <c r="I573" s="16" t="n">
        <f aca="false">IFERROR(SUMIFS(ROTACAO_RDM!$B$6:$B$71,ROTACAO_RDM!$D$6:$D$71,$E573,ROTACAO_RDM!$I$6:$I$71,"&lt;="&amp;$C573+INT(DIAS_POR_SEMANA/2),ROTACAO_RDM!$J$6:$J$71,"&gt;="&amp;$C573+INT(DIAS_POR_SEMANA/2)),0)</f>
        <v>6</v>
      </c>
      <c r="J573" s="16" t="n">
        <f aca="false">IFERROR(MATCH($I573,ROTACAO_RDM!$B$6:$B$71,0),0)</f>
        <v>6</v>
      </c>
      <c r="K573" s="8" t="str">
        <f aca="false">IF($J573=0,"SEM CULTURA",INDEX(ROTACAO_RDM!$F$6:$F$71,$J573))</f>
        <v>ALGODAO</v>
      </c>
      <c r="L573" s="8" t="str">
        <f aca="false">IF($J573=0,"",INDEX(ROTACAO_RDM!$G$6:$G$71,$J573))</f>
        <v>FM 911 GLTP</v>
      </c>
      <c r="M573" s="17" t="n">
        <f aca="false">IF($J573=0,"",INDEX(ROTACAO_RDM!$I$6:$I$71,$J573))</f>
        <v>46423</v>
      </c>
      <c r="N573" s="16" t="n">
        <f aca="false">IF($J573=0,0,MAX(0,$C573+INT(DIAS_POR_SEMANA/2)-INDEX(ROTACAO_RDM!$I$6:$I$71,$J573)))</f>
        <v>118</v>
      </c>
      <c r="O573" s="19" t="n">
        <f aca="false">IF($J573=0,0,MIN(1,$N573/MAX(1,INDEX(ROTACAO_RDM!$K$6:$K$71,$J573))))</f>
        <v>0.655555555555556</v>
      </c>
      <c r="P573" s="16" t="n">
        <f aca="false">IF($J573=0,0,IFERROR(MATCH(INDEX(ROTACAO_RDM!$N$6:$N$71,$J573),PARAMETROS_CULTURAS!$B$6:$B$28,0),0))</f>
        <v>4</v>
      </c>
      <c r="Q573" s="8" t="str">
        <f aca="false">IF($P573=0,"-",IF($O573&lt;=INDEX(PARAMETROS_CULTURAS!$F$6:$F$28,$P573),"INICIAL",IF($O573&lt;=INDEX(PARAMETROS_CULTURAS!$F$6:$F$28,$P573)+INDEX(PARAMETROS_CULTURAS!$G$6:$G$28,$P573),"DESENVOLVIMENTO",IF($O573&lt;=INDEX(PARAMETROS_CULTURAS!$F$6:$F$28,$P573)+INDEX(PARAMETROS_CULTURAS!$G$6:$G$28,$P573)+INDEX(PARAMETROS_CULTURAS!$H$6:$H$28,$P573),"MEDIA","FINAL"))))</f>
        <v>MEDIA</v>
      </c>
      <c r="R573" s="24" t="n">
        <f aca="false">IF($P573=0,0,IF($O573&lt;=INDEX(PARAMETROS_CULTURAS!$F$6:$F$28,$P573),INDEX(PARAMETROS_CULTURAS!$K$6:$K$28,$P573),IF($O573&lt;=INDEX(PARAMETROS_CULTURAS!$F$6:$F$28,$P573)+INDEX(PARAMETROS_CULTURAS!$G$6:$G$28,$P573),INDEX(PARAMETROS_CULTURAS!$K$6:$K$28,$P573)+(INDEX(PARAMETROS_CULTURAS!$L$6:$L$28,$P573)-INDEX(PARAMETROS_CULTURAS!$K$6:$K$28,$P573))*($O573-INDEX(PARAMETROS_CULTURAS!$F$6:$F$28,$P573))/MAX(INDEX(PARAMETROS_CULTURAS!$G$6:$G$28,$P573),0.0001),IF($O573&lt;=INDEX(PARAMETROS_CULTURAS!$F$6:$F$28,$P573)+INDEX(PARAMETROS_CULTURAS!$G$6:$G$28,$P573)+INDEX(PARAMETROS_CULTURAS!$H$6:$H$28,$P573),INDEX(PARAMETROS_CULTURAS!$L$6:$L$28,$P573),INDEX(PARAMETROS_CULTURAS!$L$6:$L$28,$P573)+(INDEX(PARAMETROS_CULTURAS!$M$6:$M$28,$P573)-INDEX(PARAMETROS_CULTURAS!$L$6:$L$28,$P573))*($O573-INDEX(PARAMETROS_CULTURAS!$F$6:$F$28,$P573)-INDEX(PARAMETROS_CULTURAS!$G$6:$G$28,$P573)-INDEX(PARAMETROS_CULTURAS!$H$6:$H$28,$P573))/MAX(INDEX(PARAMETROS_CULTURAS!$I$6:$I$28,$P573),0.0001)))))</f>
        <v>1.15</v>
      </c>
      <c r="S573" s="18" t="n">
        <f aca="false">IFERROR(INDEX(SEMANAS!$H$6:$H$71,MATCH($B573,SEMANAS!$B$6:$B$71,0)),0)</f>
        <v>28.2</v>
      </c>
      <c r="T573" s="18" t="n">
        <f aca="false">$R573*$S573</f>
        <v>32.43</v>
      </c>
      <c r="U573" s="18" t="n">
        <f aca="false">IFERROR(INDEX(SEMANAS!$I$6:$I$71,MATCH($B573,SEMANAS!$B$6:$B$71,0)),0)</f>
        <v>1.5</v>
      </c>
      <c r="V573" s="18" t="n">
        <f aca="false">IFERROR(INDEX(SEMANAS!$J$6:$J$71,MATCH($B573,SEMANAS!$B$6:$B$71,0)),0)</f>
        <v>1.2</v>
      </c>
      <c r="W573" s="18" t="n">
        <f aca="false">MAX(0,$T573-$V573)</f>
        <v>31.23</v>
      </c>
      <c r="X573" s="19" t="n">
        <f aca="false">IFERROR(INDEX(CADASTRO_PIVOS!$K$6:$K$41,MATCH($E573,CADASTRO_PIVOS!$B$6:$B$41,0)),EFICIENCIA_PADRAO)</f>
        <v>0.85</v>
      </c>
      <c r="Y573" s="18" t="n">
        <f aca="false">IF($X573&lt;=0,0,$W573/$X573)</f>
        <v>36.7411764705882</v>
      </c>
      <c r="Z573" s="16" t="n">
        <f aca="false">$Y573*$H573*MM_PARA_M3_HA</f>
        <v>36891.8152941176</v>
      </c>
      <c r="AA573" s="18" t="n">
        <f aca="false">IFERROR(INDEX(CADASTRO_PIVOS!$I$6:$I$41,MATCH($E573,CADASTRO_PIVOS!$B$6:$B$41,0)),0)</f>
        <v>717.214285714286</v>
      </c>
      <c r="AB573" s="18" t="n">
        <f aca="false">IF($Z573&lt;=0,0,$Z573/$AA573)</f>
        <v>51.4376470588235</v>
      </c>
      <c r="AC573" s="16" t="n">
        <f aca="false">IFERROR(INDEX(SEMANAS!$K$6:$K$71,MATCH($B573,SEMANAS!$B$6:$B$71,0)),0)</f>
        <v>147</v>
      </c>
      <c r="AD573" s="19" t="n">
        <f aca="false">IF($AC573&lt;=0,0,$AB573/$AC573)</f>
        <v>0.349915966386555</v>
      </c>
      <c r="AE573" s="8" t="str">
        <f aca="false">IF($K573="SEM CULTURA","SEM CULTURA",IF($AA573&lt;=0,"DADO PENDENTE",IF($AD573&gt;LIMITE_CRITICO,"INVIAVEL",IF($AD573&gt;LIMITE_ATENCAO,"CRITICO",IF($AD573&gt;LIMITE_CONFORTAVEL,"ATENCAO","OK")))))</f>
        <v>OK</v>
      </c>
      <c r="AF573" s="8" t="str">
        <f aca="false">$B573&amp;"|"&amp;TEXT($AD573,"0.000000")</f>
        <v>40|0.349916</v>
      </c>
      <c r="AG573" s="18" t="n">
        <f aca="false">IF($K573="SEM CULTURA",0,$T573*$H573)</f>
        <v>3256.2963</v>
      </c>
      <c r="AH573" s="18" t="n">
        <f aca="false">IF($K573="SEM CULTURA",0,$V573*$H573)</f>
        <v>120.492</v>
      </c>
      <c r="AI573" s="18" t="n">
        <f aca="false">IF($K573="SEM CULTURA",0,$W573*$H573)</f>
        <v>3135.8043</v>
      </c>
      <c r="AJ573" s="18" t="n">
        <f aca="false">IF($K573="SEM CULTURA",0,$S573*$H573)</f>
        <v>2831.562</v>
      </c>
      <c r="AK573" s="8" t="str">
        <f aca="false">$E573&amp;"|"&amp;TEXT($AD573,"0.000000")</f>
        <v>PV 104|0.349916</v>
      </c>
    </row>
    <row r="574" customFormat="false" ht="15" hidden="false" customHeight="false" outlineLevel="0" collapsed="false">
      <c r="B574" s="16" t="n">
        <v>41</v>
      </c>
      <c r="C574" s="17" t="n">
        <f aca="false">DATA_INICIO_SAFRA+($B574-1)*DIAS_POR_SEMANA</f>
        <v>46545</v>
      </c>
      <c r="D574" s="17" t="n">
        <f aca="false">$C574+DIAS_POR_SEMANA-1</f>
        <v>46551</v>
      </c>
      <c r="E574" s="15" t="s">
        <v>267</v>
      </c>
      <c r="F574" s="8" t="str">
        <f aca="false">IFERROR(INDEX(CADASTRO_PIVOS!$C$6:$C$41,MATCH($E574,CADASTRO_PIVOS!$B$6:$B$41,0)),"?")</f>
        <v>RM04</v>
      </c>
      <c r="G574" s="8" t="str">
        <f aca="false">IFERROR(INDEX(CADASTRO_PIVOS!$D$6:$D$41,MATCH($E574,CADASTRO_PIVOS!$B$6:$B$41,0)),"?")</f>
        <v>TR04</v>
      </c>
      <c r="H574" s="20" t="n">
        <f aca="false">IFERROR(INDEX(CADASTRO_PIVOS!$E$6:$E$41,MATCH($E574,CADASTRO_PIVOS!$B$6:$B$41,0)),0)</f>
        <v>100.41</v>
      </c>
      <c r="I574" s="16" t="n">
        <f aca="false">IFERROR(SUMIFS(ROTACAO_RDM!$B$6:$B$71,ROTACAO_RDM!$D$6:$D$71,$E574,ROTACAO_RDM!$I$6:$I$71,"&lt;="&amp;$C574+INT(DIAS_POR_SEMANA/2),ROTACAO_RDM!$J$6:$J$71,"&gt;="&amp;$C574+INT(DIAS_POR_SEMANA/2)),0)</f>
        <v>6</v>
      </c>
      <c r="J574" s="16" t="n">
        <f aca="false">IFERROR(MATCH($I574,ROTACAO_RDM!$B$6:$B$71,0),0)</f>
        <v>6</v>
      </c>
      <c r="K574" s="8" t="str">
        <f aca="false">IF($J574=0,"SEM CULTURA",INDEX(ROTACAO_RDM!$F$6:$F$71,$J574))</f>
        <v>ALGODAO</v>
      </c>
      <c r="L574" s="8" t="str">
        <f aca="false">IF($J574=0,"",INDEX(ROTACAO_RDM!$G$6:$G$71,$J574))</f>
        <v>FM 911 GLTP</v>
      </c>
      <c r="M574" s="17" t="n">
        <f aca="false">IF($J574=0,"",INDEX(ROTACAO_RDM!$I$6:$I$71,$J574))</f>
        <v>46423</v>
      </c>
      <c r="N574" s="16" t="n">
        <f aca="false">IF($J574=0,0,MAX(0,$C574+INT(DIAS_POR_SEMANA/2)-INDEX(ROTACAO_RDM!$I$6:$I$71,$J574)))</f>
        <v>125</v>
      </c>
      <c r="O574" s="19" t="n">
        <f aca="false">IF($J574=0,0,MIN(1,$N574/MAX(1,INDEX(ROTACAO_RDM!$K$6:$K$71,$J574))))</f>
        <v>0.694444444444444</v>
      </c>
      <c r="P574" s="16" t="n">
        <f aca="false">IF($J574=0,0,IFERROR(MATCH(INDEX(ROTACAO_RDM!$N$6:$N$71,$J574),PARAMETROS_CULTURAS!$B$6:$B$28,0),0))</f>
        <v>4</v>
      </c>
      <c r="Q574" s="8" t="str">
        <f aca="false">IF($P574=0,"-",IF($O574&lt;=INDEX(PARAMETROS_CULTURAS!$F$6:$F$28,$P574),"INICIAL",IF($O574&lt;=INDEX(PARAMETROS_CULTURAS!$F$6:$F$28,$P574)+INDEX(PARAMETROS_CULTURAS!$G$6:$G$28,$P574),"DESENVOLVIMENTO",IF($O574&lt;=INDEX(PARAMETROS_CULTURAS!$F$6:$F$28,$P574)+INDEX(PARAMETROS_CULTURAS!$G$6:$G$28,$P574)+INDEX(PARAMETROS_CULTURAS!$H$6:$H$28,$P574),"MEDIA","FINAL"))))</f>
        <v>MEDIA</v>
      </c>
      <c r="R574" s="24" t="n">
        <f aca="false">IF($P574=0,0,IF($O574&lt;=INDEX(PARAMETROS_CULTURAS!$F$6:$F$28,$P574),INDEX(PARAMETROS_CULTURAS!$K$6:$K$28,$P574),IF($O574&lt;=INDEX(PARAMETROS_CULTURAS!$F$6:$F$28,$P574)+INDEX(PARAMETROS_CULTURAS!$G$6:$G$28,$P574),INDEX(PARAMETROS_CULTURAS!$K$6:$K$28,$P574)+(INDEX(PARAMETROS_CULTURAS!$L$6:$L$28,$P574)-INDEX(PARAMETROS_CULTURAS!$K$6:$K$28,$P574))*($O574-INDEX(PARAMETROS_CULTURAS!$F$6:$F$28,$P574))/MAX(INDEX(PARAMETROS_CULTURAS!$G$6:$G$28,$P574),0.0001),IF($O574&lt;=INDEX(PARAMETROS_CULTURAS!$F$6:$F$28,$P574)+INDEX(PARAMETROS_CULTURAS!$G$6:$G$28,$P574)+INDEX(PARAMETROS_CULTURAS!$H$6:$H$28,$P574),INDEX(PARAMETROS_CULTURAS!$L$6:$L$28,$P574),INDEX(PARAMETROS_CULTURAS!$L$6:$L$28,$P574)+(INDEX(PARAMETROS_CULTURAS!$M$6:$M$28,$P574)-INDEX(PARAMETROS_CULTURAS!$L$6:$L$28,$P574))*($O574-INDEX(PARAMETROS_CULTURAS!$F$6:$F$28,$P574)-INDEX(PARAMETROS_CULTURAS!$G$6:$G$28,$P574)-INDEX(PARAMETROS_CULTURAS!$H$6:$H$28,$P574))/MAX(INDEX(PARAMETROS_CULTURAS!$I$6:$I$28,$P574),0.0001)))))</f>
        <v>1.15</v>
      </c>
      <c r="S574" s="18" t="n">
        <f aca="false">IFERROR(INDEX(SEMANAS!$H$6:$H$71,MATCH($B574,SEMANAS!$B$6:$B$71,0)),0)</f>
        <v>28</v>
      </c>
      <c r="T574" s="18" t="n">
        <f aca="false">$R574*$S574</f>
        <v>32.2</v>
      </c>
      <c r="U574" s="18" t="n">
        <f aca="false">IFERROR(INDEX(SEMANAS!$I$6:$I$71,MATCH($B574,SEMANAS!$B$6:$B$71,0)),0)</f>
        <v>1.19</v>
      </c>
      <c r="V574" s="18" t="n">
        <f aca="false">IFERROR(INDEX(SEMANAS!$J$6:$J$71,MATCH($B574,SEMANAS!$B$6:$B$71,0)),0)</f>
        <v>0.952</v>
      </c>
      <c r="W574" s="18" t="n">
        <f aca="false">MAX(0,$T574-$V574)</f>
        <v>31.248</v>
      </c>
      <c r="X574" s="19" t="n">
        <f aca="false">IFERROR(INDEX(CADASTRO_PIVOS!$K$6:$K$41,MATCH($E574,CADASTRO_PIVOS!$B$6:$B$41,0)),EFICIENCIA_PADRAO)</f>
        <v>0.85</v>
      </c>
      <c r="Y574" s="18" t="n">
        <f aca="false">IF($X574&lt;=0,0,$W574/$X574)</f>
        <v>36.7623529411765</v>
      </c>
      <c r="Z574" s="16" t="n">
        <f aca="false">$Y574*$H574*MM_PARA_M3_HA</f>
        <v>36913.0785882353</v>
      </c>
      <c r="AA574" s="18" t="n">
        <f aca="false">IFERROR(INDEX(CADASTRO_PIVOS!$I$6:$I$41,MATCH($E574,CADASTRO_PIVOS!$B$6:$B$41,0)),0)</f>
        <v>717.214285714286</v>
      </c>
      <c r="AB574" s="18" t="n">
        <f aca="false">IF($Z574&lt;=0,0,$Z574/$AA574)</f>
        <v>51.4672941176471</v>
      </c>
      <c r="AC574" s="16" t="n">
        <f aca="false">IFERROR(INDEX(SEMANAS!$K$6:$K$71,MATCH($B574,SEMANAS!$B$6:$B$71,0)),0)</f>
        <v>147</v>
      </c>
      <c r="AD574" s="19" t="n">
        <f aca="false">IF($AC574&lt;=0,0,$AB574/$AC574)</f>
        <v>0.350117647058824</v>
      </c>
      <c r="AE574" s="8" t="str">
        <f aca="false">IF($K574="SEM CULTURA","SEM CULTURA",IF($AA574&lt;=0,"DADO PENDENTE",IF($AD574&gt;LIMITE_CRITICO,"INVIAVEL",IF($AD574&gt;LIMITE_ATENCAO,"CRITICO",IF($AD574&gt;LIMITE_CONFORTAVEL,"ATENCAO","OK")))))</f>
        <v>OK</v>
      </c>
      <c r="AF574" s="8" t="str">
        <f aca="false">$B574&amp;"|"&amp;TEXT($AD574,"0.000000")</f>
        <v>41|0.350118</v>
      </c>
      <c r="AG574" s="18" t="n">
        <f aca="false">IF($K574="SEM CULTURA",0,$T574*$H574)</f>
        <v>3233.202</v>
      </c>
      <c r="AH574" s="18" t="n">
        <f aca="false">IF($K574="SEM CULTURA",0,$V574*$H574)</f>
        <v>95.59032</v>
      </c>
      <c r="AI574" s="18" t="n">
        <f aca="false">IF($K574="SEM CULTURA",0,$W574*$H574)</f>
        <v>3137.61168</v>
      </c>
      <c r="AJ574" s="18" t="n">
        <f aca="false">IF($K574="SEM CULTURA",0,$S574*$H574)</f>
        <v>2811.48</v>
      </c>
      <c r="AK574" s="8" t="str">
        <f aca="false">$E574&amp;"|"&amp;TEXT($AD574,"0.000000")</f>
        <v>PV 104|0.350118</v>
      </c>
    </row>
    <row r="575" customFormat="false" ht="15" hidden="false" customHeight="false" outlineLevel="0" collapsed="false">
      <c r="B575" s="16" t="n">
        <v>42</v>
      </c>
      <c r="C575" s="17" t="n">
        <f aca="false">DATA_INICIO_SAFRA+($B575-1)*DIAS_POR_SEMANA</f>
        <v>46552</v>
      </c>
      <c r="D575" s="17" t="n">
        <f aca="false">$C575+DIAS_POR_SEMANA-1</f>
        <v>46558</v>
      </c>
      <c r="E575" s="15" t="s">
        <v>267</v>
      </c>
      <c r="F575" s="8" t="str">
        <f aca="false">IFERROR(INDEX(CADASTRO_PIVOS!$C$6:$C$41,MATCH($E575,CADASTRO_PIVOS!$B$6:$B$41,0)),"?")</f>
        <v>RM04</v>
      </c>
      <c r="G575" s="8" t="str">
        <f aca="false">IFERROR(INDEX(CADASTRO_PIVOS!$D$6:$D$41,MATCH($E575,CADASTRO_PIVOS!$B$6:$B$41,0)),"?")</f>
        <v>TR04</v>
      </c>
      <c r="H575" s="20" t="n">
        <f aca="false">IFERROR(INDEX(CADASTRO_PIVOS!$E$6:$E$41,MATCH($E575,CADASTRO_PIVOS!$B$6:$B$41,0)),0)</f>
        <v>100.41</v>
      </c>
      <c r="I575" s="16" t="n">
        <f aca="false">IFERROR(SUMIFS(ROTACAO_RDM!$B$6:$B$71,ROTACAO_RDM!$D$6:$D$71,$E575,ROTACAO_RDM!$I$6:$I$71,"&lt;="&amp;$C575+INT(DIAS_POR_SEMANA/2),ROTACAO_RDM!$J$6:$J$71,"&gt;="&amp;$C575+INT(DIAS_POR_SEMANA/2)),0)</f>
        <v>6</v>
      </c>
      <c r="J575" s="16" t="n">
        <f aca="false">IFERROR(MATCH($I575,ROTACAO_RDM!$B$6:$B$71,0),0)</f>
        <v>6</v>
      </c>
      <c r="K575" s="8" t="str">
        <f aca="false">IF($J575=0,"SEM CULTURA",INDEX(ROTACAO_RDM!$F$6:$F$71,$J575))</f>
        <v>ALGODAO</v>
      </c>
      <c r="L575" s="8" t="str">
        <f aca="false">IF($J575=0,"",INDEX(ROTACAO_RDM!$G$6:$G$71,$J575))</f>
        <v>FM 911 GLTP</v>
      </c>
      <c r="M575" s="17" t="n">
        <f aca="false">IF($J575=0,"",INDEX(ROTACAO_RDM!$I$6:$I$71,$J575))</f>
        <v>46423</v>
      </c>
      <c r="N575" s="16" t="n">
        <f aca="false">IF($J575=0,0,MAX(0,$C575+INT(DIAS_POR_SEMANA/2)-INDEX(ROTACAO_RDM!$I$6:$I$71,$J575)))</f>
        <v>132</v>
      </c>
      <c r="O575" s="19" t="n">
        <f aca="false">IF($J575=0,0,MIN(1,$N575/MAX(1,INDEX(ROTACAO_RDM!$K$6:$K$71,$J575))))</f>
        <v>0.733333333333333</v>
      </c>
      <c r="P575" s="16" t="n">
        <f aca="false">IF($J575=0,0,IFERROR(MATCH(INDEX(ROTACAO_RDM!$N$6:$N$71,$J575),PARAMETROS_CULTURAS!$B$6:$B$28,0),0))</f>
        <v>4</v>
      </c>
      <c r="Q575" s="8" t="str">
        <f aca="false">IF($P575=0,"-",IF($O575&lt;=INDEX(PARAMETROS_CULTURAS!$F$6:$F$28,$P575),"INICIAL",IF($O575&lt;=INDEX(PARAMETROS_CULTURAS!$F$6:$F$28,$P575)+INDEX(PARAMETROS_CULTURAS!$G$6:$G$28,$P575),"DESENVOLVIMENTO",IF($O575&lt;=INDEX(PARAMETROS_CULTURAS!$F$6:$F$28,$P575)+INDEX(PARAMETROS_CULTURAS!$G$6:$G$28,$P575)+INDEX(PARAMETROS_CULTURAS!$H$6:$H$28,$P575),"MEDIA","FINAL"))))</f>
        <v>MEDIA</v>
      </c>
      <c r="R575" s="24" t="n">
        <f aca="false">IF($P575=0,0,IF($O575&lt;=INDEX(PARAMETROS_CULTURAS!$F$6:$F$28,$P575),INDEX(PARAMETROS_CULTURAS!$K$6:$K$28,$P575),IF($O575&lt;=INDEX(PARAMETROS_CULTURAS!$F$6:$F$28,$P575)+INDEX(PARAMETROS_CULTURAS!$G$6:$G$28,$P575),INDEX(PARAMETROS_CULTURAS!$K$6:$K$28,$P575)+(INDEX(PARAMETROS_CULTURAS!$L$6:$L$28,$P575)-INDEX(PARAMETROS_CULTURAS!$K$6:$K$28,$P575))*($O575-INDEX(PARAMETROS_CULTURAS!$F$6:$F$28,$P575))/MAX(INDEX(PARAMETROS_CULTURAS!$G$6:$G$28,$P575),0.0001),IF($O575&lt;=INDEX(PARAMETROS_CULTURAS!$F$6:$F$28,$P575)+INDEX(PARAMETROS_CULTURAS!$G$6:$G$28,$P575)+INDEX(PARAMETROS_CULTURAS!$H$6:$H$28,$P575),INDEX(PARAMETROS_CULTURAS!$L$6:$L$28,$P575),INDEX(PARAMETROS_CULTURAS!$L$6:$L$28,$P575)+(INDEX(PARAMETROS_CULTURAS!$M$6:$M$28,$P575)-INDEX(PARAMETROS_CULTURAS!$L$6:$L$28,$P575))*($O575-INDEX(PARAMETROS_CULTURAS!$F$6:$F$28,$P575)-INDEX(PARAMETROS_CULTURAS!$G$6:$G$28,$P575)-INDEX(PARAMETROS_CULTURAS!$H$6:$H$28,$P575))/MAX(INDEX(PARAMETROS_CULTURAS!$I$6:$I$28,$P575),0.0001)))))</f>
        <v>1.15</v>
      </c>
      <c r="S575" s="18" t="n">
        <f aca="false">IFERROR(INDEX(SEMANAS!$H$6:$H$71,MATCH($B575,SEMANAS!$B$6:$B$71,0)),0)</f>
        <v>28</v>
      </c>
      <c r="T575" s="18" t="n">
        <f aca="false">$R575*$S575</f>
        <v>32.2</v>
      </c>
      <c r="U575" s="18" t="n">
        <f aca="false">IFERROR(INDEX(SEMANAS!$I$6:$I$71,MATCH($B575,SEMANAS!$B$6:$B$71,0)),0)</f>
        <v>1.19</v>
      </c>
      <c r="V575" s="18" t="n">
        <f aca="false">IFERROR(INDEX(SEMANAS!$J$6:$J$71,MATCH($B575,SEMANAS!$B$6:$B$71,0)),0)</f>
        <v>0.952</v>
      </c>
      <c r="W575" s="18" t="n">
        <f aca="false">MAX(0,$T575-$V575)</f>
        <v>31.248</v>
      </c>
      <c r="X575" s="19" t="n">
        <f aca="false">IFERROR(INDEX(CADASTRO_PIVOS!$K$6:$K$41,MATCH($E575,CADASTRO_PIVOS!$B$6:$B$41,0)),EFICIENCIA_PADRAO)</f>
        <v>0.85</v>
      </c>
      <c r="Y575" s="18" t="n">
        <f aca="false">IF($X575&lt;=0,0,$W575/$X575)</f>
        <v>36.7623529411765</v>
      </c>
      <c r="Z575" s="16" t="n">
        <f aca="false">$Y575*$H575*MM_PARA_M3_HA</f>
        <v>36913.0785882353</v>
      </c>
      <c r="AA575" s="18" t="n">
        <f aca="false">IFERROR(INDEX(CADASTRO_PIVOS!$I$6:$I$41,MATCH($E575,CADASTRO_PIVOS!$B$6:$B$41,0)),0)</f>
        <v>717.214285714286</v>
      </c>
      <c r="AB575" s="18" t="n">
        <f aca="false">IF($Z575&lt;=0,0,$Z575/$AA575)</f>
        <v>51.4672941176471</v>
      </c>
      <c r="AC575" s="16" t="n">
        <f aca="false">IFERROR(INDEX(SEMANAS!$K$6:$K$71,MATCH($B575,SEMANAS!$B$6:$B$71,0)),0)</f>
        <v>147</v>
      </c>
      <c r="AD575" s="19" t="n">
        <f aca="false">IF($AC575&lt;=0,0,$AB575/$AC575)</f>
        <v>0.350117647058824</v>
      </c>
      <c r="AE575" s="8" t="str">
        <f aca="false">IF($K575="SEM CULTURA","SEM CULTURA",IF($AA575&lt;=0,"DADO PENDENTE",IF($AD575&gt;LIMITE_CRITICO,"INVIAVEL",IF($AD575&gt;LIMITE_ATENCAO,"CRITICO",IF($AD575&gt;LIMITE_CONFORTAVEL,"ATENCAO","OK")))))</f>
        <v>OK</v>
      </c>
      <c r="AF575" s="8" t="str">
        <f aca="false">$B575&amp;"|"&amp;TEXT($AD575,"0.000000")</f>
        <v>42|0.350118</v>
      </c>
      <c r="AG575" s="18" t="n">
        <f aca="false">IF($K575="SEM CULTURA",0,$T575*$H575)</f>
        <v>3233.202</v>
      </c>
      <c r="AH575" s="18" t="n">
        <f aca="false">IF($K575="SEM CULTURA",0,$V575*$H575)</f>
        <v>95.59032</v>
      </c>
      <c r="AI575" s="18" t="n">
        <f aca="false">IF($K575="SEM CULTURA",0,$W575*$H575)</f>
        <v>3137.61168</v>
      </c>
      <c r="AJ575" s="18" t="n">
        <f aca="false">IF($K575="SEM CULTURA",0,$S575*$H575)</f>
        <v>2811.48</v>
      </c>
      <c r="AK575" s="8" t="str">
        <f aca="false">$E575&amp;"|"&amp;TEXT($AD575,"0.000000")</f>
        <v>PV 104|0.350118</v>
      </c>
    </row>
    <row r="576" customFormat="false" ht="15" hidden="false" customHeight="false" outlineLevel="0" collapsed="false">
      <c r="B576" s="16" t="n">
        <v>43</v>
      </c>
      <c r="C576" s="17" t="n">
        <f aca="false">DATA_INICIO_SAFRA+($B576-1)*DIAS_POR_SEMANA</f>
        <v>46559</v>
      </c>
      <c r="D576" s="17" t="n">
        <f aca="false">$C576+DIAS_POR_SEMANA-1</f>
        <v>46565</v>
      </c>
      <c r="E576" s="15" t="s">
        <v>267</v>
      </c>
      <c r="F576" s="8" t="str">
        <f aca="false">IFERROR(INDEX(CADASTRO_PIVOS!$C$6:$C$41,MATCH($E576,CADASTRO_PIVOS!$B$6:$B$41,0)),"?")</f>
        <v>RM04</v>
      </c>
      <c r="G576" s="8" t="str">
        <f aca="false">IFERROR(INDEX(CADASTRO_PIVOS!$D$6:$D$41,MATCH($E576,CADASTRO_PIVOS!$B$6:$B$41,0)),"?")</f>
        <v>TR04</v>
      </c>
      <c r="H576" s="20" t="n">
        <f aca="false">IFERROR(INDEX(CADASTRO_PIVOS!$E$6:$E$41,MATCH($E576,CADASTRO_PIVOS!$B$6:$B$41,0)),0)</f>
        <v>100.41</v>
      </c>
      <c r="I576" s="16" t="n">
        <f aca="false">IFERROR(SUMIFS(ROTACAO_RDM!$B$6:$B$71,ROTACAO_RDM!$D$6:$D$71,$E576,ROTACAO_RDM!$I$6:$I$71,"&lt;="&amp;$C576+INT(DIAS_POR_SEMANA/2),ROTACAO_RDM!$J$6:$J$71,"&gt;="&amp;$C576+INT(DIAS_POR_SEMANA/2)),0)</f>
        <v>6</v>
      </c>
      <c r="J576" s="16" t="n">
        <f aca="false">IFERROR(MATCH($I576,ROTACAO_RDM!$B$6:$B$71,0),0)</f>
        <v>6</v>
      </c>
      <c r="K576" s="8" t="str">
        <f aca="false">IF($J576=0,"SEM CULTURA",INDEX(ROTACAO_RDM!$F$6:$F$71,$J576))</f>
        <v>ALGODAO</v>
      </c>
      <c r="L576" s="8" t="str">
        <f aca="false">IF($J576=0,"",INDEX(ROTACAO_RDM!$G$6:$G$71,$J576))</f>
        <v>FM 911 GLTP</v>
      </c>
      <c r="M576" s="17" t="n">
        <f aca="false">IF($J576=0,"",INDEX(ROTACAO_RDM!$I$6:$I$71,$J576))</f>
        <v>46423</v>
      </c>
      <c r="N576" s="16" t="n">
        <f aca="false">IF($J576=0,0,MAX(0,$C576+INT(DIAS_POR_SEMANA/2)-INDEX(ROTACAO_RDM!$I$6:$I$71,$J576)))</f>
        <v>139</v>
      </c>
      <c r="O576" s="19" t="n">
        <f aca="false">IF($J576=0,0,MIN(1,$N576/MAX(1,INDEX(ROTACAO_RDM!$K$6:$K$71,$J576))))</f>
        <v>0.772222222222222</v>
      </c>
      <c r="P576" s="16" t="n">
        <f aca="false">IF($J576=0,0,IFERROR(MATCH(INDEX(ROTACAO_RDM!$N$6:$N$71,$J576),PARAMETROS_CULTURAS!$B$6:$B$28,0),0))</f>
        <v>4</v>
      </c>
      <c r="Q576" s="8" t="str">
        <f aca="false">IF($P576=0,"-",IF($O576&lt;=INDEX(PARAMETROS_CULTURAS!$F$6:$F$28,$P576),"INICIAL",IF($O576&lt;=INDEX(PARAMETROS_CULTURAS!$F$6:$F$28,$P576)+INDEX(PARAMETROS_CULTURAS!$G$6:$G$28,$P576),"DESENVOLVIMENTO",IF($O576&lt;=INDEX(PARAMETROS_CULTURAS!$F$6:$F$28,$P576)+INDEX(PARAMETROS_CULTURAS!$G$6:$G$28,$P576)+INDEX(PARAMETROS_CULTURAS!$H$6:$H$28,$P576),"MEDIA","FINAL"))))</f>
        <v>FINAL</v>
      </c>
      <c r="R576" s="24" t="n">
        <f aca="false">IF($P576=0,0,IF($O576&lt;=INDEX(PARAMETROS_CULTURAS!$F$6:$F$28,$P576),INDEX(PARAMETROS_CULTURAS!$K$6:$K$28,$P576),IF($O576&lt;=INDEX(PARAMETROS_CULTURAS!$F$6:$F$28,$P576)+INDEX(PARAMETROS_CULTURAS!$G$6:$G$28,$P576),INDEX(PARAMETROS_CULTURAS!$K$6:$K$28,$P576)+(INDEX(PARAMETROS_CULTURAS!$L$6:$L$28,$P576)-INDEX(PARAMETROS_CULTURAS!$K$6:$K$28,$P576))*($O576-INDEX(PARAMETROS_CULTURAS!$F$6:$F$28,$P576))/MAX(INDEX(PARAMETROS_CULTURAS!$G$6:$G$28,$P576),0.0001),IF($O576&lt;=INDEX(PARAMETROS_CULTURAS!$F$6:$F$28,$P576)+INDEX(PARAMETROS_CULTURAS!$G$6:$G$28,$P576)+INDEX(PARAMETROS_CULTURAS!$H$6:$H$28,$P576),INDEX(PARAMETROS_CULTURAS!$L$6:$L$28,$P576),INDEX(PARAMETROS_CULTURAS!$L$6:$L$28,$P576)+(INDEX(PARAMETROS_CULTURAS!$M$6:$M$28,$P576)-INDEX(PARAMETROS_CULTURAS!$L$6:$L$28,$P576))*($O576-INDEX(PARAMETROS_CULTURAS!$F$6:$F$28,$P576)-INDEX(PARAMETROS_CULTURAS!$G$6:$G$28,$P576)-INDEX(PARAMETROS_CULTURAS!$H$6:$H$28,$P576))/MAX(INDEX(PARAMETROS_CULTURAS!$I$6:$I$28,$P576),0.0001)))))</f>
        <v>1.10111111111111</v>
      </c>
      <c r="S576" s="18" t="n">
        <f aca="false">IFERROR(INDEX(SEMANAS!$H$6:$H$71,MATCH($B576,SEMANAS!$B$6:$B$71,0)),0)</f>
        <v>28</v>
      </c>
      <c r="T576" s="18" t="n">
        <f aca="false">$R576*$S576</f>
        <v>30.8311111111111</v>
      </c>
      <c r="U576" s="18" t="n">
        <f aca="false">IFERROR(INDEX(SEMANAS!$I$6:$I$71,MATCH($B576,SEMANAS!$B$6:$B$71,0)),0)</f>
        <v>1.19</v>
      </c>
      <c r="V576" s="18" t="n">
        <f aca="false">IFERROR(INDEX(SEMANAS!$J$6:$J$71,MATCH($B576,SEMANAS!$B$6:$B$71,0)),0)</f>
        <v>0.952</v>
      </c>
      <c r="W576" s="18" t="n">
        <f aca="false">MAX(0,$T576-$V576)</f>
        <v>29.8791111111111</v>
      </c>
      <c r="X576" s="19" t="n">
        <f aca="false">IFERROR(INDEX(CADASTRO_PIVOS!$K$6:$K$41,MATCH($E576,CADASTRO_PIVOS!$B$6:$B$41,0)),EFICIENCIA_PADRAO)</f>
        <v>0.85</v>
      </c>
      <c r="Y576" s="18" t="n">
        <f aca="false">IF($X576&lt;=0,0,$W576/$X576)</f>
        <v>35.1518954248366</v>
      </c>
      <c r="Z576" s="16" t="n">
        <f aca="false">$Y576*$H576*MM_PARA_M3_HA</f>
        <v>35296.0181960784</v>
      </c>
      <c r="AA576" s="18" t="n">
        <f aca="false">IFERROR(INDEX(CADASTRO_PIVOS!$I$6:$I$41,MATCH($E576,CADASTRO_PIVOS!$B$6:$B$41,0)),0)</f>
        <v>717.214285714286</v>
      </c>
      <c r="AB576" s="18" t="n">
        <f aca="false">IF($Z576&lt;=0,0,$Z576/$AA576)</f>
        <v>49.2126535947713</v>
      </c>
      <c r="AC576" s="16" t="n">
        <f aca="false">IFERROR(INDEX(SEMANAS!$K$6:$K$71,MATCH($B576,SEMANAS!$B$6:$B$71,0)),0)</f>
        <v>147</v>
      </c>
      <c r="AD576" s="19" t="n">
        <f aca="false">IF($AC576&lt;=0,0,$AB576/$AC576)</f>
        <v>0.334779956427015</v>
      </c>
      <c r="AE576" s="8" t="str">
        <f aca="false">IF($K576="SEM CULTURA","SEM CULTURA",IF($AA576&lt;=0,"DADO PENDENTE",IF($AD576&gt;LIMITE_CRITICO,"INVIAVEL",IF($AD576&gt;LIMITE_ATENCAO,"CRITICO",IF($AD576&gt;LIMITE_CONFORTAVEL,"ATENCAO","OK")))))</f>
        <v>OK</v>
      </c>
      <c r="AF576" s="8" t="str">
        <f aca="false">$B576&amp;"|"&amp;TEXT($AD576,"0.000000")</f>
        <v>43|0.334780</v>
      </c>
      <c r="AG576" s="18" t="n">
        <f aca="false">IF($K576="SEM CULTURA",0,$T576*$H576)</f>
        <v>3095.75186666667</v>
      </c>
      <c r="AH576" s="18" t="n">
        <f aca="false">IF($K576="SEM CULTURA",0,$V576*$H576)</f>
        <v>95.59032</v>
      </c>
      <c r="AI576" s="18" t="n">
        <f aca="false">IF($K576="SEM CULTURA",0,$W576*$H576)</f>
        <v>3000.16154666667</v>
      </c>
      <c r="AJ576" s="18" t="n">
        <f aca="false">IF($K576="SEM CULTURA",0,$S576*$H576)</f>
        <v>2811.48</v>
      </c>
      <c r="AK576" s="8" t="str">
        <f aca="false">$E576&amp;"|"&amp;TEXT($AD576,"0.000000")</f>
        <v>PV 104|0.334780</v>
      </c>
    </row>
    <row r="577" customFormat="false" ht="15" hidden="false" customHeight="false" outlineLevel="0" collapsed="false">
      <c r="B577" s="16" t="n">
        <v>44</v>
      </c>
      <c r="C577" s="17" t="n">
        <f aca="false">DATA_INICIO_SAFRA+($B577-1)*DIAS_POR_SEMANA</f>
        <v>46566</v>
      </c>
      <c r="D577" s="17" t="n">
        <f aca="false">$C577+DIAS_POR_SEMANA-1</f>
        <v>46572</v>
      </c>
      <c r="E577" s="15" t="s">
        <v>267</v>
      </c>
      <c r="F577" s="8" t="str">
        <f aca="false">IFERROR(INDEX(CADASTRO_PIVOS!$C$6:$C$41,MATCH($E577,CADASTRO_PIVOS!$B$6:$B$41,0)),"?")</f>
        <v>RM04</v>
      </c>
      <c r="G577" s="8" t="str">
        <f aca="false">IFERROR(INDEX(CADASTRO_PIVOS!$D$6:$D$41,MATCH($E577,CADASTRO_PIVOS!$B$6:$B$41,0)),"?")</f>
        <v>TR04</v>
      </c>
      <c r="H577" s="20" t="n">
        <f aca="false">IFERROR(INDEX(CADASTRO_PIVOS!$E$6:$E$41,MATCH($E577,CADASTRO_PIVOS!$B$6:$B$41,0)),0)</f>
        <v>100.41</v>
      </c>
      <c r="I577" s="16" t="n">
        <f aca="false">IFERROR(SUMIFS(ROTACAO_RDM!$B$6:$B$71,ROTACAO_RDM!$D$6:$D$71,$E577,ROTACAO_RDM!$I$6:$I$71,"&lt;="&amp;$C577+INT(DIAS_POR_SEMANA/2),ROTACAO_RDM!$J$6:$J$71,"&gt;="&amp;$C577+INT(DIAS_POR_SEMANA/2)),0)</f>
        <v>6</v>
      </c>
      <c r="J577" s="16" t="n">
        <f aca="false">IFERROR(MATCH($I577,ROTACAO_RDM!$B$6:$B$71,0),0)</f>
        <v>6</v>
      </c>
      <c r="K577" s="8" t="str">
        <f aca="false">IF($J577=0,"SEM CULTURA",INDEX(ROTACAO_RDM!$F$6:$F$71,$J577))</f>
        <v>ALGODAO</v>
      </c>
      <c r="L577" s="8" t="str">
        <f aca="false">IF($J577=0,"",INDEX(ROTACAO_RDM!$G$6:$G$71,$J577))</f>
        <v>FM 911 GLTP</v>
      </c>
      <c r="M577" s="17" t="n">
        <f aca="false">IF($J577=0,"",INDEX(ROTACAO_RDM!$I$6:$I$71,$J577))</f>
        <v>46423</v>
      </c>
      <c r="N577" s="16" t="n">
        <f aca="false">IF($J577=0,0,MAX(0,$C577+INT(DIAS_POR_SEMANA/2)-INDEX(ROTACAO_RDM!$I$6:$I$71,$J577)))</f>
        <v>146</v>
      </c>
      <c r="O577" s="19" t="n">
        <f aca="false">IF($J577=0,0,MIN(1,$N577/MAX(1,INDEX(ROTACAO_RDM!$K$6:$K$71,$J577))))</f>
        <v>0.811111111111111</v>
      </c>
      <c r="P577" s="16" t="n">
        <f aca="false">IF($J577=0,0,IFERROR(MATCH(INDEX(ROTACAO_RDM!$N$6:$N$71,$J577),PARAMETROS_CULTURAS!$B$6:$B$28,0),0))</f>
        <v>4</v>
      </c>
      <c r="Q577" s="8" t="str">
        <f aca="false">IF($P577=0,"-",IF($O577&lt;=INDEX(PARAMETROS_CULTURAS!$F$6:$F$28,$P577),"INICIAL",IF($O577&lt;=INDEX(PARAMETROS_CULTURAS!$F$6:$F$28,$P577)+INDEX(PARAMETROS_CULTURAS!$G$6:$G$28,$P577),"DESENVOLVIMENTO",IF($O577&lt;=INDEX(PARAMETROS_CULTURAS!$F$6:$F$28,$P577)+INDEX(PARAMETROS_CULTURAS!$G$6:$G$28,$P577)+INDEX(PARAMETROS_CULTURAS!$H$6:$H$28,$P577),"MEDIA","FINAL"))))</f>
        <v>FINAL</v>
      </c>
      <c r="R577" s="24" t="n">
        <f aca="false">IF($P577=0,0,IF($O577&lt;=INDEX(PARAMETROS_CULTURAS!$F$6:$F$28,$P577),INDEX(PARAMETROS_CULTURAS!$K$6:$K$28,$P577),IF($O577&lt;=INDEX(PARAMETROS_CULTURAS!$F$6:$F$28,$P577)+INDEX(PARAMETROS_CULTURAS!$G$6:$G$28,$P577),INDEX(PARAMETROS_CULTURAS!$K$6:$K$28,$P577)+(INDEX(PARAMETROS_CULTURAS!$L$6:$L$28,$P577)-INDEX(PARAMETROS_CULTURAS!$K$6:$K$28,$P577))*($O577-INDEX(PARAMETROS_CULTURAS!$F$6:$F$28,$P577))/MAX(INDEX(PARAMETROS_CULTURAS!$G$6:$G$28,$P577),0.0001),IF($O577&lt;=INDEX(PARAMETROS_CULTURAS!$F$6:$F$28,$P577)+INDEX(PARAMETROS_CULTURAS!$G$6:$G$28,$P577)+INDEX(PARAMETROS_CULTURAS!$H$6:$H$28,$P577),INDEX(PARAMETROS_CULTURAS!$L$6:$L$28,$P577),INDEX(PARAMETROS_CULTURAS!$L$6:$L$28,$P577)+(INDEX(PARAMETROS_CULTURAS!$M$6:$M$28,$P577)-INDEX(PARAMETROS_CULTURAS!$L$6:$L$28,$P577))*($O577-INDEX(PARAMETROS_CULTURAS!$F$6:$F$28,$P577)-INDEX(PARAMETROS_CULTURAS!$G$6:$G$28,$P577)-INDEX(PARAMETROS_CULTURAS!$H$6:$H$28,$P577))/MAX(INDEX(PARAMETROS_CULTURAS!$I$6:$I$28,$P577),0.0001)))))</f>
        <v>1.01555555555556</v>
      </c>
      <c r="S577" s="18" t="n">
        <f aca="false">IFERROR(INDEX(SEMANAS!$H$6:$H$71,MATCH($B577,SEMANAS!$B$6:$B$71,0)),0)</f>
        <v>29.2</v>
      </c>
      <c r="T577" s="18" t="n">
        <f aca="false">$R577*$S577</f>
        <v>29.6542222222222</v>
      </c>
      <c r="U577" s="18" t="n">
        <f aca="false">IFERROR(INDEX(SEMANAS!$I$6:$I$71,MATCH($B577,SEMANAS!$B$6:$B$71,0)),0)</f>
        <v>0.91</v>
      </c>
      <c r="V577" s="18" t="n">
        <f aca="false">IFERROR(INDEX(SEMANAS!$J$6:$J$71,MATCH($B577,SEMANAS!$B$6:$B$71,0)),0)</f>
        <v>0.728</v>
      </c>
      <c r="W577" s="18" t="n">
        <f aca="false">MAX(0,$T577-$V577)</f>
        <v>28.9262222222222</v>
      </c>
      <c r="X577" s="19" t="n">
        <f aca="false">IFERROR(INDEX(CADASTRO_PIVOS!$K$6:$K$41,MATCH($E577,CADASTRO_PIVOS!$B$6:$B$41,0)),EFICIENCIA_PADRAO)</f>
        <v>0.85</v>
      </c>
      <c r="Y577" s="18" t="n">
        <f aca="false">IF($X577&lt;=0,0,$W577/$X577)</f>
        <v>34.0308496732026</v>
      </c>
      <c r="Z577" s="16" t="n">
        <f aca="false">$Y577*$H577*MM_PARA_M3_HA</f>
        <v>34170.3761568627</v>
      </c>
      <c r="AA577" s="18" t="n">
        <f aca="false">IFERROR(INDEX(CADASTRO_PIVOS!$I$6:$I$41,MATCH($E577,CADASTRO_PIVOS!$B$6:$B$41,0)),0)</f>
        <v>717.214285714286</v>
      </c>
      <c r="AB577" s="18" t="n">
        <f aca="false">IF($Z577&lt;=0,0,$Z577/$AA577)</f>
        <v>47.6431895424837</v>
      </c>
      <c r="AC577" s="16" t="n">
        <f aca="false">IFERROR(INDEX(SEMANAS!$K$6:$K$71,MATCH($B577,SEMANAS!$B$6:$B$71,0)),0)</f>
        <v>147</v>
      </c>
      <c r="AD577" s="19" t="n">
        <f aca="false">IF($AC577&lt;=0,0,$AB577/$AC577)</f>
        <v>0.324103330220977</v>
      </c>
      <c r="AE577" s="8" t="str">
        <f aca="false">IF($K577="SEM CULTURA","SEM CULTURA",IF($AA577&lt;=0,"DADO PENDENTE",IF($AD577&gt;LIMITE_CRITICO,"INVIAVEL",IF($AD577&gt;LIMITE_ATENCAO,"CRITICO",IF($AD577&gt;LIMITE_CONFORTAVEL,"ATENCAO","OK")))))</f>
        <v>OK</v>
      </c>
      <c r="AF577" s="8" t="str">
        <f aca="false">$B577&amp;"|"&amp;TEXT($AD577,"0.000000")</f>
        <v>44|0.324103</v>
      </c>
      <c r="AG577" s="18" t="n">
        <f aca="false">IF($K577="SEM CULTURA",0,$T577*$H577)</f>
        <v>2977.58045333333</v>
      </c>
      <c r="AH577" s="18" t="n">
        <f aca="false">IF($K577="SEM CULTURA",0,$V577*$H577)</f>
        <v>73.09848</v>
      </c>
      <c r="AI577" s="18" t="n">
        <f aca="false">IF($K577="SEM CULTURA",0,$W577*$H577)</f>
        <v>2904.48197333333</v>
      </c>
      <c r="AJ577" s="18" t="n">
        <f aca="false">IF($K577="SEM CULTURA",0,$S577*$H577)</f>
        <v>2931.972</v>
      </c>
      <c r="AK577" s="8" t="str">
        <f aca="false">$E577&amp;"|"&amp;TEXT($AD577,"0.000000")</f>
        <v>PV 104|0.324103</v>
      </c>
    </row>
    <row r="578" customFormat="false" ht="15" hidden="false" customHeight="false" outlineLevel="0" collapsed="false">
      <c r="B578" s="16" t="n">
        <v>45</v>
      </c>
      <c r="C578" s="17" t="n">
        <f aca="false">DATA_INICIO_SAFRA+($B578-1)*DIAS_POR_SEMANA</f>
        <v>46573</v>
      </c>
      <c r="D578" s="17" t="n">
        <f aca="false">$C578+DIAS_POR_SEMANA-1</f>
        <v>46579</v>
      </c>
      <c r="E578" s="15" t="s">
        <v>267</v>
      </c>
      <c r="F578" s="8" t="str">
        <f aca="false">IFERROR(INDEX(CADASTRO_PIVOS!$C$6:$C$41,MATCH($E578,CADASTRO_PIVOS!$B$6:$B$41,0)),"?")</f>
        <v>RM04</v>
      </c>
      <c r="G578" s="8" t="str">
        <f aca="false">IFERROR(INDEX(CADASTRO_PIVOS!$D$6:$D$41,MATCH($E578,CADASTRO_PIVOS!$B$6:$B$41,0)),"?")</f>
        <v>TR04</v>
      </c>
      <c r="H578" s="20" t="n">
        <f aca="false">IFERROR(INDEX(CADASTRO_PIVOS!$E$6:$E$41,MATCH($E578,CADASTRO_PIVOS!$B$6:$B$41,0)),0)</f>
        <v>100.41</v>
      </c>
      <c r="I578" s="16" t="n">
        <f aca="false">IFERROR(SUMIFS(ROTACAO_RDM!$B$6:$B$71,ROTACAO_RDM!$D$6:$D$71,$E578,ROTACAO_RDM!$I$6:$I$71,"&lt;="&amp;$C578+INT(DIAS_POR_SEMANA/2),ROTACAO_RDM!$J$6:$J$71,"&gt;="&amp;$C578+INT(DIAS_POR_SEMANA/2)),0)</f>
        <v>6</v>
      </c>
      <c r="J578" s="16" t="n">
        <f aca="false">IFERROR(MATCH($I578,ROTACAO_RDM!$B$6:$B$71,0),0)</f>
        <v>6</v>
      </c>
      <c r="K578" s="8" t="str">
        <f aca="false">IF($J578=0,"SEM CULTURA",INDEX(ROTACAO_RDM!$F$6:$F$71,$J578))</f>
        <v>ALGODAO</v>
      </c>
      <c r="L578" s="8" t="str">
        <f aca="false">IF($J578=0,"",INDEX(ROTACAO_RDM!$G$6:$G$71,$J578))</f>
        <v>FM 911 GLTP</v>
      </c>
      <c r="M578" s="17" t="n">
        <f aca="false">IF($J578=0,"",INDEX(ROTACAO_RDM!$I$6:$I$71,$J578))</f>
        <v>46423</v>
      </c>
      <c r="N578" s="16" t="n">
        <f aca="false">IF($J578=0,0,MAX(0,$C578+INT(DIAS_POR_SEMANA/2)-INDEX(ROTACAO_RDM!$I$6:$I$71,$J578)))</f>
        <v>153</v>
      </c>
      <c r="O578" s="19" t="n">
        <f aca="false">IF($J578=0,0,MIN(1,$N578/MAX(1,INDEX(ROTACAO_RDM!$K$6:$K$71,$J578))))</f>
        <v>0.85</v>
      </c>
      <c r="P578" s="16" t="n">
        <f aca="false">IF($J578=0,0,IFERROR(MATCH(INDEX(ROTACAO_RDM!$N$6:$N$71,$J578),PARAMETROS_CULTURAS!$B$6:$B$28,0),0))</f>
        <v>4</v>
      </c>
      <c r="Q578" s="8" t="str">
        <f aca="false">IF($P578=0,"-",IF($O578&lt;=INDEX(PARAMETROS_CULTURAS!$F$6:$F$28,$P578),"INICIAL",IF($O578&lt;=INDEX(PARAMETROS_CULTURAS!$F$6:$F$28,$P578)+INDEX(PARAMETROS_CULTURAS!$G$6:$G$28,$P578),"DESENVOLVIMENTO",IF($O578&lt;=INDEX(PARAMETROS_CULTURAS!$F$6:$F$28,$P578)+INDEX(PARAMETROS_CULTURAS!$G$6:$G$28,$P578)+INDEX(PARAMETROS_CULTURAS!$H$6:$H$28,$P578),"MEDIA","FINAL"))))</f>
        <v>FINAL</v>
      </c>
      <c r="R578" s="24" t="n">
        <f aca="false">IF($P578=0,0,IF($O578&lt;=INDEX(PARAMETROS_CULTURAS!$F$6:$F$28,$P578),INDEX(PARAMETROS_CULTURAS!$K$6:$K$28,$P578),IF($O578&lt;=INDEX(PARAMETROS_CULTURAS!$F$6:$F$28,$P578)+INDEX(PARAMETROS_CULTURAS!$G$6:$G$28,$P578),INDEX(PARAMETROS_CULTURAS!$K$6:$K$28,$P578)+(INDEX(PARAMETROS_CULTURAS!$L$6:$L$28,$P578)-INDEX(PARAMETROS_CULTURAS!$K$6:$K$28,$P578))*($O578-INDEX(PARAMETROS_CULTURAS!$F$6:$F$28,$P578))/MAX(INDEX(PARAMETROS_CULTURAS!$G$6:$G$28,$P578),0.0001),IF($O578&lt;=INDEX(PARAMETROS_CULTURAS!$F$6:$F$28,$P578)+INDEX(PARAMETROS_CULTURAS!$G$6:$G$28,$P578)+INDEX(PARAMETROS_CULTURAS!$H$6:$H$28,$P578),INDEX(PARAMETROS_CULTURAS!$L$6:$L$28,$P578),INDEX(PARAMETROS_CULTURAS!$L$6:$L$28,$P578)+(INDEX(PARAMETROS_CULTURAS!$M$6:$M$28,$P578)-INDEX(PARAMETROS_CULTURAS!$L$6:$L$28,$P578))*($O578-INDEX(PARAMETROS_CULTURAS!$F$6:$F$28,$P578)-INDEX(PARAMETROS_CULTURAS!$G$6:$G$28,$P578)-INDEX(PARAMETROS_CULTURAS!$H$6:$H$28,$P578))/MAX(INDEX(PARAMETROS_CULTURAS!$I$6:$I$28,$P578),0.0001)))))</f>
        <v>0.93</v>
      </c>
      <c r="S578" s="18" t="n">
        <f aca="false">IFERROR(INDEX(SEMANAS!$H$6:$H$71,MATCH($B578,SEMANAS!$B$6:$B$71,0)),0)</f>
        <v>30.1</v>
      </c>
      <c r="T578" s="18" t="n">
        <f aca="false">$R578*$S578</f>
        <v>27.993</v>
      </c>
      <c r="U578" s="18" t="n">
        <f aca="false">IFERROR(INDEX(SEMANAS!$I$6:$I$71,MATCH($B578,SEMANAS!$B$6:$B$71,0)),0)</f>
        <v>0.7</v>
      </c>
      <c r="V578" s="18" t="n">
        <f aca="false">IFERROR(INDEX(SEMANAS!$J$6:$J$71,MATCH($B578,SEMANAS!$B$6:$B$71,0)),0)</f>
        <v>0.56</v>
      </c>
      <c r="W578" s="18" t="n">
        <f aca="false">MAX(0,$T578-$V578)</f>
        <v>27.433</v>
      </c>
      <c r="X578" s="19" t="n">
        <f aca="false">IFERROR(INDEX(CADASTRO_PIVOS!$K$6:$K$41,MATCH($E578,CADASTRO_PIVOS!$B$6:$B$41,0)),EFICIENCIA_PADRAO)</f>
        <v>0.85</v>
      </c>
      <c r="Y578" s="18" t="n">
        <f aca="false">IF($X578&lt;=0,0,$W578/$X578)</f>
        <v>32.2741176470588</v>
      </c>
      <c r="Z578" s="16" t="n">
        <f aca="false">$Y578*$H578*MM_PARA_M3_HA</f>
        <v>32406.4415294118</v>
      </c>
      <c r="AA578" s="18" t="n">
        <f aca="false">IFERROR(INDEX(CADASTRO_PIVOS!$I$6:$I$41,MATCH($E578,CADASTRO_PIVOS!$B$6:$B$41,0)),0)</f>
        <v>717.214285714286</v>
      </c>
      <c r="AB578" s="18" t="n">
        <f aca="false">IF($Z578&lt;=0,0,$Z578/$AA578)</f>
        <v>45.1837647058824</v>
      </c>
      <c r="AC578" s="16" t="n">
        <f aca="false">IFERROR(INDEX(SEMANAS!$K$6:$K$71,MATCH($B578,SEMANAS!$B$6:$B$71,0)),0)</f>
        <v>147</v>
      </c>
      <c r="AD578" s="19" t="n">
        <f aca="false">IF($AC578&lt;=0,0,$AB578/$AC578)</f>
        <v>0.307372549019608</v>
      </c>
      <c r="AE578" s="8" t="str">
        <f aca="false">IF($K578="SEM CULTURA","SEM CULTURA",IF($AA578&lt;=0,"DADO PENDENTE",IF($AD578&gt;LIMITE_CRITICO,"INVIAVEL",IF($AD578&gt;LIMITE_ATENCAO,"CRITICO",IF($AD578&gt;LIMITE_CONFORTAVEL,"ATENCAO","OK")))))</f>
        <v>OK</v>
      </c>
      <c r="AF578" s="8" t="str">
        <f aca="false">$B578&amp;"|"&amp;TEXT($AD578,"0.000000")</f>
        <v>45|0.307373</v>
      </c>
      <c r="AG578" s="18" t="n">
        <f aca="false">IF($K578="SEM CULTURA",0,$T578*$H578)</f>
        <v>2810.77713</v>
      </c>
      <c r="AH578" s="18" t="n">
        <f aca="false">IF($K578="SEM CULTURA",0,$V578*$H578)</f>
        <v>56.2296</v>
      </c>
      <c r="AI578" s="18" t="n">
        <f aca="false">IF($K578="SEM CULTURA",0,$W578*$H578)</f>
        <v>2754.54753</v>
      </c>
      <c r="AJ578" s="18" t="n">
        <f aca="false">IF($K578="SEM CULTURA",0,$S578*$H578)</f>
        <v>3022.341</v>
      </c>
      <c r="AK578" s="8" t="str">
        <f aca="false">$E578&amp;"|"&amp;TEXT($AD578,"0.000000")</f>
        <v>PV 104|0.307373</v>
      </c>
    </row>
    <row r="579" customFormat="false" ht="15" hidden="false" customHeight="false" outlineLevel="0" collapsed="false">
      <c r="B579" s="16" t="n">
        <v>46</v>
      </c>
      <c r="C579" s="17" t="n">
        <f aca="false">DATA_INICIO_SAFRA+($B579-1)*DIAS_POR_SEMANA</f>
        <v>46580</v>
      </c>
      <c r="D579" s="17" t="n">
        <f aca="false">$C579+DIAS_POR_SEMANA-1</f>
        <v>46586</v>
      </c>
      <c r="E579" s="15" t="s">
        <v>267</v>
      </c>
      <c r="F579" s="8" t="str">
        <f aca="false">IFERROR(INDEX(CADASTRO_PIVOS!$C$6:$C$41,MATCH($E579,CADASTRO_PIVOS!$B$6:$B$41,0)),"?")</f>
        <v>RM04</v>
      </c>
      <c r="G579" s="8" t="str">
        <f aca="false">IFERROR(INDEX(CADASTRO_PIVOS!$D$6:$D$41,MATCH($E579,CADASTRO_PIVOS!$B$6:$B$41,0)),"?")</f>
        <v>TR04</v>
      </c>
      <c r="H579" s="20" t="n">
        <f aca="false">IFERROR(INDEX(CADASTRO_PIVOS!$E$6:$E$41,MATCH($E579,CADASTRO_PIVOS!$B$6:$B$41,0)),0)</f>
        <v>100.41</v>
      </c>
      <c r="I579" s="16" t="n">
        <f aca="false">IFERROR(SUMIFS(ROTACAO_RDM!$B$6:$B$71,ROTACAO_RDM!$D$6:$D$71,$E579,ROTACAO_RDM!$I$6:$I$71,"&lt;="&amp;$C579+INT(DIAS_POR_SEMANA/2),ROTACAO_RDM!$J$6:$J$71,"&gt;="&amp;$C579+INT(DIAS_POR_SEMANA/2)),0)</f>
        <v>6</v>
      </c>
      <c r="J579" s="16" t="n">
        <f aca="false">IFERROR(MATCH($I579,ROTACAO_RDM!$B$6:$B$71,0),0)</f>
        <v>6</v>
      </c>
      <c r="K579" s="8" t="str">
        <f aca="false">IF($J579=0,"SEM CULTURA",INDEX(ROTACAO_RDM!$F$6:$F$71,$J579))</f>
        <v>ALGODAO</v>
      </c>
      <c r="L579" s="8" t="str">
        <f aca="false">IF($J579=0,"",INDEX(ROTACAO_RDM!$G$6:$G$71,$J579))</f>
        <v>FM 911 GLTP</v>
      </c>
      <c r="M579" s="17" t="n">
        <f aca="false">IF($J579=0,"",INDEX(ROTACAO_RDM!$I$6:$I$71,$J579))</f>
        <v>46423</v>
      </c>
      <c r="N579" s="16" t="n">
        <f aca="false">IF($J579=0,0,MAX(0,$C579+INT(DIAS_POR_SEMANA/2)-INDEX(ROTACAO_RDM!$I$6:$I$71,$J579)))</f>
        <v>160</v>
      </c>
      <c r="O579" s="19" t="n">
        <f aca="false">IF($J579=0,0,MIN(1,$N579/MAX(1,INDEX(ROTACAO_RDM!$K$6:$K$71,$J579))))</f>
        <v>0.888888888888889</v>
      </c>
      <c r="P579" s="16" t="n">
        <f aca="false">IF($J579=0,0,IFERROR(MATCH(INDEX(ROTACAO_RDM!$N$6:$N$71,$J579),PARAMETROS_CULTURAS!$B$6:$B$28,0),0))</f>
        <v>4</v>
      </c>
      <c r="Q579" s="8" t="str">
        <f aca="false">IF($P579=0,"-",IF($O579&lt;=INDEX(PARAMETROS_CULTURAS!$F$6:$F$28,$P579),"INICIAL",IF($O579&lt;=INDEX(PARAMETROS_CULTURAS!$F$6:$F$28,$P579)+INDEX(PARAMETROS_CULTURAS!$G$6:$G$28,$P579),"DESENVOLVIMENTO",IF($O579&lt;=INDEX(PARAMETROS_CULTURAS!$F$6:$F$28,$P579)+INDEX(PARAMETROS_CULTURAS!$G$6:$G$28,$P579)+INDEX(PARAMETROS_CULTURAS!$H$6:$H$28,$P579),"MEDIA","FINAL"))))</f>
        <v>FINAL</v>
      </c>
      <c r="R579" s="24" t="n">
        <f aca="false">IF($P579=0,0,IF($O579&lt;=INDEX(PARAMETROS_CULTURAS!$F$6:$F$28,$P579),INDEX(PARAMETROS_CULTURAS!$K$6:$K$28,$P579),IF($O579&lt;=INDEX(PARAMETROS_CULTURAS!$F$6:$F$28,$P579)+INDEX(PARAMETROS_CULTURAS!$G$6:$G$28,$P579),INDEX(PARAMETROS_CULTURAS!$K$6:$K$28,$P579)+(INDEX(PARAMETROS_CULTURAS!$L$6:$L$28,$P579)-INDEX(PARAMETROS_CULTURAS!$K$6:$K$28,$P579))*($O579-INDEX(PARAMETROS_CULTURAS!$F$6:$F$28,$P579))/MAX(INDEX(PARAMETROS_CULTURAS!$G$6:$G$28,$P579),0.0001),IF($O579&lt;=INDEX(PARAMETROS_CULTURAS!$F$6:$F$28,$P579)+INDEX(PARAMETROS_CULTURAS!$G$6:$G$28,$P579)+INDEX(PARAMETROS_CULTURAS!$H$6:$H$28,$P579),INDEX(PARAMETROS_CULTURAS!$L$6:$L$28,$P579),INDEX(PARAMETROS_CULTURAS!$L$6:$L$28,$P579)+(INDEX(PARAMETROS_CULTURAS!$M$6:$M$28,$P579)-INDEX(PARAMETROS_CULTURAS!$L$6:$L$28,$P579))*($O579-INDEX(PARAMETROS_CULTURAS!$F$6:$F$28,$P579)-INDEX(PARAMETROS_CULTURAS!$G$6:$G$28,$P579)-INDEX(PARAMETROS_CULTURAS!$H$6:$H$28,$P579))/MAX(INDEX(PARAMETROS_CULTURAS!$I$6:$I$28,$P579),0.0001)))))</f>
        <v>0.844444444444445</v>
      </c>
      <c r="S579" s="18" t="n">
        <f aca="false">IFERROR(INDEX(SEMANAS!$H$6:$H$71,MATCH($B579,SEMANAS!$B$6:$B$71,0)),0)</f>
        <v>30.1</v>
      </c>
      <c r="T579" s="18" t="n">
        <f aca="false">$R579*$S579</f>
        <v>25.4177777777778</v>
      </c>
      <c r="U579" s="18" t="n">
        <f aca="false">IFERROR(INDEX(SEMANAS!$I$6:$I$71,MATCH($B579,SEMANAS!$B$6:$B$71,0)),0)</f>
        <v>0.7</v>
      </c>
      <c r="V579" s="18" t="n">
        <f aca="false">IFERROR(INDEX(SEMANAS!$J$6:$J$71,MATCH($B579,SEMANAS!$B$6:$B$71,0)),0)</f>
        <v>0.56</v>
      </c>
      <c r="W579" s="18" t="n">
        <f aca="false">MAX(0,$T579-$V579)</f>
        <v>24.8577777777778</v>
      </c>
      <c r="X579" s="19" t="n">
        <f aca="false">IFERROR(INDEX(CADASTRO_PIVOS!$K$6:$K$41,MATCH($E579,CADASTRO_PIVOS!$B$6:$B$41,0)),EFICIENCIA_PADRAO)</f>
        <v>0.85</v>
      </c>
      <c r="Y579" s="18" t="n">
        <f aca="false">IF($X579&lt;=0,0,$W579/$X579)</f>
        <v>29.2444444444444</v>
      </c>
      <c r="Z579" s="16" t="n">
        <f aca="false">$Y579*$H579*MM_PARA_M3_HA</f>
        <v>29364.3466666667</v>
      </c>
      <c r="AA579" s="18" t="n">
        <f aca="false">IFERROR(INDEX(CADASTRO_PIVOS!$I$6:$I$41,MATCH($E579,CADASTRO_PIVOS!$B$6:$B$41,0)),0)</f>
        <v>717.214285714286</v>
      </c>
      <c r="AB579" s="18" t="n">
        <f aca="false">IF($Z579&lt;=0,0,$Z579/$AA579)</f>
        <v>40.9422222222222</v>
      </c>
      <c r="AC579" s="16" t="n">
        <f aca="false">IFERROR(INDEX(SEMANAS!$K$6:$K$71,MATCH($B579,SEMANAS!$B$6:$B$71,0)),0)</f>
        <v>147</v>
      </c>
      <c r="AD579" s="19" t="n">
        <f aca="false">IF($AC579&lt;=0,0,$AB579/$AC579)</f>
        <v>0.278518518518519</v>
      </c>
      <c r="AE579" s="8" t="str">
        <f aca="false">IF($K579="SEM CULTURA","SEM CULTURA",IF($AA579&lt;=0,"DADO PENDENTE",IF($AD579&gt;LIMITE_CRITICO,"INVIAVEL",IF($AD579&gt;LIMITE_ATENCAO,"CRITICO",IF($AD579&gt;LIMITE_CONFORTAVEL,"ATENCAO","OK")))))</f>
        <v>OK</v>
      </c>
      <c r="AF579" s="8" t="str">
        <f aca="false">$B579&amp;"|"&amp;TEXT($AD579,"0.000000")</f>
        <v>46|0.278519</v>
      </c>
      <c r="AG579" s="18" t="n">
        <f aca="false">IF($K579="SEM CULTURA",0,$T579*$H579)</f>
        <v>2552.19906666667</v>
      </c>
      <c r="AH579" s="18" t="n">
        <f aca="false">IF($K579="SEM CULTURA",0,$V579*$H579)</f>
        <v>56.2296</v>
      </c>
      <c r="AI579" s="18" t="n">
        <f aca="false">IF($K579="SEM CULTURA",0,$W579*$H579)</f>
        <v>2495.96946666667</v>
      </c>
      <c r="AJ579" s="18" t="n">
        <f aca="false">IF($K579="SEM CULTURA",0,$S579*$H579)</f>
        <v>3022.341</v>
      </c>
      <c r="AK579" s="8" t="str">
        <f aca="false">$E579&amp;"|"&amp;TEXT($AD579,"0.000000")</f>
        <v>PV 104|0.278519</v>
      </c>
    </row>
    <row r="580" customFormat="false" ht="15" hidden="false" customHeight="false" outlineLevel="0" collapsed="false">
      <c r="B580" s="16" t="n">
        <v>47</v>
      </c>
      <c r="C580" s="17" t="n">
        <f aca="false">DATA_INICIO_SAFRA+($B580-1)*DIAS_POR_SEMANA</f>
        <v>46587</v>
      </c>
      <c r="D580" s="17" t="n">
        <f aca="false">$C580+DIAS_POR_SEMANA-1</f>
        <v>46593</v>
      </c>
      <c r="E580" s="15" t="s">
        <v>267</v>
      </c>
      <c r="F580" s="8" t="str">
        <f aca="false">IFERROR(INDEX(CADASTRO_PIVOS!$C$6:$C$41,MATCH($E580,CADASTRO_PIVOS!$B$6:$B$41,0)),"?")</f>
        <v>RM04</v>
      </c>
      <c r="G580" s="8" t="str">
        <f aca="false">IFERROR(INDEX(CADASTRO_PIVOS!$D$6:$D$41,MATCH($E580,CADASTRO_PIVOS!$B$6:$B$41,0)),"?")</f>
        <v>TR04</v>
      </c>
      <c r="H580" s="20" t="n">
        <f aca="false">IFERROR(INDEX(CADASTRO_PIVOS!$E$6:$E$41,MATCH($E580,CADASTRO_PIVOS!$B$6:$B$41,0)),0)</f>
        <v>100.41</v>
      </c>
      <c r="I580" s="16" t="n">
        <f aca="false">IFERROR(SUMIFS(ROTACAO_RDM!$B$6:$B$71,ROTACAO_RDM!$D$6:$D$71,$E580,ROTACAO_RDM!$I$6:$I$71,"&lt;="&amp;$C580+INT(DIAS_POR_SEMANA/2),ROTACAO_RDM!$J$6:$J$71,"&gt;="&amp;$C580+INT(DIAS_POR_SEMANA/2)),0)</f>
        <v>6</v>
      </c>
      <c r="J580" s="16" t="n">
        <f aca="false">IFERROR(MATCH($I580,ROTACAO_RDM!$B$6:$B$71,0),0)</f>
        <v>6</v>
      </c>
      <c r="K580" s="8" t="str">
        <f aca="false">IF($J580=0,"SEM CULTURA",INDEX(ROTACAO_RDM!$F$6:$F$71,$J580))</f>
        <v>ALGODAO</v>
      </c>
      <c r="L580" s="8" t="str">
        <f aca="false">IF($J580=0,"",INDEX(ROTACAO_RDM!$G$6:$G$71,$J580))</f>
        <v>FM 911 GLTP</v>
      </c>
      <c r="M580" s="17" t="n">
        <f aca="false">IF($J580=0,"",INDEX(ROTACAO_RDM!$I$6:$I$71,$J580))</f>
        <v>46423</v>
      </c>
      <c r="N580" s="16" t="n">
        <f aca="false">IF($J580=0,0,MAX(0,$C580+INT(DIAS_POR_SEMANA/2)-INDEX(ROTACAO_RDM!$I$6:$I$71,$J580)))</f>
        <v>167</v>
      </c>
      <c r="O580" s="19" t="n">
        <f aca="false">IF($J580=0,0,MIN(1,$N580/MAX(1,INDEX(ROTACAO_RDM!$K$6:$K$71,$J580))))</f>
        <v>0.927777777777778</v>
      </c>
      <c r="P580" s="16" t="n">
        <f aca="false">IF($J580=0,0,IFERROR(MATCH(INDEX(ROTACAO_RDM!$N$6:$N$71,$J580),PARAMETROS_CULTURAS!$B$6:$B$28,0),0))</f>
        <v>4</v>
      </c>
      <c r="Q580" s="8" t="str">
        <f aca="false">IF($P580=0,"-",IF($O580&lt;=INDEX(PARAMETROS_CULTURAS!$F$6:$F$28,$P580),"INICIAL",IF($O580&lt;=INDEX(PARAMETROS_CULTURAS!$F$6:$F$28,$P580)+INDEX(PARAMETROS_CULTURAS!$G$6:$G$28,$P580),"DESENVOLVIMENTO",IF($O580&lt;=INDEX(PARAMETROS_CULTURAS!$F$6:$F$28,$P580)+INDEX(PARAMETROS_CULTURAS!$G$6:$G$28,$P580)+INDEX(PARAMETROS_CULTURAS!$H$6:$H$28,$P580),"MEDIA","FINAL"))))</f>
        <v>FINAL</v>
      </c>
      <c r="R580" s="24" t="n">
        <f aca="false">IF($P580=0,0,IF($O580&lt;=INDEX(PARAMETROS_CULTURAS!$F$6:$F$28,$P580),INDEX(PARAMETROS_CULTURAS!$K$6:$K$28,$P580),IF($O580&lt;=INDEX(PARAMETROS_CULTURAS!$F$6:$F$28,$P580)+INDEX(PARAMETROS_CULTURAS!$G$6:$G$28,$P580),INDEX(PARAMETROS_CULTURAS!$K$6:$K$28,$P580)+(INDEX(PARAMETROS_CULTURAS!$L$6:$L$28,$P580)-INDEX(PARAMETROS_CULTURAS!$K$6:$K$28,$P580))*($O580-INDEX(PARAMETROS_CULTURAS!$F$6:$F$28,$P580))/MAX(INDEX(PARAMETROS_CULTURAS!$G$6:$G$28,$P580),0.0001),IF($O580&lt;=INDEX(PARAMETROS_CULTURAS!$F$6:$F$28,$P580)+INDEX(PARAMETROS_CULTURAS!$G$6:$G$28,$P580)+INDEX(PARAMETROS_CULTURAS!$H$6:$H$28,$P580),INDEX(PARAMETROS_CULTURAS!$L$6:$L$28,$P580),INDEX(PARAMETROS_CULTURAS!$L$6:$L$28,$P580)+(INDEX(PARAMETROS_CULTURAS!$M$6:$M$28,$P580)-INDEX(PARAMETROS_CULTURAS!$L$6:$L$28,$P580))*($O580-INDEX(PARAMETROS_CULTURAS!$F$6:$F$28,$P580)-INDEX(PARAMETROS_CULTURAS!$G$6:$G$28,$P580)-INDEX(PARAMETROS_CULTURAS!$H$6:$H$28,$P580))/MAX(INDEX(PARAMETROS_CULTURAS!$I$6:$I$28,$P580),0.0001)))))</f>
        <v>0.758888888888889</v>
      </c>
      <c r="S580" s="18" t="n">
        <f aca="false">IFERROR(INDEX(SEMANAS!$H$6:$H$71,MATCH($B580,SEMANAS!$B$6:$B$71,0)),0)</f>
        <v>30.1</v>
      </c>
      <c r="T580" s="18" t="n">
        <f aca="false">$R580*$S580</f>
        <v>22.8425555555556</v>
      </c>
      <c r="U580" s="18" t="n">
        <f aca="false">IFERROR(INDEX(SEMANAS!$I$6:$I$71,MATCH($B580,SEMANAS!$B$6:$B$71,0)),0)</f>
        <v>0.7</v>
      </c>
      <c r="V580" s="18" t="n">
        <f aca="false">IFERROR(INDEX(SEMANAS!$J$6:$J$71,MATCH($B580,SEMANAS!$B$6:$B$71,0)),0)</f>
        <v>0.56</v>
      </c>
      <c r="W580" s="18" t="n">
        <f aca="false">MAX(0,$T580-$V580)</f>
        <v>22.2825555555556</v>
      </c>
      <c r="X580" s="19" t="n">
        <f aca="false">IFERROR(INDEX(CADASTRO_PIVOS!$K$6:$K$41,MATCH($E580,CADASTRO_PIVOS!$B$6:$B$41,0)),EFICIENCIA_PADRAO)</f>
        <v>0.85</v>
      </c>
      <c r="Y580" s="18" t="n">
        <f aca="false">IF($X580&lt;=0,0,$W580/$X580)</f>
        <v>26.2147712418301</v>
      </c>
      <c r="Z580" s="16" t="n">
        <f aca="false">$Y580*$H580*MM_PARA_M3_HA</f>
        <v>26322.2518039216</v>
      </c>
      <c r="AA580" s="18" t="n">
        <f aca="false">IFERROR(INDEX(CADASTRO_PIVOS!$I$6:$I$41,MATCH($E580,CADASTRO_PIVOS!$B$6:$B$41,0)),0)</f>
        <v>717.214285714286</v>
      </c>
      <c r="AB580" s="18" t="n">
        <f aca="false">IF($Z580&lt;=0,0,$Z580/$AA580)</f>
        <v>36.7006797385621</v>
      </c>
      <c r="AC580" s="16" t="n">
        <f aca="false">IFERROR(INDEX(SEMANAS!$K$6:$K$71,MATCH($B580,SEMANAS!$B$6:$B$71,0)),0)</f>
        <v>147</v>
      </c>
      <c r="AD580" s="19" t="n">
        <f aca="false">IF($AC580&lt;=0,0,$AB580/$AC580)</f>
        <v>0.249664488017429</v>
      </c>
      <c r="AE580" s="8" t="str">
        <f aca="false">IF($K580="SEM CULTURA","SEM CULTURA",IF($AA580&lt;=0,"DADO PENDENTE",IF($AD580&gt;LIMITE_CRITICO,"INVIAVEL",IF($AD580&gt;LIMITE_ATENCAO,"CRITICO",IF($AD580&gt;LIMITE_CONFORTAVEL,"ATENCAO","OK")))))</f>
        <v>OK</v>
      </c>
      <c r="AF580" s="8" t="str">
        <f aca="false">$B580&amp;"|"&amp;TEXT($AD580,"0.000000")</f>
        <v>47|0.249664</v>
      </c>
      <c r="AG580" s="18" t="n">
        <f aca="false">IF($K580="SEM CULTURA",0,$T580*$H580)</f>
        <v>2293.62100333333</v>
      </c>
      <c r="AH580" s="18" t="n">
        <f aca="false">IF($K580="SEM CULTURA",0,$V580*$H580)</f>
        <v>56.2296</v>
      </c>
      <c r="AI580" s="18" t="n">
        <f aca="false">IF($K580="SEM CULTURA",0,$W580*$H580)</f>
        <v>2237.39140333333</v>
      </c>
      <c r="AJ580" s="18" t="n">
        <f aca="false">IF($K580="SEM CULTURA",0,$S580*$H580)</f>
        <v>3022.341</v>
      </c>
      <c r="AK580" s="8" t="str">
        <f aca="false">$E580&amp;"|"&amp;TEXT($AD580,"0.000000")</f>
        <v>PV 104|0.249664</v>
      </c>
    </row>
    <row r="581" customFormat="false" ht="15" hidden="false" customHeight="false" outlineLevel="0" collapsed="false">
      <c r="B581" s="16" t="n">
        <v>48</v>
      </c>
      <c r="C581" s="17" t="n">
        <f aca="false">DATA_INICIO_SAFRA+($B581-1)*DIAS_POR_SEMANA</f>
        <v>46594</v>
      </c>
      <c r="D581" s="17" t="n">
        <f aca="false">$C581+DIAS_POR_SEMANA-1</f>
        <v>46600</v>
      </c>
      <c r="E581" s="15" t="s">
        <v>267</v>
      </c>
      <c r="F581" s="8" t="str">
        <f aca="false">IFERROR(INDEX(CADASTRO_PIVOS!$C$6:$C$41,MATCH($E581,CADASTRO_PIVOS!$B$6:$B$41,0)),"?")</f>
        <v>RM04</v>
      </c>
      <c r="G581" s="8" t="str">
        <f aca="false">IFERROR(INDEX(CADASTRO_PIVOS!$D$6:$D$41,MATCH($E581,CADASTRO_PIVOS!$B$6:$B$41,0)),"?")</f>
        <v>TR04</v>
      </c>
      <c r="H581" s="20" t="n">
        <f aca="false">IFERROR(INDEX(CADASTRO_PIVOS!$E$6:$E$41,MATCH($E581,CADASTRO_PIVOS!$B$6:$B$41,0)),0)</f>
        <v>100.41</v>
      </c>
      <c r="I581" s="16" t="n">
        <f aca="false">IFERROR(SUMIFS(ROTACAO_RDM!$B$6:$B$71,ROTACAO_RDM!$D$6:$D$71,$E581,ROTACAO_RDM!$I$6:$I$71,"&lt;="&amp;$C581+INT(DIAS_POR_SEMANA/2),ROTACAO_RDM!$J$6:$J$71,"&gt;="&amp;$C581+INT(DIAS_POR_SEMANA/2)),0)</f>
        <v>6</v>
      </c>
      <c r="J581" s="16" t="n">
        <f aca="false">IFERROR(MATCH($I581,ROTACAO_RDM!$B$6:$B$71,0),0)</f>
        <v>6</v>
      </c>
      <c r="K581" s="8" t="str">
        <f aca="false">IF($J581=0,"SEM CULTURA",INDEX(ROTACAO_RDM!$F$6:$F$71,$J581))</f>
        <v>ALGODAO</v>
      </c>
      <c r="L581" s="8" t="str">
        <f aca="false">IF($J581=0,"",INDEX(ROTACAO_RDM!$G$6:$G$71,$J581))</f>
        <v>FM 911 GLTP</v>
      </c>
      <c r="M581" s="17" t="n">
        <f aca="false">IF($J581=0,"",INDEX(ROTACAO_RDM!$I$6:$I$71,$J581))</f>
        <v>46423</v>
      </c>
      <c r="N581" s="16" t="n">
        <f aca="false">IF($J581=0,0,MAX(0,$C581+INT(DIAS_POR_SEMANA/2)-INDEX(ROTACAO_RDM!$I$6:$I$71,$J581)))</f>
        <v>174</v>
      </c>
      <c r="O581" s="19" t="n">
        <f aca="false">IF($J581=0,0,MIN(1,$N581/MAX(1,INDEX(ROTACAO_RDM!$K$6:$K$71,$J581))))</f>
        <v>0.966666666666667</v>
      </c>
      <c r="P581" s="16" t="n">
        <f aca="false">IF($J581=0,0,IFERROR(MATCH(INDEX(ROTACAO_RDM!$N$6:$N$71,$J581),PARAMETROS_CULTURAS!$B$6:$B$28,0),0))</f>
        <v>4</v>
      </c>
      <c r="Q581" s="8" t="str">
        <f aca="false">IF($P581=0,"-",IF($O581&lt;=INDEX(PARAMETROS_CULTURAS!$F$6:$F$28,$P581),"INICIAL",IF($O581&lt;=INDEX(PARAMETROS_CULTURAS!$F$6:$F$28,$P581)+INDEX(PARAMETROS_CULTURAS!$G$6:$G$28,$P581),"DESENVOLVIMENTO",IF($O581&lt;=INDEX(PARAMETROS_CULTURAS!$F$6:$F$28,$P581)+INDEX(PARAMETROS_CULTURAS!$G$6:$G$28,$P581)+INDEX(PARAMETROS_CULTURAS!$H$6:$H$28,$P581),"MEDIA","FINAL"))))</f>
        <v>FINAL</v>
      </c>
      <c r="R581" s="24" t="n">
        <f aca="false">IF($P581=0,0,IF($O581&lt;=INDEX(PARAMETROS_CULTURAS!$F$6:$F$28,$P581),INDEX(PARAMETROS_CULTURAS!$K$6:$K$28,$P581),IF($O581&lt;=INDEX(PARAMETROS_CULTURAS!$F$6:$F$28,$P581)+INDEX(PARAMETROS_CULTURAS!$G$6:$G$28,$P581),INDEX(PARAMETROS_CULTURAS!$K$6:$K$28,$P581)+(INDEX(PARAMETROS_CULTURAS!$L$6:$L$28,$P581)-INDEX(PARAMETROS_CULTURAS!$K$6:$K$28,$P581))*($O581-INDEX(PARAMETROS_CULTURAS!$F$6:$F$28,$P581))/MAX(INDEX(PARAMETROS_CULTURAS!$G$6:$G$28,$P581),0.0001),IF($O581&lt;=INDEX(PARAMETROS_CULTURAS!$F$6:$F$28,$P581)+INDEX(PARAMETROS_CULTURAS!$G$6:$G$28,$P581)+INDEX(PARAMETROS_CULTURAS!$H$6:$H$28,$P581),INDEX(PARAMETROS_CULTURAS!$L$6:$L$28,$P581),INDEX(PARAMETROS_CULTURAS!$L$6:$L$28,$P581)+(INDEX(PARAMETROS_CULTURAS!$M$6:$M$28,$P581)-INDEX(PARAMETROS_CULTURAS!$L$6:$L$28,$P581))*($O581-INDEX(PARAMETROS_CULTURAS!$F$6:$F$28,$P581)-INDEX(PARAMETROS_CULTURAS!$G$6:$G$28,$P581)-INDEX(PARAMETROS_CULTURAS!$H$6:$H$28,$P581))/MAX(INDEX(PARAMETROS_CULTURAS!$I$6:$I$28,$P581),0.0001)))))</f>
        <v>0.673333333333333</v>
      </c>
      <c r="S581" s="18" t="n">
        <f aca="false">IFERROR(INDEX(SEMANAS!$H$6:$H$71,MATCH($B581,SEMANAS!$B$6:$B$71,0)),0)</f>
        <v>31</v>
      </c>
      <c r="T581" s="18" t="n">
        <f aca="false">$R581*$S581</f>
        <v>20.8733333333333</v>
      </c>
      <c r="U581" s="18" t="n">
        <f aca="false">IFERROR(INDEX(SEMANAS!$I$6:$I$71,MATCH($B581,SEMANAS!$B$6:$B$71,0)),0)</f>
        <v>0.76</v>
      </c>
      <c r="V581" s="18" t="n">
        <f aca="false">IFERROR(INDEX(SEMANAS!$J$6:$J$71,MATCH($B581,SEMANAS!$B$6:$B$71,0)),0)</f>
        <v>0.608</v>
      </c>
      <c r="W581" s="18" t="n">
        <f aca="false">MAX(0,$T581-$V581)</f>
        <v>20.2653333333333</v>
      </c>
      <c r="X581" s="19" t="n">
        <f aca="false">IFERROR(INDEX(CADASTRO_PIVOS!$K$6:$K$41,MATCH($E581,CADASTRO_PIVOS!$B$6:$B$41,0)),EFICIENCIA_PADRAO)</f>
        <v>0.85</v>
      </c>
      <c r="Y581" s="18" t="n">
        <f aca="false">IF($X581&lt;=0,0,$W581/$X581)</f>
        <v>23.841568627451</v>
      </c>
      <c r="Z581" s="16" t="n">
        <f aca="false">$Y581*$H581*MM_PARA_M3_HA</f>
        <v>23939.3190588235</v>
      </c>
      <c r="AA581" s="18" t="n">
        <f aca="false">IFERROR(INDEX(CADASTRO_PIVOS!$I$6:$I$41,MATCH($E581,CADASTRO_PIVOS!$B$6:$B$41,0)),0)</f>
        <v>717.214285714286</v>
      </c>
      <c r="AB581" s="18" t="n">
        <f aca="false">IF($Z581&lt;=0,0,$Z581/$AA581)</f>
        <v>33.3781960784314</v>
      </c>
      <c r="AC581" s="16" t="n">
        <f aca="false">IFERROR(INDEX(SEMANAS!$K$6:$K$71,MATCH($B581,SEMANAS!$B$6:$B$71,0)),0)</f>
        <v>147</v>
      </c>
      <c r="AD581" s="19" t="n">
        <f aca="false">IF($AC581&lt;=0,0,$AB581/$AC581)</f>
        <v>0.227062558356676</v>
      </c>
      <c r="AE581" s="8" t="str">
        <f aca="false">IF($K581="SEM CULTURA","SEM CULTURA",IF($AA581&lt;=0,"DADO PENDENTE",IF($AD581&gt;LIMITE_CRITICO,"INVIAVEL",IF($AD581&gt;LIMITE_ATENCAO,"CRITICO",IF($AD581&gt;LIMITE_CONFORTAVEL,"ATENCAO","OK")))))</f>
        <v>OK</v>
      </c>
      <c r="AF581" s="8" t="str">
        <f aca="false">$B581&amp;"|"&amp;TEXT($AD581,"0.000000")</f>
        <v>48|0.227063</v>
      </c>
      <c r="AG581" s="18" t="n">
        <f aca="false">IF($K581="SEM CULTURA",0,$T581*$H581)</f>
        <v>2095.8914</v>
      </c>
      <c r="AH581" s="18" t="n">
        <f aca="false">IF($K581="SEM CULTURA",0,$V581*$H581)</f>
        <v>61.04928</v>
      </c>
      <c r="AI581" s="18" t="n">
        <f aca="false">IF($K581="SEM CULTURA",0,$W581*$H581)</f>
        <v>2034.84212</v>
      </c>
      <c r="AJ581" s="18" t="n">
        <f aca="false">IF($K581="SEM CULTURA",0,$S581*$H581)</f>
        <v>3112.71</v>
      </c>
      <c r="AK581" s="8" t="str">
        <f aca="false">$E581&amp;"|"&amp;TEXT($AD581,"0.000000")</f>
        <v>PV 104|0.227063</v>
      </c>
    </row>
    <row r="582" customFormat="false" ht="15" hidden="false" customHeight="false" outlineLevel="0" collapsed="false">
      <c r="B582" s="16" t="n">
        <v>49</v>
      </c>
      <c r="C582" s="17" t="n">
        <f aca="false">DATA_INICIO_SAFRA+($B582-1)*DIAS_POR_SEMANA</f>
        <v>46601</v>
      </c>
      <c r="D582" s="17" t="n">
        <f aca="false">$C582+DIAS_POR_SEMANA-1</f>
        <v>46607</v>
      </c>
      <c r="E582" s="15" t="s">
        <v>267</v>
      </c>
      <c r="F582" s="8" t="str">
        <f aca="false">IFERROR(INDEX(CADASTRO_PIVOS!$C$6:$C$41,MATCH($E582,CADASTRO_PIVOS!$B$6:$B$41,0)),"?")</f>
        <v>RM04</v>
      </c>
      <c r="G582" s="8" t="str">
        <f aca="false">IFERROR(INDEX(CADASTRO_PIVOS!$D$6:$D$41,MATCH($E582,CADASTRO_PIVOS!$B$6:$B$41,0)),"?")</f>
        <v>TR04</v>
      </c>
      <c r="H582" s="20" t="n">
        <f aca="false">IFERROR(INDEX(CADASTRO_PIVOS!$E$6:$E$41,MATCH($E582,CADASTRO_PIVOS!$B$6:$B$41,0)),0)</f>
        <v>100.41</v>
      </c>
      <c r="I582" s="16" t="n">
        <f aca="false">IFERROR(SUMIFS(ROTACAO_RDM!$B$6:$B$71,ROTACAO_RDM!$D$6:$D$71,$E582,ROTACAO_RDM!$I$6:$I$71,"&lt;="&amp;$C582+INT(DIAS_POR_SEMANA/2),ROTACAO_RDM!$J$6:$J$71,"&gt;="&amp;$C582+INT(DIAS_POR_SEMANA/2)),0)</f>
        <v>0</v>
      </c>
      <c r="J582" s="16" t="n">
        <f aca="false">IFERROR(MATCH($I582,ROTACAO_RDM!$B$6:$B$71,0),0)</f>
        <v>0</v>
      </c>
      <c r="K582" s="8" t="str">
        <f aca="false">IF($J582=0,"SEM CULTURA",INDEX(ROTACAO_RDM!$F$6:$F$71,$J582))</f>
        <v>SEM CULTURA</v>
      </c>
      <c r="L582" s="8" t="str">
        <f aca="false">IF($J582=0,"",INDEX(ROTACAO_RDM!$G$6:$G$71,$J582))</f>
        <v/>
      </c>
      <c r="M582" s="17" t="str">
        <f aca="false">IF($J582=0,"",INDEX(ROTACAO_RDM!$I$6:$I$71,$J582))</f>
        <v/>
      </c>
      <c r="N582" s="16" t="n">
        <f aca="false">IF($J582=0,0,MAX(0,$C582+INT(DIAS_POR_SEMANA/2)-INDEX(ROTACAO_RDM!$I$6:$I$71,$J582)))</f>
        <v>0</v>
      </c>
      <c r="O582" s="19" t="n">
        <f aca="false">IF($J582=0,0,MIN(1,$N582/MAX(1,INDEX(ROTACAO_RDM!$K$6:$K$71,$J582))))</f>
        <v>0</v>
      </c>
      <c r="P582" s="16" t="n">
        <f aca="false">IF($J582=0,0,IFERROR(MATCH(INDEX(ROTACAO_RDM!$N$6:$N$71,$J582),PARAMETROS_CULTURAS!$B$6:$B$28,0),0))</f>
        <v>0</v>
      </c>
      <c r="Q582" s="8" t="str">
        <f aca="false">IF($P582=0,"-",IF($O582&lt;=INDEX(PARAMETROS_CULTURAS!$F$6:$F$28,$P582),"INICIAL",IF($O582&lt;=INDEX(PARAMETROS_CULTURAS!$F$6:$F$28,$P582)+INDEX(PARAMETROS_CULTURAS!$G$6:$G$28,$P582),"DESENVOLVIMENTO",IF($O582&lt;=INDEX(PARAMETROS_CULTURAS!$F$6:$F$28,$P582)+INDEX(PARAMETROS_CULTURAS!$G$6:$G$28,$P582)+INDEX(PARAMETROS_CULTURAS!$H$6:$H$28,$P582),"MEDIA","FINAL"))))</f>
        <v>-</v>
      </c>
      <c r="R582" s="24" t="n">
        <f aca="false">IF($P582=0,0,IF($O582&lt;=INDEX(PARAMETROS_CULTURAS!$F$6:$F$28,$P582),INDEX(PARAMETROS_CULTURAS!$K$6:$K$28,$P582),IF($O582&lt;=INDEX(PARAMETROS_CULTURAS!$F$6:$F$28,$P582)+INDEX(PARAMETROS_CULTURAS!$G$6:$G$28,$P582),INDEX(PARAMETROS_CULTURAS!$K$6:$K$28,$P582)+(INDEX(PARAMETROS_CULTURAS!$L$6:$L$28,$P582)-INDEX(PARAMETROS_CULTURAS!$K$6:$K$28,$P582))*($O582-INDEX(PARAMETROS_CULTURAS!$F$6:$F$28,$P582))/MAX(INDEX(PARAMETROS_CULTURAS!$G$6:$G$28,$P582),0.0001),IF($O582&lt;=INDEX(PARAMETROS_CULTURAS!$F$6:$F$28,$P582)+INDEX(PARAMETROS_CULTURAS!$G$6:$G$28,$P582)+INDEX(PARAMETROS_CULTURAS!$H$6:$H$28,$P582),INDEX(PARAMETROS_CULTURAS!$L$6:$L$28,$P582),INDEX(PARAMETROS_CULTURAS!$L$6:$L$28,$P582)+(INDEX(PARAMETROS_CULTURAS!$M$6:$M$28,$P582)-INDEX(PARAMETROS_CULTURAS!$L$6:$L$28,$P582))*($O582-INDEX(PARAMETROS_CULTURAS!$F$6:$F$28,$P582)-INDEX(PARAMETROS_CULTURAS!$G$6:$G$28,$P582)-INDEX(PARAMETROS_CULTURAS!$H$6:$H$28,$P582))/MAX(INDEX(PARAMETROS_CULTURAS!$I$6:$I$28,$P582),0.0001)))))</f>
        <v>0</v>
      </c>
      <c r="S582" s="18" t="n">
        <f aca="false">IFERROR(INDEX(SEMANAS!$H$6:$H$71,MATCH($B582,SEMANAS!$B$6:$B$71,0)),0)</f>
        <v>36.4</v>
      </c>
      <c r="T582" s="18" t="n">
        <f aca="false">$R582*$S582</f>
        <v>0</v>
      </c>
      <c r="U582" s="18" t="n">
        <f aca="false">IFERROR(INDEX(SEMANAS!$I$6:$I$71,MATCH($B582,SEMANAS!$B$6:$B$71,0)),0)</f>
        <v>1.12</v>
      </c>
      <c r="V582" s="18" t="n">
        <f aca="false">IFERROR(INDEX(SEMANAS!$J$6:$J$71,MATCH($B582,SEMANAS!$B$6:$B$71,0)),0)</f>
        <v>0.896</v>
      </c>
      <c r="W582" s="18" t="n">
        <f aca="false">MAX(0,$T582-$V582)</f>
        <v>0</v>
      </c>
      <c r="X582" s="19" t="n">
        <f aca="false">IFERROR(INDEX(CADASTRO_PIVOS!$K$6:$K$41,MATCH($E582,CADASTRO_PIVOS!$B$6:$B$41,0)),EFICIENCIA_PADRAO)</f>
        <v>0.85</v>
      </c>
      <c r="Y582" s="18" t="n">
        <f aca="false">IF($X582&lt;=0,0,$W582/$X582)</f>
        <v>0</v>
      </c>
      <c r="Z582" s="16" t="n">
        <f aca="false">$Y582*$H582*MM_PARA_M3_HA</f>
        <v>0</v>
      </c>
      <c r="AA582" s="18" t="n">
        <f aca="false">IFERROR(INDEX(CADASTRO_PIVOS!$I$6:$I$41,MATCH($E582,CADASTRO_PIVOS!$B$6:$B$41,0)),0)</f>
        <v>717.214285714286</v>
      </c>
      <c r="AB582" s="18" t="n">
        <f aca="false">IF($Z582&lt;=0,0,$Z582/$AA582)</f>
        <v>0</v>
      </c>
      <c r="AC582" s="16" t="n">
        <f aca="false">IFERROR(INDEX(SEMANAS!$K$6:$K$71,MATCH($B582,SEMANAS!$B$6:$B$71,0)),0)</f>
        <v>147</v>
      </c>
      <c r="AD582" s="19" t="n">
        <f aca="false">IF($AC582&lt;=0,0,$AB582/$AC582)</f>
        <v>0</v>
      </c>
      <c r="AE582" s="8" t="str">
        <f aca="false">IF($K582="SEM CULTURA","SEM CULTURA",IF($AA582&lt;=0,"DADO PENDENTE",IF($AD582&gt;LIMITE_CRITICO,"INVIAVEL",IF($AD582&gt;LIMITE_ATENCAO,"CRITICO",IF($AD582&gt;LIMITE_CONFORTAVEL,"ATENCAO","OK")))))</f>
        <v>SEM CULTURA</v>
      </c>
      <c r="AF582" s="8" t="str">
        <f aca="false">$B582&amp;"|"&amp;TEXT($AD582,"0.000000")</f>
        <v>49|0.000000</v>
      </c>
      <c r="AG582" s="18" t="n">
        <f aca="false">IF($K582="SEM CULTURA",0,$T582*$H582)</f>
        <v>0</v>
      </c>
      <c r="AH582" s="18" t="n">
        <f aca="false">IF($K582="SEM CULTURA",0,$V582*$H582)</f>
        <v>0</v>
      </c>
      <c r="AI582" s="18" t="n">
        <f aca="false">IF($K582="SEM CULTURA",0,$W582*$H582)</f>
        <v>0</v>
      </c>
      <c r="AJ582" s="18" t="n">
        <f aca="false">IF($K582="SEM CULTURA",0,$S582*$H582)</f>
        <v>0</v>
      </c>
      <c r="AK582" s="8" t="str">
        <f aca="false">$E582&amp;"|"&amp;TEXT($AD582,"0.000000")</f>
        <v>PV 104|0.000000</v>
      </c>
    </row>
    <row r="583" customFormat="false" ht="15" hidden="false" customHeight="false" outlineLevel="0" collapsed="false">
      <c r="B583" s="16" t="n">
        <v>50</v>
      </c>
      <c r="C583" s="17" t="n">
        <f aca="false">DATA_INICIO_SAFRA+($B583-1)*DIAS_POR_SEMANA</f>
        <v>46608</v>
      </c>
      <c r="D583" s="17" t="n">
        <f aca="false">$C583+DIAS_POR_SEMANA-1</f>
        <v>46614</v>
      </c>
      <c r="E583" s="15" t="s">
        <v>267</v>
      </c>
      <c r="F583" s="8" t="str">
        <f aca="false">IFERROR(INDEX(CADASTRO_PIVOS!$C$6:$C$41,MATCH($E583,CADASTRO_PIVOS!$B$6:$B$41,0)),"?")</f>
        <v>RM04</v>
      </c>
      <c r="G583" s="8" t="str">
        <f aca="false">IFERROR(INDEX(CADASTRO_PIVOS!$D$6:$D$41,MATCH($E583,CADASTRO_PIVOS!$B$6:$B$41,0)),"?")</f>
        <v>TR04</v>
      </c>
      <c r="H583" s="20" t="n">
        <f aca="false">IFERROR(INDEX(CADASTRO_PIVOS!$E$6:$E$41,MATCH($E583,CADASTRO_PIVOS!$B$6:$B$41,0)),0)</f>
        <v>100.41</v>
      </c>
      <c r="I583" s="16" t="n">
        <f aca="false">IFERROR(SUMIFS(ROTACAO_RDM!$B$6:$B$71,ROTACAO_RDM!$D$6:$D$71,$E583,ROTACAO_RDM!$I$6:$I$71,"&lt;="&amp;$C583+INT(DIAS_POR_SEMANA/2),ROTACAO_RDM!$J$6:$J$71,"&gt;="&amp;$C583+INT(DIAS_POR_SEMANA/2)),0)</f>
        <v>0</v>
      </c>
      <c r="J583" s="16" t="n">
        <f aca="false">IFERROR(MATCH($I583,ROTACAO_RDM!$B$6:$B$71,0),0)</f>
        <v>0</v>
      </c>
      <c r="K583" s="8" t="str">
        <f aca="false">IF($J583=0,"SEM CULTURA",INDEX(ROTACAO_RDM!$F$6:$F$71,$J583))</f>
        <v>SEM CULTURA</v>
      </c>
      <c r="L583" s="8" t="str">
        <f aca="false">IF($J583=0,"",INDEX(ROTACAO_RDM!$G$6:$G$71,$J583))</f>
        <v/>
      </c>
      <c r="M583" s="17" t="str">
        <f aca="false">IF($J583=0,"",INDEX(ROTACAO_RDM!$I$6:$I$71,$J583))</f>
        <v/>
      </c>
      <c r="N583" s="16" t="n">
        <f aca="false">IF($J583=0,0,MAX(0,$C583+INT(DIAS_POR_SEMANA/2)-INDEX(ROTACAO_RDM!$I$6:$I$71,$J583)))</f>
        <v>0</v>
      </c>
      <c r="O583" s="19" t="n">
        <f aca="false">IF($J583=0,0,MIN(1,$N583/MAX(1,INDEX(ROTACAO_RDM!$K$6:$K$71,$J583))))</f>
        <v>0</v>
      </c>
      <c r="P583" s="16" t="n">
        <f aca="false">IF($J583=0,0,IFERROR(MATCH(INDEX(ROTACAO_RDM!$N$6:$N$71,$J583),PARAMETROS_CULTURAS!$B$6:$B$28,0),0))</f>
        <v>0</v>
      </c>
      <c r="Q583" s="8" t="str">
        <f aca="false">IF($P583=0,"-",IF($O583&lt;=INDEX(PARAMETROS_CULTURAS!$F$6:$F$28,$P583),"INICIAL",IF($O583&lt;=INDEX(PARAMETROS_CULTURAS!$F$6:$F$28,$P583)+INDEX(PARAMETROS_CULTURAS!$G$6:$G$28,$P583),"DESENVOLVIMENTO",IF($O583&lt;=INDEX(PARAMETROS_CULTURAS!$F$6:$F$28,$P583)+INDEX(PARAMETROS_CULTURAS!$G$6:$G$28,$P583)+INDEX(PARAMETROS_CULTURAS!$H$6:$H$28,$P583),"MEDIA","FINAL"))))</f>
        <v>-</v>
      </c>
      <c r="R583" s="24" t="n">
        <f aca="false">IF($P583=0,0,IF($O583&lt;=INDEX(PARAMETROS_CULTURAS!$F$6:$F$28,$P583),INDEX(PARAMETROS_CULTURAS!$K$6:$K$28,$P583),IF($O583&lt;=INDEX(PARAMETROS_CULTURAS!$F$6:$F$28,$P583)+INDEX(PARAMETROS_CULTURAS!$G$6:$G$28,$P583),INDEX(PARAMETROS_CULTURAS!$K$6:$K$28,$P583)+(INDEX(PARAMETROS_CULTURAS!$L$6:$L$28,$P583)-INDEX(PARAMETROS_CULTURAS!$K$6:$K$28,$P583))*($O583-INDEX(PARAMETROS_CULTURAS!$F$6:$F$28,$P583))/MAX(INDEX(PARAMETROS_CULTURAS!$G$6:$G$28,$P583),0.0001),IF($O583&lt;=INDEX(PARAMETROS_CULTURAS!$F$6:$F$28,$P583)+INDEX(PARAMETROS_CULTURAS!$G$6:$G$28,$P583)+INDEX(PARAMETROS_CULTURAS!$H$6:$H$28,$P583),INDEX(PARAMETROS_CULTURAS!$L$6:$L$28,$P583),INDEX(PARAMETROS_CULTURAS!$L$6:$L$28,$P583)+(INDEX(PARAMETROS_CULTURAS!$M$6:$M$28,$P583)-INDEX(PARAMETROS_CULTURAS!$L$6:$L$28,$P583))*($O583-INDEX(PARAMETROS_CULTURAS!$F$6:$F$28,$P583)-INDEX(PARAMETROS_CULTURAS!$G$6:$G$28,$P583)-INDEX(PARAMETROS_CULTURAS!$H$6:$H$28,$P583))/MAX(INDEX(PARAMETROS_CULTURAS!$I$6:$I$28,$P583),0.0001)))))</f>
        <v>0</v>
      </c>
      <c r="S583" s="18" t="n">
        <f aca="false">IFERROR(INDEX(SEMANAS!$H$6:$H$71,MATCH($B583,SEMANAS!$B$6:$B$71,0)),0)</f>
        <v>36.4</v>
      </c>
      <c r="T583" s="18" t="n">
        <f aca="false">$R583*$S583</f>
        <v>0</v>
      </c>
      <c r="U583" s="18" t="n">
        <f aca="false">IFERROR(INDEX(SEMANAS!$I$6:$I$71,MATCH($B583,SEMANAS!$B$6:$B$71,0)),0)</f>
        <v>1.12</v>
      </c>
      <c r="V583" s="18" t="n">
        <f aca="false">IFERROR(INDEX(SEMANAS!$J$6:$J$71,MATCH($B583,SEMANAS!$B$6:$B$71,0)),0)</f>
        <v>0.896</v>
      </c>
      <c r="W583" s="18" t="n">
        <f aca="false">MAX(0,$T583-$V583)</f>
        <v>0</v>
      </c>
      <c r="X583" s="19" t="n">
        <f aca="false">IFERROR(INDEX(CADASTRO_PIVOS!$K$6:$K$41,MATCH($E583,CADASTRO_PIVOS!$B$6:$B$41,0)),EFICIENCIA_PADRAO)</f>
        <v>0.85</v>
      </c>
      <c r="Y583" s="18" t="n">
        <f aca="false">IF($X583&lt;=0,0,$W583/$X583)</f>
        <v>0</v>
      </c>
      <c r="Z583" s="16" t="n">
        <f aca="false">$Y583*$H583*MM_PARA_M3_HA</f>
        <v>0</v>
      </c>
      <c r="AA583" s="18" t="n">
        <f aca="false">IFERROR(INDEX(CADASTRO_PIVOS!$I$6:$I$41,MATCH($E583,CADASTRO_PIVOS!$B$6:$B$41,0)),0)</f>
        <v>717.214285714286</v>
      </c>
      <c r="AB583" s="18" t="n">
        <f aca="false">IF($Z583&lt;=0,0,$Z583/$AA583)</f>
        <v>0</v>
      </c>
      <c r="AC583" s="16" t="n">
        <f aca="false">IFERROR(INDEX(SEMANAS!$K$6:$K$71,MATCH($B583,SEMANAS!$B$6:$B$71,0)),0)</f>
        <v>147</v>
      </c>
      <c r="AD583" s="19" t="n">
        <f aca="false">IF($AC583&lt;=0,0,$AB583/$AC583)</f>
        <v>0</v>
      </c>
      <c r="AE583" s="8" t="str">
        <f aca="false">IF($K583="SEM CULTURA","SEM CULTURA",IF($AA583&lt;=0,"DADO PENDENTE",IF($AD583&gt;LIMITE_CRITICO,"INVIAVEL",IF($AD583&gt;LIMITE_ATENCAO,"CRITICO",IF($AD583&gt;LIMITE_CONFORTAVEL,"ATENCAO","OK")))))</f>
        <v>SEM CULTURA</v>
      </c>
      <c r="AF583" s="8" t="str">
        <f aca="false">$B583&amp;"|"&amp;TEXT($AD583,"0.000000")</f>
        <v>50|0.000000</v>
      </c>
      <c r="AG583" s="18" t="n">
        <f aca="false">IF($K583="SEM CULTURA",0,$T583*$H583)</f>
        <v>0</v>
      </c>
      <c r="AH583" s="18" t="n">
        <f aca="false">IF($K583="SEM CULTURA",0,$V583*$H583)</f>
        <v>0</v>
      </c>
      <c r="AI583" s="18" t="n">
        <f aca="false">IF($K583="SEM CULTURA",0,$W583*$H583)</f>
        <v>0</v>
      </c>
      <c r="AJ583" s="18" t="n">
        <f aca="false">IF($K583="SEM CULTURA",0,$S583*$H583)</f>
        <v>0</v>
      </c>
      <c r="AK583" s="8" t="str">
        <f aca="false">$E583&amp;"|"&amp;TEXT($AD583,"0.000000")</f>
        <v>PV 104|0.000000</v>
      </c>
    </row>
    <row r="584" customFormat="false" ht="15" hidden="false" customHeight="false" outlineLevel="0" collapsed="false">
      <c r="B584" s="16" t="n">
        <v>51</v>
      </c>
      <c r="C584" s="17" t="n">
        <f aca="false">DATA_INICIO_SAFRA+($B584-1)*DIAS_POR_SEMANA</f>
        <v>46615</v>
      </c>
      <c r="D584" s="17" t="n">
        <f aca="false">$C584+DIAS_POR_SEMANA-1</f>
        <v>46621</v>
      </c>
      <c r="E584" s="15" t="s">
        <v>267</v>
      </c>
      <c r="F584" s="8" t="str">
        <f aca="false">IFERROR(INDEX(CADASTRO_PIVOS!$C$6:$C$41,MATCH($E584,CADASTRO_PIVOS!$B$6:$B$41,0)),"?")</f>
        <v>RM04</v>
      </c>
      <c r="G584" s="8" t="str">
        <f aca="false">IFERROR(INDEX(CADASTRO_PIVOS!$D$6:$D$41,MATCH($E584,CADASTRO_PIVOS!$B$6:$B$41,0)),"?")</f>
        <v>TR04</v>
      </c>
      <c r="H584" s="20" t="n">
        <f aca="false">IFERROR(INDEX(CADASTRO_PIVOS!$E$6:$E$41,MATCH($E584,CADASTRO_PIVOS!$B$6:$B$41,0)),0)</f>
        <v>100.41</v>
      </c>
      <c r="I584" s="16" t="n">
        <f aca="false">IFERROR(SUMIFS(ROTACAO_RDM!$B$6:$B$71,ROTACAO_RDM!$D$6:$D$71,$E584,ROTACAO_RDM!$I$6:$I$71,"&lt;="&amp;$C584+INT(DIAS_POR_SEMANA/2),ROTACAO_RDM!$J$6:$J$71,"&gt;="&amp;$C584+INT(DIAS_POR_SEMANA/2)),0)</f>
        <v>0</v>
      </c>
      <c r="J584" s="16" t="n">
        <f aca="false">IFERROR(MATCH($I584,ROTACAO_RDM!$B$6:$B$71,0),0)</f>
        <v>0</v>
      </c>
      <c r="K584" s="8" t="str">
        <f aca="false">IF($J584=0,"SEM CULTURA",INDEX(ROTACAO_RDM!$F$6:$F$71,$J584))</f>
        <v>SEM CULTURA</v>
      </c>
      <c r="L584" s="8" t="str">
        <f aca="false">IF($J584=0,"",INDEX(ROTACAO_RDM!$G$6:$G$71,$J584))</f>
        <v/>
      </c>
      <c r="M584" s="17" t="str">
        <f aca="false">IF($J584=0,"",INDEX(ROTACAO_RDM!$I$6:$I$71,$J584))</f>
        <v/>
      </c>
      <c r="N584" s="16" t="n">
        <f aca="false">IF($J584=0,0,MAX(0,$C584+INT(DIAS_POR_SEMANA/2)-INDEX(ROTACAO_RDM!$I$6:$I$71,$J584)))</f>
        <v>0</v>
      </c>
      <c r="O584" s="19" t="n">
        <f aca="false">IF($J584=0,0,MIN(1,$N584/MAX(1,INDEX(ROTACAO_RDM!$K$6:$K$71,$J584))))</f>
        <v>0</v>
      </c>
      <c r="P584" s="16" t="n">
        <f aca="false">IF($J584=0,0,IFERROR(MATCH(INDEX(ROTACAO_RDM!$N$6:$N$71,$J584),PARAMETROS_CULTURAS!$B$6:$B$28,0),0))</f>
        <v>0</v>
      </c>
      <c r="Q584" s="8" t="str">
        <f aca="false">IF($P584=0,"-",IF($O584&lt;=INDEX(PARAMETROS_CULTURAS!$F$6:$F$28,$P584),"INICIAL",IF($O584&lt;=INDEX(PARAMETROS_CULTURAS!$F$6:$F$28,$P584)+INDEX(PARAMETROS_CULTURAS!$G$6:$G$28,$P584),"DESENVOLVIMENTO",IF($O584&lt;=INDEX(PARAMETROS_CULTURAS!$F$6:$F$28,$P584)+INDEX(PARAMETROS_CULTURAS!$G$6:$G$28,$P584)+INDEX(PARAMETROS_CULTURAS!$H$6:$H$28,$P584),"MEDIA","FINAL"))))</f>
        <v>-</v>
      </c>
      <c r="R584" s="24" t="n">
        <f aca="false">IF($P584=0,0,IF($O584&lt;=INDEX(PARAMETROS_CULTURAS!$F$6:$F$28,$P584),INDEX(PARAMETROS_CULTURAS!$K$6:$K$28,$P584),IF($O584&lt;=INDEX(PARAMETROS_CULTURAS!$F$6:$F$28,$P584)+INDEX(PARAMETROS_CULTURAS!$G$6:$G$28,$P584),INDEX(PARAMETROS_CULTURAS!$K$6:$K$28,$P584)+(INDEX(PARAMETROS_CULTURAS!$L$6:$L$28,$P584)-INDEX(PARAMETROS_CULTURAS!$K$6:$K$28,$P584))*($O584-INDEX(PARAMETROS_CULTURAS!$F$6:$F$28,$P584))/MAX(INDEX(PARAMETROS_CULTURAS!$G$6:$G$28,$P584),0.0001),IF($O584&lt;=INDEX(PARAMETROS_CULTURAS!$F$6:$F$28,$P584)+INDEX(PARAMETROS_CULTURAS!$G$6:$G$28,$P584)+INDEX(PARAMETROS_CULTURAS!$H$6:$H$28,$P584),INDEX(PARAMETROS_CULTURAS!$L$6:$L$28,$P584),INDEX(PARAMETROS_CULTURAS!$L$6:$L$28,$P584)+(INDEX(PARAMETROS_CULTURAS!$M$6:$M$28,$P584)-INDEX(PARAMETROS_CULTURAS!$L$6:$L$28,$P584))*($O584-INDEX(PARAMETROS_CULTURAS!$F$6:$F$28,$P584)-INDEX(PARAMETROS_CULTURAS!$G$6:$G$28,$P584)-INDEX(PARAMETROS_CULTURAS!$H$6:$H$28,$P584))/MAX(INDEX(PARAMETROS_CULTURAS!$I$6:$I$28,$P584),0.0001)))))</f>
        <v>0</v>
      </c>
      <c r="S584" s="18" t="n">
        <f aca="false">IFERROR(INDEX(SEMANAS!$H$6:$H$71,MATCH($B584,SEMANAS!$B$6:$B$71,0)),0)</f>
        <v>36.4</v>
      </c>
      <c r="T584" s="18" t="n">
        <f aca="false">$R584*$S584</f>
        <v>0</v>
      </c>
      <c r="U584" s="18" t="n">
        <f aca="false">IFERROR(INDEX(SEMANAS!$I$6:$I$71,MATCH($B584,SEMANAS!$B$6:$B$71,0)),0)</f>
        <v>1.12</v>
      </c>
      <c r="V584" s="18" t="n">
        <f aca="false">IFERROR(INDEX(SEMANAS!$J$6:$J$71,MATCH($B584,SEMANAS!$B$6:$B$71,0)),0)</f>
        <v>0.896</v>
      </c>
      <c r="W584" s="18" t="n">
        <f aca="false">MAX(0,$T584-$V584)</f>
        <v>0</v>
      </c>
      <c r="X584" s="19" t="n">
        <f aca="false">IFERROR(INDEX(CADASTRO_PIVOS!$K$6:$K$41,MATCH($E584,CADASTRO_PIVOS!$B$6:$B$41,0)),EFICIENCIA_PADRAO)</f>
        <v>0.85</v>
      </c>
      <c r="Y584" s="18" t="n">
        <f aca="false">IF($X584&lt;=0,0,$W584/$X584)</f>
        <v>0</v>
      </c>
      <c r="Z584" s="16" t="n">
        <f aca="false">$Y584*$H584*MM_PARA_M3_HA</f>
        <v>0</v>
      </c>
      <c r="AA584" s="18" t="n">
        <f aca="false">IFERROR(INDEX(CADASTRO_PIVOS!$I$6:$I$41,MATCH($E584,CADASTRO_PIVOS!$B$6:$B$41,0)),0)</f>
        <v>717.214285714286</v>
      </c>
      <c r="AB584" s="18" t="n">
        <f aca="false">IF($Z584&lt;=0,0,$Z584/$AA584)</f>
        <v>0</v>
      </c>
      <c r="AC584" s="16" t="n">
        <f aca="false">IFERROR(INDEX(SEMANAS!$K$6:$K$71,MATCH($B584,SEMANAS!$B$6:$B$71,0)),0)</f>
        <v>147</v>
      </c>
      <c r="AD584" s="19" t="n">
        <f aca="false">IF($AC584&lt;=0,0,$AB584/$AC584)</f>
        <v>0</v>
      </c>
      <c r="AE584" s="8" t="str">
        <f aca="false">IF($K584="SEM CULTURA","SEM CULTURA",IF($AA584&lt;=0,"DADO PENDENTE",IF($AD584&gt;LIMITE_CRITICO,"INVIAVEL",IF($AD584&gt;LIMITE_ATENCAO,"CRITICO",IF($AD584&gt;LIMITE_CONFORTAVEL,"ATENCAO","OK")))))</f>
        <v>SEM CULTURA</v>
      </c>
      <c r="AF584" s="8" t="str">
        <f aca="false">$B584&amp;"|"&amp;TEXT($AD584,"0.000000")</f>
        <v>51|0.000000</v>
      </c>
      <c r="AG584" s="18" t="n">
        <f aca="false">IF($K584="SEM CULTURA",0,$T584*$H584)</f>
        <v>0</v>
      </c>
      <c r="AH584" s="18" t="n">
        <f aca="false">IF($K584="SEM CULTURA",0,$V584*$H584)</f>
        <v>0</v>
      </c>
      <c r="AI584" s="18" t="n">
        <f aca="false">IF($K584="SEM CULTURA",0,$W584*$H584)</f>
        <v>0</v>
      </c>
      <c r="AJ584" s="18" t="n">
        <f aca="false">IF($K584="SEM CULTURA",0,$S584*$H584)</f>
        <v>0</v>
      </c>
      <c r="AK584" s="8" t="str">
        <f aca="false">$E584&amp;"|"&amp;TEXT($AD584,"0.000000")</f>
        <v>PV 104|0.000000</v>
      </c>
    </row>
    <row r="585" customFormat="false" ht="15" hidden="false" customHeight="false" outlineLevel="0" collapsed="false">
      <c r="B585" s="16" t="n">
        <v>52</v>
      </c>
      <c r="C585" s="17" t="n">
        <f aca="false">DATA_INICIO_SAFRA+($B585-1)*DIAS_POR_SEMANA</f>
        <v>46622</v>
      </c>
      <c r="D585" s="17" t="n">
        <f aca="false">$C585+DIAS_POR_SEMANA-1</f>
        <v>46628</v>
      </c>
      <c r="E585" s="15" t="s">
        <v>267</v>
      </c>
      <c r="F585" s="8" t="str">
        <f aca="false">IFERROR(INDEX(CADASTRO_PIVOS!$C$6:$C$41,MATCH($E585,CADASTRO_PIVOS!$B$6:$B$41,0)),"?")</f>
        <v>RM04</v>
      </c>
      <c r="G585" s="8" t="str">
        <f aca="false">IFERROR(INDEX(CADASTRO_PIVOS!$D$6:$D$41,MATCH($E585,CADASTRO_PIVOS!$B$6:$B$41,0)),"?")</f>
        <v>TR04</v>
      </c>
      <c r="H585" s="20" t="n">
        <f aca="false">IFERROR(INDEX(CADASTRO_PIVOS!$E$6:$E$41,MATCH($E585,CADASTRO_PIVOS!$B$6:$B$41,0)),0)</f>
        <v>100.41</v>
      </c>
      <c r="I585" s="16" t="n">
        <f aca="false">IFERROR(SUMIFS(ROTACAO_RDM!$B$6:$B$71,ROTACAO_RDM!$D$6:$D$71,$E585,ROTACAO_RDM!$I$6:$I$71,"&lt;="&amp;$C585+INT(DIAS_POR_SEMANA/2),ROTACAO_RDM!$J$6:$J$71,"&gt;="&amp;$C585+INT(DIAS_POR_SEMANA/2)),0)</f>
        <v>0</v>
      </c>
      <c r="J585" s="16" t="n">
        <f aca="false">IFERROR(MATCH($I585,ROTACAO_RDM!$B$6:$B$71,0),0)</f>
        <v>0</v>
      </c>
      <c r="K585" s="8" t="str">
        <f aca="false">IF($J585=0,"SEM CULTURA",INDEX(ROTACAO_RDM!$F$6:$F$71,$J585))</f>
        <v>SEM CULTURA</v>
      </c>
      <c r="L585" s="8" t="str">
        <f aca="false">IF($J585=0,"",INDEX(ROTACAO_RDM!$G$6:$G$71,$J585))</f>
        <v/>
      </c>
      <c r="M585" s="17" t="str">
        <f aca="false">IF($J585=0,"",INDEX(ROTACAO_RDM!$I$6:$I$71,$J585))</f>
        <v/>
      </c>
      <c r="N585" s="16" t="n">
        <f aca="false">IF($J585=0,0,MAX(0,$C585+INT(DIAS_POR_SEMANA/2)-INDEX(ROTACAO_RDM!$I$6:$I$71,$J585)))</f>
        <v>0</v>
      </c>
      <c r="O585" s="19" t="n">
        <f aca="false">IF($J585=0,0,MIN(1,$N585/MAX(1,INDEX(ROTACAO_RDM!$K$6:$K$71,$J585))))</f>
        <v>0</v>
      </c>
      <c r="P585" s="16" t="n">
        <f aca="false">IF($J585=0,0,IFERROR(MATCH(INDEX(ROTACAO_RDM!$N$6:$N$71,$J585),PARAMETROS_CULTURAS!$B$6:$B$28,0),0))</f>
        <v>0</v>
      </c>
      <c r="Q585" s="8" t="str">
        <f aca="false">IF($P585=0,"-",IF($O585&lt;=INDEX(PARAMETROS_CULTURAS!$F$6:$F$28,$P585),"INICIAL",IF($O585&lt;=INDEX(PARAMETROS_CULTURAS!$F$6:$F$28,$P585)+INDEX(PARAMETROS_CULTURAS!$G$6:$G$28,$P585),"DESENVOLVIMENTO",IF($O585&lt;=INDEX(PARAMETROS_CULTURAS!$F$6:$F$28,$P585)+INDEX(PARAMETROS_CULTURAS!$G$6:$G$28,$P585)+INDEX(PARAMETROS_CULTURAS!$H$6:$H$28,$P585),"MEDIA","FINAL"))))</f>
        <v>-</v>
      </c>
      <c r="R585" s="24" t="n">
        <f aca="false">IF($P585=0,0,IF($O585&lt;=INDEX(PARAMETROS_CULTURAS!$F$6:$F$28,$P585),INDEX(PARAMETROS_CULTURAS!$K$6:$K$28,$P585),IF($O585&lt;=INDEX(PARAMETROS_CULTURAS!$F$6:$F$28,$P585)+INDEX(PARAMETROS_CULTURAS!$G$6:$G$28,$P585),INDEX(PARAMETROS_CULTURAS!$K$6:$K$28,$P585)+(INDEX(PARAMETROS_CULTURAS!$L$6:$L$28,$P585)-INDEX(PARAMETROS_CULTURAS!$K$6:$K$28,$P585))*($O585-INDEX(PARAMETROS_CULTURAS!$F$6:$F$28,$P585))/MAX(INDEX(PARAMETROS_CULTURAS!$G$6:$G$28,$P585),0.0001),IF($O585&lt;=INDEX(PARAMETROS_CULTURAS!$F$6:$F$28,$P585)+INDEX(PARAMETROS_CULTURAS!$G$6:$G$28,$P585)+INDEX(PARAMETROS_CULTURAS!$H$6:$H$28,$P585),INDEX(PARAMETROS_CULTURAS!$L$6:$L$28,$P585),INDEX(PARAMETROS_CULTURAS!$L$6:$L$28,$P585)+(INDEX(PARAMETROS_CULTURAS!$M$6:$M$28,$P585)-INDEX(PARAMETROS_CULTURAS!$L$6:$L$28,$P585))*($O585-INDEX(PARAMETROS_CULTURAS!$F$6:$F$28,$P585)-INDEX(PARAMETROS_CULTURAS!$G$6:$G$28,$P585)-INDEX(PARAMETROS_CULTURAS!$H$6:$H$28,$P585))/MAX(INDEX(PARAMETROS_CULTURAS!$I$6:$I$28,$P585),0.0001)))))</f>
        <v>0</v>
      </c>
      <c r="S585" s="18" t="n">
        <f aca="false">IFERROR(INDEX(SEMANAS!$H$6:$H$71,MATCH($B585,SEMANAS!$B$6:$B$71,0)),0)</f>
        <v>36.4</v>
      </c>
      <c r="T585" s="18" t="n">
        <f aca="false">$R585*$S585</f>
        <v>0</v>
      </c>
      <c r="U585" s="18" t="n">
        <f aca="false">IFERROR(INDEX(SEMANAS!$I$6:$I$71,MATCH($B585,SEMANAS!$B$6:$B$71,0)),0)</f>
        <v>1.12</v>
      </c>
      <c r="V585" s="18" t="n">
        <f aca="false">IFERROR(INDEX(SEMANAS!$J$6:$J$71,MATCH($B585,SEMANAS!$B$6:$B$71,0)),0)</f>
        <v>0.896</v>
      </c>
      <c r="W585" s="18" t="n">
        <f aca="false">MAX(0,$T585-$V585)</f>
        <v>0</v>
      </c>
      <c r="X585" s="19" t="n">
        <f aca="false">IFERROR(INDEX(CADASTRO_PIVOS!$K$6:$K$41,MATCH($E585,CADASTRO_PIVOS!$B$6:$B$41,0)),EFICIENCIA_PADRAO)</f>
        <v>0.85</v>
      </c>
      <c r="Y585" s="18" t="n">
        <f aca="false">IF($X585&lt;=0,0,$W585/$X585)</f>
        <v>0</v>
      </c>
      <c r="Z585" s="16" t="n">
        <f aca="false">$Y585*$H585*MM_PARA_M3_HA</f>
        <v>0</v>
      </c>
      <c r="AA585" s="18" t="n">
        <f aca="false">IFERROR(INDEX(CADASTRO_PIVOS!$I$6:$I$41,MATCH($E585,CADASTRO_PIVOS!$B$6:$B$41,0)),0)</f>
        <v>717.214285714286</v>
      </c>
      <c r="AB585" s="18" t="n">
        <f aca="false">IF($Z585&lt;=0,0,$Z585/$AA585)</f>
        <v>0</v>
      </c>
      <c r="AC585" s="16" t="n">
        <f aca="false">IFERROR(INDEX(SEMANAS!$K$6:$K$71,MATCH($B585,SEMANAS!$B$6:$B$71,0)),0)</f>
        <v>147</v>
      </c>
      <c r="AD585" s="19" t="n">
        <f aca="false">IF($AC585&lt;=0,0,$AB585/$AC585)</f>
        <v>0</v>
      </c>
      <c r="AE585" s="8" t="str">
        <f aca="false">IF($K585="SEM CULTURA","SEM CULTURA",IF($AA585&lt;=0,"DADO PENDENTE",IF($AD585&gt;LIMITE_CRITICO,"INVIAVEL",IF($AD585&gt;LIMITE_ATENCAO,"CRITICO",IF($AD585&gt;LIMITE_CONFORTAVEL,"ATENCAO","OK")))))</f>
        <v>SEM CULTURA</v>
      </c>
      <c r="AF585" s="8" t="str">
        <f aca="false">$B585&amp;"|"&amp;TEXT($AD585,"0.000000")</f>
        <v>52|0.000000</v>
      </c>
      <c r="AG585" s="18" t="n">
        <f aca="false">IF($K585="SEM CULTURA",0,$T585*$H585)</f>
        <v>0</v>
      </c>
      <c r="AH585" s="18" t="n">
        <f aca="false">IF($K585="SEM CULTURA",0,$V585*$H585)</f>
        <v>0</v>
      </c>
      <c r="AI585" s="18" t="n">
        <f aca="false">IF($K585="SEM CULTURA",0,$W585*$H585)</f>
        <v>0</v>
      </c>
      <c r="AJ585" s="18" t="n">
        <f aca="false">IF($K585="SEM CULTURA",0,$S585*$H585)</f>
        <v>0</v>
      </c>
      <c r="AK585" s="8" t="str">
        <f aca="false">$E585&amp;"|"&amp;TEXT($AD585,"0.000000")</f>
        <v>PV 104|0.000000</v>
      </c>
    </row>
    <row r="586" customFormat="false" ht="15" hidden="false" customHeight="false" outlineLevel="0" collapsed="false">
      <c r="B586" s="16" t="n">
        <v>53</v>
      </c>
      <c r="C586" s="17" t="n">
        <f aca="false">DATA_INICIO_SAFRA+($B586-1)*DIAS_POR_SEMANA</f>
        <v>46629</v>
      </c>
      <c r="D586" s="17" t="n">
        <f aca="false">$C586+DIAS_POR_SEMANA-1</f>
        <v>46635</v>
      </c>
      <c r="E586" s="15" t="s">
        <v>267</v>
      </c>
      <c r="F586" s="8" t="str">
        <f aca="false">IFERROR(INDEX(CADASTRO_PIVOS!$C$6:$C$41,MATCH($E586,CADASTRO_PIVOS!$B$6:$B$41,0)),"?")</f>
        <v>RM04</v>
      </c>
      <c r="G586" s="8" t="str">
        <f aca="false">IFERROR(INDEX(CADASTRO_PIVOS!$D$6:$D$41,MATCH($E586,CADASTRO_PIVOS!$B$6:$B$41,0)),"?")</f>
        <v>TR04</v>
      </c>
      <c r="H586" s="20" t="n">
        <f aca="false">IFERROR(INDEX(CADASTRO_PIVOS!$E$6:$E$41,MATCH($E586,CADASTRO_PIVOS!$B$6:$B$41,0)),0)</f>
        <v>100.41</v>
      </c>
      <c r="I586" s="16" t="n">
        <f aca="false">IFERROR(SUMIFS(ROTACAO_RDM!$B$6:$B$71,ROTACAO_RDM!$D$6:$D$71,$E586,ROTACAO_RDM!$I$6:$I$71,"&lt;="&amp;$C586+INT(DIAS_POR_SEMANA/2),ROTACAO_RDM!$J$6:$J$71,"&gt;="&amp;$C586+INT(DIAS_POR_SEMANA/2)),0)</f>
        <v>0</v>
      </c>
      <c r="J586" s="16" t="n">
        <f aca="false">IFERROR(MATCH($I586,ROTACAO_RDM!$B$6:$B$71,0),0)</f>
        <v>0</v>
      </c>
      <c r="K586" s="8" t="str">
        <f aca="false">IF($J586=0,"SEM CULTURA",INDEX(ROTACAO_RDM!$F$6:$F$71,$J586))</f>
        <v>SEM CULTURA</v>
      </c>
      <c r="L586" s="8" t="str">
        <f aca="false">IF($J586=0,"",INDEX(ROTACAO_RDM!$G$6:$G$71,$J586))</f>
        <v/>
      </c>
      <c r="M586" s="17" t="str">
        <f aca="false">IF($J586=0,"",INDEX(ROTACAO_RDM!$I$6:$I$71,$J586))</f>
        <v/>
      </c>
      <c r="N586" s="16" t="n">
        <f aca="false">IF($J586=0,0,MAX(0,$C586+INT(DIAS_POR_SEMANA/2)-INDEX(ROTACAO_RDM!$I$6:$I$71,$J586)))</f>
        <v>0</v>
      </c>
      <c r="O586" s="19" t="n">
        <f aca="false">IF($J586=0,0,MIN(1,$N586/MAX(1,INDEX(ROTACAO_RDM!$K$6:$K$71,$J586))))</f>
        <v>0</v>
      </c>
      <c r="P586" s="16" t="n">
        <f aca="false">IF($J586=0,0,IFERROR(MATCH(INDEX(ROTACAO_RDM!$N$6:$N$71,$J586),PARAMETROS_CULTURAS!$B$6:$B$28,0),0))</f>
        <v>0</v>
      </c>
      <c r="Q586" s="8" t="str">
        <f aca="false">IF($P586=0,"-",IF($O586&lt;=INDEX(PARAMETROS_CULTURAS!$F$6:$F$28,$P586),"INICIAL",IF($O586&lt;=INDEX(PARAMETROS_CULTURAS!$F$6:$F$28,$P586)+INDEX(PARAMETROS_CULTURAS!$G$6:$G$28,$P586),"DESENVOLVIMENTO",IF($O586&lt;=INDEX(PARAMETROS_CULTURAS!$F$6:$F$28,$P586)+INDEX(PARAMETROS_CULTURAS!$G$6:$G$28,$P586)+INDEX(PARAMETROS_CULTURAS!$H$6:$H$28,$P586),"MEDIA","FINAL"))))</f>
        <v>-</v>
      </c>
      <c r="R586" s="24" t="n">
        <f aca="false">IF($P586=0,0,IF($O586&lt;=INDEX(PARAMETROS_CULTURAS!$F$6:$F$28,$P586),INDEX(PARAMETROS_CULTURAS!$K$6:$K$28,$P586),IF($O586&lt;=INDEX(PARAMETROS_CULTURAS!$F$6:$F$28,$P586)+INDEX(PARAMETROS_CULTURAS!$G$6:$G$28,$P586),INDEX(PARAMETROS_CULTURAS!$K$6:$K$28,$P586)+(INDEX(PARAMETROS_CULTURAS!$L$6:$L$28,$P586)-INDEX(PARAMETROS_CULTURAS!$K$6:$K$28,$P586))*($O586-INDEX(PARAMETROS_CULTURAS!$F$6:$F$28,$P586))/MAX(INDEX(PARAMETROS_CULTURAS!$G$6:$G$28,$P586),0.0001),IF($O586&lt;=INDEX(PARAMETROS_CULTURAS!$F$6:$F$28,$P586)+INDEX(PARAMETROS_CULTURAS!$G$6:$G$28,$P586)+INDEX(PARAMETROS_CULTURAS!$H$6:$H$28,$P586),INDEX(PARAMETROS_CULTURAS!$L$6:$L$28,$P586),INDEX(PARAMETROS_CULTURAS!$L$6:$L$28,$P586)+(INDEX(PARAMETROS_CULTURAS!$M$6:$M$28,$P586)-INDEX(PARAMETROS_CULTURAS!$L$6:$L$28,$P586))*($O586-INDEX(PARAMETROS_CULTURAS!$F$6:$F$28,$P586)-INDEX(PARAMETROS_CULTURAS!$G$6:$G$28,$P586)-INDEX(PARAMETROS_CULTURAS!$H$6:$H$28,$P586))/MAX(INDEX(PARAMETROS_CULTURAS!$I$6:$I$28,$P586),0.0001)))))</f>
        <v>0</v>
      </c>
      <c r="S586" s="18" t="n">
        <f aca="false">IFERROR(INDEX(SEMANAS!$H$6:$H$71,MATCH($B586,SEMANAS!$B$6:$B$71,0)),0)</f>
        <v>39.4</v>
      </c>
      <c r="T586" s="18" t="n">
        <f aca="false">$R586*$S586</f>
        <v>0</v>
      </c>
      <c r="U586" s="18" t="n">
        <f aca="false">IFERROR(INDEX(SEMANAS!$I$6:$I$71,MATCH($B586,SEMANAS!$B$6:$B$71,0)),0)</f>
        <v>5.32</v>
      </c>
      <c r="V586" s="18" t="n">
        <f aca="false">IFERROR(INDEX(SEMANAS!$J$6:$J$71,MATCH($B586,SEMANAS!$B$6:$B$71,0)),0)</f>
        <v>4.256</v>
      </c>
      <c r="W586" s="18" t="n">
        <f aca="false">MAX(0,$T586-$V586)</f>
        <v>0</v>
      </c>
      <c r="X586" s="19" t="n">
        <f aca="false">IFERROR(INDEX(CADASTRO_PIVOS!$K$6:$K$41,MATCH($E586,CADASTRO_PIVOS!$B$6:$B$41,0)),EFICIENCIA_PADRAO)</f>
        <v>0.85</v>
      </c>
      <c r="Y586" s="18" t="n">
        <f aca="false">IF($X586&lt;=0,0,$W586/$X586)</f>
        <v>0</v>
      </c>
      <c r="Z586" s="16" t="n">
        <f aca="false">$Y586*$H586*MM_PARA_M3_HA</f>
        <v>0</v>
      </c>
      <c r="AA586" s="18" t="n">
        <f aca="false">IFERROR(INDEX(CADASTRO_PIVOS!$I$6:$I$41,MATCH($E586,CADASTRO_PIVOS!$B$6:$B$41,0)),0)</f>
        <v>717.214285714286</v>
      </c>
      <c r="AB586" s="18" t="n">
        <f aca="false">IF($Z586&lt;=0,0,$Z586/$AA586)</f>
        <v>0</v>
      </c>
      <c r="AC586" s="16" t="n">
        <f aca="false">IFERROR(INDEX(SEMANAS!$K$6:$K$71,MATCH($B586,SEMANAS!$B$6:$B$71,0)),0)</f>
        <v>147</v>
      </c>
      <c r="AD586" s="19" t="n">
        <f aca="false">IF($AC586&lt;=0,0,$AB586/$AC586)</f>
        <v>0</v>
      </c>
      <c r="AE586" s="8" t="str">
        <f aca="false">IF($K586="SEM CULTURA","SEM CULTURA",IF($AA586&lt;=0,"DADO PENDENTE",IF($AD586&gt;LIMITE_CRITICO,"INVIAVEL",IF($AD586&gt;LIMITE_ATENCAO,"CRITICO",IF($AD586&gt;LIMITE_CONFORTAVEL,"ATENCAO","OK")))))</f>
        <v>SEM CULTURA</v>
      </c>
      <c r="AF586" s="8" t="str">
        <f aca="false">$B586&amp;"|"&amp;TEXT($AD586,"0.000000")</f>
        <v>53|0.000000</v>
      </c>
      <c r="AG586" s="18" t="n">
        <f aca="false">IF($K586="SEM CULTURA",0,$T586*$H586)</f>
        <v>0</v>
      </c>
      <c r="AH586" s="18" t="n">
        <f aca="false">IF($K586="SEM CULTURA",0,$V586*$H586)</f>
        <v>0</v>
      </c>
      <c r="AI586" s="18" t="n">
        <f aca="false">IF($K586="SEM CULTURA",0,$W586*$H586)</f>
        <v>0</v>
      </c>
      <c r="AJ586" s="18" t="n">
        <f aca="false">IF($K586="SEM CULTURA",0,$S586*$H586)</f>
        <v>0</v>
      </c>
      <c r="AK586" s="8" t="str">
        <f aca="false">$E586&amp;"|"&amp;TEXT($AD586,"0.000000")</f>
        <v>PV 104|0.000000</v>
      </c>
    </row>
    <row r="587" customFormat="false" ht="15" hidden="false" customHeight="false" outlineLevel="0" collapsed="false">
      <c r="B587" s="16" t="n">
        <v>54</v>
      </c>
      <c r="C587" s="17" t="n">
        <f aca="false">DATA_INICIO_SAFRA+($B587-1)*DIAS_POR_SEMANA</f>
        <v>46636</v>
      </c>
      <c r="D587" s="17" t="n">
        <f aca="false">$C587+DIAS_POR_SEMANA-1</f>
        <v>46642</v>
      </c>
      <c r="E587" s="15" t="s">
        <v>267</v>
      </c>
      <c r="F587" s="8" t="str">
        <f aca="false">IFERROR(INDEX(CADASTRO_PIVOS!$C$6:$C$41,MATCH($E587,CADASTRO_PIVOS!$B$6:$B$41,0)),"?")</f>
        <v>RM04</v>
      </c>
      <c r="G587" s="8" t="str">
        <f aca="false">IFERROR(INDEX(CADASTRO_PIVOS!$D$6:$D$41,MATCH($E587,CADASTRO_PIVOS!$B$6:$B$41,0)),"?")</f>
        <v>TR04</v>
      </c>
      <c r="H587" s="20" t="n">
        <f aca="false">IFERROR(INDEX(CADASTRO_PIVOS!$E$6:$E$41,MATCH($E587,CADASTRO_PIVOS!$B$6:$B$41,0)),0)</f>
        <v>100.41</v>
      </c>
      <c r="I587" s="16" t="n">
        <f aca="false">IFERROR(SUMIFS(ROTACAO_RDM!$B$6:$B$71,ROTACAO_RDM!$D$6:$D$71,$E587,ROTACAO_RDM!$I$6:$I$71,"&lt;="&amp;$C587+INT(DIAS_POR_SEMANA/2),ROTACAO_RDM!$J$6:$J$71,"&gt;="&amp;$C587+INT(DIAS_POR_SEMANA/2)),0)</f>
        <v>0</v>
      </c>
      <c r="J587" s="16" t="n">
        <f aca="false">IFERROR(MATCH($I587,ROTACAO_RDM!$B$6:$B$71,0),0)</f>
        <v>0</v>
      </c>
      <c r="K587" s="8" t="str">
        <f aca="false">IF($J587=0,"SEM CULTURA",INDEX(ROTACAO_RDM!$F$6:$F$71,$J587))</f>
        <v>SEM CULTURA</v>
      </c>
      <c r="L587" s="8" t="str">
        <f aca="false">IF($J587=0,"",INDEX(ROTACAO_RDM!$G$6:$G$71,$J587))</f>
        <v/>
      </c>
      <c r="M587" s="17" t="str">
        <f aca="false">IF($J587=0,"",INDEX(ROTACAO_RDM!$I$6:$I$71,$J587))</f>
        <v/>
      </c>
      <c r="N587" s="16" t="n">
        <f aca="false">IF($J587=0,0,MAX(0,$C587+INT(DIAS_POR_SEMANA/2)-INDEX(ROTACAO_RDM!$I$6:$I$71,$J587)))</f>
        <v>0</v>
      </c>
      <c r="O587" s="19" t="n">
        <f aca="false">IF($J587=0,0,MIN(1,$N587/MAX(1,INDEX(ROTACAO_RDM!$K$6:$K$71,$J587))))</f>
        <v>0</v>
      </c>
      <c r="P587" s="16" t="n">
        <f aca="false">IF($J587=0,0,IFERROR(MATCH(INDEX(ROTACAO_RDM!$N$6:$N$71,$J587),PARAMETROS_CULTURAS!$B$6:$B$28,0),0))</f>
        <v>0</v>
      </c>
      <c r="Q587" s="8" t="str">
        <f aca="false">IF($P587=0,"-",IF($O587&lt;=INDEX(PARAMETROS_CULTURAS!$F$6:$F$28,$P587),"INICIAL",IF($O587&lt;=INDEX(PARAMETROS_CULTURAS!$F$6:$F$28,$P587)+INDEX(PARAMETROS_CULTURAS!$G$6:$G$28,$P587),"DESENVOLVIMENTO",IF($O587&lt;=INDEX(PARAMETROS_CULTURAS!$F$6:$F$28,$P587)+INDEX(PARAMETROS_CULTURAS!$G$6:$G$28,$P587)+INDEX(PARAMETROS_CULTURAS!$H$6:$H$28,$P587),"MEDIA","FINAL"))))</f>
        <v>-</v>
      </c>
      <c r="R587" s="24" t="n">
        <f aca="false">IF($P587=0,0,IF($O587&lt;=INDEX(PARAMETROS_CULTURAS!$F$6:$F$28,$P587),INDEX(PARAMETROS_CULTURAS!$K$6:$K$28,$P587),IF($O587&lt;=INDEX(PARAMETROS_CULTURAS!$F$6:$F$28,$P587)+INDEX(PARAMETROS_CULTURAS!$G$6:$G$28,$P587),INDEX(PARAMETROS_CULTURAS!$K$6:$K$28,$P587)+(INDEX(PARAMETROS_CULTURAS!$L$6:$L$28,$P587)-INDEX(PARAMETROS_CULTURAS!$K$6:$K$28,$P587))*($O587-INDEX(PARAMETROS_CULTURAS!$F$6:$F$28,$P587))/MAX(INDEX(PARAMETROS_CULTURAS!$G$6:$G$28,$P587),0.0001),IF($O587&lt;=INDEX(PARAMETROS_CULTURAS!$F$6:$F$28,$P587)+INDEX(PARAMETROS_CULTURAS!$G$6:$G$28,$P587)+INDEX(PARAMETROS_CULTURAS!$H$6:$H$28,$P587),INDEX(PARAMETROS_CULTURAS!$L$6:$L$28,$P587),INDEX(PARAMETROS_CULTURAS!$L$6:$L$28,$P587)+(INDEX(PARAMETROS_CULTURAS!$M$6:$M$28,$P587)-INDEX(PARAMETROS_CULTURAS!$L$6:$L$28,$P587))*($O587-INDEX(PARAMETROS_CULTURAS!$F$6:$F$28,$P587)-INDEX(PARAMETROS_CULTURAS!$G$6:$G$28,$P587)-INDEX(PARAMETROS_CULTURAS!$H$6:$H$28,$P587))/MAX(INDEX(PARAMETROS_CULTURAS!$I$6:$I$28,$P587),0.0001)))))</f>
        <v>0</v>
      </c>
      <c r="S587" s="18" t="n">
        <f aca="false">IFERROR(INDEX(SEMANAS!$H$6:$H$71,MATCH($B587,SEMANAS!$B$6:$B$71,0)),0)</f>
        <v>40.6</v>
      </c>
      <c r="T587" s="18" t="n">
        <f aca="false">$R587*$S587</f>
        <v>0</v>
      </c>
      <c r="U587" s="18" t="n">
        <f aca="false">IFERROR(INDEX(SEMANAS!$I$6:$I$71,MATCH($B587,SEMANAS!$B$6:$B$71,0)),0)</f>
        <v>7</v>
      </c>
      <c r="V587" s="18" t="n">
        <f aca="false">IFERROR(INDEX(SEMANAS!$J$6:$J$71,MATCH($B587,SEMANAS!$B$6:$B$71,0)),0)</f>
        <v>5.6</v>
      </c>
      <c r="W587" s="18" t="n">
        <f aca="false">MAX(0,$T587-$V587)</f>
        <v>0</v>
      </c>
      <c r="X587" s="19" t="n">
        <f aca="false">IFERROR(INDEX(CADASTRO_PIVOS!$K$6:$K$41,MATCH($E587,CADASTRO_PIVOS!$B$6:$B$41,0)),EFICIENCIA_PADRAO)</f>
        <v>0.85</v>
      </c>
      <c r="Y587" s="18" t="n">
        <f aca="false">IF($X587&lt;=0,0,$W587/$X587)</f>
        <v>0</v>
      </c>
      <c r="Z587" s="16" t="n">
        <f aca="false">$Y587*$H587*MM_PARA_M3_HA</f>
        <v>0</v>
      </c>
      <c r="AA587" s="18" t="n">
        <f aca="false">IFERROR(INDEX(CADASTRO_PIVOS!$I$6:$I$41,MATCH($E587,CADASTRO_PIVOS!$B$6:$B$41,0)),0)</f>
        <v>717.214285714286</v>
      </c>
      <c r="AB587" s="18" t="n">
        <f aca="false">IF($Z587&lt;=0,0,$Z587/$AA587)</f>
        <v>0</v>
      </c>
      <c r="AC587" s="16" t="n">
        <f aca="false">IFERROR(INDEX(SEMANAS!$K$6:$K$71,MATCH($B587,SEMANAS!$B$6:$B$71,0)),0)</f>
        <v>147</v>
      </c>
      <c r="AD587" s="19" t="n">
        <f aca="false">IF($AC587&lt;=0,0,$AB587/$AC587)</f>
        <v>0</v>
      </c>
      <c r="AE587" s="8" t="str">
        <f aca="false">IF($K587="SEM CULTURA","SEM CULTURA",IF($AA587&lt;=0,"DADO PENDENTE",IF($AD587&gt;LIMITE_CRITICO,"INVIAVEL",IF($AD587&gt;LIMITE_ATENCAO,"CRITICO",IF($AD587&gt;LIMITE_CONFORTAVEL,"ATENCAO","OK")))))</f>
        <v>SEM CULTURA</v>
      </c>
      <c r="AF587" s="8" t="str">
        <f aca="false">$B587&amp;"|"&amp;TEXT($AD587,"0.000000")</f>
        <v>54|0.000000</v>
      </c>
      <c r="AG587" s="18" t="n">
        <f aca="false">IF($K587="SEM CULTURA",0,$T587*$H587)</f>
        <v>0</v>
      </c>
      <c r="AH587" s="18" t="n">
        <f aca="false">IF($K587="SEM CULTURA",0,$V587*$H587)</f>
        <v>0</v>
      </c>
      <c r="AI587" s="18" t="n">
        <f aca="false">IF($K587="SEM CULTURA",0,$W587*$H587)</f>
        <v>0</v>
      </c>
      <c r="AJ587" s="18" t="n">
        <f aca="false">IF($K587="SEM CULTURA",0,$S587*$H587)</f>
        <v>0</v>
      </c>
      <c r="AK587" s="8" t="str">
        <f aca="false">$E587&amp;"|"&amp;TEXT($AD587,"0.000000")</f>
        <v>PV 104|0.000000</v>
      </c>
    </row>
    <row r="588" customFormat="false" ht="15" hidden="false" customHeight="false" outlineLevel="0" collapsed="false">
      <c r="B588" s="16" t="n">
        <v>55</v>
      </c>
      <c r="C588" s="17" t="n">
        <f aca="false">DATA_INICIO_SAFRA+($B588-1)*DIAS_POR_SEMANA</f>
        <v>46643</v>
      </c>
      <c r="D588" s="17" t="n">
        <f aca="false">$C588+DIAS_POR_SEMANA-1</f>
        <v>46649</v>
      </c>
      <c r="E588" s="15" t="s">
        <v>267</v>
      </c>
      <c r="F588" s="8" t="str">
        <f aca="false">IFERROR(INDEX(CADASTRO_PIVOS!$C$6:$C$41,MATCH($E588,CADASTRO_PIVOS!$B$6:$B$41,0)),"?")</f>
        <v>RM04</v>
      </c>
      <c r="G588" s="8" t="str">
        <f aca="false">IFERROR(INDEX(CADASTRO_PIVOS!$D$6:$D$41,MATCH($E588,CADASTRO_PIVOS!$B$6:$B$41,0)),"?")</f>
        <v>TR04</v>
      </c>
      <c r="H588" s="20" t="n">
        <f aca="false">IFERROR(INDEX(CADASTRO_PIVOS!$E$6:$E$41,MATCH($E588,CADASTRO_PIVOS!$B$6:$B$41,0)),0)</f>
        <v>100.41</v>
      </c>
      <c r="I588" s="16" t="n">
        <f aca="false">IFERROR(SUMIFS(ROTACAO_RDM!$B$6:$B$71,ROTACAO_RDM!$D$6:$D$71,$E588,ROTACAO_RDM!$I$6:$I$71,"&lt;="&amp;$C588+INT(DIAS_POR_SEMANA/2),ROTACAO_RDM!$J$6:$J$71,"&gt;="&amp;$C588+INT(DIAS_POR_SEMANA/2)),0)</f>
        <v>0</v>
      </c>
      <c r="J588" s="16" t="n">
        <f aca="false">IFERROR(MATCH($I588,ROTACAO_RDM!$B$6:$B$71,0),0)</f>
        <v>0</v>
      </c>
      <c r="K588" s="8" t="str">
        <f aca="false">IF($J588=0,"SEM CULTURA",INDEX(ROTACAO_RDM!$F$6:$F$71,$J588))</f>
        <v>SEM CULTURA</v>
      </c>
      <c r="L588" s="8" t="str">
        <f aca="false">IF($J588=0,"",INDEX(ROTACAO_RDM!$G$6:$G$71,$J588))</f>
        <v/>
      </c>
      <c r="M588" s="17" t="str">
        <f aca="false">IF($J588=0,"",INDEX(ROTACAO_RDM!$I$6:$I$71,$J588))</f>
        <v/>
      </c>
      <c r="N588" s="16" t="n">
        <f aca="false">IF($J588=0,0,MAX(0,$C588+INT(DIAS_POR_SEMANA/2)-INDEX(ROTACAO_RDM!$I$6:$I$71,$J588)))</f>
        <v>0</v>
      </c>
      <c r="O588" s="19" t="n">
        <f aca="false">IF($J588=0,0,MIN(1,$N588/MAX(1,INDEX(ROTACAO_RDM!$K$6:$K$71,$J588))))</f>
        <v>0</v>
      </c>
      <c r="P588" s="16" t="n">
        <f aca="false">IF($J588=0,0,IFERROR(MATCH(INDEX(ROTACAO_RDM!$N$6:$N$71,$J588),PARAMETROS_CULTURAS!$B$6:$B$28,0),0))</f>
        <v>0</v>
      </c>
      <c r="Q588" s="8" t="str">
        <f aca="false">IF($P588=0,"-",IF($O588&lt;=INDEX(PARAMETROS_CULTURAS!$F$6:$F$28,$P588),"INICIAL",IF($O588&lt;=INDEX(PARAMETROS_CULTURAS!$F$6:$F$28,$P588)+INDEX(PARAMETROS_CULTURAS!$G$6:$G$28,$P588),"DESENVOLVIMENTO",IF($O588&lt;=INDEX(PARAMETROS_CULTURAS!$F$6:$F$28,$P588)+INDEX(PARAMETROS_CULTURAS!$G$6:$G$28,$P588)+INDEX(PARAMETROS_CULTURAS!$H$6:$H$28,$P588),"MEDIA","FINAL"))))</f>
        <v>-</v>
      </c>
      <c r="R588" s="24" t="n">
        <f aca="false">IF($P588=0,0,IF($O588&lt;=INDEX(PARAMETROS_CULTURAS!$F$6:$F$28,$P588),INDEX(PARAMETROS_CULTURAS!$K$6:$K$28,$P588),IF($O588&lt;=INDEX(PARAMETROS_CULTURAS!$F$6:$F$28,$P588)+INDEX(PARAMETROS_CULTURAS!$G$6:$G$28,$P588),INDEX(PARAMETROS_CULTURAS!$K$6:$K$28,$P588)+(INDEX(PARAMETROS_CULTURAS!$L$6:$L$28,$P588)-INDEX(PARAMETROS_CULTURAS!$K$6:$K$28,$P588))*($O588-INDEX(PARAMETROS_CULTURAS!$F$6:$F$28,$P588))/MAX(INDEX(PARAMETROS_CULTURAS!$G$6:$G$28,$P588),0.0001),IF($O588&lt;=INDEX(PARAMETROS_CULTURAS!$F$6:$F$28,$P588)+INDEX(PARAMETROS_CULTURAS!$G$6:$G$28,$P588)+INDEX(PARAMETROS_CULTURAS!$H$6:$H$28,$P588),INDEX(PARAMETROS_CULTURAS!$L$6:$L$28,$P588),INDEX(PARAMETROS_CULTURAS!$L$6:$L$28,$P588)+(INDEX(PARAMETROS_CULTURAS!$M$6:$M$28,$P588)-INDEX(PARAMETROS_CULTURAS!$L$6:$L$28,$P588))*($O588-INDEX(PARAMETROS_CULTURAS!$F$6:$F$28,$P588)-INDEX(PARAMETROS_CULTURAS!$G$6:$G$28,$P588)-INDEX(PARAMETROS_CULTURAS!$H$6:$H$28,$P588))/MAX(INDEX(PARAMETROS_CULTURAS!$I$6:$I$28,$P588),0.0001)))))</f>
        <v>0</v>
      </c>
      <c r="S588" s="18" t="n">
        <f aca="false">IFERROR(INDEX(SEMANAS!$H$6:$H$71,MATCH($B588,SEMANAS!$B$6:$B$71,0)),0)</f>
        <v>40.6</v>
      </c>
      <c r="T588" s="18" t="n">
        <f aca="false">$R588*$S588</f>
        <v>0</v>
      </c>
      <c r="U588" s="18" t="n">
        <f aca="false">IFERROR(INDEX(SEMANAS!$I$6:$I$71,MATCH($B588,SEMANAS!$B$6:$B$71,0)),0)</f>
        <v>7</v>
      </c>
      <c r="V588" s="18" t="n">
        <f aca="false">IFERROR(INDEX(SEMANAS!$J$6:$J$71,MATCH($B588,SEMANAS!$B$6:$B$71,0)),0)</f>
        <v>5.6</v>
      </c>
      <c r="W588" s="18" t="n">
        <f aca="false">MAX(0,$T588-$V588)</f>
        <v>0</v>
      </c>
      <c r="X588" s="19" t="n">
        <f aca="false">IFERROR(INDEX(CADASTRO_PIVOS!$K$6:$K$41,MATCH($E588,CADASTRO_PIVOS!$B$6:$B$41,0)),EFICIENCIA_PADRAO)</f>
        <v>0.85</v>
      </c>
      <c r="Y588" s="18" t="n">
        <f aca="false">IF($X588&lt;=0,0,$W588/$X588)</f>
        <v>0</v>
      </c>
      <c r="Z588" s="16" t="n">
        <f aca="false">$Y588*$H588*MM_PARA_M3_HA</f>
        <v>0</v>
      </c>
      <c r="AA588" s="18" t="n">
        <f aca="false">IFERROR(INDEX(CADASTRO_PIVOS!$I$6:$I$41,MATCH($E588,CADASTRO_PIVOS!$B$6:$B$41,0)),0)</f>
        <v>717.214285714286</v>
      </c>
      <c r="AB588" s="18" t="n">
        <f aca="false">IF($Z588&lt;=0,0,$Z588/$AA588)</f>
        <v>0</v>
      </c>
      <c r="AC588" s="16" t="n">
        <f aca="false">IFERROR(INDEX(SEMANAS!$K$6:$K$71,MATCH($B588,SEMANAS!$B$6:$B$71,0)),0)</f>
        <v>147</v>
      </c>
      <c r="AD588" s="19" t="n">
        <f aca="false">IF($AC588&lt;=0,0,$AB588/$AC588)</f>
        <v>0</v>
      </c>
      <c r="AE588" s="8" t="str">
        <f aca="false">IF($K588="SEM CULTURA","SEM CULTURA",IF($AA588&lt;=0,"DADO PENDENTE",IF($AD588&gt;LIMITE_CRITICO,"INVIAVEL",IF($AD588&gt;LIMITE_ATENCAO,"CRITICO",IF($AD588&gt;LIMITE_CONFORTAVEL,"ATENCAO","OK")))))</f>
        <v>SEM CULTURA</v>
      </c>
      <c r="AF588" s="8" t="str">
        <f aca="false">$B588&amp;"|"&amp;TEXT($AD588,"0.000000")</f>
        <v>55|0.000000</v>
      </c>
      <c r="AG588" s="18" t="n">
        <f aca="false">IF($K588="SEM CULTURA",0,$T588*$H588)</f>
        <v>0</v>
      </c>
      <c r="AH588" s="18" t="n">
        <f aca="false">IF($K588="SEM CULTURA",0,$V588*$H588)</f>
        <v>0</v>
      </c>
      <c r="AI588" s="18" t="n">
        <f aca="false">IF($K588="SEM CULTURA",0,$W588*$H588)</f>
        <v>0</v>
      </c>
      <c r="AJ588" s="18" t="n">
        <f aca="false">IF($K588="SEM CULTURA",0,$S588*$H588)</f>
        <v>0</v>
      </c>
      <c r="AK588" s="8" t="str">
        <f aca="false">$E588&amp;"|"&amp;TEXT($AD588,"0.000000")</f>
        <v>PV 104|0.000000</v>
      </c>
    </row>
    <row r="589" customFormat="false" ht="15" hidden="false" customHeight="false" outlineLevel="0" collapsed="false">
      <c r="B589" s="16" t="n">
        <v>56</v>
      </c>
      <c r="C589" s="17" t="n">
        <f aca="false">DATA_INICIO_SAFRA+($B589-1)*DIAS_POR_SEMANA</f>
        <v>46650</v>
      </c>
      <c r="D589" s="17" t="n">
        <f aca="false">$C589+DIAS_POR_SEMANA-1</f>
        <v>46656</v>
      </c>
      <c r="E589" s="15" t="s">
        <v>267</v>
      </c>
      <c r="F589" s="8" t="str">
        <f aca="false">IFERROR(INDEX(CADASTRO_PIVOS!$C$6:$C$41,MATCH($E589,CADASTRO_PIVOS!$B$6:$B$41,0)),"?")</f>
        <v>RM04</v>
      </c>
      <c r="G589" s="8" t="str">
        <f aca="false">IFERROR(INDEX(CADASTRO_PIVOS!$D$6:$D$41,MATCH($E589,CADASTRO_PIVOS!$B$6:$B$41,0)),"?")</f>
        <v>TR04</v>
      </c>
      <c r="H589" s="20" t="n">
        <f aca="false">IFERROR(INDEX(CADASTRO_PIVOS!$E$6:$E$41,MATCH($E589,CADASTRO_PIVOS!$B$6:$B$41,0)),0)</f>
        <v>100.41</v>
      </c>
      <c r="I589" s="16" t="n">
        <f aca="false">IFERROR(SUMIFS(ROTACAO_RDM!$B$6:$B$71,ROTACAO_RDM!$D$6:$D$71,$E589,ROTACAO_RDM!$I$6:$I$71,"&lt;="&amp;$C589+INT(DIAS_POR_SEMANA/2),ROTACAO_RDM!$J$6:$J$71,"&gt;="&amp;$C589+INT(DIAS_POR_SEMANA/2)),0)</f>
        <v>0</v>
      </c>
      <c r="J589" s="16" t="n">
        <f aca="false">IFERROR(MATCH($I589,ROTACAO_RDM!$B$6:$B$71,0),0)</f>
        <v>0</v>
      </c>
      <c r="K589" s="8" t="str">
        <f aca="false">IF($J589=0,"SEM CULTURA",INDEX(ROTACAO_RDM!$F$6:$F$71,$J589))</f>
        <v>SEM CULTURA</v>
      </c>
      <c r="L589" s="8" t="str">
        <f aca="false">IF($J589=0,"",INDEX(ROTACAO_RDM!$G$6:$G$71,$J589))</f>
        <v/>
      </c>
      <c r="M589" s="17" t="str">
        <f aca="false">IF($J589=0,"",INDEX(ROTACAO_RDM!$I$6:$I$71,$J589))</f>
        <v/>
      </c>
      <c r="N589" s="16" t="n">
        <f aca="false">IF($J589=0,0,MAX(0,$C589+INT(DIAS_POR_SEMANA/2)-INDEX(ROTACAO_RDM!$I$6:$I$71,$J589)))</f>
        <v>0</v>
      </c>
      <c r="O589" s="19" t="n">
        <f aca="false">IF($J589=0,0,MIN(1,$N589/MAX(1,INDEX(ROTACAO_RDM!$K$6:$K$71,$J589))))</f>
        <v>0</v>
      </c>
      <c r="P589" s="16" t="n">
        <f aca="false">IF($J589=0,0,IFERROR(MATCH(INDEX(ROTACAO_RDM!$N$6:$N$71,$J589),PARAMETROS_CULTURAS!$B$6:$B$28,0),0))</f>
        <v>0</v>
      </c>
      <c r="Q589" s="8" t="str">
        <f aca="false">IF($P589=0,"-",IF($O589&lt;=INDEX(PARAMETROS_CULTURAS!$F$6:$F$28,$P589),"INICIAL",IF($O589&lt;=INDEX(PARAMETROS_CULTURAS!$F$6:$F$28,$P589)+INDEX(PARAMETROS_CULTURAS!$G$6:$G$28,$P589),"DESENVOLVIMENTO",IF($O589&lt;=INDEX(PARAMETROS_CULTURAS!$F$6:$F$28,$P589)+INDEX(PARAMETROS_CULTURAS!$G$6:$G$28,$P589)+INDEX(PARAMETROS_CULTURAS!$H$6:$H$28,$P589),"MEDIA","FINAL"))))</f>
        <v>-</v>
      </c>
      <c r="R589" s="24" t="n">
        <f aca="false">IF($P589=0,0,IF($O589&lt;=INDEX(PARAMETROS_CULTURAS!$F$6:$F$28,$P589),INDEX(PARAMETROS_CULTURAS!$K$6:$K$28,$P589),IF($O589&lt;=INDEX(PARAMETROS_CULTURAS!$F$6:$F$28,$P589)+INDEX(PARAMETROS_CULTURAS!$G$6:$G$28,$P589),INDEX(PARAMETROS_CULTURAS!$K$6:$K$28,$P589)+(INDEX(PARAMETROS_CULTURAS!$L$6:$L$28,$P589)-INDEX(PARAMETROS_CULTURAS!$K$6:$K$28,$P589))*($O589-INDEX(PARAMETROS_CULTURAS!$F$6:$F$28,$P589))/MAX(INDEX(PARAMETROS_CULTURAS!$G$6:$G$28,$P589),0.0001),IF($O589&lt;=INDEX(PARAMETROS_CULTURAS!$F$6:$F$28,$P589)+INDEX(PARAMETROS_CULTURAS!$G$6:$G$28,$P589)+INDEX(PARAMETROS_CULTURAS!$H$6:$H$28,$P589),INDEX(PARAMETROS_CULTURAS!$L$6:$L$28,$P589),INDEX(PARAMETROS_CULTURAS!$L$6:$L$28,$P589)+(INDEX(PARAMETROS_CULTURAS!$M$6:$M$28,$P589)-INDEX(PARAMETROS_CULTURAS!$L$6:$L$28,$P589))*($O589-INDEX(PARAMETROS_CULTURAS!$F$6:$F$28,$P589)-INDEX(PARAMETROS_CULTURAS!$G$6:$G$28,$P589)-INDEX(PARAMETROS_CULTURAS!$H$6:$H$28,$P589))/MAX(INDEX(PARAMETROS_CULTURAS!$I$6:$I$28,$P589),0.0001)))))</f>
        <v>0</v>
      </c>
      <c r="S589" s="18" t="n">
        <f aca="false">IFERROR(INDEX(SEMANAS!$H$6:$H$71,MATCH($B589,SEMANAS!$B$6:$B$71,0)),0)</f>
        <v>40.6</v>
      </c>
      <c r="T589" s="18" t="n">
        <f aca="false">$R589*$S589</f>
        <v>0</v>
      </c>
      <c r="U589" s="18" t="n">
        <f aca="false">IFERROR(INDEX(SEMANAS!$I$6:$I$71,MATCH($B589,SEMANAS!$B$6:$B$71,0)),0)</f>
        <v>7</v>
      </c>
      <c r="V589" s="18" t="n">
        <f aca="false">IFERROR(INDEX(SEMANAS!$J$6:$J$71,MATCH($B589,SEMANAS!$B$6:$B$71,0)),0)</f>
        <v>5.6</v>
      </c>
      <c r="W589" s="18" t="n">
        <f aca="false">MAX(0,$T589-$V589)</f>
        <v>0</v>
      </c>
      <c r="X589" s="19" t="n">
        <f aca="false">IFERROR(INDEX(CADASTRO_PIVOS!$K$6:$K$41,MATCH($E589,CADASTRO_PIVOS!$B$6:$B$41,0)),EFICIENCIA_PADRAO)</f>
        <v>0.85</v>
      </c>
      <c r="Y589" s="18" t="n">
        <f aca="false">IF($X589&lt;=0,0,$W589/$X589)</f>
        <v>0</v>
      </c>
      <c r="Z589" s="16" t="n">
        <f aca="false">$Y589*$H589*MM_PARA_M3_HA</f>
        <v>0</v>
      </c>
      <c r="AA589" s="18" t="n">
        <f aca="false">IFERROR(INDEX(CADASTRO_PIVOS!$I$6:$I$41,MATCH($E589,CADASTRO_PIVOS!$B$6:$B$41,0)),0)</f>
        <v>717.214285714286</v>
      </c>
      <c r="AB589" s="18" t="n">
        <f aca="false">IF($Z589&lt;=0,0,$Z589/$AA589)</f>
        <v>0</v>
      </c>
      <c r="AC589" s="16" t="n">
        <f aca="false">IFERROR(INDEX(SEMANAS!$K$6:$K$71,MATCH($B589,SEMANAS!$B$6:$B$71,0)),0)</f>
        <v>147</v>
      </c>
      <c r="AD589" s="19" t="n">
        <f aca="false">IF($AC589&lt;=0,0,$AB589/$AC589)</f>
        <v>0</v>
      </c>
      <c r="AE589" s="8" t="str">
        <f aca="false">IF($K589="SEM CULTURA","SEM CULTURA",IF($AA589&lt;=0,"DADO PENDENTE",IF($AD589&gt;LIMITE_CRITICO,"INVIAVEL",IF($AD589&gt;LIMITE_ATENCAO,"CRITICO",IF($AD589&gt;LIMITE_CONFORTAVEL,"ATENCAO","OK")))))</f>
        <v>SEM CULTURA</v>
      </c>
      <c r="AF589" s="8" t="str">
        <f aca="false">$B589&amp;"|"&amp;TEXT($AD589,"0.000000")</f>
        <v>56|0.000000</v>
      </c>
      <c r="AG589" s="18" t="n">
        <f aca="false">IF($K589="SEM CULTURA",0,$T589*$H589)</f>
        <v>0</v>
      </c>
      <c r="AH589" s="18" t="n">
        <f aca="false">IF($K589="SEM CULTURA",0,$V589*$H589)</f>
        <v>0</v>
      </c>
      <c r="AI589" s="18" t="n">
        <f aca="false">IF($K589="SEM CULTURA",0,$W589*$H589)</f>
        <v>0</v>
      </c>
      <c r="AJ589" s="18" t="n">
        <f aca="false">IF($K589="SEM CULTURA",0,$S589*$H589)</f>
        <v>0</v>
      </c>
      <c r="AK589" s="8" t="str">
        <f aca="false">$E589&amp;"|"&amp;TEXT($AD589,"0.000000")</f>
        <v>PV 104|0.000000</v>
      </c>
    </row>
    <row r="590" customFormat="false" ht="15" hidden="false" customHeight="false" outlineLevel="0" collapsed="false">
      <c r="B590" s="16" t="n">
        <v>57</v>
      </c>
      <c r="C590" s="17" t="n">
        <f aca="false">DATA_INICIO_SAFRA+($B590-1)*DIAS_POR_SEMANA</f>
        <v>46657</v>
      </c>
      <c r="D590" s="17" t="n">
        <f aca="false">$C590+DIAS_POR_SEMANA-1</f>
        <v>46663</v>
      </c>
      <c r="E590" s="15" t="s">
        <v>267</v>
      </c>
      <c r="F590" s="8" t="str">
        <f aca="false">IFERROR(INDEX(CADASTRO_PIVOS!$C$6:$C$41,MATCH($E590,CADASTRO_PIVOS!$B$6:$B$41,0)),"?")</f>
        <v>RM04</v>
      </c>
      <c r="G590" s="8" t="str">
        <f aca="false">IFERROR(INDEX(CADASTRO_PIVOS!$D$6:$D$41,MATCH($E590,CADASTRO_PIVOS!$B$6:$B$41,0)),"?")</f>
        <v>TR04</v>
      </c>
      <c r="H590" s="20" t="n">
        <f aca="false">IFERROR(INDEX(CADASTRO_PIVOS!$E$6:$E$41,MATCH($E590,CADASTRO_PIVOS!$B$6:$B$41,0)),0)</f>
        <v>100.41</v>
      </c>
      <c r="I590" s="16" t="n">
        <f aca="false">IFERROR(SUMIFS(ROTACAO_RDM!$B$6:$B$71,ROTACAO_RDM!$D$6:$D$71,$E590,ROTACAO_RDM!$I$6:$I$71,"&lt;="&amp;$C590+INT(DIAS_POR_SEMANA/2),ROTACAO_RDM!$J$6:$J$71,"&gt;="&amp;$C590+INT(DIAS_POR_SEMANA/2)),0)</f>
        <v>0</v>
      </c>
      <c r="J590" s="16" t="n">
        <f aca="false">IFERROR(MATCH($I590,ROTACAO_RDM!$B$6:$B$71,0),0)</f>
        <v>0</v>
      </c>
      <c r="K590" s="8" t="str">
        <f aca="false">IF($J590=0,"SEM CULTURA",INDEX(ROTACAO_RDM!$F$6:$F$71,$J590))</f>
        <v>SEM CULTURA</v>
      </c>
      <c r="L590" s="8" t="str">
        <f aca="false">IF($J590=0,"",INDEX(ROTACAO_RDM!$G$6:$G$71,$J590))</f>
        <v/>
      </c>
      <c r="M590" s="17" t="str">
        <f aca="false">IF($J590=0,"",INDEX(ROTACAO_RDM!$I$6:$I$71,$J590))</f>
        <v/>
      </c>
      <c r="N590" s="16" t="n">
        <f aca="false">IF($J590=0,0,MAX(0,$C590+INT(DIAS_POR_SEMANA/2)-INDEX(ROTACAO_RDM!$I$6:$I$71,$J590)))</f>
        <v>0</v>
      </c>
      <c r="O590" s="19" t="n">
        <f aca="false">IF($J590=0,0,MIN(1,$N590/MAX(1,INDEX(ROTACAO_RDM!$K$6:$K$71,$J590))))</f>
        <v>0</v>
      </c>
      <c r="P590" s="16" t="n">
        <f aca="false">IF($J590=0,0,IFERROR(MATCH(INDEX(ROTACAO_RDM!$N$6:$N$71,$J590),PARAMETROS_CULTURAS!$B$6:$B$28,0),0))</f>
        <v>0</v>
      </c>
      <c r="Q590" s="8" t="str">
        <f aca="false">IF($P590=0,"-",IF($O590&lt;=INDEX(PARAMETROS_CULTURAS!$F$6:$F$28,$P590),"INICIAL",IF($O590&lt;=INDEX(PARAMETROS_CULTURAS!$F$6:$F$28,$P590)+INDEX(PARAMETROS_CULTURAS!$G$6:$G$28,$P590),"DESENVOLVIMENTO",IF($O590&lt;=INDEX(PARAMETROS_CULTURAS!$F$6:$F$28,$P590)+INDEX(PARAMETROS_CULTURAS!$G$6:$G$28,$P590)+INDEX(PARAMETROS_CULTURAS!$H$6:$H$28,$P590),"MEDIA","FINAL"))))</f>
        <v>-</v>
      </c>
      <c r="R590" s="24" t="n">
        <f aca="false">IF($P590=0,0,IF($O590&lt;=INDEX(PARAMETROS_CULTURAS!$F$6:$F$28,$P590),INDEX(PARAMETROS_CULTURAS!$K$6:$K$28,$P590),IF($O590&lt;=INDEX(PARAMETROS_CULTURAS!$F$6:$F$28,$P590)+INDEX(PARAMETROS_CULTURAS!$G$6:$G$28,$P590),INDEX(PARAMETROS_CULTURAS!$K$6:$K$28,$P590)+(INDEX(PARAMETROS_CULTURAS!$L$6:$L$28,$P590)-INDEX(PARAMETROS_CULTURAS!$K$6:$K$28,$P590))*($O590-INDEX(PARAMETROS_CULTURAS!$F$6:$F$28,$P590))/MAX(INDEX(PARAMETROS_CULTURAS!$G$6:$G$28,$P590),0.0001),IF($O590&lt;=INDEX(PARAMETROS_CULTURAS!$F$6:$F$28,$P590)+INDEX(PARAMETROS_CULTURAS!$G$6:$G$28,$P590)+INDEX(PARAMETROS_CULTURAS!$H$6:$H$28,$P590),INDEX(PARAMETROS_CULTURAS!$L$6:$L$28,$P590),INDEX(PARAMETROS_CULTURAS!$L$6:$L$28,$P590)+(INDEX(PARAMETROS_CULTURAS!$M$6:$M$28,$P590)-INDEX(PARAMETROS_CULTURAS!$L$6:$L$28,$P590))*($O590-INDEX(PARAMETROS_CULTURAS!$F$6:$F$28,$P590)-INDEX(PARAMETROS_CULTURAS!$G$6:$G$28,$P590)-INDEX(PARAMETROS_CULTURAS!$H$6:$H$28,$P590))/MAX(INDEX(PARAMETROS_CULTURAS!$I$6:$I$28,$P590),0.0001)))))</f>
        <v>0</v>
      </c>
      <c r="S590" s="18" t="n">
        <f aca="false">IFERROR(INDEX(SEMANAS!$H$6:$H$71,MATCH($B590,SEMANAS!$B$6:$B$71,0)),0)</f>
        <v>40</v>
      </c>
      <c r="T590" s="18" t="n">
        <f aca="false">$R590*$S590</f>
        <v>0</v>
      </c>
      <c r="U590" s="18" t="n">
        <f aca="false">IFERROR(INDEX(SEMANAS!$I$6:$I$71,MATCH($B590,SEMANAS!$B$6:$B$71,0)),0)</f>
        <v>15.61</v>
      </c>
      <c r="V590" s="18" t="n">
        <f aca="false">IFERROR(INDEX(SEMANAS!$J$6:$J$71,MATCH($B590,SEMANAS!$B$6:$B$71,0)),0)</f>
        <v>12.488</v>
      </c>
      <c r="W590" s="18" t="n">
        <f aca="false">MAX(0,$T590-$V590)</f>
        <v>0</v>
      </c>
      <c r="X590" s="19" t="n">
        <f aca="false">IFERROR(INDEX(CADASTRO_PIVOS!$K$6:$K$41,MATCH($E590,CADASTRO_PIVOS!$B$6:$B$41,0)),EFICIENCIA_PADRAO)</f>
        <v>0.85</v>
      </c>
      <c r="Y590" s="18" t="n">
        <f aca="false">IF($X590&lt;=0,0,$W590/$X590)</f>
        <v>0</v>
      </c>
      <c r="Z590" s="16" t="n">
        <f aca="false">$Y590*$H590*MM_PARA_M3_HA</f>
        <v>0</v>
      </c>
      <c r="AA590" s="18" t="n">
        <f aca="false">IFERROR(INDEX(CADASTRO_PIVOS!$I$6:$I$41,MATCH($E590,CADASTRO_PIVOS!$B$6:$B$41,0)),0)</f>
        <v>717.214285714286</v>
      </c>
      <c r="AB590" s="18" t="n">
        <f aca="false">IF($Z590&lt;=0,0,$Z590/$AA590)</f>
        <v>0</v>
      </c>
      <c r="AC590" s="16" t="n">
        <f aca="false">IFERROR(INDEX(SEMANAS!$K$6:$K$71,MATCH($B590,SEMANAS!$B$6:$B$71,0)),0)</f>
        <v>147</v>
      </c>
      <c r="AD590" s="19" t="n">
        <f aca="false">IF($AC590&lt;=0,0,$AB590/$AC590)</f>
        <v>0</v>
      </c>
      <c r="AE590" s="8" t="str">
        <f aca="false">IF($K590="SEM CULTURA","SEM CULTURA",IF($AA590&lt;=0,"DADO PENDENTE",IF($AD590&gt;LIMITE_CRITICO,"INVIAVEL",IF($AD590&gt;LIMITE_ATENCAO,"CRITICO",IF($AD590&gt;LIMITE_CONFORTAVEL,"ATENCAO","OK")))))</f>
        <v>SEM CULTURA</v>
      </c>
      <c r="AF590" s="8" t="str">
        <f aca="false">$B590&amp;"|"&amp;TEXT($AD590,"0.000000")</f>
        <v>57|0.000000</v>
      </c>
      <c r="AG590" s="18" t="n">
        <f aca="false">IF($K590="SEM CULTURA",0,$T590*$H590)</f>
        <v>0</v>
      </c>
      <c r="AH590" s="18" t="n">
        <f aca="false">IF($K590="SEM CULTURA",0,$V590*$H590)</f>
        <v>0</v>
      </c>
      <c r="AI590" s="18" t="n">
        <f aca="false">IF($K590="SEM CULTURA",0,$W590*$H590)</f>
        <v>0</v>
      </c>
      <c r="AJ590" s="18" t="n">
        <f aca="false">IF($K590="SEM CULTURA",0,$S590*$H590)</f>
        <v>0</v>
      </c>
      <c r="AK590" s="8" t="str">
        <f aca="false">$E590&amp;"|"&amp;TEXT($AD590,"0.000000")</f>
        <v>PV 104|0.000000</v>
      </c>
    </row>
    <row r="591" customFormat="false" ht="15" hidden="false" customHeight="false" outlineLevel="0" collapsed="false">
      <c r="B591" s="16" t="n">
        <v>58</v>
      </c>
      <c r="C591" s="17" t="n">
        <f aca="false">DATA_INICIO_SAFRA+($B591-1)*DIAS_POR_SEMANA</f>
        <v>46664</v>
      </c>
      <c r="D591" s="17" t="n">
        <f aca="false">$C591+DIAS_POR_SEMANA-1</f>
        <v>46670</v>
      </c>
      <c r="E591" s="15" t="s">
        <v>267</v>
      </c>
      <c r="F591" s="8" t="str">
        <f aca="false">IFERROR(INDEX(CADASTRO_PIVOS!$C$6:$C$41,MATCH($E591,CADASTRO_PIVOS!$B$6:$B$41,0)),"?")</f>
        <v>RM04</v>
      </c>
      <c r="G591" s="8" t="str">
        <f aca="false">IFERROR(INDEX(CADASTRO_PIVOS!$D$6:$D$41,MATCH($E591,CADASTRO_PIVOS!$B$6:$B$41,0)),"?")</f>
        <v>TR04</v>
      </c>
      <c r="H591" s="20" t="n">
        <f aca="false">IFERROR(INDEX(CADASTRO_PIVOS!$E$6:$E$41,MATCH($E591,CADASTRO_PIVOS!$B$6:$B$41,0)),0)</f>
        <v>100.41</v>
      </c>
      <c r="I591" s="16" t="n">
        <f aca="false">IFERROR(SUMIFS(ROTACAO_RDM!$B$6:$B$71,ROTACAO_RDM!$D$6:$D$71,$E591,ROTACAO_RDM!$I$6:$I$71,"&lt;="&amp;$C591+INT(DIAS_POR_SEMANA/2),ROTACAO_RDM!$J$6:$J$71,"&gt;="&amp;$C591+INT(DIAS_POR_SEMANA/2)),0)</f>
        <v>0</v>
      </c>
      <c r="J591" s="16" t="n">
        <f aca="false">IFERROR(MATCH($I591,ROTACAO_RDM!$B$6:$B$71,0),0)</f>
        <v>0</v>
      </c>
      <c r="K591" s="8" t="str">
        <f aca="false">IF($J591=0,"SEM CULTURA",INDEX(ROTACAO_RDM!$F$6:$F$71,$J591))</f>
        <v>SEM CULTURA</v>
      </c>
      <c r="L591" s="8" t="str">
        <f aca="false">IF($J591=0,"",INDEX(ROTACAO_RDM!$G$6:$G$71,$J591))</f>
        <v/>
      </c>
      <c r="M591" s="17" t="str">
        <f aca="false">IF($J591=0,"",INDEX(ROTACAO_RDM!$I$6:$I$71,$J591))</f>
        <v/>
      </c>
      <c r="N591" s="16" t="n">
        <f aca="false">IF($J591=0,0,MAX(0,$C591+INT(DIAS_POR_SEMANA/2)-INDEX(ROTACAO_RDM!$I$6:$I$71,$J591)))</f>
        <v>0</v>
      </c>
      <c r="O591" s="19" t="n">
        <f aca="false">IF($J591=0,0,MIN(1,$N591/MAX(1,INDEX(ROTACAO_RDM!$K$6:$K$71,$J591))))</f>
        <v>0</v>
      </c>
      <c r="P591" s="16" t="n">
        <f aca="false">IF($J591=0,0,IFERROR(MATCH(INDEX(ROTACAO_RDM!$N$6:$N$71,$J591),PARAMETROS_CULTURAS!$B$6:$B$28,0),0))</f>
        <v>0</v>
      </c>
      <c r="Q591" s="8" t="str">
        <f aca="false">IF($P591=0,"-",IF($O591&lt;=INDEX(PARAMETROS_CULTURAS!$F$6:$F$28,$P591),"INICIAL",IF($O591&lt;=INDEX(PARAMETROS_CULTURAS!$F$6:$F$28,$P591)+INDEX(PARAMETROS_CULTURAS!$G$6:$G$28,$P591),"DESENVOLVIMENTO",IF($O591&lt;=INDEX(PARAMETROS_CULTURAS!$F$6:$F$28,$P591)+INDEX(PARAMETROS_CULTURAS!$G$6:$G$28,$P591)+INDEX(PARAMETROS_CULTURAS!$H$6:$H$28,$P591),"MEDIA","FINAL"))))</f>
        <v>-</v>
      </c>
      <c r="R591" s="24" t="n">
        <f aca="false">IF($P591=0,0,IF($O591&lt;=INDEX(PARAMETROS_CULTURAS!$F$6:$F$28,$P591),INDEX(PARAMETROS_CULTURAS!$K$6:$K$28,$P591),IF($O591&lt;=INDEX(PARAMETROS_CULTURAS!$F$6:$F$28,$P591)+INDEX(PARAMETROS_CULTURAS!$G$6:$G$28,$P591),INDEX(PARAMETROS_CULTURAS!$K$6:$K$28,$P591)+(INDEX(PARAMETROS_CULTURAS!$L$6:$L$28,$P591)-INDEX(PARAMETROS_CULTURAS!$K$6:$K$28,$P591))*($O591-INDEX(PARAMETROS_CULTURAS!$F$6:$F$28,$P591))/MAX(INDEX(PARAMETROS_CULTURAS!$G$6:$G$28,$P591),0.0001),IF($O591&lt;=INDEX(PARAMETROS_CULTURAS!$F$6:$F$28,$P591)+INDEX(PARAMETROS_CULTURAS!$G$6:$G$28,$P591)+INDEX(PARAMETROS_CULTURAS!$H$6:$H$28,$P591),INDEX(PARAMETROS_CULTURAS!$L$6:$L$28,$P591),INDEX(PARAMETROS_CULTURAS!$L$6:$L$28,$P591)+(INDEX(PARAMETROS_CULTURAS!$M$6:$M$28,$P591)-INDEX(PARAMETROS_CULTURAS!$L$6:$L$28,$P591))*($O591-INDEX(PARAMETROS_CULTURAS!$F$6:$F$28,$P591)-INDEX(PARAMETROS_CULTURAS!$G$6:$G$28,$P591)-INDEX(PARAMETROS_CULTURAS!$H$6:$H$28,$P591))/MAX(INDEX(PARAMETROS_CULTURAS!$I$6:$I$28,$P591),0.0001)))))</f>
        <v>0</v>
      </c>
      <c r="S591" s="18" t="n">
        <f aca="false">IFERROR(INDEX(SEMANAS!$H$6:$H$71,MATCH($B591,SEMANAS!$B$6:$B$71,0)),0)</f>
        <v>39.2</v>
      </c>
      <c r="T591" s="18" t="n">
        <f aca="false">$R591*$S591</f>
        <v>0</v>
      </c>
      <c r="U591" s="18" t="n">
        <f aca="false">IFERROR(INDEX(SEMANAS!$I$6:$I$71,MATCH($B591,SEMANAS!$B$6:$B$71,0)),0)</f>
        <v>27.09</v>
      </c>
      <c r="V591" s="18" t="n">
        <f aca="false">IFERROR(INDEX(SEMANAS!$J$6:$J$71,MATCH($B591,SEMANAS!$B$6:$B$71,0)),0)</f>
        <v>21.672</v>
      </c>
      <c r="W591" s="18" t="n">
        <f aca="false">MAX(0,$T591-$V591)</f>
        <v>0</v>
      </c>
      <c r="X591" s="19" t="n">
        <f aca="false">IFERROR(INDEX(CADASTRO_PIVOS!$K$6:$K$41,MATCH($E591,CADASTRO_PIVOS!$B$6:$B$41,0)),EFICIENCIA_PADRAO)</f>
        <v>0.85</v>
      </c>
      <c r="Y591" s="18" t="n">
        <f aca="false">IF($X591&lt;=0,0,$W591/$X591)</f>
        <v>0</v>
      </c>
      <c r="Z591" s="16" t="n">
        <f aca="false">$Y591*$H591*MM_PARA_M3_HA</f>
        <v>0</v>
      </c>
      <c r="AA591" s="18" t="n">
        <f aca="false">IFERROR(INDEX(CADASTRO_PIVOS!$I$6:$I$41,MATCH($E591,CADASTRO_PIVOS!$B$6:$B$41,0)),0)</f>
        <v>717.214285714286</v>
      </c>
      <c r="AB591" s="18" t="n">
        <f aca="false">IF($Z591&lt;=0,0,$Z591/$AA591)</f>
        <v>0</v>
      </c>
      <c r="AC591" s="16" t="n">
        <f aca="false">IFERROR(INDEX(SEMANAS!$K$6:$K$71,MATCH($B591,SEMANAS!$B$6:$B$71,0)),0)</f>
        <v>147</v>
      </c>
      <c r="AD591" s="19" t="n">
        <f aca="false">IF($AC591&lt;=0,0,$AB591/$AC591)</f>
        <v>0</v>
      </c>
      <c r="AE591" s="8" t="str">
        <f aca="false">IF($K591="SEM CULTURA","SEM CULTURA",IF($AA591&lt;=0,"DADO PENDENTE",IF($AD591&gt;LIMITE_CRITICO,"INVIAVEL",IF($AD591&gt;LIMITE_ATENCAO,"CRITICO",IF($AD591&gt;LIMITE_CONFORTAVEL,"ATENCAO","OK")))))</f>
        <v>SEM CULTURA</v>
      </c>
      <c r="AF591" s="8" t="str">
        <f aca="false">$B591&amp;"|"&amp;TEXT($AD591,"0.000000")</f>
        <v>58|0.000000</v>
      </c>
      <c r="AG591" s="18" t="n">
        <f aca="false">IF($K591="SEM CULTURA",0,$T591*$H591)</f>
        <v>0</v>
      </c>
      <c r="AH591" s="18" t="n">
        <f aca="false">IF($K591="SEM CULTURA",0,$V591*$H591)</f>
        <v>0</v>
      </c>
      <c r="AI591" s="18" t="n">
        <f aca="false">IF($K591="SEM CULTURA",0,$W591*$H591)</f>
        <v>0</v>
      </c>
      <c r="AJ591" s="18" t="n">
        <f aca="false">IF($K591="SEM CULTURA",0,$S591*$H591)</f>
        <v>0</v>
      </c>
      <c r="AK591" s="8" t="str">
        <f aca="false">$E591&amp;"|"&amp;TEXT($AD591,"0.000000")</f>
        <v>PV 104|0.000000</v>
      </c>
    </row>
    <row r="592" customFormat="false" ht="15" hidden="false" customHeight="false" outlineLevel="0" collapsed="false">
      <c r="B592" s="16" t="n">
        <v>59</v>
      </c>
      <c r="C592" s="17" t="n">
        <f aca="false">DATA_INICIO_SAFRA+($B592-1)*DIAS_POR_SEMANA</f>
        <v>46671</v>
      </c>
      <c r="D592" s="17" t="n">
        <f aca="false">$C592+DIAS_POR_SEMANA-1</f>
        <v>46677</v>
      </c>
      <c r="E592" s="15" t="s">
        <v>267</v>
      </c>
      <c r="F592" s="8" t="str">
        <f aca="false">IFERROR(INDEX(CADASTRO_PIVOS!$C$6:$C$41,MATCH($E592,CADASTRO_PIVOS!$B$6:$B$41,0)),"?")</f>
        <v>RM04</v>
      </c>
      <c r="G592" s="8" t="str">
        <f aca="false">IFERROR(INDEX(CADASTRO_PIVOS!$D$6:$D$41,MATCH($E592,CADASTRO_PIVOS!$B$6:$B$41,0)),"?")</f>
        <v>TR04</v>
      </c>
      <c r="H592" s="20" t="n">
        <f aca="false">IFERROR(INDEX(CADASTRO_PIVOS!$E$6:$E$41,MATCH($E592,CADASTRO_PIVOS!$B$6:$B$41,0)),0)</f>
        <v>100.41</v>
      </c>
      <c r="I592" s="16" t="n">
        <f aca="false">IFERROR(SUMIFS(ROTACAO_RDM!$B$6:$B$71,ROTACAO_RDM!$D$6:$D$71,$E592,ROTACAO_RDM!$I$6:$I$71,"&lt;="&amp;$C592+INT(DIAS_POR_SEMANA/2),ROTACAO_RDM!$J$6:$J$71,"&gt;="&amp;$C592+INT(DIAS_POR_SEMANA/2)),0)</f>
        <v>0</v>
      </c>
      <c r="J592" s="16" t="n">
        <f aca="false">IFERROR(MATCH($I592,ROTACAO_RDM!$B$6:$B$71,0),0)</f>
        <v>0</v>
      </c>
      <c r="K592" s="8" t="str">
        <f aca="false">IF($J592=0,"SEM CULTURA",INDEX(ROTACAO_RDM!$F$6:$F$71,$J592))</f>
        <v>SEM CULTURA</v>
      </c>
      <c r="L592" s="8" t="str">
        <f aca="false">IF($J592=0,"",INDEX(ROTACAO_RDM!$G$6:$G$71,$J592))</f>
        <v/>
      </c>
      <c r="M592" s="17" t="str">
        <f aca="false">IF($J592=0,"",INDEX(ROTACAO_RDM!$I$6:$I$71,$J592))</f>
        <v/>
      </c>
      <c r="N592" s="16" t="n">
        <f aca="false">IF($J592=0,0,MAX(0,$C592+INT(DIAS_POR_SEMANA/2)-INDEX(ROTACAO_RDM!$I$6:$I$71,$J592)))</f>
        <v>0</v>
      </c>
      <c r="O592" s="19" t="n">
        <f aca="false">IF($J592=0,0,MIN(1,$N592/MAX(1,INDEX(ROTACAO_RDM!$K$6:$K$71,$J592))))</f>
        <v>0</v>
      </c>
      <c r="P592" s="16" t="n">
        <f aca="false">IF($J592=0,0,IFERROR(MATCH(INDEX(ROTACAO_RDM!$N$6:$N$71,$J592),PARAMETROS_CULTURAS!$B$6:$B$28,0),0))</f>
        <v>0</v>
      </c>
      <c r="Q592" s="8" t="str">
        <f aca="false">IF($P592=0,"-",IF($O592&lt;=INDEX(PARAMETROS_CULTURAS!$F$6:$F$28,$P592),"INICIAL",IF($O592&lt;=INDEX(PARAMETROS_CULTURAS!$F$6:$F$28,$P592)+INDEX(PARAMETROS_CULTURAS!$G$6:$G$28,$P592),"DESENVOLVIMENTO",IF($O592&lt;=INDEX(PARAMETROS_CULTURAS!$F$6:$F$28,$P592)+INDEX(PARAMETROS_CULTURAS!$G$6:$G$28,$P592)+INDEX(PARAMETROS_CULTURAS!$H$6:$H$28,$P592),"MEDIA","FINAL"))))</f>
        <v>-</v>
      </c>
      <c r="R592" s="24" t="n">
        <f aca="false">IF($P592=0,0,IF($O592&lt;=INDEX(PARAMETROS_CULTURAS!$F$6:$F$28,$P592),INDEX(PARAMETROS_CULTURAS!$K$6:$K$28,$P592),IF($O592&lt;=INDEX(PARAMETROS_CULTURAS!$F$6:$F$28,$P592)+INDEX(PARAMETROS_CULTURAS!$G$6:$G$28,$P592),INDEX(PARAMETROS_CULTURAS!$K$6:$K$28,$P592)+(INDEX(PARAMETROS_CULTURAS!$L$6:$L$28,$P592)-INDEX(PARAMETROS_CULTURAS!$K$6:$K$28,$P592))*($O592-INDEX(PARAMETROS_CULTURAS!$F$6:$F$28,$P592))/MAX(INDEX(PARAMETROS_CULTURAS!$G$6:$G$28,$P592),0.0001),IF($O592&lt;=INDEX(PARAMETROS_CULTURAS!$F$6:$F$28,$P592)+INDEX(PARAMETROS_CULTURAS!$G$6:$G$28,$P592)+INDEX(PARAMETROS_CULTURAS!$H$6:$H$28,$P592),INDEX(PARAMETROS_CULTURAS!$L$6:$L$28,$P592),INDEX(PARAMETROS_CULTURAS!$L$6:$L$28,$P592)+(INDEX(PARAMETROS_CULTURAS!$M$6:$M$28,$P592)-INDEX(PARAMETROS_CULTURAS!$L$6:$L$28,$P592))*($O592-INDEX(PARAMETROS_CULTURAS!$F$6:$F$28,$P592)-INDEX(PARAMETROS_CULTURAS!$G$6:$G$28,$P592)-INDEX(PARAMETROS_CULTURAS!$H$6:$H$28,$P592))/MAX(INDEX(PARAMETROS_CULTURAS!$I$6:$I$28,$P592),0.0001)))))</f>
        <v>0</v>
      </c>
      <c r="S592" s="18" t="n">
        <f aca="false">IFERROR(INDEX(SEMANAS!$H$6:$H$71,MATCH($B592,SEMANAS!$B$6:$B$71,0)),0)</f>
        <v>39.2</v>
      </c>
      <c r="T592" s="18" t="n">
        <f aca="false">$R592*$S592</f>
        <v>0</v>
      </c>
      <c r="U592" s="18" t="n">
        <f aca="false">IFERROR(INDEX(SEMANAS!$I$6:$I$71,MATCH($B592,SEMANAS!$B$6:$B$71,0)),0)</f>
        <v>27.09</v>
      </c>
      <c r="V592" s="18" t="n">
        <f aca="false">IFERROR(INDEX(SEMANAS!$J$6:$J$71,MATCH($B592,SEMANAS!$B$6:$B$71,0)),0)</f>
        <v>21.672</v>
      </c>
      <c r="W592" s="18" t="n">
        <f aca="false">MAX(0,$T592-$V592)</f>
        <v>0</v>
      </c>
      <c r="X592" s="19" t="n">
        <f aca="false">IFERROR(INDEX(CADASTRO_PIVOS!$K$6:$K$41,MATCH($E592,CADASTRO_PIVOS!$B$6:$B$41,0)),EFICIENCIA_PADRAO)</f>
        <v>0.85</v>
      </c>
      <c r="Y592" s="18" t="n">
        <f aca="false">IF($X592&lt;=0,0,$W592/$X592)</f>
        <v>0</v>
      </c>
      <c r="Z592" s="16" t="n">
        <f aca="false">$Y592*$H592*MM_PARA_M3_HA</f>
        <v>0</v>
      </c>
      <c r="AA592" s="18" t="n">
        <f aca="false">IFERROR(INDEX(CADASTRO_PIVOS!$I$6:$I$41,MATCH($E592,CADASTRO_PIVOS!$B$6:$B$41,0)),0)</f>
        <v>717.214285714286</v>
      </c>
      <c r="AB592" s="18" t="n">
        <f aca="false">IF($Z592&lt;=0,0,$Z592/$AA592)</f>
        <v>0</v>
      </c>
      <c r="AC592" s="16" t="n">
        <f aca="false">IFERROR(INDEX(SEMANAS!$K$6:$K$71,MATCH($B592,SEMANAS!$B$6:$B$71,0)),0)</f>
        <v>147</v>
      </c>
      <c r="AD592" s="19" t="n">
        <f aca="false">IF($AC592&lt;=0,0,$AB592/$AC592)</f>
        <v>0</v>
      </c>
      <c r="AE592" s="8" t="str">
        <f aca="false">IF($K592="SEM CULTURA","SEM CULTURA",IF($AA592&lt;=0,"DADO PENDENTE",IF($AD592&gt;LIMITE_CRITICO,"INVIAVEL",IF($AD592&gt;LIMITE_ATENCAO,"CRITICO",IF($AD592&gt;LIMITE_CONFORTAVEL,"ATENCAO","OK")))))</f>
        <v>SEM CULTURA</v>
      </c>
      <c r="AF592" s="8" t="str">
        <f aca="false">$B592&amp;"|"&amp;TEXT($AD592,"0.000000")</f>
        <v>59|0.000000</v>
      </c>
      <c r="AG592" s="18" t="n">
        <f aca="false">IF($K592="SEM CULTURA",0,$T592*$H592)</f>
        <v>0</v>
      </c>
      <c r="AH592" s="18" t="n">
        <f aca="false">IF($K592="SEM CULTURA",0,$V592*$H592)</f>
        <v>0</v>
      </c>
      <c r="AI592" s="18" t="n">
        <f aca="false">IF($K592="SEM CULTURA",0,$W592*$H592)</f>
        <v>0</v>
      </c>
      <c r="AJ592" s="18" t="n">
        <f aca="false">IF($K592="SEM CULTURA",0,$S592*$H592)</f>
        <v>0</v>
      </c>
      <c r="AK592" s="8" t="str">
        <f aca="false">$E592&amp;"|"&amp;TEXT($AD592,"0.000000")</f>
        <v>PV 104|0.000000</v>
      </c>
    </row>
    <row r="593" customFormat="false" ht="15" hidden="false" customHeight="false" outlineLevel="0" collapsed="false">
      <c r="B593" s="16" t="n">
        <v>60</v>
      </c>
      <c r="C593" s="17" t="n">
        <f aca="false">DATA_INICIO_SAFRA+($B593-1)*DIAS_POR_SEMANA</f>
        <v>46678</v>
      </c>
      <c r="D593" s="17" t="n">
        <f aca="false">$C593+DIAS_POR_SEMANA-1</f>
        <v>46684</v>
      </c>
      <c r="E593" s="15" t="s">
        <v>267</v>
      </c>
      <c r="F593" s="8" t="str">
        <f aca="false">IFERROR(INDEX(CADASTRO_PIVOS!$C$6:$C$41,MATCH($E593,CADASTRO_PIVOS!$B$6:$B$41,0)),"?")</f>
        <v>RM04</v>
      </c>
      <c r="G593" s="8" t="str">
        <f aca="false">IFERROR(INDEX(CADASTRO_PIVOS!$D$6:$D$41,MATCH($E593,CADASTRO_PIVOS!$B$6:$B$41,0)),"?")</f>
        <v>TR04</v>
      </c>
      <c r="H593" s="20" t="n">
        <f aca="false">IFERROR(INDEX(CADASTRO_PIVOS!$E$6:$E$41,MATCH($E593,CADASTRO_PIVOS!$B$6:$B$41,0)),0)</f>
        <v>100.41</v>
      </c>
      <c r="I593" s="16" t="n">
        <f aca="false">IFERROR(SUMIFS(ROTACAO_RDM!$B$6:$B$71,ROTACAO_RDM!$D$6:$D$71,$E593,ROTACAO_RDM!$I$6:$I$71,"&lt;="&amp;$C593+INT(DIAS_POR_SEMANA/2),ROTACAO_RDM!$J$6:$J$71,"&gt;="&amp;$C593+INT(DIAS_POR_SEMANA/2)),0)</f>
        <v>0</v>
      </c>
      <c r="J593" s="16" t="n">
        <f aca="false">IFERROR(MATCH($I593,ROTACAO_RDM!$B$6:$B$71,0),0)</f>
        <v>0</v>
      </c>
      <c r="K593" s="8" t="str">
        <f aca="false">IF($J593=0,"SEM CULTURA",INDEX(ROTACAO_RDM!$F$6:$F$71,$J593))</f>
        <v>SEM CULTURA</v>
      </c>
      <c r="L593" s="8" t="str">
        <f aca="false">IF($J593=0,"",INDEX(ROTACAO_RDM!$G$6:$G$71,$J593))</f>
        <v/>
      </c>
      <c r="M593" s="17" t="str">
        <f aca="false">IF($J593=0,"",INDEX(ROTACAO_RDM!$I$6:$I$71,$J593))</f>
        <v/>
      </c>
      <c r="N593" s="16" t="n">
        <f aca="false">IF($J593=0,0,MAX(0,$C593+INT(DIAS_POR_SEMANA/2)-INDEX(ROTACAO_RDM!$I$6:$I$71,$J593)))</f>
        <v>0</v>
      </c>
      <c r="O593" s="19" t="n">
        <f aca="false">IF($J593=0,0,MIN(1,$N593/MAX(1,INDEX(ROTACAO_RDM!$K$6:$K$71,$J593))))</f>
        <v>0</v>
      </c>
      <c r="P593" s="16" t="n">
        <f aca="false">IF($J593=0,0,IFERROR(MATCH(INDEX(ROTACAO_RDM!$N$6:$N$71,$J593),PARAMETROS_CULTURAS!$B$6:$B$28,0),0))</f>
        <v>0</v>
      </c>
      <c r="Q593" s="8" t="str">
        <f aca="false">IF($P593=0,"-",IF($O593&lt;=INDEX(PARAMETROS_CULTURAS!$F$6:$F$28,$P593),"INICIAL",IF($O593&lt;=INDEX(PARAMETROS_CULTURAS!$F$6:$F$28,$P593)+INDEX(PARAMETROS_CULTURAS!$G$6:$G$28,$P593),"DESENVOLVIMENTO",IF($O593&lt;=INDEX(PARAMETROS_CULTURAS!$F$6:$F$28,$P593)+INDEX(PARAMETROS_CULTURAS!$G$6:$G$28,$P593)+INDEX(PARAMETROS_CULTURAS!$H$6:$H$28,$P593),"MEDIA","FINAL"))))</f>
        <v>-</v>
      </c>
      <c r="R593" s="24" t="n">
        <f aca="false">IF($P593=0,0,IF($O593&lt;=INDEX(PARAMETROS_CULTURAS!$F$6:$F$28,$P593),INDEX(PARAMETROS_CULTURAS!$K$6:$K$28,$P593),IF($O593&lt;=INDEX(PARAMETROS_CULTURAS!$F$6:$F$28,$P593)+INDEX(PARAMETROS_CULTURAS!$G$6:$G$28,$P593),INDEX(PARAMETROS_CULTURAS!$K$6:$K$28,$P593)+(INDEX(PARAMETROS_CULTURAS!$L$6:$L$28,$P593)-INDEX(PARAMETROS_CULTURAS!$K$6:$K$28,$P593))*($O593-INDEX(PARAMETROS_CULTURAS!$F$6:$F$28,$P593))/MAX(INDEX(PARAMETROS_CULTURAS!$G$6:$G$28,$P593),0.0001),IF($O593&lt;=INDEX(PARAMETROS_CULTURAS!$F$6:$F$28,$P593)+INDEX(PARAMETROS_CULTURAS!$G$6:$G$28,$P593)+INDEX(PARAMETROS_CULTURAS!$H$6:$H$28,$P593),INDEX(PARAMETROS_CULTURAS!$L$6:$L$28,$P593),INDEX(PARAMETROS_CULTURAS!$L$6:$L$28,$P593)+(INDEX(PARAMETROS_CULTURAS!$M$6:$M$28,$P593)-INDEX(PARAMETROS_CULTURAS!$L$6:$L$28,$P593))*($O593-INDEX(PARAMETROS_CULTURAS!$F$6:$F$28,$P593)-INDEX(PARAMETROS_CULTURAS!$G$6:$G$28,$P593)-INDEX(PARAMETROS_CULTURAS!$H$6:$H$28,$P593))/MAX(INDEX(PARAMETROS_CULTURAS!$I$6:$I$28,$P593),0.0001)))))</f>
        <v>0</v>
      </c>
      <c r="S593" s="18" t="n">
        <f aca="false">IFERROR(INDEX(SEMANAS!$H$6:$H$71,MATCH($B593,SEMANAS!$B$6:$B$71,0)),0)</f>
        <v>39.2</v>
      </c>
      <c r="T593" s="18" t="n">
        <f aca="false">$R593*$S593</f>
        <v>0</v>
      </c>
      <c r="U593" s="18" t="n">
        <f aca="false">IFERROR(INDEX(SEMANAS!$I$6:$I$71,MATCH($B593,SEMANAS!$B$6:$B$71,0)),0)</f>
        <v>27.09</v>
      </c>
      <c r="V593" s="18" t="n">
        <f aca="false">IFERROR(INDEX(SEMANAS!$J$6:$J$71,MATCH($B593,SEMANAS!$B$6:$B$71,0)),0)</f>
        <v>21.672</v>
      </c>
      <c r="W593" s="18" t="n">
        <f aca="false">MAX(0,$T593-$V593)</f>
        <v>0</v>
      </c>
      <c r="X593" s="19" t="n">
        <f aca="false">IFERROR(INDEX(CADASTRO_PIVOS!$K$6:$K$41,MATCH($E593,CADASTRO_PIVOS!$B$6:$B$41,0)),EFICIENCIA_PADRAO)</f>
        <v>0.85</v>
      </c>
      <c r="Y593" s="18" t="n">
        <f aca="false">IF($X593&lt;=0,0,$W593/$X593)</f>
        <v>0</v>
      </c>
      <c r="Z593" s="16" t="n">
        <f aca="false">$Y593*$H593*MM_PARA_M3_HA</f>
        <v>0</v>
      </c>
      <c r="AA593" s="18" t="n">
        <f aca="false">IFERROR(INDEX(CADASTRO_PIVOS!$I$6:$I$41,MATCH($E593,CADASTRO_PIVOS!$B$6:$B$41,0)),0)</f>
        <v>717.214285714286</v>
      </c>
      <c r="AB593" s="18" t="n">
        <f aca="false">IF($Z593&lt;=0,0,$Z593/$AA593)</f>
        <v>0</v>
      </c>
      <c r="AC593" s="16" t="n">
        <f aca="false">IFERROR(INDEX(SEMANAS!$K$6:$K$71,MATCH($B593,SEMANAS!$B$6:$B$71,0)),0)</f>
        <v>147</v>
      </c>
      <c r="AD593" s="19" t="n">
        <f aca="false">IF($AC593&lt;=0,0,$AB593/$AC593)</f>
        <v>0</v>
      </c>
      <c r="AE593" s="8" t="str">
        <f aca="false">IF($K593="SEM CULTURA","SEM CULTURA",IF($AA593&lt;=0,"DADO PENDENTE",IF($AD593&gt;LIMITE_CRITICO,"INVIAVEL",IF($AD593&gt;LIMITE_ATENCAO,"CRITICO",IF($AD593&gt;LIMITE_CONFORTAVEL,"ATENCAO","OK")))))</f>
        <v>SEM CULTURA</v>
      </c>
      <c r="AF593" s="8" t="str">
        <f aca="false">$B593&amp;"|"&amp;TEXT($AD593,"0.000000")</f>
        <v>60|0.000000</v>
      </c>
      <c r="AG593" s="18" t="n">
        <f aca="false">IF($K593="SEM CULTURA",0,$T593*$H593)</f>
        <v>0</v>
      </c>
      <c r="AH593" s="18" t="n">
        <f aca="false">IF($K593="SEM CULTURA",0,$V593*$H593)</f>
        <v>0</v>
      </c>
      <c r="AI593" s="18" t="n">
        <f aca="false">IF($K593="SEM CULTURA",0,$W593*$H593)</f>
        <v>0</v>
      </c>
      <c r="AJ593" s="18" t="n">
        <f aca="false">IF($K593="SEM CULTURA",0,$S593*$H593)</f>
        <v>0</v>
      </c>
      <c r="AK593" s="8" t="str">
        <f aca="false">$E593&amp;"|"&amp;TEXT($AD593,"0.000000")</f>
        <v>PV 104|0.000000</v>
      </c>
    </row>
    <row r="594" customFormat="false" ht="15" hidden="false" customHeight="false" outlineLevel="0" collapsed="false">
      <c r="B594" s="16" t="n">
        <v>61</v>
      </c>
      <c r="C594" s="17" t="n">
        <f aca="false">DATA_INICIO_SAFRA+($B594-1)*DIAS_POR_SEMANA</f>
        <v>46685</v>
      </c>
      <c r="D594" s="17" t="n">
        <f aca="false">$C594+DIAS_POR_SEMANA-1</f>
        <v>46691</v>
      </c>
      <c r="E594" s="15" t="s">
        <v>267</v>
      </c>
      <c r="F594" s="8" t="str">
        <f aca="false">IFERROR(INDEX(CADASTRO_PIVOS!$C$6:$C$41,MATCH($E594,CADASTRO_PIVOS!$B$6:$B$41,0)),"?")</f>
        <v>RM04</v>
      </c>
      <c r="G594" s="8" t="str">
        <f aca="false">IFERROR(INDEX(CADASTRO_PIVOS!$D$6:$D$41,MATCH($E594,CADASTRO_PIVOS!$B$6:$B$41,0)),"?")</f>
        <v>TR04</v>
      </c>
      <c r="H594" s="20" t="n">
        <f aca="false">IFERROR(INDEX(CADASTRO_PIVOS!$E$6:$E$41,MATCH($E594,CADASTRO_PIVOS!$B$6:$B$41,0)),0)</f>
        <v>100.41</v>
      </c>
      <c r="I594" s="16" t="n">
        <f aca="false">IFERROR(SUMIFS(ROTACAO_RDM!$B$6:$B$71,ROTACAO_RDM!$D$6:$D$71,$E594,ROTACAO_RDM!$I$6:$I$71,"&lt;="&amp;$C594+INT(DIAS_POR_SEMANA/2),ROTACAO_RDM!$J$6:$J$71,"&gt;="&amp;$C594+INT(DIAS_POR_SEMANA/2)),0)</f>
        <v>0</v>
      </c>
      <c r="J594" s="16" t="n">
        <f aca="false">IFERROR(MATCH($I594,ROTACAO_RDM!$B$6:$B$71,0),0)</f>
        <v>0</v>
      </c>
      <c r="K594" s="8" t="str">
        <f aca="false">IF($J594=0,"SEM CULTURA",INDEX(ROTACAO_RDM!$F$6:$F$71,$J594))</f>
        <v>SEM CULTURA</v>
      </c>
      <c r="L594" s="8" t="str">
        <f aca="false">IF($J594=0,"",INDEX(ROTACAO_RDM!$G$6:$G$71,$J594))</f>
        <v/>
      </c>
      <c r="M594" s="17" t="str">
        <f aca="false">IF($J594=0,"",INDEX(ROTACAO_RDM!$I$6:$I$71,$J594))</f>
        <v/>
      </c>
      <c r="N594" s="16" t="n">
        <f aca="false">IF($J594=0,0,MAX(0,$C594+INT(DIAS_POR_SEMANA/2)-INDEX(ROTACAO_RDM!$I$6:$I$71,$J594)))</f>
        <v>0</v>
      </c>
      <c r="O594" s="19" t="n">
        <f aca="false">IF($J594=0,0,MIN(1,$N594/MAX(1,INDEX(ROTACAO_RDM!$K$6:$K$71,$J594))))</f>
        <v>0</v>
      </c>
      <c r="P594" s="16" t="n">
        <f aca="false">IF($J594=0,0,IFERROR(MATCH(INDEX(ROTACAO_RDM!$N$6:$N$71,$J594),PARAMETROS_CULTURAS!$B$6:$B$28,0),0))</f>
        <v>0</v>
      </c>
      <c r="Q594" s="8" t="str">
        <f aca="false">IF($P594=0,"-",IF($O594&lt;=INDEX(PARAMETROS_CULTURAS!$F$6:$F$28,$P594),"INICIAL",IF($O594&lt;=INDEX(PARAMETROS_CULTURAS!$F$6:$F$28,$P594)+INDEX(PARAMETROS_CULTURAS!$G$6:$G$28,$P594),"DESENVOLVIMENTO",IF($O594&lt;=INDEX(PARAMETROS_CULTURAS!$F$6:$F$28,$P594)+INDEX(PARAMETROS_CULTURAS!$G$6:$G$28,$P594)+INDEX(PARAMETROS_CULTURAS!$H$6:$H$28,$P594),"MEDIA","FINAL"))))</f>
        <v>-</v>
      </c>
      <c r="R594" s="24" t="n">
        <f aca="false">IF($P594=0,0,IF($O594&lt;=INDEX(PARAMETROS_CULTURAS!$F$6:$F$28,$P594),INDEX(PARAMETROS_CULTURAS!$K$6:$K$28,$P594),IF($O594&lt;=INDEX(PARAMETROS_CULTURAS!$F$6:$F$28,$P594)+INDEX(PARAMETROS_CULTURAS!$G$6:$G$28,$P594),INDEX(PARAMETROS_CULTURAS!$K$6:$K$28,$P594)+(INDEX(PARAMETROS_CULTURAS!$L$6:$L$28,$P594)-INDEX(PARAMETROS_CULTURAS!$K$6:$K$28,$P594))*($O594-INDEX(PARAMETROS_CULTURAS!$F$6:$F$28,$P594))/MAX(INDEX(PARAMETROS_CULTURAS!$G$6:$G$28,$P594),0.0001),IF($O594&lt;=INDEX(PARAMETROS_CULTURAS!$F$6:$F$28,$P594)+INDEX(PARAMETROS_CULTURAS!$G$6:$G$28,$P594)+INDEX(PARAMETROS_CULTURAS!$H$6:$H$28,$P594),INDEX(PARAMETROS_CULTURAS!$L$6:$L$28,$P594),INDEX(PARAMETROS_CULTURAS!$L$6:$L$28,$P594)+(INDEX(PARAMETROS_CULTURAS!$M$6:$M$28,$P594)-INDEX(PARAMETROS_CULTURAS!$L$6:$L$28,$P594))*($O594-INDEX(PARAMETROS_CULTURAS!$F$6:$F$28,$P594)-INDEX(PARAMETROS_CULTURAS!$G$6:$G$28,$P594)-INDEX(PARAMETROS_CULTURAS!$H$6:$H$28,$P594))/MAX(INDEX(PARAMETROS_CULTURAS!$I$6:$I$28,$P594),0.0001)))))</f>
        <v>0</v>
      </c>
      <c r="S594" s="18" t="n">
        <f aca="false">IFERROR(INDEX(SEMANAS!$H$6:$H$71,MATCH($B594,SEMANAS!$B$6:$B$71,0)),0)</f>
        <v>39.2</v>
      </c>
      <c r="T594" s="18" t="n">
        <f aca="false">$R594*$S594</f>
        <v>0</v>
      </c>
      <c r="U594" s="18" t="n">
        <f aca="false">IFERROR(INDEX(SEMANAS!$I$6:$I$71,MATCH($B594,SEMANAS!$B$6:$B$71,0)),0)</f>
        <v>27.09</v>
      </c>
      <c r="V594" s="18" t="n">
        <f aca="false">IFERROR(INDEX(SEMANAS!$J$6:$J$71,MATCH($B594,SEMANAS!$B$6:$B$71,0)),0)</f>
        <v>21.672</v>
      </c>
      <c r="W594" s="18" t="n">
        <f aca="false">MAX(0,$T594-$V594)</f>
        <v>0</v>
      </c>
      <c r="X594" s="19" t="n">
        <f aca="false">IFERROR(INDEX(CADASTRO_PIVOS!$K$6:$K$41,MATCH($E594,CADASTRO_PIVOS!$B$6:$B$41,0)),EFICIENCIA_PADRAO)</f>
        <v>0.85</v>
      </c>
      <c r="Y594" s="18" t="n">
        <f aca="false">IF($X594&lt;=0,0,$W594/$X594)</f>
        <v>0</v>
      </c>
      <c r="Z594" s="16" t="n">
        <f aca="false">$Y594*$H594*MM_PARA_M3_HA</f>
        <v>0</v>
      </c>
      <c r="AA594" s="18" t="n">
        <f aca="false">IFERROR(INDEX(CADASTRO_PIVOS!$I$6:$I$41,MATCH($E594,CADASTRO_PIVOS!$B$6:$B$41,0)),0)</f>
        <v>717.214285714286</v>
      </c>
      <c r="AB594" s="18" t="n">
        <f aca="false">IF($Z594&lt;=0,0,$Z594/$AA594)</f>
        <v>0</v>
      </c>
      <c r="AC594" s="16" t="n">
        <f aca="false">IFERROR(INDEX(SEMANAS!$K$6:$K$71,MATCH($B594,SEMANAS!$B$6:$B$71,0)),0)</f>
        <v>147</v>
      </c>
      <c r="AD594" s="19" t="n">
        <f aca="false">IF($AC594&lt;=0,0,$AB594/$AC594)</f>
        <v>0</v>
      </c>
      <c r="AE594" s="8" t="str">
        <f aca="false">IF($K594="SEM CULTURA","SEM CULTURA",IF($AA594&lt;=0,"DADO PENDENTE",IF($AD594&gt;LIMITE_CRITICO,"INVIAVEL",IF($AD594&gt;LIMITE_ATENCAO,"CRITICO",IF($AD594&gt;LIMITE_CONFORTAVEL,"ATENCAO","OK")))))</f>
        <v>SEM CULTURA</v>
      </c>
      <c r="AF594" s="8" t="str">
        <f aca="false">$B594&amp;"|"&amp;TEXT($AD594,"0.000000")</f>
        <v>61|0.000000</v>
      </c>
      <c r="AG594" s="18" t="n">
        <f aca="false">IF($K594="SEM CULTURA",0,$T594*$H594)</f>
        <v>0</v>
      </c>
      <c r="AH594" s="18" t="n">
        <f aca="false">IF($K594="SEM CULTURA",0,$V594*$H594)</f>
        <v>0</v>
      </c>
      <c r="AI594" s="18" t="n">
        <f aca="false">IF($K594="SEM CULTURA",0,$W594*$H594)</f>
        <v>0</v>
      </c>
      <c r="AJ594" s="18" t="n">
        <f aca="false">IF($K594="SEM CULTURA",0,$S594*$H594)</f>
        <v>0</v>
      </c>
      <c r="AK594" s="8" t="str">
        <f aca="false">$E594&amp;"|"&amp;TEXT($AD594,"0.000000")</f>
        <v>PV 104|0.000000</v>
      </c>
    </row>
    <row r="595" customFormat="false" ht="15" hidden="false" customHeight="false" outlineLevel="0" collapsed="false">
      <c r="B595" s="16" t="n">
        <v>62</v>
      </c>
      <c r="C595" s="17" t="n">
        <f aca="false">DATA_INICIO_SAFRA+($B595-1)*DIAS_POR_SEMANA</f>
        <v>46692</v>
      </c>
      <c r="D595" s="17" t="n">
        <f aca="false">$C595+DIAS_POR_SEMANA-1</f>
        <v>46698</v>
      </c>
      <c r="E595" s="15" t="s">
        <v>267</v>
      </c>
      <c r="F595" s="8" t="str">
        <f aca="false">IFERROR(INDEX(CADASTRO_PIVOS!$C$6:$C$41,MATCH($E595,CADASTRO_PIVOS!$B$6:$B$41,0)),"?")</f>
        <v>RM04</v>
      </c>
      <c r="G595" s="8" t="str">
        <f aca="false">IFERROR(INDEX(CADASTRO_PIVOS!$D$6:$D$41,MATCH($E595,CADASTRO_PIVOS!$B$6:$B$41,0)),"?")</f>
        <v>TR04</v>
      </c>
      <c r="H595" s="20" t="n">
        <f aca="false">IFERROR(INDEX(CADASTRO_PIVOS!$E$6:$E$41,MATCH($E595,CADASTRO_PIVOS!$B$6:$B$41,0)),0)</f>
        <v>100.41</v>
      </c>
      <c r="I595" s="16" t="n">
        <f aca="false">IFERROR(SUMIFS(ROTACAO_RDM!$B$6:$B$71,ROTACAO_RDM!$D$6:$D$71,$E595,ROTACAO_RDM!$I$6:$I$71,"&lt;="&amp;$C595+INT(DIAS_POR_SEMANA/2),ROTACAO_RDM!$J$6:$J$71,"&gt;="&amp;$C595+INT(DIAS_POR_SEMANA/2)),0)</f>
        <v>0</v>
      </c>
      <c r="J595" s="16" t="n">
        <f aca="false">IFERROR(MATCH($I595,ROTACAO_RDM!$B$6:$B$71,0),0)</f>
        <v>0</v>
      </c>
      <c r="K595" s="8" t="str">
        <f aca="false">IF($J595=0,"SEM CULTURA",INDEX(ROTACAO_RDM!$F$6:$F$71,$J595))</f>
        <v>SEM CULTURA</v>
      </c>
      <c r="L595" s="8" t="str">
        <f aca="false">IF($J595=0,"",INDEX(ROTACAO_RDM!$G$6:$G$71,$J595))</f>
        <v/>
      </c>
      <c r="M595" s="17" t="str">
        <f aca="false">IF($J595=0,"",INDEX(ROTACAO_RDM!$I$6:$I$71,$J595))</f>
        <v/>
      </c>
      <c r="N595" s="16" t="n">
        <f aca="false">IF($J595=0,0,MAX(0,$C595+INT(DIAS_POR_SEMANA/2)-INDEX(ROTACAO_RDM!$I$6:$I$71,$J595)))</f>
        <v>0</v>
      </c>
      <c r="O595" s="19" t="n">
        <f aca="false">IF($J595=0,0,MIN(1,$N595/MAX(1,INDEX(ROTACAO_RDM!$K$6:$K$71,$J595))))</f>
        <v>0</v>
      </c>
      <c r="P595" s="16" t="n">
        <f aca="false">IF($J595=0,0,IFERROR(MATCH(INDEX(ROTACAO_RDM!$N$6:$N$71,$J595),PARAMETROS_CULTURAS!$B$6:$B$28,0),0))</f>
        <v>0</v>
      </c>
      <c r="Q595" s="8" t="str">
        <f aca="false">IF($P595=0,"-",IF($O595&lt;=INDEX(PARAMETROS_CULTURAS!$F$6:$F$28,$P595),"INICIAL",IF($O595&lt;=INDEX(PARAMETROS_CULTURAS!$F$6:$F$28,$P595)+INDEX(PARAMETROS_CULTURAS!$G$6:$G$28,$P595),"DESENVOLVIMENTO",IF($O595&lt;=INDEX(PARAMETROS_CULTURAS!$F$6:$F$28,$P595)+INDEX(PARAMETROS_CULTURAS!$G$6:$G$28,$P595)+INDEX(PARAMETROS_CULTURAS!$H$6:$H$28,$P595),"MEDIA","FINAL"))))</f>
        <v>-</v>
      </c>
      <c r="R595" s="24" t="n">
        <f aca="false">IF($P595=0,0,IF($O595&lt;=INDEX(PARAMETROS_CULTURAS!$F$6:$F$28,$P595),INDEX(PARAMETROS_CULTURAS!$K$6:$K$28,$P595),IF($O595&lt;=INDEX(PARAMETROS_CULTURAS!$F$6:$F$28,$P595)+INDEX(PARAMETROS_CULTURAS!$G$6:$G$28,$P595),INDEX(PARAMETROS_CULTURAS!$K$6:$K$28,$P595)+(INDEX(PARAMETROS_CULTURAS!$L$6:$L$28,$P595)-INDEX(PARAMETROS_CULTURAS!$K$6:$K$28,$P595))*($O595-INDEX(PARAMETROS_CULTURAS!$F$6:$F$28,$P595))/MAX(INDEX(PARAMETROS_CULTURAS!$G$6:$G$28,$P595),0.0001),IF($O595&lt;=INDEX(PARAMETROS_CULTURAS!$F$6:$F$28,$P595)+INDEX(PARAMETROS_CULTURAS!$G$6:$G$28,$P595)+INDEX(PARAMETROS_CULTURAS!$H$6:$H$28,$P595),INDEX(PARAMETROS_CULTURAS!$L$6:$L$28,$P595),INDEX(PARAMETROS_CULTURAS!$L$6:$L$28,$P595)+(INDEX(PARAMETROS_CULTURAS!$M$6:$M$28,$P595)-INDEX(PARAMETROS_CULTURAS!$L$6:$L$28,$P595))*($O595-INDEX(PARAMETROS_CULTURAS!$F$6:$F$28,$P595)-INDEX(PARAMETROS_CULTURAS!$G$6:$G$28,$P595)-INDEX(PARAMETROS_CULTURAS!$H$6:$H$28,$P595))/MAX(INDEX(PARAMETROS_CULTURAS!$I$6:$I$28,$P595),0.0001)))))</f>
        <v>0</v>
      </c>
      <c r="S595" s="18" t="n">
        <f aca="false">IFERROR(INDEX(SEMANAS!$H$6:$H$71,MATCH($B595,SEMANAS!$B$6:$B$71,0)),0)</f>
        <v>34.3</v>
      </c>
      <c r="T595" s="18" t="n">
        <f aca="false">$R595*$S595</f>
        <v>0</v>
      </c>
      <c r="U595" s="18" t="n">
        <f aca="false">IFERROR(INDEX(SEMANAS!$I$6:$I$71,MATCH($B595,SEMANAS!$B$6:$B$71,0)),0)</f>
        <v>46.69</v>
      </c>
      <c r="V595" s="18" t="n">
        <f aca="false">IFERROR(INDEX(SEMANAS!$J$6:$J$71,MATCH($B595,SEMANAS!$B$6:$B$71,0)),0)</f>
        <v>37.352</v>
      </c>
      <c r="W595" s="18" t="n">
        <f aca="false">MAX(0,$T595-$V595)</f>
        <v>0</v>
      </c>
      <c r="X595" s="19" t="n">
        <f aca="false">IFERROR(INDEX(CADASTRO_PIVOS!$K$6:$K$41,MATCH($E595,CADASTRO_PIVOS!$B$6:$B$41,0)),EFICIENCIA_PADRAO)</f>
        <v>0.85</v>
      </c>
      <c r="Y595" s="18" t="n">
        <f aca="false">IF($X595&lt;=0,0,$W595/$X595)</f>
        <v>0</v>
      </c>
      <c r="Z595" s="16" t="n">
        <f aca="false">$Y595*$H595*MM_PARA_M3_HA</f>
        <v>0</v>
      </c>
      <c r="AA595" s="18" t="n">
        <f aca="false">IFERROR(INDEX(CADASTRO_PIVOS!$I$6:$I$41,MATCH($E595,CADASTRO_PIVOS!$B$6:$B$41,0)),0)</f>
        <v>717.214285714286</v>
      </c>
      <c r="AB595" s="18" t="n">
        <f aca="false">IF($Z595&lt;=0,0,$Z595/$AA595)</f>
        <v>0</v>
      </c>
      <c r="AC595" s="16" t="n">
        <f aca="false">IFERROR(INDEX(SEMANAS!$K$6:$K$71,MATCH($B595,SEMANAS!$B$6:$B$71,0)),0)</f>
        <v>147</v>
      </c>
      <c r="AD595" s="19" t="n">
        <f aca="false">IF($AC595&lt;=0,0,$AB595/$AC595)</f>
        <v>0</v>
      </c>
      <c r="AE595" s="8" t="str">
        <f aca="false">IF($K595="SEM CULTURA","SEM CULTURA",IF($AA595&lt;=0,"DADO PENDENTE",IF($AD595&gt;LIMITE_CRITICO,"INVIAVEL",IF($AD595&gt;LIMITE_ATENCAO,"CRITICO",IF($AD595&gt;LIMITE_CONFORTAVEL,"ATENCAO","OK")))))</f>
        <v>SEM CULTURA</v>
      </c>
      <c r="AF595" s="8" t="str">
        <f aca="false">$B595&amp;"|"&amp;TEXT($AD595,"0.000000")</f>
        <v>62|0.000000</v>
      </c>
      <c r="AG595" s="18" t="n">
        <f aca="false">IF($K595="SEM CULTURA",0,$T595*$H595)</f>
        <v>0</v>
      </c>
      <c r="AH595" s="18" t="n">
        <f aca="false">IF($K595="SEM CULTURA",0,$V595*$H595)</f>
        <v>0</v>
      </c>
      <c r="AI595" s="18" t="n">
        <f aca="false">IF($K595="SEM CULTURA",0,$W595*$H595)</f>
        <v>0</v>
      </c>
      <c r="AJ595" s="18" t="n">
        <f aca="false">IF($K595="SEM CULTURA",0,$S595*$H595)</f>
        <v>0</v>
      </c>
      <c r="AK595" s="8" t="str">
        <f aca="false">$E595&amp;"|"&amp;TEXT($AD595,"0.000000")</f>
        <v>PV 104|0.000000</v>
      </c>
    </row>
    <row r="596" customFormat="false" ht="15" hidden="false" customHeight="false" outlineLevel="0" collapsed="false">
      <c r="B596" s="16" t="n">
        <v>63</v>
      </c>
      <c r="C596" s="17" t="n">
        <f aca="false">DATA_INICIO_SAFRA+($B596-1)*DIAS_POR_SEMANA</f>
        <v>46699</v>
      </c>
      <c r="D596" s="17" t="n">
        <f aca="false">$C596+DIAS_POR_SEMANA-1</f>
        <v>46705</v>
      </c>
      <c r="E596" s="15" t="s">
        <v>267</v>
      </c>
      <c r="F596" s="8" t="str">
        <f aca="false">IFERROR(INDEX(CADASTRO_PIVOS!$C$6:$C$41,MATCH($E596,CADASTRO_PIVOS!$B$6:$B$41,0)),"?")</f>
        <v>RM04</v>
      </c>
      <c r="G596" s="8" t="str">
        <f aca="false">IFERROR(INDEX(CADASTRO_PIVOS!$D$6:$D$41,MATCH($E596,CADASTRO_PIVOS!$B$6:$B$41,0)),"?")</f>
        <v>TR04</v>
      </c>
      <c r="H596" s="20" t="n">
        <f aca="false">IFERROR(INDEX(CADASTRO_PIVOS!$E$6:$E$41,MATCH($E596,CADASTRO_PIVOS!$B$6:$B$41,0)),0)</f>
        <v>100.41</v>
      </c>
      <c r="I596" s="16" t="n">
        <f aca="false">IFERROR(SUMIFS(ROTACAO_RDM!$B$6:$B$71,ROTACAO_RDM!$D$6:$D$71,$E596,ROTACAO_RDM!$I$6:$I$71,"&lt;="&amp;$C596+INT(DIAS_POR_SEMANA/2),ROTACAO_RDM!$J$6:$J$71,"&gt;="&amp;$C596+INT(DIAS_POR_SEMANA/2)),0)</f>
        <v>0</v>
      </c>
      <c r="J596" s="16" t="n">
        <f aca="false">IFERROR(MATCH($I596,ROTACAO_RDM!$B$6:$B$71,0),0)</f>
        <v>0</v>
      </c>
      <c r="K596" s="8" t="str">
        <f aca="false">IF($J596=0,"SEM CULTURA",INDEX(ROTACAO_RDM!$F$6:$F$71,$J596))</f>
        <v>SEM CULTURA</v>
      </c>
      <c r="L596" s="8" t="str">
        <f aca="false">IF($J596=0,"",INDEX(ROTACAO_RDM!$G$6:$G$71,$J596))</f>
        <v/>
      </c>
      <c r="M596" s="17" t="str">
        <f aca="false">IF($J596=0,"",INDEX(ROTACAO_RDM!$I$6:$I$71,$J596))</f>
        <v/>
      </c>
      <c r="N596" s="16" t="n">
        <f aca="false">IF($J596=0,0,MAX(0,$C596+INT(DIAS_POR_SEMANA/2)-INDEX(ROTACAO_RDM!$I$6:$I$71,$J596)))</f>
        <v>0</v>
      </c>
      <c r="O596" s="19" t="n">
        <f aca="false">IF($J596=0,0,MIN(1,$N596/MAX(1,INDEX(ROTACAO_RDM!$K$6:$K$71,$J596))))</f>
        <v>0</v>
      </c>
      <c r="P596" s="16" t="n">
        <f aca="false">IF($J596=0,0,IFERROR(MATCH(INDEX(ROTACAO_RDM!$N$6:$N$71,$J596),PARAMETROS_CULTURAS!$B$6:$B$28,0),0))</f>
        <v>0</v>
      </c>
      <c r="Q596" s="8" t="str">
        <f aca="false">IF($P596=0,"-",IF($O596&lt;=INDEX(PARAMETROS_CULTURAS!$F$6:$F$28,$P596),"INICIAL",IF($O596&lt;=INDEX(PARAMETROS_CULTURAS!$F$6:$F$28,$P596)+INDEX(PARAMETROS_CULTURAS!$G$6:$G$28,$P596),"DESENVOLVIMENTO",IF($O596&lt;=INDEX(PARAMETROS_CULTURAS!$F$6:$F$28,$P596)+INDEX(PARAMETROS_CULTURAS!$G$6:$G$28,$P596)+INDEX(PARAMETROS_CULTURAS!$H$6:$H$28,$P596),"MEDIA","FINAL"))))</f>
        <v>-</v>
      </c>
      <c r="R596" s="24" t="n">
        <f aca="false">IF($P596=0,0,IF($O596&lt;=INDEX(PARAMETROS_CULTURAS!$F$6:$F$28,$P596),INDEX(PARAMETROS_CULTURAS!$K$6:$K$28,$P596),IF($O596&lt;=INDEX(PARAMETROS_CULTURAS!$F$6:$F$28,$P596)+INDEX(PARAMETROS_CULTURAS!$G$6:$G$28,$P596),INDEX(PARAMETROS_CULTURAS!$K$6:$K$28,$P596)+(INDEX(PARAMETROS_CULTURAS!$L$6:$L$28,$P596)-INDEX(PARAMETROS_CULTURAS!$K$6:$K$28,$P596))*($O596-INDEX(PARAMETROS_CULTURAS!$F$6:$F$28,$P596))/MAX(INDEX(PARAMETROS_CULTURAS!$G$6:$G$28,$P596),0.0001),IF($O596&lt;=INDEX(PARAMETROS_CULTURAS!$F$6:$F$28,$P596)+INDEX(PARAMETROS_CULTURAS!$G$6:$G$28,$P596)+INDEX(PARAMETROS_CULTURAS!$H$6:$H$28,$P596),INDEX(PARAMETROS_CULTURAS!$L$6:$L$28,$P596),INDEX(PARAMETROS_CULTURAS!$L$6:$L$28,$P596)+(INDEX(PARAMETROS_CULTURAS!$M$6:$M$28,$P596)-INDEX(PARAMETROS_CULTURAS!$L$6:$L$28,$P596))*($O596-INDEX(PARAMETROS_CULTURAS!$F$6:$F$28,$P596)-INDEX(PARAMETROS_CULTURAS!$G$6:$G$28,$P596)-INDEX(PARAMETROS_CULTURAS!$H$6:$H$28,$P596))/MAX(INDEX(PARAMETROS_CULTURAS!$I$6:$I$28,$P596),0.0001)))))</f>
        <v>0</v>
      </c>
      <c r="S596" s="18" t="n">
        <f aca="false">IFERROR(INDEX(SEMANAS!$H$6:$H$71,MATCH($B596,SEMANAS!$B$6:$B$71,0)),0)</f>
        <v>34.3</v>
      </c>
      <c r="T596" s="18" t="n">
        <f aca="false">$R596*$S596</f>
        <v>0</v>
      </c>
      <c r="U596" s="18" t="n">
        <f aca="false">IFERROR(INDEX(SEMANAS!$I$6:$I$71,MATCH($B596,SEMANAS!$B$6:$B$71,0)),0)</f>
        <v>46.69</v>
      </c>
      <c r="V596" s="18" t="n">
        <f aca="false">IFERROR(INDEX(SEMANAS!$J$6:$J$71,MATCH($B596,SEMANAS!$B$6:$B$71,0)),0)</f>
        <v>37.352</v>
      </c>
      <c r="W596" s="18" t="n">
        <f aca="false">MAX(0,$T596-$V596)</f>
        <v>0</v>
      </c>
      <c r="X596" s="19" t="n">
        <f aca="false">IFERROR(INDEX(CADASTRO_PIVOS!$K$6:$K$41,MATCH($E596,CADASTRO_PIVOS!$B$6:$B$41,0)),EFICIENCIA_PADRAO)</f>
        <v>0.85</v>
      </c>
      <c r="Y596" s="18" t="n">
        <f aca="false">IF($X596&lt;=0,0,$W596/$X596)</f>
        <v>0</v>
      </c>
      <c r="Z596" s="16" t="n">
        <f aca="false">$Y596*$H596*MM_PARA_M3_HA</f>
        <v>0</v>
      </c>
      <c r="AA596" s="18" t="n">
        <f aca="false">IFERROR(INDEX(CADASTRO_PIVOS!$I$6:$I$41,MATCH($E596,CADASTRO_PIVOS!$B$6:$B$41,0)),0)</f>
        <v>717.214285714286</v>
      </c>
      <c r="AB596" s="18" t="n">
        <f aca="false">IF($Z596&lt;=0,0,$Z596/$AA596)</f>
        <v>0</v>
      </c>
      <c r="AC596" s="16" t="n">
        <f aca="false">IFERROR(INDEX(SEMANAS!$K$6:$K$71,MATCH($B596,SEMANAS!$B$6:$B$71,0)),0)</f>
        <v>147</v>
      </c>
      <c r="AD596" s="19" t="n">
        <f aca="false">IF($AC596&lt;=0,0,$AB596/$AC596)</f>
        <v>0</v>
      </c>
      <c r="AE596" s="8" t="str">
        <f aca="false">IF($K596="SEM CULTURA","SEM CULTURA",IF($AA596&lt;=0,"DADO PENDENTE",IF($AD596&gt;LIMITE_CRITICO,"INVIAVEL",IF($AD596&gt;LIMITE_ATENCAO,"CRITICO",IF($AD596&gt;LIMITE_CONFORTAVEL,"ATENCAO","OK")))))</f>
        <v>SEM CULTURA</v>
      </c>
      <c r="AF596" s="8" t="str">
        <f aca="false">$B596&amp;"|"&amp;TEXT($AD596,"0.000000")</f>
        <v>63|0.000000</v>
      </c>
      <c r="AG596" s="18" t="n">
        <f aca="false">IF($K596="SEM CULTURA",0,$T596*$H596)</f>
        <v>0</v>
      </c>
      <c r="AH596" s="18" t="n">
        <f aca="false">IF($K596="SEM CULTURA",0,$V596*$H596)</f>
        <v>0</v>
      </c>
      <c r="AI596" s="18" t="n">
        <f aca="false">IF($K596="SEM CULTURA",0,$W596*$H596)</f>
        <v>0</v>
      </c>
      <c r="AJ596" s="18" t="n">
        <f aca="false">IF($K596="SEM CULTURA",0,$S596*$H596)</f>
        <v>0</v>
      </c>
      <c r="AK596" s="8" t="str">
        <f aca="false">$E596&amp;"|"&amp;TEXT($AD596,"0.000000")</f>
        <v>PV 104|0.000000</v>
      </c>
    </row>
    <row r="597" customFormat="false" ht="15" hidden="false" customHeight="false" outlineLevel="0" collapsed="false">
      <c r="B597" s="16" t="n">
        <v>64</v>
      </c>
      <c r="C597" s="17" t="n">
        <f aca="false">DATA_INICIO_SAFRA+($B597-1)*DIAS_POR_SEMANA</f>
        <v>46706</v>
      </c>
      <c r="D597" s="17" t="n">
        <f aca="false">$C597+DIAS_POR_SEMANA-1</f>
        <v>46712</v>
      </c>
      <c r="E597" s="15" t="s">
        <v>267</v>
      </c>
      <c r="F597" s="8" t="str">
        <f aca="false">IFERROR(INDEX(CADASTRO_PIVOS!$C$6:$C$41,MATCH($E597,CADASTRO_PIVOS!$B$6:$B$41,0)),"?")</f>
        <v>RM04</v>
      </c>
      <c r="G597" s="8" t="str">
        <f aca="false">IFERROR(INDEX(CADASTRO_PIVOS!$D$6:$D$41,MATCH($E597,CADASTRO_PIVOS!$B$6:$B$41,0)),"?")</f>
        <v>TR04</v>
      </c>
      <c r="H597" s="20" t="n">
        <f aca="false">IFERROR(INDEX(CADASTRO_PIVOS!$E$6:$E$41,MATCH($E597,CADASTRO_PIVOS!$B$6:$B$41,0)),0)</f>
        <v>100.41</v>
      </c>
      <c r="I597" s="16" t="n">
        <f aca="false">IFERROR(SUMIFS(ROTACAO_RDM!$B$6:$B$71,ROTACAO_RDM!$D$6:$D$71,$E597,ROTACAO_RDM!$I$6:$I$71,"&lt;="&amp;$C597+INT(DIAS_POR_SEMANA/2),ROTACAO_RDM!$J$6:$J$71,"&gt;="&amp;$C597+INT(DIAS_POR_SEMANA/2)),0)</f>
        <v>0</v>
      </c>
      <c r="J597" s="16" t="n">
        <f aca="false">IFERROR(MATCH($I597,ROTACAO_RDM!$B$6:$B$71,0),0)</f>
        <v>0</v>
      </c>
      <c r="K597" s="8" t="str">
        <f aca="false">IF($J597=0,"SEM CULTURA",INDEX(ROTACAO_RDM!$F$6:$F$71,$J597))</f>
        <v>SEM CULTURA</v>
      </c>
      <c r="L597" s="8" t="str">
        <f aca="false">IF($J597=0,"",INDEX(ROTACAO_RDM!$G$6:$G$71,$J597))</f>
        <v/>
      </c>
      <c r="M597" s="17" t="str">
        <f aca="false">IF($J597=0,"",INDEX(ROTACAO_RDM!$I$6:$I$71,$J597))</f>
        <v/>
      </c>
      <c r="N597" s="16" t="n">
        <f aca="false">IF($J597=0,0,MAX(0,$C597+INT(DIAS_POR_SEMANA/2)-INDEX(ROTACAO_RDM!$I$6:$I$71,$J597)))</f>
        <v>0</v>
      </c>
      <c r="O597" s="19" t="n">
        <f aca="false">IF($J597=0,0,MIN(1,$N597/MAX(1,INDEX(ROTACAO_RDM!$K$6:$K$71,$J597))))</f>
        <v>0</v>
      </c>
      <c r="P597" s="16" t="n">
        <f aca="false">IF($J597=0,0,IFERROR(MATCH(INDEX(ROTACAO_RDM!$N$6:$N$71,$J597),PARAMETROS_CULTURAS!$B$6:$B$28,0),0))</f>
        <v>0</v>
      </c>
      <c r="Q597" s="8" t="str">
        <f aca="false">IF($P597=0,"-",IF($O597&lt;=INDEX(PARAMETROS_CULTURAS!$F$6:$F$28,$P597),"INICIAL",IF($O597&lt;=INDEX(PARAMETROS_CULTURAS!$F$6:$F$28,$P597)+INDEX(PARAMETROS_CULTURAS!$G$6:$G$28,$P597),"DESENVOLVIMENTO",IF($O597&lt;=INDEX(PARAMETROS_CULTURAS!$F$6:$F$28,$P597)+INDEX(PARAMETROS_CULTURAS!$G$6:$G$28,$P597)+INDEX(PARAMETROS_CULTURAS!$H$6:$H$28,$P597),"MEDIA","FINAL"))))</f>
        <v>-</v>
      </c>
      <c r="R597" s="24" t="n">
        <f aca="false">IF($P597=0,0,IF($O597&lt;=INDEX(PARAMETROS_CULTURAS!$F$6:$F$28,$P597),INDEX(PARAMETROS_CULTURAS!$K$6:$K$28,$P597),IF($O597&lt;=INDEX(PARAMETROS_CULTURAS!$F$6:$F$28,$P597)+INDEX(PARAMETROS_CULTURAS!$G$6:$G$28,$P597),INDEX(PARAMETROS_CULTURAS!$K$6:$K$28,$P597)+(INDEX(PARAMETROS_CULTURAS!$L$6:$L$28,$P597)-INDEX(PARAMETROS_CULTURAS!$K$6:$K$28,$P597))*($O597-INDEX(PARAMETROS_CULTURAS!$F$6:$F$28,$P597))/MAX(INDEX(PARAMETROS_CULTURAS!$G$6:$G$28,$P597),0.0001),IF($O597&lt;=INDEX(PARAMETROS_CULTURAS!$F$6:$F$28,$P597)+INDEX(PARAMETROS_CULTURAS!$G$6:$G$28,$P597)+INDEX(PARAMETROS_CULTURAS!$H$6:$H$28,$P597),INDEX(PARAMETROS_CULTURAS!$L$6:$L$28,$P597),INDEX(PARAMETROS_CULTURAS!$L$6:$L$28,$P597)+(INDEX(PARAMETROS_CULTURAS!$M$6:$M$28,$P597)-INDEX(PARAMETROS_CULTURAS!$L$6:$L$28,$P597))*($O597-INDEX(PARAMETROS_CULTURAS!$F$6:$F$28,$P597)-INDEX(PARAMETROS_CULTURAS!$G$6:$G$28,$P597)-INDEX(PARAMETROS_CULTURAS!$H$6:$H$28,$P597))/MAX(INDEX(PARAMETROS_CULTURAS!$I$6:$I$28,$P597),0.0001)))))</f>
        <v>0</v>
      </c>
      <c r="S597" s="18" t="n">
        <f aca="false">IFERROR(INDEX(SEMANAS!$H$6:$H$71,MATCH($B597,SEMANAS!$B$6:$B$71,0)),0)</f>
        <v>34.3</v>
      </c>
      <c r="T597" s="18" t="n">
        <f aca="false">$R597*$S597</f>
        <v>0</v>
      </c>
      <c r="U597" s="18" t="n">
        <f aca="false">IFERROR(INDEX(SEMANAS!$I$6:$I$71,MATCH($B597,SEMANAS!$B$6:$B$71,0)),0)</f>
        <v>46.69</v>
      </c>
      <c r="V597" s="18" t="n">
        <f aca="false">IFERROR(INDEX(SEMANAS!$J$6:$J$71,MATCH($B597,SEMANAS!$B$6:$B$71,0)),0)</f>
        <v>37.352</v>
      </c>
      <c r="W597" s="18" t="n">
        <f aca="false">MAX(0,$T597-$V597)</f>
        <v>0</v>
      </c>
      <c r="X597" s="19" t="n">
        <f aca="false">IFERROR(INDEX(CADASTRO_PIVOS!$K$6:$K$41,MATCH($E597,CADASTRO_PIVOS!$B$6:$B$41,0)),EFICIENCIA_PADRAO)</f>
        <v>0.85</v>
      </c>
      <c r="Y597" s="18" t="n">
        <f aca="false">IF($X597&lt;=0,0,$W597/$X597)</f>
        <v>0</v>
      </c>
      <c r="Z597" s="16" t="n">
        <f aca="false">$Y597*$H597*MM_PARA_M3_HA</f>
        <v>0</v>
      </c>
      <c r="AA597" s="18" t="n">
        <f aca="false">IFERROR(INDEX(CADASTRO_PIVOS!$I$6:$I$41,MATCH($E597,CADASTRO_PIVOS!$B$6:$B$41,0)),0)</f>
        <v>717.214285714286</v>
      </c>
      <c r="AB597" s="18" t="n">
        <f aca="false">IF($Z597&lt;=0,0,$Z597/$AA597)</f>
        <v>0</v>
      </c>
      <c r="AC597" s="16" t="n">
        <f aca="false">IFERROR(INDEX(SEMANAS!$K$6:$K$71,MATCH($B597,SEMANAS!$B$6:$B$71,0)),0)</f>
        <v>147</v>
      </c>
      <c r="AD597" s="19" t="n">
        <f aca="false">IF($AC597&lt;=0,0,$AB597/$AC597)</f>
        <v>0</v>
      </c>
      <c r="AE597" s="8" t="str">
        <f aca="false">IF($K597="SEM CULTURA","SEM CULTURA",IF($AA597&lt;=0,"DADO PENDENTE",IF($AD597&gt;LIMITE_CRITICO,"INVIAVEL",IF($AD597&gt;LIMITE_ATENCAO,"CRITICO",IF($AD597&gt;LIMITE_CONFORTAVEL,"ATENCAO","OK")))))</f>
        <v>SEM CULTURA</v>
      </c>
      <c r="AF597" s="8" t="str">
        <f aca="false">$B597&amp;"|"&amp;TEXT($AD597,"0.000000")</f>
        <v>64|0.000000</v>
      </c>
      <c r="AG597" s="18" t="n">
        <f aca="false">IF($K597="SEM CULTURA",0,$T597*$H597)</f>
        <v>0</v>
      </c>
      <c r="AH597" s="18" t="n">
        <f aca="false">IF($K597="SEM CULTURA",0,$V597*$H597)</f>
        <v>0</v>
      </c>
      <c r="AI597" s="18" t="n">
        <f aca="false">IF($K597="SEM CULTURA",0,$W597*$H597)</f>
        <v>0</v>
      </c>
      <c r="AJ597" s="18" t="n">
        <f aca="false">IF($K597="SEM CULTURA",0,$S597*$H597)</f>
        <v>0</v>
      </c>
      <c r="AK597" s="8" t="str">
        <f aca="false">$E597&amp;"|"&amp;TEXT($AD597,"0.000000")</f>
        <v>PV 104|0.000000</v>
      </c>
    </row>
    <row r="598" customFormat="false" ht="15" hidden="false" customHeight="false" outlineLevel="0" collapsed="false">
      <c r="B598" s="16" t="n">
        <v>65</v>
      </c>
      <c r="C598" s="17" t="n">
        <f aca="false">DATA_INICIO_SAFRA+($B598-1)*DIAS_POR_SEMANA</f>
        <v>46713</v>
      </c>
      <c r="D598" s="17" t="n">
        <f aca="false">$C598+DIAS_POR_SEMANA-1</f>
        <v>46719</v>
      </c>
      <c r="E598" s="15" t="s">
        <v>267</v>
      </c>
      <c r="F598" s="8" t="str">
        <f aca="false">IFERROR(INDEX(CADASTRO_PIVOS!$C$6:$C$41,MATCH($E598,CADASTRO_PIVOS!$B$6:$B$41,0)),"?")</f>
        <v>RM04</v>
      </c>
      <c r="G598" s="8" t="str">
        <f aca="false">IFERROR(INDEX(CADASTRO_PIVOS!$D$6:$D$41,MATCH($E598,CADASTRO_PIVOS!$B$6:$B$41,0)),"?")</f>
        <v>TR04</v>
      </c>
      <c r="H598" s="20" t="n">
        <f aca="false">IFERROR(INDEX(CADASTRO_PIVOS!$E$6:$E$41,MATCH($E598,CADASTRO_PIVOS!$B$6:$B$41,0)),0)</f>
        <v>100.41</v>
      </c>
      <c r="I598" s="16" t="n">
        <f aca="false">IFERROR(SUMIFS(ROTACAO_RDM!$B$6:$B$71,ROTACAO_RDM!$D$6:$D$71,$E598,ROTACAO_RDM!$I$6:$I$71,"&lt;="&amp;$C598+INT(DIAS_POR_SEMANA/2),ROTACAO_RDM!$J$6:$J$71,"&gt;="&amp;$C598+INT(DIAS_POR_SEMANA/2)),0)</f>
        <v>0</v>
      </c>
      <c r="J598" s="16" t="n">
        <f aca="false">IFERROR(MATCH($I598,ROTACAO_RDM!$B$6:$B$71,0),0)</f>
        <v>0</v>
      </c>
      <c r="K598" s="8" t="str">
        <f aca="false">IF($J598=0,"SEM CULTURA",INDEX(ROTACAO_RDM!$F$6:$F$71,$J598))</f>
        <v>SEM CULTURA</v>
      </c>
      <c r="L598" s="8" t="str">
        <f aca="false">IF($J598=0,"",INDEX(ROTACAO_RDM!$G$6:$G$71,$J598))</f>
        <v/>
      </c>
      <c r="M598" s="17" t="str">
        <f aca="false">IF($J598=0,"",INDEX(ROTACAO_RDM!$I$6:$I$71,$J598))</f>
        <v/>
      </c>
      <c r="N598" s="16" t="n">
        <f aca="false">IF($J598=0,0,MAX(0,$C598+INT(DIAS_POR_SEMANA/2)-INDEX(ROTACAO_RDM!$I$6:$I$71,$J598)))</f>
        <v>0</v>
      </c>
      <c r="O598" s="19" t="n">
        <f aca="false">IF($J598=0,0,MIN(1,$N598/MAX(1,INDEX(ROTACAO_RDM!$K$6:$K$71,$J598))))</f>
        <v>0</v>
      </c>
      <c r="P598" s="16" t="n">
        <f aca="false">IF($J598=0,0,IFERROR(MATCH(INDEX(ROTACAO_RDM!$N$6:$N$71,$J598),PARAMETROS_CULTURAS!$B$6:$B$28,0),0))</f>
        <v>0</v>
      </c>
      <c r="Q598" s="8" t="str">
        <f aca="false">IF($P598=0,"-",IF($O598&lt;=INDEX(PARAMETROS_CULTURAS!$F$6:$F$28,$P598),"INICIAL",IF($O598&lt;=INDEX(PARAMETROS_CULTURAS!$F$6:$F$28,$P598)+INDEX(PARAMETROS_CULTURAS!$G$6:$G$28,$P598),"DESENVOLVIMENTO",IF($O598&lt;=INDEX(PARAMETROS_CULTURAS!$F$6:$F$28,$P598)+INDEX(PARAMETROS_CULTURAS!$G$6:$G$28,$P598)+INDEX(PARAMETROS_CULTURAS!$H$6:$H$28,$P598),"MEDIA","FINAL"))))</f>
        <v>-</v>
      </c>
      <c r="R598" s="24" t="n">
        <f aca="false">IF($P598=0,0,IF($O598&lt;=INDEX(PARAMETROS_CULTURAS!$F$6:$F$28,$P598),INDEX(PARAMETROS_CULTURAS!$K$6:$K$28,$P598),IF($O598&lt;=INDEX(PARAMETROS_CULTURAS!$F$6:$F$28,$P598)+INDEX(PARAMETROS_CULTURAS!$G$6:$G$28,$P598),INDEX(PARAMETROS_CULTURAS!$K$6:$K$28,$P598)+(INDEX(PARAMETROS_CULTURAS!$L$6:$L$28,$P598)-INDEX(PARAMETROS_CULTURAS!$K$6:$K$28,$P598))*($O598-INDEX(PARAMETROS_CULTURAS!$F$6:$F$28,$P598))/MAX(INDEX(PARAMETROS_CULTURAS!$G$6:$G$28,$P598),0.0001),IF($O598&lt;=INDEX(PARAMETROS_CULTURAS!$F$6:$F$28,$P598)+INDEX(PARAMETROS_CULTURAS!$G$6:$G$28,$P598)+INDEX(PARAMETROS_CULTURAS!$H$6:$H$28,$P598),INDEX(PARAMETROS_CULTURAS!$L$6:$L$28,$P598),INDEX(PARAMETROS_CULTURAS!$L$6:$L$28,$P598)+(INDEX(PARAMETROS_CULTURAS!$M$6:$M$28,$P598)-INDEX(PARAMETROS_CULTURAS!$L$6:$L$28,$P598))*($O598-INDEX(PARAMETROS_CULTURAS!$F$6:$F$28,$P598)-INDEX(PARAMETROS_CULTURAS!$G$6:$G$28,$P598)-INDEX(PARAMETROS_CULTURAS!$H$6:$H$28,$P598))/MAX(INDEX(PARAMETROS_CULTURAS!$I$6:$I$28,$P598),0.0001)))))</f>
        <v>0</v>
      </c>
      <c r="S598" s="18" t="n">
        <f aca="false">IFERROR(INDEX(SEMANAS!$H$6:$H$71,MATCH($B598,SEMANAS!$B$6:$B$71,0)),0)</f>
        <v>34.3</v>
      </c>
      <c r="T598" s="18" t="n">
        <f aca="false">$R598*$S598</f>
        <v>0</v>
      </c>
      <c r="U598" s="18" t="n">
        <f aca="false">IFERROR(INDEX(SEMANAS!$I$6:$I$71,MATCH($B598,SEMANAS!$B$6:$B$71,0)),0)</f>
        <v>46.69</v>
      </c>
      <c r="V598" s="18" t="n">
        <f aca="false">IFERROR(INDEX(SEMANAS!$J$6:$J$71,MATCH($B598,SEMANAS!$B$6:$B$71,0)),0)</f>
        <v>37.352</v>
      </c>
      <c r="W598" s="18" t="n">
        <f aca="false">MAX(0,$T598-$V598)</f>
        <v>0</v>
      </c>
      <c r="X598" s="19" t="n">
        <f aca="false">IFERROR(INDEX(CADASTRO_PIVOS!$K$6:$K$41,MATCH($E598,CADASTRO_PIVOS!$B$6:$B$41,0)),EFICIENCIA_PADRAO)</f>
        <v>0.85</v>
      </c>
      <c r="Y598" s="18" t="n">
        <f aca="false">IF($X598&lt;=0,0,$W598/$X598)</f>
        <v>0</v>
      </c>
      <c r="Z598" s="16" t="n">
        <f aca="false">$Y598*$H598*MM_PARA_M3_HA</f>
        <v>0</v>
      </c>
      <c r="AA598" s="18" t="n">
        <f aca="false">IFERROR(INDEX(CADASTRO_PIVOS!$I$6:$I$41,MATCH($E598,CADASTRO_PIVOS!$B$6:$B$41,0)),0)</f>
        <v>717.214285714286</v>
      </c>
      <c r="AB598" s="18" t="n">
        <f aca="false">IF($Z598&lt;=0,0,$Z598/$AA598)</f>
        <v>0</v>
      </c>
      <c r="AC598" s="16" t="n">
        <f aca="false">IFERROR(INDEX(SEMANAS!$K$6:$K$71,MATCH($B598,SEMANAS!$B$6:$B$71,0)),0)</f>
        <v>147</v>
      </c>
      <c r="AD598" s="19" t="n">
        <f aca="false">IF($AC598&lt;=0,0,$AB598/$AC598)</f>
        <v>0</v>
      </c>
      <c r="AE598" s="8" t="str">
        <f aca="false">IF($K598="SEM CULTURA","SEM CULTURA",IF($AA598&lt;=0,"DADO PENDENTE",IF($AD598&gt;LIMITE_CRITICO,"INVIAVEL",IF($AD598&gt;LIMITE_ATENCAO,"CRITICO",IF($AD598&gt;LIMITE_CONFORTAVEL,"ATENCAO","OK")))))</f>
        <v>SEM CULTURA</v>
      </c>
      <c r="AF598" s="8" t="str">
        <f aca="false">$B598&amp;"|"&amp;TEXT($AD598,"0.000000")</f>
        <v>65|0.000000</v>
      </c>
      <c r="AG598" s="18" t="n">
        <f aca="false">IF($K598="SEM CULTURA",0,$T598*$H598)</f>
        <v>0</v>
      </c>
      <c r="AH598" s="18" t="n">
        <f aca="false">IF($K598="SEM CULTURA",0,$V598*$H598)</f>
        <v>0</v>
      </c>
      <c r="AI598" s="18" t="n">
        <f aca="false">IF($K598="SEM CULTURA",0,$W598*$H598)</f>
        <v>0</v>
      </c>
      <c r="AJ598" s="18" t="n">
        <f aca="false">IF($K598="SEM CULTURA",0,$S598*$H598)</f>
        <v>0</v>
      </c>
      <c r="AK598" s="8" t="str">
        <f aca="false">$E598&amp;"|"&amp;TEXT($AD598,"0.000000")</f>
        <v>PV 104|0.000000</v>
      </c>
    </row>
    <row r="599" customFormat="false" ht="15" hidden="false" customHeight="false" outlineLevel="0" collapsed="false">
      <c r="B599" s="16" t="n">
        <v>66</v>
      </c>
      <c r="C599" s="17" t="n">
        <f aca="false">DATA_INICIO_SAFRA+($B599-1)*DIAS_POR_SEMANA</f>
        <v>46720</v>
      </c>
      <c r="D599" s="17" t="n">
        <f aca="false">$C599+DIAS_POR_SEMANA-1</f>
        <v>46726</v>
      </c>
      <c r="E599" s="15" t="s">
        <v>267</v>
      </c>
      <c r="F599" s="8" t="str">
        <f aca="false">IFERROR(INDEX(CADASTRO_PIVOS!$C$6:$C$41,MATCH($E599,CADASTRO_PIVOS!$B$6:$B$41,0)),"?")</f>
        <v>RM04</v>
      </c>
      <c r="G599" s="8" t="str">
        <f aca="false">IFERROR(INDEX(CADASTRO_PIVOS!$D$6:$D$41,MATCH($E599,CADASTRO_PIVOS!$B$6:$B$41,0)),"?")</f>
        <v>TR04</v>
      </c>
      <c r="H599" s="20" t="n">
        <f aca="false">IFERROR(INDEX(CADASTRO_PIVOS!$E$6:$E$41,MATCH($E599,CADASTRO_PIVOS!$B$6:$B$41,0)),0)</f>
        <v>100.41</v>
      </c>
      <c r="I599" s="16" t="n">
        <f aca="false">IFERROR(SUMIFS(ROTACAO_RDM!$B$6:$B$71,ROTACAO_RDM!$D$6:$D$71,$E599,ROTACAO_RDM!$I$6:$I$71,"&lt;="&amp;$C599+INT(DIAS_POR_SEMANA/2),ROTACAO_RDM!$J$6:$J$71,"&gt;="&amp;$C599+INT(DIAS_POR_SEMANA/2)),0)</f>
        <v>0</v>
      </c>
      <c r="J599" s="16" t="n">
        <f aca="false">IFERROR(MATCH($I599,ROTACAO_RDM!$B$6:$B$71,0),0)</f>
        <v>0</v>
      </c>
      <c r="K599" s="8" t="str">
        <f aca="false">IF($J599=0,"SEM CULTURA",INDEX(ROTACAO_RDM!$F$6:$F$71,$J599))</f>
        <v>SEM CULTURA</v>
      </c>
      <c r="L599" s="8" t="str">
        <f aca="false">IF($J599=0,"",INDEX(ROTACAO_RDM!$G$6:$G$71,$J599))</f>
        <v/>
      </c>
      <c r="M599" s="17" t="str">
        <f aca="false">IF($J599=0,"",INDEX(ROTACAO_RDM!$I$6:$I$71,$J599))</f>
        <v/>
      </c>
      <c r="N599" s="16" t="n">
        <f aca="false">IF($J599=0,0,MAX(0,$C599+INT(DIAS_POR_SEMANA/2)-INDEX(ROTACAO_RDM!$I$6:$I$71,$J599)))</f>
        <v>0</v>
      </c>
      <c r="O599" s="19" t="n">
        <f aca="false">IF($J599=0,0,MIN(1,$N599/MAX(1,INDEX(ROTACAO_RDM!$K$6:$K$71,$J599))))</f>
        <v>0</v>
      </c>
      <c r="P599" s="16" t="n">
        <f aca="false">IF($J599=0,0,IFERROR(MATCH(INDEX(ROTACAO_RDM!$N$6:$N$71,$J599),PARAMETROS_CULTURAS!$B$6:$B$28,0),0))</f>
        <v>0</v>
      </c>
      <c r="Q599" s="8" t="str">
        <f aca="false">IF($P599=0,"-",IF($O599&lt;=INDEX(PARAMETROS_CULTURAS!$F$6:$F$28,$P599),"INICIAL",IF($O599&lt;=INDEX(PARAMETROS_CULTURAS!$F$6:$F$28,$P599)+INDEX(PARAMETROS_CULTURAS!$G$6:$G$28,$P599),"DESENVOLVIMENTO",IF($O599&lt;=INDEX(PARAMETROS_CULTURAS!$F$6:$F$28,$P599)+INDEX(PARAMETROS_CULTURAS!$G$6:$G$28,$P599)+INDEX(PARAMETROS_CULTURAS!$H$6:$H$28,$P599),"MEDIA","FINAL"))))</f>
        <v>-</v>
      </c>
      <c r="R599" s="24" t="n">
        <f aca="false">IF($P599=0,0,IF($O599&lt;=INDEX(PARAMETROS_CULTURAS!$F$6:$F$28,$P599),INDEX(PARAMETROS_CULTURAS!$K$6:$K$28,$P599),IF($O599&lt;=INDEX(PARAMETROS_CULTURAS!$F$6:$F$28,$P599)+INDEX(PARAMETROS_CULTURAS!$G$6:$G$28,$P599),INDEX(PARAMETROS_CULTURAS!$K$6:$K$28,$P599)+(INDEX(PARAMETROS_CULTURAS!$L$6:$L$28,$P599)-INDEX(PARAMETROS_CULTURAS!$K$6:$K$28,$P599))*($O599-INDEX(PARAMETROS_CULTURAS!$F$6:$F$28,$P599))/MAX(INDEX(PARAMETROS_CULTURAS!$G$6:$G$28,$P599),0.0001),IF($O599&lt;=INDEX(PARAMETROS_CULTURAS!$F$6:$F$28,$P599)+INDEX(PARAMETROS_CULTURAS!$G$6:$G$28,$P599)+INDEX(PARAMETROS_CULTURAS!$H$6:$H$28,$P599),INDEX(PARAMETROS_CULTURAS!$L$6:$L$28,$P599),INDEX(PARAMETROS_CULTURAS!$L$6:$L$28,$P599)+(INDEX(PARAMETROS_CULTURAS!$M$6:$M$28,$P599)-INDEX(PARAMETROS_CULTURAS!$L$6:$L$28,$P599))*($O599-INDEX(PARAMETROS_CULTURAS!$F$6:$F$28,$P599)-INDEX(PARAMETROS_CULTURAS!$G$6:$G$28,$P599)-INDEX(PARAMETROS_CULTURAS!$H$6:$H$28,$P599))/MAX(INDEX(PARAMETROS_CULTURAS!$I$6:$I$28,$P599),0.0001)))))</f>
        <v>0</v>
      </c>
      <c r="S599" s="18" t="n">
        <f aca="false">IFERROR(INDEX(SEMANAS!$H$6:$H$71,MATCH($B599,SEMANAS!$B$6:$B$71,0)),0)</f>
        <v>33.3</v>
      </c>
      <c r="T599" s="18" t="n">
        <f aca="false">$R599*$S599</f>
        <v>0</v>
      </c>
      <c r="U599" s="18" t="n">
        <f aca="false">IFERROR(INDEX(SEMANAS!$I$6:$I$71,MATCH($B599,SEMANAS!$B$6:$B$71,0)),0)</f>
        <v>48.04</v>
      </c>
      <c r="V599" s="18" t="n">
        <f aca="false">IFERROR(INDEX(SEMANAS!$J$6:$J$71,MATCH($B599,SEMANAS!$B$6:$B$71,0)),0)</f>
        <v>38.432</v>
      </c>
      <c r="W599" s="18" t="n">
        <f aca="false">MAX(0,$T599-$V599)</f>
        <v>0</v>
      </c>
      <c r="X599" s="19" t="n">
        <f aca="false">IFERROR(INDEX(CADASTRO_PIVOS!$K$6:$K$41,MATCH($E599,CADASTRO_PIVOS!$B$6:$B$41,0)),EFICIENCIA_PADRAO)</f>
        <v>0.85</v>
      </c>
      <c r="Y599" s="18" t="n">
        <f aca="false">IF($X599&lt;=0,0,$W599/$X599)</f>
        <v>0</v>
      </c>
      <c r="Z599" s="16" t="n">
        <f aca="false">$Y599*$H599*MM_PARA_M3_HA</f>
        <v>0</v>
      </c>
      <c r="AA599" s="18" t="n">
        <f aca="false">IFERROR(INDEX(CADASTRO_PIVOS!$I$6:$I$41,MATCH($E599,CADASTRO_PIVOS!$B$6:$B$41,0)),0)</f>
        <v>717.214285714286</v>
      </c>
      <c r="AB599" s="18" t="n">
        <f aca="false">IF($Z599&lt;=0,0,$Z599/$AA599)</f>
        <v>0</v>
      </c>
      <c r="AC599" s="16" t="n">
        <f aca="false">IFERROR(INDEX(SEMANAS!$K$6:$K$71,MATCH($B599,SEMANAS!$B$6:$B$71,0)),0)</f>
        <v>147</v>
      </c>
      <c r="AD599" s="19" t="n">
        <f aca="false">IF($AC599&lt;=0,0,$AB599/$AC599)</f>
        <v>0</v>
      </c>
      <c r="AE599" s="8" t="str">
        <f aca="false">IF($K599="SEM CULTURA","SEM CULTURA",IF($AA599&lt;=0,"DADO PENDENTE",IF($AD599&gt;LIMITE_CRITICO,"INVIAVEL",IF($AD599&gt;LIMITE_ATENCAO,"CRITICO",IF($AD599&gt;LIMITE_CONFORTAVEL,"ATENCAO","OK")))))</f>
        <v>SEM CULTURA</v>
      </c>
      <c r="AF599" s="8" t="str">
        <f aca="false">$B599&amp;"|"&amp;TEXT($AD599,"0.000000")</f>
        <v>66|0.000000</v>
      </c>
      <c r="AG599" s="18" t="n">
        <f aca="false">IF($K599="SEM CULTURA",0,$T599*$H599)</f>
        <v>0</v>
      </c>
      <c r="AH599" s="18" t="n">
        <f aca="false">IF($K599="SEM CULTURA",0,$V599*$H599)</f>
        <v>0</v>
      </c>
      <c r="AI599" s="18" t="n">
        <f aca="false">IF($K599="SEM CULTURA",0,$W599*$H599)</f>
        <v>0</v>
      </c>
      <c r="AJ599" s="18" t="n">
        <f aca="false">IF($K599="SEM CULTURA",0,$S599*$H599)</f>
        <v>0</v>
      </c>
      <c r="AK599" s="8" t="str">
        <f aca="false">$E599&amp;"|"&amp;TEXT($AD599,"0.000000")</f>
        <v>PV 104|0.000000</v>
      </c>
    </row>
    <row r="600" customFormat="false" ht="15" hidden="false" customHeight="false" outlineLevel="0" collapsed="false">
      <c r="B600" s="16" t="n">
        <v>1</v>
      </c>
      <c r="C600" s="17" t="n">
        <f aca="false">DATA_INICIO_SAFRA+($B600-1)*DIAS_POR_SEMANA</f>
        <v>46265</v>
      </c>
      <c r="D600" s="17" t="n">
        <f aca="false">$C600+DIAS_POR_SEMANA-1</f>
        <v>46271</v>
      </c>
      <c r="E600" s="15" t="s">
        <v>268</v>
      </c>
      <c r="F600" s="8" t="str">
        <f aca="false">IFERROR(INDEX(CADASTRO_PIVOS!$C$6:$C$41,MATCH($E600,CADASTRO_PIVOS!$B$6:$B$41,0)),"?")</f>
        <v>RM04</v>
      </c>
      <c r="G600" s="8" t="str">
        <f aca="false">IFERROR(INDEX(CADASTRO_PIVOS!$D$6:$D$41,MATCH($E600,CADASTRO_PIVOS!$B$6:$B$41,0)),"?")</f>
        <v>TR04</v>
      </c>
      <c r="H600" s="20" t="n">
        <f aca="false">IFERROR(INDEX(CADASTRO_PIVOS!$E$6:$E$41,MATCH($E600,CADASTRO_PIVOS!$B$6:$B$41,0)),0)</f>
        <v>110</v>
      </c>
      <c r="I600" s="16" t="n">
        <f aca="false">IFERROR(SUMIFS(ROTACAO_RDM!$B$6:$B$71,ROTACAO_RDM!$D$6:$D$71,$E600,ROTACAO_RDM!$I$6:$I$71,"&lt;="&amp;$C600+INT(DIAS_POR_SEMANA/2),ROTACAO_RDM!$J$6:$J$71,"&gt;="&amp;$C600+INT(DIAS_POR_SEMANA/2)),0)</f>
        <v>0</v>
      </c>
      <c r="J600" s="16" t="n">
        <f aca="false">IFERROR(MATCH($I600,ROTACAO_RDM!$B$6:$B$71,0),0)</f>
        <v>0</v>
      </c>
      <c r="K600" s="8" t="str">
        <f aca="false">IF($J600=0,"SEM CULTURA",INDEX(ROTACAO_RDM!$F$6:$F$71,$J600))</f>
        <v>SEM CULTURA</v>
      </c>
      <c r="L600" s="8" t="str">
        <f aca="false">IF($J600=0,"",INDEX(ROTACAO_RDM!$G$6:$G$71,$J600))</f>
        <v/>
      </c>
      <c r="M600" s="17" t="str">
        <f aca="false">IF($J600=0,"",INDEX(ROTACAO_RDM!$I$6:$I$71,$J600))</f>
        <v/>
      </c>
      <c r="N600" s="16" t="n">
        <f aca="false">IF($J600=0,0,MAX(0,$C600+INT(DIAS_POR_SEMANA/2)-INDEX(ROTACAO_RDM!$I$6:$I$71,$J600)))</f>
        <v>0</v>
      </c>
      <c r="O600" s="19" t="n">
        <f aca="false">IF($J600=0,0,MIN(1,$N600/MAX(1,INDEX(ROTACAO_RDM!$K$6:$K$71,$J600))))</f>
        <v>0</v>
      </c>
      <c r="P600" s="16" t="n">
        <f aca="false">IF($J600=0,0,IFERROR(MATCH(INDEX(ROTACAO_RDM!$N$6:$N$71,$J600),PARAMETROS_CULTURAS!$B$6:$B$28,0),0))</f>
        <v>0</v>
      </c>
      <c r="Q600" s="8" t="str">
        <f aca="false">IF($P600=0,"-",IF($O600&lt;=INDEX(PARAMETROS_CULTURAS!$F$6:$F$28,$P600),"INICIAL",IF($O600&lt;=INDEX(PARAMETROS_CULTURAS!$F$6:$F$28,$P600)+INDEX(PARAMETROS_CULTURAS!$G$6:$G$28,$P600),"DESENVOLVIMENTO",IF($O600&lt;=INDEX(PARAMETROS_CULTURAS!$F$6:$F$28,$P600)+INDEX(PARAMETROS_CULTURAS!$G$6:$G$28,$P600)+INDEX(PARAMETROS_CULTURAS!$H$6:$H$28,$P600),"MEDIA","FINAL"))))</f>
        <v>-</v>
      </c>
      <c r="R600" s="24" t="n">
        <f aca="false">IF($P600=0,0,IF($O600&lt;=INDEX(PARAMETROS_CULTURAS!$F$6:$F$28,$P600),INDEX(PARAMETROS_CULTURAS!$K$6:$K$28,$P600),IF($O600&lt;=INDEX(PARAMETROS_CULTURAS!$F$6:$F$28,$P600)+INDEX(PARAMETROS_CULTURAS!$G$6:$G$28,$P600),INDEX(PARAMETROS_CULTURAS!$K$6:$K$28,$P600)+(INDEX(PARAMETROS_CULTURAS!$L$6:$L$28,$P600)-INDEX(PARAMETROS_CULTURAS!$K$6:$K$28,$P600))*($O600-INDEX(PARAMETROS_CULTURAS!$F$6:$F$28,$P600))/MAX(INDEX(PARAMETROS_CULTURAS!$G$6:$G$28,$P600),0.0001),IF($O600&lt;=INDEX(PARAMETROS_CULTURAS!$F$6:$F$28,$P600)+INDEX(PARAMETROS_CULTURAS!$G$6:$G$28,$P600)+INDEX(PARAMETROS_CULTURAS!$H$6:$H$28,$P600),INDEX(PARAMETROS_CULTURAS!$L$6:$L$28,$P600),INDEX(PARAMETROS_CULTURAS!$L$6:$L$28,$P600)+(INDEX(PARAMETROS_CULTURAS!$M$6:$M$28,$P600)-INDEX(PARAMETROS_CULTURAS!$L$6:$L$28,$P600))*($O600-INDEX(PARAMETROS_CULTURAS!$F$6:$F$28,$P600)-INDEX(PARAMETROS_CULTURAS!$G$6:$G$28,$P600)-INDEX(PARAMETROS_CULTURAS!$H$6:$H$28,$P600))/MAX(INDEX(PARAMETROS_CULTURAS!$I$6:$I$28,$P600),0.0001)))))</f>
        <v>0</v>
      </c>
      <c r="S600" s="18" t="n">
        <f aca="false">IFERROR(INDEX(SEMANAS!$H$6:$H$71,MATCH($B600,SEMANAS!$B$6:$B$71,0)),0)</f>
        <v>40</v>
      </c>
      <c r="T600" s="18" t="n">
        <f aca="false">$R600*$S600</f>
        <v>0</v>
      </c>
      <c r="U600" s="18" t="n">
        <f aca="false">IFERROR(INDEX(SEMANAS!$I$6:$I$71,MATCH($B600,SEMANAS!$B$6:$B$71,0)),0)</f>
        <v>6.16</v>
      </c>
      <c r="V600" s="18" t="n">
        <f aca="false">IFERROR(INDEX(SEMANAS!$J$6:$J$71,MATCH($B600,SEMANAS!$B$6:$B$71,0)),0)</f>
        <v>4.928</v>
      </c>
      <c r="W600" s="18" t="n">
        <f aca="false">MAX(0,$T600-$V600)</f>
        <v>0</v>
      </c>
      <c r="X600" s="19" t="n">
        <f aca="false">IFERROR(INDEX(CADASTRO_PIVOS!$K$6:$K$41,MATCH($E600,CADASTRO_PIVOS!$B$6:$B$41,0)),EFICIENCIA_PADRAO)</f>
        <v>0.85</v>
      </c>
      <c r="Y600" s="18" t="n">
        <f aca="false">IF($X600&lt;=0,0,$W600/$X600)</f>
        <v>0</v>
      </c>
      <c r="Z600" s="16" t="n">
        <f aca="false">$Y600*$H600*MM_PARA_M3_HA</f>
        <v>0</v>
      </c>
      <c r="AA600" s="18" t="n">
        <f aca="false">IFERROR(INDEX(CADASTRO_PIVOS!$I$6:$I$41,MATCH($E600,CADASTRO_PIVOS!$B$6:$B$41,0)),0)</f>
        <v>785.714285714286</v>
      </c>
      <c r="AB600" s="18" t="n">
        <f aca="false">IF($Z600&lt;=0,0,$Z600/$AA600)</f>
        <v>0</v>
      </c>
      <c r="AC600" s="16" t="n">
        <f aca="false">IFERROR(INDEX(SEMANAS!$K$6:$K$71,MATCH($B600,SEMANAS!$B$6:$B$71,0)),0)</f>
        <v>147</v>
      </c>
      <c r="AD600" s="19" t="n">
        <f aca="false">IF($AC600&lt;=0,0,$AB600/$AC600)</f>
        <v>0</v>
      </c>
      <c r="AE600" s="8" t="str">
        <f aca="false">IF($K600="SEM CULTURA","SEM CULTURA",IF($AA600&lt;=0,"DADO PENDENTE",IF($AD600&gt;LIMITE_CRITICO,"INVIAVEL",IF($AD600&gt;LIMITE_ATENCAO,"CRITICO",IF($AD600&gt;LIMITE_CONFORTAVEL,"ATENCAO","OK")))))</f>
        <v>SEM CULTURA</v>
      </c>
      <c r="AF600" s="8" t="str">
        <f aca="false">$B600&amp;"|"&amp;TEXT($AD600,"0.000000")</f>
        <v>1|0.000000</v>
      </c>
      <c r="AG600" s="18" t="n">
        <f aca="false">IF($K600="SEM CULTURA",0,$T600*$H600)</f>
        <v>0</v>
      </c>
      <c r="AH600" s="18" t="n">
        <f aca="false">IF($K600="SEM CULTURA",0,$V600*$H600)</f>
        <v>0</v>
      </c>
      <c r="AI600" s="18" t="n">
        <f aca="false">IF($K600="SEM CULTURA",0,$W600*$H600)</f>
        <v>0</v>
      </c>
      <c r="AJ600" s="18" t="n">
        <f aca="false">IF($K600="SEM CULTURA",0,$S600*$H600)</f>
        <v>0</v>
      </c>
      <c r="AK600" s="8" t="str">
        <f aca="false">$E600&amp;"|"&amp;TEXT($AD600,"0.000000")</f>
        <v>PV 110|0.000000</v>
      </c>
    </row>
    <row r="601" customFormat="false" ht="15" hidden="false" customHeight="false" outlineLevel="0" collapsed="false">
      <c r="B601" s="16" t="n">
        <v>2</v>
      </c>
      <c r="C601" s="17" t="n">
        <f aca="false">DATA_INICIO_SAFRA+($B601-1)*DIAS_POR_SEMANA</f>
        <v>46272</v>
      </c>
      <c r="D601" s="17" t="n">
        <f aca="false">$C601+DIAS_POR_SEMANA-1</f>
        <v>46278</v>
      </c>
      <c r="E601" s="15" t="s">
        <v>268</v>
      </c>
      <c r="F601" s="8" t="str">
        <f aca="false">IFERROR(INDEX(CADASTRO_PIVOS!$C$6:$C$41,MATCH($E601,CADASTRO_PIVOS!$B$6:$B$41,0)),"?")</f>
        <v>RM04</v>
      </c>
      <c r="G601" s="8" t="str">
        <f aca="false">IFERROR(INDEX(CADASTRO_PIVOS!$D$6:$D$41,MATCH($E601,CADASTRO_PIVOS!$B$6:$B$41,0)),"?")</f>
        <v>TR04</v>
      </c>
      <c r="H601" s="20" t="n">
        <f aca="false">IFERROR(INDEX(CADASTRO_PIVOS!$E$6:$E$41,MATCH($E601,CADASTRO_PIVOS!$B$6:$B$41,0)),0)</f>
        <v>110</v>
      </c>
      <c r="I601" s="16" t="n">
        <f aca="false">IFERROR(SUMIFS(ROTACAO_RDM!$B$6:$B$71,ROTACAO_RDM!$D$6:$D$71,$E601,ROTACAO_RDM!$I$6:$I$71,"&lt;="&amp;$C601+INT(DIAS_POR_SEMANA/2),ROTACAO_RDM!$J$6:$J$71,"&gt;="&amp;$C601+INT(DIAS_POR_SEMANA/2)),0)</f>
        <v>0</v>
      </c>
      <c r="J601" s="16" t="n">
        <f aca="false">IFERROR(MATCH($I601,ROTACAO_RDM!$B$6:$B$71,0),0)</f>
        <v>0</v>
      </c>
      <c r="K601" s="8" t="str">
        <f aca="false">IF($J601=0,"SEM CULTURA",INDEX(ROTACAO_RDM!$F$6:$F$71,$J601))</f>
        <v>SEM CULTURA</v>
      </c>
      <c r="L601" s="8" t="str">
        <f aca="false">IF($J601=0,"",INDEX(ROTACAO_RDM!$G$6:$G$71,$J601))</f>
        <v/>
      </c>
      <c r="M601" s="17" t="str">
        <f aca="false">IF($J601=0,"",INDEX(ROTACAO_RDM!$I$6:$I$71,$J601))</f>
        <v/>
      </c>
      <c r="N601" s="16" t="n">
        <f aca="false">IF($J601=0,0,MAX(0,$C601+INT(DIAS_POR_SEMANA/2)-INDEX(ROTACAO_RDM!$I$6:$I$71,$J601)))</f>
        <v>0</v>
      </c>
      <c r="O601" s="19" t="n">
        <f aca="false">IF($J601=0,0,MIN(1,$N601/MAX(1,INDEX(ROTACAO_RDM!$K$6:$K$71,$J601))))</f>
        <v>0</v>
      </c>
      <c r="P601" s="16" t="n">
        <f aca="false">IF($J601=0,0,IFERROR(MATCH(INDEX(ROTACAO_RDM!$N$6:$N$71,$J601),PARAMETROS_CULTURAS!$B$6:$B$28,0),0))</f>
        <v>0</v>
      </c>
      <c r="Q601" s="8" t="str">
        <f aca="false">IF($P601=0,"-",IF($O601&lt;=INDEX(PARAMETROS_CULTURAS!$F$6:$F$28,$P601),"INICIAL",IF($O601&lt;=INDEX(PARAMETROS_CULTURAS!$F$6:$F$28,$P601)+INDEX(PARAMETROS_CULTURAS!$G$6:$G$28,$P601),"DESENVOLVIMENTO",IF($O601&lt;=INDEX(PARAMETROS_CULTURAS!$F$6:$F$28,$P601)+INDEX(PARAMETROS_CULTURAS!$G$6:$G$28,$P601)+INDEX(PARAMETROS_CULTURAS!$H$6:$H$28,$P601),"MEDIA","FINAL"))))</f>
        <v>-</v>
      </c>
      <c r="R601" s="24" t="n">
        <f aca="false">IF($P601=0,0,IF($O601&lt;=INDEX(PARAMETROS_CULTURAS!$F$6:$F$28,$P601),INDEX(PARAMETROS_CULTURAS!$K$6:$K$28,$P601),IF($O601&lt;=INDEX(PARAMETROS_CULTURAS!$F$6:$F$28,$P601)+INDEX(PARAMETROS_CULTURAS!$G$6:$G$28,$P601),INDEX(PARAMETROS_CULTURAS!$K$6:$K$28,$P601)+(INDEX(PARAMETROS_CULTURAS!$L$6:$L$28,$P601)-INDEX(PARAMETROS_CULTURAS!$K$6:$K$28,$P601))*($O601-INDEX(PARAMETROS_CULTURAS!$F$6:$F$28,$P601))/MAX(INDEX(PARAMETROS_CULTURAS!$G$6:$G$28,$P601),0.0001),IF($O601&lt;=INDEX(PARAMETROS_CULTURAS!$F$6:$F$28,$P601)+INDEX(PARAMETROS_CULTURAS!$G$6:$G$28,$P601)+INDEX(PARAMETROS_CULTURAS!$H$6:$H$28,$P601),INDEX(PARAMETROS_CULTURAS!$L$6:$L$28,$P601),INDEX(PARAMETROS_CULTURAS!$L$6:$L$28,$P601)+(INDEX(PARAMETROS_CULTURAS!$M$6:$M$28,$P601)-INDEX(PARAMETROS_CULTURAS!$L$6:$L$28,$P601))*($O601-INDEX(PARAMETROS_CULTURAS!$F$6:$F$28,$P601)-INDEX(PARAMETROS_CULTURAS!$G$6:$G$28,$P601)-INDEX(PARAMETROS_CULTURAS!$H$6:$H$28,$P601))/MAX(INDEX(PARAMETROS_CULTURAS!$I$6:$I$28,$P601),0.0001)))))</f>
        <v>0</v>
      </c>
      <c r="S601" s="18" t="n">
        <f aca="false">IFERROR(INDEX(SEMANAS!$H$6:$H$71,MATCH($B601,SEMANAS!$B$6:$B$71,0)),0)</f>
        <v>40.6</v>
      </c>
      <c r="T601" s="18" t="n">
        <f aca="false">$R601*$S601</f>
        <v>0</v>
      </c>
      <c r="U601" s="18" t="n">
        <f aca="false">IFERROR(INDEX(SEMANAS!$I$6:$I$71,MATCH($B601,SEMANAS!$B$6:$B$71,0)),0)</f>
        <v>7</v>
      </c>
      <c r="V601" s="18" t="n">
        <f aca="false">IFERROR(INDEX(SEMANAS!$J$6:$J$71,MATCH($B601,SEMANAS!$B$6:$B$71,0)),0)</f>
        <v>5.6</v>
      </c>
      <c r="W601" s="18" t="n">
        <f aca="false">MAX(0,$T601-$V601)</f>
        <v>0</v>
      </c>
      <c r="X601" s="19" t="n">
        <f aca="false">IFERROR(INDEX(CADASTRO_PIVOS!$K$6:$K$41,MATCH($E601,CADASTRO_PIVOS!$B$6:$B$41,0)),EFICIENCIA_PADRAO)</f>
        <v>0.85</v>
      </c>
      <c r="Y601" s="18" t="n">
        <f aca="false">IF($X601&lt;=0,0,$W601/$X601)</f>
        <v>0</v>
      </c>
      <c r="Z601" s="16" t="n">
        <f aca="false">$Y601*$H601*MM_PARA_M3_HA</f>
        <v>0</v>
      </c>
      <c r="AA601" s="18" t="n">
        <f aca="false">IFERROR(INDEX(CADASTRO_PIVOS!$I$6:$I$41,MATCH($E601,CADASTRO_PIVOS!$B$6:$B$41,0)),0)</f>
        <v>785.714285714286</v>
      </c>
      <c r="AB601" s="18" t="n">
        <f aca="false">IF($Z601&lt;=0,0,$Z601/$AA601)</f>
        <v>0</v>
      </c>
      <c r="AC601" s="16" t="n">
        <f aca="false">IFERROR(INDEX(SEMANAS!$K$6:$K$71,MATCH($B601,SEMANAS!$B$6:$B$71,0)),0)</f>
        <v>147</v>
      </c>
      <c r="AD601" s="19" t="n">
        <f aca="false">IF($AC601&lt;=0,0,$AB601/$AC601)</f>
        <v>0</v>
      </c>
      <c r="AE601" s="8" t="str">
        <f aca="false">IF($K601="SEM CULTURA","SEM CULTURA",IF($AA601&lt;=0,"DADO PENDENTE",IF($AD601&gt;LIMITE_CRITICO,"INVIAVEL",IF($AD601&gt;LIMITE_ATENCAO,"CRITICO",IF($AD601&gt;LIMITE_CONFORTAVEL,"ATENCAO","OK")))))</f>
        <v>SEM CULTURA</v>
      </c>
      <c r="AF601" s="8" t="str">
        <f aca="false">$B601&amp;"|"&amp;TEXT($AD601,"0.000000")</f>
        <v>2|0.000000</v>
      </c>
      <c r="AG601" s="18" t="n">
        <f aca="false">IF($K601="SEM CULTURA",0,$T601*$H601)</f>
        <v>0</v>
      </c>
      <c r="AH601" s="18" t="n">
        <f aca="false">IF($K601="SEM CULTURA",0,$V601*$H601)</f>
        <v>0</v>
      </c>
      <c r="AI601" s="18" t="n">
        <f aca="false">IF($K601="SEM CULTURA",0,$W601*$H601)</f>
        <v>0</v>
      </c>
      <c r="AJ601" s="18" t="n">
        <f aca="false">IF($K601="SEM CULTURA",0,$S601*$H601)</f>
        <v>0</v>
      </c>
      <c r="AK601" s="8" t="str">
        <f aca="false">$E601&amp;"|"&amp;TEXT($AD601,"0.000000")</f>
        <v>PV 110|0.000000</v>
      </c>
    </row>
    <row r="602" customFormat="false" ht="15" hidden="false" customHeight="false" outlineLevel="0" collapsed="false">
      <c r="B602" s="16" t="n">
        <v>3</v>
      </c>
      <c r="C602" s="17" t="n">
        <f aca="false">DATA_INICIO_SAFRA+($B602-1)*DIAS_POR_SEMANA</f>
        <v>46279</v>
      </c>
      <c r="D602" s="17" t="n">
        <f aca="false">$C602+DIAS_POR_SEMANA-1</f>
        <v>46285</v>
      </c>
      <c r="E602" s="15" t="s">
        <v>268</v>
      </c>
      <c r="F602" s="8" t="str">
        <f aca="false">IFERROR(INDEX(CADASTRO_PIVOS!$C$6:$C$41,MATCH($E602,CADASTRO_PIVOS!$B$6:$B$41,0)),"?")</f>
        <v>RM04</v>
      </c>
      <c r="G602" s="8" t="str">
        <f aca="false">IFERROR(INDEX(CADASTRO_PIVOS!$D$6:$D$41,MATCH($E602,CADASTRO_PIVOS!$B$6:$B$41,0)),"?")</f>
        <v>TR04</v>
      </c>
      <c r="H602" s="20" t="n">
        <f aca="false">IFERROR(INDEX(CADASTRO_PIVOS!$E$6:$E$41,MATCH($E602,CADASTRO_PIVOS!$B$6:$B$41,0)),0)</f>
        <v>110</v>
      </c>
      <c r="I602" s="16" t="n">
        <f aca="false">IFERROR(SUMIFS(ROTACAO_RDM!$B$6:$B$71,ROTACAO_RDM!$D$6:$D$71,$E602,ROTACAO_RDM!$I$6:$I$71,"&lt;="&amp;$C602+INT(DIAS_POR_SEMANA/2),ROTACAO_RDM!$J$6:$J$71,"&gt;="&amp;$C602+INT(DIAS_POR_SEMANA/2)),0)</f>
        <v>0</v>
      </c>
      <c r="J602" s="16" t="n">
        <f aca="false">IFERROR(MATCH($I602,ROTACAO_RDM!$B$6:$B$71,0),0)</f>
        <v>0</v>
      </c>
      <c r="K602" s="8" t="str">
        <f aca="false">IF($J602=0,"SEM CULTURA",INDEX(ROTACAO_RDM!$F$6:$F$71,$J602))</f>
        <v>SEM CULTURA</v>
      </c>
      <c r="L602" s="8" t="str">
        <f aca="false">IF($J602=0,"",INDEX(ROTACAO_RDM!$G$6:$G$71,$J602))</f>
        <v/>
      </c>
      <c r="M602" s="17" t="str">
        <f aca="false">IF($J602=0,"",INDEX(ROTACAO_RDM!$I$6:$I$71,$J602))</f>
        <v/>
      </c>
      <c r="N602" s="16" t="n">
        <f aca="false">IF($J602=0,0,MAX(0,$C602+INT(DIAS_POR_SEMANA/2)-INDEX(ROTACAO_RDM!$I$6:$I$71,$J602)))</f>
        <v>0</v>
      </c>
      <c r="O602" s="19" t="n">
        <f aca="false">IF($J602=0,0,MIN(1,$N602/MAX(1,INDEX(ROTACAO_RDM!$K$6:$K$71,$J602))))</f>
        <v>0</v>
      </c>
      <c r="P602" s="16" t="n">
        <f aca="false">IF($J602=0,0,IFERROR(MATCH(INDEX(ROTACAO_RDM!$N$6:$N$71,$J602),PARAMETROS_CULTURAS!$B$6:$B$28,0),0))</f>
        <v>0</v>
      </c>
      <c r="Q602" s="8" t="str">
        <f aca="false">IF($P602=0,"-",IF($O602&lt;=INDEX(PARAMETROS_CULTURAS!$F$6:$F$28,$P602),"INICIAL",IF($O602&lt;=INDEX(PARAMETROS_CULTURAS!$F$6:$F$28,$P602)+INDEX(PARAMETROS_CULTURAS!$G$6:$G$28,$P602),"DESENVOLVIMENTO",IF($O602&lt;=INDEX(PARAMETROS_CULTURAS!$F$6:$F$28,$P602)+INDEX(PARAMETROS_CULTURAS!$G$6:$G$28,$P602)+INDEX(PARAMETROS_CULTURAS!$H$6:$H$28,$P602),"MEDIA","FINAL"))))</f>
        <v>-</v>
      </c>
      <c r="R602" s="24" t="n">
        <f aca="false">IF($P602=0,0,IF($O602&lt;=INDEX(PARAMETROS_CULTURAS!$F$6:$F$28,$P602),INDEX(PARAMETROS_CULTURAS!$K$6:$K$28,$P602),IF($O602&lt;=INDEX(PARAMETROS_CULTURAS!$F$6:$F$28,$P602)+INDEX(PARAMETROS_CULTURAS!$G$6:$G$28,$P602),INDEX(PARAMETROS_CULTURAS!$K$6:$K$28,$P602)+(INDEX(PARAMETROS_CULTURAS!$L$6:$L$28,$P602)-INDEX(PARAMETROS_CULTURAS!$K$6:$K$28,$P602))*($O602-INDEX(PARAMETROS_CULTURAS!$F$6:$F$28,$P602))/MAX(INDEX(PARAMETROS_CULTURAS!$G$6:$G$28,$P602),0.0001),IF($O602&lt;=INDEX(PARAMETROS_CULTURAS!$F$6:$F$28,$P602)+INDEX(PARAMETROS_CULTURAS!$G$6:$G$28,$P602)+INDEX(PARAMETROS_CULTURAS!$H$6:$H$28,$P602),INDEX(PARAMETROS_CULTURAS!$L$6:$L$28,$P602),INDEX(PARAMETROS_CULTURAS!$L$6:$L$28,$P602)+(INDEX(PARAMETROS_CULTURAS!$M$6:$M$28,$P602)-INDEX(PARAMETROS_CULTURAS!$L$6:$L$28,$P602))*($O602-INDEX(PARAMETROS_CULTURAS!$F$6:$F$28,$P602)-INDEX(PARAMETROS_CULTURAS!$G$6:$G$28,$P602)-INDEX(PARAMETROS_CULTURAS!$H$6:$H$28,$P602))/MAX(INDEX(PARAMETROS_CULTURAS!$I$6:$I$28,$P602),0.0001)))))</f>
        <v>0</v>
      </c>
      <c r="S602" s="18" t="n">
        <f aca="false">IFERROR(INDEX(SEMANAS!$H$6:$H$71,MATCH($B602,SEMANAS!$B$6:$B$71,0)),0)</f>
        <v>40.6</v>
      </c>
      <c r="T602" s="18" t="n">
        <f aca="false">$R602*$S602</f>
        <v>0</v>
      </c>
      <c r="U602" s="18" t="n">
        <f aca="false">IFERROR(INDEX(SEMANAS!$I$6:$I$71,MATCH($B602,SEMANAS!$B$6:$B$71,0)),0)</f>
        <v>7</v>
      </c>
      <c r="V602" s="18" t="n">
        <f aca="false">IFERROR(INDEX(SEMANAS!$J$6:$J$71,MATCH($B602,SEMANAS!$B$6:$B$71,0)),0)</f>
        <v>5.6</v>
      </c>
      <c r="W602" s="18" t="n">
        <f aca="false">MAX(0,$T602-$V602)</f>
        <v>0</v>
      </c>
      <c r="X602" s="19" t="n">
        <f aca="false">IFERROR(INDEX(CADASTRO_PIVOS!$K$6:$K$41,MATCH($E602,CADASTRO_PIVOS!$B$6:$B$41,0)),EFICIENCIA_PADRAO)</f>
        <v>0.85</v>
      </c>
      <c r="Y602" s="18" t="n">
        <f aca="false">IF($X602&lt;=0,0,$W602/$X602)</f>
        <v>0</v>
      </c>
      <c r="Z602" s="16" t="n">
        <f aca="false">$Y602*$H602*MM_PARA_M3_HA</f>
        <v>0</v>
      </c>
      <c r="AA602" s="18" t="n">
        <f aca="false">IFERROR(INDEX(CADASTRO_PIVOS!$I$6:$I$41,MATCH($E602,CADASTRO_PIVOS!$B$6:$B$41,0)),0)</f>
        <v>785.714285714286</v>
      </c>
      <c r="AB602" s="18" t="n">
        <f aca="false">IF($Z602&lt;=0,0,$Z602/$AA602)</f>
        <v>0</v>
      </c>
      <c r="AC602" s="16" t="n">
        <f aca="false">IFERROR(INDEX(SEMANAS!$K$6:$K$71,MATCH($B602,SEMANAS!$B$6:$B$71,0)),0)</f>
        <v>147</v>
      </c>
      <c r="AD602" s="19" t="n">
        <f aca="false">IF($AC602&lt;=0,0,$AB602/$AC602)</f>
        <v>0</v>
      </c>
      <c r="AE602" s="8" t="str">
        <f aca="false">IF($K602="SEM CULTURA","SEM CULTURA",IF($AA602&lt;=0,"DADO PENDENTE",IF($AD602&gt;LIMITE_CRITICO,"INVIAVEL",IF($AD602&gt;LIMITE_ATENCAO,"CRITICO",IF($AD602&gt;LIMITE_CONFORTAVEL,"ATENCAO","OK")))))</f>
        <v>SEM CULTURA</v>
      </c>
      <c r="AF602" s="8" t="str">
        <f aca="false">$B602&amp;"|"&amp;TEXT($AD602,"0.000000")</f>
        <v>3|0.000000</v>
      </c>
      <c r="AG602" s="18" t="n">
        <f aca="false">IF($K602="SEM CULTURA",0,$T602*$H602)</f>
        <v>0</v>
      </c>
      <c r="AH602" s="18" t="n">
        <f aca="false">IF($K602="SEM CULTURA",0,$V602*$H602)</f>
        <v>0</v>
      </c>
      <c r="AI602" s="18" t="n">
        <f aca="false">IF($K602="SEM CULTURA",0,$W602*$H602)</f>
        <v>0</v>
      </c>
      <c r="AJ602" s="18" t="n">
        <f aca="false">IF($K602="SEM CULTURA",0,$S602*$H602)</f>
        <v>0</v>
      </c>
      <c r="AK602" s="8" t="str">
        <f aca="false">$E602&amp;"|"&amp;TEXT($AD602,"0.000000")</f>
        <v>PV 110|0.000000</v>
      </c>
    </row>
    <row r="603" customFormat="false" ht="15" hidden="false" customHeight="false" outlineLevel="0" collapsed="false">
      <c r="B603" s="16" t="n">
        <v>4</v>
      </c>
      <c r="C603" s="17" t="n">
        <f aca="false">DATA_INICIO_SAFRA+($B603-1)*DIAS_POR_SEMANA</f>
        <v>46286</v>
      </c>
      <c r="D603" s="17" t="n">
        <f aca="false">$C603+DIAS_POR_SEMANA-1</f>
        <v>46292</v>
      </c>
      <c r="E603" s="15" t="s">
        <v>268</v>
      </c>
      <c r="F603" s="8" t="str">
        <f aca="false">IFERROR(INDEX(CADASTRO_PIVOS!$C$6:$C$41,MATCH($E603,CADASTRO_PIVOS!$B$6:$B$41,0)),"?")</f>
        <v>RM04</v>
      </c>
      <c r="G603" s="8" t="str">
        <f aca="false">IFERROR(INDEX(CADASTRO_PIVOS!$D$6:$D$41,MATCH($E603,CADASTRO_PIVOS!$B$6:$B$41,0)),"?")</f>
        <v>TR04</v>
      </c>
      <c r="H603" s="20" t="n">
        <f aca="false">IFERROR(INDEX(CADASTRO_PIVOS!$E$6:$E$41,MATCH($E603,CADASTRO_PIVOS!$B$6:$B$41,0)),0)</f>
        <v>110</v>
      </c>
      <c r="I603" s="16" t="n">
        <f aca="false">IFERROR(SUMIFS(ROTACAO_RDM!$B$6:$B$71,ROTACAO_RDM!$D$6:$D$71,$E603,ROTACAO_RDM!$I$6:$I$71,"&lt;="&amp;$C603+INT(DIAS_POR_SEMANA/2),ROTACAO_RDM!$J$6:$J$71,"&gt;="&amp;$C603+INT(DIAS_POR_SEMANA/2)),0)</f>
        <v>0</v>
      </c>
      <c r="J603" s="16" t="n">
        <f aca="false">IFERROR(MATCH($I603,ROTACAO_RDM!$B$6:$B$71,0),0)</f>
        <v>0</v>
      </c>
      <c r="K603" s="8" t="str">
        <f aca="false">IF($J603=0,"SEM CULTURA",INDEX(ROTACAO_RDM!$F$6:$F$71,$J603))</f>
        <v>SEM CULTURA</v>
      </c>
      <c r="L603" s="8" t="str">
        <f aca="false">IF($J603=0,"",INDEX(ROTACAO_RDM!$G$6:$G$71,$J603))</f>
        <v/>
      </c>
      <c r="M603" s="17" t="str">
        <f aca="false">IF($J603=0,"",INDEX(ROTACAO_RDM!$I$6:$I$71,$J603))</f>
        <v/>
      </c>
      <c r="N603" s="16" t="n">
        <f aca="false">IF($J603=0,0,MAX(0,$C603+INT(DIAS_POR_SEMANA/2)-INDEX(ROTACAO_RDM!$I$6:$I$71,$J603)))</f>
        <v>0</v>
      </c>
      <c r="O603" s="19" t="n">
        <f aca="false">IF($J603=0,0,MIN(1,$N603/MAX(1,INDEX(ROTACAO_RDM!$K$6:$K$71,$J603))))</f>
        <v>0</v>
      </c>
      <c r="P603" s="16" t="n">
        <f aca="false">IF($J603=0,0,IFERROR(MATCH(INDEX(ROTACAO_RDM!$N$6:$N$71,$J603),PARAMETROS_CULTURAS!$B$6:$B$28,0),0))</f>
        <v>0</v>
      </c>
      <c r="Q603" s="8" t="str">
        <f aca="false">IF($P603=0,"-",IF($O603&lt;=INDEX(PARAMETROS_CULTURAS!$F$6:$F$28,$P603),"INICIAL",IF($O603&lt;=INDEX(PARAMETROS_CULTURAS!$F$6:$F$28,$P603)+INDEX(PARAMETROS_CULTURAS!$G$6:$G$28,$P603),"DESENVOLVIMENTO",IF($O603&lt;=INDEX(PARAMETROS_CULTURAS!$F$6:$F$28,$P603)+INDEX(PARAMETROS_CULTURAS!$G$6:$G$28,$P603)+INDEX(PARAMETROS_CULTURAS!$H$6:$H$28,$P603),"MEDIA","FINAL"))))</f>
        <v>-</v>
      </c>
      <c r="R603" s="24" t="n">
        <f aca="false">IF($P603=0,0,IF($O603&lt;=INDEX(PARAMETROS_CULTURAS!$F$6:$F$28,$P603),INDEX(PARAMETROS_CULTURAS!$K$6:$K$28,$P603),IF($O603&lt;=INDEX(PARAMETROS_CULTURAS!$F$6:$F$28,$P603)+INDEX(PARAMETROS_CULTURAS!$G$6:$G$28,$P603),INDEX(PARAMETROS_CULTURAS!$K$6:$K$28,$P603)+(INDEX(PARAMETROS_CULTURAS!$L$6:$L$28,$P603)-INDEX(PARAMETROS_CULTURAS!$K$6:$K$28,$P603))*($O603-INDEX(PARAMETROS_CULTURAS!$F$6:$F$28,$P603))/MAX(INDEX(PARAMETROS_CULTURAS!$G$6:$G$28,$P603),0.0001),IF($O603&lt;=INDEX(PARAMETROS_CULTURAS!$F$6:$F$28,$P603)+INDEX(PARAMETROS_CULTURAS!$G$6:$G$28,$P603)+INDEX(PARAMETROS_CULTURAS!$H$6:$H$28,$P603),INDEX(PARAMETROS_CULTURAS!$L$6:$L$28,$P603),INDEX(PARAMETROS_CULTURAS!$L$6:$L$28,$P603)+(INDEX(PARAMETROS_CULTURAS!$M$6:$M$28,$P603)-INDEX(PARAMETROS_CULTURAS!$L$6:$L$28,$P603))*($O603-INDEX(PARAMETROS_CULTURAS!$F$6:$F$28,$P603)-INDEX(PARAMETROS_CULTURAS!$G$6:$G$28,$P603)-INDEX(PARAMETROS_CULTURAS!$H$6:$H$28,$P603))/MAX(INDEX(PARAMETROS_CULTURAS!$I$6:$I$28,$P603),0.0001)))))</f>
        <v>0</v>
      </c>
      <c r="S603" s="18" t="n">
        <f aca="false">IFERROR(INDEX(SEMANAS!$H$6:$H$71,MATCH($B603,SEMANAS!$B$6:$B$71,0)),0)</f>
        <v>40.6</v>
      </c>
      <c r="T603" s="18" t="n">
        <f aca="false">$R603*$S603</f>
        <v>0</v>
      </c>
      <c r="U603" s="18" t="n">
        <f aca="false">IFERROR(INDEX(SEMANAS!$I$6:$I$71,MATCH($B603,SEMANAS!$B$6:$B$71,0)),0)</f>
        <v>7</v>
      </c>
      <c r="V603" s="18" t="n">
        <f aca="false">IFERROR(INDEX(SEMANAS!$J$6:$J$71,MATCH($B603,SEMANAS!$B$6:$B$71,0)),0)</f>
        <v>5.6</v>
      </c>
      <c r="W603" s="18" t="n">
        <f aca="false">MAX(0,$T603-$V603)</f>
        <v>0</v>
      </c>
      <c r="X603" s="19" t="n">
        <f aca="false">IFERROR(INDEX(CADASTRO_PIVOS!$K$6:$K$41,MATCH($E603,CADASTRO_PIVOS!$B$6:$B$41,0)),EFICIENCIA_PADRAO)</f>
        <v>0.85</v>
      </c>
      <c r="Y603" s="18" t="n">
        <f aca="false">IF($X603&lt;=0,0,$W603/$X603)</f>
        <v>0</v>
      </c>
      <c r="Z603" s="16" t="n">
        <f aca="false">$Y603*$H603*MM_PARA_M3_HA</f>
        <v>0</v>
      </c>
      <c r="AA603" s="18" t="n">
        <f aca="false">IFERROR(INDEX(CADASTRO_PIVOS!$I$6:$I$41,MATCH($E603,CADASTRO_PIVOS!$B$6:$B$41,0)),0)</f>
        <v>785.714285714286</v>
      </c>
      <c r="AB603" s="18" t="n">
        <f aca="false">IF($Z603&lt;=0,0,$Z603/$AA603)</f>
        <v>0</v>
      </c>
      <c r="AC603" s="16" t="n">
        <f aca="false">IFERROR(INDEX(SEMANAS!$K$6:$K$71,MATCH($B603,SEMANAS!$B$6:$B$71,0)),0)</f>
        <v>147</v>
      </c>
      <c r="AD603" s="19" t="n">
        <f aca="false">IF($AC603&lt;=0,0,$AB603/$AC603)</f>
        <v>0</v>
      </c>
      <c r="AE603" s="8" t="str">
        <f aca="false">IF($K603="SEM CULTURA","SEM CULTURA",IF($AA603&lt;=0,"DADO PENDENTE",IF($AD603&gt;LIMITE_CRITICO,"INVIAVEL",IF($AD603&gt;LIMITE_ATENCAO,"CRITICO",IF($AD603&gt;LIMITE_CONFORTAVEL,"ATENCAO","OK")))))</f>
        <v>SEM CULTURA</v>
      </c>
      <c r="AF603" s="8" t="str">
        <f aca="false">$B603&amp;"|"&amp;TEXT($AD603,"0.000000")</f>
        <v>4|0.000000</v>
      </c>
      <c r="AG603" s="18" t="n">
        <f aca="false">IF($K603="SEM CULTURA",0,$T603*$H603)</f>
        <v>0</v>
      </c>
      <c r="AH603" s="18" t="n">
        <f aca="false">IF($K603="SEM CULTURA",0,$V603*$H603)</f>
        <v>0</v>
      </c>
      <c r="AI603" s="18" t="n">
        <f aca="false">IF($K603="SEM CULTURA",0,$W603*$H603)</f>
        <v>0</v>
      </c>
      <c r="AJ603" s="18" t="n">
        <f aca="false">IF($K603="SEM CULTURA",0,$S603*$H603)</f>
        <v>0</v>
      </c>
      <c r="AK603" s="8" t="str">
        <f aca="false">$E603&amp;"|"&amp;TEXT($AD603,"0.000000")</f>
        <v>PV 110|0.000000</v>
      </c>
    </row>
    <row r="604" customFormat="false" ht="15" hidden="false" customHeight="false" outlineLevel="0" collapsed="false">
      <c r="B604" s="16" t="n">
        <v>5</v>
      </c>
      <c r="C604" s="17" t="n">
        <f aca="false">DATA_INICIO_SAFRA+($B604-1)*DIAS_POR_SEMANA</f>
        <v>46293</v>
      </c>
      <c r="D604" s="17" t="n">
        <f aca="false">$C604+DIAS_POR_SEMANA-1</f>
        <v>46299</v>
      </c>
      <c r="E604" s="15" t="s">
        <v>268</v>
      </c>
      <c r="F604" s="8" t="str">
        <f aca="false">IFERROR(INDEX(CADASTRO_PIVOS!$C$6:$C$41,MATCH($E604,CADASTRO_PIVOS!$B$6:$B$41,0)),"?")</f>
        <v>RM04</v>
      </c>
      <c r="G604" s="8" t="str">
        <f aca="false">IFERROR(INDEX(CADASTRO_PIVOS!$D$6:$D$41,MATCH($E604,CADASTRO_PIVOS!$B$6:$B$41,0)),"?")</f>
        <v>TR04</v>
      </c>
      <c r="H604" s="20" t="n">
        <f aca="false">IFERROR(INDEX(CADASTRO_PIVOS!$E$6:$E$41,MATCH($E604,CADASTRO_PIVOS!$B$6:$B$41,0)),0)</f>
        <v>110</v>
      </c>
      <c r="I604" s="16" t="n">
        <f aca="false">IFERROR(SUMIFS(ROTACAO_RDM!$B$6:$B$71,ROTACAO_RDM!$D$6:$D$71,$E604,ROTACAO_RDM!$I$6:$I$71,"&lt;="&amp;$C604+INT(DIAS_POR_SEMANA/2),ROTACAO_RDM!$J$6:$J$71,"&gt;="&amp;$C604+INT(DIAS_POR_SEMANA/2)),0)</f>
        <v>17</v>
      </c>
      <c r="J604" s="16" t="n">
        <f aca="false">IFERROR(MATCH($I604,ROTACAO_RDM!$B$6:$B$71,0),0)</f>
        <v>17</v>
      </c>
      <c r="K604" s="8" t="str">
        <f aca="false">IF($J604=0,"SEM CULTURA",INDEX(ROTACAO_RDM!$F$6:$F$71,$J604))</f>
        <v>SOJA</v>
      </c>
      <c r="L604" s="8" t="str">
        <f aca="false">IF($J604=0,"",INDEX(ROTACAO_RDM!$G$6:$G$71,$J604))</f>
        <v>NEO 690 I2X</v>
      </c>
      <c r="M604" s="17" t="n">
        <f aca="false">IF($J604=0,"",INDEX(ROTACAO_RDM!$I$6:$I$71,$J604))</f>
        <v>46290</v>
      </c>
      <c r="N604" s="16" t="n">
        <f aca="false">IF($J604=0,0,MAX(0,$C604+INT(DIAS_POR_SEMANA/2)-INDEX(ROTACAO_RDM!$I$6:$I$71,$J604)))</f>
        <v>6</v>
      </c>
      <c r="O604" s="19" t="n">
        <f aca="false">IF($J604=0,0,MIN(1,$N604/MAX(1,INDEX(ROTACAO_RDM!$K$6:$K$71,$J604))))</f>
        <v>0.0555555555555556</v>
      </c>
      <c r="P604" s="16" t="n">
        <f aca="false">IF($J604=0,0,IFERROR(MATCH(INDEX(ROTACAO_RDM!$N$6:$N$71,$J604),PARAMETROS_CULTURAS!$B$6:$B$28,0),0))</f>
        <v>1</v>
      </c>
      <c r="Q604" s="8" t="str">
        <f aca="false">IF($P604=0,"-",IF($O604&lt;=INDEX(PARAMETROS_CULTURAS!$F$6:$F$28,$P604),"INICIAL",IF($O604&lt;=INDEX(PARAMETROS_CULTURAS!$F$6:$F$28,$P604)+INDEX(PARAMETROS_CULTURAS!$G$6:$G$28,$P604),"DESENVOLVIMENTO",IF($O604&lt;=INDEX(PARAMETROS_CULTURAS!$F$6:$F$28,$P604)+INDEX(PARAMETROS_CULTURAS!$G$6:$G$28,$P604)+INDEX(PARAMETROS_CULTURAS!$H$6:$H$28,$P604),"MEDIA","FINAL"))))</f>
        <v>INICIAL</v>
      </c>
      <c r="R604" s="24" t="n">
        <f aca="false">IF($P604=0,0,IF($O604&lt;=INDEX(PARAMETROS_CULTURAS!$F$6:$F$28,$P604),INDEX(PARAMETROS_CULTURAS!$K$6:$K$28,$P604),IF($O604&lt;=INDEX(PARAMETROS_CULTURAS!$F$6:$F$28,$P604)+INDEX(PARAMETROS_CULTURAS!$G$6:$G$28,$P604),INDEX(PARAMETROS_CULTURAS!$K$6:$K$28,$P604)+(INDEX(PARAMETROS_CULTURAS!$L$6:$L$28,$P604)-INDEX(PARAMETROS_CULTURAS!$K$6:$K$28,$P604))*($O604-INDEX(PARAMETROS_CULTURAS!$F$6:$F$28,$P604))/MAX(INDEX(PARAMETROS_CULTURAS!$G$6:$G$28,$P604),0.0001),IF($O604&lt;=INDEX(PARAMETROS_CULTURAS!$F$6:$F$28,$P604)+INDEX(PARAMETROS_CULTURAS!$G$6:$G$28,$P604)+INDEX(PARAMETROS_CULTURAS!$H$6:$H$28,$P604),INDEX(PARAMETROS_CULTURAS!$L$6:$L$28,$P604),INDEX(PARAMETROS_CULTURAS!$L$6:$L$28,$P604)+(INDEX(PARAMETROS_CULTURAS!$M$6:$M$28,$P604)-INDEX(PARAMETROS_CULTURAS!$L$6:$L$28,$P604))*($O604-INDEX(PARAMETROS_CULTURAS!$F$6:$F$28,$P604)-INDEX(PARAMETROS_CULTURAS!$G$6:$G$28,$P604)-INDEX(PARAMETROS_CULTURAS!$H$6:$H$28,$P604))/MAX(INDEX(PARAMETROS_CULTURAS!$I$6:$I$28,$P604),0.0001)))))</f>
        <v>0.4</v>
      </c>
      <c r="S604" s="18" t="n">
        <f aca="false">IFERROR(INDEX(SEMANAS!$H$6:$H$71,MATCH($B604,SEMANAS!$B$6:$B$71,0)),0)</f>
        <v>39.8</v>
      </c>
      <c r="T604" s="18" t="n">
        <f aca="false">$R604*$S604</f>
        <v>15.92</v>
      </c>
      <c r="U604" s="18" t="n">
        <f aca="false">IFERROR(INDEX(SEMANAS!$I$6:$I$71,MATCH($B604,SEMANAS!$B$6:$B$71,0)),0)</f>
        <v>18.48</v>
      </c>
      <c r="V604" s="18" t="n">
        <f aca="false">IFERROR(INDEX(SEMANAS!$J$6:$J$71,MATCH($B604,SEMANAS!$B$6:$B$71,0)),0)</f>
        <v>14.784</v>
      </c>
      <c r="W604" s="18" t="n">
        <f aca="false">MAX(0,$T604-$V604)</f>
        <v>1.136</v>
      </c>
      <c r="X604" s="19" t="n">
        <f aca="false">IFERROR(INDEX(CADASTRO_PIVOS!$K$6:$K$41,MATCH($E604,CADASTRO_PIVOS!$B$6:$B$41,0)),EFICIENCIA_PADRAO)</f>
        <v>0.85</v>
      </c>
      <c r="Y604" s="18" t="n">
        <f aca="false">IF($X604&lt;=0,0,$W604/$X604)</f>
        <v>1.33647058823529</v>
      </c>
      <c r="Z604" s="16" t="n">
        <f aca="false">$Y604*$H604*MM_PARA_M3_HA</f>
        <v>1470.11764705882</v>
      </c>
      <c r="AA604" s="18" t="n">
        <f aca="false">IFERROR(INDEX(CADASTRO_PIVOS!$I$6:$I$41,MATCH($E604,CADASTRO_PIVOS!$B$6:$B$41,0)),0)</f>
        <v>785.714285714286</v>
      </c>
      <c r="AB604" s="18" t="n">
        <f aca="false">IF($Z604&lt;=0,0,$Z604/$AA604)</f>
        <v>1.87105882352941</v>
      </c>
      <c r="AC604" s="16" t="n">
        <f aca="false">IFERROR(INDEX(SEMANAS!$K$6:$K$71,MATCH($B604,SEMANAS!$B$6:$B$71,0)),0)</f>
        <v>147</v>
      </c>
      <c r="AD604" s="19" t="n">
        <f aca="false">IF($AC604&lt;=0,0,$AB604/$AC604)</f>
        <v>0.0127282913165266</v>
      </c>
      <c r="AE604" s="8" t="str">
        <f aca="false">IF($K604="SEM CULTURA","SEM CULTURA",IF($AA604&lt;=0,"DADO PENDENTE",IF($AD604&gt;LIMITE_CRITICO,"INVIAVEL",IF($AD604&gt;LIMITE_ATENCAO,"CRITICO",IF($AD604&gt;LIMITE_CONFORTAVEL,"ATENCAO","OK")))))</f>
        <v>OK</v>
      </c>
      <c r="AF604" s="8" t="str">
        <f aca="false">$B604&amp;"|"&amp;TEXT($AD604,"0.000000")</f>
        <v>5|0.012728</v>
      </c>
      <c r="AG604" s="18" t="n">
        <f aca="false">IF($K604="SEM CULTURA",0,$T604*$H604)</f>
        <v>1751.2</v>
      </c>
      <c r="AH604" s="18" t="n">
        <f aca="false">IF($K604="SEM CULTURA",0,$V604*$H604)</f>
        <v>1626.24</v>
      </c>
      <c r="AI604" s="18" t="n">
        <f aca="false">IF($K604="SEM CULTURA",0,$W604*$H604)</f>
        <v>124.96</v>
      </c>
      <c r="AJ604" s="18" t="n">
        <f aca="false">IF($K604="SEM CULTURA",0,$S604*$H604)</f>
        <v>4378</v>
      </c>
      <c r="AK604" s="8" t="str">
        <f aca="false">$E604&amp;"|"&amp;TEXT($AD604,"0.000000")</f>
        <v>PV 110|0.012728</v>
      </c>
    </row>
    <row r="605" customFormat="false" ht="15" hidden="false" customHeight="false" outlineLevel="0" collapsed="false">
      <c r="B605" s="16" t="n">
        <v>6</v>
      </c>
      <c r="C605" s="17" t="n">
        <f aca="false">DATA_INICIO_SAFRA+($B605-1)*DIAS_POR_SEMANA</f>
        <v>46300</v>
      </c>
      <c r="D605" s="17" t="n">
        <f aca="false">$C605+DIAS_POR_SEMANA-1</f>
        <v>46306</v>
      </c>
      <c r="E605" s="15" t="s">
        <v>268</v>
      </c>
      <c r="F605" s="8" t="str">
        <f aca="false">IFERROR(INDEX(CADASTRO_PIVOS!$C$6:$C$41,MATCH($E605,CADASTRO_PIVOS!$B$6:$B$41,0)),"?")</f>
        <v>RM04</v>
      </c>
      <c r="G605" s="8" t="str">
        <f aca="false">IFERROR(INDEX(CADASTRO_PIVOS!$D$6:$D$41,MATCH($E605,CADASTRO_PIVOS!$B$6:$B$41,0)),"?")</f>
        <v>TR04</v>
      </c>
      <c r="H605" s="20" t="n">
        <f aca="false">IFERROR(INDEX(CADASTRO_PIVOS!$E$6:$E$41,MATCH($E605,CADASTRO_PIVOS!$B$6:$B$41,0)),0)</f>
        <v>110</v>
      </c>
      <c r="I605" s="16" t="n">
        <f aca="false">IFERROR(SUMIFS(ROTACAO_RDM!$B$6:$B$71,ROTACAO_RDM!$D$6:$D$71,$E605,ROTACAO_RDM!$I$6:$I$71,"&lt;="&amp;$C605+INT(DIAS_POR_SEMANA/2),ROTACAO_RDM!$J$6:$J$71,"&gt;="&amp;$C605+INT(DIAS_POR_SEMANA/2)),0)</f>
        <v>17</v>
      </c>
      <c r="J605" s="16" t="n">
        <f aca="false">IFERROR(MATCH($I605,ROTACAO_RDM!$B$6:$B$71,0),0)</f>
        <v>17</v>
      </c>
      <c r="K605" s="8" t="str">
        <f aca="false">IF($J605=0,"SEM CULTURA",INDEX(ROTACAO_RDM!$F$6:$F$71,$J605))</f>
        <v>SOJA</v>
      </c>
      <c r="L605" s="8" t="str">
        <f aca="false">IF($J605=0,"",INDEX(ROTACAO_RDM!$G$6:$G$71,$J605))</f>
        <v>NEO 690 I2X</v>
      </c>
      <c r="M605" s="17" t="n">
        <f aca="false">IF($J605=0,"",INDEX(ROTACAO_RDM!$I$6:$I$71,$J605))</f>
        <v>46290</v>
      </c>
      <c r="N605" s="16" t="n">
        <f aca="false">IF($J605=0,0,MAX(0,$C605+INT(DIAS_POR_SEMANA/2)-INDEX(ROTACAO_RDM!$I$6:$I$71,$J605)))</f>
        <v>13</v>
      </c>
      <c r="O605" s="19" t="n">
        <f aca="false">IF($J605=0,0,MIN(1,$N605/MAX(1,INDEX(ROTACAO_RDM!$K$6:$K$71,$J605))))</f>
        <v>0.12037037037037</v>
      </c>
      <c r="P605" s="16" t="n">
        <f aca="false">IF($J605=0,0,IFERROR(MATCH(INDEX(ROTACAO_RDM!$N$6:$N$71,$J605),PARAMETROS_CULTURAS!$B$6:$B$28,0),0))</f>
        <v>1</v>
      </c>
      <c r="Q605" s="8" t="str">
        <f aca="false">IF($P605=0,"-",IF($O605&lt;=INDEX(PARAMETROS_CULTURAS!$F$6:$F$28,$P605),"INICIAL",IF($O605&lt;=INDEX(PARAMETROS_CULTURAS!$F$6:$F$28,$P605)+INDEX(PARAMETROS_CULTURAS!$G$6:$G$28,$P605),"DESENVOLVIMENTO",IF($O605&lt;=INDEX(PARAMETROS_CULTURAS!$F$6:$F$28,$P605)+INDEX(PARAMETROS_CULTURAS!$G$6:$G$28,$P605)+INDEX(PARAMETROS_CULTURAS!$H$6:$H$28,$P605),"MEDIA","FINAL"))))</f>
        <v>INICIAL</v>
      </c>
      <c r="R605" s="24" t="n">
        <f aca="false">IF($P605=0,0,IF($O605&lt;=INDEX(PARAMETROS_CULTURAS!$F$6:$F$28,$P605),INDEX(PARAMETROS_CULTURAS!$K$6:$K$28,$P605),IF($O605&lt;=INDEX(PARAMETROS_CULTURAS!$F$6:$F$28,$P605)+INDEX(PARAMETROS_CULTURAS!$G$6:$G$28,$P605),INDEX(PARAMETROS_CULTURAS!$K$6:$K$28,$P605)+(INDEX(PARAMETROS_CULTURAS!$L$6:$L$28,$P605)-INDEX(PARAMETROS_CULTURAS!$K$6:$K$28,$P605))*($O605-INDEX(PARAMETROS_CULTURAS!$F$6:$F$28,$P605))/MAX(INDEX(PARAMETROS_CULTURAS!$G$6:$G$28,$P605),0.0001),IF($O605&lt;=INDEX(PARAMETROS_CULTURAS!$F$6:$F$28,$P605)+INDEX(PARAMETROS_CULTURAS!$G$6:$G$28,$P605)+INDEX(PARAMETROS_CULTURAS!$H$6:$H$28,$P605),INDEX(PARAMETROS_CULTURAS!$L$6:$L$28,$P605),INDEX(PARAMETROS_CULTURAS!$L$6:$L$28,$P605)+(INDEX(PARAMETROS_CULTURAS!$M$6:$M$28,$P605)-INDEX(PARAMETROS_CULTURAS!$L$6:$L$28,$P605))*($O605-INDEX(PARAMETROS_CULTURAS!$F$6:$F$28,$P605)-INDEX(PARAMETROS_CULTURAS!$G$6:$G$28,$P605)-INDEX(PARAMETROS_CULTURAS!$H$6:$H$28,$P605))/MAX(INDEX(PARAMETROS_CULTURAS!$I$6:$I$28,$P605),0.0001)))))</f>
        <v>0.4</v>
      </c>
      <c r="S605" s="18" t="n">
        <f aca="false">IFERROR(INDEX(SEMANAS!$H$6:$H$71,MATCH($B605,SEMANAS!$B$6:$B$71,0)),0)</f>
        <v>39.2</v>
      </c>
      <c r="T605" s="18" t="n">
        <f aca="false">$R605*$S605</f>
        <v>15.68</v>
      </c>
      <c r="U605" s="18" t="n">
        <f aca="false">IFERROR(INDEX(SEMANAS!$I$6:$I$71,MATCH($B605,SEMANAS!$B$6:$B$71,0)),0)</f>
        <v>27.09</v>
      </c>
      <c r="V605" s="18" t="n">
        <f aca="false">IFERROR(INDEX(SEMANAS!$J$6:$J$71,MATCH($B605,SEMANAS!$B$6:$B$71,0)),0)</f>
        <v>21.672</v>
      </c>
      <c r="W605" s="18" t="n">
        <f aca="false">MAX(0,$T605-$V605)</f>
        <v>0</v>
      </c>
      <c r="X605" s="19" t="n">
        <f aca="false">IFERROR(INDEX(CADASTRO_PIVOS!$K$6:$K$41,MATCH($E605,CADASTRO_PIVOS!$B$6:$B$41,0)),EFICIENCIA_PADRAO)</f>
        <v>0.85</v>
      </c>
      <c r="Y605" s="18" t="n">
        <f aca="false">IF($X605&lt;=0,0,$W605/$X605)</f>
        <v>0</v>
      </c>
      <c r="Z605" s="16" t="n">
        <f aca="false">$Y605*$H605*MM_PARA_M3_HA</f>
        <v>0</v>
      </c>
      <c r="AA605" s="18" t="n">
        <f aca="false">IFERROR(INDEX(CADASTRO_PIVOS!$I$6:$I$41,MATCH($E605,CADASTRO_PIVOS!$B$6:$B$41,0)),0)</f>
        <v>785.714285714286</v>
      </c>
      <c r="AB605" s="18" t="n">
        <f aca="false">IF($Z605&lt;=0,0,$Z605/$AA605)</f>
        <v>0</v>
      </c>
      <c r="AC605" s="16" t="n">
        <f aca="false">IFERROR(INDEX(SEMANAS!$K$6:$K$71,MATCH($B605,SEMANAS!$B$6:$B$71,0)),0)</f>
        <v>147</v>
      </c>
      <c r="AD605" s="19" t="n">
        <f aca="false">IF($AC605&lt;=0,0,$AB605/$AC605)</f>
        <v>0</v>
      </c>
      <c r="AE605" s="8" t="str">
        <f aca="false">IF($K605="SEM CULTURA","SEM CULTURA",IF($AA605&lt;=0,"DADO PENDENTE",IF($AD605&gt;LIMITE_CRITICO,"INVIAVEL",IF($AD605&gt;LIMITE_ATENCAO,"CRITICO",IF($AD605&gt;LIMITE_CONFORTAVEL,"ATENCAO","OK")))))</f>
        <v>OK</v>
      </c>
      <c r="AF605" s="8" t="str">
        <f aca="false">$B605&amp;"|"&amp;TEXT($AD605,"0.000000")</f>
        <v>6|0.000000</v>
      </c>
      <c r="AG605" s="18" t="n">
        <f aca="false">IF($K605="SEM CULTURA",0,$T605*$H605)</f>
        <v>1724.8</v>
      </c>
      <c r="AH605" s="18" t="n">
        <f aca="false">IF($K605="SEM CULTURA",0,$V605*$H605)</f>
        <v>2383.92</v>
      </c>
      <c r="AI605" s="18" t="n">
        <f aca="false">IF($K605="SEM CULTURA",0,$W605*$H605)</f>
        <v>0</v>
      </c>
      <c r="AJ605" s="18" t="n">
        <f aca="false">IF($K605="SEM CULTURA",0,$S605*$H605)</f>
        <v>4312</v>
      </c>
      <c r="AK605" s="8" t="str">
        <f aca="false">$E605&amp;"|"&amp;TEXT($AD605,"0.000000")</f>
        <v>PV 110|0.000000</v>
      </c>
    </row>
    <row r="606" customFormat="false" ht="15" hidden="false" customHeight="false" outlineLevel="0" collapsed="false">
      <c r="B606" s="16" t="n">
        <v>7</v>
      </c>
      <c r="C606" s="17" t="n">
        <f aca="false">DATA_INICIO_SAFRA+($B606-1)*DIAS_POR_SEMANA</f>
        <v>46307</v>
      </c>
      <c r="D606" s="17" t="n">
        <f aca="false">$C606+DIAS_POR_SEMANA-1</f>
        <v>46313</v>
      </c>
      <c r="E606" s="15" t="s">
        <v>268</v>
      </c>
      <c r="F606" s="8" t="str">
        <f aca="false">IFERROR(INDEX(CADASTRO_PIVOS!$C$6:$C$41,MATCH($E606,CADASTRO_PIVOS!$B$6:$B$41,0)),"?")</f>
        <v>RM04</v>
      </c>
      <c r="G606" s="8" t="str">
        <f aca="false">IFERROR(INDEX(CADASTRO_PIVOS!$D$6:$D$41,MATCH($E606,CADASTRO_PIVOS!$B$6:$B$41,0)),"?")</f>
        <v>TR04</v>
      </c>
      <c r="H606" s="20" t="n">
        <f aca="false">IFERROR(INDEX(CADASTRO_PIVOS!$E$6:$E$41,MATCH($E606,CADASTRO_PIVOS!$B$6:$B$41,0)),0)</f>
        <v>110</v>
      </c>
      <c r="I606" s="16" t="n">
        <f aca="false">IFERROR(SUMIFS(ROTACAO_RDM!$B$6:$B$71,ROTACAO_RDM!$D$6:$D$71,$E606,ROTACAO_RDM!$I$6:$I$71,"&lt;="&amp;$C606+INT(DIAS_POR_SEMANA/2),ROTACAO_RDM!$J$6:$J$71,"&gt;="&amp;$C606+INT(DIAS_POR_SEMANA/2)),0)</f>
        <v>17</v>
      </c>
      <c r="J606" s="16" t="n">
        <f aca="false">IFERROR(MATCH($I606,ROTACAO_RDM!$B$6:$B$71,0),0)</f>
        <v>17</v>
      </c>
      <c r="K606" s="8" t="str">
        <f aca="false">IF($J606=0,"SEM CULTURA",INDEX(ROTACAO_RDM!$F$6:$F$71,$J606))</f>
        <v>SOJA</v>
      </c>
      <c r="L606" s="8" t="str">
        <f aca="false">IF($J606=0,"",INDEX(ROTACAO_RDM!$G$6:$G$71,$J606))</f>
        <v>NEO 690 I2X</v>
      </c>
      <c r="M606" s="17" t="n">
        <f aca="false">IF($J606=0,"",INDEX(ROTACAO_RDM!$I$6:$I$71,$J606))</f>
        <v>46290</v>
      </c>
      <c r="N606" s="16" t="n">
        <f aca="false">IF($J606=0,0,MAX(0,$C606+INT(DIAS_POR_SEMANA/2)-INDEX(ROTACAO_RDM!$I$6:$I$71,$J606)))</f>
        <v>20</v>
      </c>
      <c r="O606" s="19" t="n">
        <f aca="false">IF($J606=0,0,MIN(1,$N606/MAX(1,INDEX(ROTACAO_RDM!$K$6:$K$71,$J606))))</f>
        <v>0.185185185185185</v>
      </c>
      <c r="P606" s="16" t="n">
        <f aca="false">IF($J606=0,0,IFERROR(MATCH(INDEX(ROTACAO_RDM!$N$6:$N$71,$J606),PARAMETROS_CULTURAS!$B$6:$B$28,0),0))</f>
        <v>1</v>
      </c>
      <c r="Q606" s="8" t="str">
        <f aca="false">IF($P606=0,"-",IF($O606&lt;=INDEX(PARAMETROS_CULTURAS!$F$6:$F$28,$P606),"INICIAL",IF($O606&lt;=INDEX(PARAMETROS_CULTURAS!$F$6:$F$28,$P606)+INDEX(PARAMETROS_CULTURAS!$G$6:$G$28,$P606),"DESENVOLVIMENTO",IF($O606&lt;=INDEX(PARAMETROS_CULTURAS!$F$6:$F$28,$P606)+INDEX(PARAMETROS_CULTURAS!$G$6:$G$28,$P606)+INDEX(PARAMETROS_CULTURAS!$H$6:$H$28,$P606),"MEDIA","FINAL"))))</f>
        <v>DESENVOLVIMENTO</v>
      </c>
      <c r="R606" s="24" t="n">
        <f aca="false">IF($P606=0,0,IF($O606&lt;=INDEX(PARAMETROS_CULTURAS!$F$6:$F$28,$P606),INDEX(PARAMETROS_CULTURAS!$K$6:$K$28,$P606),IF($O606&lt;=INDEX(PARAMETROS_CULTURAS!$F$6:$F$28,$P606)+INDEX(PARAMETROS_CULTURAS!$G$6:$G$28,$P606),INDEX(PARAMETROS_CULTURAS!$K$6:$K$28,$P606)+(INDEX(PARAMETROS_CULTURAS!$L$6:$L$28,$P606)-INDEX(PARAMETROS_CULTURAS!$K$6:$K$28,$P606))*($O606-INDEX(PARAMETROS_CULTURAS!$F$6:$F$28,$P606))/MAX(INDEX(PARAMETROS_CULTURAS!$G$6:$G$28,$P606),0.0001),IF($O606&lt;=INDEX(PARAMETROS_CULTURAS!$F$6:$F$28,$P606)+INDEX(PARAMETROS_CULTURAS!$G$6:$G$28,$P606)+INDEX(PARAMETROS_CULTURAS!$H$6:$H$28,$P606),INDEX(PARAMETROS_CULTURAS!$L$6:$L$28,$P606),INDEX(PARAMETROS_CULTURAS!$L$6:$L$28,$P606)+(INDEX(PARAMETROS_CULTURAS!$M$6:$M$28,$P606)-INDEX(PARAMETROS_CULTURAS!$L$6:$L$28,$P606))*($O606-INDEX(PARAMETROS_CULTURAS!$F$6:$F$28,$P606)-INDEX(PARAMETROS_CULTURAS!$G$6:$G$28,$P606)-INDEX(PARAMETROS_CULTURAS!$H$6:$H$28,$P606))/MAX(INDEX(PARAMETROS_CULTURAS!$I$6:$I$28,$P606),0.0001)))))</f>
        <v>0.416203703703704</v>
      </c>
      <c r="S606" s="18" t="n">
        <f aca="false">IFERROR(INDEX(SEMANAS!$H$6:$H$71,MATCH($B606,SEMANAS!$B$6:$B$71,0)),0)</f>
        <v>39.2</v>
      </c>
      <c r="T606" s="18" t="n">
        <f aca="false">$R606*$S606</f>
        <v>16.3151851851852</v>
      </c>
      <c r="U606" s="18" t="n">
        <f aca="false">IFERROR(INDEX(SEMANAS!$I$6:$I$71,MATCH($B606,SEMANAS!$B$6:$B$71,0)),0)</f>
        <v>27.09</v>
      </c>
      <c r="V606" s="18" t="n">
        <f aca="false">IFERROR(INDEX(SEMANAS!$J$6:$J$71,MATCH($B606,SEMANAS!$B$6:$B$71,0)),0)</f>
        <v>21.672</v>
      </c>
      <c r="W606" s="18" t="n">
        <f aca="false">MAX(0,$T606-$V606)</f>
        <v>0</v>
      </c>
      <c r="X606" s="19" t="n">
        <f aca="false">IFERROR(INDEX(CADASTRO_PIVOS!$K$6:$K$41,MATCH($E606,CADASTRO_PIVOS!$B$6:$B$41,0)),EFICIENCIA_PADRAO)</f>
        <v>0.85</v>
      </c>
      <c r="Y606" s="18" t="n">
        <f aca="false">IF($X606&lt;=0,0,$W606/$X606)</f>
        <v>0</v>
      </c>
      <c r="Z606" s="16" t="n">
        <f aca="false">$Y606*$H606*MM_PARA_M3_HA</f>
        <v>0</v>
      </c>
      <c r="AA606" s="18" t="n">
        <f aca="false">IFERROR(INDEX(CADASTRO_PIVOS!$I$6:$I$41,MATCH($E606,CADASTRO_PIVOS!$B$6:$B$41,0)),0)</f>
        <v>785.714285714286</v>
      </c>
      <c r="AB606" s="18" t="n">
        <f aca="false">IF($Z606&lt;=0,0,$Z606/$AA606)</f>
        <v>0</v>
      </c>
      <c r="AC606" s="16" t="n">
        <f aca="false">IFERROR(INDEX(SEMANAS!$K$6:$K$71,MATCH($B606,SEMANAS!$B$6:$B$71,0)),0)</f>
        <v>147</v>
      </c>
      <c r="AD606" s="19" t="n">
        <f aca="false">IF($AC606&lt;=0,0,$AB606/$AC606)</f>
        <v>0</v>
      </c>
      <c r="AE606" s="8" t="str">
        <f aca="false">IF($K606="SEM CULTURA","SEM CULTURA",IF($AA606&lt;=0,"DADO PENDENTE",IF($AD606&gt;LIMITE_CRITICO,"INVIAVEL",IF($AD606&gt;LIMITE_ATENCAO,"CRITICO",IF($AD606&gt;LIMITE_CONFORTAVEL,"ATENCAO","OK")))))</f>
        <v>OK</v>
      </c>
      <c r="AF606" s="8" t="str">
        <f aca="false">$B606&amp;"|"&amp;TEXT($AD606,"0.000000")</f>
        <v>7|0.000000</v>
      </c>
      <c r="AG606" s="18" t="n">
        <f aca="false">IF($K606="SEM CULTURA",0,$T606*$H606)</f>
        <v>1794.67037037037</v>
      </c>
      <c r="AH606" s="18" t="n">
        <f aca="false">IF($K606="SEM CULTURA",0,$V606*$H606)</f>
        <v>2383.92</v>
      </c>
      <c r="AI606" s="18" t="n">
        <f aca="false">IF($K606="SEM CULTURA",0,$W606*$H606)</f>
        <v>0</v>
      </c>
      <c r="AJ606" s="18" t="n">
        <f aca="false">IF($K606="SEM CULTURA",0,$S606*$H606)</f>
        <v>4312</v>
      </c>
      <c r="AK606" s="8" t="str">
        <f aca="false">$E606&amp;"|"&amp;TEXT($AD606,"0.000000")</f>
        <v>PV 110|0.000000</v>
      </c>
    </row>
    <row r="607" customFormat="false" ht="15" hidden="false" customHeight="false" outlineLevel="0" collapsed="false">
      <c r="B607" s="16" t="n">
        <v>8</v>
      </c>
      <c r="C607" s="17" t="n">
        <f aca="false">DATA_INICIO_SAFRA+($B607-1)*DIAS_POR_SEMANA</f>
        <v>46314</v>
      </c>
      <c r="D607" s="17" t="n">
        <f aca="false">$C607+DIAS_POR_SEMANA-1</f>
        <v>46320</v>
      </c>
      <c r="E607" s="15" t="s">
        <v>268</v>
      </c>
      <c r="F607" s="8" t="str">
        <f aca="false">IFERROR(INDEX(CADASTRO_PIVOS!$C$6:$C$41,MATCH($E607,CADASTRO_PIVOS!$B$6:$B$41,0)),"?")</f>
        <v>RM04</v>
      </c>
      <c r="G607" s="8" t="str">
        <f aca="false">IFERROR(INDEX(CADASTRO_PIVOS!$D$6:$D$41,MATCH($E607,CADASTRO_PIVOS!$B$6:$B$41,0)),"?")</f>
        <v>TR04</v>
      </c>
      <c r="H607" s="20" t="n">
        <f aca="false">IFERROR(INDEX(CADASTRO_PIVOS!$E$6:$E$41,MATCH($E607,CADASTRO_PIVOS!$B$6:$B$41,0)),0)</f>
        <v>110</v>
      </c>
      <c r="I607" s="16" t="n">
        <f aca="false">IFERROR(SUMIFS(ROTACAO_RDM!$B$6:$B$71,ROTACAO_RDM!$D$6:$D$71,$E607,ROTACAO_RDM!$I$6:$I$71,"&lt;="&amp;$C607+INT(DIAS_POR_SEMANA/2),ROTACAO_RDM!$J$6:$J$71,"&gt;="&amp;$C607+INT(DIAS_POR_SEMANA/2)),0)</f>
        <v>17</v>
      </c>
      <c r="J607" s="16" t="n">
        <f aca="false">IFERROR(MATCH($I607,ROTACAO_RDM!$B$6:$B$71,0),0)</f>
        <v>17</v>
      </c>
      <c r="K607" s="8" t="str">
        <f aca="false">IF($J607=0,"SEM CULTURA",INDEX(ROTACAO_RDM!$F$6:$F$71,$J607))</f>
        <v>SOJA</v>
      </c>
      <c r="L607" s="8" t="str">
        <f aca="false">IF($J607=0,"",INDEX(ROTACAO_RDM!$G$6:$G$71,$J607))</f>
        <v>NEO 690 I2X</v>
      </c>
      <c r="M607" s="17" t="n">
        <f aca="false">IF($J607=0,"",INDEX(ROTACAO_RDM!$I$6:$I$71,$J607))</f>
        <v>46290</v>
      </c>
      <c r="N607" s="16" t="n">
        <f aca="false">IF($J607=0,0,MAX(0,$C607+INT(DIAS_POR_SEMANA/2)-INDEX(ROTACAO_RDM!$I$6:$I$71,$J607)))</f>
        <v>27</v>
      </c>
      <c r="O607" s="19" t="n">
        <f aca="false">IF($J607=0,0,MIN(1,$N607/MAX(1,INDEX(ROTACAO_RDM!$K$6:$K$71,$J607))))</f>
        <v>0.25</v>
      </c>
      <c r="P607" s="16" t="n">
        <f aca="false">IF($J607=0,0,IFERROR(MATCH(INDEX(ROTACAO_RDM!$N$6:$N$71,$J607),PARAMETROS_CULTURAS!$B$6:$B$28,0),0))</f>
        <v>1</v>
      </c>
      <c r="Q607" s="8" t="str">
        <f aca="false">IF($P607=0,"-",IF($O607&lt;=INDEX(PARAMETROS_CULTURAS!$F$6:$F$28,$P607),"INICIAL",IF($O607&lt;=INDEX(PARAMETROS_CULTURAS!$F$6:$F$28,$P607)+INDEX(PARAMETROS_CULTURAS!$G$6:$G$28,$P607),"DESENVOLVIMENTO",IF($O607&lt;=INDEX(PARAMETROS_CULTURAS!$F$6:$F$28,$P607)+INDEX(PARAMETROS_CULTURAS!$G$6:$G$28,$P607)+INDEX(PARAMETROS_CULTURAS!$H$6:$H$28,$P607),"MEDIA","FINAL"))))</f>
        <v>DESENVOLVIMENTO</v>
      </c>
      <c r="R607" s="24" t="n">
        <f aca="false">IF($P607=0,0,IF($O607&lt;=INDEX(PARAMETROS_CULTURAS!$F$6:$F$28,$P607),INDEX(PARAMETROS_CULTURAS!$K$6:$K$28,$P607),IF($O607&lt;=INDEX(PARAMETROS_CULTURAS!$F$6:$F$28,$P607)+INDEX(PARAMETROS_CULTURAS!$G$6:$G$28,$P607),INDEX(PARAMETROS_CULTURAS!$K$6:$K$28,$P607)+(INDEX(PARAMETROS_CULTURAS!$L$6:$L$28,$P607)-INDEX(PARAMETROS_CULTURAS!$K$6:$K$28,$P607))*($O607-INDEX(PARAMETROS_CULTURAS!$F$6:$F$28,$P607))/MAX(INDEX(PARAMETROS_CULTURAS!$G$6:$G$28,$P607),0.0001),IF($O607&lt;=INDEX(PARAMETROS_CULTURAS!$F$6:$F$28,$P607)+INDEX(PARAMETROS_CULTURAS!$G$6:$G$28,$P607)+INDEX(PARAMETROS_CULTURAS!$H$6:$H$28,$P607),INDEX(PARAMETROS_CULTURAS!$L$6:$L$28,$P607),INDEX(PARAMETROS_CULTURAS!$L$6:$L$28,$P607)+(INDEX(PARAMETROS_CULTURAS!$M$6:$M$28,$P607)-INDEX(PARAMETROS_CULTURAS!$L$6:$L$28,$P607))*($O607-INDEX(PARAMETROS_CULTURAS!$F$6:$F$28,$P607)-INDEX(PARAMETROS_CULTURAS!$G$6:$G$28,$P607)-INDEX(PARAMETROS_CULTURAS!$H$6:$H$28,$P607))/MAX(INDEX(PARAMETROS_CULTURAS!$I$6:$I$28,$P607),0.0001)))))</f>
        <v>0.61875</v>
      </c>
      <c r="S607" s="18" t="n">
        <f aca="false">IFERROR(INDEX(SEMANAS!$H$6:$H$71,MATCH($B607,SEMANAS!$B$6:$B$71,0)),0)</f>
        <v>39.2</v>
      </c>
      <c r="T607" s="18" t="n">
        <f aca="false">$R607*$S607</f>
        <v>24.255</v>
      </c>
      <c r="U607" s="18" t="n">
        <f aca="false">IFERROR(INDEX(SEMANAS!$I$6:$I$71,MATCH($B607,SEMANAS!$B$6:$B$71,0)),0)</f>
        <v>27.09</v>
      </c>
      <c r="V607" s="18" t="n">
        <f aca="false">IFERROR(INDEX(SEMANAS!$J$6:$J$71,MATCH($B607,SEMANAS!$B$6:$B$71,0)),0)</f>
        <v>21.672</v>
      </c>
      <c r="W607" s="18" t="n">
        <f aca="false">MAX(0,$T607-$V607)</f>
        <v>2.583</v>
      </c>
      <c r="X607" s="19" t="n">
        <f aca="false">IFERROR(INDEX(CADASTRO_PIVOS!$K$6:$K$41,MATCH($E607,CADASTRO_PIVOS!$B$6:$B$41,0)),EFICIENCIA_PADRAO)</f>
        <v>0.85</v>
      </c>
      <c r="Y607" s="18" t="n">
        <f aca="false">IF($X607&lt;=0,0,$W607/$X607)</f>
        <v>3.03882352941176</v>
      </c>
      <c r="Z607" s="16" t="n">
        <f aca="false">$Y607*$H607*MM_PARA_M3_HA</f>
        <v>3342.70588235294</v>
      </c>
      <c r="AA607" s="18" t="n">
        <f aca="false">IFERROR(INDEX(CADASTRO_PIVOS!$I$6:$I$41,MATCH($E607,CADASTRO_PIVOS!$B$6:$B$41,0)),0)</f>
        <v>785.714285714286</v>
      </c>
      <c r="AB607" s="18" t="n">
        <f aca="false">IF($Z607&lt;=0,0,$Z607/$AA607)</f>
        <v>4.25435294117647</v>
      </c>
      <c r="AC607" s="16" t="n">
        <f aca="false">IFERROR(INDEX(SEMANAS!$K$6:$K$71,MATCH($B607,SEMANAS!$B$6:$B$71,0)),0)</f>
        <v>147</v>
      </c>
      <c r="AD607" s="19" t="n">
        <f aca="false">IF($AC607&lt;=0,0,$AB607/$AC607)</f>
        <v>0.0289411764705882</v>
      </c>
      <c r="AE607" s="8" t="str">
        <f aca="false">IF($K607="SEM CULTURA","SEM CULTURA",IF($AA607&lt;=0,"DADO PENDENTE",IF($AD607&gt;LIMITE_CRITICO,"INVIAVEL",IF($AD607&gt;LIMITE_ATENCAO,"CRITICO",IF($AD607&gt;LIMITE_CONFORTAVEL,"ATENCAO","OK")))))</f>
        <v>OK</v>
      </c>
      <c r="AF607" s="8" t="str">
        <f aca="false">$B607&amp;"|"&amp;TEXT($AD607,"0.000000")</f>
        <v>8|0.028941</v>
      </c>
      <c r="AG607" s="18" t="n">
        <f aca="false">IF($K607="SEM CULTURA",0,$T607*$H607)</f>
        <v>2668.05</v>
      </c>
      <c r="AH607" s="18" t="n">
        <f aca="false">IF($K607="SEM CULTURA",0,$V607*$H607)</f>
        <v>2383.92</v>
      </c>
      <c r="AI607" s="18" t="n">
        <f aca="false">IF($K607="SEM CULTURA",0,$W607*$H607)</f>
        <v>284.13</v>
      </c>
      <c r="AJ607" s="18" t="n">
        <f aca="false">IF($K607="SEM CULTURA",0,$S607*$H607)</f>
        <v>4312</v>
      </c>
      <c r="AK607" s="8" t="str">
        <f aca="false">$E607&amp;"|"&amp;TEXT($AD607,"0.000000")</f>
        <v>PV 110|0.028941</v>
      </c>
    </row>
    <row r="608" customFormat="false" ht="15" hidden="false" customHeight="false" outlineLevel="0" collapsed="false">
      <c r="B608" s="16" t="n">
        <v>9</v>
      </c>
      <c r="C608" s="17" t="n">
        <f aca="false">DATA_INICIO_SAFRA+($B608-1)*DIAS_POR_SEMANA</f>
        <v>46321</v>
      </c>
      <c r="D608" s="17" t="n">
        <f aca="false">$C608+DIAS_POR_SEMANA-1</f>
        <v>46327</v>
      </c>
      <c r="E608" s="15" t="s">
        <v>268</v>
      </c>
      <c r="F608" s="8" t="str">
        <f aca="false">IFERROR(INDEX(CADASTRO_PIVOS!$C$6:$C$41,MATCH($E608,CADASTRO_PIVOS!$B$6:$B$41,0)),"?")</f>
        <v>RM04</v>
      </c>
      <c r="G608" s="8" t="str">
        <f aca="false">IFERROR(INDEX(CADASTRO_PIVOS!$D$6:$D$41,MATCH($E608,CADASTRO_PIVOS!$B$6:$B$41,0)),"?")</f>
        <v>TR04</v>
      </c>
      <c r="H608" s="20" t="n">
        <f aca="false">IFERROR(INDEX(CADASTRO_PIVOS!$E$6:$E$41,MATCH($E608,CADASTRO_PIVOS!$B$6:$B$41,0)),0)</f>
        <v>110</v>
      </c>
      <c r="I608" s="16" t="n">
        <f aca="false">IFERROR(SUMIFS(ROTACAO_RDM!$B$6:$B$71,ROTACAO_RDM!$D$6:$D$71,$E608,ROTACAO_RDM!$I$6:$I$71,"&lt;="&amp;$C608+INT(DIAS_POR_SEMANA/2),ROTACAO_RDM!$J$6:$J$71,"&gt;="&amp;$C608+INT(DIAS_POR_SEMANA/2)),0)</f>
        <v>17</v>
      </c>
      <c r="J608" s="16" t="n">
        <f aca="false">IFERROR(MATCH($I608,ROTACAO_RDM!$B$6:$B$71,0),0)</f>
        <v>17</v>
      </c>
      <c r="K608" s="8" t="str">
        <f aca="false">IF($J608=0,"SEM CULTURA",INDEX(ROTACAO_RDM!$F$6:$F$71,$J608))</f>
        <v>SOJA</v>
      </c>
      <c r="L608" s="8" t="str">
        <f aca="false">IF($J608=0,"",INDEX(ROTACAO_RDM!$G$6:$G$71,$J608))</f>
        <v>NEO 690 I2X</v>
      </c>
      <c r="M608" s="17" t="n">
        <f aca="false">IF($J608=0,"",INDEX(ROTACAO_RDM!$I$6:$I$71,$J608))</f>
        <v>46290</v>
      </c>
      <c r="N608" s="16" t="n">
        <f aca="false">IF($J608=0,0,MAX(0,$C608+INT(DIAS_POR_SEMANA/2)-INDEX(ROTACAO_RDM!$I$6:$I$71,$J608)))</f>
        <v>34</v>
      </c>
      <c r="O608" s="19" t="n">
        <f aca="false">IF($J608=0,0,MIN(1,$N608/MAX(1,INDEX(ROTACAO_RDM!$K$6:$K$71,$J608))))</f>
        <v>0.314814814814815</v>
      </c>
      <c r="P608" s="16" t="n">
        <f aca="false">IF($J608=0,0,IFERROR(MATCH(INDEX(ROTACAO_RDM!$N$6:$N$71,$J608),PARAMETROS_CULTURAS!$B$6:$B$28,0),0))</f>
        <v>1</v>
      </c>
      <c r="Q608" s="8" t="str">
        <f aca="false">IF($P608=0,"-",IF($O608&lt;=INDEX(PARAMETROS_CULTURAS!$F$6:$F$28,$P608),"INICIAL",IF($O608&lt;=INDEX(PARAMETROS_CULTURAS!$F$6:$F$28,$P608)+INDEX(PARAMETROS_CULTURAS!$G$6:$G$28,$P608),"DESENVOLVIMENTO",IF($O608&lt;=INDEX(PARAMETROS_CULTURAS!$F$6:$F$28,$P608)+INDEX(PARAMETROS_CULTURAS!$G$6:$G$28,$P608)+INDEX(PARAMETROS_CULTURAS!$H$6:$H$28,$P608),"MEDIA","FINAL"))))</f>
        <v>DESENVOLVIMENTO</v>
      </c>
      <c r="R608" s="24" t="n">
        <f aca="false">IF($P608=0,0,IF($O608&lt;=INDEX(PARAMETROS_CULTURAS!$F$6:$F$28,$P608),INDEX(PARAMETROS_CULTURAS!$K$6:$K$28,$P608),IF($O608&lt;=INDEX(PARAMETROS_CULTURAS!$F$6:$F$28,$P608)+INDEX(PARAMETROS_CULTURAS!$G$6:$G$28,$P608),INDEX(PARAMETROS_CULTURAS!$K$6:$K$28,$P608)+(INDEX(PARAMETROS_CULTURAS!$L$6:$L$28,$P608)-INDEX(PARAMETROS_CULTURAS!$K$6:$K$28,$P608))*($O608-INDEX(PARAMETROS_CULTURAS!$F$6:$F$28,$P608))/MAX(INDEX(PARAMETROS_CULTURAS!$G$6:$G$28,$P608),0.0001),IF($O608&lt;=INDEX(PARAMETROS_CULTURAS!$F$6:$F$28,$P608)+INDEX(PARAMETROS_CULTURAS!$G$6:$G$28,$P608)+INDEX(PARAMETROS_CULTURAS!$H$6:$H$28,$P608),INDEX(PARAMETROS_CULTURAS!$L$6:$L$28,$P608),INDEX(PARAMETROS_CULTURAS!$L$6:$L$28,$P608)+(INDEX(PARAMETROS_CULTURAS!$M$6:$M$28,$P608)-INDEX(PARAMETROS_CULTURAS!$L$6:$L$28,$P608))*($O608-INDEX(PARAMETROS_CULTURAS!$F$6:$F$28,$P608)-INDEX(PARAMETROS_CULTURAS!$G$6:$G$28,$P608)-INDEX(PARAMETROS_CULTURAS!$H$6:$H$28,$P608))/MAX(INDEX(PARAMETROS_CULTURAS!$I$6:$I$28,$P608),0.0001)))))</f>
        <v>0.821296296296296</v>
      </c>
      <c r="S608" s="18" t="n">
        <f aca="false">IFERROR(INDEX(SEMANAS!$H$6:$H$71,MATCH($B608,SEMANAS!$B$6:$B$71,0)),0)</f>
        <v>38.5</v>
      </c>
      <c r="T608" s="18" t="n">
        <f aca="false">$R608*$S608</f>
        <v>31.6199074074074</v>
      </c>
      <c r="U608" s="18" t="n">
        <f aca="false">IFERROR(INDEX(SEMANAS!$I$6:$I$71,MATCH($B608,SEMANAS!$B$6:$B$71,0)),0)</f>
        <v>29.89</v>
      </c>
      <c r="V608" s="18" t="n">
        <f aca="false">IFERROR(INDEX(SEMANAS!$J$6:$J$71,MATCH($B608,SEMANAS!$B$6:$B$71,0)),0)</f>
        <v>23.912</v>
      </c>
      <c r="W608" s="18" t="n">
        <f aca="false">MAX(0,$T608-$V608)</f>
        <v>7.70790740740741</v>
      </c>
      <c r="X608" s="19" t="n">
        <f aca="false">IFERROR(INDEX(CADASTRO_PIVOS!$K$6:$K$41,MATCH($E608,CADASTRO_PIVOS!$B$6:$B$41,0)),EFICIENCIA_PADRAO)</f>
        <v>0.85</v>
      </c>
      <c r="Y608" s="18" t="n">
        <f aca="false">IF($X608&lt;=0,0,$W608/$X608)</f>
        <v>9.06812636165578</v>
      </c>
      <c r="Z608" s="16" t="n">
        <f aca="false">$Y608*$H608*MM_PARA_M3_HA</f>
        <v>9974.93899782135</v>
      </c>
      <c r="AA608" s="18" t="n">
        <f aca="false">IFERROR(INDEX(CADASTRO_PIVOS!$I$6:$I$41,MATCH($E608,CADASTRO_PIVOS!$B$6:$B$41,0)),0)</f>
        <v>785.714285714286</v>
      </c>
      <c r="AB608" s="18" t="n">
        <f aca="false">IF($Z608&lt;=0,0,$Z608/$AA608)</f>
        <v>12.6953769063181</v>
      </c>
      <c r="AC608" s="16" t="n">
        <f aca="false">IFERROR(INDEX(SEMANAS!$K$6:$K$71,MATCH($B608,SEMANAS!$B$6:$B$71,0)),0)</f>
        <v>147</v>
      </c>
      <c r="AD608" s="19" t="n">
        <f aca="false">IF($AC608&lt;=0,0,$AB608/$AC608)</f>
        <v>0.0863631082062455</v>
      </c>
      <c r="AE608" s="8" t="str">
        <f aca="false">IF($K608="SEM CULTURA","SEM CULTURA",IF($AA608&lt;=0,"DADO PENDENTE",IF($AD608&gt;LIMITE_CRITICO,"INVIAVEL",IF($AD608&gt;LIMITE_ATENCAO,"CRITICO",IF($AD608&gt;LIMITE_CONFORTAVEL,"ATENCAO","OK")))))</f>
        <v>OK</v>
      </c>
      <c r="AF608" s="8" t="str">
        <f aca="false">$B608&amp;"|"&amp;TEXT($AD608,"0.000000")</f>
        <v>9|0.086363</v>
      </c>
      <c r="AG608" s="18" t="n">
        <f aca="false">IF($K608="SEM CULTURA",0,$T608*$H608)</f>
        <v>3478.18981481482</v>
      </c>
      <c r="AH608" s="18" t="n">
        <f aca="false">IF($K608="SEM CULTURA",0,$V608*$H608)</f>
        <v>2630.32</v>
      </c>
      <c r="AI608" s="18" t="n">
        <f aca="false">IF($K608="SEM CULTURA",0,$W608*$H608)</f>
        <v>847.869814814815</v>
      </c>
      <c r="AJ608" s="18" t="n">
        <f aca="false">IF($K608="SEM CULTURA",0,$S608*$H608)</f>
        <v>4235</v>
      </c>
      <c r="AK608" s="8" t="str">
        <f aca="false">$E608&amp;"|"&amp;TEXT($AD608,"0.000000")</f>
        <v>PV 110|0.086363</v>
      </c>
    </row>
    <row r="609" customFormat="false" ht="15" hidden="false" customHeight="false" outlineLevel="0" collapsed="false">
      <c r="B609" s="16" t="n">
        <v>10</v>
      </c>
      <c r="C609" s="17" t="n">
        <f aca="false">DATA_INICIO_SAFRA+($B609-1)*DIAS_POR_SEMANA</f>
        <v>46328</v>
      </c>
      <c r="D609" s="17" t="n">
        <f aca="false">$C609+DIAS_POR_SEMANA-1</f>
        <v>46334</v>
      </c>
      <c r="E609" s="15" t="s">
        <v>268</v>
      </c>
      <c r="F609" s="8" t="str">
        <f aca="false">IFERROR(INDEX(CADASTRO_PIVOS!$C$6:$C$41,MATCH($E609,CADASTRO_PIVOS!$B$6:$B$41,0)),"?")</f>
        <v>RM04</v>
      </c>
      <c r="G609" s="8" t="str">
        <f aca="false">IFERROR(INDEX(CADASTRO_PIVOS!$D$6:$D$41,MATCH($E609,CADASTRO_PIVOS!$B$6:$B$41,0)),"?")</f>
        <v>TR04</v>
      </c>
      <c r="H609" s="20" t="n">
        <f aca="false">IFERROR(INDEX(CADASTRO_PIVOS!$E$6:$E$41,MATCH($E609,CADASTRO_PIVOS!$B$6:$B$41,0)),0)</f>
        <v>110</v>
      </c>
      <c r="I609" s="16" t="n">
        <f aca="false">IFERROR(SUMIFS(ROTACAO_RDM!$B$6:$B$71,ROTACAO_RDM!$D$6:$D$71,$E609,ROTACAO_RDM!$I$6:$I$71,"&lt;="&amp;$C609+INT(DIAS_POR_SEMANA/2),ROTACAO_RDM!$J$6:$J$71,"&gt;="&amp;$C609+INT(DIAS_POR_SEMANA/2)),0)</f>
        <v>17</v>
      </c>
      <c r="J609" s="16" t="n">
        <f aca="false">IFERROR(MATCH($I609,ROTACAO_RDM!$B$6:$B$71,0),0)</f>
        <v>17</v>
      </c>
      <c r="K609" s="8" t="str">
        <f aca="false">IF($J609=0,"SEM CULTURA",INDEX(ROTACAO_RDM!$F$6:$F$71,$J609))</f>
        <v>SOJA</v>
      </c>
      <c r="L609" s="8" t="str">
        <f aca="false">IF($J609=0,"",INDEX(ROTACAO_RDM!$G$6:$G$71,$J609))</f>
        <v>NEO 690 I2X</v>
      </c>
      <c r="M609" s="17" t="n">
        <f aca="false">IF($J609=0,"",INDEX(ROTACAO_RDM!$I$6:$I$71,$J609))</f>
        <v>46290</v>
      </c>
      <c r="N609" s="16" t="n">
        <f aca="false">IF($J609=0,0,MAX(0,$C609+INT(DIAS_POR_SEMANA/2)-INDEX(ROTACAO_RDM!$I$6:$I$71,$J609)))</f>
        <v>41</v>
      </c>
      <c r="O609" s="19" t="n">
        <f aca="false">IF($J609=0,0,MIN(1,$N609/MAX(1,INDEX(ROTACAO_RDM!$K$6:$K$71,$J609))))</f>
        <v>0.37962962962963</v>
      </c>
      <c r="P609" s="16" t="n">
        <f aca="false">IF($J609=0,0,IFERROR(MATCH(INDEX(ROTACAO_RDM!$N$6:$N$71,$J609),PARAMETROS_CULTURAS!$B$6:$B$28,0),0))</f>
        <v>1</v>
      </c>
      <c r="Q609" s="8" t="str">
        <f aca="false">IF($P609=0,"-",IF($O609&lt;=INDEX(PARAMETROS_CULTURAS!$F$6:$F$28,$P609),"INICIAL",IF($O609&lt;=INDEX(PARAMETROS_CULTURAS!$F$6:$F$28,$P609)+INDEX(PARAMETROS_CULTURAS!$G$6:$G$28,$P609),"DESENVOLVIMENTO",IF($O609&lt;=INDEX(PARAMETROS_CULTURAS!$F$6:$F$28,$P609)+INDEX(PARAMETROS_CULTURAS!$G$6:$G$28,$P609)+INDEX(PARAMETROS_CULTURAS!$H$6:$H$28,$P609),"MEDIA","FINAL"))))</f>
        <v>DESENVOLVIMENTO</v>
      </c>
      <c r="R609" s="24" t="n">
        <f aca="false">IF($P609=0,0,IF($O609&lt;=INDEX(PARAMETROS_CULTURAS!$F$6:$F$28,$P609),INDEX(PARAMETROS_CULTURAS!$K$6:$K$28,$P609),IF($O609&lt;=INDEX(PARAMETROS_CULTURAS!$F$6:$F$28,$P609)+INDEX(PARAMETROS_CULTURAS!$G$6:$G$28,$P609),INDEX(PARAMETROS_CULTURAS!$K$6:$K$28,$P609)+(INDEX(PARAMETROS_CULTURAS!$L$6:$L$28,$P609)-INDEX(PARAMETROS_CULTURAS!$K$6:$K$28,$P609))*($O609-INDEX(PARAMETROS_CULTURAS!$F$6:$F$28,$P609))/MAX(INDEX(PARAMETROS_CULTURAS!$G$6:$G$28,$P609),0.0001),IF($O609&lt;=INDEX(PARAMETROS_CULTURAS!$F$6:$F$28,$P609)+INDEX(PARAMETROS_CULTURAS!$G$6:$G$28,$P609)+INDEX(PARAMETROS_CULTURAS!$H$6:$H$28,$P609),INDEX(PARAMETROS_CULTURAS!$L$6:$L$28,$P609),INDEX(PARAMETROS_CULTURAS!$L$6:$L$28,$P609)+(INDEX(PARAMETROS_CULTURAS!$M$6:$M$28,$P609)-INDEX(PARAMETROS_CULTURAS!$L$6:$L$28,$P609))*($O609-INDEX(PARAMETROS_CULTURAS!$F$6:$F$28,$P609)-INDEX(PARAMETROS_CULTURAS!$G$6:$G$28,$P609)-INDEX(PARAMETROS_CULTURAS!$H$6:$H$28,$P609))/MAX(INDEX(PARAMETROS_CULTURAS!$I$6:$I$28,$P609),0.0001)))))</f>
        <v>1.02384259259259</v>
      </c>
      <c r="S609" s="18" t="n">
        <f aca="false">IFERROR(INDEX(SEMANAS!$H$6:$H$71,MATCH($B609,SEMANAS!$B$6:$B$71,0)),0)</f>
        <v>34.3</v>
      </c>
      <c r="T609" s="18" t="n">
        <f aca="false">$R609*$S609</f>
        <v>35.1178009259259</v>
      </c>
      <c r="U609" s="18" t="n">
        <f aca="false">IFERROR(INDEX(SEMANAS!$I$6:$I$71,MATCH($B609,SEMANAS!$B$6:$B$71,0)),0)</f>
        <v>46.69</v>
      </c>
      <c r="V609" s="18" t="n">
        <f aca="false">IFERROR(INDEX(SEMANAS!$J$6:$J$71,MATCH($B609,SEMANAS!$B$6:$B$71,0)),0)</f>
        <v>37.352</v>
      </c>
      <c r="W609" s="18" t="n">
        <f aca="false">MAX(0,$T609-$V609)</f>
        <v>0</v>
      </c>
      <c r="X609" s="19" t="n">
        <f aca="false">IFERROR(INDEX(CADASTRO_PIVOS!$K$6:$K$41,MATCH($E609,CADASTRO_PIVOS!$B$6:$B$41,0)),EFICIENCIA_PADRAO)</f>
        <v>0.85</v>
      </c>
      <c r="Y609" s="18" t="n">
        <f aca="false">IF($X609&lt;=0,0,$W609/$X609)</f>
        <v>0</v>
      </c>
      <c r="Z609" s="16" t="n">
        <f aca="false">$Y609*$H609*MM_PARA_M3_HA</f>
        <v>0</v>
      </c>
      <c r="AA609" s="18" t="n">
        <f aca="false">IFERROR(INDEX(CADASTRO_PIVOS!$I$6:$I$41,MATCH($E609,CADASTRO_PIVOS!$B$6:$B$41,0)),0)</f>
        <v>785.714285714286</v>
      </c>
      <c r="AB609" s="18" t="n">
        <f aca="false">IF($Z609&lt;=0,0,$Z609/$AA609)</f>
        <v>0</v>
      </c>
      <c r="AC609" s="16" t="n">
        <f aca="false">IFERROR(INDEX(SEMANAS!$K$6:$K$71,MATCH($B609,SEMANAS!$B$6:$B$71,0)),0)</f>
        <v>147</v>
      </c>
      <c r="AD609" s="19" t="n">
        <f aca="false">IF($AC609&lt;=0,0,$AB609/$AC609)</f>
        <v>0</v>
      </c>
      <c r="AE609" s="8" t="str">
        <f aca="false">IF($K609="SEM CULTURA","SEM CULTURA",IF($AA609&lt;=0,"DADO PENDENTE",IF($AD609&gt;LIMITE_CRITICO,"INVIAVEL",IF($AD609&gt;LIMITE_ATENCAO,"CRITICO",IF($AD609&gt;LIMITE_CONFORTAVEL,"ATENCAO","OK")))))</f>
        <v>OK</v>
      </c>
      <c r="AF609" s="8" t="str">
        <f aca="false">$B609&amp;"|"&amp;TEXT($AD609,"0.000000")</f>
        <v>10|0.000000</v>
      </c>
      <c r="AG609" s="18" t="n">
        <f aca="false">IF($K609="SEM CULTURA",0,$T609*$H609)</f>
        <v>3862.95810185185</v>
      </c>
      <c r="AH609" s="18" t="n">
        <f aca="false">IF($K609="SEM CULTURA",0,$V609*$H609)</f>
        <v>4108.72</v>
      </c>
      <c r="AI609" s="18" t="n">
        <f aca="false">IF($K609="SEM CULTURA",0,$W609*$H609)</f>
        <v>0</v>
      </c>
      <c r="AJ609" s="18" t="n">
        <f aca="false">IF($K609="SEM CULTURA",0,$S609*$H609)</f>
        <v>3773</v>
      </c>
      <c r="AK609" s="8" t="str">
        <f aca="false">$E609&amp;"|"&amp;TEXT($AD609,"0.000000")</f>
        <v>PV 110|0.000000</v>
      </c>
    </row>
    <row r="610" customFormat="false" ht="15" hidden="false" customHeight="false" outlineLevel="0" collapsed="false">
      <c r="B610" s="16" t="n">
        <v>11</v>
      </c>
      <c r="C610" s="17" t="n">
        <f aca="false">DATA_INICIO_SAFRA+($B610-1)*DIAS_POR_SEMANA</f>
        <v>46335</v>
      </c>
      <c r="D610" s="17" t="n">
        <f aca="false">$C610+DIAS_POR_SEMANA-1</f>
        <v>46341</v>
      </c>
      <c r="E610" s="15" t="s">
        <v>268</v>
      </c>
      <c r="F610" s="8" t="str">
        <f aca="false">IFERROR(INDEX(CADASTRO_PIVOS!$C$6:$C$41,MATCH($E610,CADASTRO_PIVOS!$B$6:$B$41,0)),"?")</f>
        <v>RM04</v>
      </c>
      <c r="G610" s="8" t="str">
        <f aca="false">IFERROR(INDEX(CADASTRO_PIVOS!$D$6:$D$41,MATCH($E610,CADASTRO_PIVOS!$B$6:$B$41,0)),"?")</f>
        <v>TR04</v>
      </c>
      <c r="H610" s="20" t="n">
        <f aca="false">IFERROR(INDEX(CADASTRO_PIVOS!$E$6:$E$41,MATCH($E610,CADASTRO_PIVOS!$B$6:$B$41,0)),0)</f>
        <v>110</v>
      </c>
      <c r="I610" s="16" t="n">
        <f aca="false">IFERROR(SUMIFS(ROTACAO_RDM!$B$6:$B$71,ROTACAO_RDM!$D$6:$D$71,$E610,ROTACAO_RDM!$I$6:$I$71,"&lt;="&amp;$C610+INT(DIAS_POR_SEMANA/2),ROTACAO_RDM!$J$6:$J$71,"&gt;="&amp;$C610+INT(DIAS_POR_SEMANA/2)),0)</f>
        <v>17</v>
      </c>
      <c r="J610" s="16" t="n">
        <f aca="false">IFERROR(MATCH($I610,ROTACAO_RDM!$B$6:$B$71,0),0)</f>
        <v>17</v>
      </c>
      <c r="K610" s="8" t="str">
        <f aca="false">IF($J610=0,"SEM CULTURA",INDEX(ROTACAO_RDM!$F$6:$F$71,$J610))</f>
        <v>SOJA</v>
      </c>
      <c r="L610" s="8" t="str">
        <f aca="false">IF($J610=0,"",INDEX(ROTACAO_RDM!$G$6:$G$71,$J610))</f>
        <v>NEO 690 I2X</v>
      </c>
      <c r="M610" s="17" t="n">
        <f aca="false">IF($J610=0,"",INDEX(ROTACAO_RDM!$I$6:$I$71,$J610))</f>
        <v>46290</v>
      </c>
      <c r="N610" s="16" t="n">
        <f aca="false">IF($J610=0,0,MAX(0,$C610+INT(DIAS_POR_SEMANA/2)-INDEX(ROTACAO_RDM!$I$6:$I$71,$J610)))</f>
        <v>48</v>
      </c>
      <c r="O610" s="19" t="n">
        <f aca="false">IF($J610=0,0,MIN(1,$N610/MAX(1,INDEX(ROTACAO_RDM!$K$6:$K$71,$J610))))</f>
        <v>0.444444444444444</v>
      </c>
      <c r="P610" s="16" t="n">
        <f aca="false">IF($J610=0,0,IFERROR(MATCH(INDEX(ROTACAO_RDM!$N$6:$N$71,$J610),PARAMETROS_CULTURAS!$B$6:$B$28,0),0))</f>
        <v>1</v>
      </c>
      <c r="Q610" s="8" t="str">
        <f aca="false">IF($P610=0,"-",IF($O610&lt;=INDEX(PARAMETROS_CULTURAS!$F$6:$F$28,$P610),"INICIAL",IF($O610&lt;=INDEX(PARAMETROS_CULTURAS!$F$6:$F$28,$P610)+INDEX(PARAMETROS_CULTURAS!$G$6:$G$28,$P610),"DESENVOLVIMENTO",IF($O610&lt;=INDEX(PARAMETROS_CULTURAS!$F$6:$F$28,$P610)+INDEX(PARAMETROS_CULTURAS!$G$6:$G$28,$P610)+INDEX(PARAMETROS_CULTURAS!$H$6:$H$28,$P610),"MEDIA","FINAL"))))</f>
        <v>MEDIA</v>
      </c>
      <c r="R610" s="24" t="n">
        <f aca="false">IF($P610=0,0,IF($O610&lt;=INDEX(PARAMETROS_CULTURAS!$F$6:$F$28,$P610),INDEX(PARAMETROS_CULTURAS!$K$6:$K$28,$P610),IF($O610&lt;=INDEX(PARAMETROS_CULTURAS!$F$6:$F$28,$P610)+INDEX(PARAMETROS_CULTURAS!$G$6:$G$28,$P610),INDEX(PARAMETROS_CULTURAS!$K$6:$K$28,$P610)+(INDEX(PARAMETROS_CULTURAS!$L$6:$L$28,$P610)-INDEX(PARAMETROS_CULTURAS!$K$6:$K$28,$P610))*($O610-INDEX(PARAMETROS_CULTURAS!$F$6:$F$28,$P610))/MAX(INDEX(PARAMETROS_CULTURAS!$G$6:$G$28,$P610),0.0001),IF($O610&lt;=INDEX(PARAMETROS_CULTURAS!$F$6:$F$28,$P610)+INDEX(PARAMETROS_CULTURAS!$G$6:$G$28,$P610)+INDEX(PARAMETROS_CULTURAS!$H$6:$H$28,$P610),INDEX(PARAMETROS_CULTURAS!$L$6:$L$28,$P610),INDEX(PARAMETROS_CULTURAS!$L$6:$L$28,$P610)+(INDEX(PARAMETROS_CULTURAS!$M$6:$M$28,$P610)-INDEX(PARAMETROS_CULTURAS!$L$6:$L$28,$P610))*($O610-INDEX(PARAMETROS_CULTURAS!$F$6:$F$28,$P610)-INDEX(PARAMETROS_CULTURAS!$G$6:$G$28,$P610)-INDEX(PARAMETROS_CULTURAS!$H$6:$H$28,$P610))/MAX(INDEX(PARAMETROS_CULTURAS!$I$6:$I$28,$P610),0.0001)))))</f>
        <v>1.15</v>
      </c>
      <c r="S610" s="18" t="n">
        <f aca="false">IFERROR(INDEX(SEMANAS!$H$6:$H$71,MATCH($B610,SEMANAS!$B$6:$B$71,0)),0)</f>
        <v>34.3</v>
      </c>
      <c r="T610" s="18" t="n">
        <f aca="false">$R610*$S610</f>
        <v>39.445</v>
      </c>
      <c r="U610" s="18" t="n">
        <f aca="false">IFERROR(INDEX(SEMANAS!$I$6:$I$71,MATCH($B610,SEMANAS!$B$6:$B$71,0)),0)</f>
        <v>46.69</v>
      </c>
      <c r="V610" s="18" t="n">
        <f aca="false">IFERROR(INDEX(SEMANAS!$J$6:$J$71,MATCH($B610,SEMANAS!$B$6:$B$71,0)),0)</f>
        <v>37.352</v>
      </c>
      <c r="W610" s="18" t="n">
        <f aca="false">MAX(0,$T610-$V610)</f>
        <v>2.093</v>
      </c>
      <c r="X610" s="19" t="n">
        <f aca="false">IFERROR(INDEX(CADASTRO_PIVOS!$K$6:$K$41,MATCH($E610,CADASTRO_PIVOS!$B$6:$B$41,0)),EFICIENCIA_PADRAO)</f>
        <v>0.85</v>
      </c>
      <c r="Y610" s="18" t="n">
        <f aca="false">IF($X610&lt;=0,0,$W610/$X610)</f>
        <v>2.46235294117647</v>
      </c>
      <c r="Z610" s="16" t="n">
        <f aca="false">$Y610*$H610*MM_PARA_M3_HA</f>
        <v>2708.58823529411</v>
      </c>
      <c r="AA610" s="18" t="n">
        <f aca="false">IFERROR(INDEX(CADASTRO_PIVOS!$I$6:$I$41,MATCH($E610,CADASTRO_PIVOS!$B$6:$B$41,0)),0)</f>
        <v>785.714285714286</v>
      </c>
      <c r="AB610" s="18" t="n">
        <f aca="false">IF($Z610&lt;=0,0,$Z610/$AA610)</f>
        <v>3.44729411764705</v>
      </c>
      <c r="AC610" s="16" t="n">
        <f aca="false">IFERROR(INDEX(SEMANAS!$K$6:$K$71,MATCH($B610,SEMANAS!$B$6:$B$71,0)),0)</f>
        <v>147</v>
      </c>
      <c r="AD610" s="19" t="n">
        <f aca="false">IF($AC610&lt;=0,0,$AB610/$AC610)</f>
        <v>0.0234509803921568</v>
      </c>
      <c r="AE610" s="8" t="str">
        <f aca="false">IF($K610="SEM CULTURA","SEM CULTURA",IF($AA610&lt;=0,"DADO PENDENTE",IF($AD610&gt;LIMITE_CRITICO,"INVIAVEL",IF($AD610&gt;LIMITE_ATENCAO,"CRITICO",IF($AD610&gt;LIMITE_CONFORTAVEL,"ATENCAO","OK")))))</f>
        <v>OK</v>
      </c>
      <c r="AF610" s="8" t="str">
        <f aca="false">$B610&amp;"|"&amp;TEXT($AD610,"0.000000")</f>
        <v>11|0.023451</v>
      </c>
      <c r="AG610" s="18" t="n">
        <f aca="false">IF($K610="SEM CULTURA",0,$T610*$H610)</f>
        <v>4338.95</v>
      </c>
      <c r="AH610" s="18" t="n">
        <f aca="false">IF($K610="SEM CULTURA",0,$V610*$H610)</f>
        <v>4108.72</v>
      </c>
      <c r="AI610" s="18" t="n">
        <f aca="false">IF($K610="SEM CULTURA",0,$W610*$H610)</f>
        <v>230.23</v>
      </c>
      <c r="AJ610" s="18" t="n">
        <f aca="false">IF($K610="SEM CULTURA",0,$S610*$H610)</f>
        <v>3773</v>
      </c>
      <c r="AK610" s="8" t="str">
        <f aca="false">$E610&amp;"|"&amp;TEXT($AD610,"0.000000")</f>
        <v>PV 110|0.023451</v>
      </c>
    </row>
    <row r="611" customFormat="false" ht="15" hidden="false" customHeight="false" outlineLevel="0" collapsed="false">
      <c r="B611" s="16" t="n">
        <v>12</v>
      </c>
      <c r="C611" s="17" t="n">
        <f aca="false">DATA_INICIO_SAFRA+($B611-1)*DIAS_POR_SEMANA</f>
        <v>46342</v>
      </c>
      <c r="D611" s="17" t="n">
        <f aca="false">$C611+DIAS_POR_SEMANA-1</f>
        <v>46348</v>
      </c>
      <c r="E611" s="15" t="s">
        <v>268</v>
      </c>
      <c r="F611" s="8" t="str">
        <f aca="false">IFERROR(INDEX(CADASTRO_PIVOS!$C$6:$C$41,MATCH($E611,CADASTRO_PIVOS!$B$6:$B$41,0)),"?")</f>
        <v>RM04</v>
      </c>
      <c r="G611" s="8" t="str">
        <f aca="false">IFERROR(INDEX(CADASTRO_PIVOS!$D$6:$D$41,MATCH($E611,CADASTRO_PIVOS!$B$6:$B$41,0)),"?")</f>
        <v>TR04</v>
      </c>
      <c r="H611" s="20" t="n">
        <f aca="false">IFERROR(INDEX(CADASTRO_PIVOS!$E$6:$E$41,MATCH($E611,CADASTRO_PIVOS!$B$6:$B$41,0)),0)</f>
        <v>110</v>
      </c>
      <c r="I611" s="16" t="n">
        <f aca="false">IFERROR(SUMIFS(ROTACAO_RDM!$B$6:$B$71,ROTACAO_RDM!$D$6:$D$71,$E611,ROTACAO_RDM!$I$6:$I$71,"&lt;="&amp;$C611+INT(DIAS_POR_SEMANA/2),ROTACAO_RDM!$J$6:$J$71,"&gt;="&amp;$C611+INT(DIAS_POR_SEMANA/2)),0)</f>
        <v>17</v>
      </c>
      <c r="J611" s="16" t="n">
        <f aca="false">IFERROR(MATCH($I611,ROTACAO_RDM!$B$6:$B$71,0),0)</f>
        <v>17</v>
      </c>
      <c r="K611" s="8" t="str">
        <f aca="false">IF($J611=0,"SEM CULTURA",INDEX(ROTACAO_RDM!$F$6:$F$71,$J611))</f>
        <v>SOJA</v>
      </c>
      <c r="L611" s="8" t="str">
        <f aca="false">IF($J611=0,"",INDEX(ROTACAO_RDM!$G$6:$G$71,$J611))</f>
        <v>NEO 690 I2X</v>
      </c>
      <c r="M611" s="17" t="n">
        <f aca="false">IF($J611=0,"",INDEX(ROTACAO_RDM!$I$6:$I$71,$J611))</f>
        <v>46290</v>
      </c>
      <c r="N611" s="16" t="n">
        <f aca="false">IF($J611=0,0,MAX(0,$C611+INT(DIAS_POR_SEMANA/2)-INDEX(ROTACAO_RDM!$I$6:$I$71,$J611)))</f>
        <v>55</v>
      </c>
      <c r="O611" s="19" t="n">
        <f aca="false">IF($J611=0,0,MIN(1,$N611/MAX(1,INDEX(ROTACAO_RDM!$K$6:$K$71,$J611))))</f>
        <v>0.509259259259259</v>
      </c>
      <c r="P611" s="16" t="n">
        <f aca="false">IF($J611=0,0,IFERROR(MATCH(INDEX(ROTACAO_RDM!$N$6:$N$71,$J611),PARAMETROS_CULTURAS!$B$6:$B$28,0),0))</f>
        <v>1</v>
      </c>
      <c r="Q611" s="8" t="str">
        <f aca="false">IF($P611=0,"-",IF($O611&lt;=INDEX(PARAMETROS_CULTURAS!$F$6:$F$28,$P611),"INICIAL",IF($O611&lt;=INDEX(PARAMETROS_CULTURAS!$F$6:$F$28,$P611)+INDEX(PARAMETROS_CULTURAS!$G$6:$G$28,$P611),"DESENVOLVIMENTO",IF($O611&lt;=INDEX(PARAMETROS_CULTURAS!$F$6:$F$28,$P611)+INDEX(PARAMETROS_CULTURAS!$G$6:$G$28,$P611)+INDEX(PARAMETROS_CULTURAS!$H$6:$H$28,$P611),"MEDIA","FINAL"))))</f>
        <v>MEDIA</v>
      </c>
      <c r="R611" s="24" t="n">
        <f aca="false">IF($P611=0,0,IF($O611&lt;=INDEX(PARAMETROS_CULTURAS!$F$6:$F$28,$P611),INDEX(PARAMETROS_CULTURAS!$K$6:$K$28,$P611),IF($O611&lt;=INDEX(PARAMETROS_CULTURAS!$F$6:$F$28,$P611)+INDEX(PARAMETROS_CULTURAS!$G$6:$G$28,$P611),INDEX(PARAMETROS_CULTURAS!$K$6:$K$28,$P611)+(INDEX(PARAMETROS_CULTURAS!$L$6:$L$28,$P611)-INDEX(PARAMETROS_CULTURAS!$K$6:$K$28,$P611))*($O611-INDEX(PARAMETROS_CULTURAS!$F$6:$F$28,$P611))/MAX(INDEX(PARAMETROS_CULTURAS!$G$6:$G$28,$P611),0.0001),IF($O611&lt;=INDEX(PARAMETROS_CULTURAS!$F$6:$F$28,$P611)+INDEX(PARAMETROS_CULTURAS!$G$6:$G$28,$P611)+INDEX(PARAMETROS_CULTURAS!$H$6:$H$28,$P611),INDEX(PARAMETROS_CULTURAS!$L$6:$L$28,$P611),INDEX(PARAMETROS_CULTURAS!$L$6:$L$28,$P611)+(INDEX(PARAMETROS_CULTURAS!$M$6:$M$28,$P611)-INDEX(PARAMETROS_CULTURAS!$L$6:$L$28,$P611))*($O611-INDEX(PARAMETROS_CULTURAS!$F$6:$F$28,$P611)-INDEX(PARAMETROS_CULTURAS!$G$6:$G$28,$P611)-INDEX(PARAMETROS_CULTURAS!$H$6:$H$28,$P611))/MAX(INDEX(PARAMETROS_CULTURAS!$I$6:$I$28,$P611),0.0001)))))</f>
        <v>1.15</v>
      </c>
      <c r="S611" s="18" t="n">
        <f aca="false">IFERROR(INDEX(SEMANAS!$H$6:$H$71,MATCH($B611,SEMANAS!$B$6:$B$71,0)),0)</f>
        <v>34.3</v>
      </c>
      <c r="T611" s="18" t="n">
        <f aca="false">$R611*$S611</f>
        <v>39.445</v>
      </c>
      <c r="U611" s="18" t="n">
        <f aca="false">IFERROR(INDEX(SEMANAS!$I$6:$I$71,MATCH($B611,SEMANAS!$B$6:$B$71,0)),0)</f>
        <v>46.69</v>
      </c>
      <c r="V611" s="18" t="n">
        <f aca="false">IFERROR(INDEX(SEMANAS!$J$6:$J$71,MATCH($B611,SEMANAS!$B$6:$B$71,0)),0)</f>
        <v>37.352</v>
      </c>
      <c r="W611" s="18" t="n">
        <f aca="false">MAX(0,$T611-$V611)</f>
        <v>2.093</v>
      </c>
      <c r="X611" s="19" t="n">
        <f aca="false">IFERROR(INDEX(CADASTRO_PIVOS!$K$6:$K$41,MATCH($E611,CADASTRO_PIVOS!$B$6:$B$41,0)),EFICIENCIA_PADRAO)</f>
        <v>0.85</v>
      </c>
      <c r="Y611" s="18" t="n">
        <f aca="false">IF($X611&lt;=0,0,$W611/$X611)</f>
        <v>2.46235294117647</v>
      </c>
      <c r="Z611" s="16" t="n">
        <f aca="false">$Y611*$H611*MM_PARA_M3_HA</f>
        <v>2708.58823529411</v>
      </c>
      <c r="AA611" s="18" t="n">
        <f aca="false">IFERROR(INDEX(CADASTRO_PIVOS!$I$6:$I$41,MATCH($E611,CADASTRO_PIVOS!$B$6:$B$41,0)),0)</f>
        <v>785.714285714286</v>
      </c>
      <c r="AB611" s="18" t="n">
        <f aca="false">IF($Z611&lt;=0,0,$Z611/$AA611)</f>
        <v>3.44729411764705</v>
      </c>
      <c r="AC611" s="16" t="n">
        <f aca="false">IFERROR(INDEX(SEMANAS!$K$6:$K$71,MATCH($B611,SEMANAS!$B$6:$B$71,0)),0)</f>
        <v>147</v>
      </c>
      <c r="AD611" s="19" t="n">
        <f aca="false">IF($AC611&lt;=0,0,$AB611/$AC611)</f>
        <v>0.0234509803921568</v>
      </c>
      <c r="AE611" s="8" t="str">
        <f aca="false">IF($K611="SEM CULTURA","SEM CULTURA",IF($AA611&lt;=0,"DADO PENDENTE",IF($AD611&gt;LIMITE_CRITICO,"INVIAVEL",IF($AD611&gt;LIMITE_ATENCAO,"CRITICO",IF($AD611&gt;LIMITE_CONFORTAVEL,"ATENCAO","OK")))))</f>
        <v>OK</v>
      </c>
      <c r="AF611" s="8" t="str">
        <f aca="false">$B611&amp;"|"&amp;TEXT($AD611,"0.000000")</f>
        <v>12|0.023451</v>
      </c>
      <c r="AG611" s="18" t="n">
        <f aca="false">IF($K611="SEM CULTURA",0,$T611*$H611)</f>
        <v>4338.95</v>
      </c>
      <c r="AH611" s="18" t="n">
        <f aca="false">IF($K611="SEM CULTURA",0,$V611*$H611)</f>
        <v>4108.72</v>
      </c>
      <c r="AI611" s="18" t="n">
        <f aca="false">IF($K611="SEM CULTURA",0,$W611*$H611)</f>
        <v>230.23</v>
      </c>
      <c r="AJ611" s="18" t="n">
        <f aca="false">IF($K611="SEM CULTURA",0,$S611*$H611)</f>
        <v>3773</v>
      </c>
      <c r="AK611" s="8" t="str">
        <f aca="false">$E611&amp;"|"&amp;TEXT($AD611,"0.000000")</f>
        <v>PV 110|0.023451</v>
      </c>
    </row>
    <row r="612" customFormat="false" ht="15" hidden="false" customHeight="false" outlineLevel="0" collapsed="false">
      <c r="B612" s="16" t="n">
        <v>13</v>
      </c>
      <c r="C612" s="17" t="n">
        <f aca="false">DATA_INICIO_SAFRA+($B612-1)*DIAS_POR_SEMANA</f>
        <v>46349</v>
      </c>
      <c r="D612" s="17" t="n">
        <f aca="false">$C612+DIAS_POR_SEMANA-1</f>
        <v>46355</v>
      </c>
      <c r="E612" s="15" t="s">
        <v>268</v>
      </c>
      <c r="F612" s="8" t="str">
        <f aca="false">IFERROR(INDEX(CADASTRO_PIVOS!$C$6:$C$41,MATCH($E612,CADASTRO_PIVOS!$B$6:$B$41,0)),"?")</f>
        <v>RM04</v>
      </c>
      <c r="G612" s="8" t="str">
        <f aca="false">IFERROR(INDEX(CADASTRO_PIVOS!$D$6:$D$41,MATCH($E612,CADASTRO_PIVOS!$B$6:$B$41,0)),"?")</f>
        <v>TR04</v>
      </c>
      <c r="H612" s="20" t="n">
        <f aca="false">IFERROR(INDEX(CADASTRO_PIVOS!$E$6:$E$41,MATCH($E612,CADASTRO_PIVOS!$B$6:$B$41,0)),0)</f>
        <v>110</v>
      </c>
      <c r="I612" s="16" t="n">
        <f aca="false">IFERROR(SUMIFS(ROTACAO_RDM!$B$6:$B$71,ROTACAO_RDM!$D$6:$D$71,$E612,ROTACAO_RDM!$I$6:$I$71,"&lt;="&amp;$C612+INT(DIAS_POR_SEMANA/2),ROTACAO_RDM!$J$6:$J$71,"&gt;="&amp;$C612+INT(DIAS_POR_SEMANA/2)),0)</f>
        <v>17</v>
      </c>
      <c r="J612" s="16" t="n">
        <f aca="false">IFERROR(MATCH($I612,ROTACAO_RDM!$B$6:$B$71,0),0)</f>
        <v>17</v>
      </c>
      <c r="K612" s="8" t="str">
        <f aca="false">IF($J612=0,"SEM CULTURA",INDEX(ROTACAO_RDM!$F$6:$F$71,$J612))</f>
        <v>SOJA</v>
      </c>
      <c r="L612" s="8" t="str">
        <f aca="false">IF($J612=0,"",INDEX(ROTACAO_RDM!$G$6:$G$71,$J612))</f>
        <v>NEO 690 I2X</v>
      </c>
      <c r="M612" s="17" t="n">
        <f aca="false">IF($J612=0,"",INDEX(ROTACAO_RDM!$I$6:$I$71,$J612))</f>
        <v>46290</v>
      </c>
      <c r="N612" s="16" t="n">
        <f aca="false">IF($J612=0,0,MAX(0,$C612+INT(DIAS_POR_SEMANA/2)-INDEX(ROTACAO_RDM!$I$6:$I$71,$J612)))</f>
        <v>62</v>
      </c>
      <c r="O612" s="19" t="n">
        <f aca="false">IF($J612=0,0,MIN(1,$N612/MAX(1,INDEX(ROTACAO_RDM!$K$6:$K$71,$J612))))</f>
        <v>0.574074074074074</v>
      </c>
      <c r="P612" s="16" t="n">
        <f aca="false">IF($J612=0,0,IFERROR(MATCH(INDEX(ROTACAO_RDM!$N$6:$N$71,$J612),PARAMETROS_CULTURAS!$B$6:$B$28,0),0))</f>
        <v>1</v>
      </c>
      <c r="Q612" s="8" t="str">
        <f aca="false">IF($P612=0,"-",IF($O612&lt;=INDEX(PARAMETROS_CULTURAS!$F$6:$F$28,$P612),"INICIAL",IF($O612&lt;=INDEX(PARAMETROS_CULTURAS!$F$6:$F$28,$P612)+INDEX(PARAMETROS_CULTURAS!$G$6:$G$28,$P612),"DESENVOLVIMENTO",IF($O612&lt;=INDEX(PARAMETROS_CULTURAS!$F$6:$F$28,$P612)+INDEX(PARAMETROS_CULTURAS!$G$6:$G$28,$P612)+INDEX(PARAMETROS_CULTURAS!$H$6:$H$28,$P612),"MEDIA","FINAL"))))</f>
        <v>MEDIA</v>
      </c>
      <c r="R612" s="24" t="n">
        <f aca="false">IF($P612=0,0,IF($O612&lt;=INDEX(PARAMETROS_CULTURAS!$F$6:$F$28,$P612),INDEX(PARAMETROS_CULTURAS!$K$6:$K$28,$P612),IF($O612&lt;=INDEX(PARAMETROS_CULTURAS!$F$6:$F$28,$P612)+INDEX(PARAMETROS_CULTURAS!$G$6:$G$28,$P612),INDEX(PARAMETROS_CULTURAS!$K$6:$K$28,$P612)+(INDEX(PARAMETROS_CULTURAS!$L$6:$L$28,$P612)-INDEX(PARAMETROS_CULTURAS!$K$6:$K$28,$P612))*($O612-INDEX(PARAMETROS_CULTURAS!$F$6:$F$28,$P612))/MAX(INDEX(PARAMETROS_CULTURAS!$G$6:$G$28,$P612),0.0001),IF($O612&lt;=INDEX(PARAMETROS_CULTURAS!$F$6:$F$28,$P612)+INDEX(PARAMETROS_CULTURAS!$G$6:$G$28,$P612)+INDEX(PARAMETROS_CULTURAS!$H$6:$H$28,$P612),INDEX(PARAMETROS_CULTURAS!$L$6:$L$28,$P612),INDEX(PARAMETROS_CULTURAS!$L$6:$L$28,$P612)+(INDEX(PARAMETROS_CULTURAS!$M$6:$M$28,$P612)-INDEX(PARAMETROS_CULTURAS!$L$6:$L$28,$P612))*($O612-INDEX(PARAMETROS_CULTURAS!$F$6:$F$28,$P612)-INDEX(PARAMETROS_CULTURAS!$G$6:$G$28,$P612)-INDEX(PARAMETROS_CULTURAS!$H$6:$H$28,$P612))/MAX(INDEX(PARAMETROS_CULTURAS!$I$6:$I$28,$P612),0.0001)))))</f>
        <v>1.15</v>
      </c>
      <c r="S612" s="18" t="n">
        <f aca="false">IFERROR(INDEX(SEMANAS!$H$6:$H$71,MATCH($B612,SEMANAS!$B$6:$B$71,0)),0)</f>
        <v>34.3</v>
      </c>
      <c r="T612" s="18" t="n">
        <f aca="false">$R612*$S612</f>
        <v>39.445</v>
      </c>
      <c r="U612" s="18" t="n">
        <f aca="false">IFERROR(INDEX(SEMANAS!$I$6:$I$71,MATCH($B612,SEMANAS!$B$6:$B$71,0)),0)</f>
        <v>46.69</v>
      </c>
      <c r="V612" s="18" t="n">
        <f aca="false">IFERROR(INDEX(SEMANAS!$J$6:$J$71,MATCH($B612,SEMANAS!$B$6:$B$71,0)),0)</f>
        <v>37.352</v>
      </c>
      <c r="W612" s="18" t="n">
        <f aca="false">MAX(0,$T612-$V612)</f>
        <v>2.093</v>
      </c>
      <c r="X612" s="19" t="n">
        <f aca="false">IFERROR(INDEX(CADASTRO_PIVOS!$K$6:$K$41,MATCH($E612,CADASTRO_PIVOS!$B$6:$B$41,0)),EFICIENCIA_PADRAO)</f>
        <v>0.85</v>
      </c>
      <c r="Y612" s="18" t="n">
        <f aca="false">IF($X612&lt;=0,0,$W612/$X612)</f>
        <v>2.46235294117647</v>
      </c>
      <c r="Z612" s="16" t="n">
        <f aca="false">$Y612*$H612*MM_PARA_M3_HA</f>
        <v>2708.58823529411</v>
      </c>
      <c r="AA612" s="18" t="n">
        <f aca="false">IFERROR(INDEX(CADASTRO_PIVOS!$I$6:$I$41,MATCH($E612,CADASTRO_PIVOS!$B$6:$B$41,0)),0)</f>
        <v>785.714285714286</v>
      </c>
      <c r="AB612" s="18" t="n">
        <f aca="false">IF($Z612&lt;=0,0,$Z612/$AA612)</f>
        <v>3.44729411764705</v>
      </c>
      <c r="AC612" s="16" t="n">
        <f aca="false">IFERROR(INDEX(SEMANAS!$K$6:$K$71,MATCH($B612,SEMANAS!$B$6:$B$71,0)),0)</f>
        <v>147</v>
      </c>
      <c r="AD612" s="19" t="n">
        <f aca="false">IF($AC612&lt;=0,0,$AB612/$AC612)</f>
        <v>0.0234509803921568</v>
      </c>
      <c r="AE612" s="8" t="str">
        <f aca="false">IF($K612="SEM CULTURA","SEM CULTURA",IF($AA612&lt;=0,"DADO PENDENTE",IF($AD612&gt;LIMITE_CRITICO,"INVIAVEL",IF($AD612&gt;LIMITE_ATENCAO,"CRITICO",IF($AD612&gt;LIMITE_CONFORTAVEL,"ATENCAO","OK")))))</f>
        <v>OK</v>
      </c>
      <c r="AF612" s="8" t="str">
        <f aca="false">$B612&amp;"|"&amp;TEXT($AD612,"0.000000")</f>
        <v>13|0.023451</v>
      </c>
      <c r="AG612" s="18" t="n">
        <f aca="false">IF($K612="SEM CULTURA",0,$T612*$H612)</f>
        <v>4338.95</v>
      </c>
      <c r="AH612" s="18" t="n">
        <f aca="false">IF($K612="SEM CULTURA",0,$V612*$H612)</f>
        <v>4108.72</v>
      </c>
      <c r="AI612" s="18" t="n">
        <f aca="false">IF($K612="SEM CULTURA",0,$W612*$H612)</f>
        <v>230.23</v>
      </c>
      <c r="AJ612" s="18" t="n">
        <f aca="false">IF($K612="SEM CULTURA",0,$S612*$H612)</f>
        <v>3773</v>
      </c>
      <c r="AK612" s="8" t="str">
        <f aca="false">$E612&amp;"|"&amp;TEXT($AD612,"0.000000")</f>
        <v>PV 110|0.023451</v>
      </c>
    </row>
    <row r="613" customFormat="false" ht="15" hidden="false" customHeight="false" outlineLevel="0" collapsed="false">
      <c r="B613" s="16" t="n">
        <v>14</v>
      </c>
      <c r="C613" s="17" t="n">
        <f aca="false">DATA_INICIO_SAFRA+($B613-1)*DIAS_POR_SEMANA</f>
        <v>46356</v>
      </c>
      <c r="D613" s="17" t="n">
        <f aca="false">$C613+DIAS_POR_SEMANA-1</f>
        <v>46362</v>
      </c>
      <c r="E613" s="15" t="s">
        <v>268</v>
      </c>
      <c r="F613" s="8" t="str">
        <f aca="false">IFERROR(INDEX(CADASTRO_PIVOS!$C$6:$C$41,MATCH($E613,CADASTRO_PIVOS!$B$6:$B$41,0)),"?")</f>
        <v>RM04</v>
      </c>
      <c r="G613" s="8" t="str">
        <f aca="false">IFERROR(INDEX(CADASTRO_PIVOS!$D$6:$D$41,MATCH($E613,CADASTRO_PIVOS!$B$6:$B$41,0)),"?")</f>
        <v>TR04</v>
      </c>
      <c r="H613" s="20" t="n">
        <f aca="false">IFERROR(INDEX(CADASTRO_PIVOS!$E$6:$E$41,MATCH($E613,CADASTRO_PIVOS!$B$6:$B$41,0)),0)</f>
        <v>110</v>
      </c>
      <c r="I613" s="16" t="n">
        <f aca="false">IFERROR(SUMIFS(ROTACAO_RDM!$B$6:$B$71,ROTACAO_RDM!$D$6:$D$71,$E613,ROTACAO_RDM!$I$6:$I$71,"&lt;="&amp;$C613+INT(DIAS_POR_SEMANA/2),ROTACAO_RDM!$J$6:$J$71,"&gt;="&amp;$C613+INT(DIAS_POR_SEMANA/2)),0)</f>
        <v>17</v>
      </c>
      <c r="J613" s="16" t="n">
        <f aca="false">IFERROR(MATCH($I613,ROTACAO_RDM!$B$6:$B$71,0),0)</f>
        <v>17</v>
      </c>
      <c r="K613" s="8" t="str">
        <f aca="false">IF($J613=0,"SEM CULTURA",INDEX(ROTACAO_RDM!$F$6:$F$71,$J613))</f>
        <v>SOJA</v>
      </c>
      <c r="L613" s="8" t="str">
        <f aca="false">IF($J613=0,"",INDEX(ROTACAO_RDM!$G$6:$G$71,$J613))</f>
        <v>NEO 690 I2X</v>
      </c>
      <c r="M613" s="17" t="n">
        <f aca="false">IF($J613=0,"",INDEX(ROTACAO_RDM!$I$6:$I$71,$J613))</f>
        <v>46290</v>
      </c>
      <c r="N613" s="16" t="n">
        <f aca="false">IF($J613=0,0,MAX(0,$C613+INT(DIAS_POR_SEMANA/2)-INDEX(ROTACAO_RDM!$I$6:$I$71,$J613)))</f>
        <v>69</v>
      </c>
      <c r="O613" s="19" t="n">
        <f aca="false">IF($J613=0,0,MIN(1,$N613/MAX(1,INDEX(ROTACAO_RDM!$K$6:$K$71,$J613))))</f>
        <v>0.638888888888889</v>
      </c>
      <c r="P613" s="16" t="n">
        <f aca="false">IF($J613=0,0,IFERROR(MATCH(INDEX(ROTACAO_RDM!$N$6:$N$71,$J613),PARAMETROS_CULTURAS!$B$6:$B$28,0),0))</f>
        <v>1</v>
      </c>
      <c r="Q613" s="8" t="str">
        <f aca="false">IF($P613=0,"-",IF($O613&lt;=INDEX(PARAMETROS_CULTURAS!$F$6:$F$28,$P613),"INICIAL",IF($O613&lt;=INDEX(PARAMETROS_CULTURAS!$F$6:$F$28,$P613)+INDEX(PARAMETROS_CULTURAS!$G$6:$G$28,$P613),"DESENVOLVIMENTO",IF($O613&lt;=INDEX(PARAMETROS_CULTURAS!$F$6:$F$28,$P613)+INDEX(PARAMETROS_CULTURAS!$G$6:$G$28,$P613)+INDEX(PARAMETROS_CULTURAS!$H$6:$H$28,$P613),"MEDIA","FINAL"))))</f>
        <v>MEDIA</v>
      </c>
      <c r="R613" s="24" t="n">
        <f aca="false">IF($P613=0,0,IF($O613&lt;=INDEX(PARAMETROS_CULTURAS!$F$6:$F$28,$P613),INDEX(PARAMETROS_CULTURAS!$K$6:$K$28,$P613),IF($O613&lt;=INDEX(PARAMETROS_CULTURAS!$F$6:$F$28,$P613)+INDEX(PARAMETROS_CULTURAS!$G$6:$G$28,$P613),INDEX(PARAMETROS_CULTURAS!$K$6:$K$28,$P613)+(INDEX(PARAMETROS_CULTURAS!$L$6:$L$28,$P613)-INDEX(PARAMETROS_CULTURAS!$K$6:$K$28,$P613))*($O613-INDEX(PARAMETROS_CULTURAS!$F$6:$F$28,$P613))/MAX(INDEX(PARAMETROS_CULTURAS!$G$6:$G$28,$P613),0.0001),IF($O613&lt;=INDEX(PARAMETROS_CULTURAS!$F$6:$F$28,$P613)+INDEX(PARAMETROS_CULTURAS!$G$6:$G$28,$P613)+INDEX(PARAMETROS_CULTURAS!$H$6:$H$28,$P613),INDEX(PARAMETROS_CULTURAS!$L$6:$L$28,$P613),INDEX(PARAMETROS_CULTURAS!$L$6:$L$28,$P613)+(INDEX(PARAMETROS_CULTURAS!$M$6:$M$28,$P613)-INDEX(PARAMETROS_CULTURAS!$L$6:$L$28,$P613))*($O613-INDEX(PARAMETROS_CULTURAS!$F$6:$F$28,$P613)-INDEX(PARAMETROS_CULTURAS!$G$6:$G$28,$P613)-INDEX(PARAMETROS_CULTURAS!$H$6:$H$28,$P613))/MAX(INDEX(PARAMETROS_CULTURAS!$I$6:$I$28,$P613),0.0001)))))</f>
        <v>1.15</v>
      </c>
      <c r="S613" s="18" t="n">
        <f aca="false">IFERROR(INDEX(SEMANAS!$H$6:$H$71,MATCH($B613,SEMANAS!$B$6:$B$71,0)),0)</f>
        <v>33.1</v>
      </c>
      <c r="T613" s="18" t="n">
        <f aca="false">$R613*$S613</f>
        <v>38.065</v>
      </c>
      <c r="U613" s="18" t="n">
        <f aca="false">IFERROR(INDEX(SEMANAS!$I$6:$I$71,MATCH($B613,SEMANAS!$B$6:$B$71,0)),0)</f>
        <v>48.31</v>
      </c>
      <c r="V613" s="18" t="n">
        <f aca="false">IFERROR(INDEX(SEMANAS!$J$6:$J$71,MATCH($B613,SEMANAS!$B$6:$B$71,0)),0)</f>
        <v>38.648</v>
      </c>
      <c r="W613" s="18" t="n">
        <f aca="false">MAX(0,$T613-$V613)</f>
        <v>0</v>
      </c>
      <c r="X613" s="19" t="n">
        <f aca="false">IFERROR(INDEX(CADASTRO_PIVOS!$K$6:$K$41,MATCH($E613,CADASTRO_PIVOS!$B$6:$B$41,0)),EFICIENCIA_PADRAO)</f>
        <v>0.85</v>
      </c>
      <c r="Y613" s="18" t="n">
        <f aca="false">IF($X613&lt;=0,0,$W613/$X613)</f>
        <v>0</v>
      </c>
      <c r="Z613" s="16" t="n">
        <f aca="false">$Y613*$H613*MM_PARA_M3_HA</f>
        <v>0</v>
      </c>
      <c r="AA613" s="18" t="n">
        <f aca="false">IFERROR(INDEX(CADASTRO_PIVOS!$I$6:$I$41,MATCH($E613,CADASTRO_PIVOS!$B$6:$B$41,0)),0)</f>
        <v>785.714285714286</v>
      </c>
      <c r="AB613" s="18" t="n">
        <f aca="false">IF($Z613&lt;=0,0,$Z613/$AA613)</f>
        <v>0</v>
      </c>
      <c r="AC613" s="16" t="n">
        <f aca="false">IFERROR(INDEX(SEMANAS!$K$6:$K$71,MATCH($B613,SEMANAS!$B$6:$B$71,0)),0)</f>
        <v>147</v>
      </c>
      <c r="AD613" s="19" t="n">
        <f aca="false">IF($AC613&lt;=0,0,$AB613/$AC613)</f>
        <v>0</v>
      </c>
      <c r="AE613" s="8" t="str">
        <f aca="false">IF($K613="SEM CULTURA","SEM CULTURA",IF($AA613&lt;=0,"DADO PENDENTE",IF($AD613&gt;LIMITE_CRITICO,"INVIAVEL",IF($AD613&gt;LIMITE_ATENCAO,"CRITICO",IF($AD613&gt;LIMITE_CONFORTAVEL,"ATENCAO","OK")))))</f>
        <v>OK</v>
      </c>
      <c r="AF613" s="8" t="str">
        <f aca="false">$B613&amp;"|"&amp;TEXT($AD613,"0.000000")</f>
        <v>14|0.000000</v>
      </c>
      <c r="AG613" s="18" t="n">
        <f aca="false">IF($K613="SEM CULTURA",0,$T613*$H613)</f>
        <v>4187.15</v>
      </c>
      <c r="AH613" s="18" t="n">
        <f aca="false">IF($K613="SEM CULTURA",0,$V613*$H613)</f>
        <v>4251.28</v>
      </c>
      <c r="AI613" s="18" t="n">
        <f aca="false">IF($K613="SEM CULTURA",0,$W613*$H613)</f>
        <v>0</v>
      </c>
      <c r="AJ613" s="18" t="n">
        <f aca="false">IF($K613="SEM CULTURA",0,$S613*$H613)</f>
        <v>3641</v>
      </c>
      <c r="AK613" s="8" t="str">
        <f aca="false">$E613&amp;"|"&amp;TEXT($AD613,"0.000000")</f>
        <v>PV 110|0.000000</v>
      </c>
    </row>
    <row r="614" customFormat="false" ht="15" hidden="false" customHeight="false" outlineLevel="0" collapsed="false">
      <c r="B614" s="16" t="n">
        <v>15</v>
      </c>
      <c r="C614" s="17" t="n">
        <f aca="false">DATA_INICIO_SAFRA+($B614-1)*DIAS_POR_SEMANA</f>
        <v>46363</v>
      </c>
      <c r="D614" s="17" t="n">
        <f aca="false">$C614+DIAS_POR_SEMANA-1</f>
        <v>46369</v>
      </c>
      <c r="E614" s="15" t="s">
        <v>268</v>
      </c>
      <c r="F614" s="8" t="str">
        <f aca="false">IFERROR(INDEX(CADASTRO_PIVOS!$C$6:$C$41,MATCH($E614,CADASTRO_PIVOS!$B$6:$B$41,0)),"?")</f>
        <v>RM04</v>
      </c>
      <c r="G614" s="8" t="str">
        <f aca="false">IFERROR(INDEX(CADASTRO_PIVOS!$D$6:$D$41,MATCH($E614,CADASTRO_PIVOS!$B$6:$B$41,0)),"?")</f>
        <v>TR04</v>
      </c>
      <c r="H614" s="20" t="n">
        <f aca="false">IFERROR(INDEX(CADASTRO_PIVOS!$E$6:$E$41,MATCH($E614,CADASTRO_PIVOS!$B$6:$B$41,0)),0)</f>
        <v>110</v>
      </c>
      <c r="I614" s="16" t="n">
        <f aca="false">IFERROR(SUMIFS(ROTACAO_RDM!$B$6:$B$71,ROTACAO_RDM!$D$6:$D$71,$E614,ROTACAO_RDM!$I$6:$I$71,"&lt;="&amp;$C614+INT(DIAS_POR_SEMANA/2),ROTACAO_RDM!$J$6:$J$71,"&gt;="&amp;$C614+INT(DIAS_POR_SEMANA/2)),0)</f>
        <v>17</v>
      </c>
      <c r="J614" s="16" t="n">
        <f aca="false">IFERROR(MATCH($I614,ROTACAO_RDM!$B$6:$B$71,0),0)</f>
        <v>17</v>
      </c>
      <c r="K614" s="8" t="str">
        <f aca="false">IF($J614=0,"SEM CULTURA",INDEX(ROTACAO_RDM!$F$6:$F$71,$J614))</f>
        <v>SOJA</v>
      </c>
      <c r="L614" s="8" t="str">
        <f aca="false">IF($J614=0,"",INDEX(ROTACAO_RDM!$G$6:$G$71,$J614))</f>
        <v>NEO 690 I2X</v>
      </c>
      <c r="M614" s="17" t="n">
        <f aca="false">IF($J614=0,"",INDEX(ROTACAO_RDM!$I$6:$I$71,$J614))</f>
        <v>46290</v>
      </c>
      <c r="N614" s="16" t="n">
        <f aca="false">IF($J614=0,0,MAX(0,$C614+INT(DIAS_POR_SEMANA/2)-INDEX(ROTACAO_RDM!$I$6:$I$71,$J614)))</f>
        <v>76</v>
      </c>
      <c r="O614" s="19" t="n">
        <f aca="false">IF($J614=0,0,MIN(1,$N614/MAX(1,INDEX(ROTACAO_RDM!$K$6:$K$71,$J614))))</f>
        <v>0.703703703703704</v>
      </c>
      <c r="P614" s="16" t="n">
        <f aca="false">IF($J614=0,0,IFERROR(MATCH(INDEX(ROTACAO_RDM!$N$6:$N$71,$J614),PARAMETROS_CULTURAS!$B$6:$B$28,0),0))</f>
        <v>1</v>
      </c>
      <c r="Q614" s="8" t="str">
        <f aca="false">IF($P614=0,"-",IF($O614&lt;=INDEX(PARAMETROS_CULTURAS!$F$6:$F$28,$P614),"INICIAL",IF($O614&lt;=INDEX(PARAMETROS_CULTURAS!$F$6:$F$28,$P614)+INDEX(PARAMETROS_CULTURAS!$G$6:$G$28,$P614),"DESENVOLVIMENTO",IF($O614&lt;=INDEX(PARAMETROS_CULTURAS!$F$6:$F$28,$P614)+INDEX(PARAMETROS_CULTURAS!$G$6:$G$28,$P614)+INDEX(PARAMETROS_CULTURAS!$H$6:$H$28,$P614),"MEDIA","FINAL"))))</f>
        <v>MEDIA</v>
      </c>
      <c r="R614" s="24" t="n">
        <f aca="false">IF($P614=0,0,IF($O614&lt;=INDEX(PARAMETROS_CULTURAS!$F$6:$F$28,$P614),INDEX(PARAMETROS_CULTURAS!$K$6:$K$28,$P614),IF($O614&lt;=INDEX(PARAMETROS_CULTURAS!$F$6:$F$28,$P614)+INDEX(PARAMETROS_CULTURAS!$G$6:$G$28,$P614),INDEX(PARAMETROS_CULTURAS!$K$6:$K$28,$P614)+(INDEX(PARAMETROS_CULTURAS!$L$6:$L$28,$P614)-INDEX(PARAMETROS_CULTURAS!$K$6:$K$28,$P614))*($O614-INDEX(PARAMETROS_CULTURAS!$F$6:$F$28,$P614))/MAX(INDEX(PARAMETROS_CULTURAS!$G$6:$G$28,$P614),0.0001),IF($O614&lt;=INDEX(PARAMETROS_CULTURAS!$F$6:$F$28,$P614)+INDEX(PARAMETROS_CULTURAS!$G$6:$G$28,$P614)+INDEX(PARAMETROS_CULTURAS!$H$6:$H$28,$P614),INDEX(PARAMETROS_CULTURAS!$L$6:$L$28,$P614),INDEX(PARAMETROS_CULTURAS!$L$6:$L$28,$P614)+(INDEX(PARAMETROS_CULTURAS!$M$6:$M$28,$P614)-INDEX(PARAMETROS_CULTURAS!$L$6:$L$28,$P614))*($O614-INDEX(PARAMETROS_CULTURAS!$F$6:$F$28,$P614)-INDEX(PARAMETROS_CULTURAS!$G$6:$G$28,$P614)-INDEX(PARAMETROS_CULTURAS!$H$6:$H$28,$P614))/MAX(INDEX(PARAMETROS_CULTURAS!$I$6:$I$28,$P614),0.0001)))))</f>
        <v>1.15</v>
      </c>
      <c r="S614" s="18" t="n">
        <f aca="false">IFERROR(INDEX(SEMANAS!$H$6:$H$71,MATCH($B614,SEMANAS!$B$6:$B$71,0)),0)</f>
        <v>32.9</v>
      </c>
      <c r="T614" s="18" t="n">
        <f aca="false">$R614*$S614</f>
        <v>37.835</v>
      </c>
      <c r="U614" s="18" t="n">
        <f aca="false">IFERROR(INDEX(SEMANAS!$I$6:$I$71,MATCH($B614,SEMANAS!$B$6:$B$71,0)),0)</f>
        <v>48.58</v>
      </c>
      <c r="V614" s="18" t="n">
        <f aca="false">IFERROR(INDEX(SEMANAS!$J$6:$J$71,MATCH($B614,SEMANAS!$B$6:$B$71,0)),0)</f>
        <v>38.864</v>
      </c>
      <c r="W614" s="18" t="n">
        <f aca="false">MAX(0,$T614-$V614)</f>
        <v>0</v>
      </c>
      <c r="X614" s="19" t="n">
        <f aca="false">IFERROR(INDEX(CADASTRO_PIVOS!$K$6:$K$41,MATCH($E614,CADASTRO_PIVOS!$B$6:$B$41,0)),EFICIENCIA_PADRAO)</f>
        <v>0.85</v>
      </c>
      <c r="Y614" s="18" t="n">
        <f aca="false">IF($X614&lt;=0,0,$W614/$X614)</f>
        <v>0</v>
      </c>
      <c r="Z614" s="16" t="n">
        <f aca="false">$Y614*$H614*MM_PARA_M3_HA</f>
        <v>0</v>
      </c>
      <c r="AA614" s="18" t="n">
        <f aca="false">IFERROR(INDEX(CADASTRO_PIVOS!$I$6:$I$41,MATCH($E614,CADASTRO_PIVOS!$B$6:$B$41,0)),0)</f>
        <v>785.714285714286</v>
      </c>
      <c r="AB614" s="18" t="n">
        <f aca="false">IF($Z614&lt;=0,0,$Z614/$AA614)</f>
        <v>0</v>
      </c>
      <c r="AC614" s="16" t="n">
        <f aca="false">IFERROR(INDEX(SEMANAS!$K$6:$K$71,MATCH($B614,SEMANAS!$B$6:$B$71,0)),0)</f>
        <v>147</v>
      </c>
      <c r="AD614" s="19" t="n">
        <f aca="false">IF($AC614&lt;=0,0,$AB614/$AC614)</f>
        <v>0</v>
      </c>
      <c r="AE614" s="8" t="str">
        <f aca="false">IF($K614="SEM CULTURA","SEM CULTURA",IF($AA614&lt;=0,"DADO PENDENTE",IF($AD614&gt;LIMITE_CRITICO,"INVIAVEL",IF($AD614&gt;LIMITE_ATENCAO,"CRITICO",IF($AD614&gt;LIMITE_CONFORTAVEL,"ATENCAO","OK")))))</f>
        <v>OK</v>
      </c>
      <c r="AF614" s="8" t="str">
        <f aca="false">$B614&amp;"|"&amp;TEXT($AD614,"0.000000")</f>
        <v>15|0.000000</v>
      </c>
      <c r="AG614" s="18" t="n">
        <f aca="false">IF($K614="SEM CULTURA",0,$T614*$H614)</f>
        <v>4161.85</v>
      </c>
      <c r="AH614" s="18" t="n">
        <f aca="false">IF($K614="SEM CULTURA",0,$V614*$H614)</f>
        <v>4275.04</v>
      </c>
      <c r="AI614" s="18" t="n">
        <f aca="false">IF($K614="SEM CULTURA",0,$W614*$H614)</f>
        <v>0</v>
      </c>
      <c r="AJ614" s="18" t="n">
        <f aca="false">IF($K614="SEM CULTURA",0,$S614*$H614)</f>
        <v>3619</v>
      </c>
      <c r="AK614" s="8" t="str">
        <f aca="false">$E614&amp;"|"&amp;TEXT($AD614,"0.000000")</f>
        <v>PV 110|0.000000</v>
      </c>
    </row>
    <row r="615" customFormat="false" ht="15" hidden="false" customHeight="false" outlineLevel="0" collapsed="false">
      <c r="B615" s="16" t="n">
        <v>16</v>
      </c>
      <c r="C615" s="17" t="n">
        <f aca="false">DATA_INICIO_SAFRA+($B615-1)*DIAS_POR_SEMANA</f>
        <v>46370</v>
      </c>
      <c r="D615" s="17" t="n">
        <f aca="false">$C615+DIAS_POR_SEMANA-1</f>
        <v>46376</v>
      </c>
      <c r="E615" s="15" t="s">
        <v>268</v>
      </c>
      <c r="F615" s="8" t="str">
        <f aca="false">IFERROR(INDEX(CADASTRO_PIVOS!$C$6:$C$41,MATCH($E615,CADASTRO_PIVOS!$B$6:$B$41,0)),"?")</f>
        <v>RM04</v>
      </c>
      <c r="G615" s="8" t="str">
        <f aca="false">IFERROR(INDEX(CADASTRO_PIVOS!$D$6:$D$41,MATCH($E615,CADASTRO_PIVOS!$B$6:$B$41,0)),"?")</f>
        <v>TR04</v>
      </c>
      <c r="H615" s="20" t="n">
        <f aca="false">IFERROR(INDEX(CADASTRO_PIVOS!$E$6:$E$41,MATCH($E615,CADASTRO_PIVOS!$B$6:$B$41,0)),0)</f>
        <v>110</v>
      </c>
      <c r="I615" s="16" t="n">
        <f aca="false">IFERROR(SUMIFS(ROTACAO_RDM!$B$6:$B$71,ROTACAO_RDM!$D$6:$D$71,$E615,ROTACAO_RDM!$I$6:$I$71,"&lt;="&amp;$C615+INT(DIAS_POR_SEMANA/2),ROTACAO_RDM!$J$6:$J$71,"&gt;="&amp;$C615+INT(DIAS_POR_SEMANA/2)),0)</f>
        <v>17</v>
      </c>
      <c r="J615" s="16" t="n">
        <f aca="false">IFERROR(MATCH($I615,ROTACAO_RDM!$B$6:$B$71,0),0)</f>
        <v>17</v>
      </c>
      <c r="K615" s="8" t="str">
        <f aca="false">IF($J615=0,"SEM CULTURA",INDEX(ROTACAO_RDM!$F$6:$F$71,$J615))</f>
        <v>SOJA</v>
      </c>
      <c r="L615" s="8" t="str">
        <f aca="false">IF($J615=0,"",INDEX(ROTACAO_RDM!$G$6:$G$71,$J615))</f>
        <v>NEO 690 I2X</v>
      </c>
      <c r="M615" s="17" t="n">
        <f aca="false">IF($J615=0,"",INDEX(ROTACAO_RDM!$I$6:$I$71,$J615))</f>
        <v>46290</v>
      </c>
      <c r="N615" s="16" t="n">
        <f aca="false">IF($J615=0,0,MAX(0,$C615+INT(DIAS_POR_SEMANA/2)-INDEX(ROTACAO_RDM!$I$6:$I$71,$J615)))</f>
        <v>83</v>
      </c>
      <c r="O615" s="19" t="n">
        <f aca="false">IF($J615=0,0,MIN(1,$N615/MAX(1,INDEX(ROTACAO_RDM!$K$6:$K$71,$J615))))</f>
        <v>0.768518518518519</v>
      </c>
      <c r="P615" s="16" t="n">
        <f aca="false">IF($J615=0,0,IFERROR(MATCH(INDEX(ROTACAO_RDM!$N$6:$N$71,$J615),PARAMETROS_CULTURAS!$B$6:$B$28,0),0))</f>
        <v>1</v>
      </c>
      <c r="Q615" s="8" t="str">
        <f aca="false">IF($P615=0,"-",IF($O615&lt;=INDEX(PARAMETROS_CULTURAS!$F$6:$F$28,$P615),"INICIAL",IF($O615&lt;=INDEX(PARAMETROS_CULTURAS!$F$6:$F$28,$P615)+INDEX(PARAMETROS_CULTURAS!$G$6:$G$28,$P615),"DESENVOLVIMENTO",IF($O615&lt;=INDEX(PARAMETROS_CULTURAS!$F$6:$F$28,$P615)+INDEX(PARAMETROS_CULTURAS!$G$6:$G$28,$P615)+INDEX(PARAMETROS_CULTURAS!$H$6:$H$28,$P615),"MEDIA","FINAL"))))</f>
        <v>MEDIA</v>
      </c>
      <c r="R615" s="24" t="n">
        <f aca="false">IF($P615=0,0,IF($O615&lt;=INDEX(PARAMETROS_CULTURAS!$F$6:$F$28,$P615),INDEX(PARAMETROS_CULTURAS!$K$6:$K$28,$P615),IF($O615&lt;=INDEX(PARAMETROS_CULTURAS!$F$6:$F$28,$P615)+INDEX(PARAMETROS_CULTURAS!$G$6:$G$28,$P615),INDEX(PARAMETROS_CULTURAS!$K$6:$K$28,$P615)+(INDEX(PARAMETROS_CULTURAS!$L$6:$L$28,$P615)-INDEX(PARAMETROS_CULTURAS!$K$6:$K$28,$P615))*($O615-INDEX(PARAMETROS_CULTURAS!$F$6:$F$28,$P615))/MAX(INDEX(PARAMETROS_CULTURAS!$G$6:$G$28,$P615),0.0001),IF($O615&lt;=INDEX(PARAMETROS_CULTURAS!$F$6:$F$28,$P615)+INDEX(PARAMETROS_CULTURAS!$G$6:$G$28,$P615)+INDEX(PARAMETROS_CULTURAS!$H$6:$H$28,$P615),INDEX(PARAMETROS_CULTURAS!$L$6:$L$28,$P615),INDEX(PARAMETROS_CULTURAS!$L$6:$L$28,$P615)+(INDEX(PARAMETROS_CULTURAS!$M$6:$M$28,$P615)-INDEX(PARAMETROS_CULTURAS!$L$6:$L$28,$P615))*($O615-INDEX(PARAMETROS_CULTURAS!$F$6:$F$28,$P615)-INDEX(PARAMETROS_CULTURAS!$G$6:$G$28,$P615)-INDEX(PARAMETROS_CULTURAS!$H$6:$H$28,$P615))/MAX(INDEX(PARAMETROS_CULTURAS!$I$6:$I$28,$P615),0.0001)))))</f>
        <v>1.15</v>
      </c>
      <c r="S615" s="18" t="n">
        <f aca="false">IFERROR(INDEX(SEMANAS!$H$6:$H$71,MATCH($B615,SEMANAS!$B$6:$B$71,0)),0)</f>
        <v>32.9</v>
      </c>
      <c r="T615" s="18" t="n">
        <f aca="false">$R615*$S615</f>
        <v>37.835</v>
      </c>
      <c r="U615" s="18" t="n">
        <f aca="false">IFERROR(INDEX(SEMANAS!$I$6:$I$71,MATCH($B615,SEMANAS!$B$6:$B$71,0)),0)</f>
        <v>48.58</v>
      </c>
      <c r="V615" s="18" t="n">
        <f aca="false">IFERROR(INDEX(SEMANAS!$J$6:$J$71,MATCH($B615,SEMANAS!$B$6:$B$71,0)),0)</f>
        <v>38.864</v>
      </c>
      <c r="W615" s="18" t="n">
        <f aca="false">MAX(0,$T615-$V615)</f>
        <v>0</v>
      </c>
      <c r="X615" s="19" t="n">
        <f aca="false">IFERROR(INDEX(CADASTRO_PIVOS!$K$6:$K$41,MATCH($E615,CADASTRO_PIVOS!$B$6:$B$41,0)),EFICIENCIA_PADRAO)</f>
        <v>0.85</v>
      </c>
      <c r="Y615" s="18" t="n">
        <f aca="false">IF($X615&lt;=0,0,$W615/$X615)</f>
        <v>0</v>
      </c>
      <c r="Z615" s="16" t="n">
        <f aca="false">$Y615*$H615*MM_PARA_M3_HA</f>
        <v>0</v>
      </c>
      <c r="AA615" s="18" t="n">
        <f aca="false">IFERROR(INDEX(CADASTRO_PIVOS!$I$6:$I$41,MATCH($E615,CADASTRO_PIVOS!$B$6:$B$41,0)),0)</f>
        <v>785.714285714286</v>
      </c>
      <c r="AB615" s="18" t="n">
        <f aca="false">IF($Z615&lt;=0,0,$Z615/$AA615)</f>
        <v>0</v>
      </c>
      <c r="AC615" s="16" t="n">
        <f aca="false">IFERROR(INDEX(SEMANAS!$K$6:$K$71,MATCH($B615,SEMANAS!$B$6:$B$71,0)),0)</f>
        <v>147</v>
      </c>
      <c r="AD615" s="19" t="n">
        <f aca="false">IF($AC615&lt;=0,0,$AB615/$AC615)</f>
        <v>0</v>
      </c>
      <c r="AE615" s="8" t="str">
        <f aca="false">IF($K615="SEM CULTURA","SEM CULTURA",IF($AA615&lt;=0,"DADO PENDENTE",IF($AD615&gt;LIMITE_CRITICO,"INVIAVEL",IF($AD615&gt;LIMITE_ATENCAO,"CRITICO",IF($AD615&gt;LIMITE_CONFORTAVEL,"ATENCAO","OK")))))</f>
        <v>OK</v>
      </c>
      <c r="AF615" s="8" t="str">
        <f aca="false">$B615&amp;"|"&amp;TEXT($AD615,"0.000000")</f>
        <v>16|0.000000</v>
      </c>
      <c r="AG615" s="18" t="n">
        <f aca="false">IF($K615="SEM CULTURA",0,$T615*$H615)</f>
        <v>4161.85</v>
      </c>
      <c r="AH615" s="18" t="n">
        <f aca="false">IF($K615="SEM CULTURA",0,$V615*$H615)</f>
        <v>4275.04</v>
      </c>
      <c r="AI615" s="18" t="n">
        <f aca="false">IF($K615="SEM CULTURA",0,$W615*$H615)</f>
        <v>0</v>
      </c>
      <c r="AJ615" s="18" t="n">
        <f aca="false">IF($K615="SEM CULTURA",0,$S615*$H615)</f>
        <v>3619</v>
      </c>
      <c r="AK615" s="8" t="str">
        <f aca="false">$E615&amp;"|"&amp;TEXT($AD615,"0.000000")</f>
        <v>PV 110|0.000000</v>
      </c>
    </row>
    <row r="616" customFormat="false" ht="15" hidden="false" customHeight="false" outlineLevel="0" collapsed="false">
      <c r="B616" s="16" t="n">
        <v>17</v>
      </c>
      <c r="C616" s="17" t="n">
        <f aca="false">DATA_INICIO_SAFRA+($B616-1)*DIAS_POR_SEMANA</f>
        <v>46377</v>
      </c>
      <c r="D616" s="17" t="n">
        <f aca="false">$C616+DIAS_POR_SEMANA-1</f>
        <v>46383</v>
      </c>
      <c r="E616" s="15" t="s">
        <v>268</v>
      </c>
      <c r="F616" s="8" t="str">
        <f aca="false">IFERROR(INDEX(CADASTRO_PIVOS!$C$6:$C$41,MATCH($E616,CADASTRO_PIVOS!$B$6:$B$41,0)),"?")</f>
        <v>RM04</v>
      </c>
      <c r="G616" s="8" t="str">
        <f aca="false">IFERROR(INDEX(CADASTRO_PIVOS!$D$6:$D$41,MATCH($E616,CADASTRO_PIVOS!$B$6:$B$41,0)),"?")</f>
        <v>TR04</v>
      </c>
      <c r="H616" s="20" t="n">
        <f aca="false">IFERROR(INDEX(CADASTRO_PIVOS!$E$6:$E$41,MATCH($E616,CADASTRO_PIVOS!$B$6:$B$41,0)),0)</f>
        <v>110</v>
      </c>
      <c r="I616" s="16" t="n">
        <f aca="false">IFERROR(SUMIFS(ROTACAO_RDM!$B$6:$B$71,ROTACAO_RDM!$D$6:$D$71,$E616,ROTACAO_RDM!$I$6:$I$71,"&lt;="&amp;$C616+INT(DIAS_POR_SEMANA/2),ROTACAO_RDM!$J$6:$J$71,"&gt;="&amp;$C616+INT(DIAS_POR_SEMANA/2)),0)</f>
        <v>17</v>
      </c>
      <c r="J616" s="16" t="n">
        <f aca="false">IFERROR(MATCH($I616,ROTACAO_RDM!$B$6:$B$71,0),0)</f>
        <v>17</v>
      </c>
      <c r="K616" s="8" t="str">
        <f aca="false">IF($J616=0,"SEM CULTURA",INDEX(ROTACAO_RDM!$F$6:$F$71,$J616))</f>
        <v>SOJA</v>
      </c>
      <c r="L616" s="8" t="str">
        <f aca="false">IF($J616=0,"",INDEX(ROTACAO_RDM!$G$6:$G$71,$J616))</f>
        <v>NEO 690 I2X</v>
      </c>
      <c r="M616" s="17" t="n">
        <f aca="false">IF($J616=0,"",INDEX(ROTACAO_RDM!$I$6:$I$71,$J616))</f>
        <v>46290</v>
      </c>
      <c r="N616" s="16" t="n">
        <f aca="false">IF($J616=0,0,MAX(0,$C616+INT(DIAS_POR_SEMANA/2)-INDEX(ROTACAO_RDM!$I$6:$I$71,$J616)))</f>
        <v>90</v>
      </c>
      <c r="O616" s="19" t="n">
        <f aca="false">IF($J616=0,0,MIN(1,$N616/MAX(1,INDEX(ROTACAO_RDM!$K$6:$K$71,$J616))))</f>
        <v>0.833333333333333</v>
      </c>
      <c r="P616" s="16" t="n">
        <f aca="false">IF($J616=0,0,IFERROR(MATCH(INDEX(ROTACAO_RDM!$N$6:$N$71,$J616),PARAMETROS_CULTURAS!$B$6:$B$28,0),0))</f>
        <v>1</v>
      </c>
      <c r="Q616" s="8" t="str">
        <f aca="false">IF($P616=0,"-",IF($O616&lt;=INDEX(PARAMETROS_CULTURAS!$F$6:$F$28,$P616),"INICIAL",IF($O616&lt;=INDEX(PARAMETROS_CULTURAS!$F$6:$F$28,$P616)+INDEX(PARAMETROS_CULTURAS!$G$6:$G$28,$P616),"DESENVOLVIMENTO",IF($O616&lt;=INDEX(PARAMETROS_CULTURAS!$F$6:$F$28,$P616)+INDEX(PARAMETROS_CULTURAS!$G$6:$G$28,$P616)+INDEX(PARAMETROS_CULTURAS!$H$6:$H$28,$P616),"MEDIA","FINAL"))))</f>
        <v>FINAL</v>
      </c>
      <c r="R616" s="24" t="n">
        <f aca="false">IF($P616=0,0,IF($O616&lt;=INDEX(PARAMETROS_CULTURAS!$F$6:$F$28,$P616),INDEX(PARAMETROS_CULTURAS!$K$6:$K$28,$P616),IF($O616&lt;=INDEX(PARAMETROS_CULTURAS!$F$6:$F$28,$P616)+INDEX(PARAMETROS_CULTURAS!$G$6:$G$28,$P616),INDEX(PARAMETROS_CULTURAS!$K$6:$K$28,$P616)+(INDEX(PARAMETROS_CULTURAS!$L$6:$L$28,$P616)-INDEX(PARAMETROS_CULTURAS!$K$6:$K$28,$P616))*($O616-INDEX(PARAMETROS_CULTURAS!$F$6:$F$28,$P616))/MAX(INDEX(PARAMETROS_CULTURAS!$G$6:$G$28,$P616),0.0001),IF($O616&lt;=INDEX(PARAMETROS_CULTURAS!$F$6:$F$28,$P616)+INDEX(PARAMETROS_CULTURAS!$G$6:$G$28,$P616)+INDEX(PARAMETROS_CULTURAS!$H$6:$H$28,$P616),INDEX(PARAMETROS_CULTURAS!$L$6:$L$28,$P616),INDEX(PARAMETROS_CULTURAS!$L$6:$L$28,$P616)+(INDEX(PARAMETROS_CULTURAS!$M$6:$M$28,$P616)-INDEX(PARAMETROS_CULTURAS!$L$6:$L$28,$P616))*($O616-INDEX(PARAMETROS_CULTURAS!$F$6:$F$28,$P616)-INDEX(PARAMETROS_CULTURAS!$G$6:$G$28,$P616)-INDEX(PARAMETROS_CULTURAS!$H$6:$H$28,$P616))/MAX(INDEX(PARAMETROS_CULTURAS!$I$6:$I$28,$P616),0.0001)))))</f>
        <v>1.10185185185185</v>
      </c>
      <c r="S616" s="18" t="n">
        <f aca="false">IFERROR(INDEX(SEMANAS!$H$6:$H$71,MATCH($B616,SEMANAS!$B$6:$B$71,0)),0)</f>
        <v>32.9</v>
      </c>
      <c r="T616" s="18" t="n">
        <f aca="false">$R616*$S616</f>
        <v>36.2509259259259</v>
      </c>
      <c r="U616" s="18" t="n">
        <f aca="false">IFERROR(INDEX(SEMANAS!$I$6:$I$71,MATCH($B616,SEMANAS!$B$6:$B$71,0)),0)</f>
        <v>48.58</v>
      </c>
      <c r="V616" s="18" t="n">
        <f aca="false">IFERROR(INDEX(SEMANAS!$J$6:$J$71,MATCH($B616,SEMANAS!$B$6:$B$71,0)),0)</f>
        <v>38.864</v>
      </c>
      <c r="W616" s="18" t="n">
        <f aca="false">MAX(0,$T616-$V616)</f>
        <v>0</v>
      </c>
      <c r="X616" s="19" t="n">
        <f aca="false">IFERROR(INDEX(CADASTRO_PIVOS!$K$6:$K$41,MATCH($E616,CADASTRO_PIVOS!$B$6:$B$41,0)),EFICIENCIA_PADRAO)</f>
        <v>0.85</v>
      </c>
      <c r="Y616" s="18" t="n">
        <f aca="false">IF($X616&lt;=0,0,$W616/$X616)</f>
        <v>0</v>
      </c>
      <c r="Z616" s="16" t="n">
        <f aca="false">$Y616*$H616*MM_PARA_M3_HA</f>
        <v>0</v>
      </c>
      <c r="AA616" s="18" t="n">
        <f aca="false">IFERROR(INDEX(CADASTRO_PIVOS!$I$6:$I$41,MATCH($E616,CADASTRO_PIVOS!$B$6:$B$41,0)),0)</f>
        <v>785.714285714286</v>
      </c>
      <c r="AB616" s="18" t="n">
        <f aca="false">IF($Z616&lt;=0,0,$Z616/$AA616)</f>
        <v>0</v>
      </c>
      <c r="AC616" s="16" t="n">
        <f aca="false">IFERROR(INDEX(SEMANAS!$K$6:$K$71,MATCH($B616,SEMANAS!$B$6:$B$71,0)),0)</f>
        <v>147</v>
      </c>
      <c r="AD616" s="19" t="n">
        <f aca="false">IF($AC616&lt;=0,0,$AB616/$AC616)</f>
        <v>0</v>
      </c>
      <c r="AE616" s="8" t="str">
        <f aca="false">IF($K616="SEM CULTURA","SEM CULTURA",IF($AA616&lt;=0,"DADO PENDENTE",IF($AD616&gt;LIMITE_CRITICO,"INVIAVEL",IF($AD616&gt;LIMITE_ATENCAO,"CRITICO",IF($AD616&gt;LIMITE_CONFORTAVEL,"ATENCAO","OK")))))</f>
        <v>OK</v>
      </c>
      <c r="AF616" s="8" t="str">
        <f aca="false">$B616&amp;"|"&amp;TEXT($AD616,"0.000000")</f>
        <v>17|0.000000</v>
      </c>
      <c r="AG616" s="18" t="n">
        <f aca="false">IF($K616="SEM CULTURA",0,$T616*$H616)</f>
        <v>3987.60185185185</v>
      </c>
      <c r="AH616" s="18" t="n">
        <f aca="false">IF($K616="SEM CULTURA",0,$V616*$H616)</f>
        <v>4275.04</v>
      </c>
      <c r="AI616" s="18" t="n">
        <f aca="false">IF($K616="SEM CULTURA",0,$W616*$H616)</f>
        <v>0</v>
      </c>
      <c r="AJ616" s="18" t="n">
        <f aca="false">IF($K616="SEM CULTURA",0,$S616*$H616)</f>
        <v>3619</v>
      </c>
      <c r="AK616" s="8" t="str">
        <f aca="false">$E616&amp;"|"&amp;TEXT($AD616,"0.000000")</f>
        <v>PV 110|0.000000</v>
      </c>
    </row>
    <row r="617" customFormat="false" ht="15" hidden="false" customHeight="false" outlineLevel="0" collapsed="false">
      <c r="B617" s="16" t="n">
        <v>18</v>
      </c>
      <c r="C617" s="17" t="n">
        <f aca="false">DATA_INICIO_SAFRA+($B617-1)*DIAS_POR_SEMANA</f>
        <v>46384</v>
      </c>
      <c r="D617" s="17" t="n">
        <f aca="false">$C617+DIAS_POR_SEMANA-1</f>
        <v>46390</v>
      </c>
      <c r="E617" s="15" t="s">
        <v>268</v>
      </c>
      <c r="F617" s="8" t="str">
        <f aca="false">IFERROR(INDEX(CADASTRO_PIVOS!$C$6:$C$41,MATCH($E617,CADASTRO_PIVOS!$B$6:$B$41,0)),"?")</f>
        <v>RM04</v>
      </c>
      <c r="G617" s="8" t="str">
        <f aca="false">IFERROR(INDEX(CADASTRO_PIVOS!$D$6:$D$41,MATCH($E617,CADASTRO_PIVOS!$B$6:$B$41,0)),"?")</f>
        <v>TR04</v>
      </c>
      <c r="H617" s="20" t="n">
        <f aca="false">IFERROR(INDEX(CADASTRO_PIVOS!$E$6:$E$41,MATCH($E617,CADASTRO_PIVOS!$B$6:$B$41,0)),0)</f>
        <v>110</v>
      </c>
      <c r="I617" s="16" t="n">
        <f aca="false">IFERROR(SUMIFS(ROTACAO_RDM!$B$6:$B$71,ROTACAO_RDM!$D$6:$D$71,$E617,ROTACAO_RDM!$I$6:$I$71,"&lt;="&amp;$C617+INT(DIAS_POR_SEMANA/2),ROTACAO_RDM!$J$6:$J$71,"&gt;="&amp;$C617+INT(DIAS_POR_SEMANA/2)),0)</f>
        <v>17</v>
      </c>
      <c r="J617" s="16" t="n">
        <f aca="false">IFERROR(MATCH($I617,ROTACAO_RDM!$B$6:$B$71,0),0)</f>
        <v>17</v>
      </c>
      <c r="K617" s="8" t="str">
        <f aca="false">IF($J617=0,"SEM CULTURA",INDEX(ROTACAO_RDM!$F$6:$F$71,$J617))</f>
        <v>SOJA</v>
      </c>
      <c r="L617" s="8" t="str">
        <f aca="false">IF($J617=0,"",INDEX(ROTACAO_RDM!$G$6:$G$71,$J617))</f>
        <v>NEO 690 I2X</v>
      </c>
      <c r="M617" s="17" t="n">
        <f aca="false">IF($J617=0,"",INDEX(ROTACAO_RDM!$I$6:$I$71,$J617))</f>
        <v>46290</v>
      </c>
      <c r="N617" s="16" t="n">
        <f aca="false">IF($J617=0,0,MAX(0,$C617+INT(DIAS_POR_SEMANA/2)-INDEX(ROTACAO_RDM!$I$6:$I$71,$J617)))</f>
        <v>97</v>
      </c>
      <c r="O617" s="19" t="n">
        <f aca="false">IF($J617=0,0,MIN(1,$N617/MAX(1,INDEX(ROTACAO_RDM!$K$6:$K$71,$J617))))</f>
        <v>0.898148148148148</v>
      </c>
      <c r="P617" s="16" t="n">
        <f aca="false">IF($J617=0,0,IFERROR(MATCH(INDEX(ROTACAO_RDM!$N$6:$N$71,$J617),PARAMETROS_CULTURAS!$B$6:$B$28,0),0))</f>
        <v>1</v>
      </c>
      <c r="Q617" s="8" t="str">
        <f aca="false">IF($P617=0,"-",IF($O617&lt;=INDEX(PARAMETROS_CULTURAS!$F$6:$F$28,$P617),"INICIAL",IF($O617&lt;=INDEX(PARAMETROS_CULTURAS!$F$6:$F$28,$P617)+INDEX(PARAMETROS_CULTURAS!$G$6:$G$28,$P617),"DESENVOLVIMENTO",IF($O617&lt;=INDEX(PARAMETROS_CULTURAS!$F$6:$F$28,$P617)+INDEX(PARAMETROS_CULTURAS!$G$6:$G$28,$P617)+INDEX(PARAMETROS_CULTURAS!$H$6:$H$28,$P617),"MEDIA","FINAL"))))</f>
        <v>FINAL</v>
      </c>
      <c r="R617" s="24" t="n">
        <f aca="false">IF($P617=0,0,IF($O617&lt;=INDEX(PARAMETROS_CULTURAS!$F$6:$F$28,$P617),INDEX(PARAMETROS_CULTURAS!$K$6:$K$28,$P617),IF($O617&lt;=INDEX(PARAMETROS_CULTURAS!$F$6:$F$28,$P617)+INDEX(PARAMETROS_CULTURAS!$G$6:$G$28,$P617),INDEX(PARAMETROS_CULTURAS!$K$6:$K$28,$P617)+(INDEX(PARAMETROS_CULTURAS!$L$6:$L$28,$P617)-INDEX(PARAMETROS_CULTURAS!$K$6:$K$28,$P617))*($O617-INDEX(PARAMETROS_CULTURAS!$F$6:$F$28,$P617))/MAX(INDEX(PARAMETROS_CULTURAS!$G$6:$G$28,$P617),0.0001),IF($O617&lt;=INDEX(PARAMETROS_CULTURAS!$F$6:$F$28,$P617)+INDEX(PARAMETROS_CULTURAS!$G$6:$G$28,$P617)+INDEX(PARAMETROS_CULTURAS!$H$6:$H$28,$P617),INDEX(PARAMETROS_CULTURAS!$L$6:$L$28,$P617),INDEX(PARAMETROS_CULTURAS!$L$6:$L$28,$P617)+(INDEX(PARAMETROS_CULTURAS!$M$6:$M$28,$P617)-INDEX(PARAMETROS_CULTURAS!$L$6:$L$28,$P617))*($O617-INDEX(PARAMETROS_CULTURAS!$F$6:$F$28,$P617)-INDEX(PARAMETROS_CULTURAS!$G$6:$G$28,$P617)-INDEX(PARAMETROS_CULTURAS!$H$6:$H$28,$P617))/MAX(INDEX(PARAMETROS_CULTURAS!$I$6:$I$28,$P617),0.0001)))))</f>
        <v>0.867798353909465</v>
      </c>
      <c r="S617" s="18" t="n">
        <f aca="false">IFERROR(INDEX(SEMANAS!$H$6:$H$71,MATCH($B617,SEMANAS!$B$6:$B$71,0)),0)</f>
        <v>33.2</v>
      </c>
      <c r="T617" s="18" t="n">
        <f aca="false">$R617*$S617</f>
        <v>28.8109053497942</v>
      </c>
      <c r="U617" s="18" t="n">
        <f aca="false">IFERROR(INDEX(SEMANAS!$I$6:$I$71,MATCH($B617,SEMANAS!$B$6:$B$71,0)),0)</f>
        <v>47.11</v>
      </c>
      <c r="V617" s="18" t="n">
        <f aca="false">IFERROR(INDEX(SEMANAS!$J$6:$J$71,MATCH($B617,SEMANAS!$B$6:$B$71,0)),0)</f>
        <v>37.688</v>
      </c>
      <c r="W617" s="18" t="n">
        <f aca="false">MAX(0,$T617-$V617)</f>
        <v>0</v>
      </c>
      <c r="X617" s="19" t="n">
        <f aca="false">IFERROR(INDEX(CADASTRO_PIVOS!$K$6:$K$41,MATCH($E617,CADASTRO_PIVOS!$B$6:$B$41,0)),EFICIENCIA_PADRAO)</f>
        <v>0.85</v>
      </c>
      <c r="Y617" s="18" t="n">
        <f aca="false">IF($X617&lt;=0,0,$W617/$X617)</f>
        <v>0</v>
      </c>
      <c r="Z617" s="16" t="n">
        <f aca="false">$Y617*$H617*MM_PARA_M3_HA</f>
        <v>0</v>
      </c>
      <c r="AA617" s="18" t="n">
        <f aca="false">IFERROR(INDEX(CADASTRO_PIVOS!$I$6:$I$41,MATCH($E617,CADASTRO_PIVOS!$B$6:$B$41,0)),0)</f>
        <v>785.714285714286</v>
      </c>
      <c r="AB617" s="18" t="n">
        <f aca="false">IF($Z617&lt;=0,0,$Z617/$AA617)</f>
        <v>0</v>
      </c>
      <c r="AC617" s="16" t="n">
        <f aca="false">IFERROR(INDEX(SEMANAS!$K$6:$K$71,MATCH($B617,SEMANAS!$B$6:$B$71,0)),0)</f>
        <v>147</v>
      </c>
      <c r="AD617" s="19" t="n">
        <f aca="false">IF($AC617&lt;=0,0,$AB617/$AC617)</f>
        <v>0</v>
      </c>
      <c r="AE617" s="8" t="str">
        <f aca="false">IF($K617="SEM CULTURA","SEM CULTURA",IF($AA617&lt;=0,"DADO PENDENTE",IF($AD617&gt;LIMITE_CRITICO,"INVIAVEL",IF($AD617&gt;LIMITE_ATENCAO,"CRITICO",IF($AD617&gt;LIMITE_CONFORTAVEL,"ATENCAO","OK")))))</f>
        <v>OK</v>
      </c>
      <c r="AF617" s="8" t="str">
        <f aca="false">$B617&amp;"|"&amp;TEXT($AD617,"0.000000")</f>
        <v>18|0.000000</v>
      </c>
      <c r="AG617" s="18" t="n">
        <f aca="false">IF($K617="SEM CULTURA",0,$T617*$H617)</f>
        <v>3169.19958847737</v>
      </c>
      <c r="AH617" s="18" t="n">
        <f aca="false">IF($K617="SEM CULTURA",0,$V617*$H617)</f>
        <v>4145.68</v>
      </c>
      <c r="AI617" s="18" t="n">
        <f aca="false">IF($K617="SEM CULTURA",0,$W617*$H617)</f>
        <v>0</v>
      </c>
      <c r="AJ617" s="18" t="n">
        <f aca="false">IF($K617="SEM CULTURA",0,$S617*$H617)</f>
        <v>3652</v>
      </c>
      <c r="AK617" s="8" t="str">
        <f aca="false">$E617&amp;"|"&amp;TEXT($AD617,"0.000000")</f>
        <v>PV 110|0.000000</v>
      </c>
    </row>
    <row r="618" customFormat="false" ht="15" hidden="false" customHeight="false" outlineLevel="0" collapsed="false">
      <c r="B618" s="16" t="n">
        <v>19</v>
      </c>
      <c r="C618" s="17" t="n">
        <f aca="false">DATA_INICIO_SAFRA+($B618-1)*DIAS_POR_SEMANA</f>
        <v>46391</v>
      </c>
      <c r="D618" s="17" t="n">
        <f aca="false">$C618+DIAS_POR_SEMANA-1</f>
        <v>46397</v>
      </c>
      <c r="E618" s="15" t="s">
        <v>268</v>
      </c>
      <c r="F618" s="8" t="str">
        <f aca="false">IFERROR(INDEX(CADASTRO_PIVOS!$C$6:$C$41,MATCH($E618,CADASTRO_PIVOS!$B$6:$B$41,0)),"?")</f>
        <v>RM04</v>
      </c>
      <c r="G618" s="8" t="str">
        <f aca="false">IFERROR(INDEX(CADASTRO_PIVOS!$D$6:$D$41,MATCH($E618,CADASTRO_PIVOS!$B$6:$B$41,0)),"?")</f>
        <v>TR04</v>
      </c>
      <c r="H618" s="20" t="n">
        <f aca="false">IFERROR(INDEX(CADASTRO_PIVOS!$E$6:$E$41,MATCH($E618,CADASTRO_PIVOS!$B$6:$B$41,0)),0)</f>
        <v>110</v>
      </c>
      <c r="I618" s="16" t="n">
        <f aca="false">IFERROR(SUMIFS(ROTACAO_RDM!$B$6:$B$71,ROTACAO_RDM!$D$6:$D$71,$E618,ROTACAO_RDM!$I$6:$I$71,"&lt;="&amp;$C618+INT(DIAS_POR_SEMANA/2),ROTACAO_RDM!$J$6:$J$71,"&gt;="&amp;$C618+INT(DIAS_POR_SEMANA/2)),0)</f>
        <v>17</v>
      </c>
      <c r="J618" s="16" t="n">
        <f aca="false">IFERROR(MATCH($I618,ROTACAO_RDM!$B$6:$B$71,0),0)</f>
        <v>17</v>
      </c>
      <c r="K618" s="8" t="str">
        <f aca="false">IF($J618=0,"SEM CULTURA",INDEX(ROTACAO_RDM!$F$6:$F$71,$J618))</f>
        <v>SOJA</v>
      </c>
      <c r="L618" s="8" t="str">
        <f aca="false">IF($J618=0,"",INDEX(ROTACAO_RDM!$G$6:$G$71,$J618))</f>
        <v>NEO 690 I2X</v>
      </c>
      <c r="M618" s="17" t="n">
        <f aca="false">IF($J618=0,"",INDEX(ROTACAO_RDM!$I$6:$I$71,$J618))</f>
        <v>46290</v>
      </c>
      <c r="N618" s="16" t="n">
        <f aca="false">IF($J618=0,0,MAX(0,$C618+INT(DIAS_POR_SEMANA/2)-INDEX(ROTACAO_RDM!$I$6:$I$71,$J618)))</f>
        <v>104</v>
      </c>
      <c r="O618" s="19" t="n">
        <f aca="false">IF($J618=0,0,MIN(1,$N618/MAX(1,INDEX(ROTACAO_RDM!$K$6:$K$71,$J618))))</f>
        <v>0.962962962962963</v>
      </c>
      <c r="P618" s="16" t="n">
        <f aca="false">IF($J618=0,0,IFERROR(MATCH(INDEX(ROTACAO_RDM!$N$6:$N$71,$J618),PARAMETROS_CULTURAS!$B$6:$B$28,0),0))</f>
        <v>1</v>
      </c>
      <c r="Q618" s="8" t="str">
        <f aca="false">IF($P618=0,"-",IF($O618&lt;=INDEX(PARAMETROS_CULTURAS!$F$6:$F$28,$P618),"INICIAL",IF($O618&lt;=INDEX(PARAMETROS_CULTURAS!$F$6:$F$28,$P618)+INDEX(PARAMETROS_CULTURAS!$G$6:$G$28,$P618),"DESENVOLVIMENTO",IF($O618&lt;=INDEX(PARAMETROS_CULTURAS!$F$6:$F$28,$P618)+INDEX(PARAMETROS_CULTURAS!$G$6:$G$28,$P618)+INDEX(PARAMETROS_CULTURAS!$H$6:$H$28,$P618),"MEDIA","FINAL"))))</f>
        <v>FINAL</v>
      </c>
      <c r="R618" s="24" t="n">
        <f aca="false">IF($P618=0,0,IF($O618&lt;=INDEX(PARAMETROS_CULTURAS!$F$6:$F$28,$P618),INDEX(PARAMETROS_CULTURAS!$K$6:$K$28,$P618),IF($O618&lt;=INDEX(PARAMETROS_CULTURAS!$F$6:$F$28,$P618)+INDEX(PARAMETROS_CULTURAS!$G$6:$G$28,$P618),INDEX(PARAMETROS_CULTURAS!$K$6:$K$28,$P618)+(INDEX(PARAMETROS_CULTURAS!$L$6:$L$28,$P618)-INDEX(PARAMETROS_CULTURAS!$K$6:$K$28,$P618))*($O618-INDEX(PARAMETROS_CULTURAS!$F$6:$F$28,$P618))/MAX(INDEX(PARAMETROS_CULTURAS!$G$6:$G$28,$P618),0.0001),IF($O618&lt;=INDEX(PARAMETROS_CULTURAS!$F$6:$F$28,$P618)+INDEX(PARAMETROS_CULTURAS!$G$6:$G$28,$P618)+INDEX(PARAMETROS_CULTURAS!$H$6:$H$28,$P618),INDEX(PARAMETROS_CULTURAS!$L$6:$L$28,$P618),INDEX(PARAMETROS_CULTURAS!$L$6:$L$28,$P618)+(INDEX(PARAMETROS_CULTURAS!$M$6:$M$28,$P618)-INDEX(PARAMETROS_CULTURAS!$L$6:$L$28,$P618))*($O618-INDEX(PARAMETROS_CULTURAS!$F$6:$F$28,$P618)-INDEX(PARAMETROS_CULTURAS!$G$6:$G$28,$P618)-INDEX(PARAMETROS_CULTURAS!$H$6:$H$28,$P618))/MAX(INDEX(PARAMETROS_CULTURAS!$I$6:$I$28,$P618),0.0001)))))</f>
        <v>0.633744855967079</v>
      </c>
      <c r="S618" s="18" t="n">
        <f aca="false">IFERROR(INDEX(SEMANAS!$H$6:$H$71,MATCH($B618,SEMANAS!$B$6:$B$71,0)),0)</f>
        <v>33.6</v>
      </c>
      <c r="T618" s="18" t="n">
        <f aca="false">$R618*$S618</f>
        <v>21.2938271604938</v>
      </c>
      <c r="U618" s="18" t="n">
        <f aca="false">IFERROR(INDEX(SEMANAS!$I$6:$I$71,MATCH($B618,SEMANAS!$B$6:$B$71,0)),0)</f>
        <v>45.15</v>
      </c>
      <c r="V618" s="18" t="n">
        <f aca="false">IFERROR(INDEX(SEMANAS!$J$6:$J$71,MATCH($B618,SEMANAS!$B$6:$B$71,0)),0)</f>
        <v>36.12</v>
      </c>
      <c r="W618" s="18" t="n">
        <f aca="false">MAX(0,$T618-$V618)</f>
        <v>0</v>
      </c>
      <c r="X618" s="19" t="n">
        <f aca="false">IFERROR(INDEX(CADASTRO_PIVOS!$K$6:$K$41,MATCH($E618,CADASTRO_PIVOS!$B$6:$B$41,0)),EFICIENCIA_PADRAO)</f>
        <v>0.85</v>
      </c>
      <c r="Y618" s="18" t="n">
        <f aca="false">IF($X618&lt;=0,0,$W618/$X618)</f>
        <v>0</v>
      </c>
      <c r="Z618" s="16" t="n">
        <f aca="false">$Y618*$H618*MM_PARA_M3_HA</f>
        <v>0</v>
      </c>
      <c r="AA618" s="18" t="n">
        <f aca="false">IFERROR(INDEX(CADASTRO_PIVOS!$I$6:$I$41,MATCH($E618,CADASTRO_PIVOS!$B$6:$B$41,0)),0)</f>
        <v>785.714285714286</v>
      </c>
      <c r="AB618" s="18" t="n">
        <f aca="false">IF($Z618&lt;=0,0,$Z618/$AA618)</f>
        <v>0</v>
      </c>
      <c r="AC618" s="16" t="n">
        <f aca="false">IFERROR(INDEX(SEMANAS!$K$6:$K$71,MATCH($B618,SEMANAS!$B$6:$B$71,0)),0)</f>
        <v>147</v>
      </c>
      <c r="AD618" s="19" t="n">
        <f aca="false">IF($AC618&lt;=0,0,$AB618/$AC618)</f>
        <v>0</v>
      </c>
      <c r="AE618" s="8" t="str">
        <f aca="false">IF($K618="SEM CULTURA","SEM CULTURA",IF($AA618&lt;=0,"DADO PENDENTE",IF($AD618&gt;LIMITE_CRITICO,"INVIAVEL",IF($AD618&gt;LIMITE_ATENCAO,"CRITICO",IF($AD618&gt;LIMITE_CONFORTAVEL,"ATENCAO","OK")))))</f>
        <v>OK</v>
      </c>
      <c r="AF618" s="8" t="str">
        <f aca="false">$B618&amp;"|"&amp;TEXT($AD618,"0.000000")</f>
        <v>19|0.000000</v>
      </c>
      <c r="AG618" s="18" t="n">
        <f aca="false">IF($K618="SEM CULTURA",0,$T618*$H618)</f>
        <v>2342.32098765432</v>
      </c>
      <c r="AH618" s="18" t="n">
        <f aca="false">IF($K618="SEM CULTURA",0,$V618*$H618)</f>
        <v>3973.2</v>
      </c>
      <c r="AI618" s="18" t="n">
        <f aca="false">IF($K618="SEM CULTURA",0,$W618*$H618)</f>
        <v>0</v>
      </c>
      <c r="AJ618" s="18" t="n">
        <f aca="false">IF($K618="SEM CULTURA",0,$S618*$H618)</f>
        <v>3696</v>
      </c>
      <c r="AK618" s="8" t="str">
        <f aca="false">$E618&amp;"|"&amp;TEXT($AD618,"0.000000")</f>
        <v>PV 110|0.000000</v>
      </c>
    </row>
    <row r="619" customFormat="false" ht="15" hidden="false" customHeight="false" outlineLevel="0" collapsed="false">
      <c r="B619" s="16" t="n">
        <v>20</v>
      </c>
      <c r="C619" s="17" t="n">
        <f aca="false">DATA_INICIO_SAFRA+($B619-1)*DIAS_POR_SEMANA</f>
        <v>46398</v>
      </c>
      <c r="D619" s="17" t="n">
        <f aca="false">$C619+DIAS_POR_SEMANA-1</f>
        <v>46404</v>
      </c>
      <c r="E619" s="15" t="s">
        <v>268</v>
      </c>
      <c r="F619" s="8" t="str">
        <f aca="false">IFERROR(INDEX(CADASTRO_PIVOS!$C$6:$C$41,MATCH($E619,CADASTRO_PIVOS!$B$6:$B$41,0)),"?")</f>
        <v>RM04</v>
      </c>
      <c r="G619" s="8" t="str">
        <f aca="false">IFERROR(INDEX(CADASTRO_PIVOS!$D$6:$D$41,MATCH($E619,CADASTRO_PIVOS!$B$6:$B$41,0)),"?")</f>
        <v>TR04</v>
      </c>
      <c r="H619" s="20" t="n">
        <f aca="false">IFERROR(INDEX(CADASTRO_PIVOS!$E$6:$E$41,MATCH($E619,CADASTRO_PIVOS!$B$6:$B$41,0)),0)</f>
        <v>110</v>
      </c>
      <c r="I619" s="16" t="n">
        <f aca="false">IFERROR(SUMIFS(ROTACAO_RDM!$B$6:$B$71,ROTACAO_RDM!$D$6:$D$71,$E619,ROTACAO_RDM!$I$6:$I$71,"&lt;="&amp;$C619+INT(DIAS_POR_SEMANA/2),ROTACAO_RDM!$J$6:$J$71,"&gt;="&amp;$C619+INT(DIAS_POR_SEMANA/2)),0)</f>
        <v>0</v>
      </c>
      <c r="J619" s="16" t="n">
        <f aca="false">IFERROR(MATCH($I619,ROTACAO_RDM!$B$6:$B$71,0),0)</f>
        <v>0</v>
      </c>
      <c r="K619" s="8" t="str">
        <f aca="false">IF($J619=0,"SEM CULTURA",INDEX(ROTACAO_RDM!$F$6:$F$71,$J619))</f>
        <v>SEM CULTURA</v>
      </c>
      <c r="L619" s="8" t="str">
        <f aca="false">IF($J619=0,"",INDEX(ROTACAO_RDM!$G$6:$G$71,$J619))</f>
        <v/>
      </c>
      <c r="M619" s="17" t="str">
        <f aca="false">IF($J619=0,"",INDEX(ROTACAO_RDM!$I$6:$I$71,$J619))</f>
        <v/>
      </c>
      <c r="N619" s="16" t="n">
        <f aca="false">IF($J619=0,0,MAX(0,$C619+INT(DIAS_POR_SEMANA/2)-INDEX(ROTACAO_RDM!$I$6:$I$71,$J619)))</f>
        <v>0</v>
      </c>
      <c r="O619" s="19" t="n">
        <f aca="false">IF($J619=0,0,MIN(1,$N619/MAX(1,INDEX(ROTACAO_RDM!$K$6:$K$71,$J619))))</f>
        <v>0</v>
      </c>
      <c r="P619" s="16" t="n">
        <f aca="false">IF($J619=0,0,IFERROR(MATCH(INDEX(ROTACAO_RDM!$N$6:$N$71,$J619),PARAMETROS_CULTURAS!$B$6:$B$28,0),0))</f>
        <v>0</v>
      </c>
      <c r="Q619" s="8" t="str">
        <f aca="false">IF($P619=0,"-",IF($O619&lt;=INDEX(PARAMETROS_CULTURAS!$F$6:$F$28,$P619),"INICIAL",IF($O619&lt;=INDEX(PARAMETROS_CULTURAS!$F$6:$F$28,$P619)+INDEX(PARAMETROS_CULTURAS!$G$6:$G$28,$P619),"DESENVOLVIMENTO",IF($O619&lt;=INDEX(PARAMETROS_CULTURAS!$F$6:$F$28,$P619)+INDEX(PARAMETROS_CULTURAS!$G$6:$G$28,$P619)+INDEX(PARAMETROS_CULTURAS!$H$6:$H$28,$P619),"MEDIA","FINAL"))))</f>
        <v>-</v>
      </c>
      <c r="R619" s="24" t="n">
        <f aca="false">IF($P619=0,0,IF($O619&lt;=INDEX(PARAMETROS_CULTURAS!$F$6:$F$28,$P619),INDEX(PARAMETROS_CULTURAS!$K$6:$K$28,$P619),IF($O619&lt;=INDEX(PARAMETROS_CULTURAS!$F$6:$F$28,$P619)+INDEX(PARAMETROS_CULTURAS!$G$6:$G$28,$P619),INDEX(PARAMETROS_CULTURAS!$K$6:$K$28,$P619)+(INDEX(PARAMETROS_CULTURAS!$L$6:$L$28,$P619)-INDEX(PARAMETROS_CULTURAS!$K$6:$K$28,$P619))*($O619-INDEX(PARAMETROS_CULTURAS!$F$6:$F$28,$P619))/MAX(INDEX(PARAMETROS_CULTURAS!$G$6:$G$28,$P619),0.0001),IF($O619&lt;=INDEX(PARAMETROS_CULTURAS!$F$6:$F$28,$P619)+INDEX(PARAMETROS_CULTURAS!$G$6:$G$28,$P619)+INDEX(PARAMETROS_CULTURAS!$H$6:$H$28,$P619),INDEX(PARAMETROS_CULTURAS!$L$6:$L$28,$P619),INDEX(PARAMETROS_CULTURAS!$L$6:$L$28,$P619)+(INDEX(PARAMETROS_CULTURAS!$M$6:$M$28,$P619)-INDEX(PARAMETROS_CULTURAS!$L$6:$L$28,$P619))*($O619-INDEX(PARAMETROS_CULTURAS!$F$6:$F$28,$P619)-INDEX(PARAMETROS_CULTURAS!$G$6:$G$28,$P619)-INDEX(PARAMETROS_CULTURAS!$H$6:$H$28,$P619))/MAX(INDEX(PARAMETROS_CULTURAS!$I$6:$I$28,$P619),0.0001)))))</f>
        <v>0</v>
      </c>
      <c r="S619" s="18" t="n">
        <f aca="false">IFERROR(INDEX(SEMANAS!$H$6:$H$71,MATCH($B619,SEMANAS!$B$6:$B$71,0)),0)</f>
        <v>33.6</v>
      </c>
      <c r="T619" s="18" t="n">
        <f aca="false">$R619*$S619</f>
        <v>0</v>
      </c>
      <c r="U619" s="18" t="n">
        <f aca="false">IFERROR(INDEX(SEMANAS!$I$6:$I$71,MATCH($B619,SEMANAS!$B$6:$B$71,0)),0)</f>
        <v>45.15</v>
      </c>
      <c r="V619" s="18" t="n">
        <f aca="false">IFERROR(INDEX(SEMANAS!$J$6:$J$71,MATCH($B619,SEMANAS!$B$6:$B$71,0)),0)</f>
        <v>36.12</v>
      </c>
      <c r="W619" s="18" t="n">
        <f aca="false">MAX(0,$T619-$V619)</f>
        <v>0</v>
      </c>
      <c r="X619" s="19" t="n">
        <f aca="false">IFERROR(INDEX(CADASTRO_PIVOS!$K$6:$K$41,MATCH($E619,CADASTRO_PIVOS!$B$6:$B$41,0)),EFICIENCIA_PADRAO)</f>
        <v>0.85</v>
      </c>
      <c r="Y619" s="18" t="n">
        <f aca="false">IF($X619&lt;=0,0,$W619/$X619)</f>
        <v>0</v>
      </c>
      <c r="Z619" s="16" t="n">
        <f aca="false">$Y619*$H619*MM_PARA_M3_HA</f>
        <v>0</v>
      </c>
      <c r="AA619" s="18" t="n">
        <f aca="false">IFERROR(INDEX(CADASTRO_PIVOS!$I$6:$I$41,MATCH($E619,CADASTRO_PIVOS!$B$6:$B$41,0)),0)</f>
        <v>785.714285714286</v>
      </c>
      <c r="AB619" s="18" t="n">
        <f aca="false">IF($Z619&lt;=0,0,$Z619/$AA619)</f>
        <v>0</v>
      </c>
      <c r="AC619" s="16" t="n">
        <f aca="false">IFERROR(INDEX(SEMANAS!$K$6:$K$71,MATCH($B619,SEMANAS!$B$6:$B$71,0)),0)</f>
        <v>147</v>
      </c>
      <c r="AD619" s="19" t="n">
        <f aca="false">IF($AC619&lt;=0,0,$AB619/$AC619)</f>
        <v>0</v>
      </c>
      <c r="AE619" s="8" t="str">
        <f aca="false">IF($K619="SEM CULTURA","SEM CULTURA",IF($AA619&lt;=0,"DADO PENDENTE",IF($AD619&gt;LIMITE_CRITICO,"INVIAVEL",IF($AD619&gt;LIMITE_ATENCAO,"CRITICO",IF($AD619&gt;LIMITE_CONFORTAVEL,"ATENCAO","OK")))))</f>
        <v>SEM CULTURA</v>
      </c>
      <c r="AF619" s="8" t="str">
        <f aca="false">$B619&amp;"|"&amp;TEXT($AD619,"0.000000")</f>
        <v>20|0.000000</v>
      </c>
      <c r="AG619" s="18" t="n">
        <f aca="false">IF($K619="SEM CULTURA",0,$T619*$H619)</f>
        <v>0</v>
      </c>
      <c r="AH619" s="18" t="n">
        <f aca="false">IF($K619="SEM CULTURA",0,$V619*$H619)</f>
        <v>0</v>
      </c>
      <c r="AI619" s="18" t="n">
        <f aca="false">IF($K619="SEM CULTURA",0,$W619*$H619)</f>
        <v>0</v>
      </c>
      <c r="AJ619" s="18" t="n">
        <f aca="false">IF($K619="SEM CULTURA",0,$S619*$H619)</f>
        <v>0</v>
      </c>
      <c r="AK619" s="8" t="str">
        <f aca="false">$E619&amp;"|"&amp;TEXT($AD619,"0.000000")</f>
        <v>PV 110|0.000000</v>
      </c>
    </row>
    <row r="620" customFormat="false" ht="15" hidden="false" customHeight="false" outlineLevel="0" collapsed="false">
      <c r="B620" s="16" t="n">
        <v>21</v>
      </c>
      <c r="C620" s="17" t="n">
        <f aca="false">DATA_INICIO_SAFRA+($B620-1)*DIAS_POR_SEMANA</f>
        <v>46405</v>
      </c>
      <c r="D620" s="17" t="n">
        <f aca="false">$C620+DIAS_POR_SEMANA-1</f>
        <v>46411</v>
      </c>
      <c r="E620" s="15" t="s">
        <v>268</v>
      </c>
      <c r="F620" s="8" t="str">
        <f aca="false">IFERROR(INDEX(CADASTRO_PIVOS!$C$6:$C$41,MATCH($E620,CADASTRO_PIVOS!$B$6:$B$41,0)),"?")</f>
        <v>RM04</v>
      </c>
      <c r="G620" s="8" t="str">
        <f aca="false">IFERROR(INDEX(CADASTRO_PIVOS!$D$6:$D$41,MATCH($E620,CADASTRO_PIVOS!$B$6:$B$41,0)),"?")</f>
        <v>TR04</v>
      </c>
      <c r="H620" s="20" t="n">
        <f aca="false">IFERROR(INDEX(CADASTRO_PIVOS!$E$6:$E$41,MATCH($E620,CADASTRO_PIVOS!$B$6:$B$41,0)),0)</f>
        <v>110</v>
      </c>
      <c r="I620" s="16" t="n">
        <f aca="false">IFERROR(SUMIFS(ROTACAO_RDM!$B$6:$B$71,ROTACAO_RDM!$D$6:$D$71,$E620,ROTACAO_RDM!$I$6:$I$71,"&lt;="&amp;$C620+INT(DIAS_POR_SEMANA/2),ROTACAO_RDM!$J$6:$J$71,"&gt;="&amp;$C620+INT(DIAS_POR_SEMANA/2)),0)</f>
        <v>0</v>
      </c>
      <c r="J620" s="16" t="n">
        <f aca="false">IFERROR(MATCH($I620,ROTACAO_RDM!$B$6:$B$71,0),0)</f>
        <v>0</v>
      </c>
      <c r="K620" s="8" t="str">
        <f aca="false">IF($J620=0,"SEM CULTURA",INDEX(ROTACAO_RDM!$F$6:$F$71,$J620))</f>
        <v>SEM CULTURA</v>
      </c>
      <c r="L620" s="8" t="str">
        <f aca="false">IF($J620=0,"",INDEX(ROTACAO_RDM!$G$6:$G$71,$J620))</f>
        <v/>
      </c>
      <c r="M620" s="17" t="str">
        <f aca="false">IF($J620=0,"",INDEX(ROTACAO_RDM!$I$6:$I$71,$J620))</f>
        <v/>
      </c>
      <c r="N620" s="16" t="n">
        <f aca="false">IF($J620=0,0,MAX(0,$C620+INT(DIAS_POR_SEMANA/2)-INDEX(ROTACAO_RDM!$I$6:$I$71,$J620)))</f>
        <v>0</v>
      </c>
      <c r="O620" s="19" t="n">
        <f aca="false">IF($J620=0,0,MIN(1,$N620/MAX(1,INDEX(ROTACAO_RDM!$K$6:$K$71,$J620))))</f>
        <v>0</v>
      </c>
      <c r="P620" s="16" t="n">
        <f aca="false">IF($J620=0,0,IFERROR(MATCH(INDEX(ROTACAO_RDM!$N$6:$N$71,$J620),PARAMETROS_CULTURAS!$B$6:$B$28,0),0))</f>
        <v>0</v>
      </c>
      <c r="Q620" s="8" t="str">
        <f aca="false">IF($P620=0,"-",IF($O620&lt;=INDEX(PARAMETROS_CULTURAS!$F$6:$F$28,$P620),"INICIAL",IF($O620&lt;=INDEX(PARAMETROS_CULTURAS!$F$6:$F$28,$P620)+INDEX(PARAMETROS_CULTURAS!$G$6:$G$28,$P620),"DESENVOLVIMENTO",IF($O620&lt;=INDEX(PARAMETROS_CULTURAS!$F$6:$F$28,$P620)+INDEX(PARAMETROS_CULTURAS!$G$6:$G$28,$P620)+INDEX(PARAMETROS_CULTURAS!$H$6:$H$28,$P620),"MEDIA","FINAL"))))</f>
        <v>-</v>
      </c>
      <c r="R620" s="24" t="n">
        <f aca="false">IF($P620=0,0,IF($O620&lt;=INDEX(PARAMETROS_CULTURAS!$F$6:$F$28,$P620),INDEX(PARAMETROS_CULTURAS!$K$6:$K$28,$P620),IF($O620&lt;=INDEX(PARAMETROS_CULTURAS!$F$6:$F$28,$P620)+INDEX(PARAMETROS_CULTURAS!$G$6:$G$28,$P620),INDEX(PARAMETROS_CULTURAS!$K$6:$K$28,$P620)+(INDEX(PARAMETROS_CULTURAS!$L$6:$L$28,$P620)-INDEX(PARAMETROS_CULTURAS!$K$6:$K$28,$P620))*($O620-INDEX(PARAMETROS_CULTURAS!$F$6:$F$28,$P620))/MAX(INDEX(PARAMETROS_CULTURAS!$G$6:$G$28,$P620),0.0001),IF($O620&lt;=INDEX(PARAMETROS_CULTURAS!$F$6:$F$28,$P620)+INDEX(PARAMETROS_CULTURAS!$G$6:$G$28,$P620)+INDEX(PARAMETROS_CULTURAS!$H$6:$H$28,$P620),INDEX(PARAMETROS_CULTURAS!$L$6:$L$28,$P620),INDEX(PARAMETROS_CULTURAS!$L$6:$L$28,$P620)+(INDEX(PARAMETROS_CULTURAS!$M$6:$M$28,$P620)-INDEX(PARAMETROS_CULTURAS!$L$6:$L$28,$P620))*($O620-INDEX(PARAMETROS_CULTURAS!$F$6:$F$28,$P620)-INDEX(PARAMETROS_CULTURAS!$G$6:$G$28,$P620)-INDEX(PARAMETROS_CULTURAS!$H$6:$H$28,$P620))/MAX(INDEX(PARAMETROS_CULTURAS!$I$6:$I$28,$P620),0.0001)))))</f>
        <v>0</v>
      </c>
      <c r="S620" s="18" t="n">
        <f aca="false">IFERROR(INDEX(SEMANAS!$H$6:$H$71,MATCH($B620,SEMANAS!$B$6:$B$71,0)),0)</f>
        <v>33.6</v>
      </c>
      <c r="T620" s="18" t="n">
        <f aca="false">$R620*$S620</f>
        <v>0</v>
      </c>
      <c r="U620" s="18" t="n">
        <f aca="false">IFERROR(INDEX(SEMANAS!$I$6:$I$71,MATCH($B620,SEMANAS!$B$6:$B$71,0)),0)</f>
        <v>45.15</v>
      </c>
      <c r="V620" s="18" t="n">
        <f aca="false">IFERROR(INDEX(SEMANAS!$J$6:$J$71,MATCH($B620,SEMANAS!$B$6:$B$71,0)),0)</f>
        <v>36.12</v>
      </c>
      <c r="W620" s="18" t="n">
        <f aca="false">MAX(0,$T620-$V620)</f>
        <v>0</v>
      </c>
      <c r="X620" s="19" t="n">
        <f aca="false">IFERROR(INDEX(CADASTRO_PIVOS!$K$6:$K$41,MATCH($E620,CADASTRO_PIVOS!$B$6:$B$41,0)),EFICIENCIA_PADRAO)</f>
        <v>0.85</v>
      </c>
      <c r="Y620" s="18" t="n">
        <f aca="false">IF($X620&lt;=0,0,$W620/$X620)</f>
        <v>0</v>
      </c>
      <c r="Z620" s="16" t="n">
        <f aca="false">$Y620*$H620*MM_PARA_M3_HA</f>
        <v>0</v>
      </c>
      <c r="AA620" s="18" t="n">
        <f aca="false">IFERROR(INDEX(CADASTRO_PIVOS!$I$6:$I$41,MATCH($E620,CADASTRO_PIVOS!$B$6:$B$41,0)),0)</f>
        <v>785.714285714286</v>
      </c>
      <c r="AB620" s="18" t="n">
        <f aca="false">IF($Z620&lt;=0,0,$Z620/$AA620)</f>
        <v>0</v>
      </c>
      <c r="AC620" s="16" t="n">
        <f aca="false">IFERROR(INDEX(SEMANAS!$K$6:$K$71,MATCH($B620,SEMANAS!$B$6:$B$71,0)),0)</f>
        <v>147</v>
      </c>
      <c r="AD620" s="19" t="n">
        <f aca="false">IF($AC620&lt;=0,0,$AB620/$AC620)</f>
        <v>0</v>
      </c>
      <c r="AE620" s="8" t="str">
        <f aca="false">IF($K620="SEM CULTURA","SEM CULTURA",IF($AA620&lt;=0,"DADO PENDENTE",IF($AD620&gt;LIMITE_CRITICO,"INVIAVEL",IF($AD620&gt;LIMITE_ATENCAO,"CRITICO",IF($AD620&gt;LIMITE_CONFORTAVEL,"ATENCAO","OK")))))</f>
        <v>SEM CULTURA</v>
      </c>
      <c r="AF620" s="8" t="str">
        <f aca="false">$B620&amp;"|"&amp;TEXT($AD620,"0.000000")</f>
        <v>21|0.000000</v>
      </c>
      <c r="AG620" s="18" t="n">
        <f aca="false">IF($K620="SEM CULTURA",0,$T620*$H620)</f>
        <v>0</v>
      </c>
      <c r="AH620" s="18" t="n">
        <f aca="false">IF($K620="SEM CULTURA",0,$V620*$H620)</f>
        <v>0</v>
      </c>
      <c r="AI620" s="18" t="n">
        <f aca="false">IF($K620="SEM CULTURA",0,$W620*$H620)</f>
        <v>0</v>
      </c>
      <c r="AJ620" s="18" t="n">
        <f aca="false">IF($K620="SEM CULTURA",0,$S620*$H620)</f>
        <v>0</v>
      </c>
      <c r="AK620" s="8" t="str">
        <f aca="false">$E620&amp;"|"&amp;TEXT($AD620,"0.000000")</f>
        <v>PV 110|0.000000</v>
      </c>
    </row>
    <row r="621" customFormat="false" ht="15" hidden="false" customHeight="false" outlineLevel="0" collapsed="false">
      <c r="B621" s="16" t="n">
        <v>22</v>
      </c>
      <c r="C621" s="17" t="n">
        <f aca="false">DATA_INICIO_SAFRA+($B621-1)*DIAS_POR_SEMANA</f>
        <v>46412</v>
      </c>
      <c r="D621" s="17" t="n">
        <f aca="false">$C621+DIAS_POR_SEMANA-1</f>
        <v>46418</v>
      </c>
      <c r="E621" s="15" t="s">
        <v>268</v>
      </c>
      <c r="F621" s="8" t="str">
        <f aca="false">IFERROR(INDEX(CADASTRO_PIVOS!$C$6:$C$41,MATCH($E621,CADASTRO_PIVOS!$B$6:$B$41,0)),"?")</f>
        <v>RM04</v>
      </c>
      <c r="G621" s="8" t="str">
        <f aca="false">IFERROR(INDEX(CADASTRO_PIVOS!$D$6:$D$41,MATCH($E621,CADASTRO_PIVOS!$B$6:$B$41,0)),"?")</f>
        <v>TR04</v>
      </c>
      <c r="H621" s="20" t="n">
        <f aca="false">IFERROR(INDEX(CADASTRO_PIVOS!$E$6:$E$41,MATCH($E621,CADASTRO_PIVOS!$B$6:$B$41,0)),0)</f>
        <v>110</v>
      </c>
      <c r="I621" s="16" t="n">
        <f aca="false">IFERROR(SUMIFS(ROTACAO_RDM!$B$6:$B$71,ROTACAO_RDM!$D$6:$D$71,$E621,ROTACAO_RDM!$I$6:$I$71,"&lt;="&amp;$C621+INT(DIAS_POR_SEMANA/2),ROTACAO_RDM!$J$6:$J$71,"&gt;="&amp;$C621+INT(DIAS_POR_SEMANA/2)),0)</f>
        <v>0</v>
      </c>
      <c r="J621" s="16" t="n">
        <f aca="false">IFERROR(MATCH($I621,ROTACAO_RDM!$B$6:$B$71,0),0)</f>
        <v>0</v>
      </c>
      <c r="K621" s="8" t="str">
        <f aca="false">IF($J621=0,"SEM CULTURA",INDEX(ROTACAO_RDM!$F$6:$F$71,$J621))</f>
        <v>SEM CULTURA</v>
      </c>
      <c r="L621" s="8" t="str">
        <f aca="false">IF($J621=0,"",INDEX(ROTACAO_RDM!$G$6:$G$71,$J621))</f>
        <v/>
      </c>
      <c r="M621" s="17" t="str">
        <f aca="false">IF($J621=0,"",INDEX(ROTACAO_RDM!$I$6:$I$71,$J621))</f>
        <v/>
      </c>
      <c r="N621" s="16" t="n">
        <f aca="false">IF($J621=0,0,MAX(0,$C621+INT(DIAS_POR_SEMANA/2)-INDEX(ROTACAO_RDM!$I$6:$I$71,$J621)))</f>
        <v>0</v>
      </c>
      <c r="O621" s="19" t="n">
        <f aca="false">IF($J621=0,0,MIN(1,$N621/MAX(1,INDEX(ROTACAO_RDM!$K$6:$K$71,$J621))))</f>
        <v>0</v>
      </c>
      <c r="P621" s="16" t="n">
        <f aca="false">IF($J621=0,0,IFERROR(MATCH(INDEX(ROTACAO_RDM!$N$6:$N$71,$J621),PARAMETROS_CULTURAS!$B$6:$B$28,0),0))</f>
        <v>0</v>
      </c>
      <c r="Q621" s="8" t="str">
        <f aca="false">IF($P621=0,"-",IF($O621&lt;=INDEX(PARAMETROS_CULTURAS!$F$6:$F$28,$P621),"INICIAL",IF($O621&lt;=INDEX(PARAMETROS_CULTURAS!$F$6:$F$28,$P621)+INDEX(PARAMETROS_CULTURAS!$G$6:$G$28,$P621),"DESENVOLVIMENTO",IF($O621&lt;=INDEX(PARAMETROS_CULTURAS!$F$6:$F$28,$P621)+INDEX(PARAMETROS_CULTURAS!$G$6:$G$28,$P621)+INDEX(PARAMETROS_CULTURAS!$H$6:$H$28,$P621),"MEDIA","FINAL"))))</f>
        <v>-</v>
      </c>
      <c r="R621" s="24" t="n">
        <f aca="false">IF($P621=0,0,IF($O621&lt;=INDEX(PARAMETROS_CULTURAS!$F$6:$F$28,$P621),INDEX(PARAMETROS_CULTURAS!$K$6:$K$28,$P621),IF($O621&lt;=INDEX(PARAMETROS_CULTURAS!$F$6:$F$28,$P621)+INDEX(PARAMETROS_CULTURAS!$G$6:$G$28,$P621),INDEX(PARAMETROS_CULTURAS!$K$6:$K$28,$P621)+(INDEX(PARAMETROS_CULTURAS!$L$6:$L$28,$P621)-INDEX(PARAMETROS_CULTURAS!$K$6:$K$28,$P621))*($O621-INDEX(PARAMETROS_CULTURAS!$F$6:$F$28,$P621))/MAX(INDEX(PARAMETROS_CULTURAS!$G$6:$G$28,$P621),0.0001),IF($O621&lt;=INDEX(PARAMETROS_CULTURAS!$F$6:$F$28,$P621)+INDEX(PARAMETROS_CULTURAS!$G$6:$G$28,$P621)+INDEX(PARAMETROS_CULTURAS!$H$6:$H$28,$P621),INDEX(PARAMETROS_CULTURAS!$L$6:$L$28,$P621),INDEX(PARAMETROS_CULTURAS!$L$6:$L$28,$P621)+(INDEX(PARAMETROS_CULTURAS!$M$6:$M$28,$P621)-INDEX(PARAMETROS_CULTURAS!$L$6:$L$28,$P621))*($O621-INDEX(PARAMETROS_CULTURAS!$F$6:$F$28,$P621)-INDEX(PARAMETROS_CULTURAS!$G$6:$G$28,$P621)-INDEX(PARAMETROS_CULTURAS!$H$6:$H$28,$P621))/MAX(INDEX(PARAMETROS_CULTURAS!$I$6:$I$28,$P621),0.0001)))))</f>
        <v>0</v>
      </c>
      <c r="S621" s="18" t="n">
        <f aca="false">IFERROR(INDEX(SEMANAS!$H$6:$H$71,MATCH($B621,SEMANAS!$B$6:$B$71,0)),0)</f>
        <v>33.6</v>
      </c>
      <c r="T621" s="18" t="n">
        <f aca="false">$R621*$S621</f>
        <v>0</v>
      </c>
      <c r="U621" s="18" t="n">
        <f aca="false">IFERROR(INDEX(SEMANAS!$I$6:$I$71,MATCH($B621,SEMANAS!$B$6:$B$71,0)),0)</f>
        <v>45.15</v>
      </c>
      <c r="V621" s="18" t="n">
        <f aca="false">IFERROR(INDEX(SEMANAS!$J$6:$J$71,MATCH($B621,SEMANAS!$B$6:$B$71,0)),0)</f>
        <v>36.12</v>
      </c>
      <c r="W621" s="18" t="n">
        <f aca="false">MAX(0,$T621-$V621)</f>
        <v>0</v>
      </c>
      <c r="X621" s="19" t="n">
        <f aca="false">IFERROR(INDEX(CADASTRO_PIVOS!$K$6:$K$41,MATCH($E621,CADASTRO_PIVOS!$B$6:$B$41,0)),EFICIENCIA_PADRAO)</f>
        <v>0.85</v>
      </c>
      <c r="Y621" s="18" t="n">
        <f aca="false">IF($X621&lt;=0,0,$W621/$X621)</f>
        <v>0</v>
      </c>
      <c r="Z621" s="16" t="n">
        <f aca="false">$Y621*$H621*MM_PARA_M3_HA</f>
        <v>0</v>
      </c>
      <c r="AA621" s="18" t="n">
        <f aca="false">IFERROR(INDEX(CADASTRO_PIVOS!$I$6:$I$41,MATCH($E621,CADASTRO_PIVOS!$B$6:$B$41,0)),0)</f>
        <v>785.714285714286</v>
      </c>
      <c r="AB621" s="18" t="n">
        <f aca="false">IF($Z621&lt;=0,0,$Z621/$AA621)</f>
        <v>0</v>
      </c>
      <c r="AC621" s="16" t="n">
        <f aca="false">IFERROR(INDEX(SEMANAS!$K$6:$K$71,MATCH($B621,SEMANAS!$B$6:$B$71,0)),0)</f>
        <v>147</v>
      </c>
      <c r="AD621" s="19" t="n">
        <f aca="false">IF($AC621&lt;=0,0,$AB621/$AC621)</f>
        <v>0</v>
      </c>
      <c r="AE621" s="8" t="str">
        <f aca="false">IF($K621="SEM CULTURA","SEM CULTURA",IF($AA621&lt;=0,"DADO PENDENTE",IF($AD621&gt;LIMITE_CRITICO,"INVIAVEL",IF($AD621&gt;LIMITE_ATENCAO,"CRITICO",IF($AD621&gt;LIMITE_CONFORTAVEL,"ATENCAO","OK")))))</f>
        <v>SEM CULTURA</v>
      </c>
      <c r="AF621" s="8" t="str">
        <f aca="false">$B621&amp;"|"&amp;TEXT($AD621,"0.000000")</f>
        <v>22|0.000000</v>
      </c>
      <c r="AG621" s="18" t="n">
        <f aca="false">IF($K621="SEM CULTURA",0,$T621*$H621)</f>
        <v>0</v>
      </c>
      <c r="AH621" s="18" t="n">
        <f aca="false">IF($K621="SEM CULTURA",0,$V621*$H621)</f>
        <v>0</v>
      </c>
      <c r="AI621" s="18" t="n">
        <f aca="false">IF($K621="SEM CULTURA",0,$W621*$H621)</f>
        <v>0</v>
      </c>
      <c r="AJ621" s="18" t="n">
        <f aca="false">IF($K621="SEM CULTURA",0,$S621*$H621)</f>
        <v>0</v>
      </c>
      <c r="AK621" s="8" t="str">
        <f aca="false">$E621&amp;"|"&amp;TEXT($AD621,"0.000000")</f>
        <v>PV 110|0.000000</v>
      </c>
    </row>
    <row r="622" customFormat="false" ht="15" hidden="false" customHeight="false" outlineLevel="0" collapsed="false">
      <c r="B622" s="16" t="n">
        <v>23</v>
      </c>
      <c r="C622" s="17" t="n">
        <f aca="false">DATA_INICIO_SAFRA+($B622-1)*DIAS_POR_SEMANA</f>
        <v>46419</v>
      </c>
      <c r="D622" s="17" t="n">
        <f aca="false">$C622+DIAS_POR_SEMANA-1</f>
        <v>46425</v>
      </c>
      <c r="E622" s="15" t="s">
        <v>268</v>
      </c>
      <c r="F622" s="8" t="str">
        <f aca="false">IFERROR(INDEX(CADASTRO_PIVOS!$C$6:$C$41,MATCH($E622,CADASTRO_PIVOS!$B$6:$B$41,0)),"?")</f>
        <v>RM04</v>
      </c>
      <c r="G622" s="8" t="str">
        <f aca="false">IFERROR(INDEX(CADASTRO_PIVOS!$D$6:$D$41,MATCH($E622,CADASTRO_PIVOS!$B$6:$B$41,0)),"?")</f>
        <v>TR04</v>
      </c>
      <c r="H622" s="20" t="n">
        <f aca="false">IFERROR(INDEX(CADASTRO_PIVOS!$E$6:$E$41,MATCH($E622,CADASTRO_PIVOS!$B$6:$B$41,0)),0)</f>
        <v>110</v>
      </c>
      <c r="I622" s="16" t="n">
        <f aca="false">IFERROR(SUMIFS(ROTACAO_RDM!$B$6:$B$71,ROTACAO_RDM!$D$6:$D$71,$E622,ROTACAO_RDM!$I$6:$I$71,"&lt;="&amp;$C622+INT(DIAS_POR_SEMANA/2),ROTACAO_RDM!$J$6:$J$71,"&gt;="&amp;$C622+INT(DIAS_POR_SEMANA/2)),0)</f>
        <v>18</v>
      </c>
      <c r="J622" s="16" t="n">
        <f aca="false">IFERROR(MATCH($I622,ROTACAO_RDM!$B$6:$B$71,0),0)</f>
        <v>18</v>
      </c>
      <c r="K622" s="8" t="str">
        <f aca="false">IF($J622=0,"SEM CULTURA",INDEX(ROTACAO_RDM!$F$6:$F$71,$J622))</f>
        <v>ALGODAO</v>
      </c>
      <c r="L622" s="8" t="str">
        <f aca="false">IF($J622=0,"",INDEX(ROTACAO_RDM!$G$6:$G$71,$J622))</f>
        <v>FM 933 STP</v>
      </c>
      <c r="M622" s="17" t="n">
        <f aca="false">IF($J622=0,"",INDEX(ROTACAO_RDM!$I$6:$I$71,$J622))</f>
        <v>46422</v>
      </c>
      <c r="N622" s="16" t="n">
        <f aca="false">IF($J622=0,0,MAX(0,$C622+INT(DIAS_POR_SEMANA/2)-INDEX(ROTACAO_RDM!$I$6:$I$71,$J622)))</f>
        <v>0</v>
      </c>
      <c r="O622" s="19" t="n">
        <f aca="false">IF($J622=0,0,MIN(1,$N622/MAX(1,INDEX(ROTACAO_RDM!$K$6:$K$71,$J622))))</f>
        <v>0</v>
      </c>
      <c r="P622" s="16" t="n">
        <f aca="false">IF($J622=0,0,IFERROR(MATCH(INDEX(ROTACAO_RDM!$N$6:$N$71,$J622),PARAMETROS_CULTURAS!$B$6:$B$28,0),0))</f>
        <v>5</v>
      </c>
      <c r="Q622" s="8" t="str">
        <f aca="false">IF($P622=0,"-",IF($O622&lt;=INDEX(PARAMETROS_CULTURAS!$F$6:$F$28,$P622),"INICIAL",IF($O622&lt;=INDEX(PARAMETROS_CULTURAS!$F$6:$F$28,$P622)+INDEX(PARAMETROS_CULTURAS!$G$6:$G$28,$P622),"DESENVOLVIMENTO",IF($O622&lt;=INDEX(PARAMETROS_CULTURAS!$F$6:$F$28,$P622)+INDEX(PARAMETROS_CULTURAS!$G$6:$G$28,$P622)+INDEX(PARAMETROS_CULTURAS!$H$6:$H$28,$P622),"MEDIA","FINAL"))))</f>
        <v>INICIAL</v>
      </c>
      <c r="R622" s="24" t="n">
        <f aca="false">IF($P622=0,0,IF($O622&lt;=INDEX(PARAMETROS_CULTURAS!$F$6:$F$28,$P622),INDEX(PARAMETROS_CULTURAS!$K$6:$K$28,$P622),IF($O622&lt;=INDEX(PARAMETROS_CULTURAS!$F$6:$F$28,$P622)+INDEX(PARAMETROS_CULTURAS!$G$6:$G$28,$P622),INDEX(PARAMETROS_CULTURAS!$K$6:$K$28,$P622)+(INDEX(PARAMETROS_CULTURAS!$L$6:$L$28,$P622)-INDEX(PARAMETROS_CULTURAS!$K$6:$K$28,$P622))*($O622-INDEX(PARAMETROS_CULTURAS!$F$6:$F$28,$P622))/MAX(INDEX(PARAMETROS_CULTURAS!$G$6:$G$28,$P622),0.0001),IF($O622&lt;=INDEX(PARAMETROS_CULTURAS!$F$6:$F$28,$P622)+INDEX(PARAMETROS_CULTURAS!$G$6:$G$28,$P622)+INDEX(PARAMETROS_CULTURAS!$H$6:$H$28,$P622),INDEX(PARAMETROS_CULTURAS!$L$6:$L$28,$P622),INDEX(PARAMETROS_CULTURAS!$L$6:$L$28,$P622)+(INDEX(PARAMETROS_CULTURAS!$M$6:$M$28,$P622)-INDEX(PARAMETROS_CULTURAS!$L$6:$L$28,$P622))*($O622-INDEX(PARAMETROS_CULTURAS!$F$6:$F$28,$P622)-INDEX(PARAMETROS_CULTURAS!$G$6:$G$28,$P622)-INDEX(PARAMETROS_CULTURAS!$H$6:$H$28,$P622))/MAX(INDEX(PARAMETROS_CULTURAS!$I$6:$I$28,$P622),0.0001)))))</f>
        <v>0.35</v>
      </c>
      <c r="S622" s="18" t="n">
        <f aca="false">IFERROR(INDEX(SEMANAS!$H$6:$H$71,MATCH($B622,SEMANAS!$B$6:$B$71,0)),0)</f>
        <v>32.9</v>
      </c>
      <c r="T622" s="18" t="n">
        <f aca="false">$R622*$S622</f>
        <v>11.515</v>
      </c>
      <c r="U622" s="18" t="n">
        <f aca="false">IFERROR(INDEX(SEMANAS!$I$6:$I$71,MATCH($B622,SEMANAS!$B$6:$B$71,0)),0)</f>
        <v>39.97</v>
      </c>
      <c r="V622" s="18" t="n">
        <f aca="false">IFERROR(INDEX(SEMANAS!$J$6:$J$71,MATCH($B622,SEMANAS!$B$6:$B$71,0)),0)</f>
        <v>31.976</v>
      </c>
      <c r="W622" s="18" t="n">
        <f aca="false">MAX(0,$T622-$V622)</f>
        <v>0</v>
      </c>
      <c r="X622" s="19" t="n">
        <f aca="false">IFERROR(INDEX(CADASTRO_PIVOS!$K$6:$K$41,MATCH($E622,CADASTRO_PIVOS!$B$6:$B$41,0)),EFICIENCIA_PADRAO)</f>
        <v>0.85</v>
      </c>
      <c r="Y622" s="18" t="n">
        <f aca="false">IF($X622&lt;=0,0,$W622/$X622)</f>
        <v>0</v>
      </c>
      <c r="Z622" s="16" t="n">
        <f aca="false">$Y622*$H622*MM_PARA_M3_HA</f>
        <v>0</v>
      </c>
      <c r="AA622" s="18" t="n">
        <f aca="false">IFERROR(INDEX(CADASTRO_PIVOS!$I$6:$I$41,MATCH($E622,CADASTRO_PIVOS!$B$6:$B$41,0)),0)</f>
        <v>785.714285714286</v>
      </c>
      <c r="AB622" s="18" t="n">
        <f aca="false">IF($Z622&lt;=0,0,$Z622/$AA622)</f>
        <v>0</v>
      </c>
      <c r="AC622" s="16" t="n">
        <f aca="false">IFERROR(INDEX(SEMANAS!$K$6:$K$71,MATCH($B622,SEMANAS!$B$6:$B$71,0)),0)</f>
        <v>147</v>
      </c>
      <c r="AD622" s="19" t="n">
        <f aca="false">IF($AC622&lt;=0,0,$AB622/$AC622)</f>
        <v>0</v>
      </c>
      <c r="AE622" s="8" t="str">
        <f aca="false">IF($K622="SEM CULTURA","SEM CULTURA",IF($AA622&lt;=0,"DADO PENDENTE",IF($AD622&gt;LIMITE_CRITICO,"INVIAVEL",IF($AD622&gt;LIMITE_ATENCAO,"CRITICO",IF($AD622&gt;LIMITE_CONFORTAVEL,"ATENCAO","OK")))))</f>
        <v>OK</v>
      </c>
      <c r="AF622" s="8" t="str">
        <f aca="false">$B622&amp;"|"&amp;TEXT($AD622,"0.000000")</f>
        <v>23|0.000000</v>
      </c>
      <c r="AG622" s="18" t="n">
        <f aca="false">IF($K622="SEM CULTURA",0,$T622*$H622)</f>
        <v>1266.65</v>
      </c>
      <c r="AH622" s="18" t="n">
        <f aca="false">IF($K622="SEM CULTURA",0,$V622*$H622)</f>
        <v>3517.36</v>
      </c>
      <c r="AI622" s="18" t="n">
        <f aca="false">IF($K622="SEM CULTURA",0,$W622*$H622)</f>
        <v>0</v>
      </c>
      <c r="AJ622" s="18" t="n">
        <f aca="false">IF($K622="SEM CULTURA",0,$S622*$H622)</f>
        <v>3619</v>
      </c>
      <c r="AK622" s="8" t="str">
        <f aca="false">$E622&amp;"|"&amp;TEXT($AD622,"0.000000")</f>
        <v>PV 110|0.000000</v>
      </c>
    </row>
    <row r="623" customFormat="false" ht="15" hidden="false" customHeight="false" outlineLevel="0" collapsed="false">
      <c r="B623" s="16" t="n">
        <v>24</v>
      </c>
      <c r="C623" s="17" t="n">
        <f aca="false">DATA_INICIO_SAFRA+($B623-1)*DIAS_POR_SEMANA</f>
        <v>46426</v>
      </c>
      <c r="D623" s="17" t="n">
        <f aca="false">$C623+DIAS_POR_SEMANA-1</f>
        <v>46432</v>
      </c>
      <c r="E623" s="15" t="s">
        <v>268</v>
      </c>
      <c r="F623" s="8" t="str">
        <f aca="false">IFERROR(INDEX(CADASTRO_PIVOS!$C$6:$C$41,MATCH($E623,CADASTRO_PIVOS!$B$6:$B$41,0)),"?")</f>
        <v>RM04</v>
      </c>
      <c r="G623" s="8" t="str">
        <f aca="false">IFERROR(INDEX(CADASTRO_PIVOS!$D$6:$D$41,MATCH($E623,CADASTRO_PIVOS!$B$6:$B$41,0)),"?")</f>
        <v>TR04</v>
      </c>
      <c r="H623" s="20" t="n">
        <f aca="false">IFERROR(INDEX(CADASTRO_PIVOS!$E$6:$E$41,MATCH($E623,CADASTRO_PIVOS!$B$6:$B$41,0)),0)</f>
        <v>110</v>
      </c>
      <c r="I623" s="16" t="n">
        <f aca="false">IFERROR(SUMIFS(ROTACAO_RDM!$B$6:$B$71,ROTACAO_RDM!$D$6:$D$71,$E623,ROTACAO_RDM!$I$6:$I$71,"&lt;="&amp;$C623+INT(DIAS_POR_SEMANA/2),ROTACAO_RDM!$J$6:$J$71,"&gt;="&amp;$C623+INT(DIAS_POR_SEMANA/2)),0)</f>
        <v>18</v>
      </c>
      <c r="J623" s="16" t="n">
        <f aca="false">IFERROR(MATCH($I623,ROTACAO_RDM!$B$6:$B$71,0),0)</f>
        <v>18</v>
      </c>
      <c r="K623" s="8" t="str">
        <f aca="false">IF($J623=0,"SEM CULTURA",INDEX(ROTACAO_RDM!$F$6:$F$71,$J623))</f>
        <v>ALGODAO</v>
      </c>
      <c r="L623" s="8" t="str">
        <f aca="false">IF($J623=0,"",INDEX(ROTACAO_RDM!$G$6:$G$71,$J623))</f>
        <v>FM 933 STP</v>
      </c>
      <c r="M623" s="17" t="n">
        <f aca="false">IF($J623=0,"",INDEX(ROTACAO_RDM!$I$6:$I$71,$J623))</f>
        <v>46422</v>
      </c>
      <c r="N623" s="16" t="n">
        <f aca="false">IF($J623=0,0,MAX(0,$C623+INT(DIAS_POR_SEMANA/2)-INDEX(ROTACAO_RDM!$I$6:$I$71,$J623)))</f>
        <v>7</v>
      </c>
      <c r="O623" s="19" t="n">
        <f aca="false">IF($J623=0,0,MIN(1,$N623/MAX(1,INDEX(ROTACAO_RDM!$K$6:$K$71,$J623))))</f>
        <v>0.0358974358974359</v>
      </c>
      <c r="P623" s="16" t="n">
        <f aca="false">IF($J623=0,0,IFERROR(MATCH(INDEX(ROTACAO_RDM!$N$6:$N$71,$J623),PARAMETROS_CULTURAS!$B$6:$B$28,0),0))</f>
        <v>5</v>
      </c>
      <c r="Q623" s="8" t="str">
        <f aca="false">IF($P623=0,"-",IF($O623&lt;=INDEX(PARAMETROS_CULTURAS!$F$6:$F$28,$P623),"INICIAL",IF($O623&lt;=INDEX(PARAMETROS_CULTURAS!$F$6:$F$28,$P623)+INDEX(PARAMETROS_CULTURAS!$G$6:$G$28,$P623),"DESENVOLVIMENTO",IF($O623&lt;=INDEX(PARAMETROS_CULTURAS!$F$6:$F$28,$P623)+INDEX(PARAMETROS_CULTURAS!$G$6:$G$28,$P623)+INDEX(PARAMETROS_CULTURAS!$H$6:$H$28,$P623),"MEDIA","FINAL"))))</f>
        <v>INICIAL</v>
      </c>
      <c r="R623" s="24" t="n">
        <f aca="false">IF($P623=0,0,IF($O623&lt;=INDEX(PARAMETROS_CULTURAS!$F$6:$F$28,$P623),INDEX(PARAMETROS_CULTURAS!$K$6:$K$28,$P623),IF($O623&lt;=INDEX(PARAMETROS_CULTURAS!$F$6:$F$28,$P623)+INDEX(PARAMETROS_CULTURAS!$G$6:$G$28,$P623),INDEX(PARAMETROS_CULTURAS!$K$6:$K$28,$P623)+(INDEX(PARAMETROS_CULTURAS!$L$6:$L$28,$P623)-INDEX(PARAMETROS_CULTURAS!$K$6:$K$28,$P623))*($O623-INDEX(PARAMETROS_CULTURAS!$F$6:$F$28,$P623))/MAX(INDEX(PARAMETROS_CULTURAS!$G$6:$G$28,$P623),0.0001),IF($O623&lt;=INDEX(PARAMETROS_CULTURAS!$F$6:$F$28,$P623)+INDEX(PARAMETROS_CULTURAS!$G$6:$G$28,$P623)+INDEX(PARAMETROS_CULTURAS!$H$6:$H$28,$P623),INDEX(PARAMETROS_CULTURAS!$L$6:$L$28,$P623),INDEX(PARAMETROS_CULTURAS!$L$6:$L$28,$P623)+(INDEX(PARAMETROS_CULTURAS!$M$6:$M$28,$P623)-INDEX(PARAMETROS_CULTURAS!$L$6:$L$28,$P623))*($O623-INDEX(PARAMETROS_CULTURAS!$F$6:$F$28,$P623)-INDEX(PARAMETROS_CULTURAS!$G$6:$G$28,$P623)-INDEX(PARAMETROS_CULTURAS!$H$6:$H$28,$P623))/MAX(INDEX(PARAMETROS_CULTURAS!$I$6:$I$28,$P623),0.0001)))))</f>
        <v>0.35</v>
      </c>
      <c r="S623" s="18" t="n">
        <f aca="false">IFERROR(INDEX(SEMANAS!$H$6:$H$71,MATCH($B623,SEMANAS!$B$6:$B$71,0)),0)</f>
        <v>32.9</v>
      </c>
      <c r="T623" s="18" t="n">
        <f aca="false">$R623*$S623</f>
        <v>11.515</v>
      </c>
      <c r="U623" s="18" t="n">
        <f aca="false">IFERROR(INDEX(SEMANAS!$I$6:$I$71,MATCH($B623,SEMANAS!$B$6:$B$71,0)),0)</f>
        <v>39.97</v>
      </c>
      <c r="V623" s="18" t="n">
        <f aca="false">IFERROR(INDEX(SEMANAS!$J$6:$J$71,MATCH($B623,SEMANAS!$B$6:$B$71,0)),0)</f>
        <v>31.976</v>
      </c>
      <c r="W623" s="18" t="n">
        <f aca="false">MAX(0,$T623-$V623)</f>
        <v>0</v>
      </c>
      <c r="X623" s="19" t="n">
        <f aca="false">IFERROR(INDEX(CADASTRO_PIVOS!$K$6:$K$41,MATCH($E623,CADASTRO_PIVOS!$B$6:$B$41,0)),EFICIENCIA_PADRAO)</f>
        <v>0.85</v>
      </c>
      <c r="Y623" s="18" t="n">
        <f aca="false">IF($X623&lt;=0,0,$W623/$X623)</f>
        <v>0</v>
      </c>
      <c r="Z623" s="16" t="n">
        <f aca="false">$Y623*$H623*MM_PARA_M3_HA</f>
        <v>0</v>
      </c>
      <c r="AA623" s="18" t="n">
        <f aca="false">IFERROR(INDEX(CADASTRO_PIVOS!$I$6:$I$41,MATCH($E623,CADASTRO_PIVOS!$B$6:$B$41,0)),0)</f>
        <v>785.714285714286</v>
      </c>
      <c r="AB623" s="18" t="n">
        <f aca="false">IF($Z623&lt;=0,0,$Z623/$AA623)</f>
        <v>0</v>
      </c>
      <c r="AC623" s="16" t="n">
        <f aca="false">IFERROR(INDEX(SEMANAS!$K$6:$K$71,MATCH($B623,SEMANAS!$B$6:$B$71,0)),0)</f>
        <v>147</v>
      </c>
      <c r="AD623" s="19" t="n">
        <f aca="false">IF($AC623&lt;=0,0,$AB623/$AC623)</f>
        <v>0</v>
      </c>
      <c r="AE623" s="8" t="str">
        <f aca="false">IF($K623="SEM CULTURA","SEM CULTURA",IF($AA623&lt;=0,"DADO PENDENTE",IF($AD623&gt;LIMITE_CRITICO,"INVIAVEL",IF($AD623&gt;LIMITE_ATENCAO,"CRITICO",IF($AD623&gt;LIMITE_CONFORTAVEL,"ATENCAO","OK")))))</f>
        <v>OK</v>
      </c>
      <c r="AF623" s="8" t="str">
        <f aca="false">$B623&amp;"|"&amp;TEXT($AD623,"0.000000")</f>
        <v>24|0.000000</v>
      </c>
      <c r="AG623" s="18" t="n">
        <f aca="false">IF($K623="SEM CULTURA",0,$T623*$H623)</f>
        <v>1266.65</v>
      </c>
      <c r="AH623" s="18" t="n">
        <f aca="false">IF($K623="SEM CULTURA",0,$V623*$H623)</f>
        <v>3517.36</v>
      </c>
      <c r="AI623" s="18" t="n">
        <f aca="false">IF($K623="SEM CULTURA",0,$W623*$H623)</f>
        <v>0</v>
      </c>
      <c r="AJ623" s="18" t="n">
        <f aca="false">IF($K623="SEM CULTURA",0,$S623*$H623)</f>
        <v>3619</v>
      </c>
      <c r="AK623" s="8" t="str">
        <f aca="false">$E623&amp;"|"&amp;TEXT($AD623,"0.000000")</f>
        <v>PV 110|0.000000</v>
      </c>
    </row>
    <row r="624" customFormat="false" ht="15" hidden="false" customHeight="false" outlineLevel="0" collapsed="false">
      <c r="B624" s="16" t="n">
        <v>25</v>
      </c>
      <c r="C624" s="17" t="n">
        <f aca="false">DATA_INICIO_SAFRA+($B624-1)*DIAS_POR_SEMANA</f>
        <v>46433</v>
      </c>
      <c r="D624" s="17" t="n">
        <f aca="false">$C624+DIAS_POR_SEMANA-1</f>
        <v>46439</v>
      </c>
      <c r="E624" s="15" t="s">
        <v>268</v>
      </c>
      <c r="F624" s="8" t="str">
        <f aca="false">IFERROR(INDEX(CADASTRO_PIVOS!$C$6:$C$41,MATCH($E624,CADASTRO_PIVOS!$B$6:$B$41,0)),"?")</f>
        <v>RM04</v>
      </c>
      <c r="G624" s="8" t="str">
        <f aca="false">IFERROR(INDEX(CADASTRO_PIVOS!$D$6:$D$41,MATCH($E624,CADASTRO_PIVOS!$B$6:$B$41,0)),"?")</f>
        <v>TR04</v>
      </c>
      <c r="H624" s="20" t="n">
        <f aca="false">IFERROR(INDEX(CADASTRO_PIVOS!$E$6:$E$41,MATCH($E624,CADASTRO_PIVOS!$B$6:$B$41,0)),0)</f>
        <v>110</v>
      </c>
      <c r="I624" s="16" t="n">
        <f aca="false">IFERROR(SUMIFS(ROTACAO_RDM!$B$6:$B$71,ROTACAO_RDM!$D$6:$D$71,$E624,ROTACAO_RDM!$I$6:$I$71,"&lt;="&amp;$C624+INT(DIAS_POR_SEMANA/2),ROTACAO_RDM!$J$6:$J$71,"&gt;="&amp;$C624+INT(DIAS_POR_SEMANA/2)),0)</f>
        <v>18</v>
      </c>
      <c r="J624" s="16" t="n">
        <f aca="false">IFERROR(MATCH($I624,ROTACAO_RDM!$B$6:$B$71,0),0)</f>
        <v>18</v>
      </c>
      <c r="K624" s="8" t="str">
        <f aca="false">IF($J624=0,"SEM CULTURA",INDEX(ROTACAO_RDM!$F$6:$F$71,$J624))</f>
        <v>ALGODAO</v>
      </c>
      <c r="L624" s="8" t="str">
        <f aca="false">IF($J624=0,"",INDEX(ROTACAO_RDM!$G$6:$G$71,$J624))</f>
        <v>FM 933 STP</v>
      </c>
      <c r="M624" s="17" t="n">
        <f aca="false">IF($J624=0,"",INDEX(ROTACAO_RDM!$I$6:$I$71,$J624))</f>
        <v>46422</v>
      </c>
      <c r="N624" s="16" t="n">
        <f aca="false">IF($J624=0,0,MAX(0,$C624+INT(DIAS_POR_SEMANA/2)-INDEX(ROTACAO_RDM!$I$6:$I$71,$J624)))</f>
        <v>14</v>
      </c>
      <c r="O624" s="19" t="n">
        <f aca="false">IF($J624=0,0,MIN(1,$N624/MAX(1,INDEX(ROTACAO_RDM!$K$6:$K$71,$J624))))</f>
        <v>0.0717948717948718</v>
      </c>
      <c r="P624" s="16" t="n">
        <f aca="false">IF($J624=0,0,IFERROR(MATCH(INDEX(ROTACAO_RDM!$N$6:$N$71,$J624),PARAMETROS_CULTURAS!$B$6:$B$28,0),0))</f>
        <v>5</v>
      </c>
      <c r="Q624" s="8" t="str">
        <f aca="false">IF($P624=0,"-",IF($O624&lt;=INDEX(PARAMETROS_CULTURAS!$F$6:$F$28,$P624),"INICIAL",IF($O624&lt;=INDEX(PARAMETROS_CULTURAS!$F$6:$F$28,$P624)+INDEX(PARAMETROS_CULTURAS!$G$6:$G$28,$P624),"DESENVOLVIMENTO",IF($O624&lt;=INDEX(PARAMETROS_CULTURAS!$F$6:$F$28,$P624)+INDEX(PARAMETROS_CULTURAS!$G$6:$G$28,$P624)+INDEX(PARAMETROS_CULTURAS!$H$6:$H$28,$P624),"MEDIA","FINAL"))))</f>
        <v>INICIAL</v>
      </c>
      <c r="R624" s="24" t="n">
        <f aca="false">IF($P624=0,0,IF($O624&lt;=INDEX(PARAMETROS_CULTURAS!$F$6:$F$28,$P624),INDEX(PARAMETROS_CULTURAS!$K$6:$K$28,$P624),IF($O624&lt;=INDEX(PARAMETROS_CULTURAS!$F$6:$F$28,$P624)+INDEX(PARAMETROS_CULTURAS!$G$6:$G$28,$P624),INDEX(PARAMETROS_CULTURAS!$K$6:$K$28,$P624)+(INDEX(PARAMETROS_CULTURAS!$L$6:$L$28,$P624)-INDEX(PARAMETROS_CULTURAS!$K$6:$K$28,$P624))*($O624-INDEX(PARAMETROS_CULTURAS!$F$6:$F$28,$P624))/MAX(INDEX(PARAMETROS_CULTURAS!$G$6:$G$28,$P624),0.0001),IF($O624&lt;=INDEX(PARAMETROS_CULTURAS!$F$6:$F$28,$P624)+INDEX(PARAMETROS_CULTURAS!$G$6:$G$28,$P624)+INDEX(PARAMETROS_CULTURAS!$H$6:$H$28,$P624),INDEX(PARAMETROS_CULTURAS!$L$6:$L$28,$P624),INDEX(PARAMETROS_CULTURAS!$L$6:$L$28,$P624)+(INDEX(PARAMETROS_CULTURAS!$M$6:$M$28,$P624)-INDEX(PARAMETROS_CULTURAS!$L$6:$L$28,$P624))*($O624-INDEX(PARAMETROS_CULTURAS!$F$6:$F$28,$P624)-INDEX(PARAMETROS_CULTURAS!$G$6:$G$28,$P624)-INDEX(PARAMETROS_CULTURAS!$H$6:$H$28,$P624))/MAX(INDEX(PARAMETROS_CULTURAS!$I$6:$I$28,$P624),0.0001)))))</f>
        <v>0.35</v>
      </c>
      <c r="S624" s="18" t="n">
        <f aca="false">IFERROR(INDEX(SEMANAS!$H$6:$H$71,MATCH($B624,SEMANAS!$B$6:$B$71,0)),0)</f>
        <v>32.9</v>
      </c>
      <c r="T624" s="18" t="n">
        <f aca="false">$R624*$S624</f>
        <v>11.515</v>
      </c>
      <c r="U624" s="18" t="n">
        <f aca="false">IFERROR(INDEX(SEMANAS!$I$6:$I$71,MATCH($B624,SEMANAS!$B$6:$B$71,0)),0)</f>
        <v>39.97</v>
      </c>
      <c r="V624" s="18" t="n">
        <f aca="false">IFERROR(INDEX(SEMANAS!$J$6:$J$71,MATCH($B624,SEMANAS!$B$6:$B$71,0)),0)</f>
        <v>31.976</v>
      </c>
      <c r="W624" s="18" t="n">
        <f aca="false">MAX(0,$T624-$V624)</f>
        <v>0</v>
      </c>
      <c r="X624" s="19" t="n">
        <f aca="false">IFERROR(INDEX(CADASTRO_PIVOS!$K$6:$K$41,MATCH($E624,CADASTRO_PIVOS!$B$6:$B$41,0)),EFICIENCIA_PADRAO)</f>
        <v>0.85</v>
      </c>
      <c r="Y624" s="18" t="n">
        <f aca="false">IF($X624&lt;=0,0,$W624/$X624)</f>
        <v>0</v>
      </c>
      <c r="Z624" s="16" t="n">
        <f aca="false">$Y624*$H624*MM_PARA_M3_HA</f>
        <v>0</v>
      </c>
      <c r="AA624" s="18" t="n">
        <f aca="false">IFERROR(INDEX(CADASTRO_PIVOS!$I$6:$I$41,MATCH($E624,CADASTRO_PIVOS!$B$6:$B$41,0)),0)</f>
        <v>785.714285714286</v>
      </c>
      <c r="AB624" s="18" t="n">
        <f aca="false">IF($Z624&lt;=0,0,$Z624/$AA624)</f>
        <v>0</v>
      </c>
      <c r="AC624" s="16" t="n">
        <f aca="false">IFERROR(INDEX(SEMANAS!$K$6:$K$71,MATCH($B624,SEMANAS!$B$6:$B$71,0)),0)</f>
        <v>147</v>
      </c>
      <c r="AD624" s="19" t="n">
        <f aca="false">IF($AC624&lt;=0,0,$AB624/$AC624)</f>
        <v>0</v>
      </c>
      <c r="AE624" s="8" t="str">
        <f aca="false">IF($K624="SEM CULTURA","SEM CULTURA",IF($AA624&lt;=0,"DADO PENDENTE",IF($AD624&gt;LIMITE_CRITICO,"INVIAVEL",IF($AD624&gt;LIMITE_ATENCAO,"CRITICO",IF($AD624&gt;LIMITE_CONFORTAVEL,"ATENCAO","OK")))))</f>
        <v>OK</v>
      </c>
      <c r="AF624" s="8" t="str">
        <f aca="false">$B624&amp;"|"&amp;TEXT($AD624,"0.000000")</f>
        <v>25|0.000000</v>
      </c>
      <c r="AG624" s="18" t="n">
        <f aca="false">IF($K624="SEM CULTURA",0,$T624*$H624)</f>
        <v>1266.65</v>
      </c>
      <c r="AH624" s="18" t="n">
        <f aca="false">IF($K624="SEM CULTURA",0,$V624*$H624)</f>
        <v>3517.36</v>
      </c>
      <c r="AI624" s="18" t="n">
        <f aca="false">IF($K624="SEM CULTURA",0,$W624*$H624)</f>
        <v>0</v>
      </c>
      <c r="AJ624" s="18" t="n">
        <f aca="false">IF($K624="SEM CULTURA",0,$S624*$H624)</f>
        <v>3619</v>
      </c>
      <c r="AK624" s="8" t="str">
        <f aca="false">$E624&amp;"|"&amp;TEXT($AD624,"0.000000")</f>
        <v>PV 110|0.000000</v>
      </c>
    </row>
    <row r="625" customFormat="false" ht="15" hidden="false" customHeight="false" outlineLevel="0" collapsed="false">
      <c r="B625" s="16" t="n">
        <v>26</v>
      </c>
      <c r="C625" s="17" t="n">
        <f aca="false">DATA_INICIO_SAFRA+($B625-1)*DIAS_POR_SEMANA</f>
        <v>46440</v>
      </c>
      <c r="D625" s="17" t="n">
        <f aca="false">$C625+DIAS_POR_SEMANA-1</f>
        <v>46446</v>
      </c>
      <c r="E625" s="15" t="s">
        <v>268</v>
      </c>
      <c r="F625" s="8" t="str">
        <f aca="false">IFERROR(INDEX(CADASTRO_PIVOS!$C$6:$C$41,MATCH($E625,CADASTRO_PIVOS!$B$6:$B$41,0)),"?")</f>
        <v>RM04</v>
      </c>
      <c r="G625" s="8" t="str">
        <f aca="false">IFERROR(INDEX(CADASTRO_PIVOS!$D$6:$D$41,MATCH($E625,CADASTRO_PIVOS!$B$6:$B$41,0)),"?")</f>
        <v>TR04</v>
      </c>
      <c r="H625" s="20" t="n">
        <f aca="false">IFERROR(INDEX(CADASTRO_PIVOS!$E$6:$E$41,MATCH($E625,CADASTRO_PIVOS!$B$6:$B$41,0)),0)</f>
        <v>110</v>
      </c>
      <c r="I625" s="16" t="n">
        <f aca="false">IFERROR(SUMIFS(ROTACAO_RDM!$B$6:$B$71,ROTACAO_RDM!$D$6:$D$71,$E625,ROTACAO_RDM!$I$6:$I$71,"&lt;="&amp;$C625+INT(DIAS_POR_SEMANA/2),ROTACAO_RDM!$J$6:$J$71,"&gt;="&amp;$C625+INT(DIAS_POR_SEMANA/2)),0)</f>
        <v>18</v>
      </c>
      <c r="J625" s="16" t="n">
        <f aca="false">IFERROR(MATCH($I625,ROTACAO_RDM!$B$6:$B$71,0),0)</f>
        <v>18</v>
      </c>
      <c r="K625" s="8" t="str">
        <f aca="false">IF($J625=0,"SEM CULTURA",INDEX(ROTACAO_RDM!$F$6:$F$71,$J625))</f>
        <v>ALGODAO</v>
      </c>
      <c r="L625" s="8" t="str">
        <f aca="false">IF($J625=0,"",INDEX(ROTACAO_RDM!$G$6:$G$71,$J625))</f>
        <v>FM 933 STP</v>
      </c>
      <c r="M625" s="17" t="n">
        <f aca="false">IF($J625=0,"",INDEX(ROTACAO_RDM!$I$6:$I$71,$J625))</f>
        <v>46422</v>
      </c>
      <c r="N625" s="16" t="n">
        <f aca="false">IF($J625=0,0,MAX(0,$C625+INT(DIAS_POR_SEMANA/2)-INDEX(ROTACAO_RDM!$I$6:$I$71,$J625)))</f>
        <v>21</v>
      </c>
      <c r="O625" s="19" t="n">
        <f aca="false">IF($J625=0,0,MIN(1,$N625/MAX(1,INDEX(ROTACAO_RDM!$K$6:$K$71,$J625))))</f>
        <v>0.107692307692308</v>
      </c>
      <c r="P625" s="16" t="n">
        <f aca="false">IF($J625=0,0,IFERROR(MATCH(INDEX(ROTACAO_RDM!$N$6:$N$71,$J625),PARAMETROS_CULTURAS!$B$6:$B$28,0),0))</f>
        <v>5</v>
      </c>
      <c r="Q625" s="8" t="str">
        <f aca="false">IF($P625=0,"-",IF($O625&lt;=INDEX(PARAMETROS_CULTURAS!$F$6:$F$28,$P625),"INICIAL",IF($O625&lt;=INDEX(PARAMETROS_CULTURAS!$F$6:$F$28,$P625)+INDEX(PARAMETROS_CULTURAS!$G$6:$G$28,$P625),"DESENVOLVIMENTO",IF($O625&lt;=INDEX(PARAMETROS_CULTURAS!$F$6:$F$28,$P625)+INDEX(PARAMETROS_CULTURAS!$G$6:$G$28,$P625)+INDEX(PARAMETROS_CULTURAS!$H$6:$H$28,$P625),"MEDIA","FINAL"))))</f>
        <v>INICIAL</v>
      </c>
      <c r="R625" s="24" t="n">
        <f aca="false">IF($P625=0,0,IF($O625&lt;=INDEX(PARAMETROS_CULTURAS!$F$6:$F$28,$P625),INDEX(PARAMETROS_CULTURAS!$K$6:$K$28,$P625),IF($O625&lt;=INDEX(PARAMETROS_CULTURAS!$F$6:$F$28,$P625)+INDEX(PARAMETROS_CULTURAS!$G$6:$G$28,$P625),INDEX(PARAMETROS_CULTURAS!$K$6:$K$28,$P625)+(INDEX(PARAMETROS_CULTURAS!$L$6:$L$28,$P625)-INDEX(PARAMETROS_CULTURAS!$K$6:$K$28,$P625))*($O625-INDEX(PARAMETROS_CULTURAS!$F$6:$F$28,$P625))/MAX(INDEX(PARAMETROS_CULTURAS!$G$6:$G$28,$P625),0.0001),IF($O625&lt;=INDEX(PARAMETROS_CULTURAS!$F$6:$F$28,$P625)+INDEX(PARAMETROS_CULTURAS!$G$6:$G$28,$P625)+INDEX(PARAMETROS_CULTURAS!$H$6:$H$28,$P625),INDEX(PARAMETROS_CULTURAS!$L$6:$L$28,$P625),INDEX(PARAMETROS_CULTURAS!$L$6:$L$28,$P625)+(INDEX(PARAMETROS_CULTURAS!$M$6:$M$28,$P625)-INDEX(PARAMETROS_CULTURAS!$L$6:$L$28,$P625))*($O625-INDEX(PARAMETROS_CULTURAS!$F$6:$F$28,$P625)-INDEX(PARAMETROS_CULTURAS!$G$6:$G$28,$P625)-INDEX(PARAMETROS_CULTURAS!$H$6:$H$28,$P625))/MAX(INDEX(PARAMETROS_CULTURAS!$I$6:$I$28,$P625),0.0001)))))</f>
        <v>0.35</v>
      </c>
      <c r="S625" s="18" t="n">
        <f aca="false">IFERROR(INDEX(SEMANAS!$H$6:$H$71,MATCH($B625,SEMANAS!$B$6:$B$71,0)),0)</f>
        <v>32.9</v>
      </c>
      <c r="T625" s="18" t="n">
        <f aca="false">$R625*$S625</f>
        <v>11.515</v>
      </c>
      <c r="U625" s="18" t="n">
        <f aca="false">IFERROR(INDEX(SEMANAS!$I$6:$I$71,MATCH($B625,SEMANAS!$B$6:$B$71,0)),0)</f>
        <v>39.97</v>
      </c>
      <c r="V625" s="18" t="n">
        <f aca="false">IFERROR(INDEX(SEMANAS!$J$6:$J$71,MATCH($B625,SEMANAS!$B$6:$B$71,0)),0)</f>
        <v>31.976</v>
      </c>
      <c r="W625" s="18" t="n">
        <f aca="false">MAX(0,$T625-$V625)</f>
        <v>0</v>
      </c>
      <c r="X625" s="19" t="n">
        <f aca="false">IFERROR(INDEX(CADASTRO_PIVOS!$K$6:$K$41,MATCH($E625,CADASTRO_PIVOS!$B$6:$B$41,0)),EFICIENCIA_PADRAO)</f>
        <v>0.85</v>
      </c>
      <c r="Y625" s="18" t="n">
        <f aca="false">IF($X625&lt;=0,0,$W625/$X625)</f>
        <v>0</v>
      </c>
      <c r="Z625" s="16" t="n">
        <f aca="false">$Y625*$H625*MM_PARA_M3_HA</f>
        <v>0</v>
      </c>
      <c r="AA625" s="18" t="n">
        <f aca="false">IFERROR(INDEX(CADASTRO_PIVOS!$I$6:$I$41,MATCH($E625,CADASTRO_PIVOS!$B$6:$B$41,0)),0)</f>
        <v>785.714285714286</v>
      </c>
      <c r="AB625" s="18" t="n">
        <f aca="false">IF($Z625&lt;=0,0,$Z625/$AA625)</f>
        <v>0</v>
      </c>
      <c r="AC625" s="16" t="n">
        <f aca="false">IFERROR(INDEX(SEMANAS!$K$6:$K$71,MATCH($B625,SEMANAS!$B$6:$B$71,0)),0)</f>
        <v>147</v>
      </c>
      <c r="AD625" s="19" t="n">
        <f aca="false">IF($AC625&lt;=0,0,$AB625/$AC625)</f>
        <v>0</v>
      </c>
      <c r="AE625" s="8" t="str">
        <f aca="false">IF($K625="SEM CULTURA","SEM CULTURA",IF($AA625&lt;=0,"DADO PENDENTE",IF($AD625&gt;LIMITE_CRITICO,"INVIAVEL",IF($AD625&gt;LIMITE_ATENCAO,"CRITICO",IF($AD625&gt;LIMITE_CONFORTAVEL,"ATENCAO","OK")))))</f>
        <v>OK</v>
      </c>
      <c r="AF625" s="8" t="str">
        <f aca="false">$B625&amp;"|"&amp;TEXT($AD625,"0.000000")</f>
        <v>26|0.000000</v>
      </c>
      <c r="AG625" s="18" t="n">
        <f aca="false">IF($K625="SEM CULTURA",0,$T625*$H625)</f>
        <v>1266.65</v>
      </c>
      <c r="AH625" s="18" t="n">
        <f aca="false">IF($K625="SEM CULTURA",0,$V625*$H625)</f>
        <v>3517.36</v>
      </c>
      <c r="AI625" s="18" t="n">
        <f aca="false">IF($K625="SEM CULTURA",0,$W625*$H625)</f>
        <v>0</v>
      </c>
      <c r="AJ625" s="18" t="n">
        <f aca="false">IF($K625="SEM CULTURA",0,$S625*$H625)</f>
        <v>3619</v>
      </c>
      <c r="AK625" s="8" t="str">
        <f aca="false">$E625&amp;"|"&amp;TEXT($AD625,"0.000000")</f>
        <v>PV 110|0.000000</v>
      </c>
    </row>
    <row r="626" customFormat="false" ht="15" hidden="false" customHeight="false" outlineLevel="0" collapsed="false">
      <c r="B626" s="16" t="n">
        <v>27</v>
      </c>
      <c r="C626" s="17" t="n">
        <f aca="false">DATA_INICIO_SAFRA+($B626-1)*DIAS_POR_SEMANA</f>
        <v>46447</v>
      </c>
      <c r="D626" s="17" t="n">
        <f aca="false">$C626+DIAS_POR_SEMANA-1</f>
        <v>46453</v>
      </c>
      <c r="E626" s="15" t="s">
        <v>268</v>
      </c>
      <c r="F626" s="8" t="str">
        <f aca="false">IFERROR(INDEX(CADASTRO_PIVOS!$C$6:$C$41,MATCH($E626,CADASTRO_PIVOS!$B$6:$B$41,0)),"?")</f>
        <v>RM04</v>
      </c>
      <c r="G626" s="8" t="str">
        <f aca="false">IFERROR(INDEX(CADASTRO_PIVOS!$D$6:$D$41,MATCH($E626,CADASTRO_PIVOS!$B$6:$B$41,0)),"?")</f>
        <v>TR04</v>
      </c>
      <c r="H626" s="20" t="n">
        <f aca="false">IFERROR(INDEX(CADASTRO_PIVOS!$E$6:$E$41,MATCH($E626,CADASTRO_PIVOS!$B$6:$B$41,0)),0)</f>
        <v>110</v>
      </c>
      <c r="I626" s="16" t="n">
        <f aca="false">IFERROR(SUMIFS(ROTACAO_RDM!$B$6:$B$71,ROTACAO_RDM!$D$6:$D$71,$E626,ROTACAO_RDM!$I$6:$I$71,"&lt;="&amp;$C626+INT(DIAS_POR_SEMANA/2),ROTACAO_RDM!$J$6:$J$71,"&gt;="&amp;$C626+INT(DIAS_POR_SEMANA/2)),0)</f>
        <v>18</v>
      </c>
      <c r="J626" s="16" t="n">
        <f aca="false">IFERROR(MATCH($I626,ROTACAO_RDM!$B$6:$B$71,0),0)</f>
        <v>18</v>
      </c>
      <c r="K626" s="8" t="str">
        <f aca="false">IF($J626=0,"SEM CULTURA",INDEX(ROTACAO_RDM!$F$6:$F$71,$J626))</f>
        <v>ALGODAO</v>
      </c>
      <c r="L626" s="8" t="str">
        <f aca="false">IF($J626=0,"",INDEX(ROTACAO_RDM!$G$6:$G$71,$J626))</f>
        <v>FM 933 STP</v>
      </c>
      <c r="M626" s="17" t="n">
        <f aca="false">IF($J626=0,"",INDEX(ROTACAO_RDM!$I$6:$I$71,$J626))</f>
        <v>46422</v>
      </c>
      <c r="N626" s="16" t="n">
        <f aca="false">IF($J626=0,0,MAX(0,$C626+INT(DIAS_POR_SEMANA/2)-INDEX(ROTACAO_RDM!$I$6:$I$71,$J626)))</f>
        <v>28</v>
      </c>
      <c r="O626" s="19" t="n">
        <f aca="false">IF($J626=0,0,MIN(1,$N626/MAX(1,INDEX(ROTACAO_RDM!$K$6:$K$71,$J626))))</f>
        <v>0.143589743589744</v>
      </c>
      <c r="P626" s="16" t="n">
        <f aca="false">IF($J626=0,0,IFERROR(MATCH(INDEX(ROTACAO_RDM!$N$6:$N$71,$J626),PARAMETROS_CULTURAS!$B$6:$B$28,0),0))</f>
        <v>5</v>
      </c>
      <c r="Q626" s="8" t="str">
        <f aca="false">IF($P626=0,"-",IF($O626&lt;=INDEX(PARAMETROS_CULTURAS!$F$6:$F$28,$P626),"INICIAL",IF($O626&lt;=INDEX(PARAMETROS_CULTURAS!$F$6:$F$28,$P626)+INDEX(PARAMETROS_CULTURAS!$G$6:$G$28,$P626),"DESENVOLVIMENTO",IF($O626&lt;=INDEX(PARAMETROS_CULTURAS!$F$6:$F$28,$P626)+INDEX(PARAMETROS_CULTURAS!$G$6:$G$28,$P626)+INDEX(PARAMETROS_CULTURAS!$H$6:$H$28,$P626),"MEDIA","FINAL"))))</f>
        <v>INICIAL</v>
      </c>
      <c r="R626" s="24" t="n">
        <f aca="false">IF($P626=0,0,IF($O626&lt;=INDEX(PARAMETROS_CULTURAS!$F$6:$F$28,$P626),INDEX(PARAMETROS_CULTURAS!$K$6:$K$28,$P626),IF($O626&lt;=INDEX(PARAMETROS_CULTURAS!$F$6:$F$28,$P626)+INDEX(PARAMETROS_CULTURAS!$G$6:$G$28,$P626),INDEX(PARAMETROS_CULTURAS!$K$6:$K$28,$P626)+(INDEX(PARAMETROS_CULTURAS!$L$6:$L$28,$P626)-INDEX(PARAMETROS_CULTURAS!$K$6:$K$28,$P626))*($O626-INDEX(PARAMETROS_CULTURAS!$F$6:$F$28,$P626))/MAX(INDEX(PARAMETROS_CULTURAS!$G$6:$G$28,$P626),0.0001),IF($O626&lt;=INDEX(PARAMETROS_CULTURAS!$F$6:$F$28,$P626)+INDEX(PARAMETROS_CULTURAS!$G$6:$G$28,$P626)+INDEX(PARAMETROS_CULTURAS!$H$6:$H$28,$P626),INDEX(PARAMETROS_CULTURAS!$L$6:$L$28,$P626),INDEX(PARAMETROS_CULTURAS!$L$6:$L$28,$P626)+(INDEX(PARAMETROS_CULTURAS!$M$6:$M$28,$P626)-INDEX(PARAMETROS_CULTURAS!$L$6:$L$28,$P626))*($O626-INDEX(PARAMETROS_CULTURAS!$F$6:$F$28,$P626)-INDEX(PARAMETROS_CULTURAS!$G$6:$G$28,$P626)-INDEX(PARAMETROS_CULTURAS!$H$6:$H$28,$P626))/MAX(INDEX(PARAMETROS_CULTURAS!$I$6:$I$28,$P626),0.0001)))))</f>
        <v>0.35</v>
      </c>
      <c r="S626" s="18" t="n">
        <f aca="false">IFERROR(INDEX(SEMANAS!$H$6:$H$71,MATCH($B626,SEMANAS!$B$6:$B$71,0)),0)</f>
        <v>32.2</v>
      </c>
      <c r="T626" s="18" t="n">
        <f aca="false">$R626*$S626</f>
        <v>11.27</v>
      </c>
      <c r="U626" s="18" t="n">
        <f aca="false">IFERROR(INDEX(SEMANAS!$I$6:$I$71,MATCH($B626,SEMANAS!$B$6:$B$71,0)),0)</f>
        <v>37.24</v>
      </c>
      <c r="V626" s="18" t="n">
        <f aca="false">IFERROR(INDEX(SEMANAS!$J$6:$J$71,MATCH($B626,SEMANAS!$B$6:$B$71,0)),0)</f>
        <v>29.792</v>
      </c>
      <c r="W626" s="18" t="n">
        <f aca="false">MAX(0,$T626-$V626)</f>
        <v>0</v>
      </c>
      <c r="X626" s="19" t="n">
        <f aca="false">IFERROR(INDEX(CADASTRO_PIVOS!$K$6:$K$41,MATCH($E626,CADASTRO_PIVOS!$B$6:$B$41,0)),EFICIENCIA_PADRAO)</f>
        <v>0.85</v>
      </c>
      <c r="Y626" s="18" t="n">
        <f aca="false">IF($X626&lt;=0,0,$W626/$X626)</f>
        <v>0</v>
      </c>
      <c r="Z626" s="16" t="n">
        <f aca="false">$Y626*$H626*MM_PARA_M3_HA</f>
        <v>0</v>
      </c>
      <c r="AA626" s="18" t="n">
        <f aca="false">IFERROR(INDEX(CADASTRO_PIVOS!$I$6:$I$41,MATCH($E626,CADASTRO_PIVOS!$B$6:$B$41,0)),0)</f>
        <v>785.714285714286</v>
      </c>
      <c r="AB626" s="18" t="n">
        <f aca="false">IF($Z626&lt;=0,0,$Z626/$AA626)</f>
        <v>0</v>
      </c>
      <c r="AC626" s="16" t="n">
        <f aca="false">IFERROR(INDEX(SEMANAS!$K$6:$K$71,MATCH($B626,SEMANAS!$B$6:$B$71,0)),0)</f>
        <v>147</v>
      </c>
      <c r="AD626" s="19" t="n">
        <f aca="false">IF($AC626&lt;=0,0,$AB626/$AC626)</f>
        <v>0</v>
      </c>
      <c r="AE626" s="8" t="str">
        <f aca="false">IF($K626="SEM CULTURA","SEM CULTURA",IF($AA626&lt;=0,"DADO PENDENTE",IF($AD626&gt;LIMITE_CRITICO,"INVIAVEL",IF($AD626&gt;LIMITE_ATENCAO,"CRITICO",IF($AD626&gt;LIMITE_CONFORTAVEL,"ATENCAO","OK")))))</f>
        <v>OK</v>
      </c>
      <c r="AF626" s="8" t="str">
        <f aca="false">$B626&amp;"|"&amp;TEXT($AD626,"0.000000")</f>
        <v>27|0.000000</v>
      </c>
      <c r="AG626" s="18" t="n">
        <f aca="false">IF($K626="SEM CULTURA",0,$T626*$H626)</f>
        <v>1239.7</v>
      </c>
      <c r="AH626" s="18" t="n">
        <f aca="false">IF($K626="SEM CULTURA",0,$V626*$H626)</f>
        <v>3277.12</v>
      </c>
      <c r="AI626" s="18" t="n">
        <f aca="false">IF($K626="SEM CULTURA",0,$W626*$H626)</f>
        <v>0</v>
      </c>
      <c r="AJ626" s="18" t="n">
        <f aca="false">IF($K626="SEM CULTURA",0,$S626*$H626)</f>
        <v>3542</v>
      </c>
      <c r="AK626" s="8" t="str">
        <f aca="false">$E626&amp;"|"&amp;TEXT($AD626,"0.000000")</f>
        <v>PV 110|0.000000</v>
      </c>
    </row>
    <row r="627" customFormat="false" ht="15" hidden="false" customHeight="false" outlineLevel="0" collapsed="false">
      <c r="B627" s="16" t="n">
        <v>28</v>
      </c>
      <c r="C627" s="17" t="n">
        <f aca="false">DATA_INICIO_SAFRA+($B627-1)*DIAS_POR_SEMANA</f>
        <v>46454</v>
      </c>
      <c r="D627" s="17" t="n">
        <f aca="false">$C627+DIAS_POR_SEMANA-1</f>
        <v>46460</v>
      </c>
      <c r="E627" s="15" t="s">
        <v>268</v>
      </c>
      <c r="F627" s="8" t="str">
        <f aca="false">IFERROR(INDEX(CADASTRO_PIVOS!$C$6:$C$41,MATCH($E627,CADASTRO_PIVOS!$B$6:$B$41,0)),"?")</f>
        <v>RM04</v>
      </c>
      <c r="G627" s="8" t="str">
        <f aca="false">IFERROR(INDEX(CADASTRO_PIVOS!$D$6:$D$41,MATCH($E627,CADASTRO_PIVOS!$B$6:$B$41,0)),"?")</f>
        <v>TR04</v>
      </c>
      <c r="H627" s="20" t="n">
        <f aca="false">IFERROR(INDEX(CADASTRO_PIVOS!$E$6:$E$41,MATCH($E627,CADASTRO_PIVOS!$B$6:$B$41,0)),0)</f>
        <v>110</v>
      </c>
      <c r="I627" s="16" t="n">
        <f aca="false">IFERROR(SUMIFS(ROTACAO_RDM!$B$6:$B$71,ROTACAO_RDM!$D$6:$D$71,$E627,ROTACAO_RDM!$I$6:$I$71,"&lt;="&amp;$C627+INT(DIAS_POR_SEMANA/2),ROTACAO_RDM!$J$6:$J$71,"&gt;="&amp;$C627+INT(DIAS_POR_SEMANA/2)),0)</f>
        <v>18</v>
      </c>
      <c r="J627" s="16" t="n">
        <f aca="false">IFERROR(MATCH($I627,ROTACAO_RDM!$B$6:$B$71,0),0)</f>
        <v>18</v>
      </c>
      <c r="K627" s="8" t="str">
        <f aca="false">IF($J627=0,"SEM CULTURA",INDEX(ROTACAO_RDM!$F$6:$F$71,$J627))</f>
        <v>ALGODAO</v>
      </c>
      <c r="L627" s="8" t="str">
        <f aca="false">IF($J627=0,"",INDEX(ROTACAO_RDM!$G$6:$G$71,$J627))</f>
        <v>FM 933 STP</v>
      </c>
      <c r="M627" s="17" t="n">
        <f aca="false">IF($J627=0,"",INDEX(ROTACAO_RDM!$I$6:$I$71,$J627))</f>
        <v>46422</v>
      </c>
      <c r="N627" s="16" t="n">
        <f aca="false">IF($J627=0,0,MAX(0,$C627+INT(DIAS_POR_SEMANA/2)-INDEX(ROTACAO_RDM!$I$6:$I$71,$J627)))</f>
        <v>35</v>
      </c>
      <c r="O627" s="19" t="n">
        <f aca="false">IF($J627=0,0,MIN(1,$N627/MAX(1,INDEX(ROTACAO_RDM!$K$6:$K$71,$J627))))</f>
        <v>0.17948717948718</v>
      </c>
      <c r="P627" s="16" t="n">
        <f aca="false">IF($J627=0,0,IFERROR(MATCH(INDEX(ROTACAO_RDM!$N$6:$N$71,$J627),PARAMETROS_CULTURAS!$B$6:$B$28,0),0))</f>
        <v>5</v>
      </c>
      <c r="Q627" s="8" t="str">
        <f aca="false">IF($P627=0,"-",IF($O627&lt;=INDEX(PARAMETROS_CULTURAS!$F$6:$F$28,$P627),"INICIAL",IF($O627&lt;=INDEX(PARAMETROS_CULTURAS!$F$6:$F$28,$P627)+INDEX(PARAMETROS_CULTURAS!$G$6:$G$28,$P627),"DESENVOLVIMENTO",IF($O627&lt;=INDEX(PARAMETROS_CULTURAS!$F$6:$F$28,$P627)+INDEX(PARAMETROS_CULTURAS!$G$6:$G$28,$P627)+INDEX(PARAMETROS_CULTURAS!$H$6:$H$28,$P627),"MEDIA","FINAL"))))</f>
        <v>DESENVOLVIMENTO</v>
      </c>
      <c r="R627" s="24" t="n">
        <f aca="false">IF($P627=0,0,IF($O627&lt;=INDEX(PARAMETROS_CULTURAS!$F$6:$F$28,$P627),INDEX(PARAMETROS_CULTURAS!$K$6:$K$28,$P627),IF($O627&lt;=INDEX(PARAMETROS_CULTURAS!$F$6:$F$28,$P627)+INDEX(PARAMETROS_CULTURAS!$G$6:$G$28,$P627),INDEX(PARAMETROS_CULTURAS!$K$6:$K$28,$P627)+(INDEX(PARAMETROS_CULTURAS!$L$6:$L$28,$P627)-INDEX(PARAMETROS_CULTURAS!$K$6:$K$28,$P627))*($O627-INDEX(PARAMETROS_CULTURAS!$F$6:$F$28,$P627))/MAX(INDEX(PARAMETROS_CULTURAS!$G$6:$G$28,$P627),0.0001),IF($O627&lt;=INDEX(PARAMETROS_CULTURAS!$F$6:$F$28,$P627)+INDEX(PARAMETROS_CULTURAS!$G$6:$G$28,$P627)+INDEX(PARAMETROS_CULTURAS!$H$6:$H$28,$P627),INDEX(PARAMETROS_CULTURAS!$L$6:$L$28,$P627),INDEX(PARAMETROS_CULTURAS!$L$6:$L$28,$P627)+(INDEX(PARAMETROS_CULTURAS!$M$6:$M$28,$P627)-INDEX(PARAMETROS_CULTURAS!$L$6:$L$28,$P627))*($O627-INDEX(PARAMETROS_CULTURAS!$F$6:$F$28,$P627)-INDEX(PARAMETROS_CULTURAS!$G$6:$G$28,$P627)-INDEX(PARAMETROS_CULTURAS!$H$6:$H$28,$P627))/MAX(INDEX(PARAMETROS_CULTURAS!$I$6:$I$28,$P627),0.0001)))))</f>
        <v>0.440729783037475</v>
      </c>
      <c r="S627" s="18" t="n">
        <f aca="false">IFERROR(INDEX(SEMANAS!$H$6:$H$71,MATCH($B627,SEMANAS!$B$6:$B$71,0)),0)</f>
        <v>32.2</v>
      </c>
      <c r="T627" s="18" t="n">
        <f aca="false">$R627*$S627</f>
        <v>14.1914990138067</v>
      </c>
      <c r="U627" s="18" t="n">
        <f aca="false">IFERROR(INDEX(SEMANAS!$I$6:$I$71,MATCH($B627,SEMANAS!$B$6:$B$71,0)),0)</f>
        <v>37.24</v>
      </c>
      <c r="V627" s="18" t="n">
        <f aca="false">IFERROR(INDEX(SEMANAS!$J$6:$J$71,MATCH($B627,SEMANAS!$B$6:$B$71,0)),0)</f>
        <v>29.792</v>
      </c>
      <c r="W627" s="18" t="n">
        <f aca="false">MAX(0,$T627-$V627)</f>
        <v>0</v>
      </c>
      <c r="X627" s="19" t="n">
        <f aca="false">IFERROR(INDEX(CADASTRO_PIVOS!$K$6:$K$41,MATCH($E627,CADASTRO_PIVOS!$B$6:$B$41,0)),EFICIENCIA_PADRAO)</f>
        <v>0.85</v>
      </c>
      <c r="Y627" s="18" t="n">
        <f aca="false">IF($X627&lt;=0,0,$W627/$X627)</f>
        <v>0</v>
      </c>
      <c r="Z627" s="16" t="n">
        <f aca="false">$Y627*$H627*MM_PARA_M3_HA</f>
        <v>0</v>
      </c>
      <c r="AA627" s="18" t="n">
        <f aca="false">IFERROR(INDEX(CADASTRO_PIVOS!$I$6:$I$41,MATCH($E627,CADASTRO_PIVOS!$B$6:$B$41,0)),0)</f>
        <v>785.714285714286</v>
      </c>
      <c r="AB627" s="18" t="n">
        <f aca="false">IF($Z627&lt;=0,0,$Z627/$AA627)</f>
        <v>0</v>
      </c>
      <c r="AC627" s="16" t="n">
        <f aca="false">IFERROR(INDEX(SEMANAS!$K$6:$K$71,MATCH($B627,SEMANAS!$B$6:$B$71,0)),0)</f>
        <v>147</v>
      </c>
      <c r="AD627" s="19" t="n">
        <f aca="false">IF($AC627&lt;=0,0,$AB627/$AC627)</f>
        <v>0</v>
      </c>
      <c r="AE627" s="8" t="str">
        <f aca="false">IF($K627="SEM CULTURA","SEM CULTURA",IF($AA627&lt;=0,"DADO PENDENTE",IF($AD627&gt;LIMITE_CRITICO,"INVIAVEL",IF($AD627&gt;LIMITE_ATENCAO,"CRITICO",IF($AD627&gt;LIMITE_CONFORTAVEL,"ATENCAO","OK")))))</f>
        <v>OK</v>
      </c>
      <c r="AF627" s="8" t="str">
        <f aca="false">$B627&amp;"|"&amp;TEXT($AD627,"0.000000")</f>
        <v>28|0.000000</v>
      </c>
      <c r="AG627" s="18" t="n">
        <f aca="false">IF($K627="SEM CULTURA",0,$T627*$H627)</f>
        <v>1561.06489151874</v>
      </c>
      <c r="AH627" s="18" t="n">
        <f aca="false">IF($K627="SEM CULTURA",0,$V627*$H627)</f>
        <v>3277.12</v>
      </c>
      <c r="AI627" s="18" t="n">
        <f aca="false">IF($K627="SEM CULTURA",0,$W627*$H627)</f>
        <v>0</v>
      </c>
      <c r="AJ627" s="18" t="n">
        <f aca="false">IF($K627="SEM CULTURA",0,$S627*$H627)</f>
        <v>3542</v>
      </c>
      <c r="AK627" s="8" t="str">
        <f aca="false">$E627&amp;"|"&amp;TEXT($AD627,"0.000000")</f>
        <v>PV 110|0.000000</v>
      </c>
    </row>
    <row r="628" customFormat="false" ht="15" hidden="false" customHeight="false" outlineLevel="0" collapsed="false">
      <c r="B628" s="16" t="n">
        <v>29</v>
      </c>
      <c r="C628" s="17" t="n">
        <f aca="false">DATA_INICIO_SAFRA+($B628-1)*DIAS_POR_SEMANA</f>
        <v>46461</v>
      </c>
      <c r="D628" s="17" t="n">
        <f aca="false">$C628+DIAS_POR_SEMANA-1</f>
        <v>46467</v>
      </c>
      <c r="E628" s="15" t="s">
        <v>268</v>
      </c>
      <c r="F628" s="8" t="str">
        <f aca="false">IFERROR(INDEX(CADASTRO_PIVOS!$C$6:$C$41,MATCH($E628,CADASTRO_PIVOS!$B$6:$B$41,0)),"?")</f>
        <v>RM04</v>
      </c>
      <c r="G628" s="8" t="str">
        <f aca="false">IFERROR(INDEX(CADASTRO_PIVOS!$D$6:$D$41,MATCH($E628,CADASTRO_PIVOS!$B$6:$B$41,0)),"?")</f>
        <v>TR04</v>
      </c>
      <c r="H628" s="20" t="n">
        <f aca="false">IFERROR(INDEX(CADASTRO_PIVOS!$E$6:$E$41,MATCH($E628,CADASTRO_PIVOS!$B$6:$B$41,0)),0)</f>
        <v>110</v>
      </c>
      <c r="I628" s="16" t="n">
        <f aca="false">IFERROR(SUMIFS(ROTACAO_RDM!$B$6:$B$71,ROTACAO_RDM!$D$6:$D$71,$E628,ROTACAO_RDM!$I$6:$I$71,"&lt;="&amp;$C628+INT(DIAS_POR_SEMANA/2),ROTACAO_RDM!$J$6:$J$71,"&gt;="&amp;$C628+INT(DIAS_POR_SEMANA/2)),0)</f>
        <v>18</v>
      </c>
      <c r="J628" s="16" t="n">
        <f aca="false">IFERROR(MATCH($I628,ROTACAO_RDM!$B$6:$B$71,0),0)</f>
        <v>18</v>
      </c>
      <c r="K628" s="8" t="str">
        <f aca="false">IF($J628=0,"SEM CULTURA",INDEX(ROTACAO_RDM!$F$6:$F$71,$J628))</f>
        <v>ALGODAO</v>
      </c>
      <c r="L628" s="8" t="str">
        <f aca="false">IF($J628=0,"",INDEX(ROTACAO_RDM!$G$6:$G$71,$J628))</f>
        <v>FM 933 STP</v>
      </c>
      <c r="M628" s="17" t="n">
        <f aca="false">IF($J628=0,"",INDEX(ROTACAO_RDM!$I$6:$I$71,$J628))</f>
        <v>46422</v>
      </c>
      <c r="N628" s="16" t="n">
        <f aca="false">IF($J628=0,0,MAX(0,$C628+INT(DIAS_POR_SEMANA/2)-INDEX(ROTACAO_RDM!$I$6:$I$71,$J628)))</f>
        <v>42</v>
      </c>
      <c r="O628" s="19" t="n">
        <f aca="false">IF($J628=0,0,MIN(1,$N628/MAX(1,INDEX(ROTACAO_RDM!$K$6:$K$71,$J628))))</f>
        <v>0.215384615384615</v>
      </c>
      <c r="P628" s="16" t="n">
        <f aca="false">IF($J628=0,0,IFERROR(MATCH(INDEX(ROTACAO_RDM!$N$6:$N$71,$J628),PARAMETROS_CULTURAS!$B$6:$B$28,0),0))</f>
        <v>5</v>
      </c>
      <c r="Q628" s="8" t="str">
        <f aca="false">IF($P628=0,"-",IF($O628&lt;=INDEX(PARAMETROS_CULTURAS!$F$6:$F$28,$P628),"INICIAL",IF($O628&lt;=INDEX(PARAMETROS_CULTURAS!$F$6:$F$28,$P628)+INDEX(PARAMETROS_CULTURAS!$G$6:$G$28,$P628),"DESENVOLVIMENTO",IF($O628&lt;=INDEX(PARAMETROS_CULTURAS!$F$6:$F$28,$P628)+INDEX(PARAMETROS_CULTURAS!$G$6:$G$28,$P628)+INDEX(PARAMETROS_CULTURAS!$H$6:$H$28,$P628),"MEDIA","FINAL"))))</f>
        <v>DESENVOLVIMENTO</v>
      </c>
      <c r="R628" s="24" t="n">
        <f aca="false">IF($P628=0,0,IF($O628&lt;=INDEX(PARAMETROS_CULTURAS!$F$6:$F$28,$P628),INDEX(PARAMETROS_CULTURAS!$K$6:$K$28,$P628),IF($O628&lt;=INDEX(PARAMETROS_CULTURAS!$F$6:$F$28,$P628)+INDEX(PARAMETROS_CULTURAS!$G$6:$G$28,$P628),INDEX(PARAMETROS_CULTURAS!$K$6:$K$28,$P628)+(INDEX(PARAMETROS_CULTURAS!$L$6:$L$28,$P628)-INDEX(PARAMETROS_CULTURAS!$K$6:$K$28,$P628))*($O628-INDEX(PARAMETROS_CULTURAS!$F$6:$F$28,$P628))/MAX(INDEX(PARAMETROS_CULTURAS!$G$6:$G$28,$P628),0.0001),IF($O628&lt;=INDEX(PARAMETROS_CULTURAS!$F$6:$F$28,$P628)+INDEX(PARAMETROS_CULTURAS!$G$6:$G$28,$P628)+INDEX(PARAMETROS_CULTURAS!$H$6:$H$28,$P628),INDEX(PARAMETROS_CULTURAS!$L$6:$L$28,$P628),INDEX(PARAMETROS_CULTURAS!$L$6:$L$28,$P628)+(INDEX(PARAMETROS_CULTURAS!$M$6:$M$28,$P628)-INDEX(PARAMETROS_CULTURAS!$L$6:$L$28,$P628))*($O628-INDEX(PARAMETROS_CULTURAS!$F$6:$F$28,$P628)-INDEX(PARAMETROS_CULTURAS!$G$6:$G$28,$P628)-INDEX(PARAMETROS_CULTURAS!$H$6:$H$28,$P628))/MAX(INDEX(PARAMETROS_CULTURAS!$I$6:$I$28,$P628),0.0001)))))</f>
        <v>0.551183431952663</v>
      </c>
      <c r="S628" s="18" t="n">
        <f aca="false">IFERROR(INDEX(SEMANAS!$H$6:$H$71,MATCH($B628,SEMANAS!$B$6:$B$71,0)),0)</f>
        <v>32.2</v>
      </c>
      <c r="T628" s="18" t="n">
        <f aca="false">$R628*$S628</f>
        <v>17.7481065088757</v>
      </c>
      <c r="U628" s="18" t="n">
        <f aca="false">IFERROR(INDEX(SEMANAS!$I$6:$I$71,MATCH($B628,SEMANAS!$B$6:$B$71,0)),0)</f>
        <v>37.24</v>
      </c>
      <c r="V628" s="18" t="n">
        <f aca="false">IFERROR(INDEX(SEMANAS!$J$6:$J$71,MATCH($B628,SEMANAS!$B$6:$B$71,0)),0)</f>
        <v>29.792</v>
      </c>
      <c r="W628" s="18" t="n">
        <f aca="false">MAX(0,$T628-$V628)</f>
        <v>0</v>
      </c>
      <c r="X628" s="19" t="n">
        <f aca="false">IFERROR(INDEX(CADASTRO_PIVOS!$K$6:$K$41,MATCH($E628,CADASTRO_PIVOS!$B$6:$B$41,0)),EFICIENCIA_PADRAO)</f>
        <v>0.85</v>
      </c>
      <c r="Y628" s="18" t="n">
        <f aca="false">IF($X628&lt;=0,0,$W628/$X628)</f>
        <v>0</v>
      </c>
      <c r="Z628" s="16" t="n">
        <f aca="false">$Y628*$H628*MM_PARA_M3_HA</f>
        <v>0</v>
      </c>
      <c r="AA628" s="18" t="n">
        <f aca="false">IFERROR(INDEX(CADASTRO_PIVOS!$I$6:$I$41,MATCH($E628,CADASTRO_PIVOS!$B$6:$B$41,0)),0)</f>
        <v>785.714285714286</v>
      </c>
      <c r="AB628" s="18" t="n">
        <f aca="false">IF($Z628&lt;=0,0,$Z628/$AA628)</f>
        <v>0</v>
      </c>
      <c r="AC628" s="16" t="n">
        <f aca="false">IFERROR(INDEX(SEMANAS!$K$6:$K$71,MATCH($B628,SEMANAS!$B$6:$B$71,0)),0)</f>
        <v>147</v>
      </c>
      <c r="AD628" s="19" t="n">
        <f aca="false">IF($AC628&lt;=0,0,$AB628/$AC628)</f>
        <v>0</v>
      </c>
      <c r="AE628" s="8" t="str">
        <f aca="false">IF($K628="SEM CULTURA","SEM CULTURA",IF($AA628&lt;=0,"DADO PENDENTE",IF($AD628&gt;LIMITE_CRITICO,"INVIAVEL",IF($AD628&gt;LIMITE_ATENCAO,"CRITICO",IF($AD628&gt;LIMITE_CONFORTAVEL,"ATENCAO","OK")))))</f>
        <v>OK</v>
      </c>
      <c r="AF628" s="8" t="str">
        <f aca="false">$B628&amp;"|"&amp;TEXT($AD628,"0.000000")</f>
        <v>29|0.000000</v>
      </c>
      <c r="AG628" s="18" t="n">
        <f aca="false">IF($K628="SEM CULTURA",0,$T628*$H628)</f>
        <v>1952.29171597633</v>
      </c>
      <c r="AH628" s="18" t="n">
        <f aca="false">IF($K628="SEM CULTURA",0,$V628*$H628)</f>
        <v>3277.12</v>
      </c>
      <c r="AI628" s="18" t="n">
        <f aca="false">IF($K628="SEM CULTURA",0,$W628*$H628)</f>
        <v>0</v>
      </c>
      <c r="AJ628" s="18" t="n">
        <f aca="false">IF($K628="SEM CULTURA",0,$S628*$H628)</f>
        <v>3542</v>
      </c>
      <c r="AK628" s="8" t="str">
        <f aca="false">$E628&amp;"|"&amp;TEXT($AD628,"0.000000")</f>
        <v>PV 110|0.000000</v>
      </c>
    </row>
    <row r="629" customFormat="false" ht="15" hidden="false" customHeight="false" outlineLevel="0" collapsed="false">
      <c r="B629" s="16" t="n">
        <v>30</v>
      </c>
      <c r="C629" s="17" t="n">
        <f aca="false">DATA_INICIO_SAFRA+($B629-1)*DIAS_POR_SEMANA</f>
        <v>46468</v>
      </c>
      <c r="D629" s="17" t="n">
        <f aca="false">$C629+DIAS_POR_SEMANA-1</f>
        <v>46474</v>
      </c>
      <c r="E629" s="15" t="s">
        <v>268</v>
      </c>
      <c r="F629" s="8" t="str">
        <f aca="false">IFERROR(INDEX(CADASTRO_PIVOS!$C$6:$C$41,MATCH($E629,CADASTRO_PIVOS!$B$6:$B$41,0)),"?")</f>
        <v>RM04</v>
      </c>
      <c r="G629" s="8" t="str">
        <f aca="false">IFERROR(INDEX(CADASTRO_PIVOS!$D$6:$D$41,MATCH($E629,CADASTRO_PIVOS!$B$6:$B$41,0)),"?")</f>
        <v>TR04</v>
      </c>
      <c r="H629" s="20" t="n">
        <f aca="false">IFERROR(INDEX(CADASTRO_PIVOS!$E$6:$E$41,MATCH($E629,CADASTRO_PIVOS!$B$6:$B$41,0)),0)</f>
        <v>110</v>
      </c>
      <c r="I629" s="16" t="n">
        <f aca="false">IFERROR(SUMIFS(ROTACAO_RDM!$B$6:$B$71,ROTACAO_RDM!$D$6:$D$71,$E629,ROTACAO_RDM!$I$6:$I$71,"&lt;="&amp;$C629+INT(DIAS_POR_SEMANA/2),ROTACAO_RDM!$J$6:$J$71,"&gt;="&amp;$C629+INT(DIAS_POR_SEMANA/2)),0)</f>
        <v>18</v>
      </c>
      <c r="J629" s="16" t="n">
        <f aca="false">IFERROR(MATCH($I629,ROTACAO_RDM!$B$6:$B$71,0),0)</f>
        <v>18</v>
      </c>
      <c r="K629" s="8" t="str">
        <f aca="false">IF($J629=0,"SEM CULTURA",INDEX(ROTACAO_RDM!$F$6:$F$71,$J629))</f>
        <v>ALGODAO</v>
      </c>
      <c r="L629" s="8" t="str">
        <f aca="false">IF($J629=0,"",INDEX(ROTACAO_RDM!$G$6:$G$71,$J629))</f>
        <v>FM 933 STP</v>
      </c>
      <c r="M629" s="17" t="n">
        <f aca="false">IF($J629=0,"",INDEX(ROTACAO_RDM!$I$6:$I$71,$J629))</f>
        <v>46422</v>
      </c>
      <c r="N629" s="16" t="n">
        <f aca="false">IF($J629=0,0,MAX(0,$C629+INT(DIAS_POR_SEMANA/2)-INDEX(ROTACAO_RDM!$I$6:$I$71,$J629)))</f>
        <v>49</v>
      </c>
      <c r="O629" s="19" t="n">
        <f aca="false">IF($J629=0,0,MIN(1,$N629/MAX(1,INDEX(ROTACAO_RDM!$K$6:$K$71,$J629))))</f>
        <v>0.251282051282051</v>
      </c>
      <c r="P629" s="16" t="n">
        <f aca="false">IF($J629=0,0,IFERROR(MATCH(INDEX(ROTACAO_RDM!$N$6:$N$71,$J629),PARAMETROS_CULTURAS!$B$6:$B$28,0),0))</f>
        <v>5</v>
      </c>
      <c r="Q629" s="8" t="str">
        <f aca="false">IF($P629=0,"-",IF($O629&lt;=INDEX(PARAMETROS_CULTURAS!$F$6:$F$28,$P629),"INICIAL",IF($O629&lt;=INDEX(PARAMETROS_CULTURAS!$F$6:$F$28,$P629)+INDEX(PARAMETROS_CULTURAS!$G$6:$G$28,$P629),"DESENVOLVIMENTO",IF($O629&lt;=INDEX(PARAMETROS_CULTURAS!$F$6:$F$28,$P629)+INDEX(PARAMETROS_CULTURAS!$G$6:$G$28,$P629)+INDEX(PARAMETROS_CULTURAS!$H$6:$H$28,$P629),"MEDIA","FINAL"))))</f>
        <v>DESENVOLVIMENTO</v>
      </c>
      <c r="R629" s="24" t="n">
        <f aca="false">IF($P629=0,0,IF($O629&lt;=INDEX(PARAMETROS_CULTURAS!$F$6:$F$28,$P629),INDEX(PARAMETROS_CULTURAS!$K$6:$K$28,$P629),IF($O629&lt;=INDEX(PARAMETROS_CULTURAS!$F$6:$F$28,$P629)+INDEX(PARAMETROS_CULTURAS!$G$6:$G$28,$P629),INDEX(PARAMETROS_CULTURAS!$K$6:$K$28,$P629)+(INDEX(PARAMETROS_CULTURAS!$L$6:$L$28,$P629)-INDEX(PARAMETROS_CULTURAS!$K$6:$K$28,$P629))*($O629-INDEX(PARAMETROS_CULTURAS!$F$6:$F$28,$P629))/MAX(INDEX(PARAMETROS_CULTURAS!$G$6:$G$28,$P629),0.0001),IF($O629&lt;=INDEX(PARAMETROS_CULTURAS!$F$6:$F$28,$P629)+INDEX(PARAMETROS_CULTURAS!$G$6:$G$28,$P629)+INDEX(PARAMETROS_CULTURAS!$H$6:$H$28,$P629),INDEX(PARAMETROS_CULTURAS!$L$6:$L$28,$P629),INDEX(PARAMETROS_CULTURAS!$L$6:$L$28,$P629)+(INDEX(PARAMETROS_CULTURAS!$M$6:$M$28,$P629)-INDEX(PARAMETROS_CULTURAS!$L$6:$L$28,$P629))*($O629-INDEX(PARAMETROS_CULTURAS!$F$6:$F$28,$P629)-INDEX(PARAMETROS_CULTURAS!$G$6:$G$28,$P629)-INDEX(PARAMETROS_CULTURAS!$H$6:$H$28,$P629))/MAX(INDEX(PARAMETROS_CULTURAS!$I$6:$I$28,$P629),0.0001)))))</f>
        <v>0.66163708086785</v>
      </c>
      <c r="S629" s="18" t="n">
        <f aca="false">IFERROR(INDEX(SEMANAS!$H$6:$H$71,MATCH($B629,SEMANAS!$B$6:$B$71,0)),0)</f>
        <v>32.2</v>
      </c>
      <c r="T629" s="18" t="n">
        <f aca="false">$R629*$S629</f>
        <v>21.3047140039448</v>
      </c>
      <c r="U629" s="18" t="n">
        <f aca="false">IFERROR(INDEX(SEMANAS!$I$6:$I$71,MATCH($B629,SEMANAS!$B$6:$B$71,0)),0)</f>
        <v>37.24</v>
      </c>
      <c r="V629" s="18" t="n">
        <f aca="false">IFERROR(INDEX(SEMANAS!$J$6:$J$71,MATCH($B629,SEMANAS!$B$6:$B$71,0)),0)</f>
        <v>29.792</v>
      </c>
      <c r="W629" s="18" t="n">
        <f aca="false">MAX(0,$T629-$V629)</f>
        <v>0</v>
      </c>
      <c r="X629" s="19" t="n">
        <f aca="false">IFERROR(INDEX(CADASTRO_PIVOS!$K$6:$K$41,MATCH($E629,CADASTRO_PIVOS!$B$6:$B$41,0)),EFICIENCIA_PADRAO)</f>
        <v>0.85</v>
      </c>
      <c r="Y629" s="18" t="n">
        <f aca="false">IF($X629&lt;=0,0,$W629/$X629)</f>
        <v>0</v>
      </c>
      <c r="Z629" s="16" t="n">
        <f aca="false">$Y629*$H629*MM_PARA_M3_HA</f>
        <v>0</v>
      </c>
      <c r="AA629" s="18" t="n">
        <f aca="false">IFERROR(INDEX(CADASTRO_PIVOS!$I$6:$I$41,MATCH($E629,CADASTRO_PIVOS!$B$6:$B$41,0)),0)</f>
        <v>785.714285714286</v>
      </c>
      <c r="AB629" s="18" t="n">
        <f aca="false">IF($Z629&lt;=0,0,$Z629/$AA629)</f>
        <v>0</v>
      </c>
      <c r="AC629" s="16" t="n">
        <f aca="false">IFERROR(INDEX(SEMANAS!$K$6:$K$71,MATCH($B629,SEMANAS!$B$6:$B$71,0)),0)</f>
        <v>147</v>
      </c>
      <c r="AD629" s="19" t="n">
        <f aca="false">IF($AC629&lt;=0,0,$AB629/$AC629)</f>
        <v>0</v>
      </c>
      <c r="AE629" s="8" t="str">
        <f aca="false">IF($K629="SEM CULTURA","SEM CULTURA",IF($AA629&lt;=0,"DADO PENDENTE",IF($AD629&gt;LIMITE_CRITICO,"INVIAVEL",IF($AD629&gt;LIMITE_ATENCAO,"CRITICO",IF($AD629&gt;LIMITE_CONFORTAVEL,"ATENCAO","OK")))))</f>
        <v>OK</v>
      </c>
      <c r="AF629" s="8" t="str">
        <f aca="false">$B629&amp;"|"&amp;TEXT($AD629,"0.000000")</f>
        <v>30|0.000000</v>
      </c>
      <c r="AG629" s="18" t="n">
        <f aca="false">IF($K629="SEM CULTURA",0,$T629*$H629)</f>
        <v>2343.51854043392</v>
      </c>
      <c r="AH629" s="18" t="n">
        <f aca="false">IF($K629="SEM CULTURA",0,$V629*$H629)</f>
        <v>3277.12</v>
      </c>
      <c r="AI629" s="18" t="n">
        <f aca="false">IF($K629="SEM CULTURA",0,$W629*$H629)</f>
        <v>0</v>
      </c>
      <c r="AJ629" s="18" t="n">
        <f aca="false">IF($K629="SEM CULTURA",0,$S629*$H629)</f>
        <v>3542</v>
      </c>
      <c r="AK629" s="8" t="str">
        <f aca="false">$E629&amp;"|"&amp;TEXT($AD629,"0.000000")</f>
        <v>PV 110|0.000000</v>
      </c>
    </row>
    <row r="630" customFormat="false" ht="15" hidden="false" customHeight="false" outlineLevel="0" collapsed="false">
      <c r="B630" s="16" t="n">
        <v>31</v>
      </c>
      <c r="C630" s="17" t="n">
        <f aca="false">DATA_INICIO_SAFRA+($B630-1)*DIAS_POR_SEMANA</f>
        <v>46475</v>
      </c>
      <c r="D630" s="17" t="n">
        <f aca="false">$C630+DIAS_POR_SEMANA-1</f>
        <v>46481</v>
      </c>
      <c r="E630" s="15" t="s">
        <v>268</v>
      </c>
      <c r="F630" s="8" t="str">
        <f aca="false">IFERROR(INDEX(CADASTRO_PIVOS!$C$6:$C$41,MATCH($E630,CADASTRO_PIVOS!$B$6:$B$41,0)),"?")</f>
        <v>RM04</v>
      </c>
      <c r="G630" s="8" t="str">
        <f aca="false">IFERROR(INDEX(CADASTRO_PIVOS!$D$6:$D$41,MATCH($E630,CADASTRO_PIVOS!$B$6:$B$41,0)),"?")</f>
        <v>TR04</v>
      </c>
      <c r="H630" s="20" t="n">
        <f aca="false">IFERROR(INDEX(CADASTRO_PIVOS!$E$6:$E$41,MATCH($E630,CADASTRO_PIVOS!$B$6:$B$41,0)),0)</f>
        <v>110</v>
      </c>
      <c r="I630" s="16" t="n">
        <f aca="false">IFERROR(SUMIFS(ROTACAO_RDM!$B$6:$B$71,ROTACAO_RDM!$D$6:$D$71,$E630,ROTACAO_RDM!$I$6:$I$71,"&lt;="&amp;$C630+INT(DIAS_POR_SEMANA/2),ROTACAO_RDM!$J$6:$J$71,"&gt;="&amp;$C630+INT(DIAS_POR_SEMANA/2)),0)</f>
        <v>18</v>
      </c>
      <c r="J630" s="16" t="n">
        <f aca="false">IFERROR(MATCH($I630,ROTACAO_RDM!$B$6:$B$71,0),0)</f>
        <v>18</v>
      </c>
      <c r="K630" s="8" t="str">
        <f aca="false">IF($J630=0,"SEM CULTURA",INDEX(ROTACAO_RDM!$F$6:$F$71,$J630))</f>
        <v>ALGODAO</v>
      </c>
      <c r="L630" s="8" t="str">
        <f aca="false">IF($J630=0,"",INDEX(ROTACAO_RDM!$G$6:$G$71,$J630))</f>
        <v>FM 933 STP</v>
      </c>
      <c r="M630" s="17" t="n">
        <f aca="false">IF($J630=0,"",INDEX(ROTACAO_RDM!$I$6:$I$71,$J630))</f>
        <v>46422</v>
      </c>
      <c r="N630" s="16" t="n">
        <f aca="false">IF($J630=0,0,MAX(0,$C630+INT(DIAS_POR_SEMANA/2)-INDEX(ROTACAO_RDM!$I$6:$I$71,$J630)))</f>
        <v>56</v>
      </c>
      <c r="O630" s="19" t="n">
        <f aca="false">IF($J630=0,0,MIN(1,$N630/MAX(1,INDEX(ROTACAO_RDM!$K$6:$K$71,$J630))))</f>
        <v>0.287179487179487</v>
      </c>
      <c r="P630" s="16" t="n">
        <f aca="false">IF($J630=0,0,IFERROR(MATCH(INDEX(ROTACAO_RDM!$N$6:$N$71,$J630),PARAMETROS_CULTURAS!$B$6:$B$28,0),0))</f>
        <v>5</v>
      </c>
      <c r="Q630" s="8" t="str">
        <f aca="false">IF($P630=0,"-",IF($O630&lt;=INDEX(PARAMETROS_CULTURAS!$F$6:$F$28,$P630),"INICIAL",IF($O630&lt;=INDEX(PARAMETROS_CULTURAS!$F$6:$F$28,$P630)+INDEX(PARAMETROS_CULTURAS!$G$6:$G$28,$P630),"DESENVOLVIMENTO",IF($O630&lt;=INDEX(PARAMETROS_CULTURAS!$F$6:$F$28,$P630)+INDEX(PARAMETROS_CULTURAS!$G$6:$G$28,$P630)+INDEX(PARAMETROS_CULTURAS!$H$6:$H$28,$P630),"MEDIA","FINAL"))))</f>
        <v>DESENVOLVIMENTO</v>
      </c>
      <c r="R630" s="24" t="n">
        <f aca="false">IF($P630=0,0,IF($O630&lt;=INDEX(PARAMETROS_CULTURAS!$F$6:$F$28,$P630),INDEX(PARAMETROS_CULTURAS!$K$6:$K$28,$P630),IF($O630&lt;=INDEX(PARAMETROS_CULTURAS!$F$6:$F$28,$P630)+INDEX(PARAMETROS_CULTURAS!$G$6:$G$28,$P630),INDEX(PARAMETROS_CULTURAS!$K$6:$K$28,$P630)+(INDEX(PARAMETROS_CULTURAS!$L$6:$L$28,$P630)-INDEX(PARAMETROS_CULTURAS!$K$6:$K$28,$P630))*($O630-INDEX(PARAMETROS_CULTURAS!$F$6:$F$28,$P630))/MAX(INDEX(PARAMETROS_CULTURAS!$G$6:$G$28,$P630),0.0001),IF($O630&lt;=INDEX(PARAMETROS_CULTURAS!$F$6:$F$28,$P630)+INDEX(PARAMETROS_CULTURAS!$G$6:$G$28,$P630)+INDEX(PARAMETROS_CULTURAS!$H$6:$H$28,$P630),INDEX(PARAMETROS_CULTURAS!$L$6:$L$28,$P630),INDEX(PARAMETROS_CULTURAS!$L$6:$L$28,$P630)+(INDEX(PARAMETROS_CULTURAS!$M$6:$M$28,$P630)-INDEX(PARAMETROS_CULTURAS!$L$6:$L$28,$P630))*($O630-INDEX(PARAMETROS_CULTURAS!$F$6:$F$28,$P630)-INDEX(PARAMETROS_CULTURAS!$G$6:$G$28,$P630)-INDEX(PARAMETROS_CULTURAS!$H$6:$H$28,$P630))/MAX(INDEX(PARAMETROS_CULTURAS!$I$6:$I$28,$P630),0.0001)))))</f>
        <v>0.772090729783037</v>
      </c>
      <c r="S630" s="18" t="n">
        <f aca="false">IFERROR(INDEX(SEMANAS!$H$6:$H$71,MATCH($B630,SEMANAS!$B$6:$B$71,0)),0)</f>
        <v>31.8</v>
      </c>
      <c r="T630" s="18" t="n">
        <f aca="false">$R630*$S630</f>
        <v>24.5524852071006</v>
      </c>
      <c r="U630" s="18" t="n">
        <f aca="false">IFERROR(INDEX(SEMANAS!$I$6:$I$71,MATCH($B630,SEMANAS!$B$6:$B$71,0)),0)</f>
        <v>25.28</v>
      </c>
      <c r="V630" s="18" t="n">
        <f aca="false">IFERROR(INDEX(SEMANAS!$J$6:$J$71,MATCH($B630,SEMANAS!$B$6:$B$71,0)),0)</f>
        <v>20.224</v>
      </c>
      <c r="W630" s="18" t="n">
        <f aca="false">MAX(0,$T630-$V630)</f>
        <v>4.32848520710058</v>
      </c>
      <c r="X630" s="19" t="n">
        <f aca="false">IFERROR(INDEX(CADASTRO_PIVOS!$K$6:$K$41,MATCH($E630,CADASTRO_PIVOS!$B$6:$B$41,0)),EFICIENCIA_PADRAO)</f>
        <v>0.85</v>
      </c>
      <c r="Y630" s="18" t="n">
        <f aca="false">IF($X630&lt;=0,0,$W630/$X630)</f>
        <v>5.09233553776539</v>
      </c>
      <c r="Z630" s="16" t="n">
        <f aca="false">$Y630*$H630*MM_PARA_M3_HA</f>
        <v>5601.56909154193</v>
      </c>
      <c r="AA630" s="18" t="n">
        <f aca="false">IFERROR(INDEX(CADASTRO_PIVOS!$I$6:$I$41,MATCH($E630,CADASTRO_PIVOS!$B$6:$B$41,0)),0)</f>
        <v>785.714285714286</v>
      </c>
      <c r="AB630" s="18" t="n">
        <f aca="false">IF($Z630&lt;=0,0,$Z630/$AA630)</f>
        <v>7.12926975287155</v>
      </c>
      <c r="AC630" s="16" t="n">
        <f aca="false">IFERROR(INDEX(SEMANAS!$K$6:$K$71,MATCH($B630,SEMANAS!$B$6:$B$71,0)),0)</f>
        <v>147</v>
      </c>
      <c r="AD630" s="19" t="n">
        <f aca="false">IF($AC630&lt;=0,0,$AB630/$AC630)</f>
        <v>0.0484984336930037</v>
      </c>
      <c r="AE630" s="8" t="str">
        <f aca="false">IF($K630="SEM CULTURA","SEM CULTURA",IF($AA630&lt;=0,"DADO PENDENTE",IF($AD630&gt;LIMITE_CRITICO,"INVIAVEL",IF($AD630&gt;LIMITE_ATENCAO,"CRITICO",IF($AD630&gt;LIMITE_CONFORTAVEL,"ATENCAO","OK")))))</f>
        <v>OK</v>
      </c>
      <c r="AF630" s="8" t="str">
        <f aca="false">$B630&amp;"|"&amp;TEXT($AD630,"0.000000")</f>
        <v>31|0.048498</v>
      </c>
      <c r="AG630" s="18" t="n">
        <f aca="false">IF($K630="SEM CULTURA",0,$T630*$H630)</f>
        <v>2700.77337278106</v>
      </c>
      <c r="AH630" s="18" t="n">
        <f aca="false">IF($K630="SEM CULTURA",0,$V630*$H630)</f>
        <v>2224.64</v>
      </c>
      <c r="AI630" s="18" t="n">
        <f aca="false">IF($K630="SEM CULTURA",0,$W630*$H630)</f>
        <v>476.133372781064</v>
      </c>
      <c r="AJ630" s="18" t="n">
        <f aca="false">IF($K630="SEM CULTURA",0,$S630*$H630)</f>
        <v>3498</v>
      </c>
      <c r="AK630" s="8" t="str">
        <f aca="false">$E630&amp;"|"&amp;TEXT($AD630,"0.000000")</f>
        <v>PV 110|0.048498</v>
      </c>
    </row>
    <row r="631" customFormat="false" ht="15" hidden="false" customHeight="false" outlineLevel="0" collapsed="false">
      <c r="B631" s="16" t="n">
        <v>32</v>
      </c>
      <c r="C631" s="17" t="n">
        <f aca="false">DATA_INICIO_SAFRA+($B631-1)*DIAS_POR_SEMANA</f>
        <v>46482</v>
      </c>
      <c r="D631" s="17" t="n">
        <f aca="false">$C631+DIAS_POR_SEMANA-1</f>
        <v>46488</v>
      </c>
      <c r="E631" s="15" t="s">
        <v>268</v>
      </c>
      <c r="F631" s="8" t="str">
        <f aca="false">IFERROR(INDEX(CADASTRO_PIVOS!$C$6:$C$41,MATCH($E631,CADASTRO_PIVOS!$B$6:$B$41,0)),"?")</f>
        <v>RM04</v>
      </c>
      <c r="G631" s="8" t="str">
        <f aca="false">IFERROR(INDEX(CADASTRO_PIVOS!$D$6:$D$41,MATCH($E631,CADASTRO_PIVOS!$B$6:$B$41,0)),"?")</f>
        <v>TR04</v>
      </c>
      <c r="H631" s="20" t="n">
        <f aca="false">IFERROR(INDEX(CADASTRO_PIVOS!$E$6:$E$41,MATCH($E631,CADASTRO_PIVOS!$B$6:$B$41,0)),0)</f>
        <v>110</v>
      </c>
      <c r="I631" s="16" t="n">
        <f aca="false">IFERROR(SUMIFS(ROTACAO_RDM!$B$6:$B$71,ROTACAO_RDM!$D$6:$D$71,$E631,ROTACAO_RDM!$I$6:$I$71,"&lt;="&amp;$C631+INT(DIAS_POR_SEMANA/2),ROTACAO_RDM!$J$6:$J$71,"&gt;="&amp;$C631+INT(DIAS_POR_SEMANA/2)),0)</f>
        <v>18</v>
      </c>
      <c r="J631" s="16" t="n">
        <f aca="false">IFERROR(MATCH($I631,ROTACAO_RDM!$B$6:$B$71,0),0)</f>
        <v>18</v>
      </c>
      <c r="K631" s="8" t="str">
        <f aca="false">IF($J631=0,"SEM CULTURA",INDEX(ROTACAO_RDM!$F$6:$F$71,$J631))</f>
        <v>ALGODAO</v>
      </c>
      <c r="L631" s="8" t="str">
        <f aca="false">IF($J631=0,"",INDEX(ROTACAO_RDM!$G$6:$G$71,$J631))</f>
        <v>FM 933 STP</v>
      </c>
      <c r="M631" s="17" t="n">
        <f aca="false">IF($J631=0,"",INDEX(ROTACAO_RDM!$I$6:$I$71,$J631))</f>
        <v>46422</v>
      </c>
      <c r="N631" s="16" t="n">
        <f aca="false">IF($J631=0,0,MAX(0,$C631+INT(DIAS_POR_SEMANA/2)-INDEX(ROTACAO_RDM!$I$6:$I$71,$J631)))</f>
        <v>63</v>
      </c>
      <c r="O631" s="19" t="n">
        <f aca="false">IF($J631=0,0,MIN(1,$N631/MAX(1,INDEX(ROTACAO_RDM!$K$6:$K$71,$J631))))</f>
        <v>0.323076923076923</v>
      </c>
      <c r="P631" s="16" t="n">
        <f aca="false">IF($J631=0,0,IFERROR(MATCH(INDEX(ROTACAO_RDM!$N$6:$N$71,$J631),PARAMETROS_CULTURAS!$B$6:$B$28,0),0))</f>
        <v>5</v>
      </c>
      <c r="Q631" s="8" t="str">
        <f aca="false">IF($P631=0,"-",IF($O631&lt;=INDEX(PARAMETROS_CULTURAS!$F$6:$F$28,$P631),"INICIAL",IF($O631&lt;=INDEX(PARAMETROS_CULTURAS!$F$6:$F$28,$P631)+INDEX(PARAMETROS_CULTURAS!$G$6:$G$28,$P631),"DESENVOLVIMENTO",IF($O631&lt;=INDEX(PARAMETROS_CULTURAS!$F$6:$F$28,$P631)+INDEX(PARAMETROS_CULTURAS!$G$6:$G$28,$P631)+INDEX(PARAMETROS_CULTURAS!$H$6:$H$28,$P631),"MEDIA","FINAL"))))</f>
        <v>DESENVOLVIMENTO</v>
      </c>
      <c r="R631" s="24" t="n">
        <f aca="false">IF($P631=0,0,IF($O631&lt;=INDEX(PARAMETROS_CULTURAS!$F$6:$F$28,$P631),INDEX(PARAMETROS_CULTURAS!$K$6:$K$28,$P631),IF($O631&lt;=INDEX(PARAMETROS_CULTURAS!$F$6:$F$28,$P631)+INDEX(PARAMETROS_CULTURAS!$G$6:$G$28,$P631),INDEX(PARAMETROS_CULTURAS!$K$6:$K$28,$P631)+(INDEX(PARAMETROS_CULTURAS!$L$6:$L$28,$P631)-INDEX(PARAMETROS_CULTURAS!$K$6:$K$28,$P631))*($O631-INDEX(PARAMETROS_CULTURAS!$F$6:$F$28,$P631))/MAX(INDEX(PARAMETROS_CULTURAS!$G$6:$G$28,$P631),0.0001),IF($O631&lt;=INDEX(PARAMETROS_CULTURAS!$F$6:$F$28,$P631)+INDEX(PARAMETROS_CULTURAS!$G$6:$G$28,$P631)+INDEX(PARAMETROS_CULTURAS!$H$6:$H$28,$P631),INDEX(PARAMETROS_CULTURAS!$L$6:$L$28,$P631),INDEX(PARAMETROS_CULTURAS!$L$6:$L$28,$P631)+(INDEX(PARAMETROS_CULTURAS!$M$6:$M$28,$P631)-INDEX(PARAMETROS_CULTURAS!$L$6:$L$28,$P631))*($O631-INDEX(PARAMETROS_CULTURAS!$F$6:$F$28,$P631)-INDEX(PARAMETROS_CULTURAS!$G$6:$G$28,$P631)-INDEX(PARAMETROS_CULTURAS!$H$6:$H$28,$P631))/MAX(INDEX(PARAMETROS_CULTURAS!$I$6:$I$28,$P631),0.0001)))))</f>
        <v>0.882544378698225</v>
      </c>
      <c r="S631" s="18" t="n">
        <f aca="false">IFERROR(INDEX(SEMANAS!$H$6:$H$71,MATCH($B631,SEMANAS!$B$6:$B$71,0)),0)</f>
        <v>31.5</v>
      </c>
      <c r="T631" s="18" t="n">
        <f aca="false">$R631*$S631</f>
        <v>27.8001479289941</v>
      </c>
      <c r="U631" s="18" t="n">
        <f aca="false">IFERROR(INDEX(SEMANAS!$I$6:$I$71,MATCH($B631,SEMANAS!$B$6:$B$71,0)),0)</f>
        <v>16.31</v>
      </c>
      <c r="V631" s="18" t="n">
        <f aca="false">IFERROR(INDEX(SEMANAS!$J$6:$J$71,MATCH($B631,SEMANAS!$B$6:$B$71,0)),0)</f>
        <v>13.048</v>
      </c>
      <c r="W631" s="18" t="n">
        <f aca="false">MAX(0,$T631-$V631)</f>
        <v>14.7521479289941</v>
      </c>
      <c r="X631" s="19" t="n">
        <f aca="false">IFERROR(INDEX(CADASTRO_PIVOS!$K$6:$K$41,MATCH($E631,CADASTRO_PIVOS!$B$6:$B$41,0)),EFICIENCIA_PADRAO)</f>
        <v>0.85</v>
      </c>
      <c r="Y631" s="18" t="n">
        <f aca="false">IF($X631&lt;=0,0,$W631/$X631)</f>
        <v>17.3554681517577</v>
      </c>
      <c r="Z631" s="16" t="n">
        <f aca="false">$Y631*$H631*MM_PARA_M3_HA</f>
        <v>19091.0149669335</v>
      </c>
      <c r="AA631" s="18" t="n">
        <f aca="false">IFERROR(INDEX(CADASTRO_PIVOS!$I$6:$I$41,MATCH($E631,CADASTRO_PIVOS!$B$6:$B$41,0)),0)</f>
        <v>785.714285714286</v>
      </c>
      <c r="AB631" s="18" t="n">
        <f aca="false">IF($Z631&lt;=0,0,$Z631/$AA631)</f>
        <v>24.2976554124608</v>
      </c>
      <c r="AC631" s="16" t="n">
        <f aca="false">IFERROR(INDEX(SEMANAS!$K$6:$K$71,MATCH($B631,SEMANAS!$B$6:$B$71,0)),0)</f>
        <v>147</v>
      </c>
      <c r="AD631" s="19" t="n">
        <f aca="false">IF($AC631&lt;=0,0,$AB631/$AC631)</f>
        <v>0.165290172873883</v>
      </c>
      <c r="AE631" s="8" t="str">
        <f aca="false">IF($K631="SEM CULTURA","SEM CULTURA",IF($AA631&lt;=0,"DADO PENDENTE",IF($AD631&gt;LIMITE_CRITICO,"INVIAVEL",IF($AD631&gt;LIMITE_ATENCAO,"CRITICO",IF($AD631&gt;LIMITE_CONFORTAVEL,"ATENCAO","OK")))))</f>
        <v>OK</v>
      </c>
      <c r="AF631" s="8" t="str">
        <f aca="false">$B631&amp;"|"&amp;TEXT($AD631,"0.000000")</f>
        <v>32|0.165290</v>
      </c>
      <c r="AG631" s="18" t="n">
        <f aca="false">IF($K631="SEM CULTURA",0,$T631*$H631)</f>
        <v>3058.01627218935</v>
      </c>
      <c r="AH631" s="18" t="n">
        <f aca="false">IF($K631="SEM CULTURA",0,$V631*$H631)</f>
        <v>1435.28</v>
      </c>
      <c r="AI631" s="18" t="n">
        <f aca="false">IF($K631="SEM CULTURA",0,$W631*$H631)</f>
        <v>1622.73627218935</v>
      </c>
      <c r="AJ631" s="18" t="n">
        <f aca="false">IF($K631="SEM CULTURA",0,$S631*$H631)</f>
        <v>3465</v>
      </c>
      <c r="AK631" s="8" t="str">
        <f aca="false">$E631&amp;"|"&amp;TEXT($AD631,"0.000000")</f>
        <v>PV 110|0.165290</v>
      </c>
    </row>
    <row r="632" customFormat="false" ht="15" hidden="false" customHeight="false" outlineLevel="0" collapsed="false">
      <c r="B632" s="16" t="n">
        <v>33</v>
      </c>
      <c r="C632" s="17" t="n">
        <f aca="false">DATA_INICIO_SAFRA+($B632-1)*DIAS_POR_SEMANA</f>
        <v>46489</v>
      </c>
      <c r="D632" s="17" t="n">
        <f aca="false">$C632+DIAS_POR_SEMANA-1</f>
        <v>46495</v>
      </c>
      <c r="E632" s="15" t="s">
        <v>268</v>
      </c>
      <c r="F632" s="8" t="str">
        <f aca="false">IFERROR(INDEX(CADASTRO_PIVOS!$C$6:$C$41,MATCH($E632,CADASTRO_PIVOS!$B$6:$B$41,0)),"?")</f>
        <v>RM04</v>
      </c>
      <c r="G632" s="8" t="str">
        <f aca="false">IFERROR(INDEX(CADASTRO_PIVOS!$D$6:$D$41,MATCH($E632,CADASTRO_PIVOS!$B$6:$B$41,0)),"?")</f>
        <v>TR04</v>
      </c>
      <c r="H632" s="20" t="n">
        <f aca="false">IFERROR(INDEX(CADASTRO_PIVOS!$E$6:$E$41,MATCH($E632,CADASTRO_PIVOS!$B$6:$B$41,0)),0)</f>
        <v>110</v>
      </c>
      <c r="I632" s="16" t="n">
        <f aca="false">IFERROR(SUMIFS(ROTACAO_RDM!$B$6:$B$71,ROTACAO_RDM!$D$6:$D$71,$E632,ROTACAO_RDM!$I$6:$I$71,"&lt;="&amp;$C632+INT(DIAS_POR_SEMANA/2),ROTACAO_RDM!$J$6:$J$71,"&gt;="&amp;$C632+INT(DIAS_POR_SEMANA/2)),0)</f>
        <v>18</v>
      </c>
      <c r="J632" s="16" t="n">
        <f aca="false">IFERROR(MATCH($I632,ROTACAO_RDM!$B$6:$B$71,0),0)</f>
        <v>18</v>
      </c>
      <c r="K632" s="8" t="str">
        <f aca="false">IF($J632=0,"SEM CULTURA",INDEX(ROTACAO_RDM!$F$6:$F$71,$J632))</f>
        <v>ALGODAO</v>
      </c>
      <c r="L632" s="8" t="str">
        <f aca="false">IF($J632=0,"",INDEX(ROTACAO_RDM!$G$6:$G$71,$J632))</f>
        <v>FM 933 STP</v>
      </c>
      <c r="M632" s="17" t="n">
        <f aca="false">IF($J632=0,"",INDEX(ROTACAO_RDM!$I$6:$I$71,$J632))</f>
        <v>46422</v>
      </c>
      <c r="N632" s="16" t="n">
        <f aca="false">IF($J632=0,0,MAX(0,$C632+INT(DIAS_POR_SEMANA/2)-INDEX(ROTACAO_RDM!$I$6:$I$71,$J632)))</f>
        <v>70</v>
      </c>
      <c r="O632" s="19" t="n">
        <f aca="false">IF($J632=0,0,MIN(1,$N632/MAX(1,INDEX(ROTACAO_RDM!$K$6:$K$71,$J632))))</f>
        <v>0.358974358974359</v>
      </c>
      <c r="P632" s="16" t="n">
        <f aca="false">IF($J632=0,0,IFERROR(MATCH(INDEX(ROTACAO_RDM!$N$6:$N$71,$J632),PARAMETROS_CULTURAS!$B$6:$B$28,0),0))</f>
        <v>5</v>
      </c>
      <c r="Q632" s="8" t="str">
        <f aca="false">IF($P632=0,"-",IF($O632&lt;=INDEX(PARAMETROS_CULTURAS!$F$6:$F$28,$P632),"INICIAL",IF($O632&lt;=INDEX(PARAMETROS_CULTURAS!$F$6:$F$28,$P632)+INDEX(PARAMETROS_CULTURAS!$G$6:$G$28,$P632),"DESENVOLVIMENTO",IF($O632&lt;=INDEX(PARAMETROS_CULTURAS!$F$6:$F$28,$P632)+INDEX(PARAMETROS_CULTURAS!$G$6:$G$28,$P632)+INDEX(PARAMETROS_CULTURAS!$H$6:$H$28,$P632),"MEDIA","FINAL"))))</f>
        <v>DESENVOLVIMENTO</v>
      </c>
      <c r="R632" s="24" t="n">
        <f aca="false">IF($P632=0,0,IF($O632&lt;=INDEX(PARAMETROS_CULTURAS!$F$6:$F$28,$P632),INDEX(PARAMETROS_CULTURAS!$K$6:$K$28,$P632),IF($O632&lt;=INDEX(PARAMETROS_CULTURAS!$F$6:$F$28,$P632)+INDEX(PARAMETROS_CULTURAS!$G$6:$G$28,$P632),INDEX(PARAMETROS_CULTURAS!$K$6:$K$28,$P632)+(INDEX(PARAMETROS_CULTURAS!$L$6:$L$28,$P632)-INDEX(PARAMETROS_CULTURAS!$K$6:$K$28,$P632))*($O632-INDEX(PARAMETROS_CULTURAS!$F$6:$F$28,$P632))/MAX(INDEX(PARAMETROS_CULTURAS!$G$6:$G$28,$P632),0.0001),IF($O632&lt;=INDEX(PARAMETROS_CULTURAS!$F$6:$F$28,$P632)+INDEX(PARAMETROS_CULTURAS!$G$6:$G$28,$P632)+INDEX(PARAMETROS_CULTURAS!$H$6:$H$28,$P632),INDEX(PARAMETROS_CULTURAS!$L$6:$L$28,$P632),INDEX(PARAMETROS_CULTURAS!$L$6:$L$28,$P632)+(INDEX(PARAMETROS_CULTURAS!$M$6:$M$28,$P632)-INDEX(PARAMETROS_CULTURAS!$L$6:$L$28,$P632))*($O632-INDEX(PARAMETROS_CULTURAS!$F$6:$F$28,$P632)-INDEX(PARAMETROS_CULTURAS!$G$6:$G$28,$P632)-INDEX(PARAMETROS_CULTURAS!$H$6:$H$28,$P632))/MAX(INDEX(PARAMETROS_CULTURAS!$I$6:$I$28,$P632),0.0001)))))</f>
        <v>0.992998027613412</v>
      </c>
      <c r="S632" s="18" t="n">
        <f aca="false">IFERROR(INDEX(SEMANAS!$H$6:$H$71,MATCH($B632,SEMANAS!$B$6:$B$71,0)),0)</f>
        <v>31.5</v>
      </c>
      <c r="T632" s="18" t="n">
        <f aca="false">$R632*$S632</f>
        <v>31.2794378698225</v>
      </c>
      <c r="U632" s="18" t="n">
        <f aca="false">IFERROR(INDEX(SEMANAS!$I$6:$I$71,MATCH($B632,SEMANAS!$B$6:$B$71,0)),0)</f>
        <v>16.31</v>
      </c>
      <c r="V632" s="18" t="n">
        <f aca="false">IFERROR(INDEX(SEMANAS!$J$6:$J$71,MATCH($B632,SEMANAS!$B$6:$B$71,0)),0)</f>
        <v>13.048</v>
      </c>
      <c r="W632" s="18" t="n">
        <f aca="false">MAX(0,$T632-$V632)</f>
        <v>18.2314378698225</v>
      </c>
      <c r="X632" s="19" t="n">
        <f aca="false">IFERROR(INDEX(CADASTRO_PIVOS!$K$6:$K$41,MATCH($E632,CADASTRO_PIVOS!$B$6:$B$41,0)),EFICIENCIA_PADRAO)</f>
        <v>0.85</v>
      </c>
      <c r="Y632" s="18" t="n">
        <f aca="false">IF($X632&lt;=0,0,$W632/$X632)</f>
        <v>21.4487504350853</v>
      </c>
      <c r="Z632" s="16" t="n">
        <f aca="false">$Y632*$H632*MM_PARA_M3_HA</f>
        <v>23593.6254785938</v>
      </c>
      <c r="AA632" s="18" t="n">
        <f aca="false">IFERROR(INDEX(CADASTRO_PIVOS!$I$6:$I$41,MATCH($E632,CADASTRO_PIVOS!$B$6:$B$41,0)),0)</f>
        <v>785.714285714286</v>
      </c>
      <c r="AB632" s="18" t="n">
        <f aca="false">IF($Z632&lt;=0,0,$Z632/$AA632)</f>
        <v>30.0282506091194</v>
      </c>
      <c r="AC632" s="16" t="n">
        <f aca="false">IFERROR(INDEX(SEMANAS!$K$6:$K$71,MATCH($B632,SEMANAS!$B$6:$B$71,0)),0)</f>
        <v>147</v>
      </c>
      <c r="AD632" s="19" t="n">
        <f aca="false">IF($AC632&lt;=0,0,$AB632/$AC632)</f>
        <v>0.204273813667479</v>
      </c>
      <c r="AE632" s="8" t="str">
        <f aca="false">IF($K632="SEM CULTURA","SEM CULTURA",IF($AA632&lt;=0,"DADO PENDENTE",IF($AD632&gt;LIMITE_CRITICO,"INVIAVEL",IF($AD632&gt;LIMITE_ATENCAO,"CRITICO",IF($AD632&gt;LIMITE_CONFORTAVEL,"ATENCAO","OK")))))</f>
        <v>OK</v>
      </c>
      <c r="AF632" s="8" t="str">
        <f aca="false">$B632&amp;"|"&amp;TEXT($AD632,"0.000000")</f>
        <v>33|0.204274</v>
      </c>
      <c r="AG632" s="18" t="n">
        <f aca="false">IF($K632="SEM CULTURA",0,$T632*$H632)</f>
        <v>3440.73816568047</v>
      </c>
      <c r="AH632" s="18" t="n">
        <f aca="false">IF($K632="SEM CULTURA",0,$V632*$H632)</f>
        <v>1435.28</v>
      </c>
      <c r="AI632" s="18" t="n">
        <f aca="false">IF($K632="SEM CULTURA",0,$W632*$H632)</f>
        <v>2005.45816568047</v>
      </c>
      <c r="AJ632" s="18" t="n">
        <f aca="false">IF($K632="SEM CULTURA",0,$S632*$H632)</f>
        <v>3465</v>
      </c>
      <c r="AK632" s="8" t="str">
        <f aca="false">$E632&amp;"|"&amp;TEXT($AD632,"0.000000")</f>
        <v>PV 110|0.204274</v>
      </c>
    </row>
    <row r="633" customFormat="false" ht="15" hidden="false" customHeight="false" outlineLevel="0" collapsed="false">
      <c r="B633" s="16" t="n">
        <v>34</v>
      </c>
      <c r="C633" s="17" t="n">
        <f aca="false">DATA_INICIO_SAFRA+($B633-1)*DIAS_POR_SEMANA</f>
        <v>46496</v>
      </c>
      <c r="D633" s="17" t="n">
        <f aca="false">$C633+DIAS_POR_SEMANA-1</f>
        <v>46502</v>
      </c>
      <c r="E633" s="15" t="s">
        <v>268</v>
      </c>
      <c r="F633" s="8" t="str">
        <f aca="false">IFERROR(INDEX(CADASTRO_PIVOS!$C$6:$C$41,MATCH($E633,CADASTRO_PIVOS!$B$6:$B$41,0)),"?")</f>
        <v>RM04</v>
      </c>
      <c r="G633" s="8" t="str">
        <f aca="false">IFERROR(INDEX(CADASTRO_PIVOS!$D$6:$D$41,MATCH($E633,CADASTRO_PIVOS!$B$6:$B$41,0)),"?")</f>
        <v>TR04</v>
      </c>
      <c r="H633" s="20" t="n">
        <f aca="false">IFERROR(INDEX(CADASTRO_PIVOS!$E$6:$E$41,MATCH($E633,CADASTRO_PIVOS!$B$6:$B$41,0)),0)</f>
        <v>110</v>
      </c>
      <c r="I633" s="16" t="n">
        <f aca="false">IFERROR(SUMIFS(ROTACAO_RDM!$B$6:$B$71,ROTACAO_RDM!$D$6:$D$71,$E633,ROTACAO_RDM!$I$6:$I$71,"&lt;="&amp;$C633+INT(DIAS_POR_SEMANA/2),ROTACAO_RDM!$J$6:$J$71,"&gt;="&amp;$C633+INT(DIAS_POR_SEMANA/2)),0)</f>
        <v>18</v>
      </c>
      <c r="J633" s="16" t="n">
        <f aca="false">IFERROR(MATCH($I633,ROTACAO_RDM!$B$6:$B$71,0),0)</f>
        <v>18</v>
      </c>
      <c r="K633" s="8" t="str">
        <f aca="false">IF($J633=0,"SEM CULTURA",INDEX(ROTACAO_RDM!$F$6:$F$71,$J633))</f>
        <v>ALGODAO</v>
      </c>
      <c r="L633" s="8" t="str">
        <f aca="false">IF($J633=0,"",INDEX(ROTACAO_RDM!$G$6:$G$71,$J633))</f>
        <v>FM 933 STP</v>
      </c>
      <c r="M633" s="17" t="n">
        <f aca="false">IF($J633=0,"",INDEX(ROTACAO_RDM!$I$6:$I$71,$J633))</f>
        <v>46422</v>
      </c>
      <c r="N633" s="16" t="n">
        <f aca="false">IF($J633=0,0,MAX(0,$C633+INT(DIAS_POR_SEMANA/2)-INDEX(ROTACAO_RDM!$I$6:$I$71,$J633)))</f>
        <v>77</v>
      </c>
      <c r="O633" s="19" t="n">
        <f aca="false">IF($J633=0,0,MIN(1,$N633/MAX(1,INDEX(ROTACAO_RDM!$K$6:$K$71,$J633))))</f>
        <v>0.394871794871795</v>
      </c>
      <c r="P633" s="16" t="n">
        <f aca="false">IF($J633=0,0,IFERROR(MATCH(INDEX(ROTACAO_RDM!$N$6:$N$71,$J633),PARAMETROS_CULTURAS!$B$6:$B$28,0),0))</f>
        <v>5</v>
      </c>
      <c r="Q633" s="8" t="str">
        <f aca="false">IF($P633=0,"-",IF($O633&lt;=INDEX(PARAMETROS_CULTURAS!$F$6:$F$28,$P633),"INICIAL",IF($O633&lt;=INDEX(PARAMETROS_CULTURAS!$F$6:$F$28,$P633)+INDEX(PARAMETROS_CULTURAS!$G$6:$G$28,$P633),"DESENVOLVIMENTO",IF($O633&lt;=INDEX(PARAMETROS_CULTURAS!$F$6:$F$28,$P633)+INDEX(PARAMETROS_CULTURAS!$G$6:$G$28,$P633)+INDEX(PARAMETROS_CULTURAS!$H$6:$H$28,$P633),"MEDIA","FINAL"))))</f>
        <v>DESENVOLVIMENTO</v>
      </c>
      <c r="R633" s="24" t="n">
        <f aca="false">IF($P633=0,0,IF($O633&lt;=INDEX(PARAMETROS_CULTURAS!$F$6:$F$28,$P633),INDEX(PARAMETROS_CULTURAS!$K$6:$K$28,$P633),IF($O633&lt;=INDEX(PARAMETROS_CULTURAS!$F$6:$F$28,$P633)+INDEX(PARAMETROS_CULTURAS!$G$6:$G$28,$P633),INDEX(PARAMETROS_CULTURAS!$K$6:$K$28,$P633)+(INDEX(PARAMETROS_CULTURAS!$L$6:$L$28,$P633)-INDEX(PARAMETROS_CULTURAS!$K$6:$K$28,$P633))*($O633-INDEX(PARAMETROS_CULTURAS!$F$6:$F$28,$P633))/MAX(INDEX(PARAMETROS_CULTURAS!$G$6:$G$28,$P633),0.0001),IF($O633&lt;=INDEX(PARAMETROS_CULTURAS!$F$6:$F$28,$P633)+INDEX(PARAMETROS_CULTURAS!$G$6:$G$28,$P633)+INDEX(PARAMETROS_CULTURAS!$H$6:$H$28,$P633),INDEX(PARAMETROS_CULTURAS!$L$6:$L$28,$P633),INDEX(PARAMETROS_CULTURAS!$L$6:$L$28,$P633)+(INDEX(PARAMETROS_CULTURAS!$M$6:$M$28,$P633)-INDEX(PARAMETROS_CULTURAS!$L$6:$L$28,$P633))*($O633-INDEX(PARAMETROS_CULTURAS!$F$6:$F$28,$P633)-INDEX(PARAMETROS_CULTURAS!$G$6:$G$28,$P633)-INDEX(PARAMETROS_CULTURAS!$H$6:$H$28,$P633))/MAX(INDEX(PARAMETROS_CULTURAS!$I$6:$I$28,$P633),0.0001)))))</f>
        <v>1.1034516765286</v>
      </c>
      <c r="S633" s="18" t="n">
        <f aca="false">IFERROR(INDEX(SEMANAS!$H$6:$H$71,MATCH($B633,SEMANAS!$B$6:$B$71,0)),0)</f>
        <v>31.5</v>
      </c>
      <c r="T633" s="18" t="n">
        <f aca="false">$R633*$S633</f>
        <v>34.7587278106509</v>
      </c>
      <c r="U633" s="18" t="n">
        <f aca="false">IFERROR(INDEX(SEMANAS!$I$6:$I$71,MATCH($B633,SEMANAS!$B$6:$B$71,0)),0)</f>
        <v>16.31</v>
      </c>
      <c r="V633" s="18" t="n">
        <f aca="false">IFERROR(INDEX(SEMANAS!$J$6:$J$71,MATCH($B633,SEMANAS!$B$6:$B$71,0)),0)</f>
        <v>13.048</v>
      </c>
      <c r="W633" s="18" t="n">
        <f aca="false">MAX(0,$T633-$V633)</f>
        <v>21.7107278106509</v>
      </c>
      <c r="X633" s="19" t="n">
        <f aca="false">IFERROR(INDEX(CADASTRO_PIVOS!$K$6:$K$41,MATCH($E633,CADASTRO_PIVOS!$B$6:$B$41,0)),EFICIENCIA_PADRAO)</f>
        <v>0.85</v>
      </c>
      <c r="Y633" s="18" t="n">
        <f aca="false">IF($X633&lt;=0,0,$W633/$X633)</f>
        <v>25.5420327184128</v>
      </c>
      <c r="Z633" s="16" t="n">
        <f aca="false">$Y633*$H633*MM_PARA_M3_HA</f>
        <v>28096.2359902541</v>
      </c>
      <c r="AA633" s="18" t="n">
        <f aca="false">IFERROR(INDEX(CADASTRO_PIVOS!$I$6:$I$41,MATCH($E633,CADASTRO_PIVOS!$B$6:$B$41,0)),0)</f>
        <v>785.714285714286</v>
      </c>
      <c r="AB633" s="18" t="n">
        <f aca="false">IF($Z633&lt;=0,0,$Z633/$AA633)</f>
        <v>35.7588458057779</v>
      </c>
      <c r="AC633" s="16" t="n">
        <f aca="false">IFERROR(INDEX(SEMANAS!$K$6:$K$71,MATCH($B633,SEMANAS!$B$6:$B$71,0)),0)</f>
        <v>147</v>
      </c>
      <c r="AD633" s="19" t="n">
        <f aca="false">IF($AC633&lt;=0,0,$AB633/$AC633)</f>
        <v>0.243257454461074</v>
      </c>
      <c r="AE633" s="8" t="str">
        <f aca="false">IF($K633="SEM CULTURA","SEM CULTURA",IF($AA633&lt;=0,"DADO PENDENTE",IF($AD633&gt;LIMITE_CRITICO,"INVIAVEL",IF($AD633&gt;LIMITE_ATENCAO,"CRITICO",IF($AD633&gt;LIMITE_CONFORTAVEL,"ATENCAO","OK")))))</f>
        <v>OK</v>
      </c>
      <c r="AF633" s="8" t="str">
        <f aca="false">$B633&amp;"|"&amp;TEXT($AD633,"0.000000")</f>
        <v>34|0.243257</v>
      </c>
      <c r="AG633" s="18" t="n">
        <f aca="false">IF($K633="SEM CULTURA",0,$T633*$H633)</f>
        <v>3823.4600591716</v>
      </c>
      <c r="AH633" s="18" t="n">
        <f aca="false">IF($K633="SEM CULTURA",0,$V633*$H633)</f>
        <v>1435.28</v>
      </c>
      <c r="AI633" s="18" t="n">
        <f aca="false">IF($K633="SEM CULTURA",0,$W633*$H633)</f>
        <v>2388.1800591716</v>
      </c>
      <c r="AJ633" s="18" t="n">
        <f aca="false">IF($K633="SEM CULTURA",0,$S633*$H633)</f>
        <v>3465</v>
      </c>
      <c r="AK633" s="8" t="str">
        <f aca="false">$E633&amp;"|"&amp;TEXT($AD633,"0.000000")</f>
        <v>PV 110|0.243257</v>
      </c>
    </row>
    <row r="634" customFormat="false" ht="15" hidden="false" customHeight="false" outlineLevel="0" collapsed="false">
      <c r="B634" s="16" t="n">
        <v>35</v>
      </c>
      <c r="C634" s="17" t="n">
        <f aca="false">DATA_INICIO_SAFRA+($B634-1)*DIAS_POR_SEMANA</f>
        <v>46503</v>
      </c>
      <c r="D634" s="17" t="n">
        <f aca="false">$C634+DIAS_POR_SEMANA-1</f>
        <v>46509</v>
      </c>
      <c r="E634" s="15" t="s">
        <v>268</v>
      </c>
      <c r="F634" s="8" t="str">
        <f aca="false">IFERROR(INDEX(CADASTRO_PIVOS!$C$6:$C$41,MATCH($E634,CADASTRO_PIVOS!$B$6:$B$41,0)),"?")</f>
        <v>RM04</v>
      </c>
      <c r="G634" s="8" t="str">
        <f aca="false">IFERROR(INDEX(CADASTRO_PIVOS!$D$6:$D$41,MATCH($E634,CADASTRO_PIVOS!$B$6:$B$41,0)),"?")</f>
        <v>TR04</v>
      </c>
      <c r="H634" s="20" t="n">
        <f aca="false">IFERROR(INDEX(CADASTRO_PIVOS!$E$6:$E$41,MATCH($E634,CADASTRO_PIVOS!$B$6:$B$41,0)),0)</f>
        <v>110</v>
      </c>
      <c r="I634" s="16" t="n">
        <f aca="false">IFERROR(SUMIFS(ROTACAO_RDM!$B$6:$B$71,ROTACAO_RDM!$D$6:$D$71,$E634,ROTACAO_RDM!$I$6:$I$71,"&lt;="&amp;$C634+INT(DIAS_POR_SEMANA/2),ROTACAO_RDM!$J$6:$J$71,"&gt;="&amp;$C634+INT(DIAS_POR_SEMANA/2)),0)</f>
        <v>18</v>
      </c>
      <c r="J634" s="16" t="n">
        <f aca="false">IFERROR(MATCH($I634,ROTACAO_RDM!$B$6:$B$71,0),0)</f>
        <v>18</v>
      </c>
      <c r="K634" s="8" t="str">
        <f aca="false">IF($J634=0,"SEM CULTURA",INDEX(ROTACAO_RDM!$F$6:$F$71,$J634))</f>
        <v>ALGODAO</v>
      </c>
      <c r="L634" s="8" t="str">
        <f aca="false">IF($J634=0,"",INDEX(ROTACAO_RDM!$G$6:$G$71,$J634))</f>
        <v>FM 933 STP</v>
      </c>
      <c r="M634" s="17" t="n">
        <f aca="false">IF($J634=0,"",INDEX(ROTACAO_RDM!$I$6:$I$71,$J634))</f>
        <v>46422</v>
      </c>
      <c r="N634" s="16" t="n">
        <f aca="false">IF($J634=0,0,MAX(0,$C634+INT(DIAS_POR_SEMANA/2)-INDEX(ROTACAO_RDM!$I$6:$I$71,$J634)))</f>
        <v>84</v>
      </c>
      <c r="O634" s="19" t="n">
        <f aca="false">IF($J634=0,0,MIN(1,$N634/MAX(1,INDEX(ROTACAO_RDM!$K$6:$K$71,$J634))))</f>
        <v>0.430769230769231</v>
      </c>
      <c r="P634" s="16" t="n">
        <f aca="false">IF($J634=0,0,IFERROR(MATCH(INDEX(ROTACAO_RDM!$N$6:$N$71,$J634),PARAMETROS_CULTURAS!$B$6:$B$28,0),0))</f>
        <v>5</v>
      </c>
      <c r="Q634" s="8" t="str">
        <f aca="false">IF($P634=0,"-",IF($O634&lt;=INDEX(PARAMETROS_CULTURAS!$F$6:$F$28,$P634),"INICIAL",IF($O634&lt;=INDEX(PARAMETROS_CULTURAS!$F$6:$F$28,$P634)+INDEX(PARAMETROS_CULTURAS!$G$6:$G$28,$P634),"DESENVOLVIMENTO",IF($O634&lt;=INDEX(PARAMETROS_CULTURAS!$F$6:$F$28,$P634)+INDEX(PARAMETROS_CULTURAS!$G$6:$G$28,$P634)+INDEX(PARAMETROS_CULTURAS!$H$6:$H$28,$P634),"MEDIA","FINAL"))))</f>
        <v>MEDIA</v>
      </c>
      <c r="R634" s="24" t="n">
        <f aca="false">IF($P634=0,0,IF($O634&lt;=INDEX(PARAMETROS_CULTURAS!$F$6:$F$28,$P634),INDEX(PARAMETROS_CULTURAS!$K$6:$K$28,$P634),IF($O634&lt;=INDEX(PARAMETROS_CULTURAS!$F$6:$F$28,$P634)+INDEX(PARAMETROS_CULTURAS!$G$6:$G$28,$P634),INDEX(PARAMETROS_CULTURAS!$K$6:$K$28,$P634)+(INDEX(PARAMETROS_CULTURAS!$L$6:$L$28,$P634)-INDEX(PARAMETROS_CULTURAS!$K$6:$K$28,$P634))*($O634-INDEX(PARAMETROS_CULTURAS!$F$6:$F$28,$P634))/MAX(INDEX(PARAMETROS_CULTURAS!$G$6:$G$28,$P634),0.0001),IF($O634&lt;=INDEX(PARAMETROS_CULTURAS!$F$6:$F$28,$P634)+INDEX(PARAMETROS_CULTURAS!$G$6:$G$28,$P634)+INDEX(PARAMETROS_CULTURAS!$H$6:$H$28,$P634),INDEX(PARAMETROS_CULTURAS!$L$6:$L$28,$P634),INDEX(PARAMETROS_CULTURAS!$L$6:$L$28,$P634)+(INDEX(PARAMETROS_CULTURAS!$M$6:$M$28,$P634)-INDEX(PARAMETROS_CULTURAS!$L$6:$L$28,$P634))*($O634-INDEX(PARAMETROS_CULTURAS!$F$6:$F$28,$P634)-INDEX(PARAMETROS_CULTURAS!$G$6:$G$28,$P634)-INDEX(PARAMETROS_CULTURAS!$H$6:$H$28,$P634))/MAX(INDEX(PARAMETROS_CULTURAS!$I$6:$I$28,$P634),0.0001)))))</f>
        <v>1.15</v>
      </c>
      <c r="S634" s="18" t="n">
        <f aca="false">IFERROR(INDEX(SEMANAS!$H$6:$H$71,MATCH($B634,SEMANAS!$B$6:$B$71,0)),0)</f>
        <v>30.9</v>
      </c>
      <c r="T634" s="18" t="n">
        <f aca="false">$R634*$S634</f>
        <v>35.535</v>
      </c>
      <c r="U634" s="18" t="n">
        <f aca="false">IFERROR(INDEX(SEMANAS!$I$6:$I$71,MATCH($B634,SEMANAS!$B$6:$B$71,0)),0)</f>
        <v>12.61</v>
      </c>
      <c r="V634" s="18" t="n">
        <f aca="false">IFERROR(INDEX(SEMANAS!$J$6:$J$71,MATCH($B634,SEMANAS!$B$6:$B$71,0)),0)</f>
        <v>10.088</v>
      </c>
      <c r="W634" s="18" t="n">
        <f aca="false">MAX(0,$T634-$V634)</f>
        <v>25.447</v>
      </c>
      <c r="X634" s="19" t="n">
        <f aca="false">IFERROR(INDEX(CADASTRO_PIVOS!$K$6:$K$41,MATCH($E634,CADASTRO_PIVOS!$B$6:$B$41,0)),EFICIENCIA_PADRAO)</f>
        <v>0.85</v>
      </c>
      <c r="Y634" s="18" t="n">
        <f aca="false">IF($X634&lt;=0,0,$W634/$X634)</f>
        <v>29.9376470588235</v>
      </c>
      <c r="Z634" s="16" t="n">
        <f aca="false">$Y634*$H634*MM_PARA_M3_HA</f>
        <v>32931.4117647059</v>
      </c>
      <c r="AA634" s="18" t="n">
        <f aca="false">IFERROR(INDEX(CADASTRO_PIVOS!$I$6:$I$41,MATCH($E634,CADASTRO_PIVOS!$B$6:$B$41,0)),0)</f>
        <v>785.714285714286</v>
      </c>
      <c r="AB634" s="18" t="n">
        <f aca="false">IF($Z634&lt;=0,0,$Z634/$AA634)</f>
        <v>41.9127058823529</v>
      </c>
      <c r="AC634" s="16" t="n">
        <f aca="false">IFERROR(INDEX(SEMANAS!$K$6:$K$71,MATCH($B634,SEMANAS!$B$6:$B$71,0)),0)</f>
        <v>147</v>
      </c>
      <c r="AD634" s="19" t="n">
        <f aca="false">IF($AC634&lt;=0,0,$AB634/$AC634)</f>
        <v>0.285120448179272</v>
      </c>
      <c r="AE634" s="8" t="str">
        <f aca="false">IF($K634="SEM CULTURA","SEM CULTURA",IF($AA634&lt;=0,"DADO PENDENTE",IF($AD634&gt;LIMITE_CRITICO,"INVIAVEL",IF($AD634&gt;LIMITE_ATENCAO,"CRITICO",IF($AD634&gt;LIMITE_CONFORTAVEL,"ATENCAO","OK")))))</f>
        <v>OK</v>
      </c>
      <c r="AF634" s="8" t="str">
        <f aca="false">$B634&amp;"|"&amp;TEXT($AD634,"0.000000")</f>
        <v>35|0.285120</v>
      </c>
      <c r="AG634" s="18" t="n">
        <f aca="false">IF($K634="SEM CULTURA",0,$T634*$H634)</f>
        <v>3908.85</v>
      </c>
      <c r="AH634" s="18" t="n">
        <f aca="false">IF($K634="SEM CULTURA",0,$V634*$H634)</f>
        <v>1109.68</v>
      </c>
      <c r="AI634" s="18" t="n">
        <f aca="false">IF($K634="SEM CULTURA",0,$W634*$H634)</f>
        <v>2799.17</v>
      </c>
      <c r="AJ634" s="18" t="n">
        <f aca="false">IF($K634="SEM CULTURA",0,$S634*$H634)</f>
        <v>3399</v>
      </c>
      <c r="AK634" s="8" t="str">
        <f aca="false">$E634&amp;"|"&amp;TEXT($AD634,"0.000000")</f>
        <v>PV 110|0.285120</v>
      </c>
    </row>
    <row r="635" customFormat="false" ht="15" hidden="false" customHeight="false" outlineLevel="0" collapsed="false">
      <c r="B635" s="16" t="n">
        <v>36</v>
      </c>
      <c r="C635" s="17" t="n">
        <f aca="false">DATA_INICIO_SAFRA+($B635-1)*DIAS_POR_SEMANA</f>
        <v>46510</v>
      </c>
      <c r="D635" s="17" t="n">
        <f aca="false">$C635+DIAS_POR_SEMANA-1</f>
        <v>46516</v>
      </c>
      <c r="E635" s="15" t="s">
        <v>268</v>
      </c>
      <c r="F635" s="8" t="str">
        <f aca="false">IFERROR(INDEX(CADASTRO_PIVOS!$C$6:$C$41,MATCH($E635,CADASTRO_PIVOS!$B$6:$B$41,0)),"?")</f>
        <v>RM04</v>
      </c>
      <c r="G635" s="8" t="str">
        <f aca="false">IFERROR(INDEX(CADASTRO_PIVOS!$D$6:$D$41,MATCH($E635,CADASTRO_PIVOS!$B$6:$B$41,0)),"?")</f>
        <v>TR04</v>
      </c>
      <c r="H635" s="20" t="n">
        <f aca="false">IFERROR(INDEX(CADASTRO_PIVOS!$E$6:$E$41,MATCH($E635,CADASTRO_PIVOS!$B$6:$B$41,0)),0)</f>
        <v>110</v>
      </c>
      <c r="I635" s="16" t="n">
        <f aca="false">IFERROR(SUMIFS(ROTACAO_RDM!$B$6:$B$71,ROTACAO_RDM!$D$6:$D$71,$E635,ROTACAO_RDM!$I$6:$I$71,"&lt;="&amp;$C635+INT(DIAS_POR_SEMANA/2),ROTACAO_RDM!$J$6:$J$71,"&gt;="&amp;$C635+INT(DIAS_POR_SEMANA/2)),0)</f>
        <v>18</v>
      </c>
      <c r="J635" s="16" t="n">
        <f aca="false">IFERROR(MATCH($I635,ROTACAO_RDM!$B$6:$B$71,0),0)</f>
        <v>18</v>
      </c>
      <c r="K635" s="8" t="str">
        <f aca="false">IF($J635=0,"SEM CULTURA",INDEX(ROTACAO_RDM!$F$6:$F$71,$J635))</f>
        <v>ALGODAO</v>
      </c>
      <c r="L635" s="8" t="str">
        <f aca="false">IF($J635=0,"",INDEX(ROTACAO_RDM!$G$6:$G$71,$J635))</f>
        <v>FM 933 STP</v>
      </c>
      <c r="M635" s="17" t="n">
        <f aca="false">IF($J635=0,"",INDEX(ROTACAO_RDM!$I$6:$I$71,$J635))</f>
        <v>46422</v>
      </c>
      <c r="N635" s="16" t="n">
        <f aca="false">IF($J635=0,0,MAX(0,$C635+INT(DIAS_POR_SEMANA/2)-INDEX(ROTACAO_RDM!$I$6:$I$71,$J635)))</f>
        <v>91</v>
      </c>
      <c r="O635" s="19" t="n">
        <f aca="false">IF($J635=0,0,MIN(1,$N635/MAX(1,INDEX(ROTACAO_RDM!$K$6:$K$71,$J635))))</f>
        <v>0.466666666666667</v>
      </c>
      <c r="P635" s="16" t="n">
        <f aca="false">IF($J635=0,0,IFERROR(MATCH(INDEX(ROTACAO_RDM!$N$6:$N$71,$J635),PARAMETROS_CULTURAS!$B$6:$B$28,0),0))</f>
        <v>5</v>
      </c>
      <c r="Q635" s="8" t="str">
        <f aca="false">IF($P635=0,"-",IF($O635&lt;=INDEX(PARAMETROS_CULTURAS!$F$6:$F$28,$P635),"INICIAL",IF($O635&lt;=INDEX(PARAMETROS_CULTURAS!$F$6:$F$28,$P635)+INDEX(PARAMETROS_CULTURAS!$G$6:$G$28,$P635),"DESENVOLVIMENTO",IF($O635&lt;=INDEX(PARAMETROS_CULTURAS!$F$6:$F$28,$P635)+INDEX(PARAMETROS_CULTURAS!$G$6:$G$28,$P635)+INDEX(PARAMETROS_CULTURAS!$H$6:$H$28,$P635),"MEDIA","FINAL"))))</f>
        <v>MEDIA</v>
      </c>
      <c r="R635" s="24" t="n">
        <f aca="false">IF($P635=0,0,IF($O635&lt;=INDEX(PARAMETROS_CULTURAS!$F$6:$F$28,$P635),INDEX(PARAMETROS_CULTURAS!$K$6:$K$28,$P635),IF($O635&lt;=INDEX(PARAMETROS_CULTURAS!$F$6:$F$28,$P635)+INDEX(PARAMETROS_CULTURAS!$G$6:$G$28,$P635),INDEX(PARAMETROS_CULTURAS!$K$6:$K$28,$P635)+(INDEX(PARAMETROS_CULTURAS!$L$6:$L$28,$P635)-INDEX(PARAMETROS_CULTURAS!$K$6:$K$28,$P635))*($O635-INDEX(PARAMETROS_CULTURAS!$F$6:$F$28,$P635))/MAX(INDEX(PARAMETROS_CULTURAS!$G$6:$G$28,$P635),0.0001),IF($O635&lt;=INDEX(PARAMETROS_CULTURAS!$F$6:$F$28,$P635)+INDEX(PARAMETROS_CULTURAS!$G$6:$G$28,$P635)+INDEX(PARAMETROS_CULTURAS!$H$6:$H$28,$P635),INDEX(PARAMETROS_CULTURAS!$L$6:$L$28,$P635),INDEX(PARAMETROS_CULTURAS!$L$6:$L$28,$P635)+(INDEX(PARAMETROS_CULTURAS!$M$6:$M$28,$P635)-INDEX(PARAMETROS_CULTURAS!$L$6:$L$28,$P635))*($O635-INDEX(PARAMETROS_CULTURAS!$F$6:$F$28,$P635)-INDEX(PARAMETROS_CULTURAS!$G$6:$G$28,$P635)-INDEX(PARAMETROS_CULTURAS!$H$6:$H$28,$P635))/MAX(INDEX(PARAMETROS_CULTURAS!$I$6:$I$28,$P635),0.0001)))))</f>
        <v>1.15</v>
      </c>
      <c r="S635" s="18" t="n">
        <f aca="false">IFERROR(INDEX(SEMANAS!$H$6:$H$71,MATCH($B635,SEMANAS!$B$6:$B$71,0)),0)</f>
        <v>29.4</v>
      </c>
      <c r="T635" s="18" t="n">
        <f aca="false">$R635*$S635</f>
        <v>33.81</v>
      </c>
      <c r="U635" s="18" t="n">
        <f aca="false">IFERROR(INDEX(SEMANAS!$I$6:$I$71,MATCH($B635,SEMANAS!$B$6:$B$71,0)),0)</f>
        <v>3.36</v>
      </c>
      <c r="V635" s="18" t="n">
        <f aca="false">IFERROR(INDEX(SEMANAS!$J$6:$J$71,MATCH($B635,SEMANAS!$B$6:$B$71,0)),0)</f>
        <v>2.688</v>
      </c>
      <c r="W635" s="18" t="n">
        <f aca="false">MAX(0,$T635-$V635)</f>
        <v>31.122</v>
      </c>
      <c r="X635" s="19" t="n">
        <f aca="false">IFERROR(INDEX(CADASTRO_PIVOS!$K$6:$K$41,MATCH($E635,CADASTRO_PIVOS!$B$6:$B$41,0)),EFICIENCIA_PADRAO)</f>
        <v>0.85</v>
      </c>
      <c r="Y635" s="18" t="n">
        <f aca="false">IF($X635&lt;=0,0,$W635/$X635)</f>
        <v>36.6141176470588</v>
      </c>
      <c r="Z635" s="16" t="n">
        <f aca="false">$Y635*$H635*MM_PARA_M3_HA</f>
        <v>40275.5294117647</v>
      </c>
      <c r="AA635" s="18" t="n">
        <f aca="false">IFERROR(INDEX(CADASTRO_PIVOS!$I$6:$I$41,MATCH($E635,CADASTRO_PIVOS!$B$6:$B$41,0)),0)</f>
        <v>785.714285714286</v>
      </c>
      <c r="AB635" s="18" t="n">
        <f aca="false">IF($Z635&lt;=0,0,$Z635/$AA635)</f>
        <v>51.2597647058824</v>
      </c>
      <c r="AC635" s="16" t="n">
        <f aca="false">IFERROR(INDEX(SEMANAS!$K$6:$K$71,MATCH($B635,SEMANAS!$B$6:$B$71,0)),0)</f>
        <v>147</v>
      </c>
      <c r="AD635" s="19" t="n">
        <f aca="false">IF($AC635&lt;=0,0,$AB635/$AC635)</f>
        <v>0.348705882352941</v>
      </c>
      <c r="AE635" s="8" t="str">
        <f aca="false">IF($K635="SEM CULTURA","SEM CULTURA",IF($AA635&lt;=0,"DADO PENDENTE",IF($AD635&gt;LIMITE_CRITICO,"INVIAVEL",IF($AD635&gt;LIMITE_ATENCAO,"CRITICO",IF($AD635&gt;LIMITE_CONFORTAVEL,"ATENCAO","OK")))))</f>
        <v>OK</v>
      </c>
      <c r="AF635" s="8" t="str">
        <f aca="false">$B635&amp;"|"&amp;TEXT($AD635,"0.000000")</f>
        <v>36|0.348706</v>
      </c>
      <c r="AG635" s="18" t="n">
        <f aca="false">IF($K635="SEM CULTURA",0,$T635*$H635)</f>
        <v>3719.1</v>
      </c>
      <c r="AH635" s="18" t="n">
        <f aca="false">IF($K635="SEM CULTURA",0,$V635*$H635)</f>
        <v>295.68</v>
      </c>
      <c r="AI635" s="18" t="n">
        <f aca="false">IF($K635="SEM CULTURA",0,$W635*$H635)</f>
        <v>3423.42</v>
      </c>
      <c r="AJ635" s="18" t="n">
        <f aca="false">IF($K635="SEM CULTURA",0,$S635*$H635)</f>
        <v>3234</v>
      </c>
      <c r="AK635" s="8" t="str">
        <f aca="false">$E635&amp;"|"&amp;TEXT($AD635,"0.000000")</f>
        <v>PV 110|0.348706</v>
      </c>
    </row>
    <row r="636" customFormat="false" ht="15" hidden="false" customHeight="false" outlineLevel="0" collapsed="false">
      <c r="B636" s="16" t="n">
        <v>37</v>
      </c>
      <c r="C636" s="17" t="n">
        <f aca="false">DATA_INICIO_SAFRA+($B636-1)*DIAS_POR_SEMANA</f>
        <v>46517</v>
      </c>
      <c r="D636" s="17" t="n">
        <f aca="false">$C636+DIAS_POR_SEMANA-1</f>
        <v>46523</v>
      </c>
      <c r="E636" s="15" t="s">
        <v>268</v>
      </c>
      <c r="F636" s="8" t="str">
        <f aca="false">IFERROR(INDEX(CADASTRO_PIVOS!$C$6:$C$41,MATCH($E636,CADASTRO_PIVOS!$B$6:$B$41,0)),"?")</f>
        <v>RM04</v>
      </c>
      <c r="G636" s="8" t="str">
        <f aca="false">IFERROR(INDEX(CADASTRO_PIVOS!$D$6:$D$41,MATCH($E636,CADASTRO_PIVOS!$B$6:$B$41,0)),"?")</f>
        <v>TR04</v>
      </c>
      <c r="H636" s="20" t="n">
        <f aca="false">IFERROR(INDEX(CADASTRO_PIVOS!$E$6:$E$41,MATCH($E636,CADASTRO_PIVOS!$B$6:$B$41,0)),0)</f>
        <v>110</v>
      </c>
      <c r="I636" s="16" t="n">
        <f aca="false">IFERROR(SUMIFS(ROTACAO_RDM!$B$6:$B$71,ROTACAO_RDM!$D$6:$D$71,$E636,ROTACAO_RDM!$I$6:$I$71,"&lt;="&amp;$C636+INT(DIAS_POR_SEMANA/2),ROTACAO_RDM!$J$6:$J$71,"&gt;="&amp;$C636+INT(DIAS_POR_SEMANA/2)),0)</f>
        <v>18</v>
      </c>
      <c r="J636" s="16" t="n">
        <f aca="false">IFERROR(MATCH($I636,ROTACAO_RDM!$B$6:$B$71,0),0)</f>
        <v>18</v>
      </c>
      <c r="K636" s="8" t="str">
        <f aca="false">IF($J636=0,"SEM CULTURA",INDEX(ROTACAO_RDM!$F$6:$F$71,$J636))</f>
        <v>ALGODAO</v>
      </c>
      <c r="L636" s="8" t="str">
        <f aca="false">IF($J636=0,"",INDEX(ROTACAO_RDM!$G$6:$G$71,$J636))</f>
        <v>FM 933 STP</v>
      </c>
      <c r="M636" s="17" t="n">
        <f aca="false">IF($J636=0,"",INDEX(ROTACAO_RDM!$I$6:$I$71,$J636))</f>
        <v>46422</v>
      </c>
      <c r="N636" s="16" t="n">
        <f aca="false">IF($J636=0,0,MAX(0,$C636+INT(DIAS_POR_SEMANA/2)-INDEX(ROTACAO_RDM!$I$6:$I$71,$J636)))</f>
        <v>98</v>
      </c>
      <c r="O636" s="19" t="n">
        <f aca="false">IF($J636=0,0,MIN(1,$N636/MAX(1,INDEX(ROTACAO_RDM!$K$6:$K$71,$J636))))</f>
        <v>0.502564102564103</v>
      </c>
      <c r="P636" s="16" t="n">
        <f aca="false">IF($J636=0,0,IFERROR(MATCH(INDEX(ROTACAO_RDM!$N$6:$N$71,$J636),PARAMETROS_CULTURAS!$B$6:$B$28,0),0))</f>
        <v>5</v>
      </c>
      <c r="Q636" s="8" t="str">
        <f aca="false">IF($P636=0,"-",IF($O636&lt;=INDEX(PARAMETROS_CULTURAS!$F$6:$F$28,$P636),"INICIAL",IF($O636&lt;=INDEX(PARAMETROS_CULTURAS!$F$6:$F$28,$P636)+INDEX(PARAMETROS_CULTURAS!$G$6:$G$28,$P636),"DESENVOLVIMENTO",IF($O636&lt;=INDEX(PARAMETROS_CULTURAS!$F$6:$F$28,$P636)+INDEX(PARAMETROS_CULTURAS!$G$6:$G$28,$P636)+INDEX(PARAMETROS_CULTURAS!$H$6:$H$28,$P636),"MEDIA","FINAL"))))</f>
        <v>MEDIA</v>
      </c>
      <c r="R636" s="24" t="n">
        <f aca="false">IF($P636=0,0,IF($O636&lt;=INDEX(PARAMETROS_CULTURAS!$F$6:$F$28,$P636),INDEX(PARAMETROS_CULTURAS!$K$6:$K$28,$P636),IF($O636&lt;=INDEX(PARAMETROS_CULTURAS!$F$6:$F$28,$P636)+INDEX(PARAMETROS_CULTURAS!$G$6:$G$28,$P636),INDEX(PARAMETROS_CULTURAS!$K$6:$K$28,$P636)+(INDEX(PARAMETROS_CULTURAS!$L$6:$L$28,$P636)-INDEX(PARAMETROS_CULTURAS!$K$6:$K$28,$P636))*($O636-INDEX(PARAMETROS_CULTURAS!$F$6:$F$28,$P636))/MAX(INDEX(PARAMETROS_CULTURAS!$G$6:$G$28,$P636),0.0001),IF($O636&lt;=INDEX(PARAMETROS_CULTURAS!$F$6:$F$28,$P636)+INDEX(PARAMETROS_CULTURAS!$G$6:$G$28,$P636)+INDEX(PARAMETROS_CULTURAS!$H$6:$H$28,$P636),INDEX(PARAMETROS_CULTURAS!$L$6:$L$28,$P636),INDEX(PARAMETROS_CULTURAS!$L$6:$L$28,$P636)+(INDEX(PARAMETROS_CULTURAS!$M$6:$M$28,$P636)-INDEX(PARAMETROS_CULTURAS!$L$6:$L$28,$P636))*($O636-INDEX(PARAMETROS_CULTURAS!$F$6:$F$28,$P636)-INDEX(PARAMETROS_CULTURAS!$G$6:$G$28,$P636)-INDEX(PARAMETROS_CULTURAS!$H$6:$H$28,$P636))/MAX(INDEX(PARAMETROS_CULTURAS!$I$6:$I$28,$P636),0.0001)))))</f>
        <v>1.15</v>
      </c>
      <c r="S636" s="18" t="n">
        <f aca="false">IFERROR(INDEX(SEMANAS!$H$6:$H$71,MATCH($B636,SEMANAS!$B$6:$B$71,0)),0)</f>
        <v>29.4</v>
      </c>
      <c r="T636" s="18" t="n">
        <f aca="false">$R636*$S636</f>
        <v>33.81</v>
      </c>
      <c r="U636" s="18" t="n">
        <f aca="false">IFERROR(INDEX(SEMANAS!$I$6:$I$71,MATCH($B636,SEMANAS!$B$6:$B$71,0)),0)</f>
        <v>3.36</v>
      </c>
      <c r="V636" s="18" t="n">
        <f aca="false">IFERROR(INDEX(SEMANAS!$J$6:$J$71,MATCH($B636,SEMANAS!$B$6:$B$71,0)),0)</f>
        <v>2.688</v>
      </c>
      <c r="W636" s="18" t="n">
        <f aca="false">MAX(0,$T636-$V636)</f>
        <v>31.122</v>
      </c>
      <c r="X636" s="19" t="n">
        <f aca="false">IFERROR(INDEX(CADASTRO_PIVOS!$K$6:$K$41,MATCH($E636,CADASTRO_PIVOS!$B$6:$B$41,0)),EFICIENCIA_PADRAO)</f>
        <v>0.85</v>
      </c>
      <c r="Y636" s="18" t="n">
        <f aca="false">IF($X636&lt;=0,0,$W636/$X636)</f>
        <v>36.6141176470588</v>
      </c>
      <c r="Z636" s="16" t="n">
        <f aca="false">$Y636*$H636*MM_PARA_M3_HA</f>
        <v>40275.5294117647</v>
      </c>
      <c r="AA636" s="18" t="n">
        <f aca="false">IFERROR(INDEX(CADASTRO_PIVOS!$I$6:$I$41,MATCH($E636,CADASTRO_PIVOS!$B$6:$B$41,0)),0)</f>
        <v>785.714285714286</v>
      </c>
      <c r="AB636" s="18" t="n">
        <f aca="false">IF($Z636&lt;=0,0,$Z636/$AA636)</f>
        <v>51.2597647058824</v>
      </c>
      <c r="AC636" s="16" t="n">
        <f aca="false">IFERROR(INDEX(SEMANAS!$K$6:$K$71,MATCH($B636,SEMANAS!$B$6:$B$71,0)),0)</f>
        <v>147</v>
      </c>
      <c r="AD636" s="19" t="n">
        <f aca="false">IF($AC636&lt;=0,0,$AB636/$AC636)</f>
        <v>0.348705882352941</v>
      </c>
      <c r="AE636" s="8" t="str">
        <f aca="false">IF($K636="SEM CULTURA","SEM CULTURA",IF($AA636&lt;=0,"DADO PENDENTE",IF($AD636&gt;LIMITE_CRITICO,"INVIAVEL",IF($AD636&gt;LIMITE_ATENCAO,"CRITICO",IF($AD636&gt;LIMITE_CONFORTAVEL,"ATENCAO","OK")))))</f>
        <v>OK</v>
      </c>
      <c r="AF636" s="8" t="str">
        <f aca="false">$B636&amp;"|"&amp;TEXT($AD636,"0.000000")</f>
        <v>37|0.348706</v>
      </c>
      <c r="AG636" s="18" t="n">
        <f aca="false">IF($K636="SEM CULTURA",0,$T636*$H636)</f>
        <v>3719.1</v>
      </c>
      <c r="AH636" s="18" t="n">
        <f aca="false">IF($K636="SEM CULTURA",0,$V636*$H636)</f>
        <v>295.68</v>
      </c>
      <c r="AI636" s="18" t="n">
        <f aca="false">IF($K636="SEM CULTURA",0,$W636*$H636)</f>
        <v>3423.42</v>
      </c>
      <c r="AJ636" s="18" t="n">
        <f aca="false">IF($K636="SEM CULTURA",0,$S636*$H636)</f>
        <v>3234</v>
      </c>
      <c r="AK636" s="8" t="str">
        <f aca="false">$E636&amp;"|"&amp;TEXT($AD636,"0.000000")</f>
        <v>PV 110|0.348706</v>
      </c>
    </row>
    <row r="637" customFormat="false" ht="15" hidden="false" customHeight="false" outlineLevel="0" collapsed="false">
      <c r="B637" s="16" t="n">
        <v>38</v>
      </c>
      <c r="C637" s="17" t="n">
        <f aca="false">DATA_INICIO_SAFRA+($B637-1)*DIAS_POR_SEMANA</f>
        <v>46524</v>
      </c>
      <c r="D637" s="17" t="n">
        <f aca="false">$C637+DIAS_POR_SEMANA-1</f>
        <v>46530</v>
      </c>
      <c r="E637" s="15" t="s">
        <v>268</v>
      </c>
      <c r="F637" s="8" t="str">
        <f aca="false">IFERROR(INDEX(CADASTRO_PIVOS!$C$6:$C$41,MATCH($E637,CADASTRO_PIVOS!$B$6:$B$41,0)),"?")</f>
        <v>RM04</v>
      </c>
      <c r="G637" s="8" t="str">
        <f aca="false">IFERROR(INDEX(CADASTRO_PIVOS!$D$6:$D$41,MATCH($E637,CADASTRO_PIVOS!$B$6:$B$41,0)),"?")</f>
        <v>TR04</v>
      </c>
      <c r="H637" s="20" t="n">
        <f aca="false">IFERROR(INDEX(CADASTRO_PIVOS!$E$6:$E$41,MATCH($E637,CADASTRO_PIVOS!$B$6:$B$41,0)),0)</f>
        <v>110</v>
      </c>
      <c r="I637" s="16" t="n">
        <f aca="false">IFERROR(SUMIFS(ROTACAO_RDM!$B$6:$B$71,ROTACAO_RDM!$D$6:$D$71,$E637,ROTACAO_RDM!$I$6:$I$71,"&lt;="&amp;$C637+INT(DIAS_POR_SEMANA/2),ROTACAO_RDM!$J$6:$J$71,"&gt;="&amp;$C637+INT(DIAS_POR_SEMANA/2)),0)</f>
        <v>18</v>
      </c>
      <c r="J637" s="16" t="n">
        <f aca="false">IFERROR(MATCH($I637,ROTACAO_RDM!$B$6:$B$71,0),0)</f>
        <v>18</v>
      </c>
      <c r="K637" s="8" t="str">
        <f aca="false">IF($J637=0,"SEM CULTURA",INDEX(ROTACAO_RDM!$F$6:$F$71,$J637))</f>
        <v>ALGODAO</v>
      </c>
      <c r="L637" s="8" t="str">
        <f aca="false">IF($J637=0,"",INDEX(ROTACAO_RDM!$G$6:$G$71,$J637))</f>
        <v>FM 933 STP</v>
      </c>
      <c r="M637" s="17" t="n">
        <f aca="false">IF($J637=0,"",INDEX(ROTACAO_RDM!$I$6:$I$71,$J637))</f>
        <v>46422</v>
      </c>
      <c r="N637" s="16" t="n">
        <f aca="false">IF($J637=0,0,MAX(0,$C637+INT(DIAS_POR_SEMANA/2)-INDEX(ROTACAO_RDM!$I$6:$I$71,$J637)))</f>
        <v>105</v>
      </c>
      <c r="O637" s="19" t="n">
        <f aca="false">IF($J637=0,0,MIN(1,$N637/MAX(1,INDEX(ROTACAO_RDM!$K$6:$K$71,$J637))))</f>
        <v>0.538461538461538</v>
      </c>
      <c r="P637" s="16" t="n">
        <f aca="false">IF($J637=0,0,IFERROR(MATCH(INDEX(ROTACAO_RDM!$N$6:$N$71,$J637),PARAMETROS_CULTURAS!$B$6:$B$28,0),0))</f>
        <v>5</v>
      </c>
      <c r="Q637" s="8" t="str">
        <f aca="false">IF($P637=0,"-",IF($O637&lt;=INDEX(PARAMETROS_CULTURAS!$F$6:$F$28,$P637),"INICIAL",IF($O637&lt;=INDEX(PARAMETROS_CULTURAS!$F$6:$F$28,$P637)+INDEX(PARAMETROS_CULTURAS!$G$6:$G$28,$P637),"DESENVOLVIMENTO",IF($O637&lt;=INDEX(PARAMETROS_CULTURAS!$F$6:$F$28,$P637)+INDEX(PARAMETROS_CULTURAS!$G$6:$G$28,$P637)+INDEX(PARAMETROS_CULTURAS!$H$6:$H$28,$P637),"MEDIA","FINAL"))))</f>
        <v>MEDIA</v>
      </c>
      <c r="R637" s="24" t="n">
        <f aca="false">IF($P637=0,0,IF($O637&lt;=INDEX(PARAMETROS_CULTURAS!$F$6:$F$28,$P637),INDEX(PARAMETROS_CULTURAS!$K$6:$K$28,$P637),IF($O637&lt;=INDEX(PARAMETROS_CULTURAS!$F$6:$F$28,$P637)+INDEX(PARAMETROS_CULTURAS!$G$6:$G$28,$P637),INDEX(PARAMETROS_CULTURAS!$K$6:$K$28,$P637)+(INDEX(PARAMETROS_CULTURAS!$L$6:$L$28,$P637)-INDEX(PARAMETROS_CULTURAS!$K$6:$K$28,$P637))*($O637-INDEX(PARAMETROS_CULTURAS!$F$6:$F$28,$P637))/MAX(INDEX(PARAMETROS_CULTURAS!$G$6:$G$28,$P637),0.0001),IF($O637&lt;=INDEX(PARAMETROS_CULTURAS!$F$6:$F$28,$P637)+INDEX(PARAMETROS_CULTURAS!$G$6:$G$28,$P637)+INDEX(PARAMETROS_CULTURAS!$H$6:$H$28,$P637),INDEX(PARAMETROS_CULTURAS!$L$6:$L$28,$P637),INDEX(PARAMETROS_CULTURAS!$L$6:$L$28,$P637)+(INDEX(PARAMETROS_CULTURAS!$M$6:$M$28,$P637)-INDEX(PARAMETROS_CULTURAS!$L$6:$L$28,$P637))*($O637-INDEX(PARAMETROS_CULTURAS!$F$6:$F$28,$P637)-INDEX(PARAMETROS_CULTURAS!$G$6:$G$28,$P637)-INDEX(PARAMETROS_CULTURAS!$H$6:$H$28,$P637))/MAX(INDEX(PARAMETROS_CULTURAS!$I$6:$I$28,$P637),0.0001)))))</f>
        <v>1.15</v>
      </c>
      <c r="S637" s="18" t="n">
        <f aca="false">IFERROR(INDEX(SEMANAS!$H$6:$H$71,MATCH($B637,SEMANAS!$B$6:$B$71,0)),0)</f>
        <v>29.4</v>
      </c>
      <c r="T637" s="18" t="n">
        <f aca="false">$R637*$S637</f>
        <v>33.81</v>
      </c>
      <c r="U637" s="18" t="n">
        <f aca="false">IFERROR(INDEX(SEMANAS!$I$6:$I$71,MATCH($B637,SEMANAS!$B$6:$B$71,0)),0)</f>
        <v>3.36</v>
      </c>
      <c r="V637" s="18" t="n">
        <f aca="false">IFERROR(INDEX(SEMANAS!$J$6:$J$71,MATCH($B637,SEMANAS!$B$6:$B$71,0)),0)</f>
        <v>2.688</v>
      </c>
      <c r="W637" s="18" t="n">
        <f aca="false">MAX(0,$T637-$V637)</f>
        <v>31.122</v>
      </c>
      <c r="X637" s="19" t="n">
        <f aca="false">IFERROR(INDEX(CADASTRO_PIVOS!$K$6:$K$41,MATCH($E637,CADASTRO_PIVOS!$B$6:$B$41,0)),EFICIENCIA_PADRAO)</f>
        <v>0.85</v>
      </c>
      <c r="Y637" s="18" t="n">
        <f aca="false">IF($X637&lt;=0,0,$W637/$X637)</f>
        <v>36.6141176470588</v>
      </c>
      <c r="Z637" s="16" t="n">
        <f aca="false">$Y637*$H637*MM_PARA_M3_HA</f>
        <v>40275.5294117647</v>
      </c>
      <c r="AA637" s="18" t="n">
        <f aca="false">IFERROR(INDEX(CADASTRO_PIVOS!$I$6:$I$41,MATCH($E637,CADASTRO_PIVOS!$B$6:$B$41,0)),0)</f>
        <v>785.714285714286</v>
      </c>
      <c r="AB637" s="18" t="n">
        <f aca="false">IF($Z637&lt;=0,0,$Z637/$AA637)</f>
        <v>51.2597647058824</v>
      </c>
      <c r="AC637" s="16" t="n">
        <f aca="false">IFERROR(INDEX(SEMANAS!$K$6:$K$71,MATCH($B637,SEMANAS!$B$6:$B$71,0)),0)</f>
        <v>147</v>
      </c>
      <c r="AD637" s="19" t="n">
        <f aca="false">IF($AC637&lt;=0,0,$AB637/$AC637)</f>
        <v>0.348705882352941</v>
      </c>
      <c r="AE637" s="8" t="str">
        <f aca="false">IF($K637="SEM CULTURA","SEM CULTURA",IF($AA637&lt;=0,"DADO PENDENTE",IF($AD637&gt;LIMITE_CRITICO,"INVIAVEL",IF($AD637&gt;LIMITE_ATENCAO,"CRITICO",IF($AD637&gt;LIMITE_CONFORTAVEL,"ATENCAO","OK")))))</f>
        <v>OK</v>
      </c>
      <c r="AF637" s="8" t="str">
        <f aca="false">$B637&amp;"|"&amp;TEXT($AD637,"0.000000")</f>
        <v>38|0.348706</v>
      </c>
      <c r="AG637" s="18" t="n">
        <f aca="false">IF($K637="SEM CULTURA",0,$T637*$H637)</f>
        <v>3719.1</v>
      </c>
      <c r="AH637" s="18" t="n">
        <f aca="false">IF($K637="SEM CULTURA",0,$V637*$H637)</f>
        <v>295.68</v>
      </c>
      <c r="AI637" s="18" t="n">
        <f aca="false">IF($K637="SEM CULTURA",0,$W637*$H637)</f>
        <v>3423.42</v>
      </c>
      <c r="AJ637" s="18" t="n">
        <f aca="false">IF($K637="SEM CULTURA",0,$S637*$H637)</f>
        <v>3234</v>
      </c>
      <c r="AK637" s="8" t="str">
        <f aca="false">$E637&amp;"|"&amp;TEXT($AD637,"0.000000")</f>
        <v>PV 110|0.348706</v>
      </c>
    </row>
    <row r="638" customFormat="false" ht="15" hidden="false" customHeight="false" outlineLevel="0" collapsed="false">
      <c r="B638" s="16" t="n">
        <v>39</v>
      </c>
      <c r="C638" s="17" t="n">
        <f aca="false">DATA_INICIO_SAFRA+($B638-1)*DIAS_POR_SEMANA</f>
        <v>46531</v>
      </c>
      <c r="D638" s="17" t="n">
        <f aca="false">$C638+DIAS_POR_SEMANA-1</f>
        <v>46537</v>
      </c>
      <c r="E638" s="15" t="s">
        <v>268</v>
      </c>
      <c r="F638" s="8" t="str">
        <f aca="false">IFERROR(INDEX(CADASTRO_PIVOS!$C$6:$C$41,MATCH($E638,CADASTRO_PIVOS!$B$6:$B$41,0)),"?")</f>
        <v>RM04</v>
      </c>
      <c r="G638" s="8" t="str">
        <f aca="false">IFERROR(INDEX(CADASTRO_PIVOS!$D$6:$D$41,MATCH($E638,CADASTRO_PIVOS!$B$6:$B$41,0)),"?")</f>
        <v>TR04</v>
      </c>
      <c r="H638" s="20" t="n">
        <f aca="false">IFERROR(INDEX(CADASTRO_PIVOS!$E$6:$E$41,MATCH($E638,CADASTRO_PIVOS!$B$6:$B$41,0)),0)</f>
        <v>110</v>
      </c>
      <c r="I638" s="16" t="n">
        <f aca="false">IFERROR(SUMIFS(ROTACAO_RDM!$B$6:$B$71,ROTACAO_RDM!$D$6:$D$71,$E638,ROTACAO_RDM!$I$6:$I$71,"&lt;="&amp;$C638+INT(DIAS_POR_SEMANA/2),ROTACAO_RDM!$J$6:$J$71,"&gt;="&amp;$C638+INT(DIAS_POR_SEMANA/2)),0)</f>
        <v>18</v>
      </c>
      <c r="J638" s="16" t="n">
        <f aca="false">IFERROR(MATCH($I638,ROTACAO_RDM!$B$6:$B$71,0),0)</f>
        <v>18</v>
      </c>
      <c r="K638" s="8" t="str">
        <f aca="false">IF($J638=0,"SEM CULTURA",INDEX(ROTACAO_RDM!$F$6:$F$71,$J638))</f>
        <v>ALGODAO</v>
      </c>
      <c r="L638" s="8" t="str">
        <f aca="false">IF($J638=0,"",INDEX(ROTACAO_RDM!$G$6:$G$71,$J638))</f>
        <v>FM 933 STP</v>
      </c>
      <c r="M638" s="17" t="n">
        <f aca="false">IF($J638=0,"",INDEX(ROTACAO_RDM!$I$6:$I$71,$J638))</f>
        <v>46422</v>
      </c>
      <c r="N638" s="16" t="n">
        <f aca="false">IF($J638=0,0,MAX(0,$C638+INT(DIAS_POR_SEMANA/2)-INDEX(ROTACAO_RDM!$I$6:$I$71,$J638)))</f>
        <v>112</v>
      </c>
      <c r="O638" s="19" t="n">
        <f aca="false">IF($J638=0,0,MIN(1,$N638/MAX(1,INDEX(ROTACAO_RDM!$K$6:$K$71,$J638))))</f>
        <v>0.574358974358974</v>
      </c>
      <c r="P638" s="16" t="n">
        <f aca="false">IF($J638=0,0,IFERROR(MATCH(INDEX(ROTACAO_RDM!$N$6:$N$71,$J638),PARAMETROS_CULTURAS!$B$6:$B$28,0),0))</f>
        <v>5</v>
      </c>
      <c r="Q638" s="8" t="str">
        <f aca="false">IF($P638=0,"-",IF($O638&lt;=INDEX(PARAMETROS_CULTURAS!$F$6:$F$28,$P638),"INICIAL",IF($O638&lt;=INDEX(PARAMETROS_CULTURAS!$F$6:$F$28,$P638)+INDEX(PARAMETROS_CULTURAS!$G$6:$G$28,$P638),"DESENVOLVIMENTO",IF($O638&lt;=INDEX(PARAMETROS_CULTURAS!$F$6:$F$28,$P638)+INDEX(PARAMETROS_CULTURAS!$G$6:$G$28,$P638)+INDEX(PARAMETROS_CULTURAS!$H$6:$H$28,$P638),"MEDIA","FINAL"))))</f>
        <v>MEDIA</v>
      </c>
      <c r="R638" s="24" t="n">
        <f aca="false">IF($P638=0,0,IF($O638&lt;=INDEX(PARAMETROS_CULTURAS!$F$6:$F$28,$P638),INDEX(PARAMETROS_CULTURAS!$K$6:$K$28,$P638),IF($O638&lt;=INDEX(PARAMETROS_CULTURAS!$F$6:$F$28,$P638)+INDEX(PARAMETROS_CULTURAS!$G$6:$G$28,$P638),INDEX(PARAMETROS_CULTURAS!$K$6:$K$28,$P638)+(INDEX(PARAMETROS_CULTURAS!$L$6:$L$28,$P638)-INDEX(PARAMETROS_CULTURAS!$K$6:$K$28,$P638))*($O638-INDEX(PARAMETROS_CULTURAS!$F$6:$F$28,$P638))/MAX(INDEX(PARAMETROS_CULTURAS!$G$6:$G$28,$P638),0.0001),IF($O638&lt;=INDEX(PARAMETROS_CULTURAS!$F$6:$F$28,$P638)+INDEX(PARAMETROS_CULTURAS!$G$6:$G$28,$P638)+INDEX(PARAMETROS_CULTURAS!$H$6:$H$28,$P638),INDEX(PARAMETROS_CULTURAS!$L$6:$L$28,$P638),INDEX(PARAMETROS_CULTURAS!$L$6:$L$28,$P638)+(INDEX(PARAMETROS_CULTURAS!$M$6:$M$28,$P638)-INDEX(PARAMETROS_CULTURAS!$L$6:$L$28,$P638))*($O638-INDEX(PARAMETROS_CULTURAS!$F$6:$F$28,$P638)-INDEX(PARAMETROS_CULTURAS!$G$6:$G$28,$P638)-INDEX(PARAMETROS_CULTURAS!$H$6:$H$28,$P638))/MAX(INDEX(PARAMETROS_CULTURAS!$I$6:$I$28,$P638),0.0001)))))</f>
        <v>1.15</v>
      </c>
      <c r="S638" s="18" t="n">
        <f aca="false">IFERROR(INDEX(SEMANAS!$H$6:$H$71,MATCH($B638,SEMANAS!$B$6:$B$71,0)),0)</f>
        <v>29.4</v>
      </c>
      <c r="T638" s="18" t="n">
        <f aca="false">$R638*$S638</f>
        <v>33.81</v>
      </c>
      <c r="U638" s="18" t="n">
        <f aca="false">IFERROR(INDEX(SEMANAS!$I$6:$I$71,MATCH($B638,SEMANAS!$B$6:$B$71,0)),0)</f>
        <v>3.36</v>
      </c>
      <c r="V638" s="18" t="n">
        <f aca="false">IFERROR(INDEX(SEMANAS!$J$6:$J$71,MATCH($B638,SEMANAS!$B$6:$B$71,0)),0)</f>
        <v>2.688</v>
      </c>
      <c r="W638" s="18" t="n">
        <f aca="false">MAX(0,$T638-$V638)</f>
        <v>31.122</v>
      </c>
      <c r="X638" s="19" t="n">
        <f aca="false">IFERROR(INDEX(CADASTRO_PIVOS!$K$6:$K$41,MATCH($E638,CADASTRO_PIVOS!$B$6:$B$41,0)),EFICIENCIA_PADRAO)</f>
        <v>0.85</v>
      </c>
      <c r="Y638" s="18" t="n">
        <f aca="false">IF($X638&lt;=0,0,$W638/$X638)</f>
        <v>36.6141176470588</v>
      </c>
      <c r="Z638" s="16" t="n">
        <f aca="false">$Y638*$H638*MM_PARA_M3_HA</f>
        <v>40275.5294117647</v>
      </c>
      <c r="AA638" s="18" t="n">
        <f aca="false">IFERROR(INDEX(CADASTRO_PIVOS!$I$6:$I$41,MATCH($E638,CADASTRO_PIVOS!$B$6:$B$41,0)),0)</f>
        <v>785.714285714286</v>
      </c>
      <c r="AB638" s="18" t="n">
        <f aca="false">IF($Z638&lt;=0,0,$Z638/$AA638)</f>
        <v>51.2597647058824</v>
      </c>
      <c r="AC638" s="16" t="n">
        <f aca="false">IFERROR(INDEX(SEMANAS!$K$6:$K$71,MATCH($B638,SEMANAS!$B$6:$B$71,0)),0)</f>
        <v>147</v>
      </c>
      <c r="AD638" s="19" t="n">
        <f aca="false">IF($AC638&lt;=0,0,$AB638/$AC638)</f>
        <v>0.348705882352941</v>
      </c>
      <c r="AE638" s="8" t="str">
        <f aca="false">IF($K638="SEM CULTURA","SEM CULTURA",IF($AA638&lt;=0,"DADO PENDENTE",IF($AD638&gt;LIMITE_CRITICO,"INVIAVEL",IF($AD638&gt;LIMITE_ATENCAO,"CRITICO",IF($AD638&gt;LIMITE_CONFORTAVEL,"ATENCAO","OK")))))</f>
        <v>OK</v>
      </c>
      <c r="AF638" s="8" t="str">
        <f aca="false">$B638&amp;"|"&amp;TEXT($AD638,"0.000000")</f>
        <v>39|0.348706</v>
      </c>
      <c r="AG638" s="18" t="n">
        <f aca="false">IF($K638="SEM CULTURA",0,$T638*$H638)</f>
        <v>3719.1</v>
      </c>
      <c r="AH638" s="18" t="n">
        <f aca="false">IF($K638="SEM CULTURA",0,$V638*$H638)</f>
        <v>295.68</v>
      </c>
      <c r="AI638" s="18" t="n">
        <f aca="false">IF($K638="SEM CULTURA",0,$W638*$H638)</f>
        <v>3423.42</v>
      </c>
      <c r="AJ638" s="18" t="n">
        <f aca="false">IF($K638="SEM CULTURA",0,$S638*$H638)</f>
        <v>3234</v>
      </c>
      <c r="AK638" s="8" t="str">
        <f aca="false">$E638&amp;"|"&amp;TEXT($AD638,"0.000000")</f>
        <v>PV 110|0.348706</v>
      </c>
    </row>
    <row r="639" customFormat="false" ht="15" hidden="false" customHeight="false" outlineLevel="0" collapsed="false">
      <c r="B639" s="16" t="n">
        <v>40</v>
      </c>
      <c r="C639" s="17" t="n">
        <f aca="false">DATA_INICIO_SAFRA+($B639-1)*DIAS_POR_SEMANA</f>
        <v>46538</v>
      </c>
      <c r="D639" s="17" t="n">
        <f aca="false">$C639+DIAS_POR_SEMANA-1</f>
        <v>46544</v>
      </c>
      <c r="E639" s="15" t="s">
        <v>268</v>
      </c>
      <c r="F639" s="8" t="str">
        <f aca="false">IFERROR(INDEX(CADASTRO_PIVOS!$C$6:$C$41,MATCH($E639,CADASTRO_PIVOS!$B$6:$B$41,0)),"?")</f>
        <v>RM04</v>
      </c>
      <c r="G639" s="8" t="str">
        <f aca="false">IFERROR(INDEX(CADASTRO_PIVOS!$D$6:$D$41,MATCH($E639,CADASTRO_PIVOS!$B$6:$B$41,0)),"?")</f>
        <v>TR04</v>
      </c>
      <c r="H639" s="20" t="n">
        <f aca="false">IFERROR(INDEX(CADASTRO_PIVOS!$E$6:$E$41,MATCH($E639,CADASTRO_PIVOS!$B$6:$B$41,0)),0)</f>
        <v>110</v>
      </c>
      <c r="I639" s="16" t="n">
        <f aca="false">IFERROR(SUMIFS(ROTACAO_RDM!$B$6:$B$71,ROTACAO_RDM!$D$6:$D$71,$E639,ROTACAO_RDM!$I$6:$I$71,"&lt;="&amp;$C639+INT(DIAS_POR_SEMANA/2),ROTACAO_RDM!$J$6:$J$71,"&gt;="&amp;$C639+INT(DIAS_POR_SEMANA/2)),0)</f>
        <v>18</v>
      </c>
      <c r="J639" s="16" t="n">
        <f aca="false">IFERROR(MATCH($I639,ROTACAO_RDM!$B$6:$B$71,0),0)</f>
        <v>18</v>
      </c>
      <c r="K639" s="8" t="str">
        <f aca="false">IF($J639=0,"SEM CULTURA",INDEX(ROTACAO_RDM!$F$6:$F$71,$J639))</f>
        <v>ALGODAO</v>
      </c>
      <c r="L639" s="8" t="str">
        <f aca="false">IF($J639=0,"",INDEX(ROTACAO_RDM!$G$6:$G$71,$J639))</f>
        <v>FM 933 STP</v>
      </c>
      <c r="M639" s="17" t="n">
        <f aca="false">IF($J639=0,"",INDEX(ROTACAO_RDM!$I$6:$I$71,$J639))</f>
        <v>46422</v>
      </c>
      <c r="N639" s="16" t="n">
        <f aca="false">IF($J639=0,0,MAX(0,$C639+INT(DIAS_POR_SEMANA/2)-INDEX(ROTACAO_RDM!$I$6:$I$71,$J639)))</f>
        <v>119</v>
      </c>
      <c r="O639" s="19" t="n">
        <f aca="false">IF($J639=0,0,MIN(1,$N639/MAX(1,INDEX(ROTACAO_RDM!$K$6:$K$71,$J639))))</f>
        <v>0.61025641025641</v>
      </c>
      <c r="P639" s="16" t="n">
        <f aca="false">IF($J639=0,0,IFERROR(MATCH(INDEX(ROTACAO_RDM!$N$6:$N$71,$J639),PARAMETROS_CULTURAS!$B$6:$B$28,0),0))</f>
        <v>5</v>
      </c>
      <c r="Q639" s="8" t="str">
        <f aca="false">IF($P639=0,"-",IF($O639&lt;=INDEX(PARAMETROS_CULTURAS!$F$6:$F$28,$P639),"INICIAL",IF($O639&lt;=INDEX(PARAMETROS_CULTURAS!$F$6:$F$28,$P639)+INDEX(PARAMETROS_CULTURAS!$G$6:$G$28,$P639),"DESENVOLVIMENTO",IF($O639&lt;=INDEX(PARAMETROS_CULTURAS!$F$6:$F$28,$P639)+INDEX(PARAMETROS_CULTURAS!$G$6:$G$28,$P639)+INDEX(PARAMETROS_CULTURAS!$H$6:$H$28,$P639),"MEDIA","FINAL"))))</f>
        <v>MEDIA</v>
      </c>
      <c r="R639" s="24" t="n">
        <f aca="false">IF($P639=0,0,IF($O639&lt;=INDEX(PARAMETROS_CULTURAS!$F$6:$F$28,$P639),INDEX(PARAMETROS_CULTURAS!$K$6:$K$28,$P639),IF($O639&lt;=INDEX(PARAMETROS_CULTURAS!$F$6:$F$28,$P639)+INDEX(PARAMETROS_CULTURAS!$G$6:$G$28,$P639),INDEX(PARAMETROS_CULTURAS!$K$6:$K$28,$P639)+(INDEX(PARAMETROS_CULTURAS!$L$6:$L$28,$P639)-INDEX(PARAMETROS_CULTURAS!$K$6:$K$28,$P639))*($O639-INDEX(PARAMETROS_CULTURAS!$F$6:$F$28,$P639))/MAX(INDEX(PARAMETROS_CULTURAS!$G$6:$G$28,$P639),0.0001),IF($O639&lt;=INDEX(PARAMETROS_CULTURAS!$F$6:$F$28,$P639)+INDEX(PARAMETROS_CULTURAS!$G$6:$G$28,$P639)+INDEX(PARAMETROS_CULTURAS!$H$6:$H$28,$P639),INDEX(PARAMETROS_CULTURAS!$L$6:$L$28,$P639),INDEX(PARAMETROS_CULTURAS!$L$6:$L$28,$P639)+(INDEX(PARAMETROS_CULTURAS!$M$6:$M$28,$P639)-INDEX(PARAMETROS_CULTURAS!$L$6:$L$28,$P639))*($O639-INDEX(PARAMETROS_CULTURAS!$F$6:$F$28,$P639)-INDEX(PARAMETROS_CULTURAS!$G$6:$G$28,$P639)-INDEX(PARAMETROS_CULTURAS!$H$6:$H$28,$P639))/MAX(INDEX(PARAMETROS_CULTURAS!$I$6:$I$28,$P639),0.0001)))))</f>
        <v>1.15</v>
      </c>
      <c r="S639" s="18" t="n">
        <f aca="false">IFERROR(INDEX(SEMANAS!$H$6:$H$71,MATCH($B639,SEMANAS!$B$6:$B$71,0)),0)</f>
        <v>28.2</v>
      </c>
      <c r="T639" s="18" t="n">
        <f aca="false">$R639*$S639</f>
        <v>32.43</v>
      </c>
      <c r="U639" s="18" t="n">
        <f aca="false">IFERROR(INDEX(SEMANAS!$I$6:$I$71,MATCH($B639,SEMANAS!$B$6:$B$71,0)),0)</f>
        <v>1.5</v>
      </c>
      <c r="V639" s="18" t="n">
        <f aca="false">IFERROR(INDEX(SEMANAS!$J$6:$J$71,MATCH($B639,SEMANAS!$B$6:$B$71,0)),0)</f>
        <v>1.2</v>
      </c>
      <c r="W639" s="18" t="n">
        <f aca="false">MAX(0,$T639-$V639)</f>
        <v>31.23</v>
      </c>
      <c r="X639" s="19" t="n">
        <f aca="false">IFERROR(INDEX(CADASTRO_PIVOS!$K$6:$K$41,MATCH($E639,CADASTRO_PIVOS!$B$6:$B$41,0)),EFICIENCIA_PADRAO)</f>
        <v>0.85</v>
      </c>
      <c r="Y639" s="18" t="n">
        <f aca="false">IF($X639&lt;=0,0,$W639/$X639)</f>
        <v>36.7411764705882</v>
      </c>
      <c r="Z639" s="16" t="n">
        <f aca="false">$Y639*$H639*MM_PARA_M3_HA</f>
        <v>40415.2941176471</v>
      </c>
      <c r="AA639" s="18" t="n">
        <f aca="false">IFERROR(INDEX(CADASTRO_PIVOS!$I$6:$I$41,MATCH($E639,CADASTRO_PIVOS!$B$6:$B$41,0)),0)</f>
        <v>785.714285714286</v>
      </c>
      <c r="AB639" s="18" t="n">
        <f aca="false">IF($Z639&lt;=0,0,$Z639/$AA639)</f>
        <v>51.4376470588235</v>
      </c>
      <c r="AC639" s="16" t="n">
        <f aca="false">IFERROR(INDEX(SEMANAS!$K$6:$K$71,MATCH($B639,SEMANAS!$B$6:$B$71,0)),0)</f>
        <v>147</v>
      </c>
      <c r="AD639" s="19" t="n">
        <f aca="false">IF($AC639&lt;=0,0,$AB639/$AC639)</f>
        <v>0.349915966386555</v>
      </c>
      <c r="AE639" s="8" t="str">
        <f aca="false">IF($K639="SEM CULTURA","SEM CULTURA",IF($AA639&lt;=0,"DADO PENDENTE",IF($AD639&gt;LIMITE_CRITICO,"INVIAVEL",IF($AD639&gt;LIMITE_ATENCAO,"CRITICO",IF($AD639&gt;LIMITE_CONFORTAVEL,"ATENCAO","OK")))))</f>
        <v>OK</v>
      </c>
      <c r="AF639" s="8" t="str">
        <f aca="false">$B639&amp;"|"&amp;TEXT($AD639,"0.000000")</f>
        <v>40|0.349916</v>
      </c>
      <c r="AG639" s="18" t="n">
        <f aca="false">IF($K639="SEM CULTURA",0,$T639*$H639)</f>
        <v>3567.3</v>
      </c>
      <c r="AH639" s="18" t="n">
        <f aca="false">IF($K639="SEM CULTURA",0,$V639*$H639)</f>
        <v>132</v>
      </c>
      <c r="AI639" s="18" t="n">
        <f aca="false">IF($K639="SEM CULTURA",0,$W639*$H639)</f>
        <v>3435.3</v>
      </c>
      <c r="AJ639" s="18" t="n">
        <f aca="false">IF($K639="SEM CULTURA",0,$S639*$H639)</f>
        <v>3102</v>
      </c>
      <c r="AK639" s="8" t="str">
        <f aca="false">$E639&amp;"|"&amp;TEXT($AD639,"0.000000")</f>
        <v>PV 110|0.349916</v>
      </c>
    </row>
    <row r="640" customFormat="false" ht="15" hidden="false" customHeight="false" outlineLevel="0" collapsed="false">
      <c r="B640" s="16" t="n">
        <v>41</v>
      </c>
      <c r="C640" s="17" t="n">
        <f aca="false">DATA_INICIO_SAFRA+($B640-1)*DIAS_POR_SEMANA</f>
        <v>46545</v>
      </c>
      <c r="D640" s="17" t="n">
        <f aca="false">$C640+DIAS_POR_SEMANA-1</f>
        <v>46551</v>
      </c>
      <c r="E640" s="15" t="s">
        <v>268</v>
      </c>
      <c r="F640" s="8" t="str">
        <f aca="false">IFERROR(INDEX(CADASTRO_PIVOS!$C$6:$C$41,MATCH($E640,CADASTRO_PIVOS!$B$6:$B$41,0)),"?")</f>
        <v>RM04</v>
      </c>
      <c r="G640" s="8" t="str">
        <f aca="false">IFERROR(INDEX(CADASTRO_PIVOS!$D$6:$D$41,MATCH($E640,CADASTRO_PIVOS!$B$6:$B$41,0)),"?")</f>
        <v>TR04</v>
      </c>
      <c r="H640" s="20" t="n">
        <f aca="false">IFERROR(INDEX(CADASTRO_PIVOS!$E$6:$E$41,MATCH($E640,CADASTRO_PIVOS!$B$6:$B$41,0)),0)</f>
        <v>110</v>
      </c>
      <c r="I640" s="16" t="n">
        <f aca="false">IFERROR(SUMIFS(ROTACAO_RDM!$B$6:$B$71,ROTACAO_RDM!$D$6:$D$71,$E640,ROTACAO_RDM!$I$6:$I$71,"&lt;="&amp;$C640+INT(DIAS_POR_SEMANA/2),ROTACAO_RDM!$J$6:$J$71,"&gt;="&amp;$C640+INT(DIAS_POR_SEMANA/2)),0)</f>
        <v>18</v>
      </c>
      <c r="J640" s="16" t="n">
        <f aca="false">IFERROR(MATCH($I640,ROTACAO_RDM!$B$6:$B$71,0),0)</f>
        <v>18</v>
      </c>
      <c r="K640" s="8" t="str">
        <f aca="false">IF($J640=0,"SEM CULTURA",INDEX(ROTACAO_RDM!$F$6:$F$71,$J640))</f>
        <v>ALGODAO</v>
      </c>
      <c r="L640" s="8" t="str">
        <f aca="false">IF($J640=0,"",INDEX(ROTACAO_RDM!$G$6:$G$71,$J640))</f>
        <v>FM 933 STP</v>
      </c>
      <c r="M640" s="17" t="n">
        <f aca="false">IF($J640=0,"",INDEX(ROTACAO_RDM!$I$6:$I$71,$J640))</f>
        <v>46422</v>
      </c>
      <c r="N640" s="16" t="n">
        <f aca="false">IF($J640=0,0,MAX(0,$C640+INT(DIAS_POR_SEMANA/2)-INDEX(ROTACAO_RDM!$I$6:$I$71,$J640)))</f>
        <v>126</v>
      </c>
      <c r="O640" s="19" t="n">
        <f aca="false">IF($J640=0,0,MIN(1,$N640/MAX(1,INDEX(ROTACAO_RDM!$K$6:$K$71,$J640))))</f>
        <v>0.646153846153846</v>
      </c>
      <c r="P640" s="16" t="n">
        <f aca="false">IF($J640=0,0,IFERROR(MATCH(INDEX(ROTACAO_RDM!$N$6:$N$71,$J640),PARAMETROS_CULTURAS!$B$6:$B$28,0),0))</f>
        <v>5</v>
      </c>
      <c r="Q640" s="8" t="str">
        <f aca="false">IF($P640=0,"-",IF($O640&lt;=INDEX(PARAMETROS_CULTURAS!$F$6:$F$28,$P640),"INICIAL",IF($O640&lt;=INDEX(PARAMETROS_CULTURAS!$F$6:$F$28,$P640)+INDEX(PARAMETROS_CULTURAS!$G$6:$G$28,$P640),"DESENVOLVIMENTO",IF($O640&lt;=INDEX(PARAMETROS_CULTURAS!$F$6:$F$28,$P640)+INDEX(PARAMETROS_CULTURAS!$G$6:$G$28,$P640)+INDEX(PARAMETROS_CULTURAS!$H$6:$H$28,$P640),"MEDIA","FINAL"))))</f>
        <v>MEDIA</v>
      </c>
      <c r="R640" s="24" t="n">
        <f aca="false">IF($P640=0,0,IF($O640&lt;=INDEX(PARAMETROS_CULTURAS!$F$6:$F$28,$P640),INDEX(PARAMETROS_CULTURAS!$K$6:$K$28,$P640),IF($O640&lt;=INDEX(PARAMETROS_CULTURAS!$F$6:$F$28,$P640)+INDEX(PARAMETROS_CULTURAS!$G$6:$G$28,$P640),INDEX(PARAMETROS_CULTURAS!$K$6:$K$28,$P640)+(INDEX(PARAMETROS_CULTURAS!$L$6:$L$28,$P640)-INDEX(PARAMETROS_CULTURAS!$K$6:$K$28,$P640))*($O640-INDEX(PARAMETROS_CULTURAS!$F$6:$F$28,$P640))/MAX(INDEX(PARAMETROS_CULTURAS!$G$6:$G$28,$P640),0.0001),IF($O640&lt;=INDEX(PARAMETROS_CULTURAS!$F$6:$F$28,$P640)+INDEX(PARAMETROS_CULTURAS!$G$6:$G$28,$P640)+INDEX(PARAMETROS_CULTURAS!$H$6:$H$28,$P640),INDEX(PARAMETROS_CULTURAS!$L$6:$L$28,$P640),INDEX(PARAMETROS_CULTURAS!$L$6:$L$28,$P640)+(INDEX(PARAMETROS_CULTURAS!$M$6:$M$28,$P640)-INDEX(PARAMETROS_CULTURAS!$L$6:$L$28,$P640))*($O640-INDEX(PARAMETROS_CULTURAS!$F$6:$F$28,$P640)-INDEX(PARAMETROS_CULTURAS!$G$6:$G$28,$P640)-INDEX(PARAMETROS_CULTURAS!$H$6:$H$28,$P640))/MAX(INDEX(PARAMETROS_CULTURAS!$I$6:$I$28,$P640),0.0001)))))</f>
        <v>1.15</v>
      </c>
      <c r="S640" s="18" t="n">
        <f aca="false">IFERROR(INDEX(SEMANAS!$H$6:$H$71,MATCH($B640,SEMANAS!$B$6:$B$71,0)),0)</f>
        <v>28</v>
      </c>
      <c r="T640" s="18" t="n">
        <f aca="false">$R640*$S640</f>
        <v>32.2</v>
      </c>
      <c r="U640" s="18" t="n">
        <f aca="false">IFERROR(INDEX(SEMANAS!$I$6:$I$71,MATCH($B640,SEMANAS!$B$6:$B$71,0)),0)</f>
        <v>1.19</v>
      </c>
      <c r="V640" s="18" t="n">
        <f aca="false">IFERROR(INDEX(SEMANAS!$J$6:$J$71,MATCH($B640,SEMANAS!$B$6:$B$71,0)),0)</f>
        <v>0.952</v>
      </c>
      <c r="W640" s="18" t="n">
        <f aca="false">MAX(0,$T640-$V640)</f>
        <v>31.248</v>
      </c>
      <c r="X640" s="19" t="n">
        <f aca="false">IFERROR(INDEX(CADASTRO_PIVOS!$K$6:$K$41,MATCH($E640,CADASTRO_PIVOS!$B$6:$B$41,0)),EFICIENCIA_PADRAO)</f>
        <v>0.85</v>
      </c>
      <c r="Y640" s="18" t="n">
        <f aca="false">IF($X640&lt;=0,0,$W640/$X640)</f>
        <v>36.7623529411765</v>
      </c>
      <c r="Z640" s="16" t="n">
        <f aca="false">$Y640*$H640*MM_PARA_M3_HA</f>
        <v>40438.5882352941</v>
      </c>
      <c r="AA640" s="18" t="n">
        <f aca="false">IFERROR(INDEX(CADASTRO_PIVOS!$I$6:$I$41,MATCH($E640,CADASTRO_PIVOS!$B$6:$B$41,0)),0)</f>
        <v>785.714285714286</v>
      </c>
      <c r="AB640" s="18" t="n">
        <f aca="false">IF($Z640&lt;=0,0,$Z640/$AA640)</f>
        <v>51.4672941176471</v>
      </c>
      <c r="AC640" s="16" t="n">
        <f aca="false">IFERROR(INDEX(SEMANAS!$K$6:$K$71,MATCH($B640,SEMANAS!$B$6:$B$71,0)),0)</f>
        <v>147</v>
      </c>
      <c r="AD640" s="19" t="n">
        <f aca="false">IF($AC640&lt;=0,0,$AB640/$AC640)</f>
        <v>0.350117647058824</v>
      </c>
      <c r="AE640" s="8" t="str">
        <f aca="false">IF($K640="SEM CULTURA","SEM CULTURA",IF($AA640&lt;=0,"DADO PENDENTE",IF($AD640&gt;LIMITE_CRITICO,"INVIAVEL",IF($AD640&gt;LIMITE_ATENCAO,"CRITICO",IF($AD640&gt;LIMITE_CONFORTAVEL,"ATENCAO","OK")))))</f>
        <v>OK</v>
      </c>
      <c r="AF640" s="8" t="str">
        <f aca="false">$B640&amp;"|"&amp;TEXT($AD640,"0.000000")</f>
        <v>41|0.350118</v>
      </c>
      <c r="AG640" s="18" t="n">
        <f aca="false">IF($K640="SEM CULTURA",0,$T640*$H640)</f>
        <v>3542</v>
      </c>
      <c r="AH640" s="18" t="n">
        <f aca="false">IF($K640="SEM CULTURA",0,$V640*$H640)</f>
        <v>104.72</v>
      </c>
      <c r="AI640" s="18" t="n">
        <f aca="false">IF($K640="SEM CULTURA",0,$W640*$H640)</f>
        <v>3437.28</v>
      </c>
      <c r="AJ640" s="18" t="n">
        <f aca="false">IF($K640="SEM CULTURA",0,$S640*$H640)</f>
        <v>3080</v>
      </c>
      <c r="AK640" s="8" t="str">
        <f aca="false">$E640&amp;"|"&amp;TEXT($AD640,"0.000000")</f>
        <v>PV 110|0.350118</v>
      </c>
    </row>
    <row r="641" customFormat="false" ht="15" hidden="false" customHeight="false" outlineLevel="0" collapsed="false">
      <c r="B641" s="16" t="n">
        <v>42</v>
      </c>
      <c r="C641" s="17" t="n">
        <f aca="false">DATA_INICIO_SAFRA+($B641-1)*DIAS_POR_SEMANA</f>
        <v>46552</v>
      </c>
      <c r="D641" s="17" t="n">
        <f aca="false">$C641+DIAS_POR_SEMANA-1</f>
        <v>46558</v>
      </c>
      <c r="E641" s="15" t="s">
        <v>268</v>
      </c>
      <c r="F641" s="8" t="str">
        <f aca="false">IFERROR(INDEX(CADASTRO_PIVOS!$C$6:$C$41,MATCH($E641,CADASTRO_PIVOS!$B$6:$B$41,0)),"?")</f>
        <v>RM04</v>
      </c>
      <c r="G641" s="8" t="str">
        <f aca="false">IFERROR(INDEX(CADASTRO_PIVOS!$D$6:$D$41,MATCH($E641,CADASTRO_PIVOS!$B$6:$B$41,0)),"?")</f>
        <v>TR04</v>
      </c>
      <c r="H641" s="20" t="n">
        <f aca="false">IFERROR(INDEX(CADASTRO_PIVOS!$E$6:$E$41,MATCH($E641,CADASTRO_PIVOS!$B$6:$B$41,0)),0)</f>
        <v>110</v>
      </c>
      <c r="I641" s="16" t="n">
        <f aca="false">IFERROR(SUMIFS(ROTACAO_RDM!$B$6:$B$71,ROTACAO_RDM!$D$6:$D$71,$E641,ROTACAO_RDM!$I$6:$I$71,"&lt;="&amp;$C641+INT(DIAS_POR_SEMANA/2),ROTACAO_RDM!$J$6:$J$71,"&gt;="&amp;$C641+INT(DIAS_POR_SEMANA/2)),0)</f>
        <v>18</v>
      </c>
      <c r="J641" s="16" t="n">
        <f aca="false">IFERROR(MATCH($I641,ROTACAO_RDM!$B$6:$B$71,0),0)</f>
        <v>18</v>
      </c>
      <c r="K641" s="8" t="str">
        <f aca="false">IF($J641=0,"SEM CULTURA",INDEX(ROTACAO_RDM!$F$6:$F$71,$J641))</f>
        <v>ALGODAO</v>
      </c>
      <c r="L641" s="8" t="str">
        <f aca="false">IF($J641=0,"",INDEX(ROTACAO_RDM!$G$6:$G$71,$J641))</f>
        <v>FM 933 STP</v>
      </c>
      <c r="M641" s="17" t="n">
        <f aca="false">IF($J641=0,"",INDEX(ROTACAO_RDM!$I$6:$I$71,$J641))</f>
        <v>46422</v>
      </c>
      <c r="N641" s="16" t="n">
        <f aca="false">IF($J641=0,0,MAX(0,$C641+INT(DIAS_POR_SEMANA/2)-INDEX(ROTACAO_RDM!$I$6:$I$71,$J641)))</f>
        <v>133</v>
      </c>
      <c r="O641" s="19" t="n">
        <f aca="false">IF($J641=0,0,MIN(1,$N641/MAX(1,INDEX(ROTACAO_RDM!$K$6:$K$71,$J641))))</f>
        <v>0.682051282051282</v>
      </c>
      <c r="P641" s="16" t="n">
        <f aca="false">IF($J641=0,0,IFERROR(MATCH(INDEX(ROTACAO_RDM!$N$6:$N$71,$J641),PARAMETROS_CULTURAS!$B$6:$B$28,0),0))</f>
        <v>5</v>
      </c>
      <c r="Q641" s="8" t="str">
        <f aca="false">IF($P641=0,"-",IF($O641&lt;=INDEX(PARAMETROS_CULTURAS!$F$6:$F$28,$P641),"INICIAL",IF($O641&lt;=INDEX(PARAMETROS_CULTURAS!$F$6:$F$28,$P641)+INDEX(PARAMETROS_CULTURAS!$G$6:$G$28,$P641),"DESENVOLVIMENTO",IF($O641&lt;=INDEX(PARAMETROS_CULTURAS!$F$6:$F$28,$P641)+INDEX(PARAMETROS_CULTURAS!$G$6:$G$28,$P641)+INDEX(PARAMETROS_CULTURAS!$H$6:$H$28,$P641),"MEDIA","FINAL"))))</f>
        <v>MEDIA</v>
      </c>
      <c r="R641" s="24" t="n">
        <f aca="false">IF($P641=0,0,IF($O641&lt;=INDEX(PARAMETROS_CULTURAS!$F$6:$F$28,$P641),INDEX(PARAMETROS_CULTURAS!$K$6:$K$28,$P641),IF($O641&lt;=INDEX(PARAMETROS_CULTURAS!$F$6:$F$28,$P641)+INDEX(PARAMETROS_CULTURAS!$G$6:$G$28,$P641),INDEX(PARAMETROS_CULTURAS!$K$6:$K$28,$P641)+(INDEX(PARAMETROS_CULTURAS!$L$6:$L$28,$P641)-INDEX(PARAMETROS_CULTURAS!$K$6:$K$28,$P641))*($O641-INDEX(PARAMETROS_CULTURAS!$F$6:$F$28,$P641))/MAX(INDEX(PARAMETROS_CULTURAS!$G$6:$G$28,$P641),0.0001),IF($O641&lt;=INDEX(PARAMETROS_CULTURAS!$F$6:$F$28,$P641)+INDEX(PARAMETROS_CULTURAS!$G$6:$G$28,$P641)+INDEX(PARAMETROS_CULTURAS!$H$6:$H$28,$P641),INDEX(PARAMETROS_CULTURAS!$L$6:$L$28,$P641),INDEX(PARAMETROS_CULTURAS!$L$6:$L$28,$P641)+(INDEX(PARAMETROS_CULTURAS!$M$6:$M$28,$P641)-INDEX(PARAMETROS_CULTURAS!$L$6:$L$28,$P641))*($O641-INDEX(PARAMETROS_CULTURAS!$F$6:$F$28,$P641)-INDEX(PARAMETROS_CULTURAS!$G$6:$G$28,$P641)-INDEX(PARAMETROS_CULTURAS!$H$6:$H$28,$P641))/MAX(INDEX(PARAMETROS_CULTURAS!$I$6:$I$28,$P641),0.0001)))))</f>
        <v>1.15</v>
      </c>
      <c r="S641" s="18" t="n">
        <f aca="false">IFERROR(INDEX(SEMANAS!$H$6:$H$71,MATCH($B641,SEMANAS!$B$6:$B$71,0)),0)</f>
        <v>28</v>
      </c>
      <c r="T641" s="18" t="n">
        <f aca="false">$R641*$S641</f>
        <v>32.2</v>
      </c>
      <c r="U641" s="18" t="n">
        <f aca="false">IFERROR(INDEX(SEMANAS!$I$6:$I$71,MATCH($B641,SEMANAS!$B$6:$B$71,0)),0)</f>
        <v>1.19</v>
      </c>
      <c r="V641" s="18" t="n">
        <f aca="false">IFERROR(INDEX(SEMANAS!$J$6:$J$71,MATCH($B641,SEMANAS!$B$6:$B$71,0)),0)</f>
        <v>0.952</v>
      </c>
      <c r="W641" s="18" t="n">
        <f aca="false">MAX(0,$T641-$V641)</f>
        <v>31.248</v>
      </c>
      <c r="X641" s="19" t="n">
        <f aca="false">IFERROR(INDEX(CADASTRO_PIVOS!$K$6:$K$41,MATCH($E641,CADASTRO_PIVOS!$B$6:$B$41,0)),EFICIENCIA_PADRAO)</f>
        <v>0.85</v>
      </c>
      <c r="Y641" s="18" t="n">
        <f aca="false">IF($X641&lt;=0,0,$W641/$X641)</f>
        <v>36.7623529411765</v>
      </c>
      <c r="Z641" s="16" t="n">
        <f aca="false">$Y641*$H641*MM_PARA_M3_HA</f>
        <v>40438.5882352941</v>
      </c>
      <c r="AA641" s="18" t="n">
        <f aca="false">IFERROR(INDEX(CADASTRO_PIVOS!$I$6:$I$41,MATCH($E641,CADASTRO_PIVOS!$B$6:$B$41,0)),0)</f>
        <v>785.714285714286</v>
      </c>
      <c r="AB641" s="18" t="n">
        <f aca="false">IF($Z641&lt;=0,0,$Z641/$AA641)</f>
        <v>51.4672941176471</v>
      </c>
      <c r="AC641" s="16" t="n">
        <f aca="false">IFERROR(INDEX(SEMANAS!$K$6:$K$71,MATCH($B641,SEMANAS!$B$6:$B$71,0)),0)</f>
        <v>147</v>
      </c>
      <c r="AD641" s="19" t="n">
        <f aca="false">IF($AC641&lt;=0,0,$AB641/$AC641)</f>
        <v>0.350117647058824</v>
      </c>
      <c r="AE641" s="8" t="str">
        <f aca="false">IF($K641="SEM CULTURA","SEM CULTURA",IF($AA641&lt;=0,"DADO PENDENTE",IF($AD641&gt;LIMITE_CRITICO,"INVIAVEL",IF($AD641&gt;LIMITE_ATENCAO,"CRITICO",IF($AD641&gt;LIMITE_CONFORTAVEL,"ATENCAO","OK")))))</f>
        <v>OK</v>
      </c>
      <c r="AF641" s="8" t="str">
        <f aca="false">$B641&amp;"|"&amp;TEXT($AD641,"0.000000")</f>
        <v>42|0.350118</v>
      </c>
      <c r="AG641" s="18" t="n">
        <f aca="false">IF($K641="SEM CULTURA",0,$T641*$H641)</f>
        <v>3542</v>
      </c>
      <c r="AH641" s="18" t="n">
        <f aca="false">IF($K641="SEM CULTURA",0,$V641*$H641)</f>
        <v>104.72</v>
      </c>
      <c r="AI641" s="18" t="n">
        <f aca="false">IF($K641="SEM CULTURA",0,$W641*$H641)</f>
        <v>3437.28</v>
      </c>
      <c r="AJ641" s="18" t="n">
        <f aca="false">IF($K641="SEM CULTURA",0,$S641*$H641)</f>
        <v>3080</v>
      </c>
      <c r="AK641" s="8" t="str">
        <f aca="false">$E641&amp;"|"&amp;TEXT($AD641,"0.000000")</f>
        <v>PV 110|0.350118</v>
      </c>
    </row>
    <row r="642" customFormat="false" ht="15" hidden="false" customHeight="false" outlineLevel="0" collapsed="false">
      <c r="B642" s="16" t="n">
        <v>43</v>
      </c>
      <c r="C642" s="17" t="n">
        <f aca="false">DATA_INICIO_SAFRA+($B642-1)*DIAS_POR_SEMANA</f>
        <v>46559</v>
      </c>
      <c r="D642" s="17" t="n">
        <f aca="false">$C642+DIAS_POR_SEMANA-1</f>
        <v>46565</v>
      </c>
      <c r="E642" s="15" t="s">
        <v>268</v>
      </c>
      <c r="F642" s="8" t="str">
        <f aca="false">IFERROR(INDEX(CADASTRO_PIVOS!$C$6:$C$41,MATCH($E642,CADASTRO_PIVOS!$B$6:$B$41,0)),"?")</f>
        <v>RM04</v>
      </c>
      <c r="G642" s="8" t="str">
        <f aca="false">IFERROR(INDEX(CADASTRO_PIVOS!$D$6:$D$41,MATCH($E642,CADASTRO_PIVOS!$B$6:$B$41,0)),"?")</f>
        <v>TR04</v>
      </c>
      <c r="H642" s="20" t="n">
        <f aca="false">IFERROR(INDEX(CADASTRO_PIVOS!$E$6:$E$41,MATCH($E642,CADASTRO_PIVOS!$B$6:$B$41,0)),0)</f>
        <v>110</v>
      </c>
      <c r="I642" s="16" t="n">
        <f aca="false">IFERROR(SUMIFS(ROTACAO_RDM!$B$6:$B$71,ROTACAO_RDM!$D$6:$D$71,$E642,ROTACAO_RDM!$I$6:$I$71,"&lt;="&amp;$C642+INT(DIAS_POR_SEMANA/2),ROTACAO_RDM!$J$6:$J$71,"&gt;="&amp;$C642+INT(DIAS_POR_SEMANA/2)),0)</f>
        <v>18</v>
      </c>
      <c r="J642" s="16" t="n">
        <f aca="false">IFERROR(MATCH($I642,ROTACAO_RDM!$B$6:$B$71,0),0)</f>
        <v>18</v>
      </c>
      <c r="K642" s="8" t="str">
        <f aca="false">IF($J642=0,"SEM CULTURA",INDEX(ROTACAO_RDM!$F$6:$F$71,$J642))</f>
        <v>ALGODAO</v>
      </c>
      <c r="L642" s="8" t="str">
        <f aca="false">IF($J642=0,"",INDEX(ROTACAO_RDM!$G$6:$G$71,$J642))</f>
        <v>FM 933 STP</v>
      </c>
      <c r="M642" s="17" t="n">
        <f aca="false">IF($J642=0,"",INDEX(ROTACAO_RDM!$I$6:$I$71,$J642))</f>
        <v>46422</v>
      </c>
      <c r="N642" s="16" t="n">
        <f aca="false">IF($J642=0,0,MAX(0,$C642+INT(DIAS_POR_SEMANA/2)-INDEX(ROTACAO_RDM!$I$6:$I$71,$J642)))</f>
        <v>140</v>
      </c>
      <c r="O642" s="19" t="n">
        <f aca="false">IF($J642=0,0,MIN(1,$N642/MAX(1,INDEX(ROTACAO_RDM!$K$6:$K$71,$J642))))</f>
        <v>0.717948717948718</v>
      </c>
      <c r="P642" s="16" t="n">
        <f aca="false">IF($J642=0,0,IFERROR(MATCH(INDEX(ROTACAO_RDM!$N$6:$N$71,$J642),PARAMETROS_CULTURAS!$B$6:$B$28,0),0))</f>
        <v>5</v>
      </c>
      <c r="Q642" s="8" t="str">
        <f aca="false">IF($P642=0,"-",IF($O642&lt;=INDEX(PARAMETROS_CULTURAS!$F$6:$F$28,$P642),"INICIAL",IF($O642&lt;=INDEX(PARAMETROS_CULTURAS!$F$6:$F$28,$P642)+INDEX(PARAMETROS_CULTURAS!$G$6:$G$28,$P642),"DESENVOLVIMENTO",IF($O642&lt;=INDEX(PARAMETROS_CULTURAS!$F$6:$F$28,$P642)+INDEX(PARAMETROS_CULTURAS!$G$6:$G$28,$P642)+INDEX(PARAMETROS_CULTURAS!$H$6:$H$28,$P642),"MEDIA","FINAL"))))</f>
        <v>MEDIA</v>
      </c>
      <c r="R642" s="24" t="n">
        <f aca="false">IF($P642=0,0,IF($O642&lt;=INDEX(PARAMETROS_CULTURAS!$F$6:$F$28,$P642),INDEX(PARAMETROS_CULTURAS!$K$6:$K$28,$P642),IF($O642&lt;=INDEX(PARAMETROS_CULTURAS!$F$6:$F$28,$P642)+INDEX(PARAMETROS_CULTURAS!$G$6:$G$28,$P642),INDEX(PARAMETROS_CULTURAS!$K$6:$K$28,$P642)+(INDEX(PARAMETROS_CULTURAS!$L$6:$L$28,$P642)-INDEX(PARAMETROS_CULTURAS!$K$6:$K$28,$P642))*($O642-INDEX(PARAMETROS_CULTURAS!$F$6:$F$28,$P642))/MAX(INDEX(PARAMETROS_CULTURAS!$G$6:$G$28,$P642),0.0001),IF($O642&lt;=INDEX(PARAMETROS_CULTURAS!$F$6:$F$28,$P642)+INDEX(PARAMETROS_CULTURAS!$G$6:$G$28,$P642)+INDEX(PARAMETROS_CULTURAS!$H$6:$H$28,$P642),INDEX(PARAMETROS_CULTURAS!$L$6:$L$28,$P642),INDEX(PARAMETROS_CULTURAS!$L$6:$L$28,$P642)+(INDEX(PARAMETROS_CULTURAS!$M$6:$M$28,$P642)-INDEX(PARAMETROS_CULTURAS!$L$6:$L$28,$P642))*($O642-INDEX(PARAMETROS_CULTURAS!$F$6:$F$28,$P642)-INDEX(PARAMETROS_CULTURAS!$G$6:$G$28,$P642)-INDEX(PARAMETROS_CULTURAS!$H$6:$H$28,$P642))/MAX(INDEX(PARAMETROS_CULTURAS!$I$6:$I$28,$P642),0.0001)))))</f>
        <v>1.15</v>
      </c>
      <c r="S642" s="18" t="n">
        <f aca="false">IFERROR(INDEX(SEMANAS!$H$6:$H$71,MATCH($B642,SEMANAS!$B$6:$B$71,0)),0)</f>
        <v>28</v>
      </c>
      <c r="T642" s="18" t="n">
        <f aca="false">$R642*$S642</f>
        <v>32.2</v>
      </c>
      <c r="U642" s="18" t="n">
        <f aca="false">IFERROR(INDEX(SEMANAS!$I$6:$I$71,MATCH($B642,SEMANAS!$B$6:$B$71,0)),0)</f>
        <v>1.19</v>
      </c>
      <c r="V642" s="18" t="n">
        <f aca="false">IFERROR(INDEX(SEMANAS!$J$6:$J$71,MATCH($B642,SEMANAS!$B$6:$B$71,0)),0)</f>
        <v>0.952</v>
      </c>
      <c r="W642" s="18" t="n">
        <f aca="false">MAX(0,$T642-$V642)</f>
        <v>31.248</v>
      </c>
      <c r="X642" s="19" t="n">
        <f aca="false">IFERROR(INDEX(CADASTRO_PIVOS!$K$6:$K$41,MATCH($E642,CADASTRO_PIVOS!$B$6:$B$41,0)),EFICIENCIA_PADRAO)</f>
        <v>0.85</v>
      </c>
      <c r="Y642" s="18" t="n">
        <f aca="false">IF($X642&lt;=0,0,$W642/$X642)</f>
        <v>36.7623529411765</v>
      </c>
      <c r="Z642" s="16" t="n">
        <f aca="false">$Y642*$H642*MM_PARA_M3_HA</f>
        <v>40438.5882352941</v>
      </c>
      <c r="AA642" s="18" t="n">
        <f aca="false">IFERROR(INDEX(CADASTRO_PIVOS!$I$6:$I$41,MATCH($E642,CADASTRO_PIVOS!$B$6:$B$41,0)),0)</f>
        <v>785.714285714286</v>
      </c>
      <c r="AB642" s="18" t="n">
        <f aca="false">IF($Z642&lt;=0,0,$Z642/$AA642)</f>
        <v>51.4672941176471</v>
      </c>
      <c r="AC642" s="16" t="n">
        <f aca="false">IFERROR(INDEX(SEMANAS!$K$6:$K$71,MATCH($B642,SEMANAS!$B$6:$B$71,0)),0)</f>
        <v>147</v>
      </c>
      <c r="AD642" s="19" t="n">
        <f aca="false">IF($AC642&lt;=0,0,$AB642/$AC642)</f>
        <v>0.350117647058824</v>
      </c>
      <c r="AE642" s="8" t="str">
        <f aca="false">IF($K642="SEM CULTURA","SEM CULTURA",IF($AA642&lt;=0,"DADO PENDENTE",IF($AD642&gt;LIMITE_CRITICO,"INVIAVEL",IF($AD642&gt;LIMITE_ATENCAO,"CRITICO",IF($AD642&gt;LIMITE_CONFORTAVEL,"ATENCAO","OK")))))</f>
        <v>OK</v>
      </c>
      <c r="AF642" s="8" t="str">
        <f aca="false">$B642&amp;"|"&amp;TEXT($AD642,"0.000000")</f>
        <v>43|0.350118</v>
      </c>
      <c r="AG642" s="18" t="n">
        <f aca="false">IF($K642="SEM CULTURA",0,$T642*$H642)</f>
        <v>3542</v>
      </c>
      <c r="AH642" s="18" t="n">
        <f aca="false">IF($K642="SEM CULTURA",0,$V642*$H642)</f>
        <v>104.72</v>
      </c>
      <c r="AI642" s="18" t="n">
        <f aca="false">IF($K642="SEM CULTURA",0,$W642*$H642)</f>
        <v>3437.28</v>
      </c>
      <c r="AJ642" s="18" t="n">
        <f aca="false">IF($K642="SEM CULTURA",0,$S642*$H642)</f>
        <v>3080</v>
      </c>
      <c r="AK642" s="8" t="str">
        <f aca="false">$E642&amp;"|"&amp;TEXT($AD642,"0.000000")</f>
        <v>PV 110|0.350118</v>
      </c>
    </row>
    <row r="643" customFormat="false" ht="15" hidden="false" customHeight="false" outlineLevel="0" collapsed="false">
      <c r="B643" s="16" t="n">
        <v>44</v>
      </c>
      <c r="C643" s="17" t="n">
        <f aca="false">DATA_INICIO_SAFRA+($B643-1)*DIAS_POR_SEMANA</f>
        <v>46566</v>
      </c>
      <c r="D643" s="17" t="n">
        <f aca="false">$C643+DIAS_POR_SEMANA-1</f>
        <v>46572</v>
      </c>
      <c r="E643" s="15" t="s">
        <v>268</v>
      </c>
      <c r="F643" s="8" t="str">
        <f aca="false">IFERROR(INDEX(CADASTRO_PIVOS!$C$6:$C$41,MATCH($E643,CADASTRO_PIVOS!$B$6:$B$41,0)),"?")</f>
        <v>RM04</v>
      </c>
      <c r="G643" s="8" t="str">
        <f aca="false">IFERROR(INDEX(CADASTRO_PIVOS!$D$6:$D$41,MATCH($E643,CADASTRO_PIVOS!$B$6:$B$41,0)),"?")</f>
        <v>TR04</v>
      </c>
      <c r="H643" s="20" t="n">
        <f aca="false">IFERROR(INDEX(CADASTRO_PIVOS!$E$6:$E$41,MATCH($E643,CADASTRO_PIVOS!$B$6:$B$41,0)),0)</f>
        <v>110</v>
      </c>
      <c r="I643" s="16" t="n">
        <f aca="false">IFERROR(SUMIFS(ROTACAO_RDM!$B$6:$B$71,ROTACAO_RDM!$D$6:$D$71,$E643,ROTACAO_RDM!$I$6:$I$71,"&lt;="&amp;$C643+INT(DIAS_POR_SEMANA/2),ROTACAO_RDM!$J$6:$J$71,"&gt;="&amp;$C643+INT(DIAS_POR_SEMANA/2)),0)</f>
        <v>18</v>
      </c>
      <c r="J643" s="16" t="n">
        <f aca="false">IFERROR(MATCH($I643,ROTACAO_RDM!$B$6:$B$71,0),0)</f>
        <v>18</v>
      </c>
      <c r="K643" s="8" t="str">
        <f aca="false">IF($J643=0,"SEM CULTURA",INDEX(ROTACAO_RDM!$F$6:$F$71,$J643))</f>
        <v>ALGODAO</v>
      </c>
      <c r="L643" s="8" t="str">
        <f aca="false">IF($J643=0,"",INDEX(ROTACAO_RDM!$G$6:$G$71,$J643))</f>
        <v>FM 933 STP</v>
      </c>
      <c r="M643" s="17" t="n">
        <f aca="false">IF($J643=0,"",INDEX(ROTACAO_RDM!$I$6:$I$71,$J643))</f>
        <v>46422</v>
      </c>
      <c r="N643" s="16" t="n">
        <f aca="false">IF($J643=0,0,MAX(0,$C643+INT(DIAS_POR_SEMANA/2)-INDEX(ROTACAO_RDM!$I$6:$I$71,$J643)))</f>
        <v>147</v>
      </c>
      <c r="O643" s="19" t="n">
        <f aca="false">IF($J643=0,0,MIN(1,$N643/MAX(1,INDEX(ROTACAO_RDM!$K$6:$K$71,$J643))))</f>
        <v>0.753846153846154</v>
      </c>
      <c r="P643" s="16" t="n">
        <f aca="false">IF($J643=0,0,IFERROR(MATCH(INDEX(ROTACAO_RDM!$N$6:$N$71,$J643),PARAMETROS_CULTURAS!$B$6:$B$28,0),0))</f>
        <v>5</v>
      </c>
      <c r="Q643" s="8" t="str">
        <f aca="false">IF($P643=0,"-",IF($O643&lt;=INDEX(PARAMETROS_CULTURAS!$F$6:$F$28,$P643),"INICIAL",IF($O643&lt;=INDEX(PARAMETROS_CULTURAS!$F$6:$F$28,$P643)+INDEX(PARAMETROS_CULTURAS!$G$6:$G$28,$P643),"DESENVOLVIMENTO",IF($O643&lt;=INDEX(PARAMETROS_CULTURAS!$F$6:$F$28,$P643)+INDEX(PARAMETROS_CULTURAS!$G$6:$G$28,$P643)+INDEX(PARAMETROS_CULTURAS!$H$6:$H$28,$P643),"MEDIA","FINAL"))))</f>
        <v>FINAL</v>
      </c>
      <c r="R643" s="24" t="n">
        <f aca="false">IF($P643=0,0,IF($O643&lt;=INDEX(PARAMETROS_CULTURAS!$F$6:$F$28,$P643),INDEX(PARAMETROS_CULTURAS!$K$6:$K$28,$P643),IF($O643&lt;=INDEX(PARAMETROS_CULTURAS!$F$6:$F$28,$P643)+INDEX(PARAMETROS_CULTURAS!$G$6:$G$28,$P643),INDEX(PARAMETROS_CULTURAS!$K$6:$K$28,$P643)+(INDEX(PARAMETROS_CULTURAS!$L$6:$L$28,$P643)-INDEX(PARAMETROS_CULTURAS!$K$6:$K$28,$P643))*($O643-INDEX(PARAMETROS_CULTURAS!$F$6:$F$28,$P643))/MAX(INDEX(PARAMETROS_CULTURAS!$G$6:$G$28,$P643),0.0001),IF($O643&lt;=INDEX(PARAMETROS_CULTURAS!$F$6:$F$28,$P643)+INDEX(PARAMETROS_CULTURAS!$G$6:$G$28,$P643)+INDEX(PARAMETROS_CULTURAS!$H$6:$H$28,$P643),INDEX(PARAMETROS_CULTURAS!$L$6:$L$28,$P643),INDEX(PARAMETROS_CULTURAS!$L$6:$L$28,$P643)+(INDEX(PARAMETROS_CULTURAS!$M$6:$M$28,$P643)-INDEX(PARAMETROS_CULTURAS!$L$6:$L$28,$P643))*($O643-INDEX(PARAMETROS_CULTURAS!$F$6:$F$28,$P643)-INDEX(PARAMETROS_CULTURAS!$G$6:$G$28,$P643)-INDEX(PARAMETROS_CULTURAS!$H$6:$H$28,$P643))/MAX(INDEX(PARAMETROS_CULTURAS!$I$6:$I$28,$P643),0.0001)))))</f>
        <v>1.08351648351648</v>
      </c>
      <c r="S643" s="18" t="n">
        <f aca="false">IFERROR(INDEX(SEMANAS!$H$6:$H$71,MATCH($B643,SEMANAS!$B$6:$B$71,0)),0)</f>
        <v>29.2</v>
      </c>
      <c r="T643" s="18" t="n">
        <f aca="false">$R643*$S643</f>
        <v>31.6386813186813</v>
      </c>
      <c r="U643" s="18" t="n">
        <f aca="false">IFERROR(INDEX(SEMANAS!$I$6:$I$71,MATCH($B643,SEMANAS!$B$6:$B$71,0)),0)</f>
        <v>0.91</v>
      </c>
      <c r="V643" s="18" t="n">
        <f aca="false">IFERROR(INDEX(SEMANAS!$J$6:$J$71,MATCH($B643,SEMANAS!$B$6:$B$71,0)),0)</f>
        <v>0.728</v>
      </c>
      <c r="W643" s="18" t="n">
        <f aca="false">MAX(0,$T643-$V643)</f>
        <v>30.9106813186813</v>
      </c>
      <c r="X643" s="19" t="n">
        <f aca="false">IFERROR(INDEX(CADASTRO_PIVOS!$K$6:$K$41,MATCH($E643,CADASTRO_PIVOS!$B$6:$B$41,0)),EFICIENCIA_PADRAO)</f>
        <v>0.85</v>
      </c>
      <c r="Y643" s="18" t="n">
        <f aca="false">IF($X643&lt;=0,0,$W643/$X643)</f>
        <v>36.3655074337427</v>
      </c>
      <c r="Z643" s="16" t="n">
        <f aca="false">$Y643*$H643*MM_PARA_M3_HA</f>
        <v>40002.058177117</v>
      </c>
      <c r="AA643" s="18" t="n">
        <f aca="false">IFERROR(INDEX(CADASTRO_PIVOS!$I$6:$I$41,MATCH($E643,CADASTRO_PIVOS!$B$6:$B$41,0)),0)</f>
        <v>785.714285714286</v>
      </c>
      <c r="AB643" s="18" t="n">
        <f aca="false">IF($Z643&lt;=0,0,$Z643/$AA643)</f>
        <v>50.9117104072398</v>
      </c>
      <c r="AC643" s="16" t="n">
        <f aca="false">IFERROR(INDEX(SEMANAS!$K$6:$K$71,MATCH($B643,SEMANAS!$B$6:$B$71,0)),0)</f>
        <v>147</v>
      </c>
      <c r="AD643" s="19" t="n">
        <f aca="false">IF($AC643&lt;=0,0,$AB643/$AC643)</f>
        <v>0.346338166035645</v>
      </c>
      <c r="AE643" s="8" t="str">
        <f aca="false">IF($K643="SEM CULTURA","SEM CULTURA",IF($AA643&lt;=0,"DADO PENDENTE",IF($AD643&gt;LIMITE_CRITICO,"INVIAVEL",IF($AD643&gt;LIMITE_ATENCAO,"CRITICO",IF($AD643&gt;LIMITE_CONFORTAVEL,"ATENCAO","OK")))))</f>
        <v>OK</v>
      </c>
      <c r="AF643" s="8" t="str">
        <f aca="false">$B643&amp;"|"&amp;TEXT($AD643,"0.000000")</f>
        <v>44|0.346338</v>
      </c>
      <c r="AG643" s="18" t="n">
        <f aca="false">IF($K643="SEM CULTURA",0,$T643*$H643)</f>
        <v>3480.25494505494</v>
      </c>
      <c r="AH643" s="18" t="n">
        <f aca="false">IF($K643="SEM CULTURA",0,$V643*$H643)</f>
        <v>80.08</v>
      </c>
      <c r="AI643" s="18" t="n">
        <f aca="false">IF($K643="SEM CULTURA",0,$W643*$H643)</f>
        <v>3400.17494505494</v>
      </c>
      <c r="AJ643" s="18" t="n">
        <f aca="false">IF($K643="SEM CULTURA",0,$S643*$H643)</f>
        <v>3212</v>
      </c>
      <c r="AK643" s="8" t="str">
        <f aca="false">$E643&amp;"|"&amp;TEXT($AD643,"0.000000")</f>
        <v>PV 110|0.346338</v>
      </c>
    </row>
    <row r="644" customFormat="false" ht="15" hidden="false" customHeight="false" outlineLevel="0" collapsed="false">
      <c r="B644" s="16" t="n">
        <v>45</v>
      </c>
      <c r="C644" s="17" t="n">
        <f aca="false">DATA_INICIO_SAFRA+($B644-1)*DIAS_POR_SEMANA</f>
        <v>46573</v>
      </c>
      <c r="D644" s="17" t="n">
        <f aca="false">$C644+DIAS_POR_SEMANA-1</f>
        <v>46579</v>
      </c>
      <c r="E644" s="15" t="s">
        <v>268</v>
      </c>
      <c r="F644" s="8" t="str">
        <f aca="false">IFERROR(INDEX(CADASTRO_PIVOS!$C$6:$C$41,MATCH($E644,CADASTRO_PIVOS!$B$6:$B$41,0)),"?")</f>
        <v>RM04</v>
      </c>
      <c r="G644" s="8" t="str">
        <f aca="false">IFERROR(INDEX(CADASTRO_PIVOS!$D$6:$D$41,MATCH($E644,CADASTRO_PIVOS!$B$6:$B$41,0)),"?")</f>
        <v>TR04</v>
      </c>
      <c r="H644" s="20" t="n">
        <f aca="false">IFERROR(INDEX(CADASTRO_PIVOS!$E$6:$E$41,MATCH($E644,CADASTRO_PIVOS!$B$6:$B$41,0)),0)</f>
        <v>110</v>
      </c>
      <c r="I644" s="16" t="n">
        <f aca="false">IFERROR(SUMIFS(ROTACAO_RDM!$B$6:$B$71,ROTACAO_RDM!$D$6:$D$71,$E644,ROTACAO_RDM!$I$6:$I$71,"&lt;="&amp;$C644+INT(DIAS_POR_SEMANA/2),ROTACAO_RDM!$J$6:$J$71,"&gt;="&amp;$C644+INT(DIAS_POR_SEMANA/2)),0)</f>
        <v>18</v>
      </c>
      <c r="J644" s="16" t="n">
        <f aca="false">IFERROR(MATCH($I644,ROTACAO_RDM!$B$6:$B$71,0),0)</f>
        <v>18</v>
      </c>
      <c r="K644" s="8" t="str">
        <f aca="false">IF($J644=0,"SEM CULTURA",INDEX(ROTACAO_RDM!$F$6:$F$71,$J644))</f>
        <v>ALGODAO</v>
      </c>
      <c r="L644" s="8" t="str">
        <f aca="false">IF($J644=0,"",INDEX(ROTACAO_RDM!$G$6:$G$71,$J644))</f>
        <v>FM 933 STP</v>
      </c>
      <c r="M644" s="17" t="n">
        <f aca="false">IF($J644=0,"",INDEX(ROTACAO_RDM!$I$6:$I$71,$J644))</f>
        <v>46422</v>
      </c>
      <c r="N644" s="16" t="n">
        <f aca="false">IF($J644=0,0,MAX(0,$C644+INT(DIAS_POR_SEMANA/2)-INDEX(ROTACAO_RDM!$I$6:$I$71,$J644)))</f>
        <v>154</v>
      </c>
      <c r="O644" s="19" t="n">
        <f aca="false">IF($J644=0,0,MIN(1,$N644/MAX(1,INDEX(ROTACAO_RDM!$K$6:$K$71,$J644))))</f>
        <v>0.78974358974359</v>
      </c>
      <c r="P644" s="16" t="n">
        <f aca="false">IF($J644=0,0,IFERROR(MATCH(INDEX(ROTACAO_RDM!$N$6:$N$71,$J644),PARAMETROS_CULTURAS!$B$6:$B$28,0),0))</f>
        <v>5</v>
      </c>
      <c r="Q644" s="8" t="str">
        <f aca="false">IF($P644=0,"-",IF($O644&lt;=INDEX(PARAMETROS_CULTURAS!$F$6:$F$28,$P644),"INICIAL",IF($O644&lt;=INDEX(PARAMETROS_CULTURAS!$F$6:$F$28,$P644)+INDEX(PARAMETROS_CULTURAS!$G$6:$G$28,$P644),"DESENVOLVIMENTO",IF($O644&lt;=INDEX(PARAMETROS_CULTURAS!$F$6:$F$28,$P644)+INDEX(PARAMETROS_CULTURAS!$G$6:$G$28,$P644)+INDEX(PARAMETROS_CULTURAS!$H$6:$H$28,$P644),"MEDIA","FINAL"))))</f>
        <v>FINAL</v>
      </c>
      <c r="R644" s="24" t="n">
        <f aca="false">IF($P644=0,0,IF($O644&lt;=INDEX(PARAMETROS_CULTURAS!$F$6:$F$28,$P644),INDEX(PARAMETROS_CULTURAS!$K$6:$K$28,$P644),IF($O644&lt;=INDEX(PARAMETROS_CULTURAS!$F$6:$F$28,$P644)+INDEX(PARAMETROS_CULTURAS!$G$6:$G$28,$P644),INDEX(PARAMETROS_CULTURAS!$K$6:$K$28,$P644)+(INDEX(PARAMETROS_CULTURAS!$L$6:$L$28,$P644)-INDEX(PARAMETROS_CULTURAS!$K$6:$K$28,$P644))*($O644-INDEX(PARAMETROS_CULTURAS!$F$6:$F$28,$P644))/MAX(INDEX(PARAMETROS_CULTURAS!$G$6:$G$28,$P644),0.0001),IF($O644&lt;=INDEX(PARAMETROS_CULTURAS!$F$6:$F$28,$P644)+INDEX(PARAMETROS_CULTURAS!$G$6:$G$28,$P644)+INDEX(PARAMETROS_CULTURAS!$H$6:$H$28,$P644),INDEX(PARAMETROS_CULTURAS!$L$6:$L$28,$P644),INDEX(PARAMETROS_CULTURAS!$L$6:$L$28,$P644)+(INDEX(PARAMETROS_CULTURAS!$M$6:$M$28,$P644)-INDEX(PARAMETROS_CULTURAS!$L$6:$L$28,$P644))*($O644-INDEX(PARAMETROS_CULTURAS!$F$6:$F$28,$P644)-INDEX(PARAMETROS_CULTURAS!$G$6:$G$28,$P644)-INDEX(PARAMETROS_CULTURAS!$H$6:$H$28,$P644))/MAX(INDEX(PARAMETROS_CULTURAS!$I$6:$I$28,$P644),0.0001)))))</f>
        <v>1.01300366300366</v>
      </c>
      <c r="S644" s="18" t="n">
        <f aca="false">IFERROR(INDEX(SEMANAS!$H$6:$H$71,MATCH($B644,SEMANAS!$B$6:$B$71,0)),0)</f>
        <v>30.1</v>
      </c>
      <c r="T644" s="18" t="n">
        <f aca="false">$R644*$S644</f>
        <v>30.4914102564103</v>
      </c>
      <c r="U644" s="18" t="n">
        <f aca="false">IFERROR(INDEX(SEMANAS!$I$6:$I$71,MATCH($B644,SEMANAS!$B$6:$B$71,0)),0)</f>
        <v>0.7</v>
      </c>
      <c r="V644" s="18" t="n">
        <f aca="false">IFERROR(INDEX(SEMANAS!$J$6:$J$71,MATCH($B644,SEMANAS!$B$6:$B$71,0)),0)</f>
        <v>0.56</v>
      </c>
      <c r="W644" s="18" t="n">
        <f aca="false">MAX(0,$T644-$V644)</f>
        <v>29.9314102564103</v>
      </c>
      <c r="X644" s="19" t="n">
        <f aca="false">IFERROR(INDEX(CADASTRO_PIVOS!$K$6:$K$41,MATCH($E644,CADASTRO_PIVOS!$B$6:$B$41,0)),EFICIENCIA_PADRAO)</f>
        <v>0.85</v>
      </c>
      <c r="Y644" s="18" t="n">
        <f aca="false">IF($X644&lt;=0,0,$W644/$X644)</f>
        <v>35.2134238310709</v>
      </c>
      <c r="Z644" s="16" t="n">
        <f aca="false">$Y644*$H644*MM_PARA_M3_HA</f>
        <v>38734.766214178</v>
      </c>
      <c r="AA644" s="18" t="n">
        <f aca="false">IFERROR(INDEX(CADASTRO_PIVOS!$I$6:$I$41,MATCH($E644,CADASTRO_PIVOS!$B$6:$B$41,0)),0)</f>
        <v>785.714285714286</v>
      </c>
      <c r="AB644" s="18" t="n">
        <f aca="false">IF($Z644&lt;=0,0,$Z644/$AA644)</f>
        <v>49.2987933634992</v>
      </c>
      <c r="AC644" s="16" t="n">
        <f aca="false">IFERROR(INDEX(SEMANAS!$K$6:$K$71,MATCH($B644,SEMANAS!$B$6:$B$71,0)),0)</f>
        <v>147</v>
      </c>
      <c r="AD644" s="19" t="n">
        <f aca="false">IF($AC644&lt;=0,0,$AB644/$AC644)</f>
        <v>0.335365941248294</v>
      </c>
      <c r="AE644" s="8" t="str">
        <f aca="false">IF($K644="SEM CULTURA","SEM CULTURA",IF($AA644&lt;=0,"DADO PENDENTE",IF($AD644&gt;LIMITE_CRITICO,"INVIAVEL",IF($AD644&gt;LIMITE_ATENCAO,"CRITICO",IF($AD644&gt;LIMITE_CONFORTAVEL,"ATENCAO","OK")))))</f>
        <v>OK</v>
      </c>
      <c r="AF644" s="8" t="str">
        <f aca="false">$B644&amp;"|"&amp;TEXT($AD644,"0.000000")</f>
        <v>45|0.335366</v>
      </c>
      <c r="AG644" s="18" t="n">
        <f aca="false">IF($K644="SEM CULTURA",0,$T644*$H644)</f>
        <v>3354.05512820513</v>
      </c>
      <c r="AH644" s="18" t="n">
        <f aca="false">IF($K644="SEM CULTURA",0,$V644*$H644)</f>
        <v>61.6</v>
      </c>
      <c r="AI644" s="18" t="n">
        <f aca="false">IF($K644="SEM CULTURA",0,$W644*$H644)</f>
        <v>3292.45512820513</v>
      </c>
      <c r="AJ644" s="18" t="n">
        <f aca="false">IF($K644="SEM CULTURA",0,$S644*$H644)</f>
        <v>3311</v>
      </c>
      <c r="AK644" s="8" t="str">
        <f aca="false">$E644&amp;"|"&amp;TEXT($AD644,"0.000000")</f>
        <v>PV 110|0.335366</v>
      </c>
    </row>
    <row r="645" customFormat="false" ht="15" hidden="false" customHeight="false" outlineLevel="0" collapsed="false">
      <c r="B645" s="16" t="n">
        <v>46</v>
      </c>
      <c r="C645" s="17" t="n">
        <f aca="false">DATA_INICIO_SAFRA+($B645-1)*DIAS_POR_SEMANA</f>
        <v>46580</v>
      </c>
      <c r="D645" s="17" t="n">
        <f aca="false">$C645+DIAS_POR_SEMANA-1</f>
        <v>46586</v>
      </c>
      <c r="E645" s="15" t="s">
        <v>268</v>
      </c>
      <c r="F645" s="8" t="str">
        <f aca="false">IFERROR(INDEX(CADASTRO_PIVOS!$C$6:$C$41,MATCH($E645,CADASTRO_PIVOS!$B$6:$B$41,0)),"?")</f>
        <v>RM04</v>
      </c>
      <c r="G645" s="8" t="str">
        <f aca="false">IFERROR(INDEX(CADASTRO_PIVOS!$D$6:$D$41,MATCH($E645,CADASTRO_PIVOS!$B$6:$B$41,0)),"?")</f>
        <v>TR04</v>
      </c>
      <c r="H645" s="20" t="n">
        <f aca="false">IFERROR(INDEX(CADASTRO_PIVOS!$E$6:$E$41,MATCH($E645,CADASTRO_PIVOS!$B$6:$B$41,0)),0)</f>
        <v>110</v>
      </c>
      <c r="I645" s="16" t="n">
        <f aca="false">IFERROR(SUMIFS(ROTACAO_RDM!$B$6:$B$71,ROTACAO_RDM!$D$6:$D$71,$E645,ROTACAO_RDM!$I$6:$I$71,"&lt;="&amp;$C645+INT(DIAS_POR_SEMANA/2),ROTACAO_RDM!$J$6:$J$71,"&gt;="&amp;$C645+INT(DIAS_POR_SEMANA/2)),0)</f>
        <v>18</v>
      </c>
      <c r="J645" s="16" t="n">
        <f aca="false">IFERROR(MATCH($I645,ROTACAO_RDM!$B$6:$B$71,0),0)</f>
        <v>18</v>
      </c>
      <c r="K645" s="8" t="str">
        <f aca="false">IF($J645=0,"SEM CULTURA",INDEX(ROTACAO_RDM!$F$6:$F$71,$J645))</f>
        <v>ALGODAO</v>
      </c>
      <c r="L645" s="8" t="str">
        <f aca="false">IF($J645=0,"",INDEX(ROTACAO_RDM!$G$6:$G$71,$J645))</f>
        <v>FM 933 STP</v>
      </c>
      <c r="M645" s="17" t="n">
        <f aca="false">IF($J645=0,"",INDEX(ROTACAO_RDM!$I$6:$I$71,$J645))</f>
        <v>46422</v>
      </c>
      <c r="N645" s="16" t="n">
        <f aca="false">IF($J645=0,0,MAX(0,$C645+INT(DIAS_POR_SEMANA/2)-INDEX(ROTACAO_RDM!$I$6:$I$71,$J645)))</f>
        <v>161</v>
      </c>
      <c r="O645" s="19" t="n">
        <f aca="false">IF($J645=0,0,MIN(1,$N645/MAX(1,INDEX(ROTACAO_RDM!$K$6:$K$71,$J645))))</f>
        <v>0.825641025641026</v>
      </c>
      <c r="P645" s="16" t="n">
        <f aca="false">IF($J645=0,0,IFERROR(MATCH(INDEX(ROTACAO_RDM!$N$6:$N$71,$J645),PARAMETROS_CULTURAS!$B$6:$B$28,0),0))</f>
        <v>5</v>
      </c>
      <c r="Q645" s="8" t="str">
        <f aca="false">IF($P645=0,"-",IF($O645&lt;=INDEX(PARAMETROS_CULTURAS!$F$6:$F$28,$P645),"INICIAL",IF($O645&lt;=INDEX(PARAMETROS_CULTURAS!$F$6:$F$28,$P645)+INDEX(PARAMETROS_CULTURAS!$G$6:$G$28,$P645),"DESENVOLVIMENTO",IF($O645&lt;=INDEX(PARAMETROS_CULTURAS!$F$6:$F$28,$P645)+INDEX(PARAMETROS_CULTURAS!$G$6:$G$28,$P645)+INDEX(PARAMETROS_CULTURAS!$H$6:$H$28,$P645),"MEDIA","FINAL"))))</f>
        <v>FINAL</v>
      </c>
      <c r="R645" s="24" t="n">
        <f aca="false">IF($P645=0,0,IF($O645&lt;=INDEX(PARAMETROS_CULTURAS!$F$6:$F$28,$P645),INDEX(PARAMETROS_CULTURAS!$K$6:$K$28,$P645),IF($O645&lt;=INDEX(PARAMETROS_CULTURAS!$F$6:$F$28,$P645)+INDEX(PARAMETROS_CULTURAS!$G$6:$G$28,$P645),INDEX(PARAMETROS_CULTURAS!$K$6:$K$28,$P645)+(INDEX(PARAMETROS_CULTURAS!$L$6:$L$28,$P645)-INDEX(PARAMETROS_CULTURAS!$K$6:$K$28,$P645))*($O645-INDEX(PARAMETROS_CULTURAS!$F$6:$F$28,$P645))/MAX(INDEX(PARAMETROS_CULTURAS!$G$6:$G$28,$P645),0.0001),IF($O645&lt;=INDEX(PARAMETROS_CULTURAS!$F$6:$F$28,$P645)+INDEX(PARAMETROS_CULTURAS!$G$6:$G$28,$P645)+INDEX(PARAMETROS_CULTURAS!$H$6:$H$28,$P645),INDEX(PARAMETROS_CULTURAS!$L$6:$L$28,$P645),INDEX(PARAMETROS_CULTURAS!$L$6:$L$28,$P645)+(INDEX(PARAMETROS_CULTURAS!$M$6:$M$28,$P645)-INDEX(PARAMETROS_CULTURAS!$L$6:$L$28,$P645))*($O645-INDEX(PARAMETROS_CULTURAS!$F$6:$F$28,$P645)-INDEX(PARAMETROS_CULTURAS!$G$6:$G$28,$P645)-INDEX(PARAMETROS_CULTURAS!$H$6:$H$28,$P645))/MAX(INDEX(PARAMETROS_CULTURAS!$I$6:$I$28,$P645),0.0001)))))</f>
        <v>0.942490842490843</v>
      </c>
      <c r="S645" s="18" t="n">
        <f aca="false">IFERROR(INDEX(SEMANAS!$H$6:$H$71,MATCH($B645,SEMANAS!$B$6:$B$71,0)),0)</f>
        <v>30.1</v>
      </c>
      <c r="T645" s="18" t="n">
        <f aca="false">$R645*$S645</f>
        <v>28.3689743589744</v>
      </c>
      <c r="U645" s="18" t="n">
        <f aca="false">IFERROR(INDEX(SEMANAS!$I$6:$I$71,MATCH($B645,SEMANAS!$B$6:$B$71,0)),0)</f>
        <v>0.7</v>
      </c>
      <c r="V645" s="18" t="n">
        <f aca="false">IFERROR(INDEX(SEMANAS!$J$6:$J$71,MATCH($B645,SEMANAS!$B$6:$B$71,0)),0)</f>
        <v>0.56</v>
      </c>
      <c r="W645" s="18" t="n">
        <f aca="false">MAX(0,$T645-$V645)</f>
        <v>27.8089743589744</v>
      </c>
      <c r="X645" s="19" t="n">
        <f aca="false">IFERROR(INDEX(CADASTRO_PIVOS!$K$6:$K$41,MATCH($E645,CADASTRO_PIVOS!$B$6:$B$41,0)),EFICIENCIA_PADRAO)</f>
        <v>0.85</v>
      </c>
      <c r="Y645" s="18" t="n">
        <f aca="false">IF($X645&lt;=0,0,$W645/$X645)</f>
        <v>32.7164404223228</v>
      </c>
      <c r="Z645" s="16" t="n">
        <f aca="false">$Y645*$H645*MM_PARA_M3_HA</f>
        <v>35988.0844645551</v>
      </c>
      <c r="AA645" s="18" t="n">
        <f aca="false">IFERROR(INDEX(CADASTRO_PIVOS!$I$6:$I$41,MATCH($E645,CADASTRO_PIVOS!$B$6:$B$41,0)),0)</f>
        <v>785.714285714286</v>
      </c>
      <c r="AB645" s="18" t="n">
        <f aca="false">IF($Z645&lt;=0,0,$Z645/$AA645)</f>
        <v>45.8030165912519</v>
      </c>
      <c r="AC645" s="16" t="n">
        <f aca="false">IFERROR(INDEX(SEMANAS!$K$6:$K$71,MATCH($B645,SEMANAS!$B$6:$B$71,0)),0)</f>
        <v>147</v>
      </c>
      <c r="AD645" s="19" t="n">
        <f aca="false">IF($AC645&lt;=0,0,$AB645/$AC645)</f>
        <v>0.311585146879265</v>
      </c>
      <c r="AE645" s="8" t="str">
        <f aca="false">IF($K645="SEM CULTURA","SEM CULTURA",IF($AA645&lt;=0,"DADO PENDENTE",IF($AD645&gt;LIMITE_CRITICO,"INVIAVEL",IF($AD645&gt;LIMITE_ATENCAO,"CRITICO",IF($AD645&gt;LIMITE_CONFORTAVEL,"ATENCAO","OK")))))</f>
        <v>OK</v>
      </c>
      <c r="AF645" s="8" t="str">
        <f aca="false">$B645&amp;"|"&amp;TEXT($AD645,"0.000000")</f>
        <v>46|0.311585</v>
      </c>
      <c r="AG645" s="18" t="n">
        <f aca="false">IF($K645="SEM CULTURA",0,$T645*$H645)</f>
        <v>3120.58717948718</v>
      </c>
      <c r="AH645" s="18" t="n">
        <f aca="false">IF($K645="SEM CULTURA",0,$V645*$H645)</f>
        <v>61.6</v>
      </c>
      <c r="AI645" s="18" t="n">
        <f aca="false">IF($K645="SEM CULTURA",0,$W645*$H645)</f>
        <v>3058.98717948718</v>
      </c>
      <c r="AJ645" s="18" t="n">
        <f aca="false">IF($K645="SEM CULTURA",0,$S645*$H645)</f>
        <v>3311</v>
      </c>
      <c r="AK645" s="8" t="str">
        <f aca="false">$E645&amp;"|"&amp;TEXT($AD645,"0.000000")</f>
        <v>PV 110|0.311585</v>
      </c>
    </row>
    <row r="646" customFormat="false" ht="15" hidden="false" customHeight="false" outlineLevel="0" collapsed="false">
      <c r="B646" s="16" t="n">
        <v>47</v>
      </c>
      <c r="C646" s="17" t="n">
        <f aca="false">DATA_INICIO_SAFRA+($B646-1)*DIAS_POR_SEMANA</f>
        <v>46587</v>
      </c>
      <c r="D646" s="17" t="n">
        <f aca="false">$C646+DIAS_POR_SEMANA-1</f>
        <v>46593</v>
      </c>
      <c r="E646" s="15" t="s">
        <v>268</v>
      </c>
      <c r="F646" s="8" t="str">
        <f aca="false">IFERROR(INDEX(CADASTRO_PIVOS!$C$6:$C$41,MATCH($E646,CADASTRO_PIVOS!$B$6:$B$41,0)),"?")</f>
        <v>RM04</v>
      </c>
      <c r="G646" s="8" t="str">
        <f aca="false">IFERROR(INDEX(CADASTRO_PIVOS!$D$6:$D$41,MATCH($E646,CADASTRO_PIVOS!$B$6:$B$41,0)),"?")</f>
        <v>TR04</v>
      </c>
      <c r="H646" s="20" t="n">
        <f aca="false">IFERROR(INDEX(CADASTRO_PIVOS!$E$6:$E$41,MATCH($E646,CADASTRO_PIVOS!$B$6:$B$41,0)),0)</f>
        <v>110</v>
      </c>
      <c r="I646" s="16" t="n">
        <f aca="false">IFERROR(SUMIFS(ROTACAO_RDM!$B$6:$B$71,ROTACAO_RDM!$D$6:$D$71,$E646,ROTACAO_RDM!$I$6:$I$71,"&lt;="&amp;$C646+INT(DIAS_POR_SEMANA/2),ROTACAO_RDM!$J$6:$J$71,"&gt;="&amp;$C646+INT(DIAS_POR_SEMANA/2)),0)</f>
        <v>18</v>
      </c>
      <c r="J646" s="16" t="n">
        <f aca="false">IFERROR(MATCH($I646,ROTACAO_RDM!$B$6:$B$71,0),0)</f>
        <v>18</v>
      </c>
      <c r="K646" s="8" t="str">
        <f aca="false">IF($J646=0,"SEM CULTURA",INDEX(ROTACAO_RDM!$F$6:$F$71,$J646))</f>
        <v>ALGODAO</v>
      </c>
      <c r="L646" s="8" t="str">
        <f aca="false">IF($J646=0,"",INDEX(ROTACAO_RDM!$G$6:$G$71,$J646))</f>
        <v>FM 933 STP</v>
      </c>
      <c r="M646" s="17" t="n">
        <f aca="false">IF($J646=0,"",INDEX(ROTACAO_RDM!$I$6:$I$71,$J646))</f>
        <v>46422</v>
      </c>
      <c r="N646" s="16" t="n">
        <f aca="false">IF($J646=0,0,MAX(0,$C646+INT(DIAS_POR_SEMANA/2)-INDEX(ROTACAO_RDM!$I$6:$I$71,$J646)))</f>
        <v>168</v>
      </c>
      <c r="O646" s="19" t="n">
        <f aca="false">IF($J646=0,0,MIN(1,$N646/MAX(1,INDEX(ROTACAO_RDM!$K$6:$K$71,$J646))))</f>
        <v>0.861538461538462</v>
      </c>
      <c r="P646" s="16" t="n">
        <f aca="false">IF($J646=0,0,IFERROR(MATCH(INDEX(ROTACAO_RDM!$N$6:$N$71,$J646),PARAMETROS_CULTURAS!$B$6:$B$28,0),0))</f>
        <v>5</v>
      </c>
      <c r="Q646" s="8" t="str">
        <f aca="false">IF($P646=0,"-",IF($O646&lt;=INDEX(PARAMETROS_CULTURAS!$F$6:$F$28,$P646),"INICIAL",IF($O646&lt;=INDEX(PARAMETROS_CULTURAS!$F$6:$F$28,$P646)+INDEX(PARAMETROS_CULTURAS!$G$6:$G$28,$P646),"DESENVOLVIMENTO",IF($O646&lt;=INDEX(PARAMETROS_CULTURAS!$F$6:$F$28,$P646)+INDEX(PARAMETROS_CULTURAS!$G$6:$G$28,$P646)+INDEX(PARAMETROS_CULTURAS!$H$6:$H$28,$P646),"MEDIA","FINAL"))))</f>
        <v>FINAL</v>
      </c>
      <c r="R646" s="24" t="n">
        <f aca="false">IF($P646=0,0,IF($O646&lt;=INDEX(PARAMETROS_CULTURAS!$F$6:$F$28,$P646),INDEX(PARAMETROS_CULTURAS!$K$6:$K$28,$P646),IF($O646&lt;=INDEX(PARAMETROS_CULTURAS!$F$6:$F$28,$P646)+INDEX(PARAMETROS_CULTURAS!$G$6:$G$28,$P646),INDEX(PARAMETROS_CULTURAS!$K$6:$K$28,$P646)+(INDEX(PARAMETROS_CULTURAS!$L$6:$L$28,$P646)-INDEX(PARAMETROS_CULTURAS!$K$6:$K$28,$P646))*($O646-INDEX(PARAMETROS_CULTURAS!$F$6:$F$28,$P646))/MAX(INDEX(PARAMETROS_CULTURAS!$G$6:$G$28,$P646),0.0001),IF($O646&lt;=INDEX(PARAMETROS_CULTURAS!$F$6:$F$28,$P646)+INDEX(PARAMETROS_CULTURAS!$G$6:$G$28,$P646)+INDEX(PARAMETROS_CULTURAS!$H$6:$H$28,$P646),INDEX(PARAMETROS_CULTURAS!$L$6:$L$28,$P646),INDEX(PARAMETROS_CULTURAS!$L$6:$L$28,$P646)+(INDEX(PARAMETROS_CULTURAS!$M$6:$M$28,$P646)-INDEX(PARAMETROS_CULTURAS!$L$6:$L$28,$P646))*($O646-INDEX(PARAMETROS_CULTURAS!$F$6:$F$28,$P646)-INDEX(PARAMETROS_CULTURAS!$G$6:$G$28,$P646)-INDEX(PARAMETROS_CULTURAS!$H$6:$H$28,$P646))/MAX(INDEX(PARAMETROS_CULTURAS!$I$6:$I$28,$P646),0.0001)))))</f>
        <v>0.871978021978022</v>
      </c>
      <c r="S646" s="18" t="n">
        <f aca="false">IFERROR(INDEX(SEMANAS!$H$6:$H$71,MATCH($B646,SEMANAS!$B$6:$B$71,0)),0)</f>
        <v>30.1</v>
      </c>
      <c r="T646" s="18" t="n">
        <f aca="false">$R646*$S646</f>
        <v>26.2465384615385</v>
      </c>
      <c r="U646" s="18" t="n">
        <f aca="false">IFERROR(INDEX(SEMANAS!$I$6:$I$71,MATCH($B646,SEMANAS!$B$6:$B$71,0)),0)</f>
        <v>0.7</v>
      </c>
      <c r="V646" s="18" t="n">
        <f aca="false">IFERROR(INDEX(SEMANAS!$J$6:$J$71,MATCH($B646,SEMANAS!$B$6:$B$71,0)),0)</f>
        <v>0.56</v>
      </c>
      <c r="W646" s="18" t="n">
        <f aca="false">MAX(0,$T646-$V646)</f>
        <v>25.6865384615385</v>
      </c>
      <c r="X646" s="19" t="n">
        <f aca="false">IFERROR(INDEX(CADASTRO_PIVOS!$K$6:$K$41,MATCH($E646,CADASTRO_PIVOS!$B$6:$B$41,0)),EFICIENCIA_PADRAO)</f>
        <v>0.85</v>
      </c>
      <c r="Y646" s="18" t="n">
        <f aca="false">IF($X646&lt;=0,0,$W646/$X646)</f>
        <v>30.2194570135747</v>
      </c>
      <c r="Z646" s="16" t="n">
        <f aca="false">$Y646*$H646*MM_PARA_M3_HA</f>
        <v>33241.4027149321</v>
      </c>
      <c r="AA646" s="18" t="n">
        <f aca="false">IFERROR(INDEX(CADASTRO_PIVOS!$I$6:$I$41,MATCH($E646,CADASTRO_PIVOS!$B$6:$B$41,0)),0)</f>
        <v>785.714285714286</v>
      </c>
      <c r="AB646" s="18" t="n">
        <f aca="false">IF($Z646&lt;=0,0,$Z646/$AA646)</f>
        <v>42.3072398190045</v>
      </c>
      <c r="AC646" s="16" t="n">
        <f aca="false">IFERROR(INDEX(SEMANAS!$K$6:$K$71,MATCH($B646,SEMANAS!$B$6:$B$71,0)),0)</f>
        <v>147</v>
      </c>
      <c r="AD646" s="19" t="n">
        <f aca="false">IF($AC646&lt;=0,0,$AB646/$AC646)</f>
        <v>0.287804352510235</v>
      </c>
      <c r="AE646" s="8" t="str">
        <f aca="false">IF($K646="SEM CULTURA","SEM CULTURA",IF($AA646&lt;=0,"DADO PENDENTE",IF($AD646&gt;LIMITE_CRITICO,"INVIAVEL",IF($AD646&gt;LIMITE_ATENCAO,"CRITICO",IF($AD646&gt;LIMITE_CONFORTAVEL,"ATENCAO","OK")))))</f>
        <v>OK</v>
      </c>
      <c r="AF646" s="8" t="str">
        <f aca="false">$B646&amp;"|"&amp;TEXT($AD646,"0.000000")</f>
        <v>47|0.287804</v>
      </c>
      <c r="AG646" s="18" t="n">
        <f aca="false">IF($K646="SEM CULTURA",0,$T646*$H646)</f>
        <v>2887.11923076923</v>
      </c>
      <c r="AH646" s="18" t="n">
        <f aca="false">IF($K646="SEM CULTURA",0,$V646*$H646)</f>
        <v>61.6</v>
      </c>
      <c r="AI646" s="18" t="n">
        <f aca="false">IF($K646="SEM CULTURA",0,$W646*$H646)</f>
        <v>2825.51923076923</v>
      </c>
      <c r="AJ646" s="18" t="n">
        <f aca="false">IF($K646="SEM CULTURA",0,$S646*$H646)</f>
        <v>3311</v>
      </c>
      <c r="AK646" s="8" t="str">
        <f aca="false">$E646&amp;"|"&amp;TEXT($AD646,"0.000000")</f>
        <v>PV 110|0.287804</v>
      </c>
    </row>
    <row r="647" customFormat="false" ht="15" hidden="false" customHeight="false" outlineLevel="0" collapsed="false">
      <c r="B647" s="16" t="n">
        <v>48</v>
      </c>
      <c r="C647" s="17" t="n">
        <f aca="false">DATA_INICIO_SAFRA+($B647-1)*DIAS_POR_SEMANA</f>
        <v>46594</v>
      </c>
      <c r="D647" s="17" t="n">
        <f aca="false">$C647+DIAS_POR_SEMANA-1</f>
        <v>46600</v>
      </c>
      <c r="E647" s="15" t="s">
        <v>268</v>
      </c>
      <c r="F647" s="8" t="str">
        <f aca="false">IFERROR(INDEX(CADASTRO_PIVOS!$C$6:$C$41,MATCH($E647,CADASTRO_PIVOS!$B$6:$B$41,0)),"?")</f>
        <v>RM04</v>
      </c>
      <c r="G647" s="8" t="str">
        <f aca="false">IFERROR(INDEX(CADASTRO_PIVOS!$D$6:$D$41,MATCH($E647,CADASTRO_PIVOS!$B$6:$B$41,0)),"?")</f>
        <v>TR04</v>
      </c>
      <c r="H647" s="20" t="n">
        <f aca="false">IFERROR(INDEX(CADASTRO_PIVOS!$E$6:$E$41,MATCH($E647,CADASTRO_PIVOS!$B$6:$B$41,0)),0)</f>
        <v>110</v>
      </c>
      <c r="I647" s="16" t="n">
        <f aca="false">IFERROR(SUMIFS(ROTACAO_RDM!$B$6:$B$71,ROTACAO_RDM!$D$6:$D$71,$E647,ROTACAO_RDM!$I$6:$I$71,"&lt;="&amp;$C647+INT(DIAS_POR_SEMANA/2),ROTACAO_RDM!$J$6:$J$71,"&gt;="&amp;$C647+INT(DIAS_POR_SEMANA/2)),0)</f>
        <v>18</v>
      </c>
      <c r="J647" s="16" t="n">
        <f aca="false">IFERROR(MATCH($I647,ROTACAO_RDM!$B$6:$B$71,0),0)</f>
        <v>18</v>
      </c>
      <c r="K647" s="8" t="str">
        <f aca="false">IF($J647=0,"SEM CULTURA",INDEX(ROTACAO_RDM!$F$6:$F$71,$J647))</f>
        <v>ALGODAO</v>
      </c>
      <c r="L647" s="8" t="str">
        <f aca="false">IF($J647=0,"",INDEX(ROTACAO_RDM!$G$6:$G$71,$J647))</f>
        <v>FM 933 STP</v>
      </c>
      <c r="M647" s="17" t="n">
        <f aca="false">IF($J647=0,"",INDEX(ROTACAO_RDM!$I$6:$I$71,$J647))</f>
        <v>46422</v>
      </c>
      <c r="N647" s="16" t="n">
        <f aca="false">IF($J647=0,0,MAX(0,$C647+INT(DIAS_POR_SEMANA/2)-INDEX(ROTACAO_RDM!$I$6:$I$71,$J647)))</f>
        <v>175</v>
      </c>
      <c r="O647" s="19" t="n">
        <f aca="false">IF($J647=0,0,MIN(1,$N647/MAX(1,INDEX(ROTACAO_RDM!$K$6:$K$71,$J647))))</f>
        <v>0.897435897435898</v>
      </c>
      <c r="P647" s="16" t="n">
        <f aca="false">IF($J647=0,0,IFERROR(MATCH(INDEX(ROTACAO_RDM!$N$6:$N$71,$J647),PARAMETROS_CULTURAS!$B$6:$B$28,0),0))</f>
        <v>5</v>
      </c>
      <c r="Q647" s="8" t="str">
        <f aca="false">IF($P647=0,"-",IF($O647&lt;=INDEX(PARAMETROS_CULTURAS!$F$6:$F$28,$P647),"INICIAL",IF($O647&lt;=INDEX(PARAMETROS_CULTURAS!$F$6:$F$28,$P647)+INDEX(PARAMETROS_CULTURAS!$G$6:$G$28,$P647),"DESENVOLVIMENTO",IF($O647&lt;=INDEX(PARAMETROS_CULTURAS!$F$6:$F$28,$P647)+INDEX(PARAMETROS_CULTURAS!$G$6:$G$28,$P647)+INDEX(PARAMETROS_CULTURAS!$H$6:$H$28,$P647),"MEDIA","FINAL"))))</f>
        <v>FINAL</v>
      </c>
      <c r="R647" s="24" t="n">
        <f aca="false">IF($P647=0,0,IF($O647&lt;=INDEX(PARAMETROS_CULTURAS!$F$6:$F$28,$P647),INDEX(PARAMETROS_CULTURAS!$K$6:$K$28,$P647),IF($O647&lt;=INDEX(PARAMETROS_CULTURAS!$F$6:$F$28,$P647)+INDEX(PARAMETROS_CULTURAS!$G$6:$G$28,$P647),INDEX(PARAMETROS_CULTURAS!$K$6:$K$28,$P647)+(INDEX(PARAMETROS_CULTURAS!$L$6:$L$28,$P647)-INDEX(PARAMETROS_CULTURAS!$K$6:$K$28,$P647))*($O647-INDEX(PARAMETROS_CULTURAS!$F$6:$F$28,$P647))/MAX(INDEX(PARAMETROS_CULTURAS!$G$6:$G$28,$P647),0.0001),IF($O647&lt;=INDEX(PARAMETROS_CULTURAS!$F$6:$F$28,$P647)+INDEX(PARAMETROS_CULTURAS!$G$6:$G$28,$P647)+INDEX(PARAMETROS_CULTURAS!$H$6:$H$28,$P647),INDEX(PARAMETROS_CULTURAS!$L$6:$L$28,$P647),INDEX(PARAMETROS_CULTURAS!$L$6:$L$28,$P647)+(INDEX(PARAMETROS_CULTURAS!$M$6:$M$28,$P647)-INDEX(PARAMETROS_CULTURAS!$L$6:$L$28,$P647))*($O647-INDEX(PARAMETROS_CULTURAS!$F$6:$F$28,$P647)-INDEX(PARAMETROS_CULTURAS!$G$6:$G$28,$P647)-INDEX(PARAMETROS_CULTURAS!$H$6:$H$28,$P647))/MAX(INDEX(PARAMETROS_CULTURAS!$I$6:$I$28,$P647),0.0001)))))</f>
        <v>0.801465201465202</v>
      </c>
      <c r="S647" s="18" t="n">
        <f aca="false">IFERROR(INDEX(SEMANAS!$H$6:$H$71,MATCH($B647,SEMANAS!$B$6:$B$71,0)),0)</f>
        <v>31</v>
      </c>
      <c r="T647" s="18" t="n">
        <f aca="false">$R647*$S647</f>
        <v>24.8454212454212</v>
      </c>
      <c r="U647" s="18" t="n">
        <f aca="false">IFERROR(INDEX(SEMANAS!$I$6:$I$71,MATCH($B647,SEMANAS!$B$6:$B$71,0)),0)</f>
        <v>0.76</v>
      </c>
      <c r="V647" s="18" t="n">
        <f aca="false">IFERROR(INDEX(SEMANAS!$J$6:$J$71,MATCH($B647,SEMANAS!$B$6:$B$71,0)),0)</f>
        <v>0.608</v>
      </c>
      <c r="W647" s="18" t="n">
        <f aca="false">MAX(0,$T647-$V647)</f>
        <v>24.2374212454212</v>
      </c>
      <c r="X647" s="19" t="n">
        <f aca="false">IFERROR(INDEX(CADASTRO_PIVOS!$K$6:$K$41,MATCH($E647,CADASTRO_PIVOS!$B$6:$B$41,0)),EFICIENCIA_PADRAO)</f>
        <v>0.85</v>
      </c>
      <c r="Y647" s="18" t="n">
        <f aca="false">IF($X647&lt;=0,0,$W647/$X647)</f>
        <v>28.5146132299073</v>
      </c>
      <c r="Z647" s="16" t="n">
        <f aca="false">$Y647*$H647*MM_PARA_M3_HA</f>
        <v>31366.0745528981</v>
      </c>
      <c r="AA647" s="18" t="n">
        <f aca="false">IFERROR(INDEX(CADASTRO_PIVOS!$I$6:$I$41,MATCH($E647,CADASTRO_PIVOS!$B$6:$B$41,0)),0)</f>
        <v>785.714285714286</v>
      </c>
      <c r="AB647" s="18" t="n">
        <f aca="false">IF($Z647&lt;=0,0,$Z647/$AA647)</f>
        <v>39.9204585218703</v>
      </c>
      <c r="AC647" s="16" t="n">
        <f aca="false">IFERROR(INDEX(SEMANAS!$K$6:$K$71,MATCH($B647,SEMANAS!$B$6:$B$71,0)),0)</f>
        <v>147</v>
      </c>
      <c r="AD647" s="19" t="n">
        <f aca="false">IF($AC647&lt;=0,0,$AB647/$AC647)</f>
        <v>0.271567745046737</v>
      </c>
      <c r="AE647" s="8" t="str">
        <f aca="false">IF($K647="SEM CULTURA","SEM CULTURA",IF($AA647&lt;=0,"DADO PENDENTE",IF($AD647&gt;LIMITE_CRITICO,"INVIAVEL",IF($AD647&gt;LIMITE_ATENCAO,"CRITICO",IF($AD647&gt;LIMITE_CONFORTAVEL,"ATENCAO","OK")))))</f>
        <v>OK</v>
      </c>
      <c r="AF647" s="8" t="str">
        <f aca="false">$B647&amp;"|"&amp;TEXT($AD647,"0.000000")</f>
        <v>48|0.271568</v>
      </c>
      <c r="AG647" s="18" t="n">
        <f aca="false">IF($K647="SEM CULTURA",0,$T647*$H647)</f>
        <v>2732.99633699634</v>
      </c>
      <c r="AH647" s="18" t="n">
        <f aca="false">IF($K647="SEM CULTURA",0,$V647*$H647)</f>
        <v>66.88</v>
      </c>
      <c r="AI647" s="18" t="n">
        <f aca="false">IF($K647="SEM CULTURA",0,$W647*$H647)</f>
        <v>2666.11633699634</v>
      </c>
      <c r="AJ647" s="18" t="n">
        <f aca="false">IF($K647="SEM CULTURA",0,$S647*$H647)</f>
        <v>3410</v>
      </c>
      <c r="AK647" s="8" t="str">
        <f aca="false">$E647&amp;"|"&amp;TEXT($AD647,"0.000000")</f>
        <v>PV 110|0.271568</v>
      </c>
    </row>
    <row r="648" customFormat="false" ht="15" hidden="false" customHeight="false" outlineLevel="0" collapsed="false">
      <c r="B648" s="16" t="n">
        <v>49</v>
      </c>
      <c r="C648" s="17" t="n">
        <f aca="false">DATA_INICIO_SAFRA+($B648-1)*DIAS_POR_SEMANA</f>
        <v>46601</v>
      </c>
      <c r="D648" s="17" t="n">
        <f aca="false">$C648+DIAS_POR_SEMANA-1</f>
        <v>46607</v>
      </c>
      <c r="E648" s="15" t="s">
        <v>268</v>
      </c>
      <c r="F648" s="8" t="str">
        <f aca="false">IFERROR(INDEX(CADASTRO_PIVOS!$C$6:$C$41,MATCH($E648,CADASTRO_PIVOS!$B$6:$B$41,0)),"?")</f>
        <v>RM04</v>
      </c>
      <c r="G648" s="8" t="str">
        <f aca="false">IFERROR(INDEX(CADASTRO_PIVOS!$D$6:$D$41,MATCH($E648,CADASTRO_PIVOS!$B$6:$B$41,0)),"?")</f>
        <v>TR04</v>
      </c>
      <c r="H648" s="20" t="n">
        <f aca="false">IFERROR(INDEX(CADASTRO_PIVOS!$E$6:$E$41,MATCH($E648,CADASTRO_PIVOS!$B$6:$B$41,0)),0)</f>
        <v>110</v>
      </c>
      <c r="I648" s="16" t="n">
        <f aca="false">IFERROR(SUMIFS(ROTACAO_RDM!$B$6:$B$71,ROTACAO_RDM!$D$6:$D$71,$E648,ROTACAO_RDM!$I$6:$I$71,"&lt;="&amp;$C648+INT(DIAS_POR_SEMANA/2),ROTACAO_RDM!$J$6:$J$71,"&gt;="&amp;$C648+INT(DIAS_POR_SEMANA/2)),0)</f>
        <v>18</v>
      </c>
      <c r="J648" s="16" t="n">
        <f aca="false">IFERROR(MATCH($I648,ROTACAO_RDM!$B$6:$B$71,0),0)</f>
        <v>18</v>
      </c>
      <c r="K648" s="8" t="str">
        <f aca="false">IF($J648=0,"SEM CULTURA",INDEX(ROTACAO_RDM!$F$6:$F$71,$J648))</f>
        <v>ALGODAO</v>
      </c>
      <c r="L648" s="8" t="str">
        <f aca="false">IF($J648=0,"",INDEX(ROTACAO_RDM!$G$6:$G$71,$J648))</f>
        <v>FM 933 STP</v>
      </c>
      <c r="M648" s="17" t="n">
        <f aca="false">IF($J648=0,"",INDEX(ROTACAO_RDM!$I$6:$I$71,$J648))</f>
        <v>46422</v>
      </c>
      <c r="N648" s="16" t="n">
        <f aca="false">IF($J648=0,0,MAX(0,$C648+INT(DIAS_POR_SEMANA/2)-INDEX(ROTACAO_RDM!$I$6:$I$71,$J648)))</f>
        <v>182</v>
      </c>
      <c r="O648" s="19" t="n">
        <f aca="false">IF($J648=0,0,MIN(1,$N648/MAX(1,INDEX(ROTACAO_RDM!$K$6:$K$71,$J648))))</f>
        <v>0.933333333333333</v>
      </c>
      <c r="P648" s="16" t="n">
        <f aca="false">IF($J648=0,0,IFERROR(MATCH(INDEX(ROTACAO_RDM!$N$6:$N$71,$J648),PARAMETROS_CULTURAS!$B$6:$B$28,0),0))</f>
        <v>5</v>
      </c>
      <c r="Q648" s="8" t="str">
        <f aca="false">IF($P648=0,"-",IF($O648&lt;=INDEX(PARAMETROS_CULTURAS!$F$6:$F$28,$P648),"INICIAL",IF($O648&lt;=INDEX(PARAMETROS_CULTURAS!$F$6:$F$28,$P648)+INDEX(PARAMETROS_CULTURAS!$G$6:$G$28,$P648),"DESENVOLVIMENTO",IF($O648&lt;=INDEX(PARAMETROS_CULTURAS!$F$6:$F$28,$P648)+INDEX(PARAMETROS_CULTURAS!$G$6:$G$28,$P648)+INDEX(PARAMETROS_CULTURAS!$H$6:$H$28,$P648),"MEDIA","FINAL"))))</f>
        <v>FINAL</v>
      </c>
      <c r="R648" s="24" t="n">
        <f aca="false">IF($P648=0,0,IF($O648&lt;=INDEX(PARAMETROS_CULTURAS!$F$6:$F$28,$P648),INDEX(PARAMETROS_CULTURAS!$K$6:$K$28,$P648),IF($O648&lt;=INDEX(PARAMETROS_CULTURAS!$F$6:$F$28,$P648)+INDEX(PARAMETROS_CULTURAS!$G$6:$G$28,$P648),INDEX(PARAMETROS_CULTURAS!$K$6:$K$28,$P648)+(INDEX(PARAMETROS_CULTURAS!$L$6:$L$28,$P648)-INDEX(PARAMETROS_CULTURAS!$K$6:$K$28,$P648))*($O648-INDEX(PARAMETROS_CULTURAS!$F$6:$F$28,$P648))/MAX(INDEX(PARAMETROS_CULTURAS!$G$6:$G$28,$P648),0.0001),IF($O648&lt;=INDEX(PARAMETROS_CULTURAS!$F$6:$F$28,$P648)+INDEX(PARAMETROS_CULTURAS!$G$6:$G$28,$P648)+INDEX(PARAMETROS_CULTURAS!$H$6:$H$28,$P648),INDEX(PARAMETROS_CULTURAS!$L$6:$L$28,$P648),INDEX(PARAMETROS_CULTURAS!$L$6:$L$28,$P648)+(INDEX(PARAMETROS_CULTURAS!$M$6:$M$28,$P648)-INDEX(PARAMETROS_CULTURAS!$L$6:$L$28,$P648))*($O648-INDEX(PARAMETROS_CULTURAS!$F$6:$F$28,$P648)-INDEX(PARAMETROS_CULTURAS!$G$6:$G$28,$P648)-INDEX(PARAMETROS_CULTURAS!$H$6:$H$28,$P648))/MAX(INDEX(PARAMETROS_CULTURAS!$I$6:$I$28,$P648),0.0001)))))</f>
        <v>0.730952380952381</v>
      </c>
      <c r="S648" s="18" t="n">
        <f aca="false">IFERROR(INDEX(SEMANAS!$H$6:$H$71,MATCH($B648,SEMANAS!$B$6:$B$71,0)),0)</f>
        <v>36.4</v>
      </c>
      <c r="T648" s="18" t="n">
        <f aca="false">$R648*$S648</f>
        <v>26.6066666666667</v>
      </c>
      <c r="U648" s="18" t="n">
        <f aca="false">IFERROR(INDEX(SEMANAS!$I$6:$I$71,MATCH($B648,SEMANAS!$B$6:$B$71,0)),0)</f>
        <v>1.12</v>
      </c>
      <c r="V648" s="18" t="n">
        <f aca="false">IFERROR(INDEX(SEMANAS!$J$6:$J$71,MATCH($B648,SEMANAS!$B$6:$B$71,0)),0)</f>
        <v>0.896</v>
      </c>
      <c r="W648" s="18" t="n">
        <f aca="false">MAX(0,$T648-$V648)</f>
        <v>25.7106666666667</v>
      </c>
      <c r="X648" s="19" t="n">
        <f aca="false">IFERROR(INDEX(CADASTRO_PIVOS!$K$6:$K$41,MATCH($E648,CADASTRO_PIVOS!$B$6:$B$41,0)),EFICIENCIA_PADRAO)</f>
        <v>0.85</v>
      </c>
      <c r="Y648" s="18" t="n">
        <f aca="false">IF($X648&lt;=0,0,$W648/$X648)</f>
        <v>30.2478431372549</v>
      </c>
      <c r="Z648" s="16" t="n">
        <f aca="false">$Y648*$H648*MM_PARA_M3_HA</f>
        <v>33272.6274509804</v>
      </c>
      <c r="AA648" s="18" t="n">
        <f aca="false">IFERROR(INDEX(CADASTRO_PIVOS!$I$6:$I$41,MATCH($E648,CADASTRO_PIVOS!$B$6:$B$41,0)),0)</f>
        <v>785.714285714286</v>
      </c>
      <c r="AB648" s="18" t="n">
        <f aca="false">IF($Z648&lt;=0,0,$Z648/$AA648)</f>
        <v>42.3469803921569</v>
      </c>
      <c r="AC648" s="16" t="n">
        <f aca="false">IFERROR(INDEX(SEMANAS!$K$6:$K$71,MATCH($B648,SEMANAS!$B$6:$B$71,0)),0)</f>
        <v>147</v>
      </c>
      <c r="AD648" s="19" t="n">
        <f aca="false">IF($AC648&lt;=0,0,$AB648/$AC648)</f>
        <v>0.288074696545285</v>
      </c>
      <c r="AE648" s="8" t="str">
        <f aca="false">IF($K648="SEM CULTURA","SEM CULTURA",IF($AA648&lt;=0,"DADO PENDENTE",IF($AD648&gt;LIMITE_CRITICO,"INVIAVEL",IF($AD648&gt;LIMITE_ATENCAO,"CRITICO",IF($AD648&gt;LIMITE_CONFORTAVEL,"ATENCAO","OK")))))</f>
        <v>OK</v>
      </c>
      <c r="AF648" s="8" t="str">
        <f aca="false">$B648&amp;"|"&amp;TEXT($AD648,"0.000000")</f>
        <v>49|0.288075</v>
      </c>
      <c r="AG648" s="18" t="n">
        <f aca="false">IF($K648="SEM CULTURA",0,$T648*$H648)</f>
        <v>2926.73333333333</v>
      </c>
      <c r="AH648" s="18" t="n">
        <f aca="false">IF($K648="SEM CULTURA",0,$V648*$H648)</f>
        <v>98.56</v>
      </c>
      <c r="AI648" s="18" t="n">
        <f aca="false">IF($K648="SEM CULTURA",0,$W648*$H648)</f>
        <v>2828.17333333333</v>
      </c>
      <c r="AJ648" s="18" t="n">
        <f aca="false">IF($K648="SEM CULTURA",0,$S648*$H648)</f>
        <v>4004</v>
      </c>
      <c r="AK648" s="8" t="str">
        <f aca="false">$E648&amp;"|"&amp;TEXT($AD648,"0.000000")</f>
        <v>PV 110|0.288075</v>
      </c>
    </row>
    <row r="649" customFormat="false" ht="15" hidden="false" customHeight="false" outlineLevel="0" collapsed="false">
      <c r="B649" s="16" t="n">
        <v>50</v>
      </c>
      <c r="C649" s="17" t="n">
        <f aca="false">DATA_INICIO_SAFRA+($B649-1)*DIAS_POR_SEMANA</f>
        <v>46608</v>
      </c>
      <c r="D649" s="17" t="n">
        <f aca="false">$C649+DIAS_POR_SEMANA-1</f>
        <v>46614</v>
      </c>
      <c r="E649" s="15" t="s">
        <v>268</v>
      </c>
      <c r="F649" s="8" t="str">
        <f aca="false">IFERROR(INDEX(CADASTRO_PIVOS!$C$6:$C$41,MATCH($E649,CADASTRO_PIVOS!$B$6:$B$41,0)),"?")</f>
        <v>RM04</v>
      </c>
      <c r="G649" s="8" t="str">
        <f aca="false">IFERROR(INDEX(CADASTRO_PIVOS!$D$6:$D$41,MATCH($E649,CADASTRO_PIVOS!$B$6:$B$41,0)),"?")</f>
        <v>TR04</v>
      </c>
      <c r="H649" s="20" t="n">
        <f aca="false">IFERROR(INDEX(CADASTRO_PIVOS!$E$6:$E$41,MATCH($E649,CADASTRO_PIVOS!$B$6:$B$41,0)),0)</f>
        <v>110</v>
      </c>
      <c r="I649" s="16" t="n">
        <f aca="false">IFERROR(SUMIFS(ROTACAO_RDM!$B$6:$B$71,ROTACAO_RDM!$D$6:$D$71,$E649,ROTACAO_RDM!$I$6:$I$71,"&lt;="&amp;$C649+INT(DIAS_POR_SEMANA/2),ROTACAO_RDM!$J$6:$J$71,"&gt;="&amp;$C649+INT(DIAS_POR_SEMANA/2)),0)</f>
        <v>18</v>
      </c>
      <c r="J649" s="16" t="n">
        <f aca="false">IFERROR(MATCH($I649,ROTACAO_RDM!$B$6:$B$71,0),0)</f>
        <v>18</v>
      </c>
      <c r="K649" s="8" t="str">
        <f aca="false">IF($J649=0,"SEM CULTURA",INDEX(ROTACAO_RDM!$F$6:$F$71,$J649))</f>
        <v>ALGODAO</v>
      </c>
      <c r="L649" s="8" t="str">
        <f aca="false">IF($J649=0,"",INDEX(ROTACAO_RDM!$G$6:$G$71,$J649))</f>
        <v>FM 933 STP</v>
      </c>
      <c r="M649" s="17" t="n">
        <f aca="false">IF($J649=0,"",INDEX(ROTACAO_RDM!$I$6:$I$71,$J649))</f>
        <v>46422</v>
      </c>
      <c r="N649" s="16" t="n">
        <f aca="false">IF($J649=0,0,MAX(0,$C649+INT(DIAS_POR_SEMANA/2)-INDEX(ROTACAO_RDM!$I$6:$I$71,$J649)))</f>
        <v>189</v>
      </c>
      <c r="O649" s="19" t="n">
        <f aca="false">IF($J649=0,0,MIN(1,$N649/MAX(1,INDEX(ROTACAO_RDM!$K$6:$K$71,$J649))))</f>
        <v>0.969230769230769</v>
      </c>
      <c r="P649" s="16" t="n">
        <f aca="false">IF($J649=0,0,IFERROR(MATCH(INDEX(ROTACAO_RDM!$N$6:$N$71,$J649),PARAMETROS_CULTURAS!$B$6:$B$28,0),0))</f>
        <v>5</v>
      </c>
      <c r="Q649" s="8" t="str">
        <f aca="false">IF($P649=0,"-",IF($O649&lt;=INDEX(PARAMETROS_CULTURAS!$F$6:$F$28,$P649),"INICIAL",IF($O649&lt;=INDEX(PARAMETROS_CULTURAS!$F$6:$F$28,$P649)+INDEX(PARAMETROS_CULTURAS!$G$6:$G$28,$P649),"DESENVOLVIMENTO",IF($O649&lt;=INDEX(PARAMETROS_CULTURAS!$F$6:$F$28,$P649)+INDEX(PARAMETROS_CULTURAS!$G$6:$G$28,$P649)+INDEX(PARAMETROS_CULTURAS!$H$6:$H$28,$P649),"MEDIA","FINAL"))))</f>
        <v>FINAL</v>
      </c>
      <c r="R649" s="24" t="n">
        <f aca="false">IF($P649=0,0,IF($O649&lt;=INDEX(PARAMETROS_CULTURAS!$F$6:$F$28,$P649),INDEX(PARAMETROS_CULTURAS!$K$6:$K$28,$P649),IF($O649&lt;=INDEX(PARAMETROS_CULTURAS!$F$6:$F$28,$P649)+INDEX(PARAMETROS_CULTURAS!$G$6:$G$28,$P649),INDEX(PARAMETROS_CULTURAS!$K$6:$K$28,$P649)+(INDEX(PARAMETROS_CULTURAS!$L$6:$L$28,$P649)-INDEX(PARAMETROS_CULTURAS!$K$6:$K$28,$P649))*($O649-INDEX(PARAMETROS_CULTURAS!$F$6:$F$28,$P649))/MAX(INDEX(PARAMETROS_CULTURAS!$G$6:$G$28,$P649),0.0001),IF($O649&lt;=INDEX(PARAMETROS_CULTURAS!$F$6:$F$28,$P649)+INDEX(PARAMETROS_CULTURAS!$G$6:$G$28,$P649)+INDEX(PARAMETROS_CULTURAS!$H$6:$H$28,$P649),INDEX(PARAMETROS_CULTURAS!$L$6:$L$28,$P649),INDEX(PARAMETROS_CULTURAS!$L$6:$L$28,$P649)+(INDEX(PARAMETROS_CULTURAS!$M$6:$M$28,$P649)-INDEX(PARAMETROS_CULTURAS!$L$6:$L$28,$P649))*($O649-INDEX(PARAMETROS_CULTURAS!$F$6:$F$28,$P649)-INDEX(PARAMETROS_CULTURAS!$G$6:$G$28,$P649)-INDEX(PARAMETROS_CULTURAS!$H$6:$H$28,$P649))/MAX(INDEX(PARAMETROS_CULTURAS!$I$6:$I$28,$P649),0.0001)))))</f>
        <v>0.660439560439561</v>
      </c>
      <c r="S649" s="18" t="n">
        <f aca="false">IFERROR(INDEX(SEMANAS!$H$6:$H$71,MATCH($B649,SEMANAS!$B$6:$B$71,0)),0)</f>
        <v>36.4</v>
      </c>
      <c r="T649" s="18" t="n">
        <f aca="false">$R649*$S649</f>
        <v>24.04</v>
      </c>
      <c r="U649" s="18" t="n">
        <f aca="false">IFERROR(INDEX(SEMANAS!$I$6:$I$71,MATCH($B649,SEMANAS!$B$6:$B$71,0)),0)</f>
        <v>1.12</v>
      </c>
      <c r="V649" s="18" t="n">
        <f aca="false">IFERROR(INDEX(SEMANAS!$J$6:$J$71,MATCH($B649,SEMANAS!$B$6:$B$71,0)),0)</f>
        <v>0.896</v>
      </c>
      <c r="W649" s="18" t="n">
        <f aca="false">MAX(0,$T649-$V649)</f>
        <v>23.144</v>
      </c>
      <c r="X649" s="19" t="n">
        <f aca="false">IFERROR(INDEX(CADASTRO_PIVOS!$K$6:$K$41,MATCH($E649,CADASTRO_PIVOS!$B$6:$B$41,0)),EFICIENCIA_PADRAO)</f>
        <v>0.85</v>
      </c>
      <c r="Y649" s="18" t="n">
        <f aca="false">IF($X649&lt;=0,0,$W649/$X649)</f>
        <v>27.2282352941177</v>
      </c>
      <c r="Z649" s="16" t="n">
        <f aca="false">$Y649*$H649*MM_PARA_M3_HA</f>
        <v>29951.0588235294</v>
      </c>
      <c r="AA649" s="18" t="n">
        <f aca="false">IFERROR(INDEX(CADASTRO_PIVOS!$I$6:$I$41,MATCH($E649,CADASTRO_PIVOS!$B$6:$B$41,0)),0)</f>
        <v>785.714285714286</v>
      </c>
      <c r="AB649" s="18" t="n">
        <f aca="false">IF($Z649&lt;=0,0,$Z649/$AA649)</f>
        <v>38.1195294117647</v>
      </c>
      <c r="AC649" s="16" t="n">
        <f aca="false">IFERROR(INDEX(SEMANAS!$K$6:$K$71,MATCH($B649,SEMANAS!$B$6:$B$71,0)),0)</f>
        <v>147</v>
      </c>
      <c r="AD649" s="19" t="n">
        <f aca="false">IF($AC649&lt;=0,0,$AB649/$AC649)</f>
        <v>0.259316526610644</v>
      </c>
      <c r="AE649" s="8" t="str">
        <f aca="false">IF($K649="SEM CULTURA","SEM CULTURA",IF($AA649&lt;=0,"DADO PENDENTE",IF($AD649&gt;LIMITE_CRITICO,"INVIAVEL",IF($AD649&gt;LIMITE_ATENCAO,"CRITICO",IF($AD649&gt;LIMITE_CONFORTAVEL,"ATENCAO","OK")))))</f>
        <v>OK</v>
      </c>
      <c r="AF649" s="8" t="str">
        <f aca="false">$B649&amp;"|"&amp;TEXT($AD649,"0.000000")</f>
        <v>50|0.259317</v>
      </c>
      <c r="AG649" s="18" t="n">
        <f aca="false">IF($K649="SEM CULTURA",0,$T649*$H649)</f>
        <v>2644.4</v>
      </c>
      <c r="AH649" s="18" t="n">
        <f aca="false">IF($K649="SEM CULTURA",0,$V649*$H649)</f>
        <v>98.56</v>
      </c>
      <c r="AI649" s="18" t="n">
        <f aca="false">IF($K649="SEM CULTURA",0,$W649*$H649)</f>
        <v>2545.84</v>
      </c>
      <c r="AJ649" s="18" t="n">
        <f aca="false">IF($K649="SEM CULTURA",0,$S649*$H649)</f>
        <v>4004</v>
      </c>
      <c r="AK649" s="8" t="str">
        <f aca="false">$E649&amp;"|"&amp;TEXT($AD649,"0.000000")</f>
        <v>PV 110|0.259317</v>
      </c>
    </row>
    <row r="650" customFormat="false" ht="15" hidden="false" customHeight="false" outlineLevel="0" collapsed="false">
      <c r="B650" s="16" t="n">
        <v>51</v>
      </c>
      <c r="C650" s="17" t="n">
        <f aca="false">DATA_INICIO_SAFRA+($B650-1)*DIAS_POR_SEMANA</f>
        <v>46615</v>
      </c>
      <c r="D650" s="17" t="n">
        <f aca="false">$C650+DIAS_POR_SEMANA-1</f>
        <v>46621</v>
      </c>
      <c r="E650" s="15" t="s">
        <v>268</v>
      </c>
      <c r="F650" s="8" t="str">
        <f aca="false">IFERROR(INDEX(CADASTRO_PIVOS!$C$6:$C$41,MATCH($E650,CADASTRO_PIVOS!$B$6:$B$41,0)),"?")</f>
        <v>RM04</v>
      </c>
      <c r="G650" s="8" t="str">
        <f aca="false">IFERROR(INDEX(CADASTRO_PIVOS!$D$6:$D$41,MATCH($E650,CADASTRO_PIVOS!$B$6:$B$41,0)),"?")</f>
        <v>TR04</v>
      </c>
      <c r="H650" s="20" t="n">
        <f aca="false">IFERROR(INDEX(CADASTRO_PIVOS!$E$6:$E$41,MATCH($E650,CADASTRO_PIVOS!$B$6:$B$41,0)),0)</f>
        <v>110</v>
      </c>
      <c r="I650" s="16" t="n">
        <f aca="false">IFERROR(SUMIFS(ROTACAO_RDM!$B$6:$B$71,ROTACAO_RDM!$D$6:$D$71,$E650,ROTACAO_RDM!$I$6:$I$71,"&lt;="&amp;$C650+INT(DIAS_POR_SEMANA/2),ROTACAO_RDM!$J$6:$J$71,"&gt;="&amp;$C650+INT(DIAS_POR_SEMANA/2)),0)</f>
        <v>0</v>
      </c>
      <c r="J650" s="16" t="n">
        <f aca="false">IFERROR(MATCH($I650,ROTACAO_RDM!$B$6:$B$71,0),0)</f>
        <v>0</v>
      </c>
      <c r="K650" s="8" t="str">
        <f aca="false">IF($J650=0,"SEM CULTURA",INDEX(ROTACAO_RDM!$F$6:$F$71,$J650))</f>
        <v>SEM CULTURA</v>
      </c>
      <c r="L650" s="8" t="str">
        <f aca="false">IF($J650=0,"",INDEX(ROTACAO_RDM!$G$6:$G$71,$J650))</f>
        <v/>
      </c>
      <c r="M650" s="17" t="str">
        <f aca="false">IF($J650=0,"",INDEX(ROTACAO_RDM!$I$6:$I$71,$J650))</f>
        <v/>
      </c>
      <c r="N650" s="16" t="n">
        <f aca="false">IF($J650=0,0,MAX(0,$C650+INT(DIAS_POR_SEMANA/2)-INDEX(ROTACAO_RDM!$I$6:$I$71,$J650)))</f>
        <v>0</v>
      </c>
      <c r="O650" s="19" t="n">
        <f aca="false">IF($J650=0,0,MIN(1,$N650/MAX(1,INDEX(ROTACAO_RDM!$K$6:$K$71,$J650))))</f>
        <v>0</v>
      </c>
      <c r="P650" s="16" t="n">
        <f aca="false">IF($J650=0,0,IFERROR(MATCH(INDEX(ROTACAO_RDM!$N$6:$N$71,$J650),PARAMETROS_CULTURAS!$B$6:$B$28,0),0))</f>
        <v>0</v>
      </c>
      <c r="Q650" s="8" t="str">
        <f aca="false">IF($P650=0,"-",IF($O650&lt;=INDEX(PARAMETROS_CULTURAS!$F$6:$F$28,$P650),"INICIAL",IF($O650&lt;=INDEX(PARAMETROS_CULTURAS!$F$6:$F$28,$P650)+INDEX(PARAMETROS_CULTURAS!$G$6:$G$28,$P650),"DESENVOLVIMENTO",IF($O650&lt;=INDEX(PARAMETROS_CULTURAS!$F$6:$F$28,$P650)+INDEX(PARAMETROS_CULTURAS!$G$6:$G$28,$P650)+INDEX(PARAMETROS_CULTURAS!$H$6:$H$28,$P650),"MEDIA","FINAL"))))</f>
        <v>-</v>
      </c>
      <c r="R650" s="24" t="n">
        <f aca="false">IF($P650=0,0,IF($O650&lt;=INDEX(PARAMETROS_CULTURAS!$F$6:$F$28,$P650),INDEX(PARAMETROS_CULTURAS!$K$6:$K$28,$P650),IF($O650&lt;=INDEX(PARAMETROS_CULTURAS!$F$6:$F$28,$P650)+INDEX(PARAMETROS_CULTURAS!$G$6:$G$28,$P650),INDEX(PARAMETROS_CULTURAS!$K$6:$K$28,$P650)+(INDEX(PARAMETROS_CULTURAS!$L$6:$L$28,$P650)-INDEX(PARAMETROS_CULTURAS!$K$6:$K$28,$P650))*($O650-INDEX(PARAMETROS_CULTURAS!$F$6:$F$28,$P650))/MAX(INDEX(PARAMETROS_CULTURAS!$G$6:$G$28,$P650),0.0001),IF($O650&lt;=INDEX(PARAMETROS_CULTURAS!$F$6:$F$28,$P650)+INDEX(PARAMETROS_CULTURAS!$G$6:$G$28,$P650)+INDEX(PARAMETROS_CULTURAS!$H$6:$H$28,$P650),INDEX(PARAMETROS_CULTURAS!$L$6:$L$28,$P650),INDEX(PARAMETROS_CULTURAS!$L$6:$L$28,$P650)+(INDEX(PARAMETROS_CULTURAS!$M$6:$M$28,$P650)-INDEX(PARAMETROS_CULTURAS!$L$6:$L$28,$P650))*($O650-INDEX(PARAMETROS_CULTURAS!$F$6:$F$28,$P650)-INDEX(PARAMETROS_CULTURAS!$G$6:$G$28,$P650)-INDEX(PARAMETROS_CULTURAS!$H$6:$H$28,$P650))/MAX(INDEX(PARAMETROS_CULTURAS!$I$6:$I$28,$P650),0.0001)))))</f>
        <v>0</v>
      </c>
      <c r="S650" s="18" t="n">
        <f aca="false">IFERROR(INDEX(SEMANAS!$H$6:$H$71,MATCH($B650,SEMANAS!$B$6:$B$71,0)),0)</f>
        <v>36.4</v>
      </c>
      <c r="T650" s="18" t="n">
        <f aca="false">$R650*$S650</f>
        <v>0</v>
      </c>
      <c r="U650" s="18" t="n">
        <f aca="false">IFERROR(INDEX(SEMANAS!$I$6:$I$71,MATCH($B650,SEMANAS!$B$6:$B$71,0)),0)</f>
        <v>1.12</v>
      </c>
      <c r="V650" s="18" t="n">
        <f aca="false">IFERROR(INDEX(SEMANAS!$J$6:$J$71,MATCH($B650,SEMANAS!$B$6:$B$71,0)),0)</f>
        <v>0.896</v>
      </c>
      <c r="W650" s="18" t="n">
        <f aca="false">MAX(0,$T650-$V650)</f>
        <v>0</v>
      </c>
      <c r="X650" s="19" t="n">
        <f aca="false">IFERROR(INDEX(CADASTRO_PIVOS!$K$6:$K$41,MATCH($E650,CADASTRO_PIVOS!$B$6:$B$41,0)),EFICIENCIA_PADRAO)</f>
        <v>0.85</v>
      </c>
      <c r="Y650" s="18" t="n">
        <f aca="false">IF($X650&lt;=0,0,$W650/$X650)</f>
        <v>0</v>
      </c>
      <c r="Z650" s="16" t="n">
        <f aca="false">$Y650*$H650*MM_PARA_M3_HA</f>
        <v>0</v>
      </c>
      <c r="AA650" s="18" t="n">
        <f aca="false">IFERROR(INDEX(CADASTRO_PIVOS!$I$6:$I$41,MATCH($E650,CADASTRO_PIVOS!$B$6:$B$41,0)),0)</f>
        <v>785.714285714286</v>
      </c>
      <c r="AB650" s="18" t="n">
        <f aca="false">IF($Z650&lt;=0,0,$Z650/$AA650)</f>
        <v>0</v>
      </c>
      <c r="AC650" s="16" t="n">
        <f aca="false">IFERROR(INDEX(SEMANAS!$K$6:$K$71,MATCH($B650,SEMANAS!$B$6:$B$71,0)),0)</f>
        <v>147</v>
      </c>
      <c r="AD650" s="19" t="n">
        <f aca="false">IF($AC650&lt;=0,0,$AB650/$AC650)</f>
        <v>0</v>
      </c>
      <c r="AE650" s="8" t="str">
        <f aca="false">IF($K650="SEM CULTURA","SEM CULTURA",IF($AA650&lt;=0,"DADO PENDENTE",IF($AD650&gt;LIMITE_CRITICO,"INVIAVEL",IF($AD650&gt;LIMITE_ATENCAO,"CRITICO",IF($AD650&gt;LIMITE_CONFORTAVEL,"ATENCAO","OK")))))</f>
        <v>SEM CULTURA</v>
      </c>
      <c r="AF650" s="8" t="str">
        <f aca="false">$B650&amp;"|"&amp;TEXT($AD650,"0.000000")</f>
        <v>51|0.000000</v>
      </c>
      <c r="AG650" s="18" t="n">
        <f aca="false">IF($K650="SEM CULTURA",0,$T650*$H650)</f>
        <v>0</v>
      </c>
      <c r="AH650" s="18" t="n">
        <f aca="false">IF($K650="SEM CULTURA",0,$V650*$H650)</f>
        <v>0</v>
      </c>
      <c r="AI650" s="18" t="n">
        <f aca="false">IF($K650="SEM CULTURA",0,$W650*$H650)</f>
        <v>0</v>
      </c>
      <c r="AJ650" s="18" t="n">
        <f aca="false">IF($K650="SEM CULTURA",0,$S650*$H650)</f>
        <v>0</v>
      </c>
      <c r="AK650" s="8" t="str">
        <f aca="false">$E650&amp;"|"&amp;TEXT($AD650,"0.000000")</f>
        <v>PV 110|0.000000</v>
      </c>
    </row>
    <row r="651" customFormat="false" ht="15" hidden="false" customHeight="false" outlineLevel="0" collapsed="false">
      <c r="B651" s="16" t="n">
        <v>52</v>
      </c>
      <c r="C651" s="17" t="n">
        <f aca="false">DATA_INICIO_SAFRA+($B651-1)*DIAS_POR_SEMANA</f>
        <v>46622</v>
      </c>
      <c r="D651" s="17" t="n">
        <f aca="false">$C651+DIAS_POR_SEMANA-1</f>
        <v>46628</v>
      </c>
      <c r="E651" s="15" t="s">
        <v>268</v>
      </c>
      <c r="F651" s="8" t="str">
        <f aca="false">IFERROR(INDEX(CADASTRO_PIVOS!$C$6:$C$41,MATCH($E651,CADASTRO_PIVOS!$B$6:$B$41,0)),"?")</f>
        <v>RM04</v>
      </c>
      <c r="G651" s="8" t="str">
        <f aca="false">IFERROR(INDEX(CADASTRO_PIVOS!$D$6:$D$41,MATCH($E651,CADASTRO_PIVOS!$B$6:$B$41,0)),"?")</f>
        <v>TR04</v>
      </c>
      <c r="H651" s="20" t="n">
        <f aca="false">IFERROR(INDEX(CADASTRO_PIVOS!$E$6:$E$41,MATCH($E651,CADASTRO_PIVOS!$B$6:$B$41,0)),0)</f>
        <v>110</v>
      </c>
      <c r="I651" s="16" t="n">
        <f aca="false">IFERROR(SUMIFS(ROTACAO_RDM!$B$6:$B$71,ROTACAO_RDM!$D$6:$D$71,$E651,ROTACAO_RDM!$I$6:$I$71,"&lt;="&amp;$C651+INT(DIAS_POR_SEMANA/2),ROTACAO_RDM!$J$6:$J$71,"&gt;="&amp;$C651+INT(DIAS_POR_SEMANA/2)),0)</f>
        <v>0</v>
      </c>
      <c r="J651" s="16" t="n">
        <f aca="false">IFERROR(MATCH($I651,ROTACAO_RDM!$B$6:$B$71,0),0)</f>
        <v>0</v>
      </c>
      <c r="K651" s="8" t="str">
        <f aca="false">IF($J651=0,"SEM CULTURA",INDEX(ROTACAO_RDM!$F$6:$F$71,$J651))</f>
        <v>SEM CULTURA</v>
      </c>
      <c r="L651" s="8" t="str">
        <f aca="false">IF($J651=0,"",INDEX(ROTACAO_RDM!$G$6:$G$71,$J651))</f>
        <v/>
      </c>
      <c r="M651" s="17" t="str">
        <f aca="false">IF($J651=0,"",INDEX(ROTACAO_RDM!$I$6:$I$71,$J651))</f>
        <v/>
      </c>
      <c r="N651" s="16" t="n">
        <f aca="false">IF($J651=0,0,MAX(0,$C651+INT(DIAS_POR_SEMANA/2)-INDEX(ROTACAO_RDM!$I$6:$I$71,$J651)))</f>
        <v>0</v>
      </c>
      <c r="O651" s="19" t="n">
        <f aca="false">IF($J651=0,0,MIN(1,$N651/MAX(1,INDEX(ROTACAO_RDM!$K$6:$K$71,$J651))))</f>
        <v>0</v>
      </c>
      <c r="P651" s="16" t="n">
        <f aca="false">IF($J651=0,0,IFERROR(MATCH(INDEX(ROTACAO_RDM!$N$6:$N$71,$J651),PARAMETROS_CULTURAS!$B$6:$B$28,0),0))</f>
        <v>0</v>
      </c>
      <c r="Q651" s="8" t="str">
        <f aca="false">IF($P651=0,"-",IF($O651&lt;=INDEX(PARAMETROS_CULTURAS!$F$6:$F$28,$P651),"INICIAL",IF($O651&lt;=INDEX(PARAMETROS_CULTURAS!$F$6:$F$28,$P651)+INDEX(PARAMETROS_CULTURAS!$G$6:$G$28,$P651),"DESENVOLVIMENTO",IF($O651&lt;=INDEX(PARAMETROS_CULTURAS!$F$6:$F$28,$P651)+INDEX(PARAMETROS_CULTURAS!$G$6:$G$28,$P651)+INDEX(PARAMETROS_CULTURAS!$H$6:$H$28,$P651),"MEDIA","FINAL"))))</f>
        <v>-</v>
      </c>
      <c r="R651" s="24" t="n">
        <f aca="false">IF($P651=0,0,IF($O651&lt;=INDEX(PARAMETROS_CULTURAS!$F$6:$F$28,$P651),INDEX(PARAMETROS_CULTURAS!$K$6:$K$28,$P651),IF($O651&lt;=INDEX(PARAMETROS_CULTURAS!$F$6:$F$28,$P651)+INDEX(PARAMETROS_CULTURAS!$G$6:$G$28,$P651),INDEX(PARAMETROS_CULTURAS!$K$6:$K$28,$P651)+(INDEX(PARAMETROS_CULTURAS!$L$6:$L$28,$P651)-INDEX(PARAMETROS_CULTURAS!$K$6:$K$28,$P651))*($O651-INDEX(PARAMETROS_CULTURAS!$F$6:$F$28,$P651))/MAX(INDEX(PARAMETROS_CULTURAS!$G$6:$G$28,$P651),0.0001),IF($O651&lt;=INDEX(PARAMETROS_CULTURAS!$F$6:$F$28,$P651)+INDEX(PARAMETROS_CULTURAS!$G$6:$G$28,$P651)+INDEX(PARAMETROS_CULTURAS!$H$6:$H$28,$P651),INDEX(PARAMETROS_CULTURAS!$L$6:$L$28,$P651),INDEX(PARAMETROS_CULTURAS!$L$6:$L$28,$P651)+(INDEX(PARAMETROS_CULTURAS!$M$6:$M$28,$P651)-INDEX(PARAMETROS_CULTURAS!$L$6:$L$28,$P651))*($O651-INDEX(PARAMETROS_CULTURAS!$F$6:$F$28,$P651)-INDEX(PARAMETROS_CULTURAS!$G$6:$G$28,$P651)-INDEX(PARAMETROS_CULTURAS!$H$6:$H$28,$P651))/MAX(INDEX(PARAMETROS_CULTURAS!$I$6:$I$28,$P651),0.0001)))))</f>
        <v>0</v>
      </c>
      <c r="S651" s="18" t="n">
        <f aca="false">IFERROR(INDEX(SEMANAS!$H$6:$H$71,MATCH($B651,SEMANAS!$B$6:$B$71,0)),0)</f>
        <v>36.4</v>
      </c>
      <c r="T651" s="18" t="n">
        <f aca="false">$R651*$S651</f>
        <v>0</v>
      </c>
      <c r="U651" s="18" t="n">
        <f aca="false">IFERROR(INDEX(SEMANAS!$I$6:$I$71,MATCH($B651,SEMANAS!$B$6:$B$71,0)),0)</f>
        <v>1.12</v>
      </c>
      <c r="V651" s="18" t="n">
        <f aca="false">IFERROR(INDEX(SEMANAS!$J$6:$J$71,MATCH($B651,SEMANAS!$B$6:$B$71,0)),0)</f>
        <v>0.896</v>
      </c>
      <c r="W651" s="18" t="n">
        <f aca="false">MAX(0,$T651-$V651)</f>
        <v>0</v>
      </c>
      <c r="X651" s="19" t="n">
        <f aca="false">IFERROR(INDEX(CADASTRO_PIVOS!$K$6:$K$41,MATCH($E651,CADASTRO_PIVOS!$B$6:$B$41,0)),EFICIENCIA_PADRAO)</f>
        <v>0.85</v>
      </c>
      <c r="Y651" s="18" t="n">
        <f aca="false">IF($X651&lt;=0,0,$W651/$X651)</f>
        <v>0</v>
      </c>
      <c r="Z651" s="16" t="n">
        <f aca="false">$Y651*$H651*MM_PARA_M3_HA</f>
        <v>0</v>
      </c>
      <c r="AA651" s="18" t="n">
        <f aca="false">IFERROR(INDEX(CADASTRO_PIVOS!$I$6:$I$41,MATCH($E651,CADASTRO_PIVOS!$B$6:$B$41,0)),0)</f>
        <v>785.714285714286</v>
      </c>
      <c r="AB651" s="18" t="n">
        <f aca="false">IF($Z651&lt;=0,0,$Z651/$AA651)</f>
        <v>0</v>
      </c>
      <c r="AC651" s="16" t="n">
        <f aca="false">IFERROR(INDEX(SEMANAS!$K$6:$K$71,MATCH($B651,SEMANAS!$B$6:$B$71,0)),0)</f>
        <v>147</v>
      </c>
      <c r="AD651" s="19" t="n">
        <f aca="false">IF($AC651&lt;=0,0,$AB651/$AC651)</f>
        <v>0</v>
      </c>
      <c r="AE651" s="8" t="str">
        <f aca="false">IF($K651="SEM CULTURA","SEM CULTURA",IF($AA651&lt;=0,"DADO PENDENTE",IF($AD651&gt;LIMITE_CRITICO,"INVIAVEL",IF($AD651&gt;LIMITE_ATENCAO,"CRITICO",IF($AD651&gt;LIMITE_CONFORTAVEL,"ATENCAO","OK")))))</f>
        <v>SEM CULTURA</v>
      </c>
      <c r="AF651" s="8" t="str">
        <f aca="false">$B651&amp;"|"&amp;TEXT($AD651,"0.000000")</f>
        <v>52|0.000000</v>
      </c>
      <c r="AG651" s="18" t="n">
        <f aca="false">IF($K651="SEM CULTURA",0,$T651*$H651)</f>
        <v>0</v>
      </c>
      <c r="AH651" s="18" t="n">
        <f aca="false">IF($K651="SEM CULTURA",0,$V651*$H651)</f>
        <v>0</v>
      </c>
      <c r="AI651" s="18" t="n">
        <f aca="false">IF($K651="SEM CULTURA",0,$W651*$H651)</f>
        <v>0</v>
      </c>
      <c r="AJ651" s="18" t="n">
        <f aca="false">IF($K651="SEM CULTURA",0,$S651*$H651)</f>
        <v>0</v>
      </c>
      <c r="AK651" s="8" t="str">
        <f aca="false">$E651&amp;"|"&amp;TEXT($AD651,"0.000000")</f>
        <v>PV 110|0.000000</v>
      </c>
    </row>
    <row r="652" customFormat="false" ht="15" hidden="false" customHeight="false" outlineLevel="0" collapsed="false">
      <c r="B652" s="16" t="n">
        <v>53</v>
      </c>
      <c r="C652" s="17" t="n">
        <f aca="false">DATA_INICIO_SAFRA+($B652-1)*DIAS_POR_SEMANA</f>
        <v>46629</v>
      </c>
      <c r="D652" s="17" t="n">
        <f aca="false">$C652+DIAS_POR_SEMANA-1</f>
        <v>46635</v>
      </c>
      <c r="E652" s="15" t="s">
        <v>268</v>
      </c>
      <c r="F652" s="8" t="str">
        <f aca="false">IFERROR(INDEX(CADASTRO_PIVOS!$C$6:$C$41,MATCH($E652,CADASTRO_PIVOS!$B$6:$B$41,0)),"?")</f>
        <v>RM04</v>
      </c>
      <c r="G652" s="8" t="str">
        <f aca="false">IFERROR(INDEX(CADASTRO_PIVOS!$D$6:$D$41,MATCH($E652,CADASTRO_PIVOS!$B$6:$B$41,0)),"?")</f>
        <v>TR04</v>
      </c>
      <c r="H652" s="20" t="n">
        <f aca="false">IFERROR(INDEX(CADASTRO_PIVOS!$E$6:$E$41,MATCH($E652,CADASTRO_PIVOS!$B$6:$B$41,0)),0)</f>
        <v>110</v>
      </c>
      <c r="I652" s="16" t="n">
        <f aca="false">IFERROR(SUMIFS(ROTACAO_RDM!$B$6:$B$71,ROTACAO_RDM!$D$6:$D$71,$E652,ROTACAO_RDM!$I$6:$I$71,"&lt;="&amp;$C652+INT(DIAS_POR_SEMANA/2),ROTACAO_RDM!$J$6:$J$71,"&gt;="&amp;$C652+INT(DIAS_POR_SEMANA/2)),0)</f>
        <v>0</v>
      </c>
      <c r="J652" s="16" t="n">
        <f aca="false">IFERROR(MATCH($I652,ROTACAO_RDM!$B$6:$B$71,0),0)</f>
        <v>0</v>
      </c>
      <c r="K652" s="8" t="str">
        <f aca="false">IF($J652=0,"SEM CULTURA",INDEX(ROTACAO_RDM!$F$6:$F$71,$J652))</f>
        <v>SEM CULTURA</v>
      </c>
      <c r="L652" s="8" t="str">
        <f aca="false">IF($J652=0,"",INDEX(ROTACAO_RDM!$G$6:$G$71,$J652))</f>
        <v/>
      </c>
      <c r="M652" s="17" t="str">
        <f aca="false">IF($J652=0,"",INDEX(ROTACAO_RDM!$I$6:$I$71,$J652))</f>
        <v/>
      </c>
      <c r="N652" s="16" t="n">
        <f aca="false">IF($J652=0,0,MAX(0,$C652+INT(DIAS_POR_SEMANA/2)-INDEX(ROTACAO_RDM!$I$6:$I$71,$J652)))</f>
        <v>0</v>
      </c>
      <c r="O652" s="19" t="n">
        <f aca="false">IF($J652=0,0,MIN(1,$N652/MAX(1,INDEX(ROTACAO_RDM!$K$6:$K$71,$J652))))</f>
        <v>0</v>
      </c>
      <c r="P652" s="16" t="n">
        <f aca="false">IF($J652=0,0,IFERROR(MATCH(INDEX(ROTACAO_RDM!$N$6:$N$71,$J652),PARAMETROS_CULTURAS!$B$6:$B$28,0),0))</f>
        <v>0</v>
      </c>
      <c r="Q652" s="8" t="str">
        <f aca="false">IF($P652=0,"-",IF($O652&lt;=INDEX(PARAMETROS_CULTURAS!$F$6:$F$28,$P652),"INICIAL",IF($O652&lt;=INDEX(PARAMETROS_CULTURAS!$F$6:$F$28,$P652)+INDEX(PARAMETROS_CULTURAS!$G$6:$G$28,$P652),"DESENVOLVIMENTO",IF($O652&lt;=INDEX(PARAMETROS_CULTURAS!$F$6:$F$28,$P652)+INDEX(PARAMETROS_CULTURAS!$G$6:$G$28,$P652)+INDEX(PARAMETROS_CULTURAS!$H$6:$H$28,$P652),"MEDIA","FINAL"))))</f>
        <v>-</v>
      </c>
      <c r="R652" s="24" t="n">
        <f aca="false">IF($P652=0,0,IF($O652&lt;=INDEX(PARAMETROS_CULTURAS!$F$6:$F$28,$P652),INDEX(PARAMETROS_CULTURAS!$K$6:$K$28,$P652),IF($O652&lt;=INDEX(PARAMETROS_CULTURAS!$F$6:$F$28,$P652)+INDEX(PARAMETROS_CULTURAS!$G$6:$G$28,$P652),INDEX(PARAMETROS_CULTURAS!$K$6:$K$28,$P652)+(INDEX(PARAMETROS_CULTURAS!$L$6:$L$28,$P652)-INDEX(PARAMETROS_CULTURAS!$K$6:$K$28,$P652))*($O652-INDEX(PARAMETROS_CULTURAS!$F$6:$F$28,$P652))/MAX(INDEX(PARAMETROS_CULTURAS!$G$6:$G$28,$P652),0.0001),IF($O652&lt;=INDEX(PARAMETROS_CULTURAS!$F$6:$F$28,$P652)+INDEX(PARAMETROS_CULTURAS!$G$6:$G$28,$P652)+INDEX(PARAMETROS_CULTURAS!$H$6:$H$28,$P652),INDEX(PARAMETROS_CULTURAS!$L$6:$L$28,$P652),INDEX(PARAMETROS_CULTURAS!$L$6:$L$28,$P652)+(INDEX(PARAMETROS_CULTURAS!$M$6:$M$28,$P652)-INDEX(PARAMETROS_CULTURAS!$L$6:$L$28,$P652))*($O652-INDEX(PARAMETROS_CULTURAS!$F$6:$F$28,$P652)-INDEX(PARAMETROS_CULTURAS!$G$6:$G$28,$P652)-INDEX(PARAMETROS_CULTURAS!$H$6:$H$28,$P652))/MAX(INDEX(PARAMETROS_CULTURAS!$I$6:$I$28,$P652),0.0001)))))</f>
        <v>0</v>
      </c>
      <c r="S652" s="18" t="n">
        <f aca="false">IFERROR(INDEX(SEMANAS!$H$6:$H$71,MATCH($B652,SEMANAS!$B$6:$B$71,0)),0)</f>
        <v>39.4</v>
      </c>
      <c r="T652" s="18" t="n">
        <f aca="false">$R652*$S652</f>
        <v>0</v>
      </c>
      <c r="U652" s="18" t="n">
        <f aca="false">IFERROR(INDEX(SEMANAS!$I$6:$I$71,MATCH($B652,SEMANAS!$B$6:$B$71,0)),0)</f>
        <v>5.32</v>
      </c>
      <c r="V652" s="18" t="n">
        <f aca="false">IFERROR(INDEX(SEMANAS!$J$6:$J$71,MATCH($B652,SEMANAS!$B$6:$B$71,0)),0)</f>
        <v>4.256</v>
      </c>
      <c r="W652" s="18" t="n">
        <f aca="false">MAX(0,$T652-$V652)</f>
        <v>0</v>
      </c>
      <c r="X652" s="19" t="n">
        <f aca="false">IFERROR(INDEX(CADASTRO_PIVOS!$K$6:$K$41,MATCH($E652,CADASTRO_PIVOS!$B$6:$B$41,0)),EFICIENCIA_PADRAO)</f>
        <v>0.85</v>
      </c>
      <c r="Y652" s="18" t="n">
        <f aca="false">IF($X652&lt;=0,0,$W652/$X652)</f>
        <v>0</v>
      </c>
      <c r="Z652" s="16" t="n">
        <f aca="false">$Y652*$H652*MM_PARA_M3_HA</f>
        <v>0</v>
      </c>
      <c r="AA652" s="18" t="n">
        <f aca="false">IFERROR(INDEX(CADASTRO_PIVOS!$I$6:$I$41,MATCH($E652,CADASTRO_PIVOS!$B$6:$B$41,0)),0)</f>
        <v>785.714285714286</v>
      </c>
      <c r="AB652" s="18" t="n">
        <f aca="false">IF($Z652&lt;=0,0,$Z652/$AA652)</f>
        <v>0</v>
      </c>
      <c r="AC652" s="16" t="n">
        <f aca="false">IFERROR(INDEX(SEMANAS!$K$6:$K$71,MATCH($B652,SEMANAS!$B$6:$B$71,0)),0)</f>
        <v>147</v>
      </c>
      <c r="AD652" s="19" t="n">
        <f aca="false">IF($AC652&lt;=0,0,$AB652/$AC652)</f>
        <v>0</v>
      </c>
      <c r="AE652" s="8" t="str">
        <f aca="false">IF($K652="SEM CULTURA","SEM CULTURA",IF($AA652&lt;=0,"DADO PENDENTE",IF($AD652&gt;LIMITE_CRITICO,"INVIAVEL",IF($AD652&gt;LIMITE_ATENCAO,"CRITICO",IF($AD652&gt;LIMITE_CONFORTAVEL,"ATENCAO","OK")))))</f>
        <v>SEM CULTURA</v>
      </c>
      <c r="AF652" s="8" t="str">
        <f aca="false">$B652&amp;"|"&amp;TEXT($AD652,"0.000000")</f>
        <v>53|0.000000</v>
      </c>
      <c r="AG652" s="18" t="n">
        <f aca="false">IF($K652="SEM CULTURA",0,$T652*$H652)</f>
        <v>0</v>
      </c>
      <c r="AH652" s="18" t="n">
        <f aca="false">IF($K652="SEM CULTURA",0,$V652*$H652)</f>
        <v>0</v>
      </c>
      <c r="AI652" s="18" t="n">
        <f aca="false">IF($K652="SEM CULTURA",0,$W652*$H652)</f>
        <v>0</v>
      </c>
      <c r="AJ652" s="18" t="n">
        <f aca="false">IF($K652="SEM CULTURA",0,$S652*$H652)</f>
        <v>0</v>
      </c>
      <c r="AK652" s="8" t="str">
        <f aca="false">$E652&amp;"|"&amp;TEXT($AD652,"0.000000")</f>
        <v>PV 110|0.000000</v>
      </c>
    </row>
    <row r="653" customFormat="false" ht="15" hidden="false" customHeight="false" outlineLevel="0" collapsed="false">
      <c r="B653" s="16" t="n">
        <v>54</v>
      </c>
      <c r="C653" s="17" t="n">
        <f aca="false">DATA_INICIO_SAFRA+($B653-1)*DIAS_POR_SEMANA</f>
        <v>46636</v>
      </c>
      <c r="D653" s="17" t="n">
        <f aca="false">$C653+DIAS_POR_SEMANA-1</f>
        <v>46642</v>
      </c>
      <c r="E653" s="15" t="s">
        <v>268</v>
      </c>
      <c r="F653" s="8" t="str">
        <f aca="false">IFERROR(INDEX(CADASTRO_PIVOS!$C$6:$C$41,MATCH($E653,CADASTRO_PIVOS!$B$6:$B$41,0)),"?")</f>
        <v>RM04</v>
      </c>
      <c r="G653" s="8" t="str">
        <f aca="false">IFERROR(INDEX(CADASTRO_PIVOS!$D$6:$D$41,MATCH($E653,CADASTRO_PIVOS!$B$6:$B$41,0)),"?")</f>
        <v>TR04</v>
      </c>
      <c r="H653" s="20" t="n">
        <f aca="false">IFERROR(INDEX(CADASTRO_PIVOS!$E$6:$E$41,MATCH($E653,CADASTRO_PIVOS!$B$6:$B$41,0)),0)</f>
        <v>110</v>
      </c>
      <c r="I653" s="16" t="n">
        <f aca="false">IFERROR(SUMIFS(ROTACAO_RDM!$B$6:$B$71,ROTACAO_RDM!$D$6:$D$71,$E653,ROTACAO_RDM!$I$6:$I$71,"&lt;="&amp;$C653+INT(DIAS_POR_SEMANA/2),ROTACAO_RDM!$J$6:$J$71,"&gt;="&amp;$C653+INT(DIAS_POR_SEMANA/2)),0)</f>
        <v>0</v>
      </c>
      <c r="J653" s="16" t="n">
        <f aca="false">IFERROR(MATCH($I653,ROTACAO_RDM!$B$6:$B$71,0),0)</f>
        <v>0</v>
      </c>
      <c r="K653" s="8" t="str">
        <f aca="false">IF($J653=0,"SEM CULTURA",INDEX(ROTACAO_RDM!$F$6:$F$71,$J653))</f>
        <v>SEM CULTURA</v>
      </c>
      <c r="L653" s="8" t="str">
        <f aca="false">IF($J653=0,"",INDEX(ROTACAO_RDM!$G$6:$G$71,$J653))</f>
        <v/>
      </c>
      <c r="M653" s="17" t="str">
        <f aca="false">IF($J653=0,"",INDEX(ROTACAO_RDM!$I$6:$I$71,$J653))</f>
        <v/>
      </c>
      <c r="N653" s="16" t="n">
        <f aca="false">IF($J653=0,0,MAX(0,$C653+INT(DIAS_POR_SEMANA/2)-INDEX(ROTACAO_RDM!$I$6:$I$71,$J653)))</f>
        <v>0</v>
      </c>
      <c r="O653" s="19" t="n">
        <f aca="false">IF($J653=0,0,MIN(1,$N653/MAX(1,INDEX(ROTACAO_RDM!$K$6:$K$71,$J653))))</f>
        <v>0</v>
      </c>
      <c r="P653" s="16" t="n">
        <f aca="false">IF($J653=0,0,IFERROR(MATCH(INDEX(ROTACAO_RDM!$N$6:$N$71,$J653),PARAMETROS_CULTURAS!$B$6:$B$28,0),0))</f>
        <v>0</v>
      </c>
      <c r="Q653" s="8" t="str">
        <f aca="false">IF($P653=0,"-",IF($O653&lt;=INDEX(PARAMETROS_CULTURAS!$F$6:$F$28,$P653),"INICIAL",IF($O653&lt;=INDEX(PARAMETROS_CULTURAS!$F$6:$F$28,$P653)+INDEX(PARAMETROS_CULTURAS!$G$6:$G$28,$P653),"DESENVOLVIMENTO",IF($O653&lt;=INDEX(PARAMETROS_CULTURAS!$F$6:$F$28,$P653)+INDEX(PARAMETROS_CULTURAS!$G$6:$G$28,$P653)+INDEX(PARAMETROS_CULTURAS!$H$6:$H$28,$P653),"MEDIA","FINAL"))))</f>
        <v>-</v>
      </c>
      <c r="R653" s="24" t="n">
        <f aca="false">IF($P653=0,0,IF($O653&lt;=INDEX(PARAMETROS_CULTURAS!$F$6:$F$28,$P653),INDEX(PARAMETROS_CULTURAS!$K$6:$K$28,$P653),IF($O653&lt;=INDEX(PARAMETROS_CULTURAS!$F$6:$F$28,$P653)+INDEX(PARAMETROS_CULTURAS!$G$6:$G$28,$P653),INDEX(PARAMETROS_CULTURAS!$K$6:$K$28,$P653)+(INDEX(PARAMETROS_CULTURAS!$L$6:$L$28,$P653)-INDEX(PARAMETROS_CULTURAS!$K$6:$K$28,$P653))*($O653-INDEX(PARAMETROS_CULTURAS!$F$6:$F$28,$P653))/MAX(INDEX(PARAMETROS_CULTURAS!$G$6:$G$28,$P653),0.0001),IF($O653&lt;=INDEX(PARAMETROS_CULTURAS!$F$6:$F$28,$P653)+INDEX(PARAMETROS_CULTURAS!$G$6:$G$28,$P653)+INDEX(PARAMETROS_CULTURAS!$H$6:$H$28,$P653),INDEX(PARAMETROS_CULTURAS!$L$6:$L$28,$P653),INDEX(PARAMETROS_CULTURAS!$L$6:$L$28,$P653)+(INDEX(PARAMETROS_CULTURAS!$M$6:$M$28,$P653)-INDEX(PARAMETROS_CULTURAS!$L$6:$L$28,$P653))*($O653-INDEX(PARAMETROS_CULTURAS!$F$6:$F$28,$P653)-INDEX(PARAMETROS_CULTURAS!$G$6:$G$28,$P653)-INDEX(PARAMETROS_CULTURAS!$H$6:$H$28,$P653))/MAX(INDEX(PARAMETROS_CULTURAS!$I$6:$I$28,$P653),0.0001)))))</f>
        <v>0</v>
      </c>
      <c r="S653" s="18" t="n">
        <f aca="false">IFERROR(INDEX(SEMANAS!$H$6:$H$71,MATCH($B653,SEMANAS!$B$6:$B$71,0)),0)</f>
        <v>40.6</v>
      </c>
      <c r="T653" s="18" t="n">
        <f aca="false">$R653*$S653</f>
        <v>0</v>
      </c>
      <c r="U653" s="18" t="n">
        <f aca="false">IFERROR(INDEX(SEMANAS!$I$6:$I$71,MATCH($B653,SEMANAS!$B$6:$B$71,0)),0)</f>
        <v>7</v>
      </c>
      <c r="V653" s="18" t="n">
        <f aca="false">IFERROR(INDEX(SEMANAS!$J$6:$J$71,MATCH($B653,SEMANAS!$B$6:$B$71,0)),0)</f>
        <v>5.6</v>
      </c>
      <c r="W653" s="18" t="n">
        <f aca="false">MAX(0,$T653-$V653)</f>
        <v>0</v>
      </c>
      <c r="X653" s="19" t="n">
        <f aca="false">IFERROR(INDEX(CADASTRO_PIVOS!$K$6:$K$41,MATCH($E653,CADASTRO_PIVOS!$B$6:$B$41,0)),EFICIENCIA_PADRAO)</f>
        <v>0.85</v>
      </c>
      <c r="Y653" s="18" t="n">
        <f aca="false">IF($X653&lt;=0,0,$W653/$X653)</f>
        <v>0</v>
      </c>
      <c r="Z653" s="16" t="n">
        <f aca="false">$Y653*$H653*MM_PARA_M3_HA</f>
        <v>0</v>
      </c>
      <c r="AA653" s="18" t="n">
        <f aca="false">IFERROR(INDEX(CADASTRO_PIVOS!$I$6:$I$41,MATCH($E653,CADASTRO_PIVOS!$B$6:$B$41,0)),0)</f>
        <v>785.714285714286</v>
      </c>
      <c r="AB653" s="18" t="n">
        <f aca="false">IF($Z653&lt;=0,0,$Z653/$AA653)</f>
        <v>0</v>
      </c>
      <c r="AC653" s="16" t="n">
        <f aca="false">IFERROR(INDEX(SEMANAS!$K$6:$K$71,MATCH($B653,SEMANAS!$B$6:$B$71,0)),0)</f>
        <v>147</v>
      </c>
      <c r="AD653" s="19" t="n">
        <f aca="false">IF($AC653&lt;=0,0,$AB653/$AC653)</f>
        <v>0</v>
      </c>
      <c r="AE653" s="8" t="str">
        <f aca="false">IF($K653="SEM CULTURA","SEM CULTURA",IF($AA653&lt;=0,"DADO PENDENTE",IF($AD653&gt;LIMITE_CRITICO,"INVIAVEL",IF($AD653&gt;LIMITE_ATENCAO,"CRITICO",IF($AD653&gt;LIMITE_CONFORTAVEL,"ATENCAO","OK")))))</f>
        <v>SEM CULTURA</v>
      </c>
      <c r="AF653" s="8" t="str">
        <f aca="false">$B653&amp;"|"&amp;TEXT($AD653,"0.000000")</f>
        <v>54|0.000000</v>
      </c>
      <c r="AG653" s="18" t="n">
        <f aca="false">IF($K653="SEM CULTURA",0,$T653*$H653)</f>
        <v>0</v>
      </c>
      <c r="AH653" s="18" t="n">
        <f aca="false">IF($K653="SEM CULTURA",0,$V653*$H653)</f>
        <v>0</v>
      </c>
      <c r="AI653" s="18" t="n">
        <f aca="false">IF($K653="SEM CULTURA",0,$W653*$H653)</f>
        <v>0</v>
      </c>
      <c r="AJ653" s="18" t="n">
        <f aca="false">IF($K653="SEM CULTURA",0,$S653*$H653)</f>
        <v>0</v>
      </c>
      <c r="AK653" s="8" t="str">
        <f aca="false">$E653&amp;"|"&amp;TEXT($AD653,"0.000000")</f>
        <v>PV 110|0.000000</v>
      </c>
    </row>
    <row r="654" customFormat="false" ht="15" hidden="false" customHeight="false" outlineLevel="0" collapsed="false">
      <c r="B654" s="16" t="n">
        <v>55</v>
      </c>
      <c r="C654" s="17" t="n">
        <f aca="false">DATA_INICIO_SAFRA+($B654-1)*DIAS_POR_SEMANA</f>
        <v>46643</v>
      </c>
      <c r="D654" s="17" t="n">
        <f aca="false">$C654+DIAS_POR_SEMANA-1</f>
        <v>46649</v>
      </c>
      <c r="E654" s="15" t="s">
        <v>268</v>
      </c>
      <c r="F654" s="8" t="str">
        <f aca="false">IFERROR(INDEX(CADASTRO_PIVOS!$C$6:$C$41,MATCH($E654,CADASTRO_PIVOS!$B$6:$B$41,0)),"?")</f>
        <v>RM04</v>
      </c>
      <c r="G654" s="8" t="str">
        <f aca="false">IFERROR(INDEX(CADASTRO_PIVOS!$D$6:$D$41,MATCH($E654,CADASTRO_PIVOS!$B$6:$B$41,0)),"?")</f>
        <v>TR04</v>
      </c>
      <c r="H654" s="20" t="n">
        <f aca="false">IFERROR(INDEX(CADASTRO_PIVOS!$E$6:$E$41,MATCH($E654,CADASTRO_PIVOS!$B$6:$B$41,0)),0)</f>
        <v>110</v>
      </c>
      <c r="I654" s="16" t="n">
        <f aca="false">IFERROR(SUMIFS(ROTACAO_RDM!$B$6:$B$71,ROTACAO_RDM!$D$6:$D$71,$E654,ROTACAO_RDM!$I$6:$I$71,"&lt;="&amp;$C654+INT(DIAS_POR_SEMANA/2),ROTACAO_RDM!$J$6:$J$71,"&gt;="&amp;$C654+INT(DIAS_POR_SEMANA/2)),0)</f>
        <v>0</v>
      </c>
      <c r="J654" s="16" t="n">
        <f aca="false">IFERROR(MATCH($I654,ROTACAO_RDM!$B$6:$B$71,0),0)</f>
        <v>0</v>
      </c>
      <c r="K654" s="8" t="str">
        <f aca="false">IF($J654=0,"SEM CULTURA",INDEX(ROTACAO_RDM!$F$6:$F$71,$J654))</f>
        <v>SEM CULTURA</v>
      </c>
      <c r="L654" s="8" t="str">
        <f aca="false">IF($J654=0,"",INDEX(ROTACAO_RDM!$G$6:$G$71,$J654))</f>
        <v/>
      </c>
      <c r="M654" s="17" t="str">
        <f aca="false">IF($J654=0,"",INDEX(ROTACAO_RDM!$I$6:$I$71,$J654))</f>
        <v/>
      </c>
      <c r="N654" s="16" t="n">
        <f aca="false">IF($J654=0,0,MAX(0,$C654+INT(DIAS_POR_SEMANA/2)-INDEX(ROTACAO_RDM!$I$6:$I$71,$J654)))</f>
        <v>0</v>
      </c>
      <c r="O654" s="19" t="n">
        <f aca="false">IF($J654=0,0,MIN(1,$N654/MAX(1,INDEX(ROTACAO_RDM!$K$6:$K$71,$J654))))</f>
        <v>0</v>
      </c>
      <c r="P654" s="16" t="n">
        <f aca="false">IF($J654=0,0,IFERROR(MATCH(INDEX(ROTACAO_RDM!$N$6:$N$71,$J654),PARAMETROS_CULTURAS!$B$6:$B$28,0),0))</f>
        <v>0</v>
      </c>
      <c r="Q654" s="8" t="str">
        <f aca="false">IF($P654=0,"-",IF($O654&lt;=INDEX(PARAMETROS_CULTURAS!$F$6:$F$28,$P654),"INICIAL",IF($O654&lt;=INDEX(PARAMETROS_CULTURAS!$F$6:$F$28,$P654)+INDEX(PARAMETROS_CULTURAS!$G$6:$G$28,$P654),"DESENVOLVIMENTO",IF($O654&lt;=INDEX(PARAMETROS_CULTURAS!$F$6:$F$28,$P654)+INDEX(PARAMETROS_CULTURAS!$G$6:$G$28,$P654)+INDEX(PARAMETROS_CULTURAS!$H$6:$H$28,$P654),"MEDIA","FINAL"))))</f>
        <v>-</v>
      </c>
      <c r="R654" s="24" t="n">
        <f aca="false">IF($P654=0,0,IF($O654&lt;=INDEX(PARAMETROS_CULTURAS!$F$6:$F$28,$P654),INDEX(PARAMETROS_CULTURAS!$K$6:$K$28,$P654),IF($O654&lt;=INDEX(PARAMETROS_CULTURAS!$F$6:$F$28,$P654)+INDEX(PARAMETROS_CULTURAS!$G$6:$G$28,$P654),INDEX(PARAMETROS_CULTURAS!$K$6:$K$28,$P654)+(INDEX(PARAMETROS_CULTURAS!$L$6:$L$28,$P654)-INDEX(PARAMETROS_CULTURAS!$K$6:$K$28,$P654))*($O654-INDEX(PARAMETROS_CULTURAS!$F$6:$F$28,$P654))/MAX(INDEX(PARAMETROS_CULTURAS!$G$6:$G$28,$P654),0.0001),IF($O654&lt;=INDEX(PARAMETROS_CULTURAS!$F$6:$F$28,$P654)+INDEX(PARAMETROS_CULTURAS!$G$6:$G$28,$P654)+INDEX(PARAMETROS_CULTURAS!$H$6:$H$28,$P654),INDEX(PARAMETROS_CULTURAS!$L$6:$L$28,$P654),INDEX(PARAMETROS_CULTURAS!$L$6:$L$28,$P654)+(INDEX(PARAMETROS_CULTURAS!$M$6:$M$28,$P654)-INDEX(PARAMETROS_CULTURAS!$L$6:$L$28,$P654))*($O654-INDEX(PARAMETROS_CULTURAS!$F$6:$F$28,$P654)-INDEX(PARAMETROS_CULTURAS!$G$6:$G$28,$P654)-INDEX(PARAMETROS_CULTURAS!$H$6:$H$28,$P654))/MAX(INDEX(PARAMETROS_CULTURAS!$I$6:$I$28,$P654),0.0001)))))</f>
        <v>0</v>
      </c>
      <c r="S654" s="18" t="n">
        <f aca="false">IFERROR(INDEX(SEMANAS!$H$6:$H$71,MATCH($B654,SEMANAS!$B$6:$B$71,0)),0)</f>
        <v>40.6</v>
      </c>
      <c r="T654" s="18" t="n">
        <f aca="false">$R654*$S654</f>
        <v>0</v>
      </c>
      <c r="U654" s="18" t="n">
        <f aca="false">IFERROR(INDEX(SEMANAS!$I$6:$I$71,MATCH($B654,SEMANAS!$B$6:$B$71,0)),0)</f>
        <v>7</v>
      </c>
      <c r="V654" s="18" t="n">
        <f aca="false">IFERROR(INDEX(SEMANAS!$J$6:$J$71,MATCH($B654,SEMANAS!$B$6:$B$71,0)),0)</f>
        <v>5.6</v>
      </c>
      <c r="W654" s="18" t="n">
        <f aca="false">MAX(0,$T654-$V654)</f>
        <v>0</v>
      </c>
      <c r="X654" s="19" t="n">
        <f aca="false">IFERROR(INDEX(CADASTRO_PIVOS!$K$6:$K$41,MATCH($E654,CADASTRO_PIVOS!$B$6:$B$41,0)),EFICIENCIA_PADRAO)</f>
        <v>0.85</v>
      </c>
      <c r="Y654" s="18" t="n">
        <f aca="false">IF($X654&lt;=0,0,$W654/$X654)</f>
        <v>0</v>
      </c>
      <c r="Z654" s="16" t="n">
        <f aca="false">$Y654*$H654*MM_PARA_M3_HA</f>
        <v>0</v>
      </c>
      <c r="AA654" s="18" t="n">
        <f aca="false">IFERROR(INDEX(CADASTRO_PIVOS!$I$6:$I$41,MATCH($E654,CADASTRO_PIVOS!$B$6:$B$41,0)),0)</f>
        <v>785.714285714286</v>
      </c>
      <c r="AB654" s="18" t="n">
        <f aca="false">IF($Z654&lt;=0,0,$Z654/$AA654)</f>
        <v>0</v>
      </c>
      <c r="AC654" s="16" t="n">
        <f aca="false">IFERROR(INDEX(SEMANAS!$K$6:$K$71,MATCH($B654,SEMANAS!$B$6:$B$71,0)),0)</f>
        <v>147</v>
      </c>
      <c r="AD654" s="19" t="n">
        <f aca="false">IF($AC654&lt;=0,0,$AB654/$AC654)</f>
        <v>0</v>
      </c>
      <c r="AE654" s="8" t="str">
        <f aca="false">IF($K654="SEM CULTURA","SEM CULTURA",IF($AA654&lt;=0,"DADO PENDENTE",IF($AD654&gt;LIMITE_CRITICO,"INVIAVEL",IF($AD654&gt;LIMITE_ATENCAO,"CRITICO",IF($AD654&gt;LIMITE_CONFORTAVEL,"ATENCAO","OK")))))</f>
        <v>SEM CULTURA</v>
      </c>
      <c r="AF654" s="8" t="str">
        <f aca="false">$B654&amp;"|"&amp;TEXT($AD654,"0.000000")</f>
        <v>55|0.000000</v>
      </c>
      <c r="AG654" s="18" t="n">
        <f aca="false">IF($K654="SEM CULTURA",0,$T654*$H654)</f>
        <v>0</v>
      </c>
      <c r="AH654" s="18" t="n">
        <f aca="false">IF($K654="SEM CULTURA",0,$V654*$H654)</f>
        <v>0</v>
      </c>
      <c r="AI654" s="18" t="n">
        <f aca="false">IF($K654="SEM CULTURA",0,$W654*$H654)</f>
        <v>0</v>
      </c>
      <c r="AJ654" s="18" t="n">
        <f aca="false">IF($K654="SEM CULTURA",0,$S654*$H654)</f>
        <v>0</v>
      </c>
      <c r="AK654" s="8" t="str">
        <f aca="false">$E654&amp;"|"&amp;TEXT($AD654,"0.000000")</f>
        <v>PV 110|0.000000</v>
      </c>
    </row>
    <row r="655" customFormat="false" ht="15" hidden="false" customHeight="false" outlineLevel="0" collapsed="false">
      <c r="B655" s="16" t="n">
        <v>56</v>
      </c>
      <c r="C655" s="17" t="n">
        <f aca="false">DATA_INICIO_SAFRA+($B655-1)*DIAS_POR_SEMANA</f>
        <v>46650</v>
      </c>
      <c r="D655" s="17" t="n">
        <f aca="false">$C655+DIAS_POR_SEMANA-1</f>
        <v>46656</v>
      </c>
      <c r="E655" s="15" t="s">
        <v>268</v>
      </c>
      <c r="F655" s="8" t="str">
        <f aca="false">IFERROR(INDEX(CADASTRO_PIVOS!$C$6:$C$41,MATCH($E655,CADASTRO_PIVOS!$B$6:$B$41,0)),"?")</f>
        <v>RM04</v>
      </c>
      <c r="G655" s="8" t="str">
        <f aca="false">IFERROR(INDEX(CADASTRO_PIVOS!$D$6:$D$41,MATCH($E655,CADASTRO_PIVOS!$B$6:$B$41,0)),"?")</f>
        <v>TR04</v>
      </c>
      <c r="H655" s="20" t="n">
        <f aca="false">IFERROR(INDEX(CADASTRO_PIVOS!$E$6:$E$41,MATCH($E655,CADASTRO_PIVOS!$B$6:$B$41,0)),0)</f>
        <v>110</v>
      </c>
      <c r="I655" s="16" t="n">
        <f aca="false">IFERROR(SUMIFS(ROTACAO_RDM!$B$6:$B$71,ROTACAO_RDM!$D$6:$D$71,$E655,ROTACAO_RDM!$I$6:$I$71,"&lt;="&amp;$C655+INT(DIAS_POR_SEMANA/2),ROTACAO_RDM!$J$6:$J$71,"&gt;="&amp;$C655+INT(DIAS_POR_SEMANA/2)),0)</f>
        <v>0</v>
      </c>
      <c r="J655" s="16" t="n">
        <f aca="false">IFERROR(MATCH($I655,ROTACAO_RDM!$B$6:$B$71,0),0)</f>
        <v>0</v>
      </c>
      <c r="K655" s="8" t="str">
        <f aca="false">IF($J655=0,"SEM CULTURA",INDEX(ROTACAO_RDM!$F$6:$F$71,$J655))</f>
        <v>SEM CULTURA</v>
      </c>
      <c r="L655" s="8" t="str">
        <f aca="false">IF($J655=0,"",INDEX(ROTACAO_RDM!$G$6:$G$71,$J655))</f>
        <v/>
      </c>
      <c r="M655" s="17" t="str">
        <f aca="false">IF($J655=0,"",INDEX(ROTACAO_RDM!$I$6:$I$71,$J655))</f>
        <v/>
      </c>
      <c r="N655" s="16" t="n">
        <f aca="false">IF($J655=0,0,MAX(0,$C655+INT(DIAS_POR_SEMANA/2)-INDEX(ROTACAO_RDM!$I$6:$I$71,$J655)))</f>
        <v>0</v>
      </c>
      <c r="O655" s="19" t="n">
        <f aca="false">IF($J655=0,0,MIN(1,$N655/MAX(1,INDEX(ROTACAO_RDM!$K$6:$K$71,$J655))))</f>
        <v>0</v>
      </c>
      <c r="P655" s="16" t="n">
        <f aca="false">IF($J655=0,0,IFERROR(MATCH(INDEX(ROTACAO_RDM!$N$6:$N$71,$J655),PARAMETROS_CULTURAS!$B$6:$B$28,0),0))</f>
        <v>0</v>
      </c>
      <c r="Q655" s="8" t="str">
        <f aca="false">IF($P655=0,"-",IF($O655&lt;=INDEX(PARAMETROS_CULTURAS!$F$6:$F$28,$P655),"INICIAL",IF($O655&lt;=INDEX(PARAMETROS_CULTURAS!$F$6:$F$28,$P655)+INDEX(PARAMETROS_CULTURAS!$G$6:$G$28,$P655),"DESENVOLVIMENTO",IF($O655&lt;=INDEX(PARAMETROS_CULTURAS!$F$6:$F$28,$P655)+INDEX(PARAMETROS_CULTURAS!$G$6:$G$28,$P655)+INDEX(PARAMETROS_CULTURAS!$H$6:$H$28,$P655),"MEDIA","FINAL"))))</f>
        <v>-</v>
      </c>
      <c r="R655" s="24" t="n">
        <f aca="false">IF($P655=0,0,IF($O655&lt;=INDEX(PARAMETROS_CULTURAS!$F$6:$F$28,$P655),INDEX(PARAMETROS_CULTURAS!$K$6:$K$28,$P655),IF($O655&lt;=INDEX(PARAMETROS_CULTURAS!$F$6:$F$28,$P655)+INDEX(PARAMETROS_CULTURAS!$G$6:$G$28,$P655),INDEX(PARAMETROS_CULTURAS!$K$6:$K$28,$P655)+(INDEX(PARAMETROS_CULTURAS!$L$6:$L$28,$P655)-INDEX(PARAMETROS_CULTURAS!$K$6:$K$28,$P655))*($O655-INDEX(PARAMETROS_CULTURAS!$F$6:$F$28,$P655))/MAX(INDEX(PARAMETROS_CULTURAS!$G$6:$G$28,$P655),0.0001),IF($O655&lt;=INDEX(PARAMETROS_CULTURAS!$F$6:$F$28,$P655)+INDEX(PARAMETROS_CULTURAS!$G$6:$G$28,$P655)+INDEX(PARAMETROS_CULTURAS!$H$6:$H$28,$P655),INDEX(PARAMETROS_CULTURAS!$L$6:$L$28,$P655),INDEX(PARAMETROS_CULTURAS!$L$6:$L$28,$P655)+(INDEX(PARAMETROS_CULTURAS!$M$6:$M$28,$P655)-INDEX(PARAMETROS_CULTURAS!$L$6:$L$28,$P655))*($O655-INDEX(PARAMETROS_CULTURAS!$F$6:$F$28,$P655)-INDEX(PARAMETROS_CULTURAS!$G$6:$G$28,$P655)-INDEX(PARAMETROS_CULTURAS!$H$6:$H$28,$P655))/MAX(INDEX(PARAMETROS_CULTURAS!$I$6:$I$28,$P655),0.0001)))))</f>
        <v>0</v>
      </c>
      <c r="S655" s="18" t="n">
        <f aca="false">IFERROR(INDEX(SEMANAS!$H$6:$H$71,MATCH($B655,SEMANAS!$B$6:$B$71,0)),0)</f>
        <v>40.6</v>
      </c>
      <c r="T655" s="18" t="n">
        <f aca="false">$R655*$S655</f>
        <v>0</v>
      </c>
      <c r="U655" s="18" t="n">
        <f aca="false">IFERROR(INDEX(SEMANAS!$I$6:$I$71,MATCH($B655,SEMANAS!$B$6:$B$71,0)),0)</f>
        <v>7</v>
      </c>
      <c r="V655" s="18" t="n">
        <f aca="false">IFERROR(INDEX(SEMANAS!$J$6:$J$71,MATCH($B655,SEMANAS!$B$6:$B$71,0)),0)</f>
        <v>5.6</v>
      </c>
      <c r="W655" s="18" t="n">
        <f aca="false">MAX(0,$T655-$V655)</f>
        <v>0</v>
      </c>
      <c r="X655" s="19" t="n">
        <f aca="false">IFERROR(INDEX(CADASTRO_PIVOS!$K$6:$K$41,MATCH($E655,CADASTRO_PIVOS!$B$6:$B$41,0)),EFICIENCIA_PADRAO)</f>
        <v>0.85</v>
      </c>
      <c r="Y655" s="18" t="n">
        <f aca="false">IF($X655&lt;=0,0,$W655/$X655)</f>
        <v>0</v>
      </c>
      <c r="Z655" s="16" t="n">
        <f aca="false">$Y655*$H655*MM_PARA_M3_HA</f>
        <v>0</v>
      </c>
      <c r="AA655" s="18" t="n">
        <f aca="false">IFERROR(INDEX(CADASTRO_PIVOS!$I$6:$I$41,MATCH($E655,CADASTRO_PIVOS!$B$6:$B$41,0)),0)</f>
        <v>785.714285714286</v>
      </c>
      <c r="AB655" s="18" t="n">
        <f aca="false">IF($Z655&lt;=0,0,$Z655/$AA655)</f>
        <v>0</v>
      </c>
      <c r="AC655" s="16" t="n">
        <f aca="false">IFERROR(INDEX(SEMANAS!$K$6:$K$71,MATCH($B655,SEMANAS!$B$6:$B$71,0)),0)</f>
        <v>147</v>
      </c>
      <c r="AD655" s="19" t="n">
        <f aca="false">IF($AC655&lt;=0,0,$AB655/$AC655)</f>
        <v>0</v>
      </c>
      <c r="AE655" s="8" t="str">
        <f aca="false">IF($K655="SEM CULTURA","SEM CULTURA",IF($AA655&lt;=0,"DADO PENDENTE",IF($AD655&gt;LIMITE_CRITICO,"INVIAVEL",IF($AD655&gt;LIMITE_ATENCAO,"CRITICO",IF($AD655&gt;LIMITE_CONFORTAVEL,"ATENCAO","OK")))))</f>
        <v>SEM CULTURA</v>
      </c>
      <c r="AF655" s="8" t="str">
        <f aca="false">$B655&amp;"|"&amp;TEXT($AD655,"0.000000")</f>
        <v>56|0.000000</v>
      </c>
      <c r="AG655" s="18" t="n">
        <f aca="false">IF($K655="SEM CULTURA",0,$T655*$H655)</f>
        <v>0</v>
      </c>
      <c r="AH655" s="18" t="n">
        <f aca="false">IF($K655="SEM CULTURA",0,$V655*$H655)</f>
        <v>0</v>
      </c>
      <c r="AI655" s="18" t="n">
        <f aca="false">IF($K655="SEM CULTURA",0,$W655*$H655)</f>
        <v>0</v>
      </c>
      <c r="AJ655" s="18" t="n">
        <f aca="false">IF($K655="SEM CULTURA",0,$S655*$H655)</f>
        <v>0</v>
      </c>
      <c r="AK655" s="8" t="str">
        <f aca="false">$E655&amp;"|"&amp;TEXT($AD655,"0.000000")</f>
        <v>PV 110|0.000000</v>
      </c>
    </row>
    <row r="656" customFormat="false" ht="15" hidden="false" customHeight="false" outlineLevel="0" collapsed="false">
      <c r="B656" s="16" t="n">
        <v>57</v>
      </c>
      <c r="C656" s="17" t="n">
        <f aca="false">DATA_INICIO_SAFRA+($B656-1)*DIAS_POR_SEMANA</f>
        <v>46657</v>
      </c>
      <c r="D656" s="17" t="n">
        <f aca="false">$C656+DIAS_POR_SEMANA-1</f>
        <v>46663</v>
      </c>
      <c r="E656" s="15" t="s">
        <v>268</v>
      </c>
      <c r="F656" s="8" t="str">
        <f aca="false">IFERROR(INDEX(CADASTRO_PIVOS!$C$6:$C$41,MATCH($E656,CADASTRO_PIVOS!$B$6:$B$41,0)),"?")</f>
        <v>RM04</v>
      </c>
      <c r="G656" s="8" t="str">
        <f aca="false">IFERROR(INDEX(CADASTRO_PIVOS!$D$6:$D$41,MATCH($E656,CADASTRO_PIVOS!$B$6:$B$41,0)),"?")</f>
        <v>TR04</v>
      </c>
      <c r="H656" s="20" t="n">
        <f aca="false">IFERROR(INDEX(CADASTRO_PIVOS!$E$6:$E$41,MATCH($E656,CADASTRO_PIVOS!$B$6:$B$41,0)),0)</f>
        <v>110</v>
      </c>
      <c r="I656" s="16" t="n">
        <f aca="false">IFERROR(SUMIFS(ROTACAO_RDM!$B$6:$B$71,ROTACAO_RDM!$D$6:$D$71,$E656,ROTACAO_RDM!$I$6:$I$71,"&lt;="&amp;$C656+INT(DIAS_POR_SEMANA/2),ROTACAO_RDM!$J$6:$J$71,"&gt;="&amp;$C656+INT(DIAS_POR_SEMANA/2)),0)</f>
        <v>0</v>
      </c>
      <c r="J656" s="16" t="n">
        <f aca="false">IFERROR(MATCH($I656,ROTACAO_RDM!$B$6:$B$71,0),0)</f>
        <v>0</v>
      </c>
      <c r="K656" s="8" t="str">
        <f aca="false">IF($J656=0,"SEM CULTURA",INDEX(ROTACAO_RDM!$F$6:$F$71,$J656))</f>
        <v>SEM CULTURA</v>
      </c>
      <c r="L656" s="8" t="str">
        <f aca="false">IF($J656=0,"",INDEX(ROTACAO_RDM!$G$6:$G$71,$J656))</f>
        <v/>
      </c>
      <c r="M656" s="17" t="str">
        <f aca="false">IF($J656=0,"",INDEX(ROTACAO_RDM!$I$6:$I$71,$J656))</f>
        <v/>
      </c>
      <c r="N656" s="16" t="n">
        <f aca="false">IF($J656=0,0,MAX(0,$C656+INT(DIAS_POR_SEMANA/2)-INDEX(ROTACAO_RDM!$I$6:$I$71,$J656)))</f>
        <v>0</v>
      </c>
      <c r="O656" s="19" t="n">
        <f aca="false">IF($J656=0,0,MIN(1,$N656/MAX(1,INDEX(ROTACAO_RDM!$K$6:$K$71,$J656))))</f>
        <v>0</v>
      </c>
      <c r="P656" s="16" t="n">
        <f aca="false">IF($J656=0,0,IFERROR(MATCH(INDEX(ROTACAO_RDM!$N$6:$N$71,$J656),PARAMETROS_CULTURAS!$B$6:$B$28,0),0))</f>
        <v>0</v>
      </c>
      <c r="Q656" s="8" t="str">
        <f aca="false">IF($P656=0,"-",IF($O656&lt;=INDEX(PARAMETROS_CULTURAS!$F$6:$F$28,$P656),"INICIAL",IF($O656&lt;=INDEX(PARAMETROS_CULTURAS!$F$6:$F$28,$P656)+INDEX(PARAMETROS_CULTURAS!$G$6:$G$28,$P656),"DESENVOLVIMENTO",IF($O656&lt;=INDEX(PARAMETROS_CULTURAS!$F$6:$F$28,$P656)+INDEX(PARAMETROS_CULTURAS!$G$6:$G$28,$P656)+INDEX(PARAMETROS_CULTURAS!$H$6:$H$28,$P656),"MEDIA","FINAL"))))</f>
        <v>-</v>
      </c>
      <c r="R656" s="24" t="n">
        <f aca="false">IF($P656=0,0,IF($O656&lt;=INDEX(PARAMETROS_CULTURAS!$F$6:$F$28,$P656),INDEX(PARAMETROS_CULTURAS!$K$6:$K$28,$P656),IF($O656&lt;=INDEX(PARAMETROS_CULTURAS!$F$6:$F$28,$P656)+INDEX(PARAMETROS_CULTURAS!$G$6:$G$28,$P656),INDEX(PARAMETROS_CULTURAS!$K$6:$K$28,$P656)+(INDEX(PARAMETROS_CULTURAS!$L$6:$L$28,$P656)-INDEX(PARAMETROS_CULTURAS!$K$6:$K$28,$P656))*($O656-INDEX(PARAMETROS_CULTURAS!$F$6:$F$28,$P656))/MAX(INDEX(PARAMETROS_CULTURAS!$G$6:$G$28,$P656),0.0001),IF($O656&lt;=INDEX(PARAMETROS_CULTURAS!$F$6:$F$28,$P656)+INDEX(PARAMETROS_CULTURAS!$G$6:$G$28,$P656)+INDEX(PARAMETROS_CULTURAS!$H$6:$H$28,$P656),INDEX(PARAMETROS_CULTURAS!$L$6:$L$28,$P656),INDEX(PARAMETROS_CULTURAS!$L$6:$L$28,$P656)+(INDEX(PARAMETROS_CULTURAS!$M$6:$M$28,$P656)-INDEX(PARAMETROS_CULTURAS!$L$6:$L$28,$P656))*($O656-INDEX(PARAMETROS_CULTURAS!$F$6:$F$28,$P656)-INDEX(PARAMETROS_CULTURAS!$G$6:$G$28,$P656)-INDEX(PARAMETROS_CULTURAS!$H$6:$H$28,$P656))/MAX(INDEX(PARAMETROS_CULTURAS!$I$6:$I$28,$P656),0.0001)))))</f>
        <v>0</v>
      </c>
      <c r="S656" s="18" t="n">
        <f aca="false">IFERROR(INDEX(SEMANAS!$H$6:$H$71,MATCH($B656,SEMANAS!$B$6:$B$71,0)),0)</f>
        <v>40</v>
      </c>
      <c r="T656" s="18" t="n">
        <f aca="false">$R656*$S656</f>
        <v>0</v>
      </c>
      <c r="U656" s="18" t="n">
        <f aca="false">IFERROR(INDEX(SEMANAS!$I$6:$I$71,MATCH($B656,SEMANAS!$B$6:$B$71,0)),0)</f>
        <v>15.61</v>
      </c>
      <c r="V656" s="18" t="n">
        <f aca="false">IFERROR(INDEX(SEMANAS!$J$6:$J$71,MATCH($B656,SEMANAS!$B$6:$B$71,0)),0)</f>
        <v>12.488</v>
      </c>
      <c r="W656" s="18" t="n">
        <f aca="false">MAX(0,$T656-$V656)</f>
        <v>0</v>
      </c>
      <c r="X656" s="19" t="n">
        <f aca="false">IFERROR(INDEX(CADASTRO_PIVOS!$K$6:$K$41,MATCH($E656,CADASTRO_PIVOS!$B$6:$B$41,0)),EFICIENCIA_PADRAO)</f>
        <v>0.85</v>
      </c>
      <c r="Y656" s="18" t="n">
        <f aca="false">IF($X656&lt;=0,0,$W656/$X656)</f>
        <v>0</v>
      </c>
      <c r="Z656" s="16" t="n">
        <f aca="false">$Y656*$H656*MM_PARA_M3_HA</f>
        <v>0</v>
      </c>
      <c r="AA656" s="18" t="n">
        <f aca="false">IFERROR(INDEX(CADASTRO_PIVOS!$I$6:$I$41,MATCH($E656,CADASTRO_PIVOS!$B$6:$B$41,0)),0)</f>
        <v>785.714285714286</v>
      </c>
      <c r="AB656" s="18" t="n">
        <f aca="false">IF($Z656&lt;=0,0,$Z656/$AA656)</f>
        <v>0</v>
      </c>
      <c r="AC656" s="16" t="n">
        <f aca="false">IFERROR(INDEX(SEMANAS!$K$6:$K$71,MATCH($B656,SEMANAS!$B$6:$B$71,0)),0)</f>
        <v>147</v>
      </c>
      <c r="AD656" s="19" t="n">
        <f aca="false">IF($AC656&lt;=0,0,$AB656/$AC656)</f>
        <v>0</v>
      </c>
      <c r="AE656" s="8" t="str">
        <f aca="false">IF($K656="SEM CULTURA","SEM CULTURA",IF($AA656&lt;=0,"DADO PENDENTE",IF($AD656&gt;LIMITE_CRITICO,"INVIAVEL",IF($AD656&gt;LIMITE_ATENCAO,"CRITICO",IF($AD656&gt;LIMITE_CONFORTAVEL,"ATENCAO","OK")))))</f>
        <v>SEM CULTURA</v>
      </c>
      <c r="AF656" s="8" t="str">
        <f aca="false">$B656&amp;"|"&amp;TEXT($AD656,"0.000000")</f>
        <v>57|0.000000</v>
      </c>
      <c r="AG656" s="18" t="n">
        <f aca="false">IF($K656="SEM CULTURA",0,$T656*$H656)</f>
        <v>0</v>
      </c>
      <c r="AH656" s="18" t="n">
        <f aca="false">IF($K656="SEM CULTURA",0,$V656*$H656)</f>
        <v>0</v>
      </c>
      <c r="AI656" s="18" t="n">
        <f aca="false">IF($K656="SEM CULTURA",0,$W656*$H656)</f>
        <v>0</v>
      </c>
      <c r="AJ656" s="18" t="n">
        <f aca="false">IF($K656="SEM CULTURA",0,$S656*$H656)</f>
        <v>0</v>
      </c>
      <c r="AK656" s="8" t="str">
        <f aca="false">$E656&amp;"|"&amp;TEXT($AD656,"0.000000")</f>
        <v>PV 110|0.000000</v>
      </c>
    </row>
    <row r="657" customFormat="false" ht="15" hidden="false" customHeight="false" outlineLevel="0" collapsed="false">
      <c r="B657" s="16" t="n">
        <v>58</v>
      </c>
      <c r="C657" s="17" t="n">
        <f aca="false">DATA_INICIO_SAFRA+($B657-1)*DIAS_POR_SEMANA</f>
        <v>46664</v>
      </c>
      <c r="D657" s="17" t="n">
        <f aca="false">$C657+DIAS_POR_SEMANA-1</f>
        <v>46670</v>
      </c>
      <c r="E657" s="15" t="s">
        <v>268</v>
      </c>
      <c r="F657" s="8" t="str">
        <f aca="false">IFERROR(INDEX(CADASTRO_PIVOS!$C$6:$C$41,MATCH($E657,CADASTRO_PIVOS!$B$6:$B$41,0)),"?")</f>
        <v>RM04</v>
      </c>
      <c r="G657" s="8" t="str">
        <f aca="false">IFERROR(INDEX(CADASTRO_PIVOS!$D$6:$D$41,MATCH($E657,CADASTRO_PIVOS!$B$6:$B$41,0)),"?")</f>
        <v>TR04</v>
      </c>
      <c r="H657" s="20" t="n">
        <f aca="false">IFERROR(INDEX(CADASTRO_PIVOS!$E$6:$E$41,MATCH($E657,CADASTRO_PIVOS!$B$6:$B$41,0)),0)</f>
        <v>110</v>
      </c>
      <c r="I657" s="16" t="n">
        <f aca="false">IFERROR(SUMIFS(ROTACAO_RDM!$B$6:$B$71,ROTACAO_RDM!$D$6:$D$71,$E657,ROTACAO_RDM!$I$6:$I$71,"&lt;="&amp;$C657+INT(DIAS_POR_SEMANA/2),ROTACAO_RDM!$J$6:$J$71,"&gt;="&amp;$C657+INT(DIAS_POR_SEMANA/2)),0)</f>
        <v>0</v>
      </c>
      <c r="J657" s="16" t="n">
        <f aca="false">IFERROR(MATCH($I657,ROTACAO_RDM!$B$6:$B$71,0),0)</f>
        <v>0</v>
      </c>
      <c r="K657" s="8" t="str">
        <f aca="false">IF($J657=0,"SEM CULTURA",INDEX(ROTACAO_RDM!$F$6:$F$71,$J657))</f>
        <v>SEM CULTURA</v>
      </c>
      <c r="L657" s="8" t="str">
        <f aca="false">IF($J657=0,"",INDEX(ROTACAO_RDM!$G$6:$G$71,$J657))</f>
        <v/>
      </c>
      <c r="M657" s="17" t="str">
        <f aca="false">IF($J657=0,"",INDEX(ROTACAO_RDM!$I$6:$I$71,$J657))</f>
        <v/>
      </c>
      <c r="N657" s="16" t="n">
        <f aca="false">IF($J657=0,0,MAX(0,$C657+INT(DIAS_POR_SEMANA/2)-INDEX(ROTACAO_RDM!$I$6:$I$71,$J657)))</f>
        <v>0</v>
      </c>
      <c r="O657" s="19" t="n">
        <f aca="false">IF($J657=0,0,MIN(1,$N657/MAX(1,INDEX(ROTACAO_RDM!$K$6:$K$71,$J657))))</f>
        <v>0</v>
      </c>
      <c r="P657" s="16" t="n">
        <f aca="false">IF($J657=0,0,IFERROR(MATCH(INDEX(ROTACAO_RDM!$N$6:$N$71,$J657),PARAMETROS_CULTURAS!$B$6:$B$28,0),0))</f>
        <v>0</v>
      </c>
      <c r="Q657" s="8" t="str">
        <f aca="false">IF($P657=0,"-",IF($O657&lt;=INDEX(PARAMETROS_CULTURAS!$F$6:$F$28,$P657),"INICIAL",IF($O657&lt;=INDEX(PARAMETROS_CULTURAS!$F$6:$F$28,$P657)+INDEX(PARAMETROS_CULTURAS!$G$6:$G$28,$P657),"DESENVOLVIMENTO",IF($O657&lt;=INDEX(PARAMETROS_CULTURAS!$F$6:$F$28,$P657)+INDEX(PARAMETROS_CULTURAS!$G$6:$G$28,$P657)+INDEX(PARAMETROS_CULTURAS!$H$6:$H$28,$P657),"MEDIA","FINAL"))))</f>
        <v>-</v>
      </c>
      <c r="R657" s="24" t="n">
        <f aca="false">IF($P657=0,0,IF($O657&lt;=INDEX(PARAMETROS_CULTURAS!$F$6:$F$28,$P657),INDEX(PARAMETROS_CULTURAS!$K$6:$K$28,$P657),IF($O657&lt;=INDEX(PARAMETROS_CULTURAS!$F$6:$F$28,$P657)+INDEX(PARAMETROS_CULTURAS!$G$6:$G$28,$P657),INDEX(PARAMETROS_CULTURAS!$K$6:$K$28,$P657)+(INDEX(PARAMETROS_CULTURAS!$L$6:$L$28,$P657)-INDEX(PARAMETROS_CULTURAS!$K$6:$K$28,$P657))*($O657-INDEX(PARAMETROS_CULTURAS!$F$6:$F$28,$P657))/MAX(INDEX(PARAMETROS_CULTURAS!$G$6:$G$28,$P657),0.0001),IF($O657&lt;=INDEX(PARAMETROS_CULTURAS!$F$6:$F$28,$P657)+INDEX(PARAMETROS_CULTURAS!$G$6:$G$28,$P657)+INDEX(PARAMETROS_CULTURAS!$H$6:$H$28,$P657),INDEX(PARAMETROS_CULTURAS!$L$6:$L$28,$P657),INDEX(PARAMETROS_CULTURAS!$L$6:$L$28,$P657)+(INDEX(PARAMETROS_CULTURAS!$M$6:$M$28,$P657)-INDEX(PARAMETROS_CULTURAS!$L$6:$L$28,$P657))*($O657-INDEX(PARAMETROS_CULTURAS!$F$6:$F$28,$P657)-INDEX(PARAMETROS_CULTURAS!$G$6:$G$28,$P657)-INDEX(PARAMETROS_CULTURAS!$H$6:$H$28,$P657))/MAX(INDEX(PARAMETROS_CULTURAS!$I$6:$I$28,$P657),0.0001)))))</f>
        <v>0</v>
      </c>
      <c r="S657" s="18" t="n">
        <f aca="false">IFERROR(INDEX(SEMANAS!$H$6:$H$71,MATCH($B657,SEMANAS!$B$6:$B$71,0)),0)</f>
        <v>39.2</v>
      </c>
      <c r="T657" s="18" t="n">
        <f aca="false">$R657*$S657</f>
        <v>0</v>
      </c>
      <c r="U657" s="18" t="n">
        <f aca="false">IFERROR(INDEX(SEMANAS!$I$6:$I$71,MATCH($B657,SEMANAS!$B$6:$B$71,0)),0)</f>
        <v>27.09</v>
      </c>
      <c r="V657" s="18" t="n">
        <f aca="false">IFERROR(INDEX(SEMANAS!$J$6:$J$71,MATCH($B657,SEMANAS!$B$6:$B$71,0)),0)</f>
        <v>21.672</v>
      </c>
      <c r="W657" s="18" t="n">
        <f aca="false">MAX(0,$T657-$V657)</f>
        <v>0</v>
      </c>
      <c r="X657" s="19" t="n">
        <f aca="false">IFERROR(INDEX(CADASTRO_PIVOS!$K$6:$K$41,MATCH($E657,CADASTRO_PIVOS!$B$6:$B$41,0)),EFICIENCIA_PADRAO)</f>
        <v>0.85</v>
      </c>
      <c r="Y657" s="18" t="n">
        <f aca="false">IF($X657&lt;=0,0,$W657/$X657)</f>
        <v>0</v>
      </c>
      <c r="Z657" s="16" t="n">
        <f aca="false">$Y657*$H657*MM_PARA_M3_HA</f>
        <v>0</v>
      </c>
      <c r="AA657" s="18" t="n">
        <f aca="false">IFERROR(INDEX(CADASTRO_PIVOS!$I$6:$I$41,MATCH($E657,CADASTRO_PIVOS!$B$6:$B$41,0)),0)</f>
        <v>785.714285714286</v>
      </c>
      <c r="AB657" s="18" t="n">
        <f aca="false">IF($Z657&lt;=0,0,$Z657/$AA657)</f>
        <v>0</v>
      </c>
      <c r="AC657" s="16" t="n">
        <f aca="false">IFERROR(INDEX(SEMANAS!$K$6:$K$71,MATCH($B657,SEMANAS!$B$6:$B$71,0)),0)</f>
        <v>147</v>
      </c>
      <c r="AD657" s="19" t="n">
        <f aca="false">IF($AC657&lt;=0,0,$AB657/$AC657)</f>
        <v>0</v>
      </c>
      <c r="AE657" s="8" t="str">
        <f aca="false">IF($K657="SEM CULTURA","SEM CULTURA",IF($AA657&lt;=0,"DADO PENDENTE",IF($AD657&gt;LIMITE_CRITICO,"INVIAVEL",IF($AD657&gt;LIMITE_ATENCAO,"CRITICO",IF($AD657&gt;LIMITE_CONFORTAVEL,"ATENCAO","OK")))))</f>
        <v>SEM CULTURA</v>
      </c>
      <c r="AF657" s="8" t="str">
        <f aca="false">$B657&amp;"|"&amp;TEXT($AD657,"0.000000")</f>
        <v>58|0.000000</v>
      </c>
      <c r="AG657" s="18" t="n">
        <f aca="false">IF($K657="SEM CULTURA",0,$T657*$H657)</f>
        <v>0</v>
      </c>
      <c r="AH657" s="18" t="n">
        <f aca="false">IF($K657="SEM CULTURA",0,$V657*$H657)</f>
        <v>0</v>
      </c>
      <c r="AI657" s="18" t="n">
        <f aca="false">IF($K657="SEM CULTURA",0,$W657*$H657)</f>
        <v>0</v>
      </c>
      <c r="AJ657" s="18" t="n">
        <f aca="false">IF($K657="SEM CULTURA",0,$S657*$H657)</f>
        <v>0</v>
      </c>
      <c r="AK657" s="8" t="str">
        <f aca="false">$E657&amp;"|"&amp;TEXT($AD657,"0.000000")</f>
        <v>PV 110|0.000000</v>
      </c>
    </row>
    <row r="658" customFormat="false" ht="15" hidden="false" customHeight="false" outlineLevel="0" collapsed="false">
      <c r="B658" s="16" t="n">
        <v>59</v>
      </c>
      <c r="C658" s="17" t="n">
        <f aca="false">DATA_INICIO_SAFRA+($B658-1)*DIAS_POR_SEMANA</f>
        <v>46671</v>
      </c>
      <c r="D658" s="17" t="n">
        <f aca="false">$C658+DIAS_POR_SEMANA-1</f>
        <v>46677</v>
      </c>
      <c r="E658" s="15" t="s">
        <v>268</v>
      </c>
      <c r="F658" s="8" t="str">
        <f aca="false">IFERROR(INDEX(CADASTRO_PIVOS!$C$6:$C$41,MATCH($E658,CADASTRO_PIVOS!$B$6:$B$41,0)),"?")</f>
        <v>RM04</v>
      </c>
      <c r="G658" s="8" t="str">
        <f aca="false">IFERROR(INDEX(CADASTRO_PIVOS!$D$6:$D$41,MATCH($E658,CADASTRO_PIVOS!$B$6:$B$41,0)),"?")</f>
        <v>TR04</v>
      </c>
      <c r="H658" s="20" t="n">
        <f aca="false">IFERROR(INDEX(CADASTRO_PIVOS!$E$6:$E$41,MATCH($E658,CADASTRO_PIVOS!$B$6:$B$41,0)),0)</f>
        <v>110</v>
      </c>
      <c r="I658" s="16" t="n">
        <f aca="false">IFERROR(SUMIFS(ROTACAO_RDM!$B$6:$B$71,ROTACAO_RDM!$D$6:$D$71,$E658,ROTACAO_RDM!$I$6:$I$71,"&lt;="&amp;$C658+INT(DIAS_POR_SEMANA/2),ROTACAO_RDM!$J$6:$J$71,"&gt;="&amp;$C658+INT(DIAS_POR_SEMANA/2)),0)</f>
        <v>0</v>
      </c>
      <c r="J658" s="16" t="n">
        <f aca="false">IFERROR(MATCH($I658,ROTACAO_RDM!$B$6:$B$71,0),0)</f>
        <v>0</v>
      </c>
      <c r="K658" s="8" t="str">
        <f aca="false">IF($J658=0,"SEM CULTURA",INDEX(ROTACAO_RDM!$F$6:$F$71,$J658))</f>
        <v>SEM CULTURA</v>
      </c>
      <c r="L658" s="8" t="str">
        <f aca="false">IF($J658=0,"",INDEX(ROTACAO_RDM!$G$6:$G$71,$J658))</f>
        <v/>
      </c>
      <c r="M658" s="17" t="str">
        <f aca="false">IF($J658=0,"",INDEX(ROTACAO_RDM!$I$6:$I$71,$J658))</f>
        <v/>
      </c>
      <c r="N658" s="16" t="n">
        <f aca="false">IF($J658=0,0,MAX(0,$C658+INT(DIAS_POR_SEMANA/2)-INDEX(ROTACAO_RDM!$I$6:$I$71,$J658)))</f>
        <v>0</v>
      </c>
      <c r="O658" s="19" t="n">
        <f aca="false">IF($J658=0,0,MIN(1,$N658/MAX(1,INDEX(ROTACAO_RDM!$K$6:$K$71,$J658))))</f>
        <v>0</v>
      </c>
      <c r="P658" s="16" t="n">
        <f aca="false">IF($J658=0,0,IFERROR(MATCH(INDEX(ROTACAO_RDM!$N$6:$N$71,$J658),PARAMETROS_CULTURAS!$B$6:$B$28,0),0))</f>
        <v>0</v>
      </c>
      <c r="Q658" s="8" t="str">
        <f aca="false">IF($P658=0,"-",IF($O658&lt;=INDEX(PARAMETROS_CULTURAS!$F$6:$F$28,$P658),"INICIAL",IF($O658&lt;=INDEX(PARAMETROS_CULTURAS!$F$6:$F$28,$P658)+INDEX(PARAMETROS_CULTURAS!$G$6:$G$28,$P658),"DESENVOLVIMENTO",IF($O658&lt;=INDEX(PARAMETROS_CULTURAS!$F$6:$F$28,$P658)+INDEX(PARAMETROS_CULTURAS!$G$6:$G$28,$P658)+INDEX(PARAMETROS_CULTURAS!$H$6:$H$28,$P658),"MEDIA","FINAL"))))</f>
        <v>-</v>
      </c>
      <c r="R658" s="24" t="n">
        <f aca="false">IF($P658=0,0,IF($O658&lt;=INDEX(PARAMETROS_CULTURAS!$F$6:$F$28,$P658),INDEX(PARAMETROS_CULTURAS!$K$6:$K$28,$P658),IF($O658&lt;=INDEX(PARAMETROS_CULTURAS!$F$6:$F$28,$P658)+INDEX(PARAMETROS_CULTURAS!$G$6:$G$28,$P658),INDEX(PARAMETROS_CULTURAS!$K$6:$K$28,$P658)+(INDEX(PARAMETROS_CULTURAS!$L$6:$L$28,$P658)-INDEX(PARAMETROS_CULTURAS!$K$6:$K$28,$P658))*($O658-INDEX(PARAMETROS_CULTURAS!$F$6:$F$28,$P658))/MAX(INDEX(PARAMETROS_CULTURAS!$G$6:$G$28,$P658),0.0001),IF($O658&lt;=INDEX(PARAMETROS_CULTURAS!$F$6:$F$28,$P658)+INDEX(PARAMETROS_CULTURAS!$G$6:$G$28,$P658)+INDEX(PARAMETROS_CULTURAS!$H$6:$H$28,$P658),INDEX(PARAMETROS_CULTURAS!$L$6:$L$28,$P658),INDEX(PARAMETROS_CULTURAS!$L$6:$L$28,$P658)+(INDEX(PARAMETROS_CULTURAS!$M$6:$M$28,$P658)-INDEX(PARAMETROS_CULTURAS!$L$6:$L$28,$P658))*($O658-INDEX(PARAMETROS_CULTURAS!$F$6:$F$28,$P658)-INDEX(PARAMETROS_CULTURAS!$G$6:$G$28,$P658)-INDEX(PARAMETROS_CULTURAS!$H$6:$H$28,$P658))/MAX(INDEX(PARAMETROS_CULTURAS!$I$6:$I$28,$P658),0.0001)))))</f>
        <v>0</v>
      </c>
      <c r="S658" s="18" t="n">
        <f aca="false">IFERROR(INDEX(SEMANAS!$H$6:$H$71,MATCH($B658,SEMANAS!$B$6:$B$71,0)),0)</f>
        <v>39.2</v>
      </c>
      <c r="T658" s="18" t="n">
        <f aca="false">$R658*$S658</f>
        <v>0</v>
      </c>
      <c r="U658" s="18" t="n">
        <f aca="false">IFERROR(INDEX(SEMANAS!$I$6:$I$71,MATCH($B658,SEMANAS!$B$6:$B$71,0)),0)</f>
        <v>27.09</v>
      </c>
      <c r="V658" s="18" t="n">
        <f aca="false">IFERROR(INDEX(SEMANAS!$J$6:$J$71,MATCH($B658,SEMANAS!$B$6:$B$71,0)),0)</f>
        <v>21.672</v>
      </c>
      <c r="W658" s="18" t="n">
        <f aca="false">MAX(0,$T658-$V658)</f>
        <v>0</v>
      </c>
      <c r="X658" s="19" t="n">
        <f aca="false">IFERROR(INDEX(CADASTRO_PIVOS!$K$6:$K$41,MATCH($E658,CADASTRO_PIVOS!$B$6:$B$41,0)),EFICIENCIA_PADRAO)</f>
        <v>0.85</v>
      </c>
      <c r="Y658" s="18" t="n">
        <f aca="false">IF($X658&lt;=0,0,$W658/$X658)</f>
        <v>0</v>
      </c>
      <c r="Z658" s="16" t="n">
        <f aca="false">$Y658*$H658*MM_PARA_M3_HA</f>
        <v>0</v>
      </c>
      <c r="AA658" s="18" t="n">
        <f aca="false">IFERROR(INDEX(CADASTRO_PIVOS!$I$6:$I$41,MATCH($E658,CADASTRO_PIVOS!$B$6:$B$41,0)),0)</f>
        <v>785.714285714286</v>
      </c>
      <c r="AB658" s="18" t="n">
        <f aca="false">IF($Z658&lt;=0,0,$Z658/$AA658)</f>
        <v>0</v>
      </c>
      <c r="AC658" s="16" t="n">
        <f aca="false">IFERROR(INDEX(SEMANAS!$K$6:$K$71,MATCH($B658,SEMANAS!$B$6:$B$71,0)),0)</f>
        <v>147</v>
      </c>
      <c r="AD658" s="19" t="n">
        <f aca="false">IF($AC658&lt;=0,0,$AB658/$AC658)</f>
        <v>0</v>
      </c>
      <c r="AE658" s="8" t="str">
        <f aca="false">IF($K658="SEM CULTURA","SEM CULTURA",IF($AA658&lt;=0,"DADO PENDENTE",IF($AD658&gt;LIMITE_CRITICO,"INVIAVEL",IF($AD658&gt;LIMITE_ATENCAO,"CRITICO",IF($AD658&gt;LIMITE_CONFORTAVEL,"ATENCAO","OK")))))</f>
        <v>SEM CULTURA</v>
      </c>
      <c r="AF658" s="8" t="str">
        <f aca="false">$B658&amp;"|"&amp;TEXT($AD658,"0.000000")</f>
        <v>59|0.000000</v>
      </c>
      <c r="AG658" s="18" t="n">
        <f aca="false">IF($K658="SEM CULTURA",0,$T658*$H658)</f>
        <v>0</v>
      </c>
      <c r="AH658" s="18" t="n">
        <f aca="false">IF($K658="SEM CULTURA",0,$V658*$H658)</f>
        <v>0</v>
      </c>
      <c r="AI658" s="18" t="n">
        <f aca="false">IF($K658="SEM CULTURA",0,$W658*$H658)</f>
        <v>0</v>
      </c>
      <c r="AJ658" s="18" t="n">
        <f aca="false">IF($K658="SEM CULTURA",0,$S658*$H658)</f>
        <v>0</v>
      </c>
      <c r="AK658" s="8" t="str">
        <f aca="false">$E658&amp;"|"&amp;TEXT($AD658,"0.000000")</f>
        <v>PV 110|0.000000</v>
      </c>
    </row>
    <row r="659" customFormat="false" ht="15" hidden="false" customHeight="false" outlineLevel="0" collapsed="false">
      <c r="B659" s="16" t="n">
        <v>60</v>
      </c>
      <c r="C659" s="17" t="n">
        <f aca="false">DATA_INICIO_SAFRA+($B659-1)*DIAS_POR_SEMANA</f>
        <v>46678</v>
      </c>
      <c r="D659" s="17" t="n">
        <f aca="false">$C659+DIAS_POR_SEMANA-1</f>
        <v>46684</v>
      </c>
      <c r="E659" s="15" t="s">
        <v>268</v>
      </c>
      <c r="F659" s="8" t="str">
        <f aca="false">IFERROR(INDEX(CADASTRO_PIVOS!$C$6:$C$41,MATCH($E659,CADASTRO_PIVOS!$B$6:$B$41,0)),"?")</f>
        <v>RM04</v>
      </c>
      <c r="G659" s="8" t="str">
        <f aca="false">IFERROR(INDEX(CADASTRO_PIVOS!$D$6:$D$41,MATCH($E659,CADASTRO_PIVOS!$B$6:$B$41,0)),"?")</f>
        <v>TR04</v>
      </c>
      <c r="H659" s="20" t="n">
        <f aca="false">IFERROR(INDEX(CADASTRO_PIVOS!$E$6:$E$41,MATCH($E659,CADASTRO_PIVOS!$B$6:$B$41,0)),0)</f>
        <v>110</v>
      </c>
      <c r="I659" s="16" t="n">
        <f aca="false">IFERROR(SUMIFS(ROTACAO_RDM!$B$6:$B$71,ROTACAO_RDM!$D$6:$D$71,$E659,ROTACAO_RDM!$I$6:$I$71,"&lt;="&amp;$C659+INT(DIAS_POR_SEMANA/2),ROTACAO_RDM!$J$6:$J$71,"&gt;="&amp;$C659+INT(DIAS_POR_SEMANA/2)),0)</f>
        <v>0</v>
      </c>
      <c r="J659" s="16" t="n">
        <f aca="false">IFERROR(MATCH($I659,ROTACAO_RDM!$B$6:$B$71,0),0)</f>
        <v>0</v>
      </c>
      <c r="K659" s="8" t="str">
        <f aca="false">IF($J659=0,"SEM CULTURA",INDEX(ROTACAO_RDM!$F$6:$F$71,$J659))</f>
        <v>SEM CULTURA</v>
      </c>
      <c r="L659" s="8" t="str">
        <f aca="false">IF($J659=0,"",INDEX(ROTACAO_RDM!$G$6:$G$71,$J659))</f>
        <v/>
      </c>
      <c r="M659" s="17" t="str">
        <f aca="false">IF($J659=0,"",INDEX(ROTACAO_RDM!$I$6:$I$71,$J659))</f>
        <v/>
      </c>
      <c r="N659" s="16" t="n">
        <f aca="false">IF($J659=0,0,MAX(0,$C659+INT(DIAS_POR_SEMANA/2)-INDEX(ROTACAO_RDM!$I$6:$I$71,$J659)))</f>
        <v>0</v>
      </c>
      <c r="O659" s="19" t="n">
        <f aca="false">IF($J659=0,0,MIN(1,$N659/MAX(1,INDEX(ROTACAO_RDM!$K$6:$K$71,$J659))))</f>
        <v>0</v>
      </c>
      <c r="P659" s="16" t="n">
        <f aca="false">IF($J659=0,0,IFERROR(MATCH(INDEX(ROTACAO_RDM!$N$6:$N$71,$J659),PARAMETROS_CULTURAS!$B$6:$B$28,0),0))</f>
        <v>0</v>
      </c>
      <c r="Q659" s="8" t="str">
        <f aca="false">IF($P659=0,"-",IF($O659&lt;=INDEX(PARAMETROS_CULTURAS!$F$6:$F$28,$P659),"INICIAL",IF($O659&lt;=INDEX(PARAMETROS_CULTURAS!$F$6:$F$28,$P659)+INDEX(PARAMETROS_CULTURAS!$G$6:$G$28,$P659),"DESENVOLVIMENTO",IF($O659&lt;=INDEX(PARAMETROS_CULTURAS!$F$6:$F$28,$P659)+INDEX(PARAMETROS_CULTURAS!$G$6:$G$28,$P659)+INDEX(PARAMETROS_CULTURAS!$H$6:$H$28,$P659),"MEDIA","FINAL"))))</f>
        <v>-</v>
      </c>
      <c r="R659" s="24" t="n">
        <f aca="false">IF($P659=0,0,IF($O659&lt;=INDEX(PARAMETROS_CULTURAS!$F$6:$F$28,$P659),INDEX(PARAMETROS_CULTURAS!$K$6:$K$28,$P659),IF($O659&lt;=INDEX(PARAMETROS_CULTURAS!$F$6:$F$28,$P659)+INDEX(PARAMETROS_CULTURAS!$G$6:$G$28,$P659),INDEX(PARAMETROS_CULTURAS!$K$6:$K$28,$P659)+(INDEX(PARAMETROS_CULTURAS!$L$6:$L$28,$P659)-INDEX(PARAMETROS_CULTURAS!$K$6:$K$28,$P659))*($O659-INDEX(PARAMETROS_CULTURAS!$F$6:$F$28,$P659))/MAX(INDEX(PARAMETROS_CULTURAS!$G$6:$G$28,$P659),0.0001),IF($O659&lt;=INDEX(PARAMETROS_CULTURAS!$F$6:$F$28,$P659)+INDEX(PARAMETROS_CULTURAS!$G$6:$G$28,$P659)+INDEX(PARAMETROS_CULTURAS!$H$6:$H$28,$P659),INDEX(PARAMETROS_CULTURAS!$L$6:$L$28,$P659),INDEX(PARAMETROS_CULTURAS!$L$6:$L$28,$P659)+(INDEX(PARAMETROS_CULTURAS!$M$6:$M$28,$P659)-INDEX(PARAMETROS_CULTURAS!$L$6:$L$28,$P659))*($O659-INDEX(PARAMETROS_CULTURAS!$F$6:$F$28,$P659)-INDEX(PARAMETROS_CULTURAS!$G$6:$G$28,$P659)-INDEX(PARAMETROS_CULTURAS!$H$6:$H$28,$P659))/MAX(INDEX(PARAMETROS_CULTURAS!$I$6:$I$28,$P659),0.0001)))))</f>
        <v>0</v>
      </c>
      <c r="S659" s="18" t="n">
        <f aca="false">IFERROR(INDEX(SEMANAS!$H$6:$H$71,MATCH($B659,SEMANAS!$B$6:$B$71,0)),0)</f>
        <v>39.2</v>
      </c>
      <c r="T659" s="18" t="n">
        <f aca="false">$R659*$S659</f>
        <v>0</v>
      </c>
      <c r="U659" s="18" t="n">
        <f aca="false">IFERROR(INDEX(SEMANAS!$I$6:$I$71,MATCH($B659,SEMANAS!$B$6:$B$71,0)),0)</f>
        <v>27.09</v>
      </c>
      <c r="V659" s="18" t="n">
        <f aca="false">IFERROR(INDEX(SEMANAS!$J$6:$J$71,MATCH($B659,SEMANAS!$B$6:$B$71,0)),0)</f>
        <v>21.672</v>
      </c>
      <c r="W659" s="18" t="n">
        <f aca="false">MAX(0,$T659-$V659)</f>
        <v>0</v>
      </c>
      <c r="X659" s="19" t="n">
        <f aca="false">IFERROR(INDEX(CADASTRO_PIVOS!$K$6:$K$41,MATCH($E659,CADASTRO_PIVOS!$B$6:$B$41,0)),EFICIENCIA_PADRAO)</f>
        <v>0.85</v>
      </c>
      <c r="Y659" s="18" t="n">
        <f aca="false">IF($X659&lt;=0,0,$W659/$X659)</f>
        <v>0</v>
      </c>
      <c r="Z659" s="16" t="n">
        <f aca="false">$Y659*$H659*MM_PARA_M3_HA</f>
        <v>0</v>
      </c>
      <c r="AA659" s="18" t="n">
        <f aca="false">IFERROR(INDEX(CADASTRO_PIVOS!$I$6:$I$41,MATCH($E659,CADASTRO_PIVOS!$B$6:$B$41,0)),0)</f>
        <v>785.714285714286</v>
      </c>
      <c r="AB659" s="18" t="n">
        <f aca="false">IF($Z659&lt;=0,0,$Z659/$AA659)</f>
        <v>0</v>
      </c>
      <c r="AC659" s="16" t="n">
        <f aca="false">IFERROR(INDEX(SEMANAS!$K$6:$K$71,MATCH($B659,SEMANAS!$B$6:$B$71,0)),0)</f>
        <v>147</v>
      </c>
      <c r="AD659" s="19" t="n">
        <f aca="false">IF($AC659&lt;=0,0,$AB659/$AC659)</f>
        <v>0</v>
      </c>
      <c r="AE659" s="8" t="str">
        <f aca="false">IF($K659="SEM CULTURA","SEM CULTURA",IF($AA659&lt;=0,"DADO PENDENTE",IF($AD659&gt;LIMITE_CRITICO,"INVIAVEL",IF($AD659&gt;LIMITE_ATENCAO,"CRITICO",IF($AD659&gt;LIMITE_CONFORTAVEL,"ATENCAO","OK")))))</f>
        <v>SEM CULTURA</v>
      </c>
      <c r="AF659" s="8" t="str">
        <f aca="false">$B659&amp;"|"&amp;TEXT($AD659,"0.000000")</f>
        <v>60|0.000000</v>
      </c>
      <c r="AG659" s="18" t="n">
        <f aca="false">IF($K659="SEM CULTURA",0,$T659*$H659)</f>
        <v>0</v>
      </c>
      <c r="AH659" s="18" t="n">
        <f aca="false">IF($K659="SEM CULTURA",0,$V659*$H659)</f>
        <v>0</v>
      </c>
      <c r="AI659" s="18" t="n">
        <f aca="false">IF($K659="SEM CULTURA",0,$W659*$H659)</f>
        <v>0</v>
      </c>
      <c r="AJ659" s="18" t="n">
        <f aca="false">IF($K659="SEM CULTURA",0,$S659*$H659)</f>
        <v>0</v>
      </c>
      <c r="AK659" s="8" t="str">
        <f aca="false">$E659&amp;"|"&amp;TEXT($AD659,"0.000000")</f>
        <v>PV 110|0.000000</v>
      </c>
    </row>
    <row r="660" customFormat="false" ht="15" hidden="false" customHeight="false" outlineLevel="0" collapsed="false">
      <c r="B660" s="16" t="n">
        <v>61</v>
      </c>
      <c r="C660" s="17" t="n">
        <f aca="false">DATA_INICIO_SAFRA+($B660-1)*DIAS_POR_SEMANA</f>
        <v>46685</v>
      </c>
      <c r="D660" s="17" t="n">
        <f aca="false">$C660+DIAS_POR_SEMANA-1</f>
        <v>46691</v>
      </c>
      <c r="E660" s="15" t="s">
        <v>268</v>
      </c>
      <c r="F660" s="8" t="str">
        <f aca="false">IFERROR(INDEX(CADASTRO_PIVOS!$C$6:$C$41,MATCH($E660,CADASTRO_PIVOS!$B$6:$B$41,0)),"?")</f>
        <v>RM04</v>
      </c>
      <c r="G660" s="8" t="str">
        <f aca="false">IFERROR(INDEX(CADASTRO_PIVOS!$D$6:$D$41,MATCH($E660,CADASTRO_PIVOS!$B$6:$B$41,0)),"?")</f>
        <v>TR04</v>
      </c>
      <c r="H660" s="20" t="n">
        <f aca="false">IFERROR(INDEX(CADASTRO_PIVOS!$E$6:$E$41,MATCH($E660,CADASTRO_PIVOS!$B$6:$B$41,0)),0)</f>
        <v>110</v>
      </c>
      <c r="I660" s="16" t="n">
        <f aca="false">IFERROR(SUMIFS(ROTACAO_RDM!$B$6:$B$71,ROTACAO_RDM!$D$6:$D$71,$E660,ROTACAO_RDM!$I$6:$I$71,"&lt;="&amp;$C660+INT(DIAS_POR_SEMANA/2),ROTACAO_RDM!$J$6:$J$71,"&gt;="&amp;$C660+INT(DIAS_POR_SEMANA/2)),0)</f>
        <v>0</v>
      </c>
      <c r="J660" s="16" t="n">
        <f aca="false">IFERROR(MATCH($I660,ROTACAO_RDM!$B$6:$B$71,0),0)</f>
        <v>0</v>
      </c>
      <c r="K660" s="8" t="str">
        <f aca="false">IF($J660=0,"SEM CULTURA",INDEX(ROTACAO_RDM!$F$6:$F$71,$J660))</f>
        <v>SEM CULTURA</v>
      </c>
      <c r="L660" s="8" t="str">
        <f aca="false">IF($J660=0,"",INDEX(ROTACAO_RDM!$G$6:$G$71,$J660))</f>
        <v/>
      </c>
      <c r="M660" s="17" t="str">
        <f aca="false">IF($J660=0,"",INDEX(ROTACAO_RDM!$I$6:$I$71,$J660))</f>
        <v/>
      </c>
      <c r="N660" s="16" t="n">
        <f aca="false">IF($J660=0,0,MAX(0,$C660+INT(DIAS_POR_SEMANA/2)-INDEX(ROTACAO_RDM!$I$6:$I$71,$J660)))</f>
        <v>0</v>
      </c>
      <c r="O660" s="19" t="n">
        <f aca="false">IF($J660=0,0,MIN(1,$N660/MAX(1,INDEX(ROTACAO_RDM!$K$6:$K$71,$J660))))</f>
        <v>0</v>
      </c>
      <c r="P660" s="16" t="n">
        <f aca="false">IF($J660=0,0,IFERROR(MATCH(INDEX(ROTACAO_RDM!$N$6:$N$71,$J660),PARAMETROS_CULTURAS!$B$6:$B$28,0),0))</f>
        <v>0</v>
      </c>
      <c r="Q660" s="8" t="str">
        <f aca="false">IF($P660=0,"-",IF($O660&lt;=INDEX(PARAMETROS_CULTURAS!$F$6:$F$28,$P660),"INICIAL",IF($O660&lt;=INDEX(PARAMETROS_CULTURAS!$F$6:$F$28,$P660)+INDEX(PARAMETROS_CULTURAS!$G$6:$G$28,$P660),"DESENVOLVIMENTO",IF($O660&lt;=INDEX(PARAMETROS_CULTURAS!$F$6:$F$28,$P660)+INDEX(PARAMETROS_CULTURAS!$G$6:$G$28,$P660)+INDEX(PARAMETROS_CULTURAS!$H$6:$H$28,$P660),"MEDIA","FINAL"))))</f>
        <v>-</v>
      </c>
      <c r="R660" s="24" t="n">
        <f aca="false">IF($P660=0,0,IF($O660&lt;=INDEX(PARAMETROS_CULTURAS!$F$6:$F$28,$P660),INDEX(PARAMETROS_CULTURAS!$K$6:$K$28,$P660),IF($O660&lt;=INDEX(PARAMETROS_CULTURAS!$F$6:$F$28,$P660)+INDEX(PARAMETROS_CULTURAS!$G$6:$G$28,$P660),INDEX(PARAMETROS_CULTURAS!$K$6:$K$28,$P660)+(INDEX(PARAMETROS_CULTURAS!$L$6:$L$28,$P660)-INDEX(PARAMETROS_CULTURAS!$K$6:$K$28,$P660))*($O660-INDEX(PARAMETROS_CULTURAS!$F$6:$F$28,$P660))/MAX(INDEX(PARAMETROS_CULTURAS!$G$6:$G$28,$P660),0.0001),IF($O660&lt;=INDEX(PARAMETROS_CULTURAS!$F$6:$F$28,$P660)+INDEX(PARAMETROS_CULTURAS!$G$6:$G$28,$P660)+INDEX(PARAMETROS_CULTURAS!$H$6:$H$28,$P660),INDEX(PARAMETROS_CULTURAS!$L$6:$L$28,$P660),INDEX(PARAMETROS_CULTURAS!$L$6:$L$28,$P660)+(INDEX(PARAMETROS_CULTURAS!$M$6:$M$28,$P660)-INDEX(PARAMETROS_CULTURAS!$L$6:$L$28,$P660))*($O660-INDEX(PARAMETROS_CULTURAS!$F$6:$F$28,$P660)-INDEX(PARAMETROS_CULTURAS!$G$6:$G$28,$P660)-INDEX(PARAMETROS_CULTURAS!$H$6:$H$28,$P660))/MAX(INDEX(PARAMETROS_CULTURAS!$I$6:$I$28,$P660),0.0001)))))</f>
        <v>0</v>
      </c>
      <c r="S660" s="18" t="n">
        <f aca="false">IFERROR(INDEX(SEMANAS!$H$6:$H$71,MATCH($B660,SEMANAS!$B$6:$B$71,0)),0)</f>
        <v>39.2</v>
      </c>
      <c r="T660" s="18" t="n">
        <f aca="false">$R660*$S660</f>
        <v>0</v>
      </c>
      <c r="U660" s="18" t="n">
        <f aca="false">IFERROR(INDEX(SEMANAS!$I$6:$I$71,MATCH($B660,SEMANAS!$B$6:$B$71,0)),0)</f>
        <v>27.09</v>
      </c>
      <c r="V660" s="18" t="n">
        <f aca="false">IFERROR(INDEX(SEMANAS!$J$6:$J$71,MATCH($B660,SEMANAS!$B$6:$B$71,0)),0)</f>
        <v>21.672</v>
      </c>
      <c r="W660" s="18" t="n">
        <f aca="false">MAX(0,$T660-$V660)</f>
        <v>0</v>
      </c>
      <c r="X660" s="19" t="n">
        <f aca="false">IFERROR(INDEX(CADASTRO_PIVOS!$K$6:$K$41,MATCH($E660,CADASTRO_PIVOS!$B$6:$B$41,0)),EFICIENCIA_PADRAO)</f>
        <v>0.85</v>
      </c>
      <c r="Y660" s="18" t="n">
        <f aca="false">IF($X660&lt;=0,0,$W660/$X660)</f>
        <v>0</v>
      </c>
      <c r="Z660" s="16" t="n">
        <f aca="false">$Y660*$H660*MM_PARA_M3_HA</f>
        <v>0</v>
      </c>
      <c r="AA660" s="18" t="n">
        <f aca="false">IFERROR(INDEX(CADASTRO_PIVOS!$I$6:$I$41,MATCH($E660,CADASTRO_PIVOS!$B$6:$B$41,0)),0)</f>
        <v>785.714285714286</v>
      </c>
      <c r="AB660" s="18" t="n">
        <f aca="false">IF($Z660&lt;=0,0,$Z660/$AA660)</f>
        <v>0</v>
      </c>
      <c r="AC660" s="16" t="n">
        <f aca="false">IFERROR(INDEX(SEMANAS!$K$6:$K$71,MATCH($B660,SEMANAS!$B$6:$B$71,0)),0)</f>
        <v>147</v>
      </c>
      <c r="AD660" s="19" t="n">
        <f aca="false">IF($AC660&lt;=0,0,$AB660/$AC660)</f>
        <v>0</v>
      </c>
      <c r="AE660" s="8" t="str">
        <f aca="false">IF($K660="SEM CULTURA","SEM CULTURA",IF($AA660&lt;=0,"DADO PENDENTE",IF($AD660&gt;LIMITE_CRITICO,"INVIAVEL",IF($AD660&gt;LIMITE_ATENCAO,"CRITICO",IF($AD660&gt;LIMITE_CONFORTAVEL,"ATENCAO","OK")))))</f>
        <v>SEM CULTURA</v>
      </c>
      <c r="AF660" s="8" t="str">
        <f aca="false">$B660&amp;"|"&amp;TEXT($AD660,"0.000000")</f>
        <v>61|0.000000</v>
      </c>
      <c r="AG660" s="18" t="n">
        <f aca="false">IF($K660="SEM CULTURA",0,$T660*$H660)</f>
        <v>0</v>
      </c>
      <c r="AH660" s="18" t="n">
        <f aca="false">IF($K660="SEM CULTURA",0,$V660*$H660)</f>
        <v>0</v>
      </c>
      <c r="AI660" s="18" t="n">
        <f aca="false">IF($K660="SEM CULTURA",0,$W660*$H660)</f>
        <v>0</v>
      </c>
      <c r="AJ660" s="18" t="n">
        <f aca="false">IF($K660="SEM CULTURA",0,$S660*$H660)</f>
        <v>0</v>
      </c>
      <c r="AK660" s="8" t="str">
        <f aca="false">$E660&amp;"|"&amp;TEXT($AD660,"0.000000")</f>
        <v>PV 110|0.000000</v>
      </c>
    </row>
    <row r="661" customFormat="false" ht="15" hidden="false" customHeight="false" outlineLevel="0" collapsed="false">
      <c r="B661" s="16" t="n">
        <v>62</v>
      </c>
      <c r="C661" s="17" t="n">
        <f aca="false">DATA_INICIO_SAFRA+($B661-1)*DIAS_POR_SEMANA</f>
        <v>46692</v>
      </c>
      <c r="D661" s="17" t="n">
        <f aca="false">$C661+DIAS_POR_SEMANA-1</f>
        <v>46698</v>
      </c>
      <c r="E661" s="15" t="s">
        <v>268</v>
      </c>
      <c r="F661" s="8" t="str">
        <f aca="false">IFERROR(INDEX(CADASTRO_PIVOS!$C$6:$C$41,MATCH($E661,CADASTRO_PIVOS!$B$6:$B$41,0)),"?")</f>
        <v>RM04</v>
      </c>
      <c r="G661" s="8" t="str">
        <f aca="false">IFERROR(INDEX(CADASTRO_PIVOS!$D$6:$D$41,MATCH($E661,CADASTRO_PIVOS!$B$6:$B$41,0)),"?")</f>
        <v>TR04</v>
      </c>
      <c r="H661" s="20" t="n">
        <f aca="false">IFERROR(INDEX(CADASTRO_PIVOS!$E$6:$E$41,MATCH($E661,CADASTRO_PIVOS!$B$6:$B$41,0)),0)</f>
        <v>110</v>
      </c>
      <c r="I661" s="16" t="n">
        <f aca="false">IFERROR(SUMIFS(ROTACAO_RDM!$B$6:$B$71,ROTACAO_RDM!$D$6:$D$71,$E661,ROTACAO_RDM!$I$6:$I$71,"&lt;="&amp;$C661+INT(DIAS_POR_SEMANA/2),ROTACAO_RDM!$J$6:$J$71,"&gt;="&amp;$C661+INT(DIAS_POR_SEMANA/2)),0)</f>
        <v>0</v>
      </c>
      <c r="J661" s="16" t="n">
        <f aca="false">IFERROR(MATCH($I661,ROTACAO_RDM!$B$6:$B$71,0),0)</f>
        <v>0</v>
      </c>
      <c r="K661" s="8" t="str">
        <f aca="false">IF($J661=0,"SEM CULTURA",INDEX(ROTACAO_RDM!$F$6:$F$71,$J661))</f>
        <v>SEM CULTURA</v>
      </c>
      <c r="L661" s="8" t="str">
        <f aca="false">IF($J661=0,"",INDEX(ROTACAO_RDM!$G$6:$G$71,$J661))</f>
        <v/>
      </c>
      <c r="M661" s="17" t="str">
        <f aca="false">IF($J661=0,"",INDEX(ROTACAO_RDM!$I$6:$I$71,$J661))</f>
        <v/>
      </c>
      <c r="N661" s="16" t="n">
        <f aca="false">IF($J661=0,0,MAX(0,$C661+INT(DIAS_POR_SEMANA/2)-INDEX(ROTACAO_RDM!$I$6:$I$71,$J661)))</f>
        <v>0</v>
      </c>
      <c r="O661" s="19" t="n">
        <f aca="false">IF($J661=0,0,MIN(1,$N661/MAX(1,INDEX(ROTACAO_RDM!$K$6:$K$71,$J661))))</f>
        <v>0</v>
      </c>
      <c r="P661" s="16" t="n">
        <f aca="false">IF($J661=0,0,IFERROR(MATCH(INDEX(ROTACAO_RDM!$N$6:$N$71,$J661),PARAMETROS_CULTURAS!$B$6:$B$28,0),0))</f>
        <v>0</v>
      </c>
      <c r="Q661" s="8" t="str">
        <f aca="false">IF($P661=0,"-",IF($O661&lt;=INDEX(PARAMETROS_CULTURAS!$F$6:$F$28,$P661),"INICIAL",IF($O661&lt;=INDEX(PARAMETROS_CULTURAS!$F$6:$F$28,$P661)+INDEX(PARAMETROS_CULTURAS!$G$6:$G$28,$P661),"DESENVOLVIMENTO",IF($O661&lt;=INDEX(PARAMETROS_CULTURAS!$F$6:$F$28,$P661)+INDEX(PARAMETROS_CULTURAS!$G$6:$G$28,$P661)+INDEX(PARAMETROS_CULTURAS!$H$6:$H$28,$P661),"MEDIA","FINAL"))))</f>
        <v>-</v>
      </c>
      <c r="R661" s="24" t="n">
        <f aca="false">IF($P661=0,0,IF($O661&lt;=INDEX(PARAMETROS_CULTURAS!$F$6:$F$28,$P661),INDEX(PARAMETROS_CULTURAS!$K$6:$K$28,$P661),IF($O661&lt;=INDEX(PARAMETROS_CULTURAS!$F$6:$F$28,$P661)+INDEX(PARAMETROS_CULTURAS!$G$6:$G$28,$P661),INDEX(PARAMETROS_CULTURAS!$K$6:$K$28,$P661)+(INDEX(PARAMETROS_CULTURAS!$L$6:$L$28,$P661)-INDEX(PARAMETROS_CULTURAS!$K$6:$K$28,$P661))*($O661-INDEX(PARAMETROS_CULTURAS!$F$6:$F$28,$P661))/MAX(INDEX(PARAMETROS_CULTURAS!$G$6:$G$28,$P661),0.0001),IF($O661&lt;=INDEX(PARAMETROS_CULTURAS!$F$6:$F$28,$P661)+INDEX(PARAMETROS_CULTURAS!$G$6:$G$28,$P661)+INDEX(PARAMETROS_CULTURAS!$H$6:$H$28,$P661),INDEX(PARAMETROS_CULTURAS!$L$6:$L$28,$P661),INDEX(PARAMETROS_CULTURAS!$L$6:$L$28,$P661)+(INDEX(PARAMETROS_CULTURAS!$M$6:$M$28,$P661)-INDEX(PARAMETROS_CULTURAS!$L$6:$L$28,$P661))*($O661-INDEX(PARAMETROS_CULTURAS!$F$6:$F$28,$P661)-INDEX(PARAMETROS_CULTURAS!$G$6:$G$28,$P661)-INDEX(PARAMETROS_CULTURAS!$H$6:$H$28,$P661))/MAX(INDEX(PARAMETROS_CULTURAS!$I$6:$I$28,$P661),0.0001)))))</f>
        <v>0</v>
      </c>
      <c r="S661" s="18" t="n">
        <f aca="false">IFERROR(INDEX(SEMANAS!$H$6:$H$71,MATCH($B661,SEMANAS!$B$6:$B$71,0)),0)</f>
        <v>34.3</v>
      </c>
      <c r="T661" s="18" t="n">
        <f aca="false">$R661*$S661</f>
        <v>0</v>
      </c>
      <c r="U661" s="18" t="n">
        <f aca="false">IFERROR(INDEX(SEMANAS!$I$6:$I$71,MATCH($B661,SEMANAS!$B$6:$B$71,0)),0)</f>
        <v>46.69</v>
      </c>
      <c r="V661" s="18" t="n">
        <f aca="false">IFERROR(INDEX(SEMANAS!$J$6:$J$71,MATCH($B661,SEMANAS!$B$6:$B$71,0)),0)</f>
        <v>37.352</v>
      </c>
      <c r="W661" s="18" t="n">
        <f aca="false">MAX(0,$T661-$V661)</f>
        <v>0</v>
      </c>
      <c r="X661" s="19" t="n">
        <f aca="false">IFERROR(INDEX(CADASTRO_PIVOS!$K$6:$K$41,MATCH($E661,CADASTRO_PIVOS!$B$6:$B$41,0)),EFICIENCIA_PADRAO)</f>
        <v>0.85</v>
      </c>
      <c r="Y661" s="18" t="n">
        <f aca="false">IF($X661&lt;=0,0,$W661/$X661)</f>
        <v>0</v>
      </c>
      <c r="Z661" s="16" t="n">
        <f aca="false">$Y661*$H661*MM_PARA_M3_HA</f>
        <v>0</v>
      </c>
      <c r="AA661" s="18" t="n">
        <f aca="false">IFERROR(INDEX(CADASTRO_PIVOS!$I$6:$I$41,MATCH($E661,CADASTRO_PIVOS!$B$6:$B$41,0)),0)</f>
        <v>785.714285714286</v>
      </c>
      <c r="AB661" s="18" t="n">
        <f aca="false">IF($Z661&lt;=0,0,$Z661/$AA661)</f>
        <v>0</v>
      </c>
      <c r="AC661" s="16" t="n">
        <f aca="false">IFERROR(INDEX(SEMANAS!$K$6:$K$71,MATCH($B661,SEMANAS!$B$6:$B$71,0)),0)</f>
        <v>147</v>
      </c>
      <c r="AD661" s="19" t="n">
        <f aca="false">IF($AC661&lt;=0,0,$AB661/$AC661)</f>
        <v>0</v>
      </c>
      <c r="AE661" s="8" t="str">
        <f aca="false">IF($K661="SEM CULTURA","SEM CULTURA",IF($AA661&lt;=0,"DADO PENDENTE",IF($AD661&gt;LIMITE_CRITICO,"INVIAVEL",IF($AD661&gt;LIMITE_ATENCAO,"CRITICO",IF($AD661&gt;LIMITE_CONFORTAVEL,"ATENCAO","OK")))))</f>
        <v>SEM CULTURA</v>
      </c>
      <c r="AF661" s="8" t="str">
        <f aca="false">$B661&amp;"|"&amp;TEXT($AD661,"0.000000")</f>
        <v>62|0.000000</v>
      </c>
      <c r="AG661" s="18" t="n">
        <f aca="false">IF($K661="SEM CULTURA",0,$T661*$H661)</f>
        <v>0</v>
      </c>
      <c r="AH661" s="18" t="n">
        <f aca="false">IF($K661="SEM CULTURA",0,$V661*$H661)</f>
        <v>0</v>
      </c>
      <c r="AI661" s="18" t="n">
        <f aca="false">IF($K661="SEM CULTURA",0,$W661*$H661)</f>
        <v>0</v>
      </c>
      <c r="AJ661" s="18" t="n">
        <f aca="false">IF($K661="SEM CULTURA",0,$S661*$H661)</f>
        <v>0</v>
      </c>
      <c r="AK661" s="8" t="str">
        <f aca="false">$E661&amp;"|"&amp;TEXT($AD661,"0.000000")</f>
        <v>PV 110|0.000000</v>
      </c>
    </row>
    <row r="662" customFormat="false" ht="15" hidden="false" customHeight="false" outlineLevel="0" collapsed="false">
      <c r="B662" s="16" t="n">
        <v>63</v>
      </c>
      <c r="C662" s="17" t="n">
        <f aca="false">DATA_INICIO_SAFRA+($B662-1)*DIAS_POR_SEMANA</f>
        <v>46699</v>
      </c>
      <c r="D662" s="17" t="n">
        <f aca="false">$C662+DIAS_POR_SEMANA-1</f>
        <v>46705</v>
      </c>
      <c r="E662" s="15" t="s">
        <v>268</v>
      </c>
      <c r="F662" s="8" t="str">
        <f aca="false">IFERROR(INDEX(CADASTRO_PIVOS!$C$6:$C$41,MATCH($E662,CADASTRO_PIVOS!$B$6:$B$41,0)),"?")</f>
        <v>RM04</v>
      </c>
      <c r="G662" s="8" t="str">
        <f aca="false">IFERROR(INDEX(CADASTRO_PIVOS!$D$6:$D$41,MATCH($E662,CADASTRO_PIVOS!$B$6:$B$41,0)),"?")</f>
        <v>TR04</v>
      </c>
      <c r="H662" s="20" t="n">
        <f aca="false">IFERROR(INDEX(CADASTRO_PIVOS!$E$6:$E$41,MATCH($E662,CADASTRO_PIVOS!$B$6:$B$41,0)),0)</f>
        <v>110</v>
      </c>
      <c r="I662" s="16" t="n">
        <f aca="false">IFERROR(SUMIFS(ROTACAO_RDM!$B$6:$B$71,ROTACAO_RDM!$D$6:$D$71,$E662,ROTACAO_RDM!$I$6:$I$71,"&lt;="&amp;$C662+INT(DIAS_POR_SEMANA/2),ROTACAO_RDM!$J$6:$J$71,"&gt;="&amp;$C662+INT(DIAS_POR_SEMANA/2)),0)</f>
        <v>0</v>
      </c>
      <c r="J662" s="16" t="n">
        <f aca="false">IFERROR(MATCH($I662,ROTACAO_RDM!$B$6:$B$71,0),0)</f>
        <v>0</v>
      </c>
      <c r="K662" s="8" t="str">
        <f aca="false">IF($J662=0,"SEM CULTURA",INDEX(ROTACAO_RDM!$F$6:$F$71,$J662))</f>
        <v>SEM CULTURA</v>
      </c>
      <c r="L662" s="8" t="str">
        <f aca="false">IF($J662=0,"",INDEX(ROTACAO_RDM!$G$6:$G$71,$J662))</f>
        <v/>
      </c>
      <c r="M662" s="17" t="str">
        <f aca="false">IF($J662=0,"",INDEX(ROTACAO_RDM!$I$6:$I$71,$J662))</f>
        <v/>
      </c>
      <c r="N662" s="16" t="n">
        <f aca="false">IF($J662=0,0,MAX(0,$C662+INT(DIAS_POR_SEMANA/2)-INDEX(ROTACAO_RDM!$I$6:$I$71,$J662)))</f>
        <v>0</v>
      </c>
      <c r="O662" s="19" t="n">
        <f aca="false">IF($J662=0,0,MIN(1,$N662/MAX(1,INDEX(ROTACAO_RDM!$K$6:$K$71,$J662))))</f>
        <v>0</v>
      </c>
      <c r="P662" s="16" t="n">
        <f aca="false">IF($J662=0,0,IFERROR(MATCH(INDEX(ROTACAO_RDM!$N$6:$N$71,$J662),PARAMETROS_CULTURAS!$B$6:$B$28,0),0))</f>
        <v>0</v>
      </c>
      <c r="Q662" s="8" t="str">
        <f aca="false">IF($P662=0,"-",IF($O662&lt;=INDEX(PARAMETROS_CULTURAS!$F$6:$F$28,$P662),"INICIAL",IF($O662&lt;=INDEX(PARAMETROS_CULTURAS!$F$6:$F$28,$P662)+INDEX(PARAMETROS_CULTURAS!$G$6:$G$28,$P662),"DESENVOLVIMENTO",IF($O662&lt;=INDEX(PARAMETROS_CULTURAS!$F$6:$F$28,$P662)+INDEX(PARAMETROS_CULTURAS!$G$6:$G$28,$P662)+INDEX(PARAMETROS_CULTURAS!$H$6:$H$28,$P662),"MEDIA","FINAL"))))</f>
        <v>-</v>
      </c>
      <c r="R662" s="24" t="n">
        <f aca="false">IF($P662=0,0,IF($O662&lt;=INDEX(PARAMETROS_CULTURAS!$F$6:$F$28,$P662),INDEX(PARAMETROS_CULTURAS!$K$6:$K$28,$P662),IF($O662&lt;=INDEX(PARAMETROS_CULTURAS!$F$6:$F$28,$P662)+INDEX(PARAMETROS_CULTURAS!$G$6:$G$28,$P662),INDEX(PARAMETROS_CULTURAS!$K$6:$K$28,$P662)+(INDEX(PARAMETROS_CULTURAS!$L$6:$L$28,$P662)-INDEX(PARAMETROS_CULTURAS!$K$6:$K$28,$P662))*($O662-INDEX(PARAMETROS_CULTURAS!$F$6:$F$28,$P662))/MAX(INDEX(PARAMETROS_CULTURAS!$G$6:$G$28,$P662),0.0001),IF($O662&lt;=INDEX(PARAMETROS_CULTURAS!$F$6:$F$28,$P662)+INDEX(PARAMETROS_CULTURAS!$G$6:$G$28,$P662)+INDEX(PARAMETROS_CULTURAS!$H$6:$H$28,$P662),INDEX(PARAMETROS_CULTURAS!$L$6:$L$28,$P662),INDEX(PARAMETROS_CULTURAS!$L$6:$L$28,$P662)+(INDEX(PARAMETROS_CULTURAS!$M$6:$M$28,$P662)-INDEX(PARAMETROS_CULTURAS!$L$6:$L$28,$P662))*($O662-INDEX(PARAMETROS_CULTURAS!$F$6:$F$28,$P662)-INDEX(PARAMETROS_CULTURAS!$G$6:$G$28,$P662)-INDEX(PARAMETROS_CULTURAS!$H$6:$H$28,$P662))/MAX(INDEX(PARAMETROS_CULTURAS!$I$6:$I$28,$P662),0.0001)))))</f>
        <v>0</v>
      </c>
      <c r="S662" s="18" t="n">
        <f aca="false">IFERROR(INDEX(SEMANAS!$H$6:$H$71,MATCH($B662,SEMANAS!$B$6:$B$71,0)),0)</f>
        <v>34.3</v>
      </c>
      <c r="T662" s="18" t="n">
        <f aca="false">$R662*$S662</f>
        <v>0</v>
      </c>
      <c r="U662" s="18" t="n">
        <f aca="false">IFERROR(INDEX(SEMANAS!$I$6:$I$71,MATCH($B662,SEMANAS!$B$6:$B$71,0)),0)</f>
        <v>46.69</v>
      </c>
      <c r="V662" s="18" t="n">
        <f aca="false">IFERROR(INDEX(SEMANAS!$J$6:$J$71,MATCH($B662,SEMANAS!$B$6:$B$71,0)),0)</f>
        <v>37.352</v>
      </c>
      <c r="W662" s="18" t="n">
        <f aca="false">MAX(0,$T662-$V662)</f>
        <v>0</v>
      </c>
      <c r="X662" s="19" t="n">
        <f aca="false">IFERROR(INDEX(CADASTRO_PIVOS!$K$6:$K$41,MATCH($E662,CADASTRO_PIVOS!$B$6:$B$41,0)),EFICIENCIA_PADRAO)</f>
        <v>0.85</v>
      </c>
      <c r="Y662" s="18" t="n">
        <f aca="false">IF($X662&lt;=0,0,$W662/$X662)</f>
        <v>0</v>
      </c>
      <c r="Z662" s="16" t="n">
        <f aca="false">$Y662*$H662*MM_PARA_M3_HA</f>
        <v>0</v>
      </c>
      <c r="AA662" s="18" t="n">
        <f aca="false">IFERROR(INDEX(CADASTRO_PIVOS!$I$6:$I$41,MATCH($E662,CADASTRO_PIVOS!$B$6:$B$41,0)),0)</f>
        <v>785.714285714286</v>
      </c>
      <c r="AB662" s="18" t="n">
        <f aca="false">IF($Z662&lt;=0,0,$Z662/$AA662)</f>
        <v>0</v>
      </c>
      <c r="AC662" s="16" t="n">
        <f aca="false">IFERROR(INDEX(SEMANAS!$K$6:$K$71,MATCH($B662,SEMANAS!$B$6:$B$71,0)),0)</f>
        <v>147</v>
      </c>
      <c r="AD662" s="19" t="n">
        <f aca="false">IF($AC662&lt;=0,0,$AB662/$AC662)</f>
        <v>0</v>
      </c>
      <c r="AE662" s="8" t="str">
        <f aca="false">IF($K662="SEM CULTURA","SEM CULTURA",IF($AA662&lt;=0,"DADO PENDENTE",IF($AD662&gt;LIMITE_CRITICO,"INVIAVEL",IF($AD662&gt;LIMITE_ATENCAO,"CRITICO",IF($AD662&gt;LIMITE_CONFORTAVEL,"ATENCAO","OK")))))</f>
        <v>SEM CULTURA</v>
      </c>
      <c r="AF662" s="8" t="str">
        <f aca="false">$B662&amp;"|"&amp;TEXT($AD662,"0.000000")</f>
        <v>63|0.000000</v>
      </c>
      <c r="AG662" s="18" t="n">
        <f aca="false">IF($K662="SEM CULTURA",0,$T662*$H662)</f>
        <v>0</v>
      </c>
      <c r="AH662" s="18" t="n">
        <f aca="false">IF($K662="SEM CULTURA",0,$V662*$H662)</f>
        <v>0</v>
      </c>
      <c r="AI662" s="18" t="n">
        <f aca="false">IF($K662="SEM CULTURA",0,$W662*$H662)</f>
        <v>0</v>
      </c>
      <c r="AJ662" s="18" t="n">
        <f aca="false">IF($K662="SEM CULTURA",0,$S662*$H662)</f>
        <v>0</v>
      </c>
      <c r="AK662" s="8" t="str">
        <f aca="false">$E662&amp;"|"&amp;TEXT($AD662,"0.000000")</f>
        <v>PV 110|0.000000</v>
      </c>
    </row>
    <row r="663" customFormat="false" ht="15" hidden="false" customHeight="false" outlineLevel="0" collapsed="false">
      <c r="B663" s="16" t="n">
        <v>64</v>
      </c>
      <c r="C663" s="17" t="n">
        <f aca="false">DATA_INICIO_SAFRA+($B663-1)*DIAS_POR_SEMANA</f>
        <v>46706</v>
      </c>
      <c r="D663" s="17" t="n">
        <f aca="false">$C663+DIAS_POR_SEMANA-1</f>
        <v>46712</v>
      </c>
      <c r="E663" s="15" t="s">
        <v>268</v>
      </c>
      <c r="F663" s="8" t="str">
        <f aca="false">IFERROR(INDEX(CADASTRO_PIVOS!$C$6:$C$41,MATCH($E663,CADASTRO_PIVOS!$B$6:$B$41,0)),"?")</f>
        <v>RM04</v>
      </c>
      <c r="G663" s="8" t="str">
        <f aca="false">IFERROR(INDEX(CADASTRO_PIVOS!$D$6:$D$41,MATCH($E663,CADASTRO_PIVOS!$B$6:$B$41,0)),"?")</f>
        <v>TR04</v>
      </c>
      <c r="H663" s="20" t="n">
        <f aca="false">IFERROR(INDEX(CADASTRO_PIVOS!$E$6:$E$41,MATCH($E663,CADASTRO_PIVOS!$B$6:$B$41,0)),0)</f>
        <v>110</v>
      </c>
      <c r="I663" s="16" t="n">
        <f aca="false">IFERROR(SUMIFS(ROTACAO_RDM!$B$6:$B$71,ROTACAO_RDM!$D$6:$D$71,$E663,ROTACAO_RDM!$I$6:$I$71,"&lt;="&amp;$C663+INT(DIAS_POR_SEMANA/2),ROTACAO_RDM!$J$6:$J$71,"&gt;="&amp;$C663+INT(DIAS_POR_SEMANA/2)),0)</f>
        <v>0</v>
      </c>
      <c r="J663" s="16" t="n">
        <f aca="false">IFERROR(MATCH($I663,ROTACAO_RDM!$B$6:$B$71,0),0)</f>
        <v>0</v>
      </c>
      <c r="K663" s="8" t="str">
        <f aca="false">IF($J663=0,"SEM CULTURA",INDEX(ROTACAO_RDM!$F$6:$F$71,$J663))</f>
        <v>SEM CULTURA</v>
      </c>
      <c r="L663" s="8" t="str">
        <f aca="false">IF($J663=0,"",INDEX(ROTACAO_RDM!$G$6:$G$71,$J663))</f>
        <v/>
      </c>
      <c r="M663" s="17" t="str">
        <f aca="false">IF($J663=0,"",INDEX(ROTACAO_RDM!$I$6:$I$71,$J663))</f>
        <v/>
      </c>
      <c r="N663" s="16" t="n">
        <f aca="false">IF($J663=0,0,MAX(0,$C663+INT(DIAS_POR_SEMANA/2)-INDEX(ROTACAO_RDM!$I$6:$I$71,$J663)))</f>
        <v>0</v>
      </c>
      <c r="O663" s="19" t="n">
        <f aca="false">IF($J663=0,0,MIN(1,$N663/MAX(1,INDEX(ROTACAO_RDM!$K$6:$K$71,$J663))))</f>
        <v>0</v>
      </c>
      <c r="P663" s="16" t="n">
        <f aca="false">IF($J663=0,0,IFERROR(MATCH(INDEX(ROTACAO_RDM!$N$6:$N$71,$J663),PARAMETROS_CULTURAS!$B$6:$B$28,0),0))</f>
        <v>0</v>
      </c>
      <c r="Q663" s="8" t="str">
        <f aca="false">IF($P663=0,"-",IF($O663&lt;=INDEX(PARAMETROS_CULTURAS!$F$6:$F$28,$P663),"INICIAL",IF($O663&lt;=INDEX(PARAMETROS_CULTURAS!$F$6:$F$28,$P663)+INDEX(PARAMETROS_CULTURAS!$G$6:$G$28,$P663),"DESENVOLVIMENTO",IF($O663&lt;=INDEX(PARAMETROS_CULTURAS!$F$6:$F$28,$P663)+INDEX(PARAMETROS_CULTURAS!$G$6:$G$28,$P663)+INDEX(PARAMETROS_CULTURAS!$H$6:$H$28,$P663),"MEDIA","FINAL"))))</f>
        <v>-</v>
      </c>
      <c r="R663" s="24" t="n">
        <f aca="false">IF($P663=0,0,IF($O663&lt;=INDEX(PARAMETROS_CULTURAS!$F$6:$F$28,$P663),INDEX(PARAMETROS_CULTURAS!$K$6:$K$28,$P663),IF($O663&lt;=INDEX(PARAMETROS_CULTURAS!$F$6:$F$28,$P663)+INDEX(PARAMETROS_CULTURAS!$G$6:$G$28,$P663),INDEX(PARAMETROS_CULTURAS!$K$6:$K$28,$P663)+(INDEX(PARAMETROS_CULTURAS!$L$6:$L$28,$P663)-INDEX(PARAMETROS_CULTURAS!$K$6:$K$28,$P663))*($O663-INDEX(PARAMETROS_CULTURAS!$F$6:$F$28,$P663))/MAX(INDEX(PARAMETROS_CULTURAS!$G$6:$G$28,$P663),0.0001),IF($O663&lt;=INDEX(PARAMETROS_CULTURAS!$F$6:$F$28,$P663)+INDEX(PARAMETROS_CULTURAS!$G$6:$G$28,$P663)+INDEX(PARAMETROS_CULTURAS!$H$6:$H$28,$P663),INDEX(PARAMETROS_CULTURAS!$L$6:$L$28,$P663),INDEX(PARAMETROS_CULTURAS!$L$6:$L$28,$P663)+(INDEX(PARAMETROS_CULTURAS!$M$6:$M$28,$P663)-INDEX(PARAMETROS_CULTURAS!$L$6:$L$28,$P663))*($O663-INDEX(PARAMETROS_CULTURAS!$F$6:$F$28,$P663)-INDEX(PARAMETROS_CULTURAS!$G$6:$G$28,$P663)-INDEX(PARAMETROS_CULTURAS!$H$6:$H$28,$P663))/MAX(INDEX(PARAMETROS_CULTURAS!$I$6:$I$28,$P663),0.0001)))))</f>
        <v>0</v>
      </c>
      <c r="S663" s="18" t="n">
        <f aca="false">IFERROR(INDEX(SEMANAS!$H$6:$H$71,MATCH($B663,SEMANAS!$B$6:$B$71,0)),0)</f>
        <v>34.3</v>
      </c>
      <c r="T663" s="18" t="n">
        <f aca="false">$R663*$S663</f>
        <v>0</v>
      </c>
      <c r="U663" s="18" t="n">
        <f aca="false">IFERROR(INDEX(SEMANAS!$I$6:$I$71,MATCH($B663,SEMANAS!$B$6:$B$71,0)),0)</f>
        <v>46.69</v>
      </c>
      <c r="V663" s="18" t="n">
        <f aca="false">IFERROR(INDEX(SEMANAS!$J$6:$J$71,MATCH($B663,SEMANAS!$B$6:$B$71,0)),0)</f>
        <v>37.352</v>
      </c>
      <c r="W663" s="18" t="n">
        <f aca="false">MAX(0,$T663-$V663)</f>
        <v>0</v>
      </c>
      <c r="X663" s="19" t="n">
        <f aca="false">IFERROR(INDEX(CADASTRO_PIVOS!$K$6:$K$41,MATCH($E663,CADASTRO_PIVOS!$B$6:$B$41,0)),EFICIENCIA_PADRAO)</f>
        <v>0.85</v>
      </c>
      <c r="Y663" s="18" t="n">
        <f aca="false">IF($X663&lt;=0,0,$W663/$X663)</f>
        <v>0</v>
      </c>
      <c r="Z663" s="16" t="n">
        <f aca="false">$Y663*$H663*MM_PARA_M3_HA</f>
        <v>0</v>
      </c>
      <c r="AA663" s="18" t="n">
        <f aca="false">IFERROR(INDEX(CADASTRO_PIVOS!$I$6:$I$41,MATCH($E663,CADASTRO_PIVOS!$B$6:$B$41,0)),0)</f>
        <v>785.714285714286</v>
      </c>
      <c r="AB663" s="18" t="n">
        <f aca="false">IF($Z663&lt;=0,0,$Z663/$AA663)</f>
        <v>0</v>
      </c>
      <c r="AC663" s="16" t="n">
        <f aca="false">IFERROR(INDEX(SEMANAS!$K$6:$K$71,MATCH($B663,SEMANAS!$B$6:$B$71,0)),0)</f>
        <v>147</v>
      </c>
      <c r="AD663" s="19" t="n">
        <f aca="false">IF($AC663&lt;=0,0,$AB663/$AC663)</f>
        <v>0</v>
      </c>
      <c r="AE663" s="8" t="str">
        <f aca="false">IF($K663="SEM CULTURA","SEM CULTURA",IF($AA663&lt;=0,"DADO PENDENTE",IF($AD663&gt;LIMITE_CRITICO,"INVIAVEL",IF($AD663&gt;LIMITE_ATENCAO,"CRITICO",IF($AD663&gt;LIMITE_CONFORTAVEL,"ATENCAO","OK")))))</f>
        <v>SEM CULTURA</v>
      </c>
      <c r="AF663" s="8" t="str">
        <f aca="false">$B663&amp;"|"&amp;TEXT($AD663,"0.000000")</f>
        <v>64|0.000000</v>
      </c>
      <c r="AG663" s="18" t="n">
        <f aca="false">IF($K663="SEM CULTURA",0,$T663*$H663)</f>
        <v>0</v>
      </c>
      <c r="AH663" s="18" t="n">
        <f aca="false">IF($K663="SEM CULTURA",0,$V663*$H663)</f>
        <v>0</v>
      </c>
      <c r="AI663" s="18" t="n">
        <f aca="false">IF($K663="SEM CULTURA",0,$W663*$H663)</f>
        <v>0</v>
      </c>
      <c r="AJ663" s="18" t="n">
        <f aca="false">IF($K663="SEM CULTURA",0,$S663*$H663)</f>
        <v>0</v>
      </c>
      <c r="AK663" s="8" t="str">
        <f aca="false">$E663&amp;"|"&amp;TEXT($AD663,"0.000000")</f>
        <v>PV 110|0.000000</v>
      </c>
    </row>
    <row r="664" customFormat="false" ht="15" hidden="false" customHeight="false" outlineLevel="0" collapsed="false">
      <c r="B664" s="16" t="n">
        <v>65</v>
      </c>
      <c r="C664" s="17" t="n">
        <f aca="false">DATA_INICIO_SAFRA+($B664-1)*DIAS_POR_SEMANA</f>
        <v>46713</v>
      </c>
      <c r="D664" s="17" t="n">
        <f aca="false">$C664+DIAS_POR_SEMANA-1</f>
        <v>46719</v>
      </c>
      <c r="E664" s="15" t="s">
        <v>268</v>
      </c>
      <c r="F664" s="8" t="str">
        <f aca="false">IFERROR(INDEX(CADASTRO_PIVOS!$C$6:$C$41,MATCH($E664,CADASTRO_PIVOS!$B$6:$B$41,0)),"?")</f>
        <v>RM04</v>
      </c>
      <c r="G664" s="8" t="str">
        <f aca="false">IFERROR(INDEX(CADASTRO_PIVOS!$D$6:$D$41,MATCH($E664,CADASTRO_PIVOS!$B$6:$B$41,0)),"?")</f>
        <v>TR04</v>
      </c>
      <c r="H664" s="20" t="n">
        <f aca="false">IFERROR(INDEX(CADASTRO_PIVOS!$E$6:$E$41,MATCH($E664,CADASTRO_PIVOS!$B$6:$B$41,0)),0)</f>
        <v>110</v>
      </c>
      <c r="I664" s="16" t="n">
        <f aca="false">IFERROR(SUMIFS(ROTACAO_RDM!$B$6:$B$71,ROTACAO_RDM!$D$6:$D$71,$E664,ROTACAO_RDM!$I$6:$I$71,"&lt;="&amp;$C664+INT(DIAS_POR_SEMANA/2),ROTACAO_RDM!$J$6:$J$71,"&gt;="&amp;$C664+INT(DIAS_POR_SEMANA/2)),0)</f>
        <v>0</v>
      </c>
      <c r="J664" s="16" t="n">
        <f aca="false">IFERROR(MATCH($I664,ROTACAO_RDM!$B$6:$B$71,0),0)</f>
        <v>0</v>
      </c>
      <c r="K664" s="8" t="str">
        <f aca="false">IF($J664=0,"SEM CULTURA",INDEX(ROTACAO_RDM!$F$6:$F$71,$J664))</f>
        <v>SEM CULTURA</v>
      </c>
      <c r="L664" s="8" t="str">
        <f aca="false">IF($J664=0,"",INDEX(ROTACAO_RDM!$G$6:$G$71,$J664))</f>
        <v/>
      </c>
      <c r="M664" s="17" t="str">
        <f aca="false">IF($J664=0,"",INDEX(ROTACAO_RDM!$I$6:$I$71,$J664))</f>
        <v/>
      </c>
      <c r="N664" s="16" t="n">
        <f aca="false">IF($J664=0,0,MAX(0,$C664+INT(DIAS_POR_SEMANA/2)-INDEX(ROTACAO_RDM!$I$6:$I$71,$J664)))</f>
        <v>0</v>
      </c>
      <c r="O664" s="19" t="n">
        <f aca="false">IF($J664=0,0,MIN(1,$N664/MAX(1,INDEX(ROTACAO_RDM!$K$6:$K$71,$J664))))</f>
        <v>0</v>
      </c>
      <c r="P664" s="16" t="n">
        <f aca="false">IF($J664=0,0,IFERROR(MATCH(INDEX(ROTACAO_RDM!$N$6:$N$71,$J664),PARAMETROS_CULTURAS!$B$6:$B$28,0),0))</f>
        <v>0</v>
      </c>
      <c r="Q664" s="8" t="str">
        <f aca="false">IF($P664=0,"-",IF($O664&lt;=INDEX(PARAMETROS_CULTURAS!$F$6:$F$28,$P664),"INICIAL",IF($O664&lt;=INDEX(PARAMETROS_CULTURAS!$F$6:$F$28,$P664)+INDEX(PARAMETROS_CULTURAS!$G$6:$G$28,$P664),"DESENVOLVIMENTO",IF($O664&lt;=INDEX(PARAMETROS_CULTURAS!$F$6:$F$28,$P664)+INDEX(PARAMETROS_CULTURAS!$G$6:$G$28,$P664)+INDEX(PARAMETROS_CULTURAS!$H$6:$H$28,$P664),"MEDIA","FINAL"))))</f>
        <v>-</v>
      </c>
      <c r="R664" s="24" t="n">
        <f aca="false">IF($P664=0,0,IF($O664&lt;=INDEX(PARAMETROS_CULTURAS!$F$6:$F$28,$P664),INDEX(PARAMETROS_CULTURAS!$K$6:$K$28,$P664),IF($O664&lt;=INDEX(PARAMETROS_CULTURAS!$F$6:$F$28,$P664)+INDEX(PARAMETROS_CULTURAS!$G$6:$G$28,$P664),INDEX(PARAMETROS_CULTURAS!$K$6:$K$28,$P664)+(INDEX(PARAMETROS_CULTURAS!$L$6:$L$28,$P664)-INDEX(PARAMETROS_CULTURAS!$K$6:$K$28,$P664))*($O664-INDEX(PARAMETROS_CULTURAS!$F$6:$F$28,$P664))/MAX(INDEX(PARAMETROS_CULTURAS!$G$6:$G$28,$P664),0.0001),IF($O664&lt;=INDEX(PARAMETROS_CULTURAS!$F$6:$F$28,$P664)+INDEX(PARAMETROS_CULTURAS!$G$6:$G$28,$P664)+INDEX(PARAMETROS_CULTURAS!$H$6:$H$28,$P664),INDEX(PARAMETROS_CULTURAS!$L$6:$L$28,$P664),INDEX(PARAMETROS_CULTURAS!$L$6:$L$28,$P664)+(INDEX(PARAMETROS_CULTURAS!$M$6:$M$28,$P664)-INDEX(PARAMETROS_CULTURAS!$L$6:$L$28,$P664))*($O664-INDEX(PARAMETROS_CULTURAS!$F$6:$F$28,$P664)-INDEX(PARAMETROS_CULTURAS!$G$6:$G$28,$P664)-INDEX(PARAMETROS_CULTURAS!$H$6:$H$28,$P664))/MAX(INDEX(PARAMETROS_CULTURAS!$I$6:$I$28,$P664),0.0001)))))</f>
        <v>0</v>
      </c>
      <c r="S664" s="18" t="n">
        <f aca="false">IFERROR(INDEX(SEMANAS!$H$6:$H$71,MATCH($B664,SEMANAS!$B$6:$B$71,0)),0)</f>
        <v>34.3</v>
      </c>
      <c r="T664" s="18" t="n">
        <f aca="false">$R664*$S664</f>
        <v>0</v>
      </c>
      <c r="U664" s="18" t="n">
        <f aca="false">IFERROR(INDEX(SEMANAS!$I$6:$I$71,MATCH($B664,SEMANAS!$B$6:$B$71,0)),0)</f>
        <v>46.69</v>
      </c>
      <c r="V664" s="18" t="n">
        <f aca="false">IFERROR(INDEX(SEMANAS!$J$6:$J$71,MATCH($B664,SEMANAS!$B$6:$B$71,0)),0)</f>
        <v>37.352</v>
      </c>
      <c r="W664" s="18" t="n">
        <f aca="false">MAX(0,$T664-$V664)</f>
        <v>0</v>
      </c>
      <c r="X664" s="19" t="n">
        <f aca="false">IFERROR(INDEX(CADASTRO_PIVOS!$K$6:$K$41,MATCH($E664,CADASTRO_PIVOS!$B$6:$B$41,0)),EFICIENCIA_PADRAO)</f>
        <v>0.85</v>
      </c>
      <c r="Y664" s="18" t="n">
        <f aca="false">IF($X664&lt;=0,0,$W664/$X664)</f>
        <v>0</v>
      </c>
      <c r="Z664" s="16" t="n">
        <f aca="false">$Y664*$H664*MM_PARA_M3_HA</f>
        <v>0</v>
      </c>
      <c r="AA664" s="18" t="n">
        <f aca="false">IFERROR(INDEX(CADASTRO_PIVOS!$I$6:$I$41,MATCH($E664,CADASTRO_PIVOS!$B$6:$B$41,0)),0)</f>
        <v>785.714285714286</v>
      </c>
      <c r="AB664" s="18" t="n">
        <f aca="false">IF($Z664&lt;=0,0,$Z664/$AA664)</f>
        <v>0</v>
      </c>
      <c r="AC664" s="16" t="n">
        <f aca="false">IFERROR(INDEX(SEMANAS!$K$6:$K$71,MATCH($B664,SEMANAS!$B$6:$B$71,0)),0)</f>
        <v>147</v>
      </c>
      <c r="AD664" s="19" t="n">
        <f aca="false">IF($AC664&lt;=0,0,$AB664/$AC664)</f>
        <v>0</v>
      </c>
      <c r="AE664" s="8" t="str">
        <f aca="false">IF($K664="SEM CULTURA","SEM CULTURA",IF($AA664&lt;=0,"DADO PENDENTE",IF($AD664&gt;LIMITE_CRITICO,"INVIAVEL",IF($AD664&gt;LIMITE_ATENCAO,"CRITICO",IF($AD664&gt;LIMITE_CONFORTAVEL,"ATENCAO","OK")))))</f>
        <v>SEM CULTURA</v>
      </c>
      <c r="AF664" s="8" t="str">
        <f aca="false">$B664&amp;"|"&amp;TEXT($AD664,"0.000000")</f>
        <v>65|0.000000</v>
      </c>
      <c r="AG664" s="18" t="n">
        <f aca="false">IF($K664="SEM CULTURA",0,$T664*$H664)</f>
        <v>0</v>
      </c>
      <c r="AH664" s="18" t="n">
        <f aca="false">IF($K664="SEM CULTURA",0,$V664*$H664)</f>
        <v>0</v>
      </c>
      <c r="AI664" s="18" t="n">
        <f aca="false">IF($K664="SEM CULTURA",0,$W664*$H664)</f>
        <v>0</v>
      </c>
      <c r="AJ664" s="18" t="n">
        <f aca="false">IF($K664="SEM CULTURA",0,$S664*$H664)</f>
        <v>0</v>
      </c>
      <c r="AK664" s="8" t="str">
        <f aca="false">$E664&amp;"|"&amp;TEXT($AD664,"0.000000")</f>
        <v>PV 110|0.000000</v>
      </c>
    </row>
    <row r="665" customFormat="false" ht="15" hidden="false" customHeight="false" outlineLevel="0" collapsed="false">
      <c r="B665" s="16" t="n">
        <v>66</v>
      </c>
      <c r="C665" s="17" t="n">
        <f aca="false">DATA_INICIO_SAFRA+($B665-1)*DIAS_POR_SEMANA</f>
        <v>46720</v>
      </c>
      <c r="D665" s="17" t="n">
        <f aca="false">$C665+DIAS_POR_SEMANA-1</f>
        <v>46726</v>
      </c>
      <c r="E665" s="15" t="s">
        <v>268</v>
      </c>
      <c r="F665" s="8" t="str">
        <f aca="false">IFERROR(INDEX(CADASTRO_PIVOS!$C$6:$C$41,MATCH($E665,CADASTRO_PIVOS!$B$6:$B$41,0)),"?")</f>
        <v>RM04</v>
      </c>
      <c r="G665" s="8" t="str">
        <f aca="false">IFERROR(INDEX(CADASTRO_PIVOS!$D$6:$D$41,MATCH($E665,CADASTRO_PIVOS!$B$6:$B$41,0)),"?")</f>
        <v>TR04</v>
      </c>
      <c r="H665" s="20" t="n">
        <f aca="false">IFERROR(INDEX(CADASTRO_PIVOS!$E$6:$E$41,MATCH($E665,CADASTRO_PIVOS!$B$6:$B$41,0)),0)</f>
        <v>110</v>
      </c>
      <c r="I665" s="16" t="n">
        <f aca="false">IFERROR(SUMIFS(ROTACAO_RDM!$B$6:$B$71,ROTACAO_RDM!$D$6:$D$71,$E665,ROTACAO_RDM!$I$6:$I$71,"&lt;="&amp;$C665+INT(DIAS_POR_SEMANA/2),ROTACAO_RDM!$J$6:$J$71,"&gt;="&amp;$C665+INT(DIAS_POR_SEMANA/2)),0)</f>
        <v>0</v>
      </c>
      <c r="J665" s="16" t="n">
        <f aca="false">IFERROR(MATCH($I665,ROTACAO_RDM!$B$6:$B$71,0),0)</f>
        <v>0</v>
      </c>
      <c r="K665" s="8" t="str">
        <f aca="false">IF($J665=0,"SEM CULTURA",INDEX(ROTACAO_RDM!$F$6:$F$71,$J665))</f>
        <v>SEM CULTURA</v>
      </c>
      <c r="L665" s="8" t="str">
        <f aca="false">IF($J665=0,"",INDEX(ROTACAO_RDM!$G$6:$G$71,$J665))</f>
        <v/>
      </c>
      <c r="M665" s="17" t="str">
        <f aca="false">IF($J665=0,"",INDEX(ROTACAO_RDM!$I$6:$I$71,$J665))</f>
        <v/>
      </c>
      <c r="N665" s="16" t="n">
        <f aca="false">IF($J665=0,0,MAX(0,$C665+INT(DIAS_POR_SEMANA/2)-INDEX(ROTACAO_RDM!$I$6:$I$71,$J665)))</f>
        <v>0</v>
      </c>
      <c r="O665" s="19" t="n">
        <f aca="false">IF($J665=0,0,MIN(1,$N665/MAX(1,INDEX(ROTACAO_RDM!$K$6:$K$71,$J665))))</f>
        <v>0</v>
      </c>
      <c r="P665" s="16" t="n">
        <f aca="false">IF($J665=0,0,IFERROR(MATCH(INDEX(ROTACAO_RDM!$N$6:$N$71,$J665),PARAMETROS_CULTURAS!$B$6:$B$28,0),0))</f>
        <v>0</v>
      </c>
      <c r="Q665" s="8" t="str">
        <f aca="false">IF($P665=0,"-",IF($O665&lt;=INDEX(PARAMETROS_CULTURAS!$F$6:$F$28,$P665),"INICIAL",IF($O665&lt;=INDEX(PARAMETROS_CULTURAS!$F$6:$F$28,$P665)+INDEX(PARAMETROS_CULTURAS!$G$6:$G$28,$P665),"DESENVOLVIMENTO",IF($O665&lt;=INDEX(PARAMETROS_CULTURAS!$F$6:$F$28,$P665)+INDEX(PARAMETROS_CULTURAS!$G$6:$G$28,$P665)+INDEX(PARAMETROS_CULTURAS!$H$6:$H$28,$P665),"MEDIA","FINAL"))))</f>
        <v>-</v>
      </c>
      <c r="R665" s="24" t="n">
        <f aca="false">IF($P665=0,0,IF($O665&lt;=INDEX(PARAMETROS_CULTURAS!$F$6:$F$28,$P665),INDEX(PARAMETROS_CULTURAS!$K$6:$K$28,$P665),IF($O665&lt;=INDEX(PARAMETROS_CULTURAS!$F$6:$F$28,$P665)+INDEX(PARAMETROS_CULTURAS!$G$6:$G$28,$P665),INDEX(PARAMETROS_CULTURAS!$K$6:$K$28,$P665)+(INDEX(PARAMETROS_CULTURAS!$L$6:$L$28,$P665)-INDEX(PARAMETROS_CULTURAS!$K$6:$K$28,$P665))*($O665-INDEX(PARAMETROS_CULTURAS!$F$6:$F$28,$P665))/MAX(INDEX(PARAMETROS_CULTURAS!$G$6:$G$28,$P665),0.0001),IF($O665&lt;=INDEX(PARAMETROS_CULTURAS!$F$6:$F$28,$P665)+INDEX(PARAMETROS_CULTURAS!$G$6:$G$28,$P665)+INDEX(PARAMETROS_CULTURAS!$H$6:$H$28,$P665),INDEX(PARAMETROS_CULTURAS!$L$6:$L$28,$P665),INDEX(PARAMETROS_CULTURAS!$L$6:$L$28,$P665)+(INDEX(PARAMETROS_CULTURAS!$M$6:$M$28,$P665)-INDEX(PARAMETROS_CULTURAS!$L$6:$L$28,$P665))*($O665-INDEX(PARAMETROS_CULTURAS!$F$6:$F$28,$P665)-INDEX(PARAMETROS_CULTURAS!$G$6:$G$28,$P665)-INDEX(PARAMETROS_CULTURAS!$H$6:$H$28,$P665))/MAX(INDEX(PARAMETROS_CULTURAS!$I$6:$I$28,$P665),0.0001)))))</f>
        <v>0</v>
      </c>
      <c r="S665" s="18" t="n">
        <f aca="false">IFERROR(INDEX(SEMANAS!$H$6:$H$71,MATCH($B665,SEMANAS!$B$6:$B$71,0)),0)</f>
        <v>33.3</v>
      </c>
      <c r="T665" s="18" t="n">
        <f aca="false">$R665*$S665</f>
        <v>0</v>
      </c>
      <c r="U665" s="18" t="n">
        <f aca="false">IFERROR(INDEX(SEMANAS!$I$6:$I$71,MATCH($B665,SEMANAS!$B$6:$B$71,0)),0)</f>
        <v>48.04</v>
      </c>
      <c r="V665" s="18" t="n">
        <f aca="false">IFERROR(INDEX(SEMANAS!$J$6:$J$71,MATCH($B665,SEMANAS!$B$6:$B$71,0)),0)</f>
        <v>38.432</v>
      </c>
      <c r="W665" s="18" t="n">
        <f aca="false">MAX(0,$T665-$V665)</f>
        <v>0</v>
      </c>
      <c r="X665" s="19" t="n">
        <f aca="false">IFERROR(INDEX(CADASTRO_PIVOS!$K$6:$K$41,MATCH($E665,CADASTRO_PIVOS!$B$6:$B$41,0)),EFICIENCIA_PADRAO)</f>
        <v>0.85</v>
      </c>
      <c r="Y665" s="18" t="n">
        <f aca="false">IF($X665&lt;=0,0,$W665/$X665)</f>
        <v>0</v>
      </c>
      <c r="Z665" s="16" t="n">
        <f aca="false">$Y665*$H665*MM_PARA_M3_HA</f>
        <v>0</v>
      </c>
      <c r="AA665" s="18" t="n">
        <f aca="false">IFERROR(INDEX(CADASTRO_PIVOS!$I$6:$I$41,MATCH($E665,CADASTRO_PIVOS!$B$6:$B$41,0)),0)</f>
        <v>785.714285714286</v>
      </c>
      <c r="AB665" s="18" t="n">
        <f aca="false">IF($Z665&lt;=0,0,$Z665/$AA665)</f>
        <v>0</v>
      </c>
      <c r="AC665" s="16" t="n">
        <f aca="false">IFERROR(INDEX(SEMANAS!$K$6:$K$71,MATCH($B665,SEMANAS!$B$6:$B$71,0)),0)</f>
        <v>147</v>
      </c>
      <c r="AD665" s="19" t="n">
        <f aca="false">IF($AC665&lt;=0,0,$AB665/$AC665)</f>
        <v>0</v>
      </c>
      <c r="AE665" s="8" t="str">
        <f aca="false">IF($K665="SEM CULTURA","SEM CULTURA",IF($AA665&lt;=0,"DADO PENDENTE",IF($AD665&gt;LIMITE_CRITICO,"INVIAVEL",IF($AD665&gt;LIMITE_ATENCAO,"CRITICO",IF($AD665&gt;LIMITE_CONFORTAVEL,"ATENCAO","OK")))))</f>
        <v>SEM CULTURA</v>
      </c>
      <c r="AF665" s="8" t="str">
        <f aca="false">$B665&amp;"|"&amp;TEXT($AD665,"0.000000")</f>
        <v>66|0.000000</v>
      </c>
      <c r="AG665" s="18" t="n">
        <f aca="false">IF($K665="SEM CULTURA",0,$T665*$H665)</f>
        <v>0</v>
      </c>
      <c r="AH665" s="18" t="n">
        <f aca="false">IF($K665="SEM CULTURA",0,$V665*$H665)</f>
        <v>0</v>
      </c>
      <c r="AI665" s="18" t="n">
        <f aca="false">IF($K665="SEM CULTURA",0,$W665*$H665)</f>
        <v>0</v>
      </c>
      <c r="AJ665" s="18" t="n">
        <f aca="false">IF($K665="SEM CULTURA",0,$S665*$H665)</f>
        <v>0</v>
      </c>
      <c r="AK665" s="8" t="str">
        <f aca="false">$E665&amp;"|"&amp;TEXT($AD665,"0.000000")</f>
        <v>PV 110|0.000000</v>
      </c>
    </row>
    <row r="666" customFormat="false" ht="15" hidden="false" customHeight="false" outlineLevel="0" collapsed="false">
      <c r="B666" s="16" t="n">
        <v>1</v>
      </c>
      <c r="C666" s="17" t="n">
        <f aca="false">DATA_INICIO_SAFRA+($B666-1)*DIAS_POR_SEMANA</f>
        <v>46265</v>
      </c>
      <c r="D666" s="17" t="n">
        <f aca="false">$C666+DIAS_POR_SEMANA-1</f>
        <v>46271</v>
      </c>
      <c r="E666" s="15" t="s">
        <v>269</v>
      </c>
      <c r="F666" s="8" t="str">
        <f aca="false">IFERROR(INDEX(CADASTRO_PIVOS!$C$6:$C$41,MATCH($E666,CADASTRO_PIVOS!$B$6:$B$41,0)),"?")</f>
        <v>RM05</v>
      </c>
      <c r="G666" s="8" t="str">
        <f aca="false">IFERROR(INDEX(CADASTRO_PIVOS!$D$6:$D$41,MATCH($E666,CADASTRO_PIVOS!$B$6:$B$41,0)),"?")</f>
        <v>TR05</v>
      </c>
      <c r="H666" s="20" t="n">
        <f aca="false">IFERROR(INDEX(CADASTRO_PIVOS!$E$6:$E$41,MATCH($E666,CADASTRO_PIVOS!$B$6:$B$41,0)),0)</f>
        <v>149.98</v>
      </c>
      <c r="I666" s="16" t="n">
        <f aca="false">IFERROR(SUMIFS(ROTACAO_RDM!$B$6:$B$71,ROTACAO_RDM!$D$6:$D$71,$E666,ROTACAO_RDM!$I$6:$I$71,"&lt;="&amp;$C666+INT(DIAS_POR_SEMANA/2),ROTACAO_RDM!$J$6:$J$71,"&gt;="&amp;$C666+INT(DIAS_POR_SEMANA/2)),0)</f>
        <v>0</v>
      </c>
      <c r="J666" s="16" t="n">
        <f aca="false">IFERROR(MATCH($I666,ROTACAO_RDM!$B$6:$B$71,0),0)</f>
        <v>0</v>
      </c>
      <c r="K666" s="8" t="str">
        <f aca="false">IF($J666=0,"SEM CULTURA",INDEX(ROTACAO_RDM!$F$6:$F$71,$J666))</f>
        <v>SEM CULTURA</v>
      </c>
      <c r="L666" s="8" t="str">
        <f aca="false">IF($J666=0,"",INDEX(ROTACAO_RDM!$G$6:$G$71,$J666))</f>
        <v/>
      </c>
      <c r="M666" s="17" t="str">
        <f aca="false">IF($J666=0,"",INDEX(ROTACAO_RDM!$I$6:$I$71,$J666))</f>
        <v/>
      </c>
      <c r="N666" s="16" t="n">
        <f aca="false">IF($J666=0,0,MAX(0,$C666+INT(DIAS_POR_SEMANA/2)-INDEX(ROTACAO_RDM!$I$6:$I$71,$J666)))</f>
        <v>0</v>
      </c>
      <c r="O666" s="19" t="n">
        <f aca="false">IF($J666=0,0,MIN(1,$N666/MAX(1,INDEX(ROTACAO_RDM!$K$6:$K$71,$J666))))</f>
        <v>0</v>
      </c>
      <c r="P666" s="16" t="n">
        <f aca="false">IF($J666=0,0,IFERROR(MATCH(INDEX(ROTACAO_RDM!$N$6:$N$71,$J666),PARAMETROS_CULTURAS!$B$6:$B$28,0),0))</f>
        <v>0</v>
      </c>
      <c r="Q666" s="8" t="str">
        <f aca="false">IF($P666=0,"-",IF($O666&lt;=INDEX(PARAMETROS_CULTURAS!$F$6:$F$28,$P666),"INICIAL",IF($O666&lt;=INDEX(PARAMETROS_CULTURAS!$F$6:$F$28,$P666)+INDEX(PARAMETROS_CULTURAS!$G$6:$G$28,$P666),"DESENVOLVIMENTO",IF($O666&lt;=INDEX(PARAMETROS_CULTURAS!$F$6:$F$28,$P666)+INDEX(PARAMETROS_CULTURAS!$G$6:$G$28,$P666)+INDEX(PARAMETROS_CULTURAS!$H$6:$H$28,$P666),"MEDIA","FINAL"))))</f>
        <v>-</v>
      </c>
      <c r="R666" s="24" t="n">
        <f aca="false">IF($P666=0,0,IF($O666&lt;=INDEX(PARAMETROS_CULTURAS!$F$6:$F$28,$P666),INDEX(PARAMETROS_CULTURAS!$K$6:$K$28,$P666),IF($O666&lt;=INDEX(PARAMETROS_CULTURAS!$F$6:$F$28,$P666)+INDEX(PARAMETROS_CULTURAS!$G$6:$G$28,$P666),INDEX(PARAMETROS_CULTURAS!$K$6:$K$28,$P666)+(INDEX(PARAMETROS_CULTURAS!$L$6:$L$28,$P666)-INDEX(PARAMETROS_CULTURAS!$K$6:$K$28,$P666))*($O666-INDEX(PARAMETROS_CULTURAS!$F$6:$F$28,$P666))/MAX(INDEX(PARAMETROS_CULTURAS!$G$6:$G$28,$P666),0.0001),IF($O666&lt;=INDEX(PARAMETROS_CULTURAS!$F$6:$F$28,$P666)+INDEX(PARAMETROS_CULTURAS!$G$6:$G$28,$P666)+INDEX(PARAMETROS_CULTURAS!$H$6:$H$28,$P666),INDEX(PARAMETROS_CULTURAS!$L$6:$L$28,$P666),INDEX(PARAMETROS_CULTURAS!$L$6:$L$28,$P666)+(INDEX(PARAMETROS_CULTURAS!$M$6:$M$28,$P666)-INDEX(PARAMETROS_CULTURAS!$L$6:$L$28,$P666))*($O666-INDEX(PARAMETROS_CULTURAS!$F$6:$F$28,$P666)-INDEX(PARAMETROS_CULTURAS!$G$6:$G$28,$P666)-INDEX(PARAMETROS_CULTURAS!$H$6:$H$28,$P666))/MAX(INDEX(PARAMETROS_CULTURAS!$I$6:$I$28,$P666),0.0001)))))</f>
        <v>0</v>
      </c>
      <c r="S666" s="18" t="n">
        <f aca="false">IFERROR(INDEX(SEMANAS!$H$6:$H$71,MATCH($B666,SEMANAS!$B$6:$B$71,0)),0)</f>
        <v>40</v>
      </c>
      <c r="T666" s="18" t="n">
        <f aca="false">$R666*$S666</f>
        <v>0</v>
      </c>
      <c r="U666" s="18" t="n">
        <f aca="false">IFERROR(INDEX(SEMANAS!$I$6:$I$71,MATCH($B666,SEMANAS!$B$6:$B$71,0)),0)</f>
        <v>6.16</v>
      </c>
      <c r="V666" s="18" t="n">
        <f aca="false">IFERROR(INDEX(SEMANAS!$J$6:$J$71,MATCH($B666,SEMANAS!$B$6:$B$71,0)),0)</f>
        <v>4.928</v>
      </c>
      <c r="W666" s="18" t="n">
        <f aca="false">MAX(0,$T666-$V666)</f>
        <v>0</v>
      </c>
      <c r="X666" s="19" t="n">
        <f aca="false">IFERROR(INDEX(CADASTRO_PIVOS!$K$6:$K$41,MATCH($E666,CADASTRO_PIVOS!$B$6:$B$41,0)),EFICIENCIA_PADRAO)</f>
        <v>0.85</v>
      </c>
      <c r="Y666" s="18" t="n">
        <f aca="false">IF($X666&lt;=0,0,$W666/$X666)</f>
        <v>0</v>
      </c>
      <c r="Z666" s="16" t="n">
        <f aca="false">$Y666*$H666*MM_PARA_M3_HA</f>
        <v>0</v>
      </c>
      <c r="AA666" s="18" t="n">
        <f aca="false">IFERROR(INDEX(CADASTRO_PIVOS!$I$6:$I$41,MATCH($E666,CADASTRO_PIVOS!$B$6:$B$41,0)),0)</f>
        <v>1071.28571428571</v>
      </c>
      <c r="AB666" s="18" t="n">
        <f aca="false">IF($Z666&lt;=0,0,$Z666/$AA666)</f>
        <v>0</v>
      </c>
      <c r="AC666" s="16" t="n">
        <f aca="false">IFERROR(INDEX(SEMANAS!$K$6:$K$71,MATCH($B666,SEMANAS!$B$6:$B$71,0)),0)</f>
        <v>147</v>
      </c>
      <c r="AD666" s="19" t="n">
        <f aca="false">IF($AC666&lt;=0,0,$AB666/$AC666)</f>
        <v>0</v>
      </c>
      <c r="AE666" s="8" t="str">
        <f aca="false">IF($K666="SEM CULTURA","SEM CULTURA",IF($AA666&lt;=0,"DADO PENDENTE",IF($AD666&gt;LIMITE_CRITICO,"INVIAVEL",IF($AD666&gt;LIMITE_ATENCAO,"CRITICO",IF($AD666&gt;LIMITE_CONFORTAVEL,"ATENCAO","OK")))))</f>
        <v>SEM CULTURA</v>
      </c>
      <c r="AF666" s="8" t="str">
        <f aca="false">$B666&amp;"|"&amp;TEXT($AD666,"0.000000")</f>
        <v>1|0.000000</v>
      </c>
      <c r="AG666" s="18" t="n">
        <f aca="false">IF($K666="SEM CULTURA",0,$T666*$H666)</f>
        <v>0</v>
      </c>
      <c r="AH666" s="18" t="n">
        <f aca="false">IF($K666="SEM CULTURA",0,$V666*$H666)</f>
        <v>0</v>
      </c>
      <c r="AI666" s="18" t="n">
        <f aca="false">IF($K666="SEM CULTURA",0,$W666*$H666)</f>
        <v>0</v>
      </c>
      <c r="AJ666" s="18" t="n">
        <f aca="false">IF($K666="SEM CULTURA",0,$S666*$H666)</f>
        <v>0</v>
      </c>
      <c r="AK666" s="8" t="str">
        <f aca="false">$E666&amp;"|"&amp;TEXT($AD666,"0.000000")</f>
        <v>PV 112|0.000000</v>
      </c>
    </row>
    <row r="667" customFormat="false" ht="15" hidden="false" customHeight="false" outlineLevel="0" collapsed="false">
      <c r="B667" s="16" t="n">
        <v>2</v>
      </c>
      <c r="C667" s="17" t="n">
        <f aca="false">DATA_INICIO_SAFRA+($B667-1)*DIAS_POR_SEMANA</f>
        <v>46272</v>
      </c>
      <c r="D667" s="17" t="n">
        <f aca="false">$C667+DIAS_POR_SEMANA-1</f>
        <v>46278</v>
      </c>
      <c r="E667" s="15" t="s">
        <v>269</v>
      </c>
      <c r="F667" s="8" t="str">
        <f aca="false">IFERROR(INDEX(CADASTRO_PIVOS!$C$6:$C$41,MATCH($E667,CADASTRO_PIVOS!$B$6:$B$41,0)),"?")</f>
        <v>RM05</v>
      </c>
      <c r="G667" s="8" t="str">
        <f aca="false">IFERROR(INDEX(CADASTRO_PIVOS!$D$6:$D$41,MATCH($E667,CADASTRO_PIVOS!$B$6:$B$41,0)),"?")</f>
        <v>TR05</v>
      </c>
      <c r="H667" s="20" t="n">
        <f aca="false">IFERROR(INDEX(CADASTRO_PIVOS!$E$6:$E$41,MATCH($E667,CADASTRO_PIVOS!$B$6:$B$41,0)),0)</f>
        <v>149.98</v>
      </c>
      <c r="I667" s="16" t="n">
        <f aca="false">IFERROR(SUMIFS(ROTACAO_RDM!$B$6:$B$71,ROTACAO_RDM!$D$6:$D$71,$E667,ROTACAO_RDM!$I$6:$I$71,"&lt;="&amp;$C667+INT(DIAS_POR_SEMANA/2),ROTACAO_RDM!$J$6:$J$71,"&gt;="&amp;$C667+INT(DIAS_POR_SEMANA/2)),0)</f>
        <v>0</v>
      </c>
      <c r="J667" s="16" t="n">
        <f aca="false">IFERROR(MATCH($I667,ROTACAO_RDM!$B$6:$B$71,0),0)</f>
        <v>0</v>
      </c>
      <c r="K667" s="8" t="str">
        <f aca="false">IF($J667=0,"SEM CULTURA",INDEX(ROTACAO_RDM!$F$6:$F$71,$J667))</f>
        <v>SEM CULTURA</v>
      </c>
      <c r="L667" s="8" t="str">
        <f aca="false">IF($J667=0,"",INDEX(ROTACAO_RDM!$G$6:$G$71,$J667))</f>
        <v/>
      </c>
      <c r="M667" s="17" t="str">
        <f aca="false">IF($J667=0,"",INDEX(ROTACAO_RDM!$I$6:$I$71,$J667))</f>
        <v/>
      </c>
      <c r="N667" s="16" t="n">
        <f aca="false">IF($J667=0,0,MAX(0,$C667+INT(DIAS_POR_SEMANA/2)-INDEX(ROTACAO_RDM!$I$6:$I$71,$J667)))</f>
        <v>0</v>
      </c>
      <c r="O667" s="19" t="n">
        <f aca="false">IF($J667=0,0,MIN(1,$N667/MAX(1,INDEX(ROTACAO_RDM!$K$6:$K$71,$J667))))</f>
        <v>0</v>
      </c>
      <c r="P667" s="16" t="n">
        <f aca="false">IF($J667=0,0,IFERROR(MATCH(INDEX(ROTACAO_RDM!$N$6:$N$71,$J667),PARAMETROS_CULTURAS!$B$6:$B$28,0),0))</f>
        <v>0</v>
      </c>
      <c r="Q667" s="8" t="str">
        <f aca="false">IF($P667=0,"-",IF($O667&lt;=INDEX(PARAMETROS_CULTURAS!$F$6:$F$28,$P667),"INICIAL",IF($O667&lt;=INDEX(PARAMETROS_CULTURAS!$F$6:$F$28,$P667)+INDEX(PARAMETROS_CULTURAS!$G$6:$G$28,$P667),"DESENVOLVIMENTO",IF($O667&lt;=INDEX(PARAMETROS_CULTURAS!$F$6:$F$28,$P667)+INDEX(PARAMETROS_CULTURAS!$G$6:$G$28,$P667)+INDEX(PARAMETROS_CULTURAS!$H$6:$H$28,$P667),"MEDIA","FINAL"))))</f>
        <v>-</v>
      </c>
      <c r="R667" s="24" t="n">
        <f aca="false">IF($P667=0,0,IF($O667&lt;=INDEX(PARAMETROS_CULTURAS!$F$6:$F$28,$P667),INDEX(PARAMETROS_CULTURAS!$K$6:$K$28,$P667),IF($O667&lt;=INDEX(PARAMETROS_CULTURAS!$F$6:$F$28,$P667)+INDEX(PARAMETROS_CULTURAS!$G$6:$G$28,$P667),INDEX(PARAMETROS_CULTURAS!$K$6:$K$28,$P667)+(INDEX(PARAMETROS_CULTURAS!$L$6:$L$28,$P667)-INDEX(PARAMETROS_CULTURAS!$K$6:$K$28,$P667))*($O667-INDEX(PARAMETROS_CULTURAS!$F$6:$F$28,$P667))/MAX(INDEX(PARAMETROS_CULTURAS!$G$6:$G$28,$P667),0.0001),IF($O667&lt;=INDEX(PARAMETROS_CULTURAS!$F$6:$F$28,$P667)+INDEX(PARAMETROS_CULTURAS!$G$6:$G$28,$P667)+INDEX(PARAMETROS_CULTURAS!$H$6:$H$28,$P667),INDEX(PARAMETROS_CULTURAS!$L$6:$L$28,$P667),INDEX(PARAMETROS_CULTURAS!$L$6:$L$28,$P667)+(INDEX(PARAMETROS_CULTURAS!$M$6:$M$28,$P667)-INDEX(PARAMETROS_CULTURAS!$L$6:$L$28,$P667))*($O667-INDEX(PARAMETROS_CULTURAS!$F$6:$F$28,$P667)-INDEX(PARAMETROS_CULTURAS!$G$6:$G$28,$P667)-INDEX(PARAMETROS_CULTURAS!$H$6:$H$28,$P667))/MAX(INDEX(PARAMETROS_CULTURAS!$I$6:$I$28,$P667),0.0001)))))</f>
        <v>0</v>
      </c>
      <c r="S667" s="18" t="n">
        <f aca="false">IFERROR(INDEX(SEMANAS!$H$6:$H$71,MATCH($B667,SEMANAS!$B$6:$B$71,0)),0)</f>
        <v>40.6</v>
      </c>
      <c r="T667" s="18" t="n">
        <f aca="false">$R667*$S667</f>
        <v>0</v>
      </c>
      <c r="U667" s="18" t="n">
        <f aca="false">IFERROR(INDEX(SEMANAS!$I$6:$I$71,MATCH($B667,SEMANAS!$B$6:$B$71,0)),0)</f>
        <v>7</v>
      </c>
      <c r="V667" s="18" t="n">
        <f aca="false">IFERROR(INDEX(SEMANAS!$J$6:$J$71,MATCH($B667,SEMANAS!$B$6:$B$71,0)),0)</f>
        <v>5.6</v>
      </c>
      <c r="W667" s="18" t="n">
        <f aca="false">MAX(0,$T667-$V667)</f>
        <v>0</v>
      </c>
      <c r="X667" s="19" t="n">
        <f aca="false">IFERROR(INDEX(CADASTRO_PIVOS!$K$6:$K$41,MATCH($E667,CADASTRO_PIVOS!$B$6:$B$41,0)),EFICIENCIA_PADRAO)</f>
        <v>0.85</v>
      </c>
      <c r="Y667" s="18" t="n">
        <f aca="false">IF($X667&lt;=0,0,$W667/$X667)</f>
        <v>0</v>
      </c>
      <c r="Z667" s="16" t="n">
        <f aca="false">$Y667*$H667*MM_PARA_M3_HA</f>
        <v>0</v>
      </c>
      <c r="AA667" s="18" t="n">
        <f aca="false">IFERROR(INDEX(CADASTRO_PIVOS!$I$6:$I$41,MATCH($E667,CADASTRO_PIVOS!$B$6:$B$41,0)),0)</f>
        <v>1071.28571428571</v>
      </c>
      <c r="AB667" s="18" t="n">
        <f aca="false">IF($Z667&lt;=0,0,$Z667/$AA667)</f>
        <v>0</v>
      </c>
      <c r="AC667" s="16" t="n">
        <f aca="false">IFERROR(INDEX(SEMANAS!$K$6:$K$71,MATCH($B667,SEMANAS!$B$6:$B$71,0)),0)</f>
        <v>147</v>
      </c>
      <c r="AD667" s="19" t="n">
        <f aca="false">IF($AC667&lt;=0,0,$AB667/$AC667)</f>
        <v>0</v>
      </c>
      <c r="AE667" s="8" t="str">
        <f aca="false">IF($K667="SEM CULTURA","SEM CULTURA",IF($AA667&lt;=0,"DADO PENDENTE",IF($AD667&gt;LIMITE_CRITICO,"INVIAVEL",IF($AD667&gt;LIMITE_ATENCAO,"CRITICO",IF($AD667&gt;LIMITE_CONFORTAVEL,"ATENCAO","OK")))))</f>
        <v>SEM CULTURA</v>
      </c>
      <c r="AF667" s="8" t="str">
        <f aca="false">$B667&amp;"|"&amp;TEXT($AD667,"0.000000")</f>
        <v>2|0.000000</v>
      </c>
      <c r="AG667" s="18" t="n">
        <f aca="false">IF($K667="SEM CULTURA",0,$T667*$H667)</f>
        <v>0</v>
      </c>
      <c r="AH667" s="18" t="n">
        <f aca="false">IF($K667="SEM CULTURA",0,$V667*$H667)</f>
        <v>0</v>
      </c>
      <c r="AI667" s="18" t="n">
        <f aca="false">IF($K667="SEM CULTURA",0,$W667*$H667)</f>
        <v>0</v>
      </c>
      <c r="AJ667" s="18" t="n">
        <f aca="false">IF($K667="SEM CULTURA",0,$S667*$H667)</f>
        <v>0</v>
      </c>
      <c r="AK667" s="8" t="str">
        <f aca="false">$E667&amp;"|"&amp;TEXT($AD667,"0.000000")</f>
        <v>PV 112|0.000000</v>
      </c>
    </row>
    <row r="668" customFormat="false" ht="15" hidden="false" customHeight="false" outlineLevel="0" collapsed="false">
      <c r="B668" s="16" t="n">
        <v>3</v>
      </c>
      <c r="C668" s="17" t="n">
        <f aca="false">DATA_INICIO_SAFRA+($B668-1)*DIAS_POR_SEMANA</f>
        <v>46279</v>
      </c>
      <c r="D668" s="17" t="n">
        <f aca="false">$C668+DIAS_POR_SEMANA-1</f>
        <v>46285</v>
      </c>
      <c r="E668" s="15" t="s">
        <v>269</v>
      </c>
      <c r="F668" s="8" t="str">
        <f aca="false">IFERROR(INDEX(CADASTRO_PIVOS!$C$6:$C$41,MATCH($E668,CADASTRO_PIVOS!$B$6:$B$41,0)),"?")</f>
        <v>RM05</v>
      </c>
      <c r="G668" s="8" t="str">
        <f aca="false">IFERROR(INDEX(CADASTRO_PIVOS!$D$6:$D$41,MATCH($E668,CADASTRO_PIVOS!$B$6:$B$41,0)),"?")</f>
        <v>TR05</v>
      </c>
      <c r="H668" s="20" t="n">
        <f aca="false">IFERROR(INDEX(CADASTRO_PIVOS!$E$6:$E$41,MATCH($E668,CADASTRO_PIVOS!$B$6:$B$41,0)),0)</f>
        <v>149.98</v>
      </c>
      <c r="I668" s="16" t="n">
        <f aca="false">IFERROR(SUMIFS(ROTACAO_RDM!$B$6:$B$71,ROTACAO_RDM!$D$6:$D$71,$E668,ROTACAO_RDM!$I$6:$I$71,"&lt;="&amp;$C668+INT(DIAS_POR_SEMANA/2),ROTACAO_RDM!$J$6:$J$71,"&gt;="&amp;$C668+INT(DIAS_POR_SEMANA/2)),0)</f>
        <v>0</v>
      </c>
      <c r="J668" s="16" t="n">
        <f aca="false">IFERROR(MATCH($I668,ROTACAO_RDM!$B$6:$B$71,0),0)</f>
        <v>0</v>
      </c>
      <c r="K668" s="8" t="str">
        <f aca="false">IF($J668=0,"SEM CULTURA",INDEX(ROTACAO_RDM!$F$6:$F$71,$J668))</f>
        <v>SEM CULTURA</v>
      </c>
      <c r="L668" s="8" t="str">
        <f aca="false">IF($J668=0,"",INDEX(ROTACAO_RDM!$G$6:$G$71,$J668))</f>
        <v/>
      </c>
      <c r="M668" s="17" t="str">
        <f aca="false">IF($J668=0,"",INDEX(ROTACAO_RDM!$I$6:$I$71,$J668))</f>
        <v/>
      </c>
      <c r="N668" s="16" t="n">
        <f aca="false">IF($J668=0,0,MAX(0,$C668+INT(DIAS_POR_SEMANA/2)-INDEX(ROTACAO_RDM!$I$6:$I$71,$J668)))</f>
        <v>0</v>
      </c>
      <c r="O668" s="19" t="n">
        <f aca="false">IF($J668=0,0,MIN(1,$N668/MAX(1,INDEX(ROTACAO_RDM!$K$6:$K$71,$J668))))</f>
        <v>0</v>
      </c>
      <c r="P668" s="16" t="n">
        <f aca="false">IF($J668=0,0,IFERROR(MATCH(INDEX(ROTACAO_RDM!$N$6:$N$71,$J668),PARAMETROS_CULTURAS!$B$6:$B$28,0),0))</f>
        <v>0</v>
      </c>
      <c r="Q668" s="8" t="str">
        <f aca="false">IF($P668=0,"-",IF($O668&lt;=INDEX(PARAMETROS_CULTURAS!$F$6:$F$28,$P668),"INICIAL",IF($O668&lt;=INDEX(PARAMETROS_CULTURAS!$F$6:$F$28,$P668)+INDEX(PARAMETROS_CULTURAS!$G$6:$G$28,$P668),"DESENVOLVIMENTO",IF($O668&lt;=INDEX(PARAMETROS_CULTURAS!$F$6:$F$28,$P668)+INDEX(PARAMETROS_CULTURAS!$G$6:$G$28,$P668)+INDEX(PARAMETROS_CULTURAS!$H$6:$H$28,$P668),"MEDIA","FINAL"))))</f>
        <v>-</v>
      </c>
      <c r="R668" s="24" t="n">
        <f aca="false">IF($P668=0,0,IF($O668&lt;=INDEX(PARAMETROS_CULTURAS!$F$6:$F$28,$P668),INDEX(PARAMETROS_CULTURAS!$K$6:$K$28,$P668),IF($O668&lt;=INDEX(PARAMETROS_CULTURAS!$F$6:$F$28,$P668)+INDEX(PARAMETROS_CULTURAS!$G$6:$G$28,$P668),INDEX(PARAMETROS_CULTURAS!$K$6:$K$28,$P668)+(INDEX(PARAMETROS_CULTURAS!$L$6:$L$28,$P668)-INDEX(PARAMETROS_CULTURAS!$K$6:$K$28,$P668))*($O668-INDEX(PARAMETROS_CULTURAS!$F$6:$F$28,$P668))/MAX(INDEX(PARAMETROS_CULTURAS!$G$6:$G$28,$P668),0.0001),IF($O668&lt;=INDEX(PARAMETROS_CULTURAS!$F$6:$F$28,$P668)+INDEX(PARAMETROS_CULTURAS!$G$6:$G$28,$P668)+INDEX(PARAMETROS_CULTURAS!$H$6:$H$28,$P668),INDEX(PARAMETROS_CULTURAS!$L$6:$L$28,$P668),INDEX(PARAMETROS_CULTURAS!$L$6:$L$28,$P668)+(INDEX(PARAMETROS_CULTURAS!$M$6:$M$28,$P668)-INDEX(PARAMETROS_CULTURAS!$L$6:$L$28,$P668))*($O668-INDEX(PARAMETROS_CULTURAS!$F$6:$F$28,$P668)-INDEX(PARAMETROS_CULTURAS!$G$6:$G$28,$P668)-INDEX(PARAMETROS_CULTURAS!$H$6:$H$28,$P668))/MAX(INDEX(PARAMETROS_CULTURAS!$I$6:$I$28,$P668),0.0001)))))</f>
        <v>0</v>
      </c>
      <c r="S668" s="18" t="n">
        <f aca="false">IFERROR(INDEX(SEMANAS!$H$6:$H$71,MATCH($B668,SEMANAS!$B$6:$B$71,0)),0)</f>
        <v>40.6</v>
      </c>
      <c r="T668" s="18" t="n">
        <f aca="false">$R668*$S668</f>
        <v>0</v>
      </c>
      <c r="U668" s="18" t="n">
        <f aca="false">IFERROR(INDEX(SEMANAS!$I$6:$I$71,MATCH($B668,SEMANAS!$B$6:$B$71,0)),0)</f>
        <v>7</v>
      </c>
      <c r="V668" s="18" t="n">
        <f aca="false">IFERROR(INDEX(SEMANAS!$J$6:$J$71,MATCH($B668,SEMANAS!$B$6:$B$71,0)),0)</f>
        <v>5.6</v>
      </c>
      <c r="W668" s="18" t="n">
        <f aca="false">MAX(0,$T668-$V668)</f>
        <v>0</v>
      </c>
      <c r="X668" s="19" t="n">
        <f aca="false">IFERROR(INDEX(CADASTRO_PIVOS!$K$6:$K$41,MATCH($E668,CADASTRO_PIVOS!$B$6:$B$41,0)),EFICIENCIA_PADRAO)</f>
        <v>0.85</v>
      </c>
      <c r="Y668" s="18" t="n">
        <f aca="false">IF($X668&lt;=0,0,$W668/$X668)</f>
        <v>0</v>
      </c>
      <c r="Z668" s="16" t="n">
        <f aca="false">$Y668*$H668*MM_PARA_M3_HA</f>
        <v>0</v>
      </c>
      <c r="AA668" s="18" t="n">
        <f aca="false">IFERROR(INDEX(CADASTRO_PIVOS!$I$6:$I$41,MATCH($E668,CADASTRO_PIVOS!$B$6:$B$41,0)),0)</f>
        <v>1071.28571428571</v>
      </c>
      <c r="AB668" s="18" t="n">
        <f aca="false">IF($Z668&lt;=0,0,$Z668/$AA668)</f>
        <v>0</v>
      </c>
      <c r="AC668" s="16" t="n">
        <f aca="false">IFERROR(INDEX(SEMANAS!$K$6:$K$71,MATCH($B668,SEMANAS!$B$6:$B$71,0)),0)</f>
        <v>147</v>
      </c>
      <c r="AD668" s="19" t="n">
        <f aca="false">IF($AC668&lt;=0,0,$AB668/$AC668)</f>
        <v>0</v>
      </c>
      <c r="AE668" s="8" t="str">
        <f aca="false">IF($K668="SEM CULTURA","SEM CULTURA",IF($AA668&lt;=0,"DADO PENDENTE",IF($AD668&gt;LIMITE_CRITICO,"INVIAVEL",IF($AD668&gt;LIMITE_ATENCAO,"CRITICO",IF($AD668&gt;LIMITE_CONFORTAVEL,"ATENCAO","OK")))))</f>
        <v>SEM CULTURA</v>
      </c>
      <c r="AF668" s="8" t="str">
        <f aca="false">$B668&amp;"|"&amp;TEXT($AD668,"0.000000")</f>
        <v>3|0.000000</v>
      </c>
      <c r="AG668" s="18" t="n">
        <f aca="false">IF($K668="SEM CULTURA",0,$T668*$H668)</f>
        <v>0</v>
      </c>
      <c r="AH668" s="18" t="n">
        <f aca="false">IF($K668="SEM CULTURA",0,$V668*$H668)</f>
        <v>0</v>
      </c>
      <c r="AI668" s="18" t="n">
        <f aca="false">IF($K668="SEM CULTURA",0,$W668*$H668)</f>
        <v>0</v>
      </c>
      <c r="AJ668" s="18" t="n">
        <f aca="false">IF($K668="SEM CULTURA",0,$S668*$H668)</f>
        <v>0</v>
      </c>
      <c r="AK668" s="8" t="str">
        <f aca="false">$E668&amp;"|"&amp;TEXT($AD668,"0.000000")</f>
        <v>PV 112|0.000000</v>
      </c>
    </row>
    <row r="669" customFormat="false" ht="15" hidden="false" customHeight="false" outlineLevel="0" collapsed="false">
      <c r="B669" s="16" t="n">
        <v>4</v>
      </c>
      <c r="C669" s="17" t="n">
        <f aca="false">DATA_INICIO_SAFRA+($B669-1)*DIAS_POR_SEMANA</f>
        <v>46286</v>
      </c>
      <c r="D669" s="17" t="n">
        <f aca="false">$C669+DIAS_POR_SEMANA-1</f>
        <v>46292</v>
      </c>
      <c r="E669" s="15" t="s">
        <v>269</v>
      </c>
      <c r="F669" s="8" t="str">
        <f aca="false">IFERROR(INDEX(CADASTRO_PIVOS!$C$6:$C$41,MATCH($E669,CADASTRO_PIVOS!$B$6:$B$41,0)),"?")</f>
        <v>RM05</v>
      </c>
      <c r="G669" s="8" t="str">
        <f aca="false">IFERROR(INDEX(CADASTRO_PIVOS!$D$6:$D$41,MATCH($E669,CADASTRO_PIVOS!$B$6:$B$41,0)),"?")</f>
        <v>TR05</v>
      </c>
      <c r="H669" s="20" t="n">
        <f aca="false">IFERROR(INDEX(CADASTRO_PIVOS!$E$6:$E$41,MATCH($E669,CADASTRO_PIVOS!$B$6:$B$41,0)),0)</f>
        <v>149.98</v>
      </c>
      <c r="I669" s="16" t="n">
        <f aca="false">IFERROR(SUMIFS(ROTACAO_RDM!$B$6:$B$71,ROTACAO_RDM!$D$6:$D$71,$E669,ROTACAO_RDM!$I$6:$I$71,"&lt;="&amp;$C669+INT(DIAS_POR_SEMANA/2),ROTACAO_RDM!$J$6:$J$71,"&gt;="&amp;$C669+INT(DIAS_POR_SEMANA/2)),0)</f>
        <v>0</v>
      </c>
      <c r="J669" s="16" t="n">
        <f aca="false">IFERROR(MATCH($I669,ROTACAO_RDM!$B$6:$B$71,0),0)</f>
        <v>0</v>
      </c>
      <c r="K669" s="8" t="str">
        <f aca="false">IF($J669=0,"SEM CULTURA",INDEX(ROTACAO_RDM!$F$6:$F$71,$J669))</f>
        <v>SEM CULTURA</v>
      </c>
      <c r="L669" s="8" t="str">
        <f aca="false">IF($J669=0,"",INDEX(ROTACAO_RDM!$G$6:$G$71,$J669))</f>
        <v/>
      </c>
      <c r="M669" s="17" t="str">
        <f aca="false">IF($J669=0,"",INDEX(ROTACAO_RDM!$I$6:$I$71,$J669))</f>
        <v/>
      </c>
      <c r="N669" s="16" t="n">
        <f aca="false">IF($J669=0,0,MAX(0,$C669+INT(DIAS_POR_SEMANA/2)-INDEX(ROTACAO_RDM!$I$6:$I$71,$J669)))</f>
        <v>0</v>
      </c>
      <c r="O669" s="19" t="n">
        <f aca="false">IF($J669=0,0,MIN(1,$N669/MAX(1,INDEX(ROTACAO_RDM!$K$6:$K$71,$J669))))</f>
        <v>0</v>
      </c>
      <c r="P669" s="16" t="n">
        <f aca="false">IF($J669=0,0,IFERROR(MATCH(INDEX(ROTACAO_RDM!$N$6:$N$71,$J669),PARAMETROS_CULTURAS!$B$6:$B$28,0),0))</f>
        <v>0</v>
      </c>
      <c r="Q669" s="8" t="str">
        <f aca="false">IF($P669=0,"-",IF($O669&lt;=INDEX(PARAMETROS_CULTURAS!$F$6:$F$28,$P669),"INICIAL",IF($O669&lt;=INDEX(PARAMETROS_CULTURAS!$F$6:$F$28,$P669)+INDEX(PARAMETROS_CULTURAS!$G$6:$G$28,$P669),"DESENVOLVIMENTO",IF($O669&lt;=INDEX(PARAMETROS_CULTURAS!$F$6:$F$28,$P669)+INDEX(PARAMETROS_CULTURAS!$G$6:$G$28,$P669)+INDEX(PARAMETROS_CULTURAS!$H$6:$H$28,$P669),"MEDIA","FINAL"))))</f>
        <v>-</v>
      </c>
      <c r="R669" s="24" t="n">
        <f aca="false">IF($P669=0,0,IF($O669&lt;=INDEX(PARAMETROS_CULTURAS!$F$6:$F$28,$P669),INDEX(PARAMETROS_CULTURAS!$K$6:$K$28,$P669),IF($O669&lt;=INDEX(PARAMETROS_CULTURAS!$F$6:$F$28,$P669)+INDEX(PARAMETROS_CULTURAS!$G$6:$G$28,$P669),INDEX(PARAMETROS_CULTURAS!$K$6:$K$28,$P669)+(INDEX(PARAMETROS_CULTURAS!$L$6:$L$28,$P669)-INDEX(PARAMETROS_CULTURAS!$K$6:$K$28,$P669))*($O669-INDEX(PARAMETROS_CULTURAS!$F$6:$F$28,$P669))/MAX(INDEX(PARAMETROS_CULTURAS!$G$6:$G$28,$P669),0.0001),IF($O669&lt;=INDEX(PARAMETROS_CULTURAS!$F$6:$F$28,$P669)+INDEX(PARAMETROS_CULTURAS!$G$6:$G$28,$P669)+INDEX(PARAMETROS_CULTURAS!$H$6:$H$28,$P669),INDEX(PARAMETROS_CULTURAS!$L$6:$L$28,$P669),INDEX(PARAMETROS_CULTURAS!$L$6:$L$28,$P669)+(INDEX(PARAMETROS_CULTURAS!$M$6:$M$28,$P669)-INDEX(PARAMETROS_CULTURAS!$L$6:$L$28,$P669))*($O669-INDEX(PARAMETROS_CULTURAS!$F$6:$F$28,$P669)-INDEX(PARAMETROS_CULTURAS!$G$6:$G$28,$P669)-INDEX(PARAMETROS_CULTURAS!$H$6:$H$28,$P669))/MAX(INDEX(PARAMETROS_CULTURAS!$I$6:$I$28,$P669),0.0001)))))</f>
        <v>0</v>
      </c>
      <c r="S669" s="18" t="n">
        <f aca="false">IFERROR(INDEX(SEMANAS!$H$6:$H$71,MATCH($B669,SEMANAS!$B$6:$B$71,0)),0)</f>
        <v>40.6</v>
      </c>
      <c r="T669" s="18" t="n">
        <f aca="false">$R669*$S669</f>
        <v>0</v>
      </c>
      <c r="U669" s="18" t="n">
        <f aca="false">IFERROR(INDEX(SEMANAS!$I$6:$I$71,MATCH($B669,SEMANAS!$B$6:$B$71,0)),0)</f>
        <v>7</v>
      </c>
      <c r="V669" s="18" t="n">
        <f aca="false">IFERROR(INDEX(SEMANAS!$J$6:$J$71,MATCH($B669,SEMANAS!$B$6:$B$71,0)),0)</f>
        <v>5.6</v>
      </c>
      <c r="W669" s="18" t="n">
        <f aca="false">MAX(0,$T669-$V669)</f>
        <v>0</v>
      </c>
      <c r="X669" s="19" t="n">
        <f aca="false">IFERROR(INDEX(CADASTRO_PIVOS!$K$6:$K$41,MATCH($E669,CADASTRO_PIVOS!$B$6:$B$41,0)),EFICIENCIA_PADRAO)</f>
        <v>0.85</v>
      </c>
      <c r="Y669" s="18" t="n">
        <f aca="false">IF($X669&lt;=0,0,$W669/$X669)</f>
        <v>0</v>
      </c>
      <c r="Z669" s="16" t="n">
        <f aca="false">$Y669*$H669*MM_PARA_M3_HA</f>
        <v>0</v>
      </c>
      <c r="AA669" s="18" t="n">
        <f aca="false">IFERROR(INDEX(CADASTRO_PIVOS!$I$6:$I$41,MATCH($E669,CADASTRO_PIVOS!$B$6:$B$41,0)),0)</f>
        <v>1071.28571428571</v>
      </c>
      <c r="AB669" s="18" t="n">
        <f aca="false">IF($Z669&lt;=0,0,$Z669/$AA669)</f>
        <v>0</v>
      </c>
      <c r="AC669" s="16" t="n">
        <f aca="false">IFERROR(INDEX(SEMANAS!$K$6:$K$71,MATCH($B669,SEMANAS!$B$6:$B$71,0)),0)</f>
        <v>147</v>
      </c>
      <c r="AD669" s="19" t="n">
        <f aca="false">IF($AC669&lt;=0,0,$AB669/$AC669)</f>
        <v>0</v>
      </c>
      <c r="AE669" s="8" t="str">
        <f aca="false">IF($K669="SEM CULTURA","SEM CULTURA",IF($AA669&lt;=0,"DADO PENDENTE",IF($AD669&gt;LIMITE_CRITICO,"INVIAVEL",IF($AD669&gt;LIMITE_ATENCAO,"CRITICO",IF($AD669&gt;LIMITE_CONFORTAVEL,"ATENCAO","OK")))))</f>
        <v>SEM CULTURA</v>
      </c>
      <c r="AF669" s="8" t="str">
        <f aca="false">$B669&amp;"|"&amp;TEXT($AD669,"0.000000")</f>
        <v>4|0.000000</v>
      </c>
      <c r="AG669" s="18" t="n">
        <f aca="false">IF($K669="SEM CULTURA",0,$T669*$H669)</f>
        <v>0</v>
      </c>
      <c r="AH669" s="18" t="n">
        <f aca="false">IF($K669="SEM CULTURA",0,$V669*$H669)</f>
        <v>0</v>
      </c>
      <c r="AI669" s="18" t="n">
        <f aca="false">IF($K669="SEM CULTURA",0,$W669*$H669)</f>
        <v>0</v>
      </c>
      <c r="AJ669" s="18" t="n">
        <f aca="false">IF($K669="SEM CULTURA",0,$S669*$H669)</f>
        <v>0</v>
      </c>
      <c r="AK669" s="8" t="str">
        <f aca="false">$E669&amp;"|"&amp;TEXT($AD669,"0.000000")</f>
        <v>PV 112|0.000000</v>
      </c>
    </row>
    <row r="670" customFormat="false" ht="15" hidden="false" customHeight="false" outlineLevel="0" collapsed="false">
      <c r="B670" s="16" t="n">
        <v>5</v>
      </c>
      <c r="C670" s="17" t="n">
        <f aca="false">DATA_INICIO_SAFRA+($B670-1)*DIAS_POR_SEMANA</f>
        <v>46293</v>
      </c>
      <c r="D670" s="17" t="n">
        <f aca="false">$C670+DIAS_POR_SEMANA-1</f>
        <v>46299</v>
      </c>
      <c r="E670" s="15" t="s">
        <v>269</v>
      </c>
      <c r="F670" s="8" t="str">
        <f aca="false">IFERROR(INDEX(CADASTRO_PIVOS!$C$6:$C$41,MATCH($E670,CADASTRO_PIVOS!$B$6:$B$41,0)),"?")</f>
        <v>RM05</v>
      </c>
      <c r="G670" s="8" t="str">
        <f aca="false">IFERROR(INDEX(CADASTRO_PIVOS!$D$6:$D$41,MATCH($E670,CADASTRO_PIVOS!$B$6:$B$41,0)),"?")</f>
        <v>TR05</v>
      </c>
      <c r="H670" s="20" t="n">
        <f aca="false">IFERROR(INDEX(CADASTRO_PIVOS!$E$6:$E$41,MATCH($E670,CADASTRO_PIVOS!$B$6:$B$41,0)),0)</f>
        <v>149.98</v>
      </c>
      <c r="I670" s="16" t="n">
        <f aca="false">IFERROR(SUMIFS(ROTACAO_RDM!$B$6:$B$71,ROTACAO_RDM!$D$6:$D$71,$E670,ROTACAO_RDM!$I$6:$I$71,"&lt;="&amp;$C670+INT(DIAS_POR_SEMANA/2),ROTACAO_RDM!$J$6:$J$71,"&gt;="&amp;$C670+INT(DIAS_POR_SEMANA/2)),0)</f>
        <v>0</v>
      </c>
      <c r="J670" s="16" t="n">
        <f aca="false">IFERROR(MATCH($I670,ROTACAO_RDM!$B$6:$B$71,0),0)</f>
        <v>0</v>
      </c>
      <c r="K670" s="8" t="str">
        <f aca="false">IF($J670=0,"SEM CULTURA",INDEX(ROTACAO_RDM!$F$6:$F$71,$J670))</f>
        <v>SEM CULTURA</v>
      </c>
      <c r="L670" s="8" t="str">
        <f aca="false">IF($J670=0,"",INDEX(ROTACAO_RDM!$G$6:$G$71,$J670))</f>
        <v/>
      </c>
      <c r="M670" s="17" t="str">
        <f aca="false">IF($J670=0,"",INDEX(ROTACAO_RDM!$I$6:$I$71,$J670))</f>
        <v/>
      </c>
      <c r="N670" s="16" t="n">
        <f aca="false">IF($J670=0,0,MAX(0,$C670+INT(DIAS_POR_SEMANA/2)-INDEX(ROTACAO_RDM!$I$6:$I$71,$J670)))</f>
        <v>0</v>
      </c>
      <c r="O670" s="19" t="n">
        <f aca="false">IF($J670=0,0,MIN(1,$N670/MAX(1,INDEX(ROTACAO_RDM!$K$6:$K$71,$J670))))</f>
        <v>0</v>
      </c>
      <c r="P670" s="16" t="n">
        <f aca="false">IF($J670=0,0,IFERROR(MATCH(INDEX(ROTACAO_RDM!$N$6:$N$71,$J670),PARAMETROS_CULTURAS!$B$6:$B$28,0),0))</f>
        <v>0</v>
      </c>
      <c r="Q670" s="8" t="str">
        <f aca="false">IF($P670=0,"-",IF($O670&lt;=INDEX(PARAMETROS_CULTURAS!$F$6:$F$28,$P670),"INICIAL",IF($O670&lt;=INDEX(PARAMETROS_CULTURAS!$F$6:$F$28,$P670)+INDEX(PARAMETROS_CULTURAS!$G$6:$G$28,$P670),"DESENVOLVIMENTO",IF($O670&lt;=INDEX(PARAMETROS_CULTURAS!$F$6:$F$28,$P670)+INDEX(PARAMETROS_CULTURAS!$G$6:$G$28,$P670)+INDEX(PARAMETROS_CULTURAS!$H$6:$H$28,$P670),"MEDIA","FINAL"))))</f>
        <v>-</v>
      </c>
      <c r="R670" s="24" t="n">
        <f aca="false">IF($P670=0,0,IF($O670&lt;=INDEX(PARAMETROS_CULTURAS!$F$6:$F$28,$P670),INDEX(PARAMETROS_CULTURAS!$K$6:$K$28,$P670),IF($O670&lt;=INDEX(PARAMETROS_CULTURAS!$F$6:$F$28,$P670)+INDEX(PARAMETROS_CULTURAS!$G$6:$G$28,$P670),INDEX(PARAMETROS_CULTURAS!$K$6:$K$28,$P670)+(INDEX(PARAMETROS_CULTURAS!$L$6:$L$28,$P670)-INDEX(PARAMETROS_CULTURAS!$K$6:$K$28,$P670))*($O670-INDEX(PARAMETROS_CULTURAS!$F$6:$F$28,$P670))/MAX(INDEX(PARAMETROS_CULTURAS!$G$6:$G$28,$P670),0.0001),IF($O670&lt;=INDEX(PARAMETROS_CULTURAS!$F$6:$F$28,$P670)+INDEX(PARAMETROS_CULTURAS!$G$6:$G$28,$P670)+INDEX(PARAMETROS_CULTURAS!$H$6:$H$28,$P670),INDEX(PARAMETROS_CULTURAS!$L$6:$L$28,$P670),INDEX(PARAMETROS_CULTURAS!$L$6:$L$28,$P670)+(INDEX(PARAMETROS_CULTURAS!$M$6:$M$28,$P670)-INDEX(PARAMETROS_CULTURAS!$L$6:$L$28,$P670))*($O670-INDEX(PARAMETROS_CULTURAS!$F$6:$F$28,$P670)-INDEX(PARAMETROS_CULTURAS!$G$6:$G$28,$P670)-INDEX(PARAMETROS_CULTURAS!$H$6:$H$28,$P670))/MAX(INDEX(PARAMETROS_CULTURAS!$I$6:$I$28,$P670),0.0001)))))</f>
        <v>0</v>
      </c>
      <c r="S670" s="18" t="n">
        <f aca="false">IFERROR(INDEX(SEMANAS!$H$6:$H$71,MATCH($B670,SEMANAS!$B$6:$B$71,0)),0)</f>
        <v>39.8</v>
      </c>
      <c r="T670" s="18" t="n">
        <f aca="false">$R670*$S670</f>
        <v>0</v>
      </c>
      <c r="U670" s="18" t="n">
        <f aca="false">IFERROR(INDEX(SEMANAS!$I$6:$I$71,MATCH($B670,SEMANAS!$B$6:$B$71,0)),0)</f>
        <v>18.48</v>
      </c>
      <c r="V670" s="18" t="n">
        <f aca="false">IFERROR(INDEX(SEMANAS!$J$6:$J$71,MATCH($B670,SEMANAS!$B$6:$B$71,0)),0)</f>
        <v>14.784</v>
      </c>
      <c r="W670" s="18" t="n">
        <f aca="false">MAX(0,$T670-$V670)</f>
        <v>0</v>
      </c>
      <c r="X670" s="19" t="n">
        <f aca="false">IFERROR(INDEX(CADASTRO_PIVOS!$K$6:$K$41,MATCH($E670,CADASTRO_PIVOS!$B$6:$B$41,0)),EFICIENCIA_PADRAO)</f>
        <v>0.85</v>
      </c>
      <c r="Y670" s="18" t="n">
        <f aca="false">IF($X670&lt;=0,0,$W670/$X670)</f>
        <v>0</v>
      </c>
      <c r="Z670" s="16" t="n">
        <f aca="false">$Y670*$H670*MM_PARA_M3_HA</f>
        <v>0</v>
      </c>
      <c r="AA670" s="18" t="n">
        <f aca="false">IFERROR(INDEX(CADASTRO_PIVOS!$I$6:$I$41,MATCH($E670,CADASTRO_PIVOS!$B$6:$B$41,0)),0)</f>
        <v>1071.28571428571</v>
      </c>
      <c r="AB670" s="18" t="n">
        <f aca="false">IF($Z670&lt;=0,0,$Z670/$AA670)</f>
        <v>0</v>
      </c>
      <c r="AC670" s="16" t="n">
        <f aca="false">IFERROR(INDEX(SEMANAS!$K$6:$K$71,MATCH($B670,SEMANAS!$B$6:$B$71,0)),0)</f>
        <v>147</v>
      </c>
      <c r="AD670" s="19" t="n">
        <f aca="false">IF($AC670&lt;=0,0,$AB670/$AC670)</f>
        <v>0</v>
      </c>
      <c r="AE670" s="8" t="str">
        <f aca="false">IF($K670="SEM CULTURA","SEM CULTURA",IF($AA670&lt;=0,"DADO PENDENTE",IF($AD670&gt;LIMITE_CRITICO,"INVIAVEL",IF($AD670&gt;LIMITE_ATENCAO,"CRITICO",IF($AD670&gt;LIMITE_CONFORTAVEL,"ATENCAO","OK")))))</f>
        <v>SEM CULTURA</v>
      </c>
      <c r="AF670" s="8" t="str">
        <f aca="false">$B670&amp;"|"&amp;TEXT($AD670,"0.000000")</f>
        <v>5|0.000000</v>
      </c>
      <c r="AG670" s="18" t="n">
        <f aca="false">IF($K670="SEM CULTURA",0,$T670*$H670)</f>
        <v>0</v>
      </c>
      <c r="AH670" s="18" t="n">
        <f aca="false">IF($K670="SEM CULTURA",0,$V670*$H670)</f>
        <v>0</v>
      </c>
      <c r="AI670" s="18" t="n">
        <f aca="false">IF($K670="SEM CULTURA",0,$W670*$H670)</f>
        <v>0</v>
      </c>
      <c r="AJ670" s="18" t="n">
        <f aca="false">IF($K670="SEM CULTURA",0,$S670*$H670)</f>
        <v>0</v>
      </c>
      <c r="AK670" s="8" t="str">
        <f aca="false">$E670&amp;"|"&amp;TEXT($AD670,"0.000000")</f>
        <v>PV 112|0.000000</v>
      </c>
    </row>
    <row r="671" customFormat="false" ht="15" hidden="false" customHeight="false" outlineLevel="0" collapsed="false">
      <c r="B671" s="16" t="n">
        <v>6</v>
      </c>
      <c r="C671" s="17" t="n">
        <f aca="false">DATA_INICIO_SAFRA+($B671-1)*DIAS_POR_SEMANA</f>
        <v>46300</v>
      </c>
      <c r="D671" s="17" t="n">
        <f aca="false">$C671+DIAS_POR_SEMANA-1</f>
        <v>46306</v>
      </c>
      <c r="E671" s="15" t="s">
        <v>269</v>
      </c>
      <c r="F671" s="8" t="str">
        <f aca="false">IFERROR(INDEX(CADASTRO_PIVOS!$C$6:$C$41,MATCH($E671,CADASTRO_PIVOS!$B$6:$B$41,0)),"?")</f>
        <v>RM05</v>
      </c>
      <c r="G671" s="8" t="str">
        <f aca="false">IFERROR(INDEX(CADASTRO_PIVOS!$D$6:$D$41,MATCH($E671,CADASTRO_PIVOS!$B$6:$B$41,0)),"?")</f>
        <v>TR05</v>
      </c>
      <c r="H671" s="20" t="n">
        <f aca="false">IFERROR(INDEX(CADASTRO_PIVOS!$E$6:$E$41,MATCH($E671,CADASTRO_PIVOS!$B$6:$B$41,0)),0)</f>
        <v>149.98</v>
      </c>
      <c r="I671" s="16" t="n">
        <f aca="false">IFERROR(SUMIFS(ROTACAO_RDM!$B$6:$B$71,ROTACAO_RDM!$D$6:$D$71,$E671,ROTACAO_RDM!$I$6:$I$71,"&lt;="&amp;$C671+INT(DIAS_POR_SEMANA/2),ROTACAO_RDM!$J$6:$J$71,"&gt;="&amp;$C671+INT(DIAS_POR_SEMANA/2)),0)</f>
        <v>0</v>
      </c>
      <c r="J671" s="16" t="n">
        <f aca="false">IFERROR(MATCH($I671,ROTACAO_RDM!$B$6:$B$71,0),0)</f>
        <v>0</v>
      </c>
      <c r="K671" s="8" t="str">
        <f aca="false">IF($J671=0,"SEM CULTURA",INDEX(ROTACAO_RDM!$F$6:$F$71,$J671))</f>
        <v>SEM CULTURA</v>
      </c>
      <c r="L671" s="8" t="str">
        <f aca="false">IF($J671=0,"",INDEX(ROTACAO_RDM!$G$6:$G$71,$J671))</f>
        <v/>
      </c>
      <c r="M671" s="17" t="str">
        <f aca="false">IF($J671=0,"",INDEX(ROTACAO_RDM!$I$6:$I$71,$J671))</f>
        <v/>
      </c>
      <c r="N671" s="16" t="n">
        <f aca="false">IF($J671=0,0,MAX(0,$C671+INT(DIAS_POR_SEMANA/2)-INDEX(ROTACAO_RDM!$I$6:$I$71,$J671)))</f>
        <v>0</v>
      </c>
      <c r="O671" s="19" t="n">
        <f aca="false">IF($J671=0,0,MIN(1,$N671/MAX(1,INDEX(ROTACAO_RDM!$K$6:$K$71,$J671))))</f>
        <v>0</v>
      </c>
      <c r="P671" s="16" t="n">
        <f aca="false">IF($J671=0,0,IFERROR(MATCH(INDEX(ROTACAO_RDM!$N$6:$N$71,$J671),PARAMETROS_CULTURAS!$B$6:$B$28,0),0))</f>
        <v>0</v>
      </c>
      <c r="Q671" s="8" t="str">
        <f aca="false">IF($P671=0,"-",IF($O671&lt;=INDEX(PARAMETROS_CULTURAS!$F$6:$F$28,$P671),"INICIAL",IF($O671&lt;=INDEX(PARAMETROS_CULTURAS!$F$6:$F$28,$P671)+INDEX(PARAMETROS_CULTURAS!$G$6:$G$28,$P671),"DESENVOLVIMENTO",IF($O671&lt;=INDEX(PARAMETROS_CULTURAS!$F$6:$F$28,$P671)+INDEX(PARAMETROS_CULTURAS!$G$6:$G$28,$P671)+INDEX(PARAMETROS_CULTURAS!$H$6:$H$28,$P671),"MEDIA","FINAL"))))</f>
        <v>-</v>
      </c>
      <c r="R671" s="24" t="n">
        <f aca="false">IF($P671=0,0,IF($O671&lt;=INDEX(PARAMETROS_CULTURAS!$F$6:$F$28,$P671),INDEX(PARAMETROS_CULTURAS!$K$6:$K$28,$P671),IF($O671&lt;=INDEX(PARAMETROS_CULTURAS!$F$6:$F$28,$P671)+INDEX(PARAMETROS_CULTURAS!$G$6:$G$28,$P671),INDEX(PARAMETROS_CULTURAS!$K$6:$K$28,$P671)+(INDEX(PARAMETROS_CULTURAS!$L$6:$L$28,$P671)-INDEX(PARAMETROS_CULTURAS!$K$6:$K$28,$P671))*($O671-INDEX(PARAMETROS_CULTURAS!$F$6:$F$28,$P671))/MAX(INDEX(PARAMETROS_CULTURAS!$G$6:$G$28,$P671),0.0001),IF($O671&lt;=INDEX(PARAMETROS_CULTURAS!$F$6:$F$28,$P671)+INDEX(PARAMETROS_CULTURAS!$G$6:$G$28,$P671)+INDEX(PARAMETROS_CULTURAS!$H$6:$H$28,$P671),INDEX(PARAMETROS_CULTURAS!$L$6:$L$28,$P671),INDEX(PARAMETROS_CULTURAS!$L$6:$L$28,$P671)+(INDEX(PARAMETROS_CULTURAS!$M$6:$M$28,$P671)-INDEX(PARAMETROS_CULTURAS!$L$6:$L$28,$P671))*($O671-INDEX(PARAMETROS_CULTURAS!$F$6:$F$28,$P671)-INDEX(PARAMETROS_CULTURAS!$G$6:$G$28,$P671)-INDEX(PARAMETROS_CULTURAS!$H$6:$H$28,$P671))/MAX(INDEX(PARAMETROS_CULTURAS!$I$6:$I$28,$P671),0.0001)))))</f>
        <v>0</v>
      </c>
      <c r="S671" s="18" t="n">
        <f aca="false">IFERROR(INDEX(SEMANAS!$H$6:$H$71,MATCH($B671,SEMANAS!$B$6:$B$71,0)),0)</f>
        <v>39.2</v>
      </c>
      <c r="T671" s="18" t="n">
        <f aca="false">$R671*$S671</f>
        <v>0</v>
      </c>
      <c r="U671" s="18" t="n">
        <f aca="false">IFERROR(INDEX(SEMANAS!$I$6:$I$71,MATCH($B671,SEMANAS!$B$6:$B$71,0)),0)</f>
        <v>27.09</v>
      </c>
      <c r="V671" s="18" t="n">
        <f aca="false">IFERROR(INDEX(SEMANAS!$J$6:$J$71,MATCH($B671,SEMANAS!$B$6:$B$71,0)),0)</f>
        <v>21.672</v>
      </c>
      <c r="W671" s="18" t="n">
        <f aca="false">MAX(0,$T671-$V671)</f>
        <v>0</v>
      </c>
      <c r="X671" s="19" t="n">
        <f aca="false">IFERROR(INDEX(CADASTRO_PIVOS!$K$6:$K$41,MATCH($E671,CADASTRO_PIVOS!$B$6:$B$41,0)),EFICIENCIA_PADRAO)</f>
        <v>0.85</v>
      </c>
      <c r="Y671" s="18" t="n">
        <f aca="false">IF($X671&lt;=0,0,$W671/$X671)</f>
        <v>0</v>
      </c>
      <c r="Z671" s="16" t="n">
        <f aca="false">$Y671*$H671*MM_PARA_M3_HA</f>
        <v>0</v>
      </c>
      <c r="AA671" s="18" t="n">
        <f aca="false">IFERROR(INDEX(CADASTRO_PIVOS!$I$6:$I$41,MATCH($E671,CADASTRO_PIVOS!$B$6:$B$41,0)),0)</f>
        <v>1071.28571428571</v>
      </c>
      <c r="AB671" s="18" t="n">
        <f aca="false">IF($Z671&lt;=0,0,$Z671/$AA671)</f>
        <v>0</v>
      </c>
      <c r="AC671" s="16" t="n">
        <f aca="false">IFERROR(INDEX(SEMANAS!$K$6:$K$71,MATCH($B671,SEMANAS!$B$6:$B$71,0)),0)</f>
        <v>147</v>
      </c>
      <c r="AD671" s="19" t="n">
        <f aca="false">IF($AC671&lt;=0,0,$AB671/$AC671)</f>
        <v>0</v>
      </c>
      <c r="AE671" s="8" t="str">
        <f aca="false">IF($K671="SEM CULTURA","SEM CULTURA",IF($AA671&lt;=0,"DADO PENDENTE",IF($AD671&gt;LIMITE_CRITICO,"INVIAVEL",IF($AD671&gt;LIMITE_ATENCAO,"CRITICO",IF($AD671&gt;LIMITE_CONFORTAVEL,"ATENCAO","OK")))))</f>
        <v>SEM CULTURA</v>
      </c>
      <c r="AF671" s="8" t="str">
        <f aca="false">$B671&amp;"|"&amp;TEXT($AD671,"0.000000")</f>
        <v>6|0.000000</v>
      </c>
      <c r="AG671" s="18" t="n">
        <f aca="false">IF($K671="SEM CULTURA",0,$T671*$H671)</f>
        <v>0</v>
      </c>
      <c r="AH671" s="18" t="n">
        <f aca="false">IF($K671="SEM CULTURA",0,$V671*$H671)</f>
        <v>0</v>
      </c>
      <c r="AI671" s="18" t="n">
        <f aca="false">IF($K671="SEM CULTURA",0,$W671*$H671)</f>
        <v>0</v>
      </c>
      <c r="AJ671" s="18" t="n">
        <f aca="false">IF($K671="SEM CULTURA",0,$S671*$H671)</f>
        <v>0</v>
      </c>
      <c r="AK671" s="8" t="str">
        <f aca="false">$E671&amp;"|"&amp;TEXT($AD671,"0.000000")</f>
        <v>PV 112|0.000000</v>
      </c>
    </row>
    <row r="672" customFormat="false" ht="15" hidden="false" customHeight="false" outlineLevel="0" collapsed="false">
      <c r="B672" s="16" t="n">
        <v>7</v>
      </c>
      <c r="C672" s="17" t="n">
        <f aca="false">DATA_INICIO_SAFRA+($B672-1)*DIAS_POR_SEMANA</f>
        <v>46307</v>
      </c>
      <c r="D672" s="17" t="n">
        <f aca="false">$C672+DIAS_POR_SEMANA-1</f>
        <v>46313</v>
      </c>
      <c r="E672" s="15" t="s">
        <v>269</v>
      </c>
      <c r="F672" s="8" t="str">
        <f aca="false">IFERROR(INDEX(CADASTRO_PIVOS!$C$6:$C$41,MATCH($E672,CADASTRO_PIVOS!$B$6:$B$41,0)),"?")</f>
        <v>RM05</v>
      </c>
      <c r="G672" s="8" t="str">
        <f aca="false">IFERROR(INDEX(CADASTRO_PIVOS!$D$6:$D$41,MATCH($E672,CADASTRO_PIVOS!$B$6:$B$41,0)),"?")</f>
        <v>TR05</v>
      </c>
      <c r="H672" s="20" t="n">
        <f aca="false">IFERROR(INDEX(CADASTRO_PIVOS!$E$6:$E$41,MATCH($E672,CADASTRO_PIVOS!$B$6:$B$41,0)),0)</f>
        <v>149.98</v>
      </c>
      <c r="I672" s="16" t="n">
        <f aca="false">IFERROR(SUMIFS(ROTACAO_RDM!$B$6:$B$71,ROTACAO_RDM!$D$6:$D$71,$E672,ROTACAO_RDM!$I$6:$I$71,"&lt;="&amp;$C672+INT(DIAS_POR_SEMANA/2),ROTACAO_RDM!$J$6:$J$71,"&gt;="&amp;$C672+INT(DIAS_POR_SEMANA/2)),0)</f>
        <v>19</v>
      </c>
      <c r="J672" s="16" t="n">
        <f aca="false">IFERROR(MATCH($I672,ROTACAO_RDM!$B$6:$B$71,0),0)</f>
        <v>19</v>
      </c>
      <c r="K672" s="8" t="str">
        <f aca="false">IF($J672=0,"SEM CULTURA",INDEX(ROTACAO_RDM!$F$6:$F$71,$J672))</f>
        <v>SOJA</v>
      </c>
      <c r="L672" s="8" t="str">
        <f aca="false">IF($J672=0,"",INDEX(ROTACAO_RDM!$G$6:$G$71,$J672))</f>
        <v>NEO 761 I2X</v>
      </c>
      <c r="M672" s="17" t="n">
        <f aca="false">IF($J672=0,"",INDEX(ROTACAO_RDM!$I$6:$I$71,$J672))</f>
        <v>46307</v>
      </c>
      <c r="N672" s="16" t="n">
        <f aca="false">IF($J672=0,0,MAX(0,$C672+INT(DIAS_POR_SEMANA/2)-INDEX(ROTACAO_RDM!$I$6:$I$71,$J672)))</f>
        <v>3</v>
      </c>
      <c r="O672" s="19" t="n">
        <f aca="false">IF($J672=0,0,MIN(1,$N672/MAX(1,INDEX(ROTACAO_RDM!$K$6:$K$71,$J672))))</f>
        <v>0.0258620689655172</v>
      </c>
      <c r="P672" s="16" t="n">
        <f aca="false">IF($J672=0,0,IFERROR(MATCH(INDEX(ROTACAO_RDM!$N$6:$N$71,$J672),PARAMETROS_CULTURAS!$B$6:$B$28,0),0))</f>
        <v>2</v>
      </c>
      <c r="Q672" s="8" t="str">
        <f aca="false">IF($P672=0,"-",IF($O672&lt;=INDEX(PARAMETROS_CULTURAS!$F$6:$F$28,$P672),"INICIAL",IF($O672&lt;=INDEX(PARAMETROS_CULTURAS!$F$6:$F$28,$P672)+INDEX(PARAMETROS_CULTURAS!$G$6:$G$28,$P672),"DESENVOLVIMENTO",IF($O672&lt;=INDEX(PARAMETROS_CULTURAS!$F$6:$F$28,$P672)+INDEX(PARAMETROS_CULTURAS!$G$6:$G$28,$P672)+INDEX(PARAMETROS_CULTURAS!$H$6:$H$28,$P672),"MEDIA","FINAL"))))</f>
        <v>INICIAL</v>
      </c>
      <c r="R672" s="24" t="n">
        <f aca="false">IF($P672=0,0,IF($O672&lt;=INDEX(PARAMETROS_CULTURAS!$F$6:$F$28,$P672),INDEX(PARAMETROS_CULTURAS!$K$6:$K$28,$P672),IF($O672&lt;=INDEX(PARAMETROS_CULTURAS!$F$6:$F$28,$P672)+INDEX(PARAMETROS_CULTURAS!$G$6:$G$28,$P672),INDEX(PARAMETROS_CULTURAS!$K$6:$K$28,$P672)+(INDEX(PARAMETROS_CULTURAS!$L$6:$L$28,$P672)-INDEX(PARAMETROS_CULTURAS!$K$6:$K$28,$P672))*($O672-INDEX(PARAMETROS_CULTURAS!$F$6:$F$28,$P672))/MAX(INDEX(PARAMETROS_CULTURAS!$G$6:$G$28,$P672),0.0001),IF($O672&lt;=INDEX(PARAMETROS_CULTURAS!$F$6:$F$28,$P672)+INDEX(PARAMETROS_CULTURAS!$G$6:$G$28,$P672)+INDEX(PARAMETROS_CULTURAS!$H$6:$H$28,$P672),INDEX(PARAMETROS_CULTURAS!$L$6:$L$28,$P672),INDEX(PARAMETROS_CULTURAS!$L$6:$L$28,$P672)+(INDEX(PARAMETROS_CULTURAS!$M$6:$M$28,$P672)-INDEX(PARAMETROS_CULTURAS!$L$6:$L$28,$P672))*($O672-INDEX(PARAMETROS_CULTURAS!$F$6:$F$28,$P672)-INDEX(PARAMETROS_CULTURAS!$G$6:$G$28,$P672)-INDEX(PARAMETROS_CULTURAS!$H$6:$H$28,$P672))/MAX(INDEX(PARAMETROS_CULTURAS!$I$6:$I$28,$P672),0.0001)))))</f>
        <v>0.4</v>
      </c>
      <c r="S672" s="18" t="n">
        <f aca="false">IFERROR(INDEX(SEMANAS!$H$6:$H$71,MATCH($B672,SEMANAS!$B$6:$B$71,0)),0)</f>
        <v>39.2</v>
      </c>
      <c r="T672" s="18" t="n">
        <f aca="false">$R672*$S672</f>
        <v>15.68</v>
      </c>
      <c r="U672" s="18" t="n">
        <f aca="false">IFERROR(INDEX(SEMANAS!$I$6:$I$71,MATCH($B672,SEMANAS!$B$6:$B$71,0)),0)</f>
        <v>27.09</v>
      </c>
      <c r="V672" s="18" t="n">
        <f aca="false">IFERROR(INDEX(SEMANAS!$J$6:$J$71,MATCH($B672,SEMANAS!$B$6:$B$71,0)),0)</f>
        <v>21.672</v>
      </c>
      <c r="W672" s="18" t="n">
        <f aca="false">MAX(0,$T672-$V672)</f>
        <v>0</v>
      </c>
      <c r="X672" s="19" t="n">
        <f aca="false">IFERROR(INDEX(CADASTRO_PIVOS!$K$6:$K$41,MATCH($E672,CADASTRO_PIVOS!$B$6:$B$41,0)),EFICIENCIA_PADRAO)</f>
        <v>0.85</v>
      </c>
      <c r="Y672" s="18" t="n">
        <f aca="false">IF($X672&lt;=0,0,$W672/$X672)</f>
        <v>0</v>
      </c>
      <c r="Z672" s="16" t="n">
        <f aca="false">$Y672*$H672*MM_PARA_M3_HA</f>
        <v>0</v>
      </c>
      <c r="AA672" s="18" t="n">
        <f aca="false">IFERROR(INDEX(CADASTRO_PIVOS!$I$6:$I$41,MATCH($E672,CADASTRO_PIVOS!$B$6:$B$41,0)),0)</f>
        <v>1071.28571428571</v>
      </c>
      <c r="AB672" s="18" t="n">
        <f aca="false">IF($Z672&lt;=0,0,$Z672/$AA672)</f>
        <v>0</v>
      </c>
      <c r="AC672" s="16" t="n">
        <f aca="false">IFERROR(INDEX(SEMANAS!$K$6:$K$71,MATCH($B672,SEMANAS!$B$6:$B$71,0)),0)</f>
        <v>147</v>
      </c>
      <c r="AD672" s="19" t="n">
        <f aca="false">IF($AC672&lt;=0,0,$AB672/$AC672)</f>
        <v>0</v>
      </c>
      <c r="AE672" s="8" t="str">
        <f aca="false">IF($K672="SEM CULTURA","SEM CULTURA",IF($AA672&lt;=0,"DADO PENDENTE",IF($AD672&gt;LIMITE_CRITICO,"INVIAVEL",IF($AD672&gt;LIMITE_ATENCAO,"CRITICO",IF($AD672&gt;LIMITE_CONFORTAVEL,"ATENCAO","OK")))))</f>
        <v>OK</v>
      </c>
      <c r="AF672" s="8" t="str">
        <f aca="false">$B672&amp;"|"&amp;TEXT($AD672,"0.000000")</f>
        <v>7|0.000000</v>
      </c>
      <c r="AG672" s="18" t="n">
        <f aca="false">IF($K672="SEM CULTURA",0,$T672*$H672)</f>
        <v>2351.6864</v>
      </c>
      <c r="AH672" s="18" t="n">
        <f aca="false">IF($K672="SEM CULTURA",0,$V672*$H672)</f>
        <v>3250.36656</v>
      </c>
      <c r="AI672" s="18" t="n">
        <f aca="false">IF($K672="SEM CULTURA",0,$W672*$H672)</f>
        <v>0</v>
      </c>
      <c r="AJ672" s="18" t="n">
        <f aca="false">IF($K672="SEM CULTURA",0,$S672*$H672)</f>
        <v>5879.216</v>
      </c>
      <c r="AK672" s="8" t="str">
        <f aca="false">$E672&amp;"|"&amp;TEXT($AD672,"0.000000")</f>
        <v>PV 112|0.000000</v>
      </c>
    </row>
    <row r="673" customFormat="false" ht="15" hidden="false" customHeight="false" outlineLevel="0" collapsed="false">
      <c r="B673" s="16" t="n">
        <v>8</v>
      </c>
      <c r="C673" s="17" t="n">
        <f aca="false">DATA_INICIO_SAFRA+($B673-1)*DIAS_POR_SEMANA</f>
        <v>46314</v>
      </c>
      <c r="D673" s="17" t="n">
        <f aca="false">$C673+DIAS_POR_SEMANA-1</f>
        <v>46320</v>
      </c>
      <c r="E673" s="15" t="s">
        <v>269</v>
      </c>
      <c r="F673" s="8" t="str">
        <f aca="false">IFERROR(INDEX(CADASTRO_PIVOS!$C$6:$C$41,MATCH($E673,CADASTRO_PIVOS!$B$6:$B$41,0)),"?")</f>
        <v>RM05</v>
      </c>
      <c r="G673" s="8" t="str">
        <f aca="false">IFERROR(INDEX(CADASTRO_PIVOS!$D$6:$D$41,MATCH($E673,CADASTRO_PIVOS!$B$6:$B$41,0)),"?")</f>
        <v>TR05</v>
      </c>
      <c r="H673" s="20" t="n">
        <f aca="false">IFERROR(INDEX(CADASTRO_PIVOS!$E$6:$E$41,MATCH($E673,CADASTRO_PIVOS!$B$6:$B$41,0)),0)</f>
        <v>149.98</v>
      </c>
      <c r="I673" s="16" t="n">
        <f aca="false">IFERROR(SUMIFS(ROTACAO_RDM!$B$6:$B$71,ROTACAO_RDM!$D$6:$D$71,$E673,ROTACAO_RDM!$I$6:$I$71,"&lt;="&amp;$C673+INT(DIAS_POR_SEMANA/2),ROTACAO_RDM!$J$6:$J$71,"&gt;="&amp;$C673+INT(DIAS_POR_SEMANA/2)),0)</f>
        <v>19</v>
      </c>
      <c r="J673" s="16" t="n">
        <f aca="false">IFERROR(MATCH($I673,ROTACAO_RDM!$B$6:$B$71,0),0)</f>
        <v>19</v>
      </c>
      <c r="K673" s="8" t="str">
        <f aca="false">IF($J673=0,"SEM CULTURA",INDEX(ROTACAO_RDM!$F$6:$F$71,$J673))</f>
        <v>SOJA</v>
      </c>
      <c r="L673" s="8" t="str">
        <f aca="false">IF($J673=0,"",INDEX(ROTACAO_RDM!$G$6:$G$71,$J673))</f>
        <v>NEO 761 I2X</v>
      </c>
      <c r="M673" s="17" t="n">
        <f aca="false">IF($J673=0,"",INDEX(ROTACAO_RDM!$I$6:$I$71,$J673))</f>
        <v>46307</v>
      </c>
      <c r="N673" s="16" t="n">
        <f aca="false">IF($J673=0,0,MAX(0,$C673+INT(DIAS_POR_SEMANA/2)-INDEX(ROTACAO_RDM!$I$6:$I$71,$J673)))</f>
        <v>10</v>
      </c>
      <c r="O673" s="19" t="n">
        <f aca="false">IF($J673=0,0,MIN(1,$N673/MAX(1,INDEX(ROTACAO_RDM!$K$6:$K$71,$J673))))</f>
        <v>0.0862068965517241</v>
      </c>
      <c r="P673" s="16" t="n">
        <f aca="false">IF($J673=0,0,IFERROR(MATCH(INDEX(ROTACAO_RDM!$N$6:$N$71,$J673),PARAMETROS_CULTURAS!$B$6:$B$28,0),0))</f>
        <v>2</v>
      </c>
      <c r="Q673" s="8" t="str">
        <f aca="false">IF($P673=0,"-",IF($O673&lt;=INDEX(PARAMETROS_CULTURAS!$F$6:$F$28,$P673),"INICIAL",IF($O673&lt;=INDEX(PARAMETROS_CULTURAS!$F$6:$F$28,$P673)+INDEX(PARAMETROS_CULTURAS!$G$6:$G$28,$P673),"DESENVOLVIMENTO",IF($O673&lt;=INDEX(PARAMETROS_CULTURAS!$F$6:$F$28,$P673)+INDEX(PARAMETROS_CULTURAS!$G$6:$G$28,$P673)+INDEX(PARAMETROS_CULTURAS!$H$6:$H$28,$P673),"MEDIA","FINAL"))))</f>
        <v>INICIAL</v>
      </c>
      <c r="R673" s="24" t="n">
        <f aca="false">IF($P673=0,0,IF($O673&lt;=INDEX(PARAMETROS_CULTURAS!$F$6:$F$28,$P673),INDEX(PARAMETROS_CULTURAS!$K$6:$K$28,$P673),IF($O673&lt;=INDEX(PARAMETROS_CULTURAS!$F$6:$F$28,$P673)+INDEX(PARAMETROS_CULTURAS!$G$6:$G$28,$P673),INDEX(PARAMETROS_CULTURAS!$K$6:$K$28,$P673)+(INDEX(PARAMETROS_CULTURAS!$L$6:$L$28,$P673)-INDEX(PARAMETROS_CULTURAS!$K$6:$K$28,$P673))*($O673-INDEX(PARAMETROS_CULTURAS!$F$6:$F$28,$P673))/MAX(INDEX(PARAMETROS_CULTURAS!$G$6:$G$28,$P673),0.0001),IF($O673&lt;=INDEX(PARAMETROS_CULTURAS!$F$6:$F$28,$P673)+INDEX(PARAMETROS_CULTURAS!$G$6:$G$28,$P673)+INDEX(PARAMETROS_CULTURAS!$H$6:$H$28,$P673),INDEX(PARAMETROS_CULTURAS!$L$6:$L$28,$P673),INDEX(PARAMETROS_CULTURAS!$L$6:$L$28,$P673)+(INDEX(PARAMETROS_CULTURAS!$M$6:$M$28,$P673)-INDEX(PARAMETROS_CULTURAS!$L$6:$L$28,$P673))*($O673-INDEX(PARAMETROS_CULTURAS!$F$6:$F$28,$P673)-INDEX(PARAMETROS_CULTURAS!$G$6:$G$28,$P673)-INDEX(PARAMETROS_CULTURAS!$H$6:$H$28,$P673))/MAX(INDEX(PARAMETROS_CULTURAS!$I$6:$I$28,$P673),0.0001)))))</f>
        <v>0.4</v>
      </c>
      <c r="S673" s="18" t="n">
        <f aca="false">IFERROR(INDEX(SEMANAS!$H$6:$H$71,MATCH($B673,SEMANAS!$B$6:$B$71,0)),0)</f>
        <v>39.2</v>
      </c>
      <c r="T673" s="18" t="n">
        <f aca="false">$R673*$S673</f>
        <v>15.68</v>
      </c>
      <c r="U673" s="18" t="n">
        <f aca="false">IFERROR(INDEX(SEMANAS!$I$6:$I$71,MATCH($B673,SEMANAS!$B$6:$B$71,0)),0)</f>
        <v>27.09</v>
      </c>
      <c r="V673" s="18" t="n">
        <f aca="false">IFERROR(INDEX(SEMANAS!$J$6:$J$71,MATCH($B673,SEMANAS!$B$6:$B$71,0)),0)</f>
        <v>21.672</v>
      </c>
      <c r="W673" s="18" t="n">
        <f aca="false">MAX(0,$T673-$V673)</f>
        <v>0</v>
      </c>
      <c r="X673" s="19" t="n">
        <f aca="false">IFERROR(INDEX(CADASTRO_PIVOS!$K$6:$K$41,MATCH($E673,CADASTRO_PIVOS!$B$6:$B$41,0)),EFICIENCIA_PADRAO)</f>
        <v>0.85</v>
      </c>
      <c r="Y673" s="18" t="n">
        <f aca="false">IF($X673&lt;=0,0,$W673/$X673)</f>
        <v>0</v>
      </c>
      <c r="Z673" s="16" t="n">
        <f aca="false">$Y673*$H673*MM_PARA_M3_HA</f>
        <v>0</v>
      </c>
      <c r="AA673" s="18" t="n">
        <f aca="false">IFERROR(INDEX(CADASTRO_PIVOS!$I$6:$I$41,MATCH($E673,CADASTRO_PIVOS!$B$6:$B$41,0)),0)</f>
        <v>1071.28571428571</v>
      </c>
      <c r="AB673" s="18" t="n">
        <f aca="false">IF($Z673&lt;=0,0,$Z673/$AA673)</f>
        <v>0</v>
      </c>
      <c r="AC673" s="16" t="n">
        <f aca="false">IFERROR(INDEX(SEMANAS!$K$6:$K$71,MATCH($B673,SEMANAS!$B$6:$B$71,0)),0)</f>
        <v>147</v>
      </c>
      <c r="AD673" s="19" t="n">
        <f aca="false">IF($AC673&lt;=0,0,$AB673/$AC673)</f>
        <v>0</v>
      </c>
      <c r="AE673" s="8" t="str">
        <f aca="false">IF($K673="SEM CULTURA","SEM CULTURA",IF($AA673&lt;=0,"DADO PENDENTE",IF($AD673&gt;LIMITE_CRITICO,"INVIAVEL",IF($AD673&gt;LIMITE_ATENCAO,"CRITICO",IF($AD673&gt;LIMITE_CONFORTAVEL,"ATENCAO","OK")))))</f>
        <v>OK</v>
      </c>
      <c r="AF673" s="8" t="str">
        <f aca="false">$B673&amp;"|"&amp;TEXT($AD673,"0.000000")</f>
        <v>8|0.000000</v>
      </c>
      <c r="AG673" s="18" t="n">
        <f aca="false">IF($K673="SEM CULTURA",0,$T673*$H673)</f>
        <v>2351.6864</v>
      </c>
      <c r="AH673" s="18" t="n">
        <f aca="false">IF($K673="SEM CULTURA",0,$V673*$H673)</f>
        <v>3250.36656</v>
      </c>
      <c r="AI673" s="18" t="n">
        <f aca="false">IF($K673="SEM CULTURA",0,$W673*$H673)</f>
        <v>0</v>
      </c>
      <c r="AJ673" s="18" t="n">
        <f aca="false">IF($K673="SEM CULTURA",0,$S673*$H673)</f>
        <v>5879.216</v>
      </c>
      <c r="AK673" s="8" t="str">
        <f aca="false">$E673&amp;"|"&amp;TEXT($AD673,"0.000000")</f>
        <v>PV 112|0.000000</v>
      </c>
    </row>
    <row r="674" customFormat="false" ht="15" hidden="false" customHeight="false" outlineLevel="0" collapsed="false">
      <c r="B674" s="16" t="n">
        <v>9</v>
      </c>
      <c r="C674" s="17" t="n">
        <f aca="false">DATA_INICIO_SAFRA+($B674-1)*DIAS_POR_SEMANA</f>
        <v>46321</v>
      </c>
      <c r="D674" s="17" t="n">
        <f aca="false">$C674+DIAS_POR_SEMANA-1</f>
        <v>46327</v>
      </c>
      <c r="E674" s="15" t="s">
        <v>269</v>
      </c>
      <c r="F674" s="8" t="str">
        <f aca="false">IFERROR(INDEX(CADASTRO_PIVOS!$C$6:$C$41,MATCH($E674,CADASTRO_PIVOS!$B$6:$B$41,0)),"?")</f>
        <v>RM05</v>
      </c>
      <c r="G674" s="8" t="str">
        <f aca="false">IFERROR(INDEX(CADASTRO_PIVOS!$D$6:$D$41,MATCH($E674,CADASTRO_PIVOS!$B$6:$B$41,0)),"?")</f>
        <v>TR05</v>
      </c>
      <c r="H674" s="20" t="n">
        <f aca="false">IFERROR(INDEX(CADASTRO_PIVOS!$E$6:$E$41,MATCH($E674,CADASTRO_PIVOS!$B$6:$B$41,0)),0)</f>
        <v>149.98</v>
      </c>
      <c r="I674" s="16" t="n">
        <f aca="false">IFERROR(SUMIFS(ROTACAO_RDM!$B$6:$B$71,ROTACAO_RDM!$D$6:$D$71,$E674,ROTACAO_RDM!$I$6:$I$71,"&lt;="&amp;$C674+INT(DIAS_POR_SEMANA/2),ROTACAO_RDM!$J$6:$J$71,"&gt;="&amp;$C674+INT(DIAS_POR_SEMANA/2)),0)</f>
        <v>19</v>
      </c>
      <c r="J674" s="16" t="n">
        <f aca="false">IFERROR(MATCH($I674,ROTACAO_RDM!$B$6:$B$71,0),0)</f>
        <v>19</v>
      </c>
      <c r="K674" s="8" t="str">
        <f aca="false">IF($J674=0,"SEM CULTURA",INDEX(ROTACAO_RDM!$F$6:$F$71,$J674))</f>
        <v>SOJA</v>
      </c>
      <c r="L674" s="8" t="str">
        <f aca="false">IF($J674=0,"",INDEX(ROTACAO_RDM!$G$6:$G$71,$J674))</f>
        <v>NEO 761 I2X</v>
      </c>
      <c r="M674" s="17" t="n">
        <f aca="false">IF($J674=0,"",INDEX(ROTACAO_RDM!$I$6:$I$71,$J674))</f>
        <v>46307</v>
      </c>
      <c r="N674" s="16" t="n">
        <f aca="false">IF($J674=0,0,MAX(0,$C674+INT(DIAS_POR_SEMANA/2)-INDEX(ROTACAO_RDM!$I$6:$I$71,$J674)))</f>
        <v>17</v>
      </c>
      <c r="O674" s="19" t="n">
        <f aca="false">IF($J674=0,0,MIN(1,$N674/MAX(1,INDEX(ROTACAO_RDM!$K$6:$K$71,$J674))))</f>
        <v>0.146551724137931</v>
      </c>
      <c r="P674" s="16" t="n">
        <f aca="false">IF($J674=0,0,IFERROR(MATCH(INDEX(ROTACAO_RDM!$N$6:$N$71,$J674),PARAMETROS_CULTURAS!$B$6:$B$28,0),0))</f>
        <v>2</v>
      </c>
      <c r="Q674" s="8" t="str">
        <f aca="false">IF($P674=0,"-",IF($O674&lt;=INDEX(PARAMETROS_CULTURAS!$F$6:$F$28,$P674),"INICIAL",IF($O674&lt;=INDEX(PARAMETROS_CULTURAS!$F$6:$F$28,$P674)+INDEX(PARAMETROS_CULTURAS!$G$6:$G$28,$P674),"DESENVOLVIMENTO",IF($O674&lt;=INDEX(PARAMETROS_CULTURAS!$F$6:$F$28,$P674)+INDEX(PARAMETROS_CULTURAS!$G$6:$G$28,$P674)+INDEX(PARAMETROS_CULTURAS!$H$6:$H$28,$P674),"MEDIA","FINAL"))))</f>
        <v>INICIAL</v>
      </c>
      <c r="R674" s="24" t="n">
        <f aca="false">IF($P674=0,0,IF($O674&lt;=INDEX(PARAMETROS_CULTURAS!$F$6:$F$28,$P674),INDEX(PARAMETROS_CULTURAS!$K$6:$K$28,$P674),IF($O674&lt;=INDEX(PARAMETROS_CULTURAS!$F$6:$F$28,$P674)+INDEX(PARAMETROS_CULTURAS!$G$6:$G$28,$P674),INDEX(PARAMETROS_CULTURAS!$K$6:$K$28,$P674)+(INDEX(PARAMETROS_CULTURAS!$L$6:$L$28,$P674)-INDEX(PARAMETROS_CULTURAS!$K$6:$K$28,$P674))*($O674-INDEX(PARAMETROS_CULTURAS!$F$6:$F$28,$P674))/MAX(INDEX(PARAMETROS_CULTURAS!$G$6:$G$28,$P674),0.0001),IF($O674&lt;=INDEX(PARAMETROS_CULTURAS!$F$6:$F$28,$P674)+INDEX(PARAMETROS_CULTURAS!$G$6:$G$28,$P674)+INDEX(PARAMETROS_CULTURAS!$H$6:$H$28,$P674),INDEX(PARAMETROS_CULTURAS!$L$6:$L$28,$P674),INDEX(PARAMETROS_CULTURAS!$L$6:$L$28,$P674)+(INDEX(PARAMETROS_CULTURAS!$M$6:$M$28,$P674)-INDEX(PARAMETROS_CULTURAS!$L$6:$L$28,$P674))*($O674-INDEX(PARAMETROS_CULTURAS!$F$6:$F$28,$P674)-INDEX(PARAMETROS_CULTURAS!$G$6:$G$28,$P674)-INDEX(PARAMETROS_CULTURAS!$H$6:$H$28,$P674))/MAX(INDEX(PARAMETROS_CULTURAS!$I$6:$I$28,$P674),0.0001)))))</f>
        <v>0.4</v>
      </c>
      <c r="S674" s="18" t="n">
        <f aca="false">IFERROR(INDEX(SEMANAS!$H$6:$H$71,MATCH($B674,SEMANAS!$B$6:$B$71,0)),0)</f>
        <v>38.5</v>
      </c>
      <c r="T674" s="18" t="n">
        <f aca="false">$R674*$S674</f>
        <v>15.4</v>
      </c>
      <c r="U674" s="18" t="n">
        <f aca="false">IFERROR(INDEX(SEMANAS!$I$6:$I$71,MATCH($B674,SEMANAS!$B$6:$B$71,0)),0)</f>
        <v>29.89</v>
      </c>
      <c r="V674" s="18" t="n">
        <f aca="false">IFERROR(INDEX(SEMANAS!$J$6:$J$71,MATCH($B674,SEMANAS!$B$6:$B$71,0)),0)</f>
        <v>23.912</v>
      </c>
      <c r="W674" s="18" t="n">
        <f aca="false">MAX(0,$T674-$V674)</f>
        <v>0</v>
      </c>
      <c r="X674" s="19" t="n">
        <f aca="false">IFERROR(INDEX(CADASTRO_PIVOS!$K$6:$K$41,MATCH($E674,CADASTRO_PIVOS!$B$6:$B$41,0)),EFICIENCIA_PADRAO)</f>
        <v>0.85</v>
      </c>
      <c r="Y674" s="18" t="n">
        <f aca="false">IF($X674&lt;=0,0,$W674/$X674)</f>
        <v>0</v>
      </c>
      <c r="Z674" s="16" t="n">
        <f aca="false">$Y674*$H674*MM_PARA_M3_HA</f>
        <v>0</v>
      </c>
      <c r="AA674" s="18" t="n">
        <f aca="false">IFERROR(INDEX(CADASTRO_PIVOS!$I$6:$I$41,MATCH($E674,CADASTRO_PIVOS!$B$6:$B$41,0)),0)</f>
        <v>1071.28571428571</v>
      </c>
      <c r="AB674" s="18" t="n">
        <f aca="false">IF($Z674&lt;=0,0,$Z674/$AA674)</f>
        <v>0</v>
      </c>
      <c r="AC674" s="16" t="n">
        <f aca="false">IFERROR(INDEX(SEMANAS!$K$6:$K$71,MATCH($B674,SEMANAS!$B$6:$B$71,0)),0)</f>
        <v>147</v>
      </c>
      <c r="AD674" s="19" t="n">
        <f aca="false">IF($AC674&lt;=0,0,$AB674/$AC674)</f>
        <v>0</v>
      </c>
      <c r="AE674" s="8" t="str">
        <f aca="false">IF($K674="SEM CULTURA","SEM CULTURA",IF($AA674&lt;=0,"DADO PENDENTE",IF($AD674&gt;LIMITE_CRITICO,"INVIAVEL",IF($AD674&gt;LIMITE_ATENCAO,"CRITICO",IF($AD674&gt;LIMITE_CONFORTAVEL,"ATENCAO","OK")))))</f>
        <v>OK</v>
      </c>
      <c r="AF674" s="8" t="str">
        <f aca="false">$B674&amp;"|"&amp;TEXT($AD674,"0.000000")</f>
        <v>9|0.000000</v>
      </c>
      <c r="AG674" s="18" t="n">
        <f aca="false">IF($K674="SEM CULTURA",0,$T674*$H674)</f>
        <v>2309.692</v>
      </c>
      <c r="AH674" s="18" t="n">
        <f aca="false">IF($K674="SEM CULTURA",0,$V674*$H674)</f>
        <v>3586.32176</v>
      </c>
      <c r="AI674" s="18" t="n">
        <f aca="false">IF($K674="SEM CULTURA",0,$W674*$H674)</f>
        <v>0</v>
      </c>
      <c r="AJ674" s="18" t="n">
        <f aca="false">IF($K674="SEM CULTURA",0,$S674*$H674)</f>
        <v>5774.23</v>
      </c>
      <c r="AK674" s="8" t="str">
        <f aca="false">$E674&amp;"|"&amp;TEXT($AD674,"0.000000")</f>
        <v>PV 112|0.000000</v>
      </c>
    </row>
    <row r="675" customFormat="false" ht="15" hidden="false" customHeight="false" outlineLevel="0" collapsed="false">
      <c r="B675" s="16" t="n">
        <v>10</v>
      </c>
      <c r="C675" s="17" t="n">
        <f aca="false">DATA_INICIO_SAFRA+($B675-1)*DIAS_POR_SEMANA</f>
        <v>46328</v>
      </c>
      <c r="D675" s="17" t="n">
        <f aca="false">$C675+DIAS_POR_SEMANA-1</f>
        <v>46334</v>
      </c>
      <c r="E675" s="15" t="s">
        <v>269</v>
      </c>
      <c r="F675" s="8" t="str">
        <f aca="false">IFERROR(INDEX(CADASTRO_PIVOS!$C$6:$C$41,MATCH($E675,CADASTRO_PIVOS!$B$6:$B$41,0)),"?")</f>
        <v>RM05</v>
      </c>
      <c r="G675" s="8" t="str">
        <f aca="false">IFERROR(INDEX(CADASTRO_PIVOS!$D$6:$D$41,MATCH($E675,CADASTRO_PIVOS!$B$6:$B$41,0)),"?")</f>
        <v>TR05</v>
      </c>
      <c r="H675" s="20" t="n">
        <f aca="false">IFERROR(INDEX(CADASTRO_PIVOS!$E$6:$E$41,MATCH($E675,CADASTRO_PIVOS!$B$6:$B$41,0)),0)</f>
        <v>149.98</v>
      </c>
      <c r="I675" s="16" t="n">
        <f aca="false">IFERROR(SUMIFS(ROTACAO_RDM!$B$6:$B$71,ROTACAO_RDM!$D$6:$D$71,$E675,ROTACAO_RDM!$I$6:$I$71,"&lt;="&amp;$C675+INT(DIAS_POR_SEMANA/2),ROTACAO_RDM!$J$6:$J$71,"&gt;="&amp;$C675+INT(DIAS_POR_SEMANA/2)),0)</f>
        <v>19</v>
      </c>
      <c r="J675" s="16" t="n">
        <f aca="false">IFERROR(MATCH($I675,ROTACAO_RDM!$B$6:$B$71,0),0)</f>
        <v>19</v>
      </c>
      <c r="K675" s="8" t="str">
        <f aca="false">IF($J675=0,"SEM CULTURA",INDEX(ROTACAO_RDM!$F$6:$F$71,$J675))</f>
        <v>SOJA</v>
      </c>
      <c r="L675" s="8" t="str">
        <f aca="false">IF($J675=0,"",INDEX(ROTACAO_RDM!$G$6:$G$71,$J675))</f>
        <v>NEO 761 I2X</v>
      </c>
      <c r="M675" s="17" t="n">
        <f aca="false">IF($J675=0,"",INDEX(ROTACAO_RDM!$I$6:$I$71,$J675))</f>
        <v>46307</v>
      </c>
      <c r="N675" s="16" t="n">
        <f aca="false">IF($J675=0,0,MAX(0,$C675+INT(DIAS_POR_SEMANA/2)-INDEX(ROTACAO_RDM!$I$6:$I$71,$J675)))</f>
        <v>24</v>
      </c>
      <c r="O675" s="19" t="n">
        <f aca="false">IF($J675=0,0,MIN(1,$N675/MAX(1,INDEX(ROTACAO_RDM!$K$6:$K$71,$J675))))</f>
        <v>0.206896551724138</v>
      </c>
      <c r="P675" s="16" t="n">
        <f aca="false">IF($J675=0,0,IFERROR(MATCH(INDEX(ROTACAO_RDM!$N$6:$N$71,$J675),PARAMETROS_CULTURAS!$B$6:$B$28,0),0))</f>
        <v>2</v>
      </c>
      <c r="Q675" s="8" t="str">
        <f aca="false">IF($P675=0,"-",IF($O675&lt;=INDEX(PARAMETROS_CULTURAS!$F$6:$F$28,$P675),"INICIAL",IF($O675&lt;=INDEX(PARAMETROS_CULTURAS!$F$6:$F$28,$P675)+INDEX(PARAMETROS_CULTURAS!$G$6:$G$28,$P675),"DESENVOLVIMENTO",IF($O675&lt;=INDEX(PARAMETROS_CULTURAS!$F$6:$F$28,$P675)+INDEX(PARAMETROS_CULTURAS!$G$6:$G$28,$P675)+INDEX(PARAMETROS_CULTURAS!$H$6:$H$28,$P675),"MEDIA","FINAL"))))</f>
        <v>DESENVOLVIMENTO</v>
      </c>
      <c r="R675" s="24" t="n">
        <f aca="false">IF($P675=0,0,IF($O675&lt;=INDEX(PARAMETROS_CULTURAS!$F$6:$F$28,$P675),INDEX(PARAMETROS_CULTURAS!$K$6:$K$28,$P675),IF($O675&lt;=INDEX(PARAMETROS_CULTURAS!$F$6:$F$28,$P675)+INDEX(PARAMETROS_CULTURAS!$G$6:$G$28,$P675),INDEX(PARAMETROS_CULTURAS!$K$6:$K$28,$P675)+(INDEX(PARAMETROS_CULTURAS!$L$6:$L$28,$P675)-INDEX(PARAMETROS_CULTURAS!$K$6:$K$28,$P675))*($O675-INDEX(PARAMETROS_CULTURAS!$F$6:$F$28,$P675))/MAX(INDEX(PARAMETROS_CULTURAS!$G$6:$G$28,$P675),0.0001),IF($O675&lt;=INDEX(PARAMETROS_CULTURAS!$F$6:$F$28,$P675)+INDEX(PARAMETROS_CULTURAS!$G$6:$G$28,$P675)+INDEX(PARAMETROS_CULTURAS!$H$6:$H$28,$P675),INDEX(PARAMETROS_CULTURAS!$L$6:$L$28,$P675),INDEX(PARAMETROS_CULTURAS!$L$6:$L$28,$P675)+(INDEX(PARAMETROS_CULTURAS!$M$6:$M$28,$P675)-INDEX(PARAMETROS_CULTURAS!$L$6:$L$28,$P675))*($O675-INDEX(PARAMETROS_CULTURAS!$F$6:$F$28,$P675)-INDEX(PARAMETROS_CULTURAS!$G$6:$G$28,$P675)-INDEX(PARAMETROS_CULTURAS!$H$6:$H$28,$P675))/MAX(INDEX(PARAMETROS_CULTURAS!$I$6:$I$28,$P675),0.0001)))))</f>
        <v>0.552923538230885</v>
      </c>
      <c r="S675" s="18" t="n">
        <f aca="false">IFERROR(INDEX(SEMANAS!$H$6:$H$71,MATCH($B675,SEMANAS!$B$6:$B$71,0)),0)</f>
        <v>34.3</v>
      </c>
      <c r="T675" s="18" t="n">
        <f aca="false">$R675*$S675</f>
        <v>18.9652773613193</v>
      </c>
      <c r="U675" s="18" t="n">
        <f aca="false">IFERROR(INDEX(SEMANAS!$I$6:$I$71,MATCH($B675,SEMANAS!$B$6:$B$71,0)),0)</f>
        <v>46.69</v>
      </c>
      <c r="V675" s="18" t="n">
        <f aca="false">IFERROR(INDEX(SEMANAS!$J$6:$J$71,MATCH($B675,SEMANAS!$B$6:$B$71,0)),0)</f>
        <v>37.352</v>
      </c>
      <c r="W675" s="18" t="n">
        <f aca="false">MAX(0,$T675-$V675)</f>
        <v>0</v>
      </c>
      <c r="X675" s="19" t="n">
        <f aca="false">IFERROR(INDEX(CADASTRO_PIVOS!$K$6:$K$41,MATCH($E675,CADASTRO_PIVOS!$B$6:$B$41,0)),EFICIENCIA_PADRAO)</f>
        <v>0.85</v>
      </c>
      <c r="Y675" s="18" t="n">
        <f aca="false">IF($X675&lt;=0,0,$W675/$X675)</f>
        <v>0</v>
      </c>
      <c r="Z675" s="16" t="n">
        <f aca="false">$Y675*$H675*MM_PARA_M3_HA</f>
        <v>0</v>
      </c>
      <c r="AA675" s="18" t="n">
        <f aca="false">IFERROR(INDEX(CADASTRO_PIVOS!$I$6:$I$41,MATCH($E675,CADASTRO_PIVOS!$B$6:$B$41,0)),0)</f>
        <v>1071.28571428571</v>
      </c>
      <c r="AB675" s="18" t="n">
        <f aca="false">IF($Z675&lt;=0,0,$Z675/$AA675)</f>
        <v>0</v>
      </c>
      <c r="AC675" s="16" t="n">
        <f aca="false">IFERROR(INDEX(SEMANAS!$K$6:$K$71,MATCH($B675,SEMANAS!$B$6:$B$71,0)),0)</f>
        <v>147</v>
      </c>
      <c r="AD675" s="19" t="n">
        <f aca="false">IF($AC675&lt;=0,0,$AB675/$AC675)</f>
        <v>0</v>
      </c>
      <c r="AE675" s="8" t="str">
        <f aca="false">IF($K675="SEM CULTURA","SEM CULTURA",IF($AA675&lt;=0,"DADO PENDENTE",IF($AD675&gt;LIMITE_CRITICO,"INVIAVEL",IF($AD675&gt;LIMITE_ATENCAO,"CRITICO",IF($AD675&gt;LIMITE_CONFORTAVEL,"ATENCAO","OK")))))</f>
        <v>OK</v>
      </c>
      <c r="AF675" s="8" t="str">
        <f aca="false">$B675&amp;"|"&amp;TEXT($AD675,"0.000000")</f>
        <v>10|0.000000</v>
      </c>
      <c r="AG675" s="18" t="n">
        <f aca="false">IF($K675="SEM CULTURA",0,$T675*$H675)</f>
        <v>2844.41229865068</v>
      </c>
      <c r="AH675" s="18" t="n">
        <f aca="false">IF($K675="SEM CULTURA",0,$V675*$H675)</f>
        <v>5602.05296</v>
      </c>
      <c r="AI675" s="18" t="n">
        <f aca="false">IF($K675="SEM CULTURA",0,$W675*$H675)</f>
        <v>0</v>
      </c>
      <c r="AJ675" s="18" t="n">
        <f aca="false">IF($K675="SEM CULTURA",0,$S675*$H675)</f>
        <v>5144.314</v>
      </c>
      <c r="AK675" s="8" t="str">
        <f aca="false">$E675&amp;"|"&amp;TEXT($AD675,"0.000000")</f>
        <v>PV 112|0.000000</v>
      </c>
    </row>
    <row r="676" customFormat="false" ht="15" hidden="false" customHeight="false" outlineLevel="0" collapsed="false">
      <c r="B676" s="16" t="n">
        <v>11</v>
      </c>
      <c r="C676" s="17" t="n">
        <f aca="false">DATA_INICIO_SAFRA+($B676-1)*DIAS_POR_SEMANA</f>
        <v>46335</v>
      </c>
      <c r="D676" s="17" t="n">
        <f aca="false">$C676+DIAS_POR_SEMANA-1</f>
        <v>46341</v>
      </c>
      <c r="E676" s="15" t="s">
        <v>269</v>
      </c>
      <c r="F676" s="8" t="str">
        <f aca="false">IFERROR(INDEX(CADASTRO_PIVOS!$C$6:$C$41,MATCH($E676,CADASTRO_PIVOS!$B$6:$B$41,0)),"?")</f>
        <v>RM05</v>
      </c>
      <c r="G676" s="8" t="str">
        <f aca="false">IFERROR(INDEX(CADASTRO_PIVOS!$D$6:$D$41,MATCH($E676,CADASTRO_PIVOS!$B$6:$B$41,0)),"?")</f>
        <v>TR05</v>
      </c>
      <c r="H676" s="20" t="n">
        <f aca="false">IFERROR(INDEX(CADASTRO_PIVOS!$E$6:$E$41,MATCH($E676,CADASTRO_PIVOS!$B$6:$B$41,0)),0)</f>
        <v>149.98</v>
      </c>
      <c r="I676" s="16" t="n">
        <f aca="false">IFERROR(SUMIFS(ROTACAO_RDM!$B$6:$B$71,ROTACAO_RDM!$D$6:$D$71,$E676,ROTACAO_RDM!$I$6:$I$71,"&lt;="&amp;$C676+INT(DIAS_POR_SEMANA/2),ROTACAO_RDM!$J$6:$J$71,"&gt;="&amp;$C676+INT(DIAS_POR_SEMANA/2)),0)</f>
        <v>19</v>
      </c>
      <c r="J676" s="16" t="n">
        <f aca="false">IFERROR(MATCH($I676,ROTACAO_RDM!$B$6:$B$71,0),0)</f>
        <v>19</v>
      </c>
      <c r="K676" s="8" t="str">
        <f aca="false">IF($J676=0,"SEM CULTURA",INDEX(ROTACAO_RDM!$F$6:$F$71,$J676))</f>
        <v>SOJA</v>
      </c>
      <c r="L676" s="8" t="str">
        <f aca="false">IF($J676=0,"",INDEX(ROTACAO_RDM!$G$6:$G$71,$J676))</f>
        <v>NEO 761 I2X</v>
      </c>
      <c r="M676" s="17" t="n">
        <f aca="false">IF($J676=0,"",INDEX(ROTACAO_RDM!$I$6:$I$71,$J676))</f>
        <v>46307</v>
      </c>
      <c r="N676" s="16" t="n">
        <f aca="false">IF($J676=0,0,MAX(0,$C676+INT(DIAS_POR_SEMANA/2)-INDEX(ROTACAO_RDM!$I$6:$I$71,$J676)))</f>
        <v>31</v>
      </c>
      <c r="O676" s="19" t="n">
        <f aca="false">IF($J676=0,0,MIN(1,$N676/MAX(1,INDEX(ROTACAO_RDM!$K$6:$K$71,$J676))))</f>
        <v>0.267241379310345</v>
      </c>
      <c r="P676" s="16" t="n">
        <f aca="false">IF($J676=0,0,IFERROR(MATCH(INDEX(ROTACAO_RDM!$N$6:$N$71,$J676),PARAMETROS_CULTURAS!$B$6:$B$28,0),0))</f>
        <v>2</v>
      </c>
      <c r="Q676" s="8" t="str">
        <f aca="false">IF($P676=0,"-",IF($O676&lt;=INDEX(PARAMETROS_CULTURAS!$F$6:$F$28,$P676),"INICIAL",IF($O676&lt;=INDEX(PARAMETROS_CULTURAS!$F$6:$F$28,$P676)+INDEX(PARAMETROS_CULTURAS!$G$6:$G$28,$P676),"DESENVOLVIMENTO",IF($O676&lt;=INDEX(PARAMETROS_CULTURAS!$F$6:$F$28,$P676)+INDEX(PARAMETROS_CULTURAS!$G$6:$G$28,$P676)+INDEX(PARAMETROS_CULTURAS!$H$6:$H$28,$P676),"MEDIA","FINAL"))))</f>
        <v>DESENVOLVIMENTO</v>
      </c>
      <c r="R676" s="24" t="n">
        <f aca="false">IF($P676=0,0,IF($O676&lt;=INDEX(PARAMETROS_CULTURAS!$F$6:$F$28,$P676),INDEX(PARAMETROS_CULTURAS!$K$6:$K$28,$P676),IF($O676&lt;=INDEX(PARAMETROS_CULTURAS!$F$6:$F$28,$P676)+INDEX(PARAMETROS_CULTURAS!$G$6:$G$28,$P676),INDEX(PARAMETROS_CULTURAS!$K$6:$K$28,$P676)+(INDEX(PARAMETROS_CULTURAS!$L$6:$L$28,$P676)-INDEX(PARAMETROS_CULTURAS!$K$6:$K$28,$P676))*($O676-INDEX(PARAMETROS_CULTURAS!$F$6:$F$28,$P676))/MAX(INDEX(PARAMETROS_CULTURAS!$G$6:$G$28,$P676),0.0001),IF($O676&lt;=INDEX(PARAMETROS_CULTURAS!$F$6:$F$28,$P676)+INDEX(PARAMETROS_CULTURAS!$G$6:$G$28,$P676)+INDEX(PARAMETROS_CULTURAS!$H$6:$H$28,$P676),INDEX(PARAMETROS_CULTURAS!$L$6:$L$28,$P676),INDEX(PARAMETROS_CULTURAS!$L$6:$L$28,$P676)+(INDEX(PARAMETROS_CULTURAS!$M$6:$M$28,$P676)-INDEX(PARAMETROS_CULTURAS!$L$6:$L$28,$P676))*($O676-INDEX(PARAMETROS_CULTURAS!$F$6:$F$28,$P676)-INDEX(PARAMETROS_CULTURAS!$G$6:$G$28,$P676)-INDEX(PARAMETROS_CULTURAS!$H$6:$H$28,$P676))/MAX(INDEX(PARAMETROS_CULTURAS!$I$6:$I$28,$P676),0.0001)))))</f>
        <v>0.749700149925037</v>
      </c>
      <c r="S676" s="18" t="n">
        <f aca="false">IFERROR(INDEX(SEMANAS!$H$6:$H$71,MATCH($B676,SEMANAS!$B$6:$B$71,0)),0)</f>
        <v>34.3</v>
      </c>
      <c r="T676" s="18" t="n">
        <f aca="false">$R676*$S676</f>
        <v>25.7147151424288</v>
      </c>
      <c r="U676" s="18" t="n">
        <f aca="false">IFERROR(INDEX(SEMANAS!$I$6:$I$71,MATCH($B676,SEMANAS!$B$6:$B$71,0)),0)</f>
        <v>46.69</v>
      </c>
      <c r="V676" s="18" t="n">
        <f aca="false">IFERROR(INDEX(SEMANAS!$J$6:$J$71,MATCH($B676,SEMANAS!$B$6:$B$71,0)),0)</f>
        <v>37.352</v>
      </c>
      <c r="W676" s="18" t="n">
        <f aca="false">MAX(0,$T676-$V676)</f>
        <v>0</v>
      </c>
      <c r="X676" s="19" t="n">
        <f aca="false">IFERROR(INDEX(CADASTRO_PIVOS!$K$6:$K$41,MATCH($E676,CADASTRO_PIVOS!$B$6:$B$41,0)),EFICIENCIA_PADRAO)</f>
        <v>0.85</v>
      </c>
      <c r="Y676" s="18" t="n">
        <f aca="false">IF($X676&lt;=0,0,$W676/$X676)</f>
        <v>0</v>
      </c>
      <c r="Z676" s="16" t="n">
        <f aca="false">$Y676*$H676*MM_PARA_M3_HA</f>
        <v>0</v>
      </c>
      <c r="AA676" s="18" t="n">
        <f aca="false">IFERROR(INDEX(CADASTRO_PIVOS!$I$6:$I$41,MATCH($E676,CADASTRO_PIVOS!$B$6:$B$41,0)),0)</f>
        <v>1071.28571428571</v>
      </c>
      <c r="AB676" s="18" t="n">
        <f aca="false">IF($Z676&lt;=0,0,$Z676/$AA676)</f>
        <v>0</v>
      </c>
      <c r="AC676" s="16" t="n">
        <f aca="false">IFERROR(INDEX(SEMANAS!$K$6:$K$71,MATCH($B676,SEMANAS!$B$6:$B$71,0)),0)</f>
        <v>147</v>
      </c>
      <c r="AD676" s="19" t="n">
        <f aca="false">IF($AC676&lt;=0,0,$AB676/$AC676)</f>
        <v>0</v>
      </c>
      <c r="AE676" s="8" t="str">
        <f aca="false">IF($K676="SEM CULTURA","SEM CULTURA",IF($AA676&lt;=0,"DADO PENDENTE",IF($AD676&gt;LIMITE_CRITICO,"INVIAVEL",IF($AD676&gt;LIMITE_ATENCAO,"CRITICO",IF($AD676&gt;LIMITE_CONFORTAVEL,"ATENCAO","OK")))))</f>
        <v>OK</v>
      </c>
      <c r="AF676" s="8" t="str">
        <f aca="false">$B676&amp;"|"&amp;TEXT($AD676,"0.000000")</f>
        <v>11|0.000000</v>
      </c>
      <c r="AG676" s="18" t="n">
        <f aca="false">IF($K676="SEM CULTURA",0,$T676*$H676)</f>
        <v>3856.69297706147</v>
      </c>
      <c r="AH676" s="18" t="n">
        <f aca="false">IF($K676="SEM CULTURA",0,$V676*$H676)</f>
        <v>5602.05296</v>
      </c>
      <c r="AI676" s="18" t="n">
        <f aca="false">IF($K676="SEM CULTURA",0,$W676*$H676)</f>
        <v>0</v>
      </c>
      <c r="AJ676" s="18" t="n">
        <f aca="false">IF($K676="SEM CULTURA",0,$S676*$H676)</f>
        <v>5144.314</v>
      </c>
      <c r="AK676" s="8" t="str">
        <f aca="false">$E676&amp;"|"&amp;TEXT($AD676,"0.000000")</f>
        <v>PV 112|0.000000</v>
      </c>
    </row>
    <row r="677" customFormat="false" ht="15" hidden="false" customHeight="false" outlineLevel="0" collapsed="false">
      <c r="B677" s="16" t="n">
        <v>12</v>
      </c>
      <c r="C677" s="17" t="n">
        <f aca="false">DATA_INICIO_SAFRA+($B677-1)*DIAS_POR_SEMANA</f>
        <v>46342</v>
      </c>
      <c r="D677" s="17" t="n">
        <f aca="false">$C677+DIAS_POR_SEMANA-1</f>
        <v>46348</v>
      </c>
      <c r="E677" s="15" t="s">
        <v>269</v>
      </c>
      <c r="F677" s="8" t="str">
        <f aca="false">IFERROR(INDEX(CADASTRO_PIVOS!$C$6:$C$41,MATCH($E677,CADASTRO_PIVOS!$B$6:$B$41,0)),"?")</f>
        <v>RM05</v>
      </c>
      <c r="G677" s="8" t="str">
        <f aca="false">IFERROR(INDEX(CADASTRO_PIVOS!$D$6:$D$41,MATCH($E677,CADASTRO_PIVOS!$B$6:$B$41,0)),"?")</f>
        <v>TR05</v>
      </c>
      <c r="H677" s="20" t="n">
        <f aca="false">IFERROR(INDEX(CADASTRO_PIVOS!$E$6:$E$41,MATCH($E677,CADASTRO_PIVOS!$B$6:$B$41,0)),0)</f>
        <v>149.98</v>
      </c>
      <c r="I677" s="16" t="n">
        <f aca="false">IFERROR(SUMIFS(ROTACAO_RDM!$B$6:$B$71,ROTACAO_RDM!$D$6:$D$71,$E677,ROTACAO_RDM!$I$6:$I$71,"&lt;="&amp;$C677+INT(DIAS_POR_SEMANA/2),ROTACAO_RDM!$J$6:$J$71,"&gt;="&amp;$C677+INT(DIAS_POR_SEMANA/2)),0)</f>
        <v>19</v>
      </c>
      <c r="J677" s="16" t="n">
        <f aca="false">IFERROR(MATCH($I677,ROTACAO_RDM!$B$6:$B$71,0),0)</f>
        <v>19</v>
      </c>
      <c r="K677" s="8" t="str">
        <f aca="false">IF($J677=0,"SEM CULTURA",INDEX(ROTACAO_RDM!$F$6:$F$71,$J677))</f>
        <v>SOJA</v>
      </c>
      <c r="L677" s="8" t="str">
        <f aca="false">IF($J677=0,"",INDEX(ROTACAO_RDM!$G$6:$G$71,$J677))</f>
        <v>NEO 761 I2X</v>
      </c>
      <c r="M677" s="17" t="n">
        <f aca="false">IF($J677=0,"",INDEX(ROTACAO_RDM!$I$6:$I$71,$J677))</f>
        <v>46307</v>
      </c>
      <c r="N677" s="16" t="n">
        <f aca="false">IF($J677=0,0,MAX(0,$C677+INT(DIAS_POR_SEMANA/2)-INDEX(ROTACAO_RDM!$I$6:$I$71,$J677)))</f>
        <v>38</v>
      </c>
      <c r="O677" s="19" t="n">
        <f aca="false">IF($J677=0,0,MIN(1,$N677/MAX(1,INDEX(ROTACAO_RDM!$K$6:$K$71,$J677))))</f>
        <v>0.327586206896552</v>
      </c>
      <c r="P677" s="16" t="n">
        <f aca="false">IF($J677=0,0,IFERROR(MATCH(INDEX(ROTACAO_RDM!$N$6:$N$71,$J677),PARAMETROS_CULTURAS!$B$6:$B$28,0),0))</f>
        <v>2</v>
      </c>
      <c r="Q677" s="8" t="str">
        <f aca="false">IF($P677=0,"-",IF($O677&lt;=INDEX(PARAMETROS_CULTURAS!$F$6:$F$28,$P677),"INICIAL",IF($O677&lt;=INDEX(PARAMETROS_CULTURAS!$F$6:$F$28,$P677)+INDEX(PARAMETROS_CULTURAS!$G$6:$G$28,$P677),"DESENVOLVIMENTO",IF($O677&lt;=INDEX(PARAMETROS_CULTURAS!$F$6:$F$28,$P677)+INDEX(PARAMETROS_CULTURAS!$G$6:$G$28,$P677)+INDEX(PARAMETROS_CULTURAS!$H$6:$H$28,$P677),"MEDIA","FINAL"))))</f>
        <v>DESENVOLVIMENTO</v>
      </c>
      <c r="R677" s="24" t="n">
        <f aca="false">IF($P677=0,0,IF($O677&lt;=INDEX(PARAMETROS_CULTURAS!$F$6:$F$28,$P677),INDEX(PARAMETROS_CULTURAS!$K$6:$K$28,$P677),IF($O677&lt;=INDEX(PARAMETROS_CULTURAS!$F$6:$F$28,$P677)+INDEX(PARAMETROS_CULTURAS!$G$6:$G$28,$P677),INDEX(PARAMETROS_CULTURAS!$K$6:$K$28,$P677)+(INDEX(PARAMETROS_CULTURAS!$L$6:$L$28,$P677)-INDEX(PARAMETROS_CULTURAS!$K$6:$K$28,$P677))*($O677-INDEX(PARAMETROS_CULTURAS!$F$6:$F$28,$P677))/MAX(INDEX(PARAMETROS_CULTURAS!$G$6:$G$28,$P677),0.0001),IF($O677&lt;=INDEX(PARAMETROS_CULTURAS!$F$6:$F$28,$P677)+INDEX(PARAMETROS_CULTURAS!$G$6:$G$28,$P677)+INDEX(PARAMETROS_CULTURAS!$H$6:$H$28,$P677),INDEX(PARAMETROS_CULTURAS!$L$6:$L$28,$P677),INDEX(PARAMETROS_CULTURAS!$L$6:$L$28,$P677)+(INDEX(PARAMETROS_CULTURAS!$M$6:$M$28,$P677)-INDEX(PARAMETROS_CULTURAS!$L$6:$L$28,$P677))*($O677-INDEX(PARAMETROS_CULTURAS!$F$6:$F$28,$P677)-INDEX(PARAMETROS_CULTURAS!$G$6:$G$28,$P677)-INDEX(PARAMETROS_CULTURAS!$H$6:$H$28,$P677))/MAX(INDEX(PARAMETROS_CULTURAS!$I$6:$I$28,$P677),0.0001)))))</f>
        <v>0.94647676161919</v>
      </c>
      <c r="S677" s="18" t="n">
        <f aca="false">IFERROR(INDEX(SEMANAS!$H$6:$H$71,MATCH($B677,SEMANAS!$B$6:$B$71,0)),0)</f>
        <v>34.3</v>
      </c>
      <c r="T677" s="18" t="n">
        <f aca="false">$R677*$S677</f>
        <v>32.4641529235382</v>
      </c>
      <c r="U677" s="18" t="n">
        <f aca="false">IFERROR(INDEX(SEMANAS!$I$6:$I$71,MATCH($B677,SEMANAS!$B$6:$B$71,0)),0)</f>
        <v>46.69</v>
      </c>
      <c r="V677" s="18" t="n">
        <f aca="false">IFERROR(INDEX(SEMANAS!$J$6:$J$71,MATCH($B677,SEMANAS!$B$6:$B$71,0)),0)</f>
        <v>37.352</v>
      </c>
      <c r="W677" s="18" t="n">
        <f aca="false">MAX(0,$T677-$V677)</f>
        <v>0</v>
      </c>
      <c r="X677" s="19" t="n">
        <f aca="false">IFERROR(INDEX(CADASTRO_PIVOS!$K$6:$K$41,MATCH($E677,CADASTRO_PIVOS!$B$6:$B$41,0)),EFICIENCIA_PADRAO)</f>
        <v>0.85</v>
      </c>
      <c r="Y677" s="18" t="n">
        <f aca="false">IF($X677&lt;=0,0,$W677/$X677)</f>
        <v>0</v>
      </c>
      <c r="Z677" s="16" t="n">
        <f aca="false">$Y677*$H677*MM_PARA_M3_HA</f>
        <v>0</v>
      </c>
      <c r="AA677" s="18" t="n">
        <f aca="false">IFERROR(INDEX(CADASTRO_PIVOS!$I$6:$I$41,MATCH($E677,CADASTRO_PIVOS!$B$6:$B$41,0)),0)</f>
        <v>1071.28571428571</v>
      </c>
      <c r="AB677" s="18" t="n">
        <f aca="false">IF($Z677&lt;=0,0,$Z677/$AA677)</f>
        <v>0</v>
      </c>
      <c r="AC677" s="16" t="n">
        <f aca="false">IFERROR(INDEX(SEMANAS!$K$6:$K$71,MATCH($B677,SEMANAS!$B$6:$B$71,0)),0)</f>
        <v>147</v>
      </c>
      <c r="AD677" s="19" t="n">
        <f aca="false">IF($AC677&lt;=0,0,$AB677/$AC677)</f>
        <v>0</v>
      </c>
      <c r="AE677" s="8" t="str">
        <f aca="false">IF($K677="SEM CULTURA","SEM CULTURA",IF($AA677&lt;=0,"DADO PENDENTE",IF($AD677&gt;LIMITE_CRITICO,"INVIAVEL",IF($AD677&gt;LIMITE_ATENCAO,"CRITICO",IF($AD677&gt;LIMITE_CONFORTAVEL,"ATENCAO","OK")))))</f>
        <v>OK</v>
      </c>
      <c r="AF677" s="8" t="str">
        <f aca="false">$B677&amp;"|"&amp;TEXT($AD677,"0.000000")</f>
        <v>12|0.000000</v>
      </c>
      <c r="AG677" s="18" t="n">
        <f aca="false">IF($K677="SEM CULTURA",0,$T677*$H677)</f>
        <v>4868.97365547226</v>
      </c>
      <c r="AH677" s="18" t="n">
        <f aca="false">IF($K677="SEM CULTURA",0,$V677*$H677)</f>
        <v>5602.05296</v>
      </c>
      <c r="AI677" s="18" t="n">
        <f aca="false">IF($K677="SEM CULTURA",0,$W677*$H677)</f>
        <v>0</v>
      </c>
      <c r="AJ677" s="18" t="n">
        <f aca="false">IF($K677="SEM CULTURA",0,$S677*$H677)</f>
        <v>5144.314</v>
      </c>
      <c r="AK677" s="8" t="str">
        <f aca="false">$E677&amp;"|"&amp;TEXT($AD677,"0.000000")</f>
        <v>PV 112|0.000000</v>
      </c>
    </row>
    <row r="678" customFormat="false" ht="15" hidden="false" customHeight="false" outlineLevel="0" collapsed="false">
      <c r="B678" s="16" t="n">
        <v>13</v>
      </c>
      <c r="C678" s="17" t="n">
        <f aca="false">DATA_INICIO_SAFRA+($B678-1)*DIAS_POR_SEMANA</f>
        <v>46349</v>
      </c>
      <c r="D678" s="17" t="n">
        <f aca="false">$C678+DIAS_POR_SEMANA-1</f>
        <v>46355</v>
      </c>
      <c r="E678" s="15" t="s">
        <v>269</v>
      </c>
      <c r="F678" s="8" t="str">
        <f aca="false">IFERROR(INDEX(CADASTRO_PIVOS!$C$6:$C$41,MATCH($E678,CADASTRO_PIVOS!$B$6:$B$41,0)),"?")</f>
        <v>RM05</v>
      </c>
      <c r="G678" s="8" t="str">
        <f aca="false">IFERROR(INDEX(CADASTRO_PIVOS!$D$6:$D$41,MATCH($E678,CADASTRO_PIVOS!$B$6:$B$41,0)),"?")</f>
        <v>TR05</v>
      </c>
      <c r="H678" s="20" t="n">
        <f aca="false">IFERROR(INDEX(CADASTRO_PIVOS!$E$6:$E$41,MATCH($E678,CADASTRO_PIVOS!$B$6:$B$41,0)),0)</f>
        <v>149.98</v>
      </c>
      <c r="I678" s="16" t="n">
        <f aca="false">IFERROR(SUMIFS(ROTACAO_RDM!$B$6:$B$71,ROTACAO_RDM!$D$6:$D$71,$E678,ROTACAO_RDM!$I$6:$I$71,"&lt;="&amp;$C678+INT(DIAS_POR_SEMANA/2),ROTACAO_RDM!$J$6:$J$71,"&gt;="&amp;$C678+INT(DIAS_POR_SEMANA/2)),0)</f>
        <v>19</v>
      </c>
      <c r="J678" s="16" t="n">
        <f aca="false">IFERROR(MATCH($I678,ROTACAO_RDM!$B$6:$B$71,0),0)</f>
        <v>19</v>
      </c>
      <c r="K678" s="8" t="str">
        <f aca="false">IF($J678=0,"SEM CULTURA",INDEX(ROTACAO_RDM!$F$6:$F$71,$J678))</f>
        <v>SOJA</v>
      </c>
      <c r="L678" s="8" t="str">
        <f aca="false">IF($J678=0,"",INDEX(ROTACAO_RDM!$G$6:$G$71,$J678))</f>
        <v>NEO 761 I2X</v>
      </c>
      <c r="M678" s="17" t="n">
        <f aca="false">IF($J678=0,"",INDEX(ROTACAO_RDM!$I$6:$I$71,$J678))</f>
        <v>46307</v>
      </c>
      <c r="N678" s="16" t="n">
        <f aca="false">IF($J678=0,0,MAX(0,$C678+INT(DIAS_POR_SEMANA/2)-INDEX(ROTACAO_RDM!$I$6:$I$71,$J678)))</f>
        <v>45</v>
      </c>
      <c r="O678" s="19" t="n">
        <f aca="false">IF($J678=0,0,MIN(1,$N678/MAX(1,INDEX(ROTACAO_RDM!$K$6:$K$71,$J678))))</f>
        <v>0.387931034482759</v>
      </c>
      <c r="P678" s="16" t="n">
        <f aca="false">IF($J678=0,0,IFERROR(MATCH(INDEX(ROTACAO_RDM!$N$6:$N$71,$J678),PARAMETROS_CULTURAS!$B$6:$B$28,0),0))</f>
        <v>2</v>
      </c>
      <c r="Q678" s="8" t="str">
        <f aca="false">IF($P678=0,"-",IF($O678&lt;=INDEX(PARAMETROS_CULTURAS!$F$6:$F$28,$P678),"INICIAL",IF($O678&lt;=INDEX(PARAMETROS_CULTURAS!$F$6:$F$28,$P678)+INDEX(PARAMETROS_CULTURAS!$G$6:$G$28,$P678),"DESENVOLVIMENTO",IF($O678&lt;=INDEX(PARAMETROS_CULTURAS!$F$6:$F$28,$P678)+INDEX(PARAMETROS_CULTURAS!$G$6:$G$28,$P678)+INDEX(PARAMETROS_CULTURAS!$H$6:$H$28,$P678),"MEDIA","FINAL"))))</f>
        <v>DESENVOLVIMENTO</v>
      </c>
      <c r="R678" s="24" t="n">
        <f aca="false">IF($P678=0,0,IF($O678&lt;=INDEX(PARAMETROS_CULTURAS!$F$6:$F$28,$P678),INDEX(PARAMETROS_CULTURAS!$K$6:$K$28,$P678),IF($O678&lt;=INDEX(PARAMETROS_CULTURAS!$F$6:$F$28,$P678)+INDEX(PARAMETROS_CULTURAS!$G$6:$G$28,$P678),INDEX(PARAMETROS_CULTURAS!$K$6:$K$28,$P678)+(INDEX(PARAMETROS_CULTURAS!$L$6:$L$28,$P678)-INDEX(PARAMETROS_CULTURAS!$K$6:$K$28,$P678))*($O678-INDEX(PARAMETROS_CULTURAS!$F$6:$F$28,$P678))/MAX(INDEX(PARAMETROS_CULTURAS!$G$6:$G$28,$P678),0.0001),IF($O678&lt;=INDEX(PARAMETROS_CULTURAS!$F$6:$F$28,$P678)+INDEX(PARAMETROS_CULTURAS!$G$6:$G$28,$P678)+INDEX(PARAMETROS_CULTURAS!$H$6:$H$28,$P678),INDEX(PARAMETROS_CULTURAS!$L$6:$L$28,$P678),INDEX(PARAMETROS_CULTURAS!$L$6:$L$28,$P678)+(INDEX(PARAMETROS_CULTURAS!$M$6:$M$28,$P678)-INDEX(PARAMETROS_CULTURAS!$L$6:$L$28,$P678))*($O678-INDEX(PARAMETROS_CULTURAS!$F$6:$F$28,$P678)-INDEX(PARAMETROS_CULTURAS!$G$6:$G$28,$P678)-INDEX(PARAMETROS_CULTURAS!$H$6:$H$28,$P678))/MAX(INDEX(PARAMETROS_CULTURAS!$I$6:$I$28,$P678),0.0001)))))</f>
        <v>1.14325337331334</v>
      </c>
      <c r="S678" s="18" t="n">
        <f aca="false">IFERROR(INDEX(SEMANAS!$H$6:$H$71,MATCH($B678,SEMANAS!$B$6:$B$71,0)),0)</f>
        <v>34.3</v>
      </c>
      <c r="T678" s="18" t="n">
        <f aca="false">$R678*$S678</f>
        <v>39.2135907046477</v>
      </c>
      <c r="U678" s="18" t="n">
        <f aca="false">IFERROR(INDEX(SEMANAS!$I$6:$I$71,MATCH($B678,SEMANAS!$B$6:$B$71,0)),0)</f>
        <v>46.69</v>
      </c>
      <c r="V678" s="18" t="n">
        <f aca="false">IFERROR(INDEX(SEMANAS!$J$6:$J$71,MATCH($B678,SEMANAS!$B$6:$B$71,0)),0)</f>
        <v>37.352</v>
      </c>
      <c r="W678" s="18" t="n">
        <f aca="false">MAX(0,$T678-$V678)</f>
        <v>1.86159070464768</v>
      </c>
      <c r="X678" s="19" t="n">
        <f aca="false">IFERROR(INDEX(CADASTRO_PIVOS!$K$6:$K$41,MATCH($E678,CADASTRO_PIVOS!$B$6:$B$41,0)),EFICIENCIA_PADRAO)</f>
        <v>0.85</v>
      </c>
      <c r="Y678" s="18" t="n">
        <f aca="false">IF($X678&lt;=0,0,$W678/$X678)</f>
        <v>2.19010671135021</v>
      </c>
      <c r="Z678" s="16" t="n">
        <f aca="false">$Y678*$H678*MM_PARA_M3_HA</f>
        <v>3284.72204568304</v>
      </c>
      <c r="AA678" s="18" t="n">
        <f aca="false">IFERROR(INDEX(CADASTRO_PIVOS!$I$6:$I$41,MATCH($E678,CADASTRO_PIVOS!$B$6:$B$41,0)),0)</f>
        <v>1071.28571428571</v>
      </c>
      <c r="AB678" s="18" t="n">
        <f aca="false">IF($Z678&lt;=0,0,$Z678/$AA678)</f>
        <v>3.06614939589029</v>
      </c>
      <c r="AC678" s="16" t="n">
        <f aca="false">IFERROR(INDEX(SEMANAS!$K$6:$K$71,MATCH($B678,SEMANAS!$B$6:$B$71,0)),0)</f>
        <v>147</v>
      </c>
      <c r="AD678" s="19" t="n">
        <f aca="false">IF($AC678&lt;=0,0,$AB678/$AC678)</f>
        <v>0.0208581591557162</v>
      </c>
      <c r="AE678" s="8" t="str">
        <f aca="false">IF($K678="SEM CULTURA","SEM CULTURA",IF($AA678&lt;=0,"DADO PENDENTE",IF($AD678&gt;LIMITE_CRITICO,"INVIAVEL",IF($AD678&gt;LIMITE_ATENCAO,"CRITICO",IF($AD678&gt;LIMITE_CONFORTAVEL,"ATENCAO","OK")))))</f>
        <v>OK</v>
      </c>
      <c r="AF678" s="8" t="str">
        <f aca="false">$B678&amp;"|"&amp;TEXT($AD678,"0.000000")</f>
        <v>13|0.020858</v>
      </c>
      <c r="AG678" s="18" t="n">
        <f aca="false">IF($K678="SEM CULTURA",0,$T678*$H678)</f>
        <v>5881.25433388306</v>
      </c>
      <c r="AH678" s="18" t="n">
        <f aca="false">IF($K678="SEM CULTURA",0,$V678*$H678)</f>
        <v>5602.05296</v>
      </c>
      <c r="AI678" s="18" t="n">
        <f aca="false">IF($K678="SEM CULTURA",0,$W678*$H678)</f>
        <v>279.201373883058</v>
      </c>
      <c r="AJ678" s="18" t="n">
        <f aca="false">IF($K678="SEM CULTURA",0,$S678*$H678)</f>
        <v>5144.314</v>
      </c>
      <c r="AK678" s="8" t="str">
        <f aca="false">$E678&amp;"|"&amp;TEXT($AD678,"0.000000")</f>
        <v>PV 112|0.020858</v>
      </c>
    </row>
    <row r="679" customFormat="false" ht="15" hidden="false" customHeight="false" outlineLevel="0" collapsed="false">
      <c r="B679" s="16" t="n">
        <v>14</v>
      </c>
      <c r="C679" s="17" t="n">
        <f aca="false">DATA_INICIO_SAFRA+($B679-1)*DIAS_POR_SEMANA</f>
        <v>46356</v>
      </c>
      <c r="D679" s="17" t="n">
        <f aca="false">$C679+DIAS_POR_SEMANA-1</f>
        <v>46362</v>
      </c>
      <c r="E679" s="15" t="s">
        <v>269</v>
      </c>
      <c r="F679" s="8" t="str">
        <f aca="false">IFERROR(INDEX(CADASTRO_PIVOS!$C$6:$C$41,MATCH($E679,CADASTRO_PIVOS!$B$6:$B$41,0)),"?")</f>
        <v>RM05</v>
      </c>
      <c r="G679" s="8" t="str">
        <f aca="false">IFERROR(INDEX(CADASTRO_PIVOS!$D$6:$D$41,MATCH($E679,CADASTRO_PIVOS!$B$6:$B$41,0)),"?")</f>
        <v>TR05</v>
      </c>
      <c r="H679" s="20" t="n">
        <f aca="false">IFERROR(INDEX(CADASTRO_PIVOS!$E$6:$E$41,MATCH($E679,CADASTRO_PIVOS!$B$6:$B$41,0)),0)</f>
        <v>149.98</v>
      </c>
      <c r="I679" s="16" t="n">
        <f aca="false">IFERROR(SUMIFS(ROTACAO_RDM!$B$6:$B$71,ROTACAO_RDM!$D$6:$D$71,$E679,ROTACAO_RDM!$I$6:$I$71,"&lt;="&amp;$C679+INT(DIAS_POR_SEMANA/2),ROTACAO_RDM!$J$6:$J$71,"&gt;="&amp;$C679+INT(DIAS_POR_SEMANA/2)),0)</f>
        <v>19</v>
      </c>
      <c r="J679" s="16" t="n">
        <f aca="false">IFERROR(MATCH($I679,ROTACAO_RDM!$B$6:$B$71,0),0)</f>
        <v>19</v>
      </c>
      <c r="K679" s="8" t="str">
        <f aca="false">IF($J679=0,"SEM CULTURA",INDEX(ROTACAO_RDM!$F$6:$F$71,$J679))</f>
        <v>SOJA</v>
      </c>
      <c r="L679" s="8" t="str">
        <f aca="false">IF($J679=0,"",INDEX(ROTACAO_RDM!$G$6:$G$71,$J679))</f>
        <v>NEO 761 I2X</v>
      </c>
      <c r="M679" s="17" t="n">
        <f aca="false">IF($J679=0,"",INDEX(ROTACAO_RDM!$I$6:$I$71,$J679))</f>
        <v>46307</v>
      </c>
      <c r="N679" s="16" t="n">
        <f aca="false">IF($J679=0,0,MAX(0,$C679+INT(DIAS_POR_SEMANA/2)-INDEX(ROTACAO_RDM!$I$6:$I$71,$J679)))</f>
        <v>52</v>
      </c>
      <c r="O679" s="19" t="n">
        <f aca="false">IF($J679=0,0,MIN(1,$N679/MAX(1,INDEX(ROTACAO_RDM!$K$6:$K$71,$J679))))</f>
        <v>0.448275862068966</v>
      </c>
      <c r="P679" s="16" t="n">
        <f aca="false">IF($J679=0,0,IFERROR(MATCH(INDEX(ROTACAO_RDM!$N$6:$N$71,$J679),PARAMETROS_CULTURAS!$B$6:$B$28,0),0))</f>
        <v>2</v>
      </c>
      <c r="Q679" s="8" t="str">
        <f aca="false">IF($P679=0,"-",IF($O679&lt;=INDEX(PARAMETROS_CULTURAS!$F$6:$F$28,$P679),"INICIAL",IF($O679&lt;=INDEX(PARAMETROS_CULTURAS!$F$6:$F$28,$P679)+INDEX(PARAMETROS_CULTURAS!$G$6:$G$28,$P679),"DESENVOLVIMENTO",IF($O679&lt;=INDEX(PARAMETROS_CULTURAS!$F$6:$F$28,$P679)+INDEX(PARAMETROS_CULTURAS!$G$6:$G$28,$P679)+INDEX(PARAMETROS_CULTURAS!$H$6:$H$28,$P679),"MEDIA","FINAL"))))</f>
        <v>MEDIA</v>
      </c>
      <c r="R679" s="24" t="n">
        <f aca="false">IF($P679=0,0,IF($O679&lt;=INDEX(PARAMETROS_CULTURAS!$F$6:$F$28,$P679),INDEX(PARAMETROS_CULTURAS!$K$6:$K$28,$P679),IF($O679&lt;=INDEX(PARAMETROS_CULTURAS!$F$6:$F$28,$P679)+INDEX(PARAMETROS_CULTURAS!$G$6:$G$28,$P679),INDEX(PARAMETROS_CULTURAS!$K$6:$K$28,$P679)+(INDEX(PARAMETROS_CULTURAS!$L$6:$L$28,$P679)-INDEX(PARAMETROS_CULTURAS!$K$6:$K$28,$P679))*($O679-INDEX(PARAMETROS_CULTURAS!$F$6:$F$28,$P679))/MAX(INDEX(PARAMETROS_CULTURAS!$G$6:$G$28,$P679),0.0001),IF($O679&lt;=INDEX(PARAMETROS_CULTURAS!$F$6:$F$28,$P679)+INDEX(PARAMETROS_CULTURAS!$G$6:$G$28,$P679)+INDEX(PARAMETROS_CULTURAS!$H$6:$H$28,$P679),INDEX(PARAMETROS_CULTURAS!$L$6:$L$28,$P679),INDEX(PARAMETROS_CULTURAS!$L$6:$L$28,$P679)+(INDEX(PARAMETROS_CULTURAS!$M$6:$M$28,$P679)-INDEX(PARAMETROS_CULTURAS!$L$6:$L$28,$P679))*($O679-INDEX(PARAMETROS_CULTURAS!$F$6:$F$28,$P679)-INDEX(PARAMETROS_CULTURAS!$G$6:$G$28,$P679)-INDEX(PARAMETROS_CULTURAS!$H$6:$H$28,$P679))/MAX(INDEX(PARAMETROS_CULTURAS!$I$6:$I$28,$P679),0.0001)))))</f>
        <v>1.15</v>
      </c>
      <c r="S679" s="18" t="n">
        <f aca="false">IFERROR(INDEX(SEMANAS!$H$6:$H$71,MATCH($B679,SEMANAS!$B$6:$B$71,0)),0)</f>
        <v>33.1</v>
      </c>
      <c r="T679" s="18" t="n">
        <f aca="false">$R679*$S679</f>
        <v>38.065</v>
      </c>
      <c r="U679" s="18" t="n">
        <f aca="false">IFERROR(INDEX(SEMANAS!$I$6:$I$71,MATCH($B679,SEMANAS!$B$6:$B$71,0)),0)</f>
        <v>48.31</v>
      </c>
      <c r="V679" s="18" t="n">
        <f aca="false">IFERROR(INDEX(SEMANAS!$J$6:$J$71,MATCH($B679,SEMANAS!$B$6:$B$71,0)),0)</f>
        <v>38.648</v>
      </c>
      <c r="W679" s="18" t="n">
        <f aca="false">MAX(0,$T679-$V679)</f>
        <v>0</v>
      </c>
      <c r="X679" s="19" t="n">
        <f aca="false">IFERROR(INDEX(CADASTRO_PIVOS!$K$6:$K$41,MATCH($E679,CADASTRO_PIVOS!$B$6:$B$41,0)),EFICIENCIA_PADRAO)</f>
        <v>0.85</v>
      </c>
      <c r="Y679" s="18" t="n">
        <f aca="false">IF($X679&lt;=0,0,$W679/$X679)</f>
        <v>0</v>
      </c>
      <c r="Z679" s="16" t="n">
        <f aca="false">$Y679*$H679*MM_PARA_M3_HA</f>
        <v>0</v>
      </c>
      <c r="AA679" s="18" t="n">
        <f aca="false">IFERROR(INDEX(CADASTRO_PIVOS!$I$6:$I$41,MATCH($E679,CADASTRO_PIVOS!$B$6:$B$41,0)),0)</f>
        <v>1071.28571428571</v>
      </c>
      <c r="AB679" s="18" t="n">
        <f aca="false">IF($Z679&lt;=0,0,$Z679/$AA679)</f>
        <v>0</v>
      </c>
      <c r="AC679" s="16" t="n">
        <f aca="false">IFERROR(INDEX(SEMANAS!$K$6:$K$71,MATCH($B679,SEMANAS!$B$6:$B$71,0)),0)</f>
        <v>147</v>
      </c>
      <c r="AD679" s="19" t="n">
        <f aca="false">IF($AC679&lt;=0,0,$AB679/$AC679)</f>
        <v>0</v>
      </c>
      <c r="AE679" s="8" t="str">
        <f aca="false">IF($K679="SEM CULTURA","SEM CULTURA",IF($AA679&lt;=0,"DADO PENDENTE",IF($AD679&gt;LIMITE_CRITICO,"INVIAVEL",IF($AD679&gt;LIMITE_ATENCAO,"CRITICO",IF($AD679&gt;LIMITE_CONFORTAVEL,"ATENCAO","OK")))))</f>
        <v>OK</v>
      </c>
      <c r="AF679" s="8" t="str">
        <f aca="false">$B679&amp;"|"&amp;TEXT($AD679,"0.000000")</f>
        <v>14|0.000000</v>
      </c>
      <c r="AG679" s="18" t="n">
        <f aca="false">IF($K679="SEM CULTURA",0,$T679*$H679)</f>
        <v>5708.9887</v>
      </c>
      <c r="AH679" s="18" t="n">
        <f aca="false">IF($K679="SEM CULTURA",0,$V679*$H679)</f>
        <v>5796.42704</v>
      </c>
      <c r="AI679" s="18" t="n">
        <f aca="false">IF($K679="SEM CULTURA",0,$W679*$H679)</f>
        <v>0</v>
      </c>
      <c r="AJ679" s="18" t="n">
        <f aca="false">IF($K679="SEM CULTURA",0,$S679*$H679)</f>
        <v>4964.338</v>
      </c>
      <c r="AK679" s="8" t="str">
        <f aca="false">$E679&amp;"|"&amp;TEXT($AD679,"0.000000")</f>
        <v>PV 112|0.000000</v>
      </c>
    </row>
    <row r="680" customFormat="false" ht="15" hidden="false" customHeight="false" outlineLevel="0" collapsed="false">
      <c r="B680" s="16" t="n">
        <v>15</v>
      </c>
      <c r="C680" s="17" t="n">
        <f aca="false">DATA_INICIO_SAFRA+($B680-1)*DIAS_POR_SEMANA</f>
        <v>46363</v>
      </c>
      <c r="D680" s="17" t="n">
        <f aca="false">$C680+DIAS_POR_SEMANA-1</f>
        <v>46369</v>
      </c>
      <c r="E680" s="15" t="s">
        <v>269</v>
      </c>
      <c r="F680" s="8" t="str">
        <f aca="false">IFERROR(INDEX(CADASTRO_PIVOS!$C$6:$C$41,MATCH($E680,CADASTRO_PIVOS!$B$6:$B$41,0)),"?")</f>
        <v>RM05</v>
      </c>
      <c r="G680" s="8" t="str">
        <f aca="false">IFERROR(INDEX(CADASTRO_PIVOS!$D$6:$D$41,MATCH($E680,CADASTRO_PIVOS!$B$6:$B$41,0)),"?")</f>
        <v>TR05</v>
      </c>
      <c r="H680" s="20" t="n">
        <f aca="false">IFERROR(INDEX(CADASTRO_PIVOS!$E$6:$E$41,MATCH($E680,CADASTRO_PIVOS!$B$6:$B$41,0)),0)</f>
        <v>149.98</v>
      </c>
      <c r="I680" s="16" t="n">
        <f aca="false">IFERROR(SUMIFS(ROTACAO_RDM!$B$6:$B$71,ROTACAO_RDM!$D$6:$D$71,$E680,ROTACAO_RDM!$I$6:$I$71,"&lt;="&amp;$C680+INT(DIAS_POR_SEMANA/2),ROTACAO_RDM!$J$6:$J$71,"&gt;="&amp;$C680+INT(DIAS_POR_SEMANA/2)),0)</f>
        <v>19</v>
      </c>
      <c r="J680" s="16" t="n">
        <f aca="false">IFERROR(MATCH($I680,ROTACAO_RDM!$B$6:$B$71,0),0)</f>
        <v>19</v>
      </c>
      <c r="K680" s="8" t="str">
        <f aca="false">IF($J680=0,"SEM CULTURA",INDEX(ROTACAO_RDM!$F$6:$F$71,$J680))</f>
        <v>SOJA</v>
      </c>
      <c r="L680" s="8" t="str">
        <f aca="false">IF($J680=0,"",INDEX(ROTACAO_RDM!$G$6:$G$71,$J680))</f>
        <v>NEO 761 I2X</v>
      </c>
      <c r="M680" s="17" t="n">
        <f aca="false">IF($J680=0,"",INDEX(ROTACAO_RDM!$I$6:$I$71,$J680))</f>
        <v>46307</v>
      </c>
      <c r="N680" s="16" t="n">
        <f aca="false">IF($J680=0,0,MAX(0,$C680+INT(DIAS_POR_SEMANA/2)-INDEX(ROTACAO_RDM!$I$6:$I$71,$J680)))</f>
        <v>59</v>
      </c>
      <c r="O680" s="19" t="n">
        <f aca="false">IF($J680=0,0,MIN(1,$N680/MAX(1,INDEX(ROTACAO_RDM!$K$6:$K$71,$J680))))</f>
        <v>0.508620689655172</v>
      </c>
      <c r="P680" s="16" t="n">
        <f aca="false">IF($J680=0,0,IFERROR(MATCH(INDEX(ROTACAO_RDM!$N$6:$N$71,$J680),PARAMETROS_CULTURAS!$B$6:$B$28,0),0))</f>
        <v>2</v>
      </c>
      <c r="Q680" s="8" t="str">
        <f aca="false">IF($P680=0,"-",IF($O680&lt;=INDEX(PARAMETROS_CULTURAS!$F$6:$F$28,$P680),"INICIAL",IF($O680&lt;=INDEX(PARAMETROS_CULTURAS!$F$6:$F$28,$P680)+INDEX(PARAMETROS_CULTURAS!$G$6:$G$28,$P680),"DESENVOLVIMENTO",IF($O680&lt;=INDEX(PARAMETROS_CULTURAS!$F$6:$F$28,$P680)+INDEX(PARAMETROS_CULTURAS!$G$6:$G$28,$P680)+INDEX(PARAMETROS_CULTURAS!$H$6:$H$28,$P680),"MEDIA","FINAL"))))</f>
        <v>MEDIA</v>
      </c>
      <c r="R680" s="24" t="n">
        <f aca="false">IF($P680=0,0,IF($O680&lt;=INDEX(PARAMETROS_CULTURAS!$F$6:$F$28,$P680),INDEX(PARAMETROS_CULTURAS!$K$6:$K$28,$P680),IF($O680&lt;=INDEX(PARAMETROS_CULTURAS!$F$6:$F$28,$P680)+INDEX(PARAMETROS_CULTURAS!$G$6:$G$28,$P680),INDEX(PARAMETROS_CULTURAS!$K$6:$K$28,$P680)+(INDEX(PARAMETROS_CULTURAS!$L$6:$L$28,$P680)-INDEX(PARAMETROS_CULTURAS!$K$6:$K$28,$P680))*($O680-INDEX(PARAMETROS_CULTURAS!$F$6:$F$28,$P680))/MAX(INDEX(PARAMETROS_CULTURAS!$G$6:$G$28,$P680),0.0001),IF($O680&lt;=INDEX(PARAMETROS_CULTURAS!$F$6:$F$28,$P680)+INDEX(PARAMETROS_CULTURAS!$G$6:$G$28,$P680)+INDEX(PARAMETROS_CULTURAS!$H$6:$H$28,$P680),INDEX(PARAMETROS_CULTURAS!$L$6:$L$28,$P680),INDEX(PARAMETROS_CULTURAS!$L$6:$L$28,$P680)+(INDEX(PARAMETROS_CULTURAS!$M$6:$M$28,$P680)-INDEX(PARAMETROS_CULTURAS!$L$6:$L$28,$P680))*($O680-INDEX(PARAMETROS_CULTURAS!$F$6:$F$28,$P680)-INDEX(PARAMETROS_CULTURAS!$G$6:$G$28,$P680)-INDEX(PARAMETROS_CULTURAS!$H$6:$H$28,$P680))/MAX(INDEX(PARAMETROS_CULTURAS!$I$6:$I$28,$P680),0.0001)))))</f>
        <v>1.15</v>
      </c>
      <c r="S680" s="18" t="n">
        <f aca="false">IFERROR(INDEX(SEMANAS!$H$6:$H$71,MATCH($B680,SEMANAS!$B$6:$B$71,0)),0)</f>
        <v>32.9</v>
      </c>
      <c r="T680" s="18" t="n">
        <f aca="false">$R680*$S680</f>
        <v>37.835</v>
      </c>
      <c r="U680" s="18" t="n">
        <f aca="false">IFERROR(INDEX(SEMANAS!$I$6:$I$71,MATCH($B680,SEMANAS!$B$6:$B$71,0)),0)</f>
        <v>48.58</v>
      </c>
      <c r="V680" s="18" t="n">
        <f aca="false">IFERROR(INDEX(SEMANAS!$J$6:$J$71,MATCH($B680,SEMANAS!$B$6:$B$71,0)),0)</f>
        <v>38.864</v>
      </c>
      <c r="W680" s="18" t="n">
        <f aca="false">MAX(0,$T680-$V680)</f>
        <v>0</v>
      </c>
      <c r="X680" s="19" t="n">
        <f aca="false">IFERROR(INDEX(CADASTRO_PIVOS!$K$6:$K$41,MATCH($E680,CADASTRO_PIVOS!$B$6:$B$41,0)),EFICIENCIA_PADRAO)</f>
        <v>0.85</v>
      </c>
      <c r="Y680" s="18" t="n">
        <f aca="false">IF($X680&lt;=0,0,$W680/$X680)</f>
        <v>0</v>
      </c>
      <c r="Z680" s="16" t="n">
        <f aca="false">$Y680*$H680*MM_PARA_M3_HA</f>
        <v>0</v>
      </c>
      <c r="AA680" s="18" t="n">
        <f aca="false">IFERROR(INDEX(CADASTRO_PIVOS!$I$6:$I$41,MATCH($E680,CADASTRO_PIVOS!$B$6:$B$41,0)),0)</f>
        <v>1071.28571428571</v>
      </c>
      <c r="AB680" s="18" t="n">
        <f aca="false">IF($Z680&lt;=0,0,$Z680/$AA680)</f>
        <v>0</v>
      </c>
      <c r="AC680" s="16" t="n">
        <f aca="false">IFERROR(INDEX(SEMANAS!$K$6:$K$71,MATCH($B680,SEMANAS!$B$6:$B$71,0)),0)</f>
        <v>147</v>
      </c>
      <c r="AD680" s="19" t="n">
        <f aca="false">IF($AC680&lt;=0,0,$AB680/$AC680)</f>
        <v>0</v>
      </c>
      <c r="AE680" s="8" t="str">
        <f aca="false">IF($K680="SEM CULTURA","SEM CULTURA",IF($AA680&lt;=0,"DADO PENDENTE",IF($AD680&gt;LIMITE_CRITICO,"INVIAVEL",IF($AD680&gt;LIMITE_ATENCAO,"CRITICO",IF($AD680&gt;LIMITE_CONFORTAVEL,"ATENCAO","OK")))))</f>
        <v>OK</v>
      </c>
      <c r="AF680" s="8" t="str">
        <f aca="false">$B680&amp;"|"&amp;TEXT($AD680,"0.000000")</f>
        <v>15|0.000000</v>
      </c>
      <c r="AG680" s="18" t="n">
        <f aca="false">IF($K680="SEM CULTURA",0,$T680*$H680)</f>
        <v>5674.4933</v>
      </c>
      <c r="AH680" s="18" t="n">
        <f aca="false">IF($K680="SEM CULTURA",0,$V680*$H680)</f>
        <v>5828.82272</v>
      </c>
      <c r="AI680" s="18" t="n">
        <f aca="false">IF($K680="SEM CULTURA",0,$W680*$H680)</f>
        <v>0</v>
      </c>
      <c r="AJ680" s="18" t="n">
        <f aca="false">IF($K680="SEM CULTURA",0,$S680*$H680)</f>
        <v>4934.342</v>
      </c>
      <c r="AK680" s="8" t="str">
        <f aca="false">$E680&amp;"|"&amp;TEXT($AD680,"0.000000")</f>
        <v>PV 112|0.000000</v>
      </c>
    </row>
    <row r="681" customFormat="false" ht="15" hidden="false" customHeight="false" outlineLevel="0" collapsed="false">
      <c r="B681" s="16" t="n">
        <v>16</v>
      </c>
      <c r="C681" s="17" t="n">
        <f aca="false">DATA_INICIO_SAFRA+($B681-1)*DIAS_POR_SEMANA</f>
        <v>46370</v>
      </c>
      <c r="D681" s="17" t="n">
        <f aca="false">$C681+DIAS_POR_SEMANA-1</f>
        <v>46376</v>
      </c>
      <c r="E681" s="15" t="s">
        <v>269</v>
      </c>
      <c r="F681" s="8" t="str">
        <f aca="false">IFERROR(INDEX(CADASTRO_PIVOS!$C$6:$C$41,MATCH($E681,CADASTRO_PIVOS!$B$6:$B$41,0)),"?")</f>
        <v>RM05</v>
      </c>
      <c r="G681" s="8" t="str">
        <f aca="false">IFERROR(INDEX(CADASTRO_PIVOS!$D$6:$D$41,MATCH($E681,CADASTRO_PIVOS!$B$6:$B$41,0)),"?")</f>
        <v>TR05</v>
      </c>
      <c r="H681" s="20" t="n">
        <f aca="false">IFERROR(INDEX(CADASTRO_PIVOS!$E$6:$E$41,MATCH($E681,CADASTRO_PIVOS!$B$6:$B$41,0)),0)</f>
        <v>149.98</v>
      </c>
      <c r="I681" s="16" t="n">
        <f aca="false">IFERROR(SUMIFS(ROTACAO_RDM!$B$6:$B$71,ROTACAO_RDM!$D$6:$D$71,$E681,ROTACAO_RDM!$I$6:$I$71,"&lt;="&amp;$C681+INT(DIAS_POR_SEMANA/2),ROTACAO_RDM!$J$6:$J$71,"&gt;="&amp;$C681+INT(DIAS_POR_SEMANA/2)),0)</f>
        <v>19</v>
      </c>
      <c r="J681" s="16" t="n">
        <f aca="false">IFERROR(MATCH($I681,ROTACAO_RDM!$B$6:$B$71,0),0)</f>
        <v>19</v>
      </c>
      <c r="K681" s="8" t="str">
        <f aca="false">IF($J681=0,"SEM CULTURA",INDEX(ROTACAO_RDM!$F$6:$F$71,$J681))</f>
        <v>SOJA</v>
      </c>
      <c r="L681" s="8" t="str">
        <f aca="false">IF($J681=0,"",INDEX(ROTACAO_RDM!$G$6:$G$71,$J681))</f>
        <v>NEO 761 I2X</v>
      </c>
      <c r="M681" s="17" t="n">
        <f aca="false">IF($J681=0,"",INDEX(ROTACAO_RDM!$I$6:$I$71,$J681))</f>
        <v>46307</v>
      </c>
      <c r="N681" s="16" t="n">
        <f aca="false">IF($J681=0,0,MAX(0,$C681+INT(DIAS_POR_SEMANA/2)-INDEX(ROTACAO_RDM!$I$6:$I$71,$J681)))</f>
        <v>66</v>
      </c>
      <c r="O681" s="19" t="n">
        <f aca="false">IF($J681=0,0,MIN(1,$N681/MAX(1,INDEX(ROTACAO_RDM!$K$6:$K$71,$J681))))</f>
        <v>0.568965517241379</v>
      </c>
      <c r="P681" s="16" t="n">
        <f aca="false">IF($J681=0,0,IFERROR(MATCH(INDEX(ROTACAO_RDM!$N$6:$N$71,$J681),PARAMETROS_CULTURAS!$B$6:$B$28,0),0))</f>
        <v>2</v>
      </c>
      <c r="Q681" s="8" t="str">
        <f aca="false">IF($P681=0,"-",IF($O681&lt;=INDEX(PARAMETROS_CULTURAS!$F$6:$F$28,$P681),"INICIAL",IF($O681&lt;=INDEX(PARAMETROS_CULTURAS!$F$6:$F$28,$P681)+INDEX(PARAMETROS_CULTURAS!$G$6:$G$28,$P681),"DESENVOLVIMENTO",IF($O681&lt;=INDEX(PARAMETROS_CULTURAS!$F$6:$F$28,$P681)+INDEX(PARAMETROS_CULTURAS!$G$6:$G$28,$P681)+INDEX(PARAMETROS_CULTURAS!$H$6:$H$28,$P681),"MEDIA","FINAL"))))</f>
        <v>MEDIA</v>
      </c>
      <c r="R681" s="24" t="n">
        <f aca="false">IF($P681=0,0,IF($O681&lt;=INDEX(PARAMETROS_CULTURAS!$F$6:$F$28,$P681),INDEX(PARAMETROS_CULTURAS!$K$6:$K$28,$P681),IF($O681&lt;=INDEX(PARAMETROS_CULTURAS!$F$6:$F$28,$P681)+INDEX(PARAMETROS_CULTURAS!$G$6:$G$28,$P681),INDEX(PARAMETROS_CULTURAS!$K$6:$K$28,$P681)+(INDEX(PARAMETROS_CULTURAS!$L$6:$L$28,$P681)-INDEX(PARAMETROS_CULTURAS!$K$6:$K$28,$P681))*($O681-INDEX(PARAMETROS_CULTURAS!$F$6:$F$28,$P681))/MAX(INDEX(PARAMETROS_CULTURAS!$G$6:$G$28,$P681),0.0001),IF($O681&lt;=INDEX(PARAMETROS_CULTURAS!$F$6:$F$28,$P681)+INDEX(PARAMETROS_CULTURAS!$G$6:$G$28,$P681)+INDEX(PARAMETROS_CULTURAS!$H$6:$H$28,$P681),INDEX(PARAMETROS_CULTURAS!$L$6:$L$28,$P681),INDEX(PARAMETROS_CULTURAS!$L$6:$L$28,$P681)+(INDEX(PARAMETROS_CULTURAS!$M$6:$M$28,$P681)-INDEX(PARAMETROS_CULTURAS!$L$6:$L$28,$P681))*($O681-INDEX(PARAMETROS_CULTURAS!$F$6:$F$28,$P681)-INDEX(PARAMETROS_CULTURAS!$G$6:$G$28,$P681)-INDEX(PARAMETROS_CULTURAS!$H$6:$H$28,$P681))/MAX(INDEX(PARAMETROS_CULTURAS!$I$6:$I$28,$P681),0.0001)))))</f>
        <v>1.15</v>
      </c>
      <c r="S681" s="18" t="n">
        <f aca="false">IFERROR(INDEX(SEMANAS!$H$6:$H$71,MATCH($B681,SEMANAS!$B$6:$B$71,0)),0)</f>
        <v>32.9</v>
      </c>
      <c r="T681" s="18" t="n">
        <f aca="false">$R681*$S681</f>
        <v>37.835</v>
      </c>
      <c r="U681" s="18" t="n">
        <f aca="false">IFERROR(INDEX(SEMANAS!$I$6:$I$71,MATCH($B681,SEMANAS!$B$6:$B$71,0)),0)</f>
        <v>48.58</v>
      </c>
      <c r="V681" s="18" t="n">
        <f aca="false">IFERROR(INDEX(SEMANAS!$J$6:$J$71,MATCH($B681,SEMANAS!$B$6:$B$71,0)),0)</f>
        <v>38.864</v>
      </c>
      <c r="W681" s="18" t="n">
        <f aca="false">MAX(0,$T681-$V681)</f>
        <v>0</v>
      </c>
      <c r="X681" s="19" t="n">
        <f aca="false">IFERROR(INDEX(CADASTRO_PIVOS!$K$6:$K$41,MATCH($E681,CADASTRO_PIVOS!$B$6:$B$41,0)),EFICIENCIA_PADRAO)</f>
        <v>0.85</v>
      </c>
      <c r="Y681" s="18" t="n">
        <f aca="false">IF($X681&lt;=0,0,$W681/$X681)</f>
        <v>0</v>
      </c>
      <c r="Z681" s="16" t="n">
        <f aca="false">$Y681*$H681*MM_PARA_M3_HA</f>
        <v>0</v>
      </c>
      <c r="AA681" s="18" t="n">
        <f aca="false">IFERROR(INDEX(CADASTRO_PIVOS!$I$6:$I$41,MATCH($E681,CADASTRO_PIVOS!$B$6:$B$41,0)),0)</f>
        <v>1071.28571428571</v>
      </c>
      <c r="AB681" s="18" t="n">
        <f aca="false">IF($Z681&lt;=0,0,$Z681/$AA681)</f>
        <v>0</v>
      </c>
      <c r="AC681" s="16" t="n">
        <f aca="false">IFERROR(INDEX(SEMANAS!$K$6:$K$71,MATCH($B681,SEMANAS!$B$6:$B$71,0)),0)</f>
        <v>147</v>
      </c>
      <c r="AD681" s="19" t="n">
        <f aca="false">IF($AC681&lt;=0,0,$AB681/$AC681)</f>
        <v>0</v>
      </c>
      <c r="AE681" s="8" t="str">
        <f aca="false">IF($K681="SEM CULTURA","SEM CULTURA",IF($AA681&lt;=0,"DADO PENDENTE",IF($AD681&gt;LIMITE_CRITICO,"INVIAVEL",IF($AD681&gt;LIMITE_ATENCAO,"CRITICO",IF($AD681&gt;LIMITE_CONFORTAVEL,"ATENCAO","OK")))))</f>
        <v>OK</v>
      </c>
      <c r="AF681" s="8" t="str">
        <f aca="false">$B681&amp;"|"&amp;TEXT($AD681,"0.000000")</f>
        <v>16|0.000000</v>
      </c>
      <c r="AG681" s="18" t="n">
        <f aca="false">IF($K681="SEM CULTURA",0,$T681*$H681)</f>
        <v>5674.4933</v>
      </c>
      <c r="AH681" s="18" t="n">
        <f aca="false">IF($K681="SEM CULTURA",0,$V681*$H681)</f>
        <v>5828.82272</v>
      </c>
      <c r="AI681" s="18" t="n">
        <f aca="false">IF($K681="SEM CULTURA",0,$W681*$H681)</f>
        <v>0</v>
      </c>
      <c r="AJ681" s="18" t="n">
        <f aca="false">IF($K681="SEM CULTURA",0,$S681*$H681)</f>
        <v>4934.342</v>
      </c>
      <c r="AK681" s="8" t="str">
        <f aca="false">$E681&amp;"|"&amp;TEXT($AD681,"0.000000")</f>
        <v>PV 112|0.000000</v>
      </c>
    </row>
    <row r="682" customFormat="false" ht="15" hidden="false" customHeight="false" outlineLevel="0" collapsed="false">
      <c r="B682" s="16" t="n">
        <v>17</v>
      </c>
      <c r="C682" s="17" t="n">
        <f aca="false">DATA_INICIO_SAFRA+($B682-1)*DIAS_POR_SEMANA</f>
        <v>46377</v>
      </c>
      <c r="D682" s="17" t="n">
        <f aca="false">$C682+DIAS_POR_SEMANA-1</f>
        <v>46383</v>
      </c>
      <c r="E682" s="15" t="s">
        <v>269</v>
      </c>
      <c r="F682" s="8" t="str">
        <f aca="false">IFERROR(INDEX(CADASTRO_PIVOS!$C$6:$C$41,MATCH($E682,CADASTRO_PIVOS!$B$6:$B$41,0)),"?")</f>
        <v>RM05</v>
      </c>
      <c r="G682" s="8" t="str">
        <f aca="false">IFERROR(INDEX(CADASTRO_PIVOS!$D$6:$D$41,MATCH($E682,CADASTRO_PIVOS!$B$6:$B$41,0)),"?")</f>
        <v>TR05</v>
      </c>
      <c r="H682" s="20" t="n">
        <f aca="false">IFERROR(INDEX(CADASTRO_PIVOS!$E$6:$E$41,MATCH($E682,CADASTRO_PIVOS!$B$6:$B$41,0)),0)</f>
        <v>149.98</v>
      </c>
      <c r="I682" s="16" t="n">
        <f aca="false">IFERROR(SUMIFS(ROTACAO_RDM!$B$6:$B$71,ROTACAO_RDM!$D$6:$D$71,$E682,ROTACAO_RDM!$I$6:$I$71,"&lt;="&amp;$C682+INT(DIAS_POR_SEMANA/2),ROTACAO_RDM!$J$6:$J$71,"&gt;="&amp;$C682+INT(DIAS_POR_SEMANA/2)),0)</f>
        <v>19</v>
      </c>
      <c r="J682" s="16" t="n">
        <f aca="false">IFERROR(MATCH($I682,ROTACAO_RDM!$B$6:$B$71,0),0)</f>
        <v>19</v>
      </c>
      <c r="K682" s="8" t="str">
        <f aca="false">IF($J682=0,"SEM CULTURA",INDEX(ROTACAO_RDM!$F$6:$F$71,$J682))</f>
        <v>SOJA</v>
      </c>
      <c r="L682" s="8" t="str">
        <f aca="false">IF($J682=0,"",INDEX(ROTACAO_RDM!$G$6:$G$71,$J682))</f>
        <v>NEO 761 I2X</v>
      </c>
      <c r="M682" s="17" t="n">
        <f aca="false">IF($J682=0,"",INDEX(ROTACAO_RDM!$I$6:$I$71,$J682))</f>
        <v>46307</v>
      </c>
      <c r="N682" s="16" t="n">
        <f aca="false">IF($J682=0,0,MAX(0,$C682+INT(DIAS_POR_SEMANA/2)-INDEX(ROTACAO_RDM!$I$6:$I$71,$J682)))</f>
        <v>73</v>
      </c>
      <c r="O682" s="19" t="n">
        <f aca="false">IF($J682=0,0,MIN(1,$N682/MAX(1,INDEX(ROTACAO_RDM!$K$6:$K$71,$J682))))</f>
        <v>0.629310344827586</v>
      </c>
      <c r="P682" s="16" t="n">
        <f aca="false">IF($J682=0,0,IFERROR(MATCH(INDEX(ROTACAO_RDM!$N$6:$N$71,$J682),PARAMETROS_CULTURAS!$B$6:$B$28,0),0))</f>
        <v>2</v>
      </c>
      <c r="Q682" s="8" t="str">
        <f aca="false">IF($P682=0,"-",IF($O682&lt;=INDEX(PARAMETROS_CULTURAS!$F$6:$F$28,$P682),"INICIAL",IF($O682&lt;=INDEX(PARAMETROS_CULTURAS!$F$6:$F$28,$P682)+INDEX(PARAMETROS_CULTURAS!$G$6:$G$28,$P682),"DESENVOLVIMENTO",IF($O682&lt;=INDEX(PARAMETROS_CULTURAS!$F$6:$F$28,$P682)+INDEX(PARAMETROS_CULTURAS!$G$6:$G$28,$P682)+INDEX(PARAMETROS_CULTURAS!$H$6:$H$28,$P682),"MEDIA","FINAL"))))</f>
        <v>MEDIA</v>
      </c>
      <c r="R682" s="24" t="n">
        <f aca="false">IF($P682=0,0,IF($O682&lt;=INDEX(PARAMETROS_CULTURAS!$F$6:$F$28,$P682),INDEX(PARAMETROS_CULTURAS!$K$6:$K$28,$P682),IF($O682&lt;=INDEX(PARAMETROS_CULTURAS!$F$6:$F$28,$P682)+INDEX(PARAMETROS_CULTURAS!$G$6:$G$28,$P682),INDEX(PARAMETROS_CULTURAS!$K$6:$K$28,$P682)+(INDEX(PARAMETROS_CULTURAS!$L$6:$L$28,$P682)-INDEX(PARAMETROS_CULTURAS!$K$6:$K$28,$P682))*($O682-INDEX(PARAMETROS_CULTURAS!$F$6:$F$28,$P682))/MAX(INDEX(PARAMETROS_CULTURAS!$G$6:$G$28,$P682),0.0001),IF($O682&lt;=INDEX(PARAMETROS_CULTURAS!$F$6:$F$28,$P682)+INDEX(PARAMETROS_CULTURAS!$G$6:$G$28,$P682)+INDEX(PARAMETROS_CULTURAS!$H$6:$H$28,$P682),INDEX(PARAMETROS_CULTURAS!$L$6:$L$28,$P682),INDEX(PARAMETROS_CULTURAS!$L$6:$L$28,$P682)+(INDEX(PARAMETROS_CULTURAS!$M$6:$M$28,$P682)-INDEX(PARAMETROS_CULTURAS!$L$6:$L$28,$P682))*($O682-INDEX(PARAMETROS_CULTURAS!$F$6:$F$28,$P682)-INDEX(PARAMETROS_CULTURAS!$G$6:$G$28,$P682)-INDEX(PARAMETROS_CULTURAS!$H$6:$H$28,$P682))/MAX(INDEX(PARAMETROS_CULTURAS!$I$6:$I$28,$P682),0.0001)))))</f>
        <v>1.15</v>
      </c>
      <c r="S682" s="18" t="n">
        <f aca="false">IFERROR(INDEX(SEMANAS!$H$6:$H$71,MATCH($B682,SEMANAS!$B$6:$B$71,0)),0)</f>
        <v>32.9</v>
      </c>
      <c r="T682" s="18" t="n">
        <f aca="false">$R682*$S682</f>
        <v>37.835</v>
      </c>
      <c r="U682" s="18" t="n">
        <f aca="false">IFERROR(INDEX(SEMANAS!$I$6:$I$71,MATCH($B682,SEMANAS!$B$6:$B$71,0)),0)</f>
        <v>48.58</v>
      </c>
      <c r="V682" s="18" t="n">
        <f aca="false">IFERROR(INDEX(SEMANAS!$J$6:$J$71,MATCH($B682,SEMANAS!$B$6:$B$71,0)),0)</f>
        <v>38.864</v>
      </c>
      <c r="W682" s="18" t="n">
        <f aca="false">MAX(0,$T682-$V682)</f>
        <v>0</v>
      </c>
      <c r="X682" s="19" t="n">
        <f aca="false">IFERROR(INDEX(CADASTRO_PIVOS!$K$6:$K$41,MATCH($E682,CADASTRO_PIVOS!$B$6:$B$41,0)),EFICIENCIA_PADRAO)</f>
        <v>0.85</v>
      </c>
      <c r="Y682" s="18" t="n">
        <f aca="false">IF($X682&lt;=0,0,$W682/$X682)</f>
        <v>0</v>
      </c>
      <c r="Z682" s="16" t="n">
        <f aca="false">$Y682*$H682*MM_PARA_M3_HA</f>
        <v>0</v>
      </c>
      <c r="AA682" s="18" t="n">
        <f aca="false">IFERROR(INDEX(CADASTRO_PIVOS!$I$6:$I$41,MATCH($E682,CADASTRO_PIVOS!$B$6:$B$41,0)),0)</f>
        <v>1071.28571428571</v>
      </c>
      <c r="AB682" s="18" t="n">
        <f aca="false">IF($Z682&lt;=0,0,$Z682/$AA682)</f>
        <v>0</v>
      </c>
      <c r="AC682" s="16" t="n">
        <f aca="false">IFERROR(INDEX(SEMANAS!$K$6:$K$71,MATCH($B682,SEMANAS!$B$6:$B$71,0)),0)</f>
        <v>147</v>
      </c>
      <c r="AD682" s="19" t="n">
        <f aca="false">IF($AC682&lt;=0,0,$AB682/$AC682)</f>
        <v>0</v>
      </c>
      <c r="AE682" s="8" t="str">
        <f aca="false">IF($K682="SEM CULTURA","SEM CULTURA",IF($AA682&lt;=0,"DADO PENDENTE",IF($AD682&gt;LIMITE_CRITICO,"INVIAVEL",IF($AD682&gt;LIMITE_ATENCAO,"CRITICO",IF($AD682&gt;LIMITE_CONFORTAVEL,"ATENCAO","OK")))))</f>
        <v>OK</v>
      </c>
      <c r="AF682" s="8" t="str">
        <f aca="false">$B682&amp;"|"&amp;TEXT($AD682,"0.000000")</f>
        <v>17|0.000000</v>
      </c>
      <c r="AG682" s="18" t="n">
        <f aca="false">IF($K682="SEM CULTURA",0,$T682*$H682)</f>
        <v>5674.4933</v>
      </c>
      <c r="AH682" s="18" t="n">
        <f aca="false">IF($K682="SEM CULTURA",0,$V682*$H682)</f>
        <v>5828.82272</v>
      </c>
      <c r="AI682" s="18" t="n">
        <f aca="false">IF($K682="SEM CULTURA",0,$W682*$H682)</f>
        <v>0</v>
      </c>
      <c r="AJ682" s="18" t="n">
        <f aca="false">IF($K682="SEM CULTURA",0,$S682*$H682)</f>
        <v>4934.342</v>
      </c>
      <c r="AK682" s="8" t="str">
        <f aca="false">$E682&amp;"|"&amp;TEXT($AD682,"0.000000")</f>
        <v>PV 112|0.000000</v>
      </c>
    </row>
    <row r="683" customFormat="false" ht="15" hidden="false" customHeight="false" outlineLevel="0" collapsed="false">
      <c r="B683" s="16" t="n">
        <v>18</v>
      </c>
      <c r="C683" s="17" t="n">
        <f aca="false">DATA_INICIO_SAFRA+($B683-1)*DIAS_POR_SEMANA</f>
        <v>46384</v>
      </c>
      <c r="D683" s="17" t="n">
        <f aca="false">$C683+DIAS_POR_SEMANA-1</f>
        <v>46390</v>
      </c>
      <c r="E683" s="15" t="s">
        <v>269</v>
      </c>
      <c r="F683" s="8" t="str">
        <f aca="false">IFERROR(INDEX(CADASTRO_PIVOS!$C$6:$C$41,MATCH($E683,CADASTRO_PIVOS!$B$6:$B$41,0)),"?")</f>
        <v>RM05</v>
      </c>
      <c r="G683" s="8" t="str">
        <f aca="false">IFERROR(INDEX(CADASTRO_PIVOS!$D$6:$D$41,MATCH($E683,CADASTRO_PIVOS!$B$6:$B$41,0)),"?")</f>
        <v>TR05</v>
      </c>
      <c r="H683" s="20" t="n">
        <f aca="false">IFERROR(INDEX(CADASTRO_PIVOS!$E$6:$E$41,MATCH($E683,CADASTRO_PIVOS!$B$6:$B$41,0)),0)</f>
        <v>149.98</v>
      </c>
      <c r="I683" s="16" t="n">
        <f aca="false">IFERROR(SUMIFS(ROTACAO_RDM!$B$6:$B$71,ROTACAO_RDM!$D$6:$D$71,$E683,ROTACAO_RDM!$I$6:$I$71,"&lt;="&amp;$C683+INT(DIAS_POR_SEMANA/2),ROTACAO_RDM!$J$6:$J$71,"&gt;="&amp;$C683+INT(DIAS_POR_SEMANA/2)),0)</f>
        <v>19</v>
      </c>
      <c r="J683" s="16" t="n">
        <f aca="false">IFERROR(MATCH($I683,ROTACAO_RDM!$B$6:$B$71,0),0)</f>
        <v>19</v>
      </c>
      <c r="K683" s="8" t="str">
        <f aca="false">IF($J683=0,"SEM CULTURA",INDEX(ROTACAO_RDM!$F$6:$F$71,$J683))</f>
        <v>SOJA</v>
      </c>
      <c r="L683" s="8" t="str">
        <f aca="false">IF($J683=0,"",INDEX(ROTACAO_RDM!$G$6:$G$71,$J683))</f>
        <v>NEO 761 I2X</v>
      </c>
      <c r="M683" s="17" t="n">
        <f aca="false">IF($J683=0,"",INDEX(ROTACAO_RDM!$I$6:$I$71,$J683))</f>
        <v>46307</v>
      </c>
      <c r="N683" s="16" t="n">
        <f aca="false">IF($J683=0,0,MAX(0,$C683+INT(DIAS_POR_SEMANA/2)-INDEX(ROTACAO_RDM!$I$6:$I$71,$J683)))</f>
        <v>80</v>
      </c>
      <c r="O683" s="19" t="n">
        <f aca="false">IF($J683=0,0,MIN(1,$N683/MAX(1,INDEX(ROTACAO_RDM!$K$6:$K$71,$J683))))</f>
        <v>0.689655172413793</v>
      </c>
      <c r="P683" s="16" t="n">
        <f aca="false">IF($J683=0,0,IFERROR(MATCH(INDEX(ROTACAO_RDM!$N$6:$N$71,$J683),PARAMETROS_CULTURAS!$B$6:$B$28,0),0))</f>
        <v>2</v>
      </c>
      <c r="Q683" s="8" t="str">
        <f aca="false">IF($P683=0,"-",IF($O683&lt;=INDEX(PARAMETROS_CULTURAS!$F$6:$F$28,$P683),"INICIAL",IF($O683&lt;=INDEX(PARAMETROS_CULTURAS!$F$6:$F$28,$P683)+INDEX(PARAMETROS_CULTURAS!$G$6:$G$28,$P683),"DESENVOLVIMENTO",IF($O683&lt;=INDEX(PARAMETROS_CULTURAS!$F$6:$F$28,$P683)+INDEX(PARAMETROS_CULTURAS!$G$6:$G$28,$P683)+INDEX(PARAMETROS_CULTURAS!$H$6:$H$28,$P683),"MEDIA","FINAL"))))</f>
        <v>MEDIA</v>
      </c>
      <c r="R683" s="24" t="n">
        <f aca="false">IF($P683=0,0,IF($O683&lt;=INDEX(PARAMETROS_CULTURAS!$F$6:$F$28,$P683),INDEX(PARAMETROS_CULTURAS!$K$6:$K$28,$P683),IF($O683&lt;=INDEX(PARAMETROS_CULTURAS!$F$6:$F$28,$P683)+INDEX(PARAMETROS_CULTURAS!$G$6:$G$28,$P683),INDEX(PARAMETROS_CULTURAS!$K$6:$K$28,$P683)+(INDEX(PARAMETROS_CULTURAS!$L$6:$L$28,$P683)-INDEX(PARAMETROS_CULTURAS!$K$6:$K$28,$P683))*($O683-INDEX(PARAMETROS_CULTURAS!$F$6:$F$28,$P683))/MAX(INDEX(PARAMETROS_CULTURAS!$G$6:$G$28,$P683),0.0001),IF($O683&lt;=INDEX(PARAMETROS_CULTURAS!$F$6:$F$28,$P683)+INDEX(PARAMETROS_CULTURAS!$G$6:$G$28,$P683)+INDEX(PARAMETROS_CULTURAS!$H$6:$H$28,$P683),INDEX(PARAMETROS_CULTURAS!$L$6:$L$28,$P683),INDEX(PARAMETROS_CULTURAS!$L$6:$L$28,$P683)+(INDEX(PARAMETROS_CULTURAS!$M$6:$M$28,$P683)-INDEX(PARAMETROS_CULTURAS!$L$6:$L$28,$P683))*($O683-INDEX(PARAMETROS_CULTURAS!$F$6:$F$28,$P683)-INDEX(PARAMETROS_CULTURAS!$G$6:$G$28,$P683)-INDEX(PARAMETROS_CULTURAS!$H$6:$H$28,$P683))/MAX(INDEX(PARAMETROS_CULTURAS!$I$6:$I$28,$P683),0.0001)))))</f>
        <v>1.15</v>
      </c>
      <c r="S683" s="18" t="n">
        <f aca="false">IFERROR(INDEX(SEMANAS!$H$6:$H$71,MATCH($B683,SEMANAS!$B$6:$B$71,0)),0)</f>
        <v>33.2</v>
      </c>
      <c r="T683" s="18" t="n">
        <f aca="false">$R683*$S683</f>
        <v>38.18</v>
      </c>
      <c r="U683" s="18" t="n">
        <f aca="false">IFERROR(INDEX(SEMANAS!$I$6:$I$71,MATCH($B683,SEMANAS!$B$6:$B$71,0)),0)</f>
        <v>47.11</v>
      </c>
      <c r="V683" s="18" t="n">
        <f aca="false">IFERROR(INDEX(SEMANAS!$J$6:$J$71,MATCH($B683,SEMANAS!$B$6:$B$71,0)),0)</f>
        <v>37.688</v>
      </c>
      <c r="W683" s="18" t="n">
        <f aca="false">MAX(0,$T683-$V683)</f>
        <v>0.491999999999997</v>
      </c>
      <c r="X683" s="19" t="n">
        <f aca="false">IFERROR(INDEX(CADASTRO_PIVOS!$K$6:$K$41,MATCH($E683,CADASTRO_PIVOS!$B$6:$B$41,0)),EFICIENCIA_PADRAO)</f>
        <v>0.85</v>
      </c>
      <c r="Y683" s="18" t="n">
        <f aca="false">IF($X683&lt;=0,0,$W683/$X683)</f>
        <v>0.578823529411762</v>
      </c>
      <c r="Z683" s="16" t="n">
        <f aca="false">$Y683*$H683*MM_PARA_M3_HA</f>
        <v>868.11952941176</v>
      </c>
      <c r="AA683" s="18" t="n">
        <f aca="false">IFERROR(INDEX(CADASTRO_PIVOS!$I$6:$I$41,MATCH($E683,CADASTRO_PIVOS!$B$6:$B$41,0)),0)</f>
        <v>1071.28571428571</v>
      </c>
      <c r="AB683" s="18" t="n">
        <f aca="false">IF($Z683&lt;=0,0,$Z683/$AA683)</f>
        <v>0.810352941176466</v>
      </c>
      <c r="AC683" s="16" t="n">
        <f aca="false">IFERROR(INDEX(SEMANAS!$K$6:$K$71,MATCH($B683,SEMANAS!$B$6:$B$71,0)),0)</f>
        <v>147</v>
      </c>
      <c r="AD683" s="19" t="n">
        <f aca="false">IF($AC683&lt;=0,0,$AB683/$AC683)</f>
        <v>0.00551260504201678</v>
      </c>
      <c r="AE683" s="8" t="str">
        <f aca="false">IF($K683="SEM CULTURA","SEM CULTURA",IF($AA683&lt;=0,"DADO PENDENTE",IF($AD683&gt;LIMITE_CRITICO,"INVIAVEL",IF($AD683&gt;LIMITE_ATENCAO,"CRITICO",IF($AD683&gt;LIMITE_CONFORTAVEL,"ATENCAO","OK")))))</f>
        <v>OK</v>
      </c>
      <c r="AF683" s="8" t="str">
        <f aca="false">$B683&amp;"|"&amp;TEXT($AD683,"0.000000")</f>
        <v>18|0.005513</v>
      </c>
      <c r="AG683" s="18" t="n">
        <f aca="false">IF($K683="SEM CULTURA",0,$T683*$H683)</f>
        <v>5726.2364</v>
      </c>
      <c r="AH683" s="18" t="n">
        <f aca="false">IF($K683="SEM CULTURA",0,$V683*$H683)</f>
        <v>5652.44624</v>
      </c>
      <c r="AI683" s="18" t="n">
        <f aca="false">IF($K683="SEM CULTURA",0,$W683*$H683)</f>
        <v>73.7901599999996</v>
      </c>
      <c r="AJ683" s="18" t="n">
        <f aca="false">IF($K683="SEM CULTURA",0,$S683*$H683)</f>
        <v>4979.336</v>
      </c>
      <c r="AK683" s="8" t="str">
        <f aca="false">$E683&amp;"|"&amp;TEXT($AD683,"0.000000")</f>
        <v>PV 112|0.005513</v>
      </c>
    </row>
    <row r="684" customFormat="false" ht="15" hidden="false" customHeight="false" outlineLevel="0" collapsed="false">
      <c r="B684" s="16" t="n">
        <v>19</v>
      </c>
      <c r="C684" s="17" t="n">
        <f aca="false">DATA_INICIO_SAFRA+($B684-1)*DIAS_POR_SEMANA</f>
        <v>46391</v>
      </c>
      <c r="D684" s="17" t="n">
        <f aca="false">$C684+DIAS_POR_SEMANA-1</f>
        <v>46397</v>
      </c>
      <c r="E684" s="15" t="s">
        <v>269</v>
      </c>
      <c r="F684" s="8" t="str">
        <f aca="false">IFERROR(INDEX(CADASTRO_PIVOS!$C$6:$C$41,MATCH($E684,CADASTRO_PIVOS!$B$6:$B$41,0)),"?")</f>
        <v>RM05</v>
      </c>
      <c r="G684" s="8" t="str">
        <f aca="false">IFERROR(INDEX(CADASTRO_PIVOS!$D$6:$D$41,MATCH($E684,CADASTRO_PIVOS!$B$6:$B$41,0)),"?")</f>
        <v>TR05</v>
      </c>
      <c r="H684" s="20" t="n">
        <f aca="false">IFERROR(INDEX(CADASTRO_PIVOS!$E$6:$E$41,MATCH($E684,CADASTRO_PIVOS!$B$6:$B$41,0)),0)</f>
        <v>149.98</v>
      </c>
      <c r="I684" s="16" t="n">
        <f aca="false">IFERROR(SUMIFS(ROTACAO_RDM!$B$6:$B$71,ROTACAO_RDM!$D$6:$D$71,$E684,ROTACAO_RDM!$I$6:$I$71,"&lt;="&amp;$C684+INT(DIAS_POR_SEMANA/2),ROTACAO_RDM!$J$6:$J$71,"&gt;="&amp;$C684+INT(DIAS_POR_SEMANA/2)),0)</f>
        <v>19</v>
      </c>
      <c r="J684" s="16" t="n">
        <f aca="false">IFERROR(MATCH($I684,ROTACAO_RDM!$B$6:$B$71,0),0)</f>
        <v>19</v>
      </c>
      <c r="K684" s="8" t="str">
        <f aca="false">IF($J684=0,"SEM CULTURA",INDEX(ROTACAO_RDM!$F$6:$F$71,$J684))</f>
        <v>SOJA</v>
      </c>
      <c r="L684" s="8" t="str">
        <f aca="false">IF($J684=0,"",INDEX(ROTACAO_RDM!$G$6:$G$71,$J684))</f>
        <v>NEO 761 I2X</v>
      </c>
      <c r="M684" s="17" t="n">
        <f aca="false">IF($J684=0,"",INDEX(ROTACAO_RDM!$I$6:$I$71,$J684))</f>
        <v>46307</v>
      </c>
      <c r="N684" s="16" t="n">
        <f aca="false">IF($J684=0,0,MAX(0,$C684+INT(DIAS_POR_SEMANA/2)-INDEX(ROTACAO_RDM!$I$6:$I$71,$J684)))</f>
        <v>87</v>
      </c>
      <c r="O684" s="19" t="n">
        <f aca="false">IF($J684=0,0,MIN(1,$N684/MAX(1,INDEX(ROTACAO_RDM!$K$6:$K$71,$J684))))</f>
        <v>0.75</v>
      </c>
      <c r="P684" s="16" t="n">
        <f aca="false">IF($J684=0,0,IFERROR(MATCH(INDEX(ROTACAO_RDM!$N$6:$N$71,$J684),PARAMETROS_CULTURAS!$B$6:$B$28,0),0))</f>
        <v>2</v>
      </c>
      <c r="Q684" s="8" t="str">
        <f aca="false">IF($P684=0,"-",IF($O684&lt;=INDEX(PARAMETROS_CULTURAS!$F$6:$F$28,$P684),"INICIAL",IF($O684&lt;=INDEX(PARAMETROS_CULTURAS!$F$6:$F$28,$P684)+INDEX(PARAMETROS_CULTURAS!$G$6:$G$28,$P684),"DESENVOLVIMENTO",IF($O684&lt;=INDEX(PARAMETROS_CULTURAS!$F$6:$F$28,$P684)+INDEX(PARAMETROS_CULTURAS!$G$6:$G$28,$P684)+INDEX(PARAMETROS_CULTURAS!$H$6:$H$28,$P684),"MEDIA","FINAL"))))</f>
        <v>MEDIA</v>
      </c>
      <c r="R684" s="24" t="n">
        <f aca="false">IF($P684=0,0,IF($O684&lt;=INDEX(PARAMETROS_CULTURAS!$F$6:$F$28,$P684),INDEX(PARAMETROS_CULTURAS!$K$6:$K$28,$P684),IF($O684&lt;=INDEX(PARAMETROS_CULTURAS!$F$6:$F$28,$P684)+INDEX(PARAMETROS_CULTURAS!$G$6:$G$28,$P684),INDEX(PARAMETROS_CULTURAS!$K$6:$K$28,$P684)+(INDEX(PARAMETROS_CULTURAS!$L$6:$L$28,$P684)-INDEX(PARAMETROS_CULTURAS!$K$6:$K$28,$P684))*($O684-INDEX(PARAMETROS_CULTURAS!$F$6:$F$28,$P684))/MAX(INDEX(PARAMETROS_CULTURAS!$G$6:$G$28,$P684),0.0001),IF($O684&lt;=INDEX(PARAMETROS_CULTURAS!$F$6:$F$28,$P684)+INDEX(PARAMETROS_CULTURAS!$G$6:$G$28,$P684)+INDEX(PARAMETROS_CULTURAS!$H$6:$H$28,$P684),INDEX(PARAMETROS_CULTURAS!$L$6:$L$28,$P684),INDEX(PARAMETROS_CULTURAS!$L$6:$L$28,$P684)+(INDEX(PARAMETROS_CULTURAS!$M$6:$M$28,$P684)-INDEX(PARAMETROS_CULTURAS!$L$6:$L$28,$P684))*($O684-INDEX(PARAMETROS_CULTURAS!$F$6:$F$28,$P684)-INDEX(PARAMETROS_CULTURAS!$G$6:$G$28,$P684)-INDEX(PARAMETROS_CULTURAS!$H$6:$H$28,$P684))/MAX(INDEX(PARAMETROS_CULTURAS!$I$6:$I$28,$P684),0.0001)))))</f>
        <v>1.15</v>
      </c>
      <c r="S684" s="18" t="n">
        <f aca="false">IFERROR(INDEX(SEMANAS!$H$6:$H$71,MATCH($B684,SEMANAS!$B$6:$B$71,0)),0)</f>
        <v>33.6</v>
      </c>
      <c r="T684" s="18" t="n">
        <f aca="false">$R684*$S684</f>
        <v>38.64</v>
      </c>
      <c r="U684" s="18" t="n">
        <f aca="false">IFERROR(INDEX(SEMANAS!$I$6:$I$71,MATCH($B684,SEMANAS!$B$6:$B$71,0)),0)</f>
        <v>45.15</v>
      </c>
      <c r="V684" s="18" t="n">
        <f aca="false">IFERROR(INDEX(SEMANAS!$J$6:$J$71,MATCH($B684,SEMANAS!$B$6:$B$71,0)),0)</f>
        <v>36.12</v>
      </c>
      <c r="W684" s="18" t="n">
        <f aca="false">MAX(0,$T684-$V684)</f>
        <v>2.52</v>
      </c>
      <c r="X684" s="19" t="n">
        <f aca="false">IFERROR(INDEX(CADASTRO_PIVOS!$K$6:$K$41,MATCH($E684,CADASTRO_PIVOS!$B$6:$B$41,0)),EFICIENCIA_PADRAO)</f>
        <v>0.85</v>
      </c>
      <c r="Y684" s="18" t="n">
        <f aca="false">IF($X684&lt;=0,0,$W684/$X684)</f>
        <v>2.96470588235294</v>
      </c>
      <c r="Z684" s="16" t="n">
        <f aca="false">$Y684*$H684*MM_PARA_M3_HA</f>
        <v>4446.46588235293</v>
      </c>
      <c r="AA684" s="18" t="n">
        <f aca="false">IFERROR(INDEX(CADASTRO_PIVOS!$I$6:$I$41,MATCH($E684,CADASTRO_PIVOS!$B$6:$B$41,0)),0)</f>
        <v>1071.28571428571</v>
      </c>
      <c r="AB684" s="18" t="n">
        <f aca="false">IF($Z684&lt;=0,0,$Z684/$AA684)</f>
        <v>4.15058823529411</v>
      </c>
      <c r="AC684" s="16" t="n">
        <f aca="false">IFERROR(INDEX(SEMANAS!$K$6:$K$71,MATCH($B684,SEMANAS!$B$6:$B$71,0)),0)</f>
        <v>147</v>
      </c>
      <c r="AD684" s="19" t="n">
        <f aca="false">IF($AC684&lt;=0,0,$AB684/$AC684)</f>
        <v>0.028235294117647</v>
      </c>
      <c r="AE684" s="8" t="str">
        <f aca="false">IF($K684="SEM CULTURA","SEM CULTURA",IF($AA684&lt;=0,"DADO PENDENTE",IF($AD684&gt;LIMITE_CRITICO,"INVIAVEL",IF($AD684&gt;LIMITE_ATENCAO,"CRITICO",IF($AD684&gt;LIMITE_CONFORTAVEL,"ATENCAO","OK")))))</f>
        <v>OK</v>
      </c>
      <c r="AF684" s="8" t="str">
        <f aca="false">$B684&amp;"|"&amp;TEXT($AD684,"0.000000")</f>
        <v>19|0.028235</v>
      </c>
      <c r="AG684" s="18" t="n">
        <f aca="false">IF($K684="SEM CULTURA",0,$T684*$H684)</f>
        <v>5795.2272</v>
      </c>
      <c r="AH684" s="18" t="n">
        <f aca="false">IF($K684="SEM CULTURA",0,$V684*$H684)</f>
        <v>5417.2776</v>
      </c>
      <c r="AI684" s="18" t="n">
        <f aca="false">IF($K684="SEM CULTURA",0,$W684*$H684)</f>
        <v>377.949599999999</v>
      </c>
      <c r="AJ684" s="18" t="n">
        <f aca="false">IF($K684="SEM CULTURA",0,$S684*$H684)</f>
        <v>5039.328</v>
      </c>
      <c r="AK684" s="8" t="str">
        <f aca="false">$E684&amp;"|"&amp;TEXT($AD684,"0.000000")</f>
        <v>PV 112|0.028235</v>
      </c>
    </row>
    <row r="685" customFormat="false" ht="15" hidden="false" customHeight="false" outlineLevel="0" collapsed="false">
      <c r="B685" s="16" t="n">
        <v>20</v>
      </c>
      <c r="C685" s="17" t="n">
        <f aca="false">DATA_INICIO_SAFRA+($B685-1)*DIAS_POR_SEMANA</f>
        <v>46398</v>
      </c>
      <c r="D685" s="17" t="n">
        <f aca="false">$C685+DIAS_POR_SEMANA-1</f>
        <v>46404</v>
      </c>
      <c r="E685" s="15" t="s">
        <v>269</v>
      </c>
      <c r="F685" s="8" t="str">
        <f aca="false">IFERROR(INDEX(CADASTRO_PIVOS!$C$6:$C$41,MATCH($E685,CADASTRO_PIVOS!$B$6:$B$41,0)),"?")</f>
        <v>RM05</v>
      </c>
      <c r="G685" s="8" t="str">
        <f aca="false">IFERROR(INDEX(CADASTRO_PIVOS!$D$6:$D$41,MATCH($E685,CADASTRO_PIVOS!$B$6:$B$41,0)),"?")</f>
        <v>TR05</v>
      </c>
      <c r="H685" s="20" t="n">
        <f aca="false">IFERROR(INDEX(CADASTRO_PIVOS!$E$6:$E$41,MATCH($E685,CADASTRO_PIVOS!$B$6:$B$41,0)),0)</f>
        <v>149.98</v>
      </c>
      <c r="I685" s="16" t="n">
        <f aca="false">IFERROR(SUMIFS(ROTACAO_RDM!$B$6:$B$71,ROTACAO_RDM!$D$6:$D$71,$E685,ROTACAO_RDM!$I$6:$I$71,"&lt;="&amp;$C685+INT(DIAS_POR_SEMANA/2),ROTACAO_RDM!$J$6:$J$71,"&gt;="&amp;$C685+INT(DIAS_POR_SEMANA/2)),0)</f>
        <v>19</v>
      </c>
      <c r="J685" s="16" t="n">
        <f aca="false">IFERROR(MATCH($I685,ROTACAO_RDM!$B$6:$B$71,0),0)</f>
        <v>19</v>
      </c>
      <c r="K685" s="8" t="str">
        <f aca="false">IF($J685=0,"SEM CULTURA",INDEX(ROTACAO_RDM!$F$6:$F$71,$J685))</f>
        <v>SOJA</v>
      </c>
      <c r="L685" s="8" t="str">
        <f aca="false">IF($J685=0,"",INDEX(ROTACAO_RDM!$G$6:$G$71,$J685))</f>
        <v>NEO 761 I2X</v>
      </c>
      <c r="M685" s="17" t="n">
        <f aca="false">IF($J685=0,"",INDEX(ROTACAO_RDM!$I$6:$I$71,$J685))</f>
        <v>46307</v>
      </c>
      <c r="N685" s="16" t="n">
        <f aca="false">IF($J685=0,0,MAX(0,$C685+INT(DIAS_POR_SEMANA/2)-INDEX(ROTACAO_RDM!$I$6:$I$71,$J685)))</f>
        <v>94</v>
      </c>
      <c r="O685" s="19" t="n">
        <f aca="false">IF($J685=0,0,MIN(1,$N685/MAX(1,INDEX(ROTACAO_RDM!$K$6:$K$71,$J685))))</f>
        <v>0.810344827586207</v>
      </c>
      <c r="P685" s="16" t="n">
        <f aca="false">IF($J685=0,0,IFERROR(MATCH(INDEX(ROTACAO_RDM!$N$6:$N$71,$J685),PARAMETROS_CULTURAS!$B$6:$B$28,0),0))</f>
        <v>2</v>
      </c>
      <c r="Q685" s="8" t="str">
        <f aca="false">IF($P685=0,"-",IF($O685&lt;=INDEX(PARAMETROS_CULTURAS!$F$6:$F$28,$P685),"INICIAL",IF($O685&lt;=INDEX(PARAMETROS_CULTURAS!$F$6:$F$28,$P685)+INDEX(PARAMETROS_CULTURAS!$G$6:$G$28,$P685),"DESENVOLVIMENTO",IF($O685&lt;=INDEX(PARAMETROS_CULTURAS!$F$6:$F$28,$P685)+INDEX(PARAMETROS_CULTURAS!$G$6:$G$28,$P685)+INDEX(PARAMETROS_CULTURAS!$H$6:$H$28,$P685),"MEDIA","FINAL"))))</f>
        <v>FINAL</v>
      </c>
      <c r="R685" s="24" t="n">
        <f aca="false">IF($P685=0,0,IF($O685&lt;=INDEX(PARAMETROS_CULTURAS!$F$6:$F$28,$P685),INDEX(PARAMETROS_CULTURAS!$K$6:$K$28,$P685),IF($O685&lt;=INDEX(PARAMETROS_CULTURAS!$F$6:$F$28,$P685)+INDEX(PARAMETROS_CULTURAS!$G$6:$G$28,$P685),INDEX(PARAMETROS_CULTURAS!$K$6:$K$28,$P685)+(INDEX(PARAMETROS_CULTURAS!$L$6:$L$28,$P685)-INDEX(PARAMETROS_CULTURAS!$K$6:$K$28,$P685))*($O685-INDEX(PARAMETROS_CULTURAS!$F$6:$F$28,$P685))/MAX(INDEX(PARAMETROS_CULTURAS!$G$6:$G$28,$P685),0.0001),IF($O685&lt;=INDEX(PARAMETROS_CULTURAS!$F$6:$F$28,$P685)+INDEX(PARAMETROS_CULTURAS!$G$6:$G$28,$P685)+INDEX(PARAMETROS_CULTURAS!$H$6:$H$28,$P685),INDEX(PARAMETROS_CULTURAS!$L$6:$L$28,$P685),INDEX(PARAMETROS_CULTURAS!$L$6:$L$28,$P685)+(INDEX(PARAMETROS_CULTURAS!$M$6:$M$28,$P685)-INDEX(PARAMETROS_CULTURAS!$L$6:$L$28,$P685))*($O685-INDEX(PARAMETROS_CULTURAS!$F$6:$F$28,$P685)-INDEX(PARAMETROS_CULTURAS!$G$6:$G$28,$P685)-INDEX(PARAMETROS_CULTURAS!$H$6:$H$28,$P685))/MAX(INDEX(PARAMETROS_CULTURAS!$I$6:$I$28,$P685),0.0001)))))</f>
        <v>1.14882032667877</v>
      </c>
      <c r="S685" s="18" t="n">
        <f aca="false">IFERROR(INDEX(SEMANAS!$H$6:$H$71,MATCH($B685,SEMANAS!$B$6:$B$71,0)),0)</f>
        <v>33.6</v>
      </c>
      <c r="T685" s="18" t="n">
        <f aca="false">$R685*$S685</f>
        <v>38.6003629764065</v>
      </c>
      <c r="U685" s="18" t="n">
        <f aca="false">IFERROR(INDEX(SEMANAS!$I$6:$I$71,MATCH($B685,SEMANAS!$B$6:$B$71,0)),0)</f>
        <v>45.15</v>
      </c>
      <c r="V685" s="18" t="n">
        <f aca="false">IFERROR(INDEX(SEMANAS!$J$6:$J$71,MATCH($B685,SEMANAS!$B$6:$B$71,0)),0)</f>
        <v>36.12</v>
      </c>
      <c r="W685" s="18" t="n">
        <f aca="false">MAX(0,$T685-$V685)</f>
        <v>2.48036297640653</v>
      </c>
      <c r="X685" s="19" t="n">
        <f aca="false">IFERROR(INDEX(CADASTRO_PIVOS!$K$6:$K$41,MATCH($E685,CADASTRO_PIVOS!$B$6:$B$41,0)),EFICIENCIA_PADRAO)</f>
        <v>0.85</v>
      </c>
      <c r="Y685" s="18" t="n">
        <f aca="false">IF($X685&lt;=0,0,$W685/$X685)</f>
        <v>2.91807408989004</v>
      </c>
      <c r="Z685" s="16" t="n">
        <f aca="false">$Y685*$H685*MM_PARA_M3_HA</f>
        <v>4376.52752001708</v>
      </c>
      <c r="AA685" s="18" t="n">
        <f aca="false">IFERROR(INDEX(CADASTRO_PIVOS!$I$6:$I$41,MATCH($E685,CADASTRO_PIVOS!$B$6:$B$41,0)),0)</f>
        <v>1071.28571428571</v>
      </c>
      <c r="AB685" s="18" t="n">
        <f aca="false">IF($Z685&lt;=0,0,$Z685/$AA685)</f>
        <v>4.08530372584605</v>
      </c>
      <c r="AC685" s="16" t="n">
        <f aca="false">IFERROR(INDEX(SEMANAS!$K$6:$K$71,MATCH($B685,SEMANAS!$B$6:$B$71,0)),0)</f>
        <v>147</v>
      </c>
      <c r="AD685" s="19" t="n">
        <f aca="false">IF($AC685&lt;=0,0,$AB685/$AC685)</f>
        <v>0.0277911818084766</v>
      </c>
      <c r="AE685" s="8" t="str">
        <f aca="false">IF($K685="SEM CULTURA","SEM CULTURA",IF($AA685&lt;=0,"DADO PENDENTE",IF($AD685&gt;LIMITE_CRITICO,"INVIAVEL",IF($AD685&gt;LIMITE_ATENCAO,"CRITICO",IF($AD685&gt;LIMITE_CONFORTAVEL,"ATENCAO","OK")))))</f>
        <v>OK</v>
      </c>
      <c r="AF685" s="8" t="str">
        <f aca="false">$B685&amp;"|"&amp;TEXT($AD685,"0.000000")</f>
        <v>20|0.027791</v>
      </c>
      <c r="AG685" s="18" t="n">
        <f aca="false">IF($K685="SEM CULTURA",0,$T685*$H685)</f>
        <v>5789.28243920145</v>
      </c>
      <c r="AH685" s="18" t="n">
        <f aca="false">IF($K685="SEM CULTURA",0,$V685*$H685)</f>
        <v>5417.2776</v>
      </c>
      <c r="AI685" s="18" t="n">
        <f aca="false">IF($K685="SEM CULTURA",0,$W685*$H685)</f>
        <v>372.004839201452</v>
      </c>
      <c r="AJ685" s="18" t="n">
        <f aca="false">IF($K685="SEM CULTURA",0,$S685*$H685)</f>
        <v>5039.328</v>
      </c>
      <c r="AK685" s="8" t="str">
        <f aca="false">$E685&amp;"|"&amp;TEXT($AD685,"0.000000")</f>
        <v>PV 112|0.027791</v>
      </c>
    </row>
    <row r="686" customFormat="false" ht="15" hidden="false" customHeight="false" outlineLevel="0" collapsed="false">
      <c r="B686" s="16" t="n">
        <v>21</v>
      </c>
      <c r="C686" s="17" t="n">
        <f aca="false">DATA_INICIO_SAFRA+($B686-1)*DIAS_POR_SEMANA</f>
        <v>46405</v>
      </c>
      <c r="D686" s="17" t="n">
        <f aca="false">$C686+DIAS_POR_SEMANA-1</f>
        <v>46411</v>
      </c>
      <c r="E686" s="15" t="s">
        <v>269</v>
      </c>
      <c r="F686" s="8" t="str">
        <f aca="false">IFERROR(INDEX(CADASTRO_PIVOS!$C$6:$C$41,MATCH($E686,CADASTRO_PIVOS!$B$6:$B$41,0)),"?")</f>
        <v>RM05</v>
      </c>
      <c r="G686" s="8" t="str">
        <f aca="false">IFERROR(INDEX(CADASTRO_PIVOS!$D$6:$D$41,MATCH($E686,CADASTRO_PIVOS!$B$6:$B$41,0)),"?")</f>
        <v>TR05</v>
      </c>
      <c r="H686" s="20" t="n">
        <f aca="false">IFERROR(INDEX(CADASTRO_PIVOS!$E$6:$E$41,MATCH($E686,CADASTRO_PIVOS!$B$6:$B$41,0)),0)</f>
        <v>149.98</v>
      </c>
      <c r="I686" s="16" t="n">
        <f aca="false">IFERROR(SUMIFS(ROTACAO_RDM!$B$6:$B$71,ROTACAO_RDM!$D$6:$D$71,$E686,ROTACAO_RDM!$I$6:$I$71,"&lt;="&amp;$C686+INT(DIAS_POR_SEMANA/2),ROTACAO_RDM!$J$6:$J$71,"&gt;="&amp;$C686+INT(DIAS_POR_SEMANA/2)),0)</f>
        <v>19</v>
      </c>
      <c r="J686" s="16" t="n">
        <f aca="false">IFERROR(MATCH($I686,ROTACAO_RDM!$B$6:$B$71,0),0)</f>
        <v>19</v>
      </c>
      <c r="K686" s="8" t="str">
        <f aca="false">IF($J686=0,"SEM CULTURA",INDEX(ROTACAO_RDM!$F$6:$F$71,$J686))</f>
        <v>SOJA</v>
      </c>
      <c r="L686" s="8" t="str">
        <f aca="false">IF($J686=0,"",INDEX(ROTACAO_RDM!$G$6:$G$71,$J686))</f>
        <v>NEO 761 I2X</v>
      </c>
      <c r="M686" s="17" t="n">
        <f aca="false">IF($J686=0,"",INDEX(ROTACAO_RDM!$I$6:$I$71,$J686))</f>
        <v>46307</v>
      </c>
      <c r="N686" s="16" t="n">
        <f aca="false">IF($J686=0,0,MAX(0,$C686+INT(DIAS_POR_SEMANA/2)-INDEX(ROTACAO_RDM!$I$6:$I$71,$J686)))</f>
        <v>101</v>
      </c>
      <c r="O686" s="19" t="n">
        <f aca="false">IF($J686=0,0,MIN(1,$N686/MAX(1,INDEX(ROTACAO_RDM!$K$6:$K$71,$J686))))</f>
        <v>0.870689655172414</v>
      </c>
      <c r="P686" s="16" t="n">
        <f aca="false">IF($J686=0,0,IFERROR(MATCH(INDEX(ROTACAO_RDM!$N$6:$N$71,$J686),PARAMETROS_CULTURAS!$B$6:$B$28,0),0))</f>
        <v>2</v>
      </c>
      <c r="Q686" s="8" t="str">
        <f aca="false">IF($P686=0,"-",IF($O686&lt;=INDEX(PARAMETROS_CULTURAS!$F$6:$F$28,$P686),"INICIAL",IF($O686&lt;=INDEX(PARAMETROS_CULTURAS!$F$6:$F$28,$P686)+INDEX(PARAMETROS_CULTURAS!$G$6:$G$28,$P686),"DESENVOLVIMENTO",IF($O686&lt;=INDEX(PARAMETROS_CULTURAS!$F$6:$F$28,$P686)+INDEX(PARAMETROS_CULTURAS!$G$6:$G$28,$P686)+INDEX(PARAMETROS_CULTURAS!$H$6:$H$28,$P686),"MEDIA","FINAL"))))</f>
        <v>FINAL</v>
      </c>
      <c r="R686" s="24" t="n">
        <f aca="false">IF($P686=0,0,IF($O686&lt;=INDEX(PARAMETROS_CULTURAS!$F$6:$F$28,$P686),INDEX(PARAMETROS_CULTURAS!$K$6:$K$28,$P686),IF($O686&lt;=INDEX(PARAMETROS_CULTURAS!$F$6:$F$28,$P686)+INDEX(PARAMETROS_CULTURAS!$G$6:$G$28,$P686),INDEX(PARAMETROS_CULTURAS!$K$6:$K$28,$P686)+(INDEX(PARAMETROS_CULTURAS!$L$6:$L$28,$P686)-INDEX(PARAMETROS_CULTURAS!$K$6:$K$28,$P686))*($O686-INDEX(PARAMETROS_CULTURAS!$F$6:$F$28,$P686))/MAX(INDEX(PARAMETROS_CULTURAS!$G$6:$G$28,$P686),0.0001),IF($O686&lt;=INDEX(PARAMETROS_CULTURAS!$F$6:$F$28,$P686)+INDEX(PARAMETROS_CULTURAS!$G$6:$G$28,$P686)+INDEX(PARAMETROS_CULTURAS!$H$6:$H$28,$P686),INDEX(PARAMETROS_CULTURAS!$L$6:$L$28,$P686),INDEX(PARAMETROS_CULTURAS!$L$6:$L$28,$P686)+(INDEX(PARAMETROS_CULTURAS!$M$6:$M$28,$P686)-INDEX(PARAMETROS_CULTURAS!$L$6:$L$28,$P686))*($O686-INDEX(PARAMETROS_CULTURAS!$F$6:$F$28,$P686)-INDEX(PARAMETROS_CULTURAS!$G$6:$G$28,$P686)-INDEX(PARAMETROS_CULTURAS!$H$6:$H$28,$P686))/MAX(INDEX(PARAMETROS_CULTURAS!$I$6:$I$28,$P686),0.0001)))))</f>
        <v>0.942377495462795</v>
      </c>
      <c r="S686" s="18" t="n">
        <f aca="false">IFERROR(INDEX(SEMANAS!$H$6:$H$71,MATCH($B686,SEMANAS!$B$6:$B$71,0)),0)</f>
        <v>33.6</v>
      </c>
      <c r="T686" s="18" t="n">
        <f aca="false">$R686*$S686</f>
        <v>31.6638838475499</v>
      </c>
      <c r="U686" s="18" t="n">
        <f aca="false">IFERROR(INDEX(SEMANAS!$I$6:$I$71,MATCH($B686,SEMANAS!$B$6:$B$71,0)),0)</f>
        <v>45.15</v>
      </c>
      <c r="V686" s="18" t="n">
        <f aca="false">IFERROR(INDEX(SEMANAS!$J$6:$J$71,MATCH($B686,SEMANAS!$B$6:$B$71,0)),0)</f>
        <v>36.12</v>
      </c>
      <c r="W686" s="18" t="n">
        <f aca="false">MAX(0,$T686-$V686)</f>
        <v>0</v>
      </c>
      <c r="X686" s="19" t="n">
        <f aca="false">IFERROR(INDEX(CADASTRO_PIVOS!$K$6:$K$41,MATCH($E686,CADASTRO_PIVOS!$B$6:$B$41,0)),EFICIENCIA_PADRAO)</f>
        <v>0.85</v>
      </c>
      <c r="Y686" s="18" t="n">
        <f aca="false">IF($X686&lt;=0,0,$W686/$X686)</f>
        <v>0</v>
      </c>
      <c r="Z686" s="16" t="n">
        <f aca="false">$Y686*$H686*MM_PARA_M3_HA</f>
        <v>0</v>
      </c>
      <c r="AA686" s="18" t="n">
        <f aca="false">IFERROR(INDEX(CADASTRO_PIVOS!$I$6:$I$41,MATCH($E686,CADASTRO_PIVOS!$B$6:$B$41,0)),0)</f>
        <v>1071.28571428571</v>
      </c>
      <c r="AB686" s="18" t="n">
        <f aca="false">IF($Z686&lt;=0,0,$Z686/$AA686)</f>
        <v>0</v>
      </c>
      <c r="AC686" s="16" t="n">
        <f aca="false">IFERROR(INDEX(SEMANAS!$K$6:$K$71,MATCH($B686,SEMANAS!$B$6:$B$71,0)),0)</f>
        <v>147</v>
      </c>
      <c r="AD686" s="19" t="n">
        <f aca="false">IF($AC686&lt;=0,0,$AB686/$AC686)</f>
        <v>0</v>
      </c>
      <c r="AE686" s="8" t="str">
        <f aca="false">IF($K686="SEM CULTURA","SEM CULTURA",IF($AA686&lt;=0,"DADO PENDENTE",IF($AD686&gt;LIMITE_CRITICO,"INVIAVEL",IF($AD686&gt;LIMITE_ATENCAO,"CRITICO",IF($AD686&gt;LIMITE_CONFORTAVEL,"ATENCAO","OK")))))</f>
        <v>OK</v>
      </c>
      <c r="AF686" s="8" t="str">
        <f aca="false">$B686&amp;"|"&amp;TEXT($AD686,"0.000000")</f>
        <v>21|0.000000</v>
      </c>
      <c r="AG686" s="18" t="n">
        <f aca="false">IF($K686="SEM CULTURA",0,$T686*$H686)</f>
        <v>4748.94929945554</v>
      </c>
      <c r="AH686" s="18" t="n">
        <f aca="false">IF($K686="SEM CULTURA",0,$V686*$H686)</f>
        <v>5417.2776</v>
      </c>
      <c r="AI686" s="18" t="n">
        <f aca="false">IF($K686="SEM CULTURA",0,$W686*$H686)</f>
        <v>0</v>
      </c>
      <c r="AJ686" s="18" t="n">
        <f aca="false">IF($K686="SEM CULTURA",0,$S686*$H686)</f>
        <v>5039.328</v>
      </c>
      <c r="AK686" s="8" t="str">
        <f aca="false">$E686&amp;"|"&amp;TEXT($AD686,"0.000000")</f>
        <v>PV 112|0.000000</v>
      </c>
    </row>
    <row r="687" customFormat="false" ht="15" hidden="false" customHeight="false" outlineLevel="0" collapsed="false">
      <c r="B687" s="16" t="n">
        <v>22</v>
      </c>
      <c r="C687" s="17" t="n">
        <f aca="false">DATA_INICIO_SAFRA+($B687-1)*DIAS_POR_SEMANA</f>
        <v>46412</v>
      </c>
      <c r="D687" s="17" t="n">
        <f aca="false">$C687+DIAS_POR_SEMANA-1</f>
        <v>46418</v>
      </c>
      <c r="E687" s="15" t="s">
        <v>269</v>
      </c>
      <c r="F687" s="8" t="str">
        <f aca="false">IFERROR(INDEX(CADASTRO_PIVOS!$C$6:$C$41,MATCH($E687,CADASTRO_PIVOS!$B$6:$B$41,0)),"?")</f>
        <v>RM05</v>
      </c>
      <c r="G687" s="8" t="str">
        <f aca="false">IFERROR(INDEX(CADASTRO_PIVOS!$D$6:$D$41,MATCH($E687,CADASTRO_PIVOS!$B$6:$B$41,0)),"?")</f>
        <v>TR05</v>
      </c>
      <c r="H687" s="20" t="n">
        <f aca="false">IFERROR(INDEX(CADASTRO_PIVOS!$E$6:$E$41,MATCH($E687,CADASTRO_PIVOS!$B$6:$B$41,0)),0)</f>
        <v>149.98</v>
      </c>
      <c r="I687" s="16" t="n">
        <f aca="false">IFERROR(SUMIFS(ROTACAO_RDM!$B$6:$B$71,ROTACAO_RDM!$D$6:$D$71,$E687,ROTACAO_RDM!$I$6:$I$71,"&lt;="&amp;$C687+INT(DIAS_POR_SEMANA/2),ROTACAO_RDM!$J$6:$J$71,"&gt;="&amp;$C687+INT(DIAS_POR_SEMANA/2)),0)</f>
        <v>19</v>
      </c>
      <c r="J687" s="16" t="n">
        <f aca="false">IFERROR(MATCH($I687,ROTACAO_RDM!$B$6:$B$71,0),0)</f>
        <v>19</v>
      </c>
      <c r="K687" s="8" t="str">
        <f aca="false">IF($J687=0,"SEM CULTURA",INDEX(ROTACAO_RDM!$F$6:$F$71,$J687))</f>
        <v>SOJA</v>
      </c>
      <c r="L687" s="8" t="str">
        <f aca="false">IF($J687=0,"",INDEX(ROTACAO_RDM!$G$6:$G$71,$J687))</f>
        <v>NEO 761 I2X</v>
      </c>
      <c r="M687" s="17" t="n">
        <f aca="false">IF($J687=0,"",INDEX(ROTACAO_RDM!$I$6:$I$71,$J687))</f>
        <v>46307</v>
      </c>
      <c r="N687" s="16" t="n">
        <f aca="false">IF($J687=0,0,MAX(0,$C687+INT(DIAS_POR_SEMANA/2)-INDEX(ROTACAO_RDM!$I$6:$I$71,$J687)))</f>
        <v>108</v>
      </c>
      <c r="O687" s="19" t="n">
        <f aca="false">IF($J687=0,0,MIN(1,$N687/MAX(1,INDEX(ROTACAO_RDM!$K$6:$K$71,$J687))))</f>
        <v>0.931034482758621</v>
      </c>
      <c r="P687" s="16" t="n">
        <f aca="false">IF($J687=0,0,IFERROR(MATCH(INDEX(ROTACAO_RDM!$N$6:$N$71,$J687),PARAMETROS_CULTURAS!$B$6:$B$28,0),0))</f>
        <v>2</v>
      </c>
      <c r="Q687" s="8" t="str">
        <f aca="false">IF($P687=0,"-",IF($O687&lt;=INDEX(PARAMETROS_CULTURAS!$F$6:$F$28,$P687),"INICIAL",IF($O687&lt;=INDEX(PARAMETROS_CULTURAS!$F$6:$F$28,$P687)+INDEX(PARAMETROS_CULTURAS!$G$6:$G$28,$P687),"DESENVOLVIMENTO",IF($O687&lt;=INDEX(PARAMETROS_CULTURAS!$F$6:$F$28,$P687)+INDEX(PARAMETROS_CULTURAS!$G$6:$G$28,$P687)+INDEX(PARAMETROS_CULTURAS!$H$6:$H$28,$P687),"MEDIA","FINAL"))))</f>
        <v>FINAL</v>
      </c>
      <c r="R687" s="24" t="n">
        <f aca="false">IF($P687=0,0,IF($O687&lt;=INDEX(PARAMETROS_CULTURAS!$F$6:$F$28,$P687),INDEX(PARAMETROS_CULTURAS!$K$6:$K$28,$P687),IF($O687&lt;=INDEX(PARAMETROS_CULTURAS!$F$6:$F$28,$P687)+INDEX(PARAMETROS_CULTURAS!$G$6:$G$28,$P687),INDEX(PARAMETROS_CULTURAS!$K$6:$K$28,$P687)+(INDEX(PARAMETROS_CULTURAS!$L$6:$L$28,$P687)-INDEX(PARAMETROS_CULTURAS!$K$6:$K$28,$P687))*($O687-INDEX(PARAMETROS_CULTURAS!$F$6:$F$28,$P687))/MAX(INDEX(PARAMETROS_CULTURAS!$G$6:$G$28,$P687),0.0001),IF($O687&lt;=INDEX(PARAMETROS_CULTURAS!$F$6:$F$28,$P687)+INDEX(PARAMETROS_CULTURAS!$G$6:$G$28,$P687)+INDEX(PARAMETROS_CULTURAS!$H$6:$H$28,$P687),INDEX(PARAMETROS_CULTURAS!$L$6:$L$28,$P687),INDEX(PARAMETROS_CULTURAS!$L$6:$L$28,$P687)+(INDEX(PARAMETROS_CULTURAS!$M$6:$M$28,$P687)-INDEX(PARAMETROS_CULTURAS!$L$6:$L$28,$P687))*($O687-INDEX(PARAMETROS_CULTURAS!$F$6:$F$28,$P687)-INDEX(PARAMETROS_CULTURAS!$G$6:$G$28,$P687)-INDEX(PARAMETROS_CULTURAS!$H$6:$H$28,$P687))/MAX(INDEX(PARAMETROS_CULTURAS!$I$6:$I$28,$P687),0.0001)))))</f>
        <v>0.735934664246824</v>
      </c>
      <c r="S687" s="18" t="n">
        <f aca="false">IFERROR(INDEX(SEMANAS!$H$6:$H$71,MATCH($B687,SEMANAS!$B$6:$B$71,0)),0)</f>
        <v>33.6</v>
      </c>
      <c r="T687" s="18" t="n">
        <f aca="false">$R687*$S687</f>
        <v>24.7274047186933</v>
      </c>
      <c r="U687" s="18" t="n">
        <f aca="false">IFERROR(INDEX(SEMANAS!$I$6:$I$71,MATCH($B687,SEMANAS!$B$6:$B$71,0)),0)</f>
        <v>45.15</v>
      </c>
      <c r="V687" s="18" t="n">
        <f aca="false">IFERROR(INDEX(SEMANAS!$J$6:$J$71,MATCH($B687,SEMANAS!$B$6:$B$71,0)),0)</f>
        <v>36.12</v>
      </c>
      <c r="W687" s="18" t="n">
        <f aca="false">MAX(0,$T687-$V687)</f>
        <v>0</v>
      </c>
      <c r="X687" s="19" t="n">
        <f aca="false">IFERROR(INDEX(CADASTRO_PIVOS!$K$6:$K$41,MATCH($E687,CADASTRO_PIVOS!$B$6:$B$41,0)),EFICIENCIA_PADRAO)</f>
        <v>0.85</v>
      </c>
      <c r="Y687" s="18" t="n">
        <f aca="false">IF($X687&lt;=0,0,$W687/$X687)</f>
        <v>0</v>
      </c>
      <c r="Z687" s="16" t="n">
        <f aca="false">$Y687*$H687*MM_PARA_M3_HA</f>
        <v>0</v>
      </c>
      <c r="AA687" s="18" t="n">
        <f aca="false">IFERROR(INDEX(CADASTRO_PIVOS!$I$6:$I$41,MATCH($E687,CADASTRO_PIVOS!$B$6:$B$41,0)),0)</f>
        <v>1071.28571428571</v>
      </c>
      <c r="AB687" s="18" t="n">
        <f aca="false">IF($Z687&lt;=0,0,$Z687/$AA687)</f>
        <v>0</v>
      </c>
      <c r="AC687" s="16" t="n">
        <f aca="false">IFERROR(INDEX(SEMANAS!$K$6:$K$71,MATCH($B687,SEMANAS!$B$6:$B$71,0)),0)</f>
        <v>147</v>
      </c>
      <c r="AD687" s="19" t="n">
        <f aca="false">IF($AC687&lt;=0,0,$AB687/$AC687)</f>
        <v>0</v>
      </c>
      <c r="AE687" s="8" t="str">
        <f aca="false">IF($K687="SEM CULTURA","SEM CULTURA",IF($AA687&lt;=0,"DADO PENDENTE",IF($AD687&gt;LIMITE_CRITICO,"INVIAVEL",IF($AD687&gt;LIMITE_ATENCAO,"CRITICO",IF($AD687&gt;LIMITE_CONFORTAVEL,"ATENCAO","OK")))))</f>
        <v>OK</v>
      </c>
      <c r="AF687" s="8" t="str">
        <f aca="false">$B687&amp;"|"&amp;TEXT($AD687,"0.000000")</f>
        <v>22|0.000000</v>
      </c>
      <c r="AG687" s="18" t="n">
        <f aca="false">IF($K687="SEM CULTURA",0,$T687*$H687)</f>
        <v>3708.61615970962</v>
      </c>
      <c r="AH687" s="18" t="n">
        <f aca="false">IF($K687="SEM CULTURA",0,$V687*$H687)</f>
        <v>5417.2776</v>
      </c>
      <c r="AI687" s="18" t="n">
        <f aca="false">IF($K687="SEM CULTURA",0,$W687*$H687)</f>
        <v>0</v>
      </c>
      <c r="AJ687" s="18" t="n">
        <f aca="false">IF($K687="SEM CULTURA",0,$S687*$H687)</f>
        <v>5039.328</v>
      </c>
      <c r="AK687" s="8" t="str">
        <f aca="false">$E687&amp;"|"&amp;TEXT($AD687,"0.000000")</f>
        <v>PV 112|0.000000</v>
      </c>
    </row>
    <row r="688" customFormat="false" ht="15" hidden="false" customHeight="false" outlineLevel="0" collapsed="false">
      <c r="B688" s="16" t="n">
        <v>23</v>
      </c>
      <c r="C688" s="17" t="n">
        <f aca="false">DATA_INICIO_SAFRA+($B688-1)*DIAS_POR_SEMANA</f>
        <v>46419</v>
      </c>
      <c r="D688" s="17" t="n">
        <f aca="false">$C688+DIAS_POR_SEMANA-1</f>
        <v>46425</v>
      </c>
      <c r="E688" s="15" t="s">
        <v>269</v>
      </c>
      <c r="F688" s="8" t="str">
        <f aca="false">IFERROR(INDEX(CADASTRO_PIVOS!$C$6:$C$41,MATCH($E688,CADASTRO_PIVOS!$B$6:$B$41,0)),"?")</f>
        <v>RM05</v>
      </c>
      <c r="G688" s="8" t="str">
        <f aca="false">IFERROR(INDEX(CADASTRO_PIVOS!$D$6:$D$41,MATCH($E688,CADASTRO_PIVOS!$B$6:$B$41,0)),"?")</f>
        <v>TR05</v>
      </c>
      <c r="H688" s="20" t="n">
        <f aca="false">IFERROR(INDEX(CADASTRO_PIVOS!$E$6:$E$41,MATCH($E688,CADASTRO_PIVOS!$B$6:$B$41,0)),0)</f>
        <v>149.98</v>
      </c>
      <c r="I688" s="16" t="n">
        <f aca="false">IFERROR(SUMIFS(ROTACAO_RDM!$B$6:$B$71,ROTACAO_RDM!$D$6:$D$71,$E688,ROTACAO_RDM!$I$6:$I$71,"&lt;="&amp;$C688+INT(DIAS_POR_SEMANA/2),ROTACAO_RDM!$J$6:$J$71,"&gt;="&amp;$C688+INT(DIAS_POR_SEMANA/2)),0)</f>
        <v>19</v>
      </c>
      <c r="J688" s="16" t="n">
        <f aca="false">IFERROR(MATCH($I688,ROTACAO_RDM!$B$6:$B$71,0),0)</f>
        <v>19</v>
      </c>
      <c r="K688" s="8" t="str">
        <f aca="false">IF($J688=0,"SEM CULTURA",INDEX(ROTACAO_RDM!$F$6:$F$71,$J688))</f>
        <v>SOJA</v>
      </c>
      <c r="L688" s="8" t="str">
        <f aca="false">IF($J688=0,"",INDEX(ROTACAO_RDM!$G$6:$G$71,$J688))</f>
        <v>NEO 761 I2X</v>
      </c>
      <c r="M688" s="17" t="n">
        <f aca="false">IF($J688=0,"",INDEX(ROTACAO_RDM!$I$6:$I$71,$J688))</f>
        <v>46307</v>
      </c>
      <c r="N688" s="16" t="n">
        <f aca="false">IF($J688=0,0,MAX(0,$C688+INT(DIAS_POR_SEMANA/2)-INDEX(ROTACAO_RDM!$I$6:$I$71,$J688)))</f>
        <v>115</v>
      </c>
      <c r="O688" s="19" t="n">
        <f aca="false">IF($J688=0,0,MIN(1,$N688/MAX(1,INDEX(ROTACAO_RDM!$K$6:$K$71,$J688))))</f>
        <v>0.991379310344828</v>
      </c>
      <c r="P688" s="16" t="n">
        <f aca="false">IF($J688=0,0,IFERROR(MATCH(INDEX(ROTACAO_RDM!$N$6:$N$71,$J688),PARAMETROS_CULTURAS!$B$6:$B$28,0),0))</f>
        <v>2</v>
      </c>
      <c r="Q688" s="8" t="str">
        <f aca="false">IF($P688=0,"-",IF($O688&lt;=INDEX(PARAMETROS_CULTURAS!$F$6:$F$28,$P688),"INICIAL",IF($O688&lt;=INDEX(PARAMETROS_CULTURAS!$F$6:$F$28,$P688)+INDEX(PARAMETROS_CULTURAS!$G$6:$G$28,$P688),"DESENVOLVIMENTO",IF($O688&lt;=INDEX(PARAMETROS_CULTURAS!$F$6:$F$28,$P688)+INDEX(PARAMETROS_CULTURAS!$G$6:$G$28,$P688)+INDEX(PARAMETROS_CULTURAS!$H$6:$H$28,$P688),"MEDIA","FINAL"))))</f>
        <v>FINAL</v>
      </c>
      <c r="R688" s="24" t="n">
        <f aca="false">IF($P688=0,0,IF($O688&lt;=INDEX(PARAMETROS_CULTURAS!$F$6:$F$28,$P688),INDEX(PARAMETROS_CULTURAS!$K$6:$K$28,$P688),IF($O688&lt;=INDEX(PARAMETROS_CULTURAS!$F$6:$F$28,$P688)+INDEX(PARAMETROS_CULTURAS!$G$6:$G$28,$P688),INDEX(PARAMETROS_CULTURAS!$K$6:$K$28,$P688)+(INDEX(PARAMETROS_CULTURAS!$L$6:$L$28,$P688)-INDEX(PARAMETROS_CULTURAS!$K$6:$K$28,$P688))*($O688-INDEX(PARAMETROS_CULTURAS!$F$6:$F$28,$P688))/MAX(INDEX(PARAMETROS_CULTURAS!$G$6:$G$28,$P688),0.0001),IF($O688&lt;=INDEX(PARAMETROS_CULTURAS!$F$6:$F$28,$P688)+INDEX(PARAMETROS_CULTURAS!$G$6:$G$28,$P688)+INDEX(PARAMETROS_CULTURAS!$H$6:$H$28,$P688),INDEX(PARAMETROS_CULTURAS!$L$6:$L$28,$P688),INDEX(PARAMETROS_CULTURAS!$L$6:$L$28,$P688)+(INDEX(PARAMETROS_CULTURAS!$M$6:$M$28,$P688)-INDEX(PARAMETROS_CULTURAS!$L$6:$L$28,$P688))*($O688-INDEX(PARAMETROS_CULTURAS!$F$6:$F$28,$P688)-INDEX(PARAMETROS_CULTURAS!$G$6:$G$28,$P688)-INDEX(PARAMETROS_CULTURAS!$H$6:$H$28,$P688))/MAX(INDEX(PARAMETROS_CULTURAS!$I$6:$I$28,$P688),0.0001)))))</f>
        <v>0.529491833030853</v>
      </c>
      <c r="S688" s="18" t="n">
        <f aca="false">IFERROR(INDEX(SEMANAS!$H$6:$H$71,MATCH($B688,SEMANAS!$B$6:$B$71,0)),0)</f>
        <v>32.9</v>
      </c>
      <c r="T688" s="18" t="n">
        <f aca="false">$R688*$S688</f>
        <v>17.4202813067151</v>
      </c>
      <c r="U688" s="18" t="n">
        <f aca="false">IFERROR(INDEX(SEMANAS!$I$6:$I$71,MATCH($B688,SEMANAS!$B$6:$B$71,0)),0)</f>
        <v>39.97</v>
      </c>
      <c r="V688" s="18" t="n">
        <f aca="false">IFERROR(INDEX(SEMANAS!$J$6:$J$71,MATCH($B688,SEMANAS!$B$6:$B$71,0)),0)</f>
        <v>31.976</v>
      </c>
      <c r="W688" s="18" t="n">
        <f aca="false">MAX(0,$T688-$V688)</f>
        <v>0</v>
      </c>
      <c r="X688" s="19" t="n">
        <f aca="false">IFERROR(INDEX(CADASTRO_PIVOS!$K$6:$K$41,MATCH($E688,CADASTRO_PIVOS!$B$6:$B$41,0)),EFICIENCIA_PADRAO)</f>
        <v>0.85</v>
      </c>
      <c r="Y688" s="18" t="n">
        <f aca="false">IF($X688&lt;=0,0,$W688/$X688)</f>
        <v>0</v>
      </c>
      <c r="Z688" s="16" t="n">
        <f aca="false">$Y688*$H688*MM_PARA_M3_HA</f>
        <v>0</v>
      </c>
      <c r="AA688" s="18" t="n">
        <f aca="false">IFERROR(INDEX(CADASTRO_PIVOS!$I$6:$I$41,MATCH($E688,CADASTRO_PIVOS!$B$6:$B$41,0)),0)</f>
        <v>1071.28571428571</v>
      </c>
      <c r="AB688" s="18" t="n">
        <f aca="false">IF($Z688&lt;=0,0,$Z688/$AA688)</f>
        <v>0</v>
      </c>
      <c r="AC688" s="16" t="n">
        <f aca="false">IFERROR(INDEX(SEMANAS!$K$6:$K$71,MATCH($B688,SEMANAS!$B$6:$B$71,0)),0)</f>
        <v>147</v>
      </c>
      <c r="AD688" s="19" t="n">
        <f aca="false">IF($AC688&lt;=0,0,$AB688/$AC688)</f>
        <v>0</v>
      </c>
      <c r="AE688" s="8" t="str">
        <f aca="false">IF($K688="SEM CULTURA","SEM CULTURA",IF($AA688&lt;=0,"DADO PENDENTE",IF($AD688&gt;LIMITE_CRITICO,"INVIAVEL",IF($AD688&gt;LIMITE_ATENCAO,"CRITICO",IF($AD688&gt;LIMITE_CONFORTAVEL,"ATENCAO","OK")))))</f>
        <v>OK</v>
      </c>
      <c r="AF688" s="8" t="str">
        <f aca="false">$B688&amp;"|"&amp;TEXT($AD688,"0.000000")</f>
        <v>23|0.000000</v>
      </c>
      <c r="AG688" s="18" t="n">
        <f aca="false">IF($K688="SEM CULTURA",0,$T688*$H688)</f>
        <v>2612.69379038112</v>
      </c>
      <c r="AH688" s="18" t="n">
        <f aca="false">IF($K688="SEM CULTURA",0,$V688*$H688)</f>
        <v>4795.76048</v>
      </c>
      <c r="AI688" s="18" t="n">
        <f aca="false">IF($K688="SEM CULTURA",0,$W688*$H688)</f>
        <v>0</v>
      </c>
      <c r="AJ688" s="18" t="n">
        <f aca="false">IF($K688="SEM CULTURA",0,$S688*$H688)</f>
        <v>4934.342</v>
      </c>
      <c r="AK688" s="8" t="str">
        <f aca="false">$E688&amp;"|"&amp;TEXT($AD688,"0.000000")</f>
        <v>PV 112|0.000000</v>
      </c>
    </row>
    <row r="689" customFormat="false" ht="15" hidden="false" customHeight="false" outlineLevel="0" collapsed="false">
      <c r="B689" s="16" t="n">
        <v>24</v>
      </c>
      <c r="C689" s="17" t="n">
        <f aca="false">DATA_INICIO_SAFRA+($B689-1)*DIAS_POR_SEMANA</f>
        <v>46426</v>
      </c>
      <c r="D689" s="17" t="n">
        <f aca="false">$C689+DIAS_POR_SEMANA-1</f>
        <v>46432</v>
      </c>
      <c r="E689" s="15" t="s">
        <v>269</v>
      </c>
      <c r="F689" s="8" t="str">
        <f aca="false">IFERROR(INDEX(CADASTRO_PIVOS!$C$6:$C$41,MATCH($E689,CADASTRO_PIVOS!$B$6:$B$41,0)),"?")</f>
        <v>RM05</v>
      </c>
      <c r="G689" s="8" t="str">
        <f aca="false">IFERROR(INDEX(CADASTRO_PIVOS!$D$6:$D$41,MATCH($E689,CADASTRO_PIVOS!$B$6:$B$41,0)),"?")</f>
        <v>TR05</v>
      </c>
      <c r="H689" s="20" t="n">
        <f aca="false">IFERROR(INDEX(CADASTRO_PIVOS!$E$6:$E$41,MATCH($E689,CADASTRO_PIVOS!$B$6:$B$41,0)),0)</f>
        <v>149.98</v>
      </c>
      <c r="I689" s="16" t="n">
        <f aca="false">IFERROR(SUMIFS(ROTACAO_RDM!$B$6:$B$71,ROTACAO_RDM!$D$6:$D$71,$E689,ROTACAO_RDM!$I$6:$I$71,"&lt;="&amp;$C689+INT(DIAS_POR_SEMANA/2),ROTACAO_RDM!$J$6:$J$71,"&gt;="&amp;$C689+INT(DIAS_POR_SEMANA/2)),0)</f>
        <v>0</v>
      </c>
      <c r="J689" s="16" t="n">
        <f aca="false">IFERROR(MATCH($I689,ROTACAO_RDM!$B$6:$B$71,0),0)</f>
        <v>0</v>
      </c>
      <c r="K689" s="8" t="str">
        <f aca="false">IF($J689=0,"SEM CULTURA",INDEX(ROTACAO_RDM!$F$6:$F$71,$J689))</f>
        <v>SEM CULTURA</v>
      </c>
      <c r="L689" s="8" t="str">
        <f aca="false">IF($J689=0,"",INDEX(ROTACAO_RDM!$G$6:$G$71,$J689))</f>
        <v/>
      </c>
      <c r="M689" s="17" t="str">
        <f aca="false">IF($J689=0,"",INDEX(ROTACAO_RDM!$I$6:$I$71,$J689))</f>
        <v/>
      </c>
      <c r="N689" s="16" t="n">
        <f aca="false">IF($J689=0,0,MAX(0,$C689+INT(DIAS_POR_SEMANA/2)-INDEX(ROTACAO_RDM!$I$6:$I$71,$J689)))</f>
        <v>0</v>
      </c>
      <c r="O689" s="19" t="n">
        <f aca="false">IF($J689=0,0,MIN(1,$N689/MAX(1,INDEX(ROTACAO_RDM!$K$6:$K$71,$J689))))</f>
        <v>0</v>
      </c>
      <c r="P689" s="16" t="n">
        <f aca="false">IF($J689=0,0,IFERROR(MATCH(INDEX(ROTACAO_RDM!$N$6:$N$71,$J689),PARAMETROS_CULTURAS!$B$6:$B$28,0),0))</f>
        <v>0</v>
      </c>
      <c r="Q689" s="8" t="str">
        <f aca="false">IF($P689=0,"-",IF($O689&lt;=INDEX(PARAMETROS_CULTURAS!$F$6:$F$28,$P689),"INICIAL",IF($O689&lt;=INDEX(PARAMETROS_CULTURAS!$F$6:$F$28,$P689)+INDEX(PARAMETROS_CULTURAS!$G$6:$G$28,$P689),"DESENVOLVIMENTO",IF($O689&lt;=INDEX(PARAMETROS_CULTURAS!$F$6:$F$28,$P689)+INDEX(PARAMETROS_CULTURAS!$G$6:$G$28,$P689)+INDEX(PARAMETROS_CULTURAS!$H$6:$H$28,$P689),"MEDIA","FINAL"))))</f>
        <v>-</v>
      </c>
      <c r="R689" s="24" t="n">
        <f aca="false">IF($P689=0,0,IF($O689&lt;=INDEX(PARAMETROS_CULTURAS!$F$6:$F$28,$P689),INDEX(PARAMETROS_CULTURAS!$K$6:$K$28,$P689),IF($O689&lt;=INDEX(PARAMETROS_CULTURAS!$F$6:$F$28,$P689)+INDEX(PARAMETROS_CULTURAS!$G$6:$G$28,$P689),INDEX(PARAMETROS_CULTURAS!$K$6:$K$28,$P689)+(INDEX(PARAMETROS_CULTURAS!$L$6:$L$28,$P689)-INDEX(PARAMETROS_CULTURAS!$K$6:$K$28,$P689))*($O689-INDEX(PARAMETROS_CULTURAS!$F$6:$F$28,$P689))/MAX(INDEX(PARAMETROS_CULTURAS!$G$6:$G$28,$P689),0.0001),IF($O689&lt;=INDEX(PARAMETROS_CULTURAS!$F$6:$F$28,$P689)+INDEX(PARAMETROS_CULTURAS!$G$6:$G$28,$P689)+INDEX(PARAMETROS_CULTURAS!$H$6:$H$28,$P689),INDEX(PARAMETROS_CULTURAS!$L$6:$L$28,$P689),INDEX(PARAMETROS_CULTURAS!$L$6:$L$28,$P689)+(INDEX(PARAMETROS_CULTURAS!$M$6:$M$28,$P689)-INDEX(PARAMETROS_CULTURAS!$L$6:$L$28,$P689))*($O689-INDEX(PARAMETROS_CULTURAS!$F$6:$F$28,$P689)-INDEX(PARAMETROS_CULTURAS!$G$6:$G$28,$P689)-INDEX(PARAMETROS_CULTURAS!$H$6:$H$28,$P689))/MAX(INDEX(PARAMETROS_CULTURAS!$I$6:$I$28,$P689),0.0001)))))</f>
        <v>0</v>
      </c>
      <c r="S689" s="18" t="n">
        <f aca="false">IFERROR(INDEX(SEMANAS!$H$6:$H$71,MATCH($B689,SEMANAS!$B$6:$B$71,0)),0)</f>
        <v>32.9</v>
      </c>
      <c r="T689" s="18" t="n">
        <f aca="false">$R689*$S689</f>
        <v>0</v>
      </c>
      <c r="U689" s="18" t="n">
        <f aca="false">IFERROR(INDEX(SEMANAS!$I$6:$I$71,MATCH($B689,SEMANAS!$B$6:$B$71,0)),0)</f>
        <v>39.97</v>
      </c>
      <c r="V689" s="18" t="n">
        <f aca="false">IFERROR(INDEX(SEMANAS!$J$6:$J$71,MATCH($B689,SEMANAS!$B$6:$B$71,0)),0)</f>
        <v>31.976</v>
      </c>
      <c r="W689" s="18" t="n">
        <f aca="false">MAX(0,$T689-$V689)</f>
        <v>0</v>
      </c>
      <c r="X689" s="19" t="n">
        <f aca="false">IFERROR(INDEX(CADASTRO_PIVOS!$K$6:$K$41,MATCH($E689,CADASTRO_PIVOS!$B$6:$B$41,0)),EFICIENCIA_PADRAO)</f>
        <v>0.85</v>
      </c>
      <c r="Y689" s="18" t="n">
        <f aca="false">IF($X689&lt;=0,0,$W689/$X689)</f>
        <v>0</v>
      </c>
      <c r="Z689" s="16" t="n">
        <f aca="false">$Y689*$H689*MM_PARA_M3_HA</f>
        <v>0</v>
      </c>
      <c r="AA689" s="18" t="n">
        <f aca="false">IFERROR(INDEX(CADASTRO_PIVOS!$I$6:$I$41,MATCH($E689,CADASTRO_PIVOS!$B$6:$B$41,0)),0)</f>
        <v>1071.28571428571</v>
      </c>
      <c r="AB689" s="18" t="n">
        <f aca="false">IF($Z689&lt;=0,0,$Z689/$AA689)</f>
        <v>0</v>
      </c>
      <c r="AC689" s="16" t="n">
        <f aca="false">IFERROR(INDEX(SEMANAS!$K$6:$K$71,MATCH($B689,SEMANAS!$B$6:$B$71,0)),0)</f>
        <v>147</v>
      </c>
      <c r="AD689" s="19" t="n">
        <f aca="false">IF($AC689&lt;=0,0,$AB689/$AC689)</f>
        <v>0</v>
      </c>
      <c r="AE689" s="8" t="str">
        <f aca="false">IF($K689="SEM CULTURA","SEM CULTURA",IF($AA689&lt;=0,"DADO PENDENTE",IF($AD689&gt;LIMITE_CRITICO,"INVIAVEL",IF($AD689&gt;LIMITE_ATENCAO,"CRITICO",IF($AD689&gt;LIMITE_CONFORTAVEL,"ATENCAO","OK")))))</f>
        <v>SEM CULTURA</v>
      </c>
      <c r="AF689" s="8" t="str">
        <f aca="false">$B689&amp;"|"&amp;TEXT($AD689,"0.000000")</f>
        <v>24|0.000000</v>
      </c>
      <c r="AG689" s="18" t="n">
        <f aca="false">IF($K689="SEM CULTURA",0,$T689*$H689)</f>
        <v>0</v>
      </c>
      <c r="AH689" s="18" t="n">
        <f aca="false">IF($K689="SEM CULTURA",0,$V689*$H689)</f>
        <v>0</v>
      </c>
      <c r="AI689" s="18" t="n">
        <f aca="false">IF($K689="SEM CULTURA",0,$W689*$H689)</f>
        <v>0</v>
      </c>
      <c r="AJ689" s="18" t="n">
        <f aca="false">IF($K689="SEM CULTURA",0,$S689*$H689)</f>
        <v>0</v>
      </c>
      <c r="AK689" s="8" t="str">
        <f aca="false">$E689&amp;"|"&amp;TEXT($AD689,"0.000000")</f>
        <v>PV 112|0.000000</v>
      </c>
    </row>
    <row r="690" customFormat="false" ht="15" hidden="false" customHeight="false" outlineLevel="0" collapsed="false">
      <c r="B690" s="16" t="n">
        <v>25</v>
      </c>
      <c r="C690" s="17" t="n">
        <f aca="false">DATA_INICIO_SAFRA+($B690-1)*DIAS_POR_SEMANA</f>
        <v>46433</v>
      </c>
      <c r="D690" s="17" t="n">
        <f aca="false">$C690+DIAS_POR_SEMANA-1</f>
        <v>46439</v>
      </c>
      <c r="E690" s="15" t="s">
        <v>269</v>
      </c>
      <c r="F690" s="8" t="str">
        <f aca="false">IFERROR(INDEX(CADASTRO_PIVOS!$C$6:$C$41,MATCH($E690,CADASTRO_PIVOS!$B$6:$B$41,0)),"?")</f>
        <v>RM05</v>
      </c>
      <c r="G690" s="8" t="str">
        <f aca="false">IFERROR(INDEX(CADASTRO_PIVOS!$D$6:$D$41,MATCH($E690,CADASTRO_PIVOS!$B$6:$B$41,0)),"?")</f>
        <v>TR05</v>
      </c>
      <c r="H690" s="20" t="n">
        <f aca="false">IFERROR(INDEX(CADASTRO_PIVOS!$E$6:$E$41,MATCH($E690,CADASTRO_PIVOS!$B$6:$B$41,0)),0)</f>
        <v>149.98</v>
      </c>
      <c r="I690" s="16" t="n">
        <f aca="false">IFERROR(SUMIFS(ROTACAO_RDM!$B$6:$B$71,ROTACAO_RDM!$D$6:$D$71,$E690,ROTACAO_RDM!$I$6:$I$71,"&lt;="&amp;$C690+INT(DIAS_POR_SEMANA/2),ROTACAO_RDM!$J$6:$J$71,"&gt;="&amp;$C690+INT(DIAS_POR_SEMANA/2)),0)</f>
        <v>0</v>
      </c>
      <c r="J690" s="16" t="n">
        <f aca="false">IFERROR(MATCH($I690,ROTACAO_RDM!$B$6:$B$71,0),0)</f>
        <v>0</v>
      </c>
      <c r="K690" s="8" t="str">
        <f aca="false">IF($J690=0,"SEM CULTURA",INDEX(ROTACAO_RDM!$F$6:$F$71,$J690))</f>
        <v>SEM CULTURA</v>
      </c>
      <c r="L690" s="8" t="str">
        <f aca="false">IF($J690=0,"",INDEX(ROTACAO_RDM!$G$6:$G$71,$J690))</f>
        <v/>
      </c>
      <c r="M690" s="17" t="str">
        <f aca="false">IF($J690=0,"",INDEX(ROTACAO_RDM!$I$6:$I$71,$J690))</f>
        <v/>
      </c>
      <c r="N690" s="16" t="n">
        <f aca="false">IF($J690=0,0,MAX(0,$C690+INT(DIAS_POR_SEMANA/2)-INDEX(ROTACAO_RDM!$I$6:$I$71,$J690)))</f>
        <v>0</v>
      </c>
      <c r="O690" s="19" t="n">
        <f aca="false">IF($J690=0,0,MIN(1,$N690/MAX(1,INDEX(ROTACAO_RDM!$K$6:$K$71,$J690))))</f>
        <v>0</v>
      </c>
      <c r="P690" s="16" t="n">
        <f aca="false">IF($J690=0,0,IFERROR(MATCH(INDEX(ROTACAO_RDM!$N$6:$N$71,$J690),PARAMETROS_CULTURAS!$B$6:$B$28,0),0))</f>
        <v>0</v>
      </c>
      <c r="Q690" s="8" t="str">
        <f aca="false">IF($P690=0,"-",IF($O690&lt;=INDEX(PARAMETROS_CULTURAS!$F$6:$F$28,$P690),"INICIAL",IF($O690&lt;=INDEX(PARAMETROS_CULTURAS!$F$6:$F$28,$P690)+INDEX(PARAMETROS_CULTURAS!$G$6:$G$28,$P690),"DESENVOLVIMENTO",IF($O690&lt;=INDEX(PARAMETROS_CULTURAS!$F$6:$F$28,$P690)+INDEX(PARAMETROS_CULTURAS!$G$6:$G$28,$P690)+INDEX(PARAMETROS_CULTURAS!$H$6:$H$28,$P690),"MEDIA","FINAL"))))</f>
        <v>-</v>
      </c>
      <c r="R690" s="24" t="n">
        <f aca="false">IF($P690=0,0,IF($O690&lt;=INDEX(PARAMETROS_CULTURAS!$F$6:$F$28,$P690),INDEX(PARAMETROS_CULTURAS!$K$6:$K$28,$P690),IF($O690&lt;=INDEX(PARAMETROS_CULTURAS!$F$6:$F$28,$P690)+INDEX(PARAMETROS_CULTURAS!$G$6:$G$28,$P690),INDEX(PARAMETROS_CULTURAS!$K$6:$K$28,$P690)+(INDEX(PARAMETROS_CULTURAS!$L$6:$L$28,$P690)-INDEX(PARAMETROS_CULTURAS!$K$6:$K$28,$P690))*($O690-INDEX(PARAMETROS_CULTURAS!$F$6:$F$28,$P690))/MAX(INDEX(PARAMETROS_CULTURAS!$G$6:$G$28,$P690),0.0001),IF($O690&lt;=INDEX(PARAMETROS_CULTURAS!$F$6:$F$28,$P690)+INDEX(PARAMETROS_CULTURAS!$G$6:$G$28,$P690)+INDEX(PARAMETROS_CULTURAS!$H$6:$H$28,$P690),INDEX(PARAMETROS_CULTURAS!$L$6:$L$28,$P690),INDEX(PARAMETROS_CULTURAS!$L$6:$L$28,$P690)+(INDEX(PARAMETROS_CULTURAS!$M$6:$M$28,$P690)-INDEX(PARAMETROS_CULTURAS!$L$6:$L$28,$P690))*($O690-INDEX(PARAMETROS_CULTURAS!$F$6:$F$28,$P690)-INDEX(PARAMETROS_CULTURAS!$G$6:$G$28,$P690)-INDEX(PARAMETROS_CULTURAS!$H$6:$H$28,$P690))/MAX(INDEX(PARAMETROS_CULTURAS!$I$6:$I$28,$P690),0.0001)))))</f>
        <v>0</v>
      </c>
      <c r="S690" s="18" t="n">
        <f aca="false">IFERROR(INDEX(SEMANAS!$H$6:$H$71,MATCH($B690,SEMANAS!$B$6:$B$71,0)),0)</f>
        <v>32.9</v>
      </c>
      <c r="T690" s="18" t="n">
        <f aca="false">$R690*$S690</f>
        <v>0</v>
      </c>
      <c r="U690" s="18" t="n">
        <f aca="false">IFERROR(INDEX(SEMANAS!$I$6:$I$71,MATCH($B690,SEMANAS!$B$6:$B$71,0)),0)</f>
        <v>39.97</v>
      </c>
      <c r="V690" s="18" t="n">
        <f aca="false">IFERROR(INDEX(SEMANAS!$J$6:$J$71,MATCH($B690,SEMANAS!$B$6:$B$71,0)),0)</f>
        <v>31.976</v>
      </c>
      <c r="W690" s="18" t="n">
        <f aca="false">MAX(0,$T690-$V690)</f>
        <v>0</v>
      </c>
      <c r="X690" s="19" t="n">
        <f aca="false">IFERROR(INDEX(CADASTRO_PIVOS!$K$6:$K$41,MATCH($E690,CADASTRO_PIVOS!$B$6:$B$41,0)),EFICIENCIA_PADRAO)</f>
        <v>0.85</v>
      </c>
      <c r="Y690" s="18" t="n">
        <f aca="false">IF($X690&lt;=0,0,$W690/$X690)</f>
        <v>0</v>
      </c>
      <c r="Z690" s="16" t="n">
        <f aca="false">$Y690*$H690*MM_PARA_M3_HA</f>
        <v>0</v>
      </c>
      <c r="AA690" s="18" t="n">
        <f aca="false">IFERROR(INDEX(CADASTRO_PIVOS!$I$6:$I$41,MATCH($E690,CADASTRO_PIVOS!$B$6:$B$41,0)),0)</f>
        <v>1071.28571428571</v>
      </c>
      <c r="AB690" s="18" t="n">
        <f aca="false">IF($Z690&lt;=0,0,$Z690/$AA690)</f>
        <v>0</v>
      </c>
      <c r="AC690" s="16" t="n">
        <f aca="false">IFERROR(INDEX(SEMANAS!$K$6:$K$71,MATCH($B690,SEMANAS!$B$6:$B$71,0)),0)</f>
        <v>147</v>
      </c>
      <c r="AD690" s="19" t="n">
        <f aca="false">IF($AC690&lt;=0,0,$AB690/$AC690)</f>
        <v>0</v>
      </c>
      <c r="AE690" s="8" t="str">
        <f aca="false">IF($K690="SEM CULTURA","SEM CULTURA",IF($AA690&lt;=0,"DADO PENDENTE",IF($AD690&gt;LIMITE_CRITICO,"INVIAVEL",IF($AD690&gt;LIMITE_ATENCAO,"CRITICO",IF($AD690&gt;LIMITE_CONFORTAVEL,"ATENCAO","OK")))))</f>
        <v>SEM CULTURA</v>
      </c>
      <c r="AF690" s="8" t="str">
        <f aca="false">$B690&amp;"|"&amp;TEXT($AD690,"0.000000")</f>
        <v>25|0.000000</v>
      </c>
      <c r="AG690" s="18" t="n">
        <f aca="false">IF($K690="SEM CULTURA",0,$T690*$H690)</f>
        <v>0</v>
      </c>
      <c r="AH690" s="18" t="n">
        <f aca="false">IF($K690="SEM CULTURA",0,$V690*$H690)</f>
        <v>0</v>
      </c>
      <c r="AI690" s="18" t="n">
        <f aca="false">IF($K690="SEM CULTURA",0,$W690*$H690)</f>
        <v>0</v>
      </c>
      <c r="AJ690" s="18" t="n">
        <f aca="false">IF($K690="SEM CULTURA",0,$S690*$H690)</f>
        <v>0</v>
      </c>
      <c r="AK690" s="8" t="str">
        <f aca="false">$E690&amp;"|"&amp;TEXT($AD690,"0.000000")</f>
        <v>PV 112|0.000000</v>
      </c>
    </row>
    <row r="691" customFormat="false" ht="15" hidden="false" customHeight="false" outlineLevel="0" collapsed="false">
      <c r="B691" s="16" t="n">
        <v>26</v>
      </c>
      <c r="C691" s="17" t="n">
        <f aca="false">DATA_INICIO_SAFRA+($B691-1)*DIAS_POR_SEMANA</f>
        <v>46440</v>
      </c>
      <c r="D691" s="17" t="n">
        <f aca="false">$C691+DIAS_POR_SEMANA-1</f>
        <v>46446</v>
      </c>
      <c r="E691" s="15" t="s">
        <v>269</v>
      </c>
      <c r="F691" s="8" t="str">
        <f aca="false">IFERROR(INDEX(CADASTRO_PIVOS!$C$6:$C$41,MATCH($E691,CADASTRO_PIVOS!$B$6:$B$41,0)),"?")</f>
        <v>RM05</v>
      </c>
      <c r="G691" s="8" t="str">
        <f aca="false">IFERROR(INDEX(CADASTRO_PIVOS!$D$6:$D$41,MATCH($E691,CADASTRO_PIVOS!$B$6:$B$41,0)),"?")</f>
        <v>TR05</v>
      </c>
      <c r="H691" s="20" t="n">
        <f aca="false">IFERROR(INDEX(CADASTRO_PIVOS!$E$6:$E$41,MATCH($E691,CADASTRO_PIVOS!$B$6:$B$41,0)),0)</f>
        <v>149.98</v>
      </c>
      <c r="I691" s="16" t="n">
        <f aca="false">IFERROR(SUMIFS(ROTACAO_RDM!$B$6:$B$71,ROTACAO_RDM!$D$6:$D$71,$E691,ROTACAO_RDM!$I$6:$I$71,"&lt;="&amp;$C691+INT(DIAS_POR_SEMANA/2),ROTACAO_RDM!$J$6:$J$71,"&gt;="&amp;$C691+INT(DIAS_POR_SEMANA/2)),0)</f>
        <v>0</v>
      </c>
      <c r="J691" s="16" t="n">
        <f aca="false">IFERROR(MATCH($I691,ROTACAO_RDM!$B$6:$B$71,0),0)</f>
        <v>0</v>
      </c>
      <c r="K691" s="8" t="str">
        <f aca="false">IF($J691=0,"SEM CULTURA",INDEX(ROTACAO_RDM!$F$6:$F$71,$J691))</f>
        <v>SEM CULTURA</v>
      </c>
      <c r="L691" s="8" t="str">
        <f aca="false">IF($J691=0,"",INDEX(ROTACAO_RDM!$G$6:$G$71,$J691))</f>
        <v/>
      </c>
      <c r="M691" s="17" t="str">
        <f aca="false">IF($J691=0,"",INDEX(ROTACAO_RDM!$I$6:$I$71,$J691))</f>
        <v/>
      </c>
      <c r="N691" s="16" t="n">
        <f aca="false">IF($J691=0,0,MAX(0,$C691+INT(DIAS_POR_SEMANA/2)-INDEX(ROTACAO_RDM!$I$6:$I$71,$J691)))</f>
        <v>0</v>
      </c>
      <c r="O691" s="19" t="n">
        <f aca="false">IF($J691=0,0,MIN(1,$N691/MAX(1,INDEX(ROTACAO_RDM!$K$6:$K$71,$J691))))</f>
        <v>0</v>
      </c>
      <c r="P691" s="16" t="n">
        <f aca="false">IF($J691=0,0,IFERROR(MATCH(INDEX(ROTACAO_RDM!$N$6:$N$71,$J691),PARAMETROS_CULTURAS!$B$6:$B$28,0),0))</f>
        <v>0</v>
      </c>
      <c r="Q691" s="8" t="str">
        <f aca="false">IF($P691=0,"-",IF($O691&lt;=INDEX(PARAMETROS_CULTURAS!$F$6:$F$28,$P691),"INICIAL",IF($O691&lt;=INDEX(PARAMETROS_CULTURAS!$F$6:$F$28,$P691)+INDEX(PARAMETROS_CULTURAS!$G$6:$G$28,$P691),"DESENVOLVIMENTO",IF($O691&lt;=INDEX(PARAMETROS_CULTURAS!$F$6:$F$28,$P691)+INDEX(PARAMETROS_CULTURAS!$G$6:$G$28,$P691)+INDEX(PARAMETROS_CULTURAS!$H$6:$H$28,$P691),"MEDIA","FINAL"))))</f>
        <v>-</v>
      </c>
      <c r="R691" s="24" t="n">
        <f aca="false">IF($P691=0,0,IF($O691&lt;=INDEX(PARAMETROS_CULTURAS!$F$6:$F$28,$P691),INDEX(PARAMETROS_CULTURAS!$K$6:$K$28,$P691),IF($O691&lt;=INDEX(PARAMETROS_CULTURAS!$F$6:$F$28,$P691)+INDEX(PARAMETROS_CULTURAS!$G$6:$G$28,$P691),INDEX(PARAMETROS_CULTURAS!$K$6:$K$28,$P691)+(INDEX(PARAMETROS_CULTURAS!$L$6:$L$28,$P691)-INDEX(PARAMETROS_CULTURAS!$K$6:$K$28,$P691))*($O691-INDEX(PARAMETROS_CULTURAS!$F$6:$F$28,$P691))/MAX(INDEX(PARAMETROS_CULTURAS!$G$6:$G$28,$P691),0.0001),IF($O691&lt;=INDEX(PARAMETROS_CULTURAS!$F$6:$F$28,$P691)+INDEX(PARAMETROS_CULTURAS!$G$6:$G$28,$P691)+INDEX(PARAMETROS_CULTURAS!$H$6:$H$28,$P691),INDEX(PARAMETROS_CULTURAS!$L$6:$L$28,$P691),INDEX(PARAMETROS_CULTURAS!$L$6:$L$28,$P691)+(INDEX(PARAMETROS_CULTURAS!$M$6:$M$28,$P691)-INDEX(PARAMETROS_CULTURAS!$L$6:$L$28,$P691))*($O691-INDEX(PARAMETROS_CULTURAS!$F$6:$F$28,$P691)-INDEX(PARAMETROS_CULTURAS!$G$6:$G$28,$P691)-INDEX(PARAMETROS_CULTURAS!$H$6:$H$28,$P691))/MAX(INDEX(PARAMETROS_CULTURAS!$I$6:$I$28,$P691),0.0001)))))</f>
        <v>0</v>
      </c>
      <c r="S691" s="18" t="n">
        <f aca="false">IFERROR(INDEX(SEMANAS!$H$6:$H$71,MATCH($B691,SEMANAS!$B$6:$B$71,0)),0)</f>
        <v>32.9</v>
      </c>
      <c r="T691" s="18" t="n">
        <f aca="false">$R691*$S691</f>
        <v>0</v>
      </c>
      <c r="U691" s="18" t="n">
        <f aca="false">IFERROR(INDEX(SEMANAS!$I$6:$I$71,MATCH($B691,SEMANAS!$B$6:$B$71,0)),0)</f>
        <v>39.97</v>
      </c>
      <c r="V691" s="18" t="n">
        <f aca="false">IFERROR(INDEX(SEMANAS!$J$6:$J$71,MATCH($B691,SEMANAS!$B$6:$B$71,0)),0)</f>
        <v>31.976</v>
      </c>
      <c r="W691" s="18" t="n">
        <f aca="false">MAX(0,$T691-$V691)</f>
        <v>0</v>
      </c>
      <c r="X691" s="19" t="n">
        <f aca="false">IFERROR(INDEX(CADASTRO_PIVOS!$K$6:$K$41,MATCH($E691,CADASTRO_PIVOS!$B$6:$B$41,0)),EFICIENCIA_PADRAO)</f>
        <v>0.85</v>
      </c>
      <c r="Y691" s="18" t="n">
        <f aca="false">IF($X691&lt;=0,0,$W691/$X691)</f>
        <v>0</v>
      </c>
      <c r="Z691" s="16" t="n">
        <f aca="false">$Y691*$H691*MM_PARA_M3_HA</f>
        <v>0</v>
      </c>
      <c r="AA691" s="18" t="n">
        <f aca="false">IFERROR(INDEX(CADASTRO_PIVOS!$I$6:$I$41,MATCH($E691,CADASTRO_PIVOS!$B$6:$B$41,0)),0)</f>
        <v>1071.28571428571</v>
      </c>
      <c r="AB691" s="18" t="n">
        <f aca="false">IF($Z691&lt;=0,0,$Z691/$AA691)</f>
        <v>0</v>
      </c>
      <c r="AC691" s="16" t="n">
        <f aca="false">IFERROR(INDEX(SEMANAS!$K$6:$K$71,MATCH($B691,SEMANAS!$B$6:$B$71,0)),0)</f>
        <v>147</v>
      </c>
      <c r="AD691" s="19" t="n">
        <f aca="false">IF($AC691&lt;=0,0,$AB691/$AC691)</f>
        <v>0</v>
      </c>
      <c r="AE691" s="8" t="str">
        <f aca="false">IF($K691="SEM CULTURA","SEM CULTURA",IF($AA691&lt;=0,"DADO PENDENTE",IF($AD691&gt;LIMITE_CRITICO,"INVIAVEL",IF($AD691&gt;LIMITE_ATENCAO,"CRITICO",IF($AD691&gt;LIMITE_CONFORTAVEL,"ATENCAO","OK")))))</f>
        <v>SEM CULTURA</v>
      </c>
      <c r="AF691" s="8" t="str">
        <f aca="false">$B691&amp;"|"&amp;TEXT($AD691,"0.000000")</f>
        <v>26|0.000000</v>
      </c>
      <c r="AG691" s="18" t="n">
        <f aca="false">IF($K691="SEM CULTURA",0,$T691*$H691)</f>
        <v>0</v>
      </c>
      <c r="AH691" s="18" t="n">
        <f aca="false">IF($K691="SEM CULTURA",0,$V691*$H691)</f>
        <v>0</v>
      </c>
      <c r="AI691" s="18" t="n">
        <f aca="false">IF($K691="SEM CULTURA",0,$W691*$H691)</f>
        <v>0</v>
      </c>
      <c r="AJ691" s="18" t="n">
        <f aca="false">IF($K691="SEM CULTURA",0,$S691*$H691)</f>
        <v>0</v>
      </c>
      <c r="AK691" s="8" t="str">
        <f aca="false">$E691&amp;"|"&amp;TEXT($AD691,"0.000000")</f>
        <v>PV 112|0.000000</v>
      </c>
    </row>
    <row r="692" customFormat="false" ht="15" hidden="false" customHeight="false" outlineLevel="0" collapsed="false">
      <c r="B692" s="16" t="n">
        <v>27</v>
      </c>
      <c r="C692" s="17" t="n">
        <f aca="false">DATA_INICIO_SAFRA+($B692-1)*DIAS_POR_SEMANA</f>
        <v>46447</v>
      </c>
      <c r="D692" s="17" t="n">
        <f aca="false">$C692+DIAS_POR_SEMANA-1</f>
        <v>46453</v>
      </c>
      <c r="E692" s="15" t="s">
        <v>269</v>
      </c>
      <c r="F692" s="8" t="str">
        <f aca="false">IFERROR(INDEX(CADASTRO_PIVOS!$C$6:$C$41,MATCH($E692,CADASTRO_PIVOS!$B$6:$B$41,0)),"?")</f>
        <v>RM05</v>
      </c>
      <c r="G692" s="8" t="str">
        <f aca="false">IFERROR(INDEX(CADASTRO_PIVOS!$D$6:$D$41,MATCH($E692,CADASTRO_PIVOS!$B$6:$B$41,0)),"?")</f>
        <v>TR05</v>
      </c>
      <c r="H692" s="20" t="n">
        <f aca="false">IFERROR(INDEX(CADASTRO_PIVOS!$E$6:$E$41,MATCH($E692,CADASTRO_PIVOS!$B$6:$B$41,0)),0)</f>
        <v>149.98</v>
      </c>
      <c r="I692" s="16" t="n">
        <f aca="false">IFERROR(SUMIFS(ROTACAO_RDM!$B$6:$B$71,ROTACAO_RDM!$D$6:$D$71,$E692,ROTACAO_RDM!$I$6:$I$71,"&lt;="&amp;$C692+INT(DIAS_POR_SEMANA/2),ROTACAO_RDM!$J$6:$J$71,"&gt;="&amp;$C692+INT(DIAS_POR_SEMANA/2)),0)</f>
        <v>0</v>
      </c>
      <c r="J692" s="16" t="n">
        <f aca="false">IFERROR(MATCH($I692,ROTACAO_RDM!$B$6:$B$71,0),0)</f>
        <v>0</v>
      </c>
      <c r="K692" s="8" t="str">
        <f aca="false">IF($J692=0,"SEM CULTURA",INDEX(ROTACAO_RDM!$F$6:$F$71,$J692))</f>
        <v>SEM CULTURA</v>
      </c>
      <c r="L692" s="8" t="str">
        <f aca="false">IF($J692=0,"",INDEX(ROTACAO_RDM!$G$6:$G$71,$J692))</f>
        <v/>
      </c>
      <c r="M692" s="17" t="str">
        <f aca="false">IF($J692=0,"",INDEX(ROTACAO_RDM!$I$6:$I$71,$J692))</f>
        <v/>
      </c>
      <c r="N692" s="16" t="n">
        <f aca="false">IF($J692=0,0,MAX(0,$C692+INT(DIAS_POR_SEMANA/2)-INDEX(ROTACAO_RDM!$I$6:$I$71,$J692)))</f>
        <v>0</v>
      </c>
      <c r="O692" s="19" t="n">
        <f aca="false">IF($J692=0,0,MIN(1,$N692/MAX(1,INDEX(ROTACAO_RDM!$K$6:$K$71,$J692))))</f>
        <v>0</v>
      </c>
      <c r="P692" s="16" t="n">
        <f aca="false">IF($J692=0,0,IFERROR(MATCH(INDEX(ROTACAO_RDM!$N$6:$N$71,$J692),PARAMETROS_CULTURAS!$B$6:$B$28,0),0))</f>
        <v>0</v>
      </c>
      <c r="Q692" s="8" t="str">
        <f aca="false">IF($P692=0,"-",IF($O692&lt;=INDEX(PARAMETROS_CULTURAS!$F$6:$F$28,$P692),"INICIAL",IF($O692&lt;=INDEX(PARAMETROS_CULTURAS!$F$6:$F$28,$P692)+INDEX(PARAMETROS_CULTURAS!$G$6:$G$28,$P692),"DESENVOLVIMENTO",IF($O692&lt;=INDEX(PARAMETROS_CULTURAS!$F$6:$F$28,$P692)+INDEX(PARAMETROS_CULTURAS!$G$6:$G$28,$P692)+INDEX(PARAMETROS_CULTURAS!$H$6:$H$28,$P692),"MEDIA","FINAL"))))</f>
        <v>-</v>
      </c>
      <c r="R692" s="24" t="n">
        <f aca="false">IF($P692=0,0,IF($O692&lt;=INDEX(PARAMETROS_CULTURAS!$F$6:$F$28,$P692),INDEX(PARAMETROS_CULTURAS!$K$6:$K$28,$P692),IF($O692&lt;=INDEX(PARAMETROS_CULTURAS!$F$6:$F$28,$P692)+INDEX(PARAMETROS_CULTURAS!$G$6:$G$28,$P692),INDEX(PARAMETROS_CULTURAS!$K$6:$K$28,$P692)+(INDEX(PARAMETROS_CULTURAS!$L$6:$L$28,$P692)-INDEX(PARAMETROS_CULTURAS!$K$6:$K$28,$P692))*($O692-INDEX(PARAMETROS_CULTURAS!$F$6:$F$28,$P692))/MAX(INDEX(PARAMETROS_CULTURAS!$G$6:$G$28,$P692),0.0001),IF($O692&lt;=INDEX(PARAMETROS_CULTURAS!$F$6:$F$28,$P692)+INDEX(PARAMETROS_CULTURAS!$G$6:$G$28,$P692)+INDEX(PARAMETROS_CULTURAS!$H$6:$H$28,$P692),INDEX(PARAMETROS_CULTURAS!$L$6:$L$28,$P692),INDEX(PARAMETROS_CULTURAS!$L$6:$L$28,$P692)+(INDEX(PARAMETROS_CULTURAS!$M$6:$M$28,$P692)-INDEX(PARAMETROS_CULTURAS!$L$6:$L$28,$P692))*($O692-INDEX(PARAMETROS_CULTURAS!$F$6:$F$28,$P692)-INDEX(PARAMETROS_CULTURAS!$G$6:$G$28,$P692)-INDEX(PARAMETROS_CULTURAS!$H$6:$H$28,$P692))/MAX(INDEX(PARAMETROS_CULTURAS!$I$6:$I$28,$P692),0.0001)))))</f>
        <v>0</v>
      </c>
      <c r="S692" s="18" t="n">
        <f aca="false">IFERROR(INDEX(SEMANAS!$H$6:$H$71,MATCH($B692,SEMANAS!$B$6:$B$71,0)),0)</f>
        <v>32.2</v>
      </c>
      <c r="T692" s="18" t="n">
        <f aca="false">$R692*$S692</f>
        <v>0</v>
      </c>
      <c r="U692" s="18" t="n">
        <f aca="false">IFERROR(INDEX(SEMANAS!$I$6:$I$71,MATCH($B692,SEMANAS!$B$6:$B$71,0)),0)</f>
        <v>37.24</v>
      </c>
      <c r="V692" s="18" t="n">
        <f aca="false">IFERROR(INDEX(SEMANAS!$J$6:$J$71,MATCH($B692,SEMANAS!$B$6:$B$71,0)),0)</f>
        <v>29.792</v>
      </c>
      <c r="W692" s="18" t="n">
        <f aca="false">MAX(0,$T692-$V692)</f>
        <v>0</v>
      </c>
      <c r="X692" s="19" t="n">
        <f aca="false">IFERROR(INDEX(CADASTRO_PIVOS!$K$6:$K$41,MATCH($E692,CADASTRO_PIVOS!$B$6:$B$41,0)),EFICIENCIA_PADRAO)</f>
        <v>0.85</v>
      </c>
      <c r="Y692" s="18" t="n">
        <f aca="false">IF($X692&lt;=0,0,$W692/$X692)</f>
        <v>0</v>
      </c>
      <c r="Z692" s="16" t="n">
        <f aca="false">$Y692*$H692*MM_PARA_M3_HA</f>
        <v>0</v>
      </c>
      <c r="AA692" s="18" t="n">
        <f aca="false">IFERROR(INDEX(CADASTRO_PIVOS!$I$6:$I$41,MATCH($E692,CADASTRO_PIVOS!$B$6:$B$41,0)),0)</f>
        <v>1071.28571428571</v>
      </c>
      <c r="AB692" s="18" t="n">
        <f aca="false">IF($Z692&lt;=0,0,$Z692/$AA692)</f>
        <v>0</v>
      </c>
      <c r="AC692" s="16" t="n">
        <f aca="false">IFERROR(INDEX(SEMANAS!$K$6:$K$71,MATCH($B692,SEMANAS!$B$6:$B$71,0)),0)</f>
        <v>147</v>
      </c>
      <c r="AD692" s="19" t="n">
        <f aca="false">IF($AC692&lt;=0,0,$AB692/$AC692)</f>
        <v>0</v>
      </c>
      <c r="AE692" s="8" t="str">
        <f aca="false">IF($K692="SEM CULTURA","SEM CULTURA",IF($AA692&lt;=0,"DADO PENDENTE",IF($AD692&gt;LIMITE_CRITICO,"INVIAVEL",IF($AD692&gt;LIMITE_ATENCAO,"CRITICO",IF($AD692&gt;LIMITE_CONFORTAVEL,"ATENCAO","OK")))))</f>
        <v>SEM CULTURA</v>
      </c>
      <c r="AF692" s="8" t="str">
        <f aca="false">$B692&amp;"|"&amp;TEXT($AD692,"0.000000")</f>
        <v>27|0.000000</v>
      </c>
      <c r="AG692" s="18" t="n">
        <f aca="false">IF($K692="SEM CULTURA",0,$T692*$H692)</f>
        <v>0</v>
      </c>
      <c r="AH692" s="18" t="n">
        <f aca="false">IF($K692="SEM CULTURA",0,$V692*$H692)</f>
        <v>0</v>
      </c>
      <c r="AI692" s="18" t="n">
        <f aca="false">IF($K692="SEM CULTURA",0,$W692*$H692)</f>
        <v>0</v>
      </c>
      <c r="AJ692" s="18" t="n">
        <f aca="false">IF($K692="SEM CULTURA",0,$S692*$H692)</f>
        <v>0</v>
      </c>
      <c r="AK692" s="8" t="str">
        <f aca="false">$E692&amp;"|"&amp;TEXT($AD692,"0.000000")</f>
        <v>PV 112|0.000000</v>
      </c>
    </row>
    <row r="693" customFormat="false" ht="15" hidden="false" customHeight="false" outlineLevel="0" collapsed="false">
      <c r="B693" s="16" t="n">
        <v>28</v>
      </c>
      <c r="C693" s="17" t="n">
        <f aca="false">DATA_INICIO_SAFRA+($B693-1)*DIAS_POR_SEMANA</f>
        <v>46454</v>
      </c>
      <c r="D693" s="17" t="n">
        <f aca="false">$C693+DIAS_POR_SEMANA-1</f>
        <v>46460</v>
      </c>
      <c r="E693" s="15" t="s">
        <v>269</v>
      </c>
      <c r="F693" s="8" t="str">
        <f aca="false">IFERROR(INDEX(CADASTRO_PIVOS!$C$6:$C$41,MATCH($E693,CADASTRO_PIVOS!$B$6:$B$41,0)),"?")</f>
        <v>RM05</v>
      </c>
      <c r="G693" s="8" t="str">
        <f aca="false">IFERROR(INDEX(CADASTRO_PIVOS!$D$6:$D$41,MATCH($E693,CADASTRO_PIVOS!$B$6:$B$41,0)),"?")</f>
        <v>TR05</v>
      </c>
      <c r="H693" s="20" t="n">
        <f aca="false">IFERROR(INDEX(CADASTRO_PIVOS!$E$6:$E$41,MATCH($E693,CADASTRO_PIVOS!$B$6:$B$41,0)),0)</f>
        <v>149.98</v>
      </c>
      <c r="I693" s="16" t="n">
        <f aca="false">IFERROR(SUMIFS(ROTACAO_RDM!$B$6:$B$71,ROTACAO_RDM!$D$6:$D$71,$E693,ROTACAO_RDM!$I$6:$I$71,"&lt;="&amp;$C693+INT(DIAS_POR_SEMANA/2),ROTACAO_RDM!$J$6:$J$71,"&gt;="&amp;$C693+INT(DIAS_POR_SEMANA/2)),0)</f>
        <v>0</v>
      </c>
      <c r="J693" s="16" t="n">
        <f aca="false">IFERROR(MATCH($I693,ROTACAO_RDM!$B$6:$B$71,0),0)</f>
        <v>0</v>
      </c>
      <c r="K693" s="8" t="str">
        <f aca="false">IF($J693=0,"SEM CULTURA",INDEX(ROTACAO_RDM!$F$6:$F$71,$J693))</f>
        <v>SEM CULTURA</v>
      </c>
      <c r="L693" s="8" t="str">
        <f aca="false">IF($J693=0,"",INDEX(ROTACAO_RDM!$G$6:$G$71,$J693))</f>
        <v/>
      </c>
      <c r="M693" s="17" t="str">
        <f aca="false">IF($J693=0,"",INDEX(ROTACAO_RDM!$I$6:$I$71,$J693))</f>
        <v/>
      </c>
      <c r="N693" s="16" t="n">
        <f aca="false">IF($J693=0,0,MAX(0,$C693+INT(DIAS_POR_SEMANA/2)-INDEX(ROTACAO_RDM!$I$6:$I$71,$J693)))</f>
        <v>0</v>
      </c>
      <c r="O693" s="19" t="n">
        <f aca="false">IF($J693=0,0,MIN(1,$N693/MAX(1,INDEX(ROTACAO_RDM!$K$6:$K$71,$J693))))</f>
        <v>0</v>
      </c>
      <c r="P693" s="16" t="n">
        <f aca="false">IF($J693=0,0,IFERROR(MATCH(INDEX(ROTACAO_RDM!$N$6:$N$71,$J693),PARAMETROS_CULTURAS!$B$6:$B$28,0),0))</f>
        <v>0</v>
      </c>
      <c r="Q693" s="8" t="str">
        <f aca="false">IF($P693=0,"-",IF($O693&lt;=INDEX(PARAMETROS_CULTURAS!$F$6:$F$28,$P693),"INICIAL",IF($O693&lt;=INDEX(PARAMETROS_CULTURAS!$F$6:$F$28,$P693)+INDEX(PARAMETROS_CULTURAS!$G$6:$G$28,$P693),"DESENVOLVIMENTO",IF($O693&lt;=INDEX(PARAMETROS_CULTURAS!$F$6:$F$28,$P693)+INDEX(PARAMETROS_CULTURAS!$G$6:$G$28,$P693)+INDEX(PARAMETROS_CULTURAS!$H$6:$H$28,$P693),"MEDIA","FINAL"))))</f>
        <v>-</v>
      </c>
      <c r="R693" s="24" t="n">
        <f aca="false">IF($P693=0,0,IF($O693&lt;=INDEX(PARAMETROS_CULTURAS!$F$6:$F$28,$P693),INDEX(PARAMETROS_CULTURAS!$K$6:$K$28,$P693),IF($O693&lt;=INDEX(PARAMETROS_CULTURAS!$F$6:$F$28,$P693)+INDEX(PARAMETROS_CULTURAS!$G$6:$G$28,$P693),INDEX(PARAMETROS_CULTURAS!$K$6:$K$28,$P693)+(INDEX(PARAMETROS_CULTURAS!$L$6:$L$28,$P693)-INDEX(PARAMETROS_CULTURAS!$K$6:$K$28,$P693))*($O693-INDEX(PARAMETROS_CULTURAS!$F$6:$F$28,$P693))/MAX(INDEX(PARAMETROS_CULTURAS!$G$6:$G$28,$P693),0.0001),IF($O693&lt;=INDEX(PARAMETROS_CULTURAS!$F$6:$F$28,$P693)+INDEX(PARAMETROS_CULTURAS!$G$6:$G$28,$P693)+INDEX(PARAMETROS_CULTURAS!$H$6:$H$28,$P693),INDEX(PARAMETROS_CULTURAS!$L$6:$L$28,$P693),INDEX(PARAMETROS_CULTURAS!$L$6:$L$28,$P693)+(INDEX(PARAMETROS_CULTURAS!$M$6:$M$28,$P693)-INDEX(PARAMETROS_CULTURAS!$L$6:$L$28,$P693))*($O693-INDEX(PARAMETROS_CULTURAS!$F$6:$F$28,$P693)-INDEX(PARAMETROS_CULTURAS!$G$6:$G$28,$P693)-INDEX(PARAMETROS_CULTURAS!$H$6:$H$28,$P693))/MAX(INDEX(PARAMETROS_CULTURAS!$I$6:$I$28,$P693),0.0001)))))</f>
        <v>0</v>
      </c>
      <c r="S693" s="18" t="n">
        <f aca="false">IFERROR(INDEX(SEMANAS!$H$6:$H$71,MATCH($B693,SEMANAS!$B$6:$B$71,0)),0)</f>
        <v>32.2</v>
      </c>
      <c r="T693" s="18" t="n">
        <f aca="false">$R693*$S693</f>
        <v>0</v>
      </c>
      <c r="U693" s="18" t="n">
        <f aca="false">IFERROR(INDEX(SEMANAS!$I$6:$I$71,MATCH($B693,SEMANAS!$B$6:$B$71,0)),0)</f>
        <v>37.24</v>
      </c>
      <c r="V693" s="18" t="n">
        <f aca="false">IFERROR(INDEX(SEMANAS!$J$6:$J$71,MATCH($B693,SEMANAS!$B$6:$B$71,0)),0)</f>
        <v>29.792</v>
      </c>
      <c r="W693" s="18" t="n">
        <f aca="false">MAX(0,$T693-$V693)</f>
        <v>0</v>
      </c>
      <c r="X693" s="19" t="n">
        <f aca="false">IFERROR(INDEX(CADASTRO_PIVOS!$K$6:$K$41,MATCH($E693,CADASTRO_PIVOS!$B$6:$B$41,0)),EFICIENCIA_PADRAO)</f>
        <v>0.85</v>
      </c>
      <c r="Y693" s="18" t="n">
        <f aca="false">IF($X693&lt;=0,0,$W693/$X693)</f>
        <v>0</v>
      </c>
      <c r="Z693" s="16" t="n">
        <f aca="false">$Y693*$H693*MM_PARA_M3_HA</f>
        <v>0</v>
      </c>
      <c r="AA693" s="18" t="n">
        <f aca="false">IFERROR(INDEX(CADASTRO_PIVOS!$I$6:$I$41,MATCH($E693,CADASTRO_PIVOS!$B$6:$B$41,0)),0)</f>
        <v>1071.28571428571</v>
      </c>
      <c r="AB693" s="18" t="n">
        <f aca="false">IF($Z693&lt;=0,0,$Z693/$AA693)</f>
        <v>0</v>
      </c>
      <c r="AC693" s="16" t="n">
        <f aca="false">IFERROR(INDEX(SEMANAS!$K$6:$K$71,MATCH($B693,SEMANAS!$B$6:$B$71,0)),0)</f>
        <v>147</v>
      </c>
      <c r="AD693" s="19" t="n">
        <f aca="false">IF($AC693&lt;=0,0,$AB693/$AC693)</f>
        <v>0</v>
      </c>
      <c r="AE693" s="8" t="str">
        <f aca="false">IF($K693="SEM CULTURA","SEM CULTURA",IF($AA693&lt;=0,"DADO PENDENTE",IF($AD693&gt;LIMITE_CRITICO,"INVIAVEL",IF($AD693&gt;LIMITE_ATENCAO,"CRITICO",IF($AD693&gt;LIMITE_CONFORTAVEL,"ATENCAO","OK")))))</f>
        <v>SEM CULTURA</v>
      </c>
      <c r="AF693" s="8" t="str">
        <f aca="false">$B693&amp;"|"&amp;TEXT($AD693,"0.000000")</f>
        <v>28|0.000000</v>
      </c>
      <c r="AG693" s="18" t="n">
        <f aca="false">IF($K693="SEM CULTURA",0,$T693*$H693)</f>
        <v>0</v>
      </c>
      <c r="AH693" s="18" t="n">
        <f aca="false">IF($K693="SEM CULTURA",0,$V693*$H693)</f>
        <v>0</v>
      </c>
      <c r="AI693" s="18" t="n">
        <f aca="false">IF($K693="SEM CULTURA",0,$W693*$H693)</f>
        <v>0</v>
      </c>
      <c r="AJ693" s="18" t="n">
        <f aca="false">IF($K693="SEM CULTURA",0,$S693*$H693)</f>
        <v>0</v>
      </c>
      <c r="AK693" s="8" t="str">
        <f aca="false">$E693&amp;"|"&amp;TEXT($AD693,"0.000000")</f>
        <v>PV 112|0.000000</v>
      </c>
    </row>
    <row r="694" customFormat="false" ht="15" hidden="false" customHeight="false" outlineLevel="0" collapsed="false">
      <c r="B694" s="16" t="n">
        <v>29</v>
      </c>
      <c r="C694" s="17" t="n">
        <f aca="false">DATA_INICIO_SAFRA+($B694-1)*DIAS_POR_SEMANA</f>
        <v>46461</v>
      </c>
      <c r="D694" s="17" t="n">
        <f aca="false">$C694+DIAS_POR_SEMANA-1</f>
        <v>46467</v>
      </c>
      <c r="E694" s="15" t="s">
        <v>269</v>
      </c>
      <c r="F694" s="8" t="str">
        <f aca="false">IFERROR(INDEX(CADASTRO_PIVOS!$C$6:$C$41,MATCH($E694,CADASTRO_PIVOS!$B$6:$B$41,0)),"?")</f>
        <v>RM05</v>
      </c>
      <c r="G694" s="8" t="str">
        <f aca="false">IFERROR(INDEX(CADASTRO_PIVOS!$D$6:$D$41,MATCH($E694,CADASTRO_PIVOS!$B$6:$B$41,0)),"?")</f>
        <v>TR05</v>
      </c>
      <c r="H694" s="20" t="n">
        <f aca="false">IFERROR(INDEX(CADASTRO_PIVOS!$E$6:$E$41,MATCH($E694,CADASTRO_PIVOS!$B$6:$B$41,0)),0)</f>
        <v>149.98</v>
      </c>
      <c r="I694" s="16" t="n">
        <f aca="false">IFERROR(SUMIFS(ROTACAO_RDM!$B$6:$B$71,ROTACAO_RDM!$D$6:$D$71,$E694,ROTACAO_RDM!$I$6:$I$71,"&lt;="&amp;$C694+INT(DIAS_POR_SEMANA/2),ROTACAO_RDM!$J$6:$J$71,"&gt;="&amp;$C694+INT(DIAS_POR_SEMANA/2)),0)</f>
        <v>0</v>
      </c>
      <c r="J694" s="16" t="n">
        <f aca="false">IFERROR(MATCH($I694,ROTACAO_RDM!$B$6:$B$71,0),0)</f>
        <v>0</v>
      </c>
      <c r="K694" s="8" t="str">
        <f aca="false">IF($J694=0,"SEM CULTURA",INDEX(ROTACAO_RDM!$F$6:$F$71,$J694))</f>
        <v>SEM CULTURA</v>
      </c>
      <c r="L694" s="8" t="str">
        <f aca="false">IF($J694=0,"",INDEX(ROTACAO_RDM!$G$6:$G$71,$J694))</f>
        <v/>
      </c>
      <c r="M694" s="17" t="str">
        <f aca="false">IF($J694=0,"",INDEX(ROTACAO_RDM!$I$6:$I$71,$J694))</f>
        <v/>
      </c>
      <c r="N694" s="16" t="n">
        <f aca="false">IF($J694=0,0,MAX(0,$C694+INT(DIAS_POR_SEMANA/2)-INDEX(ROTACAO_RDM!$I$6:$I$71,$J694)))</f>
        <v>0</v>
      </c>
      <c r="O694" s="19" t="n">
        <f aca="false">IF($J694=0,0,MIN(1,$N694/MAX(1,INDEX(ROTACAO_RDM!$K$6:$K$71,$J694))))</f>
        <v>0</v>
      </c>
      <c r="P694" s="16" t="n">
        <f aca="false">IF($J694=0,0,IFERROR(MATCH(INDEX(ROTACAO_RDM!$N$6:$N$71,$J694),PARAMETROS_CULTURAS!$B$6:$B$28,0),0))</f>
        <v>0</v>
      </c>
      <c r="Q694" s="8" t="str">
        <f aca="false">IF($P694=0,"-",IF($O694&lt;=INDEX(PARAMETROS_CULTURAS!$F$6:$F$28,$P694),"INICIAL",IF($O694&lt;=INDEX(PARAMETROS_CULTURAS!$F$6:$F$28,$P694)+INDEX(PARAMETROS_CULTURAS!$G$6:$G$28,$P694),"DESENVOLVIMENTO",IF($O694&lt;=INDEX(PARAMETROS_CULTURAS!$F$6:$F$28,$P694)+INDEX(PARAMETROS_CULTURAS!$G$6:$G$28,$P694)+INDEX(PARAMETROS_CULTURAS!$H$6:$H$28,$P694),"MEDIA","FINAL"))))</f>
        <v>-</v>
      </c>
      <c r="R694" s="24" t="n">
        <f aca="false">IF($P694=0,0,IF($O694&lt;=INDEX(PARAMETROS_CULTURAS!$F$6:$F$28,$P694),INDEX(PARAMETROS_CULTURAS!$K$6:$K$28,$P694),IF($O694&lt;=INDEX(PARAMETROS_CULTURAS!$F$6:$F$28,$P694)+INDEX(PARAMETROS_CULTURAS!$G$6:$G$28,$P694),INDEX(PARAMETROS_CULTURAS!$K$6:$K$28,$P694)+(INDEX(PARAMETROS_CULTURAS!$L$6:$L$28,$P694)-INDEX(PARAMETROS_CULTURAS!$K$6:$K$28,$P694))*($O694-INDEX(PARAMETROS_CULTURAS!$F$6:$F$28,$P694))/MAX(INDEX(PARAMETROS_CULTURAS!$G$6:$G$28,$P694),0.0001),IF($O694&lt;=INDEX(PARAMETROS_CULTURAS!$F$6:$F$28,$P694)+INDEX(PARAMETROS_CULTURAS!$G$6:$G$28,$P694)+INDEX(PARAMETROS_CULTURAS!$H$6:$H$28,$P694),INDEX(PARAMETROS_CULTURAS!$L$6:$L$28,$P694),INDEX(PARAMETROS_CULTURAS!$L$6:$L$28,$P694)+(INDEX(PARAMETROS_CULTURAS!$M$6:$M$28,$P694)-INDEX(PARAMETROS_CULTURAS!$L$6:$L$28,$P694))*($O694-INDEX(PARAMETROS_CULTURAS!$F$6:$F$28,$P694)-INDEX(PARAMETROS_CULTURAS!$G$6:$G$28,$P694)-INDEX(PARAMETROS_CULTURAS!$H$6:$H$28,$P694))/MAX(INDEX(PARAMETROS_CULTURAS!$I$6:$I$28,$P694),0.0001)))))</f>
        <v>0</v>
      </c>
      <c r="S694" s="18" t="n">
        <f aca="false">IFERROR(INDEX(SEMANAS!$H$6:$H$71,MATCH($B694,SEMANAS!$B$6:$B$71,0)),0)</f>
        <v>32.2</v>
      </c>
      <c r="T694" s="18" t="n">
        <f aca="false">$R694*$S694</f>
        <v>0</v>
      </c>
      <c r="U694" s="18" t="n">
        <f aca="false">IFERROR(INDEX(SEMANAS!$I$6:$I$71,MATCH($B694,SEMANAS!$B$6:$B$71,0)),0)</f>
        <v>37.24</v>
      </c>
      <c r="V694" s="18" t="n">
        <f aca="false">IFERROR(INDEX(SEMANAS!$J$6:$J$71,MATCH($B694,SEMANAS!$B$6:$B$71,0)),0)</f>
        <v>29.792</v>
      </c>
      <c r="W694" s="18" t="n">
        <f aca="false">MAX(0,$T694-$V694)</f>
        <v>0</v>
      </c>
      <c r="X694" s="19" t="n">
        <f aca="false">IFERROR(INDEX(CADASTRO_PIVOS!$K$6:$K$41,MATCH($E694,CADASTRO_PIVOS!$B$6:$B$41,0)),EFICIENCIA_PADRAO)</f>
        <v>0.85</v>
      </c>
      <c r="Y694" s="18" t="n">
        <f aca="false">IF($X694&lt;=0,0,$W694/$X694)</f>
        <v>0</v>
      </c>
      <c r="Z694" s="16" t="n">
        <f aca="false">$Y694*$H694*MM_PARA_M3_HA</f>
        <v>0</v>
      </c>
      <c r="AA694" s="18" t="n">
        <f aca="false">IFERROR(INDEX(CADASTRO_PIVOS!$I$6:$I$41,MATCH($E694,CADASTRO_PIVOS!$B$6:$B$41,0)),0)</f>
        <v>1071.28571428571</v>
      </c>
      <c r="AB694" s="18" t="n">
        <f aca="false">IF($Z694&lt;=0,0,$Z694/$AA694)</f>
        <v>0</v>
      </c>
      <c r="AC694" s="16" t="n">
        <f aca="false">IFERROR(INDEX(SEMANAS!$K$6:$K$71,MATCH($B694,SEMANAS!$B$6:$B$71,0)),0)</f>
        <v>147</v>
      </c>
      <c r="AD694" s="19" t="n">
        <f aca="false">IF($AC694&lt;=0,0,$AB694/$AC694)</f>
        <v>0</v>
      </c>
      <c r="AE694" s="8" t="str">
        <f aca="false">IF($K694="SEM CULTURA","SEM CULTURA",IF($AA694&lt;=0,"DADO PENDENTE",IF($AD694&gt;LIMITE_CRITICO,"INVIAVEL",IF($AD694&gt;LIMITE_ATENCAO,"CRITICO",IF($AD694&gt;LIMITE_CONFORTAVEL,"ATENCAO","OK")))))</f>
        <v>SEM CULTURA</v>
      </c>
      <c r="AF694" s="8" t="str">
        <f aca="false">$B694&amp;"|"&amp;TEXT($AD694,"0.000000")</f>
        <v>29|0.000000</v>
      </c>
      <c r="AG694" s="18" t="n">
        <f aca="false">IF($K694="SEM CULTURA",0,$T694*$H694)</f>
        <v>0</v>
      </c>
      <c r="AH694" s="18" t="n">
        <f aca="false">IF($K694="SEM CULTURA",0,$V694*$H694)</f>
        <v>0</v>
      </c>
      <c r="AI694" s="18" t="n">
        <f aca="false">IF($K694="SEM CULTURA",0,$W694*$H694)</f>
        <v>0</v>
      </c>
      <c r="AJ694" s="18" t="n">
        <f aca="false">IF($K694="SEM CULTURA",0,$S694*$H694)</f>
        <v>0</v>
      </c>
      <c r="AK694" s="8" t="str">
        <f aca="false">$E694&amp;"|"&amp;TEXT($AD694,"0.000000")</f>
        <v>PV 112|0.000000</v>
      </c>
    </row>
    <row r="695" customFormat="false" ht="15" hidden="false" customHeight="false" outlineLevel="0" collapsed="false">
      <c r="B695" s="16" t="n">
        <v>30</v>
      </c>
      <c r="C695" s="17" t="n">
        <f aca="false">DATA_INICIO_SAFRA+($B695-1)*DIAS_POR_SEMANA</f>
        <v>46468</v>
      </c>
      <c r="D695" s="17" t="n">
        <f aca="false">$C695+DIAS_POR_SEMANA-1</f>
        <v>46474</v>
      </c>
      <c r="E695" s="15" t="s">
        <v>269</v>
      </c>
      <c r="F695" s="8" t="str">
        <f aca="false">IFERROR(INDEX(CADASTRO_PIVOS!$C$6:$C$41,MATCH($E695,CADASTRO_PIVOS!$B$6:$B$41,0)),"?")</f>
        <v>RM05</v>
      </c>
      <c r="G695" s="8" t="str">
        <f aca="false">IFERROR(INDEX(CADASTRO_PIVOS!$D$6:$D$41,MATCH($E695,CADASTRO_PIVOS!$B$6:$B$41,0)),"?")</f>
        <v>TR05</v>
      </c>
      <c r="H695" s="20" t="n">
        <f aca="false">IFERROR(INDEX(CADASTRO_PIVOS!$E$6:$E$41,MATCH($E695,CADASTRO_PIVOS!$B$6:$B$41,0)),0)</f>
        <v>149.98</v>
      </c>
      <c r="I695" s="16" t="n">
        <f aca="false">IFERROR(SUMIFS(ROTACAO_RDM!$B$6:$B$71,ROTACAO_RDM!$D$6:$D$71,$E695,ROTACAO_RDM!$I$6:$I$71,"&lt;="&amp;$C695+INT(DIAS_POR_SEMANA/2),ROTACAO_RDM!$J$6:$J$71,"&gt;="&amp;$C695+INT(DIAS_POR_SEMANA/2)),0)</f>
        <v>0</v>
      </c>
      <c r="J695" s="16" t="n">
        <f aca="false">IFERROR(MATCH($I695,ROTACAO_RDM!$B$6:$B$71,0),0)</f>
        <v>0</v>
      </c>
      <c r="K695" s="8" t="str">
        <f aca="false">IF($J695=0,"SEM CULTURA",INDEX(ROTACAO_RDM!$F$6:$F$71,$J695))</f>
        <v>SEM CULTURA</v>
      </c>
      <c r="L695" s="8" t="str">
        <f aca="false">IF($J695=0,"",INDEX(ROTACAO_RDM!$G$6:$G$71,$J695))</f>
        <v/>
      </c>
      <c r="M695" s="17" t="str">
        <f aca="false">IF($J695=0,"",INDEX(ROTACAO_RDM!$I$6:$I$71,$J695))</f>
        <v/>
      </c>
      <c r="N695" s="16" t="n">
        <f aca="false">IF($J695=0,0,MAX(0,$C695+INT(DIAS_POR_SEMANA/2)-INDEX(ROTACAO_RDM!$I$6:$I$71,$J695)))</f>
        <v>0</v>
      </c>
      <c r="O695" s="19" t="n">
        <f aca="false">IF($J695=0,0,MIN(1,$N695/MAX(1,INDEX(ROTACAO_RDM!$K$6:$K$71,$J695))))</f>
        <v>0</v>
      </c>
      <c r="P695" s="16" t="n">
        <f aca="false">IF($J695=0,0,IFERROR(MATCH(INDEX(ROTACAO_RDM!$N$6:$N$71,$J695),PARAMETROS_CULTURAS!$B$6:$B$28,0),0))</f>
        <v>0</v>
      </c>
      <c r="Q695" s="8" t="str">
        <f aca="false">IF($P695=0,"-",IF($O695&lt;=INDEX(PARAMETROS_CULTURAS!$F$6:$F$28,$P695),"INICIAL",IF($O695&lt;=INDEX(PARAMETROS_CULTURAS!$F$6:$F$28,$P695)+INDEX(PARAMETROS_CULTURAS!$G$6:$G$28,$P695),"DESENVOLVIMENTO",IF($O695&lt;=INDEX(PARAMETROS_CULTURAS!$F$6:$F$28,$P695)+INDEX(PARAMETROS_CULTURAS!$G$6:$G$28,$P695)+INDEX(PARAMETROS_CULTURAS!$H$6:$H$28,$P695),"MEDIA","FINAL"))))</f>
        <v>-</v>
      </c>
      <c r="R695" s="24" t="n">
        <f aca="false">IF($P695=0,0,IF($O695&lt;=INDEX(PARAMETROS_CULTURAS!$F$6:$F$28,$P695),INDEX(PARAMETROS_CULTURAS!$K$6:$K$28,$P695),IF($O695&lt;=INDEX(PARAMETROS_CULTURAS!$F$6:$F$28,$P695)+INDEX(PARAMETROS_CULTURAS!$G$6:$G$28,$P695),INDEX(PARAMETROS_CULTURAS!$K$6:$K$28,$P695)+(INDEX(PARAMETROS_CULTURAS!$L$6:$L$28,$P695)-INDEX(PARAMETROS_CULTURAS!$K$6:$K$28,$P695))*($O695-INDEX(PARAMETROS_CULTURAS!$F$6:$F$28,$P695))/MAX(INDEX(PARAMETROS_CULTURAS!$G$6:$G$28,$P695),0.0001),IF($O695&lt;=INDEX(PARAMETROS_CULTURAS!$F$6:$F$28,$P695)+INDEX(PARAMETROS_CULTURAS!$G$6:$G$28,$P695)+INDEX(PARAMETROS_CULTURAS!$H$6:$H$28,$P695),INDEX(PARAMETROS_CULTURAS!$L$6:$L$28,$P695),INDEX(PARAMETROS_CULTURAS!$L$6:$L$28,$P695)+(INDEX(PARAMETROS_CULTURAS!$M$6:$M$28,$P695)-INDEX(PARAMETROS_CULTURAS!$L$6:$L$28,$P695))*($O695-INDEX(PARAMETROS_CULTURAS!$F$6:$F$28,$P695)-INDEX(PARAMETROS_CULTURAS!$G$6:$G$28,$P695)-INDEX(PARAMETROS_CULTURAS!$H$6:$H$28,$P695))/MAX(INDEX(PARAMETROS_CULTURAS!$I$6:$I$28,$P695),0.0001)))))</f>
        <v>0</v>
      </c>
      <c r="S695" s="18" t="n">
        <f aca="false">IFERROR(INDEX(SEMANAS!$H$6:$H$71,MATCH($B695,SEMANAS!$B$6:$B$71,0)),0)</f>
        <v>32.2</v>
      </c>
      <c r="T695" s="18" t="n">
        <f aca="false">$R695*$S695</f>
        <v>0</v>
      </c>
      <c r="U695" s="18" t="n">
        <f aca="false">IFERROR(INDEX(SEMANAS!$I$6:$I$71,MATCH($B695,SEMANAS!$B$6:$B$71,0)),0)</f>
        <v>37.24</v>
      </c>
      <c r="V695" s="18" t="n">
        <f aca="false">IFERROR(INDEX(SEMANAS!$J$6:$J$71,MATCH($B695,SEMANAS!$B$6:$B$71,0)),0)</f>
        <v>29.792</v>
      </c>
      <c r="W695" s="18" t="n">
        <f aca="false">MAX(0,$T695-$V695)</f>
        <v>0</v>
      </c>
      <c r="X695" s="19" t="n">
        <f aca="false">IFERROR(INDEX(CADASTRO_PIVOS!$K$6:$K$41,MATCH($E695,CADASTRO_PIVOS!$B$6:$B$41,0)),EFICIENCIA_PADRAO)</f>
        <v>0.85</v>
      </c>
      <c r="Y695" s="18" t="n">
        <f aca="false">IF($X695&lt;=0,0,$W695/$X695)</f>
        <v>0</v>
      </c>
      <c r="Z695" s="16" t="n">
        <f aca="false">$Y695*$H695*MM_PARA_M3_HA</f>
        <v>0</v>
      </c>
      <c r="AA695" s="18" t="n">
        <f aca="false">IFERROR(INDEX(CADASTRO_PIVOS!$I$6:$I$41,MATCH($E695,CADASTRO_PIVOS!$B$6:$B$41,0)),0)</f>
        <v>1071.28571428571</v>
      </c>
      <c r="AB695" s="18" t="n">
        <f aca="false">IF($Z695&lt;=0,0,$Z695/$AA695)</f>
        <v>0</v>
      </c>
      <c r="AC695" s="16" t="n">
        <f aca="false">IFERROR(INDEX(SEMANAS!$K$6:$K$71,MATCH($B695,SEMANAS!$B$6:$B$71,0)),0)</f>
        <v>147</v>
      </c>
      <c r="AD695" s="19" t="n">
        <f aca="false">IF($AC695&lt;=0,0,$AB695/$AC695)</f>
        <v>0</v>
      </c>
      <c r="AE695" s="8" t="str">
        <f aca="false">IF($K695="SEM CULTURA","SEM CULTURA",IF($AA695&lt;=0,"DADO PENDENTE",IF($AD695&gt;LIMITE_CRITICO,"INVIAVEL",IF($AD695&gt;LIMITE_ATENCAO,"CRITICO",IF($AD695&gt;LIMITE_CONFORTAVEL,"ATENCAO","OK")))))</f>
        <v>SEM CULTURA</v>
      </c>
      <c r="AF695" s="8" t="str">
        <f aca="false">$B695&amp;"|"&amp;TEXT($AD695,"0.000000")</f>
        <v>30|0.000000</v>
      </c>
      <c r="AG695" s="18" t="n">
        <f aca="false">IF($K695="SEM CULTURA",0,$T695*$H695)</f>
        <v>0</v>
      </c>
      <c r="AH695" s="18" t="n">
        <f aca="false">IF($K695="SEM CULTURA",0,$V695*$H695)</f>
        <v>0</v>
      </c>
      <c r="AI695" s="18" t="n">
        <f aca="false">IF($K695="SEM CULTURA",0,$W695*$H695)</f>
        <v>0</v>
      </c>
      <c r="AJ695" s="18" t="n">
        <f aca="false">IF($K695="SEM CULTURA",0,$S695*$H695)</f>
        <v>0</v>
      </c>
      <c r="AK695" s="8" t="str">
        <f aca="false">$E695&amp;"|"&amp;TEXT($AD695,"0.000000")</f>
        <v>PV 112|0.000000</v>
      </c>
    </row>
    <row r="696" customFormat="false" ht="15" hidden="false" customHeight="false" outlineLevel="0" collapsed="false">
      <c r="B696" s="16" t="n">
        <v>31</v>
      </c>
      <c r="C696" s="17" t="n">
        <f aca="false">DATA_INICIO_SAFRA+($B696-1)*DIAS_POR_SEMANA</f>
        <v>46475</v>
      </c>
      <c r="D696" s="17" t="n">
        <f aca="false">$C696+DIAS_POR_SEMANA-1</f>
        <v>46481</v>
      </c>
      <c r="E696" s="15" t="s">
        <v>269</v>
      </c>
      <c r="F696" s="8" t="str">
        <f aca="false">IFERROR(INDEX(CADASTRO_PIVOS!$C$6:$C$41,MATCH($E696,CADASTRO_PIVOS!$B$6:$B$41,0)),"?")</f>
        <v>RM05</v>
      </c>
      <c r="G696" s="8" t="str">
        <f aca="false">IFERROR(INDEX(CADASTRO_PIVOS!$D$6:$D$41,MATCH($E696,CADASTRO_PIVOS!$B$6:$B$41,0)),"?")</f>
        <v>TR05</v>
      </c>
      <c r="H696" s="20" t="n">
        <f aca="false">IFERROR(INDEX(CADASTRO_PIVOS!$E$6:$E$41,MATCH($E696,CADASTRO_PIVOS!$B$6:$B$41,0)),0)</f>
        <v>149.98</v>
      </c>
      <c r="I696" s="16" t="n">
        <f aca="false">IFERROR(SUMIFS(ROTACAO_RDM!$B$6:$B$71,ROTACAO_RDM!$D$6:$D$71,$E696,ROTACAO_RDM!$I$6:$I$71,"&lt;="&amp;$C696+INT(DIAS_POR_SEMANA/2),ROTACAO_RDM!$J$6:$J$71,"&gt;="&amp;$C696+INT(DIAS_POR_SEMANA/2)),0)</f>
        <v>0</v>
      </c>
      <c r="J696" s="16" t="n">
        <f aca="false">IFERROR(MATCH($I696,ROTACAO_RDM!$B$6:$B$71,0),0)</f>
        <v>0</v>
      </c>
      <c r="K696" s="8" t="str">
        <f aca="false">IF($J696=0,"SEM CULTURA",INDEX(ROTACAO_RDM!$F$6:$F$71,$J696))</f>
        <v>SEM CULTURA</v>
      </c>
      <c r="L696" s="8" t="str">
        <f aca="false">IF($J696=0,"",INDEX(ROTACAO_RDM!$G$6:$G$71,$J696))</f>
        <v/>
      </c>
      <c r="M696" s="17" t="str">
        <f aca="false">IF($J696=0,"",INDEX(ROTACAO_RDM!$I$6:$I$71,$J696))</f>
        <v/>
      </c>
      <c r="N696" s="16" t="n">
        <f aca="false">IF($J696=0,0,MAX(0,$C696+INT(DIAS_POR_SEMANA/2)-INDEX(ROTACAO_RDM!$I$6:$I$71,$J696)))</f>
        <v>0</v>
      </c>
      <c r="O696" s="19" t="n">
        <f aca="false">IF($J696=0,0,MIN(1,$N696/MAX(1,INDEX(ROTACAO_RDM!$K$6:$K$71,$J696))))</f>
        <v>0</v>
      </c>
      <c r="P696" s="16" t="n">
        <f aca="false">IF($J696=0,0,IFERROR(MATCH(INDEX(ROTACAO_RDM!$N$6:$N$71,$J696),PARAMETROS_CULTURAS!$B$6:$B$28,0),0))</f>
        <v>0</v>
      </c>
      <c r="Q696" s="8" t="str">
        <f aca="false">IF($P696=0,"-",IF($O696&lt;=INDEX(PARAMETROS_CULTURAS!$F$6:$F$28,$P696),"INICIAL",IF($O696&lt;=INDEX(PARAMETROS_CULTURAS!$F$6:$F$28,$P696)+INDEX(PARAMETROS_CULTURAS!$G$6:$G$28,$P696),"DESENVOLVIMENTO",IF($O696&lt;=INDEX(PARAMETROS_CULTURAS!$F$6:$F$28,$P696)+INDEX(PARAMETROS_CULTURAS!$G$6:$G$28,$P696)+INDEX(PARAMETROS_CULTURAS!$H$6:$H$28,$P696),"MEDIA","FINAL"))))</f>
        <v>-</v>
      </c>
      <c r="R696" s="24" t="n">
        <f aca="false">IF($P696=0,0,IF($O696&lt;=INDEX(PARAMETROS_CULTURAS!$F$6:$F$28,$P696),INDEX(PARAMETROS_CULTURAS!$K$6:$K$28,$P696),IF($O696&lt;=INDEX(PARAMETROS_CULTURAS!$F$6:$F$28,$P696)+INDEX(PARAMETROS_CULTURAS!$G$6:$G$28,$P696),INDEX(PARAMETROS_CULTURAS!$K$6:$K$28,$P696)+(INDEX(PARAMETROS_CULTURAS!$L$6:$L$28,$P696)-INDEX(PARAMETROS_CULTURAS!$K$6:$K$28,$P696))*($O696-INDEX(PARAMETROS_CULTURAS!$F$6:$F$28,$P696))/MAX(INDEX(PARAMETROS_CULTURAS!$G$6:$G$28,$P696),0.0001),IF($O696&lt;=INDEX(PARAMETROS_CULTURAS!$F$6:$F$28,$P696)+INDEX(PARAMETROS_CULTURAS!$G$6:$G$28,$P696)+INDEX(PARAMETROS_CULTURAS!$H$6:$H$28,$P696),INDEX(PARAMETROS_CULTURAS!$L$6:$L$28,$P696),INDEX(PARAMETROS_CULTURAS!$L$6:$L$28,$P696)+(INDEX(PARAMETROS_CULTURAS!$M$6:$M$28,$P696)-INDEX(PARAMETROS_CULTURAS!$L$6:$L$28,$P696))*($O696-INDEX(PARAMETROS_CULTURAS!$F$6:$F$28,$P696)-INDEX(PARAMETROS_CULTURAS!$G$6:$G$28,$P696)-INDEX(PARAMETROS_CULTURAS!$H$6:$H$28,$P696))/MAX(INDEX(PARAMETROS_CULTURAS!$I$6:$I$28,$P696),0.0001)))))</f>
        <v>0</v>
      </c>
      <c r="S696" s="18" t="n">
        <f aca="false">IFERROR(INDEX(SEMANAS!$H$6:$H$71,MATCH($B696,SEMANAS!$B$6:$B$71,0)),0)</f>
        <v>31.8</v>
      </c>
      <c r="T696" s="18" t="n">
        <f aca="false">$R696*$S696</f>
        <v>0</v>
      </c>
      <c r="U696" s="18" t="n">
        <f aca="false">IFERROR(INDEX(SEMANAS!$I$6:$I$71,MATCH($B696,SEMANAS!$B$6:$B$71,0)),0)</f>
        <v>25.28</v>
      </c>
      <c r="V696" s="18" t="n">
        <f aca="false">IFERROR(INDEX(SEMANAS!$J$6:$J$71,MATCH($B696,SEMANAS!$B$6:$B$71,0)),0)</f>
        <v>20.224</v>
      </c>
      <c r="W696" s="18" t="n">
        <f aca="false">MAX(0,$T696-$V696)</f>
        <v>0</v>
      </c>
      <c r="X696" s="19" t="n">
        <f aca="false">IFERROR(INDEX(CADASTRO_PIVOS!$K$6:$K$41,MATCH($E696,CADASTRO_PIVOS!$B$6:$B$41,0)),EFICIENCIA_PADRAO)</f>
        <v>0.85</v>
      </c>
      <c r="Y696" s="18" t="n">
        <f aca="false">IF($X696&lt;=0,0,$W696/$X696)</f>
        <v>0</v>
      </c>
      <c r="Z696" s="16" t="n">
        <f aca="false">$Y696*$H696*MM_PARA_M3_HA</f>
        <v>0</v>
      </c>
      <c r="AA696" s="18" t="n">
        <f aca="false">IFERROR(INDEX(CADASTRO_PIVOS!$I$6:$I$41,MATCH($E696,CADASTRO_PIVOS!$B$6:$B$41,0)),0)</f>
        <v>1071.28571428571</v>
      </c>
      <c r="AB696" s="18" t="n">
        <f aca="false">IF($Z696&lt;=0,0,$Z696/$AA696)</f>
        <v>0</v>
      </c>
      <c r="AC696" s="16" t="n">
        <f aca="false">IFERROR(INDEX(SEMANAS!$K$6:$K$71,MATCH($B696,SEMANAS!$B$6:$B$71,0)),0)</f>
        <v>147</v>
      </c>
      <c r="AD696" s="19" t="n">
        <f aca="false">IF($AC696&lt;=0,0,$AB696/$AC696)</f>
        <v>0</v>
      </c>
      <c r="AE696" s="8" t="str">
        <f aca="false">IF($K696="SEM CULTURA","SEM CULTURA",IF($AA696&lt;=0,"DADO PENDENTE",IF($AD696&gt;LIMITE_CRITICO,"INVIAVEL",IF($AD696&gt;LIMITE_ATENCAO,"CRITICO",IF($AD696&gt;LIMITE_CONFORTAVEL,"ATENCAO","OK")))))</f>
        <v>SEM CULTURA</v>
      </c>
      <c r="AF696" s="8" t="str">
        <f aca="false">$B696&amp;"|"&amp;TEXT($AD696,"0.000000")</f>
        <v>31|0.000000</v>
      </c>
      <c r="AG696" s="18" t="n">
        <f aca="false">IF($K696="SEM CULTURA",0,$T696*$H696)</f>
        <v>0</v>
      </c>
      <c r="AH696" s="18" t="n">
        <f aca="false">IF($K696="SEM CULTURA",0,$V696*$H696)</f>
        <v>0</v>
      </c>
      <c r="AI696" s="18" t="n">
        <f aca="false">IF($K696="SEM CULTURA",0,$W696*$H696)</f>
        <v>0</v>
      </c>
      <c r="AJ696" s="18" t="n">
        <f aca="false">IF($K696="SEM CULTURA",0,$S696*$H696)</f>
        <v>0</v>
      </c>
      <c r="AK696" s="8" t="str">
        <f aca="false">$E696&amp;"|"&amp;TEXT($AD696,"0.000000")</f>
        <v>PV 112|0.000000</v>
      </c>
    </row>
    <row r="697" customFormat="false" ht="15" hidden="false" customHeight="false" outlineLevel="0" collapsed="false">
      <c r="B697" s="16" t="n">
        <v>32</v>
      </c>
      <c r="C697" s="17" t="n">
        <f aca="false">DATA_INICIO_SAFRA+($B697-1)*DIAS_POR_SEMANA</f>
        <v>46482</v>
      </c>
      <c r="D697" s="17" t="n">
        <f aca="false">$C697+DIAS_POR_SEMANA-1</f>
        <v>46488</v>
      </c>
      <c r="E697" s="15" t="s">
        <v>269</v>
      </c>
      <c r="F697" s="8" t="str">
        <f aca="false">IFERROR(INDEX(CADASTRO_PIVOS!$C$6:$C$41,MATCH($E697,CADASTRO_PIVOS!$B$6:$B$41,0)),"?")</f>
        <v>RM05</v>
      </c>
      <c r="G697" s="8" t="str">
        <f aca="false">IFERROR(INDEX(CADASTRO_PIVOS!$D$6:$D$41,MATCH($E697,CADASTRO_PIVOS!$B$6:$B$41,0)),"?")</f>
        <v>TR05</v>
      </c>
      <c r="H697" s="20" t="n">
        <f aca="false">IFERROR(INDEX(CADASTRO_PIVOS!$E$6:$E$41,MATCH($E697,CADASTRO_PIVOS!$B$6:$B$41,0)),0)</f>
        <v>149.98</v>
      </c>
      <c r="I697" s="16" t="n">
        <f aca="false">IFERROR(SUMIFS(ROTACAO_RDM!$B$6:$B$71,ROTACAO_RDM!$D$6:$D$71,$E697,ROTACAO_RDM!$I$6:$I$71,"&lt;="&amp;$C697+INT(DIAS_POR_SEMANA/2),ROTACAO_RDM!$J$6:$J$71,"&gt;="&amp;$C697+INT(DIAS_POR_SEMANA/2)),0)</f>
        <v>0</v>
      </c>
      <c r="J697" s="16" t="n">
        <f aca="false">IFERROR(MATCH($I697,ROTACAO_RDM!$B$6:$B$71,0),0)</f>
        <v>0</v>
      </c>
      <c r="K697" s="8" t="str">
        <f aca="false">IF($J697=0,"SEM CULTURA",INDEX(ROTACAO_RDM!$F$6:$F$71,$J697))</f>
        <v>SEM CULTURA</v>
      </c>
      <c r="L697" s="8" t="str">
        <f aca="false">IF($J697=0,"",INDEX(ROTACAO_RDM!$G$6:$G$71,$J697))</f>
        <v/>
      </c>
      <c r="M697" s="17" t="str">
        <f aca="false">IF($J697=0,"",INDEX(ROTACAO_RDM!$I$6:$I$71,$J697))</f>
        <v/>
      </c>
      <c r="N697" s="16" t="n">
        <f aca="false">IF($J697=0,0,MAX(0,$C697+INT(DIAS_POR_SEMANA/2)-INDEX(ROTACAO_RDM!$I$6:$I$71,$J697)))</f>
        <v>0</v>
      </c>
      <c r="O697" s="19" t="n">
        <f aca="false">IF($J697=0,0,MIN(1,$N697/MAX(1,INDEX(ROTACAO_RDM!$K$6:$K$71,$J697))))</f>
        <v>0</v>
      </c>
      <c r="P697" s="16" t="n">
        <f aca="false">IF($J697=0,0,IFERROR(MATCH(INDEX(ROTACAO_RDM!$N$6:$N$71,$J697),PARAMETROS_CULTURAS!$B$6:$B$28,0),0))</f>
        <v>0</v>
      </c>
      <c r="Q697" s="8" t="str">
        <f aca="false">IF($P697=0,"-",IF($O697&lt;=INDEX(PARAMETROS_CULTURAS!$F$6:$F$28,$P697),"INICIAL",IF($O697&lt;=INDEX(PARAMETROS_CULTURAS!$F$6:$F$28,$P697)+INDEX(PARAMETROS_CULTURAS!$G$6:$G$28,$P697),"DESENVOLVIMENTO",IF($O697&lt;=INDEX(PARAMETROS_CULTURAS!$F$6:$F$28,$P697)+INDEX(PARAMETROS_CULTURAS!$G$6:$G$28,$P697)+INDEX(PARAMETROS_CULTURAS!$H$6:$H$28,$P697),"MEDIA","FINAL"))))</f>
        <v>-</v>
      </c>
      <c r="R697" s="24" t="n">
        <f aca="false">IF($P697=0,0,IF($O697&lt;=INDEX(PARAMETROS_CULTURAS!$F$6:$F$28,$P697),INDEX(PARAMETROS_CULTURAS!$K$6:$K$28,$P697),IF($O697&lt;=INDEX(PARAMETROS_CULTURAS!$F$6:$F$28,$P697)+INDEX(PARAMETROS_CULTURAS!$G$6:$G$28,$P697),INDEX(PARAMETROS_CULTURAS!$K$6:$K$28,$P697)+(INDEX(PARAMETROS_CULTURAS!$L$6:$L$28,$P697)-INDEX(PARAMETROS_CULTURAS!$K$6:$K$28,$P697))*($O697-INDEX(PARAMETROS_CULTURAS!$F$6:$F$28,$P697))/MAX(INDEX(PARAMETROS_CULTURAS!$G$6:$G$28,$P697),0.0001),IF($O697&lt;=INDEX(PARAMETROS_CULTURAS!$F$6:$F$28,$P697)+INDEX(PARAMETROS_CULTURAS!$G$6:$G$28,$P697)+INDEX(PARAMETROS_CULTURAS!$H$6:$H$28,$P697),INDEX(PARAMETROS_CULTURAS!$L$6:$L$28,$P697),INDEX(PARAMETROS_CULTURAS!$L$6:$L$28,$P697)+(INDEX(PARAMETROS_CULTURAS!$M$6:$M$28,$P697)-INDEX(PARAMETROS_CULTURAS!$L$6:$L$28,$P697))*($O697-INDEX(PARAMETROS_CULTURAS!$F$6:$F$28,$P697)-INDEX(PARAMETROS_CULTURAS!$G$6:$G$28,$P697)-INDEX(PARAMETROS_CULTURAS!$H$6:$H$28,$P697))/MAX(INDEX(PARAMETROS_CULTURAS!$I$6:$I$28,$P697),0.0001)))))</f>
        <v>0</v>
      </c>
      <c r="S697" s="18" t="n">
        <f aca="false">IFERROR(INDEX(SEMANAS!$H$6:$H$71,MATCH($B697,SEMANAS!$B$6:$B$71,0)),0)</f>
        <v>31.5</v>
      </c>
      <c r="T697" s="18" t="n">
        <f aca="false">$R697*$S697</f>
        <v>0</v>
      </c>
      <c r="U697" s="18" t="n">
        <f aca="false">IFERROR(INDEX(SEMANAS!$I$6:$I$71,MATCH($B697,SEMANAS!$B$6:$B$71,0)),0)</f>
        <v>16.31</v>
      </c>
      <c r="V697" s="18" t="n">
        <f aca="false">IFERROR(INDEX(SEMANAS!$J$6:$J$71,MATCH($B697,SEMANAS!$B$6:$B$71,0)),0)</f>
        <v>13.048</v>
      </c>
      <c r="W697" s="18" t="n">
        <f aca="false">MAX(0,$T697-$V697)</f>
        <v>0</v>
      </c>
      <c r="X697" s="19" t="n">
        <f aca="false">IFERROR(INDEX(CADASTRO_PIVOS!$K$6:$K$41,MATCH($E697,CADASTRO_PIVOS!$B$6:$B$41,0)),EFICIENCIA_PADRAO)</f>
        <v>0.85</v>
      </c>
      <c r="Y697" s="18" t="n">
        <f aca="false">IF($X697&lt;=0,0,$W697/$X697)</f>
        <v>0</v>
      </c>
      <c r="Z697" s="16" t="n">
        <f aca="false">$Y697*$H697*MM_PARA_M3_HA</f>
        <v>0</v>
      </c>
      <c r="AA697" s="18" t="n">
        <f aca="false">IFERROR(INDEX(CADASTRO_PIVOS!$I$6:$I$41,MATCH($E697,CADASTRO_PIVOS!$B$6:$B$41,0)),0)</f>
        <v>1071.28571428571</v>
      </c>
      <c r="AB697" s="18" t="n">
        <f aca="false">IF($Z697&lt;=0,0,$Z697/$AA697)</f>
        <v>0</v>
      </c>
      <c r="AC697" s="16" t="n">
        <f aca="false">IFERROR(INDEX(SEMANAS!$K$6:$K$71,MATCH($B697,SEMANAS!$B$6:$B$71,0)),0)</f>
        <v>147</v>
      </c>
      <c r="AD697" s="19" t="n">
        <f aca="false">IF($AC697&lt;=0,0,$AB697/$AC697)</f>
        <v>0</v>
      </c>
      <c r="AE697" s="8" t="str">
        <f aca="false">IF($K697="SEM CULTURA","SEM CULTURA",IF($AA697&lt;=0,"DADO PENDENTE",IF($AD697&gt;LIMITE_CRITICO,"INVIAVEL",IF($AD697&gt;LIMITE_ATENCAO,"CRITICO",IF($AD697&gt;LIMITE_CONFORTAVEL,"ATENCAO","OK")))))</f>
        <v>SEM CULTURA</v>
      </c>
      <c r="AF697" s="8" t="str">
        <f aca="false">$B697&amp;"|"&amp;TEXT($AD697,"0.000000")</f>
        <v>32|0.000000</v>
      </c>
      <c r="AG697" s="18" t="n">
        <f aca="false">IF($K697="SEM CULTURA",0,$T697*$H697)</f>
        <v>0</v>
      </c>
      <c r="AH697" s="18" t="n">
        <f aca="false">IF($K697="SEM CULTURA",0,$V697*$H697)</f>
        <v>0</v>
      </c>
      <c r="AI697" s="18" t="n">
        <f aca="false">IF($K697="SEM CULTURA",0,$W697*$H697)</f>
        <v>0</v>
      </c>
      <c r="AJ697" s="18" t="n">
        <f aca="false">IF($K697="SEM CULTURA",0,$S697*$H697)</f>
        <v>0</v>
      </c>
      <c r="AK697" s="8" t="str">
        <f aca="false">$E697&amp;"|"&amp;TEXT($AD697,"0.000000")</f>
        <v>PV 112|0.000000</v>
      </c>
    </row>
    <row r="698" customFormat="false" ht="15" hidden="false" customHeight="false" outlineLevel="0" collapsed="false">
      <c r="B698" s="16" t="n">
        <v>33</v>
      </c>
      <c r="C698" s="17" t="n">
        <f aca="false">DATA_INICIO_SAFRA+($B698-1)*DIAS_POR_SEMANA</f>
        <v>46489</v>
      </c>
      <c r="D698" s="17" t="n">
        <f aca="false">$C698+DIAS_POR_SEMANA-1</f>
        <v>46495</v>
      </c>
      <c r="E698" s="15" t="s">
        <v>269</v>
      </c>
      <c r="F698" s="8" t="str">
        <f aca="false">IFERROR(INDEX(CADASTRO_PIVOS!$C$6:$C$41,MATCH($E698,CADASTRO_PIVOS!$B$6:$B$41,0)),"?")</f>
        <v>RM05</v>
      </c>
      <c r="G698" s="8" t="str">
        <f aca="false">IFERROR(INDEX(CADASTRO_PIVOS!$D$6:$D$41,MATCH($E698,CADASTRO_PIVOS!$B$6:$B$41,0)),"?")</f>
        <v>TR05</v>
      </c>
      <c r="H698" s="20" t="n">
        <f aca="false">IFERROR(INDEX(CADASTRO_PIVOS!$E$6:$E$41,MATCH($E698,CADASTRO_PIVOS!$B$6:$B$41,0)),0)</f>
        <v>149.98</v>
      </c>
      <c r="I698" s="16" t="n">
        <f aca="false">IFERROR(SUMIFS(ROTACAO_RDM!$B$6:$B$71,ROTACAO_RDM!$D$6:$D$71,$E698,ROTACAO_RDM!$I$6:$I$71,"&lt;="&amp;$C698+INT(DIAS_POR_SEMANA/2),ROTACAO_RDM!$J$6:$J$71,"&gt;="&amp;$C698+INT(DIAS_POR_SEMANA/2)),0)</f>
        <v>0</v>
      </c>
      <c r="J698" s="16" t="n">
        <f aca="false">IFERROR(MATCH($I698,ROTACAO_RDM!$B$6:$B$71,0),0)</f>
        <v>0</v>
      </c>
      <c r="K698" s="8" t="str">
        <f aca="false">IF($J698=0,"SEM CULTURA",INDEX(ROTACAO_RDM!$F$6:$F$71,$J698))</f>
        <v>SEM CULTURA</v>
      </c>
      <c r="L698" s="8" t="str">
        <f aca="false">IF($J698=0,"",INDEX(ROTACAO_RDM!$G$6:$G$71,$J698))</f>
        <v/>
      </c>
      <c r="M698" s="17" t="str">
        <f aca="false">IF($J698=0,"",INDEX(ROTACAO_RDM!$I$6:$I$71,$J698))</f>
        <v/>
      </c>
      <c r="N698" s="16" t="n">
        <f aca="false">IF($J698=0,0,MAX(0,$C698+INT(DIAS_POR_SEMANA/2)-INDEX(ROTACAO_RDM!$I$6:$I$71,$J698)))</f>
        <v>0</v>
      </c>
      <c r="O698" s="19" t="n">
        <f aca="false">IF($J698=0,0,MIN(1,$N698/MAX(1,INDEX(ROTACAO_RDM!$K$6:$K$71,$J698))))</f>
        <v>0</v>
      </c>
      <c r="P698" s="16" t="n">
        <f aca="false">IF($J698=0,0,IFERROR(MATCH(INDEX(ROTACAO_RDM!$N$6:$N$71,$J698),PARAMETROS_CULTURAS!$B$6:$B$28,0),0))</f>
        <v>0</v>
      </c>
      <c r="Q698" s="8" t="str">
        <f aca="false">IF($P698=0,"-",IF($O698&lt;=INDEX(PARAMETROS_CULTURAS!$F$6:$F$28,$P698),"INICIAL",IF($O698&lt;=INDEX(PARAMETROS_CULTURAS!$F$6:$F$28,$P698)+INDEX(PARAMETROS_CULTURAS!$G$6:$G$28,$P698),"DESENVOLVIMENTO",IF($O698&lt;=INDEX(PARAMETROS_CULTURAS!$F$6:$F$28,$P698)+INDEX(PARAMETROS_CULTURAS!$G$6:$G$28,$P698)+INDEX(PARAMETROS_CULTURAS!$H$6:$H$28,$P698),"MEDIA","FINAL"))))</f>
        <v>-</v>
      </c>
      <c r="R698" s="24" t="n">
        <f aca="false">IF($P698=0,0,IF($O698&lt;=INDEX(PARAMETROS_CULTURAS!$F$6:$F$28,$P698),INDEX(PARAMETROS_CULTURAS!$K$6:$K$28,$P698),IF($O698&lt;=INDEX(PARAMETROS_CULTURAS!$F$6:$F$28,$P698)+INDEX(PARAMETROS_CULTURAS!$G$6:$G$28,$P698),INDEX(PARAMETROS_CULTURAS!$K$6:$K$28,$P698)+(INDEX(PARAMETROS_CULTURAS!$L$6:$L$28,$P698)-INDEX(PARAMETROS_CULTURAS!$K$6:$K$28,$P698))*($O698-INDEX(PARAMETROS_CULTURAS!$F$6:$F$28,$P698))/MAX(INDEX(PARAMETROS_CULTURAS!$G$6:$G$28,$P698),0.0001),IF($O698&lt;=INDEX(PARAMETROS_CULTURAS!$F$6:$F$28,$P698)+INDEX(PARAMETROS_CULTURAS!$G$6:$G$28,$P698)+INDEX(PARAMETROS_CULTURAS!$H$6:$H$28,$P698),INDEX(PARAMETROS_CULTURAS!$L$6:$L$28,$P698),INDEX(PARAMETROS_CULTURAS!$L$6:$L$28,$P698)+(INDEX(PARAMETROS_CULTURAS!$M$6:$M$28,$P698)-INDEX(PARAMETROS_CULTURAS!$L$6:$L$28,$P698))*($O698-INDEX(PARAMETROS_CULTURAS!$F$6:$F$28,$P698)-INDEX(PARAMETROS_CULTURAS!$G$6:$G$28,$P698)-INDEX(PARAMETROS_CULTURAS!$H$6:$H$28,$P698))/MAX(INDEX(PARAMETROS_CULTURAS!$I$6:$I$28,$P698),0.0001)))))</f>
        <v>0</v>
      </c>
      <c r="S698" s="18" t="n">
        <f aca="false">IFERROR(INDEX(SEMANAS!$H$6:$H$71,MATCH($B698,SEMANAS!$B$6:$B$71,0)),0)</f>
        <v>31.5</v>
      </c>
      <c r="T698" s="18" t="n">
        <f aca="false">$R698*$S698</f>
        <v>0</v>
      </c>
      <c r="U698" s="18" t="n">
        <f aca="false">IFERROR(INDEX(SEMANAS!$I$6:$I$71,MATCH($B698,SEMANAS!$B$6:$B$71,0)),0)</f>
        <v>16.31</v>
      </c>
      <c r="V698" s="18" t="n">
        <f aca="false">IFERROR(INDEX(SEMANAS!$J$6:$J$71,MATCH($B698,SEMANAS!$B$6:$B$71,0)),0)</f>
        <v>13.048</v>
      </c>
      <c r="W698" s="18" t="n">
        <f aca="false">MAX(0,$T698-$V698)</f>
        <v>0</v>
      </c>
      <c r="X698" s="19" t="n">
        <f aca="false">IFERROR(INDEX(CADASTRO_PIVOS!$K$6:$K$41,MATCH($E698,CADASTRO_PIVOS!$B$6:$B$41,0)),EFICIENCIA_PADRAO)</f>
        <v>0.85</v>
      </c>
      <c r="Y698" s="18" t="n">
        <f aca="false">IF($X698&lt;=0,0,$W698/$X698)</f>
        <v>0</v>
      </c>
      <c r="Z698" s="16" t="n">
        <f aca="false">$Y698*$H698*MM_PARA_M3_HA</f>
        <v>0</v>
      </c>
      <c r="AA698" s="18" t="n">
        <f aca="false">IFERROR(INDEX(CADASTRO_PIVOS!$I$6:$I$41,MATCH($E698,CADASTRO_PIVOS!$B$6:$B$41,0)),0)</f>
        <v>1071.28571428571</v>
      </c>
      <c r="AB698" s="18" t="n">
        <f aca="false">IF($Z698&lt;=0,0,$Z698/$AA698)</f>
        <v>0</v>
      </c>
      <c r="AC698" s="16" t="n">
        <f aca="false">IFERROR(INDEX(SEMANAS!$K$6:$K$71,MATCH($B698,SEMANAS!$B$6:$B$71,0)),0)</f>
        <v>147</v>
      </c>
      <c r="AD698" s="19" t="n">
        <f aca="false">IF($AC698&lt;=0,0,$AB698/$AC698)</f>
        <v>0</v>
      </c>
      <c r="AE698" s="8" t="str">
        <f aca="false">IF($K698="SEM CULTURA","SEM CULTURA",IF($AA698&lt;=0,"DADO PENDENTE",IF($AD698&gt;LIMITE_CRITICO,"INVIAVEL",IF($AD698&gt;LIMITE_ATENCAO,"CRITICO",IF($AD698&gt;LIMITE_CONFORTAVEL,"ATENCAO","OK")))))</f>
        <v>SEM CULTURA</v>
      </c>
      <c r="AF698" s="8" t="str">
        <f aca="false">$B698&amp;"|"&amp;TEXT($AD698,"0.000000")</f>
        <v>33|0.000000</v>
      </c>
      <c r="AG698" s="18" t="n">
        <f aca="false">IF($K698="SEM CULTURA",0,$T698*$H698)</f>
        <v>0</v>
      </c>
      <c r="AH698" s="18" t="n">
        <f aca="false">IF($K698="SEM CULTURA",0,$V698*$H698)</f>
        <v>0</v>
      </c>
      <c r="AI698" s="18" t="n">
        <f aca="false">IF($K698="SEM CULTURA",0,$W698*$H698)</f>
        <v>0</v>
      </c>
      <c r="AJ698" s="18" t="n">
        <f aca="false">IF($K698="SEM CULTURA",0,$S698*$H698)</f>
        <v>0</v>
      </c>
      <c r="AK698" s="8" t="str">
        <f aca="false">$E698&amp;"|"&amp;TEXT($AD698,"0.000000")</f>
        <v>PV 112|0.000000</v>
      </c>
    </row>
    <row r="699" customFormat="false" ht="15" hidden="false" customHeight="false" outlineLevel="0" collapsed="false">
      <c r="B699" s="16" t="n">
        <v>34</v>
      </c>
      <c r="C699" s="17" t="n">
        <f aca="false">DATA_INICIO_SAFRA+($B699-1)*DIAS_POR_SEMANA</f>
        <v>46496</v>
      </c>
      <c r="D699" s="17" t="n">
        <f aca="false">$C699+DIAS_POR_SEMANA-1</f>
        <v>46502</v>
      </c>
      <c r="E699" s="15" t="s">
        <v>269</v>
      </c>
      <c r="F699" s="8" t="str">
        <f aca="false">IFERROR(INDEX(CADASTRO_PIVOS!$C$6:$C$41,MATCH($E699,CADASTRO_PIVOS!$B$6:$B$41,0)),"?")</f>
        <v>RM05</v>
      </c>
      <c r="G699" s="8" t="str">
        <f aca="false">IFERROR(INDEX(CADASTRO_PIVOS!$D$6:$D$41,MATCH($E699,CADASTRO_PIVOS!$B$6:$B$41,0)),"?")</f>
        <v>TR05</v>
      </c>
      <c r="H699" s="20" t="n">
        <f aca="false">IFERROR(INDEX(CADASTRO_PIVOS!$E$6:$E$41,MATCH($E699,CADASTRO_PIVOS!$B$6:$B$41,0)),0)</f>
        <v>149.98</v>
      </c>
      <c r="I699" s="16" t="n">
        <f aca="false">IFERROR(SUMIFS(ROTACAO_RDM!$B$6:$B$71,ROTACAO_RDM!$D$6:$D$71,$E699,ROTACAO_RDM!$I$6:$I$71,"&lt;="&amp;$C699+INT(DIAS_POR_SEMANA/2),ROTACAO_RDM!$J$6:$J$71,"&gt;="&amp;$C699+INT(DIAS_POR_SEMANA/2)),0)</f>
        <v>0</v>
      </c>
      <c r="J699" s="16" t="n">
        <f aca="false">IFERROR(MATCH($I699,ROTACAO_RDM!$B$6:$B$71,0),0)</f>
        <v>0</v>
      </c>
      <c r="K699" s="8" t="str">
        <f aca="false">IF($J699=0,"SEM CULTURA",INDEX(ROTACAO_RDM!$F$6:$F$71,$J699))</f>
        <v>SEM CULTURA</v>
      </c>
      <c r="L699" s="8" t="str">
        <f aca="false">IF($J699=0,"",INDEX(ROTACAO_RDM!$G$6:$G$71,$J699))</f>
        <v/>
      </c>
      <c r="M699" s="17" t="str">
        <f aca="false">IF($J699=0,"",INDEX(ROTACAO_RDM!$I$6:$I$71,$J699))</f>
        <v/>
      </c>
      <c r="N699" s="16" t="n">
        <f aca="false">IF($J699=0,0,MAX(0,$C699+INT(DIAS_POR_SEMANA/2)-INDEX(ROTACAO_RDM!$I$6:$I$71,$J699)))</f>
        <v>0</v>
      </c>
      <c r="O699" s="19" t="n">
        <f aca="false">IF($J699=0,0,MIN(1,$N699/MAX(1,INDEX(ROTACAO_RDM!$K$6:$K$71,$J699))))</f>
        <v>0</v>
      </c>
      <c r="P699" s="16" t="n">
        <f aca="false">IF($J699=0,0,IFERROR(MATCH(INDEX(ROTACAO_RDM!$N$6:$N$71,$J699),PARAMETROS_CULTURAS!$B$6:$B$28,0),0))</f>
        <v>0</v>
      </c>
      <c r="Q699" s="8" t="str">
        <f aca="false">IF($P699=0,"-",IF($O699&lt;=INDEX(PARAMETROS_CULTURAS!$F$6:$F$28,$P699),"INICIAL",IF($O699&lt;=INDEX(PARAMETROS_CULTURAS!$F$6:$F$28,$P699)+INDEX(PARAMETROS_CULTURAS!$G$6:$G$28,$P699),"DESENVOLVIMENTO",IF($O699&lt;=INDEX(PARAMETROS_CULTURAS!$F$6:$F$28,$P699)+INDEX(PARAMETROS_CULTURAS!$G$6:$G$28,$P699)+INDEX(PARAMETROS_CULTURAS!$H$6:$H$28,$P699),"MEDIA","FINAL"))))</f>
        <v>-</v>
      </c>
      <c r="R699" s="24" t="n">
        <f aca="false">IF($P699=0,0,IF($O699&lt;=INDEX(PARAMETROS_CULTURAS!$F$6:$F$28,$P699),INDEX(PARAMETROS_CULTURAS!$K$6:$K$28,$P699),IF($O699&lt;=INDEX(PARAMETROS_CULTURAS!$F$6:$F$28,$P699)+INDEX(PARAMETROS_CULTURAS!$G$6:$G$28,$P699),INDEX(PARAMETROS_CULTURAS!$K$6:$K$28,$P699)+(INDEX(PARAMETROS_CULTURAS!$L$6:$L$28,$P699)-INDEX(PARAMETROS_CULTURAS!$K$6:$K$28,$P699))*($O699-INDEX(PARAMETROS_CULTURAS!$F$6:$F$28,$P699))/MAX(INDEX(PARAMETROS_CULTURAS!$G$6:$G$28,$P699),0.0001),IF($O699&lt;=INDEX(PARAMETROS_CULTURAS!$F$6:$F$28,$P699)+INDEX(PARAMETROS_CULTURAS!$G$6:$G$28,$P699)+INDEX(PARAMETROS_CULTURAS!$H$6:$H$28,$P699),INDEX(PARAMETROS_CULTURAS!$L$6:$L$28,$P699),INDEX(PARAMETROS_CULTURAS!$L$6:$L$28,$P699)+(INDEX(PARAMETROS_CULTURAS!$M$6:$M$28,$P699)-INDEX(PARAMETROS_CULTURAS!$L$6:$L$28,$P699))*($O699-INDEX(PARAMETROS_CULTURAS!$F$6:$F$28,$P699)-INDEX(PARAMETROS_CULTURAS!$G$6:$G$28,$P699)-INDEX(PARAMETROS_CULTURAS!$H$6:$H$28,$P699))/MAX(INDEX(PARAMETROS_CULTURAS!$I$6:$I$28,$P699),0.0001)))))</f>
        <v>0</v>
      </c>
      <c r="S699" s="18" t="n">
        <f aca="false">IFERROR(INDEX(SEMANAS!$H$6:$H$71,MATCH($B699,SEMANAS!$B$6:$B$71,0)),0)</f>
        <v>31.5</v>
      </c>
      <c r="T699" s="18" t="n">
        <f aca="false">$R699*$S699</f>
        <v>0</v>
      </c>
      <c r="U699" s="18" t="n">
        <f aca="false">IFERROR(INDEX(SEMANAS!$I$6:$I$71,MATCH($B699,SEMANAS!$B$6:$B$71,0)),0)</f>
        <v>16.31</v>
      </c>
      <c r="V699" s="18" t="n">
        <f aca="false">IFERROR(INDEX(SEMANAS!$J$6:$J$71,MATCH($B699,SEMANAS!$B$6:$B$71,0)),0)</f>
        <v>13.048</v>
      </c>
      <c r="W699" s="18" t="n">
        <f aca="false">MAX(0,$T699-$V699)</f>
        <v>0</v>
      </c>
      <c r="X699" s="19" t="n">
        <f aca="false">IFERROR(INDEX(CADASTRO_PIVOS!$K$6:$K$41,MATCH($E699,CADASTRO_PIVOS!$B$6:$B$41,0)),EFICIENCIA_PADRAO)</f>
        <v>0.85</v>
      </c>
      <c r="Y699" s="18" t="n">
        <f aca="false">IF($X699&lt;=0,0,$W699/$X699)</f>
        <v>0</v>
      </c>
      <c r="Z699" s="16" t="n">
        <f aca="false">$Y699*$H699*MM_PARA_M3_HA</f>
        <v>0</v>
      </c>
      <c r="AA699" s="18" t="n">
        <f aca="false">IFERROR(INDEX(CADASTRO_PIVOS!$I$6:$I$41,MATCH($E699,CADASTRO_PIVOS!$B$6:$B$41,0)),0)</f>
        <v>1071.28571428571</v>
      </c>
      <c r="AB699" s="18" t="n">
        <f aca="false">IF($Z699&lt;=0,0,$Z699/$AA699)</f>
        <v>0</v>
      </c>
      <c r="AC699" s="16" t="n">
        <f aca="false">IFERROR(INDEX(SEMANAS!$K$6:$K$71,MATCH($B699,SEMANAS!$B$6:$B$71,0)),0)</f>
        <v>147</v>
      </c>
      <c r="AD699" s="19" t="n">
        <f aca="false">IF($AC699&lt;=0,0,$AB699/$AC699)</f>
        <v>0</v>
      </c>
      <c r="AE699" s="8" t="str">
        <f aca="false">IF($K699="SEM CULTURA","SEM CULTURA",IF($AA699&lt;=0,"DADO PENDENTE",IF($AD699&gt;LIMITE_CRITICO,"INVIAVEL",IF($AD699&gt;LIMITE_ATENCAO,"CRITICO",IF($AD699&gt;LIMITE_CONFORTAVEL,"ATENCAO","OK")))))</f>
        <v>SEM CULTURA</v>
      </c>
      <c r="AF699" s="8" t="str">
        <f aca="false">$B699&amp;"|"&amp;TEXT($AD699,"0.000000")</f>
        <v>34|0.000000</v>
      </c>
      <c r="AG699" s="18" t="n">
        <f aca="false">IF($K699="SEM CULTURA",0,$T699*$H699)</f>
        <v>0</v>
      </c>
      <c r="AH699" s="18" t="n">
        <f aca="false">IF($K699="SEM CULTURA",0,$V699*$H699)</f>
        <v>0</v>
      </c>
      <c r="AI699" s="18" t="n">
        <f aca="false">IF($K699="SEM CULTURA",0,$W699*$H699)</f>
        <v>0</v>
      </c>
      <c r="AJ699" s="18" t="n">
        <f aca="false">IF($K699="SEM CULTURA",0,$S699*$H699)</f>
        <v>0</v>
      </c>
      <c r="AK699" s="8" t="str">
        <f aca="false">$E699&amp;"|"&amp;TEXT($AD699,"0.000000")</f>
        <v>PV 112|0.000000</v>
      </c>
    </row>
    <row r="700" customFormat="false" ht="15" hidden="false" customHeight="false" outlineLevel="0" collapsed="false">
      <c r="B700" s="16" t="n">
        <v>35</v>
      </c>
      <c r="C700" s="17" t="n">
        <f aca="false">DATA_INICIO_SAFRA+($B700-1)*DIAS_POR_SEMANA</f>
        <v>46503</v>
      </c>
      <c r="D700" s="17" t="n">
        <f aca="false">$C700+DIAS_POR_SEMANA-1</f>
        <v>46509</v>
      </c>
      <c r="E700" s="15" t="s">
        <v>269</v>
      </c>
      <c r="F700" s="8" t="str">
        <f aca="false">IFERROR(INDEX(CADASTRO_PIVOS!$C$6:$C$41,MATCH($E700,CADASTRO_PIVOS!$B$6:$B$41,0)),"?")</f>
        <v>RM05</v>
      </c>
      <c r="G700" s="8" t="str">
        <f aca="false">IFERROR(INDEX(CADASTRO_PIVOS!$D$6:$D$41,MATCH($E700,CADASTRO_PIVOS!$B$6:$B$41,0)),"?")</f>
        <v>TR05</v>
      </c>
      <c r="H700" s="20" t="n">
        <f aca="false">IFERROR(INDEX(CADASTRO_PIVOS!$E$6:$E$41,MATCH($E700,CADASTRO_PIVOS!$B$6:$B$41,0)),0)</f>
        <v>149.98</v>
      </c>
      <c r="I700" s="16" t="n">
        <f aca="false">IFERROR(SUMIFS(ROTACAO_RDM!$B$6:$B$71,ROTACAO_RDM!$D$6:$D$71,$E700,ROTACAO_RDM!$I$6:$I$71,"&lt;="&amp;$C700+INT(DIAS_POR_SEMANA/2),ROTACAO_RDM!$J$6:$J$71,"&gt;="&amp;$C700+INT(DIAS_POR_SEMANA/2)),0)</f>
        <v>0</v>
      </c>
      <c r="J700" s="16" t="n">
        <f aca="false">IFERROR(MATCH($I700,ROTACAO_RDM!$B$6:$B$71,0),0)</f>
        <v>0</v>
      </c>
      <c r="K700" s="8" t="str">
        <f aca="false">IF($J700=0,"SEM CULTURA",INDEX(ROTACAO_RDM!$F$6:$F$71,$J700))</f>
        <v>SEM CULTURA</v>
      </c>
      <c r="L700" s="8" t="str">
        <f aca="false">IF($J700=0,"",INDEX(ROTACAO_RDM!$G$6:$G$71,$J700))</f>
        <v/>
      </c>
      <c r="M700" s="17" t="str">
        <f aca="false">IF($J700=0,"",INDEX(ROTACAO_RDM!$I$6:$I$71,$J700))</f>
        <v/>
      </c>
      <c r="N700" s="16" t="n">
        <f aca="false">IF($J700=0,0,MAX(0,$C700+INT(DIAS_POR_SEMANA/2)-INDEX(ROTACAO_RDM!$I$6:$I$71,$J700)))</f>
        <v>0</v>
      </c>
      <c r="O700" s="19" t="n">
        <f aca="false">IF($J700=0,0,MIN(1,$N700/MAX(1,INDEX(ROTACAO_RDM!$K$6:$K$71,$J700))))</f>
        <v>0</v>
      </c>
      <c r="P700" s="16" t="n">
        <f aca="false">IF($J700=0,0,IFERROR(MATCH(INDEX(ROTACAO_RDM!$N$6:$N$71,$J700),PARAMETROS_CULTURAS!$B$6:$B$28,0),0))</f>
        <v>0</v>
      </c>
      <c r="Q700" s="8" t="str">
        <f aca="false">IF($P700=0,"-",IF($O700&lt;=INDEX(PARAMETROS_CULTURAS!$F$6:$F$28,$P700),"INICIAL",IF($O700&lt;=INDEX(PARAMETROS_CULTURAS!$F$6:$F$28,$P700)+INDEX(PARAMETROS_CULTURAS!$G$6:$G$28,$P700),"DESENVOLVIMENTO",IF($O700&lt;=INDEX(PARAMETROS_CULTURAS!$F$6:$F$28,$P700)+INDEX(PARAMETROS_CULTURAS!$G$6:$G$28,$P700)+INDEX(PARAMETROS_CULTURAS!$H$6:$H$28,$P700),"MEDIA","FINAL"))))</f>
        <v>-</v>
      </c>
      <c r="R700" s="24" t="n">
        <f aca="false">IF($P700=0,0,IF($O700&lt;=INDEX(PARAMETROS_CULTURAS!$F$6:$F$28,$P700),INDEX(PARAMETROS_CULTURAS!$K$6:$K$28,$P700),IF($O700&lt;=INDEX(PARAMETROS_CULTURAS!$F$6:$F$28,$P700)+INDEX(PARAMETROS_CULTURAS!$G$6:$G$28,$P700),INDEX(PARAMETROS_CULTURAS!$K$6:$K$28,$P700)+(INDEX(PARAMETROS_CULTURAS!$L$6:$L$28,$P700)-INDEX(PARAMETROS_CULTURAS!$K$6:$K$28,$P700))*($O700-INDEX(PARAMETROS_CULTURAS!$F$6:$F$28,$P700))/MAX(INDEX(PARAMETROS_CULTURAS!$G$6:$G$28,$P700),0.0001),IF($O700&lt;=INDEX(PARAMETROS_CULTURAS!$F$6:$F$28,$P700)+INDEX(PARAMETROS_CULTURAS!$G$6:$G$28,$P700)+INDEX(PARAMETROS_CULTURAS!$H$6:$H$28,$P700),INDEX(PARAMETROS_CULTURAS!$L$6:$L$28,$P700),INDEX(PARAMETROS_CULTURAS!$L$6:$L$28,$P700)+(INDEX(PARAMETROS_CULTURAS!$M$6:$M$28,$P700)-INDEX(PARAMETROS_CULTURAS!$L$6:$L$28,$P700))*($O700-INDEX(PARAMETROS_CULTURAS!$F$6:$F$28,$P700)-INDEX(PARAMETROS_CULTURAS!$G$6:$G$28,$P700)-INDEX(PARAMETROS_CULTURAS!$H$6:$H$28,$P700))/MAX(INDEX(PARAMETROS_CULTURAS!$I$6:$I$28,$P700),0.0001)))))</f>
        <v>0</v>
      </c>
      <c r="S700" s="18" t="n">
        <f aca="false">IFERROR(INDEX(SEMANAS!$H$6:$H$71,MATCH($B700,SEMANAS!$B$6:$B$71,0)),0)</f>
        <v>30.9</v>
      </c>
      <c r="T700" s="18" t="n">
        <f aca="false">$R700*$S700</f>
        <v>0</v>
      </c>
      <c r="U700" s="18" t="n">
        <f aca="false">IFERROR(INDEX(SEMANAS!$I$6:$I$71,MATCH($B700,SEMANAS!$B$6:$B$71,0)),0)</f>
        <v>12.61</v>
      </c>
      <c r="V700" s="18" t="n">
        <f aca="false">IFERROR(INDEX(SEMANAS!$J$6:$J$71,MATCH($B700,SEMANAS!$B$6:$B$71,0)),0)</f>
        <v>10.088</v>
      </c>
      <c r="W700" s="18" t="n">
        <f aca="false">MAX(0,$T700-$V700)</f>
        <v>0</v>
      </c>
      <c r="X700" s="19" t="n">
        <f aca="false">IFERROR(INDEX(CADASTRO_PIVOS!$K$6:$K$41,MATCH($E700,CADASTRO_PIVOS!$B$6:$B$41,0)),EFICIENCIA_PADRAO)</f>
        <v>0.85</v>
      </c>
      <c r="Y700" s="18" t="n">
        <f aca="false">IF($X700&lt;=0,0,$W700/$X700)</f>
        <v>0</v>
      </c>
      <c r="Z700" s="16" t="n">
        <f aca="false">$Y700*$H700*MM_PARA_M3_HA</f>
        <v>0</v>
      </c>
      <c r="AA700" s="18" t="n">
        <f aca="false">IFERROR(INDEX(CADASTRO_PIVOS!$I$6:$I$41,MATCH($E700,CADASTRO_PIVOS!$B$6:$B$41,0)),0)</f>
        <v>1071.28571428571</v>
      </c>
      <c r="AB700" s="18" t="n">
        <f aca="false">IF($Z700&lt;=0,0,$Z700/$AA700)</f>
        <v>0</v>
      </c>
      <c r="AC700" s="16" t="n">
        <f aca="false">IFERROR(INDEX(SEMANAS!$K$6:$K$71,MATCH($B700,SEMANAS!$B$6:$B$71,0)),0)</f>
        <v>147</v>
      </c>
      <c r="AD700" s="19" t="n">
        <f aca="false">IF($AC700&lt;=0,0,$AB700/$AC700)</f>
        <v>0</v>
      </c>
      <c r="AE700" s="8" t="str">
        <f aca="false">IF($K700="SEM CULTURA","SEM CULTURA",IF($AA700&lt;=0,"DADO PENDENTE",IF($AD700&gt;LIMITE_CRITICO,"INVIAVEL",IF($AD700&gt;LIMITE_ATENCAO,"CRITICO",IF($AD700&gt;LIMITE_CONFORTAVEL,"ATENCAO","OK")))))</f>
        <v>SEM CULTURA</v>
      </c>
      <c r="AF700" s="8" t="str">
        <f aca="false">$B700&amp;"|"&amp;TEXT($AD700,"0.000000")</f>
        <v>35|0.000000</v>
      </c>
      <c r="AG700" s="18" t="n">
        <f aca="false">IF($K700="SEM CULTURA",0,$T700*$H700)</f>
        <v>0</v>
      </c>
      <c r="AH700" s="18" t="n">
        <f aca="false">IF($K700="SEM CULTURA",0,$V700*$H700)</f>
        <v>0</v>
      </c>
      <c r="AI700" s="18" t="n">
        <f aca="false">IF($K700="SEM CULTURA",0,$W700*$H700)</f>
        <v>0</v>
      </c>
      <c r="AJ700" s="18" t="n">
        <f aca="false">IF($K700="SEM CULTURA",0,$S700*$H700)</f>
        <v>0</v>
      </c>
      <c r="AK700" s="8" t="str">
        <f aca="false">$E700&amp;"|"&amp;TEXT($AD700,"0.000000")</f>
        <v>PV 112|0.000000</v>
      </c>
    </row>
    <row r="701" customFormat="false" ht="15" hidden="false" customHeight="false" outlineLevel="0" collapsed="false">
      <c r="B701" s="16" t="n">
        <v>36</v>
      </c>
      <c r="C701" s="17" t="n">
        <f aca="false">DATA_INICIO_SAFRA+($B701-1)*DIAS_POR_SEMANA</f>
        <v>46510</v>
      </c>
      <c r="D701" s="17" t="n">
        <f aca="false">$C701+DIAS_POR_SEMANA-1</f>
        <v>46516</v>
      </c>
      <c r="E701" s="15" t="s">
        <v>269</v>
      </c>
      <c r="F701" s="8" t="str">
        <f aca="false">IFERROR(INDEX(CADASTRO_PIVOS!$C$6:$C$41,MATCH($E701,CADASTRO_PIVOS!$B$6:$B$41,0)),"?")</f>
        <v>RM05</v>
      </c>
      <c r="G701" s="8" t="str">
        <f aca="false">IFERROR(INDEX(CADASTRO_PIVOS!$D$6:$D$41,MATCH($E701,CADASTRO_PIVOS!$B$6:$B$41,0)),"?")</f>
        <v>TR05</v>
      </c>
      <c r="H701" s="20" t="n">
        <f aca="false">IFERROR(INDEX(CADASTRO_PIVOS!$E$6:$E$41,MATCH($E701,CADASTRO_PIVOS!$B$6:$B$41,0)),0)</f>
        <v>149.98</v>
      </c>
      <c r="I701" s="16" t="n">
        <f aca="false">IFERROR(SUMIFS(ROTACAO_RDM!$B$6:$B$71,ROTACAO_RDM!$D$6:$D$71,$E701,ROTACAO_RDM!$I$6:$I$71,"&lt;="&amp;$C701+INT(DIAS_POR_SEMANA/2),ROTACAO_RDM!$J$6:$J$71,"&gt;="&amp;$C701+INT(DIAS_POR_SEMANA/2)),0)</f>
        <v>0</v>
      </c>
      <c r="J701" s="16" t="n">
        <f aca="false">IFERROR(MATCH($I701,ROTACAO_RDM!$B$6:$B$71,0),0)</f>
        <v>0</v>
      </c>
      <c r="K701" s="8" t="str">
        <f aca="false">IF($J701=0,"SEM CULTURA",INDEX(ROTACAO_RDM!$F$6:$F$71,$J701))</f>
        <v>SEM CULTURA</v>
      </c>
      <c r="L701" s="8" t="str">
        <f aca="false">IF($J701=0,"",INDEX(ROTACAO_RDM!$G$6:$G$71,$J701))</f>
        <v/>
      </c>
      <c r="M701" s="17" t="str">
        <f aca="false">IF($J701=0,"",INDEX(ROTACAO_RDM!$I$6:$I$71,$J701))</f>
        <v/>
      </c>
      <c r="N701" s="16" t="n">
        <f aca="false">IF($J701=0,0,MAX(0,$C701+INT(DIAS_POR_SEMANA/2)-INDEX(ROTACAO_RDM!$I$6:$I$71,$J701)))</f>
        <v>0</v>
      </c>
      <c r="O701" s="19" t="n">
        <f aca="false">IF($J701=0,0,MIN(1,$N701/MAX(1,INDEX(ROTACAO_RDM!$K$6:$K$71,$J701))))</f>
        <v>0</v>
      </c>
      <c r="P701" s="16" t="n">
        <f aca="false">IF($J701=0,0,IFERROR(MATCH(INDEX(ROTACAO_RDM!$N$6:$N$71,$J701),PARAMETROS_CULTURAS!$B$6:$B$28,0),0))</f>
        <v>0</v>
      </c>
      <c r="Q701" s="8" t="str">
        <f aca="false">IF($P701=0,"-",IF($O701&lt;=INDEX(PARAMETROS_CULTURAS!$F$6:$F$28,$P701),"INICIAL",IF($O701&lt;=INDEX(PARAMETROS_CULTURAS!$F$6:$F$28,$P701)+INDEX(PARAMETROS_CULTURAS!$G$6:$G$28,$P701),"DESENVOLVIMENTO",IF($O701&lt;=INDEX(PARAMETROS_CULTURAS!$F$6:$F$28,$P701)+INDEX(PARAMETROS_CULTURAS!$G$6:$G$28,$P701)+INDEX(PARAMETROS_CULTURAS!$H$6:$H$28,$P701),"MEDIA","FINAL"))))</f>
        <v>-</v>
      </c>
      <c r="R701" s="24" t="n">
        <f aca="false">IF($P701=0,0,IF($O701&lt;=INDEX(PARAMETROS_CULTURAS!$F$6:$F$28,$P701),INDEX(PARAMETROS_CULTURAS!$K$6:$K$28,$P701),IF($O701&lt;=INDEX(PARAMETROS_CULTURAS!$F$6:$F$28,$P701)+INDEX(PARAMETROS_CULTURAS!$G$6:$G$28,$P701),INDEX(PARAMETROS_CULTURAS!$K$6:$K$28,$P701)+(INDEX(PARAMETROS_CULTURAS!$L$6:$L$28,$P701)-INDEX(PARAMETROS_CULTURAS!$K$6:$K$28,$P701))*($O701-INDEX(PARAMETROS_CULTURAS!$F$6:$F$28,$P701))/MAX(INDEX(PARAMETROS_CULTURAS!$G$6:$G$28,$P701),0.0001),IF($O701&lt;=INDEX(PARAMETROS_CULTURAS!$F$6:$F$28,$P701)+INDEX(PARAMETROS_CULTURAS!$G$6:$G$28,$P701)+INDEX(PARAMETROS_CULTURAS!$H$6:$H$28,$P701),INDEX(PARAMETROS_CULTURAS!$L$6:$L$28,$P701),INDEX(PARAMETROS_CULTURAS!$L$6:$L$28,$P701)+(INDEX(PARAMETROS_CULTURAS!$M$6:$M$28,$P701)-INDEX(PARAMETROS_CULTURAS!$L$6:$L$28,$P701))*($O701-INDEX(PARAMETROS_CULTURAS!$F$6:$F$28,$P701)-INDEX(PARAMETROS_CULTURAS!$G$6:$G$28,$P701)-INDEX(PARAMETROS_CULTURAS!$H$6:$H$28,$P701))/MAX(INDEX(PARAMETROS_CULTURAS!$I$6:$I$28,$P701),0.0001)))))</f>
        <v>0</v>
      </c>
      <c r="S701" s="18" t="n">
        <f aca="false">IFERROR(INDEX(SEMANAS!$H$6:$H$71,MATCH($B701,SEMANAS!$B$6:$B$71,0)),0)</f>
        <v>29.4</v>
      </c>
      <c r="T701" s="18" t="n">
        <f aca="false">$R701*$S701</f>
        <v>0</v>
      </c>
      <c r="U701" s="18" t="n">
        <f aca="false">IFERROR(INDEX(SEMANAS!$I$6:$I$71,MATCH($B701,SEMANAS!$B$6:$B$71,0)),0)</f>
        <v>3.36</v>
      </c>
      <c r="V701" s="18" t="n">
        <f aca="false">IFERROR(INDEX(SEMANAS!$J$6:$J$71,MATCH($B701,SEMANAS!$B$6:$B$71,0)),0)</f>
        <v>2.688</v>
      </c>
      <c r="W701" s="18" t="n">
        <f aca="false">MAX(0,$T701-$V701)</f>
        <v>0</v>
      </c>
      <c r="X701" s="19" t="n">
        <f aca="false">IFERROR(INDEX(CADASTRO_PIVOS!$K$6:$K$41,MATCH($E701,CADASTRO_PIVOS!$B$6:$B$41,0)),EFICIENCIA_PADRAO)</f>
        <v>0.85</v>
      </c>
      <c r="Y701" s="18" t="n">
        <f aca="false">IF($X701&lt;=0,0,$W701/$X701)</f>
        <v>0</v>
      </c>
      <c r="Z701" s="16" t="n">
        <f aca="false">$Y701*$H701*MM_PARA_M3_HA</f>
        <v>0</v>
      </c>
      <c r="AA701" s="18" t="n">
        <f aca="false">IFERROR(INDEX(CADASTRO_PIVOS!$I$6:$I$41,MATCH($E701,CADASTRO_PIVOS!$B$6:$B$41,0)),0)</f>
        <v>1071.28571428571</v>
      </c>
      <c r="AB701" s="18" t="n">
        <f aca="false">IF($Z701&lt;=0,0,$Z701/$AA701)</f>
        <v>0</v>
      </c>
      <c r="AC701" s="16" t="n">
        <f aca="false">IFERROR(INDEX(SEMANAS!$K$6:$K$71,MATCH($B701,SEMANAS!$B$6:$B$71,0)),0)</f>
        <v>147</v>
      </c>
      <c r="AD701" s="19" t="n">
        <f aca="false">IF($AC701&lt;=0,0,$AB701/$AC701)</f>
        <v>0</v>
      </c>
      <c r="AE701" s="8" t="str">
        <f aca="false">IF($K701="SEM CULTURA","SEM CULTURA",IF($AA701&lt;=0,"DADO PENDENTE",IF($AD701&gt;LIMITE_CRITICO,"INVIAVEL",IF($AD701&gt;LIMITE_ATENCAO,"CRITICO",IF($AD701&gt;LIMITE_CONFORTAVEL,"ATENCAO","OK")))))</f>
        <v>SEM CULTURA</v>
      </c>
      <c r="AF701" s="8" t="str">
        <f aca="false">$B701&amp;"|"&amp;TEXT($AD701,"0.000000")</f>
        <v>36|0.000000</v>
      </c>
      <c r="AG701" s="18" t="n">
        <f aca="false">IF($K701="SEM CULTURA",0,$T701*$H701)</f>
        <v>0</v>
      </c>
      <c r="AH701" s="18" t="n">
        <f aca="false">IF($K701="SEM CULTURA",0,$V701*$H701)</f>
        <v>0</v>
      </c>
      <c r="AI701" s="18" t="n">
        <f aca="false">IF($K701="SEM CULTURA",0,$W701*$H701)</f>
        <v>0</v>
      </c>
      <c r="AJ701" s="18" t="n">
        <f aca="false">IF($K701="SEM CULTURA",0,$S701*$H701)</f>
        <v>0</v>
      </c>
      <c r="AK701" s="8" t="str">
        <f aca="false">$E701&amp;"|"&amp;TEXT($AD701,"0.000000")</f>
        <v>PV 112|0.000000</v>
      </c>
    </row>
    <row r="702" customFormat="false" ht="15" hidden="false" customHeight="false" outlineLevel="0" collapsed="false">
      <c r="B702" s="16" t="n">
        <v>37</v>
      </c>
      <c r="C702" s="17" t="n">
        <f aca="false">DATA_INICIO_SAFRA+($B702-1)*DIAS_POR_SEMANA</f>
        <v>46517</v>
      </c>
      <c r="D702" s="17" t="n">
        <f aca="false">$C702+DIAS_POR_SEMANA-1</f>
        <v>46523</v>
      </c>
      <c r="E702" s="15" t="s">
        <v>269</v>
      </c>
      <c r="F702" s="8" t="str">
        <f aca="false">IFERROR(INDEX(CADASTRO_PIVOS!$C$6:$C$41,MATCH($E702,CADASTRO_PIVOS!$B$6:$B$41,0)),"?")</f>
        <v>RM05</v>
      </c>
      <c r="G702" s="8" t="str">
        <f aca="false">IFERROR(INDEX(CADASTRO_PIVOS!$D$6:$D$41,MATCH($E702,CADASTRO_PIVOS!$B$6:$B$41,0)),"?")</f>
        <v>TR05</v>
      </c>
      <c r="H702" s="20" t="n">
        <f aca="false">IFERROR(INDEX(CADASTRO_PIVOS!$E$6:$E$41,MATCH($E702,CADASTRO_PIVOS!$B$6:$B$41,0)),0)</f>
        <v>149.98</v>
      </c>
      <c r="I702" s="16" t="n">
        <f aca="false">IFERROR(SUMIFS(ROTACAO_RDM!$B$6:$B$71,ROTACAO_RDM!$D$6:$D$71,$E702,ROTACAO_RDM!$I$6:$I$71,"&lt;="&amp;$C702+INT(DIAS_POR_SEMANA/2),ROTACAO_RDM!$J$6:$J$71,"&gt;="&amp;$C702+INT(DIAS_POR_SEMANA/2)),0)</f>
        <v>0</v>
      </c>
      <c r="J702" s="16" t="n">
        <f aca="false">IFERROR(MATCH($I702,ROTACAO_RDM!$B$6:$B$71,0),0)</f>
        <v>0</v>
      </c>
      <c r="K702" s="8" t="str">
        <f aca="false">IF($J702=0,"SEM CULTURA",INDEX(ROTACAO_RDM!$F$6:$F$71,$J702))</f>
        <v>SEM CULTURA</v>
      </c>
      <c r="L702" s="8" t="str">
        <f aca="false">IF($J702=0,"",INDEX(ROTACAO_RDM!$G$6:$G$71,$J702))</f>
        <v/>
      </c>
      <c r="M702" s="17" t="str">
        <f aca="false">IF($J702=0,"",INDEX(ROTACAO_RDM!$I$6:$I$71,$J702))</f>
        <v/>
      </c>
      <c r="N702" s="16" t="n">
        <f aca="false">IF($J702=0,0,MAX(0,$C702+INT(DIAS_POR_SEMANA/2)-INDEX(ROTACAO_RDM!$I$6:$I$71,$J702)))</f>
        <v>0</v>
      </c>
      <c r="O702" s="19" t="n">
        <f aca="false">IF($J702=0,0,MIN(1,$N702/MAX(1,INDEX(ROTACAO_RDM!$K$6:$K$71,$J702))))</f>
        <v>0</v>
      </c>
      <c r="P702" s="16" t="n">
        <f aca="false">IF($J702=0,0,IFERROR(MATCH(INDEX(ROTACAO_RDM!$N$6:$N$71,$J702),PARAMETROS_CULTURAS!$B$6:$B$28,0),0))</f>
        <v>0</v>
      </c>
      <c r="Q702" s="8" t="str">
        <f aca="false">IF($P702=0,"-",IF($O702&lt;=INDEX(PARAMETROS_CULTURAS!$F$6:$F$28,$P702),"INICIAL",IF($O702&lt;=INDEX(PARAMETROS_CULTURAS!$F$6:$F$28,$P702)+INDEX(PARAMETROS_CULTURAS!$G$6:$G$28,$P702),"DESENVOLVIMENTO",IF($O702&lt;=INDEX(PARAMETROS_CULTURAS!$F$6:$F$28,$P702)+INDEX(PARAMETROS_CULTURAS!$G$6:$G$28,$P702)+INDEX(PARAMETROS_CULTURAS!$H$6:$H$28,$P702),"MEDIA","FINAL"))))</f>
        <v>-</v>
      </c>
      <c r="R702" s="24" t="n">
        <f aca="false">IF($P702=0,0,IF($O702&lt;=INDEX(PARAMETROS_CULTURAS!$F$6:$F$28,$P702),INDEX(PARAMETROS_CULTURAS!$K$6:$K$28,$P702),IF($O702&lt;=INDEX(PARAMETROS_CULTURAS!$F$6:$F$28,$P702)+INDEX(PARAMETROS_CULTURAS!$G$6:$G$28,$P702),INDEX(PARAMETROS_CULTURAS!$K$6:$K$28,$P702)+(INDEX(PARAMETROS_CULTURAS!$L$6:$L$28,$P702)-INDEX(PARAMETROS_CULTURAS!$K$6:$K$28,$P702))*($O702-INDEX(PARAMETROS_CULTURAS!$F$6:$F$28,$P702))/MAX(INDEX(PARAMETROS_CULTURAS!$G$6:$G$28,$P702),0.0001),IF($O702&lt;=INDEX(PARAMETROS_CULTURAS!$F$6:$F$28,$P702)+INDEX(PARAMETROS_CULTURAS!$G$6:$G$28,$P702)+INDEX(PARAMETROS_CULTURAS!$H$6:$H$28,$P702),INDEX(PARAMETROS_CULTURAS!$L$6:$L$28,$P702),INDEX(PARAMETROS_CULTURAS!$L$6:$L$28,$P702)+(INDEX(PARAMETROS_CULTURAS!$M$6:$M$28,$P702)-INDEX(PARAMETROS_CULTURAS!$L$6:$L$28,$P702))*($O702-INDEX(PARAMETROS_CULTURAS!$F$6:$F$28,$P702)-INDEX(PARAMETROS_CULTURAS!$G$6:$G$28,$P702)-INDEX(PARAMETROS_CULTURAS!$H$6:$H$28,$P702))/MAX(INDEX(PARAMETROS_CULTURAS!$I$6:$I$28,$P702),0.0001)))))</f>
        <v>0</v>
      </c>
      <c r="S702" s="18" t="n">
        <f aca="false">IFERROR(INDEX(SEMANAS!$H$6:$H$71,MATCH($B702,SEMANAS!$B$6:$B$71,0)),0)</f>
        <v>29.4</v>
      </c>
      <c r="T702" s="18" t="n">
        <f aca="false">$R702*$S702</f>
        <v>0</v>
      </c>
      <c r="U702" s="18" t="n">
        <f aca="false">IFERROR(INDEX(SEMANAS!$I$6:$I$71,MATCH($B702,SEMANAS!$B$6:$B$71,0)),0)</f>
        <v>3.36</v>
      </c>
      <c r="V702" s="18" t="n">
        <f aca="false">IFERROR(INDEX(SEMANAS!$J$6:$J$71,MATCH($B702,SEMANAS!$B$6:$B$71,0)),0)</f>
        <v>2.688</v>
      </c>
      <c r="W702" s="18" t="n">
        <f aca="false">MAX(0,$T702-$V702)</f>
        <v>0</v>
      </c>
      <c r="X702" s="19" t="n">
        <f aca="false">IFERROR(INDEX(CADASTRO_PIVOS!$K$6:$K$41,MATCH($E702,CADASTRO_PIVOS!$B$6:$B$41,0)),EFICIENCIA_PADRAO)</f>
        <v>0.85</v>
      </c>
      <c r="Y702" s="18" t="n">
        <f aca="false">IF($X702&lt;=0,0,$W702/$X702)</f>
        <v>0</v>
      </c>
      <c r="Z702" s="16" t="n">
        <f aca="false">$Y702*$H702*MM_PARA_M3_HA</f>
        <v>0</v>
      </c>
      <c r="AA702" s="18" t="n">
        <f aca="false">IFERROR(INDEX(CADASTRO_PIVOS!$I$6:$I$41,MATCH($E702,CADASTRO_PIVOS!$B$6:$B$41,0)),0)</f>
        <v>1071.28571428571</v>
      </c>
      <c r="AB702" s="18" t="n">
        <f aca="false">IF($Z702&lt;=0,0,$Z702/$AA702)</f>
        <v>0</v>
      </c>
      <c r="AC702" s="16" t="n">
        <f aca="false">IFERROR(INDEX(SEMANAS!$K$6:$K$71,MATCH($B702,SEMANAS!$B$6:$B$71,0)),0)</f>
        <v>147</v>
      </c>
      <c r="AD702" s="19" t="n">
        <f aca="false">IF($AC702&lt;=0,0,$AB702/$AC702)</f>
        <v>0</v>
      </c>
      <c r="AE702" s="8" t="str">
        <f aca="false">IF($K702="SEM CULTURA","SEM CULTURA",IF($AA702&lt;=0,"DADO PENDENTE",IF($AD702&gt;LIMITE_CRITICO,"INVIAVEL",IF($AD702&gt;LIMITE_ATENCAO,"CRITICO",IF($AD702&gt;LIMITE_CONFORTAVEL,"ATENCAO","OK")))))</f>
        <v>SEM CULTURA</v>
      </c>
      <c r="AF702" s="8" t="str">
        <f aca="false">$B702&amp;"|"&amp;TEXT($AD702,"0.000000")</f>
        <v>37|0.000000</v>
      </c>
      <c r="AG702" s="18" t="n">
        <f aca="false">IF($K702="SEM CULTURA",0,$T702*$H702)</f>
        <v>0</v>
      </c>
      <c r="AH702" s="18" t="n">
        <f aca="false">IF($K702="SEM CULTURA",0,$V702*$H702)</f>
        <v>0</v>
      </c>
      <c r="AI702" s="18" t="n">
        <f aca="false">IF($K702="SEM CULTURA",0,$W702*$H702)</f>
        <v>0</v>
      </c>
      <c r="AJ702" s="18" t="n">
        <f aca="false">IF($K702="SEM CULTURA",0,$S702*$H702)</f>
        <v>0</v>
      </c>
      <c r="AK702" s="8" t="str">
        <f aca="false">$E702&amp;"|"&amp;TEXT($AD702,"0.000000")</f>
        <v>PV 112|0.000000</v>
      </c>
    </row>
    <row r="703" customFormat="false" ht="15" hidden="false" customHeight="false" outlineLevel="0" collapsed="false">
      <c r="B703" s="16" t="n">
        <v>38</v>
      </c>
      <c r="C703" s="17" t="n">
        <f aca="false">DATA_INICIO_SAFRA+($B703-1)*DIAS_POR_SEMANA</f>
        <v>46524</v>
      </c>
      <c r="D703" s="17" t="n">
        <f aca="false">$C703+DIAS_POR_SEMANA-1</f>
        <v>46530</v>
      </c>
      <c r="E703" s="15" t="s">
        <v>269</v>
      </c>
      <c r="F703" s="8" t="str">
        <f aca="false">IFERROR(INDEX(CADASTRO_PIVOS!$C$6:$C$41,MATCH($E703,CADASTRO_PIVOS!$B$6:$B$41,0)),"?")</f>
        <v>RM05</v>
      </c>
      <c r="G703" s="8" t="str">
        <f aca="false">IFERROR(INDEX(CADASTRO_PIVOS!$D$6:$D$41,MATCH($E703,CADASTRO_PIVOS!$B$6:$B$41,0)),"?")</f>
        <v>TR05</v>
      </c>
      <c r="H703" s="20" t="n">
        <f aca="false">IFERROR(INDEX(CADASTRO_PIVOS!$E$6:$E$41,MATCH($E703,CADASTRO_PIVOS!$B$6:$B$41,0)),0)</f>
        <v>149.98</v>
      </c>
      <c r="I703" s="16" t="n">
        <f aca="false">IFERROR(SUMIFS(ROTACAO_RDM!$B$6:$B$71,ROTACAO_RDM!$D$6:$D$71,$E703,ROTACAO_RDM!$I$6:$I$71,"&lt;="&amp;$C703+INT(DIAS_POR_SEMANA/2),ROTACAO_RDM!$J$6:$J$71,"&gt;="&amp;$C703+INT(DIAS_POR_SEMANA/2)),0)</f>
        <v>0</v>
      </c>
      <c r="J703" s="16" t="n">
        <f aca="false">IFERROR(MATCH($I703,ROTACAO_RDM!$B$6:$B$71,0),0)</f>
        <v>0</v>
      </c>
      <c r="K703" s="8" t="str">
        <f aca="false">IF($J703=0,"SEM CULTURA",INDEX(ROTACAO_RDM!$F$6:$F$71,$J703))</f>
        <v>SEM CULTURA</v>
      </c>
      <c r="L703" s="8" t="str">
        <f aca="false">IF($J703=0,"",INDEX(ROTACAO_RDM!$G$6:$G$71,$J703))</f>
        <v/>
      </c>
      <c r="M703" s="17" t="str">
        <f aca="false">IF($J703=0,"",INDEX(ROTACAO_RDM!$I$6:$I$71,$J703))</f>
        <v/>
      </c>
      <c r="N703" s="16" t="n">
        <f aca="false">IF($J703=0,0,MAX(0,$C703+INT(DIAS_POR_SEMANA/2)-INDEX(ROTACAO_RDM!$I$6:$I$71,$J703)))</f>
        <v>0</v>
      </c>
      <c r="O703" s="19" t="n">
        <f aca="false">IF($J703=0,0,MIN(1,$N703/MAX(1,INDEX(ROTACAO_RDM!$K$6:$K$71,$J703))))</f>
        <v>0</v>
      </c>
      <c r="P703" s="16" t="n">
        <f aca="false">IF($J703=0,0,IFERROR(MATCH(INDEX(ROTACAO_RDM!$N$6:$N$71,$J703),PARAMETROS_CULTURAS!$B$6:$B$28,0),0))</f>
        <v>0</v>
      </c>
      <c r="Q703" s="8" t="str">
        <f aca="false">IF($P703=0,"-",IF($O703&lt;=INDEX(PARAMETROS_CULTURAS!$F$6:$F$28,$P703),"INICIAL",IF($O703&lt;=INDEX(PARAMETROS_CULTURAS!$F$6:$F$28,$P703)+INDEX(PARAMETROS_CULTURAS!$G$6:$G$28,$P703),"DESENVOLVIMENTO",IF($O703&lt;=INDEX(PARAMETROS_CULTURAS!$F$6:$F$28,$P703)+INDEX(PARAMETROS_CULTURAS!$G$6:$G$28,$P703)+INDEX(PARAMETROS_CULTURAS!$H$6:$H$28,$P703),"MEDIA","FINAL"))))</f>
        <v>-</v>
      </c>
      <c r="R703" s="24" t="n">
        <f aca="false">IF($P703=0,0,IF($O703&lt;=INDEX(PARAMETROS_CULTURAS!$F$6:$F$28,$P703),INDEX(PARAMETROS_CULTURAS!$K$6:$K$28,$P703),IF($O703&lt;=INDEX(PARAMETROS_CULTURAS!$F$6:$F$28,$P703)+INDEX(PARAMETROS_CULTURAS!$G$6:$G$28,$P703),INDEX(PARAMETROS_CULTURAS!$K$6:$K$28,$P703)+(INDEX(PARAMETROS_CULTURAS!$L$6:$L$28,$P703)-INDEX(PARAMETROS_CULTURAS!$K$6:$K$28,$P703))*($O703-INDEX(PARAMETROS_CULTURAS!$F$6:$F$28,$P703))/MAX(INDEX(PARAMETROS_CULTURAS!$G$6:$G$28,$P703),0.0001),IF($O703&lt;=INDEX(PARAMETROS_CULTURAS!$F$6:$F$28,$P703)+INDEX(PARAMETROS_CULTURAS!$G$6:$G$28,$P703)+INDEX(PARAMETROS_CULTURAS!$H$6:$H$28,$P703),INDEX(PARAMETROS_CULTURAS!$L$6:$L$28,$P703),INDEX(PARAMETROS_CULTURAS!$L$6:$L$28,$P703)+(INDEX(PARAMETROS_CULTURAS!$M$6:$M$28,$P703)-INDEX(PARAMETROS_CULTURAS!$L$6:$L$28,$P703))*($O703-INDEX(PARAMETROS_CULTURAS!$F$6:$F$28,$P703)-INDEX(PARAMETROS_CULTURAS!$G$6:$G$28,$P703)-INDEX(PARAMETROS_CULTURAS!$H$6:$H$28,$P703))/MAX(INDEX(PARAMETROS_CULTURAS!$I$6:$I$28,$P703),0.0001)))))</f>
        <v>0</v>
      </c>
      <c r="S703" s="18" t="n">
        <f aca="false">IFERROR(INDEX(SEMANAS!$H$6:$H$71,MATCH($B703,SEMANAS!$B$6:$B$71,0)),0)</f>
        <v>29.4</v>
      </c>
      <c r="T703" s="18" t="n">
        <f aca="false">$R703*$S703</f>
        <v>0</v>
      </c>
      <c r="U703" s="18" t="n">
        <f aca="false">IFERROR(INDEX(SEMANAS!$I$6:$I$71,MATCH($B703,SEMANAS!$B$6:$B$71,0)),0)</f>
        <v>3.36</v>
      </c>
      <c r="V703" s="18" t="n">
        <f aca="false">IFERROR(INDEX(SEMANAS!$J$6:$J$71,MATCH($B703,SEMANAS!$B$6:$B$71,0)),0)</f>
        <v>2.688</v>
      </c>
      <c r="W703" s="18" t="n">
        <f aca="false">MAX(0,$T703-$V703)</f>
        <v>0</v>
      </c>
      <c r="X703" s="19" t="n">
        <f aca="false">IFERROR(INDEX(CADASTRO_PIVOS!$K$6:$K$41,MATCH($E703,CADASTRO_PIVOS!$B$6:$B$41,0)),EFICIENCIA_PADRAO)</f>
        <v>0.85</v>
      </c>
      <c r="Y703" s="18" t="n">
        <f aca="false">IF($X703&lt;=0,0,$W703/$X703)</f>
        <v>0</v>
      </c>
      <c r="Z703" s="16" t="n">
        <f aca="false">$Y703*$H703*MM_PARA_M3_HA</f>
        <v>0</v>
      </c>
      <c r="AA703" s="18" t="n">
        <f aca="false">IFERROR(INDEX(CADASTRO_PIVOS!$I$6:$I$41,MATCH($E703,CADASTRO_PIVOS!$B$6:$B$41,0)),0)</f>
        <v>1071.28571428571</v>
      </c>
      <c r="AB703" s="18" t="n">
        <f aca="false">IF($Z703&lt;=0,0,$Z703/$AA703)</f>
        <v>0</v>
      </c>
      <c r="AC703" s="16" t="n">
        <f aca="false">IFERROR(INDEX(SEMANAS!$K$6:$K$71,MATCH($B703,SEMANAS!$B$6:$B$71,0)),0)</f>
        <v>147</v>
      </c>
      <c r="AD703" s="19" t="n">
        <f aca="false">IF($AC703&lt;=0,0,$AB703/$AC703)</f>
        <v>0</v>
      </c>
      <c r="AE703" s="8" t="str">
        <f aca="false">IF($K703="SEM CULTURA","SEM CULTURA",IF($AA703&lt;=0,"DADO PENDENTE",IF($AD703&gt;LIMITE_CRITICO,"INVIAVEL",IF($AD703&gt;LIMITE_ATENCAO,"CRITICO",IF($AD703&gt;LIMITE_CONFORTAVEL,"ATENCAO","OK")))))</f>
        <v>SEM CULTURA</v>
      </c>
      <c r="AF703" s="8" t="str">
        <f aca="false">$B703&amp;"|"&amp;TEXT($AD703,"0.000000")</f>
        <v>38|0.000000</v>
      </c>
      <c r="AG703" s="18" t="n">
        <f aca="false">IF($K703="SEM CULTURA",0,$T703*$H703)</f>
        <v>0</v>
      </c>
      <c r="AH703" s="18" t="n">
        <f aca="false">IF($K703="SEM CULTURA",0,$V703*$H703)</f>
        <v>0</v>
      </c>
      <c r="AI703" s="18" t="n">
        <f aca="false">IF($K703="SEM CULTURA",0,$W703*$H703)</f>
        <v>0</v>
      </c>
      <c r="AJ703" s="18" t="n">
        <f aca="false">IF($K703="SEM CULTURA",0,$S703*$H703)</f>
        <v>0</v>
      </c>
      <c r="AK703" s="8" t="str">
        <f aca="false">$E703&amp;"|"&amp;TEXT($AD703,"0.000000")</f>
        <v>PV 112|0.000000</v>
      </c>
    </row>
    <row r="704" customFormat="false" ht="15" hidden="false" customHeight="false" outlineLevel="0" collapsed="false">
      <c r="B704" s="16" t="n">
        <v>39</v>
      </c>
      <c r="C704" s="17" t="n">
        <f aca="false">DATA_INICIO_SAFRA+($B704-1)*DIAS_POR_SEMANA</f>
        <v>46531</v>
      </c>
      <c r="D704" s="17" t="n">
        <f aca="false">$C704+DIAS_POR_SEMANA-1</f>
        <v>46537</v>
      </c>
      <c r="E704" s="15" t="s">
        <v>269</v>
      </c>
      <c r="F704" s="8" t="str">
        <f aca="false">IFERROR(INDEX(CADASTRO_PIVOS!$C$6:$C$41,MATCH($E704,CADASTRO_PIVOS!$B$6:$B$41,0)),"?")</f>
        <v>RM05</v>
      </c>
      <c r="G704" s="8" t="str">
        <f aca="false">IFERROR(INDEX(CADASTRO_PIVOS!$D$6:$D$41,MATCH($E704,CADASTRO_PIVOS!$B$6:$B$41,0)),"?")</f>
        <v>TR05</v>
      </c>
      <c r="H704" s="20" t="n">
        <f aca="false">IFERROR(INDEX(CADASTRO_PIVOS!$E$6:$E$41,MATCH($E704,CADASTRO_PIVOS!$B$6:$B$41,0)),0)</f>
        <v>149.98</v>
      </c>
      <c r="I704" s="16" t="n">
        <f aca="false">IFERROR(SUMIFS(ROTACAO_RDM!$B$6:$B$71,ROTACAO_RDM!$D$6:$D$71,$E704,ROTACAO_RDM!$I$6:$I$71,"&lt;="&amp;$C704+INT(DIAS_POR_SEMANA/2),ROTACAO_RDM!$J$6:$J$71,"&gt;="&amp;$C704+INT(DIAS_POR_SEMANA/2)),0)</f>
        <v>0</v>
      </c>
      <c r="J704" s="16" t="n">
        <f aca="false">IFERROR(MATCH($I704,ROTACAO_RDM!$B$6:$B$71,0),0)</f>
        <v>0</v>
      </c>
      <c r="K704" s="8" t="str">
        <f aca="false">IF($J704=0,"SEM CULTURA",INDEX(ROTACAO_RDM!$F$6:$F$71,$J704))</f>
        <v>SEM CULTURA</v>
      </c>
      <c r="L704" s="8" t="str">
        <f aca="false">IF($J704=0,"",INDEX(ROTACAO_RDM!$G$6:$G$71,$J704))</f>
        <v/>
      </c>
      <c r="M704" s="17" t="str">
        <f aca="false">IF($J704=0,"",INDEX(ROTACAO_RDM!$I$6:$I$71,$J704))</f>
        <v/>
      </c>
      <c r="N704" s="16" t="n">
        <f aca="false">IF($J704=0,0,MAX(0,$C704+INT(DIAS_POR_SEMANA/2)-INDEX(ROTACAO_RDM!$I$6:$I$71,$J704)))</f>
        <v>0</v>
      </c>
      <c r="O704" s="19" t="n">
        <f aca="false">IF($J704=0,0,MIN(1,$N704/MAX(1,INDEX(ROTACAO_RDM!$K$6:$K$71,$J704))))</f>
        <v>0</v>
      </c>
      <c r="P704" s="16" t="n">
        <f aca="false">IF($J704=0,0,IFERROR(MATCH(INDEX(ROTACAO_RDM!$N$6:$N$71,$J704),PARAMETROS_CULTURAS!$B$6:$B$28,0),0))</f>
        <v>0</v>
      </c>
      <c r="Q704" s="8" t="str">
        <f aca="false">IF($P704=0,"-",IF($O704&lt;=INDEX(PARAMETROS_CULTURAS!$F$6:$F$28,$P704),"INICIAL",IF($O704&lt;=INDEX(PARAMETROS_CULTURAS!$F$6:$F$28,$P704)+INDEX(PARAMETROS_CULTURAS!$G$6:$G$28,$P704),"DESENVOLVIMENTO",IF($O704&lt;=INDEX(PARAMETROS_CULTURAS!$F$6:$F$28,$P704)+INDEX(PARAMETROS_CULTURAS!$G$6:$G$28,$P704)+INDEX(PARAMETROS_CULTURAS!$H$6:$H$28,$P704),"MEDIA","FINAL"))))</f>
        <v>-</v>
      </c>
      <c r="R704" s="24" t="n">
        <f aca="false">IF($P704=0,0,IF($O704&lt;=INDEX(PARAMETROS_CULTURAS!$F$6:$F$28,$P704),INDEX(PARAMETROS_CULTURAS!$K$6:$K$28,$P704),IF($O704&lt;=INDEX(PARAMETROS_CULTURAS!$F$6:$F$28,$P704)+INDEX(PARAMETROS_CULTURAS!$G$6:$G$28,$P704),INDEX(PARAMETROS_CULTURAS!$K$6:$K$28,$P704)+(INDEX(PARAMETROS_CULTURAS!$L$6:$L$28,$P704)-INDEX(PARAMETROS_CULTURAS!$K$6:$K$28,$P704))*($O704-INDEX(PARAMETROS_CULTURAS!$F$6:$F$28,$P704))/MAX(INDEX(PARAMETROS_CULTURAS!$G$6:$G$28,$P704),0.0001),IF($O704&lt;=INDEX(PARAMETROS_CULTURAS!$F$6:$F$28,$P704)+INDEX(PARAMETROS_CULTURAS!$G$6:$G$28,$P704)+INDEX(PARAMETROS_CULTURAS!$H$6:$H$28,$P704),INDEX(PARAMETROS_CULTURAS!$L$6:$L$28,$P704),INDEX(PARAMETROS_CULTURAS!$L$6:$L$28,$P704)+(INDEX(PARAMETROS_CULTURAS!$M$6:$M$28,$P704)-INDEX(PARAMETROS_CULTURAS!$L$6:$L$28,$P704))*($O704-INDEX(PARAMETROS_CULTURAS!$F$6:$F$28,$P704)-INDEX(PARAMETROS_CULTURAS!$G$6:$G$28,$P704)-INDEX(PARAMETROS_CULTURAS!$H$6:$H$28,$P704))/MAX(INDEX(PARAMETROS_CULTURAS!$I$6:$I$28,$P704),0.0001)))))</f>
        <v>0</v>
      </c>
      <c r="S704" s="18" t="n">
        <f aca="false">IFERROR(INDEX(SEMANAS!$H$6:$H$71,MATCH($B704,SEMANAS!$B$6:$B$71,0)),0)</f>
        <v>29.4</v>
      </c>
      <c r="T704" s="18" t="n">
        <f aca="false">$R704*$S704</f>
        <v>0</v>
      </c>
      <c r="U704" s="18" t="n">
        <f aca="false">IFERROR(INDEX(SEMANAS!$I$6:$I$71,MATCH($B704,SEMANAS!$B$6:$B$71,0)),0)</f>
        <v>3.36</v>
      </c>
      <c r="V704" s="18" t="n">
        <f aca="false">IFERROR(INDEX(SEMANAS!$J$6:$J$71,MATCH($B704,SEMANAS!$B$6:$B$71,0)),0)</f>
        <v>2.688</v>
      </c>
      <c r="W704" s="18" t="n">
        <f aca="false">MAX(0,$T704-$V704)</f>
        <v>0</v>
      </c>
      <c r="X704" s="19" t="n">
        <f aca="false">IFERROR(INDEX(CADASTRO_PIVOS!$K$6:$K$41,MATCH($E704,CADASTRO_PIVOS!$B$6:$B$41,0)),EFICIENCIA_PADRAO)</f>
        <v>0.85</v>
      </c>
      <c r="Y704" s="18" t="n">
        <f aca="false">IF($X704&lt;=0,0,$W704/$X704)</f>
        <v>0</v>
      </c>
      <c r="Z704" s="16" t="n">
        <f aca="false">$Y704*$H704*MM_PARA_M3_HA</f>
        <v>0</v>
      </c>
      <c r="AA704" s="18" t="n">
        <f aca="false">IFERROR(INDEX(CADASTRO_PIVOS!$I$6:$I$41,MATCH($E704,CADASTRO_PIVOS!$B$6:$B$41,0)),0)</f>
        <v>1071.28571428571</v>
      </c>
      <c r="AB704" s="18" t="n">
        <f aca="false">IF($Z704&lt;=0,0,$Z704/$AA704)</f>
        <v>0</v>
      </c>
      <c r="AC704" s="16" t="n">
        <f aca="false">IFERROR(INDEX(SEMANAS!$K$6:$K$71,MATCH($B704,SEMANAS!$B$6:$B$71,0)),0)</f>
        <v>147</v>
      </c>
      <c r="AD704" s="19" t="n">
        <f aca="false">IF($AC704&lt;=0,0,$AB704/$AC704)</f>
        <v>0</v>
      </c>
      <c r="AE704" s="8" t="str">
        <f aca="false">IF($K704="SEM CULTURA","SEM CULTURA",IF($AA704&lt;=0,"DADO PENDENTE",IF($AD704&gt;LIMITE_CRITICO,"INVIAVEL",IF($AD704&gt;LIMITE_ATENCAO,"CRITICO",IF($AD704&gt;LIMITE_CONFORTAVEL,"ATENCAO","OK")))))</f>
        <v>SEM CULTURA</v>
      </c>
      <c r="AF704" s="8" t="str">
        <f aca="false">$B704&amp;"|"&amp;TEXT($AD704,"0.000000")</f>
        <v>39|0.000000</v>
      </c>
      <c r="AG704" s="18" t="n">
        <f aca="false">IF($K704="SEM CULTURA",0,$T704*$H704)</f>
        <v>0</v>
      </c>
      <c r="AH704" s="18" t="n">
        <f aca="false">IF($K704="SEM CULTURA",0,$V704*$H704)</f>
        <v>0</v>
      </c>
      <c r="AI704" s="18" t="n">
        <f aca="false">IF($K704="SEM CULTURA",0,$W704*$H704)</f>
        <v>0</v>
      </c>
      <c r="AJ704" s="18" t="n">
        <f aca="false">IF($K704="SEM CULTURA",0,$S704*$H704)</f>
        <v>0</v>
      </c>
      <c r="AK704" s="8" t="str">
        <f aca="false">$E704&amp;"|"&amp;TEXT($AD704,"0.000000")</f>
        <v>PV 112|0.000000</v>
      </c>
    </row>
    <row r="705" customFormat="false" ht="15" hidden="false" customHeight="false" outlineLevel="0" collapsed="false">
      <c r="B705" s="16" t="n">
        <v>40</v>
      </c>
      <c r="C705" s="17" t="n">
        <f aca="false">DATA_INICIO_SAFRA+($B705-1)*DIAS_POR_SEMANA</f>
        <v>46538</v>
      </c>
      <c r="D705" s="17" t="n">
        <f aca="false">$C705+DIAS_POR_SEMANA-1</f>
        <v>46544</v>
      </c>
      <c r="E705" s="15" t="s">
        <v>269</v>
      </c>
      <c r="F705" s="8" t="str">
        <f aca="false">IFERROR(INDEX(CADASTRO_PIVOS!$C$6:$C$41,MATCH($E705,CADASTRO_PIVOS!$B$6:$B$41,0)),"?")</f>
        <v>RM05</v>
      </c>
      <c r="G705" s="8" t="str">
        <f aca="false">IFERROR(INDEX(CADASTRO_PIVOS!$D$6:$D$41,MATCH($E705,CADASTRO_PIVOS!$B$6:$B$41,0)),"?")</f>
        <v>TR05</v>
      </c>
      <c r="H705" s="20" t="n">
        <f aca="false">IFERROR(INDEX(CADASTRO_PIVOS!$E$6:$E$41,MATCH($E705,CADASTRO_PIVOS!$B$6:$B$41,0)),0)</f>
        <v>149.98</v>
      </c>
      <c r="I705" s="16" t="n">
        <f aca="false">IFERROR(SUMIFS(ROTACAO_RDM!$B$6:$B$71,ROTACAO_RDM!$D$6:$D$71,$E705,ROTACAO_RDM!$I$6:$I$71,"&lt;="&amp;$C705+INT(DIAS_POR_SEMANA/2),ROTACAO_RDM!$J$6:$J$71,"&gt;="&amp;$C705+INT(DIAS_POR_SEMANA/2)),0)</f>
        <v>20</v>
      </c>
      <c r="J705" s="16" t="n">
        <f aca="false">IFERROR(MATCH($I705,ROTACAO_RDM!$B$6:$B$71,0),0)</f>
        <v>20</v>
      </c>
      <c r="K705" s="8" t="str">
        <f aca="false">IF($J705=0,"SEM CULTURA",INDEX(ROTACAO_RDM!$F$6:$F$71,$J705))</f>
        <v>MILHO_SEMENTE</v>
      </c>
      <c r="L705" s="8" t="n">
        <f aca="false">IF($J705=0,"",INDEX(ROTACAO_RDM!$G$6:$G$71,$J705))</f>
        <v>0</v>
      </c>
      <c r="M705" s="17" t="n">
        <f aca="false">IF($J705=0,"",INDEX(ROTACAO_RDM!$I$6:$I$71,$J705))</f>
        <v>46539</v>
      </c>
      <c r="N705" s="16" t="n">
        <f aca="false">IF($J705=0,0,MAX(0,$C705+INT(DIAS_POR_SEMANA/2)-INDEX(ROTACAO_RDM!$I$6:$I$71,$J705)))</f>
        <v>2</v>
      </c>
      <c r="O705" s="19" t="n">
        <f aca="false">IF($J705=0,0,MIN(1,$N705/MAX(1,INDEX(ROTACAO_RDM!$K$6:$K$71,$J705))))</f>
        <v>0.0137931034482759</v>
      </c>
      <c r="P705" s="16" t="n">
        <f aca="false">IF($J705=0,0,IFERROR(MATCH(INDEX(ROTACAO_RDM!$N$6:$N$71,$J705),PARAMETROS_CULTURAS!$B$6:$B$28,0),0))</f>
        <v>7</v>
      </c>
      <c r="Q705" s="8" t="str">
        <f aca="false">IF($P705=0,"-",IF($O705&lt;=INDEX(PARAMETROS_CULTURAS!$F$6:$F$28,$P705),"INICIAL",IF($O705&lt;=INDEX(PARAMETROS_CULTURAS!$F$6:$F$28,$P705)+INDEX(PARAMETROS_CULTURAS!$G$6:$G$28,$P705),"DESENVOLVIMENTO",IF($O705&lt;=INDEX(PARAMETROS_CULTURAS!$F$6:$F$28,$P705)+INDEX(PARAMETROS_CULTURAS!$G$6:$G$28,$P705)+INDEX(PARAMETROS_CULTURAS!$H$6:$H$28,$P705),"MEDIA","FINAL"))))</f>
        <v>INICIAL</v>
      </c>
      <c r="R705" s="24" t="n">
        <f aca="false">IF($P705=0,0,IF($O705&lt;=INDEX(PARAMETROS_CULTURAS!$F$6:$F$28,$P705),INDEX(PARAMETROS_CULTURAS!$K$6:$K$28,$P705),IF($O705&lt;=INDEX(PARAMETROS_CULTURAS!$F$6:$F$28,$P705)+INDEX(PARAMETROS_CULTURAS!$G$6:$G$28,$P705),INDEX(PARAMETROS_CULTURAS!$K$6:$K$28,$P705)+(INDEX(PARAMETROS_CULTURAS!$L$6:$L$28,$P705)-INDEX(PARAMETROS_CULTURAS!$K$6:$K$28,$P705))*($O705-INDEX(PARAMETROS_CULTURAS!$F$6:$F$28,$P705))/MAX(INDEX(PARAMETROS_CULTURAS!$G$6:$G$28,$P705),0.0001),IF($O705&lt;=INDEX(PARAMETROS_CULTURAS!$F$6:$F$28,$P705)+INDEX(PARAMETROS_CULTURAS!$G$6:$G$28,$P705)+INDEX(PARAMETROS_CULTURAS!$H$6:$H$28,$P705),INDEX(PARAMETROS_CULTURAS!$L$6:$L$28,$P705),INDEX(PARAMETROS_CULTURAS!$L$6:$L$28,$P705)+(INDEX(PARAMETROS_CULTURAS!$M$6:$M$28,$P705)-INDEX(PARAMETROS_CULTURAS!$L$6:$L$28,$P705))*($O705-INDEX(PARAMETROS_CULTURAS!$F$6:$F$28,$P705)-INDEX(PARAMETROS_CULTURAS!$G$6:$G$28,$P705)-INDEX(PARAMETROS_CULTURAS!$H$6:$H$28,$P705))/MAX(INDEX(PARAMETROS_CULTURAS!$I$6:$I$28,$P705),0.0001)))))</f>
        <v>0.3</v>
      </c>
      <c r="S705" s="18" t="n">
        <f aca="false">IFERROR(INDEX(SEMANAS!$H$6:$H$71,MATCH($B705,SEMANAS!$B$6:$B$71,0)),0)</f>
        <v>28.2</v>
      </c>
      <c r="T705" s="18" t="n">
        <f aca="false">$R705*$S705</f>
        <v>8.46</v>
      </c>
      <c r="U705" s="18" t="n">
        <f aca="false">IFERROR(INDEX(SEMANAS!$I$6:$I$71,MATCH($B705,SEMANAS!$B$6:$B$71,0)),0)</f>
        <v>1.5</v>
      </c>
      <c r="V705" s="18" t="n">
        <f aca="false">IFERROR(INDEX(SEMANAS!$J$6:$J$71,MATCH($B705,SEMANAS!$B$6:$B$71,0)),0)</f>
        <v>1.2</v>
      </c>
      <c r="W705" s="18" t="n">
        <f aca="false">MAX(0,$T705-$V705)</f>
        <v>7.26</v>
      </c>
      <c r="X705" s="19" t="n">
        <f aca="false">IFERROR(INDEX(CADASTRO_PIVOS!$K$6:$K$41,MATCH($E705,CADASTRO_PIVOS!$B$6:$B$41,0)),EFICIENCIA_PADRAO)</f>
        <v>0.85</v>
      </c>
      <c r="Y705" s="18" t="n">
        <f aca="false">IF($X705&lt;=0,0,$W705/$X705)</f>
        <v>8.54117647058823</v>
      </c>
      <c r="Z705" s="16" t="n">
        <f aca="false">$Y705*$H705*MM_PARA_M3_HA</f>
        <v>12810.0564705882</v>
      </c>
      <c r="AA705" s="18" t="n">
        <f aca="false">IFERROR(INDEX(CADASTRO_PIVOS!$I$6:$I$41,MATCH($E705,CADASTRO_PIVOS!$B$6:$B$41,0)),0)</f>
        <v>1071.28571428571</v>
      </c>
      <c r="AB705" s="18" t="n">
        <f aca="false">IF($Z705&lt;=0,0,$Z705/$AA705)</f>
        <v>11.9576470588235</v>
      </c>
      <c r="AC705" s="16" t="n">
        <f aca="false">IFERROR(INDEX(SEMANAS!$K$6:$K$71,MATCH($B705,SEMANAS!$B$6:$B$71,0)),0)</f>
        <v>147</v>
      </c>
      <c r="AD705" s="19" t="n">
        <f aca="false">IF($AC705&lt;=0,0,$AB705/$AC705)</f>
        <v>0.081344537815126</v>
      </c>
      <c r="AE705" s="8" t="str">
        <f aca="false">IF($K705="SEM CULTURA","SEM CULTURA",IF($AA705&lt;=0,"DADO PENDENTE",IF($AD705&gt;LIMITE_CRITICO,"INVIAVEL",IF($AD705&gt;LIMITE_ATENCAO,"CRITICO",IF($AD705&gt;LIMITE_CONFORTAVEL,"ATENCAO","OK")))))</f>
        <v>OK</v>
      </c>
      <c r="AF705" s="8" t="str">
        <f aca="false">$B705&amp;"|"&amp;TEXT($AD705,"0.000000")</f>
        <v>40|0.081345</v>
      </c>
      <c r="AG705" s="18" t="n">
        <f aca="false">IF($K705="SEM CULTURA",0,$T705*$H705)</f>
        <v>1268.8308</v>
      </c>
      <c r="AH705" s="18" t="n">
        <f aca="false">IF($K705="SEM CULTURA",0,$V705*$H705)</f>
        <v>179.976</v>
      </c>
      <c r="AI705" s="18" t="n">
        <f aca="false">IF($K705="SEM CULTURA",0,$W705*$H705)</f>
        <v>1088.8548</v>
      </c>
      <c r="AJ705" s="18" t="n">
        <f aca="false">IF($K705="SEM CULTURA",0,$S705*$H705)</f>
        <v>4229.436</v>
      </c>
      <c r="AK705" s="8" t="str">
        <f aca="false">$E705&amp;"|"&amp;TEXT($AD705,"0.000000")</f>
        <v>PV 112|0.081345</v>
      </c>
    </row>
    <row r="706" customFormat="false" ht="15" hidden="false" customHeight="false" outlineLevel="0" collapsed="false">
      <c r="B706" s="16" t="n">
        <v>41</v>
      </c>
      <c r="C706" s="17" t="n">
        <f aca="false">DATA_INICIO_SAFRA+($B706-1)*DIAS_POR_SEMANA</f>
        <v>46545</v>
      </c>
      <c r="D706" s="17" t="n">
        <f aca="false">$C706+DIAS_POR_SEMANA-1</f>
        <v>46551</v>
      </c>
      <c r="E706" s="15" t="s">
        <v>269</v>
      </c>
      <c r="F706" s="8" t="str">
        <f aca="false">IFERROR(INDEX(CADASTRO_PIVOS!$C$6:$C$41,MATCH($E706,CADASTRO_PIVOS!$B$6:$B$41,0)),"?")</f>
        <v>RM05</v>
      </c>
      <c r="G706" s="8" t="str">
        <f aca="false">IFERROR(INDEX(CADASTRO_PIVOS!$D$6:$D$41,MATCH($E706,CADASTRO_PIVOS!$B$6:$B$41,0)),"?")</f>
        <v>TR05</v>
      </c>
      <c r="H706" s="20" t="n">
        <f aca="false">IFERROR(INDEX(CADASTRO_PIVOS!$E$6:$E$41,MATCH($E706,CADASTRO_PIVOS!$B$6:$B$41,0)),0)</f>
        <v>149.98</v>
      </c>
      <c r="I706" s="16" t="n">
        <f aca="false">IFERROR(SUMIFS(ROTACAO_RDM!$B$6:$B$71,ROTACAO_RDM!$D$6:$D$71,$E706,ROTACAO_RDM!$I$6:$I$71,"&lt;="&amp;$C706+INT(DIAS_POR_SEMANA/2),ROTACAO_RDM!$J$6:$J$71,"&gt;="&amp;$C706+INT(DIAS_POR_SEMANA/2)),0)</f>
        <v>20</v>
      </c>
      <c r="J706" s="16" t="n">
        <f aca="false">IFERROR(MATCH($I706,ROTACAO_RDM!$B$6:$B$71,0),0)</f>
        <v>20</v>
      </c>
      <c r="K706" s="8" t="str">
        <f aca="false">IF($J706=0,"SEM CULTURA",INDEX(ROTACAO_RDM!$F$6:$F$71,$J706))</f>
        <v>MILHO_SEMENTE</v>
      </c>
      <c r="L706" s="8" t="n">
        <f aca="false">IF($J706=0,"",INDEX(ROTACAO_RDM!$G$6:$G$71,$J706))</f>
        <v>0</v>
      </c>
      <c r="M706" s="17" t="n">
        <f aca="false">IF($J706=0,"",INDEX(ROTACAO_RDM!$I$6:$I$71,$J706))</f>
        <v>46539</v>
      </c>
      <c r="N706" s="16" t="n">
        <f aca="false">IF($J706=0,0,MAX(0,$C706+INT(DIAS_POR_SEMANA/2)-INDEX(ROTACAO_RDM!$I$6:$I$71,$J706)))</f>
        <v>9</v>
      </c>
      <c r="O706" s="19" t="n">
        <f aca="false">IF($J706=0,0,MIN(1,$N706/MAX(1,INDEX(ROTACAO_RDM!$K$6:$K$71,$J706))))</f>
        <v>0.0620689655172414</v>
      </c>
      <c r="P706" s="16" t="n">
        <f aca="false">IF($J706=0,0,IFERROR(MATCH(INDEX(ROTACAO_RDM!$N$6:$N$71,$J706),PARAMETROS_CULTURAS!$B$6:$B$28,0),0))</f>
        <v>7</v>
      </c>
      <c r="Q706" s="8" t="str">
        <f aca="false">IF($P706=0,"-",IF($O706&lt;=INDEX(PARAMETROS_CULTURAS!$F$6:$F$28,$P706),"INICIAL",IF($O706&lt;=INDEX(PARAMETROS_CULTURAS!$F$6:$F$28,$P706)+INDEX(PARAMETROS_CULTURAS!$G$6:$G$28,$P706),"DESENVOLVIMENTO",IF($O706&lt;=INDEX(PARAMETROS_CULTURAS!$F$6:$F$28,$P706)+INDEX(PARAMETROS_CULTURAS!$G$6:$G$28,$P706)+INDEX(PARAMETROS_CULTURAS!$H$6:$H$28,$P706),"MEDIA","FINAL"))))</f>
        <v>INICIAL</v>
      </c>
      <c r="R706" s="24" t="n">
        <f aca="false">IF($P706=0,0,IF($O706&lt;=INDEX(PARAMETROS_CULTURAS!$F$6:$F$28,$P706),INDEX(PARAMETROS_CULTURAS!$K$6:$K$28,$P706),IF($O706&lt;=INDEX(PARAMETROS_CULTURAS!$F$6:$F$28,$P706)+INDEX(PARAMETROS_CULTURAS!$G$6:$G$28,$P706),INDEX(PARAMETROS_CULTURAS!$K$6:$K$28,$P706)+(INDEX(PARAMETROS_CULTURAS!$L$6:$L$28,$P706)-INDEX(PARAMETROS_CULTURAS!$K$6:$K$28,$P706))*($O706-INDEX(PARAMETROS_CULTURAS!$F$6:$F$28,$P706))/MAX(INDEX(PARAMETROS_CULTURAS!$G$6:$G$28,$P706),0.0001),IF($O706&lt;=INDEX(PARAMETROS_CULTURAS!$F$6:$F$28,$P706)+INDEX(PARAMETROS_CULTURAS!$G$6:$G$28,$P706)+INDEX(PARAMETROS_CULTURAS!$H$6:$H$28,$P706),INDEX(PARAMETROS_CULTURAS!$L$6:$L$28,$P706),INDEX(PARAMETROS_CULTURAS!$L$6:$L$28,$P706)+(INDEX(PARAMETROS_CULTURAS!$M$6:$M$28,$P706)-INDEX(PARAMETROS_CULTURAS!$L$6:$L$28,$P706))*($O706-INDEX(PARAMETROS_CULTURAS!$F$6:$F$28,$P706)-INDEX(PARAMETROS_CULTURAS!$G$6:$G$28,$P706)-INDEX(PARAMETROS_CULTURAS!$H$6:$H$28,$P706))/MAX(INDEX(PARAMETROS_CULTURAS!$I$6:$I$28,$P706),0.0001)))))</f>
        <v>0.3</v>
      </c>
      <c r="S706" s="18" t="n">
        <f aca="false">IFERROR(INDEX(SEMANAS!$H$6:$H$71,MATCH($B706,SEMANAS!$B$6:$B$71,0)),0)</f>
        <v>28</v>
      </c>
      <c r="T706" s="18" t="n">
        <f aca="false">$R706*$S706</f>
        <v>8.4</v>
      </c>
      <c r="U706" s="18" t="n">
        <f aca="false">IFERROR(INDEX(SEMANAS!$I$6:$I$71,MATCH($B706,SEMANAS!$B$6:$B$71,0)),0)</f>
        <v>1.19</v>
      </c>
      <c r="V706" s="18" t="n">
        <f aca="false">IFERROR(INDEX(SEMANAS!$J$6:$J$71,MATCH($B706,SEMANAS!$B$6:$B$71,0)),0)</f>
        <v>0.952</v>
      </c>
      <c r="W706" s="18" t="n">
        <f aca="false">MAX(0,$T706-$V706)</f>
        <v>7.448</v>
      </c>
      <c r="X706" s="19" t="n">
        <f aca="false">IFERROR(INDEX(CADASTRO_PIVOS!$K$6:$K$41,MATCH($E706,CADASTRO_PIVOS!$B$6:$B$41,0)),EFICIENCIA_PADRAO)</f>
        <v>0.85</v>
      </c>
      <c r="Y706" s="18" t="n">
        <f aca="false">IF($X706&lt;=0,0,$W706/$X706)</f>
        <v>8.76235294117647</v>
      </c>
      <c r="Z706" s="16" t="n">
        <f aca="false">$Y706*$H706*MM_PARA_M3_HA</f>
        <v>13141.7769411765</v>
      </c>
      <c r="AA706" s="18" t="n">
        <f aca="false">IFERROR(INDEX(CADASTRO_PIVOS!$I$6:$I$41,MATCH($E706,CADASTRO_PIVOS!$B$6:$B$41,0)),0)</f>
        <v>1071.28571428571</v>
      </c>
      <c r="AB706" s="18" t="n">
        <f aca="false">IF($Z706&lt;=0,0,$Z706/$AA706)</f>
        <v>12.2672941176471</v>
      </c>
      <c r="AC706" s="16" t="n">
        <f aca="false">IFERROR(INDEX(SEMANAS!$K$6:$K$71,MATCH($B706,SEMANAS!$B$6:$B$71,0)),0)</f>
        <v>147</v>
      </c>
      <c r="AD706" s="19" t="n">
        <f aca="false">IF($AC706&lt;=0,0,$AB706/$AC706)</f>
        <v>0.0834509803921569</v>
      </c>
      <c r="AE706" s="8" t="str">
        <f aca="false">IF($K706="SEM CULTURA","SEM CULTURA",IF($AA706&lt;=0,"DADO PENDENTE",IF($AD706&gt;LIMITE_CRITICO,"INVIAVEL",IF($AD706&gt;LIMITE_ATENCAO,"CRITICO",IF($AD706&gt;LIMITE_CONFORTAVEL,"ATENCAO","OK")))))</f>
        <v>OK</v>
      </c>
      <c r="AF706" s="8" t="str">
        <f aca="false">$B706&amp;"|"&amp;TEXT($AD706,"0.000000")</f>
        <v>41|0.083451</v>
      </c>
      <c r="AG706" s="18" t="n">
        <f aca="false">IF($K706="SEM CULTURA",0,$T706*$H706)</f>
        <v>1259.832</v>
      </c>
      <c r="AH706" s="18" t="n">
        <f aca="false">IF($K706="SEM CULTURA",0,$V706*$H706)</f>
        <v>142.78096</v>
      </c>
      <c r="AI706" s="18" t="n">
        <f aca="false">IF($K706="SEM CULTURA",0,$W706*$H706)</f>
        <v>1117.05104</v>
      </c>
      <c r="AJ706" s="18" t="n">
        <f aca="false">IF($K706="SEM CULTURA",0,$S706*$H706)</f>
        <v>4199.44</v>
      </c>
      <c r="AK706" s="8" t="str">
        <f aca="false">$E706&amp;"|"&amp;TEXT($AD706,"0.000000")</f>
        <v>PV 112|0.083451</v>
      </c>
    </row>
    <row r="707" customFormat="false" ht="15" hidden="false" customHeight="false" outlineLevel="0" collapsed="false">
      <c r="B707" s="16" t="n">
        <v>42</v>
      </c>
      <c r="C707" s="17" t="n">
        <f aca="false">DATA_INICIO_SAFRA+($B707-1)*DIAS_POR_SEMANA</f>
        <v>46552</v>
      </c>
      <c r="D707" s="17" t="n">
        <f aca="false">$C707+DIAS_POR_SEMANA-1</f>
        <v>46558</v>
      </c>
      <c r="E707" s="15" t="s">
        <v>269</v>
      </c>
      <c r="F707" s="8" t="str">
        <f aca="false">IFERROR(INDEX(CADASTRO_PIVOS!$C$6:$C$41,MATCH($E707,CADASTRO_PIVOS!$B$6:$B$41,0)),"?")</f>
        <v>RM05</v>
      </c>
      <c r="G707" s="8" t="str">
        <f aca="false">IFERROR(INDEX(CADASTRO_PIVOS!$D$6:$D$41,MATCH($E707,CADASTRO_PIVOS!$B$6:$B$41,0)),"?")</f>
        <v>TR05</v>
      </c>
      <c r="H707" s="20" t="n">
        <f aca="false">IFERROR(INDEX(CADASTRO_PIVOS!$E$6:$E$41,MATCH($E707,CADASTRO_PIVOS!$B$6:$B$41,0)),0)</f>
        <v>149.98</v>
      </c>
      <c r="I707" s="16" t="n">
        <f aca="false">IFERROR(SUMIFS(ROTACAO_RDM!$B$6:$B$71,ROTACAO_RDM!$D$6:$D$71,$E707,ROTACAO_RDM!$I$6:$I$71,"&lt;="&amp;$C707+INT(DIAS_POR_SEMANA/2),ROTACAO_RDM!$J$6:$J$71,"&gt;="&amp;$C707+INT(DIAS_POR_SEMANA/2)),0)</f>
        <v>20</v>
      </c>
      <c r="J707" s="16" t="n">
        <f aca="false">IFERROR(MATCH($I707,ROTACAO_RDM!$B$6:$B$71,0),0)</f>
        <v>20</v>
      </c>
      <c r="K707" s="8" t="str">
        <f aca="false">IF($J707=0,"SEM CULTURA",INDEX(ROTACAO_RDM!$F$6:$F$71,$J707))</f>
        <v>MILHO_SEMENTE</v>
      </c>
      <c r="L707" s="8" t="n">
        <f aca="false">IF($J707=0,"",INDEX(ROTACAO_RDM!$G$6:$G$71,$J707))</f>
        <v>0</v>
      </c>
      <c r="M707" s="17" t="n">
        <f aca="false">IF($J707=0,"",INDEX(ROTACAO_RDM!$I$6:$I$71,$J707))</f>
        <v>46539</v>
      </c>
      <c r="N707" s="16" t="n">
        <f aca="false">IF($J707=0,0,MAX(0,$C707+INT(DIAS_POR_SEMANA/2)-INDEX(ROTACAO_RDM!$I$6:$I$71,$J707)))</f>
        <v>16</v>
      </c>
      <c r="O707" s="19" t="n">
        <f aca="false">IF($J707=0,0,MIN(1,$N707/MAX(1,INDEX(ROTACAO_RDM!$K$6:$K$71,$J707))))</f>
        <v>0.110344827586207</v>
      </c>
      <c r="P707" s="16" t="n">
        <f aca="false">IF($J707=0,0,IFERROR(MATCH(INDEX(ROTACAO_RDM!$N$6:$N$71,$J707),PARAMETROS_CULTURAS!$B$6:$B$28,0),0))</f>
        <v>7</v>
      </c>
      <c r="Q707" s="8" t="str">
        <f aca="false">IF($P707=0,"-",IF($O707&lt;=INDEX(PARAMETROS_CULTURAS!$F$6:$F$28,$P707),"INICIAL",IF($O707&lt;=INDEX(PARAMETROS_CULTURAS!$F$6:$F$28,$P707)+INDEX(PARAMETROS_CULTURAS!$G$6:$G$28,$P707),"DESENVOLVIMENTO",IF($O707&lt;=INDEX(PARAMETROS_CULTURAS!$F$6:$F$28,$P707)+INDEX(PARAMETROS_CULTURAS!$G$6:$G$28,$P707)+INDEX(PARAMETROS_CULTURAS!$H$6:$H$28,$P707),"MEDIA","FINAL"))))</f>
        <v>INICIAL</v>
      </c>
      <c r="R707" s="24" t="n">
        <f aca="false">IF($P707=0,0,IF($O707&lt;=INDEX(PARAMETROS_CULTURAS!$F$6:$F$28,$P707),INDEX(PARAMETROS_CULTURAS!$K$6:$K$28,$P707),IF($O707&lt;=INDEX(PARAMETROS_CULTURAS!$F$6:$F$28,$P707)+INDEX(PARAMETROS_CULTURAS!$G$6:$G$28,$P707),INDEX(PARAMETROS_CULTURAS!$K$6:$K$28,$P707)+(INDEX(PARAMETROS_CULTURAS!$L$6:$L$28,$P707)-INDEX(PARAMETROS_CULTURAS!$K$6:$K$28,$P707))*($O707-INDEX(PARAMETROS_CULTURAS!$F$6:$F$28,$P707))/MAX(INDEX(PARAMETROS_CULTURAS!$G$6:$G$28,$P707),0.0001),IF($O707&lt;=INDEX(PARAMETROS_CULTURAS!$F$6:$F$28,$P707)+INDEX(PARAMETROS_CULTURAS!$G$6:$G$28,$P707)+INDEX(PARAMETROS_CULTURAS!$H$6:$H$28,$P707),INDEX(PARAMETROS_CULTURAS!$L$6:$L$28,$P707),INDEX(PARAMETROS_CULTURAS!$L$6:$L$28,$P707)+(INDEX(PARAMETROS_CULTURAS!$M$6:$M$28,$P707)-INDEX(PARAMETROS_CULTURAS!$L$6:$L$28,$P707))*($O707-INDEX(PARAMETROS_CULTURAS!$F$6:$F$28,$P707)-INDEX(PARAMETROS_CULTURAS!$G$6:$G$28,$P707)-INDEX(PARAMETROS_CULTURAS!$H$6:$H$28,$P707))/MAX(INDEX(PARAMETROS_CULTURAS!$I$6:$I$28,$P707),0.0001)))))</f>
        <v>0.3</v>
      </c>
      <c r="S707" s="18" t="n">
        <f aca="false">IFERROR(INDEX(SEMANAS!$H$6:$H$71,MATCH($B707,SEMANAS!$B$6:$B$71,0)),0)</f>
        <v>28</v>
      </c>
      <c r="T707" s="18" t="n">
        <f aca="false">$R707*$S707</f>
        <v>8.4</v>
      </c>
      <c r="U707" s="18" t="n">
        <f aca="false">IFERROR(INDEX(SEMANAS!$I$6:$I$71,MATCH($B707,SEMANAS!$B$6:$B$71,0)),0)</f>
        <v>1.19</v>
      </c>
      <c r="V707" s="18" t="n">
        <f aca="false">IFERROR(INDEX(SEMANAS!$J$6:$J$71,MATCH($B707,SEMANAS!$B$6:$B$71,0)),0)</f>
        <v>0.952</v>
      </c>
      <c r="W707" s="18" t="n">
        <f aca="false">MAX(0,$T707-$V707)</f>
        <v>7.448</v>
      </c>
      <c r="X707" s="19" t="n">
        <f aca="false">IFERROR(INDEX(CADASTRO_PIVOS!$K$6:$K$41,MATCH($E707,CADASTRO_PIVOS!$B$6:$B$41,0)),EFICIENCIA_PADRAO)</f>
        <v>0.85</v>
      </c>
      <c r="Y707" s="18" t="n">
        <f aca="false">IF($X707&lt;=0,0,$W707/$X707)</f>
        <v>8.76235294117647</v>
      </c>
      <c r="Z707" s="16" t="n">
        <f aca="false">$Y707*$H707*MM_PARA_M3_HA</f>
        <v>13141.7769411765</v>
      </c>
      <c r="AA707" s="18" t="n">
        <f aca="false">IFERROR(INDEX(CADASTRO_PIVOS!$I$6:$I$41,MATCH($E707,CADASTRO_PIVOS!$B$6:$B$41,0)),0)</f>
        <v>1071.28571428571</v>
      </c>
      <c r="AB707" s="18" t="n">
        <f aca="false">IF($Z707&lt;=0,0,$Z707/$AA707)</f>
        <v>12.2672941176471</v>
      </c>
      <c r="AC707" s="16" t="n">
        <f aca="false">IFERROR(INDEX(SEMANAS!$K$6:$K$71,MATCH($B707,SEMANAS!$B$6:$B$71,0)),0)</f>
        <v>147</v>
      </c>
      <c r="AD707" s="19" t="n">
        <f aca="false">IF($AC707&lt;=0,0,$AB707/$AC707)</f>
        <v>0.0834509803921569</v>
      </c>
      <c r="AE707" s="8" t="str">
        <f aca="false">IF($K707="SEM CULTURA","SEM CULTURA",IF($AA707&lt;=0,"DADO PENDENTE",IF($AD707&gt;LIMITE_CRITICO,"INVIAVEL",IF($AD707&gt;LIMITE_ATENCAO,"CRITICO",IF($AD707&gt;LIMITE_CONFORTAVEL,"ATENCAO","OK")))))</f>
        <v>OK</v>
      </c>
      <c r="AF707" s="8" t="str">
        <f aca="false">$B707&amp;"|"&amp;TEXT($AD707,"0.000000")</f>
        <v>42|0.083451</v>
      </c>
      <c r="AG707" s="18" t="n">
        <f aca="false">IF($K707="SEM CULTURA",0,$T707*$H707)</f>
        <v>1259.832</v>
      </c>
      <c r="AH707" s="18" t="n">
        <f aca="false">IF($K707="SEM CULTURA",0,$V707*$H707)</f>
        <v>142.78096</v>
      </c>
      <c r="AI707" s="18" t="n">
        <f aca="false">IF($K707="SEM CULTURA",0,$W707*$H707)</f>
        <v>1117.05104</v>
      </c>
      <c r="AJ707" s="18" t="n">
        <f aca="false">IF($K707="SEM CULTURA",0,$S707*$H707)</f>
        <v>4199.44</v>
      </c>
      <c r="AK707" s="8" t="str">
        <f aca="false">$E707&amp;"|"&amp;TEXT($AD707,"0.000000")</f>
        <v>PV 112|0.083451</v>
      </c>
    </row>
    <row r="708" customFormat="false" ht="15" hidden="false" customHeight="false" outlineLevel="0" collapsed="false">
      <c r="B708" s="16" t="n">
        <v>43</v>
      </c>
      <c r="C708" s="17" t="n">
        <f aca="false">DATA_INICIO_SAFRA+($B708-1)*DIAS_POR_SEMANA</f>
        <v>46559</v>
      </c>
      <c r="D708" s="17" t="n">
        <f aca="false">$C708+DIAS_POR_SEMANA-1</f>
        <v>46565</v>
      </c>
      <c r="E708" s="15" t="s">
        <v>269</v>
      </c>
      <c r="F708" s="8" t="str">
        <f aca="false">IFERROR(INDEX(CADASTRO_PIVOS!$C$6:$C$41,MATCH($E708,CADASTRO_PIVOS!$B$6:$B$41,0)),"?")</f>
        <v>RM05</v>
      </c>
      <c r="G708" s="8" t="str">
        <f aca="false">IFERROR(INDEX(CADASTRO_PIVOS!$D$6:$D$41,MATCH($E708,CADASTRO_PIVOS!$B$6:$B$41,0)),"?")</f>
        <v>TR05</v>
      </c>
      <c r="H708" s="20" t="n">
        <f aca="false">IFERROR(INDEX(CADASTRO_PIVOS!$E$6:$E$41,MATCH($E708,CADASTRO_PIVOS!$B$6:$B$41,0)),0)</f>
        <v>149.98</v>
      </c>
      <c r="I708" s="16" t="n">
        <f aca="false">IFERROR(SUMIFS(ROTACAO_RDM!$B$6:$B$71,ROTACAO_RDM!$D$6:$D$71,$E708,ROTACAO_RDM!$I$6:$I$71,"&lt;="&amp;$C708+INT(DIAS_POR_SEMANA/2),ROTACAO_RDM!$J$6:$J$71,"&gt;="&amp;$C708+INT(DIAS_POR_SEMANA/2)),0)</f>
        <v>20</v>
      </c>
      <c r="J708" s="16" t="n">
        <f aca="false">IFERROR(MATCH($I708,ROTACAO_RDM!$B$6:$B$71,0),0)</f>
        <v>20</v>
      </c>
      <c r="K708" s="8" t="str">
        <f aca="false">IF($J708=0,"SEM CULTURA",INDEX(ROTACAO_RDM!$F$6:$F$71,$J708))</f>
        <v>MILHO_SEMENTE</v>
      </c>
      <c r="L708" s="8" t="n">
        <f aca="false">IF($J708=0,"",INDEX(ROTACAO_RDM!$G$6:$G$71,$J708))</f>
        <v>0</v>
      </c>
      <c r="M708" s="17" t="n">
        <f aca="false">IF($J708=0,"",INDEX(ROTACAO_RDM!$I$6:$I$71,$J708))</f>
        <v>46539</v>
      </c>
      <c r="N708" s="16" t="n">
        <f aca="false">IF($J708=0,0,MAX(0,$C708+INT(DIAS_POR_SEMANA/2)-INDEX(ROTACAO_RDM!$I$6:$I$71,$J708)))</f>
        <v>23</v>
      </c>
      <c r="O708" s="19" t="n">
        <f aca="false">IF($J708=0,0,MIN(1,$N708/MAX(1,INDEX(ROTACAO_RDM!$K$6:$K$71,$J708))))</f>
        <v>0.158620689655172</v>
      </c>
      <c r="P708" s="16" t="n">
        <f aca="false">IF($J708=0,0,IFERROR(MATCH(INDEX(ROTACAO_RDM!$N$6:$N$71,$J708),PARAMETROS_CULTURAS!$B$6:$B$28,0),0))</f>
        <v>7</v>
      </c>
      <c r="Q708" s="8" t="str">
        <f aca="false">IF($P708=0,"-",IF($O708&lt;=INDEX(PARAMETROS_CULTURAS!$F$6:$F$28,$P708),"INICIAL",IF($O708&lt;=INDEX(PARAMETROS_CULTURAS!$F$6:$F$28,$P708)+INDEX(PARAMETROS_CULTURAS!$G$6:$G$28,$P708),"DESENVOLVIMENTO",IF($O708&lt;=INDEX(PARAMETROS_CULTURAS!$F$6:$F$28,$P708)+INDEX(PARAMETROS_CULTURAS!$G$6:$G$28,$P708)+INDEX(PARAMETROS_CULTURAS!$H$6:$H$28,$P708),"MEDIA","FINAL"))))</f>
        <v>INICIAL</v>
      </c>
      <c r="R708" s="24" t="n">
        <f aca="false">IF($P708=0,0,IF($O708&lt;=INDEX(PARAMETROS_CULTURAS!$F$6:$F$28,$P708),INDEX(PARAMETROS_CULTURAS!$K$6:$K$28,$P708),IF($O708&lt;=INDEX(PARAMETROS_CULTURAS!$F$6:$F$28,$P708)+INDEX(PARAMETROS_CULTURAS!$G$6:$G$28,$P708),INDEX(PARAMETROS_CULTURAS!$K$6:$K$28,$P708)+(INDEX(PARAMETROS_CULTURAS!$L$6:$L$28,$P708)-INDEX(PARAMETROS_CULTURAS!$K$6:$K$28,$P708))*($O708-INDEX(PARAMETROS_CULTURAS!$F$6:$F$28,$P708))/MAX(INDEX(PARAMETROS_CULTURAS!$G$6:$G$28,$P708),0.0001),IF($O708&lt;=INDEX(PARAMETROS_CULTURAS!$F$6:$F$28,$P708)+INDEX(PARAMETROS_CULTURAS!$G$6:$G$28,$P708)+INDEX(PARAMETROS_CULTURAS!$H$6:$H$28,$P708),INDEX(PARAMETROS_CULTURAS!$L$6:$L$28,$P708),INDEX(PARAMETROS_CULTURAS!$L$6:$L$28,$P708)+(INDEX(PARAMETROS_CULTURAS!$M$6:$M$28,$P708)-INDEX(PARAMETROS_CULTURAS!$L$6:$L$28,$P708))*($O708-INDEX(PARAMETROS_CULTURAS!$F$6:$F$28,$P708)-INDEX(PARAMETROS_CULTURAS!$G$6:$G$28,$P708)-INDEX(PARAMETROS_CULTURAS!$H$6:$H$28,$P708))/MAX(INDEX(PARAMETROS_CULTURAS!$I$6:$I$28,$P708),0.0001)))))</f>
        <v>0.3</v>
      </c>
      <c r="S708" s="18" t="n">
        <f aca="false">IFERROR(INDEX(SEMANAS!$H$6:$H$71,MATCH($B708,SEMANAS!$B$6:$B$71,0)),0)</f>
        <v>28</v>
      </c>
      <c r="T708" s="18" t="n">
        <f aca="false">$R708*$S708</f>
        <v>8.4</v>
      </c>
      <c r="U708" s="18" t="n">
        <f aca="false">IFERROR(INDEX(SEMANAS!$I$6:$I$71,MATCH($B708,SEMANAS!$B$6:$B$71,0)),0)</f>
        <v>1.19</v>
      </c>
      <c r="V708" s="18" t="n">
        <f aca="false">IFERROR(INDEX(SEMANAS!$J$6:$J$71,MATCH($B708,SEMANAS!$B$6:$B$71,0)),0)</f>
        <v>0.952</v>
      </c>
      <c r="W708" s="18" t="n">
        <f aca="false">MAX(0,$T708-$V708)</f>
        <v>7.448</v>
      </c>
      <c r="X708" s="19" t="n">
        <f aca="false">IFERROR(INDEX(CADASTRO_PIVOS!$K$6:$K$41,MATCH($E708,CADASTRO_PIVOS!$B$6:$B$41,0)),EFICIENCIA_PADRAO)</f>
        <v>0.85</v>
      </c>
      <c r="Y708" s="18" t="n">
        <f aca="false">IF($X708&lt;=0,0,$W708/$X708)</f>
        <v>8.76235294117647</v>
      </c>
      <c r="Z708" s="16" t="n">
        <f aca="false">$Y708*$H708*MM_PARA_M3_HA</f>
        <v>13141.7769411765</v>
      </c>
      <c r="AA708" s="18" t="n">
        <f aca="false">IFERROR(INDEX(CADASTRO_PIVOS!$I$6:$I$41,MATCH($E708,CADASTRO_PIVOS!$B$6:$B$41,0)),0)</f>
        <v>1071.28571428571</v>
      </c>
      <c r="AB708" s="18" t="n">
        <f aca="false">IF($Z708&lt;=0,0,$Z708/$AA708)</f>
        <v>12.2672941176471</v>
      </c>
      <c r="AC708" s="16" t="n">
        <f aca="false">IFERROR(INDEX(SEMANAS!$K$6:$K$71,MATCH($B708,SEMANAS!$B$6:$B$71,0)),0)</f>
        <v>147</v>
      </c>
      <c r="AD708" s="19" t="n">
        <f aca="false">IF($AC708&lt;=0,0,$AB708/$AC708)</f>
        <v>0.0834509803921569</v>
      </c>
      <c r="AE708" s="8" t="str">
        <f aca="false">IF($K708="SEM CULTURA","SEM CULTURA",IF($AA708&lt;=0,"DADO PENDENTE",IF($AD708&gt;LIMITE_CRITICO,"INVIAVEL",IF($AD708&gt;LIMITE_ATENCAO,"CRITICO",IF($AD708&gt;LIMITE_CONFORTAVEL,"ATENCAO","OK")))))</f>
        <v>OK</v>
      </c>
      <c r="AF708" s="8" t="str">
        <f aca="false">$B708&amp;"|"&amp;TEXT($AD708,"0.000000")</f>
        <v>43|0.083451</v>
      </c>
      <c r="AG708" s="18" t="n">
        <f aca="false">IF($K708="SEM CULTURA",0,$T708*$H708)</f>
        <v>1259.832</v>
      </c>
      <c r="AH708" s="18" t="n">
        <f aca="false">IF($K708="SEM CULTURA",0,$V708*$H708)</f>
        <v>142.78096</v>
      </c>
      <c r="AI708" s="18" t="n">
        <f aca="false">IF($K708="SEM CULTURA",0,$W708*$H708)</f>
        <v>1117.05104</v>
      </c>
      <c r="AJ708" s="18" t="n">
        <f aca="false">IF($K708="SEM CULTURA",0,$S708*$H708)</f>
        <v>4199.44</v>
      </c>
      <c r="AK708" s="8" t="str">
        <f aca="false">$E708&amp;"|"&amp;TEXT($AD708,"0.000000")</f>
        <v>PV 112|0.083451</v>
      </c>
    </row>
    <row r="709" customFormat="false" ht="15" hidden="false" customHeight="false" outlineLevel="0" collapsed="false">
      <c r="B709" s="16" t="n">
        <v>44</v>
      </c>
      <c r="C709" s="17" t="n">
        <f aca="false">DATA_INICIO_SAFRA+($B709-1)*DIAS_POR_SEMANA</f>
        <v>46566</v>
      </c>
      <c r="D709" s="17" t="n">
        <f aca="false">$C709+DIAS_POR_SEMANA-1</f>
        <v>46572</v>
      </c>
      <c r="E709" s="15" t="s">
        <v>269</v>
      </c>
      <c r="F709" s="8" t="str">
        <f aca="false">IFERROR(INDEX(CADASTRO_PIVOS!$C$6:$C$41,MATCH($E709,CADASTRO_PIVOS!$B$6:$B$41,0)),"?")</f>
        <v>RM05</v>
      </c>
      <c r="G709" s="8" t="str">
        <f aca="false">IFERROR(INDEX(CADASTRO_PIVOS!$D$6:$D$41,MATCH($E709,CADASTRO_PIVOS!$B$6:$B$41,0)),"?")</f>
        <v>TR05</v>
      </c>
      <c r="H709" s="20" t="n">
        <f aca="false">IFERROR(INDEX(CADASTRO_PIVOS!$E$6:$E$41,MATCH($E709,CADASTRO_PIVOS!$B$6:$B$41,0)),0)</f>
        <v>149.98</v>
      </c>
      <c r="I709" s="16" t="n">
        <f aca="false">IFERROR(SUMIFS(ROTACAO_RDM!$B$6:$B$71,ROTACAO_RDM!$D$6:$D$71,$E709,ROTACAO_RDM!$I$6:$I$71,"&lt;="&amp;$C709+INT(DIAS_POR_SEMANA/2),ROTACAO_RDM!$J$6:$J$71,"&gt;="&amp;$C709+INT(DIAS_POR_SEMANA/2)),0)</f>
        <v>20</v>
      </c>
      <c r="J709" s="16" t="n">
        <f aca="false">IFERROR(MATCH($I709,ROTACAO_RDM!$B$6:$B$71,0),0)</f>
        <v>20</v>
      </c>
      <c r="K709" s="8" t="str">
        <f aca="false">IF($J709=0,"SEM CULTURA",INDEX(ROTACAO_RDM!$F$6:$F$71,$J709))</f>
        <v>MILHO_SEMENTE</v>
      </c>
      <c r="L709" s="8" t="n">
        <f aca="false">IF($J709=0,"",INDEX(ROTACAO_RDM!$G$6:$G$71,$J709))</f>
        <v>0</v>
      </c>
      <c r="M709" s="17" t="n">
        <f aca="false">IF($J709=0,"",INDEX(ROTACAO_RDM!$I$6:$I$71,$J709))</f>
        <v>46539</v>
      </c>
      <c r="N709" s="16" t="n">
        <f aca="false">IF($J709=0,0,MAX(0,$C709+INT(DIAS_POR_SEMANA/2)-INDEX(ROTACAO_RDM!$I$6:$I$71,$J709)))</f>
        <v>30</v>
      </c>
      <c r="O709" s="19" t="n">
        <f aca="false">IF($J709=0,0,MIN(1,$N709/MAX(1,INDEX(ROTACAO_RDM!$K$6:$K$71,$J709))))</f>
        <v>0.206896551724138</v>
      </c>
      <c r="P709" s="16" t="n">
        <f aca="false">IF($J709=0,0,IFERROR(MATCH(INDEX(ROTACAO_RDM!$N$6:$N$71,$J709),PARAMETROS_CULTURAS!$B$6:$B$28,0),0))</f>
        <v>7</v>
      </c>
      <c r="Q709" s="8" t="str">
        <f aca="false">IF($P709=0,"-",IF($O709&lt;=INDEX(PARAMETROS_CULTURAS!$F$6:$F$28,$P709),"INICIAL",IF($O709&lt;=INDEX(PARAMETROS_CULTURAS!$F$6:$F$28,$P709)+INDEX(PARAMETROS_CULTURAS!$G$6:$G$28,$P709),"DESENVOLVIMENTO",IF($O709&lt;=INDEX(PARAMETROS_CULTURAS!$F$6:$F$28,$P709)+INDEX(PARAMETROS_CULTURAS!$G$6:$G$28,$P709)+INDEX(PARAMETROS_CULTURAS!$H$6:$H$28,$P709),"MEDIA","FINAL"))))</f>
        <v>DESENVOLVIMENTO</v>
      </c>
      <c r="R709" s="24" t="n">
        <f aca="false">IF($P709=0,0,IF($O709&lt;=INDEX(PARAMETROS_CULTURAS!$F$6:$F$28,$P709),INDEX(PARAMETROS_CULTURAS!$K$6:$K$28,$P709),IF($O709&lt;=INDEX(PARAMETROS_CULTURAS!$F$6:$F$28,$P709)+INDEX(PARAMETROS_CULTURAS!$G$6:$G$28,$P709),INDEX(PARAMETROS_CULTURAS!$K$6:$K$28,$P709)+(INDEX(PARAMETROS_CULTURAS!$L$6:$L$28,$P709)-INDEX(PARAMETROS_CULTURAS!$K$6:$K$28,$P709))*($O709-INDEX(PARAMETROS_CULTURAS!$F$6:$F$28,$P709))/MAX(INDEX(PARAMETROS_CULTURAS!$G$6:$G$28,$P709),0.0001),IF($O709&lt;=INDEX(PARAMETROS_CULTURAS!$F$6:$F$28,$P709)+INDEX(PARAMETROS_CULTURAS!$G$6:$G$28,$P709)+INDEX(PARAMETROS_CULTURAS!$H$6:$H$28,$P709),INDEX(PARAMETROS_CULTURAS!$L$6:$L$28,$P709),INDEX(PARAMETROS_CULTURAS!$L$6:$L$28,$P709)+(INDEX(PARAMETROS_CULTURAS!$M$6:$M$28,$P709)-INDEX(PARAMETROS_CULTURAS!$L$6:$L$28,$P709))*($O709-INDEX(PARAMETROS_CULTURAS!$F$6:$F$28,$P709)-INDEX(PARAMETROS_CULTURAS!$G$6:$G$28,$P709)-INDEX(PARAMETROS_CULTURAS!$H$6:$H$28,$P709))/MAX(INDEX(PARAMETROS_CULTURAS!$I$6:$I$28,$P709),0.0001)))))</f>
        <v>0.357448275862069</v>
      </c>
      <c r="S709" s="18" t="n">
        <f aca="false">IFERROR(INDEX(SEMANAS!$H$6:$H$71,MATCH($B709,SEMANAS!$B$6:$B$71,0)),0)</f>
        <v>29.2</v>
      </c>
      <c r="T709" s="18" t="n">
        <f aca="false">$R709*$S709</f>
        <v>10.4374896551724</v>
      </c>
      <c r="U709" s="18" t="n">
        <f aca="false">IFERROR(INDEX(SEMANAS!$I$6:$I$71,MATCH($B709,SEMANAS!$B$6:$B$71,0)),0)</f>
        <v>0.91</v>
      </c>
      <c r="V709" s="18" t="n">
        <f aca="false">IFERROR(INDEX(SEMANAS!$J$6:$J$71,MATCH($B709,SEMANAS!$B$6:$B$71,0)),0)</f>
        <v>0.728</v>
      </c>
      <c r="W709" s="18" t="n">
        <f aca="false">MAX(0,$T709-$V709)</f>
        <v>9.70948965517241</v>
      </c>
      <c r="X709" s="19" t="n">
        <f aca="false">IFERROR(INDEX(CADASTRO_PIVOS!$K$6:$K$41,MATCH($E709,CADASTRO_PIVOS!$B$6:$B$41,0)),EFICIENCIA_PADRAO)</f>
        <v>0.85</v>
      </c>
      <c r="Y709" s="18" t="n">
        <f aca="false">IF($X709&lt;=0,0,$W709/$X709)</f>
        <v>11.4229290060852</v>
      </c>
      <c r="Z709" s="16" t="n">
        <f aca="false">$Y709*$H709*MM_PARA_M3_HA</f>
        <v>17132.1089233266</v>
      </c>
      <c r="AA709" s="18" t="n">
        <f aca="false">IFERROR(INDEX(CADASTRO_PIVOS!$I$6:$I$41,MATCH($E709,CADASTRO_PIVOS!$B$6:$B$41,0)),0)</f>
        <v>1071.28571428571</v>
      </c>
      <c r="AB709" s="18" t="n">
        <f aca="false">IF($Z709&lt;=0,0,$Z709/$AA709)</f>
        <v>15.9921006085193</v>
      </c>
      <c r="AC709" s="16" t="n">
        <f aca="false">IFERROR(INDEX(SEMANAS!$K$6:$K$71,MATCH($B709,SEMANAS!$B$6:$B$71,0)),0)</f>
        <v>147</v>
      </c>
      <c r="AD709" s="19" t="n">
        <f aca="false">IF($AC709&lt;=0,0,$AB709/$AC709)</f>
        <v>0.108789800057954</v>
      </c>
      <c r="AE709" s="8" t="str">
        <f aca="false">IF($K709="SEM CULTURA","SEM CULTURA",IF($AA709&lt;=0,"DADO PENDENTE",IF($AD709&gt;LIMITE_CRITICO,"INVIAVEL",IF($AD709&gt;LIMITE_ATENCAO,"CRITICO",IF($AD709&gt;LIMITE_CONFORTAVEL,"ATENCAO","OK")))))</f>
        <v>OK</v>
      </c>
      <c r="AF709" s="8" t="str">
        <f aca="false">$B709&amp;"|"&amp;TEXT($AD709,"0.000000")</f>
        <v>44|0.108790</v>
      </c>
      <c r="AG709" s="18" t="n">
        <f aca="false">IF($K709="SEM CULTURA",0,$T709*$H709)</f>
        <v>1565.41469848276</v>
      </c>
      <c r="AH709" s="18" t="n">
        <f aca="false">IF($K709="SEM CULTURA",0,$V709*$H709)</f>
        <v>109.18544</v>
      </c>
      <c r="AI709" s="18" t="n">
        <f aca="false">IF($K709="SEM CULTURA",0,$W709*$H709)</f>
        <v>1456.22925848276</v>
      </c>
      <c r="AJ709" s="18" t="n">
        <f aca="false">IF($K709="SEM CULTURA",0,$S709*$H709)</f>
        <v>4379.416</v>
      </c>
      <c r="AK709" s="8" t="str">
        <f aca="false">$E709&amp;"|"&amp;TEXT($AD709,"0.000000")</f>
        <v>PV 112|0.108790</v>
      </c>
    </row>
    <row r="710" customFormat="false" ht="15" hidden="false" customHeight="false" outlineLevel="0" collapsed="false">
      <c r="B710" s="16" t="n">
        <v>45</v>
      </c>
      <c r="C710" s="17" t="n">
        <f aca="false">DATA_INICIO_SAFRA+($B710-1)*DIAS_POR_SEMANA</f>
        <v>46573</v>
      </c>
      <c r="D710" s="17" t="n">
        <f aca="false">$C710+DIAS_POR_SEMANA-1</f>
        <v>46579</v>
      </c>
      <c r="E710" s="15" t="s">
        <v>269</v>
      </c>
      <c r="F710" s="8" t="str">
        <f aca="false">IFERROR(INDEX(CADASTRO_PIVOS!$C$6:$C$41,MATCH($E710,CADASTRO_PIVOS!$B$6:$B$41,0)),"?")</f>
        <v>RM05</v>
      </c>
      <c r="G710" s="8" t="str">
        <f aca="false">IFERROR(INDEX(CADASTRO_PIVOS!$D$6:$D$41,MATCH($E710,CADASTRO_PIVOS!$B$6:$B$41,0)),"?")</f>
        <v>TR05</v>
      </c>
      <c r="H710" s="20" t="n">
        <f aca="false">IFERROR(INDEX(CADASTRO_PIVOS!$E$6:$E$41,MATCH($E710,CADASTRO_PIVOS!$B$6:$B$41,0)),0)</f>
        <v>149.98</v>
      </c>
      <c r="I710" s="16" t="n">
        <f aca="false">IFERROR(SUMIFS(ROTACAO_RDM!$B$6:$B$71,ROTACAO_RDM!$D$6:$D$71,$E710,ROTACAO_RDM!$I$6:$I$71,"&lt;="&amp;$C710+INT(DIAS_POR_SEMANA/2),ROTACAO_RDM!$J$6:$J$71,"&gt;="&amp;$C710+INT(DIAS_POR_SEMANA/2)),0)</f>
        <v>20</v>
      </c>
      <c r="J710" s="16" t="n">
        <f aca="false">IFERROR(MATCH($I710,ROTACAO_RDM!$B$6:$B$71,0),0)</f>
        <v>20</v>
      </c>
      <c r="K710" s="8" t="str">
        <f aca="false">IF($J710=0,"SEM CULTURA",INDEX(ROTACAO_RDM!$F$6:$F$71,$J710))</f>
        <v>MILHO_SEMENTE</v>
      </c>
      <c r="L710" s="8" t="n">
        <f aca="false">IF($J710=0,"",INDEX(ROTACAO_RDM!$G$6:$G$71,$J710))</f>
        <v>0</v>
      </c>
      <c r="M710" s="17" t="n">
        <f aca="false">IF($J710=0,"",INDEX(ROTACAO_RDM!$I$6:$I$71,$J710))</f>
        <v>46539</v>
      </c>
      <c r="N710" s="16" t="n">
        <f aca="false">IF($J710=0,0,MAX(0,$C710+INT(DIAS_POR_SEMANA/2)-INDEX(ROTACAO_RDM!$I$6:$I$71,$J710)))</f>
        <v>37</v>
      </c>
      <c r="O710" s="19" t="n">
        <f aca="false">IF($J710=0,0,MIN(1,$N710/MAX(1,INDEX(ROTACAO_RDM!$K$6:$K$71,$J710))))</f>
        <v>0.255172413793103</v>
      </c>
      <c r="P710" s="16" t="n">
        <f aca="false">IF($J710=0,0,IFERROR(MATCH(INDEX(ROTACAO_RDM!$N$6:$N$71,$J710),PARAMETROS_CULTURAS!$B$6:$B$28,0),0))</f>
        <v>7</v>
      </c>
      <c r="Q710" s="8" t="str">
        <f aca="false">IF($P710=0,"-",IF($O710&lt;=INDEX(PARAMETROS_CULTURAS!$F$6:$F$28,$P710),"INICIAL",IF($O710&lt;=INDEX(PARAMETROS_CULTURAS!$F$6:$F$28,$P710)+INDEX(PARAMETROS_CULTURAS!$G$6:$G$28,$P710),"DESENVOLVIMENTO",IF($O710&lt;=INDEX(PARAMETROS_CULTURAS!$F$6:$F$28,$P710)+INDEX(PARAMETROS_CULTURAS!$G$6:$G$28,$P710)+INDEX(PARAMETROS_CULTURAS!$H$6:$H$28,$P710),"MEDIA","FINAL"))))</f>
        <v>DESENVOLVIMENTO</v>
      </c>
      <c r="R710" s="24" t="n">
        <f aca="false">IF($P710=0,0,IF($O710&lt;=INDEX(PARAMETROS_CULTURAS!$F$6:$F$28,$P710),INDEX(PARAMETROS_CULTURAS!$K$6:$K$28,$P710),IF($O710&lt;=INDEX(PARAMETROS_CULTURAS!$F$6:$F$28,$P710)+INDEX(PARAMETROS_CULTURAS!$G$6:$G$28,$P710),INDEX(PARAMETROS_CULTURAS!$K$6:$K$28,$P710)+(INDEX(PARAMETROS_CULTURAS!$L$6:$L$28,$P710)-INDEX(PARAMETROS_CULTURAS!$K$6:$K$28,$P710))*($O710-INDEX(PARAMETROS_CULTURAS!$F$6:$F$28,$P710))/MAX(INDEX(PARAMETROS_CULTURAS!$G$6:$G$28,$P710),0.0001),IF($O710&lt;=INDEX(PARAMETROS_CULTURAS!$F$6:$F$28,$P710)+INDEX(PARAMETROS_CULTURAS!$G$6:$G$28,$P710)+INDEX(PARAMETROS_CULTURAS!$H$6:$H$28,$P710),INDEX(PARAMETROS_CULTURAS!$L$6:$L$28,$P710),INDEX(PARAMETROS_CULTURAS!$L$6:$L$28,$P710)+(INDEX(PARAMETROS_CULTURAS!$M$6:$M$28,$P710)-INDEX(PARAMETROS_CULTURAS!$L$6:$L$28,$P710))*($O710-INDEX(PARAMETROS_CULTURAS!$F$6:$F$28,$P710)-INDEX(PARAMETROS_CULTURAS!$G$6:$G$28,$P710)-INDEX(PARAMETROS_CULTURAS!$H$6:$H$28,$P710))/MAX(INDEX(PARAMETROS_CULTURAS!$I$6:$I$28,$P710),0.0001)))))</f>
        <v>0.521586206896552</v>
      </c>
      <c r="S710" s="18" t="n">
        <f aca="false">IFERROR(INDEX(SEMANAS!$H$6:$H$71,MATCH($B710,SEMANAS!$B$6:$B$71,0)),0)</f>
        <v>30.1</v>
      </c>
      <c r="T710" s="18" t="n">
        <f aca="false">$R710*$S710</f>
        <v>15.6997448275862</v>
      </c>
      <c r="U710" s="18" t="n">
        <f aca="false">IFERROR(INDEX(SEMANAS!$I$6:$I$71,MATCH($B710,SEMANAS!$B$6:$B$71,0)),0)</f>
        <v>0.7</v>
      </c>
      <c r="V710" s="18" t="n">
        <f aca="false">IFERROR(INDEX(SEMANAS!$J$6:$J$71,MATCH($B710,SEMANAS!$B$6:$B$71,0)),0)</f>
        <v>0.56</v>
      </c>
      <c r="W710" s="18" t="n">
        <f aca="false">MAX(0,$T710-$V710)</f>
        <v>15.1397448275862</v>
      </c>
      <c r="X710" s="19" t="n">
        <f aca="false">IFERROR(INDEX(CADASTRO_PIVOS!$K$6:$K$41,MATCH($E710,CADASTRO_PIVOS!$B$6:$B$41,0)),EFICIENCIA_PADRAO)</f>
        <v>0.85</v>
      </c>
      <c r="Y710" s="18" t="n">
        <f aca="false">IF($X710&lt;=0,0,$W710/$X710)</f>
        <v>17.8114645030426</v>
      </c>
      <c r="Z710" s="16" t="n">
        <f aca="false">$Y710*$H710*MM_PARA_M3_HA</f>
        <v>26713.6344616633</v>
      </c>
      <c r="AA710" s="18" t="n">
        <f aca="false">IFERROR(INDEX(CADASTRO_PIVOS!$I$6:$I$41,MATCH($E710,CADASTRO_PIVOS!$B$6:$B$41,0)),0)</f>
        <v>1071.28571428571</v>
      </c>
      <c r="AB710" s="18" t="n">
        <f aca="false">IF($Z710&lt;=0,0,$Z710/$AA710)</f>
        <v>24.9360503042596</v>
      </c>
      <c r="AC710" s="16" t="n">
        <f aca="false">IFERROR(INDEX(SEMANAS!$K$6:$K$71,MATCH($B710,SEMANAS!$B$6:$B$71,0)),0)</f>
        <v>147</v>
      </c>
      <c r="AD710" s="19" t="n">
        <f aca="false">IF($AC710&lt;=0,0,$AB710/$AC710)</f>
        <v>0.169632995267072</v>
      </c>
      <c r="AE710" s="8" t="str">
        <f aca="false">IF($K710="SEM CULTURA","SEM CULTURA",IF($AA710&lt;=0,"DADO PENDENTE",IF($AD710&gt;LIMITE_CRITICO,"INVIAVEL",IF($AD710&gt;LIMITE_ATENCAO,"CRITICO",IF($AD710&gt;LIMITE_CONFORTAVEL,"ATENCAO","OK")))))</f>
        <v>OK</v>
      </c>
      <c r="AF710" s="8" t="str">
        <f aca="false">$B710&amp;"|"&amp;TEXT($AD710,"0.000000")</f>
        <v>45|0.169633</v>
      </c>
      <c r="AG710" s="18" t="n">
        <f aca="false">IF($K710="SEM CULTURA",0,$T710*$H710)</f>
        <v>2354.64772924138</v>
      </c>
      <c r="AH710" s="18" t="n">
        <f aca="false">IF($K710="SEM CULTURA",0,$V710*$H710)</f>
        <v>83.9888</v>
      </c>
      <c r="AI710" s="18" t="n">
        <f aca="false">IF($K710="SEM CULTURA",0,$W710*$H710)</f>
        <v>2270.65892924138</v>
      </c>
      <c r="AJ710" s="18" t="n">
        <f aca="false">IF($K710="SEM CULTURA",0,$S710*$H710)</f>
        <v>4514.398</v>
      </c>
      <c r="AK710" s="8" t="str">
        <f aca="false">$E710&amp;"|"&amp;TEXT($AD710,"0.000000")</f>
        <v>PV 112|0.169633</v>
      </c>
    </row>
    <row r="711" customFormat="false" ht="15" hidden="false" customHeight="false" outlineLevel="0" collapsed="false">
      <c r="B711" s="16" t="n">
        <v>46</v>
      </c>
      <c r="C711" s="17" t="n">
        <f aca="false">DATA_INICIO_SAFRA+($B711-1)*DIAS_POR_SEMANA</f>
        <v>46580</v>
      </c>
      <c r="D711" s="17" t="n">
        <f aca="false">$C711+DIAS_POR_SEMANA-1</f>
        <v>46586</v>
      </c>
      <c r="E711" s="15" t="s">
        <v>269</v>
      </c>
      <c r="F711" s="8" t="str">
        <f aca="false">IFERROR(INDEX(CADASTRO_PIVOS!$C$6:$C$41,MATCH($E711,CADASTRO_PIVOS!$B$6:$B$41,0)),"?")</f>
        <v>RM05</v>
      </c>
      <c r="G711" s="8" t="str">
        <f aca="false">IFERROR(INDEX(CADASTRO_PIVOS!$D$6:$D$41,MATCH($E711,CADASTRO_PIVOS!$B$6:$B$41,0)),"?")</f>
        <v>TR05</v>
      </c>
      <c r="H711" s="20" t="n">
        <f aca="false">IFERROR(INDEX(CADASTRO_PIVOS!$E$6:$E$41,MATCH($E711,CADASTRO_PIVOS!$B$6:$B$41,0)),0)</f>
        <v>149.98</v>
      </c>
      <c r="I711" s="16" t="n">
        <f aca="false">IFERROR(SUMIFS(ROTACAO_RDM!$B$6:$B$71,ROTACAO_RDM!$D$6:$D$71,$E711,ROTACAO_RDM!$I$6:$I$71,"&lt;="&amp;$C711+INT(DIAS_POR_SEMANA/2),ROTACAO_RDM!$J$6:$J$71,"&gt;="&amp;$C711+INT(DIAS_POR_SEMANA/2)),0)</f>
        <v>20</v>
      </c>
      <c r="J711" s="16" t="n">
        <f aca="false">IFERROR(MATCH($I711,ROTACAO_RDM!$B$6:$B$71,0),0)</f>
        <v>20</v>
      </c>
      <c r="K711" s="8" t="str">
        <f aca="false">IF($J711=0,"SEM CULTURA",INDEX(ROTACAO_RDM!$F$6:$F$71,$J711))</f>
        <v>MILHO_SEMENTE</v>
      </c>
      <c r="L711" s="8" t="n">
        <f aca="false">IF($J711=0,"",INDEX(ROTACAO_RDM!$G$6:$G$71,$J711))</f>
        <v>0</v>
      </c>
      <c r="M711" s="17" t="n">
        <f aca="false">IF($J711=0,"",INDEX(ROTACAO_RDM!$I$6:$I$71,$J711))</f>
        <v>46539</v>
      </c>
      <c r="N711" s="16" t="n">
        <f aca="false">IF($J711=0,0,MAX(0,$C711+INT(DIAS_POR_SEMANA/2)-INDEX(ROTACAO_RDM!$I$6:$I$71,$J711)))</f>
        <v>44</v>
      </c>
      <c r="O711" s="19" t="n">
        <f aca="false">IF($J711=0,0,MIN(1,$N711/MAX(1,INDEX(ROTACAO_RDM!$K$6:$K$71,$J711))))</f>
        <v>0.303448275862069</v>
      </c>
      <c r="P711" s="16" t="n">
        <f aca="false">IF($J711=0,0,IFERROR(MATCH(INDEX(ROTACAO_RDM!$N$6:$N$71,$J711),PARAMETROS_CULTURAS!$B$6:$B$28,0),0))</f>
        <v>7</v>
      </c>
      <c r="Q711" s="8" t="str">
        <f aca="false">IF($P711=0,"-",IF($O711&lt;=INDEX(PARAMETROS_CULTURAS!$F$6:$F$28,$P711),"INICIAL",IF($O711&lt;=INDEX(PARAMETROS_CULTURAS!$F$6:$F$28,$P711)+INDEX(PARAMETROS_CULTURAS!$G$6:$G$28,$P711),"DESENVOLVIMENTO",IF($O711&lt;=INDEX(PARAMETROS_CULTURAS!$F$6:$F$28,$P711)+INDEX(PARAMETROS_CULTURAS!$G$6:$G$28,$P711)+INDEX(PARAMETROS_CULTURAS!$H$6:$H$28,$P711),"MEDIA","FINAL"))))</f>
        <v>DESENVOLVIMENTO</v>
      </c>
      <c r="R711" s="24" t="n">
        <f aca="false">IF($P711=0,0,IF($O711&lt;=INDEX(PARAMETROS_CULTURAS!$F$6:$F$28,$P711),INDEX(PARAMETROS_CULTURAS!$K$6:$K$28,$P711),IF($O711&lt;=INDEX(PARAMETROS_CULTURAS!$F$6:$F$28,$P711)+INDEX(PARAMETROS_CULTURAS!$G$6:$G$28,$P711),INDEX(PARAMETROS_CULTURAS!$K$6:$K$28,$P711)+(INDEX(PARAMETROS_CULTURAS!$L$6:$L$28,$P711)-INDEX(PARAMETROS_CULTURAS!$K$6:$K$28,$P711))*($O711-INDEX(PARAMETROS_CULTURAS!$F$6:$F$28,$P711))/MAX(INDEX(PARAMETROS_CULTURAS!$G$6:$G$28,$P711),0.0001),IF($O711&lt;=INDEX(PARAMETROS_CULTURAS!$F$6:$F$28,$P711)+INDEX(PARAMETROS_CULTURAS!$G$6:$G$28,$P711)+INDEX(PARAMETROS_CULTURAS!$H$6:$H$28,$P711),INDEX(PARAMETROS_CULTURAS!$L$6:$L$28,$P711),INDEX(PARAMETROS_CULTURAS!$L$6:$L$28,$P711)+(INDEX(PARAMETROS_CULTURAS!$M$6:$M$28,$P711)-INDEX(PARAMETROS_CULTURAS!$L$6:$L$28,$P711))*($O711-INDEX(PARAMETROS_CULTURAS!$F$6:$F$28,$P711)-INDEX(PARAMETROS_CULTURAS!$G$6:$G$28,$P711)-INDEX(PARAMETROS_CULTURAS!$H$6:$H$28,$P711))/MAX(INDEX(PARAMETROS_CULTURAS!$I$6:$I$28,$P711),0.0001)))))</f>
        <v>0.685724137931034</v>
      </c>
      <c r="S711" s="18" t="n">
        <f aca="false">IFERROR(INDEX(SEMANAS!$H$6:$H$71,MATCH($B711,SEMANAS!$B$6:$B$71,0)),0)</f>
        <v>30.1</v>
      </c>
      <c r="T711" s="18" t="n">
        <f aca="false">$R711*$S711</f>
        <v>20.6402965517241</v>
      </c>
      <c r="U711" s="18" t="n">
        <f aca="false">IFERROR(INDEX(SEMANAS!$I$6:$I$71,MATCH($B711,SEMANAS!$B$6:$B$71,0)),0)</f>
        <v>0.7</v>
      </c>
      <c r="V711" s="18" t="n">
        <f aca="false">IFERROR(INDEX(SEMANAS!$J$6:$J$71,MATCH($B711,SEMANAS!$B$6:$B$71,0)),0)</f>
        <v>0.56</v>
      </c>
      <c r="W711" s="18" t="n">
        <f aca="false">MAX(0,$T711-$V711)</f>
        <v>20.0802965517241</v>
      </c>
      <c r="X711" s="19" t="n">
        <f aca="false">IFERROR(INDEX(CADASTRO_PIVOS!$K$6:$K$41,MATCH($E711,CADASTRO_PIVOS!$B$6:$B$41,0)),EFICIENCIA_PADRAO)</f>
        <v>0.85</v>
      </c>
      <c r="Y711" s="18" t="n">
        <f aca="false">IF($X711&lt;=0,0,$W711/$X711)</f>
        <v>23.623878296146</v>
      </c>
      <c r="Z711" s="16" t="n">
        <f aca="false">$Y711*$H711*MM_PARA_M3_HA</f>
        <v>35431.0926685598</v>
      </c>
      <c r="AA711" s="18" t="n">
        <f aca="false">IFERROR(INDEX(CADASTRO_PIVOS!$I$6:$I$41,MATCH($E711,CADASTRO_PIVOS!$B$6:$B$41,0)),0)</f>
        <v>1071.28571428571</v>
      </c>
      <c r="AB711" s="18" t="n">
        <f aca="false">IF($Z711&lt;=0,0,$Z711/$AA711)</f>
        <v>33.0734296146045</v>
      </c>
      <c r="AC711" s="16" t="n">
        <f aca="false">IFERROR(INDEX(SEMANAS!$K$6:$K$71,MATCH($B711,SEMANAS!$B$6:$B$71,0)),0)</f>
        <v>147</v>
      </c>
      <c r="AD711" s="19" t="n">
        <f aca="false">IF($AC711&lt;=0,0,$AB711/$AC711)</f>
        <v>0.224989317106153</v>
      </c>
      <c r="AE711" s="8" t="str">
        <f aca="false">IF($K711="SEM CULTURA","SEM CULTURA",IF($AA711&lt;=0,"DADO PENDENTE",IF($AD711&gt;LIMITE_CRITICO,"INVIAVEL",IF($AD711&gt;LIMITE_ATENCAO,"CRITICO",IF($AD711&gt;LIMITE_CONFORTAVEL,"ATENCAO","OK")))))</f>
        <v>OK</v>
      </c>
      <c r="AF711" s="8" t="str">
        <f aca="false">$B711&amp;"|"&amp;TEXT($AD711,"0.000000")</f>
        <v>46|0.224989</v>
      </c>
      <c r="AG711" s="18" t="n">
        <f aca="false">IF($K711="SEM CULTURA",0,$T711*$H711)</f>
        <v>3095.63167682759</v>
      </c>
      <c r="AH711" s="18" t="n">
        <f aca="false">IF($K711="SEM CULTURA",0,$V711*$H711)</f>
        <v>83.9888</v>
      </c>
      <c r="AI711" s="18" t="n">
        <f aca="false">IF($K711="SEM CULTURA",0,$W711*$H711)</f>
        <v>3011.64287682759</v>
      </c>
      <c r="AJ711" s="18" t="n">
        <f aca="false">IF($K711="SEM CULTURA",0,$S711*$H711)</f>
        <v>4514.398</v>
      </c>
      <c r="AK711" s="8" t="str">
        <f aca="false">$E711&amp;"|"&amp;TEXT($AD711,"0.000000")</f>
        <v>PV 112|0.224989</v>
      </c>
    </row>
    <row r="712" customFormat="false" ht="15" hidden="false" customHeight="false" outlineLevel="0" collapsed="false">
      <c r="B712" s="16" t="n">
        <v>47</v>
      </c>
      <c r="C712" s="17" t="n">
        <f aca="false">DATA_INICIO_SAFRA+($B712-1)*DIAS_POR_SEMANA</f>
        <v>46587</v>
      </c>
      <c r="D712" s="17" t="n">
        <f aca="false">$C712+DIAS_POR_SEMANA-1</f>
        <v>46593</v>
      </c>
      <c r="E712" s="15" t="s">
        <v>269</v>
      </c>
      <c r="F712" s="8" t="str">
        <f aca="false">IFERROR(INDEX(CADASTRO_PIVOS!$C$6:$C$41,MATCH($E712,CADASTRO_PIVOS!$B$6:$B$41,0)),"?")</f>
        <v>RM05</v>
      </c>
      <c r="G712" s="8" t="str">
        <f aca="false">IFERROR(INDEX(CADASTRO_PIVOS!$D$6:$D$41,MATCH($E712,CADASTRO_PIVOS!$B$6:$B$41,0)),"?")</f>
        <v>TR05</v>
      </c>
      <c r="H712" s="20" t="n">
        <f aca="false">IFERROR(INDEX(CADASTRO_PIVOS!$E$6:$E$41,MATCH($E712,CADASTRO_PIVOS!$B$6:$B$41,0)),0)</f>
        <v>149.98</v>
      </c>
      <c r="I712" s="16" t="n">
        <f aca="false">IFERROR(SUMIFS(ROTACAO_RDM!$B$6:$B$71,ROTACAO_RDM!$D$6:$D$71,$E712,ROTACAO_RDM!$I$6:$I$71,"&lt;="&amp;$C712+INT(DIAS_POR_SEMANA/2),ROTACAO_RDM!$J$6:$J$71,"&gt;="&amp;$C712+INT(DIAS_POR_SEMANA/2)),0)</f>
        <v>20</v>
      </c>
      <c r="J712" s="16" t="n">
        <f aca="false">IFERROR(MATCH($I712,ROTACAO_RDM!$B$6:$B$71,0),0)</f>
        <v>20</v>
      </c>
      <c r="K712" s="8" t="str">
        <f aca="false">IF($J712=0,"SEM CULTURA",INDEX(ROTACAO_RDM!$F$6:$F$71,$J712))</f>
        <v>MILHO_SEMENTE</v>
      </c>
      <c r="L712" s="8" t="n">
        <f aca="false">IF($J712=0,"",INDEX(ROTACAO_RDM!$G$6:$G$71,$J712))</f>
        <v>0</v>
      </c>
      <c r="M712" s="17" t="n">
        <f aca="false">IF($J712=0,"",INDEX(ROTACAO_RDM!$I$6:$I$71,$J712))</f>
        <v>46539</v>
      </c>
      <c r="N712" s="16" t="n">
        <f aca="false">IF($J712=0,0,MAX(0,$C712+INT(DIAS_POR_SEMANA/2)-INDEX(ROTACAO_RDM!$I$6:$I$71,$J712)))</f>
        <v>51</v>
      </c>
      <c r="O712" s="19" t="n">
        <f aca="false">IF($J712=0,0,MIN(1,$N712/MAX(1,INDEX(ROTACAO_RDM!$K$6:$K$71,$J712))))</f>
        <v>0.351724137931034</v>
      </c>
      <c r="P712" s="16" t="n">
        <f aca="false">IF($J712=0,0,IFERROR(MATCH(INDEX(ROTACAO_RDM!$N$6:$N$71,$J712),PARAMETROS_CULTURAS!$B$6:$B$28,0),0))</f>
        <v>7</v>
      </c>
      <c r="Q712" s="8" t="str">
        <f aca="false">IF($P712=0,"-",IF($O712&lt;=INDEX(PARAMETROS_CULTURAS!$F$6:$F$28,$P712),"INICIAL",IF($O712&lt;=INDEX(PARAMETROS_CULTURAS!$F$6:$F$28,$P712)+INDEX(PARAMETROS_CULTURAS!$G$6:$G$28,$P712),"DESENVOLVIMENTO",IF($O712&lt;=INDEX(PARAMETROS_CULTURAS!$F$6:$F$28,$P712)+INDEX(PARAMETROS_CULTURAS!$G$6:$G$28,$P712)+INDEX(PARAMETROS_CULTURAS!$H$6:$H$28,$P712),"MEDIA","FINAL"))))</f>
        <v>DESENVOLVIMENTO</v>
      </c>
      <c r="R712" s="24" t="n">
        <f aca="false">IF($P712=0,0,IF($O712&lt;=INDEX(PARAMETROS_CULTURAS!$F$6:$F$28,$P712),INDEX(PARAMETROS_CULTURAS!$K$6:$K$28,$P712),IF($O712&lt;=INDEX(PARAMETROS_CULTURAS!$F$6:$F$28,$P712)+INDEX(PARAMETROS_CULTURAS!$G$6:$G$28,$P712),INDEX(PARAMETROS_CULTURAS!$K$6:$K$28,$P712)+(INDEX(PARAMETROS_CULTURAS!$L$6:$L$28,$P712)-INDEX(PARAMETROS_CULTURAS!$K$6:$K$28,$P712))*($O712-INDEX(PARAMETROS_CULTURAS!$F$6:$F$28,$P712))/MAX(INDEX(PARAMETROS_CULTURAS!$G$6:$G$28,$P712),0.0001),IF($O712&lt;=INDEX(PARAMETROS_CULTURAS!$F$6:$F$28,$P712)+INDEX(PARAMETROS_CULTURAS!$G$6:$G$28,$P712)+INDEX(PARAMETROS_CULTURAS!$H$6:$H$28,$P712),INDEX(PARAMETROS_CULTURAS!$L$6:$L$28,$P712),INDEX(PARAMETROS_CULTURAS!$L$6:$L$28,$P712)+(INDEX(PARAMETROS_CULTURAS!$M$6:$M$28,$P712)-INDEX(PARAMETROS_CULTURAS!$L$6:$L$28,$P712))*($O712-INDEX(PARAMETROS_CULTURAS!$F$6:$F$28,$P712)-INDEX(PARAMETROS_CULTURAS!$G$6:$G$28,$P712)-INDEX(PARAMETROS_CULTURAS!$H$6:$H$28,$P712))/MAX(INDEX(PARAMETROS_CULTURAS!$I$6:$I$28,$P712),0.0001)))))</f>
        <v>0.849862068965517</v>
      </c>
      <c r="S712" s="18" t="n">
        <f aca="false">IFERROR(INDEX(SEMANAS!$H$6:$H$71,MATCH($B712,SEMANAS!$B$6:$B$71,0)),0)</f>
        <v>30.1</v>
      </c>
      <c r="T712" s="18" t="n">
        <f aca="false">$R712*$S712</f>
        <v>25.5808482758621</v>
      </c>
      <c r="U712" s="18" t="n">
        <f aca="false">IFERROR(INDEX(SEMANAS!$I$6:$I$71,MATCH($B712,SEMANAS!$B$6:$B$71,0)),0)</f>
        <v>0.7</v>
      </c>
      <c r="V712" s="18" t="n">
        <f aca="false">IFERROR(INDEX(SEMANAS!$J$6:$J$71,MATCH($B712,SEMANAS!$B$6:$B$71,0)),0)</f>
        <v>0.56</v>
      </c>
      <c r="W712" s="18" t="n">
        <f aca="false">MAX(0,$T712-$V712)</f>
        <v>25.0208482758621</v>
      </c>
      <c r="X712" s="19" t="n">
        <f aca="false">IFERROR(INDEX(CADASTRO_PIVOS!$K$6:$K$41,MATCH($E712,CADASTRO_PIVOS!$B$6:$B$41,0)),EFICIENCIA_PADRAO)</f>
        <v>0.85</v>
      </c>
      <c r="Y712" s="18" t="n">
        <f aca="false">IF($X712&lt;=0,0,$W712/$X712)</f>
        <v>29.4362920892495</v>
      </c>
      <c r="Z712" s="16" t="n">
        <f aca="false">$Y712*$H712*MM_PARA_M3_HA</f>
        <v>44148.5508754564</v>
      </c>
      <c r="AA712" s="18" t="n">
        <f aca="false">IFERROR(INDEX(CADASTRO_PIVOS!$I$6:$I$41,MATCH($E712,CADASTRO_PIVOS!$B$6:$B$41,0)),0)</f>
        <v>1071.28571428571</v>
      </c>
      <c r="AB712" s="18" t="n">
        <f aca="false">IF($Z712&lt;=0,0,$Z712/$AA712)</f>
        <v>41.2108089249493</v>
      </c>
      <c r="AC712" s="16" t="n">
        <f aca="false">IFERROR(INDEX(SEMANAS!$K$6:$K$71,MATCH($B712,SEMANAS!$B$6:$B$71,0)),0)</f>
        <v>147</v>
      </c>
      <c r="AD712" s="19" t="n">
        <f aca="false">IF($AC712&lt;=0,0,$AB712/$AC712)</f>
        <v>0.280345638945233</v>
      </c>
      <c r="AE712" s="8" t="str">
        <f aca="false">IF($K712="SEM CULTURA","SEM CULTURA",IF($AA712&lt;=0,"DADO PENDENTE",IF($AD712&gt;LIMITE_CRITICO,"INVIAVEL",IF($AD712&gt;LIMITE_ATENCAO,"CRITICO",IF($AD712&gt;LIMITE_CONFORTAVEL,"ATENCAO","OK")))))</f>
        <v>OK</v>
      </c>
      <c r="AF712" s="8" t="str">
        <f aca="false">$B712&amp;"|"&amp;TEXT($AD712,"0.000000")</f>
        <v>47|0.280346</v>
      </c>
      <c r="AG712" s="18" t="n">
        <f aca="false">IF($K712="SEM CULTURA",0,$T712*$H712)</f>
        <v>3836.61562441379</v>
      </c>
      <c r="AH712" s="18" t="n">
        <f aca="false">IF($K712="SEM CULTURA",0,$V712*$H712)</f>
        <v>83.9888</v>
      </c>
      <c r="AI712" s="18" t="n">
        <f aca="false">IF($K712="SEM CULTURA",0,$W712*$H712)</f>
        <v>3752.62682441379</v>
      </c>
      <c r="AJ712" s="18" t="n">
        <f aca="false">IF($K712="SEM CULTURA",0,$S712*$H712)</f>
        <v>4514.398</v>
      </c>
      <c r="AK712" s="8" t="str">
        <f aca="false">$E712&amp;"|"&amp;TEXT($AD712,"0.000000")</f>
        <v>PV 112|0.280346</v>
      </c>
    </row>
    <row r="713" customFormat="false" ht="15" hidden="false" customHeight="false" outlineLevel="0" collapsed="false">
      <c r="B713" s="16" t="n">
        <v>48</v>
      </c>
      <c r="C713" s="17" t="n">
        <f aca="false">DATA_INICIO_SAFRA+($B713-1)*DIAS_POR_SEMANA</f>
        <v>46594</v>
      </c>
      <c r="D713" s="17" t="n">
        <f aca="false">$C713+DIAS_POR_SEMANA-1</f>
        <v>46600</v>
      </c>
      <c r="E713" s="15" t="s">
        <v>269</v>
      </c>
      <c r="F713" s="8" t="str">
        <f aca="false">IFERROR(INDEX(CADASTRO_PIVOS!$C$6:$C$41,MATCH($E713,CADASTRO_PIVOS!$B$6:$B$41,0)),"?")</f>
        <v>RM05</v>
      </c>
      <c r="G713" s="8" t="str">
        <f aca="false">IFERROR(INDEX(CADASTRO_PIVOS!$D$6:$D$41,MATCH($E713,CADASTRO_PIVOS!$B$6:$B$41,0)),"?")</f>
        <v>TR05</v>
      </c>
      <c r="H713" s="20" t="n">
        <f aca="false">IFERROR(INDEX(CADASTRO_PIVOS!$E$6:$E$41,MATCH($E713,CADASTRO_PIVOS!$B$6:$B$41,0)),0)</f>
        <v>149.98</v>
      </c>
      <c r="I713" s="16" t="n">
        <f aca="false">IFERROR(SUMIFS(ROTACAO_RDM!$B$6:$B$71,ROTACAO_RDM!$D$6:$D$71,$E713,ROTACAO_RDM!$I$6:$I$71,"&lt;="&amp;$C713+INT(DIAS_POR_SEMANA/2),ROTACAO_RDM!$J$6:$J$71,"&gt;="&amp;$C713+INT(DIAS_POR_SEMANA/2)),0)</f>
        <v>20</v>
      </c>
      <c r="J713" s="16" t="n">
        <f aca="false">IFERROR(MATCH($I713,ROTACAO_RDM!$B$6:$B$71,0),0)</f>
        <v>20</v>
      </c>
      <c r="K713" s="8" t="str">
        <f aca="false">IF($J713=0,"SEM CULTURA",INDEX(ROTACAO_RDM!$F$6:$F$71,$J713))</f>
        <v>MILHO_SEMENTE</v>
      </c>
      <c r="L713" s="8" t="n">
        <f aca="false">IF($J713=0,"",INDEX(ROTACAO_RDM!$G$6:$G$71,$J713))</f>
        <v>0</v>
      </c>
      <c r="M713" s="17" t="n">
        <f aca="false">IF($J713=0,"",INDEX(ROTACAO_RDM!$I$6:$I$71,$J713))</f>
        <v>46539</v>
      </c>
      <c r="N713" s="16" t="n">
        <f aca="false">IF($J713=0,0,MAX(0,$C713+INT(DIAS_POR_SEMANA/2)-INDEX(ROTACAO_RDM!$I$6:$I$71,$J713)))</f>
        <v>58</v>
      </c>
      <c r="O713" s="19" t="n">
        <f aca="false">IF($J713=0,0,MIN(1,$N713/MAX(1,INDEX(ROTACAO_RDM!$K$6:$K$71,$J713))))</f>
        <v>0.4</v>
      </c>
      <c r="P713" s="16" t="n">
        <f aca="false">IF($J713=0,0,IFERROR(MATCH(INDEX(ROTACAO_RDM!$N$6:$N$71,$J713),PARAMETROS_CULTURAS!$B$6:$B$28,0),0))</f>
        <v>7</v>
      </c>
      <c r="Q713" s="8" t="str">
        <f aca="false">IF($P713=0,"-",IF($O713&lt;=INDEX(PARAMETROS_CULTURAS!$F$6:$F$28,$P713),"INICIAL",IF($O713&lt;=INDEX(PARAMETROS_CULTURAS!$F$6:$F$28,$P713)+INDEX(PARAMETROS_CULTURAS!$G$6:$G$28,$P713),"DESENVOLVIMENTO",IF($O713&lt;=INDEX(PARAMETROS_CULTURAS!$F$6:$F$28,$P713)+INDEX(PARAMETROS_CULTURAS!$G$6:$G$28,$P713)+INDEX(PARAMETROS_CULTURAS!$H$6:$H$28,$P713),"MEDIA","FINAL"))))</f>
        <v>DESENVOLVIMENTO</v>
      </c>
      <c r="R713" s="24" t="n">
        <f aca="false">IF($P713=0,0,IF($O713&lt;=INDEX(PARAMETROS_CULTURAS!$F$6:$F$28,$P713),INDEX(PARAMETROS_CULTURAS!$K$6:$K$28,$P713),IF($O713&lt;=INDEX(PARAMETROS_CULTURAS!$F$6:$F$28,$P713)+INDEX(PARAMETROS_CULTURAS!$G$6:$G$28,$P713),INDEX(PARAMETROS_CULTURAS!$K$6:$K$28,$P713)+(INDEX(PARAMETROS_CULTURAS!$L$6:$L$28,$P713)-INDEX(PARAMETROS_CULTURAS!$K$6:$K$28,$P713))*($O713-INDEX(PARAMETROS_CULTURAS!$F$6:$F$28,$P713))/MAX(INDEX(PARAMETROS_CULTURAS!$G$6:$G$28,$P713),0.0001),IF($O713&lt;=INDEX(PARAMETROS_CULTURAS!$F$6:$F$28,$P713)+INDEX(PARAMETROS_CULTURAS!$G$6:$G$28,$P713)+INDEX(PARAMETROS_CULTURAS!$H$6:$H$28,$P713),INDEX(PARAMETROS_CULTURAS!$L$6:$L$28,$P713),INDEX(PARAMETROS_CULTURAS!$L$6:$L$28,$P713)+(INDEX(PARAMETROS_CULTURAS!$M$6:$M$28,$P713)-INDEX(PARAMETROS_CULTURAS!$L$6:$L$28,$P713))*($O713-INDEX(PARAMETROS_CULTURAS!$F$6:$F$28,$P713)-INDEX(PARAMETROS_CULTURAS!$G$6:$G$28,$P713)-INDEX(PARAMETROS_CULTURAS!$H$6:$H$28,$P713))/MAX(INDEX(PARAMETROS_CULTURAS!$I$6:$I$28,$P713),0.0001)))))</f>
        <v>1.014</v>
      </c>
      <c r="S713" s="18" t="n">
        <f aca="false">IFERROR(INDEX(SEMANAS!$H$6:$H$71,MATCH($B713,SEMANAS!$B$6:$B$71,0)),0)</f>
        <v>31</v>
      </c>
      <c r="T713" s="18" t="n">
        <f aca="false">$R713*$S713</f>
        <v>31.434</v>
      </c>
      <c r="U713" s="18" t="n">
        <f aca="false">IFERROR(INDEX(SEMANAS!$I$6:$I$71,MATCH($B713,SEMANAS!$B$6:$B$71,0)),0)</f>
        <v>0.76</v>
      </c>
      <c r="V713" s="18" t="n">
        <f aca="false">IFERROR(INDEX(SEMANAS!$J$6:$J$71,MATCH($B713,SEMANAS!$B$6:$B$71,0)),0)</f>
        <v>0.608</v>
      </c>
      <c r="W713" s="18" t="n">
        <f aca="false">MAX(0,$T713-$V713)</f>
        <v>30.826</v>
      </c>
      <c r="X713" s="19" t="n">
        <f aca="false">IFERROR(INDEX(CADASTRO_PIVOS!$K$6:$K$41,MATCH($E713,CADASTRO_PIVOS!$B$6:$B$41,0)),EFICIENCIA_PADRAO)</f>
        <v>0.85</v>
      </c>
      <c r="Y713" s="18" t="n">
        <f aca="false">IF($X713&lt;=0,0,$W713/$X713)</f>
        <v>36.2658823529412</v>
      </c>
      <c r="Z713" s="16" t="n">
        <f aca="false">$Y713*$H713*MM_PARA_M3_HA</f>
        <v>54391.5703529412</v>
      </c>
      <c r="AA713" s="18" t="n">
        <f aca="false">IFERROR(INDEX(CADASTRO_PIVOS!$I$6:$I$41,MATCH($E713,CADASTRO_PIVOS!$B$6:$B$41,0)),0)</f>
        <v>1071.28571428571</v>
      </c>
      <c r="AB713" s="18" t="n">
        <f aca="false">IF($Z713&lt;=0,0,$Z713/$AA713)</f>
        <v>50.7722352941176</v>
      </c>
      <c r="AC713" s="16" t="n">
        <f aca="false">IFERROR(INDEX(SEMANAS!$K$6:$K$71,MATCH($B713,SEMANAS!$B$6:$B$71,0)),0)</f>
        <v>147</v>
      </c>
      <c r="AD713" s="19" t="n">
        <f aca="false">IF($AC713&lt;=0,0,$AB713/$AC713)</f>
        <v>0.345389355742297</v>
      </c>
      <c r="AE713" s="8" t="str">
        <f aca="false">IF($K713="SEM CULTURA","SEM CULTURA",IF($AA713&lt;=0,"DADO PENDENTE",IF($AD713&gt;LIMITE_CRITICO,"INVIAVEL",IF($AD713&gt;LIMITE_ATENCAO,"CRITICO",IF($AD713&gt;LIMITE_CONFORTAVEL,"ATENCAO","OK")))))</f>
        <v>OK</v>
      </c>
      <c r="AF713" s="8" t="str">
        <f aca="false">$B713&amp;"|"&amp;TEXT($AD713,"0.000000")</f>
        <v>48|0.345389</v>
      </c>
      <c r="AG713" s="18" t="n">
        <f aca="false">IF($K713="SEM CULTURA",0,$T713*$H713)</f>
        <v>4714.47132</v>
      </c>
      <c r="AH713" s="18" t="n">
        <f aca="false">IF($K713="SEM CULTURA",0,$V713*$H713)</f>
        <v>91.18784</v>
      </c>
      <c r="AI713" s="18" t="n">
        <f aca="false">IF($K713="SEM CULTURA",0,$W713*$H713)</f>
        <v>4623.28348</v>
      </c>
      <c r="AJ713" s="18" t="n">
        <f aca="false">IF($K713="SEM CULTURA",0,$S713*$H713)</f>
        <v>4649.38</v>
      </c>
      <c r="AK713" s="8" t="str">
        <f aca="false">$E713&amp;"|"&amp;TEXT($AD713,"0.000000")</f>
        <v>PV 112|0.345389</v>
      </c>
    </row>
    <row r="714" customFormat="false" ht="15" hidden="false" customHeight="false" outlineLevel="0" collapsed="false">
      <c r="B714" s="16" t="n">
        <v>49</v>
      </c>
      <c r="C714" s="17" t="n">
        <f aca="false">DATA_INICIO_SAFRA+($B714-1)*DIAS_POR_SEMANA</f>
        <v>46601</v>
      </c>
      <c r="D714" s="17" t="n">
        <f aca="false">$C714+DIAS_POR_SEMANA-1</f>
        <v>46607</v>
      </c>
      <c r="E714" s="15" t="s">
        <v>269</v>
      </c>
      <c r="F714" s="8" t="str">
        <f aca="false">IFERROR(INDEX(CADASTRO_PIVOS!$C$6:$C$41,MATCH($E714,CADASTRO_PIVOS!$B$6:$B$41,0)),"?")</f>
        <v>RM05</v>
      </c>
      <c r="G714" s="8" t="str">
        <f aca="false">IFERROR(INDEX(CADASTRO_PIVOS!$D$6:$D$41,MATCH($E714,CADASTRO_PIVOS!$B$6:$B$41,0)),"?")</f>
        <v>TR05</v>
      </c>
      <c r="H714" s="20" t="n">
        <f aca="false">IFERROR(INDEX(CADASTRO_PIVOS!$E$6:$E$41,MATCH($E714,CADASTRO_PIVOS!$B$6:$B$41,0)),0)</f>
        <v>149.98</v>
      </c>
      <c r="I714" s="16" t="n">
        <f aca="false">IFERROR(SUMIFS(ROTACAO_RDM!$B$6:$B$71,ROTACAO_RDM!$D$6:$D$71,$E714,ROTACAO_RDM!$I$6:$I$71,"&lt;="&amp;$C714+INT(DIAS_POR_SEMANA/2),ROTACAO_RDM!$J$6:$J$71,"&gt;="&amp;$C714+INT(DIAS_POR_SEMANA/2)),0)</f>
        <v>20</v>
      </c>
      <c r="J714" s="16" t="n">
        <f aca="false">IFERROR(MATCH($I714,ROTACAO_RDM!$B$6:$B$71,0),0)</f>
        <v>20</v>
      </c>
      <c r="K714" s="8" t="str">
        <f aca="false">IF($J714=0,"SEM CULTURA",INDEX(ROTACAO_RDM!$F$6:$F$71,$J714))</f>
        <v>MILHO_SEMENTE</v>
      </c>
      <c r="L714" s="8" t="n">
        <f aca="false">IF($J714=0,"",INDEX(ROTACAO_RDM!$G$6:$G$71,$J714))</f>
        <v>0</v>
      </c>
      <c r="M714" s="17" t="n">
        <f aca="false">IF($J714=0,"",INDEX(ROTACAO_RDM!$I$6:$I$71,$J714))</f>
        <v>46539</v>
      </c>
      <c r="N714" s="16" t="n">
        <f aca="false">IF($J714=0,0,MAX(0,$C714+INT(DIAS_POR_SEMANA/2)-INDEX(ROTACAO_RDM!$I$6:$I$71,$J714)))</f>
        <v>65</v>
      </c>
      <c r="O714" s="19" t="n">
        <f aca="false">IF($J714=0,0,MIN(1,$N714/MAX(1,INDEX(ROTACAO_RDM!$K$6:$K$71,$J714))))</f>
        <v>0.448275862068966</v>
      </c>
      <c r="P714" s="16" t="n">
        <f aca="false">IF($J714=0,0,IFERROR(MATCH(INDEX(ROTACAO_RDM!$N$6:$N$71,$J714),PARAMETROS_CULTURAS!$B$6:$B$28,0),0))</f>
        <v>7</v>
      </c>
      <c r="Q714" s="8" t="str">
        <f aca="false">IF($P714=0,"-",IF($O714&lt;=INDEX(PARAMETROS_CULTURAS!$F$6:$F$28,$P714),"INICIAL",IF($O714&lt;=INDEX(PARAMETROS_CULTURAS!$F$6:$F$28,$P714)+INDEX(PARAMETROS_CULTURAS!$G$6:$G$28,$P714),"DESENVOLVIMENTO",IF($O714&lt;=INDEX(PARAMETROS_CULTURAS!$F$6:$F$28,$P714)+INDEX(PARAMETROS_CULTURAS!$G$6:$G$28,$P714)+INDEX(PARAMETROS_CULTURAS!$H$6:$H$28,$P714),"MEDIA","FINAL"))))</f>
        <v>MEDIA</v>
      </c>
      <c r="R714" s="24" t="n">
        <f aca="false">IF($P714=0,0,IF($O714&lt;=INDEX(PARAMETROS_CULTURAS!$F$6:$F$28,$P714),INDEX(PARAMETROS_CULTURAS!$K$6:$K$28,$P714),IF($O714&lt;=INDEX(PARAMETROS_CULTURAS!$F$6:$F$28,$P714)+INDEX(PARAMETROS_CULTURAS!$G$6:$G$28,$P714),INDEX(PARAMETROS_CULTURAS!$K$6:$K$28,$P714)+(INDEX(PARAMETROS_CULTURAS!$L$6:$L$28,$P714)-INDEX(PARAMETROS_CULTURAS!$K$6:$K$28,$P714))*($O714-INDEX(PARAMETROS_CULTURAS!$F$6:$F$28,$P714))/MAX(INDEX(PARAMETROS_CULTURAS!$G$6:$G$28,$P714),0.0001),IF($O714&lt;=INDEX(PARAMETROS_CULTURAS!$F$6:$F$28,$P714)+INDEX(PARAMETROS_CULTURAS!$G$6:$G$28,$P714)+INDEX(PARAMETROS_CULTURAS!$H$6:$H$28,$P714),INDEX(PARAMETROS_CULTURAS!$L$6:$L$28,$P714),INDEX(PARAMETROS_CULTURAS!$L$6:$L$28,$P714)+(INDEX(PARAMETROS_CULTURAS!$M$6:$M$28,$P714)-INDEX(PARAMETROS_CULTURAS!$L$6:$L$28,$P714))*($O714-INDEX(PARAMETROS_CULTURAS!$F$6:$F$28,$P714)-INDEX(PARAMETROS_CULTURAS!$G$6:$G$28,$P714)-INDEX(PARAMETROS_CULTURAS!$H$6:$H$28,$P714))/MAX(INDEX(PARAMETROS_CULTURAS!$I$6:$I$28,$P714),0.0001)))))</f>
        <v>1.15</v>
      </c>
      <c r="S714" s="18" t="n">
        <f aca="false">IFERROR(INDEX(SEMANAS!$H$6:$H$71,MATCH($B714,SEMANAS!$B$6:$B$71,0)),0)</f>
        <v>36.4</v>
      </c>
      <c r="T714" s="18" t="n">
        <f aca="false">$R714*$S714</f>
        <v>41.86</v>
      </c>
      <c r="U714" s="18" t="n">
        <f aca="false">IFERROR(INDEX(SEMANAS!$I$6:$I$71,MATCH($B714,SEMANAS!$B$6:$B$71,0)),0)</f>
        <v>1.12</v>
      </c>
      <c r="V714" s="18" t="n">
        <f aca="false">IFERROR(INDEX(SEMANAS!$J$6:$J$71,MATCH($B714,SEMANAS!$B$6:$B$71,0)),0)</f>
        <v>0.896</v>
      </c>
      <c r="W714" s="18" t="n">
        <f aca="false">MAX(0,$T714-$V714)</f>
        <v>40.964</v>
      </c>
      <c r="X714" s="19" t="n">
        <f aca="false">IFERROR(INDEX(CADASTRO_PIVOS!$K$6:$K$41,MATCH($E714,CADASTRO_PIVOS!$B$6:$B$41,0)),EFICIENCIA_PADRAO)</f>
        <v>0.85</v>
      </c>
      <c r="Y714" s="18" t="n">
        <f aca="false">IF($X714&lt;=0,0,$W714/$X714)</f>
        <v>48.1929411764706</v>
      </c>
      <c r="Z714" s="16" t="n">
        <f aca="false">$Y714*$H714*MM_PARA_M3_HA</f>
        <v>72279.7731764706</v>
      </c>
      <c r="AA714" s="18" t="n">
        <f aca="false">IFERROR(INDEX(CADASTRO_PIVOS!$I$6:$I$41,MATCH($E714,CADASTRO_PIVOS!$B$6:$B$41,0)),0)</f>
        <v>1071.28571428571</v>
      </c>
      <c r="AB714" s="18" t="n">
        <f aca="false">IF($Z714&lt;=0,0,$Z714/$AA714)</f>
        <v>67.4701176470588</v>
      </c>
      <c r="AC714" s="16" t="n">
        <f aca="false">IFERROR(INDEX(SEMANAS!$K$6:$K$71,MATCH($B714,SEMANAS!$B$6:$B$71,0)),0)</f>
        <v>147</v>
      </c>
      <c r="AD714" s="19" t="n">
        <f aca="false">IF($AC714&lt;=0,0,$AB714/$AC714)</f>
        <v>0.458980392156863</v>
      </c>
      <c r="AE714" s="8" t="str">
        <f aca="false">IF($K714="SEM CULTURA","SEM CULTURA",IF($AA714&lt;=0,"DADO PENDENTE",IF($AD714&gt;LIMITE_CRITICO,"INVIAVEL",IF($AD714&gt;LIMITE_ATENCAO,"CRITICO",IF($AD714&gt;LIMITE_CONFORTAVEL,"ATENCAO","OK")))))</f>
        <v>OK</v>
      </c>
      <c r="AF714" s="8" t="str">
        <f aca="false">$B714&amp;"|"&amp;TEXT($AD714,"0.000000")</f>
        <v>49|0.458980</v>
      </c>
      <c r="AG714" s="18" t="n">
        <f aca="false">IF($K714="SEM CULTURA",0,$T714*$H714)</f>
        <v>6278.1628</v>
      </c>
      <c r="AH714" s="18" t="n">
        <f aca="false">IF($K714="SEM CULTURA",0,$V714*$H714)</f>
        <v>134.38208</v>
      </c>
      <c r="AI714" s="18" t="n">
        <f aca="false">IF($K714="SEM CULTURA",0,$W714*$H714)</f>
        <v>6143.78072</v>
      </c>
      <c r="AJ714" s="18" t="n">
        <f aca="false">IF($K714="SEM CULTURA",0,$S714*$H714)</f>
        <v>5459.272</v>
      </c>
      <c r="AK714" s="8" t="str">
        <f aca="false">$E714&amp;"|"&amp;TEXT($AD714,"0.000000")</f>
        <v>PV 112|0.458980</v>
      </c>
    </row>
    <row r="715" customFormat="false" ht="15" hidden="false" customHeight="false" outlineLevel="0" collapsed="false">
      <c r="B715" s="16" t="n">
        <v>50</v>
      </c>
      <c r="C715" s="17" t="n">
        <f aca="false">DATA_INICIO_SAFRA+($B715-1)*DIAS_POR_SEMANA</f>
        <v>46608</v>
      </c>
      <c r="D715" s="17" t="n">
        <f aca="false">$C715+DIAS_POR_SEMANA-1</f>
        <v>46614</v>
      </c>
      <c r="E715" s="15" t="s">
        <v>269</v>
      </c>
      <c r="F715" s="8" t="str">
        <f aca="false">IFERROR(INDEX(CADASTRO_PIVOS!$C$6:$C$41,MATCH($E715,CADASTRO_PIVOS!$B$6:$B$41,0)),"?")</f>
        <v>RM05</v>
      </c>
      <c r="G715" s="8" t="str">
        <f aca="false">IFERROR(INDEX(CADASTRO_PIVOS!$D$6:$D$41,MATCH($E715,CADASTRO_PIVOS!$B$6:$B$41,0)),"?")</f>
        <v>TR05</v>
      </c>
      <c r="H715" s="20" t="n">
        <f aca="false">IFERROR(INDEX(CADASTRO_PIVOS!$E$6:$E$41,MATCH($E715,CADASTRO_PIVOS!$B$6:$B$41,0)),0)</f>
        <v>149.98</v>
      </c>
      <c r="I715" s="16" t="n">
        <f aca="false">IFERROR(SUMIFS(ROTACAO_RDM!$B$6:$B$71,ROTACAO_RDM!$D$6:$D$71,$E715,ROTACAO_RDM!$I$6:$I$71,"&lt;="&amp;$C715+INT(DIAS_POR_SEMANA/2),ROTACAO_RDM!$J$6:$J$71,"&gt;="&amp;$C715+INT(DIAS_POR_SEMANA/2)),0)</f>
        <v>20</v>
      </c>
      <c r="J715" s="16" t="n">
        <f aca="false">IFERROR(MATCH($I715,ROTACAO_RDM!$B$6:$B$71,0),0)</f>
        <v>20</v>
      </c>
      <c r="K715" s="8" t="str">
        <f aca="false">IF($J715=0,"SEM CULTURA",INDEX(ROTACAO_RDM!$F$6:$F$71,$J715))</f>
        <v>MILHO_SEMENTE</v>
      </c>
      <c r="L715" s="8" t="n">
        <f aca="false">IF($J715=0,"",INDEX(ROTACAO_RDM!$G$6:$G$71,$J715))</f>
        <v>0</v>
      </c>
      <c r="M715" s="17" t="n">
        <f aca="false">IF($J715=0,"",INDEX(ROTACAO_RDM!$I$6:$I$71,$J715))</f>
        <v>46539</v>
      </c>
      <c r="N715" s="16" t="n">
        <f aca="false">IF($J715=0,0,MAX(0,$C715+INT(DIAS_POR_SEMANA/2)-INDEX(ROTACAO_RDM!$I$6:$I$71,$J715)))</f>
        <v>72</v>
      </c>
      <c r="O715" s="19" t="n">
        <f aca="false">IF($J715=0,0,MIN(1,$N715/MAX(1,INDEX(ROTACAO_RDM!$K$6:$K$71,$J715))))</f>
        <v>0.496551724137931</v>
      </c>
      <c r="P715" s="16" t="n">
        <f aca="false">IF($J715=0,0,IFERROR(MATCH(INDEX(ROTACAO_RDM!$N$6:$N$71,$J715),PARAMETROS_CULTURAS!$B$6:$B$28,0),0))</f>
        <v>7</v>
      </c>
      <c r="Q715" s="8" t="str">
        <f aca="false">IF($P715=0,"-",IF($O715&lt;=INDEX(PARAMETROS_CULTURAS!$F$6:$F$28,$P715),"INICIAL",IF($O715&lt;=INDEX(PARAMETROS_CULTURAS!$F$6:$F$28,$P715)+INDEX(PARAMETROS_CULTURAS!$G$6:$G$28,$P715),"DESENVOLVIMENTO",IF($O715&lt;=INDEX(PARAMETROS_CULTURAS!$F$6:$F$28,$P715)+INDEX(PARAMETROS_CULTURAS!$G$6:$G$28,$P715)+INDEX(PARAMETROS_CULTURAS!$H$6:$H$28,$P715),"MEDIA","FINAL"))))</f>
        <v>MEDIA</v>
      </c>
      <c r="R715" s="24" t="n">
        <f aca="false">IF($P715=0,0,IF($O715&lt;=INDEX(PARAMETROS_CULTURAS!$F$6:$F$28,$P715),INDEX(PARAMETROS_CULTURAS!$K$6:$K$28,$P715),IF($O715&lt;=INDEX(PARAMETROS_CULTURAS!$F$6:$F$28,$P715)+INDEX(PARAMETROS_CULTURAS!$G$6:$G$28,$P715),INDEX(PARAMETROS_CULTURAS!$K$6:$K$28,$P715)+(INDEX(PARAMETROS_CULTURAS!$L$6:$L$28,$P715)-INDEX(PARAMETROS_CULTURAS!$K$6:$K$28,$P715))*($O715-INDEX(PARAMETROS_CULTURAS!$F$6:$F$28,$P715))/MAX(INDEX(PARAMETROS_CULTURAS!$G$6:$G$28,$P715),0.0001),IF($O715&lt;=INDEX(PARAMETROS_CULTURAS!$F$6:$F$28,$P715)+INDEX(PARAMETROS_CULTURAS!$G$6:$G$28,$P715)+INDEX(PARAMETROS_CULTURAS!$H$6:$H$28,$P715),INDEX(PARAMETROS_CULTURAS!$L$6:$L$28,$P715),INDEX(PARAMETROS_CULTURAS!$L$6:$L$28,$P715)+(INDEX(PARAMETROS_CULTURAS!$M$6:$M$28,$P715)-INDEX(PARAMETROS_CULTURAS!$L$6:$L$28,$P715))*($O715-INDEX(PARAMETROS_CULTURAS!$F$6:$F$28,$P715)-INDEX(PARAMETROS_CULTURAS!$G$6:$G$28,$P715)-INDEX(PARAMETROS_CULTURAS!$H$6:$H$28,$P715))/MAX(INDEX(PARAMETROS_CULTURAS!$I$6:$I$28,$P715),0.0001)))))</f>
        <v>1.15</v>
      </c>
      <c r="S715" s="18" t="n">
        <f aca="false">IFERROR(INDEX(SEMANAS!$H$6:$H$71,MATCH($B715,SEMANAS!$B$6:$B$71,0)),0)</f>
        <v>36.4</v>
      </c>
      <c r="T715" s="18" t="n">
        <f aca="false">$R715*$S715</f>
        <v>41.86</v>
      </c>
      <c r="U715" s="18" t="n">
        <f aca="false">IFERROR(INDEX(SEMANAS!$I$6:$I$71,MATCH($B715,SEMANAS!$B$6:$B$71,0)),0)</f>
        <v>1.12</v>
      </c>
      <c r="V715" s="18" t="n">
        <f aca="false">IFERROR(INDEX(SEMANAS!$J$6:$J$71,MATCH($B715,SEMANAS!$B$6:$B$71,0)),0)</f>
        <v>0.896</v>
      </c>
      <c r="W715" s="18" t="n">
        <f aca="false">MAX(0,$T715-$V715)</f>
        <v>40.964</v>
      </c>
      <c r="X715" s="19" t="n">
        <f aca="false">IFERROR(INDEX(CADASTRO_PIVOS!$K$6:$K$41,MATCH($E715,CADASTRO_PIVOS!$B$6:$B$41,0)),EFICIENCIA_PADRAO)</f>
        <v>0.85</v>
      </c>
      <c r="Y715" s="18" t="n">
        <f aca="false">IF($X715&lt;=0,0,$W715/$X715)</f>
        <v>48.1929411764706</v>
      </c>
      <c r="Z715" s="16" t="n">
        <f aca="false">$Y715*$H715*MM_PARA_M3_HA</f>
        <v>72279.7731764706</v>
      </c>
      <c r="AA715" s="18" t="n">
        <f aca="false">IFERROR(INDEX(CADASTRO_PIVOS!$I$6:$I$41,MATCH($E715,CADASTRO_PIVOS!$B$6:$B$41,0)),0)</f>
        <v>1071.28571428571</v>
      </c>
      <c r="AB715" s="18" t="n">
        <f aca="false">IF($Z715&lt;=0,0,$Z715/$AA715)</f>
        <v>67.4701176470588</v>
      </c>
      <c r="AC715" s="16" t="n">
        <f aca="false">IFERROR(INDEX(SEMANAS!$K$6:$K$71,MATCH($B715,SEMANAS!$B$6:$B$71,0)),0)</f>
        <v>147</v>
      </c>
      <c r="AD715" s="19" t="n">
        <f aca="false">IF($AC715&lt;=0,0,$AB715/$AC715)</f>
        <v>0.458980392156863</v>
      </c>
      <c r="AE715" s="8" t="str">
        <f aca="false">IF($K715="SEM CULTURA","SEM CULTURA",IF($AA715&lt;=0,"DADO PENDENTE",IF($AD715&gt;LIMITE_CRITICO,"INVIAVEL",IF($AD715&gt;LIMITE_ATENCAO,"CRITICO",IF($AD715&gt;LIMITE_CONFORTAVEL,"ATENCAO","OK")))))</f>
        <v>OK</v>
      </c>
      <c r="AF715" s="8" t="str">
        <f aca="false">$B715&amp;"|"&amp;TEXT($AD715,"0.000000")</f>
        <v>50|0.458980</v>
      </c>
      <c r="AG715" s="18" t="n">
        <f aca="false">IF($K715="SEM CULTURA",0,$T715*$H715)</f>
        <v>6278.1628</v>
      </c>
      <c r="AH715" s="18" t="n">
        <f aca="false">IF($K715="SEM CULTURA",0,$V715*$H715)</f>
        <v>134.38208</v>
      </c>
      <c r="AI715" s="18" t="n">
        <f aca="false">IF($K715="SEM CULTURA",0,$W715*$H715)</f>
        <v>6143.78072</v>
      </c>
      <c r="AJ715" s="18" t="n">
        <f aca="false">IF($K715="SEM CULTURA",0,$S715*$H715)</f>
        <v>5459.272</v>
      </c>
      <c r="AK715" s="8" t="str">
        <f aca="false">$E715&amp;"|"&amp;TEXT($AD715,"0.000000")</f>
        <v>PV 112|0.458980</v>
      </c>
    </row>
    <row r="716" customFormat="false" ht="15" hidden="false" customHeight="false" outlineLevel="0" collapsed="false">
      <c r="B716" s="16" t="n">
        <v>51</v>
      </c>
      <c r="C716" s="17" t="n">
        <f aca="false">DATA_INICIO_SAFRA+($B716-1)*DIAS_POR_SEMANA</f>
        <v>46615</v>
      </c>
      <c r="D716" s="17" t="n">
        <f aca="false">$C716+DIAS_POR_SEMANA-1</f>
        <v>46621</v>
      </c>
      <c r="E716" s="15" t="s">
        <v>269</v>
      </c>
      <c r="F716" s="8" t="str">
        <f aca="false">IFERROR(INDEX(CADASTRO_PIVOS!$C$6:$C$41,MATCH($E716,CADASTRO_PIVOS!$B$6:$B$41,0)),"?")</f>
        <v>RM05</v>
      </c>
      <c r="G716" s="8" t="str">
        <f aca="false">IFERROR(INDEX(CADASTRO_PIVOS!$D$6:$D$41,MATCH($E716,CADASTRO_PIVOS!$B$6:$B$41,0)),"?")</f>
        <v>TR05</v>
      </c>
      <c r="H716" s="20" t="n">
        <f aca="false">IFERROR(INDEX(CADASTRO_PIVOS!$E$6:$E$41,MATCH($E716,CADASTRO_PIVOS!$B$6:$B$41,0)),0)</f>
        <v>149.98</v>
      </c>
      <c r="I716" s="16" t="n">
        <f aca="false">IFERROR(SUMIFS(ROTACAO_RDM!$B$6:$B$71,ROTACAO_RDM!$D$6:$D$71,$E716,ROTACAO_RDM!$I$6:$I$71,"&lt;="&amp;$C716+INT(DIAS_POR_SEMANA/2),ROTACAO_RDM!$J$6:$J$71,"&gt;="&amp;$C716+INT(DIAS_POR_SEMANA/2)),0)</f>
        <v>20</v>
      </c>
      <c r="J716" s="16" t="n">
        <f aca="false">IFERROR(MATCH($I716,ROTACAO_RDM!$B$6:$B$71,0),0)</f>
        <v>20</v>
      </c>
      <c r="K716" s="8" t="str">
        <f aca="false">IF($J716=0,"SEM CULTURA",INDEX(ROTACAO_RDM!$F$6:$F$71,$J716))</f>
        <v>MILHO_SEMENTE</v>
      </c>
      <c r="L716" s="8" t="n">
        <f aca="false">IF($J716=0,"",INDEX(ROTACAO_RDM!$G$6:$G$71,$J716))</f>
        <v>0</v>
      </c>
      <c r="M716" s="17" t="n">
        <f aca="false">IF($J716=0,"",INDEX(ROTACAO_RDM!$I$6:$I$71,$J716))</f>
        <v>46539</v>
      </c>
      <c r="N716" s="16" t="n">
        <f aca="false">IF($J716=0,0,MAX(0,$C716+INT(DIAS_POR_SEMANA/2)-INDEX(ROTACAO_RDM!$I$6:$I$71,$J716)))</f>
        <v>79</v>
      </c>
      <c r="O716" s="19" t="n">
        <f aca="false">IF($J716=0,0,MIN(1,$N716/MAX(1,INDEX(ROTACAO_RDM!$K$6:$K$71,$J716))))</f>
        <v>0.544827586206897</v>
      </c>
      <c r="P716" s="16" t="n">
        <f aca="false">IF($J716=0,0,IFERROR(MATCH(INDEX(ROTACAO_RDM!$N$6:$N$71,$J716),PARAMETROS_CULTURAS!$B$6:$B$28,0),0))</f>
        <v>7</v>
      </c>
      <c r="Q716" s="8" t="str">
        <f aca="false">IF($P716=0,"-",IF($O716&lt;=INDEX(PARAMETROS_CULTURAS!$F$6:$F$28,$P716),"INICIAL",IF($O716&lt;=INDEX(PARAMETROS_CULTURAS!$F$6:$F$28,$P716)+INDEX(PARAMETROS_CULTURAS!$G$6:$G$28,$P716),"DESENVOLVIMENTO",IF($O716&lt;=INDEX(PARAMETROS_CULTURAS!$F$6:$F$28,$P716)+INDEX(PARAMETROS_CULTURAS!$G$6:$G$28,$P716)+INDEX(PARAMETROS_CULTURAS!$H$6:$H$28,$P716),"MEDIA","FINAL"))))</f>
        <v>MEDIA</v>
      </c>
      <c r="R716" s="24" t="n">
        <f aca="false">IF($P716=0,0,IF($O716&lt;=INDEX(PARAMETROS_CULTURAS!$F$6:$F$28,$P716),INDEX(PARAMETROS_CULTURAS!$K$6:$K$28,$P716),IF($O716&lt;=INDEX(PARAMETROS_CULTURAS!$F$6:$F$28,$P716)+INDEX(PARAMETROS_CULTURAS!$G$6:$G$28,$P716),INDEX(PARAMETROS_CULTURAS!$K$6:$K$28,$P716)+(INDEX(PARAMETROS_CULTURAS!$L$6:$L$28,$P716)-INDEX(PARAMETROS_CULTURAS!$K$6:$K$28,$P716))*($O716-INDEX(PARAMETROS_CULTURAS!$F$6:$F$28,$P716))/MAX(INDEX(PARAMETROS_CULTURAS!$G$6:$G$28,$P716),0.0001),IF($O716&lt;=INDEX(PARAMETROS_CULTURAS!$F$6:$F$28,$P716)+INDEX(PARAMETROS_CULTURAS!$G$6:$G$28,$P716)+INDEX(PARAMETROS_CULTURAS!$H$6:$H$28,$P716),INDEX(PARAMETROS_CULTURAS!$L$6:$L$28,$P716),INDEX(PARAMETROS_CULTURAS!$L$6:$L$28,$P716)+(INDEX(PARAMETROS_CULTURAS!$M$6:$M$28,$P716)-INDEX(PARAMETROS_CULTURAS!$L$6:$L$28,$P716))*($O716-INDEX(PARAMETROS_CULTURAS!$F$6:$F$28,$P716)-INDEX(PARAMETROS_CULTURAS!$G$6:$G$28,$P716)-INDEX(PARAMETROS_CULTURAS!$H$6:$H$28,$P716))/MAX(INDEX(PARAMETROS_CULTURAS!$I$6:$I$28,$P716),0.0001)))))</f>
        <v>1.15</v>
      </c>
      <c r="S716" s="18" t="n">
        <f aca="false">IFERROR(INDEX(SEMANAS!$H$6:$H$71,MATCH($B716,SEMANAS!$B$6:$B$71,0)),0)</f>
        <v>36.4</v>
      </c>
      <c r="T716" s="18" t="n">
        <f aca="false">$R716*$S716</f>
        <v>41.86</v>
      </c>
      <c r="U716" s="18" t="n">
        <f aca="false">IFERROR(INDEX(SEMANAS!$I$6:$I$71,MATCH($B716,SEMANAS!$B$6:$B$71,0)),0)</f>
        <v>1.12</v>
      </c>
      <c r="V716" s="18" t="n">
        <f aca="false">IFERROR(INDEX(SEMANAS!$J$6:$J$71,MATCH($B716,SEMANAS!$B$6:$B$71,0)),0)</f>
        <v>0.896</v>
      </c>
      <c r="W716" s="18" t="n">
        <f aca="false">MAX(0,$T716-$V716)</f>
        <v>40.964</v>
      </c>
      <c r="X716" s="19" t="n">
        <f aca="false">IFERROR(INDEX(CADASTRO_PIVOS!$K$6:$K$41,MATCH($E716,CADASTRO_PIVOS!$B$6:$B$41,0)),EFICIENCIA_PADRAO)</f>
        <v>0.85</v>
      </c>
      <c r="Y716" s="18" t="n">
        <f aca="false">IF($X716&lt;=0,0,$W716/$X716)</f>
        <v>48.1929411764706</v>
      </c>
      <c r="Z716" s="16" t="n">
        <f aca="false">$Y716*$H716*MM_PARA_M3_HA</f>
        <v>72279.7731764706</v>
      </c>
      <c r="AA716" s="18" t="n">
        <f aca="false">IFERROR(INDEX(CADASTRO_PIVOS!$I$6:$I$41,MATCH($E716,CADASTRO_PIVOS!$B$6:$B$41,0)),0)</f>
        <v>1071.28571428571</v>
      </c>
      <c r="AB716" s="18" t="n">
        <f aca="false">IF($Z716&lt;=0,0,$Z716/$AA716)</f>
        <v>67.4701176470588</v>
      </c>
      <c r="AC716" s="16" t="n">
        <f aca="false">IFERROR(INDEX(SEMANAS!$K$6:$K$71,MATCH($B716,SEMANAS!$B$6:$B$71,0)),0)</f>
        <v>147</v>
      </c>
      <c r="AD716" s="19" t="n">
        <f aca="false">IF($AC716&lt;=0,0,$AB716/$AC716)</f>
        <v>0.458980392156863</v>
      </c>
      <c r="AE716" s="8" t="str">
        <f aca="false">IF($K716="SEM CULTURA","SEM CULTURA",IF($AA716&lt;=0,"DADO PENDENTE",IF($AD716&gt;LIMITE_CRITICO,"INVIAVEL",IF($AD716&gt;LIMITE_ATENCAO,"CRITICO",IF($AD716&gt;LIMITE_CONFORTAVEL,"ATENCAO","OK")))))</f>
        <v>OK</v>
      </c>
      <c r="AF716" s="8" t="str">
        <f aca="false">$B716&amp;"|"&amp;TEXT($AD716,"0.000000")</f>
        <v>51|0.458980</v>
      </c>
      <c r="AG716" s="18" t="n">
        <f aca="false">IF($K716="SEM CULTURA",0,$T716*$H716)</f>
        <v>6278.1628</v>
      </c>
      <c r="AH716" s="18" t="n">
        <f aca="false">IF($K716="SEM CULTURA",0,$V716*$H716)</f>
        <v>134.38208</v>
      </c>
      <c r="AI716" s="18" t="n">
        <f aca="false">IF($K716="SEM CULTURA",0,$W716*$H716)</f>
        <v>6143.78072</v>
      </c>
      <c r="AJ716" s="18" t="n">
        <f aca="false">IF($K716="SEM CULTURA",0,$S716*$H716)</f>
        <v>5459.272</v>
      </c>
      <c r="AK716" s="8" t="str">
        <f aca="false">$E716&amp;"|"&amp;TEXT($AD716,"0.000000")</f>
        <v>PV 112|0.458980</v>
      </c>
    </row>
    <row r="717" customFormat="false" ht="15" hidden="false" customHeight="false" outlineLevel="0" collapsed="false">
      <c r="B717" s="16" t="n">
        <v>52</v>
      </c>
      <c r="C717" s="17" t="n">
        <f aca="false">DATA_INICIO_SAFRA+($B717-1)*DIAS_POR_SEMANA</f>
        <v>46622</v>
      </c>
      <c r="D717" s="17" t="n">
        <f aca="false">$C717+DIAS_POR_SEMANA-1</f>
        <v>46628</v>
      </c>
      <c r="E717" s="15" t="s">
        <v>269</v>
      </c>
      <c r="F717" s="8" t="str">
        <f aca="false">IFERROR(INDEX(CADASTRO_PIVOS!$C$6:$C$41,MATCH($E717,CADASTRO_PIVOS!$B$6:$B$41,0)),"?")</f>
        <v>RM05</v>
      </c>
      <c r="G717" s="8" t="str">
        <f aca="false">IFERROR(INDEX(CADASTRO_PIVOS!$D$6:$D$41,MATCH($E717,CADASTRO_PIVOS!$B$6:$B$41,0)),"?")</f>
        <v>TR05</v>
      </c>
      <c r="H717" s="20" t="n">
        <f aca="false">IFERROR(INDEX(CADASTRO_PIVOS!$E$6:$E$41,MATCH($E717,CADASTRO_PIVOS!$B$6:$B$41,0)),0)</f>
        <v>149.98</v>
      </c>
      <c r="I717" s="16" t="n">
        <f aca="false">IFERROR(SUMIFS(ROTACAO_RDM!$B$6:$B$71,ROTACAO_RDM!$D$6:$D$71,$E717,ROTACAO_RDM!$I$6:$I$71,"&lt;="&amp;$C717+INT(DIAS_POR_SEMANA/2),ROTACAO_RDM!$J$6:$J$71,"&gt;="&amp;$C717+INT(DIAS_POR_SEMANA/2)),0)</f>
        <v>20</v>
      </c>
      <c r="J717" s="16" t="n">
        <f aca="false">IFERROR(MATCH($I717,ROTACAO_RDM!$B$6:$B$71,0),0)</f>
        <v>20</v>
      </c>
      <c r="K717" s="8" t="str">
        <f aca="false">IF($J717=0,"SEM CULTURA",INDEX(ROTACAO_RDM!$F$6:$F$71,$J717))</f>
        <v>MILHO_SEMENTE</v>
      </c>
      <c r="L717" s="8" t="n">
        <f aca="false">IF($J717=0,"",INDEX(ROTACAO_RDM!$G$6:$G$71,$J717))</f>
        <v>0</v>
      </c>
      <c r="M717" s="17" t="n">
        <f aca="false">IF($J717=0,"",INDEX(ROTACAO_RDM!$I$6:$I$71,$J717))</f>
        <v>46539</v>
      </c>
      <c r="N717" s="16" t="n">
        <f aca="false">IF($J717=0,0,MAX(0,$C717+INT(DIAS_POR_SEMANA/2)-INDEX(ROTACAO_RDM!$I$6:$I$71,$J717)))</f>
        <v>86</v>
      </c>
      <c r="O717" s="19" t="n">
        <f aca="false">IF($J717=0,0,MIN(1,$N717/MAX(1,INDEX(ROTACAO_RDM!$K$6:$K$71,$J717))))</f>
        <v>0.593103448275862</v>
      </c>
      <c r="P717" s="16" t="n">
        <f aca="false">IF($J717=0,0,IFERROR(MATCH(INDEX(ROTACAO_RDM!$N$6:$N$71,$J717),PARAMETROS_CULTURAS!$B$6:$B$28,0),0))</f>
        <v>7</v>
      </c>
      <c r="Q717" s="8" t="str">
        <f aca="false">IF($P717=0,"-",IF($O717&lt;=INDEX(PARAMETROS_CULTURAS!$F$6:$F$28,$P717),"INICIAL",IF($O717&lt;=INDEX(PARAMETROS_CULTURAS!$F$6:$F$28,$P717)+INDEX(PARAMETROS_CULTURAS!$G$6:$G$28,$P717),"DESENVOLVIMENTO",IF($O717&lt;=INDEX(PARAMETROS_CULTURAS!$F$6:$F$28,$P717)+INDEX(PARAMETROS_CULTURAS!$G$6:$G$28,$P717)+INDEX(PARAMETROS_CULTURAS!$H$6:$H$28,$P717),"MEDIA","FINAL"))))</f>
        <v>MEDIA</v>
      </c>
      <c r="R717" s="24" t="n">
        <f aca="false">IF($P717=0,0,IF($O717&lt;=INDEX(PARAMETROS_CULTURAS!$F$6:$F$28,$P717),INDEX(PARAMETROS_CULTURAS!$K$6:$K$28,$P717),IF($O717&lt;=INDEX(PARAMETROS_CULTURAS!$F$6:$F$28,$P717)+INDEX(PARAMETROS_CULTURAS!$G$6:$G$28,$P717),INDEX(PARAMETROS_CULTURAS!$K$6:$K$28,$P717)+(INDEX(PARAMETROS_CULTURAS!$L$6:$L$28,$P717)-INDEX(PARAMETROS_CULTURAS!$K$6:$K$28,$P717))*($O717-INDEX(PARAMETROS_CULTURAS!$F$6:$F$28,$P717))/MAX(INDEX(PARAMETROS_CULTURAS!$G$6:$G$28,$P717),0.0001),IF($O717&lt;=INDEX(PARAMETROS_CULTURAS!$F$6:$F$28,$P717)+INDEX(PARAMETROS_CULTURAS!$G$6:$G$28,$P717)+INDEX(PARAMETROS_CULTURAS!$H$6:$H$28,$P717),INDEX(PARAMETROS_CULTURAS!$L$6:$L$28,$P717),INDEX(PARAMETROS_CULTURAS!$L$6:$L$28,$P717)+(INDEX(PARAMETROS_CULTURAS!$M$6:$M$28,$P717)-INDEX(PARAMETROS_CULTURAS!$L$6:$L$28,$P717))*($O717-INDEX(PARAMETROS_CULTURAS!$F$6:$F$28,$P717)-INDEX(PARAMETROS_CULTURAS!$G$6:$G$28,$P717)-INDEX(PARAMETROS_CULTURAS!$H$6:$H$28,$P717))/MAX(INDEX(PARAMETROS_CULTURAS!$I$6:$I$28,$P717),0.0001)))))</f>
        <v>1.15</v>
      </c>
      <c r="S717" s="18" t="n">
        <f aca="false">IFERROR(INDEX(SEMANAS!$H$6:$H$71,MATCH($B717,SEMANAS!$B$6:$B$71,0)),0)</f>
        <v>36.4</v>
      </c>
      <c r="T717" s="18" t="n">
        <f aca="false">$R717*$S717</f>
        <v>41.86</v>
      </c>
      <c r="U717" s="18" t="n">
        <f aca="false">IFERROR(INDEX(SEMANAS!$I$6:$I$71,MATCH($B717,SEMANAS!$B$6:$B$71,0)),0)</f>
        <v>1.12</v>
      </c>
      <c r="V717" s="18" t="n">
        <f aca="false">IFERROR(INDEX(SEMANAS!$J$6:$J$71,MATCH($B717,SEMANAS!$B$6:$B$71,0)),0)</f>
        <v>0.896</v>
      </c>
      <c r="W717" s="18" t="n">
        <f aca="false">MAX(0,$T717-$V717)</f>
        <v>40.964</v>
      </c>
      <c r="X717" s="19" t="n">
        <f aca="false">IFERROR(INDEX(CADASTRO_PIVOS!$K$6:$K$41,MATCH($E717,CADASTRO_PIVOS!$B$6:$B$41,0)),EFICIENCIA_PADRAO)</f>
        <v>0.85</v>
      </c>
      <c r="Y717" s="18" t="n">
        <f aca="false">IF($X717&lt;=0,0,$W717/$X717)</f>
        <v>48.1929411764706</v>
      </c>
      <c r="Z717" s="16" t="n">
        <f aca="false">$Y717*$H717*MM_PARA_M3_HA</f>
        <v>72279.7731764706</v>
      </c>
      <c r="AA717" s="18" t="n">
        <f aca="false">IFERROR(INDEX(CADASTRO_PIVOS!$I$6:$I$41,MATCH($E717,CADASTRO_PIVOS!$B$6:$B$41,0)),0)</f>
        <v>1071.28571428571</v>
      </c>
      <c r="AB717" s="18" t="n">
        <f aca="false">IF($Z717&lt;=0,0,$Z717/$AA717)</f>
        <v>67.4701176470588</v>
      </c>
      <c r="AC717" s="16" t="n">
        <f aca="false">IFERROR(INDEX(SEMANAS!$K$6:$K$71,MATCH($B717,SEMANAS!$B$6:$B$71,0)),0)</f>
        <v>147</v>
      </c>
      <c r="AD717" s="19" t="n">
        <f aca="false">IF($AC717&lt;=0,0,$AB717/$AC717)</f>
        <v>0.458980392156863</v>
      </c>
      <c r="AE717" s="8" t="str">
        <f aca="false">IF($K717="SEM CULTURA","SEM CULTURA",IF($AA717&lt;=0,"DADO PENDENTE",IF($AD717&gt;LIMITE_CRITICO,"INVIAVEL",IF($AD717&gt;LIMITE_ATENCAO,"CRITICO",IF($AD717&gt;LIMITE_CONFORTAVEL,"ATENCAO","OK")))))</f>
        <v>OK</v>
      </c>
      <c r="AF717" s="8" t="str">
        <f aca="false">$B717&amp;"|"&amp;TEXT($AD717,"0.000000")</f>
        <v>52|0.458980</v>
      </c>
      <c r="AG717" s="18" t="n">
        <f aca="false">IF($K717="SEM CULTURA",0,$T717*$H717)</f>
        <v>6278.1628</v>
      </c>
      <c r="AH717" s="18" t="n">
        <f aca="false">IF($K717="SEM CULTURA",0,$V717*$H717)</f>
        <v>134.38208</v>
      </c>
      <c r="AI717" s="18" t="n">
        <f aca="false">IF($K717="SEM CULTURA",0,$W717*$H717)</f>
        <v>6143.78072</v>
      </c>
      <c r="AJ717" s="18" t="n">
        <f aca="false">IF($K717="SEM CULTURA",0,$S717*$H717)</f>
        <v>5459.272</v>
      </c>
      <c r="AK717" s="8" t="str">
        <f aca="false">$E717&amp;"|"&amp;TEXT($AD717,"0.000000")</f>
        <v>PV 112|0.458980</v>
      </c>
    </row>
    <row r="718" customFormat="false" ht="15" hidden="false" customHeight="false" outlineLevel="0" collapsed="false">
      <c r="B718" s="16" t="n">
        <v>53</v>
      </c>
      <c r="C718" s="17" t="n">
        <f aca="false">DATA_INICIO_SAFRA+($B718-1)*DIAS_POR_SEMANA</f>
        <v>46629</v>
      </c>
      <c r="D718" s="17" t="n">
        <f aca="false">$C718+DIAS_POR_SEMANA-1</f>
        <v>46635</v>
      </c>
      <c r="E718" s="15" t="s">
        <v>269</v>
      </c>
      <c r="F718" s="8" t="str">
        <f aca="false">IFERROR(INDEX(CADASTRO_PIVOS!$C$6:$C$41,MATCH($E718,CADASTRO_PIVOS!$B$6:$B$41,0)),"?")</f>
        <v>RM05</v>
      </c>
      <c r="G718" s="8" t="str">
        <f aca="false">IFERROR(INDEX(CADASTRO_PIVOS!$D$6:$D$41,MATCH($E718,CADASTRO_PIVOS!$B$6:$B$41,0)),"?")</f>
        <v>TR05</v>
      </c>
      <c r="H718" s="20" t="n">
        <f aca="false">IFERROR(INDEX(CADASTRO_PIVOS!$E$6:$E$41,MATCH($E718,CADASTRO_PIVOS!$B$6:$B$41,0)),0)</f>
        <v>149.98</v>
      </c>
      <c r="I718" s="16" t="n">
        <f aca="false">IFERROR(SUMIFS(ROTACAO_RDM!$B$6:$B$71,ROTACAO_RDM!$D$6:$D$71,$E718,ROTACAO_RDM!$I$6:$I$71,"&lt;="&amp;$C718+INT(DIAS_POR_SEMANA/2),ROTACAO_RDM!$J$6:$J$71,"&gt;="&amp;$C718+INT(DIAS_POR_SEMANA/2)),0)</f>
        <v>20</v>
      </c>
      <c r="J718" s="16" t="n">
        <f aca="false">IFERROR(MATCH($I718,ROTACAO_RDM!$B$6:$B$71,0),0)</f>
        <v>20</v>
      </c>
      <c r="K718" s="8" t="str">
        <f aca="false">IF($J718=0,"SEM CULTURA",INDEX(ROTACAO_RDM!$F$6:$F$71,$J718))</f>
        <v>MILHO_SEMENTE</v>
      </c>
      <c r="L718" s="8" t="n">
        <f aca="false">IF($J718=0,"",INDEX(ROTACAO_RDM!$G$6:$G$71,$J718))</f>
        <v>0</v>
      </c>
      <c r="M718" s="17" t="n">
        <f aca="false">IF($J718=0,"",INDEX(ROTACAO_RDM!$I$6:$I$71,$J718))</f>
        <v>46539</v>
      </c>
      <c r="N718" s="16" t="n">
        <f aca="false">IF($J718=0,0,MAX(0,$C718+INT(DIAS_POR_SEMANA/2)-INDEX(ROTACAO_RDM!$I$6:$I$71,$J718)))</f>
        <v>93</v>
      </c>
      <c r="O718" s="19" t="n">
        <f aca="false">IF($J718=0,0,MIN(1,$N718/MAX(1,INDEX(ROTACAO_RDM!$K$6:$K$71,$J718))))</f>
        <v>0.641379310344828</v>
      </c>
      <c r="P718" s="16" t="n">
        <f aca="false">IF($J718=0,0,IFERROR(MATCH(INDEX(ROTACAO_RDM!$N$6:$N$71,$J718),PARAMETROS_CULTURAS!$B$6:$B$28,0),0))</f>
        <v>7</v>
      </c>
      <c r="Q718" s="8" t="str">
        <f aca="false">IF($P718=0,"-",IF($O718&lt;=INDEX(PARAMETROS_CULTURAS!$F$6:$F$28,$P718),"INICIAL",IF($O718&lt;=INDEX(PARAMETROS_CULTURAS!$F$6:$F$28,$P718)+INDEX(PARAMETROS_CULTURAS!$G$6:$G$28,$P718),"DESENVOLVIMENTO",IF($O718&lt;=INDEX(PARAMETROS_CULTURAS!$F$6:$F$28,$P718)+INDEX(PARAMETROS_CULTURAS!$G$6:$G$28,$P718)+INDEX(PARAMETROS_CULTURAS!$H$6:$H$28,$P718),"MEDIA","FINAL"))))</f>
        <v>MEDIA</v>
      </c>
      <c r="R718" s="24" t="n">
        <f aca="false">IF($P718=0,0,IF($O718&lt;=INDEX(PARAMETROS_CULTURAS!$F$6:$F$28,$P718),INDEX(PARAMETROS_CULTURAS!$K$6:$K$28,$P718),IF($O718&lt;=INDEX(PARAMETROS_CULTURAS!$F$6:$F$28,$P718)+INDEX(PARAMETROS_CULTURAS!$G$6:$G$28,$P718),INDEX(PARAMETROS_CULTURAS!$K$6:$K$28,$P718)+(INDEX(PARAMETROS_CULTURAS!$L$6:$L$28,$P718)-INDEX(PARAMETROS_CULTURAS!$K$6:$K$28,$P718))*($O718-INDEX(PARAMETROS_CULTURAS!$F$6:$F$28,$P718))/MAX(INDEX(PARAMETROS_CULTURAS!$G$6:$G$28,$P718),0.0001),IF($O718&lt;=INDEX(PARAMETROS_CULTURAS!$F$6:$F$28,$P718)+INDEX(PARAMETROS_CULTURAS!$G$6:$G$28,$P718)+INDEX(PARAMETROS_CULTURAS!$H$6:$H$28,$P718),INDEX(PARAMETROS_CULTURAS!$L$6:$L$28,$P718),INDEX(PARAMETROS_CULTURAS!$L$6:$L$28,$P718)+(INDEX(PARAMETROS_CULTURAS!$M$6:$M$28,$P718)-INDEX(PARAMETROS_CULTURAS!$L$6:$L$28,$P718))*($O718-INDEX(PARAMETROS_CULTURAS!$F$6:$F$28,$P718)-INDEX(PARAMETROS_CULTURAS!$G$6:$G$28,$P718)-INDEX(PARAMETROS_CULTURAS!$H$6:$H$28,$P718))/MAX(INDEX(PARAMETROS_CULTURAS!$I$6:$I$28,$P718),0.0001)))))</f>
        <v>1.15</v>
      </c>
      <c r="S718" s="18" t="n">
        <f aca="false">IFERROR(INDEX(SEMANAS!$H$6:$H$71,MATCH($B718,SEMANAS!$B$6:$B$71,0)),0)</f>
        <v>39.4</v>
      </c>
      <c r="T718" s="18" t="n">
        <f aca="false">$R718*$S718</f>
        <v>45.31</v>
      </c>
      <c r="U718" s="18" t="n">
        <f aca="false">IFERROR(INDEX(SEMANAS!$I$6:$I$71,MATCH($B718,SEMANAS!$B$6:$B$71,0)),0)</f>
        <v>5.32</v>
      </c>
      <c r="V718" s="18" t="n">
        <f aca="false">IFERROR(INDEX(SEMANAS!$J$6:$J$71,MATCH($B718,SEMANAS!$B$6:$B$71,0)),0)</f>
        <v>4.256</v>
      </c>
      <c r="W718" s="18" t="n">
        <f aca="false">MAX(0,$T718-$V718)</f>
        <v>41.054</v>
      </c>
      <c r="X718" s="19" t="n">
        <f aca="false">IFERROR(INDEX(CADASTRO_PIVOS!$K$6:$K$41,MATCH($E718,CADASTRO_PIVOS!$B$6:$B$41,0)),EFICIENCIA_PADRAO)</f>
        <v>0.85</v>
      </c>
      <c r="Y718" s="18" t="n">
        <f aca="false">IF($X718&lt;=0,0,$W718/$X718)</f>
        <v>48.2988235294118</v>
      </c>
      <c r="Z718" s="16" t="n">
        <f aca="false">$Y718*$H718*MM_PARA_M3_HA</f>
        <v>72438.5755294118</v>
      </c>
      <c r="AA718" s="18" t="n">
        <f aca="false">IFERROR(INDEX(CADASTRO_PIVOS!$I$6:$I$41,MATCH($E718,CADASTRO_PIVOS!$B$6:$B$41,0)),0)</f>
        <v>1071.28571428571</v>
      </c>
      <c r="AB718" s="18" t="n">
        <f aca="false">IF($Z718&lt;=0,0,$Z718/$AA718)</f>
        <v>67.6183529411765</v>
      </c>
      <c r="AC718" s="16" t="n">
        <f aca="false">IFERROR(INDEX(SEMANAS!$K$6:$K$71,MATCH($B718,SEMANAS!$B$6:$B$71,0)),0)</f>
        <v>147</v>
      </c>
      <c r="AD718" s="19" t="n">
        <f aca="false">IF($AC718&lt;=0,0,$AB718/$AC718)</f>
        <v>0.459988795518207</v>
      </c>
      <c r="AE718" s="8" t="str">
        <f aca="false">IF($K718="SEM CULTURA","SEM CULTURA",IF($AA718&lt;=0,"DADO PENDENTE",IF($AD718&gt;LIMITE_CRITICO,"INVIAVEL",IF($AD718&gt;LIMITE_ATENCAO,"CRITICO",IF($AD718&gt;LIMITE_CONFORTAVEL,"ATENCAO","OK")))))</f>
        <v>OK</v>
      </c>
      <c r="AF718" s="8" t="str">
        <f aca="false">$B718&amp;"|"&amp;TEXT($AD718,"0.000000")</f>
        <v>53|0.459989</v>
      </c>
      <c r="AG718" s="18" t="n">
        <f aca="false">IF($K718="SEM CULTURA",0,$T718*$H718)</f>
        <v>6795.5938</v>
      </c>
      <c r="AH718" s="18" t="n">
        <f aca="false">IF($K718="SEM CULTURA",0,$V718*$H718)</f>
        <v>638.31488</v>
      </c>
      <c r="AI718" s="18" t="n">
        <f aca="false">IF($K718="SEM CULTURA",0,$W718*$H718)</f>
        <v>6157.27892</v>
      </c>
      <c r="AJ718" s="18" t="n">
        <f aca="false">IF($K718="SEM CULTURA",0,$S718*$H718)</f>
        <v>5909.212</v>
      </c>
      <c r="AK718" s="8" t="str">
        <f aca="false">$E718&amp;"|"&amp;TEXT($AD718,"0.000000")</f>
        <v>PV 112|0.459989</v>
      </c>
    </row>
    <row r="719" customFormat="false" ht="15" hidden="false" customHeight="false" outlineLevel="0" collapsed="false">
      <c r="B719" s="16" t="n">
        <v>54</v>
      </c>
      <c r="C719" s="17" t="n">
        <f aca="false">DATA_INICIO_SAFRA+($B719-1)*DIAS_POR_SEMANA</f>
        <v>46636</v>
      </c>
      <c r="D719" s="17" t="n">
        <f aca="false">$C719+DIAS_POR_SEMANA-1</f>
        <v>46642</v>
      </c>
      <c r="E719" s="15" t="s">
        <v>269</v>
      </c>
      <c r="F719" s="8" t="str">
        <f aca="false">IFERROR(INDEX(CADASTRO_PIVOS!$C$6:$C$41,MATCH($E719,CADASTRO_PIVOS!$B$6:$B$41,0)),"?")</f>
        <v>RM05</v>
      </c>
      <c r="G719" s="8" t="str">
        <f aca="false">IFERROR(INDEX(CADASTRO_PIVOS!$D$6:$D$41,MATCH($E719,CADASTRO_PIVOS!$B$6:$B$41,0)),"?")</f>
        <v>TR05</v>
      </c>
      <c r="H719" s="20" t="n">
        <f aca="false">IFERROR(INDEX(CADASTRO_PIVOS!$E$6:$E$41,MATCH($E719,CADASTRO_PIVOS!$B$6:$B$41,0)),0)</f>
        <v>149.98</v>
      </c>
      <c r="I719" s="16" t="n">
        <f aca="false">IFERROR(SUMIFS(ROTACAO_RDM!$B$6:$B$71,ROTACAO_RDM!$D$6:$D$71,$E719,ROTACAO_RDM!$I$6:$I$71,"&lt;="&amp;$C719+INT(DIAS_POR_SEMANA/2),ROTACAO_RDM!$J$6:$J$71,"&gt;="&amp;$C719+INT(DIAS_POR_SEMANA/2)),0)</f>
        <v>20</v>
      </c>
      <c r="J719" s="16" t="n">
        <f aca="false">IFERROR(MATCH($I719,ROTACAO_RDM!$B$6:$B$71,0),0)</f>
        <v>20</v>
      </c>
      <c r="K719" s="8" t="str">
        <f aca="false">IF($J719=0,"SEM CULTURA",INDEX(ROTACAO_RDM!$F$6:$F$71,$J719))</f>
        <v>MILHO_SEMENTE</v>
      </c>
      <c r="L719" s="8" t="n">
        <f aca="false">IF($J719=0,"",INDEX(ROTACAO_RDM!$G$6:$G$71,$J719))</f>
        <v>0</v>
      </c>
      <c r="M719" s="17" t="n">
        <f aca="false">IF($J719=0,"",INDEX(ROTACAO_RDM!$I$6:$I$71,$J719))</f>
        <v>46539</v>
      </c>
      <c r="N719" s="16" t="n">
        <f aca="false">IF($J719=0,0,MAX(0,$C719+INT(DIAS_POR_SEMANA/2)-INDEX(ROTACAO_RDM!$I$6:$I$71,$J719)))</f>
        <v>100</v>
      </c>
      <c r="O719" s="19" t="n">
        <f aca="false">IF($J719=0,0,MIN(1,$N719/MAX(1,INDEX(ROTACAO_RDM!$K$6:$K$71,$J719))))</f>
        <v>0.689655172413793</v>
      </c>
      <c r="P719" s="16" t="n">
        <f aca="false">IF($J719=0,0,IFERROR(MATCH(INDEX(ROTACAO_RDM!$N$6:$N$71,$J719),PARAMETROS_CULTURAS!$B$6:$B$28,0),0))</f>
        <v>7</v>
      </c>
      <c r="Q719" s="8" t="str">
        <f aca="false">IF($P719=0,"-",IF($O719&lt;=INDEX(PARAMETROS_CULTURAS!$F$6:$F$28,$P719),"INICIAL",IF($O719&lt;=INDEX(PARAMETROS_CULTURAS!$F$6:$F$28,$P719)+INDEX(PARAMETROS_CULTURAS!$G$6:$G$28,$P719),"DESENVOLVIMENTO",IF($O719&lt;=INDEX(PARAMETROS_CULTURAS!$F$6:$F$28,$P719)+INDEX(PARAMETROS_CULTURAS!$G$6:$G$28,$P719)+INDEX(PARAMETROS_CULTURAS!$H$6:$H$28,$P719),"MEDIA","FINAL"))))</f>
        <v>MEDIA</v>
      </c>
      <c r="R719" s="24" t="n">
        <f aca="false">IF($P719=0,0,IF($O719&lt;=INDEX(PARAMETROS_CULTURAS!$F$6:$F$28,$P719),INDEX(PARAMETROS_CULTURAS!$K$6:$K$28,$P719),IF($O719&lt;=INDEX(PARAMETROS_CULTURAS!$F$6:$F$28,$P719)+INDEX(PARAMETROS_CULTURAS!$G$6:$G$28,$P719),INDEX(PARAMETROS_CULTURAS!$K$6:$K$28,$P719)+(INDEX(PARAMETROS_CULTURAS!$L$6:$L$28,$P719)-INDEX(PARAMETROS_CULTURAS!$K$6:$K$28,$P719))*($O719-INDEX(PARAMETROS_CULTURAS!$F$6:$F$28,$P719))/MAX(INDEX(PARAMETROS_CULTURAS!$G$6:$G$28,$P719),0.0001),IF($O719&lt;=INDEX(PARAMETROS_CULTURAS!$F$6:$F$28,$P719)+INDEX(PARAMETROS_CULTURAS!$G$6:$G$28,$P719)+INDEX(PARAMETROS_CULTURAS!$H$6:$H$28,$P719),INDEX(PARAMETROS_CULTURAS!$L$6:$L$28,$P719),INDEX(PARAMETROS_CULTURAS!$L$6:$L$28,$P719)+(INDEX(PARAMETROS_CULTURAS!$M$6:$M$28,$P719)-INDEX(PARAMETROS_CULTURAS!$L$6:$L$28,$P719))*($O719-INDEX(PARAMETROS_CULTURAS!$F$6:$F$28,$P719)-INDEX(PARAMETROS_CULTURAS!$G$6:$G$28,$P719)-INDEX(PARAMETROS_CULTURAS!$H$6:$H$28,$P719))/MAX(INDEX(PARAMETROS_CULTURAS!$I$6:$I$28,$P719),0.0001)))))</f>
        <v>1.15</v>
      </c>
      <c r="S719" s="18" t="n">
        <f aca="false">IFERROR(INDEX(SEMANAS!$H$6:$H$71,MATCH($B719,SEMANAS!$B$6:$B$71,0)),0)</f>
        <v>40.6</v>
      </c>
      <c r="T719" s="18" t="n">
        <f aca="false">$R719*$S719</f>
        <v>46.69</v>
      </c>
      <c r="U719" s="18" t="n">
        <f aca="false">IFERROR(INDEX(SEMANAS!$I$6:$I$71,MATCH($B719,SEMANAS!$B$6:$B$71,0)),0)</f>
        <v>7</v>
      </c>
      <c r="V719" s="18" t="n">
        <f aca="false">IFERROR(INDEX(SEMANAS!$J$6:$J$71,MATCH($B719,SEMANAS!$B$6:$B$71,0)),0)</f>
        <v>5.6</v>
      </c>
      <c r="W719" s="18" t="n">
        <f aca="false">MAX(0,$T719-$V719)</f>
        <v>41.09</v>
      </c>
      <c r="X719" s="19" t="n">
        <f aca="false">IFERROR(INDEX(CADASTRO_PIVOS!$K$6:$K$41,MATCH($E719,CADASTRO_PIVOS!$B$6:$B$41,0)),EFICIENCIA_PADRAO)</f>
        <v>0.85</v>
      </c>
      <c r="Y719" s="18" t="n">
        <f aca="false">IF($X719&lt;=0,0,$W719/$X719)</f>
        <v>48.3411764705882</v>
      </c>
      <c r="Z719" s="16" t="n">
        <f aca="false">$Y719*$H719*MM_PARA_M3_HA</f>
        <v>72502.0964705882</v>
      </c>
      <c r="AA719" s="18" t="n">
        <f aca="false">IFERROR(INDEX(CADASTRO_PIVOS!$I$6:$I$41,MATCH($E719,CADASTRO_PIVOS!$B$6:$B$41,0)),0)</f>
        <v>1071.28571428571</v>
      </c>
      <c r="AB719" s="18" t="n">
        <f aca="false">IF($Z719&lt;=0,0,$Z719/$AA719)</f>
        <v>67.6776470588235</v>
      </c>
      <c r="AC719" s="16" t="n">
        <f aca="false">IFERROR(INDEX(SEMANAS!$K$6:$K$71,MATCH($B719,SEMANAS!$B$6:$B$71,0)),0)</f>
        <v>147</v>
      </c>
      <c r="AD719" s="19" t="n">
        <f aca="false">IF($AC719&lt;=0,0,$AB719/$AC719)</f>
        <v>0.460392156862745</v>
      </c>
      <c r="AE719" s="8" t="str">
        <f aca="false">IF($K719="SEM CULTURA","SEM CULTURA",IF($AA719&lt;=0,"DADO PENDENTE",IF($AD719&gt;LIMITE_CRITICO,"INVIAVEL",IF($AD719&gt;LIMITE_ATENCAO,"CRITICO",IF($AD719&gt;LIMITE_CONFORTAVEL,"ATENCAO","OK")))))</f>
        <v>OK</v>
      </c>
      <c r="AF719" s="8" t="str">
        <f aca="false">$B719&amp;"|"&amp;TEXT($AD719,"0.000000")</f>
        <v>54|0.460392</v>
      </c>
      <c r="AG719" s="18" t="n">
        <f aca="false">IF($K719="SEM CULTURA",0,$T719*$H719)</f>
        <v>7002.5662</v>
      </c>
      <c r="AH719" s="18" t="n">
        <f aca="false">IF($K719="SEM CULTURA",0,$V719*$H719)</f>
        <v>839.888</v>
      </c>
      <c r="AI719" s="18" t="n">
        <f aca="false">IF($K719="SEM CULTURA",0,$W719*$H719)</f>
        <v>6162.6782</v>
      </c>
      <c r="AJ719" s="18" t="n">
        <f aca="false">IF($K719="SEM CULTURA",0,$S719*$H719)</f>
        <v>6089.188</v>
      </c>
      <c r="AK719" s="8" t="str">
        <f aca="false">$E719&amp;"|"&amp;TEXT($AD719,"0.000000")</f>
        <v>PV 112|0.460392</v>
      </c>
    </row>
    <row r="720" customFormat="false" ht="15" hidden="false" customHeight="false" outlineLevel="0" collapsed="false">
      <c r="B720" s="16" t="n">
        <v>55</v>
      </c>
      <c r="C720" s="17" t="n">
        <f aca="false">DATA_INICIO_SAFRA+($B720-1)*DIAS_POR_SEMANA</f>
        <v>46643</v>
      </c>
      <c r="D720" s="17" t="n">
        <f aca="false">$C720+DIAS_POR_SEMANA-1</f>
        <v>46649</v>
      </c>
      <c r="E720" s="15" t="s">
        <v>269</v>
      </c>
      <c r="F720" s="8" t="str">
        <f aca="false">IFERROR(INDEX(CADASTRO_PIVOS!$C$6:$C$41,MATCH($E720,CADASTRO_PIVOS!$B$6:$B$41,0)),"?")</f>
        <v>RM05</v>
      </c>
      <c r="G720" s="8" t="str">
        <f aca="false">IFERROR(INDEX(CADASTRO_PIVOS!$D$6:$D$41,MATCH($E720,CADASTRO_PIVOS!$B$6:$B$41,0)),"?")</f>
        <v>TR05</v>
      </c>
      <c r="H720" s="20" t="n">
        <f aca="false">IFERROR(INDEX(CADASTRO_PIVOS!$E$6:$E$41,MATCH($E720,CADASTRO_PIVOS!$B$6:$B$41,0)),0)</f>
        <v>149.98</v>
      </c>
      <c r="I720" s="16" t="n">
        <f aca="false">IFERROR(SUMIFS(ROTACAO_RDM!$B$6:$B$71,ROTACAO_RDM!$D$6:$D$71,$E720,ROTACAO_RDM!$I$6:$I$71,"&lt;="&amp;$C720+INT(DIAS_POR_SEMANA/2),ROTACAO_RDM!$J$6:$J$71,"&gt;="&amp;$C720+INT(DIAS_POR_SEMANA/2)),0)</f>
        <v>20</v>
      </c>
      <c r="J720" s="16" t="n">
        <f aca="false">IFERROR(MATCH($I720,ROTACAO_RDM!$B$6:$B$71,0),0)</f>
        <v>20</v>
      </c>
      <c r="K720" s="8" t="str">
        <f aca="false">IF($J720=0,"SEM CULTURA",INDEX(ROTACAO_RDM!$F$6:$F$71,$J720))</f>
        <v>MILHO_SEMENTE</v>
      </c>
      <c r="L720" s="8" t="n">
        <f aca="false">IF($J720=0,"",INDEX(ROTACAO_RDM!$G$6:$G$71,$J720))</f>
        <v>0</v>
      </c>
      <c r="M720" s="17" t="n">
        <f aca="false">IF($J720=0,"",INDEX(ROTACAO_RDM!$I$6:$I$71,$J720))</f>
        <v>46539</v>
      </c>
      <c r="N720" s="16" t="n">
        <f aca="false">IF($J720=0,0,MAX(0,$C720+INT(DIAS_POR_SEMANA/2)-INDEX(ROTACAO_RDM!$I$6:$I$71,$J720)))</f>
        <v>107</v>
      </c>
      <c r="O720" s="19" t="n">
        <f aca="false">IF($J720=0,0,MIN(1,$N720/MAX(1,INDEX(ROTACAO_RDM!$K$6:$K$71,$J720))))</f>
        <v>0.737931034482759</v>
      </c>
      <c r="P720" s="16" t="n">
        <f aca="false">IF($J720=0,0,IFERROR(MATCH(INDEX(ROTACAO_RDM!$N$6:$N$71,$J720),PARAMETROS_CULTURAS!$B$6:$B$28,0),0))</f>
        <v>7</v>
      </c>
      <c r="Q720" s="8" t="str">
        <f aca="false">IF($P720=0,"-",IF($O720&lt;=INDEX(PARAMETROS_CULTURAS!$F$6:$F$28,$P720),"INICIAL",IF($O720&lt;=INDEX(PARAMETROS_CULTURAS!$F$6:$F$28,$P720)+INDEX(PARAMETROS_CULTURAS!$G$6:$G$28,$P720),"DESENVOLVIMENTO",IF($O720&lt;=INDEX(PARAMETROS_CULTURAS!$F$6:$F$28,$P720)+INDEX(PARAMETROS_CULTURAS!$G$6:$G$28,$P720)+INDEX(PARAMETROS_CULTURAS!$H$6:$H$28,$P720),"MEDIA","FINAL"))))</f>
        <v>MEDIA</v>
      </c>
      <c r="R720" s="24" t="n">
        <f aca="false">IF($P720=0,0,IF($O720&lt;=INDEX(PARAMETROS_CULTURAS!$F$6:$F$28,$P720),INDEX(PARAMETROS_CULTURAS!$K$6:$K$28,$P720),IF($O720&lt;=INDEX(PARAMETROS_CULTURAS!$F$6:$F$28,$P720)+INDEX(PARAMETROS_CULTURAS!$G$6:$G$28,$P720),INDEX(PARAMETROS_CULTURAS!$K$6:$K$28,$P720)+(INDEX(PARAMETROS_CULTURAS!$L$6:$L$28,$P720)-INDEX(PARAMETROS_CULTURAS!$K$6:$K$28,$P720))*($O720-INDEX(PARAMETROS_CULTURAS!$F$6:$F$28,$P720))/MAX(INDEX(PARAMETROS_CULTURAS!$G$6:$G$28,$P720),0.0001),IF($O720&lt;=INDEX(PARAMETROS_CULTURAS!$F$6:$F$28,$P720)+INDEX(PARAMETROS_CULTURAS!$G$6:$G$28,$P720)+INDEX(PARAMETROS_CULTURAS!$H$6:$H$28,$P720),INDEX(PARAMETROS_CULTURAS!$L$6:$L$28,$P720),INDEX(PARAMETROS_CULTURAS!$L$6:$L$28,$P720)+(INDEX(PARAMETROS_CULTURAS!$M$6:$M$28,$P720)-INDEX(PARAMETROS_CULTURAS!$L$6:$L$28,$P720))*($O720-INDEX(PARAMETROS_CULTURAS!$F$6:$F$28,$P720)-INDEX(PARAMETROS_CULTURAS!$G$6:$G$28,$P720)-INDEX(PARAMETROS_CULTURAS!$H$6:$H$28,$P720))/MAX(INDEX(PARAMETROS_CULTURAS!$I$6:$I$28,$P720),0.0001)))))</f>
        <v>1.15</v>
      </c>
      <c r="S720" s="18" t="n">
        <f aca="false">IFERROR(INDEX(SEMANAS!$H$6:$H$71,MATCH($B720,SEMANAS!$B$6:$B$71,0)),0)</f>
        <v>40.6</v>
      </c>
      <c r="T720" s="18" t="n">
        <f aca="false">$R720*$S720</f>
        <v>46.69</v>
      </c>
      <c r="U720" s="18" t="n">
        <f aca="false">IFERROR(INDEX(SEMANAS!$I$6:$I$71,MATCH($B720,SEMANAS!$B$6:$B$71,0)),0)</f>
        <v>7</v>
      </c>
      <c r="V720" s="18" t="n">
        <f aca="false">IFERROR(INDEX(SEMANAS!$J$6:$J$71,MATCH($B720,SEMANAS!$B$6:$B$71,0)),0)</f>
        <v>5.6</v>
      </c>
      <c r="W720" s="18" t="n">
        <f aca="false">MAX(0,$T720-$V720)</f>
        <v>41.09</v>
      </c>
      <c r="X720" s="19" t="n">
        <f aca="false">IFERROR(INDEX(CADASTRO_PIVOS!$K$6:$K$41,MATCH($E720,CADASTRO_PIVOS!$B$6:$B$41,0)),EFICIENCIA_PADRAO)</f>
        <v>0.85</v>
      </c>
      <c r="Y720" s="18" t="n">
        <f aca="false">IF($X720&lt;=0,0,$W720/$X720)</f>
        <v>48.3411764705882</v>
      </c>
      <c r="Z720" s="16" t="n">
        <f aca="false">$Y720*$H720*MM_PARA_M3_HA</f>
        <v>72502.0964705882</v>
      </c>
      <c r="AA720" s="18" t="n">
        <f aca="false">IFERROR(INDEX(CADASTRO_PIVOS!$I$6:$I$41,MATCH($E720,CADASTRO_PIVOS!$B$6:$B$41,0)),0)</f>
        <v>1071.28571428571</v>
      </c>
      <c r="AB720" s="18" t="n">
        <f aca="false">IF($Z720&lt;=0,0,$Z720/$AA720)</f>
        <v>67.6776470588235</v>
      </c>
      <c r="AC720" s="16" t="n">
        <f aca="false">IFERROR(INDEX(SEMANAS!$K$6:$K$71,MATCH($B720,SEMANAS!$B$6:$B$71,0)),0)</f>
        <v>147</v>
      </c>
      <c r="AD720" s="19" t="n">
        <f aca="false">IF($AC720&lt;=0,0,$AB720/$AC720)</f>
        <v>0.460392156862745</v>
      </c>
      <c r="AE720" s="8" t="str">
        <f aca="false">IF($K720="SEM CULTURA","SEM CULTURA",IF($AA720&lt;=0,"DADO PENDENTE",IF($AD720&gt;LIMITE_CRITICO,"INVIAVEL",IF($AD720&gt;LIMITE_ATENCAO,"CRITICO",IF($AD720&gt;LIMITE_CONFORTAVEL,"ATENCAO","OK")))))</f>
        <v>OK</v>
      </c>
      <c r="AF720" s="8" t="str">
        <f aca="false">$B720&amp;"|"&amp;TEXT($AD720,"0.000000")</f>
        <v>55|0.460392</v>
      </c>
      <c r="AG720" s="18" t="n">
        <f aca="false">IF($K720="SEM CULTURA",0,$T720*$H720)</f>
        <v>7002.5662</v>
      </c>
      <c r="AH720" s="18" t="n">
        <f aca="false">IF($K720="SEM CULTURA",0,$V720*$H720)</f>
        <v>839.888</v>
      </c>
      <c r="AI720" s="18" t="n">
        <f aca="false">IF($K720="SEM CULTURA",0,$W720*$H720)</f>
        <v>6162.6782</v>
      </c>
      <c r="AJ720" s="18" t="n">
        <f aca="false">IF($K720="SEM CULTURA",0,$S720*$H720)</f>
        <v>6089.188</v>
      </c>
      <c r="AK720" s="8" t="str">
        <f aca="false">$E720&amp;"|"&amp;TEXT($AD720,"0.000000")</f>
        <v>PV 112|0.460392</v>
      </c>
    </row>
    <row r="721" customFormat="false" ht="15" hidden="false" customHeight="false" outlineLevel="0" collapsed="false">
      <c r="B721" s="16" t="n">
        <v>56</v>
      </c>
      <c r="C721" s="17" t="n">
        <f aca="false">DATA_INICIO_SAFRA+($B721-1)*DIAS_POR_SEMANA</f>
        <v>46650</v>
      </c>
      <c r="D721" s="17" t="n">
        <f aca="false">$C721+DIAS_POR_SEMANA-1</f>
        <v>46656</v>
      </c>
      <c r="E721" s="15" t="s">
        <v>269</v>
      </c>
      <c r="F721" s="8" t="str">
        <f aca="false">IFERROR(INDEX(CADASTRO_PIVOS!$C$6:$C$41,MATCH($E721,CADASTRO_PIVOS!$B$6:$B$41,0)),"?")</f>
        <v>RM05</v>
      </c>
      <c r="G721" s="8" t="str">
        <f aca="false">IFERROR(INDEX(CADASTRO_PIVOS!$D$6:$D$41,MATCH($E721,CADASTRO_PIVOS!$B$6:$B$41,0)),"?")</f>
        <v>TR05</v>
      </c>
      <c r="H721" s="20" t="n">
        <f aca="false">IFERROR(INDEX(CADASTRO_PIVOS!$E$6:$E$41,MATCH($E721,CADASTRO_PIVOS!$B$6:$B$41,0)),0)</f>
        <v>149.98</v>
      </c>
      <c r="I721" s="16" t="n">
        <f aca="false">IFERROR(SUMIFS(ROTACAO_RDM!$B$6:$B$71,ROTACAO_RDM!$D$6:$D$71,$E721,ROTACAO_RDM!$I$6:$I$71,"&lt;="&amp;$C721+INT(DIAS_POR_SEMANA/2),ROTACAO_RDM!$J$6:$J$71,"&gt;="&amp;$C721+INT(DIAS_POR_SEMANA/2)),0)</f>
        <v>20</v>
      </c>
      <c r="J721" s="16" t="n">
        <f aca="false">IFERROR(MATCH($I721,ROTACAO_RDM!$B$6:$B$71,0),0)</f>
        <v>20</v>
      </c>
      <c r="K721" s="8" t="str">
        <f aca="false">IF($J721=0,"SEM CULTURA",INDEX(ROTACAO_RDM!$F$6:$F$71,$J721))</f>
        <v>MILHO_SEMENTE</v>
      </c>
      <c r="L721" s="8" t="n">
        <f aca="false">IF($J721=0,"",INDEX(ROTACAO_RDM!$G$6:$G$71,$J721))</f>
        <v>0</v>
      </c>
      <c r="M721" s="17" t="n">
        <f aca="false">IF($J721=0,"",INDEX(ROTACAO_RDM!$I$6:$I$71,$J721))</f>
        <v>46539</v>
      </c>
      <c r="N721" s="16" t="n">
        <f aca="false">IF($J721=0,0,MAX(0,$C721+INT(DIAS_POR_SEMANA/2)-INDEX(ROTACAO_RDM!$I$6:$I$71,$J721)))</f>
        <v>114</v>
      </c>
      <c r="O721" s="19" t="n">
        <f aca="false">IF($J721=0,0,MIN(1,$N721/MAX(1,INDEX(ROTACAO_RDM!$K$6:$K$71,$J721))))</f>
        <v>0.786206896551724</v>
      </c>
      <c r="P721" s="16" t="n">
        <f aca="false">IF($J721=0,0,IFERROR(MATCH(INDEX(ROTACAO_RDM!$N$6:$N$71,$J721),PARAMETROS_CULTURAS!$B$6:$B$28,0),0))</f>
        <v>7</v>
      </c>
      <c r="Q721" s="8" t="str">
        <f aca="false">IF($P721=0,"-",IF($O721&lt;=INDEX(PARAMETROS_CULTURAS!$F$6:$F$28,$P721),"INICIAL",IF($O721&lt;=INDEX(PARAMETROS_CULTURAS!$F$6:$F$28,$P721)+INDEX(PARAMETROS_CULTURAS!$G$6:$G$28,$P721),"DESENVOLVIMENTO",IF($O721&lt;=INDEX(PARAMETROS_CULTURAS!$F$6:$F$28,$P721)+INDEX(PARAMETROS_CULTURAS!$G$6:$G$28,$P721)+INDEX(PARAMETROS_CULTURAS!$H$6:$H$28,$P721),"MEDIA","FINAL"))))</f>
        <v>FINAL</v>
      </c>
      <c r="R721" s="24" t="n">
        <f aca="false">IF($P721=0,0,IF($O721&lt;=INDEX(PARAMETROS_CULTURAS!$F$6:$F$28,$P721),INDEX(PARAMETROS_CULTURAS!$K$6:$K$28,$P721),IF($O721&lt;=INDEX(PARAMETROS_CULTURAS!$F$6:$F$28,$P721)+INDEX(PARAMETROS_CULTURAS!$G$6:$G$28,$P721),INDEX(PARAMETROS_CULTURAS!$K$6:$K$28,$P721)+(INDEX(PARAMETROS_CULTURAS!$L$6:$L$28,$P721)-INDEX(PARAMETROS_CULTURAS!$K$6:$K$28,$P721))*($O721-INDEX(PARAMETROS_CULTURAS!$F$6:$F$28,$P721))/MAX(INDEX(PARAMETROS_CULTURAS!$G$6:$G$28,$P721),0.0001),IF($O721&lt;=INDEX(PARAMETROS_CULTURAS!$F$6:$F$28,$P721)+INDEX(PARAMETROS_CULTURAS!$G$6:$G$28,$P721)+INDEX(PARAMETROS_CULTURAS!$H$6:$H$28,$P721),INDEX(PARAMETROS_CULTURAS!$L$6:$L$28,$P721),INDEX(PARAMETROS_CULTURAS!$L$6:$L$28,$P721)+(INDEX(PARAMETROS_CULTURAS!$M$6:$M$28,$P721)-INDEX(PARAMETROS_CULTURAS!$L$6:$L$28,$P721))*($O721-INDEX(PARAMETROS_CULTURAS!$F$6:$F$28,$P721)-INDEX(PARAMETROS_CULTURAS!$G$6:$G$28,$P721)-INDEX(PARAMETROS_CULTURAS!$H$6:$H$28,$P721))/MAX(INDEX(PARAMETROS_CULTURAS!$I$6:$I$28,$P721),0.0001)))))</f>
        <v>1.07034482758621</v>
      </c>
      <c r="S721" s="18" t="n">
        <f aca="false">IFERROR(INDEX(SEMANAS!$H$6:$H$71,MATCH($B721,SEMANAS!$B$6:$B$71,0)),0)</f>
        <v>40.6</v>
      </c>
      <c r="T721" s="18" t="n">
        <f aca="false">$R721*$S721</f>
        <v>43.456</v>
      </c>
      <c r="U721" s="18" t="n">
        <f aca="false">IFERROR(INDEX(SEMANAS!$I$6:$I$71,MATCH($B721,SEMANAS!$B$6:$B$71,0)),0)</f>
        <v>7</v>
      </c>
      <c r="V721" s="18" t="n">
        <f aca="false">IFERROR(INDEX(SEMANAS!$J$6:$J$71,MATCH($B721,SEMANAS!$B$6:$B$71,0)),0)</f>
        <v>5.6</v>
      </c>
      <c r="W721" s="18" t="n">
        <f aca="false">MAX(0,$T721-$V721)</f>
        <v>37.856</v>
      </c>
      <c r="X721" s="19" t="n">
        <f aca="false">IFERROR(INDEX(CADASTRO_PIVOS!$K$6:$K$41,MATCH($E721,CADASTRO_PIVOS!$B$6:$B$41,0)),EFICIENCIA_PADRAO)</f>
        <v>0.85</v>
      </c>
      <c r="Y721" s="18" t="n">
        <f aca="false">IF($X721&lt;=0,0,$W721/$X721)</f>
        <v>44.5364705882353</v>
      </c>
      <c r="Z721" s="16" t="n">
        <f aca="false">$Y721*$H721*MM_PARA_M3_HA</f>
        <v>66795.7985882353</v>
      </c>
      <c r="AA721" s="18" t="n">
        <f aca="false">IFERROR(INDEX(CADASTRO_PIVOS!$I$6:$I$41,MATCH($E721,CADASTRO_PIVOS!$B$6:$B$41,0)),0)</f>
        <v>1071.28571428571</v>
      </c>
      <c r="AB721" s="18" t="n">
        <f aca="false">IF($Z721&lt;=0,0,$Z721/$AA721)</f>
        <v>62.3510588235294</v>
      </c>
      <c r="AC721" s="16" t="n">
        <f aca="false">IFERROR(INDEX(SEMANAS!$K$6:$K$71,MATCH($B721,SEMANAS!$B$6:$B$71,0)),0)</f>
        <v>147</v>
      </c>
      <c r="AD721" s="19" t="n">
        <f aca="false">IF($AC721&lt;=0,0,$AB721/$AC721)</f>
        <v>0.424156862745098</v>
      </c>
      <c r="AE721" s="8" t="str">
        <f aca="false">IF($K721="SEM CULTURA","SEM CULTURA",IF($AA721&lt;=0,"DADO PENDENTE",IF($AD721&gt;LIMITE_CRITICO,"INVIAVEL",IF($AD721&gt;LIMITE_ATENCAO,"CRITICO",IF($AD721&gt;LIMITE_CONFORTAVEL,"ATENCAO","OK")))))</f>
        <v>OK</v>
      </c>
      <c r="AF721" s="8" t="str">
        <f aca="false">$B721&amp;"|"&amp;TEXT($AD721,"0.000000")</f>
        <v>56|0.424157</v>
      </c>
      <c r="AG721" s="18" t="n">
        <f aca="false">IF($K721="SEM CULTURA",0,$T721*$H721)</f>
        <v>6517.53088</v>
      </c>
      <c r="AH721" s="18" t="n">
        <f aca="false">IF($K721="SEM CULTURA",0,$V721*$H721)</f>
        <v>839.888</v>
      </c>
      <c r="AI721" s="18" t="n">
        <f aca="false">IF($K721="SEM CULTURA",0,$W721*$H721)</f>
        <v>5677.64288</v>
      </c>
      <c r="AJ721" s="18" t="n">
        <f aca="false">IF($K721="SEM CULTURA",0,$S721*$H721)</f>
        <v>6089.188</v>
      </c>
      <c r="AK721" s="8" t="str">
        <f aca="false">$E721&amp;"|"&amp;TEXT($AD721,"0.000000")</f>
        <v>PV 112|0.424157</v>
      </c>
    </row>
    <row r="722" customFormat="false" ht="15" hidden="false" customHeight="false" outlineLevel="0" collapsed="false">
      <c r="B722" s="16" t="n">
        <v>57</v>
      </c>
      <c r="C722" s="17" t="n">
        <f aca="false">DATA_INICIO_SAFRA+($B722-1)*DIAS_POR_SEMANA</f>
        <v>46657</v>
      </c>
      <c r="D722" s="17" t="n">
        <f aca="false">$C722+DIAS_POR_SEMANA-1</f>
        <v>46663</v>
      </c>
      <c r="E722" s="15" t="s">
        <v>269</v>
      </c>
      <c r="F722" s="8" t="str">
        <f aca="false">IFERROR(INDEX(CADASTRO_PIVOS!$C$6:$C$41,MATCH($E722,CADASTRO_PIVOS!$B$6:$B$41,0)),"?")</f>
        <v>RM05</v>
      </c>
      <c r="G722" s="8" t="str">
        <f aca="false">IFERROR(INDEX(CADASTRO_PIVOS!$D$6:$D$41,MATCH($E722,CADASTRO_PIVOS!$B$6:$B$41,0)),"?")</f>
        <v>TR05</v>
      </c>
      <c r="H722" s="20" t="n">
        <f aca="false">IFERROR(INDEX(CADASTRO_PIVOS!$E$6:$E$41,MATCH($E722,CADASTRO_PIVOS!$B$6:$B$41,0)),0)</f>
        <v>149.98</v>
      </c>
      <c r="I722" s="16" t="n">
        <f aca="false">IFERROR(SUMIFS(ROTACAO_RDM!$B$6:$B$71,ROTACAO_RDM!$D$6:$D$71,$E722,ROTACAO_RDM!$I$6:$I$71,"&lt;="&amp;$C722+INT(DIAS_POR_SEMANA/2),ROTACAO_RDM!$J$6:$J$71,"&gt;="&amp;$C722+INT(DIAS_POR_SEMANA/2)),0)</f>
        <v>20</v>
      </c>
      <c r="J722" s="16" t="n">
        <f aca="false">IFERROR(MATCH($I722,ROTACAO_RDM!$B$6:$B$71,0),0)</f>
        <v>20</v>
      </c>
      <c r="K722" s="8" t="str">
        <f aca="false">IF($J722=0,"SEM CULTURA",INDEX(ROTACAO_RDM!$F$6:$F$71,$J722))</f>
        <v>MILHO_SEMENTE</v>
      </c>
      <c r="L722" s="8" t="n">
        <f aca="false">IF($J722=0,"",INDEX(ROTACAO_RDM!$G$6:$G$71,$J722))</f>
        <v>0</v>
      </c>
      <c r="M722" s="17" t="n">
        <f aca="false">IF($J722=0,"",INDEX(ROTACAO_RDM!$I$6:$I$71,$J722))</f>
        <v>46539</v>
      </c>
      <c r="N722" s="16" t="n">
        <f aca="false">IF($J722=0,0,MAX(0,$C722+INT(DIAS_POR_SEMANA/2)-INDEX(ROTACAO_RDM!$I$6:$I$71,$J722)))</f>
        <v>121</v>
      </c>
      <c r="O722" s="19" t="n">
        <f aca="false">IF($J722=0,0,MIN(1,$N722/MAX(1,INDEX(ROTACAO_RDM!$K$6:$K$71,$J722))))</f>
        <v>0.83448275862069</v>
      </c>
      <c r="P722" s="16" t="n">
        <f aca="false">IF($J722=0,0,IFERROR(MATCH(INDEX(ROTACAO_RDM!$N$6:$N$71,$J722),PARAMETROS_CULTURAS!$B$6:$B$28,0),0))</f>
        <v>7</v>
      </c>
      <c r="Q722" s="8" t="str">
        <f aca="false">IF($P722=0,"-",IF($O722&lt;=INDEX(PARAMETROS_CULTURAS!$F$6:$F$28,$P722),"INICIAL",IF($O722&lt;=INDEX(PARAMETROS_CULTURAS!$F$6:$F$28,$P722)+INDEX(PARAMETROS_CULTURAS!$G$6:$G$28,$P722),"DESENVOLVIMENTO",IF($O722&lt;=INDEX(PARAMETROS_CULTURAS!$F$6:$F$28,$P722)+INDEX(PARAMETROS_CULTURAS!$G$6:$G$28,$P722)+INDEX(PARAMETROS_CULTURAS!$H$6:$H$28,$P722),"MEDIA","FINAL"))))</f>
        <v>FINAL</v>
      </c>
      <c r="R722" s="24" t="n">
        <f aca="false">IF($P722=0,0,IF($O722&lt;=INDEX(PARAMETROS_CULTURAS!$F$6:$F$28,$P722),INDEX(PARAMETROS_CULTURAS!$K$6:$K$28,$P722),IF($O722&lt;=INDEX(PARAMETROS_CULTURAS!$F$6:$F$28,$P722)+INDEX(PARAMETROS_CULTURAS!$G$6:$G$28,$P722),INDEX(PARAMETROS_CULTURAS!$K$6:$K$28,$P722)+(INDEX(PARAMETROS_CULTURAS!$L$6:$L$28,$P722)-INDEX(PARAMETROS_CULTURAS!$K$6:$K$28,$P722))*($O722-INDEX(PARAMETROS_CULTURAS!$F$6:$F$28,$P722))/MAX(INDEX(PARAMETROS_CULTURAS!$G$6:$G$28,$P722),0.0001),IF($O722&lt;=INDEX(PARAMETROS_CULTURAS!$F$6:$F$28,$P722)+INDEX(PARAMETROS_CULTURAS!$G$6:$G$28,$P722)+INDEX(PARAMETROS_CULTURAS!$H$6:$H$28,$P722),INDEX(PARAMETROS_CULTURAS!$L$6:$L$28,$P722),INDEX(PARAMETROS_CULTURAS!$L$6:$L$28,$P722)+(INDEX(PARAMETROS_CULTURAS!$M$6:$M$28,$P722)-INDEX(PARAMETROS_CULTURAS!$L$6:$L$28,$P722))*($O722-INDEX(PARAMETROS_CULTURAS!$F$6:$F$28,$P722)-INDEX(PARAMETROS_CULTURAS!$G$6:$G$28,$P722)-INDEX(PARAMETROS_CULTURAS!$H$6:$H$28,$P722))/MAX(INDEX(PARAMETROS_CULTURAS!$I$6:$I$28,$P722),0.0001)))))</f>
        <v>0.964137931034483</v>
      </c>
      <c r="S722" s="18" t="n">
        <f aca="false">IFERROR(INDEX(SEMANAS!$H$6:$H$71,MATCH($B722,SEMANAS!$B$6:$B$71,0)),0)</f>
        <v>40</v>
      </c>
      <c r="T722" s="18" t="n">
        <f aca="false">$R722*$S722</f>
        <v>38.5655172413793</v>
      </c>
      <c r="U722" s="18" t="n">
        <f aca="false">IFERROR(INDEX(SEMANAS!$I$6:$I$71,MATCH($B722,SEMANAS!$B$6:$B$71,0)),0)</f>
        <v>15.61</v>
      </c>
      <c r="V722" s="18" t="n">
        <f aca="false">IFERROR(INDEX(SEMANAS!$J$6:$J$71,MATCH($B722,SEMANAS!$B$6:$B$71,0)),0)</f>
        <v>12.488</v>
      </c>
      <c r="W722" s="18" t="n">
        <f aca="false">MAX(0,$T722-$V722)</f>
        <v>26.0775172413793</v>
      </c>
      <c r="X722" s="19" t="n">
        <f aca="false">IFERROR(INDEX(CADASTRO_PIVOS!$K$6:$K$41,MATCH($E722,CADASTRO_PIVOS!$B$6:$B$41,0)),EFICIENCIA_PADRAO)</f>
        <v>0.85</v>
      </c>
      <c r="Y722" s="18" t="n">
        <f aca="false">IF($X722&lt;=0,0,$W722/$X722)</f>
        <v>30.6794320486815</v>
      </c>
      <c r="Z722" s="16" t="n">
        <f aca="false">$Y722*$H722*MM_PARA_M3_HA</f>
        <v>46013.0121866126</v>
      </c>
      <c r="AA722" s="18" t="n">
        <f aca="false">IFERROR(INDEX(CADASTRO_PIVOS!$I$6:$I$41,MATCH($E722,CADASTRO_PIVOS!$B$6:$B$41,0)),0)</f>
        <v>1071.28571428571</v>
      </c>
      <c r="AB722" s="18" t="n">
        <f aca="false">IF($Z722&lt;=0,0,$Z722/$AA722)</f>
        <v>42.9512048681542</v>
      </c>
      <c r="AC722" s="16" t="n">
        <f aca="false">IFERROR(INDEX(SEMANAS!$K$6:$K$71,MATCH($B722,SEMANAS!$B$6:$B$71,0)),0)</f>
        <v>147</v>
      </c>
      <c r="AD722" s="19" t="n">
        <f aca="false">IF($AC722&lt;=0,0,$AB722/$AC722)</f>
        <v>0.2921850671303</v>
      </c>
      <c r="AE722" s="8" t="str">
        <f aca="false">IF($K722="SEM CULTURA","SEM CULTURA",IF($AA722&lt;=0,"DADO PENDENTE",IF($AD722&gt;LIMITE_CRITICO,"INVIAVEL",IF($AD722&gt;LIMITE_ATENCAO,"CRITICO",IF($AD722&gt;LIMITE_CONFORTAVEL,"ATENCAO","OK")))))</f>
        <v>OK</v>
      </c>
      <c r="AF722" s="8" t="str">
        <f aca="false">$B722&amp;"|"&amp;TEXT($AD722,"0.000000")</f>
        <v>57|0.292185</v>
      </c>
      <c r="AG722" s="18" t="n">
        <f aca="false">IF($K722="SEM CULTURA",0,$T722*$H722)</f>
        <v>5784.05627586207</v>
      </c>
      <c r="AH722" s="18" t="n">
        <f aca="false">IF($K722="SEM CULTURA",0,$V722*$H722)</f>
        <v>1872.95024</v>
      </c>
      <c r="AI722" s="18" t="n">
        <f aca="false">IF($K722="SEM CULTURA",0,$W722*$H722)</f>
        <v>3911.10603586207</v>
      </c>
      <c r="AJ722" s="18" t="n">
        <f aca="false">IF($K722="SEM CULTURA",0,$S722*$H722)</f>
        <v>5999.2</v>
      </c>
      <c r="AK722" s="8" t="str">
        <f aca="false">$E722&amp;"|"&amp;TEXT($AD722,"0.000000")</f>
        <v>PV 112|0.292185</v>
      </c>
    </row>
    <row r="723" customFormat="false" ht="15" hidden="false" customHeight="false" outlineLevel="0" collapsed="false">
      <c r="B723" s="16" t="n">
        <v>58</v>
      </c>
      <c r="C723" s="17" t="n">
        <f aca="false">DATA_INICIO_SAFRA+($B723-1)*DIAS_POR_SEMANA</f>
        <v>46664</v>
      </c>
      <c r="D723" s="17" t="n">
        <f aca="false">$C723+DIAS_POR_SEMANA-1</f>
        <v>46670</v>
      </c>
      <c r="E723" s="15" t="s">
        <v>269</v>
      </c>
      <c r="F723" s="8" t="str">
        <f aca="false">IFERROR(INDEX(CADASTRO_PIVOS!$C$6:$C$41,MATCH($E723,CADASTRO_PIVOS!$B$6:$B$41,0)),"?")</f>
        <v>RM05</v>
      </c>
      <c r="G723" s="8" t="str">
        <f aca="false">IFERROR(INDEX(CADASTRO_PIVOS!$D$6:$D$41,MATCH($E723,CADASTRO_PIVOS!$B$6:$B$41,0)),"?")</f>
        <v>TR05</v>
      </c>
      <c r="H723" s="20" t="n">
        <f aca="false">IFERROR(INDEX(CADASTRO_PIVOS!$E$6:$E$41,MATCH($E723,CADASTRO_PIVOS!$B$6:$B$41,0)),0)</f>
        <v>149.98</v>
      </c>
      <c r="I723" s="16" t="n">
        <f aca="false">IFERROR(SUMIFS(ROTACAO_RDM!$B$6:$B$71,ROTACAO_RDM!$D$6:$D$71,$E723,ROTACAO_RDM!$I$6:$I$71,"&lt;="&amp;$C723+INT(DIAS_POR_SEMANA/2),ROTACAO_RDM!$J$6:$J$71,"&gt;="&amp;$C723+INT(DIAS_POR_SEMANA/2)),0)</f>
        <v>20</v>
      </c>
      <c r="J723" s="16" t="n">
        <f aca="false">IFERROR(MATCH($I723,ROTACAO_RDM!$B$6:$B$71,0),0)</f>
        <v>20</v>
      </c>
      <c r="K723" s="8" t="str">
        <f aca="false">IF($J723=0,"SEM CULTURA",INDEX(ROTACAO_RDM!$F$6:$F$71,$J723))</f>
        <v>MILHO_SEMENTE</v>
      </c>
      <c r="L723" s="8" t="n">
        <f aca="false">IF($J723=0,"",INDEX(ROTACAO_RDM!$G$6:$G$71,$J723))</f>
        <v>0</v>
      </c>
      <c r="M723" s="17" t="n">
        <f aca="false">IF($J723=0,"",INDEX(ROTACAO_RDM!$I$6:$I$71,$J723))</f>
        <v>46539</v>
      </c>
      <c r="N723" s="16" t="n">
        <f aca="false">IF($J723=0,0,MAX(0,$C723+INT(DIAS_POR_SEMANA/2)-INDEX(ROTACAO_RDM!$I$6:$I$71,$J723)))</f>
        <v>128</v>
      </c>
      <c r="O723" s="19" t="n">
        <f aca="false">IF($J723=0,0,MIN(1,$N723/MAX(1,INDEX(ROTACAO_RDM!$K$6:$K$71,$J723))))</f>
        <v>0.882758620689655</v>
      </c>
      <c r="P723" s="16" t="n">
        <f aca="false">IF($J723=0,0,IFERROR(MATCH(INDEX(ROTACAO_RDM!$N$6:$N$71,$J723),PARAMETROS_CULTURAS!$B$6:$B$28,0),0))</f>
        <v>7</v>
      </c>
      <c r="Q723" s="8" t="str">
        <f aca="false">IF($P723=0,"-",IF($O723&lt;=INDEX(PARAMETROS_CULTURAS!$F$6:$F$28,$P723),"INICIAL",IF($O723&lt;=INDEX(PARAMETROS_CULTURAS!$F$6:$F$28,$P723)+INDEX(PARAMETROS_CULTURAS!$G$6:$G$28,$P723),"DESENVOLVIMENTO",IF($O723&lt;=INDEX(PARAMETROS_CULTURAS!$F$6:$F$28,$P723)+INDEX(PARAMETROS_CULTURAS!$G$6:$G$28,$P723)+INDEX(PARAMETROS_CULTURAS!$H$6:$H$28,$P723),"MEDIA","FINAL"))))</f>
        <v>FINAL</v>
      </c>
      <c r="R723" s="24" t="n">
        <f aca="false">IF($P723=0,0,IF($O723&lt;=INDEX(PARAMETROS_CULTURAS!$F$6:$F$28,$P723),INDEX(PARAMETROS_CULTURAS!$K$6:$K$28,$P723),IF($O723&lt;=INDEX(PARAMETROS_CULTURAS!$F$6:$F$28,$P723)+INDEX(PARAMETROS_CULTURAS!$G$6:$G$28,$P723),INDEX(PARAMETROS_CULTURAS!$K$6:$K$28,$P723)+(INDEX(PARAMETROS_CULTURAS!$L$6:$L$28,$P723)-INDEX(PARAMETROS_CULTURAS!$K$6:$K$28,$P723))*($O723-INDEX(PARAMETROS_CULTURAS!$F$6:$F$28,$P723))/MAX(INDEX(PARAMETROS_CULTURAS!$G$6:$G$28,$P723),0.0001),IF($O723&lt;=INDEX(PARAMETROS_CULTURAS!$F$6:$F$28,$P723)+INDEX(PARAMETROS_CULTURAS!$G$6:$G$28,$P723)+INDEX(PARAMETROS_CULTURAS!$H$6:$H$28,$P723),INDEX(PARAMETROS_CULTURAS!$L$6:$L$28,$P723),INDEX(PARAMETROS_CULTURAS!$L$6:$L$28,$P723)+(INDEX(PARAMETROS_CULTURAS!$M$6:$M$28,$P723)-INDEX(PARAMETROS_CULTURAS!$L$6:$L$28,$P723))*($O723-INDEX(PARAMETROS_CULTURAS!$F$6:$F$28,$P723)-INDEX(PARAMETROS_CULTURAS!$G$6:$G$28,$P723)-INDEX(PARAMETROS_CULTURAS!$H$6:$H$28,$P723))/MAX(INDEX(PARAMETROS_CULTURAS!$I$6:$I$28,$P723),0.0001)))))</f>
        <v>0.857931034482758</v>
      </c>
      <c r="S723" s="18" t="n">
        <f aca="false">IFERROR(INDEX(SEMANAS!$H$6:$H$71,MATCH($B723,SEMANAS!$B$6:$B$71,0)),0)</f>
        <v>39.2</v>
      </c>
      <c r="T723" s="18" t="n">
        <f aca="false">$R723*$S723</f>
        <v>33.6308965517241</v>
      </c>
      <c r="U723" s="18" t="n">
        <f aca="false">IFERROR(INDEX(SEMANAS!$I$6:$I$71,MATCH($B723,SEMANAS!$B$6:$B$71,0)),0)</f>
        <v>27.09</v>
      </c>
      <c r="V723" s="18" t="n">
        <f aca="false">IFERROR(INDEX(SEMANAS!$J$6:$J$71,MATCH($B723,SEMANAS!$B$6:$B$71,0)),0)</f>
        <v>21.672</v>
      </c>
      <c r="W723" s="18" t="n">
        <f aca="false">MAX(0,$T723-$V723)</f>
        <v>11.9588965517241</v>
      </c>
      <c r="X723" s="19" t="n">
        <f aca="false">IFERROR(INDEX(CADASTRO_PIVOS!$K$6:$K$41,MATCH($E723,CADASTRO_PIVOS!$B$6:$B$41,0)),EFICIENCIA_PADRAO)</f>
        <v>0.85</v>
      </c>
      <c r="Y723" s="18" t="n">
        <f aca="false">IF($X723&lt;=0,0,$W723/$X723)</f>
        <v>14.0692900608519</v>
      </c>
      <c r="Z723" s="16" t="n">
        <f aca="false">$Y723*$H723*MM_PARA_M3_HA</f>
        <v>21101.1212332657</v>
      </c>
      <c r="AA723" s="18" t="n">
        <f aca="false">IFERROR(INDEX(CADASTRO_PIVOS!$I$6:$I$41,MATCH($E723,CADASTRO_PIVOS!$B$6:$B$41,0)),0)</f>
        <v>1071.28571428571</v>
      </c>
      <c r="AB723" s="18" t="n">
        <f aca="false">IF($Z723&lt;=0,0,$Z723/$AA723)</f>
        <v>19.6970060851927</v>
      </c>
      <c r="AC723" s="16" t="n">
        <f aca="false">IFERROR(INDEX(SEMANAS!$K$6:$K$71,MATCH($B723,SEMANAS!$B$6:$B$71,0)),0)</f>
        <v>147</v>
      </c>
      <c r="AD723" s="19" t="n">
        <f aca="false">IF($AC723&lt;=0,0,$AB723/$AC723)</f>
        <v>0.13399323867478</v>
      </c>
      <c r="AE723" s="8" t="str">
        <f aca="false">IF($K723="SEM CULTURA","SEM CULTURA",IF($AA723&lt;=0,"DADO PENDENTE",IF($AD723&gt;LIMITE_CRITICO,"INVIAVEL",IF($AD723&gt;LIMITE_ATENCAO,"CRITICO",IF($AD723&gt;LIMITE_CONFORTAVEL,"ATENCAO","OK")))))</f>
        <v>OK</v>
      </c>
      <c r="AF723" s="8" t="str">
        <f aca="false">$B723&amp;"|"&amp;TEXT($AD723,"0.000000")</f>
        <v>58|0.133993</v>
      </c>
      <c r="AG723" s="18" t="n">
        <f aca="false">IF($K723="SEM CULTURA",0,$T723*$H723)</f>
        <v>5043.96186482759</v>
      </c>
      <c r="AH723" s="18" t="n">
        <f aca="false">IF($K723="SEM CULTURA",0,$V723*$H723)</f>
        <v>3250.36656</v>
      </c>
      <c r="AI723" s="18" t="n">
        <f aca="false">IF($K723="SEM CULTURA",0,$W723*$H723)</f>
        <v>1793.59530482758</v>
      </c>
      <c r="AJ723" s="18" t="n">
        <f aca="false">IF($K723="SEM CULTURA",0,$S723*$H723)</f>
        <v>5879.216</v>
      </c>
      <c r="AK723" s="8" t="str">
        <f aca="false">$E723&amp;"|"&amp;TEXT($AD723,"0.000000")</f>
        <v>PV 112|0.133993</v>
      </c>
    </row>
    <row r="724" customFormat="false" ht="15" hidden="false" customHeight="false" outlineLevel="0" collapsed="false">
      <c r="B724" s="16" t="n">
        <v>59</v>
      </c>
      <c r="C724" s="17" t="n">
        <f aca="false">DATA_INICIO_SAFRA+($B724-1)*DIAS_POR_SEMANA</f>
        <v>46671</v>
      </c>
      <c r="D724" s="17" t="n">
        <f aca="false">$C724+DIAS_POR_SEMANA-1</f>
        <v>46677</v>
      </c>
      <c r="E724" s="15" t="s">
        <v>269</v>
      </c>
      <c r="F724" s="8" t="str">
        <f aca="false">IFERROR(INDEX(CADASTRO_PIVOS!$C$6:$C$41,MATCH($E724,CADASTRO_PIVOS!$B$6:$B$41,0)),"?")</f>
        <v>RM05</v>
      </c>
      <c r="G724" s="8" t="str">
        <f aca="false">IFERROR(INDEX(CADASTRO_PIVOS!$D$6:$D$41,MATCH($E724,CADASTRO_PIVOS!$B$6:$B$41,0)),"?")</f>
        <v>TR05</v>
      </c>
      <c r="H724" s="20" t="n">
        <f aca="false">IFERROR(INDEX(CADASTRO_PIVOS!$E$6:$E$41,MATCH($E724,CADASTRO_PIVOS!$B$6:$B$41,0)),0)</f>
        <v>149.98</v>
      </c>
      <c r="I724" s="16" t="n">
        <f aca="false">IFERROR(SUMIFS(ROTACAO_RDM!$B$6:$B$71,ROTACAO_RDM!$D$6:$D$71,$E724,ROTACAO_RDM!$I$6:$I$71,"&lt;="&amp;$C724+INT(DIAS_POR_SEMANA/2),ROTACAO_RDM!$J$6:$J$71,"&gt;="&amp;$C724+INT(DIAS_POR_SEMANA/2)),0)</f>
        <v>20</v>
      </c>
      <c r="J724" s="16" t="n">
        <f aca="false">IFERROR(MATCH($I724,ROTACAO_RDM!$B$6:$B$71,0),0)</f>
        <v>20</v>
      </c>
      <c r="K724" s="8" t="str">
        <f aca="false">IF($J724=0,"SEM CULTURA",INDEX(ROTACAO_RDM!$F$6:$F$71,$J724))</f>
        <v>MILHO_SEMENTE</v>
      </c>
      <c r="L724" s="8" t="n">
        <f aca="false">IF($J724=0,"",INDEX(ROTACAO_RDM!$G$6:$G$71,$J724))</f>
        <v>0</v>
      </c>
      <c r="M724" s="17" t="n">
        <f aca="false">IF($J724=0,"",INDEX(ROTACAO_RDM!$I$6:$I$71,$J724))</f>
        <v>46539</v>
      </c>
      <c r="N724" s="16" t="n">
        <f aca="false">IF($J724=0,0,MAX(0,$C724+INT(DIAS_POR_SEMANA/2)-INDEX(ROTACAO_RDM!$I$6:$I$71,$J724)))</f>
        <v>135</v>
      </c>
      <c r="O724" s="19" t="n">
        <f aca="false">IF($J724=0,0,MIN(1,$N724/MAX(1,INDEX(ROTACAO_RDM!$K$6:$K$71,$J724))))</f>
        <v>0.931034482758621</v>
      </c>
      <c r="P724" s="16" t="n">
        <f aca="false">IF($J724=0,0,IFERROR(MATCH(INDEX(ROTACAO_RDM!$N$6:$N$71,$J724),PARAMETROS_CULTURAS!$B$6:$B$28,0),0))</f>
        <v>7</v>
      </c>
      <c r="Q724" s="8" t="str">
        <f aca="false">IF($P724=0,"-",IF($O724&lt;=INDEX(PARAMETROS_CULTURAS!$F$6:$F$28,$P724),"INICIAL",IF($O724&lt;=INDEX(PARAMETROS_CULTURAS!$F$6:$F$28,$P724)+INDEX(PARAMETROS_CULTURAS!$G$6:$G$28,$P724),"DESENVOLVIMENTO",IF($O724&lt;=INDEX(PARAMETROS_CULTURAS!$F$6:$F$28,$P724)+INDEX(PARAMETROS_CULTURAS!$G$6:$G$28,$P724)+INDEX(PARAMETROS_CULTURAS!$H$6:$H$28,$P724),"MEDIA","FINAL"))))</f>
        <v>FINAL</v>
      </c>
      <c r="R724" s="24" t="n">
        <f aca="false">IF($P724=0,0,IF($O724&lt;=INDEX(PARAMETROS_CULTURAS!$F$6:$F$28,$P724),INDEX(PARAMETROS_CULTURAS!$K$6:$K$28,$P724),IF($O724&lt;=INDEX(PARAMETROS_CULTURAS!$F$6:$F$28,$P724)+INDEX(PARAMETROS_CULTURAS!$G$6:$G$28,$P724),INDEX(PARAMETROS_CULTURAS!$K$6:$K$28,$P724)+(INDEX(PARAMETROS_CULTURAS!$L$6:$L$28,$P724)-INDEX(PARAMETROS_CULTURAS!$K$6:$K$28,$P724))*($O724-INDEX(PARAMETROS_CULTURAS!$F$6:$F$28,$P724))/MAX(INDEX(PARAMETROS_CULTURAS!$G$6:$G$28,$P724),0.0001),IF($O724&lt;=INDEX(PARAMETROS_CULTURAS!$F$6:$F$28,$P724)+INDEX(PARAMETROS_CULTURAS!$G$6:$G$28,$P724)+INDEX(PARAMETROS_CULTURAS!$H$6:$H$28,$P724),INDEX(PARAMETROS_CULTURAS!$L$6:$L$28,$P724),INDEX(PARAMETROS_CULTURAS!$L$6:$L$28,$P724)+(INDEX(PARAMETROS_CULTURAS!$M$6:$M$28,$P724)-INDEX(PARAMETROS_CULTURAS!$L$6:$L$28,$P724))*($O724-INDEX(PARAMETROS_CULTURAS!$F$6:$F$28,$P724)-INDEX(PARAMETROS_CULTURAS!$G$6:$G$28,$P724)-INDEX(PARAMETROS_CULTURAS!$H$6:$H$28,$P724))/MAX(INDEX(PARAMETROS_CULTURAS!$I$6:$I$28,$P724),0.0001)))))</f>
        <v>0.751724137931035</v>
      </c>
      <c r="S724" s="18" t="n">
        <f aca="false">IFERROR(INDEX(SEMANAS!$H$6:$H$71,MATCH($B724,SEMANAS!$B$6:$B$71,0)),0)</f>
        <v>39.2</v>
      </c>
      <c r="T724" s="18" t="n">
        <f aca="false">$R724*$S724</f>
        <v>29.4675862068966</v>
      </c>
      <c r="U724" s="18" t="n">
        <f aca="false">IFERROR(INDEX(SEMANAS!$I$6:$I$71,MATCH($B724,SEMANAS!$B$6:$B$71,0)),0)</f>
        <v>27.09</v>
      </c>
      <c r="V724" s="18" t="n">
        <f aca="false">IFERROR(INDEX(SEMANAS!$J$6:$J$71,MATCH($B724,SEMANAS!$B$6:$B$71,0)),0)</f>
        <v>21.672</v>
      </c>
      <c r="W724" s="18" t="n">
        <f aca="false">MAX(0,$T724-$V724)</f>
        <v>7.79558620689656</v>
      </c>
      <c r="X724" s="19" t="n">
        <f aca="false">IFERROR(INDEX(CADASTRO_PIVOS!$K$6:$K$41,MATCH($E724,CADASTRO_PIVOS!$B$6:$B$41,0)),EFICIENCIA_PADRAO)</f>
        <v>0.85</v>
      </c>
      <c r="Y724" s="18" t="n">
        <f aca="false">IF($X724&lt;=0,0,$W724/$X724)</f>
        <v>9.17127789046654</v>
      </c>
      <c r="Z724" s="16" t="n">
        <f aca="false">$Y724*$H724*MM_PARA_M3_HA</f>
        <v>13755.0825801217</v>
      </c>
      <c r="AA724" s="18" t="n">
        <f aca="false">IFERROR(INDEX(CADASTRO_PIVOS!$I$6:$I$41,MATCH($E724,CADASTRO_PIVOS!$B$6:$B$41,0)),0)</f>
        <v>1071.28571428571</v>
      </c>
      <c r="AB724" s="18" t="n">
        <f aca="false">IF($Z724&lt;=0,0,$Z724/$AA724)</f>
        <v>12.8397890466531</v>
      </c>
      <c r="AC724" s="16" t="n">
        <f aca="false">IFERROR(INDEX(SEMANAS!$K$6:$K$71,MATCH($B724,SEMANAS!$B$6:$B$71,0)),0)</f>
        <v>147</v>
      </c>
      <c r="AD724" s="19" t="n">
        <f aca="false">IF($AC724&lt;=0,0,$AB724/$AC724)</f>
        <v>0.0873455037187289</v>
      </c>
      <c r="AE724" s="8" t="str">
        <f aca="false">IF($K724="SEM CULTURA","SEM CULTURA",IF($AA724&lt;=0,"DADO PENDENTE",IF($AD724&gt;LIMITE_CRITICO,"INVIAVEL",IF($AD724&gt;LIMITE_ATENCAO,"CRITICO",IF($AD724&gt;LIMITE_CONFORTAVEL,"ATENCAO","OK")))))</f>
        <v>OK</v>
      </c>
      <c r="AF724" s="8" t="str">
        <f aca="false">$B724&amp;"|"&amp;TEXT($AD724,"0.000000")</f>
        <v>59|0.087346</v>
      </c>
      <c r="AG724" s="18" t="n">
        <f aca="false">IF($K724="SEM CULTURA",0,$T724*$H724)</f>
        <v>4419.54857931035</v>
      </c>
      <c r="AH724" s="18" t="n">
        <f aca="false">IF($K724="SEM CULTURA",0,$V724*$H724)</f>
        <v>3250.36656</v>
      </c>
      <c r="AI724" s="18" t="n">
        <f aca="false">IF($K724="SEM CULTURA",0,$W724*$H724)</f>
        <v>1169.18201931035</v>
      </c>
      <c r="AJ724" s="18" t="n">
        <f aca="false">IF($K724="SEM CULTURA",0,$S724*$H724)</f>
        <v>5879.216</v>
      </c>
      <c r="AK724" s="8" t="str">
        <f aca="false">$E724&amp;"|"&amp;TEXT($AD724,"0.000000")</f>
        <v>PV 112|0.087346</v>
      </c>
    </row>
    <row r="725" customFormat="false" ht="15" hidden="false" customHeight="false" outlineLevel="0" collapsed="false">
      <c r="B725" s="16" t="n">
        <v>60</v>
      </c>
      <c r="C725" s="17" t="n">
        <f aca="false">DATA_INICIO_SAFRA+($B725-1)*DIAS_POR_SEMANA</f>
        <v>46678</v>
      </c>
      <c r="D725" s="17" t="n">
        <f aca="false">$C725+DIAS_POR_SEMANA-1</f>
        <v>46684</v>
      </c>
      <c r="E725" s="15" t="s">
        <v>269</v>
      </c>
      <c r="F725" s="8" t="str">
        <f aca="false">IFERROR(INDEX(CADASTRO_PIVOS!$C$6:$C$41,MATCH($E725,CADASTRO_PIVOS!$B$6:$B$41,0)),"?")</f>
        <v>RM05</v>
      </c>
      <c r="G725" s="8" t="str">
        <f aca="false">IFERROR(INDEX(CADASTRO_PIVOS!$D$6:$D$41,MATCH($E725,CADASTRO_PIVOS!$B$6:$B$41,0)),"?")</f>
        <v>TR05</v>
      </c>
      <c r="H725" s="20" t="n">
        <f aca="false">IFERROR(INDEX(CADASTRO_PIVOS!$E$6:$E$41,MATCH($E725,CADASTRO_PIVOS!$B$6:$B$41,0)),0)</f>
        <v>149.98</v>
      </c>
      <c r="I725" s="16" t="n">
        <f aca="false">IFERROR(SUMIFS(ROTACAO_RDM!$B$6:$B$71,ROTACAO_RDM!$D$6:$D$71,$E725,ROTACAO_RDM!$I$6:$I$71,"&lt;="&amp;$C725+INT(DIAS_POR_SEMANA/2),ROTACAO_RDM!$J$6:$J$71,"&gt;="&amp;$C725+INT(DIAS_POR_SEMANA/2)),0)</f>
        <v>20</v>
      </c>
      <c r="J725" s="16" t="n">
        <f aca="false">IFERROR(MATCH($I725,ROTACAO_RDM!$B$6:$B$71,0),0)</f>
        <v>20</v>
      </c>
      <c r="K725" s="8" t="str">
        <f aca="false">IF($J725=0,"SEM CULTURA",INDEX(ROTACAO_RDM!$F$6:$F$71,$J725))</f>
        <v>MILHO_SEMENTE</v>
      </c>
      <c r="L725" s="8" t="n">
        <f aca="false">IF($J725=0,"",INDEX(ROTACAO_RDM!$G$6:$G$71,$J725))</f>
        <v>0</v>
      </c>
      <c r="M725" s="17" t="n">
        <f aca="false">IF($J725=0,"",INDEX(ROTACAO_RDM!$I$6:$I$71,$J725))</f>
        <v>46539</v>
      </c>
      <c r="N725" s="16" t="n">
        <f aca="false">IF($J725=0,0,MAX(0,$C725+INT(DIAS_POR_SEMANA/2)-INDEX(ROTACAO_RDM!$I$6:$I$71,$J725)))</f>
        <v>142</v>
      </c>
      <c r="O725" s="19" t="n">
        <f aca="false">IF($J725=0,0,MIN(1,$N725/MAX(1,INDEX(ROTACAO_RDM!$K$6:$K$71,$J725))))</f>
        <v>0.979310344827586</v>
      </c>
      <c r="P725" s="16" t="n">
        <f aca="false">IF($J725=0,0,IFERROR(MATCH(INDEX(ROTACAO_RDM!$N$6:$N$71,$J725),PARAMETROS_CULTURAS!$B$6:$B$28,0),0))</f>
        <v>7</v>
      </c>
      <c r="Q725" s="8" t="str">
        <f aca="false">IF($P725=0,"-",IF($O725&lt;=INDEX(PARAMETROS_CULTURAS!$F$6:$F$28,$P725),"INICIAL",IF($O725&lt;=INDEX(PARAMETROS_CULTURAS!$F$6:$F$28,$P725)+INDEX(PARAMETROS_CULTURAS!$G$6:$G$28,$P725),"DESENVOLVIMENTO",IF($O725&lt;=INDEX(PARAMETROS_CULTURAS!$F$6:$F$28,$P725)+INDEX(PARAMETROS_CULTURAS!$G$6:$G$28,$P725)+INDEX(PARAMETROS_CULTURAS!$H$6:$H$28,$P725),"MEDIA","FINAL"))))</f>
        <v>FINAL</v>
      </c>
      <c r="R725" s="24" t="n">
        <f aca="false">IF($P725=0,0,IF($O725&lt;=INDEX(PARAMETROS_CULTURAS!$F$6:$F$28,$P725),INDEX(PARAMETROS_CULTURAS!$K$6:$K$28,$P725),IF($O725&lt;=INDEX(PARAMETROS_CULTURAS!$F$6:$F$28,$P725)+INDEX(PARAMETROS_CULTURAS!$G$6:$G$28,$P725),INDEX(PARAMETROS_CULTURAS!$K$6:$K$28,$P725)+(INDEX(PARAMETROS_CULTURAS!$L$6:$L$28,$P725)-INDEX(PARAMETROS_CULTURAS!$K$6:$K$28,$P725))*($O725-INDEX(PARAMETROS_CULTURAS!$F$6:$F$28,$P725))/MAX(INDEX(PARAMETROS_CULTURAS!$G$6:$G$28,$P725),0.0001),IF($O725&lt;=INDEX(PARAMETROS_CULTURAS!$F$6:$F$28,$P725)+INDEX(PARAMETROS_CULTURAS!$G$6:$G$28,$P725)+INDEX(PARAMETROS_CULTURAS!$H$6:$H$28,$P725),INDEX(PARAMETROS_CULTURAS!$L$6:$L$28,$P725),INDEX(PARAMETROS_CULTURAS!$L$6:$L$28,$P725)+(INDEX(PARAMETROS_CULTURAS!$M$6:$M$28,$P725)-INDEX(PARAMETROS_CULTURAS!$L$6:$L$28,$P725))*($O725-INDEX(PARAMETROS_CULTURAS!$F$6:$F$28,$P725)-INDEX(PARAMETROS_CULTURAS!$G$6:$G$28,$P725)-INDEX(PARAMETROS_CULTURAS!$H$6:$H$28,$P725))/MAX(INDEX(PARAMETROS_CULTURAS!$I$6:$I$28,$P725),0.0001)))))</f>
        <v>0.64551724137931</v>
      </c>
      <c r="S725" s="18" t="n">
        <f aca="false">IFERROR(INDEX(SEMANAS!$H$6:$H$71,MATCH($B725,SEMANAS!$B$6:$B$71,0)),0)</f>
        <v>39.2</v>
      </c>
      <c r="T725" s="18" t="n">
        <f aca="false">$R725*$S725</f>
        <v>25.304275862069</v>
      </c>
      <c r="U725" s="18" t="n">
        <f aca="false">IFERROR(INDEX(SEMANAS!$I$6:$I$71,MATCH($B725,SEMANAS!$B$6:$B$71,0)),0)</f>
        <v>27.09</v>
      </c>
      <c r="V725" s="18" t="n">
        <f aca="false">IFERROR(INDEX(SEMANAS!$J$6:$J$71,MATCH($B725,SEMANAS!$B$6:$B$71,0)),0)</f>
        <v>21.672</v>
      </c>
      <c r="W725" s="18" t="n">
        <f aca="false">MAX(0,$T725-$V725)</f>
        <v>3.63227586206896</v>
      </c>
      <c r="X725" s="19" t="n">
        <f aca="false">IFERROR(INDEX(CADASTRO_PIVOS!$K$6:$K$41,MATCH($E725,CADASTRO_PIVOS!$B$6:$B$41,0)),EFICIENCIA_PADRAO)</f>
        <v>0.85</v>
      </c>
      <c r="Y725" s="18" t="n">
        <f aca="false">IF($X725&lt;=0,0,$W725/$X725)</f>
        <v>4.27326572008113</v>
      </c>
      <c r="Z725" s="16" t="n">
        <f aca="false">$Y725*$H725*MM_PARA_M3_HA</f>
        <v>6409.04392697768</v>
      </c>
      <c r="AA725" s="18" t="n">
        <f aca="false">IFERROR(INDEX(CADASTRO_PIVOS!$I$6:$I$41,MATCH($E725,CADASTRO_PIVOS!$B$6:$B$41,0)),0)</f>
        <v>1071.28571428571</v>
      </c>
      <c r="AB725" s="18" t="n">
        <f aca="false">IF($Z725&lt;=0,0,$Z725/$AA725)</f>
        <v>5.98257200811359</v>
      </c>
      <c r="AC725" s="16" t="n">
        <f aca="false">IFERROR(INDEX(SEMANAS!$K$6:$K$71,MATCH($B725,SEMANAS!$B$6:$B$71,0)),0)</f>
        <v>147</v>
      </c>
      <c r="AD725" s="19" t="n">
        <f aca="false">IF($AC725&lt;=0,0,$AB725/$AC725)</f>
        <v>0.0406977687626774</v>
      </c>
      <c r="AE725" s="8" t="str">
        <f aca="false">IF($K725="SEM CULTURA","SEM CULTURA",IF($AA725&lt;=0,"DADO PENDENTE",IF($AD725&gt;LIMITE_CRITICO,"INVIAVEL",IF($AD725&gt;LIMITE_ATENCAO,"CRITICO",IF($AD725&gt;LIMITE_CONFORTAVEL,"ATENCAO","OK")))))</f>
        <v>OK</v>
      </c>
      <c r="AF725" s="8" t="str">
        <f aca="false">$B725&amp;"|"&amp;TEXT($AD725,"0.000000")</f>
        <v>60|0.040698</v>
      </c>
      <c r="AG725" s="18" t="n">
        <f aca="false">IF($K725="SEM CULTURA",0,$T725*$H725)</f>
        <v>3795.1352937931</v>
      </c>
      <c r="AH725" s="18" t="n">
        <f aca="false">IF($K725="SEM CULTURA",0,$V725*$H725)</f>
        <v>3250.36656</v>
      </c>
      <c r="AI725" s="18" t="n">
        <f aca="false">IF($K725="SEM CULTURA",0,$W725*$H725)</f>
        <v>544.768733793103</v>
      </c>
      <c r="AJ725" s="18" t="n">
        <f aca="false">IF($K725="SEM CULTURA",0,$S725*$H725)</f>
        <v>5879.216</v>
      </c>
      <c r="AK725" s="8" t="str">
        <f aca="false">$E725&amp;"|"&amp;TEXT($AD725,"0.000000")</f>
        <v>PV 112|0.040698</v>
      </c>
    </row>
    <row r="726" customFormat="false" ht="15" hidden="false" customHeight="false" outlineLevel="0" collapsed="false">
      <c r="B726" s="16" t="n">
        <v>61</v>
      </c>
      <c r="C726" s="17" t="n">
        <f aca="false">DATA_INICIO_SAFRA+($B726-1)*DIAS_POR_SEMANA</f>
        <v>46685</v>
      </c>
      <c r="D726" s="17" t="n">
        <f aca="false">$C726+DIAS_POR_SEMANA-1</f>
        <v>46691</v>
      </c>
      <c r="E726" s="15" t="s">
        <v>269</v>
      </c>
      <c r="F726" s="8" t="str">
        <f aca="false">IFERROR(INDEX(CADASTRO_PIVOS!$C$6:$C$41,MATCH($E726,CADASTRO_PIVOS!$B$6:$B$41,0)),"?")</f>
        <v>RM05</v>
      </c>
      <c r="G726" s="8" t="str">
        <f aca="false">IFERROR(INDEX(CADASTRO_PIVOS!$D$6:$D$41,MATCH($E726,CADASTRO_PIVOS!$B$6:$B$41,0)),"?")</f>
        <v>TR05</v>
      </c>
      <c r="H726" s="20" t="n">
        <f aca="false">IFERROR(INDEX(CADASTRO_PIVOS!$E$6:$E$41,MATCH($E726,CADASTRO_PIVOS!$B$6:$B$41,0)),0)</f>
        <v>149.98</v>
      </c>
      <c r="I726" s="16" t="n">
        <f aca="false">IFERROR(SUMIFS(ROTACAO_RDM!$B$6:$B$71,ROTACAO_RDM!$D$6:$D$71,$E726,ROTACAO_RDM!$I$6:$I$71,"&lt;="&amp;$C726+INT(DIAS_POR_SEMANA/2),ROTACAO_RDM!$J$6:$J$71,"&gt;="&amp;$C726+INT(DIAS_POR_SEMANA/2)),0)</f>
        <v>0</v>
      </c>
      <c r="J726" s="16" t="n">
        <f aca="false">IFERROR(MATCH($I726,ROTACAO_RDM!$B$6:$B$71,0),0)</f>
        <v>0</v>
      </c>
      <c r="K726" s="8" t="str">
        <f aca="false">IF($J726=0,"SEM CULTURA",INDEX(ROTACAO_RDM!$F$6:$F$71,$J726))</f>
        <v>SEM CULTURA</v>
      </c>
      <c r="L726" s="8" t="str">
        <f aca="false">IF($J726=0,"",INDEX(ROTACAO_RDM!$G$6:$G$71,$J726))</f>
        <v/>
      </c>
      <c r="M726" s="17" t="str">
        <f aca="false">IF($J726=0,"",INDEX(ROTACAO_RDM!$I$6:$I$71,$J726))</f>
        <v/>
      </c>
      <c r="N726" s="16" t="n">
        <f aca="false">IF($J726=0,0,MAX(0,$C726+INT(DIAS_POR_SEMANA/2)-INDEX(ROTACAO_RDM!$I$6:$I$71,$J726)))</f>
        <v>0</v>
      </c>
      <c r="O726" s="19" t="n">
        <f aca="false">IF($J726=0,0,MIN(1,$N726/MAX(1,INDEX(ROTACAO_RDM!$K$6:$K$71,$J726))))</f>
        <v>0</v>
      </c>
      <c r="P726" s="16" t="n">
        <f aca="false">IF($J726=0,0,IFERROR(MATCH(INDEX(ROTACAO_RDM!$N$6:$N$71,$J726),PARAMETROS_CULTURAS!$B$6:$B$28,0),0))</f>
        <v>0</v>
      </c>
      <c r="Q726" s="8" t="str">
        <f aca="false">IF($P726=0,"-",IF($O726&lt;=INDEX(PARAMETROS_CULTURAS!$F$6:$F$28,$P726),"INICIAL",IF($O726&lt;=INDEX(PARAMETROS_CULTURAS!$F$6:$F$28,$P726)+INDEX(PARAMETROS_CULTURAS!$G$6:$G$28,$P726),"DESENVOLVIMENTO",IF($O726&lt;=INDEX(PARAMETROS_CULTURAS!$F$6:$F$28,$P726)+INDEX(PARAMETROS_CULTURAS!$G$6:$G$28,$P726)+INDEX(PARAMETROS_CULTURAS!$H$6:$H$28,$P726),"MEDIA","FINAL"))))</f>
        <v>-</v>
      </c>
      <c r="R726" s="24" t="n">
        <f aca="false">IF($P726=0,0,IF($O726&lt;=INDEX(PARAMETROS_CULTURAS!$F$6:$F$28,$P726),INDEX(PARAMETROS_CULTURAS!$K$6:$K$28,$P726),IF($O726&lt;=INDEX(PARAMETROS_CULTURAS!$F$6:$F$28,$P726)+INDEX(PARAMETROS_CULTURAS!$G$6:$G$28,$P726),INDEX(PARAMETROS_CULTURAS!$K$6:$K$28,$P726)+(INDEX(PARAMETROS_CULTURAS!$L$6:$L$28,$P726)-INDEX(PARAMETROS_CULTURAS!$K$6:$K$28,$P726))*($O726-INDEX(PARAMETROS_CULTURAS!$F$6:$F$28,$P726))/MAX(INDEX(PARAMETROS_CULTURAS!$G$6:$G$28,$P726),0.0001),IF($O726&lt;=INDEX(PARAMETROS_CULTURAS!$F$6:$F$28,$P726)+INDEX(PARAMETROS_CULTURAS!$G$6:$G$28,$P726)+INDEX(PARAMETROS_CULTURAS!$H$6:$H$28,$P726),INDEX(PARAMETROS_CULTURAS!$L$6:$L$28,$P726),INDEX(PARAMETROS_CULTURAS!$L$6:$L$28,$P726)+(INDEX(PARAMETROS_CULTURAS!$M$6:$M$28,$P726)-INDEX(PARAMETROS_CULTURAS!$L$6:$L$28,$P726))*($O726-INDEX(PARAMETROS_CULTURAS!$F$6:$F$28,$P726)-INDEX(PARAMETROS_CULTURAS!$G$6:$G$28,$P726)-INDEX(PARAMETROS_CULTURAS!$H$6:$H$28,$P726))/MAX(INDEX(PARAMETROS_CULTURAS!$I$6:$I$28,$P726),0.0001)))))</f>
        <v>0</v>
      </c>
      <c r="S726" s="18" t="n">
        <f aca="false">IFERROR(INDEX(SEMANAS!$H$6:$H$71,MATCH($B726,SEMANAS!$B$6:$B$71,0)),0)</f>
        <v>39.2</v>
      </c>
      <c r="T726" s="18" t="n">
        <f aca="false">$R726*$S726</f>
        <v>0</v>
      </c>
      <c r="U726" s="18" t="n">
        <f aca="false">IFERROR(INDEX(SEMANAS!$I$6:$I$71,MATCH($B726,SEMANAS!$B$6:$B$71,0)),0)</f>
        <v>27.09</v>
      </c>
      <c r="V726" s="18" t="n">
        <f aca="false">IFERROR(INDEX(SEMANAS!$J$6:$J$71,MATCH($B726,SEMANAS!$B$6:$B$71,0)),0)</f>
        <v>21.672</v>
      </c>
      <c r="W726" s="18" t="n">
        <f aca="false">MAX(0,$T726-$V726)</f>
        <v>0</v>
      </c>
      <c r="X726" s="19" t="n">
        <f aca="false">IFERROR(INDEX(CADASTRO_PIVOS!$K$6:$K$41,MATCH($E726,CADASTRO_PIVOS!$B$6:$B$41,0)),EFICIENCIA_PADRAO)</f>
        <v>0.85</v>
      </c>
      <c r="Y726" s="18" t="n">
        <f aca="false">IF($X726&lt;=0,0,$W726/$X726)</f>
        <v>0</v>
      </c>
      <c r="Z726" s="16" t="n">
        <f aca="false">$Y726*$H726*MM_PARA_M3_HA</f>
        <v>0</v>
      </c>
      <c r="AA726" s="18" t="n">
        <f aca="false">IFERROR(INDEX(CADASTRO_PIVOS!$I$6:$I$41,MATCH($E726,CADASTRO_PIVOS!$B$6:$B$41,0)),0)</f>
        <v>1071.28571428571</v>
      </c>
      <c r="AB726" s="18" t="n">
        <f aca="false">IF($Z726&lt;=0,0,$Z726/$AA726)</f>
        <v>0</v>
      </c>
      <c r="AC726" s="16" t="n">
        <f aca="false">IFERROR(INDEX(SEMANAS!$K$6:$K$71,MATCH($B726,SEMANAS!$B$6:$B$71,0)),0)</f>
        <v>147</v>
      </c>
      <c r="AD726" s="19" t="n">
        <f aca="false">IF($AC726&lt;=0,0,$AB726/$AC726)</f>
        <v>0</v>
      </c>
      <c r="AE726" s="8" t="str">
        <f aca="false">IF($K726="SEM CULTURA","SEM CULTURA",IF($AA726&lt;=0,"DADO PENDENTE",IF($AD726&gt;LIMITE_CRITICO,"INVIAVEL",IF($AD726&gt;LIMITE_ATENCAO,"CRITICO",IF($AD726&gt;LIMITE_CONFORTAVEL,"ATENCAO","OK")))))</f>
        <v>SEM CULTURA</v>
      </c>
      <c r="AF726" s="8" t="str">
        <f aca="false">$B726&amp;"|"&amp;TEXT($AD726,"0.000000")</f>
        <v>61|0.000000</v>
      </c>
      <c r="AG726" s="18" t="n">
        <f aca="false">IF($K726="SEM CULTURA",0,$T726*$H726)</f>
        <v>0</v>
      </c>
      <c r="AH726" s="18" t="n">
        <f aca="false">IF($K726="SEM CULTURA",0,$V726*$H726)</f>
        <v>0</v>
      </c>
      <c r="AI726" s="18" t="n">
        <f aca="false">IF($K726="SEM CULTURA",0,$W726*$H726)</f>
        <v>0</v>
      </c>
      <c r="AJ726" s="18" t="n">
        <f aca="false">IF($K726="SEM CULTURA",0,$S726*$H726)</f>
        <v>0</v>
      </c>
      <c r="AK726" s="8" t="str">
        <f aca="false">$E726&amp;"|"&amp;TEXT($AD726,"0.000000")</f>
        <v>PV 112|0.000000</v>
      </c>
    </row>
    <row r="727" customFormat="false" ht="15" hidden="false" customHeight="false" outlineLevel="0" collapsed="false">
      <c r="B727" s="16" t="n">
        <v>62</v>
      </c>
      <c r="C727" s="17" t="n">
        <f aca="false">DATA_INICIO_SAFRA+($B727-1)*DIAS_POR_SEMANA</f>
        <v>46692</v>
      </c>
      <c r="D727" s="17" t="n">
        <f aca="false">$C727+DIAS_POR_SEMANA-1</f>
        <v>46698</v>
      </c>
      <c r="E727" s="15" t="s">
        <v>269</v>
      </c>
      <c r="F727" s="8" t="str">
        <f aca="false">IFERROR(INDEX(CADASTRO_PIVOS!$C$6:$C$41,MATCH($E727,CADASTRO_PIVOS!$B$6:$B$41,0)),"?")</f>
        <v>RM05</v>
      </c>
      <c r="G727" s="8" t="str">
        <f aca="false">IFERROR(INDEX(CADASTRO_PIVOS!$D$6:$D$41,MATCH($E727,CADASTRO_PIVOS!$B$6:$B$41,0)),"?")</f>
        <v>TR05</v>
      </c>
      <c r="H727" s="20" t="n">
        <f aca="false">IFERROR(INDEX(CADASTRO_PIVOS!$E$6:$E$41,MATCH($E727,CADASTRO_PIVOS!$B$6:$B$41,0)),0)</f>
        <v>149.98</v>
      </c>
      <c r="I727" s="16" t="n">
        <f aca="false">IFERROR(SUMIFS(ROTACAO_RDM!$B$6:$B$71,ROTACAO_RDM!$D$6:$D$71,$E727,ROTACAO_RDM!$I$6:$I$71,"&lt;="&amp;$C727+INT(DIAS_POR_SEMANA/2),ROTACAO_RDM!$J$6:$J$71,"&gt;="&amp;$C727+INT(DIAS_POR_SEMANA/2)),0)</f>
        <v>0</v>
      </c>
      <c r="J727" s="16" t="n">
        <f aca="false">IFERROR(MATCH($I727,ROTACAO_RDM!$B$6:$B$71,0),0)</f>
        <v>0</v>
      </c>
      <c r="K727" s="8" t="str">
        <f aca="false">IF($J727=0,"SEM CULTURA",INDEX(ROTACAO_RDM!$F$6:$F$71,$J727))</f>
        <v>SEM CULTURA</v>
      </c>
      <c r="L727" s="8" t="str">
        <f aca="false">IF($J727=0,"",INDEX(ROTACAO_RDM!$G$6:$G$71,$J727))</f>
        <v/>
      </c>
      <c r="M727" s="17" t="str">
        <f aca="false">IF($J727=0,"",INDEX(ROTACAO_RDM!$I$6:$I$71,$J727))</f>
        <v/>
      </c>
      <c r="N727" s="16" t="n">
        <f aca="false">IF($J727=0,0,MAX(0,$C727+INT(DIAS_POR_SEMANA/2)-INDEX(ROTACAO_RDM!$I$6:$I$71,$J727)))</f>
        <v>0</v>
      </c>
      <c r="O727" s="19" t="n">
        <f aca="false">IF($J727=0,0,MIN(1,$N727/MAX(1,INDEX(ROTACAO_RDM!$K$6:$K$71,$J727))))</f>
        <v>0</v>
      </c>
      <c r="P727" s="16" t="n">
        <f aca="false">IF($J727=0,0,IFERROR(MATCH(INDEX(ROTACAO_RDM!$N$6:$N$71,$J727),PARAMETROS_CULTURAS!$B$6:$B$28,0),0))</f>
        <v>0</v>
      </c>
      <c r="Q727" s="8" t="str">
        <f aca="false">IF($P727=0,"-",IF($O727&lt;=INDEX(PARAMETROS_CULTURAS!$F$6:$F$28,$P727),"INICIAL",IF($O727&lt;=INDEX(PARAMETROS_CULTURAS!$F$6:$F$28,$P727)+INDEX(PARAMETROS_CULTURAS!$G$6:$G$28,$P727),"DESENVOLVIMENTO",IF($O727&lt;=INDEX(PARAMETROS_CULTURAS!$F$6:$F$28,$P727)+INDEX(PARAMETROS_CULTURAS!$G$6:$G$28,$P727)+INDEX(PARAMETROS_CULTURAS!$H$6:$H$28,$P727),"MEDIA","FINAL"))))</f>
        <v>-</v>
      </c>
      <c r="R727" s="24" t="n">
        <f aca="false">IF($P727=0,0,IF($O727&lt;=INDEX(PARAMETROS_CULTURAS!$F$6:$F$28,$P727),INDEX(PARAMETROS_CULTURAS!$K$6:$K$28,$P727),IF($O727&lt;=INDEX(PARAMETROS_CULTURAS!$F$6:$F$28,$P727)+INDEX(PARAMETROS_CULTURAS!$G$6:$G$28,$P727),INDEX(PARAMETROS_CULTURAS!$K$6:$K$28,$P727)+(INDEX(PARAMETROS_CULTURAS!$L$6:$L$28,$P727)-INDEX(PARAMETROS_CULTURAS!$K$6:$K$28,$P727))*($O727-INDEX(PARAMETROS_CULTURAS!$F$6:$F$28,$P727))/MAX(INDEX(PARAMETROS_CULTURAS!$G$6:$G$28,$P727),0.0001),IF($O727&lt;=INDEX(PARAMETROS_CULTURAS!$F$6:$F$28,$P727)+INDEX(PARAMETROS_CULTURAS!$G$6:$G$28,$P727)+INDEX(PARAMETROS_CULTURAS!$H$6:$H$28,$P727),INDEX(PARAMETROS_CULTURAS!$L$6:$L$28,$P727),INDEX(PARAMETROS_CULTURAS!$L$6:$L$28,$P727)+(INDEX(PARAMETROS_CULTURAS!$M$6:$M$28,$P727)-INDEX(PARAMETROS_CULTURAS!$L$6:$L$28,$P727))*($O727-INDEX(PARAMETROS_CULTURAS!$F$6:$F$28,$P727)-INDEX(PARAMETROS_CULTURAS!$G$6:$G$28,$P727)-INDEX(PARAMETROS_CULTURAS!$H$6:$H$28,$P727))/MAX(INDEX(PARAMETROS_CULTURAS!$I$6:$I$28,$P727),0.0001)))))</f>
        <v>0</v>
      </c>
      <c r="S727" s="18" t="n">
        <f aca="false">IFERROR(INDEX(SEMANAS!$H$6:$H$71,MATCH($B727,SEMANAS!$B$6:$B$71,0)),0)</f>
        <v>34.3</v>
      </c>
      <c r="T727" s="18" t="n">
        <f aca="false">$R727*$S727</f>
        <v>0</v>
      </c>
      <c r="U727" s="18" t="n">
        <f aca="false">IFERROR(INDEX(SEMANAS!$I$6:$I$71,MATCH($B727,SEMANAS!$B$6:$B$71,0)),0)</f>
        <v>46.69</v>
      </c>
      <c r="V727" s="18" t="n">
        <f aca="false">IFERROR(INDEX(SEMANAS!$J$6:$J$71,MATCH($B727,SEMANAS!$B$6:$B$71,0)),0)</f>
        <v>37.352</v>
      </c>
      <c r="W727" s="18" t="n">
        <f aca="false">MAX(0,$T727-$V727)</f>
        <v>0</v>
      </c>
      <c r="X727" s="19" t="n">
        <f aca="false">IFERROR(INDEX(CADASTRO_PIVOS!$K$6:$K$41,MATCH($E727,CADASTRO_PIVOS!$B$6:$B$41,0)),EFICIENCIA_PADRAO)</f>
        <v>0.85</v>
      </c>
      <c r="Y727" s="18" t="n">
        <f aca="false">IF($X727&lt;=0,0,$W727/$X727)</f>
        <v>0</v>
      </c>
      <c r="Z727" s="16" t="n">
        <f aca="false">$Y727*$H727*MM_PARA_M3_HA</f>
        <v>0</v>
      </c>
      <c r="AA727" s="18" t="n">
        <f aca="false">IFERROR(INDEX(CADASTRO_PIVOS!$I$6:$I$41,MATCH($E727,CADASTRO_PIVOS!$B$6:$B$41,0)),0)</f>
        <v>1071.28571428571</v>
      </c>
      <c r="AB727" s="18" t="n">
        <f aca="false">IF($Z727&lt;=0,0,$Z727/$AA727)</f>
        <v>0</v>
      </c>
      <c r="AC727" s="16" t="n">
        <f aca="false">IFERROR(INDEX(SEMANAS!$K$6:$K$71,MATCH($B727,SEMANAS!$B$6:$B$71,0)),0)</f>
        <v>147</v>
      </c>
      <c r="AD727" s="19" t="n">
        <f aca="false">IF($AC727&lt;=0,0,$AB727/$AC727)</f>
        <v>0</v>
      </c>
      <c r="AE727" s="8" t="str">
        <f aca="false">IF($K727="SEM CULTURA","SEM CULTURA",IF($AA727&lt;=0,"DADO PENDENTE",IF($AD727&gt;LIMITE_CRITICO,"INVIAVEL",IF($AD727&gt;LIMITE_ATENCAO,"CRITICO",IF($AD727&gt;LIMITE_CONFORTAVEL,"ATENCAO","OK")))))</f>
        <v>SEM CULTURA</v>
      </c>
      <c r="AF727" s="8" t="str">
        <f aca="false">$B727&amp;"|"&amp;TEXT($AD727,"0.000000")</f>
        <v>62|0.000000</v>
      </c>
      <c r="AG727" s="18" t="n">
        <f aca="false">IF($K727="SEM CULTURA",0,$T727*$H727)</f>
        <v>0</v>
      </c>
      <c r="AH727" s="18" t="n">
        <f aca="false">IF($K727="SEM CULTURA",0,$V727*$H727)</f>
        <v>0</v>
      </c>
      <c r="AI727" s="18" t="n">
        <f aca="false">IF($K727="SEM CULTURA",0,$W727*$H727)</f>
        <v>0</v>
      </c>
      <c r="AJ727" s="18" t="n">
        <f aca="false">IF($K727="SEM CULTURA",0,$S727*$H727)</f>
        <v>0</v>
      </c>
      <c r="AK727" s="8" t="str">
        <f aca="false">$E727&amp;"|"&amp;TEXT($AD727,"0.000000")</f>
        <v>PV 112|0.000000</v>
      </c>
    </row>
    <row r="728" customFormat="false" ht="15" hidden="false" customHeight="false" outlineLevel="0" collapsed="false">
      <c r="B728" s="16" t="n">
        <v>63</v>
      </c>
      <c r="C728" s="17" t="n">
        <f aca="false">DATA_INICIO_SAFRA+($B728-1)*DIAS_POR_SEMANA</f>
        <v>46699</v>
      </c>
      <c r="D728" s="17" t="n">
        <f aca="false">$C728+DIAS_POR_SEMANA-1</f>
        <v>46705</v>
      </c>
      <c r="E728" s="15" t="s">
        <v>269</v>
      </c>
      <c r="F728" s="8" t="str">
        <f aca="false">IFERROR(INDEX(CADASTRO_PIVOS!$C$6:$C$41,MATCH($E728,CADASTRO_PIVOS!$B$6:$B$41,0)),"?")</f>
        <v>RM05</v>
      </c>
      <c r="G728" s="8" t="str">
        <f aca="false">IFERROR(INDEX(CADASTRO_PIVOS!$D$6:$D$41,MATCH($E728,CADASTRO_PIVOS!$B$6:$B$41,0)),"?")</f>
        <v>TR05</v>
      </c>
      <c r="H728" s="20" t="n">
        <f aca="false">IFERROR(INDEX(CADASTRO_PIVOS!$E$6:$E$41,MATCH($E728,CADASTRO_PIVOS!$B$6:$B$41,0)),0)</f>
        <v>149.98</v>
      </c>
      <c r="I728" s="16" t="n">
        <f aca="false">IFERROR(SUMIFS(ROTACAO_RDM!$B$6:$B$71,ROTACAO_RDM!$D$6:$D$71,$E728,ROTACAO_RDM!$I$6:$I$71,"&lt;="&amp;$C728+INT(DIAS_POR_SEMANA/2),ROTACAO_RDM!$J$6:$J$71,"&gt;="&amp;$C728+INT(DIAS_POR_SEMANA/2)),0)</f>
        <v>0</v>
      </c>
      <c r="J728" s="16" t="n">
        <f aca="false">IFERROR(MATCH($I728,ROTACAO_RDM!$B$6:$B$71,0),0)</f>
        <v>0</v>
      </c>
      <c r="K728" s="8" t="str">
        <f aca="false">IF($J728=0,"SEM CULTURA",INDEX(ROTACAO_RDM!$F$6:$F$71,$J728))</f>
        <v>SEM CULTURA</v>
      </c>
      <c r="L728" s="8" t="str">
        <f aca="false">IF($J728=0,"",INDEX(ROTACAO_RDM!$G$6:$G$71,$J728))</f>
        <v/>
      </c>
      <c r="M728" s="17" t="str">
        <f aca="false">IF($J728=0,"",INDEX(ROTACAO_RDM!$I$6:$I$71,$J728))</f>
        <v/>
      </c>
      <c r="N728" s="16" t="n">
        <f aca="false">IF($J728=0,0,MAX(0,$C728+INT(DIAS_POR_SEMANA/2)-INDEX(ROTACAO_RDM!$I$6:$I$71,$J728)))</f>
        <v>0</v>
      </c>
      <c r="O728" s="19" t="n">
        <f aca="false">IF($J728=0,0,MIN(1,$N728/MAX(1,INDEX(ROTACAO_RDM!$K$6:$K$71,$J728))))</f>
        <v>0</v>
      </c>
      <c r="P728" s="16" t="n">
        <f aca="false">IF($J728=0,0,IFERROR(MATCH(INDEX(ROTACAO_RDM!$N$6:$N$71,$J728),PARAMETROS_CULTURAS!$B$6:$B$28,0),0))</f>
        <v>0</v>
      </c>
      <c r="Q728" s="8" t="str">
        <f aca="false">IF($P728=0,"-",IF($O728&lt;=INDEX(PARAMETROS_CULTURAS!$F$6:$F$28,$P728),"INICIAL",IF($O728&lt;=INDEX(PARAMETROS_CULTURAS!$F$6:$F$28,$P728)+INDEX(PARAMETROS_CULTURAS!$G$6:$G$28,$P728),"DESENVOLVIMENTO",IF($O728&lt;=INDEX(PARAMETROS_CULTURAS!$F$6:$F$28,$P728)+INDEX(PARAMETROS_CULTURAS!$G$6:$G$28,$P728)+INDEX(PARAMETROS_CULTURAS!$H$6:$H$28,$P728),"MEDIA","FINAL"))))</f>
        <v>-</v>
      </c>
      <c r="R728" s="24" t="n">
        <f aca="false">IF($P728=0,0,IF($O728&lt;=INDEX(PARAMETROS_CULTURAS!$F$6:$F$28,$P728),INDEX(PARAMETROS_CULTURAS!$K$6:$K$28,$P728),IF($O728&lt;=INDEX(PARAMETROS_CULTURAS!$F$6:$F$28,$P728)+INDEX(PARAMETROS_CULTURAS!$G$6:$G$28,$P728),INDEX(PARAMETROS_CULTURAS!$K$6:$K$28,$P728)+(INDEX(PARAMETROS_CULTURAS!$L$6:$L$28,$P728)-INDEX(PARAMETROS_CULTURAS!$K$6:$K$28,$P728))*($O728-INDEX(PARAMETROS_CULTURAS!$F$6:$F$28,$P728))/MAX(INDEX(PARAMETROS_CULTURAS!$G$6:$G$28,$P728),0.0001),IF($O728&lt;=INDEX(PARAMETROS_CULTURAS!$F$6:$F$28,$P728)+INDEX(PARAMETROS_CULTURAS!$G$6:$G$28,$P728)+INDEX(PARAMETROS_CULTURAS!$H$6:$H$28,$P728),INDEX(PARAMETROS_CULTURAS!$L$6:$L$28,$P728),INDEX(PARAMETROS_CULTURAS!$L$6:$L$28,$P728)+(INDEX(PARAMETROS_CULTURAS!$M$6:$M$28,$P728)-INDEX(PARAMETROS_CULTURAS!$L$6:$L$28,$P728))*($O728-INDEX(PARAMETROS_CULTURAS!$F$6:$F$28,$P728)-INDEX(PARAMETROS_CULTURAS!$G$6:$G$28,$P728)-INDEX(PARAMETROS_CULTURAS!$H$6:$H$28,$P728))/MAX(INDEX(PARAMETROS_CULTURAS!$I$6:$I$28,$P728),0.0001)))))</f>
        <v>0</v>
      </c>
      <c r="S728" s="18" t="n">
        <f aca="false">IFERROR(INDEX(SEMANAS!$H$6:$H$71,MATCH($B728,SEMANAS!$B$6:$B$71,0)),0)</f>
        <v>34.3</v>
      </c>
      <c r="T728" s="18" t="n">
        <f aca="false">$R728*$S728</f>
        <v>0</v>
      </c>
      <c r="U728" s="18" t="n">
        <f aca="false">IFERROR(INDEX(SEMANAS!$I$6:$I$71,MATCH($B728,SEMANAS!$B$6:$B$71,0)),0)</f>
        <v>46.69</v>
      </c>
      <c r="V728" s="18" t="n">
        <f aca="false">IFERROR(INDEX(SEMANAS!$J$6:$J$71,MATCH($B728,SEMANAS!$B$6:$B$71,0)),0)</f>
        <v>37.352</v>
      </c>
      <c r="W728" s="18" t="n">
        <f aca="false">MAX(0,$T728-$V728)</f>
        <v>0</v>
      </c>
      <c r="X728" s="19" t="n">
        <f aca="false">IFERROR(INDEX(CADASTRO_PIVOS!$K$6:$K$41,MATCH($E728,CADASTRO_PIVOS!$B$6:$B$41,0)),EFICIENCIA_PADRAO)</f>
        <v>0.85</v>
      </c>
      <c r="Y728" s="18" t="n">
        <f aca="false">IF($X728&lt;=0,0,$W728/$X728)</f>
        <v>0</v>
      </c>
      <c r="Z728" s="16" t="n">
        <f aca="false">$Y728*$H728*MM_PARA_M3_HA</f>
        <v>0</v>
      </c>
      <c r="AA728" s="18" t="n">
        <f aca="false">IFERROR(INDEX(CADASTRO_PIVOS!$I$6:$I$41,MATCH($E728,CADASTRO_PIVOS!$B$6:$B$41,0)),0)</f>
        <v>1071.28571428571</v>
      </c>
      <c r="AB728" s="18" t="n">
        <f aca="false">IF($Z728&lt;=0,0,$Z728/$AA728)</f>
        <v>0</v>
      </c>
      <c r="AC728" s="16" t="n">
        <f aca="false">IFERROR(INDEX(SEMANAS!$K$6:$K$71,MATCH($B728,SEMANAS!$B$6:$B$71,0)),0)</f>
        <v>147</v>
      </c>
      <c r="AD728" s="19" t="n">
        <f aca="false">IF($AC728&lt;=0,0,$AB728/$AC728)</f>
        <v>0</v>
      </c>
      <c r="AE728" s="8" t="str">
        <f aca="false">IF($K728="SEM CULTURA","SEM CULTURA",IF($AA728&lt;=0,"DADO PENDENTE",IF($AD728&gt;LIMITE_CRITICO,"INVIAVEL",IF($AD728&gt;LIMITE_ATENCAO,"CRITICO",IF($AD728&gt;LIMITE_CONFORTAVEL,"ATENCAO","OK")))))</f>
        <v>SEM CULTURA</v>
      </c>
      <c r="AF728" s="8" t="str">
        <f aca="false">$B728&amp;"|"&amp;TEXT($AD728,"0.000000")</f>
        <v>63|0.000000</v>
      </c>
      <c r="AG728" s="18" t="n">
        <f aca="false">IF($K728="SEM CULTURA",0,$T728*$H728)</f>
        <v>0</v>
      </c>
      <c r="AH728" s="18" t="n">
        <f aca="false">IF($K728="SEM CULTURA",0,$V728*$H728)</f>
        <v>0</v>
      </c>
      <c r="AI728" s="18" t="n">
        <f aca="false">IF($K728="SEM CULTURA",0,$W728*$H728)</f>
        <v>0</v>
      </c>
      <c r="AJ728" s="18" t="n">
        <f aca="false">IF($K728="SEM CULTURA",0,$S728*$H728)</f>
        <v>0</v>
      </c>
      <c r="AK728" s="8" t="str">
        <f aca="false">$E728&amp;"|"&amp;TEXT($AD728,"0.000000")</f>
        <v>PV 112|0.000000</v>
      </c>
    </row>
    <row r="729" customFormat="false" ht="15" hidden="false" customHeight="false" outlineLevel="0" collapsed="false">
      <c r="B729" s="16" t="n">
        <v>64</v>
      </c>
      <c r="C729" s="17" t="n">
        <f aca="false">DATA_INICIO_SAFRA+($B729-1)*DIAS_POR_SEMANA</f>
        <v>46706</v>
      </c>
      <c r="D729" s="17" t="n">
        <f aca="false">$C729+DIAS_POR_SEMANA-1</f>
        <v>46712</v>
      </c>
      <c r="E729" s="15" t="s">
        <v>269</v>
      </c>
      <c r="F729" s="8" t="str">
        <f aca="false">IFERROR(INDEX(CADASTRO_PIVOS!$C$6:$C$41,MATCH($E729,CADASTRO_PIVOS!$B$6:$B$41,0)),"?")</f>
        <v>RM05</v>
      </c>
      <c r="G729" s="8" t="str">
        <f aca="false">IFERROR(INDEX(CADASTRO_PIVOS!$D$6:$D$41,MATCH($E729,CADASTRO_PIVOS!$B$6:$B$41,0)),"?")</f>
        <v>TR05</v>
      </c>
      <c r="H729" s="20" t="n">
        <f aca="false">IFERROR(INDEX(CADASTRO_PIVOS!$E$6:$E$41,MATCH($E729,CADASTRO_PIVOS!$B$6:$B$41,0)),0)</f>
        <v>149.98</v>
      </c>
      <c r="I729" s="16" t="n">
        <f aca="false">IFERROR(SUMIFS(ROTACAO_RDM!$B$6:$B$71,ROTACAO_RDM!$D$6:$D$71,$E729,ROTACAO_RDM!$I$6:$I$71,"&lt;="&amp;$C729+INT(DIAS_POR_SEMANA/2),ROTACAO_RDM!$J$6:$J$71,"&gt;="&amp;$C729+INT(DIAS_POR_SEMANA/2)),0)</f>
        <v>0</v>
      </c>
      <c r="J729" s="16" t="n">
        <f aca="false">IFERROR(MATCH($I729,ROTACAO_RDM!$B$6:$B$71,0),0)</f>
        <v>0</v>
      </c>
      <c r="K729" s="8" t="str">
        <f aca="false">IF($J729=0,"SEM CULTURA",INDEX(ROTACAO_RDM!$F$6:$F$71,$J729))</f>
        <v>SEM CULTURA</v>
      </c>
      <c r="L729" s="8" t="str">
        <f aca="false">IF($J729=0,"",INDEX(ROTACAO_RDM!$G$6:$G$71,$J729))</f>
        <v/>
      </c>
      <c r="M729" s="17" t="str">
        <f aca="false">IF($J729=0,"",INDEX(ROTACAO_RDM!$I$6:$I$71,$J729))</f>
        <v/>
      </c>
      <c r="N729" s="16" t="n">
        <f aca="false">IF($J729=0,0,MAX(0,$C729+INT(DIAS_POR_SEMANA/2)-INDEX(ROTACAO_RDM!$I$6:$I$71,$J729)))</f>
        <v>0</v>
      </c>
      <c r="O729" s="19" t="n">
        <f aca="false">IF($J729=0,0,MIN(1,$N729/MAX(1,INDEX(ROTACAO_RDM!$K$6:$K$71,$J729))))</f>
        <v>0</v>
      </c>
      <c r="P729" s="16" t="n">
        <f aca="false">IF($J729=0,0,IFERROR(MATCH(INDEX(ROTACAO_RDM!$N$6:$N$71,$J729),PARAMETROS_CULTURAS!$B$6:$B$28,0),0))</f>
        <v>0</v>
      </c>
      <c r="Q729" s="8" t="str">
        <f aca="false">IF($P729=0,"-",IF($O729&lt;=INDEX(PARAMETROS_CULTURAS!$F$6:$F$28,$P729),"INICIAL",IF($O729&lt;=INDEX(PARAMETROS_CULTURAS!$F$6:$F$28,$P729)+INDEX(PARAMETROS_CULTURAS!$G$6:$G$28,$P729),"DESENVOLVIMENTO",IF($O729&lt;=INDEX(PARAMETROS_CULTURAS!$F$6:$F$28,$P729)+INDEX(PARAMETROS_CULTURAS!$G$6:$G$28,$P729)+INDEX(PARAMETROS_CULTURAS!$H$6:$H$28,$P729),"MEDIA","FINAL"))))</f>
        <v>-</v>
      </c>
      <c r="R729" s="24" t="n">
        <f aca="false">IF($P729=0,0,IF($O729&lt;=INDEX(PARAMETROS_CULTURAS!$F$6:$F$28,$P729),INDEX(PARAMETROS_CULTURAS!$K$6:$K$28,$P729),IF($O729&lt;=INDEX(PARAMETROS_CULTURAS!$F$6:$F$28,$P729)+INDEX(PARAMETROS_CULTURAS!$G$6:$G$28,$P729),INDEX(PARAMETROS_CULTURAS!$K$6:$K$28,$P729)+(INDEX(PARAMETROS_CULTURAS!$L$6:$L$28,$P729)-INDEX(PARAMETROS_CULTURAS!$K$6:$K$28,$P729))*($O729-INDEX(PARAMETROS_CULTURAS!$F$6:$F$28,$P729))/MAX(INDEX(PARAMETROS_CULTURAS!$G$6:$G$28,$P729),0.0001),IF($O729&lt;=INDEX(PARAMETROS_CULTURAS!$F$6:$F$28,$P729)+INDEX(PARAMETROS_CULTURAS!$G$6:$G$28,$P729)+INDEX(PARAMETROS_CULTURAS!$H$6:$H$28,$P729),INDEX(PARAMETROS_CULTURAS!$L$6:$L$28,$P729),INDEX(PARAMETROS_CULTURAS!$L$6:$L$28,$P729)+(INDEX(PARAMETROS_CULTURAS!$M$6:$M$28,$P729)-INDEX(PARAMETROS_CULTURAS!$L$6:$L$28,$P729))*($O729-INDEX(PARAMETROS_CULTURAS!$F$6:$F$28,$P729)-INDEX(PARAMETROS_CULTURAS!$G$6:$G$28,$P729)-INDEX(PARAMETROS_CULTURAS!$H$6:$H$28,$P729))/MAX(INDEX(PARAMETROS_CULTURAS!$I$6:$I$28,$P729),0.0001)))))</f>
        <v>0</v>
      </c>
      <c r="S729" s="18" t="n">
        <f aca="false">IFERROR(INDEX(SEMANAS!$H$6:$H$71,MATCH($B729,SEMANAS!$B$6:$B$71,0)),0)</f>
        <v>34.3</v>
      </c>
      <c r="T729" s="18" t="n">
        <f aca="false">$R729*$S729</f>
        <v>0</v>
      </c>
      <c r="U729" s="18" t="n">
        <f aca="false">IFERROR(INDEX(SEMANAS!$I$6:$I$71,MATCH($B729,SEMANAS!$B$6:$B$71,0)),0)</f>
        <v>46.69</v>
      </c>
      <c r="V729" s="18" t="n">
        <f aca="false">IFERROR(INDEX(SEMANAS!$J$6:$J$71,MATCH($B729,SEMANAS!$B$6:$B$71,0)),0)</f>
        <v>37.352</v>
      </c>
      <c r="W729" s="18" t="n">
        <f aca="false">MAX(0,$T729-$V729)</f>
        <v>0</v>
      </c>
      <c r="X729" s="19" t="n">
        <f aca="false">IFERROR(INDEX(CADASTRO_PIVOS!$K$6:$K$41,MATCH($E729,CADASTRO_PIVOS!$B$6:$B$41,0)),EFICIENCIA_PADRAO)</f>
        <v>0.85</v>
      </c>
      <c r="Y729" s="18" t="n">
        <f aca="false">IF($X729&lt;=0,0,$W729/$X729)</f>
        <v>0</v>
      </c>
      <c r="Z729" s="16" t="n">
        <f aca="false">$Y729*$H729*MM_PARA_M3_HA</f>
        <v>0</v>
      </c>
      <c r="AA729" s="18" t="n">
        <f aca="false">IFERROR(INDEX(CADASTRO_PIVOS!$I$6:$I$41,MATCH($E729,CADASTRO_PIVOS!$B$6:$B$41,0)),0)</f>
        <v>1071.28571428571</v>
      </c>
      <c r="AB729" s="18" t="n">
        <f aca="false">IF($Z729&lt;=0,0,$Z729/$AA729)</f>
        <v>0</v>
      </c>
      <c r="AC729" s="16" t="n">
        <f aca="false">IFERROR(INDEX(SEMANAS!$K$6:$K$71,MATCH($B729,SEMANAS!$B$6:$B$71,0)),0)</f>
        <v>147</v>
      </c>
      <c r="AD729" s="19" t="n">
        <f aca="false">IF($AC729&lt;=0,0,$AB729/$AC729)</f>
        <v>0</v>
      </c>
      <c r="AE729" s="8" t="str">
        <f aca="false">IF($K729="SEM CULTURA","SEM CULTURA",IF($AA729&lt;=0,"DADO PENDENTE",IF($AD729&gt;LIMITE_CRITICO,"INVIAVEL",IF($AD729&gt;LIMITE_ATENCAO,"CRITICO",IF($AD729&gt;LIMITE_CONFORTAVEL,"ATENCAO","OK")))))</f>
        <v>SEM CULTURA</v>
      </c>
      <c r="AF729" s="8" t="str">
        <f aca="false">$B729&amp;"|"&amp;TEXT($AD729,"0.000000")</f>
        <v>64|0.000000</v>
      </c>
      <c r="AG729" s="18" t="n">
        <f aca="false">IF($K729="SEM CULTURA",0,$T729*$H729)</f>
        <v>0</v>
      </c>
      <c r="AH729" s="18" t="n">
        <f aca="false">IF($K729="SEM CULTURA",0,$V729*$H729)</f>
        <v>0</v>
      </c>
      <c r="AI729" s="18" t="n">
        <f aca="false">IF($K729="SEM CULTURA",0,$W729*$H729)</f>
        <v>0</v>
      </c>
      <c r="AJ729" s="18" t="n">
        <f aca="false">IF($K729="SEM CULTURA",0,$S729*$H729)</f>
        <v>0</v>
      </c>
      <c r="AK729" s="8" t="str">
        <f aca="false">$E729&amp;"|"&amp;TEXT($AD729,"0.000000")</f>
        <v>PV 112|0.000000</v>
      </c>
    </row>
    <row r="730" customFormat="false" ht="15" hidden="false" customHeight="false" outlineLevel="0" collapsed="false">
      <c r="B730" s="16" t="n">
        <v>65</v>
      </c>
      <c r="C730" s="17" t="n">
        <f aca="false">DATA_INICIO_SAFRA+($B730-1)*DIAS_POR_SEMANA</f>
        <v>46713</v>
      </c>
      <c r="D730" s="17" t="n">
        <f aca="false">$C730+DIAS_POR_SEMANA-1</f>
        <v>46719</v>
      </c>
      <c r="E730" s="15" t="s">
        <v>269</v>
      </c>
      <c r="F730" s="8" t="str">
        <f aca="false">IFERROR(INDEX(CADASTRO_PIVOS!$C$6:$C$41,MATCH($E730,CADASTRO_PIVOS!$B$6:$B$41,0)),"?")</f>
        <v>RM05</v>
      </c>
      <c r="G730" s="8" t="str">
        <f aca="false">IFERROR(INDEX(CADASTRO_PIVOS!$D$6:$D$41,MATCH($E730,CADASTRO_PIVOS!$B$6:$B$41,0)),"?")</f>
        <v>TR05</v>
      </c>
      <c r="H730" s="20" t="n">
        <f aca="false">IFERROR(INDEX(CADASTRO_PIVOS!$E$6:$E$41,MATCH($E730,CADASTRO_PIVOS!$B$6:$B$41,0)),0)</f>
        <v>149.98</v>
      </c>
      <c r="I730" s="16" t="n">
        <f aca="false">IFERROR(SUMIFS(ROTACAO_RDM!$B$6:$B$71,ROTACAO_RDM!$D$6:$D$71,$E730,ROTACAO_RDM!$I$6:$I$71,"&lt;="&amp;$C730+INT(DIAS_POR_SEMANA/2),ROTACAO_RDM!$J$6:$J$71,"&gt;="&amp;$C730+INT(DIAS_POR_SEMANA/2)),0)</f>
        <v>0</v>
      </c>
      <c r="J730" s="16" t="n">
        <f aca="false">IFERROR(MATCH($I730,ROTACAO_RDM!$B$6:$B$71,0),0)</f>
        <v>0</v>
      </c>
      <c r="K730" s="8" t="str">
        <f aca="false">IF($J730=0,"SEM CULTURA",INDEX(ROTACAO_RDM!$F$6:$F$71,$J730))</f>
        <v>SEM CULTURA</v>
      </c>
      <c r="L730" s="8" t="str">
        <f aca="false">IF($J730=0,"",INDEX(ROTACAO_RDM!$G$6:$G$71,$J730))</f>
        <v/>
      </c>
      <c r="M730" s="17" t="str">
        <f aca="false">IF($J730=0,"",INDEX(ROTACAO_RDM!$I$6:$I$71,$J730))</f>
        <v/>
      </c>
      <c r="N730" s="16" t="n">
        <f aca="false">IF($J730=0,0,MAX(0,$C730+INT(DIAS_POR_SEMANA/2)-INDEX(ROTACAO_RDM!$I$6:$I$71,$J730)))</f>
        <v>0</v>
      </c>
      <c r="O730" s="19" t="n">
        <f aca="false">IF($J730=0,0,MIN(1,$N730/MAX(1,INDEX(ROTACAO_RDM!$K$6:$K$71,$J730))))</f>
        <v>0</v>
      </c>
      <c r="P730" s="16" t="n">
        <f aca="false">IF($J730=0,0,IFERROR(MATCH(INDEX(ROTACAO_RDM!$N$6:$N$71,$J730),PARAMETROS_CULTURAS!$B$6:$B$28,0),0))</f>
        <v>0</v>
      </c>
      <c r="Q730" s="8" t="str">
        <f aca="false">IF($P730=0,"-",IF($O730&lt;=INDEX(PARAMETROS_CULTURAS!$F$6:$F$28,$P730),"INICIAL",IF($O730&lt;=INDEX(PARAMETROS_CULTURAS!$F$6:$F$28,$P730)+INDEX(PARAMETROS_CULTURAS!$G$6:$G$28,$P730),"DESENVOLVIMENTO",IF($O730&lt;=INDEX(PARAMETROS_CULTURAS!$F$6:$F$28,$P730)+INDEX(PARAMETROS_CULTURAS!$G$6:$G$28,$P730)+INDEX(PARAMETROS_CULTURAS!$H$6:$H$28,$P730),"MEDIA","FINAL"))))</f>
        <v>-</v>
      </c>
      <c r="R730" s="24" t="n">
        <f aca="false">IF($P730=0,0,IF($O730&lt;=INDEX(PARAMETROS_CULTURAS!$F$6:$F$28,$P730),INDEX(PARAMETROS_CULTURAS!$K$6:$K$28,$P730),IF($O730&lt;=INDEX(PARAMETROS_CULTURAS!$F$6:$F$28,$P730)+INDEX(PARAMETROS_CULTURAS!$G$6:$G$28,$P730),INDEX(PARAMETROS_CULTURAS!$K$6:$K$28,$P730)+(INDEX(PARAMETROS_CULTURAS!$L$6:$L$28,$P730)-INDEX(PARAMETROS_CULTURAS!$K$6:$K$28,$P730))*($O730-INDEX(PARAMETROS_CULTURAS!$F$6:$F$28,$P730))/MAX(INDEX(PARAMETROS_CULTURAS!$G$6:$G$28,$P730),0.0001),IF($O730&lt;=INDEX(PARAMETROS_CULTURAS!$F$6:$F$28,$P730)+INDEX(PARAMETROS_CULTURAS!$G$6:$G$28,$P730)+INDEX(PARAMETROS_CULTURAS!$H$6:$H$28,$P730),INDEX(PARAMETROS_CULTURAS!$L$6:$L$28,$P730),INDEX(PARAMETROS_CULTURAS!$L$6:$L$28,$P730)+(INDEX(PARAMETROS_CULTURAS!$M$6:$M$28,$P730)-INDEX(PARAMETROS_CULTURAS!$L$6:$L$28,$P730))*($O730-INDEX(PARAMETROS_CULTURAS!$F$6:$F$28,$P730)-INDEX(PARAMETROS_CULTURAS!$G$6:$G$28,$P730)-INDEX(PARAMETROS_CULTURAS!$H$6:$H$28,$P730))/MAX(INDEX(PARAMETROS_CULTURAS!$I$6:$I$28,$P730),0.0001)))))</f>
        <v>0</v>
      </c>
      <c r="S730" s="18" t="n">
        <f aca="false">IFERROR(INDEX(SEMANAS!$H$6:$H$71,MATCH($B730,SEMANAS!$B$6:$B$71,0)),0)</f>
        <v>34.3</v>
      </c>
      <c r="T730" s="18" t="n">
        <f aca="false">$R730*$S730</f>
        <v>0</v>
      </c>
      <c r="U730" s="18" t="n">
        <f aca="false">IFERROR(INDEX(SEMANAS!$I$6:$I$71,MATCH($B730,SEMANAS!$B$6:$B$71,0)),0)</f>
        <v>46.69</v>
      </c>
      <c r="V730" s="18" t="n">
        <f aca="false">IFERROR(INDEX(SEMANAS!$J$6:$J$71,MATCH($B730,SEMANAS!$B$6:$B$71,0)),0)</f>
        <v>37.352</v>
      </c>
      <c r="W730" s="18" t="n">
        <f aca="false">MAX(0,$T730-$V730)</f>
        <v>0</v>
      </c>
      <c r="X730" s="19" t="n">
        <f aca="false">IFERROR(INDEX(CADASTRO_PIVOS!$K$6:$K$41,MATCH($E730,CADASTRO_PIVOS!$B$6:$B$41,0)),EFICIENCIA_PADRAO)</f>
        <v>0.85</v>
      </c>
      <c r="Y730" s="18" t="n">
        <f aca="false">IF($X730&lt;=0,0,$W730/$X730)</f>
        <v>0</v>
      </c>
      <c r="Z730" s="16" t="n">
        <f aca="false">$Y730*$H730*MM_PARA_M3_HA</f>
        <v>0</v>
      </c>
      <c r="AA730" s="18" t="n">
        <f aca="false">IFERROR(INDEX(CADASTRO_PIVOS!$I$6:$I$41,MATCH($E730,CADASTRO_PIVOS!$B$6:$B$41,0)),0)</f>
        <v>1071.28571428571</v>
      </c>
      <c r="AB730" s="18" t="n">
        <f aca="false">IF($Z730&lt;=0,0,$Z730/$AA730)</f>
        <v>0</v>
      </c>
      <c r="AC730" s="16" t="n">
        <f aca="false">IFERROR(INDEX(SEMANAS!$K$6:$K$71,MATCH($B730,SEMANAS!$B$6:$B$71,0)),0)</f>
        <v>147</v>
      </c>
      <c r="AD730" s="19" t="n">
        <f aca="false">IF($AC730&lt;=0,0,$AB730/$AC730)</f>
        <v>0</v>
      </c>
      <c r="AE730" s="8" t="str">
        <f aca="false">IF($K730="SEM CULTURA","SEM CULTURA",IF($AA730&lt;=0,"DADO PENDENTE",IF($AD730&gt;LIMITE_CRITICO,"INVIAVEL",IF($AD730&gt;LIMITE_ATENCAO,"CRITICO",IF($AD730&gt;LIMITE_CONFORTAVEL,"ATENCAO","OK")))))</f>
        <v>SEM CULTURA</v>
      </c>
      <c r="AF730" s="8" t="str">
        <f aca="false">$B730&amp;"|"&amp;TEXT($AD730,"0.000000")</f>
        <v>65|0.000000</v>
      </c>
      <c r="AG730" s="18" t="n">
        <f aca="false">IF($K730="SEM CULTURA",0,$T730*$H730)</f>
        <v>0</v>
      </c>
      <c r="AH730" s="18" t="n">
        <f aca="false">IF($K730="SEM CULTURA",0,$V730*$H730)</f>
        <v>0</v>
      </c>
      <c r="AI730" s="18" t="n">
        <f aca="false">IF($K730="SEM CULTURA",0,$W730*$H730)</f>
        <v>0</v>
      </c>
      <c r="AJ730" s="18" t="n">
        <f aca="false">IF($K730="SEM CULTURA",0,$S730*$H730)</f>
        <v>0</v>
      </c>
      <c r="AK730" s="8" t="str">
        <f aca="false">$E730&amp;"|"&amp;TEXT($AD730,"0.000000")</f>
        <v>PV 112|0.000000</v>
      </c>
    </row>
    <row r="731" customFormat="false" ht="15" hidden="false" customHeight="false" outlineLevel="0" collapsed="false">
      <c r="B731" s="16" t="n">
        <v>66</v>
      </c>
      <c r="C731" s="17" t="n">
        <f aca="false">DATA_INICIO_SAFRA+($B731-1)*DIAS_POR_SEMANA</f>
        <v>46720</v>
      </c>
      <c r="D731" s="17" t="n">
        <f aca="false">$C731+DIAS_POR_SEMANA-1</f>
        <v>46726</v>
      </c>
      <c r="E731" s="15" t="s">
        <v>269</v>
      </c>
      <c r="F731" s="8" t="str">
        <f aca="false">IFERROR(INDEX(CADASTRO_PIVOS!$C$6:$C$41,MATCH($E731,CADASTRO_PIVOS!$B$6:$B$41,0)),"?")</f>
        <v>RM05</v>
      </c>
      <c r="G731" s="8" t="str">
        <f aca="false">IFERROR(INDEX(CADASTRO_PIVOS!$D$6:$D$41,MATCH($E731,CADASTRO_PIVOS!$B$6:$B$41,0)),"?")</f>
        <v>TR05</v>
      </c>
      <c r="H731" s="20" t="n">
        <f aca="false">IFERROR(INDEX(CADASTRO_PIVOS!$E$6:$E$41,MATCH($E731,CADASTRO_PIVOS!$B$6:$B$41,0)),0)</f>
        <v>149.98</v>
      </c>
      <c r="I731" s="16" t="n">
        <f aca="false">IFERROR(SUMIFS(ROTACAO_RDM!$B$6:$B$71,ROTACAO_RDM!$D$6:$D$71,$E731,ROTACAO_RDM!$I$6:$I$71,"&lt;="&amp;$C731+INT(DIAS_POR_SEMANA/2),ROTACAO_RDM!$J$6:$J$71,"&gt;="&amp;$C731+INT(DIAS_POR_SEMANA/2)),0)</f>
        <v>0</v>
      </c>
      <c r="J731" s="16" t="n">
        <f aca="false">IFERROR(MATCH($I731,ROTACAO_RDM!$B$6:$B$71,0),0)</f>
        <v>0</v>
      </c>
      <c r="K731" s="8" t="str">
        <f aca="false">IF($J731=0,"SEM CULTURA",INDEX(ROTACAO_RDM!$F$6:$F$71,$J731))</f>
        <v>SEM CULTURA</v>
      </c>
      <c r="L731" s="8" t="str">
        <f aca="false">IF($J731=0,"",INDEX(ROTACAO_RDM!$G$6:$G$71,$J731))</f>
        <v/>
      </c>
      <c r="M731" s="17" t="str">
        <f aca="false">IF($J731=0,"",INDEX(ROTACAO_RDM!$I$6:$I$71,$J731))</f>
        <v/>
      </c>
      <c r="N731" s="16" t="n">
        <f aca="false">IF($J731=0,0,MAX(0,$C731+INT(DIAS_POR_SEMANA/2)-INDEX(ROTACAO_RDM!$I$6:$I$71,$J731)))</f>
        <v>0</v>
      </c>
      <c r="O731" s="19" t="n">
        <f aca="false">IF($J731=0,0,MIN(1,$N731/MAX(1,INDEX(ROTACAO_RDM!$K$6:$K$71,$J731))))</f>
        <v>0</v>
      </c>
      <c r="P731" s="16" t="n">
        <f aca="false">IF($J731=0,0,IFERROR(MATCH(INDEX(ROTACAO_RDM!$N$6:$N$71,$J731),PARAMETROS_CULTURAS!$B$6:$B$28,0),0))</f>
        <v>0</v>
      </c>
      <c r="Q731" s="8" t="str">
        <f aca="false">IF($P731=0,"-",IF($O731&lt;=INDEX(PARAMETROS_CULTURAS!$F$6:$F$28,$P731),"INICIAL",IF($O731&lt;=INDEX(PARAMETROS_CULTURAS!$F$6:$F$28,$P731)+INDEX(PARAMETROS_CULTURAS!$G$6:$G$28,$P731),"DESENVOLVIMENTO",IF($O731&lt;=INDEX(PARAMETROS_CULTURAS!$F$6:$F$28,$P731)+INDEX(PARAMETROS_CULTURAS!$G$6:$G$28,$P731)+INDEX(PARAMETROS_CULTURAS!$H$6:$H$28,$P731),"MEDIA","FINAL"))))</f>
        <v>-</v>
      </c>
      <c r="R731" s="24" t="n">
        <f aca="false">IF($P731=0,0,IF($O731&lt;=INDEX(PARAMETROS_CULTURAS!$F$6:$F$28,$P731),INDEX(PARAMETROS_CULTURAS!$K$6:$K$28,$P731),IF($O731&lt;=INDEX(PARAMETROS_CULTURAS!$F$6:$F$28,$P731)+INDEX(PARAMETROS_CULTURAS!$G$6:$G$28,$P731),INDEX(PARAMETROS_CULTURAS!$K$6:$K$28,$P731)+(INDEX(PARAMETROS_CULTURAS!$L$6:$L$28,$P731)-INDEX(PARAMETROS_CULTURAS!$K$6:$K$28,$P731))*($O731-INDEX(PARAMETROS_CULTURAS!$F$6:$F$28,$P731))/MAX(INDEX(PARAMETROS_CULTURAS!$G$6:$G$28,$P731),0.0001),IF($O731&lt;=INDEX(PARAMETROS_CULTURAS!$F$6:$F$28,$P731)+INDEX(PARAMETROS_CULTURAS!$G$6:$G$28,$P731)+INDEX(PARAMETROS_CULTURAS!$H$6:$H$28,$P731),INDEX(PARAMETROS_CULTURAS!$L$6:$L$28,$P731),INDEX(PARAMETROS_CULTURAS!$L$6:$L$28,$P731)+(INDEX(PARAMETROS_CULTURAS!$M$6:$M$28,$P731)-INDEX(PARAMETROS_CULTURAS!$L$6:$L$28,$P731))*($O731-INDEX(PARAMETROS_CULTURAS!$F$6:$F$28,$P731)-INDEX(PARAMETROS_CULTURAS!$G$6:$G$28,$P731)-INDEX(PARAMETROS_CULTURAS!$H$6:$H$28,$P731))/MAX(INDEX(PARAMETROS_CULTURAS!$I$6:$I$28,$P731),0.0001)))))</f>
        <v>0</v>
      </c>
      <c r="S731" s="18" t="n">
        <f aca="false">IFERROR(INDEX(SEMANAS!$H$6:$H$71,MATCH($B731,SEMANAS!$B$6:$B$71,0)),0)</f>
        <v>33.3</v>
      </c>
      <c r="T731" s="18" t="n">
        <f aca="false">$R731*$S731</f>
        <v>0</v>
      </c>
      <c r="U731" s="18" t="n">
        <f aca="false">IFERROR(INDEX(SEMANAS!$I$6:$I$71,MATCH($B731,SEMANAS!$B$6:$B$71,0)),0)</f>
        <v>48.04</v>
      </c>
      <c r="V731" s="18" t="n">
        <f aca="false">IFERROR(INDEX(SEMANAS!$J$6:$J$71,MATCH($B731,SEMANAS!$B$6:$B$71,0)),0)</f>
        <v>38.432</v>
      </c>
      <c r="W731" s="18" t="n">
        <f aca="false">MAX(0,$T731-$V731)</f>
        <v>0</v>
      </c>
      <c r="X731" s="19" t="n">
        <f aca="false">IFERROR(INDEX(CADASTRO_PIVOS!$K$6:$K$41,MATCH($E731,CADASTRO_PIVOS!$B$6:$B$41,0)),EFICIENCIA_PADRAO)</f>
        <v>0.85</v>
      </c>
      <c r="Y731" s="18" t="n">
        <f aca="false">IF($X731&lt;=0,0,$W731/$X731)</f>
        <v>0</v>
      </c>
      <c r="Z731" s="16" t="n">
        <f aca="false">$Y731*$H731*MM_PARA_M3_HA</f>
        <v>0</v>
      </c>
      <c r="AA731" s="18" t="n">
        <f aca="false">IFERROR(INDEX(CADASTRO_PIVOS!$I$6:$I$41,MATCH($E731,CADASTRO_PIVOS!$B$6:$B$41,0)),0)</f>
        <v>1071.28571428571</v>
      </c>
      <c r="AB731" s="18" t="n">
        <f aca="false">IF($Z731&lt;=0,0,$Z731/$AA731)</f>
        <v>0</v>
      </c>
      <c r="AC731" s="16" t="n">
        <f aca="false">IFERROR(INDEX(SEMANAS!$K$6:$K$71,MATCH($B731,SEMANAS!$B$6:$B$71,0)),0)</f>
        <v>147</v>
      </c>
      <c r="AD731" s="19" t="n">
        <f aca="false">IF($AC731&lt;=0,0,$AB731/$AC731)</f>
        <v>0</v>
      </c>
      <c r="AE731" s="8" t="str">
        <f aca="false">IF($K731="SEM CULTURA","SEM CULTURA",IF($AA731&lt;=0,"DADO PENDENTE",IF($AD731&gt;LIMITE_CRITICO,"INVIAVEL",IF($AD731&gt;LIMITE_ATENCAO,"CRITICO",IF($AD731&gt;LIMITE_CONFORTAVEL,"ATENCAO","OK")))))</f>
        <v>SEM CULTURA</v>
      </c>
      <c r="AF731" s="8" t="str">
        <f aca="false">$B731&amp;"|"&amp;TEXT($AD731,"0.000000")</f>
        <v>66|0.000000</v>
      </c>
      <c r="AG731" s="18" t="n">
        <f aca="false">IF($K731="SEM CULTURA",0,$T731*$H731)</f>
        <v>0</v>
      </c>
      <c r="AH731" s="18" t="n">
        <f aca="false">IF($K731="SEM CULTURA",0,$V731*$H731)</f>
        <v>0</v>
      </c>
      <c r="AI731" s="18" t="n">
        <f aca="false">IF($K731="SEM CULTURA",0,$W731*$H731)</f>
        <v>0</v>
      </c>
      <c r="AJ731" s="18" t="n">
        <f aca="false">IF($K731="SEM CULTURA",0,$S731*$H731)</f>
        <v>0</v>
      </c>
      <c r="AK731" s="8" t="str">
        <f aca="false">$E731&amp;"|"&amp;TEXT($AD731,"0.000000")</f>
        <v>PV 112|0.000000</v>
      </c>
    </row>
    <row r="732" customFormat="false" ht="15" hidden="false" customHeight="false" outlineLevel="0" collapsed="false">
      <c r="B732" s="16" t="n">
        <v>1</v>
      </c>
      <c r="C732" s="17" t="n">
        <f aca="false">DATA_INICIO_SAFRA+($B732-1)*DIAS_POR_SEMANA</f>
        <v>46265</v>
      </c>
      <c r="D732" s="17" t="n">
        <f aca="false">$C732+DIAS_POR_SEMANA-1</f>
        <v>46271</v>
      </c>
      <c r="E732" s="15" t="s">
        <v>270</v>
      </c>
      <c r="F732" s="8" t="str">
        <f aca="false">IFERROR(INDEX(CADASTRO_PIVOS!$C$6:$C$41,MATCH($E732,CADASTRO_PIVOS!$B$6:$B$41,0)),"?")</f>
        <v>RM05</v>
      </c>
      <c r="G732" s="8" t="str">
        <f aca="false">IFERROR(INDEX(CADASTRO_PIVOS!$D$6:$D$41,MATCH($E732,CADASTRO_PIVOS!$B$6:$B$41,0)),"?")</f>
        <v>TR05</v>
      </c>
      <c r="H732" s="20" t="n">
        <f aca="false">IFERROR(INDEX(CADASTRO_PIVOS!$E$6:$E$41,MATCH($E732,CADASTRO_PIVOS!$B$6:$B$41,0)),0)</f>
        <v>149.98</v>
      </c>
      <c r="I732" s="16" t="n">
        <f aca="false">IFERROR(SUMIFS(ROTACAO_RDM!$B$6:$B$71,ROTACAO_RDM!$D$6:$D$71,$E732,ROTACAO_RDM!$I$6:$I$71,"&lt;="&amp;$C732+INT(DIAS_POR_SEMANA/2),ROTACAO_RDM!$J$6:$J$71,"&gt;="&amp;$C732+INT(DIAS_POR_SEMANA/2)),0)</f>
        <v>0</v>
      </c>
      <c r="J732" s="16" t="n">
        <f aca="false">IFERROR(MATCH($I732,ROTACAO_RDM!$B$6:$B$71,0),0)</f>
        <v>0</v>
      </c>
      <c r="K732" s="8" t="str">
        <f aca="false">IF($J732=0,"SEM CULTURA",INDEX(ROTACAO_RDM!$F$6:$F$71,$J732))</f>
        <v>SEM CULTURA</v>
      </c>
      <c r="L732" s="8" t="str">
        <f aca="false">IF($J732=0,"",INDEX(ROTACAO_RDM!$G$6:$G$71,$J732))</f>
        <v/>
      </c>
      <c r="M732" s="17" t="str">
        <f aca="false">IF($J732=0,"",INDEX(ROTACAO_RDM!$I$6:$I$71,$J732))</f>
        <v/>
      </c>
      <c r="N732" s="16" t="n">
        <f aca="false">IF($J732=0,0,MAX(0,$C732+INT(DIAS_POR_SEMANA/2)-INDEX(ROTACAO_RDM!$I$6:$I$71,$J732)))</f>
        <v>0</v>
      </c>
      <c r="O732" s="19" t="n">
        <f aca="false">IF($J732=0,0,MIN(1,$N732/MAX(1,INDEX(ROTACAO_RDM!$K$6:$K$71,$J732))))</f>
        <v>0</v>
      </c>
      <c r="P732" s="16" t="n">
        <f aca="false">IF($J732=0,0,IFERROR(MATCH(INDEX(ROTACAO_RDM!$N$6:$N$71,$J732),PARAMETROS_CULTURAS!$B$6:$B$28,0),0))</f>
        <v>0</v>
      </c>
      <c r="Q732" s="8" t="str">
        <f aca="false">IF($P732=0,"-",IF($O732&lt;=INDEX(PARAMETROS_CULTURAS!$F$6:$F$28,$P732),"INICIAL",IF($O732&lt;=INDEX(PARAMETROS_CULTURAS!$F$6:$F$28,$P732)+INDEX(PARAMETROS_CULTURAS!$G$6:$G$28,$P732),"DESENVOLVIMENTO",IF($O732&lt;=INDEX(PARAMETROS_CULTURAS!$F$6:$F$28,$P732)+INDEX(PARAMETROS_CULTURAS!$G$6:$G$28,$P732)+INDEX(PARAMETROS_CULTURAS!$H$6:$H$28,$P732),"MEDIA","FINAL"))))</f>
        <v>-</v>
      </c>
      <c r="R732" s="24" t="n">
        <f aca="false">IF($P732=0,0,IF($O732&lt;=INDEX(PARAMETROS_CULTURAS!$F$6:$F$28,$P732),INDEX(PARAMETROS_CULTURAS!$K$6:$K$28,$P732),IF($O732&lt;=INDEX(PARAMETROS_CULTURAS!$F$6:$F$28,$P732)+INDEX(PARAMETROS_CULTURAS!$G$6:$G$28,$P732),INDEX(PARAMETROS_CULTURAS!$K$6:$K$28,$P732)+(INDEX(PARAMETROS_CULTURAS!$L$6:$L$28,$P732)-INDEX(PARAMETROS_CULTURAS!$K$6:$K$28,$P732))*($O732-INDEX(PARAMETROS_CULTURAS!$F$6:$F$28,$P732))/MAX(INDEX(PARAMETROS_CULTURAS!$G$6:$G$28,$P732),0.0001),IF($O732&lt;=INDEX(PARAMETROS_CULTURAS!$F$6:$F$28,$P732)+INDEX(PARAMETROS_CULTURAS!$G$6:$G$28,$P732)+INDEX(PARAMETROS_CULTURAS!$H$6:$H$28,$P732),INDEX(PARAMETROS_CULTURAS!$L$6:$L$28,$P732),INDEX(PARAMETROS_CULTURAS!$L$6:$L$28,$P732)+(INDEX(PARAMETROS_CULTURAS!$M$6:$M$28,$P732)-INDEX(PARAMETROS_CULTURAS!$L$6:$L$28,$P732))*($O732-INDEX(PARAMETROS_CULTURAS!$F$6:$F$28,$P732)-INDEX(PARAMETROS_CULTURAS!$G$6:$G$28,$P732)-INDEX(PARAMETROS_CULTURAS!$H$6:$H$28,$P732))/MAX(INDEX(PARAMETROS_CULTURAS!$I$6:$I$28,$P732),0.0001)))))</f>
        <v>0</v>
      </c>
      <c r="S732" s="18" t="n">
        <f aca="false">IFERROR(INDEX(SEMANAS!$H$6:$H$71,MATCH($B732,SEMANAS!$B$6:$B$71,0)),0)</f>
        <v>40</v>
      </c>
      <c r="T732" s="18" t="n">
        <f aca="false">$R732*$S732</f>
        <v>0</v>
      </c>
      <c r="U732" s="18" t="n">
        <f aca="false">IFERROR(INDEX(SEMANAS!$I$6:$I$71,MATCH($B732,SEMANAS!$B$6:$B$71,0)),0)</f>
        <v>6.16</v>
      </c>
      <c r="V732" s="18" t="n">
        <f aca="false">IFERROR(INDEX(SEMANAS!$J$6:$J$71,MATCH($B732,SEMANAS!$B$6:$B$71,0)),0)</f>
        <v>4.928</v>
      </c>
      <c r="W732" s="18" t="n">
        <f aca="false">MAX(0,$T732-$V732)</f>
        <v>0</v>
      </c>
      <c r="X732" s="19" t="n">
        <f aca="false">IFERROR(INDEX(CADASTRO_PIVOS!$K$6:$K$41,MATCH($E732,CADASTRO_PIVOS!$B$6:$B$41,0)),EFICIENCIA_PADRAO)</f>
        <v>0.85</v>
      </c>
      <c r="Y732" s="18" t="n">
        <f aca="false">IF($X732&lt;=0,0,$W732/$X732)</f>
        <v>0</v>
      </c>
      <c r="Z732" s="16" t="n">
        <f aca="false">$Y732*$H732*MM_PARA_M3_HA</f>
        <v>0</v>
      </c>
      <c r="AA732" s="18" t="n">
        <f aca="false">IFERROR(INDEX(CADASTRO_PIVOS!$I$6:$I$41,MATCH($E732,CADASTRO_PIVOS!$B$6:$B$41,0)),0)</f>
        <v>928.447619047619</v>
      </c>
      <c r="AB732" s="18" t="n">
        <f aca="false">IF($Z732&lt;=0,0,$Z732/$AA732)</f>
        <v>0</v>
      </c>
      <c r="AC732" s="16" t="n">
        <f aca="false">IFERROR(INDEX(SEMANAS!$K$6:$K$71,MATCH($B732,SEMANAS!$B$6:$B$71,0)),0)</f>
        <v>147</v>
      </c>
      <c r="AD732" s="19" t="n">
        <f aca="false">IF($AC732&lt;=0,0,$AB732/$AC732)</f>
        <v>0</v>
      </c>
      <c r="AE732" s="8" t="str">
        <f aca="false">IF($K732="SEM CULTURA","SEM CULTURA",IF($AA732&lt;=0,"DADO PENDENTE",IF($AD732&gt;LIMITE_CRITICO,"INVIAVEL",IF($AD732&gt;LIMITE_ATENCAO,"CRITICO",IF($AD732&gt;LIMITE_CONFORTAVEL,"ATENCAO","OK")))))</f>
        <v>SEM CULTURA</v>
      </c>
      <c r="AF732" s="8" t="str">
        <f aca="false">$B732&amp;"|"&amp;TEXT($AD732,"0.000000")</f>
        <v>1|0.000000</v>
      </c>
      <c r="AG732" s="18" t="n">
        <f aca="false">IF($K732="SEM CULTURA",0,$T732*$H732)</f>
        <v>0</v>
      </c>
      <c r="AH732" s="18" t="n">
        <f aca="false">IF($K732="SEM CULTURA",0,$V732*$H732)</f>
        <v>0</v>
      </c>
      <c r="AI732" s="18" t="n">
        <f aca="false">IF($K732="SEM CULTURA",0,$W732*$H732)</f>
        <v>0</v>
      </c>
      <c r="AJ732" s="18" t="n">
        <f aca="false">IF($K732="SEM CULTURA",0,$S732*$H732)</f>
        <v>0</v>
      </c>
      <c r="AK732" s="8" t="str">
        <f aca="false">$E732&amp;"|"&amp;TEXT($AD732,"0.000000")</f>
        <v>PV 113|0.000000</v>
      </c>
    </row>
    <row r="733" customFormat="false" ht="15" hidden="false" customHeight="false" outlineLevel="0" collapsed="false">
      <c r="B733" s="16" t="n">
        <v>2</v>
      </c>
      <c r="C733" s="17" t="n">
        <f aca="false">DATA_INICIO_SAFRA+($B733-1)*DIAS_POR_SEMANA</f>
        <v>46272</v>
      </c>
      <c r="D733" s="17" t="n">
        <f aca="false">$C733+DIAS_POR_SEMANA-1</f>
        <v>46278</v>
      </c>
      <c r="E733" s="15" t="s">
        <v>270</v>
      </c>
      <c r="F733" s="8" t="str">
        <f aca="false">IFERROR(INDEX(CADASTRO_PIVOS!$C$6:$C$41,MATCH($E733,CADASTRO_PIVOS!$B$6:$B$41,0)),"?")</f>
        <v>RM05</v>
      </c>
      <c r="G733" s="8" t="str">
        <f aca="false">IFERROR(INDEX(CADASTRO_PIVOS!$D$6:$D$41,MATCH($E733,CADASTRO_PIVOS!$B$6:$B$41,0)),"?")</f>
        <v>TR05</v>
      </c>
      <c r="H733" s="20" t="n">
        <f aca="false">IFERROR(INDEX(CADASTRO_PIVOS!$E$6:$E$41,MATCH($E733,CADASTRO_PIVOS!$B$6:$B$41,0)),0)</f>
        <v>149.98</v>
      </c>
      <c r="I733" s="16" t="n">
        <f aca="false">IFERROR(SUMIFS(ROTACAO_RDM!$B$6:$B$71,ROTACAO_RDM!$D$6:$D$71,$E733,ROTACAO_RDM!$I$6:$I$71,"&lt;="&amp;$C733+INT(DIAS_POR_SEMANA/2),ROTACAO_RDM!$J$6:$J$71,"&gt;="&amp;$C733+INT(DIAS_POR_SEMANA/2)),0)</f>
        <v>0</v>
      </c>
      <c r="J733" s="16" t="n">
        <f aca="false">IFERROR(MATCH($I733,ROTACAO_RDM!$B$6:$B$71,0),0)</f>
        <v>0</v>
      </c>
      <c r="K733" s="8" t="str">
        <f aca="false">IF($J733=0,"SEM CULTURA",INDEX(ROTACAO_RDM!$F$6:$F$71,$J733))</f>
        <v>SEM CULTURA</v>
      </c>
      <c r="L733" s="8" t="str">
        <f aca="false">IF($J733=0,"",INDEX(ROTACAO_RDM!$G$6:$G$71,$J733))</f>
        <v/>
      </c>
      <c r="M733" s="17" t="str">
        <f aca="false">IF($J733=0,"",INDEX(ROTACAO_RDM!$I$6:$I$71,$J733))</f>
        <v/>
      </c>
      <c r="N733" s="16" t="n">
        <f aca="false">IF($J733=0,0,MAX(0,$C733+INT(DIAS_POR_SEMANA/2)-INDEX(ROTACAO_RDM!$I$6:$I$71,$J733)))</f>
        <v>0</v>
      </c>
      <c r="O733" s="19" t="n">
        <f aca="false">IF($J733=0,0,MIN(1,$N733/MAX(1,INDEX(ROTACAO_RDM!$K$6:$K$71,$J733))))</f>
        <v>0</v>
      </c>
      <c r="P733" s="16" t="n">
        <f aca="false">IF($J733=0,0,IFERROR(MATCH(INDEX(ROTACAO_RDM!$N$6:$N$71,$J733),PARAMETROS_CULTURAS!$B$6:$B$28,0),0))</f>
        <v>0</v>
      </c>
      <c r="Q733" s="8" t="str">
        <f aca="false">IF($P733=0,"-",IF($O733&lt;=INDEX(PARAMETROS_CULTURAS!$F$6:$F$28,$P733),"INICIAL",IF($O733&lt;=INDEX(PARAMETROS_CULTURAS!$F$6:$F$28,$P733)+INDEX(PARAMETROS_CULTURAS!$G$6:$G$28,$P733),"DESENVOLVIMENTO",IF($O733&lt;=INDEX(PARAMETROS_CULTURAS!$F$6:$F$28,$P733)+INDEX(PARAMETROS_CULTURAS!$G$6:$G$28,$P733)+INDEX(PARAMETROS_CULTURAS!$H$6:$H$28,$P733),"MEDIA","FINAL"))))</f>
        <v>-</v>
      </c>
      <c r="R733" s="24" t="n">
        <f aca="false">IF($P733=0,0,IF($O733&lt;=INDEX(PARAMETROS_CULTURAS!$F$6:$F$28,$P733),INDEX(PARAMETROS_CULTURAS!$K$6:$K$28,$P733),IF($O733&lt;=INDEX(PARAMETROS_CULTURAS!$F$6:$F$28,$P733)+INDEX(PARAMETROS_CULTURAS!$G$6:$G$28,$P733),INDEX(PARAMETROS_CULTURAS!$K$6:$K$28,$P733)+(INDEX(PARAMETROS_CULTURAS!$L$6:$L$28,$P733)-INDEX(PARAMETROS_CULTURAS!$K$6:$K$28,$P733))*($O733-INDEX(PARAMETROS_CULTURAS!$F$6:$F$28,$P733))/MAX(INDEX(PARAMETROS_CULTURAS!$G$6:$G$28,$P733),0.0001),IF($O733&lt;=INDEX(PARAMETROS_CULTURAS!$F$6:$F$28,$P733)+INDEX(PARAMETROS_CULTURAS!$G$6:$G$28,$P733)+INDEX(PARAMETROS_CULTURAS!$H$6:$H$28,$P733),INDEX(PARAMETROS_CULTURAS!$L$6:$L$28,$P733),INDEX(PARAMETROS_CULTURAS!$L$6:$L$28,$P733)+(INDEX(PARAMETROS_CULTURAS!$M$6:$M$28,$P733)-INDEX(PARAMETROS_CULTURAS!$L$6:$L$28,$P733))*($O733-INDEX(PARAMETROS_CULTURAS!$F$6:$F$28,$P733)-INDEX(PARAMETROS_CULTURAS!$G$6:$G$28,$P733)-INDEX(PARAMETROS_CULTURAS!$H$6:$H$28,$P733))/MAX(INDEX(PARAMETROS_CULTURAS!$I$6:$I$28,$P733),0.0001)))))</f>
        <v>0</v>
      </c>
      <c r="S733" s="18" t="n">
        <f aca="false">IFERROR(INDEX(SEMANAS!$H$6:$H$71,MATCH($B733,SEMANAS!$B$6:$B$71,0)),0)</f>
        <v>40.6</v>
      </c>
      <c r="T733" s="18" t="n">
        <f aca="false">$R733*$S733</f>
        <v>0</v>
      </c>
      <c r="U733" s="18" t="n">
        <f aca="false">IFERROR(INDEX(SEMANAS!$I$6:$I$71,MATCH($B733,SEMANAS!$B$6:$B$71,0)),0)</f>
        <v>7</v>
      </c>
      <c r="V733" s="18" t="n">
        <f aca="false">IFERROR(INDEX(SEMANAS!$J$6:$J$71,MATCH($B733,SEMANAS!$B$6:$B$71,0)),0)</f>
        <v>5.6</v>
      </c>
      <c r="W733" s="18" t="n">
        <f aca="false">MAX(0,$T733-$V733)</f>
        <v>0</v>
      </c>
      <c r="X733" s="19" t="n">
        <f aca="false">IFERROR(INDEX(CADASTRO_PIVOS!$K$6:$K$41,MATCH($E733,CADASTRO_PIVOS!$B$6:$B$41,0)),EFICIENCIA_PADRAO)</f>
        <v>0.85</v>
      </c>
      <c r="Y733" s="18" t="n">
        <f aca="false">IF($X733&lt;=0,0,$W733/$X733)</f>
        <v>0</v>
      </c>
      <c r="Z733" s="16" t="n">
        <f aca="false">$Y733*$H733*MM_PARA_M3_HA</f>
        <v>0</v>
      </c>
      <c r="AA733" s="18" t="n">
        <f aca="false">IFERROR(INDEX(CADASTRO_PIVOS!$I$6:$I$41,MATCH($E733,CADASTRO_PIVOS!$B$6:$B$41,0)),0)</f>
        <v>928.447619047619</v>
      </c>
      <c r="AB733" s="18" t="n">
        <f aca="false">IF($Z733&lt;=0,0,$Z733/$AA733)</f>
        <v>0</v>
      </c>
      <c r="AC733" s="16" t="n">
        <f aca="false">IFERROR(INDEX(SEMANAS!$K$6:$K$71,MATCH($B733,SEMANAS!$B$6:$B$71,0)),0)</f>
        <v>147</v>
      </c>
      <c r="AD733" s="19" t="n">
        <f aca="false">IF($AC733&lt;=0,0,$AB733/$AC733)</f>
        <v>0</v>
      </c>
      <c r="AE733" s="8" t="str">
        <f aca="false">IF($K733="SEM CULTURA","SEM CULTURA",IF($AA733&lt;=0,"DADO PENDENTE",IF($AD733&gt;LIMITE_CRITICO,"INVIAVEL",IF($AD733&gt;LIMITE_ATENCAO,"CRITICO",IF($AD733&gt;LIMITE_CONFORTAVEL,"ATENCAO","OK")))))</f>
        <v>SEM CULTURA</v>
      </c>
      <c r="AF733" s="8" t="str">
        <f aca="false">$B733&amp;"|"&amp;TEXT($AD733,"0.000000")</f>
        <v>2|0.000000</v>
      </c>
      <c r="AG733" s="18" t="n">
        <f aca="false">IF($K733="SEM CULTURA",0,$T733*$H733)</f>
        <v>0</v>
      </c>
      <c r="AH733" s="18" t="n">
        <f aca="false">IF($K733="SEM CULTURA",0,$V733*$H733)</f>
        <v>0</v>
      </c>
      <c r="AI733" s="18" t="n">
        <f aca="false">IF($K733="SEM CULTURA",0,$W733*$H733)</f>
        <v>0</v>
      </c>
      <c r="AJ733" s="18" t="n">
        <f aca="false">IF($K733="SEM CULTURA",0,$S733*$H733)</f>
        <v>0</v>
      </c>
      <c r="AK733" s="8" t="str">
        <f aca="false">$E733&amp;"|"&amp;TEXT($AD733,"0.000000")</f>
        <v>PV 113|0.000000</v>
      </c>
    </row>
    <row r="734" customFormat="false" ht="15" hidden="false" customHeight="false" outlineLevel="0" collapsed="false">
      <c r="B734" s="16" t="n">
        <v>3</v>
      </c>
      <c r="C734" s="17" t="n">
        <f aca="false">DATA_INICIO_SAFRA+($B734-1)*DIAS_POR_SEMANA</f>
        <v>46279</v>
      </c>
      <c r="D734" s="17" t="n">
        <f aca="false">$C734+DIAS_POR_SEMANA-1</f>
        <v>46285</v>
      </c>
      <c r="E734" s="15" t="s">
        <v>270</v>
      </c>
      <c r="F734" s="8" t="str">
        <f aca="false">IFERROR(INDEX(CADASTRO_PIVOS!$C$6:$C$41,MATCH($E734,CADASTRO_PIVOS!$B$6:$B$41,0)),"?")</f>
        <v>RM05</v>
      </c>
      <c r="G734" s="8" t="str">
        <f aca="false">IFERROR(INDEX(CADASTRO_PIVOS!$D$6:$D$41,MATCH($E734,CADASTRO_PIVOS!$B$6:$B$41,0)),"?")</f>
        <v>TR05</v>
      </c>
      <c r="H734" s="20" t="n">
        <f aca="false">IFERROR(INDEX(CADASTRO_PIVOS!$E$6:$E$41,MATCH($E734,CADASTRO_PIVOS!$B$6:$B$41,0)),0)</f>
        <v>149.98</v>
      </c>
      <c r="I734" s="16" t="n">
        <f aca="false">IFERROR(SUMIFS(ROTACAO_RDM!$B$6:$B$71,ROTACAO_RDM!$D$6:$D$71,$E734,ROTACAO_RDM!$I$6:$I$71,"&lt;="&amp;$C734+INT(DIAS_POR_SEMANA/2),ROTACAO_RDM!$J$6:$J$71,"&gt;="&amp;$C734+INT(DIAS_POR_SEMANA/2)),0)</f>
        <v>0</v>
      </c>
      <c r="J734" s="16" t="n">
        <f aca="false">IFERROR(MATCH($I734,ROTACAO_RDM!$B$6:$B$71,0),0)</f>
        <v>0</v>
      </c>
      <c r="K734" s="8" t="str">
        <f aca="false">IF($J734=0,"SEM CULTURA",INDEX(ROTACAO_RDM!$F$6:$F$71,$J734))</f>
        <v>SEM CULTURA</v>
      </c>
      <c r="L734" s="8" t="str">
        <f aca="false">IF($J734=0,"",INDEX(ROTACAO_RDM!$G$6:$G$71,$J734))</f>
        <v/>
      </c>
      <c r="M734" s="17" t="str">
        <f aca="false">IF($J734=0,"",INDEX(ROTACAO_RDM!$I$6:$I$71,$J734))</f>
        <v/>
      </c>
      <c r="N734" s="16" t="n">
        <f aca="false">IF($J734=0,0,MAX(0,$C734+INT(DIAS_POR_SEMANA/2)-INDEX(ROTACAO_RDM!$I$6:$I$71,$J734)))</f>
        <v>0</v>
      </c>
      <c r="O734" s="19" t="n">
        <f aca="false">IF($J734=0,0,MIN(1,$N734/MAX(1,INDEX(ROTACAO_RDM!$K$6:$K$71,$J734))))</f>
        <v>0</v>
      </c>
      <c r="P734" s="16" t="n">
        <f aca="false">IF($J734=0,0,IFERROR(MATCH(INDEX(ROTACAO_RDM!$N$6:$N$71,$J734),PARAMETROS_CULTURAS!$B$6:$B$28,0),0))</f>
        <v>0</v>
      </c>
      <c r="Q734" s="8" t="str">
        <f aca="false">IF($P734=0,"-",IF($O734&lt;=INDEX(PARAMETROS_CULTURAS!$F$6:$F$28,$P734),"INICIAL",IF($O734&lt;=INDEX(PARAMETROS_CULTURAS!$F$6:$F$28,$P734)+INDEX(PARAMETROS_CULTURAS!$G$6:$G$28,$P734),"DESENVOLVIMENTO",IF($O734&lt;=INDEX(PARAMETROS_CULTURAS!$F$6:$F$28,$P734)+INDEX(PARAMETROS_CULTURAS!$G$6:$G$28,$P734)+INDEX(PARAMETROS_CULTURAS!$H$6:$H$28,$P734),"MEDIA","FINAL"))))</f>
        <v>-</v>
      </c>
      <c r="R734" s="24" t="n">
        <f aca="false">IF($P734=0,0,IF($O734&lt;=INDEX(PARAMETROS_CULTURAS!$F$6:$F$28,$P734),INDEX(PARAMETROS_CULTURAS!$K$6:$K$28,$P734),IF($O734&lt;=INDEX(PARAMETROS_CULTURAS!$F$6:$F$28,$P734)+INDEX(PARAMETROS_CULTURAS!$G$6:$G$28,$P734),INDEX(PARAMETROS_CULTURAS!$K$6:$K$28,$P734)+(INDEX(PARAMETROS_CULTURAS!$L$6:$L$28,$P734)-INDEX(PARAMETROS_CULTURAS!$K$6:$K$28,$P734))*($O734-INDEX(PARAMETROS_CULTURAS!$F$6:$F$28,$P734))/MAX(INDEX(PARAMETROS_CULTURAS!$G$6:$G$28,$P734),0.0001),IF($O734&lt;=INDEX(PARAMETROS_CULTURAS!$F$6:$F$28,$P734)+INDEX(PARAMETROS_CULTURAS!$G$6:$G$28,$P734)+INDEX(PARAMETROS_CULTURAS!$H$6:$H$28,$P734),INDEX(PARAMETROS_CULTURAS!$L$6:$L$28,$P734),INDEX(PARAMETROS_CULTURAS!$L$6:$L$28,$P734)+(INDEX(PARAMETROS_CULTURAS!$M$6:$M$28,$P734)-INDEX(PARAMETROS_CULTURAS!$L$6:$L$28,$P734))*($O734-INDEX(PARAMETROS_CULTURAS!$F$6:$F$28,$P734)-INDEX(PARAMETROS_CULTURAS!$G$6:$G$28,$P734)-INDEX(PARAMETROS_CULTURAS!$H$6:$H$28,$P734))/MAX(INDEX(PARAMETROS_CULTURAS!$I$6:$I$28,$P734),0.0001)))))</f>
        <v>0</v>
      </c>
      <c r="S734" s="18" t="n">
        <f aca="false">IFERROR(INDEX(SEMANAS!$H$6:$H$71,MATCH($B734,SEMANAS!$B$6:$B$71,0)),0)</f>
        <v>40.6</v>
      </c>
      <c r="T734" s="18" t="n">
        <f aca="false">$R734*$S734</f>
        <v>0</v>
      </c>
      <c r="U734" s="18" t="n">
        <f aca="false">IFERROR(INDEX(SEMANAS!$I$6:$I$71,MATCH($B734,SEMANAS!$B$6:$B$71,0)),0)</f>
        <v>7</v>
      </c>
      <c r="V734" s="18" t="n">
        <f aca="false">IFERROR(INDEX(SEMANAS!$J$6:$J$71,MATCH($B734,SEMANAS!$B$6:$B$71,0)),0)</f>
        <v>5.6</v>
      </c>
      <c r="W734" s="18" t="n">
        <f aca="false">MAX(0,$T734-$V734)</f>
        <v>0</v>
      </c>
      <c r="X734" s="19" t="n">
        <f aca="false">IFERROR(INDEX(CADASTRO_PIVOS!$K$6:$K$41,MATCH($E734,CADASTRO_PIVOS!$B$6:$B$41,0)),EFICIENCIA_PADRAO)</f>
        <v>0.85</v>
      </c>
      <c r="Y734" s="18" t="n">
        <f aca="false">IF($X734&lt;=0,0,$W734/$X734)</f>
        <v>0</v>
      </c>
      <c r="Z734" s="16" t="n">
        <f aca="false">$Y734*$H734*MM_PARA_M3_HA</f>
        <v>0</v>
      </c>
      <c r="AA734" s="18" t="n">
        <f aca="false">IFERROR(INDEX(CADASTRO_PIVOS!$I$6:$I$41,MATCH($E734,CADASTRO_PIVOS!$B$6:$B$41,0)),0)</f>
        <v>928.447619047619</v>
      </c>
      <c r="AB734" s="18" t="n">
        <f aca="false">IF($Z734&lt;=0,0,$Z734/$AA734)</f>
        <v>0</v>
      </c>
      <c r="AC734" s="16" t="n">
        <f aca="false">IFERROR(INDEX(SEMANAS!$K$6:$K$71,MATCH($B734,SEMANAS!$B$6:$B$71,0)),0)</f>
        <v>147</v>
      </c>
      <c r="AD734" s="19" t="n">
        <f aca="false">IF($AC734&lt;=0,0,$AB734/$AC734)</f>
        <v>0</v>
      </c>
      <c r="AE734" s="8" t="str">
        <f aca="false">IF($K734="SEM CULTURA","SEM CULTURA",IF($AA734&lt;=0,"DADO PENDENTE",IF($AD734&gt;LIMITE_CRITICO,"INVIAVEL",IF($AD734&gt;LIMITE_ATENCAO,"CRITICO",IF($AD734&gt;LIMITE_CONFORTAVEL,"ATENCAO","OK")))))</f>
        <v>SEM CULTURA</v>
      </c>
      <c r="AF734" s="8" t="str">
        <f aca="false">$B734&amp;"|"&amp;TEXT($AD734,"0.000000")</f>
        <v>3|0.000000</v>
      </c>
      <c r="AG734" s="18" t="n">
        <f aca="false">IF($K734="SEM CULTURA",0,$T734*$H734)</f>
        <v>0</v>
      </c>
      <c r="AH734" s="18" t="n">
        <f aca="false">IF($K734="SEM CULTURA",0,$V734*$H734)</f>
        <v>0</v>
      </c>
      <c r="AI734" s="18" t="n">
        <f aca="false">IF($K734="SEM CULTURA",0,$W734*$H734)</f>
        <v>0</v>
      </c>
      <c r="AJ734" s="18" t="n">
        <f aca="false">IF($K734="SEM CULTURA",0,$S734*$H734)</f>
        <v>0</v>
      </c>
      <c r="AK734" s="8" t="str">
        <f aca="false">$E734&amp;"|"&amp;TEXT($AD734,"0.000000")</f>
        <v>PV 113|0.000000</v>
      </c>
    </row>
    <row r="735" customFormat="false" ht="15" hidden="false" customHeight="false" outlineLevel="0" collapsed="false">
      <c r="B735" s="16" t="n">
        <v>4</v>
      </c>
      <c r="C735" s="17" t="n">
        <f aca="false">DATA_INICIO_SAFRA+($B735-1)*DIAS_POR_SEMANA</f>
        <v>46286</v>
      </c>
      <c r="D735" s="17" t="n">
        <f aca="false">$C735+DIAS_POR_SEMANA-1</f>
        <v>46292</v>
      </c>
      <c r="E735" s="15" t="s">
        <v>270</v>
      </c>
      <c r="F735" s="8" t="str">
        <f aca="false">IFERROR(INDEX(CADASTRO_PIVOS!$C$6:$C$41,MATCH($E735,CADASTRO_PIVOS!$B$6:$B$41,0)),"?")</f>
        <v>RM05</v>
      </c>
      <c r="G735" s="8" t="str">
        <f aca="false">IFERROR(INDEX(CADASTRO_PIVOS!$D$6:$D$41,MATCH($E735,CADASTRO_PIVOS!$B$6:$B$41,0)),"?")</f>
        <v>TR05</v>
      </c>
      <c r="H735" s="20" t="n">
        <f aca="false">IFERROR(INDEX(CADASTRO_PIVOS!$E$6:$E$41,MATCH($E735,CADASTRO_PIVOS!$B$6:$B$41,0)),0)</f>
        <v>149.98</v>
      </c>
      <c r="I735" s="16" t="n">
        <f aca="false">IFERROR(SUMIFS(ROTACAO_RDM!$B$6:$B$71,ROTACAO_RDM!$D$6:$D$71,$E735,ROTACAO_RDM!$I$6:$I$71,"&lt;="&amp;$C735+INT(DIAS_POR_SEMANA/2),ROTACAO_RDM!$J$6:$J$71,"&gt;="&amp;$C735+INT(DIAS_POR_SEMANA/2)),0)</f>
        <v>0</v>
      </c>
      <c r="J735" s="16" t="n">
        <f aca="false">IFERROR(MATCH($I735,ROTACAO_RDM!$B$6:$B$71,0),0)</f>
        <v>0</v>
      </c>
      <c r="K735" s="8" t="str">
        <f aca="false">IF($J735=0,"SEM CULTURA",INDEX(ROTACAO_RDM!$F$6:$F$71,$J735))</f>
        <v>SEM CULTURA</v>
      </c>
      <c r="L735" s="8" t="str">
        <f aca="false">IF($J735=0,"",INDEX(ROTACAO_RDM!$G$6:$G$71,$J735))</f>
        <v/>
      </c>
      <c r="M735" s="17" t="str">
        <f aca="false">IF($J735=0,"",INDEX(ROTACAO_RDM!$I$6:$I$71,$J735))</f>
        <v/>
      </c>
      <c r="N735" s="16" t="n">
        <f aca="false">IF($J735=0,0,MAX(0,$C735+INT(DIAS_POR_SEMANA/2)-INDEX(ROTACAO_RDM!$I$6:$I$71,$J735)))</f>
        <v>0</v>
      </c>
      <c r="O735" s="19" t="n">
        <f aca="false">IF($J735=0,0,MIN(1,$N735/MAX(1,INDEX(ROTACAO_RDM!$K$6:$K$71,$J735))))</f>
        <v>0</v>
      </c>
      <c r="P735" s="16" t="n">
        <f aca="false">IF($J735=0,0,IFERROR(MATCH(INDEX(ROTACAO_RDM!$N$6:$N$71,$J735),PARAMETROS_CULTURAS!$B$6:$B$28,0),0))</f>
        <v>0</v>
      </c>
      <c r="Q735" s="8" t="str">
        <f aca="false">IF($P735=0,"-",IF($O735&lt;=INDEX(PARAMETROS_CULTURAS!$F$6:$F$28,$P735),"INICIAL",IF($O735&lt;=INDEX(PARAMETROS_CULTURAS!$F$6:$F$28,$P735)+INDEX(PARAMETROS_CULTURAS!$G$6:$G$28,$P735),"DESENVOLVIMENTO",IF($O735&lt;=INDEX(PARAMETROS_CULTURAS!$F$6:$F$28,$P735)+INDEX(PARAMETROS_CULTURAS!$G$6:$G$28,$P735)+INDEX(PARAMETROS_CULTURAS!$H$6:$H$28,$P735),"MEDIA","FINAL"))))</f>
        <v>-</v>
      </c>
      <c r="R735" s="24" t="n">
        <f aca="false">IF($P735=0,0,IF($O735&lt;=INDEX(PARAMETROS_CULTURAS!$F$6:$F$28,$P735),INDEX(PARAMETROS_CULTURAS!$K$6:$K$28,$P735),IF($O735&lt;=INDEX(PARAMETROS_CULTURAS!$F$6:$F$28,$P735)+INDEX(PARAMETROS_CULTURAS!$G$6:$G$28,$P735),INDEX(PARAMETROS_CULTURAS!$K$6:$K$28,$P735)+(INDEX(PARAMETROS_CULTURAS!$L$6:$L$28,$P735)-INDEX(PARAMETROS_CULTURAS!$K$6:$K$28,$P735))*($O735-INDEX(PARAMETROS_CULTURAS!$F$6:$F$28,$P735))/MAX(INDEX(PARAMETROS_CULTURAS!$G$6:$G$28,$P735),0.0001),IF($O735&lt;=INDEX(PARAMETROS_CULTURAS!$F$6:$F$28,$P735)+INDEX(PARAMETROS_CULTURAS!$G$6:$G$28,$P735)+INDEX(PARAMETROS_CULTURAS!$H$6:$H$28,$P735),INDEX(PARAMETROS_CULTURAS!$L$6:$L$28,$P735),INDEX(PARAMETROS_CULTURAS!$L$6:$L$28,$P735)+(INDEX(PARAMETROS_CULTURAS!$M$6:$M$28,$P735)-INDEX(PARAMETROS_CULTURAS!$L$6:$L$28,$P735))*($O735-INDEX(PARAMETROS_CULTURAS!$F$6:$F$28,$P735)-INDEX(PARAMETROS_CULTURAS!$G$6:$G$28,$P735)-INDEX(PARAMETROS_CULTURAS!$H$6:$H$28,$P735))/MAX(INDEX(PARAMETROS_CULTURAS!$I$6:$I$28,$P735),0.0001)))))</f>
        <v>0</v>
      </c>
      <c r="S735" s="18" t="n">
        <f aca="false">IFERROR(INDEX(SEMANAS!$H$6:$H$71,MATCH($B735,SEMANAS!$B$6:$B$71,0)),0)</f>
        <v>40.6</v>
      </c>
      <c r="T735" s="18" t="n">
        <f aca="false">$R735*$S735</f>
        <v>0</v>
      </c>
      <c r="U735" s="18" t="n">
        <f aca="false">IFERROR(INDEX(SEMANAS!$I$6:$I$71,MATCH($B735,SEMANAS!$B$6:$B$71,0)),0)</f>
        <v>7</v>
      </c>
      <c r="V735" s="18" t="n">
        <f aca="false">IFERROR(INDEX(SEMANAS!$J$6:$J$71,MATCH($B735,SEMANAS!$B$6:$B$71,0)),0)</f>
        <v>5.6</v>
      </c>
      <c r="W735" s="18" t="n">
        <f aca="false">MAX(0,$T735-$V735)</f>
        <v>0</v>
      </c>
      <c r="X735" s="19" t="n">
        <f aca="false">IFERROR(INDEX(CADASTRO_PIVOS!$K$6:$K$41,MATCH($E735,CADASTRO_PIVOS!$B$6:$B$41,0)),EFICIENCIA_PADRAO)</f>
        <v>0.85</v>
      </c>
      <c r="Y735" s="18" t="n">
        <f aca="false">IF($X735&lt;=0,0,$W735/$X735)</f>
        <v>0</v>
      </c>
      <c r="Z735" s="16" t="n">
        <f aca="false">$Y735*$H735*MM_PARA_M3_HA</f>
        <v>0</v>
      </c>
      <c r="AA735" s="18" t="n">
        <f aca="false">IFERROR(INDEX(CADASTRO_PIVOS!$I$6:$I$41,MATCH($E735,CADASTRO_PIVOS!$B$6:$B$41,0)),0)</f>
        <v>928.447619047619</v>
      </c>
      <c r="AB735" s="18" t="n">
        <f aca="false">IF($Z735&lt;=0,0,$Z735/$AA735)</f>
        <v>0</v>
      </c>
      <c r="AC735" s="16" t="n">
        <f aca="false">IFERROR(INDEX(SEMANAS!$K$6:$K$71,MATCH($B735,SEMANAS!$B$6:$B$71,0)),0)</f>
        <v>147</v>
      </c>
      <c r="AD735" s="19" t="n">
        <f aca="false">IF($AC735&lt;=0,0,$AB735/$AC735)</f>
        <v>0</v>
      </c>
      <c r="AE735" s="8" t="str">
        <f aca="false">IF($K735="SEM CULTURA","SEM CULTURA",IF($AA735&lt;=0,"DADO PENDENTE",IF($AD735&gt;LIMITE_CRITICO,"INVIAVEL",IF($AD735&gt;LIMITE_ATENCAO,"CRITICO",IF($AD735&gt;LIMITE_CONFORTAVEL,"ATENCAO","OK")))))</f>
        <v>SEM CULTURA</v>
      </c>
      <c r="AF735" s="8" t="str">
        <f aca="false">$B735&amp;"|"&amp;TEXT($AD735,"0.000000")</f>
        <v>4|0.000000</v>
      </c>
      <c r="AG735" s="18" t="n">
        <f aca="false">IF($K735="SEM CULTURA",0,$T735*$H735)</f>
        <v>0</v>
      </c>
      <c r="AH735" s="18" t="n">
        <f aca="false">IF($K735="SEM CULTURA",0,$V735*$H735)</f>
        <v>0</v>
      </c>
      <c r="AI735" s="18" t="n">
        <f aca="false">IF($K735="SEM CULTURA",0,$W735*$H735)</f>
        <v>0</v>
      </c>
      <c r="AJ735" s="18" t="n">
        <f aca="false">IF($K735="SEM CULTURA",0,$S735*$H735)</f>
        <v>0</v>
      </c>
      <c r="AK735" s="8" t="str">
        <f aca="false">$E735&amp;"|"&amp;TEXT($AD735,"0.000000")</f>
        <v>PV 113|0.000000</v>
      </c>
    </row>
    <row r="736" customFormat="false" ht="15" hidden="false" customHeight="false" outlineLevel="0" collapsed="false">
      <c r="B736" s="16" t="n">
        <v>5</v>
      </c>
      <c r="C736" s="17" t="n">
        <f aca="false">DATA_INICIO_SAFRA+($B736-1)*DIAS_POR_SEMANA</f>
        <v>46293</v>
      </c>
      <c r="D736" s="17" t="n">
        <f aca="false">$C736+DIAS_POR_SEMANA-1</f>
        <v>46299</v>
      </c>
      <c r="E736" s="15" t="s">
        <v>270</v>
      </c>
      <c r="F736" s="8" t="str">
        <f aca="false">IFERROR(INDEX(CADASTRO_PIVOS!$C$6:$C$41,MATCH($E736,CADASTRO_PIVOS!$B$6:$B$41,0)),"?")</f>
        <v>RM05</v>
      </c>
      <c r="G736" s="8" t="str">
        <f aca="false">IFERROR(INDEX(CADASTRO_PIVOS!$D$6:$D$41,MATCH($E736,CADASTRO_PIVOS!$B$6:$B$41,0)),"?")</f>
        <v>TR05</v>
      </c>
      <c r="H736" s="20" t="n">
        <f aca="false">IFERROR(INDEX(CADASTRO_PIVOS!$E$6:$E$41,MATCH($E736,CADASTRO_PIVOS!$B$6:$B$41,0)),0)</f>
        <v>149.98</v>
      </c>
      <c r="I736" s="16" t="n">
        <f aca="false">IFERROR(SUMIFS(ROTACAO_RDM!$B$6:$B$71,ROTACAO_RDM!$D$6:$D$71,$E736,ROTACAO_RDM!$I$6:$I$71,"&lt;="&amp;$C736+INT(DIAS_POR_SEMANA/2),ROTACAO_RDM!$J$6:$J$71,"&gt;="&amp;$C736+INT(DIAS_POR_SEMANA/2)),0)</f>
        <v>0</v>
      </c>
      <c r="J736" s="16" t="n">
        <f aca="false">IFERROR(MATCH($I736,ROTACAO_RDM!$B$6:$B$71,0),0)</f>
        <v>0</v>
      </c>
      <c r="K736" s="8" t="str">
        <f aca="false">IF($J736=0,"SEM CULTURA",INDEX(ROTACAO_RDM!$F$6:$F$71,$J736))</f>
        <v>SEM CULTURA</v>
      </c>
      <c r="L736" s="8" t="str">
        <f aca="false">IF($J736=0,"",INDEX(ROTACAO_RDM!$G$6:$G$71,$J736))</f>
        <v/>
      </c>
      <c r="M736" s="17" t="str">
        <f aca="false">IF($J736=0,"",INDEX(ROTACAO_RDM!$I$6:$I$71,$J736))</f>
        <v/>
      </c>
      <c r="N736" s="16" t="n">
        <f aca="false">IF($J736=0,0,MAX(0,$C736+INT(DIAS_POR_SEMANA/2)-INDEX(ROTACAO_RDM!$I$6:$I$71,$J736)))</f>
        <v>0</v>
      </c>
      <c r="O736" s="19" t="n">
        <f aca="false">IF($J736=0,0,MIN(1,$N736/MAX(1,INDEX(ROTACAO_RDM!$K$6:$K$71,$J736))))</f>
        <v>0</v>
      </c>
      <c r="P736" s="16" t="n">
        <f aca="false">IF($J736=0,0,IFERROR(MATCH(INDEX(ROTACAO_RDM!$N$6:$N$71,$J736),PARAMETROS_CULTURAS!$B$6:$B$28,0),0))</f>
        <v>0</v>
      </c>
      <c r="Q736" s="8" t="str">
        <f aca="false">IF($P736=0,"-",IF($O736&lt;=INDEX(PARAMETROS_CULTURAS!$F$6:$F$28,$P736),"INICIAL",IF($O736&lt;=INDEX(PARAMETROS_CULTURAS!$F$6:$F$28,$P736)+INDEX(PARAMETROS_CULTURAS!$G$6:$G$28,$P736),"DESENVOLVIMENTO",IF($O736&lt;=INDEX(PARAMETROS_CULTURAS!$F$6:$F$28,$P736)+INDEX(PARAMETROS_CULTURAS!$G$6:$G$28,$P736)+INDEX(PARAMETROS_CULTURAS!$H$6:$H$28,$P736),"MEDIA","FINAL"))))</f>
        <v>-</v>
      </c>
      <c r="R736" s="24" t="n">
        <f aca="false">IF($P736=0,0,IF($O736&lt;=INDEX(PARAMETROS_CULTURAS!$F$6:$F$28,$P736),INDEX(PARAMETROS_CULTURAS!$K$6:$K$28,$P736),IF($O736&lt;=INDEX(PARAMETROS_CULTURAS!$F$6:$F$28,$P736)+INDEX(PARAMETROS_CULTURAS!$G$6:$G$28,$P736),INDEX(PARAMETROS_CULTURAS!$K$6:$K$28,$P736)+(INDEX(PARAMETROS_CULTURAS!$L$6:$L$28,$P736)-INDEX(PARAMETROS_CULTURAS!$K$6:$K$28,$P736))*($O736-INDEX(PARAMETROS_CULTURAS!$F$6:$F$28,$P736))/MAX(INDEX(PARAMETROS_CULTURAS!$G$6:$G$28,$P736),0.0001),IF($O736&lt;=INDEX(PARAMETROS_CULTURAS!$F$6:$F$28,$P736)+INDEX(PARAMETROS_CULTURAS!$G$6:$G$28,$P736)+INDEX(PARAMETROS_CULTURAS!$H$6:$H$28,$P736),INDEX(PARAMETROS_CULTURAS!$L$6:$L$28,$P736),INDEX(PARAMETROS_CULTURAS!$L$6:$L$28,$P736)+(INDEX(PARAMETROS_CULTURAS!$M$6:$M$28,$P736)-INDEX(PARAMETROS_CULTURAS!$L$6:$L$28,$P736))*($O736-INDEX(PARAMETROS_CULTURAS!$F$6:$F$28,$P736)-INDEX(PARAMETROS_CULTURAS!$G$6:$G$28,$P736)-INDEX(PARAMETROS_CULTURAS!$H$6:$H$28,$P736))/MAX(INDEX(PARAMETROS_CULTURAS!$I$6:$I$28,$P736),0.0001)))))</f>
        <v>0</v>
      </c>
      <c r="S736" s="18" t="n">
        <f aca="false">IFERROR(INDEX(SEMANAS!$H$6:$H$71,MATCH($B736,SEMANAS!$B$6:$B$71,0)),0)</f>
        <v>39.8</v>
      </c>
      <c r="T736" s="18" t="n">
        <f aca="false">$R736*$S736</f>
        <v>0</v>
      </c>
      <c r="U736" s="18" t="n">
        <f aca="false">IFERROR(INDEX(SEMANAS!$I$6:$I$71,MATCH($B736,SEMANAS!$B$6:$B$71,0)),0)</f>
        <v>18.48</v>
      </c>
      <c r="V736" s="18" t="n">
        <f aca="false">IFERROR(INDEX(SEMANAS!$J$6:$J$71,MATCH($B736,SEMANAS!$B$6:$B$71,0)),0)</f>
        <v>14.784</v>
      </c>
      <c r="W736" s="18" t="n">
        <f aca="false">MAX(0,$T736-$V736)</f>
        <v>0</v>
      </c>
      <c r="X736" s="19" t="n">
        <f aca="false">IFERROR(INDEX(CADASTRO_PIVOS!$K$6:$K$41,MATCH($E736,CADASTRO_PIVOS!$B$6:$B$41,0)),EFICIENCIA_PADRAO)</f>
        <v>0.85</v>
      </c>
      <c r="Y736" s="18" t="n">
        <f aca="false">IF($X736&lt;=0,0,$W736/$X736)</f>
        <v>0</v>
      </c>
      <c r="Z736" s="16" t="n">
        <f aca="false">$Y736*$H736*MM_PARA_M3_HA</f>
        <v>0</v>
      </c>
      <c r="AA736" s="18" t="n">
        <f aca="false">IFERROR(INDEX(CADASTRO_PIVOS!$I$6:$I$41,MATCH($E736,CADASTRO_PIVOS!$B$6:$B$41,0)),0)</f>
        <v>928.447619047619</v>
      </c>
      <c r="AB736" s="18" t="n">
        <f aca="false">IF($Z736&lt;=0,0,$Z736/$AA736)</f>
        <v>0</v>
      </c>
      <c r="AC736" s="16" t="n">
        <f aca="false">IFERROR(INDEX(SEMANAS!$K$6:$K$71,MATCH($B736,SEMANAS!$B$6:$B$71,0)),0)</f>
        <v>147</v>
      </c>
      <c r="AD736" s="19" t="n">
        <f aca="false">IF($AC736&lt;=0,0,$AB736/$AC736)</f>
        <v>0</v>
      </c>
      <c r="AE736" s="8" t="str">
        <f aca="false">IF($K736="SEM CULTURA","SEM CULTURA",IF($AA736&lt;=0,"DADO PENDENTE",IF($AD736&gt;LIMITE_CRITICO,"INVIAVEL",IF($AD736&gt;LIMITE_ATENCAO,"CRITICO",IF($AD736&gt;LIMITE_CONFORTAVEL,"ATENCAO","OK")))))</f>
        <v>SEM CULTURA</v>
      </c>
      <c r="AF736" s="8" t="str">
        <f aca="false">$B736&amp;"|"&amp;TEXT($AD736,"0.000000")</f>
        <v>5|0.000000</v>
      </c>
      <c r="AG736" s="18" t="n">
        <f aca="false">IF($K736="SEM CULTURA",0,$T736*$H736)</f>
        <v>0</v>
      </c>
      <c r="AH736" s="18" t="n">
        <f aca="false">IF($K736="SEM CULTURA",0,$V736*$H736)</f>
        <v>0</v>
      </c>
      <c r="AI736" s="18" t="n">
        <f aca="false">IF($K736="SEM CULTURA",0,$W736*$H736)</f>
        <v>0</v>
      </c>
      <c r="AJ736" s="18" t="n">
        <f aca="false">IF($K736="SEM CULTURA",0,$S736*$H736)</f>
        <v>0</v>
      </c>
      <c r="AK736" s="8" t="str">
        <f aca="false">$E736&amp;"|"&amp;TEXT($AD736,"0.000000")</f>
        <v>PV 113|0.000000</v>
      </c>
    </row>
    <row r="737" customFormat="false" ht="15" hidden="false" customHeight="false" outlineLevel="0" collapsed="false">
      <c r="B737" s="16" t="n">
        <v>6</v>
      </c>
      <c r="C737" s="17" t="n">
        <f aca="false">DATA_INICIO_SAFRA+($B737-1)*DIAS_POR_SEMANA</f>
        <v>46300</v>
      </c>
      <c r="D737" s="17" t="n">
        <f aca="false">$C737+DIAS_POR_SEMANA-1</f>
        <v>46306</v>
      </c>
      <c r="E737" s="15" t="s">
        <v>270</v>
      </c>
      <c r="F737" s="8" t="str">
        <f aca="false">IFERROR(INDEX(CADASTRO_PIVOS!$C$6:$C$41,MATCH($E737,CADASTRO_PIVOS!$B$6:$B$41,0)),"?")</f>
        <v>RM05</v>
      </c>
      <c r="G737" s="8" t="str">
        <f aca="false">IFERROR(INDEX(CADASTRO_PIVOS!$D$6:$D$41,MATCH($E737,CADASTRO_PIVOS!$B$6:$B$41,0)),"?")</f>
        <v>TR05</v>
      </c>
      <c r="H737" s="20" t="n">
        <f aca="false">IFERROR(INDEX(CADASTRO_PIVOS!$E$6:$E$41,MATCH($E737,CADASTRO_PIVOS!$B$6:$B$41,0)),0)</f>
        <v>149.98</v>
      </c>
      <c r="I737" s="16" t="n">
        <f aca="false">IFERROR(SUMIFS(ROTACAO_RDM!$B$6:$B$71,ROTACAO_RDM!$D$6:$D$71,$E737,ROTACAO_RDM!$I$6:$I$71,"&lt;="&amp;$C737+INT(DIAS_POR_SEMANA/2),ROTACAO_RDM!$J$6:$J$71,"&gt;="&amp;$C737+INT(DIAS_POR_SEMANA/2)),0)</f>
        <v>0</v>
      </c>
      <c r="J737" s="16" t="n">
        <f aca="false">IFERROR(MATCH($I737,ROTACAO_RDM!$B$6:$B$71,0),0)</f>
        <v>0</v>
      </c>
      <c r="K737" s="8" t="str">
        <f aca="false">IF($J737=0,"SEM CULTURA",INDEX(ROTACAO_RDM!$F$6:$F$71,$J737))</f>
        <v>SEM CULTURA</v>
      </c>
      <c r="L737" s="8" t="str">
        <f aca="false">IF($J737=0,"",INDEX(ROTACAO_RDM!$G$6:$G$71,$J737))</f>
        <v/>
      </c>
      <c r="M737" s="17" t="str">
        <f aca="false">IF($J737=0,"",INDEX(ROTACAO_RDM!$I$6:$I$71,$J737))</f>
        <v/>
      </c>
      <c r="N737" s="16" t="n">
        <f aca="false">IF($J737=0,0,MAX(0,$C737+INT(DIAS_POR_SEMANA/2)-INDEX(ROTACAO_RDM!$I$6:$I$71,$J737)))</f>
        <v>0</v>
      </c>
      <c r="O737" s="19" t="n">
        <f aca="false">IF($J737=0,0,MIN(1,$N737/MAX(1,INDEX(ROTACAO_RDM!$K$6:$K$71,$J737))))</f>
        <v>0</v>
      </c>
      <c r="P737" s="16" t="n">
        <f aca="false">IF($J737=0,0,IFERROR(MATCH(INDEX(ROTACAO_RDM!$N$6:$N$71,$J737),PARAMETROS_CULTURAS!$B$6:$B$28,0),0))</f>
        <v>0</v>
      </c>
      <c r="Q737" s="8" t="str">
        <f aca="false">IF($P737=0,"-",IF($O737&lt;=INDEX(PARAMETROS_CULTURAS!$F$6:$F$28,$P737),"INICIAL",IF($O737&lt;=INDEX(PARAMETROS_CULTURAS!$F$6:$F$28,$P737)+INDEX(PARAMETROS_CULTURAS!$G$6:$G$28,$P737),"DESENVOLVIMENTO",IF($O737&lt;=INDEX(PARAMETROS_CULTURAS!$F$6:$F$28,$P737)+INDEX(PARAMETROS_CULTURAS!$G$6:$G$28,$P737)+INDEX(PARAMETROS_CULTURAS!$H$6:$H$28,$P737),"MEDIA","FINAL"))))</f>
        <v>-</v>
      </c>
      <c r="R737" s="24" t="n">
        <f aca="false">IF($P737=0,0,IF($O737&lt;=INDEX(PARAMETROS_CULTURAS!$F$6:$F$28,$P737),INDEX(PARAMETROS_CULTURAS!$K$6:$K$28,$P737),IF($O737&lt;=INDEX(PARAMETROS_CULTURAS!$F$6:$F$28,$P737)+INDEX(PARAMETROS_CULTURAS!$G$6:$G$28,$P737),INDEX(PARAMETROS_CULTURAS!$K$6:$K$28,$P737)+(INDEX(PARAMETROS_CULTURAS!$L$6:$L$28,$P737)-INDEX(PARAMETROS_CULTURAS!$K$6:$K$28,$P737))*($O737-INDEX(PARAMETROS_CULTURAS!$F$6:$F$28,$P737))/MAX(INDEX(PARAMETROS_CULTURAS!$G$6:$G$28,$P737),0.0001),IF($O737&lt;=INDEX(PARAMETROS_CULTURAS!$F$6:$F$28,$P737)+INDEX(PARAMETROS_CULTURAS!$G$6:$G$28,$P737)+INDEX(PARAMETROS_CULTURAS!$H$6:$H$28,$P737),INDEX(PARAMETROS_CULTURAS!$L$6:$L$28,$P737),INDEX(PARAMETROS_CULTURAS!$L$6:$L$28,$P737)+(INDEX(PARAMETROS_CULTURAS!$M$6:$M$28,$P737)-INDEX(PARAMETROS_CULTURAS!$L$6:$L$28,$P737))*($O737-INDEX(PARAMETROS_CULTURAS!$F$6:$F$28,$P737)-INDEX(PARAMETROS_CULTURAS!$G$6:$G$28,$P737)-INDEX(PARAMETROS_CULTURAS!$H$6:$H$28,$P737))/MAX(INDEX(PARAMETROS_CULTURAS!$I$6:$I$28,$P737),0.0001)))))</f>
        <v>0</v>
      </c>
      <c r="S737" s="18" t="n">
        <f aca="false">IFERROR(INDEX(SEMANAS!$H$6:$H$71,MATCH($B737,SEMANAS!$B$6:$B$71,0)),0)</f>
        <v>39.2</v>
      </c>
      <c r="T737" s="18" t="n">
        <f aca="false">$R737*$S737</f>
        <v>0</v>
      </c>
      <c r="U737" s="18" t="n">
        <f aca="false">IFERROR(INDEX(SEMANAS!$I$6:$I$71,MATCH($B737,SEMANAS!$B$6:$B$71,0)),0)</f>
        <v>27.09</v>
      </c>
      <c r="V737" s="18" t="n">
        <f aca="false">IFERROR(INDEX(SEMANAS!$J$6:$J$71,MATCH($B737,SEMANAS!$B$6:$B$71,0)),0)</f>
        <v>21.672</v>
      </c>
      <c r="W737" s="18" t="n">
        <f aca="false">MAX(0,$T737-$V737)</f>
        <v>0</v>
      </c>
      <c r="X737" s="19" t="n">
        <f aca="false">IFERROR(INDEX(CADASTRO_PIVOS!$K$6:$K$41,MATCH($E737,CADASTRO_PIVOS!$B$6:$B$41,0)),EFICIENCIA_PADRAO)</f>
        <v>0.85</v>
      </c>
      <c r="Y737" s="18" t="n">
        <f aca="false">IF($X737&lt;=0,0,$W737/$X737)</f>
        <v>0</v>
      </c>
      <c r="Z737" s="16" t="n">
        <f aca="false">$Y737*$H737*MM_PARA_M3_HA</f>
        <v>0</v>
      </c>
      <c r="AA737" s="18" t="n">
        <f aca="false">IFERROR(INDEX(CADASTRO_PIVOS!$I$6:$I$41,MATCH($E737,CADASTRO_PIVOS!$B$6:$B$41,0)),0)</f>
        <v>928.447619047619</v>
      </c>
      <c r="AB737" s="18" t="n">
        <f aca="false">IF($Z737&lt;=0,0,$Z737/$AA737)</f>
        <v>0</v>
      </c>
      <c r="AC737" s="16" t="n">
        <f aca="false">IFERROR(INDEX(SEMANAS!$K$6:$K$71,MATCH($B737,SEMANAS!$B$6:$B$71,0)),0)</f>
        <v>147</v>
      </c>
      <c r="AD737" s="19" t="n">
        <f aca="false">IF($AC737&lt;=0,0,$AB737/$AC737)</f>
        <v>0</v>
      </c>
      <c r="AE737" s="8" t="str">
        <f aca="false">IF($K737="SEM CULTURA","SEM CULTURA",IF($AA737&lt;=0,"DADO PENDENTE",IF($AD737&gt;LIMITE_CRITICO,"INVIAVEL",IF($AD737&gt;LIMITE_ATENCAO,"CRITICO",IF($AD737&gt;LIMITE_CONFORTAVEL,"ATENCAO","OK")))))</f>
        <v>SEM CULTURA</v>
      </c>
      <c r="AF737" s="8" t="str">
        <f aca="false">$B737&amp;"|"&amp;TEXT($AD737,"0.000000")</f>
        <v>6|0.000000</v>
      </c>
      <c r="AG737" s="18" t="n">
        <f aca="false">IF($K737="SEM CULTURA",0,$T737*$H737)</f>
        <v>0</v>
      </c>
      <c r="AH737" s="18" t="n">
        <f aca="false">IF($K737="SEM CULTURA",0,$V737*$H737)</f>
        <v>0</v>
      </c>
      <c r="AI737" s="18" t="n">
        <f aca="false">IF($K737="SEM CULTURA",0,$W737*$H737)</f>
        <v>0</v>
      </c>
      <c r="AJ737" s="18" t="n">
        <f aca="false">IF($K737="SEM CULTURA",0,$S737*$H737)</f>
        <v>0</v>
      </c>
      <c r="AK737" s="8" t="str">
        <f aca="false">$E737&amp;"|"&amp;TEXT($AD737,"0.000000")</f>
        <v>PV 113|0.000000</v>
      </c>
    </row>
    <row r="738" customFormat="false" ht="15" hidden="false" customHeight="false" outlineLevel="0" collapsed="false">
      <c r="B738" s="16" t="n">
        <v>7</v>
      </c>
      <c r="C738" s="17" t="n">
        <f aca="false">DATA_INICIO_SAFRA+($B738-1)*DIAS_POR_SEMANA</f>
        <v>46307</v>
      </c>
      <c r="D738" s="17" t="n">
        <f aca="false">$C738+DIAS_POR_SEMANA-1</f>
        <v>46313</v>
      </c>
      <c r="E738" s="15" t="s">
        <v>270</v>
      </c>
      <c r="F738" s="8" t="str">
        <f aca="false">IFERROR(INDEX(CADASTRO_PIVOS!$C$6:$C$41,MATCH($E738,CADASTRO_PIVOS!$B$6:$B$41,0)),"?")</f>
        <v>RM05</v>
      </c>
      <c r="G738" s="8" t="str">
        <f aca="false">IFERROR(INDEX(CADASTRO_PIVOS!$D$6:$D$41,MATCH($E738,CADASTRO_PIVOS!$B$6:$B$41,0)),"?")</f>
        <v>TR05</v>
      </c>
      <c r="H738" s="20" t="n">
        <f aca="false">IFERROR(INDEX(CADASTRO_PIVOS!$E$6:$E$41,MATCH($E738,CADASTRO_PIVOS!$B$6:$B$41,0)),0)</f>
        <v>149.98</v>
      </c>
      <c r="I738" s="16" t="n">
        <f aca="false">IFERROR(SUMIFS(ROTACAO_RDM!$B$6:$B$71,ROTACAO_RDM!$D$6:$D$71,$E738,ROTACAO_RDM!$I$6:$I$71,"&lt;="&amp;$C738+INT(DIAS_POR_SEMANA/2),ROTACAO_RDM!$J$6:$J$71,"&gt;="&amp;$C738+INT(DIAS_POR_SEMANA/2)),0)</f>
        <v>22</v>
      </c>
      <c r="J738" s="16" t="n">
        <f aca="false">IFERROR(MATCH($I738,ROTACAO_RDM!$B$6:$B$71,0),0)</f>
        <v>22</v>
      </c>
      <c r="K738" s="8" t="str">
        <f aca="false">IF($J738=0,"SEM CULTURA",INDEX(ROTACAO_RDM!$F$6:$F$71,$J738))</f>
        <v>SOJA</v>
      </c>
      <c r="L738" s="8" t="str">
        <f aca="false">IF($J738=0,"",INDEX(ROTACAO_RDM!$G$6:$G$71,$J738))</f>
        <v>NEO 761 I2X</v>
      </c>
      <c r="M738" s="17" t="n">
        <f aca="false">IF($J738=0,"",INDEX(ROTACAO_RDM!$I$6:$I$71,$J738))</f>
        <v>46307</v>
      </c>
      <c r="N738" s="16" t="n">
        <f aca="false">IF($J738=0,0,MAX(0,$C738+INT(DIAS_POR_SEMANA/2)-INDEX(ROTACAO_RDM!$I$6:$I$71,$J738)))</f>
        <v>3</v>
      </c>
      <c r="O738" s="19" t="n">
        <f aca="false">IF($J738=0,0,MIN(1,$N738/MAX(1,INDEX(ROTACAO_RDM!$K$6:$K$71,$J738))))</f>
        <v>0.0258620689655172</v>
      </c>
      <c r="P738" s="16" t="n">
        <f aca="false">IF($J738=0,0,IFERROR(MATCH(INDEX(ROTACAO_RDM!$N$6:$N$71,$J738),PARAMETROS_CULTURAS!$B$6:$B$28,0),0))</f>
        <v>2</v>
      </c>
      <c r="Q738" s="8" t="str">
        <f aca="false">IF($P738=0,"-",IF($O738&lt;=INDEX(PARAMETROS_CULTURAS!$F$6:$F$28,$P738),"INICIAL",IF($O738&lt;=INDEX(PARAMETROS_CULTURAS!$F$6:$F$28,$P738)+INDEX(PARAMETROS_CULTURAS!$G$6:$G$28,$P738),"DESENVOLVIMENTO",IF($O738&lt;=INDEX(PARAMETROS_CULTURAS!$F$6:$F$28,$P738)+INDEX(PARAMETROS_CULTURAS!$G$6:$G$28,$P738)+INDEX(PARAMETROS_CULTURAS!$H$6:$H$28,$P738),"MEDIA","FINAL"))))</f>
        <v>INICIAL</v>
      </c>
      <c r="R738" s="24" t="n">
        <f aca="false">IF($P738=0,0,IF($O738&lt;=INDEX(PARAMETROS_CULTURAS!$F$6:$F$28,$P738),INDEX(PARAMETROS_CULTURAS!$K$6:$K$28,$P738),IF($O738&lt;=INDEX(PARAMETROS_CULTURAS!$F$6:$F$28,$P738)+INDEX(PARAMETROS_CULTURAS!$G$6:$G$28,$P738),INDEX(PARAMETROS_CULTURAS!$K$6:$K$28,$P738)+(INDEX(PARAMETROS_CULTURAS!$L$6:$L$28,$P738)-INDEX(PARAMETROS_CULTURAS!$K$6:$K$28,$P738))*($O738-INDEX(PARAMETROS_CULTURAS!$F$6:$F$28,$P738))/MAX(INDEX(PARAMETROS_CULTURAS!$G$6:$G$28,$P738),0.0001),IF($O738&lt;=INDEX(PARAMETROS_CULTURAS!$F$6:$F$28,$P738)+INDEX(PARAMETROS_CULTURAS!$G$6:$G$28,$P738)+INDEX(PARAMETROS_CULTURAS!$H$6:$H$28,$P738),INDEX(PARAMETROS_CULTURAS!$L$6:$L$28,$P738),INDEX(PARAMETROS_CULTURAS!$L$6:$L$28,$P738)+(INDEX(PARAMETROS_CULTURAS!$M$6:$M$28,$P738)-INDEX(PARAMETROS_CULTURAS!$L$6:$L$28,$P738))*($O738-INDEX(PARAMETROS_CULTURAS!$F$6:$F$28,$P738)-INDEX(PARAMETROS_CULTURAS!$G$6:$G$28,$P738)-INDEX(PARAMETROS_CULTURAS!$H$6:$H$28,$P738))/MAX(INDEX(PARAMETROS_CULTURAS!$I$6:$I$28,$P738),0.0001)))))</f>
        <v>0.4</v>
      </c>
      <c r="S738" s="18" t="n">
        <f aca="false">IFERROR(INDEX(SEMANAS!$H$6:$H$71,MATCH($B738,SEMANAS!$B$6:$B$71,0)),0)</f>
        <v>39.2</v>
      </c>
      <c r="T738" s="18" t="n">
        <f aca="false">$R738*$S738</f>
        <v>15.68</v>
      </c>
      <c r="U738" s="18" t="n">
        <f aca="false">IFERROR(INDEX(SEMANAS!$I$6:$I$71,MATCH($B738,SEMANAS!$B$6:$B$71,0)),0)</f>
        <v>27.09</v>
      </c>
      <c r="V738" s="18" t="n">
        <f aca="false">IFERROR(INDEX(SEMANAS!$J$6:$J$71,MATCH($B738,SEMANAS!$B$6:$B$71,0)),0)</f>
        <v>21.672</v>
      </c>
      <c r="W738" s="18" t="n">
        <f aca="false">MAX(0,$T738-$V738)</f>
        <v>0</v>
      </c>
      <c r="X738" s="19" t="n">
        <f aca="false">IFERROR(INDEX(CADASTRO_PIVOS!$K$6:$K$41,MATCH($E738,CADASTRO_PIVOS!$B$6:$B$41,0)),EFICIENCIA_PADRAO)</f>
        <v>0.85</v>
      </c>
      <c r="Y738" s="18" t="n">
        <f aca="false">IF($X738&lt;=0,0,$W738/$X738)</f>
        <v>0</v>
      </c>
      <c r="Z738" s="16" t="n">
        <f aca="false">$Y738*$H738*MM_PARA_M3_HA</f>
        <v>0</v>
      </c>
      <c r="AA738" s="18" t="n">
        <f aca="false">IFERROR(INDEX(CADASTRO_PIVOS!$I$6:$I$41,MATCH($E738,CADASTRO_PIVOS!$B$6:$B$41,0)),0)</f>
        <v>928.447619047619</v>
      </c>
      <c r="AB738" s="18" t="n">
        <f aca="false">IF($Z738&lt;=0,0,$Z738/$AA738)</f>
        <v>0</v>
      </c>
      <c r="AC738" s="16" t="n">
        <f aca="false">IFERROR(INDEX(SEMANAS!$K$6:$K$71,MATCH($B738,SEMANAS!$B$6:$B$71,0)),0)</f>
        <v>147</v>
      </c>
      <c r="AD738" s="19" t="n">
        <f aca="false">IF($AC738&lt;=0,0,$AB738/$AC738)</f>
        <v>0</v>
      </c>
      <c r="AE738" s="8" t="str">
        <f aca="false">IF($K738="SEM CULTURA","SEM CULTURA",IF($AA738&lt;=0,"DADO PENDENTE",IF($AD738&gt;LIMITE_CRITICO,"INVIAVEL",IF($AD738&gt;LIMITE_ATENCAO,"CRITICO",IF($AD738&gt;LIMITE_CONFORTAVEL,"ATENCAO","OK")))))</f>
        <v>OK</v>
      </c>
      <c r="AF738" s="8" t="str">
        <f aca="false">$B738&amp;"|"&amp;TEXT($AD738,"0.000000")</f>
        <v>7|0.000000</v>
      </c>
      <c r="AG738" s="18" t="n">
        <f aca="false">IF($K738="SEM CULTURA",0,$T738*$H738)</f>
        <v>2351.6864</v>
      </c>
      <c r="AH738" s="18" t="n">
        <f aca="false">IF($K738="SEM CULTURA",0,$V738*$H738)</f>
        <v>3250.36656</v>
      </c>
      <c r="AI738" s="18" t="n">
        <f aca="false">IF($K738="SEM CULTURA",0,$W738*$H738)</f>
        <v>0</v>
      </c>
      <c r="AJ738" s="18" t="n">
        <f aca="false">IF($K738="SEM CULTURA",0,$S738*$H738)</f>
        <v>5879.216</v>
      </c>
      <c r="AK738" s="8" t="str">
        <f aca="false">$E738&amp;"|"&amp;TEXT($AD738,"0.000000")</f>
        <v>PV 113|0.000000</v>
      </c>
    </row>
    <row r="739" customFormat="false" ht="15" hidden="false" customHeight="false" outlineLevel="0" collapsed="false">
      <c r="B739" s="16" t="n">
        <v>8</v>
      </c>
      <c r="C739" s="17" t="n">
        <f aca="false">DATA_INICIO_SAFRA+($B739-1)*DIAS_POR_SEMANA</f>
        <v>46314</v>
      </c>
      <c r="D739" s="17" t="n">
        <f aca="false">$C739+DIAS_POR_SEMANA-1</f>
        <v>46320</v>
      </c>
      <c r="E739" s="15" t="s">
        <v>270</v>
      </c>
      <c r="F739" s="8" t="str">
        <f aca="false">IFERROR(INDEX(CADASTRO_PIVOS!$C$6:$C$41,MATCH($E739,CADASTRO_PIVOS!$B$6:$B$41,0)),"?")</f>
        <v>RM05</v>
      </c>
      <c r="G739" s="8" t="str">
        <f aca="false">IFERROR(INDEX(CADASTRO_PIVOS!$D$6:$D$41,MATCH($E739,CADASTRO_PIVOS!$B$6:$B$41,0)),"?")</f>
        <v>TR05</v>
      </c>
      <c r="H739" s="20" t="n">
        <f aca="false">IFERROR(INDEX(CADASTRO_PIVOS!$E$6:$E$41,MATCH($E739,CADASTRO_PIVOS!$B$6:$B$41,0)),0)</f>
        <v>149.98</v>
      </c>
      <c r="I739" s="16" t="n">
        <f aca="false">IFERROR(SUMIFS(ROTACAO_RDM!$B$6:$B$71,ROTACAO_RDM!$D$6:$D$71,$E739,ROTACAO_RDM!$I$6:$I$71,"&lt;="&amp;$C739+INT(DIAS_POR_SEMANA/2),ROTACAO_RDM!$J$6:$J$71,"&gt;="&amp;$C739+INT(DIAS_POR_SEMANA/2)),0)</f>
        <v>22</v>
      </c>
      <c r="J739" s="16" t="n">
        <f aca="false">IFERROR(MATCH($I739,ROTACAO_RDM!$B$6:$B$71,0),0)</f>
        <v>22</v>
      </c>
      <c r="K739" s="8" t="str">
        <f aca="false">IF($J739=0,"SEM CULTURA",INDEX(ROTACAO_RDM!$F$6:$F$71,$J739))</f>
        <v>SOJA</v>
      </c>
      <c r="L739" s="8" t="str">
        <f aca="false">IF($J739=0,"",INDEX(ROTACAO_RDM!$G$6:$G$71,$J739))</f>
        <v>NEO 761 I2X</v>
      </c>
      <c r="M739" s="17" t="n">
        <f aca="false">IF($J739=0,"",INDEX(ROTACAO_RDM!$I$6:$I$71,$J739))</f>
        <v>46307</v>
      </c>
      <c r="N739" s="16" t="n">
        <f aca="false">IF($J739=0,0,MAX(0,$C739+INT(DIAS_POR_SEMANA/2)-INDEX(ROTACAO_RDM!$I$6:$I$71,$J739)))</f>
        <v>10</v>
      </c>
      <c r="O739" s="19" t="n">
        <f aca="false">IF($J739=0,0,MIN(1,$N739/MAX(1,INDEX(ROTACAO_RDM!$K$6:$K$71,$J739))))</f>
        <v>0.0862068965517241</v>
      </c>
      <c r="P739" s="16" t="n">
        <f aca="false">IF($J739=0,0,IFERROR(MATCH(INDEX(ROTACAO_RDM!$N$6:$N$71,$J739),PARAMETROS_CULTURAS!$B$6:$B$28,0),0))</f>
        <v>2</v>
      </c>
      <c r="Q739" s="8" t="str">
        <f aca="false">IF($P739=0,"-",IF($O739&lt;=INDEX(PARAMETROS_CULTURAS!$F$6:$F$28,$P739),"INICIAL",IF($O739&lt;=INDEX(PARAMETROS_CULTURAS!$F$6:$F$28,$P739)+INDEX(PARAMETROS_CULTURAS!$G$6:$G$28,$P739),"DESENVOLVIMENTO",IF($O739&lt;=INDEX(PARAMETROS_CULTURAS!$F$6:$F$28,$P739)+INDEX(PARAMETROS_CULTURAS!$G$6:$G$28,$P739)+INDEX(PARAMETROS_CULTURAS!$H$6:$H$28,$P739),"MEDIA","FINAL"))))</f>
        <v>INICIAL</v>
      </c>
      <c r="R739" s="24" t="n">
        <f aca="false">IF($P739=0,0,IF($O739&lt;=INDEX(PARAMETROS_CULTURAS!$F$6:$F$28,$P739),INDEX(PARAMETROS_CULTURAS!$K$6:$K$28,$P739),IF($O739&lt;=INDEX(PARAMETROS_CULTURAS!$F$6:$F$28,$P739)+INDEX(PARAMETROS_CULTURAS!$G$6:$G$28,$P739),INDEX(PARAMETROS_CULTURAS!$K$6:$K$28,$P739)+(INDEX(PARAMETROS_CULTURAS!$L$6:$L$28,$P739)-INDEX(PARAMETROS_CULTURAS!$K$6:$K$28,$P739))*($O739-INDEX(PARAMETROS_CULTURAS!$F$6:$F$28,$P739))/MAX(INDEX(PARAMETROS_CULTURAS!$G$6:$G$28,$P739),0.0001),IF($O739&lt;=INDEX(PARAMETROS_CULTURAS!$F$6:$F$28,$P739)+INDEX(PARAMETROS_CULTURAS!$G$6:$G$28,$P739)+INDEX(PARAMETROS_CULTURAS!$H$6:$H$28,$P739),INDEX(PARAMETROS_CULTURAS!$L$6:$L$28,$P739),INDEX(PARAMETROS_CULTURAS!$L$6:$L$28,$P739)+(INDEX(PARAMETROS_CULTURAS!$M$6:$M$28,$P739)-INDEX(PARAMETROS_CULTURAS!$L$6:$L$28,$P739))*($O739-INDEX(PARAMETROS_CULTURAS!$F$6:$F$28,$P739)-INDEX(PARAMETROS_CULTURAS!$G$6:$G$28,$P739)-INDEX(PARAMETROS_CULTURAS!$H$6:$H$28,$P739))/MAX(INDEX(PARAMETROS_CULTURAS!$I$6:$I$28,$P739),0.0001)))))</f>
        <v>0.4</v>
      </c>
      <c r="S739" s="18" t="n">
        <f aca="false">IFERROR(INDEX(SEMANAS!$H$6:$H$71,MATCH($B739,SEMANAS!$B$6:$B$71,0)),0)</f>
        <v>39.2</v>
      </c>
      <c r="T739" s="18" t="n">
        <f aca="false">$R739*$S739</f>
        <v>15.68</v>
      </c>
      <c r="U739" s="18" t="n">
        <f aca="false">IFERROR(INDEX(SEMANAS!$I$6:$I$71,MATCH($B739,SEMANAS!$B$6:$B$71,0)),0)</f>
        <v>27.09</v>
      </c>
      <c r="V739" s="18" t="n">
        <f aca="false">IFERROR(INDEX(SEMANAS!$J$6:$J$71,MATCH($B739,SEMANAS!$B$6:$B$71,0)),0)</f>
        <v>21.672</v>
      </c>
      <c r="W739" s="18" t="n">
        <f aca="false">MAX(0,$T739-$V739)</f>
        <v>0</v>
      </c>
      <c r="X739" s="19" t="n">
        <f aca="false">IFERROR(INDEX(CADASTRO_PIVOS!$K$6:$K$41,MATCH($E739,CADASTRO_PIVOS!$B$6:$B$41,0)),EFICIENCIA_PADRAO)</f>
        <v>0.85</v>
      </c>
      <c r="Y739" s="18" t="n">
        <f aca="false">IF($X739&lt;=0,0,$W739/$X739)</f>
        <v>0</v>
      </c>
      <c r="Z739" s="16" t="n">
        <f aca="false">$Y739*$H739*MM_PARA_M3_HA</f>
        <v>0</v>
      </c>
      <c r="AA739" s="18" t="n">
        <f aca="false">IFERROR(INDEX(CADASTRO_PIVOS!$I$6:$I$41,MATCH($E739,CADASTRO_PIVOS!$B$6:$B$41,0)),0)</f>
        <v>928.447619047619</v>
      </c>
      <c r="AB739" s="18" t="n">
        <f aca="false">IF($Z739&lt;=0,0,$Z739/$AA739)</f>
        <v>0</v>
      </c>
      <c r="AC739" s="16" t="n">
        <f aca="false">IFERROR(INDEX(SEMANAS!$K$6:$K$71,MATCH($B739,SEMANAS!$B$6:$B$71,0)),0)</f>
        <v>147</v>
      </c>
      <c r="AD739" s="19" t="n">
        <f aca="false">IF($AC739&lt;=0,0,$AB739/$AC739)</f>
        <v>0</v>
      </c>
      <c r="AE739" s="8" t="str">
        <f aca="false">IF($K739="SEM CULTURA","SEM CULTURA",IF($AA739&lt;=0,"DADO PENDENTE",IF($AD739&gt;LIMITE_CRITICO,"INVIAVEL",IF($AD739&gt;LIMITE_ATENCAO,"CRITICO",IF($AD739&gt;LIMITE_CONFORTAVEL,"ATENCAO","OK")))))</f>
        <v>OK</v>
      </c>
      <c r="AF739" s="8" t="str">
        <f aca="false">$B739&amp;"|"&amp;TEXT($AD739,"0.000000")</f>
        <v>8|0.000000</v>
      </c>
      <c r="AG739" s="18" t="n">
        <f aca="false">IF($K739="SEM CULTURA",0,$T739*$H739)</f>
        <v>2351.6864</v>
      </c>
      <c r="AH739" s="18" t="n">
        <f aca="false">IF($K739="SEM CULTURA",0,$V739*$H739)</f>
        <v>3250.36656</v>
      </c>
      <c r="AI739" s="18" t="n">
        <f aca="false">IF($K739="SEM CULTURA",0,$W739*$H739)</f>
        <v>0</v>
      </c>
      <c r="AJ739" s="18" t="n">
        <f aca="false">IF($K739="SEM CULTURA",0,$S739*$H739)</f>
        <v>5879.216</v>
      </c>
      <c r="AK739" s="8" t="str">
        <f aca="false">$E739&amp;"|"&amp;TEXT($AD739,"0.000000")</f>
        <v>PV 113|0.000000</v>
      </c>
    </row>
    <row r="740" customFormat="false" ht="15" hidden="false" customHeight="false" outlineLevel="0" collapsed="false">
      <c r="B740" s="16" t="n">
        <v>9</v>
      </c>
      <c r="C740" s="17" t="n">
        <f aca="false">DATA_INICIO_SAFRA+($B740-1)*DIAS_POR_SEMANA</f>
        <v>46321</v>
      </c>
      <c r="D740" s="17" t="n">
        <f aca="false">$C740+DIAS_POR_SEMANA-1</f>
        <v>46327</v>
      </c>
      <c r="E740" s="15" t="s">
        <v>270</v>
      </c>
      <c r="F740" s="8" t="str">
        <f aca="false">IFERROR(INDEX(CADASTRO_PIVOS!$C$6:$C$41,MATCH($E740,CADASTRO_PIVOS!$B$6:$B$41,0)),"?")</f>
        <v>RM05</v>
      </c>
      <c r="G740" s="8" t="str">
        <f aca="false">IFERROR(INDEX(CADASTRO_PIVOS!$D$6:$D$41,MATCH($E740,CADASTRO_PIVOS!$B$6:$B$41,0)),"?")</f>
        <v>TR05</v>
      </c>
      <c r="H740" s="20" t="n">
        <f aca="false">IFERROR(INDEX(CADASTRO_PIVOS!$E$6:$E$41,MATCH($E740,CADASTRO_PIVOS!$B$6:$B$41,0)),0)</f>
        <v>149.98</v>
      </c>
      <c r="I740" s="16" t="n">
        <f aca="false">IFERROR(SUMIFS(ROTACAO_RDM!$B$6:$B$71,ROTACAO_RDM!$D$6:$D$71,$E740,ROTACAO_RDM!$I$6:$I$71,"&lt;="&amp;$C740+INT(DIAS_POR_SEMANA/2),ROTACAO_RDM!$J$6:$J$71,"&gt;="&amp;$C740+INT(DIAS_POR_SEMANA/2)),0)</f>
        <v>22</v>
      </c>
      <c r="J740" s="16" t="n">
        <f aca="false">IFERROR(MATCH($I740,ROTACAO_RDM!$B$6:$B$71,0),0)</f>
        <v>22</v>
      </c>
      <c r="K740" s="8" t="str">
        <f aca="false">IF($J740=0,"SEM CULTURA",INDEX(ROTACAO_RDM!$F$6:$F$71,$J740))</f>
        <v>SOJA</v>
      </c>
      <c r="L740" s="8" t="str">
        <f aca="false">IF($J740=0,"",INDEX(ROTACAO_RDM!$G$6:$G$71,$J740))</f>
        <v>NEO 761 I2X</v>
      </c>
      <c r="M740" s="17" t="n">
        <f aca="false">IF($J740=0,"",INDEX(ROTACAO_RDM!$I$6:$I$71,$J740))</f>
        <v>46307</v>
      </c>
      <c r="N740" s="16" t="n">
        <f aca="false">IF($J740=0,0,MAX(0,$C740+INT(DIAS_POR_SEMANA/2)-INDEX(ROTACAO_RDM!$I$6:$I$71,$J740)))</f>
        <v>17</v>
      </c>
      <c r="O740" s="19" t="n">
        <f aca="false">IF($J740=0,0,MIN(1,$N740/MAX(1,INDEX(ROTACAO_RDM!$K$6:$K$71,$J740))))</f>
        <v>0.146551724137931</v>
      </c>
      <c r="P740" s="16" t="n">
        <f aca="false">IF($J740=0,0,IFERROR(MATCH(INDEX(ROTACAO_RDM!$N$6:$N$71,$J740),PARAMETROS_CULTURAS!$B$6:$B$28,0),0))</f>
        <v>2</v>
      </c>
      <c r="Q740" s="8" t="str">
        <f aca="false">IF($P740=0,"-",IF($O740&lt;=INDEX(PARAMETROS_CULTURAS!$F$6:$F$28,$P740),"INICIAL",IF($O740&lt;=INDEX(PARAMETROS_CULTURAS!$F$6:$F$28,$P740)+INDEX(PARAMETROS_CULTURAS!$G$6:$G$28,$P740),"DESENVOLVIMENTO",IF($O740&lt;=INDEX(PARAMETROS_CULTURAS!$F$6:$F$28,$P740)+INDEX(PARAMETROS_CULTURAS!$G$6:$G$28,$P740)+INDEX(PARAMETROS_CULTURAS!$H$6:$H$28,$P740),"MEDIA","FINAL"))))</f>
        <v>INICIAL</v>
      </c>
      <c r="R740" s="24" t="n">
        <f aca="false">IF($P740=0,0,IF($O740&lt;=INDEX(PARAMETROS_CULTURAS!$F$6:$F$28,$P740),INDEX(PARAMETROS_CULTURAS!$K$6:$K$28,$P740),IF($O740&lt;=INDEX(PARAMETROS_CULTURAS!$F$6:$F$28,$P740)+INDEX(PARAMETROS_CULTURAS!$G$6:$G$28,$P740),INDEX(PARAMETROS_CULTURAS!$K$6:$K$28,$P740)+(INDEX(PARAMETROS_CULTURAS!$L$6:$L$28,$P740)-INDEX(PARAMETROS_CULTURAS!$K$6:$K$28,$P740))*($O740-INDEX(PARAMETROS_CULTURAS!$F$6:$F$28,$P740))/MAX(INDEX(PARAMETROS_CULTURAS!$G$6:$G$28,$P740),0.0001),IF($O740&lt;=INDEX(PARAMETROS_CULTURAS!$F$6:$F$28,$P740)+INDEX(PARAMETROS_CULTURAS!$G$6:$G$28,$P740)+INDEX(PARAMETROS_CULTURAS!$H$6:$H$28,$P740),INDEX(PARAMETROS_CULTURAS!$L$6:$L$28,$P740),INDEX(PARAMETROS_CULTURAS!$L$6:$L$28,$P740)+(INDEX(PARAMETROS_CULTURAS!$M$6:$M$28,$P740)-INDEX(PARAMETROS_CULTURAS!$L$6:$L$28,$P740))*($O740-INDEX(PARAMETROS_CULTURAS!$F$6:$F$28,$P740)-INDEX(PARAMETROS_CULTURAS!$G$6:$G$28,$P740)-INDEX(PARAMETROS_CULTURAS!$H$6:$H$28,$P740))/MAX(INDEX(PARAMETROS_CULTURAS!$I$6:$I$28,$P740),0.0001)))))</f>
        <v>0.4</v>
      </c>
      <c r="S740" s="18" t="n">
        <f aca="false">IFERROR(INDEX(SEMANAS!$H$6:$H$71,MATCH($B740,SEMANAS!$B$6:$B$71,0)),0)</f>
        <v>38.5</v>
      </c>
      <c r="T740" s="18" t="n">
        <f aca="false">$R740*$S740</f>
        <v>15.4</v>
      </c>
      <c r="U740" s="18" t="n">
        <f aca="false">IFERROR(INDEX(SEMANAS!$I$6:$I$71,MATCH($B740,SEMANAS!$B$6:$B$71,0)),0)</f>
        <v>29.89</v>
      </c>
      <c r="V740" s="18" t="n">
        <f aca="false">IFERROR(INDEX(SEMANAS!$J$6:$J$71,MATCH($B740,SEMANAS!$B$6:$B$71,0)),0)</f>
        <v>23.912</v>
      </c>
      <c r="W740" s="18" t="n">
        <f aca="false">MAX(0,$T740-$V740)</f>
        <v>0</v>
      </c>
      <c r="X740" s="19" t="n">
        <f aca="false">IFERROR(INDEX(CADASTRO_PIVOS!$K$6:$K$41,MATCH($E740,CADASTRO_PIVOS!$B$6:$B$41,0)),EFICIENCIA_PADRAO)</f>
        <v>0.85</v>
      </c>
      <c r="Y740" s="18" t="n">
        <f aca="false">IF($X740&lt;=0,0,$W740/$X740)</f>
        <v>0</v>
      </c>
      <c r="Z740" s="16" t="n">
        <f aca="false">$Y740*$H740*MM_PARA_M3_HA</f>
        <v>0</v>
      </c>
      <c r="AA740" s="18" t="n">
        <f aca="false">IFERROR(INDEX(CADASTRO_PIVOS!$I$6:$I$41,MATCH($E740,CADASTRO_PIVOS!$B$6:$B$41,0)),0)</f>
        <v>928.447619047619</v>
      </c>
      <c r="AB740" s="18" t="n">
        <f aca="false">IF($Z740&lt;=0,0,$Z740/$AA740)</f>
        <v>0</v>
      </c>
      <c r="AC740" s="16" t="n">
        <f aca="false">IFERROR(INDEX(SEMANAS!$K$6:$K$71,MATCH($B740,SEMANAS!$B$6:$B$71,0)),0)</f>
        <v>147</v>
      </c>
      <c r="AD740" s="19" t="n">
        <f aca="false">IF($AC740&lt;=0,0,$AB740/$AC740)</f>
        <v>0</v>
      </c>
      <c r="AE740" s="8" t="str">
        <f aca="false">IF($K740="SEM CULTURA","SEM CULTURA",IF($AA740&lt;=0,"DADO PENDENTE",IF($AD740&gt;LIMITE_CRITICO,"INVIAVEL",IF($AD740&gt;LIMITE_ATENCAO,"CRITICO",IF($AD740&gt;LIMITE_CONFORTAVEL,"ATENCAO","OK")))))</f>
        <v>OK</v>
      </c>
      <c r="AF740" s="8" t="str">
        <f aca="false">$B740&amp;"|"&amp;TEXT($AD740,"0.000000")</f>
        <v>9|0.000000</v>
      </c>
      <c r="AG740" s="18" t="n">
        <f aca="false">IF($K740="SEM CULTURA",0,$T740*$H740)</f>
        <v>2309.692</v>
      </c>
      <c r="AH740" s="18" t="n">
        <f aca="false">IF($K740="SEM CULTURA",0,$V740*$H740)</f>
        <v>3586.32176</v>
      </c>
      <c r="AI740" s="18" t="n">
        <f aca="false">IF($K740="SEM CULTURA",0,$W740*$H740)</f>
        <v>0</v>
      </c>
      <c r="AJ740" s="18" t="n">
        <f aca="false">IF($K740="SEM CULTURA",0,$S740*$H740)</f>
        <v>5774.23</v>
      </c>
      <c r="AK740" s="8" t="str">
        <f aca="false">$E740&amp;"|"&amp;TEXT($AD740,"0.000000")</f>
        <v>PV 113|0.000000</v>
      </c>
    </row>
    <row r="741" customFormat="false" ht="15" hidden="false" customHeight="false" outlineLevel="0" collapsed="false">
      <c r="B741" s="16" t="n">
        <v>10</v>
      </c>
      <c r="C741" s="17" t="n">
        <f aca="false">DATA_INICIO_SAFRA+($B741-1)*DIAS_POR_SEMANA</f>
        <v>46328</v>
      </c>
      <c r="D741" s="17" t="n">
        <f aca="false">$C741+DIAS_POR_SEMANA-1</f>
        <v>46334</v>
      </c>
      <c r="E741" s="15" t="s">
        <v>270</v>
      </c>
      <c r="F741" s="8" t="str">
        <f aca="false">IFERROR(INDEX(CADASTRO_PIVOS!$C$6:$C$41,MATCH($E741,CADASTRO_PIVOS!$B$6:$B$41,0)),"?")</f>
        <v>RM05</v>
      </c>
      <c r="G741" s="8" t="str">
        <f aca="false">IFERROR(INDEX(CADASTRO_PIVOS!$D$6:$D$41,MATCH($E741,CADASTRO_PIVOS!$B$6:$B$41,0)),"?")</f>
        <v>TR05</v>
      </c>
      <c r="H741" s="20" t="n">
        <f aca="false">IFERROR(INDEX(CADASTRO_PIVOS!$E$6:$E$41,MATCH($E741,CADASTRO_PIVOS!$B$6:$B$41,0)),0)</f>
        <v>149.98</v>
      </c>
      <c r="I741" s="16" t="n">
        <f aca="false">IFERROR(SUMIFS(ROTACAO_RDM!$B$6:$B$71,ROTACAO_RDM!$D$6:$D$71,$E741,ROTACAO_RDM!$I$6:$I$71,"&lt;="&amp;$C741+INT(DIAS_POR_SEMANA/2),ROTACAO_RDM!$J$6:$J$71,"&gt;="&amp;$C741+INT(DIAS_POR_SEMANA/2)),0)</f>
        <v>22</v>
      </c>
      <c r="J741" s="16" t="n">
        <f aca="false">IFERROR(MATCH($I741,ROTACAO_RDM!$B$6:$B$71,0),0)</f>
        <v>22</v>
      </c>
      <c r="K741" s="8" t="str">
        <f aca="false">IF($J741=0,"SEM CULTURA",INDEX(ROTACAO_RDM!$F$6:$F$71,$J741))</f>
        <v>SOJA</v>
      </c>
      <c r="L741" s="8" t="str">
        <f aca="false">IF($J741=0,"",INDEX(ROTACAO_RDM!$G$6:$G$71,$J741))</f>
        <v>NEO 761 I2X</v>
      </c>
      <c r="M741" s="17" t="n">
        <f aca="false">IF($J741=0,"",INDEX(ROTACAO_RDM!$I$6:$I$71,$J741))</f>
        <v>46307</v>
      </c>
      <c r="N741" s="16" t="n">
        <f aca="false">IF($J741=0,0,MAX(0,$C741+INT(DIAS_POR_SEMANA/2)-INDEX(ROTACAO_RDM!$I$6:$I$71,$J741)))</f>
        <v>24</v>
      </c>
      <c r="O741" s="19" t="n">
        <f aca="false">IF($J741=0,0,MIN(1,$N741/MAX(1,INDEX(ROTACAO_RDM!$K$6:$K$71,$J741))))</f>
        <v>0.206896551724138</v>
      </c>
      <c r="P741" s="16" t="n">
        <f aca="false">IF($J741=0,0,IFERROR(MATCH(INDEX(ROTACAO_RDM!$N$6:$N$71,$J741),PARAMETROS_CULTURAS!$B$6:$B$28,0),0))</f>
        <v>2</v>
      </c>
      <c r="Q741" s="8" t="str">
        <f aca="false">IF($P741=0,"-",IF($O741&lt;=INDEX(PARAMETROS_CULTURAS!$F$6:$F$28,$P741),"INICIAL",IF($O741&lt;=INDEX(PARAMETROS_CULTURAS!$F$6:$F$28,$P741)+INDEX(PARAMETROS_CULTURAS!$G$6:$G$28,$P741),"DESENVOLVIMENTO",IF($O741&lt;=INDEX(PARAMETROS_CULTURAS!$F$6:$F$28,$P741)+INDEX(PARAMETROS_CULTURAS!$G$6:$G$28,$P741)+INDEX(PARAMETROS_CULTURAS!$H$6:$H$28,$P741),"MEDIA","FINAL"))))</f>
        <v>DESENVOLVIMENTO</v>
      </c>
      <c r="R741" s="24" t="n">
        <f aca="false">IF($P741=0,0,IF($O741&lt;=INDEX(PARAMETROS_CULTURAS!$F$6:$F$28,$P741),INDEX(PARAMETROS_CULTURAS!$K$6:$K$28,$P741),IF($O741&lt;=INDEX(PARAMETROS_CULTURAS!$F$6:$F$28,$P741)+INDEX(PARAMETROS_CULTURAS!$G$6:$G$28,$P741),INDEX(PARAMETROS_CULTURAS!$K$6:$K$28,$P741)+(INDEX(PARAMETROS_CULTURAS!$L$6:$L$28,$P741)-INDEX(PARAMETROS_CULTURAS!$K$6:$K$28,$P741))*($O741-INDEX(PARAMETROS_CULTURAS!$F$6:$F$28,$P741))/MAX(INDEX(PARAMETROS_CULTURAS!$G$6:$G$28,$P741),0.0001),IF($O741&lt;=INDEX(PARAMETROS_CULTURAS!$F$6:$F$28,$P741)+INDEX(PARAMETROS_CULTURAS!$G$6:$G$28,$P741)+INDEX(PARAMETROS_CULTURAS!$H$6:$H$28,$P741),INDEX(PARAMETROS_CULTURAS!$L$6:$L$28,$P741),INDEX(PARAMETROS_CULTURAS!$L$6:$L$28,$P741)+(INDEX(PARAMETROS_CULTURAS!$M$6:$M$28,$P741)-INDEX(PARAMETROS_CULTURAS!$L$6:$L$28,$P741))*($O741-INDEX(PARAMETROS_CULTURAS!$F$6:$F$28,$P741)-INDEX(PARAMETROS_CULTURAS!$G$6:$G$28,$P741)-INDEX(PARAMETROS_CULTURAS!$H$6:$H$28,$P741))/MAX(INDEX(PARAMETROS_CULTURAS!$I$6:$I$28,$P741),0.0001)))))</f>
        <v>0.552923538230885</v>
      </c>
      <c r="S741" s="18" t="n">
        <f aca="false">IFERROR(INDEX(SEMANAS!$H$6:$H$71,MATCH($B741,SEMANAS!$B$6:$B$71,0)),0)</f>
        <v>34.3</v>
      </c>
      <c r="T741" s="18" t="n">
        <f aca="false">$R741*$S741</f>
        <v>18.9652773613193</v>
      </c>
      <c r="U741" s="18" t="n">
        <f aca="false">IFERROR(INDEX(SEMANAS!$I$6:$I$71,MATCH($B741,SEMANAS!$B$6:$B$71,0)),0)</f>
        <v>46.69</v>
      </c>
      <c r="V741" s="18" t="n">
        <f aca="false">IFERROR(INDEX(SEMANAS!$J$6:$J$71,MATCH($B741,SEMANAS!$B$6:$B$71,0)),0)</f>
        <v>37.352</v>
      </c>
      <c r="W741" s="18" t="n">
        <f aca="false">MAX(0,$T741-$V741)</f>
        <v>0</v>
      </c>
      <c r="X741" s="19" t="n">
        <f aca="false">IFERROR(INDEX(CADASTRO_PIVOS!$K$6:$K$41,MATCH($E741,CADASTRO_PIVOS!$B$6:$B$41,0)),EFICIENCIA_PADRAO)</f>
        <v>0.85</v>
      </c>
      <c r="Y741" s="18" t="n">
        <f aca="false">IF($X741&lt;=0,0,$W741/$X741)</f>
        <v>0</v>
      </c>
      <c r="Z741" s="16" t="n">
        <f aca="false">$Y741*$H741*MM_PARA_M3_HA</f>
        <v>0</v>
      </c>
      <c r="AA741" s="18" t="n">
        <f aca="false">IFERROR(INDEX(CADASTRO_PIVOS!$I$6:$I$41,MATCH($E741,CADASTRO_PIVOS!$B$6:$B$41,0)),0)</f>
        <v>928.447619047619</v>
      </c>
      <c r="AB741" s="18" t="n">
        <f aca="false">IF($Z741&lt;=0,0,$Z741/$AA741)</f>
        <v>0</v>
      </c>
      <c r="AC741" s="16" t="n">
        <f aca="false">IFERROR(INDEX(SEMANAS!$K$6:$K$71,MATCH($B741,SEMANAS!$B$6:$B$71,0)),0)</f>
        <v>147</v>
      </c>
      <c r="AD741" s="19" t="n">
        <f aca="false">IF($AC741&lt;=0,0,$AB741/$AC741)</f>
        <v>0</v>
      </c>
      <c r="AE741" s="8" t="str">
        <f aca="false">IF($K741="SEM CULTURA","SEM CULTURA",IF($AA741&lt;=0,"DADO PENDENTE",IF($AD741&gt;LIMITE_CRITICO,"INVIAVEL",IF($AD741&gt;LIMITE_ATENCAO,"CRITICO",IF($AD741&gt;LIMITE_CONFORTAVEL,"ATENCAO","OK")))))</f>
        <v>OK</v>
      </c>
      <c r="AF741" s="8" t="str">
        <f aca="false">$B741&amp;"|"&amp;TEXT($AD741,"0.000000")</f>
        <v>10|0.000000</v>
      </c>
      <c r="AG741" s="18" t="n">
        <f aca="false">IF($K741="SEM CULTURA",0,$T741*$H741)</f>
        <v>2844.41229865068</v>
      </c>
      <c r="AH741" s="18" t="n">
        <f aca="false">IF($K741="SEM CULTURA",0,$V741*$H741)</f>
        <v>5602.05296</v>
      </c>
      <c r="AI741" s="18" t="n">
        <f aca="false">IF($K741="SEM CULTURA",0,$W741*$H741)</f>
        <v>0</v>
      </c>
      <c r="AJ741" s="18" t="n">
        <f aca="false">IF($K741="SEM CULTURA",0,$S741*$H741)</f>
        <v>5144.314</v>
      </c>
      <c r="AK741" s="8" t="str">
        <f aca="false">$E741&amp;"|"&amp;TEXT($AD741,"0.000000")</f>
        <v>PV 113|0.000000</v>
      </c>
    </row>
    <row r="742" customFormat="false" ht="15" hidden="false" customHeight="false" outlineLevel="0" collapsed="false">
      <c r="B742" s="16" t="n">
        <v>11</v>
      </c>
      <c r="C742" s="17" t="n">
        <f aca="false">DATA_INICIO_SAFRA+($B742-1)*DIAS_POR_SEMANA</f>
        <v>46335</v>
      </c>
      <c r="D742" s="17" t="n">
        <f aca="false">$C742+DIAS_POR_SEMANA-1</f>
        <v>46341</v>
      </c>
      <c r="E742" s="15" t="s">
        <v>270</v>
      </c>
      <c r="F742" s="8" t="str">
        <f aca="false">IFERROR(INDEX(CADASTRO_PIVOS!$C$6:$C$41,MATCH($E742,CADASTRO_PIVOS!$B$6:$B$41,0)),"?")</f>
        <v>RM05</v>
      </c>
      <c r="G742" s="8" t="str">
        <f aca="false">IFERROR(INDEX(CADASTRO_PIVOS!$D$6:$D$41,MATCH($E742,CADASTRO_PIVOS!$B$6:$B$41,0)),"?")</f>
        <v>TR05</v>
      </c>
      <c r="H742" s="20" t="n">
        <f aca="false">IFERROR(INDEX(CADASTRO_PIVOS!$E$6:$E$41,MATCH($E742,CADASTRO_PIVOS!$B$6:$B$41,0)),0)</f>
        <v>149.98</v>
      </c>
      <c r="I742" s="16" t="n">
        <f aca="false">IFERROR(SUMIFS(ROTACAO_RDM!$B$6:$B$71,ROTACAO_RDM!$D$6:$D$71,$E742,ROTACAO_RDM!$I$6:$I$71,"&lt;="&amp;$C742+INT(DIAS_POR_SEMANA/2),ROTACAO_RDM!$J$6:$J$71,"&gt;="&amp;$C742+INT(DIAS_POR_SEMANA/2)),0)</f>
        <v>22</v>
      </c>
      <c r="J742" s="16" t="n">
        <f aca="false">IFERROR(MATCH($I742,ROTACAO_RDM!$B$6:$B$71,0),0)</f>
        <v>22</v>
      </c>
      <c r="K742" s="8" t="str">
        <f aca="false">IF($J742=0,"SEM CULTURA",INDEX(ROTACAO_RDM!$F$6:$F$71,$J742))</f>
        <v>SOJA</v>
      </c>
      <c r="L742" s="8" t="str">
        <f aca="false">IF($J742=0,"",INDEX(ROTACAO_RDM!$G$6:$G$71,$J742))</f>
        <v>NEO 761 I2X</v>
      </c>
      <c r="M742" s="17" t="n">
        <f aca="false">IF($J742=0,"",INDEX(ROTACAO_RDM!$I$6:$I$71,$J742))</f>
        <v>46307</v>
      </c>
      <c r="N742" s="16" t="n">
        <f aca="false">IF($J742=0,0,MAX(0,$C742+INT(DIAS_POR_SEMANA/2)-INDEX(ROTACAO_RDM!$I$6:$I$71,$J742)))</f>
        <v>31</v>
      </c>
      <c r="O742" s="19" t="n">
        <f aca="false">IF($J742=0,0,MIN(1,$N742/MAX(1,INDEX(ROTACAO_RDM!$K$6:$K$71,$J742))))</f>
        <v>0.267241379310345</v>
      </c>
      <c r="P742" s="16" t="n">
        <f aca="false">IF($J742=0,0,IFERROR(MATCH(INDEX(ROTACAO_RDM!$N$6:$N$71,$J742),PARAMETROS_CULTURAS!$B$6:$B$28,0),0))</f>
        <v>2</v>
      </c>
      <c r="Q742" s="8" t="str">
        <f aca="false">IF($P742=0,"-",IF($O742&lt;=INDEX(PARAMETROS_CULTURAS!$F$6:$F$28,$P742),"INICIAL",IF($O742&lt;=INDEX(PARAMETROS_CULTURAS!$F$6:$F$28,$P742)+INDEX(PARAMETROS_CULTURAS!$G$6:$G$28,$P742),"DESENVOLVIMENTO",IF($O742&lt;=INDEX(PARAMETROS_CULTURAS!$F$6:$F$28,$P742)+INDEX(PARAMETROS_CULTURAS!$G$6:$G$28,$P742)+INDEX(PARAMETROS_CULTURAS!$H$6:$H$28,$P742),"MEDIA","FINAL"))))</f>
        <v>DESENVOLVIMENTO</v>
      </c>
      <c r="R742" s="24" t="n">
        <f aca="false">IF($P742=0,0,IF($O742&lt;=INDEX(PARAMETROS_CULTURAS!$F$6:$F$28,$P742),INDEX(PARAMETROS_CULTURAS!$K$6:$K$28,$P742),IF($O742&lt;=INDEX(PARAMETROS_CULTURAS!$F$6:$F$28,$P742)+INDEX(PARAMETROS_CULTURAS!$G$6:$G$28,$P742),INDEX(PARAMETROS_CULTURAS!$K$6:$K$28,$P742)+(INDEX(PARAMETROS_CULTURAS!$L$6:$L$28,$P742)-INDEX(PARAMETROS_CULTURAS!$K$6:$K$28,$P742))*($O742-INDEX(PARAMETROS_CULTURAS!$F$6:$F$28,$P742))/MAX(INDEX(PARAMETROS_CULTURAS!$G$6:$G$28,$P742),0.0001),IF($O742&lt;=INDEX(PARAMETROS_CULTURAS!$F$6:$F$28,$P742)+INDEX(PARAMETROS_CULTURAS!$G$6:$G$28,$P742)+INDEX(PARAMETROS_CULTURAS!$H$6:$H$28,$P742),INDEX(PARAMETROS_CULTURAS!$L$6:$L$28,$P742),INDEX(PARAMETROS_CULTURAS!$L$6:$L$28,$P742)+(INDEX(PARAMETROS_CULTURAS!$M$6:$M$28,$P742)-INDEX(PARAMETROS_CULTURAS!$L$6:$L$28,$P742))*($O742-INDEX(PARAMETROS_CULTURAS!$F$6:$F$28,$P742)-INDEX(PARAMETROS_CULTURAS!$G$6:$G$28,$P742)-INDEX(PARAMETROS_CULTURAS!$H$6:$H$28,$P742))/MAX(INDEX(PARAMETROS_CULTURAS!$I$6:$I$28,$P742),0.0001)))))</f>
        <v>0.749700149925037</v>
      </c>
      <c r="S742" s="18" t="n">
        <f aca="false">IFERROR(INDEX(SEMANAS!$H$6:$H$71,MATCH($B742,SEMANAS!$B$6:$B$71,0)),0)</f>
        <v>34.3</v>
      </c>
      <c r="T742" s="18" t="n">
        <f aca="false">$R742*$S742</f>
        <v>25.7147151424288</v>
      </c>
      <c r="U742" s="18" t="n">
        <f aca="false">IFERROR(INDEX(SEMANAS!$I$6:$I$71,MATCH($B742,SEMANAS!$B$6:$B$71,0)),0)</f>
        <v>46.69</v>
      </c>
      <c r="V742" s="18" t="n">
        <f aca="false">IFERROR(INDEX(SEMANAS!$J$6:$J$71,MATCH($B742,SEMANAS!$B$6:$B$71,0)),0)</f>
        <v>37.352</v>
      </c>
      <c r="W742" s="18" t="n">
        <f aca="false">MAX(0,$T742-$V742)</f>
        <v>0</v>
      </c>
      <c r="X742" s="19" t="n">
        <f aca="false">IFERROR(INDEX(CADASTRO_PIVOS!$K$6:$K$41,MATCH($E742,CADASTRO_PIVOS!$B$6:$B$41,0)),EFICIENCIA_PADRAO)</f>
        <v>0.85</v>
      </c>
      <c r="Y742" s="18" t="n">
        <f aca="false">IF($X742&lt;=0,0,$W742/$X742)</f>
        <v>0</v>
      </c>
      <c r="Z742" s="16" t="n">
        <f aca="false">$Y742*$H742*MM_PARA_M3_HA</f>
        <v>0</v>
      </c>
      <c r="AA742" s="18" t="n">
        <f aca="false">IFERROR(INDEX(CADASTRO_PIVOS!$I$6:$I$41,MATCH($E742,CADASTRO_PIVOS!$B$6:$B$41,0)),0)</f>
        <v>928.447619047619</v>
      </c>
      <c r="AB742" s="18" t="n">
        <f aca="false">IF($Z742&lt;=0,0,$Z742/$AA742)</f>
        <v>0</v>
      </c>
      <c r="AC742" s="16" t="n">
        <f aca="false">IFERROR(INDEX(SEMANAS!$K$6:$K$71,MATCH($B742,SEMANAS!$B$6:$B$71,0)),0)</f>
        <v>147</v>
      </c>
      <c r="AD742" s="19" t="n">
        <f aca="false">IF($AC742&lt;=0,0,$AB742/$AC742)</f>
        <v>0</v>
      </c>
      <c r="AE742" s="8" t="str">
        <f aca="false">IF($K742="SEM CULTURA","SEM CULTURA",IF($AA742&lt;=0,"DADO PENDENTE",IF($AD742&gt;LIMITE_CRITICO,"INVIAVEL",IF($AD742&gt;LIMITE_ATENCAO,"CRITICO",IF($AD742&gt;LIMITE_CONFORTAVEL,"ATENCAO","OK")))))</f>
        <v>OK</v>
      </c>
      <c r="AF742" s="8" t="str">
        <f aca="false">$B742&amp;"|"&amp;TEXT($AD742,"0.000000")</f>
        <v>11|0.000000</v>
      </c>
      <c r="AG742" s="18" t="n">
        <f aca="false">IF($K742="SEM CULTURA",0,$T742*$H742)</f>
        <v>3856.69297706147</v>
      </c>
      <c r="AH742" s="18" t="n">
        <f aca="false">IF($K742="SEM CULTURA",0,$V742*$H742)</f>
        <v>5602.05296</v>
      </c>
      <c r="AI742" s="18" t="n">
        <f aca="false">IF($K742="SEM CULTURA",0,$W742*$H742)</f>
        <v>0</v>
      </c>
      <c r="AJ742" s="18" t="n">
        <f aca="false">IF($K742="SEM CULTURA",0,$S742*$H742)</f>
        <v>5144.314</v>
      </c>
      <c r="AK742" s="8" t="str">
        <f aca="false">$E742&amp;"|"&amp;TEXT($AD742,"0.000000")</f>
        <v>PV 113|0.000000</v>
      </c>
    </row>
    <row r="743" customFormat="false" ht="15" hidden="false" customHeight="false" outlineLevel="0" collapsed="false">
      <c r="B743" s="16" t="n">
        <v>12</v>
      </c>
      <c r="C743" s="17" t="n">
        <f aca="false">DATA_INICIO_SAFRA+($B743-1)*DIAS_POR_SEMANA</f>
        <v>46342</v>
      </c>
      <c r="D743" s="17" t="n">
        <f aca="false">$C743+DIAS_POR_SEMANA-1</f>
        <v>46348</v>
      </c>
      <c r="E743" s="15" t="s">
        <v>270</v>
      </c>
      <c r="F743" s="8" t="str">
        <f aca="false">IFERROR(INDEX(CADASTRO_PIVOS!$C$6:$C$41,MATCH($E743,CADASTRO_PIVOS!$B$6:$B$41,0)),"?")</f>
        <v>RM05</v>
      </c>
      <c r="G743" s="8" t="str">
        <f aca="false">IFERROR(INDEX(CADASTRO_PIVOS!$D$6:$D$41,MATCH($E743,CADASTRO_PIVOS!$B$6:$B$41,0)),"?")</f>
        <v>TR05</v>
      </c>
      <c r="H743" s="20" t="n">
        <f aca="false">IFERROR(INDEX(CADASTRO_PIVOS!$E$6:$E$41,MATCH($E743,CADASTRO_PIVOS!$B$6:$B$41,0)),0)</f>
        <v>149.98</v>
      </c>
      <c r="I743" s="16" t="n">
        <f aca="false">IFERROR(SUMIFS(ROTACAO_RDM!$B$6:$B$71,ROTACAO_RDM!$D$6:$D$71,$E743,ROTACAO_RDM!$I$6:$I$71,"&lt;="&amp;$C743+INT(DIAS_POR_SEMANA/2),ROTACAO_RDM!$J$6:$J$71,"&gt;="&amp;$C743+INT(DIAS_POR_SEMANA/2)),0)</f>
        <v>22</v>
      </c>
      <c r="J743" s="16" t="n">
        <f aca="false">IFERROR(MATCH($I743,ROTACAO_RDM!$B$6:$B$71,0),0)</f>
        <v>22</v>
      </c>
      <c r="K743" s="8" t="str">
        <f aca="false">IF($J743=0,"SEM CULTURA",INDEX(ROTACAO_RDM!$F$6:$F$71,$J743))</f>
        <v>SOJA</v>
      </c>
      <c r="L743" s="8" t="str">
        <f aca="false">IF($J743=0,"",INDEX(ROTACAO_RDM!$G$6:$G$71,$J743))</f>
        <v>NEO 761 I2X</v>
      </c>
      <c r="M743" s="17" t="n">
        <f aca="false">IF($J743=0,"",INDEX(ROTACAO_RDM!$I$6:$I$71,$J743))</f>
        <v>46307</v>
      </c>
      <c r="N743" s="16" t="n">
        <f aca="false">IF($J743=0,0,MAX(0,$C743+INT(DIAS_POR_SEMANA/2)-INDEX(ROTACAO_RDM!$I$6:$I$71,$J743)))</f>
        <v>38</v>
      </c>
      <c r="O743" s="19" t="n">
        <f aca="false">IF($J743=0,0,MIN(1,$N743/MAX(1,INDEX(ROTACAO_RDM!$K$6:$K$71,$J743))))</f>
        <v>0.327586206896552</v>
      </c>
      <c r="P743" s="16" t="n">
        <f aca="false">IF($J743=0,0,IFERROR(MATCH(INDEX(ROTACAO_RDM!$N$6:$N$71,$J743),PARAMETROS_CULTURAS!$B$6:$B$28,0),0))</f>
        <v>2</v>
      </c>
      <c r="Q743" s="8" t="str">
        <f aca="false">IF($P743=0,"-",IF($O743&lt;=INDEX(PARAMETROS_CULTURAS!$F$6:$F$28,$P743),"INICIAL",IF($O743&lt;=INDEX(PARAMETROS_CULTURAS!$F$6:$F$28,$P743)+INDEX(PARAMETROS_CULTURAS!$G$6:$G$28,$P743),"DESENVOLVIMENTO",IF($O743&lt;=INDEX(PARAMETROS_CULTURAS!$F$6:$F$28,$P743)+INDEX(PARAMETROS_CULTURAS!$G$6:$G$28,$P743)+INDEX(PARAMETROS_CULTURAS!$H$6:$H$28,$P743),"MEDIA","FINAL"))))</f>
        <v>DESENVOLVIMENTO</v>
      </c>
      <c r="R743" s="24" t="n">
        <f aca="false">IF($P743=0,0,IF($O743&lt;=INDEX(PARAMETROS_CULTURAS!$F$6:$F$28,$P743),INDEX(PARAMETROS_CULTURAS!$K$6:$K$28,$P743),IF($O743&lt;=INDEX(PARAMETROS_CULTURAS!$F$6:$F$28,$P743)+INDEX(PARAMETROS_CULTURAS!$G$6:$G$28,$P743),INDEX(PARAMETROS_CULTURAS!$K$6:$K$28,$P743)+(INDEX(PARAMETROS_CULTURAS!$L$6:$L$28,$P743)-INDEX(PARAMETROS_CULTURAS!$K$6:$K$28,$P743))*($O743-INDEX(PARAMETROS_CULTURAS!$F$6:$F$28,$P743))/MAX(INDEX(PARAMETROS_CULTURAS!$G$6:$G$28,$P743),0.0001),IF($O743&lt;=INDEX(PARAMETROS_CULTURAS!$F$6:$F$28,$P743)+INDEX(PARAMETROS_CULTURAS!$G$6:$G$28,$P743)+INDEX(PARAMETROS_CULTURAS!$H$6:$H$28,$P743),INDEX(PARAMETROS_CULTURAS!$L$6:$L$28,$P743),INDEX(PARAMETROS_CULTURAS!$L$6:$L$28,$P743)+(INDEX(PARAMETROS_CULTURAS!$M$6:$M$28,$P743)-INDEX(PARAMETROS_CULTURAS!$L$6:$L$28,$P743))*($O743-INDEX(PARAMETROS_CULTURAS!$F$6:$F$28,$P743)-INDEX(PARAMETROS_CULTURAS!$G$6:$G$28,$P743)-INDEX(PARAMETROS_CULTURAS!$H$6:$H$28,$P743))/MAX(INDEX(PARAMETROS_CULTURAS!$I$6:$I$28,$P743),0.0001)))))</f>
        <v>0.94647676161919</v>
      </c>
      <c r="S743" s="18" t="n">
        <f aca="false">IFERROR(INDEX(SEMANAS!$H$6:$H$71,MATCH($B743,SEMANAS!$B$6:$B$71,0)),0)</f>
        <v>34.3</v>
      </c>
      <c r="T743" s="18" t="n">
        <f aca="false">$R743*$S743</f>
        <v>32.4641529235382</v>
      </c>
      <c r="U743" s="18" t="n">
        <f aca="false">IFERROR(INDEX(SEMANAS!$I$6:$I$71,MATCH($B743,SEMANAS!$B$6:$B$71,0)),0)</f>
        <v>46.69</v>
      </c>
      <c r="V743" s="18" t="n">
        <f aca="false">IFERROR(INDEX(SEMANAS!$J$6:$J$71,MATCH($B743,SEMANAS!$B$6:$B$71,0)),0)</f>
        <v>37.352</v>
      </c>
      <c r="W743" s="18" t="n">
        <f aca="false">MAX(0,$T743-$V743)</f>
        <v>0</v>
      </c>
      <c r="X743" s="19" t="n">
        <f aca="false">IFERROR(INDEX(CADASTRO_PIVOS!$K$6:$K$41,MATCH($E743,CADASTRO_PIVOS!$B$6:$B$41,0)),EFICIENCIA_PADRAO)</f>
        <v>0.85</v>
      </c>
      <c r="Y743" s="18" t="n">
        <f aca="false">IF($X743&lt;=0,0,$W743/$X743)</f>
        <v>0</v>
      </c>
      <c r="Z743" s="16" t="n">
        <f aca="false">$Y743*$H743*MM_PARA_M3_HA</f>
        <v>0</v>
      </c>
      <c r="AA743" s="18" t="n">
        <f aca="false">IFERROR(INDEX(CADASTRO_PIVOS!$I$6:$I$41,MATCH($E743,CADASTRO_PIVOS!$B$6:$B$41,0)),0)</f>
        <v>928.447619047619</v>
      </c>
      <c r="AB743" s="18" t="n">
        <f aca="false">IF($Z743&lt;=0,0,$Z743/$AA743)</f>
        <v>0</v>
      </c>
      <c r="AC743" s="16" t="n">
        <f aca="false">IFERROR(INDEX(SEMANAS!$K$6:$K$71,MATCH($B743,SEMANAS!$B$6:$B$71,0)),0)</f>
        <v>147</v>
      </c>
      <c r="AD743" s="19" t="n">
        <f aca="false">IF($AC743&lt;=0,0,$AB743/$AC743)</f>
        <v>0</v>
      </c>
      <c r="AE743" s="8" t="str">
        <f aca="false">IF($K743="SEM CULTURA","SEM CULTURA",IF($AA743&lt;=0,"DADO PENDENTE",IF($AD743&gt;LIMITE_CRITICO,"INVIAVEL",IF($AD743&gt;LIMITE_ATENCAO,"CRITICO",IF($AD743&gt;LIMITE_CONFORTAVEL,"ATENCAO","OK")))))</f>
        <v>OK</v>
      </c>
      <c r="AF743" s="8" t="str">
        <f aca="false">$B743&amp;"|"&amp;TEXT($AD743,"0.000000")</f>
        <v>12|0.000000</v>
      </c>
      <c r="AG743" s="18" t="n">
        <f aca="false">IF($K743="SEM CULTURA",0,$T743*$H743)</f>
        <v>4868.97365547226</v>
      </c>
      <c r="AH743" s="18" t="n">
        <f aca="false">IF($K743="SEM CULTURA",0,$V743*$H743)</f>
        <v>5602.05296</v>
      </c>
      <c r="AI743" s="18" t="n">
        <f aca="false">IF($K743="SEM CULTURA",0,$W743*$H743)</f>
        <v>0</v>
      </c>
      <c r="AJ743" s="18" t="n">
        <f aca="false">IF($K743="SEM CULTURA",0,$S743*$H743)</f>
        <v>5144.314</v>
      </c>
      <c r="AK743" s="8" t="str">
        <f aca="false">$E743&amp;"|"&amp;TEXT($AD743,"0.000000")</f>
        <v>PV 113|0.000000</v>
      </c>
    </row>
    <row r="744" customFormat="false" ht="15" hidden="false" customHeight="false" outlineLevel="0" collapsed="false">
      <c r="B744" s="16" t="n">
        <v>13</v>
      </c>
      <c r="C744" s="17" t="n">
        <f aca="false">DATA_INICIO_SAFRA+($B744-1)*DIAS_POR_SEMANA</f>
        <v>46349</v>
      </c>
      <c r="D744" s="17" t="n">
        <f aca="false">$C744+DIAS_POR_SEMANA-1</f>
        <v>46355</v>
      </c>
      <c r="E744" s="15" t="s">
        <v>270</v>
      </c>
      <c r="F744" s="8" t="str">
        <f aca="false">IFERROR(INDEX(CADASTRO_PIVOS!$C$6:$C$41,MATCH($E744,CADASTRO_PIVOS!$B$6:$B$41,0)),"?")</f>
        <v>RM05</v>
      </c>
      <c r="G744" s="8" t="str">
        <f aca="false">IFERROR(INDEX(CADASTRO_PIVOS!$D$6:$D$41,MATCH($E744,CADASTRO_PIVOS!$B$6:$B$41,0)),"?")</f>
        <v>TR05</v>
      </c>
      <c r="H744" s="20" t="n">
        <f aca="false">IFERROR(INDEX(CADASTRO_PIVOS!$E$6:$E$41,MATCH($E744,CADASTRO_PIVOS!$B$6:$B$41,0)),0)</f>
        <v>149.98</v>
      </c>
      <c r="I744" s="16" t="n">
        <f aca="false">IFERROR(SUMIFS(ROTACAO_RDM!$B$6:$B$71,ROTACAO_RDM!$D$6:$D$71,$E744,ROTACAO_RDM!$I$6:$I$71,"&lt;="&amp;$C744+INT(DIAS_POR_SEMANA/2),ROTACAO_RDM!$J$6:$J$71,"&gt;="&amp;$C744+INT(DIAS_POR_SEMANA/2)),0)</f>
        <v>22</v>
      </c>
      <c r="J744" s="16" t="n">
        <f aca="false">IFERROR(MATCH($I744,ROTACAO_RDM!$B$6:$B$71,0),0)</f>
        <v>22</v>
      </c>
      <c r="K744" s="8" t="str">
        <f aca="false">IF($J744=0,"SEM CULTURA",INDEX(ROTACAO_RDM!$F$6:$F$71,$J744))</f>
        <v>SOJA</v>
      </c>
      <c r="L744" s="8" t="str">
        <f aca="false">IF($J744=0,"",INDEX(ROTACAO_RDM!$G$6:$G$71,$J744))</f>
        <v>NEO 761 I2X</v>
      </c>
      <c r="M744" s="17" t="n">
        <f aca="false">IF($J744=0,"",INDEX(ROTACAO_RDM!$I$6:$I$71,$J744))</f>
        <v>46307</v>
      </c>
      <c r="N744" s="16" t="n">
        <f aca="false">IF($J744=0,0,MAX(0,$C744+INT(DIAS_POR_SEMANA/2)-INDEX(ROTACAO_RDM!$I$6:$I$71,$J744)))</f>
        <v>45</v>
      </c>
      <c r="O744" s="19" t="n">
        <f aca="false">IF($J744=0,0,MIN(1,$N744/MAX(1,INDEX(ROTACAO_RDM!$K$6:$K$71,$J744))))</f>
        <v>0.387931034482759</v>
      </c>
      <c r="P744" s="16" t="n">
        <f aca="false">IF($J744=0,0,IFERROR(MATCH(INDEX(ROTACAO_RDM!$N$6:$N$71,$J744),PARAMETROS_CULTURAS!$B$6:$B$28,0),0))</f>
        <v>2</v>
      </c>
      <c r="Q744" s="8" t="str">
        <f aca="false">IF($P744=0,"-",IF($O744&lt;=INDEX(PARAMETROS_CULTURAS!$F$6:$F$28,$P744),"INICIAL",IF($O744&lt;=INDEX(PARAMETROS_CULTURAS!$F$6:$F$28,$P744)+INDEX(PARAMETROS_CULTURAS!$G$6:$G$28,$P744),"DESENVOLVIMENTO",IF($O744&lt;=INDEX(PARAMETROS_CULTURAS!$F$6:$F$28,$P744)+INDEX(PARAMETROS_CULTURAS!$G$6:$G$28,$P744)+INDEX(PARAMETROS_CULTURAS!$H$6:$H$28,$P744),"MEDIA","FINAL"))))</f>
        <v>DESENVOLVIMENTO</v>
      </c>
      <c r="R744" s="24" t="n">
        <f aca="false">IF($P744=0,0,IF($O744&lt;=INDEX(PARAMETROS_CULTURAS!$F$6:$F$28,$P744),INDEX(PARAMETROS_CULTURAS!$K$6:$K$28,$P744),IF($O744&lt;=INDEX(PARAMETROS_CULTURAS!$F$6:$F$28,$P744)+INDEX(PARAMETROS_CULTURAS!$G$6:$G$28,$P744),INDEX(PARAMETROS_CULTURAS!$K$6:$K$28,$P744)+(INDEX(PARAMETROS_CULTURAS!$L$6:$L$28,$P744)-INDEX(PARAMETROS_CULTURAS!$K$6:$K$28,$P744))*($O744-INDEX(PARAMETROS_CULTURAS!$F$6:$F$28,$P744))/MAX(INDEX(PARAMETROS_CULTURAS!$G$6:$G$28,$P744),0.0001),IF($O744&lt;=INDEX(PARAMETROS_CULTURAS!$F$6:$F$28,$P744)+INDEX(PARAMETROS_CULTURAS!$G$6:$G$28,$P744)+INDEX(PARAMETROS_CULTURAS!$H$6:$H$28,$P744),INDEX(PARAMETROS_CULTURAS!$L$6:$L$28,$P744),INDEX(PARAMETROS_CULTURAS!$L$6:$L$28,$P744)+(INDEX(PARAMETROS_CULTURAS!$M$6:$M$28,$P744)-INDEX(PARAMETROS_CULTURAS!$L$6:$L$28,$P744))*($O744-INDEX(PARAMETROS_CULTURAS!$F$6:$F$28,$P744)-INDEX(PARAMETROS_CULTURAS!$G$6:$G$28,$P744)-INDEX(PARAMETROS_CULTURAS!$H$6:$H$28,$P744))/MAX(INDEX(PARAMETROS_CULTURAS!$I$6:$I$28,$P744),0.0001)))))</f>
        <v>1.14325337331334</v>
      </c>
      <c r="S744" s="18" t="n">
        <f aca="false">IFERROR(INDEX(SEMANAS!$H$6:$H$71,MATCH($B744,SEMANAS!$B$6:$B$71,0)),0)</f>
        <v>34.3</v>
      </c>
      <c r="T744" s="18" t="n">
        <f aca="false">$R744*$S744</f>
        <v>39.2135907046477</v>
      </c>
      <c r="U744" s="18" t="n">
        <f aca="false">IFERROR(INDEX(SEMANAS!$I$6:$I$71,MATCH($B744,SEMANAS!$B$6:$B$71,0)),0)</f>
        <v>46.69</v>
      </c>
      <c r="V744" s="18" t="n">
        <f aca="false">IFERROR(INDEX(SEMANAS!$J$6:$J$71,MATCH($B744,SEMANAS!$B$6:$B$71,0)),0)</f>
        <v>37.352</v>
      </c>
      <c r="W744" s="18" t="n">
        <f aca="false">MAX(0,$T744-$V744)</f>
        <v>1.86159070464768</v>
      </c>
      <c r="X744" s="19" t="n">
        <f aca="false">IFERROR(INDEX(CADASTRO_PIVOS!$K$6:$K$41,MATCH($E744,CADASTRO_PIVOS!$B$6:$B$41,0)),EFICIENCIA_PADRAO)</f>
        <v>0.85</v>
      </c>
      <c r="Y744" s="18" t="n">
        <f aca="false">IF($X744&lt;=0,0,$W744/$X744)</f>
        <v>2.19010671135021</v>
      </c>
      <c r="Z744" s="16" t="n">
        <f aca="false">$Y744*$H744*MM_PARA_M3_HA</f>
        <v>3284.72204568304</v>
      </c>
      <c r="AA744" s="18" t="n">
        <f aca="false">IFERROR(INDEX(CADASTRO_PIVOS!$I$6:$I$41,MATCH($E744,CADASTRO_PIVOS!$B$6:$B$41,0)),0)</f>
        <v>928.447619047619</v>
      </c>
      <c r="AB744" s="18" t="n">
        <f aca="false">IF($Z744&lt;=0,0,$Z744/$AA744)</f>
        <v>3.53786468756572</v>
      </c>
      <c r="AC744" s="16" t="n">
        <f aca="false">IFERROR(INDEX(SEMANAS!$K$6:$K$71,MATCH($B744,SEMANAS!$B$6:$B$71,0)),0)</f>
        <v>147</v>
      </c>
      <c r="AD744" s="19" t="n">
        <f aca="false">IF($AC744&lt;=0,0,$AB744/$AC744)</f>
        <v>0.0240671067181341</v>
      </c>
      <c r="AE744" s="8" t="str">
        <f aca="false">IF($K744="SEM CULTURA","SEM CULTURA",IF($AA744&lt;=0,"DADO PENDENTE",IF($AD744&gt;LIMITE_CRITICO,"INVIAVEL",IF($AD744&gt;LIMITE_ATENCAO,"CRITICO",IF($AD744&gt;LIMITE_CONFORTAVEL,"ATENCAO","OK")))))</f>
        <v>OK</v>
      </c>
      <c r="AF744" s="8" t="str">
        <f aca="false">$B744&amp;"|"&amp;TEXT($AD744,"0.000000")</f>
        <v>13|0.024067</v>
      </c>
      <c r="AG744" s="18" t="n">
        <f aca="false">IF($K744="SEM CULTURA",0,$T744*$H744)</f>
        <v>5881.25433388306</v>
      </c>
      <c r="AH744" s="18" t="n">
        <f aca="false">IF($K744="SEM CULTURA",0,$V744*$H744)</f>
        <v>5602.05296</v>
      </c>
      <c r="AI744" s="18" t="n">
        <f aca="false">IF($K744="SEM CULTURA",0,$W744*$H744)</f>
        <v>279.201373883058</v>
      </c>
      <c r="AJ744" s="18" t="n">
        <f aca="false">IF($K744="SEM CULTURA",0,$S744*$H744)</f>
        <v>5144.314</v>
      </c>
      <c r="AK744" s="8" t="str">
        <f aca="false">$E744&amp;"|"&amp;TEXT($AD744,"0.000000")</f>
        <v>PV 113|0.024067</v>
      </c>
    </row>
    <row r="745" customFormat="false" ht="15" hidden="false" customHeight="false" outlineLevel="0" collapsed="false">
      <c r="B745" s="16" t="n">
        <v>14</v>
      </c>
      <c r="C745" s="17" t="n">
        <f aca="false">DATA_INICIO_SAFRA+($B745-1)*DIAS_POR_SEMANA</f>
        <v>46356</v>
      </c>
      <c r="D745" s="17" t="n">
        <f aca="false">$C745+DIAS_POR_SEMANA-1</f>
        <v>46362</v>
      </c>
      <c r="E745" s="15" t="s">
        <v>270</v>
      </c>
      <c r="F745" s="8" t="str">
        <f aca="false">IFERROR(INDEX(CADASTRO_PIVOS!$C$6:$C$41,MATCH($E745,CADASTRO_PIVOS!$B$6:$B$41,0)),"?")</f>
        <v>RM05</v>
      </c>
      <c r="G745" s="8" t="str">
        <f aca="false">IFERROR(INDEX(CADASTRO_PIVOS!$D$6:$D$41,MATCH($E745,CADASTRO_PIVOS!$B$6:$B$41,0)),"?")</f>
        <v>TR05</v>
      </c>
      <c r="H745" s="20" t="n">
        <f aca="false">IFERROR(INDEX(CADASTRO_PIVOS!$E$6:$E$41,MATCH($E745,CADASTRO_PIVOS!$B$6:$B$41,0)),0)</f>
        <v>149.98</v>
      </c>
      <c r="I745" s="16" t="n">
        <f aca="false">IFERROR(SUMIFS(ROTACAO_RDM!$B$6:$B$71,ROTACAO_RDM!$D$6:$D$71,$E745,ROTACAO_RDM!$I$6:$I$71,"&lt;="&amp;$C745+INT(DIAS_POR_SEMANA/2),ROTACAO_RDM!$J$6:$J$71,"&gt;="&amp;$C745+INT(DIAS_POR_SEMANA/2)),0)</f>
        <v>22</v>
      </c>
      <c r="J745" s="16" t="n">
        <f aca="false">IFERROR(MATCH($I745,ROTACAO_RDM!$B$6:$B$71,0),0)</f>
        <v>22</v>
      </c>
      <c r="K745" s="8" t="str">
        <f aca="false">IF($J745=0,"SEM CULTURA",INDEX(ROTACAO_RDM!$F$6:$F$71,$J745))</f>
        <v>SOJA</v>
      </c>
      <c r="L745" s="8" t="str">
        <f aca="false">IF($J745=0,"",INDEX(ROTACAO_RDM!$G$6:$G$71,$J745))</f>
        <v>NEO 761 I2X</v>
      </c>
      <c r="M745" s="17" t="n">
        <f aca="false">IF($J745=0,"",INDEX(ROTACAO_RDM!$I$6:$I$71,$J745))</f>
        <v>46307</v>
      </c>
      <c r="N745" s="16" t="n">
        <f aca="false">IF($J745=0,0,MAX(0,$C745+INT(DIAS_POR_SEMANA/2)-INDEX(ROTACAO_RDM!$I$6:$I$71,$J745)))</f>
        <v>52</v>
      </c>
      <c r="O745" s="19" t="n">
        <f aca="false">IF($J745=0,0,MIN(1,$N745/MAX(1,INDEX(ROTACAO_RDM!$K$6:$K$71,$J745))))</f>
        <v>0.448275862068966</v>
      </c>
      <c r="P745" s="16" t="n">
        <f aca="false">IF($J745=0,0,IFERROR(MATCH(INDEX(ROTACAO_RDM!$N$6:$N$71,$J745),PARAMETROS_CULTURAS!$B$6:$B$28,0),0))</f>
        <v>2</v>
      </c>
      <c r="Q745" s="8" t="str">
        <f aca="false">IF($P745=0,"-",IF($O745&lt;=INDEX(PARAMETROS_CULTURAS!$F$6:$F$28,$P745),"INICIAL",IF($O745&lt;=INDEX(PARAMETROS_CULTURAS!$F$6:$F$28,$P745)+INDEX(PARAMETROS_CULTURAS!$G$6:$G$28,$P745),"DESENVOLVIMENTO",IF($O745&lt;=INDEX(PARAMETROS_CULTURAS!$F$6:$F$28,$P745)+INDEX(PARAMETROS_CULTURAS!$G$6:$G$28,$P745)+INDEX(PARAMETROS_CULTURAS!$H$6:$H$28,$P745),"MEDIA","FINAL"))))</f>
        <v>MEDIA</v>
      </c>
      <c r="R745" s="24" t="n">
        <f aca="false">IF($P745=0,0,IF($O745&lt;=INDEX(PARAMETROS_CULTURAS!$F$6:$F$28,$P745),INDEX(PARAMETROS_CULTURAS!$K$6:$K$28,$P745),IF($O745&lt;=INDEX(PARAMETROS_CULTURAS!$F$6:$F$28,$P745)+INDEX(PARAMETROS_CULTURAS!$G$6:$G$28,$P745),INDEX(PARAMETROS_CULTURAS!$K$6:$K$28,$P745)+(INDEX(PARAMETROS_CULTURAS!$L$6:$L$28,$P745)-INDEX(PARAMETROS_CULTURAS!$K$6:$K$28,$P745))*($O745-INDEX(PARAMETROS_CULTURAS!$F$6:$F$28,$P745))/MAX(INDEX(PARAMETROS_CULTURAS!$G$6:$G$28,$P745),0.0001),IF($O745&lt;=INDEX(PARAMETROS_CULTURAS!$F$6:$F$28,$P745)+INDEX(PARAMETROS_CULTURAS!$G$6:$G$28,$P745)+INDEX(PARAMETROS_CULTURAS!$H$6:$H$28,$P745),INDEX(PARAMETROS_CULTURAS!$L$6:$L$28,$P745),INDEX(PARAMETROS_CULTURAS!$L$6:$L$28,$P745)+(INDEX(PARAMETROS_CULTURAS!$M$6:$M$28,$P745)-INDEX(PARAMETROS_CULTURAS!$L$6:$L$28,$P745))*($O745-INDEX(PARAMETROS_CULTURAS!$F$6:$F$28,$P745)-INDEX(PARAMETROS_CULTURAS!$G$6:$G$28,$P745)-INDEX(PARAMETROS_CULTURAS!$H$6:$H$28,$P745))/MAX(INDEX(PARAMETROS_CULTURAS!$I$6:$I$28,$P745),0.0001)))))</f>
        <v>1.15</v>
      </c>
      <c r="S745" s="18" t="n">
        <f aca="false">IFERROR(INDEX(SEMANAS!$H$6:$H$71,MATCH($B745,SEMANAS!$B$6:$B$71,0)),0)</f>
        <v>33.1</v>
      </c>
      <c r="T745" s="18" t="n">
        <f aca="false">$R745*$S745</f>
        <v>38.065</v>
      </c>
      <c r="U745" s="18" t="n">
        <f aca="false">IFERROR(INDEX(SEMANAS!$I$6:$I$71,MATCH($B745,SEMANAS!$B$6:$B$71,0)),0)</f>
        <v>48.31</v>
      </c>
      <c r="V745" s="18" t="n">
        <f aca="false">IFERROR(INDEX(SEMANAS!$J$6:$J$71,MATCH($B745,SEMANAS!$B$6:$B$71,0)),0)</f>
        <v>38.648</v>
      </c>
      <c r="W745" s="18" t="n">
        <f aca="false">MAX(0,$T745-$V745)</f>
        <v>0</v>
      </c>
      <c r="X745" s="19" t="n">
        <f aca="false">IFERROR(INDEX(CADASTRO_PIVOS!$K$6:$K$41,MATCH($E745,CADASTRO_PIVOS!$B$6:$B$41,0)),EFICIENCIA_PADRAO)</f>
        <v>0.85</v>
      </c>
      <c r="Y745" s="18" t="n">
        <f aca="false">IF($X745&lt;=0,0,$W745/$X745)</f>
        <v>0</v>
      </c>
      <c r="Z745" s="16" t="n">
        <f aca="false">$Y745*$H745*MM_PARA_M3_HA</f>
        <v>0</v>
      </c>
      <c r="AA745" s="18" t="n">
        <f aca="false">IFERROR(INDEX(CADASTRO_PIVOS!$I$6:$I$41,MATCH($E745,CADASTRO_PIVOS!$B$6:$B$41,0)),0)</f>
        <v>928.447619047619</v>
      </c>
      <c r="AB745" s="18" t="n">
        <f aca="false">IF($Z745&lt;=0,0,$Z745/$AA745)</f>
        <v>0</v>
      </c>
      <c r="AC745" s="16" t="n">
        <f aca="false">IFERROR(INDEX(SEMANAS!$K$6:$K$71,MATCH($B745,SEMANAS!$B$6:$B$71,0)),0)</f>
        <v>147</v>
      </c>
      <c r="AD745" s="19" t="n">
        <f aca="false">IF($AC745&lt;=0,0,$AB745/$AC745)</f>
        <v>0</v>
      </c>
      <c r="AE745" s="8" t="str">
        <f aca="false">IF($K745="SEM CULTURA","SEM CULTURA",IF($AA745&lt;=0,"DADO PENDENTE",IF($AD745&gt;LIMITE_CRITICO,"INVIAVEL",IF($AD745&gt;LIMITE_ATENCAO,"CRITICO",IF($AD745&gt;LIMITE_CONFORTAVEL,"ATENCAO","OK")))))</f>
        <v>OK</v>
      </c>
      <c r="AF745" s="8" t="str">
        <f aca="false">$B745&amp;"|"&amp;TEXT($AD745,"0.000000")</f>
        <v>14|0.000000</v>
      </c>
      <c r="AG745" s="18" t="n">
        <f aca="false">IF($K745="SEM CULTURA",0,$T745*$H745)</f>
        <v>5708.9887</v>
      </c>
      <c r="AH745" s="18" t="n">
        <f aca="false">IF($K745="SEM CULTURA",0,$V745*$H745)</f>
        <v>5796.42704</v>
      </c>
      <c r="AI745" s="18" t="n">
        <f aca="false">IF($K745="SEM CULTURA",0,$W745*$H745)</f>
        <v>0</v>
      </c>
      <c r="AJ745" s="18" t="n">
        <f aca="false">IF($K745="SEM CULTURA",0,$S745*$H745)</f>
        <v>4964.338</v>
      </c>
      <c r="AK745" s="8" t="str">
        <f aca="false">$E745&amp;"|"&amp;TEXT($AD745,"0.000000")</f>
        <v>PV 113|0.000000</v>
      </c>
    </row>
    <row r="746" customFormat="false" ht="15" hidden="false" customHeight="false" outlineLevel="0" collapsed="false">
      <c r="B746" s="16" t="n">
        <v>15</v>
      </c>
      <c r="C746" s="17" t="n">
        <f aca="false">DATA_INICIO_SAFRA+($B746-1)*DIAS_POR_SEMANA</f>
        <v>46363</v>
      </c>
      <c r="D746" s="17" t="n">
        <f aca="false">$C746+DIAS_POR_SEMANA-1</f>
        <v>46369</v>
      </c>
      <c r="E746" s="15" t="s">
        <v>270</v>
      </c>
      <c r="F746" s="8" t="str">
        <f aca="false">IFERROR(INDEX(CADASTRO_PIVOS!$C$6:$C$41,MATCH($E746,CADASTRO_PIVOS!$B$6:$B$41,0)),"?")</f>
        <v>RM05</v>
      </c>
      <c r="G746" s="8" t="str">
        <f aca="false">IFERROR(INDEX(CADASTRO_PIVOS!$D$6:$D$41,MATCH($E746,CADASTRO_PIVOS!$B$6:$B$41,0)),"?")</f>
        <v>TR05</v>
      </c>
      <c r="H746" s="20" t="n">
        <f aca="false">IFERROR(INDEX(CADASTRO_PIVOS!$E$6:$E$41,MATCH($E746,CADASTRO_PIVOS!$B$6:$B$41,0)),0)</f>
        <v>149.98</v>
      </c>
      <c r="I746" s="16" t="n">
        <f aca="false">IFERROR(SUMIFS(ROTACAO_RDM!$B$6:$B$71,ROTACAO_RDM!$D$6:$D$71,$E746,ROTACAO_RDM!$I$6:$I$71,"&lt;="&amp;$C746+INT(DIAS_POR_SEMANA/2),ROTACAO_RDM!$J$6:$J$71,"&gt;="&amp;$C746+INT(DIAS_POR_SEMANA/2)),0)</f>
        <v>22</v>
      </c>
      <c r="J746" s="16" t="n">
        <f aca="false">IFERROR(MATCH($I746,ROTACAO_RDM!$B$6:$B$71,0),0)</f>
        <v>22</v>
      </c>
      <c r="K746" s="8" t="str">
        <f aca="false">IF($J746=0,"SEM CULTURA",INDEX(ROTACAO_RDM!$F$6:$F$71,$J746))</f>
        <v>SOJA</v>
      </c>
      <c r="L746" s="8" t="str">
        <f aca="false">IF($J746=0,"",INDEX(ROTACAO_RDM!$G$6:$G$71,$J746))</f>
        <v>NEO 761 I2X</v>
      </c>
      <c r="M746" s="17" t="n">
        <f aca="false">IF($J746=0,"",INDEX(ROTACAO_RDM!$I$6:$I$71,$J746))</f>
        <v>46307</v>
      </c>
      <c r="N746" s="16" t="n">
        <f aca="false">IF($J746=0,0,MAX(0,$C746+INT(DIAS_POR_SEMANA/2)-INDEX(ROTACAO_RDM!$I$6:$I$71,$J746)))</f>
        <v>59</v>
      </c>
      <c r="O746" s="19" t="n">
        <f aca="false">IF($J746=0,0,MIN(1,$N746/MAX(1,INDEX(ROTACAO_RDM!$K$6:$K$71,$J746))))</f>
        <v>0.508620689655172</v>
      </c>
      <c r="P746" s="16" t="n">
        <f aca="false">IF($J746=0,0,IFERROR(MATCH(INDEX(ROTACAO_RDM!$N$6:$N$71,$J746),PARAMETROS_CULTURAS!$B$6:$B$28,0),0))</f>
        <v>2</v>
      </c>
      <c r="Q746" s="8" t="str">
        <f aca="false">IF($P746=0,"-",IF($O746&lt;=INDEX(PARAMETROS_CULTURAS!$F$6:$F$28,$P746),"INICIAL",IF($O746&lt;=INDEX(PARAMETROS_CULTURAS!$F$6:$F$28,$P746)+INDEX(PARAMETROS_CULTURAS!$G$6:$G$28,$P746),"DESENVOLVIMENTO",IF($O746&lt;=INDEX(PARAMETROS_CULTURAS!$F$6:$F$28,$P746)+INDEX(PARAMETROS_CULTURAS!$G$6:$G$28,$P746)+INDEX(PARAMETROS_CULTURAS!$H$6:$H$28,$P746),"MEDIA","FINAL"))))</f>
        <v>MEDIA</v>
      </c>
      <c r="R746" s="24" t="n">
        <f aca="false">IF($P746=0,0,IF($O746&lt;=INDEX(PARAMETROS_CULTURAS!$F$6:$F$28,$P746),INDEX(PARAMETROS_CULTURAS!$K$6:$K$28,$P746),IF($O746&lt;=INDEX(PARAMETROS_CULTURAS!$F$6:$F$28,$P746)+INDEX(PARAMETROS_CULTURAS!$G$6:$G$28,$P746),INDEX(PARAMETROS_CULTURAS!$K$6:$K$28,$P746)+(INDEX(PARAMETROS_CULTURAS!$L$6:$L$28,$P746)-INDEX(PARAMETROS_CULTURAS!$K$6:$K$28,$P746))*($O746-INDEX(PARAMETROS_CULTURAS!$F$6:$F$28,$P746))/MAX(INDEX(PARAMETROS_CULTURAS!$G$6:$G$28,$P746),0.0001),IF($O746&lt;=INDEX(PARAMETROS_CULTURAS!$F$6:$F$28,$P746)+INDEX(PARAMETROS_CULTURAS!$G$6:$G$28,$P746)+INDEX(PARAMETROS_CULTURAS!$H$6:$H$28,$P746),INDEX(PARAMETROS_CULTURAS!$L$6:$L$28,$P746),INDEX(PARAMETROS_CULTURAS!$L$6:$L$28,$P746)+(INDEX(PARAMETROS_CULTURAS!$M$6:$M$28,$P746)-INDEX(PARAMETROS_CULTURAS!$L$6:$L$28,$P746))*($O746-INDEX(PARAMETROS_CULTURAS!$F$6:$F$28,$P746)-INDEX(PARAMETROS_CULTURAS!$G$6:$G$28,$P746)-INDEX(PARAMETROS_CULTURAS!$H$6:$H$28,$P746))/MAX(INDEX(PARAMETROS_CULTURAS!$I$6:$I$28,$P746),0.0001)))))</f>
        <v>1.15</v>
      </c>
      <c r="S746" s="18" t="n">
        <f aca="false">IFERROR(INDEX(SEMANAS!$H$6:$H$71,MATCH($B746,SEMANAS!$B$6:$B$71,0)),0)</f>
        <v>32.9</v>
      </c>
      <c r="T746" s="18" t="n">
        <f aca="false">$R746*$S746</f>
        <v>37.835</v>
      </c>
      <c r="U746" s="18" t="n">
        <f aca="false">IFERROR(INDEX(SEMANAS!$I$6:$I$71,MATCH($B746,SEMANAS!$B$6:$B$71,0)),0)</f>
        <v>48.58</v>
      </c>
      <c r="V746" s="18" t="n">
        <f aca="false">IFERROR(INDEX(SEMANAS!$J$6:$J$71,MATCH($B746,SEMANAS!$B$6:$B$71,0)),0)</f>
        <v>38.864</v>
      </c>
      <c r="W746" s="18" t="n">
        <f aca="false">MAX(0,$T746-$V746)</f>
        <v>0</v>
      </c>
      <c r="X746" s="19" t="n">
        <f aca="false">IFERROR(INDEX(CADASTRO_PIVOS!$K$6:$K$41,MATCH($E746,CADASTRO_PIVOS!$B$6:$B$41,0)),EFICIENCIA_PADRAO)</f>
        <v>0.85</v>
      </c>
      <c r="Y746" s="18" t="n">
        <f aca="false">IF($X746&lt;=0,0,$W746/$X746)</f>
        <v>0</v>
      </c>
      <c r="Z746" s="16" t="n">
        <f aca="false">$Y746*$H746*MM_PARA_M3_HA</f>
        <v>0</v>
      </c>
      <c r="AA746" s="18" t="n">
        <f aca="false">IFERROR(INDEX(CADASTRO_PIVOS!$I$6:$I$41,MATCH($E746,CADASTRO_PIVOS!$B$6:$B$41,0)),0)</f>
        <v>928.447619047619</v>
      </c>
      <c r="AB746" s="18" t="n">
        <f aca="false">IF($Z746&lt;=0,0,$Z746/$AA746)</f>
        <v>0</v>
      </c>
      <c r="AC746" s="16" t="n">
        <f aca="false">IFERROR(INDEX(SEMANAS!$K$6:$K$71,MATCH($B746,SEMANAS!$B$6:$B$71,0)),0)</f>
        <v>147</v>
      </c>
      <c r="AD746" s="19" t="n">
        <f aca="false">IF($AC746&lt;=0,0,$AB746/$AC746)</f>
        <v>0</v>
      </c>
      <c r="AE746" s="8" t="str">
        <f aca="false">IF($K746="SEM CULTURA","SEM CULTURA",IF($AA746&lt;=0,"DADO PENDENTE",IF($AD746&gt;LIMITE_CRITICO,"INVIAVEL",IF($AD746&gt;LIMITE_ATENCAO,"CRITICO",IF($AD746&gt;LIMITE_CONFORTAVEL,"ATENCAO","OK")))))</f>
        <v>OK</v>
      </c>
      <c r="AF746" s="8" t="str">
        <f aca="false">$B746&amp;"|"&amp;TEXT($AD746,"0.000000")</f>
        <v>15|0.000000</v>
      </c>
      <c r="AG746" s="18" t="n">
        <f aca="false">IF($K746="SEM CULTURA",0,$T746*$H746)</f>
        <v>5674.4933</v>
      </c>
      <c r="AH746" s="18" t="n">
        <f aca="false">IF($K746="SEM CULTURA",0,$V746*$H746)</f>
        <v>5828.82272</v>
      </c>
      <c r="AI746" s="18" t="n">
        <f aca="false">IF($K746="SEM CULTURA",0,$W746*$H746)</f>
        <v>0</v>
      </c>
      <c r="AJ746" s="18" t="n">
        <f aca="false">IF($K746="SEM CULTURA",0,$S746*$H746)</f>
        <v>4934.342</v>
      </c>
      <c r="AK746" s="8" t="str">
        <f aca="false">$E746&amp;"|"&amp;TEXT($AD746,"0.000000")</f>
        <v>PV 113|0.000000</v>
      </c>
    </row>
    <row r="747" customFormat="false" ht="15" hidden="false" customHeight="false" outlineLevel="0" collapsed="false">
      <c r="B747" s="16" t="n">
        <v>16</v>
      </c>
      <c r="C747" s="17" t="n">
        <f aca="false">DATA_INICIO_SAFRA+($B747-1)*DIAS_POR_SEMANA</f>
        <v>46370</v>
      </c>
      <c r="D747" s="17" t="n">
        <f aca="false">$C747+DIAS_POR_SEMANA-1</f>
        <v>46376</v>
      </c>
      <c r="E747" s="15" t="s">
        <v>270</v>
      </c>
      <c r="F747" s="8" t="str">
        <f aca="false">IFERROR(INDEX(CADASTRO_PIVOS!$C$6:$C$41,MATCH($E747,CADASTRO_PIVOS!$B$6:$B$41,0)),"?")</f>
        <v>RM05</v>
      </c>
      <c r="G747" s="8" t="str">
        <f aca="false">IFERROR(INDEX(CADASTRO_PIVOS!$D$6:$D$41,MATCH($E747,CADASTRO_PIVOS!$B$6:$B$41,0)),"?")</f>
        <v>TR05</v>
      </c>
      <c r="H747" s="20" t="n">
        <f aca="false">IFERROR(INDEX(CADASTRO_PIVOS!$E$6:$E$41,MATCH($E747,CADASTRO_PIVOS!$B$6:$B$41,0)),0)</f>
        <v>149.98</v>
      </c>
      <c r="I747" s="16" t="n">
        <f aca="false">IFERROR(SUMIFS(ROTACAO_RDM!$B$6:$B$71,ROTACAO_RDM!$D$6:$D$71,$E747,ROTACAO_RDM!$I$6:$I$71,"&lt;="&amp;$C747+INT(DIAS_POR_SEMANA/2),ROTACAO_RDM!$J$6:$J$71,"&gt;="&amp;$C747+INT(DIAS_POR_SEMANA/2)),0)</f>
        <v>22</v>
      </c>
      <c r="J747" s="16" t="n">
        <f aca="false">IFERROR(MATCH($I747,ROTACAO_RDM!$B$6:$B$71,0),0)</f>
        <v>22</v>
      </c>
      <c r="K747" s="8" t="str">
        <f aca="false">IF($J747=0,"SEM CULTURA",INDEX(ROTACAO_RDM!$F$6:$F$71,$J747))</f>
        <v>SOJA</v>
      </c>
      <c r="L747" s="8" t="str">
        <f aca="false">IF($J747=0,"",INDEX(ROTACAO_RDM!$G$6:$G$71,$J747))</f>
        <v>NEO 761 I2X</v>
      </c>
      <c r="M747" s="17" t="n">
        <f aca="false">IF($J747=0,"",INDEX(ROTACAO_RDM!$I$6:$I$71,$J747))</f>
        <v>46307</v>
      </c>
      <c r="N747" s="16" t="n">
        <f aca="false">IF($J747=0,0,MAX(0,$C747+INT(DIAS_POR_SEMANA/2)-INDEX(ROTACAO_RDM!$I$6:$I$71,$J747)))</f>
        <v>66</v>
      </c>
      <c r="O747" s="19" t="n">
        <f aca="false">IF($J747=0,0,MIN(1,$N747/MAX(1,INDEX(ROTACAO_RDM!$K$6:$K$71,$J747))))</f>
        <v>0.568965517241379</v>
      </c>
      <c r="P747" s="16" t="n">
        <f aca="false">IF($J747=0,0,IFERROR(MATCH(INDEX(ROTACAO_RDM!$N$6:$N$71,$J747),PARAMETROS_CULTURAS!$B$6:$B$28,0),0))</f>
        <v>2</v>
      </c>
      <c r="Q747" s="8" t="str">
        <f aca="false">IF($P747=0,"-",IF($O747&lt;=INDEX(PARAMETROS_CULTURAS!$F$6:$F$28,$P747),"INICIAL",IF($O747&lt;=INDEX(PARAMETROS_CULTURAS!$F$6:$F$28,$P747)+INDEX(PARAMETROS_CULTURAS!$G$6:$G$28,$P747),"DESENVOLVIMENTO",IF($O747&lt;=INDEX(PARAMETROS_CULTURAS!$F$6:$F$28,$P747)+INDEX(PARAMETROS_CULTURAS!$G$6:$G$28,$P747)+INDEX(PARAMETROS_CULTURAS!$H$6:$H$28,$P747),"MEDIA","FINAL"))))</f>
        <v>MEDIA</v>
      </c>
      <c r="R747" s="24" t="n">
        <f aca="false">IF($P747=0,0,IF($O747&lt;=INDEX(PARAMETROS_CULTURAS!$F$6:$F$28,$P747),INDEX(PARAMETROS_CULTURAS!$K$6:$K$28,$P747),IF($O747&lt;=INDEX(PARAMETROS_CULTURAS!$F$6:$F$28,$P747)+INDEX(PARAMETROS_CULTURAS!$G$6:$G$28,$P747),INDEX(PARAMETROS_CULTURAS!$K$6:$K$28,$P747)+(INDEX(PARAMETROS_CULTURAS!$L$6:$L$28,$P747)-INDEX(PARAMETROS_CULTURAS!$K$6:$K$28,$P747))*($O747-INDEX(PARAMETROS_CULTURAS!$F$6:$F$28,$P747))/MAX(INDEX(PARAMETROS_CULTURAS!$G$6:$G$28,$P747),0.0001),IF($O747&lt;=INDEX(PARAMETROS_CULTURAS!$F$6:$F$28,$P747)+INDEX(PARAMETROS_CULTURAS!$G$6:$G$28,$P747)+INDEX(PARAMETROS_CULTURAS!$H$6:$H$28,$P747),INDEX(PARAMETROS_CULTURAS!$L$6:$L$28,$P747),INDEX(PARAMETROS_CULTURAS!$L$6:$L$28,$P747)+(INDEX(PARAMETROS_CULTURAS!$M$6:$M$28,$P747)-INDEX(PARAMETROS_CULTURAS!$L$6:$L$28,$P747))*($O747-INDEX(PARAMETROS_CULTURAS!$F$6:$F$28,$P747)-INDEX(PARAMETROS_CULTURAS!$G$6:$G$28,$P747)-INDEX(PARAMETROS_CULTURAS!$H$6:$H$28,$P747))/MAX(INDEX(PARAMETROS_CULTURAS!$I$6:$I$28,$P747),0.0001)))))</f>
        <v>1.15</v>
      </c>
      <c r="S747" s="18" t="n">
        <f aca="false">IFERROR(INDEX(SEMANAS!$H$6:$H$71,MATCH($B747,SEMANAS!$B$6:$B$71,0)),0)</f>
        <v>32.9</v>
      </c>
      <c r="T747" s="18" t="n">
        <f aca="false">$R747*$S747</f>
        <v>37.835</v>
      </c>
      <c r="U747" s="18" t="n">
        <f aca="false">IFERROR(INDEX(SEMANAS!$I$6:$I$71,MATCH($B747,SEMANAS!$B$6:$B$71,0)),0)</f>
        <v>48.58</v>
      </c>
      <c r="V747" s="18" t="n">
        <f aca="false">IFERROR(INDEX(SEMANAS!$J$6:$J$71,MATCH($B747,SEMANAS!$B$6:$B$71,0)),0)</f>
        <v>38.864</v>
      </c>
      <c r="W747" s="18" t="n">
        <f aca="false">MAX(0,$T747-$V747)</f>
        <v>0</v>
      </c>
      <c r="X747" s="19" t="n">
        <f aca="false">IFERROR(INDEX(CADASTRO_PIVOS!$K$6:$K$41,MATCH($E747,CADASTRO_PIVOS!$B$6:$B$41,0)),EFICIENCIA_PADRAO)</f>
        <v>0.85</v>
      </c>
      <c r="Y747" s="18" t="n">
        <f aca="false">IF($X747&lt;=0,0,$W747/$X747)</f>
        <v>0</v>
      </c>
      <c r="Z747" s="16" t="n">
        <f aca="false">$Y747*$H747*MM_PARA_M3_HA</f>
        <v>0</v>
      </c>
      <c r="AA747" s="18" t="n">
        <f aca="false">IFERROR(INDEX(CADASTRO_PIVOS!$I$6:$I$41,MATCH($E747,CADASTRO_PIVOS!$B$6:$B$41,0)),0)</f>
        <v>928.447619047619</v>
      </c>
      <c r="AB747" s="18" t="n">
        <f aca="false">IF($Z747&lt;=0,0,$Z747/$AA747)</f>
        <v>0</v>
      </c>
      <c r="AC747" s="16" t="n">
        <f aca="false">IFERROR(INDEX(SEMANAS!$K$6:$K$71,MATCH($B747,SEMANAS!$B$6:$B$71,0)),0)</f>
        <v>147</v>
      </c>
      <c r="AD747" s="19" t="n">
        <f aca="false">IF($AC747&lt;=0,0,$AB747/$AC747)</f>
        <v>0</v>
      </c>
      <c r="AE747" s="8" t="str">
        <f aca="false">IF($K747="SEM CULTURA","SEM CULTURA",IF($AA747&lt;=0,"DADO PENDENTE",IF($AD747&gt;LIMITE_CRITICO,"INVIAVEL",IF($AD747&gt;LIMITE_ATENCAO,"CRITICO",IF($AD747&gt;LIMITE_CONFORTAVEL,"ATENCAO","OK")))))</f>
        <v>OK</v>
      </c>
      <c r="AF747" s="8" t="str">
        <f aca="false">$B747&amp;"|"&amp;TEXT($AD747,"0.000000")</f>
        <v>16|0.000000</v>
      </c>
      <c r="AG747" s="18" t="n">
        <f aca="false">IF($K747="SEM CULTURA",0,$T747*$H747)</f>
        <v>5674.4933</v>
      </c>
      <c r="AH747" s="18" t="n">
        <f aca="false">IF($K747="SEM CULTURA",0,$V747*$H747)</f>
        <v>5828.82272</v>
      </c>
      <c r="AI747" s="18" t="n">
        <f aca="false">IF($K747="SEM CULTURA",0,$W747*$H747)</f>
        <v>0</v>
      </c>
      <c r="AJ747" s="18" t="n">
        <f aca="false">IF($K747="SEM CULTURA",0,$S747*$H747)</f>
        <v>4934.342</v>
      </c>
      <c r="AK747" s="8" t="str">
        <f aca="false">$E747&amp;"|"&amp;TEXT($AD747,"0.000000")</f>
        <v>PV 113|0.000000</v>
      </c>
    </row>
    <row r="748" customFormat="false" ht="15" hidden="false" customHeight="false" outlineLevel="0" collapsed="false">
      <c r="B748" s="16" t="n">
        <v>17</v>
      </c>
      <c r="C748" s="17" t="n">
        <f aca="false">DATA_INICIO_SAFRA+($B748-1)*DIAS_POR_SEMANA</f>
        <v>46377</v>
      </c>
      <c r="D748" s="17" t="n">
        <f aca="false">$C748+DIAS_POR_SEMANA-1</f>
        <v>46383</v>
      </c>
      <c r="E748" s="15" t="s">
        <v>270</v>
      </c>
      <c r="F748" s="8" t="str">
        <f aca="false">IFERROR(INDEX(CADASTRO_PIVOS!$C$6:$C$41,MATCH($E748,CADASTRO_PIVOS!$B$6:$B$41,0)),"?")</f>
        <v>RM05</v>
      </c>
      <c r="G748" s="8" t="str">
        <f aca="false">IFERROR(INDEX(CADASTRO_PIVOS!$D$6:$D$41,MATCH($E748,CADASTRO_PIVOS!$B$6:$B$41,0)),"?")</f>
        <v>TR05</v>
      </c>
      <c r="H748" s="20" t="n">
        <f aca="false">IFERROR(INDEX(CADASTRO_PIVOS!$E$6:$E$41,MATCH($E748,CADASTRO_PIVOS!$B$6:$B$41,0)),0)</f>
        <v>149.98</v>
      </c>
      <c r="I748" s="16" t="n">
        <f aca="false">IFERROR(SUMIFS(ROTACAO_RDM!$B$6:$B$71,ROTACAO_RDM!$D$6:$D$71,$E748,ROTACAO_RDM!$I$6:$I$71,"&lt;="&amp;$C748+INT(DIAS_POR_SEMANA/2),ROTACAO_RDM!$J$6:$J$71,"&gt;="&amp;$C748+INT(DIAS_POR_SEMANA/2)),0)</f>
        <v>22</v>
      </c>
      <c r="J748" s="16" t="n">
        <f aca="false">IFERROR(MATCH($I748,ROTACAO_RDM!$B$6:$B$71,0),0)</f>
        <v>22</v>
      </c>
      <c r="K748" s="8" t="str">
        <f aca="false">IF($J748=0,"SEM CULTURA",INDEX(ROTACAO_RDM!$F$6:$F$71,$J748))</f>
        <v>SOJA</v>
      </c>
      <c r="L748" s="8" t="str">
        <f aca="false">IF($J748=0,"",INDEX(ROTACAO_RDM!$G$6:$G$71,$J748))</f>
        <v>NEO 761 I2X</v>
      </c>
      <c r="M748" s="17" t="n">
        <f aca="false">IF($J748=0,"",INDEX(ROTACAO_RDM!$I$6:$I$71,$J748))</f>
        <v>46307</v>
      </c>
      <c r="N748" s="16" t="n">
        <f aca="false">IF($J748=0,0,MAX(0,$C748+INT(DIAS_POR_SEMANA/2)-INDEX(ROTACAO_RDM!$I$6:$I$71,$J748)))</f>
        <v>73</v>
      </c>
      <c r="O748" s="19" t="n">
        <f aca="false">IF($J748=0,0,MIN(1,$N748/MAX(1,INDEX(ROTACAO_RDM!$K$6:$K$71,$J748))))</f>
        <v>0.629310344827586</v>
      </c>
      <c r="P748" s="16" t="n">
        <f aca="false">IF($J748=0,0,IFERROR(MATCH(INDEX(ROTACAO_RDM!$N$6:$N$71,$J748),PARAMETROS_CULTURAS!$B$6:$B$28,0),0))</f>
        <v>2</v>
      </c>
      <c r="Q748" s="8" t="str">
        <f aca="false">IF($P748=0,"-",IF($O748&lt;=INDEX(PARAMETROS_CULTURAS!$F$6:$F$28,$P748),"INICIAL",IF($O748&lt;=INDEX(PARAMETROS_CULTURAS!$F$6:$F$28,$P748)+INDEX(PARAMETROS_CULTURAS!$G$6:$G$28,$P748),"DESENVOLVIMENTO",IF($O748&lt;=INDEX(PARAMETROS_CULTURAS!$F$6:$F$28,$P748)+INDEX(PARAMETROS_CULTURAS!$G$6:$G$28,$P748)+INDEX(PARAMETROS_CULTURAS!$H$6:$H$28,$P748),"MEDIA","FINAL"))))</f>
        <v>MEDIA</v>
      </c>
      <c r="R748" s="24" t="n">
        <f aca="false">IF($P748=0,0,IF($O748&lt;=INDEX(PARAMETROS_CULTURAS!$F$6:$F$28,$P748),INDEX(PARAMETROS_CULTURAS!$K$6:$K$28,$P748),IF($O748&lt;=INDEX(PARAMETROS_CULTURAS!$F$6:$F$28,$P748)+INDEX(PARAMETROS_CULTURAS!$G$6:$G$28,$P748),INDEX(PARAMETROS_CULTURAS!$K$6:$K$28,$P748)+(INDEX(PARAMETROS_CULTURAS!$L$6:$L$28,$P748)-INDEX(PARAMETROS_CULTURAS!$K$6:$K$28,$P748))*($O748-INDEX(PARAMETROS_CULTURAS!$F$6:$F$28,$P748))/MAX(INDEX(PARAMETROS_CULTURAS!$G$6:$G$28,$P748),0.0001),IF($O748&lt;=INDEX(PARAMETROS_CULTURAS!$F$6:$F$28,$P748)+INDEX(PARAMETROS_CULTURAS!$G$6:$G$28,$P748)+INDEX(PARAMETROS_CULTURAS!$H$6:$H$28,$P748),INDEX(PARAMETROS_CULTURAS!$L$6:$L$28,$P748),INDEX(PARAMETROS_CULTURAS!$L$6:$L$28,$P748)+(INDEX(PARAMETROS_CULTURAS!$M$6:$M$28,$P748)-INDEX(PARAMETROS_CULTURAS!$L$6:$L$28,$P748))*($O748-INDEX(PARAMETROS_CULTURAS!$F$6:$F$28,$P748)-INDEX(PARAMETROS_CULTURAS!$G$6:$G$28,$P748)-INDEX(PARAMETROS_CULTURAS!$H$6:$H$28,$P748))/MAX(INDEX(PARAMETROS_CULTURAS!$I$6:$I$28,$P748),0.0001)))))</f>
        <v>1.15</v>
      </c>
      <c r="S748" s="18" t="n">
        <f aca="false">IFERROR(INDEX(SEMANAS!$H$6:$H$71,MATCH($B748,SEMANAS!$B$6:$B$71,0)),0)</f>
        <v>32.9</v>
      </c>
      <c r="T748" s="18" t="n">
        <f aca="false">$R748*$S748</f>
        <v>37.835</v>
      </c>
      <c r="U748" s="18" t="n">
        <f aca="false">IFERROR(INDEX(SEMANAS!$I$6:$I$71,MATCH($B748,SEMANAS!$B$6:$B$71,0)),0)</f>
        <v>48.58</v>
      </c>
      <c r="V748" s="18" t="n">
        <f aca="false">IFERROR(INDEX(SEMANAS!$J$6:$J$71,MATCH($B748,SEMANAS!$B$6:$B$71,0)),0)</f>
        <v>38.864</v>
      </c>
      <c r="W748" s="18" t="n">
        <f aca="false">MAX(0,$T748-$V748)</f>
        <v>0</v>
      </c>
      <c r="X748" s="19" t="n">
        <f aca="false">IFERROR(INDEX(CADASTRO_PIVOS!$K$6:$K$41,MATCH($E748,CADASTRO_PIVOS!$B$6:$B$41,0)),EFICIENCIA_PADRAO)</f>
        <v>0.85</v>
      </c>
      <c r="Y748" s="18" t="n">
        <f aca="false">IF($X748&lt;=0,0,$W748/$X748)</f>
        <v>0</v>
      </c>
      <c r="Z748" s="16" t="n">
        <f aca="false">$Y748*$H748*MM_PARA_M3_HA</f>
        <v>0</v>
      </c>
      <c r="AA748" s="18" t="n">
        <f aca="false">IFERROR(INDEX(CADASTRO_PIVOS!$I$6:$I$41,MATCH($E748,CADASTRO_PIVOS!$B$6:$B$41,0)),0)</f>
        <v>928.447619047619</v>
      </c>
      <c r="AB748" s="18" t="n">
        <f aca="false">IF($Z748&lt;=0,0,$Z748/$AA748)</f>
        <v>0</v>
      </c>
      <c r="AC748" s="16" t="n">
        <f aca="false">IFERROR(INDEX(SEMANAS!$K$6:$K$71,MATCH($B748,SEMANAS!$B$6:$B$71,0)),0)</f>
        <v>147</v>
      </c>
      <c r="AD748" s="19" t="n">
        <f aca="false">IF($AC748&lt;=0,0,$AB748/$AC748)</f>
        <v>0</v>
      </c>
      <c r="AE748" s="8" t="str">
        <f aca="false">IF($K748="SEM CULTURA","SEM CULTURA",IF($AA748&lt;=0,"DADO PENDENTE",IF($AD748&gt;LIMITE_CRITICO,"INVIAVEL",IF($AD748&gt;LIMITE_ATENCAO,"CRITICO",IF($AD748&gt;LIMITE_CONFORTAVEL,"ATENCAO","OK")))))</f>
        <v>OK</v>
      </c>
      <c r="AF748" s="8" t="str">
        <f aca="false">$B748&amp;"|"&amp;TEXT($AD748,"0.000000")</f>
        <v>17|0.000000</v>
      </c>
      <c r="AG748" s="18" t="n">
        <f aca="false">IF($K748="SEM CULTURA",0,$T748*$H748)</f>
        <v>5674.4933</v>
      </c>
      <c r="AH748" s="18" t="n">
        <f aca="false">IF($K748="SEM CULTURA",0,$V748*$H748)</f>
        <v>5828.82272</v>
      </c>
      <c r="AI748" s="18" t="n">
        <f aca="false">IF($K748="SEM CULTURA",0,$W748*$H748)</f>
        <v>0</v>
      </c>
      <c r="AJ748" s="18" t="n">
        <f aca="false">IF($K748="SEM CULTURA",0,$S748*$H748)</f>
        <v>4934.342</v>
      </c>
      <c r="AK748" s="8" t="str">
        <f aca="false">$E748&amp;"|"&amp;TEXT($AD748,"0.000000")</f>
        <v>PV 113|0.000000</v>
      </c>
    </row>
    <row r="749" customFormat="false" ht="15" hidden="false" customHeight="false" outlineLevel="0" collapsed="false">
      <c r="B749" s="16" t="n">
        <v>18</v>
      </c>
      <c r="C749" s="17" t="n">
        <f aca="false">DATA_INICIO_SAFRA+($B749-1)*DIAS_POR_SEMANA</f>
        <v>46384</v>
      </c>
      <c r="D749" s="17" t="n">
        <f aca="false">$C749+DIAS_POR_SEMANA-1</f>
        <v>46390</v>
      </c>
      <c r="E749" s="15" t="s">
        <v>270</v>
      </c>
      <c r="F749" s="8" t="str">
        <f aca="false">IFERROR(INDEX(CADASTRO_PIVOS!$C$6:$C$41,MATCH($E749,CADASTRO_PIVOS!$B$6:$B$41,0)),"?")</f>
        <v>RM05</v>
      </c>
      <c r="G749" s="8" t="str">
        <f aca="false">IFERROR(INDEX(CADASTRO_PIVOS!$D$6:$D$41,MATCH($E749,CADASTRO_PIVOS!$B$6:$B$41,0)),"?")</f>
        <v>TR05</v>
      </c>
      <c r="H749" s="20" t="n">
        <f aca="false">IFERROR(INDEX(CADASTRO_PIVOS!$E$6:$E$41,MATCH($E749,CADASTRO_PIVOS!$B$6:$B$41,0)),0)</f>
        <v>149.98</v>
      </c>
      <c r="I749" s="16" t="n">
        <f aca="false">IFERROR(SUMIFS(ROTACAO_RDM!$B$6:$B$71,ROTACAO_RDM!$D$6:$D$71,$E749,ROTACAO_RDM!$I$6:$I$71,"&lt;="&amp;$C749+INT(DIAS_POR_SEMANA/2),ROTACAO_RDM!$J$6:$J$71,"&gt;="&amp;$C749+INT(DIAS_POR_SEMANA/2)),0)</f>
        <v>22</v>
      </c>
      <c r="J749" s="16" t="n">
        <f aca="false">IFERROR(MATCH($I749,ROTACAO_RDM!$B$6:$B$71,0),0)</f>
        <v>22</v>
      </c>
      <c r="K749" s="8" t="str">
        <f aca="false">IF($J749=0,"SEM CULTURA",INDEX(ROTACAO_RDM!$F$6:$F$71,$J749))</f>
        <v>SOJA</v>
      </c>
      <c r="L749" s="8" t="str">
        <f aca="false">IF($J749=0,"",INDEX(ROTACAO_RDM!$G$6:$G$71,$J749))</f>
        <v>NEO 761 I2X</v>
      </c>
      <c r="M749" s="17" t="n">
        <f aca="false">IF($J749=0,"",INDEX(ROTACAO_RDM!$I$6:$I$71,$J749))</f>
        <v>46307</v>
      </c>
      <c r="N749" s="16" t="n">
        <f aca="false">IF($J749=0,0,MAX(0,$C749+INT(DIAS_POR_SEMANA/2)-INDEX(ROTACAO_RDM!$I$6:$I$71,$J749)))</f>
        <v>80</v>
      </c>
      <c r="O749" s="19" t="n">
        <f aca="false">IF($J749=0,0,MIN(1,$N749/MAX(1,INDEX(ROTACAO_RDM!$K$6:$K$71,$J749))))</f>
        <v>0.689655172413793</v>
      </c>
      <c r="P749" s="16" t="n">
        <f aca="false">IF($J749=0,0,IFERROR(MATCH(INDEX(ROTACAO_RDM!$N$6:$N$71,$J749),PARAMETROS_CULTURAS!$B$6:$B$28,0),0))</f>
        <v>2</v>
      </c>
      <c r="Q749" s="8" t="str">
        <f aca="false">IF($P749=0,"-",IF($O749&lt;=INDEX(PARAMETROS_CULTURAS!$F$6:$F$28,$P749),"INICIAL",IF($O749&lt;=INDEX(PARAMETROS_CULTURAS!$F$6:$F$28,$P749)+INDEX(PARAMETROS_CULTURAS!$G$6:$G$28,$P749),"DESENVOLVIMENTO",IF($O749&lt;=INDEX(PARAMETROS_CULTURAS!$F$6:$F$28,$P749)+INDEX(PARAMETROS_CULTURAS!$G$6:$G$28,$P749)+INDEX(PARAMETROS_CULTURAS!$H$6:$H$28,$P749),"MEDIA","FINAL"))))</f>
        <v>MEDIA</v>
      </c>
      <c r="R749" s="24" t="n">
        <f aca="false">IF($P749=0,0,IF($O749&lt;=INDEX(PARAMETROS_CULTURAS!$F$6:$F$28,$P749),INDEX(PARAMETROS_CULTURAS!$K$6:$K$28,$P749),IF($O749&lt;=INDEX(PARAMETROS_CULTURAS!$F$6:$F$28,$P749)+INDEX(PARAMETROS_CULTURAS!$G$6:$G$28,$P749),INDEX(PARAMETROS_CULTURAS!$K$6:$K$28,$P749)+(INDEX(PARAMETROS_CULTURAS!$L$6:$L$28,$P749)-INDEX(PARAMETROS_CULTURAS!$K$6:$K$28,$P749))*($O749-INDEX(PARAMETROS_CULTURAS!$F$6:$F$28,$P749))/MAX(INDEX(PARAMETROS_CULTURAS!$G$6:$G$28,$P749),0.0001),IF($O749&lt;=INDEX(PARAMETROS_CULTURAS!$F$6:$F$28,$P749)+INDEX(PARAMETROS_CULTURAS!$G$6:$G$28,$P749)+INDEX(PARAMETROS_CULTURAS!$H$6:$H$28,$P749),INDEX(PARAMETROS_CULTURAS!$L$6:$L$28,$P749),INDEX(PARAMETROS_CULTURAS!$L$6:$L$28,$P749)+(INDEX(PARAMETROS_CULTURAS!$M$6:$M$28,$P749)-INDEX(PARAMETROS_CULTURAS!$L$6:$L$28,$P749))*($O749-INDEX(PARAMETROS_CULTURAS!$F$6:$F$28,$P749)-INDEX(PARAMETROS_CULTURAS!$G$6:$G$28,$P749)-INDEX(PARAMETROS_CULTURAS!$H$6:$H$28,$P749))/MAX(INDEX(PARAMETROS_CULTURAS!$I$6:$I$28,$P749),0.0001)))))</f>
        <v>1.15</v>
      </c>
      <c r="S749" s="18" t="n">
        <f aca="false">IFERROR(INDEX(SEMANAS!$H$6:$H$71,MATCH($B749,SEMANAS!$B$6:$B$71,0)),0)</f>
        <v>33.2</v>
      </c>
      <c r="T749" s="18" t="n">
        <f aca="false">$R749*$S749</f>
        <v>38.18</v>
      </c>
      <c r="U749" s="18" t="n">
        <f aca="false">IFERROR(INDEX(SEMANAS!$I$6:$I$71,MATCH($B749,SEMANAS!$B$6:$B$71,0)),0)</f>
        <v>47.11</v>
      </c>
      <c r="V749" s="18" t="n">
        <f aca="false">IFERROR(INDEX(SEMANAS!$J$6:$J$71,MATCH($B749,SEMANAS!$B$6:$B$71,0)),0)</f>
        <v>37.688</v>
      </c>
      <c r="W749" s="18" t="n">
        <f aca="false">MAX(0,$T749-$V749)</f>
        <v>0.491999999999997</v>
      </c>
      <c r="X749" s="19" t="n">
        <f aca="false">IFERROR(INDEX(CADASTRO_PIVOS!$K$6:$K$41,MATCH($E749,CADASTRO_PIVOS!$B$6:$B$41,0)),EFICIENCIA_PADRAO)</f>
        <v>0.85</v>
      </c>
      <c r="Y749" s="18" t="n">
        <f aca="false">IF($X749&lt;=0,0,$W749/$X749)</f>
        <v>0.578823529411762</v>
      </c>
      <c r="Z749" s="16" t="n">
        <f aca="false">$Y749*$H749*MM_PARA_M3_HA</f>
        <v>868.11952941176</v>
      </c>
      <c r="AA749" s="18" t="n">
        <f aca="false">IFERROR(INDEX(CADASTRO_PIVOS!$I$6:$I$41,MATCH($E749,CADASTRO_PIVOS!$B$6:$B$41,0)),0)</f>
        <v>928.447619047619</v>
      </c>
      <c r="AB749" s="18" t="n">
        <f aca="false">IF($Z749&lt;=0,0,$Z749/$AA749)</f>
        <v>0.935022624434384</v>
      </c>
      <c r="AC749" s="16" t="n">
        <f aca="false">IFERROR(INDEX(SEMANAS!$K$6:$K$71,MATCH($B749,SEMANAS!$B$6:$B$71,0)),0)</f>
        <v>147</v>
      </c>
      <c r="AD749" s="19" t="n">
        <f aca="false">IF($AC749&lt;=0,0,$AB749/$AC749)</f>
        <v>0.00636069812540397</v>
      </c>
      <c r="AE749" s="8" t="str">
        <f aca="false">IF($K749="SEM CULTURA","SEM CULTURA",IF($AA749&lt;=0,"DADO PENDENTE",IF($AD749&gt;LIMITE_CRITICO,"INVIAVEL",IF($AD749&gt;LIMITE_ATENCAO,"CRITICO",IF($AD749&gt;LIMITE_CONFORTAVEL,"ATENCAO","OK")))))</f>
        <v>OK</v>
      </c>
      <c r="AF749" s="8" t="str">
        <f aca="false">$B749&amp;"|"&amp;TEXT($AD749,"0.000000")</f>
        <v>18|0.006361</v>
      </c>
      <c r="AG749" s="18" t="n">
        <f aca="false">IF($K749="SEM CULTURA",0,$T749*$H749)</f>
        <v>5726.2364</v>
      </c>
      <c r="AH749" s="18" t="n">
        <f aca="false">IF($K749="SEM CULTURA",0,$V749*$H749)</f>
        <v>5652.44624</v>
      </c>
      <c r="AI749" s="18" t="n">
        <f aca="false">IF($K749="SEM CULTURA",0,$W749*$H749)</f>
        <v>73.7901599999996</v>
      </c>
      <c r="AJ749" s="18" t="n">
        <f aca="false">IF($K749="SEM CULTURA",0,$S749*$H749)</f>
        <v>4979.336</v>
      </c>
      <c r="AK749" s="8" t="str">
        <f aca="false">$E749&amp;"|"&amp;TEXT($AD749,"0.000000")</f>
        <v>PV 113|0.006361</v>
      </c>
    </row>
    <row r="750" customFormat="false" ht="15" hidden="false" customHeight="false" outlineLevel="0" collapsed="false">
      <c r="B750" s="16" t="n">
        <v>19</v>
      </c>
      <c r="C750" s="17" t="n">
        <f aca="false">DATA_INICIO_SAFRA+($B750-1)*DIAS_POR_SEMANA</f>
        <v>46391</v>
      </c>
      <c r="D750" s="17" t="n">
        <f aca="false">$C750+DIAS_POR_SEMANA-1</f>
        <v>46397</v>
      </c>
      <c r="E750" s="15" t="s">
        <v>270</v>
      </c>
      <c r="F750" s="8" t="str">
        <f aca="false">IFERROR(INDEX(CADASTRO_PIVOS!$C$6:$C$41,MATCH($E750,CADASTRO_PIVOS!$B$6:$B$41,0)),"?")</f>
        <v>RM05</v>
      </c>
      <c r="G750" s="8" t="str">
        <f aca="false">IFERROR(INDEX(CADASTRO_PIVOS!$D$6:$D$41,MATCH($E750,CADASTRO_PIVOS!$B$6:$B$41,0)),"?")</f>
        <v>TR05</v>
      </c>
      <c r="H750" s="20" t="n">
        <f aca="false">IFERROR(INDEX(CADASTRO_PIVOS!$E$6:$E$41,MATCH($E750,CADASTRO_PIVOS!$B$6:$B$41,0)),0)</f>
        <v>149.98</v>
      </c>
      <c r="I750" s="16" t="n">
        <f aca="false">IFERROR(SUMIFS(ROTACAO_RDM!$B$6:$B$71,ROTACAO_RDM!$D$6:$D$71,$E750,ROTACAO_RDM!$I$6:$I$71,"&lt;="&amp;$C750+INT(DIAS_POR_SEMANA/2),ROTACAO_RDM!$J$6:$J$71,"&gt;="&amp;$C750+INT(DIAS_POR_SEMANA/2)),0)</f>
        <v>22</v>
      </c>
      <c r="J750" s="16" t="n">
        <f aca="false">IFERROR(MATCH($I750,ROTACAO_RDM!$B$6:$B$71,0),0)</f>
        <v>22</v>
      </c>
      <c r="K750" s="8" t="str">
        <f aca="false">IF($J750=0,"SEM CULTURA",INDEX(ROTACAO_RDM!$F$6:$F$71,$J750))</f>
        <v>SOJA</v>
      </c>
      <c r="L750" s="8" t="str">
        <f aca="false">IF($J750=0,"",INDEX(ROTACAO_RDM!$G$6:$G$71,$J750))</f>
        <v>NEO 761 I2X</v>
      </c>
      <c r="M750" s="17" t="n">
        <f aca="false">IF($J750=0,"",INDEX(ROTACAO_RDM!$I$6:$I$71,$J750))</f>
        <v>46307</v>
      </c>
      <c r="N750" s="16" t="n">
        <f aca="false">IF($J750=0,0,MAX(0,$C750+INT(DIAS_POR_SEMANA/2)-INDEX(ROTACAO_RDM!$I$6:$I$71,$J750)))</f>
        <v>87</v>
      </c>
      <c r="O750" s="19" t="n">
        <f aca="false">IF($J750=0,0,MIN(1,$N750/MAX(1,INDEX(ROTACAO_RDM!$K$6:$K$71,$J750))))</f>
        <v>0.75</v>
      </c>
      <c r="P750" s="16" t="n">
        <f aca="false">IF($J750=0,0,IFERROR(MATCH(INDEX(ROTACAO_RDM!$N$6:$N$71,$J750),PARAMETROS_CULTURAS!$B$6:$B$28,0),0))</f>
        <v>2</v>
      </c>
      <c r="Q750" s="8" t="str">
        <f aca="false">IF($P750=0,"-",IF($O750&lt;=INDEX(PARAMETROS_CULTURAS!$F$6:$F$28,$P750),"INICIAL",IF($O750&lt;=INDEX(PARAMETROS_CULTURAS!$F$6:$F$28,$P750)+INDEX(PARAMETROS_CULTURAS!$G$6:$G$28,$P750),"DESENVOLVIMENTO",IF($O750&lt;=INDEX(PARAMETROS_CULTURAS!$F$6:$F$28,$P750)+INDEX(PARAMETROS_CULTURAS!$G$6:$G$28,$P750)+INDEX(PARAMETROS_CULTURAS!$H$6:$H$28,$P750),"MEDIA","FINAL"))))</f>
        <v>MEDIA</v>
      </c>
      <c r="R750" s="24" t="n">
        <f aca="false">IF($P750=0,0,IF($O750&lt;=INDEX(PARAMETROS_CULTURAS!$F$6:$F$28,$P750),INDEX(PARAMETROS_CULTURAS!$K$6:$K$28,$P750),IF($O750&lt;=INDEX(PARAMETROS_CULTURAS!$F$6:$F$28,$P750)+INDEX(PARAMETROS_CULTURAS!$G$6:$G$28,$P750),INDEX(PARAMETROS_CULTURAS!$K$6:$K$28,$P750)+(INDEX(PARAMETROS_CULTURAS!$L$6:$L$28,$P750)-INDEX(PARAMETROS_CULTURAS!$K$6:$K$28,$P750))*($O750-INDEX(PARAMETROS_CULTURAS!$F$6:$F$28,$P750))/MAX(INDEX(PARAMETROS_CULTURAS!$G$6:$G$28,$P750),0.0001),IF($O750&lt;=INDEX(PARAMETROS_CULTURAS!$F$6:$F$28,$P750)+INDEX(PARAMETROS_CULTURAS!$G$6:$G$28,$P750)+INDEX(PARAMETROS_CULTURAS!$H$6:$H$28,$P750),INDEX(PARAMETROS_CULTURAS!$L$6:$L$28,$P750),INDEX(PARAMETROS_CULTURAS!$L$6:$L$28,$P750)+(INDEX(PARAMETROS_CULTURAS!$M$6:$M$28,$P750)-INDEX(PARAMETROS_CULTURAS!$L$6:$L$28,$P750))*($O750-INDEX(PARAMETROS_CULTURAS!$F$6:$F$28,$P750)-INDEX(PARAMETROS_CULTURAS!$G$6:$G$28,$P750)-INDEX(PARAMETROS_CULTURAS!$H$6:$H$28,$P750))/MAX(INDEX(PARAMETROS_CULTURAS!$I$6:$I$28,$P750),0.0001)))))</f>
        <v>1.15</v>
      </c>
      <c r="S750" s="18" t="n">
        <f aca="false">IFERROR(INDEX(SEMANAS!$H$6:$H$71,MATCH($B750,SEMANAS!$B$6:$B$71,0)),0)</f>
        <v>33.6</v>
      </c>
      <c r="T750" s="18" t="n">
        <f aca="false">$R750*$S750</f>
        <v>38.64</v>
      </c>
      <c r="U750" s="18" t="n">
        <f aca="false">IFERROR(INDEX(SEMANAS!$I$6:$I$71,MATCH($B750,SEMANAS!$B$6:$B$71,0)),0)</f>
        <v>45.15</v>
      </c>
      <c r="V750" s="18" t="n">
        <f aca="false">IFERROR(INDEX(SEMANAS!$J$6:$J$71,MATCH($B750,SEMANAS!$B$6:$B$71,0)),0)</f>
        <v>36.12</v>
      </c>
      <c r="W750" s="18" t="n">
        <f aca="false">MAX(0,$T750-$V750)</f>
        <v>2.52</v>
      </c>
      <c r="X750" s="19" t="n">
        <f aca="false">IFERROR(INDEX(CADASTRO_PIVOS!$K$6:$K$41,MATCH($E750,CADASTRO_PIVOS!$B$6:$B$41,0)),EFICIENCIA_PADRAO)</f>
        <v>0.85</v>
      </c>
      <c r="Y750" s="18" t="n">
        <f aca="false">IF($X750&lt;=0,0,$W750/$X750)</f>
        <v>2.96470588235294</v>
      </c>
      <c r="Z750" s="16" t="n">
        <f aca="false">$Y750*$H750*MM_PARA_M3_HA</f>
        <v>4446.46588235293</v>
      </c>
      <c r="AA750" s="18" t="n">
        <f aca="false">IFERROR(INDEX(CADASTRO_PIVOS!$I$6:$I$41,MATCH($E750,CADASTRO_PIVOS!$B$6:$B$41,0)),0)</f>
        <v>928.447619047619</v>
      </c>
      <c r="AB750" s="18" t="n">
        <f aca="false">IF($Z750&lt;=0,0,$Z750/$AA750)</f>
        <v>4.78914027149321</v>
      </c>
      <c r="AC750" s="16" t="n">
        <f aca="false">IFERROR(INDEX(SEMANAS!$K$6:$K$71,MATCH($B750,SEMANAS!$B$6:$B$71,0)),0)</f>
        <v>147</v>
      </c>
      <c r="AD750" s="19" t="n">
        <f aca="false">IF($AC750&lt;=0,0,$AB750/$AC750)</f>
        <v>0.0325791855203619</v>
      </c>
      <c r="AE750" s="8" t="str">
        <f aca="false">IF($K750="SEM CULTURA","SEM CULTURA",IF($AA750&lt;=0,"DADO PENDENTE",IF($AD750&gt;LIMITE_CRITICO,"INVIAVEL",IF($AD750&gt;LIMITE_ATENCAO,"CRITICO",IF($AD750&gt;LIMITE_CONFORTAVEL,"ATENCAO","OK")))))</f>
        <v>OK</v>
      </c>
      <c r="AF750" s="8" t="str">
        <f aca="false">$B750&amp;"|"&amp;TEXT($AD750,"0.000000")</f>
        <v>19|0.032579</v>
      </c>
      <c r="AG750" s="18" t="n">
        <f aca="false">IF($K750="SEM CULTURA",0,$T750*$H750)</f>
        <v>5795.2272</v>
      </c>
      <c r="AH750" s="18" t="n">
        <f aca="false">IF($K750="SEM CULTURA",0,$V750*$H750)</f>
        <v>5417.2776</v>
      </c>
      <c r="AI750" s="18" t="n">
        <f aca="false">IF($K750="SEM CULTURA",0,$W750*$H750)</f>
        <v>377.949599999999</v>
      </c>
      <c r="AJ750" s="18" t="n">
        <f aca="false">IF($K750="SEM CULTURA",0,$S750*$H750)</f>
        <v>5039.328</v>
      </c>
      <c r="AK750" s="8" t="str">
        <f aca="false">$E750&amp;"|"&amp;TEXT($AD750,"0.000000")</f>
        <v>PV 113|0.032579</v>
      </c>
    </row>
    <row r="751" customFormat="false" ht="15" hidden="false" customHeight="false" outlineLevel="0" collapsed="false">
      <c r="B751" s="16" t="n">
        <v>20</v>
      </c>
      <c r="C751" s="17" t="n">
        <f aca="false">DATA_INICIO_SAFRA+($B751-1)*DIAS_POR_SEMANA</f>
        <v>46398</v>
      </c>
      <c r="D751" s="17" t="n">
        <f aca="false">$C751+DIAS_POR_SEMANA-1</f>
        <v>46404</v>
      </c>
      <c r="E751" s="15" t="s">
        <v>270</v>
      </c>
      <c r="F751" s="8" t="str">
        <f aca="false">IFERROR(INDEX(CADASTRO_PIVOS!$C$6:$C$41,MATCH($E751,CADASTRO_PIVOS!$B$6:$B$41,0)),"?")</f>
        <v>RM05</v>
      </c>
      <c r="G751" s="8" t="str">
        <f aca="false">IFERROR(INDEX(CADASTRO_PIVOS!$D$6:$D$41,MATCH($E751,CADASTRO_PIVOS!$B$6:$B$41,0)),"?")</f>
        <v>TR05</v>
      </c>
      <c r="H751" s="20" t="n">
        <f aca="false">IFERROR(INDEX(CADASTRO_PIVOS!$E$6:$E$41,MATCH($E751,CADASTRO_PIVOS!$B$6:$B$41,0)),0)</f>
        <v>149.98</v>
      </c>
      <c r="I751" s="16" t="n">
        <f aca="false">IFERROR(SUMIFS(ROTACAO_RDM!$B$6:$B$71,ROTACAO_RDM!$D$6:$D$71,$E751,ROTACAO_RDM!$I$6:$I$71,"&lt;="&amp;$C751+INT(DIAS_POR_SEMANA/2),ROTACAO_RDM!$J$6:$J$71,"&gt;="&amp;$C751+INT(DIAS_POR_SEMANA/2)),0)</f>
        <v>22</v>
      </c>
      <c r="J751" s="16" t="n">
        <f aca="false">IFERROR(MATCH($I751,ROTACAO_RDM!$B$6:$B$71,0),0)</f>
        <v>22</v>
      </c>
      <c r="K751" s="8" t="str">
        <f aca="false">IF($J751=0,"SEM CULTURA",INDEX(ROTACAO_RDM!$F$6:$F$71,$J751))</f>
        <v>SOJA</v>
      </c>
      <c r="L751" s="8" t="str">
        <f aca="false">IF($J751=0,"",INDEX(ROTACAO_RDM!$G$6:$G$71,$J751))</f>
        <v>NEO 761 I2X</v>
      </c>
      <c r="M751" s="17" t="n">
        <f aca="false">IF($J751=0,"",INDEX(ROTACAO_RDM!$I$6:$I$71,$J751))</f>
        <v>46307</v>
      </c>
      <c r="N751" s="16" t="n">
        <f aca="false">IF($J751=0,0,MAX(0,$C751+INT(DIAS_POR_SEMANA/2)-INDEX(ROTACAO_RDM!$I$6:$I$71,$J751)))</f>
        <v>94</v>
      </c>
      <c r="O751" s="19" t="n">
        <f aca="false">IF($J751=0,0,MIN(1,$N751/MAX(1,INDEX(ROTACAO_RDM!$K$6:$K$71,$J751))))</f>
        <v>0.810344827586207</v>
      </c>
      <c r="P751" s="16" t="n">
        <f aca="false">IF($J751=0,0,IFERROR(MATCH(INDEX(ROTACAO_RDM!$N$6:$N$71,$J751),PARAMETROS_CULTURAS!$B$6:$B$28,0),0))</f>
        <v>2</v>
      </c>
      <c r="Q751" s="8" t="str">
        <f aca="false">IF($P751=0,"-",IF($O751&lt;=INDEX(PARAMETROS_CULTURAS!$F$6:$F$28,$P751),"INICIAL",IF($O751&lt;=INDEX(PARAMETROS_CULTURAS!$F$6:$F$28,$P751)+INDEX(PARAMETROS_CULTURAS!$G$6:$G$28,$P751),"DESENVOLVIMENTO",IF($O751&lt;=INDEX(PARAMETROS_CULTURAS!$F$6:$F$28,$P751)+INDEX(PARAMETROS_CULTURAS!$G$6:$G$28,$P751)+INDEX(PARAMETROS_CULTURAS!$H$6:$H$28,$P751),"MEDIA","FINAL"))))</f>
        <v>FINAL</v>
      </c>
      <c r="R751" s="24" t="n">
        <f aca="false">IF($P751=0,0,IF($O751&lt;=INDEX(PARAMETROS_CULTURAS!$F$6:$F$28,$P751),INDEX(PARAMETROS_CULTURAS!$K$6:$K$28,$P751),IF($O751&lt;=INDEX(PARAMETROS_CULTURAS!$F$6:$F$28,$P751)+INDEX(PARAMETROS_CULTURAS!$G$6:$G$28,$P751),INDEX(PARAMETROS_CULTURAS!$K$6:$K$28,$P751)+(INDEX(PARAMETROS_CULTURAS!$L$6:$L$28,$P751)-INDEX(PARAMETROS_CULTURAS!$K$6:$K$28,$P751))*($O751-INDEX(PARAMETROS_CULTURAS!$F$6:$F$28,$P751))/MAX(INDEX(PARAMETROS_CULTURAS!$G$6:$G$28,$P751),0.0001),IF($O751&lt;=INDEX(PARAMETROS_CULTURAS!$F$6:$F$28,$P751)+INDEX(PARAMETROS_CULTURAS!$G$6:$G$28,$P751)+INDEX(PARAMETROS_CULTURAS!$H$6:$H$28,$P751),INDEX(PARAMETROS_CULTURAS!$L$6:$L$28,$P751),INDEX(PARAMETROS_CULTURAS!$L$6:$L$28,$P751)+(INDEX(PARAMETROS_CULTURAS!$M$6:$M$28,$P751)-INDEX(PARAMETROS_CULTURAS!$L$6:$L$28,$P751))*($O751-INDEX(PARAMETROS_CULTURAS!$F$6:$F$28,$P751)-INDEX(PARAMETROS_CULTURAS!$G$6:$G$28,$P751)-INDEX(PARAMETROS_CULTURAS!$H$6:$H$28,$P751))/MAX(INDEX(PARAMETROS_CULTURAS!$I$6:$I$28,$P751),0.0001)))))</f>
        <v>1.14882032667877</v>
      </c>
      <c r="S751" s="18" t="n">
        <f aca="false">IFERROR(INDEX(SEMANAS!$H$6:$H$71,MATCH($B751,SEMANAS!$B$6:$B$71,0)),0)</f>
        <v>33.6</v>
      </c>
      <c r="T751" s="18" t="n">
        <f aca="false">$R751*$S751</f>
        <v>38.6003629764065</v>
      </c>
      <c r="U751" s="18" t="n">
        <f aca="false">IFERROR(INDEX(SEMANAS!$I$6:$I$71,MATCH($B751,SEMANAS!$B$6:$B$71,0)),0)</f>
        <v>45.15</v>
      </c>
      <c r="V751" s="18" t="n">
        <f aca="false">IFERROR(INDEX(SEMANAS!$J$6:$J$71,MATCH($B751,SEMANAS!$B$6:$B$71,0)),0)</f>
        <v>36.12</v>
      </c>
      <c r="W751" s="18" t="n">
        <f aca="false">MAX(0,$T751-$V751)</f>
        <v>2.48036297640653</v>
      </c>
      <c r="X751" s="19" t="n">
        <f aca="false">IFERROR(INDEX(CADASTRO_PIVOS!$K$6:$K$41,MATCH($E751,CADASTRO_PIVOS!$B$6:$B$41,0)),EFICIENCIA_PADRAO)</f>
        <v>0.85</v>
      </c>
      <c r="Y751" s="18" t="n">
        <f aca="false">IF($X751&lt;=0,0,$W751/$X751)</f>
        <v>2.91807408989004</v>
      </c>
      <c r="Z751" s="16" t="n">
        <f aca="false">$Y751*$H751*MM_PARA_M3_HA</f>
        <v>4376.52752001708</v>
      </c>
      <c r="AA751" s="18" t="n">
        <f aca="false">IFERROR(INDEX(CADASTRO_PIVOS!$I$6:$I$41,MATCH($E751,CADASTRO_PIVOS!$B$6:$B$41,0)),0)</f>
        <v>928.447619047619</v>
      </c>
      <c r="AB751" s="18" t="n">
        <f aca="false">IF($Z751&lt;=0,0,$Z751/$AA751)</f>
        <v>4.71381199136083</v>
      </c>
      <c r="AC751" s="16" t="n">
        <f aca="false">IFERROR(INDEX(SEMANAS!$K$6:$K$71,MATCH($B751,SEMANAS!$B$6:$B$71,0)),0)</f>
        <v>147</v>
      </c>
      <c r="AD751" s="19" t="n">
        <f aca="false">IF($AC751&lt;=0,0,$AB751/$AC751)</f>
        <v>0.0320667482405499</v>
      </c>
      <c r="AE751" s="8" t="str">
        <f aca="false">IF($K751="SEM CULTURA","SEM CULTURA",IF($AA751&lt;=0,"DADO PENDENTE",IF($AD751&gt;LIMITE_CRITICO,"INVIAVEL",IF($AD751&gt;LIMITE_ATENCAO,"CRITICO",IF($AD751&gt;LIMITE_CONFORTAVEL,"ATENCAO","OK")))))</f>
        <v>OK</v>
      </c>
      <c r="AF751" s="8" t="str">
        <f aca="false">$B751&amp;"|"&amp;TEXT($AD751,"0.000000")</f>
        <v>20|0.032067</v>
      </c>
      <c r="AG751" s="18" t="n">
        <f aca="false">IF($K751="SEM CULTURA",0,$T751*$H751)</f>
        <v>5789.28243920145</v>
      </c>
      <c r="AH751" s="18" t="n">
        <f aca="false">IF($K751="SEM CULTURA",0,$V751*$H751)</f>
        <v>5417.2776</v>
      </c>
      <c r="AI751" s="18" t="n">
        <f aca="false">IF($K751="SEM CULTURA",0,$W751*$H751)</f>
        <v>372.004839201452</v>
      </c>
      <c r="AJ751" s="18" t="n">
        <f aca="false">IF($K751="SEM CULTURA",0,$S751*$H751)</f>
        <v>5039.328</v>
      </c>
      <c r="AK751" s="8" t="str">
        <f aca="false">$E751&amp;"|"&amp;TEXT($AD751,"0.000000")</f>
        <v>PV 113|0.032067</v>
      </c>
    </row>
    <row r="752" customFormat="false" ht="15" hidden="false" customHeight="false" outlineLevel="0" collapsed="false">
      <c r="B752" s="16" t="n">
        <v>21</v>
      </c>
      <c r="C752" s="17" t="n">
        <f aca="false">DATA_INICIO_SAFRA+($B752-1)*DIAS_POR_SEMANA</f>
        <v>46405</v>
      </c>
      <c r="D752" s="17" t="n">
        <f aca="false">$C752+DIAS_POR_SEMANA-1</f>
        <v>46411</v>
      </c>
      <c r="E752" s="15" t="s">
        <v>270</v>
      </c>
      <c r="F752" s="8" t="str">
        <f aca="false">IFERROR(INDEX(CADASTRO_PIVOS!$C$6:$C$41,MATCH($E752,CADASTRO_PIVOS!$B$6:$B$41,0)),"?")</f>
        <v>RM05</v>
      </c>
      <c r="G752" s="8" t="str">
        <f aca="false">IFERROR(INDEX(CADASTRO_PIVOS!$D$6:$D$41,MATCH($E752,CADASTRO_PIVOS!$B$6:$B$41,0)),"?")</f>
        <v>TR05</v>
      </c>
      <c r="H752" s="20" t="n">
        <f aca="false">IFERROR(INDEX(CADASTRO_PIVOS!$E$6:$E$41,MATCH($E752,CADASTRO_PIVOS!$B$6:$B$41,0)),0)</f>
        <v>149.98</v>
      </c>
      <c r="I752" s="16" t="n">
        <f aca="false">IFERROR(SUMIFS(ROTACAO_RDM!$B$6:$B$71,ROTACAO_RDM!$D$6:$D$71,$E752,ROTACAO_RDM!$I$6:$I$71,"&lt;="&amp;$C752+INT(DIAS_POR_SEMANA/2),ROTACAO_RDM!$J$6:$J$71,"&gt;="&amp;$C752+INT(DIAS_POR_SEMANA/2)),0)</f>
        <v>22</v>
      </c>
      <c r="J752" s="16" t="n">
        <f aca="false">IFERROR(MATCH($I752,ROTACAO_RDM!$B$6:$B$71,0),0)</f>
        <v>22</v>
      </c>
      <c r="K752" s="8" t="str">
        <f aca="false">IF($J752=0,"SEM CULTURA",INDEX(ROTACAO_RDM!$F$6:$F$71,$J752))</f>
        <v>SOJA</v>
      </c>
      <c r="L752" s="8" t="str">
        <f aca="false">IF($J752=0,"",INDEX(ROTACAO_RDM!$G$6:$G$71,$J752))</f>
        <v>NEO 761 I2X</v>
      </c>
      <c r="M752" s="17" t="n">
        <f aca="false">IF($J752=0,"",INDEX(ROTACAO_RDM!$I$6:$I$71,$J752))</f>
        <v>46307</v>
      </c>
      <c r="N752" s="16" t="n">
        <f aca="false">IF($J752=0,0,MAX(0,$C752+INT(DIAS_POR_SEMANA/2)-INDEX(ROTACAO_RDM!$I$6:$I$71,$J752)))</f>
        <v>101</v>
      </c>
      <c r="O752" s="19" t="n">
        <f aca="false">IF($J752=0,0,MIN(1,$N752/MAX(1,INDEX(ROTACAO_RDM!$K$6:$K$71,$J752))))</f>
        <v>0.870689655172414</v>
      </c>
      <c r="P752" s="16" t="n">
        <f aca="false">IF($J752=0,0,IFERROR(MATCH(INDEX(ROTACAO_RDM!$N$6:$N$71,$J752),PARAMETROS_CULTURAS!$B$6:$B$28,0),0))</f>
        <v>2</v>
      </c>
      <c r="Q752" s="8" t="str">
        <f aca="false">IF($P752=0,"-",IF($O752&lt;=INDEX(PARAMETROS_CULTURAS!$F$6:$F$28,$P752),"INICIAL",IF($O752&lt;=INDEX(PARAMETROS_CULTURAS!$F$6:$F$28,$P752)+INDEX(PARAMETROS_CULTURAS!$G$6:$G$28,$P752),"DESENVOLVIMENTO",IF($O752&lt;=INDEX(PARAMETROS_CULTURAS!$F$6:$F$28,$P752)+INDEX(PARAMETROS_CULTURAS!$G$6:$G$28,$P752)+INDEX(PARAMETROS_CULTURAS!$H$6:$H$28,$P752),"MEDIA","FINAL"))))</f>
        <v>FINAL</v>
      </c>
      <c r="R752" s="24" t="n">
        <f aca="false">IF($P752=0,0,IF($O752&lt;=INDEX(PARAMETROS_CULTURAS!$F$6:$F$28,$P752),INDEX(PARAMETROS_CULTURAS!$K$6:$K$28,$P752),IF($O752&lt;=INDEX(PARAMETROS_CULTURAS!$F$6:$F$28,$P752)+INDEX(PARAMETROS_CULTURAS!$G$6:$G$28,$P752),INDEX(PARAMETROS_CULTURAS!$K$6:$K$28,$P752)+(INDEX(PARAMETROS_CULTURAS!$L$6:$L$28,$P752)-INDEX(PARAMETROS_CULTURAS!$K$6:$K$28,$P752))*($O752-INDEX(PARAMETROS_CULTURAS!$F$6:$F$28,$P752))/MAX(INDEX(PARAMETROS_CULTURAS!$G$6:$G$28,$P752),0.0001),IF($O752&lt;=INDEX(PARAMETROS_CULTURAS!$F$6:$F$28,$P752)+INDEX(PARAMETROS_CULTURAS!$G$6:$G$28,$P752)+INDEX(PARAMETROS_CULTURAS!$H$6:$H$28,$P752),INDEX(PARAMETROS_CULTURAS!$L$6:$L$28,$P752),INDEX(PARAMETROS_CULTURAS!$L$6:$L$28,$P752)+(INDEX(PARAMETROS_CULTURAS!$M$6:$M$28,$P752)-INDEX(PARAMETROS_CULTURAS!$L$6:$L$28,$P752))*($O752-INDEX(PARAMETROS_CULTURAS!$F$6:$F$28,$P752)-INDEX(PARAMETROS_CULTURAS!$G$6:$G$28,$P752)-INDEX(PARAMETROS_CULTURAS!$H$6:$H$28,$P752))/MAX(INDEX(PARAMETROS_CULTURAS!$I$6:$I$28,$P752),0.0001)))))</f>
        <v>0.942377495462795</v>
      </c>
      <c r="S752" s="18" t="n">
        <f aca="false">IFERROR(INDEX(SEMANAS!$H$6:$H$71,MATCH($B752,SEMANAS!$B$6:$B$71,0)),0)</f>
        <v>33.6</v>
      </c>
      <c r="T752" s="18" t="n">
        <f aca="false">$R752*$S752</f>
        <v>31.6638838475499</v>
      </c>
      <c r="U752" s="18" t="n">
        <f aca="false">IFERROR(INDEX(SEMANAS!$I$6:$I$71,MATCH($B752,SEMANAS!$B$6:$B$71,0)),0)</f>
        <v>45.15</v>
      </c>
      <c r="V752" s="18" t="n">
        <f aca="false">IFERROR(INDEX(SEMANAS!$J$6:$J$71,MATCH($B752,SEMANAS!$B$6:$B$71,0)),0)</f>
        <v>36.12</v>
      </c>
      <c r="W752" s="18" t="n">
        <f aca="false">MAX(0,$T752-$V752)</f>
        <v>0</v>
      </c>
      <c r="X752" s="19" t="n">
        <f aca="false">IFERROR(INDEX(CADASTRO_PIVOS!$K$6:$K$41,MATCH($E752,CADASTRO_PIVOS!$B$6:$B$41,0)),EFICIENCIA_PADRAO)</f>
        <v>0.85</v>
      </c>
      <c r="Y752" s="18" t="n">
        <f aca="false">IF($X752&lt;=0,0,$W752/$X752)</f>
        <v>0</v>
      </c>
      <c r="Z752" s="16" t="n">
        <f aca="false">$Y752*$H752*MM_PARA_M3_HA</f>
        <v>0</v>
      </c>
      <c r="AA752" s="18" t="n">
        <f aca="false">IFERROR(INDEX(CADASTRO_PIVOS!$I$6:$I$41,MATCH($E752,CADASTRO_PIVOS!$B$6:$B$41,0)),0)</f>
        <v>928.447619047619</v>
      </c>
      <c r="AB752" s="18" t="n">
        <f aca="false">IF($Z752&lt;=0,0,$Z752/$AA752)</f>
        <v>0</v>
      </c>
      <c r="AC752" s="16" t="n">
        <f aca="false">IFERROR(INDEX(SEMANAS!$K$6:$K$71,MATCH($B752,SEMANAS!$B$6:$B$71,0)),0)</f>
        <v>147</v>
      </c>
      <c r="AD752" s="19" t="n">
        <f aca="false">IF($AC752&lt;=0,0,$AB752/$AC752)</f>
        <v>0</v>
      </c>
      <c r="AE752" s="8" t="str">
        <f aca="false">IF($K752="SEM CULTURA","SEM CULTURA",IF($AA752&lt;=0,"DADO PENDENTE",IF($AD752&gt;LIMITE_CRITICO,"INVIAVEL",IF($AD752&gt;LIMITE_ATENCAO,"CRITICO",IF($AD752&gt;LIMITE_CONFORTAVEL,"ATENCAO","OK")))))</f>
        <v>OK</v>
      </c>
      <c r="AF752" s="8" t="str">
        <f aca="false">$B752&amp;"|"&amp;TEXT($AD752,"0.000000")</f>
        <v>21|0.000000</v>
      </c>
      <c r="AG752" s="18" t="n">
        <f aca="false">IF($K752="SEM CULTURA",0,$T752*$H752)</f>
        <v>4748.94929945554</v>
      </c>
      <c r="AH752" s="18" t="n">
        <f aca="false">IF($K752="SEM CULTURA",0,$V752*$H752)</f>
        <v>5417.2776</v>
      </c>
      <c r="AI752" s="18" t="n">
        <f aca="false">IF($K752="SEM CULTURA",0,$W752*$H752)</f>
        <v>0</v>
      </c>
      <c r="AJ752" s="18" t="n">
        <f aca="false">IF($K752="SEM CULTURA",0,$S752*$H752)</f>
        <v>5039.328</v>
      </c>
      <c r="AK752" s="8" t="str">
        <f aca="false">$E752&amp;"|"&amp;TEXT($AD752,"0.000000")</f>
        <v>PV 113|0.000000</v>
      </c>
    </row>
    <row r="753" customFormat="false" ht="15" hidden="false" customHeight="false" outlineLevel="0" collapsed="false">
      <c r="B753" s="16" t="n">
        <v>22</v>
      </c>
      <c r="C753" s="17" t="n">
        <f aca="false">DATA_INICIO_SAFRA+($B753-1)*DIAS_POR_SEMANA</f>
        <v>46412</v>
      </c>
      <c r="D753" s="17" t="n">
        <f aca="false">$C753+DIAS_POR_SEMANA-1</f>
        <v>46418</v>
      </c>
      <c r="E753" s="15" t="s">
        <v>270</v>
      </c>
      <c r="F753" s="8" t="str">
        <f aca="false">IFERROR(INDEX(CADASTRO_PIVOS!$C$6:$C$41,MATCH($E753,CADASTRO_PIVOS!$B$6:$B$41,0)),"?")</f>
        <v>RM05</v>
      </c>
      <c r="G753" s="8" t="str">
        <f aca="false">IFERROR(INDEX(CADASTRO_PIVOS!$D$6:$D$41,MATCH($E753,CADASTRO_PIVOS!$B$6:$B$41,0)),"?")</f>
        <v>TR05</v>
      </c>
      <c r="H753" s="20" t="n">
        <f aca="false">IFERROR(INDEX(CADASTRO_PIVOS!$E$6:$E$41,MATCH($E753,CADASTRO_PIVOS!$B$6:$B$41,0)),0)</f>
        <v>149.98</v>
      </c>
      <c r="I753" s="16" t="n">
        <f aca="false">IFERROR(SUMIFS(ROTACAO_RDM!$B$6:$B$71,ROTACAO_RDM!$D$6:$D$71,$E753,ROTACAO_RDM!$I$6:$I$71,"&lt;="&amp;$C753+INT(DIAS_POR_SEMANA/2),ROTACAO_RDM!$J$6:$J$71,"&gt;="&amp;$C753+INT(DIAS_POR_SEMANA/2)),0)</f>
        <v>22</v>
      </c>
      <c r="J753" s="16" t="n">
        <f aca="false">IFERROR(MATCH($I753,ROTACAO_RDM!$B$6:$B$71,0),0)</f>
        <v>22</v>
      </c>
      <c r="K753" s="8" t="str">
        <f aca="false">IF($J753=0,"SEM CULTURA",INDEX(ROTACAO_RDM!$F$6:$F$71,$J753))</f>
        <v>SOJA</v>
      </c>
      <c r="L753" s="8" t="str">
        <f aca="false">IF($J753=0,"",INDEX(ROTACAO_RDM!$G$6:$G$71,$J753))</f>
        <v>NEO 761 I2X</v>
      </c>
      <c r="M753" s="17" t="n">
        <f aca="false">IF($J753=0,"",INDEX(ROTACAO_RDM!$I$6:$I$71,$J753))</f>
        <v>46307</v>
      </c>
      <c r="N753" s="16" t="n">
        <f aca="false">IF($J753=0,0,MAX(0,$C753+INT(DIAS_POR_SEMANA/2)-INDEX(ROTACAO_RDM!$I$6:$I$71,$J753)))</f>
        <v>108</v>
      </c>
      <c r="O753" s="19" t="n">
        <f aca="false">IF($J753=0,0,MIN(1,$N753/MAX(1,INDEX(ROTACAO_RDM!$K$6:$K$71,$J753))))</f>
        <v>0.931034482758621</v>
      </c>
      <c r="P753" s="16" t="n">
        <f aca="false">IF($J753=0,0,IFERROR(MATCH(INDEX(ROTACAO_RDM!$N$6:$N$71,$J753),PARAMETROS_CULTURAS!$B$6:$B$28,0),0))</f>
        <v>2</v>
      </c>
      <c r="Q753" s="8" t="str">
        <f aca="false">IF($P753=0,"-",IF($O753&lt;=INDEX(PARAMETROS_CULTURAS!$F$6:$F$28,$P753),"INICIAL",IF($O753&lt;=INDEX(PARAMETROS_CULTURAS!$F$6:$F$28,$P753)+INDEX(PARAMETROS_CULTURAS!$G$6:$G$28,$P753),"DESENVOLVIMENTO",IF($O753&lt;=INDEX(PARAMETROS_CULTURAS!$F$6:$F$28,$P753)+INDEX(PARAMETROS_CULTURAS!$G$6:$G$28,$P753)+INDEX(PARAMETROS_CULTURAS!$H$6:$H$28,$P753),"MEDIA","FINAL"))))</f>
        <v>FINAL</v>
      </c>
      <c r="R753" s="24" t="n">
        <f aca="false">IF($P753=0,0,IF($O753&lt;=INDEX(PARAMETROS_CULTURAS!$F$6:$F$28,$P753),INDEX(PARAMETROS_CULTURAS!$K$6:$K$28,$P753),IF($O753&lt;=INDEX(PARAMETROS_CULTURAS!$F$6:$F$28,$P753)+INDEX(PARAMETROS_CULTURAS!$G$6:$G$28,$P753),INDEX(PARAMETROS_CULTURAS!$K$6:$K$28,$P753)+(INDEX(PARAMETROS_CULTURAS!$L$6:$L$28,$P753)-INDEX(PARAMETROS_CULTURAS!$K$6:$K$28,$P753))*($O753-INDEX(PARAMETROS_CULTURAS!$F$6:$F$28,$P753))/MAX(INDEX(PARAMETROS_CULTURAS!$G$6:$G$28,$P753),0.0001),IF($O753&lt;=INDEX(PARAMETROS_CULTURAS!$F$6:$F$28,$P753)+INDEX(PARAMETROS_CULTURAS!$G$6:$G$28,$P753)+INDEX(PARAMETROS_CULTURAS!$H$6:$H$28,$P753),INDEX(PARAMETROS_CULTURAS!$L$6:$L$28,$P753),INDEX(PARAMETROS_CULTURAS!$L$6:$L$28,$P753)+(INDEX(PARAMETROS_CULTURAS!$M$6:$M$28,$P753)-INDEX(PARAMETROS_CULTURAS!$L$6:$L$28,$P753))*($O753-INDEX(PARAMETROS_CULTURAS!$F$6:$F$28,$P753)-INDEX(PARAMETROS_CULTURAS!$G$6:$G$28,$P753)-INDEX(PARAMETROS_CULTURAS!$H$6:$H$28,$P753))/MAX(INDEX(PARAMETROS_CULTURAS!$I$6:$I$28,$P753),0.0001)))))</f>
        <v>0.735934664246824</v>
      </c>
      <c r="S753" s="18" t="n">
        <f aca="false">IFERROR(INDEX(SEMANAS!$H$6:$H$71,MATCH($B753,SEMANAS!$B$6:$B$71,0)),0)</f>
        <v>33.6</v>
      </c>
      <c r="T753" s="18" t="n">
        <f aca="false">$R753*$S753</f>
        <v>24.7274047186933</v>
      </c>
      <c r="U753" s="18" t="n">
        <f aca="false">IFERROR(INDEX(SEMANAS!$I$6:$I$71,MATCH($B753,SEMANAS!$B$6:$B$71,0)),0)</f>
        <v>45.15</v>
      </c>
      <c r="V753" s="18" t="n">
        <f aca="false">IFERROR(INDEX(SEMANAS!$J$6:$J$71,MATCH($B753,SEMANAS!$B$6:$B$71,0)),0)</f>
        <v>36.12</v>
      </c>
      <c r="W753" s="18" t="n">
        <f aca="false">MAX(0,$T753-$V753)</f>
        <v>0</v>
      </c>
      <c r="X753" s="19" t="n">
        <f aca="false">IFERROR(INDEX(CADASTRO_PIVOS!$K$6:$K$41,MATCH($E753,CADASTRO_PIVOS!$B$6:$B$41,0)),EFICIENCIA_PADRAO)</f>
        <v>0.85</v>
      </c>
      <c r="Y753" s="18" t="n">
        <f aca="false">IF($X753&lt;=0,0,$W753/$X753)</f>
        <v>0</v>
      </c>
      <c r="Z753" s="16" t="n">
        <f aca="false">$Y753*$H753*MM_PARA_M3_HA</f>
        <v>0</v>
      </c>
      <c r="AA753" s="18" t="n">
        <f aca="false">IFERROR(INDEX(CADASTRO_PIVOS!$I$6:$I$41,MATCH($E753,CADASTRO_PIVOS!$B$6:$B$41,0)),0)</f>
        <v>928.447619047619</v>
      </c>
      <c r="AB753" s="18" t="n">
        <f aca="false">IF($Z753&lt;=0,0,$Z753/$AA753)</f>
        <v>0</v>
      </c>
      <c r="AC753" s="16" t="n">
        <f aca="false">IFERROR(INDEX(SEMANAS!$K$6:$K$71,MATCH($B753,SEMANAS!$B$6:$B$71,0)),0)</f>
        <v>147</v>
      </c>
      <c r="AD753" s="19" t="n">
        <f aca="false">IF($AC753&lt;=0,0,$AB753/$AC753)</f>
        <v>0</v>
      </c>
      <c r="AE753" s="8" t="str">
        <f aca="false">IF($K753="SEM CULTURA","SEM CULTURA",IF($AA753&lt;=0,"DADO PENDENTE",IF($AD753&gt;LIMITE_CRITICO,"INVIAVEL",IF($AD753&gt;LIMITE_ATENCAO,"CRITICO",IF($AD753&gt;LIMITE_CONFORTAVEL,"ATENCAO","OK")))))</f>
        <v>OK</v>
      </c>
      <c r="AF753" s="8" t="str">
        <f aca="false">$B753&amp;"|"&amp;TEXT($AD753,"0.000000")</f>
        <v>22|0.000000</v>
      </c>
      <c r="AG753" s="18" t="n">
        <f aca="false">IF($K753="SEM CULTURA",0,$T753*$H753)</f>
        <v>3708.61615970962</v>
      </c>
      <c r="AH753" s="18" t="n">
        <f aca="false">IF($K753="SEM CULTURA",0,$V753*$H753)</f>
        <v>5417.2776</v>
      </c>
      <c r="AI753" s="18" t="n">
        <f aca="false">IF($K753="SEM CULTURA",0,$W753*$H753)</f>
        <v>0</v>
      </c>
      <c r="AJ753" s="18" t="n">
        <f aca="false">IF($K753="SEM CULTURA",0,$S753*$H753)</f>
        <v>5039.328</v>
      </c>
      <c r="AK753" s="8" t="str">
        <f aca="false">$E753&amp;"|"&amp;TEXT($AD753,"0.000000")</f>
        <v>PV 113|0.000000</v>
      </c>
    </row>
    <row r="754" customFormat="false" ht="15" hidden="false" customHeight="false" outlineLevel="0" collapsed="false">
      <c r="B754" s="16" t="n">
        <v>23</v>
      </c>
      <c r="C754" s="17" t="n">
        <f aca="false">DATA_INICIO_SAFRA+($B754-1)*DIAS_POR_SEMANA</f>
        <v>46419</v>
      </c>
      <c r="D754" s="17" t="n">
        <f aca="false">$C754+DIAS_POR_SEMANA-1</f>
        <v>46425</v>
      </c>
      <c r="E754" s="15" t="s">
        <v>270</v>
      </c>
      <c r="F754" s="8" t="str">
        <f aca="false">IFERROR(INDEX(CADASTRO_PIVOS!$C$6:$C$41,MATCH($E754,CADASTRO_PIVOS!$B$6:$B$41,0)),"?")</f>
        <v>RM05</v>
      </c>
      <c r="G754" s="8" t="str">
        <f aca="false">IFERROR(INDEX(CADASTRO_PIVOS!$D$6:$D$41,MATCH($E754,CADASTRO_PIVOS!$B$6:$B$41,0)),"?")</f>
        <v>TR05</v>
      </c>
      <c r="H754" s="20" t="n">
        <f aca="false">IFERROR(INDEX(CADASTRO_PIVOS!$E$6:$E$41,MATCH($E754,CADASTRO_PIVOS!$B$6:$B$41,0)),0)</f>
        <v>149.98</v>
      </c>
      <c r="I754" s="16" t="n">
        <f aca="false">IFERROR(SUMIFS(ROTACAO_RDM!$B$6:$B$71,ROTACAO_RDM!$D$6:$D$71,$E754,ROTACAO_RDM!$I$6:$I$71,"&lt;="&amp;$C754+INT(DIAS_POR_SEMANA/2),ROTACAO_RDM!$J$6:$J$71,"&gt;="&amp;$C754+INT(DIAS_POR_SEMANA/2)),0)</f>
        <v>22</v>
      </c>
      <c r="J754" s="16" t="n">
        <f aca="false">IFERROR(MATCH($I754,ROTACAO_RDM!$B$6:$B$71,0),0)</f>
        <v>22</v>
      </c>
      <c r="K754" s="8" t="str">
        <f aca="false">IF($J754=0,"SEM CULTURA",INDEX(ROTACAO_RDM!$F$6:$F$71,$J754))</f>
        <v>SOJA</v>
      </c>
      <c r="L754" s="8" t="str">
        <f aca="false">IF($J754=0,"",INDEX(ROTACAO_RDM!$G$6:$G$71,$J754))</f>
        <v>NEO 761 I2X</v>
      </c>
      <c r="M754" s="17" t="n">
        <f aca="false">IF($J754=0,"",INDEX(ROTACAO_RDM!$I$6:$I$71,$J754))</f>
        <v>46307</v>
      </c>
      <c r="N754" s="16" t="n">
        <f aca="false">IF($J754=0,0,MAX(0,$C754+INT(DIAS_POR_SEMANA/2)-INDEX(ROTACAO_RDM!$I$6:$I$71,$J754)))</f>
        <v>115</v>
      </c>
      <c r="O754" s="19" t="n">
        <f aca="false">IF($J754=0,0,MIN(1,$N754/MAX(1,INDEX(ROTACAO_RDM!$K$6:$K$71,$J754))))</f>
        <v>0.991379310344828</v>
      </c>
      <c r="P754" s="16" t="n">
        <f aca="false">IF($J754=0,0,IFERROR(MATCH(INDEX(ROTACAO_RDM!$N$6:$N$71,$J754),PARAMETROS_CULTURAS!$B$6:$B$28,0),0))</f>
        <v>2</v>
      </c>
      <c r="Q754" s="8" t="str">
        <f aca="false">IF($P754=0,"-",IF($O754&lt;=INDEX(PARAMETROS_CULTURAS!$F$6:$F$28,$P754),"INICIAL",IF($O754&lt;=INDEX(PARAMETROS_CULTURAS!$F$6:$F$28,$P754)+INDEX(PARAMETROS_CULTURAS!$G$6:$G$28,$P754),"DESENVOLVIMENTO",IF($O754&lt;=INDEX(PARAMETROS_CULTURAS!$F$6:$F$28,$P754)+INDEX(PARAMETROS_CULTURAS!$G$6:$G$28,$P754)+INDEX(PARAMETROS_CULTURAS!$H$6:$H$28,$P754),"MEDIA","FINAL"))))</f>
        <v>FINAL</v>
      </c>
      <c r="R754" s="24" t="n">
        <f aca="false">IF($P754=0,0,IF($O754&lt;=INDEX(PARAMETROS_CULTURAS!$F$6:$F$28,$P754),INDEX(PARAMETROS_CULTURAS!$K$6:$K$28,$P754),IF($O754&lt;=INDEX(PARAMETROS_CULTURAS!$F$6:$F$28,$P754)+INDEX(PARAMETROS_CULTURAS!$G$6:$G$28,$P754),INDEX(PARAMETROS_CULTURAS!$K$6:$K$28,$P754)+(INDEX(PARAMETROS_CULTURAS!$L$6:$L$28,$P754)-INDEX(PARAMETROS_CULTURAS!$K$6:$K$28,$P754))*($O754-INDEX(PARAMETROS_CULTURAS!$F$6:$F$28,$P754))/MAX(INDEX(PARAMETROS_CULTURAS!$G$6:$G$28,$P754),0.0001),IF($O754&lt;=INDEX(PARAMETROS_CULTURAS!$F$6:$F$28,$P754)+INDEX(PARAMETROS_CULTURAS!$G$6:$G$28,$P754)+INDEX(PARAMETROS_CULTURAS!$H$6:$H$28,$P754),INDEX(PARAMETROS_CULTURAS!$L$6:$L$28,$P754),INDEX(PARAMETROS_CULTURAS!$L$6:$L$28,$P754)+(INDEX(PARAMETROS_CULTURAS!$M$6:$M$28,$P754)-INDEX(PARAMETROS_CULTURAS!$L$6:$L$28,$P754))*($O754-INDEX(PARAMETROS_CULTURAS!$F$6:$F$28,$P754)-INDEX(PARAMETROS_CULTURAS!$G$6:$G$28,$P754)-INDEX(PARAMETROS_CULTURAS!$H$6:$H$28,$P754))/MAX(INDEX(PARAMETROS_CULTURAS!$I$6:$I$28,$P754),0.0001)))))</f>
        <v>0.529491833030853</v>
      </c>
      <c r="S754" s="18" t="n">
        <f aca="false">IFERROR(INDEX(SEMANAS!$H$6:$H$71,MATCH($B754,SEMANAS!$B$6:$B$71,0)),0)</f>
        <v>32.9</v>
      </c>
      <c r="T754" s="18" t="n">
        <f aca="false">$R754*$S754</f>
        <v>17.4202813067151</v>
      </c>
      <c r="U754" s="18" t="n">
        <f aca="false">IFERROR(INDEX(SEMANAS!$I$6:$I$71,MATCH($B754,SEMANAS!$B$6:$B$71,0)),0)</f>
        <v>39.97</v>
      </c>
      <c r="V754" s="18" t="n">
        <f aca="false">IFERROR(INDEX(SEMANAS!$J$6:$J$71,MATCH($B754,SEMANAS!$B$6:$B$71,0)),0)</f>
        <v>31.976</v>
      </c>
      <c r="W754" s="18" t="n">
        <f aca="false">MAX(0,$T754-$V754)</f>
        <v>0</v>
      </c>
      <c r="X754" s="19" t="n">
        <f aca="false">IFERROR(INDEX(CADASTRO_PIVOS!$K$6:$K$41,MATCH($E754,CADASTRO_PIVOS!$B$6:$B$41,0)),EFICIENCIA_PADRAO)</f>
        <v>0.85</v>
      </c>
      <c r="Y754" s="18" t="n">
        <f aca="false">IF($X754&lt;=0,0,$W754/$X754)</f>
        <v>0</v>
      </c>
      <c r="Z754" s="16" t="n">
        <f aca="false">$Y754*$H754*MM_PARA_M3_HA</f>
        <v>0</v>
      </c>
      <c r="AA754" s="18" t="n">
        <f aca="false">IFERROR(INDEX(CADASTRO_PIVOS!$I$6:$I$41,MATCH($E754,CADASTRO_PIVOS!$B$6:$B$41,0)),0)</f>
        <v>928.447619047619</v>
      </c>
      <c r="AB754" s="18" t="n">
        <f aca="false">IF($Z754&lt;=0,0,$Z754/$AA754)</f>
        <v>0</v>
      </c>
      <c r="AC754" s="16" t="n">
        <f aca="false">IFERROR(INDEX(SEMANAS!$K$6:$K$71,MATCH($B754,SEMANAS!$B$6:$B$71,0)),0)</f>
        <v>147</v>
      </c>
      <c r="AD754" s="19" t="n">
        <f aca="false">IF($AC754&lt;=0,0,$AB754/$AC754)</f>
        <v>0</v>
      </c>
      <c r="AE754" s="8" t="str">
        <f aca="false">IF($K754="SEM CULTURA","SEM CULTURA",IF($AA754&lt;=0,"DADO PENDENTE",IF($AD754&gt;LIMITE_CRITICO,"INVIAVEL",IF($AD754&gt;LIMITE_ATENCAO,"CRITICO",IF($AD754&gt;LIMITE_CONFORTAVEL,"ATENCAO","OK")))))</f>
        <v>OK</v>
      </c>
      <c r="AF754" s="8" t="str">
        <f aca="false">$B754&amp;"|"&amp;TEXT($AD754,"0.000000")</f>
        <v>23|0.000000</v>
      </c>
      <c r="AG754" s="18" t="n">
        <f aca="false">IF($K754="SEM CULTURA",0,$T754*$H754)</f>
        <v>2612.69379038112</v>
      </c>
      <c r="AH754" s="18" t="n">
        <f aca="false">IF($K754="SEM CULTURA",0,$V754*$H754)</f>
        <v>4795.76048</v>
      </c>
      <c r="AI754" s="18" t="n">
        <f aca="false">IF($K754="SEM CULTURA",0,$W754*$H754)</f>
        <v>0</v>
      </c>
      <c r="AJ754" s="18" t="n">
        <f aca="false">IF($K754="SEM CULTURA",0,$S754*$H754)</f>
        <v>4934.342</v>
      </c>
      <c r="AK754" s="8" t="str">
        <f aca="false">$E754&amp;"|"&amp;TEXT($AD754,"0.000000")</f>
        <v>PV 113|0.000000</v>
      </c>
    </row>
    <row r="755" customFormat="false" ht="15" hidden="false" customHeight="false" outlineLevel="0" collapsed="false">
      <c r="B755" s="16" t="n">
        <v>24</v>
      </c>
      <c r="C755" s="17" t="n">
        <f aca="false">DATA_INICIO_SAFRA+($B755-1)*DIAS_POR_SEMANA</f>
        <v>46426</v>
      </c>
      <c r="D755" s="17" t="n">
        <f aca="false">$C755+DIAS_POR_SEMANA-1</f>
        <v>46432</v>
      </c>
      <c r="E755" s="15" t="s">
        <v>270</v>
      </c>
      <c r="F755" s="8" t="str">
        <f aca="false">IFERROR(INDEX(CADASTRO_PIVOS!$C$6:$C$41,MATCH($E755,CADASTRO_PIVOS!$B$6:$B$41,0)),"?")</f>
        <v>RM05</v>
      </c>
      <c r="G755" s="8" t="str">
        <f aca="false">IFERROR(INDEX(CADASTRO_PIVOS!$D$6:$D$41,MATCH($E755,CADASTRO_PIVOS!$B$6:$B$41,0)),"?")</f>
        <v>TR05</v>
      </c>
      <c r="H755" s="20" t="n">
        <f aca="false">IFERROR(INDEX(CADASTRO_PIVOS!$E$6:$E$41,MATCH($E755,CADASTRO_PIVOS!$B$6:$B$41,0)),0)</f>
        <v>149.98</v>
      </c>
      <c r="I755" s="16" t="n">
        <f aca="false">IFERROR(SUMIFS(ROTACAO_RDM!$B$6:$B$71,ROTACAO_RDM!$D$6:$D$71,$E755,ROTACAO_RDM!$I$6:$I$71,"&lt;="&amp;$C755+INT(DIAS_POR_SEMANA/2),ROTACAO_RDM!$J$6:$J$71,"&gt;="&amp;$C755+INT(DIAS_POR_SEMANA/2)),0)</f>
        <v>0</v>
      </c>
      <c r="J755" s="16" t="n">
        <f aca="false">IFERROR(MATCH($I755,ROTACAO_RDM!$B$6:$B$71,0),0)</f>
        <v>0</v>
      </c>
      <c r="K755" s="8" t="str">
        <f aca="false">IF($J755=0,"SEM CULTURA",INDEX(ROTACAO_RDM!$F$6:$F$71,$J755))</f>
        <v>SEM CULTURA</v>
      </c>
      <c r="L755" s="8" t="str">
        <f aca="false">IF($J755=0,"",INDEX(ROTACAO_RDM!$G$6:$G$71,$J755))</f>
        <v/>
      </c>
      <c r="M755" s="17" t="str">
        <f aca="false">IF($J755=0,"",INDEX(ROTACAO_RDM!$I$6:$I$71,$J755))</f>
        <v/>
      </c>
      <c r="N755" s="16" t="n">
        <f aca="false">IF($J755=0,0,MAX(0,$C755+INT(DIAS_POR_SEMANA/2)-INDEX(ROTACAO_RDM!$I$6:$I$71,$J755)))</f>
        <v>0</v>
      </c>
      <c r="O755" s="19" t="n">
        <f aca="false">IF($J755=0,0,MIN(1,$N755/MAX(1,INDEX(ROTACAO_RDM!$K$6:$K$71,$J755))))</f>
        <v>0</v>
      </c>
      <c r="P755" s="16" t="n">
        <f aca="false">IF($J755=0,0,IFERROR(MATCH(INDEX(ROTACAO_RDM!$N$6:$N$71,$J755),PARAMETROS_CULTURAS!$B$6:$B$28,0),0))</f>
        <v>0</v>
      </c>
      <c r="Q755" s="8" t="str">
        <f aca="false">IF($P755=0,"-",IF($O755&lt;=INDEX(PARAMETROS_CULTURAS!$F$6:$F$28,$P755),"INICIAL",IF($O755&lt;=INDEX(PARAMETROS_CULTURAS!$F$6:$F$28,$P755)+INDEX(PARAMETROS_CULTURAS!$G$6:$G$28,$P755),"DESENVOLVIMENTO",IF($O755&lt;=INDEX(PARAMETROS_CULTURAS!$F$6:$F$28,$P755)+INDEX(PARAMETROS_CULTURAS!$G$6:$G$28,$P755)+INDEX(PARAMETROS_CULTURAS!$H$6:$H$28,$P755),"MEDIA","FINAL"))))</f>
        <v>-</v>
      </c>
      <c r="R755" s="24" t="n">
        <f aca="false">IF($P755=0,0,IF($O755&lt;=INDEX(PARAMETROS_CULTURAS!$F$6:$F$28,$P755),INDEX(PARAMETROS_CULTURAS!$K$6:$K$28,$P755),IF($O755&lt;=INDEX(PARAMETROS_CULTURAS!$F$6:$F$28,$P755)+INDEX(PARAMETROS_CULTURAS!$G$6:$G$28,$P755),INDEX(PARAMETROS_CULTURAS!$K$6:$K$28,$P755)+(INDEX(PARAMETROS_CULTURAS!$L$6:$L$28,$P755)-INDEX(PARAMETROS_CULTURAS!$K$6:$K$28,$P755))*($O755-INDEX(PARAMETROS_CULTURAS!$F$6:$F$28,$P755))/MAX(INDEX(PARAMETROS_CULTURAS!$G$6:$G$28,$P755),0.0001),IF($O755&lt;=INDEX(PARAMETROS_CULTURAS!$F$6:$F$28,$P755)+INDEX(PARAMETROS_CULTURAS!$G$6:$G$28,$P755)+INDEX(PARAMETROS_CULTURAS!$H$6:$H$28,$P755),INDEX(PARAMETROS_CULTURAS!$L$6:$L$28,$P755),INDEX(PARAMETROS_CULTURAS!$L$6:$L$28,$P755)+(INDEX(PARAMETROS_CULTURAS!$M$6:$M$28,$P755)-INDEX(PARAMETROS_CULTURAS!$L$6:$L$28,$P755))*($O755-INDEX(PARAMETROS_CULTURAS!$F$6:$F$28,$P755)-INDEX(PARAMETROS_CULTURAS!$G$6:$G$28,$P755)-INDEX(PARAMETROS_CULTURAS!$H$6:$H$28,$P755))/MAX(INDEX(PARAMETROS_CULTURAS!$I$6:$I$28,$P755),0.0001)))))</f>
        <v>0</v>
      </c>
      <c r="S755" s="18" t="n">
        <f aca="false">IFERROR(INDEX(SEMANAS!$H$6:$H$71,MATCH($B755,SEMANAS!$B$6:$B$71,0)),0)</f>
        <v>32.9</v>
      </c>
      <c r="T755" s="18" t="n">
        <f aca="false">$R755*$S755</f>
        <v>0</v>
      </c>
      <c r="U755" s="18" t="n">
        <f aca="false">IFERROR(INDEX(SEMANAS!$I$6:$I$71,MATCH($B755,SEMANAS!$B$6:$B$71,0)),0)</f>
        <v>39.97</v>
      </c>
      <c r="V755" s="18" t="n">
        <f aca="false">IFERROR(INDEX(SEMANAS!$J$6:$J$71,MATCH($B755,SEMANAS!$B$6:$B$71,0)),0)</f>
        <v>31.976</v>
      </c>
      <c r="W755" s="18" t="n">
        <f aca="false">MAX(0,$T755-$V755)</f>
        <v>0</v>
      </c>
      <c r="X755" s="19" t="n">
        <f aca="false">IFERROR(INDEX(CADASTRO_PIVOS!$K$6:$K$41,MATCH($E755,CADASTRO_PIVOS!$B$6:$B$41,0)),EFICIENCIA_PADRAO)</f>
        <v>0.85</v>
      </c>
      <c r="Y755" s="18" t="n">
        <f aca="false">IF($X755&lt;=0,0,$W755/$X755)</f>
        <v>0</v>
      </c>
      <c r="Z755" s="16" t="n">
        <f aca="false">$Y755*$H755*MM_PARA_M3_HA</f>
        <v>0</v>
      </c>
      <c r="AA755" s="18" t="n">
        <f aca="false">IFERROR(INDEX(CADASTRO_PIVOS!$I$6:$I$41,MATCH($E755,CADASTRO_PIVOS!$B$6:$B$41,0)),0)</f>
        <v>928.447619047619</v>
      </c>
      <c r="AB755" s="18" t="n">
        <f aca="false">IF($Z755&lt;=0,0,$Z755/$AA755)</f>
        <v>0</v>
      </c>
      <c r="AC755" s="16" t="n">
        <f aca="false">IFERROR(INDEX(SEMANAS!$K$6:$K$71,MATCH($B755,SEMANAS!$B$6:$B$71,0)),0)</f>
        <v>147</v>
      </c>
      <c r="AD755" s="19" t="n">
        <f aca="false">IF($AC755&lt;=0,0,$AB755/$AC755)</f>
        <v>0</v>
      </c>
      <c r="AE755" s="8" t="str">
        <f aca="false">IF($K755="SEM CULTURA","SEM CULTURA",IF($AA755&lt;=0,"DADO PENDENTE",IF($AD755&gt;LIMITE_CRITICO,"INVIAVEL",IF($AD755&gt;LIMITE_ATENCAO,"CRITICO",IF($AD755&gt;LIMITE_CONFORTAVEL,"ATENCAO","OK")))))</f>
        <v>SEM CULTURA</v>
      </c>
      <c r="AF755" s="8" t="str">
        <f aca="false">$B755&amp;"|"&amp;TEXT($AD755,"0.000000")</f>
        <v>24|0.000000</v>
      </c>
      <c r="AG755" s="18" t="n">
        <f aca="false">IF($K755="SEM CULTURA",0,$T755*$H755)</f>
        <v>0</v>
      </c>
      <c r="AH755" s="18" t="n">
        <f aca="false">IF($K755="SEM CULTURA",0,$V755*$H755)</f>
        <v>0</v>
      </c>
      <c r="AI755" s="18" t="n">
        <f aca="false">IF($K755="SEM CULTURA",0,$W755*$H755)</f>
        <v>0</v>
      </c>
      <c r="AJ755" s="18" t="n">
        <f aca="false">IF($K755="SEM CULTURA",0,$S755*$H755)</f>
        <v>0</v>
      </c>
      <c r="AK755" s="8" t="str">
        <f aca="false">$E755&amp;"|"&amp;TEXT($AD755,"0.000000")</f>
        <v>PV 113|0.000000</v>
      </c>
    </row>
    <row r="756" customFormat="false" ht="15" hidden="false" customHeight="false" outlineLevel="0" collapsed="false">
      <c r="B756" s="16" t="n">
        <v>25</v>
      </c>
      <c r="C756" s="17" t="n">
        <f aca="false">DATA_INICIO_SAFRA+($B756-1)*DIAS_POR_SEMANA</f>
        <v>46433</v>
      </c>
      <c r="D756" s="17" t="n">
        <f aca="false">$C756+DIAS_POR_SEMANA-1</f>
        <v>46439</v>
      </c>
      <c r="E756" s="15" t="s">
        <v>270</v>
      </c>
      <c r="F756" s="8" t="str">
        <f aca="false">IFERROR(INDEX(CADASTRO_PIVOS!$C$6:$C$41,MATCH($E756,CADASTRO_PIVOS!$B$6:$B$41,0)),"?")</f>
        <v>RM05</v>
      </c>
      <c r="G756" s="8" t="str">
        <f aca="false">IFERROR(INDEX(CADASTRO_PIVOS!$D$6:$D$41,MATCH($E756,CADASTRO_PIVOS!$B$6:$B$41,0)),"?")</f>
        <v>TR05</v>
      </c>
      <c r="H756" s="20" t="n">
        <f aca="false">IFERROR(INDEX(CADASTRO_PIVOS!$E$6:$E$41,MATCH($E756,CADASTRO_PIVOS!$B$6:$B$41,0)),0)</f>
        <v>149.98</v>
      </c>
      <c r="I756" s="16" t="n">
        <f aca="false">IFERROR(SUMIFS(ROTACAO_RDM!$B$6:$B$71,ROTACAO_RDM!$D$6:$D$71,$E756,ROTACAO_RDM!$I$6:$I$71,"&lt;="&amp;$C756+INT(DIAS_POR_SEMANA/2),ROTACAO_RDM!$J$6:$J$71,"&gt;="&amp;$C756+INT(DIAS_POR_SEMANA/2)),0)</f>
        <v>0</v>
      </c>
      <c r="J756" s="16" t="n">
        <f aca="false">IFERROR(MATCH($I756,ROTACAO_RDM!$B$6:$B$71,0),0)</f>
        <v>0</v>
      </c>
      <c r="K756" s="8" t="str">
        <f aca="false">IF($J756=0,"SEM CULTURA",INDEX(ROTACAO_RDM!$F$6:$F$71,$J756))</f>
        <v>SEM CULTURA</v>
      </c>
      <c r="L756" s="8" t="str">
        <f aca="false">IF($J756=0,"",INDEX(ROTACAO_RDM!$G$6:$G$71,$J756))</f>
        <v/>
      </c>
      <c r="M756" s="17" t="str">
        <f aca="false">IF($J756=0,"",INDEX(ROTACAO_RDM!$I$6:$I$71,$J756))</f>
        <v/>
      </c>
      <c r="N756" s="16" t="n">
        <f aca="false">IF($J756=0,0,MAX(0,$C756+INT(DIAS_POR_SEMANA/2)-INDEX(ROTACAO_RDM!$I$6:$I$71,$J756)))</f>
        <v>0</v>
      </c>
      <c r="O756" s="19" t="n">
        <f aca="false">IF($J756=0,0,MIN(1,$N756/MAX(1,INDEX(ROTACAO_RDM!$K$6:$K$71,$J756))))</f>
        <v>0</v>
      </c>
      <c r="P756" s="16" t="n">
        <f aca="false">IF($J756=0,0,IFERROR(MATCH(INDEX(ROTACAO_RDM!$N$6:$N$71,$J756),PARAMETROS_CULTURAS!$B$6:$B$28,0),0))</f>
        <v>0</v>
      </c>
      <c r="Q756" s="8" t="str">
        <f aca="false">IF($P756=0,"-",IF($O756&lt;=INDEX(PARAMETROS_CULTURAS!$F$6:$F$28,$P756),"INICIAL",IF($O756&lt;=INDEX(PARAMETROS_CULTURAS!$F$6:$F$28,$P756)+INDEX(PARAMETROS_CULTURAS!$G$6:$G$28,$P756),"DESENVOLVIMENTO",IF($O756&lt;=INDEX(PARAMETROS_CULTURAS!$F$6:$F$28,$P756)+INDEX(PARAMETROS_CULTURAS!$G$6:$G$28,$P756)+INDEX(PARAMETROS_CULTURAS!$H$6:$H$28,$P756),"MEDIA","FINAL"))))</f>
        <v>-</v>
      </c>
      <c r="R756" s="24" t="n">
        <f aca="false">IF($P756=0,0,IF($O756&lt;=INDEX(PARAMETROS_CULTURAS!$F$6:$F$28,$P756),INDEX(PARAMETROS_CULTURAS!$K$6:$K$28,$P756),IF($O756&lt;=INDEX(PARAMETROS_CULTURAS!$F$6:$F$28,$P756)+INDEX(PARAMETROS_CULTURAS!$G$6:$G$28,$P756),INDEX(PARAMETROS_CULTURAS!$K$6:$K$28,$P756)+(INDEX(PARAMETROS_CULTURAS!$L$6:$L$28,$P756)-INDEX(PARAMETROS_CULTURAS!$K$6:$K$28,$P756))*($O756-INDEX(PARAMETROS_CULTURAS!$F$6:$F$28,$P756))/MAX(INDEX(PARAMETROS_CULTURAS!$G$6:$G$28,$P756),0.0001),IF($O756&lt;=INDEX(PARAMETROS_CULTURAS!$F$6:$F$28,$P756)+INDEX(PARAMETROS_CULTURAS!$G$6:$G$28,$P756)+INDEX(PARAMETROS_CULTURAS!$H$6:$H$28,$P756),INDEX(PARAMETROS_CULTURAS!$L$6:$L$28,$P756),INDEX(PARAMETROS_CULTURAS!$L$6:$L$28,$P756)+(INDEX(PARAMETROS_CULTURAS!$M$6:$M$28,$P756)-INDEX(PARAMETROS_CULTURAS!$L$6:$L$28,$P756))*($O756-INDEX(PARAMETROS_CULTURAS!$F$6:$F$28,$P756)-INDEX(PARAMETROS_CULTURAS!$G$6:$G$28,$P756)-INDEX(PARAMETROS_CULTURAS!$H$6:$H$28,$P756))/MAX(INDEX(PARAMETROS_CULTURAS!$I$6:$I$28,$P756),0.0001)))))</f>
        <v>0</v>
      </c>
      <c r="S756" s="18" t="n">
        <f aca="false">IFERROR(INDEX(SEMANAS!$H$6:$H$71,MATCH($B756,SEMANAS!$B$6:$B$71,0)),0)</f>
        <v>32.9</v>
      </c>
      <c r="T756" s="18" t="n">
        <f aca="false">$R756*$S756</f>
        <v>0</v>
      </c>
      <c r="U756" s="18" t="n">
        <f aca="false">IFERROR(INDEX(SEMANAS!$I$6:$I$71,MATCH($B756,SEMANAS!$B$6:$B$71,0)),0)</f>
        <v>39.97</v>
      </c>
      <c r="V756" s="18" t="n">
        <f aca="false">IFERROR(INDEX(SEMANAS!$J$6:$J$71,MATCH($B756,SEMANAS!$B$6:$B$71,0)),0)</f>
        <v>31.976</v>
      </c>
      <c r="W756" s="18" t="n">
        <f aca="false">MAX(0,$T756-$V756)</f>
        <v>0</v>
      </c>
      <c r="X756" s="19" t="n">
        <f aca="false">IFERROR(INDEX(CADASTRO_PIVOS!$K$6:$K$41,MATCH($E756,CADASTRO_PIVOS!$B$6:$B$41,0)),EFICIENCIA_PADRAO)</f>
        <v>0.85</v>
      </c>
      <c r="Y756" s="18" t="n">
        <f aca="false">IF($X756&lt;=0,0,$W756/$X756)</f>
        <v>0</v>
      </c>
      <c r="Z756" s="16" t="n">
        <f aca="false">$Y756*$H756*MM_PARA_M3_HA</f>
        <v>0</v>
      </c>
      <c r="AA756" s="18" t="n">
        <f aca="false">IFERROR(INDEX(CADASTRO_PIVOS!$I$6:$I$41,MATCH($E756,CADASTRO_PIVOS!$B$6:$B$41,0)),0)</f>
        <v>928.447619047619</v>
      </c>
      <c r="AB756" s="18" t="n">
        <f aca="false">IF($Z756&lt;=0,0,$Z756/$AA756)</f>
        <v>0</v>
      </c>
      <c r="AC756" s="16" t="n">
        <f aca="false">IFERROR(INDEX(SEMANAS!$K$6:$K$71,MATCH($B756,SEMANAS!$B$6:$B$71,0)),0)</f>
        <v>147</v>
      </c>
      <c r="AD756" s="19" t="n">
        <f aca="false">IF($AC756&lt;=0,0,$AB756/$AC756)</f>
        <v>0</v>
      </c>
      <c r="AE756" s="8" t="str">
        <f aca="false">IF($K756="SEM CULTURA","SEM CULTURA",IF($AA756&lt;=0,"DADO PENDENTE",IF($AD756&gt;LIMITE_CRITICO,"INVIAVEL",IF($AD756&gt;LIMITE_ATENCAO,"CRITICO",IF($AD756&gt;LIMITE_CONFORTAVEL,"ATENCAO","OK")))))</f>
        <v>SEM CULTURA</v>
      </c>
      <c r="AF756" s="8" t="str">
        <f aca="false">$B756&amp;"|"&amp;TEXT($AD756,"0.000000")</f>
        <v>25|0.000000</v>
      </c>
      <c r="AG756" s="18" t="n">
        <f aca="false">IF($K756="SEM CULTURA",0,$T756*$H756)</f>
        <v>0</v>
      </c>
      <c r="AH756" s="18" t="n">
        <f aca="false">IF($K756="SEM CULTURA",0,$V756*$H756)</f>
        <v>0</v>
      </c>
      <c r="AI756" s="18" t="n">
        <f aca="false">IF($K756="SEM CULTURA",0,$W756*$H756)</f>
        <v>0</v>
      </c>
      <c r="AJ756" s="18" t="n">
        <f aca="false">IF($K756="SEM CULTURA",0,$S756*$H756)</f>
        <v>0</v>
      </c>
      <c r="AK756" s="8" t="str">
        <f aca="false">$E756&amp;"|"&amp;TEXT($AD756,"0.000000")</f>
        <v>PV 113|0.000000</v>
      </c>
    </row>
    <row r="757" customFormat="false" ht="15" hidden="false" customHeight="false" outlineLevel="0" collapsed="false">
      <c r="B757" s="16" t="n">
        <v>26</v>
      </c>
      <c r="C757" s="17" t="n">
        <f aca="false">DATA_INICIO_SAFRA+($B757-1)*DIAS_POR_SEMANA</f>
        <v>46440</v>
      </c>
      <c r="D757" s="17" t="n">
        <f aca="false">$C757+DIAS_POR_SEMANA-1</f>
        <v>46446</v>
      </c>
      <c r="E757" s="15" t="s">
        <v>270</v>
      </c>
      <c r="F757" s="8" t="str">
        <f aca="false">IFERROR(INDEX(CADASTRO_PIVOS!$C$6:$C$41,MATCH($E757,CADASTRO_PIVOS!$B$6:$B$41,0)),"?")</f>
        <v>RM05</v>
      </c>
      <c r="G757" s="8" t="str">
        <f aca="false">IFERROR(INDEX(CADASTRO_PIVOS!$D$6:$D$41,MATCH($E757,CADASTRO_PIVOS!$B$6:$B$41,0)),"?")</f>
        <v>TR05</v>
      </c>
      <c r="H757" s="20" t="n">
        <f aca="false">IFERROR(INDEX(CADASTRO_PIVOS!$E$6:$E$41,MATCH($E757,CADASTRO_PIVOS!$B$6:$B$41,0)),0)</f>
        <v>149.98</v>
      </c>
      <c r="I757" s="16" t="n">
        <f aca="false">IFERROR(SUMIFS(ROTACAO_RDM!$B$6:$B$71,ROTACAO_RDM!$D$6:$D$71,$E757,ROTACAO_RDM!$I$6:$I$71,"&lt;="&amp;$C757+INT(DIAS_POR_SEMANA/2),ROTACAO_RDM!$J$6:$J$71,"&gt;="&amp;$C757+INT(DIAS_POR_SEMANA/2)),0)</f>
        <v>0</v>
      </c>
      <c r="J757" s="16" t="n">
        <f aca="false">IFERROR(MATCH($I757,ROTACAO_RDM!$B$6:$B$71,0),0)</f>
        <v>0</v>
      </c>
      <c r="K757" s="8" t="str">
        <f aca="false">IF($J757=0,"SEM CULTURA",INDEX(ROTACAO_RDM!$F$6:$F$71,$J757))</f>
        <v>SEM CULTURA</v>
      </c>
      <c r="L757" s="8" t="str">
        <f aca="false">IF($J757=0,"",INDEX(ROTACAO_RDM!$G$6:$G$71,$J757))</f>
        <v/>
      </c>
      <c r="M757" s="17" t="str">
        <f aca="false">IF($J757=0,"",INDEX(ROTACAO_RDM!$I$6:$I$71,$J757))</f>
        <v/>
      </c>
      <c r="N757" s="16" t="n">
        <f aca="false">IF($J757=0,0,MAX(0,$C757+INT(DIAS_POR_SEMANA/2)-INDEX(ROTACAO_RDM!$I$6:$I$71,$J757)))</f>
        <v>0</v>
      </c>
      <c r="O757" s="19" t="n">
        <f aca="false">IF($J757=0,0,MIN(1,$N757/MAX(1,INDEX(ROTACAO_RDM!$K$6:$K$71,$J757))))</f>
        <v>0</v>
      </c>
      <c r="P757" s="16" t="n">
        <f aca="false">IF($J757=0,0,IFERROR(MATCH(INDEX(ROTACAO_RDM!$N$6:$N$71,$J757),PARAMETROS_CULTURAS!$B$6:$B$28,0),0))</f>
        <v>0</v>
      </c>
      <c r="Q757" s="8" t="str">
        <f aca="false">IF($P757=0,"-",IF($O757&lt;=INDEX(PARAMETROS_CULTURAS!$F$6:$F$28,$P757),"INICIAL",IF($O757&lt;=INDEX(PARAMETROS_CULTURAS!$F$6:$F$28,$P757)+INDEX(PARAMETROS_CULTURAS!$G$6:$G$28,$P757),"DESENVOLVIMENTO",IF($O757&lt;=INDEX(PARAMETROS_CULTURAS!$F$6:$F$28,$P757)+INDEX(PARAMETROS_CULTURAS!$G$6:$G$28,$P757)+INDEX(PARAMETROS_CULTURAS!$H$6:$H$28,$P757),"MEDIA","FINAL"))))</f>
        <v>-</v>
      </c>
      <c r="R757" s="24" t="n">
        <f aca="false">IF($P757=0,0,IF($O757&lt;=INDEX(PARAMETROS_CULTURAS!$F$6:$F$28,$P757),INDEX(PARAMETROS_CULTURAS!$K$6:$K$28,$P757),IF($O757&lt;=INDEX(PARAMETROS_CULTURAS!$F$6:$F$28,$P757)+INDEX(PARAMETROS_CULTURAS!$G$6:$G$28,$P757),INDEX(PARAMETROS_CULTURAS!$K$6:$K$28,$P757)+(INDEX(PARAMETROS_CULTURAS!$L$6:$L$28,$P757)-INDEX(PARAMETROS_CULTURAS!$K$6:$K$28,$P757))*($O757-INDEX(PARAMETROS_CULTURAS!$F$6:$F$28,$P757))/MAX(INDEX(PARAMETROS_CULTURAS!$G$6:$G$28,$P757),0.0001),IF($O757&lt;=INDEX(PARAMETROS_CULTURAS!$F$6:$F$28,$P757)+INDEX(PARAMETROS_CULTURAS!$G$6:$G$28,$P757)+INDEX(PARAMETROS_CULTURAS!$H$6:$H$28,$P757),INDEX(PARAMETROS_CULTURAS!$L$6:$L$28,$P757),INDEX(PARAMETROS_CULTURAS!$L$6:$L$28,$P757)+(INDEX(PARAMETROS_CULTURAS!$M$6:$M$28,$P757)-INDEX(PARAMETROS_CULTURAS!$L$6:$L$28,$P757))*($O757-INDEX(PARAMETROS_CULTURAS!$F$6:$F$28,$P757)-INDEX(PARAMETROS_CULTURAS!$G$6:$G$28,$P757)-INDEX(PARAMETROS_CULTURAS!$H$6:$H$28,$P757))/MAX(INDEX(PARAMETROS_CULTURAS!$I$6:$I$28,$P757),0.0001)))))</f>
        <v>0</v>
      </c>
      <c r="S757" s="18" t="n">
        <f aca="false">IFERROR(INDEX(SEMANAS!$H$6:$H$71,MATCH($B757,SEMANAS!$B$6:$B$71,0)),0)</f>
        <v>32.9</v>
      </c>
      <c r="T757" s="18" t="n">
        <f aca="false">$R757*$S757</f>
        <v>0</v>
      </c>
      <c r="U757" s="18" t="n">
        <f aca="false">IFERROR(INDEX(SEMANAS!$I$6:$I$71,MATCH($B757,SEMANAS!$B$6:$B$71,0)),0)</f>
        <v>39.97</v>
      </c>
      <c r="V757" s="18" t="n">
        <f aca="false">IFERROR(INDEX(SEMANAS!$J$6:$J$71,MATCH($B757,SEMANAS!$B$6:$B$71,0)),0)</f>
        <v>31.976</v>
      </c>
      <c r="W757" s="18" t="n">
        <f aca="false">MAX(0,$T757-$V757)</f>
        <v>0</v>
      </c>
      <c r="X757" s="19" t="n">
        <f aca="false">IFERROR(INDEX(CADASTRO_PIVOS!$K$6:$K$41,MATCH($E757,CADASTRO_PIVOS!$B$6:$B$41,0)),EFICIENCIA_PADRAO)</f>
        <v>0.85</v>
      </c>
      <c r="Y757" s="18" t="n">
        <f aca="false">IF($X757&lt;=0,0,$W757/$X757)</f>
        <v>0</v>
      </c>
      <c r="Z757" s="16" t="n">
        <f aca="false">$Y757*$H757*MM_PARA_M3_HA</f>
        <v>0</v>
      </c>
      <c r="AA757" s="18" t="n">
        <f aca="false">IFERROR(INDEX(CADASTRO_PIVOS!$I$6:$I$41,MATCH($E757,CADASTRO_PIVOS!$B$6:$B$41,0)),0)</f>
        <v>928.447619047619</v>
      </c>
      <c r="AB757" s="18" t="n">
        <f aca="false">IF($Z757&lt;=0,0,$Z757/$AA757)</f>
        <v>0</v>
      </c>
      <c r="AC757" s="16" t="n">
        <f aca="false">IFERROR(INDEX(SEMANAS!$K$6:$K$71,MATCH($B757,SEMANAS!$B$6:$B$71,0)),0)</f>
        <v>147</v>
      </c>
      <c r="AD757" s="19" t="n">
        <f aca="false">IF($AC757&lt;=0,0,$AB757/$AC757)</f>
        <v>0</v>
      </c>
      <c r="AE757" s="8" t="str">
        <f aca="false">IF($K757="SEM CULTURA","SEM CULTURA",IF($AA757&lt;=0,"DADO PENDENTE",IF($AD757&gt;LIMITE_CRITICO,"INVIAVEL",IF($AD757&gt;LIMITE_ATENCAO,"CRITICO",IF($AD757&gt;LIMITE_CONFORTAVEL,"ATENCAO","OK")))))</f>
        <v>SEM CULTURA</v>
      </c>
      <c r="AF757" s="8" t="str">
        <f aca="false">$B757&amp;"|"&amp;TEXT($AD757,"0.000000")</f>
        <v>26|0.000000</v>
      </c>
      <c r="AG757" s="18" t="n">
        <f aca="false">IF($K757="SEM CULTURA",0,$T757*$H757)</f>
        <v>0</v>
      </c>
      <c r="AH757" s="18" t="n">
        <f aca="false">IF($K757="SEM CULTURA",0,$V757*$H757)</f>
        <v>0</v>
      </c>
      <c r="AI757" s="18" t="n">
        <f aca="false">IF($K757="SEM CULTURA",0,$W757*$H757)</f>
        <v>0</v>
      </c>
      <c r="AJ757" s="18" t="n">
        <f aca="false">IF($K757="SEM CULTURA",0,$S757*$H757)</f>
        <v>0</v>
      </c>
      <c r="AK757" s="8" t="str">
        <f aca="false">$E757&amp;"|"&amp;TEXT($AD757,"0.000000")</f>
        <v>PV 113|0.000000</v>
      </c>
    </row>
    <row r="758" customFormat="false" ht="15" hidden="false" customHeight="false" outlineLevel="0" collapsed="false">
      <c r="B758" s="16" t="n">
        <v>27</v>
      </c>
      <c r="C758" s="17" t="n">
        <f aca="false">DATA_INICIO_SAFRA+($B758-1)*DIAS_POR_SEMANA</f>
        <v>46447</v>
      </c>
      <c r="D758" s="17" t="n">
        <f aca="false">$C758+DIAS_POR_SEMANA-1</f>
        <v>46453</v>
      </c>
      <c r="E758" s="15" t="s">
        <v>270</v>
      </c>
      <c r="F758" s="8" t="str">
        <f aca="false">IFERROR(INDEX(CADASTRO_PIVOS!$C$6:$C$41,MATCH($E758,CADASTRO_PIVOS!$B$6:$B$41,0)),"?")</f>
        <v>RM05</v>
      </c>
      <c r="G758" s="8" t="str">
        <f aca="false">IFERROR(INDEX(CADASTRO_PIVOS!$D$6:$D$41,MATCH($E758,CADASTRO_PIVOS!$B$6:$B$41,0)),"?")</f>
        <v>TR05</v>
      </c>
      <c r="H758" s="20" t="n">
        <f aca="false">IFERROR(INDEX(CADASTRO_PIVOS!$E$6:$E$41,MATCH($E758,CADASTRO_PIVOS!$B$6:$B$41,0)),0)</f>
        <v>149.98</v>
      </c>
      <c r="I758" s="16" t="n">
        <f aca="false">IFERROR(SUMIFS(ROTACAO_RDM!$B$6:$B$71,ROTACAO_RDM!$D$6:$D$71,$E758,ROTACAO_RDM!$I$6:$I$71,"&lt;="&amp;$C758+INT(DIAS_POR_SEMANA/2),ROTACAO_RDM!$J$6:$J$71,"&gt;="&amp;$C758+INT(DIAS_POR_SEMANA/2)),0)</f>
        <v>0</v>
      </c>
      <c r="J758" s="16" t="n">
        <f aca="false">IFERROR(MATCH($I758,ROTACAO_RDM!$B$6:$B$71,0),0)</f>
        <v>0</v>
      </c>
      <c r="K758" s="8" t="str">
        <f aca="false">IF($J758=0,"SEM CULTURA",INDEX(ROTACAO_RDM!$F$6:$F$71,$J758))</f>
        <v>SEM CULTURA</v>
      </c>
      <c r="L758" s="8" t="str">
        <f aca="false">IF($J758=0,"",INDEX(ROTACAO_RDM!$G$6:$G$71,$J758))</f>
        <v/>
      </c>
      <c r="M758" s="17" t="str">
        <f aca="false">IF($J758=0,"",INDEX(ROTACAO_RDM!$I$6:$I$71,$J758))</f>
        <v/>
      </c>
      <c r="N758" s="16" t="n">
        <f aca="false">IF($J758=0,0,MAX(0,$C758+INT(DIAS_POR_SEMANA/2)-INDEX(ROTACAO_RDM!$I$6:$I$71,$J758)))</f>
        <v>0</v>
      </c>
      <c r="O758" s="19" t="n">
        <f aca="false">IF($J758=0,0,MIN(1,$N758/MAX(1,INDEX(ROTACAO_RDM!$K$6:$K$71,$J758))))</f>
        <v>0</v>
      </c>
      <c r="P758" s="16" t="n">
        <f aca="false">IF($J758=0,0,IFERROR(MATCH(INDEX(ROTACAO_RDM!$N$6:$N$71,$J758),PARAMETROS_CULTURAS!$B$6:$B$28,0),0))</f>
        <v>0</v>
      </c>
      <c r="Q758" s="8" t="str">
        <f aca="false">IF($P758=0,"-",IF($O758&lt;=INDEX(PARAMETROS_CULTURAS!$F$6:$F$28,$P758),"INICIAL",IF($O758&lt;=INDEX(PARAMETROS_CULTURAS!$F$6:$F$28,$P758)+INDEX(PARAMETROS_CULTURAS!$G$6:$G$28,$P758),"DESENVOLVIMENTO",IF($O758&lt;=INDEX(PARAMETROS_CULTURAS!$F$6:$F$28,$P758)+INDEX(PARAMETROS_CULTURAS!$G$6:$G$28,$P758)+INDEX(PARAMETROS_CULTURAS!$H$6:$H$28,$P758),"MEDIA","FINAL"))))</f>
        <v>-</v>
      </c>
      <c r="R758" s="24" t="n">
        <f aca="false">IF($P758=0,0,IF($O758&lt;=INDEX(PARAMETROS_CULTURAS!$F$6:$F$28,$P758),INDEX(PARAMETROS_CULTURAS!$K$6:$K$28,$P758),IF($O758&lt;=INDEX(PARAMETROS_CULTURAS!$F$6:$F$28,$P758)+INDEX(PARAMETROS_CULTURAS!$G$6:$G$28,$P758),INDEX(PARAMETROS_CULTURAS!$K$6:$K$28,$P758)+(INDEX(PARAMETROS_CULTURAS!$L$6:$L$28,$P758)-INDEX(PARAMETROS_CULTURAS!$K$6:$K$28,$P758))*($O758-INDEX(PARAMETROS_CULTURAS!$F$6:$F$28,$P758))/MAX(INDEX(PARAMETROS_CULTURAS!$G$6:$G$28,$P758),0.0001),IF($O758&lt;=INDEX(PARAMETROS_CULTURAS!$F$6:$F$28,$P758)+INDEX(PARAMETROS_CULTURAS!$G$6:$G$28,$P758)+INDEX(PARAMETROS_CULTURAS!$H$6:$H$28,$P758),INDEX(PARAMETROS_CULTURAS!$L$6:$L$28,$P758),INDEX(PARAMETROS_CULTURAS!$L$6:$L$28,$P758)+(INDEX(PARAMETROS_CULTURAS!$M$6:$M$28,$P758)-INDEX(PARAMETROS_CULTURAS!$L$6:$L$28,$P758))*($O758-INDEX(PARAMETROS_CULTURAS!$F$6:$F$28,$P758)-INDEX(PARAMETROS_CULTURAS!$G$6:$G$28,$P758)-INDEX(PARAMETROS_CULTURAS!$H$6:$H$28,$P758))/MAX(INDEX(PARAMETROS_CULTURAS!$I$6:$I$28,$P758),0.0001)))))</f>
        <v>0</v>
      </c>
      <c r="S758" s="18" t="n">
        <f aca="false">IFERROR(INDEX(SEMANAS!$H$6:$H$71,MATCH($B758,SEMANAS!$B$6:$B$71,0)),0)</f>
        <v>32.2</v>
      </c>
      <c r="T758" s="18" t="n">
        <f aca="false">$R758*$S758</f>
        <v>0</v>
      </c>
      <c r="U758" s="18" t="n">
        <f aca="false">IFERROR(INDEX(SEMANAS!$I$6:$I$71,MATCH($B758,SEMANAS!$B$6:$B$71,0)),0)</f>
        <v>37.24</v>
      </c>
      <c r="V758" s="18" t="n">
        <f aca="false">IFERROR(INDEX(SEMANAS!$J$6:$J$71,MATCH($B758,SEMANAS!$B$6:$B$71,0)),0)</f>
        <v>29.792</v>
      </c>
      <c r="W758" s="18" t="n">
        <f aca="false">MAX(0,$T758-$V758)</f>
        <v>0</v>
      </c>
      <c r="X758" s="19" t="n">
        <f aca="false">IFERROR(INDEX(CADASTRO_PIVOS!$K$6:$K$41,MATCH($E758,CADASTRO_PIVOS!$B$6:$B$41,0)),EFICIENCIA_PADRAO)</f>
        <v>0.85</v>
      </c>
      <c r="Y758" s="18" t="n">
        <f aca="false">IF($X758&lt;=0,0,$W758/$X758)</f>
        <v>0</v>
      </c>
      <c r="Z758" s="16" t="n">
        <f aca="false">$Y758*$H758*MM_PARA_M3_HA</f>
        <v>0</v>
      </c>
      <c r="AA758" s="18" t="n">
        <f aca="false">IFERROR(INDEX(CADASTRO_PIVOS!$I$6:$I$41,MATCH($E758,CADASTRO_PIVOS!$B$6:$B$41,0)),0)</f>
        <v>928.447619047619</v>
      </c>
      <c r="AB758" s="18" t="n">
        <f aca="false">IF($Z758&lt;=0,0,$Z758/$AA758)</f>
        <v>0</v>
      </c>
      <c r="AC758" s="16" t="n">
        <f aca="false">IFERROR(INDEX(SEMANAS!$K$6:$K$71,MATCH($B758,SEMANAS!$B$6:$B$71,0)),0)</f>
        <v>147</v>
      </c>
      <c r="AD758" s="19" t="n">
        <f aca="false">IF($AC758&lt;=0,0,$AB758/$AC758)</f>
        <v>0</v>
      </c>
      <c r="AE758" s="8" t="str">
        <f aca="false">IF($K758="SEM CULTURA","SEM CULTURA",IF($AA758&lt;=0,"DADO PENDENTE",IF($AD758&gt;LIMITE_CRITICO,"INVIAVEL",IF($AD758&gt;LIMITE_ATENCAO,"CRITICO",IF($AD758&gt;LIMITE_CONFORTAVEL,"ATENCAO","OK")))))</f>
        <v>SEM CULTURA</v>
      </c>
      <c r="AF758" s="8" t="str">
        <f aca="false">$B758&amp;"|"&amp;TEXT($AD758,"0.000000")</f>
        <v>27|0.000000</v>
      </c>
      <c r="AG758" s="18" t="n">
        <f aca="false">IF($K758="SEM CULTURA",0,$T758*$H758)</f>
        <v>0</v>
      </c>
      <c r="AH758" s="18" t="n">
        <f aca="false">IF($K758="SEM CULTURA",0,$V758*$H758)</f>
        <v>0</v>
      </c>
      <c r="AI758" s="18" t="n">
        <f aca="false">IF($K758="SEM CULTURA",0,$W758*$H758)</f>
        <v>0</v>
      </c>
      <c r="AJ758" s="18" t="n">
        <f aca="false">IF($K758="SEM CULTURA",0,$S758*$H758)</f>
        <v>0</v>
      </c>
      <c r="AK758" s="8" t="str">
        <f aca="false">$E758&amp;"|"&amp;TEXT($AD758,"0.000000")</f>
        <v>PV 113|0.000000</v>
      </c>
    </row>
    <row r="759" customFormat="false" ht="15" hidden="false" customHeight="false" outlineLevel="0" collapsed="false">
      <c r="B759" s="16" t="n">
        <v>28</v>
      </c>
      <c r="C759" s="17" t="n">
        <f aca="false">DATA_INICIO_SAFRA+($B759-1)*DIAS_POR_SEMANA</f>
        <v>46454</v>
      </c>
      <c r="D759" s="17" t="n">
        <f aca="false">$C759+DIAS_POR_SEMANA-1</f>
        <v>46460</v>
      </c>
      <c r="E759" s="15" t="s">
        <v>270</v>
      </c>
      <c r="F759" s="8" t="str">
        <f aca="false">IFERROR(INDEX(CADASTRO_PIVOS!$C$6:$C$41,MATCH($E759,CADASTRO_PIVOS!$B$6:$B$41,0)),"?")</f>
        <v>RM05</v>
      </c>
      <c r="G759" s="8" t="str">
        <f aca="false">IFERROR(INDEX(CADASTRO_PIVOS!$D$6:$D$41,MATCH($E759,CADASTRO_PIVOS!$B$6:$B$41,0)),"?")</f>
        <v>TR05</v>
      </c>
      <c r="H759" s="20" t="n">
        <f aca="false">IFERROR(INDEX(CADASTRO_PIVOS!$E$6:$E$41,MATCH($E759,CADASTRO_PIVOS!$B$6:$B$41,0)),0)</f>
        <v>149.98</v>
      </c>
      <c r="I759" s="16" t="n">
        <f aca="false">IFERROR(SUMIFS(ROTACAO_RDM!$B$6:$B$71,ROTACAO_RDM!$D$6:$D$71,$E759,ROTACAO_RDM!$I$6:$I$71,"&lt;="&amp;$C759+INT(DIAS_POR_SEMANA/2),ROTACAO_RDM!$J$6:$J$71,"&gt;="&amp;$C759+INT(DIAS_POR_SEMANA/2)),0)</f>
        <v>0</v>
      </c>
      <c r="J759" s="16" t="n">
        <f aca="false">IFERROR(MATCH($I759,ROTACAO_RDM!$B$6:$B$71,0),0)</f>
        <v>0</v>
      </c>
      <c r="K759" s="8" t="str">
        <f aca="false">IF($J759=0,"SEM CULTURA",INDEX(ROTACAO_RDM!$F$6:$F$71,$J759))</f>
        <v>SEM CULTURA</v>
      </c>
      <c r="L759" s="8" t="str">
        <f aca="false">IF($J759=0,"",INDEX(ROTACAO_RDM!$G$6:$G$71,$J759))</f>
        <v/>
      </c>
      <c r="M759" s="17" t="str">
        <f aca="false">IF($J759=0,"",INDEX(ROTACAO_RDM!$I$6:$I$71,$J759))</f>
        <v/>
      </c>
      <c r="N759" s="16" t="n">
        <f aca="false">IF($J759=0,0,MAX(0,$C759+INT(DIAS_POR_SEMANA/2)-INDEX(ROTACAO_RDM!$I$6:$I$71,$J759)))</f>
        <v>0</v>
      </c>
      <c r="O759" s="19" t="n">
        <f aca="false">IF($J759=0,0,MIN(1,$N759/MAX(1,INDEX(ROTACAO_RDM!$K$6:$K$71,$J759))))</f>
        <v>0</v>
      </c>
      <c r="P759" s="16" t="n">
        <f aca="false">IF($J759=0,0,IFERROR(MATCH(INDEX(ROTACAO_RDM!$N$6:$N$71,$J759),PARAMETROS_CULTURAS!$B$6:$B$28,0),0))</f>
        <v>0</v>
      </c>
      <c r="Q759" s="8" t="str">
        <f aca="false">IF($P759=0,"-",IF($O759&lt;=INDEX(PARAMETROS_CULTURAS!$F$6:$F$28,$P759),"INICIAL",IF($O759&lt;=INDEX(PARAMETROS_CULTURAS!$F$6:$F$28,$P759)+INDEX(PARAMETROS_CULTURAS!$G$6:$G$28,$P759),"DESENVOLVIMENTO",IF($O759&lt;=INDEX(PARAMETROS_CULTURAS!$F$6:$F$28,$P759)+INDEX(PARAMETROS_CULTURAS!$G$6:$G$28,$P759)+INDEX(PARAMETROS_CULTURAS!$H$6:$H$28,$P759),"MEDIA","FINAL"))))</f>
        <v>-</v>
      </c>
      <c r="R759" s="24" t="n">
        <f aca="false">IF($P759=0,0,IF($O759&lt;=INDEX(PARAMETROS_CULTURAS!$F$6:$F$28,$P759),INDEX(PARAMETROS_CULTURAS!$K$6:$K$28,$P759),IF($O759&lt;=INDEX(PARAMETROS_CULTURAS!$F$6:$F$28,$P759)+INDEX(PARAMETROS_CULTURAS!$G$6:$G$28,$P759),INDEX(PARAMETROS_CULTURAS!$K$6:$K$28,$P759)+(INDEX(PARAMETROS_CULTURAS!$L$6:$L$28,$P759)-INDEX(PARAMETROS_CULTURAS!$K$6:$K$28,$P759))*($O759-INDEX(PARAMETROS_CULTURAS!$F$6:$F$28,$P759))/MAX(INDEX(PARAMETROS_CULTURAS!$G$6:$G$28,$P759),0.0001),IF($O759&lt;=INDEX(PARAMETROS_CULTURAS!$F$6:$F$28,$P759)+INDEX(PARAMETROS_CULTURAS!$G$6:$G$28,$P759)+INDEX(PARAMETROS_CULTURAS!$H$6:$H$28,$P759),INDEX(PARAMETROS_CULTURAS!$L$6:$L$28,$P759),INDEX(PARAMETROS_CULTURAS!$L$6:$L$28,$P759)+(INDEX(PARAMETROS_CULTURAS!$M$6:$M$28,$P759)-INDEX(PARAMETROS_CULTURAS!$L$6:$L$28,$P759))*($O759-INDEX(PARAMETROS_CULTURAS!$F$6:$F$28,$P759)-INDEX(PARAMETROS_CULTURAS!$G$6:$G$28,$P759)-INDEX(PARAMETROS_CULTURAS!$H$6:$H$28,$P759))/MAX(INDEX(PARAMETROS_CULTURAS!$I$6:$I$28,$P759),0.0001)))))</f>
        <v>0</v>
      </c>
      <c r="S759" s="18" t="n">
        <f aca="false">IFERROR(INDEX(SEMANAS!$H$6:$H$71,MATCH($B759,SEMANAS!$B$6:$B$71,0)),0)</f>
        <v>32.2</v>
      </c>
      <c r="T759" s="18" t="n">
        <f aca="false">$R759*$S759</f>
        <v>0</v>
      </c>
      <c r="U759" s="18" t="n">
        <f aca="false">IFERROR(INDEX(SEMANAS!$I$6:$I$71,MATCH($B759,SEMANAS!$B$6:$B$71,0)),0)</f>
        <v>37.24</v>
      </c>
      <c r="V759" s="18" t="n">
        <f aca="false">IFERROR(INDEX(SEMANAS!$J$6:$J$71,MATCH($B759,SEMANAS!$B$6:$B$71,0)),0)</f>
        <v>29.792</v>
      </c>
      <c r="W759" s="18" t="n">
        <f aca="false">MAX(0,$T759-$V759)</f>
        <v>0</v>
      </c>
      <c r="X759" s="19" t="n">
        <f aca="false">IFERROR(INDEX(CADASTRO_PIVOS!$K$6:$K$41,MATCH($E759,CADASTRO_PIVOS!$B$6:$B$41,0)),EFICIENCIA_PADRAO)</f>
        <v>0.85</v>
      </c>
      <c r="Y759" s="18" t="n">
        <f aca="false">IF($X759&lt;=0,0,$W759/$X759)</f>
        <v>0</v>
      </c>
      <c r="Z759" s="16" t="n">
        <f aca="false">$Y759*$H759*MM_PARA_M3_HA</f>
        <v>0</v>
      </c>
      <c r="AA759" s="18" t="n">
        <f aca="false">IFERROR(INDEX(CADASTRO_PIVOS!$I$6:$I$41,MATCH($E759,CADASTRO_PIVOS!$B$6:$B$41,0)),0)</f>
        <v>928.447619047619</v>
      </c>
      <c r="AB759" s="18" t="n">
        <f aca="false">IF($Z759&lt;=0,0,$Z759/$AA759)</f>
        <v>0</v>
      </c>
      <c r="AC759" s="16" t="n">
        <f aca="false">IFERROR(INDEX(SEMANAS!$K$6:$K$71,MATCH($B759,SEMANAS!$B$6:$B$71,0)),0)</f>
        <v>147</v>
      </c>
      <c r="AD759" s="19" t="n">
        <f aca="false">IF($AC759&lt;=0,0,$AB759/$AC759)</f>
        <v>0</v>
      </c>
      <c r="AE759" s="8" t="str">
        <f aca="false">IF($K759="SEM CULTURA","SEM CULTURA",IF($AA759&lt;=0,"DADO PENDENTE",IF($AD759&gt;LIMITE_CRITICO,"INVIAVEL",IF($AD759&gt;LIMITE_ATENCAO,"CRITICO",IF($AD759&gt;LIMITE_CONFORTAVEL,"ATENCAO","OK")))))</f>
        <v>SEM CULTURA</v>
      </c>
      <c r="AF759" s="8" t="str">
        <f aca="false">$B759&amp;"|"&amp;TEXT($AD759,"0.000000")</f>
        <v>28|0.000000</v>
      </c>
      <c r="AG759" s="18" t="n">
        <f aca="false">IF($K759="SEM CULTURA",0,$T759*$H759)</f>
        <v>0</v>
      </c>
      <c r="AH759" s="18" t="n">
        <f aca="false">IF($K759="SEM CULTURA",0,$V759*$H759)</f>
        <v>0</v>
      </c>
      <c r="AI759" s="18" t="n">
        <f aca="false">IF($K759="SEM CULTURA",0,$W759*$H759)</f>
        <v>0</v>
      </c>
      <c r="AJ759" s="18" t="n">
        <f aca="false">IF($K759="SEM CULTURA",0,$S759*$H759)</f>
        <v>0</v>
      </c>
      <c r="AK759" s="8" t="str">
        <f aca="false">$E759&amp;"|"&amp;TEXT($AD759,"0.000000")</f>
        <v>PV 113|0.000000</v>
      </c>
    </row>
    <row r="760" customFormat="false" ht="15" hidden="false" customHeight="false" outlineLevel="0" collapsed="false">
      <c r="B760" s="16" t="n">
        <v>29</v>
      </c>
      <c r="C760" s="17" t="n">
        <f aca="false">DATA_INICIO_SAFRA+($B760-1)*DIAS_POR_SEMANA</f>
        <v>46461</v>
      </c>
      <c r="D760" s="17" t="n">
        <f aca="false">$C760+DIAS_POR_SEMANA-1</f>
        <v>46467</v>
      </c>
      <c r="E760" s="15" t="s">
        <v>270</v>
      </c>
      <c r="F760" s="8" t="str">
        <f aca="false">IFERROR(INDEX(CADASTRO_PIVOS!$C$6:$C$41,MATCH($E760,CADASTRO_PIVOS!$B$6:$B$41,0)),"?")</f>
        <v>RM05</v>
      </c>
      <c r="G760" s="8" t="str">
        <f aca="false">IFERROR(INDEX(CADASTRO_PIVOS!$D$6:$D$41,MATCH($E760,CADASTRO_PIVOS!$B$6:$B$41,0)),"?")</f>
        <v>TR05</v>
      </c>
      <c r="H760" s="20" t="n">
        <f aca="false">IFERROR(INDEX(CADASTRO_PIVOS!$E$6:$E$41,MATCH($E760,CADASTRO_PIVOS!$B$6:$B$41,0)),0)</f>
        <v>149.98</v>
      </c>
      <c r="I760" s="16" t="n">
        <f aca="false">IFERROR(SUMIFS(ROTACAO_RDM!$B$6:$B$71,ROTACAO_RDM!$D$6:$D$71,$E760,ROTACAO_RDM!$I$6:$I$71,"&lt;="&amp;$C760+INT(DIAS_POR_SEMANA/2),ROTACAO_RDM!$J$6:$J$71,"&gt;="&amp;$C760+INT(DIAS_POR_SEMANA/2)),0)</f>
        <v>0</v>
      </c>
      <c r="J760" s="16" t="n">
        <f aca="false">IFERROR(MATCH($I760,ROTACAO_RDM!$B$6:$B$71,0),0)</f>
        <v>0</v>
      </c>
      <c r="K760" s="8" t="str">
        <f aca="false">IF($J760=0,"SEM CULTURA",INDEX(ROTACAO_RDM!$F$6:$F$71,$J760))</f>
        <v>SEM CULTURA</v>
      </c>
      <c r="L760" s="8" t="str">
        <f aca="false">IF($J760=0,"",INDEX(ROTACAO_RDM!$G$6:$G$71,$J760))</f>
        <v/>
      </c>
      <c r="M760" s="17" t="str">
        <f aca="false">IF($J760=0,"",INDEX(ROTACAO_RDM!$I$6:$I$71,$J760))</f>
        <v/>
      </c>
      <c r="N760" s="16" t="n">
        <f aca="false">IF($J760=0,0,MAX(0,$C760+INT(DIAS_POR_SEMANA/2)-INDEX(ROTACAO_RDM!$I$6:$I$71,$J760)))</f>
        <v>0</v>
      </c>
      <c r="O760" s="19" t="n">
        <f aca="false">IF($J760=0,0,MIN(1,$N760/MAX(1,INDEX(ROTACAO_RDM!$K$6:$K$71,$J760))))</f>
        <v>0</v>
      </c>
      <c r="P760" s="16" t="n">
        <f aca="false">IF($J760=0,0,IFERROR(MATCH(INDEX(ROTACAO_RDM!$N$6:$N$71,$J760),PARAMETROS_CULTURAS!$B$6:$B$28,0),0))</f>
        <v>0</v>
      </c>
      <c r="Q760" s="8" t="str">
        <f aca="false">IF($P760=0,"-",IF($O760&lt;=INDEX(PARAMETROS_CULTURAS!$F$6:$F$28,$P760),"INICIAL",IF($O760&lt;=INDEX(PARAMETROS_CULTURAS!$F$6:$F$28,$P760)+INDEX(PARAMETROS_CULTURAS!$G$6:$G$28,$P760),"DESENVOLVIMENTO",IF($O760&lt;=INDEX(PARAMETROS_CULTURAS!$F$6:$F$28,$P760)+INDEX(PARAMETROS_CULTURAS!$G$6:$G$28,$P760)+INDEX(PARAMETROS_CULTURAS!$H$6:$H$28,$P760),"MEDIA","FINAL"))))</f>
        <v>-</v>
      </c>
      <c r="R760" s="24" t="n">
        <f aca="false">IF($P760=0,0,IF($O760&lt;=INDEX(PARAMETROS_CULTURAS!$F$6:$F$28,$P760),INDEX(PARAMETROS_CULTURAS!$K$6:$K$28,$P760),IF($O760&lt;=INDEX(PARAMETROS_CULTURAS!$F$6:$F$28,$P760)+INDEX(PARAMETROS_CULTURAS!$G$6:$G$28,$P760),INDEX(PARAMETROS_CULTURAS!$K$6:$K$28,$P760)+(INDEX(PARAMETROS_CULTURAS!$L$6:$L$28,$P760)-INDEX(PARAMETROS_CULTURAS!$K$6:$K$28,$P760))*($O760-INDEX(PARAMETROS_CULTURAS!$F$6:$F$28,$P760))/MAX(INDEX(PARAMETROS_CULTURAS!$G$6:$G$28,$P760),0.0001),IF($O760&lt;=INDEX(PARAMETROS_CULTURAS!$F$6:$F$28,$P760)+INDEX(PARAMETROS_CULTURAS!$G$6:$G$28,$P760)+INDEX(PARAMETROS_CULTURAS!$H$6:$H$28,$P760),INDEX(PARAMETROS_CULTURAS!$L$6:$L$28,$P760),INDEX(PARAMETROS_CULTURAS!$L$6:$L$28,$P760)+(INDEX(PARAMETROS_CULTURAS!$M$6:$M$28,$P760)-INDEX(PARAMETROS_CULTURAS!$L$6:$L$28,$P760))*($O760-INDEX(PARAMETROS_CULTURAS!$F$6:$F$28,$P760)-INDEX(PARAMETROS_CULTURAS!$G$6:$G$28,$P760)-INDEX(PARAMETROS_CULTURAS!$H$6:$H$28,$P760))/MAX(INDEX(PARAMETROS_CULTURAS!$I$6:$I$28,$P760),0.0001)))))</f>
        <v>0</v>
      </c>
      <c r="S760" s="18" t="n">
        <f aca="false">IFERROR(INDEX(SEMANAS!$H$6:$H$71,MATCH($B760,SEMANAS!$B$6:$B$71,0)),0)</f>
        <v>32.2</v>
      </c>
      <c r="T760" s="18" t="n">
        <f aca="false">$R760*$S760</f>
        <v>0</v>
      </c>
      <c r="U760" s="18" t="n">
        <f aca="false">IFERROR(INDEX(SEMANAS!$I$6:$I$71,MATCH($B760,SEMANAS!$B$6:$B$71,0)),0)</f>
        <v>37.24</v>
      </c>
      <c r="V760" s="18" t="n">
        <f aca="false">IFERROR(INDEX(SEMANAS!$J$6:$J$71,MATCH($B760,SEMANAS!$B$6:$B$71,0)),0)</f>
        <v>29.792</v>
      </c>
      <c r="W760" s="18" t="n">
        <f aca="false">MAX(0,$T760-$V760)</f>
        <v>0</v>
      </c>
      <c r="X760" s="19" t="n">
        <f aca="false">IFERROR(INDEX(CADASTRO_PIVOS!$K$6:$K$41,MATCH($E760,CADASTRO_PIVOS!$B$6:$B$41,0)),EFICIENCIA_PADRAO)</f>
        <v>0.85</v>
      </c>
      <c r="Y760" s="18" t="n">
        <f aca="false">IF($X760&lt;=0,0,$W760/$X760)</f>
        <v>0</v>
      </c>
      <c r="Z760" s="16" t="n">
        <f aca="false">$Y760*$H760*MM_PARA_M3_HA</f>
        <v>0</v>
      </c>
      <c r="AA760" s="18" t="n">
        <f aca="false">IFERROR(INDEX(CADASTRO_PIVOS!$I$6:$I$41,MATCH($E760,CADASTRO_PIVOS!$B$6:$B$41,0)),0)</f>
        <v>928.447619047619</v>
      </c>
      <c r="AB760" s="18" t="n">
        <f aca="false">IF($Z760&lt;=0,0,$Z760/$AA760)</f>
        <v>0</v>
      </c>
      <c r="AC760" s="16" t="n">
        <f aca="false">IFERROR(INDEX(SEMANAS!$K$6:$K$71,MATCH($B760,SEMANAS!$B$6:$B$71,0)),0)</f>
        <v>147</v>
      </c>
      <c r="AD760" s="19" t="n">
        <f aca="false">IF($AC760&lt;=0,0,$AB760/$AC760)</f>
        <v>0</v>
      </c>
      <c r="AE760" s="8" t="str">
        <f aca="false">IF($K760="SEM CULTURA","SEM CULTURA",IF($AA760&lt;=0,"DADO PENDENTE",IF($AD760&gt;LIMITE_CRITICO,"INVIAVEL",IF($AD760&gt;LIMITE_ATENCAO,"CRITICO",IF($AD760&gt;LIMITE_CONFORTAVEL,"ATENCAO","OK")))))</f>
        <v>SEM CULTURA</v>
      </c>
      <c r="AF760" s="8" t="str">
        <f aca="false">$B760&amp;"|"&amp;TEXT($AD760,"0.000000")</f>
        <v>29|0.000000</v>
      </c>
      <c r="AG760" s="18" t="n">
        <f aca="false">IF($K760="SEM CULTURA",0,$T760*$H760)</f>
        <v>0</v>
      </c>
      <c r="AH760" s="18" t="n">
        <f aca="false">IF($K760="SEM CULTURA",0,$V760*$H760)</f>
        <v>0</v>
      </c>
      <c r="AI760" s="18" t="n">
        <f aca="false">IF($K760="SEM CULTURA",0,$W760*$H760)</f>
        <v>0</v>
      </c>
      <c r="AJ760" s="18" t="n">
        <f aca="false">IF($K760="SEM CULTURA",0,$S760*$H760)</f>
        <v>0</v>
      </c>
      <c r="AK760" s="8" t="str">
        <f aca="false">$E760&amp;"|"&amp;TEXT($AD760,"0.000000")</f>
        <v>PV 113|0.000000</v>
      </c>
    </row>
    <row r="761" customFormat="false" ht="15" hidden="false" customHeight="false" outlineLevel="0" collapsed="false">
      <c r="B761" s="16" t="n">
        <v>30</v>
      </c>
      <c r="C761" s="17" t="n">
        <f aca="false">DATA_INICIO_SAFRA+($B761-1)*DIAS_POR_SEMANA</f>
        <v>46468</v>
      </c>
      <c r="D761" s="17" t="n">
        <f aca="false">$C761+DIAS_POR_SEMANA-1</f>
        <v>46474</v>
      </c>
      <c r="E761" s="15" t="s">
        <v>270</v>
      </c>
      <c r="F761" s="8" t="str">
        <f aca="false">IFERROR(INDEX(CADASTRO_PIVOS!$C$6:$C$41,MATCH($E761,CADASTRO_PIVOS!$B$6:$B$41,0)),"?")</f>
        <v>RM05</v>
      </c>
      <c r="G761" s="8" t="str">
        <f aca="false">IFERROR(INDEX(CADASTRO_PIVOS!$D$6:$D$41,MATCH($E761,CADASTRO_PIVOS!$B$6:$B$41,0)),"?")</f>
        <v>TR05</v>
      </c>
      <c r="H761" s="20" t="n">
        <f aca="false">IFERROR(INDEX(CADASTRO_PIVOS!$E$6:$E$41,MATCH($E761,CADASTRO_PIVOS!$B$6:$B$41,0)),0)</f>
        <v>149.98</v>
      </c>
      <c r="I761" s="16" t="n">
        <f aca="false">IFERROR(SUMIFS(ROTACAO_RDM!$B$6:$B$71,ROTACAO_RDM!$D$6:$D$71,$E761,ROTACAO_RDM!$I$6:$I$71,"&lt;="&amp;$C761+INT(DIAS_POR_SEMANA/2),ROTACAO_RDM!$J$6:$J$71,"&gt;="&amp;$C761+INT(DIAS_POR_SEMANA/2)),0)</f>
        <v>0</v>
      </c>
      <c r="J761" s="16" t="n">
        <f aca="false">IFERROR(MATCH($I761,ROTACAO_RDM!$B$6:$B$71,0),0)</f>
        <v>0</v>
      </c>
      <c r="K761" s="8" t="str">
        <f aca="false">IF($J761=0,"SEM CULTURA",INDEX(ROTACAO_RDM!$F$6:$F$71,$J761))</f>
        <v>SEM CULTURA</v>
      </c>
      <c r="L761" s="8" t="str">
        <f aca="false">IF($J761=0,"",INDEX(ROTACAO_RDM!$G$6:$G$71,$J761))</f>
        <v/>
      </c>
      <c r="M761" s="17" t="str">
        <f aca="false">IF($J761=0,"",INDEX(ROTACAO_RDM!$I$6:$I$71,$J761))</f>
        <v/>
      </c>
      <c r="N761" s="16" t="n">
        <f aca="false">IF($J761=0,0,MAX(0,$C761+INT(DIAS_POR_SEMANA/2)-INDEX(ROTACAO_RDM!$I$6:$I$71,$J761)))</f>
        <v>0</v>
      </c>
      <c r="O761" s="19" t="n">
        <f aca="false">IF($J761=0,0,MIN(1,$N761/MAX(1,INDEX(ROTACAO_RDM!$K$6:$K$71,$J761))))</f>
        <v>0</v>
      </c>
      <c r="P761" s="16" t="n">
        <f aca="false">IF($J761=0,0,IFERROR(MATCH(INDEX(ROTACAO_RDM!$N$6:$N$71,$J761),PARAMETROS_CULTURAS!$B$6:$B$28,0),0))</f>
        <v>0</v>
      </c>
      <c r="Q761" s="8" t="str">
        <f aca="false">IF($P761=0,"-",IF($O761&lt;=INDEX(PARAMETROS_CULTURAS!$F$6:$F$28,$P761),"INICIAL",IF($O761&lt;=INDEX(PARAMETROS_CULTURAS!$F$6:$F$28,$P761)+INDEX(PARAMETROS_CULTURAS!$G$6:$G$28,$P761),"DESENVOLVIMENTO",IF($O761&lt;=INDEX(PARAMETROS_CULTURAS!$F$6:$F$28,$P761)+INDEX(PARAMETROS_CULTURAS!$G$6:$G$28,$P761)+INDEX(PARAMETROS_CULTURAS!$H$6:$H$28,$P761),"MEDIA","FINAL"))))</f>
        <v>-</v>
      </c>
      <c r="R761" s="24" t="n">
        <f aca="false">IF($P761=0,0,IF($O761&lt;=INDEX(PARAMETROS_CULTURAS!$F$6:$F$28,$P761),INDEX(PARAMETROS_CULTURAS!$K$6:$K$28,$P761),IF($O761&lt;=INDEX(PARAMETROS_CULTURAS!$F$6:$F$28,$P761)+INDEX(PARAMETROS_CULTURAS!$G$6:$G$28,$P761),INDEX(PARAMETROS_CULTURAS!$K$6:$K$28,$P761)+(INDEX(PARAMETROS_CULTURAS!$L$6:$L$28,$P761)-INDEX(PARAMETROS_CULTURAS!$K$6:$K$28,$P761))*($O761-INDEX(PARAMETROS_CULTURAS!$F$6:$F$28,$P761))/MAX(INDEX(PARAMETROS_CULTURAS!$G$6:$G$28,$P761),0.0001),IF($O761&lt;=INDEX(PARAMETROS_CULTURAS!$F$6:$F$28,$P761)+INDEX(PARAMETROS_CULTURAS!$G$6:$G$28,$P761)+INDEX(PARAMETROS_CULTURAS!$H$6:$H$28,$P761),INDEX(PARAMETROS_CULTURAS!$L$6:$L$28,$P761),INDEX(PARAMETROS_CULTURAS!$L$6:$L$28,$P761)+(INDEX(PARAMETROS_CULTURAS!$M$6:$M$28,$P761)-INDEX(PARAMETROS_CULTURAS!$L$6:$L$28,$P761))*($O761-INDEX(PARAMETROS_CULTURAS!$F$6:$F$28,$P761)-INDEX(PARAMETROS_CULTURAS!$G$6:$G$28,$P761)-INDEX(PARAMETROS_CULTURAS!$H$6:$H$28,$P761))/MAX(INDEX(PARAMETROS_CULTURAS!$I$6:$I$28,$P761),0.0001)))))</f>
        <v>0</v>
      </c>
      <c r="S761" s="18" t="n">
        <f aca="false">IFERROR(INDEX(SEMANAS!$H$6:$H$71,MATCH($B761,SEMANAS!$B$6:$B$71,0)),0)</f>
        <v>32.2</v>
      </c>
      <c r="T761" s="18" t="n">
        <f aca="false">$R761*$S761</f>
        <v>0</v>
      </c>
      <c r="U761" s="18" t="n">
        <f aca="false">IFERROR(INDEX(SEMANAS!$I$6:$I$71,MATCH($B761,SEMANAS!$B$6:$B$71,0)),0)</f>
        <v>37.24</v>
      </c>
      <c r="V761" s="18" t="n">
        <f aca="false">IFERROR(INDEX(SEMANAS!$J$6:$J$71,MATCH($B761,SEMANAS!$B$6:$B$71,0)),0)</f>
        <v>29.792</v>
      </c>
      <c r="W761" s="18" t="n">
        <f aca="false">MAX(0,$T761-$V761)</f>
        <v>0</v>
      </c>
      <c r="X761" s="19" t="n">
        <f aca="false">IFERROR(INDEX(CADASTRO_PIVOS!$K$6:$K$41,MATCH($E761,CADASTRO_PIVOS!$B$6:$B$41,0)),EFICIENCIA_PADRAO)</f>
        <v>0.85</v>
      </c>
      <c r="Y761" s="18" t="n">
        <f aca="false">IF($X761&lt;=0,0,$W761/$X761)</f>
        <v>0</v>
      </c>
      <c r="Z761" s="16" t="n">
        <f aca="false">$Y761*$H761*MM_PARA_M3_HA</f>
        <v>0</v>
      </c>
      <c r="AA761" s="18" t="n">
        <f aca="false">IFERROR(INDEX(CADASTRO_PIVOS!$I$6:$I$41,MATCH($E761,CADASTRO_PIVOS!$B$6:$B$41,0)),0)</f>
        <v>928.447619047619</v>
      </c>
      <c r="AB761" s="18" t="n">
        <f aca="false">IF($Z761&lt;=0,0,$Z761/$AA761)</f>
        <v>0</v>
      </c>
      <c r="AC761" s="16" t="n">
        <f aca="false">IFERROR(INDEX(SEMANAS!$K$6:$K$71,MATCH($B761,SEMANAS!$B$6:$B$71,0)),0)</f>
        <v>147</v>
      </c>
      <c r="AD761" s="19" t="n">
        <f aca="false">IF($AC761&lt;=0,0,$AB761/$AC761)</f>
        <v>0</v>
      </c>
      <c r="AE761" s="8" t="str">
        <f aca="false">IF($K761="SEM CULTURA","SEM CULTURA",IF($AA761&lt;=0,"DADO PENDENTE",IF($AD761&gt;LIMITE_CRITICO,"INVIAVEL",IF($AD761&gt;LIMITE_ATENCAO,"CRITICO",IF($AD761&gt;LIMITE_CONFORTAVEL,"ATENCAO","OK")))))</f>
        <v>SEM CULTURA</v>
      </c>
      <c r="AF761" s="8" t="str">
        <f aca="false">$B761&amp;"|"&amp;TEXT($AD761,"0.000000")</f>
        <v>30|0.000000</v>
      </c>
      <c r="AG761" s="18" t="n">
        <f aca="false">IF($K761="SEM CULTURA",0,$T761*$H761)</f>
        <v>0</v>
      </c>
      <c r="AH761" s="18" t="n">
        <f aca="false">IF($K761="SEM CULTURA",0,$V761*$H761)</f>
        <v>0</v>
      </c>
      <c r="AI761" s="18" t="n">
        <f aca="false">IF($K761="SEM CULTURA",0,$W761*$H761)</f>
        <v>0</v>
      </c>
      <c r="AJ761" s="18" t="n">
        <f aca="false">IF($K761="SEM CULTURA",0,$S761*$H761)</f>
        <v>0</v>
      </c>
      <c r="AK761" s="8" t="str">
        <f aca="false">$E761&amp;"|"&amp;TEXT($AD761,"0.000000")</f>
        <v>PV 113|0.000000</v>
      </c>
    </row>
    <row r="762" customFormat="false" ht="15" hidden="false" customHeight="false" outlineLevel="0" collapsed="false">
      <c r="B762" s="16" t="n">
        <v>31</v>
      </c>
      <c r="C762" s="17" t="n">
        <f aca="false">DATA_INICIO_SAFRA+($B762-1)*DIAS_POR_SEMANA</f>
        <v>46475</v>
      </c>
      <c r="D762" s="17" t="n">
        <f aca="false">$C762+DIAS_POR_SEMANA-1</f>
        <v>46481</v>
      </c>
      <c r="E762" s="15" t="s">
        <v>270</v>
      </c>
      <c r="F762" s="8" t="str">
        <f aca="false">IFERROR(INDEX(CADASTRO_PIVOS!$C$6:$C$41,MATCH($E762,CADASTRO_PIVOS!$B$6:$B$41,0)),"?")</f>
        <v>RM05</v>
      </c>
      <c r="G762" s="8" t="str">
        <f aca="false">IFERROR(INDEX(CADASTRO_PIVOS!$D$6:$D$41,MATCH($E762,CADASTRO_PIVOS!$B$6:$B$41,0)),"?")</f>
        <v>TR05</v>
      </c>
      <c r="H762" s="20" t="n">
        <f aca="false">IFERROR(INDEX(CADASTRO_PIVOS!$E$6:$E$41,MATCH($E762,CADASTRO_PIVOS!$B$6:$B$41,0)),0)</f>
        <v>149.98</v>
      </c>
      <c r="I762" s="16" t="n">
        <f aca="false">IFERROR(SUMIFS(ROTACAO_RDM!$B$6:$B$71,ROTACAO_RDM!$D$6:$D$71,$E762,ROTACAO_RDM!$I$6:$I$71,"&lt;="&amp;$C762+INT(DIAS_POR_SEMANA/2),ROTACAO_RDM!$J$6:$J$71,"&gt;="&amp;$C762+INT(DIAS_POR_SEMANA/2)),0)</f>
        <v>0</v>
      </c>
      <c r="J762" s="16" t="n">
        <f aca="false">IFERROR(MATCH($I762,ROTACAO_RDM!$B$6:$B$71,0),0)</f>
        <v>0</v>
      </c>
      <c r="K762" s="8" t="str">
        <f aca="false">IF($J762=0,"SEM CULTURA",INDEX(ROTACAO_RDM!$F$6:$F$71,$J762))</f>
        <v>SEM CULTURA</v>
      </c>
      <c r="L762" s="8" t="str">
        <f aca="false">IF($J762=0,"",INDEX(ROTACAO_RDM!$G$6:$G$71,$J762))</f>
        <v/>
      </c>
      <c r="M762" s="17" t="str">
        <f aca="false">IF($J762=0,"",INDEX(ROTACAO_RDM!$I$6:$I$71,$J762))</f>
        <v/>
      </c>
      <c r="N762" s="16" t="n">
        <f aca="false">IF($J762=0,0,MAX(0,$C762+INT(DIAS_POR_SEMANA/2)-INDEX(ROTACAO_RDM!$I$6:$I$71,$J762)))</f>
        <v>0</v>
      </c>
      <c r="O762" s="19" t="n">
        <f aca="false">IF($J762=0,0,MIN(1,$N762/MAX(1,INDEX(ROTACAO_RDM!$K$6:$K$71,$J762))))</f>
        <v>0</v>
      </c>
      <c r="P762" s="16" t="n">
        <f aca="false">IF($J762=0,0,IFERROR(MATCH(INDEX(ROTACAO_RDM!$N$6:$N$71,$J762),PARAMETROS_CULTURAS!$B$6:$B$28,0),0))</f>
        <v>0</v>
      </c>
      <c r="Q762" s="8" t="str">
        <f aca="false">IF($P762=0,"-",IF($O762&lt;=INDEX(PARAMETROS_CULTURAS!$F$6:$F$28,$P762),"INICIAL",IF($O762&lt;=INDEX(PARAMETROS_CULTURAS!$F$6:$F$28,$P762)+INDEX(PARAMETROS_CULTURAS!$G$6:$G$28,$P762),"DESENVOLVIMENTO",IF($O762&lt;=INDEX(PARAMETROS_CULTURAS!$F$6:$F$28,$P762)+INDEX(PARAMETROS_CULTURAS!$G$6:$G$28,$P762)+INDEX(PARAMETROS_CULTURAS!$H$6:$H$28,$P762),"MEDIA","FINAL"))))</f>
        <v>-</v>
      </c>
      <c r="R762" s="24" t="n">
        <f aca="false">IF($P762=0,0,IF($O762&lt;=INDEX(PARAMETROS_CULTURAS!$F$6:$F$28,$P762),INDEX(PARAMETROS_CULTURAS!$K$6:$K$28,$P762),IF($O762&lt;=INDEX(PARAMETROS_CULTURAS!$F$6:$F$28,$P762)+INDEX(PARAMETROS_CULTURAS!$G$6:$G$28,$P762),INDEX(PARAMETROS_CULTURAS!$K$6:$K$28,$P762)+(INDEX(PARAMETROS_CULTURAS!$L$6:$L$28,$P762)-INDEX(PARAMETROS_CULTURAS!$K$6:$K$28,$P762))*($O762-INDEX(PARAMETROS_CULTURAS!$F$6:$F$28,$P762))/MAX(INDEX(PARAMETROS_CULTURAS!$G$6:$G$28,$P762),0.0001),IF($O762&lt;=INDEX(PARAMETROS_CULTURAS!$F$6:$F$28,$P762)+INDEX(PARAMETROS_CULTURAS!$G$6:$G$28,$P762)+INDEX(PARAMETROS_CULTURAS!$H$6:$H$28,$P762),INDEX(PARAMETROS_CULTURAS!$L$6:$L$28,$P762),INDEX(PARAMETROS_CULTURAS!$L$6:$L$28,$P762)+(INDEX(PARAMETROS_CULTURAS!$M$6:$M$28,$P762)-INDEX(PARAMETROS_CULTURAS!$L$6:$L$28,$P762))*($O762-INDEX(PARAMETROS_CULTURAS!$F$6:$F$28,$P762)-INDEX(PARAMETROS_CULTURAS!$G$6:$G$28,$P762)-INDEX(PARAMETROS_CULTURAS!$H$6:$H$28,$P762))/MAX(INDEX(PARAMETROS_CULTURAS!$I$6:$I$28,$P762),0.0001)))))</f>
        <v>0</v>
      </c>
      <c r="S762" s="18" t="n">
        <f aca="false">IFERROR(INDEX(SEMANAS!$H$6:$H$71,MATCH($B762,SEMANAS!$B$6:$B$71,0)),0)</f>
        <v>31.8</v>
      </c>
      <c r="T762" s="18" t="n">
        <f aca="false">$R762*$S762</f>
        <v>0</v>
      </c>
      <c r="U762" s="18" t="n">
        <f aca="false">IFERROR(INDEX(SEMANAS!$I$6:$I$71,MATCH($B762,SEMANAS!$B$6:$B$71,0)),0)</f>
        <v>25.28</v>
      </c>
      <c r="V762" s="18" t="n">
        <f aca="false">IFERROR(INDEX(SEMANAS!$J$6:$J$71,MATCH($B762,SEMANAS!$B$6:$B$71,0)),0)</f>
        <v>20.224</v>
      </c>
      <c r="W762" s="18" t="n">
        <f aca="false">MAX(0,$T762-$V762)</f>
        <v>0</v>
      </c>
      <c r="X762" s="19" t="n">
        <f aca="false">IFERROR(INDEX(CADASTRO_PIVOS!$K$6:$K$41,MATCH($E762,CADASTRO_PIVOS!$B$6:$B$41,0)),EFICIENCIA_PADRAO)</f>
        <v>0.85</v>
      </c>
      <c r="Y762" s="18" t="n">
        <f aca="false">IF($X762&lt;=0,0,$W762/$X762)</f>
        <v>0</v>
      </c>
      <c r="Z762" s="16" t="n">
        <f aca="false">$Y762*$H762*MM_PARA_M3_HA</f>
        <v>0</v>
      </c>
      <c r="AA762" s="18" t="n">
        <f aca="false">IFERROR(INDEX(CADASTRO_PIVOS!$I$6:$I$41,MATCH($E762,CADASTRO_PIVOS!$B$6:$B$41,0)),0)</f>
        <v>928.447619047619</v>
      </c>
      <c r="AB762" s="18" t="n">
        <f aca="false">IF($Z762&lt;=0,0,$Z762/$AA762)</f>
        <v>0</v>
      </c>
      <c r="AC762" s="16" t="n">
        <f aca="false">IFERROR(INDEX(SEMANAS!$K$6:$K$71,MATCH($B762,SEMANAS!$B$6:$B$71,0)),0)</f>
        <v>147</v>
      </c>
      <c r="AD762" s="19" t="n">
        <f aca="false">IF($AC762&lt;=0,0,$AB762/$AC762)</f>
        <v>0</v>
      </c>
      <c r="AE762" s="8" t="str">
        <f aca="false">IF($K762="SEM CULTURA","SEM CULTURA",IF($AA762&lt;=0,"DADO PENDENTE",IF($AD762&gt;LIMITE_CRITICO,"INVIAVEL",IF($AD762&gt;LIMITE_ATENCAO,"CRITICO",IF($AD762&gt;LIMITE_CONFORTAVEL,"ATENCAO","OK")))))</f>
        <v>SEM CULTURA</v>
      </c>
      <c r="AF762" s="8" t="str">
        <f aca="false">$B762&amp;"|"&amp;TEXT($AD762,"0.000000")</f>
        <v>31|0.000000</v>
      </c>
      <c r="AG762" s="18" t="n">
        <f aca="false">IF($K762="SEM CULTURA",0,$T762*$H762)</f>
        <v>0</v>
      </c>
      <c r="AH762" s="18" t="n">
        <f aca="false">IF($K762="SEM CULTURA",0,$V762*$H762)</f>
        <v>0</v>
      </c>
      <c r="AI762" s="18" t="n">
        <f aca="false">IF($K762="SEM CULTURA",0,$W762*$H762)</f>
        <v>0</v>
      </c>
      <c r="AJ762" s="18" t="n">
        <f aca="false">IF($K762="SEM CULTURA",0,$S762*$H762)</f>
        <v>0</v>
      </c>
      <c r="AK762" s="8" t="str">
        <f aca="false">$E762&amp;"|"&amp;TEXT($AD762,"0.000000")</f>
        <v>PV 113|0.000000</v>
      </c>
    </row>
    <row r="763" customFormat="false" ht="15" hidden="false" customHeight="false" outlineLevel="0" collapsed="false">
      <c r="B763" s="16" t="n">
        <v>32</v>
      </c>
      <c r="C763" s="17" t="n">
        <f aca="false">DATA_INICIO_SAFRA+($B763-1)*DIAS_POR_SEMANA</f>
        <v>46482</v>
      </c>
      <c r="D763" s="17" t="n">
        <f aca="false">$C763+DIAS_POR_SEMANA-1</f>
        <v>46488</v>
      </c>
      <c r="E763" s="15" t="s">
        <v>270</v>
      </c>
      <c r="F763" s="8" t="str">
        <f aca="false">IFERROR(INDEX(CADASTRO_PIVOS!$C$6:$C$41,MATCH($E763,CADASTRO_PIVOS!$B$6:$B$41,0)),"?")</f>
        <v>RM05</v>
      </c>
      <c r="G763" s="8" t="str">
        <f aca="false">IFERROR(INDEX(CADASTRO_PIVOS!$D$6:$D$41,MATCH($E763,CADASTRO_PIVOS!$B$6:$B$41,0)),"?")</f>
        <v>TR05</v>
      </c>
      <c r="H763" s="20" t="n">
        <f aca="false">IFERROR(INDEX(CADASTRO_PIVOS!$E$6:$E$41,MATCH($E763,CADASTRO_PIVOS!$B$6:$B$41,0)),0)</f>
        <v>149.98</v>
      </c>
      <c r="I763" s="16" t="n">
        <f aca="false">IFERROR(SUMIFS(ROTACAO_RDM!$B$6:$B$71,ROTACAO_RDM!$D$6:$D$71,$E763,ROTACAO_RDM!$I$6:$I$71,"&lt;="&amp;$C763+INT(DIAS_POR_SEMANA/2),ROTACAO_RDM!$J$6:$J$71,"&gt;="&amp;$C763+INT(DIAS_POR_SEMANA/2)),0)</f>
        <v>0</v>
      </c>
      <c r="J763" s="16" t="n">
        <f aca="false">IFERROR(MATCH($I763,ROTACAO_RDM!$B$6:$B$71,0),0)</f>
        <v>0</v>
      </c>
      <c r="K763" s="8" t="str">
        <f aca="false">IF($J763=0,"SEM CULTURA",INDEX(ROTACAO_RDM!$F$6:$F$71,$J763))</f>
        <v>SEM CULTURA</v>
      </c>
      <c r="L763" s="8" t="str">
        <f aca="false">IF($J763=0,"",INDEX(ROTACAO_RDM!$G$6:$G$71,$J763))</f>
        <v/>
      </c>
      <c r="M763" s="17" t="str">
        <f aca="false">IF($J763=0,"",INDEX(ROTACAO_RDM!$I$6:$I$71,$J763))</f>
        <v/>
      </c>
      <c r="N763" s="16" t="n">
        <f aca="false">IF($J763=0,0,MAX(0,$C763+INT(DIAS_POR_SEMANA/2)-INDEX(ROTACAO_RDM!$I$6:$I$71,$J763)))</f>
        <v>0</v>
      </c>
      <c r="O763" s="19" t="n">
        <f aca="false">IF($J763=0,0,MIN(1,$N763/MAX(1,INDEX(ROTACAO_RDM!$K$6:$K$71,$J763))))</f>
        <v>0</v>
      </c>
      <c r="P763" s="16" t="n">
        <f aca="false">IF($J763=0,0,IFERROR(MATCH(INDEX(ROTACAO_RDM!$N$6:$N$71,$J763),PARAMETROS_CULTURAS!$B$6:$B$28,0),0))</f>
        <v>0</v>
      </c>
      <c r="Q763" s="8" t="str">
        <f aca="false">IF($P763=0,"-",IF($O763&lt;=INDEX(PARAMETROS_CULTURAS!$F$6:$F$28,$P763),"INICIAL",IF($O763&lt;=INDEX(PARAMETROS_CULTURAS!$F$6:$F$28,$P763)+INDEX(PARAMETROS_CULTURAS!$G$6:$G$28,$P763),"DESENVOLVIMENTO",IF($O763&lt;=INDEX(PARAMETROS_CULTURAS!$F$6:$F$28,$P763)+INDEX(PARAMETROS_CULTURAS!$G$6:$G$28,$P763)+INDEX(PARAMETROS_CULTURAS!$H$6:$H$28,$P763),"MEDIA","FINAL"))))</f>
        <v>-</v>
      </c>
      <c r="R763" s="24" t="n">
        <f aca="false">IF($P763=0,0,IF($O763&lt;=INDEX(PARAMETROS_CULTURAS!$F$6:$F$28,$P763),INDEX(PARAMETROS_CULTURAS!$K$6:$K$28,$P763),IF($O763&lt;=INDEX(PARAMETROS_CULTURAS!$F$6:$F$28,$P763)+INDEX(PARAMETROS_CULTURAS!$G$6:$G$28,$P763),INDEX(PARAMETROS_CULTURAS!$K$6:$K$28,$P763)+(INDEX(PARAMETROS_CULTURAS!$L$6:$L$28,$P763)-INDEX(PARAMETROS_CULTURAS!$K$6:$K$28,$P763))*($O763-INDEX(PARAMETROS_CULTURAS!$F$6:$F$28,$P763))/MAX(INDEX(PARAMETROS_CULTURAS!$G$6:$G$28,$P763),0.0001),IF($O763&lt;=INDEX(PARAMETROS_CULTURAS!$F$6:$F$28,$P763)+INDEX(PARAMETROS_CULTURAS!$G$6:$G$28,$P763)+INDEX(PARAMETROS_CULTURAS!$H$6:$H$28,$P763),INDEX(PARAMETROS_CULTURAS!$L$6:$L$28,$P763),INDEX(PARAMETROS_CULTURAS!$L$6:$L$28,$P763)+(INDEX(PARAMETROS_CULTURAS!$M$6:$M$28,$P763)-INDEX(PARAMETROS_CULTURAS!$L$6:$L$28,$P763))*($O763-INDEX(PARAMETROS_CULTURAS!$F$6:$F$28,$P763)-INDEX(PARAMETROS_CULTURAS!$G$6:$G$28,$P763)-INDEX(PARAMETROS_CULTURAS!$H$6:$H$28,$P763))/MAX(INDEX(PARAMETROS_CULTURAS!$I$6:$I$28,$P763),0.0001)))))</f>
        <v>0</v>
      </c>
      <c r="S763" s="18" t="n">
        <f aca="false">IFERROR(INDEX(SEMANAS!$H$6:$H$71,MATCH($B763,SEMANAS!$B$6:$B$71,0)),0)</f>
        <v>31.5</v>
      </c>
      <c r="T763" s="18" t="n">
        <f aca="false">$R763*$S763</f>
        <v>0</v>
      </c>
      <c r="U763" s="18" t="n">
        <f aca="false">IFERROR(INDEX(SEMANAS!$I$6:$I$71,MATCH($B763,SEMANAS!$B$6:$B$71,0)),0)</f>
        <v>16.31</v>
      </c>
      <c r="V763" s="18" t="n">
        <f aca="false">IFERROR(INDEX(SEMANAS!$J$6:$J$71,MATCH($B763,SEMANAS!$B$6:$B$71,0)),0)</f>
        <v>13.048</v>
      </c>
      <c r="W763" s="18" t="n">
        <f aca="false">MAX(0,$T763-$V763)</f>
        <v>0</v>
      </c>
      <c r="X763" s="19" t="n">
        <f aca="false">IFERROR(INDEX(CADASTRO_PIVOS!$K$6:$K$41,MATCH($E763,CADASTRO_PIVOS!$B$6:$B$41,0)),EFICIENCIA_PADRAO)</f>
        <v>0.85</v>
      </c>
      <c r="Y763" s="18" t="n">
        <f aca="false">IF($X763&lt;=0,0,$W763/$X763)</f>
        <v>0</v>
      </c>
      <c r="Z763" s="16" t="n">
        <f aca="false">$Y763*$H763*MM_PARA_M3_HA</f>
        <v>0</v>
      </c>
      <c r="AA763" s="18" t="n">
        <f aca="false">IFERROR(INDEX(CADASTRO_PIVOS!$I$6:$I$41,MATCH($E763,CADASTRO_PIVOS!$B$6:$B$41,0)),0)</f>
        <v>928.447619047619</v>
      </c>
      <c r="AB763" s="18" t="n">
        <f aca="false">IF($Z763&lt;=0,0,$Z763/$AA763)</f>
        <v>0</v>
      </c>
      <c r="AC763" s="16" t="n">
        <f aca="false">IFERROR(INDEX(SEMANAS!$K$6:$K$71,MATCH($B763,SEMANAS!$B$6:$B$71,0)),0)</f>
        <v>147</v>
      </c>
      <c r="AD763" s="19" t="n">
        <f aca="false">IF($AC763&lt;=0,0,$AB763/$AC763)</f>
        <v>0</v>
      </c>
      <c r="AE763" s="8" t="str">
        <f aca="false">IF($K763="SEM CULTURA","SEM CULTURA",IF($AA763&lt;=0,"DADO PENDENTE",IF($AD763&gt;LIMITE_CRITICO,"INVIAVEL",IF($AD763&gt;LIMITE_ATENCAO,"CRITICO",IF($AD763&gt;LIMITE_CONFORTAVEL,"ATENCAO","OK")))))</f>
        <v>SEM CULTURA</v>
      </c>
      <c r="AF763" s="8" t="str">
        <f aca="false">$B763&amp;"|"&amp;TEXT($AD763,"0.000000")</f>
        <v>32|0.000000</v>
      </c>
      <c r="AG763" s="18" t="n">
        <f aca="false">IF($K763="SEM CULTURA",0,$T763*$H763)</f>
        <v>0</v>
      </c>
      <c r="AH763" s="18" t="n">
        <f aca="false">IF($K763="SEM CULTURA",0,$V763*$H763)</f>
        <v>0</v>
      </c>
      <c r="AI763" s="18" t="n">
        <f aca="false">IF($K763="SEM CULTURA",0,$W763*$H763)</f>
        <v>0</v>
      </c>
      <c r="AJ763" s="18" t="n">
        <f aca="false">IF($K763="SEM CULTURA",0,$S763*$H763)</f>
        <v>0</v>
      </c>
      <c r="AK763" s="8" t="str">
        <f aca="false">$E763&amp;"|"&amp;TEXT($AD763,"0.000000")</f>
        <v>PV 113|0.000000</v>
      </c>
    </row>
    <row r="764" customFormat="false" ht="15" hidden="false" customHeight="false" outlineLevel="0" collapsed="false">
      <c r="B764" s="16" t="n">
        <v>33</v>
      </c>
      <c r="C764" s="17" t="n">
        <f aca="false">DATA_INICIO_SAFRA+($B764-1)*DIAS_POR_SEMANA</f>
        <v>46489</v>
      </c>
      <c r="D764" s="17" t="n">
        <f aca="false">$C764+DIAS_POR_SEMANA-1</f>
        <v>46495</v>
      </c>
      <c r="E764" s="15" t="s">
        <v>270</v>
      </c>
      <c r="F764" s="8" t="str">
        <f aca="false">IFERROR(INDEX(CADASTRO_PIVOS!$C$6:$C$41,MATCH($E764,CADASTRO_PIVOS!$B$6:$B$41,0)),"?")</f>
        <v>RM05</v>
      </c>
      <c r="G764" s="8" t="str">
        <f aca="false">IFERROR(INDEX(CADASTRO_PIVOS!$D$6:$D$41,MATCH($E764,CADASTRO_PIVOS!$B$6:$B$41,0)),"?")</f>
        <v>TR05</v>
      </c>
      <c r="H764" s="20" t="n">
        <f aca="false">IFERROR(INDEX(CADASTRO_PIVOS!$E$6:$E$41,MATCH($E764,CADASTRO_PIVOS!$B$6:$B$41,0)),0)</f>
        <v>149.98</v>
      </c>
      <c r="I764" s="16" t="n">
        <f aca="false">IFERROR(SUMIFS(ROTACAO_RDM!$B$6:$B$71,ROTACAO_RDM!$D$6:$D$71,$E764,ROTACAO_RDM!$I$6:$I$71,"&lt;="&amp;$C764+INT(DIAS_POR_SEMANA/2),ROTACAO_RDM!$J$6:$J$71,"&gt;="&amp;$C764+INT(DIAS_POR_SEMANA/2)),0)</f>
        <v>0</v>
      </c>
      <c r="J764" s="16" t="n">
        <f aca="false">IFERROR(MATCH($I764,ROTACAO_RDM!$B$6:$B$71,0),0)</f>
        <v>0</v>
      </c>
      <c r="K764" s="8" t="str">
        <f aca="false">IF($J764=0,"SEM CULTURA",INDEX(ROTACAO_RDM!$F$6:$F$71,$J764))</f>
        <v>SEM CULTURA</v>
      </c>
      <c r="L764" s="8" t="str">
        <f aca="false">IF($J764=0,"",INDEX(ROTACAO_RDM!$G$6:$G$71,$J764))</f>
        <v/>
      </c>
      <c r="M764" s="17" t="str">
        <f aca="false">IF($J764=0,"",INDEX(ROTACAO_RDM!$I$6:$I$71,$J764))</f>
        <v/>
      </c>
      <c r="N764" s="16" t="n">
        <f aca="false">IF($J764=0,0,MAX(0,$C764+INT(DIAS_POR_SEMANA/2)-INDEX(ROTACAO_RDM!$I$6:$I$71,$J764)))</f>
        <v>0</v>
      </c>
      <c r="O764" s="19" t="n">
        <f aca="false">IF($J764=0,0,MIN(1,$N764/MAX(1,INDEX(ROTACAO_RDM!$K$6:$K$71,$J764))))</f>
        <v>0</v>
      </c>
      <c r="P764" s="16" t="n">
        <f aca="false">IF($J764=0,0,IFERROR(MATCH(INDEX(ROTACAO_RDM!$N$6:$N$71,$J764),PARAMETROS_CULTURAS!$B$6:$B$28,0),0))</f>
        <v>0</v>
      </c>
      <c r="Q764" s="8" t="str">
        <f aca="false">IF($P764=0,"-",IF($O764&lt;=INDEX(PARAMETROS_CULTURAS!$F$6:$F$28,$P764),"INICIAL",IF($O764&lt;=INDEX(PARAMETROS_CULTURAS!$F$6:$F$28,$P764)+INDEX(PARAMETROS_CULTURAS!$G$6:$G$28,$P764),"DESENVOLVIMENTO",IF($O764&lt;=INDEX(PARAMETROS_CULTURAS!$F$6:$F$28,$P764)+INDEX(PARAMETROS_CULTURAS!$G$6:$G$28,$P764)+INDEX(PARAMETROS_CULTURAS!$H$6:$H$28,$P764),"MEDIA","FINAL"))))</f>
        <v>-</v>
      </c>
      <c r="R764" s="24" t="n">
        <f aca="false">IF($P764=0,0,IF($O764&lt;=INDEX(PARAMETROS_CULTURAS!$F$6:$F$28,$P764),INDEX(PARAMETROS_CULTURAS!$K$6:$K$28,$P764),IF($O764&lt;=INDEX(PARAMETROS_CULTURAS!$F$6:$F$28,$P764)+INDEX(PARAMETROS_CULTURAS!$G$6:$G$28,$P764),INDEX(PARAMETROS_CULTURAS!$K$6:$K$28,$P764)+(INDEX(PARAMETROS_CULTURAS!$L$6:$L$28,$P764)-INDEX(PARAMETROS_CULTURAS!$K$6:$K$28,$P764))*($O764-INDEX(PARAMETROS_CULTURAS!$F$6:$F$28,$P764))/MAX(INDEX(PARAMETROS_CULTURAS!$G$6:$G$28,$P764),0.0001),IF($O764&lt;=INDEX(PARAMETROS_CULTURAS!$F$6:$F$28,$P764)+INDEX(PARAMETROS_CULTURAS!$G$6:$G$28,$P764)+INDEX(PARAMETROS_CULTURAS!$H$6:$H$28,$P764),INDEX(PARAMETROS_CULTURAS!$L$6:$L$28,$P764),INDEX(PARAMETROS_CULTURAS!$L$6:$L$28,$P764)+(INDEX(PARAMETROS_CULTURAS!$M$6:$M$28,$P764)-INDEX(PARAMETROS_CULTURAS!$L$6:$L$28,$P764))*($O764-INDEX(PARAMETROS_CULTURAS!$F$6:$F$28,$P764)-INDEX(PARAMETROS_CULTURAS!$G$6:$G$28,$P764)-INDEX(PARAMETROS_CULTURAS!$H$6:$H$28,$P764))/MAX(INDEX(PARAMETROS_CULTURAS!$I$6:$I$28,$P764),0.0001)))))</f>
        <v>0</v>
      </c>
      <c r="S764" s="18" t="n">
        <f aca="false">IFERROR(INDEX(SEMANAS!$H$6:$H$71,MATCH($B764,SEMANAS!$B$6:$B$71,0)),0)</f>
        <v>31.5</v>
      </c>
      <c r="T764" s="18" t="n">
        <f aca="false">$R764*$S764</f>
        <v>0</v>
      </c>
      <c r="U764" s="18" t="n">
        <f aca="false">IFERROR(INDEX(SEMANAS!$I$6:$I$71,MATCH($B764,SEMANAS!$B$6:$B$71,0)),0)</f>
        <v>16.31</v>
      </c>
      <c r="V764" s="18" t="n">
        <f aca="false">IFERROR(INDEX(SEMANAS!$J$6:$J$71,MATCH($B764,SEMANAS!$B$6:$B$71,0)),0)</f>
        <v>13.048</v>
      </c>
      <c r="W764" s="18" t="n">
        <f aca="false">MAX(0,$T764-$V764)</f>
        <v>0</v>
      </c>
      <c r="X764" s="19" t="n">
        <f aca="false">IFERROR(INDEX(CADASTRO_PIVOS!$K$6:$K$41,MATCH($E764,CADASTRO_PIVOS!$B$6:$B$41,0)),EFICIENCIA_PADRAO)</f>
        <v>0.85</v>
      </c>
      <c r="Y764" s="18" t="n">
        <f aca="false">IF($X764&lt;=0,0,$W764/$X764)</f>
        <v>0</v>
      </c>
      <c r="Z764" s="16" t="n">
        <f aca="false">$Y764*$H764*MM_PARA_M3_HA</f>
        <v>0</v>
      </c>
      <c r="AA764" s="18" t="n">
        <f aca="false">IFERROR(INDEX(CADASTRO_PIVOS!$I$6:$I$41,MATCH($E764,CADASTRO_PIVOS!$B$6:$B$41,0)),0)</f>
        <v>928.447619047619</v>
      </c>
      <c r="AB764" s="18" t="n">
        <f aca="false">IF($Z764&lt;=0,0,$Z764/$AA764)</f>
        <v>0</v>
      </c>
      <c r="AC764" s="16" t="n">
        <f aca="false">IFERROR(INDEX(SEMANAS!$K$6:$K$71,MATCH($B764,SEMANAS!$B$6:$B$71,0)),0)</f>
        <v>147</v>
      </c>
      <c r="AD764" s="19" t="n">
        <f aca="false">IF($AC764&lt;=0,0,$AB764/$AC764)</f>
        <v>0</v>
      </c>
      <c r="AE764" s="8" t="str">
        <f aca="false">IF($K764="SEM CULTURA","SEM CULTURA",IF($AA764&lt;=0,"DADO PENDENTE",IF($AD764&gt;LIMITE_CRITICO,"INVIAVEL",IF($AD764&gt;LIMITE_ATENCAO,"CRITICO",IF($AD764&gt;LIMITE_CONFORTAVEL,"ATENCAO","OK")))))</f>
        <v>SEM CULTURA</v>
      </c>
      <c r="AF764" s="8" t="str">
        <f aca="false">$B764&amp;"|"&amp;TEXT($AD764,"0.000000")</f>
        <v>33|0.000000</v>
      </c>
      <c r="AG764" s="18" t="n">
        <f aca="false">IF($K764="SEM CULTURA",0,$T764*$H764)</f>
        <v>0</v>
      </c>
      <c r="AH764" s="18" t="n">
        <f aca="false">IF($K764="SEM CULTURA",0,$V764*$H764)</f>
        <v>0</v>
      </c>
      <c r="AI764" s="18" t="n">
        <f aca="false">IF($K764="SEM CULTURA",0,$W764*$H764)</f>
        <v>0</v>
      </c>
      <c r="AJ764" s="18" t="n">
        <f aca="false">IF($K764="SEM CULTURA",0,$S764*$H764)</f>
        <v>0</v>
      </c>
      <c r="AK764" s="8" t="str">
        <f aca="false">$E764&amp;"|"&amp;TEXT($AD764,"0.000000")</f>
        <v>PV 113|0.000000</v>
      </c>
    </row>
    <row r="765" customFormat="false" ht="15" hidden="false" customHeight="false" outlineLevel="0" collapsed="false">
      <c r="B765" s="16" t="n">
        <v>34</v>
      </c>
      <c r="C765" s="17" t="n">
        <f aca="false">DATA_INICIO_SAFRA+($B765-1)*DIAS_POR_SEMANA</f>
        <v>46496</v>
      </c>
      <c r="D765" s="17" t="n">
        <f aca="false">$C765+DIAS_POR_SEMANA-1</f>
        <v>46502</v>
      </c>
      <c r="E765" s="15" t="s">
        <v>270</v>
      </c>
      <c r="F765" s="8" t="str">
        <f aca="false">IFERROR(INDEX(CADASTRO_PIVOS!$C$6:$C$41,MATCH($E765,CADASTRO_PIVOS!$B$6:$B$41,0)),"?")</f>
        <v>RM05</v>
      </c>
      <c r="G765" s="8" t="str">
        <f aca="false">IFERROR(INDEX(CADASTRO_PIVOS!$D$6:$D$41,MATCH($E765,CADASTRO_PIVOS!$B$6:$B$41,0)),"?")</f>
        <v>TR05</v>
      </c>
      <c r="H765" s="20" t="n">
        <f aca="false">IFERROR(INDEX(CADASTRO_PIVOS!$E$6:$E$41,MATCH($E765,CADASTRO_PIVOS!$B$6:$B$41,0)),0)</f>
        <v>149.98</v>
      </c>
      <c r="I765" s="16" t="n">
        <f aca="false">IFERROR(SUMIFS(ROTACAO_RDM!$B$6:$B$71,ROTACAO_RDM!$D$6:$D$71,$E765,ROTACAO_RDM!$I$6:$I$71,"&lt;="&amp;$C765+INT(DIAS_POR_SEMANA/2),ROTACAO_RDM!$J$6:$J$71,"&gt;="&amp;$C765+INT(DIAS_POR_SEMANA/2)),0)</f>
        <v>0</v>
      </c>
      <c r="J765" s="16" t="n">
        <f aca="false">IFERROR(MATCH($I765,ROTACAO_RDM!$B$6:$B$71,0),0)</f>
        <v>0</v>
      </c>
      <c r="K765" s="8" t="str">
        <f aca="false">IF($J765=0,"SEM CULTURA",INDEX(ROTACAO_RDM!$F$6:$F$71,$J765))</f>
        <v>SEM CULTURA</v>
      </c>
      <c r="L765" s="8" t="str">
        <f aca="false">IF($J765=0,"",INDEX(ROTACAO_RDM!$G$6:$G$71,$J765))</f>
        <v/>
      </c>
      <c r="M765" s="17" t="str">
        <f aca="false">IF($J765=0,"",INDEX(ROTACAO_RDM!$I$6:$I$71,$J765))</f>
        <v/>
      </c>
      <c r="N765" s="16" t="n">
        <f aca="false">IF($J765=0,0,MAX(0,$C765+INT(DIAS_POR_SEMANA/2)-INDEX(ROTACAO_RDM!$I$6:$I$71,$J765)))</f>
        <v>0</v>
      </c>
      <c r="O765" s="19" t="n">
        <f aca="false">IF($J765=0,0,MIN(1,$N765/MAX(1,INDEX(ROTACAO_RDM!$K$6:$K$71,$J765))))</f>
        <v>0</v>
      </c>
      <c r="P765" s="16" t="n">
        <f aca="false">IF($J765=0,0,IFERROR(MATCH(INDEX(ROTACAO_RDM!$N$6:$N$71,$J765),PARAMETROS_CULTURAS!$B$6:$B$28,0),0))</f>
        <v>0</v>
      </c>
      <c r="Q765" s="8" t="str">
        <f aca="false">IF($P765=0,"-",IF($O765&lt;=INDEX(PARAMETROS_CULTURAS!$F$6:$F$28,$P765),"INICIAL",IF($O765&lt;=INDEX(PARAMETROS_CULTURAS!$F$6:$F$28,$P765)+INDEX(PARAMETROS_CULTURAS!$G$6:$G$28,$P765),"DESENVOLVIMENTO",IF($O765&lt;=INDEX(PARAMETROS_CULTURAS!$F$6:$F$28,$P765)+INDEX(PARAMETROS_CULTURAS!$G$6:$G$28,$P765)+INDEX(PARAMETROS_CULTURAS!$H$6:$H$28,$P765),"MEDIA","FINAL"))))</f>
        <v>-</v>
      </c>
      <c r="R765" s="24" t="n">
        <f aca="false">IF($P765=0,0,IF($O765&lt;=INDEX(PARAMETROS_CULTURAS!$F$6:$F$28,$P765),INDEX(PARAMETROS_CULTURAS!$K$6:$K$28,$P765),IF($O765&lt;=INDEX(PARAMETROS_CULTURAS!$F$6:$F$28,$P765)+INDEX(PARAMETROS_CULTURAS!$G$6:$G$28,$P765),INDEX(PARAMETROS_CULTURAS!$K$6:$K$28,$P765)+(INDEX(PARAMETROS_CULTURAS!$L$6:$L$28,$P765)-INDEX(PARAMETROS_CULTURAS!$K$6:$K$28,$P765))*($O765-INDEX(PARAMETROS_CULTURAS!$F$6:$F$28,$P765))/MAX(INDEX(PARAMETROS_CULTURAS!$G$6:$G$28,$P765),0.0001),IF($O765&lt;=INDEX(PARAMETROS_CULTURAS!$F$6:$F$28,$P765)+INDEX(PARAMETROS_CULTURAS!$G$6:$G$28,$P765)+INDEX(PARAMETROS_CULTURAS!$H$6:$H$28,$P765),INDEX(PARAMETROS_CULTURAS!$L$6:$L$28,$P765),INDEX(PARAMETROS_CULTURAS!$L$6:$L$28,$P765)+(INDEX(PARAMETROS_CULTURAS!$M$6:$M$28,$P765)-INDEX(PARAMETROS_CULTURAS!$L$6:$L$28,$P765))*($O765-INDEX(PARAMETROS_CULTURAS!$F$6:$F$28,$P765)-INDEX(PARAMETROS_CULTURAS!$G$6:$G$28,$P765)-INDEX(PARAMETROS_CULTURAS!$H$6:$H$28,$P765))/MAX(INDEX(PARAMETROS_CULTURAS!$I$6:$I$28,$P765),0.0001)))))</f>
        <v>0</v>
      </c>
      <c r="S765" s="18" t="n">
        <f aca="false">IFERROR(INDEX(SEMANAS!$H$6:$H$71,MATCH($B765,SEMANAS!$B$6:$B$71,0)),0)</f>
        <v>31.5</v>
      </c>
      <c r="T765" s="18" t="n">
        <f aca="false">$R765*$S765</f>
        <v>0</v>
      </c>
      <c r="U765" s="18" t="n">
        <f aca="false">IFERROR(INDEX(SEMANAS!$I$6:$I$71,MATCH($B765,SEMANAS!$B$6:$B$71,0)),0)</f>
        <v>16.31</v>
      </c>
      <c r="V765" s="18" t="n">
        <f aca="false">IFERROR(INDEX(SEMANAS!$J$6:$J$71,MATCH($B765,SEMANAS!$B$6:$B$71,0)),0)</f>
        <v>13.048</v>
      </c>
      <c r="W765" s="18" t="n">
        <f aca="false">MAX(0,$T765-$V765)</f>
        <v>0</v>
      </c>
      <c r="X765" s="19" t="n">
        <f aca="false">IFERROR(INDEX(CADASTRO_PIVOS!$K$6:$K$41,MATCH($E765,CADASTRO_PIVOS!$B$6:$B$41,0)),EFICIENCIA_PADRAO)</f>
        <v>0.85</v>
      </c>
      <c r="Y765" s="18" t="n">
        <f aca="false">IF($X765&lt;=0,0,$W765/$X765)</f>
        <v>0</v>
      </c>
      <c r="Z765" s="16" t="n">
        <f aca="false">$Y765*$H765*MM_PARA_M3_HA</f>
        <v>0</v>
      </c>
      <c r="AA765" s="18" t="n">
        <f aca="false">IFERROR(INDEX(CADASTRO_PIVOS!$I$6:$I$41,MATCH($E765,CADASTRO_PIVOS!$B$6:$B$41,0)),0)</f>
        <v>928.447619047619</v>
      </c>
      <c r="AB765" s="18" t="n">
        <f aca="false">IF($Z765&lt;=0,0,$Z765/$AA765)</f>
        <v>0</v>
      </c>
      <c r="AC765" s="16" t="n">
        <f aca="false">IFERROR(INDEX(SEMANAS!$K$6:$K$71,MATCH($B765,SEMANAS!$B$6:$B$71,0)),0)</f>
        <v>147</v>
      </c>
      <c r="AD765" s="19" t="n">
        <f aca="false">IF($AC765&lt;=0,0,$AB765/$AC765)</f>
        <v>0</v>
      </c>
      <c r="AE765" s="8" t="str">
        <f aca="false">IF($K765="SEM CULTURA","SEM CULTURA",IF($AA765&lt;=0,"DADO PENDENTE",IF($AD765&gt;LIMITE_CRITICO,"INVIAVEL",IF($AD765&gt;LIMITE_ATENCAO,"CRITICO",IF($AD765&gt;LIMITE_CONFORTAVEL,"ATENCAO","OK")))))</f>
        <v>SEM CULTURA</v>
      </c>
      <c r="AF765" s="8" t="str">
        <f aca="false">$B765&amp;"|"&amp;TEXT($AD765,"0.000000")</f>
        <v>34|0.000000</v>
      </c>
      <c r="AG765" s="18" t="n">
        <f aca="false">IF($K765="SEM CULTURA",0,$T765*$H765)</f>
        <v>0</v>
      </c>
      <c r="AH765" s="18" t="n">
        <f aca="false">IF($K765="SEM CULTURA",0,$V765*$H765)</f>
        <v>0</v>
      </c>
      <c r="AI765" s="18" t="n">
        <f aca="false">IF($K765="SEM CULTURA",0,$W765*$H765)</f>
        <v>0</v>
      </c>
      <c r="AJ765" s="18" t="n">
        <f aca="false">IF($K765="SEM CULTURA",0,$S765*$H765)</f>
        <v>0</v>
      </c>
      <c r="AK765" s="8" t="str">
        <f aca="false">$E765&amp;"|"&amp;TEXT($AD765,"0.000000")</f>
        <v>PV 113|0.000000</v>
      </c>
    </row>
    <row r="766" customFormat="false" ht="15" hidden="false" customHeight="false" outlineLevel="0" collapsed="false">
      <c r="B766" s="16" t="n">
        <v>35</v>
      </c>
      <c r="C766" s="17" t="n">
        <f aca="false">DATA_INICIO_SAFRA+($B766-1)*DIAS_POR_SEMANA</f>
        <v>46503</v>
      </c>
      <c r="D766" s="17" t="n">
        <f aca="false">$C766+DIAS_POR_SEMANA-1</f>
        <v>46509</v>
      </c>
      <c r="E766" s="15" t="s">
        <v>270</v>
      </c>
      <c r="F766" s="8" t="str">
        <f aca="false">IFERROR(INDEX(CADASTRO_PIVOS!$C$6:$C$41,MATCH($E766,CADASTRO_PIVOS!$B$6:$B$41,0)),"?")</f>
        <v>RM05</v>
      </c>
      <c r="G766" s="8" t="str">
        <f aca="false">IFERROR(INDEX(CADASTRO_PIVOS!$D$6:$D$41,MATCH($E766,CADASTRO_PIVOS!$B$6:$B$41,0)),"?")</f>
        <v>TR05</v>
      </c>
      <c r="H766" s="20" t="n">
        <f aca="false">IFERROR(INDEX(CADASTRO_PIVOS!$E$6:$E$41,MATCH($E766,CADASTRO_PIVOS!$B$6:$B$41,0)),0)</f>
        <v>149.98</v>
      </c>
      <c r="I766" s="16" t="n">
        <f aca="false">IFERROR(SUMIFS(ROTACAO_RDM!$B$6:$B$71,ROTACAO_RDM!$D$6:$D$71,$E766,ROTACAO_RDM!$I$6:$I$71,"&lt;="&amp;$C766+INT(DIAS_POR_SEMANA/2),ROTACAO_RDM!$J$6:$J$71,"&gt;="&amp;$C766+INT(DIAS_POR_SEMANA/2)),0)</f>
        <v>0</v>
      </c>
      <c r="J766" s="16" t="n">
        <f aca="false">IFERROR(MATCH($I766,ROTACAO_RDM!$B$6:$B$71,0),0)</f>
        <v>0</v>
      </c>
      <c r="K766" s="8" t="str">
        <f aca="false">IF($J766=0,"SEM CULTURA",INDEX(ROTACAO_RDM!$F$6:$F$71,$J766))</f>
        <v>SEM CULTURA</v>
      </c>
      <c r="L766" s="8" t="str">
        <f aca="false">IF($J766=0,"",INDEX(ROTACAO_RDM!$G$6:$G$71,$J766))</f>
        <v/>
      </c>
      <c r="M766" s="17" t="str">
        <f aca="false">IF($J766=0,"",INDEX(ROTACAO_RDM!$I$6:$I$71,$J766))</f>
        <v/>
      </c>
      <c r="N766" s="16" t="n">
        <f aca="false">IF($J766=0,0,MAX(0,$C766+INT(DIAS_POR_SEMANA/2)-INDEX(ROTACAO_RDM!$I$6:$I$71,$J766)))</f>
        <v>0</v>
      </c>
      <c r="O766" s="19" t="n">
        <f aca="false">IF($J766=0,0,MIN(1,$N766/MAX(1,INDEX(ROTACAO_RDM!$K$6:$K$71,$J766))))</f>
        <v>0</v>
      </c>
      <c r="P766" s="16" t="n">
        <f aca="false">IF($J766=0,0,IFERROR(MATCH(INDEX(ROTACAO_RDM!$N$6:$N$71,$J766),PARAMETROS_CULTURAS!$B$6:$B$28,0),0))</f>
        <v>0</v>
      </c>
      <c r="Q766" s="8" t="str">
        <f aca="false">IF($P766=0,"-",IF($O766&lt;=INDEX(PARAMETROS_CULTURAS!$F$6:$F$28,$P766),"INICIAL",IF($O766&lt;=INDEX(PARAMETROS_CULTURAS!$F$6:$F$28,$P766)+INDEX(PARAMETROS_CULTURAS!$G$6:$G$28,$P766),"DESENVOLVIMENTO",IF($O766&lt;=INDEX(PARAMETROS_CULTURAS!$F$6:$F$28,$P766)+INDEX(PARAMETROS_CULTURAS!$G$6:$G$28,$P766)+INDEX(PARAMETROS_CULTURAS!$H$6:$H$28,$P766),"MEDIA","FINAL"))))</f>
        <v>-</v>
      </c>
      <c r="R766" s="24" t="n">
        <f aca="false">IF($P766=0,0,IF($O766&lt;=INDEX(PARAMETROS_CULTURAS!$F$6:$F$28,$P766),INDEX(PARAMETROS_CULTURAS!$K$6:$K$28,$P766),IF($O766&lt;=INDEX(PARAMETROS_CULTURAS!$F$6:$F$28,$P766)+INDEX(PARAMETROS_CULTURAS!$G$6:$G$28,$P766),INDEX(PARAMETROS_CULTURAS!$K$6:$K$28,$P766)+(INDEX(PARAMETROS_CULTURAS!$L$6:$L$28,$P766)-INDEX(PARAMETROS_CULTURAS!$K$6:$K$28,$P766))*($O766-INDEX(PARAMETROS_CULTURAS!$F$6:$F$28,$P766))/MAX(INDEX(PARAMETROS_CULTURAS!$G$6:$G$28,$P766),0.0001),IF($O766&lt;=INDEX(PARAMETROS_CULTURAS!$F$6:$F$28,$P766)+INDEX(PARAMETROS_CULTURAS!$G$6:$G$28,$P766)+INDEX(PARAMETROS_CULTURAS!$H$6:$H$28,$P766),INDEX(PARAMETROS_CULTURAS!$L$6:$L$28,$P766),INDEX(PARAMETROS_CULTURAS!$L$6:$L$28,$P766)+(INDEX(PARAMETROS_CULTURAS!$M$6:$M$28,$P766)-INDEX(PARAMETROS_CULTURAS!$L$6:$L$28,$P766))*($O766-INDEX(PARAMETROS_CULTURAS!$F$6:$F$28,$P766)-INDEX(PARAMETROS_CULTURAS!$G$6:$G$28,$P766)-INDEX(PARAMETROS_CULTURAS!$H$6:$H$28,$P766))/MAX(INDEX(PARAMETROS_CULTURAS!$I$6:$I$28,$P766),0.0001)))))</f>
        <v>0</v>
      </c>
      <c r="S766" s="18" t="n">
        <f aca="false">IFERROR(INDEX(SEMANAS!$H$6:$H$71,MATCH($B766,SEMANAS!$B$6:$B$71,0)),0)</f>
        <v>30.9</v>
      </c>
      <c r="T766" s="18" t="n">
        <f aca="false">$R766*$S766</f>
        <v>0</v>
      </c>
      <c r="U766" s="18" t="n">
        <f aca="false">IFERROR(INDEX(SEMANAS!$I$6:$I$71,MATCH($B766,SEMANAS!$B$6:$B$71,0)),0)</f>
        <v>12.61</v>
      </c>
      <c r="V766" s="18" t="n">
        <f aca="false">IFERROR(INDEX(SEMANAS!$J$6:$J$71,MATCH($B766,SEMANAS!$B$6:$B$71,0)),0)</f>
        <v>10.088</v>
      </c>
      <c r="W766" s="18" t="n">
        <f aca="false">MAX(0,$T766-$V766)</f>
        <v>0</v>
      </c>
      <c r="X766" s="19" t="n">
        <f aca="false">IFERROR(INDEX(CADASTRO_PIVOS!$K$6:$K$41,MATCH($E766,CADASTRO_PIVOS!$B$6:$B$41,0)),EFICIENCIA_PADRAO)</f>
        <v>0.85</v>
      </c>
      <c r="Y766" s="18" t="n">
        <f aca="false">IF($X766&lt;=0,0,$W766/$X766)</f>
        <v>0</v>
      </c>
      <c r="Z766" s="16" t="n">
        <f aca="false">$Y766*$H766*MM_PARA_M3_HA</f>
        <v>0</v>
      </c>
      <c r="AA766" s="18" t="n">
        <f aca="false">IFERROR(INDEX(CADASTRO_PIVOS!$I$6:$I$41,MATCH($E766,CADASTRO_PIVOS!$B$6:$B$41,0)),0)</f>
        <v>928.447619047619</v>
      </c>
      <c r="AB766" s="18" t="n">
        <f aca="false">IF($Z766&lt;=0,0,$Z766/$AA766)</f>
        <v>0</v>
      </c>
      <c r="AC766" s="16" t="n">
        <f aca="false">IFERROR(INDEX(SEMANAS!$K$6:$K$71,MATCH($B766,SEMANAS!$B$6:$B$71,0)),0)</f>
        <v>147</v>
      </c>
      <c r="AD766" s="19" t="n">
        <f aca="false">IF($AC766&lt;=0,0,$AB766/$AC766)</f>
        <v>0</v>
      </c>
      <c r="AE766" s="8" t="str">
        <f aca="false">IF($K766="SEM CULTURA","SEM CULTURA",IF($AA766&lt;=0,"DADO PENDENTE",IF($AD766&gt;LIMITE_CRITICO,"INVIAVEL",IF($AD766&gt;LIMITE_ATENCAO,"CRITICO",IF($AD766&gt;LIMITE_CONFORTAVEL,"ATENCAO","OK")))))</f>
        <v>SEM CULTURA</v>
      </c>
      <c r="AF766" s="8" t="str">
        <f aca="false">$B766&amp;"|"&amp;TEXT($AD766,"0.000000")</f>
        <v>35|0.000000</v>
      </c>
      <c r="AG766" s="18" t="n">
        <f aca="false">IF($K766="SEM CULTURA",0,$T766*$H766)</f>
        <v>0</v>
      </c>
      <c r="AH766" s="18" t="n">
        <f aca="false">IF($K766="SEM CULTURA",0,$V766*$H766)</f>
        <v>0</v>
      </c>
      <c r="AI766" s="18" t="n">
        <f aca="false">IF($K766="SEM CULTURA",0,$W766*$H766)</f>
        <v>0</v>
      </c>
      <c r="AJ766" s="18" t="n">
        <f aca="false">IF($K766="SEM CULTURA",0,$S766*$H766)</f>
        <v>0</v>
      </c>
      <c r="AK766" s="8" t="str">
        <f aca="false">$E766&amp;"|"&amp;TEXT($AD766,"0.000000")</f>
        <v>PV 113|0.000000</v>
      </c>
    </row>
    <row r="767" customFormat="false" ht="15" hidden="false" customHeight="false" outlineLevel="0" collapsed="false">
      <c r="B767" s="16" t="n">
        <v>36</v>
      </c>
      <c r="C767" s="17" t="n">
        <f aca="false">DATA_INICIO_SAFRA+($B767-1)*DIAS_POR_SEMANA</f>
        <v>46510</v>
      </c>
      <c r="D767" s="17" t="n">
        <f aca="false">$C767+DIAS_POR_SEMANA-1</f>
        <v>46516</v>
      </c>
      <c r="E767" s="15" t="s">
        <v>270</v>
      </c>
      <c r="F767" s="8" t="str">
        <f aca="false">IFERROR(INDEX(CADASTRO_PIVOS!$C$6:$C$41,MATCH($E767,CADASTRO_PIVOS!$B$6:$B$41,0)),"?")</f>
        <v>RM05</v>
      </c>
      <c r="G767" s="8" t="str">
        <f aca="false">IFERROR(INDEX(CADASTRO_PIVOS!$D$6:$D$41,MATCH($E767,CADASTRO_PIVOS!$B$6:$B$41,0)),"?")</f>
        <v>TR05</v>
      </c>
      <c r="H767" s="20" t="n">
        <f aca="false">IFERROR(INDEX(CADASTRO_PIVOS!$E$6:$E$41,MATCH($E767,CADASTRO_PIVOS!$B$6:$B$41,0)),0)</f>
        <v>149.98</v>
      </c>
      <c r="I767" s="16" t="n">
        <f aca="false">IFERROR(SUMIFS(ROTACAO_RDM!$B$6:$B$71,ROTACAO_RDM!$D$6:$D$71,$E767,ROTACAO_RDM!$I$6:$I$71,"&lt;="&amp;$C767+INT(DIAS_POR_SEMANA/2),ROTACAO_RDM!$J$6:$J$71,"&gt;="&amp;$C767+INT(DIAS_POR_SEMANA/2)),0)</f>
        <v>0</v>
      </c>
      <c r="J767" s="16" t="n">
        <f aca="false">IFERROR(MATCH($I767,ROTACAO_RDM!$B$6:$B$71,0),0)</f>
        <v>0</v>
      </c>
      <c r="K767" s="8" t="str">
        <f aca="false">IF($J767=0,"SEM CULTURA",INDEX(ROTACAO_RDM!$F$6:$F$71,$J767))</f>
        <v>SEM CULTURA</v>
      </c>
      <c r="L767" s="8" t="str">
        <f aca="false">IF($J767=0,"",INDEX(ROTACAO_RDM!$G$6:$G$71,$J767))</f>
        <v/>
      </c>
      <c r="M767" s="17" t="str">
        <f aca="false">IF($J767=0,"",INDEX(ROTACAO_RDM!$I$6:$I$71,$J767))</f>
        <v/>
      </c>
      <c r="N767" s="16" t="n">
        <f aca="false">IF($J767=0,0,MAX(0,$C767+INT(DIAS_POR_SEMANA/2)-INDEX(ROTACAO_RDM!$I$6:$I$71,$J767)))</f>
        <v>0</v>
      </c>
      <c r="O767" s="19" t="n">
        <f aca="false">IF($J767=0,0,MIN(1,$N767/MAX(1,INDEX(ROTACAO_RDM!$K$6:$K$71,$J767))))</f>
        <v>0</v>
      </c>
      <c r="P767" s="16" t="n">
        <f aca="false">IF($J767=0,0,IFERROR(MATCH(INDEX(ROTACAO_RDM!$N$6:$N$71,$J767),PARAMETROS_CULTURAS!$B$6:$B$28,0),0))</f>
        <v>0</v>
      </c>
      <c r="Q767" s="8" t="str">
        <f aca="false">IF($P767=0,"-",IF($O767&lt;=INDEX(PARAMETROS_CULTURAS!$F$6:$F$28,$P767),"INICIAL",IF($O767&lt;=INDEX(PARAMETROS_CULTURAS!$F$6:$F$28,$P767)+INDEX(PARAMETROS_CULTURAS!$G$6:$G$28,$P767),"DESENVOLVIMENTO",IF($O767&lt;=INDEX(PARAMETROS_CULTURAS!$F$6:$F$28,$P767)+INDEX(PARAMETROS_CULTURAS!$G$6:$G$28,$P767)+INDEX(PARAMETROS_CULTURAS!$H$6:$H$28,$P767),"MEDIA","FINAL"))))</f>
        <v>-</v>
      </c>
      <c r="R767" s="24" t="n">
        <f aca="false">IF($P767=0,0,IF($O767&lt;=INDEX(PARAMETROS_CULTURAS!$F$6:$F$28,$P767),INDEX(PARAMETROS_CULTURAS!$K$6:$K$28,$P767),IF($O767&lt;=INDEX(PARAMETROS_CULTURAS!$F$6:$F$28,$P767)+INDEX(PARAMETROS_CULTURAS!$G$6:$G$28,$P767),INDEX(PARAMETROS_CULTURAS!$K$6:$K$28,$P767)+(INDEX(PARAMETROS_CULTURAS!$L$6:$L$28,$P767)-INDEX(PARAMETROS_CULTURAS!$K$6:$K$28,$P767))*($O767-INDEX(PARAMETROS_CULTURAS!$F$6:$F$28,$P767))/MAX(INDEX(PARAMETROS_CULTURAS!$G$6:$G$28,$P767),0.0001),IF($O767&lt;=INDEX(PARAMETROS_CULTURAS!$F$6:$F$28,$P767)+INDEX(PARAMETROS_CULTURAS!$G$6:$G$28,$P767)+INDEX(PARAMETROS_CULTURAS!$H$6:$H$28,$P767),INDEX(PARAMETROS_CULTURAS!$L$6:$L$28,$P767),INDEX(PARAMETROS_CULTURAS!$L$6:$L$28,$P767)+(INDEX(PARAMETROS_CULTURAS!$M$6:$M$28,$P767)-INDEX(PARAMETROS_CULTURAS!$L$6:$L$28,$P767))*($O767-INDEX(PARAMETROS_CULTURAS!$F$6:$F$28,$P767)-INDEX(PARAMETROS_CULTURAS!$G$6:$G$28,$P767)-INDEX(PARAMETROS_CULTURAS!$H$6:$H$28,$P767))/MAX(INDEX(PARAMETROS_CULTURAS!$I$6:$I$28,$P767),0.0001)))))</f>
        <v>0</v>
      </c>
      <c r="S767" s="18" t="n">
        <f aca="false">IFERROR(INDEX(SEMANAS!$H$6:$H$71,MATCH($B767,SEMANAS!$B$6:$B$71,0)),0)</f>
        <v>29.4</v>
      </c>
      <c r="T767" s="18" t="n">
        <f aca="false">$R767*$S767</f>
        <v>0</v>
      </c>
      <c r="U767" s="18" t="n">
        <f aca="false">IFERROR(INDEX(SEMANAS!$I$6:$I$71,MATCH($B767,SEMANAS!$B$6:$B$71,0)),0)</f>
        <v>3.36</v>
      </c>
      <c r="V767" s="18" t="n">
        <f aca="false">IFERROR(INDEX(SEMANAS!$J$6:$J$71,MATCH($B767,SEMANAS!$B$6:$B$71,0)),0)</f>
        <v>2.688</v>
      </c>
      <c r="W767" s="18" t="n">
        <f aca="false">MAX(0,$T767-$V767)</f>
        <v>0</v>
      </c>
      <c r="X767" s="19" t="n">
        <f aca="false">IFERROR(INDEX(CADASTRO_PIVOS!$K$6:$K$41,MATCH($E767,CADASTRO_PIVOS!$B$6:$B$41,0)),EFICIENCIA_PADRAO)</f>
        <v>0.85</v>
      </c>
      <c r="Y767" s="18" t="n">
        <f aca="false">IF($X767&lt;=0,0,$W767/$X767)</f>
        <v>0</v>
      </c>
      <c r="Z767" s="16" t="n">
        <f aca="false">$Y767*$H767*MM_PARA_M3_HA</f>
        <v>0</v>
      </c>
      <c r="AA767" s="18" t="n">
        <f aca="false">IFERROR(INDEX(CADASTRO_PIVOS!$I$6:$I$41,MATCH($E767,CADASTRO_PIVOS!$B$6:$B$41,0)),0)</f>
        <v>928.447619047619</v>
      </c>
      <c r="AB767" s="18" t="n">
        <f aca="false">IF($Z767&lt;=0,0,$Z767/$AA767)</f>
        <v>0</v>
      </c>
      <c r="AC767" s="16" t="n">
        <f aca="false">IFERROR(INDEX(SEMANAS!$K$6:$K$71,MATCH($B767,SEMANAS!$B$6:$B$71,0)),0)</f>
        <v>147</v>
      </c>
      <c r="AD767" s="19" t="n">
        <f aca="false">IF($AC767&lt;=0,0,$AB767/$AC767)</f>
        <v>0</v>
      </c>
      <c r="AE767" s="8" t="str">
        <f aca="false">IF($K767="SEM CULTURA","SEM CULTURA",IF($AA767&lt;=0,"DADO PENDENTE",IF($AD767&gt;LIMITE_CRITICO,"INVIAVEL",IF($AD767&gt;LIMITE_ATENCAO,"CRITICO",IF($AD767&gt;LIMITE_CONFORTAVEL,"ATENCAO","OK")))))</f>
        <v>SEM CULTURA</v>
      </c>
      <c r="AF767" s="8" t="str">
        <f aca="false">$B767&amp;"|"&amp;TEXT($AD767,"0.000000")</f>
        <v>36|0.000000</v>
      </c>
      <c r="AG767" s="18" t="n">
        <f aca="false">IF($K767="SEM CULTURA",0,$T767*$H767)</f>
        <v>0</v>
      </c>
      <c r="AH767" s="18" t="n">
        <f aca="false">IF($K767="SEM CULTURA",0,$V767*$H767)</f>
        <v>0</v>
      </c>
      <c r="AI767" s="18" t="n">
        <f aca="false">IF($K767="SEM CULTURA",0,$W767*$H767)</f>
        <v>0</v>
      </c>
      <c r="AJ767" s="18" t="n">
        <f aca="false">IF($K767="SEM CULTURA",0,$S767*$H767)</f>
        <v>0</v>
      </c>
      <c r="AK767" s="8" t="str">
        <f aca="false">$E767&amp;"|"&amp;TEXT($AD767,"0.000000")</f>
        <v>PV 113|0.000000</v>
      </c>
    </row>
    <row r="768" customFormat="false" ht="15" hidden="false" customHeight="false" outlineLevel="0" collapsed="false">
      <c r="B768" s="16" t="n">
        <v>37</v>
      </c>
      <c r="C768" s="17" t="n">
        <f aca="false">DATA_INICIO_SAFRA+($B768-1)*DIAS_POR_SEMANA</f>
        <v>46517</v>
      </c>
      <c r="D768" s="17" t="n">
        <f aca="false">$C768+DIAS_POR_SEMANA-1</f>
        <v>46523</v>
      </c>
      <c r="E768" s="15" t="s">
        <v>270</v>
      </c>
      <c r="F768" s="8" t="str">
        <f aca="false">IFERROR(INDEX(CADASTRO_PIVOS!$C$6:$C$41,MATCH($E768,CADASTRO_PIVOS!$B$6:$B$41,0)),"?")</f>
        <v>RM05</v>
      </c>
      <c r="G768" s="8" t="str">
        <f aca="false">IFERROR(INDEX(CADASTRO_PIVOS!$D$6:$D$41,MATCH($E768,CADASTRO_PIVOS!$B$6:$B$41,0)),"?")</f>
        <v>TR05</v>
      </c>
      <c r="H768" s="20" t="n">
        <f aca="false">IFERROR(INDEX(CADASTRO_PIVOS!$E$6:$E$41,MATCH($E768,CADASTRO_PIVOS!$B$6:$B$41,0)),0)</f>
        <v>149.98</v>
      </c>
      <c r="I768" s="16" t="n">
        <f aca="false">IFERROR(SUMIFS(ROTACAO_RDM!$B$6:$B$71,ROTACAO_RDM!$D$6:$D$71,$E768,ROTACAO_RDM!$I$6:$I$71,"&lt;="&amp;$C768+INT(DIAS_POR_SEMANA/2),ROTACAO_RDM!$J$6:$J$71,"&gt;="&amp;$C768+INT(DIAS_POR_SEMANA/2)),0)</f>
        <v>0</v>
      </c>
      <c r="J768" s="16" t="n">
        <f aca="false">IFERROR(MATCH($I768,ROTACAO_RDM!$B$6:$B$71,0),0)</f>
        <v>0</v>
      </c>
      <c r="K768" s="8" t="str">
        <f aca="false">IF($J768=0,"SEM CULTURA",INDEX(ROTACAO_RDM!$F$6:$F$71,$J768))</f>
        <v>SEM CULTURA</v>
      </c>
      <c r="L768" s="8" t="str">
        <f aca="false">IF($J768=0,"",INDEX(ROTACAO_RDM!$G$6:$G$71,$J768))</f>
        <v/>
      </c>
      <c r="M768" s="17" t="str">
        <f aca="false">IF($J768=0,"",INDEX(ROTACAO_RDM!$I$6:$I$71,$J768))</f>
        <v/>
      </c>
      <c r="N768" s="16" t="n">
        <f aca="false">IF($J768=0,0,MAX(0,$C768+INT(DIAS_POR_SEMANA/2)-INDEX(ROTACAO_RDM!$I$6:$I$71,$J768)))</f>
        <v>0</v>
      </c>
      <c r="O768" s="19" t="n">
        <f aca="false">IF($J768=0,0,MIN(1,$N768/MAX(1,INDEX(ROTACAO_RDM!$K$6:$K$71,$J768))))</f>
        <v>0</v>
      </c>
      <c r="P768" s="16" t="n">
        <f aca="false">IF($J768=0,0,IFERROR(MATCH(INDEX(ROTACAO_RDM!$N$6:$N$71,$J768),PARAMETROS_CULTURAS!$B$6:$B$28,0),0))</f>
        <v>0</v>
      </c>
      <c r="Q768" s="8" t="str">
        <f aca="false">IF($P768=0,"-",IF($O768&lt;=INDEX(PARAMETROS_CULTURAS!$F$6:$F$28,$P768),"INICIAL",IF($O768&lt;=INDEX(PARAMETROS_CULTURAS!$F$6:$F$28,$P768)+INDEX(PARAMETROS_CULTURAS!$G$6:$G$28,$P768),"DESENVOLVIMENTO",IF($O768&lt;=INDEX(PARAMETROS_CULTURAS!$F$6:$F$28,$P768)+INDEX(PARAMETROS_CULTURAS!$G$6:$G$28,$P768)+INDEX(PARAMETROS_CULTURAS!$H$6:$H$28,$P768),"MEDIA","FINAL"))))</f>
        <v>-</v>
      </c>
      <c r="R768" s="24" t="n">
        <f aca="false">IF($P768=0,0,IF($O768&lt;=INDEX(PARAMETROS_CULTURAS!$F$6:$F$28,$P768),INDEX(PARAMETROS_CULTURAS!$K$6:$K$28,$P768),IF($O768&lt;=INDEX(PARAMETROS_CULTURAS!$F$6:$F$28,$P768)+INDEX(PARAMETROS_CULTURAS!$G$6:$G$28,$P768),INDEX(PARAMETROS_CULTURAS!$K$6:$K$28,$P768)+(INDEX(PARAMETROS_CULTURAS!$L$6:$L$28,$P768)-INDEX(PARAMETROS_CULTURAS!$K$6:$K$28,$P768))*($O768-INDEX(PARAMETROS_CULTURAS!$F$6:$F$28,$P768))/MAX(INDEX(PARAMETROS_CULTURAS!$G$6:$G$28,$P768),0.0001),IF($O768&lt;=INDEX(PARAMETROS_CULTURAS!$F$6:$F$28,$P768)+INDEX(PARAMETROS_CULTURAS!$G$6:$G$28,$P768)+INDEX(PARAMETROS_CULTURAS!$H$6:$H$28,$P768),INDEX(PARAMETROS_CULTURAS!$L$6:$L$28,$P768),INDEX(PARAMETROS_CULTURAS!$L$6:$L$28,$P768)+(INDEX(PARAMETROS_CULTURAS!$M$6:$M$28,$P768)-INDEX(PARAMETROS_CULTURAS!$L$6:$L$28,$P768))*($O768-INDEX(PARAMETROS_CULTURAS!$F$6:$F$28,$P768)-INDEX(PARAMETROS_CULTURAS!$G$6:$G$28,$P768)-INDEX(PARAMETROS_CULTURAS!$H$6:$H$28,$P768))/MAX(INDEX(PARAMETROS_CULTURAS!$I$6:$I$28,$P768),0.0001)))))</f>
        <v>0</v>
      </c>
      <c r="S768" s="18" t="n">
        <f aca="false">IFERROR(INDEX(SEMANAS!$H$6:$H$71,MATCH($B768,SEMANAS!$B$6:$B$71,0)),0)</f>
        <v>29.4</v>
      </c>
      <c r="T768" s="18" t="n">
        <f aca="false">$R768*$S768</f>
        <v>0</v>
      </c>
      <c r="U768" s="18" t="n">
        <f aca="false">IFERROR(INDEX(SEMANAS!$I$6:$I$71,MATCH($B768,SEMANAS!$B$6:$B$71,0)),0)</f>
        <v>3.36</v>
      </c>
      <c r="V768" s="18" t="n">
        <f aca="false">IFERROR(INDEX(SEMANAS!$J$6:$J$71,MATCH($B768,SEMANAS!$B$6:$B$71,0)),0)</f>
        <v>2.688</v>
      </c>
      <c r="W768" s="18" t="n">
        <f aca="false">MAX(0,$T768-$V768)</f>
        <v>0</v>
      </c>
      <c r="X768" s="19" t="n">
        <f aca="false">IFERROR(INDEX(CADASTRO_PIVOS!$K$6:$K$41,MATCH($E768,CADASTRO_PIVOS!$B$6:$B$41,0)),EFICIENCIA_PADRAO)</f>
        <v>0.85</v>
      </c>
      <c r="Y768" s="18" t="n">
        <f aca="false">IF($X768&lt;=0,0,$W768/$X768)</f>
        <v>0</v>
      </c>
      <c r="Z768" s="16" t="n">
        <f aca="false">$Y768*$H768*MM_PARA_M3_HA</f>
        <v>0</v>
      </c>
      <c r="AA768" s="18" t="n">
        <f aca="false">IFERROR(INDEX(CADASTRO_PIVOS!$I$6:$I$41,MATCH($E768,CADASTRO_PIVOS!$B$6:$B$41,0)),0)</f>
        <v>928.447619047619</v>
      </c>
      <c r="AB768" s="18" t="n">
        <f aca="false">IF($Z768&lt;=0,0,$Z768/$AA768)</f>
        <v>0</v>
      </c>
      <c r="AC768" s="16" t="n">
        <f aca="false">IFERROR(INDEX(SEMANAS!$K$6:$K$71,MATCH($B768,SEMANAS!$B$6:$B$71,0)),0)</f>
        <v>147</v>
      </c>
      <c r="AD768" s="19" t="n">
        <f aca="false">IF($AC768&lt;=0,0,$AB768/$AC768)</f>
        <v>0</v>
      </c>
      <c r="AE768" s="8" t="str">
        <f aca="false">IF($K768="SEM CULTURA","SEM CULTURA",IF($AA768&lt;=0,"DADO PENDENTE",IF($AD768&gt;LIMITE_CRITICO,"INVIAVEL",IF($AD768&gt;LIMITE_ATENCAO,"CRITICO",IF($AD768&gt;LIMITE_CONFORTAVEL,"ATENCAO","OK")))))</f>
        <v>SEM CULTURA</v>
      </c>
      <c r="AF768" s="8" t="str">
        <f aca="false">$B768&amp;"|"&amp;TEXT($AD768,"0.000000")</f>
        <v>37|0.000000</v>
      </c>
      <c r="AG768" s="18" t="n">
        <f aca="false">IF($K768="SEM CULTURA",0,$T768*$H768)</f>
        <v>0</v>
      </c>
      <c r="AH768" s="18" t="n">
        <f aca="false">IF($K768="SEM CULTURA",0,$V768*$H768)</f>
        <v>0</v>
      </c>
      <c r="AI768" s="18" t="n">
        <f aca="false">IF($K768="SEM CULTURA",0,$W768*$H768)</f>
        <v>0</v>
      </c>
      <c r="AJ768" s="18" t="n">
        <f aca="false">IF($K768="SEM CULTURA",0,$S768*$H768)</f>
        <v>0</v>
      </c>
      <c r="AK768" s="8" t="str">
        <f aca="false">$E768&amp;"|"&amp;TEXT($AD768,"0.000000")</f>
        <v>PV 113|0.000000</v>
      </c>
    </row>
    <row r="769" customFormat="false" ht="15" hidden="false" customHeight="false" outlineLevel="0" collapsed="false">
      <c r="B769" s="16" t="n">
        <v>38</v>
      </c>
      <c r="C769" s="17" t="n">
        <f aca="false">DATA_INICIO_SAFRA+($B769-1)*DIAS_POR_SEMANA</f>
        <v>46524</v>
      </c>
      <c r="D769" s="17" t="n">
        <f aca="false">$C769+DIAS_POR_SEMANA-1</f>
        <v>46530</v>
      </c>
      <c r="E769" s="15" t="s">
        <v>270</v>
      </c>
      <c r="F769" s="8" t="str">
        <f aca="false">IFERROR(INDEX(CADASTRO_PIVOS!$C$6:$C$41,MATCH($E769,CADASTRO_PIVOS!$B$6:$B$41,0)),"?")</f>
        <v>RM05</v>
      </c>
      <c r="G769" s="8" t="str">
        <f aca="false">IFERROR(INDEX(CADASTRO_PIVOS!$D$6:$D$41,MATCH($E769,CADASTRO_PIVOS!$B$6:$B$41,0)),"?")</f>
        <v>TR05</v>
      </c>
      <c r="H769" s="20" t="n">
        <f aca="false">IFERROR(INDEX(CADASTRO_PIVOS!$E$6:$E$41,MATCH($E769,CADASTRO_PIVOS!$B$6:$B$41,0)),0)</f>
        <v>149.98</v>
      </c>
      <c r="I769" s="16" t="n">
        <f aca="false">IFERROR(SUMIFS(ROTACAO_RDM!$B$6:$B$71,ROTACAO_RDM!$D$6:$D$71,$E769,ROTACAO_RDM!$I$6:$I$71,"&lt;="&amp;$C769+INT(DIAS_POR_SEMANA/2),ROTACAO_RDM!$J$6:$J$71,"&gt;="&amp;$C769+INT(DIAS_POR_SEMANA/2)),0)</f>
        <v>0</v>
      </c>
      <c r="J769" s="16" t="n">
        <f aca="false">IFERROR(MATCH($I769,ROTACAO_RDM!$B$6:$B$71,0),0)</f>
        <v>0</v>
      </c>
      <c r="K769" s="8" t="str">
        <f aca="false">IF($J769=0,"SEM CULTURA",INDEX(ROTACAO_RDM!$F$6:$F$71,$J769))</f>
        <v>SEM CULTURA</v>
      </c>
      <c r="L769" s="8" t="str">
        <f aca="false">IF($J769=0,"",INDEX(ROTACAO_RDM!$G$6:$G$71,$J769))</f>
        <v/>
      </c>
      <c r="M769" s="17" t="str">
        <f aca="false">IF($J769=0,"",INDEX(ROTACAO_RDM!$I$6:$I$71,$J769))</f>
        <v/>
      </c>
      <c r="N769" s="16" t="n">
        <f aca="false">IF($J769=0,0,MAX(0,$C769+INT(DIAS_POR_SEMANA/2)-INDEX(ROTACAO_RDM!$I$6:$I$71,$J769)))</f>
        <v>0</v>
      </c>
      <c r="O769" s="19" t="n">
        <f aca="false">IF($J769=0,0,MIN(1,$N769/MAX(1,INDEX(ROTACAO_RDM!$K$6:$K$71,$J769))))</f>
        <v>0</v>
      </c>
      <c r="P769" s="16" t="n">
        <f aca="false">IF($J769=0,0,IFERROR(MATCH(INDEX(ROTACAO_RDM!$N$6:$N$71,$J769),PARAMETROS_CULTURAS!$B$6:$B$28,0),0))</f>
        <v>0</v>
      </c>
      <c r="Q769" s="8" t="str">
        <f aca="false">IF($P769=0,"-",IF($O769&lt;=INDEX(PARAMETROS_CULTURAS!$F$6:$F$28,$P769),"INICIAL",IF($O769&lt;=INDEX(PARAMETROS_CULTURAS!$F$6:$F$28,$P769)+INDEX(PARAMETROS_CULTURAS!$G$6:$G$28,$P769),"DESENVOLVIMENTO",IF($O769&lt;=INDEX(PARAMETROS_CULTURAS!$F$6:$F$28,$P769)+INDEX(PARAMETROS_CULTURAS!$G$6:$G$28,$P769)+INDEX(PARAMETROS_CULTURAS!$H$6:$H$28,$P769),"MEDIA","FINAL"))))</f>
        <v>-</v>
      </c>
      <c r="R769" s="24" t="n">
        <f aca="false">IF($P769=0,0,IF($O769&lt;=INDEX(PARAMETROS_CULTURAS!$F$6:$F$28,$P769),INDEX(PARAMETROS_CULTURAS!$K$6:$K$28,$P769),IF($O769&lt;=INDEX(PARAMETROS_CULTURAS!$F$6:$F$28,$P769)+INDEX(PARAMETROS_CULTURAS!$G$6:$G$28,$P769),INDEX(PARAMETROS_CULTURAS!$K$6:$K$28,$P769)+(INDEX(PARAMETROS_CULTURAS!$L$6:$L$28,$P769)-INDEX(PARAMETROS_CULTURAS!$K$6:$K$28,$P769))*($O769-INDEX(PARAMETROS_CULTURAS!$F$6:$F$28,$P769))/MAX(INDEX(PARAMETROS_CULTURAS!$G$6:$G$28,$P769),0.0001),IF($O769&lt;=INDEX(PARAMETROS_CULTURAS!$F$6:$F$28,$P769)+INDEX(PARAMETROS_CULTURAS!$G$6:$G$28,$P769)+INDEX(PARAMETROS_CULTURAS!$H$6:$H$28,$P769),INDEX(PARAMETROS_CULTURAS!$L$6:$L$28,$P769),INDEX(PARAMETROS_CULTURAS!$L$6:$L$28,$P769)+(INDEX(PARAMETROS_CULTURAS!$M$6:$M$28,$P769)-INDEX(PARAMETROS_CULTURAS!$L$6:$L$28,$P769))*($O769-INDEX(PARAMETROS_CULTURAS!$F$6:$F$28,$P769)-INDEX(PARAMETROS_CULTURAS!$G$6:$G$28,$P769)-INDEX(PARAMETROS_CULTURAS!$H$6:$H$28,$P769))/MAX(INDEX(PARAMETROS_CULTURAS!$I$6:$I$28,$P769),0.0001)))))</f>
        <v>0</v>
      </c>
      <c r="S769" s="18" t="n">
        <f aca="false">IFERROR(INDEX(SEMANAS!$H$6:$H$71,MATCH($B769,SEMANAS!$B$6:$B$71,0)),0)</f>
        <v>29.4</v>
      </c>
      <c r="T769" s="18" t="n">
        <f aca="false">$R769*$S769</f>
        <v>0</v>
      </c>
      <c r="U769" s="18" t="n">
        <f aca="false">IFERROR(INDEX(SEMANAS!$I$6:$I$71,MATCH($B769,SEMANAS!$B$6:$B$71,0)),0)</f>
        <v>3.36</v>
      </c>
      <c r="V769" s="18" t="n">
        <f aca="false">IFERROR(INDEX(SEMANAS!$J$6:$J$71,MATCH($B769,SEMANAS!$B$6:$B$71,0)),0)</f>
        <v>2.688</v>
      </c>
      <c r="W769" s="18" t="n">
        <f aca="false">MAX(0,$T769-$V769)</f>
        <v>0</v>
      </c>
      <c r="X769" s="19" t="n">
        <f aca="false">IFERROR(INDEX(CADASTRO_PIVOS!$K$6:$K$41,MATCH($E769,CADASTRO_PIVOS!$B$6:$B$41,0)),EFICIENCIA_PADRAO)</f>
        <v>0.85</v>
      </c>
      <c r="Y769" s="18" t="n">
        <f aca="false">IF($X769&lt;=0,0,$W769/$X769)</f>
        <v>0</v>
      </c>
      <c r="Z769" s="16" t="n">
        <f aca="false">$Y769*$H769*MM_PARA_M3_HA</f>
        <v>0</v>
      </c>
      <c r="AA769" s="18" t="n">
        <f aca="false">IFERROR(INDEX(CADASTRO_PIVOS!$I$6:$I$41,MATCH($E769,CADASTRO_PIVOS!$B$6:$B$41,0)),0)</f>
        <v>928.447619047619</v>
      </c>
      <c r="AB769" s="18" t="n">
        <f aca="false">IF($Z769&lt;=0,0,$Z769/$AA769)</f>
        <v>0</v>
      </c>
      <c r="AC769" s="16" t="n">
        <f aca="false">IFERROR(INDEX(SEMANAS!$K$6:$K$71,MATCH($B769,SEMANAS!$B$6:$B$71,0)),0)</f>
        <v>147</v>
      </c>
      <c r="AD769" s="19" t="n">
        <f aca="false">IF($AC769&lt;=0,0,$AB769/$AC769)</f>
        <v>0</v>
      </c>
      <c r="AE769" s="8" t="str">
        <f aca="false">IF($K769="SEM CULTURA","SEM CULTURA",IF($AA769&lt;=0,"DADO PENDENTE",IF($AD769&gt;LIMITE_CRITICO,"INVIAVEL",IF($AD769&gt;LIMITE_ATENCAO,"CRITICO",IF($AD769&gt;LIMITE_CONFORTAVEL,"ATENCAO","OK")))))</f>
        <v>SEM CULTURA</v>
      </c>
      <c r="AF769" s="8" t="str">
        <f aca="false">$B769&amp;"|"&amp;TEXT($AD769,"0.000000")</f>
        <v>38|0.000000</v>
      </c>
      <c r="AG769" s="18" t="n">
        <f aca="false">IF($K769="SEM CULTURA",0,$T769*$H769)</f>
        <v>0</v>
      </c>
      <c r="AH769" s="18" t="n">
        <f aca="false">IF($K769="SEM CULTURA",0,$V769*$H769)</f>
        <v>0</v>
      </c>
      <c r="AI769" s="18" t="n">
        <f aca="false">IF($K769="SEM CULTURA",0,$W769*$H769)</f>
        <v>0</v>
      </c>
      <c r="AJ769" s="18" t="n">
        <f aca="false">IF($K769="SEM CULTURA",0,$S769*$H769)</f>
        <v>0</v>
      </c>
      <c r="AK769" s="8" t="str">
        <f aca="false">$E769&amp;"|"&amp;TEXT($AD769,"0.000000")</f>
        <v>PV 113|0.000000</v>
      </c>
    </row>
    <row r="770" customFormat="false" ht="15" hidden="false" customHeight="false" outlineLevel="0" collapsed="false">
      <c r="B770" s="16" t="n">
        <v>39</v>
      </c>
      <c r="C770" s="17" t="n">
        <f aca="false">DATA_INICIO_SAFRA+($B770-1)*DIAS_POR_SEMANA</f>
        <v>46531</v>
      </c>
      <c r="D770" s="17" t="n">
        <f aca="false">$C770+DIAS_POR_SEMANA-1</f>
        <v>46537</v>
      </c>
      <c r="E770" s="15" t="s">
        <v>270</v>
      </c>
      <c r="F770" s="8" t="str">
        <f aca="false">IFERROR(INDEX(CADASTRO_PIVOS!$C$6:$C$41,MATCH($E770,CADASTRO_PIVOS!$B$6:$B$41,0)),"?")</f>
        <v>RM05</v>
      </c>
      <c r="G770" s="8" t="str">
        <f aca="false">IFERROR(INDEX(CADASTRO_PIVOS!$D$6:$D$41,MATCH($E770,CADASTRO_PIVOS!$B$6:$B$41,0)),"?")</f>
        <v>TR05</v>
      </c>
      <c r="H770" s="20" t="n">
        <f aca="false">IFERROR(INDEX(CADASTRO_PIVOS!$E$6:$E$41,MATCH($E770,CADASTRO_PIVOS!$B$6:$B$41,0)),0)</f>
        <v>149.98</v>
      </c>
      <c r="I770" s="16" t="n">
        <f aca="false">IFERROR(SUMIFS(ROTACAO_RDM!$B$6:$B$71,ROTACAO_RDM!$D$6:$D$71,$E770,ROTACAO_RDM!$I$6:$I$71,"&lt;="&amp;$C770+INT(DIAS_POR_SEMANA/2),ROTACAO_RDM!$J$6:$J$71,"&gt;="&amp;$C770+INT(DIAS_POR_SEMANA/2)),0)</f>
        <v>0</v>
      </c>
      <c r="J770" s="16" t="n">
        <f aca="false">IFERROR(MATCH($I770,ROTACAO_RDM!$B$6:$B$71,0),0)</f>
        <v>0</v>
      </c>
      <c r="K770" s="8" t="str">
        <f aca="false">IF($J770=0,"SEM CULTURA",INDEX(ROTACAO_RDM!$F$6:$F$71,$J770))</f>
        <v>SEM CULTURA</v>
      </c>
      <c r="L770" s="8" t="str">
        <f aca="false">IF($J770=0,"",INDEX(ROTACAO_RDM!$G$6:$G$71,$J770))</f>
        <v/>
      </c>
      <c r="M770" s="17" t="str">
        <f aca="false">IF($J770=0,"",INDEX(ROTACAO_RDM!$I$6:$I$71,$J770))</f>
        <v/>
      </c>
      <c r="N770" s="16" t="n">
        <f aca="false">IF($J770=0,0,MAX(0,$C770+INT(DIAS_POR_SEMANA/2)-INDEX(ROTACAO_RDM!$I$6:$I$71,$J770)))</f>
        <v>0</v>
      </c>
      <c r="O770" s="19" t="n">
        <f aca="false">IF($J770=0,0,MIN(1,$N770/MAX(1,INDEX(ROTACAO_RDM!$K$6:$K$71,$J770))))</f>
        <v>0</v>
      </c>
      <c r="P770" s="16" t="n">
        <f aca="false">IF($J770=0,0,IFERROR(MATCH(INDEX(ROTACAO_RDM!$N$6:$N$71,$J770),PARAMETROS_CULTURAS!$B$6:$B$28,0),0))</f>
        <v>0</v>
      </c>
      <c r="Q770" s="8" t="str">
        <f aca="false">IF($P770=0,"-",IF($O770&lt;=INDEX(PARAMETROS_CULTURAS!$F$6:$F$28,$P770),"INICIAL",IF($O770&lt;=INDEX(PARAMETROS_CULTURAS!$F$6:$F$28,$P770)+INDEX(PARAMETROS_CULTURAS!$G$6:$G$28,$P770),"DESENVOLVIMENTO",IF($O770&lt;=INDEX(PARAMETROS_CULTURAS!$F$6:$F$28,$P770)+INDEX(PARAMETROS_CULTURAS!$G$6:$G$28,$P770)+INDEX(PARAMETROS_CULTURAS!$H$6:$H$28,$P770),"MEDIA","FINAL"))))</f>
        <v>-</v>
      </c>
      <c r="R770" s="24" t="n">
        <f aca="false">IF($P770=0,0,IF($O770&lt;=INDEX(PARAMETROS_CULTURAS!$F$6:$F$28,$P770),INDEX(PARAMETROS_CULTURAS!$K$6:$K$28,$P770),IF($O770&lt;=INDEX(PARAMETROS_CULTURAS!$F$6:$F$28,$P770)+INDEX(PARAMETROS_CULTURAS!$G$6:$G$28,$P770),INDEX(PARAMETROS_CULTURAS!$K$6:$K$28,$P770)+(INDEX(PARAMETROS_CULTURAS!$L$6:$L$28,$P770)-INDEX(PARAMETROS_CULTURAS!$K$6:$K$28,$P770))*($O770-INDEX(PARAMETROS_CULTURAS!$F$6:$F$28,$P770))/MAX(INDEX(PARAMETROS_CULTURAS!$G$6:$G$28,$P770),0.0001),IF($O770&lt;=INDEX(PARAMETROS_CULTURAS!$F$6:$F$28,$P770)+INDEX(PARAMETROS_CULTURAS!$G$6:$G$28,$P770)+INDEX(PARAMETROS_CULTURAS!$H$6:$H$28,$P770),INDEX(PARAMETROS_CULTURAS!$L$6:$L$28,$P770),INDEX(PARAMETROS_CULTURAS!$L$6:$L$28,$P770)+(INDEX(PARAMETROS_CULTURAS!$M$6:$M$28,$P770)-INDEX(PARAMETROS_CULTURAS!$L$6:$L$28,$P770))*($O770-INDEX(PARAMETROS_CULTURAS!$F$6:$F$28,$P770)-INDEX(PARAMETROS_CULTURAS!$G$6:$G$28,$P770)-INDEX(PARAMETROS_CULTURAS!$H$6:$H$28,$P770))/MAX(INDEX(PARAMETROS_CULTURAS!$I$6:$I$28,$P770),0.0001)))))</f>
        <v>0</v>
      </c>
      <c r="S770" s="18" t="n">
        <f aca="false">IFERROR(INDEX(SEMANAS!$H$6:$H$71,MATCH($B770,SEMANAS!$B$6:$B$71,0)),0)</f>
        <v>29.4</v>
      </c>
      <c r="T770" s="18" t="n">
        <f aca="false">$R770*$S770</f>
        <v>0</v>
      </c>
      <c r="U770" s="18" t="n">
        <f aca="false">IFERROR(INDEX(SEMANAS!$I$6:$I$71,MATCH($B770,SEMANAS!$B$6:$B$71,0)),0)</f>
        <v>3.36</v>
      </c>
      <c r="V770" s="18" t="n">
        <f aca="false">IFERROR(INDEX(SEMANAS!$J$6:$J$71,MATCH($B770,SEMANAS!$B$6:$B$71,0)),0)</f>
        <v>2.688</v>
      </c>
      <c r="W770" s="18" t="n">
        <f aca="false">MAX(0,$T770-$V770)</f>
        <v>0</v>
      </c>
      <c r="X770" s="19" t="n">
        <f aca="false">IFERROR(INDEX(CADASTRO_PIVOS!$K$6:$K$41,MATCH($E770,CADASTRO_PIVOS!$B$6:$B$41,0)),EFICIENCIA_PADRAO)</f>
        <v>0.85</v>
      </c>
      <c r="Y770" s="18" t="n">
        <f aca="false">IF($X770&lt;=0,0,$W770/$X770)</f>
        <v>0</v>
      </c>
      <c r="Z770" s="16" t="n">
        <f aca="false">$Y770*$H770*MM_PARA_M3_HA</f>
        <v>0</v>
      </c>
      <c r="AA770" s="18" t="n">
        <f aca="false">IFERROR(INDEX(CADASTRO_PIVOS!$I$6:$I$41,MATCH($E770,CADASTRO_PIVOS!$B$6:$B$41,0)),0)</f>
        <v>928.447619047619</v>
      </c>
      <c r="AB770" s="18" t="n">
        <f aca="false">IF($Z770&lt;=0,0,$Z770/$AA770)</f>
        <v>0</v>
      </c>
      <c r="AC770" s="16" t="n">
        <f aca="false">IFERROR(INDEX(SEMANAS!$K$6:$K$71,MATCH($B770,SEMANAS!$B$6:$B$71,0)),0)</f>
        <v>147</v>
      </c>
      <c r="AD770" s="19" t="n">
        <f aca="false">IF($AC770&lt;=0,0,$AB770/$AC770)</f>
        <v>0</v>
      </c>
      <c r="AE770" s="8" t="str">
        <f aca="false">IF($K770="SEM CULTURA","SEM CULTURA",IF($AA770&lt;=0,"DADO PENDENTE",IF($AD770&gt;LIMITE_CRITICO,"INVIAVEL",IF($AD770&gt;LIMITE_ATENCAO,"CRITICO",IF($AD770&gt;LIMITE_CONFORTAVEL,"ATENCAO","OK")))))</f>
        <v>SEM CULTURA</v>
      </c>
      <c r="AF770" s="8" t="str">
        <f aca="false">$B770&amp;"|"&amp;TEXT($AD770,"0.000000")</f>
        <v>39|0.000000</v>
      </c>
      <c r="AG770" s="18" t="n">
        <f aca="false">IF($K770="SEM CULTURA",0,$T770*$H770)</f>
        <v>0</v>
      </c>
      <c r="AH770" s="18" t="n">
        <f aca="false">IF($K770="SEM CULTURA",0,$V770*$H770)</f>
        <v>0</v>
      </c>
      <c r="AI770" s="18" t="n">
        <f aca="false">IF($K770="SEM CULTURA",0,$W770*$H770)</f>
        <v>0</v>
      </c>
      <c r="AJ770" s="18" t="n">
        <f aca="false">IF($K770="SEM CULTURA",0,$S770*$H770)</f>
        <v>0</v>
      </c>
      <c r="AK770" s="8" t="str">
        <f aca="false">$E770&amp;"|"&amp;TEXT($AD770,"0.000000")</f>
        <v>PV 113|0.000000</v>
      </c>
    </row>
    <row r="771" customFormat="false" ht="15" hidden="false" customHeight="false" outlineLevel="0" collapsed="false">
      <c r="B771" s="16" t="n">
        <v>40</v>
      </c>
      <c r="C771" s="17" t="n">
        <f aca="false">DATA_INICIO_SAFRA+($B771-1)*DIAS_POR_SEMANA</f>
        <v>46538</v>
      </c>
      <c r="D771" s="17" t="n">
        <f aca="false">$C771+DIAS_POR_SEMANA-1</f>
        <v>46544</v>
      </c>
      <c r="E771" s="15" t="s">
        <v>270</v>
      </c>
      <c r="F771" s="8" t="str">
        <f aca="false">IFERROR(INDEX(CADASTRO_PIVOS!$C$6:$C$41,MATCH($E771,CADASTRO_PIVOS!$B$6:$B$41,0)),"?")</f>
        <v>RM05</v>
      </c>
      <c r="G771" s="8" t="str">
        <f aca="false">IFERROR(INDEX(CADASTRO_PIVOS!$D$6:$D$41,MATCH($E771,CADASTRO_PIVOS!$B$6:$B$41,0)),"?")</f>
        <v>TR05</v>
      </c>
      <c r="H771" s="20" t="n">
        <f aca="false">IFERROR(INDEX(CADASTRO_PIVOS!$E$6:$E$41,MATCH($E771,CADASTRO_PIVOS!$B$6:$B$41,0)),0)</f>
        <v>149.98</v>
      </c>
      <c r="I771" s="16" t="n">
        <f aca="false">IFERROR(SUMIFS(ROTACAO_RDM!$B$6:$B$71,ROTACAO_RDM!$D$6:$D$71,$E771,ROTACAO_RDM!$I$6:$I$71,"&lt;="&amp;$C771+INT(DIAS_POR_SEMANA/2),ROTACAO_RDM!$J$6:$J$71,"&gt;="&amp;$C771+INT(DIAS_POR_SEMANA/2)),0)</f>
        <v>0</v>
      </c>
      <c r="J771" s="16" t="n">
        <f aca="false">IFERROR(MATCH($I771,ROTACAO_RDM!$B$6:$B$71,0),0)</f>
        <v>0</v>
      </c>
      <c r="K771" s="8" t="str">
        <f aca="false">IF($J771=0,"SEM CULTURA",INDEX(ROTACAO_RDM!$F$6:$F$71,$J771))</f>
        <v>SEM CULTURA</v>
      </c>
      <c r="L771" s="8" t="str">
        <f aca="false">IF($J771=0,"",INDEX(ROTACAO_RDM!$G$6:$G$71,$J771))</f>
        <v/>
      </c>
      <c r="M771" s="17" t="str">
        <f aca="false">IF($J771=0,"",INDEX(ROTACAO_RDM!$I$6:$I$71,$J771))</f>
        <v/>
      </c>
      <c r="N771" s="16" t="n">
        <f aca="false">IF($J771=0,0,MAX(0,$C771+INT(DIAS_POR_SEMANA/2)-INDEX(ROTACAO_RDM!$I$6:$I$71,$J771)))</f>
        <v>0</v>
      </c>
      <c r="O771" s="19" t="n">
        <f aca="false">IF($J771=0,0,MIN(1,$N771/MAX(1,INDEX(ROTACAO_RDM!$K$6:$K$71,$J771))))</f>
        <v>0</v>
      </c>
      <c r="P771" s="16" t="n">
        <f aca="false">IF($J771=0,0,IFERROR(MATCH(INDEX(ROTACAO_RDM!$N$6:$N$71,$J771),PARAMETROS_CULTURAS!$B$6:$B$28,0),0))</f>
        <v>0</v>
      </c>
      <c r="Q771" s="8" t="str">
        <f aca="false">IF($P771=0,"-",IF($O771&lt;=INDEX(PARAMETROS_CULTURAS!$F$6:$F$28,$P771),"INICIAL",IF($O771&lt;=INDEX(PARAMETROS_CULTURAS!$F$6:$F$28,$P771)+INDEX(PARAMETROS_CULTURAS!$G$6:$G$28,$P771),"DESENVOLVIMENTO",IF($O771&lt;=INDEX(PARAMETROS_CULTURAS!$F$6:$F$28,$P771)+INDEX(PARAMETROS_CULTURAS!$G$6:$G$28,$P771)+INDEX(PARAMETROS_CULTURAS!$H$6:$H$28,$P771),"MEDIA","FINAL"))))</f>
        <v>-</v>
      </c>
      <c r="R771" s="24" t="n">
        <f aca="false">IF($P771=0,0,IF($O771&lt;=INDEX(PARAMETROS_CULTURAS!$F$6:$F$28,$P771),INDEX(PARAMETROS_CULTURAS!$K$6:$K$28,$P771),IF($O771&lt;=INDEX(PARAMETROS_CULTURAS!$F$6:$F$28,$P771)+INDEX(PARAMETROS_CULTURAS!$G$6:$G$28,$P771),INDEX(PARAMETROS_CULTURAS!$K$6:$K$28,$P771)+(INDEX(PARAMETROS_CULTURAS!$L$6:$L$28,$P771)-INDEX(PARAMETROS_CULTURAS!$K$6:$K$28,$P771))*($O771-INDEX(PARAMETROS_CULTURAS!$F$6:$F$28,$P771))/MAX(INDEX(PARAMETROS_CULTURAS!$G$6:$G$28,$P771),0.0001),IF($O771&lt;=INDEX(PARAMETROS_CULTURAS!$F$6:$F$28,$P771)+INDEX(PARAMETROS_CULTURAS!$G$6:$G$28,$P771)+INDEX(PARAMETROS_CULTURAS!$H$6:$H$28,$P771),INDEX(PARAMETROS_CULTURAS!$L$6:$L$28,$P771),INDEX(PARAMETROS_CULTURAS!$L$6:$L$28,$P771)+(INDEX(PARAMETROS_CULTURAS!$M$6:$M$28,$P771)-INDEX(PARAMETROS_CULTURAS!$L$6:$L$28,$P771))*($O771-INDEX(PARAMETROS_CULTURAS!$F$6:$F$28,$P771)-INDEX(PARAMETROS_CULTURAS!$G$6:$G$28,$P771)-INDEX(PARAMETROS_CULTURAS!$H$6:$H$28,$P771))/MAX(INDEX(PARAMETROS_CULTURAS!$I$6:$I$28,$P771),0.0001)))))</f>
        <v>0</v>
      </c>
      <c r="S771" s="18" t="n">
        <f aca="false">IFERROR(INDEX(SEMANAS!$H$6:$H$71,MATCH($B771,SEMANAS!$B$6:$B$71,0)),0)</f>
        <v>28.2</v>
      </c>
      <c r="T771" s="18" t="n">
        <f aca="false">$R771*$S771</f>
        <v>0</v>
      </c>
      <c r="U771" s="18" t="n">
        <f aca="false">IFERROR(INDEX(SEMANAS!$I$6:$I$71,MATCH($B771,SEMANAS!$B$6:$B$71,0)),0)</f>
        <v>1.5</v>
      </c>
      <c r="V771" s="18" t="n">
        <f aca="false">IFERROR(INDEX(SEMANAS!$J$6:$J$71,MATCH($B771,SEMANAS!$B$6:$B$71,0)),0)</f>
        <v>1.2</v>
      </c>
      <c r="W771" s="18" t="n">
        <f aca="false">MAX(0,$T771-$V771)</f>
        <v>0</v>
      </c>
      <c r="X771" s="19" t="n">
        <f aca="false">IFERROR(INDEX(CADASTRO_PIVOS!$K$6:$K$41,MATCH($E771,CADASTRO_PIVOS!$B$6:$B$41,0)),EFICIENCIA_PADRAO)</f>
        <v>0.85</v>
      </c>
      <c r="Y771" s="18" t="n">
        <f aca="false">IF($X771&lt;=0,0,$W771/$X771)</f>
        <v>0</v>
      </c>
      <c r="Z771" s="16" t="n">
        <f aca="false">$Y771*$H771*MM_PARA_M3_HA</f>
        <v>0</v>
      </c>
      <c r="AA771" s="18" t="n">
        <f aca="false">IFERROR(INDEX(CADASTRO_PIVOS!$I$6:$I$41,MATCH($E771,CADASTRO_PIVOS!$B$6:$B$41,0)),0)</f>
        <v>928.447619047619</v>
      </c>
      <c r="AB771" s="18" t="n">
        <f aca="false">IF($Z771&lt;=0,0,$Z771/$AA771)</f>
        <v>0</v>
      </c>
      <c r="AC771" s="16" t="n">
        <f aca="false">IFERROR(INDEX(SEMANAS!$K$6:$K$71,MATCH($B771,SEMANAS!$B$6:$B$71,0)),0)</f>
        <v>147</v>
      </c>
      <c r="AD771" s="19" t="n">
        <f aca="false">IF($AC771&lt;=0,0,$AB771/$AC771)</f>
        <v>0</v>
      </c>
      <c r="AE771" s="8" t="str">
        <f aca="false">IF($K771="SEM CULTURA","SEM CULTURA",IF($AA771&lt;=0,"DADO PENDENTE",IF($AD771&gt;LIMITE_CRITICO,"INVIAVEL",IF($AD771&gt;LIMITE_ATENCAO,"CRITICO",IF($AD771&gt;LIMITE_CONFORTAVEL,"ATENCAO","OK")))))</f>
        <v>SEM CULTURA</v>
      </c>
      <c r="AF771" s="8" t="str">
        <f aca="false">$B771&amp;"|"&amp;TEXT($AD771,"0.000000")</f>
        <v>40|0.000000</v>
      </c>
      <c r="AG771" s="18" t="n">
        <f aca="false">IF($K771="SEM CULTURA",0,$T771*$H771)</f>
        <v>0</v>
      </c>
      <c r="AH771" s="18" t="n">
        <f aca="false">IF($K771="SEM CULTURA",0,$V771*$H771)</f>
        <v>0</v>
      </c>
      <c r="AI771" s="18" t="n">
        <f aca="false">IF($K771="SEM CULTURA",0,$W771*$H771)</f>
        <v>0</v>
      </c>
      <c r="AJ771" s="18" t="n">
        <f aca="false">IF($K771="SEM CULTURA",0,$S771*$H771)</f>
        <v>0</v>
      </c>
      <c r="AK771" s="8" t="str">
        <f aca="false">$E771&amp;"|"&amp;TEXT($AD771,"0.000000")</f>
        <v>PV 113|0.000000</v>
      </c>
    </row>
    <row r="772" customFormat="false" ht="15" hidden="false" customHeight="false" outlineLevel="0" collapsed="false">
      <c r="B772" s="16" t="n">
        <v>41</v>
      </c>
      <c r="C772" s="17" t="n">
        <f aca="false">DATA_INICIO_SAFRA+($B772-1)*DIAS_POR_SEMANA</f>
        <v>46545</v>
      </c>
      <c r="D772" s="17" t="n">
        <f aca="false">$C772+DIAS_POR_SEMANA-1</f>
        <v>46551</v>
      </c>
      <c r="E772" s="15" t="s">
        <v>270</v>
      </c>
      <c r="F772" s="8" t="str">
        <f aca="false">IFERROR(INDEX(CADASTRO_PIVOS!$C$6:$C$41,MATCH($E772,CADASTRO_PIVOS!$B$6:$B$41,0)),"?")</f>
        <v>RM05</v>
      </c>
      <c r="G772" s="8" t="str">
        <f aca="false">IFERROR(INDEX(CADASTRO_PIVOS!$D$6:$D$41,MATCH($E772,CADASTRO_PIVOS!$B$6:$B$41,0)),"?")</f>
        <v>TR05</v>
      </c>
      <c r="H772" s="20" t="n">
        <f aca="false">IFERROR(INDEX(CADASTRO_PIVOS!$E$6:$E$41,MATCH($E772,CADASTRO_PIVOS!$B$6:$B$41,0)),0)</f>
        <v>149.98</v>
      </c>
      <c r="I772" s="16" t="n">
        <f aca="false">IFERROR(SUMIFS(ROTACAO_RDM!$B$6:$B$71,ROTACAO_RDM!$D$6:$D$71,$E772,ROTACAO_RDM!$I$6:$I$71,"&lt;="&amp;$C772+INT(DIAS_POR_SEMANA/2),ROTACAO_RDM!$J$6:$J$71,"&gt;="&amp;$C772+INT(DIAS_POR_SEMANA/2)),0)</f>
        <v>23</v>
      </c>
      <c r="J772" s="16" t="n">
        <f aca="false">IFERROR(MATCH($I772,ROTACAO_RDM!$B$6:$B$71,0),0)</f>
        <v>23</v>
      </c>
      <c r="K772" s="8" t="str">
        <f aca="false">IF($J772=0,"SEM CULTURA",INDEX(ROTACAO_RDM!$F$6:$F$71,$J772))</f>
        <v>MILHO_SEMENTE</v>
      </c>
      <c r="L772" s="8" t="n">
        <f aca="false">IF($J772=0,"",INDEX(ROTACAO_RDM!$G$6:$G$71,$J772))</f>
        <v>0</v>
      </c>
      <c r="M772" s="17" t="n">
        <f aca="false">IF($J772=0,"",INDEX(ROTACAO_RDM!$I$6:$I$71,$J772))</f>
        <v>46542</v>
      </c>
      <c r="N772" s="16" t="n">
        <f aca="false">IF($J772=0,0,MAX(0,$C772+INT(DIAS_POR_SEMANA/2)-INDEX(ROTACAO_RDM!$I$6:$I$71,$J772)))</f>
        <v>6</v>
      </c>
      <c r="O772" s="19" t="n">
        <f aca="false">IF($J772=0,0,MIN(1,$N772/MAX(1,INDEX(ROTACAO_RDM!$K$6:$K$71,$J772))))</f>
        <v>0.0413793103448276</v>
      </c>
      <c r="P772" s="16" t="n">
        <f aca="false">IF($J772=0,0,IFERROR(MATCH(INDEX(ROTACAO_RDM!$N$6:$N$71,$J772),PARAMETROS_CULTURAS!$B$6:$B$28,0),0))</f>
        <v>7</v>
      </c>
      <c r="Q772" s="8" t="str">
        <f aca="false">IF($P772=0,"-",IF($O772&lt;=INDEX(PARAMETROS_CULTURAS!$F$6:$F$28,$P772),"INICIAL",IF($O772&lt;=INDEX(PARAMETROS_CULTURAS!$F$6:$F$28,$P772)+INDEX(PARAMETROS_CULTURAS!$G$6:$G$28,$P772),"DESENVOLVIMENTO",IF($O772&lt;=INDEX(PARAMETROS_CULTURAS!$F$6:$F$28,$P772)+INDEX(PARAMETROS_CULTURAS!$G$6:$G$28,$P772)+INDEX(PARAMETROS_CULTURAS!$H$6:$H$28,$P772),"MEDIA","FINAL"))))</f>
        <v>INICIAL</v>
      </c>
      <c r="R772" s="24" t="n">
        <f aca="false">IF($P772=0,0,IF($O772&lt;=INDEX(PARAMETROS_CULTURAS!$F$6:$F$28,$P772),INDEX(PARAMETROS_CULTURAS!$K$6:$K$28,$P772),IF($O772&lt;=INDEX(PARAMETROS_CULTURAS!$F$6:$F$28,$P772)+INDEX(PARAMETROS_CULTURAS!$G$6:$G$28,$P772),INDEX(PARAMETROS_CULTURAS!$K$6:$K$28,$P772)+(INDEX(PARAMETROS_CULTURAS!$L$6:$L$28,$P772)-INDEX(PARAMETROS_CULTURAS!$K$6:$K$28,$P772))*($O772-INDEX(PARAMETROS_CULTURAS!$F$6:$F$28,$P772))/MAX(INDEX(PARAMETROS_CULTURAS!$G$6:$G$28,$P772),0.0001),IF($O772&lt;=INDEX(PARAMETROS_CULTURAS!$F$6:$F$28,$P772)+INDEX(PARAMETROS_CULTURAS!$G$6:$G$28,$P772)+INDEX(PARAMETROS_CULTURAS!$H$6:$H$28,$P772),INDEX(PARAMETROS_CULTURAS!$L$6:$L$28,$P772),INDEX(PARAMETROS_CULTURAS!$L$6:$L$28,$P772)+(INDEX(PARAMETROS_CULTURAS!$M$6:$M$28,$P772)-INDEX(PARAMETROS_CULTURAS!$L$6:$L$28,$P772))*($O772-INDEX(PARAMETROS_CULTURAS!$F$6:$F$28,$P772)-INDEX(PARAMETROS_CULTURAS!$G$6:$G$28,$P772)-INDEX(PARAMETROS_CULTURAS!$H$6:$H$28,$P772))/MAX(INDEX(PARAMETROS_CULTURAS!$I$6:$I$28,$P772),0.0001)))))</f>
        <v>0.3</v>
      </c>
      <c r="S772" s="18" t="n">
        <f aca="false">IFERROR(INDEX(SEMANAS!$H$6:$H$71,MATCH($B772,SEMANAS!$B$6:$B$71,0)),0)</f>
        <v>28</v>
      </c>
      <c r="T772" s="18" t="n">
        <f aca="false">$R772*$S772</f>
        <v>8.4</v>
      </c>
      <c r="U772" s="18" t="n">
        <f aca="false">IFERROR(INDEX(SEMANAS!$I$6:$I$71,MATCH($B772,SEMANAS!$B$6:$B$71,0)),0)</f>
        <v>1.19</v>
      </c>
      <c r="V772" s="18" t="n">
        <f aca="false">IFERROR(INDEX(SEMANAS!$J$6:$J$71,MATCH($B772,SEMANAS!$B$6:$B$71,0)),0)</f>
        <v>0.952</v>
      </c>
      <c r="W772" s="18" t="n">
        <f aca="false">MAX(0,$T772-$V772)</f>
        <v>7.448</v>
      </c>
      <c r="X772" s="19" t="n">
        <f aca="false">IFERROR(INDEX(CADASTRO_PIVOS!$K$6:$K$41,MATCH($E772,CADASTRO_PIVOS!$B$6:$B$41,0)),EFICIENCIA_PADRAO)</f>
        <v>0.85</v>
      </c>
      <c r="Y772" s="18" t="n">
        <f aca="false">IF($X772&lt;=0,0,$W772/$X772)</f>
        <v>8.76235294117647</v>
      </c>
      <c r="Z772" s="16" t="n">
        <f aca="false">$Y772*$H772*MM_PARA_M3_HA</f>
        <v>13141.7769411765</v>
      </c>
      <c r="AA772" s="18" t="n">
        <f aca="false">IFERROR(INDEX(CADASTRO_PIVOS!$I$6:$I$41,MATCH($E772,CADASTRO_PIVOS!$B$6:$B$41,0)),0)</f>
        <v>928.447619047619</v>
      </c>
      <c r="AB772" s="18" t="n">
        <f aca="false">IF($Z772&lt;=0,0,$Z772/$AA772)</f>
        <v>14.1545701357466</v>
      </c>
      <c r="AC772" s="16" t="n">
        <f aca="false">IFERROR(INDEX(SEMANAS!$K$6:$K$71,MATCH($B772,SEMANAS!$B$6:$B$71,0)),0)</f>
        <v>147</v>
      </c>
      <c r="AD772" s="19" t="n">
        <f aca="false">IF($AC772&lt;=0,0,$AB772/$AC772)</f>
        <v>0.096289592760181</v>
      </c>
      <c r="AE772" s="8" t="str">
        <f aca="false">IF($K772="SEM CULTURA","SEM CULTURA",IF($AA772&lt;=0,"DADO PENDENTE",IF($AD772&gt;LIMITE_CRITICO,"INVIAVEL",IF($AD772&gt;LIMITE_ATENCAO,"CRITICO",IF($AD772&gt;LIMITE_CONFORTAVEL,"ATENCAO","OK")))))</f>
        <v>OK</v>
      </c>
      <c r="AF772" s="8" t="str">
        <f aca="false">$B772&amp;"|"&amp;TEXT($AD772,"0.000000")</f>
        <v>41|0.096290</v>
      </c>
      <c r="AG772" s="18" t="n">
        <f aca="false">IF($K772="SEM CULTURA",0,$T772*$H772)</f>
        <v>1259.832</v>
      </c>
      <c r="AH772" s="18" t="n">
        <f aca="false">IF($K772="SEM CULTURA",0,$V772*$H772)</f>
        <v>142.78096</v>
      </c>
      <c r="AI772" s="18" t="n">
        <f aca="false">IF($K772="SEM CULTURA",0,$W772*$H772)</f>
        <v>1117.05104</v>
      </c>
      <c r="AJ772" s="18" t="n">
        <f aca="false">IF($K772="SEM CULTURA",0,$S772*$H772)</f>
        <v>4199.44</v>
      </c>
      <c r="AK772" s="8" t="str">
        <f aca="false">$E772&amp;"|"&amp;TEXT($AD772,"0.000000")</f>
        <v>PV 113|0.096290</v>
      </c>
    </row>
    <row r="773" customFormat="false" ht="15" hidden="false" customHeight="false" outlineLevel="0" collapsed="false">
      <c r="B773" s="16" t="n">
        <v>42</v>
      </c>
      <c r="C773" s="17" t="n">
        <f aca="false">DATA_INICIO_SAFRA+($B773-1)*DIAS_POR_SEMANA</f>
        <v>46552</v>
      </c>
      <c r="D773" s="17" t="n">
        <f aca="false">$C773+DIAS_POR_SEMANA-1</f>
        <v>46558</v>
      </c>
      <c r="E773" s="15" t="s">
        <v>270</v>
      </c>
      <c r="F773" s="8" t="str">
        <f aca="false">IFERROR(INDEX(CADASTRO_PIVOS!$C$6:$C$41,MATCH($E773,CADASTRO_PIVOS!$B$6:$B$41,0)),"?")</f>
        <v>RM05</v>
      </c>
      <c r="G773" s="8" t="str">
        <f aca="false">IFERROR(INDEX(CADASTRO_PIVOS!$D$6:$D$41,MATCH($E773,CADASTRO_PIVOS!$B$6:$B$41,0)),"?")</f>
        <v>TR05</v>
      </c>
      <c r="H773" s="20" t="n">
        <f aca="false">IFERROR(INDEX(CADASTRO_PIVOS!$E$6:$E$41,MATCH($E773,CADASTRO_PIVOS!$B$6:$B$41,0)),0)</f>
        <v>149.98</v>
      </c>
      <c r="I773" s="16" t="n">
        <f aca="false">IFERROR(SUMIFS(ROTACAO_RDM!$B$6:$B$71,ROTACAO_RDM!$D$6:$D$71,$E773,ROTACAO_RDM!$I$6:$I$71,"&lt;="&amp;$C773+INT(DIAS_POR_SEMANA/2),ROTACAO_RDM!$J$6:$J$71,"&gt;="&amp;$C773+INT(DIAS_POR_SEMANA/2)),0)</f>
        <v>23</v>
      </c>
      <c r="J773" s="16" t="n">
        <f aca="false">IFERROR(MATCH($I773,ROTACAO_RDM!$B$6:$B$71,0),0)</f>
        <v>23</v>
      </c>
      <c r="K773" s="8" t="str">
        <f aca="false">IF($J773=0,"SEM CULTURA",INDEX(ROTACAO_RDM!$F$6:$F$71,$J773))</f>
        <v>MILHO_SEMENTE</v>
      </c>
      <c r="L773" s="8" t="n">
        <f aca="false">IF($J773=0,"",INDEX(ROTACAO_RDM!$G$6:$G$71,$J773))</f>
        <v>0</v>
      </c>
      <c r="M773" s="17" t="n">
        <f aca="false">IF($J773=0,"",INDEX(ROTACAO_RDM!$I$6:$I$71,$J773))</f>
        <v>46542</v>
      </c>
      <c r="N773" s="16" t="n">
        <f aca="false">IF($J773=0,0,MAX(0,$C773+INT(DIAS_POR_SEMANA/2)-INDEX(ROTACAO_RDM!$I$6:$I$71,$J773)))</f>
        <v>13</v>
      </c>
      <c r="O773" s="19" t="n">
        <f aca="false">IF($J773=0,0,MIN(1,$N773/MAX(1,INDEX(ROTACAO_RDM!$K$6:$K$71,$J773))))</f>
        <v>0.0896551724137931</v>
      </c>
      <c r="P773" s="16" t="n">
        <f aca="false">IF($J773=0,0,IFERROR(MATCH(INDEX(ROTACAO_RDM!$N$6:$N$71,$J773),PARAMETROS_CULTURAS!$B$6:$B$28,0),0))</f>
        <v>7</v>
      </c>
      <c r="Q773" s="8" t="str">
        <f aca="false">IF($P773=0,"-",IF($O773&lt;=INDEX(PARAMETROS_CULTURAS!$F$6:$F$28,$P773),"INICIAL",IF($O773&lt;=INDEX(PARAMETROS_CULTURAS!$F$6:$F$28,$P773)+INDEX(PARAMETROS_CULTURAS!$G$6:$G$28,$P773),"DESENVOLVIMENTO",IF($O773&lt;=INDEX(PARAMETROS_CULTURAS!$F$6:$F$28,$P773)+INDEX(PARAMETROS_CULTURAS!$G$6:$G$28,$P773)+INDEX(PARAMETROS_CULTURAS!$H$6:$H$28,$P773),"MEDIA","FINAL"))))</f>
        <v>INICIAL</v>
      </c>
      <c r="R773" s="24" t="n">
        <f aca="false">IF($P773=0,0,IF($O773&lt;=INDEX(PARAMETROS_CULTURAS!$F$6:$F$28,$P773),INDEX(PARAMETROS_CULTURAS!$K$6:$K$28,$P773),IF($O773&lt;=INDEX(PARAMETROS_CULTURAS!$F$6:$F$28,$P773)+INDEX(PARAMETROS_CULTURAS!$G$6:$G$28,$P773),INDEX(PARAMETROS_CULTURAS!$K$6:$K$28,$P773)+(INDEX(PARAMETROS_CULTURAS!$L$6:$L$28,$P773)-INDEX(PARAMETROS_CULTURAS!$K$6:$K$28,$P773))*($O773-INDEX(PARAMETROS_CULTURAS!$F$6:$F$28,$P773))/MAX(INDEX(PARAMETROS_CULTURAS!$G$6:$G$28,$P773),0.0001),IF($O773&lt;=INDEX(PARAMETROS_CULTURAS!$F$6:$F$28,$P773)+INDEX(PARAMETROS_CULTURAS!$G$6:$G$28,$P773)+INDEX(PARAMETROS_CULTURAS!$H$6:$H$28,$P773),INDEX(PARAMETROS_CULTURAS!$L$6:$L$28,$P773),INDEX(PARAMETROS_CULTURAS!$L$6:$L$28,$P773)+(INDEX(PARAMETROS_CULTURAS!$M$6:$M$28,$P773)-INDEX(PARAMETROS_CULTURAS!$L$6:$L$28,$P773))*($O773-INDEX(PARAMETROS_CULTURAS!$F$6:$F$28,$P773)-INDEX(PARAMETROS_CULTURAS!$G$6:$G$28,$P773)-INDEX(PARAMETROS_CULTURAS!$H$6:$H$28,$P773))/MAX(INDEX(PARAMETROS_CULTURAS!$I$6:$I$28,$P773),0.0001)))))</f>
        <v>0.3</v>
      </c>
      <c r="S773" s="18" t="n">
        <f aca="false">IFERROR(INDEX(SEMANAS!$H$6:$H$71,MATCH($B773,SEMANAS!$B$6:$B$71,0)),0)</f>
        <v>28</v>
      </c>
      <c r="T773" s="18" t="n">
        <f aca="false">$R773*$S773</f>
        <v>8.4</v>
      </c>
      <c r="U773" s="18" t="n">
        <f aca="false">IFERROR(INDEX(SEMANAS!$I$6:$I$71,MATCH($B773,SEMANAS!$B$6:$B$71,0)),0)</f>
        <v>1.19</v>
      </c>
      <c r="V773" s="18" t="n">
        <f aca="false">IFERROR(INDEX(SEMANAS!$J$6:$J$71,MATCH($B773,SEMANAS!$B$6:$B$71,0)),0)</f>
        <v>0.952</v>
      </c>
      <c r="W773" s="18" t="n">
        <f aca="false">MAX(0,$T773-$V773)</f>
        <v>7.448</v>
      </c>
      <c r="X773" s="19" t="n">
        <f aca="false">IFERROR(INDEX(CADASTRO_PIVOS!$K$6:$K$41,MATCH($E773,CADASTRO_PIVOS!$B$6:$B$41,0)),EFICIENCIA_PADRAO)</f>
        <v>0.85</v>
      </c>
      <c r="Y773" s="18" t="n">
        <f aca="false">IF($X773&lt;=0,0,$W773/$X773)</f>
        <v>8.76235294117647</v>
      </c>
      <c r="Z773" s="16" t="n">
        <f aca="false">$Y773*$H773*MM_PARA_M3_HA</f>
        <v>13141.7769411765</v>
      </c>
      <c r="AA773" s="18" t="n">
        <f aca="false">IFERROR(INDEX(CADASTRO_PIVOS!$I$6:$I$41,MATCH($E773,CADASTRO_PIVOS!$B$6:$B$41,0)),0)</f>
        <v>928.447619047619</v>
      </c>
      <c r="AB773" s="18" t="n">
        <f aca="false">IF($Z773&lt;=0,0,$Z773/$AA773)</f>
        <v>14.1545701357466</v>
      </c>
      <c r="AC773" s="16" t="n">
        <f aca="false">IFERROR(INDEX(SEMANAS!$K$6:$K$71,MATCH($B773,SEMANAS!$B$6:$B$71,0)),0)</f>
        <v>147</v>
      </c>
      <c r="AD773" s="19" t="n">
        <f aca="false">IF($AC773&lt;=0,0,$AB773/$AC773)</f>
        <v>0.096289592760181</v>
      </c>
      <c r="AE773" s="8" t="str">
        <f aca="false">IF($K773="SEM CULTURA","SEM CULTURA",IF($AA773&lt;=0,"DADO PENDENTE",IF($AD773&gt;LIMITE_CRITICO,"INVIAVEL",IF($AD773&gt;LIMITE_ATENCAO,"CRITICO",IF($AD773&gt;LIMITE_CONFORTAVEL,"ATENCAO","OK")))))</f>
        <v>OK</v>
      </c>
      <c r="AF773" s="8" t="str">
        <f aca="false">$B773&amp;"|"&amp;TEXT($AD773,"0.000000")</f>
        <v>42|0.096290</v>
      </c>
      <c r="AG773" s="18" t="n">
        <f aca="false">IF($K773="SEM CULTURA",0,$T773*$H773)</f>
        <v>1259.832</v>
      </c>
      <c r="AH773" s="18" t="n">
        <f aca="false">IF($K773="SEM CULTURA",0,$V773*$H773)</f>
        <v>142.78096</v>
      </c>
      <c r="AI773" s="18" t="n">
        <f aca="false">IF($K773="SEM CULTURA",0,$W773*$H773)</f>
        <v>1117.05104</v>
      </c>
      <c r="AJ773" s="18" t="n">
        <f aca="false">IF($K773="SEM CULTURA",0,$S773*$H773)</f>
        <v>4199.44</v>
      </c>
      <c r="AK773" s="8" t="str">
        <f aca="false">$E773&amp;"|"&amp;TEXT($AD773,"0.000000")</f>
        <v>PV 113|0.096290</v>
      </c>
    </row>
    <row r="774" customFormat="false" ht="15" hidden="false" customHeight="false" outlineLevel="0" collapsed="false">
      <c r="B774" s="16" t="n">
        <v>43</v>
      </c>
      <c r="C774" s="17" t="n">
        <f aca="false">DATA_INICIO_SAFRA+($B774-1)*DIAS_POR_SEMANA</f>
        <v>46559</v>
      </c>
      <c r="D774" s="17" t="n">
        <f aca="false">$C774+DIAS_POR_SEMANA-1</f>
        <v>46565</v>
      </c>
      <c r="E774" s="15" t="s">
        <v>270</v>
      </c>
      <c r="F774" s="8" t="str">
        <f aca="false">IFERROR(INDEX(CADASTRO_PIVOS!$C$6:$C$41,MATCH($E774,CADASTRO_PIVOS!$B$6:$B$41,0)),"?")</f>
        <v>RM05</v>
      </c>
      <c r="G774" s="8" t="str">
        <f aca="false">IFERROR(INDEX(CADASTRO_PIVOS!$D$6:$D$41,MATCH($E774,CADASTRO_PIVOS!$B$6:$B$41,0)),"?")</f>
        <v>TR05</v>
      </c>
      <c r="H774" s="20" t="n">
        <f aca="false">IFERROR(INDEX(CADASTRO_PIVOS!$E$6:$E$41,MATCH($E774,CADASTRO_PIVOS!$B$6:$B$41,0)),0)</f>
        <v>149.98</v>
      </c>
      <c r="I774" s="16" t="n">
        <f aca="false">IFERROR(SUMIFS(ROTACAO_RDM!$B$6:$B$71,ROTACAO_RDM!$D$6:$D$71,$E774,ROTACAO_RDM!$I$6:$I$71,"&lt;="&amp;$C774+INT(DIAS_POR_SEMANA/2),ROTACAO_RDM!$J$6:$J$71,"&gt;="&amp;$C774+INT(DIAS_POR_SEMANA/2)),0)</f>
        <v>23</v>
      </c>
      <c r="J774" s="16" t="n">
        <f aca="false">IFERROR(MATCH($I774,ROTACAO_RDM!$B$6:$B$71,0),0)</f>
        <v>23</v>
      </c>
      <c r="K774" s="8" t="str">
        <f aca="false">IF($J774=0,"SEM CULTURA",INDEX(ROTACAO_RDM!$F$6:$F$71,$J774))</f>
        <v>MILHO_SEMENTE</v>
      </c>
      <c r="L774" s="8" t="n">
        <f aca="false">IF($J774=0,"",INDEX(ROTACAO_RDM!$G$6:$G$71,$J774))</f>
        <v>0</v>
      </c>
      <c r="M774" s="17" t="n">
        <f aca="false">IF($J774=0,"",INDEX(ROTACAO_RDM!$I$6:$I$71,$J774))</f>
        <v>46542</v>
      </c>
      <c r="N774" s="16" t="n">
        <f aca="false">IF($J774=0,0,MAX(0,$C774+INT(DIAS_POR_SEMANA/2)-INDEX(ROTACAO_RDM!$I$6:$I$71,$J774)))</f>
        <v>20</v>
      </c>
      <c r="O774" s="19" t="n">
        <f aca="false">IF($J774=0,0,MIN(1,$N774/MAX(1,INDEX(ROTACAO_RDM!$K$6:$K$71,$J774))))</f>
        <v>0.137931034482759</v>
      </c>
      <c r="P774" s="16" t="n">
        <f aca="false">IF($J774=0,0,IFERROR(MATCH(INDEX(ROTACAO_RDM!$N$6:$N$71,$J774),PARAMETROS_CULTURAS!$B$6:$B$28,0),0))</f>
        <v>7</v>
      </c>
      <c r="Q774" s="8" t="str">
        <f aca="false">IF($P774=0,"-",IF($O774&lt;=INDEX(PARAMETROS_CULTURAS!$F$6:$F$28,$P774),"INICIAL",IF($O774&lt;=INDEX(PARAMETROS_CULTURAS!$F$6:$F$28,$P774)+INDEX(PARAMETROS_CULTURAS!$G$6:$G$28,$P774),"DESENVOLVIMENTO",IF($O774&lt;=INDEX(PARAMETROS_CULTURAS!$F$6:$F$28,$P774)+INDEX(PARAMETROS_CULTURAS!$G$6:$G$28,$P774)+INDEX(PARAMETROS_CULTURAS!$H$6:$H$28,$P774),"MEDIA","FINAL"))))</f>
        <v>INICIAL</v>
      </c>
      <c r="R774" s="24" t="n">
        <f aca="false">IF($P774=0,0,IF($O774&lt;=INDEX(PARAMETROS_CULTURAS!$F$6:$F$28,$P774),INDEX(PARAMETROS_CULTURAS!$K$6:$K$28,$P774),IF($O774&lt;=INDEX(PARAMETROS_CULTURAS!$F$6:$F$28,$P774)+INDEX(PARAMETROS_CULTURAS!$G$6:$G$28,$P774),INDEX(PARAMETROS_CULTURAS!$K$6:$K$28,$P774)+(INDEX(PARAMETROS_CULTURAS!$L$6:$L$28,$P774)-INDEX(PARAMETROS_CULTURAS!$K$6:$K$28,$P774))*($O774-INDEX(PARAMETROS_CULTURAS!$F$6:$F$28,$P774))/MAX(INDEX(PARAMETROS_CULTURAS!$G$6:$G$28,$P774),0.0001),IF($O774&lt;=INDEX(PARAMETROS_CULTURAS!$F$6:$F$28,$P774)+INDEX(PARAMETROS_CULTURAS!$G$6:$G$28,$P774)+INDEX(PARAMETROS_CULTURAS!$H$6:$H$28,$P774),INDEX(PARAMETROS_CULTURAS!$L$6:$L$28,$P774),INDEX(PARAMETROS_CULTURAS!$L$6:$L$28,$P774)+(INDEX(PARAMETROS_CULTURAS!$M$6:$M$28,$P774)-INDEX(PARAMETROS_CULTURAS!$L$6:$L$28,$P774))*($O774-INDEX(PARAMETROS_CULTURAS!$F$6:$F$28,$P774)-INDEX(PARAMETROS_CULTURAS!$G$6:$G$28,$P774)-INDEX(PARAMETROS_CULTURAS!$H$6:$H$28,$P774))/MAX(INDEX(PARAMETROS_CULTURAS!$I$6:$I$28,$P774),0.0001)))))</f>
        <v>0.3</v>
      </c>
      <c r="S774" s="18" t="n">
        <f aca="false">IFERROR(INDEX(SEMANAS!$H$6:$H$71,MATCH($B774,SEMANAS!$B$6:$B$71,0)),0)</f>
        <v>28</v>
      </c>
      <c r="T774" s="18" t="n">
        <f aca="false">$R774*$S774</f>
        <v>8.4</v>
      </c>
      <c r="U774" s="18" t="n">
        <f aca="false">IFERROR(INDEX(SEMANAS!$I$6:$I$71,MATCH($B774,SEMANAS!$B$6:$B$71,0)),0)</f>
        <v>1.19</v>
      </c>
      <c r="V774" s="18" t="n">
        <f aca="false">IFERROR(INDEX(SEMANAS!$J$6:$J$71,MATCH($B774,SEMANAS!$B$6:$B$71,0)),0)</f>
        <v>0.952</v>
      </c>
      <c r="W774" s="18" t="n">
        <f aca="false">MAX(0,$T774-$V774)</f>
        <v>7.448</v>
      </c>
      <c r="X774" s="19" t="n">
        <f aca="false">IFERROR(INDEX(CADASTRO_PIVOS!$K$6:$K$41,MATCH($E774,CADASTRO_PIVOS!$B$6:$B$41,0)),EFICIENCIA_PADRAO)</f>
        <v>0.85</v>
      </c>
      <c r="Y774" s="18" t="n">
        <f aca="false">IF($X774&lt;=0,0,$W774/$X774)</f>
        <v>8.76235294117647</v>
      </c>
      <c r="Z774" s="16" t="n">
        <f aca="false">$Y774*$H774*MM_PARA_M3_HA</f>
        <v>13141.7769411765</v>
      </c>
      <c r="AA774" s="18" t="n">
        <f aca="false">IFERROR(INDEX(CADASTRO_PIVOS!$I$6:$I$41,MATCH($E774,CADASTRO_PIVOS!$B$6:$B$41,0)),0)</f>
        <v>928.447619047619</v>
      </c>
      <c r="AB774" s="18" t="n">
        <f aca="false">IF($Z774&lt;=0,0,$Z774/$AA774)</f>
        <v>14.1545701357466</v>
      </c>
      <c r="AC774" s="16" t="n">
        <f aca="false">IFERROR(INDEX(SEMANAS!$K$6:$K$71,MATCH($B774,SEMANAS!$B$6:$B$71,0)),0)</f>
        <v>147</v>
      </c>
      <c r="AD774" s="19" t="n">
        <f aca="false">IF($AC774&lt;=0,0,$AB774/$AC774)</f>
        <v>0.096289592760181</v>
      </c>
      <c r="AE774" s="8" t="str">
        <f aca="false">IF($K774="SEM CULTURA","SEM CULTURA",IF($AA774&lt;=0,"DADO PENDENTE",IF($AD774&gt;LIMITE_CRITICO,"INVIAVEL",IF($AD774&gt;LIMITE_ATENCAO,"CRITICO",IF($AD774&gt;LIMITE_CONFORTAVEL,"ATENCAO","OK")))))</f>
        <v>OK</v>
      </c>
      <c r="AF774" s="8" t="str">
        <f aca="false">$B774&amp;"|"&amp;TEXT($AD774,"0.000000")</f>
        <v>43|0.096290</v>
      </c>
      <c r="AG774" s="18" t="n">
        <f aca="false">IF($K774="SEM CULTURA",0,$T774*$H774)</f>
        <v>1259.832</v>
      </c>
      <c r="AH774" s="18" t="n">
        <f aca="false">IF($K774="SEM CULTURA",0,$V774*$H774)</f>
        <v>142.78096</v>
      </c>
      <c r="AI774" s="18" t="n">
        <f aca="false">IF($K774="SEM CULTURA",0,$W774*$H774)</f>
        <v>1117.05104</v>
      </c>
      <c r="AJ774" s="18" t="n">
        <f aca="false">IF($K774="SEM CULTURA",0,$S774*$H774)</f>
        <v>4199.44</v>
      </c>
      <c r="AK774" s="8" t="str">
        <f aca="false">$E774&amp;"|"&amp;TEXT($AD774,"0.000000")</f>
        <v>PV 113|0.096290</v>
      </c>
    </row>
    <row r="775" customFormat="false" ht="15" hidden="false" customHeight="false" outlineLevel="0" collapsed="false">
      <c r="B775" s="16" t="n">
        <v>44</v>
      </c>
      <c r="C775" s="17" t="n">
        <f aca="false">DATA_INICIO_SAFRA+($B775-1)*DIAS_POR_SEMANA</f>
        <v>46566</v>
      </c>
      <c r="D775" s="17" t="n">
        <f aca="false">$C775+DIAS_POR_SEMANA-1</f>
        <v>46572</v>
      </c>
      <c r="E775" s="15" t="s">
        <v>270</v>
      </c>
      <c r="F775" s="8" t="str">
        <f aca="false">IFERROR(INDEX(CADASTRO_PIVOS!$C$6:$C$41,MATCH($E775,CADASTRO_PIVOS!$B$6:$B$41,0)),"?")</f>
        <v>RM05</v>
      </c>
      <c r="G775" s="8" t="str">
        <f aca="false">IFERROR(INDEX(CADASTRO_PIVOS!$D$6:$D$41,MATCH($E775,CADASTRO_PIVOS!$B$6:$B$41,0)),"?")</f>
        <v>TR05</v>
      </c>
      <c r="H775" s="20" t="n">
        <f aca="false">IFERROR(INDEX(CADASTRO_PIVOS!$E$6:$E$41,MATCH($E775,CADASTRO_PIVOS!$B$6:$B$41,0)),0)</f>
        <v>149.98</v>
      </c>
      <c r="I775" s="16" t="n">
        <f aca="false">IFERROR(SUMIFS(ROTACAO_RDM!$B$6:$B$71,ROTACAO_RDM!$D$6:$D$71,$E775,ROTACAO_RDM!$I$6:$I$71,"&lt;="&amp;$C775+INT(DIAS_POR_SEMANA/2),ROTACAO_RDM!$J$6:$J$71,"&gt;="&amp;$C775+INT(DIAS_POR_SEMANA/2)),0)</f>
        <v>23</v>
      </c>
      <c r="J775" s="16" t="n">
        <f aca="false">IFERROR(MATCH($I775,ROTACAO_RDM!$B$6:$B$71,0),0)</f>
        <v>23</v>
      </c>
      <c r="K775" s="8" t="str">
        <f aca="false">IF($J775=0,"SEM CULTURA",INDEX(ROTACAO_RDM!$F$6:$F$71,$J775))</f>
        <v>MILHO_SEMENTE</v>
      </c>
      <c r="L775" s="8" t="n">
        <f aca="false">IF($J775=0,"",INDEX(ROTACAO_RDM!$G$6:$G$71,$J775))</f>
        <v>0</v>
      </c>
      <c r="M775" s="17" t="n">
        <f aca="false">IF($J775=0,"",INDEX(ROTACAO_RDM!$I$6:$I$71,$J775))</f>
        <v>46542</v>
      </c>
      <c r="N775" s="16" t="n">
        <f aca="false">IF($J775=0,0,MAX(0,$C775+INT(DIAS_POR_SEMANA/2)-INDEX(ROTACAO_RDM!$I$6:$I$71,$J775)))</f>
        <v>27</v>
      </c>
      <c r="O775" s="19" t="n">
        <f aca="false">IF($J775=0,0,MIN(1,$N775/MAX(1,INDEX(ROTACAO_RDM!$K$6:$K$71,$J775))))</f>
        <v>0.186206896551724</v>
      </c>
      <c r="P775" s="16" t="n">
        <f aca="false">IF($J775=0,0,IFERROR(MATCH(INDEX(ROTACAO_RDM!$N$6:$N$71,$J775),PARAMETROS_CULTURAS!$B$6:$B$28,0),0))</f>
        <v>7</v>
      </c>
      <c r="Q775" s="8" t="str">
        <f aca="false">IF($P775=0,"-",IF($O775&lt;=INDEX(PARAMETROS_CULTURAS!$F$6:$F$28,$P775),"INICIAL",IF($O775&lt;=INDEX(PARAMETROS_CULTURAS!$F$6:$F$28,$P775)+INDEX(PARAMETROS_CULTURAS!$G$6:$G$28,$P775),"DESENVOLVIMENTO",IF($O775&lt;=INDEX(PARAMETROS_CULTURAS!$F$6:$F$28,$P775)+INDEX(PARAMETROS_CULTURAS!$G$6:$G$28,$P775)+INDEX(PARAMETROS_CULTURAS!$H$6:$H$28,$P775),"MEDIA","FINAL"))))</f>
        <v>INICIAL</v>
      </c>
      <c r="R775" s="24" t="n">
        <f aca="false">IF($P775=0,0,IF($O775&lt;=INDEX(PARAMETROS_CULTURAS!$F$6:$F$28,$P775),INDEX(PARAMETROS_CULTURAS!$K$6:$K$28,$P775),IF($O775&lt;=INDEX(PARAMETROS_CULTURAS!$F$6:$F$28,$P775)+INDEX(PARAMETROS_CULTURAS!$G$6:$G$28,$P775),INDEX(PARAMETROS_CULTURAS!$K$6:$K$28,$P775)+(INDEX(PARAMETROS_CULTURAS!$L$6:$L$28,$P775)-INDEX(PARAMETROS_CULTURAS!$K$6:$K$28,$P775))*($O775-INDEX(PARAMETROS_CULTURAS!$F$6:$F$28,$P775))/MAX(INDEX(PARAMETROS_CULTURAS!$G$6:$G$28,$P775),0.0001),IF($O775&lt;=INDEX(PARAMETROS_CULTURAS!$F$6:$F$28,$P775)+INDEX(PARAMETROS_CULTURAS!$G$6:$G$28,$P775)+INDEX(PARAMETROS_CULTURAS!$H$6:$H$28,$P775),INDEX(PARAMETROS_CULTURAS!$L$6:$L$28,$P775),INDEX(PARAMETROS_CULTURAS!$L$6:$L$28,$P775)+(INDEX(PARAMETROS_CULTURAS!$M$6:$M$28,$P775)-INDEX(PARAMETROS_CULTURAS!$L$6:$L$28,$P775))*($O775-INDEX(PARAMETROS_CULTURAS!$F$6:$F$28,$P775)-INDEX(PARAMETROS_CULTURAS!$G$6:$G$28,$P775)-INDEX(PARAMETROS_CULTURAS!$H$6:$H$28,$P775))/MAX(INDEX(PARAMETROS_CULTURAS!$I$6:$I$28,$P775),0.0001)))))</f>
        <v>0.3</v>
      </c>
      <c r="S775" s="18" t="n">
        <f aca="false">IFERROR(INDEX(SEMANAS!$H$6:$H$71,MATCH($B775,SEMANAS!$B$6:$B$71,0)),0)</f>
        <v>29.2</v>
      </c>
      <c r="T775" s="18" t="n">
        <f aca="false">$R775*$S775</f>
        <v>8.76</v>
      </c>
      <c r="U775" s="18" t="n">
        <f aca="false">IFERROR(INDEX(SEMANAS!$I$6:$I$71,MATCH($B775,SEMANAS!$B$6:$B$71,0)),0)</f>
        <v>0.91</v>
      </c>
      <c r="V775" s="18" t="n">
        <f aca="false">IFERROR(INDEX(SEMANAS!$J$6:$J$71,MATCH($B775,SEMANAS!$B$6:$B$71,0)),0)</f>
        <v>0.728</v>
      </c>
      <c r="W775" s="18" t="n">
        <f aca="false">MAX(0,$T775-$V775)</f>
        <v>8.032</v>
      </c>
      <c r="X775" s="19" t="n">
        <f aca="false">IFERROR(INDEX(CADASTRO_PIVOS!$K$6:$K$41,MATCH($E775,CADASTRO_PIVOS!$B$6:$B$41,0)),EFICIENCIA_PADRAO)</f>
        <v>0.85</v>
      </c>
      <c r="Y775" s="18" t="n">
        <f aca="false">IF($X775&lt;=0,0,$W775/$X775)</f>
        <v>9.44941176470588</v>
      </c>
      <c r="Z775" s="16" t="n">
        <f aca="false">$Y775*$H775*MM_PARA_M3_HA</f>
        <v>14172.2277647059</v>
      </c>
      <c r="AA775" s="18" t="n">
        <f aca="false">IFERROR(INDEX(CADASTRO_PIVOS!$I$6:$I$41,MATCH($E775,CADASTRO_PIVOS!$B$6:$B$41,0)),0)</f>
        <v>928.447619047619</v>
      </c>
      <c r="AB775" s="18" t="n">
        <f aca="false">IF($Z775&lt;=0,0,$Z775/$AA775)</f>
        <v>15.2644343891403</v>
      </c>
      <c r="AC775" s="16" t="n">
        <f aca="false">IFERROR(INDEX(SEMANAS!$K$6:$K$71,MATCH($B775,SEMANAS!$B$6:$B$71,0)),0)</f>
        <v>147</v>
      </c>
      <c r="AD775" s="19" t="n">
        <f aca="false">IF($AC775&lt;=0,0,$AB775/$AC775)</f>
        <v>0.103839689722043</v>
      </c>
      <c r="AE775" s="8" t="str">
        <f aca="false">IF($K775="SEM CULTURA","SEM CULTURA",IF($AA775&lt;=0,"DADO PENDENTE",IF($AD775&gt;LIMITE_CRITICO,"INVIAVEL",IF($AD775&gt;LIMITE_ATENCAO,"CRITICO",IF($AD775&gt;LIMITE_CONFORTAVEL,"ATENCAO","OK")))))</f>
        <v>OK</v>
      </c>
      <c r="AF775" s="8" t="str">
        <f aca="false">$B775&amp;"|"&amp;TEXT($AD775,"0.000000")</f>
        <v>44|0.103840</v>
      </c>
      <c r="AG775" s="18" t="n">
        <f aca="false">IF($K775="SEM CULTURA",0,$T775*$H775)</f>
        <v>1313.8248</v>
      </c>
      <c r="AH775" s="18" t="n">
        <f aca="false">IF($K775="SEM CULTURA",0,$V775*$H775)</f>
        <v>109.18544</v>
      </c>
      <c r="AI775" s="18" t="n">
        <f aca="false">IF($K775="SEM CULTURA",0,$W775*$H775)</f>
        <v>1204.63936</v>
      </c>
      <c r="AJ775" s="18" t="n">
        <f aca="false">IF($K775="SEM CULTURA",0,$S775*$H775)</f>
        <v>4379.416</v>
      </c>
      <c r="AK775" s="8" t="str">
        <f aca="false">$E775&amp;"|"&amp;TEXT($AD775,"0.000000")</f>
        <v>PV 113|0.103840</v>
      </c>
    </row>
    <row r="776" customFormat="false" ht="15" hidden="false" customHeight="false" outlineLevel="0" collapsed="false">
      <c r="B776" s="16" t="n">
        <v>45</v>
      </c>
      <c r="C776" s="17" t="n">
        <f aca="false">DATA_INICIO_SAFRA+($B776-1)*DIAS_POR_SEMANA</f>
        <v>46573</v>
      </c>
      <c r="D776" s="17" t="n">
        <f aca="false">$C776+DIAS_POR_SEMANA-1</f>
        <v>46579</v>
      </c>
      <c r="E776" s="15" t="s">
        <v>270</v>
      </c>
      <c r="F776" s="8" t="str">
        <f aca="false">IFERROR(INDEX(CADASTRO_PIVOS!$C$6:$C$41,MATCH($E776,CADASTRO_PIVOS!$B$6:$B$41,0)),"?")</f>
        <v>RM05</v>
      </c>
      <c r="G776" s="8" t="str">
        <f aca="false">IFERROR(INDEX(CADASTRO_PIVOS!$D$6:$D$41,MATCH($E776,CADASTRO_PIVOS!$B$6:$B$41,0)),"?")</f>
        <v>TR05</v>
      </c>
      <c r="H776" s="20" t="n">
        <f aca="false">IFERROR(INDEX(CADASTRO_PIVOS!$E$6:$E$41,MATCH($E776,CADASTRO_PIVOS!$B$6:$B$41,0)),0)</f>
        <v>149.98</v>
      </c>
      <c r="I776" s="16" t="n">
        <f aca="false">IFERROR(SUMIFS(ROTACAO_RDM!$B$6:$B$71,ROTACAO_RDM!$D$6:$D$71,$E776,ROTACAO_RDM!$I$6:$I$71,"&lt;="&amp;$C776+INT(DIAS_POR_SEMANA/2),ROTACAO_RDM!$J$6:$J$71,"&gt;="&amp;$C776+INT(DIAS_POR_SEMANA/2)),0)</f>
        <v>23</v>
      </c>
      <c r="J776" s="16" t="n">
        <f aca="false">IFERROR(MATCH($I776,ROTACAO_RDM!$B$6:$B$71,0),0)</f>
        <v>23</v>
      </c>
      <c r="K776" s="8" t="str">
        <f aca="false">IF($J776=0,"SEM CULTURA",INDEX(ROTACAO_RDM!$F$6:$F$71,$J776))</f>
        <v>MILHO_SEMENTE</v>
      </c>
      <c r="L776" s="8" t="n">
        <f aca="false">IF($J776=0,"",INDEX(ROTACAO_RDM!$G$6:$G$71,$J776))</f>
        <v>0</v>
      </c>
      <c r="M776" s="17" t="n">
        <f aca="false">IF($J776=0,"",INDEX(ROTACAO_RDM!$I$6:$I$71,$J776))</f>
        <v>46542</v>
      </c>
      <c r="N776" s="16" t="n">
        <f aca="false">IF($J776=0,0,MAX(0,$C776+INT(DIAS_POR_SEMANA/2)-INDEX(ROTACAO_RDM!$I$6:$I$71,$J776)))</f>
        <v>34</v>
      </c>
      <c r="O776" s="19" t="n">
        <f aca="false">IF($J776=0,0,MIN(1,$N776/MAX(1,INDEX(ROTACAO_RDM!$K$6:$K$71,$J776))))</f>
        <v>0.23448275862069</v>
      </c>
      <c r="P776" s="16" t="n">
        <f aca="false">IF($J776=0,0,IFERROR(MATCH(INDEX(ROTACAO_RDM!$N$6:$N$71,$J776),PARAMETROS_CULTURAS!$B$6:$B$28,0),0))</f>
        <v>7</v>
      </c>
      <c r="Q776" s="8" t="str">
        <f aca="false">IF($P776=0,"-",IF($O776&lt;=INDEX(PARAMETROS_CULTURAS!$F$6:$F$28,$P776),"INICIAL",IF($O776&lt;=INDEX(PARAMETROS_CULTURAS!$F$6:$F$28,$P776)+INDEX(PARAMETROS_CULTURAS!$G$6:$G$28,$P776),"DESENVOLVIMENTO",IF($O776&lt;=INDEX(PARAMETROS_CULTURAS!$F$6:$F$28,$P776)+INDEX(PARAMETROS_CULTURAS!$G$6:$G$28,$P776)+INDEX(PARAMETROS_CULTURAS!$H$6:$H$28,$P776),"MEDIA","FINAL"))))</f>
        <v>DESENVOLVIMENTO</v>
      </c>
      <c r="R776" s="24" t="n">
        <f aca="false">IF($P776=0,0,IF($O776&lt;=INDEX(PARAMETROS_CULTURAS!$F$6:$F$28,$P776),INDEX(PARAMETROS_CULTURAS!$K$6:$K$28,$P776),IF($O776&lt;=INDEX(PARAMETROS_CULTURAS!$F$6:$F$28,$P776)+INDEX(PARAMETROS_CULTURAS!$G$6:$G$28,$P776),INDEX(PARAMETROS_CULTURAS!$K$6:$K$28,$P776)+(INDEX(PARAMETROS_CULTURAS!$L$6:$L$28,$P776)-INDEX(PARAMETROS_CULTURAS!$K$6:$K$28,$P776))*($O776-INDEX(PARAMETROS_CULTURAS!$F$6:$F$28,$P776))/MAX(INDEX(PARAMETROS_CULTURAS!$G$6:$G$28,$P776),0.0001),IF($O776&lt;=INDEX(PARAMETROS_CULTURAS!$F$6:$F$28,$P776)+INDEX(PARAMETROS_CULTURAS!$G$6:$G$28,$P776)+INDEX(PARAMETROS_CULTURAS!$H$6:$H$28,$P776),INDEX(PARAMETROS_CULTURAS!$L$6:$L$28,$P776),INDEX(PARAMETROS_CULTURAS!$L$6:$L$28,$P776)+(INDEX(PARAMETROS_CULTURAS!$M$6:$M$28,$P776)-INDEX(PARAMETROS_CULTURAS!$L$6:$L$28,$P776))*($O776-INDEX(PARAMETROS_CULTURAS!$F$6:$F$28,$P776)-INDEX(PARAMETROS_CULTURAS!$G$6:$G$28,$P776)-INDEX(PARAMETROS_CULTURAS!$H$6:$H$28,$P776))/MAX(INDEX(PARAMETROS_CULTURAS!$I$6:$I$28,$P776),0.0001)))))</f>
        <v>0.451241379310345</v>
      </c>
      <c r="S776" s="18" t="n">
        <f aca="false">IFERROR(INDEX(SEMANAS!$H$6:$H$71,MATCH($B776,SEMANAS!$B$6:$B$71,0)),0)</f>
        <v>30.1</v>
      </c>
      <c r="T776" s="18" t="n">
        <f aca="false">$R776*$S776</f>
        <v>13.5823655172414</v>
      </c>
      <c r="U776" s="18" t="n">
        <f aca="false">IFERROR(INDEX(SEMANAS!$I$6:$I$71,MATCH($B776,SEMANAS!$B$6:$B$71,0)),0)</f>
        <v>0.7</v>
      </c>
      <c r="V776" s="18" t="n">
        <f aca="false">IFERROR(INDEX(SEMANAS!$J$6:$J$71,MATCH($B776,SEMANAS!$B$6:$B$71,0)),0)</f>
        <v>0.56</v>
      </c>
      <c r="W776" s="18" t="n">
        <f aca="false">MAX(0,$T776-$V776)</f>
        <v>13.0223655172414</v>
      </c>
      <c r="X776" s="19" t="n">
        <f aca="false">IFERROR(INDEX(CADASTRO_PIVOS!$K$6:$K$41,MATCH($E776,CADASTRO_PIVOS!$B$6:$B$41,0)),EFICIENCIA_PADRAO)</f>
        <v>0.85</v>
      </c>
      <c r="Y776" s="18" t="n">
        <f aca="false">IF($X776&lt;=0,0,$W776/$X776)</f>
        <v>15.320430020284</v>
      </c>
      <c r="Z776" s="16" t="n">
        <f aca="false">$Y776*$H776*MM_PARA_M3_HA</f>
        <v>22977.5809444219</v>
      </c>
      <c r="AA776" s="18" t="n">
        <f aca="false">IFERROR(INDEX(CADASTRO_PIVOS!$I$6:$I$41,MATCH($E776,CADASTRO_PIVOS!$B$6:$B$41,0)),0)</f>
        <v>928.447619047619</v>
      </c>
      <c r="AB776" s="18" t="n">
        <f aca="false">IF($Z776&lt;=0,0,$Z776/$AA776)</f>
        <v>24.7483869558433</v>
      </c>
      <c r="AC776" s="16" t="n">
        <f aca="false">IFERROR(INDEX(SEMANAS!$K$6:$K$71,MATCH($B776,SEMANAS!$B$6:$B$71,0)),0)</f>
        <v>147</v>
      </c>
      <c r="AD776" s="19" t="n">
        <f aca="false">IF($AC776&lt;=0,0,$AB776/$AC776)</f>
        <v>0.168356373849274</v>
      </c>
      <c r="AE776" s="8" t="str">
        <f aca="false">IF($K776="SEM CULTURA","SEM CULTURA",IF($AA776&lt;=0,"DADO PENDENTE",IF($AD776&gt;LIMITE_CRITICO,"INVIAVEL",IF($AD776&gt;LIMITE_ATENCAO,"CRITICO",IF($AD776&gt;LIMITE_CONFORTAVEL,"ATENCAO","OK")))))</f>
        <v>OK</v>
      </c>
      <c r="AF776" s="8" t="str">
        <f aca="false">$B776&amp;"|"&amp;TEXT($AD776,"0.000000")</f>
        <v>45|0.168356</v>
      </c>
      <c r="AG776" s="18" t="n">
        <f aca="false">IF($K776="SEM CULTURA",0,$T776*$H776)</f>
        <v>2037.08318027586</v>
      </c>
      <c r="AH776" s="18" t="n">
        <f aca="false">IF($K776="SEM CULTURA",0,$V776*$H776)</f>
        <v>83.9888</v>
      </c>
      <c r="AI776" s="18" t="n">
        <f aca="false">IF($K776="SEM CULTURA",0,$W776*$H776)</f>
        <v>1953.09438027586</v>
      </c>
      <c r="AJ776" s="18" t="n">
        <f aca="false">IF($K776="SEM CULTURA",0,$S776*$H776)</f>
        <v>4514.398</v>
      </c>
      <c r="AK776" s="8" t="str">
        <f aca="false">$E776&amp;"|"&amp;TEXT($AD776,"0.000000")</f>
        <v>PV 113|0.168356</v>
      </c>
    </row>
    <row r="777" customFormat="false" ht="15" hidden="false" customHeight="false" outlineLevel="0" collapsed="false">
      <c r="B777" s="16" t="n">
        <v>46</v>
      </c>
      <c r="C777" s="17" t="n">
        <f aca="false">DATA_INICIO_SAFRA+($B777-1)*DIAS_POR_SEMANA</f>
        <v>46580</v>
      </c>
      <c r="D777" s="17" t="n">
        <f aca="false">$C777+DIAS_POR_SEMANA-1</f>
        <v>46586</v>
      </c>
      <c r="E777" s="15" t="s">
        <v>270</v>
      </c>
      <c r="F777" s="8" t="str">
        <f aca="false">IFERROR(INDEX(CADASTRO_PIVOS!$C$6:$C$41,MATCH($E777,CADASTRO_PIVOS!$B$6:$B$41,0)),"?")</f>
        <v>RM05</v>
      </c>
      <c r="G777" s="8" t="str">
        <f aca="false">IFERROR(INDEX(CADASTRO_PIVOS!$D$6:$D$41,MATCH($E777,CADASTRO_PIVOS!$B$6:$B$41,0)),"?")</f>
        <v>TR05</v>
      </c>
      <c r="H777" s="20" t="n">
        <f aca="false">IFERROR(INDEX(CADASTRO_PIVOS!$E$6:$E$41,MATCH($E777,CADASTRO_PIVOS!$B$6:$B$41,0)),0)</f>
        <v>149.98</v>
      </c>
      <c r="I777" s="16" t="n">
        <f aca="false">IFERROR(SUMIFS(ROTACAO_RDM!$B$6:$B$71,ROTACAO_RDM!$D$6:$D$71,$E777,ROTACAO_RDM!$I$6:$I$71,"&lt;="&amp;$C777+INT(DIAS_POR_SEMANA/2),ROTACAO_RDM!$J$6:$J$71,"&gt;="&amp;$C777+INT(DIAS_POR_SEMANA/2)),0)</f>
        <v>23</v>
      </c>
      <c r="J777" s="16" t="n">
        <f aca="false">IFERROR(MATCH($I777,ROTACAO_RDM!$B$6:$B$71,0),0)</f>
        <v>23</v>
      </c>
      <c r="K777" s="8" t="str">
        <f aca="false">IF($J777=0,"SEM CULTURA",INDEX(ROTACAO_RDM!$F$6:$F$71,$J777))</f>
        <v>MILHO_SEMENTE</v>
      </c>
      <c r="L777" s="8" t="n">
        <f aca="false">IF($J777=0,"",INDEX(ROTACAO_RDM!$G$6:$G$71,$J777))</f>
        <v>0</v>
      </c>
      <c r="M777" s="17" t="n">
        <f aca="false">IF($J777=0,"",INDEX(ROTACAO_RDM!$I$6:$I$71,$J777))</f>
        <v>46542</v>
      </c>
      <c r="N777" s="16" t="n">
        <f aca="false">IF($J777=0,0,MAX(0,$C777+INT(DIAS_POR_SEMANA/2)-INDEX(ROTACAO_RDM!$I$6:$I$71,$J777)))</f>
        <v>41</v>
      </c>
      <c r="O777" s="19" t="n">
        <f aca="false">IF($J777=0,0,MIN(1,$N777/MAX(1,INDEX(ROTACAO_RDM!$K$6:$K$71,$J777))))</f>
        <v>0.282758620689655</v>
      </c>
      <c r="P777" s="16" t="n">
        <f aca="false">IF($J777=0,0,IFERROR(MATCH(INDEX(ROTACAO_RDM!$N$6:$N$71,$J777),PARAMETROS_CULTURAS!$B$6:$B$28,0),0))</f>
        <v>7</v>
      </c>
      <c r="Q777" s="8" t="str">
        <f aca="false">IF($P777=0,"-",IF($O777&lt;=INDEX(PARAMETROS_CULTURAS!$F$6:$F$28,$P777),"INICIAL",IF($O777&lt;=INDEX(PARAMETROS_CULTURAS!$F$6:$F$28,$P777)+INDEX(PARAMETROS_CULTURAS!$G$6:$G$28,$P777),"DESENVOLVIMENTO",IF($O777&lt;=INDEX(PARAMETROS_CULTURAS!$F$6:$F$28,$P777)+INDEX(PARAMETROS_CULTURAS!$G$6:$G$28,$P777)+INDEX(PARAMETROS_CULTURAS!$H$6:$H$28,$P777),"MEDIA","FINAL"))))</f>
        <v>DESENVOLVIMENTO</v>
      </c>
      <c r="R777" s="24" t="n">
        <f aca="false">IF($P777=0,0,IF($O777&lt;=INDEX(PARAMETROS_CULTURAS!$F$6:$F$28,$P777),INDEX(PARAMETROS_CULTURAS!$K$6:$K$28,$P777),IF($O777&lt;=INDEX(PARAMETROS_CULTURAS!$F$6:$F$28,$P777)+INDEX(PARAMETROS_CULTURAS!$G$6:$G$28,$P777),INDEX(PARAMETROS_CULTURAS!$K$6:$K$28,$P777)+(INDEX(PARAMETROS_CULTURAS!$L$6:$L$28,$P777)-INDEX(PARAMETROS_CULTURAS!$K$6:$K$28,$P777))*($O777-INDEX(PARAMETROS_CULTURAS!$F$6:$F$28,$P777))/MAX(INDEX(PARAMETROS_CULTURAS!$G$6:$G$28,$P777),0.0001),IF($O777&lt;=INDEX(PARAMETROS_CULTURAS!$F$6:$F$28,$P777)+INDEX(PARAMETROS_CULTURAS!$G$6:$G$28,$P777)+INDEX(PARAMETROS_CULTURAS!$H$6:$H$28,$P777),INDEX(PARAMETROS_CULTURAS!$L$6:$L$28,$P777),INDEX(PARAMETROS_CULTURAS!$L$6:$L$28,$P777)+(INDEX(PARAMETROS_CULTURAS!$M$6:$M$28,$P777)-INDEX(PARAMETROS_CULTURAS!$L$6:$L$28,$P777))*($O777-INDEX(PARAMETROS_CULTURAS!$F$6:$F$28,$P777)-INDEX(PARAMETROS_CULTURAS!$G$6:$G$28,$P777)-INDEX(PARAMETROS_CULTURAS!$H$6:$H$28,$P777))/MAX(INDEX(PARAMETROS_CULTURAS!$I$6:$I$28,$P777),0.0001)))))</f>
        <v>0.615379310344828</v>
      </c>
      <c r="S777" s="18" t="n">
        <f aca="false">IFERROR(INDEX(SEMANAS!$H$6:$H$71,MATCH($B777,SEMANAS!$B$6:$B$71,0)),0)</f>
        <v>30.1</v>
      </c>
      <c r="T777" s="18" t="n">
        <f aca="false">$R777*$S777</f>
        <v>18.5229172413793</v>
      </c>
      <c r="U777" s="18" t="n">
        <f aca="false">IFERROR(INDEX(SEMANAS!$I$6:$I$71,MATCH($B777,SEMANAS!$B$6:$B$71,0)),0)</f>
        <v>0.7</v>
      </c>
      <c r="V777" s="18" t="n">
        <f aca="false">IFERROR(INDEX(SEMANAS!$J$6:$J$71,MATCH($B777,SEMANAS!$B$6:$B$71,0)),0)</f>
        <v>0.56</v>
      </c>
      <c r="W777" s="18" t="n">
        <f aca="false">MAX(0,$T777-$V777)</f>
        <v>17.9629172413793</v>
      </c>
      <c r="X777" s="19" t="n">
        <f aca="false">IFERROR(INDEX(CADASTRO_PIVOS!$K$6:$K$41,MATCH($E777,CADASTRO_PIVOS!$B$6:$B$41,0)),EFICIENCIA_PADRAO)</f>
        <v>0.85</v>
      </c>
      <c r="Y777" s="18" t="n">
        <f aca="false">IF($X777&lt;=0,0,$W777/$X777)</f>
        <v>21.1328438133874</v>
      </c>
      <c r="Z777" s="16" t="n">
        <f aca="false">$Y777*$H777*MM_PARA_M3_HA</f>
        <v>31695.0391513185</v>
      </c>
      <c r="AA777" s="18" t="n">
        <f aca="false">IFERROR(INDEX(CADASTRO_PIVOS!$I$6:$I$41,MATCH($E777,CADASTRO_PIVOS!$B$6:$B$41,0)),0)</f>
        <v>928.447619047619</v>
      </c>
      <c r="AB777" s="18" t="n">
        <f aca="false">IF($Z777&lt;=0,0,$Z777/$AA777)</f>
        <v>34.137670775472</v>
      </c>
      <c r="AC777" s="16" t="n">
        <f aca="false">IFERROR(INDEX(SEMANAS!$K$6:$K$71,MATCH($B777,SEMANAS!$B$6:$B$71,0)),0)</f>
        <v>147</v>
      </c>
      <c r="AD777" s="19" t="n">
        <f aca="false">IF($AC777&lt;=0,0,$AB777/$AC777)</f>
        <v>0.232229052894367</v>
      </c>
      <c r="AE777" s="8" t="str">
        <f aca="false">IF($K777="SEM CULTURA","SEM CULTURA",IF($AA777&lt;=0,"DADO PENDENTE",IF($AD777&gt;LIMITE_CRITICO,"INVIAVEL",IF($AD777&gt;LIMITE_ATENCAO,"CRITICO",IF($AD777&gt;LIMITE_CONFORTAVEL,"ATENCAO","OK")))))</f>
        <v>OK</v>
      </c>
      <c r="AF777" s="8" t="str">
        <f aca="false">$B777&amp;"|"&amp;TEXT($AD777,"0.000000")</f>
        <v>46|0.232229</v>
      </c>
      <c r="AG777" s="18" t="n">
        <f aca="false">IF($K777="SEM CULTURA",0,$T777*$H777)</f>
        <v>2778.06712786207</v>
      </c>
      <c r="AH777" s="18" t="n">
        <f aca="false">IF($K777="SEM CULTURA",0,$V777*$H777)</f>
        <v>83.9888</v>
      </c>
      <c r="AI777" s="18" t="n">
        <f aca="false">IF($K777="SEM CULTURA",0,$W777*$H777)</f>
        <v>2694.07832786207</v>
      </c>
      <c r="AJ777" s="18" t="n">
        <f aca="false">IF($K777="SEM CULTURA",0,$S777*$H777)</f>
        <v>4514.398</v>
      </c>
      <c r="AK777" s="8" t="str">
        <f aca="false">$E777&amp;"|"&amp;TEXT($AD777,"0.000000")</f>
        <v>PV 113|0.232229</v>
      </c>
    </row>
    <row r="778" customFormat="false" ht="15" hidden="false" customHeight="false" outlineLevel="0" collapsed="false">
      <c r="B778" s="16" t="n">
        <v>47</v>
      </c>
      <c r="C778" s="17" t="n">
        <f aca="false">DATA_INICIO_SAFRA+($B778-1)*DIAS_POR_SEMANA</f>
        <v>46587</v>
      </c>
      <c r="D778" s="17" t="n">
        <f aca="false">$C778+DIAS_POR_SEMANA-1</f>
        <v>46593</v>
      </c>
      <c r="E778" s="15" t="s">
        <v>270</v>
      </c>
      <c r="F778" s="8" t="str">
        <f aca="false">IFERROR(INDEX(CADASTRO_PIVOS!$C$6:$C$41,MATCH($E778,CADASTRO_PIVOS!$B$6:$B$41,0)),"?")</f>
        <v>RM05</v>
      </c>
      <c r="G778" s="8" t="str">
        <f aca="false">IFERROR(INDEX(CADASTRO_PIVOS!$D$6:$D$41,MATCH($E778,CADASTRO_PIVOS!$B$6:$B$41,0)),"?")</f>
        <v>TR05</v>
      </c>
      <c r="H778" s="20" t="n">
        <f aca="false">IFERROR(INDEX(CADASTRO_PIVOS!$E$6:$E$41,MATCH($E778,CADASTRO_PIVOS!$B$6:$B$41,0)),0)</f>
        <v>149.98</v>
      </c>
      <c r="I778" s="16" t="n">
        <f aca="false">IFERROR(SUMIFS(ROTACAO_RDM!$B$6:$B$71,ROTACAO_RDM!$D$6:$D$71,$E778,ROTACAO_RDM!$I$6:$I$71,"&lt;="&amp;$C778+INT(DIAS_POR_SEMANA/2),ROTACAO_RDM!$J$6:$J$71,"&gt;="&amp;$C778+INT(DIAS_POR_SEMANA/2)),0)</f>
        <v>23</v>
      </c>
      <c r="J778" s="16" t="n">
        <f aca="false">IFERROR(MATCH($I778,ROTACAO_RDM!$B$6:$B$71,0),0)</f>
        <v>23</v>
      </c>
      <c r="K778" s="8" t="str">
        <f aca="false">IF($J778=0,"SEM CULTURA",INDEX(ROTACAO_RDM!$F$6:$F$71,$J778))</f>
        <v>MILHO_SEMENTE</v>
      </c>
      <c r="L778" s="8" t="n">
        <f aca="false">IF($J778=0,"",INDEX(ROTACAO_RDM!$G$6:$G$71,$J778))</f>
        <v>0</v>
      </c>
      <c r="M778" s="17" t="n">
        <f aca="false">IF($J778=0,"",INDEX(ROTACAO_RDM!$I$6:$I$71,$J778))</f>
        <v>46542</v>
      </c>
      <c r="N778" s="16" t="n">
        <f aca="false">IF($J778=0,0,MAX(0,$C778+INT(DIAS_POR_SEMANA/2)-INDEX(ROTACAO_RDM!$I$6:$I$71,$J778)))</f>
        <v>48</v>
      </c>
      <c r="O778" s="19" t="n">
        <f aca="false">IF($J778=0,0,MIN(1,$N778/MAX(1,INDEX(ROTACAO_RDM!$K$6:$K$71,$J778))))</f>
        <v>0.331034482758621</v>
      </c>
      <c r="P778" s="16" t="n">
        <f aca="false">IF($J778=0,0,IFERROR(MATCH(INDEX(ROTACAO_RDM!$N$6:$N$71,$J778),PARAMETROS_CULTURAS!$B$6:$B$28,0),0))</f>
        <v>7</v>
      </c>
      <c r="Q778" s="8" t="str">
        <f aca="false">IF($P778=0,"-",IF($O778&lt;=INDEX(PARAMETROS_CULTURAS!$F$6:$F$28,$P778),"INICIAL",IF($O778&lt;=INDEX(PARAMETROS_CULTURAS!$F$6:$F$28,$P778)+INDEX(PARAMETROS_CULTURAS!$G$6:$G$28,$P778),"DESENVOLVIMENTO",IF($O778&lt;=INDEX(PARAMETROS_CULTURAS!$F$6:$F$28,$P778)+INDEX(PARAMETROS_CULTURAS!$G$6:$G$28,$P778)+INDEX(PARAMETROS_CULTURAS!$H$6:$H$28,$P778),"MEDIA","FINAL"))))</f>
        <v>DESENVOLVIMENTO</v>
      </c>
      <c r="R778" s="24" t="n">
        <f aca="false">IF($P778=0,0,IF($O778&lt;=INDEX(PARAMETROS_CULTURAS!$F$6:$F$28,$P778),INDEX(PARAMETROS_CULTURAS!$K$6:$K$28,$P778),IF($O778&lt;=INDEX(PARAMETROS_CULTURAS!$F$6:$F$28,$P778)+INDEX(PARAMETROS_CULTURAS!$G$6:$G$28,$P778),INDEX(PARAMETROS_CULTURAS!$K$6:$K$28,$P778)+(INDEX(PARAMETROS_CULTURAS!$L$6:$L$28,$P778)-INDEX(PARAMETROS_CULTURAS!$K$6:$K$28,$P778))*($O778-INDEX(PARAMETROS_CULTURAS!$F$6:$F$28,$P778))/MAX(INDEX(PARAMETROS_CULTURAS!$G$6:$G$28,$P778),0.0001),IF($O778&lt;=INDEX(PARAMETROS_CULTURAS!$F$6:$F$28,$P778)+INDEX(PARAMETROS_CULTURAS!$G$6:$G$28,$P778)+INDEX(PARAMETROS_CULTURAS!$H$6:$H$28,$P778),INDEX(PARAMETROS_CULTURAS!$L$6:$L$28,$P778),INDEX(PARAMETROS_CULTURAS!$L$6:$L$28,$P778)+(INDEX(PARAMETROS_CULTURAS!$M$6:$M$28,$P778)-INDEX(PARAMETROS_CULTURAS!$L$6:$L$28,$P778))*($O778-INDEX(PARAMETROS_CULTURAS!$F$6:$F$28,$P778)-INDEX(PARAMETROS_CULTURAS!$G$6:$G$28,$P778)-INDEX(PARAMETROS_CULTURAS!$H$6:$H$28,$P778))/MAX(INDEX(PARAMETROS_CULTURAS!$I$6:$I$28,$P778),0.0001)))))</f>
        <v>0.77951724137931</v>
      </c>
      <c r="S778" s="18" t="n">
        <f aca="false">IFERROR(INDEX(SEMANAS!$H$6:$H$71,MATCH($B778,SEMANAS!$B$6:$B$71,0)),0)</f>
        <v>30.1</v>
      </c>
      <c r="T778" s="18" t="n">
        <f aca="false">$R778*$S778</f>
        <v>23.4634689655172</v>
      </c>
      <c r="U778" s="18" t="n">
        <f aca="false">IFERROR(INDEX(SEMANAS!$I$6:$I$71,MATCH($B778,SEMANAS!$B$6:$B$71,0)),0)</f>
        <v>0.7</v>
      </c>
      <c r="V778" s="18" t="n">
        <f aca="false">IFERROR(INDEX(SEMANAS!$J$6:$J$71,MATCH($B778,SEMANAS!$B$6:$B$71,0)),0)</f>
        <v>0.56</v>
      </c>
      <c r="W778" s="18" t="n">
        <f aca="false">MAX(0,$T778-$V778)</f>
        <v>22.9034689655172</v>
      </c>
      <c r="X778" s="19" t="n">
        <f aca="false">IFERROR(INDEX(CADASTRO_PIVOS!$K$6:$K$41,MATCH($E778,CADASTRO_PIVOS!$B$6:$B$41,0)),EFICIENCIA_PADRAO)</f>
        <v>0.85</v>
      </c>
      <c r="Y778" s="18" t="n">
        <f aca="false">IF($X778&lt;=0,0,$W778/$X778)</f>
        <v>26.9452576064909</v>
      </c>
      <c r="Z778" s="16" t="n">
        <f aca="false">$Y778*$H778*MM_PARA_M3_HA</f>
        <v>40412.497358215</v>
      </c>
      <c r="AA778" s="18" t="n">
        <f aca="false">IFERROR(INDEX(CADASTRO_PIVOS!$I$6:$I$41,MATCH($E778,CADASTRO_PIVOS!$B$6:$B$41,0)),0)</f>
        <v>928.447619047619</v>
      </c>
      <c r="AB778" s="18" t="n">
        <f aca="false">IF($Z778&lt;=0,0,$Z778/$AA778)</f>
        <v>43.5269545951006</v>
      </c>
      <c r="AC778" s="16" t="n">
        <f aca="false">IFERROR(INDEX(SEMANAS!$K$6:$K$71,MATCH($B778,SEMANAS!$B$6:$B$71,0)),0)</f>
        <v>147</v>
      </c>
      <c r="AD778" s="19" t="n">
        <f aca="false">IF($AC778&lt;=0,0,$AB778/$AC778)</f>
        <v>0.29610173193946</v>
      </c>
      <c r="AE778" s="8" t="str">
        <f aca="false">IF($K778="SEM CULTURA","SEM CULTURA",IF($AA778&lt;=0,"DADO PENDENTE",IF($AD778&gt;LIMITE_CRITICO,"INVIAVEL",IF($AD778&gt;LIMITE_ATENCAO,"CRITICO",IF($AD778&gt;LIMITE_CONFORTAVEL,"ATENCAO","OK")))))</f>
        <v>OK</v>
      </c>
      <c r="AF778" s="8" t="str">
        <f aca="false">$B778&amp;"|"&amp;TEXT($AD778,"0.000000")</f>
        <v>47|0.296102</v>
      </c>
      <c r="AG778" s="18" t="n">
        <f aca="false">IF($K778="SEM CULTURA",0,$T778*$H778)</f>
        <v>3519.05107544828</v>
      </c>
      <c r="AH778" s="18" t="n">
        <f aca="false">IF($K778="SEM CULTURA",0,$V778*$H778)</f>
        <v>83.9888</v>
      </c>
      <c r="AI778" s="18" t="n">
        <f aca="false">IF($K778="SEM CULTURA",0,$W778*$H778)</f>
        <v>3435.06227544828</v>
      </c>
      <c r="AJ778" s="18" t="n">
        <f aca="false">IF($K778="SEM CULTURA",0,$S778*$H778)</f>
        <v>4514.398</v>
      </c>
      <c r="AK778" s="8" t="str">
        <f aca="false">$E778&amp;"|"&amp;TEXT($AD778,"0.000000")</f>
        <v>PV 113|0.296102</v>
      </c>
    </row>
    <row r="779" customFormat="false" ht="15" hidden="false" customHeight="false" outlineLevel="0" collapsed="false">
      <c r="B779" s="16" t="n">
        <v>48</v>
      </c>
      <c r="C779" s="17" t="n">
        <f aca="false">DATA_INICIO_SAFRA+($B779-1)*DIAS_POR_SEMANA</f>
        <v>46594</v>
      </c>
      <c r="D779" s="17" t="n">
        <f aca="false">$C779+DIAS_POR_SEMANA-1</f>
        <v>46600</v>
      </c>
      <c r="E779" s="15" t="s">
        <v>270</v>
      </c>
      <c r="F779" s="8" t="str">
        <f aca="false">IFERROR(INDEX(CADASTRO_PIVOS!$C$6:$C$41,MATCH($E779,CADASTRO_PIVOS!$B$6:$B$41,0)),"?")</f>
        <v>RM05</v>
      </c>
      <c r="G779" s="8" t="str">
        <f aca="false">IFERROR(INDEX(CADASTRO_PIVOS!$D$6:$D$41,MATCH($E779,CADASTRO_PIVOS!$B$6:$B$41,0)),"?")</f>
        <v>TR05</v>
      </c>
      <c r="H779" s="20" t="n">
        <f aca="false">IFERROR(INDEX(CADASTRO_PIVOS!$E$6:$E$41,MATCH($E779,CADASTRO_PIVOS!$B$6:$B$41,0)),0)</f>
        <v>149.98</v>
      </c>
      <c r="I779" s="16" t="n">
        <f aca="false">IFERROR(SUMIFS(ROTACAO_RDM!$B$6:$B$71,ROTACAO_RDM!$D$6:$D$71,$E779,ROTACAO_RDM!$I$6:$I$71,"&lt;="&amp;$C779+INT(DIAS_POR_SEMANA/2),ROTACAO_RDM!$J$6:$J$71,"&gt;="&amp;$C779+INT(DIAS_POR_SEMANA/2)),0)</f>
        <v>23</v>
      </c>
      <c r="J779" s="16" t="n">
        <f aca="false">IFERROR(MATCH($I779,ROTACAO_RDM!$B$6:$B$71,0),0)</f>
        <v>23</v>
      </c>
      <c r="K779" s="8" t="str">
        <f aca="false">IF($J779=0,"SEM CULTURA",INDEX(ROTACAO_RDM!$F$6:$F$71,$J779))</f>
        <v>MILHO_SEMENTE</v>
      </c>
      <c r="L779" s="8" t="n">
        <f aca="false">IF($J779=0,"",INDEX(ROTACAO_RDM!$G$6:$G$71,$J779))</f>
        <v>0</v>
      </c>
      <c r="M779" s="17" t="n">
        <f aca="false">IF($J779=0,"",INDEX(ROTACAO_RDM!$I$6:$I$71,$J779))</f>
        <v>46542</v>
      </c>
      <c r="N779" s="16" t="n">
        <f aca="false">IF($J779=0,0,MAX(0,$C779+INT(DIAS_POR_SEMANA/2)-INDEX(ROTACAO_RDM!$I$6:$I$71,$J779)))</f>
        <v>55</v>
      </c>
      <c r="O779" s="19" t="n">
        <f aca="false">IF($J779=0,0,MIN(1,$N779/MAX(1,INDEX(ROTACAO_RDM!$K$6:$K$71,$J779))))</f>
        <v>0.379310344827586</v>
      </c>
      <c r="P779" s="16" t="n">
        <f aca="false">IF($J779=0,0,IFERROR(MATCH(INDEX(ROTACAO_RDM!$N$6:$N$71,$J779),PARAMETROS_CULTURAS!$B$6:$B$28,0),0))</f>
        <v>7</v>
      </c>
      <c r="Q779" s="8" t="str">
        <f aca="false">IF($P779=0,"-",IF($O779&lt;=INDEX(PARAMETROS_CULTURAS!$F$6:$F$28,$P779),"INICIAL",IF($O779&lt;=INDEX(PARAMETROS_CULTURAS!$F$6:$F$28,$P779)+INDEX(PARAMETROS_CULTURAS!$G$6:$G$28,$P779),"DESENVOLVIMENTO",IF($O779&lt;=INDEX(PARAMETROS_CULTURAS!$F$6:$F$28,$P779)+INDEX(PARAMETROS_CULTURAS!$G$6:$G$28,$P779)+INDEX(PARAMETROS_CULTURAS!$H$6:$H$28,$P779),"MEDIA","FINAL"))))</f>
        <v>DESENVOLVIMENTO</v>
      </c>
      <c r="R779" s="24" t="n">
        <f aca="false">IF($P779=0,0,IF($O779&lt;=INDEX(PARAMETROS_CULTURAS!$F$6:$F$28,$P779),INDEX(PARAMETROS_CULTURAS!$K$6:$K$28,$P779),IF($O779&lt;=INDEX(PARAMETROS_CULTURAS!$F$6:$F$28,$P779)+INDEX(PARAMETROS_CULTURAS!$G$6:$G$28,$P779),INDEX(PARAMETROS_CULTURAS!$K$6:$K$28,$P779)+(INDEX(PARAMETROS_CULTURAS!$L$6:$L$28,$P779)-INDEX(PARAMETROS_CULTURAS!$K$6:$K$28,$P779))*($O779-INDEX(PARAMETROS_CULTURAS!$F$6:$F$28,$P779))/MAX(INDEX(PARAMETROS_CULTURAS!$G$6:$G$28,$P779),0.0001),IF($O779&lt;=INDEX(PARAMETROS_CULTURAS!$F$6:$F$28,$P779)+INDEX(PARAMETROS_CULTURAS!$G$6:$G$28,$P779)+INDEX(PARAMETROS_CULTURAS!$H$6:$H$28,$P779),INDEX(PARAMETROS_CULTURAS!$L$6:$L$28,$P779),INDEX(PARAMETROS_CULTURAS!$L$6:$L$28,$P779)+(INDEX(PARAMETROS_CULTURAS!$M$6:$M$28,$P779)-INDEX(PARAMETROS_CULTURAS!$L$6:$L$28,$P779))*($O779-INDEX(PARAMETROS_CULTURAS!$F$6:$F$28,$P779)-INDEX(PARAMETROS_CULTURAS!$G$6:$G$28,$P779)-INDEX(PARAMETROS_CULTURAS!$H$6:$H$28,$P779))/MAX(INDEX(PARAMETROS_CULTURAS!$I$6:$I$28,$P779),0.0001)))))</f>
        <v>0.943655172413793</v>
      </c>
      <c r="S779" s="18" t="n">
        <f aca="false">IFERROR(INDEX(SEMANAS!$H$6:$H$71,MATCH($B779,SEMANAS!$B$6:$B$71,0)),0)</f>
        <v>31</v>
      </c>
      <c r="T779" s="18" t="n">
        <f aca="false">$R779*$S779</f>
        <v>29.2533103448276</v>
      </c>
      <c r="U779" s="18" t="n">
        <f aca="false">IFERROR(INDEX(SEMANAS!$I$6:$I$71,MATCH($B779,SEMANAS!$B$6:$B$71,0)),0)</f>
        <v>0.76</v>
      </c>
      <c r="V779" s="18" t="n">
        <f aca="false">IFERROR(INDEX(SEMANAS!$J$6:$J$71,MATCH($B779,SEMANAS!$B$6:$B$71,0)),0)</f>
        <v>0.608</v>
      </c>
      <c r="W779" s="18" t="n">
        <f aca="false">MAX(0,$T779-$V779)</f>
        <v>28.6453103448276</v>
      </c>
      <c r="X779" s="19" t="n">
        <f aca="false">IFERROR(INDEX(CADASTRO_PIVOS!$K$6:$K$41,MATCH($E779,CADASTRO_PIVOS!$B$6:$B$41,0)),EFICIENCIA_PADRAO)</f>
        <v>0.85</v>
      </c>
      <c r="Y779" s="18" t="n">
        <f aca="false">IF($X779&lt;=0,0,$W779/$X779)</f>
        <v>33.7003651115619</v>
      </c>
      <c r="Z779" s="16" t="n">
        <f aca="false">$Y779*$H779*MM_PARA_M3_HA</f>
        <v>50543.8075943205</v>
      </c>
      <c r="AA779" s="18" t="n">
        <f aca="false">IFERROR(INDEX(CADASTRO_PIVOS!$I$6:$I$41,MATCH($E779,CADASTRO_PIVOS!$B$6:$B$41,0)),0)</f>
        <v>928.447619047619</v>
      </c>
      <c r="AB779" s="18" t="n">
        <f aca="false">IF($Z779&lt;=0,0,$Z779/$AA779)</f>
        <v>54.4390513340615</v>
      </c>
      <c r="AC779" s="16" t="n">
        <f aca="false">IFERROR(INDEX(SEMANAS!$K$6:$K$71,MATCH($B779,SEMANAS!$B$6:$B$71,0)),0)</f>
        <v>147</v>
      </c>
      <c r="AD779" s="19" t="n">
        <f aca="false">IF($AC779&lt;=0,0,$AB779/$AC779)</f>
        <v>0.370333682544636</v>
      </c>
      <c r="AE779" s="8" t="str">
        <f aca="false">IF($K779="SEM CULTURA","SEM CULTURA",IF($AA779&lt;=0,"DADO PENDENTE",IF($AD779&gt;LIMITE_CRITICO,"INVIAVEL",IF($AD779&gt;LIMITE_ATENCAO,"CRITICO",IF($AD779&gt;LIMITE_CONFORTAVEL,"ATENCAO","OK")))))</f>
        <v>OK</v>
      </c>
      <c r="AF779" s="8" t="str">
        <f aca="false">$B779&amp;"|"&amp;TEXT($AD779,"0.000000")</f>
        <v>48|0.370334</v>
      </c>
      <c r="AG779" s="18" t="n">
        <f aca="false">IF($K779="SEM CULTURA",0,$T779*$H779)</f>
        <v>4387.41148551724</v>
      </c>
      <c r="AH779" s="18" t="n">
        <f aca="false">IF($K779="SEM CULTURA",0,$V779*$H779)</f>
        <v>91.18784</v>
      </c>
      <c r="AI779" s="18" t="n">
        <f aca="false">IF($K779="SEM CULTURA",0,$W779*$H779)</f>
        <v>4296.22364551724</v>
      </c>
      <c r="AJ779" s="18" t="n">
        <f aca="false">IF($K779="SEM CULTURA",0,$S779*$H779)</f>
        <v>4649.38</v>
      </c>
      <c r="AK779" s="8" t="str">
        <f aca="false">$E779&amp;"|"&amp;TEXT($AD779,"0.000000")</f>
        <v>PV 113|0.370334</v>
      </c>
    </row>
    <row r="780" customFormat="false" ht="15" hidden="false" customHeight="false" outlineLevel="0" collapsed="false">
      <c r="B780" s="16" t="n">
        <v>49</v>
      </c>
      <c r="C780" s="17" t="n">
        <f aca="false">DATA_INICIO_SAFRA+($B780-1)*DIAS_POR_SEMANA</f>
        <v>46601</v>
      </c>
      <c r="D780" s="17" t="n">
        <f aca="false">$C780+DIAS_POR_SEMANA-1</f>
        <v>46607</v>
      </c>
      <c r="E780" s="15" t="s">
        <v>270</v>
      </c>
      <c r="F780" s="8" t="str">
        <f aca="false">IFERROR(INDEX(CADASTRO_PIVOS!$C$6:$C$41,MATCH($E780,CADASTRO_PIVOS!$B$6:$B$41,0)),"?")</f>
        <v>RM05</v>
      </c>
      <c r="G780" s="8" t="str">
        <f aca="false">IFERROR(INDEX(CADASTRO_PIVOS!$D$6:$D$41,MATCH($E780,CADASTRO_PIVOS!$B$6:$B$41,0)),"?")</f>
        <v>TR05</v>
      </c>
      <c r="H780" s="20" t="n">
        <f aca="false">IFERROR(INDEX(CADASTRO_PIVOS!$E$6:$E$41,MATCH($E780,CADASTRO_PIVOS!$B$6:$B$41,0)),0)</f>
        <v>149.98</v>
      </c>
      <c r="I780" s="16" t="n">
        <f aca="false">IFERROR(SUMIFS(ROTACAO_RDM!$B$6:$B$71,ROTACAO_RDM!$D$6:$D$71,$E780,ROTACAO_RDM!$I$6:$I$71,"&lt;="&amp;$C780+INT(DIAS_POR_SEMANA/2),ROTACAO_RDM!$J$6:$J$71,"&gt;="&amp;$C780+INT(DIAS_POR_SEMANA/2)),0)</f>
        <v>23</v>
      </c>
      <c r="J780" s="16" t="n">
        <f aca="false">IFERROR(MATCH($I780,ROTACAO_RDM!$B$6:$B$71,0),0)</f>
        <v>23</v>
      </c>
      <c r="K780" s="8" t="str">
        <f aca="false">IF($J780=0,"SEM CULTURA",INDEX(ROTACAO_RDM!$F$6:$F$71,$J780))</f>
        <v>MILHO_SEMENTE</v>
      </c>
      <c r="L780" s="8" t="n">
        <f aca="false">IF($J780=0,"",INDEX(ROTACAO_RDM!$G$6:$G$71,$J780))</f>
        <v>0</v>
      </c>
      <c r="M780" s="17" t="n">
        <f aca="false">IF($J780=0,"",INDEX(ROTACAO_RDM!$I$6:$I$71,$J780))</f>
        <v>46542</v>
      </c>
      <c r="N780" s="16" t="n">
        <f aca="false">IF($J780=0,0,MAX(0,$C780+INT(DIAS_POR_SEMANA/2)-INDEX(ROTACAO_RDM!$I$6:$I$71,$J780)))</f>
        <v>62</v>
      </c>
      <c r="O780" s="19" t="n">
        <f aca="false">IF($J780=0,0,MIN(1,$N780/MAX(1,INDEX(ROTACAO_RDM!$K$6:$K$71,$J780))))</f>
        <v>0.427586206896552</v>
      </c>
      <c r="P780" s="16" t="n">
        <f aca="false">IF($J780=0,0,IFERROR(MATCH(INDEX(ROTACAO_RDM!$N$6:$N$71,$J780),PARAMETROS_CULTURAS!$B$6:$B$28,0),0))</f>
        <v>7</v>
      </c>
      <c r="Q780" s="8" t="str">
        <f aca="false">IF($P780=0,"-",IF($O780&lt;=INDEX(PARAMETROS_CULTURAS!$F$6:$F$28,$P780),"INICIAL",IF($O780&lt;=INDEX(PARAMETROS_CULTURAS!$F$6:$F$28,$P780)+INDEX(PARAMETROS_CULTURAS!$G$6:$G$28,$P780),"DESENVOLVIMENTO",IF($O780&lt;=INDEX(PARAMETROS_CULTURAS!$F$6:$F$28,$P780)+INDEX(PARAMETROS_CULTURAS!$G$6:$G$28,$P780)+INDEX(PARAMETROS_CULTURAS!$H$6:$H$28,$P780),"MEDIA","FINAL"))))</f>
        <v>DESENVOLVIMENTO</v>
      </c>
      <c r="R780" s="24" t="n">
        <f aca="false">IF($P780=0,0,IF($O780&lt;=INDEX(PARAMETROS_CULTURAS!$F$6:$F$28,$P780),INDEX(PARAMETROS_CULTURAS!$K$6:$K$28,$P780),IF($O780&lt;=INDEX(PARAMETROS_CULTURAS!$F$6:$F$28,$P780)+INDEX(PARAMETROS_CULTURAS!$G$6:$G$28,$P780),INDEX(PARAMETROS_CULTURAS!$K$6:$K$28,$P780)+(INDEX(PARAMETROS_CULTURAS!$L$6:$L$28,$P780)-INDEX(PARAMETROS_CULTURAS!$K$6:$K$28,$P780))*($O780-INDEX(PARAMETROS_CULTURAS!$F$6:$F$28,$P780))/MAX(INDEX(PARAMETROS_CULTURAS!$G$6:$G$28,$P780),0.0001),IF($O780&lt;=INDEX(PARAMETROS_CULTURAS!$F$6:$F$28,$P780)+INDEX(PARAMETROS_CULTURAS!$G$6:$G$28,$P780)+INDEX(PARAMETROS_CULTURAS!$H$6:$H$28,$P780),INDEX(PARAMETROS_CULTURAS!$L$6:$L$28,$P780),INDEX(PARAMETROS_CULTURAS!$L$6:$L$28,$P780)+(INDEX(PARAMETROS_CULTURAS!$M$6:$M$28,$P780)-INDEX(PARAMETROS_CULTURAS!$L$6:$L$28,$P780))*($O780-INDEX(PARAMETROS_CULTURAS!$F$6:$F$28,$P780)-INDEX(PARAMETROS_CULTURAS!$G$6:$G$28,$P780)-INDEX(PARAMETROS_CULTURAS!$H$6:$H$28,$P780))/MAX(INDEX(PARAMETROS_CULTURAS!$I$6:$I$28,$P780),0.0001)))))</f>
        <v>1.10779310344828</v>
      </c>
      <c r="S780" s="18" t="n">
        <f aca="false">IFERROR(INDEX(SEMANAS!$H$6:$H$71,MATCH($B780,SEMANAS!$B$6:$B$71,0)),0)</f>
        <v>36.4</v>
      </c>
      <c r="T780" s="18" t="n">
        <f aca="false">$R780*$S780</f>
        <v>40.3236689655172</v>
      </c>
      <c r="U780" s="18" t="n">
        <f aca="false">IFERROR(INDEX(SEMANAS!$I$6:$I$71,MATCH($B780,SEMANAS!$B$6:$B$71,0)),0)</f>
        <v>1.12</v>
      </c>
      <c r="V780" s="18" t="n">
        <f aca="false">IFERROR(INDEX(SEMANAS!$J$6:$J$71,MATCH($B780,SEMANAS!$B$6:$B$71,0)),0)</f>
        <v>0.896</v>
      </c>
      <c r="W780" s="18" t="n">
        <f aca="false">MAX(0,$T780-$V780)</f>
        <v>39.4276689655172</v>
      </c>
      <c r="X780" s="19" t="n">
        <f aca="false">IFERROR(INDEX(CADASTRO_PIVOS!$K$6:$K$41,MATCH($E780,CADASTRO_PIVOS!$B$6:$B$41,0)),EFICIENCIA_PADRAO)</f>
        <v>0.85</v>
      </c>
      <c r="Y780" s="18" t="n">
        <f aca="false">IF($X780&lt;=0,0,$W780/$X780)</f>
        <v>46.3854929006085</v>
      </c>
      <c r="Z780" s="16" t="n">
        <f aca="false">$Y780*$H780*MM_PARA_M3_HA</f>
        <v>69568.9622523326</v>
      </c>
      <c r="AA780" s="18" t="n">
        <f aca="false">IFERROR(INDEX(CADASTRO_PIVOS!$I$6:$I$41,MATCH($E780,CADASTRO_PIVOS!$B$6:$B$41,0)),0)</f>
        <v>928.447619047619</v>
      </c>
      <c r="AB780" s="18" t="n">
        <f aca="false">IF($Z780&lt;=0,0,$Z780/$AA780)</f>
        <v>74.9304116086753</v>
      </c>
      <c r="AC780" s="16" t="n">
        <f aca="false">IFERROR(INDEX(SEMANAS!$K$6:$K$71,MATCH($B780,SEMANAS!$B$6:$B$71,0)),0)</f>
        <v>147</v>
      </c>
      <c r="AD780" s="19" t="n">
        <f aca="false">IF($AC780&lt;=0,0,$AB780/$AC780)</f>
        <v>0.509730691215478</v>
      </c>
      <c r="AE780" s="8" t="str">
        <f aca="false">IF($K780="SEM CULTURA","SEM CULTURA",IF($AA780&lt;=0,"DADO PENDENTE",IF($AD780&gt;LIMITE_CRITICO,"INVIAVEL",IF($AD780&gt;LIMITE_ATENCAO,"CRITICO",IF($AD780&gt;LIMITE_CONFORTAVEL,"ATENCAO","OK")))))</f>
        <v>OK</v>
      </c>
      <c r="AF780" s="8" t="str">
        <f aca="false">$B780&amp;"|"&amp;TEXT($AD780,"0.000000")</f>
        <v>49|0.509731</v>
      </c>
      <c r="AG780" s="18" t="n">
        <f aca="false">IF($K780="SEM CULTURA",0,$T780*$H780)</f>
        <v>6047.74387144827</v>
      </c>
      <c r="AH780" s="18" t="n">
        <f aca="false">IF($K780="SEM CULTURA",0,$V780*$H780)</f>
        <v>134.38208</v>
      </c>
      <c r="AI780" s="18" t="n">
        <f aca="false">IF($K780="SEM CULTURA",0,$W780*$H780)</f>
        <v>5913.36179144828</v>
      </c>
      <c r="AJ780" s="18" t="n">
        <f aca="false">IF($K780="SEM CULTURA",0,$S780*$H780)</f>
        <v>5459.272</v>
      </c>
      <c r="AK780" s="8" t="str">
        <f aca="false">$E780&amp;"|"&amp;TEXT($AD780,"0.000000")</f>
        <v>PV 113|0.509731</v>
      </c>
    </row>
    <row r="781" customFormat="false" ht="15" hidden="false" customHeight="false" outlineLevel="0" collapsed="false">
      <c r="B781" s="16" t="n">
        <v>50</v>
      </c>
      <c r="C781" s="17" t="n">
        <f aca="false">DATA_INICIO_SAFRA+($B781-1)*DIAS_POR_SEMANA</f>
        <v>46608</v>
      </c>
      <c r="D781" s="17" t="n">
        <f aca="false">$C781+DIAS_POR_SEMANA-1</f>
        <v>46614</v>
      </c>
      <c r="E781" s="15" t="s">
        <v>270</v>
      </c>
      <c r="F781" s="8" t="str">
        <f aca="false">IFERROR(INDEX(CADASTRO_PIVOS!$C$6:$C$41,MATCH($E781,CADASTRO_PIVOS!$B$6:$B$41,0)),"?")</f>
        <v>RM05</v>
      </c>
      <c r="G781" s="8" t="str">
        <f aca="false">IFERROR(INDEX(CADASTRO_PIVOS!$D$6:$D$41,MATCH($E781,CADASTRO_PIVOS!$B$6:$B$41,0)),"?")</f>
        <v>TR05</v>
      </c>
      <c r="H781" s="20" t="n">
        <f aca="false">IFERROR(INDEX(CADASTRO_PIVOS!$E$6:$E$41,MATCH($E781,CADASTRO_PIVOS!$B$6:$B$41,0)),0)</f>
        <v>149.98</v>
      </c>
      <c r="I781" s="16" t="n">
        <f aca="false">IFERROR(SUMIFS(ROTACAO_RDM!$B$6:$B$71,ROTACAO_RDM!$D$6:$D$71,$E781,ROTACAO_RDM!$I$6:$I$71,"&lt;="&amp;$C781+INT(DIAS_POR_SEMANA/2),ROTACAO_RDM!$J$6:$J$71,"&gt;="&amp;$C781+INT(DIAS_POR_SEMANA/2)),0)</f>
        <v>23</v>
      </c>
      <c r="J781" s="16" t="n">
        <f aca="false">IFERROR(MATCH($I781,ROTACAO_RDM!$B$6:$B$71,0),0)</f>
        <v>23</v>
      </c>
      <c r="K781" s="8" t="str">
        <f aca="false">IF($J781=0,"SEM CULTURA",INDEX(ROTACAO_RDM!$F$6:$F$71,$J781))</f>
        <v>MILHO_SEMENTE</v>
      </c>
      <c r="L781" s="8" t="n">
        <f aca="false">IF($J781=0,"",INDEX(ROTACAO_RDM!$G$6:$G$71,$J781))</f>
        <v>0</v>
      </c>
      <c r="M781" s="17" t="n">
        <f aca="false">IF($J781=0,"",INDEX(ROTACAO_RDM!$I$6:$I$71,$J781))</f>
        <v>46542</v>
      </c>
      <c r="N781" s="16" t="n">
        <f aca="false">IF($J781=0,0,MAX(0,$C781+INT(DIAS_POR_SEMANA/2)-INDEX(ROTACAO_RDM!$I$6:$I$71,$J781)))</f>
        <v>69</v>
      </c>
      <c r="O781" s="19" t="n">
        <f aca="false">IF($J781=0,0,MIN(1,$N781/MAX(1,INDEX(ROTACAO_RDM!$K$6:$K$71,$J781))))</f>
        <v>0.475862068965517</v>
      </c>
      <c r="P781" s="16" t="n">
        <f aca="false">IF($J781=0,0,IFERROR(MATCH(INDEX(ROTACAO_RDM!$N$6:$N$71,$J781),PARAMETROS_CULTURAS!$B$6:$B$28,0),0))</f>
        <v>7</v>
      </c>
      <c r="Q781" s="8" t="str">
        <f aca="false">IF($P781=0,"-",IF($O781&lt;=INDEX(PARAMETROS_CULTURAS!$F$6:$F$28,$P781),"INICIAL",IF($O781&lt;=INDEX(PARAMETROS_CULTURAS!$F$6:$F$28,$P781)+INDEX(PARAMETROS_CULTURAS!$G$6:$G$28,$P781),"DESENVOLVIMENTO",IF($O781&lt;=INDEX(PARAMETROS_CULTURAS!$F$6:$F$28,$P781)+INDEX(PARAMETROS_CULTURAS!$G$6:$G$28,$P781)+INDEX(PARAMETROS_CULTURAS!$H$6:$H$28,$P781),"MEDIA","FINAL"))))</f>
        <v>MEDIA</v>
      </c>
      <c r="R781" s="24" t="n">
        <f aca="false">IF($P781=0,0,IF($O781&lt;=INDEX(PARAMETROS_CULTURAS!$F$6:$F$28,$P781),INDEX(PARAMETROS_CULTURAS!$K$6:$K$28,$P781),IF($O781&lt;=INDEX(PARAMETROS_CULTURAS!$F$6:$F$28,$P781)+INDEX(PARAMETROS_CULTURAS!$G$6:$G$28,$P781),INDEX(PARAMETROS_CULTURAS!$K$6:$K$28,$P781)+(INDEX(PARAMETROS_CULTURAS!$L$6:$L$28,$P781)-INDEX(PARAMETROS_CULTURAS!$K$6:$K$28,$P781))*($O781-INDEX(PARAMETROS_CULTURAS!$F$6:$F$28,$P781))/MAX(INDEX(PARAMETROS_CULTURAS!$G$6:$G$28,$P781),0.0001),IF($O781&lt;=INDEX(PARAMETROS_CULTURAS!$F$6:$F$28,$P781)+INDEX(PARAMETROS_CULTURAS!$G$6:$G$28,$P781)+INDEX(PARAMETROS_CULTURAS!$H$6:$H$28,$P781),INDEX(PARAMETROS_CULTURAS!$L$6:$L$28,$P781),INDEX(PARAMETROS_CULTURAS!$L$6:$L$28,$P781)+(INDEX(PARAMETROS_CULTURAS!$M$6:$M$28,$P781)-INDEX(PARAMETROS_CULTURAS!$L$6:$L$28,$P781))*($O781-INDEX(PARAMETROS_CULTURAS!$F$6:$F$28,$P781)-INDEX(PARAMETROS_CULTURAS!$G$6:$G$28,$P781)-INDEX(PARAMETROS_CULTURAS!$H$6:$H$28,$P781))/MAX(INDEX(PARAMETROS_CULTURAS!$I$6:$I$28,$P781),0.0001)))))</f>
        <v>1.15</v>
      </c>
      <c r="S781" s="18" t="n">
        <f aca="false">IFERROR(INDEX(SEMANAS!$H$6:$H$71,MATCH($B781,SEMANAS!$B$6:$B$71,0)),0)</f>
        <v>36.4</v>
      </c>
      <c r="T781" s="18" t="n">
        <f aca="false">$R781*$S781</f>
        <v>41.86</v>
      </c>
      <c r="U781" s="18" t="n">
        <f aca="false">IFERROR(INDEX(SEMANAS!$I$6:$I$71,MATCH($B781,SEMANAS!$B$6:$B$71,0)),0)</f>
        <v>1.12</v>
      </c>
      <c r="V781" s="18" t="n">
        <f aca="false">IFERROR(INDEX(SEMANAS!$J$6:$J$71,MATCH($B781,SEMANAS!$B$6:$B$71,0)),0)</f>
        <v>0.896</v>
      </c>
      <c r="W781" s="18" t="n">
        <f aca="false">MAX(0,$T781-$V781)</f>
        <v>40.964</v>
      </c>
      <c r="X781" s="19" t="n">
        <f aca="false">IFERROR(INDEX(CADASTRO_PIVOS!$K$6:$K$41,MATCH($E781,CADASTRO_PIVOS!$B$6:$B$41,0)),EFICIENCIA_PADRAO)</f>
        <v>0.85</v>
      </c>
      <c r="Y781" s="18" t="n">
        <f aca="false">IF($X781&lt;=0,0,$W781/$X781)</f>
        <v>48.1929411764706</v>
      </c>
      <c r="Z781" s="16" t="n">
        <f aca="false">$Y781*$H781*MM_PARA_M3_HA</f>
        <v>72279.7731764706</v>
      </c>
      <c r="AA781" s="18" t="n">
        <f aca="false">IFERROR(INDEX(CADASTRO_PIVOS!$I$6:$I$41,MATCH($E781,CADASTRO_PIVOS!$B$6:$B$41,0)),0)</f>
        <v>928.447619047619</v>
      </c>
      <c r="AB781" s="18" t="n">
        <f aca="false">IF($Z781&lt;=0,0,$Z781/$AA781)</f>
        <v>77.8501357466063</v>
      </c>
      <c r="AC781" s="16" t="n">
        <f aca="false">IFERROR(INDEX(SEMANAS!$K$6:$K$71,MATCH($B781,SEMANAS!$B$6:$B$71,0)),0)</f>
        <v>147</v>
      </c>
      <c r="AD781" s="19" t="n">
        <f aca="false">IF($AC781&lt;=0,0,$AB781/$AC781)</f>
        <v>0.529592760180995</v>
      </c>
      <c r="AE781" s="8" t="str">
        <f aca="false">IF($K781="SEM CULTURA","SEM CULTURA",IF($AA781&lt;=0,"DADO PENDENTE",IF($AD781&gt;LIMITE_CRITICO,"INVIAVEL",IF($AD781&gt;LIMITE_ATENCAO,"CRITICO",IF($AD781&gt;LIMITE_CONFORTAVEL,"ATENCAO","OK")))))</f>
        <v>OK</v>
      </c>
      <c r="AF781" s="8" t="str">
        <f aca="false">$B781&amp;"|"&amp;TEXT($AD781,"0.000000")</f>
        <v>50|0.529593</v>
      </c>
      <c r="AG781" s="18" t="n">
        <f aca="false">IF($K781="SEM CULTURA",0,$T781*$H781)</f>
        <v>6278.1628</v>
      </c>
      <c r="AH781" s="18" t="n">
        <f aca="false">IF($K781="SEM CULTURA",0,$V781*$H781)</f>
        <v>134.38208</v>
      </c>
      <c r="AI781" s="18" t="n">
        <f aca="false">IF($K781="SEM CULTURA",0,$W781*$H781)</f>
        <v>6143.78072</v>
      </c>
      <c r="AJ781" s="18" t="n">
        <f aca="false">IF($K781="SEM CULTURA",0,$S781*$H781)</f>
        <v>5459.272</v>
      </c>
      <c r="AK781" s="8" t="str">
        <f aca="false">$E781&amp;"|"&amp;TEXT($AD781,"0.000000")</f>
        <v>PV 113|0.529593</v>
      </c>
    </row>
    <row r="782" customFormat="false" ht="15" hidden="false" customHeight="false" outlineLevel="0" collapsed="false">
      <c r="B782" s="16" t="n">
        <v>51</v>
      </c>
      <c r="C782" s="17" t="n">
        <f aca="false">DATA_INICIO_SAFRA+($B782-1)*DIAS_POR_SEMANA</f>
        <v>46615</v>
      </c>
      <c r="D782" s="17" t="n">
        <f aca="false">$C782+DIAS_POR_SEMANA-1</f>
        <v>46621</v>
      </c>
      <c r="E782" s="15" t="s">
        <v>270</v>
      </c>
      <c r="F782" s="8" t="str">
        <f aca="false">IFERROR(INDEX(CADASTRO_PIVOS!$C$6:$C$41,MATCH($E782,CADASTRO_PIVOS!$B$6:$B$41,0)),"?")</f>
        <v>RM05</v>
      </c>
      <c r="G782" s="8" t="str">
        <f aca="false">IFERROR(INDEX(CADASTRO_PIVOS!$D$6:$D$41,MATCH($E782,CADASTRO_PIVOS!$B$6:$B$41,0)),"?")</f>
        <v>TR05</v>
      </c>
      <c r="H782" s="20" t="n">
        <f aca="false">IFERROR(INDEX(CADASTRO_PIVOS!$E$6:$E$41,MATCH($E782,CADASTRO_PIVOS!$B$6:$B$41,0)),0)</f>
        <v>149.98</v>
      </c>
      <c r="I782" s="16" t="n">
        <f aca="false">IFERROR(SUMIFS(ROTACAO_RDM!$B$6:$B$71,ROTACAO_RDM!$D$6:$D$71,$E782,ROTACAO_RDM!$I$6:$I$71,"&lt;="&amp;$C782+INT(DIAS_POR_SEMANA/2),ROTACAO_RDM!$J$6:$J$71,"&gt;="&amp;$C782+INT(DIAS_POR_SEMANA/2)),0)</f>
        <v>23</v>
      </c>
      <c r="J782" s="16" t="n">
        <f aca="false">IFERROR(MATCH($I782,ROTACAO_RDM!$B$6:$B$71,0),0)</f>
        <v>23</v>
      </c>
      <c r="K782" s="8" t="str">
        <f aca="false">IF($J782=0,"SEM CULTURA",INDEX(ROTACAO_RDM!$F$6:$F$71,$J782))</f>
        <v>MILHO_SEMENTE</v>
      </c>
      <c r="L782" s="8" t="n">
        <f aca="false">IF($J782=0,"",INDEX(ROTACAO_RDM!$G$6:$G$71,$J782))</f>
        <v>0</v>
      </c>
      <c r="M782" s="17" t="n">
        <f aca="false">IF($J782=0,"",INDEX(ROTACAO_RDM!$I$6:$I$71,$J782))</f>
        <v>46542</v>
      </c>
      <c r="N782" s="16" t="n">
        <f aca="false">IF($J782=0,0,MAX(0,$C782+INT(DIAS_POR_SEMANA/2)-INDEX(ROTACAO_RDM!$I$6:$I$71,$J782)))</f>
        <v>76</v>
      </c>
      <c r="O782" s="19" t="n">
        <f aca="false">IF($J782=0,0,MIN(1,$N782/MAX(1,INDEX(ROTACAO_RDM!$K$6:$K$71,$J782))))</f>
        <v>0.524137931034483</v>
      </c>
      <c r="P782" s="16" t="n">
        <f aca="false">IF($J782=0,0,IFERROR(MATCH(INDEX(ROTACAO_RDM!$N$6:$N$71,$J782),PARAMETROS_CULTURAS!$B$6:$B$28,0),0))</f>
        <v>7</v>
      </c>
      <c r="Q782" s="8" t="str">
        <f aca="false">IF($P782=0,"-",IF($O782&lt;=INDEX(PARAMETROS_CULTURAS!$F$6:$F$28,$P782),"INICIAL",IF($O782&lt;=INDEX(PARAMETROS_CULTURAS!$F$6:$F$28,$P782)+INDEX(PARAMETROS_CULTURAS!$G$6:$G$28,$P782),"DESENVOLVIMENTO",IF($O782&lt;=INDEX(PARAMETROS_CULTURAS!$F$6:$F$28,$P782)+INDEX(PARAMETROS_CULTURAS!$G$6:$G$28,$P782)+INDEX(PARAMETROS_CULTURAS!$H$6:$H$28,$P782),"MEDIA","FINAL"))))</f>
        <v>MEDIA</v>
      </c>
      <c r="R782" s="24" t="n">
        <f aca="false">IF($P782=0,0,IF($O782&lt;=INDEX(PARAMETROS_CULTURAS!$F$6:$F$28,$P782),INDEX(PARAMETROS_CULTURAS!$K$6:$K$28,$P782),IF($O782&lt;=INDEX(PARAMETROS_CULTURAS!$F$6:$F$28,$P782)+INDEX(PARAMETROS_CULTURAS!$G$6:$G$28,$P782),INDEX(PARAMETROS_CULTURAS!$K$6:$K$28,$P782)+(INDEX(PARAMETROS_CULTURAS!$L$6:$L$28,$P782)-INDEX(PARAMETROS_CULTURAS!$K$6:$K$28,$P782))*($O782-INDEX(PARAMETROS_CULTURAS!$F$6:$F$28,$P782))/MAX(INDEX(PARAMETROS_CULTURAS!$G$6:$G$28,$P782),0.0001),IF($O782&lt;=INDEX(PARAMETROS_CULTURAS!$F$6:$F$28,$P782)+INDEX(PARAMETROS_CULTURAS!$G$6:$G$28,$P782)+INDEX(PARAMETROS_CULTURAS!$H$6:$H$28,$P782),INDEX(PARAMETROS_CULTURAS!$L$6:$L$28,$P782),INDEX(PARAMETROS_CULTURAS!$L$6:$L$28,$P782)+(INDEX(PARAMETROS_CULTURAS!$M$6:$M$28,$P782)-INDEX(PARAMETROS_CULTURAS!$L$6:$L$28,$P782))*($O782-INDEX(PARAMETROS_CULTURAS!$F$6:$F$28,$P782)-INDEX(PARAMETROS_CULTURAS!$G$6:$G$28,$P782)-INDEX(PARAMETROS_CULTURAS!$H$6:$H$28,$P782))/MAX(INDEX(PARAMETROS_CULTURAS!$I$6:$I$28,$P782),0.0001)))))</f>
        <v>1.15</v>
      </c>
      <c r="S782" s="18" t="n">
        <f aca="false">IFERROR(INDEX(SEMANAS!$H$6:$H$71,MATCH($B782,SEMANAS!$B$6:$B$71,0)),0)</f>
        <v>36.4</v>
      </c>
      <c r="T782" s="18" t="n">
        <f aca="false">$R782*$S782</f>
        <v>41.86</v>
      </c>
      <c r="U782" s="18" t="n">
        <f aca="false">IFERROR(INDEX(SEMANAS!$I$6:$I$71,MATCH($B782,SEMANAS!$B$6:$B$71,0)),0)</f>
        <v>1.12</v>
      </c>
      <c r="V782" s="18" t="n">
        <f aca="false">IFERROR(INDEX(SEMANAS!$J$6:$J$71,MATCH($B782,SEMANAS!$B$6:$B$71,0)),0)</f>
        <v>0.896</v>
      </c>
      <c r="W782" s="18" t="n">
        <f aca="false">MAX(0,$T782-$V782)</f>
        <v>40.964</v>
      </c>
      <c r="X782" s="19" t="n">
        <f aca="false">IFERROR(INDEX(CADASTRO_PIVOS!$K$6:$K$41,MATCH($E782,CADASTRO_PIVOS!$B$6:$B$41,0)),EFICIENCIA_PADRAO)</f>
        <v>0.85</v>
      </c>
      <c r="Y782" s="18" t="n">
        <f aca="false">IF($X782&lt;=0,0,$W782/$X782)</f>
        <v>48.1929411764706</v>
      </c>
      <c r="Z782" s="16" t="n">
        <f aca="false">$Y782*$H782*MM_PARA_M3_HA</f>
        <v>72279.7731764706</v>
      </c>
      <c r="AA782" s="18" t="n">
        <f aca="false">IFERROR(INDEX(CADASTRO_PIVOS!$I$6:$I$41,MATCH($E782,CADASTRO_PIVOS!$B$6:$B$41,0)),0)</f>
        <v>928.447619047619</v>
      </c>
      <c r="AB782" s="18" t="n">
        <f aca="false">IF($Z782&lt;=0,0,$Z782/$AA782)</f>
        <v>77.8501357466063</v>
      </c>
      <c r="AC782" s="16" t="n">
        <f aca="false">IFERROR(INDEX(SEMANAS!$K$6:$K$71,MATCH($B782,SEMANAS!$B$6:$B$71,0)),0)</f>
        <v>147</v>
      </c>
      <c r="AD782" s="19" t="n">
        <f aca="false">IF($AC782&lt;=0,0,$AB782/$AC782)</f>
        <v>0.529592760180995</v>
      </c>
      <c r="AE782" s="8" t="str">
        <f aca="false">IF($K782="SEM CULTURA","SEM CULTURA",IF($AA782&lt;=0,"DADO PENDENTE",IF($AD782&gt;LIMITE_CRITICO,"INVIAVEL",IF($AD782&gt;LIMITE_ATENCAO,"CRITICO",IF($AD782&gt;LIMITE_CONFORTAVEL,"ATENCAO","OK")))))</f>
        <v>OK</v>
      </c>
      <c r="AF782" s="8" t="str">
        <f aca="false">$B782&amp;"|"&amp;TEXT($AD782,"0.000000")</f>
        <v>51|0.529593</v>
      </c>
      <c r="AG782" s="18" t="n">
        <f aca="false">IF($K782="SEM CULTURA",0,$T782*$H782)</f>
        <v>6278.1628</v>
      </c>
      <c r="AH782" s="18" t="n">
        <f aca="false">IF($K782="SEM CULTURA",0,$V782*$H782)</f>
        <v>134.38208</v>
      </c>
      <c r="AI782" s="18" t="n">
        <f aca="false">IF($K782="SEM CULTURA",0,$W782*$H782)</f>
        <v>6143.78072</v>
      </c>
      <c r="AJ782" s="18" t="n">
        <f aca="false">IF($K782="SEM CULTURA",0,$S782*$H782)</f>
        <v>5459.272</v>
      </c>
      <c r="AK782" s="8" t="str">
        <f aca="false">$E782&amp;"|"&amp;TEXT($AD782,"0.000000")</f>
        <v>PV 113|0.529593</v>
      </c>
    </row>
    <row r="783" customFormat="false" ht="15" hidden="false" customHeight="false" outlineLevel="0" collapsed="false">
      <c r="B783" s="16" t="n">
        <v>52</v>
      </c>
      <c r="C783" s="17" t="n">
        <f aca="false">DATA_INICIO_SAFRA+($B783-1)*DIAS_POR_SEMANA</f>
        <v>46622</v>
      </c>
      <c r="D783" s="17" t="n">
        <f aca="false">$C783+DIAS_POR_SEMANA-1</f>
        <v>46628</v>
      </c>
      <c r="E783" s="15" t="s">
        <v>270</v>
      </c>
      <c r="F783" s="8" t="str">
        <f aca="false">IFERROR(INDEX(CADASTRO_PIVOS!$C$6:$C$41,MATCH($E783,CADASTRO_PIVOS!$B$6:$B$41,0)),"?")</f>
        <v>RM05</v>
      </c>
      <c r="G783" s="8" t="str">
        <f aca="false">IFERROR(INDEX(CADASTRO_PIVOS!$D$6:$D$41,MATCH($E783,CADASTRO_PIVOS!$B$6:$B$41,0)),"?")</f>
        <v>TR05</v>
      </c>
      <c r="H783" s="20" t="n">
        <f aca="false">IFERROR(INDEX(CADASTRO_PIVOS!$E$6:$E$41,MATCH($E783,CADASTRO_PIVOS!$B$6:$B$41,0)),0)</f>
        <v>149.98</v>
      </c>
      <c r="I783" s="16" t="n">
        <f aca="false">IFERROR(SUMIFS(ROTACAO_RDM!$B$6:$B$71,ROTACAO_RDM!$D$6:$D$71,$E783,ROTACAO_RDM!$I$6:$I$71,"&lt;="&amp;$C783+INT(DIAS_POR_SEMANA/2),ROTACAO_RDM!$J$6:$J$71,"&gt;="&amp;$C783+INT(DIAS_POR_SEMANA/2)),0)</f>
        <v>23</v>
      </c>
      <c r="J783" s="16" t="n">
        <f aca="false">IFERROR(MATCH($I783,ROTACAO_RDM!$B$6:$B$71,0),0)</f>
        <v>23</v>
      </c>
      <c r="K783" s="8" t="str">
        <f aca="false">IF($J783=0,"SEM CULTURA",INDEX(ROTACAO_RDM!$F$6:$F$71,$J783))</f>
        <v>MILHO_SEMENTE</v>
      </c>
      <c r="L783" s="8" t="n">
        <f aca="false">IF($J783=0,"",INDEX(ROTACAO_RDM!$G$6:$G$71,$J783))</f>
        <v>0</v>
      </c>
      <c r="M783" s="17" t="n">
        <f aca="false">IF($J783=0,"",INDEX(ROTACAO_RDM!$I$6:$I$71,$J783))</f>
        <v>46542</v>
      </c>
      <c r="N783" s="16" t="n">
        <f aca="false">IF($J783=0,0,MAX(0,$C783+INT(DIAS_POR_SEMANA/2)-INDEX(ROTACAO_RDM!$I$6:$I$71,$J783)))</f>
        <v>83</v>
      </c>
      <c r="O783" s="19" t="n">
        <f aca="false">IF($J783=0,0,MIN(1,$N783/MAX(1,INDEX(ROTACAO_RDM!$K$6:$K$71,$J783))))</f>
        <v>0.572413793103448</v>
      </c>
      <c r="P783" s="16" t="n">
        <f aca="false">IF($J783=0,0,IFERROR(MATCH(INDEX(ROTACAO_RDM!$N$6:$N$71,$J783),PARAMETROS_CULTURAS!$B$6:$B$28,0),0))</f>
        <v>7</v>
      </c>
      <c r="Q783" s="8" t="str">
        <f aca="false">IF($P783=0,"-",IF($O783&lt;=INDEX(PARAMETROS_CULTURAS!$F$6:$F$28,$P783),"INICIAL",IF($O783&lt;=INDEX(PARAMETROS_CULTURAS!$F$6:$F$28,$P783)+INDEX(PARAMETROS_CULTURAS!$G$6:$G$28,$P783),"DESENVOLVIMENTO",IF($O783&lt;=INDEX(PARAMETROS_CULTURAS!$F$6:$F$28,$P783)+INDEX(PARAMETROS_CULTURAS!$G$6:$G$28,$P783)+INDEX(PARAMETROS_CULTURAS!$H$6:$H$28,$P783),"MEDIA","FINAL"))))</f>
        <v>MEDIA</v>
      </c>
      <c r="R783" s="24" t="n">
        <f aca="false">IF($P783=0,0,IF($O783&lt;=INDEX(PARAMETROS_CULTURAS!$F$6:$F$28,$P783),INDEX(PARAMETROS_CULTURAS!$K$6:$K$28,$P783),IF($O783&lt;=INDEX(PARAMETROS_CULTURAS!$F$6:$F$28,$P783)+INDEX(PARAMETROS_CULTURAS!$G$6:$G$28,$P783),INDEX(PARAMETROS_CULTURAS!$K$6:$K$28,$P783)+(INDEX(PARAMETROS_CULTURAS!$L$6:$L$28,$P783)-INDEX(PARAMETROS_CULTURAS!$K$6:$K$28,$P783))*($O783-INDEX(PARAMETROS_CULTURAS!$F$6:$F$28,$P783))/MAX(INDEX(PARAMETROS_CULTURAS!$G$6:$G$28,$P783),0.0001),IF($O783&lt;=INDEX(PARAMETROS_CULTURAS!$F$6:$F$28,$P783)+INDEX(PARAMETROS_CULTURAS!$G$6:$G$28,$P783)+INDEX(PARAMETROS_CULTURAS!$H$6:$H$28,$P783),INDEX(PARAMETROS_CULTURAS!$L$6:$L$28,$P783),INDEX(PARAMETROS_CULTURAS!$L$6:$L$28,$P783)+(INDEX(PARAMETROS_CULTURAS!$M$6:$M$28,$P783)-INDEX(PARAMETROS_CULTURAS!$L$6:$L$28,$P783))*($O783-INDEX(PARAMETROS_CULTURAS!$F$6:$F$28,$P783)-INDEX(PARAMETROS_CULTURAS!$G$6:$G$28,$P783)-INDEX(PARAMETROS_CULTURAS!$H$6:$H$28,$P783))/MAX(INDEX(PARAMETROS_CULTURAS!$I$6:$I$28,$P783),0.0001)))))</f>
        <v>1.15</v>
      </c>
      <c r="S783" s="18" t="n">
        <f aca="false">IFERROR(INDEX(SEMANAS!$H$6:$H$71,MATCH($B783,SEMANAS!$B$6:$B$71,0)),0)</f>
        <v>36.4</v>
      </c>
      <c r="T783" s="18" t="n">
        <f aca="false">$R783*$S783</f>
        <v>41.86</v>
      </c>
      <c r="U783" s="18" t="n">
        <f aca="false">IFERROR(INDEX(SEMANAS!$I$6:$I$71,MATCH($B783,SEMANAS!$B$6:$B$71,0)),0)</f>
        <v>1.12</v>
      </c>
      <c r="V783" s="18" t="n">
        <f aca="false">IFERROR(INDEX(SEMANAS!$J$6:$J$71,MATCH($B783,SEMANAS!$B$6:$B$71,0)),0)</f>
        <v>0.896</v>
      </c>
      <c r="W783" s="18" t="n">
        <f aca="false">MAX(0,$T783-$V783)</f>
        <v>40.964</v>
      </c>
      <c r="X783" s="19" t="n">
        <f aca="false">IFERROR(INDEX(CADASTRO_PIVOS!$K$6:$K$41,MATCH($E783,CADASTRO_PIVOS!$B$6:$B$41,0)),EFICIENCIA_PADRAO)</f>
        <v>0.85</v>
      </c>
      <c r="Y783" s="18" t="n">
        <f aca="false">IF($X783&lt;=0,0,$W783/$X783)</f>
        <v>48.1929411764706</v>
      </c>
      <c r="Z783" s="16" t="n">
        <f aca="false">$Y783*$H783*MM_PARA_M3_HA</f>
        <v>72279.7731764706</v>
      </c>
      <c r="AA783" s="18" t="n">
        <f aca="false">IFERROR(INDEX(CADASTRO_PIVOS!$I$6:$I$41,MATCH($E783,CADASTRO_PIVOS!$B$6:$B$41,0)),0)</f>
        <v>928.447619047619</v>
      </c>
      <c r="AB783" s="18" t="n">
        <f aca="false">IF($Z783&lt;=0,0,$Z783/$AA783)</f>
        <v>77.8501357466063</v>
      </c>
      <c r="AC783" s="16" t="n">
        <f aca="false">IFERROR(INDEX(SEMANAS!$K$6:$K$71,MATCH($B783,SEMANAS!$B$6:$B$71,0)),0)</f>
        <v>147</v>
      </c>
      <c r="AD783" s="19" t="n">
        <f aca="false">IF($AC783&lt;=0,0,$AB783/$AC783)</f>
        <v>0.529592760180995</v>
      </c>
      <c r="AE783" s="8" t="str">
        <f aca="false">IF($K783="SEM CULTURA","SEM CULTURA",IF($AA783&lt;=0,"DADO PENDENTE",IF($AD783&gt;LIMITE_CRITICO,"INVIAVEL",IF($AD783&gt;LIMITE_ATENCAO,"CRITICO",IF($AD783&gt;LIMITE_CONFORTAVEL,"ATENCAO","OK")))))</f>
        <v>OK</v>
      </c>
      <c r="AF783" s="8" t="str">
        <f aca="false">$B783&amp;"|"&amp;TEXT($AD783,"0.000000")</f>
        <v>52|0.529593</v>
      </c>
      <c r="AG783" s="18" t="n">
        <f aca="false">IF($K783="SEM CULTURA",0,$T783*$H783)</f>
        <v>6278.1628</v>
      </c>
      <c r="AH783" s="18" t="n">
        <f aca="false">IF($K783="SEM CULTURA",0,$V783*$H783)</f>
        <v>134.38208</v>
      </c>
      <c r="AI783" s="18" t="n">
        <f aca="false">IF($K783="SEM CULTURA",0,$W783*$H783)</f>
        <v>6143.78072</v>
      </c>
      <c r="AJ783" s="18" t="n">
        <f aca="false">IF($K783="SEM CULTURA",0,$S783*$H783)</f>
        <v>5459.272</v>
      </c>
      <c r="AK783" s="8" t="str">
        <f aca="false">$E783&amp;"|"&amp;TEXT($AD783,"0.000000")</f>
        <v>PV 113|0.529593</v>
      </c>
    </row>
    <row r="784" customFormat="false" ht="15" hidden="false" customHeight="false" outlineLevel="0" collapsed="false">
      <c r="B784" s="16" t="n">
        <v>53</v>
      </c>
      <c r="C784" s="17" t="n">
        <f aca="false">DATA_INICIO_SAFRA+($B784-1)*DIAS_POR_SEMANA</f>
        <v>46629</v>
      </c>
      <c r="D784" s="17" t="n">
        <f aca="false">$C784+DIAS_POR_SEMANA-1</f>
        <v>46635</v>
      </c>
      <c r="E784" s="15" t="s">
        <v>270</v>
      </c>
      <c r="F784" s="8" t="str">
        <f aca="false">IFERROR(INDEX(CADASTRO_PIVOS!$C$6:$C$41,MATCH($E784,CADASTRO_PIVOS!$B$6:$B$41,0)),"?")</f>
        <v>RM05</v>
      </c>
      <c r="G784" s="8" t="str">
        <f aca="false">IFERROR(INDEX(CADASTRO_PIVOS!$D$6:$D$41,MATCH($E784,CADASTRO_PIVOS!$B$6:$B$41,0)),"?")</f>
        <v>TR05</v>
      </c>
      <c r="H784" s="20" t="n">
        <f aca="false">IFERROR(INDEX(CADASTRO_PIVOS!$E$6:$E$41,MATCH($E784,CADASTRO_PIVOS!$B$6:$B$41,0)),0)</f>
        <v>149.98</v>
      </c>
      <c r="I784" s="16" t="n">
        <f aca="false">IFERROR(SUMIFS(ROTACAO_RDM!$B$6:$B$71,ROTACAO_RDM!$D$6:$D$71,$E784,ROTACAO_RDM!$I$6:$I$71,"&lt;="&amp;$C784+INT(DIAS_POR_SEMANA/2),ROTACAO_RDM!$J$6:$J$71,"&gt;="&amp;$C784+INT(DIAS_POR_SEMANA/2)),0)</f>
        <v>23</v>
      </c>
      <c r="J784" s="16" t="n">
        <f aca="false">IFERROR(MATCH($I784,ROTACAO_RDM!$B$6:$B$71,0),0)</f>
        <v>23</v>
      </c>
      <c r="K784" s="8" t="str">
        <f aca="false">IF($J784=0,"SEM CULTURA",INDEX(ROTACAO_RDM!$F$6:$F$71,$J784))</f>
        <v>MILHO_SEMENTE</v>
      </c>
      <c r="L784" s="8" t="n">
        <f aca="false">IF($J784=0,"",INDEX(ROTACAO_RDM!$G$6:$G$71,$J784))</f>
        <v>0</v>
      </c>
      <c r="M784" s="17" t="n">
        <f aca="false">IF($J784=0,"",INDEX(ROTACAO_RDM!$I$6:$I$71,$J784))</f>
        <v>46542</v>
      </c>
      <c r="N784" s="16" t="n">
        <f aca="false">IF($J784=0,0,MAX(0,$C784+INT(DIAS_POR_SEMANA/2)-INDEX(ROTACAO_RDM!$I$6:$I$71,$J784)))</f>
        <v>90</v>
      </c>
      <c r="O784" s="19" t="n">
        <f aca="false">IF($J784=0,0,MIN(1,$N784/MAX(1,INDEX(ROTACAO_RDM!$K$6:$K$71,$J784))))</f>
        <v>0.620689655172414</v>
      </c>
      <c r="P784" s="16" t="n">
        <f aca="false">IF($J784=0,0,IFERROR(MATCH(INDEX(ROTACAO_RDM!$N$6:$N$71,$J784),PARAMETROS_CULTURAS!$B$6:$B$28,0),0))</f>
        <v>7</v>
      </c>
      <c r="Q784" s="8" t="str">
        <f aca="false">IF($P784=0,"-",IF($O784&lt;=INDEX(PARAMETROS_CULTURAS!$F$6:$F$28,$P784),"INICIAL",IF($O784&lt;=INDEX(PARAMETROS_CULTURAS!$F$6:$F$28,$P784)+INDEX(PARAMETROS_CULTURAS!$G$6:$G$28,$P784),"DESENVOLVIMENTO",IF($O784&lt;=INDEX(PARAMETROS_CULTURAS!$F$6:$F$28,$P784)+INDEX(PARAMETROS_CULTURAS!$G$6:$G$28,$P784)+INDEX(PARAMETROS_CULTURAS!$H$6:$H$28,$P784),"MEDIA","FINAL"))))</f>
        <v>MEDIA</v>
      </c>
      <c r="R784" s="24" t="n">
        <f aca="false">IF($P784=0,0,IF($O784&lt;=INDEX(PARAMETROS_CULTURAS!$F$6:$F$28,$P784),INDEX(PARAMETROS_CULTURAS!$K$6:$K$28,$P784),IF($O784&lt;=INDEX(PARAMETROS_CULTURAS!$F$6:$F$28,$P784)+INDEX(PARAMETROS_CULTURAS!$G$6:$G$28,$P784),INDEX(PARAMETROS_CULTURAS!$K$6:$K$28,$P784)+(INDEX(PARAMETROS_CULTURAS!$L$6:$L$28,$P784)-INDEX(PARAMETROS_CULTURAS!$K$6:$K$28,$P784))*($O784-INDEX(PARAMETROS_CULTURAS!$F$6:$F$28,$P784))/MAX(INDEX(PARAMETROS_CULTURAS!$G$6:$G$28,$P784),0.0001),IF($O784&lt;=INDEX(PARAMETROS_CULTURAS!$F$6:$F$28,$P784)+INDEX(PARAMETROS_CULTURAS!$G$6:$G$28,$P784)+INDEX(PARAMETROS_CULTURAS!$H$6:$H$28,$P784),INDEX(PARAMETROS_CULTURAS!$L$6:$L$28,$P784),INDEX(PARAMETROS_CULTURAS!$L$6:$L$28,$P784)+(INDEX(PARAMETROS_CULTURAS!$M$6:$M$28,$P784)-INDEX(PARAMETROS_CULTURAS!$L$6:$L$28,$P784))*($O784-INDEX(PARAMETROS_CULTURAS!$F$6:$F$28,$P784)-INDEX(PARAMETROS_CULTURAS!$G$6:$G$28,$P784)-INDEX(PARAMETROS_CULTURAS!$H$6:$H$28,$P784))/MAX(INDEX(PARAMETROS_CULTURAS!$I$6:$I$28,$P784),0.0001)))))</f>
        <v>1.15</v>
      </c>
      <c r="S784" s="18" t="n">
        <f aca="false">IFERROR(INDEX(SEMANAS!$H$6:$H$71,MATCH($B784,SEMANAS!$B$6:$B$71,0)),0)</f>
        <v>39.4</v>
      </c>
      <c r="T784" s="18" t="n">
        <f aca="false">$R784*$S784</f>
        <v>45.31</v>
      </c>
      <c r="U784" s="18" t="n">
        <f aca="false">IFERROR(INDEX(SEMANAS!$I$6:$I$71,MATCH($B784,SEMANAS!$B$6:$B$71,0)),0)</f>
        <v>5.32</v>
      </c>
      <c r="V784" s="18" t="n">
        <f aca="false">IFERROR(INDEX(SEMANAS!$J$6:$J$71,MATCH($B784,SEMANAS!$B$6:$B$71,0)),0)</f>
        <v>4.256</v>
      </c>
      <c r="W784" s="18" t="n">
        <f aca="false">MAX(0,$T784-$V784)</f>
        <v>41.054</v>
      </c>
      <c r="X784" s="19" t="n">
        <f aca="false">IFERROR(INDEX(CADASTRO_PIVOS!$K$6:$K$41,MATCH($E784,CADASTRO_PIVOS!$B$6:$B$41,0)),EFICIENCIA_PADRAO)</f>
        <v>0.85</v>
      </c>
      <c r="Y784" s="18" t="n">
        <f aca="false">IF($X784&lt;=0,0,$W784/$X784)</f>
        <v>48.2988235294118</v>
      </c>
      <c r="Z784" s="16" t="n">
        <f aca="false">$Y784*$H784*MM_PARA_M3_HA</f>
        <v>72438.5755294118</v>
      </c>
      <c r="AA784" s="18" t="n">
        <f aca="false">IFERROR(INDEX(CADASTRO_PIVOS!$I$6:$I$41,MATCH($E784,CADASTRO_PIVOS!$B$6:$B$41,0)),0)</f>
        <v>928.447619047619</v>
      </c>
      <c r="AB784" s="18" t="n">
        <f aca="false">IF($Z784&lt;=0,0,$Z784/$AA784)</f>
        <v>78.0211764705882</v>
      </c>
      <c r="AC784" s="16" t="n">
        <f aca="false">IFERROR(INDEX(SEMANAS!$K$6:$K$71,MATCH($B784,SEMANAS!$B$6:$B$71,0)),0)</f>
        <v>147</v>
      </c>
      <c r="AD784" s="19" t="n">
        <f aca="false">IF($AC784&lt;=0,0,$AB784/$AC784)</f>
        <v>0.530756302521009</v>
      </c>
      <c r="AE784" s="8" t="str">
        <f aca="false">IF($K784="SEM CULTURA","SEM CULTURA",IF($AA784&lt;=0,"DADO PENDENTE",IF($AD784&gt;LIMITE_CRITICO,"INVIAVEL",IF($AD784&gt;LIMITE_ATENCAO,"CRITICO",IF($AD784&gt;LIMITE_CONFORTAVEL,"ATENCAO","OK")))))</f>
        <v>OK</v>
      </c>
      <c r="AF784" s="8" t="str">
        <f aca="false">$B784&amp;"|"&amp;TEXT($AD784,"0.000000")</f>
        <v>53|0.530756</v>
      </c>
      <c r="AG784" s="18" t="n">
        <f aca="false">IF($K784="SEM CULTURA",0,$T784*$H784)</f>
        <v>6795.5938</v>
      </c>
      <c r="AH784" s="18" t="n">
        <f aca="false">IF($K784="SEM CULTURA",0,$V784*$H784)</f>
        <v>638.31488</v>
      </c>
      <c r="AI784" s="18" t="n">
        <f aca="false">IF($K784="SEM CULTURA",0,$W784*$H784)</f>
        <v>6157.27892</v>
      </c>
      <c r="AJ784" s="18" t="n">
        <f aca="false">IF($K784="SEM CULTURA",0,$S784*$H784)</f>
        <v>5909.212</v>
      </c>
      <c r="AK784" s="8" t="str">
        <f aca="false">$E784&amp;"|"&amp;TEXT($AD784,"0.000000")</f>
        <v>PV 113|0.530756</v>
      </c>
    </row>
    <row r="785" customFormat="false" ht="15" hidden="false" customHeight="false" outlineLevel="0" collapsed="false">
      <c r="B785" s="16" t="n">
        <v>54</v>
      </c>
      <c r="C785" s="17" t="n">
        <f aca="false">DATA_INICIO_SAFRA+($B785-1)*DIAS_POR_SEMANA</f>
        <v>46636</v>
      </c>
      <c r="D785" s="17" t="n">
        <f aca="false">$C785+DIAS_POR_SEMANA-1</f>
        <v>46642</v>
      </c>
      <c r="E785" s="15" t="s">
        <v>270</v>
      </c>
      <c r="F785" s="8" t="str">
        <f aca="false">IFERROR(INDEX(CADASTRO_PIVOS!$C$6:$C$41,MATCH($E785,CADASTRO_PIVOS!$B$6:$B$41,0)),"?")</f>
        <v>RM05</v>
      </c>
      <c r="G785" s="8" t="str">
        <f aca="false">IFERROR(INDEX(CADASTRO_PIVOS!$D$6:$D$41,MATCH($E785,CADASTRO_PIVOS!$B$6:$B$41,0)),"?")</f>
        <v>TR05</v>
      </c>
      <c r="H785" s="20" t="n">
        <f aca="false">IFERROR(INDEX(CADASTRO_PIVOS!$E$6:$E$41,MATCH($E785,CADASTRO_PIVOS!$B$6:$B$41,0)),0)</f>
        <v>149.98</v>
      </c>
      <c r="I785" s="16" t="n">
        <f aca="false">IFERROR(SUMIFS(ROTACAO_RDM!$B$6:$B$71,ROTACAO_RDM!$D$6:$D$71,$E785,ROTACAO_RDM!$I$6:$I$71,"&lt;="&amp;$C785+INT(DIAS_POR_SEMANA/2),ROTACAO_RDM!$J$6:$J$71,"&gt;="&amp;$C785+INT(DIAS_POR_SEMANA/2)),0)</f>
        <v>23</v>
      </c>
      <c r="J785" s="16" t="n">
        <f aca="false">IFERROR(MATCH($I785,ROTACAO_RDM!$B$6:$B$71,0),0)</f>
        <v>23</v>
      </c>
      <c r="K785" s="8" t="str">
        <f aca="false">IF($J785=0,"SEM CULTURA",INDEX(ROTACAO_RDM!$F$6:$F$71,$J785))</f>
        <v>MILHO_SEMENTE</v>
      </c>
      <c r="L785" s="8" t="n">
        <f aca="false">IF($J785=0,"",INDEX(ROTACAO_RDM!$G$6:$G$71,$J785))</f>
        <v>0</v>
      </c>
      <c r="M785" s="17" t="n">
        <f aca="false">IF($J785=0,"",INDEX(ROTACAO_RDM!$I$6:$I$71,$J785))</f>
        <v>46542</v>
      </c>
      <c r="N785" s="16" t="n">
        <f aca="false">IF($J785=0,0,MAX(0,$C785+INT(DIAS_POR_SEMANA/2)-INDEX(ROTACAO_RDM!$I$6:$I$71,$J785)))</f>
        <v>97</v>
      </c>
      <c r="O785" s="19" t="n">
        <f aca="false">IF($J785=0,0,MIN(1,$N785/MAX(1,INDEX(ROTACAO_RDM!$K$6:$K$71,$J785))))</f>
        <v>0.668965517241379</v>
      </c>
      <c r="P785" s="16" t="n">
        <f aca="false">IF($J785=0,0,IFERROR(MATCH(INDEX(ROTACAO_RDM!$N$6:$N$71,$J785),PARAMETROS_CULTURAS!$B$6:$B$28,0),0))</f>
        <v>7</v>
      </c>
      <c r="Q785" s="8" t="str">
        <f aca="false">IF($P785=0,"-",IF($O785&lt;=INDEX(PARAMETROS_CULTURAS!$F$6:$F$28,$P785),"INICIAL",IF($O785&lt;=INDEX(PARAMETROS_CULTURAS!$F$6:$F$28,$P785)+INDEX(PARAMETROS_CULTURAS!$G$6:$G$28,$P785),"DESENVOLVIMENTO",IF($O785&lt;=INDEX(PARAMETROS_CULTURAS!$F$6:$F$28,$P785)+INDEX(PARAMETROS_CULTURAS!$G$6:$G$28,$P785)+INDEX(PARAMETROS_CULTURAS!$H$6:$H$28,$P785),"MEDIA","FINAL"))))</f>
        <v>MEDIA</v>
      </c>
      <c r="R785" s="24" t="n">
        <f aca="false">IF($P785=0,0,IF($O785&lt;=INDEX(PARAMETROS_CULTURAS!$F$6:$F$28,$P785),INDEX(PARAMETROS_CULTURAS!$K$6:$K$28,$P785),IF($O785&lt;=INDEX(PARAMETROS_CULTURAS!$F$6:$F$28,$P785)+INDEX(PARAMETROS_CULTURAS!$G$6:$G$28,$P785),INDEX(PARAMETROS_CULTURAS!$K$6:$K$28,$P785)+(INDEX(PARAMETROS_CULTURAS!$L$6:$L$28,$P785)-INDEX(PARAMETROS_CULTURAS!$K$6:$K$28,$P785))*($O785-INDEX(PARAMETROS_CULTURAS!$F$6:$F$28,$P785))/MAX(INDEX(PARAMETROS_CULTURAS!$G$6:$G$28,$P785),0.0001),IF($O785&lt;=INDEX(PARAMETROS_CULTURAS!$F$6:$F$28,$P785)+INDEX(PARAMETROS_CULTURAS!$G$6:$G$28,$P785)+INDEX(PARAMETROS_CULTURAS!$H$6:$H$28,$P785),INDEX(PARAMETROS_CULTURAS!$L$6:$L$28,$P785),INDEX(PARAMETROS_CULTURAS!$L$6:$L$28,$P785)+(INDEX(PARAMETROS_CULTURAS!$M$6:$M$28,$P785)-INDEX(PARAMETROS_CULTURAS!$L$6:$L$28,$P785))*($O785-INDEX(PARAMETROS_CULTURAS!$F$6:$F$28,$P785)-INDEX(PARAMETROS_CULTURAS!$G$6:$G$28,$P785)-INDEX(PARAMETROS_CULTURAS!$H$6:$H$28,$P785))/MAX(INDEX(PARAMETROS_CULTURAS!$I$6:$I$28,$P785),0.0001)))))</f>
        <v>1.15</v>
      </c>
      <c r="S785" s="18" t="n">
        <f aca="false">IFERROR(INDEX(SEMANAS!$H$6:$H$71,MATCH($B785,SEMANAS!$B$6:$B$71,0)),0)</f>
        <v>40.6</v>
      </c>
      <c r="T785" s="18" t="n">
        <f aca="false">$R785*$S785</f>
        <v>46.69</v>
      </c>
      <c r="U785" s="18" t="n">
        <f aca="false">IFERROR(INDEX(SEMANAS!$I$6:$I$71,MATCH($B785,SEMANAS!$B$6:$B$71,0)),0)</f>
        <v>7</v>
      </c>
      <c r="V785" s="18" t="n">
        <f aca="false">IFERROR(INDEX(SEMANAS!$J$6:$J$71,MATCH($B785,SEMANAS!$B$6:$B$71,0)),0)</f>
        <v>5.6</v>
      </c>
      <c r="W785" s="18" t="n">
        <f aca="false">MAX(0,$T785-$V785)</f>
        <v>41.09</v>
      </c>
      <c r="X785" s="19" t="n">
        <f aca="false">IFERROR(INDEX(CADASTRO_PIVOS!$K$6:$K$41,MATCH($E785,CADASTRO_PIVOS!$B$6:$B$41,0)),EFICIENCIA_PADRAO)</f>
        <v>0.85</v>
      </c>
      <c r="Y785" s="18" t="n">
        <f aca="false">IF($X785&lt;=0,0,$W785/$X785)</f>
        <v>48.3411764705882</v>
      </c>
      <c r="Z785" s="16" t="n">
        <f aca="false">$Y785*$H785*MM_PARA_M3_HA</f>
        <v>72502.0964705882</v>
      </c>
      <c r="AA785" s="18" t="n">
        <f aca="false">IFERROR(INDEX(CADASTRO_PIVOS!$I$6:$I$41,MATCH($E785,CADASTRO_PIVOS!$B$6:$B$41,0)),0)</f>
        <v>928.447619047619</v>
      </c>
      <c r="AB785" s="18" t="n">
        <f aca="false">IF($Z785&lt;=0,0,$Z785/$AA785)</f>
        <v>78.089592760181</v>
      </c>
      <c r="AC785" s="16" t="n">
        <f aca="false">IFERROR(INDEX(SEMANAS!$K$6:$K$71,MATCH($B785,SEMANAS!$B$6:$B$71,0)),0)</f>
        <v>147</v>
      </c>
      <c r="AD785" s="19" t="n">
        <f aca="false">IF($AC785&lt;=0,0,$AB785/$AC785)</f>
        <v>0.531221719457014</v>
      </c>
      <c r="AE785" s="8" t="str">
        <f aca="false">IF($K785="SEM CULTURA","SEM CULTURA",IF($AA785&lt;=0,"DADO PENDENTE",IF($AD785&gt;LIMITE_CRITICO,"INVIAVEL",IF($AD785&gt;LIMITE_ATENCAO,"CRITICO",IF($AD785&gt;LIMITE_CONFORTAVEL,"ATENCAO","OK")))))</f>
        <v>OK</v>
      </c>
      <c r="AF785" s="8" t="str">
        <f aca="false">$B785&amp;"|"&amp;TEXT($AD785,"0.000000")</f>
        <v>54|0.531222</v>
      </c>
      <c r="AG785" s="18" t="n">
        <f aca="false">IF($K785="SEM CULTURA",0,$T785*$H785)</f>
        <v>7002.5662</v>
      </c>
      <c r="AH785" s="18" t="n">
        <f aca="false">IF($K785="SEM CULTURA",0,$V785*$H785)</f>
        <v>839.888</v>
      </c>
      <c r="AI785" s="18" t="n">
        <f aca="false">IF($K785="SEM CULTURA",0,$W785*$H785)</f>
        <v>6162.6782</v>
      </c>
      <c r="AJ785" s="18" t="n">
        <f aca="false">IF($K785="SEM CULTURA",0,$S785*$H785)</f>
        <v>6089.188</v>
      </c>
      <c r="AK785" s="8" t="str">
        <f aca="false">$E785&amp;"|"&amp;TEXT($AD785,"0.000000")</f>
        <v>PV 113|0.531222</v>
      </c>
    </row>
    <row r="786" customFormat="false" ht="15" hidden="false" customHeight="false" outlineLevel="0" collapsed="false">
      <c r="B786" s="16" t="n">
        <v>55</v>
      </c>
      <c r="C786" s="17" t="n">
        <f aca="false">DATA_INICIO_SAFRA+($B786-1)*DIAS_POR_SEMANA</f>
        <v>46643</v>
      </c>
      <c r="D786" s="17" t="n">
        <f aca="false">$C786+DIAS_POR_SEMANA-1</f>
        <v>46649</v>
      </c>
      <c r="E786" s="15" t="s">
        <v>270</v>
      </c>
      <c r="F786" s="8" t="str">
        <f aca="false">IFERROR(INDEX(CADASTRO_PIVOS!$C$6:$C$41,MATCH($E786,CADASTRO_PIVOS!$B$6:$B$41,0)),"?")</f>
        <v>RM05</v>
      </c>
      <c r="G786" s="8" t="str">
        <f aca="false">IFERROR(INDEX(CADASTRO_PIVOS!$D$6:$D$41,MATCH($E786,CADASTRO_PIVOS!$B$6:$B$41,0)),"?")</f>
        <v>TR05</v>
      </c>
      <c r="H786" s="20" t="n">
        <f aca="false">IFERROR(INDEX(CADASTRO_PIVOS!$E$6:$E$41,MATCH($E786,CADASTRO_PIVOS!$B$6:$B$41,0)),0)</f>
        <v>149.98</v>
      </c>
      <c r="I786" s="16" t="n">
        <f aca="false">IFERROR(SUMIFS(ROTACAO_RDM!$B$6:$B$71,ROTACAO_RDM!$D$6:$D$71,$E786,ROTACAO_RDM!$I$6:$I$71,"&lt;="&amp;$C786+INT(DIAS_POR_SEMANA/2),ROTACAO_RDM!$J$6:$J$71,"&gt;="&amp;$C786+INT(DIAS_POR_SEMANA/2)),0)</f>
        <v>23</v>
      </c>
      <c r="J786" s="16" t="n">
        <f aca="false">IFERROR(MATCH($I786,ROTACAO_RDM!$B$6:$B$71,0),0)</f>
        <v>23</v>
      </c>
      <c r="K786" s="8" t="str">
        <f aca="false">IF($J786=0,"SEM CULTURA",INDEX(ROTACAO_RDM!$F$6:$F$71,$J786))</f>
        <v>MILHO_SEMENTE</v>
      </c>
      <c r="L786" s="8" t="n">
        <f aca="false">IF($J786=0,"",INDEX(ROTACAO_RDM!$G$6:$G$71,$J786))</f>
        <v>0</v>
      </c>
      <c r="M786" s="17" t="n">
        <f aca="false">IF($J786=0,"",INDEX(ROTACAO_RDM!$I$6:$I$71,$J786))</f>
        <v>46542</v>
      </c>
      <c r="N786" s="16" t="n">
        <f aca="false">IF($J786=0,0,MAX(0,$C786+INT(DIAS_POR_SEMANA/2)-INDEX(ROTACAO_RDM!$I$6:$I$71,$J786)))</f>
        <v>104</v>
      </c>
      <c r="O786" s="19" t="n">
        <f aca="false">IF($J786=0,0,MIN(1,$N786/MAX(1,INDEX(ROTACAO_RDM!$K$6:$K$71,$J786))))</f>
        <v>0.717241379310345</v>
      </c>
      <c r="P786" s="16" t="n">
        <f aca="false">IF($J786=0,0,IFERROR(MATCH(INDEX(ROTACAO_RDM!$N$6:$N$71,$J786),PARAMETROS_CULTURAS!$B$6:$B$28,0),0))</f>
        <v>7</v>
      </c>
      <c r="Q786" s="8" t="str">
        <f aca="false">IF($P786=0,"-",IF($O786&lt;=INDEX(PARAMETROS_CULTURAS!$F$6:$F$28,$P786),"INICIAL",IF($O786&lt;=INDEX(PARAMETROS_CULTURAS!$F$6:$F$28,$P786)+INDEX(PARAMETROS_CULTURAS!$G$6:$G$28,$P786),"DESENVOLVIMENTO",IF($O786&lt;=INDEX(PARAMETROS_CULTURAS!$F$6:$F$28,$P786)+INDEX(PARAMETROS_CULTURAS!$G$6:$G$28,$P786)+INDEX(PARAMETROS_CULTURAS!$H$6:$H$28,$P786),"MEDIA","FINAL"))))</f>
        <v>MEDIA</v>
      </c>
      <c r="R786" s="24" t="n">
        <f aca="false">IF($P786=0,0,IF($O786&lt;=INDEX(PARAMETROS_CULTURAS!$F$6:$F$28,$P786),INDEX(PARAMETROS_CULTURAS!$K$6:$K$28,$P786),IF($O786&lt;=INDEX(PARAMETROS_CULTURAS!$F$6:$F$28,$P786)+INDEX(PARAMETROS_CULTURAS!$G$6:$G$28,$P786),INDEX(PARAMETROS_CULTURAS!$K$6:$K$28,$P786)+(INDEX(PARAMETROS_CULTURAS!$L$6:$L$28,$P786)-INDEX(PARAMETROS_CULTURAS!$K$6:$K$28,$P786))*($O786-INDEX(PARAMETROS_CULTURAS!$F$6:$F$28,$P786))/MAX(INDEX(PARAMETROS_CULTURAS!$G$6:$G$28,$P786),0.0001),IF($O786&lt;=INDEX(PARAMETROS_CULTURAS!$F$6:$F$28,$P786)+INDEX(PARAMETROS_CULTURAS!$G$6:$G$28,$P786)+INDEX(PARAMETROS_CULTURAS!$H$6:$H$28,$P786),INDEX(PARAMETROS_CULTURAS!$L$6:$L$28,$P786),INDEX(PARAMETROS_CULTURAS!$L$6:$L$28,$P786)+(INDEX(PARAMETROS_CULTURAS!$M$6:$M$28,$P786)-INDEX(PARAMETROS_CULTURAS!$L$6:$L$28,$P786))*($O786-INDEX(PARAMETROS_CULTURAS!$F$6:$F$28,$P786)-INDEX(PARAMETROS_CULTURAS!$G$6:$G$28,$P786)-INDEX(PARAMETROS_CULTURAS!$H$6:$H$28,$P786))/MAX(INDEX(PARAMETROS_CULTURAS!$I$6:$I$28,$P786),0.0001)))))</f>
        <v>1.15</v>
      </c>
      <c r="S786" s="18" t="n">
        <f aca="false">IFERROR(INDEX(SEMANAS!$H$6:$H$71,MATCH($B786,SEMANAS!$B$6:$B$71,0)),0)</f>
        <v>40.6</v>
      </c>
      <c r="T786" s="18" t="n">
        <f aca="false">$R786*$S786</f>
        <v>46.69</v>
      </c>
      <c r="U786" s="18" t="n">
        <f aca="false">IFERROR(INDEX(SEMANAS!$I$6:$I$71,MATCH($B786,SEMANAS!$B$6:$B$71,0)),0)</f>
        <v>7</v>
      </c>
      <c r="V786" s="18" t="n">
        <f aca="false">IFERROR(INDEX(SEMANAS!$J$6:$J$71,MATCH($B786,SEMANAS!$B$6:$B$71,0)),0)</f>
        <v>5.6</v>
      </c>
      <c r="W786" s="18" t="n">
        <f aca="false">MAX(0,$T786-$V786)</f>
        <v>41.09</v>
      </c>
      <c r="X786" s="19" t="n">
        <f aca="false">IFERROR(INDEX(CADASTRO_PIVOS!$K$6:$K$41,MATCH($E786,CADASTRO_PIVOS!$B$6:$B$41,0)),EFICIENCIA_PADRAO)</f>
        <v>0.85</v>
      </c>
      <c r="Y786" s="18" t="n">
        <f aca="false">IF($X786&lt;=0,0,$W786/$X786)</f>
        <v>48.3411764705882</v>
      </c>
      <c r="Z786" s="16" t="n">
        <f aca="false">$Y786*$H786*MM_PARA_M3_HA</f>
        <v>72502.0964705882</v>
      </c>
      <c r="AA786" s="18" t="n">
        <f aca="false">IFERROR(INDEX(CADASTRO_PIVOS!$I$6:$I$41,MATCH($E786,CADASTRO_PIVOS!$B$6:$B$41,0)),0)</f>
        <v>928.447619047619</v>
      </c>
      <c r="AB786" s="18" t="n">
        <f aca="false">IF($Z786&lt;=0,0,$Z786/$AA786)</f>
        <v>78.089592760181</v>
      </c>
      <c r="AC786" s="16" t="n">
        <f aca="false">IFERROR(INDEX(SEMANAS!$K$6:$K$71,MATCH($B786,SEMANAS!$B$6:$B$71,0)),0)</f>
        <v>147</v>
      </c>
      <c r="AD786" s="19" t="n">
        <f aca="false">IF($AC786&lt;=0,0,$AB786/$AC786)</f>
        <v>0.531221719457014</v>
      </c>
      <c r="AE786" s="8" t="str">
        <f aca="false">IF($K786="SEM CULTURA","SEM CULTURA",IF($AA786&lt;=0,"DADO PENDENTE",IF($AD786&gt;LIMITE_CRITICO,"INVIAVEL",IF($AD786&gt;LIMITE_ATENCAO,"CRITICO",IF($AD786&gt;LIMITE_CONFORTAVEL,"ATENCAO","OK")))))</f>
        <v>OK</v>
      </c>
      <c r="AF786" s="8" t="str">
        <f aca="false">$B786&amp;"|"&amp;TEXT($AD786,"0.000000")</f>
        <v>55|0.531222</v>
      </c>
      <c r="AG786" s="18" t="n">
        <f aca="false">IF($K786="SEM CULTURA",0,$T786*$H786)</f>
        <v>7002.5662</v>
      </c>
      <c r="AH786" s="18" t="n">
        <f aca="false">IF($K786="SEM CULTURA",0,$V786*$H786)</f>
        <v>839.888</v>
      </c>
      <c r="AI786" s="18" t="n">
        <f aca="false">IF($K786="SEM CULTURA",0,$W786*$H786)</f>
        <v>6162.6782</v>
      </c>
      <c r="AJ786" s="18" t="n">
        <f aca="false">IF($K786="SEM CULTURA",0,$S786*$H786)</f>
        <v>6089.188</v>
      </c>
      <c r="AK786" s="8" t="str">
        <f aca="false">$E786&amp;"|"&amp;TEXT($AD786,"0.000000")</f>
        <v>PV 113|0.531222</v>
      </c>
    </row>
    <row r="787" customFormat="false" ht="15" hidden="false" customHeight="false" outlineLevel="0" collapsed="false">
      <c r="B787" s="16" t="n">
        <v>56</v>
      </c>
      <c r="C787" s="17" t="n">
        <f aca="false">DATA_INICIO_SAFRA+($B787-1)*DIAS_POR_SEMANA</f>
        <v>46650</v>
      </c>
      <c r="D787" s="17" t="n">
        <f aca="false">$C787+DIAS_POR_SEMANA-1</f>
        <v>46656</v>
      </c>
      <c r="E787" s="15" t="s">
        <v>270</v>
      </c>
      <c r="F787" s="8" t="str">
        <f aca="false">IFERROR(INDEX(CADASTRO_PIVOS!$C$6:$C$41,MATCH($E787,CADASTRO_PIVOS!$B$6:$B$41,0)),"?")</f>
        <v>RM05</v>
      </c>
      <c r="G787" s="8" t="str">
        <f aca="false">IFERROR(INDEX(CADASTRO_PIVOS!$D$6:$D$41,MATCH($E787,CADASTRO_PIVOS!$B$6:$B$41,0)),"?")</f>
        <v>TR05</v>
      </c>
      <c r="H787" s="20" t="n">
        <f aca="false">IFERROR(INDEX(CADASTRO_PIVOS!$E$6:$E$41,MATCH($E787,CADASTRO_PIVOS!$B$6:$B$41,0)),0)</f>
        <v>149.98</v>
      </c>
      <c r="I787" s="16" t="n">
        <f aca="false">IFERROR(SUMIFS(ROTACAO_RDM!$B$6:$B$71,ROTACAO_RDM!$D$6:$D$71,$E787,ROTACAO_RDM!$I$6:$I$71,"&lt;="&amp;$C787+INT(DIAS_POR_SEMANA/2),ROTACAO_RDM!$J$6:$J$71,"&gt;="&amp;$C787+INT(DIAS_POR_SEMANA/2)),0)</f>
        <v>23</v>
      </c>
      <c r="J787" s="16" t="n">
        <f aca="false">IFERROR(MATCH($I787,ROTACAO_RDM!$B$6:$B$71,0),0)</f>
        <v>23</v>
      </c>
      <c r="K787" s="8" t="str">
        <f aca="false">IF($J787=0,"SEM CULTURA",INDEX(ROTACAO_RDM!$F$6:$F$71,$J787))</f>
        <v>MILHO_SEMENTE</v>
      </c>
      <c r="L787" s="8" t="n">
        <f aca="false">IF($J787=0,"",INDEX(ROTACAO_RDM!$G$6:$G$71,$J787))</f>
        <v>0</v>
      </c>
      <c r="M787" s="17" t="n">
        <f aca="false">IF($J787=0,"",INDEX(ROTACAO_RDM!$I$6:$I$71,$J787))</f>
        <v>46542</v>
      </c>
      <c r="N787" s="16" t="n">
        <f aca="false">IF($J787=0,0,MAX(0,$C787+INT(DIAS_POR_SEMANA/2)-INDEX(ROTACAO_RDM!$I$6:$I$71,$J787)))</f>
        <v>111</v>
      </c>
      <c r="O787" s="19" t="n">
        <f aca="false">IF($J787=0,0,MIN(1,$N787/MAX(1,INDEX(ROTACAO_RDM!$K$6:$K$71,$J787))))</f>
        <v>0.76551724137931</v>
      </c>
      <c r="P787" s="16" t="n">
        <f aca="false">IF($J787=0,0,IFERROR(MATCH(INDEX(ROTACAO_RDM!$N$6:$N$71,$J787),PARAMETROS_CULTURAS!$B$6:$B$28,0),0))</f>
        <v>7</v>
      </c>
      <c r="Q787" s="8" t="str">
        <f aca="false">IF($P787=0,"-",IF($O787&lt;=INDEX(PARAMETROS_CULTURAS!$F$6:$F$28,$P787),"INICIAL",IF($O787&lt;=INDEX(PARAMETROS_CULTURAS!$F$6:$F$28,$P787)+INDEX(PARAMETROS_CULTURAS!$G$6:$G$28,$P787),"DESENVOLVIMENTO",IF($O787&lt;=INDEX(PARAMETROS_CULTURAS!$F$6:$F$28,$P787)+INDEX(PARAMETROS_CULTURAS!$G$6:$G$28,$P787)+INDEX(PARAMETROS_CULTURAS!$H$6:$H$28,$P787),"MEDIA","FINAL"))))</f>
        <v>FINAL</v>
      </c>
      <c r="R787" s="24" t="n">
        <f aca="false">IF($P787=0,0,IF($O787&lt;=INDEX(PARAMETROS_CULTURAS!$F$6:$F$28,$P787),INDEX(PARAMETROS_CULTURAS!$K$6:$K$28,$P787),IF($O787&lt;=INDEX(PARAMETROS_CULTURAS!$F$6:$F$28,$P787)+INDEX(PARAMETROS_CULTURAS!$G$6:$G$28,$P787),INDEX(PARAMETROS_CULTURAS!$K$6:$K$28,$P787)+(INDEX(PARAMETROS_CULTURAS!$L$6:$L$28,$P787)-INDEX(PARAMETROS_CULTURAS!$K$6:$K$28,$P787))*($O787-INDEX(PARAMETROS_CULTURAS!$F$6:$F$28,$P787))/MAX(INDEX(PARAMETROS_CULTURAS!$G$6:$G$28,$P787),0.0001),IF($O787&lt;=INDEX(PARAMETROS_CULTURAS!$F$6:$F$28,$P787)+INDEX(PARAMETROS_CULTURAS!$G$6:$G$28,$P787)+INDEX(PARAMETROS_CULTURAS!$H$6:$H$28,$P787),INDEX(PARAMETROS_CULTURAS!$L$6:$L$28,$P787),INDEX(PARAMETROS_CULTURAS!$L$6:$L$28,$P787)+(INDEX(PARAMETROS_CULTURAS!$M$6:$M$28,$P787)-INDEX(PARAMETROS_CULTURAS!$L$6:$L$28,$P787))*($O787-INDEX(PARAMETROS_CULTURAS!$F$6:$F$28,$P787)-INDEX(PARAMETROS_CULTURAS!$G$6:$G$28,$P787)-INDEX(PARAMETROS_CULTURAS!$H$6:$H$28,$P787))/MAX(INDEX(PARAMETROS_CULTURAS!$I$6:$I$28,$P787),0.0001)))))</f>
        <v>1.11586206896552</v>
      </c>
      <c r="S787" s="18" t="n">
        <f aca="false">IFERROR(INDEX(SEMANAS!$H$6:$H$71,MATCH($B787,SEMANAS!$B$6:$B$71,0)),0)</f>
        <v>40.6</v>
      </c>
      <c r="T787" s="18" t="n">
        <f aca="false">$R787*$S787</f>
        <v>45.304</v>
      </c>
      <c r="U787" s="18" t="n">
        <f aca="false">IFERROR(INDEX(SEMANAS!$I$6:$I$71,MATCH($B787,SEMANAS!$B$6:$B$71,0)),0)</f>
        <v>7</v>
      </c>
      <c r="V787" s="18" t="n">
        <f aca="false">IFERROR(INDEX(SEMANAS!$J$6:$J$71,MATCH($B787,SEMANAS!$B$6:$B$71,0)),0)</f>
        <v>5.6</v>
      </c>
      <c r="W787" s="18" t="n">
        <f aca="false">MAX(0,$T787-$V787)</f>
        <v>39.704</v>
      </c>
      <c r="X787" s="19" t="n">
        <f aca="false">IFERROR(INDEX(CADASTRO_PIVOS!$K$6:$K$41,MATCH($E787,CADASTRO_PIVOS!$B$6:$B$41,0)),EFICIENCIA_PADRAO)</f>
        <v>0.85</v>
      </c>
      <c r="Y787" s="18" t="n">
        <f aca="false">IF($X787&lt;=0,0,$W787/$X787)</f>
        <v>46.7105882352941</v>
      </c>
      <c r="Z787" s="16" t="n">
        <f aca="false">$Y787*$H787*MM_PARA_M3_HA</f>
        <v>70056.5402352941</v>
      </c>
      <c r="AA787" s="18" t="n">
        <f aca="false">IFERROR(INDEX(CADASTRO_PIVOS!$I$6:$I$41,MATCH($E787,CADASTRO_PIVOS!$B$6:$B$41,0)),0)</f>
        <v>928.447619047619</v>
      </c>
      <c r="AB787" s="18" t="n">
        <f aca="false">IF($Z787&lt;=0,0,$Z787/$AA787)</f>
        <v>75.4555656108597</v>
      </c>
      <c r="AC787" s="16" t="n">
        <f aca="false">IFERROR(INDEX(SEMANAS!$K$6:$K$71,MATCH($B787,SEMANAS!$B$6:$B$71,0)),0)</f>
        <v>147</v>
      </c>
      <c r="AD787" s="19" t="n">
        <f aca="false">IF($AC787&lt;=0,0,$AB787/$AC787)</f>
        <v>0.513303167420814</v>
      </c>
      <c r="AE787" s="8" t="str">
        <f aca="false">IF($K787="SEM CULTURA","SEM CULTURA",IF($AA787&lt;=0,"DADO PENDENTE",IF($AD787&gt;LIMITE_CRITICO,"INVIAVEL",IF($AD787&gt;LIMITE_ATENCAO,"CRITICO",IF($AD787&gt;LIMITE_CONFORTAVEL,"ATENCAO","OK")))))</f>
        <v>OK</v>
      </c>
      <c r="AF787" s="8" t="str">
        <f aca="false">$B787&amp;"|"&amp;TEXT($AD787,"0.000000")</f>
        <v>56|0.513303</v>
      </c>
      <c r="AG787" s="18" t="n">
        <f aca="false">IF($K787="SEM CULTURA",0,$T787*$H787)</f>
        <v>6794.69392</v>
      </c>
      <c r="AH787" s="18" t="n">
        <f aca="false">IF($K787="SEM CULTURA",0,$V787*$H787)</f>
        <v>839.888</v>
      </c>
      <c r="AI787" s="18" t="n">
        <f aca="false">IF($K787="SEM CULTURA",0,$W787*$H787)</f>
        <v>5954.80592</v>
      </c>
      <c r="AJ787" s="18" t="n">
        <f aca="false">IF($K787="SEM CULTURA",0,$S787*$H787)</f>
        <v>6089.188</v>
      </c>
      <c r="AK787" s="8" t="str">
        <f aca="false">$E787&amp;"|"&amp;TEXT($AD787,"0.000000")</f>
        <v>PV 113|0.513303</v>
      </c>
    </row>
    <row r="788" customFormat="false" ht="15" hidden="false" customHeight="false" outlineLevel="0" collapsed="false">
      <c r="B788" s="16" t="n">
        <v>57</v>
      </c>
      <c r="C788" s="17" t="n">
        <f aca="false">DATA_INICIO_SAFRA+($B788-1)*DIAS_POR_SEMANA</f>
        <v>46657</v>
      </c>
      <c r="D788" s="17" t="n">
        <f aca="false">$C788+DIAS_POR_SEMANA-1</f>
        <v>46663</v>
      </c>
      <c r="E788" s="15" t="s">
        <v>270</v>
      </c>
      <c r="F788" s="8" t="str">
        <f aca="false">IFERROR(INDEX(CADASTRO_PIVOS!$C$6:$C$41,MATCH($E788,CADASTRO_PIVOS!$B$6:$B$41,0)),"?")</f>
        <v>RM05</v>
      </c>
      <c r="G788" s="8" t="str">
        <f aca="false">IFERROR(INDEX(CADASTRO_PIVOS!$D$6:$D$41,MATCH($E788,CADASTRO_PIVOS!$B$6:$B$41,0)),"?")</f>
        <v>TR05</v>
      </c>
      <c r="H788" s="20" t="n">
        <f aca="false">IFERROR(INDEX(CADASTRO_PIVOS!$E$6:$E$41,MATCH($E788,CADASTRO_PIVOS!$B$6:$B$41,0)),0)</f>
        <v>149.98</v>
      </c>
      <c r="I788" s="16" t="n">
        <f aca="false">IFERROR(SUMIFS(ROTACAO_RDM!$B$6:$B$71,ROTACAO_RDM!$D$6:$D$71,$E788,ROTACAO_RDM!$I$6:$I$71,"&lt;="&amp;$C788+INT(DIAS_POR_SEMANA/2),ROTACAO_RDM!$J$6:$J$71,"&gt;="&amp;$C788+INT(DIAS_POR_SEMANA/2)),0)</f>
        <v>23</v>
      </c>
      <c r="J788" s="16" t="n">
        <f aca="false">IFERROR(MATCH($I788,ROTACAO_RDM!$B$6:$B$71,0),0)</f>
        <v>23</v>
      </c>
      <c r="K788" s="8" t="str">
        <f aca="false">IF($J788=0,"SEM CULTURA",INDEX(ROTACAO_RDM!$F$6:$F$71,$J788))</f>
        <v>MILHO_SEMENTE</v>
      </c>
      <c r="L788" s="8" t="n">
        <f aca="false">IF($J788=0,"",INDEX(ROTACAO_RDM!$G$6:$G$71,$J788))</f>
        <v>0</v>
      </c>
      <c r="M788" s="17" t="n">
        <f aca="false">IF($J788=0,"",INDEX(ROTACAO_RDM!$I$6:$I$71,$J788))</f>
        <v>46542</v>
      </c>
      <c r="N788" s="16" t="n">
        <f aca="false">IF($J788=0,0,MAX(0,$C788+INT(DIAS_POR_SEMANA/2)-INDEX(ROTACAO_RDM!$I$6:$I$71,$J788)))</f>
        <v>118</v>
      </c>
      <c r="O788" s="19" t="n">
        <f aca="false">IF($J788=0,0,MIN(1,$N788/MAX(1,INDEX(ROTACAO_RDM!$K$6:$K$71,$J788))))</f>
        <v>0.813793103448276</v>
      </c>
      <c r="P788" s="16" t="n">
        <f aca="false">IF($J788=0,0,IFERROR(MATCH(INDEX(ROTACAO_RDM!$N$6:$N$71,$J788),PARAMETROS_CULTURAS!$B$6:$B$28,0),0))</f>
        <v>7</v>
      </c>
      <c r="Q788" s="8" t="str">
        <f aca="false">IF($P788=0,"-",IF($O788&lt;=INDEX(PARAMETROS_CULTURAS!$F$6:$F$28,$P788),"INICIAL",IF($O788&lt;=INDEX(PARAMETROS_CULTURAS!$F$6:$F$28,$P788)+INDEX(PARAMETROS_CULTURAS!$G$6:$G$28,$P788),"DESENVOLVIMENTO",IF($O788&lt;=INDEX(PARAMETROS_CULTURAS!$F$6:$F$28,$P788)+INDEX(PARAMETROS_CULTURAS!$G$6:$G$28,$P788)+INDEX(PARAMETROS_CULTURAS!$H$6:$H$28,$P788),"MEDIA","FINAL"))))</f>
        <v>FINAL</v>
      </c>
      <c r="R788" s="24" t="n">
        <f aca="false">IF($P788=0,0,IF($O788&lt;=INDEX(PARAMETROS_CULTURAS!$F$6:$F$28,$P788),INDEX(PARAMETROS_CULTURAS!$K$6:$K$28,$P788),IF($O788&lt;=INDEX(PARAMETROS_CULTURAS!$F$6:$F$28,$P788)+INDEX(PARAMETROS_CULTURAS!$G$6:$G$28,$P788),INDEX(PARAMETROS_CULTURAS!$K$6:$K$28,$P788)+(INDEX(PARAMETROS_CULTURAS!$L$6:$L$28,$P788)-INDEX(PARAMETROS_CULTURAS!$K$6:$K$28,$P788))*($O788-INDEX(PARAMETROS_CULTURAS!$F$6:$F$28,$P788))/MAX(INDEX(PARAMETROS_CULTURAS!$G$6:$G$28,$P788),0.0001),IF($O788&lt;=INDEX(PARAMETROS_CULTURAS!$F$6:$F$28,$P788)+INDEX(PARAMETROS_CULTURAS!$G$6:$G$28,$P788)+INDEX(PARAMETROS_CULTURAS!$H$6:$H$28,$P788),INDEX(PARAMETROS_CULTURAS!$L$6:$L$28,$P788),INDEX(PARAMETROS_CULTURAS!$L$6:$L$28,$P788)+(INDEX(PARAMETROS_CULTURAS!$M$6:$M$28,$P788)-INDEX(PARAMETROS_CULTURAS!$L$6:$L$28,$P788))*($O788-INDEX(PARAMETROS_CULTURAS!$F$6:$F$28,$P788)-INDEX(PARAMETROS_CULTURAS!$G$6:$G$28,$P788)-INDEX(PARAMETROS_CULTURAS!$H$6:$H$28,$P788))/MAX(INDEX(PARAMETROS_CULTURAS!$I$6:$I$28,$P788),0.0001)))))</f>
        <v>1.00965517241379</v>
      </c>
      <c r="S788" s="18" t="n">
        <f aca="false">IFERROR(INDEX(SEMANAS!$H$6:$H$71,MATCH($B788,SEMANAS!$B$6:$B$71,0)),0)</f>
        <v>40</v>
      </c>
      <c r="T788" s="18" t="n">
        <f aca="false">$R788*$S788</f>
        <v>40.3862068965517</v>
      </c>
      <c r="U788" s="18" t="n">
        <f aca="false">IFERROR(INDEX(SEMANAS!$I$6:$I$71,MATCH($B788,SEMANAS!$B$6:$B$71,0)),0)</f>
        <v>15.61</v>
      </c>
      <c r="V788" s="18" t="n">
        <f aca="false">IFERROR(INDEX(SEMANAS!$J$6:$J$71,MATCH($B788,SEMANAS!$B$6:$B$71,0)),0)</f>
        <v>12.488</v>
      </c>
      <c r="W788" s="18" t="n">
        <f aca="false">MAX(0,$T788-$V788)</f>
        <v>27.8982068965517</v>
      </c>
      <c r="X788" s="19" t="n">
        <f aca="false">IFERROR(INDEX(CADASTRO_PIVOS!$K$6:$K$41,MATCH($E788,CADASTRO_PIVOS!$B$6:$B$41,0)),EFICIENCIA_PADRAO)</f>
        <v>0.85</v>
      </c>
      <c r="Y788" s="18" t="n">
        <f aca="false">IF($X788&lt;=0,0,$W788/$X788)</f>
        <v>32.8214198782962</v>
      </c>
      <c r="Z788" s="16" t="n">
        <f aca="false">$Y788*$H788*MM_PARA_M3_HA</f>
        <v>49225.5655334686</v>
      </c>
      <c r="AA788" s="18" t="n">
        <f aca="false">IFERROR(INDEX(CADASTRO_PIVOS!$I$6:$I$41,MATCH($E788,CADASTRO_PIVOS!$B$6:$B$41,0)),0)</f>
        <v>928.447619047619</v>
      </c>
      <c r="AB788" s="18" t="n">
        <f aca="false">IF($Z788&lt;=0,0,$Z788/$AA788)</f>
        <v>53.0192167264784</v>
      </c>
      <c r="AC788" s="16" t="n">
        <f aca="false">IFERROR(INDEX(SEMANAS!$K$6:$K$71,MATCH($B788,SEMANAS!$B$6:$B$71,0)),0)</f>
        <v>147</v>
      </c>
      <c r="AD788" s="19" t="n">
        <f aca="false">IF($AC788&lt;=0,0,$AB788/$AC788)</f>
        <v>0.36067494371754</v>
      </c>
      <c r="AE788" s="8" t="str">
        <f aca="false">IF($K788="SEM CULTURA","SEM CULTURA",IF($AA788&lt;=0,"DADO PENDENTE",IF($AD788&gt;LIMITE_CRITICO,"INVIAVEL",IF($AD788&gt;LIMITE_ATENCAO,"CRITICO",IF($AD788&gt;LIMITE_CONFORTAVEL,"ATENCAO","OK")))))</f>
        <v>OK</v>
      </c>
      <c r="AF788" s="8" t="str">
        <f aca="false">$B788&amp;"|"&amp;TEXT($AD788,"0.000000")</f>
        <v>57|0.360675</v>
      </c>
      <c r="AG788" s="18" t="n">
        <f aca="false">IF($K788="SEM CULTURA",0,$T788*$H788)</f>
        <v>6057.12331034483</v>
      </c>
      <c r="AH788" s="18" t="n">
        <f aca="false">IF($K788="SEM CULTURA",0,$V788*$H788)</f>
        <v>1872.95024</v>
      </c>
      <c r="AI788" s="18" t="n">
        <f aca="false">IF($K788="SEM CULTURA",0,$W788*$H788)</f>
        <v>4184.17307034483</v>
      </c>
      <c r="AJ788" s="18" t="n">
        <f aca="false">IF($K788="SEM CULTURA",0,$S788*$H788)</f>
        <v>5999.2</v>
      </c>
      <c r="AK788" s="8" t="str">
        <f aca="false">$E788&amp;"|"&amp;TEXT($AD788,"0.000000")</f>
        <v>PV 113|0.360675</v>
      </c>
    </row>
    <row r="789" customFormat="false" ht="15" hidden="false" customHeight="false" outlineLevel="0" collapsed="false">
      <c r="B789" s="16" t="n">
        <v>58</v>
      </c>
      <c r="C789" s="17" t="n">
        <f aca="false">DATA_INICIO_SAFRA+($B789-1)*DIAS_POR_SEMANA</f>
        <v>46664</v>
      </c>
      <c r="D789" s="17" t="n">
        <f aca="false">$C789+DIAS_POR_SEMANA-1</f>
        <v>46670</v>
      </c>
      <c r="E789" s="15" t="s">
        <v>270</v>
      </c>
      <c r="F789" s="8" t="str">
        <f aca="false">IFERROR(INDEX(CADASTRO_PIVOS!$C$6:$C$41,MATCH($E789,CADASTRO_PIVOS!$B$6:$B$41,0)),"?")</f>
        <v>RM05</v>
      </c>
      <c r="G789" s="8" t="str">
        <f aca="false">IFERROR(INDEX(CADASTRO_PIVOS!$D$6:$D$41,MATCH($E789,CADASTRO_PIVOS!$B$6:$B$41,0)),"?")</f>
        <v>TR05</v>
      </c>
      <c r="H789" s="20" t="n">
        <f aca="false">IFERROR(INDEX(CADASTRO_PIVOS!$E$6:$E$41,MATCH($E789,CADASTRO_PIVOS!$B$6:$B$41,0)),0)</f>
        <v>149.98</v>
      </c>
      <c r="I789" s="16" t="n">
        <f aca="false">IFERROR(SUMIFS(ROTACAO_RDM!$B$6:$B$71,ROTACAO_RDM!$D$6:$D$71,$E789,ROTACAO_RDM!$I$6:$I$71,"&lt;="&amp;$C789+INT(DIAS_POR_SEMANA/2),ROTACAO_RDM!$J$6:$J$71,"&gt;="&amp;$C789+INT(DIAS_POR_SEMANA/2)),0)</f>
        <v>23</v>
      </c>
      <c r="J789" s="16" t="n">
        <f aca="false">IFERROR(MATCH($I789,ROTACAO_RDM!$B$6:$B$71,0),0)</f>
        <v>23</v>
      </c>
      <c r="K789" s="8" t="str">
        <f aca="false">IF($J789=0,"SEM CULTURA",INDEX(ROTACAO_RDM!$F$6:$F$71,$J789))</f>
        <v>MILHO_SEMENTE</v>
      </c>
      <c r="L789" s="8" t="n">
        <f aca="false">IF($J789=0,"",INDEX(ROTACAO_RDM!$G$6:$G$71,$J789))</f>
        <v>0</v>
      </c>
      <c r="M789" s="17" t="n">
        <f aca="false">IF($J789=0,"",INDEX(ROTACAO_RDM!$I$6:$I$71,$J789))</f>
        <v>46542</v>
      </c>
      <c r="N789" s="16" t="n">
        <f aca="false">IF($J789=0,0,MAX(0,$C789+INT(DIAS_POR_SEMANA/2)-INDEX(ROTACAO_RDM!$I$6:$I$71,$J789)))</f>
        <v>125</v>
      </c>
      <c r="O789" s="19" t="n">
        <f aca="false">IF($J789=0,0,MIN(1,$N789/MAX(1,INDEX(ROTACAO_RDM!$K$6:$K$71,$J789))))</f>
        <v>0.862068965517241</v>
      </c>
      <c r="P789" s="16" t="n">
        <f aca="false">IF($J789=0,0,IFERROR(MATCH(INDEX(ROTACAO_RDM!$N$6:$N$71,$J789),PARAMETROS_CULTURAS!$B$6:$B$28,0),0))</f>
        <v>7</v>
      </c>
      <c r="Q789" s="8" t="str">
        <f aca="false">IF($P789=0,"-",IF($O789&lt;=INDEX(PARAMETROS_CULTURAS!$F$6:$F$28,$P789),"INICIAL",IF($O789&lt;=INDEX(PARAMETROS_CULTURAS!$F$6:$F$28,$P789)+INDEX(PARAMETROS_CULTURAS!$G$6:$G$28,$P789),"DESENVOLVIMENTO",IF($O789&lt;=INDEX(PARAMETROS_CULTURAS!$F$6:$F$28,$P789)+INDEX(PARAMETROS_CULTURAS!$G$6:$G$28,$P789)+INDEX(PARAMETROS_CULTURAS!$H$6:$H$28,$P789),"MEDIA","FINAL"))))</f>
        <v>FINAL</v>
      </c>
      <c r="R789" s="24" t="n">
        <f aca="false">IF($P789=0,0,IF($O789&lt;=INDEX(PARAMETROS_CULTURAS!$F$6:$F$28,$P789),INDEX(PARAMETROS_CULTURAS!$K$6:$K$28,$P789),IF($O789&lt;=INDEX(PARAMETROS_CULTURAS!$F$6:$F$28,$P789)+INDEX(PARAMETROS_CULTURAS!$G$6:$G$28,$P789),INDEX(PARAMETROS_CULTURAS!$K$6:$K$28,$P789)+(INDEX(PARAMETROS_CULTURAS!$L$6:$L$28,$P789)-INDEX(PARAMETROS_CULTURAS!$K$6:$K$28,$P789))*($O789-INDEX(PARAMETROS_CULTURAS!$F$6:$F$28,$P789))/MAX(INDEX(PARAMETROS_CULTURAS!$G$6:$G$28,$P789),0.0001),IF($O789&lt;=INDEX(PARAMETROS_CULTURAS!$F$6:$F$28,$P789)+INDEX(PARAMETROS_CULTURAS!$G$6:$G$28,$P789)+INDEX(PARAMETROS_CULTURAS!$H$6:$H$28,$P789),INDEX(PARAMETROS_CULTURAS!$L$6:$L$28,$P789),INDEX(PARAMETROS_CULTURAS!$L$6:$L$28,$P789)+(INDEX(PARAMETROS_CULTURAS!$M$6:$M$28,$P789)-INDEX(PARAMETROS_CULTURAS!$L$6:$L$28,$P789))*($O789-INDEX(PARAMETROS_CULTURAS!$F$6:$F$28,$P789)-INDEX(PARAMETROS_CULTURAS!$G$6:$G$28,$P789)-INDEX(PARAMETROS_CULTURAS!$H$6:$H$28,$P789))/MAX(INDEX(PARAMETROS_CULTURAS!$I$6:$I$28,$P789),0.0001)))))</f>
        <v>0.903448275862069</v>
      </c>
      <c r="S789" s="18" t="n">
        <f aca="false">IFERROR(INDEX(SEMANAS!$H$6:$H$71,MATCH($B789,SEMANAS!$B$6:$B$71,0)),0)</f>
        <v>39.2</v>
      </c>
      <c r="T789" s="18" t="n">
        <f aca="false">$R789*$S789</f>
        <v>35.4151724137931</v>
      </c>
      <c r="U789" s="18" t="n">
        <f aca="false">IFERROR(INDEX(SEMANAS!$I$6:$I$71,MATCH($B789,SEMANAS!$B$6:$B$71,0)),0)</f>
        <v>27.09</v>
      </c>
      <c r="V789" s="18" t="n">
        <f aca="false">IFERROR(INDEX(SEMANAS!$J$6:$J$71,MATCH($B789,SEMANAS!$B$6:$B$71,0)),0)</f>
        <v>21.672</v>
      </c>
      <c r="W789" s="18" t="n">
        <f aca="false">MAX(0,$T789-$V789)</f>
        <v>13.7431724137931</v>
      </c>
      <c r="X789" s="19" t="n">
        <f aca="false">IFERROR(INDEX(CADASTRO_PIVOS!$K$6:$K$41,MATCH($E789,CADASTRO_PIVOS!$B$6:$B$41,0)),EFICIENCIA_PADRAO)</f>
        <v>0.85</v>
      </c>
      <c r="Y789" s="18" t="n">
        <f aca="false">IF($X789&lt;=0,0,$W789/$X789)</f>
        <v>16.1684381338742</v>
      </c>
      <c r="Z789" s="16" t="n">
        <f aca="false">$Y789*$H789*MM_PARA_M3_HA</f>
        <v>24249.4235131846</v>
      </c>
      <c r="AA789" s="18" t="n">
        <f aca="false">IFERROR(INDEX(CADASTRO_PIVOS!$I$6:$I$41,MATCH($E789,CADASTRO_PIVOS!$B$6:$B$41,0)),0)</f>
        <v>928.447619047619</v>
      </c>
      <c r="AB789" s="18" t="n">
        <f aca="false">IF($Z789&lt;=0,0,$Z789/$AA789)</f>
        <v>26.1182462162584</v>
      </c>
      <c r="AC789" s="16" t="n">
        <f aca="false">IFERROR(INDEX(SEMANAS!$K$6:$K$71,MATCH($B789,SEMANAS!$B$6:$B$71,0)),0)</f>
        <v>147</v>
      </c>
      <c r="AD789" s="19" t="n">
        <f aca="false">IF($AC789&lt;=0,0,$AB789/$AC789)</f>
        <v>0.177675144328288</v>
      </c>
      <c r="AE789" s="8" t="str">
        <f aca="false">IF($K789="SEM CULTURA","SEM CULTURA",IF($AA789&lt;=0,"DADO PENDENTE",IF($AD789&gt;LIMITE_CRITICO,"INVIAVEL",IF($AD789&gt;LIMITE_ATENCAO,"CRITICO",IF($AD789&gt;LIMITE_CONFORTAVEL,"ATENCAO","OK")))))</f>
        <v>OK</v>
      </c>
      <c r="AF789" s="8" t="str">
        <f aca="false">$B789&amp;"|"&amp;TEXT($AD789,"0.000000")</f>
        <v>58|0.177675</v>
      </c>
      <c r="AG789" s="18" t="n">
        <f aca="false">IF($K789="SEM CULTURA",0,$T789*$H789)</f>
        <v>5311.56755862069</v>
      </c>
      <c r="AH789" s="18" t="n">
        <f aca="false">IF($K789="SEM CULTURA",0,$V789*$H789)</f>
        <v>3250.36656</v>
      </c>
      <c r="AI789" s="18" t="n">
        <f aca="false">IF($K789="SEM CULTURA",0,$W789*$H789)</f>
        <v>2061.20099862069</v>
      </c>
      <c r="AJ789" s="18" t="n">
        <f aca="false">IF($K789="SEM CULTURA",0,$S789*$H789)</f>
        <v>5879.216</v>
      </c>
      <c r="AK789" s="8" t="str">
        <f aca="false">$E789&amp;"|"&amp;TEXT($AD789,"0.000000")</f>
        <v>PV 113|0.177675</v>
      </c>
    </row>
    <row r="790" customFormat="false" ht="15" hidden="false" customHeight="false" outlineLevel="0" collapsed="false">
      <c r="B790" s="16" t="n">
        <v>59</v>
      </c>
      <c r="C790" s="17" t="n">
        <f aca="false">DATA_INICIO_SAFRA+($B790-1)*DIAS_POR_SEMANA</f>
        <v>46671</v>
      </c>
      <c r="D790" s="17" t="n">
        <f aca="false">$C790+DIAS_POR_SEMANA-1</f>
        <v>46677</v>
      </c>
      <c r="E790" s="15" t="s">
        <v>270</v>
      </c>
      <c r="F790" s="8" t="str">
        <f aca="false">IFERROR(INDEX(CADASTRO_PIVOS!$C$6:$C$41,MATCH($E790,CADASTRO_PIVOS!$B$6:$B$41,0)),"?")</f>
        <v>RM05</v>
      </c>
      <c r="G790" s="8" t="str">
        <f aca="false">IFERROR(INDEX(CADASTRO_PIVOS!$D$6:$D$41,MATCH($E790,CADASTRO_PIVOS!$B$6:$B$41,0)),"?")</f>
        <v>TR05</v>
      </c>
      <c r="H790" s="20" t="n">
        <f aca="false">IFERROR(INDEX(CADASTRO_PIVOS!$E$6:$E$41,MATCH($E790,CADASTRO_PIVOS!$B$6:$B$41,0)),0)</f>
        <v>149.98</v>
      </c>
      <c r="I790" s="16" t="n">
        <f aca="false">IFERROR(SUMIFS(ROTACAO_RDM!$B$6:$B$71,ROTACAO_RDM!$D$6:$D$71,$E790,ROTACAO_RDM!$I$6:$I$71,"&lt;="&amp;$C790+INT(DIAS_POR_SEMANA/2),ROTACAO_RDM!$J$6:$J$71,"&gt;="&amp;$C790+INT(DIAS_POR_SEMANA/2)),0)</f>
        <v>23</v>
      </c>
      <c r="J790" s="16" t="n">
        <f aca="false">IFERROR(MATCH($I790,ROTACAO_RDM!$B$6:$B$71,0),0)</f>
        <v>23</v>
      </c>
      <c r="K790" s="8" t="str">
        <f aca="false">IF($J790=0,"SEM CULTURA",INDEX(ROTACAO_RDM!$F$6:$F$71,$J790))</f>
        <v>MILHO_SEMENTE</v>
      </c>
      <c r="L790" s="8" t="n">
        <f aca="false">IF($J790=0,"",INDEX(ROTACAO_RDM!$G$6:$G$71,$J790))</f>
        <v>0</v>
      </c>
      <c r="M790" s="17" t="n">
        <f aca="false">IF($J790=0,"",INDEX(ROTACAO_RDM!$I$6:$I$71,$J790))</f>
        <v>46542</v>
      </c>
      <c r="N790" s="16" t="n">
        <f aca="false">IF($J790=0,0,MAX(0,$C790+INT(DIAS_POR_SEMANA/2)-INDEX(ROTACAO_RDM!$I$6:$I$71,$J790)))</f>
        <v>132</v>
      </c>
      <c r="O790" s="19" t="n">
        <f aca="false">IF($J790=0,0,MIN(1,$N790/MAX(1,INDEX(ROTACAO_RDM!$K$6:$K$71,$J790))))</f>
        <v>0.910344827586207</v>
      </c>
      <c r="P790" s="16" t="n">
        <f aca="false">IF($J790=0,0,IFERROR(MATCH(INDEX(ROTACAO_RDM!$N$6:$N$71,$J790),PARAMETROS_CULTURAS!$B$6:$B$28,0),0))</f>
        <v>7</v>
      </c>
      <c r="Q790" s="8" t="str">
        <f aca="false">IF($P790=0,"-",IF($O790&lt;=INDEX(PARAMETROS_CULTURAS!$F$6:$F$28,$P790),"INICIAL",IF($O790&lt;=INDEX(PARAMETROS_CULTURAS!$F$6:$F$28,$P790)+INDEX(PARAMETROS_CULTURAS!$G$6:$G$28,$P790),"DESENVOLVIMENTO",IF($O790&lt;=INDEX(PARAMETROS_CULTURAS!$F$6:$F$28,$P790)+INDEX(PARAMETROS_CULTURAS!$G$6:$G$28,$P790)+INDEX(PARAMETROS_CULTURAS!$H$6:$H$28,$P790),"MEDIA","FINAL"))))</f>
        <v>FINAL</v>
      </c>
      <c r="R790" s="24" t="n">
        <f aca="false">IF($P790=0,0,IF($O790&lt;=INDEX(PARAMETROS_CULTURAS!$F$6:$F$28,$P790),INDEX(PARAMETROS_CULTURAS!$K$6:$K$28,$P790),IF($O790&lt;=INDEX(PARAMETROS_CULTURAS!$F$6:$F$28,$P790)+INDEX(PARAMETROS_CULTURAS!$G$6:$G$28,$P790),INDEX(PARAMETROS_CULTURAS!$K$6:$K$28,$P790)+(INDEX(PARAMETROS_CULTURAS!$L$6:$L$28,$P790)-INDEX(PARAMETROS_CULTURAS!$K$6:$K$28,$P790))*($O790-INDEX(PARAMETROS_CULTURAS!$F$6:$F$28,$P790))/MAX(INDEX(PARAMETROS_CULTURAS!$G$6:$G$28,$P790),0.0001),IF($O790&lt;=INDEX(PARAMETROS_CULTURAS!$F$6:$F$28,$P790)+INDEX(PARAMETROS_CULTURAS!$G$6:$G$28,$P790)+INDEX(PARAMETROS_CULTURAS!$H$6:$H$28,$P790),INDEX(PARAMETROS_CULTURAS!$L$6:$L$28,$P790),INDEX(PARAMETROS_CULTURAS!$L$6:$L$28,$P790)+(INDEX(PARAMETROS_CULTURAS!$M$6:$M$28,$P790)-INDEX(PARAMETROS_CULTURAS!$L$6:$L$28,$P790))*($O790-INDEX(PARAMETROS_CULTURAS!$F$6:$F$28,$P790)-INDEX(PARAMETROS_CULTURAS!$G$6:$G$28,$P790)-INDEX(PARAMETROS_CULTURAS!$H$6:$H$28,$P790))/MAX(INDEX(PARAMETROS_CULTURAS!$I$6:$I$28,$P790),0.0001)))))</f>
        <v>0.797241379310345</v>
      </c>
      <c r="S790" s="18" t="n">
        <f aca="false">IFERROR(INDEX(SEMANAS!$H$6:$H$71,MATCH($B790,SEMANAS!$B$6:$B$71,0)),0)</f>
        <v>39.2</v>
      </c>
      <c r="T790" s="18" t="n">
        <f aca="false">$R790*$S790</f>
        <v>31.2518620689655</v>
      </c>
      <c r="U790" s="18" t="n">
        <f aca="false">IFERROR(INDEX(SEMANAS!$I$6:$I$71,MATCH($B790,SEMANAS!$B$6:$B$71,0)),0)</f>
        <v>27.09</v>
      </c>
      <c r="V790" s="18" t="n">
        <f aca="false">IFERROR(INDEX(SEMANAS!$J$6:$J$71,MATCH($B790,SEMANAS!$B$6:$B$71,0)),0)</f>
        <v>21.672</v>
      </c>
      <c r="W790" s="18" t="n">
        <f aca="false">MAX(0,$T790-$V790)</f>
        <v>9.5798620689655</v>
      </c>
      <c r="X790" s="19" t="n">
        <f aca="false">IFERROR(INDEX(CADASTRO_PIVOS!$K$6:$K$41,MATCH($E790,CADASTRO_PIVOS!$B$6:$B$41,0)),EFICIENCIA_PADRAO)</f>
        <v>0.85</v>
      </c>
      <c r="Y790" s="18" t="n">
        <f aca="false">IF($X790&lt;=0,0,$W790/$X790)</f>
        <v>11.2704259634888</v>
      </c>
      <c r="Z790" s="16" t="n">
        <f aca="false">$Y790*$H790*MM_PARA_M3_HA</f>
        <v>16903.3848600405</v>
      </c>
      <c r="AA790" s="18" t="n">
        <f aca="false">IFERROR(INDEX(CADASTRO_PIVOS!$I$6:$I$41,MATCH($E790,CADASTRO_PIVOS!$B$6:$B$41,0)),0)</f>
        <v>928.447619047619</v>
      </c>
      <c r="AB790" s="18" t="n">
        <f aca="false">IF($Z790&lt;=0,0,$Z790/$AA790)</f>
        <v>18.2060727102512</v>
      </c>
      <c r="AC790" s="16" t="n">
        <f aca="false">IFERROR(INDEX(SEMANAS!$K$6:$K$71,MATCH($B790,SEMANAS!$B$6:$B$71,0)),0)</f>
        <v>147</v>
      </c>
      <c r="AD790" s="19" t="n">
        <f aca="false">IF($AC790&lt;=0,0,$AB790/$AC790)</f>
        <v>0.123850834763613</v>
      </c>
      <c r="AE790" s="8" t="str">
        <f aca="false">IF($K790="SEM CULTURA","SEM CULTURA",IF($AA790&lt;=0,"DADO PENDENTE",IF($AD790&gt;LIMITE_CRITICO,"INVIAVEL",IF($AD790&gt;LIMITE_ATENCAO,"CRITICO",IF($AD790&gt;LIMITE_CONFORTAVEL,"ATENCAO","OK")))))</f>
        <v>OK</v>
      </c>
      <c r="AF790" s="8" t="str">
        <f aca="false">$B790&amp;"|"&amp;TEXT($AD790,"0.000000")</f>
        <v>59|0.123851</v>
      </c>
      <c r="AG790" s="18" t="n">
        <f aca="false">IF($K790="SEM CULTURA",0,$T790*$H790)</f>
        <v>4687.15427310345</v>
      </c>
      <c r="AH790" s="18" t="n">
        <f aca="false">IF($K790="SEM CULTURA",0,$V790*$H790)</f>
        <v>3250.36656</v>
      </c>
      <c r="AI790" s="18" t="n">
        <f aca="false">IF($K790="SEM CULTURA",0,$W790*$H790)</f>
        <v>1436.78771310345</v>
      </c>
      <c r="AJ790" s="18" t="n">
        <f aca="false">IF($K790="SEM CULTURA",0,$S790*$H790)</f>
        <v>5879.216</v>
      </c>
      <c r="AK790" s="8" t="str">
        <f aca="false">$E790&amp;"|"&amp;TEXT($AD790,"0.000000")</f>
        <v>PV 113|0.123851</v>
      </c>
    </row>
    <row r="791" customFormat="false" ht="15" hidden="false" customHeight="false" outlineLevel="0" collapsed="false">
      <c r="B791" s="16" t="n">
        <v>60</v>
      </c>
      <c r="C791" s="17" t="n">
        <f aca="false">DATA_INICIO_SAFRA+($B791-1)*DIAS_POR_SEMANA</f>
        <v>46678</v>
      </c>
      <c r="D791" s="17" t="n">
        <f aca="false">$C791+DIAS_POR_SEMANA-1</f>
        <v>46684</v>
      </c>
      <c r="E791" s="15" t="s">
        <v>270</v>
      </c>
      <c r="F791" s="8" t="str">
        <f aca="false">IFERROR(INDEX(CADASTRO_PIVOS!$C$6:$C$41,MATCH($E791,CADASTRO_PIVOS!$B$6:$B$41,0)),"?")</f>
        <v>RM05</v>
      </c>
      <c r="G791" s="8" t="str">
        <f aca="false">IFERROR(INDEX(CADASTRO_PIVOS!$D$6:$D$41,MATCH($E791,CADASTRO_PIVOS!$B$6:$B$41,0)),"?")</f>
        <v>TR05</v>
      </c>
      <c r="H791" s="20" t="n">
        <f aca="false">IFERROR(INDEX(CADASTRO_PIVOS!$E$6:$E$41,MATCH($E791,CADASTRO_PIVOS!$B$6:$B$41,0)),0)</f>
        <v>149.98</v>
      </c>
      <c r="I791" s="16" t="n">
        <f aca="false">IFERROR(SUMIFS(ROTACAO_RDM!$B$6:$B$71,ROTACAO_RDM!$D$6:$D$71,$E791,ROTACAO_RDM!$I$6:$I$71,"&lt;="&amp;$C791+INT(DIAS_POR_SEMANA/2),ROTACAO_RDM!$J$6:$J$71,"&gt;="&amp;$C791+INT(DIAS_POR_SEMANA/2)),0)</f>
        <v>23</v>
      </c>
      <c r="J791" s="16" t="n">
        <f aca="false">IFERROR(MATCH($I791,ROTACAO_RDM!$B$6:$B$71,0),0)</f>
        <v>23</v>
      </c>
      <c r="K791" s="8" t="str">
        <f aca="false">IF($J791=0,"SEM CULTURA",INDEX(ROTACAO_RDM!$F$6:$F$71,$J791))</f>
        <v>MILHO_SEMENTE</v>
      </c>
      <c r="L791" s="8" t="n">
        <f aca="false">IF($J791=0,"",INDEX(ROTACAO_RDM!$G$6:$G$71,$J791))</f>
        <v>0</v>
      </c>
      <c r="M791" s="17" t="n">
        <f aca="false">IF($J791=0,"",INDEX(ROTACAO_RDM!$I$6:$I$71,$J791))</f>
        <v>46542</v>
      </c>
      <c r="N791" s="16" t="n">
        <f aca="false">IF($J791=0,0,MAX(0,$C791+INT(DIAS_POR_SEMANA/2)-INDEX(ROTACAO_RDM!$I$6:$I$71,$J791)))</f>
        <v>139</v>
      </c>
      <c r="O791" s="19" t="n">
        <f aca="false">IF($J791=0,0,MIN(1,$N791/MAX(1,INDEX(ROTACAO_RDM!$K$6:$K$71,$J791))))</f>
        <v>0.958620689655172</v>
      </c>
      <c r="P791" s="16" t="n">
        <f aca="false">IF($J791=0,0,IFERROR(MATCH(INDEX(ROTACAO_RDM!$N$6:$N$71,$J791),PARAMETROS_CULTURAS!$B$6:$B$28,0),0))</f>
        <v>7</v>
      </c>
      <c r="Q791" s="8" t="str">
        <f aca="false">IF($P791=0,"-",IF($O791&lt;=INDEX(PARAMETROS_CULTURAS!$F$6:$F$28,$P791),"INICIAL",IF($O791&lt;=INDEX(PARAMETROS_CULTURAS!$F$6:$F$28,$P791)+INDEX(PARAMETROS_CULTURAS!$G$6:$G$28,$P791),"DESENVOLVIMENTO",IF($O791&lt;=INDEX(PARAMETROS_CULTURAS!$F$6:$F$28,$P791)+INDEX(PARAMETROS_CULTURAS!$G$6:$G$28,$P791)+INDEX(PARAMETROS_CULTURAS!$H$6:$H$28,$P791),"MEDIA","FINAL"))))</f>
        <v>FINAL</v>
      </c>
      <c r="R791" s="24" t="n">
        <f aca="false">IF($P791=0,0,IF($O791&lt;=INDEX(PARAMETROS_CULTURAS!$F$6:$F$28,$P791),INDEX(PARAMETROS_CULTURAS!$K$6:$K$28,$P791),IF($O791&lt;=INDEX(PARAMETROS_CULTURAS!$F$6:$F$28,$P791)+INDEX(PARAMETROS_CULTURAS!$G$6:$G$28,$P791),INDEX(PARAMETROS_CULTURAS!$K$6:$K$28,$P791)+(INDEX(PARAMETROS_CULTURAS!$L$6:$L$28,$P791)-INDEX(PARAMETROS_CULTURAS!$K$6:$K$28,$P791))*($O791-INDEX(PARAMETROS_CULTURAS!$F$6:$F$28,$P791))/MAX(INDEX(PARAMETROS_CULTURAS!$G$6:$G$28,$P791),0.0001),IF($O791&lt;=INDEX(PARAMETROS_CULTURAS!$F$6:$F$28,$P791)+INDEX(PARAMETROS_CULTURAS!$G$6:$G$28,$P791)+INDEX(PARAMETROS_CULTURAS!$H$6:$H$28,$P791),INDEX(PARAMETROS_CULTURAS!$L$6:$L$28,$P791),INDEX(PARAMETROS_CULTURAS!$L$6:$L$28,$P791)+(INDEX(PARAMETROS_CULTURAS!$M$6:$M$28,$P791)-INDEX(PARAMETROS_CULTURAS!$L$6:$L$28,$P791))*($O791-INDEX(PARAMETROS_CULTURAS!$F$6:$F$28,$P791)-INDEX(PARAMETROS_CULTURAS!$G$6:$G$28,$P791)-INDEX(PARAMETROS_CULTURAS!$H$6:$H$28,$P791))/MAX(INDEX(PARAMETROS_CULTURAS!$I$6:$I$28,$P791),0.0001)))))</f>
        <v>0.691034482758621</v>
      </c>
      <c r="S791" s="18" t="n">
        <f aca="false">IFERROR(INDEX(SEMANAS!$H$6:$H$71,MATCH($B791,SEMANAS!$B$6:$B$71,0)),0)</f>
        <v>39.2</v>
      </c>
      <c r="T791" s="18" t="n">
        <f aca="false">$R791*$S791</f>
        <v>27.0885517241379</v>
      </c>
      <c r="U791" s="18" t="n">
        <f aca="false">IFERROR(INDEX(SEMANAS!$I$6:$I$71,MATCH($B791,SEMANAS!$B$6:$B$71,0)),0)</f>
        <v>27.09</v>
      </c>
      <c r="V791" s="18" t="n">
        <f aca="false">IFERROR(INDEX(SEMANAS!$J$6:$J$71,MATCH($B791,SEMANAS!$B$6:$B$71,0)),0)</f>
        <v>21.672</v>
      </c>
      <c r="W791" s="18" t="n">
        <f aca="false">MAX(0,$T791-$V791)</f>
        <v>5.41655172413793</v>
      </c>
      <c r="X791" s="19" t="n">
        <f aca="false">IFERROR(INDEX(CADASTRO_PIVOS!$K$6:$K$41,MATCH($E791,CADASTRO_PIVOS!$B$6:$B$41,0)),EFICIENCIA_PADRAO)</f>
        <v>0.85</v>
      </c>
      <c r="Y791" s="18" t="n">
        <f aca="false">IF($X791&lt;=0,0,$W791/$X791)</f>
        <v>6.37241379310345</v>
      </c>
      <c r="Z791" s="16" t="n">
        <f aca="false">$Y791*$H791*MM_PARA_M3_HA</f>
        <v>9557.34620689655</v>
      </c>
      <c r="AA791" s="18" t="n">
        <f aca="false">IFERROR(INDEX(CADASTRO_PIVOS!$I$6:$I$41,MATCH($E791,CADASTRO_PIVOS!$B$6:$B$41,0)),0)</f>
        <v>928.447619047619</v>
      </c>
      <c r="AB791" s="18" t="n">
        <f aca="false">IF($Z791&lt;=0,0,$Z791/$AA791)</f>
        <v>10.293899204244</v>
      </c>
      <c r="AC791" s="16" t="n">
        <f aca="false">IFERROR(INDEX(SEMANAS!$K$6:$K$71,MATCH($B791,SEMANAS!$B$6:$B$71,0)),0)</f>
        <v>147</v>
      </c>
      <c r="AD791" s="19" t="n">
        <f aca="false">IF($AC791&lt;=0,0,$AB791/$AC791)</f>
        <v>0.070026525198939</v>
      </c>
      <c r="AE791" s="8" t="str">
        <f aca="false">IF($K791="SEM CULTURA","SEM CULTURA",IF($AA791&lt;=0,"DADO PENDENTE",IF($AD791&gt;LIMITE_CRITICO,"INVIAVEL",IF($AD791&gt;LIMITE_ATENCAO,"CRITICO",IF($AD791&gt;LIMITE_CONFORTAVEL,"ATENCAO","OK")))))</f>
        <v>OK</v>
      </c>
      <c r="AF791" s="8" t="str">
        <f aca="false">$B791&amp;"|"&amp;TEXT($AD791,"0.000000")</f>
        <v>60|0.070027</v>
      </c>
      <c r="AG791" s="18" t="n">
        <f aca="false">IF($K791="SEM CULTURA",0,$T791*$H791)</f>
        <v>4062.74098758621</v>
      </c>
      <c r="AH791" s="18" t="n">
        <f aca="false">IF($K791="SEM CULTURA",0,$V791*$H791)</f>
        <v>3250.36656</v>
      </c>
      <c r="AI791" s="18" t="n">
        <f aca="false">IF($K791="SEM CULTURA",0,$W791*$H791)</f>
        <v>812.374427586207</v>
      </c>
      <c r="AJ791" s="18" t="n">
        <f aca="false">IF($K791="SEM CULTURA",0,$S791*$H791)</f>
        <v>5879.216</v>
      </c>
      <c r="AK791" s="8" t="str">
        <f aca="false">$E791&amp;"|"&amp;TEXT($AD791,"0.000000")</f>
        <v>PV 113|0.070027</v>
      </c>
    </row>
    <row r="792" customFormat="false" ht="15" hidden="false" customHeight="false" outlineLevel="0" collapsed="false">
      <c r="B792" s="16" t="n">
        <v>61</v>
      </c>
      <c r="C792" s="17" t="n">
        <f aca="false">DATA_INICIO_SAFRA+($B792-1)*DIAS_POR_SEMANA</f>
        <v>46685</v>
      </c>
      <c r="D792" s="17" t="n">
        <f aca="false">$C792+DIAS_POR_SEMANA-1</f>
        <v>46691</v>
      </c>
      <c r="E792" s="15" t="s">
        <v>270</v>
      </c>
      <c r="F792" s="8" t="str">
        <f aca="false">IFERROR(INDEX(CADASTRO_PIVOS!$C$6:$C$41,MATCH($E792,CADASTRO_PIVOS!$B$6:$B$41,0)),"?")</f>
        <v>RM05</v>
      </c>
      <c r="G792" s="8" t="str">
        <f aca="false">IFERROR(INDEX(CADASTRO_PIVOS!$D$6:$D$41,MATCH($E792,CADASTRO_PIVOS!$B$6:$B$41,0)),"?")</f>
        <v>TR05</v>
      </c>
      <c r="H792" s="20" t="n">
        <f aca="false">IFERROR(INDEX(CADASTRO_PIVOS!$E$6:$E$41,MATCH($E792,CADASTRO_PIVOS!$B$6:$B$41,0)),0)</f>
        <v>149.98</v>
      </c>
      <c r="I792" s="16" t="n">
        <f aca="false">IFERROR(SUMIFS(ROTACAO_RDM!$B$6:$B$71,ROTACAO_RDM!$D$6:$D$71,$E792,ROTACAO_RDM!$I$6:$I$71,"&lt;="&amp;$C792+INT(DIAS_POR_SEMANA/2),ROTACAO_RDM!$J$6:$J$71,"&gt;="&amp;$C792+INT(DIAS_POR_SEMANA/2)),0)</f>
        <v>0</v>
      </c>
      <c r="J792" s="16" t="n">
        <f aca="false">IFERROR(MATCH($I792,ROTACAO_RDM!$B$6:$B$71,0),0)</f>
        <v>0</v>
      </c>
      <c r="K792" s="8" t="str">
        <f aca="false">IF($J792=0,"SEM CULTURA",INDEX(ROTACAO_RDM!$F$6:$F$71,$J792))</f>
        <v>SEM CULTURA</v>
      </c>
      <c r="L792" s="8" t="str">
        <f aca="false">IF($J792=0,"",INDEX(ROTACAO_RDM!$G$6:$G$71,$J792))</f>
        <v/>
      </c>
      <c r="M792" s="17" t="str">
        <f aca="false">IF($J792=0,"",INDEX(ROTACAO_RDM!$I$6:$I$71,$J792))</f>
        <v/>
      </c>
      <c r="N792" s="16" t="n">
        <f aca="false">IF($J792=0,0,MAX(0,$C792+INT(DIAS_POR_SEMANA/2)-INDEX(ROTACAO_RDM!$I$6:$I$71,$J792)))</f>
        <v>0</v>
      </c>
      <c r="O792" s="19" t="n">
        <f aca="false">IF($J792=0,0,MIN(1,$N792/MAX(1,INDEX(ROTACAO_RDM!$K$6:$K$71,$J792))))</f>
        <v>0</v>
      </c>
      <c r="P792" s="16" t="n">
        <f aca="false">IF($J792=0,0,IFERROR(MATCH(INDEX(ROTACAO_RDM!$N$6:$N$71,$J792),PARAMETROS_CULTURAS!$B$6:$B$28,0),0))</f>
        <v>0</v>
      </c>
      <c r="Q792" s="8" t="str">
        <f aca="false">IF($P792=0,"-",IF($O792&lt;=INDEX(PARAMETROS_CULTURAS!$F$6:$F$28,$P792),"INICIAL",IF($O792&lt;=INDEX(PARAMETROS_CULTURAS!$F$6:$F$28,$P792)+INDEX(PARAMETROS_CULTURAS!$G$6:$G$28,$P792),"DESENVOLVIMENTO",IF($O792&lt;=INDEX(PARAMETROS_CULTURAS!$F$6:$F$28,$P792)+INDEX(PARAMETROS_CULTURAS!$G$6:$G$28,$P792)+INDEX(PARAMETROS_CULTURAS!$H$6:$H$28,$P792),"MEDIA","FINAL"))))</f>
        <v>-</v>
      </c>
      <c r="R792" s="24" t="n">
        <f aca="false">IF($P792=0,0,IF($O792&lt;=INDEX(PARAMETROS_CULTURAS!$F$6:$F$28,$P792),INDEX(PARAMETROS_CULTURAS!$K$6:$K$28,$P792),IF($O792&lt;=INDEX(PARAMETROS_CULTURAS!$F$6:$F$28,$P792)+INDEX(PARAMETROS_CULTURAS!$G$6:$G$28,$P792),INDEX(PARAMETROS_CULTURAS!$K$6:$K$28,$P792)+(INDEX(PARAMETROS_CULTURAS!$L$6:$L$28,$P792)-INDEX(PARAMETROS_CULTURAS!$K$6:$K$28,$P792))*($O792-INDEX(PARAMETROS_CULTURAS!$F$6:$F$28,$P792))/MAX(INDEX(PARAMETROS_CULTURAS!$G$6:$G$28,$P792),0.0001),IF($O792&lt;=INDEX(PARAMETROS_CULTURAS!$F$6:$F$28,$P792)+INDEX(PARAMETROS_CULTURAS!$G$6:$G$28,$P792)+INDEX(PARAMETROS_CULTURAS!$H$6:$H$28,$P792),INDEX(PARAMETROS_CULTURAS!$L$6:$L$28,$P792),INDEX(PARAMETROS_CULTURAS!$L$6:$L$28,$P792)+(INDEX(PARAMETROS_CULTURAS!$M$6:$M$28,$P792)-INDEX(PARAMETROS_CULTURAS!$L$6:$L$28,$P792))*($O792-INDEX(PARAMETROS_CULTURAS!$F$6:$F$28,$P792)-INDEX(PARAMETROS_CULTURAS!$G$6:$G$28,$P792)-INDEX(PARAMETROS_CULTURAS!$H$6:$H$28,$P792))/MAX(INDEX(PARAMETROS_CULTURAS!$I$6:$I$28,$P792),0.0001)))))</f>
        <v>0</v>
      </c>
      <c r="S792" s="18" t="n">
        <f aca="false">IFERROR(INDEX(SEMANAS!$H$6:$H$71,MATCH($B792,SEMANAS!$B$6:$B$71,0)),0)</f>
        <v>39.2</v>
      </c>
      <c r="T792" s="18" t="n">
        <f aca="false">$R792*$S792</f>
        <v>0</v>
      </c>
      <c r="U792" s="18" t="n">
        <f aca="false">IFERROR(INDEX(SEMANAS!$I$6:$I$71,MATCH($B792,SEMANAS!$B$6:$B$71,0)),0)</f>
        <v>27.09</v>
      </c>
      <c r="V792" s="18" t="n">
        <f aca="false">IFERROR(INDEX(SEMANAS!$J$6:$J$71,MATCH($B792,SEMANAS!$B$6:$B$71,0)),0)</f>
        <v>21.672</v>
      </c>
      <c r="W792" s="18" t="n">
        <f aca="false">MAX(0,$T792-$V792)</f>
        <v>0</v>
      </c>
      <c r="X792" s="19" t="n">
        <f aca="false">IFERROR(INDEX(CADASTRO_PIVOS!$K$6:$K$41,MATCH($E792,CADASTRO_PIVOS!$B$6:$B$41,0)),EFICIENCIA_PADRAO)</f>
        <v>0.85</v>
      </c>
      <c r="Y792" s="18" t="n">
        <f aca="false">IF($X792&lt;=0,0,$W792/$X792)</f>
        <v>0</v>
      </c>
      <c r="Z792" s="16" t="n">
        <f aca="false">$Y792*$H792*MM_PARA_M3_HA</f>
        <v>0</v>
      </c>
      <c r="AA792" s="18" t="n">
        <f aca="false">IFERROR(INDEX(CADASTRO_PIVOS!$I$6:$I$41,MATCH($E792,CADASTRO_PIVOS!$B$6:$B$41,0)),0)</f>
        <v>928.447619047619</v>
      </c>
      <c r="AB792" s="18" t="n">
        <f aca="false">IF($Z792&lt;=0,0,$Z792/$AA792)</f>
        <v>0</v>
      </c>
      <c r="AC792" s="16" t="n">
        <f aca="false">IFERROR(INDEX(SEMANAS!$K$6:$K$71,MATCH($B792,SEMANAS!$B$6:$B$71,0)),0)</f>
        <v>147</v>
      </c>
      <c r="AD792" s="19" t="n">
        <f aca="false">IF($AC792&lt;=0,0,$AB792/$AC792)</f>
        <v>0</v>
      </c>
      <c r="AE792" s="8" t="str">
        <f aca="false">IF($K792="SEM CULTURA","SEM CULTURA",IF($AA792&lt;=0,"DADO PENDENTE",IF($AD792&gt;LIMITE_CRITICO,"INVIAVEL",IF($AD792&gt;LIMITE_ATENCAO,"CRITICO",IF($AD792&gt;LIMITE_CONFORTAVEL,"ATENCAO","OK")))))</f>
        <v>SEM CULTURA</v>
      </c>
      <c r="AF792" s="8" t="str">
        <f aca="false">$B792&amp;"|"&amp;TEXT($AD792,"0.000000")</f>
        <v>61|0.000000</v>
      </c>
      <c r="AG792" s="18" t="n">
        <f aca="false">IF($K792="SEM CULTURA",0,$T792*$H792)</f>
        <v>0</v>
      </c>
      <c r="AH792" s="18" t="n">
        <f aca="false">IF($K792="SEM CULTURA",0,$V792*$H792)</f>
        <v>0</v>
      </c>
      <c r="AI792" s="18" t="n">
        <f aca="false">IF($K792="SEM CULTURA",0,$W792*$H792)</f>
        <v>0</v>
      </c>
      <c r="AJ792" s="18" t="n">
        <f aca="false">IF($K792="SEM CULTURA",0,$S792*$H792)</f>
        <v>0</v>
      </c>
      <c r="AK792" s="8" t="str">
        <f aca="false">$E792&amp;"|"&amp;TEXT($AD792,"0.000000")</f>
        <v>PV 113|0.000000</v>
      </c>
    </row>
    <row r="793" customFormat="false" ht="15" hidden="false" customHeight="false" outlineLevel="0" collapsed="false">
      <c r="B793" s="16" t="n">
        <v>62</v>
      </c>
      <c r="C793" s="17" t="n">
        <f aca="false">DATA_INICIO_SAFRA+($B793-1)*DIAS_POR_SEMANA</f>
        <v>46692</v>
      </c>
      <c r="D793" s="17" t="n">
        <f aca="false">$C793+DIAS_POR_SEMANA-1</f>
        <v>46698</v>
      </c>
      <c r="E793" s="15" t="s">
        <v>270</v>
      </c>
      <c r="F793" s="8" t="str">
        <f aca="false">IFERROR(INDEX(CADASTRO_PIVOS!$C$6:$C$41,MATCH($E793,CADASTRO_PIVOS!$B$6:$B$41,0)),"?")</f>
        <v>RM05</v>
      </c>
      <c r="G793" s="8" t="str">
        <f aca="false">IFERROR(INDEX(CADASTRO_PIVOS!$D$6:$D$41,MATCH($E793,CADASTRO_PIVOS!$B$6:$B$41,0)),"?")</f>
        <v>TR05</v>
      </c>
      <c r="H793" s="20" t="n">
        <f aca="false">IFERROR(INDEX(CADASTRO_PIVOS!$E$6:$E$41,MATCH($E793,CADASTRO_PIVOS!$B$6:$B$41,0)),0)</f>
        <v>149.98</v>
      </c>
      <c r="I793" s="16" t="n">
        <f aca="false">IFERROR(SUMIFS(ROTACAO_RDM!$B$6:$B$71,ROTACAO_RDM!$D$6:$D$71,$E793,ROTACAO_RDM!$I$6:$I$71,"&lt;="&amp;$C793+INT(DIAS_POR_SEMANA/2),ROTACAO_RDM!$J$6:$J$71,"&gt;="&amp;$C793+INT(DIAS_POR_SEMANA/2)),0)</f>
        <v>0</v>
      </c>
      <c r="J793" s="16" t="n">
        <f aca="false">IFERROR(MATCH($I793,ROTACAO_RDM!$B$6:$B$71,0),0)</f>
        <v>0</v>
      </c>
      <c r="K793" s="8" t="str">
        <f aca="false">IF($J793=0,"SEM CULTURA",INDEX(ROTACAO_RDM!$F$6:$F$71,$J793))</f>
        <v>SEM CULTURA</v>
      </c>
      <c r="L793" s="8" t="str">
        <f aca="false">IF($J793=0,"",INDEX(ROTACAO_RDM!$G$6:$G$71,$J793))</f>
        <v/>
      </c>
      <c r="M793" s="17" t="str">
        <f aca="false">IF($J793=0,"",INDEX(ROTACAO_RDM!$I$6:$I$71,$J793))</f>
        <v/>
      </c>
      <c r="N793" s="16" t="n">
        <f aca="false">IF($J793=0,0,MAX(0,$C793+INT(DIAS_POR_SEMANA/2)-INDEX(ROTACAO_RDM!$I$6:$I$71,$J793)))</f>
        <v>0</v>
      </c>
      <c r="O793" s="19" t="n">
        <f aca="false">IF($J793=0,0,MIN(1,$N793/MAX(1,INDEX(ROTACAO_RDM!$K$6:$K$71,$J793))))</f>
        <v>0</v>
      </c>
      <c r="P793" s="16" t="n">
        <f aca="false">IF($J793=0,0,IFERROR(MATCH(INDEX(ROTACAO_RDM!$N$6:$N$71,$J793),PARAMETROS_CULTURAS!$B$6:$B$28,0),0))</f>
        <v>0</v>
      </c>
      <c r="Q793" s="8" t="str">
        <f aca="false">IF($P793=0,"-",IF($O793&lt;=INDEX(PARAMETROS_CULTURAS!$F$6:$F$28,$P793),"INICIAL",IF($O793&lt;=INDEX(PARAMETROS_CULTURAS!$F$6:$F$28,$P793)+INDEX(PARAMETROS_CULTURAS!$G$6:$G$28,$P793),"DESENVOLVIMENTO",IF($O793&lt;=INDEX(PARAMETROS_CULTURAS!$F$6:$F$28,$P793)+INDEX(PARAMETROS_CULTURAS!$G$6:$G$28,$P793)+INDEX(PARAMETROS_CULTURAS!$H$6:$H$28,$P793),"MEDIA","FINAL"))))</f>
        <v>-</v>
      </c>
      <c r="R793" s="24" t="n">
        <f aca="false">IF($P793=0,0,IF($O793&lt;=INDEX(PARAMETROS_CULTURAS!$F$6:$F$28,$P793),INDEX(PARAMETROS_CULTURAS!$K$6:$K$28,$P793),IF($O793&lt;=INDEX(PARAMETROS_CULTURAS!$F$6:$F$28,$P793)+INDEX(PARAMETROS_CULTURAS!$G$6:$G$28,$P793),INDEX(PARAMETROS_CULTURAS!$K$6:$K$28,$P793)+(INDEX(PARAMETROS_CULTURAS!$L$6:$L$28,$P793)-INDEX(PARAMETROS_CULTURAS!$K$6:$K$28,$P793))*($O793-INDEX(PARAMETROS_CULTURAS!$F$6:$F$28,$P793))/MAX(INDEX(PARAMETROS_CULTURAS!$G$6:$G$28,$P793),0.0001),IF($O793&lt;=INDEX(PARAMETROS_CULTURAS!$F$6:$F$28,$P793)+INDEX(PARAMETROS_CULTURAS!$G$6:$G$28,$P793)+INDEX(PARAMETROS_CULTURAS!$H$6:$H$28,$P793),INDEX(PARAMETROS_CULTURAS!$L$6:$L$28,$P793),INDEX(PARAMETROS_CULTURAS!$L$6:$L$28,$P793)+(INDEX(PARAMETROS_CULTURAS!$M$6:$M$28,$P793)-INDEX(PARAMETROS_CULTURAS!$L$6:$L$28,$P793))*($O793-INDEX(PARAMETROS_CULTURAS!$F$6:$F$28,$P793)-INDEX(PARAMETROS_CULTURAS!$G$6:$G$28,$P793)-INDEX(PARAMETROS_CULTURAS!$H$6:$H$28,$P793))/MAX(INDEX(PARAMETROS_CULTURAS!$I$6:$I$28,$P793),0.0001)))))</f>
        <v>0</v>
      </c>
      <c r="S793" s="18" t="n">
        <f aca="false">IFERROR(INDEX(SEMANAS!$H$6:$H$71,MATCH($B793,SEMANAS!$B$6:$B$71,0)),0)</f>
        <v>34.3</v>
      </c>
      <c r="T793" s="18" t="n">
        <f aca="false">$R793*$S793</f>
        <v>0</v>
      </c>
      <c r="U793" s="18" t="n">
        <f aca="false">IFERROR(INDEX(SEMANAS!$I$6:$I$71,MATCH($B793,SEMANAS!$B$6:$B$71,0)),0)</f>
        <v>46.69</v>
      </c>
      <c r="V793" s="18" t="n">
        <f aca="false">IFERROR(INDEX(SEMANAS!$J$6:$J$71,MATCH($B793,SEMANAS!$B$6:$B$71,0)),0)</f>
        <v>37.352</v>
      </c>
      <c r="W793" s="18" t="n">
        <f aca="false">MAX(0,$T793-$V793)</f>
        <v>0</v>
      </c>
      <c r="X793" s="19" t="n">
        <f aca="false">IFERROR(INDEX(CADASTRO_PIVOS!$K$6:$K$41,MATCH($E793,CADASTRO_PIVOS!$B$6:$B$41,0)),EFICIENCIA_PADRAO)</f>
        <v>0.85</v>
      </c>
      <c r="Y793" s="18" t="n">
        <f aca="false">IF($X793&lt;=0,0,$W793/$X793)</f>
        <v>0</v>
      </c>
      <c r="Z793" s="16" t="n">
        <f aca="false">$Y793*$H793*MM_PARA_M3_HA</f>
        <v>0</v>
      </c>
      <c r="AA793" s="18" t="n">
        <f aca="false">IFERROR(INDEX(CADASTRO_PIVOS!$I$6:$I$41,MATCH($E793,CADASTRO_PIVOS!$B$6:$B$41,0)),0)</f>
        <v>928.447619047619</v>
      </c>
      <c r="AB793" s="18" t="n">
        <f aca="false">IF($Z793&lt;=0,0,$Z793/$AA793)</f>
        <v>0</v>
      </c>
      <c r="AC793" s="16" t="n">
        <f aca="false">IFERROR(INDEX(SEMANAS!$K$6:$K$71,MATCH($B793,SEMANAS!$B$6:$B$71,0)),0)</f>
        <v>147</v>
      </c>
      <c r="AD793" s="19" t="n">
        <f aca="false">IF($AC793&lt;=0,0,$AB793/$AC793)</f>
        <v>0</v>
      </c>
      <c r="AE793" s="8" t="str">
        <f aca="false">IF($K793="SEM CULTURA","SEM CULTURA",IF($AA793&lt;=0,"DADO PENDENTE",IF($AD793&gt;LIMITE_CRITICO,"INVIAVEL",IF($AD793&gt;LIMITE_ATENCAO,"CRITICO",IF($AD793&gt;LIMITE_CONFORTAVEL,"ATENCAO","OK")))))</f>
        <v>SEM CULTURA</v>
      </c>
      <c r="AF793" s="8" t="str">
        <f aca="false">$B793&amp;"|"&amp;TEXT($AD793,"0.000000")</f>
        <v>62|0.000000</v>
      </c>
      <c r="AG793" s="18" t="n">
        <f aca="false">IF($K793="SEM CULTURA",0,$T793*$H793)</f>
        <v>0</v>
      </c>
      <c r="AH793" s="18" t="n">
        <f aca="false">IF($K793="SEM CULTURA",0,$V793*$H793)</f>
        <v>0</v>
      </c>
      <c r="AI793" s="18" t="n">
        <f aca="false">IF($K793="SEM CULTURA",0,$W793*$H793)</f>
        <v>0</v>
      </c>
      <c r="AJ793" s="18" t="n">
        <f aca="false">IF($K793="SEM CULTURA",0,$S793*$H793)</f>
        <v>0</v>
      </c>
      <c r="AK793" s="8" t="str">
        <f aca="false">$E793&amp;"|"&amp;TEXT($AD793,"0.000000")</f>
        <v>PV 113|0.000000</v>
      </c>
    </row>
    <row r="794" customFormat="false" ht="15" hidden="false" customHeight="false" outlineLevel="0" collapsed="false">
      <c r="B794" s="16" t="n">
        <v>63</v>
      </c>
      <c r="C794" s="17" t="n">
        <f aca="false">DATA_INICIO_SAFRA+($B794-1)*DIAS_POR_SEMANA</f>
        <v>46699</v>
      </c>
      <c r="D794" s="17" t="n">
        <f aca="false">$C794+DIAS_POR_SEMANA-1</f>
        <v>46705</v>
      </c>
      <c r="E794" s="15" t="s">
        <v>270</v>
      </c>
      <c r="F794" s="8" t="str">
        <f aca="false">IFERROR(INDEX(CADASTRO_PIVOS!$C$6:$C$41,MATCH($E794,CADASTRO_PIVOS!$B$6:$B$41,0)),"?")</f>
        <v>RM05</v>
      </c>
      <c r="G794" s="8" t="str">
        <f aca="false">IFERROR(INDEX(CADASTRO_PIVOS!$D$6:$D$41,MATCH($E794,CADASTRO_PIVOS!$B$6:$B$41,0)),"?")</f>
        <v>TR05</v>
      </c>
      <c r="H794" s="20" t="n">
        <f aca="false">IFERROR(INDEX(CADASTRO_PIVOS!$E$6:$E$41,MATCH($E794,CADASTRO_PIVOS!$B$6:$B$41,0)),0)</f>
        <v>149.98</v>
      </c>
      <c r="I794" s="16" t="n">
        <f aca="false">IFERROR(SUMIFS(ROTACAO_RDM!$B$6:$B$71,ROTACAO_RDM!$D$6:$D$71,$E794,ROTACAO_RDM!$I$6:$I$71,"&lt;="&amp;$C794+INT(DIAS_POR_SEMANA/2),ROTACAO_RDM!$J$6:$J$71,"&gt;="&amp;$C794+INT(DIAS_POR_SEMANA/2)),0)</f>
        <v>0</v>
      </c>
      <c r="J794" s="16" t="n">
        <f aca="false">IFERROR(MATCH($I794,ROTACAO_RDM!$B$6:$B$71,0),0)</f>
        <v>0</v>
      </c>
      <c r="K794" s="8" t="str">
        <f aca="false">IF($J794=0,"SEM CULTURA",INDEX(ROTACAO_RDM!$F$6:$F$71,$J794))</f>
        <v>SEM CULTURA</v>
      </c>
      <c r="L794" s="8" t="str">
        <f aca="false">IF($J794=0,"",INDEX(ROTACAO_RDM!$G$6:$G$71,$J794))</f>
        <v/>
      </c>
      <c r="M794" s="17" t="str">
        <f aca="false">IF($J794=0,"",INDEX(ROTACAO_RDM!$I$6:$I$71,$J794))</f>
        <v/>
      </c>
      <c r="N794" s="16" t="n">
        <f aca="false">IF($J794=0,0,MAX(0,$C794+INT(DIAS_POR_SEMANA/2)-INDEX(ROTACAO_RDM!$I$6:$I$71,$J794)))</f>
        <v>0</v>
      </c>
      <c r="O794" s="19" t="n">
        <f aca="false">IF($J794=0,0,MIN(1,$N794/MAX(1,INDEX(ROTACAO_RDM!$K$6:$K$71,$J794))))</f>
        <v>0</v>
      </c>
      <c r="P794" s="16" t="n">
        <f aca="false">IF($J794=0,0,IFERROR(MATCH(INDEX(ROTACAO_RDM!$N$6:$N$71,$J794),PARAMETROS_CULTURAS!$B$6:$B$28,0),0))</f>
        <v>0</v>
      </c>
      <c r="Q794" s="8" t="str">
        <f aca="false">IF($P794=0,"-",IF($O794&lt;=INDEX(PARAMETROS_CULTURAS!$F$6:$F$28,$P794),"INICIAL",IF($O794&lt;=INDEX(PARAMETROS_CULTURAS!$F$6:$F$28,$P794)+INDEX(PARAMETROS_CULTURAS!$G$6:$G$28,$P794),"DESENVOLVIMENTO",IF($O794&lt;=INDEX(PARAMETROS_CULTURAS!$F$6:$F$28,$P794)+INDEX(PARAMETROS_CULTURAS!$G$6:$G$28,$P794)+INDEX(PARAMETROS_CULTURAS!$H$6:$H$28,$P794),"MEDIA","FINAL"))))</f>
        <v>-</v>
      </c>
      <c r="R794" s="24" t="n">
        <f aca="false">IF($P794=0,0,IF($O794&lt;=INDEX(PARAMETROS_CULTURAS!$F$6:$F$28,$P794),INDEX(PARAMETROS_CULTURAS!$K$6:$K$28,$P794),IF($O794&lt;=INDEX(PARAMETROS_CULTURAS!$F$6:$F$28,$P794)+INDEX(PARAMETROS_CULTURAS!$G$6:$G$28,$P794),INDEX(PARAMETROS_CULTURAS!$K$6:$K$28,$P794)+(INDEX(PARAMETROS_CULTURAS!$L$6:$L$28,$P794)-INDEX(PARAMETROS_CULTURAS!$K$6:$K$28,$P794))*($O794-INDEX(PARAMETROS_CULTURAS!$F$6:$F$28,$P794))/MAX(INDEX(PARAMETROS_CULTURAS!$G$6:$G$28,$P794),0.0001),IF($O794&lt;=INDEX(PARAMETROS_CULTURAS!$F$6:$F$28,$P794)+INDEX(PARAMETROS_CULTURAS!$G$6:$G$28,$P794)+INDEX(PARAMETROS_CULTURAS!$H$6:$H$28,$P794),INDEX(PARAMETROS_CULTURAS!$L$6:$L$28,$P794),INDEX(PARAMETROS_CULTURAS!$L$6:$L$28,$P794)+(INDEX(PARAMETROS_CULTURAS!$M$6:$M$28,$P794)-INDEX(PARAMETROS_CULTURAS!$L$6:$L$28,$P794))*($O794-INDEX(PARAMETROS_CULTURAS!$F$6:$F$28,$P794)-INDEX(PARAMETROS_CULTURAS!$G$6:$G$28,$P794)-INDEX(PARAMETROS_CULTURAS!$H$6:$H$28,$P794))/MAX(INDEX(PARAMETROS_CULTURAS!$I$6:$I$28,$P794),0.0001)))))</f>
        <v>0</v>
      </c>
      <c r="S794" s="18" t="n">
        <f aca="false">IFERROR(INDEX(SEMANAS!$H$6:$H$71,MATCH($B794,SEMANAS!$B$6:$B$71,0)),0)</f>
        <v>34.3</v>
      </c>
      <c r="T794" s="18" t="n">
        <f aca="false">$R794*$S794</f>
        <v>0</v>
      </c>
      <c r="U794" s="18" t="n">
        <f aca="false">IFERROR(INDEX(SEMANAS!$I$6:$I$71,MATCH($B794,SEMANAS!$B$6:$B$71,0)),0)</f>
        <v>46.69</v>
      </c>
      <c r="V794" s="18" t="n">
        <f aca="false">IFERROR(INDEX(SEMANAS!$J$6:$J$71,MATCH($B794,SEMANAS!$B$6:$B$71,0)),0)</f>
        <v>37.352</v>
      </c>
      <c r="W794" s="18" t="n">
        <f aca="false">MAX(0,$T794-$V794)</f>
        <v>0</v>
      </c>
      <c r="X794" s="19" t="n">
        <f aca="false">IFERROR(INDEX(CADASTRO_PIVOS!$K$6:$K$41,MATCH($E794,CADASTRO_PIVOS!$B$6:$B$41,0)),EFICIENCIA_PADRAO)</f>
        <v>0.85</v>
      </c>
      <c r="Y794" s="18" t="n">
        <f aca="false">IF($X794&lt;=0,0,$W794/$X794)</f>
        <v>0</v>
      </c>
      <c r="Z794" s="16" t="n">
        <f aca="false">$Y794*$H794*MM_PARA_M3_HA</f>
        <v>0</v>
      </c>
      <c r="AA794" s="18" t="n">
        <f aca="false">IFERROR(INDEX(CADASTRO_PIVOS!$I$6:$I$41,MATCH($E794,CADASTRO_PIVOS!$B$6:$B$41,0)),0)</f>
        <v>928.447619047619</v>
      </c>
      <c r="AB794" s="18" t="n">
        <f aca="false">IF($Z794&lt;=0,0,$Z794/$AA794)</f>
        <v>0</v>
      </c>
      <c r="AC794" s="16" t="n">
        <f aca="false">IFERROR(INDEX(SEMANAS!$K$6:$K$71,MATCH($B794,SEMANAS!$B$6:$B$71,0)),0)</f>
        <v>147</v>
      </c>
      <c r="AD794" s="19" t="n">
        <f aca="false">IF($AC794&lt;=0,0,$AB794/$AC794)</f>
        <v>0</v>
      </c>
      <c r="AE794" s="8" t="str">
        <f aca="false">IF($K794="SEM CULTURA","SEM CULTURA",IF($AA794&lt;=0,"DADO PENDENTE",IF($AD794&gt;LIMITE_CRITICO,"INVIAVEL",IF($AD794&gt;LIMITE_ATENCAO,"CRITICO",IF($AD794&gt;LIMITE_CONFORTAVEL,"ATENCAO","OK")))))</f>
        <v>SEM CULTURA</v>
      </c>
      <c r="AF794" s="8" t="str">
        <f aca="false">$B794&amp;"|"&amp;TEXT($AD794,"0.000000")</f>
        <v>63|0.000000</v>
      </c>
      <c r="AG794" s="18" t="n">
        <f aca="false">IF($K794="SEM CULTURA",0,$T794*$H794)</f>
        <v>0</v>
      </c>
      <c r="AH794" s="18" t="n">
        <f aca="false">IF($K794="SEM CULTURA",0,$V794*$H794)</f>
        <v>0</v>
      </c>
      <c r="AI794" s="18" t="n">
        <f aca="false">IF($K794="SEM CULTURA",0,$W794*$H794)</f>
        <v>0</v>
      </c>
      <c r="AJ794" s="18" t="n">
        <f aca="false">IF($K794="SEM CULTURA",0,$S794*$H794)</f>
        <v>0</v>
      </c>
      <c r="AK794" s="8" t="str">
        <f aca="false">$E794&amp;"|"&amp;TEXT($AD794,"0.000000")</f>
        <v>PV 113|0.000000</v>
      </c>
    </row>
    <row r="795" customFormat="false" ht="15" hidden="false" customHeight="false" outlineLevel="0" collapsed="false">
      <c r="B795" s="16" t="n">
        <v>64</v>
      </c>
      <c r="C795" s="17" t="n">
        <f aca="false">DATA_INICIO_SAFRA+($B795-1)*DIAS_POR_SEMANA</f>
        <v>46706</v>
      </c>
      <c r="D795" s="17" t="n">
        <f aca="false">$C795+DIAS_POR_SEMANA-1</f>
        <v>46712</v>
      </c>
      <c r="E795" s="15" t="s">
        <v>270</v>
      </c>
      <c r="F795" s="8" t="str">
        <f aca="false">IFERROR(INDEX(CADASTRO_PIVOS!$C$6:$C$41,MATCH($E795,CADASTRO_PIVOS!$B$6:$B$41,0)),"?")</f>
        <v>RM05</v>
      </c>
      <c r="G795" s="8" t="str">
        <f aca="false">IFERROR(INDEX(CADASTRO_PIVOS!$D$6:$D$41,MATCH($E795,CADASTRO_PIVOS!$B$6:$B$41,0)),"?")</f>
        <v>TR05</v>
      </c>
      <c r="H795" s="20" t="n">
        <f aca="false">IFERROR(INDEX(CADASTRO_PIVOS!$E$6:$E$41,MATCH($E795,CADASTRO_PIVOS!$B$6:$B$41,0)),0)</f>
        <v>149.98</v>
      </c>
      <c r="I795" s="16" t="n">
        <f aca="false">IFERROR(SUMIFS(ROTACAO_RDM!$B$6:$B$71,ROTACAO_RDM!$D$6:$D$71,$E795,ROTACAO_RDM!$I$6:$I$71,"&lt;="&amp;$C795+INT(DIAS_POR_SEMANA/2),ROTACAO_RDM!$J$6:$J$71,"&gt;="&amp;$C795+INT(DIAS_POR_SEMANA/2)),0)</f>
        <v>0</v>
      </c>
      <c r="J795" s="16" t="n">
        <f aca="false">IFERROR(MATCH($I795,ROTACAO_RDM!$B$6:$B$71,0),0)</f>
        <v>0</v>
      </c>
      <c r="K795" s="8" t="str">
        <f aca="false">IF($J795=0,"SEM CULTURA",INDEX(ROTACAO_RDM!$F$6:$F$71,$J795))</f>
        <v>SEM CULTURA</v>
      </c>
      <c r="L795" s="8" t="str">
        <f aca="false">IF($J795=0,"",INDEX(ROTACAO_RDM!$G$6:$G$71,$J795))</f>
        <v/>
      </c>
      <c r="M795" s="17" t="str">
        <f aca="false">IF($J795=0,"",INDEX(ROTACAO_RDM!$I$6:$I$71,$J795))</f>
        <v/>
      </c>
      <c r="N795" s="16" t="n">
        <f aca="false">IF($J795=0,0,MAX(0,$C795+INT(DIAS_POR_SEMANA/2)-INDEX(ROTACAO_RDM!$I$6:$I$71,$J795)))</f>
        <v>0</v>
      </c>
      <c r="O795" s="19" t="n">
        <f aca="false">IF($J795=0,0,MIN(1,$N795/MAX(1,INDEX(ROTACAO_RDM!$K$6:$K$71,$J795))))</f>
        <v>0</v>
      </c>
      <c r="P795" s="16" t="n">
        <f aca="false">IF($J795=0,0,IFERROR(MATCH(INDEX(ROTACAO_RDM!$N$6:$N$71,$J795),PARAMETROS_CULTURAS!$B$6:$B$28,0),0))</f>
        <v>0</v>
      </c>
      <c r="Q795" s="8" t="str">
        <f aca="false">IF($P795=0,"-",IF($O795&lt;=INDEX(PARAMETROS_CULTURAS!$F$6:$F$28,$P795),"INICIAL",IF($O795&lt;=INDEX(PARAMETROS_CULTURAS!$F$6:$F$28,$P795)+INDEX(PARAMETROS_CULTURAS!$G$6:$G$28,$P795),"DESENVOLVIMENTO",IF($O795&lt;=INDEX(PARAMETROS_CULTURAS!$F$6:$F$28,$P795)+INDEX(PARAMETROS_CULTURAS!$G$6:$G$28,$P795)+INDEX(PARAMETROS_CULTURAS!$H$6:$H$28,$P795),"MEDIA","FINAL"))))</f>
        <v>-</v>
      </c>
      <c r="R795" s="24" t="n">
        <f aca="false">IF($P795=0,0,IF($O795&lt;=INDEX(PARAMETROS_CULTURAS!$F$6:$F$28,$P795),INDEX(PARAMETROS_CULTURAS!$K$6:$K$28,$P795),IF($O795&lt;=INDEX(PARAMETROS_CULTURAS!$F$6:$F$28,$P795)+INDEX(PARAMETROS_CULTURAS!$G$6:$G$28,$P795),INDEX(PARAMETROS_CULTURAS!$K$6:$K$28,$P795)+(INDEX(PARAMETROS_CULTURAS!$L$6:$L$28,$P795)-INDEX(PARAMETROS_CULTURAS!$K$6:$K$28,$P795))*($O795-INDEX(PARAMETROS_CULTURAS!$F$6:$F$28,$P795))/MAX(INDEX(PARAMETROS_CULTURAS!$G$6:$G$28,$P795),0.0001),IF($O795&lt;=INDEX(PARAMETROS_CULTURAS!$F$6:$F$28,$P795)+INDEX(PARAMETROS_CULTURAS!$G$6:$G$28,$P795)+INDEX(PARAMETROS_CULTURAS!$H$6:$H$28,$P795),INDEX(PARAMETROS_CULTURAS!$L$6:$L$28,$P795),INDEX(PARAMETROS_CULTURAS!$L$6:$L$28,$P795)+(INDEX(PARAMETROS_CULTURAS!$M$6:$M$28,$P795)-INDEX(PARAMETROS_CULTURAS!$L$6:$L$28,$P795))*($O795-INDEX(PARAMETROS_CULTURAS!$F$6:$F$28,$P795)-INDEX(PARAMETROS_CULTURAS!$G$6:$G$28,$P795)-INDEX(PARAMETROS_CULTURAS!$H$6:$H$28,$P795))/MAX(INDEX(PARAMETROS_CULTURAS!$I$6:$I$28,$P795),0.0001)))))</f>
        <v>0</v>
      </c>
      <c r="S795" s="18" t="n">
        <f aca="false">IFERROR(INDEX(SEMANAS!$H$6:$H$71,MATCH($B795,SEMANAS!$B$6:$B$71,0)),0)</f>
        <v>34.3</v>
      </c>
      <c r="T795" s="18" t="n">
        <f aca="false">$R795*$S795</f>
        <v>0</v>
      </c>
      <c r="U795" s="18" t="n">
        <f aca="false">IFERROR(INDEX(SEMANAS!$I$6:$I$71,MATCH($B795,SEMANAS!$B$6:$B$71,0)),0)</f>
        <v>46.69</v>
      </c>
      <c r="V795" s="18" t="n">
        <f aca="false">IFERROR(INDEX(SEMANAS!$J$6:$J$71,MATCH($B795,SEMANAS!$B$6:$B$71,0)),0)</f>
        <v>37.352</v>
      </c>
      <c r="W795" s="18" t="n">
        <f aca="false">MAX(0,$T795-$V795)</f>
        <v>0</v>
      </c>
      <c r="X795" s="19" t="n">
        <f aca="false">IFERROR(INDEX(CADASTRO_PIVOS!$K$6:$K$41,MATCH($E795,CADASTRO_PIVOS!$B$6:$B$41,0)),EFICIENCIA_PADRAO)</f>
        <v>0.85</v>
      </c>
      <c r="Y795" s="18" t="n">
        <f aca="false">IF($X795&lt;=0,0,$W795/$X795)</f>
        <v>0</v>
      </c>
      <c r="Z795" s="16" t="n">
        <f aca="false">$Y795*$H795*MM_PARA_M3_HA</f>
        <v>0</v>
      </c>
      <c r="AA795" s="18" t="n">
        <f aca="false">IFERROR(INDEX(CADASTRO_PIVOS!$I$6:$I$41,MATCH($E795,CADASTRO_PIVOS!$B$6:$B$41,0)),0)</f>
        <v>928.447619047619</v>
      </c>
      <c r="AB795" s="18" t="n">
        <f aca="false">IF($Z795&lt;=0,0,$Z795/$AA795)</f>
        <v>0</v>
      </c>
      <c r="AC795" s="16" t="n">
        <f aca="false">IFERROR(INDEX(SEMANAS!$K$6:$K$71,MATCH($B795,SEMANAS!$B$6:$B$71,0)),0)</f>
        <v>147</v>
      </c>
      <c r="AD795" s="19" t="n">
        <f aca="false">IF($AC795&lt;=0,0,$AB795/$AC795)</f>
        <v>0</v>
      </c>
      <c r="AE795" s="8" t="str">
        <f aca="false">IF($K795="SEM CULTURA","SEM CULTURA",IF($AA795&lt;=0,"DADO PENDENTE",IF($AD795&gt;LIMITE_CRITICO,"INVIAVEL",IF($AD795&gt;LIMITE_ATENCAO,"CRITICO",IF($AD795&gt;LIMITE_CONFORTAVEL,"ATENCAO","OK")))))</f>
        <v>SEM CULTURA</v>
      </c>
      <c r="AF795" s="8" t="str">
        <f aca="false">$B795&amp;"|"&amp;TEXT($AD795,"0.000000")</f>
        <v>64|0.000000</v>
      </c>
      <c r="AG795" s="18" t="n">
        <f aca="false">IF($K795="SEM CULTURA",0,$T795*$H795)</f>
        <v>0</v>
      </c>
      <c r="AH795" s="18" t="n">
        <f aca="false">IF($K795="SEM CULTURA",0,$V795*$H795)</f>
        <v>0</v>
      </c>
      <c r="AI795" s="18" t="n">
        <f aca="false">IF($K795="SEM CULTURA",0,$W795*$H795)</f>
        <v>0</v>
      </c>
      <c r="AJ795" s="18" t="n">
        <f aca="false">IF($K795="SEM CULTURA",0,$S795*$H795)</f>
        <v>0</v>
      </c>
      <c r="AK795" s="8" t="str">
        <f aca="false">$E795&amp;"|"&amp;TEXT($AD795,"0.000000")</f>
        <v>PV 113|0.000000</v>
      </c>
    </row>
    <row r="796" customFormat="false" ht="15" hidden="false" customHeight="false" outlineLevel="0" collapsed="false">
      <c r="B796" s="16" t="n">
        <v>65</v>
      </c>
      <c r="C796" s="17" t="n">
        <f aca="false">DATA_INICIO_SAFRA+($B796-1)*DIAS_POR_SEMANA</f>
        <v>46713</v>
      </c>
      <c r="D796" s="17" t="n">
        <f aca="false">$C796+DIAS_POR_SEMANA-1</f>
        <v>46719</v>
      </c>
      <c r="E796" s="15" t="s">
        <v>270</v>
      </c>
      <c r="F796" s="8" t="str">
        <f aca="false">IFERROR(INDEX(CADASTRO_PIVOS!$C$6:$C$41,MATCH($E796,CADASTRO_PIVOS!$B$6:$B$41,0)),"?")</f>
        <v>RM05</v>
      </c>
      <c r="G796" s="8" t="str">
        <f aca="false">IFERROR(INDEX(CADASTRO_PIVOS!$D$6:$D$41,MATCH($E796,CADASTRO_PIVOS!$B$6:$B$41,0)),"?")</f>
        <v>TR05</v>
      </c>
      <c r="H796" s="20" t="n">
        <f aca="false">IFERROR(INDEX(CADASTRO_PIVOS!$E$6:$E$41,MATCH($E796,CADASTRO_PIVOS!$B$6:$B$41,0)),0)</f>
        <v>149.98</v>
      </c>
      <c r="I796" s="16" t="n">
        <f aca="false">IFERROR(SUMIFS(ROTACAO_RDM!$B$6:$B$71,ROTACAO_RDM!$D$6:$D$71,$E796,ROTACAO_RDM!$I$6:$I$71,"&lt;="&amp;$C796+INT(DIAS_POR_SEMANA/2),ROTACAO_RDM!$J$6:$J$71,"&gt;="&amp;$C796+INT(DIAS_POR_SEMANA/2)),0)</f>
        <v>0</v>
      </c>
      <c r="J796" s="16" t="n">
        <f aca="false">IFERROR(MATCH($I796,ROTACAO_RDM!$B$6:$B$71,0),0)</f>
        <v>0</v>
      </c>
      <c r="K796" s="8" t="str">
        <f aca="false">IF($J796=0,"SEM CULTURA",INDEX(ROTACAO_RDM!$F$6:$F$71,$J796))</f>
        <v>SEM CULTURA</v>
      </c>
      <c r="L796" s="8" t="str">
        <f aca="false">IF($J796=0,"",INDEX(ROTACAO_RDM!$G$6:$G$71,$J796))</f>
        <v/>
      </c>
      <c r="M796" s="17" t="str">
        <f aca="false">IF($J796=0,"",INDEX(ROTACAO_RDM!$I$6:$I$71,$J796))</f>
        <v/>
      </c>
      <c r="N796" s="16" t="n">
        <f aca="false">IF($J796=0,0,MAX(0,$C796+INT(DIAS_POR_SEMANA/2)-INDEX(ROTACAO_RDM!$I$6:$I$71,$J796)))</f>
        <v>0</v>
      </c>
      <c r="O796" s="19" t="n">
        <f aca="false">IF($J796=0,0,MIN(1,$N796/MAX(1,INDEX(ROTACAO_RDM!$K$6:$K$71,$J796))))</f>
        <v>0</v>
      </c>
      <c r="P796" s="16" t="n">
        <f aca="false">IF($J796=0,0,IFERROR(MATCH(INDEX(ROTACAO_RDM!$N$6:$N$71,$J796),PARAMETROS_CULTURAS!$B$6:$B$28,0),0))</f>
        <v>0</v>
      </c>
      <c r="Q796" s="8" t="str">
        <f aca="false">IF($P796=0,"-",IF($O796&lt;=INDEX(PARAMETROS_CULTURAS!$F$6:$F$28,$P796),"INICIAL",IF($O796&lt;=INDEX(PARAMETROS_CULTURAS!$F$6:$F$28,$P796)+INDEX(PARAMETROS_CULTURAS!$G$6:$G$28,$P796),"DESENVOLVIMENTO",IF($O796&lt;=INDEX(PARAMETROS_CULTURAS!$F$6:$F$28,$P796)+INDEX(PARAMETROS_CULTURAS!$G$6:$G$28,$P796)+INDEX(PARAMETROS_CULTURAS!$H$6:$H$28,$P796),"MEDIA","FINAL"))))</f>
        <v>-</v>
      </c>
      <c r="R796" s="24" t="n">
        <f aca="false">IF($P796=0,0,IF($O796&lt;=INDEX(PARAMETROS_CULTURAS!$F$6:$F$28,$P796),INDEX(PARAMETROS_CULTURAS!$K$6:$K$28,$P796),IF($O796&lt;=INDEX(PARAMETROS_CULTURAS!$F$6:$F$28,$P796)+INDEX(PARAMETROS_CULTURAS!$G$6:$G$28,$P796),INDEX(PARAMETROS_CULTURAS!$K$6:$K$28,$P796)+(INDEX(PARAMETROS_CULTURAS!$L$6:$L$28,$P796)-INDEX(PARAMETROS_CULTURAS!$K$6:$K$28,$P796))*($O796-INDEX(PARAMETROS_CULTURAS!$F$6:$F$28,$P796))/MAX(INDEX(PARAMETROS_CULTURAS!$G$6:$G$28,$P796),0.0001),IF($O796&lt;=INDEX(PARAMETROS_CULTURAS!$F$6:$F$28,$P796)+INDEX(PARAMETROS_CULTURAS!$G$6:$G$28,$P796)+INDEX(PARAMETROS_CULTURAS!$H$6:$H$28,$P796),INDEX(PARAMETROS_CULTURAS!$L$6:$L$28,$P796),INDEX(PARAMETROS_CULTURAS!$L$6:$L$28,$P796)+(INDEX(PARAMETROS_CULTURAS!$M$6:$M$28,$P796)-INDEX(PARAMETROS_CULTURAS!$L$6:$L$28,$P796))*($O796-INDEX(PARAMETROS_CULTURAS!$F$6:$F$28,$P796)-INDEX(PARAMETROS_CULTURAS!$G$6:$G$28,$P796)-INDEX(PARAMETROS_CULTURAS!$H$6:$H$28,$P796))/MAX(INDEX(PARAMETROS_CULTURAS!$I$6:$I$28,$P796),0.0001)))))</f>
        <v>0</v>
      </c>
      <c r="S796" s="18" t="n">
        <f aca="false">IFERROR(INDEX(SEMANAS!$H$6:$H$71,MATCH($B796,SEMANAS!$B$6:$B$71,0)),0)</f>
        <v>34.3</v>
      </c>
      <c r="T796" s="18" t="n">
        <f aca="false">$R796*$S796</f>
        <v>0</v>
      </c>
      <c r="U796" s="18" t="n">
        <f aca="false">IFERROR(INDEX(SEMANAS!$I$6:$I$71,MATCH($B796,SEMANAS!$B$6:$B$71,0)),0)</f>
        <v>46.69</v>
      </c>
      <c r="V796" s="18" t="n">
        <f aca="false">IFERROR(INDEX(SEMANAS!$J$6:$J$71,MATCH($B796,SEMANAS!$B$6:$B$71,0)),0)</f>
        <v>37.352</v>
      </c>
      <c r="W796" s="18" t="n">
        <f aca="false">MAX(0,$T796-$V796)</f>
        <v>0</v>
      </c>
      <c r="X796" s="19" t="n">
        <f aca="false">IFERROR(INDEX(CADASTRO_PIVOS!$K$6:$K$41,MATCH($E796,CADASTRO_PIVOS!$B$6:$B$41,0)),EFICIENCIA_PADRAO)</f>
        <v>0.85</v>
      </c>
      <c r="Y796" s="18" t="n">
        <f aca="false">IF($X796&lt;=0,0,$W796/$X796)</f>
        <v>0</v>
      </c>
      <c r="Z796" s="16" t="n">
        <f aca="false">$Y796*$H796*MM_PARA_M3_HA</f>
        <v>0</v>
      </c>
      <c r="AA796" s="18" t="n">
        <f aca="false">IFERROR(INDEX(CADASTRO_PIVOS!$I$6:$I$41,MATCH($E796,CADASTRO_PIVOS!$B$6:$B$41,0)),0)</f>
        <v>928.447619047619</v>
      </c>
      <c r="AB796" s="18" t="n">
        <f aca="false">IF($Z796&lt;=0,0,$Z796/$AA796)</f>
        <v>0</v>
      </c>
      <c r="AC796" s="16" t="n">
        <f aca="false">IFERROR(INDEX(SEMANAS!$K$6:$K$71,MATCH($B796,SEMANAS!$B$6:$B$71,0)),0)</f>
        <v>147</v>
      </c>
      <c r="AD796" s="19" t="n">
        <f aca="false">IF($AC796&lt;=0,0,$AB796/$AC796)</f>
        <v>0</v>
      </c>
      <c r="AE796" s="8" t="str">
        <f aca="false">IF($K796="SEM CULTURA","SEM CULTURA",IF($AA796&lt;=0,"DADO PENDENTE",IF($AD796&gt;LIMITE_CRITICO,"INVIAVEL",IF($AD796&gt;LIMITE_ATENCAO,"CRITICO",IF($AD796&gt;LIMITE_CONFORTAVEL,"ATENCAO","OK")))))</f>
        <v>SEM CULTURA</v>
      </c>
      <c r="AF796" s="8" t="str">
        <f aca="false">$B796&amp;"|"&amp;TEXT($AD796,"0.000000")</f>
        <v>65|0.000000</v>
      </c>
      <c r="AG796" s="18" t="n">
        <f aca="false">IF($K796="SEM CULTURA",0,$T796*$H796)</f>
        <v>0</v>
      </c>
      <c r="AH796" s="18" t="n">
        <f aca="false">IF($K796="SEM CULTURA",0,$V796*$H796)</f>
        <v>0</v>
      </c>
      <c r="AI796" s="18" t="n">
        <f aca="false">IF($K796="SEM CULTURA",0,$W796*$H796)</f>
        <v>0</v>
      </c>
      <c r="AJ796" s="18" t="n">
        <f aca="false">IF($K796="SEM CULTURA",0,$S796*$H796)</f>
        <v>0</v>
      </c>
      <c r="AK796" s="8" t="str">
        <f aca="false">$E796&amp;"|"&amp;TEXT($AD796,"0.000000")</f>
        <v>PV 113|0.000000</v>
      </c>
    </row>
    <row r="797" customFormat="false" ht="15" hidden="false" customHeight="false" outlineLevel="0" collapsed="false">
      <c r="B797" s="16" t="n">
        <v>66</v>
      </c>
      <c r="C797" s="17" t="n">
        <f aca="false">DATA_INICIO_SAFRA+($B797-1)*DIAS_POR_SEMANA</f>
        <v>46720</v>
      </c>
      <c r="D797" s="17" t="n">
        <f aca="false">$C797+DIAS_POR_SEMANA-1</f>
        <v>46726</v>
      </c>
      <c r="E797" s="15" t="s">
        <v>270</v>
      </c>
      <c r="F797" s="8" t="str">
        <f aca="false">IFERROR(INDEX(CADASTRO_PIVOS!$C$6:$C$41,MATCH($E797,CADASTRO_PIVOS!$B$6:$B$41,0)),"?")</f>
        <v>RM05</v>
      </c>
      <c r="G797" s="8" t="str">
        <f aca="false">IFERROR(INDEX(CADASTRO_PIVOS!$D$6:$D$41,MATCH($E797,CADASTRO_PIVOS!$B$6:$B$41,0)),"?")</f>
        <v>TR05</v>
      </c>
      <c r="H797" s="20" t="n">
        <f aca="false">IFERROR(INDEX(CADASTRO_PIVOS!$E$6:$E$41,MATCH($E797,CADASTRO_PIVOS!$B$6:$B$41,0)),0)</f>
        <v>149.98</v>
      </c>
      <c r="I797" s="16" t="n">
        <f aca="false">IFERROR(SUMIFS(ROTACAO_RDM!$B$6:$B$71,ROTACAO_RDM!$D$6:$D$71,$E797,ROTACAO_RDM!$I$6:$I$71,"&lt;="&amp;$C797+INT(DIAS_POR_SEMANA/2),ROTACAO_RDM!$J$6:$J$71,"&gt;="&amp;$C797+INT(DIAS_POR_SEMANA/2)),0)</f>
        <v>0</v>
      </c>
      <c r="J797" s="16" t="n">
        <f aca="false">IFERROR(MATCH($I797,ROTACAO_RDM!$B$6:$B$71,0),0)</f>
        <v>0</v>
      </c>
      <c r="K797" s="8" t="str">
        <f aca="false">IF($J797=0,"SEM CULTURA",INDEX(ROTACAO_RDM!$F$6:$F$71,$J797))</f>
        <v>SEM CULTURA</v>
      </c>
      <c r="L797" s="8" t="str">
        <f aca="false">IF($J797=0,"",INDEX(ROTACAO_RDM!$G$6:$G$71,$J797))</f>
        <v/>
      </c>
      <c r="M797" s="17" t="str">
        <f aca="false">IF($J797=0,"",INDEX(ROTACAO_RDM!$I$6:$I$71,$J797))</f>
        <v/>
      </c>
      <c r="N797" s="16" t="n">
        <f aca="false">IF($J797=0,0,MAX(0,$C797+INT(DIAS_POR_SEMANA/2)-INDEX(ROTACAO_RDM!$I$6:$I$71,$J797)))</f>
        <v>0</v>
      </c>
      <c r="O797" s="19" t="n">
        <f aca="false">IF($J797=0,0,MIN(1,$N797/MAX(1,INDEX(ROTACAO_RDM!$K$6:$K$71,$J797))))</f>
        <v>0</v>
      </c>
      <c r="P797" s="16" t="n">
        <f aca="false">IF($J797=0,0,IFERROR(MATCH(INDEX(ROTACAO_RDM!$N$6:$N$71,$J797),PARAMETROS_CULTURAS!$B$6:$B$28,0),0))</f>
        <v>0</v>
      </c>
      <c r="Q797" s="8" t="str">
        <f aca="false">IF($P797=0,"-",IF($O797&lt;=INDEX(PARAMETROS_CULTURAS!$F$6:$F$28,$P797),"INICIAL",IF($O797&lt;=INDEX(PARAMETROS_CULTURAS!$F$6:$F$28,$P797)+INDEX(PARAMETROS_CULTURAS!$G$6:$G$28,$P797),"DESENVOLVIMENTO",IF($O797&lt;=INDEX(PARAMETROS_CULTURAS!$F$6:$F$28,$P797)+INDEX(PARAMETROS_CULTURAS!$G$6:$G$28,$P797)+INDEX(PARAMETROS_CULTURAS!$H$6:$H$28,$P797),"MEDIA","FINAL"))))</f>
        <v>-</v>
      </c>
      <c r="R797" s="24" t="n">
        <f aca="false">IF($P797=0,0,IF($O797&lt;=INDEX(PARAMETROS_CULTURAS!$F$6:$F$28,$P797),INDEX(PARAMETROS_CULTURAS!$K$6:$K$28,$P797),IF($O797&lt;=INDEX(PARAMETROS_CULTURAS!$F$6:$F$28,$P797)+INDEX(PARAMETROS_CULTURAS!$G$6:$G$28,$P797),INDEX(PARAMETROS_CULTURAS!$K$6:$K$28,$P797)+(INDEX(PARAMETROS_CULTURAS!$L$6:$L$28,$P797)-INDEX(PARAMETROS_CULTURAS!$K$6:$K$28,$P797))*($O797-INDEX(PARAMETROS_CULTURAS!$F$6:$F$28,$P797))/MAX(INDEX(PARAMETROS_CULTURAS!$G$6:$G$28,$P797),0.0001),IF($O797&lt;=INDEX(PARAMETROS_CULTURAS!$F$6:$F$28,$P797)+INDEX(PARAMETROS_CULTURAS!$G$6:$G$28,$P797)+INDEX(PARAMETROS_CULTURAS!$H$6:$H$28,$P797),INDEX(PARAMETROS_CULTURAS!$L$6:$L$28,$P797),INDEX(PARAMETROS_CULTURAS!$L$6:$L$28,$P797)+(INDEX(PARAMETROS_CULTURAS!$M$6:$M$28,$P797)-INDEX(PARAMETROS_CULTURAS!$L$6:$L$28,$P797))*($O797-INDEX(PARAMETROS_CULTURAS!$F$6:$F$28,$P797)-INDEX(PARAMETROS_CULTURAS!$G$6:$G$28,$P797)-INDEX(PARAMETROS_CULTURAS!$H$6:$H$28,$P797))/MAX(INDEX(PARAMETROS_CULTURAS!$I$6:$I$28,$P797),0.0001)))))</f>
        <v>0</v>
      </c>
      <c r="S797" s="18" t="n">
        <f aca="false">IFERROR(INDEX(SEMANAS!$H$6:$H$71,MATCH($B797,SEMANAS!$B$6:$B$71,0)),0)</f>
        <v>33.3</v>
      </c>
      <c r="T797" s="18" t="n">
        <f aca="false">$R797*$S797</f>
        <v>0</v>
      </c>
      <c r="U797" s="18" t="n">
        <f aca="false">IFERROR(INDEX(SEMANAS!$I$6:$I$71,MATCH($B797,SEMANAS!$B$6:$B$71,0)),0)</f>
        <v>48.04</v>
      </c>
      <c r="V797" s="18" t="n">
        <f aca="false">IFERROR(INDEX(SEMANAS!$J$6:$J$71,MATCH($B797,SEMANAS!$B$6:$B$71,0)),0)</f>
        <v>38.432</v>
      </c>
      <c r="W797" s="18" t="n">
        <f aca="false">MAX(0,$T797-$V797)</f>
        <v>0</v>
      </c>
      <c r="X797" s="19" t="n">
        <f aca="false">IFERROR(INDEX(CADASTRO_PIVOS!$K$6:$K$41,MATCH($E797,CADASTRO_PIVOS!$B$6:$B$41,0)),EFICIENCIA_PADRAO)</f>
        <v>0.85</v>
      </c>
      <c r="Y797" s="18" t="n">
        <f aca="false">IF($X797&lt;=0,0,$W797/$X797)</f>
        <v>0</v>
      </c>
      <c r="Z797" s="16" t="n">
        <f aca="false">$Y797*$H797*MM_PARA_M3_HA</f>
        <v>0</v>
      </c>
      <c r="AA797" s="18" t="n">
        <f aca="false">IFERROR(INDEX(CADASTRO_PIVOS!$I$6:$I$41,MATCH($E797,CADASTRO_PIVOS!$B$6:$B$41,0)),0)</f>
        <v>928.447619047619</v>
      </c>
      <c r="AB797" s="18" t="n">
        <f aca="false">IF($Z797&lt;=0,0,$Z797/$AA797)</f>
        <v>0</v>
      </c>
      <c r="AC797" s="16" t="n">
        <f aca="false">IFERROR(INDEX(SEMANAS!$K$6:$K$71,MATCH($B797,SEMANAS!$B$6:$B$71,0)),0)</f>
        <v>147</v>
      </c>
      <c r="AD797" s="19" t="n">
        <f aca="false">IF($AC797&lt;=0,0,$AB797/$AC797)</f>
        <v>0</v>
      </c>
      <c r="AE797" s="8" t="str">
        <f aca="false">IF($K797="SEM CULTURA","SEM CULTURA",IF($AA797&lt;=0,"DADO PENDENTE",IF($AD797&gt;LIMITE_CRITICO,"INVIAVEL",IF($AD797&gt;LIMITE_ATENCAO,"CRITICO",IF($AD797&gt;LIMITE_CONFORTAVEL,"ATENCAO","OK")))))</f>
        <v>SEM CULTURA</v>
      </c>
      <c r="AF797" s="8" t="str">
        <f aca="false">$B797&amp;"|"&amp;TEXT($AD797,"0.000000")</f>
        <v>66|0.000000</v>
      </c>
      <c r="AG797" s="18" t="n">
        <f aca="false">IF($K797="SEM CULTURA",0,$T797*$H797)</f>
        <v>0</v>
      </c>
      <c r="AH797" s="18" t="n">
        <f aca="false">IF($K797="SEM CULTURA",0,$V797*$H797)</f>
        <v>0</v>
      </c>
      <c r="AI797" s="18" t="n">
        <f aca="false">IF($K797="SEM CULTURA",0,$W797*$H797)</f>
        <v>0</v>
      </c>
      <c r="AJ797" s="18" t="n">
        <f aca="false">IF($K797="SEM CULTURA",0,$S797*$H797)</f>
        <v>0</v>
      </c>
      <c r="AK797" s="8" t="str">
        <f aca="false">$E797&amp;"|"&amp;TEXT($AD797,"0.000000")</f>
        <v>PV 113|0.000000</v>
      </c>
    </row>
    <row r="798" customFormat="false" ht="15" hidden="false" customHeight="false" outlineLevel="0" collapsed="false">
      <c r="B798" s="16" t="n">
        <v>1</v>
      </c>
      <c r="C798" s="17" t="n">
        <f aca="false">DATA_INICIO_SAFRA+($B798-1)*DIAS_POR_SEMANA</f>
        <v>46265</v>
      </c>
      <c r="D798" s="17" t="n">
        <f aca="false">$C798+DIAS_POR_SEMANA-1</f>
        <v>46271</v>
      </c>
      <c r="E798" s="15" t="s">
        <v>271</v>
      </c>
      <c r="F798" s="8" t="str">
        <f aca="false">IFERROR(INDEX(CADASTRO_PIVOS!$C$6:$C$41,MATCH($E798,CADASTRO_PIVOS!$B$6:$B$41,0)),"?")</f>
        <v>RM05</v>
      </c>
      <c r="G798" s="8" t="str">
        <f aca="false">IFERROR(INDEX(CADASTRO_PIVOS!$D$6:$D$41,MATCH($E798,CADASTRO_PIVOS!$B$6:$B$41,0)),"?")</f>
        <v>TR05</v>
      </c>
      <c r="H798" s="20" t="n">
        <f aca="false">IFERROR(INDEX(CADASTRO_PIVOS!$E$6:$E$41,MATCH($E798,CADASTRO_PIVOS!$B$6:$B$41,0)),0)</f>
        <v>119.98</v>
      </c>
      <c r="I798" s="16" t="n">
        <f aca="false">IFERROR(SUMIFS(ROTACAO_RDM!$B$6:$B$71,ROTACAO_RDM!$D$6:$D$71,$E798,ROTACAO_RDM!$I$6:$I$71,"&lt;="&amp;$C798+INT(DIAS_POR_SEMANA/2),ROTACAO_RDM!$J$6:$J$71,"&gt;="&amp;$C798+INT(DIAS_POR_SEMANA/2)),0)</f>
        <v>0</v>
      </c>
      <c r="J798" s="16" t="n">
        <f aca="false">IFERROR(MATCH($I798,ROTACAO_RDM!$B$6:$B$71,0),0)</f>
        <v>0</v>
      </c>
      <c r="K798" s="8" t="str">
        <f aca="false">IF($J798=0,"SEM CULTURA",INDEX(ROTACAO_RDM!$F$6:$F$71,$J798))</f>
        <v>SEM CULTURA</v>
      </c>
      <c r="L798" s="8" t="str">
        <f aca="false">IF($J798=0,"",INDEX(ROTACAO_RDM!$G$6:$G$71,$J798))</f>
        <v/>
      </c>
      <c r="M798" s="17" t="str">
        <f aca="false">IF($J798=0,"",INDEX(ROTACAO_RDM!$I$6:$I$71,$J798))</f>
        <v/>
      </c>
      <c r="N798" s="16" t="n">
        <f aca="false">IF($J798=0,0,MAX(0,$C798+INT(DIAS_POR_SEMANA/2)-INDEX(ROTACAO_RDM!$I$6:$I$71,$J798)))</f>
        <v>0</v>
      </c>
      <c r="O798" s="19" t="n">
        <f aca="false">IF($J798=0,0,MIN(1,$N798/MAX(1,INDEX(ROTACAO_RDM!$K$6:$K$71,$J798))))</f>
        <v>0</v>
      </c>
      <c r="P798" s="16" t="n">
        <f aca="false">IF($J798=0,0,IFERROR(MATCH(INDEX(ROTACAO_RDM!$N$6:$N$71,$J798),PARAMETROS_CULTURAS!$B$6:$B$28,0),0))</f>
        <v>0</v>
      </c>
      <c r="Q798" s="8" t="str">
        <f aca="false">IF($P798=0,"-",IF($O798&lt;=INDEX(PARAMETROS_CULTURAS!$F$6:$F$28,$P798),"INICIAL",IF($O798&lt;=INDEX(PARAMETROS_CULTURAS!$F$6:$F$28,$P798)+INDEX(PARAMETROS_CULTURAS!$G$6:$G$28,$P798),"DESENVOLVIMENTO",IF($O798&lt;=INDEX(PARAMETROS_CULTURAS!$F$6:$F$28,$P798)+INDEX(PARAMETROS_CULTURAS!$G$6:$G$28,$P798)+INDEX(PARAMETROS_CULTURAS!$H$6:$H$28,$P798),"MEDIA","FINAL"))))</f>
        <v>-</v>
      </c>
      <c r="R798" s="24" t="n">
        <f aca="false">IF($P798=0,0,IF($O798&lt;=INDEX(PARAMETROS_CULTURAS!$F$6:$F$28,$P798),INDEX(PARAMETROS_CULTURAS!$K$6:$K$28,$P798),IF($O798&lt;=INDEX(PARAMETROS_CULTURAS!$F$6:$F$28,$P798)+INDEX(PARAMETROS_CULTURAS!$G$6:$G$28,$P798),INDEX(PARAMETROS_CULTURAS!$K$6:$K$28,$P798)+(INDEX(PARAMETROS_CULTURAS!$L$6:$L$28,$P798)-INDEX(PARAMETROS_CULTURAS!$K$6:$K$28,$P798))*($O798-INDEX(PARAMETROS_CULTURAS!$F$6:$F$28,$P798))/MAX(INDEX(PARAMETROS_CULTURAS!$G$6:$G$28,$P798),0.0001),IF($O798&lt;=INDEX(PARAMETROS_CULTURAS!$F$6:$F$28,$P798)+INDEX(PARAMETROS_CULTURAS!$G$6:$G$28,$P798)+INDEX(PARAMETROS_CULTURAS!$H$6:$H$28,$P798),INDEX(PARAMETROS_CULTURAS!$L$6:$L$28,$P798),INDEX(PARAMETROS_CULTURAS!$L$6:$L$28,$P798)+(INDEX(PARAMETROS_CULTURAS!$M$6:$M$28,$P798)-INDEX(PARAMETROS_CULTURAS!$L$6:$L$28,$P798))*($O798-INDEX(PARAMETROS_CULTURAS!$F$6:$F$28,$P798)-INDEX(PARAMETROS_CULTURAS!$G$6:$G$28,$P798)-INDEX(PARAMETROS_CULTURAS!$H$6:$H$28,$P798))/MAX(INDEX(PARAMETROS_CULTURAS!$I$6:$I$28,$P798),0.0001)))))</f>
        <v>0</v>
      </c>
      <c r="S798" s="18" t="n">
        <f aca="false">IFERROR(INDEX(SEMANAS!$H$6:$H$71,MATCH($B798,SEMANAS!$B$6:$B$71,0)),0)</f>
        <v>40</v>
      </c>
      <c r="T798" s="18" t="n">
        <f aca="false">$R798*$S798</f>
        <v>0</v>
      </c>
      <c r="U798" s="18" t="n">
        <f aca="false">IFERROR(INDEX(SEMANAS!$I$6:$I$71,MATCH($B798,SEMANAS!$B$6:$B$71,0)),0)</f>
        <v>6.16</v>
      </c>
      <c r="V798" s="18" t="n">
        <f aca="false">IFERROR(INDEX(SEMANAS!$J$6:$J$71,MATCH($B798,SEMANAS!$B$6:$B$71,0)),0)</f>
        <v>4.928</v>
      </c>
      <c r="W798" s="18" t="n">
        <f aca="false">MAX(0,$T798-$V798)</f>
        <v>0</v>
      </c>
      <c r="X798" s="19" t="n">
        <f aca="false">IFERROR(INDEX(CADASTRO_PIVOS!$K$6:$K$41,MATCH($E798,CADASTRO_PIVOS!$B$6:$B$41,0)),EFICIENCIA_PADRAO)</f>
        <v>0.85</v>
      </c>
      <c r="Y798" s="18" t="n">
        <f aca="false">IF($X798&lt;=0,0,$W798/$X798)</f>
        <v>0</v>
      </c>
      <c r="Z798" s="16" t="n">
        <f aca="false">$Y798*$H798*MM_PARA_M3_HA</f>
        <v>0</v>
      </c>
      <c r="AA798" s="18" t="n">
        <f aca="false">IFERROR(INDEX(CADASTRO_PIVOS!$I$6:$I$41,MATCH($E798,CADASTRO_PIVOS!$B$6:$B$41,0)),0)</f>
        <v>857</v>
      </c>
      <c r="AB798" s="18" t="n">
        <f aca="false">IF($Z798&lt;=0,0,$Z798/$AA798)</f>
        <v>0</v>
      </c>
      <c r="AC798" s="16" t="n">
        <f aca="false">IFERROR(INDEX(SEMANAS!$K$6:$K$71,MATCH($B798,SEMANAS!$B$6:$B$71,0)),0)</f>
        <v>147</v>
      </c>
      <c r="AD798" s="19" t="n">
        <f aca="false">IF($AC798&lt;=0,0,$AB798/$AC798)</f>
        <v>0</v>
      </c>
      <c r="AE798" s="8" t="str">
        <f aca="false">IF($K798="SEM CULTURA","SEM CULTURA",IF($AA798&lt;=0,"DADO PENDENTE",IF($AD798&gt;LIMITE_CRITICO,"INVIAVEL",IF($AD798&gt;LIMITE_ATENCAO,"CRITICO",IF($AD798&gt;LIMITE_CONFORTAVEL,"ATENCAO","OK")))))</f>
        <v>SEM CULTURA</v>
      </c>
      <c r="AF798" s="8" t="str">
        <f aca="false">$B798&amp;"|"&amp;TEXT($AD798,"0.000000")</f>
        <v>1|0.000000</v>
      </c>
      <c r="AG798" s="18" t="n">
        <f aca="false">IF($K798="SEM CULTURA",0,$T798*$H798)</f>
        <v>0</v>
      </c>
      <c r="AH798" s="18" t="n">
        <f aca="false">IF($K798="SEM CULTURA",0,$V798*$H798)</f>
        <v>0</v>
      </c>
      <c r="AI798" s="18" t="n">
        <f aca="false">IF($K798="SEM CULTURA",0,$W798*$H798)</f>
        <v>0</v>
      </c>
      <c r="AJ798" s="18" t="n">
        <f aca="false">IF($K798="SEM CULTURA",0,$S798*$H798)</f>
        <v>0</v>
      </c>
      <c r="AK798" s="8" t="str">
        <f aca="false">$E798&amp;"|"&amp;TEXT($AD798,"0.000000")</f>
        <v>PV 114|0.000000</v>
      </c>
    </row>
    <row r="799" customFormat="false" ht="15" hidden="false" customHeight="false" outlineLevel="0" collapsed="false">
      <c r="B799" s="16" t="n">
        <v>2</v>
      </c>
      <c r="C799" s="17" t="n">
        <f aca="false">DATA_INICIO_SAFRA+($B799-1)*DIAS_POR_SEMANA</f>
        <v>46272</v>
      </c>
      <c r="D799" s="17" t="n">
        <f aca="false">$C799+DIAS_POR_SEMANA-1</f>
        <v>46278</v>
      </c>
      <c r="E799" s="15" t="s">
        <v>271</v>
      </c>
      <c r="F799" s="8" t="str">
        <f aca="false">IFERROR(INDEX(CADASTRO_PIVOS!$C$6:$C$41,MATCH($E799,CADASTRO_PIVOS!$B$6:$B$41,0)),"?")</f>
        <v>RM05</v>
      </c>
      <c r="G799" s="8" t="str">
        <f aca="false">IFERROR(INDEX(CADASTRO_PIVOS!$D$6:$D$41,MATCH($E799,CADASTRO_PIVOS!$B$6:$B$41,0)),"?")</f>
        <v>TR05</v>
      </c>
      <c r="H799" s="20" t="n">
        <f aca="false">IFERROR(INDEX(CADASTRO_PIVOS!$E$6:$E$41,MATCH($E799,CADASTRO_PIVOS!$B$6:$B$41,0)),0)</f>
        <v>119.98</v>
      </c>
      <c r="I799" s="16" t="n">
        <f aca="false">IFERROR(SUMIFS(ROTACAO_RDM!$B$6:$B$71,ROTACAO_RDM!$D$6:$D$71,$E799,ROTACAO_RDM!$I$6:$I$71,"&lt;="&amp;$C799+INT(DIAS_POR_SEMANA/2),ROTACAO_RDM!$J$6:$J$71,"&gt;="&amp;$C799+INT(DIAS_POR_SEMANA/2)),0)</f>
        <v>0</v>
      </c>
      <c r="J799" s="16" t="n">
        <f aca="false">IFERROR(MATCH($I799,ROTACAO_RDM!$B$6:$B$71,0),0)</f>
        <v>0</v>
      </c>
      <c r="K799" s="8" t="str">
        <f aca="false">IF($J799=0,"SEM CULTURA",INDEX(ROTACAO_RDM!$F$6:$F$71,$J799))</f>
        <v>SEM CULTURA</v>
      </c>
      <c r="L799" s="8" t="str">
        <f aca="false">IF($J799=0,"",INDEX(ROTACAO_RDM!$G$6:$G$71,$J799))</f>
        <v/>
      </c>
      <c r="M799" s="17" t="str">
        <f aca="false">IF($J799=0,"",INDEX(ROTACAO_RDM!$I$6:$I$71,$J799))</f>
        <v/>
      </c>
      <c r="N799" s="16" t="n">
        <f aca="false">IF($J799=0,0,MAX(0,$C799+INT(DIAS_POR_SEMANA/2)-INDEX(ROTACAO_RDM!$I$6:$I$71,$J799)))</f>
        <v>0</v>
      </c>
      <c r="O799" s="19" t="n">
        <f aca="false">IF($J799=0,0,MIN(1,$N799/MAX(1,INDEX(ROTACAO_RDM!$K$6:$K$71,$J799))))</f>
        <v>0</v>
      </c>
      <c r="P799" s="16" t="n">
        <f aca="false">IF($J799=0,0,IFERROR(MATCH(INDEX(ROTACAO_RDM!$N$6:$N$71,$J799),PARAMETROS_CULTURAS!$B$6:$B$28,0),0))</f>
        <v>0</v>
      </c>
      <c r="Q799" s="8" t="str">
        <f aca="false">IF($P799=0,"-",IF($O799&lt;=INDEX(PARAMETROS_CULTURAS!$F$6:$F$28,$P799),"INICIAL",IF($O799&lt;=INDEX(PARAMETROS_CULTURAS!$F$6:$F$28,$P799)+INDEX(PARAMETROS_CULTURAS!$G$6:$G$28,$P799),"DESENVOLVIMENTO",IF($O799&lt;=INDEX(PARAMETROS_CULTURAS!$F$6:$F$28,$P799)+INDEX(PARAMETROS_CULTURAS!$G$6:$G$28,$P799)+INDEX(PARAMETROS_CULTURAS!$H$6:$H$28,$P799),"MEDIA","FINAL"))))</f>
        <v>-</v>
      </c>
      <c r="R799" s="24" t="n">
        <f aca="false">IF($P799=0,0,IF($O799&lt;=INDEX(PARAMETROS_CULTURAS!$F$6:$F$28,$P799),INDEX(PARAMETROS_CULTURAS!$K$6:$K$28,$P799),IF($O799&lt;=INDEX(PARAMETROS_CULTURAS!$F$6:$F$28,$P799)+INDEX(PARAMETROS_CULTURAS!$G$6:$G$28,$P799),INDEX(PARAMETROS_CULTURAS!$K$6:$K$28,$P799)+(INDEX(PARAMETROS_CULTURAS!$L$6:$L$28,$P799)-INDEX(PARAMETROS_CULTURAS!$K$6:$K$28,$P799))*($O799-INDEX(PARAMETROS_CULTURAS!$F$6:$F$28,$P799))/MAX(INDEX(PARAMETROS_CULTURAS!$G$6:$G$28,$P799),0.0001),IF($O799&lt;=INDEX(PARAMETROS_CULTURAS!$F$6:$F$28,$P799)+INDEX(PARAMETROS_CULTURAS!$G$6:$G$28,$P799)+INDEX(PARAMETROS_CULTURAS!$H$6:$H$28,$P799),INDEX(PARAMETROS_CULTURAS!$L$6:$L$28,$P799),INDEX(PARAMETROS_CULTURAS!$L$6:$L$28,$P799)+(INDEX(PARAMETROS_CULTURAS!$M$6:$M$28,$P799)-INDEX(PARAMETROS_CULTURAS!$L$6:$L$28,$P799))*($O799-INDEX(PARAMETROS_CULTURAS!$F$6:$F$28,$P799)-INDEX(PARAMETROS_CULTURAS!$G$6:$G$28,$P799)-INDEX(PARAMETROS_CULTURAS!$H$6:$H$28,$P799))/MAX(INDEX(PARAMETROS_CULTURAS!$I$6:$I$28,$P799),0.0001)))))</f>
        <v>0</v>
      </c>
      <c r="S799" s="18" t="n">
        <f aca="false">IFERROR(INDEX(SEMANAS!$H$6:$H$71,MATCH($B799,SEMANAS!$B$6:$B$71,0)),0)</f>
        <v>40.6</v>
      </c>
      <c r="T799" s="18" t="n">
        <f aca="false">$R799*$S799</f>
        <v>0</v>
      </c>
      <c r="U799" s="18" t="n">
        <f aca="false">IFERROR(INDEX(SEMANAS!$I$6:$I$71,MATCH($B799,SEMANAS!$B$6:$B$71,0)),0)</f>
        <v>7</v>
      </c>
      <c r="V799" s="18" t="n">
        <f aca="false">IFERROR(INDEX(SEMANAS!$J$6:$J$71,MATCH($B799,SEMANAS!$B$6:$B$71,0)),0)</f>
        <v>5.6</v>
      </c>
      <c r="W799" s="18" t="n">
        <f aca="false">MAX(0,$T799-$V799)</f>
        <v>0</v>
      </c>
      <c r="X799" s="19" t="n">
        <f aca="false">IFERROR(INDEX(CADASTRO_PIVOS!$K$6:$K$41,MATCH($E799,CADASTRO_PIVOS!$B$6:$B$41,0)),EFICIENCIA_PADRAO)</f>
        <v>0.85</v>
      </c>
      <c r="Y799" s="18" t="n">
        <f aca="false">IF($X799&lt;=0,0,$W799/$X799)</f>
        <v>0</v>
      </c>
      <c r="Z799" s="16" t="n">
        <f aca="false">$Y799*$H799*MM_PARA_M3_HA</f>
        <v>0</v>
      </c>
      <c r="AA799" s="18" t="n">
        <f aca="false">IFERROR(INDEX(CADASTRO_PIVOS!$I$6:$I$41,MATCH($E799,CADASTRO_PIVOS!$B$6:$B$41,0)),0)</f>
        <v>857</v>
      </c>
      <c r="AB799" s="18" t="n">
        <f aca="false">IF($Z799&lt;=0,0,$Z799/$AA799)</f>
        <v>0</v>
      </c>
      <c r="AC799" s="16" t="n">
        <f aca="false">IFERROR(INDEX(SEMANAS!$K$6:$K$71,MATCH($B799,SEMANAS!$B$6:$B$71,0)),0)</f>
        <v>147</v>
      </c>
      <c r="AD799" s="19" t="n">
        <f aca="false">IF($AC799&lt;=0,0,$AB799/$AC799)</f>
        <v>0</v>
      </c>
      <c r="AE799" s="8" t="str">
        <f aca="false">IF($K799="SEM CULTURA","SEM CULTURA",IF($AA799&lt;=0,"DADO PENDENTE",IF($AD799&gt;LIMITE_CRITICO,"INVIAVEL",IF($AD799&gt;LIMITE_ATENCAO,"CRITICO",IF($AD799&gt;LIMITE_CONFORTAVEL,"ATENCAO","OK")))))</f>
        <v>SEM CULTURA</v>
      </c>
      <c r="AF799" s="8" t="str">
        <f aca="false">$B799&amp;"|"&amp;TEXT($AD799,"0.000000")</f>
        <v>2|0.000000</v>
      </c>
      <c r="AG799" s="18" t="n">
        <f aca="false">IF($K799="SEM CULTURA",0,$T799*$H799)</f>
        <v>0</v>
      </c>
      <c r="AH799" s="18" t="n">
        <f aca="false">IF($K799="SEM CULTURA",0,$V799*$H799)</f>
        <v>0</v>
      </c>
      <c r="AI799" s="18" t="n">
        <f aca="false">IF($K799="SEM CULTURA",0,$W799*$H799)</f>
        <v>0</v>
      </c>
      <c r="AJ799" s="18" t="n">
        <f aca="false">IF($K799="SEM CULTURA",0,$S799*$H799)</f>
        <v>0</v>
      </c>
      <c r="AK799" s="8" t="str">
        <f aca="false">$E799&amp;"|"&amp;TEXT($AD799,"0.000000")</f>
        <v>PV 114|0.000000</v>
      </c>
    </row>
    <row r="800" customFormat="false" ht="15" hidden="false" customHeight="false" outlineLevel="0" collapsed="false">
      <c r="B800" s="16" t="n">
        <v>3</v>
      </c>
      <c r="C800" s="17" t="n">
        <f aca="false">DATA_INICIO_SAFRA+($B800-1)*DIAS_POR_SEMANA</f>
        <v>46279</v>
      </c>
      <c r="D800" s="17" t="n">
        <f aca="false">$C800+DIAS_POR_SEMANA-1</f>
        <v>46285</v>
      </c>
      <c r="E800" s="15" t="s">
        <v>271</v>
      </c>
      <c r="F800" s="8" t="str">
        <f aca="false">IFERROR(INDEX(CADASTRO_PIVOS!$C$6:$C$41,MATCH($E800,CADASTRO_PIVOS!$B$6:$B$41,0)),"?")</f>
        <v>RM05</v>
      </c>
      <c r="G800" s="8" t="str">
        <f aca="false">IFERROR(INDEX(CADASTRO_PIVOS!$D$6:$D$41,MATCH($E800,CADASTRO_PIVOS!$B$6:$B$41,0)),"?")</f>
        <v>TR05</v>
      </c>
      <c r="H800" s="20" t="n">
        <f aca="false">IFERROR(INDEX(CADASTRO_PIVOS!$E$6:$E$41,MATCH($E800,CADASTRO_PIVOS!$B$6:$B$41,0)),0)</f>
        <v>119.98</v>
      </c>
      <c r="I800" s="16" t="n">
        <f aca="false">IFERROR(SUMIFS(ROTACAO_RDM!$B$6:$B$71,ROTACAO_RDM!$D$6:$D$71,$E800,ROTACAO_RDM!$I$6:$I$71,"&lt;="&amp;$C800+INT(DIAS_POR_SEMANA/2),ROTACAO_RDM!$J$6:$J$71,"&gt;="&amp;$C800+INT(DIAS_POR_SEMANA/2)),0)</f>
        <v>0</v>
      </c>
      <c r="J800" s="16" t="n">
        <f aca="false">IFERROR(MATCH($I800,ROTACAO_RDM!$B$6:$B$71,0),0)</f>
        <v>0</v>
      </c>
      <c r="K800" s="8" t="str">
        <f aca="false">IF($J800=0,"SEM CULTURA",INDEX(ROTACAO_RDM!$F$6:$F$71,$J800))</f>
        <v>SEM CULTURA</v>
      </c>
      <c r="L800" s="8" t="str">
        <f aca="false">IF($J800=0,"",INDEX(ROTACAO_RDM!$G$6:$G$71,$J800))</f>
        <v/>
      </c>
      <c r="M800" s="17" t="str">
        <f aca="false">IF($J800=0,"",INDEX(ROTACAO_RDM!$I$6:$I$71,$J800))</f>
        <v/>
      </c>
      <c r="N800" s="16" t="n">
        <f aca="false">IF($J800=0,0,MAX(0,$C800+INT(DIAS_POR_SEMANA/2)-INDEX(ROTACAO_RDM!$I$6:$I$71,$J800)))</f>
        <v>0</v>
      </c>
      <c r="O800" s="19" t="n">
        <f aca="false">IF($J800=0,0,MIN(1,$N800/MAX(1,INDEX(ROTACAO_RDM!$K$6:$K$71,$J800))))</f>
        <v>0</v>
      </c>
      <c r="P800" s="16" t="n">
        <f aca="false">IF($J800=0,0,IFERROR(MATCH(INDEX(ROTACAO_RDM!$N$6:$N$71,$J800),PARAMETROS_CULTURAS!$B$6:$B$28,0),0))</f>
        <v>0</v>
      </c>
      <c r="Q800" s="8" t="str">
        <f aca="false">IF($P800=0,"-",IF($O800&lt;=INDEX(PARAMETROS_CULTURAS!$F$6:$F$28,$P800),"INICIAL",IF($O800&lt;=INDEX(PARAMETROS_CULTURAS!$F$6:$F$28,$P800)+INDEX(PARAMETROS_CULTURAS!$G$6:$G$28,$P800),"DESENVOLVIMENTO",IF($O800&lt;=INDEX(PARAMETROS_CULTURAS!$F$6:$F$28,$P800)+INDEX(PARAMETROS_CULTURAS!$G$6:$G$28,$P800)+INDEX(PARAMETROS_CULTURAS!$H$6:$H$28,$P800),"MEDIA","FINAL"))))</f>
        <v>-</v>
      </c>
      <c r="R800" s="24" t="n">
        <f aca="false">IF($P800=0,0,IF($O800&lt;=INDEX(PARAMETROS_CULTURAS!$F$6:$F$28,$P800),INDEX(PARAMETROS_CULTURAS!$K$6:$K$28,$P800),IF($O800&lt;=INDEX(PARAMETROS_CULTURAS!$F$6:$F$28,$P800)+INDEX(PARAMETROS_CULTURAS!$G$6:$G$28,$P800),INDEX(PARAMETROS_CULTURAS!$K$6:$K$28,$P800)+(INDEX(PARAMETROS_CULTURAS!$L$6:$L$28,$P800)-INDEX(PARAMETROS_CULTURAS!$K$6:$K$28,$P800))*($O800-INDEX(PARAMETROS_CULTURAS!$F$6:$F$28,$P800))/MAX(INDEX(PARAMETROS_CULTURAS!$G$6:$G$28,$P800),0.0001),IF($O800&lt;=INDEX(PARAMETROS_CULTURAS!$F$6:$F$28,$P800)+INDEX(PARAMETROS_CULTURAS!$G$6:$G$28,$P800)+INDEX(PARAMETROS_CULTURAS!$H$6:$H$28,$P800),INDEX(PARAMETROS_CULTURAS!$L$6:$L$28,$P800),INDEX(PARAMETROS_CULTURAS!$L$6:$L$28,$P800)+(INDEX(PARAMETROS_CULTURAS!$M$6:$M$28,$P800)-INDEX(PARAMETROS_CULTURAS!$L$6:$L$28,$P800))*($O800-INDEX(PARAMETROS_CULTURAS!$F$6:$F$28,$P800)-INDEX(PARAMETROS_CULTURAS!$G$6:$G$28,$P800)-INDEX(PARAMETROS_CULTURAS!$H$6:$H$28,$P800))/MAX(INDEX(PARAMETROS_CULTURAS!$I$6:$I$28,$P800),0.0001)))))</f>
        <v>0</v>
      </c>
      <c r="S800" s="18" t="n">
        <f aca="false">IFERROR(INDEX(SEMANAS!$H$6:$H$71,MATCH($B800,SEMANAS!$B$6:$B$71,0)),0)</f>
        <v>40.6</v>
      </c>
      <c r="T800" s="18" t="n">
        <f aca="false">$R800*$S800</f>
        <v>0</v>
      </c>
      <c r="U800" s="18" t="n">
        <f aca="false">IFERROR(INDEX(SEMANAS!$I$6:$I$71,MATCH($B800,SEMANAS!$B$6:$B$71,0)),0)</f>
        <v>7</v>
      </c>
      <c r="V800" s="18" t="n">
        <f aca="false">IFERROR(INDEX(SEMANAS!$J$6:$J$71,MATCH($B800,SEMANAS!$B$6:$B$71,0)),0)</f>
        <v>5.6</v>
      </c>
      <c r="W800" s="18" t="n">
        <f aca="false">MAX(0,$T800-$V800)</f>
        <v>0</v>
      </c>
      <c r="X800" s="19" t="n">
        <f aca="false">IFERROR(INDEX(CADASTRO_PIVOS!$K$6:$K$41,MATCH($E800,CADASTRO_PIVOS!$B$6:$B$41,0)),EFICIENCIA_PADRAO)</f>
        <v>0.85</v>
      </c>
      <c r="Y800" s="18" t="n">
        <f aca="false">IF($X800&lt;=0,0,$W800/$X800)</f>
        <v>0</v>
      </c>
      <c r="Z800" s="16" t="n">
        <f aca="false">$Y800*$H800*MM_PARA_M3_HA</f>
        <v>0</v>
      </c>
      <c r="AA800" s="18" t="n">
        <f aca="false">IFERROR(INDEX(CADASTRO_PIVOS!$I$6:$I$41,MATCH($E800,CADASTRO_PIVOS!$B$6:$B$41,0)),0)</f>
        <v>857</v>
      </c>
      <c r="AB800" s="18" t="n">
        <f aca="false">IF($Z800&lt;=0,0,$Z800/$AA800)</f>
        <v>0</v>
      </c>
      <c r="AC800" s="16" t="n">
        <f aca="false">IFERROR(INDEX(SEMANAS!$K$6:$K$71,MATCH($B800,SEMANAS!$B$6:$B$71,0)),0)</f>
        <v>147</v>
      </c>
      <c r="AD800" s="19" t="n">
        <f aca="false">IF($AC800&lt;=0,0,$AB800/$AC800)</f>
        <v>0</v>
      </c>
      <c r="AE800" s="8" t="str">
        <f aca="false">IF($K800="SEM CULTURA","SEM CULTURA",IF($AA800&lt;=0,"DADO PENDENTE",IF($AD800&gt;LIMITE_CRITICO,"INVIAVEL",IF($AD800&gt;LIMITE_ATENCAO,"CRITICO",IF($AD800&gt;LIMITE_CONFORTAVEL,"ATENCAO","OK")))))</f>
        <v>SEM CULTURA</v>
      </c>
      <c r="AF800" s="8" t="str">
        <f aca="false">$B800&amp;"|"&amp;TEXT($AD800,"0.000000")</f>
        <v>3|0.000000</v>
      </c>
      <c r="AG800" s="18" t="n">
        <f aca="false">IF($K800="SEM CULTURA",0,$T800*$H800)</f>
        <v>0</v>
      </c>
      <c r="AH800" s="18" t="n">
        <f aca="false">IF($K800="SEM CULTURA",0,$V800*$H800)</f>
        <v>0</v>
      </c>
      <c r="AI800" s="18" t="n">
        <f aca="false">IF($K800="SEM CULTURA",0,$W800*$H800)</f>
        <v>0</v>
      </c>
      <c r="AJ800" s="18" t="n">
        <f aca="false">IF($K800="SEM CULTURA",0,$S800*$H800)</f>
        <v>0</v>
      </c>
      <c r="AK800" s="8" t="str">
        <f aca="false">$E800&amp;"|"&amp;TEXT($AD800,"0.000000")</f>
        <v>PV 114|0.000000</v>
      </c>
    </row>
    <row r="801" customFormat="false" ht="15" hidden="false" customHeight="false" outlineLevel="0" collapsed="false">
      <c r="B801" s="16" t="n">
        <v>4</v>
      </c>
      <c r="C801" s="17" t="n">
        <f aca="false">DATA_INICIO_SAFRA+($B801-1)*DIAS_POR_SEMANA</f>
        <v>46286</v>
      </c>
      <c r="D801" s="17" t="n">
        <f aca="false">$C801+DIAS_POR_SEMANA-1</f>
        <v>46292</v>
      </c>
      <c r="E801" s="15" t="s">
        <v>271</v>
      </c>
      <c r="F801" s="8" t="str">
        <f aca="false">IFERROR(INDEX(CADASTRO_PIVOS!$C$6:$C$41,MATCH($E801,CADASTRO_PIVOS!$B$6:$B$41,0)),"?")</f>
        <v>RM05</v>
      </c>
      <c r="G801" s="8" t="str">
        <f aca="false">IFERROR(INDEX(CADASTRO_PIVOS!$D$6:$D$41,MATCH($E801,CADASTRO_PIVOS!$B$6:$B$41,0)),"?")</f>
        <v>TR05</v>
      </c>
      <c r="H801" s="20" t="n">
        <f aca="false">IFERROR(INDEX(CADASTRO_PIVOS!$E$6:$E$41,MATCH($E801,CADASTRO_PIVOS!$B$6:$B$41,0)),0)</f>
        <v>119.98</v>
      </c>
      <c r="I801" s="16" t="n">
        <f aca="false">IFERROR(SUMIFS(ROTACAO_RDM!$B$6:$B$71,ROTACAO_RDM!$D$6:$D$71,$E801,ROTACAO_RDM!$I$6:$I$71,"&lt;="&amp;$C801+INT(DIAS_POR_SEMANA/2),ROTACAO_RDM!$J$6:$J$71,"&gt;="&amp;$C801+INT(DIAS_POR_SEMANA/2)),0)</f>
        <v>0</v>
      </c>
      <c r="J801" s="16" t="n">
        <f aca="false">IFERROR(MATCH($I801,ROTACAO_RDM!$B$6:$B$71,0),0)</f>
        <v>0</v>
      </c>
      <c r="K801" s="8" t="str">
        <f aca="false">IF($J801=0,"SEM CULTURA",INDEX(ROTACAO_RDM!$F$6:$F$71,$J801))</f>
        <v>SEM CULTURA</v>
      </c>
      <c r="L801" s="8" t="str">
        <f aca="false">IF($J801=0,"",INDEX(ROTACAO_RDM!$G$6:$G$71,$J801))</f>
        <v/>
      </c>
      <c r="M801" s="17" t="str">
        <f aca="false">IF($J801=0,"",INDEX(ROTACAO_RDM!$I$6:$I$71,$J801))</f>
        <v/>
      </c>
      <c r="N801" s="16" t="n">
        <f aca="false">IF($J801=0,0,MAX(0,$C801+INT(DIAS_POR_SEMANA/2)-INDEX(ROTACAO_RDM!$I$6:$I$71,$J801)))</f>
        <v>0</v>
      </c>
      <c r="O801" s="19" t="n">
        <f aca="false">IF($J801=0,0,MIN(1,$N801/MAX(1,INDEX(ROTACAO_RDM!$K$6:$K$71,$J801))))</f>
        <v>0</v>
      </c>
      <c r="P801" s="16" t="n">
        <f aca="false">IF($J801=0,0,IFERROR(MATCH(INDEX(ROTACAO_RDM!$N$6:$N$71,$J801),PARAMETROS_CULTURAS!$B$6:$B$28,0),0))</f>
        <v>0</v>
      </c>
      <c r="Q801" s="8" t="str">
        <f aca="false">IF($P801=0,"-",IF($O801&lt;=INDEX(PARAMETROS_CULTURAS!$F$6:$F$28,$P801),"INICIAL",IF($O801&lt;=INDEX(PARAMETROS_CULTURAS!$F$6:$F$28,$P801)+INDEX(PARAMETROS_CULTURAS!$G$6:$G$28,$P801),"DESENVOLVIMENTO",IF($O801&lt;=INDEX(PARAMETROS_CULTURAS!$F$6:$F$28,$P801)+INDEX(PARAMETROS_CULTURAS!$G$6:$G$28,$P801)+INDEX(PARAMETROS_CULTURAS!$H$6:$H$28,$P801),"MEDIA","FINAL"))))</f>
        <v>-</v>
      </c>
      <c r="R801" s="24" t="n">
        <f aca="false">IF($P801=0,0,IF($O801&lt;=INDEX(PARAMETROS_CULTURAS!$F$6:$F$28,$P801),INDEX(PARAMETROS_CULTURAS!$K$6:$K$28,$P801),IF($O801&lt;=INDEX(PARAMETROS_CULTURAS!$F$6:$F$28,$P801)+INDEX(PARAMETROS_CULTURAS!$G$6:$G$28,$P801),INDEX(PARAMETROS_CULTURAS!$K$6:$K$28,$P801)+(INDEX(PARAMETROS_CULTURAS!$L$6:$L$28,$P801)-INDEX(PARAMETROS_CULTURAS!$K$6:$K$28,$P801))*($O801-INDEX(PARAMETROS_CULTURAS!$F$6:$F$28,$P801))/MAX(INDEX(PARAMETROS_CULTURAS!$G$6:$G$28,$P801),0.0001),IF($O801&lt;=INDEX(PARAMETROS_CULTURAS!$F$6:$F$28,$P801)+INDEX(PARAMETROS_CULTURAS!$G$6:$G$28,$P801)+INDEX(PARAMETROS_CULTURAS!$H$6:$H$28,$P801),INDEX(PARAMETROS_CULTURAS!$L$6:$L$28,$P801),INDEX(PARAMETROS_CULTURAS!$L$6:$L$28,$P801)+(INDEX(PARAMETROS_CULTURAS!$M$6:$M$28,$P801)-INDEX(PARAMETROS_CULTURAS!$L$6:$L$28,$P801))*($O801-INDEX(PARAMETROS_CULTURAS!$F$6:$F$28,$P801)-INDEX(PARAMETROS_CULTURAS!$G$6:$G$28,$P801)-INDEX(PARAMETROS_CULTURAS!$H$6:$H$28,$P801))/MAX(INDEX(PARAMETROS_CULTURAS!$I$6:$I$28,$P801),0.0001)))))</f>
        <v>0</v>
      </c>
      <c r="S801" s="18" t="n">
        <f aca="false">IFERROR(INDEX(SEMANAS!$H$6:$H$71,MATCH($B801,SEMANAS!$B$6:$B$71,0)),0)</f>
        <v>40.6</v>
      </c>
      <c r="T801" s="18" t="n">
        <f aca="false">$R801*$S801</f>
        <v>0</v>
      </c>
      <c r="U801" s="18" t="n">
        <f aca="false">IFERROR(INDEX(SEMANAS!$I$6:$I$71,MATCH($B801,SEMANAS!$B$6:$B$71,0)),0)</f>
        <v>7</v>
      </c>
      <c r="V801" s="18" t="n">
        <f aca="false">IFERROR(INDEX(SEMANAS!$J$6:$J$71,MATCH($B801,SEMANAS!$B$6:$B$71,0)),0)</f>
        <v>5.6</v>
      </c>
      <c r="W801" s="18" t="n">
        <f aca="false">MAX(0,$T801-$V801)</f>
        <v>0</v>
      </c>
      <c r="X801" s="19" t="n">
        <f aca="false">IFERROR(INDEX(CADASTRO_PIVOS!$K$6:$K$41,MATCH($E801,CADASTRO_PIVOS!$B$6:$B$41,0)),EFICIENCIA_PADRAO)</f>
        <v>0.85</v>
      </c>
      <c r="Y801" s="18" t="n">
        <f aca="false">IF($X801&lt;=0,0,$W801/$X801)</f>
        <v>0</v>
      </c>
      <c r="Z801" s="16" t="n">
        <f aca="false">$Y801*$H801*MM_PARA_M3_HA</f>
        <v>0</v>
      </c>
      <c r="AA801" s="18" t="n">
        <f aca="false">IFERROR(INDEX(CADASTRO_PIVOS!$I$6:$I$41,MATCH($E801,CADASTRO_PIVOS!$B$6:$B$41,0)),0)</f>
        <v>857</v>
      </c>
      <c r="AB801" s="18" t="n">
        <f aca="false">IF($Z801&lt;=0,0,$Z801/$AA801)</f>
        <v>0</v>
      </c>
      <c r="AC801" s="16" t="n">
        <f aca="false">IFERROR(INDEX(SEMANAS!$K$6:$K$71,MATCH($B801,SEMANAS!$B$6:$B$71,0)),0)</f>
        <v>147</v>
      </c>
      <c r="AD801" s="19" t="n">
        <f aca="false">IF($AC801&lt;=0,0,$AB801/$AC801)</f>
        <v>0</v>
      </c>
      <c r="AE801" s="8" t="str">
        <f aca="false">IF($K801="SEM CULTURA","SEM CULTURA",IF($AA801&lt;=0,"DADO PENDENTE",IF($AD801&gt;LIMITE_CRITICO,"INVIAVEL",IF($AD801&gt;LIMITE_ATENCAO,"CRITICO",IF($AD801&gt;LIMITE_CONFORTAVEL,"ATENCAO","OK")))))</f>
        <v>SEM CULTURA</v>
      </c>
      <c r="AF801" s="8" t="str">
        <f aca="false">$B801&amp;"|"&amp;TEXT($AD801,"0.000000")</f>
        <v>4|0.000000</v>
      </c>
      <c r="AG801" s="18" t="n">
        <f aca="false">IF($K801="SEM CULTURA",0,$T801*$H801)</f>
        <v>0</v>
      </c>
      <c r="AH801" s="18" t="n">
        <f aca="false">IF($K801="SEM CULTURA",0,$V801*$H801)</f>
        <v>0</v>
      </c>
      <c r="AI801" s="18" t="n">
        <f aca="false">IF($K801="SEM CULTURA",0,$W801*$H801)</f>
        <v>0</v>
      </c>
      <c r="AJ801" s="18" t="n">
        <f aca="false">IF($K801="SEM CULTURA",0,$S801*$H801)</f>
        <v>0</v>
      </c>
      <c r="AK801" s="8" t="str">
        <f aca="false">$E801&amp;"|"&amp;TEXT($AD801,"0.000000")</f>
        <v>PV 114|0.000000</v>
      </c>
    </row>
    <row r="802" customFormat="false" ht="15" hidden="false" customHeight="false" outlineLevel="0" collapsed="false">
      <c r="B802" s="16" t="n">
        <v>5</v>
      </c>
      <c r="C802" s="17" t="n">
        <f aca="false">DATA_INICIO_SAFRA+($B802-1)*DIAS_POR_SEMANA</f>
        <v>46293</v>
      </c>
      <c r="D802" s="17" t="n">
        <f aca="false">$C802+DIAS_POR_SEMANA-1</f>
        <v>46299</v>
      </c>
      <c r="E802" s="15" t="s">
        <v>271</v>
      </c>
      <c r="F802" s="8" t="str">
        <f aca="false">IFERROR(INDEX(CADASTRO_PIVOS!$C$6:$C$41,MATCH($E802,CADASTRO_PIVOS!$B$6:$B$41,0)),"?")</f>
        <v>RM05</v>
      </c>
      <c r="G802" s="8" t="str">
        <f aca="false">IFERROR(INDEX(CADASTRO_PIVOS!$D$6:$D$41,MATCH($E802,CADASTRO_PIVOS!$B$6:$B$41,0)),"?")</f>
        <v>TR05</v>
      </c>
      <c r="H802" s="20" t="n">
        <f aca="false">IFERROR(INDEX(CADASTRO_PIVOS!$E$6:$E$41,MATCH($E802,CADASTRO_PIVOS!$B$6:$B$41,0)),0)</f>
        <v>119.98</v>
      </c>
      <c r="I802" s="16" t="n">
        <f aca="false">IFERROR(SUMIFS(ROTACAO_RDM!$B$6:$B$71,ROTACAO_RDM!$D$6:$D$71,$E802,ROTACAO_RDM!$I$6:$I$71,"&lt;="&amp;$C802+INT(DIAS_POR_SEMANA/2),ROTACAO_RDM!$J$6:$J$71,"&gt;="&amp;$C802+INT(DIAS_POR_SEMANA/2)),0)</f>
        <v>0</v>
      </c>
      <c r="J802" s="16" t="n">
        <f aca="false">IFERROR(MATCH($I802,ROTACAO_RDM!$B$6:$B$71,0),0)</f>
        <v>0</v>
      </c>
      <c r="K802" s="8" t="str">
        <f aca="false">IF($J802=0,"SEM CULTURA",INDEX(ROTACAO_RDM!$F$6:$F$71,$J802))</f>
        <v>SEM CULTURA</v>
      </c>
      <c r="L802" s="8" t="str">
        <f aca="false">IF($J802=0,"",INDEX(ROTACAO_RDM!$G$6:$G$71,$J802))</f>
        <v/>
      </c>
      <c r="M802" s="17" t="str">
        <f aca="false">IF($J802=0,"",INDEX(ROTACAO_RDM!$I$6:$I$71,$J802))</f>
        <v/>
      </c>
      <c r="N802" s="16" t="n">
        <f aca="false">IF($J802=0,0,MAX(0,$C802+INT(DIAS_POR_SEMANA/2)-INDEX(ROTACAO_RDM!$I$6:$I$71,$J802)))</f>
        <v>0</v>
      </c>
      <c r="O802" s="19" t="n">
        <f aca="false">IF($J802=0,0,MIN(1,$N802/MAX(1,INDEX(ROTACAO_RDM!$K$6:$K$71,$J802))))</f>
        <v>0</v>
      </c>
      <c r="P802" s="16" t="n">
        <f aca="false">IF($J802=0,0,IFERROR(MATCH(INDEX(ROTACAO_RDM!$N$6:$N$71,$J802),PARAMETROS_CULTURAS!$B$6:$B$28,0),0))</f>
        <v>0</v>
      </c>
      <c r="Q802" s="8" t="str">
        <f aca="false">IF($P802=0,"-",IF($O802&lt;=INDEX(PARAMETROS_CULTURAS!$F$6:$F$28,$P802),"INICIAL",IF($O802&lt;=INDEX(PARAMETROS_CULTURAS!$F$6:$F$28,$P802)+INDEX(PARAMETROS_CULTURAS!$G$6:$G$28,$P802),"DESENVOLVIMENTO",IF($O802&lt;=INDEX(PARAMETROS_CULTURAS!$F$6:$F$28,$P802)+INDEX(PARAMETROS_CULTURAS!$G$6:$G$28,$P802)+INDEX(PARAMETROS_CULTURAS!$H$6:$H$28,$P802),"MEDIA","FINAL"))))</f>
        <v>-</v>
      </c>
      <c r="R802" s="24" t="n">
        <f aca="false">IF($P802=0,0,IF($O802&lt;=INDEX(PARAMETROS_CULTURAS!$F$6:$F$28,$P802),INDEX(PARAMETROS_CULTURAS!$K$6:$K$28,$P802),IF($O802&lt;=INDEX(PARAMETROS_CULTURAS!$F$6:$F$28,$P802)+INDEX(PARAMETROS_CULTURAS!$G$6:$G$28,$P802),INDEX(PARAMETROS_CULTURAS!$K$6:$K$28,$P802)+(INDEX(PARAMETROS_CULTURAS!$L$6:$L$28,$P802)-INDEX(PARAMETROS_CULTURAS!$K$6:$K$28,$P802))*($O802-INDEX(PARAMETROS_CULTURAS!$F$6:$F$28,$P802))/MAX(INDEX(PARAMETROS_CULTURAS!$G$6:$G$28,$P802),0.0001),IF($O802&lt;=INDEX(PARAMETROS_CULTURAS!$F$6:$F$28,$P802)+INDEX(PARAMETROS_CULTURAS!$G$6:$G$28,$P802)+INDEX(PARAMETROS_CULTURAS!$H$6:$H$28,$P802),INDEX(PARAMETROS_CULTURAS!$L$6:$L$28,$P802),INDEX(PARAMETROS_CULTURAS!$L$6:$L$28,$P802)+(INDEX(PARAMETROS_CULTURAS!$M$6:$M$28,$P802)-INDEX(PARAMETROS_CULTURAS!$L$6:$L$28,$P802))*($O802-INDEX(PARAMETROS_CULTURAS!$F$6:$F$28,$P802)-INDEX(PARAMETROS_CULTURAS!$G$6:$G$28,$P802)-INDEX(PARAMETROS_CULTURAS!$H$6:$H$28,$P802))/MAX(INDEX(PARAMETROS_CULTURAS!$I$6:$I$28,$P802),0.0001)))))</f>
        <v>0</v>
      </c>
      <c r="S802" s="18" t="n">
        <f aca="false">IFERROR(INDEX(SEMANAS!$H$6:$H$71,MATCH($B802,SEMANAS!$B$6:$B$71,0)),0)</f>
        <v>39.8</v>
      </c>
      <c r="T802" s="18" t="n">
        <f aca="false">$R802*$S802</f>
        <v>0</v>
      </c>
      <c r="U802" s="18" t="n">
        <f aca="false">IFERROR(INDEX(SEMANAS!$I$6:$I$71,MATCH($B802,SEMANAS!$B$6:$B$71,0)),0)</f>
        <v>18.48</v>
      </c>
      <c r="V802" s="18" t="n">
        <f aca="false">IFERROR(INDEX(SEMANAS!$J$6:$J$71,MATCH($B802,SEMANAS!$B$6:$B$71,0)),0)</f>
        <v>14.784</v>
      </c>
      <c r="W802" s="18" t="n">
        <f aca="false">MAX(0,$T802-$V802)</f>
        <v>0</v>
      </c>
      <c r="X802" s="19" t="n">
        <f aca="false">IFERROR(INDEX(CADASTRO_PIVOS!$K$6:$K$41,MATCH($E802,CADASTRO_PIVOS!$B$6:$B$41,0)),EFICIENCIA_PADRAO)</f>
        <v>0.85</v>
      </c>
      <c r="Y802" s="18" t="n">
        <f aca="false">IF($X802&lt;=0,0,$W802/$X802)</f>
        <v>0</v>
      </c>
      <c r="Z802" s="16" t="n">
        <f aca="false">$Y802*$H802*MM_PARA_M3_HA</f>
        <v>0</v>
      </c>
      <c r="AA802" s="18" t="n">
        <f aca="false">IFERROR(INDEX(CADASTRO_PIVOS!$I$6:$I$41,MATCH($E802,CADASTRO_PIVOS!$B$6:$B$41,0)),0)</f>
        <v>857</v>
      </c>
      <c r="AB802" s="18" t="n">
        <f aca="false">IF($Z802&lt;=0,0,$Z802/$AA802)</f>
        <v>0</v>
      </c>
      <c r="AC802" s="16" t="n">
        <f aca="false">IFERROR(INDEX(SEMANAS!$K$6:$K$71,MATCH($B802,SEMANAS!$B$6:$B$71,0)),0)</f>
        <v>147</v>
      </c>
      <c r="AD802" s="19" t="n">
        <f aca="false">IF($AC802&lt;=0,0,$AB802/$AC802)</f>
        <v>0</v>
      </c>
      <c r="AE802" s="8" t="str">
        <f aca="false">IF($K802="SEM CULTURA","SEM CULTURA",IF($AA802&lt;=0,"DADO PENDENTE",IF($AD802&gt;LIMITE_CRITICO,"INVIAVEL",IF($AD802&gt;LIMITE_ATENCAO,"CRITICO",IF($AD802&gt;LIMITE_CONFORTAVEL,"ATENCAO","OK")))))</f>
        <v>SEM CULTURA</v>
      </c>
      <c r="AF802" s="8" t="str">
        <f aca="false">$B802&amp;"|"&amp;TEXT($AD802,"0.000000")</f>
        <v>5|0.000000</v>
      </c>
      <c r="AG802" s="18" t="n">
        <f aca="false">IF($K802="SEM CULTURA",0,$T802*$H802)</f>
        <v>0</v>
      </c>
      <c r="AH802" s="18" t="n">
        <f aca="false">IF($K802="SEM CULTURA",0,$V802*$H802)</f>
        <v>0</v>
      </c>
      <c r="AI802" s="18" t="n">
        <f aca="false">IF($K802="SEM CULTURA",0,$W802*$H802)</f>
        <v>0</v>
      </c>
      <c r="AJ802" s="18" t="n">
        <f aca="false">IF($K802="SEM CULTURA",0,$S802*$H802)</f>
        <v>0</v>
      </c>
      <c r="AK802" s="8" t="str">
        <f aca="false">$E802&amp;"|"&amp;TEXT($AD802,"0.000000")</f>
        <v>PV 114|0.000000</v>
      </c>
    </row>
    <row r="803" customFormat="false" ht="15" hidden="false" customHeight="false" outlineLevel="0" collapsed="false">
      <c r="B803" s="16" t="n">
        <v>6</v>
      </c>
      <c r="C803" s="17" t="n">
        <f aca="false">DATA_INICIO_SAFRA+($B803-1)*DIAS_POR_SEMANA</f>
        <v>46300</v>
      </c>
      <c r="D803" s="17" t="n">
        <f aca="false">$C803+DIAS_POR_SEMANA-1</f>
        <v>46306</v>
      </c>
      <c r="E803" s="15" t="s">
        <v>271</v>
      </c>
      <c r="F803" s="8" t="str">
        <f aca="false">IFERROR(INDEX(CADASTRO_PIVOS!$C$6:$C$41,MATCH($E803,CADASTRO_PIVOS!$B$6:$B$41,0)),"?")</f>
        <v>RM05</v>
      </c>
      <c r="G803" s="8" t="str">
        <f aca="false">IFERROR(INDEX(CADASTRO_PIVOS!$D$6:$D$41,MATCH($E803,CADASTRO_PIVOS!$B$6:$B$41,0)),"?")</f>
        <v>TR05</v>
      </c>
      <c r="H803" s="20" t="n">
        <f aca="false">IFERROR(INDEX(CADASTRO_PIVOS!$E$6:$E$41,MATCH($E803,CADASTRO_PIVOS!$B$6:$B$41,0)),0)</f>
        <v>119.98</v>
      </c>
      <c r="I803" s="16" t="n">
        <f aca="false">IFERROR(SUMIFS(ROTACAO_RDM!$B$6:$B$71,ROTACAO_RDM!$D$6:$D$71,$E803,ROTACAO_RDM!$I$6:$I$71,"&lt;="&amp;$C803+INT(DIAS_POR_SEMANA/2),ROTACAO_RDM!$J$6:$J$71,"&gt;="&amp;$C803+INT(DIAS_POR_SEMANA/2)),0)</f>
        <v>0</v>
      </c>
      <c r="J803" s="16" t="n">
        <f aca="false">IFERROR(MATCH($I803,ROTACAO_RDM!$B$6:$B$71,0),0)</f>
        <v>0</v>
      </c>
      <c r="K803" s="8" t="str">
        <f aca="false">IF($J803=0,"SEM CULTURA",INDEX(ROTACAO_RDM!$F$6:$F$71,$J803))</f>
        <v>SEM CULTURA</v>
      </c>
      <c r="L803" s="8" t="str">
        <f aca="false">IF($J803=0,"",INDEX(ROTACAO_RDM!$G$6:$G$71,$J803))</f>
        <v/>
      </c>
      <c r="M803" s="17" t="str">
        <f aca="false">IF($J803=0,"",INDEX(ROTACAO_RDM!$I$6:$I$71,$J803))</f>
        <v/>
      </c>
      <c r="N803" s="16" t="n">
        <f aca="false">IF($J803=0,0,MAX(0,$C803+INT(DIAS_POR_SEMANA/2)-INDEX(ROTACAO_RDM!$I$6:$I$71,$J803)))</f>
        <v>0</v>
      </c>
      <c r="O803" s="19" t="n">
        <f aca="false">IF($J803=0,0,MIN(1,$N803/MAX(1,INDEX(ROTACAO_RDM!$K$6:$K$71,$J803))))</f>
        <v>0</v>
      </c>
      <c r="P803" s="16" t="n">
        <f aca="false">IF($J803=0,0,IFERROR(MATCH(INDEX(ROTACAO_RDM!$N$6:$N$71,$J803),PARAMETROS_CULTURAS!$B$6:$B$28,0),0))</f>
        <v>0</v>
      </c>
      <c r="Q803" s="8" t="str">
        <f aca="false">IF($P803=0,"-",IF($O803&lt;=INDEX(PARAMETROS_CULTURAS!$F$6:$F$28,$P803),"INICIAL",IF($O803&lt;=INDEX(PARAMETROS_CULTURAS!$F$6:$F$28,$P803)+INDEX(PARAMETROS_CULTURAS!$G$6:$G$28,$P803),"DESENVOLVIMENTO",IF($O803&lt;=INDEX(PARAMETROS_CULTURAS!$F$6:$F$28,$P803)+INDEX(PARAMETROS_CULTURAS!$G$6:$G$28,$P803)+INDEX(PARAMETROS_CULTURAS!$H$6:$H$28,$P803),"MEDIA","FINAL"))))</f>
        <v>-</v>
      </c>
      <c r="R803" s="24" t="n">
        <f aca="false">IF($P803=0,0,IF($O803&lt;=INDEX(PARAMETROS_CULTURAS!$F$6:$F$28,$P803),INDEX(PARAMETROS_CULTURAS!$K$6:$K$28,$P803),IF($O803&lt;=INDEX(PARAMETROS_CULTURAS!$F$6:$F$28,$P803)+INDEX(PARAMETROS_CULTURAS!$G$6:$G$28,$P803),INDEX(PARAMETROS_CULTURAS!$K$6:$K$28,$P803)+(INDEX(PARAMETROS_CULTURAS!$L$6:$L$28,$P803)-INDEX(PARAMETROS_CULTURAS!$K$6:$K$28,$P803))*($O803-INDEX(PARAMETROS_CULTURAS!$F$6:$F$28,$P803))/MAX(INDEX(PARAMETROS_CULTURAS!$G$6:$G$28,$P803),0.0001),IF($O803&lt;=INDEX(PARAMETROS_CULTURAS!$F$6:$F$28,$P803)+INDEX(PARAMETROS_CULTURAS!$G$6:$G$28,$P803)+INDEX(PARAMETROS_CULTURAS!$H$6:$H$28,$P803),INDEX(PARAMETROS_CULTURAS!$L$6:$L$28,$P803),INDEX(PARAMETROS_CULTURAS!$L$6:$L$28,$P803)+(INDEX(PARAMETROS_CULTURAS!$M$6:$M$28,$P803)-INDEX(PARAMETROS_CULTURAS!$L$6:$L$28,$P803))*($O803-INDEX(PARAMETROS_CULTURAS!$F$6:$F$28,$P803)-INDEX(PARAMETROS_CULTURAS!$G$6:$G$28,$P803)-INDEX(PARAMETROS_CULTURAS!$H$6:$H$28,$P803))/MAX(INDEX(PARAMETROS_CULTURAS!$I$6:$I$28,$P803),0.0001)))))</f>
        <v>0</v>
      </c>
      <c r="S803" s="18" t="n">
        <f aca="false">IFERROR(INDEX(SEMANAS!$H$6:$H$71,MATCH($B803,SEMANAS!$B$6:$B$71,0)),0)</f>
        <v>39.2</v>
      </c>
      <c r="T803" s="18" t="n">
        <f aca="false">$R803*$S803</f>
        <v>0</v>
      </c>
      <c r="U803" s="18" t="n">
        <f aca="false">IFERROR(INDEX(SEMANAS!$I$6:$I$71,MATCH($B803,SEMANAS!$B$6:$B$71,0)),0)</f>
        <v>27.09</v>
      </c>
      <c r="V803" s="18" t="n">
        <f aca="false">IFERROR(INDEX(SEMANAS!$J$6:$J$71,MATCH($B803,SEMANAS!$B$6:$B$71,0)),0)</f>
        <v>21.672</v>
      </c>
      <c r="W803" s="18" t="n">
        <f aca="false">MAX(0,$T803-$V803)</f>
        <v>0</v>
      </c>
      <c r="X803" s="19" t="n">
        <f aca="false">IFERROR(INDEX(CADASTRO_PIVOS!$K$6:$K$41,MATCH($E803,CADASTRO_PIVOS!$B$6:$B$41,0)),EFICIENCIA_PADRAO)</f>
        <v>0.85</v>
      </c>
      <c r="Y803" s="18" t="n">
        <f aca="false">IF($X803&lt;=0,0,$W803/$X803)</f>
        <v>0</v>
      </c>
      <c r="Z803" s="16" t="n">
        <f aca="false">$Y803*$H803*MM_PARA_M3_HA</f>
        <v>0</v>
      </c>
      <c r="AA803" s="18" t="n">
        <f aca="false">IFERROR(INDEX(CADASTRO_PIVOS!$I$6:$I$41,MATCH($E803,CADASTRO_PIVOS!$B$6:$B$41,0)),0)</f>
        <v>857</v>
      </c>
      <c r="AB803" s="18" t="n">
        <f aca="false">IF($Z803&lt;=0,0,$Z803/$AA803)</f>
        <v>0</v>
      </c>
      <c r="AC803" s="16" t="n">
        <f aca="false">IFERROR(INDEX(SEMANAS!$K$6:$K$71,MATCH($B803,SEMANAS!$B$6:$B$71,0)),0)</f>
        <v>147</v>
      </c>
      <c r="AD803" s="19" t="n">
        <f aca="false">IF($AC803&lt;=0,0,$AB803/$AC803)</f>
        <v>0</v>
      </c>
      <c r="AE803" s="8" t="str">
        <f aca="false">IF($K803="SEM CULTURA","SEM CULTURA",IF($AA803&lt;=0,"DADO PENDENTE",IF($AD803&gt;LIMITE_CRITICO,"INVIAVEL",IF($AD803&gt;LIMITE_ATENCAO,"CRITICO",IF($AD803&gt;LIMITE_CONFORTAVEL,"ATENCAO","OK")))))</f>
        <v>SEM CULTURA</v>
      </c>
      <c r="AF803" s="8" t="str">
        <f aca="false">$B803&amp;"|"&amp;TEXT($AD803,"0.000000")</f>
        <v>6|0.000000</v>
      </c>
      <c r="AG803" s="18" t="n">
        <f aca="false">IF($K803="SEM CULTURA",0,$T803*$H803)</f>
        <v>0</v>
      </c>
      <c r="AH803" s="18" t="n">
        <f aca="false">IF($K803="SEM CULTURA",0,$V803*$H803)</f>
        <v>0</v>
      </c>
      <c r="AI803" s="18" t="n">
        <f aca="false">IF($K803="SEM CULTURA",0,$W803*$H803)</f>
        <v>0</v>
      </c>
      <c r="AJ803" s="18" t="n">
        <f aca="false">IF($K803="SEM CULTURA",0,$S803*$H803)</f>
        <v>0</v>
      </c>
      <c r="AK803" s="8" t="str">
        <f aca="false">$E803&amp;"|"&amp;TEXT($AD803,"0.000000")</f>
        <v>PV 114|0.000000</v>
      </c>
    </row>
    <row r="804" customFormat="false" ht="15" hidden="false" customHeight="false" outlineLevel="0" collapsed="false">
      <c r="B804" s="16" t="n">
        <v>7</v>
      </c>
      <c r="C804" s="17" t="n">
        <f aca="false">DATA_INICIO_SAFRA+($B804-1)*DIAS_POR_SEMANA</f>
        <v>46307</v>
      </c>
      <c r="D804" s="17" t="n">
        <f aca="false">$C804+DIAS_POR_SEMANA-1</f>
        <v>46313</v>
      </c>
      <c r="E804" s="15" t="s">
        <v>271</v>
      </c>
      <c r="F804" s="8" t="str">
        <f aca="false">IFERROR(INDEX(CADASTRO_PIVOS!$C$6:$C$41,MATCH($E804,CADASTRO_PIVOS!$B$6:$B$41,0)),"?")</f>
        <v>RM05</v>
      </c>
      <c r="G804" s="8" t="str">
        <f aca="false">IFERROR(INDEX(CADASTRO_PIVOS!$D$6:$D$41,MATCH($E804,CADASTRO_PIVOS!$B$6:$B$41,0)),"?")</f>
        <v>TR05</v>
      </c>
      <c r="H804" s="20" t="n">
        <f aca="false">IFERROR(INDEX(CADASTRO_PIVOS!$E$6:$E$41,MATCH($E804,CADASTRO_PIVOS!$B$6:$B$41,0)),0)</f>
        <v>119.98</v>
      </c>
      <c r="I804" s="16" t="n">
        <f aca="false">IFERROR(SUMIFS(ROTACAO_RDM!$B$6:$B$71,ROTACAO_RDM!$D$6:$D$71,$E804,ROTACAO_RDM!$I$6:$I$71,"&lt;="&amp;$C804+INT(DIAS_POR_SEMANA/2),ROTACAO_RDM!$J$6:$J$71,"&gt;="&amp;$C804+INT(DIAS_POR_SEMANA/2)),0)</f>
        <v>0</v>
      </c>
      <c r="J804" s="16" t="n">
        <f aca="false">IFERROR(MATCH($I804,ROTACAO_RDM!$B$6:$B$71,0),0)</f>
        <v>0</v>
      </c>
      <c r="K804" s="8" t="str">
        <f aca="false">IF($J804=0,"SEM CULTURA",INDEX(ROTACAO_RDM!$F$6:$F$71,$J804))</f>
        <v>SEM CULTURA</v>
      </c>
      <c r="L804" s="8" t="str">
        <f aca="false">IF($J804=0,"",INDEX(ROTACAO_RDM!$G$6:$G$71,$J804))</f>
        <v/>
      </c>
      <c r="M804" s="17" t="str">
        <f aca="false">IF($J804=0,"",INDEX(ROTACAO_RDM!$I$6:$I$71,$J804))</f>
        <v/>
      </c>
      <c r="N804" s="16" t="n">
        <f aca="false">IF($J804=0,0,MAX(0,$C804+INT(DIAS_POR_SEMANA/2)-INDEX(ROTACAO_RDM!$I$6:$I$71,$J804)))</f>
        <v>0</v>
      </c>
      <c r="O804" s="19" t="n">
        <f aca="false">IF($J804=0,0,MIN(1,$N804/MAX(1,INDEX(ROTACAO_RDM!$K$6:$K$71,$J804))))</f>
        <v>0</v>
      </c>
      <c r="P804" s="16" t="n">
        <f aca="false">IF($J804=0,0,IFERROR(MATCH(INDEX(ROTACAO_RDM!$N$6:$N$71,$J804),PARAMETROS_CULTURAS!$B$6:$B$28,0),0))</f>
        <v>0</v>
      </c>
      <c r="Q804" s="8" t="str">
        <f aca="false">IF($P804=0,"-",IF($O804&lt;=INDEX(PARAMETROS_CULTURAS!$F$6:$F$28,$P804),"INICIAL",IF($O804&lt;=INDEX(PARAMETROS_CULTURAS!$F$6:$F$28,$P804)+INDEX(PARAMETROS_CULTURAS!$G$6:$G$28,$P804),"DESENVOLVIMENTO",IF($O804&lt;=INDEX(PARAMETROS_CULTURAS!$F$6:$F$28,$P804)+INDEX(PARAMETROS_CULTURAS!$G$6:$G$28,$P804)+INDEX(PARAMETROS_CULTURAS!$H$6:$H$28,$P804),"MEDIA","FINAL"))))</f>
        <v>-</v>
      </c>
      <c r="R804" s="24" t="n">
        <f aca="false">IF($P804=0,0,IF($O804&lt;=INDEX(PARAMETROS_CULTURAS!$F$6:$F$28,$P804),INDEX(PARAMETROS_CULTURAS!$K$6:$K$28,$P804),IF($O804&lt;=INDEX(PARAMETROS_CULTURAS!$F$6:$F$28,$P804)+INDEX(PARAMETROS_CULTURAS!$G$6:$G$28,$P804),INDEX(PARAMETROS_CULTURAS!$K$6:$K$28,$P804)+(INDEX(PARAMETROS_CULTURAS!$L$6:$L$28,$P804)-INDEX(PARAMETROS_CULTURAS!$K$6:$K$28,$P804))*($O804-INDEX(PARAMETROS_CULTURAS!$F$6:$F$28,$P804))/MAX(INDEX(PARAMETROS_CULTURAS!$G$6:$G$28,$P804),0.0001),IF($O804&lt;=INDEX(PARAMETROS_CULTURAS!$F$6:$F$28,$P804)+INDEX(PARAMETROS_CULTURAS!$G$6:$G$28,$P804)+INDEX(PARAMETROS_CULTURAS!$H$6:$H$28,$P804),INDEX(PARAMETROS_CULTURAS!$L$6:$L$28,$P804),INDEX(PARAMETROS_CULTURAS!$L$6:$L$28,$P804)+(INDEX(PARAMETROS_CULTURAS!$M$6:$M$28,$P804)-INDEX(PARAMETROS_CULTURAS!$L$6:$L$28,$P804))*($O804-INDEX(PARAMETROS_CULTURAS!$F$6:$F$28,$P804)-INDEX(PARAMETROS_CULTURAS!$G$6:$G$28,$P804)-INDEX(PARAMETROS_CULTURAS!$H$6:$H$28,$P804))/MAX(INDEX(PARAMETROS_CULTURAS!$I$6:$I$28,$P804),0.0001)))))</f>
        <v>0</v>
      </c>
      <c r="S804" s="18" t="n">
        <f aca="false">IFERROR(INDEX(SEMANAS!$H$6:$H$71,MATCH($B804,SEMANAS!$B$6:$B$71,0)),0)</f>
        <v>39.2</v>
      </c>
      <c r="T804" s="18" t="n">
        <f aca="false">$R804*$S804</f>
        <v>0</v>
      </c>
      <c r="U804" s="18" t="n">
        <f aca="false">IFERROR(INDEX(SEMANAS!$I$6:$I$71,MATCH($B804,SEMANAS!$B$6:$B$71,0)),0)</f>
        <v>27.09</v>
      </c>
      <c r="V804" s="18" t="n">
        <f aca="false">IFERROR(INDEX(SEMANAS!$J$6:$J$71,MATCH($B804,SEMANAS!$B$6:$B$71,0)),0)</f>
        <v>21.672</v>
      </c>
      <c r="W804" s="18" t="n">
        <f aca="false">MAX(0,$T804-$V804)</f>
        <v>0</v>
      </c>
      <c r="X804" s="19" t="n">
        <f aca="false">IFERROR(INDEX(CADASTRO_PIVOS!$K$6:$K$41,MATCH($E804,CADASTRO_PIVOS!$B$6:$B$41,0)),EFICIENCIA_PADRAO)</f>
        <v>0.85</v>
      </c>
      <c r="Y804" s="18" t="n">
        <f aca="false">IF($X804&lt;=0,0,$W804/$X804)</f>
        <v>0</v>
      </c>
      <c r="Z804" s="16" t="n">
        <f aca="false">$Y804*$H804*MM_PARA_M3_HA</f>
        <v>0</v>
      </c>
      <c r="AA804" s="18" t="n">
        <f aca="false">IFERROR(INDEX(CADASTRO_PIVOS!$I$6:$I$41,MATCH($E804,CADASTRO_PIVOS!$B$6:$B$41,0)),0)</f>
        <v>857</v>
      </c>
      <c r="AB804" s="18" t="n">
        <f aca="false">IF($Z804&lt;=0,0,$Z804/$AA804)</f>
        <v>0</v>
      </c>
      <c r="AC804" s="16" t="n">
        <f aca="false">IFERROR(INDEX(SEMANAS!$K$6:$K$71,MATCH($B804,SEMANAS!$B$6:$B$71,0)),0)</f>
        <v>147</v>
      </c>
      <c r="AD804" s="19" t="n">
        <f aca="false">IF($AC804&lt;=0,0,$AB804/$AC804)</f>
        <v>0</v>
      </c>
      <c r="AE804" s="8" t="str">
        <f aca="false">IF($K804="SEM CULTURA","SEM CULTURA",IF($AA804&lt;=0,"DADO PENDENTE",IF($AD804&gt;LIMITE_CRITICO,"INVIAVEL",IF($AD804&gt;LIMITE_ATENCAO,"CRITICO",IF($AD804&gt;LIMITE_CONFORTAVEL,"ATENCAO","OK")))))</f>
        <v>SEM CULTURA</v>
      </c>
      <c r="AF804" s="8" t="str">
        <f aca="false">$B804&amp;"|"&amp;TEXT($AD804,"0.000000")</f>
        <v>7|0.000000</v>
      </c>
      <c r="AG804" s="18" t="n">
        <f aca="false">IF($K804="SEM CULTURA",0,$T804*$H804)</f>
        <v>0</v>
      </c>
      <c r="AH804" s="18" t="n">
        <f aca="false">IF($K804="SEM CULTURA",0,$V804*$H804)</f>
        <v>0</v>
      </c>
      <c r="AI804" s="18" t="n">
        <f aca="false">IF($K804="SEM CULTURA",0,$W804*$H804)</f>
        <v>0</v>
      </c>
      <c r="AJ804" s="18" t="n">
        <f aca="false">IF($K804="SEM CULTURA",0,$S804*$H804)</f>
        <v>0</v>
      </c>
      <c r="AK804" s="8" t="str">
        <f aca="false">$E804&amp;"|"&amp;TEXT($AD804,"0.000000")</f>
        <v>PV 114|0.000000</v>
      </c>
    </row>
    <row r="805" customFormat="false" ht="15" hidden="false" customHeight="false" outlineLevel="0" collapsed="false">
      <c r="B805" s="16" t="n">
        <v>8</v>
      </c>
      <c r="C805" s="17" t="n">
        <f aca="false">DATA_INICIO_SAFRA+($B805-1)*DIAS_POR_SEMANA</f>
        <v>46314</v>
      </c>
      <c r="D805" s="17" t="n">
        <f aca="false">$C805+DIAS_POR_SEMANA-1</f>
        <v>46320</v>
      </c>
      <c r="E805" s="15" t="s">
        <v>271</v>
      </c>
      <c r="F805" s="8" t="str">
        <f aca="false">IFERROR(INDEX(CADASTRO_PIVOS!$C$6:$C$41,MATCH($E805,CADASTRO_PIVOS!$B$6:$B$41,0)),"?")</f>
        <v>RM05</v>
      </c>
      <c r="G805" s="8" t="str">
        <f aca="false">IFERROR(INDEX(CADASTRO_PIVOS!$D$6:$D$41,MATCH($E805,CADASTRO_PIVOS!$B$6:$B$41,0)),"?")</f>
        <v>TR05</v>
      </c>
      <c r="H805" s="20" t="n">
        <f aca="false">IFERROR(INDEX(CADASTRO_PIVOS!$E$6:$E$41,MATCH($E805,CADASTRO_PIVOS!$B$6:$B$41,0)),0)</f>
        <v>119.98</v>
      </c>
      <c r="I805" s="16" t="n">
        <f aca="false">IFERROR(SUMIFS(ROTACAO_RDM!$B$6:$B$71,ROTACAO_RDM!$D$6:$D$71,$E805,ROTACAO_RDM!$I$6:$I$71,"&lt;="&amp;$C805+INT(DIAS_POR_SEMANA/2),ROTACAO_RDM!$J$6:$J$71,"&gt;="&amp;$C805+INT(DIAS_POR_SEMANA/2)),0)</f>
        <v>0</v>
      </c>
      <c r="J805" s="16" t="n">
        <f aca="false">IFERROR(MATCH($I805,ROTACAO_RDM!$B$6:$B$71,0),0)</f>
        <v>0</v>
      </c>
      <c r="K805" s="8" t="str">
        <f aca="false">IF($J805=0,"SEM CULTURA",INDEX(ROTACAO_RDM!$F$6:$F$71,$J805))</f>
        <v>SEM CULTURA</v>
      </c>
      <c r="L805" s="8" t="str">
        <f aca="false">IF($J805=0,"",INDEX(ROTACAO_RDM!$G$6:$G$71,$J805))</f>
        <v/>
      </c>
      <c r="M805" s="17" t="str">
        <f aca="false">IF($J805=0,"",INDEX(ROTACAO_RDM!$I$6:$I$71,$J805))</f>
        <v/>
      </c>
      <c r="N805" s="16" t="n">
        <f aca="false">IF($J805=0,0,MAX(0,$C805+INT(DIAS_POR_SEMANA/2)-INDEX(ROTACAO_RDM!$I$6:$I$71,$J805)))</f>
        <v>0</v>
      </c>
      <c r="O805" s="19" t="n">
        <f aca="false">IF($J805=0,0,MIN(1,$N805/MAX(1,INDEX(ROTACAO_RDM!$K$6:$K$71,$J805))))</f>
        <v>0</v>
      </c>
      <c r="P805" s="16" t="n">
        <f aca="false">IF($J805=0,0,IFERROR(MATCH(INDEX(ROTACAO_RDM!$N$6:$N$71,$J805),PARAMETROS_CULTURAS!$B$6:$B$28,0),0))</f>
        <v>0</v>
      </c>
      <c r="Q805" s="8" t="str">
        <f aca="false">IF($P805=0,"-",IF($O805&lt;=INDEX(PARAMETROS_CULTURAS!$F$6:$F$28,$P805),"INICIAL",IF($O805&lt;=INDEX(PARAMETROS_CULTURAS!$F$6:$F$28,$P805)+INDEX(PARAMETROS_CULTURAS!$G$6:$G$28,$P805),"DESENVOLVIMENTO",IF($O805&lt;=INDEX(PARAMETROS_CULTURAS!$F$6:$F$28,$P805)+INDEX(PARAMETROS_CULTURAS!$G$6:$G$28,$P805)+INDEX(PARAMETROS_CULTURAS!$H$6:$H$28,$P805),"MEDIA","FINAL"))))</f>
        <v>-</v>
      </c>
      <c r="R805" s="24" t="n">
        <f aca="false">IF($P805=0,0,IF($O805&lt;=INDEX(PARAMETROS_CULTURAS!$F$6:$F$28,$P805),INDEX(PARAMETROS_CULTURAS!$K$6:$K$28,$P805),IF($O805&lt;=INDEX(PARAMETROS_CULTURAS!$F$6:$F$28,$P805)+INDEX(PARAMETROS_CULTURAS!$G$6:$G$28,$P805),INDEX(PARAMETROS_CULTURAS!$K$6:$K$28,$P805)+(INDEX(PARAMETROS_CULTURAS!$L$6:$L$28,$P805)-INDEX(PARAMETROS_CULTURAS!$K$6:$K$28,$P805))*($O805-INDEX(PARAMETROS_CULTURAS!$F$6:$F$28,$P805))/MAX(INDEX(PARAMETROS_CULTURAS!$G$6:$G$28,$P805),0.0001),IF($O805&lt;=INDEX(PARAMETROS_CULTURAS!$F$6:$F$28,$P805)+INDEX(PARAMETROS_CULTURAS!$G$6:$G$28,$P805)+INDEX(PARAMETROS_CULTURAS!$H$6:$H$28,$P805),INDEX(PARAMETROS_CULTURAS!$L$6:$L$28,$P805),INDEX(PARAMETROS_CULTURAS!$L$6:$L$28,$P805)+(INDEX(PARAMETROS_CULTURAS!$M$6:$M$28,$P805)-INDEX(PARAMETROS_CULTURAS!$L$6:$L$28,$P805))*($O805-INDEX(PARAMETROS_CULTURAS!$F$6:$F$28,$P805)-INDEX(PARAMETROS_CULTURAS!$G$6:$G$28,$P805)-INDEX(PARAMETROS_CULTURAS!$H$6:$H$28,$P805))/MAX(INDEX(PARAMETROS_CULTURAS!$I$6:$I$28,$P805),0.0001)))))</f>
        <v>0</v>
      </c>
      <c r="S805" s="18" t="n">
        <f aca="false">IFERROR(INDEX(SEMANAS!$H$6:$H$71,MATCH($B805,SEMANAS!$B$6:$B$71,0)),0)</f>
        <v>39.2</v>
      </c>
      <c r="T805" s="18" t="n">
        <f aca="false">$R805*$S805</f>
        <v>0</v>
      </c>
      <c r="U805" s="18" t="n">
        <f aca="false">IFERROR(INDEX(SEMANAS!$I$6:$I$71,MATCH($B805,SEMANAS!$B$6:$B$71,0)),0)</f>
        <v>27.09</v>
      </c>
      <c r="V805" s="18" t="n">
        <f aca="false">IFERROR(INDEX(SEMANAS!$J$6:$J$71,MATCH($B805,SEMANAS!$B$6:$B$71,0)),0)</f>
        <v>21.672</v>
      </c>
      <c r="W805" s="18" t="n">
        <f aca="false">MAX(0,$T805-$V805)</f>
        <v>0</v>
      </c>
      <c r="X805" s="19" t="n">
        <f aca="false">IFERROR(INDEX(CADASTRO_PIVOS!$K$6:$K$41,MATCH($E805,CADASTRO_PIVOS!$B$6:$B$41,0)),EFICIENCIA_PADRAO)</f>
        <v>0.85</v>
      </c>
      <c r="Y805" s="18" t="n">
        <f aca="false">IF($X805&lt;=0,0,$W805/$X805)</f>
        <v>0</v>
      </c>
      <c r="Z805" s="16" t="n">
        <f aca="false">$Y805*$H805*MM_PARA_M3_HA</f>
        <v>0</v>
      </c>
      <c r="AA805" s="18" t="n">
        <f aca="false">IFERROR(INDEX(CADASTRO_PIVOS!$I$6:$I$41,MATCH($E805,CADASTRO_PIVOS!$B$6:$B$41,0)),0)</f>
        <v>857</v>
      </c>
      <c r="AB805" s="18" t="n">
        <f aca="false">IF($Z805&lt;=0,0,$Z805/$AA805)</f>
        <v>0</v>
      </c>
      <c r="AC805" s="16" t="n">
        <f aca="false">IFERROR(INDEX(SEMANAS!$K$6:$K$71,MATCH($B805,SEMANAS!$B$6:$B$71,0)),0)</f>
        <v>147</v>
      </c>
      <c r="AD805" s="19" t="n">
        <f aca="false">IF($AC805&lt;=0,0,$AB805/$AC805)</f>
        <v>0</v>
      </c>
      <c r="AE805" s="8" t="str">
        <f aca="false">IF($K805="SEM CULTURA","SEM CULTURA",IF($AA805&lt;=0,"DADO PENDENTE",IF($AD805&gt;LIMITE_CRITICO,"INVIAVEL",IF($AD805&gt;LIMITE_ATENCAO,"CRITICO",IF($AD805&gt;LIMITE_CONFORTAVEL,"ATENCAO","OK")))))</f>
        <v>SEM CULTURA</v>
      </c>
      <c r="AF805" s="8" t="str">
        <f aca="false">$B805&amp;"|"&amp;TEXT($AD805,"0.000000")</f>
        <v>8|0.000000</v>
      </c>
      <c r="AG805" s="18" t="n">
        <f aca="false">IF($K805="SEM CULTURA",0,$T805*$H805)</f>
        <v>0</v>
      </c>
      <c r="AH805" s="18" t="n">
        <f aca="false">IF($K805="SEM CULTURA",0,$V805*$H805)</f>
        <v>0</v>
      </c>
      <c r="AI805" s="18" t="n">
        <f aca="false">IF($K805="SEM CULTURA",0,$W805*$H805)</f>
        <v>0</v>
      </c>
      <c r="AJ805" s="18" t="n">
        <f aca="false">IF($K805="SEM CULTURA",0,$S805*$H805)</f>
        <v>0</v>
      </c>
      <c r="AK805" s="8" t="str">
        <f aca="false">$E805&amp;"|"&amp;TEXT($AD805,"0.000000")</f>
        <v>PV 114|0.000000</v>
      </c>
    </row>
    <row r="806" customFormat="false" ht="15" hidden="false" customHeight="false" outlineLevel="0" collapsed="false">
      <c r="B806" s="16" t="n">
        <v>9</v>
      </c>
      <c r="C806" s="17" t="n">
        <f aca="false">DATA_INICIO_SAFRA+($B806-1)*DIAS_POR_SEMANA</f>
        <v>46321</v>
      </c>
      <c r="D806" s="17" t="n">
        <f aca="false">$C806+DIAS_POR_SEMANA-1</f>
        <v>46327</v>
      </c>
      <c r="E806" s="15" t="s">
        <v>271</v>
      </c>
      <c r="F806" s="8" t="str">
        <f aca="false">IFERROR(INDEX(CADASTRO_PIVOS!$C$6:$C$41,MATCH($E806,CADASTRO_PIVOS!$B$6:$B$41,0)),"?")</f>
        <v>RM05</v>
      </c>
      <c r="G806" s="8" t="str">
        <f aca="false">IFERROR(INDEX(CADASTRO_PIVOS!$D$6:$D$41,MATCH($E806,CADASTRO_PIVOS!$B$6:$B$41,0)),"?")</f>
        <v>TR05</v>
      </c>
      <c r="H806" s="20" t="n">
        <f aca="false">IFERROR(INDEX(CADASTRO_PIVOS!$E$6:$E$41,MATCH($E806,CADASTRO_PIVOS!$B$6:$B$41,0)),0)</f>
        <v>119.98</v>
      </c>
      <c r="I806" s="16" t="n">
        <f aca="false">IFERROR(SUMIFS(ROTACAO_RDM!$B$6:$B$71,ROTACAO_RDM!$D$6:$D$71,$E806,ROTACAO_RDM!$I$6:$I$71,"&lt;="&amp;$C806+INT(DIAS_POR_SEMANA/2),ROTACAO_RDM!$J$6:$J$71,"&gt;="&amp;$C806+INT(DIAS_POR_SEMANA/2)),0)</f>
        <v>0</v>
      </c>
      <c r="J806" s="16" t="n">
        <f aca="false">IFERROR(MATCH($I806,ROTACAO_RDM!$B$6:$B$71,0),0)</f>
        <v>0</v>
      </c>
      <c r="K806" s="8" t="str">
        <f aca="false">IF($J806=0,"SEM CULTURA",INDEX(ROTACAO_RDM!$F$6:$F$71,$J806))</f>
        <v>SEM CULTURA</v>
      </c>
      <c r="L806" s="8" t="str">
        <f aca="false">IF($J806=0,"",INDEX(ROTACAO_RDM!$G$6:$G$71,$J806))</f>
        <v/>
      </c>
      <c r="M806" s="17" t="str">
        <f aca="false">IF($J806=0,"",INDEX(ROTACAO_RDM!$I$6:$I$71,$J806))</f>
        <v/>
      </c>
      <c r="N806" s="16" t="n">
        <f aca="false">IF($J806=0,0,MAX(0,$C806+INT(DIAS_POR_SEMANA/2)-INDEX(ROTACAO_RDM!$I$6:$I$71,$J806)))</f>
        <v>0</v>
      </c>
      <c r="O806" s="19" t="n">
        <f aca="false">IF($J806=0,0,MIN(1,$N806/MAX(1,INDEX(ROTACAO_RDM!$K$6:$K$71,$J806))))</f>
        <v>0</v>
      </c>
      <c r="P806" s="16" t="n">
        <f aca="false">IF($J806=0,0,IFERROR(MATCH(INDEX(ROTACAO_RDM!$N$6:$N$71,$J806),PARAMETROS_CULTURAS!$B$6:$B$28,0),0))</f>
        <v>0</v>
      </c>
      <c r="Q806" s="8" t="str">
        <f aca="false">IF($P806=0,"-",IF($O806&lt;=INDEX(PARAMETROS_CULTURAS!$F$6:$F$28,$P806),"INICIAL",IF($O806&lt;=INDEX(PARAMETROS_CULTURAS!$F$6:$F$28,$P806)+INDEX(PARAMETROS_CULTURAS!$G$6:$G$28,$P806),"DESENVOLVIMENTO",IF($O806&lt;=INDEX(PARAMETROS_CULTURAS!$F$6:$F$28,$P806)+INDEX(PARAMETROS_CULTURAS!$G$6:$G$28,$P806)+INDEX(PARAMETROS_CULTURAS!$H$6:$H$28,$P806),"MEDIA","FINAL"))))</f>
        <v>-</v>
      </c>
      <c r="R806" s="24" t="n">
        <f aca="false">IF($P806=0,0,IF($O806&lt;=INDEX(PARAMETROS_CULTURAS!$F$6:$F$28,$P806),INDEX(PARAMETROS_CULTURAS!$K$6:$K$28,$P806),IF($O806&lt;=INDEX(PARAMETROS_CULTURAS!$F$6:$F$28,$P806)+INDEX(PARAMETROS_CULTURAS!$G$6:$G$28,$P806),INDEX(PARAMETROS_CULTURAS!$K$6:$K$28,$P806)+(INDEX(PARAMETROS_CULTURAS!$L$6:$L$28,$P806)-INDEX(PARAMETROS_CULTURAS!$K$6:$K$28,$P806))*($O806-INDEX(PARAMETROS_CULTURAS!$F$6:$F$28,$P806))/MAX(INDEX(PARAMETROS_CULTURAS!$G$6:$G$28,$P806),0.0001),IF($O806&lt;=INDEX(PARAMETROS_CULTURAS!$F$6:$F$28,$P806)+INDEX(PARAMETROS_CULTURAS!$G$6:$G$28,$P806)+INDEX(PARAMETROS_CULTURAS!$H$6:$H$28,$P806),INDEX(PARAMETROS_CULTURAS!$L$6:$L$28,$P806),INDEX(PARAMETROS_CULTURAS!$L$6:$L$28,$P806)+(INDEX(PARAMETROS_CULTURAS!$M$6:$M$28,$P806)-INDEX(PARAMETROS_CULTURAS!$L$6:$L$28,$P806))*($O806-INDEX(PARAMETROS_CULTURAS!$F$6:$F$28,$P806)-INDEX(PARAMETROS_CULTURAS!$G$6:$G$28,$P806)-INDEX(PARAMETROS_CULTURAS!$H$6:$H$28,$P806))/MAX(INDEX(PARAMETROS_CULTURAS!$I$6:$I$28,$P806),0.0001)))))</f>
        <v>0</v>
      </c>
      <c r="S806" s="18" t="n">
        <f aca="false">IFERROR(INDEX(SEMANAS!$H$6:$H$71,MATCH($B806,SEMANAS!$B$6:$B$71,0)),0)</f>
        <v>38.5</v>
      </c>
      <c r="T806" s="18" t="n">
        <f aca="false">$R806*$S806</f>
        <v>0</v>
      </c>
      <c r="U806" s="18" t="n">
        <f aca="false">IFERROR(INDEX(SEMANAS!$I$6:$I$71,MATCH($B806,SEMANAS!$B$6:$B$71,0)),0)</f>
        <v>29.89</v>
      </c>
      <c r="V806" s="18" t="n">
        <f aca="false">IFERROR(INDEX(SEMANAS!$J$6:$J$71,MATCH($B806,SEMANAS!$B$6:$B$71,0)),0)</f>
        <v>23.912</v>
      </c>
      <c r="W806" s="18" t="n">
        <f aca="false">MAX(0,$T806-$V806)</f>
        <v>0</v>
      </c>
      <c r="X806" s="19" t="n">
        <f aca="false">IFERROR(INDEX(CADASTRO_PIVOS!$K$6:$K$41,MATCH($E806,CADASTRO_PIVOS!$B$6:$B$41,0)),EFICIENCIA_PADRAO)</f>
        <v>0.85</v>
      </c>
      <c r="Y806" s="18" t="n">
        <f aca="false">IF($X806&lt;=0,0,$W806/$X806)</f>
        <v>0</v>
      </c>
      <c r="Z806" s="16" t="n">
        <f aca="false">$Y806*$H806*MM_PARA_M3_HA</f>
        <v>0</v>
      </c>
      <c r="AA806" s="18" t="n">
        <f aca="false">IFERROR(INDEX(CADASTRO_PIVOS!$I$6:$I$41,MATCH($E806,CADASTRO_PIVOS!$B$6:$B$41,0)),0)</f>
        <v>857</v>
      </c>
      <c r="AB806" s="18" t="n">
        <f aca="false">IF($Z806&lt;=0,0,$Z806/$AA806)</f>
        <v>0</v>
      </c>
      <c r="AC806" s="16" t="n">
        <f aca="false">IFERROR(INDEX(SEMANAS!$K$6:$K$71,MATCH($B806,SEMANAS!$B$6:$B$71,0)),0)</f>
        <v>147</v>
      </c>
      <c r="AD806" s="19" t="n">
        <f aca="false">IF($AC806&lt;=0,0,$AB806/$AC806)</f>
        <v>0</v>
      </c>
      <c r="AE806" s="8" t="str">
        <f aca="false">IF($K806="SEM CULTURA","SEM CULTURA",IF($AA806&lt;=0,"DADO PENDENTE",IF($AD806&gt;LIMITE_CRITICO,"INVIAVEL",IF($AD806&gt;LIMITE_ATENCAO,"CRITICO",IF($AD806&gt;LIMITE_CONFORTAVEL,"ATENCAO","OK")))))</f>
        <v>SEM CULTURA</v>
      </c>
      <c r="AF806" s="8" t="str">
        <f aca="false">$B806&amp;"|"&amp;TEXT($AD806,"0.000000")</f>
        <v>9|0.000000</v>
      </c>
      <c r="AG806" s="18" t="n">
        <f aca="false">IF($K806="SEM CULTURA",0,$T806*$H806)</f>
        <v>0</v>
      </c>
      <c r="AH806" s="18" t="n">
        <f aca="false">IF($K806="SEM CULTURA",0,$V806*$H806)</f>
        <v>0</v>
      </c>
      <c r="AI806" s="18" t="n">
        <f aca="false">IF($K806="SEM CULTURA",0,$W806*$H806)</f>
        <v>0</v>
      </c>
      <c r="AJ806" s="18" t="n">
        <f aca="false">IF($K806="SEM CULTURA",0,$S806*$H806)</f>
        <v>0</v>
      </c>
      <c r="AK806" s="8" t="str">
        <f aca="false">$E806&amp;"|"&amp;TEXT($AD806,"0.000000")</f>
        <v>PV 114|0.000000</v>
      </c>
    </row>
    <row r="807" customFormat="false" ht="15" hidden="false" customHeight="false" outlineLevel="0" collapsed="false">
      <c r="B807" s="16" t="n">
        <v>10</v>
      </c>
      <c r="C807" s="17" t="n">
        <f aca="false">DATA_INICIO_SAFRA+($B807-1)*DIAS_POR_SEMANA</f>
        <v>46328</v>
      </c>
      <c r="D807" s="17" t="n">
        <f aca="false">$C807+DIAS_POR_SEMANA-1</f>
        <v>46334</v>
      </c>
      <c r="E807" s="15" t="s">
        <v>271</v>
      </c>
      <c r="F807" s="8" t="str">
        <f aca="false">IFERROR(INDEX(CADASTRO_PIVOS!$C$6:$C$41,MATCH($E807,CADASTRO_PIVOS!$B$6:$B$41,0)),"?")</f>
        <v>RM05</v>
      </c>
      <c r="G807" s="8" t="str">
        <f aca="false">IFERROR(INDEX(CADASTRO_PIVOS!$D$6:$D$41,MATCH($E807,CADASTRO_PIVOS!$B$6:$B$41,0)),"?")</f>
        <v>TR05</v>
      </c>
      <c r="H807" s="20" t="n">
        <f aca="false">IFERROR(INDEX(CADASTRO_PIVOS!$E$6:$E$41,MATCH($E807,CADASTRO_PIVOS!$B$6:$B$41,0)),0)</f>
        <v>119.98</v>
      </c>
      <c r="I807" s="16" t="n">
        <f aca="false">IFERROR(SUMIFS(ROTACAO_RDM!$B$6:$B$71,ROTACAO_RDM!$D$6:$D$71,$E807,ROTACAO_RDM!$I$6:$I$71,"&lt;="&amp;$C807+INT(DIAS_POR_SEMANA/2),ROTACAO_RDM!$J$6:$J$71,"&gt;="&amp;$C807+INT(DIAS_POR_SEMANA/2)),0)</f>
        <v>0</v>
      </c>
      <c r="J807" s="16" t="n">
        <f aca="false">IFERROR(MATCH($I807,ROTACAO_RDM!$B$6:$B$71,0),0)</f>
        <v>0</v>
      </c>
      <c r="K807" s="8" t="str">
        <f aca="false">IF($J807=0,"SEM CULTURA",INDEX(ROTACAO_RDM!$F$6:$F$71,$J807))</f>
        <v>SEM CULTURA</v>
      </c>
      <c r="L807" s="8" t="str">
        <f aca="false">IF($J807=0,"",INDEX(ROTACAO_RDM!$G$6:$G$71,$J807))</f>
        <v/>
      </c>
      <c r="M807" s="17" t="str">
        <f aca="false">IF($J807=0,"",INDEX(ROTACAO_RDM!$I$6:$I$71,$J807))</f>
        <v/>
      </c>
      <c r="N807" s="16" t="n">
        <f aca="false">IF($J807=0,0,MAX(0,$C807+INT(DIAS_POR_SEMANA/2)-INDEX(ROTACAO_RDM!$I$6:$I$71,$J807)))</f>
        <v>0</v>
      </c>
      <c r="O807" s="19" t="n">
        <f aca="false">IF($J807=0,0,MIN(1,$N807/MAX(1,INDEX(ROTACAO_RDM!$K$6:$K$71,$J807))))</f>
        <v>0</v>
      </c>
      <c r="P807" s="16" t="n">
        <f aca="false">IF($J807=0,0,IFERROR(MATCH(INDEX(ROTACAO_RDM!$N$6:$N$71,$J807),PARAMETROS_CULTURAS!$B$6:$B$28,0),0))</f>
        <v>0</v>
      </c>
      <c r="Q807" s="8" t="str">
        <f aca="false">IF($P807=0,"-",IF($O807&lt;=INDEX(PARAMETROS_CULTURAS!$F$6:$F$28,$P807),"INICIAL",IF($O807&lt;=INDEX(PARAMETROS_CULTURAS!$F$6:$F$28,$P807)+INDEX(PARAMETROS_CULTURAS!$G$6:$G$28,$P807),"DESENVOLVIMENTO",IF($O807&lt;=INDEX(PARAMETROS_CULTURAS!$F$6:$F$28,$P807)+INDEX(PARAMETROS_CULTURAS!$G$6:$G$28,$P807)+INDEX(PARAMETROS_CULTURAS!$H$6:$H$28,$P807),"MEDIA","FINAL"))))</f>
        <v>-</v>
      </c>
      <c r="R807" s="24" t="n">
        <f aca="false">IF($P807=0,0,IF($O807&lt;=INDEX(PARAMETROS_CULTURAS!$F$6:$F$28,$P807),INDEX(PARAMETROS_CULTURAS!$K$6:$K$28,$P807),IF($O807&lt;=INDEX(PARAMETROS_CULTURAS!$F$6:$F$28,$P807)+INDEX(PARAMETROS_CULTURAS!$G$6:$G$28,$P807),INDEX(PARAMETROS_CULTURAS!$K$6:$K$28,$P807)+(INDEX(PARAMETROS_CULTURAS!$L$6:$L$28,$P807)-INDEX(PARAMETROS_CULTURAS!$K$6:$K$28,$P807))*($O807-INDEX(PARAMETROS_CULTURAS!$F$6:$F$28,$P807))/MAX(INDEX(PARAMETROS_CULTURAS!$G$6:$G$28,$P807),0.0001),IF($O807&lt;=INDEX(PARAMETROS_CULTURAS!$F$6:$F$28,$P807)+INDEX(PARAMETROS_CULTURAS!$G$6:$G$28,$P807)+INDEX(PARAMETROS_CULTURAS!$H$6:$H$28,$P807),INDEX(PARAMETROS_CULTURAS!$L$6:$L$28,$P807),INDEX(PARAMETROS_CULTURAS!$L$6:$L$28,$P807)+(INDEX(PARAMETROS_CULTURAS!$M$6:$M$28,$P807)-INDEX(PARAMETROS_CULTURAS!$L$6:$L$28,$P807))*($O807-INDEX(PARAMETROS_CULTURAS!$F$6:$F$28,$P807)-INDEX(PARAMETROS_CULTURAS!$G$6:$G$28,$P807)-INDEX(PARAMETROS_CULTURAS!$H$6:$H$28,$P807))/MAX(INDEX(PARAMETROS_CULTURAS!$I$6:$I$28,$P807),0.0001)))))</f>
        <v>0</v>
      </c>
      <c r="S807" s="18" t="n">
        <f aca="false">IFERROR(INDEX(SEMANAS!$H$6:$H$71,MATCH($B807,SEMANAS!$B$6:$B$71,0)),0)</f>
        <v>34.3</v>
      </c>
      <c r="T807" s="18" t="n">
        <f aca="false">$R807*$S807</f>
        <v>0</v>
      </c>
      <c r="U807" s="18" t="n">
        <f aca="false">IFERROR(INDEX(SEMANAS!$I$6:$I$71,MATCH($B807,SEMANAS!$B$6:$B$71,0)),0)</f>
        <v>46.69</v>
      </c>
      <c r="V807" s="18" t="n">
        <f aca="false">IFERROR(INDEX(SEMANAS!$J$6:$J$71,MATCH($B807,SEMANAS!$B$6:$B$71,0)),0)</f>
        <v>37.352</v>
      </c>
      <c r="W807" s="18" t="n">
        <f aca="false">MAX(0,$T807-$V807)</f>
        <v>0</v>
      </c>
      <c r="X807" s="19" t="n">
        <f aca="false">IFERROR(INDEX(CADASTRO_PIVOS!$K$6:$K$41,MATCH($E807,CADASTRO_PIVOS!$B$6:$B$41,0)),EFICIENCIA_PADRAO)</f>
        <v>0.85</v>
      </c>
      <c r="Y807" s="18" t="n">
        <f aca="false">IF($X807&lt;=0,0,$W807/$X807)</f>
        <v>0</v>
      </c>
      <c r="Z807" s="16" t="n">
        <f aca="false">$Y807*$H807*MM_PARA_M3_HA</f>
        <v>0</v>
      </c>
      <c r="AA807" s="18" t="n">
        <f aca="false">IFERROR(INDEX(CADASTRO_PIVOS!$I$6:$I$41,MATCH($E807,CADASTRO_PIVOS!$B$6:$B$41,0)),0)</f>
        <v>857</v>
      </c>
      <c r="AB807" s="18" t="n">
        <f aca="false">IF($Z807&lt;=0,0,$Z807/$AA807)</f>
        <v>0</v>
      </c>
      <c r="AC807" s="16" t="n">
        <f aca="false">IFERROR(INDEX(SEMANAS!$K$6:$K$71,MATCH($B807,SEMANAS!$B$6:$B$71,0)),0)</f>
        <v>147</v>
      </c>
      <c r="AD807" s="19" t="n">
        <f aca="false">IF($AC807&lt;=0,0,$AB807/$AC807)</f>
        <v>0</v>
      </c>
      <c r="AE807" s="8" t="str">
        <f aca="false">IF($K807="SEM CULTURA","SEM CULTURA",IF($AA807&lt;=0,"DADO PENDENTE",IF($AD807&gt;LIMITE_CRITICO,"INVIAVEL",IF($AD807&gt;LIMITE_ATENCAO,"CRITICO",IF($AD807&gt;LIMITE_CONFORTAVEL,"ATENCAO","OK")))))</f>
        <v>SEM CULTURA</v>
      </c>
      <c r="AF807" s="8" t="str">
        <f aca="false">$B807&amp;"|"&amp;TEXT($AD807,"0.000000")</f>
        <v>10|0.000000</v>
      </c>
      <c r="AG807" s="18" t="n">
        <f aca="false">IF($K807="SEM CULTURA",0,$T807*$H807)</f>
        <v>0</v>
      </c>
      <c r="AH807" s="18" t="n">
        <f aca="false">IF($K807="SEM CULTURA",0,$V807*$H807)</f>
        <v>0</v>
      </c>
      <c r="AI807" s="18" t="n">
        <f aca="false">IF($K807="SEM CULTURA",0,$W807*$H807)</f>
        <v>0</v>
      </c>
      <c r="AJ807" s="18" t="n">
        <f aca="false">IF($K807="SEM CULTURA",0,$S807*$H807)</f>
        <v>0</v>
      </c>
      <c r="AK807" s="8" t="str">
        <f aca="false">$E807&amp;"|"&amp;TEXT($AD807,"0.000000")</f>
        <v>PV 114|0.000000</v>
      </c>
    </row>
    <row r="808" customFormat="false" ht="15" hidden="false" customHeight="false" outlineLevel="0" collapsed="false">
      <c r="B808" s="16" t="n">
        <v>11</v>
      </c>
      <c r="C808" s="17" t="n">
        <f aca="false">DATA_INICIO_SAFRA+($B808-1)*DIAS_POR_SEMANA</f>
        <v>46335</v>
      </c>
      <c r="D808" s="17" t="n">
        <f aca="false">$C808+DIAS_POR_SEMANA-1</f>
        <v>46341</v>
      </c>
      <c r="E808" s="15" t="s">
        <v>271</v>
      </c>
      <c r="F808" s="8" t="str">
        <f aca="false">IFERROR(INDEX(CADASTRO_PIVOS!$C$6:$C$41,MATCH($E808,CADASTRO_PIVOS!$B$6:$B$41,0)),"?")</f>
        <v>RM05</v>
      </c>
      <c r="G808" s="8" t="str">
        <f aca="false">IFERROR(INDEX(CADASTRO_PIVOS!$D$6:$D$41,MATCH($E808,CADASTRO_PIVOS!$B$6:$B$41,0)),"?")</f>
        <v>TR05</v>
      </c>
      <c r="H808" s="20" t="n">
        <f aca="false">IFERROR(INDEX(CADASTRO_PIVOS!$E$6:$E$41,MATCH($E808,CADASTRO_PIVOS!$B$6:$B$41,0)),0)</f>
        <v>119.98</v>
      </c>
      <c r="I808" s="16" t="n">
        <f aca="false">IFERROR(SUMIFS(ROTACAO_RDM!$B$6:$B$71,ROTACAO_RDM!$D$6:$D$71,$E808,ROTACAO_RDM!$I$6:$I$71,"&lt;="&amp;$C808+INT(DIAS_POR_SEMANA/2),ROTACAO_RDM!$J$6:$J$71,"&gt;="&amp;$C808+INT(DIAS_POR_SEMANA/2)),0)</f>
        <v>0</v>
      </c>
      <c r="J808" s="16" t="n">
        <f aca="false">IFERROR(MATCH($I808,ROTACAO_RDM!$B$6:$B$71,0),0)</f>
        <v>0</v>
      </c>
      <c r="K808" s="8" t="str">
        <f aca="false">IF($J808=0,"SEM CULTURA",INDEX(ROTACAO_RDM!$F$6:$F$71,$J808))</f>
        <v>SEM CULTURA</v>
      </c>
      <c r="L808" s="8" t="str">
        <f aca="false">IF($J808=0,"",INDEX(ROTACAO_RDM!$G$6:$G$71,$J808))</f>
        <v/>
      </c>
      <c r="M808" s="17" t="str">
        <f aca="false">IF($J808=0,"",INDEX(ROTACAO_RDM!$I$6:$I$71,$J808))</f>
        <v/>
      </c>
      <c r="N808" s="16" t="n">
        <f aca="false">IF($J808=0,0,MAX(0,$C808+INT(DIAS_POR_SEMANA/2)-INDEX(ROTACAO_RDM!$I$6:$I$71,$J808)))</f>
        <v>0</v>
      </c>
      <c r="O808" s="19" t="n">
        <f aca="false">IF($J808=0,0,MIN(1,$N808/MAX(1,INDEX(ROTACAO_RDM!$K$6:$K$71,$J808))))</f>
        <v>0</v>
      </c>
      <c r="P808" s="16" t="n">
        <f aca="false">IF($J808=0,0,IFERROR(MATCH(INDEX(ROTACAO_RDM!$N$6:$N$71,$J808),PARAMETROS_CULTURAS!$B$6:$B$28,0),0))</f>
        <v>0</v>
      </c>
      <c r="Q808" s="8" t="str">
        <f aca="false">IF($P808=0,"-",IF($O808&lt;=INDEX(PARAMETROS_CULTURAS!$F$6:$F$28,$P808),"INICIAL",IF($O808&lt;=INDEX(PARAMETROS_CULTURAS!$F$6:$F$28,$P808)+INDEX(PARAMETROS_CULTURAS!$G$6:$G$28,$P808),"DESENVOLVIMENTO",IF($O808&lt;=INDEX(PARAMETROS_CULTURAS!$F$6:$F$28,$P808)+INDEX(PARAMETROS_CULTURAS!$G$6:$G$28,$P808)+INDEX(PARAMETROS_CULTURAS!$H$6:$H$28,$P808),"MEDIA","FINAL"))))</f>
        <v>-</v>
      </c>
      <c r="R808" s="24" t="n">
        <f aca="false">IF($P808=0,0,IF($O808&lt;=INDEX(PARAMETROS_CULTURAS!$F$6:$F$28,$P808),INDEX(PARAMETROS_CULTURAS!$K$6:$K$28,$P808),IF($O808&lt;=INDEX(PARAMETROS_CULTURAS!$F$6:$F$28,$P808)+INDEX(PARAMETROS_CULTURAS!$G$6:$G$28,$P808),INDEX(PARAMETROS_CULTURAS!$K$6:$K$28,$P808)+(INDEX(PARAMETROS_CULTURAS!$L$6:$L$28,$P808)-INDEX(PARAMETROS_CULTURAS!$K$6:$K$28,$P808))*($O808-INDEX(PARAMETROS_CULTURAS!$F$6:$F$28,$P808))/MAX(INDEX(PARAMETROS_CULTURAS!$G$6:$G$28,$P808),0.0001),IF($O808&lt;=INDEX(PARAMETROS_CULTURAS!$F$6:$F$28,$P808)+INDEX(PARAMETROS_CULTURAS!$G$6:$G$28,$P808)+INDEX(PARAMETROS_CULTURAS!$H$6:$H$28,$P808),INDEX(PARAMETROS_CULTURAS!$L$6:$L$28,$P808),INDEX(PARAMETROS_CULTURAS!$L$6:$L$28,$P808)+(INDEX(PARAMETROS_CULTURAS!$M$6:$M$28,$P808)-INDEX(PARAMETROS_CULTURAS!$L$6:$L$28,$P808))*($O808-INDEX(PARAMETROS_CULTURAS!$F$6:$F$28,$P808)-INDEX(PARAMETROS_CULTURAS!$G$6:$G$28,$P808)-INDEX(PARAMETROS_CULTURAS!$H$6:$H$28,$P808))/MAX(INDEX(PARAMETROS_CULTURAS!$I$6:$I$28,$P808),0.0001)))))</f>
        <v>0</v>
      </c>
      <c r="S808" s="18" t="n">
        <f aca="false">IFERROR(INDEX(SEMANAS!$H$6:$H$71,MATCH($B808,SEMANAS!$B$6:$B$71,0)),0)</f>
        <v>34.3</v>
      </c>
      <c r="T808" s="18" t="n">
        <f aca="false">$R808*$S808</f>
        <v>0</v>
      </c>
      <c r="U808" s="18" t="n">
        <f aca="false">IFERROR(INDEX(SEMANAS!$I$6:$I$71,MATCH($B808,SEMANAS!$B$6:$B$71,0)),0)</f>
        <v>46.69</v>
      </c>
      <c r="V808" s="18" t="n">
        <f aca="false">IFERROR(INDEX(SEMANAS!$J$6:$J$71,MATCH($B808,SEMANAS!$B$6:$B$71,0)),0)</f>
        <v>37.352</v>
      </c>
      <c r="W808" s="18" t="n">
        <f aca="false">MAX(0,$T808-$V808)</f>
        <v>0</v>
      </c>
      <c r="X808" s="19" t="n">
        <f aca="false">IFERROR(INDEX(CADASTRO_PIVOS!$K$6:$K$41,MATCH($E808,CADASTRO_PIVOS!$B$6:$B$41,0)),EFICIENCIA_PADRAO)</f>
        <v>0.85</v>
      </c>
      <c r="Y808" s="18" t="n">
        <f aca="false">IF($X808&lt;=0,0,$W808/$X808)</f>
        <v>0</v>
      </c>
      <c r="Z808" s="16" t="n">
        <f aca="false">$Y808*$H808*MM_PARA_M3_HA</f>
        <v>0</v>
      </c>
      <c r="AA808" s="18" t="n">
        <f aca="false">IFERROR(INDEX(CADASTRO_PIVOS!$I$6:$I$41,MATCH($E808,CADASTRO_PIVOS!$B$6:$B$41,0)),0)</f>
        <v>857</v>
      </c>
      <c r="AB808" s="18" t="n">
        <f aca="false">IF($Z808&lt;=0,0,$Z808/$AA808)</f>
        <v>0</v>
      </c>
      <c r="AC808" s="16" t="n">
        <f aca="false">IFERROR(INDEX(SEMANAS!$K$6:$K$71,MATCH($B808,SEMANAS!$B$6:$B$71,0)),0)</f>
        <v>147</v>
      </c>
      <c r="AD808" s="19" t="n">
        <f aca="false">IF($AC808&lt;=0,0,$AB808/$AC808)</f>
        <v>0</v>
      </c>
      <c r="AE808" s="8" t="str">
        <f aca="false">IF($K808="SEM CULTURA","SEM CULTURA",IF($AA808&lt;=0,"DADO PENDENTE",IF($AD808&gt;LIMITE_CRITICO,"INVIAVEL",IF($AD808&gt;LIMITE_ATENCAO,"CRITICO",IF($AD808&gt;LIMITE_CONFORTAVEL,"ATENCAO","OK")))))</f>
        <v>SEM CULTURA</v>
      </c>
      <c r="AF808" s="8" t="str">
        <f aca="false">$B808&amp;"|"&amp;TEXT($AD808,"0.000000")</f>
        <v>11|0.000000</v>
      </c>
      <c r="AG808" s="18" t="n">
        <f aca="false">IF($K808="SEM CULTURA",0,$T808*$H808)</f>
        <v>0</v>
      </c>
      <c r="AH808" s="18" t="n">
        <f aca="false">IF($K808="SEM CULTURA",0,$V808*$H808)</f>
        <v>0</v>
      </c>
      <c r="AI808" s="18" t="n">
        <f aca="false">IF($K808="SEM CULTURA",0,$W808*$H808)</f>
        <v>0</v>
      </c>
      <c r="AJ808" s="18" t="n">
        <f aca="false">IF($K808="SEM CULTURA",0,$S808*$H808)</f>
        <v>0</v>
      </c>
      <c r="AK808" s="8" t="str">
        <f aca="false">$E808&amp;"|"&amp;TEXT($AD808,"0.000000")</f>
        <v>PV 114|0.000000</v>
      </c>
    </row>
    <row r="809" customFormat="false" ht="15" hidden="false" customHeight="false" outlineLevel="0" collapsed="false">
      <c r="B809" s="16" t="n">
        <v>12</v>
      </c>
      <c r="C809" s="17" t="n">
        <f aca="false">DATA_INICIO_SAFRA+($B809-1)*DIAS_POR_SEMANA</f>
        <v>46342</v>
      </c>
      <c r="D809" s="17" t="n">
        <f aca="false">$C809+DIAS_POR_SEMANA-1</f>
        <v>46348</v>
      </c>
      <c r="E809" s="15" t="s">
        <v>271</v>
      </c>
      <c r="F809" s="8" t="str">
        <f aca="false">IFERROR(INDEX(CADASTRO_PIVOS!$C$6:$C$41,MATCH($E809,CADASTRO_PIVOS!$B$6:$B$41,0)),"?")</f>
        <v>RM05</v>
      </c>
      <c r="G809" s="8" t="str">
        <f aca="false">IFERROR(INDEX(CADASTRO_PIVOS!$D$6:$D$41,MATCH($E809,CADASTRO_PIVOS!$B$6:$B$41,0)),"?")</f>
        <v>TR05</v>
      </c>
      <c r="H809" s="20" t="n">
        <f aca="false">IFERROR(INDEX(CADASTRO_PIVOS!$E$6:$E$41,MATCH($E809,CADASTRO_PIVOS!$B$6:$B$41,0)),0)</f>
        <v>119.98</v>
      </c>
      <c r="I809" s="16" t="n">
        <f aca="false">IFERROR(SUMIFS(ROTACAO_RDM!$B$6:$B$71,ROTACAO_RDM!$D$6:$D$71,$E809,ROTACAO_RDM!$I$6:$I$71,"&lt;="&amp;$C809+INT(DIAS_POR_SEMANA/2),ROTACAO_RDM!$J$6:$J$71,"&gt;="&amp;$C809+INT(DIAS_POR_SEMANA/2)),0)</f>
        <v>0</v>
      </c>
      <c r="J809" s="16" t="n">
        <f aca="false">IFERROR(MATCH($I809,ROTACAO_RDM!$B$6:$B$71,0),0)</f>
        <v>0</v>
      </c>
      <c r="K809" s="8" t="str">
        <f aca="false">IF($J809=0,"SEM CULTURA",INDEX(ROTACAO_RDM!$F$6:$F$71,$J809))</f>
        <v>SEM CULTURA</v>
      </c>
      <c r="L809" s="8" t="str">
        <f aca="false">IF($J809=0,"",INDEX(ROTACAO_RDM!$G$6:$G$71,$J809))</f>
        <v/>
      </c>
      <c r="M809" s="17" t="str">
        <f aca="false">IF($J809=0,"",INDEX(ROTACAO_RDM!$I$6:$I$71,$J809))</f>
        <v/>
      </c>
      <c r="N809" s="16" t="n">
        <f aca="false">IF($J809=0,0,MAX(0,$C809+INT(DIAS_POR_SEMANA/2)-INDEX(ROTACAO_RDM!$I$6:$I$71,$J809)))</f>
        <v>0</v>
      </c>
      <c r="O809" s="19" t="n">
        <f aca="false">IF($J809=0,0,MIN(1,$N809/MAX(1,INDEX(ROTACAO_RDM!$K$6:$K$71,$J809))))</f>
        <v>0</v>
      </c>
      <c r="P809" s="16" t="n">
        <f aca="false">IF($J809=0,0,IFERROR(MATCH(INDEX(ROTACAO_RDM!$N$6:$N$71,$J809),PARAMETROS_CULTURAS!$B$6:$B$28,0),0))</f>
        <v>0</v>
      </c>
      <c r="Q809" s="8" t="str">
        <f aca="false">IF($P809=0,"-",IF($O809&lt;=INDEX(PARAMETROS_CULTURAS!$F$6:$F$28,$P809),"INICIAL",IF($O809&lt;=INDEX(PARAMETROS_CULTURAS!$F$6:$F$28,$P809)+INDEX(PARAMETROS_CULTURAS!$G$6:$G$28,$P809),"DESENVOLVIMENTO",IF($O809&lt;=INDEX(PARAMETROS_CULTURAS!$F$6:$F$28,$P809)+INDEX(PARAMETROS_CULTURAS!$G$6:$G$28,$P809)+INDEX(PARAMETROS_CULTURAS!$H$6:$H$28,$P809),"MEDIA","FINAL"))))</f>
        <v>-</v>
      </c>
      <c r="R809" s="24" t="n">
        <f aca="false">IF($P809=0,0,IF($O809&lt;=INDEX(PARAMETROS_CULTURAS!$F$6:$F$28,$P809),INDEX(PARAMETROS_CULTURAS!$K$6:$K$28,$P809),IF($O809&lt;=INDEX(PARAMETROS_CULTURAS!$F$6:$F$28,$P809)+INDEX(PARAMETROS_CULTURAS!$G$6:$G$28,$P809),INDEX(PARAMETROS_CULTURAS!$K$6:$K$28,$P809)+(INDEX(PARAMETROS_CULTURAS!$L$6:$L$28,$P809)-INDEX(PARAMETROS_CULTURAS!$K$6:$K$28,$P809))*($O809-INDEX(PARAMETROS_CULTURAS!$F$6:$F$28,$P809))/MAX(INDEX(PARAMETROS_CULTURAS!$G$6:$G$28,$P809),0.0001),IF($O809&lt;=INDEX(PARAMETROS_CULTURAS!$F$6:$F$28,$P809)+INDEX(PARAMETROS_CULTURAS!$G$6:$G$28,$P809)+INDEX(PARAMETROS_CULTURAS!$H$6:$H$28,$P809),INDEX(PARAMETROS_CULTURAS!$L$6:$L$28,$P809),INDEX(PARAMETROS_CULTURAS!$L$6:$L$28,$P809)+(INDEX(PARAMETROS_CULTURAS!$M$6:$M$28,$P809)-INDEX(PARAMETROS_CULTURAS!$L$6:$L$28,$P809))*($O809-INDEX(PARAMETROS_CULTURAS!$F$6:$F$28,$P809)-INDEX(PARAMETROS_CULTURAS!$G$6:$G$28,$P809)-INDEX(PARAMETROS_CULTURAS!$H$6:$H$28,$P809))/MAX(INDEX(PARAMETROS_CULTURAS!$I$6:$I$28,$P809),0.0001)))))</f>
        <v>0</v>
      </c>
      <c r="S809" s="18" t="n">
        <f aca="false">IFERROR(INDEX(SEMANAS!$H$6:$H$71,MATCH($B809,SEMANAS!$B$6:$B$71,0)),0)</f>
        <v>34.3</v>
      </c>
      <c r="T809" s="18" t="n">
        <f aca="false">$R809*$S809</f>
        <v>0</v>
      </c>
      <c r="U809" s="18" t="n">
        <f aca="false">IFERROR(INDEX(SEMANAS!$I$6:$I$71,MATCH($B809,SEMANAS!$B$6:$B$71,0)),0)</f>
        <v>46.69</v>
      </c>
      <c r="V809" s="18" t="n">
        <f aca="false">IFERROR(INDEX(SEMANAS!$J$6:$J$71,MATCH($B809,SEMANAS!$B$6:$B$71,0)),0)</f>
        <v>37.352</v>
      </c>
      <c r="W809" s="18" t="n">
        <f aca="false">MAX(0,$T809-$V809)</f>
        <v>0</v>
      </c>
      <c r="X809" s="19" t="n">
        <f aca="false">IFERROR(INDEX(CADASTRO_PIVOS!$K$6:$K$41,MATCH($E809,CADASTRO_PIVOS!$B$6:$B$41,0)),EFICIENCIA_PADRAO)</f>
        <v>0.85</v>
      </c>
      <c r="Y809" s="18" t="n">
        <f aca="false">IF($X809&lt;=0,0,$W809/$X809)</f>
        <v>0</v>
      </c>
      <c r="Z809" s="16" t="n">
        <f aca="false">$Y809*$H809*MM_PARA_M3_HA</f>
        <v>0</v>
      </c>
      <c r="AA809" s="18" t="n">
        <f aca="false">IFERROR(INDEX(CADASTRO_PIVOS!$I$6:$I$41,MATCH($E809,CADASTRO_PIVOS!$B$6:$B$41,0)),0)</f>
        <v>857</v>
      </c>
      <c r="AB809" s="18" t="n">
        <f aca="false">IF($Z809&lt;=0,0,$Z809/$AA809)</f>
        <v>0</v>
      </c>
      <c r="AC809" s="16" t="n">
        <f aca="false">IFERROR(INDEX(SEMANAS!$K$6:$K$71,MATCH($B809,SEMANAS!$B$6:$B$71,0)),0)</f>
        <v>147</v>
      </c>
      <c r="AD809" s="19" t="n">
        <f aca="false">IF($AC809&lt;=0,0,$AB809/$AC809)</f>
        <v>0</v>
      </c>
      <c r="AE809" s="8" t="str">
        <f aca="false">IF($K809="SEM CULTURA","SEM CULTURA",IF($AA809&lt;=0,"DADO PENDENTE",IF($AD809&gt;LIMITE_CRITICO,"INVIAVEL",IF($AD809&gt;LIMITE_ATENCAO,"CRITICO",IF($AD809&gt;LIMITE_CONFORTAVEL,"ATENCAO","OK")))))</f>
        <v>SEM CULTURA</v>
      </c>
      <c r="AF809" s="8" t="str">
        <f aca="false">$B809&amp;"|"&amp;TEXT($AD809,"0.000000")</f>
        <v>12|0.000000</v>
      </c>
      <c r="AG809" s="18" t="n">
        <f aca="false">IF($K809="SEM CULTURA",0,$T809*$H809)</f>
        <v>0</v>
      </c>
      <c r="AH809" s="18" t="n">
        <f aca="false">IF($K809="SEM CULTURA",0,$V809*$H809)</f>
        <v>0</v>
      </c>
      <c r="AI809" s="18" t="n">
        <f aca="false">IF($K809="SEM CULTURA",0,$W809*$H809)</f>
        <v>0</v>
      </c>
      <c r="AJ809" s="18" t="n">
        <f aca="false">IF($K809="SEM CULTURA",0,$S809*$H809)</f>
        <v>0</v>
      </c>
      <c r="AK809" s="8" t="str">
        <f aca="false">$E809&amp;"|"&amp;TEXT($AD809,"0.000000")</f>
        <v>PV 114|0.000000</v>
      </c>
    </row>
    <row r="810" customFormat="false" ht="15" hidden="false" customHeight="false" outlineLevel="0" collapsed="false">
      <c r="B810" s="16" t="n">
        <v>13</v>
      </c>
      <c r="C810" s="17" t="n">
        <f aca="false">DATA_INICIO_SAFRA+($B810-1)*DIAS_POR_SEMANA</f>
        <v>46349</v>
      </c>
      <c r="D810" s="17" t="n">
        <f aca="false">$C810+DIAS_POR_SEMANA-1</f>
        <v>46355</v>
      </c>
      <c r="E810" s="15" t="s">
        <v>271</v>
      </c>
      <c r="F810" s="8" t="str">
        <f aca="false">IFERROR(INDEX(CADASTRO_PIVOS!$C$6:$C$41,MATCH($E810,CADASTRO_PIVOS!$B$6:$B$41,0)),"?")</f>
        <v>RM05</v>
      </c>
      <c r="G810" s="8" t="str">
        <f aca="false">IFERROR(INDEX(CADASTRO_PIVOS!$D$6:$D$41,MATCH($E810,CADASTRO_PIVOS!$B$6:$B$41,0)),"?")</f>
        <v>TR05</v>
      </c>
      <c r="H810" s="20" t="n">
        <f aca="false">IFERROR(INDEX(CADASTRO_PIVOS!$E$6:$E$41,MATCH($E810,CADASTRO_PIVOS!$B$6:$B$41,0)),0)</f>
        <v>119.98</v>
      </c>
      <c r="I810" s="16" t="n">
        <f aca="false">IFERROR(SUMIFS(ROTACAO_RDM!$B$6:$B$71,ROTACAO_RDM!$D$6:$D$71,$E810,ROTACAO_RDM!$I$6:$I$71,"&lt;="&amp;$C810+INT(DIAS_POR_SEMANA/2),ROTACAO_RDM!$J$6:$J$71,"&gt;="&amp;$C810+INT(DIAS_POR_SEMANA/2)),0)</f>
        <v>0</v>
      </c>
      <c r="J810" s="16" t="n">
        <f aca="false">IFERROR(MATCH($I810,ROTACAO_RDM!$B$6:$B$71,0),0)</f>
        <v>0</v>
      </c>
      <c r="K810" s="8" t="str">
        <f aca="false">IF($J810=0,"SEM CULTURA",INDEX(ROTACAO_RDM!$F$6:$F$71,$J810))</f>
        <v>SEM CULTURA</v>
      </c>
      <c r="L810" s="8" t="str">
        <f aca="false">IF($J810=0,"",INDEX(ROTACAO_RDM!$G$6:$G$71,$J810))</f>
        <v/>
      </c>
      <c r="M810" s="17" t="str">
        <f aca="false">IF($J810=0,"",INDEX(ROTACAO_RDM!$I$6:$I$71,$J810))</f>
        <v/>
      </c>
      <c r="N810" s="16" t="n">
        <f aca="false">IF($J810=0,0,MAX(0,$C810+INT(DIAS_POR_SEMANA/2)-INDEX(ROTACAO_RDM!$I$6:$I$71,$J810)))</f>
        <v>0</v>
      </c>
      <c r="O810" s="19" t="n">
        <f aca="false">IF($J810=0,0,MIN(1,$N810/MAX(1,INDEX(ROTACAO_RDM!$K$6:$K$71,$J810))))</f>
        <v>0</v>
      </c>
      <c r="P810" s="16" t="n">
        <f aca="false">IF($J810=0,0,IFERROR(MATCH(INDEX(ROTACAO_RDM!$N$6:$N$71,$J810),PARAMETROS_CULTURAS!$B$6:$B$28,0),0))</f>
        <v>0</v>
      </c>
      <c r="Q810" s="8" t="str">
        <f aca="false">IF($P810=0,"-",IF($O810&lt;=INDEX(PARAMETROS_CULTURAS!$F$6:$F$28,$P810),"INICIAL",IF($O810&lt;=INDEX(PARAMETROS_CULTURAS!$F$6:$F$28,$P810)+INDEX(PARAMETROS_CULTURAS!$G$6:$G$28,$P810),"DESENVOLVIMENTO",IF($O810&lt;=INDEX(PARAMETROS_CULTURAS!$F$6:$F$28,$P810)+INDEX(PARAMETROS_CULTURAS!$G$6:$G$28,$P810)+INDEX(PARAMETROS_CULTURAS!$H$6:$H$28,$P810),"MEDIA","FINAL"))))</f>
        <v>-</v>
      </c>
      <c r="R810" s="24" t="n">
        <f aca="false">IF($P810=0,0,IF($O810&lt;=INDEX(PARAMETROS_CULTURAS!$F$6:$F$28,$P810),INDEX(PARAMETROS_CULTURAS!$K$6:$K$28,$P810),IF($O810&lt;=INDEX(PARAMETROS_CULTURAS!$F$6:$F$28,$P810)+INDEX(PARAMETROS_CULTURAS!$G$6:$G$28,$P810),INDEX(PARAMETROS_CULTURAS!$K$6:$K$28,$P810)+(INDEX(PARAMETROS_CULTURAS!$L$6:$L$28,$P810)-INDEX(PARAMETROS_CULTURAS!$K$6:$K$28,$P810))*($O810-INDEX(PARAMETROS_CULTURAS!$F$6:$F$28,$P810))/MAX(INDEX(PARAMETROS_CULTURAS!$G$6:$G$28,$P810),0.0001),IF($O810&lt;=INDEX(PARAMETROS_CULTURAS!$F$6:$F$28,$P810)+INDEX(PARAMETROS_CULTURAS!$G$6:$G$28,$P810)+INDEX(PARAMETROS_CULTURAS!$H$6:$H$28,$P810),INDEX(PARAMETROS_CULTURAS!$L$6:$L$28,$P810),INDEX(PARAMETROS_CULTURAS!$L$6:$L$28,$P810)+(INDEX(PARAMETROS_CULTURAS!$M$6:$M$28,$P810)-INDEX(PARAMETROS_CULTURAS!$L$6:$L$28,$P810))*($O810-INDEX(PARAMETROS_CULTURAS!$F$6:$F$28,$P810)-INDEX(PARAMETROS_CULTURAS!$G$6:$G$28,$P810)-INDEX(PARAMETROS_CULTURAS!$H$6:$H$28,$P810))/MAX(INDEX(PARAMETROS_CULTURAS!$I$6:$I$28,$P810),0.0001)))))</f>
        <v>0</v>
      </c>
      <c r="S810" s="18" t="n">
        <f aca="false">IFERROR(INDEX(SEMANAS!$H$6:$H$71,MATCH($B810,SEMANAS!$B$6:$B$71,0)),0)</f>
        <v>34.3</v>
      </c>
      <c r="T810" s="18" t="n">
        <f aca="false">$R810*$S810</f>
        <v>0</v>
      </c>
      <c r="U810" s="18" t="n">
        <f aca="false">IFERROR(INDEX(SEMANAS!$I$6:$I$71,MATCH($B810,SEMANAS!$B$6:$B$71,0)),0)</f>
        <v>46.69</v>
      </c>
      <c r="V810" s="18" t="n">
        <f aca="false">IFERROR(INDEX(SEMANAS!$J$6:$J$71,MATCH($B810,SEMANAS!$B$6:$B$71,0)),0)</f>
        <v>37.352</v>
      </c>
      <c r="W810" s="18" t="n">
        <f aca="false">MAX(0,$T810-$V810)</f>
        <v>0</v>
      </c>
      <c r="X810" s="19" t="n">
        <f aca="false">IFERROR(INDEX(CADASTRO_PIVOS!$K$6:$K$41,MATCH($E810,CADASTRO_PIVOS!$B$6:$B$41,0)),EFICIENCIA_PADRAO)</f>
        <v>0.85</v>
      </c>
      <c r="Y810" s="18" t="n">
        <f aca="false">IF($X810&lt;=0,0,$W810/$X810)</f>
        <v>0</v>
      </c>
      <c r="Z810" s="16" t="n">
        <f aca="false">$Y810*$H810*MM_PARA_M3_HA</f>
        <v>0</v>
      </c>
      <c r="AA810" s="18" t="n">
        <f aca="false">IFERROR(INDEX(CADASTRO_PIVOS!$I$6:$I$41,MATCH($E810,CADASTRO_PIVOS!$B$6:$B$41,0)),0)</f>
        <v>857</v>
      </c>
      <c r="AB810" s="18" t="n">
        <f aca="false">IF($Z810&lt;=0,0,$Z810/$AA810)</f>
        <v>0</v>
      </c>
      <c r="AC810" s="16" t="n">
        <f aca="false">IFERROR(INDEX(SEMANAS!$K$6:$K$71,MATCH($B810,SEMANAS!$B$6:$B$71,0)),0)</f>
        <v>147</v>
      </c>
      <c r="AD810" s="19" t="n">
        <f aca="false">IF($AC810&lt;=0,0,$AB810/$AC810)</f>
        <v>0</v>
      </c>
      <c r="AE810" s="8" t="str">
        <f aca="false">IF($K810="SEM CULTURA","SEM CULTURA",IF($AA810&lt;=0,"DADO PENDENTE",IF($AD810&gt;LIMITE_CRITICO,"INVIAVEL",IF($AD810&gt;LIMITE_ATENCAO,"CRITICO",IF($AD810&gt;LIMITE_CONFORTAVEL,"ATENCAO","OK")))))</f>
        <v>SEM CULTURA</v>
      </c>
      <c r="AF810" s="8" t="str">
        <f aca="false">$B810&amp;"|"&amp;TEXT($AD810,"0.000000")</f>
        <v>13|0.000000</v>
      </c>
      <c r="AG810" s="18" t="n">
        <f aca="false">IF($K810="SEM CULTURA",0,$T810*$H810)</f>
        <v>0</v>
      </c>
      <c r="AH810" s="18" t="n">
        <f aca="false">IF($K810="SEM CULTURA",0,$V810*$H810)</f>
        <v>0</v>
      </c>
      <c r="AI810" s="18" t="n">
        <f aca="false">IF($K810="SEM CULTURA",0,$W810*$H810)</f>
        <v>0</v>
      </c>
      <c r="AJ810" s="18" t="n">
        <f aca="false">IF($K810="SEM CULTURA",0,$S810*$H810)</f>
        <v>0</v>
      </c>
      <c r="AK810" s="8" t="str">
        <f aca="false">$E810&amp;"|"&amp;TEXT($AD810,"0.000000")</f>
        <v>PV 114|0.000000</v>
      </c>
    </row>
    <row r="811" customFormat="false" ht="15" hidden="false" customHeight="false" outlineLevel="0" collapsed="false">
      <c r="B811" s="16" t="n">
        <v>14</v>
      </c>
      <c r="C811" s="17" t="n">
        <f aca="false">DATA_INICIO_SAFRA+($B811-1)*DIAS_POR_SEMANA</f>
        <v>46356</v>
      </c>
      <c r="D811" s="17" t="n">
        <f aca="false">$C811+DIAS_POR_SEMANA-1</f>
        <v>46362</v>
      </c>
      <c r="E811" s="15" t="s">
        <v>271</v>
      </c>
      <c r="F811" s="8" t="str">
        <f aca="false">IFERROR(INDEX(CADASTRO_PIVOS!$C$6:$C$41,MATCH($E811,CADASTRO_PIVOS!$B$6:$B$41,0)),"?")</f>
        <v>RM05</v>
      </c>
      <c r="G811" s="8" t="str">
        <f aca="false">IFERROR(INDEX(CADASTRO_PIVOS!$D$6:$D$41,MATCH($E811,CADASTRO_PIVOS!$B$6:$B$41,0)),"?")</f>
        <v>TR05</v>
      </c>
      <c r="H811" s="20" t="n">
        <f aca="false">IFERROR(INDEX(CADASTRO_PIVOS!$E$6:$E$41,MATCH($E811,CADASTRO_PIVOS!$B$6:$B$41,0)),0)</f>
        <v>119.98</v>
      </c>
      <c r="I811" s="16" t="n">
        <f aca="false">IFERROR(SUMIFS(ROTACAO_RDM!$B$6:$B$71,ROTACAO_RDM!$D$6:$D$71,$E811,ROTACAO_RDM!$I$6:$I$71,"&lt;="&amp;$C811+INT(DIAS_POR_SEMANA/2),ROTACAO_RDM!$J$6:$J$71,"&gt;="&amp;$C811+INT(DIAS_POR_SEMANA/2)),0)</f>
        <v>24</v>
      </c>
      <c r="J811" s="16" t="n">
        <f aca="false">IFERROR(MATCH($I811,ROTACAO_RDM!$B$6:$B$71,0),0)</f>
        <v>24</v>
      </c>
      <c r="K811" s="8" t="str">
        <f aca="false">IF($J811=0,"SEM CULTURA",INDEX(ROTACAO_RDM!$F$6:$F$71,$J811))</f>
        <v>ALGODAO</v>
      </c>
      <c r="L811" s="8" t="str">
        <f aca="false">IF($J811=0,"",INDEX(ROTACAO_RDM!$G$6:$G$71,$J811))</f>
        <v>FM 974 GLT</v>
      </c>
      <c r="M811" s="17" t="n">
        <f aca="false">IF($J811=0,"",INDEX(ROTACAO_RDM!$I$6:$I$71,$J811))</f>
        <v>46356</v>
      </c>
      <c r="N811" s="16" t="n">
        <f aca="false">IF($J811=0,0,MAX(0,$C811+INT(DIAS_POR_SEMANA/2)-INDEX(ROTACAO_RDM!$I$6:$I$71,$J811)))</f>
        <v>3</v>
      </c>
      <c r="O811" s="19" t="n">
        <f aca="false">IF($J811=0,0,MIN(1,$N811/MAX(1,INDEX(ROTACAO_RDM!$K$6:$K$71,$J811))))</f>
        <v>0.0153846153846154</v>
      </c>
      <c r="P811" s="16" t="n">
        <f aca="false">IF($J811=0,0,IFERROR(MATCH(INDEX(ROTACAO_RDM!$N$6:$N$71,$J811),PARAMETROS_CULTURAS!$B$6:$B$28,0),0))</f>
        <v>5</v>
      </c>
      <c r="Q811" s="8" t="str">
        <f aca="false">IF($P811=0,"-",IF($O811&lt;=INDEX(PARAMETROS_CULTURAS!$F$6:$F$28,$P811),"INICIAL",IF($O811&lt;=INDEX(PARAMETROS_CULTURAS!$F$6:$F$28,$P811)+INDEX(PARAMETROS_CULTURAS!$G$6:$G$28,$P811),"DESENVOLVIMENTO",IF($O811&lt;=INDEX(PARAMETROS_CULTURAS!$F$6:$F$28,$P811)+INDEX(PARAMETROS_CULTURAS!$G$6:$G$28,$P811)+INDEX(PARAMETROS_CULTURAS!$H$6:$H$28,$P811),"MEDIA","FINAL"))))</f>
        <v>INICIAL</v>
      </c>
      <c r="R811" s="24" t="n">
        <f aca="false">IF($P811=0,0,IF($O811&lt;=INDEX(PARAMETROS_CULTURAS!$F$6:$F$28,$P811),INDEX(PARAMETROS_CULTURAS!$K$6:$K$28,$P811),IF($O811&lt;=INDEX(PARAMETROS_CULTURAS!$F$6:$F$28,$P811)+INDEX(PARAMETROS_CULTURAS!$G$6:$G$28,$P811),INDEX(PARAMETROS_CULTURAS!$K$6:$K$28,$P811)+(INDEX(PARAMETROS_CULTURAS!$L$6:$L$28,$P811)-INDEX(PARAMETROS_CULTURAS!$K$6:$K$28,$P811))*($O811-INDEX(PARAMETROS_CULTURAS!$F$6:$F$28,$P811))/MAX(INDEX(PARAMETROS_CULTURAS!$G$6:$G$28,$P811),0.0001),IF($O811&lt;=INDEX(PARAMETROS_CULTURAS!$F$6:$F$28,$P811)+INDEX(PARAMETROS_CULTURAS!$G$6:$G$28,$P811)+INDEX(PARAMETROS_CULTURAS!$H$6:$H$28,$P811),INDEX(PARAMETROS_CULTURAS!$L$6:$L$28,$P811),INDEX(PARAMETROS_CULTURAS!$L$6:$L$28,$P811)+(INDEX(PARAMETROS_CULTURAS!$M$6:$M$28,$P811)-INDEX(PARAMETROS_CULTURAS!$L$6:$L$28,$P811))*($O811-INDEX(PARAMETROS_CULTURAS!$F$6:$F$28,$P811)-INDEX(PARAMETROS_CULTURAS!$G$6:$G$28,$P811)-INDEX(PARAMETROS_CULTURAS!$H$6:$H$28,$P811))/MAX(INDEX(PARAMETROS_CULTURAS!$I$6:$I$28,$P811),0.0001)))))</f>
        <v>0.35</v>
      </c>
      <c r="S811" s="18" t="n">
        <f aca="false">IFERROR(INDEX(SEMANAS!$H$6:$H$71,MATCH($B811,SEMANAS!$B$6:$B$71,0)),0)</f>
        <v>33.1</v>
      </c>
      <c r="T811" s="18" t="n">
        <f aca="false">$R811*$S811</f>
        <v>11.585</v>
      </c>
      <c r="U811" s="18" t="n">
        <f aca="false">IFERROR(INDEX(SEMANAS!$I$6:$I$71,MATCH($B811,SEMANAS!$B$6:$B$71,0)),0)</f>
        <v>48.31</v>
      </c>
      <c r="V811" s="18" t="n">
        <f aca="false">IFERROR(INDEX(SEMANAS!$J$6:$J$71,MATCH($B811,SEMANAS!$B$6:$B$71,0)),0)</f>
        <v>38.648</v>
      </c>
      <c r="W811" s="18" t="n">
        <f aca="false">MAX(0,$T811-$V811)</f>
        <v>0</v>
      </c>
      <c r="X811" s="19" t="n">
        <f aca="false">IFERROR(INDEX(CADASTRO_PIVOS!$K$6:$K$41,MATCH($E811,CADASTRO_PIVOS!$B$6:$B$41,0)),EFICIENCIA_PADRAO)</f>
        <v>0.85</v>
      </c>
      <c r="Y811" s="18" t="n">
        <f aca="false">IF($X811&lt;=0,0,$W811/$X811)</f>
        <v>0</v>
      </c>
      <c r="Z811" s="16" t="n">
        <f aca="false">$Y811*$H811*MM_PARA_M3_HA</f>
        <v>0</v>
      </c>
      <c r="AA811" s="18" t="n">
        <f aca="false">IFERROR(INDEX(CADASTRO_PIVOS!$I$6:$I$41,MATCH($E811,CADASTRO_PIVOS!$B$6:$B$41,0)),0)</f>
        <v>857</v>
      </c>
      <c r="AB811" s="18" t="n">
        <f aca="false">IF($Z811&lt;=0,0,$Z811/$AA811)</f>
        <v>0</v>
      </c>
      <c r="AC811" s="16" t="n">
        <f aca="false">IFERROR(INDEX(SEMANAS!$K$6:$K$71,MATCH($B811,SEMANAS!$B$6:$B$71,0)),0)</f>
        <v>147</v>
      </c>
      <c r="AD811" s="19" t="n">
        <f aca="false">IF($AC811&lt;=0,0,$AB811/$AC811)</f>
        <v>0</v>
      </c>
      <c r="AE811" s="8" t="str">
        <f aca="false">IF($K811="SEM CULTURA","SEM CULTURA",IF($AA811&lt;=0,"DADO PENDENTE",IF($AD811&gt;LIMITE_CRITICO,"INVIAVEL",IF($AD811&gt;LIMITE_ATENCAO,"CRITICO",IF($AD811&gt;LIMITE_CONFORTAVEL,"ATENCAO","OK")))))</f>
        <v>OK</v>
      </c>
      <c r="AF811" s="8" t="str">
        <f aca="false">$B811&amp;"|"&amp;TEXT($AD811,"0.000000")</f>
        <v>14|0.000000</v>
      </c>
      <c r="AG811" s="18" t="n">
        <f aca="false">IF($K811="SEM CULTURA",0,$T811*$H811)</f>
        <v>1389.9683</v>
      </c>
      <c r="AH811" s="18" t="n">
        <f aca="false">IF($K811="SEM CULTURA",0,$V811*$H811)</f>
        <v>4636.98704</v>
      </c>
      <c r="AI811" s="18" t="n">
        <f aca="false">IF($K811="SEM CULTURA",0,$W811*$H811)</f>
        <v>0</v>
      </c>
      <c r="AJ811" s="18" t="n">
        <f aca="false">IF($K811="SEM CULTURA",0,$S811*$H811)</f>
        <v>3971.338</v>
      </c>
      <c r="AK811" s="8" t="str">
        <f aca="false">$E811&amp;"|"&amp;TEXT($AD811,"0.000000")</f>
        <v>PV 114|0.000000</v>
      </c>
    </row>
    <row r="812" customFormat="false" ht="15" hidden="false" customHeight="false" outlineLevel="0" collapsed="false">
      <c r="B812" s="16" t="n">
        <v>15</v>
      </c>
      <c r="C812" s="17" t="n">
        <f aca="false">DATA_INICIO_SAFRA+($B812-1)*DIAS_POR_SEMANA</f>
        <v>46363</v>
      </c>
      <c r="D812" s="17" t="n">
        <f aca="false">$C812+DIAS_POR_SEMANA-1</f>
        <v>46369</v>
      </c>
      <c r="E812" s="15" t="s">
        <v>271</v>
      </c>
      <c r="F812" s="8" t="str">
        <f aca="false">IFERROR(INDEX(CADASTRO_PIVOS!$C$6:$C$41,MATCH($E812,CADASTRO_PIVOS!$B$6:$B$41,0)),"?")</f>
        <v>RM05</v>
      </c>
      <c r="G812" s="8" t="str">
        <f aca="false">IFERROR(INDEX(CADASTRO_PIVOS!$D$6:$D$41,MATCH($E812,CADASTRO_PIVOS!$B$6:$B$41,0)),"?")</f>
        <v>TR05</v>
      </c>
      <c r="H812" s="20" t="n">
        <f aca="false">IFERROR(INDEX(CADASTRO_PIVOS!$E$6:$E$41,MATCH($E812,CADASTRO_PIVOS!$B$6:$B$41,0)),0)</f>
        <v>119.98</v>
      </c>
      <c r="I812" s="16" t="n">
        <f aca="false">IFERROR(SUMIFS(ROTACAO_RDM!$B$6:$B$71,ROTACAO_RDM!$D$6:$D$71,$E812,ROTACAO_RDM!$I$6:$I$71,"&lt;="&amp;$C812+INT(DIAS_POR_SEMANA/2),ROTACAO_RDM!$J$6:$J$71,"&gt;="&amp;$C812+INT(DIAS_POR_SEMANA/2)),0)</f>
        <v>24</v>
      </c>
      <c r="J812" s="16" t="n">
        <f aca="false">IFERROR(MATCH($I812,ROTACAO_RDM!$B$6:$B$71,0),0)</f>
        <v>24</v>
      </c>
      <c r="K812" s="8" t="str">
        <f aca="false">IF($J812=0,"SEM CULTURA",INDEX(ROTACAO_RDM!$F$6:$F$71,$J812))</f>
        <v>ALGODAO</v>
      </c>
      <c r="L812" s="8" t="str">
        <f aca="false">IF($J812=0,"",INDEX(ROTACAO_RDM!$G$6:$G$71,$J812))</f>
        <v>FM 974 GLT</v>
      </c>
      <c r="M812" s="17" t="n">
        <f aca="false">IF($J812=0,"",INDEX(ROTACAO_RDM!$I$6:$I$71,$J812))</f>
        <v>46356</v>
      </c>
      <c r="N812" s="16" t="n">
        <f aca="false">IF($J812=0,0,MAX(0,$C812+INT(DIAS_POR_SEMANA/2)-INDEX(ROTACAO_RDM!$I$6:$I$71,$J812)))</f>
        <v>10</v>
      </c>
      <c r="O812" s="19" t="n">
        <f aca="false">IF($J812=0,0,MIN(1,$N812/MAX(1,INDEX(ROTACAO_RDM!$K$6:$K$71,$J812))))</f>
        <v>0.0512820512820513</v>
      </c>
      <c r="P812" s="16" t="n">
        <f aca="false">IF($J812=0,0,IFERROR(MATCH(INDEX(ROTACAO_RDM!$N$6:$N$71,$J812),PARAMETROS_CULTURAS!$B$6:$B$28,0),0))</f>
        <v>5</v>
      </c>
      <c r="Q812" s="8" t="str">
        <f aca="false">IF($P812=0,"-",IF($O812&lt;=INDEX(PARAMETROS_CULTURAS!$F$6:$F$28,$P812),"INICIAL",IF($O812&lt;=INDEX(PARAMETROS_CULTURAS!$F$6:$F$28,$P812)+INDEX(PARAMETROS_CULTURAS!$G$6:$G$28,$P812),"DESENVOLVIMENTO",IF($O812&lt;=INDEX(PARAMETROS_CULTURAS!$F$6:$F$28,$P812)+INDEX(PARAMETROS_CULTURAS!$G$6:$G$28,$P812)+INDEX(PARAMETROS_CULTURAS!$H$6:$H$28,$P812),"MEDIA","FINAL"))))</f>
        <v>INICIAL</v>
      </c>
      <c r="R812" s="24" t="n">
        <f aca="false">IF($P812=0,0,IF($O812&lt;=INDEX(PARAMETROS_CULTURAS!$F$6:$F$28,$P812),INDEX(PARAMETROS_CULTURAS!$K$6:$K$28,$P812),IF($O812&lt;=INDEX(PARAMETROS_CULTURAS!$F$6:$F$28,$P812)+INDEX(PARAMETROS_CULTURAS!$G$6:$G$28,$P812),INDEX(PARAMETROS_CULTURAS!$K$6:$K$28,$P812)+(INDEX(PARAMETROS_CULTURAS!$L$6:$L$28,$P812)-INDEX(PARAMETROS_CULTURAS!$K$6:$K$28,$P812))*($O812-INDEX(PARAMETROS_CULTURAS!$F$6:$F$28,$P812))/MAX(INDEX(PARAMETROS_CULTURAS!$G$6:$G$28,$P812),0.0001),IF($O812&lt;=INDEX(PARAMETROS_CULTURAS!$F$6:$F$28,$P812)+INDEX(PARAMETROS_CULTURAS!$G$6:$G$28,$P812)+INDEX(PARAMETROS_CULTURAS!$H$6:$H$28,$P812),INDEX(PARAMETROS_CULTURAS!$L$6:$L$28,$P812),INDEX(PARAMETROS_CULTURAS!$L$6:$L$28,$P812)+(INDEX(PARAMETROS_CULTURAS!$M$6:$M$28,$P812)-INDEX(PARAMETROS_CULTURAS!$L$6:$L$28,$P812))*($O812-INDEX(PARAMETROS_CULTURAS!$F$6:$F$28,$P812)-INDEX(PARAMETROS_CULTURAS!$G$6:$G$28,$P812)-INDEX(PARAMETROS_CULTURAS!$H$6:$H$28,$P812))/MAX(INDEX(PARAMETROS_CULTURAS!$I$6:$I$28,$P812),0.0001)))))</f>
        <v>0.35</v>
      </c>
      <c r="S812" s="18" t="n">
        <f aca="false">IFERROR(INDEX(SEMANAS!$H$6:$H$71,MATCH($B812,SEMANAS!$B$6:$B$71,0)),0)</f>
        <v>32.9</v>
      </c>
      <c r="T812" s="18" t="n">
        <f aca="false">$R812*$S812</f>
        <v>11.515</v>
      </c>
      <c r="U812" s="18" t="n">
        <f aca="false">IFERROR(INDEX(SEMANAS!$I$6:$I$71,MATCH($B812,SEMANAS!$B$6:$B$71,0)),0)</f>
        <v>48.58</v>
      </c>
      <c r="V812" s="18" t="n">
        <f aca="false">IFERROR(INDEX(SEMANAS!$J$6:$J$71,MATCH($B812,SEMANAS!$B$6:$B$71,0)),0)</f>
        <v>38.864</v>
      </c>
      <c r="W812" s="18" t="n">
        <f aca="false">MAX(0,$T812-$V812)</f>
        <v>0</v>
      </c>
      <c r="X812" s="19" t="n">
        <f aca="false">IFERROR(INDEX(CADASTRO_PIVOS!$K$6:$K$41,MATCH($E812,CADASTRO_PIVOS!$B$6:$B$41,0)),EFICIENCIA_PADRAO)</f>
        <v>0.85</v>
      </c>
      <c r="Y812" s="18" t="n">
        <f aca="false">IF($X812&lt;=0,0,$W812/$X812)</f>
        <v>0</v>
      </c>
      <c r="Z812" s="16" t="n">
        <f aca="false">$Y812*$H812*MM_PARA_M3_HA</f>
        <v>0</v>
      </c>
      <c r="AA812" s="18" t="n">
        <f aca="false">IFERROR(INDEX(CADASTRO_PIVOS!$I$6:$I$41,MATCH($E812,CADASTRO_PIVOS!$B$6:$B$41,0)),0)</f>
        <v>857</v>
      </c>
      <c r="AB812" s="18" t="n">
        <f aca="false">IF($Z812&lt;=0,0,$Z812/$AA812)</f>
        <v>0</v>
      </c>
      <c r="AC812" s="16" t="n">
        <f aca="false">IFERROR(INDEX(SEMANAS!$K$6:$K$71,MATCH($B812,SEMANAS!$B$6:$B$71,0)),0)</f>
        <v>147</v>
      </c>
      <c r="AD812" s="19" t="n">
        <f aca="false">IF($AC812&lt;=0,0,$AB812/$AC812)</f>
        <v>0</v>
      </c>
      <c r="AE812" s="8" t="str">
        <f aca="false">IF($K812="SEM CULTURA","SEM CULTURA",IF($AA812&lt;=0,"DADO PENDENTE",IF($AD812&gt;LIMITE_CRITICO,"INVIAVEL",IF($AD812&gt;LIMITE_ATENCAO,"CRITICO",IF($AD812&gt;LIMITE_CONFORTAVEL,"ATENCAO","OK")))))</f>
        <v>OK</v>
      </c>
      <c r="AF812" s="8" t="str">
        <f aca="false">$B812&amp;"|"&amp;TEXT($AD812,"0.000000")</f>
        <v>15|0.000000</v>
      </c>
      <c r="AG812" s="18" t="n">
        <f aca="false">IF($K812="SEM CULTURA",0,$T812*$H812)</f>
        <v>1381.5697</v>
      </c>
      <c r="AH812" s="18" t="n">
        <f aca="false">IF($K812="SEM CULTURA",0,$V812*$H812)</f>
        <v>4662.90272</v>
      </c>
      <c r="AI812" s="18" t="n">
        <f aca="false">IF($K812="SEM CULTURA",0,$W812*$H812)</f>
        <v>0</v>
      </c>
      <c r="AJ812" s="18" t="n">
        <f aca="false">IF($K812="SEM CULTURA",0,$S812*$H812)</f>
        <v>3947.342</v>
      </c>
      <c r="AK812" s="8" t="str">
        <f aca="false">$E812&amp;"|"&amp;TEXT($AD812,"0.000000")</f>
        <v>PV 114|0.000000</v>
      </c>
    </row>
    <row r="813" customFormat="false" ht="15" hidden="false" customHeight="false" outlineLevel="0" collapsed="false">
      <c r="B813" s="16" t="n">
        <v>16</v>
      </c>
      <c r="C813" s="17" t="n">
        <f aca="false">DATA_INICIO_SAFRA+($B813-1)*DIAS_POR_SEMANA</f>
        <v>46370</v>
      </c>
      <c r="D813" s="17" t="n">
        <f aca="false">$C813+DIAS_POR_SEMANA-1</f>
        <v>46376</v>
      </c>
      <c r="E813" s="15" t="s">
        <v>271</v>
      </c>
      <c r="F813" s="8" t="str">
        <f aca="false">IFERROR(INDEX(CADASTRO_PIVOS!$C$6:$C$41,MATCH($E813,CADASTRO_PIVOS!$B$6:$B$41,0)),"?")</f>
        <v>RM05</v>
      </c>
      <c r="G813" s="8" t="str">
        <f aca="false">IFERROR(INDEX(CADASTRO_PIVOS!$D$6:$D$41,MATCH($E813,CADASTRO_PIVOS!$B$6:$B$41,0)),"?")</f>
        <v>TR05</v>
      </c>
      <c r="H813" s="20" t="n">
        <f aca="false">IFERROR(INDEX(CADASTRO_PIVOS!$E$6:$E$41,MATCH($E813,CADASTRO_PIVOS!$B$6:$B$41,0)),0)</f>
        <v>119.98</v>
      </c>
      <c r="I813" s="16" t="n">
        <f aca="false">IFERROR(SUMIFS(ROTACAO_RDM!$B$6:$B$71,ROTACAO_RDM!$D$6:$D$71,$E813,ROTACAO_RDM!$I$6:$I$71,"&lt;="&amp;$C813+INT(DIAS_POR_SEMANA/2),ROTACAO_RDM!$J$6:$J$71,"&gt;="&amp;$C813+INT(DIAS_POR_SEMANA/2)),0)</f>
        <v>24</v>
      </c>
      <c r="J813" s="16" t="n">
        <f aca="false">IFERROR(MATCH($I813,ROTACAO_RDM!$B$6:$B$71,0),0)</f>
        <v>24</v>
      </c>
      <c r="K813" s="8" t="str">
        <f aca="false">IF($J813=0,"SEM CULTURA",INDEX(ROTACAO_RDM!$F$6:$F$71,$J813))</f>
        <v>ALGODAO</v>
      </c>
      <c r="L813" s="8" t="str">
        <f aca="false">IF($J813=0,"",INDEX(ROTACAO_RDM!$G$6:$G$71,$J813))</f>
        <v>FM 974 GLT</v>
      </c>
      <c r="M813" s="17" t="n">
        <f aca="false">IF($J813=0,"",INDEX(ROTACAO_RDM!$I$6:$I$71,$J813))</f>
        <v>46356</v>
      </c>
      <c r="N813" s="16" t="n">
        <f aca="false">IF($J813=0,0,MAX(0,$C813+INT(DIAS_POR_SEMANA/2)-INDEX(ROTACAO_RDM!$I$6:$I$71,$J813)))</f>
        <v>17</v>
      </c>
      <c r="O813" s="19" t="n">
        <f aca="false">IF($J813=0,0,MIN(1,$N813/MAX(1,INDEX(ROTACAO_RDM!$K$6:$K$71,$J813))))</f>
        <v>0.0871794871794872</v>
      </c>
      <c r="P813" s="16" t="n">
        <f aca="false">IF($J813=0,0,IFERROR(MATCH(INDEX(ROTACAO_RDM!$N$6:$N$71,$J813),PARAMETROS_CULTURAS!$B$6:$B$28,0),0))</f>
        <v>5</v>
      </c>
      <c r="Q813" s="8" t="str">
        <f aca="false">IF($P813=0,"-",IF($O813&lt;=INDEX(PARAMETROS_CULTURAS!$F$6:$F$28,$P813),"INICIAL",IF($O813&lt;=INDEX(PARAMETROS_CULTURAS!$F$6:$F$28,$P813)+INDEX(PARAMETROS_CULTURAS!$G$6:$G$28,$P813),"DESENVOLVIMENTO",IF($O813&lt;=INDEX(PARAMETROS_CULTURAS!$F$6:$F$28,$P813)+INDEX(PARAMETROS_CULTURAS!$G$6:$G$28,$P813)+INDEX(PARAMETROS_CULTURAS!$H$6:$H$28,$P813),"MEDIA","FINAL"))))</f>
        <v>INICIAL</v>
      </c>
      <c r="R813" s="24" t="n">
        <f aca="false">IF($P813=0,0,IF($O813&lt;=INDEX(PARAMETROS_CULTURAS!$F$6:$F$28,$P813),INDEX(PARAMETROS_CULTURAS!$K$6:$K$28,$P813),IF($O813&lt;=INDEX(PARAMETROS_CULTURAS!$F$6:$F$28,$P813)+INDEX(PARAMETROS_CULTURAS!$G$6:$G$28,$P813),INDEX(PARAMETROS_CULTURAS!$K$6:$K$28,$P813)+(INDEX(PARAMETROS_CULTURAS!$L$6:$L$28,$P813)-INDEX(PARAMETROS_CULTURAS!$K$6:$K$28,$P813))*($O813-INDEX(PARAMETROS_CULTURAS!$F$6:$F$28,$P813))/MAX(INDEX(PARAMETROS_CULTURAS!$G$6:$G$28,$P813),0.0001),IF($O813&lt;=INDEX(PARAMETROS_CULTURAS!$F$6:$F$28,$P813)+INDEX(PARAMETROS_CULTURAS!$G$6:$G$28,$P813)+INDEX(PARAMETROS_CULTURAS!$H$6:$H$28,$P813),INDEX(PARAMETROS_CULTURAS!$L$6:$L$28,$P813),INDEX(PARAMETROS_CULTURAS!$L$6:$L$28,$P813)+(INDEX(PARAMETROS_CULTURAS!$M$6:$M$28,$P813)-INDEX(PARAMETROS_CULTURAS!$L$6:$L$28,$P813))*($O813-INDEX(PARAMETROS_CULTURAS!$F$6:$F$28,$P813)-INDEX(PARAMETROS_CULTURAS!$G$6:$G$28,$P813)-INDEX(PARAMETROS_CULTURAS!$H$6:$H$28,$P813))/MAX(INDEX(PARAMETROS_CULTURAS!$I$6:$I$28,$P813),0.0001)))))</f>
        <v>0.35</v>
      </c>
      <c r="S813" s="18" t="n">
        <f aca="false">IFERROR(INDEX(SEMANAS!$H$6:$H$71,MATCH($B813,SEMANAS!$B$6:$B$71,0)),0)</f>
        <v>32.9</v>
      </c>
      <c r="T813" s="18" t="n">
        <f aca="false">$R813*$S813</f>
        <v>11.515</v>
      </c>
      <c r="U813" s="18" t="n">
        <f aca="false">IFERROR(INDEX(SEMANAS!$I$6:$I$71,MATCH($B813,SEMANAS!$B$6:$B$71,0)),0)</f>
        <v>48.58</v>
      </c>
      <c r="V813" s="18" t="n">
        <f aca="false">IFERROR(INDEX(SEMANAS!$J$6:$J$71,MATCH($B813,SEMANAS!$B$6:$B$71,0)),0)</f>
        <v>38.864</v>
      </c>
      <c r="W813" s="18" t="n">
        <f aca="false">MAX(0,$T813-$V813)</f>
        <v>0</v>
      </c>
      <c r="X813" s="19" t="n">
        <f aca="false">IFERROR(INDEX(CADASTRO_PIVOS!$K$6:$K$41,MATCH($E813,CADASTRO_PIVOS!$B$6:$B$41,0)),EFICIENCIA_PADRAO)</f>
        <v>0.85</v>
      </c>
      <c r="Y813" s="18" t="n">
        <f aca="false">IF($X813&lt;=0,0,$W813/$X813)</f>
        <v>0</v>
      </c>
      <c r="Z813" s="16" t="n">
        <f aca="false">$Y813*$H813*MM_PARA_M3_HA</f>
        <v>0</v>
      </c>
      <c r="AA813" s="18" t="n">
        <f aca="false">IFERROR(INDEX(CADASTRO_PIVOS!$I$6:$I$41,MATCH($E813,CADASTRO_PIVOS!$B$6:$B$41,0)),0)</f>
        <v>857</v>
      </c>
      <c r="AB813" s="18" t="n">
        <f aca="false">IF($Z813&lt;=0,0,$Z813/$AA813)</f>
        <v>0</v>
      </c>
      <c r="AC813" s="16" t="n">
        <f aca="false">IFERROR(INDEX(SEMANAS!$K$6:$K$71,MATCH($B813,SEMANAS!$B$6:$B$71,0)),0)</f>
        <v>147</v>
      </c>
      <c r="AD813" s="19" t="n">
        <f aca="false">IF($AC813&lt;=0,0,$AB813/$AC813)</f>
        <v>0</v>
      </c>
      <c r="AE813" s="8" t="str">
        <f aca="false">IF($K813="SEM CULTURA","SEM CULTURA",IF($AA813&lt;=0,"DADO PENDENTE",IF($AD813&gt;LIMITE_CRITICO,"INVIAVEL",IF($AD813&gt;LIMITE_ATENCAO,"CRITICO",IF($AD813&gt;LIMITE_CONFORTAVEL,"ATENCAO","OK")))))</f>
        <v>OK</v>
      </c>
      <c r="AF813" s="8" t="str">
        <f aca="false">$B813&amp;"|"&amp;TEXT($AD813,"0.000000")</f>
        <v>16|0.000000</v>
      </c>
      <c r="AG813" s="18" t="n">
        <f aca="false">IF($K813="SEM CULTURA",0,$T813*$H813)</f>
        <v>1381.5697</v>
      </c>
      <c r="AH813" s="18" t="n">
        <f aca="false">IF($K813="SEM CULTURA",0,$V813*$H813)</f>
        <v>4662.90272</v>
      </c>
      <c r="AI813" s="18" t="n">
        <f aca="false">IF($K813="SEM CULTURA",0,$W813*$H813)</f>
        <v>0</v>
      </c>
      <c r="AJ813" s="18" t="n">
        <f aca="false">IF($K813="SEM CULTURA",0,$S813*$H813)</f>
        <v>3947.342</v>
      </c>
      <c r="AK813" s="8" t="str">
        <f aca="false">$E813&amp;"|"&amp;TEXT($AD813,"0.000000")</f>
        <v>PV 114|0.000000</v>
      </c>
    </row>
    <row r="814" customFormat="false" ht="15" hidden="false" customHeight="false" outlineLevel="0" collapsed="false">
      <c r="B814" s="16" t="n">
        <v>17</v>
      </c>
      <c r="C814" s="17" t="n">
        <f aca="false">DATA_INICIO_SAFRA+($B814-1)*DIAS_POR_SEMANA</f>
        <v>46377</v>
      </c>
      <c r="D814" s="17" t="n">
        <f aca="false">$C814+DIAS_POR_SEMANA-1</f>
        <v>46383</v>
      </c>
      <c r="E814" s="15" t="s">
        <v>271</v>
      </c>
      <c r="F814" s="8" t="str">
        <f aca="false">IFERROR(INDEX(CADASTRO_PIVOS!$C$6:$C$41,MATCH($E814,CADASTRO_PIVOS!$B$6:$B$41,0)),"?")</f>
        <v>RM05</v>
      </c>
      <c r="G814" s="8" t="str">
        <f aca="false">IFERROR(INDEX(CADASTRO_PIVOS!$D$6:$D$41,MATCH($E814,CADASTRO_PIVOS!$B$6:$B$41,0)),"?")</f>
        <v>TR05</v>
      </c>
      <c r="H814" s="20" t="n">
        <f aca="false">IFERROR(INDEX(CADASTRO_PIVOS!$E$6:$E$41,MATCH($E814,CADASTRO_PIVOS!$B$6:$B$41,0)),0)</f>
        <v>119.98</v>
      </c>
      <c r="I814" s="16" t="n">
        <f aca="false">IFERROR(SUMIFS(ROTACAO_RDM!$B$6:$B$71,ROTACAO_RDM!$D$6:$D$71,$E814,ROTACAO_RDM!$I$6:$I$71,"&lt;="&amp;$C814+INT(DIAS_POR_SEMANA/2),ROTACAO_RDM!$J$6:$J$71,"&gt;="&amp;$C814+INT(DIAS_POR_SEMANA/2)),0)</f>
        <v>24</v>
      </c>
      <c r="J814" s="16" t="n">
        <f aca="false">IFERROR(MATCH($I814,ROTACAO_RDM!$B$6:$B$71,0),0)</f>
        <v>24</v>
      </c>
      <c r="K814" s="8" t="str">
        <f aca="false">IF($J814=0,"SEM CULTURA",INDEX(ROTACAO_RDM!$F$6:$F$71,$J814))</f>
        <v>ALGODAO</v>
      </c>
      <c r="L814" s="8" t="str">
        <f aca="false">IF($J814=0,"",INDEX(ROTACAO_RDM!$G$6:$G$71,$J814))</f>
        <v>FM 974 GLT</v>
      </c>
      <c r="M814" s="17" t="n">
        <f aca="false">IF($J814=0,"",INDEX(ROTACAO_RDM!$I$6:$I$71,$J814))</f>
        <v>46356</v>
      </c>
      <c r="N814" s="16" t="n">
        <f aca="false">IF($J814=0,0,MAX(0,$C814+INT(DIAS_POR_SEMANA/2)-INDEX(ROTACAO_RDM!$I$6:$I$71,$J814)))</f>
        <v>24</v>
      </c>
      <c r="O814" s="19" t="n">
        <f aca="false">IF($J814=0,0,MIN(1,$N814/MAX(1,INDEX(ROTACAO_RDM!$K$6:$K$71,$J814))))</f>
        <v>0.123076923076923</v>
      </c>
      <c r="P814" s="16" t="n">
        <f aca="false">IF($J814=0,0,IFERROR(MATCH(INDEX(ROTACAO_RDM!$N$6:$N$71,$J814),PARAMETROS_CULTURAS!$B$6:$B$28,0),0))</f>
        <v>5</v>
      </c>
      <c r="Q814" s="8" t="str">
        <f aca="false">IF($P814=0,"-",IF($O814&lt;=INDEX(PARAMETROS_CULTURAS!$F$6:$F$28,$P814),"INICIAL",IF($O814&lt;=INDEX(PARAMETROS_CULTURAS!$F$6:$F$28,$P814)+INDEX(PARAMETROS_CULTURAS!$G$6:$G$28,$P814),"DESENVOLVIMENTO",IF($O814&lt;=INDEX(PARAMETROS_CULTURAS!$F$6:$F$28,$P814)+INDEX(PARAMETROS_CULTURAS!$G$6:$G$28,$P814)+INDEX(PARAMETROS_CULTURAS!$H$6:$H$28,$P814),"MEDIA","FINAL"))))</f>
        <v>INICIAL</v>
      </c>
      <c r="R814" s="24" t="n">
        <f aca="false">IF($P814=0,0,IF($O814&lt;=INDEX(PARAMETROS_CULTURAS!$F$6:$F$28,$P814),INDEX(PARAMETROS_CULTURAS!$K$6:$K$28,$P814),IF($O814&lt;=INDEX(PARAMETROS_CULTURAS!$F$6:$F$28,$P814)+INDEX(PARAMETROS_CULTURAS!$G$6:$G$28,$P814),INDEX(PARAMETROS_CULTURAS!$K$6:$K$28,$P814)+(INDEX(PARAMETROS_CULTURAS!$L$6:$L$28,$P814)-INDEX(PARAMETROS_CULTURAS!$K$6:$K$28,$P814))*($O814-INDEX(PARAMETROS_CULTURAS!$F$6:$F$28,$P814))/MAX(INDEX(PARAMETROS_CULTURAS!$G$6:$G$28,$P814),0.0001),IF($O814&lt;=INDEX(PARAMETROS_CULTURAS!$F$6:$F$28,$P814)+INDEX(PARAMETROS_CULTURAS!$G$6:$G$28,$P814)+INDEX(PARAMETROS_CULTURAS!$H$6:$H$28,$P814),INDEX(PARAMETROS_CULTURAS!$L$6:$L$28,$P814),INDEX(PARAMETROS_CULTURAS!$L$6:$L$28,$P814)+(INDEX(PARAMETROS_CULTURAS!$M$6:$M$28,$P814)-INDEX(PARAMETROS_CULTURAS!$L$6:$L$28,$P814))*($O814-INDEX(PARAMETROS_CULTURAS!$F$6:$F$28,$P814)-INDEX(PARAMETROS_CULTURAS!$G$6:$G$28,$P814)-INDEX(PARAMETROS_CULTURAS!$H$6:$H$28,$P814))/MAX(INDEX(PARAMETROS_CULTURAS!$I$6:$I$28,$P814),0.0001)))))</f>
        <v>0.35</v>
      </c>
      <c r="S814" s="18" t="n">
        <f aca="false">IFERROR(INDEX(SEMANAS!$H$6:$H$71,MATCH($B814,SEMANAS!$B$6:$B$71,0)),0)</f>
        <v>32.9</v>
      </c>
      <c r="T814" s="18" t="n">
        <f aca="false">$R814*$S814</f>
        <v>11.515</v>
      </c>
      <c r="U814" s="18" t="n">
        <f aca="false">IFERROR(INDEX(SEMANAS!$I$6:$I$71,MATCH($B814,SEMANAS!$B$6:$B$71,0)),0)</f>
        <v>48.58</v>
      </c>
      <c r="V814" s="18" t="n">
        <f aca="false">IFERROR(INDEX(SEMANAS!$J$6:$J$71,MATCH($B814,SEMANAS!$B$6:$B$71,0)),0)</f>
        <v>38.864</v>
      </c>
      <c r="W814" s="18" t="n">
        <f aca="false">MAX(0,$T814-$V814)</f>
        <v>0</v>
      </c>
      <c r="X814" s="19" t="n">
        <f aca="false">IFERROR(INDEX(CADASTRO_PIVOS!$K$6:$K$41,MATCH($E814,CADASTRO_PIVOS!$B$6:$B$41,0)),EFICIENCIA_PADRAO)</f>
        <v>0.85</v>
      </c>
      <c r="Y814" s="18" t="n">
        <f aca="false">IF($X814&lt;=0,0,$W814/$X814)</f>
        <v>0</v>
      </c>
      <c r="Z814" s="16" t="n">
        <f aca="false">$Y814*$H814*MM_PARA_M3_HA</f>
        <v>0</v>
      </c>
      <c r="AA814" s="18" t="n">
        <f aca="false">IFERROR(INDEX(CADASTRO_PIVOS!$I$6:$I$41,MATCH($E814,CADASTRO_PIVOS!$B$6:$B$41,0)),0)</f>
        <v>857</v>
      </c>
      <c r="AB814" s="18" t="n">
        <f aca="false">IF($Z814&lt;=0,0,$Z814/$AA814)</f>
        <v>0</v>
      </c>
      <c r="AC814" s="16" t="n">
        <f aca="false">IFERROR(INDEX(SEMANAS!$K$6:$K$71,MATCH($B814,SEMANAS!$B$6:$B$71,0)),0)</f>
        <v>147</v>
      </c>
      <c r="AD814" s="19" t="n">
        <f aca="false">IF($AC814&lt;=0,0,$AB814/$AC814)</f>
        <v>0</v>
      </c>
      <c r="AE814" s="8" t="str">
        <f aca="false">IF($K814="SEM CULTURA","SEM CULTURA",IF($AA814&lt;=0,"DADO PENDENTE",IF($AD814&gt;LIMITE_CRITICO,"INVIAVEL",IF($AD814&gt;LIMITE_ATENCAO,"CRITICO",IF($AD814&gt;LIMITE_CONFORTAVEL,"ATENCAO","OK")))))</f>
        <v>OK</v>
      </c>
      <c r="AF814" s="8" t="str">
        <f aca="false">$B814&amp;"|"&amp;TEXT($AD814,"0.000000")</f>
        <v>17|0.000000</v>
      </c>
      <c r="AG814" s="18" t="n">
        <f aca="false">IF($K814="SEM CULTURA",0,$T814*$H814)</f>
        <v>1381.5697</v>
      </c>
      <c r="AH814" s="18" t="n">
        <f aca="false">IF($K814="SEM CULTURA",0,$V814*$H814)</f>
        <v>4662.90272</v>
      </c>
      <c r="AI814" s="18" t="n">
        <f aca="false">IF($K814="SEM CULTURA",0,$W814*$H814)</f>
        <v>0</v>
      </c>
      <c r="AJ814" s="18" t="n">
        <f aca="false">IF($K814="SEM CULTURA",0,$S814*$H814)</f>
        <v>3947.342</v>
      </c>
      <c r="AK814" s="8" t="str">
        <f aca="false">$E814&amp;"|"&amp;TEXT($AD814,"0.000000")</f>
        <v>PV 114|0.000000</v>
      </c>
    </row>
    <row r="815" customFormat="false" ht="15" hidden="false" customHeight="false" outlineLevel="0" collapsed="false">
      <c r="B815" s="16" t="n">
        <v>18</v>
      </c>
      <c r="C815" s="17" t="n">
        <f aca="false">DATA_INICIO_SAFRA+($B815-1)*DIAS_POR_SEMANA</f>
        <v>46384</v>
      </c>
      <c r="D815" s="17" t="n">
        <f aca="false">$C815+DIAS_POR_SEMANA-1</f>
        <v>46390</v>
      </c>
      <c r="E815" s="15" t="s">
        <v>271</v>
      </c>
      <c r="F815" s="8" t="str">
        <f aca="false">IFERROR(INDEX(CADASTRO_PIVOS!$C$6:$C$41,MATCH($E815,CADASTRO_PIVOS!$B$6:$B$41,0)),"?")</f>
        <v>RM05</v>
      </c>
      <c r="G815" s="8" t="str">
        <f aca="false">IFERROR(INDEX(CADASTRO_PIVOS!$D$6:$D$41,MATCH($E815,CADASTRO_PIVOS!$B$6:$B$41,0)),"?")</f>
        <v>TR05</v>
      </c>
      <c r="H815" s="20" t="n">
        <f aca="false">IFERROR(INDEX(CADASTRO_PIVOS!$E$6:$E$41,MATCH($E815,CADASTRO_PIVOS!$B$6:$B$41,0)),0)</f>
        <v>119.98</v>
      </c>
      <c r="I815" s="16" t="n">
        <f aca="false">IFERROR(SUMIFS(ROTACAO_RDM!$B$6:$B$71,ROTACAO_RDM!$D$6:$D$71,$E815,ROTACAO_RDM!$I$6:$I$71,"&lt;="&amp;$C815+INT(DIAS_POR_SEMANA/2),ROTACAO_RDM!$J$6:$J$71,"&gt;="&amp;$C815+INT(DIAS_POR_SEMANA/2)),0)</f>
        <v>24</v>
      </c>
      <c r="J815" s="16" t="n">
        <f aca="false">IFERROR(MATCH($I815,ROTACAO_RDM!$B$6:$B$71,0),0)</f>
        <v>24</v>
      </c>
      <c r="K815" s="8" t="str">
        <f aca="false">IF($J815=0,"SEM CULTURA",INDEX(ROTACAO_RDM!$F$6:$F$71,$J815))</f>
        <v>ALGODAO</v>
      </c>
      <c r="L815" s="8" t="str">
        <f aca="false">IF($J815=0,"",INDEX(ROTACAO_RDM!$G$6:$G$71,$J815))</f>
        <v>FM 974 GLT</v>
      </c>
      <c r="M815" s="17" t="n">
        <f aca="false">IF($J815=0,"",INDEX(ROTACAO_RDM!$I$6:$I$71,$J815))</f>
        <v>46356</v>
      </c>
      <c r="N815" s="16" t="n">
        <f aca="false">IF($J815=0,0,MAX(0,$C815+INT(DIAS_POR_SEMANA/2)-INDEX(ROTACAO_RDM!$I$6:$I$71,$J815)))</f>
        <v>31</v>
      </c>
      <c r="O815" s="19" t="n">
        <f aca="false">IF($J815=0,0,MIN(1,$N815/MAX(1,INDEX(ROTACAO_RDM!$K$6:$K$71,$J815))))</f>
        <v>0.158974358974359</v>
      </c>
      <c r="P815" s="16" t="n">
        <f aca="false">IF($J815=0,0,IFERROR(MATCH(INDEX(ROTACAO_RDM!$N$6:$N$71,$J815),PARAMETROS_CULTURAS!$B$6:$B$28,0),0))</f>
        <v>5</v>
      </c>
      <c r="Q815" s="8" t="str">
        <f aca="false">IF($P815=0,"-",IF($O815&lt;=INDEX(PARAMETROS_CULTURAS!$F$6:$F$28,$P815),"INICIAL",IF($O815&lt;=INDEX(PARAMETROS_CULTURAS!$F$6:$F$28,$P815)+INDEX(PARAMETROS_CULTURAS!$G$6:$G$28,$P815),"DESENVOLVIMENTO",IF($O815&lt;=INDEX(PARAMETROS_CULTURAS!$F$6:$F$28,$P815)+INDEX(PARAMETROS_CULTURAS!$G$6:$G$28,$P815)+INDEX(PARAMETROS_CULTURAS!$H$6:$H$28,$P815),"MEDIA","FINAL"))))</f>
        <v>DESENVOLVIMENTO</v>
      </c>
      <c r="R815" s="24" t="n">
        <f aca="false">IF($P815=0,0,IF($O815&lt;=INDEX(PARAMETROS_CULTURAS!$F$6:$F$28,$P815),INDEX(PARAMETROS_CULTURAS!$K$6:$K$28,$P815),IF($O815&lt;=INDEX(PARAMETROS_CULTURAS!$F$6:$F$28,$P815)+INDEX(PARAMETROS_CULTURAS!$G$6:$G$28,$P815),INDEX(PARAMETROS_CULTURAS!$K$6:$K$28,$P815)+(INDEX(PARAMETROS_CULTURAS!$L$6:$L$28,$P815)-INDEX(PARAMETROS_CULTURAS!$K$6:$K$28,$P815))*($O815-INDEX(PARAMETROS_CULTURAS!$F$6:$F$28,$P815))/MAX(INDEX(PARAMETROS_CULTURAS!$G$6:$G$28,$P815),0.0001),IF($O815&lt;=INDEX(PARAMETROS_CULTURAS!$F$6:$F$28,$P815)+INDEX(PARAMETROS_CULTURAS!$G$6:$G$28,$P815)+INDEX(PARAMETROS_CULTURAS!$H$6:$H$28,$P815),INDEX(PARAMETROS_CULTURAS!$L$6:$L$28,$P815),INDEX(PARAMETROS_CULTURAS!$L$6:$L$28,$P815)+(INDEX(PARAMETROS_CULTURAS!$M$6:$M$28,$P815)-INDEX(PARAMETROS_CULTURAS!$L$6:$L$28,$P815))*($O815-INDEX(PARAMETROS_CULTURAS!$F$6:$F$28,$P815)-INDEX(PARAMETROS_CULTURAS!$G$6:$G$28,$P815)-INDEX(PARAMETROS_CULTURAS!$H$6:$H$28,$P815))/MAX(INDEX(PARAMETROS_CULTURAS!$I$6:$I$28,$P815),0.0001)))))</f>
        <v>0.377613412228797</v>
      </c>
      <c r="S815" s="18" t="n">
        <f aca="false">IFERROR(INDEX(SEMANAS!$H$6:$H$71,MATCH($B815,SEMANAS!$B$6:$B$71,0)),0)</f>
        <v>33.2</v>
      </c>
      <c r="T815" s="18" t="n">
        <f aca="false">$R815*$S815</f>
        <v>12.5367652859961</v>
      </c>
      <c r="U815" s="18" t="n">
        <f aca="false">IFERROR(INDEX(SEMANAS!$I$6:$I$71,MATCH($B815,SEMANAS!$B$6:$B$71,0)),0)</f>
        <v>47.11</v>
      </c>
      <c r="V815" s="18" t="n">
        <f aca="false">IFERROR(INDEX(SEMANAS!$J$6:$J$71,MATCH($B815,SEMANAS!$B$6:$B$71,0)),0)</f>
        <v>37.688</v>
      </c>
      <c r="W815" s="18" t="n">
        <f aca="false">MAX(0,$T815-$V815)</f>
        <v>0</v>
      </c>
      <c r="X815" s="19" t="n">
        <f aca="false">IFERROR(INDEX(CADASTRO_PIVOS!$K$6:$K$41,MATCH($E815,CADASTRO_PIVOS!$B$6:$B$41,0)),EFICIENCIA_PADRAO)</f>
        <v>0.85</v>
      </c>
      <c r="Y815" s="18" t="n">
        <f aca="false">IF($X815&lt;=0,0,$W815/$X815)</f>
        <v>0</v>
      </c>
      <c r="Z815" s="16" t="n">
        <f aca="false">$Y815*$H815*MM_PARA_M3_HA</f>
        <v>0</v>
      </c>
      <c r="AA815" s="18" t="n">
        <f aca="false">IFERROR(INDEX(CADASTRO_PIVOS!$I$6:$I$41,MATCH($E815,CADASTRO_PIVOS!$B$6:$B$41,0)),0)</f>
        <v>857</v>
      </c>
      <c r="AB815" s="18" t="n">
        <f aca="false">IF($Z815&lt;=0,0,$Z815/$AA815)</f>
        <v>0</v>
      </c>
      <c r="AC815" s="16" t="n">
        <f aca="false">IFERROR(INDEX(SEMANAS!$K$6:$K$71,MATCH($B815,SEMANAS!$B$6:$B$71,0)),0)</f>
        <v>147</v>
      </c>
      <c r="AD815" s="19" t="n">
        <f aca="false">IF($AC815&lt;=0,0,$AB815/$AC815)</f>
        <v>0</v>
      </c>
      <c r="AE815" s="8" t="str">
        <f aca="false">IF($K815="SEM CULTURA","SEM CULTURA",IF($AA815&lt;=0,"DADO PENDENTE",IF($AD815&gt;LIMITE_CRITICO,"INVIAVEL",IF($AD815&gt;LIMITE_ATENCAO,"CRITICO",IF($AD815&gt;LIMITE_CONFORTAVEL,"ATENCAO","OK")))))</f>
        <v>OK</v>
      </c>
      <c r="AF815" s="8" t="str">
        <f aca="false">$B815&amp;"|"&amp;TEXT($AD815,"0.000000")</f>
        <v>18|0.000000</v>
      </c>
      <c r="AG815" s="18" t="n">
        <f aca="false">IF($K815="SEM CULTURA",0,$T815*$H815)</f>
        <v>1504.16109901381</v>
      </c>
      <c r="AH815" s="18" t="n">
        <f aca="false">IF($K815="SEM CULTURA",0,$V815*$H815)</f>
        <v>4521.80624</v>
      </c>
      <c r="AI815" s="18" t="n">
        <f aca="false">IF($K815="SEM CULTURA",0,$W815*$H815)</f>
        <v>0</v>
      </c>
      <c r="AJ815" s="18" t="n">
        <f aca="false">IF($K815="SEM CULTURA",0,$S815*$H815)</f>
        <v>3983.336</v>
      </c>
      <c r="AK815" s="8" t="str">
        <f aca="false">$E815&amp;"|"&amp;TEXT($AD815,"0.000000")</f>
        <v>PV 114|0.000000</v>
      </c>
    </row>
    <row r="816" customFormat="false" ht="15" hidden="false" customHeight="false" outlineLevel="0" collapsed="false">
      <c r="B816" s="16" t="n">
        <v>19</v>
      </c>
      <c r="C816" s="17" t="n">
        <f aca="false">DATA_INICIO_SAFRA+($B816-1)*DIAS_POR_SEMANA</f>
        <v>46391</v>
      </c>
      <c r="D816" s="17" t="n">
        <f aca="false">$C816+DIAS_POR_SEMANA-1</f>
        <v>46397</v>
      </c>
      <c r="E816" s="15" t="s">
        <v>271</v>
      </c>
      <c r="F816" s="8" t="str">
        <f aca="false">IFERROR(INDEX(CADASTRO_PIVOS!$C$6:$C$41,MATCH($E816,CADASTRO_PIVOS!$B$6:$B$41,0)),"?")</f>
        <v>RM05</v>
      </c>
      <c r="G816" s="8" t="str">
        <f aca="false">IFERROR(INDEX(CADASTRO_PIVOS!$D$6:$D$41,MATCH($E816,CADASTRO_PIVOS!$B$6:$B$41,0)),"?")</f>
        <v>TR05</v>
      </c>
      <c r="H816" s="20" t="n">
        <f aca="false">IFERROR(INDEX(CADASTRO_PIVOS!$E$6:$E$41,MATCH($E816,CADASTRO_PIVOS!$B$6:$B$41,0)),0)</f>
        <v>119.98</v>
      </c>
      <c r="I816" s="16" t="n">
        <f aca="false">IFERROR(SUMIFS(ROTACAO_RDM!$B$6:$B$71,ROTACAO_RDM!$D$6:$D$71,$E816,ROTACAO_RDM!$I$6:$I$71,"&lt;="&amp;$C816+INT(DIAS_POR_SEMANA/2),ROTACAO_RDM!$J$6:$J$71,"&gt;="&amp;$C816+INT(DIAS_POR_SEMANA/2)),0)</f>
        <v>24</v>
      </c>
      <c r="J816" s="16" t="n">
        <f aca="false">IFERROR(MATCH($I816,ROTACAO_RDM!$B$6:$B$71,0),0)</f>
        <v>24</v>
      </c>
      <c r="K816" s="8" t="str">
        <f aca="false">IF($J816=0,"SEM CULTURA",INDEX(ROTACAO_RDM!$F$6:$F$71,$J816))</f>
        <v>ALGODAO</v>
      </c>
      <c r="L816" s="8" t="str">
        <f aca="false">IF($J816=0,"",INDEX(ROTACAO_RDM!$G$6:$G$71,$J816))</f>
        <v>FM 974 GLT</v>
      </c>
      <c r="M816" s="17" t="n">
        <f aca="false">IF($J816=0,"",INDEX(ROTACAO_RDM!$I$6:$I$71,$J816))</f>
        <v>46356</v>
      </c>
      <c r="N816" s="16" t="n">
        <f aca="false">IF($J816=0,0,MAX(0,$C816+INT(DIAS_POR_SEMANA/2)-INDEX(ROTACAO_RDM!$I$6:$I$71,$J816)))</f>
        <v>38</v>
      </c>
      <c r="O816" s="19" t="n">
        <f aca="false">IF($J816=0,0,MIN(1,$N816/MAX(1,INDEX(ROTACAO_RDM!$K$6:$K$71,$J816))))</f>
        <v>0.194871794871795</v>
      </c>
      <c r="P816" s="16" t="n">
        <f aca="false">IF($J816=0,0,IFERROR(MATCH(INDEX(ROTACAO_RDM!$N$6:$N$71,$J816),PARAMETROS_CULTURAS!$B$6:$B$28,0),0))</f>
        <v>5</v>
      </c>
      <c r="Q816" s="8" t="str">
        <f aca="false">IF($P816=0,"-",IF($O816&lt;=INDEX(PARAMETROS_CULTURAS!$F$6:$F$28,$P816),"INICIAL",IF($O816&lt;=INDEX(PARAMETROS_CULTURAS!$F$6:$F$28,$P816)+INDEX(PARAMETROS_CULTURAS!$G$6:$G$28,$P816),"DESENVOLVIMENTO",IF($O816&lt;=INDEX(PARAMETROS_CULTURAS!$F$6:$F$28,$P816)+INDEX(PARAMETROS_CULTURAS!$G$6:$G$28,$P816)+INDEX(PARAMETROS_CULTURAS!$H$6:$H$28,$P816),"MEDIA","FINAL"))))</f>
        <v>DESENVOLVIMENTO</v>
      </c>
      <c r="R816" s="24" t="n">
        <f aca="false">IF($P816=0,0,IF($O816&lt;=INDEX(PARAMETROS_CULTURAS!$F$6:$F$28,$P816),INDEX(PARAMETROS_CULTURAS!$K$6:$K$28,$P816),IF($O816&lt;=INDEX(PARAMETROS_CULTURAS!$F$6:$F$28,$P816)+INDEX(PARAMETROS_CULTURAS!$G$6:$G$28,$P816),INDEX(PARAMETROS_CULTURAS!$K$6:$K$28,$P816)+(INDEX(PARAMETROS_CULTURAS!$L$6:$L$28,$P816)-INDEX(PARAMETROS_CULTURAS!$K$6:$K$28,$P816))*($O816-INDEX(PARAMETROS_CULTURAS!$F$6:$F$28,$P816))/MAX(INDEX(PARAMETROS_CULTURAS!$G$6:$G$28,$P816),0.0001),IF($O816&lt;=INDEX(PARAMETROS_CULTURAS!$F$6:$F$28,$P816)+INDEX(PARAMETROS_CULTURAS!$G$6:$G$28,$P816)+INDEX(PARAMETROS_CULTURAS!$H$6:$H$28,$P816),INDEX(PARAMETROS_CULTURAS!$L$6:$L$28,$P816),INDEX(PARAMETROS_CULTURAS!$L$6:$L$28,$P816)+(INDEX(PARAMETROS_CULTURAS!$M$6:$M$28,$P816)-INDEX(PARAMETROS_CULTURAS!$L$6:$L$28,$P816))*($O816-INDEX(PARAMETROS_CULTURAS!$F$6:$F$28,$P816)-INDEX(PARAMETROS_CULTURAS!$G$6:$G$28,$P816)-INDEX(PARAMETROS_CULTURAS!$H$6:$H$28,$P816))/MAX(INDEX(PARAMETROS_CULTURAS!$I$6:$I$28,$P816),0.0001)))))</f>
        <v>0.488067061143984</v>
      </c>
      <c r="S816" s="18" t="n">
        <f aca="false">IFERROR(INDEX(SEMANAS!$H$6:$H$71,MATCH($B816,SEMANAS!$B$6:$B$71,0)),0)</f>
        <v>33.6</v>
      </c>
      <c r="T816" s="18" t="n">
        <f aca="false">$R816*$S816</f>
        <v>16.3990532544379</v>
      </c>
      <c r="U816" s="18" t="n">
        <f aca="false">IFERROR(INDEX(SEMANAS!$I$6:$I$71,MATCH($B816,SEMANAS!$B$6:$B$71,0)),0)</f>
        <v>45.15</v>
      </c>
      <c r="V816" s="18" t="n">
        <f aca="false">IFERROR(INDEX(SEMANAS!$J$6:$J$71,MATCH($B816,SEMANAS!$B$6:$B$71,0)),0)</f>
        <v>36.12</v>
      </c>
      <c r="W816" s="18" t="n">
        <f aca="false">MAX(0,$T816-$V816)</f>
        <v>0</v>
      </c>
      <c r="X816" s="19" t="n">
        <f aca="false">IFERROR(INDEX(CADASTRO_PIVOS!$K$6:$K$41,MATCH($E816,CADASTRO_PIVOS!$B$6:$B$41,0)),EFICIENCIA_PADRAO)</f>
        <v>0.85</v>
      </c>
      <c r="Y816" s="18" t="n">
        <f aca="false">IF($X816&lt;=0,0,$W816/$X816)</f>
        <v>0</v>
      </c>
      <c r="Z816" s="16" t="n">
        <f aca="false">$Y816*$H816*MM_PARA_M3_HA</f>
        <v>0</v>
      </c>
      <c r="AA816" s="18" t="n">
        <f aca="false">IFERROR(INDEX(CADASTRO_PIVOS!$I$6:$I$41,MATCH($E816,CADASTRO_PIVOS!$B$6:$B$41,0)),0)</f>
        <v>857</v>
      </c>
      <c r="AB816" s="18" t="n">
        <f aca="false">IF($Z816&lt;=0,0,$Z816/$AA816)</f>
        <v>0</v>
      </c>
      <c r="AC816" s="16" t="n">
        <f aca="false">IFERROR(INDEX(SEMANAS!$K$6:$K$71,MATCH($B816,SEMANAS!$B$6:$B$71,0)),0)</f>
        <v>147</v>
      </c>
      <c r="AD816" s="19" t="n">
        <f aca="false">IF($AC816&lt;=0,0,$AB816/$AC816)</f>
        <v>0</v>
      </c>
      <c r="AE816" s="8" t="str">
        <f aca="false">IF($K816="SEM CULTURA","SEM CULTURA",IF($AA816&lt;=0,"DADO PENDENTE",IF($AD816&gt;LIMITE_CRITICO,"INVIAVEL",IF($AD816&gt;LIMITE_ATENCAO,"CRITICO",IF($AD816&gt;LIMITE_CONFORTAVEL,"ATENCAO","OK")))))</f>
        <v>OK</v>
      </c>
      <c r="AF816" s="8" t="str">
        <f aca="false">$B816&amp;"|"&amp;TEXT($AD816,"0.000000")</f>
        <v>19|0.000000</v>
      </c>
      <c r="AG816" s="18" t="n">
        <f aca="false">IF($K816="SEM CULTURA",0,$T816*$H816)</f>
        <v>1967.55840946746</v>
      </c>
      <c r="AH816" s="18" t="n">
        <f aca="false">IF($K816="SEM CULTURA",0,$V816*$H816)</f>
        <v>4333.6776</v>
      </c>
      <c r="AI816" s="18" t="n">
        <f aca="false">IF($K816="SEM CULTURA",0,$W816*$H816)</f>
        <v>0</v>
      </c>
      <c r="AJ816" s="18" t="n">
        <f aca="false">IF($K816="SEM CULTURA",0,$S816*$H816)</f>
        <v>4031.328</v>
      </c>
      <c r="AK816" s="8" t="str">
        <f aca="false">$E816&amp;"|"&amp;TEXT($AD816,"0.000000")</f>
        <v>PV 114|0.000000</v>
      </c>
    </row>
    <row r="817" customFormat="false" ht="15" hidden="false" customHeight="false" outlineLevel="0" collapsed="false">
      <c r="B817" s="16" t="n">
        <v>20</v>
      </c>
      <c r="C817" s="17" t="n">
        <f aca="false">DATA_INICIO_SAFRA+($B817-1)*DIAS_POR_SEMANA</f>
        <v>46398</v>
      </c>
      <c r="D817" s="17" t="n">
        <f aca="false">$C817+DIAS_POR_SEMANA-1</f>
        <v>46404</v>
      </c>
      <c r="E817" s="15" t="s">
        <v>271</v>
      </c>
      <c r="F817" s="8" t="str">
        <f aca="false">IFERROR(INDEX(CADASTRO_PIVOS!$C$6:$C$41,MATCH($E817,CADASTRO_PIVOS!$B$6:$B$41,0)),"?")</f>
        <v>RM05</v>
      </c>
      <c r="G817" s="8" t="str">
        <f aca="false">IFERROR(INDEX(CADASTRO_PIVOS!$D$6:$D$41,MATCH($E817,CADASTRO_PIVOS!$B$6:$B$41,0)),"?")</f>
        <v>TR05</v>
      </c>
      <c r="H817" s="20" t="n">
        <f aca="false">IFERROR(INDEX(CADASTRO_PIVOS!$E$6:$E$41,MATCH($E817,CADASTRO_PIVOS!$B$6:$B$41,0)),0)</f>
        <v>119.98</v>
      </c>
      <c r="I817" s="16" t="n">
        <f aca="false">IFERROR(SUMIFS(ROTACAO_RDM!$B$6:$B$71,ROTACAO_RDM!$D$6:$D$71,$E817,ROTACAO_RDM!$I$6:$I$71,"&lt;="&amp;$C817+INT(DIAS_POR_SEMANA/2),ROTACAO_RDM!$J$6:$J$71,"&gt;="&amp;$C817+INT(DIAS_POR_SEMANA/2)),0)</f>
        <v>24</v>
      </c>
      <c r="J817" s="16" t="n">
        <f aca="false">IFERROR(MATCH($I817,ROTACAO_RDM!$B$6:$B$71,0),0)</f>
        <v>24</v>
      </c>
      <c r="K817" s="8" t="str">
        <f aca="false">IF($J817=0,"SEM CULTURA",INDEX(ROTACAO_RDM!$F$6:$F$71,$J817))</f>
        <v>ALGODAO</v>
      </c>
      <c r="L817" s="8" t="str">
        <f aca="false">IF($J817=0,"",INDEX(ROTACAO_RDM!$G$6:$G$71,$J817))</f>
        <v>FM 974 GLT</v>
      </c>
      <c r="M817" s="17" t="n">
        <f aca="false">IF($J817=0,"",INDEX(ROTACAO_RDM!$I$6:$I$71,$J817))</f>
        <v>46356</v>
      </c>
      <c r="N817" s="16" t="n">
        <f aca="false">IF($J817=0,0,MAX(0,$C817+INT(DIAS_POR_SEMANA/2)-INDEX(ROTACAO_RDM!$I$6:$I$71,$J817)))</f>
        <v>45</v>
      </c>
      <c r="O817" s="19" t="n">
        <f aca="false">IF($J817=0,0,MIN(1,$N817/MAX(1,INDEX(ROTACAO_RDM!$K$6:$K$71,$J817))))</f>
        <v>0.230769230769231</v>
      </c>
      <c r="P817" s="16" t="n">
        <f aca="false">IF($J817=0,0,IFERROR(MATCH(INDEX(ROTACAO_RDM!$N$6:$N$71,$J817),PARAMETROS_CULTURAS!$B$6:$B$28,0),0))</f>
        <v>5</v>
      </c>
      <c r="Q817" s="8" t="str">
        <f aca="false">IF($P817=0,"-",IF($O817&lt;=INDEX(PARAMETROS_CULTURAS!$F$6:$F$28,$P817),"INICIAL",IF($O817&lt;=INDEX(PARAMETROS_CULTURAS!$F$6:$F$28,$P817)+INDEX(PARAMETROS_CULTURAS!$G$6:$G$28,$P817),"DESENVOLVIMENTO",IF($O817&lt;=INDEX(PARAMETROS_CULTURAS!$F$6:$F$28,$P817)+INDEX(PARAMETROS_CULTURAS!$G$6:$G$28,$P817)+INDEX(PARAMETROS_CULTURAS!$H$6:$H$28,$P817),"MEDIA","FINAL"))))</f>
        <v>DESENVOLVIMENTO</v>
      </c>
      <c r="R817" s="24" t="n">
        <f aca="false">IF($P817=0,0,IF($O817&lt;=INDEX(PARAMETROS_CULTURAS!$F$6:$F$28,$P817),INDEX(PARAMETROS_CULTURAS!$K$6:$K$28,$P817),IF($O817&lt;=INDEX(PARAMETROS_CULTURAS!$F$6:$F$28,$P817)+INDEX(PARAMETROS_CULTURAS!$G$6:$G$28,$P817),INDEX(PARAMETROS_CULTURAS!$K$6:$K$28,$P817)+(INDEX(PARAMETROS_CULTURAS!$L$6:$L$28,$P817)-INDEX(PARAMETROS_CULTURAS!$K$6:$K$28,$P817))*($O817-INDEX(PARAMETROS_CULTURAS!$F$6:$F$28,$P817))/MAX(INDEX(PARAMETROS_CULTURAS!$G$6:$G$28,$P817),0.0001),IF($O817&lt;=INDEX(PARAMETROS_CULTURAS!$F$6:$F$28,$P817)+INDEX(PARAMETROS_CULTURAS!$G$6:$G$28,$P817)+INDEX(PARAMETROS_CULTURAS!$H$6:$H$28,$P817),INDEX(PARAMETROS_CULTURAS!$L$6:$L$28,$P817),INDEX(PARAMETROS_CULTURAS!$L$6:$L$28,$P817)+(INDEX(PARAMETROS_CULTURAS!$M$6:$M$28,$P817)-INDEX(PARAMETROS_CULTURAS!$L$6:$L$28,$P817))*($O817-INDEX(PARAMETROS_CULTURAS!$F$6:$F$28,$P817)-INDEX(PARAMETROS_CULTURAS!$G$6:$G$28,$P817)-INDEX(PARAMETROS_CULTURAS!$H$6:$H$28,$P817))/MAX(INDEX(PARAMETROS_CULTURAS!$I$6:$I$28,$P817),0.0001)))))</f>
        <v>0.598520710059172</v>
      </c>
      <c r="S817" s="18" t="n">
        <f aca="false">IFERROR(INDEX(SEMANAS!$H$6:$H$71,MATCH($B817,SEMANAS!$B$6:$B$71,0)),0)</f>
        <v>33.6</v>
      </c>
      <c r="T817" s="18" t="n">
        <f aca="false">$R817*$S817</f>
        <v>20.1102958579882</v>
      </c>
      <c r="U817" s="18" t="n">
        <f aca="false">IFERROR(INDEX(SEMANAS!$I$6:$I$71,MATCH($B817,SEMANAS!$B$6:$B$71,0)),0)</f>
        <v>45.15</v>
      </c>
      <c r="V817" s="18" t="n">
        <f aca="false">IFERROR(INDEX(SEMANAS!$J$6:$J$71,MATCH($B817,SEMANAS!$B$6:$B$71,0)),0)</f>
        <v>36.12</v>
      </c>
      <c r="W817" s="18" t="n">
        <f aca="false">MAX(0,$T817-$V817)</f>
        <v>0</v>
      </c>
      <c r="X817" s="19" t="n">
        <f aca="false">IFERROR(INDEX(CADASTRO_PIVOS!$K$6:$K$41,MATCH($E817,CADASTRO_PIVOS!$B$6:$B$41,0)),EFICIENCIA_PADRAO)</f>
        <v>0.85</v>
      </c>
      <c r="Y817" s="18" t="n">
        <f aca="false">IF($X817&lt;=0,0,$W817/$X817)</f>
        <v>0</v>
      </c>
      <c r="Z817" s="16" t="n">
        <f aca="false">$Y817*$H817*MM_PARA_M3_HA</f>
        <v>0</v>
      </c>
      <c r="AA817" s="18" t="n">
        <f aca="false">IFERROR(INDEX(CADASTRO_PIVOS!$I$6:$I$41,MATCH($E817,CADASTRO_PIVOS!$B$6:$B$41,0)),0)</f>
        <v>857</v>
      </c>
      <c r="AB817" s="18" t="n">
        <f aca="false">IF($Z817&lt;=0,0,$Z817/$AA817)</f>
        <v>0</v>
      </c>
      <c r="AC817" s="16" t="n">
        <f aca="false">IFERROR(INDEX(SEMANAS!$K$6:$K$71,MATCH($B817,SEMANAS!$B$6:$B$71,0)),0)</f>
        <v>147</v>
      </c>
      <c r="AD817" s="19" t="n">
        <f aca="false">IF($AC817&lt;=0,0,$AB817/$AC817)</f>
        <v>0</v>
      </c>
      <c r="AE817" s="8" t="str">
        <f aca="false">IF($K817="SEM CULTURA","SEM CULTURA",IF($AA817&lt;=0,"DADO PENDENTE",IF($AD817&gt;LIMITE_CRITICO,"INVIAVEL",IF($AD817&gt;LIMITE_ATENCAO,"CRITICO",IF($AD817&gt;LIMITE_CONFORTAVEL,"ATENCAO","OK")))))</f>
        <v>OK</v>
      </c>
      <c r="AF817" s="8" t="str">
        <f aca="false">$B817&amp;"|"&amp;TEXT($AD817,"0.000000")</f>
        <v>20|0.000000</v>
      </c>
      <c r="AG817" s="18" t="n">
        <f aca="false">IF($K817="SEM CULTURA",0,$T817*$H817)</f>
        <v>2412.83329704142</v>
      </c>
      <c r="AH817" s="18" t="n">
        <f aca="false">IF($K817="SEM CULTURA",0,$V817*$H817)</f>
        <v>4333.6776</v>
      </c>
      <c r="AI817" s="18" t="n">
        <f aca="false">IF($K817="SEM CULTURA",0,$W817*$H817)</f>
        <v>0</v>
      </c>
      <c r="AJ817" s="18" t="n">
        <f aca="false">IF($K817="SEM CULTURA",0,$S817*$H817)</f>
        <v>4031.328</v>
      </c>
      <c r="AK817" s="8" t="str">
        <f aca="false">$E817&amp;"|"&amp;TEXT($AD817,"0.000000")</f>
        <v>PV 114|0.000000</v>
      </c>
    </row>
    <row r="818" customFormat="false" ht="15" hidden="false" customHeight="false" outlineLevel="0" collapsed="false">
      <c r="B818" s="16" t="n">
        <v>21</v>
      </c>
      <c r="C818" s="17" t="n">
        <f aca="false">DATA_INICIO_SAFRA+($B818-1)*DIAS_POR_SEMANA</f>
        <v>46405</v>
      </c>
      <c r="D818" s="17" t="n">
        <f aca="false">$C818+DIAS_POR_SEMANA-1</f>
        <v>46411</v>
      </c>
      <c r="E818" s="15" t="s">
        <v>271</v>
      </c>
      <c r="F818" s="8" t="str">
        <f aca="false">IFERROR(INDEX(CADASTRO_PIVOS!$C$6:$C$41,MATCH($E818,CADASTRO_PIVOS!$B$6:$B$41,0)),"?")</f>
        <v>RM05</v>
      </c>
      <c r="G818" s="8" t="str">
        <f aca="false">IFERROR(INDEX(CADASTRO_PIVOS!$D$6:$D$41,MATCH($E818,CADASTRO_PIVOS!$B$6:$B$41,0)),"?")</f>
        <v>TR05</v>
      </c>
      <c r="H818" s="20" t="n">
        <f aca="false">IFERROR(INDEX(CADASTRO_PIVOS!$E$6:$E$41,MATCH($E818,CADASTRO_PIVOS!$B$6:$B$41,0)),0)</f>
        <v>119.98</v>
      </c>
      <c r="I818" s="16" t="n">
        <f aca="false">IFERROR(SUMIFS(ROTACAO_RDM!$B$6:$B$71,ROTACAO_RDM!$D$6:$D$71,$E818,ROTACAO_RDM!$I$6:$I$71,"&lt;="&amp;$C818+INT(DIAS_POR_SEMANA/2),ROTACAO_RDM!$J$6:$J$71,"&gt;="&amp;$C818+INT(DIAS_POR_SEMANA/2)),0)</f>
        <v>24</v>
      </c>
      <c r="J818" s="16" t="n">
        <f aca="false">IFERROR(MATCH($I818,ROTACAO_RDM!$B$6:$B$71,0),0)</f>
        <v>24</v>
      </c>
      <c r="K818" s="8" t="str">
        <f aca="false">IF($J818=0,"SEM CULTURA",INDEX(ROTACAO_RDM!$F$6:$F$71,$J818))</f>
        <v>ALGODAO</v>
      </c>
      <c r="L818" s="8" t="str">
        <f aca="false">IF($J818=0,"",INDEX(ROTACAO_RDM!$G$6:$G$71,$J818))</f>
        <v>FM 974 GLT</v>
      </c>
      <c r="M818" s="17" t="n">
        <f aca="false">IF($J818=0,"",INDEX(ROTACAO_RDM!$I$6:$I$71,$J818))</f>
        <v>46356</v>
      </c>
      <c r="N818" s="16" t="n">
        <f aca="false">IF($J818=0,0,MAX(0,$C818+INT(DIAS_POR_SEMANA/2)-INDEX(ROTACAO_RDM!$I$6:$I$71,$J818)))</f>
        <v>52</v>
      </c>
      <c r="O818" s="19" t="n">
        <f aca="false">IF($J818=0,0,MIN(1,$N818/MAX(1,INDEX(ROTACAO_RDM!$K$6:$K$71,$J818))))</f>
        <v>0.266666666666667</v>
      </c>
      <c r="P818" s="16" t="n">
        <f aca="false">IF($J818=0,0,IFERROR(MATCH(INDEX(ROTACAO_RDM!$N$6:$N$71,$J818),PARAMETROS_CULTURAS!$B$6:$B$28,0),0))</f>
        <v>5</v>
      </c>
      <c r="Q818" s="8" t="str">
        <f aca="false">IF($P818=0,"-",IF($O818&lt;=INDEX(PARAMETROS_CULTURAS!$F$6:$F$28,$P818),"INICIAL",IF($O818&lt;=INDEX(PARAMETROS_CULTURAS!$F$6:$F$28,$P818)+INDEX(PARAMETROS_CULTURAS!$G$6:$G$28,$P818),"DESENVOLVIMENTO",IF($O818&lt;=INDEX(PARAMETROS_CULTURAS!$F$6:$F$28,$P818)+INDEX(PARAMETROS_CULTURAS!$G$6:$G$28,$P818)+INDEX(PARAMETROS_CULTURAS!$H$6:$H$28,$P818),"MEDIA","FINAL"))))</f>
        <v>DESENVOLVIMENTO</v>
      </c>
      <c r="R818" s="24" t="n">
        <f aca="false">IF($P818=0,0,IF($O818&lt;=INDEX(PARAMETROS_CULTURAS!$F$6:$F$28,$P818),INDEX(PARAMETROS_CULTURAS!$K$6:$K$28,$P818),IF($O818&lt;=INDEX(PARAMETROS_CULTURAS!$F$6:$F$28,$P818)+INDEX(PARAMETROS_CULTURAS!$G$6:$G$28,$P818),INDEX(PARAMETROS_CULTURAS!$K$6:$K$28,$P818)+(INDEX(PARAMETROS_CULTURAS!$L$6:$L$28,$P818)-INDEX(PARAMETROS_CULTURAS!$K$6:$K$28,$P818))*($O818-INDEX(PARAMETROS_CULTURAS!$F$6:$F$28,$P818))/MAX(INDEX(PARAMETROS_CULTURAS!$G$6:$G$28,$P818),0.0001),IF($O818&lt;=INDEX(PARAMETROS_CULTURAS!$F$6:$F$28,$P818)+INDEX(PARAMETROS_CULTURAS!$G$6:$G$28,$P818)+INDEX(PARAMETROS_CULTURAS!$H$6:$H$28,$P818),INDEX(PARAMETROS_CULTURAS!$L$6:$L$28,$P818),INDEX(PARAMETROS_CULTURAS!$L$6:$L$28,$P818)+(INDEX(PARAMETROS_CULTURAS!$M$6:$M$28,$P818)-INDEX(PARAMETROS_CULTURAS!$L$6:$L$28,$P818))*($O818-INDEX(PARAMETROS_CULTURAS!$F$6:$F$28,$P818)-INDEX(PARAMETROS_CULTURAS!$G$6:$G$28,$P818)-INDEX(PARAMETROS_CULTURAS!$H$6:$H$28,$P818))/MAX(INDEX(PARAMETROS_CULTURAS!$I$6:$I$28,$P818),0.0001)))))</f>
        <v>0.708974358974359</v>
      </c>
      <c r="S818" s="18" t="n">
        <f aca="false">IFERROR(INDEX(SEMANAS!$H$6:$H$71,MATCH($B818,SEMANAS!$B$6:$B$71,0)),0)</f>
        <v>33.6</v>
      </c>
      <c r="T818" s="18" t="n">
        <f aca="false">$R818*$S818</f>
        <v>23.8215384615385</v>
      </c>
      <c r="U818" s="18" t="n">
        <f aca="false">IFERROR(INDEX(SEMANAS!$I$6:$I$71,MATCH($B818,SEMANAS!$B$6:$B$71,0)),0)</f>
        <v>45.15</v>
      </c>
      <c r="V818" s="18" t="n">
        <f aca="false">IFERROR(INDEX(SEMANAS!$J$6:$J$71,MATCH($B818,SEMANAS!$B$6:$B$71,0)),0)</f>
        <v>36.12</v>
      </c>
      <c r="W818" s="18" t="n">
        <f aca="false">MAX(0,$T818-$V818)</f>
        <v>0</v>
      </c>
      <c r="X818" s="19" t="n">
        <f aca="false">IFERROR(INDEX(CADASTRO_PIVOS!$K$6:$K$41,MATCH($E818,CADASTRO_PIVOS!$B$6:$B$41,0)),EFICIENCIA_PADRAO)</f>
        <v>0.85</v>
      </c>
      <c r="Y818" s="18" t="n">
        <f aca="false">IF($X818&lt;=0,0,$W818/$X818)</f>
        <v>0</v>
      </c>
      <c r="Z818" s="16" t="n">
        <f aca="false">$Y818*$H818*MM_PARA_M3_HA</f>
        <v>0</v>
      </c>
      <c r="AA818" s="18" t="n">
        <f aca="false">IFERROR(INDEX(CADASTRO_PIVOS!$I$6:$I$41,MATCH($E818,CADASTRO_PIVOS!$B$6:$B$41,0)),0)</f>
        <v>857</v>
      </c>
      <c r="AB818" s="18" t="n">
        <f aca="false">IF($Z818&lt;=0,0,$Z818/$AA818)</f>
        <v>0</v>
      </c>
      <c r="AC818" s="16" t="n">
        <f aca="false">IFERROR(INDEX(SEMANAS!$K$6:$K$71,MATCH($B818,SEMANAS!$B$6:$B$71,0)),0)</f>
        <v>147</v>
      </c>
      <c r="AD818" s="19" t="n">
        <f aca="false">IF($AC818&lt;=0,0,$AB818/$AC818)</f>
        <v>0</v>
      </c>
      <c r="AE818" s="8" t="str">
        <f aca="false">IF($K818="SEM CULTURA","SEM CULTURA",IF($AA818&lt;=0,"DADO PENDENTE",IF($AD818&gt;LIMITE_CRITICO,"INVIAVEL",IF($AD818&gt;LIMITE_ATENCAO,"CRITICO",IF($AD818&gt;LIMITE_CONFORTAVEL,"ATENCAO","OK")))))</f>
        <v>OK</v>
      </c>
      <c r="AF818" s="8" t="str">
        <f aca="false">$B818&amp;"|"&amp;TEXT($AD818,"0.000000")</f>
        <v>21|0.000000</v>
      </c>
      <c r="AG818" s="18" t="n">
        <f aca="false">IF($K818="SEM CULTURA",0,$T818*$H818)</f>
        <v>2858.10818461538</v>
      </c>
      <c r="AH818" s="18" t="n">
        <f aca="false">IF($K818="SEM CULTURA",0,$V818*$H818)</f>
        <v>4333.6776</v>
      </c>
      <c r="AI818" s="18" t="n">
        <f aca="false">IF($K818="SEM CULTURA",0,$W818*$H818)</f>
        <v>0</v>
      </c>
      <c r="AJ818" s="18" t="n">
        <f aca="false">IF($K818="SEM CULTURA",0,$S818*$H818)</f>
        <v>4031.328</v>
      </c>
      <c r="AK818" s="8" t="str">
        <f aca="false">$E818&amp;"|"&amp;TEXT($AD818,"0.000000")</f>
        <v>PV 114|0.000000</v>
      </c>
    </row>
    <row r="819" customFormat="false" ht="15" hidden="false" customHeight="false" outlineLevel="0" collapsed="false">
      <c r="B819" s="16" t="n">
        <v>22</v>
      </c>
      <c r="C819" s="17" t="n">
        <f aca="false">DATA_INICIO_SAFRA+($B819-1)*DIAS_POR_SEMANA</f>
        <v>46412</v>
      </c>
      <c r="D819" s="17" t="n">
        <f aca="false">$C819+DIAS_POR_SEMANA-1</f>
        <v>46418</v>
      </c>
      <c r="E819" s="15" t="s">
        <v>271</v>
      </c>
      <c r="F819" s="8" t="str">
        <f aca="false">IFERROR(INDEX(CADASTRO_PIVOS!$C$6:$C$41,MATCH($E819,CADASTRO_PIVOS!$B$6:$B$41,0)),"?")</f>
        <v>RM05</v>
      </c>
      <c r="G819" s="8" t="str">
        <f aca="false">IFERROR(INDEX(CADASTRO_PIVOS!$D$6:$D$41,MATCH($E819,CADASTRO_PIVOS!$B$6:$B$41,0)),"?")</f>
        <v>TR05</v>
      </c>
      <c r="H819" s="20" t="n">
        <f aca="false">IFERROR(INDEX(CADASTRO_PIVOS!$E$6:$E$41,MATCH($E819,CADASTRO_PIVOS!$B$6:$B$41,0)),0)</f>
        <v>119.98</v>
      </c>
      <c r="I819" s="16" t="n">
        <f aca="false">IFERROR(SUMIFS(ROTACAO_RDM!$B$6:$B$71,ROTACAO_RDM!$D$6:$D$71,$E819,ROTACAO_RDM!$I$6:$I$71,"&lt;="&amp;$C819+INT(DIAS_POR_SEMANA/2),ROTACAO_RDM!$J$6:$J$71,"&gt;="&amp;$C819+INT(DIAS_POR_SEMANA/2)),0)</f>
        <v>24</v>
      </c>
      <c r="J819" s="16" t="n">
        <f aca="false">IFERROR(MATCH($I819,ROTACAO_RDM!$B$6:$B$71,0),0)</f>
        <v>24</v>
      </c>
      <c r="K819" s="8" t="str">
        <f aca="false">IF($J819=0,"SEM CULTURA",INDEX(ROTACAO_RDM!$F$6:$F$71,$J819))</f>
        <v>ALGODAO</v>
      </c>
      <c r="L819" s="8" t="str">
        <f aca="false">IF($J819=0,"",INDEX(ROTACAO_RDM!$G$6:$G$71,$J819))</f>
        <v>FM 974 GLT</v>
      </c>
      <c r="M819" s="17" t="n">
        <f aca="false">IF($J819=0,"",INDEX(ROTACAO_RDM!$I$6:$I$71,$J819))</f>
        <v>46356</v>
      </c>
      <c r="N819" s="16" t="n">
        <f aca="false">IF($J819=0,0,MAX(0,$C819+INT(DIAS_POR_SEMANA/2)-INDEX(ROTACAO_RDM!$I$6:$I$71,$J819)))</f>
        <v>59</v>
      </c>
      <c r="O819" s="19" t="n">
        <f aca="false">IF($J819=0,0,MIN(1,$N819/MAX(1,INDEX(ROTACAO_RDM!$K$6:$K$71,$J819))))</f>
        <v>0.302564102564103</v>
      </c>
      <c r="P819" s="16" t="n">
        <f aca="false">IF($J819=0,0,IFERROR(MATCH(INDEX(ROTACAO_RDM!$N$6:$N$71,$J819),PARAMETROS_CULTURAS!$B$6:$B$28,0),0))</f>
        <v>5</v>
      </c>
      <c r="Q819" s="8" t="str">
        <f aca="false">IF($P819=0,"-",IF($O819&lt;=INDEX(PARAMETROS_CULTURAS!$F$6:$F$28,$P819),"INICIAL",IF($O819&lt;=INDEX(PARAMETROS_CULTURAS!$F$6:$F$28,$P819)+INDEX(PARAMETROS_CULTURAS!$G$6:$G$28,$P819),"DESENVOLVIMENTO",IF($O819&lt;=INDEX(PARAMETROS_CULTURAS!$F$6:$F$28,$P819)+INDEX(PARAMETROS_CULTURAS!$G$6:$G$28,$P819)+INDEX(PARAMETROS_CULTURAS!$H$6:$H$28,$P819),"MEDIA","FINAL"))))</f>
        <v>DESENVOLVIMENTO</v>
      </c>
      <c r="R819" s="24" t="n">
        <f aca="false">IF($P819=0,0,IF($O819&lt;=INDEX(PARAMETROS_CULTURAS!$F$6:$F$28,$P819),INDEX(PARAMETROS_CULTURAS!$K$6:$K$28,$P819),IF($O819&lt;=INDEX(PARAMETROS_CULTURAS!$F$6:$F$28,$P819)+INDEX(PARAMETROS_CULTURAS!$G$6:$G$28,$P819),INDEX(PARAMETROS_CULTURAS!$K$6:$K$28,$P819)+(INDEX(PARAMETROS_CULTURAS!$L$6:$L$28,$P819)-INDEX(PARAMETROS_CULTURAS!$K$6:$K$28,$P819))*($O819-INDEX(PARAMETROS_CULTURAS!$F$6:$F$28,$P819))/MAX(INDEX(PARAMETROS_CULTURAS!$G$6:$G$28,$P819),0.0001),IF($O819&lt;=INDEX(PARAMETROS_CULTURAS!$F$6:$F$28,$P819)+INDEX(PARAMETROS_CULTURAS!$G$6:$G$28,$P819)+INDEX(PARAMETROS_CULTURAS!$H$6:$H$28,$P819),INDEX(PARAMETROS_CULTURAS!$L$6:$L$28,$P819),INDEX(PARAMETROS_CULTURAS!$L$6:$L$28,$P819)+(INDEX(PARAMETROS_CULTURAS!$M$6:$M$28,$P819)-INDEX(PARAMETROS_CULTURAS!$L$6:$L$28,$P819))*($O819-INDEX(PARAMETROS_CULTURAS!$F$6:$F$28,$P819)-INDEX(PARAMETROS_CULTURAS!$G$6:$G$28,$P819)-INDEX(PARAMETROS_CULTURAS!$H$6:$H$28,$P819))/MAX(INDEX(PARAMETROS_CULTURAS!$I$6:$I$28,$P819),0.0001)))))</f>
        <v>0.819428007889546</v>
      </c>
      <c r="S819" s="18" t="n">
        <f aca="false">IFERROR(INDEX(SEMANAS!$H$6:$H$71,MATCH($B819,SEMANAS!$B$6:$B$71,0)),0)</f>
        <v>33.6</v>
      </c>
      <c r="T819" s="18" t="n">
        <f aca="false">$R819*$S819</f>
        <v>27.5327810650888</v>
      </c>
      <c r="U819" s="18" t="n">
        <f aca="false">IFERROR(INDEX(SEMANAS!$I$6:$I$71,MATCH($B819,SEMANAS!$B$6:$B$71,0)),0)</f>
        <v>45.15</v>
      </c>
      <c r="V819" s="18" t="n">
        <f aca="false">IFERROR(INDEX(SEMANAS!$J$6:$J$71,MATCH($B819,SEMANAS!$B$6:$B$71,0)),0)</f>
        <v>36.12</v>
      </c>
      <c r="W819" s="18" t="n">
        <f aca="false">MAX(0,$T819-$V819)</f>
        <v>0</v>
      </c>
      <c r="X819" s="19" t="n">
        <f aca="false">IFERROR(INDEX(CADASTRO_PIVOS!$K$6:$K$41,MATCH($E819,CADASTRO_PIVOS!$B$6:$B$41,0)),EFICIENCIA_PADRAO)</f>
        <v>0.85</v>
      </c>
      <c r="Y819" s="18" t="n">
        <f aca="false">IF($X819&lt;=0,0,$W819/$X819)</f>
        <v>0</v>
      </c>
      <c r="Z819" s="16" t="n">
        <f aca="false">$Y819*$H819*MM_PARA_M3_HA</f>
        <v>0</v>
      </c>
      <c r="AA819" s="18" t="n">
        <f aca="false">IFERROR(INDEX(CADASTRO_PIVOS!$I$6:$I$41,MATCH($E819,CADASTRO_PIVOS!$B$6:$B$41,0)),0)</f>
        <v>857</v>
      </c>
      <c r="AB819" s="18" t="n">
        <f aca="false">IF($Z819&lt;=0,0,$Z819/$AA819)</f>
        <v>0</v>
      </c>
      <c r="AC819" s="16" t="n">
        <f aca="false">IFERROR(INDEX(SEMANAS!$K$6:$K$71,MATCH($B819,SEMANAS!$B$6:$B$71,0)),0)</f>
        <v>147</v>
      </c>
      <c r="AD819" s="19" t="n">
        <f aca="false">IF($AC819&lt;=0,0,$AB819/$AC819)</f>
        <v>0</v>
      </c>
      <c r="AE819" s="8" t="str">
        <f aca="false">IF($K819="SEM CULTURA","SEM CULTURA",IF($AA819&lt;=0,"DADO PENDENTE",IF($AD819&gt;LIMITE_CRITICO,"INVIAVEL",IF($AD819&gt;LIMITE_ATENCAO,"CRITICO",IF($AD819&gt;LIMITE_CONFORTAVEL,"ATENCAO","OK")))))</f>
        <v>OK</v>
      </c>
      <c r="AF819" s="8" t="str">
        <f aca="false">$B819&amp;"|"&amp;TEXT($AD819,"0.000000")</f>
        <v>22|0.000000</v>
      </c>
      <c r="AG819" s="18" t="n">
        <f aca="false">IF($K819="SEM CULTURA",0,$T819*$H819)</f>
        <v>3303.38307218935</v>
      </c>
      <c r="AH819" s="18" t="n">
        <f aca="false">IF($K819="SEM CULTURA",0,$V819*$H819)</f>
        <v>4333.6776</v>
      </c>
      <c r="AI819" s="18" t="n">
        <f aca="false">IF($K819="SEM CULTURA",0,$W819*$H819)</f>
        <v>0</v>
      </c>
      <c r="AJ819" s="18" t="n">
        <f aca="false">IF($K819="SEM CULTURA",0,$S819*$H819)</f>
        <v>4031.328</v>
      </c>
      <c r="AK819" s="8" t="str">
        <f aca="false">$E819&amp;"|"&amp;TEXT($AD819,"0.000000")</f>
        <v>PV 114|0.000000</v>
      </c>
    </row>
    <row r="820" customFormat="false" ht="15" hidden="false" customHeight="false" outlineLevel="0" collapsed="false">
      <c r="B820" s="16" t="n">
        <v>23</v>
      </c>
      <c r="C820" s="17" t="n">
        <f aca="false">DATA_INICIO_SAFRA+($B820-1)*DIAS_POR_SEMANA</f>
        <v>46419</v>
      </c>
      <c r="D820" s="17" t="n">
        <f aca="false">$C820+DIAS_POR_SEMANA-1</f>
        <v>46425</v>
      </c>
      <c r="E820" s="15" t="s">
        <v>271</v>
      </c>
      <c r="F820" s="8" t="str">
        <f aca="false">IFERROR(INDEX(CADASTRO_PIVOS!$C$6:$C$41,MATCH($E820,CADASTRO_PIVOS!$B$6:$B$41,0)),"?")</f>
        <v>RM05</v>
      </c>
      <c r="G820" s="8" t="str">
        <f aca="false">IFERROR(INDEX(CADASTRO_PIVOS!$D$6:$D$41,MATCH($E820,CADASTRO_PIVOS!$B$6:$B$41,0)),"?")</f>
        <v>TR05</v>
      </c>
      <c r="H820" s="20" t="n">
        <f aca="false">IFERROR(INDEX(CADASTRO_PIVOS!$E$6:$E$41,MATCH($E820,CADASTRO_PIVOS!$B$6:$B$41,0)),0)</f>
        <v>119.98</v>
      </c>
      <c r="I820" s="16" t="n">
        <f aca="false">IFERROR(SUMIFS(ROTACAO_RDM!$B$6:$B$71,ROTACAO_RDM!$D$6:$D$71,$E820,ROTACAO_RDM!$I$6:$I$71,"&lt;="&amp;$C820+INT(DIAS_POR_SEMANA/2),ROTACAO_RDM!$J$6:$J$71,"&gt;="&amp;$C820+INT(DIAS_POR_SEMANA/2)),0)</f>
        <v>24</v>
      </c>
      <c r="J820" s="16" t="n">
        <f aca="false">IFERROR(MATCH($I820,ROTACAO_RDM!$B$6:$B$71,0),0)</f>
        <v>24</v>
      </c>
      <c r="K820" s="8" t="str">
        <f aca="false">IF($J820=0,"SEM CULTURA",INDEX(ROTACAO_RDM!$F$6:$F$71,$J820))</f>
        <v>ALGODAO</v>
      </c>
      <c r="L820" s="8" t="str">
        <f aca="false">IF($J820=0,"",INDEX(ROTACAO_RDM!$G$6:$G$71,$J820))</f>
        <v>FM 974 GLT</v>
      </c>
      <c r="M820" s="17" t="n">
        <f aca="false">IF($J820=0,"",INDEX(ROTACAO_RDM!$I$6:$I$71,$J820))</f>
        <v>46356</v>
      </c>
      <c r="N820" s="16" t="n">
        <f aca="false">IF($J820=0,0,MAX(0,$C820+INT(DIAS_POR_SEMANA/2)-INDEX(ROTACAO_RDM!$I$6:$I$71,$J820)))</f>
        <v>66</v>
      </c>
      <c r="O820" s="19" t="n">
        <f aca="false">IF($J820=0,0,MIN(1,$N820/MAX(1,INDEX(ROTACAO_RDM!$K$6:$K$71,$J820))))</f>
        <v>0.338461538461539</v>
      </c>
      <c r="P820" s="16" t="n">
        <f aca="false">IF($J820=0,0,IFERROR(MATCH(INDEX(ROTACAO_RDM!$N$6:$N$71,$J820),PARAMETROS_CULTURAS!$B$6:$B$28,0),0))</f>
        <v>5</v>
      </c>
      <c r="Q820" s="8" t="str">
        <f aca="false">IF($P820=0,"-",IF($O820&lt;=INDEX(PARAMETROS_CULTURAS!$F$6:$F$28,$P820),"INICIAL",IF($O820&lt;=INDEX(PARAMETROS_CULTURAS!$F$6:$F$28,$P820)+INDEX(PARAMETROS_CULTURAS!$G$6:$G$28,$P820),"DESENVOLVIMENTO",IF($O820&lt;=INDEX(PARAMETROS_CULTURAS!$F$6:$F$28,$P820)+INDEX(PARAMETROS_CULTURAS!$G$6:$G$28,$P820)+INDEX(PARAMETROS_CULTURAS!$H$6:$H$28,$P820),"MEDIA","FINAL"))))</f>
        <v>DESENVOLVIMENTO</v>
      </c>
      <c r="R820" s="24" t="n">
        <f aca="false">IF($P820=0,0,IF($O820&lt;=INDEX(PARAMETROS_CULTURAS!$F$6:$F$28,$P820),INDEX(PARAMETROS_CULTURAS!$K$6:$K$28,$P820),IF($O820&lt;=INDEX(PARAMETROS_CULTURAS!$F$6:$F$28,$P820)+INDEX(PARAMETROS_CULTURAS!$G$6:$G$28,$P820),INDEX(PARAMETROS_CULTURAS!$K$6:$K$28,$P820)+(INDEX(PARAMETROS_CULTURAS!$L$6:$L$28,$P820)-INDEX(PARAMETROS_CULTURAS!$K$6:$K$28,$P820))*($O820-INDEX(PARAMETROS_CULTURAS!$F$6:$F$28,$P820))/MAX(INDEX(PARAMETROS_CULTURAS!$G$6:$G$28,$P820),0.0001),IF($O820&lt;=INDEX(PARAMETROS_CULTURAS!$F$6:$F$28,$P820)+INDEX(PARAMETROS_CULTURAS!$G$6:$G$28,$P820)+INDEX(PARAMETROS_CULTURAS!$H$6:$H$28,$P820),INDEX(PARAMETROS_CULTURAS!$L$6:$L$28,$P820),INDEX(PARAMETROS_CULTURAS!$L$6:$L$28,$P820)+(INDEX(PARAMETROS_CULTURAS!$M$6:$M$28,$P820)-INDEX(PARAMETROS_CULTURAS!$L$6:$L$28,$P820))*($O820-INDEX(PARAMETROS_CULTURAS!$F$6:$F$28,$P820)-INDEX(PARAMETROS_CULTURAS!$G$6:$G$28,$P820)-INDEX(PARAMETROS_CULTURAS!$H$6:$H$28,$P820))/MAX(INDEX(PARAMETROS_CULTURAS!$I$6:$I$28,$P820),0.0001)))))</f>
        <v>0.929881656804734</v>
      </c>
      <c r="S820" s="18" t="n">
        <f aca="false">IFERROR(INDEX(SEMANAS!$H$6:$H$71,MATCH($B820,SEMANAS!$B$6:$B$71,0)),0)</f>
        <v>32.9</v>
      </c>
      <c r="T820" s="18" t="n">
        <f aca="false">$R820*$S820</f>
        <v>30.5931065088757</v>
      </c>
      <c r="U820" s="18" t="n">
        <f aca="false">IFERROR(INDEX(SEMANAS!$I$6:$I$71,MATCH($B820,SEMANAS!$B$6:$B$71,0)),0)</f>
        <v>39.97</v>
      </c>
      <c r="V820" s="18" t="n">
        <f aca="false">IFERROR(INDEX(SEMANAS!$J$6:$J$71,MATCH($B820,SEMANAS!$B$6:$B$71,0)),0)</f>
        <v>31.976</v>
      </c>
      <c r="W820" s="18" t="n">
        <f aca="false">MAX(0,$T820-$V820)</f>
        <v>0</v>
      </c>
      <c r="X820" s="19" t="n">
        <f aca="false">IFERROR(INDEX(CADASTRO_PIVOS!$K$6:$K$41,MATCH($E820,CADASTRO_PIVOS!$B$6:$B$41,0)),EFICIENCIA_PADRAO)</f>
        <v>0.85</v>
      </c>
      <c r="Y820" s="18" t="n">
        <f aca="false">IF($X820&lt;=0,0,$W820/$X820)</f>
        <v>0</v>
      </c>
      <c r="Z820" s="16" t="n">
        <f aca="false">$Y820*$H820*MM_PARA_M3_HA</f>
        <v>0</v>
      </c>
      <c r="AA820" s="18" t="n">
        <f aca="false">IFERROR(INDEX(CADASTRO_PIVOS!$I$6:$I$41,MATCH($E820,CADASTRO_PIVOS!$B$6:$B$41,0)),0)</f>
        <v>857</v>
      </c>
      <c r="AB820" s="18" t="n">
        <f aca="false">IF($Z820&lt;=0,0,$Z820/$AA820)</f>
        <v>0</v>
      </c>
      <c r="AC820" s="16" t="n">
        <f aca="false">IFERROR(INDEX(SEMANAS!$K$6:$K$71,MATCH($B820,SEMANAS!$B$6:$B$71,0)),0)</f>
        <v>147</v>
      </c>
      <c r="AD820" s="19" t="n">
        <f aca="false">IF($AC820&lt;=0,0,$AB820/$AC820)</f>
        <v>0</v>
      </c>
      <c r="AE820" s="8" t="str">
        <f aca="false">IF($K820="SEM CULTURA","SEM CULTURA",IF($AA820&lt;=0,"DADO PENDENTE",IF($AD820&gt;LIMITE_CRITICO,"INVIAVEL",IF($AD820&gt;LIMITE_ATENCAO,"CRITICO",IF($AD820&gt;LIMITE_CONFORTAVEL,"ATENCAO","OK")))))</f>
        <v>OK</v>
      </c>
      <c r="AF820" s="8" t="str">
        <f aca="false">$B820&amp;"|"&amp;TEXT($AD820,"0.000000")</f>
        <v>23|0.000000</v>
      </c>
      <c r="AG820" s="18" t="n">
        <f aca="false">IF($K820="SEM CULTURA",0,$T820*$H820)</f>
        <v>3670.56091893491</v>
      </c>
      <c r="AH820" s="18" t="n">
        <f aca="false">IF($K820="SEM CULTURA",0,$V820*$H820)</f>
        <v>3836.48048</v>
      </c>
      <c r="AI820" s="18" t="n">
        <f aca="false">IF($K820="SEM CULTURA",0,$W820*$H820)</f>
        <v>0</v>
      </c>
      <c r="AJ820" s="18" t="n">
        <f aca="false">IF($K820="SEM CULTURA",0,$S820*$H820)</f>
        <v>3947.342</v>
      </c>
      <c r="AK820" s="8" t="str">
        <f aca="false">$E820&amp;"|"&amp;TEXT($AD820,"0.000000")</f>
        <v>PV 114|0.000000</v>
      </c>
    </row>
    <row r="821" customFormat="false" ht="15" hidden="false" customHeight="false" outlineLevel="0" collapsed="false">
      <c r="B821" s="16" t="n">
        <v>24</v>
      </c>
      <c r="C821" s="17" t="n">
        <f aca="false">DATA_INICIO_SAFRA+($B821-1)*DIAS_POR_SEMANA</f>
        <v>46426</v>
      </c>
      <c r="D821" s="17" t="n">
        <f aca="false">$C821+DIAS_POR_SEMANA-1</f>
        <v>46432</v>
      </c>
      <c r="E821" s="15" t="s">
        <v>271</v>
      </c>
      <c r="F821" s="8" t="str">
        <f aca="false">IFERROR(INDEX(CADASTRO_PIVOS!$C$6:$C$41,MATCH($E821,CADASTRO_PIVOS!$B$6:$B$41,0)),"?")</f>
        <v>RM05</v>
      </c>
      <c r="G821" s="8" t="str">
        <f aca="false">IFERROR(INDEX(CADASTRO_PIVOS!$D$6:$D$41,MATCH($E821,CADASTRO_PIVOS!$B$6:$B$41,0)),"?")</f>
        <v>TR05</v>
      </c>
      <c r="H821" s="20" t="n">
        <f aca="false">IFERROR(INDEX(CADASTRO_PIVOS!$E$6:$E$41,MATCH($E821,CADASTRO_PIVOS!$B$6:$B$41,0)),0)</f>
        <v>119.98</v>
      </c>
      <c r="I821" s="16" t="n">
        <f aca="false">IFERROR(SUMIFS(ROTACAO_RDM!$B$6:$B$71,ROTACAO_RDM!$D$6:$D$71,$E821,ROTACAO_RDM!$I$6:$I$71,"&lt;="&amp;$C821+INT(DIAS_POR_SEMANA/2),ROTACAO_RDM!$J$6:$J$71,"&gt;="&amp;$C821+INT(DIAS_POR_SEMANA/2)),0)</f>
        <v>24</v>
      </c>
      <c r="J821" s="16" t="n">
        <f aca="false">IFERROR(MATCH($I821,ROTACAO_RDM!$B$6:$B$71,0),0)</f>
        <v>24</v>
      </c>
      <c r="K821" s="8" t="str">
        <f aca="false">IF($J821=0,"SEM CULTURA",INDEX(ROTACAO_RDM!$F$6:$F$71,$J821))</f>
        <v>ALGODAO</v>
      </c>
      <c r="L821" s="8" t="str">
        <f aca="false">IF($J821=0,"",INDEX(ROTACAO_RDM!$G$6:$G$71,$J821))</f>
        <v>FM 974 GLT</v>
      </c>
      <c r="M821" s="17" t="n">
        <f aca="false">IF($J821=0,"",INDEX(ROTACAO_RDM!$I$6:$I$71,$J821))</f>
        <v>46356</v>
      </c>
      <c r="N821" s="16" t="n">
        <f aca="false">IF($J821=0,0,MAX(0,$C821+INT(DIAS_POR_SEMANA/2)-INDEX(ROTACAO_RDM!$I$6:$I$71,$J821)))</f>
        <v>73</v>
      </c>
      <c r="O821" s="19" t="n">
        <f aca="false">IF($J821=0,0,MIN(1,$N821/MAX(1,INDEX(ROTACAO_RDM!$K$6:$K$71,$J821))))</f>
        <v>0.374358974358974</v>
      </c>
      <c r="P821" s="16" t="n">
        <f aca="false">IF($J821=0,0,IFERROR(MATCH(INDEX(ROTACAO_RDM!$N$6:$N$71,$J821),PARAMETROS_CULTURAS!$B$6:$B$28,0),0))</f>
        <v>5</v>
      </c>
      <c r="Q821" s="8" t="str">
        <f aca="false">IF($P821=0,"-",IF($O821&lt;=INDEX(PARAMETROS_CULTURAS!$F$6:$F$28,$P821),"INICIAL",IF($O821&lt;=INDEX(PARAMETROS_CULTURAS!$F$6:$F$28,$P821)+INDEX(PARAMETROS_CULTURAS!$G$6:$G$28,$P821),"DESENVOLVIMENTO",IF($O821&lt;=INDEX(PARAMETROS_CULTURAS!$F$6:$F$28,$P821)+INDEX(PARAMETROS_CULTURAS!$G$6:$G$28,$P821)+INDEX(PARAMETROS_CULTURAS!$H$6:$H$28,$P821),"MEDIA","FINAL"))))</f>
        <v>DESENVOLVIMENTO</v>
      </c>
      <c r="R821" s="24" t="n">
        <f aca="false">IF($P821=0,0,IF($O821&lt;=INDEX(PARAMETROS_CULTURAS!$F$6:$F$28,$P821),INDEX(PARAMETROS_CULTURAS!$K$6:$K$28,$P821),IF($O821&lt;=INDEX(PARAMETROS_CULTURAS!$F$6:$F$28,$P821)+INDEX(PARAMETROS_CULTURAS!$G$6:$G$28,$P821),INDEX(PARAMETROS_CULTURAS!$K$6:$K$28,$P821)+(INDEX(PARAMETROS_CULTURAS!$L$6:$L$28,$P821)-INDEX(PARAMETROS_CULTURAS!$K$6:$K$28,$P821))*($O821-INDEX(PARAMETROS_CULTURAS!$F$6:$F$28,$P821))/MAX(INDEX(PARAMETROS_CULTURAS!$G$6:$G$28,$P821),0.0001),IF($O821&lt;=INDEX(PARAMETROS_CULTURAS!$F$6:$F$28,$P821)+INDEX(PARAMETROS_CULTURAS!$G$6:$G$28,$P821)+INDEX(PARAMETROS_CULTURAS!$H$6:$H$28,$P821),INDEX(PARAMETROS_CULTURAS!$L$6:$L$28,$P821),INDEX(PARAMETROS_CULTURAS!$L$6:$L$28,$P821)+(INDEX(PARAMETROS_CULTURAS!$M$6:$M$28,$P821)-INDEX(PARAMETROS_CULTURAS!$L$6:$L$28,$P821))*($O821-INDEX(PARAMETROS_CULTURAS!$F$6:$F$28,$P821)-INDEX(PARAMETROS_CULTURAS!$G$6:$G$28,$P821)-INDEX(PARAMETROS_CULTURAS!$H$6:$H$28,$P821))/MAX(INDEX(PARAMETROS_CULTURAS!$I$6:$I$28,$P821),0.0001)))))</f>
        <v>1.04033530571992</v>
      </c>
      <c r="S821" s="18" t="n">
        <f aca="false">IFERROR(INDEX(SEMANAS!$H$6:$H$71,MATCH($B821,SEMANAS!$B$6:$B$71,0)),0)</f>
        <v>32.9</v>
      </c>
      <c r="T821" s="18" t="n">
        <f aca="false">$R821*$S821</f>
        <v>34.2270315581854</v>
      </c>
      <c r="U821" s="18" t="n">
        <f aca="false">IFERROR(INDEX(SEMANAS!$I$6:$I$71,MATCH($B821,SEMANAS!$B$6:$B$71,0)),0)</f>
        <v>39.97</v>
      </c>
      <c r="V821" s="18" t="n">
        <f aca="false">IFERROR(INDEX(SEMANAS!$J$6:$J$71,MATCH($B821,SEMANAS!$B$6:$B$71,0)),0)</f>
        <v>31.976</v>
      </c>
      <c r="W821" s="18" t="n">
        <f aca="false">MAX(0,$T821-$V821)</f>
        <v>2.2510315581854</v>
      </c>
      <c r="X821" s="19" t="n">
        <f aca="false">IFERROR(INDEX(CADASTRO_PIVOS!$K$6:$K$41,MATCH($E821,CADASTRO_PIVOS!$B$6:$B$41,0)),EFICIENCIA_PADRAO)</f>
        <v>0.85</v>
      </c>
      <c r="Y821" s="18" t="n">
        <f aca="false">IF($X821&lt;=0,0,$W821/$X821)</f>
        <v>2.64827242139459</v>
      </c>
      <c r="Z821" s="16" t="n">
        <f aca="false">$Y821*$H821*MM_PARA_M3_HA</f>
        <v>3177.39725118923</v>
      </c>
      <c r="AA821" s="18" t="n">
        <f aca="false">IFERROR(INDEX(CADASTRO_PIVOS!$I$6:$I$41,MATCH($E821,CADASTRO_PIVOS!$B$6:$B$41,0)),0)</f>
        <v>857</v>
      </c>
      <c r="AB821" s="18" t="n">
        <f aca="false">IF($Z821&lt;=0,0,$Z821/$AA821)</f>
        <v>3.70758138995242</v>
      </c>
      <c r="AC821" s="16" t="n">
        <f aca="false">IFERROR(INDEX(SEMANAS!$K$6:$K$71,MATCH($B821,SEMANAS!$B$6:$B$71,0)),0)</f>
        <v>147</v>
      </c>
      <c r="AD821" s="19" t="n">
        <f aca="false">IF($AC821&lt;=0,0,$AB821/$AC821)</f>
        <v>0.0252216421085199</v>
      </c>
      <c r="AE821" s="8" t="str">
        <f aca="false">IF($K821="SEM CULTURA","SEM CULTURA",IF($AA821&lt;=0,"DADO PENDENTE",IF($AD821&gt;LIMITE_CRITICO,"INVIAVEL",IF($AD821&gt;LIMITE_ATENCAO,"CRITICO",IF($AD821&gt;LIMITE_CONFORTAVEL,"ATENCAO","OK")))))</f>
        <v>OK</v>
      </c>
      <c r="AF821" s="8" t="str">
        <f aca="false">$B821&amp;"|"&amp;TEXT($AD821,"0.000000")</f>
        <v>24|0.025222</v>
      </c>
      <c r="AG821" s="18" t="n">
        <f aca="false">IF($K821="SEM CULTURA",0,$T821*$H821)</f>
        <v>4106.55924635109</v>
      </c>
      <c r="AH821" s="18" t="n">
        <f aca="false">IF($K821="SEM CULTURA",0,$V821*$H821)</f>
        <v>3836.48048</v>
      </c>
      <c r="AI821" s="18" t="n">
        <f aca="false">IF($K821="SEM CULTURA",0,$W821*$H821)</f>
        <v>270.078766351084</v>
      </c>
      <c r="AJ821" s="18" t="n">
        <f aca="false">IF($K821="SEM CULTURA",0,$S821*$H821)</f>
        <v>3947.342</v>
      </c>
      <c r="AK821" s="8" t="str">
        <f aca="false">$E821&amp;"|"&amp;TEXT($AD821,"0.000000")</f>
        <v>PV 114|0.025222</v>
      </c>
    </row>
    <row r="822" customFormat="false" ht="15" hidden="false" customHeight="false" outlineLevel="0" collapsed="false">
      <c r="B822" s="16" t="n">
        <v>25</v>
      </c>
      <c r="C822" s="17" t="n">
        <f aca="false">DATA_INICIO_SAFRA+($B822-1)*DIAS_POR_SEMANA</f>
        <v>46433</v>
      </c>
      <c r="D822" s="17" t="n">
        <f aca="false">$C822+DIAS_POR_SEMANA-1</f>
        <v>46439</v>
      </c>
      <c r="E822" s="15" t="s">
        <v>271</v>
      </c>
      <c r="F822" s="8" t="str">
        <f aca="false">IFERROR(INDEX(CADASTRO_PIVOS!$C$6:$C$41,MATCH($E822,CADASTRO_PIVOS!$B$6:$B$41,0)),"?")</f>
        <v>RM05</v>
      </c>
      <c r="G822" s="8" t="str">
        <f aca="false">IFERROR(INDEX(CADASTRO_PIVOS!$D$6:$D$41,MATCH($E822,CADASTRO_PIVOS!$B$6:$B$41,0)),"?")</f>
        <v>TR05</v>
      </c>
      <c r="H822" s="20" t="n">
        <f aca="false">IFERROR(INDEX(CADASTRO_PIVOS!$E$6:$E$41,MATCH($E822,CADASTRO_PIVOS!$B$6:$B$41,0)),0)</f>
        <v>119.98</v>
      </c>
      <c r="I822" s="16" t="n">
        <f aca="false">IFERROR(SUMIFS(ROTACAO_RDM!$B$6:$B$71,ROTACAO_RDM!$D$6:$D$71,$E822,ROTACAO_RDM!$I$6:$I$71,"&lt;="&amp;$C822+INT(DIAS_POR_SEMANA/2),ROTACAO_RDM!$J$6:$J$71,"&gt;="&amp;$C822+INT(DIAS_POR_SEMANA/2)),0)</f>
        <v>24</v>
      </c>
      <c r="J822" s="16" t="n">
        <f aca="false">IFERROR(MATCH($I822,ROTACAO_RDM!$B$6:$B$71,0),0)</f>
        <v>24</v>
      </c>
      <c r="K822" s="8" t="str">
        <f aca="false">IF($J822=0,"SEM CULTURA",INDEX(ROTACAO_RDM!$F$6:$F$71,$J822))</f>
        <v>ALGODAO</v>
      </c>
      <c r="L822" s="8" t="str">
        <f aca="false">IF($J822=0,"",INDEX(ROTACAO_RDM!$G$6:$G$71,$J822))</f>
        <v>FM 974 GLT</v>
      </c>
      <c r="M822" s="17" t="n">
        <f aca="false">IF($J822=0,"",INDEX(ROTACAO_RDM!$I$6:$I$71,$J822))</f>
        <v>46356</v>
      </c>
      <c r="N822" s="16" t="n">
        <f aca="false">IF($J822=0,0,MAX(0,$C822+INT(DIAS_POR_SEMANA/2)-INDEX(ROTACAO_RDM!$I$6:$I$71,$J822)))</f>
        <v>80</v>
      </c>
      <c r="O822" s="19" t="n">
        <f aca="false">IF($J822=0,0,MIN(1,$N822/MAX(1,INDEX(ROTACAO_RDM!$K$6:$K$71,$J822))))</f>
        <v>0.41025641025641</v>
      </c>
      <c r="P822" s="16" t="n">
        <f aca="false">IF($J822=0,0,IFERROR(MATCH(INDEX(ROTACAO_RDM!$N$6:$N$71,$J822),PARAMETROS_CULTURAS!$B$6:$B$28,0),0))</f>
        <v>5</v>
      </c>
      <c r="Q822" s="8" t="str">
        <f aca="false">IF($P822=0,"-",IF($O822&lt;=INDEX(PARAMETROS_CULTURAS!$F$6:$F$28,$P822),"INICIAL",IF($O822&lt;=INDEX(PARAMETROS_CULTURAS!$F$6:$F$28,$P822)+INDEX(PARAMETROS_CULTURAS!$G$6:$G$28,$P822),"DESENVOLVIMENTO",IF($O822&lt;=INDEX(PARAMETROS_CULTURAS!$F$6:$F$28,$P822)+INDEX(PARAMETROS_CULTURAS!$G$6:$G$28,$P822)+INDEX(PARAMETROS_CULTURAS!$H$6:$H$28,$P822),"MEDIA","FINAL"))))</f>
        <v>MEDIA</v>
      </c>
      <c r="R822" s="24" t="n">
        <f aca="false">IF($P822=0,0,IF($O822&lt;=INDEX(PARAMETROS_CULTURAS!$F$6:$F$28,$P822),INDEX(PARAMETROS_CULTURAS!$K$6:$K$28,$P822),IF($O822&lt;=INDEX(PARAMETROS_CULTURAS!$F$6:$F$28,$P822)+INDEX(PARAMETROS_CULTURAS!$G$6:$G$28,$P822),INDEX(PARAMETROS_CULTURAS!$K$6:$K$28,$P822)+(INDEX(PARAMETROS_CULTURAS!$L$6:$L$28,$P822)-INDEX(PARAMETROS_CULTURAS!$K$6:$K$28,$P822))*($O822-INDEX(PARAMETROS_CULTURAS!$F$6:$F$28,$P822))/MAX(INDEX(PARAMETROS_CULTURAS!$G$6:$G$28,$P822),0.0001),IF($O822&lt;=INDEX(PARAMETROS_CULTURAS!$F$6:$F$28,$P822)+INDEX(PARAMETROS_CULTURAS!$G$6:$G$28,$P822)+INDEX(PARAMETROS_CULTURAS!$H$6:$H$28,$P822),INDEX(PARAMETROS_CULTURAS!$L$6:$L$28,$P822),INDEX(PARAMETROS_CULTURAS!$L$6:$L$28,$P822)+(INDEX(PARAMETROS_CULTURAS!$M$6:$M$28,$P822)-INDEX(PARAMETROS_CULTURAS!$L$6:$L$28,$P822))*($O822-INDEX(PARAMETROS_CULTURAS!$F$6:$F$28,$P822)-INDEX(PARAMETROS_CULTURAS!$G$6:$G$28,$P822)-INDEX(PARAMETROS_CULTURAS!$H$6:$H$28,$P822))/MAX(INDEX(PARAMETROS_CULTURAS!$I$6:$I$28,$P822),0.0001)))))</f>
        <v>1.15</v>
      </c>
      <c r="S822" s="18" t="n">
        <f aca="false">IFERROR(INDEX(SEMANAS!$H$6:$H$71,MATCH($B822,SEMANAS!$B$6:$B$71,0)),0)</f>
        <v>32.9</v>
      </c>
      <c r="T822" s="18" t="n">
        <f aca="false">$R822*$S822</f>
        <v>37.835</v>
      </c>
      <c r="U822" s="18" t="n">
        <f aca="false">IFERROR(INDEX(SEMANAS!$I$6:$I$71,MATCH($B822,SEMANAS!$B$6:$B$71,0)),0)</f>
        <v>39.97</v>
      </c>
      <c r="V822" s="18" t="n">
        <f aca="false">IFERROR(INDEX(SEMANAS!$J$6:$J$71,MATCH($B822,SEMANAS!$B$6:$B$71,0)),0)</f>
        <v>31.976</v>
      </c>
      <c r="W822" s="18" t="n">
        <f aca="false">MAX(0,$T822-$V822)</f>
        <v>5.85899999999999</v>
      </c>
      <c r="X822" s="19" t="n">
        <f aca="false">IFERROR(INDEX(CADASTRO_PIVOS!$K$6:$K$41,MATCH($E822,CADASTRO_PIVOS!$B$6:$B$41,0)),EFICIENCIA_PADRAO)</f>
        <v>0.85</v>
      </c>
      <c r="Y822" s="18" t="n">
        <f aca="false">IF($X822&lt;=0,0,$W822/$X822)</f>
        <v>6.89294117647058</v>
      </c>
      <c r="Z822" s="16" t="n">
        <f aca="false">$Y822*$H822*MM_PARA_M3_HA</f>
        <v>8270.1508235294</v>
      </c>
      <c r="AA822" s="18" t="n">
        <f aca="false">IFERROR(INDEX(CADASTRO_PIVOS!$I$6:$I$41,MATCH($E822,CADASTRO_PIVOS!$B$6:$B$41,0)),0)</f>
        <v>857</v>
      </c>
      <c r="AB822" s="18" t="n">
        <f aca="false">IF($Z822&lt;=0,0,$Z822/$AA822)</f>
        <v>9.65011764705881</v>
      </c>
      <c r="AC822" s="16" t="n">
        <f aca="false">IFERROR(INDEX(SEMANAS!$K$6:$K$71,MATCH($B822,SEMANAS!$B$6:$B$71,0)),0)</f>
        <v>147</v>
      </c>
      <c r="AD822" s="19" t="n">
        <f aca="false">IF($AC822&lt;=0,0,$AB822/$AC822)</f>
        <v>0.0656470588235293</v>
      </c>
      <c r="AE822" s="8" t="str">
        <f aca="false">IF($K822="SEM CULTURA","SEM CULTURA",IF($AA822&lt;=0,"DADO PENDENTE",IF($AD822&gt;LIMITE_CRITICO,"INVIAVEL",IF($AD822&gt;LIMITE_ATENCAO,"CRITICO",IF($AD822&gt;LIMITE_CONFORTAVEL,"ATENCAO","OK")))))</f>
        <v>OK</v>
      </c>
      <c r="AF822" s="8" t="str">
        <f aca="false">$B822&amp;"|"&amp;TEXT($AD822,"0.000000")</f>
        <v>25|0.065647</v>
      </c>
      <c r="AG822" s="18" t="n">
        <f aca="false">IF($K822="SEM CULTURA",0,$T822*$H822)</f>
        <v>4539.4433</v>
      </c>
      <c r="AH822" s="18" t="n">
        <f aca="false">IF($K822="SEM CULTURA",0,$V822*$H822)</f>
        <v>3836.48048</v>
      </c>
      <c r="AI822" s="18" t="n">
        <f aca="false">IF($K822="SEM CULTURA",0,$W822*$H822)</f>
        <v>702.962819999999</v>
      </c>
      <c r="AJ822" s="18" t="n">
        <f aca="false">IF($K822="SEM CULTURA",0,$S822*$H822)</f>
        <v>3947.342</v>
      </c>
      <c r="AK822" s="8" t="str">
        <f aca="false">$E822&amp;"|"&amp;TEXT($AD822,"0.000000")</f>
        <v>PV 114|0.065647</v>
      </c>
    </row>
    <row r="823" customFormat="false" ht="15" hidden="false" customHeight="false" outlineLevel="0" collapsed="false">
      <c r="B823" s="16" t="n">
        <v>26</v>
      </c>
      <c r="C823" s="17" t="n">
        <f aca="false">DATA_INICIO_SAFRA+($B823-1)*DIAS_POR_SEMANA</f>
        <v>46440</v>
      </c>
      <c r="D823" s="17" t="n">
        <f aca="false">$C823+DIAS_POR_SEMANA-1</f>
        <v>46446</v>
      </c>
      <c r="E823" s="15" t="s">
        <v>271</v>
      </c>
      <c r="F823" s="8" t="str">
        <f aca="false">IFERROR(INDEX(CADASTRO_PIVOS!$C$6:$C$41,MATCH($E823,CADASTRO_PIVOS!$B$6:$B$41,0)),"?")</f>
        <v>RM05</v>
      </c>
      <c r="G823" s="8" t="str">
        <f aca="false">IFERROR(INDEX(CADASTRO_PIVOS!$D$6:$D$41,MATCH($E823,CADASTRO_PIVOS!$B$6:$B$41,0)),"?")</f>
        <v>TR05</v>
      </c>
      <c r="H823" s="20" t="n">
        <f aca="false">IFERROR(INDEX(CADASTRO_PIVOS!$E$6:$E$41,MATCH($E823,CADASTRO_PIVOS!$B$6:$B$41,0)),0)</f>
        <v>119.98</v>
      </c>
      <c r="I823" s="16" t="n">
        <f aca="false">IFERROR(SUMIFS(ROTACAO_RDM!$B$6:$B$71,ROTACAO_RDM!$D$6:$D$71,$E823,ROTACAO_RDM!$I$6:$I$71,"&lt;="&amp;$C823+INT(DIAS_POR_SEMANA/2),ROTACAO_RDM!$J$6:$J$71,"&gt;="&amp;$C823+INT(DIAS_POR_SEMANA/2)),0)</f>
        <v>24</v>
      </c>
      <c r="J823" s="16" t="n">
        <f aca="false">IFERROR(MATCH($I823,ROTACAO_RDM!$B$6:$B$71,0),0)</f>
        <v>24</v>
      </c>
      <c r="K823" s="8" t="str">
        <f aca="false">IF($J823=0,"SEM CULTURA",INDEX(ROTACAO_RDM!$F$6:$F$71,$J823))</f>
        <v>ALGODAO</v>
      </c>
      <c r="L823" s="8" t="str">
        <f aca="false">IF($J823=0,"",INDEX(ROTACAO_RDM!$G$6:$G$71,$J823))</f>
        <v>FM 974 GLT</v>
      </c>
      <c r="M823" s="17" t="n">
        <f aca="false">IF($J823=0,"",INDEX(ROTACAO_RDM!$I$6:$I$71,$J823))</f>
        <v>46356</v>
      </c>
      <c r="N823" s="16" t="n">
        <f aca="false">IF($J823=0,0,MAX(0,$C823+INT(DIAS_POR_SEMANA/2)-INDEX(ROTACAO_RDM!$I$6:$I$71,$J823)))</f>
        <v>87</v>
      </c>
      <c r="O823" s="19" t="n">
        <f aca="false">IF($J823=0,0,MIN(1,$N823/MAX(1,INDEX(ROTACAO_RDM!$K$6:$K$71,$J823))))</f>
        <v>0.446153846153846</v>
      </c>
      <c r="P823" s="16" t="n">
        <f aca="false">IF($J823=0,0,IFERROR(MATCH(INDEX(ROTACAO_RDM!$N$6:$N$71,$J823),PARAMETROS_CULTURAS!$B$6:$B$28,0),0))</f>
        <v>5</v>
      </c>
      <c r="Q823" s="8" t="str">
        <f aca="false">IF($P823=0,"-",IF($O823&lt;=INDEX(PARAMETROS_CULTURAS!$F$6:$F$28,$P823),"INICIAL",IF($O823&lt;=INDEX(PARAMETROS_CULTURAS!$F$6:$F$28,$P823)+INDEX(PARAMETROS_CULTURAS!$G$6:$G$28,$P823),"DESENVOLVIMENTO",IF($O823&lt;=INDEX(PARAMETROS_CULTURAS!$F$6:$F$28,$P823)+INDEX(PARAMETROS_CULTURAS!$G$6:$G$28,$P823)+INDEX(PARAMETROS_CULTURAS!$H$6:$H$28,$P823),"MEDIA","FINAL"))))</f>
        <v>MEDIA</v>
      </c>
      <c r="R823" s="24" t="n">
        <f aca="false">IF($P823=0,0,IF($O823&lt;=INDEX(PARAMETROS_CULTURAS!$F$6:$F$28,$P823),INDEX(PARAMETROS_CULTURAS!$K$6:$K$28,$P823),IF($O823&lt;=INDEX(PARAMETROS_CULTURAS!$F$6:$F$28,$P823)+INDEX(PARAMETROS_CULTURAS!$G$6:$G$28,$P823),INDEX(PARAMETROS_CULTURAS!$K$6:$K$28,$P823)+(INDEX(PARAMETROS_CULTURAS!$L$6:$L$28,$P823)-INDEX(PARAMETROS_CULTURAS!$K$6:$K$28,$P823))*($O823-INDEX(PARAMETROS_CULTURAS!$F$6:$F$28,$P823))/MAX(INDEX(PARAMETROS_CULTURAS!$G$6:$G$28,$P823),0.0001),IF($O823&lt;=INDEX(PARAMETROS_CULTURAS!$F$6:$F$28,$P823)+INDEX(PARAMETROS_CULTURAS!$G$6:$G$28,$P823)+INDEX(PARAMETROS_CULTURAS!$H$6:$H$28,$P823),INDEX(PARAMETROS_CULTURAS!$L$6:$L$28,$P823),INDEX(PARAMETROS_CULTURAS!$L$6:$L$28,$P823)+(INDEX(PARAMETROS_CULTURAS!$M$6:$M$28,$P823)-INDEX(PARAMETROS_CULTURAS!$L$6:$L$28,$P823))*($O823-INDEX(PARAMETROS_CULTURAS!$F$6:$F$28,$P823)-INDEX(PARAMETROS_CULTURAS!$G$6:$G$28,$P823)-INDEX(PARAMETROS_CULTURAS!$H$6:$H$28,$P823))/MAX(INDEX(PARAMETROS_CULTURAS!$I$6:$I$28,$P823),0.0001)))))</f>
        <v>1.15</v>
      </c>
      <c r="S823" s="18" t="n">
        <f aca="false">IFERROR(INDEX(SEMANAS!$H$6:$H$71,MATCH($B823,SEMANAS!$B$6:$B$71,0)),0)</f>
        <v>32.9</v>
      </c>
      <c r="T823" s="18" t="n">
        <f aca="false">$R823*$S823</f>
        <v>37.835</v>
      </c>
      <c r="U823" s="18" t="n">
        <f aca="false">IFERROR(INDEX(SEMANAS!$I$6:$I$71,MATCH($B823,SEMANAS!$B$6:$B$71,0)),0)</f>
        <v>39.97</v>
      </c>
      <c r="V823" s="18" t="n">
        <f aca="false">IFERROR(INDEX(SEMANAS!$J$6:$J$71,MATCH($B823,SEMANAS!$B$6:$B$71,0)),0)</f>
        <v>31.976</v>
      </c>
      <c r="W823" s="18" t="n">
        <f aca="false">MAX(0,$T823-$V823)</f>
        <v>5.85899999999999</v>
      </c>
      <c r="X823" s="19" t="n">
        <f aca="false">IFERROR(INDEX(CADASTRO_PIVOS!$K$6:$K$41,MATCH($E823,CADASTRO_PIVOS!$B$6:$B$41,0)),EFICIENCIA_PADRAO)</f>
        <v>0.85</v>
      </c>
      <c r="Y823" s="18" t="n">
        <f aca="false">IF($X823&lt;=0,0,$W823/$X823)</f>
        <v>6.89294117647058</v>
      </c>
      <c r="Z823" s="16" t="n">
        <f aca="false">$Y823*$H823*MM_PARA_M3_HA</f>
        <v>8270.1508235294</v>
      </c>
      <c r="AA823" s="18" t="n">
        <f aca="false">IFERROR(INDEX(CADASTRO_PIVOS!$I$6:$I$41,MATCH($E823,CADASTRO_PIVOS!$B$6:$B$41,0)),0)</f>
        <v>857</v>
      </c>
      <c r="AB823" s="18" t="n">
        <f aca="false">IF($Z823&lt;=0,0,$Z823/$AA823)</f>
        <v>9.65011764705881</v>
      </c>
      <c r="AC823" s="16" t="n">
        <f aca="false">IFERROR(INDEX(SEMANAS!$K$6:$K$71,MATCH($B823,SEMANAS!$B$6:$B$71,0)),0)</f>
        <v>147</v>
      </c>
      <c r="AD823" s="19" t="n">
        <f aca="false">IF($AC823&lt;=0,0,$AB823/$AC823)</f>
        <v>0.0656470588235293</v>
      </c>
      <c r="AE823" s="8" t="str">
        <f aca="false">IF($K823="SEM CULTURA","SEM CULTURA",IF($AA823&lt;=0,"DADO PENDENTE",IF($AD823&gt;LIMITE_CRITICO,"INVIAVEL",IF($AD823&gt;LIMITE_ATENCAO,"CRITICO",IF($AD823&gt;LIMITE_CONFORTAVEL,"ATENCAO","OK")))))</f>
        <v>OK</v>
      </c>
      <c r="AF823" s="8" t="str">
        <f aca="false">$B823&amp;"|"&amp;TEXT($AD823,"0.000000")</f>
        <v>26|0.065647</v>
      </c>
      <c r="AG823" s="18" t="n">
        <f aca="false">IF($K823="SEM CULTURA",0,$T823*$H823)</f>
        <v>4539.4433</v>
      </c>
      <c r="AH823" s="18" t="n">
        <f aca="false">IF($K823="SEM CULTURA",0,$V823*$H823)</f>
        <v>3836.48048</v>
      </c>
      <c r="AI823" s="18" t="n">
        <f aca="false">IF($K823="SEM CULTURA",0,$W823*$H823)</f>
        <v>702.962819999999</v>
      </c>
      <c r="AJ823" s="18" t="n">
        <f aca="false">IF($K823="SEM CULTURA",0,$S823*$H823)</f>
        <v>3947.342</v>
      </c>
      <c r="AK823" s="8" t="str">
        <f aca="false">$E823&amp;"|"&amp;TEXT($AD823,"0.000000")</f>
        <v>PV 114|0.065647</v>
      </c>
    </row>
    <row r="824" customFormat="false" ht="15" hidden="false" customHeight="false" outlineLevel="0" collapsed="false">
      <c r="B824" s="16" t="n">
        <v>27</v>
      </c>
      <c r="C824" s="17" t="n">
        <f aca="false">DATA_INICIO_SAFRA+($B824-1)*DIAS_POR_SEMANA</f>
        <v>46447</v>
      </c>
      <c r="D824" s="17" t="n">
        <f aca="false">$C824+DIAS_POR_SEMANA-1</f>
        <v>46453</v>
      </c>
      <c r="E824" s="15" t="s">
        <v>271</v>
      </c>
      <c r="F824" s="8" t="str">
        <f aca="false">IFERROR(INDEX(CADASTRO_PIVOS!$C$6:$C$41,MATCH($E824,CADASTRO_PIVOS!$B$6:$B$41,0)),"?")</f>
        <v>RM05</v>
      </c>
      <c r="G824" s="8" t="str">
        <f aca="false">IFERROR(INDEX(CADASTRO_PIVOS!$D$6:$D$41,MATCH($E824,CADASTRO_PIVOS!$B$6:$B$41,0)),"?")</f>
        <v>TR05</v>
      </c>
      <c r="H824" s="20" t="n">
        <f aca="false">IFERROR(INDEX(CADASTRO_PIVOS!$E$6:$E$41,MATCH($E824,CADASTRO_PIVOS!$B$6:$B$41,0)),0)</f>
        <v>119.98</v>
      </c>
      <c r="I824" s="16" t="n">
        <f aca="false">IFERROR(SUMIFS(ROTACAO_RDM!$B$6:$B$71,ROTACAO_RDM!$D$6:$D$71,$E824,ROTACAO_RDM!$I$6:$I$71,"&lt;="&amp;$C824+INT(DIAS_POR_SEMANA/2),ROTACAO_RDM!$J$6:$J$71,"&gt;="&amp;$C824+INT(DIAS_POR_SEMANA/2)),0)</f>
        <v>24</v>
      </c>
      <c r="J824" s="16" t="n">
        <f aca="false">IFERROR(MATCH($I824,ROTACAO_RDM!$B$6:$B$71,0),0)</f>
        <v>24</v>
      </c>
      <c r="K824" s="8" t="str">
        <f aca="false">IF($J824=0,"SEM CULTURA",INDEX(ROTACAO_RDM!$F$6:$F$71,$J824))</f>
        <v>ALGODAO</v>
      </c>
      <c r="L824" s="8" t="str">
        <f aca="false">IF($J824=0,"",INDEX(ROTACAO_RDM!$G$6:$G$71,$J824))</f>
        <v>FM 974 GLT</v>
      </c>
      <c r="M824" s="17" t="n">
        <f aca="false">IF($J824=0,"",INDEX(ROTACAO_RDM!$I$6:$I$71,$J824))</f>
        <v>46356</v>
      </c>
      <c r="N824" s="16" t="n">
        <f aca="false">IF($J824=0,0,MAX(0,$C824+INT(DIAS_POR_SEMANA/2)-INDEX(ROTACAO_RDM!$I$6:$I$71,$J824)))</f>
        <v>94</v>
      </c>
      <c r="O824" s="19" t="n">
        <f aca="false">IF($J824=0,0,MIN(1,$N824/MAX(1,INDEX(ROTACAO_RDM!$K$6:$K$71,$J824))))</f>
        <v>0.482051282051282</v>
      </c>
      <c r="P824" s="16" t="n">
        <f aca="false">IF($J824=0,0,IFERROR(MATCH(INDEX(ROTACAO_RDM!$N$6:$N$71,$J824),PARAMETROS_CULTURAS!$B$6:$B$28,0),0))</f>
        <v>5</v>
      </c>
      <c r="Q824" s="8" t="str">
        <f aca="false">IF($P824=0,"-",IF($O824&lt;=INDEX(PARAMETROS_CULTURAS!$F$6:$F$28,$P824),"INICIAL",IF($O824&lt;=INDEX(PARAMETROS_CULTURAS!$F$6:$F$28,$P824)+INDEX(PARAMETROS_CULTURAS!$G$6:$G$28,$P824),"DESENVOLVIMENTO",IF($O824&lt;=INDEX(PARAMETROS_CULTURAS!$F$6:$F$28,$P824)+INDEX(PARAMETROS_CULTURAS!$G$6:$G$28,$P824)+INDEX(PARAMETROS_CULTURAS!$H$6:$H$28,$P824),"MEDIA","FINAL"))))</f>
        <v>MEDIA</v>
      </c>
      <c r="R824" s="24" t="n">
        <f aca="false">IF($P824=0,0,IF($O824&lt;=INDEX(PARAMETROS_CULTURAS!$F$6:$F$28,$P824),INDEX(PARAMETROS_CULTURAS!$K$6:$K$28,$P824),IF($O824&lt;=INDEX(PARAMETROS_CULTURAS!$F$6:$F$28,$P824)+INDEX(PARAMETROS_CULTURAS!$G$6:$G$28,$P824),INDEX(PARAMETROS_CULTURAS!$K$6:$K$28,$P824)+(INDEX(PARAMETROS_CULTURAS!$L$6:$L$28,$P824)-INDEX(PARAMETROS_CULTURAS!$K$6:$K$28,$P824))*($O824-INDEX(PARAMETROS_CULTURAS!$F$6:$F$28,$P824))/MAX(INDEX(PARAMETROS_CULTURAS!$G$6:$G$28,$P824),0.0001),IF($O824&lt;=INDEX(PARAMETROS_CULTURAS!$F$6:$F$28,$P824)+INDEX(PARAMETROS_CULTURAS!$G$6:$G$28,$P824)+INDEX(PARAMETROS_CULTURAS!$H$6:$H$28,$P824),INDEX(PARAMETROS_CULTURAS!$L$6:$L$28,$P824),INDEX(PARAMETROS_CULTURAS!$L$6:$L$28,$P824)+(INDEX(PARAMETROS_CULTURAS!$M$6:$M$28,$P824)-INDEX(PARAMETROS_CULTURAS!$L$6:$L$28,$P824))*($O824-INDEX(PARAMETROS_CULTURAS!$F$6:$F$28,$P824)-INDEX(PARAMETROS_CULTURAS!$G$6:$G$28,$P824)-INDEX(PARAMETROS_CULTURAS!$H$6:$H$28,$P824))/MAX(INDEX(PARAMETROS_CULTURAS!$I$6:$I$28,$P824),0.0001)))))</f>
        <v>1.15</v>
      </c>
      <c r="S824" s="18" t="n">
        <f aca="false">IFERROR(INDEX(SEMANAS!$H$6:$H$71,MATCH($B824,SEMANAS!$B$6:$B$71,0)),0)</f>
        <v>32.2</v>
      </c>
      <c r="T824" s="18" t="n">
        <f aca="false">$R824*$S824</f>
        <v>37.03</v>
      </c>
      <c r="U824" s="18" t="n">
        <f aca="false">IFERROR(INDEX(SEMANAS!$I$6:$I$71,MATCH($B824,SEMANAS!$B$6:$B$71,0)),0)</f>
        <v>37.24</v>
      </c>
      <c r="V824" s="18" t="n">
        <f aca="false">IFERROR(INDEX(SEMANAS!$J$6:$J$71,MATCH($B824,SEMANAS!$B$6:$B$71,0)),0)</f>
        <v>29.792</v>
      </c>
      <c r="W824" s="18" t="n">
        <f aca="false">MAX(0,$T824-$V824)</f>
        <v>7.23799999999999</v>
      </c>
      <c r="X824" s="19" t="n">
        <f aca="false">IFERROR(INDEX(CADASTRO_PIVOS!$K$6:$K$41,MATCH($E824,CADASTRO_PIVOS!$B$6:$B$41,0)),EFICIENCIA_PADRAO)</f>
        <v>0.85</v>
      </c>
      <c r="Y824" s="18" t="n">
        <f aca="false">IF($X824&lt;=0,0,$W824/$X824)</f>
        <v>8.51529411764705</v>
      </c>
      <c r="Z824" s="16" t="n">
        <f aca="false">$Y824*$H824*MM_PARA_M3_HA</f>
        <v>10216.6498823529</v>
      </c>
      <c r="AA824" s="18" t="n">
        <f aca="false">IFERROR(INDEX(CADASTRO_PIVOS!$I$6:$I$41,MATCH($E824,CADASTRO_PIVOS!$B$6:$B$41,0)),0)</f>
        <v>857</v>
      </c>
      <c r="AB824" s="18" t="n">
        <f aca="false">IF($Z824&lt;=0,0,$Z824/$AA824)</f>
        <v>11.9214117647059</v>
      </c>
      <c r="AC824" s="16" t="n">
        <f aca="false">IFERROR(INDEX(SEMANAS!$K$6:$K$71,MATCH($B824,SEMANAS!$B$6:$B$71,0)),0)</f>
        <v>147</v>
      </c>
      <c r="AD824" s="19" t="n">
        <f aca="false">IF($AC824&lt;=0,0,$AB824/$AC824)</f>
        <v>0.0810980392156862</v>
      </c>
      <c r="AE824" s="8" t="str">
        <f aca="false">IF($K824="SEM CULTURA","SEM CULTURA",IF($AA824&lt;=0,"DADO PENDENTE",IF($AD824&gt;LIMITE_CRITICO,"INVIAVEL",IF($AD824&gt;LIMITE_ATENCAO,"CRITICO",IF($AD824&gt;LIMITE_CONFORTAVEL,"ATENCAO","OK")))))</f>
        <v>OK</v>
      </c>
      <c r="AF824" s="8" t="str">
        <f aca="false">$B824&amp;"|"&amp;TEXT($AD824,"0.000000")</f>
        <v>27|0.081098</v>
      </c>
      <c r="AG824" s="18" t="n">
        <f aca="false">IF($K824="SEM CULTURA",0,$T824*$H824)</f>
        <v>4442.8594</v>
      </c>
      <c r="AH824" s="18" t="n">
        <f aca="false">IF($K824="SEM CULTURA",0,$V824*$H824)</f>
        <v>3574.44416</v>
      </c>
      <c r="AI824" s="18" t="n">
        <f aca="false">IF($K824="SEM CULTURA",0,$W824*$H824)</f>
        <v>868.415239999999</v>
      </c>
      <c r="AJ824" s="18" t="n">
        <f aca="false">IF($K824="SEM CULTURA",0,$S824*$H824)</f>
        <v>3863.356</v>
      </c>
      <c r="AK824" s="8" t="str">
        <f aca="false">$E824&amp;"|"&amp;TEXT($AD824,"0.000000")</f>
        <v>PV 114|0.081098</v>
      </c>
    </row>
    <row r="825" customFormat="false" ht="15" hidden="false" customHeight="false" outlineLevel="0" collapsed="false">
      <c r="B825" s="16" t="n">
        <v>28</v>
      </c>
      <c r="C825" s="17" t="n">
        <f aca="false">DATA_INICIO_SAFRA+($B825-1)*DIAS_POR_SEMANA</f>
        <v>46454</v>
      </c>
      <c r="D825" s="17" t="n">
        <f aca="false">$C825+DIAS_POR_SEMANA-1</f>
        <v>46460</v>
      </c>
      <c r="E825" s="15" t="s">
        <v>271</v>
      </c>
      <c r="F825" s="8" t="str">
        <f aca="false">IFERROR(INDEX(CADASTRO_PIVOS!$C$6:$C$41,MATCH($E825,CADASTRO_PIVOS!$B$6:$B$41,0)),"?")</f>
        <v>RM05</v>
      </c>
      <c r="G825" s="8" t="str">
        <f aca="false">IFERROR(INDEX(CADASTRO_PIVOS!$D$6:$D$41,MATCH($E825,CADASTRO_PIVOS!$B$6:$B$41,0)),"?")</f>
        <v>TR05</v>
      </c>
      <c r="H825" s="20" t="n">
        <f aca="false">IFERROR(INDEX(CADASTRO_PIVOS!$E$6:$E$41,MATCH($E825,CADASTRO_PIVOS!$B$6:$B$41,0)),0)</f>
        <v>119.98</v>
      </c>
      <c r="I825" s="16" t="n">
        <f aca="false">IFERROR(SUMIFS(ROTACAO_RDM!$B$6:$B$71,ROTACAO_RDM!$D$6:$D$71,$E825,ROTACAO_RDM!$I$6:$I$71,"&lt;="&amp;$C825+INT(DIAS_POR_SEMANA/2),ROTACAO_RDM!$J$6:$J$71,"&gt;="&amp;$C825+INT(DIAS_POR_SEMANA/2)),0)</f>
        <v>24</v>
      </c>
      <c r="J825" s="16" t="n">
        <f aca="false">IFERROR(MATCH($I825,ROTACAO_RDM!$B$6:$B$71,0),0)</f>
        <v>24</v>
      </c>
      <c r="K825" s="8" t="str">
        <f aca="false">IF($J825=0,"SEM CULTURA",INDEX(ROTACAO_RDM!$F$6:$F$71,$J825))</f>
        <v>ALGODAO</v>
      </c>
      <c r="L825" s="8" t="str">
        <f aca="false">IF($J825=0,"",INDEX(ROTACAO_RDM!$G$6:$G$71,$J825))</f>
        <v>FM 974 GLT</v>
      </c>
      <c r="M825" s="17" t="n">
        <f aca="false">IF($J825=0,"",INDEX(ROTACAO_RDM!$I$6:$I$71,$J825))</f>
        <v>46356</v>
      </c>
      <c r="N825" s="16" t="n">
        <f aca="false">IF($J825=0,0,MAX(0,$C825+INT(DIAS_POR_SEMANA/2)-INDEX(ROTACAO_RDM!$I$6:$I$71,$J825)))</f>
        <v>101</v>
      </c>
      <c r="O825" s="19" t="n">
        <f aca="false">IF($J825=0,0,MIN(1,$N825/MAX(1,INDEX(ROTACAO_RDM!$K$6:$K$71,$J825))))</f>
        <v>0.517948717948718</v>
      </c>
      <c r="P825" s="16" t="n">
        <f aca="false">IF($J825=0,0,IFERROR(MATCH(INDEX(ROTACAO_RDM!$N$6:$N$71,$J825),PARAMETROS_CULTURAS!$B$6:$B$28,0),0))</f>
        <v>5</v>
      </c>
      <c r="Q825" s="8" t="str">
        <f aca="false">IF($P825=0,"-",IF($O825&lt;=INDEX(PARAMETROS_CULTURAS!$F$6:$F$28,$P825),"INICIAL",IF($O825&lt;=INDEX(PARAMETROS_CULTURAS!$F$6:$F$28,$P825)+INDEX(PARAMETROS_CULTURAS!$G$6:$G$28,$P825),"DESENVOLVIMENTO",IF($O825&lt;=INDEX(PARAMETROS_CULTURAS!$F$6:$F$28,$P825)+INDEX(PARAMETROS_CULTURAS!$G$6:$G$28,$P825)+INDEX(PARAMETROS_CULTURAS!$H$6:$H$28,$P825),"MEDIA","FINAL"))))</f>
        <v>MEDIA</v>
      </c>
      <c r="R825" s="24" t="n">
        <f aca="false">IF($P825=0,0,IF($O825&lt;=INDEX(PARAMETROS_CULTURAS!$F$6:$F$28,$P825),INDEX(PARAMETROS_CULTURAS!$K$6:$K$28,$P825),IF($O825&lt;=INDEX(PARAMETROS_CULTURAS!$F$6:$F$28,$P825)+INDEX(PARAMETROS_CULTURAS!$G$6:$G$28,$P825),INDEX(PARAMETROS_CULTURAS!$K$6:$K$28,$P825)+(INDEX(PARAMETROS_CULTURAS!$L$6:$L$28,$P825)-INDEX(PARAMETROS_CULTURAS!$K$6:$K$28,$P825))*($O825-INDEX(PARAMETROS_CULTURAS!$F$6:$F$28,$P825))/MAX(INDEX(PARAMETROS_CULTURAS!$G$6:$G$28,$P825),0.0001),IF($O825&lt;=INDEX(PARAMETROS_CULTURAS!$F$6:$F$28,$P825)+INDEX(PARAMETROS_CULTURAS!$G$6:$G$28,$P825)+INDEX(PARAMETROS_CULTURAS!$H$6:$H$28,$P825),INDEX(PARAMETROS_CULTURAS!$L$6:$L$28,$P825),INDEX(PARAMETROS_CULTURAS!$L$6:$L$28,$P825)+(INDEX(PARAMETROS_CULTURAS!$M$6:$M$28,$P825)-INDEX(PARAMETROS_CULTURAS!$L$6:$L$28,$P825))*($O825-INDEX(PARAMETROS_CULTURAS!$F$6:$F$28,$P825)-INDEX(PARAMETROS_CULTURAS!$G$6:$G$28,$P825)-INDEX(PARAMETROS_CULTURAS!$H$6:$H$28,$P825))/MAX(INDEX(PARAMETROS_CULTURAS!$I$6:$I$28,$P825),0.0001)))))</f>
        <v>1.15</v>
      </c>
      <c r="S825" s="18" t="n">
        <f aca="false">IFERROR(INDEX(SEMANAS!$H$6:$H$71,MATCH($B825,SEMANAS!$B$6:$B$71,0)),0)</f>
        <v>32.2</v>
      </c>
      <c r="T825" s="18" t="n">
        <f aca="false">$R825*$S825</f>
        <v>37.03</v>
      </c>
      <c r="U825" s="18" t="n">
        <f aca="false">IFERROR(INDEX(SEMANAS!$I$6:$I$71,MATCH($B825,SEMANAS!$B$6:$B$71,0)),0)</f>
        <v>37.24</v>
      </c>
      <c r="V825" s="18" t="n">
        <f aca="false">IFERROR(INDEX(SEMANAS!$J$6:$J$71,MATCH($B825,SEMANAS!$B$6:$B$71,0)),0)</f>
        <v>29.792</v>
      </c>
      <c r="W825" s="18" t="n">
        <f aca="false">MAX(0,$T825-$V825)</f>
        <v>7.23799999999999</v>
      </c>
      <c r="X825" s="19" t="n">
        <f aca="false">IFERROR(INDEX(CADASTRO_PIVOS!$K$6:$K$41,MATCH($E825,CADASTRO_PIVOS!$B$6:$B$41,0)),EFICIENCIA_PADRAO)</f>
        <v>0.85</v>
      </c>
      <c r="Y825" s="18" t="n">
        <f aca="false">IF($X825&lt;=0,0,$W825/$X825)</f>
        <v>8.51529411764705</v>
      </c>
      <c r="Z825" s="16" t="n">
        <f aca="false">$Y825*$H825*MM_PARA_M3_HA</f>
        <v>10216.6498823529</v>
      </c>
      <c r="AA825" s="18" t="n">
        <f aca="false">IFERROR(INDEX(CADASTRO_PIVOS!$I$6:$I$41,MATCH($E825,CADASTRO_PIVOS!$B$6:$B$41,0)),0)</f>
        <v>857</v>
      </c>
      <c r="AB825" s="18" t="n">
        <f aca="false">IF($Z825&lt;=0,0,$Z825/$AA825)</f>
        <v>11.9214117647059</v>
      </c>
      <c r="AC825" s="16" t="n">
        <f aca="false">IFERROR(INDEX(SEMANAS!$K$6:$K$71,MATCH($B825,SEMANAS!$B$6:$B$71,0)),0)</f>
        <v>147</v>
      </c>
      <c r="AD825" s="19" t="n">
        <f aca="false">IF($AC825&lt;=0,0,$AB825/$AC825)</f>
        <v>0.0810980392156862</v>
      </c>
      <c r="AE825" s="8" t="str">
        <f aca="false">IF($K825="SEM CULTURA","SEM CULTURA",IF($AA825&lt;=0,"DADO PENDENTE",IF($AD825&gt;LIMITE_CRITICO,"INVIAVEL",IF($AD825&gt;LIMITE_ATENCAO,"CRITICO",IF($AD825&gt;LIMITE_CONFORTAVEL,"ATENCAO","OK")))))</f>
        <v>OK</v>
      </c>
      <c r="AF825" s="8" t="str">
        <f aca="false">$B825&amp;"|"&amp;TEXT($AD825,"0.000000")</f>
        <v>28|0.081098</v>
      </c>
      <c r="AG825" s="18" t="n">
        <f aca="false">IF($K825="SEM CULTURA",0,$T825*$H825)</f>
        <v>4442.8594</v>
      </c>
      <c r="AH825" s="18" t="n">
        <f aca="false">IF($K825="SEM CULTURA",0,$V825*$H825)</f>
        <v>3574.44416</v>
      </c>
      <c r="AI825" s="18" t="n">
        <f aca="false">IF($K825="SEM CULTURA",0,$W825*$H825)</f>
        <v>868.415239999999</v>
      </c>
      <c r="AJ825" s="18" t="n">
        <f aca="false">IF($K825="SEM CULTURA",0,$S825*$H825)</f>
        <v>3863.356</v>
      </c>
      <c r="AK825" s="8" t="str">
        <f aca="false">$E825&amp;"|"&amp;TEXT($AD825,"0.000000")</f>
        <v>PV 114|0.081098</v>
      </c>
    </row>
    <row r="826" customFormat="false" ht="15" hidden="false" customHeight="false" outlineLevel="0" collapsed="false">
      <c r="B826" s="16" t="n">
        <v>29</v>
      </c>
      <c r="C826" s="17" t="n">
        <f aca="false">DATA_INICIO_SAFRA+($B826-1)*DIAS_POR_SEMANA</f>
        <v>46461</v>
      </c>
      <c r="D826" s="17" t="n">
        <f aca="false">$C826+DIAS_POR_SEMANA-1</f>
        <v>46467</v>
      </c>
      <c r="E826" s="15" t="s">
        <v>271</v>
      </c>
      <c r="F826" s="8" t="str">
        <f aca="false">IFERROR(INDEX(CADASTRO_PIVOS!$C$6:$C$41,MATCH($E826,CADASTRO_PIVOS!$B$6:$B$41,0)),"?")</f>
        <v>RM05</v>
      </c>
      <c r="G826" s="8" t="str">
        <f aca="false">IFERROR(INDEX(CADASTRO_PIVOS!$D$6:$D$41,MATCH($E826,CADASTRO_PIVOS!$B$6:$B$41,0)),"?")</f>
        <v>TR05</v>
      </c>
      <c r="H826" s="20" t="n">
        <f aca="false">IFERROR(INDEX(CADASTRO_PIVOS!$E$6:$E$41,MATCH($E826,CADASTRO_PIVOS!$B$6:$B$41,0)),0)</f>
        <v>119.98</v>
      </c>
      <c r="I826" s="16" t="n">
        <f aca="false">IFERROR(SUMIFS(ROTACAO_RDM!$B$6:$B$71,ROTACAO_RDM!$D$6:$D$71,$E826,ROTACAO_RDM!$I$6:$I$71,"&lt;="&amp;$C826+INT(DIAS_POR_SEMANA/2),ROTACAO_RDM!$J$6:$J$71,"&gt;="&amp;$C826+INT(DIAS_POR_SEMANA/2)),0)</f>
        <v>24</v>
      </c>
      <c r="J826" s="16" t="n">
        <f aca="false">IFERROR(MATCH($I826,ROTACAO_RDM!$B$6:$B$71,0),0)</f>
        <v>24</v>
      </c>
      <c r="K826" s="8" t="str">
        <f aca="false">IF($J826=0,"SEM CULTURA",INDEX(ROTACAO_RDM!$F$6:$F$71,$J826))</f>
        <v>ALGODAO</v>
      </c>
      <c r="L826" s="8" t="str">
        <f aca="false">IF($J826=0,"",INDEX(ROTACAO_RDM!$G$6:$G$71,$J826))</f>
        <v>FM 974 GLT</v>
      </c>
      <c r="M826" s="17" t="n">
        <f aca="false">IF($J826=0,"",INDEX(ROTACAO_RDM!$I$6:$I$71,$J826))</f>
        <v>46356</v>
      </c>
      <c r="N826" s="16" t="n">
        <f aca="false">IF($J826=0,0,MAX(0,$C826+INT(DIAS_POR_SEMANA/2)-INDEX(ROTACAO_RDM!$I$6:$I$71,$J826)))</f>
        <v>108</v>
      </c>
      <c r="O826" s="19" t="n">
        <f aca="false">IF($J826=0,0,MIN(1,$N826/MAX(1,INDEX(ROTACAO_RDM!$K$6:$K$71,$J826))))</f>
        <v>0.553846153846154</v>
      </c>
      <c r="P826" s="16" t="n">
        <f aca="false">IF($J826=0,0,IFERROR(MATCH(INDEX(ROTACAO_RDM!$N$6:$N$71,$J826),PARAMETROS_CULTURAS!$B$6:$B$28,0),0))</f>
        <v>5</v>
      </c>
      <c r="Q826" s="8" t="str">
        <f aca="false">IF($P826=0,"-",IF($O826&lt;=INDEX(PARAMETROS_CULTURAS!$F$6:$F$28,$P826),"INICIAL",IF($O826&lt;=INDEX(PARAMETROS_CULTURAS!$F$6:$F$28,$P826)+INDEX(PARAMETROS_CULTURAS!$G$6:$G$28,$P826),"DESENVOLVIMENTO",IF($O826&lt;=INDEX(PARAMETROS_CULTURAS!$F$6:$F$28,$P826)+INDEX(PARAMETROS_CULTURAS!$G$6:$G$28,$P826)+INDEX(PARAMETROS_CULTURAS!$H$6:$H$28,$P826),"MEDIA","FINAL"))))</f>
        <v>MEDIA</v>
      </c>
      <c r="R826" s="24" t="n">
        <f aca="false">IF($P826=0,0,IF($O826&lt;=INDEX(PARAMETROS_CULTURAS!$F$6:$F$28,$P826),INDEX(PARAMETROS_CULTURAS!$K$6:$K$28,$P826),IF($O826&lt;=INDEX(PARAMETROS_CULTURAS!$F$6:$F$28,$P826)+INDEX(PARAMETROS_CULTURAS!$G$6:$G$28,$P826),INDEX(PARAMETROS_CULTURAS!$K$6:$K$28,$P826)+(INDEX(PARAMETROS_CULTURAS!$L$6:$L$28,$P826)-INDEX(PARAMETROS_CULTURAS!$K$6:$K$28,$P826))*($O826-INDEX(PARAMETROS_CULTURAS!$F$6:$F$28,$P826))/MAX(INDEX(PARAMETROS_CULTURAS!$G$6:$G$28,$P826),0.0001),IF($O826&lt;=INDEX(PARAMETROS_CULTURAS!$F$6:$F$28,$P826)+INDEX(PARAMETROS_CULTURAS!$G$6:$G$28,$P826)+INDEX(PARAMETROS_CULTURAS!$H$6:$H$28,$P826),INDEX(PARAMETROS_CULTURAS!$L$6:$L$28,$P826),INDEX(PARAMETROS_CULTURAS!$L$6:$L$28,$P826)+(INDEX(PARAMETROS_CULTURAS!$M$6:$M$28,$P826)-INDEX(PARAMETROS_CULTURAS!$L$6:$L$28,$P826))*($O826-INDEX(PARAMETROS_CULTURAS!$F$6:$F$28,$P826)-INDEX(PARAMETROS_CULTURAS!$G$6:$G$28,$P826)-INDEX(PARAMETROS_CULTURAS!$H$6:$H$28,$P826))/MAX(INDEX(PARAMETROS_CULTURAS!$I$6:$I$28,$P826),0.0001)))))</f>
        <v>1.15</v>
      </c>
      <c r="S826" s="18" t="n">
        <f aca="false">IFERROR(INDEX(SEMANAS!$H$6:$H$71,MATCH($B826,SEMANAS!$B$6:$B$71,0)),0)</f>
        <v>32.2</v>
      </c>
      <c r="T826" s="18" t="n">
        <f aca="false">$R826*$S826</f>
        <v>37.03</v>
      </c>
      <c r="U826" s="18" t="n">
        <f aca="false">IFERROR(INDEX(SEMANAS!$I$6:$I$71,MATCH($B826,SEMANAS!$B$6:$B$71,0)),0)</f>
        <v>37.24</v>
      </c>
      <c r="V826" s="18" t="n">
        <f aca="false">IFERROR(INDEX(SEMANAS!$J$6:$J$71,MATCH($B826,SEMANAS!$B$6:$B$71,0)),0)</f>
        <v>29.792</v>
      </c>
      <c r="W826" s="18" t="n">
        <f aca="false">MAX(0,$T826-$V826)</f>
        <v>7.23799999999999</v>
      </c>
      <c r="X826" s="19" t="n">
        <f aca="false">IFERROR(INDEX(CADASTRO_PIVOS!$K$6:$K$41,MATCH($E826,CADASTRO_PIVOS!$B$6:$B$41,0)),EFICIENCIA_PADRAO)</f>
        <v>0.85</v>
      </c>
      <c r="Y826" s="18" t="n">
        <f aca="false">IF($X826&lt;=0,0,$W826/$X826)</f>
        <v>8.51529411764705</v>
      </c>
      <c r="Z826" s="16" t="n">
        <f aca="false">$Y826*$H826*MM_PARA_M3_HA</f>
        <v>10216.6498823529</v>
      </c>
      <c r="AA826" s="18" t="n">
        <f aca="false">IFERROR(INDEX(CADASTRO_PIVOS!$I$6:$I$41,MATCH($E826,CADASTRO_PIVOS!$B$6:$B$41,0)),0)</f>
        <v>857</v>
      </c>
      <c r="AB826" s="18" t="n">
        <f aca="false">IF($Z826&lt;=0,0,$Z826/$AA826)</f>
        <v>11.9214117647059</v>
      </c>
      <c r="AC826" s="16" t="n">
        <f aca="false">IFERROR(INDEX(SEMANAS!$K$6:$K$71,MATCH($B826,SEMANAS!$B$6:$B$71,0)),0)</f>
        <v>147</v>
      </c>
      <c r="AD826" s="19" t="n">
        <f aca="false">IF($AC826&lt;=0,0,$AB826/$AC826)</f>
        <v>0.0810980392156862</v>
      </c>
      <c r="AE826" s="8" t="str">
        <f aca="false">IF($K826="SEM CULTURA","SEM CULTURA",IF($AA826&lt;=0,"DADO PENDENTE",IF($AD826&gt;LIMITE_CRITICO,"INVIAVEL",IF($AD826&gt;LIMITE_ATENCAO,"CRITICO",IF($AD826&gt;LIMITE_CONFORTAVEL,"ATENCAO","OK")))))</f>
        <v>OK</v>
      </c>
      <c r="AF826" s="8" t="str">
        <f aca="false">$B826&amp;"|"&amp;TEXT($AD826,"0.000000")</f>
        <v>29|0.081098</v>
      </c>
      <c r="AG826" s="18" t="n">
        <f aca="false">IF($K826="SEM CULTURA",0,$T826*$H826)</f>
        <v>4442.8594</v>
      </c>
      <c r="AH826" s="18" t="n">
        <f aca="false">IF($K826="SEM CULTURA",0,$V826*$H826)</f>
        <v>3574.44416</v>
      </c>
      <c r="AI826" s="18" t="n">
        <f aca="false">IF($K826="SEM CULTURA",0,$W826*$H826)</f>
        <v>868.415239999999</v>
      </c>
      <c r="AJ826" s="18" t="n">
        <f aca="false">IF($K826="SEM CULTURA",0,$S826*$H826)</f>
        <v>3863.356</v>
      </c>
      <c r="AK826" s="8" t="str">
        <f aca="false">$E826&amp;"|"&amp;TEXT($AD826,"0.000000")</f>
        <v>PV 114|0.081098</v>
      </c>
    </row>
    <row r="827" customFormat="false" ht="15" hidden="false" customHeight="false" outlineLevel="0" collapsed="false">
      <c r="B827" s="16" t="n">
        <v>30</v>
      </c>
      <c r="C827" s="17" t="n">
        <f aca="false">DATA_INICIO_SAFRA+($B827-1)*DIAS_POR_SEMANA</f>
        <v>46468</v>
      </c>
      <c r="D827" s="17" t="n">
        <f aca="false">$C827+DIAS_POR_SEMANA-1</f>
        <v>46474</v>
      </c>
      <c r="E827" s="15" t="s">
        <v>271</v>
      </c>
      <c r="F827" s="8" t="str">
        <f aca="false">IFERROR(INDEX(CADASTRO_PIVOS!$C$6:$C$41,MATCH($E827,CADASTRO_PIVOS!$B$6:$B$41,0)),"?")</f>
        <v>RM05</v>
      </c>
      <c r="G827" s="8" t="str">
        <f aca="false">IFERROR(INDEX(CADASTRO_PIVOS!$D$6:$D$41,MATCH($E827,CADASTRO_PIVOS!$B$6:$B$41,0)),"?")</f>
        <v>TR05</v>
      </c>
      <c r="H827" s="20" t="n">
        <f aca="false">IFERROR(INDEX(CADASTRO_PIVOS!$E$6:$E$41,MATCH($E827,CADASTRO_PIVOS!$B$6:$B$41,0)),0)</f>
        <v>119.98</v>
      </c>
      <c r="I827" s="16" t="n">
        <f aca="false">IFERROR(SUMIFS(ROTACAO_RDM!$B$6:$B$71,ROTACAO_RDM!$D$6:$D$71,$E827,ROTACAO_RDM!$I$6:$I$71,"&lt;="&amp;$C827+INT(DIAS_POR_SEMANA/2),ROTACAO_RDM!$J$6:$J$71,"&gt;="&amp;$C827+INT(DIAS_POR_SEMANA/2)),0)</f>
        <v>24</v>
      </c>
      <c r="J827" s="16" t="n">
        <f aca="false">IFERROR(MATCH($I827,ROTACAO_RDM!$B$6:$B$71,0),0)</f>
        <v>24</v>
      </c>
      <c r="K827" s="8" t="str">
        <f aca="false">IF($J827=0,"SEM CULTURA",INDEX(ROTACAO_RDM!$F$6:$F$71,$J827))</f>
        <v>ALGODAO</v>
      </c>
      <c r="L827" s="8" t="str">
        <f aca="false">IF($J827=0,"",INDEX(ROTACAO_RDM!$G$6:$G$71,$J827))</f>
        <v>FM 974 GLT</v>
      </c>
      <c r="M827" s="17" t="n">
        <f aca="false">IF($J827=0,"",INDEX(ROTACAO_RDM!$I$6:$I$71,$J827))</f>
        <v>46356</v>
      </c>
      <c r="N827" s="16" t="n">
        <f aca="false">IF($J827=0,0,MAX(0,$C827+INT(DIAS_POR_SEMANA/2)-INDEX(ROTACAO_RDM!$I$6:$I$71,$J827)))</f>
        <v>115</v>
      </c>
      <c r="O827" s="19" t="n">
        <f aca="false">IF($J827=0,0,MIN(1,$N827/MAX(1,INDEX(ROTACAO_RDM!$K$6:$K$71,$J827))))</f>
        <v>0.58974358974359</v>
      </c>
      <c r="P827" s="16" t="n">
        <f aca="false">IF($J827=0,0,IFERROR(MATCH(INDEX(ROTACAO_RDM!$N$6:$N$71,$J827),PARAMETROS_CULTURAS!$B$6:$B$28,0),0))</f>
        <v>5</v>
      </c>
      <c r="Q827" s="8" t="str">
        <f aca="false">IF($P827=0,"-",IF($O827&lt;=INDEX(PARAMETROS_CULTURAS!$F$6:$F$28,$P827),"INICIAL",IF($O827&lt;=INDEX(PARAMETROS_CULTURAS!$F$6:$F$28,$P827)+INDEX(PARAMETROS_CULTURAS!$G$6:$G$28,$P827),"DESENVOLVIMENTO",IF($O827&lt;=INDEX(PARAMETROS_CULTURAS!$F$6:$F$28,$P827)+INDEX(PARAMETROS_CULTURAS!$G$6:$G$28,$P827)+INDEX(PARAMETROS_CULTURAS!$H$6:$H$28,$P827),"MEDIA","FINAL"))))</f>
        <v>MEDIA</v>
      </c>
      <c r="R827" s="24" t="n">
        <f aca="false">IF($P827=0,0,IF($O827&lt;=INDEX(PARAMETROS_CULTURAS!$F$6:$F$28,$P827),INDEX(PARAMETROS_CULTURAS!$K$6:$K$28,$P827),IF($O827&lt;=INDEX(PARAMETROS_CULTURAS!$F$6:$F$28,$P827)+INDEX(PARAMETROS_CULTURAS!$G$6:$G$28,$P827),INDEX(PARAMETROS_CULTURAS!$K$6:$K$28,$P827)+(INDEX(PARAMETROS_CULTURAS!$L$6:$L$28,$P827)-INDEX(PARAMETROS_CULTURAS!$K$6:$K$28,$P827))*($O827-INDEX(PARAMETROS_CULTURAS!$F$6:$F$28,$P827))/MAX(INDEX(PARAMETROS_CULTURAS!$G$6:$G$28,$P827),0.0001),IF($O827&lt;=INDEX(PARAMETROS_CULTURAS!$F$6:$F$28,$P827)+INDEX(PARAMETROS_CULTURAS!$G$6:$G$28,$P827)+INDEX(PARAMETROS_CULTURAS!$H$6:$H$28,$P827),INDEX(PARAMETROS_CULTURAS!$L$6:$L$28,$P827),INDEX(PARAMETROS_CULTURAS!$L$6:$L$28,$P827)+(INDEX(PARAMETROS_CULTURAS!$M$6:$M$28,$P827)-INDEX(PARAMETROS_CULTURAS!$L$6:$L$28,$P827))*($O827-INDEX(PARAMETROS_CULTURAS!$F$6:$F$28,$P827)-INDEX(PARAMETROS_CULTURAS!$G$6:$G$28,$P827)-INDEX(PARAMETROS_CULTURAS!$H$6:$H$28,$P827))/MAX(INDEX(PARAMETROS_CULTURAS!$I$6:$I$28,$P827),0.0001)))))</f>
        <v>1.15</v>
      </c>
      <c r="S827" s="18" t="n">
        <f aca="false">IFERROR(INDEX(SEMANAS!$H$6:$H$71,MATCH($B827,SEMANAS!$B$6:$B$71,0)),0)</f>
        <v>32.2</v>
      </c>
      <c r="T827" s="18" t="n">
        <f aca="false">$R827*$S827</f>
        <v>37.03</v>
      </c>
      <c r="U827" s="18" t="n">
        <f aca="false">IFERROR(INDEX(SEMANAS!$I$6:$I$71,MATCH($B827,SEMANAS!$B$6:$B$71,0)),0)</f>
        <v>37.24</v>
      </c>
      <c r="V827" s="18" t="n">
        <f aca="false">IFERROR(INDEX(SEMANAS!$J$6:$J$71,MATCH($B827,SEMANAS!$B$6:$B$71,0)),0)</f>
        <v>29.792</v>
      </c>
      <c r="W827" s="18" t="n">
        <f aca="false">MAX(0,$T827-$V827)</f>
        <v>7.23799999999999</v>
      </c>
      <c r="X827" s="19" t="n">
        <f aca="false">IFERROR(INDEX(CADASTRO_PIVOS!$K$6:$K$41,MATCH($E827,CADASTRO_PIVOS!$B$6:$B$41,0)),EFICIENCIA_PADRAO)</f>
        <v>0.85</v>
      </c>
      <c r="Y827" s="18" t="n">
        <f aca="false">IF($X827&lt;=0,0,$W827/$X827)</f>
        <v>8.51529411764705</v>
      </c>
      <c r="Z827" s="16" t="n">
        <f aca="false">$Y827*$H827*MM_PARA_M3_HA</f>
        <v>10216.6498823529</v>
      </c>
      <c r="AA827" s="18" t="n">
        <f aca="false">IFERROR(INDEX(CADASTRO_PIVOS!$I$6:$I$41,MATCH($E827,CADASTRO_PIVOS!$B$6:$B$41,0)),0)</f>
        <v>857</v>
      </c>
      <c r="AB827" s="18" t="n">
        <f aca="false">IF($Z827&lt;=0,0,$Z827/$AA827)</f>
        <v>11.9214117647059</v>
      </c>
      <c r="AC827" s="16" t="n">
        <f aca="false">IFERROR(INDEX(SEMANAS!$K$6:$K$71,MATCH($B827,SEMANAS!$B$6:$B$71,0)),0)</f>
        <v>147</v>
      </c>
      <c r="AD827" s="19" t="n">
        <f aca="false">IF($AC827&lt;=0,0,$AB827/$AC827)</f>
        <v>0.0810980392156862</v>
      </c>
      <c r="AE827" s="8" t="str">
        <f aca="false">IF($K827="SEM CULTURA","SEM CULTURA",IF($AA827&lt;=0,"DADO PENDENTE",IF($AD827&gt;LIMITE_CRITICO,"INVIAVEL",IF($AD827&gt;LIMITE_ATENCAO,"CRITICO",IF($AD827&gt;LIMITE_CONFORTAVEL,"ATENCAO","OK")))))</f>
        <v>OK</v>
      </c>
      <c r="AF827" s="8" t="str">
        <f aca="false">$B827&amp;"|"&amp;TEXT($AD827,"0.000000")</f>
        <v>30|0.081098</v>
      </c>
      <c r="AG827" s="18" t="n">
        <f aca="false">IF($K827="SEM CULTURA",0,$T827*$H827)</f>
        <v>4442.8594</v>
      </c>
      <c r="AH827" s="18" t="n">
        <f aca="false">IF($K827="SEM CULTURA",0,$V827*$H827)</f>
        <v>3574.44416</v>
      </c>
      <c r="AI827" s="18" t="n">
        <f aca="false">IF($K827="SEM CULTURA",0,$W827*$H827)</f>
        <v>868.415239999999</v>
      </c>
      <c r="AJ827" s="18" t="n">
        <f aca="false">IF($K827="SEM CULTURA",0,$S827*$H827)</f>
        <v>3863.356</v>
      </c>
      <c r="AK827" s="8" t="str">
        <f aca="false">$E827&amp;"|"&amp;TEXT($AD827,"0.000000")</f>
        <v>PV 114|0.081098</v>
      </c>
    </row>
    <row r="828" customFormat="false" ht="15" hidden="false" customHeight="false" outlineLevel="0" collapsed="false">
      <c r="B828" s="16" t="n">
        <v>31</v>
      </c>
      <c r="C828" s="17" t="n">
        <f aca="false">DATA_INICIO_SAFRA+($B828-1)*DIAS_POR_SEMANA</f>
        <v>46475</v>
      </c>
      <c r="D828" s="17" t="n">
        <f aca="false">$C828+DIAS_POR_SEMANA-1</f>
        <v>46481</v>
      </c>
      <c r="E828" s="15" t="s">
        <v>271</v>
      </c>
      <c r="F828" s="8" t="str">
        <f aca="false">IFERROR(INDEX(CADASTRO_PIVOS!$C$6:$C$41,MATCH($E828,CADASTRO_PIVOS!$B$6:$B$41,0)),"?")</f>
        <v>RM05</v>
      </c>
      <c r="G828" s="8" t="str">
        <f aca="false">IFERROR(INDEX(CADASTRO_PIVOS!$D$6:$D$41,MATCH($E828,CADASTRO_PIVOS!$B$6:$B$41,0)),"?")</f>
        <v>TR05</v>
      </c>
      <c r="H828" s="20" t="n">
        <f aca="false">IFERROR(INDEX(CADASTRO_PIVOS!$E$6:$E$41,MATCH($E828,CADASTRO_PIVOS!$B$6:$B$41,0)),0)</f>
        <v>119.98</v>
      </c>
      <c r="I828" s="16" t="n">
        <f aca="false">IFERROR(SUMIFS(ROTACAO_RDM!$B$6:$B$71,ROTACAO_RDM!$D$6:$D$71,$E828,ROTACAO_RDM!$I$6:$I$71,"&lt;="&amp;$C828+INT(DIAS_POR_SEMANA/2),ROTACAO_RDM!$J$6:$J$71,"&gt;="&amp;$C828+INT(DIAS_POR_SEMANA/2)),0)</f>
        <v>24</v>
      </c>
      <c r="J828" s="16" t="n">
        <f aca="false">IFERROR(MATCH($I828,ROTACAO_RDM!$B$6:$B$71,0),0)</f>
        <v>24</v>
      </c>
      <c r="K828" s="8" t="str">
        <f aca="false">IF($J828=0,"SEM CULTURA",INDEX(ROTACAO_RDM!$F$6:$F$71,$J828))</f>
        <v>ALGODAO</v>
      </c>
      <c r="L828" s="8" t="str">
        <f aca="false">IF($J828=0,"",INDEX(ROTACAO_RDM!$G$6:$G$71,$J828))</f>
        <v>FM 974 GLT</v>
      </c>
      <c r="M828" s="17" t="n">
        <f aca="false">IF($J828=0,"",INDEX(ROTACAO_RDM!$I$6:$I$71,$J828))</f>
        <v>46356</v>
      </c>
      <c r="N828" s="16" t="n">
        <f aca="false">IF($J828=0,0,MAX(0,$C828+INT(DIAS_POR_SEMANA/2)-INDEX(ROTACAO_RDM!$I$6:$I$71,$J828)))</f>
        <v>122</v>
      </c>
      <c r="O828" s="19" t="n">
        <f aca="false">IF($J828=0,0,MIN(1,$N828/MAX(1,INDEX(ROTACAO_RDM!$K$6:$K$71,$J828))))</f>
        <v>0.625641025641026</v>
      </c>
      <c r="P828" s="16" t="n">
        <f aca="false">IF($J828=0,0,IFERROR(MATCH(INDEX(ROTACAO_RDM!$N$6:$N$71,$J828),PARAMETROS_CULTURAS!$B$6:$B$28,0),0))</f>
        <v>5</v>
      </c>
      <c r="Q828" s="8" t="str">
        <f aca="false">IF($P828=0,"-",IF($O828&lt;=INDEX(PARAMETROS_CULTURAS!$F$6:$F$28,$P828),"INICIAL",IF($O828&lt;=INDEX(PARAMETROS_CULTURAS!$F$6:$F$28,$P828)+INDEX(PARAMETROS_CULTURAS!$G$6:$G$28,$P828),"DESENVOLVIMENTO",IF($O828&lt;=INDEX(PARAMETROS_CULTURAS!$F$6:$F$28,$P828)+INDEX(PARAMETROS_CULTURAS!$G$6:$G$28,$P828)+INDEX(PARAMETROS_CULTURAS!$H$6:$H$28,$P828),"MEDIA","FINAL"))))</f>
        <v>MEDIA</v>
      </c>
      <c r="R828" s="24" t="n">
        <f aca="false">IF($P828=0,0,IF($O828&lt;=INDEX(PARAMETROS_CULTURAS!$F$6:$F$28,$P828),INDEX(PARAMETROS_CULTURAS!$K$6:$K$28,$P828),IF($O828&lt;=INDEX(PARAMETROS_CULTURAS!$F$6:$F$28,$P828)+INDEX(PARAMETROS_CULTURAS!$G$6:$G$28,$P828),INDEX(PARAMETROS_CULTURAS!$K$6:$K$28,$P828)+(INDEX(PARAMETROS_CULTURAS!$L$6:$L$28,$P828)-INDEX(PARAMETROS_CULTURAS!$K$6:$K$28,$P828))*($O828-INDEX(PARAMETROS_CULTURAS!$F$6:$F$28,$P828))/MAX(INDEX(PARAMETROS_CULTURAS!$G$6:$G$28,$P828),0.0001),IF($O828&lt;=INDEX(PARAMETROS_CULTURAS!$F$6:$F$28,$P828)+INDEX(PARAMETROS_CULTURAS!$G$6:$G$28,$P828)+INDEX(PARAMETROS_CULTURAS!$H$6:$H$28,$P828),INDEX(PARAMETROS_CULTURAS!$L$6:$L$28,$P828),INDEX(PARAMETROS_CULTURAS!$L$6:$L$28,$P828)+(INDEX(PARAMETROS_CULTURAS!$M$6:$M$28,$P828)-INDEX(PARAMETROS_CULTURAS!$L$6:$L$28,$P828))*($O828-INDEX(PARAMETROS_CULTURAS!$F$6:$F$28,$P828)-INDEX(PARAMETROS_CULTURAS!$G$6:$G$28,$P828)-INDEX(PARAMETROS_CULTURAS!$H$6:$H$28,$P828))/MAX(INDEX(PARAMETROS_CULTURAS!$I$6:$I$28,$P828),0.0001)))))</f>
        <v>1.15</v>
      </c>
      <c r="S828" s="18" t="n">
        <f aca="false">IFERROR(INDEX(SEMANAS!$H$6:$H$71,MATCH($B828,SEMANAS!$B$6:$B$71,0)),0)</f>
        <v>31.8</v>
      </c>
      <c r="T828" s="18" t="n">
        <f aca="false">$R828*$S828</f>
        <v>36.57</v>
      </c>
      <c r="U828" s="18" t="n">
        <f aca="false">IFERROR(INDEX(SEMANAS!$I$6:$I$71,MATCH($B828,SEMANAS!$B$6:$B$71,0)),0)</f>
        <v>25.28</v>
      </c>
      <c r="V828" s="18" t="n">
        <f aca="false">IFERROR(INDEX(SEMANAS!$J$6:$J$71,MATCH($B828,SEMANAS!$B$6:$B$71,0)),0)</f>
        <v>20.224</v>
      </c>
      <c r="W828" s="18" t="n">
        <f aca="false">MAX(0,$T828-$V828)</f>
        <v>16.346</v>
      </c>
      <c r="X828" s="19" t="n">
        <f aca="false">IFERROR(INDEX(CADASTRO_PIVOS!$K$6:$K$41,MATCH($E828,CADASTRO_PIVOS!$B$6:$B$41,0)),EFICIENCIA_PADRAO)</f>
        <v>0.85</v>
      </c>
      <c r="Y828" s="18" t="n">
        <f aca="false">IF($X828&lt;=0,0,$W828/$X828)</f>
        <v>19.2305882352941</v>
      </c>
      <c r="Z828" s="16" t="n">
        <f aca="false">$Y828*$H828*MM_PARA_M3_HA</f>
        <v>23072.8597647059</v>
      </c>
      <c r="AA828" s="18" t="n">
        <f aca="false">IFERROR(INDEX(CADASTRO_PIVOS!$I$6:$I$41,MATCH($E828,CADASTRO_PIVOS!$B$6:$B$41,0)),0)</f>
        <v>857</v>
      </c>
      <c r="AB828" s="18" t="n">
        <f aca="false">IF($Z828&lt;=0,0,$Z828/$AA828)</f>
        <v>26.9228235294118</v>
      </c>
      <c r="AC828" s="16" t="n">
        <f aca="false">IFERROR(INDEX(SEMANAS!$K$6:$K$71,MATCH($B828,SEMANAS!$B$6:$B$71,0)),0)</f>
        <v>147</v>
      </c>
      <c r="AD828" s="19" t="n">
        <f aca="false">IF($AC828&lt;=0,0,$AB828/$AC828)</f>
        <v>0.183148459383753</v>
      </c>
      <c r="AE828" s="8" t="str">
        <f aca="false">IF($K828="SEM CULTURA","SEM CULTURA",IF($AA828&lt;=0,"DADO PENDENTE",IF($AD828&gt;LIMITE_CRITICO,"INVIAVEL",IF($AD828&gt;LIMITE_ATENCAO,"CRITICO",IF($AD828&gt;LIMITE_CONFORTAVEL,"ATENCAO","OK")))))</f>
        <v>OK</v>
      </c>
      <c r="AF828" s="8" t="str">
        <f aca="false">$B828&amp;"|"&amp;TEXT($AD828,"0.000000")</f>
        <v>31|0.183148</v>
      </c>
      <c r="AG828" s="18" t="n">
        <f aca="false">IF($K828="SEM CULTURA",0,$T828*$H828)</f>
        <v>4387.6686</v>
      </c>
      <c r="AH828" s="18" t="n">
        <f aca="false">IF($K828="SEM CULTURA",0,$V828*$H828)</f>
        <v>2426.47552</v>
      </c>
      <c r="AI828" s="18" t="n">
        <f aca="false">IF($K828="SEM CULTURA",0,$W828*$H828)</f>
        <v>1961.19308</v>
      </c>
      <c r="AJ828" s="18" t="n">
        <f aca="false">IF($K828="SEM CULTURA",0,$S828*$H828)</f>
        <v>3815.364</v>
      </c>
      <c r="AK828" s="8" t="str">
        <f aca="false">$E828&amp;"|"&amp;TEXT($AD828,"0.000000")</f>
        <v>PV 114|0.183148</v>
      </c>
    </row>
    <row r="829" customFormat="false" ht="15" hidden="false" customHeight="false" outlineLevel="0" collapsed="false">
      <c r="B829" s="16" t="n">
        <v>32</v>
      </c>
      <c r="C829" s="17" t="n">
        <f aca="false">DATA_INICIO_SAFRA+($B829-1)*DIAS_POR_SEMANA</f>
        <v>46482</v>
      </c>
      <c r="D829" s="17" t="n">
        <f aca="false">$C829+DIAS_POR_SEMANA-1</f>
        <v>46488</v>
      </c>
      <c r="E829" s="15" t="s">
        <v>271</v>
      </c>
      <c r="F829" s="8" t="str">
        <f aca="false">IFERROR(INDEX(CADASTRO_PIVOS!$C$6:$C$41,MATCH($E829,CADASTRO_PIVOS!$B$6:$B$41,0)),"?")</f>
        <v>RM05</v>
      </c>
      <c r="G829" s="8" t="str">
        <f aca="false">IFERROR(INDEX(CADASTRO_PIVOS!$D$6:$D$41,MATCH($E829,CADASTRO_PIVOS!$B$6:$B$41,0)),"?")</f>
        <v>TR05</v>
      </c>
      <c r="H829" s="20" t="n">
        <f aca="false">IFERROR(INDEX(CADASTRO_PIVOS!$E$6:$E$41,MATCH($E829,CADASTRO_PIVOS!$B$6:$B$41,0)),0)</f>
        <v>119.98</v>
      </c>
      <c r="I829" s="16" t="n">
        <f aca="false">IFERROR(SUMIFS(ROTACAO_RDM!$B$6:$B$71,ROTACAO_RDM!$D$6:$D$71,$E829,ROTACAO_RDM!$I$6:$I$71,"&lt;="&amp;$C829+INT(DIAS_POR_SEMANA/2),ROTACAO_RDM!$J$6:$J$71,"&gt;="&amp;$C829+INT(DIAS_POR_SEMANA/2)),0)</f>
        <v>24</v>
      </c>
      <c r="J829" s="16" t="n">
        <f aca="false">IFERROR(MATCH($I829,ROTACAO_RDM!$B$6:$B$71,0),0)</f>
        <v>24</v>
      </c>
      <c r="K829" s="8" t="str">
        <f aca="false">IF($J829=0,"SEM CULTURA",INDEX(ROTACAO_RDM!$F$6:$F$71,$J829))</f>
        <v>ALGODAO</v>
      </c>
      <c r="L829" s="8" t="str">
        <f aca="false">IF($J829=0,"",INDEX(ROTACAO_RDM!$G$6:$G$71,$J829))</f>
        <v>FM 974 GLT</v>
      </c>
      <c r="M829" s="17" t="n">
        <f aca="false">IF($J829=0,"",INDEX(ROTACAO_RDM!$I$6:$I$71,$J829))</f>
        <v>46356</v>
      </c>
      <c r="N829" s="16" t="n">
        <f aca="false">IF($J829=0,0,MAX(0,$C829+INT(DIAS_POR_SEMANA/2)-INDEX(ROTACAO_RDM!$I$6:$I$71,$J829)))</f>
        <v>129</v>
      </c>
      <c r="O829" s="19" t="n">
        <f aca="false">IF($J829=0,0,MIN(1,$N829/MAX(1,INDEX(ROTACAO_RDM!$K$6:$K$71,$J829))))</f>
        <v>0.661538461538462</v>
      </c>
      <c r="P829" s="16" t="n">
        <f aca="false">IF($J829=0,0,IFERROR(MATCH(INDEX(ROTACAO_RDM!$N$6:$N$71,$J829),PARAMETROS_CULTURAS!$B$6:$B$28,0),0))</f>
        <v>5</v>
      </c>
      <c r="Q829" s="8" t="str">
        <f aca="false">IF($P829=0,"-",IF($O829&lt;=INDEX(PARAMETROS_CULTURAS!$F$6:$F$28,$P829),"INICIAL",IF($O829&lt;=INDEX(PARAMETROS_CULTURAS!$F$6:$F$28,$P829)+INDEX(PARAMETROS_CULTURAS!$G$6:$G$28,$P829),"DESENVOLVIMENTO",IF($O829&lt;=INDEX(PARAMETROS_CULTURAS!$F$6:$F$28,$P829)+INDEX(PARAMETROS_CULTURAS!$G$6:$G$28,$P829)+INDEX(PARAMETROS_CULTURAS!$H$6:$H$28,$P829),"MEDIA","FINAL"))))</f>
        <v>MEDIA</v>
      </c>
      <c r="R829" s="24" t="n">
        <f aca="false">IF($P829=0,0,IF($O829&lt;=INDEX(PARAMETROS_CULTURAS!$F$6:$F$28,$P829),INDEX(PARAMETROS_CULTURAS!$K$6:$K$28,$P829),IF($O829&lt;=INDEX(PARAMETROS_CULTURAS!$F$6:$F$28,$P829)+INDEX(PARAMETROS_CULTURAS!$G$6:$G$28,$P829),INDEX(PARAMETROS_CULTURAS!$K$6:$K$28,$P829)+(INDEX(PARAMETROS_CULTURAS!$L$6:$L$28,$P829)-INDEX(PARAMETROS_CULTURAS!$K$6:$K$28,$P829))*($O829-INDEX(PARAMETROS_CULTURAS!$F$6:$F$28,$P829))/MAX(INDEX(PARAMETROS_CULTURAS!$G$6:$G$28,$P829),0.0001),IF($O829&lt;=INDEX(PARAMETROS_CULTURAS!$F$6:$F$28,$P829)+INDEX(PARAMETROS_CULTURAS!$G$6:$G$28,$P829)+INDEX(PARAMETROS_CULTURAS!$H$6:$H$28,$P829),INDEX(PARAMETROS_CULTURAS!$L$6:$L$28,$P829),INDEX(PARAMETROS_CULTURAS!$L$6:$L$28,$P829)+(INDEX(PARAMETROS_CULTURAS!$M$6:$M$28,$P829)-INDEX(PARAMETROS_CULTURAS!$L$6:$L$28,$P829))*($O829-INDEX(PARAMETROS_CULTURAS!$F$6:$F$28,$P829)-INDEX(PARAMETROS_CULTURAS!$G$6:$G$28,$P829)-INDEX(PARAMETROS_CULTURAS!$H$6:$H$28,$P829))/MAX(INDEX(PARAMETROS_CULTURAS!$I$6:$I$28,$P829),0.0001)))))</f>
        <v>1.15</v>
      </c>
      <c r="S829" s="18" t="n">
        <f aca="false">IFERROR(INDEX(SEMANAS!$H$6:$H$71,MATCH($B829,SEMANAS!$B$6:$B$71,0)),0)</f>
        <v>31.5</v>
      </c>
      <c r="T829" s="18" t="n">
        <f aca="false">$R829*$S829</f>
        <v>36.225</v>
      </c>
      <c r="U829" s="18" t="n">
        <f aca="false">IFERROR(INDEX(SEMANAS!$I$6:$I$71,MATCH($B829,SEMANAS!$B$6:$B$71,0)),0)</f>
        <v>16.31</v>
      </c>
      <c r="V829" s="18" t="n">
        <f aca="false">IFERROR(INDEX(SEMANAS!$J$6:$J$71,MATCH($B829,SEMANAS!$B$6:$B$71,0)),0)</f>
        <v>13.048</v>
      </c>
      <c r="W829" s="18" t="n">
        <f aca="false">MAX(0,$T829-$V829)</f>
        <v>23.177</v>
      </c>
      <c r="X829" s="19" t="n">
        <f aca="false">IFERROR(INDEX(CADASTRO_PIVOS!$K$6:$K$41,MATCH($E829,CADASTRO_PIVOS!$B$6:$B$41,0)),EFICIENCIA_PADRAO)</f>
        <v>0.85</v>
      </c>
      <c r="Y829" s="18" t="n">
        <f aca="false">IF($X829&lt;=0,0,$W829/$X829)</f>
        <v>27.2670588235294</v>
      </c>
      <c r="Z829" s="16" t="n">
        <f aca="false">$Y829*$H829*MM_PARA_M3_HA</f>
        <v>32715.0171764706</v>
      </c>
      <c r="AA829" s="18" t="n">
        <f aca="false">IFERROR(INDEX(CADASTRO_PIVOS!$I$6:$I$41,MATCH($E829,CADASTRO_PIVOS!$B$6:$B$41,0)),0)</f>
        <v>857</v>
      </c>
      <c r="AB829" s="18" t="n">
        <f aca="false">IF($Z829&lt;=0,0,$Z829/$AA829)</f>
        <v>38.1738823529412</v>
      </c>
      <c r="AC829" s="16" t="n">
        <f aca="false">IFERROR(INDEX(SEMANAS!$K$6:$K$71,MATCH($B829,SEMANAS!$B$6:$B$71,0)),0)</f>
        <v>147</v>
      </c>
      <c r="AD829" s="19" t="n">
        <f aca="false">IF($AC829&lt;=0,0,$AB829/$AC829)</f>
        <v>0.259686274509804</v>
      </c>
      <c r="AE829" s="8" t="str">
        <f aca="false">IF($K829="SEM CULTURA","SEM CULTURA",IF($AA829&lt;=0,"DADO PENDENTE",IF($AD829&gt;LIMITE_CRITICO,"INVIAVEL",IF($AD829&gt;LIMITE_ATENCAO,"CRITICO",IF($AD829&gt;LIMITE_CONFORTAVEL,"ATENCAO","OK")))))</f>
        <v>OK</v>
      </c>
      <c r="AF829" s="8" t="str">
        <f aca="false">$B829&amp;"|"&amp;TEXT($AD829,"0.000000")</f>
        <v>32|0.259686</v>
      </c>
      <c r="AG829" s="18" t="n">
        <f aca="false">IF($K829="SEM CULTURA",0,$T829*$H829)</f>
        <v>4346.2755</v>
      </c>
      <c r="AH829" s="18" t="n">
        <f aca="false">IF($K829="SEM CULTURA",0,$V829*$H829)</f>
        <v>1565.49904</v>
      </c>
      <c r="AI829" s="18" t="n">
        <f aca="false">IF($K829="SEM CULTURA",0,$W829*$H829)</f>
        <v>2780.77646</v>
      </c>
      <c r="AJ829" s="18" t="n">
        <f aca="false">IF($K829="SEM CULTURA",0,$S829*$H829)</f>
        <v>3779.37</v>
      </c>
      <c r="AK829" s="8" t="str">
        <f aca="false">$E829&amp;"|"&amp;TEXT($AD829,"0.000000")</f>
        <v>PV 114|0.259686</v>
      </c>
    </row>
    <row r="830" customFormat="false" ht="15" hidden="false" customHeight="false" outlineLevel="0" collapsed="false">
      <c r="B830" s="16" t="n">
        <v>33</v>
      </c>
      <c r="C830" s="17" t="n">
        <f aca="false">DATA_INICIO_SAFRA+($B830-1)*DIAS_POR_SEMANA</f>
        <v>46489</v>
      </c>
      <c r="D830" s="17" t="n">
        <f aca="false">$C830+DIAS_POR_SEMANA-1</f>
        <v>46495</v>
      </c>
      <c r="E830" s="15" t="s">
        <v>271</v>
      </c>
      <c r="F830" s="8" t="str">
        <f aca="false">IFERROR(INDEX(CADASTRO_PIVOS!$C$6:$C$41,MATCH($E830,CADASTRO_PIVOS!$B$6:$B$41,0)),"?")</f>
        <v>RM05</v>
      </c>
      <c r="G830" s="8" t="str">
        <f aca="false">IFERROR(INDEX(CADASTRO_PIVOS!$D$6:$D$41,MATCH($E830,CADASTRO_PIVOS!$B$6:$B$41,0)),"?")</f>
        <v>TR05</v>
      </c>
      <c r="H830" s="20" t="n">
        <f aca="false">IFERROR(INDEX(CADASTRO_PIVOS!$E$6:$E$41,MATCH($E830,CADASTRO_PIVOS!$B$6:$B$41,0)),0)</f>
        <v>119.98</v>
      </c>
      <c r="I830" s="16" t="n">
        <f aca="false">IFERROR(SUMIFS(ROTACAO_RDM!$B$6:$B$71,ROTACAO_RDM!$D$6:$D$71,$E830,ROTACAO_RDM!$I$6:$I$71,"&lt;="&amp;$C830+INT(DIAS_POR_SEMANA/2),ROTACAO_RDM!$J$6:$J$71,"&gt;="&amp;$C830+INT(DIAS_POR_SEMANA/2)),0)</f>
        <v>24</v>
      </c>
      <c r="J830" s="16" t="n">
        <f aca="false">IFERROR(MATCH($I830,ROTACAO_RDM!$B$6:$B$71,0),0)</f>
        <v>24</v>
      </c>
      <c r="K830" s="8" t="str">
        <f aca="false">IF($J830=0,"SEM CULTURA",INDEX(ROTACAO_RDM!$F$6:$F$71,$J830))</f>
        <v>ALGODAO</v>
      </c>
      <c r="L830" s="8" t="str">
        <f aca="false">IF($J830=0,"",INDEX(ROTACAO_RDM!$G$6:$G$71,$J830))</f>
        <v>FM 974 GLT</v>
      </c>
      <c r="M830" s="17" t="n">
        <f aca="false">IF($J830=0,"",INDEX(ROTACAO_RDM!$I$6:$I$71,$J830))</f>
        <v>46356</v>
      </c>
      <c r="N830" s="16" t="n">
        <f aca="false">IF($J830=0,0,MAX(0,$C830+INT(DIAS_POR_SEMANA/2)-INDEX(ROTACAO_RDM!$I$6:$I$71,$J830)))</f>
        <v>136</v>
      </c>
      <c r="O830" s="19" t="n">
        <f aca="false">IF($J830=0,0,MIN(1,$N830/MAX(1,INDEX(ROTACAO_RDM!$K$6:$K$71,$J830))))</f>
        <v>0.697435897435897</v>
      </c>
      <c r="P830" s="16" t="n">
        <f aca="false">IF($J830=0,0,IFERROR(MATCH(INDEX(ROTACAO_RDM!$N$6:$N$71,$J830),PARAMETROS_CULTURAS!$B$6:$B$28,0),0))</f>
        <v>5</v>
      </c>
      <c r="Q830" s="8" t="str">
        <f aca="false">IF($P830=0,"-",IF($O830&lt;=INDEX(PARAMETROS_CULTURAS!$F$6:$F$28,$P830),"INICIAL",IF($O830&lt;=INDEX(PARAMETROS_CULTURAS!$F$6:$F$28,$P830)+INDEX(PARAMETROS_CULTURAS!$G$6:$G$28,$P830),"DESENVOLVIMENTO",IF($O830&lt;=INDEX(PARAMETROS_CULTURAS!$F$6:$F$28,$P830)+INDEX(PARAMETROS_CULTURAS!$G$6:$G$28,$P830)+INDEX(PARAMETROS_CULTURAS!$H$6:$H$28,$P830),"MEDIA","FINAL"))))</f>
        <v>MEDIA</v>
      </c>
      <c r="R830" s="24" t="n">
        <f aca="false">IF($P830=0,0,IF($O830&lt;=INDEX(PARAMETROS_CULTURAS!$F$6:$F$28,$P830),INDEX(PARAMETROS_CULTURAS!$K$6:$K$28,$P830),IF($O830&lt;=INDEX(PARAMETROS_CULTURAS!$F$6:$F$28,$P830)+INDEX(PARAMETROS_CULTURAS!$G$6:$G$28,$P830),INDEX(PARAMETROS_CULTURAS!$K$6:$K$28,$P830)+(INDEX(PARAMETROS_CULTURAS!$L$6:$L$28,$P830)-INDEX(PARAMETROS_CULTURAS!$K$6:$K$28,$P830))*($O830-INDEX(PARAMETROS_CULTURAS!$F$6:$F$28,$P830))/MAX(INDEX(PARAMETROS_CULTURAS!$G$6:$G$28,$P830),0.0001),IF($O830&lt;=INDEX(PARAMETROS_CULTURAS!$F$6:$F$28,$P830)+INDEX(PARAMETROS_CULTURAS!$G$6:$G$28,$P830)+INDEX(PARAMETROS_CULTURAS!$H$6:$H$28,$P830),INDEX(PARAMETROS_CULTURAS!$L$6:$L$28,$P830),INDEX(PARAMETROS_CULTURAS!$L$6:$L$28,$P830)+(INDEX(PARAMETROS_CULTURAS!$M$6:$M$28,$P830)-INDEX(PARAMETROS_CULTURAS!$L$6:$L$28,$P830))*($O830-INDEX(PARAMETROS_CULTURAS!$F$6:$F$28,$P830)-INDEX(PARAMETROS_CULTURAS!$G$6:$G$28,$P830)-INDEX(PARAMETROS_CULTURAS!$H$6:$H$28,$P830))/MAX(INDEX(PARAMETROS_CULTURAS!$I$6:$I$28,$P830),0.0001)))))</f>
        <v>1.15</v>
      </c>
      <c r="S830" s="18" t="n">
        <f aca="false">IFERROR(INDEX(SEMANAS!$H$6:$H$71,MATCH($B830,SEMANAS!$B$6:$B$71,0)),0)</f>
        <v>31.5</v>
      </c>
      <c r="T830" s="18" t="n">
        <f aca="false">$R830*$S830</f>
        <v>36.225</v>
      </c>
      <c r="U830" s="18" t="n">
        <f aca="false">IFERROR(INDEX(SEMANAS!$I$6:$I$71,MATCH($B830,SEMANAS!$B$6:$B$71,0)),0)</f>
        <v>16.31</v>
      </c>
      <c r="V830" s="18" t="n">
        <f aca="false">IFERROR(INDEX(SEMANAS!$J$6:$J$71,MATCH($B830,SEMANAS!$B$6:$B$71,0)),0)</f>
        <v>13.048</v>
      </c>
      <c r="W830" s="18" t="n">
        <f aca="false">MAX(0,$T830-$V830)</f>
        <v>23.177</v>
      </c>
      <c r="X830" s="19" t="n">
        <f aca="false">IFERROR(INDEX(CADASTRO_PIVOS!$K$6:$K$41,MATCH($E830,CADASTRO_PIVOS!$B$6:$B$41,0)),EFICIENCIA_PADRAO)</f>
        <v>0.85</v>
      </c>
      <c r="Y830" s="18" t="n">
        <f aca="false">IF($X830&lt;=0,0,$W830/$X830)</f>
        <v>27.2670588235294</v>
      </c>
      <c r="Z830" s="16" t="n">
        <f aca="false">$Y830*$H830*MM_PARA_M3_HA</f>
        <v>32715.0171764706</v>
      </c>
      <c r="AA830" s="18" t="n">
        <f aca="false">IFERROR(INDEX(CADASTRO_PIVOS!$I$6:$I$41,MATCH($E830,CADASTRO_PIVOS!$B$6:$B$41,0)),0)</f>
        <v>857</v>
      </c>
      <c r="AB830" s="18" t="n">
        <f aca="false">IF($Z830&lt;=0,0,$Z830/$AA830)</f>
        <v>38.1738823529412</v>
      </c>
      <c r="AC830" s="16" t="n">
        <f aca="false">IFERROR(INDEX(SEMANAS!$K$6:$K$71,MATCH($B830,SEMANAS!$B$6:$B$71,0)),0)</f>
        <v>147</v>
      </c>
      <c r="AD830" s="19" t="n">
        <f aca="false">IF($AC830&lt;=0,0,$AB830/$AC830)</f>
        <v>0.259686274509804</v>
      </c>
      <c r="AE830" s="8" t="str">
        <f aca="false">IF($K830="SEM CULTURA","SEM CULTURA",IF($AA830&lt;=0,"DADO PENDENTE",IF($AD830&gt;LIMITE_CRITICO,"INVIAVEL",IF($AD830&gt;LIMITE_ATENCAO,"CRITICO",IF($AD830&gt;LIMITE_CONFORTAVEL,"ATENCAO","OK")))))</f>
        <v>OK</v>
      </c>
      <c r="AF830" s="8" t="str">
        <f aca="false">$B830&amp;"|"&amp;TEXT($AD830,"0.000000")</f>
        <v>33|0.259686</v>
      </c>
      <c r="AG830" s="18" t="n">
        <f aca="false">IF($K830="SEM CULTURA",0,$T830*$H830)</f>
        <v>4346.2755</v>
      </c>
      <c r="AH830" s="18" t="n">
        <f aca="false">IF($K830="SEM CULTURA",0,$V830*$H830)</f>
        <v>1565.49904</v>
      </c>
      <c r="AI830" s="18" t="n">
        <f aca="false">IF($K830="SEM CULTURA",0,$W830*$H830)</f>
        <v>2780.77646</v>
      </c>
      <c r="AJ830" s="18" t="n">
        <f aca="false">IF($K830="SEM CULTURA",0,$S830*$H830)</f>
        <v>3779.37</v>
      </c>
      <c r="AK830" s="8" t="str">
        <f aca="false">$E830&amp;"|"&amp;TEXT($AD830,"0.000000")</f>
        <v>PV 114|0.259686</v>
      </c>
    </row>
    <row r="831" customFormat="false" ht="15" hidden="false" customHeight="false" outlineLevel="0" collapsed="false">
      <c r="B831" s="16" t="n">
        <v>34</v>
      </c>
      <c r="C831" s="17" t="n">
        <f aca="false">DATA_INICIO_SAFRA+($B831-1)*DIAS_POR_SEMANA</f>
        <v>46496</v>
      </c>
      <c r="D831" s="17" t="n">
        <f aca="false">$C831+DIAS_POR_SEMANA-1</f>
        <v>46502</v>
      </c>
      <c r="E831" s="15" t="s">
        <v>271</v>
      </c>
      <c r="F831" s="8" t="str">
        <f aca="false">IFERROR(INDEX(CADASTRO_PIVOS!$C$6:$C$41,MATCH($E831,CADASTRO_PIVOS!$B$6:$B$41,0)),"?")</f>
        <v>RM05</v>
      </c>
      <c r="G831" s="8" t="str">
        <f aca="false">IFERROR(INDEX(CADASTRO_PIVOS!$D$6:$D$41,MATCH($E831,CADASTRO_PIVOS!$B$6:$B$41,0)),"?")</f>
        <v>TR05</v>
      </c>
      <c r="H831" s="20" t="n">
        <f aca="false">IFERROR(INDEX(CADASTRO_PIVOS!$E$6:$E$41,MATCH($E831,CADASTRO_PIVOS!$B$6:$B$41,0)),0)</f>
        <v>119.98</v>
      </c>
      <c r="I831" s="16" t="n">
        <f aca="false">IFERROR(SUMIFS(ROTACAO_RDM!$B$6:$B$71,ROTACAO_RDM!$D$6:$D$71,$E831,ROTACAO_RDM!$I$6:$I$71,"&lt;="&amp;$C831+INT(DIAS_POR_SEMANA/2),ROTACAO_RDM!$J$6:$J$71,"&gt;="&amp;$C831+INT(DIAS_POR_SEMANA/2)),0)</f>
        <v>24</v>
      </c>
      <c r="J831" s="16" t="n">
        <f aca="false">IFERROR(MATCH($I831,ROTACAO_RDM!$B$6:$B$71,0),0)</f>
        <v>24</v>
      </c>
      <c r="K831" s="8" t="str">
        <f aca="false">IF($J831=0,"SEM CULTURA",INDEX(ROTACAO_RDM!$F$6:$F$71,$J831))</f>
        <v>ALGODAO</v>
      </c>
      <c r="L831" s="8" t="str">
        <f aca="false">IF($J831=0,"",INDEX(ROTACAO_RDM!$G$6:$G$71,$J831))</f>
        <v>FM 974 GLT</v>
      </c>
      <c r="M831" s="17" t="n">
        <f aca="false">IF($J831=0,"",INDEX(ROTACAO_RDM!$I$6:$I$71,$J831))</f>
        <v>46356</v>
      </c>
      <c r="N831" s="16" t="n">
        <f aca="false">IF($J831=0,0,MAX(0,$C831+INT(DIAS_POR_SEMANA/2)-INDEX(ROTACAO_RDM!$I$6:$I$71,$J831)))</f>
        <v>143</v>
      </c>
      <c r="O831" s="19" t="n">
        <f aca="false">IF($J831=0,0,MIN(1,$N831/MAX(1,INDEX(ROTACAO_RDM!$K$6:$K$71,$J831))))</f>
        <v>0.733333333333333</v>
      </c>
      <c r="P831" s="16" t="n">
        <f aca="false">IF($J831=0,0,IFERROR(MATCH(INDEX(ROTACAO_RDM!$N$6:$N$71,$J831),PARAMETROS_CULTURAS!$B$6:$B$28,0),0))</f>
        <v>5</v>
      </c>
      <c r="Q831" s="8" t="str">
        <f aca="false">IF($P831=0,"-",IF($O831&lt;=INDEX(PARAMETROS_CULTURAS!$F$6:$F$28,$P831),"INICIAL",IF($O831&lt;=INDEX(PARAMETROS_CULTURAS!$F$6:$F$28,$P831)+INDEX(PARAMETROS_CULTURAS!$G$6:$G$28,$P831),"DESENVOLVIMENTO",IF($O831&lt;=INDEX(PARAMETROS_CULTURAS!$F$6:$F$28,$P831)+INDEX(PARAMETROS_CULTURAS!$G$6:$G$28,$P831)+INDEX(PARAMETROS_CULTURAS!$H$6:$H$28,$P831),"MEDIA","FINAL"))))</f>
        <v>FINAL</v>
      </c>
      <c r="R831" s="24" t="n">
        <f aca="false">IF($P831=0,0,IF($O831&lt;=INDEX(PARAMETROS_CULTURAS!$F$6:$F$28,$P831),INDEX(PARAMETROS_CULTURAS!$K$6:$K$28,$P831),IF($O831&lt;=INDEX(PARAMETROS_CULTURAS!$F$6:$F$28,$P831)+INDEX(PARAMETROS_CULTURAS!$G$6:$G$28,$P831),INDEX(PARAMETROS_CULTURAS!$K$6:$K$28,$P831)+(INDEX(PARAMETROS_CULTURAS!$L$6:$L$28,$P831)-INDEX(PARAMETROS_CULTURAS!$K$6:$K$28,$P831))*($O831-INDEX(PARAMETROS_CULTURAS!$F$6:$F$28,$P831))/MAX(INDEX(PARAMETROS_CULTURAS!$G$6:$G$28,$P831),0.0001),IF($O831&lt;=INDEX(PARAMETROS_CULTURAS!$F$6:$F$28,$P831)+INDEX(PARAMETROS_CULTURAS!$G$6:$G$28,$P831)+INDEX(PARAMETROS_CULTURAS!$H$6:$H$28,$P831),INDEX(PARAMETROS_CULTURAS!$L$6:$L$28,$P831),INDEX(PARAMETROS_CULTURAS!$L$6:$L$28,$P831)+(INDEX(PARAMETROS_CULTURAS!$M$6:$M$28,$P831)-INDEX(PARAMETROS_CULTURAS!$L$6:$L$28,$P831))*($O831-INDEX(PARAMETROS_CULTURAS!$F$6:$F$28,$P831)-INDEX(PARAMETROS_CULTURAS!$G$6:$G$28,$P831)-INDEX(PARAMETROS_CULTURAS!$H$6:$H$28,$P831))/MAX(INDEX(PARAMETROS_CULTURAS!$I$6:$I$28,$P831),0.0001)))))</f>
        <v>1.12380952380952</v>
      </c>
      <c r="S831" s="18" t="n">
        <f aca="false">IFERROR(INDEX(SEMANAS!$H$6:$H$71,MATCH($B831,SEMANAS!$B$6:$B$71,0)),0)</f>
        <v>31.5</v>
      </c>
      <c r="T831" s="18" t="n">
        <f aca="false">$R831*$S831</f>
        <v>35.4</v>
      </c>
      <c r="U831" s="18" t="n">
        <f aca="false">IFERROR(INDEX(SEMANAS!$I$6:$I$71,MATCH($B831,SEMANAS!$B$6:$B$71,0)),0)</f>
        <v>16.31</v>
      </c>
      <c r="V831" s="18" t="n">
        <f aca="false">IFERROR(INDEX(SEMANAS!$J$6:$J$71,MATCH($B831,SEMANAS!$B$6:$B$71,0)),0)</f>
        <v>13.048</v>
      </c>
      <c r="W831" s="18" t="n">
        <f aca="false">MAX(0,$T831-$V831)</f>
        <v>22.352</v>
      </c>
      <c r="X831" s="19" t="n">
        <f aca="false">IFERROR(INDEX(CADASTRO_PIVOS!$K$6:$K$41,MATCH($E831,CADASTRO_PIVOS!$B$6:$B$41,0)),EFICIENCIA_PADRAO)</f>
        <v>0.85</v>
      </c>
      <c r="Y831" s="18" t="n">
        <f aca="false">IF($X831&lt;=0,0,$W831/$X831)</f>
        <v>26.2964705882353</v>
      </c>
      <c r="Z831" s="16" t="n">
        <f aca="false">$Y831*$H831*MM_PARA_M3_HA</f>
        <v>31550.5054117647</v>
      </c>
      <c r="AA831" s="18" t="n">
        <f aca="false">IFERROR(INDEX(CADASTRO_PIVOS!$I$6:$I$41,MATCH($E831,CADASTRO_PIVOS!$B$6:$B$41,0)),0)</f>
        <v>857</v>
      </c>
      <c r="AB831" s="18" t="n">
        <f aca="false">IF($Z831&lt;=0,0,$Z831/$AA831)</f>
        <v>36.8150588235294</v>
      </c>
      <c r="AC831" s="16" t="n">
        <f aca="false">IFERROR(INDEX(SEMANAS!$K$6:$K$71,MATCH($B831,SEMANAS!$B$6:$B$71,0)),0)</f>
        <v>147</v>
      </c>
      <c r="AD831" s="19" t="n">
        <f aca="false">IF($AC831&lt;=0,0,$AB831/$AC831)</f>
        <v>0.250442577030812</v>
      </c>
      <c r="AE831" s="8" t="str">
        <f aca="false">IF($K831="SEM CULTURA","SEM CULTURA",IF($AA831&lt;=0,"DADO PENDENTE",IF($AD831&gt;LIMITE_CRITICO,"INVIAVEL",IF($AD831&gt;LIMITE_ATENCAO,"CRITICO",IF($AD831&gt;LIMITE_CONFORTAVEL,"ATENCAO","OK")))))</f>
        <v>OK</v>
      </c>
      <c r="AF831" s="8" t="str">
        <f aca="false">$B831&amp;"|"&amp;TEXT($AD831,"0.000000")</f>
        <v>34|0.250443</v>
      </c>
      <c r="AG831" s="18" t="n">
        <f aca="false">IF($K831="SEM CULTURA",0,$T831*$H831)</f>
        <v>4247.292</v>
      </c>
      <c r="AH831" s="18" t="n">
        <f aca="false">IF($K831="SEM CULTURA",0,$V831*$H831)</f>
        <v>1565.49904</v>
      </c>
      <c r="AI831" s="18" t="n">
        <f aca="false">IF($K831="SEM CULTURA",0,$W831*$H831)</f>
        <v>2681.79296</v>
      </c>
      <c r="AJ831" s="18" t="n">
        <f aca="false">IF($K831="SEM CULTURA",0,$S831*$H831)</f>
        <v>3779.37</v>
      </c>
      <c r="AK831" s="8" t="str">
        <f aca="false">$E831&amp;"|"&amp;TEXT($AD831,"0.000000")</f>
        <v>PV 114|0.250443</v>
      </c>
    </row>
    <row r="832" customFormat="false" ht="15" hidden="false" customHeight="false" outlineLevel="0" collapsed="false">
      <c r="B832" s="16" t="n">
        <v>35</v>
      </c>
      <c r="C832" s="17" t="n">
        <f aca="false">DATA_INICIO_SAFRA+($B832-1)*DIAS_POR_SEMANA</f>
        <v>46503</v>
      </c>
      <c r="D832" s="17" t="n">
        <f aca="false">$C832+DIAS_POR_SEMANA-1</f>
        <v>46509</v>
      </c>
      <c r="E832" s="15" t="s">
        <v>271</v>
      </c>
      <c r="F832" s="8" t="str">
        <f aca="false">IFERROR(INDEX(CADASTRO_PIVOS!$C$6:$C$41,MATCH($E832,CADASTRO_PIVOS!$B$6:$B$41,0)),"?")</f>
        <v>RM05</v>
      </c>
      <c r="G832" s="8" t="str">
        <f aca="false">IFERROR(INDEX(CADASTRO_PIVOS!$D$6:$D$41,MATCH($E832,CADASTRO_PIVOS!$B$6:$B$41,0)),"?")</f>
        <v>TR05</v>
      </c>
      <c r="H832" s="20" t="n">
        <f aca="false">IFERROR(INDEX(CADASTRO_PIVOS!$E$6:$E$41,MATCH($E832,CADASTRO_PIVOS!$B$6:$B$41,0)),0)</f>
        <v>119.98</v>
      </c>
      <c r="I832" s="16" t="n">
        <f aca="false">IFERROR(SUMIFS(ROTACAO_RDM!$B$6:$B$71,ROTACAO_RDM!$D$6:$D$71,$E832,ROTACAO_RDM!$I$6:$I$71,"&lt;="&amp;$C832+INT(DIAS_POR_SEMANA/2),ROTACAO_RDM!$J$6:$J$71,"&gt;="&amp;$C832+INT(DIAS_POR_SEMANA/2)),0)</f>
        <v>24</v>
      </c>
      <c r="J832" s="16" t="n">
        <f aca="false">IFERROR(MATCH($I832,ROTACAO_RDM!$B$6:$B$71,0),0)</f>
        <v>24</v>
      </c>
      <c r="K832" s="8" t="str">
        <f aca="false">IF($J832=0,"SEM CULTURA",INDEX(ROTACAO_RDM!$F$6:$F$71,$J832))</f>
        <v>ALGODAO</v>
      </c>
      <c r="L832" s="8" t="str">
        <f aca="false">IF($J832=0,"",INDEX(ROTACAO_RDM!$G$6:$G$71,$J832))</f>
        <v>FM 974 GLT</v>
      </c>
      <c r="M832" s="17" t="n">
        <f aca="false">IF($J832=0,"",INDEX(ROTACAO_RDM!$I$6:$I$71,$J832))</f>
        <v>46356</v>
      </c>
      <c r="N832" s="16" t="n">
        <f aca="false">IF($J832=0,0,MAX(0,$C832+INT(DIAS_POR_SEMANA/2)-INDEX(ROTACAO_RDM!$I$6:$I$71,$J832)))</f>
        <v>150</v>
      </c>
      <c r="O832" s="19" t="n">
        <f aca="false">IF($J832=0,0,MIN(1,$N832/MAX(1,INDEX(ROTACAO_RDM!$K$6:$K$71,$J832))))</f>
        <v>0.769230769230769</v>
      </c>
      <c r="P832" s="16" t="n">
        <f aca="false">IF($J832=0,0,IFERROR(MATCH(INDEX(ROTACAO_RDM!$N$6:$N$71,$J832),PARAMETROS_CULTURAS!$B$6:$B$28,0),0))</f>
        <v>5</v>
      </c>
      <c r="Q832" s="8" t="str">
        <f aca="false">IF($P832=0,"-",IF($O832&lt;=INDEX(PARAMETROS_CULTURAS!$F$6:$F$28,$P832),"INICIAL",IF($O832&lt;=INDEX(PARAMETROS_CULTURAS!$F$6:$F$28,$P832)+INDEX(PARAMETROS_CULTURAS!$G$6:$G$28,$P832),"DESENVOLVIMENTO",IF($O832&lt;=INDEX(PARAMETROS_CULTURAS!$F$6:$F$28,$P832)+INDEX(PARAMETROS_CULTURAS!$G$6:$G$28,$P832)+INDEX(PARAMETROS_CULTURAS!$H$6:$H$28,$P832),"MEDIA","FINAL"))))</f>
        <v>FINAL</v>
      </c>
      <c r="R832" s="24" t="n">
        <f aca="false">IF($P832=0,0,IF($O832&lt;=INDEX(PARAMETROS_CULTURAS!$F$6:$F$28,$P832),INDEX(PARAMETROS_CULTURAS!$K$6:$K$28,$P832),IF($O832&lt;=INDEX(PARAMETROS_CULTURAS!$F$6:$F$28,$P832)+INDEX(PARAMETROS_CULTURAS!$G$6:$G$28,$P832),INDEX(PARAMETROS_CULTURAS!$K$6:$K$28,$P832)+(INDEX(PARAMETROS_CULTURAS!$L$6:$L$28,$P832)-INDEX(PARAMETROS_CULTURAS!$K$6:$K$28,$P832))*($O832-INDEX(PARAMETROS_CULTURAS!$F$6:$F$28,$P832))/MAX(INDEX(PARAMETROS_CULTURAS!$G$6:$G$28,$P832),0.0001),IF($O832&lt;=INDEX(PARAMETROS_CULTURAS!$F$6:$F$28,$P832)+INDEX(PARAMETROS_CULTURAS!$G$6:$G$28,$P832)+INDEX(PARAMETROS_CULTURAS!$H$6:$H$28,$P832),INDEX(PARAMETROS_CULTURAS!$L$6:$L$28,$P832),INDEX(PARAMETROS_CULTURAS!$L$6:$L$28,$P832)+(INDEX(PARAMETROS_CULTURAS!$M$6:$M$28,$P832)-INDEX(PARAMETROS_CULTURAS!$L$6:$L$28,$P832))*($O832-INDEX(PARAMETROS_CULTURAS!$F$6:$F$28,$P832)-INDEX(PARAMETROS_CULTURAS!$G$6:$G$28,$P832)-INDEX(PARAMETROS_CULTURAS!$H$6:$H$28,$P832))/MAX(INDEX(PARAMETROS_CULTURAS!$I$6:$I$28,$P832),0.0001)))))</f>
        <v>1.0532967032967</v>
      </c>
      <c r="S832" s="18" t="n">
        <f aca="false">IFERROR(INDEX(SEMANAS!$H$6:$H$71,MATCH($B832,SEMANAS!$B$6:$B$71,0)),0)</f>
        <v>30.9</v>
      </c>
      <c r="T832" s="18" t="n">
        <f aca="false">$R832*$S832</f>
        <v>32.5468681318681</v>
      </c>
      <c r="U832" s="18" t="n">
        <f aca="false">IFERROR(INDEX(SEMANAS!$I$6:$I$71,MATCH($B832,SEMANAS!$B$6:$B$71,0)),0)</f>
        <v>12.61</v>
      </c>
      <c r="V832" s="18" t="n">
        <f aca="false">IFERROR(INDEX(SEMANAS!$J$6:$J$71,MATCH($B832,SEMANAS!$B$6:$B$71,0)),0)</f>
        <v>10.088</v>
      </c>
      <c r="W832" s="18" t="n">
        <f aca="false">MAX(0,$T832-$V832)</f>
        <v>22.4588681318681</v>
      </c>
      <c r="X832" s="19" t="n">
        <f aca="false">IFERROR(INDEX(CADASTRO_PIVOS!$K$6:$K$41,MATCH($E832,CADASTRO_PIVOS!$B$6:$B$41,0)),EFICIENCIA_PADRAO)</f>
        <v>0.85</v>
      </c>
      <c r="Y832" s="18" t="n">
        <f aca="false">IF($X832&lt;=0,0,$W832/$X832)</f>
        <v>26.4221978021978</v>
      </c>
      <c r="Z832" s="16" t="n">
        <f aca="false">$Y832*$H832*MM_PARA_M3_HA</f>
        <v>31701.3529230769</v>
      </c>
      <c r="AA832" s="18" t="n">
        <f aca="false">IFERROR(INDEX(CADASTRO_PIVOS!$I$6:$I$41,MATCH($E832,CADASTRO_PIVOS!$B$6:$B$41,0)),0)</f>
        <v>857</v>
      </c>
      <c r="AB832" s="18" t="n">
        <f aca="false">IF($Z832&lt;=0,0,$Z832/$AA832)</f>
        <v>36.9910769230769</v>
      </c>
      <c r="AC832" s="16" t="n">
        <f aca="false">IFERROR(INDEX(SEMANAS!$K$6:$K$71,MATCH($B832,SEMANAS!$B$6:$B$71,0)),0)</f>
        <v>147</v>
      </c>
      <c r="AD832" s="19" t="n">
        <f aca="false">IF($AC832&lt;=0,0,$AB832/$AC832)</f>
        <v>0.25163997906855</v>
      </c>
      <c r="AE832" s="8" t="str">
        <f aca="false">IF($K832="SEM CULTURA","SEM CULTURA",IF($AA832&lt;=0,"DADO PENDENTE",IF($AD832&gt;LIMITE_CRITICO,"INVIAVEL",IF($AD832&gt;LIMITE_ATENCAO,"CRITICO",IF($AD832&gt;LIMITE_CONFORTAVEL,"ATENCAO","OK")))))</f>
        <v>OK</v>
      </c>
      <c r="AF832" s="8" t="str">
        <f aca="false">$B832&amp;"|"&amp;TEXT($AD832,"0.000000")</f>
        <v>35|0.251640</v>
      </c>
      <c r="AG832" s="18" t="n">
        <f aca="false">IF($K832="SEM CULTURA",0,$T832*$H832)</f>
        <v>3904.97323846154</v>
      </c>
      <c r="AH832" s="18" t="n">
        <f aca="false">IF($K832="SEM CULTURA",0,$V832*$H832)</f>
        <v>1210.35824</v>
      </c>
      <c r="AI832" s="18" t="n">
        <f aca="false">IF($K832="SEM CULTURA",0,$W832*$H832)</f>
        <v>2694.61499846154</v>
      </c>
      <c r="AJ832" s="18" t="n">
        <f aca="false">IF($K832="SEM CULTURA",0,$S832*$H832)</f>
        <v>3707.382</v>
      </c>
      <c r="AK832" s="8" t="str">
        <f aca="false">$E832&amp;"|"&amp;TEXT($AD832,"0.000000")</f>
        <v>PV 114|0.251640</v>
      </c>
    </row>
    <row r="833" customFormat="false" ht="15" hidden="false" customHeight="false" outlineLevel="0" collapsed="false">
      <c r="B833" s="16" t="n">
        <v>36</v>
      </c>
      <c r="C833" s="17" t="n">
        <f aca="false">DATA_INICIO_SAFRA+($B833-1)*DIAS_POR_SEMANA</f>
        <v>46510</v>
      </c>
      <c r="D833" s="17" t="n">
        <f aca="false">$C833+DIAS_POR_SEMANA-1</f>
        <v>46516</v>
      </c>
      <c r="E833" s="15" t="s">
        <v>271</v>
      </c>
      <c r="F833" s="8" t="str">
        <f aca="false">IFERROR(INDEX(CADASTRO_PIVOS!$C$6:$C$41,MATCH($E833,CADASTRO_PIVOS!$B$6:$B$41,0)),"?")</f>
        <v>RM05</v>
      </c>
      <c r="G833" s="8" t="str">
        <f aca="false">IFERROR(INDEX(CADASTRO_PIVOS!$D$6:$D$41,MATCH($E833,CADASTRO_PIVOS!$B$6:$B$41,0)),"?")</f>
        <v>TR05</v>
      </c>
      <c r="H833" s="20" t="n">
        <f aca="false">IFERROR(INDEX(CADASTRO_PIVOS!$E$6:$E$41,MATCH($E833,CADASTRO_PIVOS!$B$6:$B$41,0)),0)</f>
        <v>119.98</v>
      </c>
      <c r="I833" s="16" t="n">
        <f aca="false">IFERROR(SUMIFS(ROTACAO_RDM!$B$6:$B$71,ROTACAO_RDM!$D$6:$D$71,$E833,ROTACAO_RDM!$I$6:$I$71,"&lt;="&amp;$C833+INT(DIAS_POR_SEMANA/2),ROTACAO_RDM!$J$6:$J$71,"&gt;="&amp;$C833+INT(DIAS_POR_SEMANA/2)),0)</f>
        <v>24</v>
      </c>
      <c r="J833" s="16" t="n">
        <f aca="false">IFERROR(MATCH($I833,ROTACAO_RDM!$B$6:$B$71,0),0)</f>
        <v>24</v>
      </c>
      <c r="K833" s="8" t="str">
        <f aca="false">IF($J833=0,"SEM CULTURA",INDEX(ROTACAO_RDM!$F$6:$F$71,$J833))</f>
        <v>ALGODAO</v>
      </c>
      <c r="L833" s="8" t="str">
        <f aca="false">IF($J833=0,"",INDEX(ROTACAO_RDM!$G$6:$G$71,$J833))</f>
        <v>FM 974 GLT</v>
      </c>
      <c r="M833" s="17" t="n">
        <f aca="false">IF($J833=0,"",INDEX(ROTACAO_RDM!$I$6:$I$71,$J833))</f>
        <v>46356</v>
      </c>
      <c r="N833" s="16" t="n">
        <f aca="false">IF($J833=0,0,MAX(0,$C833+INT(DIAS_POR_SEMANA/2)-INDEX(ROTACAO_RDM!$I$6:$I$71,$J833)))</f>
        <v>157</v>
      </c>
      <c r="O833" s="19" t="n">
        <f aca="false">IF($J833=0,0,MIN(1,$N833/MAX(1,INDEX(ROTACAO_RDM!$K$6:$K$71,$J833))))</f>
        <v>0.805128205128205</v>
      </c>
      <c r="P833" s="16" t="n">
        <f aca="false">IF($J833=0,0,IFERROR(MATCH(INDEX(ROTACAO_RDM!$N$6:$N$71,$J833),PARAMETROS_CULTURAS!$B$6:$B$28,0),0))</f>
        <v>5</v>
      </c>
      <c r="Q833" s="8" t="str">
        <f aca="false">IF($P833=0,"-",IF($O833&lt;=INDEX(PARAMETROS_CULTURAS!$F$6:$F$28,$P833),"INICIAL",IF($O833&lt;=INDEX(PARAMETROS_CULTURAS!$F$6:$F$28,$P833)+INDEX(PARAMETROS_CULTURAS!$G$6:$G$28,$P833),"DESENVOLVIMENTO",IF($O833&lt;=INDEX(PARAMETROS_CULTURAS!$F$6:$F$28,$P833)+INDEX(PARAMETROS_CULTURAS!$G$6:$G$28,$P833)+INDEX(PARAMETROS_CULTURAS!$H$6:$H$28,$P833),"MEDIA","FINAL"))))</f>
        <v>FINAL</v>
      </c>
      <c r="R833" s="24" t="n">
        <f aca="false">IF($P833=0,0,IF($O833&lt;=INDEX(PARAMETROS_CULTURAS!$F$6:$F$28,$P833),INDEX(PARAMETROS_CULTURAS!$K$6:$K$28,$P833),IF($O833&lt;=INDEX(PARAMETROS_CULTURAS!$F$6:$F$28,$P833)+INDEX(PARAMETROS_CULTURAS!$G$6:$G$28,$P833),INDEX(PARAMETROS_CULTURAS!$K$6:$K$28,$P833)+(INDEX(PARAMETROS_CULTURAS!$L$6:$L$28,$P833)-INDEX(PARAMETROS_CULTURAS!$K$6:$K$28,$P833))*($O833-INDEX(PARAMETROS_CULTURAS!$F$6:$F$28,$P833))/MAX(INDEX(PARAMETROS_CULTURAS!$G$6:$G$28,$P833),0.0001),IF($O833&lt;=INDEX(PARAMETROS_CULTURAS!$F$6:$F$28,$P833)+INDEX(PARAMETROS_CULTURAS!$G$6:$G$28,$P833)+INDEX(PARAMETROS_CULTURAS!$H$6:$H$28,$P833),INDEX(PARAMETROS_CULTURAS!$L$6:$L$28,$P833),INDEX(PARAMETROS_CULTURAS!$L$6:$L$28,$P833)+(INDEX(PARAMETROS_CULTURAS!$M$6:$M$28,$P833)-INDEX(PARAMETROS_CULTURAS!$L$6:$L$28,$P833))*($O833-INDEX(PARAMETROS_CULTURAS!$F$6:$F$28,$P833)-INDEX(PARAMETROS_CULTURAS!$G$6:$G$28,$P833)-INDEX(PARAMETROS_CULTURAS!$H$6:$H$28,$P833))/MAX(INDEX(PARAMETROS_CULTURAS!$I$6:$I$28,$P833),0.0001)))))</f>
        <v>0.982783882783883</v>
      </c>
      <c r="S833" s="18" t="n">
        <f aca="false">IFERROR(INDEX(SEMANAS!$H$6:$H$71,MATCH($B833,SEMANAS!$B$6:$B$71,0)),0)</f>
        <v>29.4</v>
      </c>
      <c r="T833" s="18" t="n">
        <f aca="false">$R833*$S833</f>
        <v>28.8938461538462</v>
      </c>
      <c r="U833" s="18" t="n">
        <f aca="false">IFERROR(INDEX(SEMANAS!$I$6:$I$71,MATCH($B833,SEMANAS!$B$6:$B$71,0)),0)</f>
        <v>3.36</v>
      </c>
      <c r="V833" s="18" t="n">
        <f aca="false">IFERROR(INDEX(SEMANAS!$J$6:$J$71,MATCH($B833,SEMANAS!$B$6:$B$71,0)),0)</f>
        <v>2.688</v>
      </c>
      <c r="W833" s="18" t="n">
        <f aca="false">MAX(0,$T833-$V833)</f>
        <v>26.2058461538462</v>
      </c>
      <c r="X833" s="19" t="n">
        <f aca="false">IFERROR(INDEX(CADASTRO_PIVOS!$K$6:$K$41,MATCH($E833,CADASTRO_PIVOS!$B$6:$B$41,0)),EFICIENCIA_PADRAO)</f>
        <v>0.85</v>
      </c>
      <c r="Y833" s="18" t="n">
        <f aca="false">IF($X833&lt;=0,0,$W833/$X833)</f>
        <v>30.830407239819</v>
      </c>
      <c r="Z833" s="16" t="n">
        <f aca="false">$Y833*$H833*MM_PARA_M3_HA</f>
        <v>36990.3226063349</v>
      </c>
      <c r="AA833" s="18" t="n">
        <f aca="false">IFERROR(INDEX(CADASTRO_PIVOS!$I$6:$I$41,MATCH($E833,CADASTRO_PIVOS!$B$6:$B$41,0)),0)</f>
        <v>857</v>
      </c>
      <c r="AB833" s="18" t="n">
        <f aca="false">IF($Z833&lt;=0,0,$Z833/$AA833)</f>
        <v>43.1625701357466</v>
      </c>
      <c r="AC833" s="16" t="n">
        <f aca="false">IFERROR(INDEX(SEMANAS!$K$6:$K$71,MATCH($B833,SEMANAS!$B$6:$B$71,0)),0)</f>
        <v>147</v>
      </c>
      <c r="AD833" s="19" t="n">
        <f aca="false">IF($AC833&lt;=0,0,$AB833/$AC833)</f>
        <v>0.293622926093514</v>
      </c>
      <c r="AE833" s="8" t="str">
        <f aca="false">IF($K833="SEM CULTURA","SEM CULTURA",IF($AA833&lt;=0,"DADO PENDENTE",IF($AD833&gt;LIMITE_CRITICO,"INVIAVEL",IF($AD833&gt;LIMITE_ATENCAO,"CRITICO",IF($AD833&gt;LIMITE_CONFORTAVEL,"ATENCAO","OK")))))</f>
        <v>OK</v>
      </c>
      <c r="AF833" s="8" t="str">
        <f aca="false">$B833&amp;"|"&amp;TEXT($AD833,"0.000000")</f>
        <v>36|0.293623</v>
      </c>
      <c r="AG833" s="18" t="n">
        <f aca="false">IF($K833="SEM CULTURA",0,$T833*$H833)</f>
        <v>3466.68366153846</v>
      </c>
      <c r="AH833" s="18" t="n">
        <f aca="false">IF($K833="SEM CULTURA",0,$V833*$H833)</f>
        <v>322.50624</v>
      </c>
      <c r="AI833" s="18" t="n">
        <f aca="false">IF($K833="SEM CULTURA",0,$W833*$H833)</f>
        <v>3144.17742153846</v>
      </c>
      <c r="AJ833" s="18" t="n">
        <f aca="false">IF($K833="SEM CULTURA",0,$S833*$H833)</f>
        <v>3527.412</v>
      </c>
      <c r="AK833" s="8" t="str">
        <f aca="false">$E833&amp;"|"&amp;TEXT($AD833,"0.000000")</f>
        <v>PV 114|0.293623</v>
      </c>
    </row>
    <row r="834" customFormat="false" ht="15" hidden="false" customHeight="false" outlineLevel="0" collapsed="false">
      <c r="B834" s="16" t="n">
        <v>37</v>
      </c>
      <c r="C834" s="17" t="n">
        <f aca="false">DATA_INICIO_SAFRA+($B834-1)*DIAS_POR_SEMANA</f>
        <v>46517</v>
      </c>
      <c r="D834" s="17" t="n">
        <f aca="false">$C834+DIAS_POR_SEMANA-1</f>
        <v>46523</v>
      </c>
      <c r="E834" s="15" t="s">
        <v>271</v>
      </c>
      <c r="F834" s="8" t="str">
        <f aca="false">IFERROR(INDEX(CADASTRO_PIVOS!$C$6:$C$41,MATCH($E834,CADASTRO_PIVOS!$B$6:$B$41,0)),"?")</f>
        <v>RM05</v>
      </c>
      <c r="G834" s="8" t="str">
        <f aca="false">IFERROR(INDEX(CADASTRO_PIVOS!$D$6:$D$41,MATCH($E834,CADASTRO_PIVOS!$B$6:$B$41,0)),"?")</f>
        <v>TR05</v>
      </c>
      <c r="H834" s="20" t="n">
        <f aca="false">IFERROR(INDEX(CADASTRO_PIVOS!$E$6:$E$41,MATCH($E834,CADASTRO_PIVOS!$B$6:$B$41,0)),0)</f>
        <v>119.98</v>
      </c>
      <c r="I834" s="16" t="n">
        <f aca="false">IFERROR(SUMIFS(ROTACAO_RDM!$B$6:$B$71,ROTACAO_RDM!$D$6:$D$71,$E834,ROTACAO_RDM!$I$6:$I$71,"&lt;="&amp;$C834+INT(DIAS_POR_SEMANA/2),ROTACAO_RDM!$J$6:$J$71,"&gt;="&amp;$C834+INT(DIAS_POR_SEMANA/2)),0)</f>
        <v>24</v>
      </c>
      <c r="J834" s="16" t="n">
        <f aca="false">IFERROR(MATCH($I834,ROTACAO_RDM!$B$6:$B$71,0),0)</f>
        <v>24</v>
      </c>
      <c r="K834" s="8" t="str">
        <f aca="false">IF($J834=0,"SEM CULTURA",INDEX(ROTACAO_RDM!$F$6:$F$71,$J834))</f>
        <v>ALGODAO</v>
      </c>
      <c r="L834" s="8" t="str">
        <f aca="false">IF($J834=0,"",INDEX(ROTACAO_RDM!$G$6:$G$71,$J834))</f>
        <v>FM 974 GLT</v>
      </c>
      <c r="M834" s="17" t="n">
        <f aca="false">IF($J834=0,"",INDEX(ROTACAO_RDM!$I$6:$I$71,$J834))</f>
        <v>46356</v>
      </c>
      <c r="N834" s="16" t="n">
        <f aca="false">IF($J834=0,0,MAX(0,$C834+INT(DIAS_POR_SEMANA/2)-INDEX(ROTACAO_RDM!$I$6:$I$71,$J834)))</f>
        <v>164</v>
      </c>
      <c r="O834" s="19" t="n">
        <f aca="false">IF($J834=0,0,MIN(1,$N834/MAX(1,INDEX(ROTACAO_RDM!$K$6:$K$71,$J834))))</f>
        <v>0.841025641025641</v>
      </c>
      <c r="P834" s="16" t="n">
        <f aca="false">IF($J834=0,0,IFERROR(MATCH(INDEX(ROTACAO_RDM!$N$6:$N$71,$J834),PARAMETROS_CULTURAS!$B$6:$B$28,0),0))</f>
        <v>5</v>
      </c>
      <c r="Q834" s="8" t="str">
        <f aca="false">IF($P834=0,"-",IF($O834&lt;=INDEX(PARAMETROS_CULTURAS!$F$6:$F$28,$P834),"INICIAL",IF($O834&lt;=INDEX(PARAMETROS_CULTURAS!$F$6:$F$28,$P834)+INDEX(PARAMETROS_CULTURAS!$G$6:$G$28,$P834),"DESENVOLVIMENTO",IF($O834&lt;=INDEX(PARAMETROS_CULTURAS!$F$6:$F$28,$P834)+INDEX(PARAMETROS_CULTURAS!$G$6:$G$28,$P834)+INDEX(PARAMETROS_CULTURAS!$H$6:$H$28,$P834),"MEDIA","FINAL"))))</f>
        <v>FINAL</v>
      </c>
      <c r="R834" s="24" t="n">
        <f aca="false">IF($P834=0,0,IF($O834&lt;=INDEX(PARAMETROS_CULTURAS!$F$6:$F$28,$P834),INDEX(PARAMETROS_CULTURAS!$K$6:$K$28,$P834),IF($O834&lt;=INDEX(PARAMETROS_CULTURAS!$F$6:$F$28,$P834)+INDEX(PARAMETROS_CULTURAS!$G$6:$G$28,$P834),INDEX(PARAMETROS_CULTURAS!$K$6:$K$28,$P834)+(INDEX(PARAMETROS_CULTURAS!$L$6:$L$28,$P834)-INDEX(PARAMETROS_CULTURAS!$K$6:$K$28,$P834))*($O834-INDEX(PARAMETROS_CULTURAS!$F$6:$F$28,$P834))/MAX(INDEX(PARAMETROS_CULTURAS!$G$6:$G$28,$P834),0.0001),IF($O834&lt;=INDEX(PARAMETROS_CULTURAS!$F$6:$F$28,$P834)+INDEX(PARAMETROS_CULTURAS!$G$6:$G$28,$P834)+INDEX(PARAMETROS_CULTURAS!$H$6:$H$28,$P834),INDEX(PARAMETROS_CULTURAS!$L$6:$L$28,$P834),INDEX(PARAMETROS_CULTURAS!$L$6:$L$28,$P834)+(INDEX(PARAMETROS_CULTURAS!$M$6:$M$28,$P834)-INDEX(PARAMETROS_CULTURAS!$L$6:$L$28,$P834))*($O834-INDEX(PARAMETROS_CULTURAS!$F$6:$F$28,$P834)-INDEX(PARAMETROS_CULTURAS!$G$6:$G$28,$P834)-INDEX(PARAMETROS_CULTURAS!$H$6:$H$28,$P834))/MAX(INDEX(PARAMETROS_CULTURAS!$I$6:$I$28,$P834),0.0001)))))</f>
        <v>0.912271062271062</v>
      </c>
      <c r="S834" s="18" t="n">
        <f aca="false">IFERROR(INDEX(SEMANAS!$H$6:$H$71,MATCH($B834,SEMANAS!$B$6:$B$71,0)),0)</f>
        <v>29.4</v>
      </c>
      <c r="T834" s="18" t="n">
        <f aca="false">$R834*$S834</f>
        <v>26.8207692307692</v>
      </c>
      <c r="U834" s="18" t="n">
        <f aca="false">IFERROR(INDEX(SEMANAS!$I$6:$I$71,MATCH($B834,SEMANAS!$B$6:$B$71,0)),0)</f>
        <v>3.36</v>
      </c>
      <c r="V834" s="18" t="n">
        <f aca="false">IFERROR(INDEX(SEMANAS!$J$6:$J$71,MATCH($B834,SEMANAS!$B$6:$B$71,0)),0)</f>
        <v>2.688</v>
      </c>
      <c r="W834" s="18" t="n">
        <f aca="false">MAX(0,$T834-$V834)</f>
        <v>24.1327692307692</v>
      </c>
      <c r="X834" s="19" t="n">
        <f aca="false">IFERROR(INDEX(CADASTRO_PIVOS!$K$6:$K$41,MATCH($E834,CADASTRO_PIVOS!$B$6:$B$41,0)),EFICIENCIA_PADRAO)</f>
        <v>0.85</v>
      </c>
      <c r="Y834" s="18" t="n">
        <f aca="false">IF($X834&lt;=0,0,$W834/$X834)</f>
        <v>28.3914932126697</v>
      </c>
      <c r="Z834" s="16" t="n">
        <f aca="false">$Y834*$H834*MM_PARA_M3_HA</f>
        <v>34064.1135565611</v>
      </c>
      <c r="AA834" s="18" t="n">
        <f aca="false">IFERROR(INDEX(CADASTRO_PIVOS!$I$6:$I$41,MATCH($E834,CADASTRO_PIVOS!$B$6:$B$41,0)),0)</f>
        <v>857</v>
      </c>
      <c r="AB834" s="18" t="n">
        <f aca="false">IF($Z834&lt;=0,0,$Z834/$AA834)</f>
        <v>39.7480904977376</v>
      </c>
      <c r="AC834" s="16" t="n">
        <f aca="false">IFERROR(INDEX(SEMANAS!$K$6:$K$71,MATCH($B834,SEMANAS!$B$6:$B$71,0)),0)</f>
        <v>147</v>
      </c>
      <c r="AD834" s="19" t="n">
        <f aca="false">IF($AC834&lt;=0,0,$AB834/$AC834)</f>
        <v>0.270395173453997</v>
      </c>
      <c r="AE834" s="8" t="str">
        <f aca="false">IF($K834="SEM CULTURA","SEM CULTURA",IF($AA834&lt;=0,"DADO PENDENTE",IF($AD834&gt;LIMITE_CRITICO,"INVIAVEL",IF($AD834&gt;LIMITE_ATENCAO,"CRITICO",IF($AD834&gt;LIMITE_CONFORTAVEL,"ATENCAO","OK")))))</f>
        <v>OK</v>
      </c>
      <c r="AF834" s="8" t="str">
        <f aca="false">$B834&amp;"|"&amp;TEXT($AD834,"0.000000")</f>
        <v>37|0.270395</v>
      </c>
      <c r="AG834" s="18" t="n">
        <f aca="false">IF($K834="SEM CULTURA",0,$T834*$H834)</f>
        <v>3217.95589230769</v>
      </c>
      <c r="AH834" s="18" t="n">
        <f aca="false">IF($K834="SEM CULTURA",0,$V834*$H834)</f>
        <v>322.50624</v>
      </c>
      <c r="AI834" s="18" t="n">
        <f aca="false">IF($K834="SEM CULTURA",0,$W834*$H834)</f>
        <v>2895.44965230769</v>
      </c>
      <c r="AJ834" s="18" t="n">
        <f aca="false">IF($K834="SEM CULTURA",0,$S834*$H834)</f>
        <v>3527.412</v>
      </c>
      <c r="AK834" s="8" t="str">
        <f aca="false">$E834&amp;"|"&amp;TEXT($AD834,"0.000000")</f>
        <v>PV 114|0.270395</v>
      </c>
    </row>
    <row r="835" customFormat="false" ht="15" hidden="false" customHeight="false" outlineLevel="0" collapsed="false">
      <c r="B835" s="16" t="n">
        <v>38</v>
      </c>
      <c r="C835" s="17" t="n">
        <f aca="false">DATA_INICIO_SAFRA+($B835-1)*DIAS_POR_SEMANA</f>
        <v>46524</v>
      </c>
      <c r="D835" s="17" t="n">
        <f aca="false">$C835+DIAS_POR_SEMANA-1</f>
        <v>46530</v>
      </c>
      <c r="E835" s="15" t="s">
        <v>271</v>
      </c>
      <c r="F835" s="8" t="str">
        <f aca="false">IFERROR(INDEX(CADASTRO_PIVOS!$C$6:$C$41,MATCH($E835,CADASTRO_PIVOS!$B$6:$B$41,0)),"?")</f>
        <v>RM05</v>
      </c>
      <c r="G835" s="8" t="str">
        <f aca="false">IFERROR(INDEX(CADASTRO_PIVOS!$D$6:$D$41,MATCH($E835,CADASTRO_PIVOS!$B$6:$B$41,0)),"?")</f>
        <v>TR05</v>
      </c>
      <c r="H835" s="20" t="n">
        <f aca="false">IFERROR(INDEX(CADASTRO_PIVOS!$E$6:$E$41,MATCH($E835,CADASTRO_PIVOS!$B$6:$B$41,0)),0)</f>
        <v>119.98</v>
      </c>
      <c r="I835" s="16" t="n">
        <f aca="false">IFERROR(SUMIFS(ROTACAO_RDM!$B$6:$B$71,ROTACAO_RDM!$D$6:$D$71,$E835,ROTACAO_RDM!$I$6:$I$71,"&lt;="&amp;$C835+INT(DIAS_POR_SEMANA/2),ROTACAO_RDM!$J$6:$J$71,"&gt;="&amp;$C835+INT(DIAS_POR_SEMANA/2)),0)</f>
        <v>24</v>
      </c>
      <c r="J835" s="16" t="n">
        <f aca="false">IFERROR(MATCH($I835,ROTACAO_RDM!$B$6:$B$71,0),0)</f>
        <v>24</v>
      </c>
      <c r="K835" s="8" t="str">
        <f aca="false">IF($J835=0,"SEM CULTURA",INDEX(ROTACAO_RDM!$F$6:$F$71,$J835))</f>
        <v>ALGODAO</v>
      </c>
      <c r="L835" s="8" t="str">
        <f aca="false">IF($J835=0,"",INDEX(ROTACAO_RDM!$G$6:$G$71,$J835))</f>
        <v>FM 974 GLT</v>
      </c>
      <c r="M835" s="17" t="n">
        <f aca="false">IF($J835=0,"",INDEX(ROTACAO_RDM!$I$6:$I$71,$J835))</f>
        <v>46356</v>
      </c>
      <c r="N835" s="16" t="n">
        <f aca="false">IF($J835=0,0,MAX(0,$C835+INT(DIAS_POR_SEMANA/2)-INDEX(ROTACAO_RDM!$I$6:$I$71,$J835)))</f>
        <v>171</v>
      </c>
      <c r="O835" s="19" t="n">
        <f aca="false">IF($J835=0,0,MIN(1,$N835/MAX(1,INDEX(ROTACAO_RDM!$K$6:$K$71,$J835))))</f>
        <v>0.876923076923077</v>
      </c>
      <c r="P835" s="16" t="n">
        <f aca="false">IF($J835=0,0,IFERROR(MATCH(INDEX(ROTACAO_RDM!$N$6:$N$71,$J835),PARAMETROS_CULTURAS!$B$6:$B$28,0),0))</f>
        <v>5</v>
      </c>
      <c r="Q835" s="8" t="str">
        <f aca="false">IF($P835=0,"-",IF($O835&lt;=INDEX(PARAMETROS_CULTURAS!$F$6:$F$28,$P835),"INICIAL",IF($O835&lt;=INDEX(PARAMETROS_CULTURAS!$F$6:$F$28,$P835)+INDEX(PARAMETROS_CULTURAS!$G$6:$G$28,$P835),"DESENVOLVIMENTO",IF($O835&lt;=INDEX(PARAMETROS_CULTURAS!$F$6:$F$28,$P835)+INDEX(PARAMETROS_CULTURAS!$G$6:$G$28,$P835)+INDEX(PARAMETROS_CULTURAS!$H$6:$H$28,$P835),"MEDIA","FINAL"))))</f>
        <v>FINAL</v>
      </c>
      <c r="R835" s="24" t="n">
        <f aca="false">IF($P835=0,0,IF($O835&lt;=INDEX(PARAMETROS_CULTURAS!$F$6:$F$28,$P835),INDEX(PARAMETROS_CULTURAS!$K$6:$K$28,$P835),IF($O835&lt;=INDEX(PARAMETROS_CULTURAS!$F$6:$F$28,$P835)+INDEX(PARAMETROS_CULTURAS!$G$6:$G$28,$P835),INDEX(PARAMETROS_CULTURAS!$K$6:$K$28,$P835)+(INDEX(PARAMETROS_CULTURAS!$L$6:$L$28,$P835)-INDEX(PARAMETROS_CULTURAS!$K$6:$K$28,$P835))*($O835-INDEX(PARAMETROS_CULTURAS!$F$6:$F$28,$P835))/MAX(INDEX(PARAMETROS_CULTURAS!$G$6:$G$28,$P835),0.0001),IF($O835&lt;=INDEX(PARAMETROS_CULTURAS!$F$6:$F$28,$P835)+INDEX(PARAMETROS_CULTURAS!$G$6:$G$28,$P835)+INDEX(PARAMETROS_CULTURAS!$H$6:$H$28,$P835),INDEX(PARAMETROS_CULTURAS!$L$6:$L$28,$P835),INDEX(PARAMETROS_CULTURAS!$L$6:$L$28,$P835)+(INDEX(PARAMETROS_CULTURAS!$M$6:$M$28,$P835)-INDEX(PARAMETROS_CULTURAS!$L$6:$L$28,$P835))*($O835-INDEX(PARAMETROS_CULTURAS!$F$6:$F$28,$P835)-INDEX(PARAMETROS_CULTURAS!$G$6:$G$28,$P835)-INDEX(PARAMETROS_CULTURAS!$H$6:$H$28,$P835))/MAX(INDEX(PARAMETROS_CULTURAS!$I$6:$I$28,$P835),0.0001)))))</f>
        <v>0.841758241758242</v>
      </c>
      <c r="S835" s="18" t="n">
        <f aca="false">IFERROR(INDEX(SEMANAS!$H$6:$H$71,MATCH($B835,SEMANAS!$B$6:$B$71,0)),0)</f>
        <v>29.4</v>
      </c>
      <c r="T835" s="18" t="n">
        <f aca="false">$R835*$S835</f>
        <v>24.7476923076923</v>
      </c>
      <c r="U835" s="18" t="n">
        <f aca="false">IFERROR(INDEX(SEMANAS!$I$6:$I$71,MATCH($B835,SEMANAS!$B$6:$B$71,0)),0)</f>
        <v>3.36</v>
      </c>
      <c r="V835" s="18" t="n">
        <f aca="false">IFERROR(INDEX(SEMANAS!$J$6:$J$71,MATCH($B835,SEMANAS!$B$6:$B$71,0)),0)</f>
        <v>2.688</v>
      </c>
      <c r="W835" s="18" t="n">
        <f aca="false">MAX(0,$T835-$V835)</f>
        <v>22.0596923076923</v>
      </c>
      <c r="X835" s="19" t="n">
        <f aca="false">IFERROR(INDEX(CADASTRO_PIVOS!$K$6:$K$41,MATCH($E835,CADASTRO_PIVOS!$B$6:$B$41,0)),EFICIENCIA_PADRAO)</f>
        <v>0.85</v>
      </c>
      <c r="Y835" s="18" t="n">
        <f aca="false">IF($X835&lt;=0,0,$W835/$X835)</f>
        <v>25.9525791855204</v>
      </c>
      <c r="Z835" s="16" t="n">
        <f aca="false">$Y835*$H835*MM_PARA_M3_HA</f>
        <v>31137.9045067873</v>
      </c>
      <c r="AA835" s="18" t="n">
        <f aca="false">IFERROR(INDEX(CADASTRO_PIVOS!$I$6:$I$41,MATCH($E835,CADASTRO_PIVOS!$B$6:$B$41,0)),0)</f>
        <v>857</v>
      </c>
      <c r="AB835" s="18" t="n">
        <f aca="false">IF($Z835&lt;=0,0,$Z835/$AA835)</f>
        <v>36.3336108597285</v>
      </c>
      <c r="AC835" s="16" t="n">
        <f aca="false">IFERROR(INDEX(SEMANAS!$K$6:$K$71,MATCH($B835,SEMANAS!$B$6:$B$71,0)),0)</f>
        <v>147</v>
      </c>
      <c r="AD835" s="19" t="n">
        <f aca="false">IF($AC835&lt;=0,0,$AB835/$AC835)</f>
        <v>0.24716742081448</v>
      </c>
      <c r="AE835" s="8" t="str">
        <f aca="false">IF($K835="SEM CULTURA","SEM CULTURA",IF($AA835&lt;=0,"DADO PENDENTE",IF($AD835&gt;LIMITE_CRITICO,"INVIAVEL",IF($AD835&gt;LIMITE_ATENCAO,"CRITICO",IF($AD835&gt;LIMITE_CONFORTAVEL,"ATENCAO","OK")))))</f>
        <v>OK</v>
      </c>
      <c r="AF835" s="8" t="str">
        <f aca="false">$B835&amp;"|"&amp;TEXT($AD835,"0.000000")</f>
        <v>38|0.247167</v>
      </c>
      <c r="AG835" s="18" t="n">
        <f aca="false">IF($K835="SEM CULTURA",0,$T835*$H835)</f>
        <v>2969.22812307692</v>
      </c>
      <c r="AH835" s="18" t="n">
        <f aca="false">IF($K835="SEM CULTURA",0,$V835*$H835)</f>
        <v>322.50624</v>
      </c>
      <c r="AI835" s="18" t="n">
        <f aca="false">IF($K835="SEM CULTURA",0,$W835*$H835)</f>
        <v>2646.72188307692</v>
      </c>
      <c r="AJ835" s="18" t="n">
        <f aca="false">IF($K835="SEM CULTURA",0,$S835*$H835)</f>
        <v>3527.412</v>
      </c>
      <c r="AK835" s="8" t="str">
        <f aca="false">$E835&amp;"|"&amp;TEXT($AD835,"0.000000")</f>
        <v>PV 114|0.247167</v>
      </c>
    </row>
    <row r="836" customFormat="false" ht="15" hidden="false" customHeight="false" outlineLevel="0" collapsed="false">
      <c r="B836" s="16" t="n">
        <v>39</v>
      </c>
      <c r="C836" s="17" t="n">
        <f aca="false">DATA_INICIO_SAFRA+($B836-1)*DIAS_POR_SEMANA</f>
        <v>46531</v>
      </c>
      <c r="D836" s="17" t="n">
        <f aca="false">$C836+DIAS_POR_SEMANA-1</f>
        <v>46537</v>
      </c>
      <c r="E836" s="15" t="s">
        <v>271</v>
      </c>
      <c r="F836" s="8" t="str">
        <f aca="false">IFERROR(INDEX(CADASTRO_PIVOS!$C$6:$C$41,MATCH($E836,CADASTRO_PIVOS!$B$6:$B$41,0)),"?")</f>
        <v>RM05</v>
      </c>
      <c r="G836" s="8" t="str">
        <f aca="false">IFERROR(INDEX(CADASTRO_PIVOS!$D$6:$D$41,MATCH($E836,CADASTRO_PIVOS!$B$6:$B$41,0)),"?")</f>
        <v>TR05</v>
      </c>
      <c r="H836" s="20" t="n">
        <f aca="false">IFERROR(INDEX(CADASTRO_PIVOS!$E$6:$E$41,MATCH($E836,CADASTRO_PIVOS!$B$6:$B$41,0)),0)</f>
        <v>119.98</v>
      </c>
      <c r="I836" s="16" t="n">
        <f aca="false">IFERROR(SUMIFS(ROTACAO_RDM!$B$6:$B$71,ROTACAO_RDM!$D$6:$D$71,$E836,ROTACAO_RDM!$I$6:$I$71,"&lt;="&amp;$C836+INT(DIAS_POR_SEMANA/2),ROTACAO_RDM!$J$6:$J$71,"&gt;="&amp;$C836+INT(DIAS_POR_SEMANA/2)),0)</f>
        <v>24</v>
      </c>
      <c r="J836" s="16" t="n">
        <f aca="false">IFERROR(MATCH($I836,ROTACAO_RDM!$B$6:$B$71,0),0)</f>
        <v>24</v>
      </c>
      <c r="K836" s="8" t="str">
        <f aca="false">IF($J836=0,"SEM CULTURA",INDEX(ROTACAO_RDM!$F$6:$F$71,$J836))</f>
        <v>ALGODAO</v>
      </c>
      <c r="L836" s="8" t="str">
        <f aca="false">IF($J836=0,"",INDEX(ROTACAO_RDM!$G$6:$G$71,$J836))</f>
        <v>FM 974 GLT</v>
      </c>
      <c r="M836" s="17" t="n">
        <f aca="false">IF($J836=0,"",INDEX(ROTACAO_RDM!$I$6:$I$71,$J836))</f>
        <v>46356</v>
      </c>
      <c r="N836" s="16" t="n">
        <f aca="false">IF($J836=0,0,MAX(0,$C836+INT(DIAS_POR_SEMANA/2)-INDEX(ROTACAO_RDM!$I$6:$I$71,$J836)))</f>
        <v>178</v>
      </c>
      <c r="O836" s="19" t="n">
        <f aca="false">IF($J836=0,0,MIN(1,$N836/MAX(1,INDEX(ROTACAO_RDM!$K$6:$K$71,$J836))))</f>
        <v>0.912820512820513</v>
      </c>
      <c r="P836" s="16" t="n">
        <f aca="false">IF($J836=0,0,IFERROR(MATCH(INDEX(ROTACAO_RDM!$N$6:$N$71,$J836),PARAMETROS_CULTURAS!$B$6:$B$28,0),0))</f>
        <v>5</v>
      </c>
      <c r="Q836" s="8" t="str">
        <f aca="false">IF($P836=0,"-",IF($O836&lt;=INDEX(PARAMETROS_CULTURAS!$F$6:$F$28,$P836),"INICIAL",IF($O836&lt;=INDEX(PARAMETROS_CULTURAS!$F$6:$F$28,$P836)+INDEX(PARAMETROS_CULTURAS!$G$6:$G$28,$P836),"DESENVOLVIMENTO",IF($O836&lt;=INDEX(PARAMETROS_CULTURAS!$F$6:$F$28,$P836)+INDEX(PARAMETROS_CULTURAS!$G$6:$G$28,$P836)+INDEX(PARAMETROS_CULTURAS!$H$6:$H$28,$P836),"MEDIA","FINAL"))))</f>
        <v>FINAL</v>
      </c>
      <c r="R836" s="24" t="n">
        <f aca="false">IF($P836=0,0,IF($O836&lt;=INDEX(PARAMETROS_CULTURAS!$F$6:$F$28,$P836),INDEX(PARAMETROS_CULTURAS!$K$6:$K$28,$P836),IF($O836&lt;=INDEX(PARAMETROS_CULTURAS!$F$6:$F$28,$P836)+INDEX(PARAMETROS_CULTURAS!$G$6:$G$28,$P836),INDEX(PARAMETROS_CULTURAS!$K$6:$K$28,$P836)+(INDEX(PARAMETROS_CULTURAS!$L$6:$L$28,$P836)-INDEX(PARAMETROS_CULTURAS!$K$6:$K$28,$P836))*($O836-INDEX(PARAMETROS_CULTURAS!$F$6:$F$28,$P836))/MAX(INDEX(PARAMETROS_CULTURAS!$G$6:$G$28,$P836),0.0001),IF($O836&lt;=INDEX(PARAMETROS_CULTURAS!$F$6:$F$28,$P836)+INDEX(PARAMETROS_CULTURAS!$G$6:$G$28,$P836)+INDEX(PARAMETROS_CULTURAS!$H$6:$H$28,$P836),INDEX(PARAMETROS_CULTURAS!$L$6:$L$28,$P836),INDEX(PARAMETROS_CULTURAS!$L$6:$L$28,$P836)+(INDEX(PARAMETROS_CULTURAS!$M$6:$M$28,$P836)-INDEX(PARAMETROS_CULTURAS!$L$6:$L$28,$P836))*($O836-INDEX(PARAMETROS_CULTURAS!$F$6:$F$28,$P836)-INDEX(PARAMETROS_CULTURAS!$G$6:$G$28,$P836)-INDEX(PARAMETROS_CULTURAS!$H$6:$H$28,$P836))/MAX(INDEX(PARAMETROS_CULTURAS!$I$6:$I$28,$P836),0.0001)))))</f>
        <v>0.771245421245421</v>
      </c>
      <c r="S836" s="18" t="n">
        <f aca="false">IFERROR(INDEX(SEMANAS!$H$6:$H$71,MATCH($B836,SEMANAS!$B$6:$B$71,0)),0)</f>
        <v>29.4</v>
      </c>
      <c r="T836" s="18" t="n">
        <f aca="false">$R836*$S836</f>
        <v>22.6746153846154</v>
      </c>
      <c r="U836" s="18" t="n">
        <f aca="false">IFERROR(INDEX(SEMANAS!$I$6:$I$71,MATCH($B836,SEMANAS!$B$6:$B$71,0)),0)</f>
        <v>3.36</v>
      </c>
      <c r="V836" s="18" t="n">
        <f aca="false">IFERROR(INDEX(SEMANAS!$J$6:$J$71,MATCH($B836,SEMANAS!$B$6:$B$71,0)),0)</f>
        <v>2.688</v>
      </c>
      <c r="W836" s="18" t="n">
        <f aca="false">MAX(0,$T836-$V836)</f>
        <v>19.9866153846154</v>
      </c>
      <c r="X836" s="19" t="n">
        <f aca="false">IFERROR(INDEX(CADASTRO_PIVOS!$K$6:$K$41,MATCH($E836,CADASTRO_PIVOS!$B$6:$B$41,0)),EFICIENCIA_PADRAO)</f>
        <v>0.85</v>
      </c>
      <c r="Y836" s="18" t="n">
        <f aca="false">IF($X836&lt;=0,0,$W836/$X836)</f>
        <v>23.513665158371</v>
      </c>
      <c r="Z836" s="16" t="n">
        <f aca="false">$Y836*$H836*MM_PARA_M3_HA</f>
        <v>28211.6954570136</v>
      </c>
      <c r="AA836" s="18" t="n">
        <f aca="false">IFERROR(INDEX(CADASTRO_PIVOS!$I$6:$I$41,MATCH($E836,CADASTRO_PIVOS!$B$6:$B$41,0)),0)</f>
        <v>857</v>
      </c>
      <c r="AB836" s="18" t="n">
        <f aca="false">IF($Z836&lt;=0,0,$Z836/$AA836)</f>
        <v>32.9191312217195</v>
      </c>
      <c r="AC836" s="16" t="n">
        <f aca="false">IFERROR(INDEX(SEMANAS!$K$6:$K$71,MATCH($B836,SEMANAS!$B$6:$B$71,0)),0)</f>
        <v>147</v>
      </c>
      <c r="AD836" s="19" t="n">
        <f aca="false">IF($AC836&lt;=0,0,$AB836/$AC836)</f>
        <v>0.223939668174962</v>
      </c>
      <c r="AE836" s="8" t="str">
        <f aca="false">IF($K836="SEM CULTURA","SEM CULTURA",IF($AA836&lt;=0,"DADO PENDENTE",IF($AD836&gt;LIMITE_CRITICO,"INVIAVEL",IF($AD836&gt;LIMITE_ATENCAO,"CRITICO",IF($AD836&gt;LIMITE_CONFORTAVEL,"ATENCAO","OK")))))</f>
        <v>OK</v>
      </c>
      <c r="AF836" s="8" t="str">
        <f aca="false">$B836&amp;"|"&amp;TEXT($AD836,"0.000000")</f>
        <v>39|0.223940</v>
      </c>
      <c r="AG836" s="18" t="n">
        <f aca="false">IF($K836="SEM CULTURA",0,$T836*$H836)</f>
        <v>2720.50035384615</v>
      </c>
      <c r="AH836" s="18" t="n">
        <f aca="false">IF($K836="SEM CULTURA",0,$V836*$H836)</f>
        <v>322.50624</v>
      </c>
      <c r="AI836" s="18" t="n">
        <f aca="false">IF($K836="SEM CULTURA",0,$W836*$H836)</f>
        <v>2397.99411384615</v>
      </c>
      <c r="AJ836" s="18" t="n">
        <f aca="false">IF($K836="SEM CULTURA",0,$S836*$H836)</f>
        <v>3527.412</v>
      </c>
      <c r="AK836" s="8" t="str">
        <f aca="false">$E836&amp;"|"&amp;TEXT($AD836,"0.000000")</f>
        <v>PV 114|0.223940</v>
      </c>
    </row>
    <row r="837" customFormat="false" ht="15" hidden="false" customHeight="false" outlineLevel="0" collapsed="false">
      <c r="B837" s="16" t="n">
        <v>40</v>
      </c>
      <c r="C837" s="17" t="n">
        <f aca="false">DATA_INICIO_SAFRA+($B837-1)*DIAS_POR_SEMANA</f>
        <v>46538</v>
      </c>
      <c r="D837" s="17" t="n">
        <f aca="false">$C837+DIAS_POR_SEMANA-1</f>
        <v>46544</v>
      </c>
      <c r="E837" s="15" t="s">
        <v>271</v>
      </c>
      <c r="F837" s="8" t="str">
        <f aca="false">IFERROR(INDEX(CADASTRO_PIVOS!$C$6:$C$41,MATCH($E837,CADASTRO_PIVOS!$B$6:$B$41,0)),"?")</f>
        <v>RM05</v>
      </c>
      <c r="G837" s="8" t="str">
        <f aca="false">IFERROR(INDEX(CADASTRO_PIVOS!$D$6:$D$41,MATCH($E837,CADASTRO_PIVOS!$B$6:$B$41,0)),"?")</f>
        <v>TR05</v>
      </c>
      <c r="H837" s="20" t="n">
        <f aca="false">IFERROR(INDEX(CADASTRO_PIVOS!$E$6:$E$41,MATCH($E837,CADASTRO_PIVOS!$B$6:$B$41,0)),0)</f>
        <v>119.98</v>
      </c>
      <c r="I837" s="16" t="n">
        <f aca="false">IFERROR(SUMIFS(ROTACAO_RDM!$B$6:$B$71,ROTACAO_RDM!$D$6:$D$71,$E837,ROTACAO_RDM!$I$6:$I$71,"&lt;="&amp;$C837+INT(DIAS_POR_SEMANA/2),ROTACAO_RDM!$J$6:$J$71,"&gt;="&amp;$C837+INT(DIAS_POR_SEMANA/2)),0)</f>
        <v>24</v>
      </c>
      <c r="J837" s="16" t="n">
        <f aca="false">IFERROR(MATCH($I837,ROTACAO_RDM!$B$6:$B$71,0),0)</f>
        <v>24</v>
      </c>
      <c r="K837" s="8" t="str">
        <f aca="false">IF($J837=0,"SEM CULTURA",INDEX(ROTACAO_RDM!$F$6:$F$71,$J837))</f>
        <v>ALGODAO</v>
      </c>
      <c r="L837" s="8" t="str">
        <f aca="false">IF($J837=0,"",INDEX(ROTACAO_RDM!$G$6:$G$71,$J837))</f>
        <v>FM 974 GLT</v>
      </c>
      <c r="M837" s="17" t="n">
        <f aca="false">IF($J837=0,"",INDEX(ROTACAO_RDM!$I$6:$I$71,$J837))</f>
        <v>46356</v>
      </c>
      <c r="N837" s="16" t="n">
        <f aca="false">IF($J837=0,0,MAX(0,$C837+INT(DIAS_POR_SEMANA/2)-INDEX(ROTACAO_RDM!$I$6:$I$71,$J837)))</f>
        <v>185</v>
      </c>
      <c r="O837" s="19" t="n">
        <f aca="false">IF($J837=0,0,MIN(1,$N837/MAX(1,INDEX(ROTACAO_RDM!$K$6:$K$71,$J837))))</f>
        <v>0.948717948717949</v>
      </c>
      <c r="P837" s="16" t="n">
        <f aca="false">IF($J837=0,0,IFERROR(MATCH(INDEX(ROTACAO_RDM!$N$6:$N$71,$J837),PARAMETROS_CULTURAS!$B$6:$B$28,0),0))</f>
        <v>5</v>
      </c>
      <c r="Q837" s="8" t="str">
        <f aca="false">IF($P837=0,"-",IF($O837&lt;=INDEX(PARAMETROS_CULTURAS!$F$6:$F$28,$P837),"INICIAL",IF($O837&lt;=INDEX(PARAMETROS_CULTURAS!$F$6:$F$28,$P837)+INDEX(PARAMETROS_CULTURAS!$G$6:$G$28,$P837),"DESENVOLVIMENTO",IF($O837&lt;=INDEX(PARAMETROS_CULTURAS!$F$6:$F$28,$P837)+INDEX(PARAMETROS_CULTURAS!$G$6:$G$28,$P837)+INDEX(PARAMETROS_CULTURAS!$H$6:$H$28,$P837),"MEDIA","FINAL"))))</f>
        <v>FINAL</v>
      </c>
      <c r="R837" s="24" t="n">
        <f aca="false">IF($P837=0,0,IF($O837&lt;=INDEX(PARAMETROS_CULTURAS!$F$6:$F$28,$P837),INDEX(PARAMETROS_CULTURAS!$K$6:$K$28,$P837),IF($O837&lt;=INDEX(PARAMETROS_CULTURAS!$F$6:$F$28,$P837)+INDEX(PARAMETROS_CULTURAS!$G$6:$G$28,$P837),INDEX(PARAMETROS_CULTURAS!$K$6:$K$28,$P837)+(INDEX(PARAMETROS_CULTURAS!$L$6:$L$28,$P837)-INDEX(PARAMETROS_CULTURAS!$K$6:$K$28,$P837))*($O837-INDEX(PARAMETROS_CULTURAS!$F$6:$F$28,$P837))/MAX(INDEX(PARAMETROS_CULTURAS!$G$6:$G$28,$P837),0.0001),IF($O837&lt;=INDEX(PARAMETROS_CULTURAS!$F$6:$F$28,$P837)+INDEX(PARAMETROS_CULTURAS!$G$6:$G$28,$P837)+INDEX(PARAMETROS_CULTURAS!$H$6:$H$28,$P837),INDEX(PARAMETROS_CULTURAS!$L$6:$L$28,$P837),INDEX(PARAMETROS_CULTURAS!$L$6:$L$28,$P837)+(INDEX(PARAMETROS_CULTURAS!$M$6:$M$28,$P837)-INDEX(PARAMETROS_CULTURAS!$L$6:$L$28,$P837))*($O837-INDEX(PARAMETROS_CULTURAS!$F$6:$F$28,$P837)-INDEX(PARAMETROS_CULTURAS!$G$6:$G$28,$P837)-INDEX(PARAMETROS_CULTURAS!$H$6:$H$28,$P837))/MAX(INDEX(PARAMETROS_CULTURAS!$I$6:$I$28,$P837),0.0001)))))</f>
        <v>0.700732600732601</v>
      </c>
      <c r="S837" s="18" t="n">
        <f aca="false">IFERROR(INDEX(SEMANAS!$H$6:$H$71,MATCH($B837,SEMANAS!$B$6:$B$71,0)),0)</f>
        <v>28.2</v>
      </c>
      <c r="T837" s="18" t="n">
        <f aca="false">$R837*$S837</f>
        <v>19.7606593406593</v>
      </c>
      <c r="U837" s="18" t="n">
        <f aca="false">IFERROR(INDEX(SEMANAS!$I$6:$I$71,MATCH($B837,SEMANAS!$B$6:$B$71,0)),0)</f>
        <v>1.5</v>
      </c>
      <c r="V837" s="18" t="n">
        <f aca="false">IFERROR(INDEX(SEMANAS!$J$6:$J$71,MATCH($B837,SEMANAS!$B$6:$B$71,0)),0)</f>
        <v>1.2</v>
      </c>
      <c r="W837" s="18" t="n">
        <f aca="false">MAX(0,$T837-$V837)</f>
        <v>18.5606593406593</v>
      </c>
      <c r="X837" s="19" t="n">
        <f aca="false">IFERROR(INDEX(CADASTRO_PIVOS!$K$6:$K$41,MATCH($E837,CADASTRO_PIVOS!$B$6:$B$41,0)),EFICIENCIA_PADRAO)</f>
        <v>0.85</v>
      </c>
      <c r="Y837" s="18" t="n">
        <f aca="false">IF($X837&lt;=0,0,$W837/$X837)</f>
        <v>21.8360698125404</v>
      </c>
      <c r="Z837" s="16" t="n">
        <f aca="false">$Y837*$H837*MM_PARA_M3_HA</f>
        <v>26198.916561086</v>
      </c>
      <c r="AA837" s="18" t="n">
        <f aca="false">IFERROR(INDEX(CADASTRO_PIVOS!$I$6:$I$41,MATCH($E837,CADASTRO_PIVOS!$B$6:$B$41,0)),0)</f>
        <v>857</v>
      </c>
      <c r="AB837" s="18" t="n">
        <f aca="false">IF($Z837&lt;=0,0,$Z837/$AA837)</f>
        <v>30.5704977375566</v>
      </c>
      <c r="AC837" s="16" t="n">
        <f aca="false">IFERROR(INDEX(SEMANAS!$K$6:$K$71,MATCH($B837,SEMANAS!$B$6:$B$71,0)),0)</f>
        <v>147</v>
      </c>
      <c r="AD837" s="19" t="n">
        <f aca="false">IF($AC837&lt;=0,0,$AB837/$AC837)</f>
        <v>0.207962569643242</v>
      </c>
      <c r="AE837" s="8" t="str">
        <f aca="false">IF($K837="SEM CULTURA","SEM CULTURA",IF($AA837&lt;=0,"DADO PENDENTE",IF($AD837&gt;LIMITE_CRITICO,"INVIAVEL",IF($AD837&gt;LIMITE_ATENCAO,"CRITICO",IF($AD837&gt;LIMITE_CONFORTAVEL,"ATENCAO","OK")))))</f>
        <v>OK</v>
      </c>
      <c r="AF837" s="8" t="str">
        <f aca="false">$B837&amp;"|"&amp;TEXT($AD837,"0.000000")</f>
        <v>40|0.207963</v>
      </c>
      <c r="AG837" s="18" t="n">
        <f aca="false">IF($K837="SEM CULTURA",0,$T837*$H837)</f>
        <v>2370.88390769231</v>
      </c>
      <c r="AH837" s="18" t="n">
        <f aca="false">IF($K837="SEM CULTURA",0,$V837*$H837)</f>
        <v>143.976</v>
      </c>
      <c r="AI837" s="18" t="n">
        <f aca="false">IF($K837="SEM CULTURA",0,$W837*$H837)</f>
        <v>2226.90790769231</v>
      </c>
      <c r="AJ837" s="18" t="n">
        <f aca="false">IF($K837="SEM CULTURA",0,$S837*$H837)</f>
        <v>3383.436</v>
      </c>
      <c r="AK837" s="8" t="str">
        <f aca="false">$E837&amp;"|"&amp;TEXT($AD837,"0.000000")</f>
        <v>PV 114|0.207963</v>
      </c>
    </row>
    <row r="838" customFormat="false" ht="15" hidden="false" customHeight="false" outlineLevel="0" collapsed="false">
      <c r="B838" s="16" t="n">
        <v>41</v>
      </c>
      <c r="C838" s="17" t="n">
        <f aca="false">DATA_INICIO_SAFRA+($B838-1)*DIAS_POR_SEMANA</f>
        <v>46545</v>
      </c>
      <c r="D838" s="17" t="n">
        <f aca="false">$C838+DIAS_POR_SEMANA-1</f>
        <v>46551</v>
      </c>
      <c r="E838" s="15" t="s">
        <v>271</v>
      </c>
      <c r="F838" s="8" t="str">
        <f aca="false">IFERROR(INDEX(CADASTRO_PIVOS!$C$6:$C$41,MATCH($E838,CADASTRO_PIVOS!$B$6:$B$41,0)),"?")</f>
        <v>RM05</v>
      </c>
      <c r="G838" s="8" t="str">
        <f aca="false">IFERROR(INDEX(CADASTRO_PIVOS!$D$6:$D$41,MATCH($E838,CADASTRO_PIVOS!$B$6:$B$41,0)),"?")</f>
        <v>TR05</v>
      </c>
      <c r="H838" s="20" t="n">
        <f aca="false">IFERROR(INDEX(CADASTRO_PIVOS!$E$6:$E$41,MATCH($E838,CADASTRO_PIVOS!$B$6:$B$41,0)),0)</f>
        <v>119.98</v>
      </c>
      <c r="I838" s="16" t="n">
        <f aca="false">IFERROR(SUMIFS(ROTACAO_RDM!$B$6:$B$71,ROTACAO_RDM!$D$6:$D$71,$E838,ROTACAO_RDM!$I$6:$I$71,"&lt;="&amp;$C838+INT(DIAS_POR_SEMANA/2),ROTACAO_RDM!$J$6:$J$71,"&gt;="&amp;$C838+INT(DIAS_POR_SEMANA/2)),0)</f>
        <v>24</v>
      </c>
      <c r="J838" s="16" t="n">
        <f aca="false">IFERROR(MATCH($I838,ROTACAO_RDM!$B$6:$B$71,0),0)</f>
        <v>24</v>
      </c>
      <c r="K838" s="8" t="str">
        <f aca="false">IF($J838=0,"SEM CULTURA",INDEX(ROTACAO_RDM!$F$6:$F$71,$J838))</f>
        <v>ALGODAO</v>
      </c>
      <c r="L838" s="8" t="str">
        <f aca="false">IF($J838=0,"",INDEX(ROTACAO_RDM!$G$6:$G$71,$J838))</f>
        <v>FM 974 GLT</v>
      </c>
      <c r="M838" s="17" t="n">
        <f aca="false">IF($J838=0,"",INDEX(ROTACAO_RDM!$I$6:$I$71,$J838))</f>
        <v>46356</v>
      </c>
      <c r="N838" s="16" t="n">
        <f aca="false">IF($J838=0,0,MAX(0,$C838+INT(DIAS_POR_SEMANA/2)-INDEX(ROTACAO_RDM!$I$6:$I$71,$J838)))</f>
        <v>192</v>
      </c>
      <c r="O838" s="19" t="n">
        <f aca="false">IF($J838=0,0,MIN(1,$N838/MAX(1,INDEX(ROTACAO_RDM!$K$6:$K$71,$J838))))</f>
        <v>0.984615384615385</v>
      </c>
      <c r="P838" s="16" t="n">
        <f aca="false">IF($J838=0,0,IFERROR(MATCH(INDEX(ROTACAO_RDM!$N$6:$N$71,$J838),PARAMETROS_CULTURAS!$B$6:$B$28,0),0))</f>
        <v>5</v>
      </c>
      <c r="Q838" s="8" t="str">
        <f aca="false">IF($P838=0,"-",IF($O838&lt;=INDEX(PARAMETROS_CULTURAS!$F$6:$F$28,$P838),"INICIAL",IF($O838&lt;=INDEX(PARAMETROS_CULTURAS!$F$6:$F$28,$P838)+INDEX(PARAMETROS_CULTURAS!$G$6:$G$28,$P838),"DESENVOLVIMENTO",IF($O838&lt;=INDEX(PARAMETROS_CULTURAS!$F$6:$F$28,$P838)+INDEX(PARAMETROS_CULTURAS!$G$6:$G$28,$P838)+INDEX(PARAMETROS_CULTURAS!$H$6:$H$28,$P838),"MEDIA","FINAL"))))</f>
        <v>FINAL</v>
      </c>
      <c r="R838" s="24" t="n">
        <f aca="false">IF($P838=0,0,IF($O838&lt;=INDEX(PARAMETROS_CULTURAS!$F$6:$F$28,$P838),INDEX(PARAMETROS_CULTURAS!$K$6:$K$28,$P838),IF($O838&lt;=INDEX(PARAMETROS_CULTURAS!$F$6:$F$28,$P838)+INDEX(PARAMETROS_CULTURAS!$G$6:$G$28,$P838),INDEX(PARAMETROS_CULTURAS!$K$6:$K$28,$P838)+(INDEX(PARAMETROS_CULTURAS!$L$6:$L$28,$P838)-INDEX(PARAMETROS_CULTURAS!$K$6:$K$28,$P838))*($O838-INDEX(PARAMETROS_CULTURAS!$F$6:$F$28,$P838))/MAX(INDEX(PARAMETROS_CULTURAS!$G$6:$G$28,$P838),0.0001),IF($O838&lt;=INDEX(PARAMETROS_CULTURAS!$F$6:$F$28,$P838)+INDEX(PARAMETROS_CULTURAS!$G$6:$G$28,$P838)+INDEX(PARAMETROS_CULTURAS!$H$6:$H$28,$P838),INDEX(PARAMETROS_CULTURAS!$L$6:$L$28,$P838),INDEX(PARAMETROS_CULTURAS!$L$6:$L$28,$P838)+(INDEX(PARAMETROS_CULTURAS!$M$6:$M$28,$P838)-INDEX(PARAMETROS_CULTURAS!$L$6:$L$28,$P838))*($O838-INDEX(PARAMETROS_CULTURAS!$F$6:$F$28,$P838)-INDEX(PARAMETROS_CULTURAS!$G$6:$G$28,$P838)-INDEX(PARAMETROS_CULTURAS!$H$6:$H$28,$P838))/MAX(INDEX(PARAMETROS_CULTURAS!$I$6:$I$28,$P838),0.0001)))))</f>
        <v>0.63021978021978</v>
      </c>
      <c r="S838" s="18" t="n">
        <f aca="false">IFERROR(INDEX(SEMANAS!$H$6:$H$71,MATCH($B838,SEMANAS!$B$6:$B$71,0)),0)</f>
        <v>28</v>
      </c>
      <c r="T838" s="18" t="n">
        <f aca="false">$R838*$S838</f>
        <v>17.6461538461538</v>
      </c>
      <c r="U838" s="18" t="n">
        <f aca="false">IFERROR(INDEX(SEMANAS!$I$6:$I$71,MATCH($B838,SEMANAS!$B$6:$B$71,0)),0)</f>
        <v>1.19</v>
      </c>
      <c r="V838" s="18" t="n">
        <f aca="false">IFERROR(INDEX(SEMANAS!$J$6:$J$71,MATCH($B838,SEMANAS!$B$6:$B$71,0)),0)</f>
        <v>0.952</v>
      </c>
      <c r="W838" s="18" t="n">
        <f aca="false">MAX(0,$T838-$V838)</f>
        <v>16.6941538461538</v>
      </c>
      <c r="X838" s="19" t="n">
        <f aca="false">IFERROR(INDEX(CADASTRO_PIVOS!$K$6:$K$41,MATCH($E838,CADASTRO_PIVOS!$B$6:$B$41,0)),EFICIENCIA_PADRAO)</f>
        <v>0.85</v>
      </c>
      <c r="Y838" s="18" t="n">
        <f aca="false">IF($X838&lt;=0,0,$W838/$X838)</f>
        <v>19.6401809954751</v>
      </c>
      <c r="Z838" s="16" t="n">
        <f aca="false">$Y838*$H838*MM_PARA_M3_HA</f>
        <v>23564.289158371</v>
      </c>
      <c r="AA838" s="18" t="n">
        <f aca="false">IFERROR(INDEX(CADASTRO_PIVOS!$I$6:$I$41,MATCH($E838,CADASTRO_PIVOS!$B$6:$B$41,0)),0)</f>
        <v>857</v>
      </c>
      <c r="AB838" s="18" t="n">
        <f aca="false">IF($Z838&lt;=0,0,$Z838/$AA838)</f>
        <v>27.4962533936652</v>
      </c>
      <c r="AC838" s="16" t="n">
        <f aca="false">IFERROR(INDEX(SEMANAS!$K$6:$K$71,MATCH($B838,SEMANAS!$B$6:$B$71,0)),0)</f>
        <v>147</v>
      </c>
      <c r="AD838" s="19" t="n">
        <f aca="false">IF($AC838&lt;=0,0,$AB838/$AC838)</f>
        <v>0.187049342814049</v>
      </c>
      <c r="AE838" s="8" t="str">
        <f aca="false">IF($K838="SEM CULTURA","SEM CULTURA",IF($AA838&lt;=0,"DADO PENDENTE",IF($AD838&gt;LIMITE_CRITICO,"INVIAVEL",IF($AD838&gt;LIMITE_ATENCAO,"CRITICO",IF($AD838&gt;LIMITE_CONFORTAVEL,"ATENCAO","OK")))))</f>
        <v>OK</v>
      </c>
      <c r="AF838" s="8" t="str">
        <f aca="false">$B838&amp;"|"&amp;TEXT($AD838,"0.000000")</f>
        <v>41|0.187049</v>
      </c>
      <c r="AG838" s="18" t="n">
        <f aca="false">IF($K838="SEM CULTURA",0,$T838*$H838)</f>
        <v>2117.18553846154</v>
      </c>
      <c r="AH838" s="18" t="n">
        <f aca="false">IF($K838="SEM CULTURA",0,$V838*$H838)</f>
        <v>114.22096</v>
      </c>
      <c r="AI838" s="18" t="n">
        <f aca="false">IF($K838="SEM CULTURA",0,$W838*$H838)</f>
        <v>2002.96457846154</v>
      </c>
      <c r="AJ838" s="18" t="n">
        <f aca="false">IF($K838="SEM CULTURA",0,$S838*$H838)</f>
        <v>3359.44</v>
      </c>
      <c r="AK838" s="8" t="str">
        <f aca="false">$E838&amp;"|"&amp;TEXT($AD838,"0.000000")</f>
        <v>PV 114|0.187049</v>
      </c>
    </row>
    <row r="839" customFormat="false" ht="15" hidden="false" customHeight="false" outlineLevel="0" collapsed="false">
      <c r="B839" s="16" t="n">
        <v>42</v>
      </c>
      <c r="C839" s="17" t="n">
        <f aca="false">DATA_INICIO_SAFRA+($B839-1)*DIAS_POR_SEMANA</f>
        <v>46552</v>
      </c>
      <c r="D839" s="17" t="n">
        <f aca="false">$C839+DIAS_POR_SEMANA-1</f>
        <v>46558</v>
      </c>
      <c r="E839" s="15" t="s">
        <v>271</v>
      </c>
      <c r="F839" s="8" t="str">
        <f aca="false">IFERROR(INDEX(CADASTRO_PIVOS!$C$6:$C$41,MATCH($E839,CADASTRO_PIVOS!$B$6:$B$41,0)),"?")</f>
        <v>RM05</v>
      </c>
      <c r="G839" s="8" t="str">
        <f aca="false">IFERROR(INDEX(CADASTRO_PIVOS!$D$6:$D$41,MATCH($E839,CADASTRO_PIVOS!$B$6:$B$41,0)),"?")</f>
        <v>TR05</v>
      </c>
      <c r="H839" s="20" t="n">
        <f aca="false">IFERROR(INDEX(CADASTRO_PIVOS!$E$6:$E$41,MATCH($E839,CADASTRO_PIVOS!$B$6:$B$41,0)),0)</f>
        <v>119.98</v>
      </c>
      <c r="I839" s="16" t="n">
        <f aca="false">IFERROR(SUMIFS(ROTACAO_RDM!$B$6:$B$71,ROTACAO_RDM!$D$6:$D$71,$E839,ROTACAO_RDM!$I$6:$I$71,"&lt;="&amp;$C839+INT(DIAS_POR_SEMANA/2),ROTACAO_RDM!$J$6:$J$71,"&gt;="&amp;$C839+INT(DIAS_POR_SEMANA/2)),0)</f>
        <v>0</v>
      </c>
      <c r="J839" s="16" t="n">
        <f aca="false">IFERROR(MATCH($I839,ROTACAO_RDM!$B$6:$B$71,0),0)</f>
        <v>0</v>
      </c>
      <c r="K839" s="8" t="str">
        <f aca="false">IF($J839=0,"SEM CULTURA",INDEX(ROTACAO_RDM!$F$6:$F$71,$J839))</f>
        <v>SEM CULTURA</v>
      </c>
      <c r="L839" s="8" t="str">
        <f aca="false">IF($J839=0,"",INDEX(ROTACAO_RDM!$G$6:$G$71,$J839))</f>
        <v/>
      </c>
      <c r="M839" s="17" t="str">
        <f aca="false">IF($J839=0,"",INDEX(ROTACAO_RDM!$I$6:$I$71,$J839))</f>
        <v/>
      </c>
      <c r="N839" s="16" t="n">
        <f aca="false">IF($J839=0,0,MAX(0,$C839+INT(DIAS_POR_SEMANA/2)-INDEX(ROTACAO_RDM!$I$6:$I$71,$J839)))</f>
        <v>0</v>
      </c>
      <c r="O839" s="19" t="n">
        <f aca="false">IF($J839=0,0,MIN(1,$N839/MAX(1,INDEX(ROTACAO_RDM!$K$6:$K$71,$J839))))</f>
        <v>0</v>
      </c>
      <c r="P839" s="16" t="n">
        <f aca="false">IF($J839=0,0,IFERROR(MATCH(INDEX(ROTACAO_RDM!$N$6:$N$71,$J839),PARAMETROS_CULTURAS!$B$6:$B$28,0),0))</f>
        <v>0</v>
      </c>
      <c r="Q839" s="8" t="str">
        <f aca="false">IF($P839=0,"-",IF($O839&lt;=INDEX(PARAMETROS_CULTURAS!$F$6:$F$28,$P839),"INICIAL",IF($O839&lt;=INDEX(PARAMETROS_CULTURAS!$F$6:$F$28,$P839)+INDEX(PARAMETROS_CULTURAS!$G$6:$G$28,$P839),"DESENVOLVIMENTO",IF($O839&lt;=INDEX(PARAMETROS_CULTURAS!$F$6:$F$28,$P839)+INDEX(PARAMETROS_CULTURAS!$G$6:$G$28,$P839)+INDEX(PARAMETROS_CULTURAS!$H$6:$H$28,$P839),"MEDIA","FINAL"))))</f>
        <v>-</v>
      </c>
      <c r="R839" s="24" t="n">
        <f aca="false">IF($P839=0,0,IF($O839&lt;=INDEX(PARAMETROS_CULTURAS!$F$6:$F$28,$P839),INDEX(PARAMETROS_CULTURAS!$K$6:$K$28,$P839),IF($O839&lt;=INDEX(PARAMETROS_CULTURAS!$F$6:$F$28,$P839)+INDEX(PARAMETROS_CULTURAS!$G$6:$G$28,$P839),INDEX(PARAMETROS_CULTURAS!$K$6:$K$28,$P839)+(INDEX(PARAMETROS_CULTURAS!$L$6:$L$28,$P839)-INDEX(PARAMETROS_CULTURAS!$K$6:$K$28,$P839))*($O839-INDEX(PARAMETROS_CULTURAS!$F$6:$F$28,$P839))/MAX(INDEX(PARAMETROS_CULTURAS!$G$6:$G$28,$P839),0.0001),IF($O839&lt;=INDEX(PARAMETROS_CULTURAS!$F$6:$F$28,$P839)+INDEX(PARAMETROS_CULTURAS!$G$6:$G$28,$P839)+INDEX(PARAMETROS_CULTURAS!$H$6:$H$28,$P839),INDEX(PARAMETROS_CULTURAS!$L$6:$L$28,$P839),INDEX(PARAMETROS_CULTURAS!$L$6:$L$28,$P839)+(INDEX(PARAMETROS_CULTURAS!$M$6:$M$28,$P839)-INDEX(PARAMETROS_CULTURAS!$L$6:$L$28,$P839))*($O839-INDEX(PARAMETROS_CULTURAS!$F$6:$F$28,$P839)-INDEX(PARAMETROS_CULTURAS!$G$6:$G$28,$P839)-INDEX(PARAMETROS_CULTURAS!$H$6:$H$28,$P839))/MAX(INDEX(PARAMETROS_CULTURAS!$I$6:$I$28,$P839),0.0001)))))</f>
        <v>0</v>
      </c>
      <c r="S839" s="18" t="n">
        <f aca="false">IFERROR(INDEX(SEMANAS!$H$6:$H$71,MATCH($B839,SEMANAS!$B$6:$B$71,0)),0)</f>
        <v>28</v>
      </c>
      <c r="T839" s="18" t="n">
        <f aca="false">$R839*$S839</f>
        <v>0</v>
      </c>
      <c r="U839" s="18" t="n">
        <f aca="false">IFERROR(INDEX(SEMANAS!$I$6:$I$71,MATCH($B839,SEMANAS!$B$6:$B$71,0)),0)</f>
        <v>1.19</v>
      </c>
      <c r="V839" s="18" t="n">
        <f aca="false">IFERROR(INDEX(SEMANAS!$J$6:$J$71,MATCH($B839,SEMANAS!$B$6:$B$71,0)),0)</f>
        <v>0.952</v>
      </c>
      <c r="W839" s="18" t="n">
        <f aca="false">MAX(0,$T839-$V839)</f>
        <v>0</v>
      </c>
      <c r="X839" s="19" t="n">
        <f aca="false">IFERROR(INDEX(CADASTRO_PIVOS!$K$6:$K$41,MATCH($E839,CADASTRO_PIVOS!$B$6:$B$41,0)),EFICIENCIA_PADRAO)</f>
        <v>0.85</v>
      </c>
      <c r="Y839" s="18" t="n">
        <f aca="false">IF($X839&lt;=0,0,$W839/$X839)</f>
        <v>0</v>
      </c>
      <c r="Z839" s="16" t="n">
        <f aca="false">$Y839*$H839*MM_PARA_M3_HA</f>
        <v>0</v>
      </c>
      <c r="AA839" s="18" t="n">
        <f aca="false">IFERROR(INDEX(CADASTRO_PIVOS!$I$6:$I$41,MATCH($E839,CADASTRO_PIVOS!$B$6:$B$41,0)),0)</f>
        <v>857</v>
      </c>
      <c r="AB839" s="18" t="n">
        <f aca="false">IF($Z839&lt;=0,0,$Z839/$AA839)</f>
        <v>0</v>
      </c>
      <c r="AC839" s="16" t="n">
        <f aca="false">IFERROR(INDEX(SEMANAS!$K$6:$K$71,MATCH($B839,SEMANAS!$B$6:$B$71,0)),0)</f>
        <v>147</v>
      </c>
      <c r="AD839" s="19" t="n">
        <f aca="false">IF($AC839&lt;=0,0,$AB839/$AC839)</f>
        <v>0</v>
      </c>
      <c r="AE839" s="8" t="str">
        <f aca="false">IF($K839="SEM CULTURA","SEM CULTURA",IF($AA839&lt;=0,"DADO PENDENTE",IF($AD839&gt;LIMITE_CRITICO,"INVIAVEL",IF($AD839&gt;LIMITE_ATENCAO,"CRITICO",IF($AD839&gt;LIMITE_CONFORTAVEL,"ATENCAO","OK")))))</f>
        <v>SEM CULTURA</v>
      </c>
      <c r="AF839" s="8" t="str">
        <f aca="false">$B839&amp;"|"&amp;TEXT($AD839,"0.000000")</f>
        <v>42|0.000000</v>
      </c>
      <c r="AG839" s="18" t="n">
        <f aca="false">IF($K839="SEM CULTURA",0,$T839*$H839)</f>
        <v>0</v>
      </c>
      <c r="AH839" s="18" t="n">
        <f aca="false">IF($K839="SEM CULTURA",0,$V839*$H839)</f>
        <v>0</v>
      </c>
      <c r="AI839" s="18" t="n">
        <f aca="false">IF($K839="SEM CULTURA",0,$W839*$H839)</f>
        <v>0</v>
      </c>
      <c r="AJ839" s="18" t="n">
        <f aca="false">IF($K839="SEM CULTURA",0,$S839*$H839)</f>
        <v>0</v>
      </c>
      <c r="AK839" s="8" t="str">
        <f aca="false">$E839&amp;"|"&amp;TEXT($AD839,"0.000000")</f>
        <v>PV 114|0.000000</v>
      </c>
    </row>
    <row r="840" customFormat="false" ht="15" hidden="false" customHeight="false" outlineLevel="0" collapsed="false">
      <c r="B840" s="16" t="n">
        <v>43</v>
      </c>
      <c r="C840" s="17" t="n">
        <f aca="false">DATA_INICIO_SAFRA+($B840-1)*DIAS_POR_SEMANA</f>
        <v>46559</v>
      </c>
      <c r="D840" s="17" t="n">
        <f aca="false">$C840+DIAS_POR_SEMANA-1</f>
        <v>46565</v>
      </c>
      <c r="E840" s="15" t="s">
        <v>271</v>
      </c>
      <c r="F840" s="8" t="str">
        <f aca="false">IFERROR(INDEX(CADASTRO_PIVOS!$C$6:$C$41,MATCH($E840,CADASTRO_PIVOS!$B$6:$B$41,0)),"?")</f>
        <v>RM05</v>
      </c>
      <c r="G840" s="8" t="str">
        <f aca="false">IFERROR(INDEX(CADASTRO_PIVOS!$D$6:$D$41,MATCH($E840,CADASTRO_PIVOS!$B$6:$B$41,0)),"?")</f>
        <v>TR05</v>
      </c>
      <c r="H840" s="20" t="n">
        <f aca="false">IFERROR(INDEX(CADASTRO_PIVOS!$E$6:$E$41,MATCH($E840,CADASTRO_PIVOS!$B$6:$B$41,0)),0)</f>
        <v>119.98</v>
      </c>
      <c r="I840" s="16" t="n">
        <f aca="false">IFERROR(SUMIFS(ROTACAO_RDM!$B$6:$B$71,ROTACAO_RDM!$D$6:$D$71,$E840,ROTACAO_RDM!$I$6:$I$71,"&lt;="&amp;$C840+INT(DIAS_POR_SEMANA/2),ROTACAO_RDM!$J$6:$J$71,"&gt;="&amp;$C840+INT(DIAS_POR_SEMANA/2)),0)</f>
        <v>0</v>
      </c>
      <c r="J840" s="16" t="n">
        <f aca="false">IFERROR(MATCH($I840,ROTACAO_RDM!$B$6:$B$71,0),0)</f>
        <v>0</v>
      </c>
      <c r="K840" s="8" t="str">
        <f aca="false">IF($J840=0,"SEM CULTURA",INDEX(ROTACAO_RDM!$F$6:$F$71,$J840))</f>
        <v>SEM CULTURA</v>
      </c>
      <c r="L840" s="8" t="str">
        <f aca="false">IF($J840=0,"",INDEX(ROTACAO_RDM!$G$6:$G$71,$J840))</f>
        <v/>
      </c>
      <c r="M840" s="17" t="str">
        <f aca="false">IF($J840=0,"",INDEX(ROTACAO_RDM!$I$6:$I$71,$J840))</f>
        <v/>
      </c>
      <c r="N840" s="16" t="n">
        <f aca="false">IF($J840=0,0,MAX(0,$C840+INT(DIAS_POR_SEMANA/2)-INDEX(ROTACAO_RDM!$I$6:$I$71,$J840)))</f>
        <v>0</v>
      </c>
      <c r="O840" s="19" t="n">
        <f aca="false">IF($J840=0,0,MIN(1,$N840/MAX(1,INDEX(ROTACAO_RDM!$K$6:$K$71,$J840))))</f>
        <v>0</v>
      </c>
      <c r="P840" s="16" t="n">
        <f aca="false">IF($J840=0,0,IFERROR(MATCH(INDEX(ROTACAO_RDM!$N$6:$N$71,$J840),PARAMETROS_CULTURAS!$B$6:$B$28,0),0))</f>
        <v>0</v>
      </c>
      <c r="Q840" s="8" t="str">
        <f aca="false">IF($P840=0,"-",IF($O840&lt;=INDEX(PARAMETROS_CULTURAS!$F$6:$F$28,$P840),"INICIAL",IF($O840&lt;=INDEX(PARAMETROS_CULTURAS!$F$6:$F$28,$P840)+INDEX(PARAMETROS_CULTURAS!$G$6:$G$28,$P840),"DESENVOLVIMENTO",IF($O840&lt;=INDEX(PARAMETROS_CULTURAS!$F$6:$F$28,$P840)+INDEX(PARAMETROS_CULTURAS!$G$6:$G$28,$P840)+INDEX(PARAMETROS_CULTURAS!$H$6:$H$28,$P840),"MEDIA","FINAL"))))</f>
        <v>-</v>
      </c>
      <c r="R840" s="24" t="n">
        <f aca="false">IF($P840=0,0,IF($O840&lt;=INDEX(PARAMETROS_CULTURAS!$F$6:$F$28,$P840),INDEX(PARAMETROS_CULTURAS!$K$6:$K$28,$P840),IF($O840&lt;=INDEX(PARAMETROS_CULTURAS!$F$6:$F$28,$P840)+INDEX(PARAMETROS_CULTURAS!$G$6:$G$28,$P840),INDEX(PARAMETROS_CULTURAS!$K$6:$K$28,$P840)+(INDEX(PARAMETROS_CULTURAS!$L$6:$L$28,$P840)-INDEX(PARAMETROS_CULTURAS!$K$6:$K$28,$P840))*($O840-INDEX(PARAMETROS_CULTURAS!$F$6:$F$28,$P840))/MAX(INDEX(PARAMETROS_CULTURAS!$G$6:$G$28,$P840),0.0001),IF($O840&lt;=INDEX(PARAMETROS_CULTURAS!$F$6:$F$28,$P840)+INDEX(PARAMETROS_CULTURAS!$G$6:$G$28,$P840)+INDEX(PARAMETROS_CULTURAS!$H$6:$H$28,$P840),INDEX(PARAMETROS_CULTURAS!$L$6:$L$28,$P840),INDEX(PARAMETROS_CULTURAS!$L$6:$L$28,$P840)+(INDEX(PARAMETROS_CULTURAS!$M$6:$M$28,$P840)-INDEX(PARAMETROS_CULTURAS!$L$6:$L$28,$P840))*($O840-INDEX(PARAMETROS_CULTURAS!$F$6:$F$28,$P840)-INDEX(PARAMETROS_CULTURAS!$G$6:$G$28,$P840)-INDEX(PARAMETROS_CULTURAS!$H$6:$H$28,$P840))/MAX(INDEX(PARAMETROS_CULTURAS!$I$6:$I$28,$P840),0.0001)))))</f>
        <v>0</v>
      </c>
      <c r="S840" s="18" t="n">
        <f aca="false">IFERROR(INDEX(SEMANAS!$H$6:$H$71,MATCH($B840,SEMANAS!$B$6:$B$71,0)),0)</f>
        <v>28</v>
      </c>
      <c r="T840" s="18" t="n">
        <f aca="false">$R840*$S840</f>
        <v>0</v>
      </c>
      <c r="U840" s="18" t="n">
        <f aca="false">IFERROR(INDEX(SEMANAS!$I$6:$I$71,MATCH($B840,SEMANAS!$B$6:$B$71,0)),0)</f>
        <v>1.19</v>
      </c>
      <c r="V840" s="18" t="n">
        <f aca="false">IFERROR(INDEX(SEMANAS!$J$6:$J$71,MATCH($B840,SEMANAS!$B$6:$B$71,0)),0)</f>
        <v>0.952</v>
      </c>
      <c r="W840" s="18" t="n">
        <f aca="false">MAX(0,$T840-$V840)</f>
        <v>0</v>
      </c>
      <c r="X840" s="19" t="n">
        <f aca="false">IFERROR(INDEX(CADASTRO_PIVOS!$K$6:$K$41,MATCH($E840,CADASTRO_PIVOS!$B$6:$B$41,0)),EFICIENCIA_PADRAO)</f>
        <v>0.85</v>
      </c>
      <c r="Y840" s="18" t="n">
        <f aca="false">IF($X840&lt;=0,0,$W840/$X840)</f>
        <v>0</v>
      </c>
      <c r="Z840" s="16" t="n">
        <f aca="false">$Y840*$H840*MM_PARA_M3_HA</f>
        <v>0</v>
      </c>
      <c r="AA840" s="18" t="n">
        <f aca="false">IFERROR(INDEX(CADASTRO_PIVOS!$I$6:$I$41,MATCH($E840,CADASTRO_PIVOS!$B$6:$B$41,0)),0)</f>
        <v>857</v>
      </c>
      <c r="AB840" s="18" t="n">
        <f aca="false">IF($Z840&lt;=0,0,$Z840/$AA840)</f>
        <v>0</v>
      </c>
      <c r="AC840" s="16" t="n">
        <f aca="false">IFERROR(INDEX(SEMANAS!$K$6:$K$71,MATCH($B840,SEMANAS!$B$6:$B$71,0)),0)</f>
        <v>147</v>
      </c>
      <c r="AD840" s="19" t="n">
        <f aca="false">IF($AC840&lt;=0,0,$AB840/$AC840)</f>
        <v>0</v>
      </c>
      <c r="AE840" s="8" t="str">
        <f aca="false">IF($K840="SEM CULTURA","SEM CULTURA",IF($AA840&lt;=0,"DADO PENDENTE",IF($AD840&gt;LIMITE_CRITICO,"INVIAVEL",IF($AD840&gt;LIMITE_ATENCAO,"CRITICO",IF($AD840&gt;LIMITE_CONFORTAVEL,"ATENCAO","OK")))))</f>
        <v>SEM CULTURA</v>
      </c>
      <c r="AF840" s="8" t="str">
        <f aca="false">$B840&amp;"|"&amp;TEXT($AD840,"0.000000")</f>
        <v>43|0.000000</v>
      </c>
      <c r="AG840" s="18" t="n">
        <f aca="false">IF($K840="SEM CULTURA",0,$T840*$H840)</f>
        <v>0</v>
      </c>
      <c r="AH840" s="18" t="n">
        <f aca="false">IF($K840="SEM CULTURA",0,$V840*$H840)</f>
        <v>0</v>
      </c>
      <c r="AI840" s="18" t="n">
        <f aca="false">IF($K840="SEM CULTURA",0,$W840*$H840)</f>
        <v>0</v>
      </c>
      <c r="AJ840" s="18" t="n">
        <f aca="false">IF($K840="SEM CULTURA",0,$S840*$H840)</f>
        <v>0</v>
      </c>
      <c r="AK840" s="8" t="str">
        <f aca="false">$E840&amp;"|"&amp;TEXT($AD840,"0.000000")</f>
        <v>PV 114|0.000000</v>
      </c>
    </row>
    <row r="841" customFormat="false" ht="15" hidden="false" customHeight="false" outlineLevel="0" collapsed="false">
      <c r="B841" s="16" t="n">
        <v>44</v>
      </c>
      <c r="C841" s="17" t="n">
        <f aca="false">DATA_INICIO_SAFRA+($B841-1)*DIAS_POR_SEMANA</f>
        <v>46566</v>
      </c>
      <c r="D841" s="17" t="n">
        <f aca="false">$C841+DIAS_POR_SEMANA-1</f>
        <v>46572</v>
      </c>
      <c r="E841" s="15" t="s">
        <v>271</v>
      </c>
      <c r="F841" s="8" t="str">
        <f aca="false">IFERROR(INDEX(CADASTRO_PIVOS!$C$6:$C$41,MATCH($E841,CADASTRO_PIVOS!$B$6:$B$41,0)),"?")</f>
        <v>RM05</v>
      </c>
      <c r="G841" s="8" t="str">
        <f aca="false">IFERROR(INDEX(CADASTRO_PIVOS!$D$6:$D$41,MATCH($E841,CADASTRO_PIVOS!$B$6:$B$41,0)),"?")</f>
        <v>TR05</v>
      </c>
      <c r="H841" s="20" t="n">
        <f aca="false">IFERROR(INDEX(CADASTRO_PIVOS!$E$6:$E$41,MATCH($E841,CADASTRO_PIVOS!$B$6:$B$41,0)),0)</f>
        <v>119.98</v>
      </c>
      <c r="I841" s="16" t="n">
        <f aca="false">IFERROR(SUMIFS(ROTACAO_RDM!$B$6:$B$71,ROTACAO_RDM!$D$6:$D$71,$E841,ROTACAO_RDM!$I$6:$I$71,"&lt;="&amp;$C841+INT(DIAS_POR_SEMANA/2),ROTACAO_RDM!$J$6:$J$71,"&gt;="&amp;$C841+INT(DIAS_POR_SEMANA/2)),0)</f>
        <v>0</v>
      </c>
      <c r="J841" s="16" t="n">
        <f aca="false">IFERROR(MATCH($I841,ROTACAO_RDM!$B$6:$B$71,0),0)</f>
        <v>0</v>
      </c>
      <c r="K841" s="8" t="str">
        <f aca="false">IF($J841=0,"SEM CULTURA",INDEX(ROTACAO_RDM!$F$6:$F$71,$J841))</f>
        <v>SEM CULTURA</v>
      </c>
      <c r="L841" s="8" t="str">
        <f aca="false">IF($J841=0,"",INDEX(ROTACAO_RDM!$G$6:$G$71,$J841))</f>
        <v/>
      </c>
      <c r="M841" s="17" t="str">
        <f aca="false">IF($J841=0,"",INDEX(ROTACAO_RDM!$I$6:$I$71,$J841))</f>
        <v/>
      </c>
      <c r="N841" s="16" t="n">
        <f aca="false">IF($J841=0,0,MAX(0,$C841+INT(DIAS_POR_SEMANA/2)-INDEX(ROTACAO_RDM!$I$6:$I$71,$J841)))</f>
        <v>0</v>
      </c>
      <c r="O841" s="19" t="n">
        <f aca="false">IF($J841=0,0,MIN(1,$N841/MAX(1,INDEX(ROTACAO_RDM!$K$6:$K$71,$J841))))</f>
        <v>0</v>
      </c>
      <c r="P841" s="16" t="n">
        <f aca="false">IF($J841=0,0,IFERROR(MATCH(INDEX(ROTACAO_RDM!$N$6:$N$71,$J841),PARAMETROS_CULTURAS!$B$6:$B$28,0),0))</f>
        <v>0</v>
      </c>
      <c r="Q841" s="8" t="str">
        <f aca="false">IF($P841=0,"-",IF($O841&lt;=INDEX(PARAMETROS_CULTURAS!$F$6:$F$28,$P841),"INICIAL",IF($O841&lt;=INDEX(PARAMETROS_CULTURAS!$F$6:$F$28,$P841)+INDEX(PARAMETROS_CULTURAS!$G$6:$G$28,$P841),"DESENVOLVIMENTO",IF($O841&lt;=INDEX(PARAMETROS_CULTURAS!$F$6:$F$28,$P841)+INDEX(PARAMETROS_CULTURAS!$G$6:$G$28,$P841)+INDEX(PARAMETROS_CULTURAS!$H$6:$H$28,$P841),"MEDIA","FINAL"))))</f>
        <v>-</v>
      </c>
      <c r="R841" s="24" t="n">
        <f aca="false">IF($P841=0,0,IF($O841&lt;=INDEX(PARAMETROS_CULTURAS!$F$6:$F$28,$P841),INDEX(PARAMETROS_CULTURAS!$K$6:$K$28,$P841),IF($O841&lt;=INDEX(PARAMETROS_CULTURAS!$F$6:$F$28,$P841)+INDEX(PARAMETROS_CULTURAS!$G$6:$G$28,$P841),INDEX(PARAMETROS_CULTURAS!$K$6:$K$28,$P841)+(INDEX(PARAMETROS_CULTURAS!$L$6:$L$28,$P841)-INDEX(PARAMETROS_CULTURAS!$K$6:$K$28,$P841))*($O841-INDEX(PARAMETROS_CULTURAS!$F$6:$F$28,$P841))/MAX(INDEX(PARAMETROS_CULTURAS!$G$6:$G$28,$P841),0.0001),IF($O841&lt;=INDEX(PARAMETROS_CULTURAS!$F$6:$F$28,$P841)+INDEX(PARAMETROS_CULTURAS!$G$6:$G$28,$P841)+INDEX(PARAMETROS_CULTURAS!$H$6:$H$28,$P841),INDEX(PARAMETROS_CULTURAS!$L$6:$L$28,$P841),INDEX(PARAMETROS_CULTURAS!$L$6:$L$28,$P841)+(INDEX(PARAMETROS_CULTURAS!$M$6:$M$28,$P841)-INDEX(PARAMETROS_CULTURAS!$L$6:$L$28,$P841))*($O841-INDEX(PARAMETROS_CULTURAS!$F$6:$F$28,$P841)-INDEX(PARAMETROS_CULTURAS!$G$6:$G$28,$P841)-INDEX(PARAMETROS_CULTURAS!$H$6:$H$28,$P841))/MAX(INDEX(PARAMETROS_CULTURAS!$I$6:$I$28,$P841),0.0001)))))</f>
        <v>0</v>
      </c>
      <c r="S841" s="18" t="n">
        <f aca="false">IFERROR(INDEX(SEMANAS!$H$6:$H$71,MATCH($B841,SEMANAS!$B$6:$B$71,0)),0)</f>
        <v>29.2</v>
      </c>
      <c r="T841" s="18" t="n">
        <f aca="false">$R841*$S841</f>
        <v>0</v>
      </c>
      <c r="U841" s="18" t="n">
        <f aca="false">IFERROR(INDEX(SEMANAS!$I$6:$I$71,MATCH($B841,SEMANAS!$B$6:$B$71,0)),0)</f>
        <v>0.91</v>
      </c>
      <c r="V841" s="18" t="n">
        <f aca="false">IFERROR(INDEX(SEMANAS!$J$6:$J$71,MATCH($B841,SEMANAS!$B$6:$B$71,0)),0)</f>
        <v>0.728</v>
      </c>
      <c r="W841" s="18" t="n">
        <f aca="false">MAX(0,$T841-$V841)</f>
        <v>0</v>
      </c>
      <c r="X841" s="19" t="n">
        <f aca="false">IFERROR(INDEX(CADASTRO_PIVOS!$K$6:$K$41,MATCH($E841,CADASTRO_PIVOS!$B$6:$B$41,0)),EFICIENCIA_PADRAO)</f>
        <v>0.85</v>
      </c>
      <c r="Y841" s="18" t="n">
        <f aca="false">IF($X841&lt;=0,0,$W841/$X841)</f>
        <v>0</v>
      </c>
      <c r="Z841" s="16" t="n">
        <f aca="false">$Y841*$H841*MM_PARA_M3_HA</f>
        <v>0</v>
      </c>
      <c r="AA841" s="18" t="n">
        <f aca="false">IFERROR(INDEX(CADASTRO_PIVOS!$I$6:$I$41,MATCH($E841,CADASTRO_PIVOS!$B$6:$B$41,0)),0)</f>
        <v>857</v>
      </c>
      <c r="AB841" s="18" t="n">
        <f aca="false">IF($Z841&lt;=0,0,$Z841/$AA841)</f>
        <v>0</v>
      </c>
      <c r="AC841" s="16" t="n">
        <f aca="false">IFERROR(INDEX(SEMANAS!$K$6:$K$71,MATCH($B841,SEMANAS!$B$6:$B$71,0)),0)</f>
        <v>147</v>
      </c>
      <c r="AD841" s="19" t="n">
        <f aca="false">IF($AC841&lt;=0,0,$AB841/$AC841)</f>
        <v>0</v>
      </c>
      <c r="AE841" s="8" t="str">
        <f aca="false">IF($K841="SEM CULTURA","SEM CULTURA",IF($AA841&lt;=0,"DADO PENDENTE",IF($AD841&gt;LIMITE_CRITICO,"INVIAVEL",IF($AD841&gt;LIMITE_ATENCAO,"CRITICO",IF($AD841&gt;LIMITE_CONFORTAVEL,"ATENCAO","OK")))))</f>
        <v>SEM CULTURA</v>
      </c>
      <c r="AF841" s="8" t="str">
        <f aca="false">$B841&amp;"|"&amp;TEXT($AD841,"0.000000")</f>
        <v>44|0.000000</v>
      </c>
      <c r="AG841" s="18" t="n">
        <f aca="false">IF($K841="SEM CULTURA",0,$T841*$H841)</f>
        <v>0</v>
      </c>
      <c r="AH841" s="18" t="n">
        <f aca="false">IF($K841="SEM CULTURA",0,$V841*$H841)</f>
        <v>0</v>
      </c>
      <c r="AI841" s="18" t="n">
        <f aca="false">IF($K841="SEM CULTURA",0,$W841*$H841)</f>
        <v>0</v>
      </c>
      <c r="AJ841" s="18" t="n">
        <f aca="false">IF($K841="SEM CULTURA",0,$S841*$H841)</f>
        <v>0</v>
      </c>
      <c r="AK841" s="8" t="str">
        <f aca="false">$E841&amp;"|"&amp;TEXT($AD841,"0.000000")</f>
        <v>PV 114|0.000000</v>
      </c>
    </row>
    <row r="842" customFormat="false" ht="15" hidden="false" customHeight="false" outlineLevel="0" collapsed="false">
      <c r="B842" s="16" t="n">
        <v>45</v>
      </c>
      <c r="C842" s="17" t="n">
        <f aca="false">DATA_INICIO_SAFRA+($B842-1)*DIAS_POR_SEMANA</f>
        <v>46573</v>
      </c>
      <c r="D842" s="17" t="n">
        <f aca="false">$C842+DIAS_POR_SEMANA-1</f>
        <v>46579</v>
      </c>
      <c r="E842" s="15" t="s">
        <v>271</v>
      </c>
      <c r="F842" s="8" t="str">
        <f aca="false">IFERROR(INDEX(CADASTRO_PIVOS!$C$6:$C$41,MATCH($E842,CADASTRO_PIVOS!$B$6:$B$41,0)),"?")</f>
        <v>RM05</v>
      </c>
      <c r="G842" s="8" t="str">
        <f aca="false">IFERROR(INDEX(CADASTRO_PIVOS!$D$6:$D$41,MATCH($E842,CADASTRO_PIVOS!$B$6:$B$41,0)),"?")</f>
        <v>TR05</v>
      </c>
      <c r="H842" s="20" t="n">
        <f aca="false">IFERROR(INDEX(CADASTRO_PIVOS!$E$6:$E$41,MATCH($E842,CADASTRO_PIVOS!$B$6:$B$41,0)),0)</f>
        <v>119.98</v>
      </c>
      <c r="I842" s="16" t="n">
        <f aca="false">IFERROR(SUMIFS(ROTACAO_RDM!$B$6:$B$71,ROTACAO_RDM!$D$6:$D$71,$E842,ROTACAO_RDM!$I$6:$I$71,"&lt;="&amp;$C842+INT(DIAS_POR_SEMANA/2),ROTACAO_RDM!$J$6:$J$71,"&gt;="&amp;$C842+INT(DIAS_POR_SEMANA/2)),0)</f>
        <v>0</v>
      </c>
      <c r="J842" s="16" t="n">
        <f aca="false">IFERROR(MATCH($I842,ROTACAO_RDM!$B$6:$B$71,0),0)</f>
        <v>0</v>
      </c>
      <c r="K842" s="8" t="str">
        <f aca="false">IF($J842=0,"SEM CULTURA",INDEX(ROTACAO_RDM!$F$6:$F$71,$J842))</f>
        <v>SEM CULTURA</v>
      </c>
      <c r="L842" s="8" t="str">
        <f aca="false">IF($J842=0,"",INDEX(ROTACAO_RDM!$G$6:$G$71,$J842))</f>
        <v/>
      </c>
      <c r="M842" s="17" t="str">
        <f aca="false">IF($J842=0,"",INDEX(ROTACAO_RDM!$I$6:$I$71,$J842))</f>
        <v/>
      </c>
      <c r="N842" s="16" t="n">
        <f aca="false">IF($J842=0,0,MAX(0,$C842+INT(DIAS_POR_SEMANA/2)-INDEX(ROTACAO_RDM!$I$6:$I$71,$J842)))</f>
        <v>0</v>
      </c>
      <c r="O842" s="19" t="n">
        <f aca="false">IF($J842=0,0,MIN(1,$N842/MAX(1,INDEX(ROTACAO_RDM!$K$6:$K$71,$J842))))</f>
        <v>0</v>
      </c>
      <c r="P842" s="16" t="n">
        <f aca="false">IF($J842=0,0,IFERROR(MATCH(INDEX(ROTACAO_RDM!$N$6:$N$71,$J842),PARAMETROS_CULTURAS!$B$6:$B$28,0),0))</f>
        <v>0</v>
      </c>
      <c r="Q842" s="8" t="str">
        <f aca="false">IF($P842=0,"-",IF($O842&lt;=INDEX(PARAMETROS_CULTURAS!$F$6:$F$28,$P842),"INICIAL",IF($O842&lt;=INDEX(PARAMETROS_CULTURAS!$F$6:$F$28,$P842)+INDEX(PARAMETROS_CULTURAS!$G$6:$G$28,$P842),"DESENVOLVIMENTO",IF($O842&lt;=INDEX(PARAMETROS_CULTURAS!$F$6:$F$28,$P842)+INDEX(PARAMETROS_CULTURAS!$G$6:$G$28,$P842)+INDEX(PARAMETROS_CULTURAS!$H$6:$H$28,$P842),"MEDIA","FINAL"))))</f>
        <v>-</v>
      </c>
      <c r="R842" s="24" t="n">
        <f aca="false">IF($P842=0,0,IF($O842&lt;=INDEX(PARAMETROS_CULTURAS!$F$6:$F$28,$P842),INDEX(PARAMETROS_CULTURAS!$K$6:$K$28,$P842),IF($O842&lt;=INDEX(PARAMETROS_CULTURAS!$F$6:$F$28,$P842)+INDEX(PARAMETROS_CULTURAS!$G$6:$G$28,$P842),INDEX(PARAMETROS_CULTURAS!$K$6:$K$28,$P842)+(INDEX(PARAMETROS_CULTURAS!$L$6:$L$28,$P842)-INDEX(PARAMETROS_CULTURAS!$K$6:$K$28,$P842))*($O842-INDEX(PARAMETROS_CULTURAS!$F$6:$F$28,$P842))/MAX(INDEX(PARAMETROS_CULTURAS!$G$6:$G$28,$P842),0.0001),IF($O842&lt;=INDEX(PARAMETROS_CULTURAS!$F$6:$F$28,$P842)+INDEX(PARAMETROS_CULTURAS!$G$6:$G$28,$P842)+INDEX(PARAMETROS_CULTURAS!$H$6:$H$28,$P842),INDEX(PARAMETROS_CULTURAS!$L$6:$L$28,$P842),INDEX(PARAMETROS_CULTURAS!$L$6:$L$28,$P842)+(INDEX(PARAMETROS_CULTURAS!$M$6:$M$28,$P842)-INDEX(PARAMETROS_CULTURAS!$L$6:$L$28,$P842))*($O842-INDEX(PARAMETROS_CULTURAS!$F$6:$F$28,$P842)-INDEX(PARAMETROS_CULTURAS!$G$6:$G$28,$P842)-INDEX(PARAMETROS_CULTURAS!$H$6:$H$28,$P842))/MAX(INDEX(PARAMETROS_CULTURAS!$I$6:$I$28,$P842),0.0001)))))</f>
        <v>0</v>
      </c>
      <c r="S842" s="18" t="n">
        <f aca="false">IFERROR(INDEX(SEMANAS!$H$6:$H$71,MATCH($B842,SEMANAS!$B$6:$B$71,0)),0)</f>
        <v>30.1</v>
      </c>
      <c r="T842" s="18" t="n">
        <f aca="false">$R842*$S842</f>
        <v>0</v>
      </c>
      <c r="U842" s="18" t="n">
        <f aca="false">IFERROR(INDEX(SEMANAS!$I$6:$I$71,MATCH($B842,SEMANAS!$B$6:$B$71,0)),0)</f>
        <v>0.7</v>
      </c>
      <c r="V842" s="18" t="n">
        <f aca="false">IFERROR(INDEX(SEMANAS!$J$6:$J$71,MATCH($B842,SEMANAS!$B$6:$B$71,0)),0)</f>
        <v>0.56</v>
      </c>
      <c r="W842" s="18" t="n">
        <f aca="false">MAX(0,$T842-$V842)</f>
        <v>0</v>
      </c>
      <c r="X842" s="19" t="n">
        <f aca="false">IFERROR(INDEX(CADASTRO_PIVOS!$K$6:$K$41,MATCH($E842,CADASTRO_PIVOS!$B$6:$B$41,0)),EFICIENCIA_PADRAO)</f>
        <v>0.85</v>
      </c>
      <c r="Y842" s="18" t="n">
        <f aca="false">IF($X842&lt;=0,0,$W842/$X842)</f>
        <v>0</v>
      </c>
      <c r="Z842" s="16" t="n">
        <f aca="false">$Y842*$H842*MM_PARA_M3_HA</f>
        <v>0</v>
      </c>
      <c r="AA842" s="18" t="n">
        <f aca="false">IFERROR(INDEX(CADASTRO_PIVOS!$I$6:$I$41,MATCH($E842,CADASTRO_PIVOS!$B$6:$B$41,0)),0)</f>
        <v>857</v>
      </c>
      <c r="AB842" s="18" t="n">
        <f aca="false">IF($Z842&lt;=0,0,$Z842/$AA842)</f>
        <v>0</v>
      </c>
      <c r="AC842" s="16" t="n">
        <f aca="false">IFERROR(INDEX(SEMANAS!$K$6:$K$71,MATCH($B842,SEMANAS!$B$6:$B$71,0)),0)</f>
        <v>147</v>
      </c>
      <c r="AD842" s="19" t="n">
        <f aca="false">IF($AC842&lt;=0,0,$AB842/$AC842)</f>
        <v>0</v>
      </c>
      <c r="AE842" s="8" t="str">
        <f aca="false">IF($K842="SEM CULTURA","SEM CULTURA",IF($AA842&lt;=0,"DADO PENDENTE",IF($AD842&gt;LIMITE_CRITICO,"INVIAVEL",IF($AD842&gt;LIMITE_ATENCAO,"CRITICO",IF($AD842&gt;LIMITE_CONFORTAVEL,"ATENCAO","OK")))))</f>
        <v>SEM CULTURA</v>
      </c>
      <c r="AF842" s="8" t="str">
        <f aca="false">$B842&amp;"|"&amp;TEXT($AD842,"0.000000")</f>
        <v>45|0.000000</v>
      </c>
      <c r="AG842" s="18" t="n">
        <f aca="false">IF($K842="SEM CULTURA",0,$T842*$H842)</f>
        <v>0</v>
      </c>
      <c r="AH842" s="18" t="n">
        <f aca="false">IF($K842="SEM CULTURA",0,$V842*$H842)</f>
        <v>0</v>
      </c>
      <c r="AI842" s="18" t="n">
        <f aca="false">IF($K842="SEM CULTURA",0,$W842*$H842)</f>
        <v>0</v>
      </c>
      <c r="AJ842" s="18" t="n">
        <f aca="false">IF($K842="SEM CULTURA",0,$S842*$H842)</f>
        <v>0</v>
      </c>
      <c r="AK842" s="8" t="str">
        <f aca="false">$E842&amp;"|"&amp;TEXT($AD842,"0.000000")</f>
        <v>PV 114|0.000000</v>
      </c>
    </row>
    <row r="843" customFormat="false" ht="15" hidden="false" customHeight="false" outlineLevel="0" collapsed="false">
      <c r="B843" s="16" t="n">
        <v>46</v>
      </c>
      <c r="C843" s="17" t="n">
        <f aca="false">DATA_INICIO_SAFRA+($B843-1)*DIAS_POR_SEMANA</f>
        <v>46580</v>
      </c>
      <c r="D843" s="17" t="n">
        <f aca="false">$C843+DIAS_POR_SEMANA-1</f>
        <v>46586</v>
      </c>
      <c r="E843" s="15" t="s">
        <v>271</v>
      </c>
      <c r="F843" s="8" t="str">
        <f aca="false">IFERROR(INDEX(CADASTRO_PIVOS!$C$6:$C$41,MATCH($E843,CADASTRO_PIVOS!$B$6:$B$41,0)),"?")</f>
        <v>RM05</v>
      </c>
      <c r="G843" s="8" t="str">
        <f aca="false">IFERROR(INDEX(CADASTRO_PIVOS!$D$6:$D$41,MATCH($E843,CADASTRO_PIVOS!$B$6:$B$41,0)),"?")</f>
        <v>TR05</v>
      </c>
      <c r="H843" s="20" t="n">
        <f aca="false">IFERROR(INDEX(CADASTRO_PIVOS!$E$6:$E$41,MATCH($E843,CADASTRO_PIVOS!$B$6:$B$41,0)),0)</f>
        <v>119.98</v>
      </c>
      <c r="I843" s="16" t="n">
        <f aca="false">IFERROR(SUMIFS(ROTACAO_RDM!$B$6:$B$71,ROTACAO_RDM!$D$6:$D$71,$E843,ROTACAO_RDM!$I$6:$I$71,"&lt;="&amp;$C843+INT(DIAS_POR_SEMANA/2),ROTACAO_RDM!$J$6:$J$71,"&gt;="&amp;$C843+INT(DIAS_POR_SEMANA/2)),0)</f>
        <v>0</v>
      </c>
      <c r="J843" s="16" t="n">
        <f aca="false">IFERROR(MATCH($I843,ROTACAO_RDM!$B$6:$B$71,0),0)</f>
        <v>0</v>
      </c>
      <c r="K843" s="8" t="str">
        <f aca="false">IF($J843=0,"SEM CULTURA",INDEX(ROTACAO_RDM!$F$6:$F$71,$J843))</f>
        <v>SEM CULTURA</v>
      </c>
      <c r="L843" s="8" t="str">
        <f aca="false">IF($J843=0,"",INDEX(ROTACAO_RDM!$G$6:$G$71,$J843))</f>
        <v/>
      </c>
      <c r="M843" s="17" t="str">
        <f aca="false">IF($J843=0,"",INDEX(ROTACAO_RDM!$I$6:$I$71,$J843))</f>
        <v/>
      </c>
      <c r="N843" s="16" t="n">
        <f aca="false">IF($J843=0,0,MAX(0,$C843+INT(DIAS_POR_SEMANA/2)-INDEX(ROTACAO_RDM!$I$6:$I$71,$J843)))</f>
        <v>0</v>
      </c>
      <c r="O843" s="19" t="n">
        <f aca="false">IF($J843=0,0,MIN(1,$N843/MAX(1,INDEX(ROTACAO_RDM!$K$6:$K$71,$J843))))</f>
        <v>0</v>
      </c>
      <c r="P843" s="16" t="n">
        <f aca="false">IF($J843=0,0,IFERROR(MATCH(INDEX(ROTACAO_RDM!$N$6:$N$71,$J843),PARAMETROS_CULTURAS!$B$6:$B$28,0),0))</f>
        <v>0</v>
      </c>
      <c r="Q843" s="8" t="str">
        <f aca="false">IF($P843=0,"-",IF($O843&lt;=INDEX(PARAMETROS_CULTURAS!$F$6:$F$28,$P843),"INICIAL",IF($O843&lt;=INDEX(PARAMETROS_CULTURAS!$F$6:$F$28,$P843)+INDEX(PARAMETROS_CULTURAS!$G$6:$G$28,$P843),"DESENVOLVIMENTO",IF($O843&lt;=INDEX(PARAMETROS_CULTURAS!$F$6:$F$28,$P843)+INDEX(PARAMETROS_CULTURAS!$G$6:$G$28,$P843)+INDEX(PARAMETROS_CULTURAS!$H$6:$H$28,$P843),"MEDIA","FINAL"))))</f>
        <v>-</v>
      </c>
      <c r="R843" s="24" t="n">
        <f aca="false">IF($P843=0,0,IF($O843&lt;=INDEX(PARAMETROS_CULTURAS!$F$6:$F$28,$P843),INDEX(PARAMETROS_CULTURAS!$K$6:$K$28,$P843),IF($O843&lt;=INDEX(PARAMETROS_CULTURAS!$F$6:$F$28,$P843)+INDEX(PARAMETROS_CULTURAS!$G$6:$G$28,$P843),INDEX(PARAMETROS_CULTURAS!$K$6:$K$28,$P843)+(INDEX(PARAMETROS_CULTURAS!$L$6:$L$28,$P843)-INDEX(PARAMETROS_CULTURAS!$K$6:$K$28,$P843))*($O843-INDEX(PARAMETROS_CULTURAS!$F$6:$F$28,$P843))/MAX(INDEX(PARAMETROS_CULTURAS!$G$6:$G$28,$P843),0.0001),IF($O843&lt;=INDEX(PARAMETROS_CULTURAS!$F$6:$F$28,$P843)+INDEX(PARAMETROS_CULTURAS!$G$6:$G$28,$P843)+INDEX(PARAMETROS_CULTURAS!$H$6:$H$28,$P843),INDEX(PARAMETROS_CULTURAS!$L$6:$L$28,$P843),INDEX(PARAMETROS_CULTURAS!$L$6:$L$28,$P843)+(INDEX(PARAMETROS_CULTURAS!$M$6:$M$28,$P843)-INDEX(PARAMETROS_CULTURAS!$L$6:$L$28,$P843))*($O843-INDEX(PARAMETROS_CULTURAS!$F$6:$F$28,$P843)-INDEX(PARAMETROS_CULTURAS!$G$6:$G$28,$P843)-INDEX(PARAMETROS_CULTURAS!$H$6:$H$28,$P843))/MAX(INDEX(PARAMETROS_CULTURAS!$I$6:$I$28,$P843),0.0001)))))</f>
        <v>0</v>
      </c>
      <c r="S843" s="18" t="n">
        <f aca="false">IFERROR(INDEX(SEMANAS!$H$6:$H$71,MATCH($B843,SEMANAS!$B$6:$B$71,0)),0)</f>
        <v>30.1</v>
      </c>
      <c r="T843" s="18" t="n">
        <f aca="false">$R843*$S843</f>
        <v>0</v>
      </c>
      <c r="U843" s="18" t="n">
        <f aca="false">IFERROR(INDEX(SEMANAS!$I$6:$I$71,MATCH($B843,SEMANAS!$B$6:$B$71,0)),0)</f>
        <v>0.7</v>
      </c>
      <c r="V843" s="18" t="n">
        <f aca="false">IFERROR(INDEX(SEMANAS!$J$6:$J$71,MATCH($B843,SEMANAS!$B$6:$B$71,0)),0)</f>
        <v>0.56</v>
      </c>
      <c r="W843" s="18" t="n">
        <f aca="false">MAX(0,$T843-$V843)</f>
        <v>0</v>
      </c>
      <c r="X843" s="19" t="n">
        <f aca="false">IFERROR(INDEX(CADASTRO_PIVOS!$K$6:$K$41,MATCH($E843,CADASTRO_PIVOS!$B$6:$B$41,0)),EFICIENCIA_PADRAO)</f>
        <v>0.85</v>
      </c>
      <c r="Y843" s="18" t="n">
        <f aca="false">IF($X843&lt;=0,0,$W843/$X843)</f>
        <v>0</v>
      </c>
      <c r="Z843" s="16" t="n">
        <f aca="false">$Y843*$H843*MM_PARA_M3_HA</f>
        <v>0</v>
      </c>
      <c r="AA843" s="18" t="n">
        <f aca="false">IFERROR(INDEX(CADASTRO_PIVOS!$I$6:$I$41,MATCH($E843,CADASTRO_PIVOS!$B$6:$B$41,0)),0)</f>
        <v>857</v>
      </c>
      <c r="AB843" s="18" t="n">
        <f aca="false">IF($Z843&lt;=0,0,$Z843/$AA843)</f>
        <v>0</v>
      </c>
      <c r="AC843" s="16" t="n">
        <f aca="false">IFERROR(INDEX(SEMANAS!$K$6:$K$71,MATCH($B843,SEMANAS!$B$6:$B$71,0)),0)</f>
        <v>147</v>
      </c>
      <c r="AD843" s="19" t="n">
        <f aca="false">IF($AC843&lt;=0,0,$AB843/$AC843)</f>
        <v>0</v>
      </c>
      <c r="AE843" s="8" t="str">
        <f aca="false">IF($K843="SEM CULTURA","SEM CULTURA",IF($AA843&lt;=0,"DADO PENDENTE",IF($AD843&gt;LIMITE_CRITICO,"INVIAVEL",IF($AD843&gt;LIMITE_ATENCAO,"CRITICO",IF($AD843&gt;LIMITE_CONFORTAVEL,"ATENCAO","OK")))))</f>
        <v>SEM CULTURA</v>
      </c>
      <c r="AF843" s="8" t="str">
        <f aca="false">$B843&amp;"|"&amp;TEXT($AD843,"0.000000")</f>
        <v>46|0.000000</v>
      </c>
      <c r="AG843" s="18" t="n">
        <f aca="false">IF($K843="SEM CULTURA",0,$T843*$H843)</f>
        <v>0</v>
      </c>
      <c r="AH843" s="18" t="n">
        <f aca="false">IF($K843="SEM CULTURA",0,$V843*$H843)</f>
        <v>0</v>
      </c>
      <c r="AI843" s="18" t="n">
        <f aca="false">IF($K843="SEM CULTURA",0,$W843*$H843)</f>
        <v>0</v>
      </c>
      <c r="AJ843" s="18" t="n">
        <f aca="false">IF($K843="SEM CULTURA",0,$S843*$H843)</f>
        <v>0</v>
      </c>
      <c r="AK843" s="8" t="str">
        <f aca="false">$E843&amp;"|"&amp;TEXT($AD843,"0.000000")</f>
        <v>PV 114|0.000000</v>
      </c>
    </row>
    <row r="844" customFormat="false" ht="15" hidden="false" customHeight="false" outlineLevel="0" collapsed="false">
      <c r="B844" s="16" t="n">
        <v>47</v>
      </c>
      <c r="C844" s="17" t="n">
        <f aca="false">DATA_INICIO_SAFRA+($B844-1)*DIAS_POR_SEMANA</f>
        <v>46587</v>
      </c>
      <c r="D844" s="17" t="n">
        <f aca="false">$C844+DIAS_POR_SEMANA-1</f>
        <v>46593</v>
      </c>
      <c r="E844" s="15" t="s">
        <v>271</v>
      </c>
      <c r="F844" s="8" t="str">
        <f aca="false">IFERROR(INDEX(CADASTRO_PIVOS!$C$6:$C$41,MATCH($E844,CADASTRO_PIVOS!$B$6:$B$41,0)),"?")</f>
        <v>RM05</v>
      </c>
      <c r="G844" s="8" t="str">
        <f aca="false">IFERROR(INDEX(CADASTRO_PIVOS!$D$6:$D$41,MATCH($E844,CADASTRO_PIVOS!$B$6:$B$41,0)),"?")</f>
        <v>TR05</v>
      </c>
      <c r="H844" s="20" t="n">
        <f aca="false">IFERROR(INDEX(CADASTRO_PIVOS!$E$6:$E$41,MATCH($E844,CADASTRO_PIVOS!$B$6:$B$41,0)),0)</f>
        <v>119.98</v>
      </c>
      <c r="I844" s="16" t="n">
        <f aca="false">IFERROR(SUMIFS(ROTACAO_RDM!$B$6:$B$71,ROTACAO_RDM!$D$6:$D$71,$E844,ROTACAO_RDM!$I$6:$I$71,"&lt;="&amp;$C844+INT(DIAS_POR_SEMANA/2),ROTACAO_RDM!$J$6:$J$71,"&gt;="&amp;$C844+INT(DIAS_POR_SEMANA/2)),0)</f>
        <v>0</v>
      </c>
      <c r="J844" s="16" t="n">
        <f aca="false">IFERROR(MATCH($I844,ROTACAO_RDM!$B$6:$B$71,0),0)</f>
        <v>0</v>
      </c>
      <c r="K844" s="8" t="str">
        <f aca="false">IF($J844=0,"SEM CULTURA",INDEX(ROTACAO_RDM!$F$6:$F$71,$J844))</f>
        <v>SEM CULTURA</v>
      </c>
      <c r="L844" s="8" t="str">
        <f aca="false">IF($J844=0,"",INDEX(ROTACAO_RDM!$G$6:$G$71,$J844))</f>
        <v/>
      </c>
      <c r="M844" s="17" t="str">
        <f aca="false">IF($J844=0,"",INDEX(ROTACAO_RDM!$I$6:$I$71,$J844))</f>
        <v/>
      </c>
      <c r="N844" s="16" t="n">
        <f aca="false">IF($J844=0,0,MAX(0,$C844+INT(DIAS_POR_SEMANA/2)-INDEX(ROTACAO_RDM!$I$6:$I$71,$J844)))</f>
        <v>0</v>
      </c>
      <c r="O844" s="19" t="n">
        <f aca="false">IF($J844=0,0,MIN(1,$N844/MAX(1,INDEX(ROTACAO_RDM!$K$6:$K$71,$J844))))</f>
        <v>0</v>
      </c>
      <c r="P844" s="16" t="n">
        <f aca="false">IF($J844=0,0,IFERROR(MATCH(INDEX(ROTACAO_RDM!$N$6:$N$71,$J844),PARAMETROS_CULTURAS!$B$6:$B$28,0),0))</f>
        <v>0</v>
      </c>
      <c r="Q844" s="8" t="str">
        <f aca="false">IF($P844=0,"-",IF($O844&lt;=INDEX(PARAMETROS_CULTURAS!$F$6:$F$28,$P844),"INICIAL",IF($O844&lt;=INDEX(PARAMETROS_CULTURAS!$F$6:$F$28,$P844)+INDEX(PARAMETROS_CULTURAS!$G$6:$G$28,$P844),"DESENVOLVIMENTO",IF($O844&lt;=INDEX(PARAMETROS_CULTURAS!$F$6:$F$28,$P844)+INDEX(PARAMETROS_CULTURAS!$G$6:$G$28,$P844)+INDEX(PARAMETROS_CULTURAS!$H$6:$H$28,$P844),"MEDIA","FINAL"))))</f>
        <v>-</v>
      </c>
      <c r="R844" s="24" t="n">
        <f aca="false">IF($P844=0,0,IF($O844&lt;=INDEX(PARAMETROS_CULTURAS!$F$6:$F$28,$P844),INDEX(PARAMETROS_CULTURAS!$K$6:$K$28,$P844),IF($O844&lt;=INDEX(PARAMETROS_CULTURAS!$F$6:$F$28,$P844)+INDEX(PARAMETROS_CULTURAS!$G$6:$G$28,$P844),INDEX(PARAMETROS_CULTURAS!$K$6:$K$28,$P844)+(INDEX(PARAMETROS_CULTURAS!$L$6:$L$28,$P844)-INDEX(PARAMETROS_CULTURAS!$K$6:$K$28,$P844))*($O844-INDEX(PARAMETROS_CULTURAS!$F$6:$F$28,$P844))/MAX(INDEX(PARAMETROS_CULTURAS!$G$6:$G$28,$P844),0.0001),IF($O844&lt;=INDEX(PARAMETROS_CULTURAS!$F$6:$F$28,$P844)+INDEX(PARAMETROS_CULTURAS!$G$6:$G$28,$P844)+INDEX(PARAMETROS_CULTURAS!$H$6:$H$28,$P844),INDEX(PARAMETROS_CULTURAS!$L$6:$L$28,$P844),INDEX(PARAMETROS_CULTURAS!$L$6:$L$28,$P844)+(INDEX(PARAMETROS_CULTURAS!$M$6:$M$28,$P844)-INDEX(PARAMETROS_CULTURAS!$L$6:$L$28,$P844))*($O844-INDEX(PARAMETROS_CULTURAS!$F$6:$F$28,$P844)-INDEX(PARAMETROS_CULTURAS!$G$6:$G$28,$P844)-INDEX(PARAMETROS_CULTURAS!$H$6:$H$28,$P844))/MAX(INDEX(PARAMETROS_CULTURAS!$I$6:$I$28,$P844),0.0001)))))</f>
        <v>0</v>
      </c>
      <c r="S844" s="18" t="n">
        <f aca="false">IFERROR(INDEX(SEMANAS!$H$6:$H$71,MATCH($B844,SEMANAS!$B$6:$B$71,0)),0)</f>
        <v>30.1</v>
      </c>
      <c r="T844" s="18" t="n">
        <f aca="false">$R844*$S844</f>
        <v>0</v>
      </c>
      <c r="U844" s="18" t="n">
        <f aca="false">IFERROR(INDEX(SEMANAS!$I$6:$I$71,MATCH($B844,SEMANAS!$B$6:$B$71,0)),0)</f>
        <v>0.7</v>
      </c>
      <c r="V844" s="18" t="n">
        <f aca="false">IFERROR(INDEX(SEMANAS!$J$6:$J$71,MATCH($B844,SEMANAS!$B$6:$B$71,0)),0)</f>
        <v>0.56</v>
      </c>
      <c r="W844" s="18" t="n">
        <f aca="false">MAX(0,$T844-$V844)</f>
        <v>0</v>
      </c>
      <c r="X844" s="19" t="n">
        <f aca="false">IFERROR(INDEX(CADASTRO_PIVOS!$K$6:$K$41,MATCH($E844,CADASTRO_PIVOS!$B$6:$B$41,0)),EFICIENCIA_PADRAO)</f>
        <v>0.85</v>
      </c>
      <c r="Y844" s="18" t="n">
        <f aca="false">IF($X844&lt;=0,0,$W844/$X844)</f>
        <v>0</v>
      </c>
      <c r="Z844" s="16" t="n">
        <f aca="false">$Y844*$H844*MM_PARA_M3_HA</f>
        <v>0</v>
      </c>
      <c r="AA844" s="18" t="n">
        <f aca="false">IFERROR(INDEX(CADASTRO_PIVOS!$I$6:$I$41,MATCH($E844,CADASTRO_PIVOS!$B$6:$B$41,0)),0)</f>
        <v>857</v>
      </c>
      <c r="AB844" s="18" t="n">
        <f aca="false">IF($Z844&lt;=0,0,$Z844/$AA844)</f>
        <v>0</v>
      </c>
      <c r="AC844" s="16" t="n">
        <f aca="false">IFERROR(INDEX(SEMANAS!$K$6:$K$71,MATCH($B844,SEMANAS!$B$6:$B$71,0)),0)</f>
        <v>147</v>
      </c>
      <c r="AD844" s="19" t="n">
        <f aca="false">IF($AC844&lt;=0,0,$AB844/$AC844)</f>
        <v>0</v>
      </c>
      <c r="AE844" s="8" t="str">
        <f aca="false">IF($K844="SEM CULTURA","SEM CULTURA",IF($AA844&lt;=0,"DADO PENDENTE",IF($AD844&gt;LIMITE_CRITICO,"INVIAVEL",IF($AD844&gt;LIMITE_ATENCAO,"CRITICO",IF($AD844&gt;LIMITE_CONFORTAVEL,"ATENCAO","OK")))))</f>
        <v>SEM CULTURA</v>
      </c>
      <c r="AF844" s="8" t="str">
        <f aca="false">$B844&amp;"|"&amp;TEXT($AD844,"0.000000")</f>
        <v>47|0.000000</v>
      </c>
      <c r="AG844" s="18" t="n">
        <f aca="false">IF($K844="SEM CULTURA",0,$T844*$H844)</f>
        <v>0</v>
      </c>
      <c r="AH844" s="18" t="n">
        <f aca="false">IF($K844="SEM CULTURA",0,$V844*$H844)</f>
        <v>0</v>
      </c>
      <c r="AI844" s="18" t="n">
        <f aca="false">IF($K844="SEM CULTURA",0,$W844*$H844)</f>
        <v>0</v>
      </c>
      <c r="AJ844" s="18" t="n">
        <f aca="false">IF($K844="SEM CULTURA",0,$S844*$H844)</f>
        <v>0</v>
      </c>
      <c r="AK844" s="8" t="str">
        <f aca="false">$E844&amp;"|"&amp;TEXT($AD844,"0.000000")</f>
        <v>PV 114|0.000000</v>
      </c>
    </row>
    <row r="845" customFormat="false" ht="15" hidden="false" customHeight="false" outlineLevel="0" collapsed="false">
      <c r="B845" s="16" t="n">
        <v>48</v>
      </c>
      <c r="C845" s="17" t="n">
        <f aca="false">DATA_INICIO_SAFRA+($B845-1)*DIAS_POR_SEMANA</f>
        <v>46594</v>
      </c>
      <c r="D845" s="17" t="n">
        <f aca="false">$C845+DIAS_POR_SEMANA-1</f>
        <v>46600</v>
      </c>
      <c r="E845" s="15" t="s">
        <v>271</v>
      </c>
      <c r="F845" s="8" t="str">
        <f aca="false">IFERROR(INDEX(CADASTRO_PIVOS!$C$6:$C$41,MATCH($E845,CADASTRO_PIVOS!$B$6:$B$41,0)),"?")</f>
        <v>RM05</v>
      </c>
      <c r="G845" s="8" t="str">
        <f aca="false">IFERROR(INDEX(CADASTRO_PIVOS!$D$6:$D$41,MATCH($E845,CADASTRO_PIVOS!$B$6:$B$41,0)),"?")</f>
        <v>TR05</v>
      </c>
      <c r="H845" s="20" t="n">
        <f aca="false">IFERROR(INDEX(CADASTRO_PIVOS!$E$6:$E$41,MATCH($E845,CADASTRO_PIVOS!$B$6:$B$41,0)),0)</f>
        <v>119.98</v>
      </c>
      <c r="I845" s="16" t="n">
        <f aca="false">IFERROR(SUMIFS(ROTACAO_RDM!$B$6:$B$71,ROTACAO_RDM!$D$6:$D$71,$E845,ROTACAO_RDM!$I$6:$I$71,"&lt;="&amp;$C845+INT(DIAS_POR_SEMANA/2),ROTACAO_RDM!$J$6:$J$71,"&gt;="&amp;$C845+INT(DIAS_POR_SEMANA/2)),0)</f>
        <v>0</v>
      </c>
      <c r="J845" s="16" t="n">
        <f aca="false">IFERROR(MATCH($I845,ROTACAO_RDM!$B$6:$B$71,0),0)</f>
        <v>0</v>
      </c>
      <c r="K845" s="8" t="str">
        <f aca="false">IF($J845=0,"SEM CULTURA",INDEX(ROTACAO_RDM!$F$6:$F$71,$J845))</f>
        <v>SEM CULTURA</v>
      </c>
      <c r="L845" s="8" t="str">
        <f aca="false">IF($J845=0,"",INDEX(ROTACAO_RDM!$G$6:$G$71,$J845))</f>
        <v/>
      </c>
      <c r="M845" s="17" t="str">
        <f aca="false">IF($J845=0,"",INDEX(ROTACAO_RDM!$I$6:$I$71,$J845))</f>
        <v/>
      </c>
      <c r="N845" s="16" t="n">
        <f aca="false">IF($J845=0,0,MAX(0,$C845+INT(DIAS_POR_SEMANA/2)-INDEX(ROTACAO_RDM!$I$6:$I$71,$J845)))</f>
        <v>0</v>
      </c>
      <c r="O845" s="19" t="n">
        <f aca="false">IF($J845=0,0,MIN(1,$N845/MAX(1,INDEX(ROTACAO_RDM!$K$6:$K$71,$J845))))</f>
        <v>0</v>
      </c>
      <c r="P845" s="16" t="n">
        <f aca="false">IF($J845=0,0,IFERROR(MATCH(INDEX(ROTACAO_RDM!$N$6:$N$71,$J845),PARAMETROS_CULTURAS!$B$6:$B$28,0),0))</f>
        <v>0</v>
      </c>
      <c r="Q845" s="8" t="str">
        <f aca="false">IF($P845=0,"-",IF($O845&lt;=INDEX(PARAMETROS_CULTURAS!$F$6:$F$28,$P845),"INICIAL",IF($O845&lt;=INDEX(PARAMETROS_CULTURAS!$F$6:$F$28,$P845)+INDEX(PARAMETROS_CULTURAS!$G$6:$G$28,$P845),"DESENVOLVIMENTO",IF($O845&lt;=INDEX(PARAMETROS_CULTURAS!$F$6:$F$28,$P845)+INDEX(PARAMETROS_CULTURAS!$G$6:$G$28,$P845)+INDEX(PARAMETROS_CULTURAS!$H$6:$H$28,$P845),"MEDIA","FINAL"))))</f>
        <v>-</v>
      </c>
      <c r="R845" s="24" t="n">
        <f aca="false">IF($P845=0,0,IF($O845&lt;=INDEX(PARAMETROS_CULTURAS!$F$6:$F$28,$P845),INDEX(PARAMETROS_CULTURAS!$K$6:$K$28,$P845),IF($O845&lt;=INDEX(PARAMETROS_CULTURAS!$F$6:$F$28,$P845)+INDEX(PARAMETROS_CULTURAS!$G$6:$G$28,$P845),INDEX(PARAMETROS_CULTURAS!$K$6:$K$28,$P845)+(INDEX(PARAMETROS_CULTURAS!$L$6:$L$28,$P845)-INDEX(PARAMETROS_CULTURAS!$K$6:$K$28,$P845))*($O845-INDEX(PARAMETROS_CULTURAS!$F$6:$F$28,$P845))/MAX(INDEX(PARAMETROS_CULTURAS!$G$6:$G$28,$P845),0.0001),IF($O845&lt;=INDEX(PARAMETROS_CULTURAS!$F$6:$F$28,$P845)+INDEX(PARAMETROS_CULTURAS!$G$6:$G$28,$P845)+INDEX(PARAMETROS_CULTURAS!$H$6:$H$28,$P845),INDEX(PARAMETROS_CULTURAS!$L$6:$L$28,$P845),INDEX(PARAMETROS_CULTURAS!$L$6:$L$28,$P845)+(INDEX(PARAMETROS_CULTURAS!$M$6:$M$28,$P845)-INDEX(PARAMETROS_CULTURAS!$L$6:$L$28,$P845))*($O845-INDEX(PARAMETROS_CULTURAS!$F$6:$F$28,$P845)-INDEX(PARAMETROS_CULTURAS!$G$6:$G$28,$P845)-INDEX(PARAMETROS_CULTURAS!$H$6:$H$28,$P845))/MAX(INDEX(PARAMETROS_CULTURAS!$I$6:$I$28,$P845),0.0001)))))</f>
        <v>0</v>
      </c>
      <c r="S845" s="18" t="n">
        <f aca="false">IFERROR(INDEX(SEMANAS!$H$6:$H$71,MATCH($B845,SEMANAS!$B$6:$B$71,0)),0)</f>
        <v>31</v>
      </c>
      <c r="T845" s="18" t="n">
        <f aca="false">$R845*$S845</f>
        <v>0</v>
      </c>
      <c r="U845" s="18" t="n">
        <f aca="false">IFERROR(INDEX(SEMANAS!$I$6:$I$71,MATCH($B845,SEMANAS!$B$6:$B$71,0)),0)</f>
        <v>0.76</v>
      </c>
      <c r="V845" s="18" t="n">
        <f aca="false">IFERROR(INDEX(SEMANAS!$J$6:$J$71,MATCH($B845,SEMANAS!$B$6:$B$71,0)),0)</f>
        <v>0.608</v>
      </c>
      <c r="W845" s="18" t="n">
        <f aca="false">MAX(0,$T845-$V845)</f>
        <v>0</v>
      </c>
      <c r="X845" s="19" t="n">
        <f aca="false">IFERROR(INDEX(CADASTRO_PIVOS!$K$6:$K$41,MATCH($E845,CADASTRO_PIVOS!$B$6:$B$41,0)),EFICIENCIA_PADRAO)</f>
        <v>0.85</v>
      </c>
      <c r="Y845" s="18" t="n">
        <f aca="false">IF($X845&lt;=0,0,$W845/$X845)</f>
        <v>0</v>
      </c>
      <c r="Z845" s="16" t="n">
        <f aca="false">$Y845*$H845*MM_PARA_M3_HA</f>
        <v>0</v>
      </c>
      <c r="AA845" s="18" t="n">
        <f aca="false">IFERROR(INDEX(CADASTRO_PIVOS!$I$6:$I$41,MATCH($E845,CADASTRO_PIVOS!$B$6:$B$41,0)),0)</f>
        <v>857</v>
      </c>
      <c r="AB845" s="18" t="n">
        <f aca="false">IF($Z845&lt;=0,0,$Z845/$AA845)</f>
        <v>0</v>
      </c>
      <c r="AC845" s="16" t="n">
        <f aca="false">IFERROR(INDEX(SEMANAS!$K$6:$K$71,MATCH($B845,SEMANAS!$B$6:$B$71,0)),0)</f>
        <v>147</v>
      </c>
      <c r="AD845" s="19" t="n">
        <f aca="false">IF($AC845&lt;=0,0,$AB845/$AC845)</f>
        <v>0</v>
      </c>
      <c r="AE845" s="8" t="str">
        <f aca="false">IF($K845="SEM CULTURA","SEM CULTURA",IF($AA845&lt;=0,"DADO PENDENTE",IF($AD845&gt;LIMITE_CRITICO,"INVIAVEL",IF($AD845&gt;LIMITE_ATENCAO,"CRITICO",IF($AD845&gt;LIMITE_CONFORTAVEL,"ATENCAO","OK")))))</f>
        <v>SEM CULTURA</v>
      </c>
      <c r="AF845" s="8" t="str">
        <f aca="false">$B845&amp;"|"&amp;TEXT($AD845,"0.000000")</f>
        <v>48|0.000000</v>
      </c>
      <c r="AG845" s="18" t="n">
        <f aca="false">IF($K845="SEM CULTURA",0,$T845*$H845)</f>
        <v>0</v>
      </c>
      <c r="AH845" s="18" t="n">
        <f aca="false">IF($K845="SEM CULTURA",0,$V845*$H845)</f>
        <v>0</v>
      </c>
      <c r="AI845" s="18" t="n">
        <f aca="false">IF($K845="SEM CULTURA",0,$W845*$H845)</f>
        <v>0</v>
      </c>
      <c r="AJ845" s="18" t="n">
        <f aca="false">IF($K845="SEM CULTURA",0,$S845*$H845)</f>
        <v>0</v>
      </c>
      <c r="AK845" s="8" t="str">
        <f aca="false">$E845&amp;"|"&amp;TEXT($AD845,"0.000000")</f>
        <v>PV 114|0.000000</v>
      </c>
    </row>
    <row r="846" customFormat="false" ht="15" hidden="false" customHeight="false" outlineLevel="0" collapsed="false">
      <c r="B846" s="16" t="n">
        <v>49</v>
      </c>
      <c r="C846" s="17" t="n">
        <f aca="false">DATA_INICIO_SAFRA+($B846-1)*DIAS_POR_SEMANA</f>
        <v>46601</v>
      </c>
      <c r="D846" s="17" t="n">
        <f aca="false">$C846+DIAS_POR_SEMANA-1</f>
        <v>46607</v>
      </c>
      <c r="E846" s="15" t="s">
        <v>271</v>
      </c>
      <c r="F846" s="8" t="str">
        <f aca="false">IFERROR(INDEX(CADASTRO_PIVOS!$C$6:$C$41,MATCH($E846,CADASTRO_PIVOS!$B$6:$B$41,0)),"?")</f>
        <v>RM05</v>
      </c>
      <c r="G846" s="8" t="str">
        <f aca="false">IFERROR(INDEX(CADASTRO_PIVOS!$D$6:$D$41,MATCH($E846,CADASTRO_PIVOS!$B$6:$B$41,0)),"?")</f>
        <v>TR05</v>
      </c>
      <c r="H846" s="20" t="n">
        <f aca="false">IFERROR(INDEX(CADASTRO_PIVOS!$E$6:$E$41,MATCH($E846,CADASTRO_PIVOS!$B$6:$B$41,0)),0)</f>
        <v>119.98</v>
      </c>
      <c r="I846" s="16" t="n">
        <f aca="false">IFERROR(SUMIFS(ROTACAO_RDM!$B$6:$B$71,ROTACAO_RDM!$D$6:$D$71,$E846,ROTACAO_RDM!$I$6:$I$71,"&lt;="&amp;$C846+INT(DIAS_POR_SEMANA/2),ROTACAO_RDM!$J$6:$J$71,"&gt;="&amp;$C846+INT(DIAS_POR_SEMANA/2)),0)</f>
        <v>0</v>
      </c>
      <c r="J846" s="16" t="n">
        <f aca="false">IFERROR(MATCH($I846,ROTACAO_RDM!$B$6:$B$71,0),0)</f>
        <v>0</v>
      </c>
      <c r="K846" s="8" t="str">
        <f aca="false">IF($J846=0,"SEM CULTURA",INDEX(ROTACAO_RDM!$F$6:$F$71,$J846))</f>
        <v>SEM CULTURA</v>
      </c>
      <c r="L846" s="8" t="str">
        <f aca="false">IF($J846=0,"",INDEX(ROTACAO_RDM!$G$6:$G$71,$J846))</f>
        <v/>
      </c>
      <c r="M846" s="17" t="str">
        <f aca="false">IF($J846=0,"",INDEX(ROTACAO_RDM!$I$6:$I$71,$J846))</f>
        <v/>
      </c>
      <c r="N846" s="16" t="n">
        <f aca="false">IF($J846=0,0,MAX(0,$C846+INT(DIAS_POR_SEMANA/2)-INDEX(ROTACAO_RDM!$I$6:$I$71,$J846)))</f>
        <v>0</v>
      </c>
      <c r="O846" s="19" t="n">
        <f aca="false">IF($J846=0,0,MIN(1,$N846/MAX(1,INDEX(ROTACAO_RDM!$K$6:$K$71,$J846))))</f>
        <v>0</v>
      </c>
      <c r="P846" s="16" t="n">
        <f aca="false">IF($J846=0,0,IFERROR(MATCH(INDEX(ROTACAO_RDM!$N$6:$N$71,$J846),PARAMETROS_CULTURAS!$B$6:$B$28,0),0))</f>
        <v>0</v>
      </c>
      <c r="Q846" s="8" t="str">
        <f aca="false">IF($P846=0,"-",IF($O846&lt;=INDEX(PARAMETROS_CULTURAS!$F$6:$F$28,$P846),"INICIAL",IF($O846&lt;=INDEX(PARAMETROS_CULTURAS!$F$6:$F$28,$P846)+INDEX(PARAMETROS_CULTURAS!$G$6:$G$28,$P846),"DESENVOLVIMENTO",IF($O846&lt;=INDEX(PARAMETROS_CULTURAS!$F$6:$F$28,$P846)+INDEX(PARAMETROS_CULTURAS!$G$6:$G$28,$P846)+INDEX(PARAMETROS_CULTURAS!$H$6:$H$28,$P846),"MEDIA","FINAL"))))</f>
        <v>-</v>
      </c>
      <c r="R846" s="24" t="n">
        <f aca="false">IF($P846=0,0,IF($O846&lt;=INDEX(PARAMETROS_CULTURAS!$F$6:$F$28,$P846),INDEX(PARAMETROS_CULTURAS!$K$6:$K$28,$P846),IF($O846&lt;=INDEX(PARAMETROS_CULTURAS!$F$6:$F$28,$P846)+INDEX(PARAMETROS_CULTURAS!$G$6:$G$28,$P846),INDEX(PARAMETROS_CULTURAS!$K$6:$K$28,$P846)+(INDEX(PARAMETROS_CULTURAS!$L$6:$L$28,$P846)-INDEX(PARAMETROS_CULTURAS!$K$6:$K$28,$P846))*($O846-INDEX(PARAMETROS_CULTURAS!$F$6:$F$28,$P846))/MAX(INDEX(PARAMETROS_CULTURAS!$G$6:$G$28,$P846),0.0001),IF($O846&lt;=INDEX(PARAMETROS_CULTURAS!$F$6:$F$28,$P846)+INDEX(PARAMETROS_CULTURAS!$G$6:$G$28,$P846)+INDEX(PARAMETROS_CULTURAS!$H$6:$H$28,$P846),INDEX(PARAMETROS_CULTURAS!$L$6:$L$28,$P846),INDEX(PARAMETROS_CULTURAS!$L$6:$L$28,$P846)+(INDEX(PARAMETROS_CULTURAS!$M$6:$M$28,$P846)-INDEX(PARAMETROS_CULTURAS!$L$6:$L$28,$P846))*($O846-INDEX(PARAMETROS_CULTURAS!$F$6:$F$28,$P846)-INDEX(PARAMETROS_CULTURAS!$G$6:$G$28,$P846)-INDEX(PARAMETROS_CULTURAS!$H$6:$H$28,$P846))/MAX(INDEX(PARAMETROS_CULTURAS!$I$6:$I$28,$P846),0.0001)))))</f>
        <v>0</v>
      </c>
      <c r="S846" s="18" t="n">
        <f aca="false">IFERROR(INDEX(SEMANAS!$H$6:$H$71,MATCH($B846,SEMANAS!$B$6:$B$71,0)),0)</f>
        <v>36.4</v>
      </c>
      <c r="T846" s="18" t="n">
        <f aca="false">$R846*$S846</f>
        <v>0</v>
      </c>
      <c r="U846" s="18" t="n">
        <f aca="false">IFERROR(INDEX(SEMANAS!$I$6:$I$71,MATCH($B846,SEMANAS!$B$6:$B$71,0)),0)</f>
        <v>1.12</v>
      </c>
      <c r="V846" s="18" t="n">
        <f aca="false">IFERROR(INDEX(SEMANAS!$J$6:$J$71,MATCH($B846,SEMANAS!$B$6:$B$71,0)),0)</f>
        <v>0.896</v>
      </c>
      <c r="W846" s="18" t="n">
        <f aca="false">MAX(0,$T846-$V846)</f>
        <v>0</v>
      </c>
      <c r="X846" s="19" t="n">
        <f aca="false">IFERROR(INDEX(CADASTRO_PIVOS!$K$6:$K$41,MATCH($E846,CADASTRO_PIVOS!$B$6:$B$41,0)),EFICIENCIA_PADRAO)</f>
        <v>0.85</v>
      </c>
      <c r="Y846" s="18" t="n">
        <f aca="false">IF($X846&lt;=0,0,$W846/$X846)</f>
        <v>0</v>
      </c>
      <c r="Z846" s="16" t="n">
        <f aca="false">$Y846*$H846*MM_PARA_M3_HA</f>
        <v>0</v>
      </c>
      <c r="AA846" s="18" t="n">
        <f aca="false">IFERROR(INDEX(CADASTRO_PIVOS!$I$6:$I$41,MATCH($E846,CADASTRO_PIVOS!$B$6:$B$41,0)),0)</f>
        <v>857</v>
      </c>
      <c r="AB846" s="18" t="n">
        <f aca="false">IF($Z846&lt;=0,0,$Z846/$AA846)</f>
        <v>0</v>
      </c>
      <c r="AC846" s="16" t="n">
        <f aca="false">IFERROR(INDEX(SEMANAS!$K$6:$K$71,MATCH($B846,SEMANAS!$B$6:$B$71,0)),0)</f>
        <v>147</v>
      </c>
      <c r="AD846" s="19" t="n">
        <f aca="false">IF($AC846&lt;=0,0,$AB846/$AC846)</f>
        <v>0</v>
      </c>
      <c r="AE846" s="8" t="str">
        <f aca="false">IF($K846="SEM CULTURA","SEM CULTURA",IF($AA846&lt;=0,"DADO PENDENTE",IF($AD846&gt;LIMITE_CRITICO,"INVIAVEL",IF($AD846&gt;LIMITE_ATENCAO,"CRITICO",IF($AD846&gt;LIMITE_CONFORTAVEL,"ATENCAO","OK")))))</f>
        <v>SEM CULTURA</v>
      </c>
      <c r="AF846" s="8" t="str">
        <f aca="false">$B846&amp;"|"&amp;TEXT($AD846,"0.000000")</f>
        <v>49|0.000000</v>
      </c>
      <c r="AG846" s="18" t="n">
        <f aca="false">IF($K846="SEM CULTURA",0,$T846*$H846)</f>
        <v>0</v>
      </c>
      <c r="AH846" s="18" t="n">
        <f aca="false">IF($K846="SEM CULTURA",0,$V846*$H846)</f>
        <v>0</v>
      </c>
      <c r="AI846" s="18" t="n">
        <f aca="false">IF($K846="SEM CULTURA",0,$W846*$H846)</f>
        <v>0</v>
      </c>
      <c r="AJ846" s="18" t="n">
        <f aca="false">IF($K846="SEM CULTURA",0,$S846*$H846)</f>
        <v>0</v>
      </c>
      <c r="AK846" s="8" t="str">
        <f aca="false">$E846&amp;"|"&amp;TEXT($AD846,"0.000000")</f>
        <v>PV 114|0.000000</v>
      </c>
    </row>
    <row r="847" customFormat="false" ht="15" hidden="false" customHeight="false" outlineLevel="0" collapsed="false">
      <c r="B847" s="16" t="n">
        <v>50</v>
      </c>
      <c r="C847" s="17" t="n">
        <f aca="false">DATA_INICIO_SAFRA+($B847-1)*DIAS_POR_SEMANA</f>
        <v>46608</v>
      </c>
      <c r="D847" s="17" t="n">
        <f aca="false">$C847+DIAS_POR_SEMANA-1</f>
        <v>46614</v>
      </c>
      <c r="E847" s="15" t="s">
        <v>271</v>
      </c>
      <c r="F847" s="8" t="str">
        <f aca="false">IFERROR(INDEX(CADASTRO_PIVOS!$C$6:$C$41,MATCH($E847,CADASTRO_PIVOS!$B$6:$B$41,0)),"?")</f>
        <v>RM05</v>
      </c>
      <c r="G847" s="8" t="str">
        <f aca="false">IFERROR(INDEX(CADASTRO_PIVOS!$D$6:$D$41,MATCH($E847,CADASTRO_PIVOS!$B$6:$B$41,0)),"?")</f>
        <v>TR05</v>
      </c>
      <c r="H847" s="20" t="n">
        <f aca="false">IFERROR(INDEX(CADASTRO_PIVOS!$E$6:$E$41,MATCH($E847,CADASTRO_PIVOS!$B$6:$B$41,0)),0)</f>
        <v>119.98</v>
      </c>
      <c r="I847" s="16" t="n">
        <f aca="false">IFERROR(SUMIFS(ROTACAO_RDM!$B$6:$B$71,ROTACAO_RDM!$D$6:$D$71,$E847,ROTACAO_RDM!$I$6:$I$71,"&lt;="&amp;$C847+INT(DIAS_POR_SEMANA/2),ROTACAO_RDM!$J$6:$J$71,"&gt;="&amp;$C847+INT(DIAS_POR_SEMANA/2)),0)</f>
        <v>0</v>
      </c>
      <c r="J847" s="16" t="n">
        <f aca="false">IFERROR(MATCH($I847,ROTACAO_RDM!$B$6:$B$71,0),0)</f>
        <v>0</v>
      </c>
      <c r="K847" s="8" t="str">
        <f aca="false">IF($J847=0,"SEM CULTURA",INDEX(ROTACAO_RDM!$F$6:$F$71,$J847))</f>
        <v>SEM CULTURA</v>
      </c>
      <c r="L847" s="8" t="str">
        <f aca="false">IF($J847=0,"",INDEX(ROTACAO_RDM!$G$6:$G$71,$J847))</f>
        <v/>
      </c>
      <c r="M847" s="17" t="str">
        <f aca="false">IF($J847=0,"",INDEX(ROTACAO_RDM!$I$6:$I$71,$J847))</f>
        <v/>
      </c>
      <c r="N847" s="16" t="n">
        <f aca="false">IF($J847=0,0,MAX(0,$C847+INT(DIAS_POR_SEMANA/2)-INDEX(ROTACAO_RDM!$I$6:$I$71,$J847)))</f>
        <v>0</v>
      </c>
      <c r="O847" s="19" t="n">
        <f aca="false">IF($J847=0,0,MIN(1,$N847/MAX(1,INDEX(ROTACAO_RDM!$K$6:$K$71,$J847))))</f>
        <v>0</v>
      </c>
      <c r="P847" s="16" t="n">
        <f aca="false">IF($J847=0,0,IFERROR(MATCH(INDEX(ROTACAO_RDM!$N$6:$N$71,$J847),PARAMETROS_CULTURAS!$B$6:$B$28,0),0))</f>
        <v>0</v>
      </c>
      <c r="Q847" s="8" t="str">
        <f aca="false">IF($P847=0,"-",IF($O847&lt;=INDEX(PARAMETROS_CULTURAS!$F$6:$F$28,$P847),"INICIAL",IF($O847&lt;=INDEX(PARAMETROS_CULTURAS!$F$6:$F$28,$P847)+INDEX(PARAMETROS_CULTURAS!$G$6:$G$28,$P847),"DESENVOLVIMENTO",IF($O847&lt;=INDEX(PARAMETROS_CULTURAS!$F$6:$F$28,$P847)+INDEX(PARAMETROS_CULTURAS!$G$6:$G$28,$P847)+INDEX(PARAMETROS_CULTURAS!$H$6:$H$28,$P847),"MEDIA","FINAL"))))</f>
        <v>-</v>
      </c>
      <c r="R847" s="24" t="n">
        <f aca="false">IF($P847=0,0,IF($O847&lt;=INDEX(PARAMETROS_CULTURAS!$F$6:$F$28,$P847),INDEX(PARAMETROS_CULTURAS!$K$6:$K$28,$P847),IF($O847&lt;=INDEX(PARAMETROS_CULTURAS!$F$6:$F$28,$P847)+INDEX(PARAMETROS_CULTURAS!$G$6:$G$28,$P847),INDEX(PARAMETROS_CULTURAS!$K$6:$K$28,$P847)+(INDEX(PARAMETROS_CULTURAS!$L$6:$L$28,$P847)-INDEX(PARAMETROS_CULTURAS!$K$6:$K$28,$P847))*($O847-INDEX(PARAMETROS_CULTURAS!$F$6:$F$28,$P847))/MAX(INDEX(PARAMETROS_CULTURAS!$G$6:$G$28,$P847),0.0001),IF($O847&lt;=INDEX(PARAMETROS_CULTURAS!$F$6:$F$28,$P847)+INDEX(PARAMETROS_CULTURAS!$G$6:$G$28,$P847)+INDEX(PARAMETROS_CULTURAS!$H$6:$H$28,$P847),INDEX(PARAMETROS_CULTURAS!$L$6:$L$28,$P847),INDEX(PARAMETROS_CULTURAS!$L$6:$L$28,$P847)+(INDEX(PARAMETROS_CULTURAS!$M$6:$M$28,$P847)-INDEX(PARAMETROS_CULTURAS!$L$6:$L$28,$P847))*($O847-INDEX(PARAMETROS_CULTURAS!$F$6:$F$28,$P847)-INDEX(PARAMETROS_CULTURAS!$G$6:$G$28,$P847)-INDEX(PARAMETROS_CULTURAS!$H$6:$H$28,$P847))/MAX(INDEX(PARAMETROS_CULTURAS!$I$6:$I$28,$P847),0.0001)))))</f>
        <v>0</v>
      </c>
      <c r="S847" s="18" t="n">
        <f aca="false">IFERROR(INDEX(SEMANAS!$H$6:$H$71,MATCH($B847,SEMANAS!$B$6:$B$71,0)),0)</f>
        <v>36.4</v>
      </c>
      <c r="T847" s="18" t="n">
        <f aca="false">$R847*$S847</f>
        <v>0</v>
      </c>
      <c r="U847" s="18" t="n">
        <f aca="false">IFERROR(INDEX(SEMANAS!$I$6:$I$71,MATCH($B847,SEMANAS!$B$6:$B$71,0)),0)</f>
        <v>1.12</v>
      </c>
      <c r="V847" s="18" t="n">
        <f aca="false">IFERROR(INDEX(SEMANAS!$J$6:$J$71,MATCH($B847,SEMANAS!$B$6:$B$71,0)),0)</f>
        <v>0.896</v>
      </c>
      <c r="W847" s="18" t="n">
        <f aca="false">MAX(0,$T847-$V847)</f>
        <v>0</v>
      </c>
      <c r="X847" s="19" t="n">
        <f aca="false">IFERROR(INDEX(CADASTRO_PIVOS!$K$6:$K$41,MATCH($E847,CADASTRO_PIVOS!$B$6:$B$41,0)),EFICIENCIA_PADRAO)</f>
        <v>0.85</v>
      </c>
      <c r="Y847" s="18" t="n">
        <f aca="false">IF($X847&lt;=0,0,$W847/$X847)</f>
        <v>0</v>
      </c>
      <c r="Z847" s="16" t="n">
        <f aca="false">$Y847*$H847*MM_PARA_M3_HA</f>
        <v>0</v>
      </c>
      <c r="AA847" s="18" t="n">
        <f aca="false">IFERROR(INDEX(CADASTRO_PIVOS!$I$6:$I$41,MATCH($E847,CADASTRO_PIVOS!$B$6:$B$41,0)),0)</f>
        <v>857</v>
      </c>
      <c r="AB847" s="18" t="n">
        <f aca="false">IF($Z847&lt;=0,0,$Z847/$AA847)</f>
        <v>0</v>
      </c>
      <c r="AC847" s="16" t="n">
        <f aca="false">IFERROR(INDEX(SEMANAS!$K$6:$K$71,MATCH($B847,SEMANAS!$B$6:$B$71,0)),0)</f>
        <v>147</v>
      </c>
      <c r="AD847" s="19" t="n">
        <f aca="false">IF($AC847&lt;=0,0,$AB847/$AC847)</f>
        <v>0</v>
      </c>
      <c r="AE847" s="8" t="str">
        <f aca="false">IF($K847="SEM CULTURA","SEM CULTURA",IF($AA847&lt;=0,"DADO PENDENTE",IF($AD847&gt;LIMITE_CRITICO,"INVIAVEL",IF($AD847&gt;LIMITE_ATENCAO,"CRITICO",IF($AD847&gt;LIMITE_CONFORTAVEL,"ATENCAO","OK")))))</f>
        <v>SEM CULTURA</v>
      </c>
      <c r="AF847" s="8" t="str">
        <f aca="false">$B847&amp;"|"&amp;TEXT($AD847,"0.000000")</f>
        <v>50|0.000000</v>
      </c>
      <c r="AG847" s="18" t="n">
        <f aca="false">IF($K847="SEM CULTURA",0,$T847*$H847)</f>
        <v>0</v>
      </c>
      <c r="AH847" s="18" t="n">
        <f aca="false">IF($K847="SEM CULTURA",0,$V847*$H847)</f>
        <v>0</v>
      </c>
      <c r="AI847" s="18" t="n">
        <f aca="false">IF($K847="SEM CULTURA",0,$W847*$H847)</f>
        <v>0</v>
      </c>
      <c r="AJ847" s="18" t="n">
        <f aca="false">IF($K847="SEM CULTURA",0,$S847*$H847)</f>
        <v>0</v>
      </c>
      <c r="AK847" s="8" t="str">
        <f aca="false">$E847&amp;"|"&amp;TEXT($AD847,"0.000000")</f>
        <v>PV 114|0.000000</v>
      </c>
    </row>
    <row r="848" customFormat="false" ht="15" hidden="false" customHeight="false" outlineLevel="0" collapsed="false">
      <c r="B848" s="16" t="n">
        <v>51</v>
      </c>
      <c r="C848" s="17" t="n">
        <f aca="false">DATA_INICIO_SAFRA+($B848-1)*DIAS_POR_SEMANA</f>
        <v>46615</v>
      </c>
      <c r="D848" s="17" t="n">
        <f aca="false">$C848+DIAS_POR_SEMANA-1</f>
        <v>46621</v>
      </c>
      <c r="E848" s="15" t="s">
        <v>271</v>
      </c>
      <c r="F848" s="8" t="str">
        <f aca="false">IFERROR(INDEX(CADASTRO_PIVOS!$C$6:$C$41,MATCH($E848,CADASTRO_PIVOS!$B$6:$B$41,0)),"?")</f>
        <v>RM05</v>
      </c>
      <c r="G848" s="8" t="str">
        <f aca="false">IFERROR(INDEX(CADASTRO_PIVOS!$D$6:$D$41,MATCH($E848,CADASTRO_PIVOS!$B$6:$B$41,0)),"?")</f>
        <v>TR05</v>
      </c>
      <c r="H848" s="20" t="n">
        <f aca="false">IFERROR(INDEX(CADASTRO_PIVOS!$E$6:$E$41,MATCH($E848,CADASTRO_PIVOS!$B$6:$B$41,0)),0)</f>
        <v>119.98</v>
      </c>
      <c r="I848" s="16" t="n">
        <f aca="false">IFERROR(SUMIFS(ROTACAO_RDM!$B$6:$B$71,ROTACAO_RDM!$D$6:$D$71,$E848,ROTACAO_RDM!$I$6:$I$71,"&lt;="&amp;$C848+INT(DIAS_POR_SEMANA/2),ROTACAO_RDM!$J$6:$J$71,"&gt;="&amp;$C848+INT(DIAS_POR_SEMANA/2)),0)</f>
        <v>0</v>
      </c>
      <c r="J848" s="16" t="n">
        <f aca="false">IFERROR(MATCH($I848,ROTACAO_RDM!$B$6:$B$71,0),0)</f>
        <v>0</v>
      </c>
      <c r="K848" s="8" t="str">
        <f aca="false">IF($J848=0,"SEM CULTURA",INDEX(ROTACAO_RDM!$F$6:$F$71,$J848))</f>
        <v>SEM CULTURA</v>
      </c>
      <c r="L848" s="8" t="str">
        <f aca="false">IF($J848=0,"",INDEX(ROTACAO_RDM!$G$6:$G$71,$J848))</f>
        <v/>
      </c>
      <c r="M848" s="17" t="str">
        <f aca="false">IF($J848=0,"",INDEX(ROTACAO_RDM!$I$6:$I$71,$J848))</f>
        <v/>
      </c>
      <c r="N848" s="16" t="n">
        <f aca="false">IF($J848=0,0,MAX(0,$C848+INT(DIAS_POR_SEMANA/2)-INDEX(ROTACAO_RDM!$I$6:$I$71,$J848)))</f>
        <v>0</v>
      </c>
      <c r="O848" s="19" t="n">
        <f aca="false">IF($J848=0,0,MIN(1,$N848/MAX(1,INDEX(ROTACAO_RDM!$K$6:$K$71,$J848))))</f>
        <v>0</v>
      </c>
      <c r="P848" s="16" t="n">
        <f aca="false">IF($J848=0,0,IFERROR(MATCH(INDEX(ROTACAO_RDM!$N$6:$N$71,$J848),PARAMETROS_CULTURAS!$B$6:$B$28,0),0))</f>
        <v>0</v>
      </c>
      <c r="Q848" s="8" t="str">
        <f aca="false">IF($P848=0,"-",IF($O848&lt;=INDEX(PARAMETROS_CULTURAS!$F$6:$F$28,$P848),"INICIAL",IF($O848&lt;=INDEX(PARAMETROS_CULTURAS!$F$6:$F$28,$P848)+INDEX(PARAMETROS_CULTURAS!$G$6:$G$28,$P848),"DESENVOLVIMENTO",IF($O848&lt;=INDEX(PARAMETROS_CULTURAS!$F$6:$F$28,$P848)+INDEX(PARAMETROS_CULTURAS!$G$6:$G$28,$P848)+INDEX(PARAMETROS_CULTURAS!$H$6:$H$28,$P848),"MEDIA","FINAL"))))</f>
        <v>-</v>
      </c>
      <c r="R848" s="24" t="n">
        <f aca="false">IF($P848=0,0,IF($O848&lt;=INDEX(PARAMETROS_CULTURAS!$F$6:$F$28,$P848),INDEX(PARAMETROS_CULTURAS!$K$6:$K$28,$P848),IF($O848&lt;=INDEX(PARAMETROS_CULTURAS!$F$6:$F$28,$P848)+INDEX(PARAMETROS_CULTURAS!$G$6:$G$28,$P848),INDEX(PARAMETROS_CULTURAS!$K$6:$K$28,$P848)+(INDEX(PARAMETROS_CULTURAS!$L$6:$L$28,$P848)-INDEX(PARAMETROS_CULTURAS!$K$6:$K$28,$P848))*($O848-INDEX(PARAMETROS_CULTURAS!$F$6:$F$28,$P848))/MAX(INDEX(PARAMETROS_CULTURAS!$G$6:$G$28,$P848),0.0001),IF($O848&lt;=INDEX(PARAMETROS_CULTURAS!$F$6:$F$28,$P848)+INDEX(PARAMETROS_CULTURAS!$G$6:$G$28,$P848)+INDEX(PARAMETROS_CULTURAS!$H$6:$H$28,$P848),INDEX(PARAMETROS_CULTURAS!$L$6:$L$28,$P848),INDEX(PARAMETROS_CULTURAS!$L$6:$L$28,$P848)+(INDEX(PARAMETROS_CULTURAS!$M$6:$M$28,$P848)-INDEX(PARAMETROS_CULTURAS!$L$6:$L$28,$P848))*($O848-INDEX(PARAMETROS_CULTURAS!$F$6:$F$28,$P848)-INDEX(PARAMETROS_CULTURAS!$G$6:$G$28,$P848)-INDEX(PARAMETROS_CULTURAS!$H$6:$H$28,$P848))/MAX(INDEX(PARAMETROS_CULTURAS!$I$6:$I$28,$P848),0.0001)))))</f>
        <v>0</v>
      </c>
      <c r="S848" s="18" t="n">
        <f aca="false">IFERROR(INDEX(SEMANAS!$H$6:$H$71,MATCH($B848,SEMANAS!$B$6:$B$71,0)),0)</f>
        <v>36.4</v>
      </c>
      <c r="T848" s="18" t="n">
        <f aca="false">$R848*$S848</f>
        <v>0</v>
      </c>
      <c r="U848" s="18" t="n">
        <f aca="false">IFERROR(INDEX(SEMANAS!$I$6:$I$71,MATCH($B848,SEMANAS!$B$6:$B$71,0)),0)</f>
        <v>1.12</v>
      </c>
      <c r="V848" s="18" t="n">
        <f aca="false">IFERROR(INDEX(SEMANAS!$J$6:$J$71,MATCH($B848,SEMANAS!$B$6:$B$71,0)),0)</f>
        <v>0.896</v>
      </c>
      <c r="W848" s="18" t="n">
        <f aca="false">MAX(0,$T848-$V848)</f>
        <v>0</v>
      </c>
      <c r="X848" s="19" t="n">
        <f aca="false">IFERROR(INDEX(CADASTRO_PIVOS!$K$6:$K$41,MATCH($E848,CADASTRO_PIVOS!$B$6:$B$41,0)),EFICIENCIA_PADRAO)</f>
        <v>0.85</v>
      </c>
      <c r="Y848" s="18" t="n">
        <f aca="false">IF($X848&lt;=0,0,$W848/$X848)</f>
        <v>0</v>
      </c>
      <c r="Z848" s="16" t="n">
        <f aca="false">$Y848*$H848*MM_PARA_M3_HA</f>
        <v>0</v>
      </c>
      <c r="AA848" s="18" t="n">
        <f aca="false">IFERROR(INDEX(CADASTRO_PIVOS!$I$6:$I$41,MATCH($E848,CADASTRO_PIVOS!$B$6:$B$41,0)),0)</f>
        <v>857</v>
      </c>
      <c r="AB848" s="18" t="n">
        <f aca="false">IF($Z848&lt;=0,0,$Z848/$AA848)</f>
        <v>0</v>
      </c>
      <c r="AC848" s="16" t="n">
        <f aca="false">IFERROR(INDEX(SEMANAS!$K$6:$K$71,MATCH($B848,SEMANAS!$B$6:$B$71,0)),0)</f>
        <v>147</v>
      </c>
      <c r="AD848" s="19" t="n">
        <f aca="false">IF($AC848&lt;=0,0,$AB848/$AC848)</f>
        <v>0</v>
      </c>
      <c r="AE848" s="8" t="str">
        <f aca="false">IF($K848="SEM CULTURA","SEM CULTURA",IF($AA848&lt;=0,"DADO PENDENTE",IF($AD848&gt;LIMITE_CRITICO,"INVIAVEL",IF($AD848&gt;LIMITE_ATENCAO,"CRITICO",IF($AD848&gt;LIMITE_CONFORTAVEL,"ATENCAO","OK")))))</f>
        <v>SEM CULTURA</v>
      </c>
      <c r="AF848" s="8" t="str">
        <f aca="false">$B848&amp;"|"&amp;TEXT($AD848,"0.000000")</f>
        <v>51|0.000000</v>
      </c>
      <c r="AG848" s="18" t="n">
        <f aca="false">IF($K848="SEM CULTURA",0,$T848*$H848)</f>
        <v>0</v>
      </c>
      <c r="AH848" s="18" t="n">
        <f aca="false">IF($K848="SEM CULTURA",0,$V848*$H848)</f>
        <v>0</v>
      </c>
      <c r="AI848" s="18" t="n">
        <f aca="false">IF($K848="SEM CULTURA",0,$W848*$H848)</f>
        <v>0</v>
      </c>
      <c r="AJ848" s="18" t="n">
        <f aca="false">IF($K848="SEM CULTURA",0,$S848*$H848)</f>
        <v>0</v>
      </c>
      <c r="AK848" s="8" t="str">
        <f aca="false">$E848&amp;"|"&amp;TEXT($AD848,"0.000000")</f>
        <v>PV 114|0.000000</v>
      </c>
    </row>
    <row r="849" customFormat="false" ht="15" hidden="false" customHeight="false" outlineLevel="0" collapsed="false">
      <c r="B849" s="16" t="n">
        <v>52</v>
      </c>
      <c r="C849" s="17" t="n">
        <f aca="false">DATA_INICIO_SAFRA+($B849-1)*DIAS_POR_SEMANA</f>
        <v>46622</v>
      </c>
      <c r="D849" s="17" t="n">
        <f aca="false">$C849+DIAS_POR_SEMANA-1</f>
        <v>46628</v>
      </c>
      <c r="E849" s="15" t="s">
        <v>271</v>
      </c>
      <c r="F849" s="8" t="str">
        <f aca="false">IFERROR(INDEX(CADASTRO_PIVOS!$C$6:$C$41,MATCH($E849,CADASTRO_PIVOS!$B$6:$B$41,0)),"?")</f>
        <v>RM05</v>
      </c>
      <c r="G849" s="8" t="str">
        <f aca="false">IFERROR(INDEX(CADASTRO_PIVOS!$D$6:$D$41,MATCH($E849,CADASTRO_PIVOS!$B$6:$B$41,0)),"?")</f>
        <v>TR05</v>
      </c>
      <c r="H849" s="20" t="n">
        <f aca="false">IFERROR(INDEX(CADASTRO_PIVOS!$E$6:$E$41,MATCH($E849,CADASTRO_PIVOS!$B$6:$B$41,0)),0)</f>
        <v>119.98</v>
      </c>
      <c r="I849" s="16" t="n">
        <f aca="false">IFERROR(SUMIFS(ROTACAO_RDM!$B$6:$B$71,ROTACAO_RDM!$D$6:$D$71,$E849,ROTACAO_RDM!$I$6:$I$71,"&lt;="&amp;$C849+INT(DIAS_POR_SEMANA/2),ROTACAO_RDM!$J$6:$J$71,"&gt;="&amp;$C849+INT(DIAS_POR_SEMANA/2)),0)</f>
        <v>0</v>
      </c>
      <c r="J849" s="16" t="n">
        <f aca="false">IFERROR(MATCH($I849,ROTACAO_RDM!$B$6:$B$71,0),0)</f>
        <v>0</v>
      </c>
      <c r="K849" s="8" t="str">
        <f aca="false">IF($J849=0,"SEM CULTURA",INDEX(ROTACAO_RDM!$F$6:$F$71,$J849))</f>
        <v>SEM CULTURA</v>
      </c>
      <c r="L849" s="8" t="str">
        <f aca="false">IF($J849=0,"",INDEX(ROTACAO_RDM!$G$6:$G$71,$J849))</f>
        <v/>
      </c>
      <c r="M849" s="17" t="str">
        <f aca="false">IF($J849=0,"",INDEX(ROTACAO_RDM!$I$6:$I$71,$J849))</f>
        <v/>
      </c>
      <c r="N849" s="16" t="n">
        <f aca="false">IF($J849=0,0,MAX(0,$C849+INT(DIAS_POR_SEMANA/2)-INDEX(ROTACAO_RDM!$I$6:$I$71,$J849)))</f>
        <v>0</v>
      </c>
      <c r="O849" s="19" t="n">
        <f aca="false">IF($J849=0,0,MIN(1,$N849/MAX(1,INDEX(ROTACAO_RDM!$K$6:$K$71,$J849))))</f>
        <v>0</v>
      </c>
      <c r="P849" s="16" t="n">
        <f aca="false">IF($J849=0,0,IFERROR(MATCH(INDEX(ROTACAO_RDM!$N$6:$N$71,$J849),PARAMETROS_CULTURAS!$B$6:$B$28,0),0))</f>
        <v>0</v>
      </c>
      <c r="Q849" s="8" t="str">
        <f aca="false">IF($P849=0,"-",IF($O849&lt;=INDEX(PARAMETROS_CULTURAS!$F$6:$F$28,$P849),"INICIAL",IF($O849&lt;=INDEX(PARAMETROS_CULTURAS!$F$6:$F$28,$P849)+INDEX(PARAMETROS_CULTURAS!$G$6:$G$28,$P849),"DESENVOLVIMENTO",IF($O849&lt;=INDEX(PARAMETROS_CULTURAS!$F$6:$F$28,$P849)+INDEX(PARAMETROS_CULTURAS!$G$6:$G$28,$P849)+INDEX(PARAMETROS_CULTURAS!$H$6:$H$28,$P849),"MEDIA","FINAL"))))</f>
        <v>-</v>
      </c>
      <c r="R849" s="24" t="n">
        <f aca="false">IF($P849=0,0,IF($O849&lt;=INDEX(PARAMETROS_CULTURAS!$F$6:$F$28,$P849),INDEX(PARAMETROS_CULTURAS!$K$6:$K$28,$P849),IF($O849&lt;=INDEX(PARAMETROS_CULTURAS!$F$6:$F$28,$P849)+INDEX(PARAMETROS_CULTURAS!$G$6:$G$28,$P849),INDEX(PARAMETROS_CULTURAS!$K$6:$K$28,$P849)+(INDEX(PARAMETROS_CULTURAS!$L$6:$L$28,$P849)-INDEX(PARAMETROS_CULTURAS!$K$6:$K$28,$P849))*($O849-INDEX(PARAMETROS_CULTURAS!$F$6:$F$28,$P849))/MAX(INDEX(PARAMETROS_CULTURAS!$G$6:$G$28,$P849),0.0001),IF($O849&lt;=INDEX(PARAMETROS_CULTURAS!$F$6:$F$28,$P849)+INDEX(PARAMETROS_CULTURAS!$G$6:$G$28,$P849)+INDEX(PARAMETROS_CULTURAS!$H$6:$H$28,$P849),INDEX(PARAMETROS_CULTURAS!$L$6:$L$28,$P849),INDEX(PARAMETROS_CULTURAS!$L$6:$L$28,$P849)+(INDEX(PARAMETROS_CULTURAS!$M$6:$M$28,$P849)-INDEX(PARAMETROS_CULTURAS!$L$6:$L$28,$P849))*($O849-INDEX(PARAMETROS_CULTURAS!$F$6:$F$28,$P849)-INDEX(PARAMETROS_CULTURAS!$G$6:$G$28,$P849)-INDEX(PARAMETROS_CULTURAS!$H$6:$H$28,$P849))/MAX(INDEX(PARAMETROS_CULTURAS!$I$6:$I$28,$P849),0.0001)))))</f>
        <v>0</v>
      </c>
      <c r="S849" s="18" t="n">
        <f aca="false">IFERROR(INDEX(SEMANAS!$H$6:$H$71,MATCH($B849,SEMANAS!$B$6:$B$71,0)),0)</f>
        <v>36.4</v>
      </c>
      <c r="T849" s="18" t="n">
        <f aca="false">$R849*$S849</f>
        <v>0</v>
      </c>
      <c r="U849" s="18" t="n">
        <f aca="false">IFERROR(INDEX(SEMANAS!$I$6:$I$71,MATCH($B849,SEMANAS!$B$6:$B$71,0)),0)</f>
        <v>1.12</v>
      </c>
      <c r="V849" s="18" t="n">
        <f aca="false">IFERROR(INDEX(SEMANAS!$J$6:$J$71,MATCH($B849,SEMANAS!$B$6:$B$71,0)),0)</f>
        <v>0.896</v>
      </c>
      <c r="W849" s="18" t="n">
        <f aca="false">MAX(0,$T849-$V849)</f>
        <v>0</v>
      </c>
      <c r="X849" s="19" t="n">
        <f aca="false">IFERROR(INDEX(CADASTRO_PIVOS!$K$6:$K$41,MATCH($E849,CADASTRO_PIVOS!$B$6:$B$41,0)),EFICIENCIA_PADRAO)</f>
        <v>0.85</v>
      </c>
      <c r="Y849" s="18" t="n">
        <f aca="false">IF($X849&lt;=0,0,$W849/$X849)</f>
        <v>0</v>
      </c>
      <c r="Z849" s="16" t="n">
        <f aca="false">$Y849*$H849*MM_PARA_M3_HA</f>
        <v>0</v>
      </c>
      <c r="AA849" s="18" t="n">
        <f aca="false">IFERROR(INDEX(CADASTRO_PIVOS!$I$6:$I$41,MATCH($E849,CADASTRO_PIVOS!$B$6:$B$41,0)),0)</f>
        <v>857</v>
      </c>
      <c r="AB849" s="18" t="n">
        <f aca="false">IF($Z849&lt;=0,0,$Z849/$AA849)</f>
        <v>0</v>
      </c>
      <c r="AC849" s="16" t="n">
        <f aca="false">IFERROR(INDEX(SEMANAS!$K$6:$K$71,MATCH($B849,SEMANAS!$B$6:$B$71,0)),0)</f>
        <v>147</v>
      </c>
      <c r="AD849" s="19" t="n">
        <f aca="false">IF($AC849&lt;=0,0,$AB849/$AC849)</f>
        <v>0</v>
      </c>
      <c r="AE849" s="8" t="str">
        <f aca="false">IF($K849="SEM CULTURA","SEM CULTURA",IF($AA849&lt;=0,"DADO PENDENTE",IF($AD849&gt;LIMITE_CRITICO,"INVIAVEL",IF($AD849&gt;LIMITE_ATENCAO,"CRITICO",IF($AD849&gt;LIMITE_CONFORTAVEL,"ATENCAO","OK")))))</f>
        <v>SEM CULTURA</v>
      </c>
      <c r="AF849" s="8" t="str">
        <f aca="false">$B849&amp;"|"&amp;TEXT($AD849,"0.000000")</f>
        <v>52|0.000000</v>
      </c>
      <c r="AG849" s="18" t="n">
        <f aca="false">IF($K849="SEM CULTURA",0,$T849*$H849)</f>
        <v>0</v>
      </c>
      <c r="AH849" s="18" t="n">
        <f aca="false">IF($K849="SEM CULTURA",0,$V849*$H849)</f>
        <v>0</v>
      </c>
      <c r="AI849" s="18" t="n">
        <f aca="false">IF($K849="SEM CULTURA",0,$W849*$H849)</f>
        <v>0</v>
      </c>
      <c r="AJ849" s="18" t="n">
        <f aca="false">IF($K849="SEM CULTURA",0,$S849*$H849)</f>
        <v>0</v>
      </c>
      <c r="AK849" s="8" t="str">
        <f aca="false">$E849&amp;"|"&amp;TEXT($AD849,"0.000000")</f>
        <v>PV 114|0.000000</v>
      </c>
    </row>
    <row r="850" customFormat="false" ht="15" hidden="false" customHeight="false" outlineLevel="0" collapsed="false">
      <c r="B850" s="16" t="n">
        <v>53</v>
      </c>
      <c r="C850" s="17" t="n">
        <f aca="false">DATA_INICIO_SAFRA+($B850-1)*DIAS_POR_SEMANA</f>
        <v>46629</v>
      </c>
      <c r="D850" s="17" t="n">
        <f aca="false">$C850+DIAS_POR_SEMANA-1</f>
        <v>46635</v>
      </c>
      <c r="E850" s="15" t="s">
        <v>271</v>
      </c>
      <c r="F850" s="8" t="str">
        <f aca="false">IFERROR(INDEX(CADASTRO_PIVOS!$C$6:$C$41,MATCH($E850,CADASTRO_PIVOS!$B$6:$B$41,0)),"?")</f>
        <v>RM05</v>
      </c>
      <c r="G850" s="8" t="str">
        <f aca="false">IFERROR(INDEX(CADASTRO_PIVOS!$D$6:$D$41,MATCH($E850,CADASTRO_PIVOS!$B$6:$B$41,0)),"?")</f>
        <v>TR05</v>
      </c>
      <c r="H850" s="20" t="n">
        <f aca="false">IFERROR(INDEX(CADASTRO_PIVOS!$E$6:$E$41,MATCH($E850,CADASTRO_PIVOS!$B$6:$B$41,0)),0)</f>
        <v>119.98</v>
      </c>
      <c r="I850" s="16" t="n">
        <f aca="false">IFERROR(SUMIFS(ROTACAO_RDM!$B$6:$B$71,ROTACAO_RDM!$D$6:$D$71,$E850,ROTACAO_RDM!$I$6:$I$71,"&lt;="&amp;$C850+INT(DIAS_POR_SEMANA/2),ROTACAO_RDM!$J$6:$J$71,"&gt;="&amp;$C850+INT(DIAS_POR_SEMANA/2)),0)</f>
        <v>0</v>
      </c>
      <c r="J850" s="16" t="n">
        <f aca="false">IFERROR(MATCH($I850,ROTACAO_RDM!$B$6:$B$71,0),0)</f>
        <v>0</v>
      </c>
      <c r="K850" s="8" t="str">
        <f aca="false">IF($J850=0,"SEM CULTURA",INDEX(ROTACAO_RDM!$F$6:$F$71,$J850))</f>
        <v>SEM CULTURA</v>
      </c>
      <c r="L850" s="8" t="str">
        <f aca="false">IF($J850=0,"",INDEX(ROTACAO_RDM!$G$6:$G$71,$J850))</f>
        <v/>
      </c>
      <c r="M850" s="17" t="str">
        <f aca="false">IF($J850=0,"",INDEX(ROTACAO_RDM!$I$6:$I$71,$J850))</f>
        <v/>
      </c>
      <c r="N850" s="16" t="n">
        <f aca="false">IF($J850=0,0,MAX(0,$C850+INT(DIAS_POR_SEMANA/2)-INDEX(ROTACAO_RDM!$I$6:$I$71,$J850)))</f>
        <v>0</v>
      </c>
      <c r="O850" s="19" t="n">
        <f aca="false">IF($J850=0,0,MIN(1,$N850/MAX(1,INDEX(ROTACAO_RDM!$K$6:$K$71,$J850))))</f>
        <v>0</v>
      </c>
      <c r="P850" s="16" t="n">
        <f aca="false">IF($J850=0,0,IFERROR(MATCH(INDEX(ROTACAO_RDM!$N$6:$N$71,$J850),PARAMETROS_CULTURAS!$B$6:$B$28,0),0))</f>
        <v>0</v>
      </c>
      <c r="Q850" s="8" t="str">
        <f aca="false">IF($P850=0,"-",IF($O850&lt;=INDEX(PARAMETROS_CULTURAS!$F$6:$F$28,$P850),"INICIAL",IF($O850&lt;=INDEX(PARAMETROS_CULTURAS!$F$6:$F$28,$P850)+INDEX(PARAMETROS_CULTURAS!$G$6:$G$28,$P850),"DESENVOLVIMENTO",IF($O850&lt;=INDEX(PARAMETROS_CULTURAS!$F$6:$F$28,$P850)+INDEX(PARAMETROS_CULTURAS!$G$6:$G$28,$P850)+INDEX(PARAMETROS_CULTURAS!$H$6:$H$28,$P850),"MEDIA","FINAL"))))</f>
        <v>-</v>
      </c>
      <c r="R850" s="24" t="n">
        <f aca="false">IF($P850=0,0,IF($O850&lt;=INDEX(PARAMETROS_CULTURAS!$F$6:$F$28,$P850),INDEX(PARAMETROS_CULTURAS!$K$6:$K$28,$P850),IF($O850&lt;=INDEX(PARAMETROS_CULTURAS!$F$6:$F$28,$P850)+INDEX(PARAMETROS_CULTURAS!$G$6:$G$28,$P850),INDEX(PARAMETROS_CULTURAS!$K$6:$K$28,$P850)+(INDEX(PARAMETROS_CULTURAS!$L$6:$L$28,$P850)-INDEX(PARAMETROS_CULTURAS!$K$6:$K$28,$P850))*($O850-INDEX(PARAMETROS_CULTURAS!$F$6:$F$28,$P850))/MAX(INDEX(PARAMETROS_CULTURAS!$G$6:$G$28,$P850),0.0001),IF($O850&lt;=INDEX(PARAMETROS_CULTURAS!$F$6:$F$28,$P850)+INDEX(PARAMETROS_CULTURAS!$G$6:$G$28,$P850)+INDEX(PARAMETROS_CULTURAS!$H$6:$H$28,$P850),INDEX(PARAMETROS_CULTURAS!$L$6:$L$28,$P850),INDEX(PARAMETROS_CULTURAS!$L$6:$L$28,$P850)+(INDEX(PARAMETROS_CULTURAS!$M$6:$M$28,$P850)-INDEX(PARAMETROS_CULTURAS!$L$6:$L$28,$P850))*($O850-INDEX(PARAMETROS_CULTURAS!$F$6:$F$28,$P850)-INDEX(PARAMETROS_CULTURAS!$G$6:$G$28,$P850)-INDEX(PARAMETROS_CULTURAS!$H$6:$H$28,$P850))/MAX(INDEX(PARAMETROS_CULTURAS!$I$6:$I$28,$P850),0.0001)))))</f>
        <v>0</v>
      </c>
      <c r="S850" s="18" t="n">
        <f aca="false">IFERROR(INDEX(SEMANAS!$H$6:$H$71,MATCH($B850,SEMANAS!$B$6:$B$71,0)),0)</f>
        <v>39.4</v>
      </c>
      <c r="T850" s="18" t="n">
        <f aca="false">$R850*$S850</f>
        <v>0</v>
      </c>
      <c r="U850" s="18" t="n">
        <f aca="false">IFERROR(INDEX(SEMANAS!$I$6:$I$71,MATCH($B850,SEMANAS!$B$6:$B$71,0)),0)</f>
        <v>5.32</v>
      </c>
      <c r="V850" s="18" t="n">
        <f aca="false">IFERROR(INDEX(SEMANAS!$J$6:$J$71,MATCH($B850,SEMANAS!$B$6:$B$71,0)),0)</f>
        <v>4.256</v>
      </c>
      <c r="W850" s="18" t="n">
        <f aca="false">MAX(0,$T850-$V850)</f>
        <v>0</v>
      </c>
      <c r="X850" s="19" t="n">
        <f aca="false">IFERROR(INDEX(CADASTRO_PIVOS!$K$6:$K$41,MATCH($E850,CADASTRO_PIVOS!$B$6:$B$41,0)),EFICIENCIA_PADRAO)</f>
        <v>0.85</v>
      </c>
      <c r="Y850" s="18" t="n">
        <f aca="false">IF($X850&lt;=0,0,$W850/$X850)</f>
        <v>0</v>
      </c>
      <c r="Z850" s="16" t="n">
        <f aca="false">$Y850*$H850*MM_PARA_M3_HA</f>
        <v>0</v>
      </c>
      <c r="AA850" s="18" t="n">
        <f aca="false">IFERROR(INDEX(CADASTRO_PIVOS!$I$6:$I$41,MATCH($E850,CADASTRO_PIVOS!$B$6:$B$41,0)),0)</f>
        <v>857</v>
      </c>
      <c r="AB850" s="18" t="n">
        <f aca="false">IF($Z850&lt;=0,0,$Z850/$AA850)</f>
        <v>0</v>
      </c>
      <c r="AC850" s="16" t="n">
        <f aca="false">IFERROR(INDEX(SEMANAS!$K$6:$K$71,MATCH($B850,SEMANAS!$B$6:$B$71,0)),0)</f>
        <v>147</v>
      </c>
      <c r="AD850" s="19" t="n">
        <f aca="false">IF($AC850&lt;=0,0,$AB850/$AC850)</f>
        <v>0</v>
      </c>
      <c r="AE850" s="8" t="str">
        <f aca="false">IF($K850="SEM CULTURA","SEM CULTURA",IF($AA850&lt;=0,"DADO PENDENTE",IF($AD850&gt;LIMITE_CRITICO,"INVIAVEL",IF($AD850&gt;LIMITE_ATENCAO,"CRITICO",IF($AD850&gt;LIMITE_CONFORTAVEL,"ATENCAO","OK")))))</f>
        <v>SEM CULTURA</v>
      </c>
      <c r="AF850" s="8" t="str">
        <f aca="false">$B850&amp;"|"&amp;TEXT($AD850,"0.000000")</f>
        <v>53|0.000000</v>
      </c>
      <c r="AG850" s="18" t="n">
        <f aca="false">IF($K850="SEM CULTURA",0,$T850*$H850)</f>
        <v>0</v>
      </c>
      <c r="AH850" s="18" t="n">
        <f aca="false">IF($K850="SEM CULTURA",0,$V850*$H850)</f>
        <v>0</v>
      </c>
      <c r="AI850" s="18" t="n">
        <f aca="false">IF($K850="SEM CULTURA",0,$W850*$H850)</f>
        <v>0</v>
      </c>
      <c r="AJ850" s="18" t="n">
        <f aca="false">IF($K850="SEM CULTURA",0,$S850*$H850)</f>
        <v>0</v>
      </c>
      <c r="AK850" s="8" t="str">
        <f aca="false">$E850&amp;"|"&amp;TEXT($AD850,"0.000000")</f>
        <v>PV 114|0.000000</v>
      </c>
    </row>
    <row r="851" customFormat="false" ht="15" hidden="false" customHeight="false" outlineLevel="0" collapsed="false">
      <c r="B851" s="16" t="n">
        <v>54</v>
      </c>
      <c r="C851" s="17" t="n">
        <f aca="false">DATA_INICIO_SAFRA+($B851-1)*DIAS_POR_SEMANA</f>
        <v>46636</v>
      </c>
      <c r="D851" s="17" t="n">
        <f aca="false">$C851+DIAS_POR_SEMANA-1</f>
        <v>46642</v>
      </c>
      <c r="E851" s="15" t="s">
        <v>271</v>
      </c>
      <c r="F851" s="8" t="str">
        <f aca="false">IFERROR(INDEX(CADASTRO_PIVOS!$C$6:$C$41,MATCH($E851,CADASTRO_PIVOS!$B$6:$B$41,0)),"?")</f>
        <v>RM05</v>
      </c>
      <c r="G851" s="8" t="str">
        <f aca="false">IFERROR(INDEX(CADASTRO_PIVOS!$D$6:$D$41,MATCH($E851,CADASTRO_PIVOS!$B$6:$B$41,0)),"?")</f>
        <v>TR05</v>
      </c>
      <c r="H851" s="20" t="n">
        <f aca="false">IFERROR(INDEX(CADASTRO_PIVOS!$E$6:$E$41,MATCH($E851,CADASTRO_PIVOS!$B$6:$B$41,0)),0)</f>
        <v>119.98</v>
      </c>
      <c r="I851" s="16" t="n">
        <f aca="false">IFERROR(SUMIFS(ROTACAO_RDM!$B$6:$B$71,ROTACAO_RDM!$D$6:$D$71,$E851,ROTACAO_RDM!$I$6:$I$71,"&lt;="&amp;$C851+INT(DIAS_POR_SEMANA/2),ROTACAO_RDM!$J$6:$J$71,"&gt;="&amp;$C851+INT(DIAS_POR_SEMANA/2)),0)</f>
        <v>0</v>
      </c>
      <c r="J851" s="16" t="n">
        <f aca="false">IFERROR(MATCH($I851,ROTACAO_RDM!$B$6:$B$71,0),0)</f>
        <v>0</v>
      </c>
      <c r="K851" s="8" t="str">
        <f aca="false">IF($J851=0,"SEM CULTURA",INDEX(ROTACAO_RDM!$F$6:$F$71,$J851))</f>
        <v>SEM CULTURA</v>
      </c>
      <c r="L851" s="8" t="str">
        <f aca="false">IF($J851=0,"",INDEX(ROTACAO_RDM!$G$6:$G$71,$J851))</f>
        <v/>
      </c>
      <c r="M851" s="17" t="str">
        <f aca="false">IF($J851=0,"",INDEX(ROTACAO_RDM!$I$6:$I$71,$J851))</f>
        <v/>
      </c>
      <c r="N851" s="16" t="n">
        <f aca="false">IF($J851=0,0,MAX(0,$C851+INT(DIAS_POR_SEMANA/2)-INDEX(ROTACAO_RDM!$I$6:$I$71,$J851)))</f>
        <v>0</v>
      </c>
      <c r="O851" s="19" t="n">
        <f aca="false">IF($J851=0,0,MIN(1,$N851/MAX(1,INDEX(ROTACAO_RDM!$K$6:$K$71,$J851))))</f>
        <v>0</v>
      </c>
      <c r="P851" s="16" t="n">
        <f aca="false">IF($J851=0,0,IFERROR(MATCH(INDEX(ROTACAO_RDM!$N$6:$N$71,$J851),PARAMETROS_CULTURAS!$B$6:$B$28,0),0))</f>
        <v>0</v>
      </c>
      <c r="Q851" s="8" t="str">
        <f aca="false">IF($P851=0,"-",IF($O851&lt;=INDEX(PARAMETROS_CULTURAS!$F$6:$F$28,$P851),"INICIAL",IF($O851&lt;=INDEX(PARAMETROS_CULTURAS!$F$6:$F$28,$P851)+INDEX(PARAMETROS_CULTURAS!$G$6:$G$28,$P851),"DESENVOLVIMENTO",IF($O851&lt;=INDEX(PARAMETROS_CULTURAS!$F$6:$F$28,$P851)+INDEX(PARAMETROS_CULTURAS!$G$6:$G$28,$P851)+INDEX(PARAMETROS_CULTURAS!$H$6:$H$28,$P851),"MEDIA","FINAL"))))</f>
        <v>-</v>
      </c>
      <c r="R851" s="24" t="n">
        <f aca="false">IF($P851=0,0,IF($O851&lt;=INDEX(PARAMETROS_CULTURAS!$F$6:$F$28,$P851),INDEX(PARAMETROS_CULTURAS!$K$6:$K$28,$P851),IF($O851&lt;=INDEX(PARAMETROS_CULTURAS!$F$6:$F$28,$P851)+INDEX(PARAMETROS_CULTURAS!$G$6:$G$28,$P851),INDEX(PARAMETROS_CULTURAS!$K$6:$K$28,$P851)+(INDEX(PARAMETROS_CULTURAS!$L$6:$L$28,$P851)-INDEX(PARAMETROS_CULTURAS!$K$6:$K$28,$P851))*($O851-INDEX(PARAMETROS_CULTURAS!$F$6:$F$28,$P851))/MAX(INDEX(PARAMETROS_CULTURAS!$G$6:$G$28,$P851),0.0001),IF($O851&lt;=INDEX(PARAMETROS_CULTURAS!$F$6:$F$28,$P851)+INDEX(PARAMETROS_CULTURAS!$G$6:$G$28,$P851)+INDEX(PARAMETROS_CULTURAS!$H$6:$H$28,$P851),INDEX(PARAMETROS_CULTURAS!$L$6:$L$28,$P851),INDEX(PARAMETROS_CULTURAS!$L$6:$L$28,$P851)+(INDEX(PARAMETROS_CULTURAS!$M$6:$M$28,$P851)-INDEX(PARAMETROS_CULTURAS!$L$6:$L$28,$P851))*($O851-INDEX(PARAMETROS_CULTURAS!$F$6:$F$28,$P851)-INDEX(PARAMETROS_CULTURAS!$G$6:$G$28,$P851)-INDEX(PARAMETROS_CULTURAS!$H$6:$H$28,$P851))/MAX(INDEX(PARAMETROS_CULTURAS!$I$6:$I$28,$P851),0.0001)))))</f>
        <v>0</v>
      </c>
      <c r="S851" s="18" t="n">
        <f aca="false">IFERROR(INDEX(SEMANAS!$H$6:$H$71,MATCH($B851,SEMANAS!$B$6:$B$71,0)),0)</f>
        <v>40.6</v>
      </c>
      <c r="T851" s="18" t="n">
        <f aca="false">$R851*$S851</f>
        <v>0</v>
      </c>
      <c r="U851" s="18" t="n">
        <f aca="false">IFERROR(INDEX(SEMANAS!$I$6:$I$71,MATCH($B851,SEMANAS!$B$6:$B$71,0)),0)</f>
        <v>7</v>
      </c>
      <c r="V851" s="18" t="n">
        <f aca="false">IFERROR(INDEX(SEMANAS!$J$6:$J$71,MATCH($B851,SEMANAS!$B$6:$B$71,0)),0)</f>
        <v>5.6</v>
      </c>
      <c r="W851" s="18" t="n">
        <f aca="false">MAX(0,$T851-$V851)</f>
        <v>0</v>
      </c>
      <c r="X851" s="19" t="n">
        <f aca="false">IFERROR(INDEX(CADASTRO_PIVOS!$K$6:$K$41,MATCH($E851,CADASTRO_PIVOS!$B$6:$B$41,0)),EFICIENCIA_PADRAO)</f>
        <v>0.85</v>
      </c>
      <c r="Y851" s="18" t="n">
        <f aca="false">IF($X851&lt;=0,0,$W851/$X851)</f>
        <v>0</v>
      </c>
      <c r="Z851" s="16" t="n">
        <f aca="false">$Y851*$H851*MM_PARA_M3_HA</f>
        <v>0</v>
      </c>
      <c r="AA851" s="18" t="n">
        <f aca="false">IFERROR(INDEX(CADASTRO_PIVOS!$I$6:$I$41,MATCH($E851,CADASTRO_PIVOS!$B$6:$B$41,0)),0)</f>
        <v>857</v>
      </c>
      <c r="AB851" s="18" t="n">
        <f aca="false">IF($Z851&lt;=0,0,$Z851/$AA851)</f>
        <v>0</v>
      </c>
      <c r="AC851" s="16" t="n">
        <f aca="false">IFERROR(INDEX(SEMANAS!$K$6:$K$71,MATCH($B851,SEMANAS!$B$6:$B$71,0)),0)</f>
        <v>147</v>
      </c>
      <c r="AD851" s="19" t="n">
        <f aca="false">IF($AC851&lt;=0,0,$AB851/$AC851)</f>
        <v>0</v>
      </c>
      <c r="AE851" s="8" t="str">
        <f aca="false">IF($K851="SEM CULTURA","SEM CULTURA",IF($AA851&lt;=0,"DADO PENDENTE",IF($AD851&gt;LIMITE_CRITICO,"INVIAVEL",IF($AD851&gt;LIMITE_ATENCAO,"CRITICO",IF($AD851&gt;LIMITE_CONFORTAVEL,"ATENCAO","OK")))))</f>
        <v>SEM CULTURA</v>
      </c>
      <c r="AF851" s="8" t="str">
        <f aca="false">$B851&amp;"|"&amp;TEXT($AD851,"0.000000")</f>
        <v>54|0.000000</v>
      </c>
      <c r="AG851" s="18" t="n">
        <f aca="false">IF($K851="SEM CULTURA",0,$T851*$H851)</f>
        <v>0</v>
      </c>
      <c r="AH851" s="18" t="n">
        <f aca="false">IF($K851="SEM CULTURA",0,$V851*$H851)</f>
        <v>0</v>
      </c>
      <c r="AI851" s="18" t="n">
        <f aca="false">IF($K851="SEM CULTURA",0,$W851*$H851)</f>
        <v>0</v>
      </c>
      <c r="AJ851" s="18" t="n">
        <f aca="false">IF($K851="SEM CULTURA",0,$S851*$H851)</f>
        <v>0</v>
      </c>
      <c r="AK851" s="8" t="str">
        <f aca="false">$E851&amp;"|"&amp;TEXT($AD851,"0.000000")</f>
        <v>PV 114|0.000000</v>
      </c>
    </row>
    <row r="852" customFormat="false" ht="15" hidden="false" customHeight="false" outlineLevel="0" collapsed="false">
      <c r="B852" s="16" t="n">
        <v>55</v>
      </c>
      <c r="C852" s="17" t="n">
        <f aca="false">DATA_INICIO_SAFRA+($B852-1)*DIAS_POR_SEMANA</f>
        <v>46643</v>
      </c>
      <c r="D852" s="17" t="n">
        <f aca="false">$C852+DIAS_POR_SEMANA-1</f>
        <v>46649</v>
      </c>
      <c r="E852" s="15" t="s">
        <v>271</v>
      </c>
      <c r="F852" s="8" t="str">
        <f aca="false">IFERROR(INDEX(CADASTRO_PIVOS!$C$6:$C$41,MATCH($E852,CADASTRO_PIVOS!$B$6:$B$41,0)),"?")</f>
        <v>RM05</v>
      </c>
      <c r="G852" s="8" t="str">
        <f aca="false">IFERROR(INDEX(CADASTRO_PIVOS!$D$6:$D$41,MATCH($E852,CADASTRO_PIVOS!$B$6:$B$41,0)),"?")</f>
        <v>TR05</v>
      </c>
      <c r="H852" s="20" t="n">
        <f aca="false">IFERROR(INDEX(CADASTRO_PIVOS!$E$6:$E$41,MATCH($E852,CADASTRO_PIVOS!$B$6:$B$41,0)),0)</f>
        <v>119.98</v>
      </c>
      <c r="I852" s="16" t="n">
        <f aca="false">IFERROR(SUMIFS(ROTACAO_RDM!$B$6:$B$71,ROTACAO_RDM!$D$6:$D$71,$E852,ROTACAO_RDM!$I$6:$I$71,"&lt;="&amp;$C852+INT(DIAS_POR_SEMANA/2),ROTACAO_RDM!$J$6:$J$71,"&gt;="&amp;$C852+INT(DIAS_POR_SEMANA/2)),0)</f>
        <v>0</v>
      </c>
      <c r="J852" s="16" t="n">
        <f aca="false">IFERROR(MATCH($I852,ROTACAO_RDM!$B$6:$B$71,0),0)</f>
        <v>0</v>
      </c>
      <c r="K852" s="8" t="str">
        <f aca="false">IF($J852=0,"SEM CULTURA",INDEX(ROTACAO_RDM!$F$6:$F$71,$J852))</f>
        <v>SEM CULTURA</v>
      </c>
      <c r="L852" s="8" t="str">
        <f aca="false">IF($J852=0,"",INDEX(ROTACAO_RDM!$G$6:$G$71,$J852))</f>
        <v/>
      </c>
      <c r="M852" s="17" t="str">
        <f aca="false">IF($J852=0,"",INDEX(ROTACAO_RDM!$I$6:$I$71,$J852))</f>
        <v/>
      </c>
      <c r="N852" s="16" t="n">
        <f aca="false">IF($J852=0,0,MAX(0,$C852+INT(DIAS_POR_SEMANA/2)-INDEX(ROTACAO_RDM!$I$6:$I$71,$J852)))</f>
        <v>0</v>
      </c>
      <c r="O852" s="19" t="n">
        <f aca="false">IF($J852=0,0,MIN(1,$N852/MAX(1,INDEX(ROTACAO_RDM!$K$6:$K$71,$J852))))</f>
        <v>0</v>
      </c>
      <c r="P852" s="16" t="n">
        <f aca="false">IF($J852=0,0,IFERROR(MATCH(INDEX(ROTACAO_RDM!$N$6:$N$71,$J852),PARAMETROS_CULTURAS!$B$6:$B$28,0),0))</f>
        <v>0</v>
      </c>
      <c r="Q852" s="8" t="str">
        <f aca="false">IF($P852=0,"-",IF($O852&lt;=INDEX(PARAMETROS_CULTURAS!$F$6:$F$28,$P852),"INICIAL",IF($O852&lt;=INDEX(PARAMETROS_CULTURAS!$F$6:$F$28,$P852)+INDEX(PARAMETROS_CULTURAS!$G$6:$G$28,$P852),"DESENVOLVIMENTO",IF($O852&lt;=INDEX(PARAMETROS_CULTURAS!$F$6:$F$28,$P852)+INDEX(PARAMETROS_CULTURAS!$G$6:$G$28,$P852)+INDEX(PARAMETROS_CULTURAS!$H$6:$H$28,$P852),"MEDIA","FINAL"))))</f>
        <v>-</v>
      </c>
      <c r="R852" s="24" t="n">
        <f aca="false">IF($P852=0,0,IF($O852&lt;=INDEX(PARAMETROS_CULTURAS!$F$6:$F$28,$P852),INDEX(PARAMETROS_CULTURAS!$K$6:$K$28,$P852),IF($O852&lt;=INDEX(PARAMETROS_CULTURAS!$F$6:$F$28,$P852)+INDEX(PARAMETROS_CULTURAS!$G$6:$G$28,$P852),INDEX(PARAMETROS_CULTURAS!$K$6:$K$28,$P852)+(INDEX(PARAMETROS_CULTURAS!$L$6:$L$28,$P852)-INDEX(PARAMETROS_CULTURAS!$K$6:$K$28,$P852))*($O852-INDEX(PARAMETROS_CULTURAS!$F$6:$F$28,$P852))/MAX(INDEX(PARAMETROS_CULTURAS!$G$6:$G$28,$P852),0.0001),IF($O852&lt;=INDEX(PARAMETROS_CULTURAS!$F$6:$F$28,$P852)+INDEX(PARAMETROS_CULTURAS!$G$6:$G$28,$P852)+INDEX(PARAMETROS_CULTURAS!$H$6:$H$28,$P852),INDEX(PARAMETROS_CULTURAS!$L$6:$L$28,$P852),INDEX(PARAMETROS_CULTURAS!$L$6:$L$28,$P852)+(INDEX(PARAMETROS_CULTURAS!$M$6:$M$28,$P852)-INDEX(PARAMETROS_CULTURAS!$L$6:$L$28,$P852))*($O852-INDEX(PARAMETROS_CULTURAS!$F$6:$F$28,$P852)-INDEX(PARAMETROS_CULTURAS!$G$6:$G$28,$P852)-INDEX(PARAMETROS_CULTURAS!$H$6:$H$28,$P852))/MAX(INDEX(PARAMETROS_CULTURAS!$I$6:$I$28,$P852),0.0001)))))</f>
        <v>0</v>
      </c>
      <c r="S852" s="18" t="n">
        <f aca="false">IFERROR(INDEX(SEMANAS!$H$6:$H$71,MATCH($B852,SEMANAS!$B$6:$B$71,0)),0)</f>
        <v>40.6</v>
      </c>
      <c r="T852" s="18" t="n">
        <f aca="false">$R852*$S852</f>
        <v>0</v>
      </c>
      <c r="U852" s="18" t="n">
        <f aca="false">IFERROR(INDEX(SEMANAS!$I$6:$I$71,MATCH($B852,SEMANAS!$B$6:$B$71,0)),0)</f>
        <v>7</v>
      </c>
      <c r="V852" s="18" t="n">
        <f aca="false">IFERROR(INDEX(SEMANAS!$J$6:$J$71,MATCH($B852,SEMANAS!$B$6:$B$71,0)),0)</f>
        <v>5.6</v>
      </c>
      <c r="W852" s="18" t="n">
        <f aca="false">MAX(0,$T852-$V852)</f>
        <v>0</v>
      </c>
      <c r="X852" s="19" t="n">
        <f aca="false">IFERROR(INDEX(CADASTRO_PIVOS!$K$6:$K$41,MATCH($E852,CADASTRO_PIVOS!$B$6:$B$41,0)),EFICIENCIA_PADRAO)</f>
        <v>0.85</v>
      </c>
      <c r="Y852" s="18" t="n">
        <f aca="false">IF($X852&lt;=0,0,$W852/$X852)</f>
        <v>0</v>
      </c>
      <c r="Z852" s="16" t="n">
        <f aca="false">$Y852*$H852*MM_PARA_M3_HA</f>
        <v>0</v>
      </c>
      <c r="AA852" s="18" t="n">
        <f aca="false">IFERROR(INDEX(CADASTRO_PIVOS!$I$6:$I$41,MATCH($E852,CADASTRO_PIVOS!$B$6:$B$41,0)),0)</f>
        <v>857</v>
      </c>
      <c r="AB852" s="18" t="n">
        <f aca="false">IF($Z852&lt;=0,0,$Z852/$AA852)</f>
        <v>0</v>
      </c>
      <c r="AC852" s="16" t="n">
        <f aca="false">IFERROR(INDEX(SEMANAS!$K$6:$K$71,MATCH($B852,SEMANAS!$B$6:$B$71,0)),0)</f>
        <v>147</v>
      </c>
      <c r="AD852" s="19" t="n">
        <f aca="false">IF($AC852&lt;=0,0,$AB852/$AC852)</f>
        <v>0</v>
      </c>
      <c r="AE852" s="8" t="str">
        <f aca="false">IF($K852="SEM CULTURA","SEM CULTURA",IF($AA852&lt;=0,"DADO PENDENTE",IF($AD852&gt;LIMITE_CRITICO,"INVIAVEL",IF($AD852&gt;LIMITE_ATENCAO,"CRITICO",IF($AD852&gt;LIMITE_CONFORTAVEL,"ATENCAO","OK")))))</f>
        <v>SEM CULTURA</v>
      </c>
      <c r="AF852" s="8" t="str">
        <f aca="false">$B852&amp;"|"&amp;TEXT($AD852,"0.000000")</f>
        <v>55|0.000000</v>
      </c>
      <c r="AG852" s="18" t="n">
        <f aca="false">IF($K852="SEM CULTURA",0,$T852*$H852)</f>
        <v>0</v>
      </c>
      <c r="AH852" s="18" t="n">
        <f aca="false">IF($K852="SEM CULTURA",0,$V852*$H852)</f>
        <v>0</v>
      </c>
      <c r="AI852" s="18" t="n">
        <f aca="false">IF($K852="SEM CULTURA",0,$W852*$H852)</f>
        <v>0</v>
      </c>
      <c r="AJ852" s="18" t="n">
        <f aca="false">IF($K852="SEM CULTURA",0,$S852*$H852)</f>
        <v>0</v>
      </c>
      <c r="AK852" s="8" t="str">
        <f aca="false">$E852&amp;"|"&amp;TEXT($AD852,"0.000000")</f>
        <v>PV 114|0.000000</v>
      </c>
    </row>
    <row r="853" customFormat="false" ht="15" hidden="false" customHeight="false" outlineLevel="0" collapsed="false">
      <c r="B853" s="16" t="n">
        <v>56</v>
      </c>
      <c r="C853" s="17" t="n">
        <f aca="false">DATA_INICIO_SAFRA+($B853-1)*DIAS_POR_SEMANA</f>
        <v>46650</v>
      </c>
      <c r="D853" s="17" t="n">
        <f aca="false">$C853+DIAS_POR_SEMANA-1</f>
        <v>46656</v>
      </c>
      <c r="E853" s="15" t="s">
        <v>271</v>
      </c>
      <c r="F853" s="8" t="str">
        <f aca="false">IFERROR(INDEX(CADASTRO_PIVOS!$C$6:$C$41,MATCH($E853,CADASTRO_PIVOS!$B$6:$B$41,0)),"?")</f>
        <v>RM05</v>
      </c>
      <c r="G853" s="8" t="str">
        <f aca="false">IFERROR(INDEX(CADASTRO_PIVOS!$D$6:$D$41,MATCH($E853,CADASTRO_PIVOS!$B$6:$B$41,0)),"?")</f>
        <v>TR05</v>
      </c>
      <c r="H853" s="20" t="n">
        <f aca="false">IFERROR(INDEX(CADASTRO_PIVOS!$E$6:$E$41,MATCH($E853,CADASTRO_PIVOS!$B$6:$B$41,0)),0)</f>
        <v>119.98</v>
      </c>
      <c r="I853" s="16" t="n">
        <f aca="false">IFERROR(SUMIFS(ROTACAO_RDM!$B$6:$B$71,ROTACAO_RDM!$D$6:$D$71,$E853,ROTACAO_RDM!$I$6:$I$71,"&lt;="&amp;$C853+INT(DIAS_POR_SEMANA/2),ROTACAO_RDM!$J$6:$J$71,"&gt;="&amp;$C853+INT(DIAS_POR_SEMANA/2)),0)</f>
        <v>0</v>
      </c>
      <c r="J853" s="16" t="n">
        <f aca="false">IFERROR(MATCH($I853,ROTACAO_RDM!$B$6:$B$71,0),0)</f>
        <v>0</v>
      </c>
      <c r="K853" s="8" t="str">
        <f aca="false">IF($J853=0,"SEM CULTURA",INDEX(ROTACAO_RDM!$F$6:$F$71,$J853))</f>
        <v>SEM CULTURA</v>
      </c>
      <c r="L853" s="8" t="str">
        <f aca="false">IF($J853=0,"",INDEX(ROTACAO_RDM!$G$6:$G$71,$J853))</f>
        <v/>
      </c>
      <c r="M853" s="17" t="str">
        <f aca="false">IF($J853=0,"",INDEX(ROTACAO_RDM!$I$6:$I$71,$J853))</f>
        <v/>
      </c>
      <c r="N853" s="16" t="n">
        <f aca="false">IF($J853=0,0,MAX(0,$C853+INT(DIAS_POR_SEMANA/2)-INDEX(ROTACAO_RDM!$I$6:$I$71,$J853)))</f>
        <v>0</v>
      </c>
      <c r="O853" s="19" t="n">
        <f aca="false">IF($J853=0,0,MIN(1,$N853/MAX(1,INDEX(ROTACAO_RDM!$K$6:$K$71,$J853))))</f>
        <v>0</v>
      </c>
      <c r="P853" s="16" t="n">
        <f aca="false">IF($J853=0,0,IFERROR(MATCH(INDEX(ROTACAO_RDM!$N$6:$N$71,$J853),PARAMETROS_CULTURAS!$B$6:$B$28,0),0))</f>
        <v>0</v>
      </c>
      <c r="Q853" s="8" t="str">
        <f aca="false">IF($P853=0,"-",IF($O853&lt;=INDEX(PARAMETROS_CULTURAS!$F$6:$F$28,$P853),"INICIAL",IF($O853&lt;=INDEX(PARAMETROS_CULTURAS!$F$6:$F$28,$P853)+INDEX(PARAMETROS_CULTURAS!$G$6:$G$28,$P853),"DESENVOLVIMENTO",IF($O853&lt;=INDEX(PARAMETROS_CULTURAS!$F$6:$F$28,$P853)+INDEX(PARAMETROS_CULTURAS!$G$6:$G$28,$P853)+INDEX(PARAMETROS_CULTURAS!$H$6:$H$28,$P853),"MEDIA","FINAL"))))</f>
        <v>-</v>
      </c>
      <c r="R853" s="24" t="n">
        <f aca="false">IF($P853=0,0,IF($O853&lt;=INDEX(PARAMETROS_CULTURAS!$F$6:$F$28,$P853),INDEX(PARAMETROS_CULTURAS!$K$6:$K$28,$P853),IF($O853&lt;=INDEX(PARAMETROS_CULTURAS!$F$6:$F$28,$P853)+INDEX(PARAMETROS_CULTURAS!$G$6:$G$28,$P853),INDEX(PARAMETROS_CULTURAS!$K$6:$K$28,$P853)+(INDEX(PARAMETROS_CULTURAS!$L$6:$L$28,$P853)-INDEX(PARAMETROS_CULTURAS!$K$6:$K$28,$P853))*($O853-INDEX(PARAMETROS_CULTURAS!$F$6:$F$28,$P853))/MAX(INDEX(PARAMETROS_CULTURAS!$G$6:$G$28,$P853),0.0001),IF($O853&lt;=INDEX(PARAMETROS_CULTURAS!$F$6:$F$28,$P853)+INDEX(PARAMETROS_CULTURAS!$G$6:$G$28,$P853)+INDEX(PARAMETROS_CULTURAS!$H$6:$H$28,$P853),INDEX(PARAMETROS_CULTURAS!$L$6:$L$28,$P853),INDEX(PARAMETROS_CULTURAS!$L$6:$L$28,$P853)+(INDEX(PARAMETROS_CULTURAS!$M$6:$M$28,$P853)-INDEX(PARAMETROS_CULTURAS!$L$6:$L$28,$P853))*($O853-INDEX(PARAMETROS_CULTURAS!$F$6:$F$28,$P853)-INDEX(PARAMETROS_CULTURAS!$G$6:$G$28,$P853)-INDEX(PARAMETROS_CULTURAS!$H$6:$H$28,$P853))/MAX(INDEX(PARAMETROS_CULTURAS!$I$6:$I$28,$P853),0.0001)))))</f>
        <v>0</v>
      </c>
      <c r="S853" s="18" t="n">
        <f aca="false">IFERROR(INDEX(SEMANAS!$H$6:$H$71,MATCH($B853,SEMANAS!$B$6:$B$71,0)),0)</f>
        <v>40.6</v>
      </c>
      <c r="T853" s="18" t="n">
        <f aca="false">$R853*$S853</f>
        <v>0</v>
      </c>
      <c r="U853" s="18" t="n">
        <f aca="false">IFERROR(INDEX(SEMANAS!$I$6:$I$71,MATCH($B853,SEMANAS!$B$6:$B$71,0)),0)</f>
        <v>7</v>
      </c>
      <c r="V853" s="18" t="n">
        <f aca="false">IFERROR(INDEX(SEMANAS!$J$6:$J$71,MATCH($B853,SEMANAS!$B$6:$B$71,0)),0)</f>
        <v>5.6</v>
      </c>
      <c r="W853" s="18" t="n">
        <f aca="false">MAX(0,$T853-$V853)</f>
        <v>0</v>
      </c>
      <c r="X853" s="19" t="n">
        <f aca="false">IFERROR(INDEX(CADASTRO_PIVOS!$K$6:$K$41,MATCH($E853,CADASTRO_PIVOS!$B$6:$B$41,0)),EFICIENCIA_PADRAO)</f>
        <v>0.85</v>
      </c>
      <c r="Y853" s="18" t="n">
        <f aca="false">IF($X853&lt;=0,0,$W853/$X853)</f>
        <v>0</v>
      </c>
      <c r="Z853" s="16" t="n">
        <f aca="false">$Y853*$H853*MM_PARA_M3_HA</f>
        <v>0</v>
      </c>
      <c r="AA853" s="18" t="n">
        <f aca="false">IFERROR(INDEX(CADASTRO_PIVOS!$I$6:$I$41,MATCH($E853,CADASTRO_PIVOS!$B$6:$B$41,0)),0)</f>
        <v>857</v>
      </c>
      <c r="AB853" s="18" t="n">
        <f aca="false">IF($Z853&lt;=0,0,$Z853/$AA853)</f>
        <v>0</v>
      </c>
      <c r="AC853" s="16" t="n">
        <f aca="false">IFERROR(INDEX(SEMANAS!$K$6:$K$71,MATCH($B853,SEMANAS!$B$6:$B$71,0)),0)</f>
        <v>147</v>
      </c>
      <c r="AD853" s="19" t="n">
        <f aca="false">IF($AC853&lt;=0,0,$AB853/$AC853)</f>
        <v>0</v>
      </c>
      <c r="AE853" s="8" t="str">
        <f aca="false">IF($K853="SEM CULTURA","SEM CULTURA",IF($AA853&lt;=0,"DADO PENDENTE",IF($AD853&gt;LIMITE_CRITICO,"INVIAVEL",IF($AD853&gt;LIMITE_ATENCAO,"CRITICO",IF($AD853&gt;LIMITE_CONFORTAVEL,"ATENCAO","OK")))))</f>
        <v>SEM CULTURA</v>
      </c>
      <c r="AF853" s="8" t="str">
        <f aca="false">$B853&amp;"|"&amp;TEXT($AD853,"0.000000")</f>
        <v>56|0.000000</v>
      </c>
      <c r="AG853" s="18" t="n">
        <f aca="false">IF($K853="SEM CULTURA",0,$T853*$H853)</f>
        <v>0</v>
      </c>
      <c r="AH853" s="18" t="n">
        <f aca="false">IF($K853="SEM CULTURA",0,$V853*$H853)</f>
        <v>0</v>
      </c>
      <c r="AI853" s="18" t="n">
        <f aca="false">IF($K853="SEM CULTURA",0,$W853*$H853)</f>
        <v>0</v>
      </c>
      <c r="AJ853" s="18" t="n">
        <f aca="false">IF($K853="SEM CULTURA",0,$S853*$H853)</f>
        <v>0</v>
      </c>
      <c r="AK853" s="8" t="str">
        <f aca="false">$E853&amp;"|"&amp;TEXT($AD853,"0.000000")</f>
        <v>PV 114|0.000000</v>
      </c>
    </row>
    <row r="854" customFormat="false" ht="15" hidden="false" customHeight="false" outlineLevel="0" collapsed="false">
      <c r="B854" s="16" t="n">
        <v>57</v>
      </c>
      <c r="C854" s="17" t="n">
        <f aca="false">DATA_INICIO_SAFRA+($B854-1)*DIAS_POR_SEMANA</f>
        <v>46657</v>
      </c>
      <c r="D854" s="17" t="n">
        <f aca="false">$C854+DIAS_POR_SEMANA-1</f>
        <v>46663</v>
      </c>
      <c r="E854" s="15" t="s">
        <v>271</v>
      </c>
      <c r="F854" s="8" t="str">
        <f aca="false">IFERROR(INDEX(CADASTRO_PIVOS!$C$6:$C$41,MATCH($E854,CADASTRO_PIVOS!$B$6:$B$41,0)),"?")</f>
        <v>RM05</v>
      </c>
      <c r="G854" s="8" t="str">
        <f aca="false">IFERROR(INDEX(CADASTRO_PIVOS!$D$6:$D$41,MATCH($E854,CADASTRO_PIVOS!$B$6:$B$41,0)),"?")</f>
        <v>TR05</v>
      </c>
      <c r="H854" s="20" t="n">
        <f aca="false">IFERROR(INDEX(CADASTRO_PIVOS!$E$6:$E$41,MATCH($E854,CADASTRO_PIVOS!$B$6:$B$41,0)),0)</f>
        <v>119.98</v>
      </c>
      <c r="I854" s="16" t="n">
        <f aca="false">IFERROR(SUMIFS(ROTACAO_RDM!$B$6:$B$71,ROTACAO_RDM!$D$6:$D$71,$E854,ROTACAO_RDM!$I$6:$I$71,"&lt;="&amp;$C854+INT(DIAS_POR_SEMANA/2),ROTACAO_RDM!$J$6:$J$71,"&gt;="&amp;$C854+INT(DIAS_POR_SEMANA/2)),0)</f>
        <v>0</v>
      </c>
      <c r="J854" s="16" t="n">
        <f aca="false">IFERROR(MATCH($I854,ROTACAO_RDM!$B$6:$B$71,0),0)</f>
        <v>0</v>
      </c>
      <c r="K854" s="8" t="str">
        <f aca="false">IF($J854=0,"SEM CULTURA",INDEX(ROTACAO_RDM!$F$6:$F$71,$J854))</f>
        <v>SEM CULTURA</v>
      </c>
      <c r="L854" s="8" t="str">
        <f aca="false">IF($J854=0,"",INDEX(ROTACAO_RDM!$G$6:$G$71,$J854))</f>
        <v/>
      </c>
      <c r="M854" s="17" t="str">
        <f aca="false">IF($J854=0,"",INDEX(ROTACAO_RDM!$I$6:$I$71,$J854))</f>
        <v/>
      </c>
      <c r="N854" s="16" t="n">
        <f aca="false">IF($J854=0,0,MAX(0,$C854+INT(DIAS_POR_SEMANA/2)-INDEX(ROTACAO_RDM!$I$6:$I$71,$J854)))</f>
        <v>0</v>
      </c>
      <c r="O854" s="19" t="n">
        <f aca="false">IF($J854=0,0,MIN(1,$N854/MAX(1,INDEX(ROTACAO_RDM!$K$6:$K$71,$J854))))</f>
        <v>0</v>
      </c>
      <c r="P854" s="16" t="n">
        <f aca="false">IF($J854=0,0,IFERROR(MATCH(INDEX(ROTACAO_RDM!$N$6:$N$71,$J854),PARAMETROS_CULTURAS!$B$6:$B$28,0),0))</f>
        <v>0</v>
      </c>
      <c r="Q854" s="8" t="str">
        <f aca="false">IF($P854=0,"-",IF($O854&lt;=INDEX(PARAMETROS_CULTURAS!$F$6:$F$28,$P854),"INICIAL",IF($O854&lt;=INDEX(PARAMETROS_CULTURAS!$F$6:$F$28,$P854)+INDEX(PARAMETROS_CULTURAS!$G$6:$G$28,$P854),"DESENVOLVIMENTO",IF($O854&lt;=INDEX(PARAMETROS_CULTURAS!$F$6:$F$28,$P854)+INDEX(PARAMETROS_CULTURAS!$G$6:$G$28,$P854)+INDEX(PARAMETROS_CULTURAS!$H$6:$H$28,$P854),"MEDIA","FINAL"))))</f>
        <v>-</v>
      </c>
      <c r="R854" s="24" t="n">
        <f aca="false">IF($P854=0,0,IF($O854&lt;=INDEX(PARAMETROS_CULTURAS!$F$6:$F$28,$P854),INDEX(PARAMETROS_CULTURAS!$K$6:$K$28,$P854),IF($O854&lt;=INDEX(PARAMETROS_CULTURAS!$F$6:$F$28,$P854)+INDEX(PARAMETROS_CULTURAS!$G$6:$G$28,$P854),INDEX(PARAMETROS_CULTURAS!$K$6:$K$28,$P854)+(INDEX(PARAMETROS_CULTURAS!$L$6:$L$28,$P854)-INDEX(PARAMETROS_CULTURAS!$K$6:$K$28,$P854))*($O854-INDEX(PARAMETROS_CULTURAS!$F$6:$F$28,$P854))/MAX(INDEX(PARAMETROS_CULTURAS!$G$6:$G$28,$P854),0.0001),IF($O854&lt;=INDEX(PARAMETROS_CULTURAS!$F$6:$F$28,$P854)+INDEX(PARAMETROS_CULTURAS!$G$6:$G$28,$P854)+INDEX(PARAMETROS_CULTURAS!$H$6:$H$28,$P854),INDEX(PARAMETROS_CULTURAS!$L$6:$L$28,$P854),INDEX(PARAMETROS_CULTURAS!$L$6:$L$28,$P854)+(INDEX(PARAMETROS_CULTURAS!$M$6:$M$28,$P854)-INDEX(PARAMETROS_CULTURAS!$L$6:$L$28,$P854))*($O854-INDEX(PARAMETROS_CULTURAS!$F$6:$F$28,$P854)-INDEX(PARAMETROS_CULTURAS!$G$6:$G$28,$P854)-INDEX(PARAMETROS_CULTURAS!$H$6:$H$28,$P854))/MAX(INDEX(PARAMETROS_CULTURAS!$I$6:$I$28,$P854),0.0001)))))</f>
        <v>0</v>
      </c>
      <c r="S854" s="18" t="n">
        <f aca="false">IFERROR(INDEX(SEMANAS!$H$6:$H$71,MATCH($B854,SEMANAS!$B$6:$B$71,0)),0)</f>
        <v>40</v>
      </c>
      <c r="T854" s="18" t="n">
        <f aca="false">$R854*$S854</f>
        <v>0</v>
      </c>
      <c r="U854" s="18" t="n">
        <f aca="false">IFERROR(INDEX(SEMANAS!$I$6:$I$71,MATCH($B854,SEMANAS!$B$6:$B$71,0)),0)</f>
        <v>15.61</v>
      </c>
      <c r="V854" s="18" t="n">
        <f aca="false">IFERROR(INDEX(SEMANAS!$J$6:$J$71,MATCH($B854,SEMANAS!$B$6:$B$71,0)),0)</f>
        <v>12.488</v>
      </c>
      <c r="W854" s="18" t="n">
        <f aca="false">MAX(0,$T854-$V854)</f>
        <v>0</v>
      </c>
      <c r="X854" s="19" t="n">
        <f aca="false">IFERROR(INDEX(CADASTRO_PIVOS!$K$6:$K$41,MATCH($E854,CADASTRO_PIVOS!$B$6:$B$41,0)),EFICIENCIA_PADRAO)</f>
        <v>0.85</v>
      </c>
      <c r="Y854" s="18" t="n">
        <f aca="false">IF($X854&lt;=0,0,$W854/$X854)</f>
        <v>0</v>
      </c>
      <c r="Z854" s="16" t="n">
        <f aca="false">$Y854*$H854*MM_PARA_M3_HA</f>
        <v>0</v>
      </c>
      <c r="AA854" s="18" t="n">
        <f aca="false">IFERROR(INDEX(CADASTRO_PIVOS!$I$6:$I$41,MATCH($E854,CADASTRO_PIVOS!$B$6:$B$41,0)),0)</f>
        <v>857</v>
      </c>
      <c r="AB854" s="18" t="n">
        <f aca="false">IF($Z854&lt;=0,0,$Z854/$AA854)</f>
        <v>0</v>
      </c>
      <c r="AC854" s="16" t="n">
        <f aca="false">IFERROR(INDEX(SEMANAS!$K$6:$K$71,MATCH($B854,SEMANAS!$B$6:$B$71,0)),0)</f>
        <v>147</v>
      </c>
      <c r="AD854" s="19" t="n">
        <f aca="false">IF($AC854&lt;=0,0,$AB854/$AC854)</f>
        <v>0</v>
      </c>
      <c r="AE854" s="8" t="str">
        <f aca="false">IF($K854="SEM CULTURA","SEM CULTURA",IF($AA854&lt;=0,"DADO PENDENTE",IF($AD854&gt;LIMITE_CRITICO,"INVIAVEL",IF($AD854&gt;LIMITE_ATENCAO,"CRITICO",IF($AD854&gt;LIMITE_CONFORTAVEL,"ATENCAO","OK")))))</f>
        <v>SEM CULTURA</v>
      </c>
      <c r="AF854" s="8" t="str">
        <f aca="false">$B854&amp;"|"&amp;TEXT($AD854,"0.000000")</f>
        <v>57|0.000000</v>
      </c>
      <c r="AG854" s="18" t="n">
        <f aca="false">IF($K854="SEM CULTURA",0,$T854*$H854)</f>
        <v>0</v>
      </c>
      <c r="AH854" s="18" t="n">
        <f aca="false">IF($K854="SEM CULTURA",0,$V854*$H854)</f>
        <v>0</v>
      </c>
      <c r="AI854" s="18" t="n">
        <f aca="false">IF($K854="SEM CULTURA",0,$W854*$H854)</f>
        <v>0</v>
      </c>
      <c r="AJ854" s="18" t="n">
        <f aca="false">IF($K854="SEM CULTURA",0,$S854*$H854)</f>
        <v>0</v>
      </c>
      <c r="AK854" s="8" t="str">
        <f aca="false">$E854&amp;"|"&amp;TEXT($AD854,"0.000000")</f>
        <v>PV 114|0.000000</v>
      </c>
    </row>
    <row r="855" customFormat="false" ht="15" hidden="false" customHeight="false" outlineLevel="0" collapsed="false">
      <c r="B855" s="16" t="n">
        <v>58</v>
      </c>
      <c r="C855" s="17" t="n">
        <f aca="false">DATA_INICIO_SAFRA+($B855-1)*DIAS_POR_SEMANA</f>
        <v>46664</v>
      </c>
      <c r="D855" s="17" t="n">
        <f aca="false">$C855+DIAS_POR_SEMANA-1</f>
        <v>46670</v>
      </c>
      <c r="E855" s="15" t="s">
        <v>271</v>
      </c>
      <c r="F855" s="8" t="str">
        <f aca="false">IFERROR(INDEX(CADASTRO_PIVOS!$C$6:$C$41,MATCH($E855,CADASTRO_PIVOS!$B$6:$B$41,0)),"?")</f>
        <v>RM05</v>
      </c>
      <c r="G855" s="8" t="str">
        <f aca="false">IFERROR(INDEX(CADASTRO_PIVOS!$D$6:$D$41,MATCH($E855,CADASTRO_PIVOS!$B$6:$B$41,0)),"?")</f>
        <v>TR05</v>
      </c>
      <c r="H855" s="20" t="n">
        <f aca="false">IFERROR(INDEX(CADASTRO_PIVOS!$E$6:$E$41,MATCH($E855,CADASTRO_PIVOS!$B$6:$B$41,0)),0)</f>
        <v>119.98</v>
      </c>
      <c r="I855" s="16" t="n">
        <f aca="false">IFERROR(SUMIFS(ROTACAO_RDM!$B$6:$B$71,ROTACAO_RDM!$D$6:$D$71,$E855,ROTACAO_RDM!$I$6:$I$71,"&lt;="&amp;$C855+INT(DIAS_POR_SEMANA/2),ROTACAO_RDM!$J$6:$J$71,"&gt;="&amp;$C855+INT(DIAS_POR_SEMANA/2)),0)</f>
        <v>0</v>
      </c>
      <c r="J855" s="16" t="n">
        <f aca="false">IFERROR(MATCH($I855,ROTACAO_RDM!$B$6:$B$71,0),0)</f>
        <v>0</v>
      </c>
      <c r="K855" s="8" t="str">
        <f aca="false">IF($J855=0,"SEM CULTURA",INDEX(ROTACAO_RDM!$F$6:$F$71,$J855))</f>
        <v>SEM CULTURA</v>
      </c>
      <c r="L855" s="8" t="str">
        <f aca="false">IF($J855=0,"",INDEX(ROTACAO_RDM!$G$6:$G$71,$J855))</f>
        <v/>
      </c>
      <c r="M855" s="17" t="str">
        <f aca="false">IF($J855=0,"",INDEX(ROTACAO_RDM!$I$6:$I$71,$J855))</f>
        <v/>
      </c>
      <c r="N855" s="16" t="n">
        <f aca="false">IF($J855=0,0,MAX(0,$C855+INT(DIAS_POR_SEMANA/2)-INDEX(ROTACAO_RDM!$I$6:$I$71,$J855)))</f>
        <v>0</v>
      </c>
      <c r="O855" s="19" t="n">
        <f aca="false">IF($J855=0,0,MIN(1,$N855/MAX(1,INDEX(ROTACAO_RDM!$K$6:$K$71,$J855))))</f>
        <v>0</v>
      </c>
      <c r="P855" s="16" t="n">
        <f aca="false">IF($J855=0,0,IFERROR(MATCH(INDEX(ROTACAO_RDM!$N$6:$N$71,$J855),PARAMETROS_CULTURAS!$B$6:$B$28,0),0))</f>
        <v>0</v>
      </c>
      <c r="Q855" s="8" t="str">
        <f aca="false">IF($P855=0,"-",IF($O855&lt;=INDEX(PARAMETROS_CULTURAS!$F$6:$F$28,$P855),"INICIAL",IF($O855&lt;=INDEX(PARAMETROS_CULTURAS!$F$6:$F$28,$P855)+INDEX(PARAMETROS_CULTURAS!$G$6:$G$28,$P855),"DESENVOLVIMENTO",IF($O855&lt;=INDEX(PARAMETROS_CULTURAS!$F$6:$F$28,$P855)+INDEX(PARAMETROS_CULTURAS!$G$6:$G$28,$P855)+INDEX(PARAMETROS_CULTURAS!$H$6:$H$28,$P855),"MEDIA","FINAL"))))</f>
        <v>-</v>
      </c>
      <c r="R855" s="24" t="n">
        <f aca="false">IF($P855=0,0,IF($O855&lt;=INDEX(PARAMETROS_CULTURAS!$F$6:$F$28,$P855),INDEX(PARAMETROS_CULTURAS!$K$6:$K$28,$P855),IF($O855&lt;=INDEX(PARAMETROS_CULTURAS!$F$6:$F$28,$P855)+INDEX(PARAMETROS_CULTURAS!$G$6:$G$28,$P855),INDEX(PARAMETROS_CULTURAS!$K$6:$K$28,$P855)+(INDEX(PARAMETROS_CULTURAS!$L$6:$L$28,$P855)-INDEX(PARAMETROS_CULTURAS!$K$6:$K$28,$P855))*($O855-INDEX(PARAMETROS_CULTURAS!$F$6:$F$28,$P855))/MAX(INDEX(PARAMETROS_CULTURAS!$G$6:$G$28,$P855),0.0001),IF($O855&lt;=INDEX(PARAMETROS_CULTURAS!$F$6:$F$28,$P855)+INDEX(PARAMETROS_CULTURAS!$G$6:$G$28,$P855)+INDEX(PARAMETROS_CULTURAS!$H$6:$H$28,$P855),INDEX(PARAMETROS_CULTURAS!$L$6:$L$28,$P855),INDEX(PARAMETROS_CULTURAS!$L$6:$L$28,$P855)+(INDEX(PARAMETROS_CULTURAS!$M$6:$M$28,$P855)-INDEX(PARAMETROS_CULTURAS!$L$6:$L$28,$P855))*($O855-INDEX(PARAMETROS_CULTURAS!$F$6:$F$28,$P855)-INDEX(PARAMETROS_CULTURAS!$G$6:$G$28,$P855)-INDEX(PARAMETROS_CULTURAS!$H$6:$H$28,$P855))/MAX(INDEX(PARAMETROS_CULTURAS!$I$6:$I$28,$P855),0.0001)))))</f>
        <v>0</v>
      </c>
      <c r="S855" s="18" t="n">
        <f aca="false">IFERROR(INDEX(SEMANAS!$H$6:$H$71,MATCH($B855,SEMANAS!$B$6:$B$71,0)),0)</f>
        <v>39.2</v>
      </c>
      <c r="T855" s="18" t="n">
        <f aca="false">$R855*$S855</f>
        <v>0</v>
      </c>
      <c r="U855" s="18" t="n">
        <f aca="false">IFERROR(INDEX(SEMANAS!$I$6:$I$71,MATCH($B855,SEMANAS!$B$6:$B$71,0)),0)</f>
        <v>27.09</v>
      </c>
      <c r="V855" s="18" t="n">
        <f aca="false">IFERROR(INDEX(SEMANAS!$J$6:$J$71,MATCH($B855,SEMANAS!$B$6:$B$71,0)),0)</f>
        <v>21.672</v>
      </c>
      <c r="W855" s="18" t="n">
        <f aca="false">MAX(0,$T855-$V855)</f>
        <v>0</v>
      </c>
      <c r="X855" s="19" t="n">
        <f aca="false">IFERROR(INDEX(CADASTRO_PIVOS!$K$6:$K$41,MATCH($E855,CADASTRO_PIVOS!$B$6:$B$41,0)),EFICIENCIA_PADRAO)</f>
        <v>0.85</v>
      </c>
      <c r="Y855" s="18" t="n">
        <f aca="false">IF($X855&lt;=0,0,$W855/$X855)</f>
        <v>0</v>
      </c>
      <c r="Z855" s="16" t="n">
        <f aca="false">$Y855*$H855*MM_PARA_M3_HA</f>
        <v>0</v>
      </c>
      <c r="AA855" s="18" t="n">
        <f aca="false">IFERROR(INDEX(CADASTRO_PIVOS!$I$6:$I$41,MATCH($E855,CADASTRO_PIVOS!$B$6:$B$41,0)),0)</f>
        <v>857</v>
      </c>
      <c r="AB855" s="18" t="n">
        <f aca="false">IF($Z855&lt;=0,0,$Z855/$AA855)</f>
        <v>0</v>
      </c>
      <c r="AC855" s="16" t="n">
        <f aca="false">IFERROR(INDEX(SEMANAS!$K$6:$K$71,MATCH($B855,SEMANAS!$B$6:$B$71,0)),0)</f>
        <v>147</v>
      </c>
      <c r="AD855" s="19" t="n">
        <f aca="false">IF($AC855&lt;=0,0,$AB855/$AC855)</f>
        <v>0</v>
      </c>
      <c r="AE855" s="8" t="str">
        <f aca="false">IF($K855="SEM CULTURA","SEM CULTURA",IF($AA855&lt;=0,"DADO PENDENTE",IF($AD855&gt;LIMITE_CRITICO,"INVIAVEL",IF($AD855&gt;LIMITE_ATENCAO,"CRITICO",IF($AD855&gt;LIMITE_CONFORTAVEL,"ATENCAO","OK")))))</f>
        <v>SEM CULTURA</v>
      </c>
      <c r="AF855" s="8" t="str">
        <f aca="false">$B855&amp;"|"&amp;TEXT($AD855,"0.000000")</f>
        <v>58|0.000000</v>
      </c>
      <c r="AG855" s="18" t="n">
        <f aca="false">IF($K855="SEM CULTURA",0,$T855*$H855)</f>
        <v>0</v>
      </c>
      <c r="AH855" s="18" t="n">
        <f aca="false">IF($K855="SEM CULTURA",0,$V855*$H855)</f>
        <v>0</v>
      </c>
      <c r="AI855" s="18" t="n">
        <f aca="false">IF($K855="SEM CULTURA",0,$W855*$H855)</f>
        <v>0</v>
      </c>
      <c r="AJ855" s="18" t="n">
        <f aca="false">IF($K855="SEM CULTURA",0,$S855*$H855)</f>
        <v>0</v>
      </c>
      <c r="AK855" s="8" t="str">
        <f aca="false">$E855&amp;"|"&amp;TEXT($AD855,"0.000000")</f>
        <v>PV 114|0.000000</v>
      </c>
    </row>
    <row r="856" customFormat="false" ht="15" hidden="false" customHeight="false" outlineLevel="0" collapsed="false">
      <c r="B856" s="16" t="n">
        <v>59</v>
      </c>
      <c r="C856" s="17" t="n">
        <f aca="false">DATA_INICIO_SAFRA+($B856-1)*DIAS_POR_SEMANA</f>
        <v>46671</v>
      </c>
      <c r="D856" s="17" t="n">
        <f aca="false">$C856+DIAS_POR_SEMANA-1</f>
        <v>46677</v>
      </c>
      <c r="E856" s="15" t="s">
        <v>271</v>
      </c>
      <c r="F856" s="8" t="str">
        <f aca="false">IFERROR(INDEX(CADASTRO_PIVOS!$C$6:$C$41,MATCH($E856,CADASTRO_PIVOS!$B$6:$B$41,0)),"?")</f>
        <v>RM05</v>
      </c>
      <c r="G856" s="8" t="str">
        <f aca="false">IFERROR(INDEX(CADASTRO_PIVOS!$D$6:$D$41,MATCH($E856,CADASTRO_PIVOS!$B$6:$B$41,0)),"?")</f>
        <v>TR05</v>
      </c>
      <c r="H856" s="20" t="n">
        <f aca="false">IFERROR(INDEX(CADASTRO_PIVOS!$E$6:$E$41,MATCH($E856,CADASTRO_PIVOS!$B$6:$B$41,0)),0)</f>
        <v>119.98</v>
      </c>
      <c r="I856" s="16" t="n">
        <f aca="false">IFERROR(SUMIFS(ROTACAO_RDM!$B$6:$B$71,ROTACAO_RDM!$D$6:$D$71,$E856,ROTACAO_RDM!$I$6:$I$71,"&lt;="&amp;$C856+INT(DIAS_POR_SEMANA/2),ROTACAO_RDM!$J$6:$J$71,"&gt;="&amp;$C856+INT(DIAS_POR_SEMANA/2)),0)</f>
        <v>0</v>
      </c>
      <c r="J856" s="16" t="n">
        <f aca="false">IFERROR(MATCH($I856,ROTACAO_RDM!$B$6:$B$71,0),0)</f>
        <v>0</v>
      </c>
      <c r="K856" s="8" t="str">
        <f aca="false">IF($J856=0,"SEM CULTURA",INDEX(ROTACAO_RDM!$F$6:$F$71,$J856))</f>
        <v>SEM CULTURA</v>
      </c>
      <c r="L856" s="8" t="str">
        <f aca="false">IF($J856=0,"",INDEX(ROTACAO_RDM!$G$6:$G$71,$J856))</f>
        <v/>
      </c>
      <c r="M856" s="17" t="str">
        <f aca="false">IF($J856=0,"",INDEX(ROTACAO_RDM!$I$6:$I$71,$J856))</f>
        <v/>
      </c>
      <c r="N856" s="16" t="n">
        <f aca="false">IF($J856=0,0,MAX(0,$C856+INT(DIAS_POR_SEMANA/2)-INDEX(ROTACAO_RDM!$I$6:$I$71,$J856)))</f>
        <v>0</v>
      </c>
      <c r="O856" s="19" t="n">
        <f aca="false">IF($J856=0,0,MIN(1,$N856/MAX(1,INDEX(ROTACAO_RDM!$K$6:$K$71,$J856))))</f>
        <v>0</v>
      </c>
      <c r="P856" s="16" t="n">
        <f aca="false">IF($J856=0,0,IFERROR(MATCH(INDEX(ROTACAO_RDM!$N$6:$N$71,$J856),PARAMETROS_CULTURAS!$B$6:$B$28,0),0))</f>
        <v>0</v>
      </c>
      <c r="Q856" s="8" t="str">
        <f aca="false">IF($P856=0,"-",IF($O856&lt;=INDEX(PARAMETROS_CULTURAS!$F$6:$F$28,$P856),"INICIAL",IF($O856&lt;=INDEX(PARAMETROS_CULTURAS!$F$6:$F$28,$P856)+INDEX(PARAMETROS_CULTURAS!$G$6:$G$28,$P856),"DESENVOLVIMENTO",IF($O856&lt;=INDEX(PARAMETROS_CULTURAS!$F$6:$F$28,$P856)+INDEX(PARAMETROS_CULTURAS!$G$6:$G$28,$P856)+INDEX(PARAMETROS_CULTURAS!$H$6:$H$28,$P856),"MEDIA","FINAL"))))</f>
        <v>-</v>
      </c>
      <c r="R856" s="24" t="n">
        <f aca="false">IF($P856=0,0,IF($O856&lt;=INDEX(PARAMETROS_CULTURAS!$F$6:$F$28,$P856),INDEX(PARAMETROS_CULTURAS!$K$6:$K$28,$P856),IF($O856&lt;=INDEX(PARAMETROS_CULTURAS!$F$6:$F$28,$P856)+INDEX(PARAMETROS_CULTURAS!$G$6:$G$28,$P856),INDEX(PARAMETROS_CULTURAS!$K$6:$K$28,$P856)+(INDEX(PARAMETROS_CULTURAS!$L$6:$L$28,$P856)-INDEX(PARAMETROS_CULTURAS!$K$6:$K$28,$P856))*($O856-INDEX(PARAMETROS_CULTURAS!$F$6:$F$28,$P856))/MAX(INDEX(PARAMETROS_CULTURAS!$G$6:$G$28,$P856),0.0001),IF($O856&lt;=INDEX(PARAMETROS_CULTURAS!$F$6:$F$28,$P856)+INDEX(PARAMETROS_CULTURAS!$G$6:$G$28,$P856)+INDEX(PARAMETROS_CULTURAS!$H$6:$H$28,$P856),INDEX(PARAMETROS_CULTURAS!$L$6:$L$28,$P856),INDEX(PARAMETROS_CULTURAS!$L$6:$L$28,$P856)+(INDEX(PARAMETROS_CULTURAS!$M$6:$M$28,$P856)-INDEX(PARAMETROS_CULTURAS!$L$6:$L$28,$P856))*($O856-INDEX(PARAMETROS_CULTURAS!$F$6:$F$28,$P856)-INDEX(PARAMETROS_CULTURAS!$G$6:$G$28,$P856)-INDEX(PARAMETROS_CULTURAS!$H$6:$H$28,$P856))/MAX(INDEX(PARAMETROS_CULTURAS!$I$6:$I$28,$P856),0.0001)))))</f>
        <v>0</v>
      </c>
      <c r="S856" s="18" t="n">
        <f aca="false">IFERROR(INDEX(SEMANAS!$H$6:$H$71,MATCH($B856,SEMANAS!$B$6:$B$71,0)),0)</f>
        <v>39.2</v>
      </c>
      <c r="T856" s="18" t="n">
        <f aca="false">$R856*$S856</f>
        <v>0</v>
      </c>
      <c r="U856" s="18" t="n">
        <f aca="false">IFERROR(INDEX(SEMANAS!$I$6:$I$71,MATCH($B856,SEMANAS!$B$6:$B$71,0)),0)</f>
        <v>27.09</v>
      </c>
      <c r="V856" s="18" t="n">
        <f aca="false">IFERROR(INDEX(SEMANAS!$J$6:$J$71,MATCH($B856,SEMANAS!$B$6:$B$71,0)),0)</f>
        <v>21.672</v>
      </c>
      <c r="W856" s="18" t="n">
        <f aca="false">MAX(0,$T856-$V856)</f>
        <v>0</v>
      </c>
      <c r="X856" s="19" t="n">
        <f aca="false">IFERROR(INDEX(CADASTRO_PIVOS!$K$6:$K$41,MATCH($E856,CADASTRO_PIVOS!$B$6:$B$41,0)),EFICIENCIA_PADRAO)</f>
        <v>0.85</v>
      </c>
      <c r="Y856" s="18" t="n">
        <f aca="false">IF($X856&lt;=0,0,$W856/$X856)</f>
        <v>0</v>
      </c>
      <c r="Z856" s="16" t="n">
        <f aca="false">$Y856*$H856*MM_PARA_M3_HA</f>
        <v>0</v>
      </c>
      <c r="AA856" s="18" t="n">
        <f aca="false">IFERROR(INDEX(CADASTRO_PIVOS!$I$6:$I$41,MATCH($E856,CADASTRO_PIVOS!$B$6:$B$41,0)),0)</f>
        <v>857</v>
      </c>
      <c r="AB856" s="18" t="n">
        <f aca="false">IF($Z856&lt;=0,0,$Z856/$AA856)</f>
        <v>0</v>
      </c>
      <c r="AC856" s="16" t="n">
        <f aca="false">IFERROR(INDEX(SEMANAS!$K$6:$K$71,MATCH($B856,SEMANAS!$B$6:$B$71,0)),0)</f>
        <v>147</v>
      </c>
      <c r="AD856" s="19" t="n">
        <f aca="false">IF($AC856&lt;=0,0,$AB856/$AC856)</f>
        <v>0</v>
      </c>
      <c r="AE856" s="8" t="str">
        <f aca="false">IF($K856="SEM CULTURA","SEM CULTURA",IF($AA856&lt;=0,"DADO PENDENTE",IF($AD856&gt;LIMITE_CRITICO,"INVIAVEL",IF($AD856&gt;LIMITE_ATENCAO,"CRITICO",IF($AD856&gt;LIMITE_CONFORTAVEL,"ATENCAO","OK")))))</f>
        <v>SEM CULTURA</v>
      </c>
      <c r="AF856" s="8" t="str">
        <f aca="false">$B856&amp;"|"&amp;TEXT($AD856,"0.000000")</f>
        <v>59|0.000000</v>
      </c>
      <c r="AG856" s="18" t="n">
        <f aca="false">IF($K856="SEM CULTURA",0,$T856*$H856)</f>
        <v>0</v>
      </c>
      <c r="AH856" s="18" t="n">
        <f aca="false">IF($K856="SEM CULTURA",0,$V856*$H856)</f>
        <v>0</v>
      </c>
      <c r="AI856" s="18" t="n">
        <f aca="false">IF($K856="SEM CULTURA",0,$W856*$H856)</f>
        <v>0</v>
      </c>
      <c r="AJ856" s="18" t="n">
        <f aca="false">IF($K856="SEM CULTURA",0,$S856*$H856)</f>
        <v>0</v>
      </c>
      <c r="AK856" s="8" t="str">
        <f aca="false">$E856&amp;"|"&amp;TEXT($AD856,"0.000000")</f>
        <v>PV 114|0.000000</v>
      </c>
    </row>
    <row r="857" customFormat="false" ht="15" hidden="false" customHeight="false" outlineLevel="0" collapsed="false">
      <c r="B857" s="16" t="n">
        <v>60</v>
      </c>
      <c r="C857" s="17" t="n">
        <f aca="false">DATA_INICIO_SAFRA+($B857-1)*DIAS_POR_SEMANA</f>
        <v>46678</v>
      </c>
      <c r="D857" s="17" t="n">
        <f aca="false">$C857+DIAS_POR_SEMANA-1</f>
        <v>46684</v>
      </c>
      <c r="E857" s="15" t="s">
        <v>271</v>
      </c>
      <c r="F857" s="8" t="str">
        <f aca="false">IFERROR(INDEX(CADASTRO_PIVOS!$C$6:$C$41,MATCH($E857,CADASTRO_PIVOS!$B$6:$B$41,0)),"?")</f>
        <v>RM05</v>
      </c>
      <c r="G857" s="8" t="str">
        <f aca="false">IFERROR(INDEX(CADASTRO_PIVOS!$D$6:$D$41,MATCH($E857,CADASTRO_PIVOS!$B$6:$B$41,0)),"?")</f>
        <v>TR05</v>
      </c>
      <c r="H857" s="20" t="n">
        <f aca="false">IFERROR(INDEX(CADASTRO_PIVOS!$E$6:$E$41,MATCH($E857,CADASTRO_PIVOS!$B$6:$B$41,0)),0)</f>
        <v>119.98</v>
      </c>
      <c r="I857" s="16" t="n">
        <f aca="false">IFERROR(SUMIFS(ROTACAO_RDM!$B$6:$B$71,ROTACAO_RDM!$D$6:$D$71,$E857,ROTACAO_RDM!$I$6:$I$71,"&lt;="&amp;$C857+INT(DIAS_POR_SEMANA/2),ROTACAO_RDM!$J$6:$J$71,"&gt;="&amp;$C857+INT(DIAS_POR_SEMANA/2)),0)</f>
        <v>0</v>
      </c>
      <c r="J857" s="16" t="n">
        <f aca="false">IFERROR(MATCH($I857,ROTACAO_RDM!$B$6:$B$71,0),0)</f>
        <v>0</v>
      </c>
      <c r="K857" s="8" t="str">
        <f aca="false">IF($J857=0,"SEM CULTURA",INDEX(ROTACAO_RDM!$F$6:$F$71,$J857))</f>
        <v>SEM CULTURA</v>
      </c>
      <c r="L857" s="8" t="str">
        <f aca="false">IF($J857=0,"",INDEX(ROTACAO_RDM!$G$6:$G$71,$J857))</f>
        <v/>
      </c>
      <c r="M857" s="17" t="str">
        <f aca="false">IF($J857=0,"",INDEX(ROTACAO_RDM!$I$6:$I$71,$J857))</f>
        <v/>
      </c>
      <c r="N857" s="16" t="n">
        <f aca="false">IF($J857=0,0,MAX(0,$C857+INT(DIAS_POR_SEMANA/2)-INDEX(ROTACAO_RDM!$I$6:$I$71,$J857)))</f>
        <v>0</v>
      </c>
      <c r="O857" s="19" t="n">
        <f aca="false">IF($J857=0,0,MIN(1,$N857/MAX(1,INDEX(ROTACAO_RDM!$K$6:$K$71,$J857))))</f>
        <v>0</v>
      </c>
      <c r="P857" s="16" t="n">
        <f aca="false">IF($J857=0,0,IFERROR(MATCH(INDEX(ROTACAO_RDM!$N$6:$N$71,$J857),PARAMETROS_CULTURAS!$B$6:$B$28,0),0))</f>
        <v>0</v>
      </c>
      <c r="Q857" s="8" t="str">
        <f aca="false">IF($P857=0,"-",IF($O857&lt;=INDEX(PARAMETROS_CULTURAS!$F$6:$F$28,$P857),"INICIAL",IF($O857&lt;=INDEX(PARAMETROS_CULTURAS!$F$6:$F$28,$P857)+INDEX(PARAMETROS_CULTURAS!$G$6:$G$28,$P857),"DESENVOLVIMENTO",IF($O857&lt;=INDEX(PARAMETROS_CULTURAS!$F$6:$F$28,$P857)+INDEX(PARAMETROS_CULTURAS!$G$6:$G$28,$P857)+INDEX(PARAMETROS_CULTURAS!$H$6:$H$28,$P857),"MEDIA","FINAL"))))</f>
        <v>-</v>
      </c>
      <c r="R857" s="24" t="n">
        <f aca="false">IF($P857=0,0,IF($O857&lt;=INDEX(PARAMETROS_CULTURAS!$F$6:$F$28,$P857),INDEX(PARAMETROS_CULTURAS!$K$6:$K$28,$P857),IF($O857&lt;=INDEX(PARAMETROS_CULTURAS!$F$6:$F$28,$P857)+INDEX(PARAMETROS_CULTURAS!$G$6:$G$28,$P857),INDEX(PARAMETROS_CULTURAS!$K$6:$K$28,$P857)+(INDEX(PARAMETROS_CULTURAS!$L$6:$L$28,$P857)-INDEX(PARAMETROS_CULTURAS!$K$6:$K$28,$P857))*($O857-INDEX(PARAMETROS_CULTURAS!$F$6:$F$28,$P857))/MAX(INDEX(PARAMETROS_CULTURAS!$G$6:$G$28,$P857),0.0001),IF($O857&lt;=INDEX(PARAMETROS_CULTURAS!$F$6:$F$28,$P857)+INDEX(PARAMETROS_CULTURAS!$G$6:$G$28,$P857)+INDEX(PARAMETROS_CULTURAS!$H$6:$H$28,$P857),INDEX(PARAMETROS_CULTURAS!$L$6:$L$28,$P857),INDEX(PARAMETROS_CULTURAS!$L$6:$L$28,$P857)+(INDEX(PARAMETROS_CULTURAS!$M$6:$M$28,$P857)-INDEX(PARAMETROS_CULTURAS!$L$6:$L$28,$P857))*($O857-INDEX(PARAMETROS_CULTURAS!$F$6:$F$28,$P857)-INDEX(PARAMETROS_CULTURAS!$G$6:$G$28,$P857)-INDEX(PARAMETROS_CULTURAS!$H$6:$H$28,$P857))/MAX(INDEX(PARAMETROS_CULTURAS!$I$6:$I$28,$P857),0.0001)))))</f>
        <v>0</v>
      </c>
      <c r="S857" s="18" t="n">
        <f aca="false">IFERROR(INDEX(SEMANAS!$H$6:$H$71,MATCH($B857,SEMANAS!$B$6:$B$71,0)),0)</f>
        <v>39.2</v>
      </c>
      <c r="T857" s="18" t="n">
        <f aca="false">$R857*$S857</f>
        <v>0</v>
      </c>
      <c r="U857" s="18" t="n">
        <f aca="false">IFERROR(INDEX(SEMANAS!$I$6:$I$71,MATCH($B857,SEMANAS!$B$6:$B$71,0)),0)</f>
        <v>27.09</v>
      </c>
      <c r="V857" s="18" t="n">
        <f aca="false">IFERROR(INDEX(SEMANAS!$J$6:$J$71,MATCH($B857,SEMANAS!$B$6:$B$71,0)),0)</f>
        <v>21.672</v>
      </c>
      <c r="W857" s="18" t="n">
        <f aca="false">MAX(0,$T857-$V857)</f>
        <v>0</v>
      </c>
      <c r="X857" s="19" t="n">
        <f aca="false">IFERROR(INDEX(CADASTRO_PIVOS!$K$6:$K$41,MATCH($E857,CADASTRO_PIVOS!$B$6:$B$41,0)),EFICIENCIA_PADRAO)</f>
        <v>0.85</v>
      </c>
      <c r="Y857" s="18" t="n">
        <f aca="false">IF($X857&lt;=0,0,$W857/$X857)</f>
        <v>0</v>
      </c>
      <c r="Z857" s="16" t="n">
        <f aca="false">$Y857*$H857*MM_PARA_M3_HA</f>
        <v>0</v>
      </c>
      <c r="AA857" s="18" t="n">
        <f aca="false">IFERROR(INDEX(CADASTRO_PIVOS!$I$6:$I$41,MATCH($E857,CADASTRO_PIVOS!$B$6:$B$41,0)),0)</f>
        <v>857</v>
      </c>
      <c r="AB857" s="18" t="n">
        <f aca="false">IF($Z857&lt;=0,0,$Z857/$AA857)</f>
        <v>0</v>
      </c>
      <c r="AC857" s="16" t="n">
        <f aca="false">IFERROR(INDEX(SEMANAS!$K$6:$K$71,MATCH($B857,SEMANAS!$B$6:$B$71,0)),0)</f>
        <v>147</v>
      </c>
      <c r="AD857" s="19" t="n">
        <f aca="false">IF($AC857&lt;=0,0,$AB857/$AC857)</f>
        <v>0</v>
      </c>
      <c r="AE857" s="8" t="str">
        <f aca="false">IF($K857="SEM CULTURA","SEM CULTURA",IF($AA857&lt;=0,"DADO PENDENTE",IF($AD857&gt;LIMITE_CRITICO,"INVIAVEL",IF($AD857&gt;LIMITE_ATENCAO,"CRITICO",IF($AD857&gt;LIMITE_CONFORTAVEL,"ATENCAO","OK")))))</f>
        <v>SEM CULTURA</v>
      </c>
      <c r="AF857" s="8" t="str">
        <f aca="false">$B857&amp;"|"&amp;TEXT($AD857,"0.000000")</f>
        <v>60|0.000000</v>
      </c>
      <c r="AG857" s="18" t="n">
        <f aca="false">IF($K857="SEM CULTURA",0,$T857*$H857)</f>
        <v>0</v>
      </c>
      <c r="AH857" s="18" t="n">
        <f aca="false">IF($K857="SEM CULTURA",0,$V857*$H857)</f>
        <v>0</v>
      </c>
      <c r="AI857" s="18" t="n">
        <f aca="false">IF($K857="SEM CULTURA",0,$W857*$H857)</f>
        <v>0</v>
      </c>
      <c r="AJ857" s="18" t="n">
        <f aca="false">IF($K857="SEM CULTURA",0,$S857*$H857)</f>
        <v>0</v>
      </c>
      <c r="AK857" s="8" t="str">
        <f aca="false">$E857&amp;"|"&amp;TEXT($AD857,"0.000000")</f>
        <v>PV 114|0.000000</v>
      </c>
    </row>
    <row r="858" customFormat="false" ht="15" hidden="false" customHeight="false" outlineLevel="0" collapsed="false">
      <c r="B858" s="16" t="n">
        <v>61</v>
      </c>
      <c r="C858" s="17" t="n">
        <f aca="false">DATA_INICIO_SAFRA+($B858-1)*DIAS_POR_SEMANA</f>
        <v>46685</v>
      </c>
      <c r="D858" s="17" t="n">
        <f aca="false">$C858+DIAS_POR_SEMANA-1</f>
        <v>46691</v>
      </c>
      <c r="E858" s="15" t="s">
        <v>271</v>
      </c>
      <c r="F858" s="8" t="str">
        <f aca="false">IFERROR(INDEX(CADASTRO_PIVOS!$C$6:$C$41,MATCH($E858,CADASTRO_PIVOS!$B$6:$B$41,0)),"?")</f>
        <v>RM05</v>
      </c>
      <c r="G858" s="8" t="str">
        <f aca="false">IFERROR(INDEX(CADASTRO_PIVOS!$D$6:$D$41,MATCH($E858,CADASTRO_PIVOS!$B$6:$B$41,0)),"?")</f>
        <v>TR05</v>
      </c>
      <c r="H858" s="20" t="n">
        <f aca="false">IFERROR(INDEX(CADASTRO_PIVOS!$E$6:$E$41,MATCH($E858,CADASTRO_PIVOS!$B$6:$B$41,0)),0)</f>
        <v>119.98</v>
      </c>
      <c r="I858" s="16" t="n">
        <f aca="false">IFERROR(SUMIFS(ROTACAO_RDM!$B$6:$B$71,ROTACAO_RDM!$D$6:$D$71,$E858,ROTACAO_RDM!$I$6:$I$71,"&lt;="&amp;$C858+INT(DIAS_POR_SEMANA/2),ROTACAO_RDM!$J$6:$J$71,"&gt;="&amp;$C858+INT(DIAS_POR_SEMANA/2)),0)</f>
        <v>0</v>
      </c>
      <c r="J858" s="16" t="n">
        <f aca="false">IFERROR(MATCH($I858,ROTACAO_RDM!$B$6:$B$71,0),0)</f>
        <v>0</v>
      </c>
      <c r="K858" s="8" t="str">
        <f aca="false">IF($J858=0,"SEM CULTURA",INDEX(ROTACAO_RDM!$F$6:$F$71,$J858))</f>
        <v>SEM CULTURA</v>
      </c>
      <c r="L858" s="8" t="str">
        <f aca="false">IF($J858=0,"",INDEX(ROTACAO_RDM!$G$6:$G$71,$J858))</f>
        <v/>
      </c>
      <c r="M858" s="17" t="str">
        <f aca="false">IF($J858=0,"",INDEX(ROTACAO_RDM!$I$6:$I$71,$J858))</f>
        <v/>
      </c>
      <c r="N858" s="16" t="n">
        <f aca="false">IF($J858=0,0,MAX(0,$C858+INT(DIAS_POR_SEMANA/2)-INDEX(ROTACAO_RDM!$I$6:$I$71,$J858)))</f>
        <v>0</v>
      </c>
      <c r="O858" s="19" t="n">
        <f aca="false">IF($J858=0,0,MIN(1,$N858/MAX(1,INDEX(ROTACAO_RDM!$K$6:$K$71,$J858))))</f>
        <v>0</v>
      </c>
      <c r="P858" s="16" t="n">
        <f aca="false">IF($J858=0,0,IFERROR(MATCH(INDEX(ROTACAO_RDM!$N$6:$N$71,$J858),PARAMETROS_CULTURAS!$B$6:$B$28,0),0))</f>
        <v>0</v>
      </c>
      <c r="Q858" s="8" t="str">
        <f aca="false">IF($P858=0,"-",IF($O858&lt;=INDEX(PARAMETROS_CULTURAS!$F$6:$F$28,$P858),"INICIAL",IF($O858&lt;=INDEX(PARAMETROS_CULTURAS!$F$6:$F$28,$P858)+INDEX(PARAMETROS_CULTURAS!$G$6:$G$28,$P858),"DESENVOLVIMENTO",IF($O858&lt;=INDEX(PARAMETROS_CULTURAS!$F$6:$F$28,$P858)+INDEX(PARAMETROS_CULTURAS!$G$6:$G$28,$P858)+INDEX(PARAMETROS_CULTURAS!$H$6:$H$28,$P858),"MEDIA","FINAL"))))</f>
        <v>-</v>
      </c>
      <c r="R858" s="24" t="n">
        <f aca="false">IF($P858=0,0,IF($O858&lt;=INDEX(PARAMETROS_CULTURAS!$F$6:$F$28,$P858),INDEX(PARAMETROS_CULTURAS!$K$6:$K$28,$P858),IF($O858&lt;=INDEX(PARAMETROS_CULTURAS!$F$6:$F$28,$P858)+INDEX(PARAMETROS_CULTURAS!$G$6:$G$28,$P858),INDEX(PARAMETROS_CULTURAS!$K$6:$K$28,$P858)+(INDEX(PARAMETROS_CULTURAS!$L$6:$L$28,$P858)-INDEX(PARAMETROS_CULTURAS!$K$6:$K$28,$P858))*($O858-INDEX(PARAMETROS_CULTURAS!$F$6:$F$28,$P858))/MAX(INDEX(PARAMETROS_CULTURAS!$G$6:$G$28,$P858),0.0001),IF($O858&lt;=INDEX(PARAMETROS_CULTURAS!$F$6:$F$28,$P858)+INDEX(PARAMETROS_CULTURAS!$G$6:$G$28,$P858)+INDEX(PARAMETROS_CULTURAS!$H$6:$H$28,$P858),INDEX(PARAMETROS_CULTURAS!$L$6:$L$28,$P858),INDEX(PARAMETROS_CULTURAS!$L$6:$L$28,$P858)+(INDEX(PARAMETROS_CULTURAS!$M$6:$M$28,$P858)-INDEX(PARAMETROS_CULTURAS!$L$6:$L$28,$P858))*($O858-INDEX(PARAMETROS_CULTURAS!$F$6:$F$28,$P858)-INDEX(PARAMETROS_CULTURAS!$G$6:$G$28,$P858)-INDEX(PARAMETROS_CULTURAS!$H$6:$H$28,$P858))/MAX(INDEX(PARAMETROS_CULTURAS!$I$6:$I$28,$P858),0.0001)))))</f>
        <v>0</v>
      </c>
      <c r="S858" s="18" t="n">
        <f aca="false">IFERROR(INDEX(SEMANAS!$H$6:$H$71,MATCH($B858,SEMANAS!$B$6:$B$71,0)),0)</f>
        <v>39.2</v>
      </c>
      <c r="T858" s="18" t="n">
        <f aca="false">$R858*$S858</f>
        <v>0</v>
      </c>
      <c r="U858" s="18" t="n">
        <f aca="false">IFERROR(INDEX(SEMANAS!$I$6:$I$71,MATCH($B858,SEMANAS!$B$6:$B$71,0)),0)</f>
        <v>27.09</v>
      </c>
      <c r="V858" s="18" t="n">
        <f aca="false">IFERROR(INDEX(SEMANAS!$J$6:$J$71,MATCH($B858,SEMANAS!$B$6:$B$71,0)),0)</f>
        <v>21.672</v>
      </c>
      <c r="W858" s="18" t="n">
        <f aca="false">MAX(0,$T858-$V858)</f>
        <v>0</v>
      </c>
      <c r="X858" s="19" t="n">
        <f aca="false">IFERROR(INDEX(CADASTRO_PIVOS!$K$6:$K$41,MATCH($E858,CADASTRO_PIVOS!$B$6:$B$41,0)),EFICIENCIA_PADRAO)</f>
        <v>0.85</v>
      </c>
      <c r="Y858" s="18" t="n">
        <f aca="false">IF($X858&lt;=0,0,$W858/$X858)</f>
        <v>0</v>
      </c>
      <c r="Z858" s="16" t="n">
        <f aca="false">$Y858*$H858*MM_PARA_M3_HA</f>
        <v>0</v>
      </c>
      <c r="AA858" s="18" t="n">
        <f aca="false">IFERROR(INDEX(CADASTRO_PIVOS!$I$6:$I$41,MATCH($E858,CADASTRO_PIVOS!$B$6:$B$41,0)),0)</f>
        <v>857</v>
      </c>
      <c r="AB858" s="18" t="n">
        <f aca="false">IF($Z858&lt;=0,0,$Z858/$AA858)</f>
        <v>0</v>
      </c>
      <c r="AC858" s="16" t="n">
        <f aca="false">IFERROR(INDEX(SEMANAS!$K$6:$K$71,MATCH($B858,SEMANAS!$B$6:$B$71,0)),0)</f>
        <v>147</v>
      </c>
      <c r="AD858" s="19" t="n">
        <f aca="false">IF($AC858&lt;=0,0,$AB858/$AC858)</f>
        <v>0</v>
      </c>
      <c r="AE858" s="8" t="str">
        <f aca="false">IF($K858="SEM CULTURA","SEM CULTURA",IF($AA858&lt;=0,"DADO PENDENTE",IF($AD858&gt;LIMITE_CRITICO,"INVIAVEL",IF($AD858&gt;LIMITE_ATENCAO,"CRITICO",IF($AD858&gt;LIMITE_CONFORTAVEL,"ATENCAO","OK")))))</f>
        <v>SEM CULTURA</v>
      </c>
      <c r="AF858" s="8" t="str">
        <f aca="false">$B858&amp;"|"&amp;TEXT($AD858,"0.000000")</f>
        <v>61|0.000000</v>
      </c>
      <c r="AG858" s="18" t="n">
        <f aca="false">IF($K858="SEM CULTURA",0,$T858*$H858)</f>
        <v>0</v>
      </c>
      <c r="AH858" s="18" t="n">
        <f aca="false">IF($K858="SEM CULTURA",0,$V858*$H858)</f>
        <v>0</v>
      </c>
      <c r="AI858" s="18" t="n">
        <f aca="false">IF($K858="SEM CULTURA",0,$W858*$H858)</f>
        <v>0</v>
      </c>
      <c r="AJ858" s="18" t="n">
        <f aca="false">IF($K858="SEM CULTURA",0,$S858*$H858)</f>
        <v>0</v>
      </c>
      <c r="AK858" s="8" t="str">
        <f aca="false">$E858&amp;"|"&amp;TEXT($AD858,"0.000000")</f>
        <v>PV 114|0.000000</v>
      </c>
    </row>
    <row r="859" customFormat="false" ht="15" hidden="false" customHeight="false" outlineLevel="0" collapsed="false">
      <c r="B859" s="16" t="n">
        <v>62</v>
      </c>
      <c r="C859" s="17" t="n">
        <f aca="false">DATA_INICIO_SAFRA+($B859-1)*DIAS_POR_SEMANA</f>
        <v>46692</v>
      </c>
      <c r="D859" s="17" t="n">
        <f aca="false">$C859+DIAS_POR_SEMANA-1</f>
        <v>46698</v>
      </c>
      <c r="E859" s="15" t="s">
        <v>271</v>
      </c>
      <c r="F859" s="8" t="str">
        <f aca="false">IFERROR(INDEX(CADASTRO_PIVOS!$C$6:$C$41,MATCH($E859,CADASTRO_PIVOS!$B$6:$B$41,0)),"?")</f>
        <v>RM05</v>
      </c>
      <c r="G859" s="8" t="str">
        <f aca="false">IFERROR(INDEX(CADASTRO_PIVOS!$D$6:$D$41,MATCH($E859,CADASTRO_PIVOS!$B$6:$B$41,0)),"?")</f>
        <v>TR05</v>
      </c>
      <c r="H859" s="20" t="n">
        <f aca="false">IFERROR(INDEX(CADASTRO_PIVOS!$E$6:$E$41,MATCH($E859,CADASTRO_PIVOS!$B$6:$B$41,0)),0)</f>
        <v>119.98</v>
      </c>
      <c r="I859" s="16" t="n">
        <f aca="false">IFERROR(SUMIFS(ROTACAO_RDM!$B$6:$B$71,ROTACAO_RDM!$D$6:$D$71,$E859,ROTACAO_RDM!$I$6:$I$71,"&lt;="&amp;$C859+INT(DIAS_POR_SEMANA/2),ROTACAO_RDM!$J$6:$J$71,"&gt;="&amp;$C859+INT(DIAS_POR_SEMANA/2)),0)</f>
        <v>0</v>
      </c>
      <c r="J859" s="16" t="n">
        <f aca="false">IFERROR(MATCH($I859,ROTACAO_RDM!$B$6:$B$71,0),0)</f>
        <v>0</v>
      </c>
      <c r="K859" s="8" t="str">
        <f aca="false">IF($J859=0,"SEM CULTURA",INDEX(ROTACAO_RDM!$F$6:$F$71,$J859))</f>
        <v>SEM CULTURA</v>
      </c>
      <c r="L859" s="8" t="str">
        <f aca="false">IF($J859=0,"",INDEX(ROTACAO_RDM!$G$6:$G$71,$J859))</f>
        <v/>
      </c>
      <c r="M859" s="17" t="str">
        <f aca="false">IF($J859=0,"",INDEX(ROTACAO_RDM!$I$6:$I$71,$J859))</f>
        <v/>
      </c>
      <c r="N859" s="16" t="n">
        <f aca="false">IF($J859=0,0,MAX(0,$C859+INT(DIAS_POR_SEMANA/2)-INDEX(ROTACAO_RDM!$I$6:$I$71,$J859)))</f>
        <v>0</v>
      </c>
      <c r="O859" s="19" t="n">
        <f aca="false">IF($J859=0,0,MIN(1,$N859/MAX(1,INDEX(ROTACAO_RDM!$K$6:$K$71,$J859))))</f>
        <v>0</v>
      </c>
      <c r="P859" s="16" t="n">
        <f aca="false">IF($J859=0,0,IFERROR(MATCH(INDEX(ROTACAO_RDM!$N$6:$N$71,$J859),PARAMETROS_CULTURAS!$B$6:$B$28,0),0))</f>
        <v>0</v>
      </c>
      <c r="Q859" s="8" t="str">
        <f aca="false">IF($P859=0,"-",IF($O859&lt;=INDEX(PARAMETROS_CULTURAS!$F$6:$F$28,$P859),"INICIAL",IF($O859&lt;=INDEX(PARAMETROS_CULTURAS!$F$6:$F$28,$P859)+INDEX(PARAMETROS_CULTURAS!$G$6:$G$28,$P859),"DESENVOLVIMENTO",IF($O859&lt;=INDEX(PARAMETROS_CULTURAS!$F$6:$F$28,$P859)+INDEX(PARAMETROS_CULTURAS!$G$6:$G$28,$P859)+INDEX(PARAMETROS_CULTURAS!$H$6:$H$28,$P859),"MEDIA","FINAL"))))</f>
        <v>-</v>
      </c>
      <c r="R859" s="24" t="n">
        <f aca="false">IF($P859=0,0,IF($O859&lt;=INDEX(PARAMETROS_CULTURAS!$F$6:$F$28,$P859),INDEX(PARAMETROS_CULTURAS!$K$6:$K$28,$P859),IF($O859&lt;=INDEX(PARAMETROS_CULTURAS!$F$6:$F$28,$P859)+INDEX(PARAMETROS_CULTURAS!$G$6:$G$28,$P859),INDEX(PARAMETROS_CULTURAS!$K$6:$K$28,$P859)+(INDEX(PARAMETROS_CULTURAS!$L$6:$L$28,$P859)-INDEX(PARAMETROS_CULTURAS!$K$6:$K$28,$P859))*($O859-INDEX(PARAMETROS_CULTURAS!$F$6:$F$28,$P859))/MAX(INDEX(PARAMETROS_CULTURAS!$G$6:$G$28,$P859),0.0001),IF($O859&lt;=INDEX(PARAMETROS_CULTURAS!$F$6:$F$28,$P859)+INDEX(PARAMETROS_CULTURAS!$G$6:$G$28,$P859)+INDEX(PARAMETROS_CULTURAS!$H$6:$H$28,$P859),INDEX(PARAMETROS_CULTURAS!$L$6:$L$28,$P859),INDEX(PARAMETROS_CULTURAS!$L$6:$L$28,$P859)+(INDEX(PARAMETROS_CULTURAS!$M$6:$M$28,$P859)-INDEX(PARAMETROS_CULTURAS!$L$6:$L$28,$P859))*($O859-INDEX(PARAMETROS_CULTURAS!$F$6:$F$28,$P859)-INDEX(PARAMETROS_CULTURAS!$G$6:$G$28,$P859)-INDEX(PARAMETROS_CULTURAS!$H$6:$H$28,$P859))/MAX(INDEX(PARAMETROS_CULTURAS!$I$6:$I$28,$P859),0.0001)))))</f>
        <v>0</v>
      </c>
      <c r="S859" s="18" t="n">
        <f aca="false">IFERROR(INDEX(SEMANAS!$H$6:$H$71,MATCH($B859,SEMANAS!$B$6:$B$71,0)),0)</f>
        <v>34.3</v>
      </c>
      <c r="T859" s="18" t="n">
        <f aca="false">$R859*$S859</f>
        <v>0</v>
      </c>
      <c r="U859" s="18" t="n">
        <f aca="false">IFERROR(INDEX(SEMANAS!$I$6:$I$71,MATCH($B859,SEMANAS!$B$6:$B$71,0)),0)</f>
        <v>46.69</v>
      </c>
      <c r="V859" s="18" t="n">
        <f aca="false">IFERROR(INDEX(SEMANAS!$J$6:$J$71,MATCH($B859,SEMANAS!$B$6:$B$71,0)),0)</f>
        <v>37.352</v>
      </c>
      <c r="W859" s="18" t="n">
        <f aca="false">MAX(0,$T859-$V859)</f>
        <v>0</v>
      </c>
      <c r="X859" s="19" t="n">
        <f aca="false">IFERROR(INDEX(CADASTRO_PIVOS!$K$6:$K$41,MATCH($E859,CADASTRO_PIVOS!$B$6:$B$41,0)),EFICIENCIA_PADRAO)</f>
        <v>0.85</v>
      </c>
      <c r="Y859" s="18" t="n">
        <f aca="false">IF($X859&lt;=0,0,$W859/$X859)</f>
        <v>0</v>
      </c>
      <c r="Z859" s="16" t="n">
        <f aca="false">$Y859*$H859*MM_PARA_M3_HA</f>
        <v>0</v>
      </c>
      <c r="AA859" s="18" t="n">
        <f aca="false">IFERROR(INDEX(CADASTRO_PIVOS!$I$6:$I$41,MATCH($E859,CADASTRO_PIVOS!$B$6:$B$41,0)),0)</f>
        <v>857</v>
      </c>
      <c r="AB859" s="18" t="n">
        <f aca="false">IF($Z859&lt;=0,0,$Z859/$AA859)</f>
        <v>0</v>
      </c>
      <c r="AC859" s="16" t="n">
        <f aca="false">IFERROR(INDEX(SEMANAS!$K$6:$K$71,MATCH($B859,SEMANAS!$B$6:$B$71,0)),0)</f>
        <v>147</v>
      </c>
      <c r="AD859" s="19" t="n">
        <f aca="false">IF($AC859&lt;=0,0,$AB859/$AC859)</f>
        <v>0</v>
      </c>
      <c r="AE859" s="8" t="str">
        <f aca="false">IF($K859="SEM CULTURA","SEM CULTURA",IF($AA859&lt;=0,"DADO PENDENTE",IF($AD859&gt;LIMITE_CRITICO,"INVIAVEL",IF($AD859&gt;LIMITE_ATENCAO,"CRITICO",IF($AD859&gt;LIMITE_CONFORTAVEL,"ATENCAO","OK")))))</f>
        <v>SEM CULTURA</v>
      </c>
      <c r="AF859" s="8" t="str">
        <f aca="false">$B859&amp;"|"&amp;TEXT($AD859,"0.000000")</f>
        <v>62|0.000000</v>
      </c>
      <c r="AG859" s="18" t="n">
        <f aca="false">IF($K859="SEM CULTURA",0,$T859*$H859)</f>
        <v>0</v>
      </c>
      <c r="AH859" s="18" t="n">
        <f aca="false">IF($K859="SEM CULTURA",0,$V859*$H859)</f>
        <v>0</v>
      </c>
      <c r="AI859" s="18" t="n">
        <f aca="false">IF($K859="SEM CULTURA",0,$W859*$H859)</f>
        <v>0</v>
      </c>
      <c r="AJ859" s="18" t="n">
        <f aca="false">IF($K859="SEM CULTURA",0,$S859*$H859)</f>
        <v>0</v>
      </c>
      <c r="AK859" s="8" t="str">
        <f aca="false">$E859&amp;"|"&amp;TEXT($AD859,"0.000000")</f>
        <v>PV 114|0.000000</v>
      </c>
    </row>
    <row r="860" customFormat="false" ht="15" hidden="false" customHeight="false" outlineLevel="0" collapsed="false">
      <c r="B860" s="16" t="n">
        <v>63</v>
      </c>
      <c r="C860" s="17" t="n">
        <f aca="false">DATA_INICIO_SAFRA+($B860-1)*DIAS_POR_SEMANA</f>
        <v>46699</v>
      </c>
      <c r="D860" s="17" t="n">
        <f aca="false">$C860+DIAS_POR_SEMANA-1</f>
        <v>46705</v>
      </c>
      <c r="E860" s="15" t="s">
        <v>271</v>
      </c>
      <c r="F860" s="8" t="str">
        <f aca="false">IFERROR(INDEX(CADASTRO_PIVOS!$C$6:$C$41,MATCH($E860,CADASTRO_PIVOS!$B$6:$B$41,0)),"?")</f>
        <v>RM05</v>
      </c>
      <c r="G860" s="8" t="str">
        <f aca="false">IFERROR(INDEX(CADASTRO_PIVOS!$D$6:$D$41,MATCH($E860,CADASTRO_PIVOS!$B$6:$B$41,0)),"?")</f>
        <v>TR05</v>
      </c>
      <c r="H860" s="20" t="n">
        <f aca="false">IFERROR(INDEX(CADASTRO_PIVOS!$E$6:$E$41,MATCH($E860,CADASTRO_PIVOS!$B$6:$B$41,0)),0)</f>
        <v>119.98</v>
      </c>
      <c r="I860" s="16" t="n">
        <f aca="false">IFERROR(SUMIFS(ROTACAO_RDM!$B$6:$B$71,ROTACAO_RDM!$D$6:$D$71,$E860,ROTACAO_RDM!$I$6:$I$71,"&lt;="&amp;$C860+INT(DIAS_POR_SEMANA/2),ROTACAO_RDM!$J$6:$J$71,"&gt;="&amp;$C860+INT(DIAS_POR_SEMANA/2)),0)</f>
        <v>0</v>
      </c>
      <c r="J860" s="16" t="n">
        <f aca="false">IFERROR(MATCH($I860,ROTACAO_RDM!$B$6:$B$71,0),0)</f>
        <v>0</v>
      </c>
      <c r="K860" s="8" t="str">
        <f aca="false">IF($J860=0,"SEM CULTURA",INDEX(ROTACAO_RDM!$F$6:$F$71,$J860))</f>
        <v>SEM CULTURA</v>
      </c>
      <c r="L860" s="8" t="str">
        <f aca="false">IF($J860=0,"",INDEX(ROTACAO_RDM!$G$6:$G$71,$J860))</f>
        <v/>
      </c>
      <c r="M860" s="17" t="str">
        <f aca="false">IF($J860=0,"",INDEX(ROTACAO_RDM!$I$6:$I$71,$J860))</f>
        <v/>
      </c>
      <c r="N860" s="16" t="n">
        <f aca="false">IF($J860=0,0,MAX(0,$C860+INT(DIAS_POR_SEMANA/2)-INDEX(ROTACAO_RDM!$I$6:$I$71,$J860)))</f>
        <v>0</v>
      </c>
      <c r="O860" s="19" t="n">
        <f aca="false">IF($J860=0,0,MIN(1,$N860/MAX(1,INDEX(ROTACAO_RDM!$K$6:$K$71,$J860))))</f>
        <v>0</v>
      </c>
      <c r="P860" s="16" t="n">
        <f aca="false">IF($J860=0,0,IFERROR(MATCH(INDEX(ROTACAO_RDM!$N$6:$N$71,$J860),PARAMETROS_CULTURAS!$B$6:$B$28,0),0))</f>
        <v>0</v>
      </c>
      <c r="Q860" s="8" t="str">
        <f aca="false">IF($P860=0,"-",IF($O860&lt;=INDEX(PARAMETROS_CULTURAS!$F$6:$F$28,$P860),"INICIAL",IF($O860&lt;=INDEX(PARAMETROS_CULTURAS!$F$6:$F$28,$P860)+INDEX(PARAMETROS_CULTURAS!$G$6:$G$28,$P860),"DESENVOLVIMENTO",IF($O860&lt;=INDEX(PARAMETROS_CULTURAS!$F$6:$F$28,$P860)+INDEX(PARAMETROS_CULTURAS!$G$6:$G$28,$P860)+INDEX(PARAMETROS_CULTURAS!$H$6:$H$28,$P860),"MEDIA","FINAL"))))</f>
        <v>-</v>
      </c>
      <c r="R860" s="24" t="n">
        <f aca="false">IF($P860=0,0,IF($O860&lt;=INDEX(PARAMETROS_CULTURAS!$F$6:$F$28,$P860),INDEX(PARAMETROS_CULTURAS!$K$6:$K$28,$P860),IF($O860&lt;=INDEX(PARAMETROS_CULTURAS!$F$6:$F$28,$P860)+INDEX(PARAMETROS_CULTURAS!$G$6:$G$28,$P860),INDEX(PARAMETROS_CULTURAS!$K$6:$K$28,$P860)+(INDEX(PARAMETROS_CULTURAS!$L$6:$L$28,$P860)-INDEX(PARAMETROS_CULTURAS!$K$6:$K$28,$P860))*($O860-INDEX(PARAMETROS_CULTURAS!$F$6:$F$28,$P860))/MAX(INDEX(PARAMETROS_CULTURAS!$G$6:$G$28,$P860),0.0001),IF($O860&lt;=INDEX(PARAMETROS_CULTURAS!$F$6:$F$28,$P860)+INDEX(PARAMETROS_CULTURAS!$G$6:$G$28,$P860)+INDEX(PARAMETROS_CULTURAS!$H$6:$H$28,$P860),INDEX(PARAMETROS_CULTURAS!$L$6:$L$28,$P860),INDEX(PARAMETROS_CULTURAS!$L$6:$L$28,$P860)+(INDEX(PARAMETROS_CULTURAS!$M$6:$M$28,$P860)-INDEX(PARAMETROS_CULTURAS!$L$6:$L$28,$P860))*($O860-INDEX(PARAMETROS_CULTURAS!$F$6:$F$28,$P860)-INDEX(PARAMETROS_CULTURAS!$G$6:$G$28,$P860)-INDEX(PARAMETROS_CULTURAS!$H$6:$H$28,$P860))/MAX(INDEX(PARAMETROS_CULTURAS!$I$6:$I$28,$P860),0.0001)))))</f>
        <v>0</v>
      </c>
      <c r="S860" s="18" t="n">
        <f aca="false">IFERROR(INDEX(SEMANAS!$H$6:$H$71,MATCH($B860,SEMANAS!$B$6:$B$71,0)),0)</f>
        <v>34.3</v>
      </c>
      <c r="T860" s="18" t="n">
        <f aca="false">$R860*$S860</f>
        <v>0</v>
      </c>
      <c r="U860" s="18" t="n">
        <f aca="false">IFERROR(INDEX(SEMANAS!$I$6:$I$71,MATCH($B860,SEMANAS!$B$6:$B$71,0)),0)</f>
        <v>46.69</v>
      </c>
      <c r="V860" s="18" t="n">
        <f aca="false">IFERROR(INDEX(SEMANAS!$J$6:$J$71,MATCH($B860,SEMANAS!$B$6:$B$71,0)),0)</f>
        <v>37.352</v>
      </c>
      <c r="W860" s="18" t="n">
        <f aca="false">MAX(0,$T860-$V860)</f>
        <v>0</v>
      </c>
      <c r="X860" s="19" t="n">
        <f aca="false">IFERROR(INDEX(CADASTRO_PIVOS!$K$6:$K$41,MATCH($E860,CADASTRO_PIVOS!$B$6:$B$41,0)),EFICIENCIA_PADRAO)</f>
        <v>0.85</v>
      </c>
      <c r="Y860" s="18" t="n">
        <f aca="false">IF($X860&lt;=0,0,$W860/$X860)</f>
        <v>0</v>
      </c>
      <c r="Z860" s="16" t="n">
        <f aca="false">$Y860*$H860*MM_PARA_M3_HA</f>
        <v>0</v>
      </c>
      <c r="AA860" s="18" t="n">
        <f aca="false">IFERROR(INDEX(CADASTRO_PIVOS!$I$6:$I$41,MATCH($E860,CADASTRO_PIVOS!$B$6:$B$41,0)),0)</f>
        <v>857</v>
      </c>
      <c r="AB860" s="18" t="n">
        <f aca="false">IF($Z860&lt;=0,0,$Z860/$AA860)</f>
        <v>0</v>
      </c>
      <c r="AC860" s="16" t="n">
        <f aca="false">IFERROR(INDEX(SEMANAS!$K$6:$K$71,MATCH($B860,SEMANAS!$B$6:$B$71,0)),0)</f>
        <v>147</v>
      </c>
      <c r="AD860" s="19" t="n">
        <f aca="false">IF($AC860&lt;=0,0,$AB860/$AC860)</f>
        <v>0</v>
      </c>
      <c r="AE860" s="8" t="str">
        <f aca="false">IF($K860="SEM CULTURA","SEM CULTURA",IF($AA860&lt;=0,"DADO PENDENTE",IF($AD860&gt;LIMITE_CRITICO,"INVIAVEL",IF($AD860&gt;LIMITE_ATENCAO,"CRITICO",IF($AD860&gt;LIMITE_CONFORTAVEL,"ATENCAO","OK")))))</f>
        <v>SEM CULTURA</v>
      </c>
      <c r="AF860" s="8" t="str">
        <f aca="false">$B860&amp;"|"&amp;TEXT($AD860,"0.000000")</f>
        <v>63|0.000000</v>
      </c>
      <c r="AG860" s="18" t="n">
        <f aca="false">IF($K860="SEM CULTURA",0,$T860*$H860)</f>
        <v>0</v>
      </c>
      <c r="AH860" s="18" t="n">
        <f aca="false">IF($K860="SEM CULTURA",0,$V860*$H860)</f>
        <v>0</v>
      </c>
      <c r="AI860" s="18" t="n">
        <f aca="false">IF($K860="SEM CULTURA",0,$W860*$H860)</f>
        <v>0</v>
      </c>
      <c r="AJ860" s="18" t="n">
        <f aca="false">IF($K860="SEM CULTURA",0,$S860*$H860)</f>
        <v>0</v>
      </c>
      <c r="AK860" s="8" t="str">
        <f aca="false">$E860&amp;"|"&amp;TEXT($AD860,"0.000000")</f>
        <v>PV 114|0.000000</v>
      </c>
    </row>
    <row r="861" customFormat="false" ht="15" hidden="false" customHeight="false" outlineLevel="0" collapsed="false">
      <c r="B861" s="16" t="n">
        <v>64</v>
      </c>
      <c r="C861" s="17" t="n">
        <f aca="false">DATA_INICIO_SAFRA+($B861-1)*DIAS_POR_SEMANA</f>
        <v>46706</v>
      </c>
      <c r="D861" s="17" t="n">
        <f aca="false">$C861+DIAS_POR_SEMANA-1</f>
        <v>46712</v>
      </c>
      <c r="E861" s="15" t="s">
        <v>271</v>
      </c>
      <c r="F861" s="8" t="str">
        <f aca="false">IFERROR(INDEX(CADASTRO_PIVOS!$C$6:$C$41,MATCH($E861,CADASTRO_PIVOS!$B$6:$B$41,0)),"?")</f>
        <v>RM05</v>
      </c>
      <c r="G861" s="8" t="str">
        <f aca="false">IFERROR(INDEX(CADASTRO_PIVOS!$D$6:$D$41,MATCH($E861,CADASTRO_PIVOS!$B$6:$B$41,0)),"?")</f>
        <v>TR05</v>
      </c>
      <c r="H861" s="20" t="n">
        <f aca="false">IFERROR(INDEX(CADASTRO_PIVOS!$E$6:$E$41,MATCH($E861,CADASTRO_PIVOS!$B$6:$B$41,0)),0)</f>
        <v>119.98</v>
      </c>
      <c r="I861" s="16" t="n">
        <f aca="false">IFERROR(SUMIFS(ROTACAO_RDM!$B$6:$B$71,ROTACAO_RDM!$D$6:$D$71,$E861,ROTACAO_RDM!$I$6:$I$71,"&lt;="&amp;$C861+INT(DIAS_POR_SEMANA/2),ROTACAO_RDM!$J$6:$J$71,"&gt;="&amp;$C861+INT(DIAS_POR_SEMANA/2)),0)</f>
        <v>0</v>
      </c>
      <c r="J861" s="16" t="n">
        <f aca="false">IFERROR(MATCH($I861,ROTACAO_RDM!$B$6:$B$71,0),0)</f>
        <v>0</v>
      </c>
      <c r="K861" s="8" t="str">
        <f aca="false">IF($J861=0,"SEM CULTURA",INDEX(ROTACAO_RDM!$F$6:$F$71,$J861))</f>
        <v>SEM CULTURA</v>
      </c>
      <c r="L861" s="8" t="str">
        <f aca="false">IF($J861=0,"",INDEX(ROTACAO_RDM!$G$6:$G$71,$J861))</f>
        <v/>
      </c>
      <c r="M861" s="17" t="str">
        <f aca="false">IF($J861=0,"",INDEX(ROTACAO_RDM!$I$6:$I$71,$J861))</f>
        <v/>
      </c>
      <c r="N861" s="16" t="n">
        <f aca="false">IF($J861=0,0,MAX(0,$C861+INT(DIAS_POR_SEMANA/2)-INDEX(ROTACAO_RDM!$I$6:$I$71,$J861)))</f>
        <v>0</v>
      </c>
      <c r="O861" s="19" t="n">
        <f aca="false">IF($J861=0,0,MIN(1,$N861/MAX(1,INDEX(ROTACAO_RDM!$K$6:$K$71,$J861))))</f>
        <v>0</v>
      </c>
      <c r="P861" s="16" t="n">
        <f aca="false">IF($J861=0,0,IFERROR(MATCH(INDEX(ROTACAO_RDM!$N$6:$N$71,$J861),PARAMETROS_CULTURAS!$B$6:$B$28,0),0))</f>
        <v>0</v>
      </c>
      <c r="Q861" s="8" t="str">
        <f aca="false">IF($P861=0,"-",IF($O861&lt;=INDEX(PARAMETROS_CULTURAS!$F$6:$F$28,$P861),"INICIAL",IF($O861&lt;=INDEX(PARAMETROS_CULTURAS!$F$6:$F$28,$P861)+INDEX(PARAMETROS_CULTURAS!$G$6:$G$28,$P861),"DESENVOLVIMENTO",IF($O861&lt;=INDEX(PARAMETROS_CULTURAS!$F$6:$F$28,$P861)+INDEX(PARAMETROS_CULTURAS!$G$6:$G$28,$P861)+INDEX(PARAMETROS_CULTURAS!$H$6:$H$28,$P861),"MEDIA","FINAL"))))</f>
        <v>-</v>
      </c>
      <c r="R861" s="24" t="n">
        <f aca="false">IF($P861=0,0,IF($O861&lt;=INDEX(PARAMETROS_CULTURAS!$F$6:$F$28,$P861),INDEX(PARAMETROS_CULTURAS!$K$6:$K$28,$P861),IF($O861&lt;=INDEX(PARAMETROS_CULTURAS!$F$6:$F$28,$P861)+INDEX(PARAMETROS_CULTURAS!$G$6:$G$28,$P861),INDEX(PARAMETROS_CULTURAS!$K$6:$K$28,$P861)+(INDEX(PARAMETROS_CULTURAS!$L$6:$L$28,$P861)-INDEX(PARAMETROS_CULTURAS!$K$6:$K$28,$P861))*($O861-INDEX(PARAMETROS_CULTURAS!$F$6:$F$28,$P861))/MAX(INDEX(PARAMETROS_CULTURAS!$G$6:$G$28,$P861),0.0001),IF($O861&lt;=INDEX(PARAMETROS_CULTURAS!$F$6:$F$28,$P861)+INDEX(PARAMETROS_CULTURAS!$G$6:$G$28,$P861)+INDEX(PARAMETROS_CULTURAS!$H$6:$H$28,$P861),INDEX(PARAMETROS_CULTURAS!$L$6:$L$28,$P861),INDEX(PARAMETROS_CULTURAS!$L$6:$L$28,$P861)+(INDEX(PARAMETROS_CULTURAS!$M$6:$M$28,$P861)-INDEX(PARAMETROS_CULTURAS!$L$6:$L$28,$P861))*($O861-INDEX(PARAMETROS_CULTURAS!$F$6:$F$28,$P861)-INDEX(PARAMETROS_CULTURAS!$G$6:$G$28,$P861)-INDEX(PARAMETROS_CULTURAS!$H$6:$H$28,$P861))/MAX(INDEX(PARAMETROS_CULTURAS!$I$6:$I$28,$P861),0.0001)))))</f>
        <v>0</v>
      </c>
      <c r="S861" s="18" t="n">
        <f aca="false">IFERROR(INDEX(SEMANAS!$H$6:$H$71,MATCH($B861,SEMANAS!$B$6:$B$71,0)),0)</f>
        <v>34.3</v>
      </c>
      <c r="T861" s="18" t="n">
        <f aca="false">$R861*$S861</f>
        <v>0</v>
      </c>
      <c r="U861" s="18" t="n">
        <f aca="false">IFERROR(INDEX(SEMANAS!$I$6:$I$71,MATCH($B861,SEMANAS!$B$6:$B$71,0)),0)</f>
        <v>46.69</v>
      </c>
      <c r="V861" s="18" t="n">
        <f aca="false">IFERROR(INDEX(SEMANAS!$J$6:$J$71,MATCH($B861,SEMANAS!$B$6:$B$71,0)),0)</f>
        <v>37.352</v>
      </c>
      <c r="W861" s="18" t="n">
        <f aca="false">MAX(0,$T861-$V861)</f>
        <v>0</v>
      </c>
      <c r="X861" s="19" t="n">
        <f aca="false">IFERROR(INDEX(CADASTRO_PIVOS!$K$6:$K$41,MATCH($E861,CADASTRO_PIVOS!$B$6:$B$41,0)),EFICIENCIA_PADRAO)</f>
        <v>0.85</v>
      </c>
      <c r="Y861" s="18" t="n">
        <f aca="false">IF($X861&lt;=0,0,$W861/$X861)</f>
        <v>0</v>
      </c>
      <c r="Z861" s="16" t="n">
        <f aca="false">$Y861*$H861*MM_PARA_M3_HA</f>
        <v>0</v>
      </c>
      <c r="AA861" s="18" t="n">
        <f aca="false">IFERROR(INDEX(CADASTRO_PIVOS!$I$6:$I$41,MATCH($E861,CADASTRO_PIVOS!$B$6:$B$41,0)),0)</f>
        <v>857</v>
      </c>
      <c r="AB861" s="18" t="n">
        <f aca="false">IF($Z861&lt;=0,0,$Z861/$AA861)</f>
        <v>0</v>
      </c>
      <c r="AC861" s="16" t="n">
        <f aca="false">IFERROR(INDEX(SEMANAS!$K$6:$K$71,MATCH($B861,SEMANAS!$B$6:$B$71,0)),0)</f>
        <v>147</v>
      </c>
      <c r="AD861" s="19" t="n">
        <f aca="false">IF($AC861&lt;=0,0,$AB861/$AC861)</f>
        <v>0</v>
      </c>
      <c r="AE861" s="8" t="str">
        <f aca="false">IF($K861="SEM CULTURA","SEM CULTURA",IF($AA861&lt;=0,"DADO PENDENTE",IF($AD861&gt;LIMITE_CRITICO,"INVIAVEL",IF($AD861&gt;LIMITE_ATENCAO,"CRITICO",IF($AD861&gt;LIMITE_CONFORTAVEL,"ATENCAO","OK")))))</f>
        <v>SEM CULTURA</v>
      </c>
      <c r="AF861" s="8" t="str">
        <f aca="false">$B861&amp;"|"&amp;TEXT($AD861,"0.000000")</f>
        <v>64|0.000000</v>
      </c>
      <c r="AG861" s="18" t="n">
        <f aca="false">IF($K861="SEM CULTURA",0,$T861*$H861)</f>
        <v>0</v>
      </c>
      <c r="AH861" s="18" t="n">
        <f aca="false">IF($K861="SEM CULTURA",0,$V861*$H861)</f>
        <v>0</v>
      </c>
      <c r="AI861" s="18" t="n">
        <f aca="false">IF($K861="SEM CULTURA",0,$W861*$H861)</f>
        <v>0</v>
      </c>
      <c r="AJ861" s="18" t="n">
        <f aca="false">IF($K861="SEM CULTURA",0,$S861*$H861)</f>
        <v>0</v>
      </c>
      <c r="AK861" s="8" t="str">
        <f aca="false">$E861&amp;"|"&amp;TEXT($AD861,"0.000000")</f>
        <v>PV 114|0.000000</v>
      </c>
    </row>
    <row r="862" customFormat="false" ht="15" hidden="false" customHeight="false" outlineLevel="0" collapsed="false">
      <c r="B862" s="16" t="n">
        <v>65</v>
      </c>
      <c r="C862" s="17" t="n">
        <f aca="false">DATA_INICIO_SAFRA+($B862-1)*DIAS_POR_SEMANA</f>
        <v>46713</v>
      </c>
      <c r="D862" s="17" t="n">
        <f aca="false">$C862+DIAS_POR_SEMANA-1</f>
        <v>46719</v>
      </c>
      <c r="E862" s="15" t="s">
        <v>271</v>
      </c>
      <c r="F862" s="8" t="str">
        <f aca="false">IFERROR(INDEX(CADASTRO_PIVOS!$C$6:$C$41,MATCH($E862,CADASTRO_PIVOS!$B$6:$B$41,0)),"?")</f>
        <v>RM05</v>
      </c>
      <c r="G862" s="8" t="str">
        <f aca="false">IFERROR(INDEX(CADASTRO_PIVOS!$D$6:$D$41,MATCH($E862,CADASTRO_PIVOS!$B$6:$B$41,0)),"?")</f>
        <v>TR05</v>
      </c>
      <c r="H862" s="20" t="n">
        <f aca="false">IFERROR(INDEX(CADASTRO_PIVOS!$E$6:$E$41,MATCH($E862,CADASTRO_PIVOS!$B$6:$B$41,0)),0)</f>
        <v>119.98</v>
      </c>
      <c r="I862" s="16" t="n">
        <f aca="false">IFERROR(SUMIFS(ROTACAO_RDM!$B$6:$B$71,ROTACAO_RDM!$D$6:$D$71,$E862,ROTACAO_RDM!$I$6:$I$71,"&lt;="&amp;$C862+INT(DIAS_POR_SEMANA/2),ROTACAO_RDM!$J$6:$J$71,"&gt;="&amp;$C862+INT(DIAS_POR_SEMANA/2)),0)</f>
        <v>0</v>
      </c>
      <c r="J862" s="16" t="n">
        <f aca="false">IFERROR(MATCH($I862,ROTACAO_RDM!$B$6:$B$71,0),0)</f>
        <v>0</v>
      </c>
      <c r="K862" s="8" t="str">
        <f aca="false">IF($J862=0,"SEM CULTURA",INDEX(ROTACAO_RDM!$F$6:$F$71,$J862))</f>
        <v>SEM CULTURA</v>
      </c>
      <c r="L862" s="8" t="str">
        <f aca="false">IF($J862=0,"",INDEX(ROTACAO_RDM!$G$6:$G$71,$J862))</f>
        <v/>
      </c>
      <c r="M862" s="17" t="str">
        <f aca="false">IF($J862=0,"",INDEX(ROTACAO_RDM!$I$6:$I$71,$J862))</f>
        <v/>
      </c>
      <c r="N862" s="16" t="n">
        <f aca="false">IF($J862=0,0,MAX(0,$C862+INT(DIAS_POR_SEMANA/2)-INDEX(ROTACAO_RDM!$I$6:$I$71,$J862)))</f>
        <v>0</v>
      </c>
      <c r="O862" s="19" t="n">
        <f aca="false">IF($J862=0,0,MIN(1,$N862/MAX(1,INDEX(ROTACAO_RDM!$K$6:$K$71,$J862))))</f>
        <v>0</v>
      </c>
      <c r="P862" s="16" t="n">
        <f aca="false">IF($J862=0,0,IFERROR(MATCH(INDEX(ROTACAO_RDM!$N$6:$N$71,$J862),PARAMETROS_CULTURAS!$B$6:$B$28,0),0))</f>
        <v>0</v>
      </c>
      <c r="Q862" s="8" t="str">
        <f aca="false">IF($P862=0,"-",IF($O862&lt;=INDEX(PARAMETROS_CULTURAS!$F$6:$F$28,$P862),"INICIAL",IF($O862&lt;=INDEX(PARAMETROS_CULTURAS!$F$6:$F$28,$P862)+INDEX(PARAMETROS_CULTURAS!$G$6:$G$28,$P862),"DESENVOLVIMENTO",IF($O862&lt;=INDEX(PARAMETROS_CULTURAS!$F$6:$F$28,$P862)+INDEX(PARAMETROS_CULTURAS!$G$6:$G$28,$P862)+INDEX(PARAMETROS_CULTURAS!$H$6:$H$28,$P862),"MEDIA","FINAL"))))</f>
        <v>-</v>
      </c>
      <c r="R862" s="24" t="n">
        <f aca="false">IF($P862=0,0,IF($O862&lt;=INDEX(PARAMETROS_CULTURAS!$F$6:$F$28,$P862),INDEX(PARAMETROS_CULTURAS!$K$6:$K$28,$P862),IF($O862&lt;=INDEX(PARAMETROS_CULTURAS!$F$6:$F$28,$P862)+INDEX(PARAMETROS_CULTURAS!$G$6:$G$28,$P862),INDEX(PARAMETROS_CULTURAS!$K$6:$K$28,$P862)+(INDEX(PARAMETROS_CULTURAS!$L$6:$L$28,$P862)-INDEX(PARAMETROS_CULTURAS!$K$6:$K$28,$P862))*($O862-INDEX(PARAMETROS_CULTURAS!$F$6:$F$28,$P862))/MAX(INDEX(PARAMETROS_CULTURAS!$G$6:$G$28,$P862),0.0001),IF($O862&lt;=INDEX(PARAMETROS_CULTURAS!$F$6:$F$28,$P862)+INDEX(PARAMETROS_CULTURAS!$G$6:$G$28,$P862)+INDEX(PARAMETROS_CULTURAS!$H$6:$H$28,$P862),INDEX(PARAMETROS_CULTURAS!$L$6:$L$28,$P862),INDEX(PARAMETROS_CULTURAS!$L$6:$L$28,$P862)+(INDEX(PARAMETROS_CULTURAS!$M$6:$M$28,$P862)-INDEX(PARAMETROS_CULTURAS!$L$6:$L$28,$P862))*($O862-INDEX(PARAMETROS_CULTURAS!$F$6:$F$28,$P862)-INDEX(PARAMETROS_CULTURAS!$G$6:$G$28,$P862)-INDEX(PARAMETROS_CULTURAS!$H$6:$H$28,$P862))/MAX(INDEX(PARAMETROS_CULTURAS!$I$6:$I$28,$P862),0.0001)))))</f>
        <v>0</v>
      </c>
      <c r="S862" s="18" t="n">
        <f aca="false">IFERROR(INDEX(SEMANAS!$H$6:$H$71,MATCH($B862,SEMANAS!$B$6:$B$71,0)),0)</f>
        <v>34.3</v>
      </c>
      <c r="T862" s="18" t="n">
        <f aca="false">$R862*$S862</f>
        <v>0</v>
      </c>
      <c r="U862" s="18" t="n">
        <f aca="false">IFERROR(INDEX(SEMANAS!$I$6:$I$71,MATCH($B862,SEMANAS!$B$6:$B$71,0)),0)</f>
        <v>46.69</v>
      </c>
      <c r="V862" s="18" t="n">
        <f aca="false">IFERROR(INDEX(SEMANAS!$J$6:$J$71,MATCH($B862,SEMANAS!$B$6:$B$71,0)),0)</f>
        <v>37.352</v>
      </c>
      <c r="W862" s="18" t="n">
        <f aca="false">MAX(0,$T862-$V862)</f>
        <v>0</v>
      </c>
      <c r="X862" s="19" t="n">
        <f aca="false">IFERROR(INDEX(CADASTRO_PIVOS!$K$6:$K$41,MATCH($E862,CADASTRO_PIVOS!$B$6:$B$41,0)),EFICIENCIA_PADRAO)</f>
        <v>0.85</v>
      </c>
      <c r="Y862" s="18" t="n">
        <f aca="false">IF($X862&lt;=0,0,$W862/$X862)</f>
        <v>0</v>
      </c>
      <c r="Z862" s="16" t="n">
        <f aca="false">$Y862*$H862*MM_PARA_M3_HA</f>
        <v>0</v>
      </c>
      <c r="AA862" s="18" t="n">
        <f aca="false">IFERROR(INDEX(CADASTRO_PIVOS!$I$6:$I$41,MATCH($E862,CADASTRO_PIVOS!$B$6:$B$41,0)),0)</f>
        <v>857</v>
      </c>
      <c r="AB862" s="18" t="n">
        <f aca="false">IF($Z862&lt;=0,0,$Z862/$AA862)</f>
        <v>0</v>
      </c>
      <c r="AC862" s="16" t="n">
        <f aca="false">IFERROR(INDEX(SEMANAS!$K$6:$K$71,MATCH($B862,SEMANAS!$B$6:$B$71,0)),0)</f>
        <v>147</v>
      </c>
      <c r="AD862" s="19" t="n">
        <f aca="false">IF($AC862&lt;=0,0,$AB862/$AC862)</f>
        <v>0</v>
      </c>
      <c r="AE862" s="8" t="str">
        <f aca="false">IF($K862="SEM CULTURA","SEM CULTURA",IF($AA862&lt;=0,"DADO PENDENTE",IF($AD862&gt;LIMITE_CRITICO,"INVIAVEL",IF($AD862&gt;LIMITE_ATENCAO,"CRITICO",IF($AD862&gt;LIMITE_CONFORTAVEL,"ATENCAO","OK")))))</f>
        <v>SEM CULTURA</v>
      </c>
      <c r="AF862" s="8" t="str">
        <f aca="false">$B862&amp;"|"&amp;TEXT($AD862,"0.000000")</f>
        <v>65|0.000000</v>
      </c>
      <c r="AG862" s="18" t="n">
        <f aca="false">IF($K862="SEM CULTURA",0,$T862*$H862)</f>
        <v>0</v>
      </c>
      <c r="AH862" s="18" t="n">
        <f aca="false">IF($K862="SEM CULTURA",0,$V862*$H862)</f>
        <v>0</v>
      </c>
      <c r="AI862" s="18" t="n">
        <f aca="false">IF($K862="SEM CULTURA",0,$W862*$H862)</f>
        <v>0</v>
      </c>
      <c r="AJ862" s="18" t="n">
        <f aca="false">IF($K862="SEM CULTURA",0,$S862*$H862)</f>
        <v>0</v>
      </c>
      <c r="AK862" s="8" t="str">
        <f aca="false">$E862&amp;"|"&amp;TEXT($AD862,"0.000000")</f>
        <v>PV 114|0.000000</v>
      </c>
    </row>
    <row r="863" customFormat="false" ht="15" hidden="false" customHeight="false" outlineLevel="0" collapsed="false">
      <c r="B863" s="16" t="n">
        <v>66</v>
      </c>
      <c r="C863" s="17" t="n">
        <f aca="false">DATA_INICIO_SAFRA+($B863-1)*DIAS_POR_SEMANA</f>
        <v>46720</v>
      </c>
      <c r="D863" s="17" t="n">
        <f aca="false">$C863+DIAS_POR_SEMANA-1</f>
        <v>46726</v>
      </c>
      <c r="E863" s="15" t="s">
        <v>271</v>
      </c>
      <c r="F863" s="8" t="str">
        <f aca="false">IFERROR(INDEX(CADASTRO_PIVOS!$C$6:$C$41,MATCH($E863,CADASTRO_PIVOS!$B$6:$B$41,0)),"?")</f>
        <v>RM05</v>
      </c>
      <c r="G863" s="8" t="str">
        <f aca="false">IFERROR(INDEX(CADASTRO_PIVOS!$D$6:$D$41,MATCH($E863,CADASTRO_PIVOS!$B$6:$B$41,0)),"?")</f>
        <v>TR05</v>
      </c>
      <c r="H863" s="20" t="n">
        <f aca="false">IFERROR(INDEX(CADASTRO_PIVOS!$E$6:$E$41,MATCH($E863,CADASTRO_PIVOS!$B$6:$B$41,0)),0)</f>
        <v>119.98</v>
      </c>
      <c r="I863" s="16" t="n">
        <f aca="false">IFERROR(SUMIFS(ROTACAO_RDM!$B$6:$B$71,ROTACAO_RDM!$D$6:$D$71,$E863,ROTACAO_RDM!$I$6:$I$71,"&lt;="&amp;$C863+INT(DIAS_POR_SEMANA/2),ROTACAO_RDM!$J$6:$J$71,"&gt;="&amp;$C863+INT(DIAS_POR_SEMANA/2)),0)</f>
        <v>0</v>
      </c>
      <c r="J863" s="16" t="n">
        <f aca="false">IFERROR(MATCH($I863,ROTACAO_RDM!$B$6:$B$71,0),0)</f>
        <v>0</v>
      </c>
      <c r="K863" s="8" t="str">
        <f aca="false">IF($J863=0,"SEM CULTURA",INDEX(ROTACAO_RDM!$F$6:$F$71,$J863))</f>
        <v>SEM CULTURA</v>
      </c>
      <c r="L863" s="8" t="str">
        <f aca="false">IF($J863=0,"",INDEX(ROTACAO_RDM!$G$6:$G$71,$J863))</f>
        <v/>
      </c>
      <c r="M863" s="17" t="str">
        <f aca="false">IF($J863=0,"",INDEX(ROTACAO_RDM!$I$6:$I$71,$J863))</f>
        <v/>
      </c>
      <c r="N863" s="16" t="n">
        <f aca="false">IF($J863=0,0,MAX(0,$C863+INT(DIAS_POR_SEMANA/2)-INDEX(ROTACAO_RDM!$I$6:$I$71,$J863)))</f>
        <v>0</v>
      </c>
      <c r="O863" s="19" t="n">
        <f aca="false">IF($J863=0,0,MIN(1,$N863/MAX(1,INDEX(ROTACAO_RDM!$K$6:$K$71,$J863))))</f>
        <v>0</v>
      </c>
      <c r="P863" s="16" t="n">
        <f aca="false">IF($J863=0,0,IFERROR(MATCH(INDEX(ROTACAO_RDM!$N$6:$N$71,$J863),PARAMETROS_CULTURAS!$B$6:$B$28,0),0))</f>
        <v>0</v>
      </c>
      <c r="Q863" s="8" t="str">
        <f aca="false">IF($P863=0,"-",IF($O863&lt;=INDEX(PARAMETROS_CULTURAS!$F$6:$F$28,$P863),"INICIAL",IF($O863&lt;=INDEX(PARAMETROS_CULTURAS!$F$6:$F$28,$P863)+INDEX(PARAMETROS_CULTURAS!$G$6:$G$28,$P863),"DESENVOLVIMENTO",IF($O863&lt;=INDEX(PARAMETROS_CULTURAS!$F$6:$F$28,$P863)+INDEX(PARAMETROS_CULTURAS!$G$6:$G$28,$P863)+INDEX(PARAMETROS_CULTURAS!$H$6:$H$28,$P863),"MEDIA","FINAL"))))</f>
        <v>-</v>
      </c>
      <c r="R863" s="24" t="n">
        <f aca="false">IF($P863=0,0,IF($O863&lt;=INDEX(PARAMETROS_CULTURAS!$F$6:$F$28,$P863),INDEX(PARAMETROS_CULTURAS!$K$6:$K$28,$P863),IF($O863&lt;=INDEX(PARAMETROS_CULTURAS!$F$6:$F$28,$P863)+INDEX(PARAMETROS_CULTURAS!$G$6:$G$28,$P863),INDEX(PARAMETROS_CULTURAS!$K$6:$K$28,$P863)+(INDEX(PARAMETROS_CULTURAS!$L$6:$L$28,$P863)-INDEX(PARAMETROS_CULTURAS!$K$6:$K$28,$P863))*($O863-INDEX(PARAMETROS_CULTURAS!$F$6:$F$28,$P863))/MAX(INDEX(PARAMETROS_CULTURAS!$G$6:$G$28,$P863),0.0001),IF($O863&lt;=INDEX(PARAMETROS_CULTURAS!$F$6:$F$28,$P863)+INDEX(PARAMETROS_CULTURAS!$G$6:$G$28,$P863)+INDEX(PARAMETROS_CULTURAS!$H$6:$H$28,$P863),INDEX(PARAMETROS_CULTURAS!$L$6:$L$28,$P863),INDEX(PARAMETROS_CULTURAS!$L$6:$L$28,$P863)+(INDEX(PARAMETROS_CULTURAS!$M$6:$M$28,$P863)-INDEX(PARAMETROS_CULTURAS!$L$6:$L$28,$P863))*($O863-INDEX(PARAMETROS_CULTURAS!$F$6:$F$28,$P863)-INDEX(PARAMETROS_CULTURAS!$G$6:$G$28,$P863)-INDEX(PARAMETROS_CULTURAS!$H$6:$H$28,$P863))/MAX(INDEX(PARAMETROS_CULTURAS!$I$6:$I$28,$P863),0.0001)))))</f>
        <v>0</v>
      </c>
      <c r="S863" s="18" t="n">
        <f aca="false">IFERROR(INDEX(SEMANAS!$H$6:$H$71,MATCH($B863,SEMANAS!$B$6:$B$71,0)),0)</f>
        <v>33.3</v>
      </c>
      <c r="T863" s="18" t="n">
        <f aca="false">$R863*$S863</f>
        <v>0</v>
      </c>
      <c r="U863" s="18" t="n">
        <f aca="false">IFERROR(INDEX(SEMANAS!$I$6:$I$71,MATCH($B863,SEMANAS!$B$6:$B$71,0)),0)</f>
        <v>48.04</v>
      </c>
      <c r="V863" s="18" t="n">
        <f aca="false">IFERROR(INDEX(SEMANAS!$J$6:$J$71,MATCH($B863,SEMANAS!$B$6:$B$71,0)),0)</f>
        <v>38.432</v>
      </c>
      <c r="W863" s="18" t="n">
        <f aca="false">MAX(0,$T863-$V863)</f>
        <v>0</v>
      </c>
      <c r="X863" s="19" t="n">
        <f aca="false">IFERROR(INDEX(CADASTRO_PIVOS!$K$6:$K$41,MATCH($E863,CADASTRO_PIVOS!$B$6:$B$41,0)),EFICIENCIA_PADRAO)</f>
        <v>0.85</v>
      </c>
      <c r="Y863" s="18" t="n">
        <f aca="false">IF($X863&lt;=0,0,$W863/$X863)</f>
        <v>0</v>
      </c>
      <c r="Z863" s="16" t="n">
        <f aca="false">$Y863*$H863*MM_PARA_M3_HA</f>
        <v>0</v>
      </c>
      <c r="AA863" s="18" t="n">
        <f aca="false">IFERROR(INDEX(CADASTRO_PIVOS!$I$6:$I$41,MATCH($E863,CADASTRO_PIVOS!$B$6:$B$41,0)),0)</f>
        <v>857</v>
      </c>
      <c r="AB863" s="18" t="n">
        <f aca="false">IF($Z863&lt;=0,0,$Z863/$AA863)</f>
        <v>0</v>
      </c>
      <c r="AC863" s="16" t="n">
        <f aca="false">IFERROR(INDEX(SEMANAS!$K$6:$K$71,MATCH($B863,SEMANAS!$B$6:$B$71,0)),0)</f>
        <v>147</v>
      </c>
      <c r="AD863" s="19" t="n">
        <f aca="false">IF($AC863&lt;=0,0,$AB863/$AC863)</f>
        <v>0</v>
      </c>
      <c r="AE863" s="8" t="str">
        <f aca="false">IF($K863="SEM CULTURA","SEM CULTURA",IF($AA863&lt;=0,"DADO PENDENTE",IF($AD863&gt;LIMITE_CRITICO,"INVIAVEL",IF($AD863&gt;LIMITE_ATENCAO,"CRITICO",IF($AD863&gt;LIMITE_CONFORTAVEL,"ATENCAO","OK")))))</f>
        <v>SEM CULTURA</v>
      </c>
      <c r="AF863" s="8" t="str">
        <f aca="false">$B863&amp;"|"&amp;TEXT($AD863,"0.000000")</f>
        <v>66|0.000000</v>
      </c>
      <c r="AG863" s="18" t="n">
        <f aca="false">IF($K863="SEM CULTURA",0,$T863*$H863)</f>
        <v>0</v>
      </c>
      <c r="AH863" s="18" t="n">
        <f aca="false">IF($K863="SEM CULTURA",0,$V863*$H863)</f>
        <v>0</v>
      </c>
      <c r="AI863" s="18" t="n">
        <f aca="false">IF($K863="SEM CULTURA",0,$W863*$H863)</f>
        <v>0</v>
      </c>
      <c r="AJ863" s="18" t="n">
        <f aca="false">IF($K863="SEM CULTURA",0,$S863*$H863)</f>
        <v>0</v>
      </c>
      <c r="AK863" s="8" t="str">
        <f aca="false">$E863&amp;"|"&amp;TEXT($AD863,"0.000000")</f>
        <v>PV 114|0.000000</v>
      </c>
    </row>
    <row r="864" customFormat="false" ht="15" hidden="false" customHeight="false" outlineLevel="0" collapsed="false">
      <c r="B864" s="16" t="n">
        <v>1</v>
      </c>
      <c r="C864" s="17" t="n">
        <f aca="false">DATA_INICIO_SAFRA+($B864-1)*DIAS_POR_SEMANA</f>
        <v>46265</v>
      </c>
      <c r="D864" s="17" t="n">
        <f aca="false">$C864+DIAS_POR_SEMANA-1</f>
        <v>46271</v>
      </c>
      <c r="E864" s="15" t="s">
        <v>272</v>
      </c>
      <c r="F864" s="8" t="str">
        <f aca="false">IFERROR(INDEX(CADASTRO_PIVOS!$C$6:$C$41,MATCH($E864,CADASTRO_PIVOS!$B$6:$B$41,0)),"?")</f>
        <v>RM05</v>
      </c>
      <c r="G864" s="8" t="str">
        <f aca="false">IFERROR(INDEX(CADASTRO_PIVOS!$D$6:$D$41,MATCH($E864,CADASTRO_PIVOS!$B$6:$B$41,0)),"?")</f>
        <v>TR05</v>
      </c>
      <c r="H864" s="20" t="n">
        <f aca="false">IFERROR(INDEX(CADASTRO_PIVOS!$E$6:$E$41,MATCH($E864,CADASTRO_PIVOS!$B$6:$B$41,0)),0)</f>
        <v>149.94</v>
      </c>
      <c r="I864" s="16" t="n">
        <f aca="false">IFERROR(SUMIFS(ROTACAO_RDM!$B$6:$B$71,ROTACAO_RDM!$D$6:$D$71,$E864,ROTACAO_RDM!$I$6:$I$71,"&lt;="&amp;$C864+INT(DIAS_POR_SEMANA/2),ROTACAO_RDM!$J$6:$J$71,"&gt;="&amp;$C864+INT(DIAS_POR_SEMANA/2)),0)</f>
        <v>0</v>
      </c>
      <c r="J864" s="16" t="n">
        <f aca="false">IFERROR(MATCH($I864,ROTACAO_RDM!$B$6:$B$71,0),0)</f>
        <v>0</v>
      </c>
      <c r="K864" s="8" t="str">
        <f aca="false">IF($J864=0,"SEM CULTURA",INDEX(ROTACAO_RDM!$F$6:$F$71,$J864))</f>
        <v>SEM CULTURA</v>
      </c>
      <c r="L864" s="8" t="str">
        <f aca="false">IF($J864=0,"",INDEX(ROTACAO_RDM!$G$6:$G$71,$J864))</f>
        <v/>
      </c>
      <c r="M864" s="17" t="str">
        <f aca="false">IF($J864=0,"",INDEX(ROTACAO_RDM!$I$6:$I$71,$J864))</f>
        <v/>
      </c>
      <c r="N864" s="16" t="n">
        <f aca="false">IF($J864=0,0,MAX(0,$C864+INT(DIAS_POR_SEMANA/2)-INDEX(ROTACAO_RDM!$I$6:$I$71,$J864)))</f>
        <v>0</v>
      </c>
      <c r="O864" s="19" t="n">
        <f aca="false">IF($J864=0,0,MIN(1,$N864/MAX(1,INDEX(ROTACAO_RDM!$K$6:$K$71,$J864))))</f>
        <v>0</v>
      </c>
      <c r="P864" s="16" t="n">
        <f aca="false">IF($J864=0,0,IFERROR(MATCH(INDEX(ROTACAO_RDM!$N$6:$N$71,$J864),PARAMETROS_CULTURAS!$B$6:$B$28,0),0))</f>
        <v>0</v>
      </c>
      <c r="Q864" s="8" t="str">
        <f aca="false">IF($P864=0,"-",IF($O864&lt;=INDEX(PARAMETROS_CULTURAS!$F$6:$F$28,$P864),"INICIAL",IF($O864&lt;=INDEX(PARAMETROS_CULTURAS!$F$6:$F$28,$P864)+INDEX(PARAMETROS_CULTURAS!$G$6:$G$28,$P864),"DESENVOLVIMENTO",IF($O864&lt;=INDEX(PARAMETROS_CULTURAS!$F$6:$F$28,$P864)+INDEX(PARAMETROS_CULTURAS!$G$6:$G$28,$P864)+INDEX(PARAMETROS_CULTURAS!$H$6:$H$28,$P864),"MEDIA","FINAL"))))</f>
        <v>-</v>
      </c>
      <c r="R864" s="24" t="n">
        <f aca="false">IF($P864=0,0,IF($O864&lt;=INDEX(PARAMETROS_CULTURAS!$F$6:$F$28,$P864),INDEX(PARAMETROS_CULTURAS!$K$6:$K$28,$P864),IF($O864&lt;=INDEX(PARAMETROS_CULTURAS!$F$6:$F$28,$P864)+INDEX(PARAMETROS_CULTURAS!$G$6:$G$28,$P864),INDEX(PARAMETROS_CULTURAS!$K$6:$K$28,$P864)+(INDEX(PARAMETROS_CULTURAS!$L$6:$L$28,$P864)-INDEX(PARAMETROS_CULTURAS!$K$6:$K$28,$P864))*($O864-INDEX(PARAMETROS_CULTURAS!$F$6:$F$28,$P864))/MAX(INDEX(PARAMETROS_CULTURAS!$G$6:$G$28,$P864),0.0001),IF($O864&lt;=INDEX(PARAMETROS_CULTURAS!$F$6:$F$28,$P864)+INDEX(PARAMETROS_CULTURAS!$G$6:$G$28,$P864)+INDEX(PARAMETROS_CULTURAS!$H$6:$H$28,$P864),INDEX(PARAMETROS_CULTURAS!$L$6:$L$28,$P864),INDEX(PARAMETROS_CULTURAS!$L$6:$L$28,$P864)+(INDEX(PARAMETROS_CULTURAS!$M$6:$M$28,$P864)-INDEX(PARAMETROS_CULTURAS!$L$6:$L$28,$P864))*($O864-INDEX(PARAMETROS_CULTURAS!$F$6:$F$28,$P864)-INDEX(PARAMETROS_CULTURAS!$G$6:$G$28,$P864)-INDEX(PARAMETROS_CULTURAS!$H$6:$H$28,$P864))/MAX(INDEX(PARAMETROS_CULTURAS!$I$6:$I$28,$P864),0.0001)))))</f>
        <v>0</v>
      </c>
      <c r="S864" s="18" t="n">
        <f aca="false">IFERROR(INDEX(SEMANAS!$H$6:$H$71,MATCH($B864,SEMANAS!$B$6:$B$71,0)),0)</f>
        <v>40</v>
      </c>
      <c r="T864" s="18" t="n">
        <f aca="false">$R864*$S864</f>
        <v>0</v>
      </c>
      <c r="U864" s="18" t="n">
        <f aca="false">IFERROR(INDEX(SEMANAS!$I$6:$I$71,MATCH($B864,SEMANAS!$B$6:$B$71,0)),0)</f>
        <v>6.16</v>
      </c>
      <c r="V864" s="18" t="n">
        <f aca="false">IFERROR(INDEX(SEMANAS!$J$6:$J$71,MATCH($B864,SEMANAS!$B$6:$B$71,0)),0)</f>
        <v>4.928</v>
      </c>
      <c r="W864" s="18" t="n">
        <f aca="false">MAX(0,$T864-$V864)</f>
        <v>0</v>
      </c>
      <c r="X864" s="19" t="n">
        <f aca="false">IFERROR(INDEX(CADASTRO_PIVOS!$K$6:$K$41,MATCH($E864,CADASTRO_PIVOS!$B$6:$B$41,0)),EFICIENCIA_PADRAO)</f>
        <v>0.85</v>
      </c>
      <c r="Y864" s="18" t="n">
        <f aca="false">IF($X864&lt;=0,0,$W864/$X864)</f>
        <v>0</v>
      </c>
      <c r="Z864" s="16" t="n">
        <f aca="false">$Y864*$H864*MM_PARA_M3_HA</f>
        <v>0</v>
      </c>
      <c r="AA864" s="18" t="n">
        <f aca="false">IFERROR(INDEX(CADASTRO_PIVOS!$I$6:$I$41,MATCH($E864,CADASTRO_PIVOS!$B$6:$B$41,0)),0)</f>
        <v>928.2</v>
      </c>
      <c r="AB864" s="18" t="n">
        <f aca="false">IF($Z864&lt;=0,0,$Z864/$AA864)</f>
        <v>0</v>
      </c>
      <c r="AC864" s="16" t="n">
        <f aca="false">IFERROR(INDEX(SEMANAS!$K$6:$K$71,MATCH($B864,SEMANAS!$B$6:$B$71,0)),0)</f>
        <v>147</v>
      </c>
      <c r="AD864" s="19" t="n">
        <f aca="false">IF($AC864&lt;=0,0,$AB864/$AC864)</f>
        <v>0</v>
      </c>
      <c r="AE864" s="8" t="str">
        <f aca="false">IF($K864="SEM CULTURA","SEM CULTURA",IF($AA864&lt;=0,"DADO PENDENTE",IF($AD864&gt;LIMITE_CRITICO,"INVIAVEL",IF($AD864&gt;LIMITE_ATENCAO,"CRITICO",IF($AD864&gt;LIMITE_CONFORTAVEL,"ATENCAO","OK")))))</f>
        <v>SEM CULTURA</v>
      </c>
      <c r="AF864" s="8" t="str">
        <f aca="false">$B864&amp;"|"&amp;TEXT($AD864,"0.000000")</f>
        <v>1|0.000000</v>
      </c>
      <c r="AG864" s="18" t="n">
        <f aca="false">IF($K864="SEM CULTURA",0,$T864*$H864)</f>
        <v>0</v>
      </c>
      <c r="AH864" s="18" t="n">
        <f aca="false">IF($K864="SEM CULTURA",0,$V864*$H864)</f>
        <v>0</v>
      </c>
      <c r="AI864" s="18" t="n">
        <f aca="false">IF($K864="SEM CULTURA",0,$W864*$H864)</f>
        <v>0</v>
      </c>
      <c r="AJ864" s="18" t="n">
        <f aca="false">IF($K864="SEM CULTURA",0,$S864*$H864)</f>
        <v>0</v>
      </c>
      <c r="AK864" s="8" t="str">
        <f aca="false">$E864&amp;"|"&amp;TEXT($AD864,"0.000000")</f>
        <v>PV 115|0.000000</v>
      </c>
    </row>
    <row r="865" customFormat="false" ht="15" hidden="false" customHeight="false" outlineLevel="0" collapsed="false">
      <c r="B865" s="16" t="n">
        <v>2</v>
      </c>
      <c r="C865" s="17" t="n">
        <f aca="false">DATA_INICIO_SAFRA+($B865-1)*DIAS_POR_SEMANA</f>
        <v>46272</v>
      </c>
      <c r="D865" s="17" t="n">
        <f aca="false">$C865+DIAS_POR_SEMANA-1</f>
        <v>46278</v>
      </c>
      <c r="E865" s="15" t="s">
        <v>272</v>
      </c>
      <c r="F865" s="8" t="str">
        <f aca="false">IFERROR(INDEX(CADASTRO_PIVOS!$C$6:$C$41,MATCH($E865,CADASTRO_PIVOS!$B$6:$B$41,0)),"?")</f>
        <v>RM05</v>
      </c>
      <c r="G865" s="8" t="str">
        <f aca="false">IFERROR(INDEX(CADASTRO_PIVOS!$D$6:$D$41,MATCH($E865,CADASTRO_PIVOS!$B$6:$B$41,0)),"?")</f>
        <v>TR05</v>
      </c>
      <c r="H865" s="20" t="n">
        <f aca="false">IFERROR(INDEX(CADASTRO_PIVOS!$E$6:$E$41,MATCH($E865,CADASTRO_PIVOS!$B$6:$B$41,0)),0)</f>
        <v>149.94</v>
      </c>
      <c r="I865" s="16" t="n">
        <f aca="false">IFERROR(SUMIFS(ROTACAO_RDM!$B$6:$B$71,ROTACAO_RDM!$D$6:$D$71,$E865,ROTACAO_RDM!$I$6:$I$71,"&lt;="&amp;$C865+INT(DIAS_POR_SEMANA/2),ROTACAO_RDM!$J$6:$J$71,"&gt;="&amp;$C865+INT(DIAS_POR_SEMANA/2)),0)</f>
        <v>0</v>
      </c>
      <c r="J865" s="16" t="n">
        <f aca="false">IFERROR(MATCH($I865,ROTACAO_RDM!$B$6:$B$71,0),0)</f>
        <v>0</v>
      </c>
      <c r="K865" s="8" t="str">
        <f aca="false">IF($J865=0,"SEM CULTURA",INDEX(ROTACAO_RDM!$F$6:$F$71,$J865))</f>
        <v>SEM CULTURA</v>
      </c>
      <c r="L865" s="8" t="str">
        <f aca="false">IF($J865=0,"",INDEX(ROTACAO_RDM!$G$6:$G$71,$J865))</f>
        <v/>
      </c>
      <c r="M865" s="17" t="str">
        <f aca="false">IF($J865=0,"",INDEX(ROTACAO_RDM!$I$6:$I$71,$J865))</f>
        <v/>
      </c>
      <c r="N865" s="16" t="n">
        <f aca="false">IF($J865=0,0,MAX(0,$C865+INT(DIAS_POR_SEMANA/2)-INDEX(ROTACAO_RDM!$I$6:$I$71,$J865)))</f>
        <v>0</v>
      </c>
      <c r="O865" s="19" t="n">
        <f aca="false">IF($J865=0,0,MIN(1,$N865/MAX(1,INDEX(ROTACAO_RDM!$K$6:$K$71,$J865))))</f>
        <v>0</v>
      </c>
      <c r="P865" s="16" t="n">
        <f aca="false">IF($J865=0,0,IFERROR(MATCH(INDEX(ROTACAO_RDM!$N$6:$N$71,$J865),PARAMETROS_CULTURAS!$B$6:$B$28,0),0))</f>
        <v>0</v>
      </c>
      <c r="Q865" s="8" t="str">
        <f aca="false">IF($P865=0,"-",IF($O865&lt;=INDEX(PARAMETROS_CULTURAS!$F$6:$F$28,$P865),"INICIAL",IF($O865&lt;=INDEX(PARAMETROS_CULTURAS!$F$6:$F$28,$P865)+INDEX(PARAMETROS_CULTURAS!$G$6:$G$28,$P865),"DESENVOLVIMENTO",IF($O865&lt;=INDEX(PARAMETROS_CULTURAS!$F$6:$F$28,$P865)+INDEX(PARAMETROS_CULTURAS!$G$6:$G$28,$P865)+INDEX(PARAMETROS_CULTURAS!$H$6:$H$28,$P865),"MEDIA","FINAL"))))</f>
        <v>-</v>
      </c>
      <c r="R865" s="24" t="n">
        <f aca="false">IF($P865=0,0,IF($O865&lt;=INDEX(PARAMETROS_CULTURAS!$F$6:$F$28,$P865),INDEX(PARAMETROS_CULTURAS!$K$6:$K$28,$P865),IF($O865&lt;=INDEX(PARAMETROS_CULTURAS!$F$6:$F$28,$P865)+INDEX(PARAMETROS_CULTURAS!$G$6:$G$28,$P865),INDEX(PARAMETROS_CULTURAS!$K$6:$K$28,$P865)+(INDEX(PARAMETROS_CULTURAS!$L$6:$L$28,$P865)-INDEX(PARAMETROS_CULTURAS!$K$6:$K$28,$P865))*($O865-INDEX(PARAMETROS_CULTURAS!$F$6:$F$28,$P865))/MAX(INDEX(PARAMETROS_CULTURAS!$G$6:$G$28,$P865),0.0001),IF($O865&lt;=INDEX(PARAMETROS_CULTURAS!$F$6:$F$28,$P865)+INDEX(PARAMETROS_CULTURAS!$G$6:$G$28,$P865)+INDEX(PARAMETROS_CULTURAS!$H$6:$H$28,$P865),INDEX(PARAMETROS_CULTURAS!$L$6:$L$28,$P865),INDEX(PARAMETROS_CULTURAS!$L$6:$L$28,$P865)+(INDEX(PARAMETROS_CULTURAS!$M$6:$M$28,$P865)-INDEX(PARAMETROS_CULTURAS!$L$6:$L$28,$P865))*($O865-INDEX(PARAMETROS_CULTURAS!$F$6:$F$28,$P865)-INDEX(PARAMETROS_CULTURAS!$G$6:$G$28,$P865)-INDEX(PARAMETROS_CULTURAS!$H$6:$H$28,$P865))/MAX(INDEX(PARAMETROS_CULTURAS!$I$6:$I$28,$P865),0.0001)))))</f>
        <v>0</v>
      </c>
      <c r="S865" s="18" t="n">
        <f aca="false">IFERROR(INDEX(SEMANAS!$H$6:$H$71,MATCH($B865,SEMANAS!$B$6:$B$71,0)),0)</f>
        <v>40.6</v>
      </c>
      <c r="T865" s="18" t="n">
        <f aca="false">$R865*$S865</f>
        <v>0</v>
      </c>
      <c r="U865" s="18" t="n">
        <f aca="false">IFERROR(INDEX(SEMANAS!$I$6:$I$71,MATCH($B865,SEMANAS!$B$6:$B$71,0)),0)</f>
        <v>7</v>
      </c>
      <c r="V865" s="18" t="n">
        <f aca="false">IFERROR(INDEX(SEMANAS!$J$6:$J$71,MATCH($B865,SEMANAS!$B$6:$B$71,0)),0)</f>
        <v>5.6</v>
      </c>
      <c r="W865" s="18" t="n">
        <f aca="false">MAX(0,$T865-$V865)</f>
        <v>0</v>
      </c>
      <c r="X865" s="19" t="n">
        <f aca="false">IFERROR(INDEX(CADASTRO_PIVOS!$K$6:$K$41,MATCH($E865,CADASTRO_PIVOS!$B$6:$B$41,0)),EFICIENCIA_PADRAO)</f>
        <v>0.85</v>
      </c>
      <c r="Y865" s="18" t="n">
        <f aca="false">IF($X865&lt;=0,0,$W865/$X865)</f>
        <v>0</v>
      </c>
      <c r="Z865" s="16" t="n">
        <f aca="false">$Y865*$H865*MM_PARA_M3_HA</f>
        <v>0</v>
      </c>
      <c r="AA865" s="18" t="n">
        <f aca="false">IFERROR(INDEX(CADASTRO_PIVOS!$I$6:$I$41,MATCH($E865,CADASTRO_PIVOS!$B$6:$B$41,0)),0)</f>
        <v>928.2</v>
      </c>
      <c r="AB865" s="18" t="n">
        <f aca="false">IF($Z865&lt;=0,0,$Z865/$AA865)</f>
        <v>0</v>
      </c>
      <c r="AC865" s="16" t="n">
        <f aca="false">IFERROR(INDEX(SEMANAS!$K$6:$K$71,MATCH($B865,SEMANAS!$B$6:$B$71,0)),0)</f>
        <v>147</v>
      </c>
      <c r="AD865" s="19" t="n">
        <f aca="false">IF($AC865&lt;=0,0,$AB865/$AC865)</f>
        <v>0</v>
      </c>
      <c r="AE865" s="8" t="str">
        <f aca="false">IF($K865="SEM CULTURA","SEM CULTURA",IF($AA865&lt;=0,"DADO PENDENTE",IF($AD865&gt;LIMITE_CRITICO,"INVIAVEL",IF($AD865&gt;LIMITE_ATENCAO,"CRITICO",IF($AD865&gt;LIMITE_CONFORTAVEL,"ATENCAO","OK")))))</f>
        <v>SEM CULTURA</v>
      </c>
      <c r="AF865" s="8" t="str">
        <f aca="false">$B865&amp;"|"&amp;TEXT($AD865,"0.000000")</f>
        <v>2|0.000000</v>
      </c>
      <c r="AG865" s="18" t="n">
        <f aca="false">IF($K865="SEM CULTURA",0,$T865*$H865)</f>
        <v>0</v>
      </c>
      <c r="AH865" s="18" t="n">
        <f aca="false">IF($K865="SEM CULTURA",0,$V865*$H865)</f>
        <v>0</v>
      </c>
      <c r="AI865" s="18" t="n">
        <f aca="false">IF($K865="SEM CULTURA",0,$W865*$H865)</f>
        <v>0</v>
      </c>
      <c r="AJ865" s="18" t="n">
        <f aca="false">IF($K865="SEM CULTURA",0,$S865*$H865)</f>
        <v>0</v>
      </c>
      <c r="AK865" s="8" t="str">
        <f aca="false">$E865&amp;"|"&amp;TEXT($AD865,"0.000000")</f>
        <v>PV 115|0.000000</v>
      </c>
    </row>
    <row r="866" customFormat="false" ht="15" hidden="false" customHeight="false" outlineLevel="0" collapsed="false">
      <c r="B866" s="16" t="n">
        <v>3</v>
      </c>
      <c r="C866" s="17" t="n">
        <f aca="false">DATA_INICIO_SAFRA+($B866-1)*DIAS_POR_SEMANA</f>
        <v>46279</v>
      </c>
      <c r="D866" s="17" t="n">
        <f aca="false">$C866+DIAS_POR_SEMANA-1</f>
        <v>46285</v>
      </c>
      <c r="E866" s="15" t="s">
        <v>272</v>
      </c>
      <c r="F866" s="8" t="str">
        <f aca="false">IFERROR(INDEX(CADASTRO_PIVOS!$C$6:$C$41,MATCH($E866,CADASTRO_PIVOS!$B$6:$B$41,0)),"?")</f>
        <v>RM05</v>
      </c>
      <c r="G866" s="8" t="str">
        <f aca="false">IFERROR(INDEX(CADASTRO_PIVOS!$D$6:$D$41,MATCH($E866,CADASTRO_PIVOS!$B$6:$B$41,0)),"?")</f>
        <v>TR05</v>
      </c>
      <c r="H866" s="20" t="n">
        <f aca="false">IFERROR(INDEX(CADASTRO_PIVOS!$E$6:$E$41,MATCH($E866,CADASTRO_PIVOS!$B$6:$B$41,0)),0)</f>
        <v>149.94</v>
      </c>
      <c r="I866" s="16" t="n">
        <f aca="false">IFERROR(SUMIFS(ROTACAO_RDM!$B$6:$B$71,ROTACAO_RDM!$D$6:$D$71,$E866,ROTACAO_RDM!$I$6:$I$71,"&lt;="&amp;$C866+INT(DIAS_POR_SEMANA/2),ROTACAO_RDM!$J$6:$J$71,"&gt;="&amp;$C866+INT(DIAS_POR_SEMANA/2)),0)</f>
        <v>0</v>
      </c>
      <c r="J866" s="16" t="n">
        <f aca="false">IFERROR(MATCH($I866,ROTACAO_RDM!$B$6:$B$71,0),0)</f>
        <v>0</v>
      </c>
      <c r="K866" s="8" t="str">
        <f aca="false">IF($J866=0,"SEM CULTURA",INDEX(ROTACAO_RDM!$F$6:$F$71,$J866))</f>
        <v>SEM CULTURA</v>
      </c>
      <c r="L866" s="8" t="str">
        <f aca="false">IF($J866=0,"",INDEX(ROTACAO_RDM!$G$6:$G$71,$J866))</f>
        <v/>
      </c>
      <c r="M866" s="17" t="str">
        <f aca="false">IF($J866=0,"",INDEX(ROTACAO_RDM!$I$6:$I$71,$J866))</f>
        <v/>
      </c>
      <c r="N866" s="16" t="n">
        <f aca="false">IF($J866=0,0,MAX(0,$C866+INT(DIAS_POR_SEMANA/2)-INDEX(ROTACAO_RDM!$I$6:$I$71,$J866)))</f>
        <v>0</v>
      </c>
      <c r="O866" s="19" t="n">
        <f aca="false">IF($J866=0,0,MIN(1,$N866/MAX(1,INDEX(ROTACAO_RDM!$K$6:$K$71,$J866))))</f>
        <v>0</v>
      </c>
      <c r="P866" s="16" t="n">
        <f aca="false">IF($J866=0,0,IFERROR(MATCH(INDEX(ROTACAO_RDM!$N$6:$N$71,$J866),PARAMETROS_CULTURAS!$B$6:$B$28,0),0))</f>
        <v>0</v>
      </c>
      <c r="Q866" s="8" t="str">
        <f aca="false">IF($P866=0,"-",IF($O866&lt;=INDEX(PARAMETROS_CULTURAS!$F$6:$F$28,$P866),"INICIAL",IF($O866&lt;=INDEX(PARAMETROS_CULTURAS!$F$6:$F$28,$P866)+INDEX(PARAMETROS_CULTURAS!$G$6:$G$28,$P866),"DESENVOLVIMENTO",IF($O866&lt;=INDEX(PARAMETROS_CULTURAS!$F$6:$F$28,$P866)+INDEX(PARAMETROS_CULTURAS!$G$6:$G$28,$P866)+INDEX(PARAMETROS_CULTURAS!$H$6:$H$28,$P866),"MEDIA","FINAL"))))</f>
        <v>-</v>
      </c>
      <c r="R866" s="24" t="n">
        <f aca="false">IF($P866=0,0,IF($O866&lt;=INDEX(PARAMETROS_CULTURAS!$F$6:$F$28,$P866),INDEX(PARAMETROS_CULTURAS!$K$6:$K$28,$P866),IF($O866&lt;=INDEX(PARAMETROS_CULTURAS!$F$6:$F$28,$P866)+INDEX(PARAMETROS_CULTURAS!$G$6:$G$28,$P866),INDEX(PARAMETROS_CULTURAS!$K$6:$K$28,$P866)+(INDEX(PARAMETROS_CULTURAS!$L$6:$L$28,$P866)-INDEX(PARAMETROS_CULTURAS!$K$6:$K$28,$P866))*($O866-INDEX(PARAMETROS_CULTURAS!$F$6:$F$28,$P866))/MAX(INDEX(PARAMETROS_CULTURAS!$G$6:$G$28,$P866),0.0001),IF($O866&lt;=INDEX(PARAMETROS_CULTURAS!$F$6:$F$28,$P866)+INDEX(PARAMETROS_CULTURAS!$G$6:$G$28,$P866)+INDEX(PARAMETROS_CULTURAS!$H$6:$H$28,$P866),INDEX(PARAMETROS_CULTURAS!$L$6:$L$28,$P866),INDEX(PARAMETROS_CULTURAS!$L$6:$L$28,$P866)+(INDEX(PARAMETROS_CULTURAS!$M$6:$M$28,$P866)-INDEX(PARAMETROS_CULTURAS!$L$6:$L$28,$P866))*($O866-INDEX(PARAMETROS_CULTURAS!$F$6:$F$28,$P866)-INDEX(PARAMETROS_CULTURAS!$G$6:$G$28,$P866)-INDEX(PARAMETROS_CULTURAS!$H$6:$H$28,$P866))/MAX(INDEX(PARAMETROS_CULTURAS!$I$6:$I$28,$P866),0.0001)))))</f>
        <v>0</v>
      </c>
      <c r="S866" s="18" t="n">
        <f aca="false">IFERROR(INDEX(SEMANAS!$H$6:$H$71,MATCH($B866,SEMANAS!$B$6:$B$71,0)),0)</f>
        <v>40.6</v>
      </c>
      <c r="T866" s="18" t="n">
        <f aca="false">$R866*$S866</f>
        <v>0</v>
      </c>
      <c r="U866" s="18" t="n">
        <f aca="false">IFERROR(INDEX(SEMANAS!$I$6:$I$71,MATCH($B866,SEMANAS!$B$6:$B$71,0)),0)</f>
        <v>7</v>
      </c>
      <c r="V866" s="18" t="n">
        <f aca="false">IFERROR(INDEX(SEMANAS!$J$6:$J$71,MATCH($B866,SEMANAS!$B$6:$B$71,0)),0)</f>
        <v>5.6</v>
      </c>
      <c r="W866" s="18" t="n">
        <f aca="false">MAX(0,$T866-$V866)</f>
        <v>0</v>
      </c>
      <c r="X866" s="19" t="n">
        <f aca="false">IFERROR(INDEX(CADASTRO_PIVOS!$K$6:$K$41,MATCH($E866,CADASTRO_PIVOS!$B$6:$B$41,0)),EFICIENCIA_PADRAO)</f>
        <v>0.85</v>
      </c>
      <c r="Y866" s="18" t="n">
        <f aca="false">IF($X866&lt;=0,0,$W866/$X866)</f>
        <v>0</v>
      </c>
      <c r="Z866" s="16" t="n">
        <f aca="false">$Y866*$H866*MM_PARA_M3_HA</f>
        <v>0</v>
      </c>
      <c r="AA866" s="18" t="n">
        <f aca="false">IFERROR(INDEX(CADASTRO_PIVOS!$I$6:$I$41,MATCH($E866,CADASTRO_PIVOS!$B$6:$B$41,0)),0)</f>
        <v>928.2</v>
      </c>
      <c r="AB866" s="18" t="n">
        <f aca="false">IF($Z866&lt;=0,0,$Z866/$AA866)</f>
        <v>0</v>
      </c>
      <c r="AC866" s="16" t="n">
        <f aca="false">IFERROR(INDEX(SEMANAS!$K$6:$K$71,MATCH($B866,SEMANAS!$B$6:$B$71,0)),0)</f>
        <v>147</v>
      </c>
      <c r="AD866" s="19" t="n">
        <f aca="false">IF($AC866&lt;=0,0,$AB866/$AC866)</f>
        <v>0</v>
      </c>
      <c r="AE866" s="8" t="str">
        <f aca="false">IF($K866="SEM CULTURA","SEM CULTURA",IF($AA866&lt;=0,"DADO PENDENTE",IF($AD866&gt;LIMITE_CRITICO,"INVIAVEL",IF($AD866&gt;LIMITE_ATENCAO,"CRITICO",IF($AD866&gt;LIMITE_CONFORTAVEL,"ATENCAO","OK")))))</f>
        <v>SEM CULTURA</v>
      </c>
      <c r="AF866" s="8" t="str">
        <f aca="false">$B866&amp;"|"&amp;TEXT($AD866,"0.000000")</f>
        <v>3|0.000000</v>
      </c>
      <c r="AG866" s="18" t="n">
        <f aca="false">IF($K866="SEM CULTURA",0,$T866*$H866)</f>
        <v>0</v>
      </c>
      <c r="AH866" s="18" t="n">
        <f aca="false">IF($K866="SEM CULTURA",0,$V866*$H866)</f>
        <v>0</v>
      </c>
      <c r="AI866" s="18" t="n">
        <f aca="false">IF($K866="SEM CULTURA",0,$W866*$H866)</f>
        <v>0</v>
      </c>
      <c r="AJ866" s="18" t="n">
        <f aca="false">IF($K866="SEM CULTURA",0,$S866*$H866)</f>
        <v>0</v>
      </c>
      <c r="AK866" s="8" t="str">
        <f aca="false">$E866&amp;"|"&amp;TEXT($AD866,"0.000000")</f>
        <v>PV 115|0.000000</v>
      </c>
    </row>
    <row r="867" customFormat="false" ht="15" hidden="false" customHeight="false" outlineLevel="0" collapsed="false">
      <c r="B867" s="16" t="n">
        <v>4</v>
      </c>
      <c r="C867" s="17" t="n">
        <f aca="false">DATA_INICIO_SAFRA+($B867-1)*DIAS_POR_SEMANA</f>
        <v>46286</v>
      </c>
      <c r="D867" s="17" t="n">
        <f aca="false">$C867+DIAS_POR_SEMANA-1</f>
        <v>46292</v>
      </c>
      <c r="E867" s="15" t="s">
        <v>272</v>
      </c>
      <c r="F867" s="8" t="str">
        <f aca="false">IFERROR(INDEX(CADASTRO_PIVOS!$C$6:$C$41,MATCH($E867,CADASTRO_PIVOS!$B$6:$B$41,0)),"?")</f>
        <v>RM05</v>
      </c>
      <c r="G867" s="8" t="str">
        <f aca="false">IFERROR(INDEX(CADASTRO_PIVOS!$D$6:$D$41,MATCH($E867,CADASTRO_PIVOS!$B$6:$B$41,0)),"?")</f>
        <v>TR05</v>
      </c>
      <c r="H867" s="20" t="n">
        <f aca="false">IFERROR(INDEX(CADASTRO_PIVOS!$E$6:$E$41,MATCH($E867,CADASTRO_PIVOS!$B$6:$B$41,0)),0)</f>
        <v>149.94</v>
      </c>
      <c r="I867" s="16" t="n">
        <f aca="false">IFERROR(SUMIFS(ROTACAO_RDM!$B$6:$B$71,ROTACAO_RDM!$D$6:$D$71,$E867,ROTACAO_RDM!$I$6:$I$71,"&lt;="&amp;$C867+INT(DIAS_POR_SEMANA/2),ROTACAO_RDM!$J$6:$J$71,"&gt;="&amp;$C867+INT(DIAS_POR_SEMANA/2)),0)</f>
        <v>0</v>
      </c>
      <c r="J867" s="16" t="n">
        <f aca="false">IFERROR(MATCH($I867,ROTACAO_RDM!$B$6:$B$71,0),0)</f>
        <v>0</v>
      </c>
      <c r="K867" s="8" t="str">
        <f aca="false">IF($J867=0,"SEM CULTURA",INDEX(ROTACAO_RDM!$F$6:$F$71,$J867))</f>
        <v>SEM CULTURA</v>
      </c>
      <c r="L867" s="8" t="str">
        <f aca="false">IF($J867=0,"",INDEX(ROTACAO_RDM!$G$6:$G$71,$J867))</f>
        <v/>
      </c>
      <c r="M867" s="17" t="str">
        <f aca="false">IF($J867=0,"",INDEX(ROTACAO_RDM!$I$6:$I$71,$J867))</f>
        <v/>
      </c>
      <c r="N867" s="16" t="n">
        <f aca="false">IF($J867=0,0,MAX(0,$C867+INT(DIAS_POR_SEMANA/2)-INDEX(ROTACAO_RDM!$I$6:$I$71,$J867)))</f>
        <v>0</v>
      </c>
      <c r="O867" s="19" t="n">
        <f aca="false">IF($J867=0,0,MIN(1,$N867/MAX(1,INDEX(ROTACAO_RDM!$K$6:$K$71,$J867))))</f>
        <v>0</v>
      </c>
      <c r="P867" s="16" t="n">
        <f aca="false">IF($J867=0,0,IFERROR(MATCH(INDEX(ROTACAO_RDM!$N$6:$N$71,$J867),PARAMETROS_CULTURAS!$B$6:$B$28,0),0))</f>
        <v>0</v>
      </c>
      <c r="Q867" s="8" t="str">
        <f aca="false">IF($P867=0,"-",IF($O867&lt;=INDEX(PARAMETROS_CULTURAS!$F$6:$F$28,$P867),"INICIAL",IF($O867&lt;=INDEX(PARAMETROS_CULTURAS!$F$6:$F$28,$P867)+INDEX(PARAMETROS_CULTURAS!$G$6:$G$28,$P867),"DESENVOLVIMENTO",IF($O867&lt;=INDEX(PARAMETROS_CULTURAS!$F$6:$F$28,$P867)+INDEX(PARAMETROS_CULTURAS!$G$6:$G$28,$P867)+INDEX(PARAMETROS_CULTURAS!$H$6:$H$28,$P867),"MEDIA","FINAL"))))</f>
        <v>-</v>
      </c>
      <c r="R867" s="24" t="n">
        <f aca="false">IF($P867=0,0,IF($O867&lt;=INDEX(PARAMETROS_CULTURAS!$F$6:$F$28,$P867),INDEX(PARAMETROS_CULTURAS!$K$6:$K$28,$P867),IF($O867&lt;=INDEX(PARAMETROS_CULTURAS!$F$6:$F$28,$P867)+INDEX(PARAMETROS_CULTURAS!$G$6:$G$28,$P867),INDEX(PARAMETROS_CULTURAS!$K$6:$K$28,$P867)+(INDEX(PARAMETROS_CULTURAS!$L$6:$L$28,$P867)-INDEX(PARAMETROS_CULTURAS!$K$6:$K$28,$P867))*($O867-INDEX(PARAMETROS_CULTURAS!$F$6:$F$28,$P867))/MAX(INDEX(PARAMETROS_CULTURAS!$G$6:$G$28,$P867),0.0001),IF($O867&lt;=INDEX(PARAMETROS_CULTURAS!$F$6:$F$28,$P867)+INDEX(PARAMETROS_CULTURAS!$G$6:$G$28,$P867)+INDEX(PARAMETROS_CULTURAS!$H$6:$H$28,$P867),INDEX(PARAMETROS_CULTURAS!$L$6:$L$28,$P867),INDEX(PARAMETROS_CULTURAS!$L$6:$L$28,$P867)+(INDEX(PARAMETROS_CULTURAS!$M$6:$M$28,$P867)-INDEX(PARAMETROS_CULTURAS!$L$6:$L$28,$P867))*($O867-INDEX(PARAMETROS_CULTURAS!$F$6:$F$28,$P867)-INDEX(PARAMETROS_CULTURAS!$G$6:$G$28,$P867)-INDEX(PARAMETROS_CULTURAS!$H$6:$H$28,$P867))/MAX(INDEX(PARAMETROS_CULTURAS!$I$6:$I$28,$P867),0.0001)))))</f>
        <v>0</v>
      </c>
      <c r="S867" s="18" t="n">
        <f aca="false">IFERROR(INDEX(SEMANAS!$H$6:$H$71,MATCH($B867,SEMANAS!$B$6:$B$71,0)),0)</f>
        <v>40.6</v>
      </c>
      <c r="T867" s="18" t="n">
        <f aca="false">$R867*$S867</f>
        <v>0</v>
      </c>
      <c r="U867" s="18" t="n">
        <f aca="false">IFERROR(INDEX(SEMANAS!$I$6:$I$71,MATCH($B867,SEMANAS!$B$6:$B$71,0)),0)</f>
        <v>7</v>
      </c>
      <c r="V867" s="18" t="n">
        <f aca="false">IFERROR(INDEX(SEMANAS!$J$6:$J$71,MATCH($B867,SEMANAS!$B$6:$B$71,0)),0)</f>
        <v>5.6</v>
      </c>
      <c r="W867" s="18" t="n">
        <f aca="false">MAX(0,$T867-$V867)</f>
        <v>0</v>
      </c>
      <c r="X867" s="19" t="n">
        <f aca="false">IFERROR(INDEX(CADASTRO_PIVOS!$K$6:$K$41,MATCH($E867,CADASTRO_PIVOS!$B$6:$B$41,0)),EFICIENCIA_PADRAO)</f>
        <v>0.85</v>
      </c>
      <c r="Y867" s="18" t="n">
        <f aca="false">IF($X867&lt;=0,0,$W867/$X867)</f>
        <v>0</v>
      </c>
      <c r="Z867" s="16" t="n">
        <f aca="false">$Y867*$H867*MM_PARA_M3_HA</f>
        <v>0</v>
      </c>
      <c r="AA867" s="18" t="n">
        <f aca="false">IFERROR(INDEX(CADASTRO_PIVOS!$I$6:$I$41,MATCH($E867,CADASTRO_PIVOS!$B$6:$B$41,0)),0)</f>
        <v>928.2</v>
      </c>
      <c r="AB867" s="18" t="n">
        <f aca="false">IF($Z867&lt;=0,0,$Z867/$AA867)</f>
        <v>0</v>
      </c>
      <c r="AC867" s="16" t="n">
        <f aca="false">IFERROR(INDEX(SEMANAS!$K$6:$K$71,MATCH($B867,SEMANAS!$B$6:$B$71,0)),0)</f>
        <v>147</v>
      </c>
      <c r="AD867" s="19" t="n">
        <f aca="false">IF($AC867&lt;=0,0,$AB867/$AC867)</f>
        <v>0</v>
      </c>
      <c r="AE867" s="8" t="str">
        <f aca="false">IF($K867="SEM CULTURA","SEM CULTURA",IF($AA867&lt;=0,"DADO PENDENTE",IF($AD867&gt;LIMITE_CRITICO,"INVIAVEL",IF($AD867&gt;LIMITE_ATENCAO,"CRITICO",IF($AD867&gt;LIMITE_CONFORTAVEL,"ATENCAO","OK")))))</f>
        <v>SEM CULTURA</v>
      </c>
      <c r="AF867" s="8" t="str">
        <f aca="false">$B867&amp;"|"&amp;TEXT($AD867,"0.000000")</f>
        <v>4|0.000000</v>
      </c>
      <c r="AG867" s="18" t="n">
        <f aca="false">IF($K867="SEM CULTURA",0,$T867*$H867)</f>
        <v>0</v>
      </c>
      <c r="AH867" s="18" t="n">
        <f aca="false">IF($K867="SEM CULTURA",0,$V867*$H867)</f>
        <v>0</v>
      </c>
      <c r="AI867" s="18" t="n">
        <f aca="false">IF($K867="SEM CULTURA",0,$W867*$H867)</f>
        <v>0</v>
      </c>
      <c r="AJ867" s="18" t="n">
        <f aca="false">IF($K867="SEM CULTURA",0,$S867*$H867)</f>
        <v>0</v>
      </c>
      <c r="AK867" s="8" t="str">
        <f aca="false">$E867&amp;"|"&amp;TEXT($AD867,"0.000000")</f>
        <v>PV 115|0.000000</v>
      </c>
    </row>
    <row r="868" customFormat="false" ht="15" hidden="false" customHeight="false" outlineLevel="0" collapsed="false">
      <c r="B868" s="16" t="n">
        <v>5</v>
      </c>
      <c r="C868" s="17" t="n">
        <f aca="false">DATA_INICIO_SAFRA+($B868-1)*DIAS_POR_SEMANA</f>
        <v>46293</v>
      </c>
      <c r="D868" s="17" t="n">
        <f aca="false">$C868+DIAS_POR_SEMANA-1</f>
        <v>46299</v>
      </c>
      <c r="E868" s="15" t="s">
        <v>272</v>
      </c>
      <c r="F868" s="8" t="str">
        <f aca="false">IFERROR(INDEX(CADASTRO_PIVOS!$C$6:$C$41,MATCH($E868,CADASTRO_PIVOS!$B$6:$B$41,0)),"?")</f>
        <v>RM05</v>
      </c>
      <c r="G868" s="8" t="str">
        <f aca="false">IFERROR(INDEX(CADASTRO_PIVOS!$D$6:$D$41,MATCH($E868,CADASTRO_PIVOS!$B$6:$B$41,0)),"?")</f>
        <v>TR05</v>
      </c>
      <c r="H868" s="20" t="n">
        <f aca="false">IFERROR(INDEX(CADASTRO_PIVOS!$E$6:$E$41,MATCH($E868,CADASTRO_PIVOS!$B$6:$B$41,0)),0)</f>
        <v>149.94</v>
      </c>
      <c r="I868" s="16" t="n">
        <f aca="false">IFERROR(SUMIFS(ROTACAO_RDM!$B$6:$B$71,ROTACAO_RDM!$D$6:$D$71,$E868,ROTACAO_RDM!$I$6:$I$71,"&lt;="&amp;$C868+INT(DIAS_POR_SEMANA/2),ROTACAO_RDM!$J$6:$J$71,"&gt;="&amp;$C868+INT(DIAS_POR_SEMANA/2)),0)</f>
        <v>0</v>
      </c>
      <c r="J868" s="16" t="n">
        <f aca="false">IFERROR(MATCH($I868,ROTACAO_RDM!$B$6:$B$71,0),0)</f>
        <v>0</v>
      </c>
      <c r="K868" s="8" t="str">
        <f aca="false">IF($J868=0,"SEM CULTURA",INDEX(ROTACAO_RDM!$F$6:$F$71,$J868))</f>
        <v>SEM CULTURA</v>
      </c>
      <c r="L868" s="8" t="str">
        <f aca="false">IF($J868=0,"",INDEX(ROTACAO_RDM!$G$6:$G$71,$J868))</f>
        <v/>
      </c>
      <c r="M868" s="17" t="str">
        <f aca="false">IF($J868=0,"",INDEX(ROTACAO_RDM!$I$6:$I$71,$J868))</f>
        <v/>
      </c>
      <c r="N868" s="16" t="n">
        <f aca="false">IF($J868=0,0,MAX(0,$C868+INT(DIAS_POR_SEMANA/2)-INDEX(ROTACAO_RDM!$I$6:$I$71,$J868)))</f>
        <v>0</v>
      </c>
      <c r="O868" s="19" t="n">
        <f aca="false">IF($J868=0,0,MIN(1,$N868/MAX(1,INDEX(ROTACAO_RDM!$K$6:$K$71,$J868))))</f>
        <v>0</v>
      </c>
      <c r="P868" s="16" t="n">
        <f aca="false">IF($J868=0,0,IFERROR(MATCH(INDEX(ROTACAO_RDM!$N$6:$N$71,$J868),PARAMETROS_CULTURAS!$B$6:$B$28,0),0))</f>
        <v>0</v>
      </c>
      <c r="Q868" s="8" t="str">
        <f aca="false">IF($P868=0,"-",IF($O868&lt;=INDEX(PARAMETROS_CULTURAS!$F$6:$F$28,$P868),"INICIAL",IF($O868&lt;=INDEX(PARAMETROS_CULTURAS!$F$6:$F$28,$P868)+INDEX(PARAMETROS_CULTURAS!$G$6:$G$28,$P868),"DESENVOLVIMENTO",IF($O868&lt;=INDEX(PARAMETROS_CULTURAS!$F$6:$F$28,$P868)+INDEX(PARAMETROS_CULTURAS!$G$6:$G$28,$P868)+INDEX(PARAMETROS_CULTURAS!$H$6:$H$28,$P868),"MEDIA","FINAL"))))</f>
        <v>-</v>
      </c>
      <c r="R868" s="24" t="n">
        <f aca="false">IF($P868=0,0,IF($O868&lt;=INDEX(PARAMETROS_CULTURAS!$F$6:$F$28,$P868),INDEX(PARAMETROS_CULTURAS!$K$6:$K$28,$P868),IF($O868&lt;=INDEX(PARAMETROS_CULTURAS!$F$6:$F$28,$P868)+INDEX(PARAMETROS_CULTURAS!$G$6:$G$28,$P868),INDEX(PARAMETROS_CULTURAS!$K$6:$K$28,$P868)+(INDEX(PARAMETROS_CULTURAS!$L$6:$L$28,$P868)-INDEX(PARAMETROS_CULTURAS!$K$6:$K$28,$P868))*($O868-INDEX(PARAMETROS_CULTURAS!$F$6:$F$28,$P868))/MAX(INDEX(PARAMETROS_CULTURAS!$G$6:$G$28,$P868),0.0001),IF($O868&lt;=INDEX(PARAMETROS_CULTURAS!$F$6:$F$28,$P868)+INDEX(PARAMETROS_CULTURAS!$G$6:$G$28,$P868)+INDEX(PARAMETROS_CULTURAS!$H$6:$H$28,$P868),INDEX(PARAMETROS_CULTURAS!$L$6:$L$28,$P868),INDEX(PARAMETROS_CULTURAS!$L$6:$L$28,$P868)+(INDEX(PARAMETROS_CULTURAS!$M$6:$M$28,$P868)-INDEX(PARAMETROS_CULTURAS!$L$6:$L$28,$P868))*($O868-INDEX(PARAMETROS_CULTURAS!$F$6:$F$28,$P868)-INDEX(PARAMETROS_CULTURAS!$G$6:$G$28,$P868)-INDEX(PARAMETROS_CULTURAS!$H$6:$H$28,$P868))/MAX(INDEX(PARAMETROS_CULTURAS!$I$6:$I$28,$P868),0.0001)))))</f>
        <v>0</v>
      </c>
      <c r="S868" s="18" t="n">
        <f aca="false">IFERROR(INDEX(SEMANAS!$H$6:$H$71,MATCH($B868,SEMANAS!$B$6:$B$71,0)),0)</f>
        <v>39.8</v>
      </c>
      <c r="T868" s="18" t="n">
        <f aca="false">$R868*$S868</f>
        <v>0</v>
      </c>
      <c r="U868" s="18" t="n">
        <f aca="false">IFERROR(INDEX(SEMANAS!$I$6:$I$71,MATCH($B868,SEMANAS!$B$6:$B$71,0)),0)</f>
        <v>18.48</v>
      </c>
      <c r="V868" s="18" t="n">
        <f aca="false">IFERROR(INDEX(SEMANAS!$J$6:$J$71,MATCH($B868,SEMANAS!$B$6:$B$71,0)),0)</f>
        <v>14.784</v>
      </c>
      <c r="W868" s="18" t="n">
        <f aca="false">MAX(0,$T868-$V868)</f>
        <v>0</v>
      </c>
      <c r="X868" s="19" t="n">
        <f aca="false">IFERROR(INDEX(CADASTRO_PIVOS!$K$6:$K$41,MATCH($E868,CADASTRO_PIVOS!$B$6:$B$41,0)),EFICIENCIA_PADRAO)</f>
        <v>0.85</v>
      </c>
      <c r="Y868" s="18" t="n">
        <f aca="false">IF($X868&lt;=0,0,$W868/$X868)</f>
        <v>0</v>
      </c>
      <c r="Z868" s="16" t="n">
        <f aca="false">$Y868*$H868*MM_PARA_M3_HA</f>
        <v>0</v>
      </c>
      <c r="AA868" s="18" t="n">
        <f aca="false">IFERROR(INDEX(CADASTRO_PIVOS!$I$6:$I$41,MATCH($E868,CADASTRO_PIVOS!$B$6:$B$41,0)),0)</f>
        <v>928.2</v>
      </c>
      <c r="AB868" s="18" t="n">
        <f aca="false">IF($Z868&lt;=0,0,$Z868/$AA868)</f>
        <v>0</v>
      </c>
      <c r="AC868" s="16" t="n">
        <f aca="false">IFERROR(INDEX(SEMANAS!$K$6:$K$71,MATCH($B868,SEMANAS!$B$6:$B$71,0)),0)</f>
        <v>147</v>
      </c>
      <c r="AD868" s="19" t="n">
        <f aca="false">IF($AC868&lt;=0,0,$AB868/$AC868)</f>
        <v>0</v>
      </c>
      <c r="AE868" s="8" t="str">
        <f aca="false">IF($K868="SEM CULTURA","SEM CULTURA",IF($AA868&lt;=0,"DADO PENDENTE",IF($AD868&gt;LIMITE_CRITICO,"INVIAVEL",IF($AD868&gt;LIMITE_ATENCAO,"CRITICO",IF($AD868&gt;LIMITE_CONFORTAVEL,"ATENCAO","OK")))))</f>
        <v>SEM CULTURA</v>
      </c>
      <c r="AF868" s="8" t="str">
        <f aca="false">$B868&amp;"|"&amp;TEXT($AD868,"0.000000")</f>
        <v>5|0.000000</v>
      </c>
      <c r="AG868" s="18" t="n">
        <f aca="false">IF($K868="SEM CULTURA",0,$T868*$H868)</f>
        <v>0</v>
      </c>
      <c r="AH868" s="18" t="n">
        <f aca="false">IF($K868="SEM CULTURA",0,$V868*$H868)</f>
        <v>0</v>
      </c>
      <c r="AI868" s="18" t="n">
        <f aca="false">IF($K868="SEM CULTURA",0,$W868*$H868)</f>
        <v>0</v>
      </c>
      <c r="AJ868" s="18" t="n">
        <f aca="false">IF($K868="SEM CULTURA",0,$S868*$H868)</f>
        <v>0</v>
      </c>
      <c r="AK868" s="8" t="str">
        <f aca="false">$E868&amp;"|"&amp;TEXT($AD868,"0.000000")</f>
        <v>PV 115|0.000000</v>
      </c>
    </row>
    <row r="869" customFormat="false" ht="15" hidden="false" customHeight="false" outlineLevel="0" collapsed="false">
      <c r="B869" s="16" t="n">
        <v>6</v>
      </c>
      <c r="C869" s="17" t="n">
        <f aca="false">DATA_INICIO_SAFRA+($B869-1)*DIAS_POR_SEMANA</f>
        <v>46300</v>
      </c>
      <c r="D869" s="17" t="n">
        <f aca="false">$C869+DIAS_POR_SEMANA-1</f>
        <v>46306</v>
      </c>
      <c r="E869" s="15" t="s">
        <v>272</v>
      </c>
      <c r="F869" s="8" t="str">
        <f aca="false">IFERROR(INDEX(CADASTRO_PIVOS!$C$6:$C$41,MATCH($E869,CADASTRO_PIVOS!$B$6:$B$41,0)),"?")</f>
        <v>RM05</v>
      </c>
      <c r="G869" s="8" t="str">
        <f aca="false">IFERROR(INDEX(CADASTRO_PIVOS!$D$6:$D$41,MATCH($E869,CADASTRO_PIVOS!$B$6:$B$41,0)),"?")</f>
        <v>TR05</v>
      </c>
      <c r="H869" s="20" t="n">
        <f aca="false">IFERROR(INDEX(CADASTRO_PIVOS!$E$6:$E$41,MATCH($E869,CADASTRO_PIVOS!$B$6:$B$41,0)),0)</f>
        <v>149.94</v>
      </c>
      <c r="I869" s="16" t="n">
        <f aca="false">IFERROR(SUMIFS(ROTACAO_RDM!$B$6:$B$71,ROTACAO_RDM!$D$6:$D$71,$E869,ROTACAO_RDM!$I$6:$I$71,"&lt;="&amp;$C869+INT(DIAS_POR_SEMANA/2),ROTACAO_RDM!$J$6:$J$71,"&gt;="&amp;$C869+INT(DIAS_POR_SEMANA/2)),0)</f>
        <v>0</v>
      </c>
      <c r="J869" s="16" t="n">
        <f aca="false">IFERROR(MATCH($I869,ROTACAO_RDM!$B$6:$B$71,0),0)</f>
        <v>0</v>
      </c>
      <c r="K869" s="8" t="str">
        <f aca="false">IF($J869=0,"SEM CULTURA",INDEX(ROTACAO_RDM!$F$6:$F$71,$J869))</f>
        <v>SEM CULTURA</v>
      </c>
      <c r="L869" s="8" t="str">
        <f aca="false">IF($J869=0,"",INDEX(ROTACAO_RDM!$G$6:$G$71,$J869))</f>
        <v/>
      </c>
      <c r="M869" s="17" t="str">
        <f aca="false">IF($J869=0,"",INDEX(ROTACAO_RDM!$I$6:$I$71,$J869))</f>
        <v/>
      </c>
      <c r="N869" s="16" t="n">
        <f aca="false">IF($J869=0,0,MAX(0,$C869+INT(DIAS_POR_SEMANA/2)-INDEX(ROTACAO_RDM!$I$6:$I$71,$J869)))</f>
        <v>0</v>
      </c>
      <c r="O869" s="19" t="n">
        <f aca="false">IF($J869=0,0,MIN(1,$N869/MAX(1,INDEX(ROTACAO_RDM!$K$6:$K$71,$J869))))</f>
        <v>0</v>
      </c>
      <c r="P869" s="16" t="n">
        <f aca="false">IF($J869=0,0,IFERROR(MATCH(INDEX(ROTACAO_RDM!$N$6:$N$71,$J869),PARAMETROS_CULTURAS!$B$6:$B$28,0),0))</f>
        <v>0</v>
      </c>
      <c r="Q869" s="8" t="str">
        <f aca="false">IF($P869=0,"-",IF($O869&lt;=INDEX(PARAMETROS_CULTURAS!$F$6:$F$28,$P869),"INICIAL",IF($O869&lt;=INDEX(PARAMETROS_CULTURAS!$F$6:$F$28,$P869)+INDEX(PARAMETROS_CULTURAS!$G$6:$G$28,$P869),"DESENVOLVIMENTO",IF($O869&lt;=INDEX(PARAMETROS_CULTURAS!$F$6:$F$28,$P869)+INDEX(PARAMETROS_CULTURAS!$G$6:$G$28,$P869)+INDEX(PARAMETROS_CULTURAS!$H$6:$H$28,$P869),"MEDIA","FINAL"))))</f>
        <v>-</v>
      </c>
      <c r="R869" s="24" t="n">
        <f aca="false">IF($P869=0,0,IF($O869&lt;=INDEX(PARAMETROS_CULTURAS!$F$6:$F$28,$P869),INDEX(PARAMETROS_CULTURAS!$K$6:$K$28,$P869),IF($O869&lt;=INDEX(PARAMETROS_CULTURAS!$F$6:$F$28,$P869)+INDEX(PARAMETROS_CULTURAS!$G$6:$G$28,$P869),INDEX(PARAMETROS_CULTURAS!$K$6:$K$28,$P869)+(INDEX(PARAMETROS_CULTURAS!$L$6:$L$28,$P869)-INDEX(PARAMETROS_CULTURAS!$K$6:$K$28,$P869))*($O869-INDEX(PARAMETROS_CULTURAS!$F$6:$F$28,$P869))/MAX(INDEX(PARAMETROS_CULTURAS!$G$6:$G$28,$P869),0.0001),IF($O869&lt;=INDEX(PARAMETROS_CULTURAS!$F$6:$F$28,$P869)+INDEX(PARAMETROS_CULTURAS!$G$6:$G$28,$P869)+INDEX(PARAMETROS_CULTURAS!$H$6:$H$28,$P869),INDEX(PARAMETROS_CULTURAS!$L$6:$L$28,$P869),INDEX(PARAMETROS_CULTURAS!$L$6:$L$28,$P869)+(INDEX(PARAMETROS_CULTURAS!$M$6:$M$28,$P869)-INDEX(PARAMETROS_CULTURAS!$L$6:$L$28,$P869))*($O869-INDEX(PARAMETROS_CULTURAS!$F$6:$F$28,$P869)-INDEX(PARAMETROS_CULTURAS!$G$6:$G$28,$P869)-INDEX(PARAMETROS_CULTURAS!$H$6:$H$28,$P869))/MAX(INDEX(PARAMETROS_CULTURAS!$I$6:$I$28,$P869),0.0001)))))</f>
        <v>0</v>
      </c>
      <c r="S869" s="18" t="n">
        <f aca="false">IFERROR(INDEX(SEMANAS!$H$6:$H$71,MATCH($B869,SEMANAS!$B$6:$B$71,0)),0)</f>
        <v>39.2</v>
      </c>
      <c r="T869" s="18" t="n">
        <f aca="false">$R869*$S869</f>
        <v>0</v>
      </c>
      <c r="U869" s="18" t="n">
        <f aca="false">IFERROR(INDEX(SEMANAS!$I$6:$I$71,MATCH($B869,SEMANAS!$B$6:$B$71,0)),0)</f>
        <v>27.09</v>
      </c>
      <c r="V869" s="18" t="n">
        <f aca="false">IFERROR(INDEX(SEMANAS!$J$6:$J$71,MATCH($B869,SEMANAS!$B$6:$B$71,0)),0)</f>
        <v>21.672</v>
      </c>
      <c r="W869" s="18" t="n">
        <f aca="false">MAX(0,$T869-$V869)</f>
        <v>0</v>
      </c>
      <c r="X869" s="19" t="n">
        <f aca="false">IFERROR(INDEX(CADASTRO_PIVOS!$K$6:$K$41,MATCH($E869,CADASTRO_PIVOS!$B$6:$B$41,0)),EFICIENCIA_PADRAO)</f>
        <v>0.85</v>
      </c>
      <c r="Y869" s="18" t="n">
        <f aca="false">IF($X869&lt;=0,0,$W869/$X869)</f>
        <v>0</v>
      </c>
      <c r="Z869" s="16" t="n">
        <f aca="false">$Y869*$H869*MM_PARA_M3_HA</f>
        <v>0</v>
      </c>
      <c r="AA869" s="18" t="n">
        <f aca="false">IFERROR(INDEX(CADASTRO_PIVOS!$I$6:$I$41,MATCH($E869,CADASTRO_PIVOS!$B$6:$B$41,0)),0)</f>
        <v>928.2</v>
      </c>
      <c r="AB869" s="18" t="n">
        <f aca="false">IF($Z869&lt;=0,0,$Z869/$AA869)</f>
        <v>0</v>
      </c>
      <c r="AC869" s="16" t="n">
        <f aca="false">IFERROR(INDEX(SEMANAS!$K$6:$K$71,MATCH($B869,SEMANAS!$B$6:$B$71,0)),0)</f>
        <v>147</v>
      </c>
      <c r="AD869" s="19" t="n">
        <f aca="false">IF($AC869&lt;=0,0,$AB869/$AC869)</f>
        <v>0</v>
      </c>
      <c r="AE869" s="8" t="str">
        <f aca="false">IF($K869="SEM CULTURA","SEM CULTURA",IF($AA869&lt;=0,"DADO PENDENTE",IF($AD869&gt;LIMITE_CRITICO,"INVIAVEL",IF($AD869&gt;LIMITE_ATENCAO,"CRITICO",IF($AD869&gt;LIMITE_CONFORTAVEL,"ATENCAO","OK")))))</f>
        <v>SEM CULTURA</v>
      </c>
      <c r="AF869" s="8" t="str">
        <f aca="false">$B869&amp;"|"&amp;TEXT($AD869,"0.000000")</f>
        <v>6|0.000000</v>
      </c>
      <c r="AG869" s="18" t="n">
        <f aca="false">IF($K869="SEM CULTURA",0,$T869*$H869)</f>
        <v>0</v>
      </c>
      <c r="AH869" s="18" t="n">
        <f aca="false">IF($K869="SEM CULTURA",0,$V869*$H869)</f>
        <v>0</v>
      </c>
      <c r="AI869" s="18" t="n">
        <f aca="false">IF($K869="SEM CULTURA",0,$W869*$H869)</f>
        <v>0</v>
      </c>
      <c r="AJ869" s="18" t="n">
        <f aca="false">IF($K869="SEM CULTURA",0,$S869*$H869)</f>
        <v>0</v>
      </c>
      <c r="AK869" s="8" t="str">
        <f aca="false">$E869&amp;"|"&amp;TEXT($AD869,"0.000000")</f>
        <v>PV 115|0.000000</v>
      </c>
    </row>
    <row r="870" customFormat="false" ht="15" hidden="false" customHeight="false" outlineLevel="0" collapsed="false">
      <c r="B870" s="16" t="n">
        <v>7</v>
      </c>
      <c r="C870" s="17" t="n">
        <f aca="false">DATA_INICIO_SAFRA+($B870-1)*DIAS_POR_SEMANA</f>
        <v>46307</v>
      </c>
      <c r="D870" s="17" t="n">
        <f aca="false">$C870+DIAS_POR_SEMANA-1</f>
        <v>46313</v>
      </c>
      <c r="E870" s="15" t="s">
        <v>272</v>
      </c>
      <c r="F870" s="8" t="str">
        <f aca="false">IFERROR(INDEX(CADASTRO_PIVOS!$C$6:$C$41,MATCH($E870,CADASTRO_PIVOS!$B$6:$B$41,0)),"?")</f>
        <v>RM05</v>
      </c>
      <c r="G870" s="8" t="str">
        <f aca="false">IFERROR(INDEX(CADASTRO_PIVOS!$D$6:$D$41,MATCH($E870,CADASTRO_PIVOS!$B$6:$B$41,0)),"?")</f>
        <v>TR05</v>
      </c>
      <c r="H870" s="20" t="n">
        <f aca="false">IFERROR(INDEX(CADASTRO_PIVOS!$E$6:$E$41,MATCH($E870,CADASTRO_PIVOS!$B$6:$B$41,0)),0)</f>
        <v>149.94</v>
      </c>
      <c r="I870" s="16" t="n">
        <f aca="false">IFERROR(SUMIFS(ROTACAO_RDM!$B$6:$B$71,ROTACAO_RDM!$D$6:$D$71,$E870,ROTACAO_RDM!$I$6:$I$71,"&lt;="&amp;$C870+INT(DIAS_POR_SEMANA/2),ROTACAO_RDM!$J$6:$J$71,"&gt;="&amp;$C870+INT(DIAS_POR_SEMANA/2)),0)</f>
        <v>0</v>
      </c>
      <c r="J870" s="16" t="n">
        <f aca="false">IFERROR(MATCH($I870,ROTACAO_RDM!$B$6:$B$71,0),0)</f>
        <v>0</v>
      </c>
      <c r="K870" s="8" t="str">
        <f aca="false">IF($J870=0,"SEM CULTURA",INDEX(ROTACAO_RDM!$F$6:$F$71,$J870))</f>
        <v>SEM CULTURA</v>
      </c>
      <c r="L870" s="8" t="str">
        <f aca="false">IF($J870=0,"",INDEX(ROTACAO_RDM!$G$6:$G$71,$J870))</f>
        <v/>
      </c>
      <c r="M870" s="17" t="str">
        <f aca="false">IF($J870=0,"",INDEX(ROTACAO_RDM!$I$6:$I$71,$J870))</f>
        <v/>
      </c>
      <c r="N870" s="16" t="n">
        <f aca="false">IF($J870=0,0,MAX(0,$C870+INT(DIAS_POR_SEMANA/2)-INDEX(ROTACAO_RDM!$I$6:$I$71,$J870)))</f>
        <v>0</v>
      </c>
      <c r="O870" s="19" t="n">
        <f aca="false">IF($J870=0,0,MIN(1,$N870/MAX(1,INDEX(ROTACAO_RDM!$K$6:$K$71,$J870))))</f>
        <v>0</v>
      </c>
      <c r="P870" s="16" t="n">
        <f aca="false">IF($J870=0,0,IFERROR(MATCH(INDEX(ROTACAO_RDM!$N$6:$N$71,$J870),PARAMETROS_CULTURAS!$B$6:$B$28,0),0))</f>
        <v>0</v>
      </c>
      <c r="Q870" s="8" t="str">
        <f aca="false">IF($P870=0,"-",IF($O870&lt;=INDEX(PARAMETROS_CULTURAS!$F$6:$F$28,$P870),"INICIAL",IF($O870&lt;=INDEX(PARAMETROS_CULTURAS!$F$6:$F$28,$P870)+INDEX(PARAMETROS_CULTURAS!$G$6:$G$28,$P870),"DESENVOLVIMENTO",IF($O870&lt;=INDEX(PARAMETROS_CULTURAS!$F$6:$F$28,$P870)+INDEX(PARAMETROS_CULTURAS!$G$6:$G$28,$P870)+INDEX(PARAMETROS_CULTURAS!$H$6:$H$28,$P870),"MEDIA","FINAL"))))</f>
        <v>-</v>
      </c>
      <c r="R870" s="24" t="n">
        <f aca="false">IF($P870=0,0,IF($O870&lt;=INDEX(PARAMETROS_CULTURAS!$F$6:$F$28,$P870),INDEX(PARAMETROS_CULTURAS!$K$6:$K$28,$P870),IF($O870&lt;=INDEX(PARAMETROS_CULTURAS!$F$6:$F$28,$P870)+INDEX(PARAMETROS_CULTURAS!$G$6:$G$28,$P870),INDEX(PARAMETROS_CULTURAS!$K$6:$K$28,$P870)+(INDEX(PARAMETROS_CULTURAS!$L$6:$L$28,$P870)-INDEX(PARAMETROS_CULTURAS!$K$6:$K$28,$P870))*($O870-INDEX(PARAMETROS_CULTURAS!$F$6:$F$28,$P870))/MAX(INDEX(PARAMETROS_CULTURAS!$G$6:$G$28,$P870),0.0001),IF($O870&lt;=INDEX(PARAMETROS_CULTURAS!$F$6:$F$28,$P870)+INDEX(PARAMETROS_CULTURAS!$G$6:$G$28,$P870)+INDEX(PARAMETROS_CULTURAS!$H$6:$H$28,$P870),INDEX(PARAMETROS_CULTURAS!$L$6:$L$28,$P870),INDEX(PARAMETROS_CULTURAS!$L$6:$L$28,$P870)+(INDEX(PARAMETROS_CULTURAS!$M$6:$M$28,$P870)-INDEX(PARAMETROS_CULTURAS!$L$6:$L$28,$P870))*($O870-INDEX(PARAMETROS_CULTURAS!$F$6:$F$28,$P870)-INDEX(PARAMETROS_CULTURAS!$G$6:$G$28,$P870)-INDEX(PARAMETROS_CULTURAS!$H$6:$H$28,$P870))/MAX(INDEX(PARAMETROS_CULTURAS!$I$6:$I$28,$P870),0.0001)))))</f>
        <v>0</v>
      </c>
      <c r="S870" s="18" t="n">
        <f aca="false">IFERROR(INDEX(SEMANAS!$H$6:$H$71,MATCH($B870,SEMANAS!$B$6:$B$71,0)),0)</f>
        <v>39.2</v>
      </c>
      <c r="T870" s="18" t="n">
        <f aca="false">$R870*$S870</f>
        <v>0</v>
      </c>
      <c r="U870" s="18" t="n">
        <f aca="false">IFERROR(INDEX(SEMANAS!$I$6:$I$71,MATCH($B870,SEMANAS!$B$6:$B$71,0)),0)</f>
        <v>27.09</v>
      </c>
      <c r="V870" s="18" t="n">
        <f aca="false">IFERROR(INDEX(SEMANAS!$J$6:$J$71,MATCH($B870,SEMANAS!$B$6:$B$71,0)),0)</f>
        <v>21.672</v>
      </c>
      <c r="W870" s="18" t="n">
        <f aca="false">MAX(0,$T870-$V870)</f>
        <v>0</v>
      </c>
      <c r="X870" s="19" t="n">
        <f aca="false">IFERROR(INDEX(CADASTRO_PIVOS!$K$6:$K$41,MATCH($E870,CADASTRO_PIVOS!$B$6:$B$41,0)),EFICIENCIA_PADRAO)</f>
        <v>0.85</v>
      </c>
      <c r="Y870" s="18" t="n">
        <f aca="false">IF($X870&lt;=0,0,$W870/$X870)</f>
        <v>0</v>
      </c>
      <c r="Z870" s="16" t="n">
        <f aca="false">$Y870*$H870*MM_PARA_M3_HA</f>
        <v>0</v>
      </c>
      <c r="AA870" s="18" t="n">
        <f aca="false">IFERROR(INDEX(CADASTRO_PIVOS!$I$6:$I$41,MATCH($E870,CADASTRO_PIVOS!$B$6:$B$41,0)),0)</f>
        <v>928.2</v>
      </c>
      <c r="AB870" s="18" t="n">
        <f aca="false">IF($Z870&lt;=0,0,$Z870/$AA870)</f>
        <v>0</v>
      </c>
      <c r="AC870" s="16" t="n">
        <f aca="false">IFERROR(INDEX(SEMANAS!$K$6:$K$71,MATCH($B870,SEMANAS!$B$6:$B$71,0)),0)</f>
        <v>147</v>
      </c>
      <c r="AD870" s="19" t="n">
        <f aca="false">IF($AC870&lt;=0,0,$AB870/$AC870)</f>
        <v>0</v>
      </c>
      <c r="AE870" s="8" t="str">
        <f aca="false">IF($K870="SEM CULTURA","SEM CULTURA",IF($AA870&lt;=0,"DADO PENDENTE",IF($AD870&gt;LIMITE_CRITICO,"INVIAVEL",IF($AD870&gt;LIMITE_ATENCAO,"CRITICO",IF($AD870&gt;LIMITE_CONFORTAVEL,"ATENCAO","OK")))))</f>
        <v>SEM CULTURA</v>
      </c>
      <c r="AF870" s="8" t="str">
        <f aca="false">$B870&amp;"|"&amp;TEXT($AD870,"0.000000")</f>
        <v>7|0.000000</v>
      </c>
      <c r="AG870" s="18" t="n">
        <f aca="false">IF($K870="SEM CULTURA",0,$T870*$H870)</f>
        <v>0</v>
      </c>
      <c r="AH870" s="18" t="n">
        <f aca="false">IF($K870="SEM CULTURA",0,$V870*$H870)</f>
        <v>0</v>
      </c>
      <c r="AI870" s="18" t="n">
        <f aca="false">IF($K870="SEM CULTURA",0,$W870*$H870)</f>
        <v>0</v>
      </c>
      <c r="AJ870" s="18" t="n">
        <f aca="false">IF($K870="SEM CULTURA",0,$S870*$H870)</f>
        <v>0</v>
      </c>
      <c r="AK870" s="8" t="str">
        <f aca="false">$E870&amp;"|"&amp;TEXT($AD870,"0.000000")</f>
        <v>PV 115|0.000000</v>
      </c>
    </row>
    <row r="871" customFormat="false" ht="15" hidden="false" customHeight="false" outlineLevel="0" collapsed="false">
      <c r="B871" s="16" t="n">
        <v>8</v>
      </c>
      <c r="C871" s="17" t="n">
        <f aca="false">DATA_INICIO_SAFRA+($B871-1)*DIAS_POR_SEMANA</f>
        <v>46314</v>
      </c>
      <c r="D871" s="17" t="n">
        <f aca="false">$C871+DIAS_POR_SEMANA-1</f>
        <v>46320</v>
      </c>
      <c r="E871" s="15" t="s">
        <v>272</v>
      </c>
      <c r="F871" s="8" t="str">
        <f aca="false">IFERROR(INDEX(CADASTRO_PIVOS!$C$6:$C$41,MATCH($E871,CADASTRO_PIVOS!$B$6:$B$41,0)),"?")</f>
        <v>RM05</v>
      </c>
      <c r="G871" s="8" t="str">
        <f aca="false">IFERROR(INDEX(CADASTRO_PIVOS!$D$6:$D$41,MATCH($E871,CADASTRO_PIVOS!$B$6:$B$41,0)),"?")</f>
        <v>TR05</v>
      </c>
      <c r="H871" s="20" t="n">
        <f aca="false">IFERROR(INDEX(CADASTRO_PIVOS!$E$6:$E$41,MATCH($E871,CADASTRO_PIVOS!$B$6:$B$41,0)),0)</f>
        <v>149.94</v>
      </c>
      <c r="I871" s="16" t="n">
        <f aca="false">IFERROR(SUMIFS(ROTACAO_RDM!$B$6:$B$71,ROTACAO_RDM!$D$6:$D$71,$E871,ROTACAO_RDM!$I$6:$I$71,"&lt;="&amp;$C871+INT(DIAS_POR_SEMANA/2),ROTACAO_RDM!$J$6:$J$71,"&gt;="&amp;$C871+INT(DIAS_POR_SEMANA/2)),0)</f>
        <v>0</v>
      </c>
      <c r="J871" s="16" t="n">
        <f aca="false">IFERROR(MATCH($I871,ROTACAO_RDM!$B$6:$B$71,0),0)</f>
        <v>0</v>
      </c>
      <c r="K871" s="8" t="str">
        <f aca="false">IF($J871=0,"SEM CULTURA",INDEX(ROTACAO_RDM!$F$6:$F$71,$J871))</f>
        <v>SEM CULTURA</v>
      </c>
      <c r="L871" s="8" t="str">
        <f aca="false">IF($J871=0,"",INDEX(ROTACAO_RDM!$G$6:$G$71,$J871))</f>
        <v/>
      </c>
      <c r="M871" s="17" t="str">
        <f aca="false">IF($J871=0,"",INDEX(ROTACAO_RDM!$I$6:$I$71,$J871))</f>
        <v/>
      </c>
      <c r="N871" s="16" t="n">
        <f aca="false">IF($J871=0,0,MAX(0,$C871+INT(DIAS_POR_SEMANA/2)-INDEX(ROTACAO_RDM!$I$6:$I$71,$J871)))</f>
        <v>0</v>
      </c>
      <c r="O871" s="19" t="n">
        <f aca="false">IF($J871=0,0,MIN(1,$N871/MAX(1,INDEX(ROTACAO_RDM!$K$6:$K$71,$J871))))</f>
        <v>0</v>
      </c>
      <c r="P871" s="16" t="n">
        <f aca="false">IF($J871=0,0,IFERROR(MATCH(INDEX(ROTACAO_RDM!$N$6:$N$71,$J871),PARAMETROS_CULTURAS!$B$6:$B$28,0),0))</f>
        <v>0</v>
      </c>
      <c r="Q871" s="8" t="str">
        <f aca="false">IF($P871=0,"-",IF($O871&lt;=INDEX(PARAMETROS_CULTURAS!$F$6:$F$28,$P871),"INICIAL",IF($O871&lt;=INDEX(PARAMETROS_CULTURAS!$F$6:$F$28,$P871)+INDEX(PARAMETROS_CULTURAS!$G$6:$G$28,$P871),"DESENVOLVIMENTO",IF($O871&lt;=INDEX(PARAMETROS_CULTURAS!$F$6:$F$28,$P871)+INDEX(PARAMETROS_CULTURAS!$G$6:$G$28,$P871)+INDEX(PARAMETROS_CULTURAS!$H$6:$H$28,$P871),"MEDIA","FINAL"))))</f>
        <v>-</v>
      </c>
      <c r="R871" s="24" t="n">
        <f aca="false">IF($P871=0,0,IF($O871&lt;=INDEX(PARAMETROS_CULTURAS!$F$6:$F$28,$P871),INDEX(PARAMETROS_CULTURAS!$K$6:$K$28,$P871),IF($O871&lt;=INDEX(PARAMETROS_CULTURAS!$F$6:$F$28,$P871)+INDEX(PARAMETROS_CULTURAS!$G$6:$G$28,$P871),INDEX(PARAMETROS_CULTURAS!$K$6:$K$28,$P871)+(INDEX(PARAMETROS_CULTURAS!$L$6:$L$28,$P871)-INDEX(PARAMETROS_CULTURAS!$K$6:$K$28,$P871))*($O871-INDEX(PARAMETROS_CULTURAS!$F$6:$F$28,$P871))/MAX(INDEX(PARAMETROS_CULTURAS!$G$6:$G$28,$P871),0.0001),IF($O871&lt;=INDEX(PARAMETROS_CULTURAS!$F$6:$F$28,$P871)+INDEX(PARAMETROS_CULTURAS!$G$6:$G$28,$P871)+INDEX(PARAMETROS_CULTURAS!$H$6:$H$28,$P871),INDEX(PARAMETROS_CULTURAS!$L$6:$L$28,$P871),INDEX(PARAMETROS_CULTURAS!$L$6:$L$28,$P871)+(INDEX(PARAMETROS_CULTURAS!$M$6:$M$28,$P871)-INDEX(PARAMETROS_CULTURAS!$L$6:$L$28,$P871))*($O871-INDEX(PARAMETROS_CULTURAS!$F$6:$F$28,$P871)-INDEX(PARAMETROS_CULTURAS!$G$6:$G$28,$P871)-INDEX(PARAMETROS_CULTURAS!$H$6:$H$28,$P871))/MAX(INDEX(PARAMETROS_CULTURAS!$I$6:$I$28,$P871),0.0001)))))</f>
        <v>0</v>
      </c>
      <c r="S871" s="18" t="n">
        <f aca="false">IFERROR(INDEX(SEMANAS!$H$6:$H$71,MATCH($B871,SEMANAS!$B$6:$B$71,0)),0)</f>
        <v>39.2</v>
      </c>
      <c r="T871" s="18" t="n">
        <f aca="false">$R871*$S871</f>
        <v>0</v>
      </c>
      <c r="U871" s="18" t="n">
        <f aca="false">IFERROR(INDEX(SEMANAS!$I$6:$I$71,MATCH($B871,SEMANAS!$B$6:$B$71,0)),0)</f>
        <v>27.09</v>
      </c>
      <c r="V871" s="18" t="n">
        <f aca="false">IFERROR(INDEX(SEMANAS!$J$6:$J$71,MATCH($B871,SEMANAS!$B$6:$B$71,0)),0)</f>
        <v>21.672</v>
      </c>
      <c r="W871" s="18" t="n">
        <f aca="false">MAX(0,$T871-$V871)</f>
        <v>0</v>
      </c>
      <c r="X871" s="19" t="n">
        <f aca="false">IFERROR(INDEX(CADASTRO_PIVOS!$K$6:$K$41,MATCH($E871,CADASTRO_PIVOS!$B$6:$B$41,0)),EFICIENCIA_PADRAO)</f>
        <v>0.85</v>
      </c>
      <c r="Y871" s="18" t="n">
        <f aca="false">IF($X871&lt;=0,0,$W871/$X871)</f>
        <v>0</v>
      </c>
      <c r="Z871" s="16" t="n">
        <f aca="false">$Y871*$H871*MM_PARA_M3_HA</f>
        <v>0</v>
      </c>
      <c r="AA871" s="18" t="n">
        <f aca="false">IFERROR(INDEX(CADASTRO_PIVOS!$I$6:$I$41,MATCH($E871,CADASTRO_PIVOS!$B$6:$B$41,0)),0)</f>
        <v>928.2</v>
      </c>
      <c r="AB871" s="18" t="n">
        <f aca="false">IF($Z871&lt;=0,0,$Z871/$AA871)</f>
        <v>0</v>
      </c>
      <c r="AC871" s="16" t="n">
        <f aca="false">IFERROR(INDEX(SEMANAS!$K$6:$K$71,MATCH($B871,SEMANAS!$B$6:$B$71,0)),0)</f>
        <v>147</v>
      </c>
      <c r="AD871" s="19" t="n">
        <f aca="false">IF($AC871&lt;=0,0,$AB871/$AC871)</f>
        <v>0</v>
      </c>
      <c r="AE871" s="8" t="str">
        <f aca="false">IF($K871="SEM CULTURA","SEM CULTURA",IF($AA871&lt;=0,"DADO PENDENTE",IF($AD871&gt;LIMITE_CRITICO,"INVIAVEL",IF($AD871&gt;LIMITE_ATENCAO,"CRITICO",IF($AD871&gt;LIMITE_CONFORTAVEL,"ATENCAO","OK")))))</f>
        <v>SEM CULTURA</v>
      </c>
      <c r="AF871" s="8" t="str">
        <f aca="false">$B871&amp;"|"&amp;TEXT($AD871,"0.000000")</f>
        <v>8|0.000000</v>
      </c>
      <c r="AG871" s="18" t="n">
        <f aca="false">IF($K871="SEM CULTURA",0,$T871*$H871)</f>
        <v>0</v>
      </c>
      <c r="AH871" s="18" t="n">
        <f aca="false">IF($K871="SEM CULTURA",0,$V871*$H871)</f>
        <v>0</v>
      </c>
      <c r="AI871" s="18" t="n">
        <f aca="false">IF($K871="SEM CULTURA",0,$W871*$H871)</f>
        <v>0</v>
      </c>
      <c r="AJ871" s="18" t="n">
        <f aca="false">IF($K871="SEM CULTURA",0,$S871*$H871)</f>
        <v>0</v>
      </c>
      <c r="AK871" s="8" t="str">
        <f aca="false">$E871&amp;"|"&amp;TEXT($AD871,"0.000000")</f>
        <v>PV 115|0.000000</v>
      </c>
    </row>
    <row r="872" customFormat="false" ht="15" hidden="false" customHeight="false" outlineLevel="0" collapsed="false">
      <c r="B872" s="16" t="n">
        <v>9</v>
      </c>
      <c r="C872" s="17" t="n">
        <f aca="false">DATA_INICIO_SAFRA+($B872-1)*DIAS_POR_SEMANA</f>
        <v>46321</v>
      </c>
      <c r="D872" s="17" t="n">
        <f aca="false">$C872+DIAS_POR_SEMANA-1</f>
        <v>46327</v>
      </c>
      <c r="E872" s="15" t="s">
        <v>272</v>
      </c>
      <c r="F872" s="8" t="str">
        <f aca="false">IFERROR(INDEX(CADASTRO_PIVOS!$C$6:$C$41,MATCH($E872,CADASTRO_PIVOS!$B$6:$B$41,0)),"?")</f>
        <v>RM05</v>
      </c>
      <c r="G872" s="8" t="str">
        <f aca="false">IFERROR(INDEX(CADASTRO_PIVOS!$D$6:$D$41,MATCH($E872,CADASTRO_PIVOS!$B$6:$B$41,0)),"?")</f>
        <v>TR05</v>
      </c>
      <c r="H872" s="20" t="n">
        <f aca="false">IFERROR(INDEX(CADASTRO_PIVOS!$E$6:$E$41,MATCH($E872,CADASTRO_PIVOS!$B$6:$B$41,0)),0)</f>
        <v>149.94</v>
      </c>
      <c r="I872" s="16" t="n">
        <f aca="false">IFERROR(SUMIFS(ROTACAO_RDM!$B$6:$B$71,ROTACAO_RDM!$D$6:$D$71,$E872,ROTACAO_RDM!$I$6:$I$71,"&lt;="&amp;$C872+INT(DIAS_POR_SEMANA/2),ROTACAO_RDM!$J$6:$J$71,"&gt;="&amp;$C872+INT(DIAS_POR_SEMANA/2)),0)</f>
        <v>0</v>
      </c>
      <c r="J872" s="16" t="n">
        <f aca="false">IFERROR(MATCH($I872,ROTACAO_RDM!$B$6:$B$71,0),0)</f>
        <v>0</v>
      </c>
      <c r="K872" s="8" t="str">
        <f aca="false">IF($J872=0,"SEM CULTURA",INDEX(ROTACAO_RDM!$F$6:$F$71,$J872))</f>
        <v>SEM CULTURA</v>
      </c>
      <c r="L872" s="8" t="str">
        <f aca="false">IF($J872=0,"",INDEX(ROTACAO_RDM!$G$6:$G$71,$J872))</f>
        <v/>
      </c>
      <c r="M872" s="17" t="str">
        <f aca="false">IF($J872=0,"",INDEX(ROTACAO_RDM!$I$6:$I$71,$J872))</f>
        <v/>
      </c>
      <c r="N872" s="16" t="n">
        <f aca="false">IF($J872=0,0,MAX(0,$C872+INT(DIAS_POR_SEMANA/2)-INDEX(ROTACAO_RDM!$I$6:$I$71,$J872)))</f>
        <v>0</v>
      </c>
      <c r="O872" s="19" t="n">
        <f aca="false">IF($J872=0,0,MIN(1,$N872/MAX(1,INDEX(ROTACAO_RDM!$K$6:$K$71,$J872))))</f>
        <v>0</v>
      </c>
      <c r="P872" s="16" t="n">
        <f aca="false">IF($J872=0,0,IFERROR(MATCH(INDEX(ROTACAO_RDM!$N$6:$N$71,$J872),PARAMETROS_CULTURAS!$B$6:$B$28,0),0))</f>
        <v>0</v>
      </c>
      <c r="Q872" s="8" t="str">
        <f aca="false">IF($P872=0,"-",IF($O872&lt;=INDEX(PARAMETROS_CULTURAS!$F$6:$F$28,$P872),"INICIAL",IF($O872&lt;=INDEX(PARAMETROS_CULTURAS!$F$6:$F$28,$P872)+INDEX(PARAMETROS_CULTURAS!$G$6:$G$28,$P872),"DESENVOLVIMENTO",IF($O872&lt;=INDEX(PARAMETROS_CULTURAS!$F$6:$F$28,$P872)+INDEX(PARAMETROS_CULTURAS!$G$6:$G$28,$P872)+INDEX(PARAMETROS_CULTURAS!$H$6:$H$28,$P872),"MEDIA","FINAL"))))</f>
        <v>-</v>
      </c>
      <c r="R872" s="24" t="n">
        <f aca="false">IF($P872=0,0,IF($O872&lt;=INDEX(PARAMETROS_CULTURAS!$F$6:$F$28,$P872),INDEX(PARAMETROS_CULTURAS!$K$6:$K$28,$P872),IF($O872&lt;=INDEX(PARAMETROS_CULTURAS!$F$6:$F$28,$P872)+INDEX(PARAMETROS_CULTURAS!$G$6:$G$28,$P872),INDEX(PARAMETROS_CULTURAS!$K$6:$K$28,$P872)+(INDEX(PARAMETROS_CULTURAS!$L$6:$L$28,$P872)-INDEX(PARAMETROS_CULTURAS!$K$6:$K$28,$P872))*($O872-INDEX(PARAMETROS_CULTURAS!$F$6:$F$28,$P872))/MAX(INDEX(PARAMETROS_CULTURAS!$G$6:$G$28,$P872),0.0001),IF($O872&lt;=INDEX(PARAMETROS_CULTURAS!$F$6:$F$28,$P872)+INDEX(PARAMETROS_CULTURAS!$G$6:$G$28,$P872)+INDEX(PARAMETROS_CULTURAS!$H$6:$H$28,$P872),INDEX(PARAMETROS_CULTURAS!$L$6:$L$28,$P872),INDEX(PARAMETROS_CULTURAS!$L$6:$L$28,$P872)+(INDEX(PARAMETROS_CULTURAS!$M$6:$M$28,$P872)-INDEX(PARAMETROS_CULTURAS!$L$6:$L$28,$P872))*($O872-INDEX(PARAMETROS_CULTURAS!$F$6:$F$28,$P872)-INDEX(PARAMETROS_CULTURAS!$G$6:$G$28,$P872)-INDEX(PARAMETROS_CULTURAS!$H$6:$H$28,$P872))/MAX(INDEX(PARAMETROS_CULTURAS!$I$6:$I$28,$P872),0.0001)))))</f>
        <v>0</v>
      </c>
      <c r="S872" s="18" t="n">
        <f aca="false">IFERROR(INDEX(SEMANAS!$H$6:$H$71,MATCH($B872,SEMANAS!$B$6:$B$71,0)),0)</f>
        <v>38.5</v>
      </c>
      <c r="T872" s="18" t="n">
        <f aca="false">$R872*$S872</f>
        <v>0</v>
      </c>
      <c r="U872" s="18" t="n">
        <f aca="false">IFERROR(INDEX(SEMANAS!$I$6:$I$71,MATCH($B872,SEMANAS!$B$6:$B$71,0)),0)</f>
        <v>29.89</v>
      </c>
      <c r="V872" s="18" t="n">
        <f aca="false">IFERROR(INDEX(SEMANAS!$J$6:$J$71,MATCH($B872,SEMANAS!$B$6:$B$71,0)),0)</f>
        <v>23.912</v>
      </c>
      <c r="W872" s="18" t="n">
        <f aca="false">MAX(0,$T872-$V872)</f>
        <v>0</v>
      </c>
      <c r="X872" s="19" t="n">
        <f aca="false">IFERROR(INDEX(CADASTRO_PIVOS!$K$6:$K$41,MATCH($E872,CADASTRO_PIVOS!$B$6:$B$41,0)),EFICIENCIA_PADRAO)</f>
        <v>0.85</v>
      </c>
      <c r="Y872" s="18" t="n">
        <f aca="false">IF($X872&lt;=0,0,$W872/$X872)</f>
        <v>0</v>
      </c>
      <c r="Z872" s="16" t="n">
        <f aca="false">$Y872*$H872*MM_PARA_M3_HA</f>
        <v>0</v>
      </c>
      <c r="AA872" s="18" t="n">
        <f aca="false">IFERROR(INDEX(CADASTRO_PIVOS!$I$6:$I$41,MATCH($E872,CADASTRO_PIVOS!$B$6:$B$41,0)),0)</f>
        <v>928.2</v>
      </c>
      <c r="AB872" s="18" t="n">
        <f aca="false">IF($Z872&lt;=0,0,$Z872/$AA872)</f>
        <v>0</v>
      </c>
      <c r="AC872" s="16" t="n">
        <f aca="false">IFERROR(INDEX(SEMANAS!$K$6:$K$71,MATCH($B872,SEMANAS!$B$6:$B$71,0)),0)</f>
        <v>147</v>
      </c>
      <c r="AD872" s="19" t="n">
        <f aca="false">IF($AC872&lt;=0,0,$AB872/$AC872)</f>
        <v>0</v>
      </c>
      <c r="AE872" s="8" t="str">
        <f aca="false">IF($K872="SEM CULTURA","SEM CULTURA",IF($AA872&lt;=0,"DADO PENDENTE",IF($AD872&gt;LIMITE_CRITICO,"INVIAVEL",IF($AD872&gt;LIMITE_ATENCAO,"CRITICO",IF($AD872&gt;LIMITE_CONFORTAVEL,"ATENCAO","OK")))))</f>
        <v>SEM CULTURA</v>
      </c>
      <c r="AF872" s="8" t="str">
        <f aca="false">$B872&amp;"|"&amp;TEXT($AD872,"0.000000")</f>
        <v>9|0.000000</v>
      </c>
      <c r="AG872" s="18" t="n">
        <f aca="false">IF($K872="SEM CULTURA",0,$T872*$H872)</f>
        <v>0</v>
      </c>
      <c r="AH872" s="18" t="n">
        <f aca="false">IF($K872="SEM CULTURA",0,$V872*$H872)</f>
        <v>0</v>
      </c>
      <c r="AI872" s="18" t="n">
        <f aca="false">IF($K872="SEM CULTURA",0,$W872*$H872)</f>
        <v>0</v>
      </c>
      <c r="AJ872" s="18" t="n">
        <f aca="false">IF($K872="SEM CULTURA",0,$S872*$H872)</f>
        <v>0</v>
      </c>
      <c r="AK872" s="8" t="str">
        <f aca="false">$E872&amp;"|"&amp;TEXT($AD872,"0.000000")</f>
        <v>PV 115|0.000000</v>
      </c>
    </row>
    <row r="873" customFormat="false" ht="15" hidden="false" customHeight="false" outlineLevel="0" collapsed="false">
      <c r="B873" s="16" t="n">
        <v>10</v>
      </c>
      <c r="C873" s="17" t="n">
        <f aca="false">DATA_INICIO_SAFRA+($B873-1)*DIAS_POR_SEMANA</f>
        <v>46328</v>
      </c>
      <c r="D873" s="17" t="n">
        <f aca="false">$C873+DIAS_POR_SEMANA-1</f>
        <v>46334</v>
      </c>
      <c r="E873" s="15" t="s">
        <v>272</v>
      </c>
      <c r="F873" s="8" t="str">
        <f aca="false">IFERROR(INDEX(CADASTRO_PIVOS!$C$6:$C$41,MATCH($E873,CADASTRO_PIVOS!$B$6:$B$41,0)),"?")</f>
        <v>RM05</v>
      </c>
      <c r="G873" s="8" t="str">
        <f aca="false">IFERROR(INDEX(CADASTRO_PIVOS!$D$6:$D$41,MATCH($E873,CADASTRO_PIVOS!$B$6:$B$41,0)),"?")</f>
        <v>TR05</v>
      </c>
      <c r="H873" s="20" t="n">
        <f aca="false">IFERROR(INDEX(CADASTRO_PIVOS!$E$6:$E$41,MATCH($E873,CADASTRO_PIVOS!$B$6:$B$41,0)),0)</f>
        <v>149.94</v>
      </c>
      <c r="I873" s="16" t="n">
        <f aca="false">IFERROR(SUMIFS(ROTACAO_RDM!$B$6:$B$71,ROTACAO_RDM!$D$6:$D$71,$E873,ROTACAO_RDM!$I$6:$I$71,"&lt;="&amp;$C873+INT(DIAS_POR_SEMANA/2),ROTACAO_RDM!$J$6:$J$71,"&gt;="&amp;$C873+INT(DIAS_POR_SEMANA/2)),0)</f>
        <v>0</v>
      </c>
      <c r="J873" s="16" t="n">
        <f aca="false">IFERROR(MATCH($I873,ROTACAO_RDM!$B$6:$B$71,0),0)</f>
        <v>0</v>
      </c>
      <c r="K873" s="8" t="str">
        <f aca="false">IF($J873=0,"SEM CULTURA",INDEX(ROTACAO_RDM!$F$6:$F$71,$J873))</f>
        <v>SEM CULTURA</v>
      </c>
      <c r="L873" s="8" t="str">
        <f aca="false">IF($J873=0,"",INDEX(ROTACAO_RDM!$G$6:$G$71,$J873))</f>
        <v/>
      </c>
      <c r="M873" s="17" t="str">
        <f aca="false">IF($J873=0,"",INDEX(ROTACAO_RDM!$I$6:$I$71,$J873))</f>
        <v/>
      </c>
      <c r="N873" s="16" t="n">
        <f aca="false">IF($J873=0,0,MAX(0,$C873+INT(DIAS_POR_SEMANA/2)-INDEX(ROTACAO_RDM!$I$6:$I$71,$J873)))</f>
        <v>0</v>
      </c>
      <c r="O873" s="19" t="n">
        <f aca="false">IF($J873=0,0,MIN(1,$N873/MAX(1,INDEX(ROTACAO_RDM!$K$6:$K$71,$J873))))</f>
        <v>0</v>
      </c>
      <c r="P873" s="16" t="n">
        <f aca="false">IF($J873=0,0,IFERROR(MATCH(INDEX(ROTACAO_RDM!$N$6:$N$71,$J873),PARAMETROS_CULTURAS!$B$6:$B$28,0),0))</f>
        <v>0</v>
      </c>
      <c r="Q873" s="8" t="str">
        <f aca="false">IF($P873=0,"-",IF($O873&lt;=INDEX(PARAMETROS_CULTURAS!$F$6:$F$28,$P873),"INICIAL",IF($O873&lt;=INDEX(PARAMETROS_CULTURAS!$F$6:$F$28,$P873)+INDEX(PARAMETROS_CULTURAS!$G$6:$G$28,$P873),"DESENVOLVIMENTO",IF($O873&lt;=INDEX(PARAMETROS_CULTURAS!$F$6:$F$28,$P873)+INDEX(PARAMETROS_CULTURAS!$G$6:$G$28,$P873)+INDEX(PARAMETROS_CULTURAS!$H$6:$H$28,$P873),"MEDIA","FINAL"))))</f>
        <v>-</v>
      </c>
      <c r="R873" s="24" t="n">
        <f aca="false">IF($P873=0,0,IF($O873&lt;=INDEX(PARAMETROS_CULTURAS!$F$6:$F$28,$P873),INDEX(PARAMETROS_CULTURAS!$K$6:$K$28,$P873),IF($O873&lt;=INDEX(PARAMETROS_CULTURAS!$F$6:$F$28,$P873)+INDEX(PARAMETROS_CULTURAS!$G$6:$G$28,$P873),INDEX(PARAMETROS_CULTURAS!$K$6:$K$28,$P873)+(INDEX(PARAMETROS_CULTURAS!$L$6:$L$28,$P873)-INDEX(PARAMETROS_CULTURAS!$K$6:$K$28,$P873))*($O873-INDEX(PARAMETROS_CULTURAS!$F$6:$F$28,$P873))/MAX(INDEX(PARAMETROS_CULTURAS!$G$6:$G$28,$P873),0.0001),IF($O873&lt;=INDEX(PARAMETROS_CULTURAS!$F$6:$F$28,$P873)+INDEX(PARAMETROS_CULTURAS!$G$6:$G$28,$P873)+INDEX(PARAMETROS_CULTURAS!$H$6:$H$28,$P873),INDEX(PARAMETROS_CULTURAS!$L$6:$L$28,$P873),INDEX(PARAMETROS_CULTURAS!$L$6:$L$28,$P873)+(INDEX(PARAMETROS_CULTURAS!$M$6:$M$28,$P873)-INDEX(PARAMETROS_CULTURAS!$L$6:$L$28,$P873))*($O873-INDEX(PARAMETROS_CULTURAS!$F$6:$F$28,$P873)-INDEX(PARAMETROS_CULTURAS!$G$6:$G$28,$P873)-INDEX(PARAMETROS_CULTURAS!$H$6:$H$28,$P873))/MAX(INDEX(PARAMETROS_CULTURAS!$I$6:$I$28,$P873),0.0001)))))</f>
        <v>0</v>
      </c>
      <c r="S873" s="18" t="n">
        <f aca="false">IFERROR(INDEX(SEMANAS!$H$6:$H$71,MATCH($B873,SEMANAS!$B$6:$B$71,0)),0)</f>
        <v>34.3</v>
      </c>
      <c r="T873" s="18" t="n">
        <f aca="false">$R873*$S873</f>
        <v>0</v>
      </c>
      <c r="U873" s="18" t="n">
        <f aca="false">IFERROR(INDEX(SEMANAS!$I$6:$I$71,MATCH($B873,SEMANAS!$B$6:$B$71,0)),0)</f>
        <v>46.69</v>
      </c>
      <c r="V873" s="18" t="n">
        <f aca="false">IFERROR(INDEX(SEMANAS!$J$6:$J$71,MATCH($B873,SEMANAS!$B$6:$B$71,0)),0)</f>
        <v>37.352</v>
      </c>
      <c r="W873" s="18" t="n">
        <f aca="false">MAX(0,$T873-$V873)</f>
        <v>0</v>
      </c>
      <c r="X873" s="19" t="n">
        <f aca="false">IFERROR(INDEX(CADASTRO_PIVOS!$K$6:$K$41,MATCH($E873,CADASTRO_PIVOS!$B$6:$B$41,0)),EFICIENCIA_PADRAO)</f>
        <v>0.85</v>
      </c>
      <c r="Y873" s="18" t="n">
        <f aca="false">IF($X873&lt;=0,0,$W873/$X873)</f>
        <v>0</v>
      </c>
      <c r="Z873" s="16" t="n">
        <f aca="false">$Y873*$H873*MM_PARA_M3_HA</f>
        <v>0</v>
      </c>
      <c r="AA873" s="18" t="n">
        <f aca="false">IFERROR(INDEX(CADASTRO_PIVOS!$I$6:$I$41,MATCH($E873,CADASTRO_PIVOS!$B$6:$B$41,0)),0)</f>
        <v>928.2</v>
      </c>
      <c r="AB873" s="18" t="n">
        <f aca="false">IF($Z873&lt;=0,0,$Z873/$AA873)</f>
        <v>0</v>
      </c>
      <c r="AC873" s="16" t="n">
        <f aca="false">IFERROR(INDEX(SEMANAS!$K$6:$K$71,MATCH($B873,SEMANAS!$B$6:$B$71,0)),0)</f>
        <v>147</v>
      </c>
      <c r="AD873" s="19" t="n">
        <f aca="false">IF($AC873&lt;=0,0,$AB873/$AC873)</f>
        <v>0</v>
      </c>
      <c r="AE873" s="8" t="str">
        <f aca="false">IF($K873="SEM CULTURA","SEM CULTURA",IF($AA873&lt;=0,"DADO PENDENTE",IF($AD873&gt;LIMITE_CRITICO,"INVIAVEL",IF($AD873&gt;LIMITE_ATENCAO,"CRITICO",IF($AD873&gt;LIMITE_CONFORTAVEL,"ATENCAO","OK")))))</f>
        <v>SEM CULTURA</v>
      </c>
      <c r="AF873" s="8" t="str">
        <f aca="false">$B873&amp;"|"&amp;TEXT($AD873,"0.000000")</f>
        <v>10|0.000000</v>
      </c>
      <c r="AG873" s="18" t="n">
        <f aca="false">IF($K873="SEM CULTURA",0,$T873*$H873)</f>
        <v>0</v>
      </c>
      <c r="AH873" s="18" t="n">
        <f aca="false">IF($K873="SEM CULTURA",0,$V873*$H873)</f>
        <v>0</v>
      </c>
      <c r="AI873" s="18" t="n">
        <f aca="false">IF($K873="SEM CULTURA",0,$W873*$H873)</f>
        <v>0</v>
      </c>
      <c r="AJ873" s="18" t="n">
        <f aca="false">IF($K873="SEM CULTURA",0,$S873*$H873)</f>
        <v>0</v>
      </c>
      <c r="AK873" s="8" t="str">
        <f aca="false">$E873&amp;"|"&amp;TEXT($AD873,"0.000000")</f>
        <v>PV 115|0.000000</v>
      </c>
    </row>
    <row r="874" customFormat="false" ht="15" hidden="false" customHeight="false" outlineLevel="0" collapsed="false">
      <c r="B874" s="16" t="n">
        <v>11</v>
      </c>
      <c r="C874" s="17" t="n">
        <f aca="false">DATA_INICIO_SAFRA+($B874-1)*DIAS_POR_SEMANA</f>
        <v>46335</v>
      </c>
      <c r="D874" s="17" t="n">
        <f aca="false">$C874+DIAS_POR_SEMANA-1</f>
        <v>46341</v>
      </c>
      <c r="E874" s="15" t="s">
        <v>272</v>
      </c>
      <c r="F874" s="8" t="str">
        <f aca="false">IFERROR(INDEX(CADASTRO_PIVOS!$C$6:$C$41,MATCH($E874,CADASTRO_PIVOS!$B$6:$B$41,0)),"?")</f>
        <v>RM05</v>
      </c>
      <c r="G874" s="8" t="str">
        <f aca="false">IFERROR(INDEX(CADASTRO_PIVOS!$D$6:$D$41,MATCH($E874,CADASTRO_PIVOS!$B$6:$B$41,0)),"?")</f>
        <v>TR05</v>
      </c>
      <c r="H874" s="20" t="n">
        <f aca="false">IFERROR(INDEX(CADASTRO_PIVOS!$E$6:$E$41,MATCH($E874,CADASTRO_PIVOS!$B$6:$B$41,0)),0)</f>
        <v>149.94</v>
      </c>
      <c r="I874" s="16" t="n">
        <f aca="false">IFERROR(SUMIFS(ROTACAO_RDM!$B$6:$B$71,ROTACAO_RDM!$D$6:$D$71,$E874,ROTACAO_RDM!$I$6:$I$71,"&lt;="&amp;$C874+INT(DIAS_POR_SEMANA/2),ROTACAO_RDM!$J$6:$J$71,"&gt;="&amp;$C874+INT(DIAS_POR_SEMANA/2)),0)</f>
        <v>0</v>
      </c>
      <c r="J874" s="16" t="n">
        <f aca="false">IFERROR(MATCH($I874,ROTACAO_RDM!$B$6:$B$71,0),0)</f>
        <v>0</v>
      </c>
      <c r="K874" s="8" t="str">
        <f aca="false">IF($J874=0,"SEM CULTURA",INDEX(ROTACAO_RDM!$F$6:$F$71,$J874))</f>
        <v>SEM CULTURA</v>
      </c>
      <c r="L874" s="8" t="str">
        <f aca="false">IF($J874=0,"",INDEX(ROTACAO_RDM!$G$6:$G$71,$J874))</f>
        <v/>
      </c>
      <c r="M874" s="17" t="str">
        <f aca="false">IF($J874=0,"",INDEX(ROTACAO_RDM!$I$6:$I$71,$J874))</f>
        <v/>
      </c>
      <c r="N874" s="16" t="n">
        <f aca="false">IF($J874=0,0,MAX(0,$C874+INT(DIAS_POR_SEMANA/2)-INDEX(ROTACAO_RDM!$I$6:$I$71,$J874)))</f>
        <v>0</v>
      </c>
      <c r="O874" s="19" t="n">
        <f aca="false">IF($J874=0,0,MIN(1,$N874/MAX(1,INDEX(ROTACAO_RDM!$K$6:$K$71,$J874))))</f>
        <v>0</v>
      </c>
      <c r="P874" s="16" t="n">
        <f aca="false">IF($J874=0,0,IFERROR(MATCH(INDEX(ROTACAO_RDM!$N$6:$N$71,$J874),PARAMETROS_CULTURAS!$B$6:$B$28,0),0))</f>
        <v>0</v>
      </c>
      <c r="Q874" s="8" t="str">
        <f aca="false">IF($P874=0,"-",IF($O874&lt;=INDEX(PARAMETROS_CULTURAS!$F$6:$F$28,$P874),"INICIAL",IF($O874&lt;=INDEX(PARAMETROS_CULTURAS!$F$6:$F$28,$P874)+INDEX(PARAMETROS_CULTURAS!$G$6:$G$28,$P874),"DESENVOLVIMENTO",IF($O874&lt;=INDEX(PARAMETROS_CULTURAS!$F$6:$F$28,$P874)+INDEX(PARAMETROS_CULTURAS!$G$6:$G$28,$P874)+INDEX(PARAMETROS_CULTURAS!$H$6:$H$28,$P874),"MEDIA","FINAL"))))</f>
        <v>-</v>
      </c>
      <c r="R874" s="24" t="n">
        <f aca="false">IF($P874=0,0,IF($O874&lt;=INDEX(PARAMETROS_CULTURAS!$F$6:$F$28,$P874),INDEX(PARAMETROS_CULTURAS!$K$6:$K$28,$P874),IF($O874&lt;=INDEX(PARAMETROS_CULTURAS!$F$6:$F$28,$P874)+INDEX(PARAMETROS_CULTURAS!$G$6:$G$28,$P874),INDEX(PARAMETROS_CULTURAS!$K$6:$K$28,$P874)+(INDEX(PARAMETROS_CULTURAS!$L$6:$L$28,$P874)-INDEX(PARAMETROS_CULTURAS!$K$6:$K$28,$P874))*($O874-INDEX(PARAMETROS_CULTURAS!$F$6:$F$28,$P874))/MAX(INDEX(PARAMETROS_CULTURAS!$G$6:$G$28,$P874),0.0001),IF($O874&lt;=INDEX(PARAMETROS_CULTURAS!$F$6:$F$28,$P874)+INDEX(PARAMETROS_CULTURAS!$G$6:$G$28,$P874)+INDEX(PARAMETROS_CULTURAS!$H$6:$H$28,$P874),INDEX(PARAMETROS_CULTURAS!$L$6:$L$28,$P874),INDEX(PARAMETROS_CULTURAS!$L$6:$L$28,$P874)+(INDEX(PARAMETROS_CULTURAS!$M$6:$M$28,$P874)-INDEX(PARAMETROS_CULTURAS!$L$6:$L$28,$P874))*($O874-INDEX(PARAMETROS_CULTURAS!$F$6:$F$28,$P874)-INDEX(PARAMETROS_CULTURAS!$G$6:$G$28,$P874)-INDEX(PARAMETROS_CULTURAS!$H$6:$H$28,$P874))/MAX(INDEX(PARAMETROS_CULTURAS!$I$6:$I$28,$P874),0.0001)))))</f>
        <v>0</v>
      </c>
      <c r="S874" s="18" t="n">
        <f aca="false">IFERROR(INDEX(SEMANAS!$H$6:$H$71,MATCH($B874,SEMANAS!$B$6:$B$71,0)),0)</f>
        <v>34.3</v>
      </c>
      <c r="T874" s="18" t="n">
        <f aca="false">$R874*$S874</f>
        <v>0</v>
      </c>
      <c r="U874" s="18" t="n">
        <f aca="false">IFERROR(INDEX(SEMANAS!$I$6:$I$71,MATCH($B874,SEMANAS!$B$6:$B$71,0)),0)</f>
        <v>46.69</v>
      </c>
      <c r="V874" s="18" t="n">
        <f aca="false">IFERROR(INDEX(SEMANAS!$J$6:$J$71,MATCH($B874,SEMANAS!$B$6:$B$71,0)),0)</f>
        <v>37.352</v>
      </c>
      <c r="W874" s="18" t="n">
        <f aca="false">MAX(0,$T874-$V874)</f>
        <v>0</v>
      </c>
      <c r="X874" s="19" t="n">
        <f aca="false">IFERROR(INDEX(CADASTRO_PIVOS!$K$6:$K$41,MATCH($E874,CADASTRO_PIVOS!$B$6:$B$41,0)),EFICIENCIA_PADRAO)</f>
        <v>0.85</v>
      </c>
      <c r="Y874" s="18" t="n">
        <f aca="false">IF($X874&lt;=0,0,$W874/$X874)</f>
        <v>0</v>
      </c>
      <c r="Z874" s="16" t="n">
        <f aca="false">$Y874*$H874*MM_PARA_M3_HA</f>
        <v>0</v>
      </c>
      <c r="AA874" s="18" t="n">
        <f aca="false">IFERROR(INDEX(CADASTRO_PIVOS!$I$6:$I$41,MATCH($E874,CADASTRO_PIVOS!$B$6:$B$41,0)),0)</f>
        <v>928.2</v>
      </c>
      <c r="AB874" s="18" t="n">
        <f aca="false">IF($Z874&lt;=0,0,$Z874/$AA874)</f>
        <v>0</v>
      </c>
      <c r="AC874" s="16" t="n">
        <f aca="false">IFERROR(INDEX(SEMANAS!$K$6:$K$71,MATCH($B874,SEMANAS!$B$6:$B$71,0)),0)</f>
        <v>147</v>
      </c>
      <c r="AD874" s="19" t="n">
        <f aca="false">IF($AC874&lt;=0,0,$AB874/$AC874)</f>
        <v>0</v>
      </c>
      <c r="AE874" s="8" t="str">
        <f aca="false">IF($K874="SEM CULTURA","SEM CULTURA",IF($AA874&lt;=0,"DADO PENDENTE",IF($AD874&gt;LIMITE_CRITICO,"INVIAVEL",IF($AD874&gt;LIMITE_ATENCAO,"CRITICO",IF($AD874&gt;LIMITE_CONFORTAVEL,"ATENCAO","OK")))))</f>
        <v>SEM CULTURA</v>
      </c>
      <c r="AF874" s="8" t="str">
        <f aca="false">$B874&amp;"|"&amp;TEXT($AD874,"0.000000")</f>
        <v>11|0.000000</v>
      </c>
      <c r="AG874" s="18" t="n">
        <f aca="false">IF($K874="SEM CULTURA",0,$T874*$H874)</f>
        <v>0</v>
      </c>
      <c r="AH874" s="18" t="n">
        <f aca="false">IF($K874="SEM CULTURA",0,$V874*$H874)</f>
        <v>0</v>
      </c>
      <c r="AI874" s="18" t="n">
        <f aca="false">IF($K874="SEM CULTURA",0,$W874*$H874)</f>
        <v>0</v>
      </c>
      <c r="AJ874" s="18" t="n">
        <f aca="false">IF($K874="SEM CULTURA",0,$S874*$H874)</f>
        <v>0</v>
      </c>
      <c r="AK874" s="8" t="str">
        <f aca="false">$E874&amp;"|"&amp;TEXT($AD874,"0.000000")</f>
        <v>PV 115|0.000000</v>
      </c>
    </row>
    <row r="875" customFormat="false" ht="15" hidden="false" customHeight="false" outlineLevel="0" collapsed="false">
      <c r="B875" s="16" t="n">
        <v>12</v>
      </c>
      <c r="C875" s="17" t="n">
        <f aca="false">DATA_INICIO_SAFRA+($B875-1)*DIAS_POR_SEMANA</f>
        <v>46342</v>
      </c>
      <c r="D875" s="17" t="n">
        <f aca="false">$C875+DIAS_POR_SEMANA-1</f>
        <v>46348</v>
      </c>
      <c r="E875" s="15" t="s">
        <v>272</v>
      </c>
      <c r="F875" s="8" t="str">
        <f aca="false">IFERROR(INDEX(CADASTRO_PIVOS!$C$6:$C$41,MATCH($E875,CADASTRO_PIVOS!$B$6:$B$41,0)),"?")</f>
        <v>RM05</v>
      </c>
      <c r="G875" s="8" t="str">
        <f aca="false">IFERROR(INDEX(CADASTRO_PIVOS!$D$6:$D$41,MATCH($E875,CADASTRO_PIVOS!$B$6:$B$41,0)),"?")</f>
        <v>TR05</v>
      </c>
      <c r="H875" s="20" t="n">
        <f aca="false">IFERROR(INDEX(CADASTRO_PIVOS!$E$6:$E$41,MATCH($E875,CADASTRO_PIVOS!$B$6:$B$41,0)),0)</f>
        <v>149.94</v>
      </c>
      <c r="I875" s="16" t="n">
        <f aca="false">IFERROR(SUMIFS(ROTACAO_RDM!$B$6:$B$71,ROTACAO_RDM!$D$6:$D$71,$E875,ROTACAO_RDM!$I$6:$I$71,"&lt;="&amp;$C875+INT(DIAS_POR_SEMANA/2),ROTACAO_RDM!$J$6:$J$71,"&gt;="&amp;$C875+INT(DIAS_POR_SEMANA/2)),0)</f>
        <v>0</v>
      </c>
      <c r="J875" s="16" t="n">
        <f aca="false">IFERROR(MATCH($I875,ROTACAO_RDM!$B$6:$B$71,0),0)</f>
        <v>0</v>
      </c>
      <c r="K875" s="8" t="str">
        <f aca="false">IF($J875=0,"SEM CULTURA",INDEX(ROTACAO_RDM!$F$6:$F$71,$J875))</f>
        <v>SEM CULTURA</v>
      </c>
      <c r="L875" s="8" t="str">
        <f aca="false">IF($J875=0,"",INDEX(ROTACAO_RDM!$G$6:$G$71,$J875))</f>
        <v/>
      </c>
      <c r="M875" s="17" t="str">
        <f aca="false">IF($J875=0,"",INDEX(ROTACAO_RDM!$I$6:$I$71,$J875))</f>
        <v/>
      </c>
      <c r="N875" s="16" t="n">
        <f aca="false">IF($J875=0,0,MAX(0,$C875+INT(DIAS_POR_SEMANA/2)-INDEX(ROTACAO_RDM!$I$6:$I$71,$J875)))</f>
        <v>0</v>
      </c>
      <c r="O875" s="19" t="n">
        <f aca="false">IF($J875=0,0,MIN(1,$N875/MAX(1,INDEX(ROTACAO_RDM!$K$6:$K$71,$J875))))</f>
        <v>0</v>
      </c>
      <c r="P875" s="16" t="n">
        <f aca="false">IF($J875=0,0,IFERROR(MATCH(INDEX(ROTACAO_RDM!$N$6:$N$71,$J875),PARAMETROS_CULTURAS!$B$6:$B$28,0),0))</f>
        <v>0</v>
      </c>
      <c r="Q875" s="8" t="str">
        <f aca="false">IF($P875=0,"-",IF($O875&lt;=INDEX(PARAMETROS_CULTURAS!$F$6:$F$28,$P875),"INICIAL",IF($O875&lt;=INDEX(PARAMETROS_CULTURAS!$F$6:$F$28,$P875)+INDEX(PARAMETROS_CULTURAS!$G$6:$G$28,$P875),"DESENVOLVIMENTO",IF($O875&lt;=INDEX(PARAMETROS_CULTURAS!$F$6:$F$28,$P875)+INDEX(PARAMETROS_CULTURAS!$G$6:$G$28,$P875)+INDEX(PARAMETROS_CULTURAS!$H$6:$H$28,$P875),"MEDIA","FINAL"))))</f>
        <v>-</v>
      </c>
      <c r="R875" s="24" t="n">
        <f aca="false">IF($P875=0,0,IF($O875&lt;=INDEX(PARAMETROS_CULTURAS!$F$6:$F$28,$P875),INDEX(PARAMETROS_CULTURAS!$K$6:$K$28,$P875),IF($O875&lt;=INDEX(PARAMETROS_CULTURAS!$F$6:$F$28,$P875)+INDEX(PARAMETROS_CULTURAS!$G$6:$G$28,$P875),INDEX(PARAMETROS_CULTURAS!$K$6:$K$28,$P875)+(INDEX(PARAMETROS_CULTURAS!$L$6:$L$28,$P875)-INDEX(PARAMETROS_CULTURAS!$K$6:$K$28,$P875))*($O875-INDEX(PARAMETROS_CULTURAS!$F$6:$F$28,$P875))/MAX(INDEX(PARAMETROS_CULTURAS!$G$6:$G$28,$P875),0.0001),IF($O875&lt;=INDEX(PARAMETROS_CULTURAS!$F$6:$F$28,$P875)+INDEX(PARAMETROS_CULTURAS!$G$6:$G$28,$P875)+INDEX(PARAMETROS_CULTURAS!$H$6:$H$28,$P875),INDEX(PARAMETROS_CULTURAS!$L$6:$L$28,$P875),INDEX(PARAMETROS_CULTURAS!$L$6:$L$28,$P875)+(INDEX(PARAMETROS_CULTURAS!$M$6:$M$28,$P875)-INDEX(PARAMETROS_CULTURAS!$L$6:$L$28,$P875))*($O875-INDEX(PARAMETROS_CULTURAS!$F$6:$F$28,$P875)-INDEX(PARAMETROS_CULTURAS!$G$6:$G$28,$P875)-INDEX(PARAMETROS_CULTURAS!$H$6:$H$28,$P875))/MAX(INDEX(PARAMETROS_CULTURAS!$I$6:$I$28,$P875),0.0001)))))</f>
        <v>0</v>
      </c>
      <c r="S875" s="18" t="n">
        <f aca="false">IFERROR(INDEX(SEMANAS!$H$6:$H$71,MATCH($B875,SEMANAS!$B$6:$B$71,0)),0)</f>
        <v>34.3</v>
      </c>
      <c r="T875" s="18" t="n">
        <f aca="false">$R875*$S875</f>
        <v>0</v>
      </c>
      <c r="U875" s="18" t="n">
        <f aca="false">IFERROR(INDEX(SEMANAS!$I$6:$I$71,MATCH($B875,SEMANAS!$B$6:$B$71,0)),0)</f>
        <v>46.69</v>
      </c>
      <c r="V875" s="18" t="n">
        <f aca="false">IFERROR(INDEX(SEMANAS!$J$6:$J$71,MATCH($B875,SEMANAS!$B$6:$B$71,0)),0)</f>
        <v>37.352</v>
      </c>
      <c r="W875" s="18" t="n">
        <f aca="false">MAX(0,$T875-$V875)</f>
        <v>0</v>
      </c>
      <c r="X875" s="19" t="n">
        <f aca="false">IFERROR(INDEX(CADASTRO_PIVOS!$K$6:$K$41,MATCH($E875,CADASTRO_PIVOS!$B$6:$B$41,0)),EFICIENCIA_PADRAO)</f>
        <v>0.85</v>
      </c>
      <c r="Y875" s="18" t="n">
        <f aca="false">IF($X875&lt;=0,0,$W875/$X875)</f>
        <v>0</v>
      </c>
      <c r="Z875" s="16" t="n">
        <f aca="false">$Y875*$H875*MM_PARA_M3_HA</f>
        <v>0</v>
      </c>
      <c r="AA875" s="18" t="n">
        <f aca="false">IFERROR(INDEX(CADASTRO_PIVOS!$I$6:$I$41,MATCH($E875,CADASTRO_PIVOS!$B$6:$B$41,0)),0)</f>
        <v>928.2</v>
      </c>
      <c r="AB875" s="18" t="n">
        <f aca="false">IF($Z875&lt;=0,0,$Z875/$AA875)</f>
        <v>0</v>
      </c>
      <c r="AC875" s="16" t="n">
        <f aca="false">IFERROR(INDEX(SEMANAS!$K$6:$K$71,MATCH($B875,SEMANAS!$B$6:$B$71,0)),0)</f>
        <v>147</v>
      </c>
      <c r="AD875" s="19" t="n">
        <f aca="false">IF($AC875&lt;=0,0,$AB875/$AC875)</f>
        <v>0</v>
      </c>
      <c r="AE875" s="8" t="str">
        <f aca="false">IF($K875="SEM CULTURA","SEM CULTURA",IF($AA875&lt;=0,"DADO PENDENTE",IF($AD875&gt;LIMITE_CRITICO,"INVIAVEL",IF($AD875&gt;LIMITE_ATENCAO,"CRITICO",IF($AD875&gt;LIMITE_CONFORTAVEL,"ATENCAO","OK")))))</f>
        <v>SEM CULTURA</v>
      </c>
      <c r="AF875" s="8" t="str">
        <f aca="false">$B875&amp;"|"&amp;TEXT($AD875,"0.000000")</f>
        <v>12|0.000000</v>
      </c>
      <c r="AG875" s="18" t="n">
        <f aca="false">IF($K875="SEM CULTURA",0,$T875*$H875)</f>
        <v>0</v>
      </c>
      <c r="AH875" s="18" t="n">
        <f aca="false">IF($K875="SEM CULTURA",0,$V875*$H875)</f>
        <v>0</v>
      </c>
      <c r="AI875" s="18" t="n">
        <f aca="false">IF($K875="SEM CULTURA",0,$W875*$H875)</f>
        <v>0</v>
      </c>
      <c r="AJ875" s="18" t="n">
        <f aca="false">IF($K875="SEM CULTURA",0,$S875*$H875)</f>
        <v>0</v>
      </c>
      <c r="AK875" s="8" t="str">
        <f aca="false">$E875&amp;"|"&amp;TEXT($AD875,"0.000000")</f>
        <v>PV 115|0.000000</v>
      </c>
    </row>
    <row r="876" customFormat="false" ht="15" hidden="false" customHeight="false" outlineLevel="0" collapsed="false">
      <c r="B876" s="16" t="n">
        <v>13</v>
      </c>
      <c r="C876" s="17" t="n">
        <f aca="false">DATA_INICIO_SAFRA+($B876-1)*DIAS_POR_SEMANA</f>
        <v>46349</v>
      </c>
      <c r="D876" s="17" t="n">
        <f aca="false">$C876+DIAS_POR_SEMANA-1</f>
        <v>46355</v>
      </c>
      <c r="E876" s="15" t="s">
        <v>272</v>
      </c>
      <c r="F876" s="8" t="str">
        <f aca="false">IFERROR(INDEX(CADASTRO_PIVOS!$C$6:$C$41,MATCH($E876,CADASTRO_PIVOS!$B$6:$B$41,0)),"?")</f>
        <v>RM05</v>
      </c>
      <c r="G876" s="8" t="str">
        <f aca="false">IFERROR(INDEX(CADASTRO_PIVOS!$D$6:$D$41,MATCH($E876,CADASTRO_PIVOS!$B$6:$B$41,0)),"?")</f>
        <v>TR05</v>
      </c>
      <c r="H876" s="20" t="n">
        <f aca="false">IFERROR(INDEX(CADASTRO_PIVOS!$E$6:$E$41,MATCH($E876,CADASTRO_PIVOS!$B$6:$B$41,0)),0)</f>
        <v>149.94</v>
      </c>
      <c r="I876" s="16" t="n">
        <f aca="false">IFERROR(SUMIFS(ROTACAO_RDM!$B$6:$B$71,ROTACAO_RDM!$D$6:$D$71,$E876,ROTACAO_RDM!$I$6:$I$71,"&lt;="&amp;$C876+INT(DIAS_POR_SEMANA/2),ROTACAO_RDM!$J$6:$J$71,"&gt;="&amp;$C876+INT(DIAS_POR_SEMANA/2)),0)</f>
        <v>0</v>
      </c>
      <c r="J876" s="16" t="n">
        <f aca="false">IFERROR(MATCH($I876,ROTACAO_RDM!$B$6:$B$71,0),0)</f>
        <v>0</v>
      </c>
      <c r="K876" s="8" t="str">
        <f aca="false">IF($J876=0,"SEM CULTURA",INDEX(ROTACAO_RDM!$F$6:$F$71,$J876))</f>
        <v>SEM CULTURA</v>
      </c>
      <c r="L876" s="8" t="str">
        <f aca="false">IF($J876=0,"",INDEX(ROTACAO_RDM!$G$6:$G$71,$J876))</f>
        <v/>
      </c>
      <c r="M876" s="17" t="str">
        <f aca="false">IF($J876=0,"",INDEX(ROTACAO_RDM!$I$6:$I$71,$J876))</f>
        <v/>
      </c>
      <c r="N876" s="16" t="n">
        <f aca="false">IF($J876=0,0,MAX(0,$C876+INT(DIAS_POR_SEMANA/2)-INDEX(ROTACAO_RDM!$I$6:$I$71,$J876)))</f>
        <v>0</v>
      </c>
      <c r="O876" s="19" t="n">
        <f aca="false">IF($J876=0,0,MIN(1,$N876/MAX(1,INDEX(ROTACAO_RDM!$K$6:$K$71,$J876))))</f>
        <v>0</v>
      </c>
      <c r="P876" s="16" t="n">
        <f aca="false">IF($J876=0,0,IFERROR(MATCH(INDEX(ROTACAO_RDM!$N$6:$N$71,$J876),PARAMETROS_CULTURAS!$B$6:$B$28,0),0))</f>
        <v>0</v>
      </c>
      <c r="Q876" s="8" t="str">
        <f aca="false">IF($P876=0,"-",IF($O876&lt;=INDEX(PARAMETROS_CULTURAS!$F$6:$F$28,$P876),"INICIAL",IF($O876&lt;=INDEX(PARAMETROS_CULTURAS!$F$6:$F$28,$P876)+INDEX(PARAMETROS_CULTURAS!$G$6:$G$28,$P876),"DESENVOLVIMENTO",IF($O876&lt;=INDEX(PARAMETROS_CULTURAS!$F$6:$F$28,$P876)+INDEX(PARAMETROS_CULTURAS!$G$6:$G$28,$P876)+INDEX(PARAMETROS_CULTURAS!$H$6:$H$28,$P876),"MEDIA","FINAL"))))</f>
        <v>-</v>
      </c>
      <c r="R876" s="24" t="n">
        <f aca="false">IF($P876=0,0,IF($O876&lt;=INDEX(PARAMETROS_CULTURAS!$F$6:$F$28,$P876),INDEX(PARAMETROS_CULTURAS!$K$6:$K$28,$P876),IF($O876&lt;=INDEX(PARAMETROS_CULTURAS!$F$6:$F$28,$P876)+INDEX(PARAMETROS_CULTURAS!$G$6:$G$28,$P876),INDEX(PARAMETROS_CULTURAS!$K$6:$K$28,$P876)+(INDEX(PARAMETROS_CULTURAS!$L$6:$L$28,$P876)-INDEX(PARAMETROS_CULTURAS!$K$6:$K$28,$P876))*($O876-INDEX(PARAMETROS_CULTURAS!$F$6:$F$28,$P876))/MAX(INDEX(PARAMETROS_CULTURAS!$G$6:$G$28,$P876),0.0001),IF($O876&lt;=INDEX(PARAMETROS_CULTURAS!$F$6:$F$28,$P876)+INDEX(PARAMETROS_CULTURAS!$G$6:$G$28,$P876)+INDEX(PARAMETROS_CULTURAS!$H$6:$H$28,$P876),INDEX(PARAMETROS_CULTURAS!$L$6:$L$28,$P876),INDEX(PARAMETROS_CULTURAS!$L$6:$L$28,$P876)+(INDEX(PARAMETROS_CULTURAS!$M$6:$M$28,$P876)-INDEX(PARAMETROS_CULTURAS!$L$6:$L$28,$P876))*($O876-INDEX(PARAMETROS_CULTURAS!$F$6:$F$28,$P876)-INDEX(PARAMETROS_CULTURAS!$G$6:$G$28,$P876)-INDEX(PARAMETROS_CULTURAS!$H$6:$H$28,$P876))/MAX(INDEX(PARAMETROS_CULTURAS!$I$6:$I$28,$P876),0.0001)))))</f>
        <v>0</v>
      </c>
      <c r="S876" s="18" t="n">
        <f aca="false">IFERROR(INDEX(SEMANAS!$H$6:$H$71,MATCH($B876,SEMANAS!$B$6:$B$71,0)),0)</f>
        <v>34.3</v>
      </c>
      <c r="T876" s="18" t="n">
        <f aca="false">$R876*$S876</f>
        <v>0</v>
      </c>
      <c r="U876" s="18" t="n">
        <f aca="false">IFERROR(INDEX(SEMANAS!$I$6:$I$71,MATCH($B876,SEMANAS!$B$6:$B$71,0)),0)</f>
        <v>46.69</v>
      </c>
      <c r="V876" s="18" t="n">
        <f aca="false">IFERROR(INDEX(SEMANAS!$J$6:$J$71,MATCH($B876,SEMANAS!$B$6:$B$71,0)),0)</f>
        <v>37.352</v>
      </c>
      <c r="W876" s="18" t="n">
        <f aca="false">MAX(0,$T876-$V876)</f>
        <v>0</v>
      </c>
      <c r="X876" s="19" t="n">
        <f aca="false">IFERROR(INDEX(CADASTRO_PIVOS!$K$6:$K$41,MATCH($E876,CADASTRO_PIVOS!$B$6:$B$41,0)),EFICIENCIA_PADRAO)</f>
        <v>0.85</v>
      </c>
      <c r="Y876" s="18" t="n">
        <f aca="false">IF($X876&lt;=0,0,$W876/$X876)</f>
        <v>0</v>
      </c>
      <c r="Z876" s="16" t="n">
        <f aca="false">$Y876*$H876*MM_PARA_M3_HA</f>
        <v>0</v>
      </c>
      <c r="AA876" s="18" t="n">
        <f aca="false">IFERROR(INDEX(CADASTRO_PIVOS!$I$6:$I$41,MATCH($E876,CADASTRO_PIVOS!$B$6:$B$41,0)),0)</f>
        <v>928.2</v>
      </c>
      <c r="AB876" s="18" t="n">
        <f aca="false">IF($Z876&lt;=0,0,$Z876/$AA876)</f>
        <v>0</v>
      </c>
      <c r="AC876" s="16" t="n">
        <f aca="false">IFERROR(INDEX(SEMANAS!$K$6:$K$71,MATCH($B876,SEMANAS!$B$6:$B$71,0)),0)</f>
        <v>147</v>
      </c>
      <c r="AD876" s="19" t="n">
        <f aca="false">IF($AC876&lt;=0,0,$AB876/$AC876)</f>
        <v>0</v>
      </c>
      <c r="AE876" s="8" t="str">
        <f aca="false">IF($K876="SEM CULTURA","SEM CULTURA",IF($AA876&lt;=0,"DADO PENDENTE",IF($AD876&gt;LIMITE_CRITICO,"INVIAVEL",IF($AD876&gt;LIMITE_ATENCAO,"CRITICO",IF($AD876&gt;LIMITE_CONFORTAVEL,"ATENCAO","OK")))))</f>
        <v>SEM CULTURA</v>
      </c>
      <c r="AF876" s="8" t="str">
        <f aca="false">$B876&amp;"|"&amp;TEXT($AD876,"0.000000")</f>
        <v>13|0.000000</v>
      </c>
      <c r="AG876" s="18" t="n">
        <f aca="false">IF($K876="SEM CULTURA",0,$T876*$H876)</f>
        <v>0</v>
      </c>
      <c r="AH876" s="18" t="n">
        <f aca="false">IF($K876="SEM CULTURA",0,$V876*$H876)</f>
        <v>0</v>
      </c>
      <c r="AI876" s="18" t="n">
        <f aca="false">IF($K876="SEM CULTURA",0,$W876*$H876)</f>
        <v>0</v>
      </c>
      <c r="AJ876" s="18" t="n">
        <f aca="false">IF($K876="SEM CULTURA",0,$S876*$H876)</f>
        <v>0</v>
      </c>
      <c r="AK876" s="8" t="str">
        <f aca="false">$E876&amp;"|"&amp;TEXT($AD876,"0.000000")</f>
        <v>PV 115|0.000000</v>
      </c>
    </row>
    <row r="877" customFormat="false" ht="15" hidden="false" customHeight="false" outlineLevel="0" collapsed="false">
      <c r="B877" s="16" t="n">
        <v>14</v>
      </c>
      <c r="C877" s="17" t="n">
        <f aca="false">DATA_INICIO_SAFRA+($B877-1)*DIAS_POR_SEMANA</f>
        <v>46356</v>
      </c>
      <c r="D877" s="17" t="n">
        <f aca="false">$C877+DIAS_POR_SEMANA-1</f>
        <v>46362</v>
      </c>
      <c r="E877" s="15" t="s">
        <v>272</v>
      </c>
      <c r="F877" s="8" t="str">
        <f aca="false">IFERROR(INDEX(CADASTRO_PIVOS!$C$6:$C$41,MATCH($E877,CADASTRO_PIVOS!$B$6:$B$41,0)),"?")</f>
        <v>RM05</v>
      </c>
      <c r="G877" s="8" t="str">
        <f aca="false">IFERROR(INDEX(CADASTRO_PIVOS!$D$6:$D$41,MATCH($E877,CADASTRO_PIVOS!$B$6:$B$41,0)),"?")</f>
        <v>TR05</v>
      </c>
      <c r="H877" s="20" t="n">
        <f aca="false">IFERROR(INDEX(CADASTRO_PIVOS!$E$6:$E$41,MATCH($E877,CADASTRO_PIVOS!$B$6:$B$41,0)),0)</f>
        <v>149.94</v>
      </c>
      <c r="I877" s="16" t="n">
        <f aca="false">IFERROR(SUMIFS(ROTACAO_RDM!$B$6:$B$71,ROTACAO_RDM!$D$6:$D$71,$E877,ROTACAO_RDM!$I$6:$I$71,"&lt;="&amp;$C877+INT(DIAS_POR_SEMANA/2),ROTACAO_RDM!$J$6:$J$71,"&gt;="&amp;$C877+INT(DIAS_POR_SEMANA/2)),0)</f>
        <v>25</v>
      </c>
      <c r="J877" s="16" t="n">
        <f aca="false">IFERROR(MATCH($I877,ROTACAO_RDM!$B$6:$B$71,0),0)</f>
        <v>25</v>
      </c>
      <c r="K877" s="8" t="str">
        <f aca="false">IF($J877=0,"SEM CULTURA",INDEX(ROTACAO_RDM!$F$6:$F$71,$J877))</f>
        <v>ALGODAO</v>
      </c>
      <c r="L877" s="8" t="str">
        <f aca="false">IF($J877=0,"",INDEX(ROTACAO_RDM!$G$6:$G$71,$J877))</f>
        <v>FM 974 GLT</v>
      </c>
      <c r="M877" s="17" t="n">
        <f aca="false">IF($J877=0,"",INDEX(ROTACAO_RDM!$I$6:$I$71,$J877))</f>
        <v>46356</v>
      </c>
      <c r="N877" s="16" t="n">
        <f aca="false">IF($J877=0,0,MAX(0,$C877+INT(DIAS_POR_SEMANA/2)-INDEX(ROTACAO_RDM!$I$6:$I$71,$J877)))</f>
        <v>3</v>
      </c>
      <c r="O877" s="19" t="n">
        <f aca="false">IF($J877=0,0,MIN(1,$N877/MAX(1,INDEX(ROTACAO_RDM!$K$6:$K$71,$J877))))</f>
        <v>0.0153846153846154</v>
      </c>
      <c r="P877" s="16" t="n">
        <f aca="false">IF($J877=0,0,IFERROR(MATCH(INDEX(ROTACAO_RDM!$N$6:$N$71,$J877),PARAMETROS_CULTURAS!$B$6:$B$28,0),0))</f>
        <v>5</v>
      </c>
      <c r="Q877" s="8" t="str">
        <f aca="false">IF($P877=0,"-",IF($O877&lt;=INDEX(PARAMETROS_CULTURAS!$F$6:$F$28,$P877),"INICIAL",IF($O877&lt;=INDEX(PARAMETROS_CULTURAS!$F$6:$F$28,$P877)+INDEX(PARAMETROS_CULTURAS!$G$6:$G$28,$P877),"DESENVOLVIMENTO",IF($O877&lt;=INDEX(PARAMETROS_CULTURAS!$F$6:$F$28,$P877)+INDEX(PARAMETROS_CULTURAS!$G$6:$G$28,$P877)+INDEX(PARAMETROS_CULTURAS!$H$6:$H$28,$P877),"MEDIA","FINAL"))))</f>
        <v>INICIAL</v>
      </c>
      <c r="R877" s="24" t="n">
        <f aca="false">IF($P877=0,0,IF($O877&lt;=INDEX(PARAMETROS_CULTURAS!$F$6:$F$28,$P877),INDEX(PARAMETROS_CULTURAS!$K$6:$K$28,$P877),IF($O877&lt;=INDEX(PARAMETROS_CULTURAS!$F$6:$F$28,$P877)+INDEX(PARAMETROS_CULTURAS!$G$6:$G$28,$P877),INDEX(PARAMETROS_CULTURAS!$K$6:$K$28,$P877)+(INDEX(PARAMETROS_CULTURAS!$L$6:$L$28,$P877)-INDEX(PARAMETROS_CULTURAS!$K$6:$K$28,$P877))*($O877-INDEX(PARAMETROS_CULTURAS!$F$6:$F$28,$P877))/MAX(INDEX(PARAMETROS_CULTURAS!$G$6:$G$28,$P877),0.0001),IF($O877&lt;=INDEX(PARAMETROS_CULTURAS!$F$6:$F$28,$P877)+INDEX(PARAMETROS_CULTURAS!$G$6:$G$28,$P877)+INDEX(PARAMETROS_CULTURAS!$H$6:$H$28,$P877),INDEX(PARAMETROS_CULTURAS!$L$6:$L$28,$P877),INDEX(PARAMETROS_CULTURAS!$L$6:$L$28,$P877)+(INDEX(PARAMETROS_CULTURAS!$M$6:$M$28,$P877)-INDEX(PARAMETROS_CULTURAS!$L$6:$L$28,$P877))*($O877-INDEX(PARAMETROS_CULTURAS!$F$6:$F$28,$P877)-INDEX(PARAMETROS_CULTURAS!$G$6:$G$28,$P877)-INDEX(PARAMETROS_CULTURAS!$H$6:$H$28,$P877))/MAX(INDEX(PARAMETROS_CULTURAS!$I$6:$I$28,$P877),0.0001)))))</f>
        <v>0.35</v>
      </c>
      <c r="S877" s="18" t="n">
        <f aca="false">IFERROR(INDEX(SEMANAS!$H$6:$H$71,MATCH($B877,SEMANAS!$B$6:$B$71,0)),0)</f>
        <v>33.1</v>
      </c>
      <c r="T877" s="18" t="n">
        <f aca="false">$R877*$S877</f>
        <v>11.585</v>
      </c>
      <c r="U877" s="18" t="n">
        <f aca="false">IFERROR(INDEX(SEMANAS!$I$6:$I$71,MATCH($B877,SEMANAS!$B$6:$B$71,0)),0)</f>
        <v>48.31</v>
      </c>
      <c r="V877" s="18" t="n">
        <f aca="false">IFERROR(INDEX(SEMANAS!$J$6:$J$71,MATCH($B877,SEMANAS!$B$6:$B$71,0)),0)</f>
        <v>38.648</v>
      </c>
      <c r="W877" s="18" t="n">
        <f aca="false">MAX(0,$T877-$V877)</f>
        <v>0</v>
      </c>
      <c r="X877" s="19" t="n">
        <f aca="false">IFERROR(INDEX(CADASTRO_PIVOS!$K$6:$K$41,MATCH($E877,CADASTRO_PIVOS!$B$6:$B$41,0)),EFICIENCIA_PADRAO)</f>
        <v>0.85</v>
      </c>
      <c r="Y877" s="18" t="n">
        <f aca="false">IF($X877&lt;=0,0,$W877/$X877)</f>
        <v>0</v>
      </c>
      <c r="Z877" s="16" t="n">
        <f aca="false">$Y877*$H877*MM_PARA_M3_HA</f>
        <v>0</v>
      </c>
      <c r="AA877" s="18" t="n">
        <f aca="false">IFERROR(INDEX(CADASTRO_PIVOS!$I$6:$I$41,MATCH($E877,CADASTRO_PIVOS!$B$6:$B$41,0)),0)</f>
        <v>928.2</v>
      </c>
      <c r="AB877" s="18" t="n">
        <f aca="false">IF($Z877&lt;=0,0,$Z877/$AA877)</f>
        <v>0</v>
      </c>
      <c r="AC877" s="16" t="n">
        <f aca="false">IFERROR(INDEX(SEMANAS!$K$6:$K$71,MATCH($B877,SEMANAS!$B$6:$B$71,0)),0)</f>
        <v>147</v>
      </c>
      <c r="AD877" s="19" t="n">
        <f aca="false">IF($AC877&lt;=0,0,$AB877/$AC877)</f>
        <v>0</v>
      </c>
      <c r="AE877" s="8" t="str">
        <f aca="false">IF($K877="SEM CULTURA","SEM CULTURA",IF($AA877&lt;=0,"DADO PENDENTE",IF($AD877&gt;LIMITE_CRITICO,"INVIAVEL",IF($AD877&gt;LIMITE_ATENCAO,"CRITICO",IF($AD877&gt;LIMITE_CONFORTAVEL,"ATENCAO","OK")))))</f>
        <v>OK</v>
      </c>
      <c r="AF877" s="8" t="str">
        <f aca="false">$B877&amp;"|"&amp;TEXT($AD877,"0.000000")</f>
        <v>14|0.000000</v>
      </c>
      <c r="AG877" s="18" t="n">
        <f aca="false">IF($K877="SEM CULTURA",0,$T877*$H877)</f>
        <v>1737.0549</v>
      </c>
      <c r="AH877" s="18" t="n">
        <f aca="false">IF($K877="SEM CULTURA",0,$V877*$H877)</f>
        <v>5794.88112</v>
      </c>
      <c r="AI877" s="18" t="n">
        <f aca="false">IF($K877="SEM CULTURA",0,$W877*$H877)</f>
        <v>0</v>
      </c>
      <c r="AJ877" s="18" t="n">
        <f aca="false">IF($K877="SEM CULTURA",0,$S877*$H877)</f>
        <v>4963.014</v>
      </c>
      <c r="AK877" s="8" t="str">
        <f aca="false">$E877&amp;"|"&amp;TEXT($AD877,"0.000000")</f>
        <v>PV 115|0.000000</v>
      </c>
    </row>
    <row r="878" customFormat="false" ht="15" hidden="false" customHeight="false" outlineLevel="0" collapsed="false">
      <c r="B878" s="16" t="n">
        <v>15</v>
      </c>
      <c r="C878" s="17" t="n">
        <f aca="false">DATA_INICIO_SAFRA+($B878-1)*DIAS_POR_SEMANA</f>
        <v>46363</v>
      </c>
      <c r="D878" s="17" t="n">
        <f aca="false">$C878+DIAS_POR_SEMANA-1</f>
        <v>46369</v>
      </c>
      <c r="E878" s="15" t="s">
        <v>272</v>
      </c>
      <c r="F878" s="8" t="str">
        <f aca="false">IFERROR(INDEX(CADASTRO_PIVOS!$C$6:$C$41,MATCH($E878,CADASTRO_PIVOS!$B$6:$B$41,0)),"?")</f>
        <v>RM05</v>
      </c>
      <c r="G878" s="8" t="str">
        <f aca="false">IFERROR(INDEX(CADASTRO_PIVOS!$D$6:$D$41,MATCH($E878,CADASTRO_PIVOS!$B$6:$B$41,0)),"?")</f>
        <v>TR05</v>
      </c>
      <c r="H878" s="20" t="n">
        <f aca="false">IFERROR(INDEX(CADASTRO_PIVOS!$E$6:$E$41,MATCH($E878,CADASTRO_PIVOS!$B$6:$B$41,0)),0)</f>
        <v>149.94</v>
      </c>
      <c r="I878" s="16" t="n">
        <f aca="false">IFERROR(SUMIFS(ROTACAO_RDM!$B$6:$B$71,ROTACAO_RDM!$D$6:$D$71,$E878,ROTACAO_RDM!$I$6:$I$71,"&lt;="&amp;$C878+INT(DIAS_POR_SEMANA/2),ROTACAO_RDM!$J$6:$J$71,"&gt;="&amp;$C878+INT(DIAS_POR_SEMANA/2)),0)</f>
        <v>25</v>
      </c>
      <c r="J878" s="16" t="n">
        <f aca="false">IFERROR(MATCH($I878,ROTACAO_RDM!$B$6:$B$71,0),0)</f>
        <v>25</v>
      </c>
      <c r="K878" s="8" t="str">
        <f aca="false">IF($J878=0,"SEM CULTURA",INDEX(ROTACAO_RDM!$F$6:$F$71,$J878))</f>
        <v>ALGODAO</v>
      </c>
      <c r="L878" s="8" t="str">
        <f aca="false">IF($J878=0,"",INDEX(ROTACAO_RDM!$G$6:$G$71,$J878))</f>
        <v>FM 974 GLT</v>
      </c>
      <c r="M878" s="17" t="n">
        <f aca="false">IF($J878=0,"",INDEX(ROTACAO_RDM!$I$6:$I$71,$J878))</f>
        <v>46356</v>
      </c>
      <c r="N878" s="16" t="n">
        <f aca="false">IF($J878=0,0,MAX(0,$C878+INT(DIAS_POR_SEMANA/2)-INDEX(ROTACAO_RDM!$I$6:$I$71,$J878)))</f>
        <v>10</v>
      </c>
      <c r="O878" s="19" t="n">
        <f aca="false">IF($J878=0,0,MIN(1,$N878/MAX(1,INDEX(ROTACAO_RDM!$K$6:$K$71,$J878))))</f>
        <v>0.0512820512820513</v>
      </c>
      <c r="P878" s="16" t="n">
        <f aca="false">IF($J878=0,0,IFERROR(MATCH(INDEX(ROTACAO_RDM!$N$6:$N$71,$J878),PARAMETROS_CULTURAS!$B$6:$B$28,0),0))</f>
        <v>5</v>
      </c>
      <c r="Q878" s="8" t="str">
        <f aca="false">IF($P878=0,"-",IF($O878&lt;=INDEX(PARAMETROS_CULTURAS!$F$6:$F$28,$P878),"INICIAL",IF($O878&lt;=INDEX(PARAMETROS_CULTURAS!$F$6:$F$28,$P878)+INDEX(PARAMETROS_CULTURAS!$G$6:$G$28,$P878),"DESENVOLVIMENTO",IF($O878&lt;=INDEX(PARAMETROS_CULTURAS!$F$6:$F$28,$P878)+INDEX(PARAMETROS_CULTURAS!$G$6:$G$28,$P878)+INDEX(PARAMETROS_CULTURAS!$H$6:$H$28,$P878),"MEDIA","FINAL"))))</f>
        <v>INICIAL</v>
      </c>
      <c r="R878" s="24" t="n">
        <f aca="false">IF($P878=0,0,IF($O878&lt;=INDEX(PARAMETROS_CULTURAS!$F$6:$F$28,$P878),INDEX(PARAMETROS_CULTURAS!$K$6:$K$28,$P878),IF($O878&lt;=INDEX(PARAMETROS_CULTURAS!$F$6:$F$28,$P878)+INDEX(PARAMETROS_CULTURAS!$G$6:$G$28,$P878),INDEX(PARAMETROS_CULTURAS!$K$6:$K$28,$P878)+(INDEX(PARAMETROS_CULTURAS!$L$6:$L$28,$P878)-INDEX(PARAMETROS_CULTURAS!$K$6:$K$28,$P878))*($O878-INDEX(PARAMETROS_CULTURAS!$F$6:$F$28,$P878))/MAX(INDEX(PARAMETROS_CULTURAS!$G$6:$G$28,$P878),0.0001),IF($O878&lt;=INDEX(PARAMETROS_CULTURAS!$F$6:$F$28,$P878)+INDEX(PARAMETROS_CULTURAS!$G$6:$G$28,$P878)+INDEX(PARAMETROS_CULTURAS!$H$6:$H$28,$P878),INDEX(PARAMETROS_CULTURAS!$L$6:$L$28,$P878),INDEX(PARAMETROS_CULTURAS!$L$6:$L$28,$P878)+(INDEX(PARAMETROS_CULTURAS!$M$6:$M$28,$P878)-INDEX(PARAMETROS_CULTURAS!$L$6:$L$28,$P878))*($O878-INDEX(PARAMETROS_CULTURAS!$F$6:$F$28,$P878)-INDEX(PARAMETROS_CULTURAS!$G$6:$G$28,$P878)-INDEX(PARAMETROS_CULTURAS!$H$6:$H$28,$P878))/MAX(INDEX(PARAMETROS_CULTURAS!$I$6:$I$28,$P878),0.0001)))))</f>
        <v>0.35</v>
      </c>
      <c r="S878" s="18" t="n">
        <f aca="false">IFERROR(INDEX(SEMANAS!$H$6:$H$71,MATCH($B878,SEMANAS!$B$6:$B$71,0)),0)</f>
        <v>32.9</v>
      </c>
      <c r="T878" s="18" t="n">
        <f aca="false">$R878*$S878</f>
        <v>11.515</v>
      </c>
      <c r="U878" s="18" t="n">
        <f aca="false">IFERROR(INDEX(SEMANAS!$I$6:$I$71,MATCH($B878,SEMANAS!$B$6:$B$71,0)),0)</f>
        <v>48.58</v>
      </c>
      <c r="V878" s="18" t="n">
        <f aca="false">IFERROR(INDEX(SEMANAS!$J$6:$J$71,MATCH($B878,SEMANAS!$B$6:$B$71,0)),0)</f>
        <v>38.864</v>
      </c>
      <c r="W878" s="18" t="n">
        <f aca="false">MAX(0,$T878-$V878)</f>
        <v>0</v>
      </c>
      <c r="X878" s="19" t="n">
        <f aca="false">IFERROR(INDEX(CADASTRO_PIVOS!$K$6:$K$41,MATCH($E878,CADASTRO_PIVOS!$B$6:$B$41,0)),EFICIENCIA_PADRAO)</f>
        <v>0.85</v>
      </c>
      <c r="Y878" s="18" t="n">
        <f aca="false">IF($X878&lt;=0,0,$W878/$X878)</f>
        <v>0</v>
      </c>
      <c r="Z878" s="16" t="n">
        <f aca="false">$Y878*$H878*MM_PARA_M3_HA</f>
        <v>0</v>
      </c>
      <c r="AA878" s="18" t="n">
        <f aca="false">IFERROR(INDEX(CADASTRO_PIVOS!$I$6:$I$41,MATCH($E878,CADASTRO_PIVOS!$B$6:$B$41,0)),0)</f>
        <v>928.2</v>
      </c>
      <c r="AB878" s="18" t="n">
        <f aca="false">IF($Z878&lt;=0,0,$Z878/$AA878)</f>
        <v>0</v>
      </c>
      <c r="AC878" s="16" t="n">
        <f aca="false">IFERROR(INDEX(SEMANAS!$K$6:$K$71,MATCH($B878,SEMANAS!$B$6:$B$71,0)),0)</f>
        <v>147</v>
      </c>
      <c r="AD878" s="19" t="n">
        <f aca="false">IF($AC878&lt;=0,0,$AB878/$AC878)</f>
        <v>0</v>
      </c>
      <c r="AE878" s="8" t="str">
        <f aca="false">IF($K878="SEM CULTURA","SEM CULTURA",IF($AA878&lt;=0,"DADO PENDENTE",IF($AD878&gt;LIMITE_CRITICO,"INVIAVEL",IF($AD878&gt;LIMITE_ATENCAO,"CRITICO",IF($AD878&gt;LIMITE_CONFORTAVEL,"ATENCAO","OK")))))</f>
        <v>OK</v>
      </c>
      <c r="AF878" s="8" t="str">
        <f aca="false">$B878&amp;"|"&amp;TEXT($AD878,"0.000000")</f>
        <v>15|0.000000</v>
      </c>
      <c r="AG878" s="18" t="n">
        <f aca="false">IF($K878="SEM CULTURA",0,$T878*$H878)</f>
        <v>1726.5591</v>
      </c>
      <c r="AH878" s="18" t="n">
        <f aca="false">IF($K878="SEM CULTURA",0,$V878*$H878)</f>
        <v>5827.26816</v>
      </c>
      <c r="AI878" s="18" t="n">
        <f aca="false">IF($K878="SEM CULTURA",0,$W878*$H878)</f>
        <v>0</v>
      </c>
      <c r="AJ878" s="18" t="n">
        <f aca="false">IF($K878="SEM CULTURA",0,$S878*$H878)</f>
        <v>4933.026</v>
      </c>
      <c r="AK878" s="8" t="str">
        <f aca="false">$E878&amp;"|"&amp;TEXT($AD878,"0.000000")</f>
        <v>PV 115|0.000000</v>
      </c>
    </row>
    <row r="879" customFormat="false" ht="15" hidden="false" customHeight="false" outlineLevel="0" collapsed="false">
      <c r="B879" s="16" t="n">
        <v>16</v>
      </c>
      <c r="C879" s="17" t="n">
        <f aca="false">DATA_INICIO_SAFRA+($B879-1)*DIAS_POR_SEMANA</f>
        <v>46370</v>
      </c>
      <c r="D879" s="17" t="n">
        <f aca="false">$C879+DIAS_POR_SEMANA-1</f>
        <v>46376</v>
      </c>
      <c r="E879" s="15" t="s">
        <v>272</v>
      </c>
      <c r="F879" s="8" t="str">
        <f aca="false">IFERROR(INDEX(CADASTRO_PIVOS!$C$6:$C$41,MATCH($E879,CADASTRO_PIVOS!$B$6:$B$41,0)),"?")</f>
        <v>RM05</v>
      </c>
      <c r="G879" s="8" t="str">
        <f aca="false">IFERROR(INDEX(CADASTRO_PIVOS!$D$6:$D$41,MATCH($E879,CADASTRO_PIVOS!$B$6:$B$41,0)),"?")</f>
        <v>TR05</v>
      </c>
      <c r="H879" s="20" t="n">
        <f aca="false">IFERROR(INDEX(CADASTRO_PIVOS!$E$6:$E$41,MATCH($E879,CADASTRO_PIVOS!$B$6:$B$41,0)),0)</f>
        <v>149.94</v>
      </c>
      <c r="I879" s="16" t="n">
        <f aca="false">IFERROR(SUMIFS(ROTACAO_RDM!$B$6:$B$71,ROTACAO_RDM!$D$6:$D$71,$E879,ROTACAO_RDM!$I$6:$I$71,"&lt;="&amp;$C879+INT(DIAS_POR_SEMANA/2),ROTACAO_RDM!$J$6:$J$71,"&gt;="&amp;$C879+INT(DIAS_POR_SEMANA/2)),0)</f>
        <v>25</v>
      </c>
      <c r="J879" s="16" t="n">
        <f aca="false">IFERROR(MATCH($I879,ROTACAO_RDM!$B$6:$B$71,0),0)</f>
        <v>25</v>
      </c>
      <c r="K879" s="8" t="str">
        <f aca="false">IF($J879=0,"SEM CULTURA",INDEX(ROTACAO_RDM!$F$6:$F$71,$J879))</f>
        <v>ALGODAO</v>
      </c>
      <c r="L879" s="8" t="str">
        <f aca="false">IF($J879=0,"",INDEX(ROTACAO_RDM!$G$6:$G$71,$J879))</f>
        <v>FM 974 GLT</v>
      </c>
      <c r="M879" s="17" t="n">
        <f aca="false">IF($J879=0,"",INDEX(ROTACAO_RDM!$I$6:$I$71,$J879))</f>
        <v>46356</v>
      </c>
      <c r="N879" s="16" t="n">
        <f aca="false">IF($J879=0,0,MAX(0,$C879+INT(DIAS_POR_SEMANA/2)-INDEX(ROTACAO_RDM!$I$6:$I$71,$J879)))</f>
        <v>17</v>
      </c>
      <c r="O879" s="19" t="n">
        <f aca="false">IF($J879=0,0,MIN(1,$N879/MAX(1,INDEX(ROTACAO_RDM!$K$6:$K$71,$J879))))</f>
        <v>0.0871794871794872</v>
      </c>
      <c r="P879" s="16" t="n">
        <f aca="false">IF($J879=0,0,IFERROR(MATCH(INDEX(ROTACAO_RDM!$N$6:$N$71,$J879),PARAMETROS_CULTURAS!$B$6:$B$28,0),0))</f>
        <v>5</v>
      </c>
      <c r="Q879" s="8" t="str">
        <f aca="false">IF($P879=0,"-",IF($O879&lt;=INDEX(PARAMETROS_CULTURAS!$F$6:$F$28,$P879),"INICIAL",IF($O879&lt;=INDEX(PARAMETROS_CULTURAS!$F$6:$F$28,$P879)+INDEX(PARAMETROS_CULTURAS!$G$6:$G$28,$P879),"DESENVOLVIMENTO",IF($O879&lt;=INDEX(PARAMETROS_CULTURAS!$F$6:$F$28,$P879)+INDEX(PARAMETROS_CULTURAS!$G$6:$G$28,$P879)+INDEX(PARAMETROS_CULTURAS!$H$6:$H$28,$P879),"MEDIA","FINAL"))))</f>
        <v>INICIAL</v>
      </c>
      <c r="R879" s="24" t="n">
        <f aca="false">IF($P879=0,0,IF($O879&lt;=INDEX(PARAMETROS_CULTURAS!$F$6:$F$28,$P879),INDEX(PARAMETROS_CULTURAS!$K$6:$K$28,$P879),IF($O879&lt;=INDEX(PARAMETROS_CULTURAS!$F$6:$F$28,$P879)+INDEX(PARAMETROS_CULTURAS!$G$6:$G$28,$P879),INDEX(PARAMETROS_CULTURAS!$K$6:$K$28,$P879)+(INDEX(PARAMETROS_CULTURAS!$L$6:$L$28,$P879)-INDEX(PARAMETROS_CULTURAS!$K$6:$K$28,$P879))*($O879-INDEX(PARAMETROS_CULTURAS!$F$6:$F$28,$P879))/MAX(INDEX(PARAMETROS_CULTURAS!$G$6:$G$28,$P879),0.0001),IF($O879&lt;=INDEX(PARAMETROS_CULTURAS!$F$6:$F$28,$P879)+INDEX(PARAMETROS_CULTURAS!$G$6:$G$28,$P879)+INDEX(PARAMETROS_CULTURAS!$H$6:$H$28,$P879),INDEX(PARAMETROS_CULTURAS!$L$6:$L$28,$P879),INDEX(PARAMETROS_CULTURAS!$L$6:$L$28,$P879)+(INDEX(PARAMETROS_CULTURAS!$M$6:$M$28,$P879)-INDEX(PARAMETROS_CULTURAS!$L$6:$L$28,$P879))*($O879-INDEX(PARAMETROS_CULTURAS!$F$6:$F$28,$P879)-INDEX(PARAMETROS_CULTURAS!$G$6:$G$28,$P879)-INDEX(PARAMETROS_CULTURAS!$H$6:$H$28,$P879))/MAX(INDEX(PARAMETROS_CULTURAS!$I$6:$I$28,$P879),0.0001)))))</f>
        <v>0.35</v>
      </c>
      <c r="S879" s="18" t="n">
        <f aca="false">IFERROR(INDEX(SEMANAS!$H$6:$H$71,MATCH($B879,SEMANAS!$B$6:$B$71,0)),0)</f>
        <v>32.9</v>
      </c>
      <c r="T879" s="18" t="n">
        <f aca="false">$R879*$S879</f>
        <v>11.515</v>
      </c>
      <c r="U879" s="18" t="n">
        <f aca="false">IFERROR(INDEX(SEMANAS!$I$6:$I$71,MATCH($B879,SEMANAS!$B$6:$B$71,0)),0)</f>
        <v>48.58</v>
      </c>
      <c r="V879" s="18" t="n">
        <f aca="false">IFERROR(INDEX(SEMANAS!$J$6:$J$71,MATCH($B879,SEMANAS!$B$6:$B$71,0)),0)</f>
        <v>38.864</v>
      </c>
      <c r="W879" s="18" t="n">
        <f aca="false">MAX(0,$T879-$V879)</f>
        <v>0</v>
      </c>
      <c r="X879" s="19" t="n">
        <f aca="false">IFERROR(INDEX(CADASTRO_PIVOS!$K$6:$K$41,MATCH($E879,CADASTRO_PIVOS!$B$6:$B$41,0)),EFICIENCIA_PADRAO)</f>
        <v>0.85</v>
      </c>
      <c r="Y879" s="18" t="n">
        <f aca="false">IF($X879&lt;=0,0,$W879/$X879)</f>
        <v>0</v>
      </c>
      <c r="Z879" s="16" t="n">
        <f aca="false">$Y879*$H879*MM_PARA_M3_HA</f>
        <v>0</v>
      </c>
      <c r="AA879" s="18" t="n">
        <f aca="false">IFERROR(INDEX(CADASTRO_PIVOS!$I$6:$I$41,MATCH($E879,CADASTRO_PIVOS!$B$6:$B$41,0)),0)</f>
        <v>928.2</v>
      </c>
      <c r="AB879" s="18" t="n">
        <f aca="false">IF($Z879&lt;=0,0,$Z879/$AA879)</f>
        <v>0</v>
      </c>
      <c r="AC879" s="16" t="n">
        <f aca="false">IFERROR(INDEX(SEMANAS!$K$6:$K$71,MATCH($B879,SEMANAS!$B$6:$B$71,0)),0)</f>
        <v>147</v>
      </c>
      <c r="AD879" s="19" t="n">
        <f aca="false">IF($AC879&lt;=0,0,$AB879/$AC879)</f>
        <v>0</v>
      </c>
      <c r="AE879" s="8" t="str">
        <f aca="false">IF($K879="SEM CULTURA","SEM CULTURA",IF($AA879&lt;=0,"DADO PENDENTE",IF($AD879&gt;LIMITE_CRITICO,"INVIAVEL",IF($AD879&gt;LIMITE_ATENCAO,"CRITICO",IF($AD879&gt;LIMITE_CONFORTAVEL,"ATENCAO","OK")))))</f>
        <v>OK</v>
      </c>
      <c r="AF879" s="8" t="str">
        <f aca="false">$B879&amp;"|"&amp;TEXT($AD879,"0.000000")</f>
        <v>16|0.000000</v>
      </c>
      <c r="AG879" s="18" t="n">
        <f aca="false">IF($K879="SEM CULTURA",0,$T879*$H879)</f>
        <v>1726.5591</v>
      </c>
      <c r="AH879" s="18" t="n">
        <f aca="false">IF($K879="SEM CULTURA",0,$V879*$H879)</f>
        <v>5827.26816</v>
      </c>
      <c r="AI879" s="18" t="n">
        <f aca="false">IF($K879="SEM CULTURA",0,$W879*$H879)</f>
        <v>0</v>
      </c>
      <c r="AJ879" s="18" t="n">
        <f aca="false">IF($K879="SEM CULTURA",0,$S879*$H879)</f>
        <v>4933.026</v>
      </c>
      <c r="AK879" s="8" t="str">
        <f aca="false">$E879&amp;"|"&amp;TEXT($AD879,"0.000000")</f>
        <v>PV 115|0.000000</v>
      </c>
    </row>
    <row r="880" customFormat="false" ht="15" hidden="false" customHeight="false" outlineLevel="0" collapsed="false">
      <c r="B880" s="16" t="n">
        <v>17</v>
      </c>
      <c r="C880" s="17" t="n">
        <f aca="false">DATA_INICIO_SAFRA+($B880-1)*DIAS_POR_SEMANA</f>
        <v>46377</v>
      </c>
      <c r="D880" s="17" t="n">
        <f aca="false">$C880+DIAS_POR_SEMANA-1</f>
        <v>46383</v>
      </c>
      <c r="E880" s="15" t="s">
        <v>272</v>
      </c>
      <c r="F880" s="8" t="str">
        <f aca="false">IFERROR(INDEX(CADASTRO_PIVOS!$C$6:$C$41,MATCH($E880,CADASTRO_PIVOS!$B$6:$B$41,0)),"?")</f>
        <v>RM05</v>
      </c>
      <c r="G880" s="8" t="str">
        <f aca="false">IFERROR(INDEX(CADASTRO_PIVOS!$D$6:$D$41,MATCH($E880,CADASTRO_PIVOS!$B$6:$B$41,0)),"?")</f>
        <v>TR05</v>
      </c>
      <c r="H880" s="20" t="n">
        <f aca="false">IFERROR(INDEX(CADASTRO_PIVOS!$E$6:$E$41,MATCH($E880,CADASTRO_PIVOS!$B$6:$B$41,0)),0)</f>
        <v>149.94</v>
      </c>
      <c r="I880" s="16" t="n">
        <f aca="false">IFERROR(SUMIFS(ROTACAO_RDM!$B$6:$B$71,ROTACAO_RDM!$D$6:$D$71,$E880,ROTACAO_RDM!$I$6:$I$71,"&lt;="&amp;$C880+INT(DIAS_POR_SEMANA/2),ROTACAO_RDM!$J$6:$J$71,"&gt;="&amp;$C880+INT(DIAS_POR_SEMANA/2)),0)</f>
        <v>25</v>
      </c>
      <c r="J880" s="16" t="n">
        <f aca="false">IFERROR(MATCH($I880,ROTACAO_RDM!$B$6:$B$71,0),0)</f>
        <v>25</v>
      </c>
      <c r="K880" s="8" t="str">
        <f aca="false">IF($J880=0,"SEM CULTURA",INDEX(ROTACAO_RDM!$F$6:$F$71,$J880))</f>
        <v>ALGODAO</v>
      </c>
      <c r="L880" s="8" t="str">
        <f aca="false">IF($J880=0,"",INDEX(ROTACAO_RDM!$G$6:$G$71,$J880))</f>
        <v>FM 974 GLT</v>
      </c>
      <c r="M880" s="17" t="n">
        <f aca="false">IF($J880=0,"",INDEX(ROTACAO_RDM!$I$6:$I$71,$J880))</f>
        <v>46356</v>
      </c>
      <c r="N880" s="16" t="n">
        <f aca="false">IF($J880=0,0,MAX(0,$C880+INT(DIAS_POR_SEMANA/2)-INDEX(ROTACAO_RDM!$I$6:$I$71,$J880)))</f>
        <v>24</v>
      </c>
      <c r="O880" s="19" t="n">
        <f aca="false">IF($J880=0,0,MIN(1,$N880/MAX(1,INDEX(ROTACAO_RDM!$K$6:$K$71,$J880))))</f>
        <v>0.123076923076923</v>
      </c>
      <c r="P880" s="16" t="n">
        <f aca="false">IF($J880=0,0,IFERROR(MATCH(INDEX(ROTACAO_RDM!$N$6:$N$71,$J880),PARAMETROS_CULTURAS!$B$6:$B$28,0),0))</f>
        <v>5</v>
      </c>
      <c r="Q880" s="8" t="str">
        <f aca="false">IF($P880=0,"-",IF($O880&lt;=INDEX(PARAMETROS_CULTURAS!$F$6:$F$28,$P880),"INICIAL",IF($O880&lt;=INDEX(PARAMETROS_CULTURAS!$F$6:$F$28,$P880)+INDEX(PARAMETROS_CULTURAS!$G$6:$G$28,$P880),"DESENVOLVIMENTO",IF($O880&lt;=INDEX(PARAMETROS_CULTURAS!$F$6:$F$28,$P880)+INDEX(PARAMETROS_CULTURAS!$G$6:$G$28,$P880)+INDEX(PARAMETROS_CULTURAS!$H$6:$H$28,$P880),"MEDIA","FINAL"))))</f>
        <v>INICIAL</v>
      </c>
      <c r="R880" s="24" t="n">
        <f aca="false">IF($P880=0,0,IF($O880&lt;=INDEX(PARAMETROS_CULTURAS!$F$6:$F$28,$P880),INDEX(PARAMETROS_CULTURAS!$K$6:$K$28,$P880),IF($O880&lt;=INDEX(PARAMETROS_CULTURAS!$F$6:$F$28,$P880)+INDEX(PARAMETROS_CULTURAS!$G$6:$G$28,$P880),INDEX(PARAMETROS_CULTURAS!$K$6:$K$28,$P880)+(INDEX(PARAMETROS_CULTURAS!$L$6:$L$28,$P880)-INDEX(PARAMETROS_CULTURAS!$K$6:$K$28,$P880))*($O880-INDEX(PARAMETROS_CULTURAS!$F$6:$F$28,$P880))/MAX(INDEX(PARAMETROS_CULTURAS!$G$6:$G$28,$P880),0.0001),IF($O880&lt;=INDEX(PARAMETROS_CULTURAS!$F$6:$F$28,$P880)+INDEX(PARAMETROS_CULTURAS!$G$6:$G$28,$P880)+INDEX(PARAMETROS_CULTURAS!$H$6:$H$28,$P880),INDEX(PARAMETROS_CULTURAS!$L$6:$L$28,$P880),INDEX(PARAMETROS_CULTURAS!$L$6:$L$28,$P880)+(INDEX(PARAMETROS_CULTURAS!$M$6:$M$28,$P880)-INDEX(PARAMETROS_CULTURAS!$L$6:$L$28,$P880))*($O880-INDEX(PARAMETROS_CULTURAS!$F$6:$F$28,$P880)-INDEX(PARAMETROS_CULTURAS!$G$6:$G$28,$P880)-INDEX(PARAMETROS_CULTURAS!$H$6:$H$28,$P880))/MAX(INDEX(PARAMETROS_CULTURAS!$I$6:$I$28,$P880),0.0001)))))</f>
        <v>0.35</v>
      </c>
      <c r="S880" s="18" t="n">
        <f aca="false">IFERROR(INDEX(SEMANAS!$H$6:$H$71,MATCH($B880,SEMANAS!$B$6:$B$71,0)),0)</f>
        <v>32.9</v>
      </c>
      <c r="T880" s="18" t="n">
        <f aca="false">$R880*$S880</f>
        <v>11.515</v>
      </c>
      <c r="U880" s="18" t="n">
        <f aca="false">IFERROR(INDEX(SEMANAS!$I$6:$I$71,MATCH($B880,SEMANAS!$B$6:$B$71,0)),0)</f>
        <v>48.58</v>
      </c>
      <c r="V880" s="18" t="n">
        <f aca="false">IFERROR(INDEX(SEMANAS!$J$6:$J$71,MATCH($B880,SEMANAS!$B$6:$B$71,0)),0)</f>
        <v>38.864</v>
      </c>
      <c r="W880" s="18" t="n">
        <f aca="false">MAX(0,$T880-$V880)</f>
        <v>0</v>
      </c>
      <c r="X880" s="19" t="n">
        <f aca="false">IFERROR(INDEX(CADASTRO_PIVOS!$K$6:$K$41,MATCH($E880,CADASTRO_PIVOS!$B$6:$B$41,0)),EFICIENCIA_PADRAO)</f>
        <v>0.85</v>
      </c>
      <c r="Y880" s="18" t="n">
        <f aca="false">IF($X880&lt;=0,0,$W880/$X880)</f>
        <v>0</v>
      </c>
      <c r="Z880" s="16" t="n">
        <f aca="false">$Y880*$H880*MM_PARA_M3_HA</f>
        <v>0</v>
      </c>
      <c r="AA880" s="18" t="n">
        <f aca="false">IFERROR(INDEX(CADASTRO_PIVOS!$I$6:$I$41,MATCH($E880,CADASTRO_PIVOS!$B$6:$B$41,0)),0)</f>
        <v>928.2</v>
      </c>
      <c r="AB880" s="18" t="n">
        <f aca="false">IF($Z880&lt;=0,0,$Z880/$AA880)</f>
        <v>0</v>
      </c>
      <c r="AC880" s="16" t="n">
        <f aca="false">IFERROR(INDEX(SEMANAS!$K$6:$K$71,MATCH($B880,SEMANAS!$B$6:$B$71,0)),0)</f>
        <v>147</v>
      </c>
      <c r="AD880" s="19" t="n">
        <f aca="false">IF($AC880&lt;=0,0,$AB880/$AC880)</f>
        <v>0</v>
      </c>
      <c r="AE880" s="8" t="str">
        <f aca="false">IF($K880="SEM CULTURA","SEM CULTURA",IF($AA880&lt;=0,"DADO PENDENTE",IF($AD880&gt;LIMITE_CRITICO,"INVIAVEL",IF($AD880&gt;LIMITE_ATENCAO,"CRITICO",IF($AD880&gt;LIMITE_CONFORTAVEL,"ATENCAO","OK")))))</f>
        <v>OK</v>
      </c>
      <c r="AF880" s="8" t="str">
        <f aca="false">$B880&amp;"|"&amp;TEXT($AD880,"0.000000")</f>
        <v>17|0.000000</v>
      </c>
      <c r="AG880" s="18" t="n">
        <f aca="false">IF($K880="SEM CULTURA",0,$T880*$H880)</f>
        <v>1726.5591</v>
      </c>
      <c r="AH880" s="18" t="n">
        <f aca="false">IF($K880="SEM CULTURA",0,$V880*$H880)</f>
        <v>5827.26816</v>
      </c>
      <c r="AI880" s="18" t="n">
        <f aca="false">IF($K880="SEM CULTURA",0,$W880*$H880)</f>
        <v>0</v>
      </c>
      <c r="AJ880" s="18" t="n">
        <f aca="false">IF($K880="SEM CULTURA",0,$S880*$H880)</f>
        <v>4933.026</v>
      </c>
      <c r="AK880" s="8" t="str">
        <f aca="false">$E880&amp;"|"&amp;TEXT($AD880,"0.000000")</f>
        <v>PV 115|0.000000</v>
      </c>
    </row>
    <row r="881" customFormat="false" ht="15" hidden="false" customHeight="false" outlineLevel="0" collapsed="false">
      <c r="B881" s="16" t="n">
        <v>18</v>
      </c>
      <c r="C881" s="17" t="n">
        <f aca="false">DATA_INICIO_SAFRA+($B881-1)*DIAS_POR_SEMANA</f>
        <v>46384</v>
      </c>
      <c r="D881" s="17" t="n">
        <f aca="false">$C881+DIAS_POR_SEMANA-1</f>
        <v>46390</v>
      </c>
      <c r="E881" s="15" t="s">
        <v>272</v>
      </c>
      <c r="F881" s="8" t="str">
        <f aca="false">IFERROR(INDEX(CADASTRO_PIVOS!$C$6:$C$41,MATCH($E881,CADASTRO_PIVOS!$B$6:$B$41,0)),"?")</f>
        <v>RM05</v>
      </c>
      <c r="G881" s="8" t="str">
        <f aca="false">IFERROR(INDEX(CADASTRO_PIVOS!$D$6:$D$41,MATCH($E881,CADASTRO_PIVOS!$B$6:$B$41,0)),"?")</f>
        <v>TR05</v>
      </c>
      <c r="H881" s="20" t="n">
        <f aca="false">IFERROR(INDEX(CADASTRO_PIVOS!$E$6:$E$41,MATCH($E881,CADASTRO_PIVOS!$B$6:$B$41,0)),0)</f>
        <v>149.94</v>
      </c>
      <c r="I881" s="16" t="n">
        <f aca="false">IFERROR(SUMIFS(ROTACAO_RDM!$B$6:$B$71,ROTACAO_RDM!$D$6:$D$71,$E881,ROTACAO_RDM!$I$6:$I$71,"&lt;="&amp;$C881+INT(DIAS_POR_SEMANA/2),ROTACAO_RDM!$J$6:$J$71,"&gt;="&amp;$C881+INT(DIAS_POR_SEMANA/2)),0)</f>
        <v>25</v>
      </c>
      <c r="J881" s="16" t="n">
        <f aca="false">IFERROR(MATCH($I881,ROTACAO_RDM!$B$6:$B$71,0),0)</f>
        <v>25</v>
      </c>
      <c r="K881" s="8" t="str">
        <f aca="false">IF($J881=0,"SEM CULTURA",INDEX(ROTACAO_RDM!$F$6:$F$71,$J881))</f>
        <v>ALGODAO</v>
      </c>
      <c r="L881" s="8" t="str">
        <f aca="false">IF($J881=0,"",INDEX(ROTACAO_RDM!$G$6:$G$71,$J881))</f>
        <v>FM 974 GLT</v>
      </c>
      <c r="M881" s="17" t="n">
        <f aca="false">IF($J881=0,"",INDEX(ROTACAO_RDM!$I$6:$I$71,$J881))</f>
        <v>46356</v>
      </c>
      <c r="N881" s="16" t="n">
        <f aca="false">IF($J881=0,0,MAX(0,$C881+INT(DIAS_POR_SEMANA/2)-INDEX(ROTACAO_RDM!$I$6:$I$71,$J881)))</f>
        <v>31</v>
      </c>
      <c r="O881" s="19" t="n">
        <f aca="false">IF($J881=0,0,MIN(1,$N881/MAX(1,INDEX(ROTACAO_RDM!$K$6:$K$71,$J881))))</f>
        <v>0.158974358974359</v>
      </c>
      <c r="P881" s="16" t="n">
        <f aca="false">IF($J881=0,0,IFERROR(MATCH(INDEX(ROTACAO_RDM!$N$6:$N$71,$J881),PARAMETROS_CULTURAS!$B$6:$B$28,0),0))</f>
        <v>5</v>
      </c>
      <c r="Q881" s="8" t="str">
        <f aca="false">IF($P881=0,"-",IF($O881&lt;=INDEX(PARAMETROS_CULTURAS!$F$6:$F$28,$P881),"INICIAL",IF($O881&lt;=INDEX(PARAMETROS_CULTURAS!$F$6:$F$28,$P881)+INDEX(PARAMETROS_CULTURAS!$G$6:$G$28,$P881),"DESENVOLVIMENTO",IF($O881&lt;=INDEX(PARAMETROS_CULTURAS!$F$6:$F$28,$P881)+INDEX(PARAMETROS_CULTURAS!$G$6:$G$28,$P881)+INDEX(PARAMETROS_CULTURAS!$H$6:$H$28,$P881),"MEDIA","FINAL"))))</f>
        <v>DESENVOLVIMENTO</v>
      </c>
      <c r="R881" s="24" t="n">
        <f aca="false">IF($P881=0,0,IF($O881&lt;=INDEX(PARAMETROS_CULTURAS!$F$6:$F$28,$P881),INDEX(PARAMETROS_CULTURAS!$K$6:$K$28,$P881),IF($O881&lt;=INDEX(PARAMETROS_CULTURAS!$F$6:$F$28,$P881)+INDEX(PARAMETROS_CULTURAS!$G$6:$G$28,$P881),INDEX(PARAMETROS_CULTURAS!$K$6:$K$28,$P881)+(INDEX(PARAMETROS_CULTURAS!$L$6:$L$28,$P881)-INDEX(PARAMETROS_CULTURAS!$K$6:$K$28,$P881))*($O881-INDEX(PARAMETROS_CULTURAS!$F$6:$F$28,$P881))/MAX(INDEX(PARAMETROS_CULTURAS!$G$6:$G$28,$P881),0.0001),IF($O881&lt;=INDEX(PARAMETROS_CULTURAS!$F$6:$F$28,$P881)+INDEX(PARAMETROS_CULTURAS!$G$6:$G$28,$P881)+INDEX(PARAMETROS_CULTURAS!$H$6:$H$28,$P881),INDEX(PARAMETROS_CULTURAS!$L$6:$L$28,$P881),INDEX(PARAMETROS_CULTURAS!$L$6:$L$28,$P881)+(INDEX(PARAMETROS_CULTURAS!$M$6:$M$28,$P881)-INDEX(PARAMETROS_CULTURAS!$L$6:$L$28,$P881))*($O881-INDEX(PARAMETROS_CULTURAS!$F$6:$F$28,$P881)-INDEX(PARAMETROS_CULTURAS!$G$6:$G$28,$P881)-INDEX(PARAMETROS_CULTURAS!$H$6:$H$28,$P881))/MAX(INDEX(PARAMETROS_CULTURAS!$I$6:$I$28,$P881),0.0001)))))</f>
        <v>0.377613412228797</v>
      </c>
      <c r="S881" s="18" t="n">
        <f aca="false">IFERROR(INDEX(SEMANAS!$H$6:$H$71,MATCH($B881,SEMANAS!$B$6:$B$71,0)),0)</f>
        <v>33.2</v>
      </c>
      <c r="T881" s="18" t="n">
        <f aca="false">$R881*$S881</f>
        <v>12.5367652859961</v>
      </c>
      <c r="U881" s="18" t="n">
        <f aca="false">IFERROR(INDEX(SEMANAS!$I$6:$I$71,MATCH($B881,SEMANAS!$B$6:$B$71,0)),0)</f>
        <v>47.11</v>
      </c>
      <c r="V881" s="18" t="n">
        <f aca="false">IFERROR(INDEX(SEMANAS!$J$6:$J$71,MATCH($B881,SEMANAS!$B$6:$B$71,0)),0)</f>
        <v>37.688</v>
      </c>
      <c r="W881" s="18" t="n">
        <f aca="false">MAX(0,$T881-$V881)</f>
        <v>0</v>
      </c>
      <c r="X881" s="19" t="n">
        <f aca="false">IFERROR(INDEX(CADASTRO_PIVOS!$K$6:$K$41,MATCH($E881,CADASTRO_PIVOS!$B$6:$B$41,0)),EFICIENCIA_PADRAO)</f>
        <v>0.85</v>
      </c>
      <c r="Y881" s="18" t="n">
        <f aca="false">IF($X881&lt;=0,0,$W881/$X881)</f>
        <v>0</v>
      </c>
      <c r="Z881" s="16" t="n">
        <f aca="false">$Y881*$H881*MM_PARA_M3_HA</f>
        <v>0</v>
      </c>
      <c r="AA881" s="18" t="n">
        <f aca="false">IFERROR(INDEX(CADASTRO_PIVOS!$I$6:$I$41,MATCH($E881,CADASTRO_PIVOS!$B$6:$B$41,0)),0)</f>
        <v>928.2</v>
      </c>
      <c r="AB881" s="18" t="n">
        <f aca="false">IF($Z881&lt;=0,0,$Z881/$AA881)</f>
        <v>0</v>
      </c>
      <c r="AC881" s="16" t="n">
        <f aca="false">IFERROR(INDEX(SEMANAS!$K$6:$K$71,MATCH($B881,SEMANAS!$B$6:$B$71,0)),0)</f>
        <v>147</v>
      </c>
      <c r="AD881" s="19" t="n">
        <f aca="false">IF($AC881&lt;=0,0,$AB881/$AC881)</f>
        <v>0</v>
      </c>
      <c r="AE881" s="8" t="str">
        <f aca="false">IF($K881="SEM CULTURA","SEM CULTURA",IF($AA881&lt;=0,"DADO PENDENTE",IF($AD881&gt;LIMITE_CRITICO,"INVIAVEL",IF($AD881&gt;LIMITE_ATENCAO,"CRITICO",IF($AD881&gt;LIMITE_CONFORTAVEL,"ATENCAO","OK")))))</f>
        <v>OK</v>
      </c>
      <c r="AF881" s="8" t="str">
        <f aca="false">$B881&amp;"|"&amp;TEXT($AD881,"0.000000")</f>
        <v>18|0.000000</v>
      </c>
      <c r="AG881" s="18" t="n">
        <f aca="false">IF($K881="SEM CULTURA",0,$T881*$H881)</f>
        <v>1879.76258698225</v>
      </c>
      <c r="AH881" s="18" t="n">
        <f aca="false">IF($K881="SEM CULTURA",0,$V881*$H881)</f>
        <v>5650.93872</v>
      </c>
      <c r="AI881" s="18" t="n">
        <f aca="false">IF($K881="SEM CULTURA",0,$W881*$H881)</f>
        <v>0</v>
      </c>
      <c r="AJ881" s="18" t="n">
        <f aca="false">IF($K881="SEM CULTURA",0,$S881*$H881)</f>
        <v>4978.008</v>
      </c>
      <c r="AK881" s="8" t="str">
        <f aca="false">$E881&amp;"|"&amp;TEXT($AD881,"0.000000")</f>
        <v>PV 115|0.000000</v>
      </c>
    </row>
    <row r="882" customFormat="false" ht="15" hidden="false" customHeight="false" outlineLevel="0" collapsed="false">
      <c r="B882" s="16" t="n">
        <v>19</v>
      </c>
      <c r="C882" s="17" t="n">
        <f aca="false">DATA_INICIO_SAFRA+($B882-1)*DIAS_POR_SEMANA</f>
        <v>46391</v>
      </c>
      <c r="D882" s="17" t="n">
        <f aca="false">$C882+DIAS_POR_SEMANA-1</f>
        <v>46397</v>
      </c>
      <c r="E882" s="15" t="s">
        <v>272</v>
      </c>
      <c r="F882" s="8" t="str">
        <f aca="false">IFERROR(INDEX(CADASTRO_PIVOS!$C$6:$C$41,MATCH($E882,CADASTRO_PIVOS!$B$6:$B$41,0)),"?")</f>
        <v>RM05</v>
      </c>
      <c r="G882" s="8" t="str">
        <f aca="false">IFERROR(INDEX(CADASTRO_PIVOS!$D$6:$D$41,MATCH($E882,CADASTRO_PIVOS!$B$6:$B$41,0)),"?")</f>
        <v>TR05</v>
      </c>
      <c r="H882" s="20" t="n">
        <f aca="false">IFERROR(INDEX(CADASTRO_PIVOS!$E$6:$E$41,MATCH($E882,CADASTRO_PIVOS!$B$6:$B$41,0)),0)</f>
        <v>149.94</v>
      </c>
      <c r="I882" s="16" t="n">
        <f aca="false">IFERROR(SUMIFS(ROTACAO_RDM!$B$6:$B$71,ROTACAO_RDM!$D$6:$D$71,$E882,ROTACAO_RDM!$I$6:$I$71,"&lt;="&amp;$C882+INT(DIAS_POR_SEMANA/2),ROTACAO_RDM!$J$6:$J$71,"&gt;="&amp;$C882+INT(DIAS_POR_SEMANA/2)),0)</f>
        <v>25</v>
      </c>
      <c r="J882" s="16" t="n">
        <f aca="false">IFERROR(MATCH($I882,ROTACAO_RDM!$B$6:$B$71,0),0)</f>
        <v>25</v>
      </c>
      <c r="K882" s="8" t="str">
        <f aca="false">IF($J882=0,"SEM CULTURA",INDEX(ROTACAO_RDM!$F$6:$F$71,$J882))</f>
        <v>ALGODAO</v>
      </c>
      <c r="L882" s="8" t="str">
        <f aca="false">IF($J882=0,"",INDEX(ROTACAO_RDM!$G$6:$G$71,$J882))</f>
        <v>FM 974 GLT</v>
      </c>
      <c r="M882" s="17" t="n">
        <f aca="false">IF($J882=0,"",INDEX(ROTACAO_RDM!$I$6:$I$71,$J882))</f>
        <v>46356</v>
      </c>
      <c r="N882" s="16" t="n">
        <f aca="false">IF($J882=0,0,MAX(0,$C882+INT(DIAS_POR_SEMANA/2)-INDEX(ROTACAO_RDM!$I$6:$I$71,$J882)))</f>
        <v>38</v>
      </c>
      <c r="O882" s="19" t="n">
        <f aca="false">IF($J882=0,0,MIN(1,$N882/MAX(1,INDEX(ROTACAO_RDM!$K$6:$K$71,$J882))))</f>
        <v>0.194871794871795</v>
      </c>
      <c r="P882" s="16" t="n">
        <f aca="false">IF($J882=0,0,IFERROR(MATCH(INDEX(ROTACAO_RDM!$N$6:$N$71,$J882),PARAMETROS_CULTURAS!$B$6:$B$28,0),0))</f>
        <v>5</v>
      </c>
      <c r="Q882" s="8" t="str">
        <f aca="false">IF($P882=0,"-",IF($O882&lt;=INDEX(PARAMETROS_CULTURAS!$F$6:$F$28,$P882),"INICIAL",IF($O882&lt;=INDEX(PARAMETROS_CULTURAS!$F$6:$F$28,$P882)+INDEX(PARAMETROS_CULTURAS!$G$6:$G$28,$P882),"DESENVOLVIMENTO",IF($O882&lt;=INDEX(PARAMETROS_CULTURAS!$F$6:$F$28,$P882)+INDEX(PARAMETROS_CULTURAS!$G$6:$G$28,$P882)+INDEX(PARAMETROS_CULTURAS!$H$6:$H$28,$P882),"MEDIA","FINAL"))))</f>
        <v>DESENVOLVIMENTO</v>
      </c>
      <c r="R882" s="24" t="n">
        <f aca="false">IF($P882=0,0,IF($O882&lt;=INDEX(PARAMETROS_CULTURAS!$F$6:$F$28,$P882),INDEX(PARAMETROS_CULTURAS!$K$6:$K$28,$P882),IF($O882&lt;=INDEX(PARAMETROS_CULTURAS!$F$6:$F$28,$P882)+INDEX(PARAMETROS_CULTURAS!$G$6:$G$28,$P882),INDEX(PARAMETROS_CULTURAS!$K$6:$K$28,$P882)+(INDEX(PARAMETROS_CULTURAS!$L$6:$L$28,$P882)-INDEX(PARAMETROS_CULTURAS!$K$6:$K$28,$P882))*($O882-INDEX(PARAMETROS_CULTURAS!$F$6:$F$28,$P882))/MAX(INDEX(PARAMETROS_CULTURAS!$G$6:$G$28,$P882),0.0001),IF($O882&lt;=INDEX(PARAMETROS_CULTURAS!$F$6:$F$28,$P882)+INDEX(PARAMETROS_CULTURAS!$G$6:$G$28,$P882)+INDEX(PARAMETROS_CULTURAS!$H$6:$H$28,$P882),INDEX(PARAMETROS_CULTURAS!$L$6:$L$28,$P882),INDEX(PARAMETROS_CULTURAS!$L$6:$L$28,$P882)+(INDEX(PARAMETROS_CULTURAS!$M$6:$M$28,$P882)-INDEX(PARAMETROS_CULTURAS!$L$6:$L$28,$P882))*($O882-INDEX(PARAMETROS_CULTURAS!$F$6:$F$28,$P882)-INDEX(PARAMETROS_CULTURAS!$G$6:$G$28,$P882)-INDEX(PARAMETROS_CULTURAS!$H$6:$H$28,$P882))/MAX(INDEX(PARAMETROS_CULTURAS!$I$6:$I$28,$P882),0.0001)))))</f>
        <v>0.488067061143984</v>
      </c>
      <c r="S882" s="18" t="n">
        <f aca="false">IFERROR(INDEX(SEMANAS!$H$6:$H$71,MATCH($B882,SEMANAS!$B$6:$B$71,0)),0)</f>
        <v>33.6</v>
      </c>
      <c r="T882" s="18" t="n">
        <f aca="false">$R882*$S882</f>
        <v>16.3990532544379</v>
      </c>
      <c r="U882" s="18" t="n">
        <f aca="false">IFERROR(INDEX(SEMANAS!$I$6:$I$71,MATCH($B882,SEMANAS!$B$6:$B$71,0)),0)</f>
        <v>45.15</v>
      </c>
      <c r="V882" s="18" t="n">
        <f aca="false">IFERROR(INDEX(SEMANAS!$J$6:$J$71,MATCH($B882,SEMANAS!$B$6:$B$71,0)),0)</f>
        <v>36.12</v>
      </c>
      <c r="W882" s="18" t="n">
        <f aca="false">MAX(0,$T882-$V882)</f>
        <v>0</v>
      </c>
      <c r="X882" s="19" t="n">
        <f aca="false">IFERROR(INDEX(CADASTRO_PIVOS!$K$6:$K$41,MATCH($E882,CADASTRO_PIVOS!$B$6:$B$41,0)),EFICIENCIA_PADRAO)</f>
        <v>0.85</v>
      </c>
      <c r="Y882" s="18" t="n">
        <f aca="false">IF($X882&lt;=0,0,$W882/$X882)</f>
        <v>0</v>
      </c>
      <c r="Z882" s="16" t="n">
        <f aca="false">$Y882*$H882*MM_PARA_M3_HA</f>
        <v>0</v>
      </c>
      <c r="AA882" s="18" t="n">
        <f aca="false">IFERROR(INDEX(CADASTRO_PIVOS!$I$6:$I$41,MATCH($E882,CADASTRO_PIVOS!$B$6:$B$41,0)),0)</f>
        <v>928.2</v>
      </c>
      <c r="AB882" s="18" t="n">
        <f aca="false">IF($Z882&lt;=0,0,$Z882/$AA882)</f>
        <v>0</v>
      </c>
      <c r="AC882" s="16" t="n">
        <f aca="false">IFERROR(INDEX(SEMANAS!$K$6:$K$71,MATCH($B882,SEMANAS!$B$6:$B$71,0)),0)</f>
        <v>147</v>
      </c>
      <c r="AD882" s="19" t="n">
        <f aca="false">IF($AC882&lt;=0,0,$AB882/$AC882)</f>
        <v>0</v>
      </c>
      <c r="AE882" s="8" t="str">
        <f aca="false">IF($K882="SEM CULTURA","SEM CULTURA",IF($AA882&lt;=0,"DADO PENDENTE",IF($AD882&gt;LIMITE_CRITICO,"INVIAVEL",IF($AD882&gt;LIMITE_ATENCAO,"CRITICO",IF($AD882&gt;LIMITE_CONFORTAVEL,"ATENCAO","OK")))))</f>
        <v>OK</v>
      </c>
      <c r="AF882" s="8" t="str">
        <f aca="false">$B882&amp;"|"&amp;TEXT($AD882,"0.000000")</f>
        <v>19|0.000000</v>
      </c>
      <c r="AG882" s="18" t="n">
        <f aca="false">IF($K882="SEM CULTURA",0,$T882*$H882)</f>
        <v>2458.87404497041</v>
      </c>
      <c r="AH882" s="18" t="n">
        <f aca="false">IF($K882="SEM CULTURA",0,$V882*$H882)</f>
        <v>5415.8328</v>
      </c>
      <c r="AI882" s="18" t="n">
        <f aca="false">IF($K882="SEM CULTURA",0,$W882*$H882)</f>
        <v>0</v>
      </c>
      <c r="AJ882" s="18" t="n">
        <f aca="false">IF($K882="SEM CULTURA",0,$S882*$H882)</f>
        <v>5037.984</v>
      </c>
      <c r="AK882" s="8" t="str">
        <f aca="false">$E882&amp;"|"&amp;TEXT($AD882,"0.000000")</f>
        <v>PV 115|0.000000</v>
      </c>
    </row>
    <row r="883" customFormat="false" ht="15" hidden="false" customHeight="false" outlineLevel="0" collapsed="false">
      <c r="B883" s="16" t="n">
        <v>20</v>
      </c>
      <c r="C883" s="17" t="n">
        <f aca="false">DATA_INICIO_SAFRA+($B883-1)*DIAS_POR_SEMANA</f>
        <v>46398</v>
      </c>
      <c r="D883" s="17" t="n">
        <f aca="false">$C883+DIAS_POR_SEMANA-1</f>
        <v>46404</v>
      </c>
      <c r="E883" s="15" t="s">
        <v>272</v>
      </c>
      <c r="F883" s="8" t="str">
        <f aca="false">IFERROR(INDEX(CADASTRO_PIVOS!$C$6:$C$41,MATCH($E883,CADASTRO_PIVOS!$B$6:$B$41,0)),"?")</f>
        <v>RM05</v>
      </c>
      <c r="G883" s="8" t="str">
        <f aca="false">IFERROR(INDEX(CADASTRO_PIVOS!$D$6:$D$41,MATCH($E883,CADASTRO_PIVOS!$B$6:$B$41,0)),"?")</f>
        <v>TR05</v>
      </c>
      <c r="H883" s="20" t="n">
        <f aca="false">IFERROR(INDEX(CADASTRO_PIVOS!$E$6:$E$41,MATCH($E883,CADASTRO_PIVOS!$B$6:$B$41,0)),0)</f>
        <v>149.94</v>
      </c>
      <c r="I883" s="16" t="n">
        <f aca="false">IFERROR(SUMIFS(ROTACAO_RDM!$B$6:$B$71,ROTACAO_RDM!$D$6:$D$71,$E883,ROTACAO_RDM!$I$6:$I$71,"&lt;="&amp;$C883+INT(DIAS_POR_SEMANA/2),ROTACAO_RDM!$J$6:$J$71,"&gt;="&amp;$C883+INT(DIAS_POR_SEMANA/2)),0)</f>
        <v>25</v>
      </c>
      <c r="J883" s="16" t="n">
        <f aca="false">IFERROR(MATCH($I883,ROTACAO_RDM!$B$6:$B$71,0),0)</f>
        <v>25</v>
      </c>
      <c r="K883" s="8" t="str">
        <f aca="false">IF($J883=0,"SEM CULTURA",INDEX(ROTACAO_RDM!$F$6:$F$71,$J883))</f>
        <v>ALGODAO</v>
      </c>
      <c r="L883" s="8" t="str">
        <f aca="false">IF($J883=0,"",INDEX(ROTACAO_RDM!$G$6:$G$71,$J883))</f>
        <v>FM 974 GLT</v>
      </c>
      <c r="M883" s="17" t="n">
        <f aca="false">IF($J883=0,"",INDEX(ROTACAO_RDM!$I$6:$I$71,$J883))</f>
        <v>46356</v>
      </c>
      <c r="N883" s="16" t="n">
        <f aca="false">IF($J883=0,0,MAX(0,$C883+INT(DIAS_POR_SEMANA/2)-INDEX(ROTACAO_RDM!$I$6:$I$71,$J883)))</f>
        <v>45</v>
      </c>
      <c r="O883" s="19" t="n">
        <f aca="false">IF($J883=0,0,MIN(1,$N883/MAX(1,INDEX(ROTACAO_RDM!$K$6:$K$71,$J883))))</f>
        <v>0.230769230769231</v>
      </c>
      <c r="P883" s="16" t="n">
        <f aca="false">IF($J883=0,0,IFERROR(MATCH(INDEX(ROTACAO_RDM!$N$6:$N$71,$J883),PARAMETROS_CULTURAS!$B$6:$B$28,0),0))</f>
        <v>5</v>
      </c>
      <c r="Q883" s="8" t="str">
        <f aca="false">IF($P883=0,"-",IF($O883&lt;=INDEX(PARAMETROS_CULTURAS!$F$6:$F$28,$P883),"INICIAL",IF($O883&lt;=INDEX(PARAMETROS_CULTURAS!$F$6:$F$28,$P883)+INDEX(PARAMETROS_CULTURAS!$G$6:$G$28,$P883),"DESENVOLVIMENTO",IF($O883&lt;=INDEX(PARAMETROS_CULTURAS!$F$6:$F$28,$P883)+INDEX(PARAMETROS_CULTURAS!$G$6:$G$28,$P883)+INDEX(PARAMETROS_CULTURAS!$H$6:$H$28,$P883),"MEDIA","FINAL"))))</f>
        <v>DESENVOLVIMENTO</v>
      </c>
      <c r="R883" s="24" t="n">
        <f aca="false">IF($P883=0,0,IF($O883&lt;=INDEX(PARAMETROS_CULTURAS!$F$6:$F$28,$P883),INDEX(PARAMETROS_CULTURAS!$K$6:$K$28,$P883),IF($O883&lt;=INDEX(PARAMETROS_CULTURAS!$F$6:$F$28,$P883)+INDEX(PARAMETROS_CULTURAS!$G$6:$G$28,$P883),INDEX(PARAMETROS_CULTURAS!$K$6:$K$28,$P883)+(INDEX(PARAMETROS_CULTURAS!$L$6:$L$28,$P883)-INDEX(PARAMETROS_CULTURAS!$K$6:$K$28,$P883))*($O883-INDEX(PARAMETROS_CULTURAS!$F$6:$F$28,$P883))/MAX(INDEX(PARAMETROS_CULTURAS!$G$6:$G$28,$P883),0.0001),IF($O883&lt;=INDEX(PARAMETROS_CULTURAS!$F$6:$F$28,$P883)+INDEX(PARAMETROS_CULTURAS!$G$6:$G$28,$P883)+INDEX(PARAMETROS_CULTURAS!$H$6:$H$28,$P883),INDEX(PARAMETROS_CULTURAS!$L$6:$L$28,$P883),INDEX(PARAMETROS_CULTURAS!$L$6:$L$28,$P883)+(INDEX(PARAMETROS_CULTURAS!$M$6:$M$28,$P883)-INDEX(PARAMETROS_CULTURAS!$L$6:$L$28,$P883))*($O883-INDEX(PARAMETROS_CULTURAS!$F$6:$F$28,$P883)-INDEX(PARAMETROS_CULTURAS!$G$6:$G$28,$P883)-INDEX(PARAMETROS_CULTURAS!$H$6:$H$28,$P883))/MAX(INDEX(PARAMETROS_CULTURAS!$I$6:$I$28,$P883),0.0001)))))</f>
        <v>0.598520710059172</v>
      </c>
      <c r="S883" s="18" t="n">
        <f aca="false">IFERROR(INDEX(SEMANAS!$H$6:$H$71,MATCH($B883,SEMANAS!$B$6:$B$71,0)),0)</f>
        <v>33.6</v>
      </c>
      <c r="T883" s="18" t="n">
        <f aca="false">$R883*$S883</f>
        <v>20.1102958579882</v>
      </c>
      <c r="U883" s="18" t="n">
        <f aca="false">IFERROR(INDEX(SEMANAS!$I$6:$I$71,MATCH($B883,SEMANAS!$B$6:$B$71,0)),0)</f>
        <v>45.15</v>
      </c>
      <c r="V883" s="18" t="n">
        <f aca="false">IFERROR(INDEX(SEMANAS!$J$6:$J$71,MATCH($B883,SEMANAS!$B$6:$B$71,0)),0)</f>
        <v>36.12</v>
      </c>
      <c r="W883" s="18" t="n">
        <f aca="false">MAX(0,$T883-$V883)</f>
        <v>0</v>
      </c>
      <c r="X883" s="19" t="n">
        <f aca="false">IFERROR(INDEX(CADASTRO_PIVOS!$K$6:$K$41,MATCH($E883,CADASTRO_PIVOS!$B$6:$B$41,0)),EFICIENCIA_PADRAO)</f>
        <v>0.85</v>
      </c>
      <c r="Y883" s="18" t="n">
        <f aca="false">IF($X883&lt;=0,0,$W883/$X883)</f>
        <v>0</v>
      </c>
      <c r="Z883" s="16" t="n">
        <f aca="false">$Y883*$H883*MM_PARA_M3_HA</f>
        <v>0</v>
      </c>
      <c r="AA883" s="18" t="n">
        <f aca="false">IFERROR(INDEX(CADASTRO_PIVOS!$I$6:$I$41,MATCH($E883,CADASTRO_PIVOS!$B$6:$B$41,0)),0)</f>
        <v>928.2</v>
      </c>
      <c r="AB883" s="18" t="n">
        <f aca="false">IF($Z883&lt;=0,0,$Z883/$AA883)</f>
        <v>0</v>
      </c>
      <c r="AC883" s="16" t="n">
        <f aca="false">IFERROR(INDEX(SEMANAS!$K$6:$K$71,MATCH($B883,SEMANAS!$B$6:$B$71,0)),0)</f>
        <v>147</v>
      </c>
      <c r="AD883" s="19" t="n">
        <f aca="false">IF($AC883&lt;=0,0,$AB883/$AC883)</f>
        <v>0</v>
      </c>
      <c r="AE883" s="8" t="str">
        <f aca="false">IF($K883="SEM CULTURA","SEM CULTURA",IF($AA883&lt;=0,"DADO PENDENTE",IF($AD883&gt;LIMITE_CRITICO,"INVIAVEL",IF($AD883&gt;LIMITE_ATENCAO,"CRITICO",IF($AD883&gt;LIMITE_CONFORTAVEL,"ATENCAO","OK")))))</f>
        <v>OK</v>
      </c>
      <c r="AF883" s="8" t="str">
        <f aca="false">$B883&amp;"|"&amp;TEXT($AD883,"0.000000")</f>
        <v>20|0.000000</v>
      </c>
      <c r="AG883" s="18" t="n">
        <f aca="false">IF($K883="SEM CULTURA",0,$T883*$H883)</f>
        <v>3015.33776094675</v>
      </c>
      <c r="AH883" s="18" t="n">
        <f aca="false">IF($K883="SEM CULTURA",0,$V883*$H883)</f>
        <v>5415.8328</v>
      </c>
      <c r="AI883" s="18" t="n">
        <f aca="false">IF($K883="SEM CULTURA",0,$W883*$H883)</f>
        <v>0</v>
      </c>
      <c r="AJ883" s="18" t="n">
        <f aca="false">IF($K883="SEM CULTURA",0,$S883*$H883)</f>
        <v>5037.984</v>
      </c>
      <c r="AK883" s="8" t="str">
        <f aca="false">$E883&amp;"|"&amp;TEXT($AD883,"0.000000")</f>
        <v>PV 115|0.000000</v>
      </c>
    </row>
    <row r="884" customFormat="false" ht="15" hidden="false" customHeight="false" outlineLevel="0" collapsed="false">
      <c r="B884" s="16" t="n">
        <v>21</v>
      </c>
      <c r="C884" s="17" t="n">
        <f aca="false">DATA_INICIO_SAFRA+($B884-1)*DIAS_POR_SEMANA</f>
        <v>46405</v>
      </c>
      <c r="D884" s="17" t="n">
        <f aca="false">$C884+DIAS_POR_SEMANA-1</f>
        <v>46411</v>
      </c>
      <c r="E884" s="15" t="s">
        <v>272</v>
      </c>
      <c r="F884" s="8" t="str">
        <f aca="false">IFERROR(INDEX(CADASTRO_PIVOS!$C$6:$C$41,MATCH($E884,CADASTRO_PIVOS!$B$6:$B$41,0)),"?")</f>
        <v>RM05</v>
      </c>
      <c r="G884" s="8" t="str">
        <f aca="false">IFERROR(INDEX(CADASTRO_PIVOS!$D$6:$D$41,MATCH($E884,CADASTRO_PIVOS!$B$6:$B$41,0)),"?")</f>
        <v>TR05</v>
      </c>
      <c r="H884" s="20" t="n">
        <f aca="false">IFERROR(INDEX(CADASTRO_PIVOS!$E$6:$E$41,MATCH($E884,CADASTRO_PIVOS!$B$6:$B$41,0)),0)</f>
        <v>149.94</v>
      </c>
      <c r="I884" s="16" t="n">
        <f aca="false">IFERROR(SUMIFS(ROTACAO_RDM!$B$6:$B$71,ROTACAO_RDM!$D$6:$D$71,$E884,ROTACAO_RDM!$I$6:$I$71,"&lt;="&amp;$C884+INT(DIAS_POR_SEMANA/2),ROTACAO_RDM!$J$6:$J$71,"&gt;="&amp;$C884+INT(DIAS_POR_SEMANA/2)),0)</f>
        <v>25</v>
      </c>
      <c r="J884" s="16" t="n">
        <f aca="false">IFERROR(MATCH($I884,ROTACAO_RDM!$B$6:$B$71,0),0)</f>
        <v>25</v>
      </c>
      <c r="K884" s="8" t="str">
        <f aca="false">IF($J884=0,"SEM CULTURA",INDEX(ROTACAO_RDM!$F$6:$F$71,$J884))</f>
        <v>ALGODAO</v>
      </c>
      <c r="L884" s="8" t="str">
        <f aca="false">IF($J884=0,"",INDEX(ROTACAO_RDM!$G$6:$G$71,$J884))</f>
        <v>FM 974 GLT</v>
      </c>
      <c r="M884" s="17" t="n">
        <f aca="false">IF($J884=0,"",INDEX(ROTACAO_RDM!$I$6:$I$71,$J884))</f>
        <v>46356</v>
      </c>
      <c r="N884" s="16" t="n">
        <f aca="false">IF($J884=0,0,MAX(0,$C884+INT(DIAS_POR_SEMANA/2)-INDEX(ROTACAO_RDM!$I$6:$I$71,$J884)))</f>
        <v>52</v>
      </c>
      <c r="O884" s="19" t="n">
        <f aca="false">IF($J884=0,0,MIN(1,$N884/MAX(1,INDEX(ROTACAO_RDM!$K$6:$K$71,$J884))))</f>
        <v>0.266666666666667</v>
      </c>
      <c r="P884" s="16" t="n">
        <f aca="false">IF($J884=0,0,IFERROR(MATCH(INDEX(ROTACAO_RDM!$N$6:$N$71,$J884),PARAMETROS_CULTURAS!$B$6:$B$28,0),0))</f>
        <v>5</v>
      </c>
      <c r="Q884" s="8" t="str">
        <f aca="false">IF($P884=0,"-",IF($O884&lt;=INDEX(PARAMETROS_CULTURAS!$F$6:$F$28,$P884),"INICIAL",IF($O884&lt;=INDEX(PARAMETROS_CULTURAS!$F$6:$F$28,$P884)+INDEX(PARAMETROS_CULTURAS!$G$6:$G$28,$P884),"DESENVOLVIMENTO",IF($O884&lt;=INDEX(PARAMETROS_CULTURAS!$F$6:$F$28,$P884)+INDEX(PARAMETROS_CULTURAS!$G$6:$G$28,$P884)+INDEX(PARAMETROS_CULTURAS!$H$6:$H$28,$P884),"MEDIA","FINAL"))))</f>
        <v>DESENVOLVIMENTO</v>
      </c>
      <c r="R884" s="24" t="n">
        <f aca="false">IF($P884=0,0,IF($O884&lt;=INDEX(PARAMETROS_CULTURAS!$F$6:$F$28,$P884),INDEX(PARAMETROS_CULTURAS!$K$6:$K$28,$P884),IF($O884&lt;=INDEX(PARAMETROS_CULTURAS!$F$6:$F$28,$P884)+INDEX(PARAMETROS_CULTURAS!$G$6:$G$28,$P884),INDEX(PARAMETROS_CULTURAS!$K$6:$K$28,$P884)+(INDEX(PARAMETROS_CULTURAS!$L$6:$L$28,$P884)-INDEX(PARAMETROS_CULTURAS!$K$6:$K$28,$P884))*($O884-INDEX(PARAMETROS_CULTURAS!$F$6:$F$28,$P884))/MAX(INDEX(PARAMETROS_CULTURAS!$G$6:$G$28,$P884),0.0001),IF($O884&lt;=INDEX(PARAMETROS_CULTURAS!$F$6:$F$28,$P884)+INDEX(PARAMETROS_CULTURAS!$G$6:$G$28,$P884)+INDEX(PARAMETROS_CULTURAS!$H$6:$H$28,$P884),INDEX(PARAMETROS_CULTURAS!$L$6:$L$28,$P884),INDEX(PARAMETROS_CULTURAS!$L$6:$L$28,$P884)+(INDEX(PARAMETROS_CULTURAS!$M$6:$M$28,$P884)-INDEX(PARAMETROS_CULTURAS!$L$6:$L$28,$P884))*($O884-INDEX(PARAMETROS_CULTURAS!$F$6:$F$28,$P884)-INDEX(PARAMETROS_CULTURAS!$G$6:$G$28,$P884)-INDEX(PARAMETROS_CULTURAS!$H$6:$H$28,$P884))/MAX(INDEX(PARAMETROS_CULTURAS!$I$6:$I$28,$P884),0.0001)))))</f>
        <v>0.708974358974359</v>
      </c>
      <c r="S884" s="18" t="n">
        <f aca="false">IFERROR(INDEX(SEMANAS!$H$6:$H$71,MATCH($B884,SEMANAS!$B$6:$B$71,0)),0)</f>
        <v>33.6</v>
      </c>
      <c r="T884" s="18" t="n">
        <f aca="false">$R884*$S884</f>
        <v>23.8215384615385</v>
      </c>
      <c r="U884" s="18" t="n">
        <f aca="false">IFERROR(INDEX(SEMANAS!$I$6:$I$71,MATCH($B884,SEMANAS!$B$6:$B$71,0)),0)</f>
        <v>45.15</v>
      </c>
      <c r="V884" s="18" t="n">
        <f aca="false">IFERROR(INDEX(SEMANAS!$J$6:$J$71,MATCH($B884,SEMANAS!$B$6:$B$71,0)),0)</f>
        <v>36.12</v>
      </c>
      <c r="W884" s="18" t="n">
        <f aca="false">MAX(0,$T884-$V884)</f>
        <v>0</v>
      </c>
      <c r="X884" s="19" t="n">
        <f aca="false">IFERROR(INDEX(CADASTRO_PIVOS!$K$6:$K$41,MATCH($E884,CADASTRO_PIVOS!$B$6:$B$41,0)),EFICIENCIA_PADRAO)</f>
        <v>0.85</v>
      </c>
      <c r="Y884" s="18" t="n">
        <f aca="false">IF($X884&lt;=0,0,$W884/$X884)</f>
        <v>0</v>
      </c>
      <c r="Z884" s="16" t="n">
        <f aca="false">$Y884*$H884*MM_PARA_M3_HA</f>
        <v>0</v>
      </c>
      <c r="AA884" s="18" t="n">
        <f aca="false">IFERROR(INDEX(CADASTRO_PIVOS!$I$6:$I$41,MATCH($E884,CADASTRO_PIVOS!$B$6:$B$41,0)),0)</f>
        <v>928.2</v>
      </c>
      <c r="AB884" s="18" t="n">
        <f aca="false">IF($Z884&lt;=0,0,$Z884/$AA884)</f>
        <v>0</v>
      </c>
      <c r="AC884" s="16" t="n">
        <f aca="false">IFERROR(INDEX(SEMANAS!$K$6:$K$71,MATCH($B884,SEMANAS!$B$6:$B$71,0)),0)</f>
        <v>147</v>
      </c>
      <c r="AD884" s="19" t="n">
        <f aca="false">IF($AC884&lt;=0,0,$AB884/$AC884)</f>
        <v>0</v>
      </c>
      <c r="AE884" s="8" t="str">
        <f aca="false">IF($K884="SEM CULTURA","SEM CULTURA",IF($AA884&lt;=0,"DADO PENDENTE",IF($AD884&gt;LIMITE_CRITICO,"INVIAVEL",IF($AD884&gt;LIMITE_ATENCAO,"CRITICO",IF($AD884&gt;LIMITE_CONFORTAVEL,"ATENCAO","OK")))))</f>
        <v>OK</v>
      </c>
      <c r="AF884" s="8" t="str">
        <f aca="false">$B884&amp;"|"&amp;TEXT($AD884,"0.000000")</f>
        <v>21|0.000000</v>
      </c>
      <c r="AG884" s="18" t="n">
        <f aca="false">IF($K884="SEM CULTURA",0,$T884*$H884)</f>
        <v>3571.80147692308</v>
      </c>
      <c r="AH884" s="18" t="n">
        <f aca="false">IF($K884="SEM CULTURA",0,$V884*$H884)</f>
        <v>5415.8328</v>
      </c>
      <c r="AI884" s="18" t="n">
        <f aca="false">IF($K884="SEM CULTURA",0,$W884*$H884)</f>
        <v>0</v>
      </c>
      <c r="AJ884" s="18" t="n">
        <f aca="false">IF($K884="SEM CULTURA",0,$S884*$H884)</f>
        <v>5037.984</v>
      </c>
      <c r="AK884" s="8" t="str">
        <f aca="false">$E884&amp;"|"&amp;TEXT($AD884,"0.000000")</f>
        <v>PV 115|0.000000</v>
      </c>
    </row>
    <row r="885" customFormat="false" ht="15" hidden="false" customHeight="false" outlineLevel="0" collapsed="false">
      <c r="B885" s="16" t="n">
        <v>22</v>
      </c>
      <c r="C885" s="17" t="n">
        <f aca="false">DATA_INICIO_SAFRA+($B885-1)*DIAS_POR_SEMANA</f>
        <v>46412</v>
      </c>
      <c r="D885" s="17" t="n">
        <f aca="false">$C885+DIAS_POR_SEMANA-1</f>
        <v>46418</v>
      </c>
      <c r="E885" s="15" t="s">
        <v>272</v>
      </c>
      <c r="F885" s="8" t="str">
        <f aca="false">IFERROR(INDEX(CADASTRO_PIVOS!$C$6:$C$41,MATCH($E885,CADASTRO_PIVOS!$B$6:$B$41,0)),"?")</f>
        <v>RM05</v>
      </c>
      <c r="G885" s="8" t="str">
        <f aca="false">IFERROR(INDEX(CADASTRO_PIVOS!$D$6:$D$41,MATCH($E885,CADASTRO_PIVOS!$B$6:$B$41,0)),"?")</f>
        <v>TR05</v>
      </c>
      <c r="H885" s="20" t="n">
        <f aca="false">IFERROR(INDEX(CADASTRO_PIVOS!$E$6:$E$41,MATCH($E885,CADASTRO_PIVOS!$B$6:$B$41,0)),0)</f>
        <v>149.94</v>
      </c>
      <c r="I885" s="16" t="n">
        <f aca="false">IFERROR(SUMIFS(ROTACAO_RDM!$B$6:$B$71,ROTACAO_RDM!$D$6:$D$71,$E885,ROTACAO_RDM!$I$6:$I$71,"&lt;="&amp;$C885+INT(DIAS_POR_SEMANA/2),ROTACAO_RDM!$J$6:$J$71,"&gt;="&amp;$C885+INT(DIAS_POR_SEMANA/2)),0)</f>
        <v>25</v>
      </c>
      <c r="J885" s="16" t="n">
        <f aca="false">IFERROR(MATCH($I885,ROTACAO_RDM!$B$6:$B$71,0),0)</f>
        <v>25</v>
      </c>
      <c r="K885" s="8" t="str">
        <f aca="false">IF($J885=0,"SEM CULTURA",INDEX(ROTACAO_RDM!$F$6:$F$71,$J885))</f>
        <v>ALGODAO</v>
      </c>
      <c r="L885" s="8" t="str">
        <f aca="false">IF($J885=0,"",INDEX(ROTACAO_RDM!$G$6:$G$71,$J885))</f>
        <v>FM 974 GLT</v>
      </c>
      <c r="M885" s="17" t="n">
        <f aca="false">IF($J885=0,"",INDEX(ROTACAO_RDM!$I$6:$I$71,$J885))</f>
        <v>46356</v>
      </c>
      <c r="N885" s="16" t="n">
        <f aca="false">IF($J885=0,0,MAX(0,$C885+INT(DIAS_POR_SEMANA/2)-INDEX(ROTACAO_RDM!$I$6:$I$71,$J885)))</f>
        <v>59</v>
      </c>
      <c r="O885" s="19" t="n">
        <f aca="false">IF($J885=0,0,MIN(1,$N885/MAX(1,INDEX(ROTACAO_RDM!$K$6:$K$71,$J885))))</f>
        <v>0.302564102564103</v>
      </c>
      <c r="P885" s="16" t="n">
        <f aca="false">IF($J885=0,0,IFERROR(MATCH(INDEX(ROTACAO_RDM!$N$6:$N$71,$J885),PARAMETROS_CULTURAS!$B$6:$B$28,0),0))</f>
        <v>5</v>
      </c>
      <c r="Q885" s="8" t="str">
        <f aca="false">IF($P885=0,"-",IF($O885&lt;=INDEX(PARAMETROS_CULTURAS!$F$6:$F$28,$P885),"INICIAL",IF($O885&lt;=INDEX(PARAMETROS_CULTURAS!$F$6:$F$28,$P885)+INDEX(PARAMETROS_CULTURAS!$G$6:$G$28,$P885),"DESENVOLVIMENTO",IF($O885&lt;=INDEX(PARAMETROS_CULTURAS!$F$6:$F$28,$P885)+INDEX(PARAMETROS_CULTURAS!$G$6:$G$28,$P885)+INDEX(PARAMETROS_CULTURAS!$H$6:$H$28,$P885),"MEDIA","FINAL"))))</f>
        <v>DESENVOLVIMENTO</v>
      </c>
      <c r="R885" s="24" t="n">
        <f aca="false">IF($P885=0,0,IF($O885&lt;=INDEX(PARAMETROS_CULTURAS!$F$6:$F$28,$P885),INDEX(PARAMETROS_CULTURAS!$K$6:$K$28,$P885),IF($O885&lt;=INDEX(PARAMETROS_CULTURAS!$F$6:$F$28,$P885)+INDEX(PARAMETROS_CULTURAS!$G$6:$G$28,$P885),INDEX(PARAMETROS_CULTURAS!$K$6:$K$28,$P885)+(INDEX(PARAMETROS_CULTURAS!$L$6:$L$28,$P885)-INDEX(PARAMETROS_CULTURAS!$K$6:$K$28,$P885))*($O885-INDEX(PARAMETROS_CULTURAS!$F$6:$F$28,$P885))/MAX(INDEX(PARAMETROS_CULTURAS!$G$6:$G$28,$P885),0.0001),IF($O885&lt;=INDEX(PARAMETROS_CULTURAS!$F$6:$F$28,$P885)+INDEX(PARAMETROS_CULTURAS!$G$6:$G$28,$P885)+INDEX(PARAMETROS_CULTURAS!$H$6:$H$28,$P885),INDEX(PARAMETROS_CULTURAS!$L$6:$L$28,$P885),INDEX(PARAMETROS_CULTURAS!$L$6:$L$28,$P885)+(INDEX(PARAMETROS_CULTURAS!$M$6:$M$28,$P885)-INDEX(PARAMETROS_CULTURAS!$L$6:$L$28,$P885))*($O885-INDEX(PARAMETROS_CULTURAS!$F$6:$F$28,$P885)-INDEX(PARAMETROS_CULTURAS!$G$6:$G$28,$P885)-INDEX(PARAMETROS_CULTURAS!$H$6:$H$28,$P885))/MAX(INDEX(PARAMETROS_CULTURAS!$I$6:$I$28,$P885),0.0001)))))</f>
        <v>0.819428007889546</v>
      </c>
      <c r="S885" s="18" t="n">
        <f aca="false">IFERROR(INDEX(SEMANAS!$H$6:$H$71,MATCH($B885,SEMANAS!$B$6:$B$71,0)),0)</f>
        <v>33.6</v>
      </c>
      <c r="T885" s="18" t="n">
        <f aca="false">$R885*$S885</f>
        <v>27.5327810650888</v>
      </c>
      <c r="U885" s="18" t="n">
        <f aca="false">IFERROR(INDEX(SEMANAS!$I$6:$I$71,MATCH($B885,SEMANAS!$B$6:$B$71,0)),0)</f>
        <v>45.15</v>
      </c>
      <c r="V885" s="18" t="n">
        <f aca="false">IFERROR(INDEX(SEMANAS!$J$6:$J$71,MATCH($B885,SEMANAS!$B$6:$B$71,0)),0)</f>
        <v>36.12</v>
      </c>
      <c r="W885" s="18" t="n">
        <f aca="false">MAX(0,$T885-$V885)</f>
        <v>0</v>
      </c>
      <c r="X885" s="19" t="n">
        <f aca="false">IFERROR(INDEX(CADASTRO_PIVOS!$K$6:$K$41,MATCH($E885,CADASTRO_PIVOS!$B$6:$B$41,0)),EFICIENCIA_PADRAO)</f>
        <v>0.85</v>
      </c>
      <c r="Y885" s="18" t="n">
        <f aca="false">IF($X885&lt;=0,0,$W885/$X885)</f>
        <v>0</v>
      </c>
      <c r="Z885" s="16" t="n">
        <f aca="false">$Y885*$H885*MM_PARA_M3_HA</f>
        <v>0</v>
      </c>
      <c r="AA885" s="18" t="n">
        <f aca="false">IFERROR(INDEX(CADASTRO_PIVOS!$I$6:$I$41,MATCH($E885,CADASTRO_PIVOS!$B$6:$B$41,0)),0)</f>
        <v>928.2</v>
      </c>
      <c r="AB885" s="18" t="n">
        <f aca="false">IF($Z885&lt;=0,0,$Z885/$AA885)</f>
        <v>0</v>
      </c>
      <c r="AC885" s="16" t="n">
        <f aca="false">IFERROR(INDEX(SEMANAS!$K$6:$K$71,MATCH($B885,SEMANAS!$B$6:$B$71,0)),0)</f>
        <v>147</v>
      </c>
      <c r="AD885" s="19" t="n">
        <f aca="false">IF($AC885&lt;=0,0,$AB885/$AC885)</f>
        <v>0</v>
      </c>
      <c r="AE885" s="8" t="str">
        <f aca="false">IF($K885="SEM CULTURA","SEM CULTURA",IF($AA885&lt;=0,"DADO PENDENTE",IF($AD885&gt;LIMITE_CRITICO,"INVIAVEL",IF($AD885&gt;LIMITE_ATENCAO,"CRITICO",IF($AD885&gt;LIMITE_CONFORTAVEL,"ATENCAO","OK")))))</f>
        <v>OK</v>
      </c>
      <c r="AF885" s="8" t="str">
        <f aca="false">$B885&amp;"|"&amp;TEXT($AD885,"0.000000")</f>
        <v>22|0.000000</v>
      </c>
      <c r="AG885" s="18" t="n">
        <f aca="false">IF($K885="SEM CULTURA",0,$T885*$H885)</f>
        <v>4128.26519289941</v>
      </c>
      <c r="AH885" s="18" t="n">
        <f aca="false">IF($K885="SEM CULTURA",0,$V885*$H885)</f>
        <v>5415.8328</v>
      </c>
      <c r="AI885" s="18" t="n">
        <f aca="false">IF($K885="SEM CULTURA",0,$W885*$H885)</f>
        <v>0</v>
      </c>
      <c r="AJ885" s="18" t="n">
        <f aca="false">IF($K885="SEM CULTURA",0,$S885*$H885)</f>
        <v>5037.984</v>
      </c>
      <c r="AK885" s="8" t="str">
        <f aca="false">$E885&amp;"|"&amp;TEXT($AD885,"0.000000")</f>
        <v>PV 115|0.000000</v>
      </c>
    </row>
    <row r="886" customFormat="false" ht="15" hidden="false" customHeight="false" outlineLevel="0" collapsed="false">
      <c r="B886" s="16" t="n">
        <v>23</v>
      </c>
      <c r="C886" s="17" t="n">
        <f aca="false">DATA_INICIO_SAFRA+($B886-1)*DIAS_POR_SEMANA</f>
        <v>46419</v>
      </c>
      <c r="D886" s="17" t="n">
        <f aca="false">$C886+DIAS_POR_SEMANA-1</f>
        <v>46425</v>
      </c>
      <c r="E886" s="15" t="s">
        <v>272</v>
      </c>
      <c r="F886" s="8" t="str">
        <f aca="false">IFERROR(INDEX(CADASTRO_PIVOS!$C$6:$C$41,MATCH($E886,CADASTRO_PIVOS!$B$6:$B$41,0)),"?")</f>
        <v>RM05</v>
      </c>
      <c r="G886" s="8" t="str">
        <f aca="false">IFERROR(INDEX(CADASTRO_PIVOS!$D$6:$D$41,MATCH($E886,CADASTRO_PIVOS!$B$6:$B$41,0)),"?")</f>
        <v>TR05</v>
      </c>
      <c r="H886" s="20" t="n">
        <f aca="false">IFERROR(INDEX(CADASTRO_PIVOS!$E$6:$E$41,MATCH($E886,CADASTRO_PIVOS!$B$6:$B$41,0)),0)</f>
        <v>149.94</v>
      </c>
      <c r="I886" s="16" t="n">
        <f aca="false">IFERROR(SUMIFS(ROTACAO_RDM!$B$6:$B$71,ROTACAO_RDM!$D$6:$D$71,$E886,ROTACAO_RDM!$I$6:$I$71,"&lt;="&amp;$C886+INT(DIAS_POR_SEMANA/2),ROTACAO_RDM!$J$6:$J$71,"&gt;="&amp;$C886+INT(DIAS_POR_SEMANA/2)),0)</f>
        <v>25</v>
      </c>
      <c r="J886" s="16" t="n">
        <f aca="false">IFERROR(MATCH($I886,ROTACAO_RDM!$B$6:$B$71,0),0)</f>
        <v>25</v>
      </c>
      <c r="K886" s="8" t="str">
        <f aca="false">IF($J886=0,"SEM CULTURA",INDEX(ROTACAO_RDM!$F$6:$F$71,$J886))</f>
        <v>ALGODAO</v>
      </c>
      <c r="L886" s="8" t="str">
        <f aca="false">IF($J886=0,"",INDEX(ROTACAO_RDM!$G$6:$G$71,$J886))</f>
        <v>FM 974 GLT</v>
      </c>
      <c r="M886" s="17" t="n">
        <f aca="false">IF($J886=0,"",INDEX(ROTACAO_RDM!$I$6:$I$71,$J886))</f>
        <v>46356</v>
      </c>
      <c r="N886" s="16" t="n">
        <f aca="false">IF($J886=0,0,MAX(0,$C886+INT(DIAS_POR_SEMANA/2)-INDEX(ROTACAO_RDM!$I$6:$I$71,$J886)))</f>
        <v>66</v>
      </c>
      <c r="O886" s="19" t="n">
        <f aca="false">IF($J886=0,0,MIN(1,$N886/MAX(1,INDEX(ROTACAO_RDM!$K$6:$K$71,$J886))))</f>
        <v>0.338461538461539</v>
      </c>
      <c r="P886" s="16" t="n">
        <f aca="false">IF($J886=0,0,IFERROR(MATCH(INDEX(ROTACAO_RDM!$N$6:$N$71,$J886),PARAMETROS_CULTURAS!$B$6:$B$28,0),0))</f>
        <v>5</v>
      </c>
      <c r="Q886" s="8" t="str">
        <f aca="false">IF($P886=0,"-",IF($O886&lt;=INDEX(PARAMETROS_CULTURAS!$F$6:$F$28,$P886),"INICIAL",IF($O886&lt;=INDEX(PARAMETROS_CULTURAS!$F$6:$F$28,$P886)+INDEX(PARAMETROS_CULTURAS!$G$6:$G$28,$P886),"DESENVOLVIMENTO",IF($O886&lt;=INDEX(PARAMETROS_CULTURAS!$F$6:$F$28,$P886)+INDEX(PARAMETROS_CULTURAS!$G$6:$G$28,$P886)+INDEX(PARAMETROS_CULTURAS!$H$6:$H$28,$P886),"MEDIA","FINAL"))))</f>
        <v>DESENVOLVIMENTO</v>
      </c>
      <c r="R886" s="24" t="n">
        <f aca="false">IF($P886=0,0,IF($O886&lt;=INDEX(PARAMETROS_CULTURAS!$F$6:$F$28,$P886),INDEX(PARAMETROS_CULTURAS!$K$6:$K$28,$P886),IF($O886&lt;=INDEX(PARAMETROS_CULTURAS!$F$6:$F$28,$P886)+INDEX(PARAMETROS_CULTURAS!$G$6:$G$28,$P886),INDEX(PARAMETROS_CULTURAS!$K$6:$K$28,$P886)+(INDEX(PARAMETROS_CULTURAS!$L$6:$L$28,$P886)-INDEX(PARAMETROS_CULTURAS!$K$6:$K$28,$P886))*($O886-INDEX(PARAMETROS_CULTURAS!$F$6:$F$28,$P886))/MAX(INDEX(PARAMETROS_CULTURAS!$G$6:$G$28,$P886),0.0001),IF($O886&lt;=INDEX(PARAMETROS_CULTURAS!$F$6:$F$28,$P886)+INDEX(PARAMETROS_CULTURAS!$G$6:$G$28,$P886)+INDEX(PARAMETROS_CULTURAS!$H$6:$H$28,$P886),INDEX(PARAMETROS_CULTURAS!$L$6:$L$28,$P886),INDEX(PARAMETROS_CULTURAS!$L$6:$L$28,$P886)+(INDEX(PARAMETROS_CULTURAS!$M$6:$M$28,$P886)-INDEX(PARAMETROS_CULTURAS!$L$6:$L$28,$P886))*($O886-INDEX(PARAMETROS_CULTURAS!$F$6:$F$28,$P886)-INDEX(PARAMETROS_CULTURAS!$G$6:$G$28,$P886)-INDEX(PARAMETROS_CULTURAS!$H$6:$H$28,$P886))/MAX(INDEX(PARAMETROS_CULTURAS!$I$6:$I$28,$P886),0.0001)))))</f>
        <v>0.929881656804734</v>
      </c>
      <c r="S886" s="18" t="n">
        <f aca="false">IFERROR(INDEX(SEMANAS!$H$6:$H$71,MATCH($B886,SEMANAS!$B$6:$B$71,0)),0)</f>
        <v>32.9</v>
      </c>
      <c r="T886" s="18" t="n">
        <f aca="false">$R886*$S886</f>
        <v>30.5931065088757</v>
      </c>
      <c r="U886" s="18" t="n">
        <f aca="false">IFERROR(INDEX(SEMANAS!$I$6:$I$71,MATCH($B886,SEMANAS!$B$6:$B$71,0)),0)</f>
        <v>39.97</v>
      </c>
      <c r="V886" s="18" t="n">
        <f aca="false">IFERROR(INDEX(SEMANAS!$J$6:$J$71,MATCH($B886,SEMANAS!$B$6:$B$71,0)),0)</f>
        <v>31.976</v>
      </c>
      <c r="W886" s="18" t="n">
        <f aca="false">MAX(0,$T886-$V886)</f>
        <v>0</v>
      </c>
      <c r="X886" s="19" t="n">
        <f aca="false">IFERROR(INDEX(CADASTRO_PIVOS!$K$6:$K$41,MATCH($E886,CADASTRO_PIVOS!$B$6:$B$41,0)),EFICIENCIA_PADRAO)</f>
        <v>0.85</v>
      </c>
      <c r="Y886" s="18" t="n">
        <f aca="false">IF($X886&lt;=0,0,$W886/$X886)</f>
        <v>0</v>
      </c>
      <c r="Z886" s="16" t="n">
        <f aca="false">$Y886*$H886*MM_PARA_M3_HA</f>
        <v>0</v>
      </c>
      <c r="AA886" s="18" t="n">
        <f aca="false">IFERROR(INDEX(CADASTRO_PIVOS!$I$6:$I$41,MATCH($E886,CADASTRO_PIVOS!$B$6:$B$41,0)),0)</f>
        <v>928.2</v>
      </c>
      <c r="AB886" s="18" t="n">
        <f aca="false">IF($Z886&lt;=0,0,$Z886/$AA886)</f>
        <v>0</v>
      </c>
      <c r="AC886" s="16" t="n">
        <f aca="false">IFERROR(INDEX(SEMANAS!$K$6:$K$71,MATCH($B886,SEMANAS!$B$6:$B$71,0)),0)</f>
        <v>147</v>
      </c>
      <c r="AD886" s="19" t="n">
        <f aca="false">IF($AC886&lt;=0,0,$AB886/$AC886)</f>
        <v>0</v>
      </c>
      <c r="AE886" s="8" t="str">
        <f aca="false">IF($K886="SEM CULTURA","SEM CULTURA",IF($AA886&lt;=0,"DADO PENDENTE",IF($AD886&gt;LIMITE_CRITICO,"INVIAVEL",IF($AD886&gt;LIMITE_ATENCAO,"CRITICO",IF($AD886&gt;LIMITE_CONFORTAVEL,"ATENCAO","OK")))))</f>
        <v>OK</v>
      </c>
      <c r="AF886" s="8" t="str">
        <f aca="false">$B886&amp;"|"&amp;TEXT($AD886,"0.000000")</f>
        <v>23|0.000000</v>
      </c>
      <c r="AG886" s="18" t="n">
        <f aca="false">IF($K886="SEM CULTURA",0,$T886*$H886)</f>
        <v>4587.13038994083</v>
      </c>
      <c r="AH886" s="18" t="n">
        <f aca="false">IF($K886="SEM CULTURA",0,$V886*$H886)</f>
        <v>4794.48144</v>
      </c>
      <c r="AI886" s="18" t="n">
        <f aca="false">IF($K886="SEM CULTURA",0,$W886*$H886)</f>
        <v>0</v>
      </c>
      <c r="AJ886" s="18" t="n">
        <f aca="false">IF($K886="SEM CULTURA",0,$S886*$H886)</f>
        <v>4933.026</v>
      </c>
      <c r="AK886" s="8" t="str">
        <f aca="false">$E886&amp;"|"&amp;TEXT($AD886,"0.000000")</f>
        <v>PV 115|0.000000</v>
      </c>
    </row>
    <row r="887" customFormat="false" ht="15" hidden="false" customHeight="false" outlineLevel="0" collapsed="false">
      <c r="B887" s="16" t="n">
        <v>24</v>
      </c>
      <c r="C887" s="17" t="n">
        <f aca="false">DATA_INICIO_SAFRA+($B887-1)*DIAS_POR_SEMANA</f>
        <v>46426</v>
      </c>
      <c r="D887" s="17" t="n">
        <f aca="false">$C887+DIAS_POR_SEMANA-1</f>
        <v>46432</v>
      </c>
      <c r="E887" s="15" t="s">
        <v>272</v>
      </c>
      <c r="F887" s="8" t="str">
        <f aca="false">IFERROR(INDEX(CADASTRO_PIVOS!$C$6:$C$41,MATCH($E887,CADASTRO_PIVOS!$B$6:$B$41,0)),"?")</f>
        <v>RM05</v>
      </c>
      <c r="G887" s="8" t="str">
        <f aca="false">IFERROR(INDEX(CADASTRO_PIVOS!$D$6:$D$41,MATCH($E887,CADASTRO_PIVOS!$B$6:$B$41,0)),"?")</f>
        <v>TR05</v>
      </c>
      <c r="H887" s="20" t="n">
        <f aca="false">IFERROR(INDEX(CADASTRO_PIVOS!$E$6:$E$41,MATCH($E887,CADASTRO_PIVOS!$B$6:$B$41,0)),0)</f>
        <v>149.94</v>
      </c>
      <c r="I887" s="16" t="n">
        <f aca="false">IFERROR(SUMIFS(ROTACAO_RDM!$B$6:$B$71,ROTACAO_RDM!$D$6:$D$71,$E887,ROTACAO_RDM!$I$6:$I$71,"&lt;="&amp;$C887+INT(DIAS_POR_SEMANA/2),ROTACAO_RDM!$J$6:$J$71,"&gt;="&amp;$C887+INT(DIAS_POR_SEMANA/2)),0)</f>
        <v>25</v>
      </c>
      <c r="J887" s="16" t="n">
        <f aca="false">IFERROR(MATCH($I887,ROTACAO_RDM!$B$6:$B$71,0),0)</f>
        <v>25</v>
      </c>
      <c r="K887" s="8" t="str">
        <f aca="false">IF($J887=0,"SEM CULTURA",INDEX(ROTACAO_RDM!$F$6:$F$71,$J887))</f>
        <v>ALGODAO</v>
      </c>
      <c r="L887" s="8" t="str">
        <f aca="false">IF($J887=0,"",INDEX(ROTACAO_RDM!$G$6:$G$71,$J887))</f>
        <v>FM 974 GLT</v>
      </c>
      <c r="M887" s="17" t="n">
        <f aca="false">IF($J887=0,"",INDEX(ROTACAO_RDM!$I$6:$I$71,$J887))</f>
        <v>46356</v>
      </c>
      <c r="N887" s="16" t="n">
        <f aca="false">IF($J887=0,0,MAX(0,$C887+INT(DIAS_POR_SEMANA/2)-INDEX(ROTACAO_RDM!$I$6:$I$71,$J887)))</f>
        <v>73</v>
      </c>
      <c r="O887" s="19" t="n">
        <f aca="false">IF($J887=0,0,MIN(1,$N887/MAX(1,INDEX(ROTACAO_RDM!$K$6:$K$71,$J887))))</f>
        <v>0.374358974358974</v>
      </c>
      <c r="P887" s="16" t="n">
        <f aca="false">IF($J887=0,0,IFERROR(MATCH(INDEX(ROTACAO_RDM!$N$6:$N$71,$J887),PARAMETROS_CULTURAS!$B$6:$B$28,0),0))</f>
        <v>5</v>
      </c>
      <c r="Q887" s="8" t="str">
        <f aca="false">IF($P887=0,"-",IF($O887&lt;=INDEX(PARAMETROS_CULTURAS!$F$6:$F$28,$P887),"INICIAL",IF($O887&lt;=INDEX(PARAMETROS_CULTURAS!$F$6:$F$28,$P887)+INDEX(PARAMETROS_CULTURAS!$G$6:$G$28,$P887),"DESENVOLVIMENTO",IF($O887&lt;=INDEX(PARAMETROS_CULTURAS!$F$6:$F$28,$P887)+INDEX(PARAMETROS_CULTURAS!$G$6:$G$28,$P887)+INDEX(PARAMETROS_CULTURAS!$H$6:$H$28,$P887),"MEDIA","FINAL"))))</f>
        <v>DESENVOLVIMENTO</v>
      </c>
      <c r="R887" s="24" t="n">
        <f aca="false">IF($P887=0,0,IF($O887&lt;=INDEX(PARAMETROS_CULTURAS!$F$6:$F$28,$P887),INDEX(PARAMETROS_CULTURAS!$K$6:$K$28,$P887),IF($O887&lt;=INDEX(PARAMETROS_CULTURAS!$F$6:$F$28,$P887)+INDEX(PARAMETROS_CULTURAS!$G$6:$G$28,$P887),INDEX(PARAMETROS_CULTURAS!$K$6:$K$28,$P887)+(INDEX(PARAMETROS_CULTURAS!$L$6:$L$28,$P887)-INDEX(PARAMETROS_CULTURAS!$K$6:$K$28,$P887))*($O887-INDEX(PARAMETROS_CULTURAS!$F$6:$F$28,$P887))/MAX(INDEX(PARAMETROS_CULTURAS!$G$6:$G$28,$P887),0.0001),IF($O887&lt;=INDEX(PARAMETROS_CULTURAS!$F$6:$F$28,$P887)+INDEX(PARAMETROS_CULTURAS!$G$6:$G$28,$P887)+INDEX(PARAMETROS_CULTURAS!$H$6:$H$28,$P887),INDEX(PARAMETROS_CULTURAS!$L$6:$L$28,$P887),INDEX(PARAMETROS_CULTURAS!$L$6:$L$28,$P887)+(INDEX(PARAMETROS_CULTURAS!$M$6:$M$28,$P887)-INDEX(PARAMETROS_CULTURAS!$L$6:$L$28,$P887))*($O887-INDEX(PARAMETROS_CULTURAS!$F$6:$F$28,$P887)-INDEX(PARAMETROS_CULTURAS!$G$6:$G$28,$P887)-INDEX(PARAMETROS_CULTURAS!$H$6:$H$28,$P887))/MAX(INDEX(PARAMETROS_CULTURAS!$I$6:$I$28,$P887),0.0001)))))</f>
        <v>1.04033530571992</v>
      </c>
      <c r="S887" s="18" t="n">
        <f aca="false">IFERROR(INDEX(SEMANAS!$H$6:$H$71,MATCH($B887,SEMANAS!$B$6:$B$71,0)),0)</f>
        <v>32.9</v>
      </c>
      <c r="T887" s="18" t="n">
        <f aca="false">$R887*$S887</f>
        <v>34.2270315581854</v>
      </c>
      <c r="U887" s="18" t="n">
        <f aca="false">IFERROR(INDEX(SEMANAS!$I$6:$I$71,MATCH($B887,SEMANAS!$B$6:$B$71,0)),0)</f>
        <v>39.97</v>
      </c>
      <c r="V887" s="18" t="n">
        <f aca="false">IFERROR(INDEX(SEMANAS!$J$6:$J$71,MATCH($B887,SEMANAS!$B$6:$B$71,0)),0)</f>
        <v>31.976</v>
      </c>
      <c r="W887" s="18" t="n">
        <f aca="false">MAX(0,$T887-$V887)</f>
        <v>2.2510315581854</v>
      </c>
      <c r="X887" s="19" t="n">
        <f aca="false">IFERROR(INDEX(CADASTRO_PIVOS!$K$6:$K$41,MATCH($E887,CADASTRO_PIVOS!$B$6:$B$41,0)),EFICIENCIA_PADRAO)</f>
        <v>0.85</v>
      </c>
      <c r="Y887" s="18" t="n">
        <f aca="false">IF($X887&lt;=0,0,$W887/$X887)</f>
        <v>2.64827242139459</v>
      </c>
      <c r="Z887" s="16" t="n">
        <f aca="false">$Y887*$H887*MM_PARA_M3_HA</f>
        <v>3970.81966863904</v>
      </c>
      <c r="AA887" s="18" t="n">
        <f aca="false">IFERROR(INDEX(CADASTRO_PIVOS!$I$6:$I$41,MATCH($E887,CADASTRO_PIVOS!$B$6:$B$41,0)),0)</f>
        <v>928.2</v>
      </c>
      <c r="AB887" s="18" t="n">
        <f aca="false">IF($Z887&lt;=0,0,$Z887/$AA887)</f>
        <v>4.27797852686818</v>
      </c>
      <c r="AC887" s="16" t="n">
        <f aca="false">IFERROR(INDEX(SEMANAS!$K$6:$K$71,MATCH($B887,SEMANAS!$B$6:$B$71,0)),0)</f>
        <v>147</v>
      </c>
      <c r="AD887" s="19" t="n">
        <f aca="false">IF($AC887&lt;=0,0,$AB887/$AC887)</f>
        <v>0.0291018947405999</v>
      </c>
      <c r="AE887" s="8" t="str">
        <f aca="false">IF($K887="SEM CULTURA","SEM CULTURA",IF($AA887&lt;=0,"DADO PENDENTE",IF($AD887&gt;LIMITE_CRITICO,"INVIAVEL",IF($AD887&gt;LIMITE_ATENCAO,"CRITICO",IF($AD887&gt;LIMITE_CONFORTAVEL,"ATENCAO","OK")))))</f>
        <v>OK</v>
      </c>
      <c r="AF887" s="8" t="str">
        <f aca="false">$B887&amp;"|"&amp;TEXT($AD887,"0.000000")</f>
        <v>24|0.029102</v>
      </c>
      <c r="AG887" s="18" t="n">
        <f aca="false">IF($K887="SEM CULTURA",0,$T887*$H887)</f>
        <v>5132.00111183432</v>
      </c>
      <c r="AH887" s="18" t="n">
        <f aca="false">IF($K887="SEM CULTURA",0,$V887*$H887)</f>
        <v>4794.48144</v>
      </c>
      <c r="AI887" s="18" t="n">
        <f aca="false">IF($K887="SEM CULTURA",0,$W887*$H887)</f>
        <v>337.519671834319</v>
      </c>
      <c r="AJ887" s="18" t="n">
        <f aca="false">IF($K887="SEM CULTURA",0,$S887*$H887)</f>
        <v>4933.026</v>
      </c>
      <c r="AK887" s="8" t="str">
        <f aca="false">$E887&amp;"|"&amp;TEXT($AD887,"0.000000")</f>
        <v>PV 115|0.029102</v>
      </c>
    </row>
    <row r="888" customFormat="false" ht="15" hidden="false" customHeight="false" outlineLevel="0" collapsed="false">
      <c r="B888" s="16" t="n">
        <v>25</v>
      </c>
      <c r="C888" s="17" t="n">
        <f aca="false">DATA_INICIO_SAFRA+($B888-1)*DIAS_POR_SEMANA</f>
        <v>46433</v>
      </c>
      <c r="D888" s="17" t="n">
        <f aca="false">$C888+DIAS_POR_SEMANA-1</f>
        <v>46439</v>
      </c>
      <c r="E888" s="15" t="s">
        <v>272</v>
      </c>
      <c r="F888" s="8" t="str">
        <f aca="false">IFERROR(INDEX(CADASTRO_PIVOS!$C$6:$C$41,MATCH($E888,CADASTRO_PIVOS!$B$6:$B$41,0)),"?")</f>
        <v>RM05</v>
      </c>
      <c r="G888" s="8" t="str">
        <f aca="false">IFERROR(INDEX(CADASTRO_PIVOS!$D$6:$D$41,MATCH($E888,CADASTRO_PIVOS!$B$6:$B$41,0)),"?")</f>
        <v>TR05</v>
      </c>
      <c r="H888" s="20" t="n">
        <f aca="false">IFERROR(INDEX(CADASTRO_PIVOS!$E$6:$E$41,MATCH($E888,CADASTRO_PIVOS!$B$6:$B$41,0)),0)</f>
        <v>149.94</v>
      </c>
      <c r="I888" s="16" t="n">
        <f aca="false">IFERROR(SUMIFS(ROTACAO_RDM!$B$6:$B$71,ROTACAO_RDM!$D$6:$D$71,$E888,ROTACAO_RDM!$I$6:$I$71,"&lt;="&amp;$C888+INT(DIAS_POR_SEMANA/2),ROTACAO_RDM!$J$6:$J$71,"&gt;="&amp;$C888+INT(DIAS_POR_SEMANA/2)),0)</f>
        <v>25</v>
      </c>
      <c r="J888" s="16" t="n">
        <f aca="false">IFERROR(MATCH($I888,ROTACAO_RDM!$B$6:$B$71,0),0)</f>
        <v>25</v>
      </c>
      <c r="K888" s="8" t="str">
        <f aca="false">IF($J888=0,"SEM CULTURA",INDEX(ROTACAO_RDM!$F$6:$F$71,$J888))</f>
        <v>ALGODAO</v>
      </c>
      <c r="L888" s="8" t="str">
        <f aca="false">IF($J888=0,"",INDEX(ROTACAO_RDM!$G$6:$G$71,$J888))</f>
        <v>FM 974 GLT</v>
      </c>
      <c r="M888" s="17" t="n">
        <f aca="false">IF($J888=0,"",INDEX(ROTACAO_RDM!$I$6:$I$71,$J888))</f>
        <v>46356</v>
      </c>
      <c r="N888" s="16" t="n">
        <f aca="false">IF($J888=0,0,MAX(0,$C888+INT(DIAS_POR_SEMANA/2)-INDEX(ROTACAO_RDM!$I$6:$I$71,$J888)))</f>
        <v>80</v>
      </c>
      <c r="O888" s="19" t="n">
        <f aca="false">IF($J888=0,0,MIN(1,$N888/MAX(1,INDEX(ROTACAO_RDM!$K$6:$K$71,$J888))))</f>
        <v>0.41025641025641</v>
      </c>
      <c r="P888" s="16" t="n">
        <f aca="false">IF($J888=0,0,IFERROR(MATCH(INDEX(ROTACAO_RDM!$N$6:$N$71,$J888),PARAMETROS_CULTURAS!$B$6:$B$28,0),0))</f>
        <v>5</v>
      </c>
      <c r="Q888" s="8" t="str">
        <f aca="false">IF($P888=0,"-",IF($O888&lt;=INDEX(PARAMETROS_CULTURAS!$F$6:$F$28,$P888),"INICIAL",IF($O888&lt;=INDEX(PARAMETROS_CULTURAS!$F$6:$F$28,$P888)+INDEX(PARAMETROS_CULTURAS!$G$6:$G$28,$P888),"DESENVOLVIMENTO",IF($O888&lt;=INDEX(PARAMETROS_CULTURAS!$F$6:$F$28,$P888)+INDEX(PARAMETROS_CULTURAS!$G$6:$G$28,$P888)+INDEX(PARAMETROS_CULTURAS!$H$6:$H$28,$P888),"MEDIA","FINAL"))))</f>
        <v>MEDIA</v>
      </c>
      <c r="R888" s="24" t="n">
        <f aca="false">IF($P888=0,0,IF($O888&lt;=INDEX(PARAMETROS_CULTURAS!$F$6:$F$28,$P888),INDEX(PARAMETROS_CULTURAS!$K$6:$K$28,$P888),IF($O888&lt;=INDEX(PARAMETROS_CULTURAS!$F$6:$F$28,$P888)+INDEX(PARAMETROS_CULTURAS!$G$6:$G$28,$P888),INDEX(PARAMETROS_CULTURAS!$K$6:$K$28,$P888)+(INDEX(PARAMETROS_CULTURAS!$L$6:$L$28,$P888)-INDEX(PARAMETROS_CULTURAS!$K$6:$K$28,$P888))*($O888-INDEX(PARAMETROS_CULTURAS!$F$6:$F$28,$P888))/MAX(INDEX(PARAMETROS_CULTURAS!$G$6:$G$28,$P888),0.0001),IF($O888&lt;=INDEX(PARAMETROS_CULTURAS!$F$6:$F$28,$P888)+INDEX(PARAMETROS_CULTURAS!$G$6:$G$28,$P888)+INDEX(PARAMETROS_CULTURAS!$H$6:$H$28,$P888),INDEX(PARAMETROS_CULTURAS!$L$6:$L$28,$P888),INDEX(PARAMETROS_CULTURAS!$L$6:$L$28,$P888)+(INDEX(PARAMETROS_CULTURAS!$M$6:$M$28,$P888)-INDEX(PARAMETROS_CULTURAS!$L$6:$L$28,$P888))*($O888-INDEX(PARAMETROS_CULTURAS!$F$6:$F$28,$P888)-INDEX(PARAMETROS_CULTURAS!$G$6:$G$28,$P888)-INDEX(PARAMETROS_CULTURAS!$H$6:$H$28,$P888))/MAX(INDEX(PARAMETROS_CULTURAS!$I$6:$I$28,$P888),0.0001)))))</f>
        <v>1.15</v>
      </c>
      <c r="S888" s="18" t="n">
        <f aca="false">IFERROR(INDEX(SEMANAS!$H$6:$H$71,MATCH($B888,SEMANAS!$B$6:$B$71,0)),0)</f>
        <v>32.9</v>
      </c>
      <c r="T888" s="18" t="n">
        <f aca="false">$R888*$S888</f>
        <v>37.835</v>
      </c>
      <c r="U888" s="18" t="n">
        <f aca="false">IFERROR(INDEX(SEMANAS!$I$6:$I$71,MATCH($B888,SEMANAS!$B$6:$B$71,0)),0)</f>
        <v>39.97</v>
      </c>
      <c r="V888" s="18" t="n">
        <f aca="false">IFERROR(INDEX(SEMANAS!$J$6:$J$71,MATCH($B888,SEMANAS!$B$6:$B$71,0)),0)</f>
        <v>31.976</v>
      </c>
      <c r="W888" s="18" t="n">
        <f aca="false">MAX(0,$T888-$V888)</f>
        <v>5.85899999999999</v>
      </c>
      <c r="X888" s="19" t="n">
        <f aca="false">IFERROR(INDEX(CADASTRO_PIVOS!$K$6:$K$41,MATCH($E888,CADASTRO_PIVOS!$B$6:$B$41,0)),EFICIENCIA_PADRAO)</f>
        <v>0.85</v>
      </c>
      <c r="Y888" s="18" t="n">
        <f aca="false">IF($X888&lt;=0,0,$W888/$X888)</f>
        <v>6.89294117647058</v>
      </c>
      <c r="Z888" s="16" t="n">
        <f aca="false">$Y888*$H888*MM_PARA_M3_HA</f>
        <v>10335.276</v>
      </c>
      <c r="AA888" s="18" t="n">
        <f aca="false">IFERROR(INDEX(CADASTRO_PIVOS!$I$6:$I$41,MATCH($E888,CADASTRO_PIVOS!$B$6:$B$41,0)),0)</f>
        <v>928.2</v>
      </c>
      <c r="AB888" s="18" t="n">
        <f aca="false">IF($Z888&lt;=0,0,$Z888/$AA888)</f>
        <v>11.1347511312217</v>
      </c>
      <c r="AC888" s="16" t="n">
        <f aca="false">IFERROR(INDEX(SEMANAS!$K$6:$K$71,MATCH($B888,SEMANAS!$B$6:$B$71,0)),0)</f>
        <v>147</v>
      </c>
      <c r="AD888" s="19" t="n">
        <f aca="false">IF($AC888&lt;=0,0,$AB888/$AC888)</f>
        <v>0.0757466063348415</v>
      </c>
      <c r="AE888" s="8" t="str">
        <f aca="false">IF($K888="SEM CULTURA","SEM CULTURA",IF($AA888&lt;=0,"DADO PENDENTE",IF($AD888&gt;LIMITE_CRITICO,"INVIAVEL",IF($AD888&gt;LIMITE_ATENCAO,"CRITICO",IF($AD888&gt;LIMITE_CONFORTAVEL,"ATENCAO","OK")))))</f>
        <v>OK</v>
      </c>
      <c r="AF888" s="8" t="str">
        <f aca="false">$B888&amp;"|"&amp;TEXT($AD888,"0.000000")</f>
        <v>25|0.075747</v>
      </c>
      <c r="AG888" s="18" t="n">
        <f aca="false">IF($K888="SEM CULTURA",0,$T888*$H888)</f>
        <v>5672.9799</v>
      </c>
      <c r="AH888" s="18" t="n">
        <f aca="false">IF($K888="SEM CULTURA",0,$V888*$H888)</f>
        <v>4794.48144</v>
      </c>
      <c r="AI888" s="18" t="n">
        <f aca="false">IF($K888="SEM CULTURA",0,$W888*$H888)</f>
        <v>878.498459999999</v>
      </c>
      <c r="AJ888" s="18" t="n">
        <f aca="false">IF($K888="SEM CULTURA",0,$S888*$H888)</f>
        <v>4933.026</v>
      </c>
      <c r="AK888" s="8" t="str">
        <f aca="false">$E888&amp;"|"&amp;TEXT($AD888,"0.000000")</f>
        <v>PV 115|0.075747</v>
      </c>
    </row>
    <row r="889" customFormat="false" ht="15" hidden="false" customHeight="false" outlineLevel="0" collapsed="false">
      <c r="B889" s="16" t="n">
        <v>26</v>
      </c>
      <c r="C889" s="17" t="n">
        <f aca="false">DATA_INICIO_SAFRA+($B889-1)*DIAS_POR_SEMANA</f>
        <v>46440</v>
      </c>
      <c r="D889" s="17" t="n">
        <f aca="false">$C889+DIAS_POR_SEMANA-1</f>
        <v>46446</v>
      </c>
      <c r="E889" s="15" t="s">
        <v>272</v>
      </c>
      <c r="F889" s="8" t="str">
        <f aca="false">IFERROR(INDEX(CADASTRO_PIVOS!$C$6:$C$41,MATCH($E889,CADASTRO_PIVOS!$B$6:$B$41,0)),"?")</f>
        <v>RM05</v>
      </c>
      <c r="G889" s="8" t="str">
        <f aca="false">IFERROR(INDEX(CADASTRO_PIVOS!$D$6:$D$41,MATCH($E889,CADASTRO_PIVOS!$B$6:$B$41,0)),"?")</f>
        <v>TR05</v>
      </c>
      <c r="H889" s="20" t="n">
        <f aca="false">IFERROR(INDEX(CADASTRO_PIVOS!$E$6:$E$41,MATCH($E889,CADASTRO_PIVOS!$B$6:$B$41,0)),0)</f>
        <v>149.94</v>
      </c>
      <c r="I889" s="16" t="n">
        <f aca="false">IFERROR(SUMIFS(ROTACAO_RDM!$B$6:$B$71,ROTACAO_RDM!$D$6:$D$71,$E889,ROTACAO_RDM!$I$6:$I$71,"&lt;="&amp;$C889+INT(DIAS_POR_SEMANA/2),ROTACAO_RDM!$J$6:$J$71,"&gt;="&amp;$C889+INT(DIAS_POR_SEMANA/2)),0)</f>
        <v>25</v>
      </c>
      <c r="J889" s="16" t="n">
        <f aca="false">IFERROR(MATCH($I889,ROTACAO_RDM!$B$6:$B$71,0),0)</f>
        <v>25</v>
      </c>
      <c r="K889" s="8" t="str">
        <f aca="false">IF($J889=0,"SEM CULTURA",INDEX(ROTACAO_RDM!$F$6:$F$71,$J889))</f>
        <v>ALGODAO</v>
      </c>
      <c r="L889" s="8" t="str">
        <f aca="false">IF($J889=0,"",INDEX(ROTACAO_RDM!$G$6:$G$71,$J889))</f>
        <v>FM 974 GLT</v>
      </c>
      <c r="M889" s="17" t="n">
        <f aca="false">IF($J889=0,"",INDEX(ROTACAO_RDM!$I$6:$I$71,$J889))</f>
        <v>46356</v>
      </c>
      <c r="N889" s="16" t="n">
        <f aca="false">IF($J889=0,0,MAX(0,$C889+INT(DIAS_POR_SEMANA/2)-INDEX(ROTACAO_RDM!$I$6:$I$71,$J889)))</f>
        <v>87</v>
      </c>
      <c r="O889" s="19" t="n">
        <f aca="false">IF($J889=0,0,MIN(1,$N889/MAX(1,INDEX(ROTACAO_RDM!$K$6:$K$71,$J889))))</f>
        <v>0.446153846153846</v>
      </c>
      <c r="P889" s="16" t="n">
        <f aca="false">IF($J889=0,0,IFERROR(MATCH(INDEX(ROTACAO_RDM!$N$6:$N$71,$J889),PARAMETROS_CULTURAS!$B$6:$B$28,0),0))</f>
        <v>5</v>
      </c>
      <c r="Q889" s="8" t="str">
        <f aca="false">IF($P889=0,"-",IF($O889&lt;=INDEX(PARAMETROS_CULTURAS!$F$6:$F$28,$P889),"INICIAL",IF($O889&lt;=INDEX(PARAMETROS_CULTURAS!$F$6:$F$28,$P889)+INDEX(PARAMETROS_CULTURAS!$G$6:$G$28,$P889),"DESENVOLVIMENTO",IF($O889&lt;=INDEX(PARAMETROS_CULTURAS!$F$6:$F$28,$P889)+INDEX(PARAMETROS_CULTURAS!$G$6:$G$28,$P889)+INDEX(PARAMETROS_CULTURAS!$H$6:$H$28,$P889),"MEDIA","FINAL"))))</f>
        <v>MEDIA</v>
      </c>
      <c r="R889" s="24" t="n">
        <f aca="false">IF($P889=0,0,IF($O889&lt;=INDEX(PARAMETROS_CULTURAS!$F$6:$F$28,$P889),INDEX(PARAMETROS_CULTURAS!$K$6:$K$28,$P889),IF($O889&lt;=INDEX(PARAMETROS_CULTURAS!$F$6:$F$28,$P889)+INDEX(PARAMETROS_CULTURAS!$G$6:$G$28,$P889),INDEX(PARAMETROS_CULTURAS!$K$6:$K$28,$P889)+(INDEX(PARAMETROS_CULTURAS!$L$6:$L$28,$P889)-INDEX(PARAMETROS_CULTURAS!$K$6:$K$28,$P889))*($O889-INDEX(PARAMETROS_CULTURAS!$F$6:$F$28,$P889))/MAX(INDEX(PARAMETROS_CULTURAS!$G$6:$G$28,$P889),0.0001),IF($O889&lt;=INDEX(PARAMETROS_CULTURAS!$F$6:$F$28,$P889)+INDEX(PARAMETROS_CULTURAS!$G$6:$G$28,$P889)+INDEX(PARAMETROS_CULTURAS!$H$6:$H$28,$P889),INDEX(PARAMETROS_CULTURAS!$L$6:$L$28,$P889),INDEX(PARAMETROS_CULTURAS!$L$6:$L$28,$P889)+(INDEX(PARAMETROS_CULTURAS!$M$6:$M$28,$P889)-INDEX(PARAMETROS_CULTURAS!$L$6:$L$28,$P889))*($O889-INDEX(PARAMETROS_CULTURAS!$F$6:$F$28,$P889)-INDEX(PARAMETROS_CULTURAS!$G$6:$G$28,$P889)-INDEX(PARAMETROS_CULTURAS!$H$6:$H$28,$P889))/MAX(INDEX(PARAMETROS_CULTURAS!$I$6:$I$28,$P889),0.0001)))))</f>
        <v>1.15</v>
      </c>
      <c r="S889" s="18" t="n">
        <f aca="false">IFERROR(INDEX(SEMANAS!$H$6:$H$71,MATCH($B889,SEMANAS!$B$6:$B$71,0)),0)</f>
        <v>32.9</v>
      </c>
      <c r="T889" s="18" t="n">
        <f aca="false">$R889*$S889</f>
        <v>37.835</v>
      </c>
      <c r="U889" s="18" t="n">
        <f aca="false">IFERROR(INDEX(SEMANAS!$I$6:$I$71,MATCH($B889,SEMANAS!$B$6:$B$71,0)),0)</f>
        <v>39.97</v>
      </c>
      <c r="V889" s="18" t="n">
        <f aca="false">IFERROR(INDEX(SEMANAS!$J$6:$J$71,MATCH($B889,SEMANAS!$B$6:$B$71,0)),0)</f>
        <v>31.976</v>
      </c>
      <c r="W889" s="18" t="n">
        <f aca="false">MAX(0,$T889-$V889)</f>
        <v>5.85899999999999</v>
      </c>
      <c r="X889" s="19" t="n">
        <f aca="false">IFERROR(INDEX(CADASTRO_PIVOS!$K$6:$K$41,MATCH($E889,CADASTRO_PIVOS!$B$6:$B$41,0)),EFICIENCIA_PADRAO)</f>
        <v>0.85</v>
      </c>
      <c r="Y889" s="18" t="n">
        <f aca="false">IF($X889&lt;=0,0,$W889/$X889)</f>
        <v>6.89294117647058</v>
      </c>
      <c r="Z889" s="16" t="n">
        <f aca="false">$Y889*$H889*MM_PARA_M3_HA</f>
        <v>10335.276</v>
      </c>
      <c r="AA889" s="18" t="n">
        <f aca="false">IFERROR(INDEX(CADASTRO_PIVOS!$I$6:$I$41,MATCH($E889,CADASTRO_PIVOS!$B$6:$B$41,0)),0)</f>
        <v>928.2</v>
      </c>
      <c r="AB889" s="18" t="n">
        <f aca="false">IF($Z889&lt;=0,0,$Z889/$AA889)</f>
        <v>11.1347511312217</v>
      </c>
      <c r="AC889" s="16" t="n">
        <f aca="false">IFERROR(INDEX(SEMANAS!$K$6:$K$71,MATCH($B889,SEMANAS!$B$6:$B$71,0)),0)</f>
        <v>147</v>
      </c>
      <c r="AD889" s="19" t="n">
        <f aca="false">IF($AC889&lt;=0,0,$AB889/$AC889)</f>
        <v>0.0757466063348415</v>
      </c>
      <c r="AE889" s="8" t="str">
        <f aca="false">IF($K889="SEM CULTURA","SEM CULTURA",IF($AA889&lt;=0,"DADO PENDENTE",IF($AD889&gt;LIMITE_CRITICO,"INVIAVEL",IF($AD889&gt;LIMITE_ATENCAO,"CRITICO",IF($AD889&gt;LIMITE_CONFORTAVEL,"ATENCAO","OK")))))</f>
        <v>OK</v>
      </c>
      <c r="AF889" s="8" t="str">
        <f aca="false">$B889&amp;"|"&amp;TEXT($AD889,"0.000000")</f>
        <v>26|0.075747</v>
      </c>
      <c r="AG889" s="18" t="n">
        <f aca="false">IF($K889="SEM CULTURA",0,$T889*$H889)</f>
        <v>5672.9799</v>
      </c>
      <c r="AH889" s="18" t="n">
        <f aca="false">IF($K889="SEM CULTURA",0,$V889*$H889)</f>
        <v>4794.48144</v>
      </c>
      <c r="AI889" s="18" t="n">
        <f aca="false">IF($K889="SEM CULTURA",0,$W889*$H889)</f>
        <v>878.498459999999</v>
      </c>
      <c r="AJ889" s="18" t="n">
        <f aca="false">IF($K889="SEM CULTURA",0,$S889*$H889)</f>
        <v>4933.026</v>
      </c>
      <c r="AK889" s="8" t="str">
        <f aca="false">$E889&amp;"|"&amp;TEXT($AD889,"0.000000")</f>
        <v>PV 115|0.075747</v>
      </c>
    </row>
    <row r="890" customFormat="false" ht="15" hidden="false" customHeight="false" outlineLevel="0" collapsed="false">
      <c r="B890" s="16" t="n">
        <v>27</v>
      </c>
      <c r="C890" s="17" t="n">
        <f aca="false">DATA_INICIO_SAFRA+($B890-1)*DIAS_POR_SEMANA</f>
        <v>46447</v>
      </c>
      <c r="D890" s="17" t="n">
        <f aca="false">$C890+DIAS_POR_SEMANA-1</f>
        <v>46453</v>
      </c>
      <c r="E890" s="15" t="s">
        <v>272</v>
      </c>
      <c r="F890" s="8" t="str">
        <f aca="false">IFERROR(INDEX(CADASTRO_PIVOS!$C$6:$C$41,MATCH($E890,CADASTRO_PIVOS!$B$6:$B$41,0)),"?")</f>
        <v>RM05</v>
      </c>
      <c r="G890" s="8" t="str">
        <f aca="false">IFERROR(INDEX(CADASTRO_PIVOS!$D$6:$D$41,MATCH($E890,CADASTRO_PIVOS!$B$6:$B$41,0)),"?")</f>
        <v>TR05</v>
      </c>
      <c r="H890" s="20" t="n">
        <f aca="false">IFERROR(INDEX(CADASTRO_PIVOS!$E$6:$E$41,MATCH($E890,CADASTRO_PIVOS!$B$6:$B$41,0)),0)</f>
        <v>149.94</v>
      </c>
      <c r="I890" s="16" t="n">
        <f aca="false">IFERROR(SUMIFS(ROTACAO_RDM!$B$6:$B$71,ROTACAO_RDM!$D$6:$D$71,$E890,ROTACAO_RDM!$I$6:$I$71,"&lt;="&amp;$C890+INT(DIAS_POR_SEMANA/2),ROTACAO_RDM!$J$6:$J$71,"&gt;="&amp;$C890+INT(DIAS_POR_SEMANA/2)),0)</f>
        <v>25</v>
      </c>
      <c r="J890" s="16" t="n">
        <f aca="false">IFERROR(MATCH($I890,ROTACAO_RDM!$B$6:$B$71,0),0)</f>
        <v>25</v>
      </c>
      <c r="K890" s="8" t="str">
        <f aca="false">IF($J890=0,"SEM CULTURA",INDEX(ROTACAO_RDM!$F$6:$F$71,$J890))</f>
        <v>ALGODAO</v>
      </c>
      <c r="L890" s="8" t="str">
        <f aca="false">IF($J890=0,"",INDEX(ROTACAO_RDM!$G$6:$G$71,$J890))</f>
        <v>FM 974 GLT</v>
      </c>
      <c r="M890" s="17" t="n">
        <f aca="false">IF($J890=0,"",INDEX(ROTACAO_RDM!$I$6:$I$71,$J890))</f>
        <v>46356</v>
      </c>
      <c r="N890" s="16" t="n">
        <f aca="false">IF($J890=0,0,MAX(0,$C890+INT(DIAS_POR_SEMANA/2)-INDEX(ROTACAO_RDM!$I$6:$I$71,$J890)))</f>
        <v>94</v>
      </c>
      <c r="O890" s="19" t="n">
        <f aca="false">IF($J890=0,0,MIN(1,$N890/MAX(1,INDEX(ROTACAO_RDM!$K$6:$K$71,$J890))))</f>
        <v>0.482051282051282</v>
      </c>
      <c r="P890" s="16" t="n">
        <f aca="false">IF($J890=0,0,IFERROR(MATCH(INDEX(ROTACAO_RDM!$N$6:$N$71,$J890),PARAMETROS_CULTURAS!$B$6:$B$28,0),0))</f>
        <v>5</v>
      </c>
      <c r="Q890" s="8" t="str">
        <f aca="false">IF($P890=0,"-",IF($O890&lt;=INDEX(PARAMETROS_CULTURAS!$F$6:$F$28,$P890),"INICIAL",IF($O890&lt;=INDEX(PARAMETROS_CULTURAS!$F$6:$F$28,$P890)+INDEX(PARAMETROS_CULTURAS!$G$6:$G$28,$P890),"DESENVOLVIMENTO",IF($O890&lt;=INDEX(PARAMETROS_CULTURAS!$F$6:$F$28,$P890)+INDEX(PARAMETROS_CULTURAS!$G$6:$G$28,$P890)+INDEX(PARAMETROS_CULTURAS!$H$6:$H$28,$P890),"MEDIA","FINAL"))))</f>
        <v>MEDIA</v>
      </c>
      <c r="R890" s="24" t="n">
        <f aca="false">IF($P890=0,0,IF($O890&lt;=INDEX(PARAMETROS_CULTURAS!$F$6:$F$28,$P890),INDEX(PARAMETROS_CULTURAS!$K$6:$K$28,$P890),IF($O890&lt;=INDEX(PARAMETROS_CULTURAS!$F$6:$F$28,$P890)+INDEX(PARAMETROS_CULTURAS!$G$6:$G$28,$P890),INDEX(PARAMETROS_CULTURAS!$K$6:$K$28,$P890)+(INDEX(PARAMETROS_CULTURAS!$L$6:$L$28,$P890)-INDEX(PARAMETROS_CULTURAS!$K$6:$K$28,$P890))*($O890-INDEX(PARAMETROS_CULTURAS!$F$6:$F$28,$P890))/MAX(INDEX(PARAMETROS_CULTURAS!$G$6:$G$28,$P890),0.0001),IF($O890&lt;=INDEX(PARAMETROS_CULTURAS!$F$6:$F$28,$P890)+INDEX(PARAMETROS_CULTURAS!$G$6:$G$28,$P890)+INDEX(PARAMETROS_CULTURAS!$H$6:$H$28,$P890),INDEX(PARAMETROS_CULTURAS!$L$6:$L$28,$P890),INDEX(PARAMETROS_CULTURAS!$L$6:$L$28,$P890)+(INDEX(PARAMETROS_CULTURAS!$M$6:$M$28,$P890)-INDEX(PARAMETROS_CULTURAS!$L$6:$L$28,$P890))*($O890-INDEX(PARAMETROS_CULTURAS!$F$6:$F$28,$P890)-INDEX(PARAMETROS_CULTURAS!$G$6:$G$28,$P890)-INDEX(PARAMETROS_CULTURAS!$H$6:$H$28,$P890))/MAX(INDEX(PARAMETROS_CULTURAS!$I$6:$I$28,$P890),0.0001)))))</f>
        <v>1.15</v>
      </c>
      <c r="S890" s="18" t="n">
        <f aca="false">IFERROR(INDEX(SEMANAS!$H$6:$H$71,MATCH($B890,SEMANAS!$B$6:$B$71,0)),0)</f>
        <v>32.2</v>
      </c>
      <c r="T890" s="18" t="n">
        <f aca="false">$R890*$S890</f>
        <v>37.03</v>
      </c>
      <c r="U890" s="18" t="n">
        <f aca="false">IFERROR(INDEX(SEMANAS!$I$6:$I$71,MATCH($B890,SEMANAS!$B$6:$B$71,0)),0)</f>
        <v>37.24</v>
      </c>
      <c r="V890" s="18" t="n">
        <f aca="false">IFERROR(INDEX(SEMANAS!$J$6:$J$71,MATCH($B890,SEMANAS!$B$6:$B$71,0)),0)</f>
        <v>29.792</v>
      </c>
      <c r="W890" s="18" t="n">
        <f aca="false">MAX(0,$T890-$V890)</f>
        <v>7.23799999999999</v>
      </c>
      <c r="X890" s="19" t="n">
        <f aca="false">IFERROR(INDEX(CADASTRO_PIVOS!$K$6:$K$41,MATCH($E890,CADASTRO_PIVOS!$B$6:$B$41,0)),EFICIENCIA_PADRAO)</f>
        <v>0.85</v>
      </c>
      <c r="Y890" s="18" t="n">
        <f aca="false">IF($X890&lt;=0,0,$W890/$X890)</f>
        <v>8.51529411764705</v>
      </c>
      <c r="Z890" s="16" t="n">
        <f aca="false">$Y890*$H890*MM_PARA_M3_HA</f>
        <v>12767.832</v>
      </c>
      <c r="AA890" s="18" t="n">
        <f aca="false">IFERROR(INDEX(CADASTRO_PIVOS!$I$6:$I$41,MATCH($E890,CADASTRO_PIVOS!$B$6:$B$41,0)),0)</f>
        <v>928.2</v>
      </c>
      <c r="AB890" s="18" t="n">
        <f aca="false">IF($Z890&lt;=0,0,$Z890/$AA890)</f>
        <v>13.7554751131222</v>
      </c>
      <c r="AC890" s="16" t="n">
        <f aca="false">IFERROR(INDEX(SEMANAS!$K$6:$K$71,MATCH($B890,SEMANAS!$B$6:$B$71,0)),0)</f>
        <v>147</v>
      </c>
      <c r="AD890" s="19" t="n">
        <f aca="false">IF($AC890&lt;=0,0,$AB890/$AC890)</f>
        <v>0.0935746606334841</v>
      </c>
      <c r="AE890" s="8" t="str">
        <f aca="false">IF($K890="SEM CULTURA","SEM CULTURA",IF($AA890&lt;=0,"DADO PENDENTE",IF($AD890&gt;LIMITE_CRITICO,"INVIAVEL",IF($AD890&gt;LIMITE_ATENCAO,"CRITICO",IF($AD890&gt;LIMITE_CONFORTAVEL,"ATENCAO","OK")))))</f>
        <v>OK</v>
      </c>
      <c r="AF890" s="8" t="str">
        <f aca="false">$B890&amp;"|"&amp;TEXT($AD890,"0.000000")</f>
        <v>27|0.093575</v>
      </c>
      <c r="AG890" s="18" t="n">
        <f aca="false">IF($K890="SEM CULTURA",0,$T890*$H890)</f>
        <v>5552.2782</v>
      </c>
      <c r="AH890" s="18" t="n">
        <f aca="false">IF($K890="SEM CULTURA",0,$V890*$H890)</f>
        <v>4467.01248</v>
      </c>
      <c r="AI890" s="18" t="n">
        <f aca="false">IF($K890="SEM CULTURA",0,$W890*$H890)</f>
        <v>1085.26572</v>
      </c>
      <c r="AJ890" s="18" t="n">
        <f aca="false">IF($K890="SEM CULTURA",0,$S890*$H890)</f>
        <v>4828.068</v>
      </c>
      <c r="AK890" s="8" t="str">
        <f aca="false">$E890&amp;"|"&amp;TEXT($AD890,"0.000000")</f>
        <v>PV 115|0.093575</v>
      </c>
    </row>
    <row r="891" customFormat="false" ht="15" hidden="false" customHeight="false" outlineLevel="0" collapsed="false">
      <c r="B891" s="16" t="n">
        <v>28</v>
      </c>
      <c r="C891" s="17" t="n">
        <f aca="false">DATA_INICIO_SAFRA+($B891-1)*DIAS_POR_SEMANA</f>
        <v>46454</v>
      </c>
      <c r="D891" s="17" t="n">
        <f aca="false">$C891+DIAS_POR_SEMANA-1</f>
        <v>46460</v>
      </c>
      <c r="E891" s="15" t="s">
        <v>272</v>
      </c>
      <c r="F891" s="8" t="str">
        <f aca="false">IFERROR(INDEX(CADASTRO_PIVOS!$C$6:$C$41,MATCH($E891,CADASTRO_PIVOS!$B$6:$B$41,0)),"?")</f>
        <v>RM05</v>
      </c>
      <c r="G891" s="8" t="str">
        <f aca="false">IFERROR(INDEX(CADASTRO_PIVOS!$D$6:$D$41,MATCH($E891,CADASTRO_PIVOS!$B$6:$B$41,0)),"?")</f>
        <v>TR05</v>
      </c>
      <c r="H891" s="20" t="n">
        <f aca="false">IFERROR(INDEX(CADASTRO_PIVOS!$E$6:$E$41,MATCH($E891,CADASTRO_PIVOS!$B$6:$B$41,0)),0)</f>
        <v>149.94</v>
      </c>
      <c r="I891" s="16" t="n">
        <f aca="false">IFERROR(SUMIFS(ROTACAO_RDM!$B$6:$B$71,ROTACAO_RDM!$D$6:$D$71,$E891,ROTACAO_RDM!$I$6:$I$71,"&lt;="&amp;$C891+INT(DIAS_POR_SEMANA/2),ROTACAO_RDM!$J$6:$J$71,"&gt;="&amp;$C891+INT(DIAS_POR_SEMANA/2)),0)</f>
        <v>25</v>
      </c>
      <c r="J891" s="16" t="n">
        <f aca="false">IFERROR(MATCH($I891,ROTACAO_RDM!$B$6:$B$71,0),0)</f>
        <v>25</v>
      </c>
      <c r="K891" s="8" t="str">
        <f aca="false">IF($J891=0,"SEM CULTURA",INDEX(ROTACAO_RDM!$F$6:$F$71,$J891))</f>
        <v>ALGODAO</v>
      </c>
      <c r="L891" s="8" t="str">
        <f aca="false">IF($J891=0,"",INDEX(ROTACAO_RDM!$G$6:$G$71,$J891))</f>
        <v>FM 974 GLT</v>
      </c>
      <c r="M891" s="17" t="n">
        <f aca="false">IF($J891=0,"",INDEX(ROTACAO_RDM!$I$6:$I$71,$J891))</f>
        <v>46356</v>
      </c>
      <c r="N891" s="16" t="n">
        <f aca="false">IF($J891=0,0,MAX(0,$C891+INT(DIAS_POR_SEMANA/2)-INDEX(ROTACAO_RDM!$I$6:$I$71,$J891)))</f>
        <v>101</v>
      </c>
      <c r="O891" s="19" t="n">
        <f aca="false">IF($J891=0,0,MIN(1,$N891/MAX(1,INDEX(ROTACAO_RDM!$K$6:$K$71,$J891))))</f>
        <v>0.517948717948718</v>
      </c>
      <c r="P891" s="16" t="n">
        <f aca="false">IF($J891=0,0,IFERROR(MATCH(INDEX(ROTACAO_RDM!$N$6:$N$71,$J891),PARAMETROS_CULTURAS!$B$6:$B$28,0),0))</f>
        <v>5</v>
      </c>
      <c r="Q891" s="8" t="str">
        <f aca="false">IF($P891=0,"-",IF($O891&lt;=INDEX(PARAMETROS_CULTURAS!$F$6:$F$28,$P891),"INICIAL",IF($O891&lt;=INDEX(PARAMETROS_CULTURAS!$F$6:$F$28,$P891)+INDEX(PARAMETROS_CULTURAS!$G$6:$G$28,$P891),"DESENVOLVIMENTO",IF($O891&lt;=INDEX(PARAMETROS_CULTURAS!$F$6:$F$28,$P891)+INDEX(PARAMETROS_CULTURAS!$G$6:$G$28,$P891)+INDEX(PARAMETROS_CULTURAS!$H$6:$H$28,$P891),"MEDIA","FINAL"))))</f>
        <v>MEDIA</v>
      </c>
      <c r="R891" s="24" t="n">
        <f aca="false">IF($P891=0,0,IF($O891&lt;=INDEX(PARAMETROS_CULTURAS!$F$6:$F$28,$P891),INDEX(PARAMETROS_CULTURAS!$K$6:$K$28,$P891),IF($O891&lt;=INDEX(PARAMETROS_CULTURAS!$F$6:$F$28,$P891)+INDEX(PARAMETROS_CULTURAS!$G$6:$G$28,$P891),INDEX(PARAMETROS_CULTURAS!$K$6:$K$28,$P891)+(INDEX(PARAMETROS_CULTURAS!$L$6:$L$28,$P891)-INDEX(PARAMETROS_CULTURAS!$K$6:$K$28,$P891))*($O891-INDEX(PARAMETROS_CULTURAS!$F$6:$F$28,$P891))/MAX(INDEX(PARAMETROS_CULTURAS!$G$6:$G$28,$P891),0.0001),IF($O891&lt;=INDEX(PARAMETROS_CULTURAS!$F$6:$F$28,$P891)+INDEX(PARAMETROS_CULTURAS!$G$6:$G$28,$P891)+INDEX(PARAMETROS_CULTURAS!$H$6:$H$28,$P891),INDEX(PARAMETROS_CULTURAS!$L$6:$L$28,$P891),INDEX(PARAMETROS_CULTURAS!$L$6:$L$28,$P891)+(INDEX(PARAMETROS_CULTURAS!$M$6:$M$28,$P891)-INDEX(PARAMETROS_CULTURAS!$L$6:$L$28,$P891))*($O891-INDEX(PARAMETROS_CULTURAS!$F$6:$F$28,$P891)-INDEX(PARAMETROS_CULTURAS!$G$6:$G$28,$P891)-INDEX(PARAMETROS_CULTURAS!$H$6:$H$28,$P891))/MAX(INDEX(PARAMETROS_CULTURAS!$I$6:$I$28,$P891),0.0001)))))</f>
        <v>1.15</v>
      </c>
      <c r="S891" s="18" t="n">
        <f aca="false">IFERROR(INDEX(SEMANAS!$H$6:$H$71,MATCH($B891,SEMANAS!$B$6:$B$71,0)),0)</f>
        <v>32.2</v>
      </c>
      <c r="T891" s="18" t="n">
        <f aca="false">$R891*$S891</f>
        <v>37.03</v>
      </c>
      <c r="U891" s="18" t="n">
        <f aca="false">IFERROR(INDEX(SEMANAS!$I$6:$I$71,MATCH($B891,SEMANAS!$B$6:$B$71,0)),0)</f>
        <v>37.24</v>
      </c>
      <c r="V891" s="18" t="n">
        <f aca="false">IFERROR(INDEX(SEMANAS!$J$6:$J$71,MATCH($B891,SEMANAS!$B$6:$B$71,0)),0)</f>
        <v>29.792</v>
      </c>
      <c r="W891" s="18" t="n">
        <f aca="false">MAX(0,$T891-$V891)</f>
        <v>7.23799999999999</v>
      </c>
      <c r="X891" s="19" t="n">
        <f aca="false">IFERROR(INDEX(CADASTRO_PIVOS!$K$6:$K$41,MATCH($E891,CADASTRO_PIVOS!$B$6:$B$41,0)),EFICIENCIA_PADRAO)</f>
        <v>0.85</v>
      </c>
      <c r="Y891" s="18" t="n">
        <f aca="false">IF($X891&lt;=0,0,$W891/$X891)</f>
        <v>8.51529411764705</v>
      </c>
      <c r="Z891" s="16" t="n">
        <f aca="false">$Y891*$H891*MM_PARA_M3_HA</f>
        <v>12767.832</v>
      </c>
      <c r="AA891" s="18" t="n">
        <f aca="false">IFERROR(INDEX(CADASTRO_PIVOS!$I$6:$I$41,MATCH($E891,CADASTRO_PIVOS!$B$6:$B$41,0)),0)</f>
        <v>928.2</v>
      </c>
      <c r="AB891" s="18" t="n">
        <f aca="false">IF($Z891&lt;=0,0,$Z891/$AA891)</f>
        <v>13.7554751131222</v>
      </c>
      <c r="AC891" s="16" t="n">
        <f aca="false">IFERROR(INDEX(SEMANAS!$K$6:$K$71,MATCH($B891,SEMANAS!$B$6:$B$71,0)),0)</f>
        <v>147</v>
      </c>
      <c r="AD891" s="19" t="n">
        <f aca="false">IF($AC891&lt;=0,0,$AB891/$AC891)</f>
        <v>0.0935746606334841</v>
      </c>
      <c r="AE891" s="8" t="str">
        <f aca="false">IF($K891="SEM CULTURA","SEM CULTURA",IF($AA891&lt;=0,"DADO PENDENTE",IF($AD891&gt;LIMITE_CRITICO,"INVIAVEL",IF($AD891&gt;LIMITE_ATENCAO,"CRITICO",IF($AD891&gt;LIMITE_CONFORTAVEL,"ATENCAO","OK")))))</f>
        <v>OK</v>
      </c>
      <c r="AF891" s="8" t="str">
        <f aca="false">$B891&amp;"|"&amp;TEXT($AD891,"0.000000")</f>
        <v>28|0.093575</v>
      </c>
      <c r="AG891" s="18" t="n">
        <f aca="false">IF($K891="SEM CULTURA",0,$T891*$H891)</f>
        <v>5552.2782</v>
      </c>
      <c r="AH891" s="18" t="n">
        <f aca="false">IF($K891="SEM CULTURA",0,$V891*$H891)</f>
        <v>4467.01248</v>
      </c>
      <c r="AI891" s="18" t="n">
        <f aca="false">IF($K891="SEM CULTURA",0,$W891*$H891)</f>
        <v>1085.26572</v>
      </c>
      <c r="AJ891" s="18" t="n">
        <f aca="false">IF($K891="SEM CULTURA",0,$S891*$H891)</f>
        <v>4828.068</v>
      </c>
      <c r="AK891" s="8" t="str">
        <f aca="false">$E891&amp;"|"&amp;TEXT($AD891,"0.000000")</f>
        <v>PV 115|0.093575</v>
      </c>
    </row>
    <row r="892" customFormat="false" ht="15" hidden="false" customHeight="false" outlineLevel="0" collapsed="false">
      <c r="B892" s="16" t="n">
        <v>29</v>
      </c>
      <c r="C892" s="17" t="n">
        <f aca="false">DATA_INICIO_SAFRA+($B892-1)*DIAS_POR_SEMANA</f>
        <v>46461</v>
      </c>
      <c r="D892" s="17" t="n">
        <f aca="false">$C892+DIAS_POR_SEMANA-1</f>
        <v>46467</v>
      </c>
      <c r="E892" s="15" t="s">
        <v>272</v>
      </c>
      <c r="F892" s="8" t="str">
        <f aca="false">IFERROR(INDEX(CADASTRO_PIVOS!$C$6:$C$41,MATCH($E892,CADASTRO_PIVOS!$B$6:$B$41,0)),"?")</f>
        <v>RM05</v>
      </c>
      <c r="G892" s="8" t="str">
        <f aca="false">IFERROR(INDEX(CADASTRO_PIVOS!$D$6:$D$41,MATCH($E892,CADASTRO_PIVOS!$B$6:$B$41,0)),"?")</f>
        <v>TR05</v>
      </c>
      <c r="H892" s="20" t="n">
        <f aca="false">IFERROR(INDEX(CADASTRO_PIVOS!$E$6:$E$41,MATCH($E892,CADASTRO_PIVOS!$B$6:$B$41,0)),0)</f>
        <v>149.94</v>
      </c>
      <c r="I892" s="16" t="n">
        <f aca="false">IFERROR(SUMIFS(ROTACAO_RDM!$B$6:$B$71,ROTACAO_RDM!$D$6:$D$71,$E892,ROTACAO_RDM!$I$6:$I$71,"&lt;="&amp;$C892+INT(DIAS_POR_SEMANA/2),ROTACAO_RDM!$J$6:$J$71,"&gt;="&amp;$C892+INT(DIAS_POR_SEMANA/2)),0)</f>
        <v>25</v>
      </c>
      <c r="J892" s="16" t="n">
        <f aca="false">IFERROR(MATCH($I892,ROTACAO_RDM!$B$6:$B$71,0),0)</f>
        <v>25</v>
      </c>
      <c r="K892" s="8" t="str">
        <f aca="false">IF($J892=0,"SEM CULTURA",INDEX(ROTACAO_RDM!$F$6:$F$71,$J892))</f>
        <v>ALGODAO</v>
      </c>
      <c r="L892" s="8" t="str">
        <f aca="false">IF($J892=0,"",INDEX(ROTACAO_RDM!$G$6:$G$71,$J892))</f>
        <v>FM 974 GLT</v>
      </c>
      <c r="M892" s="17" t="n">
        <f aca="false">IF($J892=0,"",INDEX(ROTACAO_RDM!$I$6:$I$71,$J892))</f>
        <v>46356</v>
      </c>
      <c r="N892" s="16" t="n">
        <f aca="false">IF($J892=0,0,MAX(0,$C892+INT(DIAS_POR_SEMANA/2)-INDEX(ROTACAO_RDM!$I$6:$I$71,$J892)))</f>
        <v>108</v>
      </c>
      <c r="O892" s="19" t="n">
        <f aca="false">IF($J892=0,0,MIN(1,$N892/MAX(1,INDEX(ROTACAO_RDM!$K$6:$K$71,$J892))))</f>
        <v>0.553846153846154</v>
      </c>
      <c r="P892" s="16" t="n">
        <f aca="false">IF($J892=0,0,IFERROR(MATCH(INDEX(ROTACAO_RDM!$N$6:$N$71,$J892),PARAMETROS_CULTURAS!$B$6:$B$28,0),0))</f>
        <v>5</v>
      </c>
      <c r="Q892" s="8" t="str">
        <f aca="false">IF($P892=0,"-",IF($O892&lt;=INDEX(PARAMETROS_CULTURAS!$F$6:$F$28,$P892),"INICIAL",IF($O892&lt;=INDEX(PARAMETROS_CULTURAS!$F$6:$F$28,$P892)+INDEX(PARAMETROS_CULTURAS!$G$6:$G$28,$P892),"DESENVOLVIMENTO",IF($O892&lt;=INDEX(PARAMETROS_CULTURAS!$F$6:$F$28,$P892)+INDEX(PARAMETROS_CULTURAS!$G$6:$G$28,$P892)+INDEX(PARAMETROS_CULTURAS!$H$6:$H$28,$P892),"MEDIA","FINAL"))))</f>
        <v>MEDIA</v>
      </c>
      <c r="R892" s="24" t="n">
        <f aca="false">IF($P892=0,0,IF($O892&lt;=INDEX(PARAMETROS_CULTURAS!$F$6:$F$28,$P892),INDEX(PARAMETROS_CULTURAS!$K$6:$K$28,$P892),IF($O892&lt;=INDEX(PARAMETROS_CULTURAS!$F$6:$F$28,$P892)+INDEX(PARAMETROS_CULTURAS!$G$6:$G$28,$P892),INDEX(PARAMETROS_CULTURAS!$K$6:$K$28,$P892)+(INDEX(PARAMETROS_CULTURAS!$L$6:$L$28,$P892)-INDEX(PARAMETROS_CULTURAS!$K$6:$K$28,$P892))*($O892-INDEX(PARAMETROS_CULTURAS!$F$6:$F$28,$P892))/MAX(INDEX(PARAMETROS_CULTURAS!$G$6:$G$28,$P892),0.0001),IF($O892&lt;=INDEX(PARAMETROS_CULTURAS!$F$6:$F$28,$P892)+INDEX(PARAMETROS_CULTURAS!$G$6:$G$28,$P892)+INDEX(PARAMETROS_CULTURAS!$H$6:$H$28,$P892),INDEX(PARAMETROS_CULTURAS!$L$6:$L$28,$P892),INDEX(PARAMETROS_CULTURAS!$L$6:$L$28,$P892)+(INDEX(PARAMETROS_CULTURAS!$M$6:$M$28,$P892)-INDEX(PARAMETROS_CULTURAS!$L$6:$L$28,$P892))*($O892-INDEX(PARAMETROS_CULTURAS!$F$6:$F$28,$P892)-INDEX(PARAMETROS_CULTURAS!$G$6:$G$28,$P892)-INDEX(PARAMETROS_CULTURAS!$H$6:$H$28,$P892))/MAX(INDEX(PARAMETROS_CULTURAS!$I$6:$I$28,$P892),0.0001)))))</f>
        <v>1.15</v>
      </c>
      <c r="S892" s="18" t="n">
        <f aca="false">IFERROR(INDEX(SEMANAS!$H$6:$H$71,MATCH($B892,SEMANAS!$B$6:$B$71,0)),0)</f>
        <v>32.2</v>
      </c>
      <c r="T892" s="18" t="n">
        <f aca="false">$R892*$S892</f>
        <v>37.03</v>
      </c>
      <c r="U892" s="18" t="n">
        <f aca="false">IFERROR(INDEX(SEMANAS!$I$6:$I$71,MATCH($B892,SEMANAS!$B$6:$B$71,0)),0)</f>
        <v>37.24</v>
      </c>
      <c r="V892" s="18" t="n">
        <f aca="false">IFERROR(INDEX(SEMANAS!$J$6:$J$71,MATCH($B892,SEMANAS!$B$6:$B$71,0)),0)</f>
        <v>29.792</v>
      </c>
      <c r="W892" s="18" t="n">
        <f aca="false">MAX(0,$T892-$V892)</f>
        <v>7.23799999999999</v>
      </c>
      <c r="X892" s="19" t="n">
        <f aca="false">IFERROR(INDEX(CADASTRO_PIVOS!$K$6:$K$41,MATCH($E892,CADASTRO_PIVOS!$B$6:$B$41,0)),EFICIENCIA_PADRAO)</f>
        <v>0.85</v>
      </c>
      <c r="Y892" s="18" t="n">
        <f aca="false">IF($X892&lt;=0,0,$W892/$X892)</f>
        <v>8.51529411764705</v>
      </c>
      <c r="Z892" s="16" t="n">
        <f aca="false">$Y892*$H892*MM_PARA_M3_HA</f>
        <v>12767.832</v>
      </c>
      <c r="AA892" s="18" t="n">
        <f aca="false">IFERROR(INDEX(CADASTRO_PIVOS!$I$6:$I$41,MATCH($E892,CADASTRO_PIVOS!$B$6:$B$41,0)),0)</f>
        <v>928.2</v>
      </c>
      <c r="AB892" s="18" t="n">
        <f aca="false">IF($Z892&lt;=0,0,$Z892/$AA892)</f>
        <v>13.7554751131222</v>
      </c>
      <c r="AC892" s="16" t="n">
        <f aca="false">IFERROR(INDEX(SEMANAS!$K$6:$K$71,MATCH($B892,SEMANAS!$B$6:$B$71,0)),0)</f>
        <v>147</v>
      </c>
      <c r="AD892" s="19" t="n">
        <f aca="false">IF($AC892&lt;=0,0,$AB892/$AC892)</f>
        <v>0.0935746606334841</v>
      </c>
      <c r="AE892" s="8" t="str">
        <f aca="false">IF($K892="SEM CULTURA","SEM CULTURA",IF($AA892&lt;=0,"DADO PENDENTE",IF($AD892&gt;LIMITE_CRITICO,"INVIAVEL",IF($AD892&gt;LIMITE_ATENCAO,"CRITICO",IF($AD892&gt;LIMITE_CONFORTAVEL,"ATENCAO","OK")))))</f>
        <v>OK</v>
      </c>
      <c r="AF892" s="8" t="str">
        <f aca="false">$B892&amp;"|"&amp;TEXT($AD892,"0.000000")</f>
        <v>29|0.093575</v>
      </c>
      <c r="AG892" s="18" t="n">
        <f aca="false">IF($K892="SEM CULTURA",0,$T892*$H892)</f>
        <v>5552.2782</v>
      </c>
      <c r="AH892" s="18" t="n">
        <f aca="false">IF($K892="SEM CULTURA",0,$V892*$H892)</f>
        <v>4467.01248</v>
      </c>
      <c r="AI892" s="18" t="n">
        <f aca="false">IF($K892="SEM CULTURA",0,$W892*$H892)</f>
        <v>1085.26572</v>
      </c>
      <c r="AJ892" s="18" t="n">
        <f aca="false">IF($K892="SEM CULTURA",0,$S892*$H892)</f>
        <v>4828.068</v>
      </c>
      <c r="AK892" s="8" t="str">
        <f aca="false">$E892&amp;"|"&amp;TEXT($AD892,"0.000000")</f>
        <v>PV 115|0.093575</v>
      </c>
    </row>
    <row r="893" customFormat="false" ht="15" hidden="false" customHeight="false" outlineLevel="0" collapsed="false">
      <c r="B893" s="16" t="n">
        <v>30</v>
      </c>
      <c r="C893" s="17" t="n">
        <f aca="false">DATA_INICIO_SAFRA+($B893-1)*DIAS_POR_SEMANA</f>
        <v>46468</v>
      </c>
      <c r="D893" s="17" t="n">
        <f aca="false">$C893+DIAS_POR_SEMANA-1</f>
        <v>46474</v>
      </c>
      <c r="E893" s="15" t="s">
        <v>272</v>
      </c>
      <c r="F893" s="8" t="str">
        <f aca="false">IFERROR(INDEX(CADASTRO_PIVOS!$C$6:$C$41,MATCH($E893,CADASTRO_PIVOS!$B$6:$B$41,0)),"?")</f>
        <v>RM05</v>
      </c>
      <c r="G893" s="8" t="str">
        <f aca="false">IFERROR(INDEX(CADASTRO_PIVOS!$D$6:$D$41,MATCH($E893,CADASTRO_PIVOS!$B$6:$B$41,0)),"?")</f>
        <v>TR05</v>
      </c>
      <c r="H893" s="20" t="n">
        <f aca="false">IFERROR(INDEX(CADASTRO_PIVOS!$E$6:$E$41,MATCH($E893,CADASTRO_PIVOS!$B$6:$B$41,0)),0)</f>
        <v>149.94</v>
      </c>
      <c r="I893" s="16" t="n">
        <f aca="false">IFERROR(SUMIFS(ROTACAO_RDM!$B$6:$B$71,ROTACAO_RDM!$D$6:$D$71,$E893,ROTACAO_RDM!$I$6:$I$71,"&lt;="&amp;$C893+INT(DIAS_POR_SEMANA/2),ROTACAO_RDM!$J$6:$J$71,"&gt;="&amp;$C893+INT(DIAS_POR_SEMANA/2)),0)</f>
        <v>25</v>
      </c>
      <c r="J893" s="16" t="n">
        <f aca="false">IFERROR(MATCH($I893,ROTACAO_RDM!$B$6:$B$71,0),0)</f>
        <v>25</v>
      </c>
      <c r="K893" s="8" t="str">
        <f aca="false">IF($J893=0,"SEM CULTURA",INDEX(ROTACAO_RDM!$F$6:$F$71,$J893))</f>
        <v>ALGODAO</v>
      </c>
      <c r="L893" s="8" t="str">
        <f aca="false">IF($J893=0,"",INDEX(ROTACAO_RDM!$G$6:$G$71,$J893))</f>
        <v>FM 974 GLT</v>
      </c>
      <c r="M893" s="17" t="n">
        <f aca="false">IF($J893=0,"",INDEX(ROTACAO_RDM!$I$6:$I$71,$J893))</f>
        <v>46356</v>
      </c>
      <c r="N893" s="16" t="n">
        <f aca="false">IF($J893=0,0,MAX(0,$C893+INT(DIAS_POR_SEMANA/2)-INDEX(ROTACAO_RDM!$I$6:$I$71,$J893)))</f>
        <v>115</v>
      </c>
      <c r="O893" s="19" t="n">
        <f aca="false">IF($J893=0,0,MIN(1,$N893/MAX(1,INDEX(ROTACAO_RDM!$K$6:$K$71,$J893))))</f>
        <v>0.58974358974359</v>
      </c>
      <c r="P893" s="16" t="n">
        <f aca="false">IF($J893=0,0,IFERROR(MATCH(INDEX(ROTACAO_RDM!$N$6:$N$71,$J893),PARAMETROS_CULTURAS!$B$6:$B$28,0),0))</f>
        <v>5</v>
      </c>
      <c r="Q893" s="8" t="str">
        <f aca="false">IF($P893=0,"-",IF($O893&lt;=INDEX(PARAMETROS_CULTURAS!$F$6:$F$28,$P893),"INICIAL",IF($O893&lt;=INDEX(PARAMETROS_CULTURAS!$F$6:$F$28,$P893)+INDEX(PARAMETROS_CULTURAS!$G$6:$G$28,$P893),"DESENVOLVIMENTO",IF($O893&lt;=INDEX(PARAMETROS_CULTURAS!$F$6:$F$28,$P893)+INDEX(PARAMETROS_CULTURAS!$G$6:$G$28,$P893)+INDEX(PARAMETROS_CULTURAS!$H$6:$H$28,$P893),"MEDIA","FINAL"))))</f>
        <v>MEDIA</v>
      </c>
      <c r="R893" s="24" t="n">
        <f aca="false">IF($P893=0,0,IF($O893&lt;=INDEX(PARAMETROS_CULTURAS!$F$6:$F$28,$P893),INDEX(PARAMETROS_CULTURAS!$K$6:$K$28,$P893),IF($O893&lt;=INDEX(PARAMETROS_CULTURAS!$F$6:$F$28,$P893)+INDEX(PARAMETROS_CULTURAS!$G$6:$G$28,$P893),INDEX(PARAMETROS_CULTURAS!$K$6:$K$28,$P893)+(INDEX(PARAMETROS_CULTURAS!$L$6:$L$28,$P893)-INDEX(PARAMETROS_CULTURAS!$K$6:$K$28,$P893))*($O893-INDEX(PARAMETROS_CULTURAS!$F$6:$F$28,$P893))/MAX(INDEX(PARAMETROS_CULTURAS!$G$6:$G$28,$P893),0.0001),IF($O893&lt;=INDEX(PARAMETROS_CULTURAS!$F$6:$F$28,$P893)+INDEX(PARAMETROS_CULTURAS!$G$6:$G$28,$P893)+INDEX(PARAMETROS_CULTURAS!$H$6:$H$28,$P893),INDEX(PARAMETROS_CULTURAS!$L$6:$L$28,$P893),INDEX(PARAMETROS_CULTURAS!$L$6:$L$28,$P893)+(INDEX(PARAMETROS_CULTURAS!$M$6:$M$28,$P893)-INDEX(PARAMETROS_CULTURAS!$L$6:$L$28,$P893))*($O893-INDEX(PARAMETROS_CULTURAS!$F$6:$F$28,$P893)-INDEX(PARAMETROS_CULTURAS!$G$6:$G$28,$P893)-INDEX(PARAMETROS_CULTURAS!$H$6:$H$28,$P893))/MAX(INDEX(PARAMETROS_CULTURAS!$I$6:$I$28,$P893),0.0001)))))</f>
        <v>1.15</v>
      </c>
      <c r="S893" s="18" t="n">
        <f aca="false">IFERROR(INDEX(SEMANAS!$H$6:$H$71,MATCH($B893,SEMANAS!$B$6:$B$71,0)),0)</f>
        <v>32.2</v>
      </c>
      <c r="T893" s="18" t="n">
        <f aca="false">$R893*$S893</f>
        <v>37.03</v>
      </c>
      <c r="U893" s="18" t="n">
        <f aca="false">IFERROR(INDEX(SEMANAS!$I$6:$I$71,MATCH($B893,SEMANAS!$B$6:$B$71,0)),0)</f>
        <v>37.24</v>
      </c>
      <c r="V893" s="18" t="n">
        <f aca="false">IFERROR(INDEX(SEMANAS!$J$6:$J$71,MATCH($B893,SEMANAS!$B$6:$B$71,0)),0)</f>
        <v>29.792</v>
      </c>
      <c r="W893" s="18" t="n">
        <f aca="false">MAX(0,$T893-$V893)</f>
        <v>7.23799999999999</v>
      </c>
      <c r="X893" s="19" t="n">
        <f aca="false">IFERROR(INDEX(CADASTRO_PIVOS!$K$6:$K$41,MATCH($E893,CADASTRO_PIVOS!$B$6:$B$41,0)),EFICIENCIA_PADRAO)</f>
        <v>0.85</v>
      </c>
      <c r="Y893" s="18" t="n">
        <f aca="false">IF($X893&lt;=0,0,$W893/$X893)</f>
        <v>8.51529411764705</v>
      </c>
      <c r="Z893" s="16" t="n">
        <f aca="false">$Y893*$H893*MM_PARA_M3_HA</f>
        <v>12767.832</v>
      </c>
      <c r="AA893" s="18" t="n">
        <f aca="false">IFERROR(INDEX(CADASTRO_PIVOS!$I$6:$I$41,MATCH($E893,CADASTRO_PIVOS!$B$6:$B$41,0)),0)</f>
        <v>928.2</v>
      </c>
      <c r="AB893" s="18" t="n">
        <f aca="false">IF($Z893&lt;=0,0,$Z893/$AA893)</f>
        <v>13.7554751131222</v>
      </c>
      <c r="AC893" s="16" t="n">
        <f aca="false">IFERROR(INDEX(SEMANAS!$K$6:$K$71,MATCH($B893,SEMANAS!$B$6:$B$71,0)),0)</f>
        <v>147</v>
      </c>
      <c r="AD893" s="19" t="n">
        <f aca="false">IF($AC893&lt;=0,0,$AB893/$AC893)</f>
        <v>0.0935746606334841</v>
      </c>
      <c r="AE893" s="8" t="str">
        <f aca="false">IF($K893="SEM CULTURA","SEM CULTURA",IF($AA893&lt;=0,"DADO PENDENTE",IF($AD893&gt;LIMITE_CRITICO,"INVIAVEL",IF($AD893&gt;LIMITE_ATENCAO,"CRITICO",IF($AD893&gt;LIMITE_CONFORTAVEL,"ATENCAO","OK")))))</f>
        <v>OK</v>
      </c>
      <c r="AF893" s="8" t="str">
        <f aca="false">$B893&amp;"|"&amp;TEXT($AD893,"0.000000")</f>
        <v>30|0.093575</v>
      </c>
      <c r="AG893" s="18" t="n">
        <f aca="false">IF($K893="SEM CULTURA",0,$T893*$H893)</f>
        <v>5552.2782</v>
      </c>
      <c r="AH893" s="18" t="n">
        <f aca="false">IF($K893="SEM CULTURA",0,$V893*$H893)</f>
        <v>4467.01248</v>
      </c>
      <c r="AI893" s="18" t="n">
        <f aca="false">IF($K893="SEM CULTURA",0,$W893*$H893)</f>
        <v>1085.26572</v>
      </c>
      <c r="AJ893" s="18" t="n">
        <f aca="false">IF($K893="SEM CULTURA",0,$S893*$H893)</f>
        <v>4828.068</v>
      </c>
      <c r="AK893" s="8" t="str">
        <f aca="false">$E893&amp;"|"&amp;TEXT($AD893,"0.000000")</f>
        <v>PV 115|0.093575</v>
      </c>
    </row>
    <row r="894" customFormat="false" ht="15" hidden="false" customHeight="false" outlineLevel="0" collapsed="false">
      <c r="B894" s="16" t="n">
        <v>31</v>
      </c>
      <c r="C894" s="17" t="n">
        <f aca="false">DATA_INICIO_SAFRA+($B894-1)*DIAS_POR_SEMANA</f>
        <v>46475</v>
      </c>
      <c r="D894" s="17" t="n">
        <f aca="false">$C894+DIAS_POR_SEMANA-1</f>
        <v>46481</v>
      </c>
      <c r="E894" s="15" t="s">
        <v>272</v>
      </c>
      <c r="F894" s="8" t="str">
        <f aca="false">IFERROR(INDEX(CADASTRO_PIVOS!$C$6:$C$41,MATCH($E894,CADASTRO_PIVOS!$B$6:$B$41,0)),"?")</f>
        <v>RM05</v>
      </c>
      <c r="G894" s="8" t="str">
        <f aca="false">IFERROR(INDEX(CADASTRO_PIVOS!$D$6:$D$41,MATCH($E894,CADASTRO_PIVOS!$B$6:$B$41,0)),"?")</f>
        <v>TR05</v>
      </c>
      <c r="H894" s="20" t="n">
        <f aca="false">IFERROR(INDEX(CADASTRO_PIVOS!$E$6:$E$41,MATCH($E894,CADASTRO_PIVOS!$B$6:$B$41,0)),0)</f>
        <v>149.94</v>
      </c>
      <c r="I894" s="16" t="n">
        <f aca="false">IFERROR(SUMIFS(ROTACAO_RDM!$B$6:$B$71,ROTACAO_RDM!$D$6:$D$71,$E894,ROTACAO_RDM!$I$6:$I$71,"&lt;="&amp;$C894+INT(DIAS_POR_SEMANA/2),ROTACAO_RDM!$J$6:$J$71,"&gt;="&amp;$C894+INT(DIAS_POR_SEMANA/2)),0)</f>
        <v>25</v>
      </c>
      <c r="J894" s="16" t="n">
        <f aca="false">IFERROR(MATCH($I894,ROTACAO_RDM!$B$6:$B$71,0),0)</f>
        <v>25</v>
      </c>
      <c r="K894" s="8" t="str">
        <f aca="false">IF($J894=0,"SEM CULTURA",INDEX(ROTACAO_RDM!$F$6:$F$71,$J894))</f>
        <v>ALGODAO</v>
      </c>
      <c r="L894" s="8" t="str">
        <f aca="false">IF($J894=0,"",INDEX(ROTACAO_RDM!$G$6:$G$71,$J894))</f>
        <v>FM 974 GLT</v>
      </c>
      <c r="M894" s="17" t="n">
        <f aca="false">IF($J894=0,"",INDEX(ROTACAO_RDM!$I$6:$I$71,$J894))</f>
        <v>46356</v>
      </c>
      <c r="N894" s="16" t="n">
        <f aca="false">IF($J894=0,0,MAX(0,$C894+INT(DIAS_POR_SEMANA/2)-INDEX(ROTACAO_RDM!$I$6:$I$71,$J894)))</f>
        <v>122</v>
      </c>
      <c r="O894" s="19" t="n">
        <f aca="false">IF($J894=0,0,MIN(1,$N894/MAX(1,INDEX(ROTACAO_RDM!$K$6:$K$71,$J894))))</f>
        <v>0.625641025641026</v>
      </c>
      <c r="P894" s="16" t="n">
        <f aca="false">IF($J894=0,0,IFERROR(MATCH(INDEX(ROTACAO_RDM!$N$6:$N$71,$J894),PARAMETROS_CULTURAS!$B$6:$B$28,0),0))</f>
        <v>5</v>
      </c>
      <c r="Q894" s="8" t="str">
        <f aca="false">IF($P894=0,"-",IF($O894&lt;=INDEX(PARAMETROS_CULTURAS!$F$6:$F$28,$P894),"INICIAL",IF($O894&lt;=INDEX(PARAMETROS_CULTURAS!$F$6:$F$28,$P894)+INDEX(PARAMETROS_CULTURAS!$G$6:$G$28,$P894),"DESENVOLVIMENTO",IF($O894&lt;=INDEX(PARAMETROS_CULTURAS!$F$6:$F$28,$P894)+INDEX(PARAMETROS_CULTURAS!$G$6:$G$28,$P894)+INDEX(PARAMETROS_CULTURAS!$H$6:$H$28,$P894),"MEDIA","FINAL"))))</f>
        <v>MEDIA</v>
      </c>
      <c r="R894" s="24" t="n">
        <f aca="false">IF($P894=0,0,IF($O894&lt;=INDEX(PARAMETROS_CULTURAS!$F$6:$F$28,$P894),INDEX(PARAMETROS_CULTURAS!$K$6:$K$28,$P894),IF($O894&lt;=INDEX(PARAMETROS_CULTURAS!$F$6:$F$28,$P894)+INDEX(PARAMETROS_CULTURAS!$G$6:$G$28,$P894),INDEX(PARAMETROS_CULTURAS!$K$6:$K$28,$P894)+(INDEX(PARAMETROS_CULTURAS!$L$6:$L$28,$P894)-INDEX(PARAMETROS_CULTURAS!$K$6:$K$28,$P894))*($O894-INDEX(PARAMETROS_CULTURAS!$F$6:$F$28,$P894))/MAX(INDEX(PARAMETROS_CULTURAS!$G$6:$G$28,$P894),0.0001),IF($O894&lt;=INDEX(PARAMETROS_CULTURAS!$F$6:$F$28,$P894)+INDEX(PARAMETROS_CULTURAS!$G$6:$G$28,$P894)+INDEX(PARAMETROS_CULTURAS!$H$6:$H$28,$P894),INDEX(PARAMETROS_CULTURAS!$L$6:$L$28,$P894),INDEX(PARAMETROS_CULTURAS!$L$6:$L$28,$P894)+(INDEX(PARAMETROS_CULTURAS!$M$6:$M$28,$P894)-INDEX(PARAMETROS_CULTURAS!$L$6:$L$28,$P894))*($O894-INDEX(PARAMETROS_CULTURAS!$F$6:$F$28,$P894)-INDEX(PARAMETROS_CULTURAS!$G$6:$G$28,$P894)-INDEX(PARAMETROS_CULTURAS!$H$6:$H$28,$P894))/MAX(INDEX(PARAMETROS_CULTURAS!$I$6:$I$28,$P894),0.0001)))))</f>
        <v>1.15</v>
      </c>
      <c r="S894" s="18" t="n">
        <f aca="false">IFERROR(INDEX(SEMANAS!$H$6:$H$71,MATCH($B894,SEMANAS!$B$6:$B$71,0)),0)</f>
        <v>31.8</v>
      </c>
      <c r="T894" s="18" t="n">
        <f aca="false">$R894*$S894</f>
        <v>36.57</v>
      </c>
      <c r="U894" s="18" t="n">
        <f aca="false">IFERROR(INDEX(SEMANAS!$I$6:$I$71,MATCH($B894,SEMANAS!$B$6:$B$71,0)),0)</f>
        <v>25.28</v>
      </c>
      <c r="V894" s="18" t="n">
        <f aca="false">IFERROR(INDEX(SEMANAS!$J$6:$J$71,MATCH($B894,SEMANAS!$B$6:$B$71,0)),0)</f>
        <v>20.224</v>
      </c>
      <c r="W894" s="18" t="n">
        <f aca="false">MAX(0,$T894-$V894)</f>
        <v>16.346</v>
      </c>
      <c r="X894" s="19" t="n">
        <f aca="false">IFERROR(INDEX(CADASTRO_PIVOS!$K$6:$K$41,MATCH($E894,CADASTRO_PIVOS!$B$6:$B$41,0)),EFICIENCIA_PADRAO)</f>
        <v>0.85</v>
      </c>
      <c r="Y894" s="18" t="n">
        <f aca="false">IF($X894&lt;=0,0,$W894/$X894)</f>
        <v>19.2305882352941</v>
      </c>
      <c r="Z894" s="16" t="n">
        <f aca="false">$Y894*$H894*MM_PARA_M3_HA</f>
        <v>28834.344</v>
      </c>
      <c r="AA894" s="18" t="n">
        <f aca="false">IFERROR(INDEX(CADASTRO_PIVOS!$I$6:$I$41,MATCH($E894,CADASTRO_PIVOS!$B$6:$B$41,0)),0)</f>
        <v>928.2</v>
      </c>
      <c r="AB894" s="18" t="n">
        <f aca="false">IF($Z894&lt;=0,0,$Z894/$AA894)</f>
        <v>31.0647963800905</v>
      </c>
      <c r="AC894" s="16" t="n">
        <f aca="false">IFERROR(INDEX(SEMANAS!$K$6:$K$71,MATCH($B894,SEMANAS!$B$6:$B$71,0)),0)</f>
        <v>147</v>
      </c>
      <c r="AD894" s="19" t="n">
        <f aca="false">IF($AC894&lt;=0,0,$AB894/$AC894)</f>
        <v>0.211325145442792</v>
      </c>
      <c r="AE894" s="8" t="str">
        <f aca="false">IF($K894="SEM CULTURA","SEM CULTURA",IF($AA894&lt;=0,"DADO PENDENTE",IF($AD894&gt;LIMITE_CRITICO,"INVIAVEL",IF($AD894&gt;LIMITE_ATENCAO,"CRITICO",IF($AD894&gt;LIMITE_CONFORTAVEL,"ATENCAO","OK")))))</f>
        <v>OK</v>
      </c>
      <c r="AF894" s="8" t="str">
        <f aca="false">$B894&amp;"|"&amp;TEXT($AD894,"0.000000")</f>
        <v>31|0.211325</v>
      </c>
      <c r="AG894" s="18" t="n">
        <f aca="false">IF($K894="SEM CULTURA",0,$T894*$H894)</f>
        <v>5483.3058</v>
      </c>
      <c r="AH894" s="18" t="n">
        <f aca="false">IF($K894="SEM CULTURA",0,$V894*$H894)</f>
        <v>3032.38656</v>
      </c>
      <c r="AI894" s="18" t="n">
        <f aca="false">IF($K894="SEM CULTURA",0,$W894*$H894)</f>
        <v>2450.91924</v>
      </c>
      <c r="AJ894" s="18" t="n">
        <f aca="false">IF($K894="SEM CULTURA",0,$S894*$H894)</f>
        <v>4768.092</v>
      </c>
      <c r="AK894" s="8" t="str">
        <f aca="false">$E894&amp;"|"&amp;TEXT($AD894,"0.000000")</f>
        <v>PV 115|0.211325</v>
      </c>
    </row>
    <row r="895" customFormat="false" ht="15" hidden="false" customHeight="false" outlineLevel="0" collapsed="false">
      <c r="B895" s="16" t="n">
        <v>32</v>
      </c>
      <c r="C895" s="17" t="n">
        <f aca="false">DATA_INICIO_SAFRA+($B895-1)*DIAS_POR_SEMANA</f>
        <v>46482</v>
      </c>
      <c r="D895" s="17" t="n">
        <f aca="false">$C895+DIAS_POR_SEMANA-1</f>
        <v>46488</v>
      </c>
      <c r="E895" s="15" t="s">
        <v>272</v>
      </c>
      <c r="F895" s="8" t="str">
        <f aca="false">IFERROR(INDEX(CADASTRO_PIVOS!$C$6:$C$41,MATCH($E895,CADASTRO_PIVOS!$B$6:$B$41,0)),"?")</f>
        <v>RM05</v>
      </c>
      <c r="G895" s="8" t="str">
        <f aca="false">IFERROR(INDEX(CADASTRO_PIVOS!$D$6:$D$41,MATCH($E895,CADASTRO_PIVOS!$B$6:$B$41,0)),"?")</f>
        <v>TR05</v>
      </c>
      <c r="H895" s="20" t="n">
        <f aca="false">IFERROR(INDEX(CADASTRO_PIVOS!$E$6:$E$41,MATCH($E895,CADASTRO_PIVOS!$B$6:$B$41,0)),0)</f>
        <v>149.94</v>
      </c>
      <c r="I895" s="16" t="n">
        <f aca="false">IFERROR(SUMIFS(ROTACAO_RDM!$B$6:$B$71,ROTACAO_RDM!$D$6:$D$71,$E895,ROTACAO_RDM!$I$6:$I$71,"&lt;="&amp;$C895+INT(DIAS_POR_SEMANA/2),ROTACAO_RDM!$J$6:$J$71,"&gt;="&amp;$C895+INT(DIAS_POR_SEMANA/2)),0)</f>
        <v>25</v>
      </c>
      <c r="J895" s="16" t="n">
        <f aca="false">IFERROR(MATCH($I895,ROTACAO_RDM!$B$6:$B$71,0),0)</f>
        <v>25</v>
      </c>
      <c r="K895" s="8" t="str">
        <f aca="false">IF($J895=0,"SEM CULTURA",INDEX(ROTACAO_RDM!$F$6:$F$71,$J895))</f>
        <v>ALGODAO</v>
      </c>
      <c r="L895" s="8" t="str">
        <f aca="false">IF($J895=0,"",INDEX(ROTACAO_RDM!$G$6:$G$71,$J895))</f>
        <v>FM 974 GLT</v>
      </c>
      <c r="M895" s="17" t="n">
        <f aca="false">IF($J895=0,"",INDEX(ROTACAO_RDM!$I$6:$I$71,$J895))</f>
        <v>46356</v>
      </c>
      <c r="N895" s="16" t="n">
        <f aca="false">IF($J895=0,0,MAX(0,$C895+INT(DIAS_POR_SEMANA/2)-INDEX(ROTACAO_RDM!$I$6:$I$71,$J895)))</f>
        <v>129</v>
      </c>
      <c r="O895" s="19" t="n">
        <f aca="false">IF($J895=0,0,MIN(1,$N895/MAX(1,INDEX(ROTACAO_RDM!$K$6:$K$71,$J895))))</f>
        <v>0.661538461538462</v>
      </c>
      <c r="P895" s="16" t="n">
        <f aca="false">IF($J895=0,0,IFERROR(MATCH(INDEX(ROTACAO_RDM!$N$6:$N$71,$J895),PARAMETROS_CULTURAS!$B$6:$B$28,0),0))</f>
        <v>5</v>
      </c>
      <c r="Q895" s="8" t="str">
        <f aca="false">IF($P895=0,"-",IF($O895&lt;=INDEX(PARAMETROS_CULTURAS!$F$6:$F$28,$P895),"INICIAL",IF($O895&lt;=INDEX(PARAMETROS_CULTURAS!$F$6:$F$28,$P895)+INDEX(PARAMETROS_CULTURAS!$G$6:$G$28,$P895),"DESENVOLVIMENTO",IF($O895&lt;=INDEX(PARAMETROS_CULTURAS!$F$6:$F$28,$P895)+INDEX(PARAMETROS_CULTURAS!$G$6:$G$28,$P895)+INDEX(PARAMETROS_CULTURAS!$H$6:$H$28,$P895),"MEDIA","FINAL"))))</f>
        <v>MEDIA</v>
      </c>
      <c r="R895" s="24" t="n">
        <f aca="false">IF($P895=0,0,IF($O895&lt;=INDEX(PARAMETROS_CULTURAS!$F$6:$F$28,$P895),INDEX(PARAMETROS_CULTURAS!$K$6:$K$28,$P895),IF($O895&lt;=INDEX(PARAMETROS_CULTURAS!$F$6:$F$28,$P895)+INDEX(PARAMETROS_CULTURAS!$G$6:$G$28,$P895),INDEX(PARAMETROS_CULTURAS!$K$6:$K$28,$P895)+(INDEX(PARAMETROS_CULTURAS!$L$6:$L$28,$P895)-INDEX(PARAMETROS_CULTURAS!$K$6:$K$28,$P895))*($O895-INDEX(PARAMETROS_CULTURAS!$F$6:$F$28,$P895))/MAX(INDEX(PARAMETROS_CULTURAS!$G$6:$G$28,$P895),0.0001),IF($O895&lt;=INDEX(PARAMETROS_CULTURAS!$F$6:$F$28,$P895)+INDEX(PARAMETROS_CULTURAS!$G$6:$G$28,$P895)+INDEX(PARAMETROS_CULTURAS!$H$6:$H$28,$P895),INDEX(PARAMETROS_CULTURAS!$L$6:$L$28,$P895),INDEX(PARAMETROS_CULTURAS!$L$6:$L$28,$P895)+(INDEX(PARAMETROS_CULTURAS!$M$6:$M$28,$P895)-INDEX(PARAMETROS_CULTURAS!$L$6:$L$28,$P895))*($O895-INDEX(PARAMETROS_CULTURAS!$F$6:$F$28,$P895)-INDEX(PARAMETROS_CULTURAS!$G$6:$G$28,$P895)-INDEX(PARAMETROS_CULTURAS!$H$6:$H$28,$P895))/MAX(INDEX(PARAMETROS_CULTURAS!$I$6:$I$28,$P895),0.0001)))))</f>
        <v>1.15</v>
      </c>
      <c r="S895" s="18" t="n">
        <f aca="false">IFERROR(INDEX(SEMANAS!$H$6:$H$71,MATCH($B895,SEMANAS!$B$6:$B$71,0)),0)</f>
        <v>31.5</v>
      </c>
      <c r="T895" s="18" t="n">
        <f aca="false">$R895*$S895</f>
        <v>36.225</v>
      </c>
      <c r="U895" s="18" t="n">
        <f aca="false">IFERROR(INDEX(SEMANAS!$I$6:$I$71,MATCH($B895,SEMANAS!$B$6:$B$71,0)),0)</f>
        <v>16.31</v>
      </c>
      <c r="V895" s="18" t="n">
        <f aca="false">IFERROR(INDEX(SEMANAS!$J$6:$J$71,MATCH($B895,SEMANAS!$B$6:$B$71,0)),0)</f>
        <v>13.048</v>
      </c>
      <c r="W895" s="18" t="n">
        <f aca="false">MAX(0,$T895-$V895)</f>
        <v>23.177</v>
      </c>
      <c r="X895" s="19" t="n">
        <f aca="false">IFERROR(INDEX(CADASTRO_PIVOS!$K$6:$K$41,MATCH($E895,CADASTRO_PIVOS!$B$6:$B$41,0)),EFICIENCIA_PADRAO)</f>
        <v>0.85</v>
      </c>
      <c r="Y895" s="18" t="n">
        <f aca="false">IF($X895&lt;=0,0,$W895/$X895)</f>
        <v>27.2670588235294</v>
      </c>
      <c r="Z895" s="16" t="n">
        <f aca="false">$Y895*$H895*MM_PARA_M3_HA</f>
        <v>40884.228</v>
      </c>
      <c r="AA895" s="18" t="n">
        <f aca="false">IFERROR(INDEX(CADASTRO_PIVOS!$I$6:$I$41,MATCH($E895,CADASTRO_PIVOS!$B$6:$B$41,0)),0)</f>
        <v>928.2</v>
      </c>
      <c r="AB895" s="18" t="n">
        <f aca="false">IF($Z895&lt;=0,0,$Z895/$AA895)</f>
        <v>44.0467873303167</v>
      </c>
      <c r="AC895" s="16" t="n">
        <f aca="false">IFERROR(INDEX(SEMANAS!$K$6:$K$71,MATCH($B895,SEMANAS!$B$6:$B$71,0)),0)</f>
        <v>147</v>
      </c>
      <c r="AD895" s="19" t="n">
        <f aca="false">IF($AC895&lt;=0,0,$AB895/$AC895)</f>
        <v>0.299638009049774</v>
      </c>
      <c r="AE895" s="8" t="str">
        <f aca="false">IF($K895="SEM CULTURA","SEM CULTURA",IF($AA895&lt;=0,"DADO PENDENTE",IF($AD895&gt;LIMITE_CRITICO,"INVIAVEL",IF($AD895&gt;LIMITE_ATENCAO,"CRITICO",IF($AD895&gt;LIMITE_CONFORTAVEL,"ATENCAO","OK")))))</f>
        <v>OK</v>
      </c>
      <c r="AF895" s="8" t="str">
        <f aca="false">$B895&amp;"|"&amp;TEXT($AD895,"0.000000")</f>
        <v>32|0.299638</v>
      </c>
      <c r="AG895" s="18" t="n">
        <f aca="false">IF($K895="SEM CULTURA",0,$T895*$H895)</f>
        <v>5431.5765</v>
      </c>
      <c r="AH895" s="18" t="n">
        <f aca="false">IF($K895="SEM CULTURA",0,$V895*$H895)</f>
        <v>1956.41712</v>
      </c>
      <c r="AI895" s="18" t="n">
        <f aca="false">IF($K895="SEM CULTURA",0,$W895*$H895)</f>
        <v>3475.15938</v>
      </c>
      <c r="AJ895" s="18" t="n">
        <f aca="false">IF($K895="SEM CULTURA",0,$S895*$H895)</f>
        <v>4723.11</v>
      </c>
      <c r="AK895" s="8" t="str">
        <f aca="false">$E895&amp;"|"&amp;TEXT($AD895,"0.000000")</f>
        <v>PV 115|0.299638</v>
      </c>
    </row>
    <row r="896" customFormat="false" ht="15" hidden="false" customHeight="false" outlineLevel="0" collapsed="false">
      <c r="B896" s="16" t="n">
        <v>33</v>
      </c>
      <c r="C896" s="17" t="n">
        <f aca="false">DATA_INICIO_SAFRA+($B896-1)*DIAS_POR_SEMANA</f>
        <v>46489</v>
      </c>
      <c r="D896" s="17" t="n">
        <f aca="false">$C896+DIAS_POR_SEMANA-1</f>
        <v>46495</v>
      </c>
      <c r="E896" s="15" t="s">
        <v>272</v>
      </c>
      <c r="F896" s="8" t="str">
        <f aca="false">IFERROR(INDEX(CADASTRO_PIVOS!$C$6:$C$41,MATCH($E896,CADASTRO_PIVOS!$B$6:$B$41,0)),"?")</f>
        <v>RM05</v>
      </c>
      <c r="G896" s="8" t="str">
        <f aca="false">IFERROR(INDEX(CADASTRO_PIVOS!$D$6:$D$41,MATCH($E896,CADASTRO_PIVOS!$B$6:$B$41,0)),"?")</f>
        <v>TR05</v>
      </c>
      <c r="H896" s="20" t="n">
        <f aca="false">IFERROR(INDEX(CADASTRO_PIVOS!$E$6:$E$41,MATCH($E896,CADASTRO_PIVOS!$B$6:$B$41,0)),0)</f>
        <v>149.94</v>
      </c>
      <c r="I896" s="16" t="n">
        <f aca="false">IFERROR(SUMIFS(ROTACAO_RDM!$B$6:$B$71,ROTACAO_RDM!$D$6:$D$71,$E896,ROTACAO_RDM!$I$6:$I$71,"&lt;="&amp;$C896+INT(DIAS_POR_SEMANA/2),ROTACAO_RDM!$J$6:$J$71,"&gt;="&amp;$C896+INT(DIAS_POR_SEMANA/2)),0)</f>
        <v>25</v>
      </c>
      <c r="J896" s="16" t="n">
        <f aca="false">IFERROR(MATCH($I896,ROTACAO_RDM!$B$6:$B$71,0),0)</f>
        <v>25</v>
      </c>
      <c r="K896" s="8" t="str">
        <f aca="false">IF($J896=0,"SEM CULTURA",INDEX(ROTACAO_RDM!$F$6:$F$71,$J896))</f>
        <v>ALGODAO</v>
      </c>
      <c r="L896" s="8" t="str">
        <f aca="false">IF($J896=0,"",INDEX(ROTACAO_RDM!$G$6:$G$71,$J896))</f>
        <v>FM 974 GLT</v>
      </c>
      <c r="M896" s="17" t="n">
        <f aca="false">IF($J896=0,"",INDEX(ROTACAO_RDM!$I$6:$I$71,$J896))</f>
        <v>46356</v>
      </c>
      <c r="N896" s="16" t="n">
        <f aca="false">IF($J896=0,0,MAX(0,$C896+INT(DIAS_POR_SEMANA/2)-INDEX(ROTACAO_RDM!$I$6:$I$71,$J896)))</f>
        <v>136</v>
      </c>
      <c r="O896" s="19" t="n">
        <f aca="false">IF($J896=0,0,MIN(1,$N896/MAX(1,INDEX(ROTACAO_RDM!$K$6:$K$71,$J896))))</f>
        <v>0.697435897435897</v>
      </c>
      <c r="P896" s="16" t="n">
        <f aca="false">IF($J896=0,0,IFERROR(MATCH(INDEX(ROTACAO_RDM!$N$6:$N$71,$J896),PARAMETROS_CULTURAS!$B$6:$B$28,0),0))</f>
        <v>5</v>
      </c>
      <c r="Q896" s="8" t="str">
        <f aca="false">IF($P896=0,"-",IF($O896&lt;=INDEX(PARAMETROS_CULTURAS!$F$6:$F$28,$P896),"INICIAL",IF($O896&lt;=INDEX(PARAMETROS_CULTURAS!$F$6:$F$28,$P896)+INDEX(PARAMETROS_CULTURAS!$G$6:$G$28,$P896),"DESENVOLVIMENTO",IF($O896&lt;=INDEX(PARAMETROS_CULTURAS!$F$6:$F$28,$P896)+INDEX(PARAMETROS_CULTURAS!$G$6:$G$28,$P896)+INDEX(PARAMETROS_CULTURAS!$H$6:$H$28,$P896),"MEDIA","FINAL"))))</f>
        <v>MEDIA</v>
      </c>
      <c r="R896" s="24" t="n">
        <f aca="false">IF($P896=0,0,IF($O896&lt;=INDEX(PARAMETROS_CULTURAS!$F$6:$F$28,$P896),INDEX(PARAMETROS_CULTURAS!$K$6:$K$28,$P896),IF($O896&lt;=INDEX(PARAMETROS_CULTURAS!$F$6:$F$28,$P896)+INDEX(PARAMETROS_CULTURAS!$G$6:$G$28,$P896),INDEX(PARAMETROS_CULTURAS!$K$6:$K$28,$P896)+(INDEX(PARAMETROS_CULTURAS!$L$6:$L$28,$P896)-INDEX(PARAMETROS_CULTURAS!$K$6:$K$28,$P896))*($O896-INDEX(PARAMETROS_CULTURAS!$F$6:$F$28,$P896))/MAX(INDEX(PARAMETROS_CULTURAS!$G$6:$G$28,$P896),0.0001),IF($O896&lt;=INDEX(PARAMETROS_CULTURAS!$F$6:$F$28,$P896)+INDEX(PARAMETROS_CULTURAS!$G$6:$G$28,$P896)+INDEX(PARAMETROS_CULTURAS!$H$6:$H$28,$P896),INDEX(PARAMETROS_CULTURAS!$L$6:$L$28,$P896),INDEX(PARAMETROS_CULTURAS!$L$6:$L$28,$P896)+(INDEX(PARAMETROS_CULTURAS!$M$6:$M$28,$P896)-INDEX(PARAMETROS_CULTURAS!$L$6:$L$28,$P896))*($O896-INDEX(PARAMETROS_CULTURAS!$F$6:$F$28,$P896)-INDEX(PARAMETROS_CULTURAS!$G$6:$G$28,$P896)-INDEX(PARAMETROS_CULTURAS!$H$6:$H$28,$P896))/MAX(INDEX(PARAMETROS_CULTURAS!$I$6:$I$28,$P896),0.0001)))))</f>
        <v>1.15</v>
      </c>
      <c r="S896" s="18" t="n">
        <f aca="false">IFERROR(INDEX(SEMANAS!$H$6:$H$71,MATCH($B896,SEMANAS!$B$6:$B$71,0)),0)</f>
        <v>31.5</v>
      </c>
      <c r="T896" s="18" t="n">
        <f aca="false">$R896*$S896</f>
        <v>36.225</v>
      </c>
      <c r="U896" s="18" t="n">
        <f aca="false">IFERROR(INDEX(SEMANAS!$I$6:$I$71,MATCH($B896,SEMANAS!$B$6:$B$71,0)),0)</f>
        <v>16.31</v>
      </c>
      <c r="V896" s="18" t="n">
        <f aca="false">IFERROR(INDEX(SEMANAS!$J$6:$J$71,MATCH($B896,SEMANAS!$B$6:$B$71,0)),0)</f>
        <v>13.048</v>
      </c>
      <c r="W896" s="18" t="n">
        <f aca="false">MAX(0,$T896-$V896)</f>
        <v>23.177</v>
      </c>
      <c r="X896" s="19" t="n">
        <f aca="false">IFERROR(INDEX(CADASTRO_PIVOS!$K$6:$K$41,MATCH($E896,CADASTRO_PIVOS!$B$6:$B$41,0)),EFICIENCIA_PADRAO)</f>
        <v>0.85</v>
      </c>
      <c r="Y896" s="18" t="n">
        <f aca="false">IF($X896&lt;=0,0,$W896/$X896)</f>
        <v>27.2670588235294</v>
      </c>
      <c r="Z896" s="16" t="n">
        <f aca="false">$Y896*$H896*MM_PARA_M3_HA</f>
        <v>40884.228</v>
      </c>
      <c r="AA896" s="18" t="n">
        <f aca="false">IFERROR(INDEX(CADASTRO_PIVOS!$I$6:$I$41,MATCH($E896,CADASTRO_PIVOS!$B$6:$B$41,0)),0)</f>
        <v>928.2</v>
      </c>
      <c r="AB896" s="18" t="n">
        <f aca="false">IF($Z896&lt;=0,0,$Z896/$AA896)</f>
        <v>44.0467873303167</v>
      </c>
      <c r="AC896" s="16" t="n">
        <f aca="false">IFERROR(INDEX(SEMANAS!$K$6:$K$71,MATCH($B896,SEMANAS!$B$6:$B$71,0)),0)</f>
        <v>147</v>
      </c>
      <c r="AD896" s="19" t="n">
        <f aca="false">IF($AC896&lt;=0,0,$AB896/$AC896)</f>
        <v>0.299638009049774</v>
      </c>
      <c r="AE896" s="8" t="str">
        <f aca="false">IF($K896="SEM CULTURA","SEM CULTURA",IF($AA896&lt;=0,"DADO PENDENTE",IF($AD896&gt;LIMITE_CRITICO,"INVIAVEL",IF($AD896&gt;LIMITE_ATENCAO,"CRITICO",IF($AD896&gt;LIMITE_CONFORTAVEL,"ATENCAO","OK")))))</f>
        <v>OK</v>
      </c>
      <c r="AF896" s="8" t="str">
        <f aca="false">$B896&amp;"|"&amp;TEXT($AD896,"0.000000")</f>
        <v>33|0.299638</v>
      </c>
      <c r="AG896" s="18" t="n">
        <f aca="false">IF($K896="SEM CULTURA",0,$T896*$H896)</f>
        <v>5431.5765</v>
      </c>
      <c r="AH896" s="18" t="n">
        <f aca="false">IF($K896="SEM CULTURA",0,$V896*$H896)</f>
        <v>1956.41712</v>
      </c>
      <c r="AI896" s="18" t="n">
        <f aca="false">IF($K896="SEM CULTURA",0,$W896*$H896)</f>
        <v>3475.15938</v>
      </c>
      <c r="AJ896" s="18" t="n">
        <f aca="false">IF($K896="SEM CULTURA",0,$S896*$H896)</f>
        <v>4723.11</v>
      </c>
      <c r="AK896" s="8" t="str">
        <f aca="false">$E896&amp;"|"&amp;TEXT($AD896,"0.000000")</f>
        <v>PV 115|0.299638</v>
      </c>
    </row>
    <row r="897" customFormat="false" ht="15" hidden="false" customHeight="false" outlineLevel="0" collapsed="false">
      <c r="B897" s="16" t="n">
        <v>34</v>
      </c>
      <c r="C897" s="17" t="n">
        <f aca="false">DATA_INICIO_SAFRA+($B897-1)*DIAS_POR_SEMANA</f>
        <v>46496</v>
      </c>
      <c r="D897" s="17" t="n">
        <f aca="false">$C897+DIAS_POR_SEMANA-1</f>
        <v>46502</v>
      </c>
      <c r="E897" s="15" t="s">
        <v>272</v>
      </c>
      <c r="F897" s="8" t="str">
        <f aca="false">IFERROR(INDEX(CADASTRO_PIVOS!$C$6:$C$41,MATCH($E897,CADASTRO_PIVOS!$B$6:$B$41,0)),"?")</f>
        <v>RM05</v>
      </c>
      <c r="G897" s="8" t="str">
        <f aca="false">IFERROR(INDEX(CADASTRO_PIVOS!$D$6:$D$41,MATCH($E897,CADASTRO_PIVOS!$B$6:$B$41,0)),"?")</f>
        <v>TR05</v>
      </c>
      <c r="H897" s="20" t="n">
        <f aca="false">IFERROR(INDEX(CADASTRO_PIVOS!$E$6:$E$41,MATCH($E897,CADASTRO_PIVOS!$B$6:$B$41,0)),0)</f>
        <v>149.94</v>
      </c>
      <c r="I897" s="16" t="n">
        <f aca="false">IFERROR(SUMIFS(ROTACAO_RDM!$B$6:$B$71,ROTACAO_RDM!$D$6:$D$71,$E897,ROTACAO_RDM!$I$6:$I$71,"&lt;="&amp;$C897+INT(DIAS_POR_SEMANA/2),ROTACAO_RDM!$J$6:$J$71,"&gt;="&amp;$C897+INT(DIAS_POR_SEMANA/2)),0)</f>
        <v>25</v>
      </c>
      <c r="J897" s="16" t="n">
        <f aca="false">IFERROR(MATCH($I897,ROTACAO_RDM!$B$6:$B$71,0),0)</f>
        <v>25</v>
      </c>
      <c r="K897" s="8" t="str">
        <f aca="false">IF($J897=0,"SEM CULTURA",INDEX(ROTACAO_RDM!$F$6:$F$71,$J897))</f>
        <v>ALGODAO</v>
      </c>
      <c r="L897" s="8" t="str">
        <f aca="false">IF($J897=0,"",INDEX(ROTACAO_RDM!$G$6:$G$71,$J897))</f>
        <v>FM 974 GLT</v>
      </c>
      <c r="M897" s="17" t="n">
        <f aca="false">IF($J897=0,"",INDEX(ROTACAO_RDM!$I$6:$I$71,$J897))</f>
        <v>46356</v>
      </c>
      <c r="N897" s="16" t="n">
        <f aca="false">IF($J897=0,0,MAX(0,$C897+INT(DIAS_POR_SEMANA/2)-INDEX(ROTACAO_RDM!$I$6:$I$71,$J897)))</f>
        <v>143</v>
      </c>
      <c r="O897" s="19" t="n">
        <f aca="false">IF($J897=0,0,MIN(1,$N897/MAX(1,INDEX(ROTACAO_RDM!$K$6:$K$71,$J897))))</f>
        <v>0.733333333333333</v>
      </c>
      <c r="P897" s="16" t="n">
        <f aca="false">IF($J897=0,0,IFERROR(MATCH(INDEX(ROTACAO_RDM!$N$6:$N$71,$J897),PARAMETROS_CULTURAS!$B$6:$B$28,0),0))</f>
        <v>5</v>
      </c>
      <c r="Q897" s="8" t="str">
        <f aca="false">IF($P897=0,"-",IF($O897&lt;=INDEX(PARAMETROS_CULTURAS!$F$6:$F$28,$P897),"INICIAL",IF($O897&lt;=INDEX(PARAMETROS_CULTURAS!$F$6:$F$28,$P897)+INDEX(PARAMETROS_CULTURAS!$G$6:$G$28,$P897),"DESENVOLVIMENTO",IF($O897&lt;=INDEX(PARAMETROS_CULTURAS!$F$6:$F$28,$P897)+INDEX(PARAMETROS_CULTURAS!$G$6:$G$28,$P897)+INDEX(PARAMETROS_CULTURAS!$H$6:$H$28,$P897),"MEDIA","FINAL"))))</f>
        <v>FINAL</v>
      </c>
      <c r="R897" s="24" t="n">
        <f aca="false">IF($P897=0,0,IF($O897&lt;=INDEX(PARAMETROS_CULTURAS!$F$6:$F$28,$P897),INDEX(PARAMETROS_CULTURAS!$K$6:$K$28,$P897),IF($O897&lt;=INDEX(PARAMETROS_CULTURAS!$F$6:$F$28,$P897)+INDEX(PARAMETROS_CULTURAS!$G$6:$G$28,$P897),INDEX(PARAMETROS_CULTURAS!$K$6:$K$28,$P897)+(INDEX(PARAMETROS_CULTURAS!$L$6:$L$28,$P897)-INDEX(PARAMETROS_CULTURAS!$K$6:$K$28,$P897))*($O897-INDEX(PARAMETROS_CULTURAS!$F$6:$F$28,$P897))/MAX(INDEX(PARAMETROS_CULTURAS!$G$6:$G$28,$P897),0.0001),IF($O897&lt;=INDEX(PARAMETROS_CULTURAS!$F$6:$F$28,$P897)+INDEX(PARAMETROS_CULTURAS!$G$6:$G$28,$P897)+INDEX(PARAMETROS_CULTURAS!$H$6:$H$28,$P897),INDEX(PARAMETROS_CULTURAS!$L$6:$L$28,$P897),INDEX(PARAMETROS_CULTURAS!$L$6:$L$28,$P897)+(INDEX(PARAMETROS_CULTURAS!$M$6:$M$28,$P897)-INDEX(PARAMETROS_CULTURAS!$L$6:$L$28,$P897))*($O897-INDEX(PARAMETROS_CULTURAS!$F$6:$F$28,$P897)-INDEX(PARAMETROS_CULTURAS!$G$6:$G$28,$P897)-INDEX(PARAMETROS_CULTURAS!$H$6:$H$28,$P897))/MAX(INDEX(PARAMETROS_CULTURAS!$I$6:$I$28,$P897),0.0001)))))</f>
        <v>1.12380952380952</v>
      </c>
      <c r="S897" s="18" t="n">
        <f aca="false">IFERROR(INDEX(SEMANAS!$H$6:$H$71,MATCH($B897,SEMANAS!$B$6:$B$71,0)),0)</f>
        <v>31.5</v>
      </c>
      <c r="T897" s="18" t="n">
        <f aca="false">$R897*$S897</f>
        <v>35.4</v>
      </c>
      <c r="U897" s="18" t="n">
        <f aca="false">IFERROR(INDEX(SEMANAS!$I$6:$I$71,MATCH($B897,SEMANAS!$B$6:$B$71,0)),0)</f>
        <v>16.31</v>
      </c>
      <c r="V897" s="18" t="n">
        <f aca="false">IFERROR(INDEX(SEMANAS!$J$6:$J$71,MATCH($B897,SEMANAS!$B$6:$B$71,0)),0)</f>
        <v>13.048</v>
      </c>
      <c r="W897" s="18" t="n">
        <f aca="false">MAX(0,$T897-$V897)</f>
        <v>22.352</v>
      </c>
      <c r="X897" s="19" t="n">
        <f aca="false">IFERROR(INDEX(CADASTRO_PIVOS!$K$6:$K$41,MATCH($E897,CADASTRO_PIVOS!$B$6:$B$41,0)),EFICIENCIA_PADRAO)</f>
        <v>0.85</v>
      </c>
      <c r="Y897" s="18" t="n">
        <f aca="false">IF($X897&lt;=0,0,$W897/$X897)</f>
        <v>26.2964705882353</v>
      </c>
      <c r="Z897" s="16" t="n">
        <f aca="false">$Y897*$H897*MM_PARA_M3_HA</f>
        <v>39428.928</v>
      </c>
      <c r="AA897" s="18" t="n">
        <f aca="false">IFERROR(INDEX(CADASTRO_PIVOS!$I$6:$I$41,MATCH($E897,CADASTRO_PIVOS!$B$6:$B$41,0)),0)</f>
        <v>928.2</v>
      </c>
      <c r="AB897" s="18" t="n">
        <f aca="false">IF($Z897&lt;=0,0,$Z897/$AA897)</f>
        <v>42.4789140271493</v>
      </c>
      <c r="AC897" s="16" t="n">
        <f aca="false">IFERROR(INDEX(SEMANAS!$K$6:$K$71,MATCH($B897,SEMANAS!$B$6:$B$71,0)),0)</f>
        <v>147</v>
      </c>
      <c r="AD897" s="19" t="n">
        <f aca="false">IF($AC897&lt;=0,0,$AB897/$AC897)</f>
        <v>0.288972204266322</v>
      </c>
      <c r="AE897" s="8" t="str">
        <f aca="false">IF($K897="SEM CULTURA","SEM CULTURA",IF($AA897&lt;=0,"DADO PENDENTE",IF($AD897&gt;LIMITE_CRITICO,"INVIAVEL",IF($AD897&gt;LIMITE_ATENCAO,"CRITICO",IF($AD897&gt;LIMITE_CONFORTAVEL,"ATENCAO","OK")))))</f>
        <v>OK</v>
      </c>
      <c r="AF897" s="8" t="str">
        <f aca="false">$B897&amp;"|"&amp;TEXT($AD897,"0.000000")</f>
        <v>34|0.288972</v>
      </c>
      <c r="AG897" s="18" t="n">
        <f aca="false">IF($K897="SEM CULTURA",0,$T897*$H897)</f>
        <v>5307.876</v>
      </c>
      <c r="AH897" s="18" t="n">
        <f aca="false">IF($K897="SEM CULTURA",0,$V897*$H897)</f>
        <v>1956.41712</v>
      </c>
      <c r="AI897" s="18" t="n">
        <f aca="false">IF($K897="SEM CULTURA",0,$W897*$H897)</f>
        <v>3351.45888</v>
      </c>
      <c r="AJ897" s="18" t="n">
        <f aca="false">IF($K897="SEM CULTURA",0,$S897*$H897)</f>
        <v>4723.11</v>
      </c>
      <c r="AK897" s="8" t="str">
        <f aca="false">$E897&amp;"|"&amp;TEXT($AD897,"0.000000")</f>
        <v>PV 115|0.288972</v>
      </c>
    </row>
    <row r="898" customFormat="false" ht="15" hidden="false" customHeight="false" outlineLevel="0" collapsed="false">
      <c r="B898" s="16" t="n">
        <v>35</v>
      </c>
      <c r="C898" s="17" t="n">
        <f aca="false">DATA_INICIO_SAFRA+($B898-1)*DIAS_POR_SEMANA</f>
        <v>46503</v>
      </c>
      <c r="D898" s="17" t="n">
        <f aca="false">$C898+DIAS_POR_SEMANA-1</f>
        <v>46509</v>
      </c>
      <c r="E898" s="15" t="s">
        <v>272</v>
      </c>
      <c r="F898" s="8" t="str">
        <f aca="false">IFERROR(INDEX(CADASTRO_PIVOS!$C$6:$C$41,MATCH($E898,CADASTRO_PIVOS!$B$6:$B$41,0)),"?")</f>
        <v>RM05</v>
      </c>
      <c r="G898" s="8" t="str">
        <f aca="false">IFERROR(INDEX(CADASTRO_PIVOS!$D$6:$D$41,MATCH($E898,CADASTRO_PIVOS!$B$6:$B$41,0)),"?")</f>
        <v>TR05</v>
      </c>
      <c r="H898" s="20" t="n">
        <f aca="false">IFERROR(INDEX(CADASTRO_PIVOS!$E$6:$E$41,MATCH($E898,CADASTRO_PIVOS!$B$6:$B$41,0)),0)</f>
        <v>149.94</v>
      </c>
      <c r="I898" s="16" t="n">
        <f aca="false">IFERROR(SUMIFS(ROTACAO_RDM!$B$6:$B$71,ROTACAO_RDM!$D$6:$D$71,$E898,ROTACAO_RDM!$I$6:$I$71,"&lt;="&amp;$C898+INT(DIAS_POR_SEMANA/2),ROTACAO_RDM!$J$6:$J$71,"&gt;="&amp;$C898+INT(DIAS_POR_SEMANA/2)),0)</f>
        <v>25</v>
      </c>
      <c r="J898" s="16" t="n">
        <f aca="false">IFERROR(MATCH($I898,ROTACAO_RDM!$B$6:$B$71,0),0)</f>
        <v>25</v>
      </c>
      <c r="K898" s="8" t="str">
        <f aca="false">IF($J898=0,"SEM CULTURA",INDEX(ROTACAO_RDM!$F$6:$F$71,$J898))</f>
        <v>ALGODAO</v>
      </c>
      <c r="L898" s="8" t="str">
        <f aca="false">IF($J898=0,"",INDEX(ROTACAO_RDM!$G$6:$G$71,$J898))</f>
        <v>FM 974 GLT</v>
      </c>
      <c r="M898" s="17" t="n">
        <f aca="false">IF($J898=0,"",INDEX(ROTACAO_RDM!$I$6:$I$71,$J898))</f>
        <v>46356</v>
      </c>
      <c r="N898" s="16" t="n">
        <f aca="false">IF($J898=0,0,MAX(0,$C898+INT(DIAS_POR_SEMANA/2)-INDEX(ROTACAO_RDM!$I$6:$I$71,$J898)))</f>
        <v>150</v>
      </c>
      <c r="O898" s="19" t="n">
        <f aca="false">IF($J898=0,0,MIN(1,$N898/MAX(1,INDEX(ROTACAO_RDM!$K$6:$K$71,$J898))))</f>
        <v>0.769230769230769</v>
      </c>
      <c r="P898" s="16" t="n">
        <f aca="false">IF($J898=0,0,IFERROR(MATCH(INDEX(ROTACAO_RDM!$N$6:$N$71,$J898),PARAMETROS_CULTURAS!$B$6:$B$28,0),0))</f>
        <v>5</v>
      </c>
      <c r="Q898" s="8" t="str">
        <f aca="false">IF($P898=0,"-",IF($O898&lt;=INDEX(PARAMETROS_CULTURAS!$F$6:$F$28,$P898),"INICIAL",IF($O898&lt;=INDEX(PARAMETROS_CULTURAS!$F$6:$F$28,$P898)+INDEX(PARAMETROS_CULTURAS!$G$6:$G$28,$P898),"DESENVOLVIMENTO",IF($O898&lt;=INDEX(PARAMETROS_CULTURAS!$F$6:$F$28,$P898)+INDEX(PARAMETROS_CULTURAS!$G$6:$G$28,$P898)+INDEX(PARAMETROS_CULTURAS!$H$6:$H$28,$P898),"MEDIA","FINAL"))))</f>
        <v>FINAL</v>
      </c>
      <c r="R898" s="24" t="n">
        <f aca="false">IF($P898=0,0,IF($O898&lt;=INDEX(PARAMETROS_CULTURAS!$F$6:$F$28,$P898),INDEX(PARAMETROS_CULTURAS!$K$6:$K$28,$P898),IF($O898&lt;=INDEX(PARAMETROS_CULTURAS!$F$6:$F$28,$P898)+INDEX(PARAMETROS_CULTURAS!$G$6:$G$28,$P898),INDEX(PARAMETROS_CULTURAS!$K$6:$K$28,$P898)+(INDEX(PARAMETROS_CULTURAS!$L$6:$L$28,$P898)-INDEX(PARAMETROS_CULTURAS!$K$6:$K$28,$P898))*($O898-INDEX(PARAMETROS_CULTURAS!$F$6:$F$28,$P898))/MAX(INDEX(PARAMETROS_CULTURAS!$G$6:$G$28,$P898),0.0001),IF($O898&lt;=INDEX(PARAMETROS_CULTURAS!$F$6:$F$28,$P898)+INDEX(PARAMETROS_CULTURAS!$G$6:$G$28,$P898)+INDEX(PARAMETROS_CULTURAS!$H$6:$H$28,$P898),INDEX(PARAMETROS_CULTURAS!$L$6:$L$28,$P898),INDEX(PARAMETROS_CULTURAS!$L$6:$L$28,$P898)+(INDEX(PARAMETROS_CULTURAS!$M$6:$M$28,$P898)-INDEX(PARAMETROS_CULTURAS!$L$6:$L$28,$P898))*($O898-INDEX(PARAMETROS_CULTURAS!$F$6:$F$28,$P898)-INDEX(PARAMETROS_CULTURAS!$G$6:$G$28,$P898)-INDEX(PARAMETROS_CULTURAS!$H$6:$H$28,$P898))/MAX(INDEX(PARAMETROS_CULTURAS!$I$6:$I$28,$P898),0.0001)))))</f>
        <v>1.0532967032967</v>
      </c>
      <c r="S898" s="18" t="n">
        <f aca="false">IFERROR(INDEX(SEMANAS!$H$6:$H$71,MATCH($B898,SEMANAS!$B$6:$B$71,0)),0)</f>
        <v>30.9</v>
      </c>
      <c r="T898" s="18" t="n">
        <f aca="false">$R898*$S898</f>
        <v>32.5468681318681</v>
      </c>
      <c r="U898" s="18" t="n">
        <f aca="false">IFERROR(INDEX(SEMANAS!$I$6:$I$71,MATCH($B898,SEMANAS!$B$6:$B$71,0)),0)</f>
        <v>12.61</v>
      </c>
      <c r="V898" s="18" t="n">
        <f aca="false">IFERROR(INDEX(SEMANAS!$J$6:$J$71,MATCH($B898,SEMANAS!$B$6:$B$71,0)),0)</f>
        <v>10.088</v>
      </c>
      <c r="W898" s="18" t="n">
        <f aca="false">MAX(0,$T898-$V898)</f>
        <v>22.4588681318681</v>
      </c>
      <c r="X898" s="19" t="n">
        <f aca="false">IFERROR(INDEX(CADASTRO_PIVOS!$K$6:$K$41,MATCH($E898,CADASTRO_PIVOS!$B$6:$B$41,0)),EFICIENCIA_PADRAO)</f>
        <v>0.85</v>
      </c>
      <c r="Y898" s="18" t="n">
        <f aca="false">IF($X898&lt;=0,0,$W898/$X898)</f>
        <v>26.4221978021978</v>
      </c>
      <c r="Z898" s="16" t="n">
        <f aca="false">$Y898*$H898*MM_PARA_M3_HA</f>
        <v>39617.4433846154</v>
      </c>
      <c r="AA898" s="18" t="n">
        <f aca="false">IFERROR(INDEX(CADASTRO_PIVOS!$I$6:$I$41,MATCH($E898,CADASTRO_PIVOS!$B$6:$B$41,0)),0)</f>
        <v>928.2</v>
      </c>
      <c r="AB898" s="18" t="n">
        <f aca="false">IF($Z898&lt;=0,0,$Z898/$AA898)</f>
        <v>42.6820118343195</v>
      </c>
      <c r="AC898" s="16" t="n">
        <f aca="false">IFERROR(INDEX(SEMANAS!$K$6:$K$71,MATCH($B898,SEMANAS!$B$6:$B$71,0)),0)</f>
        <v>147</v>
      </c>
      <c r="AD898" s="19" t="n">
        <f aca="false">IF($AC898&lt;=0,0,$AB898/$AC898)</f>
        <v>0.290353822002174</v>
      </c>
      <c r="AE898" s="8" t="str">
        <f aca="false">IF($K898="SEM CULTURA","SEM CULTURA",IF($AA898&lt;=0,"DADO PENDENTE",IF($AD898&gt;LIMITE_CRITICO,"INVIAVEL",IF($AD898&gt;LIMITE_ATENCAO,"CRITICO",IF($AD898&gt;LIMITE_CONFORTAVEL,"ATENCAO","OK")))))</f>
        <v>OK</v>
      </c>
      <c r="AF898" s="8" t="str">
        <f aca="false">$B898&amp;"|"&amp;TEXT($AD898,"0.000000")</f>
        <v>35|0.290354</v>
      </c>
      <c r="AG898" s="18" t="n">
        <f aca="false">IF($K898="SEM CULTURA",0,$T898*$H898)</f>
        <v>4880.07740769231</v>
      </c>
      <c r="AH898" s="18" t="n">
        <f aca="false">IF($K898="SEM CULTURA",0,$V898*$H898)</f>
        <v>1512.59472</v>
      </c>
      <c r="AI898" s="18" t="n">
        <f aca="false">IF($K898="SEM CULTURA",0,$W898*$H898)</f>
        <v>3367.48268769231</v>
      </c>
      <c r="AJ898" s="18" t="n">
        <f aca="false">IF($K898="SEM CULTURA",0,$S898*$H898)</f>
        <v>4633.146</v>
      </c>
      <c r="AK898" s="8" t="str">
        <f aca="false">$E898&amp;"|"&amp;TEXT($AD898,"0.000000")</f>
        <v>PV 115|0.290354</v>
      </c>
    </row>
    <row r="899" customFormat="false" ht="15" hidden="false" customHeight="false" outlineLevel="0" collapsed="false">
      <c r="B899" s="16" t="n">
        <v>36</v>
      </c>
      <c r="C899" s="17" t="n">
        <f aca="false">DATA_INICIO_SAFRA+($B899-1)*DIAS_POR_SEMANA</f>
        <v>46510</v>
      </c>
      <c r="D899" s="17" t="n">
        <f aca="false">$C899+DIAS_POR_SEMANA-1</f>
        <v>46516</v>
      </c>
      <c r="E899" s="15" t="s">
        <v>272</v>
      </c>
      <c r="F899" s="8" t="str">
        <f aca="false">IFERROR(INDEX(CADASTRO_PIVOS!$C$6:$C$41,MATCH($E899,CADASTRO_PIVOS!$B$6:$B$41,0)),"?")</f>
        <v>RM05</v>
      </c>
      <c r="G899" s="8" t="str">
        <f aca="false">IFERROR(INDEX(CADASTRO_PIVOS!$D$6:$D$41,MATCH($E899,CADASTRO_PIVOS!$B$6:$B$41,0)),"?")</f>
        <v>TR05</v>
      </c>
      <c r="H899" s="20" t="n">
        <f aca="false">IFERROR(INDEX(CADASTRO_PIVOS!$E$6:$E$41,MATCH($E899,CADASTRO_PIVOS!$B$6:$B$41,0)),0)</f>
        <v>149.94</v>
      </c>
      <c r="I899" s="16" t="n">
        <f aca="false">IFERROR(SUMIFS(ROTACAO_RDM!$B$6:$B$71,ROTACAO_RDM!$D$6:$D$71,$E899,ROTACAO_RDM!$I$6:$I$71,"&lt;="&amp;$C899+INT(DIAS_POR_SEMANA/2),ROTACAO_RDM!$J$6:$J$71,"&gt;="&amp;$C899+INT(DIAS_POR_SEMANA/2)),0)</f>
        <v>25</v>
      </c>
      <c r="J899" s="16" t="n">
        <f aca="false">IFERROR(MATCH($I899,ROTACAO_RDM!$B$6:$B$71,0),0)</f>
        <v>25</v>
      </c>
      <c r="K899" s="8" t="str">
        <f aca="false">IF($J899=0,"SEM CULTURA",INDEX(ROTACAO_RDM!$F$6:$F$71,$J899))</f>
        <v>ALGODAO</v>
      </c>
      <c r="L899" s="8" t="str">
        <f aca="false">IF($J899=0,"",INDEX(ROTACAO_RDM!$G$6:$G$71,$J899))</f>
        <v>FM 974 GLT</v>
      </c>
      <c r="M899" s="17" t="n">
        <f aca="false">IF($J899=0,"",INDEX(ROTACAO_RDM!$I$6:$I$71,$J899))</f>
        <v>46356</v>
      </c>
      <c r="N899" s="16" t="n">
        <f aca="false">IF($J899=0,0,MAX(0,$C899+INT(DIAS_POR_SEMANA/2)-INDEX(ROTACAO_RDM!$I$6:$I$71,$J899)))</f>
        <v>157</v>
      </c>
      <c r="O899" s="19" t="n">
        <f aca="false">IF($J899=0,0,MIN(1,$N899/MAX(1,INDEX(ROTACAO_RDM!$K$6:$K$71,$J899))))</f>
        <v>0.805128205128205</v>
      </c>
      <c r="P899" s="16" t="n">
        <f aca="false">IF($J899=0,0,IFERROR(MATCH(INDEX(ROTACAO_RDM!$N$6:$N$71,$J899),PARAMETROS_CULTURAS!$B$6:$B$28,0),0))</f>
        <v>5</v>
      </c>
      <c r="Q899" s="8" t="str">
        <f aca="false">IF($P899=0,"-",IF($O899&lt;=INDEX(PARAMETROS_CULTURAS!$F$6:$F$28,$P899),"INICIAL",IF($O899&lt;=INDEX(PARAMETROS_CULTURAS!$F$6:$F$28,$P899)+INDEX(PARAMETROS_CULTURAS!$G$6:$G$28,$P899),"DESENVOLVIMENTO",IF($O899&lt;=INDEX(PARAMETROS_CULTURAS!$F$6:$F$28,$P899)+INDEX(PARAMETROS_CULTURAS!$G$6:$G$28,$P899)+INDEX(PARAMETROS_CULTURAS!$H$6:$H$28,$P899),"MEDIA","FINAL"))))</f>
        <v>FINAL</v>
      </c>
      <c r="R899" s="24" t="n">
        <f aca="false">IF($P899=0,0,IF($O899&lt;=INDEX(PARAMETROS_CULTURAS!$F$6:$F$28,$P899),INDEX(PARAMETROS_CULTURAS!$K$6:$K$28,$P899),IF($O899&lt;=INDEX(PARAMETROS_CULTURAS!$F$6:$F$28,$P899)+INDEX(PARAMETROS_CULTURAS!$G$6:$G$28,$P899),INDEX(PARAMETROS_CULTURAS!$K$6:$K$28,$P899)+(INDEX(PARAMETROS_CULTURAS!$L$6:$L$28,$P899)-INDEX(PARAMETROS_CULTURAS!$K$6:$K$28,$P899))*($O899-INDEX(PARAMETROS_CULTURAS!$F$6:$F$28,$P899))/MAX(INDEX(PARAMETROS_CULTURAS!$G$6:$G$28,$P899),0.0001),IF($O899&lt;=INDEX(PARAMETROS_CULTURAS!$F$6:$F$28,$P899)+INDEX(PARAMETROS_CULTURAS!$G$6:$G$28,$P899)+INDEX(PARAMETROS_CULTURAS!$H$6:$H$28,$P899),INDEX(PARAMETROS_CULTURAS!$L$6:$L$28,$P899),INDEX(PARAMETROS_CULTURAS!$L$6:$L$28,$P899)+(INDEX(PARAMETROS_CULTURAS!$M$6:$M$28,$P899)-INDEX(PARAMETROS_CULTURAS!$L$6:$L$28,$P899))*($O899-INDEX(PARAMETROS_CULTURAS!$F$6:$F$28,$P899)-INDEX(PARAMETROS_CULTURAS!$G$6:$G$28,$P899)-INDEX(PARAMETROS_CULTURAS!$H$6:$H$28,$P899))/MAX(INDEX(PARAMETROS_CULTURAS!$I$6:$I$28,$P899),0.0001)))))</f>
        <v>0.982783882783883</v>
      </c>
      <c r="S899" s="18" t="n">
        <f aca="false">IFERROR(INDEX(SEMANAS!$H$6:$H$71,MATCH($B899,SEMANAS!$B$6:$B$71,0)),0)</f>
        <v>29.4</v>
      </c>
      <c r="T899" s="18" t="n">
        <f aca="false">$R899*$S899</f>
        <v>28.8938461538462</v>
      </c>
      <c r="U899" s="18" t="n">
        <f aca="false">IFERROR(INDEX(SEMANAS!$I$6:$I$71,MATCH($B899,SEMANAS!$B$6:$B$71,0)),0)</f>
        <v>3.36</v>
      </c>
      <c r="V899" s="18" t="n">
        <f aca="false">IFERROR(INDEX(SEMANAS!$J$6:$J$71,MATCH($B899,SEMANAS!$B$6:$B$71,0)),0)</f>
        <v>2.688</v>
      </c>
      <c r="W899" s="18" t="n">
        <f aca="false">MAX(0,$T899-$V899)</f>
        <v>26.2058461538462</v>
      </c>
      <c r="X899" s="19" t="n">
        <f aca="false">IFERROR(INDEX(CADASTRO_PIVOS!$K$6:$K$41,MATCH($E899,CADASTRO_PIVOS!$B$6:$B$41,0)),EFICIENCIA_PADRAO)</f>
        <v>0.85</v>
      </c>
      <c r="Y899" s="18" t="n">
        <f aca="false">IF($X899&lt;=0,0,$W899/$X899)</f>
        <v>30.830407239819</v>
      </c>
      <c r="Z899" s="16" t="n">
        <f aca="false">$Y899*$H899*MM_PARA_M3_HA</f>
        <v>46227.1126153846</v>
      </c>
      <c r="AA899" s="18" t="n">
        <f aca="false">IFERROR(INDEX(CADASTRO_PIVOS!$I$6:$I$41,MATCH($E899,CADASTRO_PIVOS!$B$6:$B$41,0)),0)</f>
        <v>928.2</v>
      </c>
      <c r="AB899" s="18" t="n">
        <f aca="false">IF($Z899&lt;=0,0,$Z899/$AA899)</f>
        <v>49.8029655412461</v>
      </c>
      <c r="AC899" s="16" t="n">
        <f aca="false">IFERROR(INDEX(SEMANAS!$K$6:$K$71,MATCH($B899,SEMANAS!$B$6:$B$71,0)),0)</f>
        <v>147</v>
      </c>
      <c r="AD899" s="19" t="n">
        <f aca="false">IF($AC899&lt;=0,0,$AB899/$AC899)</f>
        <v>0.338795683954055</v>
      </c>
      <c r="AE899" s="8" t="str">
        <f aca="false">IF($K899="SEM CULTURA","SEM CULTURA",IF($AA899&lt;=0,"DADO PENDENTE",IF($AD899&gt;LIMITE_CRITICO,"INVIAVEL",IF($AD899&gt;LIMITE_ATENCAO,"CRITICO",IF($AD899&gt;LIMITE_CONFORTAVEL,"ATENCAO","OK")))))</f>
        <v>OK</v>
      </c>
      <c r="AF899" s="8" t="str">
        <f aca="false">$B899&amp;"|"&amp;TEXT($AD899,"0.000000")</f>
        <v>36|0.338796</v>
      </c>
      <c r="AG899" s="18" t="n">
        <f aca="false">IF($K899="SEM CULTURA",0,$T899*$H899)</f>
        <v>4332.34329230769</v>
      </c>
      <c r="AH899" s="18" t="n">
        <f aca="false">IF($K899="SEM CULTURA",0,$V899*$H899)</f>
        <v>403.03872</v>
      </c>
      <c r="AI899" s="18" t="n">
        <f aca="false">IF($K899="SEM CULTURA",0,$W899*$H899)</f>
        <v>3929.30457230769</v>
      </c>
      <c r="AJ899" s="18" t="n">
        <f aca="false">IF($K899="SEM CULTURA",0,$S899*$H899)</f>
        <v>4408.236</v>
      </c>
      <c r="AK899" s="8" t="str">
        <f aca="false">$E899&amp;"|"&amp;TEXT($AD899,"0.000000")</f>
        <v>PV 115|0.338796</v>
      </c>
    </row>
    <row r="900" customFormat="false" ht="15" hidden="false" customHeight="false" outlineLevel="0" collapsed="false">
      <c r="B900" s="16" t="n">
        <v>37</v>
      </c>
      <c r="C900" s="17" t="n">
        <f aca="false">DATA_INICIO_SAFRA+($B900-1)*DIAS_POR_SEMANA</f>
        <v>46517</v>
      </c>
      <c r="D900" s="17" t="n">
        <f aca="false">$C900+DIAS_POR_SEMANA-1</f>
        <v>46523</v>
      </c>
      <c r="E900" s="15" t="s">
        <v>272</v>
      </c>
      <c r="F900" s="8" t="str">
        <f aca="false">IFERROR(INDEX(CADASTRO_PIVOS!$C$6:$C$41,MATCH($E900,CADASTRO_PIVOS!$B$6:$B$41,0)),"?")</f>
        <v>RM05</v>
      </c>
      <c r="G900" s="8" t="str">
        <f aca="false">IFERROR(INDEX(CADASTRO_PIVOS!$D$6:$D$41,MATCH($E900,CADASTRO_PIVOS!$B$6:$B$41,0)),"?")</f>
        <v>TR05</v>
      </c>
      <c r="H900" s="20" t="n">
        <f aca="false">IFERROR(INDEX(CADASTRO_PIVOS!$E$6:$E$41,MATCH($E900,CADASTRO_PIVOS!$B$6:$B$41,0)),0)</f>
        <v>149.94</v>
      </c>
      <c r="I900" s="16" t="n">
        <f aca="false">IFERROR(SUMIFS(ROTACAO_RDM!$B$6:$B$71,ROTACAO_RDM!$D$6:$D$71,$E900,ROTACAO_RDM!$I$6:$I$71,"&lt;="&amp;$C900+INT(DIAS_POR_SEMANA/2),ROTACAO_RDM!$J$6:$J$71,"&gt;="&amp;$C900+INT(DIAS_POR_SEMANA/2)),0)</f>
        <v>25</v>
      </c>
      <c r="J900" s="16" t="n">
        <f aca="false">IFERROR(MATCH($I900,ROTACAO_RDM!$B$6:$B$71,0),0)</f>
        <v>25</v>
      </c>
      <c r="K900" s="8" t="str">
        <f aca="false">IF($J900=0,"SEM CULTURA",INDEX(ROTACAO_RDM!$F$6:$F$71,$J900))</f>
        <v>ALGODAO</v>
      </c>
      <c r="L900" s="8" t="str">
        <f aca="false">IF($J900=0,"",INDEX(ROTACAO_RDM!$G$6:$G$71,$J900))</f>
        <v>FM 974 GLT</v>
      </c>
      <c r="M900" s="17" t="n">
        <f aca="false">IF($J900=0,"",INDEX(ROTACAO_RDM!$I$6:$I$71,$J900))</f>
        <v>46356</v>
      </c>
      <c r="N900" s="16" t="n">
        <f aca="false">IF($J900=0,0,MAX(0,$C900+INT(DIAS_POR_SEMANA/2)-INDEX(ROTACAO_RDM!$I$6:$I$71,$J900)))</f>
        <v>164</v>
      </c>
      <c r="O900" s="19" t="n">
        <f aca="false">IF($J900=0,0,MIN(1,$N900/MAX(1,INDEX(ROTACAO_RDM!$K$6:$K$71,$J900))))</f>
        <v>0.841025641025641</v>
      </c>
      <c r="P900" s="16" t="n">
        <f aca="false">IF($J900=0,0,IFERROR(MATCH(INDEX(ROTACAO_RDM!$N$6:$N$71,$J900),PARAMETROS_CULTURAS!$B$6:$B$28,0),0))</f>
        <v>5</v>
      </c>
      <c r="Q900" s="8" t="str">
        <f aca="false">IF($P900=0,"-",IF($O900&lt;=INDEX(PARAMETROS_CULTURAS!$F$6:$F$28,$P900),"INICIAL",IF($O900&lt;=INDEX(PARAMETROS_CULTURAS!$F$6:$F$28,$P900)+INDEX(PARAMETROS_CULTURAS!$G$6:$G$28,$P900),"DESENVOLVIMENTO",IF($O900&lt;=INDEX(PARAMETROS_CULTURAS!$F$6:$F$28,$P900)+INDEX(PARAMETROS_CULTURAS!$G$6:$G$28,$P900)+INDEX(PARAMETROS_CULTURAS!$H$6:$H$28,$P900),"MEDIA","FINAL"))))</f>
        <v>FINAL</v>
      </c>
      <c r="R900" s="24" t="n">
        <f aca="false">IF($P900=0,0,IF($O900&lt;=INDEX(PARAMETROS_CULTURAS!$F$6:$F$28,$P900),INDEX(PARAMETROS_CULTURAS!$K$6:$K$28,$P900),IF($O900&lt;=INDEX(PARAMETROS_CULTURAS!$F$6:$F$28,$P900)+INDEX(PARAMETROS_CULTURAS!$G$6:$G$28,$P900),INDEX(PARAMETROS_CULTURAS!$K$6:$K$28,$P900)+(INDEX(PARAMETROS_CULTURAS!$L$6:$L$28,$P900)-INDEX(PARAMETROS_CULTURAS!$K$6:$K$28,$P900))*($O900-INDEX(PARAMETROS_CULTURAS!$F$6:$F$28,$P900))/MAX(INDEX(PARAMETROS_CULTURAS!$G$6:$G$28,$P900),0.0001),IF($O900&lt;=INDEX(PARAMETROS_CULTURAS!$F$6:$F$28,$P900)+INDEX(PARAMETROS_CULTURAS!$G$6:$G$28,$P900)+INDEX(PARAMETROS_CULTURAS!$H$6:$H$28,$P900),INDEX(PARAMETROS_CULTURAS!$L$6:$L$28,$P900),INDEX(PARAMETROS_CULTURAS!$L$6:$L$28,$P900)+(INDEX(PARAMETROS_CULTURAS!$M$6:$M$28,$P900)-INDEX(PARAMETROS_CULTURAS!$L$6:$L$28,$P900))*($O900-INDEX(PARAMETROS_CULTURAS!$F$6:$F$28,$P900)-INDEX(PARAMETROS_CULTURAS!$G$6:$G$28,$P900)-INDEX(PARAMETROS_CULTURAS!$H$6:$H$28,$P900))/MAX(INDEX(PARAMETROS_CULTURAS!$I$6:$I$28,$P900),0.0001)))))</f>
        <v>0.912271062271062</v>
      </c>
      <c r="S900" s="18" t="n">
        <f aca="false">IFERROR(INDEX(SEMANAS!$H$6:$H$71,MATCH($B900,SEMANAS!$B$6:$B$71,0)),0)</f>
        <v>29.4</v>
      </c>
      <c r="T900" s="18" t="n">
        <f aca="false">$R900*$S900</f>
        <v>26.8207692307692</v>
      </c>
      <c r="U900" s="18" t="n">
        <f aca="false">IFERROR(INDEX(SEMANAS!$I$6:$I$71,MATCH($B900,SEMANAS!$B$6:$B$71,0)),0)</f>
        <v>3.36</v>
      </c>
      <c r="V900" s="18" t="n">
        <f aca="false">IFERROR(INDEX(SEMANAS!$J$6:$J$71,MATCH($B900,SEMANAS!$B$6:$B$71,0)),0)</f>
        <v>2.688</v>
      </c>
      <c r="W900" s="18" t="n">
        <f aca="false">MAX(0,$T900-$V900)</f>
        <v>24.1327692307692</v>
      </c>
      <c r="X900" s="19" t="n">
        <f aca="false">IFERROR(INDEX(CADASTRO_PIVOS!$K$6:$K$41,MATCH($E900,CADASTRO_PIVOS!$B$6:$B$41,0)),EFICIENCIA_PADRAO)</f>
        <v>0.85</v>
      </c>
      <c r="Y900" s="18" t="n">
        <f aca="false">IF($X900&lt;=0,0,$W900/$X900)</f>
        <v>28.3914932126697</v>
      </c>
      <c r="Z900" s="16" t="n">
        <f aca="false">$Y900*$H900*MM_PARA_M3_HA</f>
        <v>42570.2049230769</v>
      </c>
      <c r="AA900" s="18" t="n">
        <f aca="false">IFERROR(INDEX(CADASTRO_PIVOS!$I$6:$I$41,MATCH($E900,CADASTRO_PIVOS!$B$6:$B$41,0)),0)</f>
        <v>928.2</v>
      </c>
      <c r="AB900" s="18" t="n">
        <f aca="false">IF($Z900&lt;=0,0,$Z900/$AA900)</f>
        <v>45.8631813435433</v>
      </c>
      <c r="AC900" s="16" t="n">
        <f aca="false">IFERROR(INDEX(SEMANAS!$K$6:$K$71,MATCH($B900,SEMANAS!$B$6:$B$71,0)),0)</f>
        <v>147</v>
      </c>
      <c r="AD900" s="19" t="n">
        <f aca="false">IF($AC900&lt;=0,0,$AB900/$AC900)</f>
        <v>0.311994430908458</v>
      </c>
      <c r="AE900" s="8" t="str">
        <f aca="false">IF($K900="SEM CULTURA","SEM CULTURA",IF($AA900&lt;=0,"DADO PENDENTE",IF($AD900&gt;LIMITE_CRITICO,"INVIAVEL",IF($AD900&gt;LIMITE_ATENCAO,"CRITICO",IF($AD900&gt;LIMITE_CONFORTAVEL,"ATENCAO","OK")))))</f>
        <v>OK</v>
      </c>
      <c r="AF900" s="8" t="str">
        <f aca="false">$B900&amp;"|"&amp;TEXT($AD900,"0.000000")</f>
        <v>37|0.311994</v>
      </c>
      <c r="AG900" s="18" t="n">
        <f aca="false">IF($K900="SEM CULTURA",0,$T900*$H900)</f>
        <v>4021.50613846154</v>
      </c>
      <c r="AH900" s="18" t="n">
        <f aca="false">IF($K900="SEM CULTURA",0,$V900*$H900)</f>
        <v>403.03872</v>
      </c>
      <c r="AI900" s="18" t="n">
        <f aca="false">IF($K900="SEM CULTURA",0,$W900*$H900)</f>
        <v>3618.46741846154</v>
      </c>
      <c r="AJ900" s="18" t="n">
        <f aca="false">IF($K900="SEM CULTURA",0,$S900*$H900)</f>
        <v>4408.236</v>
      </c>
      <c r="AK900" s="8" t="str">
        <f aca="false">$E900&amp;"|"&amp;TEXT($AD900,"0.000000")</f>
        <v>PV 115|0.311994</v>
      </c>
    </row>
    <row r="901" customFormat="false" ht="15" hidden="false" customHeight="false" outlineLevel="0" collapsed="false">
      <c r="B901" s="16" t="n">
        <v>38</v>
      </c>
      <c r="C901" s="17" t="n">
        <f aca="false">DATA_INICIO_SAFRA+($B901-1)*DIAS_POR_SEMANA</f>
        <v>46524</v>
      </c>
      <c r="D901" s="17" t="n">
        <f aca="false">$C901+DIAS_POR_SEMANA-1</f>
        <v>46530</v>
      </c>
      <c r="E901" s="15" t="s">
        <v>272</v>
      </c>
      <c r="F901" s="8" t="str">
        <f aca="false">IFERROR(INDEX(CADASTRO_PIVOS!$C$6:$C$41,MATCH($E901,CADASTRO_PIVOS!$B$6:$B$41,0)),"?")</f>
        <v>RM05</v>
      </c>
      <c r="G901" s="8" t="str">
        <f aca="false">IFERROR(INDEX(CADASTRO_PIVOS!$D$6:$D$41,MATCH($E901,CADASTRO_PIVOS!$B$6:$B$41,0)),"?")</f>
        <v>TR05</v>
      </c>
      <c r="H901" s="20" t="n">
        <f aca="false">IFERROR(INDEX(CADASTRO_PIVOS!$E$6:$E$41,MATCH($E901,CADASTRO_PIVOS!$B$6:$B$41,0)),0)</f>
        <v>149.94</v>
      </c>
      <c r="I901" s="16" t="n">
        <f aca="false">IFERROR(SUMIFS(ROTACAO_RDM!$B$6:$B$71,ROTACAO_RDM!$D$6:$D$71,$E901,ROTACAO_RDM!$I$6:$I$71,"&lt;="&amp;$C901+INT(DIAS_POR_SEMANA/2),ROTACAO_RDM!$J$6:$J$71,"&gt;="&amp;$C901+INT(DIAS_POR_SEMANA/2)),0)</f>
        <v>25</v>
      </c>
      <c r="J901" s="16" t="n">
        <f aca="false">IFERROR(MATCH($I901,ROTACAO_RDM!$B$6:$B$71,0),0)</f>
        <v>25</v>
      </c>
      <c r="K901" s="8" t="str">
        <f aca="false">IF($J901=0,"SEM CULTURA",INDEX(ROTACAO_RDM!$F$6:$F$71,$J901))</f>
        <v>ALGODAO</v>
      </c>
      <c r="L901" s="8" t="str">
        <f aca="false">IF($J901=0,"",INDEX(ROTACAO_RDM!$G$6:$G$71,$J901))</f>
        <v>FM 974 GLT</v>
      </c>
      <c r="M901" s="17" t="n">
        <f aca="false">IF($J901=0,"",INDEX(ROTACAO_RDM!$I$6:$I$71,$J901))</f>
        <v>46356</v>
      </c>
      <c r="N901" s="16" t="n">
        <f aca="false">IF($J901=0,0,MAX(0,$C901+INT(DIAS_POR_SEMANA/2)-INDEX(ROTACAO_RDM!$I$6:$I$71,$J901)))</f>
        <v>171</v>
      </c>
      <c r="O901" s="19" t="n">
        <f aca="false">IF($J901=0,0,MIN(1,$N901/MAX(1,INDEX(ROTACAO_RDM!$K$6:$K$71,$J901))))</f>
        <v>0.876923076923077</v>
      </c>
      <c r="P901" s="16" t="n">
        <f aca="false">IF($J901=0,0,IFERROR(MATCH(INDEX(ROTACAO_RDM!$N$6:$N$71,$J901),PARAMETROS_CULTURAS!$B$6:$B$28,0),0))</f>
        <v>5</v>
      </c>
      <c r="Q901" s="8" t="str">
        <f aca="false">IF($P901=0,"-",IF($O901&lt;=INDEX(PARAMETROS_CULTURAS!$F$6:$F$28,$P901),"INICIAL",IF($O901&lt;=INDEX(PARAMETROS_CULTURAS!$F$6:$F$28,$P901)+INDEX(PARAMETROS_CULTURAS!$G$6:$G$28,$P901),"DESENVOLVIMENTO",IF($O901&lt;=INDEX(PARAMETROS_CULTURAS!$F$6:$F$28,$P901)+INDEX(PARAMETROS_CULTURAS!$G$6:$G$28,$P901)+INDEX(PARAMETROS_CULTURAS!$H$6:$H$28,$P901),"MEDIA","FINAL"))))</f>
        <v>FINAL</v>
      </c>
      <c r="R901" s="24" t="n">
        <f aca="false">IF($P901=0,0,IF($O901&lt;=INDEX(PARAMETROS_CULTURAS!$F$6:$F$28,$P901),INDEX(PARAMETROS_CULTURAS!$K$6:$K$28,$P901),IF($O901&lt;=INDEX(PARAMETROS_CULTURAS!$F$6:$F$28,$P901)+INDEX(PARAMETROS_CULTURAS!$G$6:$G$28,$P901),INDEX(PARAMETROS_CULTURAS!$K$6:$K$28,$P901)+(INDEX(PARAMETROS_CULTURAS!$L$6:$L$28,$P901)-INDEX(PARAMETROS_CULTURAS!$K$6:$K$28,$P901))*($O901-INDEX(PARAMETROS_CULTURAS!$F$6:$F$28,$P901))/MAX(INDEX(PARAMETROS_CULTURAS!$G$6:$G$28,$P901),0.0001),IF($O901&lt;=INDEX(PARAMETROS_CULTURAS!$F$6:$F$28,$P901)+INDEX(PARAMETROS_CULTURAS!$G$6:$G$28,$P901)+INDEX(PARAMETROS_CULTURAS!$H$6:$H$28,$P901),INDEX(PARAMETROS_CULTURAS!$L$6:$L$28,$P901),INDEX(PARAMETROS_CULTURAS!$L$6:$L$28,$P901)+(INDEX(PARAMETROS_CULTURAS!$M$6:$M$28,$P901)-INDEX(PARAMETROS_CULTURAS!$L$6:$L$28,$P901))*($O901-INDEX(PARAMETROS_CULTURAS!$F$6:$F$28,$P901)-INDEX(PARAMETROS_CULTURAS!$G$6:$G$28,$P901)-INDEX(PARAMETROS_CULTURAS!$H$6:$H$28,$P901))/MAX(INDEX(PARAMETROS_CULTURAS!$I$6:$I$28,$P901),0.0001)))))</f>
        <v>0.841758241758242</v>
      </c>
      <c r="S901" s="18" t="n">
        <f aca="false">IFERROR(INDEX(SEMANAS!$H$6:$H$71,MATCH($B901,SEMANAS!$B$6:$B$71,0)),0)</f>
        <v>29.4</v>
      </c>
      <c r="T901" s="18" t="n">
        <f aca="false">$R901*$S901</f>
        <v>24.7476923076923</v>
      </c>
      <c r="U901" s="18" t="n">
        <f aca="false">IFERROR(INDEX(SEMANAS!$I$6:$I$71,MATCH($B901,SEMANAS!$B$6:$B$71,0)),0)</f>
        <v>3.36</v>
      </c>
      <c r="V901" s="18" t="n">
        <f aca="false">IFERROR(INDEX(SEMANAS!$J$6:$J$71,MATCH($B901,SEMANAS!$B$6:$B$71,0)),0)</f>
        <v>2.688</v>
      </c>
      <c r="W901" s="18" t="n">
        <f aca="false">MAX(0,$T901-$V901)</f>
        <v>22.0596923076923</v>
      </c>
      <c r="X901" s="19" t="n">
        <f aca="false">IFERROR(INDEX(CADASTRO_PIVOS!$K$6:$K$41,MATCH($E901,CADASTRO_PIVOS!$B$6:$B$41,0)),EFICIENCIA_PADRAO)</f>
        <v>0.85</v>
      </c>
      <c r="Y901" s="18" t="n">
        <f aca="false">IF($X901&lt;=0,0,$W901/$X901)</f>
        <v>25.9525791855204</v>
      </c>
      <c r="Z901" s="16" t="n">
        <f aca="false">$Y901*$H901*MM_PARA_M3_HA</f>
        <v>38913.2972307692</v>
      </c>
      <c r="AA901" s="18" t="n">
        <f aca="false">IFERROR(INDEX(CADASTRO_PIVOS!$I$6:$I$41,MATCH($E901,CADASTRO_PIVOS!$B$6:$B$41,0)),0)</f>
        <v>928.2</v>
      </c>
      <c r="AB901" s="18" t="n">
        <f aca="false">IF($Z901&lt;=0,0,$Z901/$AA901)</f>
        <v>41.9233971458406</v>
      </c>
      <c r="AC901" s="16" t="n">
        <f aca="false">IFERROR(INDEX(SEMANAS!$K$6:$K$71,MATCH($B901,SEMANAS!$B$6:$B$71,0)),0)</f>
        <v>147</v>
      </c>
      <c r="AD901" s="19" t="n">
        <f aca="false">IF($AC901&lt;=0,0,$AB901/$AC901)</f>
        <v>0.285193177862861</v>
      </c>
      <c r="AE901" s="8" t="str">
        <f aca="false">IF($K901="SEM CULTURA","SEM CULTURA",IF($AA901&lt;=0,"DADO PENDENTE",IF($AD901&gt;LIMITE_CRITICO,"INVIAVEL",IF($AD901&gt;LIMITE_ATENCAO,"CRITICO",IF($AD901&gt;LIMITE_CONFORTAVEL,"ATENCAO","OK")))))</f>
        <v>OK</v>
      </c>
      <c r="AF901" s="8" t="str">
        <f aca="false">$B901&amp;"|"&amp;TEXT($AD901,"0.000000")</f>
        <v>38|0.285193</v>
      </c>
      <c r="AG901" s="18" t="n">
        <f aca="false">IF($K901="SEM CULTURA",0,$T901*$H901)</f>
        <v>3710.66898461539</v>
      </c>
      <c r="AH901" s="18" t="n">
        <f aca="false">IF($K901="SEM CULTURA",0,$V901*$H901)</f>
        <v>403.03872</v>
      </c>
      <c r="AI901" s="18" t="n">
        <f aca="false">IF($K901="SEM CULTURA",0,$W901*$H901)</f>
        <v>3307.63026461539</v>
      </c>
      <c r="AJ901" s="18" t="n">
        <f aca="false">IF($K901="SEM CULTURA",0,$S901*$H901)</f>
        <v>4408.236</v>
      </c>
      <c r="AK901" s="8" t="str">
        <f aca="false">$E901&amp;"|"&amp;TEXT($AD901,"0.000000")</f>
        <v>PV 115|0.285193</v>
      </c>
    </row>
    <row r="902" customFormat="false" ht="15" hidden="false" customHeight="false" outlineLevel="0" collapsed="false">
      <c r="B902" s="16" t="n">
        <v>39</v>
      </c>
      <c r="C902" s="17" t="n">
        <f aca="false">DATA_INICIO_SAFRA+($B902-1)*DIAS_POR_SEMANA</f>
        <v>46531</v>
      </c>
      <c r="D902" s="17" t="n">
        <f aca="false">$C902+DIAS_POR_SEMANA-1</f>
        <v>46537</v>
      </c>
      <c r="E902" s="15" t="s">
        <v>272</v>
      </c>
      <c r="F902" s="8" t="str">
        <f aca="false">IFERROR(INDEX(CADASTRO_PIVOS!$C$6:$C$41,MATCH($E902,CADASTRO_PIVOS!$B$6:$B$41,0)),"?")</f>
        <v>RM05</v>
      </c>
      <c r="G902" s="8" t="str">
        <f aca="false">IFERROR(INDEX(CADASTRO_PIVOS!$D$6:$D$41,MATCH($E902,CADASTRO_PIVOS!$B$6:$B$41,0)),"?")</f>
        <v>TR05</v>
      </c>
      <c r="H902" s="20" t="n">
        <f aca="false">IFERROR(INDEX(CADASTRO_PIVOS!$E$6:$E$41,MATCH($E902,CADASTRO_PIVOS!$B$6:$B$41,0)),0)</f>
        <v>149.94</v>
      </c>
      <c r="I902" s="16" t="n">
        <f aca="false">IFERROR(SUMIFS(ROTACAO_RDM!$B$6:$B$71,ROTACAO_RDM!$D$6:$D$71,$E902,ROTACAO_RDM!$I$6:$I$71,"&lt;="&amp;$C902+INT(DIAS_POR_SEMANA/2),ROTACAO_RDM!$J$6:$J$71,"&gt;="&amp;$C902+INT(DIAS_POR_SEMANA/2)),0)</f>
        <v>25</v>
      </c>
      <c r="J902" s="16" t="n">
        <f aca="false">IFERROR(MATCH($I902,ROTACAO_RDM!$B$6:$B$71,0),0)</f>
        <v>25</v>
      </c>
      <c r="K902" s="8" t="str">
        <f aca="false">IF($J902=0,"SEM CULTURA",INDEX(ROTACAO_RDM!$F$6:$F$71,$J902))</f>
        <v>ALGODAO</v>
      </c>
      <c r="L902" s="8" t="str">
        <f aca="false">IF($J902=0,"",INDEX(ROTACAO_RDM!$G$6:$G$71,$J902))</f>
        <v>FM 974 GLT</v>
      </c>
      <c r="M902" s="17" t="n">
        <f aca="false">IF($J902=0,"",INDEX(ROTACAO_RDM!$I$6:$I$71,$J902))</f>
        <v>46356</v>
      </c>
      <c r="N902" s="16" t="n">
        <f aca="false">IF($J902=0,0,MAX(0,$C902+INT(DIAS_POR_SEMANA/2)-INDEX(ROTACAO_RDM!$I$6:$I$71,$J902)))</f>
        <v>178</v>
      </c>
      <c r="O902" s="19" t="n">
        <f aca="false">IF($J902=0,0,MIN(1,$N902/MAX(1,INDEX(ROTACAO_RDM!$K$6:$K$71,$J902))))</f>
        <v>0.912820512820513</v>
      </c>
      <c r="P902" s="16" t="n">
        <f aca="false">IF($J902=0,0,IFERROR(MATCH(INDEX(ROTACAO_RDM!$N$6:$N$71,$J902),PARAMETROS_CULTURAS!$B$6:$B$28,0),0))</f>
        <v>5</v>
      </c>
      <c r="Q902" s="8" t="str">
        <f aca="false">IF($P902=0,"-",IF($O902&lt;=INDEX(PARAMETROS_CULTURAS!$F$6:$F$28,$P902),"INICIAL",IF($O902&lt;=INDEX(PARAMETROS_CULTURAS!$F$6:$F$28,$P902)+INDEX(PARAMETROS_CULTURAS!$G$6:$G$28,$P902),"DESENVOLVIMENTO",IF($O902&lt;=INDEX(PARAMETROS_CULTURAS!$F$6:$F$28,$P902)+INDEX(PARAMETROS_CULTURAS!$G$6:$G$28,$P902)+INDEX(PARAMETROS_CULTURAS!$H$6:$H$28,$P902),"MEDIA","FINAL"))))</f>
        <v>FINAL</v>
      </c>
      <c r="R902" s="24" t="n">
        <f aca="false">IF($P902=0,0,IF($O902&lt;=INDEX(PARAMETROS_CULTURAS!$F$6:$F$28,$P902),INDEX(PARAMETROS_CULTURAS!$K$6:$K$28,$P902),IF($O902&lt;=INDEX(PARAMETROS_CULTURAS!$F$6:$F$28,$P902)+INDEX(PARAMETROS_CULTURAS!$G$6:$G$28,$P902),INDEX(PARAMETROS_CULTURAS!$K$6:$K$28,$P902)+(INDEX(PARAMETROS_CULTURAS!$L$6:$L$28,$P902)-INDEX(PARAMETROS_CULTURAS!$K$6:$K$28,$P902))*($O902-INDEX(PARAMETROS_CULTURAS!$F$6:$F$28,$P902))/MAX(INDEX(PARAMETROS_CULTURAS!$G$6:$G$28,$P902),0.0001),IF($O902&lt;=INDEX(PARAMETROS_CULTURAS!$F$6:$F$28,$P902)+INDEX(PARAMETROS_CULTURAS!$G$6:$G$28,$P902)+INDEX(PARAMETROS_CULTURAS!$H$6:$H$28,$P902),INDEX(PARAMETROS_CULTURAS!$L$6:$L$28,$P902),INDEX(PARAMETROS_CULTURAS!$L$6:$L$28,$P902)+(INDEX(PARAMETROS_CULTURAS!$M$6:$M$28,$P902)-INDEX(PARAMETROS_CULTURAS!$L$6:$L$28,$P902))*($O902-INDEX(PARAMETROS_CULTURAS!$F$6:$F$28,$P902)-INDEX(PARAMETROS_CULTURAS!$G$6:$G$28,$P902)-INDEX(PARAMETROS_CULTURAS!$H$6:$H$28,$P902))/MAX(INDEX(PARAMETROS_CULTURAS!$I$6:$I$28,$P902),0.0001)))))</f>
        <v>0.771245421245421</v>
      </c>
      <c r="S902" s="18" t="n">
        <f aca="false">IFERROR(INDEX(SEMANAS!$H$6:$H$71,MATCH($B902,SEMANAS!$B$6:$B$71,0)),0)</f>
        <v>29.4</v>
      </c>
      <c r="T902" s="18" t="n">
        <f aca="false">$R902*$S902</f>
        <v>22.6746153846154</v>
      </c>
      <c r="U902" s="18" t="n">
        <f aca="false">IFERROR(INDEX(SEMANAS!$I$6:$I$71,MATCH($B902,SEMANAS!$B$6:$B$71,0)),0)</f>
        <v>3.36</v>
      </c>
      <c r="V902" s="18" t="n">
        <f aca="false">IFERROR(INDEX(SEMANAS!$J$6:$J$71,MATCH($B902,SEMANAS!$B$6:$B$71,0)),0)</f>
        <v>2.688</v>
      </c>
      <c r="W902" s="18" t="n">
        <f aca="false">MAX(0,$T902-$V902)</f>
        <v>19.9866153846154</v>
      </c>
      <c r="X902" s="19" t="n">
        <f aca="false">IFERROR(INDEX(CADASTRO_PIVOS!$K$6:$K$41,MATCH($E902,CADASTRO_PIVOS!$B$6:$B$41,0)),EFICIENCIA_PADRAO)</f>
        <v>0.85</v>
      </c>
      <c r="Y902" s="18" t="n">
        <f aca="false">IF($X902&lt;=0,0,$W902/$X902)</f>
        <v>23.513665158371</v>
      </c>
      <c r="Z902" s="16" t="n">
        <f aca="false">$Y902*$H902*MM_PARA_M3_HA</f>
        <v>35256.3895384615</v>
      </c>
      <c r="AA902" s="18" t="n">
        <f aca="false">IFERROR(INDEX(CADASTRO_PIVOS!$I$6:$I$41,MATCH($E902,CADASTRO_PIVOS!$B$6:$B$41,0)),0)</f>
        <v>928.2</v>
      </c>
      <c r="AB902" s="18" t="n">
        <f aca="false">IF($Z902&lt;=0,0,$Z902/$AA902)</f>
        <v>37.9836129481378</v>
      </c>
      <c r="AC902" s="16" t="n">
        <f aca="false">IFERROR(INDEX(SEMANAS!$K$6:$K$71,MATCH($B902,SEMANAS!$B$6:$B$71,0)),0)</f>
        <v>147</v>
      </c>
      <c r="AD902" s="19" t="n">
        <f aca="false">IF($AC902&lt;=0,0,$AB902/$AC902)</f>
        <v>0.258391924817264</v>
      </c>
      <c r="AE902" s="8" t="str">
        <f aca="false">IF($K902="SEM CULTURA","SEM CULTURA",IF($AA902&lt;=0,"DADO PENDENTE",IF($AD902&gt;LIMITE_CRITICO,"INVIAVEL",IF($AD902&gt;LIMITE_ATENCAO,"CRITICO",IF($AD902&gt;LIMITE_CONFORTAVEL,"ATENCAO","OK")))))</f>
        <v>OK</v>
      </c>
      <c r="AF902" s="8" t="str">
        <f aca="false">$B902&amp;"|"&amp;TEXT($AD902,"0.000000")</f>
        <v>39|0.258392</v>
      </c>
      <c r="AG902" s="18" t="n">
        <f aca="false">IF($K902="SEM CULTURA",0,$T902*$H902)</f>
        <v>3399.83183076923</v>
      </c>
      <c r="AH902" s="18" t="n">
        <f aca="false">IF($K902="SEM CULTURA",0,$V902*$H902)</f>
        <v>403.03872</v>
      </c>
      <c r="AI902" s="18" t="n">
        <f aca="false">IF($K902="SEM CULTURA",0,$W902*$H902)</f>
        <v>2996.79311076923</v>
      </c>
      <c r="AJ902" s="18" t="n">
        <f aca="false">IF($K902="SEM CULTURA",0,$S902*$H902)</f>
        <v>4408.236</v>
      </c>
      <c r="AK902" s="8" t="str">
        <f aca="false">$E902&amp;"|"&amp;TEXT($AD902,"0.000000")</f>
        <v>PV 115|0.258392</v>
      </c>
    </row>
    <row r="903" customFormat="false" ht="15" hidden="false" customHeight="false" outlineLevel="0" collapsed="false">
      <c r="B903" s="16" t="n">
        <v>40</v>
      </c>
      <c r="C903" s="17" t="n">
        <f aca="false">DATA_INICIO_SAFRA+($B903-1)*DIAS_POR_SEMANA</f>
        <v>46538</v>
      </c>
      <c r="D903" s="17" t="n">
        <f aca="false">$C903+DIAS_POR_SEMANA-1</f>
        <v>46544</v>
      </c>
      <c r="E903" s="15" t="s">
        <v>272</v>
      </c>
      <c r="F903" s="8" t="str">
        <f aca="false">IFERROR(INDEX(CADASTRO_PIVOS!$C$6:$C$41,MATCH($E903,CADASTRO_PIVOS!$B$6:$B$41,0)),"?")</f>
        <v>RM05</v>
      </c>
      <c r="G903" s="8" t="str">
        <f aca="false">IFERROR(INDEX(CADASTRO_PIVOS!$D$6:$D$41,MATCH($E903,CADASTRO_PIVOS!$B$6:$B$41,0)),"?")</f>
        <v>TR05</v>
      </c>
      <c r="H903" s="20" t="n">
        <f aca="false">IFERROR(INDEX(CADASTRO_PIVOS!$E$6:$E$41,MATCH($E903,CADASTRO_PIVOS!$B$6:$B$41,0)),0)</f>
        <v>149.94</v>
      </c>
      <c r="I903" s="16" t="n">
        <f aca="false">IFERROR(SUMIFS(ROTACAO_RDM!$B$6:$B$71,ROTACAO_RDM!$D$6:$D$71,$E903,ROTACAO_RDM!$I$6:$I$71,"&lt;="&amp;$C903+INT(DIAS_POR_SEMANA/2),ROTACAO_RDM!$J$6:$J$71,"&gt;="&amp;$C903+INT(DIAS_POR_SEMANA/2)),0)</f>
        <v>25</v>
      </c>
      <c r="J903" s="16" t="n">
        <f aca="false">IFERROR(MATCH($I903,ROTACAO_RDM!$B$6:$B$71,0),0)</f>
        <v>25</v>
      </c>
      <c r="K903" s="8" t="str">
        <f aca="false">IF($J903=0,"SEM CULTURA",INDEX(ROTACAO_RDM!$F$6:$F$71,$J903))</f>
        <v>ALGODAO</v>
      </c>
      <c r="L903" s="8" t="str">
        <f aca="false">IF($J903=0,"",INDEX(ROTACAO_RDM!$G$6:$G$71,$J903))</f>
        <v>FM 974 GLT</v>
      </c>
      <c r="M903" s="17" t="n">
        <f aca="false">IF($J903=0,"",INDEX(ROTACAO_RDM!$I$6:$I$71,$J903))</f>
        <v>46356</v>
      </c>
      <c r="N903" s="16" t="n">
        <f aca="false">IF($J903=0,0,MAX(0,$C903+INT(DIAS_POR_SEMANA/2)-INDEX(ROTACAO_RDM!$I$6:$I$71,$J903)))</f>
        <v>185</v>
      </c>
      <c r="O903" s="19" t="n">
        <f aca="false">IF($J903=0,0,MIN(1,$N903/MAX(1,INDEX(ROTACAO_RDM!$K$6:$K$71,$J903))))</f>
        <v>0.948717948717949</v>
      </c>
      <c r="P903" s="16" t="n">
        <f aca="false">IF($J903=0,0,IFERROR(MATCH(INDEX(ROTACAO_RDM!$N$6:$N$71,$J903),PARAMETROS_CULTURAS!$B$6:$B$28,0),0))</f>
        <v>5</v>
      </c>
      <c r="Q903" s="8" t="str">
        <f aca="false">IF($P903=0,"-",IF($O903&lt;=INDEX(PARAMETROS_CULTURAS!$F$6:$F$28,$P903),"INICIAL",IF($O903&lt;=INDEX(PARAMETROS_CULTURAS!$F$6:$F$28,$P903)+INDEX(PARAMETROS_CULTURAS!$G$6:$G$28,$P903),"DESENVOLVIMENTO",IF($O903&lt;=INDEX(PARAMETROS_CULTURAS!$F$6:$F$28,$P903)+INDEX(PARAMETROS_CULTURAS!$G$6:$G$28,$P903)+INDEX(PARAMETROS_CULTURAS!$H$6:$H$28,$P903),"MEDIA","FINAL"))))</f>
        <v>FINAL</v>
      </c>
      <c r="R903" s="24" t="n">
        <f aca="false">IF($P903=0,0,IF($O903&lt;=INDEX(PARAMETROS_CULTURAS!$F$6:$F$28,$P903),INDEX(PARAMETROS_CULTURAS!$K$6:$K$28,$P903),IF($O903&lt;=INDEX(PARAMETROS_CULTURAS!$F$6:$F$28,$P903)+INDEX(PARAMETROS_CULTURAS!$G$6:$G$28,$P903),INDEX(PARAMETROS_CULTURAS!$K$6:$K$28,$P903)+(INDEX(PARAMETROS_CULTURAS!$L$6:$L$28,$P903)-INDEX(PARAMETROS_CULTURAS!$K$6:$K$28,$P903))*($O903-INDEX(PARAMETROS_CULTURAS!$F$6:$F$28,$P903))/MAX(INDEX(PARAMETROS_CULTURAS!$G$6:$G$28,$P903),0.0001),IF($O903&lt;=INDEX(PARAMETROS_CULTURAS!$F$6:$F$28,$P903)+INDEX(PARAMETROS_CULTURAS!$G$6:$G$28,$P903)+INDEX(PARAMETROS_CULTURAS!$H$6:$H$28,$P903),INDEX(PARAMETROS_CULTURAS!$L$6:$L$28,$P903),INDEX(PARAMETROS_CULTURAS!$L$6:$L$28,$P903)+(INDEX(PARAMETROS_CULTURAS!$M$6:$M$28,$P903)-INDEX(PARAMETROS_CULTURAS!$L$6:$L$28,$P903))*($O903-INDEX(PARAMETROS_CULTURAS!$F$6:$F$28,$P903)-INDEX(PARAMETROS_CULTURAS!$G$6:$G$28,$P903)-INDEX(PARAMETROS_CULTURAS!$H$6:$H$28,$P903))/MAX(INDEX(PARAMETROS_CULTURAS!$I$6:$I$28,$P903),0.0001)))))</f>
        <v>0.700732600732601</v>
      </c>
      <c r="S903" s="18" t="n">
        <f aca="false">IFERROR(INDEX(SEMANAS!$H$6:$H$71,MATCH($B903,SEMANAS!$B$6:$B$71,0)),0)</f>
        <v>28.2</v>
      </c>
      <c r="T903" s="18" t="n">
        <f aca="false">$R903*$S903</f>
        <v>19.7606593406593</v>
      </c>
      <c r="U903" s="18" t="n">
        <f aca="false">IFERROR(INDEX(SEMANAS!$I$6:$I$71,MATCH($B903,SEMANAS!$B$6:$B$71,0)),0)</f>
        <v>1.5</v>
      </c>
      <c r="V903" s="18" t="n">
        <f aca="false">IFERROR(INDEX(SEMANAS!$J$6:$J$71,MATCH($B903,SEMANAS!$B$6:$B$71,0)),0)</f>
        <v>1.2</v>
      </c>
      <c r="W903" s="18" t="n">
        <f aca="false">MAX(0,$T903-$V903)</f>
        <v>18.5606593406593</v>
      </c>
      <c r="X903" s="19" t="n">
        <f aca="false">IFERROR(INDEX(CADASTRO_PIVOS!$K$6:$K$41,MATCH($E903,CADASTRO_PIVOS!$B$6:$B$41,0)),EFICIENCIA_PADRAO)</f>
        <v>0.85</v>
      </c>
      <c r="Y903" s="18" t="n">
        <f aca="false">IF($X903&lt;=0,0,$W903/$X903)</f>
        <v>21.8360698125404</v>
      </c>
      <c r="Z903" s="16" t="n">
        <f aca="false">$Y903*$H903*MM_PARA_M3_HA</f>
        <v>32741.0030769231</v>
      </c>
      <c r="AA903" s="18" t="n">
        <f aca="false">IFERROR(INDEX(CADASTRO_PIVOS!$I$6:$I$41,MATCH($E903,CADASTRO_PIVOS!$B$6:$B$41,0)),0)</f>
        <v>928.2</v>
      </c>
      <c r="AB903" s="18" t="n">
        <f aca="false">IF($Z903&lt;=0,0,$Z903/$AA903)</f>
        <v>35.2736512356422</v>
      </c>
      <c r="AC903" s="16" t="n">
        <f aca="false">IFERROR(INDEX(SEMANAS!$K$6:$K$71,MATCH($B903,SEMANAS!$B$6:$B$71,0)),0)</f>
        <v>147</v>
      </c>
      <c r="AD903" s="19" t="n">
        <f aca="false">IF($AC903&lt;=0,0,$AB903/$AC903)</f>
        <v>0.239956811126818</v>
      </c>
      <c r="AE903" s="8" t="str">
        <f aca="false">IF($K903="SEM CULTURA","SEM CULTURA",IF($AA903&lt;=0,"DADO PENDENTE",IF($AD903&gt;LIMITE_CRITICO,"INVIAVEL",IF($AD903&gt;LIMITE_ATENCAO,"CRITICO",IF($AD903&gt;LIMITE_CONFORTAVEL,"ATENCAO","OK")))))</f>
        <v>OK</v>
      </c>
      <c r="AF903" s="8" t="str">
        <f aca="false">$B903&amp;"|"&amp;TEXT($AD903,"0.000000")</f>
        <v>40|0.239957</v>
      </c>
      <c r="AG903" s="18" t="n">
        <f aca="false">IF($K903="SEM CULTURA",0,$T903*$H903)</f>
        <v>2962.91326153846</v>
      </c>
      <c r="AH903" s="18" t="n">
        <f aca="false">IF($K903="SEM CULTURA",0,$V903*$H903)</f>
        <v>179.928</v>
      </c>
      <c r="AI903" s="18" t="n">
        <f aca="false">IF($K903="SEM CULTURA",0,$W903*$H903)</f>
        <v>2782.98526153846</v>
      </c>
      <c r="AJ903" s="18" t="n">
        <f aca="false">IF($K903="SEM CULTURA",0,$S903*$H903)</f>
        <v>4228.308</v>
      </c>
      <c r="AK903" s="8" t="str">
        <f aca="false">$E903&amp;"|"&amp;TEXT($AD903,"0.000000")</f>
        <v>PV 115|0.239957</v>
      </c>
    </row>
    <row r="904" customFormat="false" ht="15" hidden="false" customHeight="false" outlineLevel="0" collapsed="false">
      <c r="B904" s="16" t="n">
        <v>41</v>
      </c>
      <c r="C904" s="17" t="n">
        <f aca="false">DATA_INICIO_SAFRA+($B904-1)*DIAS_POR_SEMANA</f>
        <v>46545</v>
      </c>
      <c r="D904" s="17" t="n">
        <f aca="false">$C904+DIAS_POR_SEMANA-1</f>
        <v>46551</v>
      </c>
      <c r="E904" s="15" t="s">
        <v>272</v>
      </c>
      <c r="F904" s="8" t="str">
        <f aca="false">IFERROR(INDEX(CADASTRO_PIVOS!$C$6:$C$41,MATCH($E904,CADASTRO_PIVOS!$B$6:$B$41,0)),"?")</f>
        <v>RM05</v>
      </c>
      <c r="G904" s="8" t="str">
        <f aca="false">IFERROR(INDEX(CADASTRO_PIVOS!$D$6:$D$41,MATCH($E904,CADASTRO_PIVOS!$B$6:$B$41,0)),"?")</f>
        <v>TR05</v>
      </c>
      <c r="H904" s="20" t="n">
        <f aca="false">IFERROR(INDEX(CADASTRO_PIVOS!$E$6:$E$41,MATCH($E904,CADASTRO_PIVOS!$B$6:$B$41,0)),0)</f>
        <v>149.94</v>
      </c>
      <c r="I904" s="16" t="n">
        <f aca="false">IFERROR(SUMIFS(ROTACAO_RDM!$B$6:$B$71,ROTACAO_RDM!$D$6:$D$71,$E904,ROTACAO_RDM!$I$6:$I$71,"&lt;="&amp;$C904+INT(DIAS_POR_SEMANA/2),ROTACAO_RDM!$J$6:$J$71,"&gt;="&amp;$C904+INT(DIAS_POR_SEMANA/2)),0)</f>
        <v>25</v>
      </c>
      <c r="J904" s="16" t="n">
        <f aca="false">IFERROR(MATCH($I904,ROTACAO_RDM!$B$6:$B$71,0),0)</f>
        <v>25</v>
      </c>
      <c r="K904" s="8" t="str">
        <f aca="false">IF($J904=0,"SEM CULTURA",INDEX(ROTACAO_RDM!$F$6:$F$71,$J904))</f>
        <v>ALGODAO</v>
      </c>
      <c r="L904" s="8" t="str">
        <f aca="false">IF($J904=0,"",INDEX(ROTACAO_RDM!$G$6:$G$71,$J904))</f>
        <v>FM 974 GLT</v>
      </c>
      <c r="M904" s="17" t="n">
        <f aca="false">IF($J904=0,"",INDEX(ROTACAO_RDM!$I$6:$I$71,$J904))</f>
        <v>46356</v>
      </c>
      <c r="N904" s="16" t="n">
        <f aca="false">IF($J904=0,0,MAX(0,$C904+INT(DIAS_POR_SEMANA/2)-INDEX(ROTACAO_RDM!$I$6:$I$71,$J904)))</f>
        <v>192</v>
      </c>
      <c r="O904" s="19" t="n">
        <f aca="false">IF($J904=0,0,MIN(1,$N904/MAX(1,INDEX(ROTACAO_RDM!$K$6:$K$71,$J904))))</f>
        <v>0.984615384615385</v>
      </c>
      <c r="P904" s="16" t="n">
        <f aca="false">IF($J904=0,0,IFERROR(MATCH(INDEX(ROTACAO_RDM!$N$6:$N$71,$J904),PARAMETROS_CULTURAS!$B$6:$B$28,0),0))</f>
        <v>5</v>
      </c>
      <c r="Q904" s="8" t="str">
        <f aca="false">IF($P904=0,"-",IF($O904&lt;=INDEX(PARAMETROS_CULTURAS!$F$6:$F$28,$P904),"INICIAL",IF($O904&lt;=INDEX(PARAMETROS_CULTURAS!$F$6:$F$28,$P904)+INDEX(PARAMETROS_CULTURAS!$G$6:$G$28,$P904),"DESENVOLVIMENTO",IF($O904&lt;=INDEX(PARAMETROS_CULTURAS!$F$6:$F$28,$P904)+INDEX(PARAMETROS_CULTURAS!$G$6:$G$28,$P904)+INDEX(PARAMETROS_CULTURAS!$H$6:$H$28,$P904),"MEDIA","FINAL"))))</f>
        <v>FINAL</v>
      </c>
      <c r="R904" s="24" t="n">
        <f aca="false">IF($P904=0,0,IF($O904&lt;=INDEX(PARAMETROS_CULTURAS!$F$6:$F$28,$P904),INDEX(PARAMETROS_CULTURAS!$K$6:$K$28,$P904),IF($O904&lt;=INDEX(PARAMETROS_CULTURAS!$F$6:$F$28,$P904)+INDEX(PARAMETROS_CULTURAS!$G$6:$G$28,$P904),INDEX(PARAMETROS_CULTURAS!$K$6:$K$28,$P904)+(INDEX(PARAMETROS_CULTURAS!$L$6:$L$28,$P904)-INDEX(PARAMETROS_CULTURAS!$K$6:$K$28,$P904))*($O904-INDEX(PARAMETROS_CULTURAS!$F$6:$F$28,$P904))/MAX(INDEX(PARAMETROS_CULTURAS!$G$6:$G$28,$P904),0.0001),IF($O904&lt;=INDEX(PARAMETROS_CULTURAS!$F$6:$F$28,$P904)+INDEX(PARAMETROS_CULTURAS!$G$6:$G$28,$P904)+INDEX(PARAMETROS_CULTURAS!$H$6:$H$28,$P904),INDEX(PARAMETROS_CULTURAS!$L$6:$L$28,$P904),INDEX(PARAMETROS_CULTURAS!$L$6:$L$28,$P904)+(INDEX(PARAMETROS_CULTURAS!$M$6:$M$28,$P904)-INDEX(PARAMETROS_CULTURAS!$L$6:$L$28,$P904))*($O904-INDEX(PARAMETROS_CULTURAS!$F$6:$F$28,$P904)-INDEX(PARAMETROS_CULTURAS!$G$6:$G$28,$P904)-INDEX(PARAMETROS_CULTURAS!$H$6:$H$28,$P904))/MAX(INDEX(PARAMETROS_CULTURAS!$I$6:$I$28,$P904),0.0001)))))</f>
        <v>0.63021978021978</v>
      </c>
      <c r="S904" s="18" t="n">
        <f aca="false">IFERROR(INDEX(SEMANAS!$H$6:$H$71,MATCH($B904,SEMANAS!$B$6:$B$71,0)),0)</f>
        <v>28</v>
      </c>
      <c r="T904" s="18" t="n">
        <f aca="false">$R904*$S904</f>
        <v>17.6461538461538</v>
      </c>
      <c r="U904" s="18" t="n">
        <f aca="false">IFERROR(INDEX(SEMANAS!$I$6:$I$71,MATCH($B904,SEMANAS!$B$6:$B$71,0)),0)</f>
        <v>1.19</v>
      </c>
      <c r="V904" s="18" t="n">
        <f aca="false">IFERROR(INDEX(SEMANAS!$J$6:$J$71,MATCH($B904,SEMANAS!$B$6:$B$71,0)),0)</f>
        <v>0.952</v>
      </c>
      <c r="W904" s="18" t="n">
        <f aca="false">MAX(0,$T904-$V904)</f>
        <v>16.6941538461538</v>
      </c>
      <c r="X904" s="19" t="n">
        <f aca="false">IFERROR(INDEX(CADASTRO_PIVOS!$K$6:$K$41,MATCH($E904,CADASTRO_PIVOS!$B$6:$B$41,0)),EFICIENCIA_PADRAO)</f>
        <v>0.85</v>
      </c>
      <c r="Y904" s="18" t="n">
        <f aca="false">IF($X904&lt;=0,0,$W904/$X904)</f>
        <v>19.6401809954751</v>
      </c>
      <c r="Z904" s="16" t="n">
        <f aca="false">$Y904*$H904*MM_PARA_M3_HA</f>
        <v>29448.4873846154</v>
      </c>
      <c r="AA904" s="18" t="n">
        <f aca="false">IFERROR(INDEX(CADASTRO_PIVOS!$I$6:$I$41,MATCH($E904,CADASTRO_PIVOS!$B$6:$B$41,0)),0)</f>
        <v>928.2</v>
      </c>
      <c r="AB904" s="18" t="n">
        <f aca="false">IF($Z904&lt;=0,0,$Z904/$AA904)</f>
        <v>31.7264462234598</v>
      </c>
      <c r="AC904" s="16" t="n">
        <f aca="false">IFERROR(INDEX(SEMANAS!$K$6:$K$71,MATCH($B904,SEMANAS!$B$6:$B$71,0)),0)</f>
        <v>147</v>
      </c>
      <c r="AD904" s="19" t="n">
        <f aca="false">IF($AC904&lt;=0,0,$AB904/$AC904)</f>
        <v>0.215826164785441</v>
      </c>
      <c r="AE904" s="8" t="str">
        <f aca="false">IF($K904="SEM CULTURA","SEM CULTURA",IF($AA904&lt;=0,"DADO PENDENTE",IF($AD904&gt;LIMITE_CRITICO,"INVIAVEL",IF($AD904&gt;LIMITE_ATENCAO,"CRITICO",IF($AD904&gt;LIMITE_CONFORTAVEL,"ATENCAO","OK")))))</f>
        <v>OK</v>
      </c>
      <c r="AF904" s="8" t="str">
        <f aca="false">$B904&amp;"|"&amp;TEXT($AD904,"0.000000")</f>
        <v>41|0.215826</v>
      </c>
      <c r="AG904" s="18" t="n">
        <f aca="false">IF($K904="SEM CULTURA",0,$T904*$H904)</f>
        <v>2645.86430769231</v>
      </c>
      <c r="AH904" s="18" t="n">
        <f aca="false">IF($K904="SEM CULTURA",0,$V904*$H904)</f>
        <v>142.74288</v>
      </c>
      <c r="AI904" s="18" t="n">
        <f aca="false">IF($K904="SEM CULTURA",0,$W904*$H904)</f>
        <v>2503.12142769231</v>
      </c>
      <c r="AJ904" s="18" t="n">
        <f aca="false">IF($K904="SEM CULTURA",0,$S904*$H904)</f>
        <v>4198.32</v>
      </c>
      <c r="AK904" s="8" t="str">
        <f aca="false">$E904&amp;"|"&amp;TEXT($AD904,"0.000000")</f>
        <v>PV 115|0.215826</v>
      </c>
    </row>
    <row r="905" customFormat="false" ht="15" hidden="false" customHeight="false" outlineLevel="0" collapsed="false">
      <c r="B905" s="16" t="n">
        <v>42</v>
      </c>
      <c r="C905" s="17" t="n">
        <f aca="false">DATA_INICIO_SAFRA+($B905-1)*DIAS_POR_SEMANA</f>
        <v>46552</v>
      </c>
      <c r="D905" s="17" t="n">
        <f aca="false">$C905+DIAS_POR_SEMANA-1</f>
        <v>46558</v>
      </c>
      <c r="E905" s="15" t="s">
        <v>272</v>
      </c>
      <c r="F905" s="8" t="str">
        <f aca="false">IFERROR(INDEX(CADASTRO_PIVOS!$C$6:$C$41,MATCH($E905,CADASTRO_PIVOS!$B$6:$B$41,0)),"?")</f>
        <v>RM05</v>
      </c>
      <c r="G905" s="8" t="str">
        <f aca="false">IFERROR(INDEX(CADASTRO_PIVOS!$D$6:$D$41,MATCH($E905,CADASTRO_PIVOS!$B$6:$B$41,0)),"?")</f>
        <v>TR05</v>
      </c>
      <c r="H905" s="20" t="n">
        <f aca="false">IFERROR(INDEX(CADASTRO_PIVOS!$E$6:$E$41,MATCH($E905,CADASTRO_PIVOS!$B$6:$B$41,0)),0)</f>
        <v>149.94</v>
      </c>
      <c r="I905" s="16" t="n">
        <f aca="false">IFERROR(SUMIFS(ROTACAO_RDM!$B$6:$B$71,ROTACAO_RDM!$D$6:$D$71,$E905,ROTACAO_RDM!$I$6:$I$71,"&lt;="&amp;$C905+INT(DIAS_POR_SEMANA/2),ROTACAO_RDM!$J$6:$J$71,"&gt;="&amp;$C905+INT(DIAS_POR_SEMANA/2)),0)</f>
        <v>0</v>
      </c>
      <c r="J905" s="16" t="n">
        <f aca="false">IFERROR(MATCH($I905,ROTACAO_RDM!$B$6:$B$71,0),0)</f>
        <v>0</v>
      </c>
      <c r="K905" s="8" t="str">
        <f aca="false">IF($J905=0,"SEM CULTURA",INDEX(ROTACAO_RDM!$F$6:$F$71,$J905))</f>
        <v>SEM CULTURA</v>
      </c>
      <c r="L905" s="8" t="str">
        <f aca="false">IF($J905=0,"",INDEX(ROTACAO_RDM!$G$6:$G$71,$J905))</f>
        <v/>
      </c>
      <c r="M905" s="17" t="str">
        <f aca="false">IF($J905=0,"",INDEX(ROTACAO_RDM!$I$6:$I$71,$J905))</f>
        <v/>
      </c>
      <c r="N905" s="16" t="n">
        <f aca="false">IF($J905=0,0,MAX(0,$C905+INT(DIAS_POR_SEMANA/2)-INDEX(ROTACAO_RDM!$I$6:$I$71,$J905)))</f>
        <v>0</v>
      </c>
      <c r="O905" s="19" t="n">
        <f aca="false">IF($J905=0,0,MIN(1,$N905/MAX(1,INDEX(ROTACAO_RDM!$K$6:$K$71,$J905))))</f>
        <v>0</v>
      </c>
      <c r="P905" s="16" t="n">
        <f aca="false">IF($J905=0,0,IFERROR(MATCH(INDEX(ROTACAO_RDM!$N$6:$N$71,$J905),PARAMETROS_CULTURAS!$B$6:$B$28,0),0))</f>
        <v>0</v>
      </c>
      <c r="Q905" s="8" t="str">
        <f aca="false">IF($P905=0,"-",IF($O905&lt;=INDEX(PARAMETROS_CULTURAS!$F$6:$F$28,$P905),"INICIAL",IF($O905&lt;=INDEX(PARAMETROS_CULTURAS!$F$6:$F$28,$P905)+INDEX(PARAMETROS_CULTURAS!$G$6:$G$28,$P905),"DESENVOLVIMENTO",IF($O905&lt;=INDEX(PARAMETROS_CULTURAS!$F$6:$F$28,$P905)+INDEX(PARAMETROS_CULTURAS!$G$6:$G$28,$P905)+INDEX(PARAMETROS_CULTURAS!$H$6:$H$28,$P905),"MEDIA","FINAL"))))</f>
        <v>-</v>
      </c>
      <c r="R905" s="24" t="n">
        <f aca="false">IF($P905=0,0,IF($O905&lt;=INDEX(PARAMETROS_CULTURAS!$F$6:$F$28,$P905),INDEX(PARAMETROS_CULTURAS!$K$6:$K$28,$P905),IF($O905&lt;=INDEX(PARAMETROS_CULTURAS!$F$6:$F$28,$P905)+INDEX(PARAMETROS_CULTURAS!$G$6:$G$28,$P905),INDEX(PARAMETROS_CULTURAS!$K$6:$K$28,$P905)+(INDEX(PARAMETROS_CULTURAS!$L$6:$L$28,$P905)-INDEX(PARAMETROS_CULTURAS!$K$6:$K$28,$P905))*($O905-INDEX(PARAMETROS_CULTURAS!$F$6:$F$28,$P905))/MAX(INDEX(PARAMETROS_CULTURAS!$G$6:$G$28,$P905),0.0001),IF($O905&lt;=INDEX(PARAMETROS_CULTURAS!$F$6:$F$28,$P905)+INDEX(PARAMETROS_CULTURAS!$G$6:$G$28,$P905)+INDEX(PARAMETROS_CULTURAS!$H$6:$H$28,$P905),INDEX(PARAMETROS_CULTURAS!$L$6:$L$28,$P905),INDEX(PARAMETROS_CULTURAS!$L$6:$L$28,$P905)+(INDEX(PARAMETROS_CULTURAS!$M$6:$M$28,$P905)-INDEX(PARAMETROS_CULTURAS!$L$6:$L$28,$P905))*($O905-INDEX(PARAMETROS_CULTURAS!$F$6:$F$28,$P905)-INDEX(PARAMETROS_CULTURAS!$G$6:$G$28,$P905)-INDEX(PARAMETROS_CULTURAS!$H$6:$H$28,$P905))/MAX(INDEX(PARAMETROS_CULTURAS!$I$6:$I$28,$P905),0.0001)))))</f>
        <v>0</v>
      </c>
      <c r="S905" s="18" t="n">
        <f aca="false">IFERROR(INDEX(SEMANAS!$H$6:$H$71,MATCH($B905,SEMANAS!$B$6:$B$71,0)),0)</f>
        <v>28</v>
      </c>
      <c r="T905" s="18" t="n">
        <f aca="false">$R905*$S905</f>
        <v>0</v>
      </c>
      <c r="U905" s="18" t="n">
        <f aca="false">IFERROR(INDEX(SEMANAS!$I$6:$I$71,MATCH($B905,SEMANAS!$B$6:$B$71,0)),0)</f>
        <v>1.19</v>
      </c>
      <c r="V905" s="18" t="n">
        <f aca="false">IFERROR(INDEX(SEMANAS!$J$6:$J$71,MATCH($B905,SEMANAS!$B$6:$B$71,0)),0)</f>
        <v>0.952</v>
      </c>
      <c r="W905" s="18" t="n">
        <f aca="false">MAX(0,$T905-$V905)</f>
        <v>0</v>
      </c>
      <c r="X905" s="19" t="n">
        <f aca="false">IFERROR(INDEX(CADASTRO_PIVOS!$K$6:$K$41,MATCH($E905,CADASTRO_PIVOS!$B$6:$B$41,0)),EFICIENCIA_PADRAO)</f>
        <v>0.85</v>
      </c>
      <c r="Y905" s="18" t="n">
        <f aca="false">IF($X905&lt;=0,0,$W905/$X905)</f>
        <v>0</v>
      </c>
      <c r="Z905" s="16" t="n">
        <f aca="false">$Y905*$H905*MM_PARA_M3_HA</f>
        <v>0</v>
      </c>
      <c r="AA905" s="18" t="n">
        <f aca="false">IFERROR(INDEX(CADASTRO_PIVOS!$I$6:$I$41,MATCH($E905,CADASTRO_PIVOS!$B$6:$B$41,0)),0)</f>
        <v>928.2</v>
      </c>
      <c r="AB905" s="18" t="n">
        <f aca="false">IF($Z905&lt;=0,0,$Z905/$AA905)</f>
        <v>0</v>
      </c>
      <c r="AC905" s="16" t="n">
        <f aca="false">IFERROR(INDEX(SEMANAS!$K$6:$K$71,MATCH($B905,SEMANAS!$B$6:$B$71,0)),0)</f>
        <v>147</v>
      </c>
      <c r="AD905" s="19" t="n">
        <f aca="false">IF($AC905&lt;=0,0,$AB905/$AC905)</f>
        <v>0</v>
      </c>
      <c r="AE905" s="8" t="str">
        <f aca="false">IF($K905="SEM CULTURA","SEM CULTURA",IF($AA905&lt;=0,"DADO PENDENTE",IF($AD905&gt;LIMITE_CRITICO,"INVIAVEL",IF($AD905&gt;LIMITE_ATENCAO,"CRITICO",IF($AD905&gt;LIMITE_CONFORTAVEL,"ATENCAO","OK")))))</f>
        <v>SEM CULTURA</v>
      </c>
      <c r="AF905" s="8" t="str">
        <f aca="false">$B905&amp;"|"&amp;TEXT($AD905,"0.000000")</f>
        <v>42|0.000000</v>
      </c>
      <c r="AG905" s="18" t="n">
        <f aca="false">IF($K905="SEM CULTURA",0,$T905*$H905)</f>
        <v>0</v>
      </c>
      <c r="AH905" s="18" t="n">
        <f aca="false">IF($K905="SEM CULTURA",0,$V905*$H905)</f>
        <v>0</v>
      </c>
      <c r="AI905" s="18" t="n">
        <f aca="false">IF($K905="SEM CULTURA",0,$W905*$H905)</f>
        <v>0</v>
      </c>
      <c r="AJ905" s="18" t="n">
        <f aca="false">IF($K905="SEM CULTURA",0,$S905*$H905)</f>
        <v>0</v>
      </c>
      <c r="AK905" s="8" t="str">
        <f aca="false">$E905&amp;"|"&amp;TEXT($AD905,"0.000000")</f>
        <v>PV 115|0.000000</v>
      </c>
    </row>
    <row r="906" customFormat="false" ht="15" hidden="false" customHeight="false" outlineLevel="0" collapsed="false">
      <c r="B906" s="16" t="n">
        <v>43</v>
      </c>
      <c r="C906" s="17" t="n">
        <f aca="false">DATA_INICIO_SAFRA+($B906-1)*DIAS_POR_SEMANA</f>
        <v>46559</v>
      </c>
      <c r="D906" s="17" t="n">
        <f aca="false">$C906+DIAS_POR_SEMANA-1</f>
        <v>46565</v>
      </c>
      <c r="E906" s="15" t="s">
        <v>272</v>
      </c>
      <c r="F906" s="8" t="str">
        <f aca="false">IFERROR(INDEX(CADASTRO_PIVOS!$C$6:$C$41,MATCH($E906,CADASTRO_PIVOS!$B$6:$B$41,0)),"?")</f>
        <v>RM05</v>
      </c>
      <c r="G906" s="8" t="str">
        <f aca="false">IFERROR(INDEX(CADASTRO_PIVOS!$D$6:$D$41,MATCH($E906,CADASTRO_PIVOS!$B$6:$B$41,0)),"?")</f>
        <v>TR05</v>
      </c>
      <c r="H906" s="20" t="n">
        <f aca="false">IFERROR(INDEX(CADASTRO_PIVOS!$E$6:$E$41,MATCH($E906,CADASTRO_PIVOS!$B$6:$B$41,0)),0)</f>
        <v>149.94</v>
      </c>
      <c r="I906" s="16" t="n">
        <f aca="false">IFERROR(SUMIFS(ROTACAO_RDM!$B$6:$B$71,ROTACAO_RDM!$D$6:$D$71,$E906,ROTACAO_RDM!$I$6:$I$71,"&lt;="&amp;$C906+INT(DIAS_POR_SEMANA/2),ROTACAO_RDM!$J$6:$J$71,"&gt;="&amp;$C906+INT(DIAS_POR_SEMANA/2)),0)</f>
        <v>0</v>
      </c>
      <c r="J906" s="16" t="n">
        <f aca="false">IFERROR(MATCH($I906,ROTACAO_RDM!$B$6:$B$71,0),0)</f>
        <v>0</v>
      </c>
      <c r="K906" s="8" t="str">
        <f aca="false">IF($J906=0,"SEM CULTURA",INDEX(ROTACAO_RDM!$F$6:$F$71,$J906))</f>
        <v>SEM CULTURA</v>
      </c>
      <c r="L906" s="8" t="str">
        <f aca="false">IF($J906=0,"",INDEX(ROTACAO_RDM!$G$6:$G$71,$J906))</f>
        <v/>
      </c>
      <c r="M906" s="17" t="str">
        <f aca="false">IF($J906=0,"",INDEX(ROTACAO_RDM!$I$6:$I$71,$J906))</f>
        <v/>
      </c>
      <c r="N906" s="16" t="n">
        <f aca="false">IF($J906=0,0,MAX(0,$C906+INT(DIAS_POR_SEMANA/2)-INDEX(ROTACAO_RDM!$I$6:$I$71,$J906)))</f>
        <v>0</v>
      </c>
      <c r="O906" s="19" t="n">
        <f aca="false">IF($J906=0,0,MIN(1,$N906/MAX(1,INDEX(ROTACAO_RDM!$K$6:$K$71,$J906))))</f>
        <v>0</v>
      </c>
      <c r="P906" s="16" t="n">
        <f aca="false">IF($J906=0,0,IFERROR(MATCH(INDEX(ROTACAO_RDM!$N$6:$N$71,$J906),PARAMETROS_CULTURAS!$B$6:$B$28,0),0))</f>
        <v>0</v>
      </c>
      <c r="Q906" s="8" t="str">
        <f aca="false">IF($P906=0,"-",IF($O906&lt;=INDEX(PARAMETROS_CULTURAS!$F$6:$F$28,$P906),"INICIAL",IF($O906&lt;=INDEX(PARAMETROS_CULTURAS!$F$6:$F$28,$P906)+INDEX(PARAMETROS_CULTURAS!$G$6:$G$28,$P906),"DESENVOLVIMENTO",IF($O906&lt;=INDEX(PARAMETROS_CULTURAS!$F$6:$F$28,$P906)+INDEX(PARAMETROS_CULTURAS!$G$6:$G$28,$P906)+INDEX(PARAMETROS_CULTURAS!$H$6:$H$28,$P906),"MEDIA","FINAL"))))</f>
        <v>-</v>
      </c>
      <c r="R906" s="24" t="n">
        <f aca="false">IF($P906=0,0,IF($O906&lt;=INDEX(PARAMETROS_CULTURAS!$F$6:$F$28,$P906),INDEX(PARAMETROS_CULTURAS!$K$6:$K$28,$P906),IF($O906&lt;=INDEX(PARAMETROS_CULTURAS!$F$6:$F$28,$P906)+INDEX(PARAMETROS_CULTURAS!$G$6:$G$28,$P906),INDEX(PARAMETROS_CULTURAS!$K$6:$K$28,$P906)+(INDEX(PARAMETROS_CULTURAS!$L$6:$L$28,$P906)-INDEX(PARAMETROS_CULTURAS!$K$6:$K$28,$P906))*($O906-INDEX(PARAMETROS_CULTURAS!$F$6:$F$28,$P906))/MAX(INDEX(PARAMETROS_CULTURAS!$G$6:$G$28,$P906),0.0001),IF($O906&lt;=INDEX(PARAMETROS_CULTURAS!$F$6:$F$28,$P906)+INDEX(PARAMETROS_CULTURAS!$G$6:$G$28,$P906)+INDEX(PARAMETROS_CULTURAS!$H$6:$H$28,$P906),INDEX(PARAMETROS_CULTURAS!$L$6:$L$28,$P906),INDEX(PARAMETROS_CULTURAS!$L$6:$L$28,$P906)+(INDEX(PARAMETROS_CULTURAS!$M$6:$M$28,$P906)-INDEX(PARAMETROS_CULTURAS!$L$6:$L$28,$P906))*($O906-INDEX(PARAMETROS_CULTURAS!$F$6:$F$28,$P906)-INDEX(PARAMETROS_CULTURAS!$G$6:$G$28,$P906)-INDEX(PARAMETROS_CULTURAS!$H$6:$H$28,$P906))/MAX(INDEX(PARAMETROS_CULTURAS!$I$6:$I$28,$P906),0.0001)))))</f>
        <v>0</v>
      </c>
      <c r="S906" s="18" t="n">
        <f aca="false">IFERROR(INDEX(SEMANAS!$H$6:$H$71,MATCH($B906,SEMANAS!$B$6:$B$71,0)),0)</f>
        <v>28</v>
      </c>
      <c r="T906" s="18" t="n">
        <f aca="false">$R906*$S906</f>
        <v>0</v>
      </c>
      <c r="U906" s="18" t="n">
        <f aca="false">IFERROR(INDEX(SEMANAS!$I$6:$I$71,MATCH($B906,SEMANAS!$B$6:$B$71,0)),0)</f>
        <v>1.19</v>
      </c>
      <c r="V906" s="18" t="n">
        <f aca="false">IFERROR(INDEX(SEMANAS!$J$6:$J$71,MATCH($B906,SEMANAS!$B$6:$B$71,0)),0)</f>
        <v>0.952</v>
      </c>
      <c r="W906" s="18" t="n">
        <f aca="false">MAX(0,$T906-$V906)</f>
        <v>0</v>
      </c>
      <c r="X906" s="19" t="n">
        <f aca="false">IFERROR(INDEX(CADASTRO_PIVOS!$K$6:$K$41,MATCH($E906,CADASTRO_PIVOS!$B$6:$B$41,0)),EFICIENCIA_PADRAO)</f>
        <v>0.85</v>
      </c>
      <c r="Y906" s="18" t="n">
        <f aca="false">IF($X906&lt;=0,0,$W906/$X906)</f>
        <v>0</v>
      </c>
      <c r="Z906" s="16" t="n">
        <f aca="false">$Y906*$H906*MM_PARA_M3_HA</f>
        <v>0</v>
      </c>
      <c r="AA906" s="18" t="n">
        <f aca="false">IFERROR(INDEX(CADASTRO_PIVOS!$I$6:$I$41,MATCH($E906,CADASTRO_PIVOS!$B$6:$B$41,0)),0)</f>
        <v>928.2</v>
      </c>
      <c r="AB906" s="18" t="n">
        <f aca="false">IF($Z906&lt;=0,0,$Z906/$AA906)</f>
        <v>0</v>
      </c>
      <c r="AC906" s="16" t="n">
        <f aca="false">IFERROR(INDEX(SEMANAS!$K$6:$K$71,MATCH($B906,SEMANAS!$B$6:$B$71,0)),0)</f>
        <v>147</v>
      </c>
      <c r="AD906" s="19" t="n">
        <f aca="false">IF($AC906&lt;=0,0,$AB906/$AC906)</f>
        <v>0</v>
      </c>
      <c r="AE906" s="8" t="str">
        <f aca="false">IF($K906="SEM CULTURA","SEM CULTURA",IF($AA906&lt;=0,"DADO PENDENTE",IF($AD906&gt;LIMITE_CRITICO,"INVIAVEL",IF($AD906&gt;LIMITE_ATENCAO,"CRITICO",IF($AD906&gt;LIMITE_CONFORTAVEL,"ATENCAO","OK")))))</f>
        <v>SEM CULTURA</v>
      </c>
      <c r="AF906" s="8" t="str">
        <f aca="false">$B906&amp;"|"&amp;TEXT($AD906,"0.000000")</f>
        <v>43|0.000000</v>
      </c>
      <c r="AG906" s="18" t="n">
        <f aca="false">IF($K906="SEM CULTURA",0,$T906*$H906)</f>
        <v>0</v>
      </c>
      <c r="AH906" s="18" t="n">
        <f aca="false">IF($K906="SEM CULTURA",0,$V906*$H906)</f>
        <v>0</v>
      </c>
      <c r="AI906" s="18" t="n">
        <f aca="false">IF($K906="SEM CULTURA",0,$W906*$H906)</f>
        <v>0</v>
      </c>
      <c r="AJ906" s="18" t="n">
        <f aca="false">IF($K906="SEM CULTURA",0,$S906*$H906)</f>
        <v>0</v>
      </c>
      <c r="AK906" s="8" t="str">
        <f aca="false">$E906&amp;"|"&amp;TEXT($AD906,"0.000000")</f>
        <v>PV 115|0.000000</v>
      </c>
    </row>
    <row r="907" customFormat="false" ht="15" hidden="false" customHeight="false" outlineLevel="0" collapsed="false">
      <c r="B907" s="16" t="n">
        <v>44</v>
      </c>
      <c r="C907" s="17" t="n">
        <f aca="false">DATA_INICIO_SAFRA+($B907-1)*DIAS_POR_SEMANA</f>
        <v>46566</v>
      </c>
      <c r="D907" s="17" t="n">
        <f aca="false">$C907+DIAS_POR_SEMANA-1</f>
        <v>46572</v>
      </c>
      <c r="E907" s="15" t="s">
        <v>272</v>
      </c>
      <c r="F907" s="8" t="str">
        <f aca="false">IFERROR(INDEX(CADASTRO_PIVOS!$C$6:$C$41,MATCH($E907,CADASTRO_PIVOS!$B$6:$B$41,0)),"?")</f>
        <v>RM05</v>
      </c>
      <c r="G907" s="8" t="str">
        <f aca="false">IFERROR(INDEX(CADASTRO_PIVOS!$D$6:$D$41,MATCH($E907,CADASTRO_PIVOS!$B$6:$B$41,0)),"?")</f>
        <v>TR05</v>
      </c>
      <c r="H907" s="20" t="n">
        <f aca="false">IFERROR(INDEX(CADASTRO_PIVOS!$E$6:$E$41,MATCH($E907,CADASTRO_PIVOS!$B$6:$B$41,0)),0)</f>
        <v>149.94</v>
      </c>
      <c r="I907" s="16" t="n">
        <f aca="false">IFERROR(SUMIFS(ROTACAO_RDM!$B$6:$B$71,ROTACAO_RDM!$D$6:$D$71,$E907,ROTACAO_RDM!$I$6:$I$71,"&lt;="&amp;$C907+INT(DIAS_POR_SEMANA/2),ROTACAO_RDM!$J$6:$J$71,"&gt;="&amp;$C907+INT(DIAS_POR_SEMANA/2)),0)</f>
        <v>0</v>
      </c>
      <c r="J907" s="16" t="n">
        <f aca="false">IFERROR(MATCH($I907,ROTACAO_RDM!$B$6:$B$71,0),0)</f>
        <v>0</v>
      </c>
      <c r="K907" s="8" t="str">
        <f aca="false">IF($J907=0,"SEM CULTURA",INDEX(ROTACAO_RDM!$F$6:$F$71,$J907))</f>
        <v>SEM CULTURA</v>
      </c>
      <c r="L907" s="8" t="str">
        <f aca="false">IF($J907=0,"",INDEX(ROTACAO_RDM!$G$6:$G$71,$J907))</f>
        <v/>
      </c>
      <c r="M907" s="17" t="str">
        <f aca="false">IF($J907=0,"",INDEX(ROTACAO_RDM!$I$6:$I$71,$J907))</f>
        <v/>
      </c>
      <c r="N907" s="16" t="n">
        <f aca="false">IF($J907=0,0,MAX(0,$C907+INT(DIAS_POR_SEMANA/2)-INDEX(ROTACAO_RDM!$I$6:$I$71,$J907)))</f>
        <v>0</v>
      </c>
      <c r="O907" s="19" t="n">
        <f aca="false">IF($J907=0,0,MIN(1,$N907/MAX(1,INDEX(ROTACAO_RDM!$K$6:$K$71,$J907))))</f>
        <v>0</v>
      </c>
      <c r="P907" s="16" t="n">
        <f aca="false">IF($J907=0,0,IFERROR(MATCH(INDEX(ROTACAO_RDM!$N$6:$N$71,$J907),PARAMETROS_CULTURAS!$B$6:$B$28,0),0))</f>
        <v>0</v>
      </c>
      <c r="Q907" s="8" t="str">
        <f aca="false">IF($P907=0,"-",IF($O907&lt;=INDEX(PARAMETROS_CULTURAS!$F$6:$F$28,$P907),"INICIAL",IF($O907&lt;=INDEX(PARAMETROS_CULTURAS!$F$6:$F$28,$P907)+INDEX(PARAMETROS_CULTURAS!$G$6:$G$28,$P907),"DESENVOLVIMENTO",IF($O907&lt;=INDEX(PARAMETROS_CULTURAS!$F$6:$F$28,$P907)+INDEX(PARAMETROS_CULTURAS!$G$6:$G$28,$P907)+INDEX(PARAMETROS_CULTURAS!$H$6:$H$28,$P907),"MEDIA","FINAL"))))</f>
        <v>-</v>
      </c>
      <c r="R907" s="24" t="n">
        <f aca="false">IF($P907=0,0,IF($O907&lt;=INDEX(PARAMETROS_CULTURAS!$F$6:$F$28,$P907),INDEX(PARAMETROS_CULTURAS!$K$6:$K$28,$P907),IF($O907&lt;=INDEX(PARAMETROS_CULTURAS!$F$6:$F$28,$P907)+INDEX(PARAMETROS_CULTURAS!$G$6:$G$28,$P907),INDEX(PARAMETROS_CULTURAS!$K$6:$K$28,$P907)+(INDEX(PARAMETROS_CULTURAS!$L$6:$L$28,$P907)-INDEX(PARAMETROS_CULTURAS!$K$6:$K$28,$P907))*($O907-INDEX(PARAMETROS_CULTURAS!$F$6:$F$28,$P907))/MAX(INDEX(PARAMETROS_CULTURAS!$G$6:$G$28,$P907),0.0001),IF($O907&lt;=INDEX(PARAMETROS_CULTURAS!$F$6:$F$28,$P907)+INDEX(PARAMETROS_CULTURAS!$G$6:$G$28,$P907)+INDEX(PARAMETROS_CULTURAS!$H$6:$H$28,$P907),INDEX(PARAMETROS_CULTURAS!$L$6:$L$28,$P907),INDEX(PARAMETROS_CULTURAS!$L$6:$L$28,$P907)+(INDEX(PARAMETROS_CULTURAS!$M$6:$M$28,$P907)-INDEX(PARAMETROS_CULTURAS!$L$6:$L$28,$P907))*($O907-INDEX(PARAMETROS_CULTURAS!$F$6:$F$28,$P907)-INDEX(PARAMETROS_CULTURAS!$G$6:$G$28,$P907)-INDEX(PARAMETROS_CULTURAS!$H$6:$H$28,$P907))/MAX(INDEX(PARAMETROS_CULTURAS!$I$6:$I$28,$P907),0.0001)))))</f>
        <v>0</v>
      </c>
      <c r="S907" s="18" t="n">
        <f aca="false">IFERROR(INDEX(SEMANAS!$H$6:$H$71,MATCH($B907,SEMANAS!$B$6:$B$71,0)),0)</f>
        <v>29.2</v>
      </c>
      <c r="T907" s="18" t="n">
        <f aca="false">$R907*$S907</f>
        <v>0</v>
      </c>
      <c r="U907" s="18" t="n">
        <f aca="false">IFERROR(INDEX(SEMANAS!$I$6:$I$71,MATCH($B907,SEMANAS!$B$6:$B$71,0)),0)</f>
        <v>0.91</v>
      </c>
      <c r="V907" s="18" t="n">
        <f aca="false">IFERROR(INDEX(SEMANAS!$J$6:$J$71,MATCH($B907,SEMANAS!$B$6:$B$71,0)),0)</f>
        <v>0.728</v>
      </c>
      <c r="W907" s="18" t="n">
        <f aca="false">MAX(0,$T907-$V907)</f>
        <v>0</v>
      </c>
      <c r="X907" s="19" t="n">
        <f aca="false">IFERROR(INDEX(CADASTRO_PIVOS!$K$6:$K$41,MATCH($E907,CADASTRO_PIVOS!$B$6:$B$41,0)),EFICIENCIA_PADRAO)</f>
        <v>0.85</v>
      </c>
      <c r="Y907" s="18" t="n">
        <f aca="false">IF($X907&lt;=0,0,$W907/$X907)</f>
        <v>0</v>
      </c>
      <c r="Z907" s="16" t="n">
        <f aca="false">$Y907*$H907*MM_PARA_M3_HA</f>
        <v>0</v>
      </c>
      <c r="AA907" s="18" t="n">
        <f aca="false">IFERROR(INDEX(CADASTRO_PIVOS!$I$6:$I$41,MATCH($E907,CADASTRO_PIVOS!$B$6:$B$41,0)),0)</f>
        <v>928.2</v>
      </c>
      <c r="AB907" s="18" t="n">
        <f aca="false">IF($Z907&lt;=0,0,$Z907/$AA907)</f>
        <v>0</v>
      </c>
      <c r="AC907" s="16" t="n">
        <f aca="false">IFERROR(INDEX(SEMANAS!$K$6:$K$71,MATCH($B907,SEMANAS!$B$6:$B$71,0)),0)</f>
        <v>147</v>
      </c>
      <c r="AD907" s="19" t="n">
        <f aca="false">IF($AC907&lt;=0,0,$AB907/$AC907)</f>
        <v>0</v>
      </c>
      <c r="AE907" s="8" t="str">
        <f aca="false">IF($K907="SEM CULTURA","SEM CULTURA",IF($AA907&lt;=0,"DADO PENDENTE",IF($AD907&gt;LIMITE_CRITICO,"INVIAVEL",IF($AD907&gt;LIMITE_ATENCAO,"CRITICO",IF($AD907&gt;LIMITE_CONFORTAVEL,"ATENCAO","OK")))))</f>
        <v>SEM CULTURA</v>
      </c>
      <c r="AF907" s="8" t="str">
        <f aca="false">$B907&amp;"|"&amp;TEXT($AD907,"0.000000")</f>
        <v>44|0.000000</v>
      </c>
      <c r="AG907" s="18" t="n">
        <f aca="false">IF($K907="SEM CULTURA",0,$T907*$H907)</f>
        <v>0</v>
      </c>
      <c r="AH907" s="18" t="n">
        <f aca="false">IF($K907="SEM CULTURA",0,$V907*$H907)</f>
        <v>0</v>
      </c>
      <c r="AI907" s="18" t="n">
        <f aca="false">IF($K907="SEM CULTURA",0,$W907*$H907)</f>
        <v>0</v>
      </c>
      <c r="AJ907" s="18" t="n">
        <f aca="false">IF($K907="SEM CULTURA",0,$S907*$H907)</f>
        <v>0</v>
      </c>
      <c r="AK907" s="8" t="str">
        <f aca="false">$E907&amp;"|"&amp;TEXT($AD907,"0.000000")</f>
        <v>PV 115|0.000000</v>
      </c>
    </row>
    <row r="908" customFormat="false" ht="15" hidden="false" customHeight="false" outlineLevel="0" collapsed="false">
      <c r="B908" s="16" t="n">
        <v>45</v>
      </c>
      <c r="C908" s="17" t="n">
        <f aca="false">DATA_INICIO_SAFRA+($B908-1)*DIAS_POR_SEMANA</f>
        <v>46573</v>
      </c>
      <c r="D908" s="17" t="n">
        <f aca="false">$C908+DIAS_POR_SEMANA-1</f>
        <v>46579</v>
      </c>
      <c r="E908" s="15" t="s">
        <v>272</v>
      </c>
      <c r="F908" s="8" t="str">
        <f aca="false">IFERROR(INDEX(CADASTRO_PIVOS!$C$6:$C$41,MATCH($E908,CADASTRO_PIVOS!$B$6:$B$41,0)),"?")</f>
        <v>RM05</v>
      </c>
      <c r="G908" s="8" t="str">
        <f aca="false">IFERROR(INDEX(CADASTRO_PIVOS!$D$6:$D$41,MATCH($E908,CADASTRO_PIVOS!$B$6:$B$41,0)),"?")</f>
        <v>TR05</v>
      </c>
      <c r="H908" s="20" t="n">
        <f aca="false">IFERROR(INDEX(CADASTRO_PIVOS!$E$6:$E$41,MATCH($E908,CADASTRO_PIVOS!$B$6:$B$41,0)),0)</f>
        <v>149.94</v>
      </c>
      <c r="I908" s="16" t="n">
        <f aca="false">IFERROR(SUMIFS(ROTACAO_RDM!$B$6:$B$71,ROTACAO_RDM!$D$6:$D$71,$E908,ROTACAO_RDM!$I$6:$I$71,"&lt;="&amp;$C908+INT(DIAS_POR_SEMANA/2),ROTACAO_RDM!$J$6:$J$71,"&gt;="&amp;$C908+INT(DIAS_POR_SEMANA/2)),0)</f>
        <v>0</v>
      </c>
      <c r="J908" s="16" t="n">
        <f aca="false">IFERROR(MATCH($I908,ROTACAO_RDM!$B$6:$B$71,0),0)</f>
        <v>0</v>
      </c>
      <c r="K908" s="8" t="str">
        <f aca="false">IF($J908=0,"SEM CULTURA",INDEX(ROTACAO_RDM!$F$6:$F$71,$J908))</f>
        <v>SEM CULTURA</v>
      </c>
      <c r="L908" s="8" t="str">
        <f aca="false">IF($J908=0,"",INDEX(ROTACAO_RDM!$G$6:$G$71,$J908))</f>
        <v/>
      </c>
      <c r="M908" s="17" t="str">
        <f aca="false">IF($J908=0,"",INDEX(ROTACAO_RDM!$I$6:$I$71,$J908))</f>
        <v/>
      </c>
      <c r="N908" s="16" t="n">
        <f aca="false">IF($J908=0,0,MAX(0,$C908+INT(DIAS_POR_SEMANA/2)-INDEX(ROTACAO_RDM!$I$6:$I$71,$J908)))</f>
        <v>0</v>
      </c>
      <c r="O908" s="19" t="n">
        <f aca="false">IF($J908=0,0,MIN(1,$N908/MAX(1,INDEX(ROTACAO_RDM!$K$6:$K$71,$J908))))</f>
        <v>0</v>
      </c>
      <c r="P908" s="16" t="n">
        <f aca="false">IF($J908=0,0,IFERROR(MATCH(INDEX(ROTACAO_RDM!$N$6:$N$71,$J908),PARAMETROS_CULTURAS!$B$6:$B$28,0),0))</f>
        <v>0</v>
      </c>
      <c r="Q908" s="8" t="str">
        <f aca="false">IF($P908=0,"-",IF($O908&lt;=INDEX(PARAMETROS_CULTURAS!$F$6:$F$28,$P908),"INICIAL",IF($O908&lt;=INDEX(PARAMETROS_CULTURAS!$F$6:$F$28,$P908)+INDEX(PARAMETROS_CULTURAS!$G$6:$G$28,$P908),"DESENVOLVIMENTO",IF($O908&lt;=INDEX(PARAMETROS_CULTURAS!$F$6:$F$28,$P908)+INDEX(PARAMETROS_CULTURAS!$G$6:$G$28,$P908)+INDEX(PARAMETROS_CULTURAS!$H$6:$H$28,$P908),"MEDIA","FINAL"))))</f>
        <v>-</v>
      </c>
      <c r="R908" s="24" t="n">
        <f aca="false">IF($P908=0,0,IF($O908&lt;=INDEX(PARAMETROS_CULTURAS!$F$6:$F$28,$P908),INDEX(PARAMETROS_CULTURAS!$K$6:$K$28,$P908),IF($O908&lt;=INDEX(PARAMETROS_CULTURAS!$F$6:$F$28,$P908)+INDEX(PARAMETROS_CULTURAS!$G$6:$G$28,$P908),INDEX(PARAMETROS_CULTURAS!$K$6:$K$28,$P908)+(INDEX(PARAMETROS_CULTURAS!$L$6:$L$28,$P908)-INDEX(PARAMETROS_CULTURAS!$K$6:$K$28,$P908))*($O908-INDEX(PARAMETROS_CULTURAS!$F$6:$F$28,$P908))/MAX(INDEX(PARAMETROS_CULTURAS!$G$6:$G$28,$P908),0.0001),IF($O908&lt;=INDEX(PARAMETROS_CULTURAS!$F$6:$F$28,$P908)+INDEX(PARAMETROS_CULTURAS!$G$6:$G$28,$P908)+INDEX(PARAMETROS_CULTURAS!$H$6:$H$28,$P908),INDEX(PARAMETROS_CULTURAS!$L$6:$L$28,$P908),INDEX(PARAMETROS_CULTURAS!$L$6:$L$28,$P908)+(INDEX(PARAMETROS_CULTURAS!$M$6:$M$28,$P908)-INDEX(PARAMETROS_CULTURAS!$L$6:$L$28,$P908))*($O908-INDEX(PARAMETROS_CULTURAS!$F$6:$F$28,$P908)-INDEX(PARAMETROS_CULTURAS!$G$6:$G$28,$P908)-INDEX(PARAMETROS_CULTURAS!$H$6:$H$28,$P908))/MAX(INDEX(PARAMETROS_CULTURAS!$I$6:$I$28,$P908),0.0001)))))</f>
        <v>0</v>
      </c>
      <c r="S908" s="18" t="n">
        <f aca="false">IFERROR(INDEX(SEMANAS!$H$6:$H$71,MATCH($B908,SEMANAS!$B$6:$B$71,0)),0)</f>
        <v>30.1</v>
      </c>
      <c r="T908" s="18" t="n">
        <f aca="false">$R908*$S908</f>
        <v>0</v>
      </c>
      <c r="U908" s="18" t="n">
        <f aca="false">IFERROR(INDEX(SEMANAS!$I$6:$I$71,MATCH($B908,SEMANAS!$B$6:$B$71,0)),0)</f>
        <v>0.7</v>
      </c>
      <c r="V908" s="18" t="n">
        <f aca="false">IFERROR(INDEX(SEMANAS!$J$6:$J$71,MATCH($B908,SEMANAS!$B$6:$B$71,0)),0)</f>
        <v>0.56</v>
      </c>
      <c r="W908" s="18" t="n">
        <f aca="false">MAX(0,$T908-$V908)</f>
        <v>0</v>
      </c>
      <c r="X908" s="19" t="n">
        <f aca="false">IFERROR(INDEX(CADASTRO_PIVOS!$K$6:$K$41,MATCH($E908,CADASTRO_PIVOS!$B$6:$B$41,0)),EFICIENCIA_PADRAO)</f>
        <v>0.85</v>
      </c>
      <c r="Y908" s="18" t="n">
        <f aca="false">IF($X908&lt;=0,0,$W908/$X908)</f>
        <v>0</v>
      </c>
      <c r="Z908" s="16" t="n">
        <f aca="false">$Y908*$H908*MM_PARA_M3_HA</f>
        <v>0</v>
      </c>
      <c r="AA908" s="18" t="n">
        <f aca="false">IFERROR(INDEX(CADASTRO_PIVOS!$I$6:$I$41,MATCH($E908,CADASTRO_PIVOS!$B$6:$B$41,0)),0)</f>
        <v>928.2</v>
      </c>
      <c r="AB908" s="18" t="n">
        <f aca="false">IF($Z908&lt;=0,0,$Z908/$AA908)</f>
        <v>0</v>
      </c>
      <c r="AC908" s="16" t="n">
        <f aca="false">IFERROR(INDEX(SEMANAS!$K$6:$K$71,MATCH($B908,SEMANAS!$B$6:$B$71,0)),0)</f>
        <v>147</v>
      </c>
      <c r="AD908" s="19" t="n">
        <f aca="false">IF($AC908&lt;=0,0,$AB908/$AC908)</f>
        <v>0</v>
      </c>
      <c r="AE908" s="8" t="str">
        <f aca="false">IF($K908="SEM CULTURA","SEM CULTURA",IF($AA908&lt;=0,"DADO PENDENTE",IF($AD908&gt;LIMITE_CRITICO,"INVIAVEL",IF($AD908&gt;LIMITE_ATENCAO,"CRITICO",IF($AD908&gt;LIMITE_CONFORTAVEL,"ATENCAO","OK")))))</f>
        <v>SEM CULTURA</v>
      </c>
      <c r="AF908" s="8" t="str">
        <f aca="false">$B908&amp;"|"&amp;TEXT($AD908,"0.000000")</f>
        <v>45|0.000000</v>
      </c>
      <c r="AG908" s="18" t="n">
        <f aca="false">IF($K908="SEM CULTURA",0,$T908*$H908)</f>
        <v>0</v>
      </c>
      <c r="AH908" s="18" t="n">
        <f aca="false">IF($K908="SEM CULTURA",0,$V908*$H908)</f>
        <v>0</v>
      </c>
      <c r="AI908" s="18" t="n">
        <f aca="false">IF($K908="SEM CULTURA",0,$W908*$H908)</f>
        <v>0</v>
      </c>
      <c r="AJ908" s="18" t="n">
        <f aca="false">IF($K908="SEM CULTURA",0,$S908*$H908)</f>
        <v>0</v>
      </c>
      <c r="AK908" s="8" t="str">
        <f aca="false">$E908&amp;"|"&amp;TEXT($AD908,"0.000000")</f>
        <v>PV 115|0.000000</v>
      </c>
    </row>
    <row r="909" customFormat="false" ht="15" hidden="false" customHeight="false" outlineLevel="0" collapsed="false">
      <c r="B909" s="16" t="n">
        <v>46</v>
      </c>
      <c r="C909" s="17" t="n">
        <f aca="false">DATA_INICIO_SAFRA+($B909-1)*DIAS_POR_SEMANA</f>
        <v>46580</v>
      </c>
      <c r="D909" s="17" t="n">
        <f aca="false">$C909+DIAS_POR_SEMANA-1</f>
        <v>46586</v>
      </c>
      <c r="E909" s="15" t="s">
        <v>272</v>
      </c>
      <c r="F909" s="8" t="str">
        <f aca="false">IFERROR(INDEX(CADASTRO_PIVOS!$C$6:$C$41,MATCH($E909,CADASTRO_PIVOS!$B$6:$B$41,0)),"?")</f>
        <v>RM05</v>
      </c>
      <c r="G909" s="8" t="str">
        <f aca="false">IFERROR(INDEX(CADASTRO_PIVOS!$D$6:$D$41,MATCH($E909,CADASTRO_PIVOS!$B$6:$B$41,0)),"?")</f>
        <v>TR05</v>
      </c>
      <c r="H909" s="20" t="n">
        <f aca="false">IFERROR(INDEX(CADASTRO_PIVOS!$E$6:$E$41,MATCH($E909,CADASTRO_PIVOS!$B$6:$B$41,0)),0)</f>
        <v>149.94</v>
      </c>
      <c r="I909" s="16" t="n">
        <f aca="false">IFERROR(SUMIFS(ROTACAO_RDM!$B$6:$B$71,ROTACAO_RDM!$D$6:$D$71,$E909,ROTACAO_RDM!$I$6:$I$71,"&lt;="&amp;$C909+INT(DIAS_POR_SEMANA/2),ROTACAO_RDM!$J$6:$J$71,"&gt;="&amp;$C909+INT(DIAS_POR_SEMANA/2)),0)</f>
        <v>0</v>
      </c>
      <c r="J909" s="16" t="n">
        <f aca="false">IFERROR(MATCH($I909,ROTACAO_RDM!$B$6:$B$71,0),0)</f>
        <v>0</v>
      </c>
      <c r="K909" s="8" t="str">
        <f aca="false">IF($J909=0,"SEM CULTURA",INDEX(ROTACAO_RDM!$F$6:$F$71,$J909))</f>
        <v>SEM CULTURA</v>
      </c>
      <c r="L909" s="8" t="str">
        <f aca="false">IF($J909=0,"",INDEX(ROTACAO_RDM!$G$6:$G$71,$J909))</f>
        <v/>
      </c>
      <c r="M909" s="17" t="str">
        <f aca="false">IF($J909=0,"",INDEX(ROTACAO_RDM!$I$6:$I$71,$J909))</f>
        <v/>
      </c>
      <c r="N909" s="16" t="n">
        <f aca="false">IF($J909=0,0,MAX(0,$C909+INT(DIAS_POR_SEMANA/2)-INDEX(ROTACAO_RDM!$I$6:$I$71,$J909)))</f>
        <v>0</v>
      </c>
      <c r="O909" s="19" t="n">
        <f aca="false">IF($J909=0,0,MIN(1,$N909/MAX(1,INDEX(ROTACAO_RDM!$K$6:$K$71,$J909))))</f>
        <v>0</v>
      </c>
      <c r="P909" s="16" t="n">
        <f aca="false">IF($J909=0,0,IFERROR(MATCH(INDEX(ROTACAO_RDM!$N$6:$N$71,$J909),PARAMETROS_CULTURAS!$B$6:$B$28,0),0))</f>
        <v>0</v>
      </c>
      <c r="Q909" s="8" t="str">
        <f aca="false">IF($P909=0,"-",IF($O909&lt;=INDEX(PARAMETROS_CULTURAS!$F$6:$F$28,$P909),"INICIAL",IF($O909&lt;=INDEX(PARAMETROS_CULTURAS!$F$6:$F$28,$P909)+INDEX(PARAMETROS_CULTURAS!$G$6:$G$28,$P909),"DESENVOLVIMENTO",IF($O909&lt;=INDEX(PARAMETROS_CULTURAS!$F$6:$F$28,$P909)+INDEX(PARAMETROS_CULTURAS!$G$6:$G$28,$P909)+INDEX(PARAMETROS_CULTURAS!$H$6:$H$28,$P909),"MEDIA","FINAL"))))</f>
        <v>-</v>
      </c>
      <c r="R909" s="24" t="n">
        <f aca="false">IF($P909=0,0,IF($O909&lt;=INDEX(PARAMETROS_CULTURAS!$F$6:$F$28,$P909),INDEX(PARAMETROS_CULTURAS!$K$6:$K$28,$P909),IF($O909&lt;=INDEX(PARAMETROS_CULTURAS!$F$6:$F$28,$P909)+INDEX(PARAMETROS_CULTURAS!$G$6:$G$28,$P909),INDEX(PARAMETROS_CULTURAS!$K$6:$K$28,$P909)+(INDEX(PARAMETROS_CULTURAS!$L$6:$L$28,$P909)-INDEX(PARAMETROS_CULTURAS!$K$6:$K$28,$P909))*($O909-INDEX(PARAMETROS_CULTURAS!$F$6:$F$28,$P909))/MAX(INDEX(PARAMETROS_CULTURAS!$G$6:$G$28,$P909),0.0001),IF($O909&lt;=INDEX(PARAMETROS_CULTURAS!$F$6:$F$28,$P909)+INDEX(PARAMETROS_CULTURAS!$G$6:$G$28,$P909)+INDEX(PARAMETROS_CULTURAS!$H$6:$H$28,$P909),INDEX(PARAMETROS_CULTURAS!$L$6:$L$28,$P909),INDEX(PARAMETROS_CULTURAS!$L$6:$L$28,$P909)+(INDEX(PARAMETROS_CULTURAS!$M$6:$M$28,$P909)-INDEX(PARAMETROS_CULTURAS!$L$6:$L$28,$P909))*($O909-INDEX(PARAMETROS_CULTURAS!$F$6:$F$28,$P909)-INDEX(PARAMETROS_CULTURAS!$G$6:$G$28,$P909)-INDEX(PARAMETROS_CULTURAS!$H$6:$H$28,$P909))/MAX(INDEX(PARAMETROS_CULTURAS!$I$6:$I$28,$P909),0.0001)))))</f>
        <v>0</v>
      </c>
      <c r="S909" s="18" t="n">
        <f aca="false">IFERROR(INDEX(SEMANAS!$H$6:$H$71,MATCH($B909,SEMANAS!$B$6:$B$71,0)),0)</f>
        <v>30.1</v>
      </c>
      <c r="T909" s="18" t="n">
        <f aca="false">$R909*$S909</f>
        <v>0</v>
      </c>
      <c r="U909" s="18" t="n">
        <f aca="false">IFERROR(INDEX(SEMANAS!$I$6:$I$71,MATCH($B909,SEMANAS!$B$6:$B$71,0)),0)</f>
        <v>0.7</v>
      </c>
      <c r="V909" s="18" t="n">
        <f aca="false">IFERROR(INDEX(SEMANAS!$J$6:$J$71,MATCH($B909,SEMANAS!$B$6:$B$71,0)),0)</f>
        <v>0.56</v>
      </c>
      <c r="W909" s="18" t="n">
        <f aca="false">MAX(0,$T909-$V909)</f>
        <v>0</v>
      </c>
      <c r="X909" s="19" t="n">
        <f aca="false">IFERROR(INDEX(CADASTRO_PIVOS!$K$6:$K$41,MATCH($E909,CADASTRO_PIVOS!$B$6:$B$41,0)),EFICIENCIA_PADRAO)</f>
        <v>0.85</v>
      </c>
      <c r="Y909" s="18" t="n">
        <f aca="false">IF($X909&lt;=0,0,$W909/$X909)</f>
        <v>0</v>
      </c>
      <c r="Z909" s="16" t="n">
        <f aca="false">$Y909*$H909*MM_PARA_M3_HA</f>
        <v>0</v>
      </c>
      <c r="AA909" s="18" t="n">
        <f aca="false">IFERROR(INDEX(CADASTRO_PIVOS!$I$6:$I$41,MATCH($E909,CADASTRO_PIVOS!$B$6:$B$41,0)),0)</f>
        <v>928.2</v>
      </c>
      <c r="AB909" s="18" t="n">
        <f aca="false">IF($Z909&lt;=0,0,$Z909/$AA909)</f>
        <v>0</v>
      </c>
      <c r="AC909" s="16" t="n">
        <f aca="false">IFERROR(INDEX(SEMANAS!$K$6:$K$71,MATCH($B909,SEMANAS!$B$6:$B$71,0)),0)</f>
        <v>147</v>
      </c>
      <c r="AD909" s="19" t="n">
        <f aca="false">IF($AC909&lt;=0,0,$AB909/$AC909)</f>
        <v>0</v>
      </c>
      <c r="AE909" s="8" t="str">
        <f aca="false">IF($K909="SEM CULTURA","SEM CULTURA",IF($AA909&lt;=0,"DADO PENDENTE",IF($AD909&gt;LIMITE_CRITICO,"INVIAVEL",IF($AD909&gt;LIMITE_ATENCAO,"CRITICO",IF($AD909&gt;LIMITE_CONFORTAVEL,"ATENCAO","OK")))))</f>
        <v>SEM CULTURA</v>
      </c>
      <c r="AF909" s="8" t="str">
        <f aca="false">$B909&amp;"|"&amp;TEXT($AD909,"0.000000")</f>
        <v>46|0.000000</v>
      </c>
      <c r="AG909" s="18" t="n">
        <f aca="false">IF($K909="SEM CULTURA",0,$T909*$H909)</f>
        <v>0</v>
      </c>
      <c r="AH909" s="18" t="n">
        <f aca="false">IF($K909="SEM CULTURA",0,$V909*$H909)</f>
        <v>0</v>
      </c>
      <c r="AI909" s="18" t="n">
        <f aca="false">IF($K909="SEM CULTURA",0,$W909*$H909)</f>
        <v>0</v>
      </c>
      <c r="AJ909" s="18" t="n">
        <f aca="false">IF($K909="SEM CULTURA",0,$S909*$H909)</f>
        <v>0</v>
      </c>
      <c r="AK909" s="8" t="str">
        <f aca="false">$E909&amp;"|"&amp;TEXT($AD909,"0.000000")</f>
        <v>PV 115|0.000000</v>
      </c>
    </row>
    <row r="910" customFormat="false" ht="15" hidden="false" customHeight="false" outlineLevel="0" collapsed="false">
      <c r="B910" s="16" t="n">
        <v>47</v>
      </c>
      <c r="C910" s="17" t="n">
        <f aca="false">DATA_INICIO_SAFRA+($B910-1)*DIAS_POR_SEMANA</f>
        <v>46587</v>
      </c>
      <c r="D910" s="17" t="n">
        <f aca="false">$C910+DIAS_POR_SEMANA-1</f>
        <v>46593</v>
      </c>
      <c r="E910" s="15" t="s">
        <v>272</v>
      </c>
      <c r="F910" s="8" t="str">
        <f aca="false">IFERROR(INDEX(CADASTRO_PIVOS!$C$6:$C$41,MATCH($E910,CADASTRO_PIVOS!$B$6:$B$41,0)),"?")</f>
        <v>RM05</v>
      </c>
      <c r="G910" s="8" t="str">
        <f aca="false">IFERROR(INDEX(CADASTRO_PIVOS!$D$6:$D$41,MATCH($E910,CADASTRO_PIVOS!$B$6:$B$41,0)),"?")</f>
        <v>TR05</v>
      </c>
      <c r="H910" s="20" t="n">
        <f aca="false">IFERROR(INDEX(CADASTRO_PIVOS!$E$6:$E$41,MATCH($E910,CADASTRO_PIVOS!$B$6:$B$41,0)),0)</f>
        <v>149.94</v>
      </c>
      <c r="I910" s="16" t="n">
        <f aca="false">IFERROR(SUMIFS(ROTACAO_RDM!$B$6:$B$71,ROTACAO_RDM!$D$6:$D$71,$E910,ROTACAO_RDM!$I$6:$I$71,"&lt;="&amp;$C910+INT(DIAS_POR_SEMANA/2),ROTACAO_RDM!$J$6:$J$71,"&gt;="&amp;$C910+INT(DIAS_POR_SEMANA/2)),0)</f>
        <v>0</v>
      </c>
      <c r="J910" s="16" t="n">
        <f aca="false">IFERROR(MATCH($I910,ROTACAO_RDM!$B$6:$B$71,0),0)</f>
        <v>0</v>
      </c>
      <c r="K910" s="8" t="str">
        <f aca="false">IF($J910=0,"SEM CULTURA",INDEX(ROTACAO_RDM!$F$6:$F$71,$J910))</f>
        <v>SEM CULTURA</v>
      </c>
      <c r="L910" s="8" t="str">
        <f aca="false">IF($J910=0,"",INDEX(ROTACAO_RDM!$G$6:$G$71,$J910))</f>
        <v/>
      </c>
      <c r="M910" s="17" t="str">
        <f aca="false">IF($J910=0,"",INDEX(ROTACAO_RDM!$I$6:$I$71,$J910))</f>
        <v/>
      </c>
      <c r="N910" s="16" t="n">
        <f aca="false">IF($J910=0,0,MAX(0,$C910+INT(DIAS_POR_SEMANA/2)-INDEX(ROTACAO_RDM!$I$6:$I$71,$J910)))</f>
        <v>0</v>
      </c>
      <c r="O910" s="19" t="n">
        <f aca="false">IF($J910=0,0,MIN(1,$N910/MAX(1,INDEX(ROTACAO_RDM!$K$6:$K$71,$J910))))</f>
        <v>0</v>
      </c>
      <c r="P910" s="16" t="n">
        <f aca="false">IF($J910=0,0,IFERROR(MATCH(INDEX(ROTACAO_RDM!$N$6:$N$71,$J910),PARAMETROS_CULTURAS!$B$6:$B$28,0),0))</f>
        <v>0</v>
      </c>
      <c r="Q910" s="8" t="str">
        <f aca="false">IF($P910=0,"-",IF($O910&lt;=INDEX(PARAMETROS_CULTURAS!$F$6:$F$28,$P910),"INICIAL",IF($O910&lt;=INDEX(PARAMETROS_CULTURAS!$F$6:$F$28,$P910)+INDEX(PARAMETROS_CULTURAS!$G$6:$G$28,$P910),"DESENVOLVIMENTO",IF($O910&lt;=INDEX(PARAMETROS_CULTURAS!$F$6:$F$28,$P910)+INDEX(PARAMETROS_CULTURAS!$G$6:$G$28,$P910)+INDEX(PARAMETROS_CULTURAS!$H$6:$H$28,$P910),"MEDIA","FINAL"))))</f>
        <v>-</v>
      </c>
      <c r="R910" s="24" t="n">
        <f aca="false">IF($P910=0,0,IF($O910&lt;=INDEX(PARAMETROS_CULTURAS!$F$6:$F$28,$P910),INDEX(PARAMETROS_CULTURAS!$K$6:$K$28,$P910),IF($O910&lt;=INDEX(PARAMETROS_CULTURAS!$F$6:$F$28,$P910)+INDEX(PARAMETROS_CULTURAS!$G$6:$G$28,$P910),INDEX(PARAMETROS_CULTURAS!$K$6:$K$28,$P910)+(INDEX(PARAMETROS_CULTURAS!$L$6:$L$28,$P910)-INDEX(PARAMETROS_CULTURAS!$K$6:$K$28,$P910))*($O910-INDEX(PARAMETROS_CULTURAS!$F$6:$F$28,$P910))/MAX(INDEX(PARAMETROS_CULTURAS!$G$6:$G$28,$P910),0.0001),IF($O910&lt;=INDEX(PARAMETROS_CULTURAS!$F$6:$F$28,$P910)+INDEX(PARAMETROS_CULTURAS!$G$6:$G$28,$P910)+INDEX(PARAMETROS_CULTURAS!$H$6:$H$28,$P910),INDEX(PARAMETROS_CULTURAS!$L$6:$L$28,$P910),INDEX(PARAMETROS_CULTURAS!$L$6:$L$28,$P910)+(INDEX(PARAMETROS_CULTURAS!$M$6:$M$28,$P910)-INDEX(PARAMETROS_CULTURAS!$L$6:$L$28,$P910))*($O910-INDEX(PARAMETROS_CULTURAS!$F$6:$F$28,$P910)-INDEX(PARAMETROS_CULTURAS!$G$6:$G$28,$P910)-INDEX(PARAMETROS_CULTURAS!$H$6:$H$28,$P910))/MAX(INDEX(PARAMETROS_CULTURAS!$I$6:$I$28,$P910),0.0001)))))</f>
        <v>0</v>
      </c>
      <c r="S910" s="18" t="n">
        <f aca="false">IFERROR(INDEX(SEMANAS!$H$6:$H$71,MATCH($B910,SEMANAS!$B$6:$B$71,0)),0)</f>
        <v>30.1</v>
      </c>
      <c r="T910" s="18" t="n">
        <f aca="false">$R910*$S910</f>
        <v>0</v>
      </c>
      <c r="U910" s="18" t="n">
        <f aca="false">IFERROR(INDEX(SEMANAS!$I$6:$I$71,MATCH($B910,SEMANAS!$B$6:$B$71,0)),0)</f>
        <v>0.7</v>
      </c>
      <c r="V910" s="18" t="n">
        <f aca="false">IFERROR(INDEX(SEMANAS!$J$6:$J$71,MATCH($B910,SEMANAS!$B$6:$B$71,0)),0)</f>
        <v>0.56</v>
      </c>
      <c r="W910" s="18" t="n">
        <f aca="false">MAX(0,$T910-$V910)</f>
        <v>0</v>
      </c>
      <c r="X910" s="19" t="n">
        <f aca="false">IFERROR(INDEX(CADASTRO_PIVOS!$K$6:$K$41,MATCH($E910,CADASTRO_PIVOS!$B$6:$B$41,0)),EFICIENCIA_PADRAO)</f>
        <v>0.85</v>
      </c>
      <c r="Y910" s="18" t="n">
        <f aca="false">IF($X910&lt;=0,0,$W910/$X910)</f>
        <v>0</v>
      </c>
      <c r="Z910" s="16" t="n">
        <f aca="false">$Y910*$H910*MM_PARA_M3_HA</f>
        <v>0</v>
      </c>
      <c r="AA910" s="18" t="n">
        <f aca="false">IFERROR(INDEX(CADASTRO_PIVOS!$I$6:$I$41,MATCH($E910,CADASTRO_PIVOS!$B$6:$B$41,0)),0)</f>
        <v>928.2</v>
      </c>
      <c r="AB910" s="18" t="n">
        <f aca="false">IF($Z910&lt;=0,0,$Z910/$AA910)</f>
        <v>0</v>
      </c>
      <c r="AC910" s="16" t="n">
        <f aca="false">IFERROR(INDEX(SEMANAS!$K$6:$K$71,MATCH($B910,SEMANAS!$B$6:$B$71,0)),0)</f>
        <v>147</v>
      </c>
      <c r="AD910" s="19" t="n">
        <f aca="false">IF($AC910&lt;=0,0,$AB910/$AC910)</f>
        <v>0</v>
      </c>
      <c r="AE910" s="8" t="str">
        <f aca="false">IF($K910="SEM CULTURA","SEM CULTURA",IF($AA910&lt;=0,"DADO PENDENTE",IF($AD910&gt;LIMITE_CRITICO,"INVIAVEL",IF($AD910&gt;LIMITE_ATENCAO,"CRITICO",IF($AD910&gt;LIMITE_CONFORTAVEL,"ATENCAO","OK")))))</f>
        <v>SEM CULTURA</v>
      </c>
      <c r="AF910" s="8" t="str">
        <f aca="false">$B910&amp;"|"&amp;TEXT($AD910,"0.000000")</f>
        <v>47|0.000000</v>
      </c>
      <c r="AG910" s="18" t="n">
        <f aca="false">IF($K910="SEM CULTURA",0,$T910*$H910)</f>
        <v>0</v>
      </c>
      <c r="AH910" s="18" t="n">
        <f aca="false">IF($K910="SEM CULTURA",0,$V910*$H910)</f>
        <v>0</v>
      </c>
      <c r="AI910" s="18" t="n">
        <f aca="false">IF($K910="SEM CULTURA",0,$W910*$H910)</f>
        <v>0</v>
      </c>
      <c r="AJ910" s="18" t="n">
        <f aca="false">IF($K910="SEM CULTURA",0,$S910*$H910)</f>
        <v>0</v>
      </c>
      <c r="AK910" s="8" t="str">
        <f aca="false">$E910&amp;"|"&amp;TEXT($AD910,"0.000000")</f>
        <v>PV 115|0.000000</v>
      </c>
    </row>
    <row r="911" customFormat="false" ht="15" hidden="false" customHeight="false" outlineLevel="0" collapsed="false">
      <c r="B911" s="16" t="n">
        <v>48</v>
      </c>
      <c r="C911" s="17" t="n">
        <f aca="false">DATA_INICIO_SAFRA+($B911-1)*DIAS_POR_SEMANA</f>
        <v>46594</v>
      </c>
      <c r="D911" s="17" t="n">
        <f aca="false">$C911+DIAS_POR_SEMANA-1</f>
        <v>46600</v>
      </c>
      <c r="E911" s="15" t="s">
        <v>272</v>
      </c>
      <c r="F911" s="8" t="str">
        <f aca="false">IFERROR(INDEX(CADASTRO_PIVOS!$C$6:$C$41,MATCH($E911,CADASTRO_PIVOS!$B$6:$B$41,0)),"?")</f>
        <v>RM05</v>
      </c>
      <c r="G911" s="8" t="str">
        <f aca="false">IFERROR(INDEX(CADASTRO_PIVOS!$D$6:$D$41,MATCH($E911,CADASTRO_PIVOS!$B$6:$B$41,0)),"?")</f>
        <v>TR05</v>
      </c>
      <c r="H911" s="20" t="n">
        <f aca="false">IFERROR(INDEX(CADASTRO_PIVOS!$E$6:$E$41,MATCH($E911,CADASTRO_PIVOS!$B$6:$B$41,0)),0)</f>
        <v>149.94</v>
      </c>
      <c r="I911" s="16" t="n">
        <f aca="false">IFERROR(SUMIFS(ROTACAO_RDM!$B$6:$B$71,ROTACAO_RDM!$D$6:$D$71,$E911,ROTACAO_RDM!$I$6:$I$71,"&lt;="&amp;$C911+INT(DIAS_POR_SEMANA/2),ROTACAO_RDM!$J$6:$J$71,"&gt;="&amp;$C911+INT(DIAS_POR_SEMANA/2)),0)</f>
        <v>0</v>
      </c>
      <c r="J911" s="16" t="n">
        <f aca="false">IFERROR(MATCH($I911,ROTACAO_RDM!$B$6:$B$71,0),0)</f>
        <v>0</v>
      </c>
      <c r="K911" s="8" t="str">
        <f aca="false">IF($J911=0,"SEM CULTURA",INDEX(ROTACAO_RDM!$F$6:$F$71,$J911))</f>
        <v>SEM CULTURA</v>
      </c>
      <c r="L911" s="8" t="str">
        <f aca="false">IF($J911=0,"",INDEX(ROTACAO_RDM!$G$6:$G$71,$J911))</f>
        <v/>
      </c>
      <c r="M911" s="17" t="str">
        <f aca="false">IF($J911=0,"",INDEX(ROTACAO_RDM!$I$6:$I$71,$J911))</f>
        <v/>
      </c>
      <c r="N911" s="16" t="n">
        <f aca="false">IF($J911=0,0,MAX(0,$C911+INT(DIAS_POR_SEMANA/2)-INDEX(ROTACAO_RDM!$I$6:$I$71,$J911)))</f>
        <v>0</v>
      </c>
      <c r="O911" s="19" t="n">
        <f aca="false">IF($J911=0,0,MIN(1,$N911/MAX(1,INDEX(ROTACAO_RDM!$K$6:$K$71,$J911))))</f>
        <v>0</v>
      </c>
      <c r="P911" s="16" t="n">
        <f aca="false">IF($J911=0,0,IFERROR(MATCH(INDEX(ROTACAO_RDM!$N$6:$N$71,$J911),PARAMETROS_CULTURAS!$B$6:$B$28,0),0))</f>
        <v>0</v>
      </c>
      <c r="Q911" s="8" t="str">
        <f aca="false">IF($P911=0,"-",IF($O911&lt;=INDEX(PARAMETROS_CULTURAS!$F$6:$F$28,$P911),"INICIAL",IF($O911&lt;=INDEX(PARAMETROS_CULTURAS!$F$6:$F$28,$P911)+INDEX(PARAMETROS_CULTURAS!$G$6:$G$28,$P911),"DESENVOLVIMENTO",IF($O911&lt;=INDEX(PARAMETROS_CULTURAS!$F$6:$F$28,$P911)+INDEX(PARAMETROS_CULTURAS!$G$6:$G$28,$P911)+INDEX(PARAMETROS_CULTURAS!$H$6:$H$28,$P911),"MEDIA","FINAL"))))</f>
        <v>-</v>
      </c>
      <c r="R911" s="24" t="n">
        <f aca="false">IF($P911=0,0,IF($O911&lt;=INDEX(PARAMETROS_CULTURAS!$F$6:$F$28,$P911),INDEX(PARAMETROS_CULTURAS!$K$6:$K$28,$P911),IF($O911&lt;=INDEX(PARAMETROS_CULTURAS!$F$6:$F$28,$P911)+INDEX(PARAMETROS_CULTURAS!$G$6:$G$28,$P911),INDEX(PARAMETROS_CULTURAS!$K$6:$K$28,$P911)+(INDEX(PARAMETROS_CULTURAS!$L$6:$L$28,$P911)-INDEX(PARAMETROS_CULTURAS!$K$6:$K$28,$P911))*($O911-INDEX(PARAMETROS_CULTURAS!$F$6:$F$28,$P911))/MAX(INDEX(PARAMETROS_CULTURAS!$G$6:$G$28,$P911),0.0001),IF($O911&lt;=INDEX(PARAMETROS_CULTURAS!$F$6:$F$28,$P911)+INDEX(PARAMETROS_CULTURAS!$G$6:$G$28,$P911)+INDEX(PARAMETROS_CULTURAS!$H$6:$H$28,$P911),INDEX(PARAMETROS_CULTURAS!$L$6:$L$28,$P911),INDEX(PARAMETROS_CULTURAS!$L$6:$L$28,$P911)+(INDEX(PARAMETROS_CULTURAS!$M$6:$M$28,$P911)-INDEX(PARAMETROS_CULTURAS!$L$6:$L$28,$P911))*($O911-INDEX(PARAMETROS_CULTURAS!$F$6:$F$28,$P911)-INDEX(PARAMETROS_CULTURAS!$G$6:$G$28,$P911)-INDEX(PARAMETROS_CULTURAS!$H$6:$H$28,$P911))/MAX(INDEX(PARAMETROS_CULTURAS!$I$6:$I$28,$P911),0.0001)))))</f>
        <v>0</v>
      </c>
      <c r="S911" s="18" t="n">
        <f aca="false">IFERROR(INDEX(SEMANAS!$H$6:$H$71,MATCH($B911,SEMANAS!$B$6:$B$71,0)),0)</f>
        <v>31</v>
      </c>
      <c r="T911" s="18" t="n">
        <f aca="false">$R911*$S911</f>
        <v>0</v>
      </c>
      <c r="U911" s="18" t="n">
        <f aca="false">IFERROR(INDEX(SEMANAS!$I$6:$I$71,MATCH($B911,SEMANAS!$B$6:$B$71,0)),0)</f>
        <v>0.76</v>
      </c>
      <c r="V911" s="18" t="n">
        <f aca="false">IFERROR(INDEX(SEMANAS!$J$6:$J$71,MATCH($B911,SEMANAS!$B$6:$B$71,0)),0)</f>
        <v>0.608</v>
      </c>
      <c r="W911" s="18" t="n">
        <f aca="false">MAX(0,$T911-$V911)</f>
        <v>0</v>
      </c>
      <c r="X911" s="19" t="n">
        <f aca="false">IFERROR(INDEX(CADASTRO_PIVOS!$K$6:$K$41,MATCH($E911,CADASTRO_PIVOS!$B$6:$B$41,0)),EFICIENCIA_PADRAO)</f>
        <v>0.85</v>
      </c>
      <c r="Y911" s="18" t="n">
        <f aca="false">IF($X911&lt;=0,0,$W911/$X911)</f>
        <v>0</v>
      </c>
      <c r="Z911" s="16" t="n">
        <f aca="false">$Y911*$H911*MM_PARA_M3_HA</f>
        <v>0</v>
      </c>
      <c r="AA911" s="18" t="n">
        <f aca="false">IFERROR(INDEX(CADASTRO_PIVOS!$I$6:$I$41,MATCH($E911,CADASTRO_PIVOS!$B$6:$B$41,0)),0)</f>
        <v>928.2</v>
      </c>
      <c r="AB911" s="18" t="n">
        <f aca="false">IF($Z911&lt;=0,0,$Z911/$AA911)</f>
        <v>0</v>
      </c>
      <c r="AC911" s="16" t="n">
        <f aca="false">IFERROR(INDEX(SEMANAS!$K$6:$K$71,MATCH($B911,SEMANAS!$B$6:$B$71,0)),0)</f>
        <v>147</v>
      </c>
      <c r="AD911" s="19" t="n">
        <f aca="false">IF($AC911&lt;=0,0,$AB911/$AC911)</f>
        <v>0</v>
      </c>
      <c r="AE911" s="8" t="str">
        <f aca="false">IF($K911="SEM CULTURA","SEM CULTURA",IF($AA911&lt;=0,"DADO PENDENTE",IF($AD911&gt;LIMITE_CRITICO,"INVIAVEL",IF($AD911&gt;LIMITE_ATENCAO,"CRITICO",IF($AD911&gt;LIMITE_CONFORTAVEL,"ATENCAO","OK")))))</f>
        <v>SEM CULTURA</v>
      </c>
      <c r="AF911" s="8" t="str">
        <f aca="false">$B911&amp;"|"&amp;TEXT($AD911,"0.000000")</f>
        <v>48|0.000000</v>
      </c>
      <c r="AG911" s="18" t="n">
        <f aca="false">IF($K911="SEM CULTURA",0,$T911*$H911)</f>
        <v>0</v>
      </c>
      <c r="AH911" s="18" t="n">
        <f aca="false">IF($K911="SEM CULTURA",0,$V911*$H911)</f>
        <v>0</v>
      </c>
      <c r="AI911" s="18" t="n">
        <f aca="false">IF($K911="SEM CULTURA",0,$W911*$H911)</f>
        <v>0</v>
      </c>
      <c r="AJ911" s="18" t="n">
        <f aca="false">IF($K911="SEM CULTURA",0,$S911*$H911)</f>
        <v>0</v>
      </c>
      <c r="AK911" s="8" t="str">
        <f aca="false">$E911&amp;"|"&amp;TEXT($AD911,"0.000000")</f>
        <v>PV 115|0.000000</v>
      </c>
    </row>
    <row r="912" customFormat="false" ht="15" hidden="false" customHeight="false" outlineLevel="0" collapsed="false">
      <c r="B912" s="16" t="n">
        <v>49</v>
      </c>
      <c r="C912" s="17" t="n">
        <f aca="false">DATA_INICIO_SAFRA+($B912-1)*DIAS_POR_SEMANA</f>
        <v>46601</v>
      </c>
      <c r="D912" s="17" t="n">
        <f aca="false">$C912+DIAS_POR_SEMANA-1</f>
        <v>46607</v>
      </c>
      <c r="E912" s="15" t="s">
        <v>272</v>
      </c>
      <c r="F912" s="8" t="str">
        <f aca="false">IFERROR(INDEX(CADASTRO_PIVOS!$C$6:$C$41,MATCH($E912,CADASTRO_PIVOS!$B$6:$B$41,0)),"?")</f>
        <v>RM05</v>
      </c>
      <c r="G912" s="8" t="str">
        <f aca="false">IFERROR(INDEX(CADASTRO_PIVOS!$D$6:$D$41,MATCH($E912,CADASTRO_PIVOS!$B$6:$B$41,0)),"?")</f>
        <v>TR05</v>
      </c>
      <c r="H912" s="20" t="n">
        <f aca="false">IFERROR(INDEX(CADASTRO_PIVOS!$E$6:$E$41,MATCH($E912,CADASTRO_PIVOS!$B$6:$B$41,0)),0)</f>
        <v>149.94</v>
      </c>
      <c r="I912" s="16" t="n">
        <f aca="false">IFERROR(SUMIFS(ROTACAO_RDM!$B$6:$B$71,ROTACAO_RDM!$D$6:$D$71,$E912,ROTACAO_RDM!$I$6:$I$71,"&lt;="&amp;$C912+INT(DIAS_POR_SEMANA/2),ROTACAO_RDM!$J$6:$J$71,"&gt;="&amp;$C912+INT(DIAS_POR_SEMANA/2)),0)</f>
        <v>0</v>
      </c>
      <c r="J912" s="16" t="n">
        <f aca="false">IFERROR(MATCH($I912,ROTACAO_RDM!$B$6:$B$71,0),0)</f>
        <v>0</v>
      </c>
      <c r="K912" s="8" t="str">
        <f aca="false">IF($J912=0,"SEM CULTURA",INDEX(ROTACAO_RDM!$F$6:$F$71,$J912))</f>
        <v>SEM CULTURA</v>
      </c>
      <c r="L912" s="8" t="str">
        <f aca="false">IF($J912=0,"",INDEX(ROTACAO_RDM!$G$6:$G$71,$J912))</f>
        <v/>
      </c>
      <c r="M912" s="17" t="str">
        <f aca="false">IF($J912=0,"",INDEX(ROTACAO_RDM!$I$6:$I$71,$J912))</f>
        <v/>
      </c>
      <c r="N912" s="16" t="n">
        <f aca="false">IF($J912=0,0,MAX(0,$C912+INT(DIAS_POR_SEMANA/2)-INDEX(ROTACAO_RDM!$I$6:$I$71,$J912)))</f>
        <v>0</v>
      </c>
      <c r="O912" s="19" t="n">
        <f aca="false">IF($J912=0,0,MIN(1,$N912/MAX(1,INDEX(ROTACAO_RDM!$K$6:$K$71,$J912))))</f>
        <v>0</v>
      </c>
      <c r="P912" s="16" t="n">
        <f aca="false">IF($J912=0,0,IFERROR(MATCH(INDEX(ROTACAO_RDM!$N$6:$N$71,$J912),PARAMETROS_CULTURAS!$B$6:$B$28,0),0))</f>
        <v>0</v>
      </c>
      <c r="Q912" s="8" t="str">
        <f aca="false">IF($P912=0,"-",IF($O912&lt;=INDEX(PARAMETROS_CULTURAS!$F$6:$F$28,$P912),"INICIAL",IF($O912&lt;=INDEX(PARAMETROS_CULTURAS!$F$6:$F$28,$P912)+INDEX(PARAMETROS_CULTURAS!$G$6:$G$28,$P912),"DESENVOLVIMENTO",IF($O912&lt;=INDEX(PARAMETROS_CULTURAS!$F$6:$F$28,$P912)+INDEX(PARAMETROS_CULTURAS!$G$6:$G$28,$P912)+INDEX(PARAMETROS_CULTURAS!$H$6:$H$28,$P912),"MEDIA","FINAL"))))</f>
        <v>-</v>
      </c>
      <c r="R912" s="24" t="n">
        <f aca="false">IF($P912=0,0,IF($O912&lt;=INDEX(PARAMETROS_CULTURAS!$F$6:$F$28,$P912),INDEX(PARAMETROS_CULTURAS!$K$6:$K$28,$P912),IF($O912&lt;=INDEX(PARAMETROS_CULTURAS!$F$6:$F$28,$P912)+INDEX(PARAMETROS_CULTURAS!$G$6:$G$28,$P912),INDEX(PARAMETROS_CULTURAS!$K$6:$K$28,$P912)+(INDEX(PARAMETROS_CULTURAS!$L$6:$L$28,$P912)-INDEX(PARAMETROS_CULTURAS!$K$6:$K$28,$P912))*($O912-INDEX(PARAMETROS_CULTURAS!$F$6:$F$28,$P912))/MAX(INDEX(PARAMETROS_CULTURAS!$G$6:$G$28,$P912),0.0001),IF($O912&lt;=INDEX(PARAMETROS_CULTURAS!$F$6:$F$28,$P912)+INDEX(PARAMETROS_CULTURAS!$G$6:$G$28,$P912)+INDEX(PARAMETROS_CULTURAS!$H$6:$H$28,$P912),INDEX(PARAMETROS_CULTURAS!$L$6:$L$28,$P912),INDEX(PARAMETROS_CULTURAS!$L$6:$L$28,$P912)+(INDEX(PARAMETROS_CULTURAS!$M$6:$M$28,$P912)-INDEX(PARAMETROS_CULTURAS!$L$6:$L$28,$P912))*($O912-INDEX(PARAMETROS_CULTURAS!$F$6:$F$28,$P912)-INDEX(PARAMETROS_CULTURAS!$G$6:$G$28,$P912)-INDEX(PARAMETROS_CULTURAS!$H$6:$H$28,$P912))/MAX(INDEX(PARAMETROS_CULTURAS!$I$6:$I$28,$P912),0.0001)))))</f>
        <v>0</v>
      </c>
      <c r="S912" s="18" t="n">
        <f aca="false">IFERROR(INDEX(SEMANAS!$H$6:$H$71,MATCH($B912,SEMANAS!$B$6:$B$71,0)),0)</f>
        <v>36.4</v>
      </c>
      <c r="T912" s="18" t="n">
        <f aca="false">$R912*$S912</f>
        <v>0</v>
      </c>
      <c r="U912" s="18" t="n">
        <f aca="false">IFERROR(INDEX(SEMANAS!$I$6:$I$71,MATCH($B912,SEMANAS!$B$6:$B$71,0)),0)</f>
        <v>1.12</v>
      </c>
      <c r="V912" s="18" t="n">
        <f aca="false">IFERROR(INDEX(SEMANAS!$J$6:$J$71,MATCH($B912,SEMANAS!$B$6:$B$71,0)),0)</f>
        <v>0.896</v>
      </c>
      <c r="W912" s="18" t="n">
        <f aca="false">MAX(0,$T912-$V912)</f>
        <v>0</v>
      </c>
      <c r="X912" s="19" t="n">
        <f aca="false">IFERROR(INDEX(CADASTRO_PIVOS!$K$6:$K$41,MATCH($E912,CADASTRO_PIVOS!$B$6:$B$41,0)),EFICIENCIA_PADRAO)</f>
        <v>0.85</v>
      </c>
      <c r="Y912" s="18" t="n">
        <f aca="false">IF($X912&lt;=0,0,$W912/$X912)</f>
        <v>0</v>
      </c>
      <c r="Z912" s="16" t="n">
        <f aca="false">$Y912*$H912*MM_PARA_M3_HA</f>
        <v>0</v>
      </c>
      <c r="AA912" s="18" t="n">
        <f aca="false">IFERROR(INDEX(CADASTRO_PIVOS!$I$6:$I$41,MATCH($E912,CADASTRO_PIVOS!$B$6:$B$41,0)),0)</f>
        <v>928.2</v>
      </c>
      <c r="AB912" s="18" t="n">
        <f aca="false">IF($Z912&lt;=0,0,$Z912/$AA912)</f>
        <v>0</v>
      </c>
      <c r="AC912" s="16" t="n">
        <f aca="false">IFERROR(INDEX(SEMANAS!$K$6:$K$71,MATCH($B912,SEMANAS!$B$6:$B$71,0)),0)</f>
        <v>147</v>
      </c>
      <c r="AD912" s="19" t="n">
        <f aca="false">IF($AC912&lt;=0,0,$AB912/$AC912)</f>
        <v>0</v>
      </c>
      <c r="AE912" s="8" t="str">
        <f aca="false">IF($K912="SEM CULTURA","SEM CULTURA",IF($AA912&lt;=0,"DADO PENDENTE",IF($AD912&gt;LIMITE_CRITICO,"INVIAVEL",IF($AD912&gt;LIMITE_ATENCAO,"CRITICO",IF($AD912&gt;LIMITE_CONFORTAVEL,"ATENCAO","OK")))))</f>
        <v>SEM CULTURA</v>
      </c>
      <c r="AF912" s="8" t="str">
        <f aca="false">$B912&amp;"|"&amp;TEXT($AD912,"0.000000")</f>
        <v>49|0.000000</v>
      </c>
      <c r="AG912" s="18" t="n">
        <f aca="false">IF($K912="SEM CULTURA",0,$T912*$H912)</f>
        <v>0</v>
      </c>
      <c r="AH912" s="18" t="n">
        <f aca="false">IF($K912="SEM CULTURA",0,$V912*$H912)</f>
        <v>0</v>
      </c>
      <c r="AI912" s="18" t="n">
        <f aca="false">IF($K912="SEM CULTURA",0,$W912*$H912)</f>
        <v>0</v>
      </c>
      <c r="AJ912" s="18" t="n">
        <f aca="false">IF($K912="SEM CULTURA",0,$S912*$H912)</f>
        <v>0</v>
      </c>
      <c r="AK912" s="8" t="str">
        <f aca="false">$E912&amp;"|"&amp;TEXT($AD912,"0.000000")</f>
        <v>PV 115|0.000000</v>
      </c>
    </row>
    <row r="913" customFormat="false" ht="15" hidden="false" customHeight="false" outlineLevel="0" collapsed="false">
      <c r="B913" s="16" t="n">
        <v>50</v>
      </c>
      <c r="C913" s="17" t="n">
        <f aca="false">DATA_INICIO_SAFRA+($B913-1)*DIAS_POR_SEMANA</f>
        <v>46608</v>
      </c>
      <c r="D913" s="17" t="n">
        <f aca="false">$C913+DIAS_POR_SEMANA-1</f>
        <v>46614</v>
      </c>
      <c r="E913" s="15" t="s">
        <v>272</v>
      </c>
      <c r="F913" s="8" t="str">
        <f aca="false">IFERROR(INDEX(CADASTRO_PIVOS!$C$6:$C$41,MATCH($E913,CADASTRO_PIVOS!$B$6:$B$41,0)),"?")</f>
        <v>RM05</v>
      </c>
      <c r="G913" s="8" t="str">
        <f aca="false">IFERROR(INDEX(CADASTRO_PIVOS!$D$6:$D$41,MATCH($E913,CADASTRO_PIVOS!$B$6:$B$41,0)),"?")</f>
        <v>TR05</v>
      </c>
      <c r="H913" s="20" t="n">
        <f aca="false">IFERROR(INDEX(CADASTRO_PIVOS!$E$6:$E$41,MATCH($E913,CADASTRO_PIVOS!$B$6:$B$41,0)),0)</f>
        <v>149.94</v>
      </c>
      <c r="I913" s="16" t="n">
        <f aca="false">IFERROR(SUMIFS(ROTACAO_RDM!$B$6:$B$71,ROTACAO_RDM!$D$6:$D$71,$E913,ROTACAO_RDM!$I$6:$I$71,"&lt;="&amp;$C913+INT(DIAS_POR_SEMANA/2),ROTACAO_RDM!$J$6:$J$71,"&gt;="&amp;$C913+INT(DIAS_POR_SEMANA/2)),0)</f>
        <v>0</v>
      </c>
      <c r="J913" s="16" t="n">
        <f aca="false">IFERROR(MATCH($I913,ROTACAO_RDM!$B$6:$B$71,0),0)</f>
        <v>0</v>
      </c>
      <c r="K913" s="8" t="str">
        <f aca="false">IF($J913=0,"SEM CULTURA",INDEX(ROTACAO_RDM!$F$6:$F$71,$J913))</f>
        <v>SEM CULTURA</v>
      </c>
      <c r="L913" s="8" t="str">
        <f aca="false">IF($J913=0,"",INDEX(ROTACAO_RDM!$G$6:$G$71,$J913))</f>
        <v/>
      </c>
      <c r="M913" s="17" t="str">
        <f aca="false">IF($J913=0,"",INDEX(ROTACAO_RDM!$I$6:$I$71,$J913))</f>
        <v/>
      </c>
      <c r="N913" s="16" t="n">
        <f aca="false">IF($J913=0,0,MAX(0,$C913+INT(DIAS_POR_SEMANA/2)-INDEX(ROTACAO_RDM!$I$6:$I$71,$J913)))</f>
        <v>0</v>
      </c>
      <c r="O913" s="19" t="n">
        <f aca="false">IF($J913=0,0,MIN(1,$N913/MAX(1,INDEX(ROTACAO_RDM!$K$6:$K$71,$J913))))</f>
        <v>0</v>
      </c>
      <c r="P913" s="16" t="n">
        <f aca="false">IF($J913=0,0,IFERROR(MATCH(INDEX(ROTACAO_RDM!$N$6:$N$71,$J913),PARAMETROS_CULTURAS!$B$6:$B$28,0),0))</f>
        <v>0</v>
      </c>
      <c r="Q913" s="8" t="str">
        <f aca="false">IF($P913=0,"-",IF($O913&lt;=INDEX(PARAMETROS_CULTURAS!$F$6:$F$28,$P913),"INICIAL",IF($O913&lt;=INDEX(PARAMETROS_CULTURAS!$F$6:$F$28,$P913)+INDEX(PARAMETROS_CULTURAS!$G$6:$G$28,$P913),"DESENVOLVIMENTO",IF($O913&lt;=INDEX(PARAMETROS_CULTURAS!$F$6:$F$28,$P913)+INDEX(PARAMETROS_CULTURAS!$G$6:$G$28,$P913)+INDEX(PARAMETROS_CULTURAS!$H$6:$H$28,$P913),"MEDIA","FINAL"))))</f>
        <v>-</v>
      </c>
      <c r="R913" s="24" t="n">
        <f aca="false">IF($P913=0,0,IF($O913&lt;=INDEX(PARAMETROS_CULTURAS!$F$6:$F$28,$P913),INDEX(PARAMETROS_CULTURAS!$K$6:$K$28,$P913),IF($O913&lt;=INDEX(PARAMETROS_CULTURAS!$F$6:$F$28,$P913)+INDEX(PARAMETROS_CULTURAS!$G$6:$G$28,$P913),INDEX(PARAMETROS_CULTURAS!$K$6:$K$28,$P913)+(INDEX(PARAMETROS_CULTURAS!$L$6:$L$28,$P913)-INDEX(PARAMETROS_CULTURAS!$K$6:$K$28,$P913))*($O913-INDEX(PARAMETROS_CULTURAS!$F$6:$F$28,$P913))/MAX(INDEX(PARAMETROS_CULTURAS!$G$6:$G$28,$P913),0.0001),IF($O913&lt;=INDEX(PARAMETROS_CULTURAS!$F$6:$F$28,$P913)+INDEX(PARAMETROS_CULTURAS!$G$6:$G$28,$P913)+INDEX(PARAMETROS_CULTURAS!$H$6:$H$28,$P913),INDEX(PARAMETROS_CULTURAS!$L$6:$L$28,$P913),INDEX(PARAMETROS_CULTURAS!$L$6:$L$28,$P913)+(INDEX(PARAMETROS_CULTURAS!$M$6:$M$28,$P913)-INDEX(PARAMETROS_CULTURAS!$L$6:$L$28,$P913))*($O913-INDEX(PARAMETROS_CULTURAS!$F$6:$F$28,$P913)-INDEX(PARAMETROS_CULTURAS!$G$6:$G$28,$P913)-INDEX(PARAMETROS_CULTURAS!$H$6:$H$28,$P913))/MAX(INDEX(PARAMETROS_CULTURAS!$I$6:$I$28,$P913),0.0001)))))</f>
        <v>0</v>
      </c>
      <c r="S913" s="18" t="n">
        <f aca="false">IFERROR(INDEX(SEMANAS!$H$6:$H$71,MATCH($B913,SEMANAS!$B$6:$B$71,0)),0)</f>
        <v>36.4</v>
      </c>
      <c r="T913" s="18" t="n">
        <f aca="false">$R913*$S913</f>
        <v>0</v>
      </c>
      <c r="U913" s="18" t="n">
        <f aca="false">IFERROR(INDEX(SEMANAS!$I$6:$I$71,MATCH($B913,SEMANAS!$B$6:$B$71,0)),0)</f>
        <v>1.12</v>
      </c>
      <c r="V913" s="18" t="n">
        <f aca="false">IFERROR(INDEX(SEMANAS!$J$6:$J$71,MATCH($B913,SEMANAS!$B$6:$B$71,0)),0)</f>
        <v>0.896</v>
      </c>
      <c r="W913" s="18" t="n">
        <f aca="false">MAX(0,$T913-$V913)</f>
        <v>0</v>
      </c>
      <c r="X913" s="19" t="n">
        <f aca="false">IFERROR(INDEX(CADASTRO_PIVOS!$K$6:$K$41,MATCH($E913,CADASTRO_PIVOS!$B$6:$B$41,0)),EFICIENCIA_PADRAO)</f>
        <v>0.85</v>
      </c>
      <c r="Y913" s="18" t="n">
        <f aca="false">IF($X913&lt;=0,0,$W913/$X913)</f>
        <v>0</v>
      </c>
      <c r="Z913" s="16" t="n">
        <f aca="false">$Y913*$H913*MM_PARA_M3_HA</f>
        <v>0</v>
      </c>
      <c r="AA913" s="18" t="n">
        <f aca="false">IFERROR(INDEX(CADASTRO_PIVOS!$I$6:$I$41,MATCH($E913,CADASTRO_PIVOS!$B$6:$B$41,0)),0)</f>
        <v>928.2</v>
      </c>
      <c r="AB913" s="18" t="n">
        <f aca="false">IF($Z913&lt;=0,0,$Z913/$AA913)</f>
        <v>0</v>
      </c>
      <c r="AC913" s="16" t="n">
        <f aca="false">IFERROR(INDEX(SEMANAS!$K$6:$K$71,MATCH($B913,SEMANAS!$B$6:$B$71,0)),0)</f>
        <v>147</v>
      </c>
      <c r="AD913" s="19" t="n">
        <f aca="false">IF($AC913&lt;=0,0,$AB913/$AC913)</f>
        <v>0</v>
      </c>
      <c r="AE913" s="8" t="str">
        <f aca="false">IF($K913="SEM CULTURA","SEM CULTURA",IF($AA913&lt;=0,"DADO PENDENTE",IF($AD913&gt;LIMITE_CRITICO,"INVIAVEL",IF($AD913&gt;LIMITE_ATENCAO,"CRITICO",IF($AD913&gt;LIMITE_CONFORTAVEL,"ATENCAO","OK")))))</f>
        <v>SEM CULTURA</v>
      </c>
      <c r="AF913" s="8" t="str">
        <f aca="false">$B913&amp;"|"&amp;TEXT($AD913,"0.000000")</f>
        <v>50|0.000000</v>
      </c>
      <c r="AG913" s="18" t="n">
        <f aca="false">IF($K913="SEM CULTURA",0,$T913*$H913)</f>
        <v>0</v>
      </c>
      <c r="AH913" s="18" t="n">
        <f aca="false">IF($K913="SEM CULTURA",0,$V913*$H913)</f>
        <v>0</v>
      </c>
      <c r="AI913" s="18" t="n">
        <f aca="false">IF($K913="SEM CULTURA",0,$W913*$H913)</f>
        <v>0</v>
      </c>
      <c r="AJ913" s="18" t="n">
        <f aca="false">IF($K913="SEM CULTURA",0,$S913*$H913)</f>
        <v>0</v>
      </c>
      <c r="AK913" s="8" t="str">
        <f aca="false">$E913&amp;"|"&amp;TEXT($AD913,"0.000000")</f>
        <v>PV 115|0.000000</v>
      </c>
    </row>
    <row r="914" customFormat="false" ht="15" hidden="false" customHeight="false" outlineLevel="0" collapsed="false">
      <c r="B914" s="16" t="n">
        <v>51</v>
      </c>
      <c r="C914" s="17" t="n">
        <f aca="false">DATA_INICIO_SAFRA+($B914-1)*DIAS_POR_SEMANA</f>
        <v>46615</v>
      </c>
      <c r="D914" s="17" t="n">
        <f aca="false">$C914+DIAS_POR_SEMANA-1</f>
        <v>46621</v>
      </c>
      <c r="E914" s="15" t="s">
        <v>272</v>
      </c>
      <c r="F914" s="8" t="str">
        <f aca="false">IFERROR(INDEX(CADASTRO_PIVOS!$C$6:$C$41,MATCH($E914,CADASTRO_PIVOS!$B$6:$B$41,0)),"?")</f>
        <v>RM05</v>
      </c>
      <c r="G914" s="8" t="str">
        <f aca="false">IFERROR(INDEX(CADASTRO_PIVOS!$D$6:$D$41,MATCH($E914,CADASTRO_PIVOS!$B$6:$B$41,0)),"?")</f>
        <v>TR05</v>
      </c>
      <c r="H914" s="20" t="n">
        <f aca="false">IFERROR(INDEX(CADASTRO_PIVOS!$E$6:$E$41,MATCH($E914,CADASTRO_PIVOS!$B$6:$B$41,0)),0)</f>
        <v>149.94</v>
      </c>
      <c r="I914" s="16" t="n">
        <f aca="false">IFERROR(SUMIFS(ROTACAO_RDM!$B$6:$B$71,ROTACAO_RDM!$D$6:$D$71,$E914,ROTACAO_RDM!$I$6:$I$71,"&lt;="&amp;$C914+INT(DIAS_POR_SEMANA/2),ROTACAO_RDM!$J$6:$J$71,"&gt;="&amp;$C914+INT(DIAS_POR_SEMANA/2)),0)</f>
        <v>0</v>
      </c>
      <c r="J914" s="16" t="n">
        <f aca="false">IFERROR(MATCH($I914,ROTACAO_RDM!$B$6:$B$71,0),0)</f>
        <v>0</v>
      </c>
      <c r="K914" s="8" t="str">
        <f aca="false">IF($J914=0,"SEM CULTURA",INDEX(ROTACAO_RDM!$F$6:$F$71,$J914))</f>
        <v>SEM CULTURA</v>
      </c>
      <c r="L914" s="8" t="str">
        <f aca="false">IF($J914=0,"",INDEX(ROTACAO_RDM!$G$6:$G$71,$J914))</f>
        <v/>
      </c>
      <c r="M914" s="17" t="str">
        <f aca="false">IF($J914=0,"",INDEX(ROTACAO_RDM!$I$6:$I$71,$J914))</f>
        <v/>
      </c>
      <c r="N914" s="16" t="n">
        <f aca="false">IF($J914=0,0,MAX(0,$C914+INT(DIAS_POR_SEMANA/2)-INDEX(ROTACAO_RDM!$I$6:$I$71,$J914)))</f>
        <v>0</v>
      </c>
      <c r="O914" s="19" t="n">
        <f aca="false">IF($J914=0,0,MIN(1,$N914/MAX(1,INDEX(ROTACAO_RDM!$K$6:$K$71,$J914))))</f>
        <v>0</v>
      </c>
      <c r="P914" s="16" t="n">
        <f aca="false">IF($J914=0,0,IFERROR(MATCH(INDEX(ROTACAO_RDM!$N$6:$N$71,$J914),PARAMETROS_CULTURAS!$B$6:$B$28,0),0))</f>
        <v>0</v>
      </c>
      <c r="Q914" s="8" t="str">
        <f aca="false">IF($P914=0,"-",IF($O914&lt;=INDEX(PARAMETROS_CULTURAS!$F$6:$F$28,$P914),"INICIAL",IF($O914&lt;=INDEX(PARAMETROS_CULTURAS!$F$6:$F$28,$P914)+INDEX(PARAMETROS_CULTURAS!$G$6:$G$28,$P914),"DESENVOLVIMENTO",IF($O914&lt;=INDEX(PARAMETROS_CULTURAS!$F$6:$F$28,$P914)+INDEX(PARAMETROS_CULTURAS!$G$6:$G$28,$P914)+INDEX(PARAMETROS_CULTURAS!$H$6:$H$28,$P914),"MEDIA","FINAL"))))</f>
        <v>-</v>
      </c>
      <c r="R914" s="24" t="n">
        <f aca="false">IF($P914=0,0,IF($O914&lt;=INDEX(PARAMETROS_CULTURAS!$F$6:$F$28,$P914),INDEX(PARAMETROS_CULTURAS!$K$6:$K$28,$P914),IF($O914&lt;=INDEX(PARAMETROS_CULTURAS!$F$6:$F$28,$P914)+INDEX(PARAMETROS_CULTURAS!$G$6:$G$28,$P914),INDEX(PARAMETROS_CULTURAS!$K$6:$K$28,$P914)+(INDEX(PARAMETROS_CULTURAS!$L$6:$L$28,$P914)-INDEX(PARAMETROS_CULTURAS!$K$6:$K$28,$P914))*($O914-INDEX(PARAMETROS_CULTURAS!$F$6:$F$28,$P914))/MAX(INDEX(PARAMETROS_CULTURAS!$G$6:$G$28,$P914),0.0001),IF($O914&lt;=INDEX(PARAMETROS_CULTURAS!$F$6:$F$28,$P914)+INDEX(PARAMETROS_CULTURAS!$G$6:$G$28,$P914)+INDEX(PARAMETROS_CULTURAS!$H$6:$H$28,$P914),INDEX(PARAMETROS_CULTURAS!$L$6:$L$28,$P914),INDEX(PARAMETROS_CULTURAS!$L$6:$L$28,$P914)+(INDEX(PARAMETROS_CULTURAS!$M$6:$M$28,$P914)-INDEX(PARAMETROS_CULTURAS!$L$6:$L$28,$P914))*($O914-INDEX(PARAMETROS_CULTURAS!$F$6:$F$28,$P914)-INDEX(PARAMETROS_CULTURAS!$G$6:$G$28,$P914)-INDEX(PARAMETROS_CULTURAS!$H$6:$H$28,$P914))/MAX(INDEX(PARAMETROS_CULTURAS!$I$6:$I$28,$P914),0.0001)))))</f>
        <v>0</v>
      </c>
      <c r="S914" s="18" t="n">
        <f aca="false">IFERROR(INDEX(SEMANAS!$H$6:$H$71,MATCH($B914,SEMANAS!$B$6:$B$71,0)),0)</f>
        <v>36.4</v>
      </c>
      <c r="T914" s="18" t="n">
        <f aca="false">$R914*$S914</f>
        <v>0</v>
      </c>
      <c r="U914" s="18" t="n">
        <f aca="false">IFERROR(INDEX(SEMANAS!$I$6:$I$71,MATCH($B914,SEMANAS!$B$6:$B$71,0)),0)</f>
        <v>1.12</v>
      </c>
      <c r="V914" s="18" t="n">
        <f aca="false">IFERROR(INDEX(SEMANAS!$J$6:$J$71,MATCH($B914,SEMANAS!$B$6:$B$71,0)),0)</f>
        <v>0.896</v>
      </c>
      <c r="W914" s="18" t="n">
        <f aca="false">MAX(0,$T914-$V914)</f>
        <v>0</v>
      </c>
      <c r="X914" s="19" t="n">
        <f aca="false">IFERROR(INDEX(CADASTRO_PIVOS!$K$6:$K$41,MATCH($E914,CADASTRO_PIVOS!$B$6:$B$41,0)),EFICIENCIA_PADRAO)</f>
        <v>0.85</v>
      </c>
      <c r="Y914" s="18" t="n">
        <f aca="false">IF($X914&lt;=0,0,$W914/$X914)</f>
        <v>0</v>
      </c>
      <c r="Z914" s="16" t="n">
        <f aca="false">$Y914*$H914*MM_PARA_M3_HA</f>
        <v>0</v>
      </c>
      <c r="AA914" s="18" t="n">
        <f aca="false">IFERROR(INDEX(CADASTRO_PIVOS!$I$6:$I$41,MATCH($E914,CADASTRO_PIVOS!$B$6:$B$41,0)),0)</f>
        <v>928.2</v>
      </c>
      <c r="AB914" s="18" t="n">
        <f aca="false">IF($Z914&lt;=0,0,$Z914/$AA914)</f>
        <v>0</v>
      </c>
      <c r="AC914" s="16" t="n">
        <f aca="false">IFERROR(INDEX(SEMANAS!$K$6:$K$71,MATCH($B914,SEMANAS!$B$6:$B$71,0)),0)</f>
        <v>147</v>
      </c>
      <c r="AD914" s="19" t="n">
        <f aca="false">IF($AC914&lt;=0,0,$AB914/$AC914)</f>
        <v>0</v>
      </c>
      <c r="AE914" s="8" t="str">
        <f aca="false">IF($K914="SEM CULTURA","SEM CULTURA",IF($AA914&lt;=0,"DADO PENDENTE",IF($AD914&gt;LIMITE_CRITICO,"INVIAVEL",IF($AD914&gt;LIMITE_ATENCAO,"CRITICO",IF($AD914&gt;LIMITE_CONFORTAVEL,"ATENCAO","OK")))))</f>
        <v>SEM CULTURA</v>
      </c>
      <c r="AF914" s="8" t="str">
        <f aca="false">$B914&amp;"|"&amp;TEXT($AD914,"0.000000")</f>
        <v>51|0.000000</v>
      </c>
      <c r="AG914" s="18" t="n">
        <f aca="false">IF($K914="SEM CULTURA",0,$T914*$H914)</f>
        <v>0</v>
      </c>
      <c r="AH914" s="18" t="n">
        <f aca="false">IF($K914="SEM CULTURA",0,$V914*$H914)</f>
        <v>0</v>
      </c>
      <c r="AI914" s="18" t="n">
        <f aca="false">IF($K914="SEM CULTURA",0,$W914*$H914)</f>
        <v>0</v>
      </c>
      <c r="AJ914" s="18" t="n">
        <f aca="false">IF($K914="SEM CULTURA",0,$S914*$H914)</f>
        <v>0</v>
      </c>
      <c r="AK914" s="8" t="str">
        <f aca="false">$E914&amp;"|"&amp;TEXT($AD914,"0.000000")</f>
        <v>PV 115|0.000000</v>
      </c>
    </row>
    <row r="915" customFormat="false" ht="15" hidden="false" customHeight="false" outlineLevel="0" collapsed="false">
      <c r="B915" s="16" t="n">
        <v>52</v>
      </c>
      <c r="C915" s="17" t="n">
        <f aca="false">DATA_INICIO_SAFRA+($B915-1)*DIAS_POR_SEMANA</f>
        <v>46622</v>
      </c>
      <c r="D915" s="17" t="n">
        <f aca="false">$C915+DIAS_POR_SEMANA-1</f>
        <v>46628</v>
      </c>
      <c r="E915" s="15" t="s">
        <v>272</v>
      </c>
      <c r="F915" s="8" t="str">
        <f aca="false">IFERROR(INDEX(CADASTRO_PIVOS!$C$6:$C$41,MATCH($E915,CADASTRO_PIVOS!$B$6:$B$41,0)),"?")</f>
        <v>RM05</v>
      </c>
      <c r="G915" s="8" t="str">
        <f aca="false">IFERROR(INDEX(CADASTRO_PIVOS!$D$6:$D$41,MATCH($E915,CADASTRO_PIVOS!$B$6:$B$41,0)),"?")</f>
        <v>TR05</v>
      </c>
      <c r="H915" s="20" t="n">
        <f aca="false">IFERROR(INDEX(CADASTRO_PIVOS!$E$6:$E$41,MATCH($E915,CADASTRO_PIVOS!$B$6:$B$41,0)),0)</f>
        <v>149.94</v>
      </c>
      <c r="I915" s="16" t="n">
        <f aca="false">IFERROR(SUMIFS(ROTACAO_RDM!$B$6:$B$71,ROTACAO_RDM!$D$6:$D$71,$E915,ROTACAO_RDM!$I$6:$I$71,"&lt;="&amp;$C915+INT(DIAS_POR_SEMANA/2),ROTACAO_RDM!$J$6:$J$71,"&gt;="&amp;$C915+INT(DIAS_POR_SEMANA/2)),0)</f>
        <v>0</v>
      </c>
      <c r="J915" s="16" t="n">
        <f aca="false">IFERROR(MATCH($I915,ROTACAO_RDM!$B$6:$B$71,0),0)</f>
        <v>0</v>
      </c>
      <c r="K915" s="8" t="str">
        <f aca="false">IF($J915=0,"SEM CULTURA",INDEX(ROTACAO_RDM!$F$6:$F$71,$J915))</f>
        <v>SEM CULTURA</v>
      </c>
      <c r="L915" s="8" t="str">
        <f aca="false">IF($J915=0,"",INDEX(ROTACAO_RDM!$G$6:$G$71,$J915))</f>
        <v/>
      </c>
      <c r="M915" s="17" t="str">
        <f aca="false">IF($J915=0,"",INDEX(ROTACAO_RDM!$I$6:$I$71,$J915))</f>
        <v/>
      </c>
      <c r="N915" s="16" t="n">
        <f aca="false">IF($J915=0,0,MAX(0,$C915+INT(DIAS_POR_SEMANA/2)-INDEX(ROTACAO_RDM!$I$6:$I$71,$J915)))</f>
        <v>0</v>
      </c>
      <c r="O915" s="19" t="n">
        <f aca="false">IF($J915=0,0,MIN(1,$N915/MAX(1,INDEX(ROTACAO_RDM!$K$6:$K$71,$J915))))</f>
        <v>0</v>
      </c>
      <c r="P915" s="16" t="n">
        <f aca="false">IF($J915=0,0,IFERROR(MATCH(INDEX(ROTACAO_RDM!$N$6:$N$71,$J915),PARAMETROS_CULTURAS!$B$6:$B$28,0),0))</f>
        <v>0</v>
      </c>
      <c r="Q915" s="8" t="str">
        <f aca="false">IF($P915=0,"-",IF($O915&lt;=INDEX(PARAMETROS_CULTURAS!$F$6:$F$28,$P915),"INICIAL",IF($O915&lt;=INDEX(PARAMETROS_CULTURAS!$F$6:$F$28,$P915)+INDEX(PARAMETROS_CULTURAS!$G$6:$G$28,$P915),"DESENVOLVIMENTO",IF($O915&lt;=INDEX(PARAMETROS_CULTURAS!$F$6:$F$28,$P915)+INDEX(PARAMETROS_CULTURAS!$G$6:$G$28,$P915)+INDEX(PARAMETROS_CULTURAS!$H$6:$H$28,$P915),"MEDIA","FINAL"))))</f>
        <v>-</v>
      </c>
      <c r="R915" s="24" t="n">
        <f aca="false">IF($P915=0,0,IF($O915&lt;=INDEX(PARAMETROS_CULTURAS!$F$6:$F$28,$P915),INDEX(PARAMETROS_CULTURAS!$K$6:$K$28,$P915),IF($O915&lt;=INDEX(PARAMETROS_CULTURAS!$F$6:$F$28,$P915)+INDEX(PARAMETROS_CULTURAS!$G$6:$G$28,$P915),INDEX(PARAMETROS_CULTURAS!$K$6:$K$28,$P915)+(INDEX(PARAMETROS_CULTURAS!$L$6:$L$28,$P915)-INDEX(PARAMETROS_CULTURAS!$K$6:$K$28,$P915))*($O915-INDEX(PARAMETROS_CULTURAS!$F$6:$F$28,$P915))/MAX(INDEX(PARAMETROS_CULTURAS!$G$6:$G$28,$P915),0.0001),IF($O915&lt;=INDEX(PARAMETROS_CULTURAS!$F$6:$F$28,$P915)+INDEX(PARAMETROS_CULTURAS!$G$6:$G$28,$P915)+INDEX(PARAMETROS_CULTURAS!$H$6:$H$28,$P915),INDEX(PARAMETROS_CULTURAS!$L$6:$L$28,$P915),INDEX(PARAMETROS_CULTURAS!$L$6:$L$28,$P915)+(INDEX(PARAMETROS_CULTURAS!$M$6:$M$28,$P915)-INDEX(PARAMETROS_CULTURAS!$L$6:$L$28,$P915))*($O915-INDEX(PARAMETROS_CULTURAS!$F$6:$F$28,$P915)-INDEX(PARAMETROS_CULTURAS!$G$6:$G$28,$P915)-INDEX(PARAMETROS_CULTURAS!$H$6:$H$28,$P915))/MAX(INDEX(PARAMETROS_CULTURAS!$I$6:$I$28,$P915),0.0001)))))</f>
        <v>0</v>
      </c>
      <c r="S915" s="18" t="n">
        <f aca="false">IFERROR(INDEX(SEMANAS!$H$6:$H$71,MATCH($B915,SEMANAS!$B$6:$B$71,0)),0)</f>
        <v>36.4</v>
      </c>
      <c r="T915" s="18" t="n">
        <f aca="false">$R915*$S915</f>
        <v>0</v>
      </c>
      <c r="U915" s="18" t="n">
        <f aca="false">IFERROR(INDEX(SEMANAS!$I$6:$I$71,MATCH($B915,SEMANAS!$B$6:$B$71,0)),0)</f>
        <v>1.12</v>
      </c>
      <c r="V915" s="18" t="n">
        <f aca="false">IFERROR(INDEX(SEMANAS!$J$6:$J$71,MATCH($B915,SEMANAS!$B$6:$B$71,0)),0)</f>
        <v>0.896</v>
      </c>
      <c r="W915" s="18" t="n">
        <f aca="false">MAX(0,$T915-$V915)</f>
        <v>0</v>
      </c>
      <c r="X915" s="19" t="n">
        <f aca="false">IFERROR(INDEX(CADASTRO_PIVOS!$K$6:$K$41,MATCH($E915,CADASTRO_PIVOS!$B$6:$B$41,0)),EFICIENCIA_PADRAO)</f>
        <v>0.85</v>
      </c>
      <c r="Y915" s="18" t="n">
        <f aca="false">IF($X915&lt;=0,0,$W915/$X915)</f>
        <v>0</v>
      </c>
      <c r="Z915" s="16" t="n">
        <f aca="false">$Y915*$H915*MM_PARA_M3_HA</f>
        <v>0</v>
      </c>
      <c r="AA915" s="18" t="n">
        <f aca="false">IFERROR(INDEX(CADASTRO_PIVOS!$I$6:$I$41,MATCH($E915,CADASTRO_PIVOS!$B$6:$B$41,0)),0)</f>
        <v>928.2</v>
      </c>
      <c r="AB915" s="18" t="n">
        <f aca="false">IF($Z915&lt;=0,0,$Z915/$AA915)</f>
        <v>0</v>
      </c>
      <c r="AC915" s="16" t="n">
        <f aca="false">IFERROR(INDEX(SEMANAS!$K$6:$K$71,MATCH($B915,SEMANAS!$B$6:$B$71,0)),0)</f>
        <v>147</v>
      </c>
      <c r="AD915" s="19" t="n">
        <f aca="false">IF($AC915&lt;=0,0,$AB915/$AC915)</f>
        <v>0</v>
      </c>
      <c r="AE915" s="8" t="str">
        <f aca="false">IF($K915="SEM CULTURA","SEM CULTURA",IF($AA915&lt;=0,"DADO PENDENTE",IF($AD915&gt;LIMITE_CRITICO,"INVIAVEL",IF($AD915&gt;LIMITE_ATENCAO,"CRITICO",IF($AD915&gt;LIMITE_CONFORTAVEL,"ATENCAO","OK")))))</f>
        <v>SEM CULTURA</v>
      </c>
      <c r="AF915" s="8" t="str">
        <f aca="false">$B915&amp;"|"&amp;TEXT($AD915,"0.000000")</f>
        <v>52|0.000000</v>
      </c>
      <c r="AG915" s="18" t="n">
        <f aca="false">IF($K915="SEM CULTURA",0,$T915*$H915)</f>
        <v>0</v>
      </c>
      <c r="AH915" s="18" t="n">
        <f aca="false">IF($K915="SEM CULTURA",0,$V915*$H915)</f>
        <v>0</v>
      </c>
      <c r="AI915" s="18" t="n">
        <f aca="false">IF($K915="SEM CULTURA",0,$W915*$H915)</f>
        <v>0</v>
      </c>
      <c r="AJ915" s="18" t="n">
        <f aca="false">IF($K915="SEM CULTURA",0,$S915*$H915)</f>
        <v>0</v>
      </c>
      <c r="AK915" s="8" t="str">
        <f aca="false">$E915&amp;"|"&amp;TEXT($AD915,"0.000000")</f>
        <v>PV 115|0.000000</v>
      </c>
    </row>
    <row r="916" customFormat="false" ht="15" hidden="false" customHeight="false" outlineLevel="0" collapsed="false">
      <c r="B916" s="16" t="n">
        <v>53</v>
      </c>
      <c r="C916" s="17" t="n">
        <f aca="false">DATA_INICIO_SAFRA+($B916-1)*DIAS_POR_SEMANA</f>
        <v>46629</v>
      </c>
      <c r="D916" s="17" t="n">
        <f aca="false">$C916+DIAS_POR_SEMANA-1</f>
        <v>46635</v>
      </c>
      <c r="E916" s="15" t="s">
        <v>272</v>
      </c>
      <c r="F916" s="8" t="str">
        <f aca="false">IFERROR(INDEX(CADASTRO_PIVOS!$C$6:$C$41,MATCH($E916,CADASTRO_PIVOS!$B$6:$B$41,0)),"?")</f>
        <v>RM05</v>
      </c>
      <c r="G916" s="8" t="str">
        <f aca="false">IFERROR(INDEX(CADASTRO_PIVOS!$D$6:$D$41,MATCH($E916,CADASTRO_PIVOS!$B$6:$B$41,0)),"?")</f>
        <v>TR05</v>
      </c>
      <c r="H916" s="20" t="n">
        <f aca="false">IFERROR(INDEX(CADASTRO_PIVOS!$E$6:$E$41,MATCH($E916,CADASTRO_PIVOS!$B$6:$B$41,0)),0)</f>
        <v>149.94</v>
      </c>
      <c r="I916" s="16" t="n">
        <f aca="false">IFERROR(SUMIFS(ROTACAO_RDM!$B$6:$B$71,ROTACAO_RDM!$D$6:$D$71,$E916,ROTACAO_RDM!$I$6:$I$71,"&lt;="&amp;$C916+INT(DIAS_POR_SEMANA/2),ROTACAO_RDM!$J$6:$J$71,"&gt;="&amp;$C916+INT(DIAS_POR_SEMANA/2)),0)</f>
        <v>0</v>
      </c>
      <c r="J916" s="16" t="n">
        <f aca="false">IFERROR(MATCH($I916,ROTACAO_RDM!$B$6:$B$71,0),0)</f>
        <v>0</v>
      </c>
      <c r="K916" s="8" t="str">
        <f aca="false">IF($J916=0,"SEM CULTURA",INDEX(ROTACAO_RDM!$F$6:$F$71,$J916))</f>
        <v>SEM CULTURA</v>
      </c>
      <c r="L916" s="8" t="str">
        <f aca="false">IF($J916=0,"",INDEX(ROTACAO_RDM!$G$6:$G$71,$J916))</f>
        <v/>
      </c>
      <c r="M916" s="17" t="str">
        <f aca="false">IF($J916=0,"",INDEX(ROTACAO_RDM!$I$6:$I$71,$J916))</f>
        <v/>
      </c>
      <c r="N916" s="16" t="n">
        <f aca="false">IF($J916=0,0,MAX(0,$C916+INT(DIAS_POR_SEMANA/2)-INDEX(ROTACAO_RDM!$I$6:$I$71,$J916)))</f>
        <v>0</v>
      </c>
      <c r="O916" s="19" t="n">
        <f aca="false">IF($J916=0,0,MIN(1,$N916/MAX(1,INDEX(ROTACAO_RDM!$K$6:$K$71,$J916))))</f>
        <v>0</v>
      </c>
      <c r="P916" s="16" t="n">
        <f aca="false">IF($J916=0,0,IFERROR(MATCH(INDEX(ROTACAO_RDM!$N$6:$N$71,$J916),PARAMETROS_CULTURAS!$B$6:$B$28,0),0))</f>
        <v>0</v>
      </c>
      <c r="Q916" s="8" t="str">
        <f aca="false">IF($P916=0,"-",IF($O916&lt;=INDEX(PARAMETROS_CULTURAS!$F$6:$F$28,$P916),"INICIAL",IF($O916&lt;=INDEX(PARAMETROS_CULTURAS!$F$6:$F$28,$P916)+INDEX(PARAMETROS_CULTURAS!$G$6:$G$28,$P916),"DESENVOLVIMENTO",IF($O916&lt;=INDEX(PARAMETROS_CULTURAS!$F$6:$F$28,$P916)+INDEX(PARAMETROS_CULTURAS!$G$6:$G$28,$P916)+INDEX(PARAMETROS_CULTURAS!$H$6:$H$28,$P916),"MEDIA","FINAL"))))</f>
        <v>-</v>
      </c>
      <c r="R916" s="24" t="n">
        <f aca="false">IF($P916=0,0,IF($O916&lt;=INDEX(PARAMETROS_CULTURAS!$F$6:$F$28,$P916),INDEX(PARAMETROS_CULTURAS!$K$6:$K$28,$P916),IF($O916&lt;=INDEX(PARAMETROS_CULTURAS!$F$6:$F$28,$P916)+INDEX(PARAMETROS_CULTURAS!$G$6:$G$28,$P916),INDEX(PARAMETROS_CULTURAS!$K$6:$K$28,$P916)+(INDEX(PARAMETROS_CULTURAS!$L$6:$L$28,$P916)-INDEX(PARAMETROS_CULTURAS!$K$6:$K$28,$P916))*($O916-INDEX(PARAMETROS_CULTURAS!$F$6:$F$28,$P916))/MAX(INDEX(PARAMETROS_CULTURAS!$G$6:$G$28,$P916),0.0001),IF($O916&lt;=INDEX(PARAMETROS_CULTURAS!$F$6:$F$28,$P916)+INDEX(PARAMETROS_CULTURAS!$G$6:$G$28,$P916)+INDEX(PARAMETROS_CULTURAS!$H$6:$H$28,$P916),INDEX(PARAMETROS_CULTURAS!$L$6:$L$28,$P916),INDEX(PARAMETROS_CULTURAS!$L$6:$L$28,$P916)+(INDEX(PARAMETROS_CULTURAS!$M$6:$M$28,$P916)-INDEX(PARAMETROS_CULTURAS!$L$6:$L$28,$P916))*($O916-INDEX(PARAMETROS_CULTURAS!$F$6:$F$28,$P916)-INDEX(PARAMETROS_CULTURAS!$G$6:$G$28,$P916)-INDEX(PARAMETROS_CULTURAS!$H$6:$H$28,$P916))/MAX(INDEX(PARAMETROS_CULTURAS!$I$6:$I$28,$P916),0.0001)))))</f>
        <v>0</v>
      </c>
      <c r="S916" s="18" t="n">
        <f aca="false">IFERROR(INDEX(SEMANAS!$H$6:$H$71,MATCH($B916,SEMANAS!$B$6:$B$71,0)),0)</f>
        <v>39.4</v>
      </c>
      <c r="T916" s="18" t="n">
        <f aca="false">$R916*$S916</f>
        <v>0</v>
      </c>
      <c r="U916" s="18" t="n">
        <f aca="false">IFERROR(INDEX(SEMANAS!$I$6:$I$71,MATCH($B916,SEMANAS!$B$6:$B$71,0)),0)</f>
        <v>5.32</v>
      </c>
      <c r="V916" s="18" t="n">
        <f aca="false">IFERROR(INDEX(SEMANAS!$J$6:$J$71,MATCH($B916,SEMANAS!$B$6:$B$71,0)),0)</f>
        <v>4.256</v>
      </c>
      <c r="W916" s="18" t="n">
        <f aca="false">MAX(0,$T916-$V916)</f>
        <v>0</v>
      </c>
      <c r="X916" s="19" t="n">
        <f aca="false">IFERROR(INDEX(CADASTRO_PIVOS!$K$6:$K$41,MATCH($E916,CADASTRO_PIVOS!$B$6:$B$41,0)),EFICIENCIA_PADRAO)</f>
        <v>0.85</v>
      </c>
      <c r="Y916" s="18" t="n">
        <f aca="false">IF($X916&lt;=0,0,$W916/$X916)</f>
        <v>0</v>
      </c>
      <c r="Z916" s="16" t="n">
        <f aca="false">$Y916*$H916*MM_PARA_M3_HA</f>
        <v>0</v>
      </c>
      <c r="AA916" s="18" t="n">
        <f aca="false">IFERROR(INDEX(CADASTRO_PIVOS!$I$6:$I$41,MATCH($E916,CADASTRO_PIVOS!$B$6:$B$41,0)),0)</f>
        <v>928.2</v>
      </c>
      <c r="AB916" s="18" t="n">
        <f aca="false">IF($Z916&lt;=0,0,$Z916/$AA916)</f>
        <v>0</v>
      </c>
      <c r="AC916" s="16" t="n">
        <f aca="false">IFERROR(INDEX(SEMANAS!$K$6:$K$71,MATCH($B916,SEMANAS!$B$6:$B$71,0)),0)</f>
        <v>147</v>
      </c>
      <c r="AD916" s="19" t="n">
        <f aca="false">IF($AC916&lt;=0,0,$AB916/$AC916)</f>
        <v>0</v>
      </c>
      <c r="AE916" s="8" t="str">
        <f aca="false">IF($K916="SEM CULTURA","SEM CULTURA",IF($AA916&lt;=0,"DADO PENDENTE",IF($AD916&gt;LIMITE_CRITICO,"INVIAVEL",IF($AD916&gt;LIMITE_ATENCAO,"CRITICO",IF($AD916&gt;LIMITE_CONFORTAVEL,"ATENCAO","OK")))))</f>
        <v>SEM CULTURA</v>
      </c>
      <c r="AF916" s="8" t="str">
        <f aca="false">$B916&amp;"|"&amp;TEXT($AD916,"0.000000")</f>
        <v>53|0.000000</v>
      </c>
      <c r="AG916" s="18" t="n">
        <f aca="false">IF($K916="SEM CULTURA",0,$T916*$H916)</f>
        <v>0</v>
      </c>
      <c r="AH916" s="18" t="n">
        <f aca="false">IF($K916="SEM CULTURA",0,$V916*$H916)</f>
        <v>0</v>
      </c>
      <c r="AI916" s="18" t="n">
        <f aca="false">IF($K916="SEM CULTURA",0,$W916*$H916)</f>
        <v>0</v>
      </c>
      <c r="AJ916" s="18" t="n">
        <f aca="false">IF($K916="SEM CULTURA",0,$S916*$H916)</f>
        <v>0</v>
      </c>
      <c r="AK916" s="8" t="str">
        <f aca="false">$E916&amp;"|"&amp;TEXT($AD916,"0.000000")</f>
        <v>PV 115|0.000000</v>
      </c>
    </row>
    <row r="917" customFormat="false" ht="15" hidden="false" customHeight="false" outlineLevel="0" collapsed="false">
      <c r="B917" s="16" t="n">
        <v>54</v>
      </c>
      <c r="C917" s="17" t="n">
        <f aca="false">DATA_INICIO_SAFRA+($B917-1)*DIAS_POR_SEMANA</f>
        <v>46636</v>
      </c>
      <c r="D917" s="17" t="n">
        <f aca="false">$C917+DIAS_POR_SEMANA-1</f>
        <v>46642</v>
      </c>
      <c r="E917" s="15" t="s">
        <v>272</v>
      </c>
      <c r="F917" s="8" t="str">
        <f aca="false">IFERROR(INDEX(CADASTRO_PIVOS!$C$6:$C$41,MATCH($E917,CADASTRO_PIVOS!$B$6:$B$41,0)),"?")</f>
        <v>RM05</v>
      </c>
      <c r="G917" s="8" t="str">
        <f aca="false">IFERROR(INDEX(CADASTRO_PIVOS!$D$6:$D$41,MATCH($E917,CADASTRO_PIVOS!$B$6:$B$41,0)),"?")</f>
        <v>TR05</v>
      </c>
      <c r="H917" s="20" t="n">
        <f aca="false">IFERROR(INDEX(CADASTRO_PIVOS!$E$6:$E$41,MATCH($E917,CADASTRO_PIVOS!$B$6:$B$41,0)),0)</f>
        <v>149.94</v>
      </c>
      <c r="I917" s="16" t="n">
        <f aca="false">IFERROR(SUMIFS(ROTACAO_RDM!$B$6:$B$71,ROTACAO_RDM!$D$6:$D$71,$E917,ROTACAO_RDM!$I$6:$I$71,"&lt;="&amp;$C917+INT(DIAS_POR_SEMANA/2),ROTACAO_RDM!$J$6:$J$71,"&gt;="&amp;$C917+INT(DIAS_POR_SEMANA/2)),0)</f>
        <v>0</v>
      </c>
      <c r="J917" s="16" t="n">
        <f aca="false">IFERROR(MATCH($I917,ROTACAO_RDM!$B$6:$B$71,0),0)</f>
        <v>0</v>
      </c>
      <c r="K917" s="8" t="str">
        <f aca="false">IF($J917=0,"SEM CULTURA",INDEX(ROTACAO_RDM!$F$6:$F$71,$J917))</f>
        <v>SEM CULTURA</v>
      </c>
      <c r="L917" s="8" t="str">
        <f aca="false">IF($J917=0,"",INDEX(ROTACAO_RDM!$G$6:$G$71,$J917))</f>
        <v/>
      </c>
      <c r="M917" s="17" t="str">
        <f aca="false">IF($J917=0,"",INDEX(ROTACAO_RDM!$I$6:$I$71,$J917))</f>
        <v/>
      </c>
      <c r="N917" s="16" t="n">
        <f aca="false">IF($J917=0,0,MAX(0,$C917+INT(DIAS_POR_SEMANA/2)-INDEX(ROTACAO_RDM!$I$6:$I$71,$J917)))</f>
        <v>0</v>
      </c>
      <c r="O917" s="19" t="n">
        <f aca="false">IF($J917=0,0,MIN(1,$N917/MAX(1,INDEX(ROTACAO_RDM!$K$6:$K$71,$J917))))</f>
        <v>0</v>
      </c>
      <c r="P917" s="16" t="n">
        <f aca="false">IF($J917=0,0,IFERROR(MATCH(INDEX(ROTACAO_RDM!$N$6:$N$71,$J917),PARAMETROS_CULTURAS!$B$6:$B$28,0),0))</f>
        <v>0</v>
      </c>
      <c r="Q917" s="8" t="str">
        <f aca="false">IF($P917=0,"-",IF($O917&lt;=INDEX(PARAMETROS_CULTURAS!$F$6:$F$28,$P917),"INICIAL",IF($O917&lt;=INDEX(PARAMETROS_CULTURAS!$F$6:$F$28,$P917)+INDEX(PARAMETROS_CULTURAS!$G$6:$G$28,$P917),"DESENVOLVIMENTO",IF($O917&lt;=INDEX(PARAMETROS_CULTURAS!$F$6:$F$28,$P917)+INDEX(PARAMETROS_CULTURAS!$G$6:$G$28,$P917)+INDEX(PARAMETROS_CULTURAS!$H$6:$H$28,$P917),"MEDIA","FINAL"))))</f>
        <v>-</v>
      </c>
      <c r="R917" s="24" t="n">
        <f aca="false">IF($P917=0,0,IF($O917&lt;=INDEX(PARAMETROS_CULTURAS!$F$6:$F$28,$P917),INDEX(PARAMETROS_CULTURAS!$K$6:$K$28,$P917),IF($O917&lt;=INDEX(PARAMETROS_CULTURAS!$F$6:$F$28,$P917)+INDEX(PARAMETROS_CULTURAS!$G$6:$G$28,$P917),INDEX(PARAMETROS_CULTURAS!$K$6:$K$28,$P917)+(INDEX(PARAMETROS_CULTURAS!$L$6:$L$28,$P917)-INDEX(PARAMETROS_CULTURAS!$K$6:$K$28,$P917))*($O917-INDEX(PARAMETROS_CULTURAS!$F$6:$F$28,$P917))/MAX(INDEX(PARAMETROS_CULTURAS!$G$6:$G$28,$P917),0.0001),IF($O917&lt;=INDEX(PARAMETROS_CULTURAS!$F$6:$F$28,$P917)+INDEX(PARAMETROS_CULTURAS!$G$6:$G$28,$P917)+INDEX(PARAMETROS_CULTURAS!$H$6:$H$28,$P917),INDEX(PARAMETROS_CULTURAS!$L$6:$L$28,$P917),INDEX(PARAMETROS_CULTURAS!$L$6:$L$28,$P917)+(INDEX(PARAMETROS_CULTURAS!$M$6:$M$28,$P917)-INDEX(PARAMETROS_CULTURAS!$L$6:$L$28,$P917))*($O917-INDEX(PARAMETROS_CULTURAS!$F$6:$F$28,$P917)-INDEX(PARAMETROS_CULTURAS!$G$6:$G$28,$P917)-INDEX(PARAMETROS_CULTURAS!$H$6:$H$28,$P917))/MAX(INDEX(PARAMETROS_CULTURAS!$I$6:$I$28,$P917),0.0001)))))</f>
        <v>0</v>
      </c>
      <c r="S917" s="18" t="n">
        <f aca="false">IFERROR(INDEX(SEMANAS!$H$6:$H$71,MATCH($B917,SEMANAS!$B$6:$B$71,0)),0)</f>
        <v>40.6</v>
      </c>
      <c r="T917" s="18" t="n">
        <f aca="false">$R917*$S917</f>
        <v>0</v>
      </c>
      <c r="U917" s="18" t="n">
        <f aca="false">IFERROR(INDEX(SEMANAS!$I$6:$I$71,MATCH($B917,SEMANAS!$B$6:$B$71,0)),0)</f>
        <v>7</v>
      </c>
      <c r="V917" s="18" t="n">
        <f aca="false">IFERROR(INDEX(SEMANAS!$J$6:$J$71,MATCH($B917,SEMANAS!$B$6:$B$71,0)),0)</f>
        <v>5.6</v>
      </c>
      <c r="W917" s="18" t="n">
        <f aca="false">MAX(0,$T917-$V917)</f>
        <v>0</v>
      </c>
      <c r="X917" s="19" t="n">
        <f aca="false">IFERROR(INDEX(CADASTRO_PIVOS!$K$6:$K$41,MATCH($E917,CADASTRO_PIVOS!$B$6:$B$41,0)),EFICIENCIA_PADRAO)</f>
        <v>0.85</v>
      </c>
      <c r="Y917" s="18" t="n">
        <f aca="false">IF($X917&lt;=0,0,$W917/$X917)</f>
        <v>0</v>
      </c>
      <c r="Z917" s="16" t="n">
        <f aca="false">$Y917*$H917*MM_PARA_M3_HA</f>
        <v>0</v>
      </c>
      <c r="AA917" s="18" t="n">
        <f aca="false">IFERROR(INDEX(CADASTRO_PIVOS!$I$6:$I$41,MATCH($E917,CADASTRO_PIVOS!$B$6:$B$41,0)),0)</f>
        <v>928.2</v>
      </c>
      <c r="AB917" s="18" t="n">
        <f aca="false">IF($Z917&lt;=0,0,$Z917/$AA917)</f>
        <v>0</v>
      </c>
      <c r="AC917" s="16" t="n">
        <f aca="false">IFERROR(INDEX(SEMANAS!$K$6:$K$71,MATCH($B917,SEMANAS!$B$6:$B$71,0)),0)</f>
        <v>147</v>
      </c>
      <c r="AD917" s="19" t="n">
        <f aca="false">IF($AC917&lt;=0,0,$AB917/$AC917)</f>
        <v>0</v>
      </c>
      <c r="AE917" s="8" t="str">
        <f aca="false">IF($K917="SEM CULTURA","SEM CULTURA",IF($AA917&lt;=0,"DADO PENDENTE",IF($AD917&gt;LIMITE_CRITICO,"INVIAVEL",IF($AD917&gt;LIMITE_ATENCAO,"CRITICO",IF($AD917&gt;LIMITE_CONFORTAVEL,"ATENCAO","OK")))))</f>
        <v>SEM CULTURA</v>
      </c>
      <c r="AF917" s="8" t="str">
        <f aca="false">$B917&amp;"|"&amp;TEXT($AD917,"0.000000")</f>
        <v>54|0.000000</v>
      </c>
      <c r="AG917" s="18" t="n">
        <f aca="false">IF($K917="SEM CULTURA",0,$T917*$H917)</f>
        <v>0</v>
      </c>
      <c r="AH917" s="18" t="n">
        <f aca="false">IF($K917="SEM CULTURA",0,$V917*$H917)</f>
        <v>0</v>
      </c>
      <c r="AI917" s="18" t="n">
        <f aca="false">IF($K917="SEM CULTURA",0,$W917*$H917)</f>
        <v>0</v>
      </c>
      <c r="AJ917" s="18" t="n">
        <f aca="false">IF($K917="SEM CULTURA",0,$S917*$H917)</f>
        <v>0</v>
      </c>
      <c r="AK917" s="8" t="str">
        <f aca="false">$E917&amp;"|"&amp;TEXT($AD917,"0.000000")</f>
        <v>PV 115|0.000000</v>
      </c>
    </row>
    <row r="918" customFormat="false" ht="15" hidden="false" customHeight="false" outlineLevel="0" collapsed="false">
      <c r="B918" s="16" t="n">
        <v>55</v>
      </c>
      <c r="C918" s="17" t="n">
        <f aca="false">DATA_INICIO_SAFRA+($B918-1)*DIAS_POR_SEMANA</f>
        <v>46643</v>
      </c>
      <c r="D918" s="17" t="n">
        <f aca="false">$C918+DIAS_POR_SEMANA-1</f>
        <v>46649</v>
      </c>
      <c r="E918" s="15" t="s">
        <v>272</v>
      </c>
      <c r="F918" s="8" t="str">
        <f aca="false">IFERROR(INDEX(CADASTRO_PIVOS!$C$6:$C$41,MATCH($E918,CADASTRO_PIVOS!$B$6:$B$41,0)),"?")</f>
        <v>RM05</v>
      </c>
      <c r="G918" s="8" t="str">
        <f aca="false">IFERROR(INDEX(CADASTRO_PIVOS!$D$6:$D$41,MATCH($E918,CADASTRO_PIVOS!$B$6:$B$41,0)),"?")</f>
        <v>TR05</v>
      </c>
      <c r="H918" s="20" t="n">
        <f aca="false">IFERROR(INDEX(CADASTRO_PIVOS!$E$6:$E$41,MATCH($E918,CADASTRO_PIVOS!$B$6:$B$41,0)),0)</f>
        <v>149.94</v>
      </c>
      <c r="I918" s="16" t="n">
        <f aca="false">IFERROR(SUMIFS(ROTACAO_RDM!$B$6:$B$71,ROTACAO_RDM!$D$6:$D$71,$E918,ROTACAO_RDM!$I$6:$I$71,"&lt;="&amp;$C918+INT(DIAS_POR_SEMANA/2),ROTACAO_RDM!$J$6:$J$71,"&gt;="&amp;$C918+INT(DIAS_POR_SEMANA/2)),0)</f>
        <v>0</v>
      </c>
      <c r="J918" s="16" t="n">
        <f aca="false">IFERROR(MATCH($I918,ROTACAO_RDM!$B$6:$B$71,0),0)</f>
        <v>0</v>
      </c>
      <c r="K918" s="8" t="str">
        <f aca="false">IF($J918=0,"SEM CULTURA",INDEX(ROTACAO_RDM!$F$6:$F$71,$J918))</f>
        <v>SEM CULTURA</v>
      </c>
      <c r="L918" s="8" t="str">
        <f aca="false">IF($J918=0,"",INDEX(ROTACAO_RDM!$G$6:$G$71,$J918))</f>
        <v/>
      </c>
      <c r="M918" s="17" t="str">
        <f aca="false">IF($J918=0,"",INDEX(ROTACAO_RDM!$I$6:$I$71,$J918))</f>
        <v/>
      </c>
      <c r="N918" s="16" t="n">
        <f aca="false">IF($J918=0,0,MAX(0,$C918+INT(DIAS_POR_SEMANA/2)-INDEX(ROTACAO_RDM!$I$6:$I$71,$J918)))</f>
        <v>0</v>
      </c>
      <c r="O918" s="19" t="n">
        <f aca="false">IF($J918=0,0,MIN(1,$N918/MAX(1,INDEX(ROTACAO_RDM!$K$6:$K$71,$J918))))</f>
        <v>0</v>
      </c>
      <c r="P918" s="16" t="n">
        <f aca="false">IF($J918=0,0,IFERROR(MATCH(INDEX(ROTACAO_RDM!$N$6:$N$71,$J918),PARAMETROS_CULTURAS!$B$6:$B$28,0),0))</f>
        <v>0</v>
      </c>
      <c r="Q918" s="8" t="str">
        <f aca="false">IF($P918=0,"-",IF($O918&lt;=INDEX(PARAMETROS_CULTURAS!$F$6:$F$28,$P918),"INICIAL",IF($O918&lt;=INDEX(PARAMETROS_CULTURAS!$F$6:$F$28,$P918)+INDEX(PARAMETROS_CULTURAS!$G$6:$G$28,$P918),"DESENVOLVIMENTO",IF($O918&lt;=INDEX(PARAMETROS_CULTURAS!$F$6:$F$28,$P918)+INDEX(PARAMETROS_CULTURAS!$G$6:$G$28,$P918)+INDEX(PARAMETROS_CULTURAS!$H$6:$H$28,$P918),"MEDIA","FINAL"))))</f>
        <v>-</v>
      </c>
      <c r="R918" s="24" t="n">
        <f aca="false">IF($P918=0,0,IF($O918&lt;=INDEX(PARAMETROS_CULTURAS!$F$6:$F$28,$P918),INDEX(PARAMETROS_CULTURAS!$K$6:$K$28,$P918),IF($O918&lt;=INDEX(PARAMETROS_CULTURAS!$F$6:$F$28,$P918)+INDEX(PARAMETROS_CULTURAS!$G$6:$G$28,$P918),INDEX(PARAMETROS_CULTURAS!$K$6:$K$28,$P918)+(INDEX(PARAMETROS_CULTURAS!$L$6:$L$28,$P918)-INDEX(PARAMETROS_CULTURAS!$K$6:$K$28,$P918))*($O918-INDEX(PARAMETROS_CULTURAS!$F$6:$F$28,$P918))/MAX(INDEX(PARAMETROS_CULTURAS!$G$6:$G$28,$P918),0.0001),IF($O918&lt;=INDEX(PARAMETROS_CULTURAS!$F$6:$F$28,$P918)+INDEX(PARAMETROS_CULTURAS!$G$6:$G$28,$P918)+INDEX(PARAMETROS_CULTURAS!$H$6:$H$28,$P918),INDEX(PARAMETROS_CULTURAS!$L$6:$L$28,$P918),INDEX(PARAMETROS_CULTURAS!$L$6:$L$28,$P918)+(INDEX(PARAMETROS_CULTURAS!$M$6:$M$28,$P918)-INDEX(PARAMETROS_CULTURAS!$L$6:$L$28,$P918))*($O918-INDEX(PARAMETROS_CULTURAS!$F$6:$F$28,$P918)-INDEX(PARAMETROS_CULTURAS!$G$6:$G$28,$P918)-INDEX(PARAMETROS_CULTURAS!$H$6:$H$28,$P918))/MAX(INDEX(PARAMETROS_CULTURAS!$I$6:$I$28,$P918),0.0001)))))</f>
        <v>0</v>
      </c>
      <c r="S918" s="18" t="n">
        <f aca="false">IFERROR(INDEX(SEMANAS!$H$6:$H$71,MATCH($B918,SEMANAS!$B$6:$B$71,0)),0)</f>
        <v>40.6</v>
      </c>
      <c r="T918" s="18" t="n">
        <f aca="false">$R918*$S918</f>
        <v>0</v>
      </c>
      <c r="U918" s="18" t="n">
        <f aca="false">IFERROR(INDEX(SEMANAS!$I$6:$I$71,MATCH($B918,SEMANAS!$B$6:$B$71,0)),0)</f>
        <v>7</v>
      </c>
      <c r="V918" s="18" t="n">
        <f aca="false">IFERROR(INDEX(SEMANAS!$J$6:$J$71,MATCH($B918,SEMANAS!$B$6:$B$71,0)),0)</f>
        <v>5.6</v>
      </c>
      <c r="W918" s="18" t="n">
        <f aca="false">MAX(0,$T918-$V918)</f>
        <v>0</v>
      </c>
      <c r="X918" s="19" t="n">
        <f aca="false">IFERROR(INDEX(CADASTRO_PIVOS!$K$6:$K$41,MATCH($E918,CADASTRO_PIVOS!$B$6:$B$41,0)),EFICIENCIA_PADRAO)</f>
        <v>0.85</v>
      </c>
      <c r="Y918" s="18" t="n">
        <f aca="false">IF($X918&lt;=0,0,$W918/$X918)</f>
        <v>0</v>
      </c>
      <c r="Z918" s="16" t="n">
        <f aca="false">$Y918*$H918*MM_PARA_M3_HA</f>
        <v>0</v>
      </c>
      <c r="AA918" s="18" t="n">
        <f aca="false">IFERROR(INDEX(CADASTRO_PIVOS!$I$6:$I$41,MATCH($E918,CADASTRO_PIVOS!$B$6:$B$41,0)),0)</f>
        <v>928.2</v>
      </c>
      <c r="AB918" s="18" t="n">
        <f aca="false">IF($Z918&lt;=0,0,$Z918/$AA918)</f>
        <v>0</v>
      </c>
      <c r="AC918" s="16" t="n">
        <f aca="false">IFERROR(INDEX(SEMANAS!$K$6:$K$71,MATCH($B918,SEMANAS!$B$6:$B$71,0)),0)</f>
        <v>147</v>
      </c>
      <c r="AD918" s="19" t="n">
        <f aca="false">IF($AC918&lt;=0,0,$AB918/$AC918)</f>
        <v>0</v>
      </c>
      <c r="AE918" s="8" t="str">
        <f aca="false">IF($K918="SEM CULTURA","SEM CULTURA",IF($AA918&lt;=0,"DADO PENDENTE",IF($AD918&gt;LIMITE_CRITICO,"INVIAVEL",IF($AD918&gt;LIMITE_ATENCAO,"CRITICO",IF($AD918&gt;LIMITE_CONFORTAVEL,"ATENCAO","OK")))))</f>
        <v>SEM CULTURA</v>
      </c>
      <c r="AF918" s="8" t="str">
        <f aca="false">$B918&amp;"|"&amp;TEXT($AD918,"0.000000")</f>
        <v>55|0.000000</v>
      </c>
      <c r="AG918" s="18" t="n">
        <f aca="false">IF($K918="SEM CULTURA",0,$T918*$H918)</f>
        <v>0</v>
      </c>
      <c r="AH918" s="18" t="n">
        <f aca="false">IF($K918="SEM CULTURA",0,$V918*$H918)</f>
        <v>0</v>
      </c>
      <c r="AI918" s="18" t="n">
        <f aca="false">IF($K918="SEM CULTURA",0,$W918*$H918)</f>
        <v>0</v>
      </c>
      <c r="AJ918" s="18" t="n">
        <f aca="false">IF($K918="SEM CULTURA",0,$S918*$H918)</f>
        <v>0</v>
      </c>
      <c r="AK918" s="8" t="str">
        <f aca="false">$E918&amp;"|"&amp;TEXT($AD918,"0.000000")</f>
        <v>PV 115|0.000000</v>
      </c>
    </row>
    <row r="919" customFormat="false" ht="15" hidden="false" customHeight="false" outlineLevel="0" collapsed="false">
      <c r="B919" s="16" t="n">
        <v>56</v>
      </c>
      <c r="C919" s="17" t="n">
        <f aca="false">DATA_INICIO_SAFRA+($B919-1)*DIAS_POR_SEMANA</f>
        <v>46650</v>
      </c>
      <c r="D919" s="17" t="n">
        <f aca="false">$C919+DIAS_POR_SEMANA-1</f>
        <v>46656</v>
      </c>
      <c r="E919" s="15" t="s">
        <v>272</v>
      </c>
      <c r="F919" s="8" t="str">
        <f aca="false">IFERROR(INDEX(CADASTRO_PIVOS!$C$6:$C$41,MATCH($E919,CADASTRO_PIVOS!$B$6:$B$41,0)),"?")</f>
        <v>RM05</v>
      </c>
      <c r="G919" s="8" t="str">
        <f aca="false">IFERROR(INDEX(CADASTRO_PIVOS!$D$6:$D$41,MATCH($E919,CADASTRO_PIVOS!$B$6:$B$41,0)),"?")</f>
        <v>TR05</v>
      </c>
      <c r="H919" s="20" t="n">
        <f aca="false">IFERROR(INDEX(CADASTRO_PIVOS!$E$6:$E$41,MATCH($E919,CADASTRO_PIVOS!$B$6:$B$41,0)),0)</f>
        <v>149.94</v>
      </c>
      <c r="I919" s="16" t="n">
        <f aca="false">IFERROR(SUMIFS(ROTACAO_RDM!$B$6:$B$71,ROTACAO_RDM!$D$6:$D$71,$E919,ROTACAO_RDM!$I$6:$I$71,"&lt;="&amp;$C919+INT(DIAS_POR_SEMANA/2),ROTACAO_RDM!$J$6:$J$71,"&gt;="&amp;$C919+INT(DIAS_POR_SEMANA/2)),0)</f>
        <v>0</v>
      </c>
      <c r="J919" s="16" t="n">
        <f aca="false">IFERROR(MATCH($I919,ROTACAO_RDM!$B$6:$B$71,0),0)</f>
        <v>0</v>
      </c>
      <c r="K919" s="8" t="str">
        <f aca="false">IF($J919=0,"SEM CULTURA",INDEX(ROTACAO_RDM!$F$6:$F$71,$J919))</f>
        <v>SEM CULTURA</v>
      </c>
      <c r="L919" s="8" t="str">
        <f aca="false">IF($J919=0,"",INDEX(ROTACAO_RDM!$G$6:$G$71,$J919))</f>
        <v/>
      </c>
      <c r="M919" s="17" t="str">
        <f aca="false">IF($J919=0,"",INDEX(ROTACAO_RDM!$I$6:$I$71,$J919))</f>
        <v/>
      </c>
      <c r="N919" s="16" t="n">
        <f aca="false">IF($J919=0,0,MAX(0,$C919+INT(DIAS_POR_SEMANA/2)-INDEX(ROTACAO_RDM!$I$6:$I$71,$J919)))</f>
        <v>0</v>
      </c>
      <c r="O919" s="19" t="n">
        <f aca="false">IF($J919=0,0,MIN(1,$N919/MAX(1,INDEX(ROTACAO_RDM!$K$6:$K$71,$J919))))</f>
        <v>0</v>
      </c>
      <c r="P919" s="16" t="n">
        <f aca="false">IF($J919=0,0,IFERROR(MATCH(INDEX(ROTACAO_RDM!$N$6:$N$71,$J919),PARAMETROS_CULTURAS!$B$6:$B$28,0),0))</f>
        <v>0</v>
      </c>
      <c r="Q919" s="8" t="str">
        <f aca="false">IF($P919=0,"-",IF($O919&lt;=INDEX(PARAMETROS_CULTURAS!$F$6:$F$28,$P919),"INICIAL",IF($O919&lt;=INDEX(PARAMETROS_CULTURAS!$F$6:$F$28,$P919)+INDEX(PARAMETROS_CULTURAS!$G$6:$G$28,$P919),"DESENVOLVIMENTO",IF($O919&lt;=INDEX(PARAMETROS_CULTURAS!$F$6:$F$28,$P919)+INDEX(PARAMETROS_CULTURAS!$G$6:$G$28,$P919)+INDEX(PARAMETROS_CULTURAS!$H$6:$H$28,$P919),"MEDIA","FINAL"))))</f>
        <v>-</v>
      </c>
      <c r="R919" s="24" t="n">
        <f aca="false">IF($P919=0,0,IF($O919&lt;=INDEX(PARAMETROS_CULTURAS!$F$6:$F$28,$P919),INDEX(PARAMETROS_CULTURAS!$K$6:$K$28,$P919),IF($O919&lt;=INDEX(PARAMETROS_CULTURAS!$F$6:$F$28,$P919)+INDEX(PARAMETROS_CULTURAS!$G$6:$G$28,$P919),INDEX(PARAMETROS_CULTURAS!$K$6:$K$28,$P919)+(INDEX(PARAMETROS_CULTURAS!$L$6:$L$28,$P919)-INDEX(PARAMETROS_CULTURAS!$K$6:$K$28,$P919))*($O919-INDEX(PARAMETROS_CULTURAS!$F$6:$F$28,$P919))/MAX(INDEX(PARAMETROS_CULTURAS!$G$6:$G$28,$P919),0.0001),IF($O919&lt;=INDEX(PARAMETROS_CULTURAS!$F$6:$F$28,$P919)+INDEX(PARAMETROS_CULTURAS!$G$6:$G$28,$P919)+INDEX(PARAMETROS_CULTURAS!$H$6:$H$28,$P919),INDEX(PARAMETROS_CULTURAS!$L$6:$L$28,$P919),INDEX(PARAMETROS_CULTURAS!$L$6:$L$28,$P919)+(INDEX(PARAMETROS_CULTURAS!$M$6:$M$28,$P919)-INDEX(PARAMETROS_CULTURAS!$L$6:$L$28,$P919))*($O919-INDEX(PARAMETROS_CULTURAS!$F$6:$F$28,$P919)-INDEX(PARAMETROS_CULTURAS!$G$6:$G$28,$P919)-INDEX(PARAMETROS_CULTURAS!$H$6:$H$28,$P919))/MAX(INDEX(PARAMETROS_CULTURAS!$I$6:$I$28,$P919),0.0001)))))</f>
        <v>0</v>
      </c>
      <c r="S919" s="18" t="n">
        <f aca="false">IFERROR(INDEX(SEMANAS!$H$6:$H$71,MATCH($B919,SEMANAS!$B$6:$B$71,0)),0)</f>
        <v>40.6</v>
      </c>
      <c r="T919" s="18" t="n">
        <f aca="false">$R919*$S919</f>
        <v>0</v>
      </c>
      <c r="U919" s="18" t="n">
        <f aca="false">IFERROR(INDEX(SEMANAS!$I$6:$I$71,MATCH($B919,SEMANAS!$B$6:$B$71,0)),0)</f>
        <v>7</v>
      </c>
      <c r="V919" s="18" t="n">
        <f aca="false">IFERROR(INDEX(SEMANAS!$J$6:$J$71,MATCH($B919,SEMANAS!$B$6:$B$71,0)),0)</f>
        <v>5.6</v>
      </c>
      <c r="W919" s="18" t="n">
        <f aca="false">MAX(0,$T919-$V919)</f>
        <v>0</v>
      </c>
      <c r="X919" s="19" t="n">
        <f aca="false">IFERROR(INDEX(CADASTRO_PIVOS!$K$6:$K$41,MATCH($E919,CADASTRO_PIVOS!$B$6:$B$41,0)),EFICIENCIA_PADRAO)</f>
        <v>0.85</v>
      </c>
      <c r="Y919" s="18" t="n">
        <f aca="false">IF($X919&lt;=0,0,$W919/$X919)</f>
        <v>0</v>
      </c>
      <c r="Z919" s="16" t="n">
        <f aca="false">$Y919*$H919*MM_PARA_M3_HA</f>
        <v>0</v>
      </c>
      <c r="AA919" s="18" t="n">
        <f aca="false">IFERROR(INDEX(CADASTRO_PIVOS!$I$6:$I$41,MATCH($E919,CADASTRO_PIVOS!$B$6:$B$41,0)),0)</f>
        <v>928.2</v>
      </c>
      <c r="AB919" s="18" t="n">
        <f aca="false">IF($Z919&lt;=0,0,$Z919/$AA919)</f>
        <v>0</v>
      </c>
      <c r="AC919" s="16" t="n">
        <f aca="false">IFERROR(INDEX(SEMANAS!$K$6:$K$71,MATCH($B919,SEMANAS!$B$6:$B$71,0)),0)</f>
        <v>147</v>
      </c>
      <c r="AD919" s="19" t="n">
        <f aca="false">IF($AC919&lt;=0,0,$AB919/$AC919)</f>
        <v>0</v>
      </c>
      <c r="AE919" s="8" t="str">
        <f aca="false">IF($K919="SEM CULTURA","SEM CULTURA",IF($AA919&lt;=0,"DADO PENDENTE",IF($AD919&gt;LIMITE_CRITICO,"INVIAVEL",IF($AD919&gt;LIMITE_ATENCAO,"CRITICO",IF($AD919&gt;LIMITE_CONFORTAVEL,"ATENCAO","OK")))))</f>
        <v>SEM CULTURA</v>
      </c>
      <c r="AF919" s="8" t="str">
        <f aca="false">$B919&amp;"|"&amp;TEXT($AD919,"0.000000")</f>
        <v>56|0.000000</v>
      </c>
      <c r="AG919" s="18" t="n">
        <f aca="false">IF($K919="SEM CULTURA",0,$T919*$H919)</f>
        <v>0</v>
      </c>
      <c r="AH919" s="18" t="n">
        <f aca="false">IF($K919="SEM CULTURA",0,$V919*$H919)</f>
        <v>0</v>
      </c>
      <c r="AI919" s="18" t="n">
        <f aca="false">IF($K919="SEM CULTURA",0,$W919*$H919)</f>
        <v>0</v>
      </c>
      <c r="AJ919" s="18" t="n">
        <f aca="false">IF($K919="SEM CULTURA",0,$S919*$H919)</f>
        <v>0</v>
      </c>
      <c r="AK919" s="8" t="str">
        <f aca="false">$E919&amp;"|"&amp;TEXT($AD919,"0.000000")</f>
        <v>PV 115|0.000000</v>
      </c>
    </row>
    <row r="920" customFormat="false" ht="15" hidden="false" customHeight="false" outlineLevel="0" collapsed="false">
      <c r="B920" s="16" t="n">
        <v>57</v>
      </c>
      <c r="C920" s="17" t="n">
        <f aca="false">DATA_INICIO_SAFRA+($B920-1)*DIAS_POR_SEMANA</f>
        <v>46657</v>
      </c>
      <c r="D920" s="17" t="n">
        <f aca="false">$C920+DIAS_POR_SEMANA-1</f>
        <v>46663</v>
      </c>
      <c r="E920" s="15" t="s">
        <v>272</v>
      </c>
      <c r="F920" s="8" t="str">
        <f aca="false">IFERROR(INDEX(CADASTRO_PIVOS!$C$6:$C$41,MATCH($E920,CADASTRO_PIVOS!$B$6:$B$41,0)),"?")</f>
        <v>RM05</v>
      </c>
      <c r="G920" s="8" t="str">
        <f aca="false">IFERROR(INDEX(CADASTRO_PIVOS!$D$6:$D$41,MATCH($E920,CADASTRO_PIVOS!$B$6:$B$41,0)),"?")</f>
        <v>TR05</v>
      </c>
      <c r="H920" s="20" t="n">
        <f aca="false">IFERROR(INDEX(CADASTRO_PIVOS!$E$6:$E$41,MATCH($E920,CADASTRO_PIVOS!$B$6:$B$41,0)),0)</f>
        <v>149.94</v>
      </c>
      <c r="I920" s="16" t="n">
        <f aca="false">IFERROR(SUMIFS(ROTACAO_RDM!$B$6:$B$71,ROTACAO_RDM!$D$6:$D$71,$E920,ROTACAO_RDM!$I$6:$I$71,"&lt;="&amp;$C920+INT(DIAS_POR_SEMANA/2),ROTACAO_RDM!$J$6:$J$71,"&gt;="&amp;$C920+INT(DIAS_POR_SEMANA/2)),0)</f>
        <v>0</v>
      </c>
      <c r="J920" s="16" t="n">
        <f aca="false">IFERROR(MATCH($I920,ROTACAO_RDM!$B$6:$B$71,0),0)</f>
        <v>0</v>
      </c>
      <c r="K920" s="8" t="str">
        <f aca="false">IF($J920=0,"SEM CULTURA",INDEX(ROTACAO_RDM!$F$6:$F$71,$J920))</f>
        <v>SEM CULTURA</v>
      </c>
      <c r="L920" s="8" t="str">
        <f aca="false">IF($J920=0,"",INDEX(ROTACAO_RDM!$G$6:$G$71,$J920))</f>
        <v/>
      </c>
      <c r="M920" s="17" t="str">
        <f aca="false">IF($J920=0,"",INDEX(ROTACAO_RDM!$I$6:$I$71,$J920))</f>
        <v/>
      </c>
      <c r="N920" s="16" t="n">
        <f aca="false">IF($J920=0,0,MAX(0,$C920+INT(DIAS_POR_SEMANA/2)-INDEX(ROTACAO_RDM!$I$6:$I$71,$J920)))</f>
        <v>0</v>
      </c>
      <c r="O920" s="19" t="n">
        <f aca="false">IF($J920=0,0,MIN(1,$N920/MAX(1,INDEX(ROTACAO_RDM!$K$6:$K$71,$J920))))</f>
        <v>0</v>
      </c>
      <c r="P920" s="16" t="n">
        <f aca="false">IF($J920=0,0,IFERROR(MATCH(INDEX(ROTACAO_RDM!$N$6:$N$71,$J920),PARAMETROS_CULTURAS!$B$6:$B$28,0),0))</f>
        <v>0</v>
      </c>
      <c r="Q920" s="8" t="str">
        <f aca="false">IF($P920=0,"-",IF($O920&lt;=INDEX(PARAMETROS_CULTURAS!$F$6:$F$28,$P920),"INICIAL",IF($O920&lt;=INDEX(PARAMETROS_CULTURAS!$F$6:$F$28,$P920)+INDEX(PARAMETROS_CULTURAS!$G$6:$G$28,$P920),"DESENVOLVIMENTO",IF($O920&lt;=INDEX(PARAMETROS_CULTURAS!$F$6:$F$28,$P920)+INDEX(PARAMETROS_CULTURAS!$G$6:$G$28,$P920)+INDEX(PARAMETROS_CULTURAS!$H$6:$H$28,$P920),"MEDIA","FINAL"))))</f>
        <v>-</v>
      </c>
      <c r="R920" s="24" t="n">
        <f aca="false">IF($P920=0,0,IF($O920&lt;=INDEX(PARAMETROS_CULTURAS!$F$6:$F$28,$P920),INDEX(PARAMETROS_CULTURAS!$K$6:$K$28,$P920),IF($O920&lt;=INDEX(PARAMETROS_CULTURAS!$F$6:$F$28,$P920)+INDEX(PARAMETROS_CULTURAS!$G$6:$G$28,$P920),INDEX(PARAMETROS_CULTURAS!$K$6:$K$28,$P920)+(INDEX(PARAMETROS_CULTURAS!$L$6:$L$28,$P920)-INDEX(PARAMETROS_CULTURAS!$K$6:$K$28,$P920))*($O920-INDEX(PARAMETROS_CULTURAS!$F$6:$F$28,$P920))/MAX(INDEX(PARAMETROS_CULTURAS!$G$6:$G$28,$P920),0.0001),IF($O920&lt;=INDEX(PARAMETROS_CULTURAS!$F$6:$F$28,$P920)+INDEX(PARAMETROS_CULTURAS!$G$6:$G$28,$P920)+INDEX(PARAMETROS_CULTURAS!$H$6:$H$28,$P920),INDEX(PARAMETROS_CULTURAS!$L$6:$L$28,$P920),INDEX(PARAMETROS_CULTURAS!$L$6:$L$28,$P920)+(INDEX(PARAMETROS_CULTURAS!$M$6:$M$28,$P920)-INDEX(PARAMETROS_CULTURAS!$L$6:$L$28,$P920))*($O920-INDEX(PARAMETROS_CULTURAS!$F$6:$F$28,$P920)-INDEX(PARAMETROS_CULTURAS!$G$6:$G$28,$P920)-INDEX(PARAMETROS_CULTURAS!$H$6:$H$28,$P920))/MAX(INDEX(PARAMETROS_CULTURAS!$I$6:$I$28,$P920),0.0001)))))</f>
        <v>0</v>
      </c>
      <c r="S920" s="18" t="n">
        <f aca="false">IFERROR(INDEX(SEMANAS!$H$6:$H$71,MATCH($B920,SEMANAS!$B$6:$B$71,0)),0)</f>
        <v>40</v>
      </c>
      <c r="T920" s="18" t="n">
        <f aca="false">$R920*$S920</f>
        <v>0</v>
      </c>
      <c r="U920" s="18" t="n">
        <f aca="false">IFERROR(INDEX(SEMANAS!$I$6:$I$71,MATCH($B920,SEMANAS!$B$6:$B$71,0)),0)</f>
        <v>15.61</v>
      </c>
      <c r="V920" s="18" t="n">
        <f aca="false">IFERROR(INDEX(SEMANAS!$J$6:$J$71,MATCH($B920,SEMANAS!$B$6:$B$71,0)),0)</f>
        <v>12.488</v>
      </c>
      <c r="W920" s="18" t="n">
        <f aca="false">MAX(0,$T920-$V920)</f>
        <v>0</v>
      </c>
      <c r="X920" s="19" t="n">
        <f aca="false">IFERROR(INDEX(CADASTRO_PIVOS!$K$6:$K$41,MATCH($E920,CADASTRO_PIVOS!$B$6:$B$41,0)),EFICIENCIA_PADRAO)</f>
        <v>0.85</v>
      </c>
      <c r="Y920" s="18" t="n">
        <f aca="false">IF($X920&lt;=0,0,$W920/$X920)</f>
        <v>0</v>
      </c>
      <c r="Z920" s="16" t="n">
        <f aca="false">$Y920*$H920*MM_PARA_M3_HA</f>
        <v>0</v>
      </c>
      <c r="AA920" s="18" t="n">
        <f aca="false">IFERROR(INDEX(CADASTRO_PIVOS!$I$6:$I$41,MATCH($E920,CADASTRO_PIVOS!$B$6:$B$41,0)),0)</f>
        <v>928.2</v>
      </c>
      <c r="AB920" s="18" t="n">
        <f aca="false">IF($Z920&lt;=0,0,$Z920/$AA920)</f>
        <v>0</v>
      </c>
      <c r="AC920" s="16" t="n">
        <f aca="false">IFERROR(INDEX(SEMANAS!$K$6:$K$71,MATCH($B920,SEMANAS!$B$6:$B$71,0)),0)</f>
        <v>147</v>
      </c>
      <c r="AD920" s="19" t="n">
        <f aca="false">IF($AC920&lt;=0,0,$AB920/$AC920)</f>
        <v>0</v>
      </c>
      <c r="AE920" s="8" t="str">
        <f aca="false">IF($K920="SEM CULTURA","SEM CULTURA",IF($AA920&lt;=0,"DADO PENDENTE",IF($AD920&gt;LIMITE_CRITICO,"INVIAVEL",IF($AD920&gt;LIMITE_ATENCAO,"CRITICO",IF($AD920&gt;LIMITE_CONFORTAVEL,"ATENCAO","OK")))))</f>
        <v>SEM CULTURA</v>
      </c>
      <c r="AF920" s="8" t="str">
        <f aca="false">$B920&amp;"|"&amp;TEXT($AD920,"0.000000")</f>
        <v>57|0.000000</v>
      </c>
      <c r="AG920" s="18" t="n">
        <f aca="false">IF($K920="SEM CULTURA",0,$T920*$H920)</f>
        <v>0</v>
      </c>
      <c r="AH920" s="18" t="n">
        <f aca="false">IF($K920="SEM CULTURA",0,$V920*$H920)</f>
        <v>0</v>
      </c>
      <c r="AI920" s="18" t="n">
        <f aca="false">IF($K920="SEM CULTURA",0,$W920*$H920)</f>
        <v>0</v>
      </c>
      <c r="AJ920" s="18" t="n">
        <f aca="false">IF($K920="SEM CULTURA",0,$S920*$H920)</f>
        <v>0</v>
      </c>
      <c r="AK920" s="8" t="str">
        <f aca="false">$E920&amp;"|"&amp;TEXT($AD920,"0.000000")</f>
        <v>PV 115|0.000000</v>
      </c>
    </row>
    <row r="921" customFormat="false" ht="15" hidden="false" customHeight="false" outlineLevel="0" collapsed="false">
      <c r="B921" s="16" t="n">
        <v>58</v>
      </c>
      <c r="C921" s="17" t="n">
        <f aca="false">DATA_INICIO_SAFRA+($B921-1)*DIAS_POR_SEMANA</f>
        <v>46664</v>
      </c>
      <c r="D921" s="17" t="n">
        <f aca="false">$C921+DIAS_POR_SEMANA-1</f>
        <v>46670</v>
      </c>
      <c r="E921" s="15" t="s">
        <v>272</v>
      </c>
      <c r="F921" s="8" t="str">
        <f aca="false">IFERROR(INDEX(CADASTRO_PIVOS!$C$6:$C$41,MATCH($E921,CADASTRO_PIVOS!$B$6:$B$41,0)),"?")</f>
        <v>RM05</v>
      </c>
      <c r="G921" s="8" t="str">
        <f aca="false">IFERROR(INDEX(CADASTRO_PIVOS!$D$6:$D$41,MATCH($E921,CADASTRO_PIVOS!$B$6:$B$41,0)),"?")</f>
        <v>TR05</v>
      </c>
      <c r="H921" s="20" t="n">
        <f aca="false">IFERROR(INDEX(CADASTRO_PIVOS!$E$6:$E$41,MATCH($E921,CADASTRO_PIVOS!$B$6:$B$41,0)),0)</f>
        <v>149.94</v>
      </c>
      <c r="I921" s="16" t="n">
        <f aca="false">IFERROR(SUMIFS(ROTACAO_RDM!$B$6:$B$71,ROTACAO_RDM!$D$6:$D$71,$E921,ROTACAO_RDM!$I$6:$I$71,"&lt;="&amp;$C921+INT(DIAS_POR_SEMANA/2),ROTACAO_RDM!$J$6:$J$71,"&gt;="&amp;$C921+INT(DIAS_POR_SEMANA/2)),0)</f>
        <v>0</v>
      </c>
      <c r="J921" s="16" t="n">
        <f aca="false">IFERROR(MATCH($I921,ROTACAO_RDM!$B$6:$B$71,0),0)</f>
        <v>0</v>
      </c>
      <c r="K921" s="8" t="str">
        <f aca="false">IF($J921=0,"SEM CULTURA",INDEX(ROTACAO_RDM!$F$6:$F$71,$J921))</f>
        <v>SEM CULTURA</v>
      </c>
      <c r="L921" s="8" t="str">
        <f aca="false">IF($J921=0,"",INDEX(ROTACAO_RDM!$G$6:$G$71,$J921))</f>
        <v/>
      </c>
      <c r="M921" s="17" t="str">
        <f aca="false">IF($J921=0,"",INDEX(ROTACAO_RDM!$I$6:$I$71,$J921))</f>
        <v/>
      </c>
      <c r="N921" s="16" t="n">
        <f aca="false">IF($J921=0,0,MAX(0,$C921+INT(DIAS_POR_SEMANA/2)-INDEX(ROTACAO_RDM!$I$6:$I$71,$J921)))</f>
        <v>0</v>
      </c>
      <c r="O921" s="19" t="n">
        <f aca="false">IF($J921=0,0,MIN(1,$N921/MAX(1,INDEX(ROTACAO_RDM!$K$6:$K$71,$J921))))</f>
        <v>0</v>
      </c>
      <c r="P921" s="16" t="n">
        <f aca="false">IF($J921=0,0,IFERROR(MATCH(INDEX(ROTACAO_RDM!$N$6:$N$71,$J921),PARAMETROS_CULTURAS!$B$6:$B$28,0),0))</f>
        <v>0</v>
      </c>
      <c r="Q921" s="8" t="str">
        <f aca="false">IF($P921=0,"-",IF($O921&lt;=INDEX(PARAMETROS_CULTURAS!$F$6:$F$28,$P921),"INICIAL",IF($O921&lt;=INDEX(PARAMETROS_CULTURAS!$F$6:$F$28,$P921)+INDEX(PARAMETROS_CULTURAS!$G$6:$G$28,$P921),"DESENVOLVIMENTO",IF($O921&lt;=INDEX(PARAMETROS_CULTURAS!$F$6:$F$28,$P921)+INDEX(PARAMETROS_CULTURAS!$G$6:$G$28,$P921)+INDEX(PARAMETROS_CULTURAS!$H$6:$H$28,$P921),"MEDIA","FINAL"))))</f>
        <v>-</v>
      </c>
      <c r="R921" s="24" t="n">
        <f aca="false">IF($P921=0,0,IF($O921&lt;=INDEX(PARAMETROS_CULTURAS!$F$6:$F$28,$P921),INDEX(PARAMETROS_CULTURAS!$K$6:$K$28,$P921),IF($O921&lt;=INDEX(PARAMETROS_CULTURAS!$F$6:$F$28,$P921)+INDEX(PARAMETROS_CULTURAS!$G$6:$G$28,$P921),INDEX(PARAMETROS_CULTURAS!$K$6:$K$28,$P921)+(INDEX(PARAMETROS_CULTURAS!$L$6:$L$28,$P921)-INDEX(PARAMETROS_CULTURAS!$K$6:$K$28,$P921))*($O921-INDEX(PARAMETROS_CULTURAS!$F$6:$F$28,$P921))/MAX(INDEX(PARAMETROS_CULTURAS!$G$6:$G$28,$P921),0.0001),IF($O921&lt;=INDEX(PARAMETROS_CULTURAS!$F$6:$F$28,$P921)+INDEX(PARAMETROS_CULTURAS!$G$6:$G$28,$P921)+INDEX(PARAMETROS_CULTURAS!$H$6:$H$28,$P921),INDEX(PARAMETROS_CULTURAS!$L$6:$L$28,$P921),INDEX(PARAMETROS_CULTURAS!$L$6:$L$28,$P921)+(INDEX(PARAMETROS_CULTURAS!$M$6:$M$28,$P921)-INDEX(PARAMETROS_CULTURAS!$L$6:$L$28,$P921))*($O921-INDEX(PARAMETROS_CULTURAS!$F$6:$F$28,$P921)-INDEX(PARAMETROS_CULTURAS!$G$6:$G$28,$P921)-INDEX(PARAMETROS_CULTURAS!$H$6:$H$28,$P921))/MAX(INDEX(PARAMETROS_CULTURAS!$I$6:$I$28,$P921),0.0001)))))</f>
        <v>0</v>
      </c>
      <c r="S921" s="18" t="n">
        <f aca="false">IFERROR(INDEX(SEMANAS!$H$6:$H$71,MATCH($B921,SEMANAS!$B$6:$B$71,0)),0)</f>
        <v>39.2</v>
      </c>
      <c r="T921" s="18" t="n">
        <f aca="false">$R921*$S921</f>
        <v>0</v>
      </c>
      <c r="U921" s="18" t="n">
        <f aca="false">IFERROR(INDEX(SEMANAS!$I$6:$I$71,MATCH($B921,SEMANAS!$B$6:$B$71,0)),0)</f>
        <v>27.09</v>
      </c>
      <c r="V921" s="18" t="n">
        <f aca="false">IFERROR(INDEX(SEMANAS!$J$6:$J$71,MATCH($B921,SEMANAS!$B$6:$B$71,0)),0)</f>
        <v>21.672</v>
      </c>
      <c r="W921" s="18" t="n">
        <f aca="false">MAX(0,$T921-$V921)</f>
        <v>0</v>
      </c>
      <c r="X921" s="19" t="n">
        <f aca="false">IFERROR(INDEX(CADASTRO_PIVOS!$K$6:$K$41,MATCH($E921,CADASTRO_PIVOS!$B$6:$B$41,0)),EFICIENCIA_PADRAO)</f>
        <v>0.85</v>
      </c>
      <c r="Y921" s="18" t="n">
        <f aca="false">IF($X921&lt;=0,0,$W921/$X921)</f>
        <v>0</v>
      </c>
      <c r="Z921" s="16" t="n">
        <f aca="false">$Y921*$H921*MM_PARA_M3_HA</f>
        <v>0</v>
      </c>
      <c r="AA921" s="18" t="n">
        <f aca="false">IFERROR(INDEX(CADASTRO_PIVOS!$I$6:$I$41,MATCH($E921,CADASTRO_PIVOS!$B$6:$B$41,0)),0)</f>
        <v>928.2</v>
      </c>
      <c r="AB921" s="18" t="n">
        <f aca="false">IF($Z921&lt;=0,0,$Z921/$AA921)</f>
        <v>0</v>
      </c>
      <c r="AC921" s="16" t="n">
        <f aca="false">IFERROR(INDEX(SEMANAS!$K$6:$K$71,MATCH($B921,SEMANAS!$B$6:$B$71,0)),0)</f>
        <v>147</v>
      </c>
      <c r="AD921" s="19" t="n">
        <f aca="false">IF($AC921&lt;=0,0,$AB921/$AC921)</f>
        <v>0</v>
      </c>
      <c r="AE921" s="8" t="str">
        <f aca="false">IF($K921="SEM CULTURA","SEM CULTURA",IF($AA921&lt;=0,"DADO PENDENTE",IF($AD921&gt;LIMITE_CRITICO,"INVIAVEL",IF($AD921&gt;LIMITE_ATENCAO,"CRITICO",IF($AD921&gt;LIMITE_CONFORTAVEL,"ATENCAO","OK")))))</f>
        <v>SEM CULTURA</v>
      </c>
      <c r="AF921" s="8" t="str">
        <f aca="false">$B921&amp;"|"&amp;TEXT($AD921,"0.000000")</f>
        <v>58|0.000000</v>
      </c>
      <c r="AG921" s="18" t="n">
        <f aca="false">IF($K921="SEM CULTURA",0,$T921*$H921)</f>
        <v>0</v>
      </c>
      <c r="AH921" s="18" t="n">
        <f aca="false">IF($K921="SEM CULTURA",0,$V921*$H921)</f>
        <v>0</v>
      </c>
      <c r="AI921" s="18" t="n">
        <f aca="false">IF($K921="SEM CULTURA",0,$W921*$H921)</f>
        <v>0</v>
      </c>
      <c r="AJ921" s="18" t="n">
        <f aca="false">IF($K921="SEM CULTURA",0,$S921*$H921)</f>
        <v>0</v>
      </c>
      <c r="AK921" s="8" t="str">
        <f aca="false">$E921&amp;"|"&amp;TEXT($AD921,"0.000000")</f>
        <v>PV 115|0.000000</v>
      </c>
    </row>
    <row r="922" customFormat="false" ht="15" hidden="false" customHeight="false" outlineLevel="0" collapsed="false">
      <c r="B922" s="16" t="n">
        <v>59</v>
      </c>
      <c r="C922" s="17" t="n">
        <f aca="false">DATA_INICIO_SAFRA+($B922-1)*DIAS_POR_SEMANA</f>
        <v>46671</v>
      </c>
      <c r="D922" s="17" t="n">
        <f aca="false">$C922+DIAS_POR_SEMANA-1</f>
        <v>46677</v>
      </c>
      <c r="E922" s="15" t="s">
        <v>272</v>
      </c>
      <c r="F922" s="8" t="str">
        <f aca="false">IFERROR(INDEX(CADASTRO_PIVOS!$C$6:$C$41,MATCH($E922,CADASTRO_PIVOS!$B$6:$B$41,0)),"?")</f>
        <v>RM05</v>
      </c>
      <c r="G922" s="8" t="str">
        <f aca="false">IFERROR(INDEX(CADASTRO_PIVOS!$D$6:$D$41,MATCH($E922,CADASTRO_PIVOS!$B$6:$B$41,0)),"?")</f>
        <v>TR05</v>
      </c>
      <c r="H922" s="20" t="n">
        <f aca="false">IFERROR(INDEX(CADASTRO_PIVOS!$E$6:$E$41,MATCH($E922,CADASTRO_PIVOS!$B$6:$B$41,0)),0)</f>
        <v>149.94</v>
      </c>
      <c r="I922" s="16" t="n">
        <f aca="false">IFERROR(SUMIFS(ROTACAO_RDM!$B$6:$B$71,ROTACAO_RDM!$D$6:$D$71,$E922,ROTACAO_RDM!$I$6:$I$71,"&lt;="&amp;$C922+INT(DIAS_POR_SEMANA/2),ROTACAO_RDM!$J$6:$J$71,"&gt;="&amp;$C922+INT(DIAS_POR_SEMANA/2)),0)</f>
        <v>0</v>
      </c>
      <c r="J922" s="16" t="n">
        <f aca="false">IFERROR(MATCH($I922,ROTACAO_RDM!$B$6:$B$71,0),0)</f>
        <v>0</v>
      </c>
      <c r="K922" s="8" t="str">
        <f aca="false">IF($J922=0,"SEM CULTURA",INDEX(ROTACAO_RDM!$F$6:$F$71,$J922))</f>
        <v>SEM CULTURA</v>
      </c>
      <c r="L922" s="8" t="str">
        <f aca="false">IF($J922=0,"",INDEX(ROTACAO_RDM!$G$6:$G$71,$J922))</f>
        <v/>
      </c>
      <c r="M922" s="17" t="str">
        <f aca="false">IF($J922=0,"",INDEX(ROTACAO_RDM!$I$6:$I$71,$J922))</f>
        <v/>
      </c>
      <c r="N922" s="16" t="n">
        <f aca="false">IF($J922=0,0,MAX(0,$C922+INT(DIAS_POR_SEMANA/2)-INDEX(ROTACAO_RDM!$I$6:$I$71,$J922)))</f>
        <v>0</v>
      </c>
      <c r="O922" s="19" t="n">
        <f aca="false">IF($J922=0,0,MIN(1,$N922/MAX(1,INDEX(ROTACAO_RDM!$K$6:$K$71,$J922))))</f>
        <v>0</v>
      </c>
      <c r="P922" s="16" t="n">
        <f aca="false">IF($J922=0,0,IFERROR(MATCH(INDEX(ROTACAO_RDM!$N$6:$N$71,$J922),PARAMETROS_CULTURAS!$B$6:$B$28,0),0))</f>
        <v>0</v>
      </c>
      <c r="Q922" s="8" t="str">
        <f aca="false">IF($P922=0,"-",IF($O922&lt;=INDEX(PARAMETROS_CULTURAS!$F$6:$F$28,$P922),"INICIAL",IF($O922&lt;=INDEX(PARAMETROS_CULTURAS!$F$6:$F$28,$P922)+INDEX(PARAMETROS_CULTURAS!$G$6:$G$28,$P922),"DESENVOLVIMENTO",IF($O922&lt;=INDEX(PARAMETROS_CULTURAS!$F$6:$F$28,$P922)+INDEX(PARAMETROS_CULTURAS!$G$6:$G$28,$P922)+INDEX(PARAMETROS_CULTURAS!$H$6:$H$28,$P922),"MEDIA","FINAL"))))</f>
        <v>-</v>
      </c>
      <c r="R922" s="24" t="n">
        <f aca="false">IF($P922=0,0,IF($O922&lt;=INDEX(PARAMETROS_CULTURAS!$F$6:$F$28,$P922),INDEX(PARAMETROS_CULTURAS!$K$6:$K$28,$P922),IF($O922&lt;=INDEX(PARAMETROS_CULTURAS!$F$6:$F$28,$P922)+INDEX(PARAMETROS_CULTURAS!$G$6:$G$28,$P922),INDEX(PARAMETROS_CULTURAS!$K$6:$K$28,$P922)+(INDEX(PARAMETROS_CULTURAS!$L$6:$L$28,$P922)-INDEX(PARAMETROS_CULTURAS!$K$6:$K$28,$P922))*($O922-INDEX(PARAMETROS_CULTURAS!$F$6:$F$28,$P922))/MAX(INDEX(PARAMETROS_CULTURAS!$G$6:$G$28,$P922),0.0001),IF($O922&lt;=INDEX(PARAMETROS_CULTURAS!$F$6:$F$28,$P922)+INDEX(PARAMETROS_CULTURAS!$G$6:$G$28,$P922)+INDEX(PARAMETROS_CULTURAS!$H$6:$H$28,$P922),INDEX(PARAMETROS_CULTURAS!$L$6:$L$28,$P922),INDEX(PARAMETROS_CULTURAS!$L$6:$L$28,$P922)+(INDEX(PARAMETROS_CULTURAS!$M$6:$M$28,$P922)-INDEX(PARAMETROS_CULTURAS!$L$6:$L$28,$P922))*($O922-INDEX(PARAMETROS_CULTURAS!$F$6:$F$28,$P922)-INDEX(PARAMETROS_CULTURAS!$G$6:$G$28,$P922)-INDEX(PARAMETROS_CULTURAS!$H$6:$H$28,$P922))/MAX(INDEX(PARAMETROS_CULTURAS!$I$6:$I$28,$P922),0.0001)))))</f>
        <v>0</v>
      </c>
      <c r="S922" s="18" t="n">
        <f aca="false">IFERROR(INDEX(SEMANAS!$H$6:$H$71,MATCH($B922,SEMANAS!$B$6:$B$71,0)),0)</f>
        <v>39.2</v>
      </c>
      <c r="T922" s="18" t="n">
        <f aca="false">$R922*$S922</f>
        <v>0</v>
      </c>
      <c r="U922" s="18" t="n">
        <f aca="false">IFERROR(INDEX(SEMANAS!$I$6:$I$71,MATCH($B922,SEMANAS!$B$6:$B$71,0)),0)</f>
        <v>27.09</v>
      </c>
      <c r="V922" s="18" t="n">
        <f aca="false">IFERROR(INDEX(SEMANAS!$J$6:$J$71,MATCH($B922,SEMANAS!$B$6:$B$71,0)),0)</f>
        <v>21.672</v>
      </c>
      <c r="W922" s="18" t="n">
        <f aca="false">MAX(0,$T922-$V922)</f>
        <v>0</v>
      </c>
      <c r="X922" s="19" t="n">
        <f aca="false">IFERROR(INDEX(CADASTRO_PIVOS!$K$6:$K$41,MATCH($E922,CADASTRO_PIVOS!$B$6:$B$41,0)),EFICIENCIA_PADRAO)</f>
        <v>0.85</v>
      </c>
      <c r="Y922" s="18" t="n">
        <f aca="false">IF($X922&lt;=0,0,$W922/$X922)</f>
        <v>0</v>
      </c>
      <c r="Z922" s="16" t="n">
        <f aca="false">$Y922*$H922*MM_PARA_M3_HA</f>
        <v>0</v>
      </c>
      <c r="AA922" s="18" t="n">
        <f aca="false">IFERROR(INDEX(CADASTRO_PIVOS!$I$6:$I$41,MATCH($E922,CADASTRO_PIVOS!$B$6:$B$41,0)),0)</f>
        <v>928.2</v>
      </c>
      <c r="AB922" s="18" t="n">
        <f aca="false">IF($Z922&lt;=0,0,$Z922/$AA922)</f>
        <v>0</v>
      </c>
      <c r="AC922" s="16" t="n">
        <f aca="false">IFERROR(INDEX(SEMANAS!$K$6:$K$71,MATCH($B922,SEMANAS!$B$6:$B$71,0)),0)</f>
        <v>147</v>
      </c>
      <c r="AD922" s="19" t="n">
        <f aca="false">IF($AC922&lt;=0,0,$AB922/$AC922)</f>
        <v>0</v>
      </c>
      <c r="AE922" s="8" t="str">
        <f aca="false">IF($K922="SEM CULTURA","SEM CULTURA",IF($AA922&lt;=0,"DADO PENDENTE",IF($AD922&gt;LIMITE_CRITICO,"INVIAVEL",IF($AD922&gt;LIMITE_ATENCAO,"CRITICO",IF($AD922&gt;LIMITE_CONFORTAVEL,"ATENCAO","OK")))))</f>
        <v>SEM CULTURA</v>
      </c>
      <c r="AF922" s="8" t="str">
        <f aca="false">$B922&amp;"|"&amp;TEXT($AD922,"0.000000")</f>
        <v>59|0.000000</v>
      </c>
      <c r="AG922" s="18" t="n">
        <f aca="false">IF($K922="SEM CULTURA",0,$T922*$H922)</f>
        <v>0</v>
      </c>
      <c r="AH922" s="18" t="n">
        <f aca="false">IF($K922="SEM CULTURA",0,$V922*$H922)</f>
        <v>0</v>
      </c>
      <c r="AI922" s="18" t="n">
        <f aca="false">IF($K922="SEM CULTURA",0,$W922*$H922)</f>
        <v>0</v>
      </c>
      <c r="AJ922" s="18" t="n">
        <f aca="false">IF($K922="SEM CULTURA",0,$S922*$H922)</f>
        <v>0</v>
      </c>
      <c r="AK922" s="8" t="str">
        <f aca="false">$E922&amp;"|"&amp;TEXT($AD922,"0.000000")</f>
        <v>PV 115|0.000000</v>
      </c>
    </row>
    <row r="923" customFormat="false" ht="15" hidden="false" customHeight="false" outlineLevel="0" collapsed="false">
      <c r="B923" s="16" t="n">
        <v>60</v>
      </c>
      <c r="C923" s="17" t="n">
        <f aca="false">DATA_INICIO_SAFRA+($B923-1)*DIAS_POR_SEMANA</f>
        <v>46678</v>
      </c>
      <c r="D923" s="17" t="n">
        <f aca="false">$C923+DIAS_POR_SEMANA-1</f>
        <v>46684</v>
      </c>
      <c r="E923" s="15" t="s">
        <v>272</v>
      </c>
      <c r="F923" s="8" t="str">
        <f aca="false">IFERROR(INDEX(CADASTRO_PIVOS!$C$6:$C$41,MATCH($E923,CADASTRO_PIVOS!$B$6:$B$41,0)),"?")</f>
        <v>RM05</v>
      </c>
      <c r="G923" s="8" t="str">
        <f aca="false">IFERROR(INDEX(CADASTRO_PIVOS!$D$6:$D$41,MATCH($E923,CADASTRO_PIVOS!$B$6:$B$41,0)),"?")</f>
        <v>TR05</v>
      </c>
      <c r="H923" s="20" t="n">
        <f aca="false">IFERROR(INDEX(CADASTRO_PIVOS!$E$6:$E$41,MATCH($E923,CADASTRO_PIVOS!$B$6:$B$41,0)),0)</f>
        <v>149.94</v>
      </c>
      <c r="I923" s="16" t="n">
        <f aca="false">IFERROR(SUMIFS(ROTACAO_RDM!$B$6:$B$71,ROTACAO_RDM!$D$6:$D$71,$E923,ROTACAO_RDM!$I$6:$I$71,"&lt;="&amp;$C923+INT(DIAS_POR_SEMANA/2),ROTACAO_RDM!$J$6:$J$71,"&gt;="&amp;$C923+INT(DIAS_POR_SEMANA/2)),0)</f>
        <v>0</v>
      </c>
      <c r="J923" s="16" t="n">
        <f aca="false">IFERROR(MATCH($I923,ROTACAO_RDM!$B$6:$B$71,0),0)</f>
        <v>0</v>
      </c>
      <c r="K923" s="8" t="str">
        <f aca="false">IF($J923=0,"SEM CULTURA",INDEX(ROTACAO_RDM!$F$6:$F$71,$J923))</f>
        <v>SEM CULTURA</v>
      </c>
      <c r="L923" s="8" t="str">
        <f aca="false">IF($J923=0,"",INDEX(ROTACAO_RDM!$G$6:$G$71,$J923))</f>
        <v/>
      </c>
      <c r="M923" s="17" t="str">
        <f aca="false">IF($J923=0,"",INDEX(ROTACAO_RDM!$I$6:$I$71,$J923))</f>
        <v/>
      </c>
      <c r="N923" s="16" t="n">
        <f aca="false">IF($J923=0,0,MAX(0,$C923+INT(DIAS_POR_SEMANA/2)-INDEX(ROTACAO_RDM!$I$6:$I$71,$J923)))</f>
        <v>0</v>
      </c>
      <c r="O923" s="19" t="n">
        <f aca="false">IF($J923=0,0,MIN(1,$N923/MAX(1,INDEX(ROTACAO_RDM!$K$6:$K$71,$J923))))</f>
        <v>0</v>
      </c>
      <c r="P923" s="16" t="n">
        <f aca="false">IF($J923=0,0,IFERROR(MATCH(INDEX(ROTACAO_RDM!$N$6:$N$71,$J923),PARAMETROS_CULTURAS!$B$6:$B$28,0),0))</f>
        <v>0</v>
      </c>
      <c r="Q923" s="8" t="str">
        <f aca="false">IF($P923=0,"-",IF($O923&lt;=INDEX(PARAMETROS_CULTURAS!$F$6:$F$28,$P923),"INICIAL",IF($O923&lt;=INDEX(PARAMETROS_CULTURAS!$F$6:$F$28,$P923)+INDEX(PARAMETROS_CULTURAS!$G$6:$G$28,$P923),"DESENVOLVIMENTO",IF($O923&lt;=INDEX(PARAMETROS_CULTURAS!$F$6:$F$28,$P923)+INDEX(PARAMETROS_CULTURAS!$G$6:$G$28,$P923)+INDEX(PARAMETROS_CULTURAS!$H$6:$H$28,$P923),"MEDIA","FINAL"))))</f>
        <v>-</v>
      </c>
      <c r="R923" s="24" t="n">
        <f aca="false">IF($P923=0,0,IF($O923&lt;=INDEX(PARAMETROS_CULTURAS!$F$6:$F$28,$P923),INDEX(PARAMETROS_CULTURAS!$K$6:$K$28,$P923),IF($O923&lt;=INDEX(PARAMETROS_CULTURAS!$F$6:$F$28,$P923)+INDEX(PARAMETROS_CULTURAS!$G$6:$G$28,$P923),INDEX(PARAMETROS_CULTURAS!$K$6:$K$28,$P923)+(INDEX(PARAMETROS_CULTURAS!$L$6:$L$28,$P923)-INDEX(PARAMETROS_CULTURAS!$K$6:$K$28,$P923))*($O923-INDEX(PARAMETROS_CULTURAS!$F$6:$F$28,$P923))/MAX(INDEX(PARAMETROS_CULTURAS!$G$6:$G$28,$P923),0.0001),IF($O923&lt;=INDEX(PARAMETROS_CULTURAS!$F$6:$F$28,$P923)+INDEX(PARAMETROS_CULTURAS!$G$6:$G$28,$P923)+INDEX(PARAMETROS_CULTURAS!$H$6:$H$28,$P923),INDEX(PARAMETROS_CULTURAS!$L$6:$L$28,$P923),INDEX(PARAMETROS_CULTURAS!$L$6:$L$28,$P923)+(INDEX(PARAMETROS_CULTURAS!$M$6:$M$28,$P923)-INDEX(PARAMETROS_CULTURAS!$L$6:$L$28,$P923))*($O923-INDEX(PARAMETROS_CULTURAS!$F$6:$F$28,$P923)-INDEX(PARAMETROS_CULTURAS!$G$6:$G$28,$P923)-INDEX(PARAMETROS_CULTURAS!$H$6:$H$28,$P923))/MAX(INDEX(PARAMETROS_CULTURAS!$I$6:$I$28,$P923),0.0001)))))</f>
        <v>0</v>
      </c>
      <c r="S923" s="18" t="n">
        <f aca="false">IFERROR(INDEX(SEMANAS!$H$6:$H$71,MATCH($B923,SEMANAS!$B$6:$B$71,0)),0)</f>
        <v>39.2</v>
      </c>
      <c r="T923" s="18" t="n">
        <f aca="false">$R923*$S923</f>
        <v>0</v>
      </c>
      <c r="U923" s="18" t="n">
        <f aca="false">IFERROR(INDEX(SEMANAS!$I$6:$I$71,MATCH($B923,SEMANAS!$B$6:$B$71,0)),0)</f>
        <v>27.09</v>
      </c>
      <c r="V923" s="18" t="n">
        <f aca="false">IFERROR(INDEX(SEMANAS!$J$6:$J$71,MATCH($B923,SEMANAS!$B$6:$B$71,0)),0)</f>
        <v>21.672</v>
      </c>
      <c r="W923" s="18" t="n">
        <f aca="false">MAX(0,$T923-$V923)</f>
        <v>0</v>
      </c>
      <c r="X923" s="19" t="n">
        <f aca="false">IFERROR(INDEX(CADASTRO_PIVOS!$K$6:$K$41,MATCH($E923,CADASTRO_PIVOS!$B$6:$B$41,0)),EFICIENCIA_PADRAO)</f>
        <v>0.85</v>
      </c>
      <c r="Y923" s="18" t="n">
        <f aca="false">IF($X923&lt;=0,0,$W923/$X923)</f>
        <v>0</v>
      </c>
      <c r="Z923" s="16" t="n">
        <f aca="false">$Y923*$H923*MM_PARA_M3_HA</f>
        <v>0</v>
      </c>
      <c r="AA923" s="18" t="n">
        <f aca="false">IFERROR(INDEX(CADASTRO_PIVOS!$I$6:$I$41,MATCH($E923,CADASTRO_PIVOS!$B$6:$B$41,0)),0)</f>
        <v>928.2</v>
      </c>
      <c r="AB923" s="18" t="n">
        <f aca="false">IF($Z923&lt;=0,0,$Z923/$AA923)</f>
        <v>0</v>
      </c>
      <c r="AC923" s="16" t="n">
        <f aca="false">IFERROR(INDEX(SEMANAS!$K$6:$K$71,MATCH($B923,SEMANAS!$B$6:$B$71,0)),0)</f>
        <v>147</v>
      </c>
      <c r="AD923" s="19" t="n">
        <f aca="false">IF($AC923&lt;=0,0,$AB923/$AC923)</f>
        <v>0</v>
      </c>
      <c r="AE923" s="8" t="str">
        <f aca="false">IF($K923="SEM CULTURA","SEM CULTURA",IF($AA923&lt;=0,"DADO PENDENTE",IF($AD923&gt;LIMITE_CRITICO,"INVIAVEL",IF($AD923&gt;LIMITE_ATENCAO,"CRITICO",IF($AD923&gt;LIMITE_CONFORTAVEL,"ATENCAO","OK")))))</f>
        <v>SEM CULTURA</v>
      </c>
      <c r="AF923" s="8" t="str">
        <f aca="false">$B923&amp;"|"&amp;TEXT($AD923,"0.000000")</f>
        <v>60|0.000000</v>
      </c>
      <c r="AG923" s="18" t="n">
        <f aca="false">IF($K923="SEM CULTURA",0,$T923*$H923)</f>
        <v>0</v>
      </c>
      <c r="AH923" s="18" t="n">
        <f aca="false">IF($K923="SEM CULTURA",0,$V923*$H923)</f>
        <v>0</v>
      </c>
      <c r="AI923" s="18" t="n">
        <f aca="false">IF($K923="SEM CULTURA",0,$W923*$H923)</f>
        <v>0</v>
      </c>
      <c r="AJ923" s="18" t="n">
        <f aca="false">IF($K923="SEM CULTURA",0,$S923*$H923)</f>
        <v>0</v>
      </c>
      <c r="AK923" s="8" t="str">
        <f aca="false">$E923&amp;"|"&amp;TEXT($AD923,"0.000000")</f>
        <v>PV 115|0.000000</v>
      </c>
    </row>
    <row r="924" customFormat="false" ht="15" hidden="false" customHeight="false" outlineLevel="0" collapsed="false">
      <c r="B924" s="16" t="n">
        <v>61</v>
      </c>
      <c r="C924" s="17" t="n">
        <f aca="false">DATA_INICIO_SAFRA+($B924-1)*DIAS_POR_SEMANA</f>
        <v>46685</v>
      </c>
      <c r="D924" s="17" t="n">
        <f aca="false">$C924+DIAS_POR_SEMANA-1</f>
        <v>46691</v>
      </c>
      <c r="E924" s="15" t="s">
        <v>272</v>
      </c>
      <c r="F924" s="8" t="str">
        <f aca="false">IFERROR(INDEX(CADASTRO_PIVOS!$C$6:$C$41,MATCH($E924,CADASTRO_PIVOS!$B$6:$B$41,0)),"?")</f>
        <v>RM05</v>
      </c>
      <c r="G924" s="8" t="str">
        <f aca="false">IFERROR(INDEX(CADASTRO_PIVOS!$D$6:$D$41,MATCH($E924,CADASTRO_PIVOS!$B$6:$B$41,0)),"?")</f>
        <v>TR05</v>
      </c>
      <c r="H924" s="20" t="n">
        <f aca="false">IFERROR(INDEX(CADASTRO_PIVOS!$E$6:$E$41,MATCH($E924,CADASTRO_PIVOS!$B$6:$B$41,0)),0)</f>
        <v>149.94</v>
      </c>
      <c r="I924" s="16" t="n">
        <f aca="false">IFERROR(SUMIFS(ROTACAO_RDM!$B$6:$B$71,ROTACAO_RDM!$D$6:$D$71,$E924,ROTACAO_RDM!$I$6:$I$71,"&lt;="&amp;$C924+INT(DIAS_POR_SEMANA/2),ROTACAO_RDM!$J$6:$J$71,"&gt;="&amp;$C924+INT(DIAS_POR_SEMANA/2)),0)</f>
        <v>0</v>
      </c>
      <c r="J924" s="16" t="n">
        <f aca="false">IFERROR(MATCH($I924,ROTACAO_RDM!$B$6:$B$71,0),0)</f>
        <v>0</v>
      </c>
      <c r="K924" s="8" t="str">
        <f aca="false">IF($J924=0,"SEM CULTURA",INDEX(ROTACAO_RDM!$F$6:$F$71,$J924))</f>
        <v>SEM CULTURA</v>
      </c>
      <c r="L924" s="8" t="str">
        <f aca="false">IF($J924=0,"",INDEX(ROTACAO_RDM!$G$6:$G$71,$J924))</f>
        <v/>
      </c>
      <c r="M924" s="17" t="str">
        <f aca="false">IF($J924=0,"",INDEX(ROTACAO_RDM!$I$6:$I$71,$J924))</f>
        <v/>
      </c>
      <c r="N924" s="16" t="n">
        <f aca="false">IF($J924=0,0,MAX(0,$C924+INT(DIAS_POR_SEMANA/2)-INDEX(ROTACAO_RDM!$I$6:$I$71,$J924)))</f>
        <v>0</v>
      </c>
      <c r="O924" s="19" t="n">
        <f aca="false">IF($J924=0,0,MIN(1,$N924/MAX(1,INDEX(ROTACAO_RDM!$K$6:$K$71,$J924))))</f>
        <v>0</v>
      </c>
      <c r="P924" s="16" t="n">
        <f aca="false">IF($J924=0,0,IFERROR(MATCH(INDEX(ROTACAO_RDM!$N$6:$N$71,$J924),PARAMETROS_CULTURAS!$B$6:$B$28,0),0))</f>
        <v>0</v>
      </c>
      <c r="Q924" s="8" t="str">
        <f aca="false">IF($P924=0,"-",IF($O924&lt;=INDEX(PARAMETROS_CULTURAS!$F$6:$F$28,$P924),"INICIAL",IF($O924&lt;=INDEX(PARAMETROS_CULTURAS!$F$6:$F$28,$P924)+INDEX(PARAMETROS_CULTURAS!$G$6:$G$28,$P924),"DESENVOLVIMENTO",IF($O924&lt;=INDEX(PARAMETROS_CULTURAS!$F$6:$F$28,$P924)+INDEX(PARAMETROS_CULTURAS!$G$6:$G$28,$P924)+INDEX(PARAMETROS_CULTURAS!$H$6:$H$28,$P924),"MEDIA","FINAL"))))</f>
        <v>-</v>
      </c>
      <c r="R924" s="24" t="n">
        <f aca="false">IF($P924=0,0,IF($O924&lt;=INDEX(PARAMETROS_CULTURAS!$F$6:$F$28,$P924),INDEX(PARAMETROS_CULTURAS!$K$6:$K$28,$P924),IF($O924&lt;=INDEX(PARAMETROS_CULTURAS!$F$6:$F$28,$P924)+INDEX(PARAMETROS_CULTURAS!$G$6:$G$28,$P924),INDEX(PARAMETROS_CULTURAS!$K$6:$K$28,$P924)+(INDEX(PARAMETROS_CULTURAS!$L$6:$L$28,$P924)-INDEX(PARAMETROS_CULTURAS!$K$6:$K$28,$P924))*($O924-INDEX(PARAMETROS_CULTURAS!$F$6:$F$28,$P924))/MAX(INDEX(PARAMETROS_CULTURAS!$G$6:$G$28,$P924),0.0001),IF($O924&lt;=INDEX(PARAMETROS_CULTURAS!$F$6:$F$28,$P924)+INDEX(PARAMETROS_CULTURAS!$G$6:$G$28,$P924)+INDEX(PARAMETROS_CULTURAS!$H$6:$H$28,$P924),INDEX(PARAMETROS_CULTURAS!$L$6:$L$28,$P924),INDEX(PARAMETROS_CULTURAS!$L$6:$L$28,$P924)+(INDEX(PARAMETROS_CULTURAS!$M$6:$M$28,$P924)-INDEX(PARAMETROS_CULTURAS!$L$6:$L$28,$P924))*($O924-INDEX(PARAMETROS_CULTURAS!$F$6:$F$28,$P924)-INDEX(PARAMETROS_CULTURAS!$G$6:$G$28,$P924)-INDEX(PARAMETROS_CULTURAS!$H$6:$H$28,$P924))/MAX(INDEX(PARAMETROS_CULTURAS!$I$6:$I$28,$P924),0.0001)))))</f>
        <v>0</v>
      </c>
      <c r="S924" s="18" t="n">
        <f aca="false">IFERROR(INDEX(SEMANAS!$H$6:$H$71,MATCH($B924,SEMANAS!$B$6:$B$71,0)),0)</f>
        <v>39.2</v>
      </c>
      <c r="T924" s="18" t="n">
        <f aca="false">$R924*$S924</f>
        <v>0</v>
      </c>
      <c r="U924" s="18" t="n">
        <f aca="false">IFERROR(INDEX(SEMANAS!$I$6:$I$71,MATCH($B924,SEMANAS!$B$6:$B$71,0)),0)</f>
        <v>27.09</v>
      </c>
      <c r="V924" s="18" t="n">
        <f aca="false">IFERROR(INDEX(SEMANAS!$J$6:$J$71,MATCH($B924,SEMANAS!$B$6:$B$71,0)),0)</f>
        <v>21.672</v>
      </c>
      <c r="W924" s="18" t="n">
        <f aca="false">MAX(0,$T924-$V924)</f>
        <v>0</v>
      </c>
      <c r="X924" s="19" t="n">
        <f aca="false">IFERROR(INDEX(CADASTRO_PIVOS!$K$6:$K$41,MATCH($E924,CADASTRO_PIVOS!$B$6:$B$41,0)),EFICIENCIA_PADRAO)</f>
        <v>0.85</v>
      </c>
      <c r="Y924" s="18" t="n">
        <f aca="false">IF($X924&lt;=0,0,$W924/$X924)</f>
        <v>0</v>
      </c>
      <c r="Z924" s="16" t="n">
        <f aca="false">$Y924*$H924*MM_PARA_M3_HA</f>
        <v>0</v>
      </c>
      <c r="AA924" s="18" t="n">
        <f aca="false">IFERROR(INDEX(CADASTRO_PIVOS!$I$6:$I$41,MATCH($E924,CADASTRO_PIVOS!$B$6:$B$41,0)),0)</f>
        <v>928.2</v>
      </c>
      <c r="AB924" s="18" t="n">
        <f aca="false">IF($Z924&lt;=0,0,$Z924/$AA924)</f>
        <v>0</v>
      </c>
      <c r="AC924" s="16" t="n">
        <f aca="false">IFERROR(INDEX(SEMANAS!$K$6:$K$71,MATCH($B924,SEMANAS!$B$6:$B$71,0)),0)</f>
        <v>147</v>
      </c>
      <c r="AD924" s="19" t="n">
        <f aca="false">IF($AC924&lt;=0,0,$AB924/$AC924)</f>
        <v>0</v>
      </c>
      <c r="AE924" s="8" t="str">
        <f aca="false">IF($K924="SEM CULTURA","SEM CULTURA",IF($AA924&lt;=0,"DADO PENDENTE",IF($AD924&gt;LIMITE_CRITICO,"INVIAVEL",IF($AD924&gt;LIMITE_ATENCAO,"CRITICO",IF($AD924&gt;LIMITE_CONFORTAVEL,"ATENCAO","OK")))))</f>
        <v>SEM CULTURA</v>
      </c>
      <c r="AF924" s="8" t="str">
        <f aca="false">$B924&amp;"|"&amp;TEXT($AD924,"0.000000")</f>
        <v>61|0.000000</v>
      </c>
      <c r="AG924" s="18" t="n">
        <f aca="false">IF($K924="SEM CULTURA",0,$T924*$H924)</f>
        <v>0</v>
      </c>
      <c r="AH924" s="18" t="n">
        <f aca="false">IF($K924="SEM CULTURA",0,$V924*$H924)</f>
        <v>0</v>
      </c>
      <c r="AI924" s="18" t="n">
        <f aca="false">IF($K924="SEM CULTURA",0,$W924*$H924)</f>
        <v>0</v>
      </c>
      <c r="AJ924" s="18" t="n">
        <f aca="false">IF($K924="SEM CULTURA",0,$S924*$H924)</f>
        <v>0</v>
      </c>
      <c r="AK924" s="8" t="str">
        <f aca="false">$E924&amp;"|"&amp;TEXT($AD924,"0.000000")</f>
        <v>PV 115|0.000000</v>
      </c>
    </row>
    <row r="925" customFormat="false" ht="15" hidden="false" customHeight="false" outlineLevel="0" collapsed="false">
      <c r="B925" s="16" t="n">
        <v>62</v>
      </c>
      <c r="C925" s="17" t="n">
        <f aca="false">DATA_INICIO_SAFRA+($B925-1)*DIAS_POR_SEMANA</f>
        <v>46692</v>
      </c>
      <c r="D925" s="17" t="n">
        <f aca="false">$C925+DIAS_POR_SEMANA-1</f>
        <v>46698</v>
      </c>
      <c r="E925" s="15" t="s">
        <v>272</v>
      </c>
      <c r="F925" s="8" t="str">
        <f aca="false">IFERROR(INDEX(CADASTRO_PIVOS!$C$6:$C$41,MATCH($E925,CADASTRO_PIVOS!$B$6:$B$41,0)),"?")</f>
        <v>RM05</v>
      </c>
      <c r="G925" s="8" t="str">
        <f aca="false">IFERROR(INDEX(CADASTRO_PIVOS!$D$6:$D$41,MATCH($E925,CADASTRO_PIVOS!$B$6:$B$41,0)),"?")</f>
        <v>TR05</v>
      </c>
      <c r="H925" s="20" t="n">
        <f aca="false">IFERROR(INDEX(CADASTRO_PIVOS!$E$6:$E$41,MATCH($E925,CADASTRO_PIVOS!$B$6:$B$41,0)),0)</f>
        <v>149.94</v>
      </c>
      <c r="I925" s="16" t="n">
        <f aca="false">IFERROR(SUMIFS(ROTACAO_RDM!$B$6:$B$71,ROTACAO_RDM!$D$6:$D$71,$E925,ROTACAO_RDM!$I$6:$I$71,"&lt;="&amp;$C925+INT(DIAS_POR_SEMANA/2),ROTACAO_RDM!$J$6:$J$71,"&gt;="&amp;$C925+INT(DIAS_POR_SEMANA/2)),0)</f>
        <v>0</v>
      </c>
      <c r="J925" s="16" t="n">
        <f aca="false">IFERROR(MATCH($I925,ROTACAO_RDM!$B$6:$B$71,0),0)</f>
        <v>0</v>
      </c>
      <c r="K925" s="8" t="str">
        <f aca="false">IF($J925=0,"SEM CULTURA",INDEX(ROTACAO_RDM!$F$6:$F$71,$J925))</f>
        <v>SEM CULTURA</v>
      </c>
      <c r="L925" s="8" t="str">
        <f aca="false">IF($J925=0,"",INDEX(ROTACAO_RDM!$G$6:$G$71,$J925))</f>
        <v/>
      </c>
      <c r="M925" s="17" t="str">
        <f aca="false">IF($J925=0,"",INDEX(ROTACAO_RDM!$I$6:$I$71,$J925))</f>
        <v/>
      </c>
      <c r="N925" s="16" t="n">
        <f aca="false">IF($J925=0,0,MAX(0,$C925+INT(DIAS_POR_SEMANA/2)-INDEX(ROTACAO_RDM!$I$6:$I$71,$J925)))</f>
        <v>0</v>
      </c>
      <c r="O925" s="19" t="n">
        <f aca="false">IF($J925=0,0,MIN(1,$N925/MAX(1,INDEX(ROTACAO_RDM!$K$6:$K$71,$J925))))</f>
        <v>0</v>
      </c>
      <c r="P925" s="16" t="n">
        <f aca="false">IF($J925=0,0,IFERROR(MATCH(INDEX(ROTACAO_RDM!$N$6:$N$71,$J925),PARAMETROS_CULTURAS!$B$6:$B$28,0),0))</f>
        <v>0</v>
      </c>
      <c r="Q925" s="8" t="str">
        <f aca="false">IF($P925=0,"-",IF($O925&lt;=INDEX(PARAMETROS_CULTURAS!$F$6:$F$28,$P925),"INICIAL",IF($O925&lt;=INDEX(PARAMETROS_CULTURAS!$F$6:$F$28,$P925)+INDEX(PARAMETROS_CULTURAS!$G$6:$G$28,$P925),"DESENVOLVIMENTO",IF($O925&lt;=INDEX(PARAMETROS_CULTURAS!$F$6:$F$28,$P925)+INDEX(PARAMETROS_CULTURAS!$G$6:$G$28,$P925)+INDEX(PARAMETROS_CULTURAS!$H$6:$H$28,$P925),"MEDIA","FINAL"))))</f>
        <v>-</v>
      </c>
      <c r="R925" s="24" t="n">
        <f aca="false">IF($P925=0,0,IF($O925&lt;=INDEX(PARAMETROS_CULTURAS!$F$6:$F$28,$P925),INDEX(PARAMETROS_CULTURAS!$K$6:$K$28,$P925),IF($O925&lt;=INDEX(PARAMETROS_CULTURAS!$F$6:$F$28,$P925)+INDEX(PARAMETROS_CULTURAS!$G$6:$G$28,$P925),INDEX(PARAMETROS_CULTURAS!$K$6:$K$28,$P925)+(INDEX(PARAMETROS_CULTURAS!$L$6:$L$28,$P925)-INDEX(PARAMETROS_CULTURAS!$K$6:$K$28,$P925))*($O925-INDEX(PARAMETROS_CULTURAS!$F$6:$F$28,$P925))/MAX(INDEX(PARAMETROS_CULTURAS!$G$6:$G$28,$P925),0.0001),IF($O925&lt;=INDEX(PARAMETROS_CULTURAS!$F$6:$F$28,$P925)+INDEX(PARAMETROS_CULTURAS!$G$6:$G$28,$P925)+INDEX(PARAMETROS_CULTURAS!$H$6:$H$28,$P925),INDEX(PARAMETROS_CULTURAS!$L$6:$L$28,$P925),INDEX(PARAMETROS_CULTURAS!$L$6:$L$28,$P925)+(INDEX(PARAMETROS_CULTURAS!$M$6:$M$28,$P925)-INDEX(PARAMETROS_CULTURAS!$L$6:$L$28,$P925))*($O925-INDEX(PARAMETROS_CULTURAS!$F$6:$F$28,$P925)-INDEX(PARAMETROS_CULTURAS!$G$6:$G$28,$P925)-INDEX(PARAMETROS_CULTURAS!$H$6:$H$28,$P925))/MAX(INDEX(PARAMETROS_CULTURAS!$I$6:$I$28,$P925),0.0001)))))</f>
        <v>0</v>
      </c>
      <c r="S925" s="18" t="n">
        <f aca="false">IFERROR(INDEX(SEMANAS!$H$6:$H$71,MATCH($B925,SEMANAS!$B$6:$B$71,0)),0)</f>
        <v>34.3</v>
      </c>
      <c r="T925" s="18" t="n">
        <f aca="false">$R925*$S925</f>
        <v>0</v>
      </c>
      <c r="U925" s="18" t="n">
        <f aca="false">IFERROR(INDEX(SEMANAS!$I$6:$I$71,MATCH($B925,SEMANAS!$B$6:$B$71,0)),0)</f>
        <v>46.69</v>
      </c>
      <c r="V925" s="18" t="n">
        <f aca="false">IFERROR(INDEX(SEMANAS!$J$6:$J$71,MATCH($B925,SEMANAS!$B$6:$B$71,0)),0)</f>
        <v>37.352</v>
      </c>
      <c r="W925" s="18" t="n">
        <f aca="false">MAX(0,$T925-$V925)</f>
        <v>0</v>
      </c>
      <c r="X925" s="19" t="n">
        <f aca="false">IFERROR(INDEX(CADASTRO_PIVOS!$K$6:$K$41,MATCH($E925,CADASTRO_PIVOS!$B$6:$B$41,0)),EFICIENCIA_PADRAO)</f>
        <v>0.85</v>
      </c>
      <c r="Y925" s="18" t="n">
        <f aca="false">IF($X925&lt;=0,0,$W925/$X925)</f>
        <v>0</v>
      </c>
      <c r="Z925" s="16" t="n">
        <f aca="false">$Y925*$H925*MM_PARA_M3_HA</f>
        <v>0</v>
      </c>
      <c r="AA925" s="18" t="n">
        <f aca="false">IFERROR(INDEX(CADASTRO_PIVOS!$I$6:$I$41,MATCH($E925,CADASTRO_PIVOS!$B$6:$B$41,0)),0)</f>
        <v>928.2</v>
      </c>
      <c r="AB925" s="18" t="n">
        <f aca="false">IF($Z925&lt;=0,0,$Z925/$AA925)</f>
        <v>0</v>
      </c>
      <c r="AC925" s="16" t="n">
        <f aca="false">IFERROR(INDEX(SEMANAS!$K$6:$K$71,MATCH($B925,SEMANAS!$B$6:$B$71,0)),0)</f>
        <v>147</v>
      </c>
      <c r="AD925" s="19" t="n">
        <f aca="false">IF($AC925&lt;=0,0,$AB925/$AC925)</f>
        <v>0</v>
      </c>
      <c r="AE925" s="8" t="str">
        <f aca="false">IF($K925="SEM CULTURA","SEM CULTURA",IF($AA925&lt;=0,"DADO PENDENTE",IF($AD925&gt;LIMITE_CRITICO,"INVIAVEL",IF($AD925&gt;LIMITE_ATENCAO,"CRITICO",IF($AD925&gt;LIMITE_CONFORTAVEL,"ATENCAO","OK")))))</f>
        <v>SEM CULTURA</v>
      </c>
      <c r="AF925" s="8" t="str">
        <f aca="false">$B925&amp;"|"&amp;TEXT($AD925,"0.000000")</f>
        <v>62|0.000000</v>
      </c>
      <c r="AG925" s="18" t="n">
        <f aca="false">IF($K925="SEM CULTURA",0,$T925*$H925)</f>
        <v>0</v>
      </c>
      <c r="AH925" s="18" t="n">
        <f aca="false">IF($K925="SEM CULTURA",0,$V925*$H925)</f>
        <v>0</v>
      </c>
      <c r="AI925" s="18" t="n">
        <f aca="false">IF($K925="SEM CULTURA",0,$W925*$H925)</f>
        <v>0</v>
      </c>
      <c r="AJ925" s="18" t="n">
        <f aca="false">IF($K925="SEM CULTURA",0,$S925*$H925)</f>
        <v>0</v>
      </c>
      <c r="AK925" s="8" t="str">
        <f aca="false">$E925&amp;"|"&amp;TEXT($AD925,"0.000000")</f>
        <v>PV 115|0.000000</v>
      </c>
    </row>
    <row r="926" customFormat="false" ht="15" hidden="false" customHeight="false" outlineLevel="0" collapsed="false">
      <c r="B926" s="16" t="n">
        <v>63</v>
      </c>
      <c r="C926" s="17" t="n">
        <f aca="false">DATA_INICIO_SAFRA+($B926-1)*DIAS_POR_SEMANA</f>
        <v>46699</v>
      </c>
      <c r="D926" s="17" t="n">
        <f aca="false">$C926+DIAS_POR_SEMANA-1</f>
        <v>46705</v>
      </c>
      <c r="E926" s="15" t="s">
        <v>272</v>
      </c>
      <c r="F926" s="8" t="str">
        <f aca="false">IFERROR(INDEX(CADASTRO_PIVOS!$C$6:$C$41,MATCH($E926,CADASTRO_PIVOS!$B$6:$B$41,0)),"?")</f>
        <v>RM05</v>
      </c>
      <c r="G926" s="8" t="str">
        <f aca="false">IFERROR(INDEX(CADASTRO_PIVOS!$D$6:$D$41,MATCH($E926,CADASTRO_PIVOS!$B$6:$B$41,0)),"?")</f>
        <v>TR05</v>
      </c>
      <c r="H926" s="20" t="n">
        <f aca="false">IFERROR(INDEX(CADASTRO_PIVOS!$E$6:$E$41,MATCH($E926,CADASTRO_PIVOS!$B$6:$B$41,0)),0)</f>
        <v>149.94</v>
      </c>
      <c r="I926" s="16" t="n">
        <f aca="false">IFERROR(SUMIFS(ROTACAO_RDM!$B$6:$B$71,ROTACAO_RDM!$D$6:$D$71,$E926,ROTACAO_RDM!$I$6:$I$71,"&lt;="&amp;$C926+INT(DIAS_POR_SEMANA/2),ROTACAO_RDM!$J$6:$J$71,"&gt;="&amp;$C926+INT(DIAS_POR_SEMANA/2)),0)</f>
        <v>0</v>
      </c>
      <c r="J926" s="16" t="n">
        <f aca="false">IFERROR(MATCH($I926,ROTACAO_RDM!$B$6:$B$71,0),0)</f>
        <v>0</v>
      </c>
      <c r="K926" s="8" t="str">
        <f aca="false">IF($J926=0,"SEM CULTURA",INDEX(ROTACAO_RDM!$F$6:$F$71,$J926))</f>
        <v>SEM CULTURA</v>
      </c>
      <c r="L926" s="8" t="str">
        <f aca="false">IF($J926=0,"",INDEX(ROTACAO_RDM!$G$6:$G$71,$J926))</f>
        <v/>
      </c>
      <c r="M926" s="17" t="str">
        <f aca="false">IF($J926=0,"",INDEX(ROTACAO_RDM!$I$6:$I$71,$J926))</f>
        <v/>
      </c>
      <c r="N926" s="16" t="n">
        <f aca="false">IF($J926=0,0,MAX(0,$C926+INT(DIAS_POR_SEMANA/2)-INDEX(ROTACAO_RDM!$I$6:$I$71,$J926)))</f>
        <v>0</v>
      </c>
      <c r="O926" s="19" t="n">
        <f aca="false">IF($J926=0,0,MIN(1,$N926/MAX(1,INDEX(ROTACAO_RDM!$K$6:$K$71,$J926))))</f>
        <v>0</v>
      </c>
      <c r="P926" s="16" t="n">
        <f aca="false">IF($J926=0,0,IFERROR(MATCH(INDEX(ROTACAO_RDM!$N$6:$N$71,$J926),PARAMETROS_CULTURAS!$B$6:$B$28,0),0))</f>
        <v>0</v>
      </c>
      <c r="Q926" s="8" t="str">
        <f aca="false">IF($P926=0,"-",IF($O926&lt;=INDEX(PARAMETROS_CULTURAS!$F$6:$F$28,$P926),"INICIAL",IF($O926&lt;=INDEX(PARAMETROS_CULTURAS!$F$6:$F$28,$P926)+INDEX(PARAMETROS_CULTURAS!$G$6:$G$28,$P926),"DESENVOLVIMENTO",IF($O926&lt;=INDEX(PARAMETROS_CULTURAS!$F$6:$F$28,$P926)+INDEX(PARAMETROS_CULTURAS!$G$6:$G$28,$P926)+INDEX(PARAMETROS_CULTURAS!$H$6:$H$28,$P926),"MEDIA","FINAL"))))</f>
        <v>-</v>
      </c>
      <c r="R926" s="24" t="n">
        <f aca="false">IF($P926=0,0,IF($O926&lt;=INDEX(PARAMETROS_CULTURAS!$F$6:$F$28,$P926),INDEX(PARAMETROS_CULTURAS!$K$6:$K$28,$P926),IF($O926&lt;=INDEX(PARAMETROS_CULTURAS!$F$6:$F$28,$P926)+INDEX(PARAMETROS_CULTURAS!$G$6:$G$28,$P926),INDEX(PARAMETROS_CULTURAS!$K$6:$K$28,$P926)+(INDEX(PARAMETROS_CULTURAS!$L$6:$L$28,$P926)-INDEX(PARAMETROS_CULTURAS!$K$6:$K$28,$P926))*($O926-INDEX(PARAMETROS_CULTURAS!$F$6:$F$28,$P926))/MAX(INDEX(PARAMETROS_CULTURAS!$G$6:$G$28,$P926),0.0001),IF($O926&lt;=INDEX(PARAMETROS_CULTURAS!$F$6:$F$28,$P926)+INDEX(PARAMETROS_CULTURAS!$G$6:$G$28,$P926)+INDEX(PARAMETROS_CULTURAS!$H$6:$H$28,$P926),INDEX(PARAMETROS_CULTURAS!$L$6:$L$28,$P926),INDEX(PARAMETROS_CULTURAS!$L$6:$L$28,$P926)+(INDEX(PARAMETROS_CULTURAS!$M$6:$M$28,$P926)-INDEX(PARAMETROS_CULTURAS!$L$6:$L$28,$P926))*($O926-INDEX(PARAMETROS_CULTURAS!$F$6:$F$28,$P926)-INDEX(PARAMETROS_CULTURAS!$G$6:$G$28,$P926)-INDEX(PARAMETROS_CULTURAS!$H$6:$H$28,$P926))/MAX(INDEX(PARAMETROS_CULTURAS!$I$6:$I$28,$P926),0.0001)))))</f>
        <v>0</v>
      </c>
      <c r="S926" s="18" t="n">
        <f aca="false">IFERROR(INDEX(SEMANAS!$H$6:$H$71,MATCH($B926,SEMANAS!$B$6:$B$71,0)),0)</f>
        <v>34.3</v>
      </c>
      <c r="T926" s="18" t="n">
        <f aca="false">$R926*$S926</f>
        <v>0</v>
      </c>
      <c r="U926" s="18" t="n">
        <f aca="false">IFERROR(INDEX(SEMANAS!$I$6:$I$71,MATCH($B926,SEMANAS!$B$6:$B$71,0)),0)</f>
        <v>46.69</v>
      </c>
      <c r="V926" s="18" t="n">
        <f aca="false">IFERROR(INDEX(SEMANAS!$J$6:$J$71,MATCH($B926,SEMANAS!$B$6:$B$71,0)),0)</f>
        <v>37.352</v>
      </c>
      <c r="W926" s="18" t="n">
        <f aca="false">MAX(0,$T926-$V926)</f>
        <v>0</v>
      </c>
      <c r="X926" s="19" t="n">
        <f aca="false">IFERROR(INDEX(CADASTRO_PIVOS!$K$6:$K$41,MATCH($E926,CADASTRO_PIVOS!$B$6:$B$41,0)),EFICIENCIA_PADRAO)</f>
        <v>0.85</v>
      </c>
      <c r="Y926" s="18" t="n">
        <f aca="false">IF($X926&lt;=0,0,$W926/$X926)</f>
        <v>0</v>
      </c>
      <c r="Z926" s="16" t="n">
        <f aca="false">$Y926*$H926*MM_PARA_M3_HA</f>
        <v>0</v>
      </c>
      <c r="AA926" s="18" t="n">
        <f aca="false">IFERROR(INDEX(CADASTRO_PIVOS!$I$6:$I$41,MATCH($E926,CADASTRO_PIVOS!$B$6:$B$41,0)),0)</f>
        <v>928.2</v>
      </c>
      <c r="AB926" s="18" t="n">
        <f aca="false">IF($Z926&lt;=0,0,$Z926/$AA926)</f>
        <v>0</v>
      </c>
      <c r="AC926" s="16" t="n">
        <f aca="false">IFERROR(INDEX(SEMANAS!$K$6:$K$71,MATCH($B926,SEMANAS!$B$6:$B$71,0)),0)</f>
        <v>147</v>
      </c>
      <c r="AD926" s="19" t="n">
        <f aca="false">IF($AC926&lt;=0,0,$AB926/$AC926)</f>
        <v>0</v>
      </c>
      <c r="AE926" s="8" t="str">
        <f aca="false">IF($K926="SEM CULTURA","SEM CULTURA",IF($AA926&lt;=0,"DADO PENDENTE",IF($AD926&gt;LIMITE_CRITICO,"INVIAVEL",IF($AD926&gt;LIMITE_ATENCAO,"CRITICO",IF($AD926&gt;LIMITE_CONFORTAVEL,"ATENCAO","OK")))))</f>
        <v>SEM CULTURA</v>
      </c>
      <c r="AF926" s="8" t="str">
        <f aca="false">$B926&amp;"|"&amp;TEXT($AD926,"0.000000")</f>
        <v>63|0.000000</v>
      </c>
      <c r="AG926" s="18" t="n">
        <f aca="false">IF($K926="SEM CULTURA",0,$T926*$H926)</f>
        <v>0</v>
      </c>
      <c r="AH926" s="18" t="n">
        <f aca="false">IF($K926="SEM CULTURA",0,$V926*$H926)</f>
        <v>0</v>
      </c>
      <c r="AI926" s="18" t="n">
        <f aca="false">IF($K926="SEM CULTURA",0,$W926*$H926)</f>
        <v>0</v>
      </c>
      <c r="AJ926" s="18" t="n">
        <f aca="false">IF($K926="SEM CULTURA",0,$S926*$H926)</f>
        <v>0</v>
      </c>
      <c r="AK926" s="8" t="str">
        <f aca="false">$E926&amp;"|"&amp;TEXT($AD926,"0.000000")</f>
        <v>PV 115|0.000000</v>
      </c>
    </row>
    <row r="927" customFormat="false" ht="15" hidden="false" customHeight="false" outlineLevel="0" collapsed="false">
      <c r="B927" s="16" t="n">
        <v>64</v>
      </c>
      <c r="C927" s="17" t="n">
        <f aca="false">DATA_INICIO_SAFRA+($B927-1)*DIAS_POR_SEMANA</f>
        <v>46706</v>
      </c>
      <c r="D927" s="17" t="n">
        <f aca="false">$C927+DIAS_POR_SEMANA-1</f>
        <v>46712</v>
      </c>
      <c r="E927" s="15" t="s">
        <v>272</v>
      </c>
      <c r="F927" s="8" t="str">
        <f aca="false">IFERROR(INDEX(CADASTRO_PIVOS!$C$6:$C$41,MATCH($E927,CADASTRO_PIVOS!$B$6:$B$41,0)),"?")</f>
        <v>RM05</v>
      </c>
      <c r="G927" s="8" t="str">
        <f aca="false">IFERROR(INDEX(CADASTRO_PIVOS!$D$6:$D$41,MATCH($E927,CADASTRO_PIVOS!$B$6:$B$41,0)),"?")</f>
        <v>TR05</v>
      </c>
      <c r="H927" s="20" t="n">
        <f aca="false">IFERROR(INDEX(CADASTRO_PIVOS!$E$6:$E$41,MATCH($E927,CADASTRO_PIVOS!$B$6:$B$41,0)),0)</f>
        <v>149.94</v>
      </c>
      <c r="I927" s="16" t="n">
        <f aca="false">IFERROR(SUMIFS(ROTACAO_RDM!$B$6:$B$71,ROTACAO_RDM!$D$6:$D$71,$E927,ROTACAO_RDM!$I$6:$I$71,"&lt;="&amp;$C927+INT(DIAS_POR_SEMANA/2),ROTACAO_RDM!$J$6:$J$71,"&gt;="&amp;$C927+INT(DIAS_POR_SEMANA/2)),0)</f>
        <v>0</v>
      </c>
      <c r="J927" s="16" t="n">
        <f aca="false">IFERROR(MATCH($I927,ROTACAO_RDM!$B$6:$B$71,0),0)</f>
        <v>0</v>
      </c>
      <c r="K927" s="8" t="str">
        <f aca="false">IF($J927=0,"SEM CULTURA",INDEX(ROTACAO_RDM!$F$6:$F$71,$J927))</f>
        <v>SEM CULTURA</v>
      </c>
      <c r="L927" s="8" t="str">
        <f aca="false">IF($J927=0,"",INDEX(ROTACAO_RDM!$G$6:$G$71,$J927))</f>
        <v/>
      </c>
      <c r="M927" s="17" t="str">
        <f aca="false">IF($J927=0,"",INDEX(ROTACAO_RDM!$I$6:$I$71,$J927))</f>
        <v/>
      </c>
      <c r="N927" s="16" t="n">
        <f aca="false">IF($J927=0,0,MAX(0,$C927+INT(DIAS_POR_SEMANA/2)-INDEX(ROTACAO_RDM!$I$6:$I$71,$J927)))</f>
        <v>0</v>
      </c>
      <c r="O927" s="19" t="n">
        <f aca="false">IF($J927=0,0,MIN(1,$N927/MAX(1,INDEX(ROTACAO_RDM!$K$6:$K$71,$J927))))</f>
        <v>0</v>
      </c>
      <c r="P927" s="16" t="n">
        <f aca="false">IF($J927=0,0,IFERROR(MATCH(INDEX(ROTACAO_RDM!$N$6:$N$71,$J927),PARAMETROS_CULTURAS!$B$6:$B$28,0),0))</f>
        <v>0</v>
      </c>
      <c r="Q927" s="8" t="str">
        <f aca="false">IF($P927=0,"-",IF($O927&lt;=INDEX(PARAMETROS_CULTURAS!$F$6:$F$28,$P927),"INICIAL",IF($O927&lt;=INDEX(PARAMETROS_CULTURAS!$F$6:$F$28,$P927)+INDEX(PARAMETROS_CULTURAS!$G$6:$G$28,$P927),"DESENVOLVIMENTO",IF($O927&lt;=INDEX(PARAMETROS_CULTURAS!$F$6:$F$28,$P927)+INDEX(PARAMETROS_CULTURAS!$G$6:$G$28,$P927)+INDEX(PARAMETROS_CULTURAS!$H$6:$H$28,$P927),"MEDIA","FINAL"))))</f>
        <v>-</v>
      </c>
      <c r="R927" s="24" t="n">
        <f aca="false">IF($P927=0,0,IF($O927&lt;=INDEX(PARAMETROS_CULTURAS!$F$6:$F$28,$P927),INDEX(PARAMETROS_CULTURAS!$K$6:$K$28,$P927),IF($O927&lt;=INDEX(PARAMETROS_CULTURAS!$F$6:$F$28,$P927)+INDEX(PARAMETROS_CULTURAS!$G$6:$G$28,$P927),INDEX(PARAMETROS_CULTURAS!$K$6:$K$28,$P927)+(INDEX(PARAMETROS_CULTURAS!$L$6:$L$28,$P927)-INDEX(PARAMETROS_CULTURAS!$K$6:$K$28,$P927))*($O927-INDEX(PARAMETROS_CULTURAS!$F$6:$F$28,$P927))/MAX(INDEX(PARAMETROS_CULTURAS!$G$6:$G$28,$P927),0.0001),IF($O927&lt;=INDEX(PARAMETROS_CULTURAS!$F$6:$F$28,$P927)+INDEX(PARAMETROS_CULTURAS!$G$6:$G$28,$P927)+INDEX(PARAMETROS_CULTURAS!$H$6:$H$28,$P927),INDEX(PARAMETROS_CULTURAS!$L$6:$L$28,$P927),INDEX(PARAMETROS_CULTURAS!$L$6:$L$28,$P927)+(INDEX(PARAMETROS_CULTURAS!$M$6:$M$28,$P927)-INDEX(PARAMETROS_CULTURAS!$L$6:$L$28,$P927))*($O927-INDEX(PARAMETROS_CULTURAS!$F$6:$F$28,$P927)-INDEX(PARAMETROS_CULTURAS!$G$6:$G$28,$P927)-INDEX(PARAMETROS_CULTURAS!$H$6:$H$28,$P927))/MAX(INDEX(PARAMETROS_CULTURAS!$I$6:$I$28,$P927),0.0001)))))</f>
        <v>0</v>
      </c>
      <c r="S927" s="18" t="n">
        <f aca="false">IFERROR(INDEX(SEMANAS!$H$6:$H$71,MATCH($B927,SEMANAS!$B$6:$B$71,0)),0)</f>
        <v>34.3</v>
      </c>
      <c r="T927" s="18" t="n">
        <f aca="false">$R927*$S927</f>
        <v>0</v>
      </c>
      <c r="U927" s="18" t="n">
        <f aca="false">IFERROR(INDEX(SEMANAS!$I$6:$I$71,MATCH($B927,SEMANAS!$B$6:$B$71,0)),0)</f>
        <v>46.69</v>
      </c>
      <c r="V927" s="18" t="n">
        <f aca="false">IFERROR(INDEX(SEMANAS!$J$6:$J$71,MATCH($B927,SEMANAS!$B$6:$B$71,0)),0)</f>
        <v>37.352</v>
      </c>
      <c r="W927" s="18" t="n">
        <f aca="false">MAX(0,$T927-$V927)</f>
        <v>0</v>
      </c>
      <c r="X927" s="19" t="n">
        <f aca="false">IFERROR(INDEX(CADASTRO_PIVOS!$K$6:$K$41,MATCH($E927,CADASTRO_PIVOS!$B$6:$B$41,0)),EFICIENCIA_PADRAO)</f>
        <v>0.85</v>
      </c>
      <c r="Y927" s="18" t="n">
        <f aca="false">IF($X927&lt;=0,0,$W927/$X927)</f>
        <v>0</v>
      </c>
      <c r="Z927" s="16" t="n">
        <f aca="false">$Y927*$H927*MM_PARA_M3_HA</f>
        <v>0</v>
      </c>
      <c r="AA927" s="18" t="n">
        <f aca="false">IFERROR(INDEX(CADASTRO_PIVOS!$I$6:$I$41,MATCH($E927,CADASTRO_PIVOS!$B$6:$B$41,0)),0)</f>
        <v>928.2</v>
      </c>
      <c r="AB927" s="18" t="n">
        <f aca="false">IF($Z927&lt;=0,0,$Z927/$AA927)</f>
        <v>0</v>
      </c>
      <c r="AC927" s="16" t="n">
        <f aca="false">IFERROR(INDEX(SEMANAS!$K$6:$K$71,MATCH($B927,SEMANAS!$B$6:$B$71,0)),0)</f>
        <v>147</v>
      </c>
      <c r="AD927" s="19" t="n">
        <f aca="false">IF($AC927&lt;=0,0,$AB927/$AC927)</f>
        <v>0</v>
      </c>
      <c r="AE927" s="8" t="str">
        <f aca="false">IF($K927="SEM CULTURA","SEM CULTURA",IF($AA927&lt;=0,"DADO PENDENTE",IF($AD927&gt;LIMITE_CRITICO,"INVIAVEL",IF($AD927&gt;LIMITE_ATENCAO,"CRITICO",IF($AD927&gt;LIMITE_CONFORTAVEL,"ATENCAO","OK")))))</f>
        <v>SEM CULTURA</v>
      </c>
      <c r="AF927" s="8" t="str">
        <f aca="false">$B927&amp;"|"&amp;TEXT($AD927,"0.000000")</f>
        <v>64|0.000000</v>
      </c>
      <c r="AG927" s="18" t="n">
        <f aca="false">IF($K927="SEM CULTURA",0,$T927*$H927)</f>
        <v>0</v>
      </c>
      <c r="AH927" s="18" t="n">
        <f aca="false">IF($K927="SEM CULTURA",0,$V927*$H927)</f>
        <v>0</v>
      </c>
      <c r="AI927" s="18" t="n">
        <f aca="false">IF($K927="SEM CULTURA",0,$W927*$H927)</f>
        <v>0</v>
      </c>
      <c r="AJ927" s="18" t="n">
        <f aca="false">IF($K927="SEM CULTURA",0,$S927*$H927)</f>
        <v>0</v>
      </c>
      <c r="AK927" s="8" t="str">
        <f aca="false">$E927&amp;"|"&amp;TEXT($AD927,"0.000000")</f>
        <v>PV 115|0.000000</v>
      </c>
    </row>
    <row r="928" customFormat="false" ht="15" hidden="false" customHeight="false" outlineLevel="0" collapsed="false">
      <c r="B928" s="16" t="n">
        <v>65</v>
      </c>
      <c r="C928" s="17" t="n">
        <f aca="false">DATA_INICIO_SAFRA+($B928-1)*DIAS_POR_SEMANA</f>
        <v>46713</v>
      </c>
      <c r="D928" s="17" t="n">
        <f aca="false">$C928+DIAS_POR_SEMANA-1</f>
        <v>46719</v>
      </c>
      <c r="E928" s="15" t="s">
        <v>272</v>
      </c>
      <c r="F928" s="8" t="str">
        <f aca="false">IFERROR(INDEX(CADASTRO_PIVOS!$C$6:$C$41,MATCH($E928,CADASTRO_PIVOS!$B$6:$B$41,0)),"?")</f>
        <v>RM05</v>
      </c>
      <c r="G928" s="8" t="str">
        <f aca="false">IFERROR(INDEX(CADASTRO_PIVOS!$D$6:$D$41,MATCH($E928,CADASTRO_PIVOS!$B$6:$B$41,0)),"?")</f>
        <v>TR05</v>
      </c>
      <c r="H928" s="20" t="n">
        <f aca="false">IFERROR(INDEX(CADASTRO_PIVOS!$E$6:$E$41,MATCH($E928,CADASTRO_PIVOS!$B$6:$B$41,0)),0)</f>
        <v>149.94</v>
      </c>
      <c r="I928" s="16" t="n">
        <f aca="false">IFERROR(SUMIFS(ROTACAO_RDM!$B$6:$B$71,ROTACAO_RDM!$D$6:$D$71,$E928,ROTACAO_RDM!$I$6:$I$71,"&lt;="&amp;$C928+INT(DIAS_POR_SEMANA/2),ROTACAO_RDM!$J$6:$J$71,"&gt;="&amp;$C928+INT(DIAS_POR_SEMANA/2)),0)</f>
        <v>0</v>
      </c>
      <c r="J928" s="16" t="n">
        <f aca="false">IFERROR(MATCH($I928,ROTACAO_RDM!$B$6:$B$71,0),0)</f>
        <v>0</v>
      </c>
      <c r="K928" s="8" t="str">
        <f aca="false">IF($J928=0,"SEM CULTURA",INDEX(ROTACAO_RDM!$F$6:$F$71,$J928))</f>
        <v>SEM CULTURA</v>
      </c>
      <c r="L928" s="8" t="str">
        <f aca="false">IF($J928=0,"",INDEX(ROTACAO_RDM!$G$6:$G$71,$J928))</f>
        <v/>
      </c>
      <c r="M928" s="17" t="str">
        <f aca="false">IF($J928=0,"",INDEX(ROTACAO_RDM!$I$6:$I$71,$J928))</f>
        <v/>
      </c>
      <c r="N928" s="16" t="n">
        <f aca="false">IF($J928=0,0,MAX(0,$C928+INT(DIAS_POR_SEMANA/2)-INDEX(ROTACAO_RDM!$I$6:$I$71,$J928)))</f>
        <v>0</v>
      </c>
      <c r="O928" s="19" t="n">
        <f aca="false">IF($J928=0,0,MIN(1,$N928/MAX(1,INDEX(ROTACAO_RDM!$K$6:$K$71,$J928))))</f>
        <v>0</v>
      </c>
      <c r="P928" s="16" t="n">
        <f aca="false">IF($J928=0,0,IFERROR(MATCH(INDEX(ROTACAO_RDM!$N$6:$N$71,$J928),PARAMETROS_CULTURAS!$B$6:$B$28,0),0))</f>
        <v>0</v>
      </c>
      <c r="Q928" s="8" t="str">
        <f aca="false">IF($P928=0,"-",IF($O928&lt;=INDEX(PARAMETROS_CULTURAS!$F$6:$F$28,$P928),"INICIAL",IF($O928&lt;=INDEX(PARAMETROS_CULTURAS!$F$6:$F$28,$P928)+INDEX(PARAMETROS_CULTURAS!$G$6:$G$28,$P928),"DESENVOLVIMENTO",IF($O928&lt;=INDEX(PARAMETROS_CULTURAS!$F$6:$F$28,$P928)+INDEX(PARAMETROS_CULTURAS!$G$6:$G$28,$P928)+INDEX(PARAMETROS_CULTURAS!$H$6:$H$28,$P928),"MEDIA","FINAL"))))</f>
        <v>-</v>
      </c>
      <c r="R928" s="24" t="n">
        <f aca="false">IF($P928=0,0,IF($O928&lt;=INDEX(PARAMETROS_CULTURAS!$F$6:$F$28,$P928),INDEX(PARAMETROS_CULTURAS!$K$6:$K$28,$P928),IF($O928&lt;=INDEX(PARAMETROS_CULTURAS!$F$6:$F$28,$P928)+INDEX(PARAMETROS_CULTURAS!$G$6:$G$28,$P928),INDEX(PARAMETROS_CULTURAS!$K$6:$K$28,$P928)+(INDEX(PARAMETROS_CULTURAS!$L$6:$L$28,$P928)-INDEX(PARAMETROS_CULTURAS!$K$6:$K$28,$P928))*($O928-INDEX(PARAMETROS_CULTURAS!$F$6:$F$28,$P928))/MAX(INDEX(PARAMETROS_CULTURAS!$G$6:$G$28,$P928),0.0001),IF($O928&lt;=INDEX(PARAMETROS_CULTURAS!$F$6:$F$28,$P928)+INDEX(PARAMETROS_CULTURAS!$G$6:$G$28,$P928)+INDEX(PARAMETROS_CULTURAS!$H$6:$H$28,$P928),INDEX(PARAMETROS_CULTURAS!$L$6:$L$28,$P928),INDEX(PARAMETROS_CULTURAS!$L$6:$L$28,$P928)+(INDEX(PARAMETROS_CULTURAS!$M$6:$M$28,$P928)-INDEX(PARAMETROS_CULTURAS!$L$6:$L$28,$P928))*($O928-INDEX(PARAMETROS_CULTURAS!$F$6:$F$28,$P928)-INDEX(PARAMETROS_CULTURAS!$G$6:$G$28,$P928)-INDEX(PARAMETROS_CULTURAS!$H$6:$H$28,$P928))/MAX(INDEX(PARAMETROS_CULTURAS!$I$6:$I$28,$P928),0.0001)))))</f>
        <v>0</v>
      </c>
      <c r="S928" s="18" t="n">
        <f aca="false">IFERROR(INDEX(SEMANAS!$H$6:$H$71,MATCH($B928,SEMANAS!$B$6:$B$71,0)),0)</f>
        <v>34.3</v>
      </c>
      <c r="T928" s="18" t="n">
        <f aca="false">$R928*$S928</f>
        <v>0</v>
      </c>
      <c r="U928" s="18" t="n">
        <f aca="false">IFERROR(INDEX(SEMANAS!$I$6:$I$71,MATCH($B928,SEMANAS!$B$6:$B$71,0)),0)</f>
        <v>46.69</v>
      </c>
      <c r="V928" s="18" t="n">
        <f aca="false">IFERROR(INDEX(SEMANAS!$J$6:$J$71,MATCH($B928,SEMANAS!$B$6:$B$71,0)),0)</f>
        <v>37.352</v>
      </c>
      <c r="W928" s="18" t="n">
        <f aca="false">MAX(0,$T928-$V928)</f>
        <v>0</v>
      </c>
      <c r="X928" s="19" t="n">
        <f aca="false">IFERROR(INDEX(CADASTRO_PIVOS!$K$6:$K$41,MATCH($E928,CADASTRO_PIVOS!$B$6:$B$41,0)),EFICIENCIA_PADRAO)</f>
        <v>0.85</v>
      </c>
      <c r="Y928" s="18" t="n">
        <f aca="false">IF($X928&lt;=0,0,$W928/$X928)</f>
        <v>0</v>
      </c>
      <c r="Z928" s="16" t="n">
        <f aca="false">$Y928*$H928*MM_PARA_M3_HA</f>
        <v>0</v>
      </c>
      <c r="AA928" s="18" t="n">
        <f aca="false">IFERROR(INDEX(CADASTRO_PIVOS!$I$6:$I$41,MATCH($E928,CADASTRO_PIVOS!$B$6:$B$41,0)),0)</f>
        <v>928.2</v>
      </c>
      <c r="AB928" s="18" t="n">
        <f aca="false">IF($Z928&lt;=0,0,$Z928/$AA928)</f>
        <v>0</v>
      </c>
      <c r="AC928" s="16" t="n">
        <f aca="false">IFERROR(INDEX(SEMANAS!$K$6:$K$71,MATCH($B928,SEMANAS!$B$6:$B$71,0)),0)</f>
        <v>147</v>
      </c>
      <c r="AD928" s="19" t="n">
        <f aca="false">IF($AC928&lt;=0,0,$AB928/$AC928)</f>
        <v>0</v>
      </c>
      <c r="AE928" s="8" t="str">
        <f aca="false">IF($K928="SEM CULTURA","SEM CULTURA",IF($AA928&lt;=0,"DADO PENDENTE",IF($AD928&gt;LIMITE_CRITICO,"INVIAVEL",IF($AD928&gt;LIMITE_ATENCAO,"CRITICO",IF($AD928&gt;LIMITE_CONFORTAVEL,"ATENCAO","OK")))))</f>
        <v>SEM CULTURA</v>
      </c>
      <c r="AF928" s="8" t="str">
        <f aca="false">$B928&amp;"|"&amp;TEXT($AD928,"0.000000")</f>
        <v>65|0.000000</v>
      </c>
      <c r="AG928" s="18" t="n">
        <f aca="false">IF($K928="SEM CULTURA",0,$T928*$H928)</f>
        <v>0</v>
      </c>
      <c r="AH928" s="18" t="n">
        <f aca="false">IF($K928="SEM CULTURA",0,$V928*$H928)</f>
        <v>0</v>
      </c>
      <c r="AI928" s="18" t="n">
        <f aca="false">IF($K928="SEM CULTURA",0,$W928*$H928)</f>
        <v>0</v>
      </c>
      <c r="AJ928" s="18" t="n">
        <f aca="false">IF($K928="SEM CULTURA",0,$S928*$H928)</f>
        <v>0</v>
      </c>
      <c r="AK928" s="8" t="str">
        <f aca="false">$E928&amp;"|"&amp;TEXT($AD928,"0.000000")</f>
        <v>PV 115|0.000000</v>
      </c>
    </row>
    <row r="929" customFormat="false" ht="15" hidden="false" customHeight="false" outlineLevel="0" collapsed="false">
      <c r="B929" s="16" t="n">
        <v>66</v>
      </c>
      <c r="C929" s="17" t="n">
        <f aca="false">DATA_INICIO_SAFRA+($B929-1)*DIAS_POR_SEMANA</f>
        <v>46720</v>
      </c>
      <c r="D929" s="17" t="n">
        <f aca="false">$C929+DIAS_POR_SEMANA-1</f>
        <v>46726</v>
      </c>
      <c r="E929" s="15" t="s">
        <v>272</v>
      </c>
      <c r="F929" s="8" t="str">
        <f aca="false">IFERROR(INDEX(CADASTRO_PIVOS!$C$6:$C$41,MATCH($E929,CADASTRO_PIVOS!$B$6:$B$41,0)),"?")</f>
        <v>RM05</v>
      </c>
      <c r="G929" s="8" t="str">
        <f aca="false">IFERROR(INDEX(CADASTRO_PIVOS!$D$6:$D$41,MATCH($E929,CADASTRO_PIVOS!$B$6:$B$41,0)),"?")</f>
        <v>TR05</v>
      </c>
      <c r="H929" s="20" t="n">
        <f aca="false">IFERROR(INDEX(CADASTRO_PIVOS!$E$6:$E$41,MATCH($E929,CADASTRO_PIVOS!$B$6:$B$41,0)),0)</f>
        <v>149.94</v>
      </c>
      <c r="I929" s="16" t="n">
        <f aca="false">IFERROR(SUMIFS(ROTACAO_RDM!$B$6:$B$71,ROTACAO_RDM!$D$6:$D$71,$E929,ROTACAO_RDM!$I$6:$I$71,"&lt;="&amp;$C929+INT(DIAS_POR_SEMANA/2),ROTACAO_RDM!$J$6:$J$71,"&gt;="&amp;$C929+INT(DIAS_POR_SEMANA/2)),0)</f>
        <v>0</v>
      </c>
      <c r="J929" s="16" t="n">
        <f aca="false">IFERROR(MATCH($I929,ROTACAO_RDM!$B$6:$B$71,0),0)</f>
        <v>0</v>
      </c>
      <c r="K929" s="8" t="str">
        <f aca="false">IF($J929=0,"SEM CULTURA",INDEX(ROTACAO_RDM!$F$6:$F$71,$J929))</f>
        <v>SEM CULTURA</v>
      </c>
      <c r="L929" s="8" t="str">
        <f aca="false">IF($J929=0,"",INDEX(ROTACAO_RDM!$G$6:$G$71,$J929))</f>
        <v/>
      </c>
      <c r="M929" s="17" t="str">
        <f aca="false">IF($J929=0,"",INDEX(ROTACAO_RDM!$I$6:$I$71,$J929))</f>
        <v/>
      </c>
      <c r="N929" s="16" t="n">
        <f aca="false">IF($J929=0,0,MAX(0,$C929+INT(DIAS_POR_SEMANA/2)-INDEX(ROTACAO_RDM!$I$6:$I$71,$J929)))</f>
        <v>0</v>
      </c>
      <c r="O929" s="19" t="n">
        <f aca="false">IF($J929=0,0,MIN(1,$N929/MAX(1,INDEX(ROTACAO_RDM!$K$6:$K$71,$J929))))</f>
        <v>0</v>
      </c>
      <c r="P929" s="16" t="n">
        <f aca="false">IF($J929=0,0,IFERROR(MATCH(INDEX(ROTACAO_RDM!$N$6:$N$71,$J929),PARAMETROS_CULTURAS!$B$6:$B$28,0),0))</f>
        <v>0</v>
      </c>
      <c r="Q929" s="8" t="str">
        <f aca="false">IF($P929=0,"-",IF($O929&lt;=INDEX(PARAMETROS_CULTURAS!$F$6:$F$28,$P929),"INICIAL",IF($O929&lt;=INDEX(PARAMETROS_CULTURAS!$F$6:$F$28,$P929)+INDEX(PARAMETROS_CULTURAS!$G$6:$G$28,$P929),"DESENVOLVIMENTO",IF($O929&lt;=INDEX(PARAMETROS_CULTURAS!$F$6:$F$28,$P929)+INDEX(PARAMETROS_CULTURAS!$G$6:$G$28,$P929)+INDEX(PARAMETROS_CULTURAS!$H$6:$H$28,$P929),"MEDIA","FINAL"))))</f>
        <v>-</v>
      </c>
      <c r="R929" s="24" t="n">
        <f aca="false">IF($P929=0,0,IF($O929&lt;=INDEX(PARAMETROS_CULTURAS!$F$6:$F$28,$P929),INDEX(PARAMETROS_CULTURAS!$K$6:$K$28,$P929),IF($O929&lt;=INDEX(PARAMETROS_CULTURAS!$F$6:$F$28,$P929)+INDEX(PARAMETROS_CULTURAS!$G$6:$G$28,$P929),INDEX(PARAMETROS_CULTURAS!$K$6:$K$28,$P929)+(INDEX(PARAMETROS_CULTURAS!$L$6:$L$28,$P929)-INDEX(PARAMETROS_CULTURAS!$K$6:$K$28,$P929))*($O929-INDEX(PARAMETROS_CULTURAS!$F$6:$F$28,$P929))/MAX(INDEX(PARAMETROS_CULTURAS!$G$6:$G$28,$P929),0.0001),IF($O929&lt;=INDEX(PARAMETROS_CULTURAS!$F$6:$F$28,$P929)+INDEX(PARAMETROS_CULTURAS!$G$6:$G$28,$P929)+INDEX(PARAMETROS_CULTURAS!$H$6:$H$28,$P929),INDEX(PARAMETROS_CULTURAS!$L$6:$L$28,$P929),INDEX(PARAMETROS_CULTURAS!$L$6:$L$28,$P929)+(INDEX(PARAMETROS_CULTURAS!$M$6:$M$28,$P929)-INDEX(PARAMETROS_CULTURAS!$L$6:$L$28,$P929))*($O929-INDEX(PARAMETROS_CULTURAS!$F$6:$F$28,$P929)-INDEX(PARAMETROS_CULTURAS!$G$6:$G$28,$P929)-INDEX(PARAMETROS_CULTURAS!$H$6:$H$28,$P929))/MAX(INDEX(PARAMETROS_CULTURAS!$I$6:$I$28,$P929),0.0001)))))</f>
        <v>0</v>
      </c>
      <c r="S929" s="18" t="n">
        <f aca="false">IFERROR(INDEX(SEMANAS!$H$6:$H$71,MATCH($B929,SEMANAS!$B$6:$B$71,0)),0)</f>
        <v>33.3</v>
      </c>
      <c r="T929" s="18" t="n">
        <f aca="false">$R929*$S929</f>
        <v>0</v>
      </c>
      <c r="U929" s="18" t="n">
        <f aca="false">IFERROR(INDEX(SEMANAS!$I$6:$I$71,MATCH($B929,SEMANAS!$B$6:$B$71,0)),0)</f>
        <v>48.04</v>
      </c>
      <c r="V929" s="18" t="n">
        <f aca="false">IFERROR(INDEX(SEMANAS!$J$6:$J$71,MATCH($B929,SEMANAS!$B$6:$B$71,0)),0)</f>
        <v>38.432</v>
      </c>
      <c r="W929" s="18" t="n">
        <f aca="false">MAX(0,$T929-$V929)</f>
        <v>0</v>
      </c>
      <c r="X929" s="19" t="n">
        <f aca="false">IFERROR(INDEX(CADASTRO_PIVOS!$K$6:$K$41,MATCH($E929,CADASTRO_PIVOS!$B$6:$B$41,0)),EFICIENCIA_PADRAO)</f>
        <v>0.85</v>
      </c>
      <c r="Y929" s="18" t="n">
        <f aca="false">IF($X929&lt;=0,0,$W929/$X929)</f>
        <v>0</v>
      </c>
      <c r="Z929" s="16" t="n">
        <f aca="false">$Y929*$H929*MM_PARA_M3_HA</f>
        <v>0</v>
      </c>
      <c r="AA929" s="18" t="n">
        <f aca="false">IFERROR(INDEX(CADASTRO_PIVOS!$I$6:$I$41,MATCH($E929,CADASTRO_PIVOS!$B$6:$B$41,0)),0)</f>
        <v>928.2</v>
      </c>
      <c r="AB929" s="18" t="n">
        <f aca="false">IF($Z929&lt;=0,0,$Z929/$AA929)</f>
        <v>0</v>
      </c>
      <c r="AC929" s="16" t="n">
        <f aca="false">IFERROR(INDEX(SEMANAS!$K$6:$K$71,MATCH($B929,SEMANAS!$B$6:$B$71,0)),0)</f>
        <v>147</v>
      </c>
      <c r="AD929" s="19" t="n">
        <f aca="false">IF($AC929&lt;=0,0,$AB929/$AC929)</f>
        <v>0</v>
      </c>
      <c r="AE929" s="8" t="str">
        <f aca="false">IF($K929="SEM CULTURA","SEM CULTURA",IF($AA929&lt;=0,"DADO PENDENTE",IF($AD929&gt;LIMITE_CRITICO,"INVIAVEL",IF($AD929&gt;LIMITE_ATENCAO,"CRITICO",IF($AD929&gt;LIMITE_CONFORTAVEL,"ATENCAO","OK")))))</f>
        <v>SEM CULTURA</v>
      </c>
      <c r="AF929" s="8" t="str">
        <f aca="false">$B929&amp;"|"&amp;TEXT($AD929,"0.000000")</f>
        <v>66|0.000000</v>
      </c>
      <c r="AG929" s="18" t="n">
        <f aca="false">IF($K929="SEM CULTURA",0,$T929*$H929)</f>
        <v>0</v>
      </c>
      <c r="AH929" s="18" t="n">
        <f aca="false">IF($K929="SEM CULTURA",0,$V929*$H929)</f>
        <v>0</v>
      </c>
      <c r="AI929" s="18" t="n">
        <f aca="false">IF($K929="SEM CULTURA",0,$W929*$H929)</f>
        <v>0</v>
      </c>
      <c r="AJ929" s="18" t="n">
        <f aca="false">IF($K929="SEM CULTURA",0,$S929*$H929)</f>
        <v>0</v>
      </c>
      <c r="AK929" s="8" t="str">
        <f aca="false">$E929&amp;"|"&amp;TEXT($AD929,"0.000000")</f>
        <v>PV 115|0.000000</v>
      </c>
    </row>
    <row r="930" customFormat="false" ht="15" hidden="false" customHeight="false" outlineLevel="0" collapsed="false">
      <c r="B930" s="16" t="n">
        <v>1</v>
      </c>
      <c r="C930" s="17" t="n">
        <f aca="false">DATA_INICIO_SAFRA+($B930-1)*DIAS_POR_SEMANA</f>
        <v>46265</v>
      </c>
      <c r="D930" s="17" t="n">
        <f aca="false">$C930+DIAS_POR_SEMANA-1</f>
        <v>46271</v>
      </c>
      <c r="E930" s="15" t="s">
        <v>273</v>
      </c>
      <c r="F930" s="8" t="str">
        <f aca="false">IFERROR(INDEX(CADASTRO_PIVOS!$C$6:$C$41,MATCH($E930,CADASTRO_PIVOS!$B$6:$B$41,0)),"?")</f>
        <v>RM05</v>
      </c>
      <c r="G930" s="8" t="str">
        <f aca="false">IFERROR(INDEX(CADASTRO_PIVOS!$D$6:$D$41,MATCH($E930,CADASTRO_PIVOS!$B$6:$B$41,0)),"?")</f>
        <v>TR05</v>
      </c>
      <c r="H930" s="20" t="n">
        <f aca="false">IFERROR(INDEX(CADASTRO_PIVOS!$E$6:$E$41,MATCH($E930,CADASTRO_PIVOS!$B$6:$B$41,0)),0)</f>
        <v>99.96</v>
      </c>
      <c r="I930" s="16" t="n">
        <f aca="false">IFERROR(SUMIFS(ROTACAO_RDM!$B$6:$B$71,ROTACAO_RDM!$D$6:$D$71,$E930,ROTACAO_RDM!$I$6:$I$71,"&lt;="&amp;$C930+INT(DIAS_POR_SEMANA/2),ROTACAO_RDM!$J$6:$J$71,"&gt;="&amp;$C930+INT(DIAS_POR_SEMANA/2)),0)</f>
        <v>59</v>
      </c>
      <c r="J930" s="16" t="n">
        <f aca="false">IFERROR(MATCH($I930,ROTACAO_RDM!$B$6:$B$71,0),0)</f>
        <v>59</v>
      </c>
      <c r="K930" s="8" t="str">
        <f aca="false">IF($J930=0,"SEM CULTURA",INDEX(ROTACAO_RDM!$F$6:$F$71,$J930))</f>
        <v>MILHO_SEMENTE</v>
      </c>
      <c r="L930" s="8" t="str">
        <f aca="false">IF($J930=0,"",INDEX(ROTACAO_RDM!$G$6:$G$71,$J930))</f>
        <v>Syngenta</v>
      </c>
      <c r="M930" s="17" t="n">
        <f aca="false">IF($J930=0,"",INDEX(ROTACAO_RDM!$I$6:$I$71,$J930))</f>
        <v>46191</v>
      </c>
      <c r="N930" s="16" t="n">
        <f aca="false">IF($J930=0,0,MAX(0,$C930+INT(DIAS_POR_SEMANA/2)-INDEX(ROTACAO_RDM!$I$6:$I$71,$J930)))</f>
        <v>77</v>
      </c>
      <c r="O930" s="19" t="n">
        <f aca="false">IF($J930=0,0,MIN(1,$N930/MAX(1,INDEX(ROTACAO_RDM!$K$6:$K$71,$J930))))</f>
        <v>0.48125</v>
      </c>
      <c r="P930" s="16" t="n">
        <f aca="false">IF($J930=0,0,IFERROR(MATCH(INDEX(ROTACAO_RDM!$N$6:$N$71,$J930),PARAMETROS_CULTURAS!$B$6:$B$28,0),0))</f>
        <v>7</v>
      </c>
      <c r="Q930" s="8" t="str">
        <f aca="false">IF($P930=0,"-",IF($O930&lt;=INDEX(PARAMETROS_CULTURAS!$F$6:$F$28,$P930),"INICIAL",IF($O930&lt;=INDEX(PARAMETROS_CULTURAS!$F$6:$F$28,$P930)+INDEX(PARAMETROS_CULTURAS!$G$6:$G$28,$P930),"DESENVOLVIMENTO",IF($O930&lt;=INDEX(PARAMETROS_CULTURAS!$F$6:$F$28,$P930)+INDEX(PARAMETROS_CULTURAS!$G$6:$G$28,$P930)+INDEX(PARAMETROS_CULTURAS!$H$6:$H$28,$P930),"MEDIA","FINAL"))))</f>
        <v>MEDIA</v>
      </c>
      <c r="R930" s="24" t="n">
        <f aca="false">IF($P930=0,0,IF($O930&lt;=INDEX(PARAMETROS_CULTURAS!$F$6:$F$28,$P930),INDEX(PARAMETROS_CULTURAS!$K$6:$K$28,$P930),IF($O930&lt;=INDEX(PARAMETROS_CULTURAS!$F$6:$F$28,$P930)+INDEX(PARAMETROS_CULTURAS!$G$6:$G$28,$P930),INDEX(PARAMETROS_CULTURAS!$K$6:$K$28,$P930)+(INDEX(PARAMETROS_CULTURAS!$L$6:$L$28,$P930)-INDEX(PARAMETROS_CULTURAS!$K$6:$K$28,$P930))*($O930-INDEX(PARAMETROS_CULTURAS!$F$6:$F$28,$P930))/MAX(INDEX(PARAMETROS_CULTURAS!$G$6:$G$28,$P930),0.0001),IF($O930&lt;=INDEX(PARAMETROS_CULTURAS!$F$6:$F$28,$P930)+INDEX(PARAMETROS_CULTURAS!$G$6:$G$28,$P930)+INDEX(PARAMETROS_CULTURAS!$H$6:$H$28,$P930),INDEX(PARAMETROS_CULTURAS!$L$6:$L$28,$P930),INDEX(PARAMETROS_CULTURAS!$L$6:$L$28,$P930)+(INDEX(PARAMETROS_CULTURAS!$M$6:$M$28,$P930)-INDEX(PARAMETROS_CULTURAS!$L$6:$L$28,$P930))*($O930-INDEX(PARAMETROS_CULTURAS!$F$6:$F$28,$P930)-INDEX(PARAMETROS_CULTURAS!$G$6:$G$28,$P930)-INDEX(PARAMETROS_CULTURAS!$H$6:$H$28,$P930))/MAX(INDEX(PARAMETROS_CULTURAS!$I$6:$I$28,$P930),0.0001)))))</f>
        <v>1.15</v>
      </c>
      <c r="S930" s="18" t="n">
        <f aca="false">IFERROR(INDEX(SEMANAS!$H$6:$H$71,MATCH($B930,SEMANAS!$B$6:$B$71,0)),0)</f>
        <v>40</v>
      </c>
      <c r="T930" s="18" t="n">
        <f aca="false">$R930*$S930</f>
        <v>46</v>
      </c>
      <c r="U930" s="18" t="n">
        <f aca="false">IFERROR(INDEX(SEMANAS!$I$6:$I$71,MATCH($B930,SEMANAS!$B$6:$B$71,0)),0)</f>
        <v>6.16</v>
      </c>
      <c r="V930" s="18" t="n">
        <f aca="false">IFERROR(INDEX(SEMANAS!$J$6:$J$71,MATCH($B930,SEMANAS!$B$6:$B$71,0)),0)</f>
        <v>4.928</v>
      </c>
      <c r="W930" s="18" t="n">
        <f aca="false">MAX(0,$T930-$V930)</f>
        <v>41.072</v>
      </c>
      <c r="X930" s="19" t="n">
        <f aca="false">IFERROR(INDEX(CADASTRO_PIVOS!$K$6:$K$41,MATCH($E930,CADASTRO_PIVOS!$B$6:$B$41,0)),EFICIENCIA_PADRAO)</f>
        <v>0.85</v>
      </c>
      <c r="Y930" s="18" t="n">
        <f aca="false">IF($X930&lt;=0,0,$W930/$X930)</f>
        <v>48.32</v>
      </c>
      <c r="Z930" s="16" t="n">
        <f aca="false">$Y930*$H930*MM_PARA_M3_HA</f>
        <v>48300.672</v>
      </c>
      <c r="AA930" s="18" t="n">
        <f aca="false">IFERROR(INDEX(CADASTRO_PIVOS!$I$6:$I$41,MATCH($E930,CADASTRO_PIVOS!$B$6:$B$41,0)),0)</f>
        <v>714</v>
      </c>
      <c r="AB930" s="18" t="n">
        <f aca="false">IF($Z930&lt;=0,0,$Z930/$AA930)</f>
        <v>67.648</v>
      </c>
      <c r="AC930" s="16" t="n">
        <f aca="false">IFERROR(INDEX(SEMANAS!$K$6:$K$71,MATCH($B930,SEMANAS!$B$6:$B$71,0)),0)</f>
        <v>147</v>
      </c>
      <c r="AD930" s="19" t="n">
        <f aca="false">IF($AC930&lt;=0,0,$AB930/$AC930)</f>
        <v>0.460190476190476</v>
      </c>
      <c r="AE930" s="8" t="str">
        <f aca="false">IF($K930="SEM CULTURA","SEM CULTURA",IF($AA930&lt;=0,"DADO PENDENTE",IF($AD930&gt;LIMITE_CRITICO,"INVIAVEL",IF($AD930&gt;LIMITE_ATENCAO,"CRITICO",IF($AD930&gt;LIMITE_CONFORTAVEL,"ATENCAO","OK")))))</f>
        <v>OK</v>
      </c>
      <c r="AF930" s="8" t="str">
        <f aca="false">$B930&amp;"|"&amp;TEXT($AD930,"0.000000")</f>
        <v>1|0.460190</v>
      </c>
      <c r="AG930" s="18" t="n">
        <f aca="false">IF($K930="SEM CULTURA",0,$T930*$H930)</f>
        <v>4598.16</v>
      </c>
      <c r="AH930" s="18" t="n">
        <f aca="false">IF($K930="SEM CULTURA",0,$V930*$H930)</f>
        <v>492.60288</v>
      </c>
      <c r="AI930" s="18" t="n">
        <f aca="false">IF($K930="SEM CULTURA",0,$W930*$H930)</f>
        <v>4105.55712</v>
      </c>
      <c r="AJ930" s="18" t="n">
        <f aca="false">IF($K930="SEM CULTURA",0,$S930*$H930)</f>
        <v>3998.4</v>
      </c>
      <c r="AK930" s="8" t="str">
        <f aca="false">$E930&amp;"|"&amp;TEXT($AD930,"0.000000")</f>
        <v>PV 131|0.460190</v>
      </c>
    </row>
    <row r="931" customFormat="false" ht="15" hidden="false" customHeight="false" outlineLevel="0" collapsed="false">
      <c r="B931" s="16" t="n">
        <v>2</v>
      </c>
      <c r="C931" s="17" t="n">
        <f aca="false">DATA_INICIO_SAFRA+($B931-1)*DIAS_POR_SEMANA</f>
        <v>46272</v>
      </c>
      <c r="D931" s="17" t="n">
        <f aca="false">$C931+DIAS_POR_SEMANA-1</f>
        <v>46278</v>
      </c>
      <c r="E931" s="15" t="s">
        <v>273</v>
      </c>
      <c r="F931" s="8" t="str">
        <f aca="false">IFERROR(INDEX(CADASTRO_PIVOS!$C$6:$C$41,MATCH($E931,CADASTRO_PIVOS!$B$6:$B$41,0)),"?")</f>
        <v>RM05</v>
      </c>
      <c r="G931" s="8" t="str">
        <f aca="false">IFERROR(INDEX(CADASTRO_PIVOS!$D$6:$D$41,MATCH($E931,CADASTRO_PIVOS!$B$6:$B$41,0)),"?")</f>
        <v>TR05</v>
      </c>
      <c r="H931" s="20" t="n">
        <f aca="false">IFERROR(INDEX(CADASTRO_PIVOS!$E$6:$E$41,MATCH($E931,CADASTRO_PIVOS!$B$6:$B$41,0)),0)</f>
        <v>99.96</v>
      </c>
      <c r="I931" s="16" t="n">
        <f aca="false">IFERROR(SUMIFS(ROTACAO_RDM!$B$6:$B$71,ROTACAO_RDM!$D$6:$D$71,$E931,ROTACAO_RDM!$I$6:$I$71,"&lt;="&amp;$C931+INT(DIAS_POR_SEMANA/2),ROTACAO_RDM!$J$6:$J$71,"&gt;="&amp;$C931+INT(DIAS_POR_SEMANA/2)),0)</f>
        <v>59</v>
      </c>
      <c r="J931" s="16" t="n">
        <f aca="false">IFERROR(MATCH($I931,ROTACAO_RDM!$B$6:$B$71,0),0)</f>
        <v>59</v>
      </c>
      <c r="K931" s="8" t="str">
        <f aca="false">IF($J931=0,"SEM CULTURA",INDEX(ROTACAO_RDM!$F$6:$F$71,$J931))</f>
        <v>MILHO_SEMENTE</v>
      </c>
      <c r="L931" s="8" t="str">
        <f aca="false">IF($J931=0,"",INDEX(ROTACAO_RDM!$G$6:$G$71,$J931))</f>
        <v>Syngenta</v>
      </c>
      <c r="M931" s="17" t="n">
        <f aca="false">IF($J931=0,"",INDEX(ROTACAO_RDM!$I$6:$I$71,$J931))</f>
        <v>46191</v>
      </c>
      <c r="N931" s="16" t="n">
        <f aca="false">IF($J931=0,0,MAX(0,$C931+INT(DIAS_POR_SEMANA/2)-INDEX(ROTACAO_RDM!$I$6:$I$71,$J931)))</f>
        <v>84</v>
      </c>
      <c r="O931" s="19" t="n">
        <f aca="false">IF($J931=0,0,MIN(1,$N931/MAX(1,INDEX(ROTACAO_RDM!$K$6:$K$71,$J931))))</f>
        <v>0.525</v>
      </c>
      <c r="P931" s="16" t="n">
        <f aca="false">IF($J931=0,0,IFERROR(MATCH(INDEX(ROTACAO_RDM!$N$6:$N$71,$J931),PARAMETROS_CULTURAS!$B$6:$B$28,0),0))</f>
        <v>7</v>
      </c>
      <c r="Q931" s="8" t="str">
        <f aca="false">IF($P931=0,"-",IF($O931&lt;=INDEX(PARAMETROS_CULTURAS!$F$6:$F$28,$P931),"INICIAL",IF($O931&lt;=INDEX(PARAMETROS_CULTURAS!$F$6:$F$28,$P931)+INDEX(PARAMETROS_CULTURAS!$G$6:$G$28,$P931),"DESENVOLVIMENTO",IF($O931&lt;=INDEX(PARAMETROS_CULTURAS!$F$6:$F$28,$P931)+INDEX(PARAMETROS_CULTURAS!$G$6:$G$28,$P931)+INDEX(PARAMETROS_CULTURAS!$H$6:$H$28,$P931),"MEDIA","FINAL"))))</f>
        <v>MEDIA</v>
      </c>
      <c r="R931" s="24" t="n">
        <f aca="false">IF($P931=0,0,IF($O931&lt;=INDEX(PARAMETROS_CULTURAS!$F$6:$F$28,$P931),INDEX(PARAMETROS_CULTURAS!$K$6:$K$28,$P931),IF($O931&lt;=INDEX(PARAMETROS_CULTURAS!$F$6:$F$28,$P931)+INDEX(PARAMETROS_CULTURAS!$G$6:$G$28,$P931),INDEX(PARAMETROS_CULTURAS!$K$6:$K$28,$P931)+(INDEX(PARAMETROS_CULTURAS!$L$6:$L$28,$P931)-INDEX(PARAMETROS_CULTURAS!$K$6:$K$28,$P931))*($O931-INDEX(PARAMETROS_CULTURAS!$F$6:$F$28,$P931))/MAX(INDEX(PARAMETROS_CULTURAS!$G$6:$G$28,$P931),0.0001),IF($O931&lt;=INDEX(PARAMETROS_CULTURAS!$F$6:$F$28,$P931)+INDEX(PARAMETROS_CULTURAS!$G$6:$G$28,$P931)+INDEX(PARAMETROS_CULTURAS!$H$6:$H$28,$P931),INDEX(PARAMETROS_CULTURAS!$L$6:$L$28,$P931),INDEX(PARAMETROS_CULTURAS!$L$6:$L$28,$P931)+(INDEX(PARAMETROS_CULTURAS!$M$6:$M$28,$P931)-INDEX(PARAMETROS_CULTURAS!$L$6:$L$28,$P931))*($O931-INDEX(PARAMETROS_CULTURAS!$F$6:$F$28,$P931)-INDEX(PARAMETROS_CULTURAS!$G$6:$G$28,$P931)-INDEX(PARAMETROS_CULTURAS!$H$6:$H$28,$P931))/MAX(INDEX(PARAMETROS_CULTURAS!$I$6:$I$28,$P931),0.0001)))))</f>
        <v>1.15</v>
      </c>
      <c r="S931" s="18" t="n">
        <f aca="false">IFERROR(INDEX(SEMANAS!$H$6:$H$71,MATCH($B931,SEMANAS!$B$6:$B$71,0)),0)</f>
        <v>40.6</v>
      </c>
      <c r="T931" s="18" t="n">
        <f aca="false">$R931*$S931</f>
        <v>46.69</v>
      </c>
      <c r="U931" s="18" t="n">
        <f aca="false">IFERROR(INDEX(SEMANAS!$I$6:$I$71,MATCH($B931,SEMANAS!$B$6:$B$71,0)),0)</f>
        <v>7</v>
      </c>
      <c r="V931" s="18" t="n">
        <f aca="false">IFERROR(INDEX(SEMANAS!$J$6:$J$71,MATCH($B931,SEMANAS!$B$6:$B$71,0)),0)</f>
        <v>5.6</v>
      </c>
      <c r="W931" s="18" t="n">
        <f aca="false">MAX(0,$T931-$V931)</f>
        <v>41.09</v>
      </c>
      <c r="X931" s="19" t="n">
        <f aca="false">IFERROR(INDEX(CADASTRO_PIVOS!$K$6:$K$41,MATCH($E931,CADASTRO_PIVOS!$B$6:$B$41,0)),EFICIENCIA_PADRAO)</f>
        <v>0.85</v>
      </c>
      <c r="Y931" s="18" t="n">
        <f aca="false">IF($X931&lt;=0,0,$W931/$X931)</f>
        <v>48.3411764705882</v>
      </c>
      <c r="Z931" s="16" t="n">
        <f aca="false">$Y931*$H931*MM_PARA_M3_HA</f>
        <v>48321.84</v>
      </c>
      <c r="AA931" s="18" t="n">
        <f aca="false">IFERROR(INDEX(CADASTRO_PIVOS!$I$6:$I$41,MATCH($E931,CADASTRO_PIVOS!$B$6:$B$41,0)),0)</f>
        <v>714</v>
      </c>
      <c r="AB931" s="18" t="n">
        <f aca="false">IF($Z931&lt;=0,0,$Z931/$AA931)</f>
        <v>67.6776470588235</v>
      </c>
      <c r="AC931" s="16" t="n">
        <f aca="false">IFERROR(INDEX(SEMANAS!$K$6:$K$71,MATCH($B931,SEMANAS!$B$6:$B$71,0)),0)</f>
        <v>147</v>
      </c>
      <c r="AD931" s="19" t="n">
        <f aca="false">IF($AC931&lt;=0,0,$AB931/$AC931)</f>
        <v>0.460392156862745</v>
      </c>
      <c r="AE931" s="8" t="str">
        <f aca="false">IF($K931="SEM CULTURA","SEM CULTURA",IF($AA931&lt;=0,"DADO PENDENTE",IF($AD931&gt;LIMITE_CRITICO,"INVIAVEL",IF($AD931&gt;LIMITE_ATENCAO,"CRITICO",IF($AD931&gt;LIMITE_CONFORTAVEL,"ATENCAO","OK")))))</f>
        <v>OK</v>
      </c>
      <c r="AF931" s="8" t="str">
        <f aca="false">$B931&amp;"|"&amp;TEXT($AD931,"0.000000")</f>
        <v>2|0.460392</v>
      </c>
      <c r="AG931" s="18" t="n">
        <f aca="false">IF($K931="SEM CULTURA",0,$T931*$H931)</f>
        <v>4667.1324</v>
      </c>
      <c r="AH931" s="18" t="n">
        <f aca="false">IF($K931="SEM CULTURA",0,$V931*$H931)</f>
        <v>559.776</v>
      </c>
      <c r="AI931" s="18" t="n">
        <f aca="false">IF($K931="SEM CULTURA",0,$W931*$H931)</f>
        <v>4107.3564</v>
      </c>
      <c r="AJ931" s="18" t="n">
        <f aca="false">IF($K931="SEM CULTURA",0,$S931*$H931)</f>
        <v>4058.376</v>
      </c>
      <c r="AK931" s="8" t="str">
        <f aca="false">$E931&amp;"|"&amp;TEXT($AD931,"0.000000")</f>
        <v>PV 131|0.460392</v>
      </c>
    </row>
    <row r="932" customFormat="false" ht="15" hidden="false" customHeight="false" outlineLevel="0" collapsed="false">
      <c r="B932" s="16" t="n">
        <v>3</v>
      </c>
      <c r="C932" s="17" t="n">
        <f aca="false">DATA_INICIO_SAFRA+($B932-1)*DIAS_POR_SEMANA</f>
        <v>46279</v>
      </c>
      <c r="D932" s="17" t="n">
        <f aca="false">$C932+DIAS_POR_SEMANA-1</f>
        <v>46285</v>
      </c>
      <c r="E932" s="15" t="s">
        <v>273</v>
      </c>
      <c r="F932" s="8" t="str">
        <f aca="false">IFERROR(INDEX(CADASTRO_PIVOS!$C$6:$C$41,MATCH($E932,CADASTRO_PIVOS!$B$6:$B$41,0)),"?")</f>
        <v>RM05</v>
      </c>
      <c r="G932" s="8" t="str">
        <f aca="false">IFERROR(INDEX(CADASTRO_PIVOS!$D$6:$D$41,MATCH($E932,CADASTRO_PIVOS!$B$6:$B$41,0)),"?")</f>
        <v>TR05</v>
      </c>
      <c r="H932" s="20" t="n">
        <f aca="false">IFERROR(INDEX(CADASTRO_PIVOS!$E$6:$E$41,MATCH($E932,CADASTRO_PIVOS!$B$6:$B$41,0)),0)</f>
        <v>99.96</v>
      </c>
      <c r="I932" s="16" t="n">
        <f aca="false">IFERROR(SUMIFS(ROTACAO_RDM!$B$6:$B$71,ROTACAO_RDM!$D$6:$D$71,$E932,ROTACAO_RDM!$I$6:$I$71,"&lt;="&amp;$C932+INT(DIAS_POR_SEMANA/2),ROTACAO_RDM!$J$6:$J$71,"&gt;="&amp;$C932+INT(DIAS_POR_SEMANA/2)),0)</f>
        <v>59</v>
      </c>
      <c r="J932" s="16" t="n">
        <f aca="false">IFERROR(MATCH($I932,ROTACAO_RDM!$B$6:$B$71,0),0)</f>
        <v>59</v>
      </c>
      <c r="K932" s="8" t="str">
        <f aca="false">IF($J932=0,"SEM CULTURA",INDEX(ROTACAO_RDM!$F$6:$F$71,$J932))</f>
        <v>MILHO_SEMENTE</v>
      </c>
      <c r="L932" s="8" t="str">
        <f aca="false">IF($J932=0,"",INDEX(ROTACAO_RDM!$G$6:$G$71,$J932))</f>
        <v>Syngenta</v>
      </c>
      <c r="M932" s="17" t="n">
        <f aca="false">IF($J932=0,"",INDEX(ROTACAO_RDM!$I$6:$I$71,$J932))</f>
        <v>46191</v>
      </c>
      <c r="N932" s="16" t="n">
        <f aca="false">IF($J932=0,0,MAX(0,$C932+INT(DIAS_POR_SEMANA/2)-INDEX(ROTACAO_RDM!$I$6:$I$71,$J932)))</f>
        <v>91</v>
      </c>
      <c r="O932" s="19" t="n">
        <f aca="false">IF($J932=0,0,MIN(1,$N932/MAX(1,INDEX(ROTACAO_RDM!$K$6:$K$71,$J932))))</f>
        <v>0.56875</v>
      </c>
      <c r="P932" s="16" t="n">
        <f aca="false">IF($J932=0,0,IFERROR(MATCH(INDEX(ROTACAO_RDM!$N$6:$N$71,$J932),PARAMETROS_CULTURAS!$B$6:$B$28,0),0))</f>
        <v>7</v>
      </c>
      <c r="Q932" s="8" t="str">
        <f aca="false">IF($P932=0,"-",IF($O932&lt;=INDEX(PARAMETROS_CULTURAS!$F$6:$F$28,$P932),"INICIAL",IF($O932&lt;=INDEX(PARAMETROS_CULTURAS!$F$6:$F$28,$P932)+INDEX(PARAMETROS_CULTURAS!$G$6:$G$28,$P932),"DESENVOLVIMENTO",IF($O932&lt;=INDEX(PARAMETROS_CULTURAS!$F$6:$F$28,$P932)+INDEX(PARAMETROS_CULTURAS!$G$6:$G$28,$P932)+INDEX(PARAMETROS_CULTURAS!$H$6:$H$28,$P932),"MEDIA","FINAL"))))</f>
        <v>MEDIA</v>
      </c>
      <c r="R932" s="24" t="n">
        <f aca="false">IF($P932=0,0,IF($O932&lt;=INDEX(PARAMETROS_CULTURAS!$F$6:$F$28,$P932),INDEX(PARAMETROS_CULTURAS!$K$6:$K$28,$P932),IF($O932&lt;=INDEX(PARAMETROS_CULTURAS!$F$6:$F$28,$P932)+INDEX(PARAMETROS_CULTURAS!$G$6:$G$28,$P932),INDEX(PARAMETROS_CULTURAS!$K$6:$K$28,$P932)+(INDEX(PARAMETROS_CULTURAS!$L$6:$L$28,$P932)-INDEX(PARAMETROS_CULTURAS!$K$6:$K$28,$P932))*($O932-INDEX(PARAMETROS_CULTURAS!$F$6:$F$28,$P932))/MAX(INDEX(PARAMETROS_CULTURAS!$G$6:$G$28,$P932),0.0001),IF($O932&lt;=INDEX(PARAMETROS_CULTURAS!$F$6:$F$28,$P932)+INDEX(PARAMETROS_CULTURAS!$G$6:$G$28,$P932)+INDEX(PARAMETROS_CULTURAS!$H$6:$H$28,$P932),INDEX(PARAMETROS_CULTURAS!$L$6:$L$28,$P932),INDEX(PARAMETROS_CULTURAS!$L$6:$L$28,$P932)+(INDEX(PARAMETROS_CULTURAS!$M$6:$M$28,$P932)-INDEX(PARAMETROS_CULTURAS!$L$6:$L$28,$P932))*($O932-INDEX(PARAMETROS_CULTURAS!$F$6:$F$28,$P932)-INDEX(PARAMETROS_CULTURAS!$G$6:$G$28,$P932)-INDEX(PARAMETROS_CULTURAS!$H$6:$H$28,$P932))/MAX(INDEX(PARAMETROS_CULTURAS!$I$6:$I$28,$P932),0.0001)))))</f>
        <v>1.15</v>
      </c>
      <c r="S932" s="18" t="n">
        <f aca="false">IFERROR(INDEX(SEMANAS!$H$6:$H$71,MATCH($B932,SEMANAS!$B$6:$B$71,0)),0)</f>
        <v>40.6</v>
      </c>
      <c r="T932" s="18" t="n">
        <f aca="false">$R932*$S932</f>
        <v>46.69</v>
      </c>
      <c r="U932" s="18" t="n">
        <f aca="false">IFERROR(INDEX(SEMANAS!$I$6:$I$71,MATCH($B932,SEMANAS!$B$6:$B$71,0)),0)</f>
        <v>7</v>
      </c>
      <c r="V932" s="18" t="n">
        <f aca="false">IFERROR(INDEX(SEMANAS!$J$6:$J$71,MATCH($B932,SEMANAS!$B$6:$B$71,0)),0)</f>
        <v>5.6</v>
      </c>
      <c r="W932" s="18" t="n">
        <f aca="false">MAX(0,$T932-$V932)</f>
        <v>41.09</v>
      </c>
      <c r="X932" s="19" t="n">
        <f aca="false">IFERROR(INDEX(CADASTRO_PIVOS!$K$6:$K$41,MATCH($E932,CADASTRO_PIVOS!$B$6:$B$41,0)),EFICIENCIA_PADRAO)</f>
        <v>0.85</v>
      </c>
      <c r="Y932" s="18" t="n">
        <f aca="false">IF($X932&lt;=0,0,$W932/$X932)</f>
        <v>48.3411764705882</v>
      </c>
      <c r="Z932" s="16" t="n">
        <f aca="false">$Y932*$H932*MM_PARA_M3_HA</f>
        <v>48321.84</v>
      </c>
      <c r="AA932" s="18" t="n">
        <f aca="false">IFERROR(INDEX(CADASTRO_PIVOS!$I$6:$I$41,MATCH($E932,CADASTRO_PIVOS!$B$6:$B$41,0)),0)</f>
        <v>714</v>
      </c>
      <c r="AB932" s="18" t="n">
        <f aca="false">IF($Z932&lt;=0,0,$Z932/$AA932)</f>
        <v>67.6776470588235</v>
      </c>
      <c r="AC932" s="16" t="n">
        <f aca="false">IFERROR(INDEX(SEMANAS!$K$6:$K$71,MATCH($B932,SEMANAS!$B$6:$B$71,0)),0)</f>
        <v>147</v>
      </c>
      <c r="AD932" s="19" t="n">
        <f aca="false">IF($AC932&lt;=0,0,$AB932/$AC932)</f>
        <v>0.460392156862745</v>
      </c>
      <c r="AE932" s="8" t="str">
        <f aca="false">IF($K932="SEM CULTURA","SEM CULTURA",IF($AA932&lt;=0,"DADO PENDENTE",IF($AD932&gt;LIMITE_CRITICO,"INVIAVEL",IF($AD932&gt;LIMITE_ATENCAO,"CRITICO",IF($AD932&gt;LIMITE_CONFORTAVEL,"ATENCAO","OK")))))</f>
        <v>OK</v>
      </c>
      <c r="AF932" s="8" t="str">
        <f aca="false">$B932&amp;"|"&amp;TEXT($AD932,"0.000000")</f>
        <v>3|0.460392</v>
      </c>
      <c r="AG932" s="18" t="n">
        <f aca="false">IF($K932="SEM CULTURA",0,$T932*$H932)</f>
        <v>4667.1324</v>
      </c>
      <c r="AH932" s="18" t="n">
        <f aca="false">IF($K932="SEM CULTURA",0,$V932*$H932)</f>
        <v>559.776</v>
      </c>
      <c r="AI932" s="18" t="n">
        <f aca="false">IF($K932="SEM CULTURA",0,$W932*$H932)</f>
        <v>4107.3564</v>
      </c>
      <c r="AJ932" s="18" t="n">
        <f aca="false">IF($K932="SEM CULTURA",0,$S932*$H932)</f>
        <v>4058.376</v>
      </c>
      <c r="AK932" s="8" t="str">
        <f aca="false">$E932&amp;"|"&amp;TEXT($AD932,"0.000000")</f>
        <v>PV 131|0.460392</v>
      </c>
    </row>
    <row r="933" customFormat="false" ht="15" hidden="false" customHeight="false" outlineLevel="0" collapsed="false">
      <c r="B933" s="16" t="n">
        <v>4</v>
      </c>
      <c r="C933" s="17" t="n">
        <f aca="false">DATA_INICIO_SAFRA+($B933-1)*DIAS_POR_SEMANA</f>
        <v>46286</v>
      </c>
      <c r="D933" s="17" t="n">
        <f aca="false">$C933+DIAS_POR_SEMANA-1</f>
        <v>46292</v>
      </c>
      <c r="E933" s="15" t="s">
        <v>273</v>
      </c>
      <c r="F933" s="8" t="str">
        <f aca="false">IFERROR(INDEX(CADASTRO_PIVOS!$C$6:$C$41,MATCH($E933,CADASTRO_PIVOS!$B$6:$B$41,0)),"?")</f>
        <v>RM05</v>
      </c>
      <c r="G933" s="8" t="str">
        <f aca="false">IFERROR(INDEX(CADASTRO_PIVOS!$D$6:$D$41,MATCH($E933,CADASTRO_PIVOS!$B$6:$B$41,0)),"?")</f>
        <v>TR05</v>
      </c>
      <c r="H933" s="20" t="n">
        <f aca="false">IFERROR(INDEX(CADASTRO_PIVOS!$E$6:$E$41,MATCH($E933,CADASTRO_PIVOS!$B$6:$B$41,0)),0)</f>
        <v>99.96</v>
      </c>
      <c r="I933" s="16" t="n">
        <f aca="false">IFERROR(SUMIFS(ROTACAO_RDM!$B$6:$B$71,ROTACAO_RDM!$D$6:$D$71,$E933,ROTACAO_RDM!$I$6:$I$71,"&lt;="&amp;$C933+INT(DIAS_POR_SEMANA/2),ROTACAO_RDM!$J$6:$J$71,"&gt;="&amp;$C933+INT(DIAS_POR_SEMANA/2)),0)</f>
        <v>59</v>
      </c>
      <c r="J933" s="16" t="n">
        <f aca="false">IFERROR(MATCH($I933,ROTACAO_RDM!$B$6:$B$71,0),0)</f>
        <v>59</v>
      </c>
      <c r="K933" s="8" t="str">
        <f aca="false">IF($J933=0,"SEM CULTURA",INDEX(ROTACAO_RDM!$F$6:$F$71,$J933))</f>
        <v>MILHO_SEMENTE</v>
      </c>
      <c r="L933" s="8" t="str">
        <f aca="false">IF($J933=0,"",INDEX(ROTACAO_RDM!$G$6:$G$71,$J933))</f>
        <v>Syngenta</v>
      </c>
      <c r="M933" s="17" t="n">
        <f aca="false">IF($J933=0,"",INDEX(ROTACAO_RDM!$I$6:$I$71,$J933))</f>
        <v>46191</v>
      </c>
      <c r="N933" s="16" t="n">
        <f aca="false">IF($J933=0,0,MAX(0,$C933+INT(DIAS_POR_SEMANA/2)-INDEX(ROTACAO_RDM!$I$6:$I$71,$J933)))</f>
        <v>98</v>
      </c>
      <c r="O933" s="19" t="n">
        <f aca="false">IF($J933=0,0,MIN(1,$N933/MAX(1,INDEX(ROTACAO_RDM!$K$6:$K$71,$J933))))</f>
        <v>0.6125</v>
      </c>
      <c r="P933" s="16" t="n">
        <f aca="false">IF($J933=0,0,IFERROR(MATCH(INDEX(ROTACAO_RDM!$N$6:$N$71,$J933),PARAMETROS_CULTURAS!$B$6:$B$28,0),0))</f>
        <v>7</v>
      </c>
      <c r="Q933" s="8" t="str">
        <f aca="false">IF($P933=0,"-",IF($O933&lt;=INDEX(PARAMETROS_CULTURAS!$F$6:$F$28,$P933),"INICIAL",IF($O933&lt;=INDEX(PARAMETROS_CULTURAS!$F$6:$F$28,$P933)+INDEX(PARAMETROS_CULTURAS!$G$6:$G$28,$P933),"DESENVOLVIMENTO",IF($O933&lt;=INDEX(PARAMETROS_CULTURAS!$F$6:$F$28,$P933)+INDEX(PARAMETROS_CULTURAS!$G$6:$G$28,$P933)+INDEX(PARAMETROS_CULTURAS!$H$6:$H$28,$P933),"MEDIA","FINAL"))))</f>
        <v>MEDIA</v>
      </c>
      <c r="R933" s="24" t="n">
        <f aca="false">IF($P933=0,0,IF($O933&lt;=INDEX(PARAMETROS_CULTURAS!$F$6:$F$28,$P933),INDEX(PARAMETROS_CULTURAS!$K$6:$K$28,$P933),IF($O933&lt;=INDEX(PARAMETROS_CULTURAS!$F$6:$F$28,$P933)+INDEX(PARAMETROS_CULTURAS!$G$6:$G$28,$P933),INDEX(PARAMETROS_CULTURAS!$K$6:$K$28,$P933)+(INDEX(PARAMETROS_CULTURAS!$L$6:$L$28,$P933)-INDEX(PARAMETROS_CULTURAS!$K$6:$K$28,$P933))*($O933-INDEX(PARAMETROS_CULTURAS!$F$6:$F$28,$P933))/MAX(INDEX(PARAMETROS_CULTURAS!$G$6:$G$28,$P933),0.0001),IF($O933&lt;=INDEX(PARAMETROS_CULTURAS!$F$6:$F$28,$P933)+INDEX(PARAMETROS_CULTURAS!$G$6:$G$28,$P933)+INDEX(PARAMETROS_CULTURAS!$H$6:$H$28,$P933),INDEX(PARAMETROS_CULTURAS!$L$6:$L$28,$P933),INDEX(PARAMETROS_CULTURAS!$L$6:$L$28,$P933)+(INDEX(PARAMETROS_CULTURAS!$M$6:$M$28,$P933)-INDEX(PARAMETROS_CULTURAS!$L$6:$L$28,$P933))*($O933-INDEX(PARAMETROS_CULTURAS!$F$6:$F$28,$P933)-INDEX(PARAMETROS_CULTURAS!$G$6:$G$28,$P933)-INDEX(PARAMETROS_CULTURAS!$H$6:$H$28,$P933))/MAX(INDEX(PARAMETROS_CULTURAS!$I$6:$I$28,$P933),0.0001)))))</f>
        <v>1.15</v>
      </c>
      <c r="S933" s="18" t="n">
        <f aca="false">IFERROR(INDEX(SEMANAS!$H$6:$H$71,MATCH($B933,SEMANAS!$B$6:$B$71,0)),0)</f>
        <v>40.6</v>
      </c>
      <c r="T933" s="18" t="n">
        <f aca="false">$R933*$S933</f>
        <v>46.69</v>
      </c>
      <c r="U933" s="18" t="n">
        <f aca="false">IFERROR(INDEX(SEMANAS!$I$6:$I$71,MATCH($B933,SEMANAS!$B$6:$B$71,0)),0)</f>
        <v>7</v>
      </c>
      <c r="V933" s="18" t="n">
        <f aca="false">IFERROR(INDEX(SEMANAS!$J$6:$J$71,MATCH($B933,SEMANAS!$B$6:$B$71,0)),0)</f>
        <v>5.6</v>
      </c>
      <c r="W933" s="18" t="n">
        <f aca="false">MAX(0,$T933-$V933)</f>
        <v>41.09</v>
      </c>
      <c r="X933" s="19" t="n">
        <f aca="false">IFERROR(INDEX(CADASTRO_PIVOS!$K$6:$K$41,MATCH($E933,CADASTRO_PIVOS!$B$6:$B$41,0)),EFICIENCIA_PADRAO)</f>
        <v>0.85</v>
      </c>
      <c r="Y933" s="18" t="n">
        <f aca="false">IF($X933&lt;=0,0,$W933/$X933)</f>
        <v>48.3411764705882</v>
      </c>
      <c r="Z933" s="16" t="n">
        <f aca="false">$Y933*$H933*MM_PARA_M3_HA</f>
        <v>48321.84</v>
      </c>
      <c r="AA933" s="18" t="n">
        <f aca="false">IFERROR(INDEX(CADASTRO_PIVOS!$I$6:$I$41,MATCH($E933,CADASTRO_PIVOS!$B$6:$B$41,0)),0)</f>
        <v>714</v>
      </c>
      <c r="AB933" s="18" t="n">
        <f aca="false">IF($Z933&lt;=0,0,$Z933/$AA933)</f>
        <v>67.6776470588235</v>
      </c>
      <c r="AC933" s="16" t="n">
        <f aca="false">IFERROR(INDEX(SEMANAS!$K$6:$K$71,MATCH($B933,SEMANAS!$B$6:$B$71,0)),0)</f>
        <v>147</v>
      </c>
      <c r="AD933" s="19" t="n">
        <f aca="false">IF($AC933&lt;=0,0,$AB933/$AC933)</f>
        <v>0.460392156862745</v>
      </c>
      <c r="AE933" s="8" t="str">
        <f aca="false">IF($K933="SEM CULTURA","SEM CULTURA",IF($AA933&lt;=0,"DADO PENDENTE",IF($AD933&gt;LIMITE_CRITICO,"INVIAVEL",IF($AD933&gt;LIMITE_ATENCAO,"CRITICO",IF($AD933&gt;LIMITE_CONFORTAVEL,"ATENCAO","OK")))))</f>
        <v>OK</v>
      </c>
      <c r="AF933" s="8" t="str">
        <f aca="false">$B933&amp;"|"&amp;TEXT($AD933,"0.000000")</f>
        <v>4|0.460392</v>
      </c>
      <c r="AG933" s="18" t="n">
        <f aca="false">IF($K933="SEM CULTURA",0,$T933*$H933)</f>
        <v>4667.1324</v>
      </c>
      <c r="AH933" s="18" t="n">
        <f aca="false">IF($K933="SEM CULTURA",0,$V933*$H933)</f>
        <v>559.776</v>
      </c>
      <c r="AI933" s="18" t="n">
        <f aca="false">IF($K933="SEM CULTURA",0,$W933*$H933)</f>
        <v>4107.3564</v>
      </c>
      <c r="AJ933" s="18" t="n">
        <f aca="false">IF($K933="SEM CULTURA",0,$S933*$H933)</f>
        <v>4058.376</v>
      </c>
      <c r="AK933" s="8" t="str">
        <f aca="false">$E933&amp;"|"&amp;TEXT($AD933,"0.000000")</f>
        <v>PV 131|0.460392</v>
      </c>
    </row>
    <row r="934" customFormat="false" ht="15" hidden="false" customHeight="false" outlineLevel="0" collapsed="false">
      <c r="B934" s="16" t="n">
        <v>5</v>
      </c>
      <c r="C934" s="17" t="n">
        <f aca="false">DATA_INICIO_SAFRA+($B934-1)*DIAS_POR_SEMANA</f>
        <v>46293</v>
      </c>
      <c r="D934" s="17" t="n">
        <f aca="false">$C934+DIAS_POR_SEMANA-1</f>
        <v>46299</v>
      </c>
      <c r="E934" s="15" t="s">
        <v>273</v>
      </c>
      <c r="F934" s="8" t="str">
        <f aca="false">IFERROR(INDEX(CADASTRO_PIVOS!$C$6:$C$41,MATCH($E934,CADASTRO_PIVOS!$B$6:$B$41,0)),"?")</f>
        <v>RM05</v>
      </c>
      <c r="G934" s="8" t="str">
        <f aca="false">IFERROR(INDEX(CADASTRO_PIVOS!$D$6:$D$41,MATCH($E934,CADASTRO_PIVOS!$B$6:$B$41,0)),"?")</f>
        <v>TR05</v>
      </c>
      <c r="H934" s="20" t="n">
        <f aca="false">IFERROR(INDEX(CADASTRO_PIVOS!$E$6:$E$41,MATCH($E934,CADASTRO_PIVOS!$B$6:$B$41,0)),0)</f>
        <v>99.96</v>
      </c>
      <c r="I934" s="16" t="n">
        <f aca="false">IFERROR(SUMIFS(ROTACAO_RDM!$B$6:$B$71,ROTACAO_RDM!$D$6:$D$71,$E934,ROTACAO_RDM!$I$6:$I$71,"&lt;="&amp;$C934+INT(DIAS_POR_SEMANA/2),ROTACAO_RDM!$J$6:$J$71,"&gt;="&amp;$C934+INT(DIAS_POR_SEMANA/2)),0)</f>
        <v>59</v>
      </c>
      <c r="J934" s="16" t="n">
        <f aca="false">IFERROR(MATCH($I934,ROTACAO_RDM!$B$6:$B$71,0),0)</f>
        <v>59</v>
      </c>
      <c r="K934" s="8" t="str">
        <f aca="false">IF($J934=0,"SEM CULTURA",INDEX(ROTACAO_RDM!$F$6:$F$71,$J934))</f>
        <v>MILHO_SEMENTE</v>
      </c>
      <c r="L934" s="8" t="str">
        <f aca="false">IF($J934=0,"",INDEX(ROTACAO_RDM!$G$6:$G$71,$J934))</f>
        <v>Syngenta</v>
      </c>
      <c r="M934" s="17" t="n">
        <f aca="false">IF($J934=0,"",INDEX(ROTACAO_RDM!$I$6:$I$71,$J934))</f>
        <v>46191</v>
      </c>
      <c r="N934" s="16" t="n">
        <f aca="false">IF($J934=0,0,MAX(0,$C934+INT(DIAS_POR_SEMANA/2)-INDEX(ROTACAO_RDM!$I$6:$I$71,$J934)))</f>
        <v>105</v>
      </c>
      <c r="O934" s="19" t="n">
        <f aca="false">IF($J934=0,0,MIN(1,$N934/MAX(1,INDEX(ROTACAO_RDM!$K$6:$K$71,$J934))))</f>
        <v>0.65625</v>
      </c>
      <c r="P934" s="16" t="n">
        <f aca="false">IF($J934=0,0,IFERROR(MATCH(INDEX(ROTACAO_RDM!$N$6:$N$71,$J934),PARAMETROS_CULTURAS!$B$6:$B$28,0),0))</f>
        <v>7</v>
      </c>
      <c r="Q934" s="8" t="str">
        <f aca="false">IF($P934=0,"-",IF($O934&lt;=INDEX(PARAMETROS_CULTURAS!$F$6:$F$28,$P934),"INICIAL",IF($O934&lt;=INDEX(PARAMETROS_CULTURAS!$F$6:$F$28,$P934)+INDEX(PARAMETROS_CULTURAS!$G$6:$G$28,$P934),"DESENVOLVIMENTO",IF($O934&lt;=INDEX(PARAMETROS_CULTURAS!$F$6:$F$28,$P934)+INDEX(PARAMETROS_CULTURAS!$G$6:$G$28,$P934)+INDEX(PARAMETROS_CULTURAS!$H$6:$H$28,$P934),"MEDIA","FINAL"))))</f>
        <v>MEDIA</v>
      </c>
      <c r="R934" s="24" t="n">
        <f aca="false">IF($P934=0,0,IF($O934&lt;=INDEX(PARAMETROS_CULTURAS!$F$6:$F$28,$P934),INDEX(PARAMETROS_CULTURAS!$K$6:$K$28,$P934),IF($O934&lt;=INDEX(PARAMETROS_CULTURAS!$F$6:$F$28,$P934)+INDEX(PARAMETROS_CULTURAS!$G$6:$G$28,$P934),INDEX(PARAMETROS_CULTURAS!$K$6:$K$28,$P934)+(INDEX(PARAMETROS_CULTURAS!$L$6:$L$28,$P934)-INDEX(PARAMETROS_CULTURAS!$K$6:$K$28,$P934))*($O934-INDEX(PARAMETROS_CULTURAS!$F$6:$F$28,$P934))/MAX(INDEX(PARAMETROS_CULTURAS!$G$6:$G$28,$P934),0.0001),IF($O934&lt;=INDEX(PARAMETROS_CULTURAS!$F$6:$F$28,$P934)+INDEX(PARAMETROS_CULTURAS!$G$6:$G$28,$P934)+INDEX(PARAMETROS_CULTURAS!$H$6:$H$28,$P934),INDEX(PARAMETROS_CULTURAS!$L$6:$L$28,$P934),INDEX(PARAMETROS_CULTURAS!$L$6:$L$28,$P934)+(INDEX(PARAMETROS_CULTURAS!$M$6:$M$28,$P934)-INDEX(PARAMETROS_CULTURAS!$L$6:$L$28,$P934))*($O934-INDEX(PARAMETROS_CULTURAS!$F$6:$F$28,$P934)-INDEX(PARAMETROS_CULTURAS!$G$6:$G$28,$P934)-INDEX(PARAMETROS_CULTURAS!$H$6:$H$28,$P934))/MAX(INDEX(PARAMETROS_CULTURAS!$I$6:$I$28,$P934),0.0001)))))</f>
        <v>1.15</v>
      </c>
      <c r="S934" s="18" t="n">
        <f aca="false">IFERROR(INDEX(SEMANAS!$H$6:$H$71,MATCH($B934,SEMANAS!$B$6:$B$71,0)),0)</f>
        <v>39.8</v>
      </c>
      <c r="T934" s="18" t="n">
        <f aca="false">$R934*$S934</f>
        <v>45.77</v>
      </c>
      <c r="U934" s="18" t="n">
        <f aca="false">IFERROR(INDEX(SEMANAS!$I$6:$I$71,MATCH($B934,SEMANAS!$B$6:$B$71,0)),0)</f>
        <v>18.48</v>
      </c>
      <c r="V934" s="18" t="n">
        <f aca="false">IFERROR(INDEX(SEMANAS!$J$6:$J$71,MATCH($B934,SEMANAS!$B$6:$B$71,0)),0)</f>
        <v>14.784</v>
      </c>
      <c r="W934" s="18" t="n">
        <f aca="false">MAX(0,$T934-$V934)</f>
        <v>30.986</v>
      </c>
      <c r="X934" s="19" t="n">
        <f aca="false">IFERROR(INDEX(CADASTRO_PIVOS!$K$6:$K$41,MATCH($E934,CADASTRO_PIVOS!$B$6:$B$41,0)),EFICIENCIA_PADRAO)</f>
        <v>0.85</v>
      </c>
      <c r="Y934" s="18" t="n">
        <f aca="false">IF($X934&lt;=0,0,$W934/$X934)</f>
        <v>36.4541176470588</v>
      </c>
      <c r="Z934" s="16" t="n">
        <f aca="false">$Y934*$H934*MM_PARA_M3_HA</f>
        <v>36439.536</v>
      </c>
      <c r="AA934" s="18" t="n">
        <f aca="false">IFERROR(INDEX(CADASTRO_PIVOS!$I$6:$I$41,MATCH($E934,CADASTRO_PIVOS!$B$6:$B$41,0)),0)</f>
        <v>714</v>
      </c>
      <c r="AB934" s="18" t="n">
        <f aca="false">IF($Z934&lt;=0,0,$Z934/$AA934)</f>
        <v>51.0357647058824</v>
      </c>
      <c r="AC934" s="16" t="n">
        <f aca="false">IFERROR(INDEX(SEMANAS!$K$6:$K$71,MATCH($B934,SEMANAS!$B$6:$B$71,0)),0)</f>
        <v>147</v>
      </c>
      <c r="AD934" s="19" t="n">
        <f aca="false">IF($AC934&lt;=0,0,$AB934/$AC934)</f>
        <v>0.347182072829132</v>
      </c>
      <c r="AE934" s="8" t="str">
        <f aca="false">IF($K934="SEM CULTURA","SEM CULTURA",IF($AA934&lt;=0,"DADO PENDENTE",IF($AD934&gt;LIMITE_CRITICO,"INVIAVEL",IF($AD934&gt;LIMITE_ATENCAO,"CRITICO",IF($AD934&gt;LIMITE_CONFORTAVEL,"ATENCAO","OK")))))</f>
        <v>OK</v>
      </c>
      <c r="AF934" s="8" t="str">
        <f aca="false">$B934&amp;"|"&amp;TEXT($AD934,"0.000000")</f>
        <v>5|0.347182</v>
      </c>
      <c r="AG934" s="18" t="n">
        <f aca="false">IF($K934="SEM CULTURA",0,$T934*$H934)</f>
        <v>4575.1692</v>
      </c>
      <c r="AH934" s="18" t="n">
        <f aca="false">IF($K934="SEM CULTURA",0,$V934*$H934)</f>
        <v>1477.80864</v>
      </c>
      <c r="AI934" s="18" t="n">
        <f aca="false">IF($K934="SEM CULTURA",0,$W934*$H934)</f>
        <v>3097.36056</v>
      </c>
      <c r="AJ934" s="18" t="n">
        <f aca="false">IF($K934="SEM CULTURA",0,$S934*$H934)</f>
        <v>3978.408</v>
      </c>
      <c r="AK934" s="8" t="str">
        <f aca="false">$E934&amp;"|"&amp;TEXT($AD934,"0.000000")</f>
        <v>PV 131|0.347182</v>
      </c>
    </row>
    <row r="935" customFormat="false" ht="15" hidden="false" customHeight="false" outlineLevel="0" collapsed="false">
      <c r="B935" s="16" t="n">
        <v>6</v>
      </c>
      <c r="C935" s="17" t="n">
        <f aca="false">DATA_INICIO_SAFRA+($B935-1)*DIAS_POR_SEMANA</f>
        <v>46300</v>
      </c>
      <c r="D935" s="17" t="n">
        <f aca="false">$C935+DIAS_POR_SEMANA-1</f>
        <v>46306</v>
      </c>
      <c r="E935" s="15" t="s">
        <v>273</v>
      </c>
      <c r="F935" s="8" t="str">
        <f aca="false">IFERROR(INDEX(CADASTRO_PIVOS!$C$6:$C$41,MATCH($E935,CADASTRO_PIVOS!$B$6:$B$41,0)),"?")</f>
        <v>RM05</v>
      </c>
      <c r="G935" s="8" t="str">
        <f aca="false">IFERROR(INDEX(CADASTRO_PIVOS!$D$6:$D$41,MATCH($E935,CADASTRO_PIVOS!$B$6:$B$41,0)),"?")</f>
        <v>TR05</v>
      </c>
      <c r="H935" s="20" t="n">
        <f aca="false">IFERROR(INDEX(CADASTRO_PIVOS!$E$6:$E$41,MATCH($E935,CADASTRO_PIVOS!$B$6:$B$41,0)),0)</f>
        <v>99.96</v>
      </c>
      <c r="I935" s="16" t="n">
        <f aca="false">IFERROR(SUMIFS(ROTACAO_RDM!$B$6:$B$71,ROTACAO_RDM!$D$6:$D$71,$E935,ROTACAO_RDM!$I$6:$I$71,"&lt;="&amp;$C935+INT(DIAS_POR_SEMANA/2),ROTACAO_RDM!$J$6:$J$71,"&gt;="&amp;$C935+INT(DIAS_POR_SEMANA/2)),0)</f>
        <v>59</v>
      </c>
      <c r="J935" s="16" t="n">
        <f aca="false">IFERROR(MATCH($I935,ROTACAO_RDM!$B$6:$B$71,0),0)</f>
        <v>59</v>
      </c>
      <c r="K935" s="8" t="str">
        <f aca="false">IF($J935=0,"SEM CULTURA",INDEX(ROTACAO_RDM!$F$6:$F$71,$J935))</f>
        <v>MILHO_SEMENTE</v>
      </c>
      <c r="L935" s="8" t="str">
        <f aca="false">IF($J935=0,"",INDEX(ROTACAO_RDM!$G$6:$G$71,$J935))</f>
        <v>Syngenta</v>
      </c>
      <c r="M935" s="17" t="n">
        <f aca="false">IF($J935=0,"",INDEX(ROTACAO_RDM!$I$6:$I$71,$J935))</f>
        <v>46191</v>
      </c>
      <c r="N935" s="16" t="n">
        <f aca="false">IF($J935=0,0,MAX(0,$C935+INT(DIAS_POR_SEMANA/2)-INDEX(ROTACAO_RDM!$I$6:$I$71,$J935)))</f>
        <v>112</v>
      </c>
      <c r="O935" s="19" t="n">
        <f aca="false">IF($J935=0,0,MIN(1,$N935/MAX(1,INDEX(ROTACAO_RDM!$K$6:$K$71,$J935))))</f>
        <v>0.7</v>
      </c>
      <c r="P935" s="16" t="n">
        <f aca="false">IF($J935=0,0,IFERROR(MATCH(INDEX(ROTACAO_RDM!$N$6:$N$71,$J935),PARAMETROS_CULTURAS!$B$6:$B$28,0),0))</f>
        <v>7</v>
      </c>
      <c r="Q935" s="8" t="str">
        <f aca="false">IF($P935=0,"-",IF($O935&lt;=INDEX(PARAMETROS_CULTURAS!$F$6:$F$28,$P935),"INICIAL",IF($O935&lt;=INDEX(PARAMETROS_CULTURAS!$F$6:$F$28,$P935)+INDEX(PARAMETROS_CULTURAS!$G$6:$G$28,$P935),"DESENVOLVIMENTO",IF($O935&lt;=INDEX(PARAMETROS_CULTURAS!$F$6:$F$28,$P935)+INDEX(PARAMETROS_CULTURAS!$G$6:$G$28,$P935)+INDEX(PARAMETROS_CULTURAS!$H$6:$H$28,$P935),"MEDIA","FINAL"))))</f>
        <v>MEDIA</v>
      </c>
      <c r="R935" s="24" t="n">
        <f aca="false">IF($P935=0,0,IF($O935&lt;=INDEX(PARAMETROS_CULTURAS!$F$6:$F$28,$P935),INDEX(PARAMETROS_CULTURAS!$K$6:$K$28,$P935),IF($O935&lt;=INDEX(PARAMETROS_CULTURAS!$F$6:$F$28,$P935)+INDEX(PARAMETROS_CULTURAS!$G$6:$G$28,$P935),INDEX(PARAMETROS_CULTURAS!$K$6:$K$28,$P935)+(INDEX(PARAMETROS_CULTURAS!$L$6:$L$28,$P935)-INDEX(PARAMETROS_CULTURAS!$K$6:$K$28,$P935))*($O935-INDEX(PARAMETROS_CULTURAS!$F$6:$F$28,$P935))/MAX(INDEX(PARAMETROS_CULTURAS!$G$6:$G$28,$P935),0.0001),IF($O935&lt;=INDEX(PARAMETROS_CULTURAS!$F$6:$F$28,$P935)+INDEX(PARAMETROS_CULTURAS!$G$6:$G$28,$P935)+INDEX(PARAMETROS_CULTURAS!$H$6:$H$28,$P935),INDEX(PARAMETROS_CULTURAS!$L$6:$L$28,$P935),INDEX(PARAMETROS_CULTURAS!$L$6:$L$28,$P935)+(INDEX(PARAMETROS_CULTURAS!$M$6:$M$28,$P935)-INDEX(PARAMETROS_CULTURAS!$L$6:$L$28,$P935))*($O935-INDEX(PARAMETROS_CULTURAS!$F$6:$F$28,$P935)-INDEX(PARAMETROS_CULTURAS!$G$6:$G$28,$P935)-INDEX(PARAMETROS_CULTURAS!$H$6:$H$28,$P935))/MAX(INDEX(PARAMETROS_CULTURAS!$I$6:$I$28,$P935),0.0001)))))</f>
        <v>1.15</v>
      </c>
      <c r="S935" s="18" t="n">
        <f aca="false">IFERROR(INDEX(SEMANAS!$H$6:$H$71,MATCH($B935,SEMANAS!$B$6:$B$71,0)),0)</f>
        <v>39.2</v>
      </c>
      <c r="T935" s="18" t="n">
        <f aca="false">$R935*$S935</f>
        <v>45.08</v>
      </c>
      <c r="U935" s="18" t="n">
        <f aca="false">IFERROR(INDEX(SEMANAS!$I$6:$I$71,MATCH($B935,SEMANAS!$B$6:$B$71,0)),0)</f>
        <v>27.09</v>
      </c>
      <c r="V935" s="18" t="n">
        <f aca="false">IFERROR(INDEX(SEMANAS!$J$6:$J$71,MATCH($B935,SEMANAS!$B$6:$B$71,0)),0)</f>
        <v>21.672</v>
      </c>
      <c r="W935" s="18" t="n">
        <f aca="false">MAX(0,$T935-$V935)</f>
        <v>23.408</v>
      </c>
      <c r="X935" s="19" t="n">
        <f aca="false">IFERROR(INDEX(CADASTRO_PIVOS!$K$6:$K$41,MATCH($E935,CADASTRO_PIVOS!$B$6:$B$41,0)),EFICIENCIA_PADRAO)</f>
        <v>0.85</v>
      </c>
      <c r="Y935" s="18" t="n">
        <f aca="false">IF($X935&lt;=0,0,$W935/$X935)</f>
        <v>27.5388235294118</v>
      </c>
      <c r="Z935" s="16" t="n">
        <f aca="false">$Y935*$H935*MM_PARA_M3_HA</f>
        <v>27527.808</v>
      </c>
      <c r="AA935" s="18" t="n">
        <f aca="false">IFERROR(INDEX(CADASTRO_PIVOS!$I$6:$I$41,MATCH($E935,CADASTRO_PIVOS!$B$6:$B$41,0)),0)</f>
        <v>714</v>
      </c>
      <c r="AB935" s="18" t="n">
        <f aca="false">IF($Z935&lt;=0,0,$Z935/$AA935)</f>
        <v>38.5543529411765</v>
      </c>
      <c r="AC935" s="16" t="n">
        <f aca="false">IFERROR(INDEX(SEMANAS!$K$6:$K$71,MATCH($B935,SEMANAS!$B$6:$B$71,0)),0)</f>
        <v>147</v>
      </c>
      <c r="AD935" s="19" t="n">
        <f aca="false">IF($AC935&lt;=0,0,$AB935/$AC935)</f>
        <v>0.262274509803922</v>
      </c>
      <c r="AE935" s="8" t="str">
        <f aca="false">IF($K935="SEM CULTURA","SEM CULTURA",IF($AA935&lt;=0,"DADO PENDENTE",IF($AD935&gt;LIMITE_CRITICO,"INVIAVEL",IF($AD935&gt;LIMITE_ATENCAO,"CRITICO",IF($AD935&gt;LIMITE_CONFORTAVEL,"ATENCAO","OK")))))</f>
        <v>OK</v>
      </c>
      <c r="AF935" s="8" t="str">
        <f aca="false">$B935&amp;"|"&amp;TEXT($AD935,"0.000000")</f>
        <v>6|0.262275</v>
      </c>
      <c r="AG935" s="18" t="n">
        <f aca="false">IF($K935="SEM CULTURA",0,$T935*$H935)</f>
        <v>4506.1968</v>
      </c>
      <c r="AH935" s="18" t="n">
        <f aca="false">IF($K935="SEM CULTURA",0,$V935*$H935)</f>
        <v>2166.33312</v>
      </c>
      <c r="AI935" s="18" t="n">
        <f aca="false">IF($K935="SEM CULTURA",0,$W935*$H935)</f>
        <v>2339.86368</v>
      </c>
      <c r="AJ935" s="18" t="n">
        <f aca="false">IF($K935="SEM CULTURA",0,$S935*$H935)</f>
        <v>3918.432</v>
      </c>
      <c r="AK935" s="8" t="str">
        <f aca="false">$E935&amp;"|"&amp;TEXT($AD935,"0.000000")</f>
        <v>PV 131|0.262275</v>
      </c>
    </row>
    <row r="936" customFormat="false" ht="15" hidden="false" customHeight="false" outlineLevel="0" collapsed="false">
      <c r="B936" s="16" t="n">
        <v>7</v>
      </c>
      <c r="C936" s="17" t="n">
        <f aca="false">DATA_INICIO_SAFRA+($B936-1)*DIAS_POR_SEMANA</f>
        <v>46307</v>
      </c>
      <c r="D936" s="17" t="n">
        <f aca="false">$C936+DIAS_POR_SEMANA-1</f>
        <v>46313</v>
      </c>
      <c r="E936" s="15" t="s">
        <v>273</v>
      </c>
      <c r="F936" s="8" t="str">
        <f aca="false">IFERROR(INDEX(CADASTRO_PIVOS!$C$6:$C$41,MATCH($E936,CADASTRO_PIVOS!$B$6:$B$41,0)),"?")</f>
        <v>RM05</v>
      </c>
      <c r="G936" s="8" t="str">
        <f aca="false">IFERROR(INDEX(CADASTRO_PIVOS!$D$6:$D$41,MATCH($E936,CADASTRO_PIVOS!$B$6:$B$41,0)),"?")</f>
        <v>TR05</v>
      </c>
      <c r="H936" s="20" t="n">
        <f aca="false">IFERROR(INDEX(CADASTRO_PIVOS!$E$6:$E$41,MATCH($E936,CADASTRO_PIVOS!$B$6:$B$41,0)),0)</f>
        <v>99.96</v>
      </c>
      <c r="I936" s="16" t="n">
        <f aca="false">IFERROR(SUMIFS(ROTACAO_RDM!$B$6:$B$71,ROTACAO_RDM!$D$6:$D$71,$E936,ROTACAO_RDM!$I$6:$I$71,"&lt;="&amp;$C936+INT(DIAS_POR_SEMANA/2),ROTACAO_RDM!$J$6:$J$71,"&gt;="&amp;$C936+INT(DIAS_POR_SEMANA/2)),0)</f>
        <v>59</v>
      </c>
      <c r="J936" s="16" t="n">
        <f aca="false">IFERROR(MATCH($I936,ROTACAO_RDM!$B$6:$B$71,0),0)</f>
        <v>59</v>
      </c>
      <c r="K936" s="8" t="str">
        <f aca="false">IF($J936=0,"SEM CULTURA",INDEX(ROTACAO_RDM!$F$6:$F$71,$J936))</f>
        <v>MILHO_SEMENTE</v>
      </c>
      <c r="L936" s="8" t="str">
        <f aca="false">IF($J936=0,"",INDEX(ROTACAO_RDM!$G$6:$G$71,$J936))</f>
        <v>Syngenta</v>
      </c>
      <c r="M936" s="17" t="n">
        <f aca="false">IF($J936=0,"",INDEX(ROTACAO_RDM!$I$6:$I$71,$J936))</f>
        <v>46191</v>
      </c>
      <c r="N936" s="16" t="n">
        <f aca="false">IF($J936=0,0,MAX(0,$C936+INT(DIAS_POR_SEMANA/2)-INDEX(ROTACAO_RDM!$I$6:$I$71,$J936)))</f>
        <v>119</v>
      </c>
      <c r="O936" s="19" t="n">
        <f aca="false">IF($J936=0,0,MIN(1,$N936/MAX(1,INDEX(ROTACAO_RDM!$K$6:$K$71,$J936))))</f>
        <v>0.74375</v>
      </c>
      <c r="P936" s="16" t="n">
        <f aca="false">IF($J936=0,0,IFERROR(MATCH(INDEX(ROTACAO_RDM!$N$6:$N$71,$J936),PARAMETROS_CULTURAS!$B$6:$B$28,0),0))</f>
        <v>7</v>
      </c>
      <c r="Q936" s="8" t="str">
        <f aca="false">IF($P936=0,"-",IF($O936&lt;=INDEX(PARAMETROS_CULTURAS!$F$6:$F$28,$P936),"INICIAL",IF($O936&lt;=INDEX(PARAMETROS_CULTURAS!$F$6:$F$28,$P936)+INDEX(PARAMETROS_CULTURAS!$G$6:$G$28,$P936),"DESENVOLVIMENTO",IF($O936&lt;=INDEX(PARAMETROS_CULTURAS!$F$6:$F$28,$P936)+INDEX(PARAMETROS_CULTURAS!$G$6:$G$28,$P936)+INDEX(PARAMETROS_CULTURAS!$H$6:$H$28,$P936),"MEDIA","FINAL"))))</f>
        <v>MEDIA</v>
      </c>
      <c r="R936" s="24" t="n">
        <f aca="false">IF($P936=0,0,IF($O936&lt;=INDEX(PARAMETROS_CULTURAS!$F$6:$F$28,$P936),INDEX(PARAMETROS_CULTURAS!$K$6:$K$28,$P936),IF($O936&lt;=INDEX(PARAMETROS_CULTURAS!$F$6:$F$28,$P936)+INDEX(PARAMETROS_CULTURAS!$G$6:$G$28,$P936),INDEX(PARAMETROS_CULTURAS!$K$6:$K$28,$P936)+(INDEX(PARAMETROS_CULTURAS!$L$6:$L$28,$P936)-INDEX(PARAMETROS_CULTURAS!$K$6:$K$28,$P936))*($O936-INDEX(PARAMETROS_CULTURAS!$F$6:$F$28,$P936))/MAX(INDEX(PARAMETROS_CULTURAS!$G$6:$G$28,$P936),0.0001),IF($O936&lt;=INDEX(PARAMETROS_CULTURAS!$F$6:$F$28,$P936)+INDEX(PARAMETROS_CULTURAS!$G$6:$G$28,$P936)+INDEX(PARAMETROS_CULTURAS!$H$6:$H$28,$P936),INDEX(PARAMETROS_CULTURAS!$L$6:$L$28,$P936),INDEX(PARAMETROS_CULTURAS!$L$6:$L$28,$P936)+(INDEX(PARAMETROS_CULTURAS!$M$6:$M$28,$P936)-INDEX(PARAMETROS_CULTURAS!$L$6:$L$28,$P936))*($O936-INDEX(PARAMETROS_CULTURAS!$F$6:$F$28,$P936)-INDEX(PARAMETROS_CULTURAS!$G$6:$G$28,$P936)-INDEX(PARAMETROS_CULTURAS!$H$6:$H$28,$P936))/MAX(INDEX(PARAMETROS_CULTURAS!$I$6:$I$28,$P936),0.0001)))))</f>
        <v>1.15</v>
      </c>
      <c r="S936" s="18" t="n">
        <f aca="false">IFERROR(INDEX(SEMANAS!$H$6:$H$71,MATCH($B936,SEMANAS!$B$6:$B$71,0)),0)</f>
        <v>39.2</v>
      </c>
      <c r="T936" s="18" t="n">
        <f aca="false">$R936*$S936</f>
        <v>45.08</v>
      </c>
      <c r="U936" s="18" t="n">
        <f aca="false">IFERROR(INDEX(SEMANAS!$I$6:$I$71,MATCH($B936,SEMANAS!$B$6:$B$71,0)),0)</f>
        <v>27.09</v>
      </c>
      <c r="V936" s="18" t="n">
        <f aca="false">IFERROR(INDEX(SEMANAS!$J$6:$J$71,MATCH($B936,SEMANAS!$B$6:$B$71,0)),0)</f>
        <v>21.672</v>
      </c>
      <c r="W936" s="18" t="n">
        <f aca="false">MAX(0,$T936-$V936)</f>
        <v>23.408</v>
      </c>
      <c r="X936" s="19" t="n">
        <f aca="false">IFERROR(INDEX(CADASTRO_PIVOS!$K$6:$K$41,MATCH($E936,CADASTRO_PIVOS!$B$6:$B$41,0)),EFICIENCIA_PADRAO)</f>
        <v>0.85</v>
      </c>
      <c r="Y936" s="18" t="n">
        <f aca="false">IF($X936&lt;=0,0,$W936/$X936)</f>
        <v>27.5388235294118</v>
      </c>
      <c r="Z936" s="16" t="n">
        <f aca="false">$Y936*$H936*MM_PARA_M3_HA</f>
        <v>27527.808</v>
      </c>
      <c r="AA936" s="18" t="n">
        <f aca="false">IFERROR(INDEX(CADASTRO_PIVOS!$I$6:$I$41,MATCH($E936,CADASTRO_PIVOS!$B$6:$B$41,0)),0)</f>
        <v>714</v>
      </c>
      <c r="AB936" s="18" t="n">
        <f aca="false">IF($Z936&lt;=0,0,$Z936/$AA936)</f>
        <v>38.5543529411765</v>
      </c>
      <c r="AC936" s="16" t="n">
        <f aca="false">IFERROR(INDEX(SEMANAS!$K$6:$K$71,MATCH($B936,SEMANAS!$B$6:$B$71,0)),0)</f>
        <v>147</v>
      </c>
      <c r="AD936" s="19" t="n">
        <f aca="false">IF($AC936&lt;=0,0,$AB936/$AC936)</f>
        <v>0.262274509803922</v>
      </c>
      <c r="AE936" s="8" t="str">
        <f aca="false">IF($K936="SEM CULTURA","SEM CULTURA",IF($AA936&lt;=0,"DADO PENDENTE",IF($AD936&gt;LIMITE_CRITICO,"INVIAVEL",IF($AD936&gt;LIMITE_ATENCAO,"CRITICO",IF($AD936&gt;LIMITE_CONFORTAVEL,"ATENCAO","OK")))))</f>
        <v>OK</v>
      </c>
      <c r="AF936" s="8" t="str">
        <f aca="false">$B936&amp;"|"&amp;TEXT($AD936,"0.000000")</f>
        <v>7|0.262275</v>
      </c>
      <c r="AG936" s="18" t="n">
        <f aca="false">IF($K936="SEM CULTURA",0,$T936*$H936)</f>
        <v>4506.1968</v>
      </c>
      <c r="AH936" s="18" t="n">
        <f aca="false">IF($K936="SEM CULTURA",0,$V936*$H936)</f>
        <v>2166.33312</v>
      </c>
      <c r="AI936" s="18" t="n">
        <f aca="false">IF($K936="SEM CULTURA",0,$W936*$H936)</f>
        <v>2339.86368</v>
      </c>
      <c r="AJ936" s="18" t="n">
        <f aca="false">IF($K936="SEM CULTURA",0,$S936*$H936)</f>
        <v>3918.432</v>
      </c>
      <c r="AK936" s="8" t="str">
        <f aca="false">$E936&amp;"|"&amp;TEXT($AD936,"0.000000")</f>
        <v>PV 131|0.262275</v>
      </c>
    </row>
    <row r="937" customFormat="false" ht="15" hidden="false" customHeight="false" outlineLevel="0" collapsed="false">
      <c r="B937" s="16" t="n">
        <v>8</v>
      </c>
      <c r="C937" s="17" t="n">
        <f aca="false">DATA_INICIO_SAFRA+($B937-1)*DIAS_POR_SEMANA</f>
        <v>46314</v>
      </c>
      <c r="D937" s="17" t="n">
        <f aca="false">$C937+DIAS_POR_SEMANA-1</f>
        <v>46320</v>
      </c>
      <c r="E937" s="15" t="s">
        <v>273</v>
      </c>
      <c r="F937" s="8" t="str">
        <f aca="false">IFERROR(INDEX(CADASTRO_PIVOS!$C$6:$C$41,MATCH($E937,CADASTRO_PIVOS!$B$6:$B$41,0)),"?")</f>
        <v>RM05</v>
      </c>
      <c r="G937" s="8" t="str">
        <f aca="false">IFERROR(INDEX(CADASTRO_PIVOS!$D$6:$D$41,MATCH($E937,CADASTRO_PIVOS!$B$6:$B$41,0)),"?")</f>
        <v>TR05</v>
      </c>
      <c r="H937" s="20" t="n">
        <f aca="false">IFERROR(INDEX(CADASTRO_PIVOS!$E$6:$E$41,MATCH($E937,CADASTRO_PIVOS!$B$6:$B$41,0)),0)</f>
        <v>99.96</v>
      </c>
      <c r="I937" s="16" t="n">
        <f aca="false">IFERROR(SUMIFS(ROTACAO_RDM!$B$6:$B$71,ROTACAO_RDM!$D$6:$D$71,$E937,ROTACAO_RDM!$I$6:$I$71,"&lt;="&amp;$C937+INT(DIAS_POR_SEMANA/2),ROTACAO_RDM!$J$6:$J$71,"&gt;="&amp;$C937+INT(DIAS_POR_SEMANA/2)),0)</f>
        <v>59</v>
      </c>
      <c r="J937" s="16" t="n">
        <f aca="false">IFERROR(MATCH($I937,ROTACAO_RDM!$B$6:$B$71,0),0)</f>
        <v>59</v>
      </c>
      <c r="K937" s="8" t="str">
        <f aca="false">IF($J937=0,"SEM CULTURA",INDEX(ROTACAO_RDM!$F$6:$F$71,$J937))</f>
        <v>MILHO_SEMENTE</v>
      </c>
      <c r="L937" s="8" t="str">
        <f aca="false">IF($J937=0,"",INDEX(ROTACAO_RDM!$G$6:$G$71,$J937))</f>
        <v>Syngenta</v>
      </c>
      <c r="M937" s="17" t="n">
        <f aca="false">IF($J937=0,"",INDEX(ROTACAO_RDM!$I$6:$I$71,$J937))</f>
        <v>46191</v>
      </c>
      <c r="N937" s="16" t="n">
        <f aca="false">IF($J937=0,0,MAX(0,$C937+INT(DIAS_POR_SEMANA/2)-INDEX(ROTACAO_RDM!$I$6:$I$71,$J937)))</f>
        <v>126</v>
      </c>
      <c r="O937" s="19" t="n">
        <f aca="false">IF($J937=0,0,MIN(1,$N937/MAX(1,INDEX(ROTACAO_RDM!$K$6:$K$71,$J937))))</f>
        <v>0.7875</v>
      </c>
      <c r="P937" s="16" t="n">
        <f aca="false">IF($J937=0,0,IFERROR(MATCH(INDEX(ROTACAO_RDM!$N$6:$N$71,$J937),PARAMETROS_CULTURAS!$B$6:$B$28,0),0))</f>
        <v>7</v>
      </c>
      <c r="Q937" s="8" t="str">
        <f aca="false">IF($P937=0,"-",IF($O937&lt;=INDEX(PARAMETROS_CULTURAS!$F$6:$F$28,$P937),"INICIAL",IF($O937&lt;=INDEX(PARAMETROS_CULTURAS!$F$6:$F$28,$P937)+INDEX(PARAMETROS_CULTURAS!$G$6:$G$28,$P937),"DESENVOLVIMENTO",IF($O937&lt;=INDEX(PARAMETROS_CULTURAS!$F$6:$F$28,$P937)+INDEX(PARAMETROS_CULTURAS!$G$6:$G$28,$P937)+INDEX(PARAMETROS_CULTURAS!$H$6:$H$28,$P937),"MEDIA","FINAL"))))</f>
        <v>FINAL</v>
      </c>
      <c r="R937" s="24" t="n">
        <f aca="false">IF($P937=0,0,IF($O937&lt;=INDEX(PARAMETROS_CULTURAS!$F$6:$F$28,$P937),INDEX(PARAMETROS_CULTURAS!$K$6:$K$28,$P937),IF($O937&lt;=INDEX(PARAMETROS_CULTURAS!$F$6:$F$28,$P937)+INDEX(PARAMETROS_CULTURAS!$G$6:$G$28,$P937),INDEX(PARAMETROS_CULTURAS!$K$6:$K$28,$P937)+(INDEX(PARAMETROS_CULTURAS!$L$6:$L$28,$P937)-INDEX(PARAMETROS_CULTURAS!$K$6:$K$28,$P937))*($O937-INDEX(PARAMETROS_CULTURAS!$F$6:$F$28,$P937))/MAX(INDEX(PARAMETROS_CULTURAS!$G$6:$G$28,$P937),0.0001),IF($O937&lt;=INDEX(PARAMETROS_CULTURAS!$F$6:$F$28,$P937)+INDEX(PARAMETROS_CULTURAS!$G$6:$G$28,$P937)+INDEX(PARAMETROS_CULTURAS!$H$6:$H$28,$P937),INDEX(PARAMETROS_CULTURAS!$L$6:$L$28,$P937),INDEX(PARAMETROS_CULTURAS!$L$6:$L$28,$P937)+(INDEX(PARAMETROS_CULTURAS!$M$6:$M$28,$P937)-INDEX(PARAMETROS_CULTURAS!$L$6:$L$28,$P937))*($O937-INDEX(PARAMETROS_CULTURAS!$F$6:$F$28,$P937)-INDEX(PARAMETROS_CULTURAS!$G$6:$G$28,$P937)-INDEX(PARAMETROS_CULTURAS!$H$6:$H$28,$P937))/MAX(INDEX(PARAMETROS_CULTURAS!$I$6:$I$28,$P937),0.0001)))))</f>
        <v>1.0675</v>
      </c>
      <c r="S937" s="18" t="n">
        <f aca="false">IFERROR(INDEX(SEMANAS!$H$6:$H$71,MATCH($B937,SEMANAS!$B$6:$B$71,0)),0)</f>
        <v>39.2</v>
      </c>
      <c r="T937" s="18" t="n">
        <f aca="false">$R937*$S937</f>
        <v>41.846</v>
      </c>
      <c r="U937" s="18" t="n">
        <f aca="false">IFERROR(INDEX(SEMANAS!$I$6:$I$71,MATCH($B937,SEMANAS!$B$6:$B$71,0)),0)</f>
        <v>27.09</v>
      </c>
      <c r="V937" s="18" t="n">
        <f aca="false">IFERROR(INDEX(SEMANAS!$J$6:$J$71,MATCH($B937,SEMANAS!$B$6:$B$71,0)),0)</f>
        <v>21.672</v>
      </c>
      <c r="W937" s="18" t="n">
        <f aca="false">MAX(0,$T937-$V937)</f>
        <v>20.174</v>
      </c>
      <c r="X937" s="19" t="n">
        <f aca="false">IFERROR(INDEX(CADASTRO_PIVOS!$K$6:$K$41,MATCH($E937,CADASTRO_PIVOS!$B$6:$B$41,0)),EFICIENCIA_PADRAO)</f>
        <v>0.85</v>
      </c>
      <c r="Y937" s="18" t="n">
        <f aca="false">IF($X937&lt;=0,0,$W937/$X937)</f>
        <v>23.7341176470588</v>
      </c>
      <c r="Z937" s="16" t="n">
        <f aca="false">$Y937*$H937*MM_PARA_M3_HA</f>
        <v>23724.624</v>
      </c>
      <c r="AA937" s="18" t="n">
        <f aca="false">IFERROR(INDEX(CADASTRO_PIVOS!$I$6:$I$41,MATCH($E937,CADASTRO_PIVOS!$B$6:$B$41,0)),0)</f>
        <v>714</v>
      </c>
      <c r="AB937" s="18" t="n">
        <f aca="false">IF($Z937&lt;=0,0,$Z937/$AA937)</f>
        <v>33.2277647058824</v>
      </c>
      <c r="AC937" s="16" t="n">
        <f aca="false">IFERROR(INDEX(SEMANAS!$K$6:$K$71,MATCH($B937,SEMANAS!$B$6:$B$71,0)),0)</f>
        <v>147</v>
      </c>
      <c r="AD937" s="19" t="n">
        <f aca="false">IF($AC937&lt;=0,0,$AB937/$AC937)</f>
        <v>0.226039215686275</v>
      </c>
      <c r="AE937" s="8" t="str">
        <f aca="false">IF($K937="SEM CULTURA","SEM CULTURA",IF($AA937&lt;=0,"DADO PENDENTE",IF($AD937&gt;LIMITE_CRITICO,"INVIAVEL",IF($AD937&gt;LIMITE_ATENCAO,"CRITICO",IF($AD937&gt;LIMITE_CONFORTAVEL,"ATENCAO","OK")))))</f>
        <v>OK</v>
      </c>
      <c r="AF937" s="8" t="str">
        <f aca="false">$B937&amp;"|"&amp;TEXT($AD937,"0.000000")</f>
        <v>8|0.226039</v>
      </c>
      <c r="AG937" s="18" t="n">
        <f aca="false">IF($K937="SEM CULTURA",0,$T937*$H937)</f>
        <v>4182.92616</v>
      </c>
      <c r="AH937" s="18" t="n">
        <f aca="false">IF($K937="SEM CULTURA",0,$V937*$H937)</f>
        <v>2166.33312</v>
      </c>
      <c r="AI937" s="18" t="n">
        <f aca="false">IF($K937="SEM CULTURA",0,$W937*$H937)</f>
        <v>2016.59304</v>
      </c>
      <c r="AJ937" s="18" t="n">
        <f aca="false">IF($K937="SEM CULTURA",0,$S937*$H937)</f>
        <v>3918.432</v>
      </c>
      <c r="AK937" s="8" t="str">
        <f aca="false">$E937&amp;"|"&amp;TEXT($AD937,"0.000000")</f>
        <v>PV 131|0.226039</v>
      </c>
    </row>
    <row r="938" customFormat="false" ht="15" hidden="false" customHeight="false" outlineLevel="0" collapsed="false">
      <c r="B938" s="16" t="n">
        <v>9</v>
      </c>
      <c r="C938" s="17" t="n">
        <f aca="false">DATA_INICIO_SAFRA+($B938-1)*DIAS_POR_SEMANA</f>
        <v>46321</v>
      </c>
      <c r="D938" s="17" t="n">
        <f aca="false">$C938+DIAS_POR_SEMANA-1</f>
        <v>46327</v>
      </c>
      <c r="E938" s="15" t="s">
        <v>273</v>
      </c>
      <c r="F938" s="8" t="str">
        <f aca="false">IFERROR(INDEX(CADASTRO_PIVOS!$C$6:$C$41,MATCH($E938,CADASTRO_PIVOS!$B$6:$B$41,0)),"?")</f>
        <v>RM05</v>
      </c>
      <c r="G938" s="8" t="str">
        <f aca="false">IFERROR(INDEX(CADASTRO_PIVOS!$D$6:$D$41,MATCH($E938,CADASTRO_PIVOS!$B$6:$B$41,0)),"?")</f>
        <v>TR05</v>
      </c>
      <c r="H938" s="20" t="n">
        <f aca="false">IFERROR(INDEX(CADASTRO_PIVOS!$E$6:$E$41,MATCH($E938,CADASTRO_PIVOS!$B$6:$B$41,0)),0)</f>
        <v>99.96</v>
      </c>
      <c r="I938" s="16" t="n">
        <f aca="false">IFERROR(SUMIFS(ROTACAO_RDM!$B$6:$B$71,ROTACAO_RDM!$D$6:$D$71,$E938,ROTACAO_RDM!$I$6:$I$71,"&lt;="&amp;$C938+INT(DIAS_POR_SEMANA/2),ROTACAO_RDM!$J$6:$J$71,"&gt;="&amp;$C938+INT(DIAS_POR_SEMANA/2)),0)</f>
        <v>59</v>
      </c>
      <c r="J938" s="16" t="n">
        <f aca="false">IFERROR(MATCH($I938,ROTACAO_RDM!$B$6:$B$71,0),0)</f>
        <v>59</v>
      </c>
      <c r="K938" s="8" t="str">
        <f aca="false">IF($J938=0,"SEM CULTURA",INDEX(ROTACAO_RDM!$F$6:$F$71,$J938))</f>
        <v>MILHO_SEMENTE</v>
      </c>
      <c r="L938" s="8" t="str">
        <f aca="false">IF($J938=0,"",INDEX(ROTACAO_RDM!$G$6:$G$71,$J938))</f>
        <v>Syngenta</v>
      </c>
      <c r="M938" s="17" t="n">
        <f aca="false">IF($J938=0,"",INDEX(ROTACAO_RDM!$I$6:$I$71,$J938))</f>
        <v>46191</v>
      </c>
      <c r="N938" s="16" t="n">
        <f aca="false">IF($J938=0,0,MAX(0,$C938+INT(DIAS_POR_SEMANA/2)-INDEX(ROTACAO_RDM!$I$6:$I$71,$J938)))</f>
        <v>133</v>
      </c>
      <c r="O938" s="19" t="n">
        <f aca="false">IF($J938=0,0,MIN(1,$N938/MAX(1,INDEX(ROTACAO_RDM!$K$6:$K$71,$J938))))</f>
        <v>0.83125</v>
      </c>
      <c r="P938" s="16" t="n">
        <f aca="false">IF($J938=0,0,IFERROR(MATCH(INDEX(ROTACAO_RDM!$N$6:$N$71,$J938),PARAMETROS_CULTURAS!$B$6:$B$28,0),0))</f>
        <v>7</v>
      </c>
      <c r="Q938" s="8" t="str">
        <f aca="false">IF($P938=0,"-",IF($O938&lt;=INDEX(PARAMETROS_CULTURAS!$F$6:$F$28,$P938),"INICIAL",IF($O938&lt;=INDEX(PARAMETROS_CULTURAS!$F$6:$F$28,$P938)+INDEX(PARAMETROS_CULTURAS!$G$6:$G$28,$P938),"DESENVOLVIMENTO",IF($O938&lt;=INDEX(PARAMETROS_CULTURAS!$F$6:$F$28,$P938)+INDEX(PARAMETROS_CULTURAS!$G$6:$G$28,$P938)+INDEX(PARAMETROS_CULTURAS!$H$6:$H$28,$P938),"MEDIA","FINAL"))))</f>
        <v>FINAL</v>
      </c>
      <c r="R938" s="24" t="n">
        <f aca="false">IF($P938=0,0,IF($O938&lt;=INDEX(PARAMETROS_CULTURAS!$F$6:$F$28,$P938),INDEX(PARAMETROS_CULTURAS!$K$6:$K$28,$P938),IF($O938&lt;=INDEX(PARAMETROS_CULTURAS!$F$6:$F$28,$P938)+INDEX(PARAMETROS_CULTURAS!$G$6:$G$28,$P938),INDEX(PARAMETROS_CULTURAS!$K$6:$K$28,$P938)+(INDEX(PARAMETROS_CULTURAS!$L$6:$L$28,$P938)-INDEX(PARAMETROS_CULTURAS!$K$6:$K$28,$P938))*($O938-INDEX(PARAMETROS_CULTURAS!$F$6:$F$28,$P938))/MAX(INDEX(PARAMETROS_CULTURAS!$G$6:$G$28,$P938),0.0001),IF($O938&lt;=INDEX(PARAMETROS_CULTURAS!$F$6:$F$28,$P938)+INDEX(PARAMETROS_CULTURAS!$G$6:$G$28,$P938)+INDEX(PARAMETROS_CULTURAS!$H$6:$H$28,$P938),INDEX(PARAMETROS_CULTURAS!$L$6:$L$28,$P938),INDEX(PARAMETROS_CULTURAS!$L$6:$L$28,$P938)+(INDEX(PARAMETROS_CULTURAS!$M$6:$M$28,$P938)-INDEX(PARAMETROS_CULTURAS!$L$6:$L$28,$P938))*($O938-INDEX(PARAMETROS_CULTURAS!$F$6:$F$28,$P938)-INDEX(PARAMETROS_CULTURAS!$G$6:$G$28,$P938)-INDEX(PARAMETROS_CULTURAS!$H$6:$H$28,$P938))/MAX(INDEX(PARAMETROS_CULTURAS!$I$6:$I$28,$P938),0.0001)))))</f>
        <v>0.97125</v>
      </c>
      <c r="S938" s="18" t="n">
        <f aca="false">IFERROR(INDEX(SEMANAS!$H$6:$H$71,MATCH($B938,SEMANAS!$B$6:$B$71,0)),0)</f>
        <v>38.5</v>
      </c>
      <c r="T938" s="18" t="n">
        <f aca="false">$R938*$S938</f>
        <v>37.393125</v>
      </c>
      <c r="U938" s="18" t="n">
        <f aca="false">IFERROR(INDEX(SEMANAS!$I$6:$I$71,MATCH($B938,SEMANAS!$B$6:$B$71,0)),0)</f>
        <v>29.89</v>
      </c>
      <c r="V938" s="18" t="n">
        <f aca="false">IFERROR(INDEX(SEMANAS!$J$6:$J$71,MATCH($B938,SEMANAS!$B$6:$B$71,0)),0)</f>
        <v>23.912</v>
      </c>
      <c r="W938" s="18" t="n">
        <f aca="false">MAX(0,$T938-$V938)</f>
        <v>13.481125</v>
      </c>
      <c r="X938" s="19" t="n">
        <f aca="false">IFERROR(INDEX(CADASTRO_PIVOS!$K$6:$K$41,MATCH($E938,CADASTRO_PIVOS!$B$6:$B$41,0)),EFICIENCIA_PADRAO)</f>
        <v>0.85</v>
      </c>
      <c r="Y938" s="18" t="n">
        <f aca="false">IF($X938&lt;=0,0,$W938/$X938)</f>
        <v>15.8601470588235</v>
      </c>
      <c r="Z938" s="16" t="n">
        <f aca="false">$Y938*$H938*MM_PARA_M3_HA</f>
        <v>15853.803</v>
      </c>
      <c r="AA938" s="18" t="n">
        <f aca="false">IFERROR(INDEX(CADASTRO_PIVOS!$I$6:$I$41,MATCH($E938,CADASTRO_PIVOS!$B$6:$B$41,0)),0)</f>
        <v>714</v>
      </c>
      <c r="AB938" s="18" t="n">
        <f aca="false">IF($Z938&lt;=0,0,$Z938/$AA938)</f>
        <v>22.2042058823529</v>
      </c>
      <c r="AC938" s="16" t="n">
        <f aca="false">IFERROR(INDEX(SEMANAS!$K$6:$K$71,MATCH($B938,SEMANAS!$B$6:$B$71,0)),0)</f>
        <v>147</v>
      </c>
      <c r="AD938" s="19" t="n">
        <f aca="false">IF($AC938&lt;=0,0,$AB938/$AC938)</f>
        <v>0.151049019607843</v>
      </c>
      <c r="AE938" s="8" t="str">
        <f aca="false">IF($K938="SEM CULTURA","SEM CULTURA",IF($AA938&lt;=0,"DADO PENDENTE",IF($AD938&gt;LIMITE_CRITICO,"INVIAVEL",IF($AD938&gt;LIMITE_ATENCAO,"CRITICO",IF($AD938&gt;LIMITE_CONFORTAVEL,"ATENCAO","OK")))))</f>
        <v>OK</v>
      </c>
      <c r="AF938" s="8" t="str">
        <f aca="false">$B938&amp;"|"&amp;TEXT($AD938,"0.000000")</f>
        <v>9|0.151049</v>
      </c>
      <c r="AG938" s="18" t="n">
        <f aca="false">IF($K938="SEM CULTURA",0,$T938*$H938)</f>
        <v>3737.816775</v>
      </c>
      <c r="AH938" s="18" t="n">
        <f aca="false">IF($K938="SEM CULTURA",0,$V938*$H938)</f>
        <v>2390.24352</v>
      </c>
      <c r="AI938" s="18" t="n">
        <f aca="false">IF($K938="SEM CULTURA",0,$W938*$H938)</f>
        <v>1347.573255</v>
      </c>
      <c r="AJ938" s="18" t="n">
        <f aca="false">IF($K938="SEM CULTURA",0,$S938*$H938)</f>
        <v>3848.46</v>
      </c>
      <c r="AK938" s="8" t="str">
        <f aca="false">$E938&amp;"|"&amp;TEXT($AD938,"0.000000")</f>
        <v>PV 131|0.151049</v>
      </c>
    </row>
    <row r="939" customFormat="false" ht="15" hidden="false" customHeight="false" outlineLevel="0" collapsed="false">
      <c r="B939" s="16" t="n">
        <v>10</v>
      </c>
      <c r="C939" s="17" t="n">
        <f aca="false">DATA_INICIO_SAFRA+($B939-1)*DIAS_POR_SEMANA</f>
        <v>46328</v>
      </c>
      <c r="D939" s="17" t="n">
        <f aca="false">$C939+DIAS_POR_SEMANA-1</f>
        <v>46334</v>
      </c>
      <c r="E939" s="15" t="s">
        <v>273</v>
      </c>
      <c r="F939" s="8" t="str">
        <f aca="false">IFERROR(INDEX(CADASTRO_PIVOS!$C$6:$C$41,MATCH($E939,CADASTRO_PIVOS!$B$6:$B$41,0)),"?")</f>
        <v>RM05</v>
      </c>
      <c r="G939" s="8" t="str">
        <f aca="false">IFERROR(INDEX(CADASTRO_PIVOS!$D$6:$D$41,MATCH($E939,CADASTRO_PIVOS!$B$6:$B$41,0)),"?")</f>
        <v>TR05</v>
      </c>
      <c r="H939" s="20" t="n">
        <f aca="false">IFERROR(INDEX(CADASTRO_PIVOS!$E$6:$E$41,MATCH($E939,CADASTRO_PIVOS!$B$6:$B$41,0)),0)</f>
        <v>99.96</v>
      </c>
      <c r="I939" s="16" t="n">
        <f aca="false">IFERROR(SUMIFS(ROTACAO_RDM!$B$6:$B$71,ROTACAO_RDM!$D$6:$D$71,$E939,ROTACAO_RDM!$I$6:$I$71,"&lt;="&amp;$C939+INT(DIAS_POR_SEMANA/2),ROTACAO_RDM!$J$6:$J$71,"&gt;="&amp;$C939+INT(DIAS_POR_SEMANA/2)),0)</f>
        <v>59</v>
      </c>
      <c r="J939" s="16" t="n">
        <f aca="false">IFERROR(MATCH($I939,ROTACAO_RDM!$B$6:$B$71,0),0)</f>
        <v>59</v>
      </c>
      <c r="K939" s="8" t="str">
        <f aca="false">IF($J939=0,"SEM CULTURA",INDEX(ROTACAO_RDM!$F$6:$F$71,$J939))</f>
        <v>MILHO_SEMENTE</v>
      </c>
      <c r="L939" s="8" t="str">
        <f aca="false">IF($J939=0,"",INDEX(ROTACAO_RDM!$G$6:$G$71,$J939))</f>
        <v>Syngenta</v>
      </c>
      <c r="M939" s="17" t="n">
        <f aca="false">IF($J939=0,"",INDEX(ROTACAO_RDM!$I$6:$I$71,$J939))</f>
        <v>46191</v>
      </c>
      <c r="N939" s="16" t="n">
        <f aca="false">IF($J939=0,0,MAX(0,$C939+INT(DIAS_POR_SEMANA/2)-INDEX(ROTACAO_RDM!$I$6:$I$71,$J939)))</f>
        <v>140</v>
      </c>
      <c r="O939" s="19" t="n">
        <f aca="false">IF($J939=0,0,MIN(1,$N939/MAX(1,INDEX(ROTACAO_RDM!$K$6:$K$71,$J939))))</f>
        <v>0.875</v>
      </c>
      <c r="P939" s="16" t="n">
        <f aca="false">IF($J939=0,0,IFERROR(MATCH(INDEX(ROTACAO_RDM!$N$6:$N$71,$J939),PARAMETROS_CULTURAS!$B$6:$B$28,0),0))</f>
        <v>7</v>
      </c>
      <c r="Q939" s="8" t="str">
        <f aca="false">IF($P939=0,"-",IF($O939&lt;=INDEX(PARAMETROS_CULTURAS!$F$6:$F$28,$P939),"INICIAL",IF($O939&lt;=INDEX(PARAMETROS_CULTURAS!$F$6:$F$28,$P939)+INDEX(PARAMETROS_CULTURAS!$G$6:$G$28,$P939),"DESENVOLVIMENTO",IF($O939&lt;=INDEX(PARAMETROS_CULTURAS!$F$6:$F$28,$P939)+INDEX(PARAMETROS_CULTURAS!$G$6:$G$28,$P939)+INDEX(PARAMETROS_CULTURAS!$H$6:$H$28,$P939),"MEDIA","FINAL"))))</f>
        <v>FINAL</v>
      </c>
      <c r="R939" s="24" t="n">
        <f aca="false">IF($P939=0,0,IF($O939&lt;=INDEX(PARAMETROS_CULTURAS!$F$6:$F$28,$P939),INDEX(PARAMETROS_CULTURAS!$K$6:$K$28,$P939),IF($O939&lt;=INDEX(PARAMETROS_CULTURAS!$F$6:$F$28,$P939)+INDEX(PARAMETROS_CULTURAS!$G$6:$G$28,$P939),INDEX(PARAMETROS_CULTURAS!$K$6:$K$28,$P939)+(INDEX(PARAMETROS_CULTURAS!$L$6:$L$28,$P939)-INDEX(PARAMETROS_CULTURAS!$K$6:$K$28,$P939))*($O939-INDEX(PARAMETROS_CULTURAS!$F$6:$F$28,$P939))/MAX(INDEX(PARAMETROS_CULTURAS!$G$6:$G$28,$P939),0.0001),IF($O939&lt;=INDEX(PARAMETROS_CULTURAS!$F$6:$F$28,$P939)+INDEX(PARAMETROS_CULTURAS!$G$6:$G$28,$P939)+INDEX(PARAMETROS_CULTURAS!$H$6:$H$28,$P939),INDEX(PARAMETROS_CULTURAS!$L$6:$L$28,$P939),INDEX(PARAMETROS_CULTURAS!$L$6:$L$28,$P939)+(INDEX(PARAMETROS_CULTURAS!$M$6:$M$28,$P939)-INDEX(PARAMETROS_CULTURAS!$L$6:$L$28,$P939))*($O939-INDEX(PARAMETROS_CULTURAS!$F$6:$F$28,$P939)-INDEX(PARAMETROS_CULTURAS!$G$6:$G$28,$P939)-INDEX(PARAMETROS_CULTURAS!$H$6:$H$28,$P939))/MAX(INDEX(PARAMETROS_CULTURAS!$I$6:$I$28,$P939),0.0001)))))</f>
        <v>0.875</v>
      </c>
      <c r="S939" s="18" t="n">
        <f aca="false">IFERROR(INDEX(SEMANAS!$H$6:$H$71,MATCH($B939,SEMANAS!$B$6:$B$71,0)),0)</f>
        <v>34.3</v>
      </c>
      <c r="T939" s="18" t="n">
        <f aca="false">$R939*$S939</f>
        <v>30.0125</v>
      </c>
      <c r="U939" s="18" t="n">
        <f aca="false">IFERROR(INDEX(SEMANAS!$I$6:$I$71,MATCH($B939,SEMANAS!$B$6:$B$71,0)),0)</f>
        <v>46.69</v>
      </c>
      <c r="V939" s="18" t="n">
        <f aca="false">IFERROR(INDEX(SEMANAS!$J$6:$J$71,MATCH($B939,SEMANAS!$B$6:$B$71,0)),0)</f>
        <v>37.352</v>
      </c>
      <c r="W939" s="18" t="n">
        <f aca="false">MAX(0,$T939-$V939)</f>
        <v>0</v>
      </c>
      <c r="X939" s="19" t="n">
        <f aca="false">IFERROR(INDEX(CADASTRO_PIVOS!$K$6:$K$41,MATCH($E939,CADASTRO_PIVOS!$B$6:$B$41,0)),EFICIENCIA_PADRAO)</f>
        <v>0.85</v>
      </c>
      <c r="Y939" s="18" t="n">
        <f aca="false">IF($X939&lt;=0,0,$W939/$X939)</f>
        <v>0</v>
      </c>
      <c r="Z939" s="16" t="n">
        <f aca="false">$Y939*$H939*MM_PARA_M3_HA</f>
        <v>0</v>
      </c>
      <c r="AA939" s="18" t="n">
        <f aca="false">IFERROR(INDEX(CADASTRO_PIVOS!$I$6:$I$41,MATCH($E939,CADASTRO_PIVOS!$B$6:$B$41,0)),0)</f>
        <v>714</v>
      </c>
      <c r="AB939" s="18" t="n">
        <f aca="false">IF($Z939&lt;=0,0,$Z939/$AA939)</f>
        <v>0</v>
      </c>
      <c r="AC939" s="16" t="n">
        <f aca="false">IFERROR(INDEX(SEMANAS!$K$6:$K$71,MATCH($B939,SEMANAS!$B$6:$B$71,0)),0)</f>
        <v>147</v>
      </c>
      <c r="AD939" s="19" t="n">
        <f aca="false">IF($AC939&lt;=0,0,$AB939/$AC939)</f>
        <v>0</v>
      </c>
      <c r="AE939" s="8" t="str">
        <f aca="false">IF($K939="SEM CULTURA","SEM CULTURA",IF($AA939&lt;=0,"DADO PENDENTE",IF($AD939&gt;LIMITE_CRITICO,"INVIAVEL",IF($AD939&gt;LIMITE_ATENCAO,"CRITICO",IF($AD939&gt;LIMITE_CONFORTAVEL,"ATENCAO","OK")))))</f>
        <v>OK</v>
      </c>
      <c r="AF939" s="8" t="str">
        <f aca="false">$B939&amp;"|"&amp;TEXT($AD939,"0.000000")</f>
        <v>10|0.000000</v>
      </c>
      <c r="AG939" s="18" t="n">
        <f aca="false">IF($K939="SEM CULTURA",0,$T939*$H939)</f>
        <v>3000.0495</v>
      </c>
      <c r="AH939" s="18" t="n">
        <f aca="false">IF($K939="SEM CULTURA",0,$V939*$H939)</f>
        <v>3733.70592</v>
      </c>
      <c r="AI939" s="18" t="n">
        <f aca="false">IF($K939="SEM CULTURA",0,$W939*$H939)</f>
        <v>0</v>
      </c>
      <c r="AJ939" s="18" t="n">
        <f aca="false">IF($K939="SEM CULTURA",0,$S939*$H939)</f>
        <v>3428.628</v>
      </c>
      <c r="AK939" s="8" t="str">
        <f aca="false">$E939&amp;"|"&amp;TEXT($AD939,"0.000000")</f>
        <v>PV 131|0.000000</v>
      </c>
    </row>
    <row r="940" customFormat="false" ht="15" hidden="false" customHeight="false" outlineLevel="0" collapsed="false">
      <c r="B940" s="16" t="n">
        <v>11</v>
      </c>
      <c r="C940" s="17" t="n">
        <f aca="false">DATA_INICIO_SAFRA+($B940-1)*DIAS_POR_SEMANA</f>
        <v>46335</v>
      </c>
      <c r="D940" s="17" t="n">
        <f aca="false">$C940+DIAS_POR_SEMANA-1</f>
        <v>46341</v>
      </c>
      <c r="E940" s="15" t="s">
        <v>273</v>
      </c>
      <c r="F940" s="8" t="str">
        <f aca="false">IFERROR(INDEX(CADASTRO_PIVOS!$C$6:$C$41,MATCH($E940,CADASTRO_PIVOS!$B$6:$B$41,0)),"?")</f>
        <v>RM05</v>
      </c>
      <c r="G940" s="8" t="str">
        <f aca="false">IFERROR(INDEX(CADASTRO_PIVOS!$D$6:$D$41,MATCH($E940,CADASTRO_PIVOS!$B$6:$B$41,0)),"?")</f>
        <v>TR05</v>
      </c>
      <c r="H940" s="20" t="n">
        <f aca="false">IFERROR(INDEX(CADASTRO_PIVOS!$E$6:$E$41,MATCH($E940,CADASTRO_PIVOS!$B$6:$B$41,0)),0)</f>
        <v>99.96</v>
      </c>
      <c r="I940" s="16" t="n">
        <f aca="false">IFERROR(SUMIFS(ROTACAO_RDM!$B$6:$B$71,ROTACAO_RDM!$D$6:$D$71,$E940,ROTACAO_RDM!$I$6:$I$71,"&lt;="&amp;$C940+INT(DIAS_POR_SEMANA/2),ROTACAO_RDM!$J$6:$J$71,"&gt;="&amp;$C940+INT(DIAS_POR_SEMANA/2)),0)</f>
        <v>59</v>
      </c>
      <c r="J940" s="16" t="n">
        <f aca="false">IFERROR(MATCH($I940,ROTACAO_RDM!$B$6:$B$71,0),0)</f>
        <v>59</v>
      </c>
      <c r="K940" s="8" t="str">
        <f aca="false">IF($J940=0,"SEM CULTURA",INDEX(ROTACAO_RDM!$F$6:$F$71,$J940))</f>
        <v>MILHO_SEMENTE</v>
      </c>
      <c r="L940" s="8" t="str">
        <f aca="false">IF($J940=0,"",INDEX(ROTACAO_RDM!$G$6:$G$71,$J940))</f>
        <v>Syngenta</v>
      </c>
      <c r="M940" s="17" t="n">
        <f aca="false">IF($J940=0,"",INDEX(ROTACAO_RDM!$I$6:$I$71,$J940))</f>
        <v>46191</v>
      </c>
      <c r="N940" s="16" t="n">
        <f aca="false">IF($J940=0,0,MAX(0,$C940+INT(DIAS_POR_SEMANA/2)-INDEX(ROTACAO_RDM!$I$6:$I$71,$J940)))</f>
        <v>147</v>
      </c>
      <c r="O940" s="19" t="n">
        <f aca="false">IF($J940=0,0,MIN(1,$N940/MAX(1,INDEX(ROTACAO_RDM!$K$6:$K$71,$J940))))</f>
        <v>0.91875</v>
      </c>
      <c r="P940" s="16" t="n">
        <f aca="false">IF($J940=0,0,IFERROR(MATCH(INDEX(ROTACAO_RDM!$N$6:$N$71,$J940),PARAMETROS_CULTURAS!$B$6:$B$28,0),0))</f>
        <v>7</v>
      </c>
      <c r="Q940" s="8" t="str">
        <f aca="false">IF($P940=0,"-",IF($O940&lt;=INDEX(PARAMETROS_CULTURAS!$F$6:$F$28,$P940),"INICIAL",IF($O940&lt;=INDEX(PARAMETROS_CULTURAS!$F$6:$F$28,$P940)+INDEX(PARAMETROS_CULTURAS!$G$6:$G$28,$P940),"DESENVOLVIMENTO",IF($O940&lt;=INDEX(PARAMETROS_CULTURAS!$F$6:$F$28,$P940)+INDEX(PARAMETROS_CULTURAS!$G$6:$G$28,$P940)+INDEX(PARAMETROS_CULTURAS!$H$6:$H$28,$P940),"MEDIA","FINAL"))))</f>
        <v>FINAL</v>
      </c>
      <c r="R940" s="24" t="n">
        <f aca="false">IF($P940=0,0,IF($O940&lt;=INDEX(PARAMETROS_CULTURAS!$F$6:$F$28,$P940),INDEX(PARAMETROS_CULTURAS!$K$6:$K$28,$P940),IF($O940&lt;=INDEX(PARAMETROS_CULTURAS!$F$6:$F$28,$P940)+INDEX(PARAMETROS_CULTURAS!$G$6:$G$28,$P940),INDEX(PARAMETROS_CULTURAS!$K$6:$K$28,$P940)+(INDEX(PARAMETROS_CULTURAS!$L$6:$L$28,$P940)-INDEX(PARAMETROS_CULTURAS!$K$6:$K$28,$P940))*($O940-INDEX(PARAMETROS_CULTURAS!$F$6:$F$28,$P940))/MAX(INDEX(PARAMETROS_CULTURAS!$G$6:$G$28,$P940),0.0001),IF($O940&lt;=INDEX(PARAMETROS_CULTURAS!$F$6:$F$28,$P940)+INDEX(PARAMETROS_CULTURAS!$G$6:$G$28,$P940)+INDEX(PARAMETROS_CULTURAS!$H$6:$H$28,$P940),INDEX(PARAMETROS_CULTURAS!$L$6:$L$28,$P940),INDEX(PARAMETROS_CULTURAS!$L$6:$L$28,$P940)+(INDEX(PARAMETROS_CULTURAS!$M$6:$M$28,$P940)-INDEX(PARAMETROS_CULTURAS!$L$6:$L$28,$P940))*($O940-INDEX(PARAMETROS_CULTURAS!$F$6:$F$28,$P940)-INDEX(PARAMETROS_CULTURAS!$G$6:$G$28,$P940)-INDEX(PARAMETROS_CULTURAS!$H$6:$H$28,$P940))/MAX(INDEX(PARAMETROS_CULTURAS!$I$6:$I$28,$P940),0.0001)))))</f>
        <v>0.77875</v>
      </c>
      <c r="S940" s="18" t="n">
        <f aca="false">IFERROR(INDEX(SEMANAS!$H$6:$H$71,MATCH($B940,SEMANAS!$B$6:$B$71,0)),0)</f>
        <v>34.3</v>
      </c>
      <c r="T940" s="18" t="n">
        <f aca="false">$R940*$S940</f>
        <v>26.711125</v>
      </c>
      <c r="U940" s="18" t="n">
        <f aca="false">IFERROR(INDEX(SEMANAS!$I$6:$I$71,MATCH($B940,SEMANAS!$B$6:$B$71,0)),0)</f>
        <v>46.69</v>
      </c>
      <c r="V940" s="18" t="n">
        <f aca="false">IFERROR(INDEX(SEMANAS!$J$6:$J$71,MATCH($B940,SEMANAS!$B$6:$B$71,0)),0)</f>
        <v>37.352</v>
      </c>
      <c r="W940" s="18" t="n">
        <f aca="false">MAX(0,$T940-$V940)</f>
        <v>0</v>
      </c>
      <c r="X940" s="19" t="n">
        <f aca="false">IFERROR(INDEX(CADASTRO_PIVOS!$K$6:$K$41,MATCH($E940,CADASTRO_PIVOS!$B$6:$B$41,0)),EFICIENCIA_PADRAO)</f>
        <v>0.85</v>
      </c>
      <c r="Y940" s="18" t="n">
        <f aca="false">IF($X940&lt;=0,0,$W940/$X940)</f>
        <v>0</v>
      </c>
      <c r="Z940" s="16" t="n">
        <f aca="false">$Y940*$H940*MM_PARA_M3_HA</f>
        <v>0</v>
      </c>
      <c r="AA940" s="18" t="n">
        <f aca="false">IFERROR(INDEX(CADASTRO_PIVOS!$I$6:$I$41,MATCH($E940,CADASTRO_PIVOS!$B$6:$B$41,0)),0)</f>
        <v>714</v>
      </c>
      <c r="AB940" s="18" t="n">
        <f aca="false">IF($Z940&lt;=0,0,$Z940/$AA940)</f>
        <v>0</v>
      </c>
      <c r="AC940" s="16" t="n">
        <f aca="false">IFERROR(INDEX(SEMANAS!$K$6:$K$71,MATCH($B940,SEMANAS!$B$6:$B$71,0)),0)</f>
        <v>147</v>
      </c>
      <c r="AD940" s="19" t="n">
        <f aca="false">IF($AC940&lt;=0,0,$AB940/$AC940)</f>
        <v>0</v>
      </c>
      <c r="AE940" s="8" t="str">
        <f aca="false">IF($K940="SEM CULTURA","SEM CULTURA",IF($AA940&lt;=0,"DADO PENDENTE",IF($AD940&gt;LIMITE_CRITICO,"INVIAVEL",IF($AD940&gt;LIMITE_ATENCAO,"CRITICO",IF($AD940&gt;LIMITE_CONFORTAVEL,"ATENCAO","OK")))))</f>
        <v>OK</v>
      </c>
      <c r="AF940" s="8" t="str">
        <f aca="false">$B940&amp;"|"&amp;TEXT($AD940,"0.000000")</f>
        <v>11|0.000000</v>
      </c>
      <c r="AG940" s="18" t="n">
        <f aca="false">IF($K940="SEM CULTURA",0,$T940*$H940)</f>
        <v>2670.044055</v>
      </c>
      <c r="AH940" s="18" t="n">
        <f aca="false">IF($K940="SEM CULTURA",0,$V940*$H940)</f>
        <v>3733.70592</v>
      </c>
      <c r="AI940" s="18" t="n">
        <f aca="false">IF($K940="SEM CULTURA",0,$W940*$H940)</f>
        <v>0</v>
      </c>
      <c r="AJ940" s="18" t="n">
        <f aca="false">IF($K940="SEM CULTURA",0,$S940*$H940)</f>
        <v>3428.628</v>
      </c>
      <c r="AK940" s="8" t="str">
        <f aca="false">$E940&amp;"|"&amp;TEXT($AD940,"0.000000")</f>
        <v>PV 131|0.000000</v>
      </c>
    </row>
    <row r="941" customFormat="false" ht="15" hidden="false" customHeight="false" outlineLevel="0" collapsed="false">
      <c r="B941" s="16" t="n">
        <v>12</v>
      </c>
      <c r="C941" s="17" t="n">
        <f aca="false">DATA_INICIO_SAFRA+($B941-1)*DIAS_POR_SEMANA</f>
        <v>46342</v>
      </c>
      <c r="D941" s="17" t="n">
        <f aca="false">$C941+DIAS_POR_SEMANA-1</f>
        <v>46348</v>
      </c>
      <c r="E941" s="15" t="s">
        <v>273</v>
      </c>
      <c r="F941" s="8" t="str">
        <f aca="false">IFERROR(INDEX(CADASTRO_PIVOS!$C$6:$C$41,MATCH($E941,CADASTRO_PIVOS!$B$6:$B$41,0)),"?")</f>
        <v>RM05</v>
      </c>
      <c r="G941" s="8" t="str">
        <f aca="false">IFERROR(INDEX(CADASTRO_PIVOS!$D$6:$D$41,MATCH($E941,CADASTRO_PIVOS!$B$6:$B$41,0)),"?")</f>
        <v>TR05</v>
      </c>
      <c r="H941" s="20" t="n">
        <f aca="false">IFERROR(INDEX(CADASTRO_PIVOS!$E$6:$E$41,MATCH($E941,CADASTRO_PIVOS!$B$6:$B$41,0)),0)</f>
        <v>99.96</v>
      </c>
      <c r="I941" s="16" t="n">
        <f aca="false">IFERROR(SUMIFS(ROTACAO_RDM!$B$6:$B$71,ROTACAO_RDM!$D$6:$D$71,$E941,ROTACAO_RDM!$I$6:$I$71,"&lt;="&amp;$C941+INT(DIAS_POR_SEMANA/2),ROTACAO_RDM!$J$6:$J$71,"&gt;="&amp;$C941+INT(DIAS_POR_SEMANA/2)),0)</f>
        <v>59</v>
      </c>
      <c r="J941" s="16" t="n">
        <f aca="false">IFERROR(MATCH($I941,ROTACAO_RDM!$B$6:$B$71,0),0)</f>
        <v>59</v>
      </c>
      <c r="K941" s="8" t="str">
        <f aca="false">IF($J941=0,"SEM CULTURA",INDEX(ROTACAO_RDM!$F$6:$F$71,$J941))</f>
        <v>MILHO_SEMENTE</v>
      </c>
      <c r="L941" s="8" t="str">
        <f aca="false">IF($J941=0,"",INDEX(ROTACAO_RDM!$G$6:$G$71,$J941))</f>
        <v>Syngenta</v>
      </c>
      <c r="M941" s="17" t="n">
        <f aca="false">IF($J941=0,"",INDEX(ROTACAO_RDM!$I$6:$I$71,$J941))</f>
        <v>46191</v>
      </c>
      <c r="N941" s="16" t="n">
        <f aca="false">IF($J941=0,0,MAX(0,$C941+INT(DIAS_POR_SEMANA/2)-INDEX(ROTACAO_RDM!$I$6:$I$71,$J941)))</f>
        <v>154</v>
      </c>
      <c r="O941" s="19" t="n">
        <f aca="false">IF($J941=0,0,MIN(1,$N941/MAX(1,INDEX(ROTACAO_RDM!$K$6:$K$71,$J941))))</f>
        <v>0.9625</v>
      </c>
      <c r="P941" s="16" t="n">
        <f aca="false">IF($J941=0,0,IFERROR(MATCH(INDEX(ROTACAO_RDM!$N$6:$N$71,$J941),PARAMETROS_CULTURAS!$B$6:$B$28,0),0))</f>
        <v>7</v>
      </c>
      <c r="Q941" s="8" t="str">
        <f aca="false">IF($P941=0,"-",IF($O941&lt;=INDEX(PARAMETROS_CULTURAS!$F$6:$F$28,$P941),"INICIAL",IF($O941&lt;=INDEX(PARAMETROS_CULTURAS!$F$6:$F$28,$P941)+INDEX(PARAMETROS_CULTURAS!$G$6:$G$28,$P941),"DESENVOLVIMENTO",IF($O941&lt;=INDEX(PARAMETROS_CULTURAS!$F$6:$F$28,$P941)+INDEX(PARAMETROS_CULTURAS!$G$6:$G$28,$P941)+INDEX(PARAMETROS_CULTURAS!$H$6:$H$28,$P941),"MEDIA","FINAL"))))</f>
        <v>FINAL</v>
      </c>
      <c r="R941" s="24" t="n">
        <f aca="false">IF($P941=0,0,IF($O941&lt;=INDEX(PARAMETROS_CULTURAS!$F$6:$F$28,$P941),INDEX(PARAMETROS_CULTURAS!$K$6:$K$28,$P941),IF($O941&lt;=INDEX(PARAMETROS_CULTURAS!$F$6:$F$28,$P941)+INDEX(PARAMETROS_CULTURAS!$G$6:$G$28,$P941),INDEX(PARAMETROS_CULTURAS!$K$6:$K$28,$P941)+(INDEX(PARAMETROS_CULTURAS!$L$6:$L$28,$P941)-INDEX(PARAMETROS_CULTURAS!$K$6:$K$28,$P941))*($O941-INDEX(PARAMETROS_CULTURAS!$F$6:$F$28,$P941))/MAX(INDEX(PARAMETROS_CULTURAS!$G$6:$G$28,$P941),0.0001),IF($O941&lt;=INDEX(PARAMETROS_CULTURAS!$F$6:$F$28,$P941)+INDEX(PARAMETROS_CULTURAS!$G$6:$G$28,$P941)+INDEX(PARAMETROS_CULTURAS!$H$6:$H$28,$P941),INDEX(PARAMETROS_CULTURAS!$L$6:$L$28,$P941),INDEX(PARAMETROS_CULTURAS!$L$6:$L$28,$P941)+(INDEX(PARAMETROS_CULTURAS!$M$6:$M$28,$P941)-INDEX(PARAMETROS_CULTURAS!$L$6:$L$28,$P941))*($O941-INDEX(PARAMETROS_CULTURAS!$F$6:$F$28,$P941)-INDEX(PARAMETROS_CULTURAS!$G$6:$G$28,$P941)-INDEX(PARAMETROS_CULTURAS!$H$6:$H$28,$P941))/MAX(INDEX(PARAMETROS_CULTURAS!$I$6:$I$28,$P941),0.0001)))))</f>
        <v>0.6825</v>
      </c>
      <c r="S941" s="18" t="n">
        <f aca="false">IFERROR(INDEX(SEMANAS!$H$6:$H$71,MATCH($B941,SEMANAS!$B$6:$B$71,0)),0)</f>
        <v>34.3</v>
      </c>
      <c r="T941" s="18" t="n">
        <f aca="false">$R941*$S941</f>
        <v>23.40975</v>
      </c>
      <c r="U941" s="18" t="n">
        <f aca="false">IFERROR(INDEX(SEMANAS!$I$6:$I$71,MATCH($B941,SEMANAS!$B$6:$B$71,0)),0)</f>
        <v>46.69</v>
      </c>
      <c r="V941" s="18" t="n">
        <f aca="false">IFERROR(INDEX(SEMANAS!$J$6:$J$71,MATCH($B941,SEMANAS!$B$6:$B$71,0)),0)</f>
        <v>37.352</v>
      </c>
      <c r="W941" s="18" t="n">
        <f aca="false">MAX(0,$T941-$V941)</f>
        <v>0</v>
      </c>
      <c r="X941" s="19" t="n">
        <f aca="false">IFERROR(INDEX(CADASTRO_PIVOS!$K$6:$K$41,MATCH($E941,CADASTRO_PIVOS!$B$6:$B$41,0)),EFICIENCIA_PADRAO)</f>
        <v>0.85</v>
      </c>
      <c r="Y941" s="18" t="n">
        <f aca="false">IF($X941&lt;=0,0,$W941/$X941)</f>
        <v>0</v>
      </c>
      <c r="Z941" s="16" t="n">
        <f aca="false">$Y941*$H941*MM_PARA_M3_HA</f>
        <v>0</v>
      </c>
      <c r="AA941" s="18" t="n">
        <f aca="false">IFERROR(INDEX(CADASTRO_PIVOS!$I$6:$I$41,MATCH($E941,CADASTRO_PIVOS!$B$6:$B$41,0)),0)</f>
        <v>714</v>
      </c>
      <c r="AB941" s="18" t="n">
        <f aca="false">IF($Z941&lt;=0,0,$Z941/$AA941)</f>
        <v>0</v>
      </c>
      <c r="AC941" s="16" t="n">
        <f aca="false">IFERROR(INDEX(SEMANAS!$K$6:$K$71,MATCH($B941,SEMANAS!$B$6:$B$71,0)),0)</f>
        <v>147</v>
      </c>
      <c r="AD941" s="19" t="n">
        <f aca="false">IF($AC941&lt;=0,0,$AB941/$AC941)</f>
        <v>0</v>
      </c>
      <c r="AE941" s="8" t="str">
        <f aca="false">IF($K941="SEM CULTURA","SEM CULTURA",IF($AA941&lt;=0,"DADO PENDENTE",IF($AD941&gt;LIMITE_CRITICO,"INVIAVEL",IF($AD941&gt;LIMITE_ATENCAO,"CRITICO",IF($AD941&gt;LIMITE_CONFORTAVEL,"ATENCAO","OK")))))</f>
        <v>OK</v>
      </c>
      <c r="AF941" s="8" t="str">
        <f aca="false">$B941&amp;"|"&amp;TEXT($AD941,"0.000000")</f>
        <v>12|0.000000</v>
      </c>
      <c r="AG941" s="18" t="n">
        <f aca="false">IF($K941="SEM CULTURA",0,$T941*$H941)</f>
        <v>2340.03861</v>
      </c>
      <c r="AH941" s="18" t="n">
        <f aca="false">IF($K941="SEM CULTURA",0,$V941*$H941)</f>
        <v>3733.70592</v>
      </c>
      <c r="AI941" s="18" t="n">
        <f aca="false">IF($K941="SEM CULTURA",0,$W941*$H941)</f>
        <v>0</v>
      </c>
      <c r="AJ941" s="18" t="n">
        <f aca="false">IF($K941="SEM CULTURA",0,$S941*$H941)</f>
        <v>3428.628</v>
      </c>
      <c r="AK941" s="8" t="str">
        <f aca="false">$E941&amp;"|"&amp;TEXT($AD941,"0.000000")</f>
        <v>PV 131|0.000000</v>
      </c>
    </row>
    <row r="942" customFormat="false" ht="15" hidden="false" customHeight="false" outlineLevel="0" collapsed="false">
      <c r="B942" s="16" t="n">
        <v>13</v>
      </c>
      <c r="C942" s="17" t="n">
        <f aca="false">DATA_INICIO_SAFRA+($B942-1)*DIAS_POR_SEMANA</f>
        <v>46349</v>
      </c>
      <c r="D942" s="17" t="n">
        <f aca="false">$C942+DIAS_POR_SEMANA-1</f>
        <v>46355</v>
      </c>
      <c r="E942" s="15" t="s">
        <v>273</v>
      </c>
      <c r="F942" s="8" t="str">
        <f aca="false">IFERROR(INDEX(CADASTRO_PIVOS!$C$6:$C$41,MATCH($E942,CADASTRO_PIVOS!$B$6:$B$41,0)),"?")</f>
        <v>RM05</v>
      </c>
      <c r="G942" s="8" t="str">
        <f aca="false">IFERROR(INDEX(CADASTRO_PIVOS!$D$6:$D$41,MATCH($E942,CADASTRO_PIVOS!$B$6:$B$41,0)),"?")</f>
        <v>TR05</v>
      </c>
      <c r="H942" s="20" t="n">
        <f aca="false">IFERROR(INDEX(CADASTRO_PIVOS!$E$6:$E$41,MATCH($E942,CADASTRO_PIVOS!$B$6:$B$41,0)),0)</f>
        <v>99.96</v>
      </c>
      <c r="I942" s="16" t="n">
        <f aca="false">IFERROR(SUMIFS(ROTACAO_RDM!$B$6:$B$71,ROTACAO_RDM!$D$6:$D$71,$E942,ROTACAO_RDM!$I$6:$I$71,"&lt;="&amp;$C942+INT(DIAS_POR_SEMANA/2),ROTACAO_RDM!$J$6:$J$71,"&gt;="&amp;$C942+INT(DIAS_POR_SEMANA/2)),0)</f>
        <v>0</v>
      </c>
      <c r="J942" s="16" t="n">
        <f aca="false">IFERROR(MATCH($I942,ROTACAO_RDM!$B$6:$B$71,0),0)</f>
        <v>0</v>
      </c>
      <c r="K942" s="8" t="str">
        <f aca="false">IF($J942=0,"SEM CULTURA",INDEX(ROTACAO_RDM!$F$6:$F$71,$J942))</f>
        <v>SEM CULTURA</v>
      </c>
      <c r="L942" s="8" t="str">
        <f aca="false">IF($J942=0,"",INDEX(ROTACAO_RDM!$G$6:$G$71,$J942))</f>
        <v/>
      </c>
      <c r="M942" s="17" t="str">
        <f aca="false">IF($J942=0,"",INDEX(ROTACAO_RDM!$I$6:$I$71,$J942))</f>
        <v/>
      </c>
      <c r="N942" s="16" t="n">
        <f aca="false">IF($J942=0,0,MAX(0,$C942+INT(DIAS_POR_SEMANA/2)-INDEX(ROTACAO_RDM!$I$6:$I$71,$J942)))</f>
        <v>0</v>
      </c>
      <c r="O942" s="19" t="n">
        <f aca="false">IF($J942=0,0,MIN(1,$N942/MAX(1,INDEX(ROTACAO_RDM!$K$6:$K$71,$J942))))</f>
        <v>0</v>
      </c>
      <c r="P942" s="16" t="n">
        <f aca="false">IF($J942=0,0,IFERROR(MATCH(INDEX(ROTACAO_RDM!$N$6:$N$71,$J942),PARAMETROS_CULTURAS!$B$6:$B$28,0),0))</f>
        <v>0</v>
      </c>
      <c r="Q942" s="8" t="str">
        <f aca="false">IF($P942=0,"-",IF($O942&lt;=INDEX(PARAMETROS_CULTURAS!$F$6:$F$28,$P942),"INICIAL",IF($O942&lt;=INDEX(PARAMETROS_CULTURAS!$F$6:$F$28,$P942)+INDEX(PARAMETROS_CULTURAS!$G$6:$G$28,$P942),"DESENVOLVIMENTO",IF($O942&lt;=INDEX(PARAMETROS_CULTURAS!$F$6:$F$28,$P942)+INDEX(PARAMETROS_CULTURAS!$G$6:$G$28,$P942)+INDEX(PARAMETROS_CULTURAS!$H$6:$H$28,$P942),"MEDIA","FINAL"))))</f>
        <v>-</v>
      </c>
      <c r="R942" s="24" t="n">
        <f aca="false">IF($P942=0,0,IF($O942&lt;=INDEX(PARAMETROS_CULTURAS!$F$6:$F$28,$P942),INDEX(PARAMETROS_CULTURAS!$K$6:$K$28,$P942),IF($O942&lt;=INDEX(PARAMETROS_CULTURAS!$F$6:$F$28,$P942)+INDEX(PARAMETROS_CULTURAS!$G$6:$G$28,$P942),INDEX(PARAMETROS_CULTURAS!$K$6:$K$28,$P942)+(INDEX(PARAMETROS_CULTURAS!$L$6:$L$28,$P942)-INDEX(PARAMETROS_CULTURAS!$K$6:$K$28,$P942))*($O942-INDEX(PARAMETROS_CULTURAS!$F$6:$F$28,$P942))/MAX(INDEX(PARAMETROS_CULTURAS!$G$6:$G$28,$P942),0.0001),IF($O942&lt;=INDEX(PARAMETROS_CULTURAS!$F$6:$F$28,$P942)+INDEX(PARAMETROS_CULTURAS!$G$6:$G$28,$P942)+INDEX(PARAMETROS_CULTURAS!$H$6:$H$28,$P942),INDEX(PARAMETROS_CULTURAS!$L$6:$L$28,$P942),INDEX(PARAMETROS_CULTURAS!$L$6:$L$28,$P942)+(INDEX(PARAMETROS_CULTURAS!$M$6:$M$28,$P942)-INDEX(PARAMETROS_CULTURAS!$L$6:$L$28,$P942))*($O942-INDEX(PARAMETROS_CULTURAS!$F$6:$F$28,$P942)-INDEX(PARAMETROS_CULTURAS!$G$6:$G$28,$P942)-INDEX(PARAMETROS_CULTURAS!$H$6:$H$28,$P942))/MAX(INDEX(PARAMETROS_CULTURAS!$I$6:$I$28,$P942),0.0001)))))</f>
        <v>0</v>
      </c>
      <c r="S942" s="18" t="n">
        <f aca="false">IFERROR(INDEX(SEMANAS!$H$6:$H$71,MATCH($B942,SEMANAS!$B$6:$B$71,0)),0)</f>
        <v>34.3</v>
      </c>
      <c r="T942" s="18" t="n">
        <f aca="false">$R942*$S942</f>
        <v>0</v>
      </c>
      <c r="U942" s="18" t="n">
        <f aca="false">IFERROR(INDEX(SEMANAS!$I$6:$I$71,MATCH($B942,SEMANAS!$B$6:$B$71,0)),0)</f>
        <v>46.69</v>
      </c>
      <c r="V942" s="18" t="n">
        <f aca="false">IFERROR(INDEX(SEMANAS!$J$6:$J$71,MATCH($B942,SEMANAS!$B$6:$B$71,0)),0)</f>
        <v>37.352</v>
      </c>
      <c r="W942" s="18" t="n">
        <f aca="false">MAX(0,$T942-$V942)</f>
        <v>0</v>
      </c>
      <c r="X942" s="19" t="n">
        <f aca="false">IFERROR(INDEX(CADASTRO_PIVOS!$K$6:$K$41,MATCH($E942,CADASTRO_PIVOS!$B$6:$B$41,0)),EFICIENCIA_PADRAO)</f>
        <v>0.85</v>
      </c>
      <c r="Y942" s="18" t="n">
        <f aca="false">IF($X942&lt;=0,0,$W942/$X942)</f>
        <v>0</v>
      </c>
      <c r="Z942" s="16" t="n">
        <f aca="false">$Y942*$H942*MM_PARA_M3_HA</f>
        <v>0</v>
      </c>
      <c r="AA942" s="18" t="n">
        <f aca="false">IFERROR(INDEX(CADASTRO_PIVOS!$I$6:$I$41,MATCH($E942,CADASTRO_PIVOS!$B$6:$B$41,0)),0)</f>
        <v>714</v>
      </c>
      <c r="AB942" s="18" t="n">
        <f aca="false">IF($Z942&lt;=0,0,$Z942/$AA942)</f>
        <v>0</v>
      </c>
      <c r="AC942" s="16" t="n">
        <f aca="false">IFERROR(INDEX(SEMANAS!$K$6:$K$71,MATCH($B942,SEMANAS!$B$6:$B$71,0)),0)</f>
        <v>147</v>
      </c>
      <c r="AD942" s="19" t="n">
        <f aca="false">IF($AC942&lt;=0,0,$AB942/$AC942)</f>
        <v>0</v>
      </c>
      <c r="AE942" s="8" t="str">
        <f aca="false">IF($K942="SEM CULTURA","SEM CULTURA",IF($AA942&lt;=0,"DADO PENDENTE",IF($AD942&gt;LIMITE_CRITICO,"INVIAVEL",IF($AD942&gt;LIMITE_ATENCAO,"CRITICO",IF($AD942&gt;LIMITE_CONFORTAVEL,"ATENCAO","OK")))))</f>
        <v>SEM CULTURA</v>
      </c>
      <c r="AF942" s="8" t="str">
        <f aca="false">$B942&amp;"|"&amp;TEXT($AD942,"0.000000")</f>
        <v>13|0.000000</v>
      </c>
      <c r="AG942" s="18" t="n">
        <f aca="false">IF($K942="SEM CULTURA",0,$T942*$H942)</f>
        <v>0</v>
      </c>
      <c r="AH942" s="18" t="n">
        <f aca="false">IF($K942="SEM CULTURA",0,$V942*$H942)</f>
        <v>0</v>
      </c>
      <c r="AI942" s="18" t="n">
        <f aca="false">IF($K942="SEM CULTURA",0,$W942*$H942)</f>
        <v>0</v>
      </c>
      <c r="AJ942" s="18" t="n">
        <f aca="false">IF($K942="SEM CULTURA",0,$S942*$H942)</f>
        <v>0</v>
      </c>
      <c r="AK942" s="8" t="str">
        <f aca="false">$E942&amp;"|"&amp;TEXT($AD942,"0.000000")</f>
        <v>PV 131|0.000000</v>
      </c>
    </row>
    <row r="943" customFormat="false" ht="15" hidden="false" customHeight="false" outlineLevel="0" collapsed="false">
      <c r="B943" s="16" t="n">
        <v>14</v>
      </c>
      <c r="C943" s="17" t="n">
        <f aca="false">DATA_INICIO_SAFRA+($B943-1)*DIAS_POR_SEMANA</f>
        <v>46356</v>
      </c>
      <c r="D943" s="17" t="n">
        <f aca="false">$C943+DIAS_POR_SEMANA-1</f>
        <v>46362</v>
      </c>
      <c r="E943" s="15" t="s">
        <v>273</v>
      </c>
      <c r="F943" s="8" t="str">
        <f aca="false">IFERROR(INDEX(CADASTRO_PIVOS!$C$6:$C$41,MATCH($E943,CADASTRO_PIVOS!$B$6:$B$41,0)),"?")</f>
        <v>RM05</v>
      </c>
      <c r="G943" s="8" t="str">
        <f aca="false">IFERROR(INDEX(CADASTRO_PIVOS!$D$6:$D$41,MATCH($E943,CADASTRO_PIVOS!$B$6:$B$41,0)),"?")</f>
        <v>TR05</v>
      </c>
      <c r="H943" s="20" t="n">
        <f aca="false">IFERROR(INDEX(CADASTRO_PIVOS!$E$6:$E$41,MATCH($E943,CADASTRO_PIVOS!$B$6:$B$41,0)),0)</f>
        <v>99.96</v>
      </c>
      <c r="I943" s="16" t="n">
        <f aca="false">IFERROR(SUMIFS(ROTACAO_RDM!$B$6:$B$71,ROTACAO_RDM!$D$6:$D$71,$E943,ROTACAO_RDM!$I$6:$I$71,"&lt;="&amp;$C943+INT(DIAS_POR_SEMANA/2),ROTACAO_RDM!$J$6:$J$71,"&gt;="&amp;$C943+INT(DIAS_POR_SEMANA/2)),0)</f>
        <v>60</v>
      </c>
      <c r="J943" s="16" t="n">
        <f aca="false">IFERROR(MATCH($I943,ROTACAO_RDM!$B$6:$B$71,0),0)</f>
        <v>60</v>
      </c>
      <c r="K943" s="8" t="str">
        <f aca="false">IF($J943=0,"SEM CULTURA",INDEX(ROTACAO_RDM!$F$6:$F$71,$J943))</f>
        <v>ALGODAO</v>
      </c>
      <c r="L943" s="8" t="str">
        <f aca="false">IF($J943=0,"",INDEX(ROTACAO_RDM!$G$6:$G$71,$J943))</f>
        <v>IMA 3764 B2RF</v>
      </c>
      <c r="M943" s="17" t="n">
        <f aca="false">IF($J943=0,"",INDEX(ROTACAO_RDM!$I$6:$I$71,$J943))</f>
        <v>46357</v>
      </c>
      <c r="N943" s="16" t="n">
        <f aca="false">IF($J943=0,0,MAX(0,$C943+INT(DIAS_POR_SEMANA/2)-INDEX(ROTACAO_RDM!$I$6:$I$71,$J943)))</f>
        <v>2</v>
      </c>
      <c r="O943" s="19" t="n">
        <f aca="false">IF($J943=0,0,MIN(1,$N943/MAX(1,INDEX(ROTACAO_RDM!$K$6:$K$71,$J943))))</f>
        <v>0.00952380952380953</v>
      </c>
      <c r="P943" s="16" t="n">
        <f aca="false">IF($J943=0,0,IFERROR(MATCH(INDEX(ROTACAO_RDM!$N$6:$N$71,$J943),PARAMETROS_CULTURAS!$B$6:$B$28,0),0))</f>
        <v>6</v>
      </c>
      <c r="Q943" s="8" t="str">
        <f aca="false">IF($P943=0,"-",IF($O943&lt;=INDEX(PARAMETROS_CULTURAS!$F$6:$F$28,$P943),"INICIAL",IF($O943&lt;=INDEX(PARAMETROS_CULTURAS!$F$6:$F$28,$P943)+INDEX(PARAMETROS_CULTURAS!$G$6:$G$28,$P943),"DESENVOLVIMENTO",IF($O943&lt;=INDEX(PARAMETROS_CULTURAS!$F$6:$F$28,$P943)+INDEX(PARAMETROS_CULTURAS!$G$6:$G$28,$P943)+INDEX(PARAMETROS_CULTURAS!$H$6:$H$28,$P943),"MEDIA","FINAL"))))</f>
        <v>INICIAL</v>
      </c>
      <c r="R943" s="24" t="n">
        <f aca="false">IF($P943=0,0,IF($O943&lt;=INDEX(PARAMETROS_CULTURAS!$F$6:$F$28,$P943),INDEX(PARAMETROS_CULTURAS!$K$6:$K$28,$P943),IF($O943&lt;=INDEX(PARAMETROS_CULTURAS!$F$6:$F$28,$P943)+INDEX(PARAMETROS_CULTURAS!$G$6:$G$28,$P943),INDEX(PARAMETROS_CULTURAS!$K$6:$K$28,$P943)+(INDEX(PARAMETROS_CULTURAS!$L$6:$L$28,$P943)-INDEX(PARAMETROS_CULTURAS!$K$6:$K$28,$P943))*($O943-INDEX(PARAMETROS_CULTURAS!$F$6:$F$28,$P943))/MAX(INDEX(PARAMETROS_CULTURAS!$G$6:$G$28,$P943),0.0001),IF($O943&lt;=INDEX(PARAMETROS_CULTURAS!$F$6:$F$28,$P943)+INDEX(PARAMETROS_CULTURAS!$G$6:$G$28,$P943)+INDEX(PARAMETROS_CULTURAS!$H$6:$H$28,$P943),INDEX(PARAMETROS_CULTURAS!$L$6:$L$28,$P943),INDEX(PARAMETROS_CULTURAS!$L$6:$L$28,$P943)+(INDEX(PARAMETROS_CULTURAS!$M$6:$M$28,$P943)-INDEX(PARAMETROS_CULTURAS!$L$6:$L$28,$P943))*($O943-INDEX(PARAMETROS_CULTURAS!$F$6:$F$28,$P943)-INDEX(PARAMETROS_CULTURAS!$G$6:$G$28,$P943)-INDEX(PARAMETROS_CULTURAS!$H$6:$H$28,$P943))/MAX(INDEX(PARAMETROS_CULTURAS!$I$6:$I$28,$P943),0.0001)))))</f>
        <v>0.35</v>
      </c>
      <c r="S943" s="18" t="n">
        <f aca="false">IFERROR(INDEX(SEMANAS!$H$6:$H$71,MATCH($B943,SEMANAS!$B$6:$B$71,0)),0)</f>
        <v>33.1</v>
      </c>
      <c r="T943" s="18" t="n">
        <f aca="false">$R943*$S943</f>
        <v>11.585</v>
      </c>
      <c r="U943" s="18" t="n">
        <f aca="false">IFERROR(INDEX(SEMANAS!$I$6:$I$71,MATCH($B943,SEMANAS!$B$6:$B$71,0)),0)</f>
        <v>48.31</v>
      </c>
      <c r="V943" s="18" t="n">
        <f aca="false">IFERROR(INDEX(SEMANAS!$J$6:$J$71,MATCH($B943,SEMANAS!$B$6:$B$71,0)),0)</f>
        <v>38.648</v>
      </c>
      <c r="W943" s="18" t="n">
        <f aca="false">MAX(0,$T943-$V943)</f>
        <v>0</v>
      </c>
      <c r="X943" s="19" t="n">
        <f aca="false">IFERROR(INDEX(CADASTRO_PIVOS!$K$6:$K$41,MATCH($E943,CADASTRO_PIVOS!$B$6:$B$41,0)),EFICIENCIA_PADRAO)</f>
        <v>0.85</v>
      </c>
      <c r="Y943" s="18" t="n">
        <f aca="false">IF($X943&lt;=0,0,$W943/$X943)</f>
        <v>0</v>
      </c>
      <c r="Z943" s="16" t="n">
        <f aca="false">$Y943*$H943*MM_PARA_M3_HA</f>
        <v>0</v>
      </c>
      <c r="AA943" s="18" t="n">
        <f aca="false">IFERROR(INDEX(CADASTRO_PIVOS!$I$6:$I$41,MATCH($E943,CADASTRO_PIVOS!$B$6:$B$41,0)),0)</f>
        <v>714</v>
      </c>
      <c r="AB943" s="18" t="n">
        <f aca="false">IF($Z943&lt;=0,0,$Z943/$AA943)</f>
        <v>0</v>
      </c>
      <c r="AC943" s="16" t="n">
        <f aca="false">IFERROR(INDEX(SEMANAS!$K$6:$K$71,MATCH($B943,SEMANAS!$B$6:$B$71,0)),0)</f>
        <v>147</v>
      </c>
      <c r="AD943" s="19" t="n">
        <f aca="false">IF($AC943&lt;=0,0,$AB943/$AC943)</f>
        <v>0</v>
      </c>
      <c r="AE943" s="8" t="str">
        <f aca="false">IF($K943="SEM CULTURA","SEM CULTURA",IF($AA943&lt;=0,"DADO PENDENTE",IF($AD943&gt;LIMITE_CRITICO,"INVIAVEL",IF($AD943&gt;LIMITE_ATENCAO,"CRITICO",IF($AD943&gt;LIMITE_CONFORTAVEL,"ATENCAO","OK")))))</f>
        <v>OK</v>
      </c>
      <c r="AF943" s="8" t="str">
        <f aca="false">$B943&amp;"|"&amp;TEXT($AD943,"0.000000")</f>
        <v>14|0.000000</v>
      </c>
      <c r="AG943" s="18" t="n">
        <f aca="false">IF($K943="SEM CULTURA",0,$T943*$H943)</f>
        <v>1158.0366</v>
      </c>
      <c r="AH943" s="18" t="n">
        <f aca="false">IF($K943="SEM CULTURA",0,$V943*$H943)</f>
        <v>3863.25408</v>
      </c>
      <c r="AI943" s="18" t="n">
        <f aca="false">IF($K943="SEM CULTURA",0,$W943*$H943)</f>
        <v>0</v>
      </c>
      <c r="AJ943" s="18" t="n">
        <f aca="false">IF($K943="SEM CULTURA",0,$S943*$H943)</f>
        <v>3308.676</v>
      </c>
      <c r="AK943" s="8" t="str">
        <f aca="false">$E943&amp;"|"&amp;TEXT($AD943,"0.000000")</f>
        <v>PV 131|0.000000</v>
      </c>
    </row>
    <row r="944" customFormat="false" ht="15" hidden="false" customHeight="false" outlineLevel="0" collapsed="false">
      <c r="B944" s="16" t="n">
        <v>15</v>
      </c>
      <c r="C944" s="17" t="n">
        <f aca="false">DATA_INICIO_SAFRA+($B944-1)*DIAS_POR_SEMANA</f>
        <v>46363</v>
      </c>
      <c r="D944" s="17" t="n">
        <f aca="false">$C944+DIAS_POR_SEMANA-1</f>
        <v>46369</v>
      </c>
      <c r="E944" s="15" t="s">
        <v>273</v>
      </c>
      <c r="F944" s="8" t="str">
        <f aca="false">IFERROR(INDEX(CADASTRO_PIVOS!$C$6:$C$41,MATCH($E944,CADASTRO_PIVOS!$B$6:$B$41,0)),"?")</f>
        <v>RM05</v>
      </c>
      <c r="G944" s="8" t="str">
        <f aca="false">IFERROR(INDEX(CADASTRO_PIVOS!$D$6:$D$41,MATCH($E944,CADASTRO_PIVOS!$B$6:$B$41,0)),"?")</f>
        <v>TR05</v>
      </c>
      <c r="H944" s="20" t="n">
        <f aca="false">IFERROR(INDEX(CADASTRO_PIVOS!$E$6:$E$41,MATCH($E944,CADASTRO_PIVOS!$B$6:$B$41,0)),0)</f>
        <v>99.96</v>
      </c>
      <c r="I944" s="16" t="n">
        <f aca="false">IFERROR(SUMIFS(ROTACAO_RDM!$B$6:$B$71,ROTACAO_RDM!$D$6:$D$71,$E944,ROTACAO_RDM!$I$6:$I$71,"&lt;="&amp;$C944+INT(DIAS_POR_SEMANA/2),ROTACAO_RDM!$J$6:$J$71,"&gt;="&amp;$C944+INT(DIAS_POR_SEMANA/2)),0)</f>
        <v>60</v>
      </c>
      <c r="J944" s="16" t="n">
        <f aca="false">IFERROR(MATCH($I944,ROTACAO_RDM!$B$6:$B$71,0),0)</f>
        <v>60</v>
      </c>
      <c r="K944" s="8" t="str">
        <f aca="false">IF($J944=0,"SEM CULTURA",INDEX(ROTACAO_RDM!$F$6:$F$71,$J944))</f>
        <v>ALGODAO</v>
      </c>
      <c r="L944" s="8" t="str">
        <f aca="false">IF($J944=0,"",INDEX(ROTACAO_RDM!$G$6:$G$71,$J944))</f>
        <v>IMA 3764 B2RF</v>
      </c>
      <c r="M944" s="17" t="n">
        <f aca="false">IF($J944=0,"",INDEX(ROTACAO_RDM!$I$6:$I$71,$J944))</f>
        <v>46357</v>
      </c>
      <c r="N944" s="16" t="n">
        <f aca="false">IF($J944=0,0,MAX(0,$C944+INT(DIAS_POR_SEMANA/2)-INDEX(ROTACAO_RDM!$I$6:$I$71,$J944)))</f>
        <v>9</v>
      </c>
      <c r="O944" s="19" t="n">
        <f aca="false">IF($J944=0,0,MIN(1,$N944/MAX(1,INDEX(ROTACAO_RDM!$K$6:$K$71,$J944))))</f>
        <v>0.0428571428571429</v>
      </c>
      <c r="P944" s="16" t="n">
        <f aca="false">IF($J944=0,0,IFERROR(MATCH(INDEX(ROTACAO_RDM!$N$6:$N$71,$J944),PARAMETROS_CULTURAS!$B$6:$B$28,0),0))</f>
        <v>6</v>
      </c>
      <c r="Q944" s="8" t="str">
        <f aca="false">IF($P944=0,"-",IF($O944&lt;=INDEX(PARAMETROS_CULTURAS!$F$6:$F$28,$P944),"INICIAL",IF($O944&lt;=INDEX(PARAMETROS_CULTURAS!$F$6:$F$28,$P944)+INDEX(PARAMETROS_CULTURAS!$G$6:$G$28,$P944),"DESENVOLVIMENTO",IF($O944&lt;=INDEX(PARAMETROS_CULTURAS!$F$6:$F$28,$P944)+INDEX(PARAMETROS_CULTURAS!$G$6:$G$28,$P944)+INDEX(PARAMETROS_CULTURAS!$H$6:$H$28,$P944),"MEDIA","FINAL"))))</f>
        <v>INICIAL</v>
      </c>
      <c r="R944" s="24" t="n">
        <f aca="false">IF($P944=0,0,IF($O944&lt;=INDEX(PARAMETROS_CULTURAS!$F$6:$F$28,$P944),INDEX(PARAMETROS_CULTURAS!$K$6:$K$28,$P944),IF($O944&lt;=INDEX(PARAMETROS_CULTURAS!$F$6:$F$28,$P944)+INDEX(PARAMETROS_CULTURAS!$G$6:$G$28,$P944),INDEX(PARAMETROS_CULTURAS!$K$6:$K$28,$P944)+(INDEX(PARAMETROS_CULTURAS!$L$6:$L$28,$P944)-INDEX(PARAMETROS_CULTURAS!$K$6:$K$28,$P944))*($O944-INDEX(PARAMETROS_CULTURAS!$F$6:$F$28,$P944))/MAX(INDEX(PARAMETROS_CULTURAS!$G$6:$G$28,$P944),0.0001),IF($O944&lt;=INDEX(PARAMETROS_CULTURAS!$F$6:$F$28,$P944)+INDEX(PARAMETROS_CULTURAS!$G$6:$G$28,$P944)+INDEX(PARAMETROS_CULTURAS!$H$6:$H$28,$P944),INDEX(PARAMETROS_CULTURAS!$L$6:$L$28,$P944),INDEX(PARAMETROS_CULTURAS!$L$6:$L$28,$P944)+(INDEX(PARAMETROS_CULTURAS!$M$6:$M$28,$P944)-INDEX(PARAMETROS_CULTURAS!$L$6:$L$28,$P944))*($O944-INDEX(PARAMETROS_CULTURAS!$F$6:$F$28,$P944)-INDEX(PARAMETROS_CULTURAS!$G$6:$G$28,$P944)-INDEX(PARAMETROS_CULTURAS!$H$6:$H$28,$P944))/MAX(INDEX(PARAMETROS_CULTURAS!$I$6:$I$28,$P944),0.0001)))))</f>
        <v>0.35</v>
      </c>
      <c r="S944" s="18" t="n">
        <f aca="false">IFERROR(INDEX(SEMANAS!$H$6:$H$71,MATCH($B944,SEMANAS!$B$6:$B$71,0)),0)</f>
        <v>32.9</v>
      </c>
      <c r="T944" s="18" t="n">
        <f aca="false">$R944*$S944</f>
        <v>11.515</v>
      </c>
      <c r="U944" s="18" t="n">
        <f aca="false">IFERROR(INDEX(SEMANAS!$I$6:$I$71,MATCH($B944,SEMANAS!$B$6:$B$71,0)),0)</f>
        <v>48.58</v>
      </c>
      <c r="V944" s="18" t="n">
        <f aca="false">IFERROR(INDEX(SEMANAS!$J$6:$J$71,MATCH($B944,SEMANAS!$B$6:$B$71,0)),0)</f>
        <v>38.864</v>
      </c>
      <c r="W944" s="18" t="n">
        <f aca="false">MAX(0,$T944-$V944)</f>
        <v>0</v>
      </c>
      <c r="X944" s="19" t="n">
        <f aca="false">IFERROR(INDEX(CADASTRO_PIVOS!$K$6:$K$41,MATCH($E944,CADASTRO_PIVOS!$B$6:$B$41,0)),EFICIENCIA_PADRAO)</f>
        <v>0.85</v>
      </c>
      <c r="Y944" s="18" t="n">
        <f aca="false">IF($X944&lt;=0,0,$W944/$X944)</f>
        <v>0</v>
      </c>
      <c r="Z944" s="16" t="n">
        <f aca="false">$Y944*$H944*MM_PARA_M3_HA</f>
        <v>0</v>
      </c>
      <c r="AA944" s="18" t="n">
        <f aca="false">IFERROR(INDEX(CADASTRO_PIVOS!$I$6:$I$41,MATCH($E944,CADASTRO_PIVOS!$B$6:$B$41,0)),0)</f>
        <v>714</v>
      </c>
      <c r="AB944" s="18" t="n">
        <f aca="false">IF($Z944&lt;=0,0,$Z944/$AA944)</f>
        <v>0</v>
      </c>
      <c r="AC944" s="16" t="n">
        <f aca="false">IFERROR(INDEX(SEMANAS!$K$6:$K$71,MATCH($B944,SEMANAS!$B$6:$B$71,0)),0)</f>
        <v>147</v>
      </c>
      <c r="AD944" s="19" t="n">
        <f aca="false">IF($AC944&lt;=0,0,$AB944/$AC944)</f>
        <v>0</v>
      </c>
      <c r="AE944" s="8" t="str">
        <f aca="false">IF($K944="SEM CULTURA","SEM CULTURA",IF($AA944&lt;=0,"DADO PENDENTE",IF($AD944&gt;LIMITE_CRITICO,"INVIAVEL",IF($AD944&gt;LIMITE_ATENCAO,"CRITICO",IF($AD944&gt;LIMITE_CONFORTAVEL,"ATENCAO","OK")))))</f>
        <v>OK</v>
      </c>
      <c r="AF944" s="8" t="str">
        <f aca="false">$B944&amp;"|"&amp;TEXT($AD944,"0.000000")</f>
        <v>15|0.000000</v>
      </c>
      <c r="AG944" s="18" t="n">
        <f aca="false">IF($K944="SEM CULTURA",0,$T944*$H944)</f>
        <v>1151.0394</v>
      </c>
      <c r="AH944" s="18" t="n">
        <f aca="false">IF($K944="SEM CULTURA",0,$V944*$H944)</f>
        <v>3884.84544</v>
      </c>
      <c r="AI944" s="18" t="n">
        <f aca="false">IF($K944="SEM CULTURA",0,$W944*$H944)</f>
        <v>0</v>
      </c>
      <c r="AJ944" s="18" t="n">
        <f aca="false">IF($K944="SEM CULTURA",0,$S944*$H944)</f>
        <v>3288.684</v>
      </c>
      <c r="AK944" s="8" t="str">
        <f aca="false">$E944&amp;"|"&amp;TEXT($AD944,"0.000000")</f>
        <v>PV 131|0.000000</v>
      </c>
    </row>
    <row r="945" customFormat="false" ht="15" hidden="false" customHeight="false" outlineLevel="0" collapsed="false">
      <c r="B945" s="16" t="n">
        <v>16</v>
      </c>
      <c r="C945" s="17" t="n">
        <f aca="false">DATA_INICIO_SAFRA+($B945-1)*DIAS_POR_SEMANA</f>
        <v>46370</v>
      </c>
      <c r="D945" s="17" t="n">
        <f aca="false">$C945+DIAS_POR_SEMANA-1</f>
        <v>46376</v>
      </c>
      <c r="E945" s="15" t="s">
        <v>273</v>
      </c>
      <c r="F945" s="8" t="str">
        <f aca="false">IFERROR(INDEX(CADASTRO_PIVOS!$C$6:$C$41,MATCH($E945,CADASTRO_PIVOS!$B$6:$B$41,0)),"?")</f>
        <v>RM05</v>
      </c>
      <c r="G945" s="8" t="str">
        <f aca="false">IFERROR(INDEX(CADASTRO_PIVOS!$D$6:$D$41,MATCH($E945,CADASTRO_PIVOS!$B$6:$B$41,0)),"?")</f>
        <v>TR05</v>
      </c>
      <c r="H945" s="20" t="n">
        <f aca="false">IFERROR(INDEX(CADASTRO_PIVOS!$E$6:$E$41,MATCH($E945,CADASTRO_PIVOS!$B$6:$B$41,0)),0)</f>
        <v>99.96</v>
      </c>
      <c r="I945" s="16" t="n">
        <f aca="false">IFERROR(SUMIFS(ROTACAO_RDM!$B$6:$B$71,ROTACAO_RDM!$D$6:$D$71,$E945,ROTACAO_RDM!$I$6:$I$71,"&lt;="&amp;$C945+INT(DIAS_POR_SEMANA/2),ROTACAO_RDM!$J$6:$J$71,"&gt;="&amp;$C945+INT(DIAS_POR_SEMANA/2)),0)</f>
        <v>60</v>
      </c>
      <c r="J945" s="16" t="n">
        <f aca="false">IFERROR(MATCH($I945,ROTACAO_RDM!$B$6:$B$71,0),0)</f>
        <v>60</v>
      </c>
      <c r="K945" s="8" t="str">
        <f aca="false">IF($J945=0,"SEM CULTURA",INDEX(ROTACAO_RDM!$F$6:$F$71,$J945))</f>
        <v>ALGODAO</v>
      </c>
      <c r="L945" s="8" t="str">
        <f aca="false">IF($J945=0,"",INDEX(ROTACAO_RDM!$G$6:$G$71,$J945))</f>
        <v>IMA 3764 B2RF</v>
      </c>
      <c r="M945" s="17" t="n">
        <f aca="false">IF($J945=0,"",INDEX(ROTACAO_RDM!$I$6:$I$71,$J945))</f>
        <v>46357</v>
      </c>
      <c r="N945" s="16" t="n">
        <f aca="false">IF($J945=0,0,MAX(0,$C945+INT(DIAS_POR_SEMANA/2)-INDEX(ROTACAO_RDM!$I$6:$I$71,$J945)))</f>
        <v>16</v>
      </c>
      <c r="O945" s="19" t="n">
        <f aca="false">IF($J945=0,0,MIN(1,$N945/MAX(1,INDEX(ROTACAO_RDM!$K$6:$K$71,$J945))))</f>
        <v>0.0761904761904762</v>
      </c>
      <c r="P945" s="16" t="n">
        <f aca="false">IF($J945=0,0,IFERROR(MATCH(INDEX(ROTACAO_RDM!$N$6:$N$71,$J945),PARAMETROS_CULTURAS!$B$6:$B$28,0),0))</f>
        <v>6</v>
      </c>
      <c r="Q945" s="8" t="str">
        <f aca="false">IF($P945=0,"-",IF($O945&lt;=INDEX(PARAMETROS_CULTURAS!$F$6:$F$28,$P945),"INICIAL",IF($O945&lt;=INDEX(PARAMETROS_CULTURAS!$F$6:$F$28,$P945)+INDEX(PARAMETROS_CULTURAS!$G$6:$G$28,$P945),"DESENVOLVIMENTO",IF($O945&lt;=INDEX(PARAMETROS_CULTURAS!$F$6:$F$28,$P945)+INDEX(PARAMETROS_CULTURAS!$G$6:$G$28,$P945)+INDEX(PARAMETROS_CULTURAS!$H$6:$H$28,$P945),"MEDIA","FINAL"))))</f>
        <v>INICIAL</v>
      </c>
      <c r="R945" s="24" t="n">
        <f aca="false">IF($P945=0,0,IF($O945&lt;=INDEX(PARAMETROS_CULTURAS!$F$6:$F$28,$P945),INDEX(PARAMETROS_CULTURAS!$K$6:$K$28,$P945),IF($O945&lt;=INDEX(PARAMETROS_CULTURAS!$F$6:$F$28,$P945)+INDEX(PARAMETROS_CULTURAS!$G$6:$G$28,$P945),INDEX(PARAMETROS_CULTURAS!$K$6:$K$28,$P945)+(INDEX(PARAMETROS_CULTURAS!$L$6:$L$28,$P945)-INDEX(PARAMETROS_CULTURAS!$K$6:$K$28,$P945))*($O945-INDEX(PARAMETROS_CULTURAS!$F$6:$F$28,$P945))/MAX(INDEX(PARAMETROS_CULTURAS!$G$6:$G$28,$P945),0.0001),IF($O945&lt;=INDEX(PARAMETROS_CULTURAS!$F$6:$F$28,$P945)+INDEX(PARAMETROS_CULTURAS!$G$6:$G$28,$P945)+INDEX(PARAMETROS_CULTURAS!$H$6:$H$28,$P945),INDEX(PARAMETROS_CULTURAS!$L$6:$L$28,$P945),INDEX(PARAMETROS_CULTURAS!$L$6:$L$28,$P945)+(INDEX(PARAMETROS_CULTURAS!$M$6:$M$28,$P945)-INDEX(PARAMETROS_CULTURAS!$L$6:$L$28,$P945))*($O945-INDEX(PARAMETROS_CULTURAS!$F$6:$F$28,$P945)-INDEX(PARAMETROS_CULTURAS!$G$6:$G$28,$P945)-INDEX(PARAMETROS_CULTURAS!$H$6:$H$28,$P945))/MAX(INDEX(PARAMETROS_CULTURAS!$I$6:$I$28,$P945),0.0001)))))</f>
        <v>0.35</v>
      </c>
      <c r="S945" s="18" t="n">
        <f aca="false">IFERROR(INDEX(SEMANAS!$H$6:$H$71,MATCH($B945,SEMANAS!$B$6:$B$71,0)),0)</f>
        <v>32.9</v>
      </c>
      <c r="T945" s="18" t="n">
        <f aca="false">$R945*$S945</f>
        <v>11.515</v>
      </c>
      <c r="U945" s="18" t="n">
        <f aca="false">IFERROR(INDEX(SEMANAS!$I$6:$I$71,MATCH($B945,SEMANAS!$B$6:$B$71,0)),0)</f>
        <v>48.58</v>
      </c>
      <c r="V945" s="18" t="n">
        <f aca="false">IFERROR(INDEX(SEMANAS!$J$6:$J$71,MATCH($B945,SEMANAS!$B$6:$B$71,0)),0)</f>
        <v>38.864</v>
      </c>
      <c r="W945" s="18" t="n">
        <f aca="false">MAX(0,$T945-$V945)</f>
        <v>0</v>
      </c>
      <c r="X945" s="19" t="n">
        <f aca="false">IFERROR(INDEX(CADASTRO_PIVOS!$K$6:$K$41,MATCH($E945,CADASTRO_PIVOS!$B$6:$B$41,0)),EFICIENCIA_PADRAO)</f>
        <v>0.85</v>
      </c>
      <c r="Y945" s="18" t="n">
        <f aca="false">IF($X945&lt;=0,0,$W945/$X945)</f>
        <v>0</v>
      </c>
      <c r="Z945" s="16" t="n">
        <f aca="false">$Y945*$H945*MM_PARA_M3_HA</f>
        <v>0</v>
      </c>
      <c r="AA945" s="18" t="n">
        <f aca="false">IFERROR(INDEX(CADASTRO_PIVOS!$I$6:$I$41,MATCH($E945,CADASTRO_PIVOS!$B$6:$B$41,0)),0)</f>
        <v>714</v>
      </c>
      <c r="AB945" s="18" t="n">
        <f aca="false">IF($Z945&lt;=0,0,$Z945/$AA945)</f>
        <v>0</v>
      </c>
      <c r="AC945" s="16" t="n">
        <f aca="false">IFERROR(INDEX(SEMANAS!$K$6:$K$71,MATCH($B945,SEMANAS!$B$6:$B$71,0)),0)</f>
        <v>147</v>
      </c>
      <c r="AD945" s="19" t="n">
        <f aca="false">IF($AC945&lt;=0,0,$AB945/$AC945)</f>
        <v>0</v>
      </c>
      <c r="AE945" s="8" t="str">
        <f aca="false">IF($K945="SEM CULTURA","SEM CULTURA",IF($AA945&lt;=0,"DADO PENDENTE",IF($AD945&gt;LIMITE_CRITICO,"INVIAVEL",IF($AD945&gt;LIMITE_ATENCAO,"CRITICO",IF($AD945&gt;LIMITE_CONFORTAVEL,"ATENCAO","OK")))))</f>
        <v>OK</v>
      </c>
      <c r="AF945" s="8" t="str">
        <f aca="false">$B945&amp;"|"&amp;TEXT($AD945,"0.000000")</f>
        <v>16|0.000000</v>
      </c>
      <c r="AG945" s="18" t="n">
        <f aca="false">IF($K945="SEM CULTURA",0,$T945*$H945)</f>
        <v>1151.0394</v>
      </c>
      <c r="AH945" s="18" t="n">
        <f aca="false">IF($K945="SEM CULTURA",0,$V945*$H945)</f>
        <v>3884.84544</v>
      </c>
      <c r="AI945" s="18" t="n">
        <f aca="false">IF($K945="SEM CULTURA",0,$W945*$H945)</f>
        <v>0</v>
      </c>
      <c r="AJ945" s="18" t="n">
        <f aca="false">IF($K945="SEM CULTURA",0,$S945*$H945)</f>
        <v>3288.684</v>
      </c>
      <c r="AK945" s="8" t="str">
        <f aca="false">$E945&amp;"|"&amp;TEXT($AD945,"0.000000")</f>
        <v>PV 131|0.000000</v>
      </c>
    </row>
    <row r="946" customFormat="false" ht="15" hidden="false" customHeight="false" outlineLevel="0" collapsed="false">
      <c r="B946" s="16" t="n">
        <v>17</v>
      </c>
      <c r="C946" s="17" t="n">
        <f aca="false">DATA_INICIO_SAFRA+($B946-1)*DIAS_POR_SEMANA</f>
        <v>46377</v>
      </c>
      <c r="D946" s="17" t="n">
        <f aca="false">$C946+DIAS_POR_SEMANA-1</f>
        <v>46383</v>
      </c>
      <c r="E946" s="15" t="s">
        <v>273</v>
      </c>
      <c r="F946" s="8" t="str">
        <f aca="false">IFERROR(INDEX(CADASTRO_PIVOS!$C$6:$C$41,MATCH($E946,CADASTRO_PIVOS!$B$6:$B$41,0)),"?")</f>
        <v>RM05</v>
      </c>
      <c r="G946" s="8" t="str">
        <f aca="false">IFERROR(INDEX(CADASTRO_PIVOS!$D$6:$D$41,MATCH($E946,CADASTRO_PIVOS!$B$6:$B$41,0)),"?")</f>
        <v>TR05</v>
      </c>
      <c r="H946" s="20" t="n">
        <f aca="false">IFERROR(INDEX(CADASTRO_PIVOS!$E$6:$E$41,MATCH($E946,CADASTRO_PIVOS!$B$6:$B$41,0)),0)</f>
        <v>99.96</v>
      </c>
      <c r="I946" s="16" t="n">
        <f aca="false">IFERROR(SUMIFS(ROTACAO_RDM!$B$6:$B$71,ROTACAO_RDM!$D$6:$D$71,$E946,ROTACAO_RDM!$I$6:$I$71,"&lt;="&amp;$C946+INT(DIAS_POR_SEMANA/2),ROTACAO_RDM!$J$6:$J$71,"&gt;="&amp;$C946+INT(DIAS_POR_SEMANA/2)),0)</f>
        <v>60</v>
      </c>
      <c r="J946" s="16" t="n">
        <f aca="false">IFERROR(MATCH($I946,ROTACAO_RDM!$B$6:$B$71,0),0)</f>
        <v>60</v>
      </c>
      <c r="K946" s="8" t="str">
        <f aca="false">IF($J946=0,"SEM CULTURA",INDEX(ROTACAO_RDM!$F$6:$F$71,$J946))</f>
        <v>ALGODAO</v>
      </c>
      <c r="L946" s="8" t="str">
        <f aca="false">IF($J946=0,"",INDEX(ROTACAO_RDM!$G$6:$G$71,$J946))</f>
        <v>IMA 3764 B2RF</v>
      </c>
      <c r="M946" s="17" t="n">
        <f aca="false">IF($J946=0,"",INDEX(ROTACAO_RDM!$I$6:$I$71,$J946))</f>
        <v>46357</v>
      </c>
      <c r="N946" s="16" t="n">
        <f aca="false">IF($J946=0,0,MAX(0,$C946+INT(DIAS_POR_SEMANA/2)-INDEX(ROTACAO_RDM!$I$6:$I$71,$J946)))</f>
        <v>23</v>
      </c>
      <c r="O946" s="19" t="n">
        <f aca="false">IF($J946=0,0,MIN(1,$N946/MAX(1,INDEX(ROTACAO_RDM!$K$6:$K$71,$J946))))</f>
        <v>0.10952380952381</v>
      </c>
      <c r="P946" s="16" t="n">
        <f aca="false">IF($J946=0,0,IFERROR(MATCH(INDEX(ROTACAO_RDM!$N$6:$N$71,$J946),PARAMETROS_CULTURAS!$B$6:$B$28,0),0))</f>
        <v>6</v>
      </c>
      <c r="Q946" s="8" t="str">
        <f aca="false">IF($P946=0,"-",IF($O946&lt;=INDEX(PARAMETROS_CULTURAS!$F$6:$F$28,$P946),"INICIAL",IF($O946&lt;=INDEX(PARAMETROS_CULTURAS!$F$6:$F$28,$P946)+INDEX(PARAMETROS_CULTURAS!$G$6:$G$28,$P946),"DESENVOLVIMENTO",IF($O946&lt;=INDEX(PARAMETROS_CULTURAS!$F$6:$F$28,$P946)+INDEX(PARAMETROS_CULTURAS!$G$6:$G$28,$P946)+INDEX(PARAMETROS_CULTURAS!$H$6:$H$28,$P946),"MEDIA","FINAL"))))</f>
        <v>INICIAL</v>
      </c>
      <c r="R946" s="24" t="n">
        <f aca="false">IF($P946=0,0,IF($O946&lt;=INDEX(PARAMETROS_CULTURAS!$F$6:$F$28,$P946),INDEX(PARAMETROS_CULTURAS!$K$6:$K$28,$P946),IF($O946&lt;=INDEX(PARAMETROS_CULTURAS!$F$6:$F$28,$P946)+INDEX(PARAMETROS_CULTURAS!$G$6:$G$28,$P946),INDEX(PARAMETROS_CULTURAS!$K$6:$K$28,$P946)+(INDEX(PARAMETROS_CULTURAS!$L$6:$L$28,$P946)-INDEX(PARAMETROS_CULTURAS!$K$6:$K$28,$P946))*($O946-INDEX(PARAMETROS_CULTURAS!$F$6:$F$28,$P946))/MAX(INDEX(PARAMETROS_CULTURAS!$G$6:$G$28,$P946),0.0001),IF($O946&lt;=INDEX(PARAMETROS_CULTURAS!$F$6:$F$28,$P946)+INDEX(PARAMETROS_CULTURAS!$G$6:$G$28,$P946)+INDEX(PARAMETROS_CULTURAS!$H$6:$H$28,$P946),INDEX(PARAMETROS_CULTURAS!$L$6:$L$28,$P946),INDEX(PARAMETROS_CULTURAS!$L$6:$L$28,$P946)+(INDEX(PARAMETROS_CULTURAS!$M$6:$M$28,$P946)-INDEX(PARAMETROS_CULTURAS!$L$6:$L$28,$P946))*($O946-INDEX(PARAMETROS_CULTURAS!$F$6:$F$28,$P946)-INDEX(PARAMETROS_CULTURAS!$G$6:$G$28,$P946)-INDEX(PARAMETROS_CULTURAS!$H$6:$H$28,$P946))/MAX(INDEX(PARAMETROS_CULTURAS!$I$6:$I$28,$P946),0.0001)))))</f>
        <v>0.35</v>
      </c>
      <c r="S946" s="18" t="n">
        <f aca="false">IFERROR(INDEX(SEMANAS!$H$6:$H$71,MATCH($B946,SEMANAS!$B$6:$B$71,0)),0)</f>
        <v>32.9</v>
      </c>
      <c r="T946" s="18" t="n">
        <f aca="false">$R946*$S946</f>
        <v>11.515</v>
      </c>
      <c r="U946" s="18" t="n">
        <f aca="false">IFERROR(INDEX(SEMANAS!$I$6:$I$71,MATCH($B946,SEMANAS!$B$6:$B$71,0)),0)</f>
        <v>48.58</v>
      </c>
      <c r="V946" s="18" t="n">
        <f aca="false">IFERROR(INDEX(SEMANAS!$J$6:$J$71,MATCH($B946,SEMANAS!$B$6:$B$71,0)),0)</f>
        <v>38.864</v>
      </c>
      <c r="W946" s="18" t="n">
        <f aca="false">MAX(0,$T946-$V946)</f>
        <v>0</v>
      </c>
      <c r="X946" s="19" t="n">
        <f aca="false">IFERROR(INDEX(CADASTRO_PIVOS!$K$6:$K$41,MATCH($E946,CADASTRO_PIVOS!$B$6:$B$41,0)),EFICIENCIA_PADRAO)</f>
        <v>0.85</v>
      </c>
      <c r="Y946" s="18" t="n">
        <f aca="false">IF($X946&lt;=0,0,$W946/$X946)</f>
        <v>0</v>
      </c>
      <c r="Z946" s="16" t="n">
        <f aca="false">$Y946*$H946*MM_PARA_M3_HA</f>
        <v>0</v>
      </c>
      <c r="AA946" s="18" t="n">
        <f aca="false">IFERROR(INDEX(CADASTRO_PIVOS!$I$6:$I$41,MATCH($E946,CADASTRO_PIVOS!$B$6:$B$41,0)),0)</f>
        <v>714</v>
      </c>
      <c r="AB946" s="18" t="n">
        <f aca="false">IF($Z946&lt;=0,0,$Z946/$AA946)</f>
        <v>0</v>
      </c>
      <c r="AC946" s="16" t="n">
        <f aca="false">IFERROR(INDEX(SEMANAS!$K$6:$K$71,MATCH($B946,SEMANAS!$B$6:$B$71,0)),0)</f>
        <v>147</v>
      </c>
      <c r="AD946" s="19" t="n">
        <f aca="false">IF($AC946&lt;=0,0,$AB946/$AC946)</f>
        <v>0</v>
      </c>
      <c r="AE946" s="8" t="str">
        <f aca="false">IF($K946="SEM CULTURA","SEM CULTURA",IF($AA946&lt;=0,"DADO PENDENTE",IF($AD946&gt;LIMITE_CRITICO,"INVIAVEL",IF($AD946&gt;LIMITE_ATENCAO,"CRITICO",IF($AD946&gt;LIMITE_CONFORTAVEL,"ATENCAO","OK")))))</f>
        <v>OK</v>
      </c>
      <c r="AF946" s="8" t="str">
        <f aca="false">$B946&amp;"|"&amp;TEXT($AD946,"0.000000")</f>
        <v>17|0.000000</v>
      </c>
      <c r="AG946" s="18" t="n">
        <f aca="false">IF($K946="SEM CULTURA",0,$T946*$H946)</f>
        <v>1151.0394</v>
      </c>
      <c r="AH946" s="18" t="n">
        <f aca="false">IF($K946="SEM CULTURA",0,$V946*$H946)</f>
        <v>3884.84544</v>
      </c>
      <c r="AI946" s="18" t="n">
        <f aca="false">IF($K946="SEM CULTURA",0,$W946*$H946)</f>
        <v>0</v>
      </c>
      <c r="AJ946" s="18" t="n">
        <f aca="false">IF($K946="SEM CULTURA",0,$S946*$H946)</f>
        <v>3288.684</v>
      </c>
      <c r="AK946" s="8" t="str">
        <f aca="false">$E946&amp;"|"&amp;TEXT($AD946,"0.000000")</f>
        <v>PV 131|0.000000</v>
      </c>
    </row>
    <row r="947" customFormat="false" ht="15" hidden="false" customHeight="false" outlineLevel="0" collapsed="false">
      <c r="B947" s="16" t="n">
        <v>18</v>
      </c>
      <c r="C947" s="17" t="n">
        <f aca="false">DATA_INICIO_SAFRA+($B947-1)*DIAS_POR_SEMANA</f>
        <v>46384</v>
      </c>
      <c r="D947" s="17" t="n">
        <f aca="false">$C947+DIAS_POR_SEMANA-1</f>
        <v>46390</v>
      </c>
      <c r="E947" s="15" t="s">
        <v>273</v>
      </c>
      <c r="F947" s="8" t="str">
        <f aca="false">IFERROR(INDEX(CADASTRO_PIVOS!$C$6:$C$41,MATCH($E947,CADASTRO_PIVOS!$B$6:$B$41,0)),"?")</f>
        <v>RM05</v>
      </c>
      <c r="G947" s="8" t="str">
        <f aca="false">IFERROR(INDEX(CADASTRO_PIVOS!$D$6:$D$41,MATCH($E947,CADASTRO_PIVOS!$B$6:$B$41,0)),"?")</f>
        <v>TR05</v>
      </c>
      <c r="H947" s="20" t="n">
        <f aca="false">IFERROR(INDEX(CADASTRO_PIVOS!$E$6:$E$41,MATCH($E947,CADASTRO_PIVOS!$B$6:$B$41,0)),0)</f>
        <v>99.96</v>
      </c>
      <c r="I947" s="16" t="n">
        <f aca="false">IFERROR(SUMIFS(ROTACAO_RDM!$B$6:$B$71,ROTACAO_RDM!$D$6:$D$71,$E947,ROTACAO_RDM!$I$6:$I$71,"&lt;="&amp;$C947+INT(DIAS_POR_SEMANA/2),ROTACAO_RDM!$J$6:$J$71,"&gt;="&amp;$C947+INT(DIAS_POR_SEMANA/2)),0)</f>
        <v>60</v>
      </c>
      <c r="J947" s="16" t="n">
        <f aca="false">IFERROR(MATCH($I947,ROTACAO_RDM!$B$6:$B$71,0),0)</f>
        <v>60</v>
      </c>
      <c r="K947" s="8" t="str">
        <f aca="false">IF($J947=0,"SEM CULTURA",INDEX(ROTACAO_RDM!$F$6:$F$71,$J947))</f>
        <v>ALGODAO</v>
      </c>
      <c r="L947" s="8" t="str">
        <f aca="false">IF($J947=0,"",INDEX(ROTACAO_RDM!$G$6:$G$71,$J947))</f>
        <v>IMA 3764 B2RF</v>
      </c>
      <c r="M947" s="17" t="n">
        <f aca="false">IF($J947=0,"",INDEX(ROTACAO_RDM!$I$6:$I$71,$J947))</f>
        <v>46357</v>
      </c>
      <c r="N947" s="16" t="n">
        <f aca="false">IF($J947=0,0,MAX(0,$C947+INT(DIAS_POR_SEMANA/2)-INDEX(ROTACAO_RDM!$I$6:$I$71,$J947)))</f>
        <v>30</v>
      </c>
      <c r="O947" s="19" t="n">
        <f aca="false">IF($J947=0,0,MIN(1,$N947/MAX(1,INDEX(ROTACAO_RDM!$K$6:$K$71,$J947))))</f>
        <v>0.142857142857143</v>
      </c>
      <c r="P947" s="16" t="n">
        <f aca="false">IF($J947=0,0,IFERROR(MATCH(INDEX(ROTACAO_RDM!$N$6:$N$71,$J947),PARAMETROS_CULTURAS!$B$6:$B$28,0),0))</f>
        <v>6</v>
      </c>
      <c r="Q947" s="8" t="str">
        <f aca="false">IF($P947=0,"-",IF($O947&lt;=INDEX(PARAMETROS_CULTURAS!$F$6:$F$28,$P947),"INICIAL",IF($O947&lt;=INDEX(PARAMETROS_CULTURAS!$F$6:$F$28,$P947)+INDEX(PARAMETROS_CULTURAS!$G$6:$G$28,$P947),"DESENVOLVIMENTO",IF($O947&lt;=INDEX(PARAMETROS_CULTURAS!$F$6:$F$28,$P947)+INDEX(PARAMETROS_CULTURAS!$G$6:$G$28,$P947)+INDEX(PARAMETROS_CULTURAS!$H$6:$H$28,$P947),"MEDIA","FINAL"))))</f>
        <v>DESENVOLVIMENTO</v>
      </c>
      <c r="R947" s="24" t="n">
        <f aca="false">IF($P947=0,0,IF($O947&lt;=INDEX(PARAMETROS_CULTURAS!$F$6:$F$28,$P947),INDEX(PARAMETROS_CULTURAS!$K$6:$K$28,$P947),IF($O947&lt;=INDEX(PARAMETROS_CULTURAS!$F$6:$F$28,$P947)+INDEX(PARAMETROS_CULTURAS!$G$6:$G$28,$P947),INDEX(PARAMETROS_CULTURAS!$K$6:$K$28,$P947)+(INDEX(PARAMETROS_CULTURAS!$L$6:$L$28,$P947)-INDEX(PARAMETROS_CULTURAS!$K$6:$K$28,$P947))*($O947-INDEX(PARAMETROS_CULTURAS!$F$6:$F$28,$P947))/MAX(INDEX(PARAMETROS_CULTURAS!$G$6:$G$28,$P947),0.0001),IF($O947&lt;=INDEX(PARAMETROS_CULTURAS!$F$6:$F$28,$P947)+INDEX(PARAMETROS_CULTURAS!$G$6:$G$28,$P947)+INDEX(PARAMETROS_CULTURAS!$H$6:$H$28,$P947),INDEX(PARAMETROS_CULTURAS!$L$6:$L$28,$P947),INDEX(PARAMETROS_CULTURAS!$L$6:$L$28,$P947)+(INDEX(PARAMETROS_CULTURAS!$M$6:$M$28,$P947)-INDEX(PARAMETROS_CULTURAS!$L$6:$L$28,$P947))*($O947-INDEX(PARAMETROS_CULTURAS!$F$6:$F$28,$P947)-INDEX(PARAMETROS_CULTURAS!$G$6:$G$28,$P947)-INDEX(PARAMETROS_CULTURAS!$H$6:$H$28,$P947))/MAX(INDEX(PARAMETROS_CULTURAS!$I$6:$I$28,$P947),0.0001)))))</f>
        <v>0.359523809523809</v>
      </c>
      <c r="S947" s="18" t="n">
        <f aca="false">IFERROR(INDEX(SEMANAS!$H$6:$H$71,MATCH($B947,SEMANAS!$B$6:$B$71,0)),0)</f>
        <v>33.2</v>
      </c>
      <c r="T947" s="18" t="n">
        <f aca="false">$R947*$S947</f>
        <v>11.9361904761905</v>
      </c>
      <c r="U947" s="18" t="n">
        <f aca="false">IFERROR(INDEX(SEMANAS!$I$6:$I$71,MATCH($B947,SEMANAS!$B$6:$B$71,0)),0)</f>
        <v>47.11</v>
      </c>
      <c r="V947" s="18" t="n">
        <f aca="false">IFERROR(INDEX(SEMANAS!$J$6:$J$71,MATCH($B947,SEMANAS!$B$6:$B$71,0)),0)</f>
        <v>37.688</v>
      </c>
      <c r="W947" s="18" t="n">
        <f aca="false">MAX(0,$T947-$V947)</f>
        <v>0</v>
      </c>
      <c r="X947" s="19" t="n">
        <f aca="false">IFERROR(INDEX(CADASTRO_PIVOS!$K$6:$K$41,MATCH($E947,CADASTRO_PIVOS!$B$6:$B$41,0)),EFICIENCIA_PADRAO)</f>
        <v>0.85</v>
      </c>
      <c r="Y947" s="18" t="n">
        <f aca="false">IF($X947&lt;=0,0,$W947/$X947)</f>
        <v>0</v>
      </c>
      <c r="Z947" s="16" t="n">
        <f aca="false">$Y947*$H947*MM_PARA_M3_HA</f>
        <v>0</v>
      </c>
      <c r="AA947" s="18" t="n">
        <f aca="false">IFERROR(INDEX(CADASTRO_PIVOS!$I$6:$I$41,MATCH($E947,CADASTRO_PIVOS!$B$6:$B$41,0)),0)</f>
        <v>714</v>
      </c>
      <c r="AB947" s="18" t="n">
        <f aca="false">IF($Z947&lt;=0,0,$Z947/$AA947)</f>
        <v>0</v>
      </c>
      <c r="AC947" s="16" t="n">
        <f aca="false">IFERROR(INDEX(SEMANAS!$K$6:$K$71,MATCH($B947,SEMANAS!$B$6:$B$71,0)),0)</f>
        <v>147</v>
      </c>
      <c r="AD947" s="19" t="n">
        <f aca="false">IF($AC947&lt;=0,0,$AB947/$AC947)</f>
        <v>0</v>
      </c>
      <c r="AE947" s="8" t="str">
        <f aca="false">IF($K947="SEM CULTURA","SEM CULTURA",IF($AA947&lt;=0,"DADO PENDENTE",IF($AD947&gt;LIMITE_CRITICO,"INVIAVEL",IF($AD947&gt;LIMITE_ATENCAO,"CRITICO",IF($AD947&gt;LIMITE_CONFORTAVEL,"ATENCAO","OK")))))</f>
        <v>OK</v>
      </c>
      <c r="AF947" s="8" t="str">
        <f aca="false">$B947&amp;"|"&amp;TEXT($AD947,"0.000000")</f>
        <v>18|0.000000</v>
      </c>
      <c r="AG947" s="18" t="n">
        <f aca="false">IF($K947="SEM CULTURA",0,$T947*$H947)</f>
        <v>1193.1416</v>
      </c>
      <c r="AH947" s="18" t="n">
        <f aca="false">IF($K947="SEM CULTURA",0,$V947*$H947)</f>
        <v>3767.29248</v>
      </c>
      <c r="AI947" s="18" t="n">
        <f aca="false">IF($K947="SEM CULTURA",0,$W947*$H947)</f>
        <v>0</v>
      </c>
      <c r="AJ947" s="18" t="n">
        <f aca="false">IF($K947="SEM CULTURA",0,$S947*$H947)</f>
        <v>3318.672</v>
      </c>
      <c r="AK947" s="8" t="str">
        <f aca="false">$E947&amp;"|"&amp;TEXT($AD947,"0.000000")</f>
        <v>PV 131|0.000000</v>
      </c>
    </row>
    <row r="948" customFormat="false" ht="15" hidden="false" customHeight="false" outlineLevel="0" collapsed="false">
      <c r="B948" s="16" t="n">
        <v>19</v>
      </c>
      <c r="C948" s="17" t="n">
        <f aca="false">DATA_INICIO_SAFRA+($B948-1)*DIAS_POR_SEMANA</f>
        <v>46391</v>
      </c>
      <c r="D948" s="17" t="n">
        <f aca="false">$C948+DIAS_POR_SEMANA-1</f>
        <v>46397</v>
      </c>
      <c r="E948" s="15" t="s">
        <v>273</v>
      </c>
      <c r="F948" s="8" t="str">
        <f aca="false">IFERROR(INDEX(CADASTRO_PIVOS!$C$6:$C$41,MATCH($E948,CADASTRO_PIVOS!$B$6:$B$41,0)),"?")</f>
        <v>RM05</v>
      </c>
      <c r="G948" s="8" t="str">
        <f aca="false">IFERROR(INDEX(CADASTRO_PIVOS!$D$6:$D$41,MATCH($E948,CADASTRO_PIVOS!$B$6:$B$41,0)),"?")</f>
        <v>TR05</v>
      </c>
      <c r="H948" s="20" t="n">
        <f aca="false">IFERROR(INDEX(CADASTRO_PIVOS!$E$6:$E$41,MATCH($E948,CADASTRO_PIVOS!$B$6:$B$41,0)),0)</f>
        <v>99.96</v>
      </c>
      <c r="I948" s="16" t="n">
        <f aca="false">IFERROR(SUMIFS(ROTACAO_RDM!$B$6:$B$71,ROTACAO_RDM!$D$6:$D$71,$E948,ROTACAO_RDM!$I$6:$I$71,"&lt;="&amp;$C948+INT(DIAS_POR_SEMANA/2),ROTACAO_RDM!$J$6:$J$71,"&gt;="&amp;$C948+INT(DIAS_POR_SEMANA/2)),0)</f>
        <v>60</v>
      </c>
      <c r="J948" s="16" t="n">
        <f aca="false">IFERROR(MATCH($I948,ROTACAO_RDM!$B$6:$B$71,0),0)</f>
        <v>60</v>
      </c>
      <c r="K948" s="8" t="str">
        <f aca="false">IF($J948=0,"SEM CULTURA",INDEX(ROTACAO_RDM!$F$6:$F$71,$J948))</f>
        <v>ALGODAO</v>
      </c>
      <c r="L948" s="8" t="str">
        <f aca="false">IF($J948=0,"",INDEX(ROTACAO_RDM!$G$6:$G$71,$J948))</f>
        <v>IMA 3764 B2RF</v>
      </c>
      <c r="M948" s="17" t="n">
        <f aca="false">IF($J948=0,"",INDEX(ROTACAO_RDM!$I$6:$I$71,$J948))</f>
        <v>46357</v>
      </c>
      <c r="N948" s="16" t="n">
        <f aca="false">IF($J948=0,0,MAX(0,$C948+INT(DIAS_POR_SEMANA/2)-INDEX(ROTACAO_RDM!$I$6:$I$71,$J948)))</f>
        <v>37</v>
      </c>
      <c r="O948" s="19" t="n">
        <f aca="false">IF($J948=0,0,MIN(1,$N948/MAX(1,INDEX(ROTACAO_RDM!$K$6:$K$71,$J948))))</f>
        <v>0.176190476190476</v>
      </c>
      <c r="P948" s="16" t="n">
        <f aca="false">IF($J948=0,0,IFERROR(MATCH(INDEX(ROTACAO_RDM!$N$6:$N$71,$J948),PARAMETROS_CULTURAS!$B$6:$B$28,0),0))</f>
        <v>6</v>
      </c>
      <c r="Q948" s="8" t="str">
        <f aca="false">IF($P948=0,"-",IF($O948&lt;=INDEX(PARAMETROS_CULTURAS!$F$6:$F$28,$P948),"INICIAL",IF($O948&lt;=INDEX(PARAMETROS_CULTURAS!$F$6:$F$28,$P948)+INDEX(PARAMETROS_CULTURAS!$G$6:$G$28,$P948),"DESENVOLVIMENTO",IF($O948&lt;=INDEX(PARAMETROS_CULTURAS!$F$6:$F$28,$P948)+INDEX(PARAMETROS_CULTURAS!$G$6:$G$28,$P948)+INDEX(PARAMETROS_CULTURAS!$H$6:$H$28,$P948),"MEDIA","FINAL"))))</f>
        <v>DESENVOLVIMENTO</v>
      </c>
      <c r="R948" s="24" t="n">
        <f aca="false">IF($P948=0,0,IF($O948&lt;=INDEX(PARAMETROS_CULTURAS!$F$6:$F$28,$P948),INDEX(PARAMETROS_CULTURAS!$K$6:$K$28,$P948),IF($O948&lt;=INDEX(PARAMETROS_CULTURAS!$F$6:$F$28,$P948)+INDEX(PARAMETROS_CULTURAS!$G$6:$G$28,$P948),INDEX(PARAMETROS_CULTURAS!$K$6:$K$28,$P948)+(INDEX(PARAMETROS_CULTURAS!$L$6:$L$28,$P948)-INDEX(PARAMETROS_CULTURAS!$K$6:$K$28,$P948))*($O948-INDEX(PARAMETROS_CULTURAS!$F$6:$F$28,$P948))/MAX(INDEX(PARAMETROS_CULTURAS!$G$6:$G$28,$P948),0.0001),IF($O948&lt;=INDEX(PARAMETROS_CULTURAS!$F$6:$F$28,$P948)+INDEX(PARAMETROS_CULTURAS!$G$6:$G$28,$P948)+INDEX(PARAMETROS_CULTURAS!$H$6:$H$28,$P948),INDEX(PARAMETROS_CULTURAS!$L$6:$L$28,$P948),INDEX(PARAMETROS_CULTURAS!$L$6:$L$28,$P948)+(INDEX(PARAMETROS_CULTURAS!$M$6:$M$28,$P948)-INDEX(PARAMETROS_CULTURAS!$L$6:$L$28,$P948))*($O948-INDEX(PARAMETROS_CULTURAS!$F$6:$F$28,$P948)-INDEX(PARAMETROS_CULTURAS!$G$6:$G$28,$P948)-INDEX(PARAMETROS_CULTURAS!$H$6:$H$28,$P948))/MAX(INDEX(PARAMETROS_CULTURAS!$I$6:$I$28,$P948),0.0001)))))</f>
        <v>0.470634920634921</v>
      </c>
      <c r="S948" s="18" t="n">
        <f aca="false">IFERROR(INDEX(SEMANAS!$H$6:$H$71,MATCH($B948,SEMANAS!$B$6:$B$71,0)),0)</f>
        <v>33.6</v>
      </c>
      <c r="T948" s="18" t="n">
        <f aca="false">$R948*$S948</f>
        <v>15.8133333333333</v>
      </c>
      <c r="U948" s="18" t="n">
        <f aca="false">IFERROR(INDEX(SEMANAS!$I$6:$I$71,MATCH($B948,SEMANAS!$B$6:$B$71,0)),0)</f>
        <v>45.15</v>
      </c>
      <c r="V948" s="18" t="n">
        <f aca="false">IFERROR(INDEX(SEMANAS!$J$6:$J$71,MATCH($B948,SEMANAS!$B$6:$B$71,0)),0)</f>
        <v>36.12</v>
      </c>
      <c r="W948" s="18" t="n">
        <f aca="false">MAX(0,$T948-$V948)</f>
        <v>0</v>
      </c>
      <c r="X948" s="19" t="n">
        <f aca="false">IFERROR(INDEX(CADASTRO_PIVOS!$K$6:$K$41,MATCH($E948,CADASTRO_PIVOS!$B$6:$B$41,0)),EFICIENCIA_PADRAO)</f>
        <v>0.85</v>
      </c>
      <c r="Y948" s="18" t="n">
        <f aca="false">IF($X948&lt;=0,0,$W948/$X948)</f>
        <v>0</v>
      </c>
      <c r="Z948" s="16" t="n">
        <f aca="false">$Y948*$H948*MM_PARA_M3_HA</f>
        <v>0</v>
      </c>
      <c r="AA948" s="18" t="n">
        <f aca="false">IFERROR(INDEX(CADASTRO_PIVOS!$I$6:$I$41,MATCH($E948,CADASTRO_PIVOS!$B$6:$B$41,0)),0)</f>
        <v>714</v>
      </c>
      <c r="AB948" s="18" t="n">
        <f aca="false">IF($Z948&lt;=0,0,$Z948/$AA948)</f>
        <v>0</v>
      </c>
      <c r="AC948" s="16" t="n">
        <f aca="false">IFERROR(INDEX(SEMANAS!$K$6:$K$71,MATCH($B948,SEMANAS!$B$6:$B$71,0)),0)</f>
        <v>147</v>
      </c>
      <c r="AD948" s="19" t="n">
        <f aca="false">IF($AC948&lt;=0,0,$AB948/$AC948)</f>
        <v>0</v>
      </c>
      <c r="AE948" s="8" t="str">
        <f aca="false">IF($K948="SEM CULTURA","SEM CULTURA",IF($AA948&lt;=0,"DADO PENDENTE",IF($AD948&gt;LIMITE_CRITICO,"INVIAVEL",IF($AD948&gt;LIMITE_ATENCAO,"CRITICO",IF($AD948&gt;LIMITE_CONFORTAVEL,"ATENCAO","OK")))))</f>
        <v>OK</v>
      </c>
      <c r="AF948" s="8" t="str">
        <f aca="false">$B948&amp;"|"&amp;TEXT($AD948,"0.000000")</f>
        <v>19|0.000000</v>
      </c>
      <c r="AG948" s="18" t="n">
        <f aca="false">IF($K948="SEM CULTURA",0,$T948*$H948)</f>
        <v>1580.7008</v>
      </c>
      <c r="AH948" s="18" t="n">
        <f aca="false">IF($K948="SEM CULTURA",0,$V948*$H948)</f>
        <v>3610.5552</v>
      </c>
      <c r="AI948" s="18" t="n">
        <f aca="false">IF($K948="SEM CULTURA",0,$W948*$H948)</f>
        <v>0</v>
      </c>
      <c r="AJ948" s="18" t="n">
        <f aca="false">IF($K948="SEM CULTURA",0,$S948*$H948)</f>
        <v>3358.656</v>
      </c>
      <c r="AK948" s="8" t="str">
        <f aca="false">$E948&amp;"|"&amp;TEXT($AD948,"0.000000")</f>
        <v>PV 131|0.000000</v>
      </c>
    </row>
    <row r="949" customFormat="false" ht="15" hidden="false" customHeight="false" outlineLevel="0" collapsed="false">
      <c r="B949" s="16" t="n">
        <v>20</v>
      </c>
      <c r="C949" s="17" t="n">
        <f aca="false">DATA_INICIO_SAFRA+($B949-1)*DIAS_POR_SEMANA</f>
        <v>46398</v>
      </c>
      <c r="D949" s="17" t="n">
        <f aca="false">$C949+DIAS_POR_SEMANA-1</f>
        <v>46404</v>
      </c>
      <c r="E949" s="15" t="s">
        <v>273</v>
      </c>
      <c r="F949" s="8" t="str">
        <f aca="false">IFERROR(INDEX(CADASTRO_PIVOS!$C$6:$C$41,MATCH($E949,CADASTRO_PIVOS!$B$6:$B$41,0)),"?")</f>
        <v>RM05</v>
      </c>
      <c r="G949" s="8" t="str">
        <f aca="false">IFERROR(INDEX(CADASTRO_PIVOS!$D$6:$D$41,MATCH($E949,CADASTRO_PIVOS!$B$6:$B$41,0)),"?")</f>
        <v>TR05</v>
      </c>
      <c r="H949" s="20" t="n">
        <f aca="false">IFERROR(INDEX(CADASTRO_PIVOS!$E$6:$E$41,MATCH($E949,CADASTRO_PIVOS!$B$6:$B$41,0)),0)</f>
        <v>99.96</v>
      </c>
      <c r="I949" s="16" t="n">
        <f aca="false">IFERROR(SUMIFS(ROTACAO_RDM!$B$6:$B$71,ROTACAO_RDM!$D$6:$D$71,$E949,ROTACAO_RDM!$I$6:$I$71,"&lt;="&amp;$C949+INT(DIAS_POR_SEMANA/2),ROTACAO_RDM!$J$6:$J$71,"&gt;="&amp;$C949+INT(DIAS_POR_SEMANA/2)),0)</f>
        <v>60</v>
      </c>
      <c r="J949" s="16" t="n">
        <f aca="false">IFERROR(MATCH($I949,ROTACAO_RDM!$B$6:$B$71,0),0)</f>
        <v>60</v>
      </c>
      <c r="K949" s="8" t="str">
        <f aca="false">IF($J949=0,"SEM CULTURA",INDEX(ROTACAO_RDM!$F$6:$F$71,$J949))</f>
        <v>ALGODAO</v>
      </c>
      <c r="L949" s="8" t="str">
        <f aca="false">IF($J949=0,"",INDEX(ROTACAO_RDM!$G$6:$G$71,$J949))</f>
        <v>IMA 3764 B2RF</v>
      </c>
      <c r="M949" s="17" t="n">
        <f aca="false">IF($J949=0,"",INDEX(ROTACAO_RDM!$I$6:$I$71,$J949))</f>
        <v>46357</v>
      </c>
      <c r="N949" s="16" t="n">
        <f aca="false">IF($J949=0,0,MAX(0,$C949+INT(DIAS_POR_SEMANA/2)-INDEX(ROTACAO_RDM!$I$6:$I$71,$J949)))</f>
        <v>44</v>
      </c>
      <c r="O949" s="19" t="n">
        <f aca="false">IF($J949=0,0,MIN(1,$N949/MAX(1,INDEX(ROTACAO_RDM!$K$6:$K$71,$J949))))</f>
        <v>0.20952380952381</v>
      </c>
      <c r="P949" s="16" t="n">
        <f aca="false">IF($J949=0,0,IFERROR(MATCH(INDEX(ROTACAO_RDM!$N$6:$N$71,$J949),PARAMETROS_CULTURAS!$B$6:$B$28,0),0))</f>
        <v>6</v>
      </c>
      <c r="Q949" s="8" t="str">
        <f aca="false">IF($P949=0,"-",IF($O949&lt;=INDEX(PARAMETROS_CULTURAS!$F$6:$F$28,$P949),"INICIAL",IF($O949&lt;=INDEX(PARAMETROS_CULTURAS!$F$6:$F$28,$P949)+INDEX(PARAMETROS_CULTURAS!$G$6:$G$28,$P949),"DESENVOLVIMENTO",IF($O949&lt;=INDEX(PARAMETROS_CULTURAS!$F$6:$F$28,$P949)+INDEX(PARAMETROS_CULTURAS!$G$6:$G$28,$P949)+INDEX(PARAMETROS_CULTURAS!$H$6:$H$28,$P949),"MEDIA","FINAL"))))</f>
        <v>DESENVOLVIMENTO</v>
      </c>
      <c r="R949" s="24" t="n">
        <f aca="false">IF($P949=0,0,IF($O949&lt;=INDEX(PARAMETROS_CULTURAS!$F$6:$F$28,$P949),INDEX(PARAMETROS_CULTURAS!$K$6:$K$28,$P949),IF($O949&lt;=INDEX(PARAMETROS_CULTURAS!$F$6:$F$28,$P949)+INDEX(PARAMETROS_CULTURAS!$G$6:$G$28,$P949),INDEX(PARAMETROS_CULTURAS!$K$6:$K$28,$P949)+(INDEX(PARAMETROS_CULTURAS!$L$6:$L$28,$P949)-INDEX(PARAMETROS_CULTURAS!$K$6:$K$28,$P949))*($O949-INDEX(PARAMETROS_CULTURAS!$F$6:$F$28,$P949))/MAX(INDEX(PARAMETROS_CULTURAS!$G$6:$G$28,$P949),0.0001),IF($O949&lt;=INDEX(PARAMETROS_CULTURAS!$F$6:$F$28,$P949)+INDEX(PARAMETROS_CULTURAS!$G$6:$G$28,$P949)+INDEX(PARAMETROS_CULTURAS!$H$6:$H$28,$P949),INDEX(PARAMETROS_CULTURAS!$L$6:$L$28,$P949),INDEX(PARAMETROS_CULTURAS!$L$6:$L$28,$P949)+(INDEX(PARAMETROS_CULTURAS!$M$6:$M$28,$P949)-INDEX(PARAMETROS_CULTURAS!$L$6:$L$28,$P949))*($O949-INDEX(PARAMETROS_CULTURAS!$F$6:$F$28,$P949)-INDEX(PARAMETROS_CULTURAS!$G$6:$G$28,$P949)-INDEX(PARAMETROS_CULTURAS!$H$6:$H$28,$P949))/MAX(INDEX(PARAMETROS_CULTURAS!$I$6:$I$28,$P949),0.0001)))))</f>
        <v>0.581746031746032</v>
      </c>
      <c r="S949" s="18" t="n">
        <f aca="false">IFERROR(INDEX(SEMANAS!$H$6:$H$71,MATCH($B949,SEMANAS!$B$6:$B$71,0)),0)</f>
        <v>33.6</v>
      </c>
      <c r="T949" s="18" t="n">
        <f aca="false">$R949*$S949</f>
        <v>19.5466666666667</v>
      </c>
      <c r="U949" s="18" t="n">
        <f aca="false">IFERROR(INDEX(SEMANAS!$I$6:$I$71,MATCH($B949,SEMANAS!$B$6:$B$71,0)),0)</f>
        <v>45.15</v>
      </c>
      <c r="V949" s="18" t="n">
        <f aca="false">IFERROR(INDEX(SEMANAS!$J$6:$J$71,MATCH($B949,SEMANAS!$B$6:$B$71,0)),0)</f>
        <v>36.12</v>
      </c>
      <c r="W949" s="18" t="n">
        <f aca="false">MAX(0,$T949-$V949)</f>
        <v>0</v>
      </c>
      <c r="X949" s="19" t="n">
        <f aca="false">IFERROR(INDEX(CADASTRO_PIVOS!$K$6:$K$41,MATCH($E949,CADASTRO_PIVOS!$B$6:$B$41,0)),EFICIENCIA_PADRAO)</f>
        <v>0.85</v>
      </c>
      <c r="Y949" s="18" t="n">
        <f aca="false">IF($X949&lt;=0,0,$W949/$X949)</f>
        <v>0</v>
      </c>
      <c r="Z949" s="16" t="n">
        <f aca="false">$Y949*$H949*MM_PARA_M3_HA</f>
        <v>0</v>
      </c>
      <c r="AA949" s="18" t="n">
        <f aca="false">IFERROR(INDEX(CADASTRO_PIVOS!$I$6:$I$41,MATCH($E949,CADASTRO_PIVOS!$B$6:$B$41,0)),0)</f>
        <v>714</v>
      </c>
      <c r="AB949" s="18" t="n">
        <f aca="false">IF($Z949&lt;=0,0,$Z949/$AA949)</f>
        <v>0</v>
      </c>
      <c r="AC949" s="16" t="n">
        <f aca="false">IFERROR(INDEX(SEMANAS!$K$6:$K$71,MATCH($B949,SEMANAS!$B$6:$B$71,0)),0)</f>
        <v>147</v>
      </c>
      <c r="AD949" s="19" t="n">
        <f aca="false">IF($AC949&lt;=0,0,$AB949/$AC949)</f>
        <v>0</v>
      </c>
      <c r="AE949" s="8" t="str">
        <f aca="false">IF($K949="SEM CULTURA","SEM CULTURA",IF($AA949&lt;=0,"DADO PENDENTE",IF($AD949&gt;LIMITE_CRITICO,"INVIAVEL",IF($AD949&gt;LIMITE_ATENCAO,"CRITICO",IF($AD949&gt;LIMITE_CONFORTAVEL,"ATENCAO","OK")))))</f>
        <v>OK</v>
      </c>
      <c r="AF949" s="8" t="str">
        <f aca="false">$B949&amp;"|"&amp;TEXT($AD949,"0.000000")</f>
        <v>20|0.000000</v>
      </c>
      <c r="AG949" s="18" t="n">
        <f aca="false">IF($K949="SEM CULTURA",0,$T949*$H949)</f>
        <v>1953.8848</v>
      </c>
      <c r="AH949" s="18" t="n">
        <f aca="false">IF($K949="SEM CULTURA",0,$V949*$H949)</f>
        <v>3610.5552</v>
      </c>
      <c r="AI949" s="18" t="n">
        <f aca="false">IF($K949="SEM CULTURA",0,$W949*$H949)</f>
        <v>0</v>
      </c>
      <c r="AJ949" s="18" t="n">
        <f aca="false">IF($K949="SEM CULTURA",0,$S949*$H949)</f>
        <v>3358.656</v>
      </c>
      <c r="AK949" s="8" t="str">
        <f aca="false">$E949&amp;"|"&amp;TEXT($AD949,"0.000000")</f>
        <v>PV 131|0.000000</v>
      </c>
    </row>
    <row r="950" customFormat="false" ht="15" hidden="false" customHeight="false" outlineLevel="0" collapsed="false">
      <c r="B950" s="16" t="n">
        <v>21</v>
      </c>
      <c r="C950" s="17" t="n">
        <f aca="false">DATA_INICIO_SAFRA+($B950-1)*DIAS_POR_SEMANA</f>
        <v>46405</v>
      </c>
      <c r="D950" s="17" t="n">
        <f aca="false">$C950+DIAS_POR_SEMANA-1</f>
        <v>46411</v>
      </c>
      <c r="E950" s="15" t="s">
        <v>273</v>
      </c>
      <c r="F950" s="8" t="str">
        <f aca="false">IFERROR(INDEX(CADASTRO_PIVOS!$C$6:$C$41,MATCH($E950,CADASTRO_PIVOS!$B$6:$B$41,0)),"?")</f>
        <v>RM05</v>
      </c>
      <c r="G950" s="8" t="str">
        <f aca="false">IFERROR(INDEX(CADASTRO_PIVOS!$D$6:$D$41,MATCH($E950,CADASTRO_PIVOS!$B$6:$B$41,0)),"?")</f>
        <v>TR05</v>
      </c>
      <c r="H950" s="20" t="n">
        <f aca="false">IFERROR(INDEX(CADASTRO_PIVOS!$E$6:$E$41,MATCH($E950,CADASTRO_PIVOS!$B$6:$B$41,0)),0)</f>
        <v>99.96</v>
      </c>
      <c r="I950" s="16" t="n">
        <f aca="false">IFERROR(SUMIFS(ROTACAO_RDM!$B$6:$B$71,ROTACAO_RDM!$D$6:$D$71,$E950,ROTACAO_RDM!$I$6:$I$71,"&lt;="&amp;$C950+INT(DIAS_POR_SEMANA/2),ROTACAO_RDM!$J$6:$J$71,"&gt;="&amp;$C950+INT(DIAS_POR_SEMANA/2)),0)</f>
        <v>60</v>
      </c>
      <c r="J950" s="16" t="n">
        <f aca="false">IFERROR(MATCH($I950,ROTACAO_RDM!$B$6:$B$71,0),0)</f>
        <v>60</v>
      </c>
      <c r="K950" s="8" t="str">
        <f aca="false">IF($J950=0,"SEM CULTURA",INDEX(ROTACAO_RDM!$F$6:$F$71,$J950))</f>
        <v>ALGODAO</v>
      </c>
      <c r="L950" s="8" t="str">
        <f aca="false">IF($J950=0,"",INDEX(ROTACAO_RDM!$G$6:$G$71,$J950))</f>
        <v>IMA 3764 B2RF</v>
      </c>
      <c r="M950" s="17" t="n">
        <f aca="false">IF($J950=0,"",INDEX(ROTACAO_RDM!$I$6:$I$71,$J950))</f>
        <v>46357</v>
      </c>
      <c r="N950" s="16" t="n">
        <f aca="false">IF($J950=0,0,MAX(0,$C950+INT(DIAS_POR_SEMANA/2)-INDEX(ROTACAO_RDM!$I$6:$I$71,$J950)))</f>
        <v>51</v>
      </c>
      <c r="O950" s="19" t="n">
        <f aca="false">IF($J950=0,0,MIN(1,$N950/MAX(1,INDEX(ROTACAO_RDM!$K$6:$K$71,$J950))))</f>
        <v>0.242857142857143</v>
      </c>
      <c r="P950" s="16" t="n">
        <f aca="false">IF($J950=0,0,IFERROR(MATCH(INDEX(ROTACAO_RDM!$N$6:$N$71,$J950),PARAMETROS_CULTURAS!$B$6:$B$28,0),0))</f>
        <v>6</v>
      </c>
      <c r="Q950" s="8" t="str">
        <f aca="false">IF($P950=0,"-",IF($O950&lt;=INDEX(PARAMETROS_CULTURAS!$F$6:$F$28,$P950),"INICIAL",IF($O950&lt;=INDEX(PARAMETROS_CULTURAS!$F$6:$F$28,$P950)+INDEX(PARAMETROS_CULTURAS!$G$6:$G$28,$P950),"DESENVOLVIMENTO",IF($O950&lt;=INDEX(PARAMETROS_CULTURAS!$F$6:$F$28,$P950)+INDEX(PARAMETROS_CULTURAS!$G$6:$G$28,$P950)+INDEX(PARAMETROS_CULTURAS!$H$6:$H$28,$P950),"MEDIA","FINAL"))))</f>
        <v>DESENVOLVIMENTO</v>
      </c>
      <c r="R950" s="24" t="n">
        <f aca="false">IF($P950=0,0,IF($O950&lt;=INDEX(PARAMETROS_CULTURAS!$F$6:$F$28,$P950),INDEX(PARAMETROS_CULTURAS!$K$6:$K$28,$P950),IF($O950&lt;=INDEX(PARAMETROS_CULTURAS!$F$6:$F$28,$P950)+INDEX(PARAMETROS_CULTURAS!$G$6:$G$28,$P950),INDEX(PARAMETROS_CULTURAS!$K$6:$K$28,$P950)+(INDEX(PARAMETROS_CULTURAS!$L$6:$L$28,$P950)-INDEX(PARAMETROS_CULTURAS!$K$6:$K$28,$P950))*($O950-INDEX(PARAMETROS_CULTURAS!$F$6:$F$28,$P950))/MAX(INDEX(PARAMETROS_CULTURAS!$G$6:$G$28,$P950),0.0001),IF($O950&lt;=INDEX(PARAMETROS_CULTURAS!$F$6:$F$28,$P950)+INDEX(PARAMETROS_CULTURAS!$G$6:$G$28,$P950)+INDEX(PARAMETROS_CULTURAS!$H$6:$H$28,$P950),INDEX(PARAMETROS_CULTURAS!$L$6:$L$28,$P950),INDEX(PARAMETROS_CULTURAS!$L$6:$L$28,$P950)+(INDEX(PARAMETROS_CULTURAS!$M$6:$M$28,$P950)-INDEX(PARAMETROS_CULTURAS!$L$6:$L$28,$P950))*($O950-INDEX(PARAMETROS_CULTURAS!$F$6:$F$28,$P950)-INDEX(PARAMETROS_CULTURAS!$G$6:$G$28,$P950)-INDEX(PARAMETROS_CULTURAS!$H$6:$H$28,$P950))/MAX(INDEX(PARAMETROS_CULTURAS!$I$6:$I$28,$P950),0.0001)))))</f>
        <v>0.692857142857143</v>
      </c>
      <c r="S950" s="18" t="n">
        <f aca="false">IFERROR(INDEX(SEMANAS!$H$6:$H$71,MATCH($B950,SEMANAS!$B$6:$B$71,0)),0)</f>
        <v>33.6</v>
      </c>
      <c r="T950" s="18" t="n">
        <f aca="false">$R950*$S950</f>
        <v>23.28</v>
      </c>
      <c r="U950" s="18" t="n">
        <f aca="false">IFERROR(INDEX(SEMANAS!$I$6:$I$71,MATCH($B950,SEMANAS!$B$6:$B$71,0)),0)</f>
        <v>45.15</v>
      </c>
      <c r="V950" s="18" t="n">
        <f aca="false">IFERROR(INDEX(SEMANAS!$J$6:$J$71,MATCH($B950,SEMANAS!$B$6:$B$71,0)),0)</f>
        <v>36.12</v>
      </c>
      <c r="W950" s="18" t="n">
        <f aca="false">MAX(0,$T950-$V950)</f>
        <v>0</v>
      </c>
      <c r="X950" s="19" t="n">
        <f aca="false">IFERROR(INDEX(CADASTRO_PIVOS!$K$6:$K$41,MATCH($E950,CADASTRO_PIVOS!$B$6:$B$41,0)),EFICIENCIA_PADRAO)</f>
        <v>0.85</v>
      </c>
      <c r="Y950" s="18" t="n">
        <f aca="false">IF($X950&lt;=0,0,$W950/$X950)</f>
        <v>0</v>
      </c>
      <c r="Z950" s="16" t="n">
        <f aca="false">$Y950*$H950*MM_PARA_M3_HA</f>
        <v>0</v>
      </c>
      <c r="AA950" s="18" t="n">
        <f aca="false">IFERROR(INDEX(CADASTRO_PIVOS!$I$6:$I$41,MATCH($E950,CADASTRO_PIVOS!$B$6:$B$41,0)),0)</f>
        <v>714</v>
      </c>
      <c r="AB950" s="18" t="n">
        <f aca="false">IF($Z950&lt;=0,0,$Z950/$AA950)</f>
        <v>0</v>
      </c>
      <c r="AC950" s="16" t="n">
        <f aca="false">IFERROR(INDEX(SEMANAS!$K$6:$K$71,MATCH($B950,SEMANAS!$B$6:$B$71,0)),0)</f>
        <v>147</v>
      </c>
      <c r="AD950" s="19" t="n">
        <f aca="false">IF($AC950&lt;=0,0,$AB950/$AC950)</f>
        <v>0</v>
      </c>
      <c r="AE950" s="8" t="str">
        <f aca="false">IF($K950="SEM CULTURA","SEM CULTURA",IF($AA950&lt;=0,"DADO PENDENTE",IF($AD950&gt;LIMITE_CRITICO,"INVIAVEL",IF($AD950&gt;LIMITE_ATENCAO,"CRITICO",IF($AD950&gt;LIMITE_CONFORTAVEL,"ATENCAO","OK")))))</f>
        <v>OK</v>
      </c>
      <c r="AF950" s="8" t="str">
        <f aca="false">$B950&amp;"|"&amp;TEXT($AD950,"0.000000")</f>
        <v>21|0.000000</v>
      </c>
      <c r="AG950" s="18" t="n">
        <f aca="false">IF($K950="SEM CULTURA",0,$T950*$H950)</f>
        <v>2327.0688</v>
      </c>
      <c r="AH950" s="18" t="n">
        <f aca="false">IF($K950="SEM CULTURA",0,$V950*$H950)</f>
        <v>3610.5552</v>
      </c>
      <c r="AI950" s="18" t="n">
        <f aca="false">IF($K950="SEM CULTURA",0,$W950*$H950)</f>
        <v>0</v>
      </c>
      <c r="AJ950" s="18" t="n">
        <f aca="false">IF($K950="SEM CULTURA",0,$S950*$H950)</f>
        <v>3358.656</v>
      </c>
      <c r="AK950" s="8" t="str">
        <f aca="false">$E950&amp;"|"&amp;TEXT($AD950,"0.000000")</f>
        <v>PV 131|0.000000</v>
      </c>
    </row>
    <row r="951" customFormat="false" ht="15" hidden="false" customHeight="false" outlineLevel="0" collapsed="false">
      <c r="B951" s="16" t="n">
        <v>22</v>
      </c>
      <c r="C951" s="17" t="n">
        <f aca="false">DATA_INICIO_SAFRA+($B951-1)*DIAS_POR_SEMANA</f>
        <v>46412</v>
      </c>
      <c r="D951" s="17" t="n">
        <f aca="false">$C951+DIAS_POR_SEMANA-1</f>
        <v>46418</v>
      </c>
      <c r="E951" s="15" t="s">
        <v>273</v>
      </c>
      <c r="F951" s="8" t="str">
        <f aca="false">IFERROR(INDEX(CADASTRO_PIVOS!$C$6:$C$41,MATCH($E951,CADASTRO_PIVOS!$B$6:$B$41,0)),"?")</f>
        <v>RM05</v>
      </c>
      <c r="G951" s="8" t="str">
        <f aca="false">IFERROR(INDEX(CADASTRO_PIVOS!$D$6:$D$41,MATCH($E951,CADASTRO_PIVOS!$B$6:$B$41,0)),"?")</f>
        <v>TR05</v>
      </c>
      <c r="H951" s="20" t="n">
        <f aca="false">IFERROR(INDEX(CADASTRO_PIVOS!$E$6:$E$41,MATCH($E951,CADASTRO_PIVOS!$B$6:$B$41,0)),0)</f>
        <v>99.96</v>
      </c>
      <c r="I951" s="16" t="n">
        <f aca="false">IFERROR(SUMIFS(ROTACAO_RDM!$B$6:$B$71,ROTACAO_RDM!$D$6:$D$71,$E951,ROTACAO_RDM!$I$6:$I$71,"&lt;="&amp;$C951+INT(DIAS_POR_SEMANA/2),ROTACAO_RDM!$J$6:$J$71,"&gt;="&amp;$C951+INT(DIAS_POR_SEMANA/2)),0)</f>
        <v>60</v>
      </c>
      <c r="J951" s="16" t="n">
        <f aca="false">IFERROR(MATCH($I951,ROTACAO_RDM!$B$6:$B$71,0),0)</f>
        <v>60</v>
      </c>
      <c r="K951" s="8" t="str">
        <f aca="false">IF($J951=0,"SEM CULTURA",INDEX(ROTACAO_RDM!$F$6:$F$71,$J951))</f>
        <v>ALGODAO</v>
      </c>
      <c r="L951" s="8" t="str">
        <f aca="false">IF($J951=0,"",INDEX(ROTACAO_RDM!$G$6:$G$71,$J951))</f>
        <v>IMA 3764 B2RF</v>
      </c>
      <c r="M951" s="17" t="n">
        <f aca="false">IF($J951=0,"",INDEX(ROTACAO_RDM!$I$6:$I$71,$J951))</f>
        <v>46357</v>
      </c>
      <c r="N951" s="16" t="n">
        <f aca="false">IF($J951=0,0,MAX(0,$C951+INT(DIAS_POR_SEMANA/2)-INDEX(ROTACAO_RDM!$I$6:$I$71,$J951)))</f>
        <v>58</v>
      </c>
      <c r="O951" s="19" t="n">
        <f aca="false">IF($J951=0,0,MIN(1,$N951/MAX(1,INDEX(ROTACAO_RDM!$K$6:$K$71,$J951))))</f>
        <v>0.276190476190476</v>
      </c>
      <c r="P951" s="16" t="n">
        <f aca="false">IF($J951=0,0,IFERROR(MATCH(INDEX(ROTACAO_RDM!$N$6:$N$71,$J951),PARAMETROS_CULTURAS!$B$6:$B$28,0),0))</f>
        <v>6</v>
      </c>
      <c r="Q951" s="8" t="str">
        <f aca="false">IF($P951=0,"-",IF($O951&lt;=INDEX(PARAMETROS_CULTURAS!$F$6:$F$28,$P951),"INICIAL",IF($O951&lt;=INDEX(PARAMETROS_CULTURAS!$F$6:$F$28,$P951)+INDEX(PARAMETROS_CULTURAS!$G$6:$G$28,$P951),"DESENVOLVIMENTO",IF($O951&lt;=INDEX(PARAMETROS_CULTURAS!$F$6:$F$28,$P951)+INDEX(PARAMETROS_CULTURAS!$G$6:$G$28,$P951)+INDEX(PARAMETROS_CULTURAS!$H$6:$H$28,$P951),"MEDIA","FINAL"))))</f>
        <v>DESENVOLVIMENTO</v>
      </c>
      <c r="R951" s="24" t="n">
        <f aca="false">IF($P951=0,0,IF($O951&lt;=INDEX(PARAMETROS_CULTURAS!$F$6:$F$28,$P951),INDEX(PARAMETROS_CULTURAS!$K$6:$K$28,$P951),IF($O951&lt;=INDEX(PARAMETROS_CULTURAS!$F$6:$F$28,$P951)+INDEX(PARAMETROS_CULTURAS!$G$6:$G$28,$P951),INDEX(PARAMETROS_CULTURAS!$K$6:$K$28,$P951)+(INDEX(PARAMETROS_CULTURAS!$L$6:$L$28,$P951)-INDEX(PARAMETROS_CULTURAS!$K$6:$K$28,$P951))*($O951-INDEX(PARAMETROS_CULTURAS!$F$6:$F$28,$P951))/MAX(INDEX(PARAMETROS_CULTURAS!$G$6:$G$28,$P951),0.0001),IF($O951&lt;=INDEX(PARAMETROS_CULTURAS!$F$6:$F$28,$P951)+INDEX(PARAMETROS_CULTURAS!$G$6:$G$28,$P951)+INDEX(PARAMETROS_CULTURAS!$H$6:$H$28,$P951),INDEX(PARAMETROS_CULTURAS!$L$6:$L$28,$P951),INDEX(PARAMETROS_CULTURAS!$L$6:$L$28,$P951)+(INDEX(PARAMETROS_CULTURAS!$M$6:$M$28,$P951)-INDEX(PARAMETROS_CULTURAS!$L$6:$L$28,$P951))*($O951-INDEX(PARAMETROS_CULTURAS!$F$6:$F$28,$P951)-INDEX(PARAMETROS_CULTURAS!$G$6:$G$28,$P951)-INDEX(PARAMETROS_CULTURAS!$H$6:$H$28,$P951))/MAX(INDEX(PARAMETROS_CULTURAS!$I$6:$I$28,$P951),0.0001)))))</f>
        <v>0.803968253968254</v>
      </c>
      <c r="S951" s="18" t="n">
        <f aca="false">IFERROR(INDEX(SEMANAS!$H$6:$H$71,MATCH($B951,SEMANAS!$B$6:$B$71,0)),0)</f>
        <v>33.6</v>
      </c>
      <c r="T951" s="18" t="n">
        <f aca="false">$R951*$S951</f>
        <v>27.0133333333333</v>
      </c>
      <c r="U951" s="18" t="n">
        <f aca="false">IFERROR(INDEX(SEMANAS!$I$6:$I$71,MATCH($B951,SEMANAS!$B$6:$B$71,0)),0)</f>
        <v>45.15</v>
      </c>
      <c r="V951" s="18" t="n">
        <f aca="false">IFERROR(INDEX(SEMANAS!$J$6:$J$71,MATCH($B951,SEMANAS!$B$6:$B$71,0)),0)</f>
        <v>36.12</v>
      </c>
      <c r="W951" s="18" t="n">
        <f aca="false">MAX(0,$T951-$V951)</f>
        <v>0</v>
      </c>
      <c r="X951" s="19" t="n">
        <f aca="false">IFERROR(INDEX(CADASTRO_PIVOS!$K$6:$K$41,MATCH($E951,CADASTRO_PIVOS!$B$6:$B$41,0)),EFICIENCIA_PADRAO)</f>
        <v>0.85</v>
      </c>
      <c r="Y951" s="18" t="n">
        <f aca="false">IF($X951&lt;=0,0,$W951/$X951)</f>
        <v>0</v>
      </c>
      <c r="Z951" s="16" t="n">
        <f aca="false">$Y951*$H951*MM_PARA_M3_HA</f>
        <v>0</v>
      </c>
      <c r="AA951" s="18" t="n">
        <f aca="false">IFERROR(INDEX(CADASTRO_PIVOS!$I$6:$I$41,MATCH($E951,CADASTRO_PIVOS!$B$6:$B$41,0)),0)</f>
        <v>714</v>
      </c>
      <c r="AB951" s="18" t="n">
        <f aca="false">IF($Z951&lt;=0,0,$Z951/$AA951)</f>
        <v>0</v>
      </c>
      <c r="AC951" s="16" t="n">
        <f aca="false">IFERROR(INDEX(SEMANAS!$K$6:$K$71,MATCH($B951,SEMANAS!$B$6:$B$71,0)),0)</f>
        <v>147</v>
      </c>
      <c r="AD951" s="19" t="n">
        <f aca="false">IF($AC951&lt;=0,0,$AB951/$AC951)</f>
        <v>0</v>
      </c>
      <c r="AE951" s="8" t="str">
        <f aca="false">IF($K951="SEM CULTURA","SEM CULTURA",IF($AA951&lt;=0,"DADO PENDENTE",IF($AD951&gt;LIMITE_CRITICO,"INVIAVEL",IF($AD951&gt;LIMITE_ATENCAO,"CRITICO",IF($AD951&gt;LIMITE_CONFORTAVEL,"ATENCAO","OK")))))</f>
        <v>OK</v>
      </c>
      <c r="AF951" s="8" t="str">
        <f aca="false">$B951&amp;"|"&amp;TEXT($AD951,"0.000000")</f>
        <v>22|0.000000</v>
      </c>
      <c r="AG951" s="18" t="n">
        <f aca="false">IF($K951="SEM CULTURA",0,$T951*$H951)</f>
        <v>2700.2528</v>
      </c>
      <c r="AH951" s="18" t="n">
        <f aca="false">IF($K951="SEM CULTURA",0,$V951*$H951)</f>
        <v>3610.5552</v>
      </c>
      <c r="AI951" s="18" t="n">
        <f aca="false">IF($K951="SEM CULTURA",0,$W951*$H951)</f>
        <v>0</v>
      </c>
      <c r="AJ951" s="18" t="n">
        <f aca="false">IF($K951="SEM CULTURA",0,$S951*$H951)</f>
        <v>3358.656</v>
      </c>
      <c r="AK951" s="8" t="str">
        <f aca="false">$E951&amp;"|"&amp;TEXT($AD951,"0.000000")</f>
        <v>PV 131|0.000000</v>
      </c>
    </row>
    <row r="952" customFormat="false" ht="15" hidden="false" customHeight="false" outlineLevel="0" collapsed="false">
      <c r="B952" s="16" t="n">
        <v>23</v>
      </c>
      <c r="C952" s="17" t="n">
        <f aca="false">DATA_INICIO_SAFRA+($B952-1)*DIAS_POR_SEMANA</f>
        <v>46419</v>
      </c>
      <c r="D952" s="17" t="n">
        <f aca="false">$C952+DIAS_POR_SEMANA-1</f>
        <v>46425</v>
      </c>
      <c r="E952" s="15" t="s">
        <v>273</v>
      </c>
      <c r="F952" s="8" t="str">
        <f aca="false">IFERROR(INDEX(CADASTRO_PIVOS!$C$6:$C$41,MATCH($E952,CADASTRO_PIVOS!$B$6:$B$41,0)),"?")</f>
        <v>RM05</v>
      </c>
      <c r="G952" s="8" t="str">
        <f aca="false">IFERROR(INDEX(CADASTRO_PIVOS!$D$6:$D$41,MATCH($E952,CADASTRO_PIVOS!$B$6:$B$41,0)),"?")</f>
        <v>TR05</v>
      </c>
      <c r="H952" s="20" t="n">
        <f aca="false">IFERROR(INDEX(CADASTRO_PIVOS!$E$6:$E$41,MATCH($E952,CADASTRO_PIVOS!$B$6:$B$41,0)),0)</f>
        <v>99.96</v>
      </c>
      <c r="I952" s="16" t="n">
        <f aca="false">IFERROR(SUMIFS(ROTACAO_RDM!$B$6:$B$71,ROTACAO_RDM!$D$6:$D$71,$E952,ROTACAO_RDM!$I$6:$I$71,"&lt;="&amp;$C952+INT(DIAS_POR_SEMANA/2),ROTACAO_RDM!$J$6:$J$71,"&gt;="&amp;$C952+INT(DIAS_POR_SEMANA/2)),0)</f>
        <v>60</v>
      </c>
      <c r="J952" s="16" t="n">
        <f aca="false">IFERROR(MATCH($I952,ROTACAO_RDM!$B$6:$B$71,0),0)</f>
        <v>60</v>
      </c>
      <c r="K952" s="8" t="str">
        <f aca="false">IF($J952=0,"SEM CULTURA",INDEX(ROTACAO_RDM!$F$6:$F$71,$J952))</f>
        <v>ALGODAO</v>
      </c>
      <c r="L952" s="8" t="str">
        <f aca="false">IF($J952=0,"",INDEX(ROTACAO_RDM!$G$6:$G$71,$J952))</f>
        <v>IMA 3764 B2RF</v>
      </c>
      <c r="M952" s="17" t="n">
        <f aca="false">IF($J952=0,"",INDEX(ROTACAO_RDM!$I$6:$I$71,$J952))</f>
        <v>46357</v>
      </c>
      <c r="N952" s="16" t="n">
        <f aca="false">IF($J952=0,0,MAX(0,$C952+INT(DIAS_POR_SEMANA/2)-INDEX(ROTACAO_RDM!$I$6:$I$71,$J952)))</f>
        <v>65</v>
      </c>
      <c r="O952" s="19" t="n">
        <f aca="false">IF($J952=0,0,MIN(1,$N952/MAX(1,INDEX(ROTACAO_RDM!$K$6:$K$71,$J952))))</f>
        <v>0.30952380952381</v>
      </c>
      <c r="P952" s="16" t="n">
        <f aca="false">IF($J952=0,0,IFERROR(MATCH(INDEX(ROTACAO_RDM!$N$6:$N$71,$J952),PARAMETROS_CULTURAS!$B$6:$B$28,0),0))</f>
        <v>6</v>
      </c>
      <c r="Q952" s="8" t="str">
        <f aca="false">IF($P952=0,"-",IF($O952&lt;=INDEX(PARAMETROS_CULTURAS!$F$6:$F$28,$P952),"INICIAL",IF($O952&lt;=INDEX(PARAMETROS_CULTURAS!$F$6:$F$28,$P952)+INDEX(PARAMETROS_CULTURAS!$G$6:$G$28,$P952),"DESENVOLVIMENTO",IF($O952&lt;=INDEX(PARAMETROS_CULTURAS!$F$6:$F$28,$P952)+INDEX(PARAMETROS_CULTURAS!$G$6:$G$28,$P952)+INDEX(PARAMETROS_CULTURAS!$H$6:$H$28,$P952),"MEDIA","FINAL"))))</f>
        <v>DESENVOLVIMENTO</v>
      </c>
      <c r="R952" s="24" t="n">
        <f aca="false">IF($P952=0,0,IF($O952&lt;=INDEX(PARAMETROS_CULTURAS!$F$6:$F$28,$P952),INDEX(PARAMETROS_CULTURAS!$K$6:$K$28,$P952),IF($O952&lt;=INDEX(PARAMETROS_CULTURAS!$F$6:$F$28,$P952)+INDEX(PARAMETROS_CULTURAS!$G$6:$G$28,$P952),INDEX(PARAMETROS_CULTURAS!$K$6:$K$28,$P952)+(INDEX(PARAMETROS_CULTURAS!$L$6:$L$28,$P952)-INDEX(PARAMETROS_CULTURAS!$K$6:$K$28,$P952))*($O952-INDEX(PARAMETROS_CULTURAS!$F$6:$F$28,$P952))/MAX(INDEX(PARAMETROS_CULTURAS!$G$6:$G$28,$P952),0.0001),IF($O952&lt;=INDEX(PARAMETROS_CULTURAS!$F$6:$F$28,$P952)+INDEX(PARAMETROS_CULTURAS!$G$6:$G$28,$P952)+INDEX(PARAMETROS_CULTURAS!$H$6:$H$28,$P952),INDEX(PARAMETROS_CULTURAS!$L$6:$L$28,$P952),INDEX(PARAMETROS_CULTURAS!$L$6:$L$28,$P952)+(INDEX(PARAMETROS_CULTURAS!$M$6:$M$28,$P952)-INDEX(PARAMETROS_CULTURAS!$L$6:$L$28,$P952))*($O952-INDEX(PARAMETROS_CULTURAS!$F$6:$F$28,$P952)-INDEX(PARAMETROS_CULTURAS!$G$6:$G$28,$P952)-INDEX(PARAMETROS_CULTURAS!$H$6:$H$28,$P952))/MAX(INDEX(PARAMETROS_CULTURAS!$I$6:$I$28,$P952),0.0001)))))</f>
        <v>0.915079365079365</v>
      </c>
      <c r="S952" s="18" t="n">
        <f aca="false">IFERROR(INDEX(SEMANAS!$H$6:$H$71,MATCH($B952,SEMANAS!$B$6:$B$71,0)),0)</f>
        <v>32.9</v>
      </c>
      <c r="T952" s="18" t="n">
        <f aca="false">$R952*$S952</f>
        <v>30.1061111111111</v>
      </c>
      <c r="U952" s="18" t="n">
        <f aca="false">IFERROR(INDEX(SEMANAS!$I$6:$I$71,MATCH($B952,SEMANAS!$B$6:$B$71,0)),0)</f>
        <v>39.97</v>
      </c>
      <c r="V952" s="18" t="n">
        <f aca="false">IFERROR(INDEX(SEMANAS!$J$6:$J$71,MATCH($B952,SEMANAS!$B$6:$B$71,0)),0)</f>
        <v>31.976</v>
      </c>
      <c r="W952" s="18" t="n">
        <f aca="false">MAX(0,$T952-$V952)</f>
        <v>0</v>
      </c>
      <c r="X952" s="19" t="n">
        <f aca="false">IFERROR(INDEX(CADASTRO_PIVOS!$K$6:$K$41,MATCH($E952,CADASTRO_PIVOS!$B$6:$B$41,0)),EFICIENCIA_PADRAO)</f>
        <v>0.85</v>
      </c>
      <c r="Y952" s="18" t="n">
        <f aca="false">IF($X952&lt;=0,0,$W952/$X952)</f>
        <v>0</v>
      </c>
      <c r="Z952" s="16" t="n">
        <f aca="false">$Y952*$H952*MM_PARA_M3_HA</f>
        <v>0</v>
      </c>
      <c r="AA952" s="18" t="n">
        <f aca="false">IFERROR(INDEX(CADASTRO_PIVOS!$I$6:$I$41,MATCH($E952,CADASTRO_PIVOS!$B$6:$B$41,0)),0)</f>
        <v>714</v>
      </c>
      <c r="AB952" s="18" t="n">
        <f aca="false">IF($Z952&lt;=0,0,$Z952/$AA952)</f>
        <v>0</v>
      </c>
      <c r="AC952" s="16" t="n">
        <f aca="false">IFERROR(INDEX(SEMANAS!$K$6:$K$71,MATCH($B952,SEMANAS!$B$6:$B$71,0)),0)</f>
        <v>147</v>
      </c>
      <c r="AD952" s="19" t="n">
        <f aca="false">IF($AC952&lt;=0,0,$AB952/$AC952)</f>
        <v>0</v>
      </c>
      <c r="AE952" s="8" t="str">
        <f aca="false">IF($K952="SEM CULTURA","SEM CULTURA",IF($AA952&lt;=0,"DADO PENDENTE",IF($AD952&gt;LIMITE_CRITICO,"INVIAVEL",IF($AD952&gt;LIMITE_ATENCAO,"CRITICO",IF($AD952&gt;LIMITE_CONFORTAVEL,"ATENCAO","OK")))))</f>
        <v>OK</v>
      </c>
      <c r="AF952" s="8" t="str">
        <f aca="false">$B952&amp;"|"&amp;TEXT($AD952,"0.000000")</f>
        <v>23|0.000000</v>
      </c>
      <c r="AG952" s="18" t="n">
        <f aca="false">IF($K952="SEM CULTURA",0,$T952*$H952)</f>
        <v>3009.40686666667</v>
      </c>
      <c r="AH952" s="18" t="n">
        <f aca="false">IF($K952="SEM CULTURA",0,$V952*$H952)</f>
        <v>3196.32096</v>
      </c>
      <c r="AI952" s="18" t="n">
        <f aca="false">IF($K952="SEM CULTURA",0,$W952*$H952)</f>
        <v>0</v>
      </c>
      <c r="AJ952" s="18" t="n">
        <f aca="false">IF($K952="SEM CULTURA",0,$S952*$H952)</f>
        <v>3288.684</v>
      </c>
      <c r="AK952" s="8" t="str">
        <f aca="false">$E952&amp;"|"&amp;TEXT($AD952,"0.000000")</f>
        <v>PV 131|0.000000</v>
      </c>
    </row>
    <row r="953" customFormat="false" ht="15" hidden="false" customHeight="false" outlineLevel="0" collapsed="false">
      <c r="B953" s="16" t="n">
        <v>24</v>
      </c>
      <c r="C953" s="17" t="n">
        <f aca="false">DATA_INICIO_SAFRA+($B953-1)*DIAS_POR_SEMANA</f>
        <v>46426</v>
      </c>
      <c r="D953" s="17" t="n">
        <f aca="false">$C953+DIAS_POR_SEMANA-1</f>
        <v>46432</v>
      </c>
      <c r="E953" s="15" t="s">
        <v>273</v>
      </c>
      <c r="F953" s="8" t="str">
        <f aca="false">IFERROR(INDEX(CADASTRO_PIVOS!$C$6:$C$41,MATCH($E953,CADASTRO_PIVOS!$B$6:$B$41,0)),"?")</f>
        <v>RM05</v>
      </c>
      <c r="G953" s="8" t="str">
        <f aca="false">IFERROR(INDEX(CADASTRO_PIVOS!$D$6:$D$41,MATCH($E953,CADASTRO_PIVOS!$B$6:$B$41,0)),"?")</f>
        <v>TR05</v>
      </c>
      <c r="H953" s="20" t="n">
        <f aca="false">IFERROR(INDEX(CADASTRO_PIVOS!$E$6:$E$41,MATCH($E953,CADASTRO_PIVOS!$B$6:$B$41,0)),0)</f>
        <v>99.96</v>
      </c>
      <c r="I953" s="16" t="n">
        <f aca="false">IFERROR(SUMIFS(ROTACAO_RDM!$B$6:$B$71,ROTACAO_RDM!$D$6:$D$71,$E953,ROTACAO_RDM!$I$6:$I$71,"&lt;="&amp;$C953+INT(DIAS_POR_SEMANA/2),ROTACAO_RDM!$J$6:$J$71,"&gt;="&amp;$C953+INT(DIAS_POR_SEMANA/2)),0)</f>
        <v>60</v>
      </c>
      <c r="J953" s="16" t="n">
        <f aca="false">IFERROR(MATCH($I953,ROTACAO_RDM!$B$6:$B$71,0),0)</f>
        <v>60</v>
      </c>
      <c r="K953" s="8" t="str">
        <f aca="false">IF($J953=0,"SEM CULTURA",INDEX(ROTACAO_RDM!$F$6:$F$71,$J953))</f>
        <v>ALGODAO</v>
      </c>
      <c r="L953" s="8" t="str">
        <f aca="false">IF($J953=0,"",INDEX(ROTACAO_RDM!$G$6:$G$71,$J953))</f>
        <v>IMA 3764 B2RF</v>
      </c>
      <c r="M953" s="17" t="n">
        <f aca="false">IF($J953=0,"",INDEX(ROTACAO_RDM!$I$6:$I$71,$J953))</f>
        <v>46357</v>
      </c>
      <c r="N953" s="16" t="n">
        <f aca="false">IF($J953=0,0,MAX(0,$C953+INT(DIAS_POR_SEMANA/2)-INDEX(ROTACAO_RDM!$I$6:$I$71,$J953)))</f>
        <v>72</v>
      </c>
      <c r="O953" s="19" t="n">
        <f aca="false">IF($J953=0,0,MIN(1,$N953/MAX(1,INDEX(ROTACAO_RDM!$K$6:$K$71,$J953))))</f>
        <v>0.342857142857143</v>
      </c>
      <c r="P953" s="16" t="n">
        <f aca="false">IF($J953=0,0,IFERROR(MATCH(INDEX(ROTACAO_RDM!$N$6:$N$71,$J953),PARAMETROS_CULTURAS!$B$6:$B$28,0),0))</f>
        <v>6</v>
      </c>
      <c r="Q953" s="8" t="str">
        <f aca="false">IF($P953=0,"-",IF($O953&lt;=INDEX(PARAMETROS_CULTURAS!$F$6:$F$28,$P953),"INICIAL",IF($O953&lt;=INDEX(PARAMETROS_CULTURAS!$F$6:$F$28,$P953)+INDEX(PARAMETROS_CULTURAS!$G$6:$G$28,$P953),"DESENVOLVIMENTO",IF($O953&lt;=INDEX(PARAMETROS_CULTURAS!$F$6:$F$28,$P953)+INDEX(PARAMETROS_CULTURAS!$G$6:$G$28,$P953)+INDEX(PARAMETROS_CULTURAS!$H$6:$H$28,$P953),"MEDIA","FINAL"))))</f>
        <v>DESENVOLVIMENTO</v>
      </c>
      <c r="R953" s="24" t="n">
        <f aca="false">IF($P953=0,0,IF($O953&lt;=INDEX(PARAMETROS_CULTURAS!$F$6:$F$28,$P953),INDEX(PARAMETROS_CULTURAS!$K$6:$K$28,$P953),IF($O953&lt;=INDEX(PARAMETROS_CULTURAS!$F$6:$F$28,$P953)+INDEX(PARAMETROS_CULTURAS!$G$6:$G$28,$P953),INDEX(PARAMETROS_CULTURAS!$K$6:$K$28,$P953)+(INDEX(PARAMETROS_CULTURAS!$L$6:$L$28,$P953)-INDEX(PARAMETROS_CULTURAS!$K$6:$K$28,$P953))*($O953-INDEX(PARAMETROS_CULTURAS!$F$6:$F$28,$P953))/MAX(INDEX(PARAMETROS_CULTURAS!$G$6:$G$28,$P953),0.0001),IF($O953&lt;=INDEX(PARAMETROS_CULTURAS!$F$6:$F$28,$P953)+INDEX(PARAMETROS_CULTURAS!$G$6:$G$28,$P953)+INDEX(PARAMETROS_CULTURAS!$H$6:$H$28,$P953),INDEX(PARAMETROS_CULTURAS!$L$6:$L$28,$P953),INDEX(PARAMETROS_CULTURAS!$L$6:$L$28,$P953)+(INDEX(PARAMETROS_CULTURAS!$M$6:$M$28,$P953)-INDEX(PARAMETROS_CULTURAS!$L$6:$L$28,$P953))*($O953-INDEX(PARAMETROS_CULTURAS!$F$6:$F$28,$P953)-INDEX(PARAMETROS_CULTURAS!$G$6:$G$28,$P953)-INDEX(PARAMETROS_CULTURAS!$H$6:$H$28,$P953))/MAX(INDEX(PARAMETROS_CULTURAS!$I$6:$I$28,$P953),0.0001)))))</f>
        <v>1.02619047619048</v>
      </c>
      <c r="S953" s="18" t="n">
        <f aca="false">IFERROR(INDEX(SEMANAS!$H$6:$H$71,MATCH($B953,SEMANAS!$B$6:$B$71,0)),0)</f>
        <v>32.9</v>
      </c>
      <c r="T953" s="18" t="n">
        <f aca="false">$R953*$S953</f>
        <v>33.7616666666667</v>
      </c>
      <c r="U953" s="18" t="n">
        <f aca="false">IFERROR(INDEX(SEMANAS!$I$6:$I$71,MATCH($B953,SEMANAS!$B$6:$B$71,0)),0)</f>
        <v>39.97</v>
      </c>
      <c r="V953" s="18" t="n">
        <f aca="false">IFERROR(INDEX(SEMANAS!$J$6:$J$71,MATCH($B953,SEMANAS!$B$6:$B$71,0)),0)</f>
        <v>31.976</v>
      </c>
      <c r="W953" s="18" t="n">
        <f aca="false">MAX(0,$T953-$V953)</f>
        <v>1.78566666666666</v>
      </c>
      <c r="X953" s="19" t="n">
        <f aca="false">IFERROR(INDEX(CADASTRO_PIVOS!$K$6:$K$41,MATCH($E953,CADASTRO_PIVOS!$B$6:$B$41,0)),EFICIENCIA_PADRAO)</f>
        <v>0.85</v>
      </c>
      <c r="Y953" s="18" t="n">
        <f aca="false">IF($X953&lt;=0,0,$W953/$X953)</f>
        <v>2.10078431372548</v>
      </c>
      <c r="Z953" s="16" t="n">
        <f aca="false">$Y953*$H953*MM_PARA_M3_HA</f>
        <v>2099.94399999999</v>
      </c>
      <c r="AA953" s="18" t="n">
        <f aca="false">IFERROR(INDEX(CADASTRO_PIVOS!$I$6:$I$41,MATCH($E953,CADASTRO_PIVOS!$B$6:$B$41,0)),0)</f>
        <v>714</v>
      </c>
      <c r="AB953" s="18" t="n">
        <f aca="false">IF($Z953&lt;=0,0,$Z953/$AA953)</f>
        <v>2.94109803921568</v>
      </c>
      <c r="AC953" s="16" t="n">
        <f aca="false">IFERROR(INDEX(SEMANAS!$K$6:$K$71,MATCH($B953,SEMANAS!$B$6:$B$71,0)),0)</f>
        <v>147</v>
      </c>
      <c r="AD953" s="19" t="n">
        <f aca="false">IF($AC953&lt;=0,0,$AB953/$AC953)</f>
        <v>0.0200074696545284</v>
      </c>
      <c r="AE953" s="8" t="str">
        <f aca="false">IF($K953="SEM CULTURA","SEM CULTURA",IF($AA953&lt;=0,"DADO PENDENTE",IF($AD953&gt;LIMITE_CRITICO,"INVIAVEL",IF($AD953&gt;LIMITE_ATENCAO,"CRITICO",IF($AD953&gt;LIMITE_CONFORTAVEL,"ATENCAO","OK")))))</f>
        <v>OK</v>
      </c>
      <c r="AF953" s="8" t="str">
        <f aca="false">$B953&amp;"|"&amp;TEXT($AD953,"0.000000")</f>
        <v>24|0.020007</v>
      </c>
      <c r="AG953" s="18" t="n">
        <f aca="false">IF($K953="SEM CULTURA",0,$T953*$H953)</f>
        <v>3374.8162</v>
      </c>
      <c r="AH953" s="18" t="n">
        <f aca="false">IF($K953="SEM CULTURA",0,$V953*$H953)</f>
        <v>3196.32096</v>
      </c>
      <c r="AI953" s="18" t="n">
        <f aca="false">IF($K953="SEM CULTURA",0,$W953*$H953)</f>
        <v>178.495239999999</v>
      </c>
      <c r="AJ953" s="18" t="n">
        <f aca="false">IF($K953="SEM CULTURA",0,$S953*$H953)</f>
        <v>3288.684</v>
      </c>
      <c r="AK953" s="8" t="str">
        <f aca="false">$E953&amp;"|"&amp;TEXT($AD953,"0.000000")</f>
        <v>PV 131|0.020007</v>
      </c>
    </row>
    <row r="954" customFormat="false" ht="15" hidden="false" customHeight="false" outlineLevel="0" collapsed="false">
      <c r="B954" s="16" t="n">
        <v>25</v>
      </c>
      <c r="C954" s="17" t="n">
        <f aca="false">DATA_INICIO_SAFRA+($B954-1)*DIAS_POR_SEMANA</f>
        <v>46433</v>
      </c>
      <c r="D954" s="17" t="n">
        <f aca="false">$C954+DIAS_POR_SEMANA-1</f>
        <v>46439</v>
      </c>
      <c r="E954" s="15" t="s">
        <v>273</v>
      </c>
      <c r="F954" s="8" t="str">
        <f aca="false">IFERROR(INDEX(CADASTRO_PIVOS!$C$6:$C$41,MATCH($E954,CADASTRO_PIVOS!$B$6:$B$41,0)),"?")</f>
        <v>RM05</v>
      </c>
      <c r="G954" s="8" t="str">
        <f aca="false">IFERROR(INDEX(CADASTRO_PIVOS!$D$6:$D$41,MATCH($E954,CADASTRO_PIVOS!$B$6:$B$41,0)),"?")</f>
        <v>TR05</v>
      </c>
      <c r="H954" s="20" t="n">
        <f aca="false">IFERROR(INDEX(CADASTRO_PIVOS!$E$6:$E$41,MATCH($E954,CADASTRO_PIVOS!$B$6:$B$41,0)),0)</f>
        <v>99.96</v>
      </c>
      <c r="I954" s="16" t="n">
        <f aca="false">IFERROR(SUMIFS(ROTACAO_RDM!$B$6:$B$71,ROTACAO_RDM!$D$6:$D$71,$E954,ROTACAO_RDM!$I$6:$I$71,"&lt;="&amp;$C954+INT(DIAS_POR_SEMANA/2),ROTACAO_RDM!$J$6:$J$71,"&gt;="&amp;$C954+INT(DIAS_POR_SEMANA/2)),0)</f>
        <v>60</v>
      </c>
      <c r="J954" s="16" t="n">
        <f aca="false">IFERROR(MATCH($I954,ROTACAO_RDM!$B$6:$B$71,0),0)</f>
        <v>60</v>
      </c>
      <c r="K954" s="8" t="str">
        <f aca="false">IF($J954=0,"SEM CULTURA",INDEX(ROTACAO_RDM!$F$6:$F$71,$J954))</f>
        <v>ALGODAO</v>
      </c>
      <c r="L954" s="8" t="str">
        <f aca="false">IF($J954=0,"",INDEX(ROTACAO_RDM!$G$6:$G$71,$J954))</f>
        <v>IMA 3764 B2RF</v>
      </c>
      <c r="M954" s="17" t="n">
        <f aca="false">IF($J954=0,"",INDEX(ROTACAO_RDM!$I$6:$I$71,$J954))</f>
        <v>46357</v>
      </c>
      <c r="N954" s="16" t="n">
        <f aca="false">IF($J954=0,0,MAX(0,$C954+INT(DIAS_POR_SEMANA/2)-INDEX(ROTACAO_RDM!$I$6:$I$71,$J954)))</f>
        <v>79</v>
      </c>
      <c r="O954" s="19" t="n">
        <f aca="false">IF($J954=0,0,MIN(1,$N954/MAX(1,INDEX(ROTACAO_RDM!$K$6:$K$71,$J954))))</f>
        <v>0.376190476190476</v>
      </c>
      <c r="P954" s="16" t="n">
        <f aca="false">IF($J954=0,0,IFERROR(MATCH(INDEX(ROTACAO_RDM!$N$6:$N$71,$J954),PARAMETROS_CULTURAS!$B$6:$B$28,0),0))</f>
        <v>6</v>
      </c>
      <c r="Q954" s="8" t="str">
        <f aca="false">IF($P954=0,"-",IF($O954&lt;=INDEX(PARAMETROS_CULTURAS!$F$6:$F$28,$P954),"INICIAL",IF($O954&lt;=INDEX(PARAMETROS_CULTURAS!$F$6:$F$28,$P954)+INDEX(PARAMETROS_CULTURAS!$G$6:$G$28,$P954),"DESENVOLVIMENTO",IF($O954&lt;=INDEX(PARAMETROS_CULTURAS!$F$6:$F$28,$P954)+INDEX(PARAMETROS_CULTURAS!$G$6:$G$28,$P954)+INDEX(PARAMETROS_CULTURAS!$H$6:$H$28,$P954),"MEDIA","FINAL"))))</f>
        <v>DESENVOLVIMENTO</v>
      </c>
      <c r="R954" s="24" t="n">
        <f aca="false">IF($P954=0,0,IF($O954&lt;=INDEX(PARAMETROS_CULTURAS!$F$6:$F$28,$P954),INDEX(PARAMETROS_CULTURAS!$K$6:$K$28,$P954),IF($O954&lt;=INDEX(PARAMETROS_CULTURAS!$F$6:$F$28,$P954)+INDEX(PARAMETROS_CULTURAS!$G$6:$G$28,$P954),INDEX(PARAMETROS_CULTURAS!$K$6:$K$28,$P954)+(INDEX(PARAMETROS_CULTURAS!$L$6:$L$28,$P954)-INDEX(PARAMETROS_CULTURAS!$K$6:$K$28,$P954))*($O954-INDEX(PARAMETROS_CULTURAS!$F$6:$F$28,$P954))/MAX(INDEX(PARAMETROS_CULTURAS!$G$6:$G$28,$P954),0.0001),IF($O954&lt;=INDEX(PARAMETROS_CULTURAS!$F$6:$F$28,$P954)+INDEX(PARAMETROS_CULTURAS!$G$6:$G$28,$P954)+INDEX(PARAMETROS_CULTURAS!$H$6:$H$28,$P954),INDEX(PARAMETROS_CULTURAS!$L$6:$L$28,$P954),INDEX(PARAMETROS_CULTURAS!$L$6:$L$28,$P954)+(INDEX(PARAMETROS_CULTURAS!$M$6:$M$28,$P954)-INDEX(PARAMETROS_CULTURAS!$L$6:$L$28,$P954))*($O954-INDEX(PARAMETROS_CULTURAS!$F$6:$F$28,$P954)-INDEX(PARAMETROS_CULTURAS!$G$6:$G$28,$P954)-INDEX(PARAMETROS_CULTURAS!$H$6:$H$28,$P954))/MAX(INDEX(PARAMETROS_CULTURAS!$I$6:$I$28,$P954),0.0001)))))</f>
        <v>1.13730158730159</v>
      </c>
      <c r="S954" s="18" t="n">
        <f aca="false">IFERROR(INDEX(SEMANAS!$H$6:$H$71,MATCH($B954,SEMANAS!$B$6:$B$71,0)),0)</f>
        <v>32.9</v>
      </c>
      <c r="T954" s="18" t="n">
        <f aca="false">$R954*$S954</f>
        <v>37.4172222222222</v>
      </c>
      <c r="U954" s="18" t="n">
        <f aca="false">IFERROR(INDEX(SEMANAS!$I$6:$I$71,MATCH($B954,SEMANAS!$B$6:$B$71,0)),0)</f>
        <v>39.97</v>
      </c>
      <c r="V954" s="18" t="n">
        <f aca="false">IFERROR(INDEX(SEMANAS!$J$6:$J$71,MATCH($B954,SEMANAS!$B$6:$B$71,0)),0)</f>
        <v>31.976</v>
      </c>
      <c r="W954" s="18" t="n">
        <f aca="false">MAX(0,$T954-$V954)</f>
        <v>5.44122222222222</v>
      </c>
      <c r="X954" s="19" t="n">
        <f aca="false">IFERROR(INDEX(CADASTRO_PIVOS!$K$6:$K$41,MATCH($E954,CADASTRO_PIVOS!$B$6:$B$41,0)),EFICIENCIA_PADRAO)</f>
        <v>0.85</v>
      </c>
      <c r="Y954" s="18" t="n">
        <f aca="false">IF($X954&lt;=0,0,$W954/$X954)</f>
        <v>6.40143790849673</v>
      </c>
      <c r="Z954" s="16" t="n">
        <f aca="false">$Y954*$H954*MM_PARA_M3_HA</f>
        <v>6398.87733333333</v>
      </c>
      <c r="AA954" s="18" t="n">
        <f aca="false">IFERROR(INDEX(CADASTRO_PIVOS!$I$6:$I$41,MATCH($E954,CADASTRO_PIVOS!$B$6:$B$41,0)),0)</f>
        <v>714</v>
      </c>
      <c r="AB954" s="18" t="n">
        <f aca="false">IF($Z954&lt;=0,0,$Z954/$AA954)</f>
        <v>8.96201307189542</v>
      </c>
      <c r="AC954" s="16" t="n">
        <f aca="false">IFERROR(INDEX(SEMANAS!$K$6:$K$71,MATCH($B954,SEMANAS!$B$6:$B$71,0)),0)</f>
        <v>147</v>
      </c>
      <c r="AD954" s="19" t="n">
        <f aca="false">IF($AC954&lt;=0,0,$AB954/$AC954)</f>
        <v>0.0609660753190165</v>
      </c>
      <c r="AE954" s="8" t="str">
        <f aca="false">IF($K954="SEM CULTURA","SEM CULTURA",IF($AA954&lt;=0,"DADO PENDENTE",IF($AD954&gt;LIMITE_CRITICO,"INVIAVEL",IF($AD954&gt;LIMITE_ATENCAO,"CRITICO",IF($AD954&gt;LIMITE_CONFORTAVEL,"ATENCAO","OK")))))</f>
        <v>OK</v>
      </c>
      <c r="AF954" s="8" t="str">
        <f aca="false">$B954&amp;"|"&amp;TEXT($AD954,"0.000000")</f>
        <v>25|0.060966</v>
      </c>
      <c r="AG954" s="18" t="n">
        <f aca="false">IF($K954="SEM CULTURA",0,$T954*$H954)</f>
        <v>3740.22553333333</v>
      </c>
      <c r="AH954" s="18" t="n">
        <f aca="false">IF($K954="SEM CULTURA",0,$V954*$H954)</f>
        <v>3196.32096</v>
      </c>
      <c r="AI954" s="18" t="n">
        <f aca="false">IF($K954="SEM CULTURA",0,$W954*$H954)</f>
        <v>543.904573333333</v>
      </c>
      <c r="AJ954" s="18" t="n">
        <f aca="false">IF($K954="SEM CULTURA",0,$S954*$H954)</f>
        <v>3288.684</v>
      </c>
      <c r="AK954" s="8" t="str">
        <f aca="false">$E954&amp;"|"&amp;TEXT($AD954,"0.000000")</f>
        <v>PV 131|0.060966</v>
      </c>
    </row>
    <row r="955" customFormat="false" ht="15" hidden="false" customHeight="false" outlineLevel="0" collapsed="false">
      <c r="B955" s="16" t="n">
        <v>26</v>
      </c>
      <c r="C955" s="17" t="n">
        <f aca="false">DATA_INICIO_SAFRA+($B955-1)*DIAS_POR_SEMANA</f>
        <v>46440</v>
      </c>
      <c r="D955" s="17" t="n">
        <f aca="false">$C955+DIAS_POR_SEMANA-1</f>
        <v>46446</v>
      </c>
      <c r="E955" s="15" t="s">
        <v>273</v>
      </c>
      <c r="F955" s="8" t="str">
        <f aca="false">IFERROR(INDEX(CADASTRO_PIVOS!$C$6:$C$41,MATCH($E955,CADASTRO_PIVOS!$B$6:$B$41,0)),"?")</f>
        <v>RM05</v>
      </c>
      <c r="G955" s="8" t="str">
        <f aca="false">IFERROR(INDEX(CADASTRO_PIVOS!$D$6:$D$41,MATCH($E955,CADASTRO_PIVOS!$B$6:$B$41,0)),"?")</f>
        <v>TR05</v>
      </c>
      <c r="H955" s="20" t="n">
        <f aca="false">IFERROR(INDEX(CADASTRO_PIVOS!$E$6:$E$41,MATCH($E955,CADASTRO_PIVOS!$B$6:$B$41,0)),0)</f>
        <v>99.96</v>
      </c>
      <c r="I955" s="16" t="n">
        <f aca="false">IFERROR(SUMIFS(ROTACAO_RDM!$B$6:$B$71,ROTACAO_RDM!$D$6:$D$71,$E955,ROTACAO_RDM!$I$6:$I$71,"&lt;="&amp;$C955+INT(DIAS_POR_SEMANA/2),ROTACAO_RDM!$J$6:$J$71,"&gt;="&amp;$C955+INT(DIAS_POR_SEMANA/2)),0)</f>
        <v>60</v>
      </c>
      <c r="J955" s="16" t="n">
        <f aca="false">IFERROR(MATCH($I955,ROTACAO_RDM!$B$6:$B$71,0),0)</f>
        <v>60</v>
      </c>
      <c r="K955" s="8" t="str">
        <f aca="false">IF($J955=0,"SEM CULTURA",INDEX(ROTACAO_RDM!$F$6:$F$71,$J955))</f>
        <v>ALGODAO</v>
      </c>
      <c r="L955" s="8" t="str">
        <f aca="false">IF($J955=0,"",INDEX(ROTACAO_RDM!$G$6:$G$71,$J955))</f>
        <v>IMA 3764 B2RF</v>
      </c>
      <c r="M955" s="17" t="n">
        <f aca="false">IF($J955=0,"",INDEX(ROTACAO_RDM!$I$6:$I$71,$J955))</f>
        <v>46357</v>
      </c>
      <c r="N955" s="16" t="n">
        <f aca="false">IF($J955=0,0,MAX(0,$C955+INT(DIAS_POR_SEMANA/2)-INDEX(ROTACAO_RDM!$I$6:$I$71,$J955)))</f>
        <v>86</v>
      </c>
      <c r="O955" s="19" t="n">
        <f aca="false">IF($J955=0,0,MIN(1,$N955/MAX(1,INDEX(ROTACAO_RDM!$K$6:$K$71,$J955))))</f>
        <v>0.40952380952381</v>
      </c>
      <c r="P955" s="16" t="n">
        <f aca="false">IF($J955=0,0,IFERROR(MATCH(INDEX(ROTACAO_RDM!$N$6:$N$71,$J955),PARAMETROS_CULTURAS!$B$6:$B$28,0),0))</f>
        <v>6</v>
      </c>
      <c r="Q955" s="8" t="str">
        <f aca="false">IF($P955=0,"-",IF($O955&lt;=INDEX(PARAMETROS_CULTURAS!$F$6:$F$28,$P955),"INICIAL",IF($O955&lt;=INDEX(PARAMETROS_CULTURAS!$F$6:$F$28,$P955)+INDEX(PARAMETROS_CULTURAS!$G$6:$G$28,$P955),"DESENVOLVIMENTO",IF($O955&lt;=INDEX(PARAMETROS_CULTURAS!$F$6:$F$28,$P955)+INDEX(PARAMETROS_CULTURAS!$G$6:$G$28,$P955)+INDEX(PARAMETROS_CULTURAS!$H$6:$H$28,$P955),"MEDIA","FINAL"))))</f>
        <v>MEDIA</v>
      </c>
      <c r="R955" s="24" t="n">
        <f aca="false">IF($P955=0,0,IF($O955&lt;=INDEX(PARAMETROS_CULTURAS!$F$6:$F$28,$P955),INDEX(PARAMETROS_CULTURAS!$K$6:$K$28,$P955),IF($O955&lt;=INDEX(PARAMETROS_CULTURAS!$F$6:$F$28,$P955)+INDEX(PARAMETROS_CULTURAS!$G$6:$G$28,$P955),INDEX(PARAMETROS_CULTURAS!$K$6:$K$28,$P955)+(INDEX(PARAMETROS_CULTURAS!$L$6:$L$28,$P955)-INDEX(PARAMETROS_CULTURAS!$K$6:$K$28,$P955))*($O955-INDEX(PARAMETROS_CULTURAS!$F$6:$F$28,$P955))/MAX(INDEX(PARAMETROS_CULTURAS!$G$6:$G$28,$P955),0.0001),IF($O955&lt;=INDEX(PARAMETROS_CULTURAS!$F$6:$F$28,$P955)+INDEX(PARAMETROS_CULTURAS!$G$6:$G$28,$P955)+INDEX(PARAMETROS_CULTURAS!$H$6:$H$28,$P955),INDEX(PARAMETROS_CULTURAS!$L$6:$L$28,$P955),INDEX(PARAMETROS_CULTURAS!$L$6:$L$28,$P955)+(INDEX(PARAMETROS_CULTURAS!$M$6:$M$28,$P955)-INDEX(PARAMETROS_CULTURAS!$L$6:$L$28,$P955))*($O955-INDEX(PARAMETROS_CULTURAS!$F$6:$F$28,$P955)-INDEX(PARAMETROS_CULTURAS!$G$6:$G$28,$P955)-INDEX(PARAMETROS_CULTURAS!$H$6:$H$28,$P955))/MAX(INDEX(PARAMETROS_CULTURAS!$I$6:$I$28,$P955),0.0001)))))</f>
        <v>1.15</v>
      </c>
      <c r="S955" s="18" t="n">
        <f aca="false">IFERROR(INDEX(SEMANAS!$H$6:$H$71,MATCH($B955,SEMANAS!$B$6:$B$71,0)),0)</f>
        <v>32.9</v>
      </c>
      <c r="T955" s="18" t="n">
        <f aca="false">$R955*$S955</f>
        <v>37.835</v>
      </c>
      <c r="U955" s="18" t="n">
        <f aca="false">IFERROR(INDEX(SEMANAS!$I$6:$I$71,MATCH($B955,SEMANAS!$B$6:$B$71,0)),0)</f>
        <v>39.97</v>
      </c>
      <c r="V955" s="18" t="n">
        <f aca="false">IFERROR(INDEX(SEMANAS!$J$6:$J$71,MATCH($B955,SEMANAS!$B$6:$B$71,0)),0)</f>
        <v>31.976</v>
      </c>
      <c r="W955" s="18" t="n">
        <f aca="false">MAX(0,$T955-$V955)</f>
        <v>5.85899999999999</v>
      </c>
      <c r="X955" s="19" t="n">
        <f aca="false">IFERROR(INDEX(CADASTRO_PIVOS!$K$6:$K$41,MATCH($E955,CADASTRO_PIVOS!$B$6:$B$41,0)),EFICIENCIA_PADRAO)</f>
        <v>0.85</v>
      </c>
      <c r="Y955" s="18" t="n">
        <f aca="false">IF($X955&lt;=0,0,$W955/$X955)</f>
        <v>6.89294117647058</v>
      </c>
      <c r="Z955" s="16" t="n">
        <f aca="false">$Y955*$H955*MM_PARA_M3_HA</f>
        <v>6890.18399999999</v>
      </c>
      <c r="AA955" s="18" t="n">
        <f aca="false">IFERROR(INDEX(CADASTRO_PIVOS!$I$6:$I$41,MATCH($E955,CADASTRO_PIVOS!$B$6:$B$41,0)),0)</f>
        <v>714</v>
      </c>
      <c r="AB955" s="18" t="n">
        <f aca="false">IF($Z955&lt;=0,0,$Z955/$AA955)</f>
        <v>9.65011764705881</v>
      </c>
      <c r="AC955" s="16" t="n">
        <f aca="false">IFERROR(INDEX(SEMANAS!$K$6:$K$71,MATCH($B955,SEMANAS!$B$6:$B$71,0)),0)</f>
        <v>147</v>
      </c>
      <c r="AD955" s="19" t="n">
        <f aca="false">IF($AC955&lt;=0,0,$AB955/$AC955)</f>
        <v>0.0656470588235293</v>
      </c>
      <c r="AE955" s="8" t="str">
        <f aca="false">IF($K955="SEM CULTURA","SEM CULTURA",IF($AA955&lt;=0,"DADO PENDENTE",IF($AD955&gt;LIMITE_CRITICO,"INVIAVEL",IF($AD955&gt;LIMITE_ATENCAO,"CRITICO",IF($AD955&gt;LIMITE_CONFORTAVEL,"ATENCAO","OK")))))</f>
        <v>OK</v>
      </c>
      <c r="AF955" s="8" t="str">
        <f aca="false">$B955&amp;"|"&amp;TEXT($AD955,"0.000000")</f>
        <v>26|0.065647</v>
      </c>
      <c r="AG955" s="18" t="n">
        <f aca="false">IF($K955="SEM CULTURA",0,$T955*$H955)</f>
        <v>3781.9866</v>
      </c>
      <c r="AH955" s="18" t="n">
        <f aca="false">IF($K955="SEM CULTURA",0,$V955*$H955)</f>
        <v>3196.32096</v>
      </c>
      <c r="AI955" s="18" t="n">
        <f aca="false">IF($K955="SEM CULTURA",0,$W955*$H955)</f>
        <v>585.665639999999</v>
      </c>
      <c r="AJ955" s="18" t="n">
        <f aca="false">IF($K955="SEM CULTURA",0,$S955*$H955)</f>
        <v>3288.684</v>
      </c>
      <c r="AK955" s="8" t="str">
        <f aca="false">$E955&amp;"|"&amp;TEXT($AD955,"0.000000")</f>
        <v>PV 131|0.065647</v>
      </c>
    </row>
    <row r="956" customFormat="false" ht="15" hidden="false" customHeight="false" outlineLevel="0" collapsed="false">
      <c r="B956" s="16" t="n">
        <v>27</v>
      </c>
      <c r="C956" s="17" t="n">
        <f aca="false">DATA_INICIO_SAFRA+($B956-1)*DIAS_POR_SEMANA</f>
        <v>46447</v>
      </c>
      <c r="D956" s="17" t="n">
        <f aca="false">$C956+DIAS_POR_SEMANA-1</f>
        <v>46453</v>
      </c>
      <c r="E956" s="15" t="s">
        <v>273</v>
      </c>
      <c r="F956" s="8" t="str">
        <f aca="false">IFERROR(INDEX(CADASTRO_PIVOS!$C$6:$C$41,MATCH($E956,CADASTRO_PIVOS!$B$6:$B$41,0)),"?")</f>
        <v>RM05</v>
      </c>
      <c r="G956" s="8" t="str">
        <f aca="false">IFERROR(INDEX(CADASTRO_PIVOS!$D$6:$D$41,MATCH($E956,CADASTRO_PIVOS!$B$6:$B$41,0)),"?")</f>
        <v>TR05</v>
      </c>
      <c r="H956" s="20" t="n">
        <f aca="false">IFERROR(INDEX(CADASTRO_PIVOS!$E$6:$E$41,MATCH($E956,CADASTRO_PIVOS!$B$6:$B$41,0)),0)</f>
        <v>99.96</v>
      </c>
      <c r="I956" s="16" t="n">
        <f aca="false">IFERROR(SUMIFS(ROTACAO_RDM!$B$6:$B$71,ROTACAO_RDM!$D$6:$D$71,$E956,ROTACAO_RDM!$I$6:$I$71,"&lt;="&amp;$C956+INT(DIAS_POR_SEMANA/2),ROTACAO_RDM!$J$6:$J$71,"&gt;="&amp;$C956+INT(DIAS_POR_SEMANA/2)),0)</f>
        <v>60</v>
      </c>
      <c r="J956" s="16" t="n">
        <f aca="false">IFERROR(MATCH($I956,ROTACAO_RDM!$B$6:$B$71,0),0)</f>
        <v>60</v>
      </c>
      <c r="K956" s="8" t="str">
        <f aca="false">IF($J956=0,"SEM CULTURA",INDEX(ROTACAO_RDM!$F$6:$F$71,$J956))</f>
        <v>ALGODAO</v>
      </c>
      <c r="L956" s="8" t="str">
        <f aca="false">IF($J956=0,"",INDEX(ROTACAO_RDM!$G$6:$G$71,$J956))</f>
        <v>IMA 3764 B2RF</v>
      </c>
      <c r="M956" s="17" t="n">
        <f aca="false">IF($J956=0,"",INDEX(ROTACAO_RDM!$I$6:$I$71,$J956))</f>
        <v>46357</v>
      </c>
      <c r="N956" s="16" t="n">
        <f aca="false">IF($J956=0,0,MAX(0,$C956+INT(DIAS_POR_SEMANA/2)-INDEX(ROTACAO_RDM!$I$6:$I$71,$J956)))</f>
        <v>93</v>
      </c>
      <c r="O956" s="19" t="n">
        <f aca="false">IF($J956=0,0,MIN(1,$N956/MAX(1,INDEX(ROTACAO_RDM!$K$6:$K$71,$J956))))</f>
        <v>0.442857142857143</v>
      </c>
      <c r="P956" s="16" t="n">
        <f aca="false">IF($J956=0,0,IFERROR(MATCH(INDEX(ROTACAO_RDM!$N$6:$N$71,$J956),PARAMETROS_CULTURAS!$B$6:$B$28,0),0))</f>
        <v>6</v>
      </c>
      <c r="Q956" s="8" t="str">
        <f aca="false">IF($P956=0,"-",IF($O956&lt;=INDEX(PARAMETROS_CULTURAS!$F$6:$F$28,$P956),"INICIAL",IF($O956&lt;=INDEX(PARAMETROS_CULTURAS!$F$6:$F$28,$P956)+INDEX(PARAMETROS_CULTURAS!$G$6:$G$28,$P956),"DESENVOLVIMENTO",IF($O956&lt;=INDEX(PARAMETROS_CULTURAS!$F$6:$F$28,$P956)+INDEX(PARAMETROS_CULTURAS!$G$6:$G$28,$P956)+INDEX(PARAMETROS_CULTURAS!$H$6:$H$28,$P956),"MEDIA","FINAL"))))</f>
        <v>MEDIA</v>
      </c>
      <c r="R956" s="24" t="n">
        <f aca="false">IF($P956=0,0,IF($O956&lt;=INDEX(PARAMETROS_CULTURAS!$F$6:$F$28,$P956),INDEX(PARAMETROS_CULTURAS!$K$6:$K$28,$P956),IF($O956&lt;=INDEX(PARAMETROS_CULTURAS!$F$6:$F$28,$P956)+INDEX(PARAMETROS_CULTURAS!$G$6:$G$28,$P956),INDEX(PARAMETROS_CULTURAS!$K$6:$K$28,$P956)+(INDEX(PARAMETROS_CULTURAS!$L$6:$L$28,$P956)-INDEX(PARAMETROS_CULTURAS!$K$6:$K$28,$P956))*($O956-INDEX(PARAMETROS_CULTURAS!$F$6:$F$28,$P956))/MAX(INDEX(PARAMETROS_CULTURAS!$G$6:$G$28,$P956),0.0001),IF($O956&lt;=INDEX(PARAMETROS_CULTURAS!$F$6:$F$28,$P956)+INDEX(PARAMETROS_CULTURAS!$G$6:$G$28,$P956)+INDEX(PARAMETROS_CULTURAS!$H$6:$H$28,$P956),INDEX(PARAMETROS_CULTURAS!$L$6:$L$28,$P956),INDEX(PARAMETROS_CULTURAS!$L$6:$L$28,$P956)+(INDEX(PARAMETROS_CULTURAS!$M$6:$M$28,$P956)-INDEX(PARAMETROS_CULTURAS!$L$6:$L$28,$P956))*($O956-INDEX(PARAMETROS_CULTURAS!$F$6:$F$28,$P956)-INDEX(PARAMETROS_CULTURAS!$G$6:$G$28,$P956)-INDEX(PARAMETROS_CULTURAS!$H$6:$H$28,$P956))/MAX(INDEX(PARAMETROS_CULTURAS!$I$6:$I$28,$P956),0.0001)))))</f>
        <v>1.15</v>
      </c>
      <c r="S956" s="18" t="n">
        <f aca="false">IFERROR(INDEX(SEMANAS!$H$6:$H$71,MATCH($B956,SEMANAS!$B$6:$B$71,0)),0)</f>
        <v>32.2</v>
      </c>
      <c r="T956" s="18" t="n">
        <f aca="false">$R956*$S956</f>
        <v>37.03</v>
      </c>
      <c r="U956" s="18" t="n">
        <f aca="false">IFERROR(INDEX(SEMANAS!$I$6:$I$71,MATCH($B956,SEMANAS!$B$6:$B$71,0)),0)</f>
        <v>37.24</v>
      </c>
      <c r="V956" s="18" t="n">
        <f aca="false">IFERROR(INDEX(SEMANAS!$J$6:$J$71,MATCH($B956,SEMANAS!$B$6:$B$71,0)),0)</f>
        <v>29.792</v>
      </c>
      <c r="W956" s="18" t="n">
        <f aca="false">MAX(0,$T956-$V956)</f>
        <v>7.23799999999999</v>
      </c>
      <c r="X956" s="19" t="n">
        <f aca="false">IFERROR(INDEX(CADASTRO_PIVOS!$K$6:$K$41,MATCH($E956,CADASTRO_PIVOS!$B$6:$B$41,0)),EFICIENCIA_PADRAO)</f>
        <v>0.85</v>
      </c>
      <c r="Y956" s="18" t="n">
        <f aca="false">IF($X956&lt;=0,0,$W956/$X956)</f>
        <v>8.51529411764705</v>
      </c>
      <c r="Z956" s="16" t="n">
        <f aca="false">$Y956*$H956*MM_PARA_M3_HA</f>
        <v>8511.88799999999</v>
      </c>
      <c r="AA956" s="18" t="n">
        <f aca="false">IFERROR(INDEX(CADASTRO_PIVOS!$I$6:$I$41,MATCH($E956,CADASTRO_PIVOS!$B$6:$B$41,0)),0)</f>
        <v>714</v>
      </c>
      <c r="AB956" s="18" t="n">
        <f aca="false">IF($Z956&lt;=0,0,$Z956/$AA956)</f>
        <v>11.9214117647059</v>
      </c>
      <c r="AC956" s="16" t="n">
        <f aca="false">IFERROR(INDEX(SEMANAS!$K$6:$K$71,MATCH($B956,SEMANAS!$B$6:$B$71,0)),0)</f>
        <v>147</v>
      </c>
      <c r="AD956" s="19" t="n">
        <f aca="false">IF($AC956&lt;=0,0,$AB956/$AC956)</f>
        <v>0.0810980392156862</v>
      </c>
      <c r="AE956" s="8" t="str">
        <f aca="false">IF($K956="SEM CULTURA","SEM CULTURA",IF($AA956&lt;=0,"DADO PENDENTE",IF($AD956&gt;LIMITE_CRITICO,"INVIAVEL",IF($AD956&gt;LIMITE_ATENCAO,"CRITICO",IF($AD956&gt;LIMITE_CONFORTAVEL,"ATENCAO","OK")))))</f>
        <v>OK</v>
      </c>
      <c r="AF956" s="8" t="str">
        <f aca="false">$B956&amp;"|"&amp;TEXT($AD956,"0.000000")</f>
        <v>27|0.081098</v>
      </c>
      <c r="AG956" s="18" t="n">
        <f aca="false">IF($K956="SEM CULTURA",0,$T956*$H956)</f>
        <v>3701.5188</v>
      </c>
      <c r="AH956" s="18" t="n">
        <f aca="false">IF($K956="SEM CULTURA",0,$V956*$H956)</f>
        <v>2978.00832</v>
      </c>
      <c r="AI956" s="18" t="n">
        <f aca="false">IF($K956="SEM CULTURA",0,$W956*$H956)</f>
        <v>723.510479999999</v>
      </c>
      <c r="AJ956" s="18" t="n">
        <f aca="false">IF($K956="SEM CULTURA",0,$S956*$H956)</f>
        <v>3218.712</v>
      </c>
      <c r="AK956" s="8" t="str">
        <f aca="false">$E956&amp;"|"&amp;TEXT($AD956,"0.000000")</f>
        <v>PV 131|0.081098</v>
      </c>
    </row>
    <row r="957" customFormat="false" ht="15" hidden="false" customHeight="false" outlineLevel="0" collapsed="false">
      <c r="B957" s="16" t="n">
        <v>28</v>
      </c>
      <c r="C957" s="17" t="n">
        <f aca="false">DATA_INICIO_SAFRA+($B957-1)*DIAS_POR_SEMANA</f>
        <v>46454</v>
      </c>
      <c r="D957" s="17" t="n">
        <f aca="false">$C957+DIAS_POR_SEMANA-1</f>
        <v>46460</v>
      </c>
      <c r="E957" s="15" t="s">
        <v>273</v>
      </c>
      <c r="F957" s="8" t="str">
        <f aca="false">IFERROR(INDEX(CADASTRO_PIVOS!$C$6:$C$41,MATCH($E957,CADASTRO_PIVOS!$B$6:$B$41,0)),"?")</f>
        <v>RM05</v>
      </c>
      <c r="G957" s="8" t="str">
        <f aca="false">IFERROR(INDEX(CADASTRO_PIVOS!$D$6:$D$41,MATCH($E957,CADASTRO_PIVOS!$B$6:$B$41,0)),"?")</f>
        <v>TR05</v>
      </c>
      <c r="H957" s="20" t="n">
        <f aca="false">IFERROR(INDEX(CADASTRO_PIVOS!$E$6:$E$41,MATCH($E957,CADASTRO_PIVOS!$B$6:$B$41,0)),0)</f>
        <v>99.96</v>
      </c>
      <c r="I957" s="16" t="n">
        <f aca="false">IFERROR(SUMIFS(ROTACAO_RDM!$B$6:$B$71,ROTACAO_RDM!$D$6:$D$71,$E957,ROTACAO_RDM!$I$6:$I$71,"&lt;="&amp;$C957+INT(DIAS_POR_SEMANA/2),ROTACAO_RDM!$J$6:$J$71,"&gt;="&amp;$C957+INT(DIAS_POR_SEMANA/2)),0)</f>
        <v>60</v>
      </c>
      <c r="J957" s="16" t="n">
        <f aca="false">IFERROR(MATCH($I957,ROTACAO_RDM!$B$6:$B$71,0),0)</f>
        <v>60</v>
      </c>
      <c r="K957" s="8" t="str">
        <f aca="false">IF($J957=0,"SEM CULTURA",INDEX(ROTACAO_RDM!$F$6:$F$71,$J957))</f>
        <v>ALGODAO</v>
      </c>
      <c r="L957" s="8" t="str">
        <f aca="false">IF($J957=0,"",INDEX(ROTACAO_RDM!$G$6:$G$71,$J957))</f>
        <v>IMA 3764 B2RF</v>
      </c>
      <c r="M957" s="17" t="n">
        <f aca="false">IF($J957=0,"",INDEX(ROTACAO_RDM!$I$6:$I$71,$J957))</f>
        <v>46357</v>
      </c>
      <c r="N957" s="16" t="n">
        <f aca="false">IF($J957=0,0,MAX(0,$C957+INT(DIAS_POR_SEMANA/2)-INDEX(ROTACAO_RDM!$I$6:$I$71,$J957)))</f>
        <v>100</v>
      </c>
      <c r="O957" s="19" t="n">
        <f aca="false">IF($J957=0,0,MIN(1,$N957/MAX(1,INDEX(ROTACAO_RDM!$K$6:$K$71,$J957))))</f>
        <v>0.476190476190476</v>
      </c>
      <c r="P957" s="16" t="n">
        <f aca="false">IF($J957=0,0,IFERROR(MATCH(INDEX(ROTACAO_RDM!$N$6:$N$71,$J957),PARAMETROS_CULTURAS!$B$6:$B$28,0),0))</f>
        <v>6</v>
      </c>
      <c r="Q957" s="8" t="str">
        <f aca="false">IF($P957=0,"-",IF($O957&lt;=INDEX(PARAMETROS_CULTURAS!$F$6:$F$28,$P957),"INICIAL",IF($O957&lt;=INDEX(PARAMETROS_CULTURAS!$F$6:$F$28,$P957)+INDEX(PARAMETROS_CULTURAS!$G$6:$G$28,$P957),"DESENVOLVIMENTO",IF($O957&lt;=INDEX(PARAMETROS_CULTURAS!$F$6:$F$28,$P957)+INDEX(PARAMETROS_CULTURAS!$G$6:$G$28,$P957)+INDEX(PARAMETROS_CULTURAS!$H$6:$H$28,$P957),"MEDIA","FINAL"))))</f>
        <v>MEDIA</v>
      </c>
      <c r="R957" s="24" t="n">
        <f aca="false">IF($P957=0,0,IF($O957&lt;=INDEX(PARAMETROS_CULTURAS!$F$6:$F$28,$P957),INDEX(PARAMETROS_CULTURAS!$K$6:$K$28,$P957),IF($O957&lt;=INDEX(PARAMETROS_CULTURAS!$F$6:$F$28,$P957)+INDEX(PARAMETROS_CULTURAS!$G$6:$G$28,$P957),INDEX(PARAMETROS_CULTURAS!$K$6:$K$28,$P957)+(INDEX(PARAMETROS_CULTURAS!$L$6:$L$28,$P957)-INDEX(PARAMETROS_CULTURAS!$K$6:$K$28,$P957))*($O957-INDEX(PARAMETROS_CULTURAS!$F$6:$F$28,$P957))/MAX(INDEX(PARAMETROS_CULTURAS!$G$6:$G$28,$P957),0.0001),IF($O957&lt;=INDEX(PARAMETROS_CULTURAS!$F$6:$F$28,$P957)+INDEX(PARAMETROS_CULTURAS!$G$6:$G$28,$P957)+INDEX(PARAMETROS_CULTURAS!$H$6:$H$28,$P957),INDEX(PARAMETROS_CULTURAS!$L$6:$L$28,$P957),INDEX(PARAMETROS_CULTURAS!$L$6:$L$28,$P957)+(INDEX(PARAMETROS_CULTURAS!$M$6:$M$28,$P957)-INDEX(PARAMETROS_CULTURAS!$L$6:$L$28,$P957))*($O957-INDEX(PARAMETROS_CULTURAS!$F$6:$F$28,$P957)-INDEX(PARAMETROS_CULTURAS!$G$6:$G$28,$P957)-INDEX(PARAMETROS_CULTURAS!$H$6:$H$28,$P957))/MAX(INDEX(PARAMETROS_CULTURAS!$I$6:$I$28,$P957),0.0001)))))</f>
        <v>1.15</v>
      </c>
      <c r="S957" s="18" t="n">
        <f aca="false">IFERROR(INDEX(SEMANAS!$H$6:$H$71,MATCH($B957,SEMANAS!$B$6:$B$71,0)),0)</f>
        <v>32.2</v>
      </c>
      <c r="T957" s="18" t="n">
        <f aca="false">$R957*$S957</f>
        <v>37.03</v>
      </c>
      <c r="U957" s="18" t="n">
        <f aca="false">IFERROR(INDEX(SEMANAS!$I$6:$I$71,MATCH($B957,SEMANAS!$B$6:$B$71,0)),0)</f>
        <v>37.24</v>
      </c>
      <c r="V957" s="18" t="n">
        <f aca="false">IFERROR(INDEX(SEMANAS!$J$6:$J$71,MATCH($B957,SEMANAS!$B$6:$B$71,0)),0)</f>
        <v>29.792</v>
      </c>
      <c r="W957" s="18" t="n">
        <f aca="false">MAX(0,$T957-$V957)</f>
        <v>7.23799999999999</v>
      </c>
      <c r="X957" s="19" t="n">
        <f aca="false">IFERROR(INDEX(CADASTRO_PIVOS!$K$6:$K$41,MATCH($E957,CADASTRO_PIVOS!$B$6:$B$41,0)),EFICIENCIA_PADRAO)</f>
        <v>0.85</v>
      </c>
      <c r="Y957" s="18" t="n">
        <f aca="false">IF($X957&lt;=0,0,$W957/$X957)</f>
        <v>8.51529411764705</v>
      </c>
      <c r="Z957" s="16" t="n">
        <f aca="false">$Y957*$H957*MM_PARA_M3_HA</f>
        <v>8511.88799999999</v>
      </c>
      <c r="AA957" s="18" t="n">
        <f aca="false">IFERROR(INDEX(CADASTRO_PIVOS!$I$6:$I$41,MATCH($E957,CADASTRO_PIVOS!$B$6:$B$41,0)),0)</f>
        <v>714</v>
      </c>
      <c r="AB957" s="18" t="n">
        <f aca="false">IF($Z957&lt;=0,0,$Z957/$AA957)</f>
        <v>11.9214117647059</v>
      </c>
      <c r="AC957" s="16" t="n">
        <f aca="false">IFERROR(INDEX(SEMANAS!$K$6:$K$71,MATCH($B957,SEMANAS!$B$6:$B$71,0)),0)</f>
        <v>147</v>
      </c>
      <c r="AD957" s="19" t="n">
        <f aca="false">IF($AC957&lt;=0,0,$AB957/$AC957)</f>
        <v>0.0810980392156862</v>
      </c>
      <c r="AE957" s="8" t="str">
        <f aca="false">IF($K957="SEM CULTURA","SEM CULTURA",IF($AA957&lt;=0,"DADO PENDENTE",IF($AD957&gt;LIMITE_CRITICO,"INVIAVEL",IF($AD957&gt;LIMITE_ATENCAO,"CRITICO",IF($AD957&gt;LIMITE_CONFORTAVEL,"ATENCAO","OK")))))</f>
        <v>OK</v>
      </c>
      <c r="AF957" s="8" t="str">
        <f aca="false">$B957&amp;"|"&amp;TEXT($AD957,"0.000000")</f>
        <v>28|0.081098</v>
      </c>
      <c r="AG957" s="18" t="n">
        <f aca="false">IF($K957="SEM CULTURA",0,$T957*$H957)</f>
        <v>3701.5188</v>
      </c>
      <c r="AH957" s="18" t="n">
        <f aca="false">IF($K957="SEM CULTURA",0,$V957*$H957)</f>
        <v>2978.00832</v>
      </c>
      <c r="AI957" s="18" t="n">
        <f aca="false">IF($K957="SEM CULTURA",0,$W957*$H957)</f>
        <v>723.510479999999</v>
      </c>
      <c r="AJ957" s="18" t="n">
        <f aca="false">IF($K957="SEM CULTURA",0,$S957*$H957)</f>
        <v>3218.712</v>
      </c>
      <c r="AK957" s="8" t="str">
        <f aca="false">$E957&amp;"|"&amp;TEXT($AD957,"0.000000")</f>
        <v>PV 131|0.081098</v>
      </c>
    </row>
    <row r="958" customFormat="false" ht="15" hidden="false" customHeight="false" outlineLevel="0" collapsed="false">
      <c r="B958" s="16" t="n">
        <v>29</v>
      </c>
      <c r="C958" s="17" t="n">
        <f aca="false">DATA_INICIO_SAFRA+($B958-1)*DIAS_POR_SEMANA</f>
        <v>46461</v>
      </c>
      <c r="D958" s="17" t="n">
        <f aca="false">$C958+DIAS_POR_SEMANA-1</f>
        <v>46467</v>
      </c>
      <c r="E958" s="15" t="s">
        <v>273</v>
      </c>
      <c r="F958" s="8" t="str">
        <f aca="false">IFERROR(INDEX(CADASTRO_PIVOS!$C$6:$C$41,MATCH($E958,CADASTRO_PIVOS!$B$6:$B$41,0)),"?")</f>
        <v>RM05</v>
      </c>
      <c r="G958" s="8" t="str">
        <f aca="false">IFERROR(INDEX(CADASTRO_PIVOS!$D$6:$D$41,MATCH($E958,CADASTRO_PIVOS!$B$6:$B$41,0)),"?")</f>
        <v>TR05</v>
      </c>
      <c r="H958" s="20" t="n">
        <f aca="false">IFERROR(INDEX(CADASTRO_PIVOS!$E$6:$E$41,MATCH($E958,CADASTRO_PIVOS!$B$6:$B$41,0)),0)</f>
        <v>99.96</v>
      </c>
      <c r="I958" s="16" t="n">
        <f aca="false">IFERROR(SUMIFS(ROTACAO_RDM!$B$6:$B$71,ROTACAO_RDM!$D$6:$D$71,$E958,ROTACAO_RDM!$I$6:$I$71,"&lt;="&amp;$C958+INT(DIAS_POR_SEMANA/2),ROTACAO_RDM!$J$6:$J$71,"&gt;="&amp;$C958+INT(DIAS_POR_SEMANA/2)),0)</f>
        <v>60</v>
      </c>
      <c r="J958" s="16" t="n">
        <f aca="false">IFERROR(MATCH($I958,ROTACAO_RDM!$B$6:$B$71,0),0)</f>
        <v>60</v>
      </c>
      <c r="K958" s="8" t="str">
        <f aca="false">IF($J958=0,"SEM CULTURA",INDEX(ROTACAO_RDM!$F$6:$F$71,$J958))</f>
        <v>ALGODAO</v>
      </c>
      <c r="L958" s="8" t="str">
        <f aca="false">IF($J958=0,"",INDEX(ROTACAO_RDM!$G$6:$G$71,$J958))</f>
        <v>IMA 3764 B2RF</v>
      </c>
      <c r="M958" s="17" t="n">
        <f aca="false">IF($J958=0,"",INDEX(ROTACAO_RDM!$I$6:$I$71,$J958))</f>
        <v>46357</v>
      </c>
      <c r="N958" s="16" t="n">
        <f aca="false">IF($J958=0,0,MAX(0,$C958+INT(DIAS_POR_SEMANA/2)-INDEX(ROTACAO_RDM!$I$6:$I$71,$J958)))</f>
        <v>107</v>
      </c>
      <c r="O958" s="19" t="n">
        <f aca="false">IF($J958=0,0,MIN(1,$N958/MAX(1,INDEX(ROTACAO_RDM!$K$6:$K$71,$J958))))</f>
        <v>0.50952380952381</v>
      </c>
      <c r="P958" s="16" t="n">
        <f aca="false">IF($J958=0,0,IFERROR(MATCH(INDEX(ROTACAO_RDM!$N$6:$N$71,$J958),PARAMETROS_CULTURAS!$B$6:$B$28,0),0))</f>
        <v>6</v>
      </c>
      <c r="Q958" s="8" t="str">
        <f aca="false">IF($P958=0,"-",IF($O958&lt;=INDEX(PARAMETROS_CULTURAS!$F$6:$F$28,$P958),"INICIAL",IF($O958&lt;=INDEX(PARAMETROS_CULTURAS!$F$6:$F$28,$P958)+INDEX(PARAMETROS_CULTURAS!$G$6:$G$28,$P958),"DESENVOLVIMENTO",IF($O958&lt;=INDEX(PARAMETROS_CULTURAS!$F$6:$F$28,$P958)+INDEX(PARAMETROS_CULTURAS!$G$6:$G$28,$P958)+INDEX(PARAMETROS_CULTURAS!$H$6:$H$28,$P958),"MEDIA","FINAL"))))</f>
        <v>MEDIA</v>
      </c>
      <c r="R958" s="24" t="n">
        <f aca="false">IF($P958=0,0,IF($O958&lt;=INDEX(PARAMETROS_CULTURAS!$F$6:$F$28,$P958),INDEX(PARAMETROS_CULTURAS!$K$6:$K$28,$P958),IF($O958&lt;=INDEX(PARAMETROS_CULTURAS!$F$6:$F$28,$P958)+INDEX(PARAMETROS_CULTURAS!$G$6:$G$28,$P958),INDEX(PARAMETROS_CULTURAS!$K$6:$K$28,$P958)+(INDEX(PARAMETROS_CULTURAS!$L$6:$L$28,$P958)-INDEX(PARAMETROS_CULTURAS!$K$6:$K$28,$P958))*($O958-INDEX(PARAMETROS_CULTURAS!$F$6:$F$28,$P958))/MAX(INDEX(PARAMETROS_CULTURAS!$G$6:$G$28,$P958),0.0001),IF($O958&lt;=INDEX(PARAMETROS_CULTURAS!$F$6:$F$28,$P958)+INDEX(PARAMETROS_CULTURAS!$G$6:$G$28,$P958)+INDEX(PARAMETROS_CULTURAS!$H$6:$H$28,$P958),INDEX(PARAMETROS_CULTURAS!$L$6:$L$28,$P958),INDEX(PARAMETROS_CULTURAS!$L$6:$L$28,$P958)+(INDEX(PARAMETROS_CULTURAS!$M$6:$M$28,$P958)-INDEX(PARAMETROS_CULTURAS!$L$6:$L$28,$P958))*($O958-INDEX(PARAMETROS_CULTURAS!$F$6:$F$28,$P958)-INDEX(PARAMETROS_CULTURAS!$G$6:$G$28,$P958)-INDEX(PARAMETROS_CULTURAS!$H$6:$H$28,$P958))/MAX(INDEX(PARAMETROS_CULTURAS!$I$6:$I$28,$P958),0.0001)))))</f>
        <v>1.15</v>
      </c>
      <c r="S958" s="18" t="n">
        <f aca="false">IFERROR(INDEX(SEMANAS!$H$6:$H$71,MATCH($B958,SEMANAS!$B$6:$B$71,0)),0)</f>
        <v>32.2</v>
      </c>
      <c r="T958" s="18" t="n">
        <f aca="false">$R958*$S958</f>
        <v>37.03</v>
      </c>
      <c r="U958" s="18" t="n">
        <f aca="false">IFERROR(INDEX(SEMANAS!$I$6:$I$71,MATCH($B958,SEMANAS!$B$6:$B$71,0)),0)</f>
        <v>37.24</v>
      </c>
      <c r="V958" s="18" t="n">
        <f aca="false">IFERROR(INDEX(SEMANAS!$J$6:$J$71,MATCH($B958,SEMANAS!$B$6:$B$71,0)),0)</f>
        <v>29.792</v>
      </c>
      <c r="W958" s="18" t="n">
        <f aca="false">MAX(0,$T958-$V958)</f>
        <v>7.23799999999999</v>
      </c>
      <c r="X958" s="19" t="n">
        <f aca="false">IFERROR(INDEX(CADASTRO_PIVOS!$K$6:$K$41,MATCH($E958,CADASTRO_PIVOS!$B$6:$B$41,0)),EFICIENCIA_PADRAO)</f>
        <v>0.85</v>
      </c>
      <c r="Y958" s="18" t="n">
        <f aca="false">IF($X958&lt;=0,0,$W958/$X958)</f>
        <v>8.51529411764705</v>
      </c>
      <c r="Z958" s="16" t="n">
        <f aca="false">$Y958*$H958*MM_PARA_M3_HA</f>
        <v>8511.88799999999</v>
      </c>
      <c r="AA958" s="18" t="n">
        <f aca="false">IFERROR(INDEX(CADASTRO_PIVOS!$I$6:$I$41,MATCH($E958,CADASTRO_PIVOS!$B$6:$B$41,0)),0)</f>
        <v>714</v>
      </c>
      <c r="AB958" s="18" t="n">
        <f aca="false">IF($Z958&lt;=0,0,$Z958/$AA958)</f>
        <v>11.9214117647059</v>
      </c>
      <c r="AC958" s="16" t="n">
        <f aca="false">IFERROR(INDEX(SEMANAS!$K$6:$K$71,MATCH($B958,SEMANAS!$B$6:$B$71,0)),0)</f>
        <v>147</v>
      </c>
      <c r="AD958" s="19" t="n">
        <f aca="false">IF($AC958&lt;=0,0,$AB958/$AC958)</f>
        <v>0.0810980392156862</v>
      </c>
      <c r="AE958" s="8" t="str">
        <f aca="false">IF($K958="SEM CULTURA","SEM CULTURA",IF($AA958&lt;=0,"DADO PENDENTE",IF($AD958&gt;LIMITE_CRITICO,"INVIAVEL",IF($AD958&gt;LIMITE_ATENCAO,"CRITICO",IF($AD958&gt;LIMITE_CONFORTAVEL,"ATENCAO","OK")))))</f>
        <v>OK</v>
      </c>
      <c r="AF958" s="8" t="str">
        <f aca="false">$B958&amp;"|"&amp;TEXT($AD958,"0.000000")</f>
        <v>29|0.081098</v>
      </c>
      <c r="AG958" s="18" t="n">
        <f aca="false">IF($K958="SEM CULTURA",0,$T958*$H958)</f>
        <v>3701.5188</v>
      </c>
      <c r="AH958" s="18" t="n">
        <f aca="false">IF($K958="SEM CULTURA",0,$V958*$H958)</f>
        <v>2978.00832</v>
      </c>
      <c r="AI958" s="18" t="n">
        <f aca="false">IF($K958="SEM CULTURA",0,$W958*$H958)</f>
        <v>723.510479999999</v>
      </c>
      <c r="AJ958" s="18" t="n">
        <f aca="false">IF($K958="SEM CULTURA",0,$S958*$H958)</f>
        <v>3218.712</v>
      </c>
      <c r="AK958" s="8" t="str">
        <f aca="false">$E958&amp;"|"&amp;TEXT($AD958,"0.000000")</f>
        <v>PV 131|0.081098</v>
      </c>
    </row>
    <row r="959" customFormat="false" ht="15" hidden="false" customHeight="false" outlineLevel="0" collapsed="false">
      <c r="B959" s="16" t="n">
        <v>30</v>
      </c>
      <c r="C959" s="17" t="n">
        <f aca="false">DATA_INICIO_SAFRA+($B959-1)*DIAS_POR_SEMANA</f>
        <v>46468</v>
      </c>
      <c r="D959" s="17" t="n">
        <f aca="false">$C959+DIAS_POR_SEMANA-1</f>
        <v>46474</v>
      </c>
      <c r="E959" s="15" t="s">
        <v>273</v>
      </c>
      <c r="F959" s="8" t="str">
        <f aca="false">IFERROR(INDEX(CADASTRO_PIVOS!$C$6:$C$41,MATCH($E959,CADASTRO_PIVOS!$B$6:$B$41,0)),"?")</f>
        <v>RM05</v>
      </c>
      <c r="G959" s="8" t="str">
        <f aca="false">IFERROR(INDEX(CADASTRO_PIVOS!$D$6:$D$41,MATCH($E959,CADASTRO_PIVOS!$B$6:$B$41,0)),"?")</f>
        <v>TR05</v>
      </c>
      <c r="H959" s="20" t="n">
        <f aca="false">IFERROR(INDEX(CADASTRO_PIVOS!$E$6:$E$41,MATCH($E959,CADASTRO_PIVOS!$B$6:$B$41,0)),0)</f>
        <v>99.96</v>
      </c>
      <c r="I959" s="16" t="n">
        <f aca="false">IFERROR(SUMIFS(ROTACAO_RDM!$B$6:$B$71,ROTACAO_RDM!$D$6:$D$71,$E959,ROTACAO_RDM!$I$6:$I$71,"&lt;="&amp;$C959+INT(DIAS_POR_SEMANA/2),ROTACAO_RDM!$J$6:$J$71,"&gt;="&amp;$C959+INT(DIAS_POR_SEMANA/2)),0)</f>
        <v>60</v>
      </c>
      <c r="J959" s="16" t="n">
        <f aca="false">IFERROR(MATCH($I959,ROTACAO_RDM!$B$6:$B$71,0),0)</f>
        <v>60</v>
      </c>
      <c r="K959" s="8" t="str">
        <f aca="false">IF($J959=0,"SEM CULTURA",INDEX(ROTACAO_RDM!$F$6:$F$71,$J959))</f>
        <v>ALGODAO</v>
      </c>
      <c r="L959" s="8" t="str">
        <f aca="false">IF($J959=0,"",INDEX(ROTACAO_RDM!$G$6:$G$71,$J959))</f>
        <v>IMA 3764 B2RF</v>
      </c>
      <c r="M959" s="17" t="n">
        <f aca="false">IF($J959=0,"",INDEX(ROTACAO_RDM!$I$6:$I$71,$J959))</f>
        <v>46357</v>
      </c>
      <c r="N959" s="16" t="n">
        <f aca="false">IF($J959=0,0,MAX(0,$C959+INT(DIAS_POR_SEMANA/2)-INDEX(ROTACAO_RDM!$I$6:$I$71,$J959)))</f>
        <v>114</v>
      </c>
      <c r="O959" s="19" t="n">
        <f aca="false">IF($J959=0,0,MIN(1,$N959/MAX(1,INDEX(ROTACAO_RDM!$K$6:$K$71,$J959))))</f>
        <v>0.542857142857143</v>
      </c>
      <c r="P959" s="16" t="n">
        <f aca="false">IF($J959=0,0,IFERROR(MATCH(INDEX(ROTACAO_RDM!$N$6:$N$71,$J959),PARAMETROS_CULTURAS!$B$6:$B$28,0),0))</f>
        <v>6</v>
      </c>
      <c r="Q959" s="8" t="str">
        <f aca="false">IF($P959=0,"-",IF($O959&lt;=INDEX(PARAMETROS_CULTURAS!$F$6:$F$28,$P959),"INICIAL",IF($O959&lt;=INDEX(PARAMETROS_CULTURAS!$F$6:$F$28,$P959)+INDEX(PARAMETROS_CULTURAS!$G$6:$G$28,$P959),"DESENVOLVIMENTO",IF($O959&lt;=INDEX(PARAMETROS_CULTURAS!$F$6:$F$28,$P959)+INDEX(PARAMETROS_CULTURAS!$G$6:$G$28,$P959)+INDEX(PARAMETROS_CULTURAS!$H$6:$H$28,$P959),"MEDIA","FINAL"))))</f>
        <v>MEDIA</v>
      </c>
      <c r="R959" s="24" t="n">
        <f aca="false">IF($P959=0,0,IF($O959&lt;=INDEX(PARAMETROS_CULTURAS!$F$6:$F$28,$P959),INDEX(PARAMETROS_CULTURAS!$K$6:$K$28,$P959),IF($O959&lt;=INDEX(PARAMETROS_CULTURAS!$F$6:$F$28,$P959)+INDEX(PARAMETROS_CULTURAS!$G$6:$G$28,$P959),INDEX(PARAMETROS_CULTURAS!$K$6:$K$28,$P959)+(INDEX(PARAMETROS_CULTURAS!$L$6:$L$28,$P959)-INDEX(PARAMETROS_CULTURAS!$K$6:$K$28,$P959))*($O959-INDEX(PARAMETROS_CULTURAS!$F$6:$F$28,$P959))/MAX(INDEX(PARAMETROS_CULTURAS!$G$6:$G$28,$P959),0.0001),IF($O959&lt;=INDEX(PARAMETROS_CULTURAS!$F$6:$F$28,$P959)+INDEX(PARAMETROS_CULTURAS!$G$6:$G$28,$P959)+INDEX(PARAMETROS_CULTURAS!$H$6:$H$28,$P959),INDEX(PARAMETROS_CULTURAS!$L$6:$L$28,$P959),INDEX(PARAMETROS_CULTURAS!$L$6:$L$28,$P959)+(INDEX(PARAMETROS_CULTURAS!$M$6:$M$28,$P959)-INDEX(PARAMETROS_CULTURAS!$L$6:$L$28,$P959))*($O959-INDEX(PARAMETROS_CULTURAS!$F$6:$F$28,$P959)-INDEX(PARAMETROS_CULTURAS!$G$6:$G$28,$P959)-INDEX(PARAMETROS_CULTURAS!$H$6:$H$28,$P959))/MAX(INDEX(PARAMETROS_CULTURAS!$I$6:$I$28,$P959),0.0001)))))</f>
        <v>1.15</v>
      </c>
      <c r="S959" s="18" t="n">
        <f aca="false">IFERROR(INDEX(SEMANAS!$H$6:$H$71,MATCH($B959,SEMANAS!$B$6:$B$71,0)),0)</f>
        <v>32.2</v>
      </c>
      <c r="T959" s="18" t="n">
        <f aca="false">$R959*$S959</f>
        <v>37.03</v>
      </c>
      <c r="U959" s="18" t="n">
        <f aca="false">IFERROR(INDEX(SEMANAS!$I$6:$I$71,MATCH($B959,SEMANAS!$B$6:$B$71,0)),0)</f>
        <v>37.24</v>
      </c>
      <c r="V959" s="18" t="n">
        <f aca="false">IFERROR(INDEX(SEMANAS!$J$6:$J$71,MATCH($B959,SEMANAS!$B$6:$B$71,0)),0)</f>
        <v>29.792</v>
      </c>
      <c r="W959" s="18" t="n">
        <f aca="false">MAX(0,$T959-$V959)</f>
        <v>7.23799999999999</v>
      </c>
      <c r="X959" s="19" t="n">
        <f aca="false">IFERROR(INDEX(CADASTRO_PIVOS!$K$6:$K$41,MATCH($E959,CADASTRO_PIVOS!$B$6:$B$41,0)),EFICIENCIA_PADRAO)</f>
        <v>0.85</v>
      </c>
      <c r="Y959" s="18" t="n">
        <f aca="false">IF($X959&lt;=0,0,$W959/$X959)</f>
        <v>8.51529411764705</v>
      </c>
      <c r="Z959" s="16" t="n">
        <f aca="false">$Y959*$H959*MM_PARA_M3_HA</f>
        <v>8511.88799999999</v>
      </c>
      <c r="AA959" s="18" t="n">
        <f aca="false">IFERROR(INDEX(CADASTRO_PIVOS!$I$6:$I$41,MATCH($E959,CADASTRO_PIVOS!$B$6:$B$41,0)),0)</f>
        <v>714</v>
      </c>
      <c r="AB959" s="18" t="n">
        <f aca="false">IF($Z959&lt;=0,0,$Z959/$AA959)</f>
        <v>11.9214117647059</v>
      </c>
      <c r="AC959" s="16" t="n">
        <f aca="false">IFERROR(INDEX(SEMANAS!$K$6:$K$71,MATCH($B959,SEMANAS!$B$6:$B$71,0)),0)</f>
        <v>147</v>
      </c>
      <c r="AD959" s="19" t="n">
        <f aca="false">IF($AC959&lt;=0,0,$AB959/$AC959)</f>
        <v>0.0810980392156862</v>
      </c>
      <c r="AE959" s="8" t="str">
        <f aca="false">IF($K959="SEM CULTURA","SEM CULTURA",IF($AA959&lt;=0,"DADO PENDENTE",IF($AD959&gt;LIMITE_CRITICO,"INVIAVEL",IF($AD959&gt;LIMITE_ATENCAO,"CRITICO",IF($AD959&gt;LIMITE_CONFORTAVEL,"ATENCAO","OK")))))</f>
        <v>OK</v>
      </c>
      <c r="AF959" s="8" t="str">
        <f aca="false">$B959&amp;"|"&amp;TEXT($AD959,"0.000000")</f>
        <v>30|0.081098</v>
      </c>
      <c r="AG959" s="18" t="n">
        <f aca="false">IF($K959="SEM CULTURA",0,$T959*$H959)</f>
        <v>3701.5188</v>
      </c>
      <c r="AH959" s="18" t="n">
        <f aca="false">IF($K959="SEM CULTURA",0,$V959*$H959)</f>
        <v>2978.00832</v>
      </c>
      <c r="AI959" s="18" t="n">
        <f aca="false">IF($K959="SEM CULTURA",0,$W959*$H959)</f>
        <v>723.510479999999</v>
      </c>
      <c r="AJ959" s="18" t="n">
        <f aca="false">IF($K959="SEM CULTURA",0,$S959*$H959)</f>
        <v>3218.712</v>
      </c>
      <c r="AK959" s="8" t="str">
        <f aca="false">$E959&amp;"|"&amp;TEXT($AD959,"0.000000")</f>
        <v>PV 131|0.081098</v>
      </c>
    </row>
    <row r="960" customFormat="false" ht="15" hidden="false" customHeight="false" outlineLevel="0" collapsed="false">
      <c r="B960" s="16" t="n">
        <v>31</v>
      </c>
      <c r="C960" s="17" t="n">
        <f aca="false">DATA_INICIO_SAFRA+($B960-1)*DIAS_POR_SEMANA</f>
        <v>46475</v>
      </c>
      <c r="D960" s="17" t="n">
        <f aca="false">$C960+DIAS_POR_SEMANA-1</f>
        <v>46481</v>
      </c>
      <c r="E960" s="15" t="s">
        <v>273</v>
      </c>
      <c r="F960" s="8" t="str">
        <f aca="false">IFERROR(INDEX(CADASTRO_PIVOS!$C$6:$C$41,MATCH($E960,CADASTRO_PIVOS!$B$6:$B$41,0)),"?")</f>
        <v>RM05</v>
      </c>
      <c r="G960" s="8" t="str">
        <f aca="false">IFERROR(INDEX(CADASTRO_PIVOS!$D$6:$D$41,MATCH($E960,CADASTRO_PIVOS!$B$6:$B$41,0)),"?")</f>
        <v>TR05</v>
      </c>
      <c r="H960" s="20" t="n">
        <f aca="false">IFERROR(INDEX(CADASTRO_PIVOS!$E$6:$E$41,MATCH($E960,CADASTRO_PIVOS!$B$6:$B$41,0)),0)</f>
        <v>99.96</v>
      </c>
      <c r="I960" s="16" t="n">
        <f aca="false">IFERROR(SUMIFS(ROTACAO_RDM!$B$6:$B$71,ROTACAO_RDM!$D$6:$D$71,$E960,ROTACAO_RDM!$I$6:$I$71,"&lt;="&amp;$C960+INT(DIAS_POR_SEMANA/2),ROTACAO_RDM!$J$6:$J$71,"&gt;="&amp;$C960+INT(DIAS_POR_SEMANA/2)),0)</f>
        <v>60</v>
      </c>
      <c r="J960" s="16" t="n">
        <f aca="false">IFERROR(MATCH($I960,ROTACAO_RDM!$B$6:$B$71,0),0)</f>
        <v>60</v>
      </c>
      <c r="K960" s="8" t="str">
        <f aca="false">IF($J960=0,"SEM CULTURA",INDEX(ROTACAO_RDM!$F$6:$F$71,$J960))</f>
        <v>ALGODAO</v>
      </c>
      <c r="L960" s="8" t="str">
        <f aca="false">IF($J960=0,"",INDEX(ROTACAO_RDM!$G$6:$G$71,$J960))</f>
        <v>IMA 3764 B2RF</v>
      </c>
      <c r="M960" s="17" t="n">
        <f aca="false">IF($J960=0,"",INDEX(ROTACAO_RDM!$I$6:$I$71,$J960))</f>
        <v>46357</v>
      </c>
      <c r="N960" s="16" t="n">
        <f aca="false">IF($J960=0,0,MAX(0,$C960+INT(DIAS_POR_SEMANA/2)-INDEX(ROTACAO_RDM!$I$6:$I$71,$J960)))</f>
        <v>121</v>
      </c>
      <c r="O960" s="19" t="n">
        <f aca="false">IF($J960=0,0,MIN(1,$N960/MAX(1,INDEX(ROTACAO_RDM!$K$6:$K$71,$J960))))</f>
        <v>0.576190476190476</v>
      </c>
      <c r="P960" s="16" t="n">
        <f aca="false">IF($J960=0,0,IFERROR(MATCH(INDEX(ROTACAO_RDM!$N$6:$N$71,$J960),PARAMETROS_CULTURAS!$B$6:$B$28,0),0))</f>
        <v>6</v>
      </c>
      <c r="Q960" s="8" t="str">
        <f aca="false">IF($P960=0,"-",IF($O960&lt;=INDEX(PARAMETROS_CULTURAS!$F$6:$F$28,$P960),"INICIAL",IF($O960&lt;=INDEX(PARAMETROS_CULTURAS!$F$6:$F$28,$P960)+INDEX(PARAMETROS_CULTURAS!$G$6:$G$28,$P960),"DESENVOLVIMENTO",IF($O960&lt;=INDEX(PARAMETROS_CULTURAS!$F$6:$F$28,$P960)+INDEX(PARAMETROS_CULTURAS!$G$6:$G$28,$P960)+INDEX(PARAMETROS_CULTURAS!$H$6:$H$28,$P960),"MEDIA","FINAL"))))</f>
        <v>MEDIA</v>
      </c>
      <c r="R960" s="24" t="n">
        <f aca="false">IF($P960=0,0,IF($O960&lt;=INDEX(PARAMETROS_CULTURAS!$F$6:$F$28,$P960),INDEX(PARAMETROS_CULTURAS!$K$6:$K$28,$P960),IF($O960&lt;=INDEX(PARAMETROS_CULTURAS!$F$6:$F$28,$P960)+INDEX(PARAMETROS_CULTURAS!$G$6:$G$28,$P960),INDEX(PARAMETROS_CULTURAS!$K$6:$K$28,$P960)+(INDEX(PARAMETROS_CULTURAS!$L$6:$L$28,$P960)-INDEX(PARAMETROS_CULTURAS!$K$6:$K$28,$P960))*($O960-INDEX(PARAMETROS_CULTURAS!$F$6:$F$28,$P960))/MAX(INDEX(PARAMETROS_CULTURAS!$G$6:$G$28,$P960),0.0001),IF($O960&lt;=INDEX(PARAMETROS_CULTURAS!$F$6:$F$28,$P960)+INDEX(PARAMETROS_CULTURAS!$G$6:$G$28,$P960)+INDEX(PARAMETROS_CULTURAS!$H$6:$H$28,$P960),INDEX(PARAMETROS_CULTURAS!$L$6:$L$28,$P960),INDEX(PARAMETROS_CULTURAS!$L$6:$L$28,$P960)+(INDEX(PARAMETROS_CULTURAS!$M$6:$M$28,$P960)-INDEX(PARAMETROS_CULTURAS!$L$6:$L$28,$P960))*($O960-INDEX(PARAMETROS_CULTURAS!$F$6:$F$28,$P960)-INDEX(PARAMETROS_CULTURAS!$G$6:$G$28,$P960)-INDEX(PARAMETROS_CULTURAS!$H$6:$H$28,$P960))/MAX(INDEX(PARAMETROS_CULTURAS!$I$6:$I$28,$P960),0.0001)))))</f>
        <v>1.15</v>
      </c>
      <c r="S960" s="18" t="n">
        <f aca="false">IFERROR(INDEX(SEMANAS!$H$6:$H$71,MATCH($B960,SEMANAS!$B$6:$B$71,0)),0)</f>
        <v>31.8</v>
      </c>
      <c r="T960" s="18" t="n">
        <f aca="false">$R960*$S960</f>
        <v>36.57</v>
      </c>
      <c r="U960" s="18" t="n">
        <f aca="false">IFERROR(INDEX(SEMANAS!$I$6:$I$71,MATCH($B960,SEMANAS!$B$6:$B$71,0)),0)</f>
        <v>25.28</v>
      </c>
      <c r="V960" s="18" t="n">
        <f aca="false">IFERROR(INDEX(SEMANAS!$J$6:$J$71,MATCH($B960,SEMANAS!$B$6:$B$71,0)),0)</f>
        <v>20.224</v>
      </c>
      <c r="W960" s="18" t="n">
        <f aca="false">MAX(0,$T960-$V960)</f>
        <v>16.346</v>
      </c>
      <c r="X960" s="19" t="n">
        <f aca="false">IFERROR(INDEX(CADASTRO_PIVOS!$K$6:$K$41,MATCH($E960,CADASTRO_PIVOS!$B$6:$B$41,0)),EFICIENCIA_PADRAO)</f>
        <v>0.85</v>
      </c>
      <c r="Y960" s="18" t="n">
        <f aca="false">IF($X960&lt;=0,0,$W960/$X960)</f>
        <v>19.2305882352941</v>
      </c>
      <c r="Z960" s="16" t="n">
        <f aca="false">$Y960*$H960*MM_PARA_M3_HA</f>
        <v>19222.896</v>
      </c>
      <c r="AA960" s="18" t="n">
        <f aca="false">IFERROR(INDEX(CADASTRO_PIVOS!$I$6:$I$41,MATCH($E960,CADASTRO_PIVOS!$B$6:$B$41,0)),0)</f>
        <v>714</v>
      </c>
      <c r="AB960" s="18" t="n">
        <f aca="false">IF($Z960&lt;=0,0,$Z960/$AA960)</f>
        <v>26.9228235294118</v>
      </c>
      <c r="AC960" s="16" t="n">
        <f aca="false">IFERROR(INDEX(SEMANAS!$K$6:$K$71,MATCH($B960,SEMANAS!$B$6:$B$71,0)),0)</f>
        <v>147</v>
      </c>
      <c r="AD960" s="19" t="n">
        <f aca="false">IF($AC960&lt;=0,0,$AB960/$AC960)</f>
        <v>0.183148459383753</v>
      </c>
      <c r="AE960" s="8" t="str">
        <f aca="false">IF($K960="SEM CULTURA","SEM CULTURA",IF($AA960&lt;=0,"DADO PENDENTE",IF($AD960&gt;LIMITE_CRITICO,"INVIAVEL",IF($AD960&gt;LIMITE_ATENCAO,"CRITICO",IF($AD960&gt;LIMITE_CONFORTAVEL,"ATENCAO","OK")))))</f>
        <v>OK</v>
      </c>
      <c r="AF960" s="8" t="str">
        <f aca="false">$B960&amp;"|"&amp;TEXT($AD960,"0.000000")</f>
        <v>31|0.183148</v>
      </c>
      <c r="AG960" s="18" t="n">
        <f aca="false">IF($K960="SEM CULTURA",0,$T960*$H960)</f>
        <v>3655.5372</v>
      </c>
      <c r="AH960" s="18" t="n">
        <f aca="false">IF($K960="SEM CULTURA",0,$V960*$H960)</f>
        <v>2021.59104</v>
      </c>
      <c r="AI960" s="18" t="n">
        <f aca="false">IF($K960="SEM CULTURA",0,$W960*$H960)</f>
        <v>1633.94616</v>
      </c>
      <c r="AJ960" s="18" t="n">
        <f aca="false">IF($K960="SEM CULTURA",0,$S960*$H960)</f>
        <v>3178.728</v>
      </c>
      <c r="AK960" s="8" t="str">
        <f aca="false">$E960&amp;"|"&amp;TEXT($AD960,"0.000000")</f>
        <v>PV 131|0.183148</v>
      </c>
    </row>
    <row r="961" customFormat="false" ht="15" hidden="false" customHeight="false" outlineLevel="0" collapsed="false">
      <c r="B961" s="16" t="n">
        <v>32</v>
      </c>
      <c r="C961" s="17" t="n">
        <f aca="false">DATA_INICIO_SAFRA+($B961-1)*DIAS_POR_SEMANA</f>
        <v>46482</v>
      </c>
      <c r="D961" s="17" t="n">
        <f aca="false">$C961+DIAS_POR_SEMANA-1</f>
        <v>46488</v>
      </c>
      <c r="E961" s="15" t="s">
        <v>273</v>
      </c>
      <c r="F961" s="8" t="str">
        <f aca="false">IFERROR(INDEX(CADASTRO_PIVOS!$C$6:$C$41,MATCH($E961,CADASTRO_PIVOS!$B$6:$B$41,0)),"?")</f>
        <v>RM05</v>
      </c>
      <c r="G961" s="8" t="str">
        <f aca="false">IFERROR(INDEX(CADASTRO_PIVOS!$D$6:$D$41,MATCH($E961,CADASTRO_PIVOS!$B$6:$B$41,0)),"?")</f>
        <v>TR05</v>
      </c>
      <c r="H961" s="20" t="n">
        <f aca="false">IFERROR(INDEX(CADASTRO_PIVOS!$E$6:$E$41,MATCH($E961,CADASTRO_PIVOS!$B$6:$B$41,0)),0)</f>
        <v>99.96</v>
      </c>
      <c r="I961" s="16" t="n">
        <f aca="false">IFERROR(SUMIFS(ROTACAO_RDM!$B$6:$B$71,ROTACAO_RDM!$D$6:$D$71,$E961,ROTACAO_RDM!$I$6:$I$71,"&lt;="&amp;$C961+INT(DIAS_POR_SEMANA/2),ROTACAO_RDM!$J$6:$J$71,"&gt;="&amp;$C961+INT(DIAS_POR_SEMANA/2)),0)</f>
        <v>60</v>
      </c>
      <c r="J961" s="16" t="n">
        <f aca="false">IFERROR(MATCH($I961,ROTACAO_RDM!$B$6:$B$71,0),0)</f>
        <v>60</v>
      </c>
      <c r="K961" s="8" t="str">
        <f aca="false">IF($J961=0,"SEM CULTURA",INDEX(ROTACAO_RDM!$F$6:$F$71,$J961))</f>
        <v>ALGODAO</v>
      </c>
      <c r="L961" s="8" t="str">
        <f aca="false">IF($J961=0,"",INDEX(ROTACAO_RDM!$G$6:$G$71,$J961))</f>
        <v>IMA 3764 B2RF</v>
      </c>
      <c r="M961" s="17" t="n">
        <f aca="false">IF($J961=0,"",INDEX(ROTACAO_RDM!$I$6:$I$71,$J961))</f>
        <v>46357</v>
      </c>
      <c r="N961" s="16" t="n">
        <f aca="false">IF($J961=0,0,MAX(0,$C961+INT(DIAS_POR_SEMANA/2)-INDEX(ROTACAO_RDM!$I$6:$I$71,$J961)))</f>
        <v>128</v>
      </c>
      <c r="O961" s="19" t="n">
        <f aca="false">IF($J961=0,0,MIN(1,$N961/MAX(1,INDEX(ROTACAO_RDM!$K$6:$K$71,$J961))))</f>
        <v>0.60952380952381</v>
      </c>
      <c r="P961" s="16" t="n">
        <f aca="false">IF($J961=0,0,IFERROR(MATCH(INDEX(ROTACAO_RDM!$N$6:$N$71,$J961),PARAMETROS_CULTURAS!$B$6:$B$28,0),0))</f>
        <v>6</v>
      </c>
      <c r="Q961" s="8" t="str">
        <f aca="false">IF($P961=0,"-",IF($O961&lt;=INDEX(PARAMETROS_CULTURAS!$F$6:$F$28,$P961),"INICIAL",IF($O961&lt;=INDEX(PARAMETROS_CULTURAS!$F$6:$F$28,$P961)+INDEX(PARAMETROS_CULTURAS!$G$6:$G$28,$P961),"DESENVOLVIMENTO",IF($O961&lt;=INDEX(PARAMETROS_CULTURAS!$F$6:$F$28,$P961)+INDEX(PARAMETROS_CULTURAS!$G$6:$G$28,$P961)+INDEX(PARAMETROS_CULTURAS!$H$6:$H$28,$P961),"MEDIA","FINAL"))))</f>
        <v>MEDIA</v>
      </c>
      <c r="R961" s="24" t="n">
        <f aca="false">IF($P961=0,0,IF($O961&lt;=INDEX(PARAMETROS_CULTURAS!$F$6:$F$28,$P961),INDEX(PARAMETROS_CULTURAS!$K$6:$K$28,$P961),IF($O961&lt;=INDEX(PARAMETROS_CULTURAS!$F$6:$F$28,$P961)+INDEX(PARAMETROS_CULTURAS!$G$6:$G$28,$P961),INDEX(PARAMETROS_CULTURAS!$K$6:$K$28,$P961)+(INDEX(PARAMETROS_CULTURAS!$L$6:$L$28,$P961)-INDEX(PARAMETROS_CULTURAS!$K$6:$K$28,$P961))*($O961-INDEX(PARAMETROS_CULTURAS!$F$6:$F$28,$P961))/MAX(INDEX(PARAMETROS_CULTURAS!$G$6:$G$28,$P961),0.0001),IF($O961&lt;=INDEX(PARAMETROS_CULTURAS!$F$6:$F$28,$P961)+INDEX(PARAMETROS_CULTURAS!$G$6:$G$28,$P961)+INDEX(PARAMETROS_CULTURAS!$H$6:$H$28,$P961),INDEX(PARAMETROS_CULTURAS!$L$6:$L$28,$P961),INDEX(PARAMETROS_CULTURAS!$L$6:$L$28,$P961)+(INDEX(PARAMETROS_CULTURAS!$M$6:$M$28,$P961)-INDEX(PARAMETROS_CULTURAS!$L$6:$L$28,$P961))*($O961-INDEX(PARAMETROS_CULTURAS!$F$6:$F$28,$P961)-INDEX(PARAMETROS_CULTURAS!$G$6:$G$28,$P961)-INDEX(PARAMETROS_CULTURAS!$H$6:$H$28,$P961))/MAX(INDEX(PARAMETROS_CULTURAS!$I$6:$I$28,$P961),0.0001)))))</f>
        <v>1.15</v>
      </c>
      <c r="S961" s="18" t="n">
        <f aca="false">IFERROR(INDEX(SEMANAS!$H$6:$H$71,MATCH($B961,SEMANAS!$B$6:$B$71,0)),0)</f>
        <v>31.5</v>
      </c>
      <c r="T961" s="18" t="n">
        <f aca="false">$R961*$S961</f>
        <v>36.225</v>
      </c>
      <c r="U961" s="18" t="n">
        <f aca="false">IFERROR(INDEX(SEMANAS!$I$6:$I$71,MATCH($B961,SEMANAS!$B$6:$B$71,0)),0)</f>
        <v>16.31</v>
      </c>
      <c r="V961" s="18" t="n">
        <f aca="false">IFERROR(INDEX(SEMANAS!$J$6:$J$71,MATCH($B961,SEMANAS!$B$6:$B$71,0)),0)</f>
        <v>13.048</v>
      </c>
      <c r="W961" s="18" t="n">
        <f aca="false">MAX(0,$T961-$V961)</f>
        <v>23.177</v>
      </c>
      <c r="X961" s="19" t="n">
        <f aca="false">IFERROR(INDEX(CADASTRO_PIVOS!$K$6:$K$41,MATCH($E961,CADASTRO_PIVOS!$B$6:$B$41,0)),EFICIENCIA_PADRAO)</f>
        <v>0.85</v>
      </c>
      <c r="Y961" s="18" t="n">
        <f aca="false">IF($X961&lt;=0,0,$W961/$X961)</f>
        <v>27.2670588235294</v>
      </c>
      <c r="Z961" s="16" t="n">
        <f aca="false">$Y961*$H961*MM_PARA_M3_HA</f>
        <v>27256.152</v>
      </c>
      <c r="AA961" s="18" t="n">
        <f aca="false">IFERROR(INDEX(CADASTRO_PIVOS!$I$6:$I$41,MATCH($E961,CADASTRO_PIVOS!$B$6:$B$41,0)),0)</f>
        <v>714</v>
      </c>
      <c r="AB961" s="18" t="n">
        <f aca="false">IF($Z961&lt;=0,0,$Z961/$AA961)</f>
        <v>38.1738823529412</v>
      </c>
      <c r="AC961" s="16" t="n">
        <f aca="false">IFERROR(INDEX(SEMANAS!$K$6:$K$71,MATCH($B961,SEMANAS!$B$6:$B$71,0)),0)</f>
        <v>147</v>
      </c>
      <c r="AD961" s="19" t="n">
        <f aca="false">IF($AC961&lt;=0,0,$AB961/$AC961)</f>
        <v>0.259686274509804</v>
      </c>
      <c r="AE961" s="8" t="str">
        <f aca="false">IF($K961="SEM CULTURA","SEM CULTURA",IF($AA961&lt;=0,"DADO PENDENTE",IF($AD961&gt;LIMITE_CRITICO,"INVIAVEL",IF($AD961&gt;LIMITE_ATENCAO,"CRITICO",IF($AD961&gt;LIMITE_CONFORTAVEL,"ATENCAO","OK")))))</f>
        <v>OK</v>
      </c>
      <c r="AF961" s="8" t="str">
        <f aca="false">$B961&amp;"|"&amp;TEXT($AD961,"0.000000")</f>
        <v>32|0.259686</v>
      </c>
      <c r="AG961" s="18" t="n">
        <f aca="false">IF($K961="SEM CULTURA",0,$T961*$H961)</f>
        <v>3621.051</v>
      </c>
      <c r="AH961" s="18" t="n">
        <f aca="false">IF($K961="SEM CULTURA",0,$V961*$H961)</f>
        <v>1304.27808</v>
      </c>
      <c r="AI961" s="18" t="n">
        <f aca="false">IF($K961="SEM CULTURA",0,$W961*$H961)</f>
        <v>2316.77292</v>
      </c>
      <c r="AJ961" s="18" t="n">
        <f aca="false">IF($K961="SEM CULTURA",0,$S961*$H961)</f>
        <v>3148.74</v>
      </c>
      <c r="AK961" s="8" t="str">
        <f aca="false">$E961&amp;"|"&amp;TEXT($AD961,"0.000000")</f>
        <v>PV 131|0.259686</v>
      </c>
    </row>
    <row r="962" customFormat="false" ht="15" hidden="false" customHeight="false" outlineLevel="0" collapsed="false">
      <c r="B962" s="16" t="n">
        <v>33</v>
      </c>
      <c r="C962" s="17" t="n">
        <f aca="false">DATA_INICIO_SAFRA+($B962-1)*DIAS_POR_SEMANA</f>
        <v>46489</v>
      </c>
      <c r="D962" s="17" t="n">
        <f aca="false">$C962+DIAS_POR_SEMANA-1</f>
        <v>46495</v>
      </c>
      <c r="E962" s="15" t="s">
        <v>273</v>
      </c>
      <c r="F962" s="8" t="str">
        <f aca="false">IFERROR(INDEX(CADASTRO_PIVOS!$C$6:$C$41,MATCH($E962,CADASTRO_PIVOS!$B$6:$B$41,0)),"?")</f>
        <v>RM05</v>
      </c>
      <c r="G962" s="8" t="str">
        <f aca="false">IFERROR(INDEX(CADASTRO_PIVOS!$D$6:$D$41,MATCH($E962,CADASTRO_PIVOS!$B$6:$B$41,0)),"?")</f>
        <v>TR05</v>
      </c>
      <c r="H962" s="20" t="n">
        <f aca="false">IFERROR(INDEX(CADASTRO_PIVOS!$E$6:$E$41,MATCH($E962,CADASTRO_PIVOS!$B$6:$B$41,0)),0)</f>
        <v>99.96</v>
      </c>
      <c r="I962" s="16" t="n">
        <f aca="false">IFERROR(SUMIFS(ROTACAO_RDM!$B$6:$B$71,ROTACAO_RDM!$D$6:$D$71,$E962,ROTACAO_RDM!$I$6:$I$71,"&lt;="&amp;$C962+INT(DIAS_POR_SEMANA/2),ROTACAO_RDM!$J$6:$J$71,"&gt;="&amp;$C962+INT(DIAS_POR_SEMANA/2)),0)</f>
        <v>60</v>
      </c>
      <c r="J962" s="16" t="n">
        <f aca="false">IFERROR(MATCH($I962,ROTACAO_RDM!$B$6:$B$71,0),0)</f>
        <v>60</v>
      </c>
      <c r="K962" s="8" t="str">
        <f aca="false">IF($J962=0,"SEM CULTURA",INDEX(ROTACAO_RDM!$F$6:$F$71,$J962))</f>
        <v>ALGODAO</v>
      </c>
      <c r="L962" s="8" t="str">
        <f aca="false">IF($J962=0,"",INDEX(ROTACAO_RDM!$G$6:$G$71,$J962))</f>
        <v>IMA 3764 B2RF</v>
      </c>
      <c r="M962" s="17" t="n">
        <f aca="false">IF($J962=0,"",INDEX(ROTACAO_RDM!$I$6:$I$71,$J962))</f>
        <v>46357</v>
      </c>
      <c r="N962" s="16" t="n">
        <f aca="false">IF($J962=0,0,MAX(0,$C962+INT(DIAS_POR_SEMANA/2)-INDEX(ROTACAO_RDM!$I$6:$I$71,$J962)))</f>
        <v>135</v>
      </c>
      <c r="O962" s="19" t="n">
        <f aca="false">IF($J962=0,0,MIN(1,$N962/MAX(1,INDEX(ROTACAO_RDM!$K$6:$K$71,$J962))))</f>
        <v>0.642857142857143</v>
      </c>
      <c r="P962" s="16" t="n">
        <f aca="false">IF($J962=0,0,IFERROR(MATCH(INDEX(ROTACAO_RDM!$N$6:$N$71,$J962),PARAMETROS_CULTURAS!$B$6:$B$28,0),0))</f>
        <v>6</v>
      </c>
      <c r="Q962" s="8" t="str">
        <f aca="false">IF($P962=0,"-",IF($O962&lt;=INDEX(PARAMETROS_CULTURAS!$F$6:$F$28,$P962),"INICIAL",IF($O962&lt;=INDEX(PARAMETROS_CULTURAS!$F$6:$F$28,$P962)+INDEX(PARAMETROS_CULTURAS!$G$6:$G$28,$P962),"DESENVOLVIMENTO",IF($O962&lt;=INDEX(PARAMETROS_CULTURAS!$F$6:$F$28,$P962)+INDEX(PARAMETROS_CULTURAS!$G$6:$G$28,$P962)+INDEX(PARAMETROS_CULTURAS!$H$6:$H$28,$P962),"MEDIA","FINAL"))))</f>
        <v>MEDIA</v>
      </c>
      <c r="R962" s="24" t="n">
        <f aca="false">IF($P962=0,0,IF($O962&lt;=INDEX(PARAMETROS_CULTURAS!$F$6:$F$28,$P962),INDEX(PARAMETROS_CULTURAS!$K$6:$K$28,$P962),IF($O962&lt;=INDEX(PARAMETROS_CULTURAS!$F$6:$F$28,$P962)+INDEX(PARAMETROS_CULTURAS!$G$6:$G$28,$P962),INDEX(PARAMETROS_CULTURAS!$K$6:$K$28,$P962)+(INDEX(PARAMETROS_CULTURAS!$L$6:$L$28,$P962)-INDEX(PARAMETROS_CULTURAS!$K$6:$K$28,$P962))*($O962-INDEX(PARAMETROS_CULTURAS!$F$6:$F$28,$P962))/MAX(INDEX(PARAMETROS_CULTURAS!$G$6:$G$28,$P962),0.0001),IF($O962&lt;=INDEX(PARAMETROS_CULTURAS!$F$6:$F$28,$P962)+INDEX(PARAMETROS_CULTURAS!$G$6:$G$28,$P962)+INDEX(PARAMETROS_CULTURAS!$H$6:$H$28,$P962),INDEX(PARAMETROS_CULTURAS!$L$6:$L$28,$P962),INDEX(PARAMETROS_CULTURAS!$L$6:$L$28,$P962)+(INDEX(PARAMETROS_CULTURAS!$M$6:$M$28,$P962)-INDEX(PARAMETROS_CULTURAS!$L$6:$L$28,$P962))*($O962-INDEX(PARAMETROS_CULTURAS!$F$6:$F$28,$P962)-INDEX(PARAMETROS_CULTURAS!$G$6:$G$28,$P962)-INDEX(PARAMETROS_CULTURAS!$H$6:$H$28,$P962))/MAX(INDEX(PARAMETROS_CULTURAS!$I$6:$I$28,$P962),0.0001)))))</f>
        <v>1.15</v>
      </c>
      <c r="S962" s="18" t="n">
        <f aca="false">IFERROR(INDEX(SEMANAS!$H$6:$H$71,MATCH($B962,SEMANAS!$B$6:$B$71,0)),0)</f>
        <v>31.5</v>
      </c>
      <c r="T962" s="18" t="n">
        <f aca="false">$R962*$S962</f>
        <v>36.225</v>
      </c>
      <c r="U962" s="18" t="n">
        <f aca="false">IFERROR(INDEX(SEMANAS!$I$6:$I$71,MATCH($B962,SEMANAS!$B$6:$B$71,0)),0)</f>
        <v>16.31</v>
      </c>
      <c r="V962" s="18" t="n">
        <f aca="false">IFERROR(INDEX(SEMANAS!$J$6:$J$71,MATCH($B962,SEMANAS!$B$6:$B$71,0)),0)</f>
        <v>13.048</v>
      </c>
      <c r="W962" s="18" t="n">
        <f aca="false">MAX(0,$T962-$V962)</f>
        <v>23.177</v>
      </c>
      <c r="X962" s="19" t="n">
        <f aca="false">IFERROR(INDEX(CADASTRO_PIVOS!$K$6:$K$41,MATCH($E962,CADASTRO_PIVOS!$B$6:$B$41,0)),EFICIENCIA_PADRAO)</f>
        <v>0.85</v>
      </c>
      <c r="Y962" s="18" t="n">
        <f aca="false">IF($X962&lt;=0,0,$W962/$X962)</f>
        <v>27.2670588235294</v>
      </c>
      <c r="Z962" s="16" t="n">
        <f aca="false">$Y962*$H962*MM_PARA_M3_HA</f>
        <v>27256.152</v>
      </c>
      <c r="AA962" s="18" t="n">
        <f aca="false">IFERROR(INDEX(CADASTRO_PIVOS!$I$6:$I$41,MATCH($E962,CADASTRO_PIVOS!$B$6:$B$41,0)),0)</f>
        <v>714</v>
      </c>
      <c r="AB962" s="18" t="n">
        <f aca="false">IF($Z962&lt;=0,0,$Z962/$AA962)</f>
        <v>38.1738823529412</v>
      </c>
      <c r="AC962" s="16" t="n">
        <f aca="false">IFERROR(INDEX(SEMANAS!$K$6:$K$71,MATCH($B962,SEMANAS!$B$6:$B$71,0)),0)</f>
        <v>147</v>
      </c>
      <c r="AD962" s="19" t="n">
        <f aca="false">IF($AC962&lt;=0,0,$AB962/$AC962)</f>
        <v>0.259686274509804</v>
      </c>
      <c r="AE962" s="8" t="str">
        <f aca="false">IF($K962="SEM CULTURA","SEM CULTURA",IF($AA962&lt;=0,"DADO PENDENTE",IF($AD962&gt;LIMITE_CRITICO,"INVIAVEL",IF($AD962&gt;LIMITE_ATENCAO,"CRITICO",IF($AD962&gt;LIMITE_CONFORTAVEL,"ATENCAO","OK")))))</f>
        <v>OK</v>
      </c>
      <c r="AF962" s="8" t="str">
        <f aca="false">$B962&amp;"|"&amp;TEXT($AD962,"0.000000")</f>
        <v>33|0.259686</v>
      </c>
      <c r="AG962" s="18" t="n">
        <f aca="false">IF($K962="SEM CULTURA",0,$T962*$H962)</f>
        <v>3621.051</v>
      </c>
      <c r="AH962" s="18" t="n">
        <f aca="false">IF($K962="SEM CULTURA",0,$V962*$H962)</f>
        <v>1304.27808</v>
      </c>
      <c r="AI962" s="18" t="n">
        <f aca="false">IF($K962="SEM CULTURA",0,$W962*$H962)</f>
        <v>2316.77292</v>
      </c>
      <c r="AJ962" s="18" t="n">
        <f aca="false">IF($K962="SEM CULTURA",0,$S962*$H962)</f>
        <v>3148.74</v>
      </c>
      <c r="AK962" s="8" t="str">
        <f aca="false">$E962&amp;"|"&amp;TEXT($AD962,"0.000000")</f>
        <v>PV 131|0.259686</v>
      </c>
    </row>
    <row r="963" customFormat="false" ht="15" hidden="false" customHeight="false" outlineLevel="0" collapsed="false">
      <c r="B963" s="16" t="n">
        <v>34</v>
      </c>
      <c r="C963" s="17" t="n">
        <f aca="false">DATA_INICIO_SAFRA+($B963-1)*DIAS_POR_SEMANA</f>
        <v>46496</v>
      </c>
      <c r="D963" s="17" t="n">
        <f aca="false">$C963+DIAS_POR_SEMANA-1</f>
        <v>46502</v>
      </c>
      <c r="E963" s="15" t="s">
        <v>273</v>
      </c>
      <c r="F963" s="8" t="str">
        <f aca="false">IFERROR(INDEX(CADASTRO_PIVOS!$C$6:$C$41,MATCH($E963,CADASTRO_PIVOS!$B$6:$B$41,0)),"?")</f>
        <v>RM05</v>
      </c>
      <c r="G963" s="8" t="str">
        <f aca="false">IFERROR(INDEX(CADASTRO_PIVOS!$D$6:$D$41,MATCH($E963,CADASTRO_PIVOS!$B$6:$B$41,0)),"?")</f>
        <v>TR05</v>
      </c>
      <c r="H963" s="20" t="n">
        <f aca="false">IFERROR(INDEX(CADASTRO_PIVOS!$E$6:$E$41,MATCH($E963,CADASTRO_PIVOS!$B$6:$B$41,0)),0)</f>
        <v>99.96</v>
      </c>
      <c r="I963" s="16" t="n">
        <f aca="false">IFERROR(SUMIFS(ROTACAO_RDM!$B$6:$B$71,ROTACAO_RDM!$D$6:$D$71,$E963,ROTACAO_RDM!$I$6:$I$71,"&lt;="&amp;$C963+INT(DIAS_POR_SEMANA/2),ROTACAO_RDM!$J$6:$J$71,"&gt;="&amp;$C963+INT(DIAS_POR_SEMANA/2)),0)</f>
        <v>60</v>
      </c>
      <c r="J963" s="16" t="n">
        <f aca="false">IFERROR(MATCH($I963,ROTACAO_RDM!$B$6:$B$71,0),0)</f>
        <v>60</v>
      </c>
      <c r="K963" s="8" t="str">
        <f aca="false">IF($J963=0,"SEM CULTURA",INDEX(ROTACAO_RDM!$F$6:$F$71,$J963))</f>
        <v>ALGODAO</v>
      </c>
      <c r="L963" s="8" t="str">
        <f aca="false">IF($J963=0,"",INDEX(ROTACAO_RDM!$G$6:$G$71,$J963))</f>
        <v>IMA 3764 B2RF</v>
      </c>
      <c r="M963" s="17" t="n">
        <f aca="false">IF($J963=0,"",INDEX(ROTACAO_RDM!$I$6:$I$71,$J963))</f>
        <v>46357</v>
      </c>
      <c r="N963" s="16" t="n">
        <f aca="false">IF($J963=0,0,MAX(0,$C963+INT(DIAS_POR_SEMANA/2)-INDEX(ROTACAO_RDM!$I$6:$I$71,$J963)))</f>
        <v>142</v>
      </c>
      <c r="O963" s="19" t="n">
        <f aca="false">IF($J963=0,0,MIN(1,$N963/MAX(1,INDEX(ROTACAO_RDM!$K$6:$K$71,$J963))))</f>
        <v>0.676190476190476</v>
      </c>
      <c r="P963" s="16" t="n">
        <f aca="false">IF($J963=0,0,IFERROR(MATCH(INDEX(ROTACAO_RDM!$N$6:$N$71,$J963),PARAMETROS_CULTURAS!$B$6:$B$28,0),0))</f>
        <v>6</v>
      </c>
      <c r="Q963" s="8" t="str">
        <f aca="false">IF($P963=0,"-",IF($O963&lt;=INDEX(PARAMETROS_CULTURAS!$F$6:$F$28,$P963),"INICIAL",IF($O963&lt;=INDEX(PARAMETROS_CULTURAS!$F$6:$F$28,$P963)+INDEX(PARAMETROS_CULTURAS!$G$6:$G$28,$P963),"DESENVOLVIMENTO",IF($O963&lt;=INDEX(PARAMETROS_CULTURAS!$F$6:$F$28,$P963)+INDEX(PARAMETROS_CULTURAS!$G$6:$G$28,$P963)+INDEX(PARAMETROS_CULTURAS!$H$6:$H$28,$P963),"MEDIA","FINAL"))))</f>
        <v>MEDIA</v>
      </c>
      <c r="R963" s="24" t="n">
        <f aca="false">IF($P963=0,0,IF($O963&lt;=INDEX(PARAMETROS_CULTURAS!$F$6:$F$28,$P963),INDEX(PARAMETROS_CULTURAS!$K$6:$K$28,$P963),IF($O963&lt;=INDEX(PARAMETROS_CULTURAS!$F$6:$F$28,$P963)+INDEX(PARAMETROS_CULTURAS!$G$6:$G$28,$P963),INDEX(PARAMETROS_CULTURAS!$K$6:$K$28,$P963)+(INDEX(PARAMETROS_CULTURAS!$L$6:$L$28,$P963)-INDEX(PARAMETROS_CULTURAS!$K$6:$K$28,$P963))*($O963-INDEX(PARAMETROS_CULTURAS!$F$6:$F$28,$P963))/MAX(INDEX(PARAMETROS_CULTURAS!$G$6:$G$28,$P963),0.0001),IF($O963&lt;=INDEX(PARAMETROS_CULTURAS!$F$6:$F$28,$P963)+INDEX(PARAMETROS_CULTURAS!$G$6:$G$28,$P963)+INDEX(PARAMETROS_CULTURAS!$H$6:$H$28,$P963),INDEX(PARAMETROS_CULTURAS!$L$6:$L$28,$P963),INDEX(PARAMETROS_CULTURAS!$L$6:$L$28,$P963)+(INDEX(PARAMETROS_CULTURAS!$M$6:$M$28,$P963)-INDEX(PARAMETROS_CULTURAS!$L$6:$L$28,$P963))*($O963-INDEX(PARAMETROS_CULTURAS!$F$6:$F$28,$P963)-INDEX(PARAMETROS_CULTURAS!$G$6:$G$28,$P963)-INDEX(PARAMETROS_CULTURAS!$H$6:$H$28,$P963))/MAX(INDEX(PARAMETROS_CULTURAS!$I$6:$I$28,$P963),0.0001)))))</f>
        <v>1.15</v>
      </c>
      <c r="S963" s="18" t="n">
        <f aca="false">IFERROR(INDEX(SEMANAS!$H$6:$H$71,MATCH($B963,SEMANAS!$B$6:$B$71,0)),0)</f>
        <v>31.5</v>
      </c>
      <c r="T963" s="18" t="n">
        <f aca="false">$R963*$S963</f>
        <v>36.225</v>
      </c>
      <c r="U963" s="18" t="n">
        <f aca="false">IFERROR(INDEX(SEMANAS!$I$6:$I$71,MATCH($B963,SEMANAS!$B$6:$B$71,0)),0)</f>
        <v>16.31</v>
      </c>
      <c r="V963" s="18" t="n">
        <f aca="false">IFERROR(INDEX(SEMANAS!$J$6:$J$71,MATCH($B963,SEMANAS!$B$6:$B$71,0)),0)</f>
        <v>13.048</v>
      </c>
      <c r="W963" s="18" t="n">
        <f aca="false">MAX(0,$T963-$V963)</f>
        <v>23.177</v>
      </c>
      <c r="X963" s="19" t="n">
        <f aca="false">IFERROR(INDEX(CADASTRO_PIVOS!$K$6:$K$41,MATCH($E963,CADASTRO_PIVOS!$B$6:$B$41,0)),EFICIENCIA_PADRAO)</f>
        <v>0.85</v>
      </c>
      <c r="Y963" s="18" t="n">
        <f aca="false">IF($X963&lt;=0,0,$W963/$X963)</f>
        <v>27.2670588235294</v>
      </c>
      <c r="Z963" s="16" t="n">
        <f aca="false">$Y963*$H963*MM_PARA_M3_HA</f>
        <v>27256.152</v>
      </c>
      <c r="AA963" s="18" t="n">
        <f aca="false">IFERROR(INDEX(CADASTRO_PIVOS!$I$6:$I$41,MATCH($E963,CADASTRO_PIVOS!$B$6:$B$41,0)),0)</f>
        <v>714</v>
      </c>
      <c r="AB963" s="18" t="n">
        <f aca="false">IF($Z963&lt;=0,0,$Z963/$AA963)</f>
        <v>38.1738823529412</v>
      </c>
      <c r="AC963" s="16" t="n">
        <f aca="false">IFERROR(INDEX(SEMANAS!$K$6:$K$71,MATCH($B963,SEMANAS!$B$6:$B$71,0)),0)</f>
        <v>147</v>
      </c>
      <c r="AD963" s="19" t="n">
        <f aca="false">IF($AC963&lt;=0,0,$AB963/$AC963)</f>
        <v>0.259686274509804</v>
      </c>
      <c r="AE963" s="8" t="str">
        <f aca="false">IF($K963="SEM CULTURA","SEM CULTURA",IF($AA963&lt;=0,"DADO PENDENTE",IF($AD963&gt;LIMITE_CRITICO,"INVIAVEL",IF($AD963&gt;LIMITE_ATENCAO,"CRITICO",IF($AD963&gt;LIMITE_CONFORTAVEL,"ATENCAO","OK")))))</f>
        <v>OK</v>
      </c>
      <c r="AF963" s="8" t="str">
        <f aca="false">$B963&amp;"|"&amp;TEXT($AD963,"0.000000")</f>
        <v>34|0.259686</v>
      </c>
      <c r="AG963" s="18" t="n">
        <f aca="false">IF($K963="SEM CULTURA",0,$T963*$H963)</f>
        <v>3621.051</v>
      </c>
      <c r="AH963" s="18" t="n">
        <f aca="false">IF($K963="SEM CULTURA",0,$V963*$H963)</f>
        <v>1304.27808</v>
      </c>
      <c r="AI963" s="18" t="n">
        <f aca="false">IF($K963="SEM CULTURA",0,$W963*$H963)</f>
        <v>2316.77292</v>
      </c>
      <c r="AJ963" s="18" t="n">
        <f aca="false">IF($K963="SEM CULTURA",0,$S963*$H963)</f>
        <v>3148.74</v>
      </c>
      <c r="AK963" s="8" t="str">
        <f aca="false">$E963&amp;"|"&amp;TEXT($AD963,"0.000000")</f>
        <v>PV 131|0.259686</v>
      </c>
    </row>
    <row r="964" customFormat="false" ht="15" hidden="false" customHeight="false" outlineLevel="0" collapsed="false">
      <c r="B964" s="16" t="n">
        <v>35</v>
      </c>
      <c r="C964" s="17" t="n">
        <f aca="false">DATA_INICIO_SAFRA+($B964-1)*DIAS_POR_SEMANA</f>
        <v>46503</v>
      </c>
      <c r="D964" s="17" t="n">
        <f aca="false">$C964+DIAS_POR_SEMANA-1</f>
        <v>46509</v>
      </c>
      <c r="E964" s="15" t="s">
        <v>273</v>
      </c>
      <c r="F964" s="8" t="str">
        <f aca="false">IFERROR(INDEX(CADASTRO_PIVOS!$C$6:$C$41,MATCH($E964,CADASTRO_PIVOS!$B$6:$B$41,0)),"?")</f>
        <v>RM05</v>
      </c>
      <c r="G964" s="8" t="str">
        <f aca="false">IFERROR(INDEX(CADASTRO_PIVOS!$D$6:$D$41,MATCH($E964,CADASTRO_PIVOS!$B$6:$B$41,0)),"?")</f>
        <v>TR05</v>
      </c>
      <c r="H964" s="20" t="n">
        <f aca="false">IFERROR(INDEX(CADASTRO_PIVOS!$E$6:$E$41,MATCH($E964,CADASTRO_PIVOS!$B$6:$B$41,0)),0)</f>
        <v>99.96</v>
      </c>
      <c r="I964" s="16" t="n">
        <f aca="false">IFERROR(SUMIFS(ROTACAO_RDM!$B$6:$B$71,ROTACAO_RDM!$D$6:$D$71,$E964,ROTACAO_RDM!$I$6:$I$71,"&lt;="&amp;$C964+INT(DIAS_POR_SEMANA/2),ROTACAO_RDM!$J$6:$J$71,"&gt;="&amp;$C964+INT(DIAS_POR_SEMANA/2)),0)</f>
        <v>60</v>
      </c>
      <c r="J964" s="16" t="n">
        <f aca="false">IFERROR(MATCH($I964,ROTACAO_RDM!$B$6:$B$71,0),0)</f>
        <v>60</v>
      </c>
      <c r="K964" s="8" t="str">
        <f aca="false">IF($J964=0,"SEM CULTURA",INDEX(ROTACAO_RDM!$F$6:$F$71,$J964))</f>
        <v>ALGODAO</v>
      </c>
      <c r="L964" s="8" t="str">
        <f aca="false">IF($J964=0,"",INDEX(ROTACAO_RDM!$G$6:$G$71,$J964))</f>
        <v>IMA 3764 B2RF</v>
      </c>
      <c r="M964" s="17" t="n">
        <f aca="false">IF($J964=0,"",INDEX(ROTACAO_RDM!$I$6:$I$71,$J964))</f>
        <v>46357</v>
      </c>
      <c r="N964" s="16" t="n">
        <f aca="false">IF($J964=0,0,MAX(0,$C964+INT(DIAS_POR_SEMANA/2)-INDEX(ROTACAO_RDM!$I$6:$I$71,$J964)))</f>
        <v>149</v>
      </c>
      <c r="O964" s="19" t="n">
        <f aca="false">IF($J964=0,0,MIN(1,$N964/MAX(1,INDEX(ROTACAO_RDM!$K$6:$K$71,$J964))))</f>
        <v>0.70952380952381</v>
      </c>
      <c r="P964" s="16" t="n">
        <f aca="false">IF($J964=0,0,IFERROR(MATCH(INDEX(ROTACAO_RDM!$N$6:$N$71,$J964),PARAMETROS_CULTURAS!$B$6:$B$28,0),0))</f>
        <v>6</v>
      </c>
      <c r="Q964" s="8" t="str">
        <f aca="false">IF($P964=0,"-",IF($O964&lt;=INDEX(PARAMETROS_CULTURAS!$F$6:$F$28,$P964),"INICIAL",IF($O964&lt;=INDEX(PARAMETROS_CULTURAS!$F$6:$F$28,$P964)+INDEX(PARAMETROS_CULTURAS!$G$6:$G$28,$P964),"DESENVOLVIMENTO",IF($O964&lt;=INDEX(PARAMETROS_CULTURAS!$F$6:$F$28,$P964)+INDEX(PARAMETROS_CULTURAS!$G$6:$G$28,$P964)+INDEX(PARAMETROS_CULTURAS!$H$6:$H$28,$P964),"MEDIA","FINAL"))))</f>
        <v>MEDIA</v>
      </c>
      <c r="R964" s="24" t="n">
        <f aca="false">IF($P964=0,0,IF($O964&lt;=INDEX(PARAMETROS_CULTURAS!$F$6:$F$28,$P964),INDEX(PARAMETROS_CULTURAS!$K$6:$K$28,$P964),IF($O964&lt;=INDEX(PARAMETROS_CULTURAS!$F$6:$F$28,$P964)+INDEX(PARAMETROS_CULTURAS!$G$6:$G$28,$P964),INDEX(PARAMETROS_CULTURAS!$K$6:$K$28,$P964)+(INDEX(PARAMETROS_CULTURAS!$L$6:$L$28,$P964)-INDEX(PARAMETROS_CULTURAS!$K$6:$K$28,$P964))*($O964-INDEX(PARAMETROS_CULTURAS!$F$6:$F$28,$P964))/MAX(INDEX(PARAMETROS_CULTURAS!$G$6:$G$28,$P964),0.0001),IF($O964&lt;=INDEX(PARAMETROS_CULTURAS!$F$6:$F$28,$P964)+INDEX(PARAMETROS_CULTURAS!$G$6:$G$28,$P964)+INDEX(PARAMETROS_CULTURAS!$H$6:$H$28,$P964),INDEX(PARAMETROS_CULTURAS!$L$6:$L$28,$P964),INDEX(PARAMETROS_CULTURAS!$L$6:$L$28,$P964)+(INDEX(PARAMETROS_CULTURAS!$M$6:$M$28,$P964)-INDEX(PARAMETROS_CULTURAS!$L$6:$L$28,$P964))*($O964-INDEX(PARAMETROS_CULTURAS!$F$6:$F$28,$P964)-INDEX(PARAMETROS_CULTURAS!$G$6:$G$28,$P964)-INDEX(PARAMETROS_CULTURAS!$H$6:$H$28,$P964))/MAX(INDEX(PARAMETROS_CULTURAS!$I$6:$I$28,$P964),0.0001)))))</f>
        <v>1.15</v>
      </c>
      <c r="S964" s="18" t="n">
        <f aca="false">IFERROR(INDEX(SEMANAS!$H$6:$H$71,MATCH($B964,SEMANAS!$B$6:$B$71,0)),0)</f>
        <v>30.9</v>
      </c>
      <c r="T964" s="18" t="n">
        <f aca="false">$R964*$S964</f>
        <v>35.535</v>
      </c>
      <c r="U964" s="18" t="n">
        <f aca="false">IFERROR(INDEX(SEMANAS!$I$6:$I$71,MATCH($B964,SEMANAS!$B$6:$B$71,0)),0)</f>
        <v>12.61</v>
      </c>
      <c r="V964" s="18" t="n">
        <f aca="false">IFERROR(INDEX(SEMANAS!$J$6:$J$71,MATCH($B964,SEMANAS!$B$6:$B$71,0)),0)</f>
        <v>10.088</v>
      </c>
      <c r="W964" s="18" t="n">
        <f aca="false">MAX(0,$T964-$V964)</f>
        <v>25.447</v>
      </c>
      <c r="X964" s="19" t="n">
        <f aca="false">IFERROR(INDEX(CADASTRO_PIVOS!$K$6:$K$41,MATCH($E964,CADASTRO_PIVOS!$B$6:$B$41,0)),EFICIENCIA_PADRAO)</f>
        <v>0.85</v>
      </c>
      <c r="Y964" s="18" t="n">
        <f aca="false">IF($X964&lt;=0,0,$W964/$X964)</f>
        <v>29.9376470588235</v>
      </c>
      <c r="Z964" s="16" t="n">
        <f aca="false">$Y964*$H964*MM_PARA_M3_HA</f>
        <v>29925.672</v>
      </c>
      <c r="AA964" s="18" t="n">
        <f aca="false">IFERROR(INDEX(CADASTRO_PIVOS!$I$6:$I$41,MATCH($E964,CADASTRO_PIVOS!$B$6:$B$41,0)),0)</f>
        <v>714</v>
      </c>
      <c r="AB964" s="18" t="n">
        <f aca="false">IF($Z964&lt;=0,0,$Z964/$AA964)</f>
        <v>41.9127058823529</v>
      </c>
      <c r="AC964" s="16" t="n">
        <f aca="false">IFERROR(INDEX(SEMANAS!$K$6:$K$71,MATCH($B964,SEMANAS!$B$6:$B$71,0)),0)</f>
        <v>147</v>
      </c>
      <c r="AD964" s="19" t="n">
        <f aca="false">IF($AC964&lt;=0,0,$AB964/$AC964)</f>
        <v>0.285120448179272</v>
      </c>
      <c r="AE964" s="8" t="str">
        <f aca="false">IF($K964="SEM CULTURA","SEM CULTURA",IF($AA964&lt;=0,"DADO PENDENTE",IF($AD964&gt;LIMITE_CRITICO,"INVIAVEL",IF($AD964&gt;LIMITE_ATENCAO,"CRITICO",IF($AD964&gt;LIMITE_CONFORTAVEL,"ATENCAO","OK")))))</f>
        <v>OK</v>
      </c>
      <c r="AF964" s="8" t="str">
        <f aca="false">$B964&amp;"|"&amp;TEXT($AD964,"0.000000")</f>
        <v>35|0.285120</v>
      </c>
      <c r="AG964" s="18" t="n">
        <f aca="false">IF($K964="SEM CULTURA",0,$T964*$H964)</f>
        <v>3552.0786</v>
      </c>
      <c r="AH964" s="18" t="n">
        <f aca="false">IF($K964="SEM CULTURA",0,$V964*$H964)</f>
        <v>1008.39648</v>
      </c>
      <c r="AI964" s="18" t="n">
        <f aca="false">IF($K964="SEM CULTURA",0,$W964*$H964)</f>
        <v>2543.68212</v>
      </c>
      <c r="AJ964" s="18" t="n">
        <f aca="false">IF($K964="SEM CULTURA",0,$S964*$H964)</f>
        <v>3088.764</v>
      </c>
      <c r="AK964" s="8" t="str">
        <f aca="false">$E964&amp;"|"&amp;TEXT($AD964,"0.000000")</f>
        <v>PV 131|0.285120</v>
      </c>
    </row>
    <row r="965" customFormat="false" ht="15" hidden="false" customHeight="false" outlineLevel="0" collapsed="false">
      <c r="B965" s="16" t="n">
        <v>36</v>
      </c>
      <c r="C965" s="17" t="n">
        <f aca="false">DATA_INICIO_SAFRA+($B965-1)*DIAS_POR_SEMANA</f>
        <v>46510</v>
      </c>
      <c r="D965" s="17" t="n">
        <f aca="false">$C965+DIAS_POR_SEMANA-1</f>
        <v>46516</v>
      </c>
      <c r="E965" s="15" t="s">
        <v>273</v>
      </c>
      <c r="F965" s="8" t="str">
        <f aca="false">IFERROR(INDEX(CADASTRO_PIVOS!$C$6:$C$41,MATCH($E965,CADASTRO_PIVOS!$B$6:$B$41,0)),"?")</f>
        <v>RM05</v>
      </c>
      <c r="G965" s="8" t="str">
        <f aca="false">IFERROR(INDEX(CADASTRO_PIVOS!$D$6:$D$41,MATCH($E965,CADASTRO_PIVOS!$B$6:$B$41,0)),"?")</f>
        <v>TR05</v>
      </c>
      <c r="H965" s="20" t="n">
        <f aca="false">IFERROR(INDEX(CADASTRO_PIVOS!$E$6:$E$41,MATCH($E965,CADASTRO_PIVOS!$B$6:$B$41,0)),0)</f>
        <v>99.96</v>
      </c>
      <c r="I965" s="16" t="n">
        <f aca="false">IFERROR(SUMIFS(ROTACAO_RDM!$B$6:$B$71,ROTACAO_RDM!$D$6:$D$71,$E965,ROTACAO_RDM!$I$6:$I$71,"&lt;="&amp;$C965+INT(DIAS_POR_SEMANA/2),ROTACAO_RDM!$J$6:$J$71,"&gt;="&amp;$C965+INT(DIAS_POR_SEMANA/2)),0)</f>
        <v>60</v>
      </c>
      <c r="J965" s="16" t="n">
        <f aca="false">IFERROR(MATCH($I965,ROTACAO_RDM!$B$6:$B$71,0),0)</f>
        <v>60</v>
      </c>
      <c r="K965" s="8" t="str">
        <f aca="false">IF($J965=0,"SEM CULTURA",INDEX(ROTACAO_RDM!$F$6:$F$71,$J965))</f>
        <v>ALGODAO</v>
      </c>
      <c r="L965" s="8" t="str">
        <f aca="false">IF($J965=0,"",INDEX(ROTACAO_RDM!$G$6:$G$71,$J965))</f>
        <v>IMA 3764 B2RF</v>
      </c>
      <c r="M965" s="17" t="n">
        <f aca="false">IF($J965=0,"",INDEX(ROTACAO_RDM!$I$6:$I$71,$J965))</f>
        <v>46357</v>
      </c>
      <c r="N965" s="16" t="n">
        <f aca="false">IF($J965=0,0,MAX(0,$C965+INT(DIAS_POR_SEMANA/2)-INDEX(ROTACAO_RDM!$I$6:$I$71,$J965)))</f>
        <v>156</v>
      </c>
      <c r="O965" s="19" t="n">
        <f aca="false">IF($J965=0,0,MIN(1,$N965/MAX(1,INDEX(ROTACAO_RDM!$K$6:$K$71,$J965))))</f>
        <v>0.742857142857143</v>
      </c>
      <c r="P965" s="16" t="n">
        <f aca="false">IF($J965=0,0,IFERROR(MATCH(INDEX(ROTACAO_RDM!$N$6:$N$71,$J965),PARAMETROS_CULTURAS!$B$6:$B$28,0),0))</f>
        <v>6</v>
      </c>
      <c r="Q965" s="8" t="str">
        <f aca="false">IF($P965=0,"-",IF($O965&lt;=INDEX(PARAMETROS_CULTURAS!$F$6:$F$28,$P965),"INICIAL",IF($O965&lt;=INDEX(PARAMETROS_CULTURAS!$F$6:$F$28,$P965)+INDEX(PARAMETROS_CULTURAS!$G$6:$G$28,$P965),"DESENVOLVIMENTO",IF($O965&lt;=INDEX(PARAMETROS_CULTURAS!$F$6:$F$28,$P965)+INDEX(PARAMETROS_CULTURAS!$G$6:$G$28,$P965)+INDEX(PARAMETROS_CULTURAS!$H$6:$H$28,$P965),"MEDIA","FINAL"))))</f>
        <v>FINAL</v>
      </c>
      <c r="R965" s="24" t="n">
        <f aca="false">IF($P965=0,0,IF($O965&lt;=INDEX(PARAMETROS_CULTURAS!$F$6:$F$28,$P965),INDEX(PARAMETROS_CULTURAS!$K$6:$K$28,$P965),IF($O965&lt;=INDEX(PARAMETROS_CULTURAS!$F$6:$F$28,$P965)+INDEX(PARAMETROS_CULTURAS!$G$6:$G$28,$P965),INDEX(PARAMETROS_CULTURAS!$K$6:$K$28,$P965)+(INDEX(PARAMETROS_CULTURAS!$L$6:$L$28,$P965)-INDEX(PARAMETROS_CULTURAS!$K$6:$K$28,$P965))*($O965-INDEX(PARAMETROS_CULTURAS!$F$6:$F$28,$P965))/MAX(INDEX(PARAMETROS_CULTURAS!$G$6:$G$28,$P965),0.0001),IF($O965&lt;=INDEX(PARAMETROS_CULTURAS!$F$6:$F$28,$P965)+INDEX(PARAMETROS_CULTURAS!$G$6:$G$28,$P965)+INDEX(PARAMETROS_CULTURAS!$H$6:$H$28,$P965),INDEX(PARAMETROS_CULTURAS!$L$6:$L$28,$P965),INDEX(PARAMETROS_CULTURAS!$L$6:$L$28,$P965)+(INDEX(PARAMETROS_CULTURAS!$M$6:$M$28,$P965)-INDEX(PARAMETROS_CULTURAS!$L$6:$L$28,$P965))*($O965-INDEX(PARAMETROS_CULTURAS!$F$6:$F$28,$P965)-INDEX(PARAMETROS_CULTURAS!$G$6:$G$28,$P965)-INDEX(PARAMETROS_CULTURAS!$H$6:$H$28,$P965))/MAX(INDEX(PARAMETROS_CULTURAS!$I$6:$I$28,$P965),0.0001)))))</f>
        <v>1.08768472906404</v>
      </c>
      <c r="S965" s="18" t="n">
        <f aca="false">IFERROR(INDEX(SEMANAS!$H$6:$H$71,MATCH($B965,SEMANAS!$B$6:$B$71,0)),0)</f>
        <v>29.4</v>
      </c>
      <c r="T965" s="18" t="n">
        <f aca="false">$R965*$S965</f>
        <v>31.9779310344828</v>
      </c>
      <c r="U965" s="18" t="n">
        <f aca="false">IFERROR(INDEX(SEMANAS!$I$6:$I$71,MATCH($B965,SEMANAS!$B$6:$B$71,0)),0)</f>
        <v>3.36</v>
      </c>
      <c r="V965" s="18" t="n">
        <f aca="false">IFERROR(INDEX(SEMANAS!$J$6:$J$71,MATCH($B965,SEMANAS!$B$6:$B$71,0)),0)</f>
        <v>2.688</v>
      </c>
      <c r="W965" s="18" t="n">
        <f aca="false">MAX(0,$T965-$V965)</f>
        <v>29.2899310344828</v>
      </c>
      <c r="X965" s="19" t="n">
        <f aca="false">IFERROR(INDEX(CADASTRO_PIVOS!$K$6:$K$41,MATCH($E965,CADASTRO_PIVOS!$B$6:$B$41,0)),EFICIENCIA_PADRAO)</f>
        <v>0.85</v>
      </c>
      <c r="Y965" s="18" t="n">
        <f aca="false">IF($X965&lt;=0,0,$W965/$X965)</f>
        <v>34.4587423935091</v>
      </c>
      <c r="Z965" s="16" t="n">
        <f aca="false">$Y965*$H965*MM_PARA_M3_HA</f>
        <v>34444.9588965517</v>
      </c>
      <c r="AA965" s="18" t="n">
        <f aca="false">IFERROR(INDEX(CADASTRO_PIVOS!$I$6:$I$41,MATCH($E965,CADASTRO_PIVOS!$B$6:$B$41,0)),0)</f>
        <v>714</v>
      </c>
      <c r="AB965" s="18" t="n">
        <f aca="false">IF($Z965&lt;=0,0,$Z965/$AA965)</f>
        <v>48.2422393509128</v>
      </c>
      <c r="AC965" s="16" t="n">
        <f aca="false">IFERROR(INDEX(SEMANAS!$K$6:$K$71,MATCH($B965,SEMANAS!$B$6:$B$71,0)),0)</f>
        <v>147</v>
      </c>
      <c r="AD965" s="19" t="n">
        <f aca="false">IF($AC965&lt;=0,0,$AB965/$AC965)</f>
        <v>0.328178498985801</v>
      </c>
      <c r="AE965" s="8" t="str">
        <f aca="false">IF($K965="SEM CULTURA","SEM CULTURA",IF($AA965&lt;=0,"DADO PENDENTE",IF($AD965&gt;LIMITE_CRITICO,"INVIAVEL",IF($AD965&gt;LIMITE_ATENCAO,"CRITICO",IF($AD965&gt;LIMITE_CONFORTAVEL,"ATENCAO","OK")))))</f>
        <v>OK</v>
      </c>
      <c r="AF965" s="8" t="str">
        <f aca="false">$B965&amp;"|"&amp;TEXT($AD965,"0.000000")</f>
        <v>36|0.328178</v>
      </c>
      <c r="AG965" s="18" t="n">
        <f aca="false">IF($K965="SEM CULTURA",0,$T965*$H965)</f>
        <v>3196.5139862069</v>
      </c>
      <c r="AH965" s="18" t="n">
        <f aca="false">IF($K965="SEM CULTURA",0,$V965*$H965)</f>
        <v>268.69248</v>
      </c>
      <c r="AI965" s="18" t="n">
        <f aca="false">IF($K965="SEM CULTURA",0,$W965*$H965)</f>
        <v>2927.8215062069</v>
      </c>
      <c r="AJ965" s="18" t="n">
        <f aca="false">IF($K965="SEM CULTURA",0,$S965*$H965)</f>
        <v>2938.824</v>
      </c>
      <c r="AK965" s="8" t="str">
        <f aca="false">$E965&amp;"|"&amp;TEXT($AD965,"0.000000")</f>
        <v>PV 131|0.328178</v>
      </c>
    </row>
    <row r="966" customFormat="false" ht="15" hidden="false" customHeight="false" outlineLevel="0" collapsed="false">
      <c r="B966" s="16" t="n">
        <v>37</v>
      </c>
      <c r="C966" s="17" t="n">
        <f aca="false">DATA_INICIO_SAFRA+($B966-1)*DIAS_POR_SEMANA</f>
        <v>46517</v>
      </c>
      <c r="D966" s="17" t="n">
        <f aca="false">$C966+DIAS_POR_SEMANA-1</f>
        <v>46523</v>
      </c>
      <c r="E966" s="15" t="s">
        <v>273</v>
      </c>
      <c r="F966" s="8" t="str">
        <f aca="false">IFERROR(INDEX(CADASTRO_PIVOS!$C$6:$C$41,MATCH($E966,CADASTRO_PIVOS!$B$6:$B$41,0)),"?")</f>
        <v>RM05</v>
      </c>
      <c r="G966" s="8" t="str">
        <f aca="false">IFERROR(INDEX(CADASTRO_PIVOS!$D$6:$D$41,MATCH($E966,CADASTRO_PIVOS!$B$6:$B$41,0)),"?")</f>
        <v>TR05</v>
      </c>
      <c r="H966" s="20" t="n">
        <f aca="false">IFERROR(INDEX(CADASTRO_PIVOS!$E$6:$E$41,MATCH($E966,CADASTRO_PIVOS!$B$6:$B$41,0)),0)</f>
        <v>99.96</v>
      </c>
      <c r="I966" s="16" t="n">
        <f aca="false">IFERROR(SUMIFS(ROTACAO_RDM!$B$6:$B$71,ROTACAO_RDM!$D$6:$D$71,$E966,ROTACAO_RDM!$I$6:$I$71,"&lt;="&amp;$C966+INT(DIAS_POR_SEMANA/2),ROTACAO_RDM!$J$6:$J$71,"&gt;="&amp;$C966+INT(DIAS_POR_SEMANA/2)),0)</f>
        <v>60</v>
      </c>
      <c r="J966" s="16" t="n">
        <f aca="false">IFERROR(MATCH($I966,ROTACAO_RDM!$B$6:$B$71,0),0)</f>
        <v>60</v>
      </c>
      <c r="K966" s="8" t="str">
        <f aca="false">IF($J966=0,"SEM CULTURA",INDEX(ROTACAO_RDM!$F$6:$F$71,$J966))</f>
        <v>ALGODAO</v>
      </c>
      <c r="L966" s="8" t="str">
        <f aca="false">IF($J966=0,"",INDEX(ROTACAO_RDM!$G$6:$G$71,$J966))</f>
        <v>IMA 3764 B2RF</v>
      </c>
      <c r="M966" s="17" t="n">
        <f aca="false">IF($J966=0,"",INDEX(ROTACAO_RDM!$I$6:$I$71,$J966))</f>
        <v>46357</v>
      </c>
      <c r="N966" s="16" t="n">
        <f aca="false">IF($J966=0,0,MAX(0,$C966+INT(DIAS_POR_SEMANA/2)-INDEX(ROTACAO_RDM!$I$6:$I$71,$J966)))</f>
        <v>163</v>
      </c>
      <c r="O966" s="19" t="n">
        <f aca="false">IF($J966=0,0,MIN(1,$N966/MAX(1,INDEX(ROTACAO_RDM!$K$6:$K$71,$J966))))</f>
        <v>0.776190476190476</v>
      </c>
      <c r="P966" s="16" t="n">
        <f aca="false">IF($J966=0,0,IFERROR(MATCH(INDEX(ROTACAO_RDM!$N$6:$N$71,$J966),PARAMETROS_CULTURAS!$B$6:$B$28,0),0))</f>
        <v>6</v>
      </c>
      <c r="Q966" s="8" t="str">
        <f aca="false">IF($P966=0,"-",IF($O966&lt;=INDEX(PARAMETROS_CULTURAS!$F$6:$F$28,$P966),"INICIAL",IF($O966&lt;=INDEX(PARAMETROS_CULTURAS!$F$6:$F$28,$P966)+INDEX(PARAMETROS_CULTURAS!$G$6:$G$28,$P966),"DESENVOLVIMENTO",IF($O966&lt;=INDEX(PARAMETROS_CULTURAS!$F$6:$F$28,$P966)+INDEX(PARAMETROS_CULTURAS!$G$6:$G$28,$P966)+INDEX(PARAMETROS_CULTURAS!$H$6:$H$28,$P966),"MEDIA","FINAL"))))</f>
        <v>FINAL</v>
      </c>
      <c r="R966" s="24" t="n">
        <f aca="false">IF($P966=0,0,IF($O966&lt;=INDEX(PARAMETROS_CULTURAS!$F$6:$F$28,$P966),INDEX(PARAMETROS_CULTURAS!$K$6:$K$28,$P966),IF($O966&lt;=INDEX(PARAMETROS_CULTURAS!$F$6:$F$28,$P966)+INDEX(PARAMETROS_CULTURAS!$G$6:$G$28,$P966),INDEX(PARAMETROS_CULTURAS!$K$6:$K$28,$P966)+(INDEX(PARAMETROS_CULTURAS!$L$6:$L$28,$P966)-INDEX(PARAMETROS_CULTURAS!$K$6:$K$28,$P966))*($O966-INDEX(PARAMETROS_CULTURAS!$F$6:$F$28,$P966))/MAX(INDEX(PARAMETROS_CULTURAS!$G$6:$G$28,$P966),0.0001),IF($O966&lt;=INDEX(PARAMETROS_CULTURAS!$F$6:$F$28,$P966)+INDEX(PARAMETROS_CULTURAS!$G$6:$G$28,$P966)+INDEX(PARAMETROS_CULTURAS!$H$6:$H$28,$P966),INDEX(PARAMETROS_CULTURAS!$L$6:$L$28,$P966),INDEX(PARAMETROS_CULTURAS!$L$6:$L$28,$P966)+(INDEX(PARAMETROS_CULTURAS!$M$6:$M$28,$P966)-INDEX(PARAMETROS_CULTURAS!$L$6:$L$28,$P966))*($O966-INDEX(PARAMETROS_CULTURAS!$F$6:$F$28,$P966)-INDEX(PARAMETROS_CULTURAS!$G$6:$G$28,$P966)-INDEX(PARAMETROS_CULTURAS!$H$6:$H$28,$P966))/MAX(INDEX(PARAMETROS_CULTURAS!$I$6:$I$28,$P966),0.0001)))))</f>
        <v>1.02446633825944</v>
      </c>
      <c r="S966" s="18" t="n">
        <f aca="false">IFERROR(INDEX(SEMANAS!$H$6:$H$71,MATCH($B966,SEMANAS!$B$6:$B$71,0)),0)</f>
        <v>29.4</v>
      </c>
      <c r="T966" s="18" t="n">
        <f aca="false">$R966*$S966</f>
        <v>30.1193103448276</v>
      </c>
      <c r="U966" s="18" t="n">
        <f aca="false">IFERROR(INDEX(SEMANAS!$I$6:$I$71,MATCH($B966,SEMANAS!$B$6:$B$71,0)),0)</f>
        <v>3.36</v>
      </c>
      <c r="V966" s="18" t="n">
        <f aca="false">IFERROR(INDEX(SEMANAS!$J$6:$J$71,MATCH($B966,SEMANAS!$B$6:$B$71,0)),0)</f>
        <v>2.688</v>
      </c>
      <c r="W966" s="18" t="n">
        <f aca="false">MAX(0,$T966-$V966)</f>
        <v>27.4313103448276</v>
      </c>
      <c r="X966" s="19" t="n">
        <f aca="false">IFERROR(INDEX(CADASTRO_PIVOS!$K$6:$K$41,MATCH($E966,CADASTRO_PIVOS!$B$6:$B$41,0)),EFICIENCIA_PADRAO)</f>
        <v>0.85</v>
      </c>
      <c r="Y966" s="18" t="n">
        <f aca="false">IF($X966&lt;=0,0,$W966/$X966)</f>
        <v>32.2721298174442</v>
      </c>
      <c r="Z966" s="16" t="n">
        <f aca="false">$Y966*$H966*MM_PARA_M3_HA</f>
        <v>32259.2209655172</v>
      </c>
      <c r="AA966" s="18" t="n">
        <f aca="false">IFERROR(INDEX(CADASTRO_PIVOS!$I$6:$I$41,MATCH($E966,CADASTRO_PIVOS!$B$6:$B$41,0)),0)</f>
        <v>714</v>
      </c>
      <c r="AB966" s="18" t="n">
        <f aca="false">IF($Z966&lt;=0,0,$Z966/$AA966)</f>
        <v>45.1809817444219</v>
      </c>
      <c r="AC966" s="16" t="n">
        <f aca="false">IFERROR(INDEX(SEMANAS!$K$6:$K$71,MATCH($B966,SEMANAS!$B$6:$B$71,0)),0)</f>
        <v>147</v>
      </c>
      <c r="AD966" s="19" t="n">
        <f aca="false">IF($AC966&lt;=0,0,$AB966/$AC966)</f>
        <v>0.307353617308993</v>
      </c>
      <c r="AE966" s="8" t="str">
        <f aca="false">IF($K966="SEM CULTURA","SEM CULTURA",IF($AA966&lt;=0,"DADO PENDENTE",IF($AD966&gt;LIMITE_CRITICO,"INVIAVEL",IF($AD966&gt;LIMITE_ATENCAO,"CRITICO",IF($AD966&gt;LIMITE_CONFORTAVEL,"ATENCAO","OK")))))</f>
        <v>OK</v>
      </c>
      <c r="AF966" s="8" t="str">
        <f aca="false">$B966&amp;"|"&amp;TEXT($AD966,"0.000000")</f>
        <v>37|0.307354</v>
      </c>
      <c r="AG966" s="18" t="n">
        <f aca="false">IF($K966="SEM CULTURA",0,$T966*$H966)</f>
        <v>3010.72626206897</v>
      </c>
      <c r="AH966" s="18" t="n">
        <f aca="false">IF($K966="SEM CULTURA",0,$V966*$H966)</f>
        <v>268.69248</v>
      </c>
      <c r="AI966" s="18" t="n">
        <f aca="false">IF($K966="SEM CULTURA",0,$W966*$H966)</f>
        <v>2742.03378206897</v>
      </c>
      <c r="AJ966" s="18" t="n">
        <f aca="false">IF($K966="SEM CULTURA",0,$S966*$H966)</f>
        <v>2938.824</v>
      </c>
      <c r="AK966" s="8" t="str">
        <f aca="false">$E966&amp;"|"&amp;TEXT($AD966,"0.000000")</f>
        <v>PV 131|0.307354</v>
      </c>
    </row>
    <row r="967" customFormat="false" ht="15" hidden="false" customHeight="false" outlineLevel="0" collapsed="false">
      <c r="B967" s="16" t="n">
        <v>38</v>
      </c>
      <c r="C967" s="17" t="n">
        <f aca="false">DATA_INICIO_SAFRA+($B967-1)*DIAS_POR_SEMANA</f>
        <v>46524</v>
      </c>
      <c r="D967" s="17" t="n">
        <f aca="false">$C967+DIAS_POR_SEMANA-1</f>
        <v>46530</v>
      </c>
      <c r="E967" s="15" t="s">
        <v>273</v>
      </c>
      <c r="F967" s="8" t="str">
        <f aca="false">IFERROR(INDEX(CADASTRO_PIVOS!$C$6:$C$41,MATCH($E967,CADASTRO_PIVOS!$B$6:$B$41,0)),"?")</f>
        <v>RM05</v>
      </c>
      <c r="G967" s="8" t="str">
        <f aca="false">IFERROR(INDEX(CADASTRO_PIVOS!$D$6:$D$41,MATCH($E967,CADASTRO_PIVOS!$B$6:$B$41,0)),"?")</f>
        <v>TR05</v>
      </c>
      <c r="H967" s="20" t="n">
        <f aca="false">IFERROR(INDEX(CADASTRO_PIVOS!$E$6:$E$41,MATCH($E967,CADASTRO_PIVOS!$B$6:$B$41,0)),0)</f>
        <v>99.96</v>
      </c>
      <c r="I967" s="16" t="n">
        <f aca="false">IFERROR(SUMIFS(ROTACAO_RDM!$B$6:$B$71,ROTACAO_RDM!$D$6:$D$71,$E967,ROTACAO_RDM!$I$6:$I$71,"&lt;="&amp;$C967+INT(DIAS_POR_SEMANA/2),ROTACAO_RDM!$J$6:$J$71,"&gt;="&amp;$C967+INT(DIAS_POR_SEMANA/2)),0)</f>
        <v>60</v>
      </c>
      <c r="J967" s="16" t="n">
        <f aca="false">IFERROR(MATCH($I967,ROTACAO_RDM!$B$6:$B$71,0),0)</f>
        <v>60</v>
      </c>
      <c r="K967" s="8" t="str">
        <f aca="false">IF($J967=0,"SEM CULTURA",INDEX(ROTACAO_RDM!$F$6:$F$71,$J967))</f>
        <v>ALGODAO</v>
      </c>
      <c r="L967" s="8" t="str">
        <f aca="false">IF($J967=0,"",INDEX(ROTACAO_RDM!$G$6:$G$71,$J967))</f>
        <v>IMA 3764 B2RF</v>
      </c>
      <c r="M967" s="17" t="n">
        <f aca="false">IF($J967=0,"",INDEX(ROTACAO_RDM!$I$6:$I$71,$J967))</f>
        <v>46357</v>
      </c>
      <c r="N967" s="16" t="n">
        <f aca="false">IF($J967=0,0,MAX(0,$C967+INT(DIAS_POR_SEMANA/2)-INDEX(ROTACAO_RDM!$I$6:$I$71,$J967)))</f>
        <v>170</v>
      </c>
      <c r="O967" s="19" t="n">
        <f aca="false">IF($J967=0,0,MIN(1,$N967/MAX(1,INDEX(ROTACAO_RDM!$K$6:$K$71,$J967))))</f>
        <v>0.80952380952381</v>
      </c>
      <c r="P967" s="16" t="n">
        <f aca="false">IF($J967=0,0,IFERROR(MATCH(INDEX(ROTACAO_RDM!$N$6:$N$71,$J967),PARAMETROS_CULTURAS!$B$6:$B$28,0),0))</f>
        <v>6</v>
      </c>
      <c r="Q967" s="8" t="str">
        <f aca="false">IF($P967=0,"-",IF($O967&lt;=INDEX(PARAMETROS_CULTURAS!$F$6:$F$28,$P967),"INICIAL",IF($O967&lt;=INDEX(PARAMETROS_CULTURAS!$F$6:$F$28,$P967)+INDEX(PARAMETROS_CULTURAS!$G$6:$G$28,$P967),"DESENVOLVIMENTO",IF($O967&lt;=INDEX(PARAMETROS_CULTURAS!$F$6:$F$28,$P967)+INDEX(PARAMETROS_CULTURAS!$G$6:$G$28,$P967)+INDEX(PARAMETROS_CULTURAS!$H$6:$H$28,$P967),"MEDIA","FINAL"))))</f>
        <v>FINAL</v>
      </c>
      <c r="R967" s="24" t="n">
        <f aca="false">IF($P967=0,0,IF($O967&lt;=INDEX(PARAMETROS_CULTURAS!$F$6:$F$28,$P967),INDEX(PARAMETROS_CULTURAS!$K$6:$K$28,$P967),IF($O967&lt;=INDEX(PARAMETROS_CULTURAS!$F$6:$F$28,$P967)+INDEX(PARAMETROS_CULTURAS!$G$6:$G$28,$P967),INDEX(PARAMETROS_CULTURAS!$K$6:$K$28,$P967)+(INDEX(PARAMETROS_CULTURAS!$L$6:$L$28,$P967)-INDEX(PARAMETROS_CULTURAS!$K$6:$K$28,$P967))*($O967-INDEX(PARAMETROS_CULTURAS!$F$6:$F$28,$P967))/MAX(INDEX(PARAMETROS_CULTURAS!$G$6:$G$28,$P967),0.0001),IF($O967&lt;=INDEX(PARAMETROS_CULTURAS!$F$6:$F$28,$P967)+INDEX(PARAMETROS_CULTURAS!$G$6:$G$28,$P967)+INDEX(PARAMETROS_CULTURAS!$H$6:$H$28,$P967),INDEX(PARAMETROS_CULTURAS!$L$6:$L$28,$P967),INDEX(PARAMETROS_CULTURAS!$L$6:$L$28,$P967)+(INDEX(PARAMETROS_CULTURAS!$M$6:$M$28,$P967)-INDEX(PARAMETROS_CULTURAS!$L$6:$L$28,$P967))*($O967-INDEX(PARAMETROS_CULTURAS!$F$6:$F$28,$P967)-INDEX(PARAMETROS_CULTURAS!$G$6:$G$28,$P967)-INDEX(PARAMETROS_CULTURAS!$H$6:$H$28,$P967))/MAX(INDEX(PARAMETROS_CULTURAS!$I$6:$I$28,$P967),0.0001)))))</f>
        <v>0.961247947454844</v>
      </c>
      <c r="S967" s="18" t="n">
        <f aca="false">IFERROR(INDEX(SEMANAS!$H$6:$H$71,MATCH($B967,SEMANAS!$B$6:$B$71,0)),0)</f>
        <v>29.4</v>
      </c>
      <c r="T967" s="18" t="n">
        <f aca="false">$R967*$S967</f>
        <v>28.2606896551724</v>
      </c>
      <c r="U967" s="18" t="n">
        <f aca="false">IFERROR(INDEX(SEMANAS!$I$6:$I$71,MATCH($B967,SEMANAS!$B$6:$B$71,0)),0)</f>
        <v>3.36</v>
      </c>
      <c r="V967" s="18" t="n">
        <f aca="false">IFERROR(INDEX(SEMANAS!$J$6:$J$71,MATCH($B967,SEMANAS!$B$6:$B$71,0)),0)</f>
        <v>2.688</v>
      </c>
      <c r="W967" s="18" t="n">
        <f aca="false">MAX(0,$T967-$V967)</f>
        <v>25.5726896551724</v>
      </c>
      <c r="X967" s="19" t="n">
        <f aca="false">IFERROR(INDEX(CADASTRO_PIVOS!$K$6:$K$41,MATCH($E967,CADASTRO_PIVOS!$B$6:$B$41,0)),EFICIENCIA_PADRAO)</f>
        <v>0.85</v>
      </c>
      <c r="Y967" s="18" t="n">
        <f aca="false">IF($X967&lt;=0,0,$W967/$X967)</f>
        <v>30.0855172413793</v>
      </c>
      <c r="Z967" s="16" t="n">
        <f aca="false">$Y967*$H967*MM_PARA_M3_HA</f>
        <v>30073.4830344828</v>
      </c>
      <c r="AA967" s="18" t="n">
        <f aca="false">IFERROR(INDEX(CADASTRO_PIVOS!$I$6:$I$41,MATCH($E967,CADASTRO_PIVOS!$B$6:$B$41,0)),0)</f>
        <v>714</v>
      </c>
      <c r="AB967" s="18" t="n">
        <f aca="false">IF($Z967&lt;=0,0,$Z967/$AA967)</f>
        <v>42.1197241379311</v>
      </c>
      <c r="AC967" s="16" t="n">
        <f aca="false">IFERROR(INDEX(SEMANAS!$K$6:$K$71,MATCH($B967,SEMANAS!$B$6:$B$71,0)),0)</f>
        <v>147</v>
      </c>
      <c r="AD967" s="19" t="n">
        <f aca="false">IF($AC967&lt;=0,0,$AB967/$AC967)</f>
        <v>0.286528735632184</v>
      </c>
      <c r="AE967" s="8" t="str">
        <f aca="false">IF($K967="SEM CULTURA","SEM CULTURA",IF($AA967&lt;=0,"DADO PENDENTE",IF($AD967&gt;LIMITE_CRITICO,"INVIAVEL",IF($AD967&gt;LIMITE_ATENCAO,"CRITICO",IF($AD967&gt;LIMITE_CONFORTAVEL,"ATENCAO","OK")))))</f>
        <v>OK</v>
      </c>
      <c r="AF967" s="8" t="str">
        <f aca="false">$B967&amp;"|"&amp;TEXT($AD967,"0.000000")</f>
        <v>38|0.286529</v>
      </c>
      <c r="AG967" s="18" t="n">
        <f aca="false">IF($K967="SEM CULTURA",0,$T967*$H967)</f>
        <v>2824.93853793103</v>
      </c>
      <c r="AH967" s="18" t="n">
        <f aca="false">IF($K967="SEM CULTURA",0,$V967*$H967)</f>
        <v>268.69248</v>
      </c>
      <c r="AI967" s="18" t="n">
        <f aca="false">IF($K967="SEM CULTURA",0,$W967*$H967)</f>
        <v>2556.24605793103</v>
      </c>
      <c r="AJ967" s="18" t="n">
        <f aca="false">IF($K967="SEM CULTURA",0,$S967*$H967)</f>
        <v>2938.824</v>
      </c>
      <c r="AK967" s="8" t="str">
        <f aca="false">$E967&amp;"|"&amp;TEXT($AD967,"0.000000")</f>
        <v>PV 131|0.286529</v>
      </c>
    </row>
    <row r="968" customFormat="false" ht="15" hidden="false" customHeight="false" outlineLevel="0" collapsed="false">
      <c r="B968" s="16" t="n">
        <v>39</v>
      </c>
      <c r="C968" s="17" t="n">
        <f aca="false">DATA_INICIO_SAFRA+($B968-1)*DIAS_POR_SEMANA</f>
        <v>46531</v>
      </c>
      <c r="D968" s="17" t="n">
        <f aca="false">$C968+DIAS_POR_SEMANA-1</f>
        <v>46537</v>
      </c>
      <c r="E968" s="15" t="s">
        <v>273</v>
      </c>
      <c r="F968" s="8" t="str">
        <f aca="false">IFERROR(INDEX(CADASTRO_PIVOS!$C$6:$C$41,MATCH($E968,CADASTRO_PIVOS!$B$6:$B$41,0)),"?")</f>
        <v>RM05</v>
      </c>
      <c r="G968" s="8" t="str">
        <f aca="false">IFERROR(INDEX(CADASTRO_PIVOS!$D$6:$D$41,MATCH($E968,CADASTRO_PIVOS!$B$6:$B$41,0)),"?")</f>
        <v>TR05</v>
      </c>
      <c r="H968" s="20" t="n">
        <f aca="false">IFERROR(INDEX(CADASTRO_PIVOS!$E$6:$E$41,MATCH($E968,CADASTRO_PIVOS!$B$6:$B$41,0)),0)</f>
        <v>99.96</v>
      </c>
      <c r="I968" s="16" t="n">
        <f aca="false">IFERROR(SUMIFS(ROTACAO_RDM!$B$6:$B$71,ROTACAO_RDM!$D$6:$D$71,$E968,ROTACAO_RDM!$I$6:$I$71,"&lt;="&amp;$C968+INT(DIAS_POR_SEMANA/2),ROTACAO_RDM!$J$6:$J$71,"&gt;="&amp;$C968+INT(DIAS_POR_SEMANA/2)),0)</f>
        <v>60</v>
      </c>
      <c r="J968" s="16" t="n">
        <f aca="false">IFERROR(MATCH($I968,ROTACAO_RDM!$B$6:$B$71,0),0)</f>
        <v>60</v>
      </c>
      <c r="K968" s="8" t="str">
        <f aca="false">IF($J968=0,"SEM CULTURA",INDEX(ROTACAO_RDM!$F$6:$F$71,$J968))</f>
        <v>ALGODAO</v>
      </c>
      <c r="L968" s="8" t="str">
        <f aca="false">IF($J968=0,"",INDEX(ROTACAO_RDM!$G$6:$G$71,$J968))</f>
        <v>IMA 3764 B2RF</v>
      </c>
      <c r="M968" s="17" t="n">
        <f aca="false">IF($J968=0,"",INDEX(ROTACAO_RDM!$I$6:$I$71,$J968))</f>
        <v>46357</v>
      </c>
      <c r="N968" s="16" t="n">
        <f aca="false">IF($J968=0,0,MAX(0,$C968+INT(DIAS_POR_SEMANA/2)-INDEX(ROTACAO_RDM!$I$6:$I$71,$J968)))</f>
        <v>177</v>
      </c>
      <c r="O968" s="19" t="n">
        <f aca="false">IF($J968=0,0,MIN(1,$N968/MAX(1,INDEX(ROTACAO_RDM!$K$6:$K$71,$J968))))</f>
        <v>0.842857142857143</v>
      </c>
      <c r="P968" s="16" t="n">
        <f aca="false">IF($J968=0,0,IFERROR(MATCH(INDEX(ROTACAO_RDM!$N$6:$N$71,$J968),PARAMETROS_CULTURAS!$B$6:$B$28,0),0))</f>
        <v>6</v>
      </c>
      <c r="Q968" s="8" t="str">
        <f aca="false">IF($P968=0,"-",IF($O968&lt;=INDEX(PARAMETROS_CULTURAS!$F$6:$F$28,$P968),"INICIAL",IF($O968&lt;=INDEX(PARAMETROS_CULTURAS!$F$6:$F$28,$P968)+INDEX(PARAMETROS_CULTURAS!$G$6:$G$28,$P968),"DESENVOLVIMENTO",IF($O968&lt;=INDEX(PARAMETROS_CULTURAS!$F$6:$F$28,$P968)+INDEX(PARAMETROS_CULTURAS!$G$6:$G$28,$P968)+INDEX(PARAMETROS_CULTURAS!$H$6:$H$28,$P968),"MEDIA","FINAL"))))</f>
        <v>FINAL</v>
      </c>
      <c r="R968" s="24" t="n">
        <f aca="false">IF($P968=0,0,IF($O968&lt;=INDEX(PARAMETROS_CULTURAS!$F$6:$F$28,$P968),INDEX(PARAMETROS_CULTURAS!$K$6:$K$28,$P968),IF($O968&lt;=INDEX(PARAMETROS_CULTURAS!$F$6:$F$28,$P968)+INDEX(PARAMETROS_CULTURAS!$G$6:$G$28,$P968),INDEX(PARAMETROS_CULTURAS!$K$6:$K$28,$P968)+(INDEX(PARAMETROS_CULTURAS!$L$6:$L$28,$P968)-INDEX(PARAMETROS_CULTURAS!$K$6:$K$28,$P968))*($O968-INDEX(PARAMETROS_CULTURAS!$F$6:$F$28,$P968))/MAX(INDEX(PARAMETROS_CULTURAS!$G$6:$G$28,$P968),0.0001),IF($O968&lt;=INDEX(PARAMETROS_CULTURAS!$F$6:$F$28,$P968)+INDEX(PARAMETROS_CULTURAS!$G$6:$G$28,$P968)+INDEX(PARAMETROS_CULTURAS!$H$6:$H$28,$P968),INDEX(PARAMETROS_CULTURAS!$L$6:$L$28,$P968),INDEX(PARAMETROS_CULTURAS!$L$6:$L$28,$P968)+(INDEX(PARAMETROS_CULTURAS!$M$6:$M$28,$P968)-INDEX(PARAMETROS_CULTURAS!$L$6:$L$28,$P968))*($O968-INDEX(PARAMETROS_CULTURAS!$F$6:$F$28,$P968)-INDEX(PARAMETROS_CULTURAS!$G$6:$G$28,$P968)-INDEX(PARAMETROS_CULTURAS!$H$6:$H$28,$P968))/MAX(INDEX(PARAMETROS_CULTURAS!$I$6:$I$28,$P968),0.0001)))))</f>
        <v>0.898029556650246</v>
      </c>
      <c r="S968" s="18" t="n">
        <f aca="false">IFERROR(INDEX(SEMANAS!$H$6:$H$71,MATCH($B968,SEMANAS!$B$6:$B$71,0)),0)</f>
        <v>29.4</v>
      </c>
      <c r="T968" s="18" t="n">
        <f aca="false">$R968*$S968</f>
        <v>26.4020689655172</v>
      </c>
      <c r="U968" s="18" t="n">
        <f aca="false">IFERROR(INDEX(SEMANAS!$I$6:$I$71,MATCH($B968,SEMANAS!$B$6:$B$71,0)),0)</f>
        <v>3.36</v>
      </c>
      <c r="V968" s="18" t="n">
        <f aca="false">IFERROR(INDEX(SEMANAS!$J$6:$J$71,MATCH($B968,SEMANAS!$B$6:$B$71,0)),0)</f>
        <v>2.688</v>
      </c>
      <c r="W968" s="18" t="n">
        <f aca="false">MAX(0,$T968-$V968)</f>
        <v>23.7140689655172</v>
      </c>
      <c r="X968" s="19" t="n">
        <f aca="false">IFERROR(INDEX(CADASTRO_PIVOS!$K$6:$K$41,MATCH($E968,CADASTRO_PIVOS!$B$6:$B$41,0)),EFICIENCIA_PADRAO)</f>
        <v>0.85</v>
      </c>
      <c r="Y968" s="18" t="n">
        <f aca="false">IF($X968&lt;=0,0,$W968/$X968)</f>
        <v>27.8989046653144</v>
      </c>
      <c r="Z968" s="16" t="n">
        <f aca="false">$Y968*$H968*MM_PARA_M3_HA</f>
        <v>27887.7451034483</v>
      </c>
      <c r="AA968" s="18" t="n">
        <f aca="false">IFERROR(INDEX(CADASTRO_PIVOS!$I$6:$I$41,MATCH($E968,CADASTRO_PIVOS!$B$6:$B$41,0)),0)</f>
        <v>714</v>
      </c>
      <c r="AB968" s="18" t="n">
        <f aca="false">IF($Z968&lt;=0,0,$Z968/$AA968)</f>
        <v>39.0584665314402</v>
      </c>
      <c r="AC968" s="16" t="n">
        <f aca="false">IFERROR(INDEX(SEMANAS!$K$6:$K$71,MATCH($B968,SEMANAS!$B$6:$B$71,0)),0)</f>
        <v>147</v>
      </c>
      <c r="AD968" s="19" t="n">
        <f aca="false">IF($AC968&lt;=0,0,$AB968/$AC968)</f>
        <v>0.265703853955375</v>
      </c>
      <c r="AE968" s="8" t="str">
        <f aca="false">IF($K968="SEM CULTURA","SEM CULTURA",IF($AA968&lt;=0,"DADO PENDENTE",IF($AD968&gt;LIMITE_CRITICO,"INVIAVEL",IF($AD968&gt;LIMITE_ATENCAO,"CRITICO",IF($AD968&gt;LIMITE_CONFORTAVEL,"ATENCAO","OK")))))</f>
        <v>OK</v>
      </c>
      <c r="AF968" s="8" t="str">
        <f aca="false">$B968&amp;"|"&amp;TEXT($AD968,"0.000000")</f>
        <v>39|0.265704</v>
      </c>
      <c r="AG968" s="18" t="n">
        <f aca="false">IF($K968="SEM CULTURA",0,$T968*$H968)</f>
        <v>2639.1508137931</v>
      </c>
      <c r="AH968" s="18" t="n">
        <f aca="false">IF($K968="SEM CULTURA",0,$V968*$H968)</f>
        <v>268.69248</v>
      </c>
      <c r="AI968" s="18" t="n">
        <f aca="false">IF($K968="SEM CULTURA",0,$W968*$H968)</f>
        <v>2370.4583337931</v>
      </c>
      <c r="AJ968" s="18" t="n">
        <f aca="false">IF($K968="SEM CULTURA",0,$S968*$H968)</f>
        <v>2938.824</v>
      </c>
      <c r="AK968" s="8" t="str">
        <f aca="false">$E968&amp;"|"&amp;TEXT($AD968,"0.000000")</f>
        <v>PV 131|0.265704</v>
      </c>
    </row>
    <row r="969" customFormat="false" ht="15" hidden="false" customHeight="false" outlineLevel="0" collapsed="false">
      <c r="B969" s="16" t="n">
        <v>40</v>
      </c>
      <c r="C969" s="17" t="n">
        <f aca="false">DATA_INICIO_SAFRA+($B969-1)*DIAS_POR_SEMANA</f>
        <v>46538</v>
      </c>
      <c r="D969" s="17" t="n">
        <f aca="false">$C969+DIAS_POR_SEMANA-1</f>
        <v>46544</v>
      </c>
      <c r="E969" s="15" t="s">
        <v>273</v>
      </c>
      <c r="F969" s="8" t="str">
        <f aca="false">IFERROR(INDEX(CADASTRO_PIVOS!$C$6:$C$41,MATCH($E969,CADASTRO_PIVOS!$B$6:$B$41,0)),"?")</f>
        <v>RM05</v>
      </c>
      <c r="G969" s="8" t="str">
        <f aca="false">IFERROR(INDEX(CADASTRO_PIVOS!$D$6:$D$41,MATCH($E969,CADASTRO_PIVOS!$B$6:$B$41,0)),"?")</f>
        <v>TR05</v>
      </c>
      <c r="H969" s="20" t="n">
        <f aca="false">IFERROR(INDEX(CADASTRO_PIVOS!$E$6:$E$41,MATCH($E969,CADASTRO_PIVOS!$B$6:$B$41,0)),0)</f>
        <v>99.96</v>
      </c>
      <c r="I969" s="16" t="n">
        <f aca="false">IFERROR(SUMIFS(ROTACAO_RDM!$B$6:$B$71,ROTACAO_RDM!$D$6:$D$71,$E969,ROTACAO_RDM!$I$6:$I$71,"&lt;="&amp;$C969+INT(DIAS_POR_SEMANA/2),ROTACAO_RDM!$J$6:$J$71,"&gt;="&amp;$C969+INT(DIAS_POR_SEMANA/2)),0)</f>
        <v>60</v>
      </c>
      <c r="J969" s="16" t="n">
        <f aca="false">IFERROR(MATCH($I969,ROTACAO_RDM!$B$6:$B$71,0),0)</f>
        <v>60</v>
      </c>
      <c r="K969" s="8" t="str">
        <f aca="false">IF($J969=0,"SEM CULTURA",INDEX(ROTACAO_RDM!$F$6:$F$71,$J969))</f>
        <v>ALGODAO</v>
      </c>
      <c r="L969" s="8" t="str">
        <f aca="false">IF($J969=0,"",INDEX(ROTACAO_RDM!$G$6:$G$71,$J969))</f>
        <v>IMA 3764 B2RF</v>
      </c>
      <c r="M969" s="17" t="n">
        <f aca="false">IF($J969=0,"",INDEX(ROTACAO_RDM!$I$6:$I$71,$J969))</f>
        <v>46357</v>
      </c>
      <c r="N969" s="16" t="n">
        <f aca="false">IF($J969=0,0,MAX(0,$C969+INT(DIAS_POR_SEMANA/2)-INDEX(ROTACAO_RDM!$I$6:$I$71,$J969)))</f>
        <v>184</v>
      </c>
      <c r="O969" s="19" t="n">
        <f aca="false">IF($J969=0,0,MIN(1,$N969/MAX(1,INDEX(ROTACAO_RDM!$K$6:$K$71,$J969))))</f>
        <v>0.876190476190476</v>
      </c>
      <c r="P969" s="16" t="n">
        <f aca="false">IF($J969=0,0,IFERROR(MATCH(INDEX(ROTACAO_RDM!$N$6:$N$71,$J969),PARAMETROS_CULTURAS!$B$6:$B$28,0),0))</f>
        <v>6</v>
      </c>
      <c r="Q969" s="8" t="str">
        <f aca="false">IF($P969=0,"-",IF($O969&lt;=INDEX(PARAMETROS_CULTURAS!$F$6:$F$28,$P969),"INICIAL",IF($O969&lt;=INDEX(PARAMETROS_CULTURAS!$F$6:$F$28,$P969)+INDEX(PARAMETROS_CULTURAS!$G$6:$G$28,$P969),"DESENVOLVIMENTO",IF($O969&lt;=INDEX(PARAMETROS_CULTURAS!$F$6:$F$28,$P969)+INDEX(PARAMETROS_CULTURAS!$G$6:$G$28,$P969)+INDEX(PARAMETROS_CULTURAS!$H$6:$H$28,$P969),"MEDIA","FINAL"))))</f>
        <v>FINAL</v>
      </c>
      <c r="R969" s="24" t="n">
        <f aca="false">IF($P969=0,0,IF($O969&lt;=INDEX(PARAMETROS_CULTURAS!$F$6:$F$28,$P969),INDEX(PARAMETROS_CULTURAS!$K$6:$K$28,$P969),IF($O969&lt;=INDEX(PARAMETROS_CULTURAS!$F$6:$F$28,$P969)+INDEX(PARAMETROS_CULTURAS!$G$6:$G$28,$P969),INDEX(PARAMETROS_CULTURAS!$K$6:$K$28,$P969)+(INDEX(PARAMETROS_CULTURAS!$L$6:$L$28,$P969)-INDEX(PARAMETROS_CULTURAS!$K$6:$K$28,$P969))*($O969-INDEX(PARAMETROS_CULTURAS!$F$6:$F$28,$P969))/MAX(INDEX(PARAMETROS_CULTURAS!$G$6:$G$28,$P969),0.0001),IF($O969&lt;=INDEX(PARAMETROS_CULTURAS!$F$6:$F$28,$P969)+INDEX(PARAMETROS_CULTURAS!$G$6:$G$28,$P969)+INDEX(PARAMETROS_CULTURAS!$H$6:$H$28,$P969),INDEX(PARAMETROS_CULTURAS!$L$6:$L$28,$P969),INDEX(PARAMETROS_CULTURAS!$L$6:$L$28,$P969)+(INDEX(PARAMETROS_CULTURAS!$M$6:$M$28,$P969)-INDEX(PARAMETROS_CULTURAS!$L$6:$L$28,$P969))*($O969-INDEX(PARAMETROS_CULTURAS!$F$6:$F$28,$P969)-INDEX(PARAMETROS_CULTURAS!$G$6:$G$28,$P969)-INDEX(PARAMETROS_CULTURAS!$H$6:$H$28,$P969))/MAX(INDEX(PARAMETROS_CULTURAS!$I$6:$I$28,$P969),0.0001)))))</f>
        <v>0.834811165845649</v>
      </c>
      <c r="S969" s="18" t="n">
        <f aca="false">IFERROR(INDEX(SEMANAS!$H$6:$H$71,MATCH($B969,SEMANAS!$B$6:$B$71,0)),0)</f>
        <v>28.2</v>
      </c>
      <c r="T969" s="18" t="n">
        <f aca="false">$R969*$S969</f>
        <v>23.5416748768473</v>
      </c>
      <c r="U969" s="18" t="n">
        <f aca="false">IFERROR(INDEX(SEMANAS!$I$6:$I$71,MATCH($B969,SEMANAS!$B$6:$B$71,0)),0)</f>
        <v>1.5</v>
      </c>
      <c r="V969" s="18" t="n">
        <f aca="false">IFERROR(INDEX(SEMANAS!$J$6:$J$71,MATCH($B969,SEMANAS!$B$6:$B$71,0)),0)</f>
        <v>1.2</v>
      </c>
      <c r="W969" s="18" t="n">
        <f aca="false">MAX(0,$T969-$V969)</f>
        <v>22.3416748768473</v>
      </c>
      <c r="X969" s="19" t="n">
        <f aca="false">IFERROR(INDEX(CADASTRO_PIVOS!$K$6:$K$41,MATCH($E969,CADASTRO_PIVOS!$B$6:$B$41,0)),EFICIENCIA_PADRAO)</f>
        <v>0.85</v>
      </c>
      <c r="Y969" s="18" t="n">
        <f aca="false">IF($X969&lt;=0,0,$W969/$X969)</f>
        <v>26.2843233845262</v>
      </c>
      <c r="Z969" s="16" t="n">
        <f aca="false">$Y969*$H969*MM_PARA_M3_HA</f>
        <v>26273.8096551724</v>
      </c>
      <c r="AA969" s="18" t="n">
        <f aca="false">IFERROR(INDEX(CADASTRO_PIVOS!$I$6:$I$41,MATCH($E969,CADASTRO_PIVOS!$B$6:$B$41,0)),0)</f>
        <v>714</v>
      </c>
      <c r="AB969" s="18" t="n">
        <f aca="false">IF($Z969&lt;=0,0,$Z969/$AA969)</f>
        <v>36.7980527383367</v>
      </c>
      <c r="AC969" s="16" t="n">
        <f aca="false">IFERROR(INDEX(SEMANAS!$K$6:$K$71,MATCH($B969,SEMANAS!$B$6:$B$71,0)),0)</f>
        <v>147</v>
      </c>
      <c r="AD969" s="19" t="n">
        <f aca="false">IF($AC969&lt;=0,0,$AB969/$AC969)</f>
        <v>0.25032688937644</v>
      </c>
      <c r="AE969" s="8" t="str">
        <f aca="false">IF($K969="SEM CULTURA","SEM CULTURA",IF($AA969&lt;=0,"DADO PENDENTE",IF($AD969&gt;LIMITE_CRITICO,"INVIAVEL",IF($AD969&gt;LIMITE_ATENCAO,"CRITICO",IF($AD969&gt;LIMITE_CONFORTAVEL,"ATENCAO","OK")))))</f>
        <v>OK</v>
      </c>
      <c r="AF969" s="8" t="str">
        <f aca="false">$B969&amp;"|"&amp;TEXT($AD969,"0.000000")</f>
        <v>40|0.250327</v>
      </c>
      <c r="AG969" s="18" t="n">
        <f aca="false">IF($K969="SEM CULTURA",0,$T969*$H969)</f>
        <v>2353.22582068966</v>
      </c>
      <c r="AH969" s="18" t="n">
        <f aca="false">IF($K969="SEM CULTURA",0,$V969*$H969)</f>
        <v>119.952</v>
      </c>
      <c r="AI969" s="18" t="n">
        <f aca="false">IF($K969="SEM CULTURA",0,$W969*$H969)</f>
        <v>2233.27382068965</v>
      </c>
      <c r="AJ969" s="18" t="n">
        <f aca="false">IF($K969="SEM CULTURA",0,$S969*$H969)</f>
        <v>2818.872</v>
      </c>
      <c r="AK969" s="8" t="str">
        <f aca="false">$E969&amp;"|"&amp;TEXT($AD969,"0.000000")</f>
        <v>PV 131|0.250327</v>
      </c>
    </row>
    <row r="970" customFormat="false" ht="15" hidden="false" customHeight="false" outlineLevel="0" collapsed="false">
      <c r="B970" s="16" t="n">
        <v>41</v>
      </c>
      <c r="C970" s="17" t="n">
        <f aca="false">DATA_INICIO_SAFRA+($B970-1)*DIAS_POR_SEMANA</f>
        <v>46545</v>
      </c>
      <c r="D970" s="17" t="n">
        <f aca="false">$C970+DIAS_POR_SEMANA-1</f>
        <v>46551</v>
      </c>
      <c r="E970" s="15" t="s">
        <v>273</v>
      </c>
      <c r="F970" s="8" t="str">
        <f aca="false">IFERROR(INDEX(CADASTRO_PIVOS!$C$6:$C$41,MATCH($E970,CADASTRO_PIVOS!$B$6:$B$41,0)),"?")</f>
        <v>RM05</v>
      </c>
      <c r="G970" s="8" t="str">
        <f aca="false">IFERROR(INDEX(CADASTRO_PIVOS!$D$6:$D$41,MATCH($E970,CADASTRO_PIVOS!$B$6:$B$41,0)),"?")</f>
        <v>TR05</v>
      </c>
      <c r="H970" s="20" t="n">
        <f aca="false">IFERROR(INDEX(CADASTRO_PIVOS!$E$6:$E$41,MATCH($E970,CADASTRO_PIVOS!$B$6:$B$41,0)),0)</f>
        <v>99.96</v>
      </c>
      <c r="I970" s="16" t="n">
        <f aca="false">IFERROR(SUMIFS(ROTACAO_RDM!$B$6:$B$71,ROTACAO_RDM!$D$6:$D$71,$E970,ROTACAO_RDM!$I$6:$I$71,"&lt;="&amp;$C970+INT(DIAS_POR_SEMANA/2),ROTACAO_RDM!$J$6:$J$71,"&gt;="&amp;$C970+INT(DIAS_POR_SEMANA/2)),0)</f>
        <v>60</v>
      </c>
      <c r="J970" s="16" t="n">
        <f aca="false">IFERROR(MATCH($I970,ROTACAO_RDM!$B$6:$B$71,0),0)</f>
        <v>60</v>
      </c>
      <c r="K970" s="8" t="str">
        <f aca="false">IF($J970=0,"SEM CULTURA",INDEX(ROTACAO_RDM!$F$6:$F$71,$J970))</f>
        <v>ALGODAO</v>
      </c>
      <c r="L970" s="8" t="str">
        <f aca="false">IF($J970=0,"",INDEX(ROTACAO_RDM!$G$6:$G$71,$J970))</f>
        <v>IMA 3764 B2RF</v>
      </c>
      <c r="M970" s="17" t="n">
        <f aca="false">IF($J970=0,"",INDEX(ROTACAO_RDM!$I$6:$I$71,$J970))</f>
        <v>46357</v>
      </c>
      <c r="N970" s="16" t="n">
        <f aca="false">IF($J970=0,0,MAX(0,$C970+INT(DIAS_POR_SEMANA/2)-INDEX(ROTACAO_RDM!$I$6:$I$71,$J970)))</f>
        <v>191</v>
      </c>
      <c r="O970" s="19" t="n">
        <f aca="false">IF($J970=0,0,MIN(1,$N970/MAX(1,INDEX(ROTACAO_RDM!$K$6:$K$71,$J970))))</f>
        <v>0.90952380952381</v>
      </c>
      <c r="P970" s="16" t="n">
        <f aca="false">IF($J970=0,0,IFERROR(MATCH(INDEX(ROTACAO_RDM!$N$6:$N$71,$J970),PARAMETROS_CULTURAS!$B$6:$B$28,0),0))</f>
        <v>6</v>
      </c>
      <c r="Q970" s="8" t="str">
        <f aca="false">IF($P970=0,"-",IF($O970&lt;=INDEX(PARAMETROS_CULTURAS!$F$6:$F$28,$P970),"INICIAL",IF($O970&lt;=INDEX(PARAMETROS_CULTURAS!$F$6:$F$28,$P970)+INDEX(PARAMETROS_CULTURAS!$G$6:$G$28,$P970),"DESENVOLVIMENTO",IF($O970&lt;=INDEX(PARAMETROS_CULTURAS!$F$6:$F$28,$P970)+INDEX(PARAMETROS_CULTURAS!$G$6:$G$28,$P970)+INDEX(PARAMETROS_CULTURAS!$H$6:$H$28,$P970),"MEDIA","FINAL"))))</f>
        <v>FINAL</v>
      </c>
      <c r="R970" s="24" t="n">
        <f aca="false">IF($P970=0,0,IF($O970&lt;=INDEX(PARAMETROS_CULTURAS!$F$6:$F$28,$P970),INDEX(PARAMETROS_CULTURAS!$K$6:$K$28,$P970),IF($O970&lt;=INDEX(PARAMETROS_CULTURAS!$F$6:$F$28,$P970)+INDEX(PARAMETROS_CULTURAS!$G$6:$G$28,$P970),INDEX(PARAMETROS_CULTURAS!$K$6:$K$28,$P970)+(INDEX(PARAMETROS_CULTURAS!$L$6:$L$28,$P970)-INDEX(PARAMETROS_CULTURAS!$K$6:$K$28,$P970))*($O970-INDEX(PARAMETROS_CULTURAS!$F$6:$F$28,$P970))/MAX(INDEX(PARAMETROS_CULTURAS!$G$6:$G$28,$P970),0.0001),IF($O970&lt;=INDEX(PARAMETROS_CULTURAS!$F$6:$F$28,$P970)+INDEX(PARAMETROS_CULTURAS!$G$6:$G$28,$P970)+INDEX(PARAMETROS_CULTURAS!$H$6:$H$28,$P970),INDEX(PARAMETROS_CULTURAS!$L$6:$L$28,$P970),INDEX(PARAMETROS_CULTURAS!$L$6:$L$28,$P970)+(INDEX(PARAMETROS_CULTURAS!$M$6:$M$28,$P970)-INDEX(PARAMETROS_CULTURAS!$L$6:$L$28,$P970))*($O970-INDEX(PARAMETROS_CULTURAS!$F$6:$F$28,$P970)-INDEX(PARAMETROS_CULTURAS!$G$6:$G$28,$P970)-INDEX(PARAMETROS_CULTURAS!$H$6:$H$28,$P970))/MAX(INDEX(PARAMETROS_CULTURAS!$I$6:$I$28,$P970),0.0001)))))</f>
        <v>0.771592775041051</v>
      </c>
      <c r="S970" s="18" t="n">
        <f aca="false">IFERROR(INDEX(SEMANAS!$H$6:$H$71,MATCH($B970,SEMANAS!$B$6:$B$71,0)),0)</f>
        <v>28</v>
      </c>
      <c r="T970" s="18" t="n">
        <f aca="false">$R970*$S970</f>
        <v>21.6045977011494</v>
      </c>
      <c r="U970" s="18" t="n">
        <f aca="false">IFERROR(INDEX(SEMANAS!$I$6:$I$71,MATCH($B970,SEMANAS!$B$6:$B$71,0)),0)</f>
        <v>1.19</v>
      </c>
      <c r="V970" s="18" t="n">
        <f aca="false">IFERROR(INDEX(SEMANAS!$J$6:$J$71,MATCH($B970,SEMANAS!$B$6:$B$71,0)),0)</f>
        <v>0.952</v>
      </c>
      <c r="W970" s="18" t="n">
        <f aca="false">MAX(0,$T970-$V970)</f>
        <v>20.6525977011494</v>
      </c>
      <c r="X970" s="19" t="n">
        <f aca="false">IFERROR(INDEX(CADASTRO_PIVOS!$K$6:$K$41,MATCH($E970,CADASTRO_PIVOS!$B$6:$B$41,0)),EFICIENCIA_PADRAO)</f>
        <v>0.85</v>
      </c>
      <c r="Y970" s="18" t="n">
        <f aca="false">IF($X970&lt;=0,0,$W970/$X970)</f>
        <v>24.2971737660581</v>
      </c>
      <c r="Z970" s="16" t="n">
        <f aca="false">$Y970*$H970*MM_PARA_M3_HA</f>
        <v>24287.4548965517</v>
      </c>
      <c r="AA970" s="18" t="n">
        <f aca="false">IFERROR(INDEX(CADASTRO_PIVOS!$I$6:$I$41,MATCH($E970,CADASTRO_PIVOS!$B$6:$B$41,0)),0)</f>
        <v>714</v>
      </c>
      <c r="AB970" s="18" t="n">
        <f aca="false">IF($Z970&lt;=0,0,$Z970/$AA970)</f>
        <v>34.0160432724814</v>
      </c>
      <c r="AC970" s="16" t="n">
        <f aca="false">IFERROR(INDEX(SEMANAS!$K$6:$K$71,MATCH($B970,SEMANAS!$B$6:$B$71,0)),0)</f>
        <v>147</v>
      </c>
      <c r="AD970" s="19" t="n">
        <f aca="false">IF($AC970&lt;=0,0,$AB970/$AC970)</f>
        <v>0.23140165491484</v>
      </c>
      <c r="AE970" s="8" t="str">
        <f aca="false">IF($K970="SEM CULTURA","SEM CULTURA",IF($AA970&lt;=0,"DADO PENDENTE",IF($AD970&gt;LIMITE_CRITICO,"INVIAVEL",IF($AD970&gt;LIMITE_ATENCAO,"CRITICO",IF($AD970&gt;LIMITE_CONFORTAVEL,"ATENCAO","OK")))))</f>
        <v>OK</v>
      </c>
      <c r="AF970" s="8" t="str">
        <f aca="false">$B970&amp;"|"&amp;TEXT($AD970,"0.000000")</f>
        <v>41|0.231402</v>
      </c>
      <c r="AG970" s="18" t="n">
        <f aca="false">IF($K970="SEM CULTURA",0,$T970*$H970)</f>
        <v>2159.5955862069</v>
      </c>
      <c r="AH970" s="18" t="n">
        <f aca="false">IF($K970="SEM CULTURA",0,$V970*$H970)</f>
        <v>95.16192</v>
      </c>
      <c r="AI970" s="18" t="n">
        <f aca="false">IF($K970="SEM CULTURA",0,$W970*$H970)</f>
        <v>2064.4336662069</v>
      </c>
      <c r="AJ970" s="18" t="n">
        <f aca="false">IF($K970="SEM CULTURA",0,$S970*$H970)</f>
        <v>2798.88</v>
      </c>
      <c r="AK970" s="8" t="str">
        <f aca="false">$E970&amp;"|"&amp;TEXT($AD970,"0.000000")</f>
        <v>PV 131|0.231402</v>
      </c>
    </row>
    <row r="971" customFormat="false" ht="15" hidden="false" customHeight="false" outlineLevel="0" collapsed="false">
      <c r="B971" s="16" t="n">
        <v>42</v>
      </c>
      <c r="C971" s="17" t="n">
        <f aca="false">DATA_INICIO_SAFRA+($B971-1)*DIAS_POR_SEMANA</f>
        <v>46552</v>
      </c>
      <c r="D971" s="17" t="n">
        <f aca="false">$C971+DIAS_POR_SEMANA-1</f>
        <v>46558</v>
      </c>
      <c r="E971" s="15" t="s">
        <v>273</v>
      </c>
      <c r="F971" s="8" t="str">
        <f aca="false">IFERROR(INDEX(CADASTRO_PIVOS!$C$6:$C$41,MATCH($E971,CADASTRO_PIVOS!$B$6:$B$41,0)),"?")</f>
        <v>RM05</v>
      </c>
      <c r="G971" s="8" t="str">
        <f aca="false">IFERROR(INDEX(CADASTRO_PIVOS!$D$6:$D$41,MATCH($E971,CADASTRO_PIVOS!$B$6:$B$41,0)),"?")</f>
        <v>TR05</v>
      </c>
      <c r="H971" s="20" t="n">
        <f aca="false">IFERROR(INDEX(CADASTRO_PIVOS!$E$6:$E$41,MATCH($E971,CADASTRO_PIVOS!$B$6:$B$41,0)),0)</f>
        <v>99.96</v>
      </c>
      <c r="I971" s="16" t="n">
        <f aca="false">IFERROR(SUMIFS(ROTACAO_RDM!$B$6:$B$71,ROTACAO_RDM!$D$6:$D$71,$E971,ROTACAO_RDM!$I$6:$I$71,"&lt;="&amp;$C971+INT(DIAS_POR_SEMANA/2),ROTACAO_RDM!$J$6:$J$71,"&gt;="&amp;$C971+INT(DIAS_POR_SEMANA/2)),0)</f>
        <v>60</v>
      </c>
      <c r="J971" s="16" t="n">
        <f aca="false">IFERROR(MATCH($I971,ROTACAO_RDM!$B$6:$B$71,0),0)</f>
        <v>60</v>
      </c>
      <c r="K971" s="8" t="str">
        <f aca="false">IF($J971=0,"SEM CULTURA",INDEX(ROTACAO_RDM!$F$6:$F$71,$J971))</f>
        <v>ALGODAO</v>
      </c>
      <c r="L971" s="8" t="str">
        <f aca="false">IF($J971=0,"",INDEX(ROTACAO_RDM!$G$6:$G$71,$J971))</f>
        <v>IMA 3764 B2RF</v>
      </c>
      <c r="M971" s="17" t="n">
        <f aca="false">IF($J971=0,"",INDEX(ROTACAO_RDM!$I$6:$I$71,$J971))</f>
        <v>46357</v>
      </c>
      <c r="N971" s="16" t="n">
        <f aca="false">IF($J971=0,0,MAX(0,$C971+INT(DIAS_POR_SEMANA/2)-INDEX(ROTACAO_RDM!$I$6:$I$71,$J971)))</f>
        <v>198</v>
      </c>
      <c r="O971" s="19" t="n">
        <f aca="false">IF($J971=0,0,MIN(1,$N971/MAX(1,INDEX(ROTACAO_RDM!$K$6:$K$71,$J971))))</f>
        <v>0.942857142857143</v>
      </c>
      <c r="P971" s="16" t="n">
        <f aca="false">IF($J971=0,0,IFERROR(MATCH(INDEX(ROTACAO_RDM!$N$6:$N$71,$J971),PARAMETROS_CULTURAS!$B$6:$B$28,0),0))</f>
        <v>6</v>
      </c>
      <c r="Q971" s="8" t="str">
        <f aca="false">IF($P971=0,"-",IF($O971&lt;=INDEX(PARAMETROS_CULTURAS!$F$6:$F$28,$P971),"INICIAL",IF($O971&lt;=INDEX(PARAMETROS_CULTURAS!$F$6:$F$28,$P971)+INDEX(PARAMETROS_CULTURAS!$G$6:$G$28,$P971),"DESENVOLVIMENTO",IF($O971&lt;=INDEX(PARAMETROS_CULTURAS!$F$6:$F$28,$P971)+INDEX(PARAMETROS_CULTURAS!$G$6:$G$28,$P971)+INDEX(PARAMETROS_CULTURAS!$H$6:$H$28,$P971),"MEDIA","FINAL"))))</f>
        <v>FINAL</v>
      </c>
      <c r="R971" s="24" t="n">
        <f aca="false">IF($P971=0,0,IF($O971&lt;=INDEX(PARAMETROS_CULTURAS!$F$6:$F$28,$P971),INDEX(PARAMETROS_CULTURAS!$K$6:$K$28,$P971),IF($O971&lt;=INDEX(PARAMETROS_CULTURAS!$F$6:$F$28,$P971)+INDEX(PARAMETROS_CULTURAS!$G$6:$G$28,$P971),INDEX(PARAMETROS_CULTURAS!$K$6:$K$28,$P971)+(INDEX(PARAMETROS_CULTURAS!$L$6:$L$28,$P971)-INDEX(PARAMETROS_CULTURAS!$K$6:$K$28,$P971))*($O971-INDEX(PARAMETROS_CULTURAS!$F$6:$F$28,$P971))/MAX(INDEX(PARAMETROS_CULTURAS!$G$6:$G$28,$P971),0.0001),IF($O971&lt;=INDEX(PARAMETROS_CULTURAS!$F$6:$F$28,$P971)+INDEX(PARAMETROS_CULTURAS!$G$6:$G$28,$P971)+INDEX(PARAMETROS_CULTURAS!$H$6:$H$28,$P971),INDEX(PARAMETROS_CULTURAS!$L$6:$L$28,$P971),INDEX(PARAMETROS_CULTURAS!$L$6:$L$28,$P971)+(INDEX(PARAMETROS_CULTURAS!$M$6:$M$28,$P971)-INDEX(PARAMETROS_CULTURAS!$L$6:$L$28,$P971))*($O971-INDEX(PARAMETROS_CULTURAS!$F$6:$F$28,$P971)-INDEX(PARAMETROS_CULTURAS!$G$6:$G$28,$P971)-INDEX(PARAMETROS_CULTURAS!$H$6:$H$28,$P971))/MAX(INDEX(PARAMETROS_CULTURAS!$I$6:$I$28,$P971),0.0001)))))</f>
        <v>0.708374384236453</v>
      </c>
      <c r="S971" s="18" t="n">
        <f aca="false">IFERROR(INDEX(SEMANAS!$H$6:$H$71,MATCH($B971,SEMANAS!$B$6:$B$71,0)),0)</f>
        <v>28</v>
      </c>
      <c r="T971" s="18" t="n">
        <f aca="false">$R971*$S971</f>
        <v>19.8344827586207</v>
      </c>
      <c r="U971" s="18" t="n">
        <f aca="false">IFERROR(INDEX(SEMANAS!$I$6:$I$71,MATCH($B971,SEMANAS!$B$6:$B$71,0)),0)</f>
        <v>1.19</v>
      </c>
      <c r="V971" s="18" t="n">
        <f aca="false">IFERROR(INDEX(SEMANAS!$J$6:$J$71,MATCH($B971,SEMANAS!$B$6:$B$71,0)),0)</f>
        <v>0.952</v>
      </c>
      <c r="W971" s="18" t="n">
        <f aca="false">MAX(0,$T971-$V971)</f>
        <v>18.8824827586207</v>
      </c>
      <c r="X971" s="19" t="n">
        <f aca="false">IFERROR(INDEX(CADASTRO_PIVOS!$K$6:$K$41,MATCH($E971,CADASTRO_PIVOS!$B$6:$B$41,0)),EFICIENCIA_PADRAO)</f>
        <v>0.85</v>
      </c>
      <c r="Y971" s="18" t="n">
        <f aca="false">IF($X971&lt;=0,0,$W971/$X971)</f>
        <v>22.2146855983773</v>
      </c>
      <c r="Z971" s="16" t="n">
        <f aca="false">$Y971*$H971*MM_PARA_M3_HA</f>
        <v>22205.7997241379</v>
      </c>
      <c r="AA971" s="18" t="n">
        <f aca="false">IFERROR(INDEX(CADASTRO_PIVOS!$I$6:$I$41,MATCH($E971,CADASTRO_PIVOS!$B$6:$B$41,0)),0)</f>
        <v>714</v>
      </c>
      <c r="AB971" s="18" t="n">
        <f aca="false">IF($Z971&lt;=0,0,$Z971/$AA971)</f>
        <v>31.1005598377282</v>
      </c>
      <c r="AC971" s="16" t="n">
        <f aca="false">IFERROR(INDEX(SEMANAS!$K$6:$K$71,MATCH($B971,SEMANAS!$B$6:$B$71,0)),0)</f>
        <v>147</v>
      </c>
      <c r="AD971" s="19" t="n">
        <f aca="false">IF($AC971&lt;=0,0,$AB971/$AC971)</f>
        <v>0.21156843427026</v>
      </c>
      <c r="AE971" s="8" t="str">
        <f aca="false">IF($K971="SEM CULTURA","SEM CULTURA",IF($AA971&lt;=0,"DADO PENDENTE",IF($AD971&gt;LIMITE_CRITICO,"INVIAVEL",IF($AD971&gt;LIMITE_ATENCAO,"CRITICO",IF($AD971&gt;LIMITE_CONFORTAVEL,"ATENCAO","OK")))))</f>
        <v>OK</v>
      </c>
      <c r="AF971" s="8" t="str">
        <f aca="false">$B971&amp;"|"&amp;TEXT($AD971,"0.000000")</f>
        <v>42|0.211568</v>
      </c>
      <c r="AG971" s="18" t="n">
        <f aca="false">IF($K971="SEM CULTURA",0,$T971*$H971)</f>
        <v>1982.65489655172</v>
      </c>
      <c r="AH971" s="18" t="n">
        <f aca="false">IF($K971="SEM CULTURA",0,$V971*$H971)</f>
        <v>95.16192</v>
      </c>
      <c r="AI971" s="18" t="n">
        <f aca="false">IF($K971="SEM CULTURA",0,$W971*$H971)</f>
        <v>1887.49297655172</v>
      </c>
      <c r="AJ971" s="18" t="n">
        <f aca="false">IF($K971="SEM CULTURA",0,$S971*$H971)</f>
        <v>2798.88</v>
      </c>
      <c r="AK971" s="8" t="str">
        <f aca="false">$E971&amp;"|"&amp;TEXT($AD971,"0.000000")</f>
        <v>PV 131|0.211568</v>
      </c>
    </row>
    <row r="972" customFormat="false" ht="15" hidden="false" customHeight="false" outlineLevel="0" collapsed="false">
      <c r="B972" s="16" t="n">
        <v>43</v>
      </c>
      <c r="C972" s="17" t="n">
        <f aca="false">DATA_INICIO_SAFRA+($B972-1)*DIAS_POR_SEMANA</f>
        <v>46559</v>
      </c>
      <c r="D972" s="17" t="n">
        <f aca="false">$C972+DIAS_POR_SEMANA-1</f>
        <v>46565</v>
      </c>
      <c r="E972" s="15" t="s">
        <v>273</v>
      </c>
      <c r="F972" s="8" t="str">
        <f aca="false">IFERROR(INDEX(CADASTRO_PIVOS!$C$6:$C$41,MATCH($E972,CADASTRO_PIVOS!$B$6:$B$41,0)),"?")</f>
        <v>RM05</v>
      </c>
      <c r="G972" s="8" t="str">
        <f aca="false">IFERROR(INDEX(CADASTRO_PIVOS!$D$6:$D$41,MATCH($E972,CADASTRO_PIVOS!$B$6:$B$41,0)),"?")</f>
        <v>TR05</v>
      </c>
      <c r="H972" s="20" t="n">
        <f aca="false">IFERROR(INDEX(CADASTRO_PIVOS!$E$6:$E$41,MATCH($E972,CADASTRO_PIVOS!$B$6:$B$41,0)),0)</f>
        <v>99.96</v>
      </c>
      <c r="I972" s="16" t="n">
        <f aca="false">IFERROR(SUMIFS(ROTACAO_RDM!$B$6:$B$71,ROTACAO_RDM!$D$6:$D$71,$E972,ROTACAO_RDM!$I$6:$I$71,"&lt;="&amp;$C972+INT(DIAS_POR_SEMANA/2),ROTACAO_RDM!$J$6:$J$71,"&gt;="&amp;$C972+INT(DIAS_POR_SEMANA/2)),0)</f>
        <v>60</v>
      </c>
      <c r="J972" s="16" t="n">
        <f aca="false">IFERROR(MATCH($I972,ROTACAO_RDM!$B$6:$B$71,0),0)</f>
        <v>60</v>
      </c>
      <c r="K972" s="8" t="str">
        <f aca="false">IF($J972=0,"SEM CULTURA",INDEX(ROTACAO_RDM!$F$6:$F$71,$J972))</f>
        <v>ALGODAO</v>
      </c>
      <c r="L972" s="8" t="str">
        <f aca="false">IF($J972=0,"",INDEX(ROTACAO_RDM!$G$6:$G$71,$J972))</f>
        <v>IMA 3764 B2RF</v>
      </c>
      <c r="M972" s="17" t="n">
        <f aca="false">IF($J972=0,"",INDEX(ROTACAO_RDM!$I$6:$I$71,$J972))</f>
        <v>46357</v>
      </c>
      <c r="N972" s="16" t="n">
        <f aca="false">IF($J972=0,0,MAX(0,$C972+INT(DIAS_POR_SEMANA/2)-INDEX(ROTACAO_RDM!$I$6:$I$71,$J972)))</f>
        <v>205</v>
      </c>
      <c r="O972" s="19" t="n">
        <f aca="false">IF($J972=0,0,MIN(1,$N972/MAX(1,INDEX(ROTACAO_RDM!$K$6:$K$71,$J972))))</f>
        <v>0.976190476190476</v>
      </c>
      <c r="P972" s="16" t="n">
        <f aca="false">IF($J972=0,0,IFERROR(MATCH(INDEX(ROTACAO_RDM!$N$6:$N$71,$J972),PARAMETROS_CULTURAS!$B$6:$B$28,0),0))</f>
        <v>6</v>
      </c>
      <c r="Q972" s="8" t="str">
        <f aca="false">IF($P972=0,"-",IF($O972&lt;=INDEX(PARAMETROS_CULTURAS!$F$6:$F$28,$P972),"INICIAL",IF($O972&lt;=INDEX(PARAMETROS_CULTURAS!$F$6:$F$28,$P972)+INDEX(PARAMETROS_CULTURAS!$G$6:$G$28,$P972),"DESENVOLVIMENTO",IF($O972&lt;=INDEX(PARAMETROS_CULTURAS!$F$6:$F$28,$P972)+INDEX(PARAMETROS_CULTURAS!$G$6:$G$28,$P972)+INDEX(PARAMETROS_CULTURAS!$H$6:$H$28,$P972),"MEDIA","FINAL"))))</f>
        <v>FINAL</v>
      </c>
      <c r="R972" s="24" t="n">
        <f aca="false">IF($P972=0,0,IF($O972&lt;=INDEX(PARAMETROS_CULTURAS!$F$6:$F$28,$P972),INDEX(PARAMETROS_CULTURAS!$K$6:$K$28,$P972),IF($O972&lt;=INDEX(PARAMETROS_CULTURAS!$F$6:$F$28,$P972)+INDEX(PARAMETROS_CULTURAS!$G$6:$G$28,$P972),INDEX(PARAMETROS_CULTURAS!$K$6:$K$28,$P972)+(INDEX(PARAMETROS_CULTURAS!$L$6:$L$28,$P972)-INDEX(PARAMETROS_CULTURAS!$K$6:$K$28,$P972))*($O972-INDEX(PARAMETROS_CULTURAS!$F$6:$F$28,$P972))/MAX(INDEX(PARAMETROS_CULTURAS!$G$6:$G$28,$P972),0.0001),IF($O972&lt;=INDEX(PARAMETROS_CULTURAS!$F$6:$F$28,$P972)+INDEX(PARAMETROS_CULTURAS!$G$6:$G$28,$P972)+INDEX(PARAMETROS_CULTURAS!$H$6:$H$28,$P972),INDEX(PARAMETROS_CULTURAS!$L$6:$L$28,$P972),INDEX(PARAMETROS_CULTURAS!$L$6:$L$28,$P972)+(INDEX(PARAMETROS_CULTURAS!$M$6:$M$28,$P972)-INDEX(PARAMETROS_CULTURAS!$L$6:$L$28,$P972))*($O972-INDEX(PARAMETROS_CULTURAS!$F$6:$F$28,$P972)-INDEX(PARAMETROS_CULTURAS!$G$6:$G$28,$P972)-INDEX(PARAMETROS_CULTURAS!$H$6:$H$28,$P972))/MAX(INDEX(PARAMETROS_CULTURAS!$I$6:$I$28,$P972),0.0001)))))</f>
        <v>0.645155993431856</v>
      </c>
      <c r="S972" s="18" t="n">
        <f aca="false">IFERROR(INDEX(SEMANAS!$H$6:$H$71,MATCH($B972,SEMANAS!$B$6:$B$71,0)),0)</f>
        <v>28</v>
      </c>
      <c r="T972" s="18" t="n">
        <f aca="false">$R972*$S972</f>
        <v>18.064367816092</v>
      </c>
      <c r="U972" s="18" t="n">
        <f aca="false">IFERROR(INDEX(SEMANAS!$I$6:$I$71,MATCH($B972,SEMANAS!$B$6:$B$71,0)),0)</f>
        <v>1.19</v>
      </c>
      <c r="V972" s="18" t="n">
        <f aca="false">IFERROR(INDEX(SEMANAS!$J$6:$J$71,MATCH($B972,SEMANAS!$B$6:$B$71,0)),0)</f>
        <v>0.952</v>
      </c>
      <c r="W972" s="18" t="n">
        <f aca="false">MAX(0,$T972-$V972)</f>
        <v>17.112367816092</v>
      </c>
      <c r="X972" s="19" t="n">
        <f aca="false">IFERROR(INDEX(CADASTRO_PIVOS!$K$6:$K$41,MATCH($E972,CADASTRO_PIVOS!$B$6:$B$41,0)),EFICIENCIA_PADRAO)</f>
        <v>0.85</v>
      </c>
      <c r="Y972" s="18" t="n">
        <f aca="false">IF($X972&lt;=0,0,$W972/$X972)</f>
        <v>20.1321974306964</v>
      </c>
      <c r="Z972" s="16" t="n">
        <f aca="false">$Y972*$H972*MM_PARA_M3_HA</f>
        <v>20124.1445517241</v>
      </c>
      <c r="AA972" s="18" t="n">
        <f aca="false">IFERROR(INDEX(CADASTRO_PIVOS!$I$6:$I$41,MATCH($E972,CADASTRO_PIVOS!$B$6:$B$41,0)),0)</f>
        <v>714</v>
      </c>
      <c r="AB972" s="18" t="n">
        <f aca="false">IF($Z972&lt;=0,0,$Z972/$AA972)</f>
        <v>28.185076402975</v>
      </c>
      <c r="AC972" s="16" t="n">
        <f aca="false">IFERROR(INDEX(SEMANAS!$K$6:$K$71,MATCH($B972,SEMANAS!$B$6:$B$71,0)),0)</f>
        <v>147</v>
      </c>
      <c r="AD972" s="19" t="n">
        <f aca="false">IF($AC972&lt;=0,0,$AB972/$AC972)</f>
        <v>0.19173521362568</v>
      </c>
      <c r="AE972" s="8" t="str">
        <f aca="false">IF($K972="SEM CULTURA","SEM CULTURA",IF($AA972&lt;=0,"DADO PENDENTE",IF($AD972&gt;LIMITE_CRITICO,"INVIAVEL",IF($AD972&gt;LIMITE_ATENCAO,"CRITICO",IF($AD972&gt;LIMITE_CONFORTAVEL,"ATENCAO","OK")))))</f>
        <v>OK</v>
      </c>
      <c r="AF972" s="8" t="str">
        <f aca="false">$B972&amp;"|"&amp;TEXT($AD972,"0.000000")</f>
        <v>43|0.191735</v>
      </c>
      <c r="AG972" s="18" t="n">
        <f aca="false">IF($K972="SEM CULTURA",0,$T972*$H972)</f>
        <v>1805.71420689655</v>
      </c>
      <c r="AH972" s="18" t="n">
        <f aca="false">IF($K972="SEM CULTURA",0,$V972*$H972)</f>
        <v>95.16192</v>
      </c>
      <c r="AI972" s="18" t="n">
        <f aca="false">IF($K972="SEM CULTURA",0,$W972*$H972)</f>
        <v>1710.55228689655</v>
      </c>
      <c r="AJ972" s="18" t="n">
        <f aca="false">IF($K972="SEM CULTURA",0,$S972*$H972)</f>
        <v>2798.88</v>
      </c>
      <c r="AK972" s="8" t="str">
        <f aca="false">$E972&amp;"|"&amp;TEXT($AD972,"0.000000")</f>
        <v>PV 131|0.191735</v>
      </c>
    </row>
    <row r="973" customFormat="false" ht="15" hidden="false" customHeight="false" outlineLevel="0" collapsed="false">
      <c r="B973" s="16" t="n">
        <v>44</v>
      </c>
      <c r="C973" s="17" t="n">
        <f aca="false">DATA_INICIO_SAFRA+($B973-1)*DIAS_POR_SEMANA</f>
        <v>46566</v>
      </c>
      <c r="D973" s="17" t="n">
        <f aca="false">$C973+DIAS_POR_SEMANA-1</f>
        <v>46572</v>
      </c>
      <c r="E973" s="15" t="s">
        <v>273</v>
      </c>
      <c r="F973" s="8" t="str">
        <f aca="false">IFERROR(INDEX(CADASTRO_PIVOS!$C$6:$C$41,MATCH($E973,CADASTRO_PIVOS!$B$6:$B$41,0)),"?")</f>
        <v>RM05</v>
      </c>
      <c r="G973" s="8" t="str">
        <f aca="false">IFERROR(INDEX(CADASTRO_PIVOS!$D$6:$D$41,MATCH($E973,CADASTRO_PIVOS!$B$6:$B$41,0)),"?")</f>
        <v>TR05</v>
      </c>
      <c r="H973" s="20" t="n">
        <f aca="false">IFERROR(INDEX(CADASTRO_PIVOS!$E$6:$E$41,MATCH($E973,CADASTRO_PIVOS!$B$6:$B$41,0)),0)</f>
        <v>99.96</v>
      </c>
      <c r="I973" s="16" t="n">
        <f aca="false">IFERROR(SUMIFS(ROTACAO_RDM!$B$6:$B$71,ROTACAO_RDM!$D$6:$D$71,$E973,ROTACAO_RDM!$I$6:$I$71,"&lt;="&amp;$C973+INT(DIAS_POR_SEMANA/2),ROTACAO_RDM!$J$6:$J$71,"&gt;="&amp;$C973+INT(DIAS_POR_SEMANA/2)),0)</f>
        <v>0</v>
      </c>
      <c r="J973" s="16" t="n">
        <f aca="false">IFERROR(MATCH($I973,ROTACAO_RDM!$B$6:$B$71,0),0)</f>
        <v>0</v>
      </c>
      <c r="K973" s="8" t="str">
        <f aca="false">IF($J973=0,"SEM CULTURA",INDEX(ROTACAO_RDM!$F$6:$F$71,$J973))</f>
        <v>SEM CULTURA</v>
      </c>
      <c r="L973" s="8" t="str">
        <f aca="false">IF($J973=0,"",INDEX(ROTACAO_RDM!$G$6:$G$71,$J973))</f>
        <v/>
      </c>
      <c r="M973" s="17" t="str">
        <f aca="false">IF($J973=0,"",INDEX(ROTACAO_RDM!$I$6:$I$71,$J973))</f>
        <v/>
      </c>
      <c r="N973" s="16" t="n">
        <f aca="false">IF($J973=0,0,MAX(0,$C973+INT(DIAS_POR_SEMANA/2)-INDEX(ROTACAO_RDM!$I$6:$I$71,$J973)))</f>
        <v>0</v>
      </c>
      <c r="O973" s="19" t="n">
        <f aca="false">IF($J973=0,0,MIN(1,$N973/MAX(1,INDEX(ROTACAO_RDM!$K$6:$K$71,$J973))))</f>
        <v>0</v>
      </c>
      <c r="P973" s="16" t="n">
        <f aca="false">IF($J973=0,0,IFERROR(MATCH(INDEX(ROTACAO_RDM!$N$6:$N$71,$J973),PARAMETROS_CULTURAS!$B$6:$B$28,0),0))</f>
        <v>0</v>
      </c>
      <c r="Q973" s="8" t="str">
        <f aca="false">IF($P973=0,"-",IF($O973&lt;=INDEX(PARAMETROS_CULTURAS!$F$6:$F$28,$P973),"INICIAL",IF($O973&lt;=INDEX(PARAMETROS_CULTURAS!$F$6:$F$28,$P973)+INDEX(PARAMETROS_CULTURAS!$G$6:$G$28,$P973),"DESENVOLVIMENTO",IF($O973&lt;=INDEX(PARAMETROS_CULTURAS!$F$6:$F$28,$P973)+INDEX(PARAMETROS_CULTURAS!$G$6:$G$28,$P973)+INDEX(PARAMETROS_CULTURAS!$H$6:$H$28,$P973),"MEDIA","FINAL"))))</f>
        <v>-</v>
      </c>
      <c r="R973" s="24" t="n">
        <f aca="false">IF($P973=0,0,IF($O973&lt;=INDEX(PARAMETROS_CULTURAS!$F$6:$F$28,$P973),INDEX(PARAMETROS_CULTURAS!$K$6:$K$28,$P973),IF($O973&lt;=INDEX(PARAMETROS_CULTURAS!$F$6:$F$28,$P973)+INDEX(PARAMETROS_CULTURAS!$G$6:$G$28,$P973),INDEX(PARAMETROS_CULTURAS!$K$6:$K$28,$P973)+(INDEX(PARAMETROS_CULTURAS!$L$6:$L$28,$P973)-INDEX(PARAMETROS_CULTURAS!$K$6:$K$28,$P973))*($O973-INDEX(PARAMETROS_CULTURAS!$F$6:$F$28,$P973))/MAX(INDEX(PARAMETROS_CULTURAS!$G$6:$G$28,$P973),0.0001),IF($O973&lt;=INDEX(PARAMETROS_CULTURAS!$F$6:$F$28,$P973)+INDEX(PARAMETROS_CULTURAS!$G$6:$G$28,$P973)+INDEX(PARAMETROS_CULTURAS!$H$6:$H$28,$P973),INDEX(PARAMETROS_CULTURAS!$L$6:$L$28,$P973),INDEX(PARAMETROS_CULTURAS!$L$6:$L$28,$P973)+(INDEX(PARAMETROS_CULTURAS!$M$6:$M$28,$P973)-INDEX(PARAMETROS_CULTURAS!$L$6:$L$28,$P973))*($O973-INDEX(PARAMETROS_CULTURAS!$F$6:$F$28,$P973)-INDEX(PARAMETROS_CULTURAS!$G$6:$G$28,$P973)-INDEX(PARAMETROS_CULTURAS!$H$6:$H$28,$P973))/MAX(INDEX(PARAMETROS_CULTURAS!$I$6:$I$28,$P973),0.0001)))))</f>
        <v>0</v>
      </c>
      <c r="S973" s="18" t="n">
        <f aca="false">IFERROR(INDEX(SEMANAS!$H$6:$H$71,MATCH($B973,SEMANAS!$B$6:$B$71,0)),0)</f>
        <v>29.2</v>
      </c>
      <c r="T973" s="18" t="n">
        <f aca="false">$R973*$S973</f>
        <v>0</v>
      </c>
      <c r="U973" s="18" t="n">
        <f aca="false">IFERROR(INDEX(SEMANAS!$I$6:$I$71,MATCH($B973,SEMANAS!$B$6:$B$71,0)),0)</f>
        <v>0.91</v>
      </c>
      <c r="V973" s="18" t="n">
        <f aca="false">IFERROR(INDEX(SEMANAS!$J$6:$J$71,MATCH($B973,SEMANAS!$B$6:$B$71,0)),0)</f>
        <v>0.728</v>
      </c>
      <c r="W973" s="18" t="n">
        <f aca="false">MAX(0,$T973-$V973)</f>
        <v>0</v>
      </c>
      <c r="X973" s="19" t="n">
        <f aca="false">IFERROR(INDEX(CADASTRO_PIVOS!$K$6:$K$41,MATCH($E973,CADASTRO_PIVOS!$B$6:$B$41,0)),EFICIENCIA_PADRAO)</f>
        <v>0.85</v>
      </c>
      <c r="Y973" s="18" t="n">
        <f aca="false">IF($X973&lt;=0,0,$W973/$X973)</f>
        <v>0</v>
      </c>
      <c r="Z973" s="16" t="n">
        <f aca="false">$Y973*$H973*MM_PARA_M3_HA</f>
        <v>0</v>
      </c>
      <c r="AA973" s="18" t="n">
        <f aca="false">IFERROR(INDEX(CADASTRO_PIVOS!$I$6:$I$41,MATCH($E973,CADASTRO_PIVOS!$B$6:$B$41,0)),0)</f>
        <v>714</v>
      </c>
      <c r="AB973" s="18" t="n">
        <f aca="false">IF($Z973&lt;=0,0,$Z973/$AA973)</f>
        <v>0</v>
      </c>
      <c r="AC973" s="16" t="n">
        <f aca="false">IFERROR(INDEX(SEMANAS!$K$6:$K$71,MATCH($B973,SEMANAS!$B$6:$B$71,0)),0)</f>
        <v>147</v>
      </c>
      <c r="AD973" s="19" t="n">
        <f aca="false">IF($AC973&lt;=0,0,$AB973/$AC973)</f>
        <v>0</v>
      </c>
      <c r="AE973" s="8" t="str">
        <f aca="false">IF($K973="SEM CULTURA","SEM CULTURA",IF($AA973&lt;=0,"DADO PENDENTE",IF($AD973&gt;LIMITE_CRITICO,"INVIAVEL",IF($AD973&gt;LIMITE_ATENCAO,"CRITICO",IF($AD973&gt;LIMITE_CONFORTAVEL,"ATENCAO","OK")))))</f>
        <v>SEM CULTURA</v>
      </c>
      <c r="AF973" s="8" t="str">
        <f aca="false">$B973&amp;"|"&amp;TEXT($AD973,"0.000000")</f>
        <v>44|0.000000</v>
      </c>
      <c r="AG973" s="18" t="n">
        <f aca="false">IF($K973="SEM CULTURA",0,$T973*$H973)</f>
        <v>0</v>
      </c>
      <c r="AH973" s="18" t="n">
        <f aca="false">IF($K973="SEM CULTURA",0,$V973*$H973)</f>
        <v>0</v>
      </c>
      <c r="AI973" s="18" t="n">
        <f aca="false">IF($K973="SEM CULTURA",0,$W973*$H973)</f>
        <v>0</v>
      </c>
      <c r="AJ973" s="18" t="n">
        <f aca="false">IF($K973="SEM CULTURA",0,$S973*$H973)</f>
        <v>0</v>
      </c>
      <c r="AK973" s="8" t="str">
        <f aca="false">$E973&amp;"|"&amp;TEXT($AD973,"0.000000")</f>
        <v>PV 131|0.000000</v>
      </c>
    </row>
    <row r="974" customFormat="false" ht="15" hidden="false" customHeight="false" outlineLevel="0" collapsed="false">
      <c r="B974" s="16" t="n">
        <v>45</v>
      </c>
      <c r="C974" s="17" t="n">
        <f aca="false">DATA_INICIO_SAFRA+($B974-1)*DIAS_POR_SEMANA</f>
        <v>46573</v>
      </c>
      <c r="D974" s="17" t="n">
        <f aca="false">$C974+DIAS_POR_SEMANA-1</f>
        <v>46579</v>
      </c>
      <c r="E974" s="15" t="s">
        <v>273</v>
      </c>
      <c r="F974" s="8" t="str">
        <f aca="false">IFERROR(INDEX(CADASTRO_PIVOS!$C$6:$C$41,MATCH($E974,CADASTRO_PIVOS!$B$6:$B$41,0)),"?")</f>
        <v>RM05</v>
      </c>
      <c r="G974" s="8" t="str">
        <f aca="false">IFERROR(INDEX(CADASTRO_PIVOS!$D$6:$D$41,MATCH($E974,CADASTRO_PIVOS!$B$6:$B$41,0)),"?")</f>
        <v>TR05</v>
      </c>
      <c r="H974" s="20" t="n">
        <f aca="false">IFERROR(INDEX(CADASTRO_PIVOS!$E$6:$E$41,MATCH($E974,CADASTRO_PIVOS!$B$6:$B$41,0)),0)</f>
        <v>99.96</v>
      </c>
      <c r="I974" s="16" t="n">
        <f aca="false">IFERROR(SUMIFS(ROTACAO_RDM!$B$6:$B$71,ROTACAO_RDM!$D$6:$D$71,$E974,ROTACAO_RDM!$I$6:$I$71,"&lt;="&amp;$C974+INT(DIAS_POR_SEMANA/2),ROTACAO_RDM!$J$6:$J$71,"&gt;="&amp;$C974+INT(DIAS_POR_SEMANA/2)),0)</f>
        <v>61</v>
      </c>
      <c r="J974" s="16" t="n">
        <f aca="false">IFERROR(MATCH($I974,ROTACAO_RDM!$B$6:$B$71,0),0)</f>
        <v>61</v>
      </c>
      <c r="K974" s="8" t="str">
        <f aca="false">IF($J974=0,"SEM CULTURA",INDEX(ROTACAO_RDM!$F$6:$F$71,$J974))</f>
        <v>MILHO_SEMENTE</v>
      </c>
      <c r="L974" s="8" t="n">
        <f aca="false">IF($J974=0,"",INDEX(ROTACAO_RDM!$G$6:$G$71,$J974))</f>
        <v>0</v>
      </c>
      <c r="M974" s="17" t="n">
        <f aca="false">IF($J974=0,"",INDEX(ROTACAO_RDM!$I$6:$I$71,$J974))</f>
        <v>46570</v>
      </c>
      <c r="N974" s="16" t="n">
        <f aca="false">IF($J974=0,0,MAX(0,$C974+INT(DIAS_POR_SEMANA/2)-INDEX(ROTACAO_RDM!$I$6:$I$71,$J974)))</f>
        <v>6</v>
      </c>
      <c r="O974" s="19" t="n">
        <f aca="false">IF($J974=0,0,MIN(1,$N974/MAX(1,INDEX(ROTACAO_RDM!$K$6:$K$71,$J974))))</f>
        <v>0.0413793103448276</v>
      </c>
      <c r="P974" s="16" t="n">
        <f aca="false">IF($J974=0,0,IFERROR(MATCH(INDEX(ROTACAO_RDM!$N$6:$N$71,$J974),PARAMETROS_CULTURAS!$B$6:$B$28,0),0))</f>
        <v>7</v>
      </c>
      <c r="Q974" s="8" t="str">
        <f aca="false">IF($P974=0,"-",IF($O974&lt;=INDEX(PARAMETROS_CULTURAS!$F$6:$F$28,$P974),"INICIAL",IF($O974&lt;=INDEX(PARAMETROS_CULTURAS!$F$6:$F$28,$P974)+INDEX(PARAMETROS_CULTURAS!$G$6:$G$28,$P974),"DESENVOLVIMENTO",IF($O974&lt;=INDEX(PARAMETROS_CULTURAS!$F$6:$F$28,$P974)+INDEX(PARAMETROS_CULTURAS!$G$6:$G$28,$P974)+INDEX(PARAMETROS_CULTURAS!$H$6:$H$28,$P974),"MEDIA","FINAL"))))</f>
        <v>INICIAL</v>
      </c>
      <c r="R974" s="24" t="n">
        <f aca="false">IF($P974=0,0,IF($O974&lt;=INDEX(PARAMETROS_CULTURAS!$F$6:$F$28,$P974),INDEX(PARAMETROS_CULTURAS!$K$6:$K$28,$P974),IF($O974&lt;=INDEX(PARAMETROS_CULTURAS!$F$6:$F$28,$P974)+INDEX(PARAMETROS_CULTURAS!$G$6:$G$28,$P974),INDEX(PARAMETROS_CULTURAS!$K$6:$K$28,$P974)+(INDEX(PARAMETROS_CULTURAS!$L$6:$L$28,$P974)-INDEX(PARAMETROS_CULTURAS!$K$6:$K$28,$P974))*($O974-INDEX(PARAMETROS_CULTURAS!$F$6:$F$28,$P974))/MAX(INDEX(PARAMETROS_CULTURAS!$G$6:$G$28,$P974),0.0001),IF($O974&lt;=INDEX(PARAMETROS_CULTURAS!$F$6:$F$28,$P974)+INDEX(PARAMETROS_CULTURAS!$G$6:$G$28,$P974)+INDEX(PARAMETROS_CULTURAS!$H$6:$H$28,$P974),INDEX(PARAMETROS_CULTURAS!$L$6:$L$28,$P974),INDEX(PARAMETROS_CULTURAS!$L$6:$L$28,$P974)+(INDEX(PARAMETROS_CULTURAS!$M$6:$M$28,$P974)-INDEX(PARAMETROS_CULTURAS!$L$6:$L$28,$P974))*($O974-INDEX(PARAMETROS_CULTURAS!$F$6:$F$28,$P974)-INDEX(PARAMETROS_CULTURAS!$G$6:$G$28,$P974)-INDEX(PARAMETROS_CULTURAS!$H$6:$H$28,$P974))/MAX(INDEX(PARAMETROS_CULTURAS!$I$6:$I$28,$P974),0.0001)))))</f>
        <v>0.3</v>
      </c>
      <c r="S974" s="18" t="n">
        <f aca="false">IFERROR(INDEX(SEMANAS!$H$6:$H$71,MATCH($B974,SEMANAS!$B$6:$B$71,0)),0)</f>
        <v>30.1</v>
      </c>
      <c r="T974" s="18" t="n">
        <f aca="false">$R974*$S974</f>
        <v>9.03</v>
      </c>
      <c r="U974" s="18" t="n">
        <f aca="false">IFERROR(INDEX(SEMANAS!$I$6:$I$71,MATCH($B974,SEMANAS!$B$6:$B$71,0)),0)</f>
        <v>0.7</v>
      </c>
      <c r="V974" s="18" t="n">
        <f aca="false">IFERROR(INDEX(SEMANAS!$J$6:$J$71,MATCH($B974,SEMANAS!$B$6:$B$71,0)),0)</f>
        <v>0.56</v>
      </c>
      <c r="W974" s="18" t="n">
        <f aca="false">MAX(0,$T974-$V974)</f>
        <v>8.47</v>
      </c>
      <c r="X974" s="19" t="n">
        <f aca="false">IFERROR(INDEX(CADASTRO_PIVOS!$K$6:$K$41,MATCH($E974,CADASTRO_PIVOS!$B$6:$B$41,0)),EFICIENCIA_PADRAO)</f>
        <v>0.85</v>
      </c>
      <c r="Y974" s="18" t="n">
        <f aca="false">IF($X974&lt;=0,0,$W974/$X974)</f>
        <v>9.96470588235294</v>
      </c>
      <c r="Z974" s="16" t="n">
        <f aca="false">$Y974*$H974*MM_PARA_M3_HA</f>
        <v>9960.72</v>
      </c>
      <c r="AA974" s="18" t="n">
        <f aca="false">IFERROR(INDEX(CADASTRO_PIVOS!$I$6:$I$41,MATCH($E974,CADASTRO_PIVOS!$B$6:$B$41,0)),0)</f>
        <v>714</v>
      </c>
      <c r="AB974" s="18" t="n">
        <f aca="false">IF($Z974&lt;=0,0,$Z974/$AA974)</f>
        <v>13.9505882352941</v>
      </c>
      <c r="AC974" s="16" t="n">
        <f aca="false">IFERROR(INDEX(SEMANAS!$K$6:$K$71,MATCH($B974,SEMANAS!$B$6:$B$71,0)),0)</f>
        <v>147</v>
      </c>
      <c r="AD974" s="19" t="n">
        <f aca="false">IF($AC974&lt;=0,0,$AB974/$AC974)</f>
        <v>0.0949019607843137</v>
      </c>
      <c r="AE974" s="8" t="str">
        <f aca="false">IF($K974="SEM CULTURA","SEM CULTURA",IF($AA974&lt;=0,"DADO PENDENTE",IF($AD974&gt;LIMITE_CRITICO,"INVIAVEL",IF($AD974&gt;LIMITE_ATENCAO,"CRITICO",IF($AD974&gt;LIMITE_CONFORTAVEL,"ATENCAO","OK")))))</f>
        <v>OK</v>
      </c>
      <c r="AF974" s="8" t="str">
        <f aca="false">$B974&amp;"|"&amp;TEXT($AD974,"0.000000")</f>
        <v>45|0.094902</v>
      </c>
      <c r="AG974" s="18" t="n">
        <f aca="false">IF($K974="SEM CULTURA",0,$T974*$H974)</f>
        <v>902.6388</v>
      </c>
      <c r="AH974" s="18" t="n">
        <f aca="false">IF($K974="SEM CULTURA",0,$V974*$H974)</f>
        <v>55.9776</v>
      </c>
      <c r="AI974" s="18" t="n">
        <f aca="false">IF($K974="SEM CULTURA",0,$W974*$H974)</f>
        <v>846.6612</v>
      </c>
      <c r="AJ974" s="18" t="n">
        <f aca="false">IF($K974="SEM CULTURA",0,$S974*$H974)</f>
        <v>3008.796</v>
      </c>
      <c r="AK974" s="8" t="str">
        <f aca="false">$E974&amp;"|"&amp;TEXT($AD974,"0.000000")</f>
        <v>PV 131|0.094902</v>
      </c>
    </row>
    <row r="975" customFormat="false" ht="15" hidden="false" customHeight="false" outlineLevel="0" collapsed="false">
      <c r="B975" s="16" t="n">
        <v>46</v>
      </c>
      <c r="C975" s="17" t="n">
        <f aca="false">DATA_INICIO_SAFRA+($B975-1)*DIAS_POR_SEMANA</f>
        <v>46580</v>
      </c>
      <c r="D975" s="17" t="n">
        <f aca="false">$C975+DIAS_POR_SEMANA-1</f>
        <v>46586</v>
      </c>
      <c r="E975" s="15" t="s">
        <v>273</v>
      </c>
      <c r="F975" s="8" t="str">
        <f aca="false">IFERROR(INDEX(CADASTRO_PIVOS!$C$6:$C$41,MATCH($E975,CADASTRO_PIVOS!$B$6:$B$41,0)),"?")</f>
        <v>RM05</v>
      </c>
      <c r="G975" s="8" t="str">
        <f aca="false">IFERROR(INDEX(CADASTRO_PIVOS!$D$6:$D$41,MATCH($E975,CADASTRO_PIVOS!$B$6:$B$41,0)),"?")</f>
        <v>TR05</v>
      </c>
      <c r="H975" s="20" t="n">
        <f aca="false">IFERROR(INDEX(CADASTRO_PIVOS!$E$6:$E$41,MATCH($E975,CADASTRO_PIVOS!$B$6:$B$41,0)),0)</f>
        <v>99.96</v>
      </c>
      <c r="I975" s="16" t="n">
        <f aca="false">IFERROR(SUMIFS(ROTACAO_RDM!$B$6:$B$71,ROTACAO_RDM!$D$6:$D$71,$E975,ROTACAO_RDM!$I$6:$I$71,"&lt;="&amp;$C975+INT(DIAS_POR_SEMANA/2),ROTACAO_RDM!$J$6:$J$71,"&gt;="&amp;$C975+INT(DIAS_POR_SEMANA/2)),0)</f>
        <v>61</v>
      </c>
      <c r="J975" s="16" t="n">
        <f aca="false">IFERROR(MATCH($I975,ROTACAO_RDM!$B$6:$B$71,0),0)</f>
        <v>61</v>
      </c>
      <c r="K975" s="8" t="str">
        <f aca="false">IF($J975=0,"SEM CULTURA",INDEX(ROTACAO_RDM!$F$6:$F$71,$J975))</f>
        <v>MILHO_SEMENTE</v>
      </c>
      <c r="L975" s="8" t="n">
        <f aca="false">IF($J975=0,"",INDEX(ROTACAO_RDM!$G$6:$G$71,$J975))</f>
        <v>0</v>
      </c>
      <c r="M975" s="17" t="n">
        <f aca="false">IF($J975=0,"",INDEX(ROTACAO_RDM!$I$6:$I$71,$J975))</f>
        <v>46570</v>
      </c>
      <c r="N975" s="16" t="n">
        <f aca="false">IF($J975=0,0,MAX(0,$C975+INT(DIAS_POR_SEMANA/2)-INDEX(ROTACAO_RDM!$I$6:$I$71,$J975)))</f>
        <v>13</v>
      </c>
      <c r="O975" s="19" t="n">
        <f aca="false">IF($J975=0,0,MIN(1,$N975/MAX(1,INDEX(ROTACAO_RDM!$K$6:$K$71,$J975))))</f>
        <v>0.0896551724137931</v>
      </c>
      <c r="P975" s="16" t="n">
        <f aca="false">IF($J975=0,0,IFERROR(MATCH(INDEX(ROTACAO_RDM!$N$6:$N$71,$J975),PARAMETROS_CULTURAS!$B$6:$B$28,0),0))</f>
        <v>7</v>
      </c>
      <c r="Q975" s="8" t="str">
        <f aca="false">IF($P975=0,"-",IF($O975&lt;=INDEX(PARAMETROS_CULTURAS!$F$6:$F$28,$P975),"INICIAL",IF($O975&lt;=INDEX(PARAMETROS_CULTURAS!$F$6:$F$28,$P975)+INDEX(PARAMETROS_CULTURAS!$G$6:$G$28,$P975),"DESENVOLVIMENTO",IF($O975&lt;=INDEX(PARAMETROS_CULTURAS!$F$6:$F$28,$P975)+INDEX(PARAMETROS_CULTURAS!$G$6:$G$28,$P975)+INDEX(PARAMETROS_CULTURAS!$H$6:$H$28,$P975),"MEDIA","FINAL"))))</f>
        <v>INICIAL</v>
      </c>
      <c r="R975" s="24" t="n">
        <f aca="false">IF($P975=0,0,IF($O975&lt;=INDEX(PARAMETROS_CULTURAS!$F$6:$F$28,$P975),INDEX(PARAMETROS_CULTURAS!$K$6:$K$28,$P975),IF($O975&lt;=INDEX(PARAMETROS_CULTURAS!$F$6:$F$28,$P975)+INDEX(PARAMETROS_CULTURAS!$G$6:$G$28,$P975),INDEX(PARAMETROS_CULTURAS!$K$6:$K$28,$P975)+(INDEX(PARAMETROS_CULTURAS!$L$6:$L$28,$P975)-INDEX(PARAMETROS_CULTURAS!$K$6:$K$28,$P975))*($O975-INDEX(PARAMETROS_CULTURAS!$F$6:$F$28,$P975))/MAX(INDEX(PARAMETROS_CULTURAS!$G$6:$G$28,$P975),0.0001),IF($O975&lt;=INDEX(PARAMETROS_CULTURAS!$F$6:$F$28,$P975)+INDEX(PARAMETROS_CULTURAS!$G$6:$G$28,$P975)+INDEX(PARAMETROS_CULTURAS!$H$6:$H$28,$P975),INDEX(PARAMETROS_CULTURAS!$L$6:$L$28,$P975),INDEX(PARAMETROS_CULTURAS!$L$6:$L$28,$P975)+(INDEX(PARAMETROS_CULTURAS!$M$6:$M$28,$P975)-INDEX(PARAMETROS_CULTURAS!$L$6:$L$28,$P975))*($O975-INDEX(PARAMETROS_CULTURAS!$F$6:$F$28,$P975)-INDEX(PARAMETROS_CULTURAS!$G$6:$G$28,$P975)-INDEX(PARAMETROS_CULTURAS!$H$6:$H$28,$P975))/MAX(INDEX(PARAMETROS_CULTURAS!$I$6:$I$28,$P975),0.0001)))))</f>
        <v>0.3</v>
      </c>
      <c r="S975" s="18" t="n">
        <f aca="false">IFERROR(INDEX(SEMANAS!$H$6:$H$71,MATCH($B975,SEMANAS!$B$6:$B$71,0)),0)</f>
        <v>30.1</v>
      </c>
      <c r="T975" s="18" t="n">
        <f aca="false">$R975*$S975</f>
        <v>9.03</v>
      </c>
      <c r="U975" s="18" t="n">
        <f aca="false">IFERROR(INDEX(SEMANAS!$I$6:$I$71,MATCH($B975,SEMANAS!$B$6:$B$71,0)),0)</f>
        <v>0.7</v>
      </c>
      <c r="V975" s="18" t="n">
        <f aca="false">IFERROR(INDEX(SEMANAS!$J$6:$J$71,MATCH($B975,SEMANAS!$B$6:$B$71,0)),0)</f>
        <v>0.56</v>
      </c>
      <c r="W975" s="18" t="n">
        <f aca="false">MAX(0,$T975-$V975)</f>
        <v>8.47</v>
      </c>
      <c r="X975" s="19" t="n">
        <f aca="false">IFERROR(INDEX(CADASTRO_PIVOS!$K$6:$K$41,MATCH($E975,CADASTRO_PIVOS!$B$6:$B$41,0)),EFICIENCIA_PADRAO)</f>
        <v>0.85</v>
      </c>
      <c r="Y975" s="18" t="n">
        <f aca="false">IF($X975&lt;=0,0,$W975/$X975)</f>
        <v>9.96470588235294</v>
      </c>
      <c r="Z975" s="16" t="n">
        <f aca="false">$Y975*$H975*MM_PARA_M3_HA</f>
        <v>9960.72</v>
      </c>
      <c r="AA975" s="18" t="n">
        <f aca="false">IFERROR(INDEX(CADASTRO_PIVOS!$I$6:$I$41,MATCH($E975,CADASTRO_PIVOS!$B$6:$B$41,0)),0)</f>
        <v>714</v>
      </c>
      <c r="AB975" s="18" t="n">
        <f aca="false">IF($Z975&lt;=0,0,$Z975/$AA975)</f>
        <v>13.9505882352941</v>
      </c>
      <c r="AC975" s="16" t="n">
        <f aca="false">IFERROR(INDEX(SEMANAS!$K$6:$K$71,MATCH($B975,SEMANAS!$B$6:$B$71,0)),0)</f>
        <v>147</v>
      </c>
      <c r="AD975" s="19" t="n">
        <f aca="false">IF($AC975&lt;=0,0,$AB975/$AC975)</f>
        <v>0.0949019607843137</v>
      </c>
      <c r="AE975" s="8" t="str">
        <f aca="false">IF($K975="SEM CULTURA","SEM CULTURA",IF($AA975&lt;=0,"DADO PENDENTE",IF($AD975&gt;LIMITE_CRITICO,"INVIAVEL",IF($AD975&gt;LIMITE_ATENCAO,"CRITICO",IF($AD975&gt;LIMITE_CONFORTAVEL,"ATENCAO","OK")))))</f>
        <v>OK</v>
      </c>
      <c r="AF975" s="8" t="str">
        <f aca="false">$B975&amp;"|"&amp;TEXT($AD975,"0.000000")</f>
        <v>46|0.094902</v>
      </c>
      <c r="AG975" s="18" t="n">
        <f aca="false">IF($K975="SEM CULTURA",0,$T975*$H975)</f>
        <v>902.6388</v>
      </c>
      <c r="AH975" s="18" t="n">
        <f aca="false">IF($K975="SEM CULTURA",0,$V975*$H975)</f>
        <v>55.9776</v>
      </c>
      <c r="AI975" s="18" t="n">
        <f aca="false">IF($K975="SEM CULTURA",0,$W975*$H975)</f>
        <v>846.6612</v>
      </c>
      <c r="AJ975" s="18" t="n">
        <f aca="false">IF($K975="SEM CULTURA",0,$S975*$H975)</f>
        <v>3008.796</v>
      </c>
      <c r="AK975" s="8" t="str">
        <f aca="false">$E975&amp;"|"&amp;TEXT($AD975,"0.000000")</f>
        <v>PV 131|0.094902</v>
      </c>
    </row>
    <row r="976" customFormat="false" ht="15" hidden="false" customHeight="false" outlineLevel="0" collapsed="false">
      <c r="B976" s="16" t="n">
        <v>47</v>
      </c>
      <c r="C976" s="17" t="n">
        <f aca="false">DATA_INICIO_SAFRA+($B976-1)*DIAS_POR_SEMANA</f>
        <v>46587</v>
      </c>
      <c r="D976" s="17" t="n">
        <f aca="false">$C976+DIAS_POR_SEMANA-1</f>
        <v>46593</v>
      </c>
      <c r="E976" s="15" t="s">
        <v>273</v>
      </c>
      <c r="F976" s="8" t="str">
        <f aca="false">IFERROR(INDEX(CADASTRO_PIVOS!$C$6:$C$41,MATCH($E976,CADASTRO_PIVOS!$B$6:$B$41,0)),"?")</f>
        <v>RM05</v>
      </c>
      <c r="G976" s="8" t="str">
        <f aca="false">IFERROR(INDEX(CADASTRO_PIVOS!$D$6:$D$41,MATCH($E976,CADASTRO_PIVOS!$B$6:$B$41,0)),"?")</f>
        <v>TR05</v>
      </c>
      <c r="H976" s="20" t="n">
        <f aca="false">IFERROR(INDEX(CADASTRO_PIVOS!$E$6:$E$41,MATCH($E976,CADASTRO_PIVOS!$B$6:$B$41,0)),0)</f>
        <v>99.96</v>
      </c>
      <c r="I976" s="16" t="n">
        <f aca="false">IFERROR(SUMIFS(ROTACAO_RDM!$B$6:$B$71,ROTACAO_RDM!$D$6:$D$71,$E976,ROTACAO_RDM!$I$6:$I$71,"&lt;="&amp;$C976+INT(DIAS_POR_SEMANA/2),ROTACAO_RDM!$J$6:$J$71,"&gt;="&amp;$C976+INT(DIAS_POR_SEMANA/2)),0)</f>
        <v>61</v>
      </c>
      <c r="J976" s="16" t="n">
        <f aca="false">IFERROR(MATCH($I976,ROTACAO_RDM!$B$6:$B$71,0),0)</f>
        <v>61</v>
      </c>
      <c r="K976" s="8" t="str">
        <f aca="false">IF($J976=0,"SEM CULTURA",INDEX(ROTACAO_RDM!$F$6:$F$71,$J976))</f>
        <v>MILHO_SEMENTE</v>
      </c>
      <c r="L976" s="8" t="n">
        <f aca="false">IF($J976=0,"",INDEX(ROTACAO_RDM!$G$6:$G$71,$J976))</f>
        <v>0</v>
      </c>
      <c r="M976" s="17" t="n">
        <f aca="false">IF($J976=0,"",INDEX(ROTACAO_RDM!$I$6:$I$71,$J976))</f>
        <v>46570</v>
      </c>
      <c r="N976" s="16" t="n">
        <f aca="false">IF($J976=0,0,MAX(0,$C976+INT(DIAS_POR_SEMANA/2)-INDEX(ROTACAO_RDM!$I$6:$I$71,$J976)))</f>
        <v>20</v>
      </c>
      <c r="O976" s="19" t="n">
        <f aca="false">IF($J976=0,0,MIN(1,$N976/MAX(1,INDEX(ROTACAO_RDM!$K$6:$K$71,$J976))))</f>
        <v>0.137931034482759</v>
      </c>
      <c r="P976" s="16" t="n">
        <f aca="false">IF($J976=0,0,IFERROR(MATCH(INDEX(ROTACAO_RDM!$N$6:$N$71,$J976),PARAMETROS_CULTURAS!$B$6:$B$28,0),0))</f>
        <v>7</v>
      </c>
      <c r="Q976" s="8" t="str">
        <f aca="false">IF($P976=0,"-",IF($O976&lt;=INDEX(PARAMETROS_CULTURAS!$F$6:$F$28,$P976),"INICIAL",IF($O976&lt;=INDEX(PARAMETROS_CULTURAS!$F$6:$F$28,$P976)+INDEX(PARAMETROS_CULTURAS!$G$6:$G$28,$P976),"DESENVOLVIMENTO",IF($O976&lt;=INDEX(PARAMETROS_CULTURAS!$F$6:$F$28,$P976)+INDEX(PARAMETROS_CULTURAS!$G$6:$G$28,$P976)+INDEX(PARAMETROS_CULTURAS!$H$6:$H$28,$P976),"MEDIA","FINAL"))))</f>
        <v>INICIAL</v>
      </c>
      <c r="R976" s="24" t="n">
        <f aca="false">IF($P976=0,0,IF($O976&lt;=INDEX(PARAMETROS_CULTURAS!$F$6:$F$28,$P976),INDEX(PARAMETROS_CULTURAS!$K$6:$K$28,$P976),IF($O976&lt;=INDEX(PARAMETROS_CULTURAS!$F$6:$F$28,$P976)+INDEX(PARAMETROS_CULTURAS!$G$6:$G$28,$P976),INDEX(PARAMETROS_CULTURAS!$K$6:$K$28,$P976)+(INDEX(PARAMETROS_CULTURAS!$L$6:$L$28,$P976)-INDEX(PARAMETROS_CULTURAS!$K$6:$K$28,$P976))*($O976-INDEX(PARAMETROS_CULTURAS!$F$6:$F$28,$P976))/MAX(INDEX(PARAMETROS_CULTURAS!$G$6:$G$28,$P976),0.0001),IF($O976&lt;=INDEX(PARAMETROS_CULTURAS!$F$6:$F$28,$P976)+INDEX(PARAMETROS_CULTURAS!$G$6:$G$28,$P976)+INDEX(PARAMETROS_CULTURAS!$H$6:$H$28,$P976),INDEX(PARAMETROS_CULTURAS!$L$6:$L$28,$P976),INDEX(PARAMETROS_CULTURAS!$L$6:$L$28,$P976)+(INDEX(PARAMETROS_CULTURAS!$M$6:$M$28,$P976)-INDEX(PARAMETROS_CULTURAS!$L$6:$L$28,$P976))*($O976-INDEX(PARAMETROS_CULTURAS!$F$6:$F$28,$P976)-INDEX(PARAMETROS_CULTURAS!$G$6:$G$28,$P976)-INDEX(PARAMETROS_CULTURAS!$H$6:$H$28,$P976))/MAX(INDEX(PARAMETROS_CULTURAS!$I$6:$I$28,$P976),0.0001)))))</f>
        <v>0.3</v>
      </c>
      <c r="S976" s="18" t="n">
        <f aca="false">IFERROR(INDEX(SEMANAS!$H$6:$H$71,MATCH($B976,SEMANAS!$B$6:$B$71,0)),0)</f>
        <v>30.1</v>
      </c>
      <c r="T976" s="18" t="n">
        <f aca="false">$R976*$S976</f>
        <v>9.03</v>
      </c>
      <c r="U976" s="18" t="n">
        <f aca="false">IFERROR(INDEX(SEMANAS!$I$6:$I$71,MATCH($B976,SEMANAS!$B$6:$B$71,0)),0)</f>
        <v>0.7</v>
      </c>
      <c r="V976" s="18" t="n">
        <f aca="false">IFERROR(INDEX(SEMANAS!$J$6:$J$71,MATCH($B976,SEMANAS!$B$6:$B$71,0)),0)</f>
        <v>0.56</v>
      </c>
      <c r="W976" s="18" t="n">
        <f aca="false">MAX(0,$T976-$V976)</f>
        <v>8.47</v>
      </c>
      <c r="X976" s="19" t="n">
        <f aca="false">IFERROR(INDEX(CADASTRO_PIVOS!$K$6:$K$41,MATCH($E976,CADASTRO_PIVOS!$B$6:$B$41,0)),EFICIENCIA_PADRAO)</f>
        <v>0.85</v>
      </c>
      <c r="Y976" s="18" t="n">
        <f aca="false">IF($X976&lt;=0,0,$W976/$X976)</f>
        <v>9.96470588235294</v>
      </c>
      <c r="Z976" s="16" t="n">
        <f aca="false">$Y976*$H976*MM_PARA_M3_HA</f>
        <v>9960.72</v>
      </c>
      <c r="AA976" s="18" t="n">
        <f aca="false">IFERROR(INDEX(CADASTRO_PIVOS!$I$6:$I$41,MATCH($E976,CADASTRO_PIVOS!$B$6:$B$41,0)),0)</f>
        <v>714</v>
      </c>
      <c r="AB976" s="18" t="n">
        <f aca="false">IF($Z976&lt;=0,0,$Z976/$AA976)</f>
        <v>13.9505882352941</v>
      </c>
      <c r="AC976" s="16" t="n">
        <f aca="false">IFERROR(INDEX(SEMANAS!$K$6:$K$71,MATCH($B976,SEMANAS!$B$6:$B$71,0)),0)</f>
        <v>147</v>
      </c>
      <c r="AD976" s="19" t="n">
        <f aca="false">IF($AC976&lt;=0,0,$AB976/$AC976)</f>
        <v>0.0949019607843137</v>
      </c>
      <c r="AE976" s="8" t="str">
        <f aca="false">IF($K976="SEM CULTURA","SEM CULTURA",IF($AA976&lt;=0,"DADO PENDENTE",IF($AD976&gt;LIMITE_CRITICO,"INVIAVEL",IF($AD976&gt;LIMITE_ATENCAO,"CRITICO",IF($AD976&gt;LIMITE_CONFORTAVEL,"ATENCAO","OK")))))</f>
        <v>OK</v>
      </c>
      <c r="AF976" s="8" t="str">
        <f aca="false">$B976&amp;"|"&amp;TEXT($AD976,"0.000000")</f>
        <v>47|0.094902</v>
      </c>
      <c r="AG976" s="18" t="n">
        <f aca="false">IF($K976="SEM CULTURA",0,$T976*$H976)</f>
        <v>902.6388</v>
      </c>
      <c r="AH976" s="18" t="n">
        <f aca="false">IF($K976="SEM CULTURA",0,$V976*$H976)</f>
        <v>55.9776</v>
      </c>
      <c r="AI976" s="18" t="n">
        <f aca="false">IF($K976="SEM CULTURA",0,$W976*$H976)</f>
        <v>846.6612</v>
      </c>
      <c r="AJ976" s="18" t="n">
        <f aca="false">IF($K976="SEM CULTURA",0,$S976*$H976)</f>
        <v>3008.796</v>
      </c>
      <c r="AK976" s="8" t="str">
        <f aca="false">$E976&amp;"|"&amp;TEXT($AD976,"0.000000")</f>
        <v>PV 131|0.094902</v>
      </c>
    </row>
    <row r="977" customFormat="false" ht="15" hidden="false" customHeight="false" outlineLevel="0" collapsed="false">
      <c r="B977" s="16" t="n">
        <v>48</v>
      </c>
      <c r="C977" s="17" t="n">
        <f aca="false">DATA_INICIO_SAFRA+($B977-1)*DIAS_POR_SEMANA</f>
        <v>46594</v>
      </c>
      <c r="D977" s="17" t="n">
        <f aca="false">$C977+DIAS_POR_SEMANA-1</f>
        <v>46600</v>
      </c>
      <c r="E977" s="15" t="s">
        <v>273</v>
      </c>
      <c r="F977" s="8" t="str">
        <f aca="false">IFERROR(INDEX(CADASTRO_PIVOS!$C$6:$C$41,MATCH($E977,CADASTRO_PIVOS!$B$6:$B$41,0)),"?")</f>
        <v>RM05</v>
      </c>
      <c r="G977" s="8" t="str">
        <f aca="false">IFERROR(INDEX(CADASTRO_PIVOS!$D$6:$D$41,MATCH($E977,CADASTRO_PIVOS!$B$6:$B$41,0)),"?")</f>
        <v>TR05</v>
      </c>
      <c r="H977" s="20" t="n">
        <f aca="false">IFERROR(INDEX(CADASTRO_PIVOS!$E$6:$E$41,MATCH($E977,CADASTRO_PIVOS!$B$6:$B$41,0)),0)</f>
        <v>99.96</v>
      </c>
      <c r="I977" s="16" t="n">
        <f aca="false">IFERROR(SUMIFS(ROTACAO_RDM!$B$6:$B$71,ROTACAO_RDM!$D$6:$D$71,$E977,ROTACAO_RDM!$I$6:$I$71,"&lt;="&amp;$C977+INT(DIAS_POR_SEMANA/2),ROTACAO_RDM!$J$6:$J$71,"&gt;="&amp;$C977+INT(DIAS_POR_SEMANA/2)),0)</f>
        <v>61</v>
      </c>
      <c r="J977" s="16" t="n">
        <f aca="false">IFERROR(MATCH($I977,ROTACAO_RDM!$B$6:$B$71,0),0)</f>
        <v>61</v>
      </c>
      <c r="K977" s="8" t="str">
        <f aca="false">IF($J977=0,"SEM CULTURA",INDEX(ROTACAO_RDM!$F$6:$F$71,$J977))</f>
        <v>MILHO_SEMENTE</v>
      </c>
      <c r="L977" s="8" t="n">
        <f aca="false">IF($J977=0,"",INDEX(ROTACAO_RDM!$G$6:$G$71,$J977))</f>
        <v>0</v>
      </c>
      <c r="M977" s="17" t="n">
        <f aca="false">IF($J977=0,"",INDEX(ROTACAO_RDM!$I$6:$I$71,$J977))</f>
        <v>46570</v>
      </c>
      <c r="N977" s="16" t="n">
        <f aca="false">IF($J977=0,0,MAX(0,$C977+INT(DIAS_POR_SEMANA/2)-INDEX(ROTACAO_RDM!$I$6:$I$71,$J977)))</f>
        <v>27</v>
      </c>
      <c r="O977" s="19" t="n">
        <f aca="false">IF($J977=0,0,MIN(1,$N977/MAX(1,INDEX(ROTACAO_RDM!$K$6:$K$71,$J977))))</f>
        <v>0.186206896551724</v>
      </c>
      <c r="P977" s="16" t="n">
        <f aca="false">IF($J977=0,0,IFERROR(MATCH(INDEX(ROTACAO_RDM!$N$6:$N$71,$J977),PARAMETROS_CULTURAS!$B$6:$B$28,0),0))</f>
        <v>7</v>
      </c>
      <c r="Q977" s="8" t="str">
        <f aca="false">IF($P977=0,"-",IF($O977&lt;=INDEX(PARAMETROS_CULTURAS!$F$6:$F$28,$P977),"INICIAL",IF($O977&lt;=INDEX(PARAMETROS_CULTURAS!$F$6:$F$28,$P977)+INDEX(PARAMETROS_CULTURAS!$G$6:$G$28,$P977),"DESENVOLVIMENTO",IF($O977&lt;=INDEX(PARAMETROS_CULTURAS!$F$6:$F$28,$P977)+INDEX(PARAMETROS_CULTURAS!$G$6:$G$28,$P977)+INDEX(PARAMETROS_CULTURAS!$H$6:$H$28,$P977),"MEDIA","FINAL"))))</f>
        <v>INICIAL</v>
      </c>
      <c r="R977" s="24" t="n">
        <f aca="false">IF($P977=0,0,IF($O977&lt;=INDEX(PARAMETROS_CULTURAS!$F$6:$F$28,$P977),INDEX(PARAMETROS_CULTURAS!$K$6:$K$28,$P977),IF($O977&lt;=INDEX(PARAMETROS_CULTURAS!$F$6:$F$28,$P977)+INDEX(PARAMETROS_CULTURAS!$G$6:$G$28,$P977),INDEX(PARAMETROS_CULTURAS!$K$6:$K$28,$P977)+(INDEX(PARAMETROS_CULTURAS!$L$6:$L$28,$P977)-INDEX(PARAMETROS_CULTURAS!$K$6:$K$28,$P977))*($O977-INDEX(PARAMETROS_CULTURAS!$F$6:$F$28,$P977))/MAX(INDEX(PARAMETROS_CULTURAS!$G$6:$G$28,$P977),0.0001),IF($O977&lt;=INDEX(PARAMETROS_CULTURAS!$F$6:$F$28,$P977)+INDEX(PARAMETROS_CULTURAS!$G$6:$G$28,$P977)+INDEX(PARAMETROS_CULTURAS!$H$6:$H$28,$P977),INDEX(PARAMETROS_CULTURAS!$L$6:$L$28,$P977),INDEX(PARAMETROS_CULTURAS!$L$6:$L$28,$P977)+(INDEX(PARAMETROS_CULTURAS!$M$6:$M$28,$P977)-INDEX(PARAMETROS_CULTURAS!$L$6:$L$28,$P977))*($O977-INDEX(PARAMETROS_CULTURAS!$F$6:$F$28,$P977)-INDEX(PARAMETROS_CULTURAS!$G$6:$G$28,$P977)-INDEX(PARAMETROS_CULTURAS!$H$6:$H$28,$P977))/MAX(INDEX(PARAMETROS_CULTURAS!$I$6:$I$28,$P977),0.0001)))))</f>
        <v>0.3</v>
      </c>
      <c r="S977" s="18" t="n">
        <f aca="false">IFERROR(INDEX(SEMANAS!$H$6:$H$71,MATCH($B977,SEMANAS!$B$6:$B$71,0)),0)</f>
        <v>31</v>
      </c>
      <c r="T977" s="18" t="n">
        <f aca="false">$R977*$S977</f>
        <v>9.3</v>
      </c>
      <c r="U977" s="18" t="n">
        <f aca="false">IFERROR(INDEX(SEMANAS!$I$6:$I$71,MATCH($B977,SEMANAS!$B$6:$B$71,0)),0)</f>
        <v>0.76</v>
      </c>
      <c r="V977" s="18" t="n">
        <f aca="false">IFERROR(INDEX(SEMANAS!$J$6:$J$71,MATCH($B977,SEMANAS!$B$6:$B$71,0)),0)</f>
        <v>0.608</v>
      </c>
      <c r="W977" s="18" t="n">
        <f aca="false">MAX(0,$T977-$V977)</f>
        <v>8.692</v>
      </c>
      <c r="X977" s="19" t="n">
        <f aca="false">IFERROR(INDEX(CADASTRO_PIVOS!$K$6:$K$41,MATCH($E977,CADASTRO_PIVOS!$B$6:$B$41,0)),EFICIENCIA_PADRAO)</f>
        <v>0.85</v>
      </c>
      <c r="Y977" s="18" t="n">
        <f aca="false">IF($X977&lt;=0,0,$W977/$X977)</f>
        <v>10.2258823529412</v>
      </c>
      <c r="Z977" s="16" t="n">
        <f aca="false">$Y977*$H977*MM_PARA_M3_HA</f>
        <v>10221.792</v>
      </c>
      <c r="AA977" s="18" t="n">
        <f aca="false">IFERROR(INDEX(CADASTRO_PIVOS!$I$6:$I$41,MATCH($E977,CADASTRO_PIVOS!$B$6:$B$41,0)),0)</f>
        <v>714</v>
      </c>
      <c r="AB977" s="18" t="n">
        <f aca="false">IF($Z977&lt;=0,0,$Z977/$AA977)</f>
        <v>14.3162352941176</v>
      </c>
      <c r="AC977" s="16" t="n">
        <f aca="false">IFERROR(INDEX(SEMANAS!$K$6:$K$71,MATCH($B977,SEMANAS!$B$6:$B$71,0)),0)</f>
        <v>147</v>
      </c>
      <c r="AD977" s="19" t="n">
        <f aca="false">IF($AC977&lt;=0,0,$AB977/$AC977)</f>
        <v>0.0973893557422969</v>
      </c>
      <c r="AE977" s="8" t="str">
        <f aca="false">IF($K977="SEM CULTURA","SEM CULTURA",IF($AA977&lt;=0,"DADO PENDENTE",IF($AD977&gt;LIMITE_CRITICO,"INVIAVEL",IF($AD977&gt;LIMITE_ATENCAO,"CRITICO",IF($AD977&gt;LIMITE_CONFORTAVEL,"ATENCAO","OK")))))</f>
        <v>OK</v>
      </c>
      <c r="AF977" s="8" t="str">
        <f aca="false">$B977&amp;"|"&amp;TEXT($AD977,"0.000000")</f>
        <v>48|0.097389</v>
      </c>
      <c r="AG977" s="18" t="n">
        <f aca="false">IF($K977="SEM CULTURA",0,$T977*$H977)</f>
        <v>929.628</v>
      </c>
      <c r="AH977" s="18" t="n">
        <f aca="false">IF($K977="SEM CULTURA",0,$V977*$H977)</f>
        <v>60.77568</v>
      </c>
      <c r="AI977" s="18" t="n">
        <f aca="false">IF($K977="SEM CULTURA",0,$W977*$H977)</f>
        <v>868.85232</v>
      </c>
      <c r="AJ977" s="18" t="n">
        <f aca="false">IF($K977="SEM CULTURA",0,$S977*$H977)</f>
        <v>3098.76</v>
      </c>
      <c r="AK977" s="8" t="str">
        <f aca="false">$E977&amp;"|"&amp;TEXT($AD977,"0.000000")</f>
        <v>PV 131|0.097389</v>
      </c>
    </row>
    <row r="978" customFormat="false" ht="15" hidden="false" customHeight="false" outlineLevel="0" collapsed="false">
      <c r="B978" s="16" t="n">
        <v>49</v>
      </c>
      <c r="C978" s="17" t="n">
        <f aca="false">DATA_INICIO_SAFRA+($B978-1)*DIAS_POR_SEMANA</f>
        <v>46601</v>
      </c>
      <c r="D978" s="17" t="n">
        <f aca="false">$C978+DIAS_POR_SEMANA-1</f>
        <v>46607</v>
      </c>
      <c r="E978" s="15" t="s">
        <v>273</v>
      </c>
      <c r="F978" s="8" t="str">
        <f aca="false">IFERROR(INDEX(CADASTRO_PIVOS!$C$6:$C$41,MATCH($E978,CADASTRO_PIVOS!$B$6:$B$41,0)),"?")</f>
        <v>RM05</v>
      </c>
      <c r="G978" s="8" t="str">
        <f aca="false">IFERROR(INDEX(CADASTRO_PIVOS!$D$6:$D$41,MATCH($E978,CADASTRO_PIVOS!$B$6:$B$41,0)),"?")</f>
        <v>TR05</v>
      </c>
      <c r="H978" s="20" t="n">
        <f aca="false">IFERROR(INDEX(CADASTRO_PIVOS!$E$6:$E$41,MATCH($E978,CADASTRO_PIVOS!$B$6:$B$41,0)),0)</f>
        <v>99.96</v>
      </c>
      <c r="I978" s="16" t="n">
        <f aca="false">IFERROR(SUMIFS(ROTACAO_RDM!$B$6:$B$71,ROTACAO_RDM!$D$6:$D$71,$E978,ROTACAO_RDM!$I$6:$I$71,"&lt;="&amp;$C978+INT(DIAS_POR_SEMANA/2),ROTACAO_RDM!$J$6:$J$71,"&gt;="&amp;$C978+INT(DIAS_POR_SEMANA/2)),0)</f>
        <v>61</v>
      </c>
      <c r="J978" s="16" t="n">
        <f aca="false">IFERROR(MATCH($I978,ROTACAO_RDM!$B$6:$B$71,0),0)</f>
        <v>61</v>
      </c>
      <c r="K978" s="8" t="str">
        <f aca="false">IF($J978=0,"SEM CULTURA",INDEX(ROTACAO_RDM!$F$6:$F$71,$J978))</f>
        <v>MILHO_SEMENTE</v>
      </c>
      <c r="L978" s="8" t="n">
        <f aca="false">IF($J978=0,"",INDEX(ROTACAO_RDM!$G$6:$G$71,$J978))</f>
        <v>0</v>
      </c>
      <c r="M978" s="17" t="n">
        <f aca="false">IF($J978=0,"",INDEX(ROTACAO_RDM!$I$6:$I$71,$J978))</f>
        <v>46570</v>
      </c>
      <c r="N978" s="16" t="n">
        <f aca="false">IF($J978=0,0,MAX(0,$C978+INT(DIAS_POR_SEMANA/2)-INDEX(ROTACAO_RDM!$I$6:$I$71,$J978)))</f>
        <v>34</v>
      </c>
      <c r="O978" s="19" t="n">
        <f aca="false">IF($J978=0,0,MIN(1,$N978/MAX(1,INDEX(ROTACAO_RDM!$K$6:$K$71,$J978))))</f>
        <v>0.23448275862069</v>
      </c>
      <c r="P978" s="16" t="n">
        <f aca="false">IF($J978=0,0,IFERROR(MATCH(INDEX(ROTACAO_RDM!$N$6:$N$71,$J978),PARAMETROS_CULTURAS!$B$6:$B$28,0),0))</f>
        <v>7</v>
      </c>
      <c r="Q978" s="8" t="str">
        <f aca="false">IF($P978=0,"-",IF($O978&lt;=INDEX(PARAMETROS_CULTURAS!$F$6:$F$28,$P978),"INICIAL",IF($O978&lt;=INDEX(PARAMETROS_CULTURAS!$F$6:$F$28,$P978)+INDEX(PARAMETROS_CULTURAS!$G$6:$G$28,$P978),"DESENVOLVIMENTO",IF($O978&lt;=INDEX(PARAMETROS_CULTURAS!$F$6:$F$28,$P978)+INDEX(PARAMETROS_CULTURAS!$G$6:$G$28,$P978)+INDEX(PARAMETROS_CULTURAS!$H$6:$H$28,$P978),"MEDIA","FINAL"))))</f>
        <v>DESENVOLVIMENTO</v>
      </c>
      <c r="R978" s="24" t="n">
        <f aca="false">IF($P978=0,0,IF($O978&lt;=INDEX(PARAMETROS_CULTURAS!$F$6:$F$28,$P978),INDEX(PARAMETROS_CULTURAS!$K$6:$K$28,$P978),IF($O978&lt;=INDEX(PARAMETROS_CULTURAS!$F$6:$F$28,$P978)+INDEX(PARAMETROS_CULTURAS!$G$6:$G$28,$P978),INDEX(PARAMETROS_CULTURAS!$K$6:$K$28,$P978)+(INDEX(PARAMETROS_CULTURAS!$L$6:$L$28,$P978)-INDEX(PARAMETROS_CULTURAS!$K$6:$K$28,$P978))*($O978-INDEX(PARAMETROS_CULTURAS!$F$6:$F$28,$P978))/MAX(INDEX(PARAMETROS_CULTURAS!$G$6:$G$28,$P978),0.0001),IF($O978&lt;=INDEX(PARAMETROS_CULTURAS!$F$6:$F$28,$P978)+INDEX(PARAMETROS_CULTURAS!$G$6:$G$28,$P978)+INDEX(PARAMETROS_CULTURAS!$H$6:$H$28,$P978),INDEX(PARAMETROS_CULTURAS!$L$6:$L$28,$P978),INDEX(PARAMETROS_CULTURAS!$L$6:$L$28,$P978)+(INDEX(PARAMETROS_CULTURAS!$M$6:$M$28,$P978)-INDEX(PARAMETROS_CULTURAS!$L$6:$L$28,$P978))*($O978-INDEX(PARAMETROS_CULTURAS!$F$6:$F$28,$P978)-INDEX(PARAMETROS_CULTURAS!$G$6:$G$28,$P978)-INDEX(PARAMETROS_CULTURAS!$H$6:$H$28,$P978))/MAX(INDEX(PARAMETROS_CULTURAS!$I$6:$I$28,$P978),0.0001)))))</f>
        <v>0.451241379310345</v>
      </c>
      <c r="S978" s="18" t="n">
        <f aca="false">IFERROR(INDEX(SEMANAS!$H$6:$H$71,MATCH($B978,SEMANAS!$B$6:$B$71,0)),0)</f>
        <v>36.4</v>
      </c>
      <c r="T978" s="18" t="n">
        <f aca="false">$R978*$S978</f>
        <v>16.4251862068966</v>
      </c>
      <c r="U978" s="18" t="n">
        <f aca="false">IFERROR(INDEX(SEMANAS!$I$6:$I$71,MATCH($B978,SEMANAS!$B$6:$B$71,0)),0)</f>
        <v>1.12</v>
      </c>
      <c r="V978" s="18" t="n">
        <f aca="false">IFERROR(INDEX(SEMANAS!$J$6:$J$71,MATCH($B978,SEMANAS!$B$6:$B$71,0)),0)</f>
        <v>0.896</v>
      </c>
      <c r="W978" s="18" t="n">
        <f aca="false">MAX(0,$T978-$V978)</f>
        <v>15.5291862068966</v>
      </c>
      <c r="X978" s="19" t="n">
        <f aca="false">IFERROR(INDEX(CADASTRO_PIVOS!$K$6:$K$41,MATCH($E978,CADASTRO_PIVOS!$B$6:$B$41,0)),EFICIENCIA_PADRAO)</f>
        <v>0.85</v>
      </c>
      <c r="Y978" s="18" t="n">
        <f aca="false">IF($X978&lt;=0,0,$W978/$X978)</f>
        <v>18.269630831643</v>
      </c>
      <c r="Z978" s="16" t="n">
        <f aca="false">$Y978*$H978*MM_PARA_M3_HA</f>
        <v>18262.3229793103</v>
      </c>
      <c r="AA978" s="18" t="n">
        <f aca="false">IFERROR(INDEX(CADASTRO_PIVOS!$I$6:$I$41,MATCH($E978,CADASTRO_PIVOS!$B$6:$B$41,0)),0)</f>
        <v>714</v>
      </c>
      <c r="AB978" s="18" t="n">
        <f aca="false">IF($Z978&lt;=0,0,$Z978/$AA978)</f>
        <v>25.5774831643002</v>
      </c>
      <c r="AC978" s="16" t="n">
        <f aca="false">IFERROR(INDEX(SEMANAS!$K$6:$K$71,MATCH($B978,SEMANAS!$B$6:$B$71,0)),0)</f>
        <v>147</v>
      </c>
      <c r="AD978" s="19" t="n">
        <f aca="false">IF($AC978&lt;=0,0,$AB978/$AC978)</f>
        <v>0.173996484110886</v>
      </c>
      <c r="AE978" s="8" t="str">
        <f aca="false">IF($K978="SEM CULTURA","SEM CULTURA",IF($AA978&lt;=0,"DADO PENDENTE",IF($AD978&gt;LIMITE_CRITICO,"INVIAVEL",IF($AD978&gt;LIMITE_ATENCAO,"CRITICO",IF($AD978&gt;LIMITE_CONFORTAVEL,"ATENCAO","OK")))))</f>
        <v>OK</v>
      </c>
      <c r="AF978" s="8" t="str">
        <f aca="false">$B978&amp;"|"&amp;TEXT($AD978,"0.000000")</f>
        <v>49|0.173996</v>
      </c>
      <c r="AG978" s="18" t="n">
        <f aca="false">IF($K978="SEM CULTURA",0,$T978*$H978)</f>
        <v>1641.86161324138</v>
      </c>
      <c r="AH978" s="18" t="n">
        <f aca="false">IF($K978="SEM CULTURA",0,$V978*$H978)</f>
        <v>89.56416</v>
      </c>
      <c r="AI978" s="18" t="n">
        <f aca="false">IF($K978="SEM CULTURA",0,$W978*$H978)</f>
        <v>1552.29745324138</v>
      </c>
      <c r="AJ978" s="18" t="n">
        <f aca="false">IF($K978="SEM CULTURA",0,$S978*$H978)</f>
        <v>3638.544</v>
      </c>
      <c r="AK978" s="8" t="str">
        <f aca="false">$E978&amp;"|"&amp;TEXT($AD978,"0.000000")</f>
        <v>PV 131|0.173996</v>
      </c>
    </row>
    <row r="979" customFormat="false" ht="15" hidden="false" customHeight="false" outlineLevel="0" collapsed="false">
      <c r="B979" s="16" t="n">
        <v>50</v>
      </c>
      <c r="C979" s="17" t="n">
        <f aca="false">DATA_INICIO_SAFRA+($B979-1)*DIAS_POR_SEMANA</f>
        <v>46608</v>
      </c>
      <c r="D979" s="17" t="n">
        <f aca="false">$C979+DIAS_POR_SEMANA-1</f>
        <v>46614</v>
      </c>
      <c r="E979" s="15" t="s">
        <v>273</v>
      </c>
      <c r="F979" s="8" t="str">
        <f aca="false">IFERROR(INDEX(CADASTRO_PIVOS!$C$6:$C$41,MATCH($E979,CADASTRO_PIVOS!$B$6:$B$41,0)),"?")</f>
        <v>RM05</v>
      </c>
      <c r="G979" s="8" t="str">
        <f aca="false">IFERROR(INDEX(CADASTRO_PIVOS!$D$6:$D$41,MATCH($E979,CADASTRO_PIVOS!$B$6:$B$41,0)),"?")</f>
        <v>TR05</v>
      </c>
      <c r="H979" s="20" t="n">
        <f aca="false">IFERROR(INDEX(CADASTRO_PIVOS!$E$6:$E$41,MATCH($E979,CADASTRO_PIVOS!$B$6:$B$41,0)),0)</f>
        <v>99.96</v>
      </c>
      <c r="I979" s="16" t="n">
        <f aca="false">IFERROR(SUMIFS(ROTACAO_RDM!$B$6:$B$71,ROTACAO_RDM!$D$6:$D$71,$E979,ROTACAO_RDM!$I$6:$I$71,"&lt;="&amp;$C979+INT(DIAS_POR_SEMANA/2),ROTACAO_RDM!$J$6:$J$71,"&gt;="&amp;$C979+INT(DIAS_POR_SEMANA/2)),0)</f>
        <v>61</v>
      </c>
      <c r="J979" s="16" t="n">
        <f aca="false">IFERROR(MATCH($I979,ROTACAO_RDM!$B$6:$B$71,0),0)</f>
        <v>61</v>
      </c>
      <c r="K979" s="8" t="str">
        <f aca="false">IF($J979=0,"SEM CULTURA",INDEX(ROTACAO_RDM!$F$6:$F$71,$J979))</f>
        <v>MILHO_SEMENTE</v>
      </c>
      <c r="L979" s="8" t="n">
        <f aca="false">IF($J979=0,"",INDEX(ROTACAO_RDM!$G$6:$G$71,$J979))</f>
        <v>0</v>
      </c>
      <c r="M979" s="17" t="n">
        <f aca="false">IF($J979=0,"",INDEX(ROTACAO_RDM!$I$6:$I$71,$J979))</f>
        <v>46570</v>
      </c>
      <c r="N979" s="16" t="n">
        <f aca="false">IF($J979=0,0,MAX(0,$C979+INT(DIAS_POR_SEMANA/2)-INDEX(ROTACAO_RDM!$I$6:$I$71,$J979)))</f>
        <v>41</v>
      </c>
      <c r="O979" s="19" t="n">
        <f aca="false">IF($J979=0,0,MIN(1,$N979/MAX(1,INDEX(ROTACAO_RDM!$K$6:$K$71,$J979))))</f>
        <v>0.282758620689655</v>
      </c>
      <c r="P979" s="16" t="n">
        <f aca="false">IF($J979=0,0,IFERROR(MATCH(INDEX(ROTACAO_RDM!$N$6:$N$71,$J979),PARAMETROS_CULTURAS!$B$6:$B$28,0),0))</f>
        <v>7</v>
      </c>
      <c r="Q979" s="8" t="str">
        <f aca="false">IF($P979=0,"-",IF($O979&lt;=INDEX(PARAMETROS_CULTURAS!$F$6:$F$28,$P979),"INICIAL",IF($O979&lt;=INDEX(PARAMETROS_CULTURAS!$F$6:$F$28,$P979)+INDEX(PARAMETROS_CULTURAS!$G$6:$G$28,$P979),"DESENVOLVIMENTO",IF($O979&lt;=INDEX(PARAMETROS_CULTURAS!$F$6:$F$28,$P979)+INDEX(PARAMETROS_CULTURAS!$G$6:$G$28,$P979)+INDEX(PARAMETROS_CULTURAS!$H$6:$H$28,$P979),"MEDIA","FINAL"))))</f>
        <v>DESENVOLVIMENTO</v>
      </c>
      <c r="R979" s="24" t="n">
        <f aca="false">IF($P979=0,0,IF($O979&lt;=INDEX(PARAMETROS_CULTURAS!$F$6:$F$28,$P979),INDEX(PARAMETROS_CULTURAS!$K$6:$K$28,$P979),IF($O979&lt;=INDEX(PARAMETROS_CULTURAS!$F$6:$F$28,$P979)+INDEX(PARAMETROS_CULTURAS!$G$6:$G$28,$P979),INDEX(PARAMETROS_CULTURAS!$K$6:$K$28,$P979)+(INDEX(PARAMETROS_CULTURAS!$L$6:$L$28,$P979)-INDEX(PARAMETROS_CULTURAS!$K$6:$K$28,$P979))*($O979-INDEX(PARAMETROS_CULTURAS!$F$6:$F$28,$P979))/MAX(INDEX(PARAMETROS_CULTURAS!$G$6:$G$28,$P979),0.0001),IF($O979&lt;=INDEX(PARAMETROS_CULTURAS!$F$6:$F$28,$P979)+INDEX(PARAMETROS_CULTURAS!$G$6:$G$28,$P979)+INDEX(PARAMETROS_CULTURAS!$H$6:$H$28,$P979),INDEX(PARAMETROS_CULTURAS!$L$6:$L$28,$P979),INDEX(PARAMETROS_CULTURAS!$L$6:$L$28,$P979)+(INDEX(PARAMETROS_CULTURAS!$M$6:$M$28,$P979)-INDEX(PARAMETROS_CULTURAS!$L$6:$L$28,$P979))*($O979-INDEX(PARAMETROS_CULTURAS!$F$6:$F$28,$P979)-INDEX(PARAMETROS_CULTURAS!$G$6:$G$28,$P979)-INDEX(PARAMETROS_CULTURAS!$H$6:$H$28,$P979))/MAX(INDEX(PARAMETROS_CULTURAS!$I$6:$I$28,$P979),0.0001)))))</f>
        <v>0.615379310344828</v>
      </c>
      <c r="S979" s="18" t="n">
        <f aca="false">IFERROR(INDEX(SEMANAS!$H$6:$H$71,MATCH($B979,SEMANAS!$B$6:$B$71,0)),0)</f>
        <v>36.4</v>
      </c>
      <c r="T979" s="18" t="n">
        <f aca="false">$R979*$S979</f>
        <v>22.3998068965517</v>
      </c>
      <c r="U979" s="18" t="n">
        <f aca="false">IFERROR(INDEX(SEMANAS!$I$6:$I$71,MATCH($B979,SEMANAS!$B$6:$B$71,0)),0)</f>
        <v>1.12</v>
      </c>
      <c r="V979" s="18" t="n">
        <f aca="false">IFERROR(INDEX(SEMANAS!$J$6:$J$71,MATCH($B979,SEMANAS!$B$6:$B$71,0)),0)</f>
        <v>0.896</v>
      </c>
      <c r="W979" s="18" t="n">
        <f aca="false">MAX(0,$T979-$V979)</f>
        <v>21.5038068965517</v>
      </c>
      <c r="X979" s="19" t="n">
        <f aca="false">IFERROR(INDEX(CADASTRO_PIVOS!$K$6:$K$41,MATCH($E979,CADASTRO_PIVOS!$B$6:$B$41,0)),EFICIENCIA_PADRAO)</f>
        <v>0.85</v>
      </c>
      <c r="Y979" s="18" t="n">
        <f aca="false">IF($X979&lt;=0,0,$W979/$X979)</f>
        <v>25.2985963488844</v>
      </c>
      <c r="Z979" s="16" t="n">
        <f aca="false">$Y979*$H979*MM_PARA_M3_HA</f>
        <v>25288.4769103448</v>
      </c>
      <c r="AA979" s="18" t="n">
        <f aca="false">IFERROR(INDEX(CADASTRO_PIVOS!$I$6:$I$41,MATCH($E979,CADASTRO_PIVOS!$B$6:$B$41,0)),0)</f>
        <v>714</v>
      </c>
      <c r="AB979" s="18" t="n">
        <f aca="false">IF($Z979&lt;=0,0,$Z979/$AA979)</f>
        <v>35.4180348884381</v>
      </c>
      <c r="AC979" s="16" t="n">
        <f aca="false">IFERROR(INDEX(SEMANAS!$K$6:$K$71,MATCH($B979,SEMANAS!$B$6:$B$71,0)),0)</f>
        <v>147</v>
      </c>
      <c r="AD979" s="19" t="n">
        <f aca="false">IF($AC979&lt;=0,0,$AB979/$AC979)</f>
        <v>0.240939012846518</v>
      </c>
      <c r="AE979" s="8" t="str">
        <f aca="false">IF($K979="SEM CULTURA","SEM CULTURA",IF($AA979&lt;=0,"DADO PENDENTE",IF($AD979&gt;LIMITE_CRITICO,"INVIAVEL",IF($AD979&gt;LIMITE_ATENCAO,"CRITICO",IF($AD979&gt;LIMITE_CONFORTAVEL,"ATENCAO","OK")))))</f>
        <v>OK</v>
      </c>
      <c r="AF979" s="8" t="str">
        <f aca="false">$B979&amp;"|"&amp;TEXT($AD979,"0.000000")</f>
        <v>50|0.240939</v>
      </c>
      <c r="AG979" s="18" t="n">
        <f aca="false">IF($K979="SEM CULTURA",0,$T979*$H979)</f>
        <v>2239.08469737931</v>
      </c>
      <c r="AH979" s="18" t="n">
        <f aca="false">IF($K979="SEM CULTURA",0,$V979*$H979)</f>
        <v>89.56416</v>
      </c>
      <c r="AI979" s="18" t="n">
        <f aca="false">IF($K979="SEM CULTURA",0,$W979*$H979)</f>
        <v>2149.52053737931</v>
      </c>
      <c r="AJ979" s="18" t="n">
        <f aca="false">IF($K979="SEM CULTURA",0,$S979*$H979)</f>
        <v>3638.544</v>
      </c>
      <c r="AK979" s="8" t="str">
        <f aca="false">$E979&amp;"|"&amp;TEXT($AD979,"0.000000")</f>
        <v>PV 131|0.240939</v>
      </c>
    </row>
    <row r="980" customFormat="false" ht="15" hidden="false" customHeight="false" outlineLevel="0" collapsed="false">
      <c r="B980" s="16" t="n">
        <v>51</v>
      </c>
      <c r="C980" s="17" t="n">
        <f aca="false">DATA_INICIO_SAFRA+($B980-1)*DIAS_POR_SEMANA</f>
        <v>46615</v>
      </c>
      <c r="D980" s="17" t="n">
        <f aca="false">$C980+DIAS_POR_SEMANA-1</f>
        <v>46621</v>
      </c>
      <c r="E980" s="15" t="s">
        <v>273</v>
      </c>
      <c r="F980" s="8" t="str">
        <f aca="false">IFERROR(INDEX(CADASTRO_PIVOS!$C$6:$C$41,MATCH($E980,CADASTRO_PIVOS!$B$6:$B$41,0)),"?")</f>
        <v>RM05</v>
      </c>
      <c r="G980" s="8" t="str">
        <f aca="false">IFERROR(INDEX(CADASTRO_PIVOS!$D$6:$D$41,MATCH($E980,CADASTRO_PIVOS!$B$6:$B$41,0)),"?")</f>
        <v>TR05</v>
      </c>
      <c r="H980" s="20" t="n">
        <f aca="false">IFERROR(INDEX(CADASTRO_PIVOS!$E$6:$E$41,MATCH($E980,CADASTRO_PIVOS!$B$6:$B$41,0)),0)</f>
        <v>99.96</v>
      </c>
      <c r="I980" s="16" t="n">
        <f aca="false">IFERROR(SUMIFS(ROTACAO_RDM!$B$6:$B$71,ROTACAO_RDM!$D$6:$D$71,$E980,ROTACAO_RDM!$I$6:$I$71,"&lt;="&amp;$C980+INT(DIAS_POR_SEMANA/2),ROTACAO_RDM!$J$6:$J$71,"&gt;="&amp;$C980+INT(DIAS_POR_SEMANA/2)),0)</f>
        <v>61</v>
      </c>
      <c r="J980" s="16" t="n">
        <f aca="false">IFERROR(MATCH($I980,ROTACAO_RDM!$B$6:$B$71,0),0)</f>
        <v>61</v>
      </c>
      <c r="K980" s="8" t="str">
        <f aca="false">IF($J980=0,"SEM CULTURA",INDEX(ROTACAO_RDM!$F$6:$F$71,$J980))</f>
        <v>MILHO_SEMENTE</v>
      </c>
      <c r="L980" s="8" t="n">
        <f aca="false">IF($J980=0,"",INDEX(ROTACAO_RDM!$G$6:$G$71,$J980))</f>
        <v>0</v>
      </c>
      <c r="M980" s="17" t="n">
        <f aca="false">IF($J980=0,"",INDEX(ROTACAO_RDM!$I$6:$I$71,$J980))</f>
        <v>46570</v>
      </c>
      <c r="N980" s="16" t="n">
        <f aca="false">IF($J980=0,0,MAX(0,$C980+INT(DIAS_POR_SEMANA/2)-INDEX(ROTACAO_RDM!$I$6:$I$71,$J980)))</f>
        <v>48</v>
      </c>
      <c r="O980" s="19" t="n">
        <f aca="false">IF($J980=0,0,MIN(1,$N980/MAX(1,INDEX(ROTACAO_RDM!$K$6:$K$71,$J980))))</f>
        <v>0.331034482758621</v>
      </c>
      <c r="P980" s="16" t="n">
        <f aca="false">IF($J980=0,0,IFERROR(MATCH(INDEX(ROTACAO_RDM!$N$6:$N$71,$J980),PARAMETROS_CULTURAS!$B$6:$B$28,0),0))</f>
        <v>7</v>
      </c>
      <c r="Q980" s="8" t="str">
        <f aca="false">IF($P980=0,"-",IF($O980&lt;=INDEX(PARAMETROS_CULTURAS!$F$6:$F$28,$P980),"INICIAL",IF($O980&lt;=INDEX(PARAMETROS_CULTURAS!$F$6:$F$28,$P980)+INDEX(PARAMETROS_CULTURAS!$G$6:$G$28,$P980),"DESENVOLVIMENTO",IF($O980&lt;=INDEX(PARAMETROS_CULTURAS!$F$6:$F$28,$P980)+INDEX(PARAMETROS_CULTURAS!$G$6:$G$28,$P980)+INDEX(PARAMETROS_CULTURAS!$H$6:$H$28,$P980),"MEDIA","FINAL"))))</f>
        <v>DESENVOLVIMENTO</v>
      </c>
      <c r="R980" s="24" t="n">
        <f aca="false">IF($P980=0,0,IF($O980&lt;=INDEX(PARAMETROS_CULTURAS!$F$6:$F$28,$P980),INDEX(PARAMETROS_CULTURAS!$K$6:$K$28,$P980),IF($O980&lt;=INDEX(PARAMETROS_CULTURAS!$F$6:$F$28,$P980)+INDEX(PARAMETROS_CULTURAS!$G$6:$G$28,$P980),INDEX(PARAMETROS_CULTURAS!$K$6:$K$28,$P980)+(INDEX(PARAMETROS_CULTURAS!$L$6:$L$28,$P980)-INDEX(PARAMETROS_CULTURAS!$K$6:$K$28,$P980))*($O980-INDEX(PARAMETROS_CULTURAS!$F$6:$F$28,$P980))/MAX(INDEX(PARAMETROS_CULTURAS!$G$6:$G$28,$P980),0.0001),IF($O980&lt;=INDEX(PARAMETROS_CULTURAS!$F$6:$F$28,$P980)+INDEX(PARAMETROS_CULTURAS!$G$6:$G$28,$P980)+INDEX(PARAMETROS_CULTURAS!$H$6:$H$28,$P980),INDEX(PARAMETROS_CULTURAS!$L$6:$L$28,$P980),INDEX(PARAMETROS_CULTURAS!$L$6:$L$28,$P980)+(INDEX(PARAMETROS_CULTURAS!$M$6:$M$28,$P980)-INDEX(PARAMETROS_CULTURAS!$L$6:$L$28,$P980))*($O980-INDEX(PARAMETROS_CULTURAS!$F$6:$F$28,$P980)-INDEX(PARAMETROS_CULTURAS!$G$6:$G$28,$P980)-INDEX(PARAMETROS_CULTURAS!$H$6:$H$28,$P980))/MAX(INDEX(PARAMETROS_CULTURAS!$I$6:$I$28,$P980),0.0001)))))</f>
        <v>0.77951724137931</v>
      </c>
      <c r="S980" s="18" t="n">
        <f aca="false">IFERROR(INDEX(SEMANAS!$H$6:$H$71,MATCH($B980,SEMANAS!$B$6:$B$71,0)),0)</f>
        <v>36.4</v>
      </c>
      <c r="T980" s="18" t="n">
        <f aca="false">$R980*$S980</f>
        <v>28.3744275862069</v>
      </c>
      <c r="U980" s="18" t="n">
        <f aca="false">IFERROR(INDEX(SEMANAS!$I$6:$I$71,MATCH($B980,SEMANAS!$B$6:$B$71,0)),0)</f>
        <v>1.12</v>
      </c>
      <c r="V980" s="18" t="n">
        <f aca="false">IFERROR(INDEX(SEMANAS!$J$6:$J$71,MATCH($B980,SEMANAS!$B$6:$B$71,0)),0)</f>
        <v>0.896</v>
      </c>
      <c r="W980" s="18" t="n">
        <f aca="false">MAX(0,$T980-$V980)</f>
        <v>27.4784275862069</v>
      </c>
      <c r="X980" s="19" t="n">
        <f aca="false">IFERROR(INDEX(CADASTRO_PIVOS!$K$6:$K$41,MATCH($E980,CADASTRO_PIVOS!$B$6:$B$41,0)),EFICIENCIA_PADRAO)</f>
        <v>0.85</v>
      </c>
      <c r="Y980" s="18" t="n">
        <f aca="false">IF($X980&lt;=0,0,$W980/$X980)</f>
        <v>32.3275618661258</v>
      </c>
      <c r="Z980" s="16" t="n">
        <f aca="false">$Y980*$H980*MM_PARA_M3_HA</f>
        <v>32314.6308413793</v>
      </c>
      <c r="AA980" s="18" t="n">
        <f aca="false">IFERROR(INDEX(CADASTRO_PIVOS!$I$6:$I$41,MATCH($E980,CADASTRO_PIVOS!$B$6:$B$41,0)),0)</f>
        <v>714</v>
      </c>
      <c r="AB980" s="18" t="n">
        <f aca="false">IF($Z980&lt;=0,0,$Z980/$AA980)</f>
        <v>45.2585866125761</v>
      </c>
      <c r="AC980" s="16" t="n">
        <f aca="false">IFERROR(INDEX(SEMANAS!$K$6:$K$71,MATCH($B980,SEMANAS!$B$6:$B$71,0)),0)</f>
        <v>147</v>
      </c>
      <c r="AD980" s="19" t="n">
        <f aca="false">IF($AC980&lt;=0,0,$AB980/$AC980)</f>
        <v>0.30788154158215</v>
      </c>
      <c r="AE980" s="8" t="str">
        <f aca="false">IF($K980="SEM CULTURA","SEM CULTURA",IF($AA980&lt;=0,"DADO PENDENTE",IF($AD980&gt;LIMITE_CRITICO,"INVIAVEL",IF($AD980&gt;LIMITE_ATENCAO,"CRITICO",IF($AD980&gt;LIMITE_CONFORTAVEL,"ATENCAO","OK")))))</f>
        <v>OK</v>
      </c>
      <c r="AF980" s="8" t="str">
        <f aca="false">$B980&amp;"|"&amp;TEXT($AD980,"0.000000")</f>
        <v>51|0.307882</v>
      </c>
      <c r="AG980" s="18" t="n">
        <f aca="false">IF($K980="SEM CULTURA",0,$T980*$H980)</f>
        <v>2836.30778151724</v>
      </c>
      <c r="AH980" s="18" t="n">
        <f aca="false">IF($K980="SEM CULTURA",0,$V980*$H980)</f>
        <v>89.56416</v>
      </c>
      <c r="AI980" s="18" t="n">
        <f aca="false">IF($K980="SEM CULTURA",0,$W980*$H980)</f>
        <v>2746.74362151724</v>
      </c>
      <c r="AJ980" s="18" t="n">
        <f aca="false">IF($K980="SEM CULTURA",0,$S980*$H980)</f>
        <v>3638.544</v>
      </c>
      <c r="AK980" s="8" t="str">
        <f aca="false">$E980&amp;"|"&amp;TEXT($AD980,"0.000000")</f>
        <v>PV 131|0.307882</v>
      </c>
    </row>
    <row r="981" customFormat="false" ht="15" hidden="false" customHeight="false" outlineLevel="0" collapsed="false">
      <c r="B981" s="16" t="n">
        <v>52</v>
      </c>
      <c r="C981" s="17" t="n">
        <f aca="false">DATA_INICIO_SAFRA+($B981-1)*DIAS_POR_SEMANA</f>
        <v>46622</v>
      </c>
      <c r="D981" s="17" t="n">
        <f aca="false">$C981+DIAS_POR_SEMANA-1</f>
        <v>46628</v>
      </c>
      <c r="E981" s="15" t="s">
        <v>273</v>
      </c>
      <c r="F981" s="8" t="str">
        <f aca="false">IFERROR(INDEX(CADASTRO_PIVOS!$C$6:$C$41,MATCH($E981,CADASTRO_PIVOS!$B$6:$B$41,0)),"?")</f>
        <v>RM05</v>
      </c>
      <c r="G981" s="8" t="str">
        <f aca="false">IFERROR(INDEX(CADASTRO_PIVOS!$D$6:$D$41,MATCH($E981,CADASTRO_PIVOS!$B$6:$B$41,0)),"?")</f>
        <v>TR05</v>
      </c>
      <c r="H981" s="20" t="n">
        <f aca="false">IFERROR(INDEX(CADASTRO_PIVOS!$E$6:$E$41,MATCH($E981,CADASTRO_PIVOS!$B$6:$B$41,0)),0)</f>
        <v>99.96</v>
      </c>
      <c r="I981" s="16" t="n">
        <f aca="false">IFERROR(SUMIFS(ROTACAO_RDM!$B$6:$B$71,ROTACAO_RDM!$D$6:$D$71,$E981,ROTACAO_RDM!$I$6:$I$71,"&lt;="&amp;$C981+INT(DIAS_POR_SEMANA/2),ROTACAO_RDM!$J$6:$J$71,"&gt;="&amp;$C981+INT(DIAS_POR_SEMANA/2)),0)</f>
        <v>61</v>
      </c>
      <c r="J981" s="16" t="n">
        <f aca="false">IFERROR(MATCH($I981,ROTACAO_RDM!$B$6:$B$71,0),0)</f>
        <v>61</v>
      </c>
      <c r="K981" s="8" t="str">
        <f aca="false">IF($J981=0,"SEM CULTURA",INDEX(ROTACAO_RDM!$F$6:$F$71,$J981))</f>
        <v>MILHO_SEMENTE</v>
      </c>
      <c r="L981" s="8" t="n">
        <f aca="false">IF($J981=0,"",INDEX(ROTACAO_RDM!$G$6:$G$71,$J981))</f>
        <v>0</v>
      </c>
      <c r="M981" s="17" t="n">
        <f aca="false">IF($J981=0,"",INDEX(ROTACAO_RDM!$I$6:$I$71,$J981))</f>
        <v>46570</v>
      </c>
      <c r="N981" s="16" t="n">
        <f aca="false">IF($J981=0,0,MAX(0,$C981+INT(DIAS_POR_SEMANA/2)-INDEX(ROTACAO_RDM!$I$6:$I$71,$J981)))</f>
        <v>55</v>
      </c>
      <c r="O981" s="19" t="n">
        <f aca="false">IF($J981=0,0,MIN(1,$N981/MAX(1,INDEX(ROTACAO_RDM!$K$6:$K$71,$J981))))</f>
        <v>0.379310344827586</v>
      </c>
      <c r="P981" s="16" t="n">
        <f aca="false">IF($J981=0,0,IFERROR(MATCH(INDEX(ROTACAO_RDM!$N$6:$N$71,$J981),PARAMETROS_CULTURAS!$B$6:$B$28,0),0))</f>
        <v>7</v>
      </c>
      <c r="Q981" s="8" t="str">
        <f aca="false">IF($P981=0,"-",IF($O981&lt;=INDEX(PARAMETROS_CULTURAS!$F$6:$F$28,$P981),"INICIAL",IF($O981&lt;=INDEX(PARAMETROS_CULTURAS!$F$6:$F$28,$P981)+INDEX(PARAMETROS_CULTURAS!$G$6:$G$28,$P981),"DESENVOLVIMENTO",IF($O981&lt;=INDEX(PARAMETROS_CULTURAS!$F$6:$F$28,$P981)+INDEX(PARAMETROS_CULTURAS!$G$6:$G$28,$P981)+INDEX(PARAMETROS_CULTURAS!$H$6:$H$28,$P981),"MEDIA","FINAL"))))</f>
        <v>DESENVOLVIMENTO</v>
      </c>
      <c r="R981" s="24" t="n">
        <f aca="false">IF($P981=0,0,IF($O981&lt;=INDEX(PARAMETROS_CULTURAS!$F$6:$F$28,$P981),INDEX(PARAMETROS_CULTURAS!$K$6:$K$28,$P981),IF($O981&lt;=INDEX(PARAMETROS_CULTURAS!$F$6:$F$28,$P981)+INDEX(PARAMETROS_CULTURAS!$G$6:$G$28,$P981),INDEX(PARAMETROS_CULTURAS!$K$6:$K$28,$P981)+(INDEX(PARAMETROS_CULTURAS!$L$6:$L$28,$P981)-INDEX(PARAMETROS_CULTURAS!$K$6:$K$28,$P981))*($O981-INDEX(PARAMETROS_CULTURAS!$F$6:$F$28,$P981))/MAX(INDEX(PARAMETROS_CULTURAS!$G$6:$G$28,$P981),0.0001),IF($O981&lt;=INDEX(PARAMETROS_CULTURAS!$F$6:$F$28,$P981)+INDEX(PARAMETROS_CULTURAS!$G$6:$G$28,$P981)+INDEX(PARAMETROS_CULTURAS!$H$6:$H$28,$P981),INDEX(PARAMETROS_CULTURAS!$L$6:$L$28,$P981),INDEX(PARAMETROS_CULTURAS!$L$6:$L$28,$P981)+(INDEX(PARAMETROS_CULTURAS!$M$6:$M$28,$P981)-INDEX(PARAMETROS_CULTURAS!$L$6:$L$28,$P981))*($O981-INDEX(PARAMETROS_CULTURAS!$F$6:$F$28,$P981)-INDEX(PARAMETROS_CULTURAS!$G$6:$G$28,$P981)-INDEX(PARAMETROS_CULTURAS!$H$6:$H$28,$P981))/MAX(INDEX(PARAMETROS_CULTURAS!$I$6:$I$28,$P981),0.0001)))))</f>
        <v>0.943655172413793</v>
      </c>
      <c r="S981" s="18" t="n">
        <f aca="false">IFERROR(INDEX(SEMANAS!$H$6:$H$71,MATCH($B981,SEMANAS!$B$6:$B$71,0)),0)</f>
        <v>36.4</v>
      </c>
      <c r="T981" s="18" t="n">
        <f aca="false">$R981*$S981</f>
        <v>34.3490482758621</v>
      </c>
      <c r="U981" s="18" t="n">
        <f aca="false">IFERROR(INDEX(SEMANAS!$I$6:$I$71,MATCH($B981,SEMANAS!$B$6:$B$71,0)),0)</f>
        <v>1.12</v>
      </c>
      <c r="V981" s="18" t="n">
        <f aca="false">IFERROR(INDEX(SEMANAS!$J$6:$J$71,MATCH($B981,SEMANAS!$B$6:$B$71,0)),0)</f>
        <v>0.896</v>
      </c>
      <c r="W981" s="18" t="n">
        <f aca="false">MAX(0,$T981-$V981)</f>
        <v>33.4530482758621</v>
      </c>
      <c r="X981" s="19" t="n">
        <f aca="false">IFERROR(INDEX(CADASTRO_PIVOS!$K$6:$K$41,MATCH($E981,CADASTRO_PIVOS!$B$6:$B$41,0)),EFICIENCIA_PADRAO)</f>
        <v>0.85</v>
      </c>
      <c r="Y981" s="18" t="n">
        <f aca="false">IF($X981&lt;=0,0,$W981/$X981)</f>
        <v>39.3565273833671</v>
      </c>
      <c r="Z981" s="16" t="n">
        <f aca="false">$Y981*$H981*MM_PARA_M3_HA</f>
        <v>39340.7847724138</v>
      </c>
      <c r="AA981" s="18" t="n">
        <f aca="false">IFERROR(INDEX(CADASTRO_PIVOS!$I$6:$I$41,MATCH($E981,CADASTRO_PIVOS!$B$6:$B$41,0)),0)</f>
        <v>714</v>
      </c>
      <c r="AB981" s="18" t="n">
        <f aca="false">IF($Z981&lt;=0,0,$Z981/$AA981)</f>
        <v>55.099138336714</v>
      </c>
      <c r="AC981" s="16" t="n">
        <f aca="false">IFERROR(INDEX(SEMANAS!$K$6:$K$71,MATCH($B981,SEMANAS!$B$6:$B$71,0)),0)</f>
        <v>147</v>
      </c>
      <c r="AD981" s="19" t="n">
        <f aca="false">IF($AC981&lt;=0,0,$AB981/$AC981)</f>
        <v>0.374824070317782</v>
      </c>
      <c r="AE981" s="8" t="str">
        <f aca="false">IF($K981="SEM CULTURA","SEM CULTURA",IF($AA981&lt;=0,"DADO PENDENTE",IF($AD981&gt;LIMITE_CRITICO,"INVIAVEL",IF($AD981&gt;LIMITE_ATENCAO,"CRITICO",IF($AD981&gt;LIMITE_CONFORTAVEL,"ATENCAO","OK")))))</f>
        <v>OK</v>
      </c>
      <c r="AF981" s="8" t="str">
        <f aca="false">$B981&amp;"|"&amp;TEXT($AD981,"0.000000")</f>
        <v>52|0.374824</v>
      </c>
      <c r="AG981" s="18" t="n">
        <f aca="false">IF($K981="SEM CULTURA",0,$T981*$H981)</f>
        <v>3433.53086565517</v>
      </c>
      <c r="AH981" s="18" t="n">
        <f aca="false">IF($K981="SEM CULTURA",0,$V981*$H981)</f>
        <v>89.56416</v>
      </c>
      <c r="AI981" s="18" t="n">
        <f aca="false">IF($K981="SEM CULTURA",0,$W981*$H981)</f>
        <v>3343.96670565517</v>
      </c>
      <c r="AJ981" s="18" t="n">
        <f aca="false">IF($K981="SEM CULTURA",0,$S981*$H981)</f>
        <v>3638.544</v>
      </c>
      <c r="AK981" s="8" t="str">
        <f aca="false">$E981&amp;"|"&amp;TEXT($AD981,"0.000000")</f>
        <v>PV 131|0.374824</v>
      </c>
    </row>
    <row r="982" customFormat="false" ht="15" hidden="false" customHeight="false" outlineLevel="0" collapsed="false">
      <c r="B982" s="16" t="n">
        <v>53</v>
      </c>
      <c r="C982" s="17" t="n">
        <f aca="false">DATA_INICIO_SAFRA+($B982-1)*DIAS_POR_SEMANA</f>
        <v>46629</v>
      </c>
      <c r="D982" s="17" t="n">
        <f aca="false">$C982+DIAS_POR_SEMANA-1</f>
        <v>46635</v>
      </c>
      <c r="E982" s="15" t="s">
        <v>273</v>
      </c>
      <c r="F982" s="8" t="str">
        <f aca="false">IFERROR(INDEX(CADASTRO_PIVOS!$C$6:$C$41,MATCH($E982,CADASTRO_PIVOS!$B$6:$B$41,0)),"?")</f>
        <v>RM05</v>
      </c>
      <c r="G982" s="8" t="str">
        <f aca="false">IFERROR(INDEX(CADASTRO_PIVOS!$D$6:$D$41,MATCH($E982,CADASTRO_PIVOS!$B$6:$B$41,0)),"?")</f>
        <v>TR05</v>
      </c>
      <c r="H982" s="20" t="n">
        <f aca="false">IFERROR(INDEX(CADASTRO_PIVOS!$E$6:$E$41,MATCH($E982,CADASTRO_PIVOS!$B$6:$B$41,0)),0)</f>
        <v>99.96</v>
      </c>
      <c r="I982" s="16" t="n">
        <f aca="false">IFERROR(SUMIFS(ROTACAO_RDM!$B$6:$B$71,ROTACAO_RDM!$D$6:$D$71,$E982,ROTACAO_RDM!$I$6:$I$71,"&lt;="&amp;$C982+INT(DIAS_POR_SEMANA/2),ROTACAO_RDM!$J$6:$J$71,"&gt;="&amp;$C982+INT(DIAS_POR_SEMANA/2)),0)</f>
        <v>61</v>
      </c>
      <c r="J982" s="16" t="n">
        <f aca="false">IFERROR(MATCH($I982,ROTACAO_RDM!$B$6:$B$71,0),0)</f>
        <v>61</v>
      </c>
      <c r="K982" s="8" t="str">
        <f aca="false">IF($J982=0,"SEM CULTURA",INDEX(ROTACAO_RDM!$F$6:$F$71,$J982))</f>
        <v>MILHO_SEMENTE</v>
      </c>
      <c r="L982" s="8" t="n">
        <f aca="false">IF($J982=0,"",INDEX(ROTACAO_RDM!$G$6:$G$71,$J982))</f>
        <v>0</v>
      </c>
      <c r="M982" s="17" t="n">
        <f aca="false">IF($J982=0,"",INDEX(ROTACAO_RDM!$I$6:$I$71,$J982))</f>
        <v>46570</v>
      </c>
      <c r="N982" s="16" t="n">
        <f aca="false">IF($J982=0,0,MAX(0,$C982+INT(DIAS_POR_SEMANA/2)-INDEX(ROTACAO_RDM!$I$6:$I$71,$J982)))</f>
        <v>62</v>
      </c>
      <c r="O982" s="19" t="n">
        <f aca="false">IF($J982=0,0,MIN(1,$N982/MAX(1,INDEX(ROTACAO_RDM!$K$6:$K$71,$J982))))</f>
        <v>0.427586206896552</v>
      </c>
      <c r="P982" s="16" t="n">
        <f aca="false">IF($J982=0,0,IFERROR(MATCH(INDEX(ROTACAO_RDM!$N$6:$N$71,$J982),PARAMETROS_CULTURAS!$B$6:$B$28,0),0))</f>
        <v>7</v>
      </c>
      <c r="Q982" s="8" t="str">
        <f aca="false">IF($P982=0,"-",IF($O982&lt;=INDEX(PARAMETROS_CULTURAS!$F$6:$F$28,$P982),"INICIAL",IF($O982&lt;=INDEX(PARAMETROS_CULTURAS!$F$6:$F$28,$P982)+INDEX(PARAMETROS_CULTURAS!$G$6:$G$28,$P982),"DESENVOLVIMENTO",IF($O982&lt;=INDEX(PARAMETROS_CULTURAS!$F$6:$F$28,$P982)+INDEX(PARAMETROS_CULTURAS!$G$6:$G$28,$P982)+INDEX(PARAMETROS_CULTURAS!$H$6:$H$28,$P982),"MEDIA","FINAL"))))</f>
        <v>DESENVOLVIMENTO</v>
      </c>
      <c r="R982" s="24" t="n">
        <f aca="false">IF($P982=0,0,IF($O982&lt;=INDEX(PARAMETROS_CULTURAS!$F$6:$F$28,$P982),INDEX(PARAMETROS_CULTURAS!$K$6:$K$28,$P982),IF($O982&lt;=INDEX(PARAMETROS_CULTURAS!$F$6:$F$28,$P982)+INDEX(PARAMETROS_CULTURAS!$G$6:$G$28,$P982),INDEX(PARAMETROS_CULTURAS!$K$6:$K$28,$P982)+(INDEX(PARAMETROS_CULTURAS!$L$6:$L$28,$P982)-INDEX(PARAMETROS_CULTURAS!$K$6:$K$28,$P982))*($O982-INDEX(PARAMETROS_CULTURAS!$F$6:$F$28,$P982))/MAX(INDEX(PARAMETROS_CULTURAS!$G$6:$G$28,$P982),0.0001),IF($O982&lt;=INDEX(PARAMETROS_CULTURAS!$F$6:$F$28,$P982)+INDEX(PARAMETROS_CULTURAS!$G$6:$G$28,$P982)+INDEX(PARAMETROS_CULTURAS!$H$6:$H$28,$P982),INDEX(PARAMETROS_CULTURAS!$L$6:$L$28,$P982),INDEX(PARAMETROS_CULTURAS!$L$6:$L$28,$P982)+(INDEX(PARAMETROS_CULTURAS!$M$6:$M$28,$P982)-INDEX(PARAMETROS_CULTURAS!$L$6:$L$28,$P982))*($O982-INDEX(PARAMETROS_CULTURAS!$F$6:$F$28,$P982)-INDEX(PARAMETROS_CULTURAS!$G$6:$G$28,$P982)-INDEX(PARAMETROS_CULTURAS!$H$6:$H$28,$P982))/MAX(INDEX(PARAMETROS_CULTURAS!$I$6:$I$28,$P982),0.0001)))))</f>
        <v>1.10779310344828</v>
      </c>
      <c r="S982" s="18" t="n">
        <f aca="false">IFERROR(INDEX(SEMANAS!$H$6:$H$71,MATCH($B982,SEMANAS!$B$6:$B$71,0)),0)</f>
        <v>39.4</v>
      </c>
      <c r="T982" s="18" t="n">
        <f aca="false">$R982*$S982</f>
        <v>43.6470482758621</v>
      </c>
      <c r="U982" s="18" t="n">
        <f aca="false">IFERROR(INDEX(SEMANAS!$I$6:$I$71,MATCH($B982,SEMANAS!$B$6:$B$71,0)),0)</f>
        <v>5.32</v>
      </c>
      <c r="V982" s="18" t="n">
        <f aca="false">IFERROR(INDEX(SEMANAS!$J$6:$J$71,MATCH($B982,SEMANAS!$B$6:$B$71,0)),0)</f>
        <v>4.256</v>
      </c>
      <c r="W982" s="18" t="n">
        <f aca="false">MAX(0,$T982-$V982)</f>
        <v>39.3910482758621</v>
      </c>
      <c r="X982" s="19" t="n">
        <f aca="false">IFERROR(INDEX(CADASTRO_PIVOS!$K$6:$K$41,MATCH($E982,CADASTRO_PIVOS!$B$6:$B$41,0)),EFICIENCIA_PADRAO)</f>
        <v>0.85</v>
      </c>
      <c r="Y982" s="18" t="n">
        <f aca="false">IF($X982&lt;=0,0,$W982/$X982)</f>
        <v>46.3424097363083</v>
      </c>
      <c r="Z982" s="16" t="n">
        <f aca="false">$Y982*$H982*MM_PARA_M3_HA</f>
        <v>46323.8727724138</v>
      </c>
      <c r="AA982" s="18" t="n">
        <f aca="false">IFERROR(INDEX(CADASTRO_PIVOS!$I$6:$I$41,MATCH($E982,CADASTRO_PIVOS!$B$6:$B$41,0)),0)</f>
        <v>714</v>
      </c>
      <c r="AB982" s="18" t="n">
        <f aca="false">IF($Z982&lt;=0,0,$Z982/$AA982)</f>
        <v>64.8793736308316</v>
      </c>
      <c r="AC982" s="16" t="n">
        <f aca="false">IFERROR(INDEX(SEMANAS!$K$6:$K$71,MATCH($B982,SEMANAS!$B$6:$B$71,0)),0)</f>
        <v>147</v>
      </c>
      <c r="AD982" s="19" t="n">
        <f aca="false">IF($AC982&lt;=0,0,$AB982/$AC982)</f>
        <v>0.441356283202936</v>
      </c>
      <c r="AE982" s="8" t="str">
        <f aca="false">IF($K982="SEM CULTURA","SEM CULTURA",IF($AA982&lt;=0,"DADO PENDENTE",IF($AD982&gt;LIMITE_CRITICO,"INVIAVEL",IF($AD982&gt;LIMITE_ATENCAO,"CRITICO",IF($AD982&gt;LIMITE_CONFORTAVEL,"ATENCAO","OK")))))</f>
        <v>OK</v>
      </c>
      <c r="AF982" s="8" t="str">
        <f aca="false">$B982&amp;"|"&amp;TEXT($AD982,"0.000000")</f>
        <v>53|0.441356</v>
      </c>
      <c r="AG982" s="18" t="n">
        <f aca="false">IF($K982="SEM CULTURA",0,$T982*$H982)</f>
        <v>4362.95894565517</v>
      </c>
      <c r="AH982" s="18" t="n">
        <f aca="false">IF($K982="SEM CULTURA",0,$V982*$H982)</f>
        <v>425.42976</v>
      </c>
      <c r="AI982" s="18" t="n">
        <f aca="false">IF($K982="SEM CULTURA",0,$W982*$H982)</f>
        <v>3937.52918565517</v>
      </c>
      <c r="AJ982" s="18" t="n">
        <f aca="false">IF($K982="SEM CULTURA",0,$S982*$H982)</f>
        <v>3938.424</v>
      </c>
      <c r="AK982" s="8" t="str">
        <f aca="false">$E982&amp;"|"&amp;TEXT($AD982,"0.000000")</f>
        <v>PV 131|0.441356</v>
      </c>
    </row>
    <row r="983" customFormat="false" ht="15" hidden="false" customHeight="false" outlineLevel="0" collapsed="false">
      <c r="B983" s="16" t="n">
        <v>54</v>
      </c>
      <c r="C983" s="17" t="n">
        <f aca="false">DATA_INICIO_SAFRA+($B983-1)*DIAS_POR_SEMANA</f>
        <v>46636</v>
      </c>
      <c r="D983" s="17" t="n">
        <f aca="false">$C983+DIAS_POR_SEMANA-1</f>
        <v>46642</v>
      </c>
      <c r="E983" s="15" t="s">
        <v>273</v>
      </c>
      <c r="F983" s="8" t="str">
        <f aca="false">IFERROR(INDEX(CADASTRO_PIVOS!$C$6:$C$41,MATCH($E983,CADASTRO_PIVOS!$B$6:$B$41,0)),"?")</f>
        <v>RM05</v>
      </c>
      <c r="G983" s="8" t="str">
        <f aca="false">IFERROR(INDEX(CADASTRO_PIVOS!$D$6:$D$41,MATCH($E983,CADASTRO_PIVOS!$B$6:$B$41,0)),"?")</f>
        <v>TR05</v>
      </c>
      <c r="H983" s="20" t="n">
        <f aca="false">IFERROR(INDEX(CADASTRO_PIVOS!$E$6:$E$41,MATCH($E983,CADASTRO_PIVOS!$B$6:$B$41,0)),0)</f>
        <v>99.96</v>
      </c>
      <c r="I983" s="16" t="n">
        <f aca="false">IFERROR(SUMIFS(ROTACAO_RDM!$B$6:$B$71,ROTACAO_RDM!$D$6:$D$71,$E983,ROTACAO_RDM!$I$6:$I$71,"&lt;="&amp;$C983+INT(DIAS_POR_SEMANA/2),ROTACAO_RDM!$J$6:$J$71,"&gt;="&amp;$C983+INT(DIAS_POR_SEMANA/2)),0)</f>
        <v>61</v>
      </c>
      <c r="J983" s="16" t="n">
        <f aca="false">IFERROR(MATCH($I983,ROTACAO_RDM!$B$6:$B$71,0),0)</f>
        <v>61</v>
      </c>
      <c r="K983" s="8" t="str">
        <f aca="false">IF($J983=0,"SEM CULTURA",INDEX(ROTACAO_RDM!$F$6:$F$71,$J983))</f>
        <v>MILHO_SEMENTE</v>
      </c>
      <c r="L983" s="8" t="n">
        <f aca="false">IF($J983=0,"",INDEX(ROTACAO_RDM!$G$6:$G$71,$J983))</f>
        <v>0</v>
      </c>
      <c r="M983" s="17" t="n">
        <f aca="false">IF($J983=0,"",INDEX(ROTACAO_RDM!$I$6:$I$71,$J983))</f>
        <v>46570</v>
      </c>
      <c r="N983" s="16" t="n">
        <f aca="false">IF($J983=0,0,MAX(0,$C983+INT(DIAS_POR_SEMANA/2)-INDEX(ROTACAO_RDM!$I$6:$I$71,$J983)))</f>
        <v>69</v>
      </c>
      <c r="O983" s="19" t="n">
        <f aca="false">IF($J983=0,0,MIN(1,$N983/MAX(1,INDEX(ROTACAO_RDM!$K$6:$K$71,$J983))))</f>
        <v>0.475862068965517</v>
      </c>
      <c r="P983" s="16" t="n">
        <f aca="false">IF($J983=0,0,IFERROR(MATCH(INDEX(ROTACAO_RDM!$N$6:$N$71,$J983),PARAMETROS_CULTURAS!$B$6:$B$28,0),0))</f>
        <v>7</v>
      </c>
      <c r="Q983" s="8" t="str">
        <f aca="false">IF($P983=0,"-",IF($O983&lt;=INDEX(PARAMETROS_CULTURAS!$F$6:$F$28,$P983),"INICIAL",IF($O983&lt;=INDEX(PARAMETROS_CULTURAS!$F$6:$F$28,$P983)+INDEX(PARAMETROS_CULTURAS!$G$6:$G$28,$P983),"DESENVOLVIMENTO",IF($O983&lt;=INDEX(PARAMETROS_CULTURAS!$F$6:$F$28,$P983)+INDEX(PARAMETROS_CULTURAS!$G$6:$G$28,$P983)+INDEX(PARAMETROS_CULTURAS!$H$6:$H$28,$P983),"MEDIA","FINAL"))))</f>
        <v>MEDIA</v>
      </c>
      <c r="R983" s="24" t="n">
        <f aca="false">IF($P983=0,0,IF($O983&lt;=INDEX(PARAMETROS_CULTURAS!$F$6:$F$28,$P983),INDEX(PARAMETROS_CULTURAS!$K$6:$K$28,$P983),IF($O983&lt;=INDEX(PARAMETROS_CULTURAS!$F$6:$F$28,$P983)+INDEX(PARAMETROS_CULTURAS!$G$6:$G$28,$P983),INDEX(PARAMETROS_CULTURAS!$K$6:$K$28,$P983)+(INDEX(PARAMETROS_CULTURAS!$L$6:$L$28,$P983)-INDEX(PARAMETROS_CULTURAS!$K$6:$K$28,$P983))*($O983-INDEX(PARAMETROS_CULTURAS!$F$6:$F$28,$P983))/MAX(INDEX(PARAMETROS_CULTURAS!$G$6:$G$28,$P983),0.0001),IF($O983&lt;=INDEX(PARAMETROS_CULTURAS!$F$6:$F$28,$P983)+INDEX(PARAMETROS_CULTURAS!$G$6:$G$28,$P983)+INDEX(PARAMETROS_CULTURAS!$H$6:$H$28,$P983),INDEX(PARAMETROS_CULTURAS!$L$6:$L$28,$P983),INDEX(PARAMETROS_CULTURAS!$L$6:$L$28,$P983)+(INDEX(PARAMETROS_CULTURAS!$M$6:$M$28,$P983)-INDEX(PARAMETROS_CULTURAS!$L$6:$L$28,$P983))*($O983-INDEX(PARAMETROS_CULTURAS!$F$6:$F$28,$P983)-INDEX(PARAMETROS_CULTURAS!$G$6:$G$28,$P983)-INDEX(PARAMETROS_CULTURAS!$H$6:$H$28,$P983))/MAX(INDEX(PARAMETROS_CULTURAS!$I$6:$I$28,$P983),0.0001)))))</f>
        <v>1.15</v>
      </c>
      <c r="S983" s="18" t="n">
        <f aca="false">IFERROR(INDEX(SEMANAS!$H$6:$H$71,MATCH($B983,SEMANAS!$B$6:$B$71,0)),0)</f>
        <v>40.6</v>
      </c>
      <c r="T983" s="18" t="n">
        <f aca="false">$R983*$S983</f>
        <v>46.69</v>
      </c>
      <c r="U983" s="18" t="n">
        <f aca="false">IFERROR(INDEX(SEMANAS!$I$6:$I$71,MATCH($B983,SEMANAS!$B$6:$B$71,0)),0)</f>
        <v>7</v>
      </c>
      <c r="V983" s="18" t="n">
        <f aca="false">IFERROR(INDEX(SEMANAS!$J$6:$J$71,MATCH($B983,SEMANAS!$B$6:$B$71,0)),0)</f>
        <v>5.6</v>
      </c>
      <c r="W983" s="18" t="n">
        <f aca="false">MAX(0,$T983-$V983)</f>
        <v>41.09</v>
      </c>
      <c r="X983" s="19" t="n">
        <f aca="false">IFERROR(INDEX(CADASTRO_PIVOS!$K$6:$K$41,MATCH($E983,CADASTRO_PIVOS!$B$6:$B$41,0)),EFICIENCIA_PADRAO)</f>
        <v>0.85</v>
      </c>
      <c r="Y983" s="18" t="n">
        <f aca="false">IF($X983&lt;=0,0,$W983/$X983)</f>
        <v>48.3411764705882</v>
      </c>
      <c r="Z983" s="16" t="n">
        <f aca="false">$Y983*$H983*MM_PARA_M3_HA</f>
        <v>48321.84</v>
      </c>
      <c r="AA983" s="18" t="n">
        <f aca="false">IFERROR(INDEX(CADASTRO_PIVOS!$I$6:$I$41,MATCH($E983,CADASTRO_PIVOS!$B$6:$B$41,0)),0)</f>
        <v>714</v>
      </c>
      <c r="AB983" s="18" t="n">
        <f aca="false">IF($Z983&lt;=0,0,$Z983/$AA983)</f>
        <v>67.6776470588235</v>
      </c>
      <c r="AC983" s="16" t="n">
        <f aca="false">IFERROR(INDEX(SEMANAS!$K$6:$K$71,MATCH($B983,SEMANAS!$B$6:$B$71,0)),0)</f>
        <v>147</v>
      </c>
      <c r="AD983" s="19" t="n">
        <f aca="false">IF($AC983&lt;=0,0,$AB983/$AC983)</f>
        <v>0.460392156862745</v>
      </c>
      <c r="AE983" s="8" t="str">
        <f aca="false">IF($K983="SEM CULTURA","SEM CULTURA",IF($AA983&lt;=0,"DADO PENDENTE",IF($AD983&gt;LIMITE_CRITICO,"INVIAVEL",IF($AD983&gt;LIMITE_ATENCAO,"CRITICO",IF($AD983&gt;LIMITE_CONFORTAVEL,"ATENCAO","OK")))))</f>
        <v>OK</v>
      </c>
      <c r="AF983" s="8" t="str">
        <f aca="false">$B983&amp;"|"&amp;TEXT($AD983,"0.000000")</f>
        <v>54|0.460392</v>
      </c>
      <c r="AG983" s="18" t="n">
        <f aca="false">IF($K983="SEM CULTURA",0,$T983*$H983)</f>
        <v>4667.1324</v>
      </c>
      <c r="AH983" s="18" t="n">
        <f aca="false">IF($K983="SEM CULTURA",0,$V983*$H983)</f>
        <v>559.776</v>
      </c>
      <c r="AI983" s="18" t="n">
        <f aca="false">IF($K983="SEM CULTURA",0,$W983*$H983)</f>
        <v>4107.3564</v>
      </c>
      <c r="AJ983" s="18" t="n">
        <f aca="false">IF($K983="SEM CULTURA",0,$S983*$H983)</f>
        <v>4058.376</v>
      </c>
      <c r="AK983" s="8" t="str">
        <f aca="false">$E983&amp;"|"&amp;TEXT($AD983,"0.000000")</f>
        <v>PV 131|0.460392</v>
      </c>
    </row>
    <row r="984" customFormat="false" ht="15" hidden="false" customHeight="false" outlineLevel="0" collapsed="false">
      <c r="B984" s="16" t="n">
        <v>55</v>
      </c>
      <c r="C984" s="17" t="n">
        <f aca="false">DATA_INICIO_SAFRA+($B984-1)*DIAS_POR_SEMANA</f>
        <v>46643</v>
      </c>
      <c r="D984" s="17" t="n">
        <f aca="false">$C984+DIAS_POR_SEMANA-1</f>
        <v>46649</v>
      </c>
      <c r="E984" s="15" t="s">
        <v>273</v>
      </c>
      <c r="F984" s="8" t="str">
        <f aca="false">IFERROR(INDEX(CADASTRO_PIVOS!$C$6:$C$41,MATCH($E984,CADASTRO_PIVOS!$B$6:$B$41,0)),"?")</f>
        <v>RM05</v>
      </c>
      <c r="G984" s="8" t="str">
        <f aca="false">IFERROR(INDEX(CADASTRO_PIVOS!$D$6:$D$41,MATCH($E984,CADASTRO_PIVOS!$B$6:$B$41,0)),"?")</f>
        <v>TR05</v>
      </c>
      <c r="H984" s="20" t="n">
        <f aca="false">IFERROR(INDEX(CADASTRO_PIVOS!$E$6:$E$41,MATCH($E984,CADASTRO_PIVOS!$B$6:$B$41,0)),0)</f>
        <v>99.96</v>
      </c>
      <c r="I984" s="16" t="n">
        <f aca="false">IFERROR(SUMIFS(ROTACAO_RDM!$B$6:$B$71,ROTACAO_RDM!$D$6:$D$71,$E984,ROTACAO_RDM!$I$6:$I$71,"&lt;="&amp;$C984+INT(DIAS_POR_SEMANA/2),ROTACAO_RDM!$J$6:$J$71,"&gt;="&amp;$C984+INT(DIAS_POR_SEMANA/2)),0)</f>
        <v>61</v>
      </c>
      <c r="J984" s="16" t="n">
        <f aca="false">IFERROR(MATCH($I984,ROTACAO_RDM!$B$6:$B$71,0),0)</f>
        <v>61</v>
      </c>
      <c r="K984" s="8" t="str">
        <f aca="false">IF($J984=0,"SEM CULTURA",INDEX(ROTACAO_RDM!$F$6:$F$71,$J984))</f>
        <v>MILHO_SEMENTE</v>
      </c>
      <c r="L984" s="8" t="n">
        <f aca="false">IF($J984=0,"",INDEX(ROTACAO_RDM!$G$6:$G$71,$J984))</f>
        <v>0</v>
      </c>
      <c r="M984" s="17" t="n">
        <f aca="false">IF($J984=0,"",INDEX(ROTACAO_RDM!$I$6:$I$71,$J984))</f>
        <v>46570</v>
      </c>
      <c r="N984" s="16" t="n">
        <f aca="false">IF($J984=0,0,MAX(0,$C984+INT(DIAS_POR_SEMANA/2)-INDEX(ROTACAO_RDM!$I$6:$I$71,$J984)))</f>
        <v>76</v>
      </c>
      <c r="O984" s="19" t="n">
        <f aca="false">IF($J984=0,0,MIN(1,$N984/MAX(1,INDEX(ROTACAO_RDM!$K$6:$K$71,$J984))))</f>
        <v>0.524137931034483</v>
      </c>
      <c r="P984" s="16" t="n">
        <f aca="false">IF($J984=0,0,IFERROR(MATCH(INDEX(ROTACAO_RDM!$N$6:$N$71,$J984),PARAMETROS_CULTURAS!$B$6:$B$28,0),0))</f>
        <v>7</v>
      </c>
      <c r="Q984" s="8" t="str">
        <f aca="false">IF($P984=0,"-",IF($O984&lt;=INDEX(PARAMETROS_CULTURAS!$F$6:$F$28,$P984),"INICIAL",IF($O984&lt;=INDEX(PARAMETROS_CULTURAS!$F$6:$F$28,$P984)+INDEX(PARAMETROS_CULTURAS!$G$6:$G$28,$P984),"DESENVOLVIMENTO",IF($O984&lt;=INDEX(PARAMETROS_CULTURAS!$F$6:$F$28,$P984)+INDEX(PARAMETROS_CULTURAS!$G$6:$G$28,$P984)+INDEX(PARAMETROS_CULTURAS!$H$6:$H$28,$P984),"MEDIA","FINAL"))))</f>
        <v>MEDIA</v>
      </c>
      <c r="R984" s="24" t="n">
        <f aca="false">IF($P984=0,0,IF($O984&lt;=INDEX(PARAMETROS_CULTURAS!$F$6:$F$28,$P984),INDEX(PARAMETROS_CULTURAS!$K$6:$K$28,$P984),IF($O984&lt;=INDEX(PARAMETROS_CULTURAS!$F$6:$F$28,$P984)+INDEX(PARAMETROS_CULTURAS!$G$6:$G$28,$P984),INDEX(PARAMETROS_CULTURAS!$K$6:$K$28,$P984)+(INDEX(PARAMETROS_CULTURAS!$L$6:$L$28,$P984)-INDEX(PARAMETROS_CULTURAS!$K$6:$K$28,$P984))*($O984-INDEX(PARAMETROS_CULTURAS!$F$6:$F$28,$P984))/MAX(INDEX(PARAMETROS_CULTURAS!$G$6:$G$28,$P984),0.0001),IF($O984&lt;=INDEX(PARAMETROS_CULTURAS!$F$6:$F$28,$P984)+INDEX(PARAMETROS_CULTURAS!$G$6:$G$28,$P984)+INDEX(PARAMETROS_CULTURAS!$H$6:$H$28,$P984),INDEX(PARAMETROS_CULTURAS!$L$6:$L$28,$P984),INDEX(PARAMETROS_CULTURAS!$L$6:$L$28,$P984)+(INDEX(PARAMETROS_CULTURAS!$M$6:$M$28,$P984)-INDEX(PARAMETROS_CULTURAS!$L$6:$L$28,$P984))*($O984-INDEX(PARAMETROS_CULTURAS!$F$6:$F$28,$P984)-INDEX(PARAMETROS_CULTURAS!$G$6:$G$28,$P984)-INDEX(PARAMETROS_CULTURAS!$H$6:$H$28,$P984))/MAX(INDEX(PARAMETROS_CULTURAS!$I$6:$I$28,$P984),0.0001)))))</f>
        <v>1.15</v>
      </c>
      <c r="S984" s="18" t="n">
        <f aca="false">IFERROR(INDEX(SEMANAS!$H$6:$H$71,MATCH($B984,SEMANAS!$B$6:$B$71,0)),0)</f>
        <v>40.6</v>
      </c>
      <c r="T984" s="18" t="n">
        <f aca="false">$R984*$S984</f>
        <v>46.69</v>
      </c>
      <c r="U984" s="18" t="n">
        <f aca="false">IFERROR(INDEX(SEMANAS!$I$6:$I$71,MATCH($B984,SEMANAS!$B$6:$B$71,0)),0)</f>
        <v>7</v>
      </c>
      <c r="V984" s="18" t="n">
        <f aca="false">IFERROR(INDEX(SEMANAS!$J$6:$J$71,MATCH($B984,SEMANAS!$B$6:$B$71,0)),0)</f>
        <v>5.6</v>
      </c>
      <c r="W984" s="18" t="n">
        <f aca="false">MAX(0,$T984-$V984)</f>
        <v>41.09</v>
      </c>
      <c r="X984" s="19" t="n">
        <f aca="false">IFERROR(INDEX(CADASTRO_PIVOS!$K$6:$K$41,MATCH($E984,CADASTRO_PIVOS!$B$6:$B$41,0)),EFICIENCIA_PADRAO)</f>
        <v>0.85</v>
      </c>
      <c r="Y984" s="18" t="n">
        <f aca="false">IF($X984&lt;=0,0,$W984/$X984)</f>
        <v>48.3411764705882</v>
      </c>
      <c r="Z984" s="16" t="n">
        <f aca="false">$Y984*$H984*MM_PARA_M3_HA</f>
        <v>48321.84</v>
      </c>
      <c r="AA984" s="18" t="n">
        <f aca="false">IFERROR(INDEX(CADASTRO_PIVOS!$I$6:$I$41,MATCH($E984,CADASTRO_PIVOS!$B$6:$B$41,0)),0)</f>
        <v>714</v>
      </c>
      <c r="AB984" s="18" t="n">
        <f aca="false">IF($Z984&lt;=0,0,$Z984/$AA984)</f>
        <v>67.6776470588235</v>
      </c>
      <c r="AC984" s="16" t="n">
        <f aca="false">IFERROR(INDEX(SEMANAS!$K$6:$K$71,MATCH($B984,SEMANAS!$B$6:$B$71,0)),0)</f>
        <v>147</v>
      </c>
      <c r="AD984" s="19" t="n">
        <f aca="false">IF($AC984&lt;=0,0,$AB984/$AC984)</f>
        <v>0.460392156862745</v>
      </c>
      <c r="AE984" s="8" t="str">
        <f aca="false">IF($K984="SEM CULTURA","SEM CULTURA",IF($AA984&lt;=0,"DADO PENDENTE",IF($AD984&gt;LIMITE_CRITICO,"INVIAVEL",IF($AD984&gt;LIMITE_ATENCAO,"CRITICO",IF($AD984&gt;LIMITE_CONFORTAVEL,"ATENCAO","OK")))))</f>
        <v>OK</v>
      </c>
      <c r="AF984" s="8" t="str">
        <f aca="false">$B984&amp;"|"&amp;TEXT($AD984,"0.000000")</f>
        <v>55|0.460392</v>
      </c>
      <c r="AG984" s="18" t="n">
        <f aca="false">IF($K984="SEM CULTURA",0,$T984*$H984)</f>
        <v>4667.1324</v>
      </c>
      <c r="AH984" s="18" t="n">
        <f aca="false">IF($K984="SEM CULTURA",0,$V984*$H984)</f>
        <v>559.776</v>
      </c>
      <c r="AI984" s="18" t="n">
        <f aca="false">IF($K984="SEM CULTURA",0,$W984*$H984)</f>
        <v>4107.3564</v>
      </c>
      <c r="AJ984" s="18" t="n">
        <f aca="false">IF($K984="SEM CULTURA",0,$S984*$H984)</f>
        <v>4058.376</v>
      </c>
      <c r="AK984" s="8" t="str">
        <f aca="false">$E984&amp;"|"&amp;TEXT($AD984,"0.000000")</f>
        <v>PV 131|0.460392</v>
      </c>
    </row>
    <row r="985" customFormat="false" ht="15" hidden="false" customHeight="false" outlineLevel="0" collapsed="false">
      <c r="B985" s="16" t="n">
        <v>56</v>
      </c>
      <c r="C985" s="17" t="n">
        <f aca="false">DATA_INICIO_SAFRA+($B985-1)*DIAS_POR_SEMANA</f>
        <v>46650</v>
      </c>
      <c r="D985" s="17" t="n">
        <f aca="false">$C985+DIAS_POR_SEMANA-1</f>
        <v>46656</v>
      </c>
      <c r="E985" s="15" t="s">
        <v>273</v>
      </c>
      <c r="F985" s="8" t="str">
        <f aca="false">IFERROR(INDEX(CADASTRO_PIVOS!$C$6:$C$41,MATCH($E985,CADASTRO_PIVOS!$B$6:$B$41,0)),"?")</f>
        <v>RM05</v>
      </c>
      <c r="G985" s="8" t="str">
        <f aca="false">IFERROR(INDEX(CADASTRO_PIVOS!$D$6:$D$41,MATCH($E985,CADASTRO_PIVOS!$B$6:$B$41,0)),"?")</f>
        <v>TR05</v>
      </c>
      <c r="H985" s="20" t="n">
        <f aca="false">IFERROR(INDEX(CADASTRO_PIVOS!$E$6:$E$41,MATCH($E985,CADASTRO_PIVOS!$B$6:$B$41,0)),0)</f>
        <v>99.96</v>
      </c>
      <c r="I985" s="16" t="n">
        <f aca="false">IFERROR(SUMIFS(ROTACAO_RDM!$B$6:$B$71,ROTACAO_RDM!$D$6:$D$71,$E985,ROTACAO_RDM!$I$6:$I$71,"&lt;="&amp;$C985+INT(DIAS_POR_SEMANA/2),ROTACAO_RDM!$J$6:$J$71,"&gt;="&amp;$C985+INT(DIAS_POR_SEMANA/2)),0)</f>
        <v>61</v>
      </c>
      <c r="J985" s="16" t="n">
        <f aca="false">IFERROR(MATCH($I985,ROTACAO_RDM!$B$6:$B$71,0),0)</f>
        <v>61</v>
      </c>
      <c r="K985" s="8" t="str">
        <f aca="false">IF($J985=0,"SEM CULTURA",INDEX(ROTACAO_RDM!$F$6:$F$71,$J985))</f>
        <v>MILHO_SEMENTE</v>
      </c>
      <c r="L985" s="8" t="n">
        <f aca="false">IF($J985=0,"",INDEX(ROTACAO_RDM!$G$6:$G$71,$J985))</f>
        <v>0</v>
      </c>
      <c r="M985" s="17" t="n">
        <f aca="false">IF($J985=0,"",INDEX(ROTACAO_RDM!$I$6:$I$71,$J985))</f>
        <v>46570</v>
      </c>
      <c r="N985" s="16" t="n">
        <f aca="false">IF($J985=0,0,MAX(0,$C985+INT(DIAS_POR_SEMANA/2)-INDEX(ROTACAO_RDM!$I$6:$I$71,$J985)))</f>
        <v>83</v>
      </c>
      <c r="O985" s="19" t="n">
        <f aca="false">IF($J985=0,0,MIN(1,$N985/MAX(1,INDEX(ROTACAO_RDM!$K$6:$K$71,$J985))))</f>
        <v>0.572413793103448</v>
      </c>
      <c r="P985" s="16" t="n">
        <f aca="false">IF($J985=0,0,IFERROR(MATCH(INDEX(ROTACAO_RDM!$N$6:$N$71,$J985),PARAMETROS_CULTURAS!$B$6:$B$28,0),0))</f>
        <v>7</v>
      </c>
      <c r="Q985" s="8" t="str">
        <f aca="false">IF($P985=0,"-",IF($O985&lt;=INDEX(PARAMETROS_CULTURAS!$F$6:$F$28,$P985),"INICIAL",IF($O985&lt;=INDEX(PARAMETROS_CULTURAS!$F$6:$F$28,$P985)+INDEX(PARAMETROS_CULTURAS!$G$6:$G$28,$P985),"DESENVOLVIMENTO",IF($O985&lt;=INDEX(PARAMETROS_CULTURAS!$F$6:$F$28,$P985)+INDEX(PARAMETROS_CULTURAS!$G$6:$G$28,$P985)+INDEX(PARAMETROS_CULTURAS!$H$6:$H$28,$P985),"MEDIA","FINAL"))))</f>
        <v>MEDIA</v>
      </c>
      <c r="R985" s="24" t="n">
        <f aca="false">IF($P985=0,0,IF($O985&lt;=INDEX(PARAMETROS_CULTURAS!$F$6:$F$28,$P985),INDEX(PARAMETROS_CULTURAS!$K$6:$K$28,$P985),IF($O985&lt;=INDEX(PARAMETROS_CULTURAS!$F$6:$F$28,$P985)+INDEX(PARAMETROS_CULTURAS!$G$6:$G$28,$P985),INDEX(PARAMETROS_CULTURAS!$K$6:$K$28,$P985)+(INDEX(PARAMETROS_CULTURAS!$L$6:$L$28,$P985)-INDEX(PARAMETROS_CULTURAS!$K$6:$K$28,$P985))*($O985-INDEX(PARAMETROS_CULTURAS!$F$6:$F$28,$P985))/MAX(INDEX(PARAMETROS_CULTURAS!$G$6:$G$28,$P985),0.0001),IF($O985&lt;=INDEX(PARAMETROS_CULTURAS!$F$6:$F$28,$P985)+INDEX(PARAMETROS_CULTURAS!$G$6:$G$28,$P985)+INDEX(PARAMETROS_CULTURAS!$H$6:$H$28,$P985),INDEX(PARAMETROS_CULTURAS!$L$6:$L$28,$P985),INDEX(PARAMETROS_CULTURAS!$L$6:$L$28,$P985)+(INDEX(PARAMETROS_CULTURAS!$M$6:$M$28,$P985)-INDEX(PARAMETROS_CULTURAS!$L$6:$L$28,$P985))*($O985-INDEX(PARAMETROS_CULTURAS!$F$6:$F$28,$P985)-INDEX(PARAMETROS_CULTURAS!$G$6:$G$28,$P985)-INDEX(PARAMETROS_CULTURAS!$H$6:$H$28,$P985))/MAX(INDEX(PARAMETROS_CULTURAS!$I$6:$I$28,$P985),0.0001)))))</f>
        <v>1.15</v>
      </c>
      <c r="S985" s="18" t="n">
        <f aca="false">IFERROR(INDEX(SEMANAS!$H$6:$H$71,MATCH($B985,SEMANAS!$B$6:$B$71,0)),0)</f>
        <v>40.6</v>
      </c>
      <c r="T985" s="18" t="n">
        <f aca="false">$R985*$S985</f>
        <v>46.69</v>
      </c>
      <c r="U985" s="18" t="n">
        <f aca="false">IFERROR(INDEX(SEMANAS!$I$6:$I$71,MATCH($B985,SEMANAS!$B$6:$B$71,0)),0)</f>
        <v>7</v>
      </c>
      <c r="V985" s="18" t="n">
        <f aca="false">IFERROR(INDEX(SEMANAS!$J$6:$J$71,MATCH($B985,SEMANAS!$B$6:$B$71,0)),0)</f>
        <v>5.6</v>
      </c>
      <c r="W985" s="18" t="n">
        <f aca="false">MAX(0,$T985-$V985)</f>
        <v>41.09</v>
      </c>
      <c r="X985" s="19" t="n">
        <f aca="false">IFERROR(INDEX(CADASTRO_PIVOS!$K$6:$K$41,MATCH($E985,CADASTRO_PIVOS!$B$6:$B$41,0)),EFICIENCIA_PADRAO)</f>
        <v>0.85</v>
      </c>
      <c r="Y985" s="18" t="n">
        <f aca="false">IF($X985&lt;=0,0,$W985/$X985)</f>
        <v>48.3411764705882</v>
      </c>
      <c r="Z985" s="16" t="n">
        <f aca="false">$Y985*$H985*MM_PARA_M3_HA</f>
        <v>48321.84</v>
      </c>
      <c r="AA985" s="18" t="n">
        <f aca="false">IFERROR(INDEX(CADASTRO_PIVOS!$I$6:$I$41,MATCH($E985,CADASTRO_PIVOS!$B$6:$B$41,0)),0)</f>
        <v>714</v>
      </c>
      <c r="AB985" s="18" t="n">
        <f aca="false">IF($Z985&lt;=0,0,$Z985/$AA985)</f>
        <v>67.6776470588235</v>
      </c>
      <c r="AC985" s="16" t="n">
        <f aca="false">IFERROR(INDEX(SEMANAS!$K$6:$K$71,MATCH($B985,SEMANAS!$B$6:$B$71,0)),0)</f>
        <v>147</v>
      </c>
      <c r="AD985" s="19" t="n">
        <f aca="false">IF($AC985&lt;=0,0,$AB985/$AC985)</f>
        <v>0.460392156862745</v>
      </c>
      <c r="AE985" s="8" t="str">
        <f aca="false">IF($K985="SEM CULTURA","SEM CULTURA",IF($AA985&lt;=0,"DADO PENDENTE",IF($AD985&gt;LIMITE_CRITICO,"INVIAVEL",IF($AD985&gt;LIMITE_ATENCAO,"CRITICO",IF($AD985&gt;LIMITE_CONFORTAVEL,"ATENCAO","OK")))))</f>
        <v>OK</v>
      </c>
      <c r="AF985" s="8" t="str">
        <f aca="false">$B985&amp;"|"&amp;TEXT($AD985,"0.000000")</f>
        <v>56|0.460392</v>
      </c>
      <c r="AG985" s="18" t="n">
        <f aca="false">IF($K985="SEM CULTURA",0,$T985*$H985)</f>
        <v>4667.1324</v>
      </c>
      <c r="AH985" s="18" t="n">
        <f aca="false">IF($K985="SEM CULTURA",0,$V985*$H985)</f>
        <v>559.776</v>
      </c>
      <c r="AI985" s="18" t="n">
        <f aca="false">IF($K985="SEM CULTURA",0,$W985*$H985)</f>
        <v>4107.3564</v>
      </c>
      <c r="AJ985" s="18" t="n">
        <f aca="false">IF($K985="SEM CULTURA",0,$S985*$H985)</f>
        <v>4058.376</v>
      </c>
      <c r="AK985" s="8" t="str">
        <f aca="false">$E985&amp;"|"&amp;TEXT($AD985,"0.000000")</f>
        <v>PV 131|0.460392</v>
      </c>
    </row>
    <row r="986" customFormat="false" ht="15" hidden="false" customHeight="false" outlineLevel="0" collapsed="false">
      <c r="B986" s="16" t="n">
        <v>57</v>
      </c>
      <c r="C986" s="17" t="n">
        <f aca="false">DATA_INICIO_SAFRA+($B986-1)*DIAS_POR_SEMANA</f>
        <v>46657</v>
      </c>
      <c r="D986" s="17" t="n">
        <f aca="false">$C986+DIAS_POR_SEMANA-1</f>
        <v>46663</v>
      </c>
      <c r="E986" s="15" t="s">
        <v>273</v>
      </c>
      <c r="F986" s="8" t="str">
        <f aca="false">IFERROR(INDEX(CADASTRO_PIVOS!$C$6:$C$41,MATCH($E986,CADASTRO_PIVOS!$B$6:$B$41,0)),"?")</f>
        <v>RM05</v>
      </c>
      <c r="G986" s="8" t="str">
        <f aca="false">IFERROR(INDEX(CADASTRO_PIVOS!$D$6:$D$41,MATCH($E986,CADASTRO_PIVOS!$B$6:$B$41,0)),"?")</f>
        <v>TR05</v>
      </c>
      <c r="H986" s="20" t="n">
        <f aca="false">IFERROR(INDEX(CADASTRO_PIVOS!$E$6:$E$41,MATCH($E986,CADASTRO_PIVOS!$B$6:$B$41,0)),0)</f>
        <v>99.96</v>
      </c>
      <c r="I986" s="16" t="n">
        <f aca="false">IFERROR(SUMIFS(ROTACAO_RDM!$B$6:$B$71,ROTACAO_RDM!$D$6:$D$71,$E986,ROTACAO_RDM!$I$6:$I$71,"&lt;="&amp;$C986+INT(DIAS_POR_SEMANA/2),ROTACAO_RDM!$J$6:$J$71,"&gt;="&amp;$C986+INT(DIAS_POR_SEMANA/2)),0)</f>
        <v>61</v>
      </c>
      <c r="J986" s="16" t="n">
        <f aca="false">IFERROR(MATCH($I986,ROTACAO_RDM!$B$6:$B$71,0),0)</f>
        <v>61</v>
      </c>
      <c r="K986" s="8" t="str">
        <f aca="false">IF($J986=0,"SEM CULTURA",INDEX(ROTACAO_RDM!$F$6:$F$71,$J986))</f>
        <v>MILHO_SEMENTE</v>
      </c>
      <c r="L986" s="8" t="n">
        <f aca="false">IF($J986=0,"",INDEX(ROTACAO_RDM!$G$6:$G$71,$J986))</f>
        <v>0</v>
      </c>
      <c r="M986" s="17" t="n">
        <f aca="false">IF($J986=0,"",INDEX(ROTACAO_RDM!$I$6:$I$71,$J986))</f>
        <v>46570</v>
      </c>
      <c r="N986" s="16" t="n">
        <f aca="false">IF($J986=0,0,MAX(0,$C986+INT(DIAS_POR_SEMANA/2)-INDEX(ROTACAO_RDM!$I$6:$I$71,$J986)))</f>
        <v>90</v>
      </c>
      <c r="O986" s="19" t="n">
        <f aca="false">IF($J986=0,0,MIN(1,$N986/MAX(1,INDEX(ROTACAO_RDM!$K$6:$K$71,$J986))))</f>
        <v>0.620689655172414</v>
      </c>
      <c r="P986" s="16" t="n">
        <f aca="false">IF($J986=0,0,IFERROR(MATCH(INDEX(ROTACAO_RDM!$N$6:$N$71,$J986),PARAMETROS_CULTURAS!$B$6:$B$28,0),0))</f>
        <v>7</v>
      </c>
      <c r="Q986" s="8" t="str">
        <f aca="false">IF($P986=0,"-",IF($O986&lt;=INDEX(PARAMETROS_CULTURAS!$F$6:$F$28,$P986),"INICIAL",IF($O986&lt;=INDEX(PARAMETROS_CULTURAS!$F$6:$F$28,$P986)+INDEX(PARAMETROS_CULTURAS!$G$6:$G$28,$P986),"DESENVOLVIMENTO",IF($O986&lt;=INDEX(PARAMETROS_CULTURAS!$F$6:$F$28,$P986)+INDEX(PARAMETROS_CULTURAS!$G$6:$G$28,$P986)+INDEX(PARAMETROS_CULTURAS!$H$6:$H$28,$P986),"MEDIA","FINAL"))))</f>
        <v>MEDIA</v>
      </c>
      <c r="R986" s="24" t="n">
        <f aca="false">IF($P986=0,0,IF($O986&lt;=INDEX(PARAMETROS_CULTURAS!$F$6:$F$28,$P986),INDEX(PARAMETROS_CULTURAS!$K$6:$K$28,$P986),IF($O986&lt;=INDEX(PARAMETROS_CULTURAS!$F$6:$F$28,$P986)+INDEX(PARAMETROS_CULTURAS!$G$6:$G$28,$P986),INDEX(PARAMETROS_CULTURAS!$K$6:$K$28,$P986)+(INDEX(PARAMETROS_CULTURAS!$L$6:$L$28,$P986)-INDEX(PARAMETROS_CULTURAS!$K$6:$K$28,$P986))*($O986-INDEX(PARAMETROS_CULTURAS!$F$6:$F$28,$P986))/MAX(INDEX(PARAMETROS_CULTURAS!$G$6:$G$28,$P986),0.0001),IF($O986&lt;=INDEX(PARAMETROS_CULTURAS!$F$6:$F$28,$P986)+INDEX(PARAMETROS_CULTURAS!$G$6:$G$28,$P986)+INDEX(PARAMETROS_CULTURAS!$H$6:$H$28,$P986),INDEX(PARAMETROS_CULTURAS!$L$6:$L$28,$P986),INDEX(PARAMETROS_CULTURAS!$L$6:$L$28,$P986)+(INDEX(PARAMETROS_CULTURAS!$M$6:$M$28,$P986)-INDEX(PARAMETROS_CULTURAS!$L$6:$L$28,$P986))*($O986-INDEX(PARAMETROS_CULTURAS!$F$6:$F$28,$P986)-INDEX(PARAMETROS_CULTURAS!$G$6:$G$28,$P986)-INDEX(PARAMETROS_CULTURAS!$H$6:$H$28,$P986))/MAX(INDEX(PARAMETROS_CULTURAS!$I$6:$I$28,$P986),0.0001)))))</f>
        <v>1.15</v>
      </c>
      <c r="S986" s="18" t="n">
        <f aca="false">IFERROR(INDEX(SEMANAS!$H$6:$H$71,MATCH($B986,SEMANAS!$B$6:$B$71,0)),0)</f>
        <v>40</v>
      </c>
      <c r="T986" s="18" t="n">
        <f aca="false">$R986*$S986</f>
        <v>46</v>
      </c>
      <c r="U986" s="18" t="n">
        <f aca="false">IFERROR(INDEX(SEMANAS!$I$6:$I$71,MATCH($B986,SEMANAS!$B$6:$B$71,0)),0)</f>
        <v>15.61</v>
      </c>
      <c r="V986" s="18" t="n">
        <f aca="false">IFERROR(INDEX(SEMANAS!$J$6:$J$71,MATCH($B986,SEMANAS!$B$6:$B$71,0)),0)</f>
        <v>12.488</v>
      </c>
      <c r="W986" s="18" t="n">
        <f aca="false">MAX(0,$T986-$V986)</f>
        <v>33.512</v>
      </c>
      <c r="X986" s="19" t="n">
        <f aca="false">IFERROR(INDEX(CADASTRO_PIVOS!$K$6:$K$41,MATCH($E986,CADASTRO_PIVOS!$B$6:$B$41,0)),EFICIENCIA_PADRAO)</f>
        <v>0.85</v>
      </c>
      <c r="Y986" s="18" t="n">
        <f aca="false">IF($X986&lt;=0,0,$W986/$X986)</f>
        <v>39.4258823529412</v>
      </c>
      <c r="Z986" s="16" t="n">
        <f aca="false">$Y986*$H986*MM_PARA_M3_HA</f>
        <v>39410.112</v>
      </c>
      <c r="AA986" s="18" t="n">
        <f aca="false">IFERROR(INDEX(CADASTRO_PIVOS!$I$6:$I$41,MATCH($E986,CADASTRO_PIVOS!$B$6:$B$41,0)),0)</f>
        <v>714</v>
      </c>
      <c r="AB986" s="18" t="n">
        <f aca="false">IF($Z986&lt;=0,0,$Z986/$AA986)</f>
        <v>55.1962352941177</v>
      </c>
      <c r="AC986" s="16" t="n">
        <f aca="false">IFERROR(INDEX(SEMANAS!$K$6:$K$71,MATCH($B986,SEMANAS!$B$6:$B$71,0)),0)</f>
        <v>147</v>
      </c>
      <c r="AD986" s="19" t="n">
        <f aca="false">IF($AC986&lt;=0,0,$AB986/$AC986)</f>
        <v>0.375484593837535</v>
      </c>
      <c r="AE986" s="8" t="str">
        <f aca="false">IF($K986="SEM CULTURA","SEM CULTURA",IF($AA986&lt;=0,"DADO PENDENTE",IF($AD986&gt;LIMITE_CRITICO,"INVIAVEL",IF($AD986&gt;LIMITE_ATENCAO,"CRITICO",IF($AD986&gt;LIMITE_CONFORTAVEL,"ATENCAO","OK")))))</f>
        <v>OK</v>
      </c>
      <c r="AF986" s="8" t="str">
        <f aca="false">$B986&amp;"|"&amp;TEXT($AD986,"0.000000")</f>
        <v>57|0.375485</v>
      </c>
      <c r="AG986" s="18" t="n">
        <f aca="false">IF($K986="SEM CULTURA",0,$T986*$H986)</f>
        <v>4598.16</v>
      </c>
      <c r="AH986" s="18" t="n">
        <f aca="false">IF($K986="SEM CULTURA",0,$V986*$H986)</f>
        <v>1248.30048</v>
      </c>
      <c r="AI986" s="18" t="n">
        <f aca="false">IF($K986="SEM CULTURA",0,$W986*$H986)</f>
        <v>3349.85952</v>
      </c>
      <c r="AJ986" s="18" t="n">
        <f aca="false">IF($K986="SEM CULTURA",0,$S986*$H986)</f>
        <v>3998.4</v>
      </c>
      <c r="AK986" s="8" t="str">
        <f aca="false">$E986&amp;"|"&amp;TEXT($AD986,"0.000000")</f>
        <v>PV 131|0.375485</v>
      </c>
    </row>
    <row r="987" customFormat="false" ht="15" hidden="false" customHeight="false" outlineLevel="0" collapsed="false">
      <c r="B987" s="16" t="n">
        <v>58</v>
      </c>
      <c r="C987" s="17" t="n">
        <f aca="false">DATA_INICIO_SAFRA+($B987-1)*DIAS_POR_SEMANA</f>
        <v>46664</v>
      </c>
      <c r="D987" s="17" t="n">
        <f aca="false">$C987+DIAS_POR_SEMANA-1</f>
        <v>46670</v>
      </c>
      <c r="E987" s="15" t="s">
        <v>273</v>
      </c>
      <c r="F987" s="8" t="str">
        <f aca="false">IFERROR(INDEX(CADASTRO_PIVOS!$C$6:$C$41,MATCH($E987,CADASTRO_PIVOS!$B$6:$B$41,0)),"?")</f>
        <v>RM05</v>
      </c>
      <c r="G987" s="8" t="str">
        <f aca="false">IFERROR(INDEX(CADASTRO_PIVOS!$D$6:$D$41,MATCH($E987,CADASTRO_PIVOS!$B$6:$B$41,0)),"?")</f>
        <v>TR05</v>
      </c>
      <c r="H987" s="20" t="n">
        <f aca="false">IFERROR(INDEX(CADASTRO_PIVOS!$E$6:$E$41,MATCH($E987,CADASTRO_PIVOS!$B$6:$B$41,0)),0)</f>
        <v>99.96</v>
      </c>
      <c r="I987" s="16" t="n">
        <f aca="false">IFERROR(SUMIFS(ROTACAO_RDM!$B$6:$B$71,ROTACAO_RDM!$D$6:$D$71,$E987,ROTACAO_RDM!$I$6:$I$71,"&lt;="&amp;$C987+INT(DIAS_POR_SEMANA/2),ROTACAO_RDM!$J$6:$J$71,"&gt;="&amp;$C987+INT(DIAS_POR_SEMANA/2)),0)</f>
        <v>61</v>
      </c>
      <c r="J987" s="16" t="n">
        <f aca="false">IFERROR(MATCH($I987,ROTACAO_RDM!$B$6:$B$71,0),0)</f>
        <v>61</v>
      </c>
      <c r="K987" s="8" t="str">
        <f aca="false">IF($J987=0,"SEM CULTURA",INDEX(ROTACAO_RDM!$F$6:$F$71,$J987))</f>
        <v>MILHO_SEMENTE</v>
      </c>
      <c r="L987" s="8" t="n">
        <f aca="false">IF($J987=0,"",INDEX(ROTACAO_RDM!$G$6:$G$71,$J987))</f>
        <v>0</v>
      </c>
      <c r="M987" s="17" t="n">
        <f aca="false">IF($J987=0,"",INDEX(ROTACAO_RDM!$I$6:$I$71,$J987))</f>
        <v>46570</v>
      </c>
      <c r="N987" s="16" t="n">
        <f aca="false">IF($J987=0,0,MAX(0,$C987+INT(DIAS_POR_SEMANA/2)-INDEX(ROTACAO_RDM!$I$6:$I$71,$J987)))</f>
        <v>97</v>
      </c>
      <c r="O987" s="19" t="n">
        <f aca="false">IF($J987=0,0,MIN(1,$N987/MAX(1,INDEX(ROTACAO_RDM!$K$6:$K$71,$J987))))</f>
        <v>0.668965517241379</v>
      </c>
      <c r="P987" s="16" t="n">
        <f aca="false">IF($J987=0,0,IFERROR(MATCH(INDEX(ROTACAO_RDM!$N$6:$N$71,$J987),PARAMETROS_CULTURAS!$B$6:$B$28,0),0))</f>
        <v>7</v>
      </c>
      <c r="Q987" s="8" t="str">
        <f aca="false">IF($P987=0,"-",IF($O987&lt;=INDEX(PARAMETROS_CULTURAS!$F$6:$F$28,$P987),"INICIAL",IF($O987&lt;=INDEX(PARAMETROS_CULTURAS!$F$6:$F$28,$P987)+INDEX(PARAMETROS_CULTURAS!$G$6:$G$28,$P987),"DESENVOLVIMENTO",IF($O987&lt;=INDEX(PARAMETROS_CULTURAS!$F$6:$F$28,$P987)+INDEX(PARAMETROS_CULTURAS!$G$6:$G$28,$P987)+INDEX(PARAMETROS_CULTURAS!$H$6:$H$28,$P987),"MEDIA","FINAL"))))</f>
        <v>MEDIA</v>
      </c>
      <c r="R987" s="24" t="n">
        <f aca="false">IF($P987=0,0,IF($O987&lt;=INDEX(PARAMETROS_CULTURAS!$F$6:$F$28,$P987),INDEX(PARAMETROS_CULTURAS!$K$6:$K$28,$P987),IF($O987&lt;=INDEX(PARAMETROS_CULTURAS!$F$6:$F$28,$P987)+INDEX(PARAMETROS_CULTURAS!$G$6:$G$28,$P987),INDEX(PARAMETROS_CULTURAS!$K$6:$K$28,$P987)+(INDEX(PARAMETROS_CULTURAS!$L$6:$L$28,$P987)-INDEX(PARAMETROS_CULTURAS!$K$6:$K$28,$P987))*($O987-INDEX(PARAMETROS_CULTURAS!$F$6:$F$28,$P987))/MAX(INDEX(PARAMETROS_CULTURAS!$G$6:$G$28,$P987),0.0001),IF($O987&lt;=INDEX(PARAMETROS_CULTURAS!$F$6:$F$28,$P987)+INDEX(PARAMETROS_CULTURAS!$G$6:$G$28,$P987)+INDEX(PARAMETROS_CULTURAS!$H$6:$H$28,$P987),INDEX(PARAMETROS_CULTURAS!$L$6:$L$28,$P987),INDEX(PARAMETROS_CULTURAS!$L$6:$L$28,$P987)+(INDEX(PARAMETROS_CULTURAS!$M$6:$M$28,$P987)-INDEX(PARAMETROS_CULTURAS!$L$6:$L$28,$P987))*($O987-INDEX(PARAMETROS_CULTURAS!$F$6:$F$28,$P987)-INDEX(PARAMETROS_CULTURAS!$G$6:$G$28,$P987)-INDEX(PARAMETROS_CULTURAS!$H$6:$H$28,$P987))/MAX(INDEX(PARAMETROS_CULTURAS!$I$6:$I$28,$P987),0.0001)))))</f>
        <v>1.15</v>
      </c>
      <c r="S987" s="18" t="n">
        <f aca="false">IFERROR(INDEX(SEMANAS!$H$6:$H$71,MATCH($B987,SEMANAS!$B$6:$B$71,0)),0)</f>
        <v>39.2</v>
      </c>
      <c r="T987" s="18" t="n">
        <f aca="false">$R987*$S987</f>
        <v>45.08</v>
      </c>
      <c r="U987" s="18" t="n">
        <f aca="false">IFERROR(INDEX(SEMANAS!$I$6:$I$71,MATCH($B987,SEMANAS!$B$6:$B$71,0)),0)</f>
        <v>27.09</v>
      </c>
      <c r="V987" s="18" t="n">
        <f aca="false">IFERROR(INDEX(SEMANAS!$J$6:$J$71,MATCH($B987,SEMANAS!$B$6:$B$71,0)),0)</f>
        <v>21.672</v>
      </c>
      <c r="W987" s="18" t="n">
        <f aca="false">MAX(0,$T987-$V987)</f>
        <v>23.408</v>
      </c>
      <c r="X987" s="19" t="n">
        <f aca="false">IFERROR(INDEX(CADASTRO_PIVOS!$K$6:$K$41,MATCH($E987,CADASTRO_PIVOS!$B$6:$B$41,0)),EFICIENCIA_PADRAO)</f>
        <v>0.85</v>
      </c>
      <c r="Y987" s="18" t="n">
        <f aca="false">IF($X987&lt;=0,0,$W987/$X987)</f>
        <v>27.5388235294118</v>
      </c>
      <c r="Z987" s="16" t="n">
        <f aca="false">$Y987*$H987*MM_PARA_M3_HA</f>
        <v>27527.808</v>
      </c>
      <c r="AA987" s="18" t="n">
        <f aca="false">IFERROR(INDEX(CADASTRO_PIVOS!$I$6:$I$41,MATCH($E987,CADASTRO_PIVOS!$B$6:$B$41,0)),0)</f>
        <v>714</v>
      </c>
      <c r="AB987" s="18" t="n">
        <f aca="false">IF($Z987&lt;=0,0,$Z987/$AA987)</f>
        <v>38.5543529411765</v>
      </c>
      <c r="AC987" s="16" t="n">
        <f aca="false">IFERROR(INDEX(SEMANAS!$K$6:$K$71,MATCH($B987,SEMANAS!$B$6:$B$71,0)),0)</f>
        <v>147</v>
      </c>
      <c r="AD987" s="19" t="n">
        <f aca="false">IF($AC987&lt;=0,0,$AB987/$AC987)</f>
        <v>0.262274509803922</v>
      </c>
      <c r="AE987" s="8" t="str">
        <f aca="false">IF($K987="SEM CULTURA","SEM CULTURA",IF($AA987&lt;=0,"DADO PENDENTE",IF($AD987&gt;LIMITE_CRITICO,"INVIAVEL",IF($AD987&gt;LIMITE_ATENCAO,"CRITICO",IF($AD987&gt;LIMITE_CONFORTAVEL,"ATENCAO","OK")))))</f>
        <v>OK</v>
      </c>
      <c r="AF987" s="8" t="str">
        <f aca="false">$B987&amp;"|"&amp;TEXT($AD987,"0.000000")</f>
        <v>58|0.262275</v>
      </c>
      <c r="AG987" s="18" t="n">
        <f aca="false">IF($K987="SEM CULTURA",0,$T987*$H987)</f>
        <v>4506.1968</v>
      </c>
      <c r="AH987" s="18" t="n">
        <f aca="false">IF($K987="SEM CULTURA",0,$V987*$H987)</f>
        <v>2166.33312</v>
      </c>
      <c r="AI987" s="18" t="n">
        <f aca="false">IF($K987="SEM CULTURA",0,$W987*$H987)</f>
        <v>2339.86368</v>
      </c>
      <c r="AJ987" s="18" t="n">
        <f aca="false">IF($K987="SEM CULTURA",0,$S987*$H987)</f>
        <v>3918.432</v>
      </c>
      <c r="AK987" s="8" t="str">
        <f aca="false">$E987&amp;"|"&amp;TEXT($AD987,"0.000000")</f>
        <v>PV 131|0.262275</v>
      </c>
    </row>
    <row r="988" customFormat="false" ht="15" hidden="false" customHeight="false" outlineLevel="0" collapsed="false">
      <c r="B988" s="16" t="n">
        <v>59</v>
      </c>
      <c r="C988" s="17" t="n">
        <f aca="false">DATA_INICIO_SAFRA+($B988-1)*DIAS_POR_SEMANA</f>
        <v>46671</v>
      </c>
      <c r="D988" s="17" t="n">
        <f aca="false">$C988+DIAS_POR_SEMANA-1</f>
        <v>46677</v>
      </c>
      <c r="E988" s="15" t="s">
        <v>273</v>
      </c>
      <c r="F988" s="8" t="str">
        <f aca="false">IFERROR(INDEX(CADASTRO_PIVOS!$C$6:$C$41,MATCH($E988,CADASTRO_PIVOS!$B$6:$B$41,0)),"?")</f>
        <v>RM05</v>
      </c>
      <c r="G988" s="8" t="str">
        <f aca="false">IFERROR(INDEX(CADASTRO_PIVOS!$D$6:$D$41,MATCH($E988,CADASTRO_PIVOS!$B$6:$B$41,0)),"?")</f>
        <v>TR05</v>
      </c>
      <c r="H988" s="20" t="n">
        <f aca="false">IFERROR(INDEX(CADASTRO_PIVOS!$E$6:$E$41,MATCH($E988,CADASTRO_PIVOS!$B$6:$B$41,0)),0)</f>
        <v>99.96</v>
      </c>
      <c r="I988" s="16" t="n">
        <f aca="false">IFERROR(SUMIFS(ROTACAO_RDM!$B$6:$B$71,ROTACAO_RDM!$D$6:$D$71,$E988,ROTACAO_RDM!$I$6:$I$71,"&lt;="&amp;$C988+INT(DIAS_POR_SEMANA/2),ROTACAO_RDM!$J$6:$J$71,"&gt;="&amp;$C988+INT(DIAS_POR_SEMANA/2)),0)</f>
        <v>61</v>
      </c>
      <c r="J988" s="16" t="n">
        <f aca="false">IFERROR(MATCH($I988,ROTACAO_RDM!$B$6:$B$71,0),0)</f>
        <v>61</v>
      </c>
      <c r="K988" s="8" t="str">
        <f aca="false">IF($J988=0,"SEM CULTURA",INDEX(ROTACAO_RDM!$F$6:$F$71,$J988))</f>
        <v>MILHO_SEMENTE</v>
      </c>
      <c r="L988" s="8" t="n">
        <f aca="false">IF($J988=0,"",INDEX(ROTACAO_RDM!$G$6:$G$71,$J988))</f>
        <v>0</v>
      </c>
      <c r="M988" s="17" t="n">
        <f aca="false">IF($J988=0,"",INDEX(ROTACAO_RDM!$I$6:$I$71,$J988))</f>
        <v>46570</v>
      </c>
      <c r="N988" s="16" t="n">
        <f aca="false">IF($J988=0,0,MAX(0,$C988+INT(DIAS_POR_SEMANA/2)-INDEX(ROTACAO_RDM!$I$6:$I$71,$J988)))</f>
        <v>104</v>
      </c>
      <c r="O988" s="19" t="n">
        <f aca="false">IF($J988=0,0,MIN(1,$N988/MAX(1,INDEX(ROTACAO_RDM!$K$6:$K$71,$J988))))</f>
        <v>0.717241379310345</v>
      </c>
      <c r="P988" s="16" t="n">
        <f aca="false">IF($J988=0,0,IFERROR(MATCH(INDEX(ROTACAO_RDM!$N$6:$N$71,$J988),PARAMETROS_CULTURAS!$B$6:$B$28,0),0))</f>
        <v>7</v>
      </c>
      <c r="Q988" s="8" t="str">
        <f aca="false">IF($P988=0,"-",IF($O988&lt;=INDEX(PARAMETROS_CULTURAS!$F$6:$F$28,$P988),"INICIAL",IF($O988&lt;=INDEX(PARAMETROS_CULTURAS!$F$6:$F$28,$P988)+INDEX(PARAMETROS_CULTURAS!$G$6:$G$28,$P988),"DESENVOLVIMENTO",IF($O988&lt;=INDEX(PARAMETROS_CULTURAS!$F$6:$F$28,$P988)+INDEX(PARAMETROS_CULTURAS!$G$6:$G$28,$P988)+INDEX(PARAMETROS_CULTURAS!$H$6:$H$28,$P988),"MEDIA","FINAL"))))</f>
        <v>MEDIA</v>
      </c>
      <c r="R988" s="24" t="n">
        <f aca="false">IF($P988=0,0,IF($O988&lt;=INDEX(PARAMETROS_CULTURAS!$F$6:$F$28,$P988),INDEX(PARAMETROS_CULTURAS!$K$6:$K$28,$P988),IF($O988&lt;=INDEX(PARAMETROS_CULTURAS!$F$6:$F$28,$P988)+INDEX(PARAMETROS_CULTURAS!$G$6:$G$28,$P988),INDEX(PARAMETROS_CULTURAS!$K$6:$K$28,$P988)+(INDEX(PARAMETROS_CULTURAS!$L$6:$L$28,$P988)-INDEX(PARAMETROS_CULTURAS!$K$6:$K$28,$P988))*($O988-INDEX(PARAMETROS_CULTURAS!$F$6:$F$28,$P988))/MAX(INDEX(PARAMETROS_CULTURAS!$G$6:$G$28,$P988),0.0001),IF($O988&lt;=INDEX(PARAMETROS_CULTURAS!$F$6:$F$28,$P988)+INDEX(PARAMETROS_CULTURAS!$G$6:$G$28,$P988)+INDEX(PARAMETROS_CULTURAS!$H$6:$H$28,$P988),INDEX(PARAMETROS_CULTURAS!$L$6:$L$28,$P988),INDEX(PARAMETROS_CULTURAS!$L$6:$L$28,$P988)+(INDEX(PARAMETROS_CULTURAS!$M$6:$M$28,$P988)-INDEX(PARAMETROS_CULTURAS!$L$6:$L$28,$P988))*($O988-INDEX(PARAMETROS_CULTURAS!$F$6:$F$28,$P988)-INDEX(PARAMETROS_CULTURAS!$G$6:$G$28,$P988)-INDEX(PARAMETROS_CULTURAS!$H$6:$H$28,$P988))/MAX(INDEX(PARAMETROS_CULTURAS!$I$6:$I$28,$P988),0.0001)))))</f>
        <v>1.15</v>
      </c>
      <c r="S988" s="18" t="n">
        <f aca="false">IFERROR(INDEX(SEMANAS!$H$6:$H$71,MATCH($B988,SEMANAS!$B$6:$B$71,0)),0)</f>
        <v>39.2</v>
      </c>
      <c r="T988" s="18" t="n">
        <f aca="false">$R988*$S988</f>
        <v>45.08</v>
      </c>
      <c r="U988" s="18" t="n">
        <f aca="false">IFERROR(INDEX(SEMANAS!$I$6:$I$71,MATCH($B988,SEMANAS!$B$6:$B$71,0)),0)</f>
        <v>27.09</v>
      </c>
      <c r="V988" s="18" t="n">
        <f aca="false">IFERROR(INDEX(SEMANAS!$J$6:$J$71,MATCH($B988,SEMANAS!$B$6:$B$71,0)),0)</f>
        <v>21.672</v>
      </c>
      <c r="W988" s="18" t="n">
        <f aca="false">MAX(0,$T988-$V988)</f>
        <v>23.408</v>
      </c>
      <c r="X988" s="19" t="n">
        <f aca="false">IFERROR(INDEX(CADASTRO_PIVOS!$K$6:$K$41,MATCH($E988,CADASTRO_PIVOS!$B$6:$B$41,0)),EFICIENCIA_PADRAO)</f>
        <v>0.85</v>
      </c>
      <c r="Y988" s="18" t="n">
        <f aca="false">IF($X988&lt;=0,0,$W988/$X988)</f>
        <v>27.5388235294118</v>
      </c>
      <c r="Z988" s="16" t="n">
        <f aca="false">$Y988*$H988*MM_PARA_M3_HA</f>
        <v>27527.808</v>
      </c>
      <c r="AA988" s="18" t="n">
        <f aca="false">IFERROR(INDEX(CADASTRO_PIVOS!$I$6:$I$41,MATCH($E988,CADASTRO_PIVOS!$B$6:$B$41,0)),0)</f>
        <v>714</v>
      </c>
      <c r="AB988" s="18" t="n">
        <f aca="false">IF($Z988&lt;=0,0,$Z988/$AA988)</f>
        <v>38.5543529411765</v>
      </c>
      <c r="AC988" s="16" t="n">
        <f aca="false">IFERROR(INDEX(SEMANAS!$K$6:$K$71,MATCH($B988,SEMANAS!$B$6:$B$71,0)),0)</f>
        <v>147</v>
      </c>
      <c r="AD988" s="19" t="n">
        <f aca="false">IF($AC988&lt;=0,0,$AB988/$AC988)</f>
        <v>0.262274509803922</v>
      </c>
      <c r="AE988" s="8" t="str">
        <f aca="false">IF($K988="SEM CULTURA","SEM CULTURA",IF($AA988&lt;=0,"DADO PENDENTE",IF($AD988&gt;LIMITE_CRITICO,"INVIAVEL",IF($AD988&gt;LIMITE_ATENCAO,"CRITICO",IF($AD988&gt;LIMITE_CONFORTAVEL,"ATENCAO","OK")))))</f>
        <v>OK</v>
      </c>
      <c r="AF988" s="8" t="str">
        <f aca="false">$B988&amp;"|"&amp;TEXT($AD988,"0.000000")</f>
        <v>59|0.262275</v>
      </c>
      <c r="AG988" s="18" t="n">
        <f aca="false">IF($K988="SEM CULTURA",0,$T988*$H988)</f>
        <v>4506.1968</v>
      </c>
      <c r="AH988" s="18" t="n">
        <f aca="false">IF($K988="SEM CULTURA",0,$V988*$H988)</f>
        <v>2166.33312</v>
      </c>
      <c r="AI988" s="18" t="n">
        <f aca="false">IF($K988="SEM CULTURA",0,$W988*$H988)</f>
        <v>2339.86368</v>
      </c>
      <c r="AJ988" s="18" t="n">
        <f aca="false">IF($K988="SEM CULTURA",0,$S988*$H988)</f>
        <v>3918.432</v>
      </c>
      <c r="AK988" s="8" t="str">
        <f aca="false">$E988&amp;"|"&amp;TEXT($AD988,"0.000000")</f>
        <v>PV 131|0.262275</v>
      </c>
    </row>
    <row r="989" customFormat="false" ht="15" hidden="false" customHeight="false" outlineLevel="0" collapsed="false">
      <c r="B989" s="16" t="n">
        <v>60</v>
      </c>
      <c r="C989" s="17" t="n">
        <f aca="false">DATA_INICIO_SAFRA+($B989-1)*DIAS_POR_SEMANA</f>
        <v>46678</v>
      </c>
      <c r="D989" s="17" t="n">
        <f aca="false">$C989+DIAS_POR_SEMANA-1</f>
        <v>46684</v>
      </c>
      <c r="E989" s="15" t="s">
        <v>273</v>
      </c>
      <c r="F989" s="8" t="str">
        <f aca="false">IFERROR(INDEX(CADASTRO_PIVOS!$C$6:$C$41,MATCH($E989,CADASTRO_PIVOS!$B$6:$B$41,0)),"?")</f>
        <v>RM05</v>
      </c>
      <c r="G989" s="8" t="str">
        <f aca="false">IFERROR(INDEX(CADASTRO_PIVOS!$D$6:$D$41,MATCH($E989,CADASTRO_PIVOS!$B$6:$B$41,0)),"?")</f>
        <v>TR05</v>
      </c>
      <c r="H989" s="20" t="n">
        <f aca="false">IFERROR(INDEX(CADASTRO_PIVOS!$E$6:$E$41,MATCH($E989,CADASTRO_PIVOS!$B$6:$B$41,0)),0)</f>
        <v>99.96</v>
      </c>
      <c r="I989" s="16" t="n">
        <f aca="false">IFERROR(SUMIFS(ROTACAO_RDM!$B$6:$B$71,ROTACAO_RDM!$D$6:$D$71,$E989,ROTACAO_RDM!$I$6:$I$71,"&lt;="&amp;$C989+INT(DIAS_POR_SEMANA/2),ROTACAO_RDM!$J$6:$J$71,"&gt;="&amp;$C989+INT(DIAS_POR_SEMANA/2)),0)</f>
        <v>61</v>
      </c>
      <c r="J989" s="16" t="n">
        <f aca="false">IFERROR(MATCH($I989,ROTACAO_RDM!$B$6:$B$71,0),0)</f>
        <v>61</v>
      </c>
      <c r="K989" s="8" t="str">
        <f aca="false">IF($J989=0,"SEM CULTURA",INDEX(ROTACAO_RDM!$F$6:$F$71,$J989))</f>
        <v>MILHO_SEMENTE</v>
      </c>
      <c r="L989" s="8" t="n">
        <f aca="false">IF($J989=0,"",INDEX(ROTACAO_RDM!$G$6:$G$71,$J989))</f>
        <v>0</v>
      </c>
      <c r="M989" s="17" t="n">
        <f aca="false">IF($J989=0,"",INDEX(ROTACAO_RDM!$I$6:$I$71,$J989))</f>
        <v>46570</v>
      </c>
      <c r="N989" s="16" t="n">
        <f aca="false">IF($J989=0,0,MAX(0,$C989+INT(DIAS_POR_SEMANA/2)-INDEX(ROTACAO_RDM!$I$6:$I$71,$J989)))</f>
        <v>111</v>
      </c>
      <c r="O989" s="19" t="n">
        <f aca="false">IF($J989=0,0,MIN(1,$N989/MAX(1,INDEX(ROTACAO_RDM!$K$6:$K$71,$J989))))</f>
        <v>0.76551724137931</v>
      </c>
      <c r="P989" s="16" t="n">
        <f aca="false">IF($J989=0,0,IFERROR(MATCH(INDEX(ROTACAO_RDM!$N$6:$N$71,$J989),PARAMETROS_CULTURAS!$B$6:$B$28,0),0))</f>
        <v>7</v>
      </c>
      <c r="Q989" s="8" t="str">
        <f aca="false">IF($P989=0,"-",IF($O989&lt;=INDEX(PARAMETROS_CULTURAS!$F$6:$F$28,$P989),"INICIAL",IF($O989&lt;=INDEX(PARAMETROS_CULTURAS!$F$6:$F$28,$P989)+INDEX(PARAMETROS_CULTURAS!$G$6:$G$28,$P989),"DESENVOLVIMENTO",IF($O989&lt;=INDEX(PARAMETROS_CULTURAS!$F$6:$F$28,$P989)+INDEX(PARAMETROS_CULTURAS!$G$6:$G$28,$P989)+INDEX(PARAMETROS_CULTURAS!$H$6:$H$28,$P989),"MEDIA","FINAL"))))</f>
        <v>FINAL</v>
      </c>
      <c r="R989" s="24" t="n">
        <f aca="false">IF($P989=0,0,IF($O989&lt;=INDEX(PARAMETROS_CULTURAS!$F$6:$F$28,$P989),INDEX(PARAMETROS_CULTURAS!$K$6:$K$28,$P989),IF($O989&lt;=INDEX(PARAMETROS_CULTURAS!$F$6:$F$28,$P989)+INDEX(PARAMETROS_CULTURAS!$G$6:$G$28,$P989),INDEX(PARAMETROS_CULTURAS!$K$6:$K$28,$P989)+(INDEX(PARAMETROS_CULTURAS!$L$6:$L$28,$P989)-INDEX(PARAMETROS_CULTURAS!$K$6:$K$28,$P989))*($O989-INDEX(PARAMETROS_CULTURAS!$F$6:$F$28,$P989))/MAX(INDEX(PARAMETROS_CULTURAS!$G$6:$G$28,$P989),0.0001),IF($O989&lt;=INDEX(PARAMETROS_CULTURAS!$F$6:$F$28,$P989)+INDEX(PARAMETROS_CULTURAS!$G$6:$G$28,$P989)+INDEX(PARAMETROS_CULTURAS!$H$6:$H$28,$P989),INDEX(PARAMETROS_CULTURAS!$L$6:$L$28,$P989),INDEX(PARAMETROS_CULTURAS!$L$6:$L$28,$P989)+(INDEX(PARAMETROS_CULTURAS!$M$6:$M$28,$P989)-INDEX(PARAMETROS_CULTURAS!$L$6:$L$28,$P989))*($O989-INDEX(PARAMETROS_CULTURAS!$F$6:$F$28,$P989)-INDEX(PARAMETROS_CULTURAS!$G$6:$G$28,$P989)-INDEX(PARAMETROS_CULTURAS!$H$6:$H$28,$P989))/MAX(INDEX(PARAMETROS_CULTURAS!$I$6:$I$28,$P989),0.0001)))))</f>
        <v>1.11586206896552</v>
      </c>
      <c r="S989" s="18" t="n">
        <f aca="false">IFERROR(INDEX(SEMANAS!$H$6:$H$71,MATCH($B989,SEMANAS!$B$6:$B$71,0)),0)</f>
        <v>39.2</v>
      </c>
      <c r="T989" s="18" t="n">
        <f aca="false">$R989*$S989</f>
        <v>43.7417931034483</v>
      </c>
      <c r="U989" s="18" t="n">
        <f aca="false">IFERROR(INDEX(SEMANAS!$I$6:$I$71,MATCH($B989,SEMANAS!$B$6:$B$71,0)),0)</f>
        <v>27.09</v>
      </c>
      <c r="V989" s="18" t="n">
        <f aca="false">IFERROR(INDEX(SEMANAS!$J$6:$J$71,MATCH($B989,SEMANAS!$B$6:$B$71,0)),0)</f>
        <v>21.672</v>
      </c>
      <c r="W989" s="18" t="n">
        <f aca="false">MAX(0,$T989-$V989)</f>
        <v>22.0697931034483</v>
      </c>
      <c r="X989" s="19" t="n">
        <f aca="false">IFERROR(INDEX(CADASTRO_PIVOS!$K$6:$K$41,MATCH($E989,CADASTRO_PIVOS!$B$6:$B$41,0)),EFICIENCIA_PADRAO)</f>
        <v>0.85</v>
      </c>
      <c r="Y989" s="18" t="n">
        <f aca="false">IF($X989&lt;=0,0,$W989/$X989)</f>
        <v>25.964462474645</v>
      </c>
      <c r="Z989" s="16" t="n">
        <f aca="false">$Y989*$H989*MM_PARA_M3_HA</f>
        <v>25954.0766896552</v>
      </c>
      <c r="AA989" s="18" t="n">
        <f aca="false">IFERROR(INDEX(CADASTRO_PIVOS!$I$6:$I$41,MATCH($E989,CADASTRO_PIVOS!$B$6:$B$41,0)),0)</f>
        <v>714</v>
      </c>
      <c r="AB989" s="18" t="n">
        <f aca="false">IF($Z989&lt;=0,0,$Z989/$AA989)</f>
        <v>36.350247464503</v>
      </c>
      <c r="AC989" s="16" t="n">
        <f aca="false">IFERROR(INDEX(SEMANAS!$K$6:$K$71,MATCH($B989,SEMANAS!$B$6:$B$71,0)),0)</f>
        <v>147</v>
      </c>
      <c r="AD989" s="19" t="n">
        <f aca="false">IF($AC989&lt;=0,0,$AB989/$AC989)</f>
        <v>0.247280594996619</v>
      </c>
      <c r="AE989" s="8" t="str">
        <f aca="false">IF($K989="SEM CULTURA","SEM CULTURA",IF($AA989&lt;=0,"DADO PENDENTE",IF($AD989&gt;LIMITE_CRITICO,"INVIAVEL",IF($AD989&gt;LIMITE_ATENCAO,"CRITICO",IF($AD989&gt;LIMITE_CONFORTAVEL,"ATENCAO","OK")))))</f>
        <v>OK</v>
      </c>
      <c r="AF989" s="8" t="str">
        <f aca="false">$B989&amp;"|"&amp;TEXT($AD989,"0.000000")</f>
        <v>60|0.247281</v>
      </c>
      <c r="AG989" s="18" t="n">
        <f aca="false">IF($K989="SEM CULTURA",0,$T989*$H989)</f>
        <v>4372.42963862069</v>
      </c>
      <c r="AH989" s="18" t="n">
        <f aca="false">IF($K989="SEM CULTURA",0,$V989*$H989)</f>
        <v>2166.33312</v>
      </c>
      <c r="AI989" s="18" t="n">
        <f aca="false">IF($K989="SEM CULTURA",0,$W989*$H989)</f>
        <v>2206.09651862069</v>
      </c>
      <c r="AJ989" s="18" t="n">
        <f aca="false">IF($K989="SEM CULTURA",0,$S989*$H989)</f>
        <v>3918.432</v>
      </c>
      <c r="AK989" s="8" t="str">
        <f aca="false">$E989&amp;"|"&amp;TEXT($AD989,"0.000000")</f>
        <v>PV 131|0.247281</v>
      </c>
    </row>
    <row r="990" customFormat="false" ht="15" hidden="false" customHeight="false" outlineLevel="0" collapsed="false">
      <c r="B990" s="16" t="n">
        <v>61</v>
      </c>
      <c r="C990" s="17" t="n">
        <f aca="false">DATA_INICIO_SAFRA+($B990-1)*DIAS_POR_SEMANA</f>
        <v>46685</v>
      </c>
      <c r="D990" s="17" t="n">
        <f aca="false">$C990+DIAS_POR_SEMANA-1</f>
        <v>46691</v>
      </c>
      <c r="E990" s="15" t="s">
        <v>273</v>
      </c>
      <c r="F990" s="8" t="str">
        <f aca="false">IFERROR(INDEX(CADASTRO_PIVOS!$C$6:$C$41,MATCH($E990,CADASTRO_PIVOS!$B$6:$B$41,0)),"?")</f>
        <v>RM05</v>
      </c>
      <c r="G990" s="8" t="str">
        <f aca="false">IFERROR(INDEX(CADASTRO_PIVOS!$D$6:$D$41,MATCH($E990,CADASTRO_PIVOS!$B$6:$B$41,0)),"?")</f>
        <v>TR05</v>
      </c>
      <c r="H990" s="20" t="n">
        <f aca="false">IFERROR(INDEX(CADASTRO_PIVOS!$E$6:$E$41,MATCH($E990,CADASTRO_PIVOS!$B$6:$B$41,0)),0)</f>
        <v>99.96</v>
      </c>
      <c r="I990" s="16" t="n">
        <f aca="false">IFERROR(SUMIFS(ROTACAO_RDM!$B$6:$B$71,ROTACAO_RDM!$D$6:$D$71,$E990,ROTACAO_RDM!$I$6:$I$71,"&lt;="&amp;$C990+INT(DIAS_POR_SEMANA/2),ROTACAO_RDM!$J$6:$J$71,"&gt;="&amp;$C990+INT(DIAS_POR_SEMANA/2)),0)</f>
        <v>61</v>
      </c>
      <c r="J990" s="16" t="n">
        <f aca="false">IFERROR(MATCH($I990,ROTACAO_RDM!$B$6:$B$71,0),0)</f>
        <v>61</v>
      </c>
      <c r="K990" s="8" t="str">
        <f aca="false">IF($J990=0,"SEM CULTURA",INDEX(ROTACAO_RDM!$F$6:$F$71,$J990))</f>
        <v>MILHO_SEMENTE</v>
      </c>
      <c r="L990" s="8" t="n">
        <f aca="false">IF($J990=0,"",INDEX(ROTACAO_RDM!$G$6:$G$71,$J990))</f>
        <v>0</v>
      </c>
      <c r="M990" s="17" t="n">
        <f aca="false">IF($J990=0,"",INDEX(ROTACAO_RDM!$I$6:$I$71,$J990))</f>
        <v>46570</v>
      </c>
      <c r="N990" s="16" t="n">
        <f aca="false">IF($J990=0,0,MAX(0,$C990+INT(DIAS_POR_SEMANA/2)-INDEX(ROTACAO_RDM!$I$6:$I$71,$J990)))</f>
        <v>118</v>
      </c>
      <c r="O990" s="19" t="n">
        <f aca="false">IF($J990=0,0,MIN(1,$N990/MAX(1,INDEX(ROTACAO_RDM!$K$6:$K$71,$J990))))</f>
        <v>0.813793103448276</v>
      </c>
      <c r="P990" s="16" t="n">
        <f aca="false">IF($J990=0,0,IFERROR(MATCH(INDEX(ROTACAO_RDM!$N$6:$N$71,$J990),PARAMETROS_CULTURAS!$B$6:$B$28,0),0))</f>
        <v>7</v>
      </c>
      <c r="Q990" s="8" t="str">
        <f aca="false">IF($P990=0,"-",IF($O990&lt;=INDEX(PARAMETROS_CULTURAS!$F$6:$F$28,$P990),"INICIAL",IF($O990&lt;=INDEX(PARAMETROS_CULTURAS!$F$6:$F$28,$P990)+INDEX(PARAMETROS_CULTURAS!$G$6:$G$28,$P990),"DESENVOLVIMENTO",IF($O990&lt;=INDEX(PARAMETROS_CULTURAS!$F$6:$F$28,$P990)+INDEX(PARAMETROS_CULTURAS!$G$6:$G$28,$P990)+INDEX(PARAMETROS_CULTURAS!$H$6:$H$28,$P990),"MEDIA","FINAL"))))</f>
        <v>FINAL</v>
      </c>
      <c r="R990" s="24" t="n">
        <f aca="false">IF($P990=0,0,IF($O990&lt;=INDEX(PARAMETROS_CULTURAS!$F$6:$F$28,$P990),INDEX(PARAMETROS_CULTURAS!$K$6:$K$28,$P990),IF($O990&lt;=INDEX(PARAMETROS_CULTURAS!$F$6:$F$28,$P990)+INDEX(PARAMETROS_CULTURAS!$G$6:$G$28,$P990),INDEX(PARAMETROS_CULTURAS!$K$6:$K$28,$P990)+(INDEX(PARAMETROS_CULTURAS!$L$6:$L$28,$P990)-INDEX(PARAMETROS_CULTURAS!$K$6:$K$28,$P990))*($O990-INDEX(PARAMETROS_CULTURAS!$F$6:$F$28,$P990))/MAX(INDEX(PARAMETROS_CULTURAS!$G$6:$G$28,$P990),0.0001),IF($O990&lt;=INDEX(PARAMETROS_CULTURAS!$F$6:$F$28,$P990)+INDEX(PARAMETROS_CULTURAS!$G$6:$G$28,$P990)+INDEX(PARAMETROS_CULTURAS!$H$6:$H$28,$P990),INDEX(PARAMETROS_CULTURAS!$L$6:$L$28,$P990),INDEX(PARAMETROS_CULTURAS!$L$6:$L$28,$P990)+(INDEX(PARAMETROS_CULTURAS!$M$6:$M$28,$P990)-INDEX(PARAMETROS_CULTURAS!$L$6:$L$28,$P990))*($O990-INDEX(PARAMETROS_CULTURAS!$F$6:$F$28,$P990)-INDEX(PARAMETROS_CULTURAS!$G$6:$G$28,$P990)-INDEX(PARAMETROS_CULTURAS!$H$6:$H$28,$P990))/MAX(INDEX(PARAMETROS_CULTURAS!$I$6:$I$28,$P990),0.0001)))))</f>
        <v>1.00965517241379</v>
      </c>
      <c r="S990" s="18" t="n">
        <f aca="false">IFERROR(INDEX(SEMANAS!$H$6:$H$71,MATCH($B990,SEMANAS!$B$6:$B$71,0)),0)</f>
        <v>39.2</v>
      </c>
      <c r="T990" s="18" t="n">
        <f aca="false">$R990*$S990</f>
        <v>39.5784827586207</v>
      </c>
      <c r="U990" s="18" t="n">
        <f aca="false">IFERROR(INDEX(SEMANAS!$I$6:$I$71,MATCH($B990,SEMANAS!$B$6:$B$71,0)),0)</f>
        <v>27.09</v>
      </c>
      <c r="V990" s="18" t="n">
        <f aca="false">IFERROR(INDEX(SEMANAS!$J$6:$J$71,MATCH($B990,SEMANAS!$B$6:$B$71,0)),0)</f>
        <v>21.672</v>
      </c>
      <c r="W990" s="18" t="n">
        <f aca="false">MAX(0,$T990-$V990)</f>
        <v>17.9064827586207</v>
      </c>
      <c r="X990" s="19" t="n">
        <f aca="false">IFERROR(INDEX(CADASTRO_PIVOS!$K$6:$K$41,MATCH($E990,CADASTRO_PIVOS!$B$6:$B$41,0)),EFICIENCIA_PADRAO)</f>
        <v>0.85</v>
      </c>
      <c r="Y990" s="18" t="n">
        <f aca="false">IF($X990&lt;=0,0,$W990/$X990)</f>
        <v>21.0664503042596</v>
      </c>
      <c r="Z990" s="16" t="n">
        <f aca="false">$Y990*$H990*MM_PARA_M3_HA</f>
        <v>21058.0237241379</v>
      </c>
      <c r="AA990" s="18" t="n">
        <f aca="false">IFERROR(INDEX(CADASTRO_PIVOS!$I$6:$I$41,MATCH($E990,CADASTRO_PIVOS!$B$6:$B$41,0)),0)</f>
        <v>714</v>
      </c>
      <c r="AB990" s="18" t="n">
        <f aca="false">IF($Z990&lt;=0,0,$Z990/$AA990)</f>
        <v>29.4930304259635</v>
      </c>
      <c r="AC990" s="16" t="n">
        <f aca="false">IFERROR(INDEX(SEMANAS!$K$6:$K$71,MATCH($B990,SEMANAS!$B$6:$B$71,0)),0)</f>
        <v>147</v>
      </c>
      <c r="AD990" s="19" t="n">
        <f aca="false">IF($AC990&lt;=0,0,$AB990/$AC990)</f>
        <v>0.200632860040568</v>
      </c>
      <c r="AE990" s="8" t="str">
        <f aca="false">IF($K990="SEM CULTURA","SEM CULTURA",IF($AA990&lt;=0,"DADO PENDENTE",IF($AD990&gt;LIMITE_CRITICO,"INVIAVEL",IF($AD990&gt;LIMITE_ATENCAO,"CRITICO",IF($AD990&gt;LIMITE_CONFORTAVEL,"ATENCAO","OK")))))</f>
        <v>OK</v>
      </c>
      <c r="AF990" s="8" t="str">
        <f aca="false">$B990&amp;"|"&amp;TEXT($AD990,"0.000000")</f>
        <v>61|0.200633</v>
      </c>
      <c r="AG990" s="18" t="n">
        <f aca="false">IF($K990="SEM CULTURA",0,$T990*$H990)</f>
        <v>3956.26513655172</v>
      </c>
      <c r="AH990" s="18" t="n">
        <f aca="false">IF($K990="SEM CULTURA",0,$V990*$H990)</f>
        <v>2166.33312</v>
      </c>
      <c r="AI990" s="18" t="n">
        <f aca="false">IF($K990="SEM CULTURA",0,$W990*$H990)</f>
        <v>1789.93201655172</v>
      </c>
      <c r="AJ990" s="18" t="n">
        <f aca="false">IF($K990="SEM CULTURA",0,$S990*$H990)</f>
        <v>3918.432</v>
      </c>
      <c r="AK990" s="8" t="str">
        <f aca="false">$E990&amp;"|"&amp;TEXT($AD990,"0.000000")</f>
        <v>PV 131|0.200633</v>
      </c>
    </row>
    <row r="991" customFormat="false" ht="15" hidden="false" customHeight="false" outlineLevel="0" collapsed="false">
      <c r="B991" s="16" t="n">
        <v>62</v>
      </c>
      <c r="C991" s="17" t="n">
        <f aca="false">DATA_INICIO_SAFRA+($B991-1)*DIAS_POR_SEMANA</f>
        <v>46692</v>
      </c>
      <c r="D991" s="17" t="n">
        <f aca="false">$C991+DIAS_POR_SEMANA-1</f>
        <v>46698</v>
      </c>
      <c r="E991" s="15" t="s">
        <v>273</v>
      </c>
      <c r="F991" s="8" t="str">
        <f aca="false">IFERROR(INDEX(CADASTRO_PIVOS!$C$6:$C$41,MATCH($E991,CADASTRO_PIVOS!$B$6:$B$41,0)),"?")</f>
        <v>RM05</v>
      </c>
      <c r="G991" s="8" t="str">
        <f aca="false">IFERROR(INDEX(CADASTRO_PIVOS!$D$6:$D$41,MATCH($E991,CADASTRO_PIVOS!$B$6:$B$41,0)),"?")</f>
        <v>TR05</v>
      </c>
      <c r="H991" s="20" t="n">
        <f aca="false">IFERROR(INDEX(CADASTRO_PIVOS!$E$6:$E$41,MATCH($E991,CADASTRO_PIVOS!$B$6:$B$41,0)),0)</f>
        <v>99.96</v>
      </c>
      <c r="I991" s="16" t="n">
        <f aca="false">IFERROR(SUMIFS(ROTACAO_RDM!$B$6:$B$71,ROTACAO_RDM!$D$6:$D$71,$E991,ROTACAO_RDM!$I$6:$I$71,"&lt;="&amp;$C991+INT(DIAS_POR_SEMANA/2),ROTACAO_RDM!$J$6:$J$71,"&gt;="&amp;$C991+INT(DIAS_POR_SEMANA/2)),0)</f>
        <v>61</v>
      </c>
      <c r="J991" s="16" t="n">
        <f aca="false">IFERROR(MATCH($I991,ROTACAO_RDM!$B$6:$B$71,0),0)</f>
        <v>61</v>
      </c>
      <c r="K991" s="8" t="str">
        <f aca="false">IF($J991=0,"SEM CULTURA",INDEX(ROTACAO_RDM!$F$6:$F$71,$J991))</f>
        <v>MILHO_SEMENTE</v>
      </c>
      <c r="L991" s="8" t="n">
        <f aca="false">IF($J991=0,"",INDEX(ROTACAO_RDM!$G$6:$G$71,$J991))</f>
        <v>0</v>
      </c>
      <c r="M991" s="17" t="n">
        <f aca="false">IF($J991=0,"",INDEX(ROTACAO_RDM!$I$6:$I$71,$J991))</f>
        <v>46570</v>
      </c>
      <c r="N991" s="16" t="n">
        <f aca="false">IF($J991=0,0,MAX(0,$C991+INT(DIAS_POR_SEMANA/2)-INDEX(ROTACAO_RDM!$I$6:$I$71,$J991)))</f>
        <v>125</v>
      </c>
      <c r="O991" s="19" t="n">
        <f aca="false">IF($J991=0,0,MIN(1,$N991/MAX(1,INDEX(ROTACAO_RDM!$K$6:$K$71,$J991))))</f>
        <v>0.862068965517241</v>
      </c>
      <c r="P991" s="16" t="n">
        <f aca="false">IF($J991=0,0,IFERROR(MATCH(INDEX(ROTACAO_RDM!$N$6:$N$71,$J991),PARAMETROS_CULTURAS!$B$6:$B$28,0),0))</f>
        <v>7</v>
      </c>
      <c r="Q991" s="8" t="str">
        <f aca="false">IF($P991=0,"-",IF($O991&lt;=INDEX(PARAMETROS_CULTURAS!$F$6:$F$28,$P991),"INICIAL",IF($O991&lt;=INDEX(PARAMETROS_CULTURAS!$F$6:$F$28,$P991)+INDEX(PARAMETROS_CULTURAS!$G$6:$G$28,$P991),"DESENVOLVIMENTO",IF($O991&lt;=INDEX(PARAMETROS_CULTURAS!$F$6:$F$28,$P991)+INDEX(PARAMETROS_CULTURAS!$G$6:$G$28,$P991)+INDEX(PARAMETROS_CULTURAS!$H$6:$H$28,$P991),"MEDIA","FINAL"))))</f>
        <v>FINAL</v>
      </c>
      <c r="R991" s="24" t="n">
        <f aca="false">IF($P991=0,0,IF($O991&lt;=INDEX(PARAMETROS_CULTURAS!$F$6:$F$28,$P991),INDEX(PARAMETROS_CULTURAS!$K$6:$K$28,$P991),IF($O991&lt;=INDEX(PARAMETROS_CULTURAS!$F$6:$F$28,$P991)+INDEX(PARAMETROS_CULTURAS!$G$6:$G$28,$P991),INDEX(PARAMETROS_CULTURAS!$K$6:$K$28,$P991)+(INDEX(PARAMETROS_CULTURAS!$L$6:$L$28,$P991)-INDEX(PARAMETROS_CULTURAS!$K$6:$K$28,$P991))*($O991-INDEX(PARAMETROS_CULTURAS!$F$6:$F$28,$P991))/MAX(INDEX(PARAMETROS_CULTURAS!$G$6:$G$28,$P991),0.0001),IF($O991&lt;=INDEX(PARAMETROS_CULTURAS!$F$6:$F$28,$P991)+INDEX(PARAMETROS_CULTURAS!$G$6:$G$28,$P991)+INDEX(PARAMETROS_CULTURAS!$H$6:$H$28,$P991),INDEX(PARAMETROS_CULTURAS!$L$6:$L$28,$P991),INDEX(PARAMETROS_CULTURAS!$L$6:$L$28,$P991)+(INDEX(PARAMETROS_CULTURAS!$M$6:$M$28,$P991)-INDEX(PARAMETROS_CULTURAS!$L$6:$L$28,$P991))*($O991-INDEX(PARAMETROS_CULTURAS!$F$6:$F$28,$P991)-INDEX(PARAMETROS_CULTURAS!$G$6:$G$28,$P991)-INDEX(PARAMETROS_CULTURAS!$H$6:$H$28,$P991))/MAX(INDEX(PARAMETROS_CULTURAS!$I$6:$I$28,$P991),0.0001)))))</f>
        <v>0.903448275862069</v>
      </c>
      <c r="S991" s="18" t="n">
        <f aca="false">IFERROR(INDEX(SEMANAS!$H$6:$H$71,MATCH($B991,SEMANAS!$B$6:$B$71,0)),0)</f>
        <v>34.3</v>
      </c>
      <c r="T991" s="18" t="n">
        <f aca="false">$R991*$S991</f>
        <v>30.988275862069</v>
      </c>
      <c r="U991" s="18" t="n">
        <f aca="false">IFERROR(INDEX(SEMANAS!$I$6:$I$71,MATCH($B991,SEMANAS!$B$6:$B$71,0)),0)</f>
        <v>46.69</v>
      </c>
      <c r="V991" s="18" t="n">
        <f aca="false">IFERROR(INDEX(SEMANAS!$J$6:$J$71,MATCH($B991,SEMANAS!$B$6:$B$71,0)),0)</f>
        <v>37.352</v>
      </c>
      <c r="W991" s="18" t="n">
        <f aca="false">MAX(0,$T991-$V991)</f>
        <v>0</v>
      </c>
      <c r="X991" s="19" t="n">
        <f aca="false">IFERROR(INDEX(CADASTRO_PIVOS!$K$6:$K$41,MATCH($E991,CADASTRO_PIVOS!$B$6:$B$41,0)),EFICIENCIA_PADRAO)</f>
        <v>0.85</v>
      </c>
      <c r="Y991" s="18" t="n">
        <f aca="false">IF($X991&lt;=0,0,$W991/$X991)</f>
        <v>0</v>
      </c>
      <c r="Z991" s="16" t="n">
        <f aca="false">$Y991*$H991*MM_PARA_M3_HA</f>
        <v>0</v>
      </c>
      <c r="AA991" s="18" t="n">
        <f aca="false">IFERROR(INDEX(CADASTRO_PIVOS!$I$6:$I$41,MATCH($E991,CADASTRO_PIVOS!$B$6:$B$41,0)),0)</f>
        <v>714</v>
      </c>
      <c r="AB991" s="18" t="n">
        <f aca="false">IF($Z991&lt;=0,0,$Z991/$AA991)</f>
        <v>0</v>
      </c>
      <c r="AC991" s="16" t="n">
        <f aca="false">IFERROR(INDEX(SEMANAS!$K$6:$K$71,MATCH($B991,SEMANAS!$B$6:$B$71,0)),0)</f>
        <v>147</v>
      </c>
      <c r="AD991" s="19" t="n">
        <f aca="false">IF($AC991&lt;=0,0,$AB991/$AC991)</f>
        <v>0</v>
      </c>
      <c r="AE991" s="8" t="str">
        <f aca="false">IF($K991="SEM CULTURA","SEM CULTURA",IF($AA991&lt;=0,"DADO PENDENTE",IF($AD991&gt;LIMITE_CRITICO,"INVIAVEL",IF($AD991&gt;LIMITE_ATENCAO,"CRITICO",IF($AD991&gt;LIMITE_CONFORTAVEL,"ATENCAO","OK")))))</f>
        <v>OK</v>
      </c>
      <c r="AF991" s="8" t="str">
        <f aca="false">$B991&amp;"|"&amp;TEXT($AD991,"0.000000")</f>
        <v>62|0.000000</v>
      </c>
      <c r="AG991" s="18" t="n">
        <f aca="false">IF($K991="SEM CULTURA",0,$T991*$H991)</f>
        <v>3097.58805517241</v>
      </c>
      <c r="AH991" s="18" t="n">
        <f aca="false">IF($K991="SEM CULTURA",0,$V991*$H991)</f>
        <v>3733.70592</v>
      </c>
      <c r="AI991" s="18" t="n">
        <f aca="false">IF($K991="SEM CULTURA",0,$W991*$H991)</f>
        <v>0</v>
      </c>
      <c r="AJ991" s="18" t="n">
        <f aca="false">IF($K991="SEM CULTURA",0,$S991*$H991)</f>
        <v>3428.628</v>
      </c>
      <c r="AK991" s="8" t="str">
        <f aca="false">$E991&amp;"|"&amp;TEXT($AD991,"0.000000")</f>
        <v>PV 131|0.000000</v>
      </c>
    </row>
    <row r="992" customFormat="false" ht="15" hidden="false" customHeight="false" outlineLevel="0" collapsed="false">
      <c r="B992" s="16" t="n">
        <v>63</v>
      </c>
      <c r="C992" s="17" t="n">
        <f aca="false">DATA_INICIO_SAFRA+($B992-1)*DIAS_POR_SEMANA</f>
        <v>46699</v>
      </c>
      <c r="D992" s="17" t="n">
        <f aca="false">$C992+DIAS_POR_SEMANA-1</f>
        <v>46705</v>
      </c>
      <c r="E992" s="15" t="s">
        <v>273</v>
      </c>
      <c r="F992" s="8" t="str">
        <f aca="false">IFERROR(INDEX(CADASTRO_PIVOS!$C$6:$C$41,MATCH($E992,CADASTRO_PIVOS!$B$6:$B$41,0)),"?")</f>
        <v>RM05</v>
      </c>
      <c r="G992" s="8" t="str">
        <f aca="false">IFERROR(INDEX(CADASTRO_PIVOS!$D$6:$D$41,MATCH($E992,CADASTRO_PIVOS!$B$6:$B$41,0)),"?")</f>
        <v>TR05</v>
      </c>
      <c r="H992" s="20" t="n">
        <f aca="false">IFERROR(INDEX(CADASTRO_PIVOS!$E$6:$E$41,MATCH($E992,CADASTRO_PIVOS!$B$6:$B$41,0)),0)</f>
        <v>99.96</v>
      </c>
      <c r="I992" s="16" t="n">
        <f aca="false">IFERROR(SUMIFS(ROTACAO_RDM!$B$6:$B$71,ROTACAO_RDM!$D$6:$D$71,$E992,ROTACAO_RDM!$I$6:$I$71,"&lt;="&amp;$C992+INT(DIAS_POR_SEMANA/2),ROTACAO_RDM!$J$6:$J$71,"&gt;="&amp;$C992+INT(DIAS_POR_SEMANA/2)),0)</f>
        <v>61</v>
      </c>
      <c r="J992" s="16" t="n">
        <f aca="false">IFERROR(MATCH($I992,ROTACAO_RDM!$B$6:$B$71,0),0)</f>
        <v>61</v>
      </c>
      <c r="K992" s="8" t="str">
        <f aca="false">IF($J992=0,"SEM CULTURA",INDEX(ROTACAO_RDM!$F$6:$F$71,$J992))</f>
        <v>MILHO_SEMENTE</v>
      </c>
      <c r="L992" s="8" t="n">
        <f aca="false">IF($J992=0,"",INDEX(ROTACAO_RDM!$G$6:$G$71,$J992))</f>
        <v>0</v>
      </c>
      <c r="M992" s="17" t="n">
        <f aca="false">IF($J992=0,"",INDEX(ROTACAO_RDM!$I$6:$I$71,$J992))</f>
        <v>46570</v>
      </c>
      <c r="N992" s="16" t="n">
        <f aca="false">IF($J992=0,0,MAX(0,$C992+INT(DIAS_POR_SEMANA/2)-INDEX(ROTACAO_RDM!$I$6:$I$71,$J992)))</f>
        <v>132</v>
      </c>
      <c r="O992" s="19" t="n">
        <f aca="false">IF($J992=0,0,MIN(1,$N992/MAX(1,INDEX(ROTACAO_RDM!$K$6:$K$71,$J992))))</f>
        <v>0.910344827586207</v>
      </c>
      <c r="P992" s="16" t="n">
        <f aca="false">IF($J992=0,0,IFERROR(MATCH(INDEX(ROTACAO_RDM!$N$6:$N$71,$J992),PARAMETROS_CULTURAS!$B$6:$B$28,0),0))</f>
        <v>7</v>
      </c>
      <c r="Q992" s="8" t="str">
        <f aca="false">IF($P992=0,"-",IF($O992&lt;=INDEX(PARAMETROS_CULTURAS!$F$6:$F$28,$P992),"INICIAL",IF($O992&lt;=INDEX(PARAMETROS_CULTURAS!$F$6:$F$28,$P992)+INDEX(PARAMETROS_CULTURAS!$G$6:$G$28,$P992),"DESENVOLVIMENTO",IF($O992&lt;=INDEX(PARAMETROS_CULTURAS!$F$6:$F$28,$P992)+INDEX(PARAMETROS_CULTURAS!$G$6:$G$28,$P992)+INDEX(PARAMETROS_CULTURAS!$H$6:$H$28,$P992),"MEDIA","FINAL"))))</f>
        <v>FINAL</v>
      </c>
      <c r="R992" s="24" t="n">
        <f aca="false">IF($P992=0,0,IF($O992&lt;=INDEX(PARAMETROS_CULTURAS!$F$6:$F$28,$P992),INDEX(PARAMETROS_CULTURAS!$K$6:$K$28,$P992),IF($O992&lt;=INDEX(PARAMETROS_CULTURAS!$F$6:$F$28,$P992)+INDEX(PARAMETROS_CULTURAS!$G$6:$G$28,$P992),INDEX(PARAMETROS_CULTURAS!$K$6:$K$28,$P992)+(INDEX(PARAMETROS_CULTURAS!$L$6:$L$28,$P992)-INDEX(PARAMETROS_CULTURAS!$K$6:$K$28,$P992))*($O992-INDEX(PARAMETROS_CULTURAS!$F$6:$F$28,$P992))/MAX(INDEX(PARAMETROS_CULTURAS!$G$6:$G$28,$P992),0.0001),IF($O992&lt;=INDEX(PARAMETROS_CULTURAS!$F$6:$F$28,$P992)+INDEX(PARAMETROS_CULTURAS!$G$6:$G$28,$P992)+INDEX(PARAMETROS_CULTURAS!$H$6:$H$28,$P992),INDEX(PARAMETROS_CULTURAS!$L$6:$L$28,$P992),INDEX(PARAMETROS_CULTURAS!$L$6:$L$28,$P992)+(INDEX(PARAMETROS_CULTURAS!$M$6:$M$28,$P992)-INDEX(PARAMETROS_CULTURAS!$L$6:$L$28,$P992))*($O992-INDEX(PARAMETROS_CULTURAS!$F$6:$F$28,$P992)-INDEX(PARAMETROS_CULTURAS!$G$6:$G$28,$P992)-INDEX(PARAMETROS_CULTURAS!$H$6:$H$28,$P992))/MAX(INDEX(PARAMETROS_CULTURAS!$I$6:$I$28,$P992),0.0001)))))</f>
        <v>0.797241379310345</v>
      </c>
      <c r="S992" s="18" t="n">
        <f aca="false">IFERROR(INDEX(SEMANAS!$H$6:$H$71,MATCH($B992,SEMANAS!$B$6:$B$71,0)),0)</f>
        <v>34.3</v>
      </c>
      <c r="T992" s="18" t="n">
        <f aca="false">$R992*$S992</f>
        <v>27.3453793103448</v>
      </c>
      <c r="U992" s="18" t="n">
        <f aca="false">IFERROR(INDEX(SEMANAS!$I$6:$I$71,MATCH($B992,SEMANAS!$B$6:$B$71,0)),0)</f>
        <v>46.69</v>
      </c>
      <c r="V992" s="18" t="n">
        <f aca="false">IFERROR(INDEX(SEMANAS!$J$6:$J$71,MATCH($B992,SEMANAS!$B$6:$B$71,0)),0)</f>
        <v>37.352</v>
      </c>
      <c r="W992" s="18" t="n">
        <f aca="false">MAX(0,$T992-$V992)</f>
        <v>0</v>
      </c>
      <c r="X992" s="19" t="n">
        <f aca="false">IFERROR(INDEX(CADASTRO_PIVOS!$K$6:$K$41,MATCH($E992,CADASTRO_PIVOS!$B$6:$B$41,0)),EFICIENCIA_PADRAO)</f>
        <v>0.85</v>
      </c>
      <c r="Y992" s="18" t="n">
        <f aca="false">IF($X992&lt;=0,0,$W992/$X992)</f>
        <v>0</v>
      </c>
      <c r="Z992" s="16" t="n">
        <f aca="false">$Y992*$H992*MM_PARA_M3_HA</f>
        <v>0</v>
      </c>
      <c r="AA992" s="18" t="n">
        <f aca="false">IFERROR(INDEX(CADASTRO_PIVOS!$I$6:$I$41,MATCH($E992,CADASTRO_PIVOS!$B$6:$B$41,0)),0)</f>
        <v>714</v>
      </c>
      <c r="AB992" s="18" t="n">
        <f aca="false">IF($Z992&lt;=0,0,$Z992/$AA992)</f>
        <v>0</v>
      </c>
      <c r="AC992" s="16" t="n">
        <f aca="false">IFERROR(INDEX(SEMANAS!$K$6:$K$71,MATCH($B992,SEMANAS!$B$6:$B$71,0)),0)</f>
        <v>147</v>
      </c>
      <c r="AD992" s="19" t="n">
        <f aca="false">IF($AC992&lt;=0,0,$AB992/$AC992)</f>
        <v>0</v>
      </c>
      <c r="AE992" s="8" t="str">
        <f aca="false">IF($K992="SEM CULTURA","SEM CULTURA",IF($AA992&lt;=0,"DADO PENDENTE",IF($AD992&gt;LIMITE_CRITICO,"INVIAVEL",IF($AD992&gt;LIMITE_ATENCAO,"CRITICO",IF($AD992&gt;LIMITE_CONFORTAVEL,"ATENCAO","OK")))))</f>
        <v>OK</v>
      </c>
      <c r="AF992" s="8" t="str">
        <f aca="false">$B992&amp;"|"&amp;TEXT($AD992,"0.000000")</f>
        <v>63|0.000000</v>
      </c>
      <c r="AG992" s="18" t="n">
        <f aca="false">IF($K992="SEM CULTURA",0,$T992*$H992)</f>
        <v>2733.44411586207</v>
      </c>
      <c r="AH992" s="18" t="n">
        <f aca="false">IF($K992="SEM CULTURA",0,$V992*$H992)</f>
        <v>3733.70592</v>
      </c>
      <c r="AI992" s="18" t="n">
        <f aca="false">IF($K992="SEM CULTURA",0,$W992*$H992)</f>
        <v>0</v>
      </c>
      <c r="AJ992" s="18" t="n">
        <f aca="false">IF($K992="SEM CULTURA",0,$S992*$H992)</f>
        <v>3428.628</v>
      </c>
      <c r="AK992" s="8" t="str">
        <f aca="false">$E992&amp;"|"&amp;TEXT($AD992,"0.000000")</f>
        <v>PV 131|0.000000</v>
      </c>
    </row>
    <row r="993" customFormat="false" ht="15" hidden="false" customHeight="false" outlineLevel="0" collapsed="false">
      <c r="B993" s="16" t="n">
        <v>64</v>
      </c>
      <c r="C993" s="17" t="n">
        <f aca="false">DATA_INICIO_SAFRA+($B993-1)*DIAS_POR_SEMANA</f>
        <v>46706</v>
      </c>
      <c r="D993" s="17" t="n">
        <f aca="false">$C993+DIAS_POR_SEMANA-1</f>
        <v>46712</v>
      </c>
      <c r="E993" s="15" t="s">
        <v>273</v>
      </c>
      <c r="F993" s="8" t="str">
        <f aca="false">IFERROR(INDEX(CADASTRO_PIVOS!$C$6:$C$41,MATCH($E993,CADASTRO_PIVOS!$B$6:$B$41,0)),"?")</f>
        <v>RM05</v>
      </c>
      <c r="G993" s="8" t="str">
        <f aca="false">IFERROR(INDEX(CADASTRO_PIVOS!$D$6:$D$41,MATCH($E993,CADASTRO_PIVOS!$B$6:$B$41,0)),"?")</f>
        <v>TR05</v>
      </c>
      <c r="H993" s="20" t="n">
        <f aca="false">IFERROR(INDEX(CADASTRO_PIVOS!$E$6:$E$41,MATCH($E993,CADASTRO_PIVOS!$B$6:$B$41,0)),0)</f>
        <v>99.96</v>
      </c>
      <c r="I993" s="16" t="n">
        <f aca="false">IFERROR(SUMIFS(ROTACAO_RDM!$B$6:$B$71,ROTACAO_RDM!$D$6:$D$71,$E993,ROTACAO_RDM!$I$6:$I$71,"&lt;="&amp;$C993+INT(DIAS_POR_SEMANA/2),ROTACAO_RDM!$J$6:$J$71,"&gt;="&amp;$C993+INT(DIAS_POR_SEMANA/2)),0)</f>
        <v>61</v>
      </c>
      <c r="J993" s="16" t="n">
        <f aca="false">IFERROR(MATCH($I993,ROTACAO_RDM!$B$6:$B$71,0),0)</f>
        <v>61</v>
      </c>
      <c r="K993" s="8" t="str">
        <f aca="false">IF($J993=0,"SEM CULTURA",INDEX(ROTACAO_RDM!$F$6:$F$71,$J993))</f>
        <v>MILHO_SEMENTE</v>
      </c>
      <c r="L993" s="8" t="n">
        <f aca="false">IF($J993=0,"",INDEX(ROTACAO_RDM!$G$6:$G$71,$J993))</f>
        <v>0</v>
      </c>
      <c r="M993" s="17" t="n">
        <f aca="false">IF($J993=0,"",INDEX(ROTACAO_RDM!$I$6:$I$71,$J993))</f>
        <v>46570</v>
      </c>
      <c r="N993" s="16" t="n">
        <f aca="false">IF($J993=0,0,MAX(0,$C993+INT(DIAS_POR_SEMANA/2)-INDEX(ROTACAO_RDM!$I$6:$I$71,$J993)))</f>
        <v>139</v>
      </c>
      <c r="O993" s="19" t="n">
        <f aca="false">IF($J993=0,0,MIN(1,$N993/MAX(1,INDEX(ROTACAO_RDM!$K$6:$K$71,$J993))))</f>
        <v>0.958620689655172</v>
      </c>
      <c r="P993" s="16" t="n">
        <f aca="false">IF($J993=0,0,IFERROR(MATCH(INDEX(ROTACAO_RDM!$N$6:$N$71,$J993),PARAMETROS_CULTURAS!$B$6:$B$28,0),0))</f>
        <v>7</v>
      </c>
      <c r="Q993" s="8" t="str">
        <f aca="false">IF($P993=0,"-",IF($O993&lt;=INDEX(PARAMETROS_CULTURAS!$F$6:$F$28,$P993),"INICIAL",IF($O993&lt;=INDEX(PARAMETROS_CULTURAS!$F$6:$F$28,$P993)+INDEX(PARAMETROS_CULTURAS!$G$6:$G$28,$P993),"DESENVOLVIMENTO",IF($O993&lt;=INDEX(PARAMETROS_CULTURAS!$F$6:$F$28,$P993)+INDEX(PARAMETROS_CULTURAS!$G$6:$G$28,$P993)+INDEX(PARAMETROS_CULTURAS!$H$6:$H$28,$P993),"MEDIA","FINAL"))))</f>
        <v>FINAL</v>
      </c>
      <c r="R993" s="24" t="n">
        <f aca="false">IF($P993=0,0,IF($O993&lt;=INDEX(PARAMETROS_CULTURAS!$F$6:$F$28,$P993),INDEX(PARAMETROS_CULTURAS!$K$6:$K$28,$P993),IF($O993&lt;=INDEX(PARAMETROS_CULTURAS!$F$6:$F$28,$P993)+INDEX(PARAMETROS_CULTURAS!$G$6:$G$28,$P993),INDEX(PARAMETROS_CULTURAS!$K$6:$K$28,$P993)+(INDEX(PARAMETROS_CULTURAS!$L$6:$L$28,$P993)-INDEX(PARAMETROS_CULTURAS!$K$6:$K$28,$P993))*($O993-INDEX(PARAMETROS_CULTURAS!$F$6:$F$28,$P993))/MAX(INDEX(PARAMETROS_CULTURAS!$G$6:$G$28,$P993),0.0001),IF($O993&lt;=INDEX(PARAMETROS_CULTURAS!$F$6:$F$28,$P993)+INDEX(PARAMETROS_CULTURAS!$G$6:$G$28,$P993)+INDEX(PARAMETROS_CULTURAS!$H$6:$H$28,$P993),INDEX(PARAMETROS_CULTURAS!$L$6:$L$28,$P993),INDEX(PARAMETROS_CULTURAS!$L$6:$L$28,$P993)+(INDEX(PARAMETROS_CULTURAS!$M$6:$M$28,$P993)-INDEX(PARAMETROS_CULTURAS!$L$6:$L$28,$P993))*($O993-INDEX(PARAMETROS_CULTURAS!$F$6:$F$28,$P993)-INDEX(PARAMETROS_CULTURAS!$G$6:$G$28,$P993)-INDEX(PARAMETROS_CULTURAS!$H$6:$H$28,$P993))/MAX(INDEX(PARAMETROS_CULTURAS!$I$6:$I$28,$P993),0.0001)))))</f>
        <v>0.691034482758621</v>
      </c>
      <c r="S993" s="18" t="n">
        <f aca="false">IFERROR(INDEX(SEMANAS!$H$6:$H$71,MATCH($B993,SEMANAS!$B$6:$B$71,0)),0)</f>
        <v>34.3</v>
      </c>
      <c r="T993" s="18" t="n">
        <f aca="false">$R993*$S993</f>
        <v>23.7024827586207</v>
      </c>
      <c r="U993" s="18" t="n">
        <f aca="false">IFERROR(INDEX(SEMANAS!$I$6:$I$71,MATCH($B993,SEMANAS!$B$6:$B$71,0)),0)</f>
        <v>46.69</v>
      </c>
      <c r="V993" s="18" t="n">
        <f aca="false">IFERROR(INDEX(SEMANAS!$J$6:$J$71,MATCH($B993,SEMANAS!$B$6:$B$71,0)),0)</f>
        <v>37.352</v>
      </c>
      <c r="W993" s="18" t="n">
        <f aca="false">MAX(0,$T993-$V993)</f>
        <v>0</v>
      </c>
      <c r="X993" s="19" t="n">
        <f aca="false">IFERROR(INDEX(CADASTRO_PIVOS!$K$6:$K$41,MATCH($E993,CADASTRO_PIVOS!$B$6:$B$41,0)),EFICIENCIA_PADRAO)</f>
        <v>0.85</v>
      </c>
      <c r="Y993" s="18" t="n">
        <f aca="false">IF($X993&lt;=0,0,$W993/$X993)</f>
        <v>0</v>
      </c>
      <c r="Z993" s="16" t="n">
        <f aca="false">$Y993*$H993*MM_PARA_M3_HA</f>
        <v>0</v>
      </c>
      <c r="AA993" s="18" t="n">
        <f aca="false">IFERROR(INDEX(CADASTRO_PIVOS!$I$6:$I$41,MATCH($E993,CADASTRO_PIVOS!$B$6:$B$41,0)),0)</f>
        <v>714</v>
      </c>
      <c r="AB993" s="18" t="n">
        <f aca="false">IF($Z993&lt;=0,0,$Z993/$AA993)</f>
        <v>0</v>
      </c>
      <c r="AC993" s="16" t="n">
        <f aca="false">IFERROR(INDEX(SEMANAS!$K$6:$K$71,MATCH($B993,SEMANAS!$B$6:$B$71,0)),0)</f>
        <v>147</v>
      </c>
      <c r="AD993" s="19" t="n">
        <f aca="false">IF($AC993&lt;=0,0,$AB993/$AC993)</f>
        <v>0</v>
      </c>
      <c r="AE993" s="8" t="str">
        <f aca="false">IF($K993="SEM CULTURA","SEM CULTURA",IF($AA993&lt;=0,"DADO PENDENTE",IF($AD993&gt;LIMITE_CRITICO,"INVIAVEL",IF($AD993&gt;LIMITE_ATENCAO,"CRITICO",IF($AD993&gt;LIMITE_CONFORTAVEL,"ATENCAO","OK")))))</f>
        <v>OK</v>
      </c>
      <c r="AF993" s="8" t="str">
        <f aca="false">$B993&amp;"|"&amp;TEXT($AD993,"0.000000")</f>
        <v>64|0.000000</v>
      </c>
      <c r="AG993" s="18" t="n">
        <f aca="false">IF($K993="SEM CULTURA",0,$T993*$H993)</f>
        <v>2369.30017655172</v>
      </c>
      <c r="AH993" s="18" t="n">
        <f aca="false">IF($K993="SEM CULTURA",0,$V993*$H993)</f>
        <v>3733.70592</v>
      </c>
      <c r="AI993" s="18" t="n">
        <f aca="false">IF($K993="SEM CULTURA",0,$W993*$H993)</f>
        <v>0</v>
      </c>
      <c r="AJ993" s="18" t="n">
        <f aca="false">IF($K993="SEM CULTURA",0,$S993*$H993)</f>
        <v>3428.628</v>
      </c>
      <c r="AK993" s="8" t="str">
        <f aca="false">$E993&amp;"|"&amp;TEXT($AD993,"0.000000")</f>
        <v>PV 131|0.000000</v>
      </c>
    </row>
    <row r="994" customFormat="false" ht="15" hidden="false" customHeight="false" outlineLevel="0" collapsed="false">
      <c r="B994" s="16" t="n">
        <v>65</v>
      </c>
      <c r="C994" s="17" t="n">
        <f aca="false">DATA_INICIO_SAFRA+($B994-1)*DIAS_POR_SEMANA</f>
        <v>46713</v>
      </c>
      <c r="D994" s="17" t="n">
        <f aca="false">$C994+DIAS_POR_SEMANA-1</f>
        <v>46719</v>
      </c>
      <c r="E994" s="15" t="s">
        <v>273</v>
      </c>
      <c r="F994" s="8" t="str">
        <f aca="false">IFERROR(INDEX(CADASTRO_PIVOS!$C$6:$C$41,MATCH($E994,CADASTRO_PIVOS!$B$6:$B$41,0)),"?")</f>
        <v>RM05</v>
      </c>
      <c r="G994" s="8" t="str">
        <f aca="false">IFERROR(INDEX(CADASTRO_PIVOS!$D$6:$D$41,MATCH($E994,CADASTRO_PIVOS!$B$6:$B$41,0)),"?")</f>
        <v>TR05</v>
      </c>
      <c r="H994" s="20" t="n">
        <f aca="false">IFERROR(INDEX(CADASTRO_PIVOS!$E$6:$E$41,MATCH($E994,CADASTRO_PIVOS!$B$6:$B$41,0)),0)</f>
        <v>99.96</v>
      </c>
      <c r="I994" s="16" t="n">
        <f aca="false">IFERROR(SUMIFS(ROTACAO_RDM!$B$6:$B$71,ROTACAO_RDM!$D$6:$D$71,$E994,ROTACAO_RDM!$I$6:$I$71,"&lt;="&amp;$C994+INT(DIAS_POR_SEMANA/2),ROTACAO_RDM!$J$6:$J$71,"&gt;="&amp;$C994+INT(DIAS_POR_SEMANA/2)),0)</f>
        <v>0</v>
      </c>
      <c r="J994" s="16" t="n">
        <f aca="false">IFERROR(MATCH($I994,ROTACAO_RDM!$B$6:$B$71,0),0)</f>
        <v>0</v>
      </c>
      <c r="K994" s="8" t="str">
        <f aca="false">IF($J994=0,"SEM CULTURA",INDEX(ROTACAO_RDM!$F$6:$F$71,$J994))</f>
        <v>SEM CULTURA</v>
      </c>
      <c r="L994" s="8" t="str">
        <f aca="false">IF($J994=0,"",INDEX(ROTACAO_RDM!$G$6:$G$71,$J994))</f>
        <v/>
      </c>
      <c r="M994" s="17" t="str">
        <f aca="false">IF($J994=0,"",INDEX(ROTACAO_RDM!$I$6:$I$71,$J994))</f>
        <v/>
      </c>
      <c r="N994" s="16" t="n">
        <f aca="false">IF($J994=0,0,MAX(0,$C994+INT(DIAS_POR_SEMANA/2)-INDEX(ROTACAO_RDM!$I$6:$I$71,$J994)))</f>
        <v>0</v>
      </c>
      <c r="O994" s="19" t="n">
        <f aca="false">IF($J994=0,0,MIN(1,$N994/MAX(1,INDEX(ROTACAO_RDM!$K$6:$K$71,$J994))))</f>
        <v>0</v>
      </c>
      <c r="P994" s="16" t="n">
        <f aca="false">IF($J994=0,0,IFERROR(MATCH(INDEX(ROTACAO_RDM!$N$6:$N$71,$J994),PARAMETROS_CULTURAS!$B$6:$B$28,0),0))</f>
        <v>0</v>
      </c>
      <c r="Q994" s="8" t="str">
        <f aca="false">IF($P994=0,"-",IF($O994&lt;=INDEX(PARAMETROS_CULTURAS!$F$6:$F$28,$P994),"INICIAL",IF($O994&lt;=INDEX(PARAMETROS_CULTURAS!$F$6:$F$28,$P994)+INDEX(PARAMETROS_CULTURAS!$G$6:$G$28,$P994),"DESENVOLVIMENTO",IF($O994&lt;=INDEX(PARAMETROS_CULTURAS!$F$6:$F$28,$P994)+INDEX(PARAMETROS_CULTURAS!$G$6:$G$28,$P994)+INDEX(PARAMETROS_CULTURAS!$H$6:$H$28,$P994),"MEDIA","FINAL"))))</f>
        <v>-</v>
      </c>
      <c r="R994" s="24" t="n">
        <f aca="false">IF($P994=0,0,IF($O994&lt;=INDEX(PARAMETROS_CULTURAS!$F$6:$F$28,$P994),INDEX(PARAMETROS_CULTURAS!$K$6:$K$28,$P994),IF($O994&lt;=INDEX(PARAMETROS_CULTURAS!$F$6:$F$28,$P994)+INDEX(PARAMETROS_CULTURAS!$G$6:$G$28,$P994),INDEX(PARAMETROS_CULTURAS!$K$6:$K$28,$P994)+(INDEX(PARAMETROS_CULTURAS!$L$6:$L$28,$P994)-INDEX(PARAMETROS_CULTURAS!$K$6:$K$28,$P994))*($O994-INDEX(PARAMETROS_CULTURAS!$F$6:$F$28,$P994))/MAX(INDEX(PARAMETROS_CULTURAS!$G$6:$G$28,$P994),0.0001),IF($O994&lt;=INDEX(PARAMETROS_CULTURAS!$F$6:$F$28,$P994)+INDEX(PARAMETROS_CULTURAS!$G$6:$G$28,$P994)+INDEX(PARAMETROS_CULTURAS!$H$6:$H$28,$P994),INDEX(PARAMETROS_CULTURAS!$L$6:$L$28,$P994),INDEX(PARAMETROS_CULTURAS!$L$6:$L$28,$P994)+(INDEX(PARAMETROS_CULTURAS!$M$6:$M$28,$P994)-INDEX(PARAMETROS_CULTURAS!$L$6:$L$28,$P994))*($O994-INDEX(PARAMETROS_CULTURAS!$F$6:$F$28,$P994)-INDEX(PARAMETROS_CULTURAS!$G$6:$G$28,$P994)-INDEX(PARAMETROS_CULTURAS!$H$6:$H$28,$P994))/MAX(INDEX(PARAMETROS_CULTURAS!$I$6:$I$28,$P994),0.0001)))))</f>
        <v>0</v>
      </c>
      <c r="S994" s="18" t="n">
        <f aca="false">IFERROR(INDEX(SEMANAS!$H$6:$H$71,MATCH($B994,SEMANAS!$B$6:$B$71,0)),0)</f>
        <v>34.3</v>
      </c>
      <c r="T994" s="18" t="n">
        <f aca="false">$R994*$S994</f>
        <v>0</v>
      </c>
      <c r="U994" s="18" t="n">
        <f aca="false">IFERROR(INDEX(SEMANAS!$I$6:$I$71,MATCH($B994,SEMANAS!$B$6:$B$71,0)),0)</f>
        <v>46.69</v>
      </c>
      <c r="V994" s="18" t="n">
        <f aca="false">IFERROR(INDEX(SEMANAS!$J$6:$J$71,MATCH($B994,SEMANAS!$B$6:$B$71,0)),0)</f>
        <v>37.352</v>
      </c>
      <c r="W994" s="18" t="n">
        <f aca="false">MAX(0,$T994-$V994)</f>
        <v>0</v>
      </c>
      <c r="X994" s="19" t="n">
        <f aca="false">IFERROR(INDEX(CADASTRO_PIVOS!$K$6:$K$41,MATCH($E994,CADASTRO_PIVOS!$B$6:$B$41,0)),EFICIENCIA_PADRAO)</f>
        <v>0.85</v>
      </c>
      <c r="Y994" s="18" t="n">
        <f aca="false">IF($X994&lt;=0,0,$W994/$X994)</f>
        <v>0</v>
      </c>
      <c r="Z994" s="16" t="n">
        <f aca="false">$Y994*$H994*MM_PARA_M3_HA</f>
        <v>0</v>
      </c>
      <c r="AA994" s="18" t="n">
        <f aca="false">IFERROR(INDEX(CADASTRO_PIVOS!$I$6:$I$41,MATCH($E994,CADASTRO_PIVOS!$B$6:$B$41,0)),0)</f>
        <v>714</v>
      </c>
      <c r="AB994" s="18" t="n">
        <f aca="false">IF($Z994&lt;=0,0,$Z994/$AA994)</f>
        <v>0</v>
      </c>
      <c r="AC994" s="16" t="n">
        <f aca="false">IFERROR(INDEX(SEMANAS!$K$6:$K$71,MATCH($B994,SEMANAS!$B$6:$B$71,0)),0)</f>
        <v>147</v>
      </c>
      <c r="AD994" s="19" t="n">
        <f aca="false">IF($AC994&lt;=0,0,$AB994/$AC994)</f>
        <v>0</v>
      </c>
      <c r="AE994" s="8" t="str">
        <f aca="false">IF($K994="SEM CULTURA","SEM CULTURA",IF($AA994&lt;=0,"DADO PENDENTE",IF($AD994&gt;LIMITE_CRITICO,"INVIAVEL",IF($AD994&gt;LIMITE_ATENCAO,"CRITICO",IF($AD994&gt;LIMITE_CONFORTAVEL,"ATENCAO","OK")))))</f>
        <v>SEM CULTURA</v>
      </c>
      <c r="AF994" s="8" t="str">
        <f aca="false">$B994&amp;"|"&amp;TEXT($AD994,"0.000000")</f>
        <v>65|0.000000</v>
      </c>
      <c r="AG994" s="18" t="n">
        <f aca="false">IF($K994="SEM CULTURA",0,$T994*$H994)</f>
        <v>0</v>
      </c>
      <c r="AH994" s="18" t="n">
        <f aca="false">IF($K994="SEM CULTURA",0,$V994*$H994)</f>
        <v>0</v>
      </c>
      <c r="AI994" s="18" t="n">
        <f aca="false">IF($K994="SEM CULTURA",0,$W994*$H994)</f>
        <v>0</v>
      </c>
      <c r="AJ994" s="18" t="n">
        <f aca="false">IF($K994="SEM CULTURA",0,$S994*$H994)</f>
        <v>0</v>
      </c>
      <c r="AK994" s="8" t="str">
        <f aca="false">$E994&amp;"|"&amp;TEXT($AD994,"0.000000")</f>
        <v>PV 131|0.000000</v>
      </c>
    </row>
    <row r="995" customFormat="false" ht="15" hidden="false" customHeight="false" outlineLevel="0" collapsed="false">
      <c r="B995" s="16" t="n">
        <v>66</v>
      </c>
      <c r="C995" s="17" t="n">
        <f aca="false">DATA_INICIO_SAFRA+($B995-1)*DIAS_POR_SEMANA</f>
        <v>46720</v>
      </c>
      <c r="D995" s="17" t="n">
        <f aca="false">$C995+DIAS_POR_SEMANA-1</f>
        <v>46726</v>
      </c>
      <c r="E995" s="15" t="s">
        <v>273</v>
      </c>
      <c r="F995" s="8" t="str">
        <f aca="false">IFERROR(INDEX(CADASTRO_PIVOS!$C$6:$C$41,MATCH($E995,CADASTRO_PIVOS!$B$6:$B$41,0)),"?")</f>
        <v>RM05</v>
      </c>
      <c r="G995" s="8" t="str">
        <f aca="false">IFERROR(INDEX(CADASTRO_PIVOS!$D$6:$D$41,MATCH($E995,CADASTRO_PIVOS!$B$6:$B$41,0)),"?")</f>
        <v>TR05</v>
      </c>
      <c r="H995" s="20" t="n">
        <f aca="false">IFERROR(INDEX(CADASTRO_PIVOS!$E$6:$E$41,MATCH($E995,CADASTRO_PIVOS!$B$6:$B$41,0)),0)</f>
        <v>99.96</v>
      </c>
      <c r="I995" s="16" t="n">
        <f aca="false">IFERROR(SUMIFS(ROTACAO_RDM!$B$6:$B$71,ROTACAO_RDM!$D$6:$D$71,$E995,ROTACAO_RDM!$I$6:$I$71,"&lt;="&amp;$C995+INT(DIAS_POR_SEMANA/2),ROTACAO_RDM!$J$6:$J$71,"&gt;="&amp;$C995+INT(DIAS_POR_SEMANA/2)),0)</f>
        <v>0</v>
      </c>
      <c r="J995" s="16" t="n">
        <f aca="false">IFERROR(MATCH($I995,ROTACAO_RDM!$B$6:$B$71,0),0)</f>
        <v>0</v>
      </c>
      <c r="K995" s="8" t="str">
        <f aca="false">IF($J995=0,"SEM CULTURA",INDEX(ROTACAO_RDM!$F$6:$F$71,$J995))</f>
        <v>SEM CULTURA</v>
      </c>
      <c r="L995" s="8" t="str">
        <f aca="false">IF($J995=0,"",INDEX(ROTACAO_RDM!$G$6:$G$71,$J995))</f>
        <v/>
      </c>
      <c r="M995" s="17" t="str">
        <f aca="false">IF($J995=0,"",INDEX(ROTACAO_RDM!$I$6:$I$71,$J995))</f>
        <v/>
      </c>
      <c r="N995" s="16" t="n">
        <f aca="false">IF($J995=0,0,MAX(0,$C995+INT(DIAS_POR_SEMANA/2)-INDEX(ROTACAO_RDM!$I$6:$I$71,$J995)))</f>
        <v>0</v>
      </c>
      <c r="O995" s="19" t="n">
        <f aca="false">IF($J995=0,0,MIN(1,$N995/MAX(1,INDEX(ROTACAO_RDM!$K$6:$K$71,$J995))))</f>
        <v>0</v>
      </c>
      <c r="P995" s="16" t="n">
        <f aca="false">IF($J995=0,0,IFERROR(MATCH(INDEX(ROTACAO_RDM!$N$6:$N$71,$J995),PARAMETROS_CULTURAS!$B$6:$B$28,0),0))</f>
        <v>0</v>
      </c>
      <c r="Q995" s="8" t="str">
        <f aca="false">IF($P995=0,"-",IF($O995&lt;=INDEX(PARAMETROS_CULTURAS!$F$6:$F$28,$P995),"INICIAL",IF($O995&lt;=INDEX(PARAMETROS_CULTURAS!$F$6:$F$28,$P995)+INDEX(PARAMETROS_CULTURAS!$G$6:$G$28,$P995),"DESENVOLVIMENTO",IF($O995&lt;=INDEX(PARAMETROS_CULTURAS!$F$6:$F$28,$P995)+INDEX(PARAMETROS_CULTURAS!$G$6:$G$28,$P995)+INDEX(PARAMETROS_CULTURAS!$H$6:$H$28,$P995),"MEDIA","FINAL"))))</f>
        <v>-</v>
      </c>
      <c r="R995" s="24" t="n">
        <f aca="false">IF($P995=0,0,IF($O995&lt;=INDEX(PARAMETROS_CULTURAS!$F$6:$F$28,$P995),INDEX(PARAMETROS_CULTURAS!$K$6:$K$28,$P995),IF($O995&lt;=INDEX(PARAMETROS_CULTURAS!$F$6:$F$28,$P995)+INDEX(PARAMETROS_CULTURAS!$G$6:$G$28,$P995),INDEX(PARAMETROS_CULTURAS!$K$6:$K$28,$P995)+(INDEX(PARAMETROS_CULTURAS!$L$6:$L$28,$P995)-INDEX(PARAMETROS_CULTURAS!$K$6:$K$28,$P995))*($O995-INDEX(PARAMETROS_CULTURAS!$F$6:$F$28,$P995))/MAX(INDEX(PARAMETROS_CULTURAS!$G$6:$G$28,$P995),0.0001),IF($O995&lt;=INDEX(PARAMETROS_CULTURAS!$F$6:$F$28,$P995)+INDEX(PARAMETROS_CULTURAS!$G$6:$G$28,$P995)+INDEX(PARAMETROS_CULTURAS!$H$6:$H$28,$P995),INDEX(PARAMETROS_CULTURAS!$L$6:$L$28,$P995),INDEX(PARAMETROS_CULTURAS!$L$6:$L$28,$P995)+(INDEX(PARAMETROS_CULTURAS!$M$6:$M$28,$P995)-INDEX(PARAMETROS_CULTURAS!$L$6:$L$28,$P995))*($O995-INDEX(PARAMETROS_CULTURAS!$F$6:$F$28,$P995)-INDEX(PARAMETROS_CULTURAS!$G$6:$G$28,$P995)-INDEX(PARAMETROS_CULTURAS!$H$6:$H$28,$P995))/MAX(INDEX(PARAMETROS_CULTURAS!$I$6:$I$28,$P995),0.0001)))))</f>
        <v>0</v>
      </c>
      <c r="S995" s="18" t="n">
        <f aca="false">IFERROR(INDEX(SEMANAS!$H$6:$H$71,MATCH($B995,SEMANAS!$B$6:$B$71,0)),0)</f>
        <v>33.3</v>
      </c>
      <c r="T995" s="18" t="n">
        <f aca="false">$R995*$S995</f>
        <v>0</v>
      </c>
      <c r="U995" s="18" t="n">
        <f aca="false">IFERROR(INDEX(SEMANAS!$I$6:$I$71,MATCH($B995,SEMANAS!$B$6:$B$71,0)),0)</f>
        <v>48.04</v>
      </c>
      <c r="V995" s="18" t="n">
        <f aca="false">IFERROR(INDEX(SEMANAS!$J$6:$J$71,MATCH($B995,SEMANAS!$B$6:$B$71,0)),0)</f>
        <v>38.432</v>
      </c>
      <c r="W995" s="18" t="n">
        <f aca="false">MAX(0,$T995-$V995)</f>
        <v>0</v>
      </c>
      <c r="X995" s="19" t="n">
        <f aca="false">IFERROR(INDEX(CADASTRO_PIVOS!$K$6:$K$41,MATCH($E995,CADASTRO_PIVOS!$B$6:$B$41,0)),EFICIENCIA_PADRAO)</f>
        <v>0.85</v>
      </c>
      <c r="Y995" s="18" t="n">
        <f aca="false">IF($X995&lt;=0,0,$W995/$X995)</f>
        <v>0</v>
      </c>
      <c r="Z995" s="16" t="n">
        <f aca="false">$Y995*$H995*MM_PARA_M3_HA</f>
        <v>0</v>
      </c>
      <c r="AA995" s="18" t="n">
        <f aca="false">IFERROR(INDEX(CADASTRO_PIVOS!$I$6:$I$41,MATCH($E995,CADASTRO_PIVOS!$B$6:$B$41,0)),0)</f>
        <v>714</v>
      </c>
      <c r="AB995" s="18" t="n">
        <f aca="false">IF($Z995&lt;=0,0,$Z995/$AA995)</f>
        <v>0</v>
      </c>
      <c r="AC995" s="16" t="n">
        <f aca="false">IFERROR(INDEX(SEMANAS!$K$6:$K$71,MATCH($B995,SEMANAS!$B$6:$B$71,0)),0)</f>
        <v>147</v>
      </c>
      <c r="AD995" s="19" t="n">
        <f aca="false">IF($AC995&lt;=0,0,$AB995/$AC995)</f>
        <v>0</v>
      </c>
      <c r="AE995" s="8" t="str">
        <f aca="false">IF($K995="SEM CULTURA","SEM CULTURA",IF($AA995&lt;=0,"DADO PENDENTE",IF($AD995&gt;LIMITE_CRITICO,"INVIAVEL",IF($AD995&gt;LIMITE_ATENCAO,"CRITICO",IF($AD995&gt;LIMITE_CONFORTAVEL,"ATENCAO","OK")))))</f>
        <v>SEM CULTURA</v>
      </c>
      <c r="AF995" s="8" t="str">
        <f aca="false">$B995&amp;"|"&amp;TEXT($AD995,"0.000000")</f>
        <v>66|0.000000</v>
      </c>
      <c r="AG995" s="18" t="n">
        <f aca="false">IF($K995="SEM CULTURA",0,$T995*$H995)</f>
        <v>0</v>
      </c>
      <c r="AH995" s="18" t="n">
        <f aca="false">IF($K995="SEM CULTURA",0,$V995*$H995)</f>
        <v>0</v>
      </c>
      <c r="AI995" s="18" t="n">
        <f aca="false">IF($K995="SEM CULTURA",0,$W995*$H995)</f>
        <v>0</v>
      </c>
      <c r="AJ995" s="18" t="n">
        <f aca="false">IF($K995="SEM CULTURA",0,$S995*$H995)</f>
        <v>0</v>
      </c>
      <c r="AK995" s="8" t="str">
        <f aca="false">$E995&amp;"|"&amp;TEXT($AD995,"0.000000")</f>
        <v>PV 131|0.000000</v>
      </c>
    </row>
    <row r="996" customFormat="false" ht="15" hidden="false" customHeight="false" outlineLevel="0" collapsed="false">
      <c r="B996" s="16" t="n">
        <v>1</v>
      </c>
      <c r="C996" s="17" t="n">
        <f aca="false">DATA_INICIO_SAFRA+($B996-1)*DIAS_POR_SEMANA</f>
        <v>46265</v>
      </c>
      <c r="D996" s="17" t="n">
        <f aca="false">$C996+DIAS_POR_SEMANA-1</f>
        <v>46271</v>
      </c>
      <c r="E996" s="15" t="s">
        <v>274</v>
      </c>
      <c r="F996" s="8" t="str">
        <f aca="false">IFERROR(INDEX(CADASTRO_PIVOS!$C$6:$C$41,MATCH($E996,CADASTRO_PIVOS!$B$6:$B$41,0)),"?")</f>
        <v>RM05</v>
      </c>
      <c r="G996" s="8" t="str">
        <f aca="false">IFERROR(INDEX(CADASTRO_PIVOS!$D$6:$D$41,MATCH($E996,CADASTRO_PIVOS!$B$6:$B$41,0)),"?")</f>
        <v>TR05</v>
      </c>
      <c r="H996" s="20" t="n">
        <f aca="false">IFERROR(INDEX(CADASTRO_PIVOS!$E$6:$E$41,MATCH($E996,CADASTRO_PIVOS!$B$6:$B$41,0)),0)</f>
        <v>99.96</v>
      </c>
      <c r="I996" s="16" t="n">
        <f aca="false">IFERROR(SUMIFS(ROTACAO_RDM!$B$6:$B$71,ROTACAO_RDM!$D$6:$D$71,$E996,ROTACAO_RDM!$I$6:$I$71,"&lt;="&amp;$C996+INT(DIAS_POR_SEMANA/2),ROTACAO_RDM!$J$6:$J$71,"&gt;="&amp;$C996+INT(DIAS_POR_SEMANA/2)),0)</f>
        <v>62</v>
      </c>
      <c r="J996" s="16" t="n">
        <f aca="false">IFERROR(MATCH($I996,ROTACAO_RDM!$B$6:$B$71,0),0)</f>
        <v>62</v>
      </c>
      <c r="K996" s="8" t="str">
        <f aca="false">IF($J996=0,"SEM CULTURA",INDEX(ROTACAO_RDM!$F$6:$F$71,$J996))</f>
        <v>MILHO_SEMENTE</v>
      </c>
      <c r="L996" s="8" t="str">
        <f aca="false">IF($J996=0,"",INDEX(ROTACAO_RDM!$G$6:$G$71,$J996))</f>
        <v>Syngenta</v>
      </c>
      <c r="M996" s="17" t="n">
        <f aca="false">IF($J996=0,"",INDEX(ROTACAO_RDM!$I$6:$I$71,$J996))</f>
        <v>46191</v>
      </c>
      <c r="N996" s="16" t="n">
        <f aca="false">IF($J996=0,0,MAX(0,$C996+INT(DIAS_POR_SEMANA/2)-INDEX(ROTACAO_RDM!$I$6:$I$71,$J996)))</f>
        <v>77</v>
      </c>
      <c r="O996" s="19" t="n">
        <f aca="false">IF($J996=0,0,MIN(1,$N996/MAX(1,INDEX(ROTACAO_RDM!$K$6:$K$71,$J996))))</f>
        <v>0.48125</v>
      </c>
      <c r="P996" s="16" t="n">
        <f aca="false">IF($J996=0,0,IFERROR(MATCH(INDEX(ROTACAO_RDM!$N$6:$N$71,$J996),PARAMETROS_CULTURAS!$B$6:$B$28,0),0))</f>
        <v>7</v>
      </c>
      <c r="Q996" s="8" t="str">
        <f aca="false">IF($P996=0,"-",IF($O996&lt;=INDEX(PARAMETROS_CULTURAS!$F$6:$F$28,$P996),"INICIAL",IF($O996&lt;=INDEX(PARAMETROS_CULTURAS!$F$6:$F$28,$P996)+INDEX(PARAMETROS_CULTURAS!$G$6:$G$28,$P996),"DESENVOLVIMENTO",IF($O996&lt;=INDEX(PARAMETROS_CULTURAS!$F$6:$F$28,$P996)+INDEX(PARAMETROS_CULTURAS!$G$6:$G$28,$P996)+INDEX(PARAMETROS_CULTURAS!$H$6:$H$28,$P996),"MEDIA","FINAL"))))</f>
        <v>MEDIA</v>
      </c>
      <c r="R996" s="24" t="n">
        <f aca="false">IF($P996=0,0,IF($O996&lt;=INDEX(PARAMETROS_CULTURAS!$F$6:$F$28,$P996),INDEX(PARAMETROS_CULTURAS!$K$6:$K$28,$P996),IF($O996&lt;=INDEX(PARAMETROS_CULTURAS!$F$6:$F$28,$P996)+INDEX(PARAMETROS_CULTURAS!$G$6:$G$28,$P996),INDEX(PARAMETROS_CULTURAS!$K$6:$K$28,$P996)+(INDEX(PARAMETROS_CULTURAS!$L$6:$L$28,$P996)-INDEX(PARAMETROS_CULTURAS!$K$6:$K$28,$P996))*($O996-INDEX(PARAMETROS_CULTURAS!$F$6:$F$28,$P996))/MAX(INDEX(PARAMETROS_CULTURAS!$G$6:$G$28,$P996),0.0001),IF($O996&lt;=INDEX(PARAMETROS_CULTURAS!$F$6:$F$28,$P996)+INDEX(PARAMETROS_CULTURAS!$G$6:$G$28,$P996)+INDEX(PARAMETROS_CULTURAS!$H$6:$H$28,$P996),INDEX(PARAMETROS_CULTURAS!$L$6:$L$28,$P996),INDEX(PARAMETROS_CULTURAS!$L$6:$L$28,$P996)+(INDEX(PARAMETROS_CULTURAS!$M$6:$M$28,$P996)-INDEX(PARAMETROS_CULTURAS!$L$6:$L$28,$P996))*($O996-INDEX(PARAMETROS_CULTURAS!$F$6:$F$28,$P996)-INDEX(PARAMETROS_CULTURAS!$G$6:$G$28,$P996)-INDEX(PARAMETROS_CULTURAS!$H$6:$H$28,$P996))/MAX(INDEX(PARAMETROS_CULTURAS!$I$6:$I$28,$P996),0.0001)))))</f>
        <v>1.15</v>
      </c>
      <c r="S996" s="18" t="n">
        <f aca="false">IFERROR(INDEX(SEMANAS!$H$6:$H$71,MATCH($B996,SEMANAS!$B$6:$B$71,0)),0)</f>
        <v>40</v>
      </c>
      <c r="T996" s="18" t="n">
        <f aca="false">$R996*$S996</f>
        <v>46</v>
      </c>
      <c r="U996" s="18" t="n">
        <f aca="false">IFERROR(INDEX(SEMANAS!$I$6:$I$71,MATCH($B996,SEMANAS!$B$6:$B$71,0)),0)</f>
        <v>6.16</v>
      </c>
      <c r="V996" s="18" t="n">
        <f aca="false">IFERROR(INDEX(SEMANAS!$J$6:$J$71,MATCH($B996,SEMANAS!$B$6:$B$71,0)),0)</f>
        <v>4.928</v>
      </c>
      <c r="W996" s="18" t="n">
        <f aca="false">MAX(0,$T996-$V996)</f>
        <v>41.072</v>
      </c>
      <c r="X996" s="19" t="n">
        <f aca="false">IFERROR(INDEX(CADASTRO_PIVOS!$K$6:$K$41,MATCH($E996,CADASTRO_PIVOS!$B$6:$B$41,0)),EFICIENCIA_PADRAO)</f>
        <v>0.85</v>
      </c>
      <c r="Y996" s="18" t="n">
        <f aca="false">IF($X996&lt;=0,0,$W996/$X996)</f>
        <v>48.32</v>
      </c>
      <c r="Z996" s="16" t="n">
        <f aca="false">$Y996*$H996*MM_PARA_M3_HA</f>
        <v>48300.672</v>
      </c>
      <c r="AA996" s="18" t="n">
        <f aca="false">IFERROR(INDEX(CADASTRO_PIVOS!$I$6:$I$41,MATCH($E996,CADASTRO_PIVOS!$B$6:$B$41,0)),0)</f>
        <v>714</v>
      </c>
      <c r="AB996" s="18" t="n">
        <f aca="false">IF($Z996&lt;=0,0,$Z996/$AA996)</f>
        <v>67.648</v>
      </c>
      <c r="AC996" s="16" t="n">
        <f aca="false">IFERROR(INDEX(SEMANAS!$K$6:$K$71,MATCH($B996,SEMANAS!$B$6:$B$71,0)),0)</f>
        <v>147</v>
      </c>
      <c r="AD996" s="19" t="n">
        <f aca="false">IF($AC996&lt;=0,0,$AB996/$AC996)</f>
        <v>0.460190476190476</v>
      </c>
      <c r="AE996" s="8" t="str">
        <f aca="false">IF($K996="SEM CULTURA","SEM CULTURA",IF($AA996&lt;=0,"DADO PENDENTE",IF($AD996&gt;LIMITE_CRITICO,"INVIAVEL",IF($AD996&gt;LIMITE_ATENCAO,"CRITICO",IF($AD996&gt;LIMITE_CONFORTAVEL,"ATENCAO","OK")))))</f>
        <v>OK</v>
      </c>
      <c r="AF996" s="8" t="str">
        <f aca="false">$B996&amp;"|"&amp;TEXT($AD996,"0.000000")</f>
        <v>1|0.460190</v>
      </c>
      <c r="AG996" s="18" t="n">
        <f aca="false">IF($K996="SEM CULTURA",0,$T996*$H996)</f>
        <v>4598.16</v>
      </c>
      <c r="AH996" s="18" t="n">
        <f aca="false">IF($K996="SEM CULTURA",0,$V996*$H996)</f>
        <v>492.60288</v>
      </c>
      <c r="AI996" s="18" t="n">
        <f aca="false">IF($K996="SEM CULTURA",0,$W996*$H996)</f>
        <v>4105.55712</v>
      </c>
      <c r="AJ996" s="18" t="n">
        <f aca="false">IF($K996="SEM CULTURA",0,$S996*$H996)</f>
        <v>3998.4</v>
      </c>
      <c r="AK996" s="8" t="str">
        <f aca="false">$E996&amp;"|"&amp;TEXT($AD996,"0.000000")</f>
        <v>PV 132|0.460190</v>
      </c>
    </row>
    <row r="997" customFormat="false" ht="15" hidden="false" customHeight="false" outlineLevel="0" collapsed="false">
      <c r="B997" s="16" t="n">
        <v>2</v>
      </c>
      <c r="C997" s="17" t="n">
        <f aca="false">DATA_INICIO_SAFRA+($B997-1)*DIAS_POR_SEMANA</f>
        <v>46272</v>
      </c>
      <c r="D997" s="17" t="n">
        <f aca="false">$C997+DIAS_POR_SEMANA-1</f>
        <v>46278</v>
      </c>
      <c r="E997" s="15" t="s">
        <v>274</v>
      </c>
      <c r="F997" s="8" t="str">
        <f aca="false">IFERROR(INDEX(CADASTRO_PIVOS!$C$6:$C$41,MATCH($E997,CADASTRO_PIVOS!$B$6:$B$41,0)),"?")</f>
        <v>RM05</v>
      </c>
      <c r="G997" s="8" t="str">
        <f aca="false">IFERROR(INDEX(CADASTRO_PIVOS!$D$6:$D$41,MATCH($E997,CADASTRO_PIVOS!$B$6:$B$41,0)),"?")</f>
        <v>TR05</v>
      </c>
      <c r="H997" s="20" t="n">
        <f aca="false">IFERROR(INDEX(CADASTRO_PIVOS!$E$6:$E$41,MATCH($E997,CADASTRO_PIVOS!$B$6:$B$41,0)),0)</f>
        <v>99.96</v>
      </c>
      <c r="I997" s="16" t="n">
        <f aca="false">IFERROR(SUMIFS(ROTACAO_RDM!$B$6:$B$71,ROTACAO_RDM!$D$6:$D$71,$E997,ROTACAO_RDM!$I$6:$I$71,"&lt;="&amp;$C997+INT(DIAS_POR_SEMANA/2),ROTACAO_RDM!$J$6:$J$71,"&gt;="&amp;$C997+INT(DIAS_POR_SEMANA/2)),0)</f>
        <v>62</v>
      </c>
      <c r="J997" s="16" t="n">
        <f aca="false">IFERROR(MATCH($I997,ROTACAO_RDM!$B$6:$B$71,0),0)</f>
        <v>62</v>
      </c>
      <c r="K997" s="8" t="str">
        <f aca="false">IF($J997=0,"SEM CULTURA",INDEX(ROTACAO_RDM!$F$6:$F$71,$J997))</f>
        <v>MILHO_SEMENTE</v>
      </c>
      <c r="L997" s="8" t="str">
        <f aca="false">IF($J997=0,"",INDEX(ROTACAO_RDM!$G$6:$G$71,$J997))</f>
        <v>Syngenta</v>
      </c>
      <c r="M997" s="17" t="n">
        <f aca="false">IF($J997=0,"",INDEX(ROTACAO_RDM!$I$6:$I$71,$J997))</f>
        <v>46191</v>
      </c>
      <c r="N997" s="16" t="n">
        <f aca="false">IF($J997=0,0,MAX(0,$C997+INT(DIAS_POR_SEMANA/2)-INDEX(ROTACAO_RDM!$I$6:$I$71,$J997)))</f>
        <v>84</v>
      </c>
      <c r="O997" s="19" t="n">
        <f aca="false">IF($J997=0,0,MIN(1,$N997/MAX(1,INDEX(ROTACAO_RDM!$K$6:$K$71,$J997))))</f>
        <v>0.525</v>
      </c>
      <c r="P997" s="16" t="n">
        <f aca="false">IF($J997=0,0,IFERROR(MATCH(INDEX(ROTACAO_RDM!$N$6:$N$71,$J997),PARAMETROS_CULTURAS!$B$6:$B$28,0),0))</f>
        <v>7</v>
      </c>
      <c r="Q997" s="8" t="str">
        <f aca="false">IF($P997=0,"-",IF($O997&lt;=INDEX(PARAMETROS_CULTURAS!$F$6:$F$28,$P997),"INICIAL",IF($O997&lt;=INDEX(PARAMETROS_CULTURAS!$F$6:$F$28,$P997)+INDEX(PARAMETROS_CULTURAS!$G$6:$G$28,$P997),"DESENVOLVIMENTO",IF($O997&lt;=INDEX(PARAMETROS_CULTURAS!$F$6:$F$28,$P997)+INDEX(PARAMETROS_CULTURAS!$G$6:$G$28,$P997)+INDEX(PARAMETROS_CULTURAS!$H$6:$H$28,$P997),"MEDIA","FINAL"))))</f>
        <v>MEDIA</v>
      </c>
      <c r="R997" s="24" t="n">
        <f aca="false">IF($P997=0,0,IF($O997&lt;=INDEX(PARAMETROS_CULTURAS!$F$6:$F$28,$P997),INDEX(PARAMETROS_CULTURAS!$K$6:$K$28,$P997),IF($O997&lt;=INDEX(PARAMETROS_CULTURAS!$F$6:$F$28,$P997)+INDEX(PARAMETROS_CULTURAS!$G$6:$G$28,$P997),INDEX(PARAMETROS_CULTURAS!$K$6:$K$28,$P997)+(INDEX(PARAMETROS_CULTURAS!$L$6:$L$28,$P997)-INDEX(PARAMETROS_CULTURAS!$K$6:$K$28,$P997))*($O997-INDEX(PARAMETROS_CULTURAS!$F$6:$F$28,$P997))/MAX(INDEX(PARAMETROS_CULTURAS!$G$6:$G$28,$P997),0.0001),IF($O997&lt;=INDEX(PARAMETROS_CULTURAS!$F$6:$F$28,$P997)+INDEX(PARAMETROS_CULTURAS!$G$6:$G$28,$P997)+INDEX(PARAMETROS_CULTURAS!$H$6:$H$28,$P997),INDEX(PARAMETROS_CULTURAS!$L$6:$L$28,$P997),INDEX(PARAMETROS_CULTURAS!$L$6:$L$28,$P997)+(INDEX(PARAMETROS_CULTURAS!$M$6:$M$28,$P997)-INDEX(PARAMETROS_CULTURAS!$L$6:$L$28,$P997))*($O997-INDEX(PARAMETROS_CULTURAS!$F$6:$F$28,$P997)-INDEX(PARAMETROS_CULTURAS!$G$6:$G$28,$P997)-INDEX(PARAMETROS_CULTURAS!$H$6:$H$28,$P997))/MAX(INDEX(PARAMETROS_CULTURAS!$I$6:$I$28,$P997),0.0001)))))</f>
        <v>1.15</v>
      </c>
      <c r="S997" s="18" t="n">
        <f aca="false">IFERROR(INDEX(SEMANAS!$H$6:$H$71,MATCH($B997,SEMANAS!$B$6:$B$71,0)),0)</f>
        <v>40.6</v>
      </c>
      <c r="T997" s="18" t="n">
        <f aca="false">$R997*$S997</f>
        <v>46.69</v>
      </c>
      <c r="U997" s="18" t="n">
        <f aca="false">IFERROR(INDEX(SEMANAS!$I$6:$I$71,MATCH($B997,SEMANAS!$B$6:$B$71,0)),0)</f>
        <v>7</v>
      </c>
      <c r="V997" s="18" t="n">
        <f aca="false">IFERROR(INDEX(SEMANAS!$J$6:$J$71,MATCH($B997,SEMANAS!$B$6:$B$71,0)),0)</f>
        <v>5.6</v>
      </c>
      <c r="W997" s="18" t="n">
        <f aca="false">MAX(0,$T997-$V997)</f>
        <v>41.09</v>
      </c>
      <c r="X997" s="19" t="n">
        <f aca="false">IFERROR(INDEX(CADASTRO_PIVOS!$K$6:$K$41,MATCH($E997,CADASTRO_PIVOS!$B$6:$B$41,0)),EFICIENCIA_PADRAO)</f>
        <v>0.85</v>
      </c>
      <c r="Y997" s="18" t="n">
        <f aca="false">IF($X997&lt;=0,0,$W997/$X997)</f>
        <v>48.3411764705882</v>
      </c>
      <c r="Z997" s="16" t="n">
        <f aca="false">$Y997*$H997*MM_PARA_M3_HA</f>
        <v>48321.84</v>
      </c>
      <c r="AA997" s="18" t="n">
        <f aca="false">IFERROR(INDEX(CADASTRO_PIVOS!$I$6:$I$41,MATCH($E997,CADASTRO_PIVOS!$B$6:$B$41,0)),0)</f>
        <v>714</v>
      </c>
      <c r="AB997" s="18" t="n">
        <f aca="false">IF($Z997&lt;=0,0,$Z997/$AA997)</f>
        <v>67.6776470588235</v>
      </c>
      <c r="AC997" s="16" t="n">
        <f aca="false">IFERROR(INDEX(SEMANAS!$K$6:$K$71,MATCH($B997,SEMANAS!$B$6:$B$71,0)),0)</f>
        <v>147</v>
      </c>
      <c r="AD997" s="19" t="n">
        <f aca="false">IF($AC997&lt;=0,0,$AB997/$AC997)</f>
        <v>0.460392156862745</v>
      </c>
      <c r="AE997" s="8" t="str">
        <f aca="false">IF($K997="SEM CULTURA","SEM CULTURA",IF($AA997&lt;=0,"DADO PENDENTE",IF($AD997&gt;LIMITE_CRITICO,"INVIAVEL",IF($AD997&gt;LIMITE_ATENCAO,"CRITICO",IF($AD997&gt;LIMITE_CONFORTAVEL,"ATENCAO","OK")))))</f>
        <v>OK</v>
      </c>
      <c r="AF997" s="8" t="str">
        <f aca="false">$B997&amp;"|"&amp;TEXT($AD997,"0.000000")</f>
        <v>2|0.460392</v>
      </c>
      <c r="AG997" s="18" t="n">
        <f aca="false">IF($K997="SEM CULTURA",0,$T997*$H997)</f>
        <v>4667.1324</v>
      </c>
      <c r="AH997" s="18" t="n">
        <f aca="false">IF($K997="SEM CULTURA",0,$V997*$H997)</f>
        <v>559.776</v>
      </c>
      <c r="AI997" s="18" t="n">
        <f aca="false">IF($K997="SEM CULTURA",0,$W997*$H997)</f>
        <v>4107.3564</v>
      </c>
      <c r="AJ997" s="18" t="n">
        <f aca="false">IF($K997="SEM CULTURA",0,$S997*$H997)</f>
        <v>4058.376</v>
      </c>
      <c r="AK997" s="8" t="str">
        <f aca="false">$E997&amp;"|"&amp;TEXT($AD997,"0.000000")</f>
        <v>PV 132|0.460392</v>
      </c>
    </row>
    <row r="998" customFormat="false" ht="15" hidden="false" customHeight="false" outlineLevel="0" collapsed="false">
      <c r="B998" s="16" t="n">
        <v>3</v>
      </c>
      <c r="C998" s="17" t="n">
        <f aca="false">DATA_INICIO_SAFRA+($B998-1)*DIAS_POR_SEMANA</f>
        <v>46279</v>
      </c>
      <c r="D998" s="17" t="n">
        <f aca="false">$C998+DIAS_POR_SEMANA-1</f>
        <v>46285</v>
      </c>
      <c r="E998" s="15" t="s">
        <v>274</v>
      </c>
      <c r="F998" s="8" t="str">
        <f aca="false">IFERROR(INDEX(CADASTRO_PIVOS!$C$6:$C$41,MATCH($E998,CADASTRO_PIVOS!$B$6:$B$41,0)),"?")</f>
        <v>RM05</v>
      </c>
      <c r="G998" s="8" t="str">
        <f aca="false">IFERROR(INDEX(CADASTRO_PIVOS!$D$6:$D$41,MATCH($E998,CADASTRO_PIVOS!$B$6:$B$41,0)),"?")</f>
        <v>TR05</v>
      </c>
      <c r="H998" s="20" t="n">
        <f aca="false">IFERROR(INDEX(CADASTRO_PIVOS!$E$6:$E$41,MATCH($E998,CADASTRO_PIVOS!$B$6:$B$41,0)),0)</f>
        <v>99.96</v>
      </c>
      <c r="I998" s="16" t="n">
        <f aca="false">IFERROR(SUMIFS(ROTACAO_RDM!$B$6:$B$71,ROTACAO_RDM!$D$6:$D$71,$E998,ROTACAO_RDM!$I$6:$I$71,"&lt;="&amp;$C998+INT(DIAS_POR_SEMANA/2),ROTACAO_RDM!$J$6:$J$71,"&gt;="&amp;$C998+INT(DIAS_POR_SEMANA/2)),0)</f>
        <v>62</v>
      </c>
      <c r="J998" s="16" t="n">
        <f aca="false">IFERROR(MATCH($I998,ROTACAO_RDM!$B$6:$B$71,0),0)</f>
        <v>62</v>
      </c>
      <c r="K998" s="8" t="str">
        <f aca="false">IF($J998=0,"SEM CULTURA",INDEX(ROTACAO_RDM!$F$6:$F$71,$J998))</f>
        <v>MILHO_SEMENTE</v>
      </c>
      <c r="L998" s="8" t="str">
        <f aca="false">IF($J998=0,"",INDEX(ROTACAO_RDM!$G$6:$G$71,$J998))</f>
        <v>Syngenta</v>
      </c>
      <c r="M998" s="17" t="n">
        <f aca="false">IF($J998=0,"",INDEX(ROTACAO_RDM!$I$6:$I$71,$J998))</f>
        <v>46191</v>
      </c>
      <c r="N998" s="16" t="n">
        <f aca="false">IF($J998=0,0,MAX(0,$C998+INT(DIAS_POR_SEMANA/2)-INDEX(ROTACAO_RDM!$I$6:$I$71,$J998)))</f>
        <v>91</v>
      </c>
      <c r="O998" s="19" t="n">
        <f aca="false">IF($J998=0,0,MIN(1,$N998/MAX(1,INDEX(ROTACAO_RDM!$K$6:$K$71,$J998))))</f>
        <v>0.56875</v>
      </c>
      <c r="P998" s="16" t="n">
        <f aca="false">IF($J998=0,0,IFERROR(MATCH(INDEX(ROTACAO_RDM!$N$6:$N$71,$J998),PARAMETROS_CULTURAS!$B$6:$B$28,0),0))</f>
        <v>7</v>
      </c>
      <c r="Q998" s="8" t="str">
        <f aca="false">IF($P998=0,"-",IF($O998&lt;=INDEX(PARAMETROS_CULTURAS!$F$6:$F$28,$P998),"INICIAL",IF($O998&lt;=INDEX(PARAMETROS_CULTURAS!$F$6:$F$28,$P998)+INDEX(PARAMETROS_CULTURAS!$G$6:$G$28,$P998),"DESENVOLVIMENTO",IF($O998&lt;=INDEX(PARAMETROS_CULTURAS!$F$6:$F$28,$P998)+INDEX(PARAMETROS_CULTURAS!$G$6:$G$28,$P998)+INDEX(PARAMETROS_CULTURAS!$H$6:$H$28,$P998),"MEDIA","FINAL"))))</f>
        <v>MEDIA</v>
      </c>
      <c r="R998" s="24" t="n">
        <f aca="false">IF($P998=0,0,IF($O998&lt;=INDEX(PARAMETROS_CULTURAS!$F$6:$F$28,$P998),INDEX(PARAMETROS_CULTURAS!$K$6:$K$28,$P998),IF($O998&lt;=INDEX(PARAMETROS_CULTURAS!$F$6:$F$28,$P998)+INDEX(PARAMETROS_CULTURAS!$G$6:$G$28,$P998),INDEX(PARAMETROS_CULTURAS!$K$6:$K$28,$P998)+(INDEX(PARAMETROS_CULTURAS!$L$6:$L$28,$P998)-INDEX(PARAMETROS_CULTURAS!$K$6:$K$28,$P998))*($O998-INDEX(PARAMETROS_CULTURAS!$F$6:$F$28,$P998))/MAX(INDEX(PARAMETROS_CULTURAS!$G$6:$G$28,$P998),0.0001),IF($O998&lt;=INDEX(PARAMETROS_CULTURAS!$F$6:$F$28,$P998)+INDEX(PARAMETROS_CULTURAS!$G$6:$G$28,$P998)+INDEX(PARAMETROS_CULTURAS!$H$6:$H$28,$P998),INDEX(PARAMETROS_CULTURAS!$L$6:$L$28,$P998),INDEX(PARAMETROS_CULTURAS!$L$6:$L$28,$P998)+(INDEX(PARAMETROS_CULTURAS!$M$6:$M$28,$P998)-INDEX(PARAMETROS_CULTURAS!$L$6:$L$28,$P998))*($O998-INDEX(PARAMETROS_CULTURAS!$F$6:$F$28,$P998)-INDEX(PARAMETROS_CULTURAS!$G$6:$G$28,$P998)-INDEX(PARAMETROS_CULTURAS!$H$6:$H$28,$P998))/MAX(INDEX(PARAMETROS_CULTURAS!$I$6:$I$28,$P998),0.0001)))))</f>
        <v>1.15</v>
      </c>
      <c r="S998" s="18" t="n">
        <f aca="false">IFERROR(INDEX(SEMANAS!$H$6:$H$71,MATCH($B998,SEMANAS!$B$6:$B$71,0)),0)</f>
        <v>40.6</v>
      </c>
      <c r="T998" s="18" t="n">
        <f aca="false">$R998*$S998</f>
        <v>46.69</v>
      </c>
      <c r="U998" s="18" t="n">
        <f aca="false">IFERROR(INDEX(SEMANAS!$I$6:$I$71,MATCH($B998,SEMANAS!$B$6:$B$71,0)),0)</f>
        <v>7</v>
      </c>
      <c r="V998" s="18" t="n">
        <f aca="false">IFERROR(INDEX(SEMANAS!$J$6:$J$71,MATCH($B998,SEMANAS!$B$6:$B$71,0)),0)</f>
        <v>5.6</v>
      </c>
      <c r="W998" s="18" t="n">
        <f aca="false">MAX(0,$T998-$V998)</f>
        <v>41.09</v>
      </c>
      <c r="X998" s="19" t="n">
        <f aca="false">IFERROR(INDEX(CADASTRO_PIVOS!$K$6:$K$41,MATCH($E998,CADASTRO_PIVOS!$B$6:$B$41,0)),EFICIENCIA_PADRAO)</f>
        <v>0.85</v>
      </c>
      <c r="Y998" s="18" t="n">
        <f aca="false">IF($X998&lt;=0,0,$W998/$X998)</f>
        <v>48.3411764705882</v>
      </c>
      <c r="Z998" s="16" t="n">
        <f aca="false">$Y998*$H998*MM_PARA_M3_HA</f>
        <v>48321.84</v>
      </c>
      <c r="AA998" s="18" t="n">
        <f aca="false">IFERROR(INDEX(CADASTRO_PIVOS!$I$6:$I$41,MATCH($E998,CADASTRO_PIVOS!$B$6:$B$41,0)),0)</f>
        <v>714</v>
      </c>
      <c r="AB998" s="18" t="n">
        <f aca="false">IF($Z998&lt;=0,0,$Z998/$AA998)</f>
        <v>67.6776470588235</v>
      </c>
      <c r="AC998" s="16" t="n">
        <f aca="false">IFERROR(INDEX(SEMANAS!$K$6:$K$71,MATCH($B998,SEMANAS!$B$6:$B$71,0)),0)</f>
        <v>147</v>
      </c>
      <c r="AD998" s="19" t="n">
        <f aca="false">IF($AC998&lt;=0,0,$AB998/$AC998)</f>
        <v>0.460392156862745</v>
      </c>
      <c r="AE998" s="8" t="str">
        <f aca="false">IF($K998="SEM CULTURA","SEM CULTURA",IF($AA998&lt;=0,"DADO PENDENTE",IF($AD998&gt;LIMITE_CRITICO,"INVIAVEL",IF($AD998&gt;LIMITE_ATENCAO,"CRITICO",IF($AD998&gt;LIMITE_CONFORTAVEL,"ATENCAO","OK")))))</f>
        <v>OK</v>
      </c>
      <c r="AF998" s="8" t="str">
        <f aca="false">$B998&amp;"|"&amp;TEXT($AD998,"0.000000")</f>
        <v>3|0.460392</v>
      </c>
      <c r="AG998" s="18" t="n">
        <f aca="false">IF($K998="SEM CULTURA",0,$T998*$H998)</f>
        <v>4667.1324</v>
      </c>
      <c r="AH998" s="18" t="n">
        <f aca="false">IF($K998="SEM CULTURA",0,$V998*$H998)</f>
        <v>559.776</v>
      </c>
      <c r="AI998" s="18" t="n">
        <f aca="false">IF($K998="SEM CULTURA",0,$W998*$H998)</f>
        <v>4107.3564</v>
      </c>
      <c r="AJ998" s="18" t="n">
        <f aca="false">IF($K998="SEM CULTURA",0,$S998*$H998)</f>
        <v>4058.376</v>
      </c>
      <c r="AK998" s="8" t="str">
        <f aca="false">$E998&amp;"|"&amp;TEXT($AD998,"0.000000")</f>
        <v>PV 132|0.460392</v>
      </c>
    </row>
    <row r="999" customFormat="false" ht="15" hidden="false" customHeight="false" outlineLevel="0" collapsed="false">
      <c r="B999" s="16" t="n">
        <v>4</v>
      </c>
      <c r="C999" s="17" t="n">
        <f aca="false">DATA_INICIO_SAFRA+($B999-1)*DIAS_POR_SEMANA</f>
        <v>46286</v>
      </c>
      <c r="D999" s="17" t="n">
        <f aca="false">$C999+DIAS_POR_SEMANA-1</f>
        <v>46292</v>
      </c>
      <c r="E999" s="15" t="s">
        <v>274</v>
      </c>
      <c r="F999" s="8" t="str">
        <f aca="false">IFERROR(INDEX(CADASTRO_PIVOS!$C$6:$C$41,MATCH($E999,CADASTRO_PIVOS!$B$6:$B$41,0)),"?")</f>
        <v>RM05</v>
      </c>
      <c r="G999" s="8" t="str">
        <f aca="false">IFERROR(INDEX(CADASTRO_PIVOS!$D$6:$D$41,MATCH($E999,CADASTRO_PIVOS!$B$6:$B$41,0)),"?")</f>
        <v>TR05</v>
      </c>
      <c r="H999" s="20" t="n">
        <f aca="false">IFERROR(INDEX(CADASTRO_PIVOS!$E$6:$E$41,MATCH($E999,CADASTRO_PIVOS!$B$6:$B$41,0)),0)</f>
        <v>99.96</v>
      </c>
      <c r="I999" s="16" t="n">
        <f aca="false">IFERROR(SUMIFS(ROTACAO_RDM!$B$6:$B$71,ROTACAO_RDM!$D$6:$D$71,$E999,ROTACAO_RDM!$I$6:$I$71,"&lt;="&amp;$C999+INT(DIAS_POR_SEMANA/2),ROTACAO_RDM!$J$6:$J$71,"&gt;="&amp;$C999+INT(DIAS_POR_SEMANA/2)),0)</f>
        <v>62</v>
      </c>
      <c r="J999" s="16" t="n">
        <f aca="false">IFERROR(MATCH($I999,ROTACAO_RDM!$B$6:$B$71,0),0)</f>
        <v>62</v>
      </c>
      <c r="K999" s="8" t="str">
        <f aca="false">IF($J999=0,"SEM CULTURA",INDEX(ROTACAO_RDM!$F$6:$F$71,$J999))</f>
        <v>MILHO_SEMENTE</v>
      </c>
      <c r="L999" s="8" t="str">
        <f aca="false">IF($J999=0,"",INDEX(ROTACAO_RDM!$G$6:$G$71,$J999))</f>
        <v>Syngenta</v>
      </c>
      <c r="M999" s="17" t="n">
        <f aca="false">IF($J999=0,"",INDEX(ROTACAO_RDM!$I$6:$I$71,$J999))</f>
        <v>46191</v>
      </c>
      <c r="N999" s="16" t="n">
        <f aca="false">IF($J999=0,0,MAX(0,$C999+INT(DIAS_POR_SEMANA/2)-INDEX(ROTACAO_RDM!$I$6:$I$71,$J999)))</f>
        <v>98</v>
      </c>
      <c r="O999" s="19" t="n">
        <f aca="false">IF($J999=0,0,MIN(1,$N999/MAX(1,INDEX(ROTACAO_RDM!$K$6:$K$71,$J999))))</f>
        <v>0.6125</v>
      </c>
      <c r="P999" s="16" t="n">
        <f aca="false">IF($J999=0,0,IFERROR(MATCH(INDEX(ROTACAO_RDM!$N$6:$N$71,$J999),PARAMETROS_CULTURAS!$B$6:$B$28,0),0))</f>
        <v>7</v>
      </c>
      <c r="Q999" s="8" t="str">
        <f aca="false">IF($P999=0,"-",IF($O999&lt;=INDEX(PARAMETROS_CULTURAS!$F$6:$F$28,$P999),"INICIAL",IF($O999&lt;=INDEX(PARAMETROS_CULTURAS!$F$6:$F$28,$P999)+INDEX(PARAMETROS_CULTURAS!$G$6:$G$28,$P999),"DESENVOLVIMENTO",IF($O999&lt;=INDEX(PARAMETROS_CULTURAS!$F$6:$F$28,$P999)+INDEX(PARAMETROS_CULTURAS!$G$6:$G$28,$P999)+INDEX(PARAMETROS_CULTURAS!$H$6:$H$28,$P999),"MEDIA","FINAL"))))</f>
        <v>MEDIA</v>
      </c>
      <c r="R999" s="24" t="n">
        <f aca="false">IF($P999=0,0,IF($O999&lt;=INDEX(PARAMETROS_CULTURAS!$F$6:$F$28,$P999),INDEX(PARAMETROS_CULTURAS!$K$6:$K$28,$P999),IF($O999&lt;=INDEX(PARAMETROS_CULTURAS!$F$6:$F$28,$P999)+INDEX(PARAMETROS_CULTURAS!$G$6:$G$28,$P999),INDEX(PARAMETROS_CULTURAS!$K$6:$K$28,$P999)+(INDEX(PARAMETROS_CULTURAS!$L$6:$L$28,$P999)-INDEX(PARAMETROS_CULTURAS!$K$6:$K$28,$P999))*($O999-INDEX(PARAMETROS_CULTURAS!$F$6:$F$28,$P999))/MAX(INDEX(PARAMETROS_CULTURAS!$G$6:$G$28,$P999),0.0001),IF($O999&lt;=INDEX(PARAMETROS_CULTURAS!$F$6:$F$28,$P999)+INDEX(PARAMETROS_CULTURAS!$G$6:$G$28,$P999)+INDEX(PARAMETROS_CULTURAS!$H$6:$H$28,$P999),INDEX(PARAMETROS_CULTURAS!$L$6:$L$28,$P999),INDEX(PARAMETROS_CULTURAS!$L$6:$L$28,$P999)+(INDEX(PARAMETROS_CULTURAS!$M$6:$M$28,$P999)-INDEX(PARAMETROS_CULTURAS!$L$6:$L$28,$P999))*($O999-INDEX(PARAMETROS_CULTURAS!$F$6:$F$28,$P999)-INDEX(PARAMETROS_CULTURAS!$G$6:$G$28,$P999)-INDEX(PARAMETROS_CULTURAS!$H$6:$H$28,$P999))/MAX(INDEX(PARAMETROS_CULTURAS!$I$6:$I$28,$P999),0.0001)))))</f>
        <v>1.15</v>
      </c>
      <c r="S999" s="18" t="n">
        <f aca="false">IFERROR(INDEX(SEMANAS!$H$6:$H$71,MATCH($B999,SEMANAS!$B$6:$B$71,0)),0)</f>
        <v>40.6</v>
      </c>
      <c r="T999" s="18" t="n">
        <f aca="false">$R999*$S999</f>
        <v>46.69</v>
      </c>
      <c r="U999" s="18" t="n">
        <f aca="false">IFERROR(INDEX(SEMANAS!$I$6:$I$71,MATCH($B999,SEMANAS!$B$6:$B$71,0)),0)</f>
        <v>7</v>
      </c>
      <c r="V999" s="18" t="n">
        <f aca="false">IFERROR(INDEX(SEMANAS!$J$6:$J$71,MATCH($B999,SEMANAS!$B$6:$B$71,0)),0)</f>
        <v>5.6</v>
      </c>
      <c r="W999" s="18" t="n">
        <f aca="false">MAX(0,$T999-$V999)</f>
        <v>41.09</v>
      </c>
      <c r="X999" s="19" t="n">
        <f aca="false">IFERROR(INDEX(CADASTRO_PIVOS!$K$6:$K$41,MATCH($E999,CADASTRO_PIVOS!$B$6:$B$41,0)),EFICIENCIA_PADRAO)</f>
        <v>0.85</v>
      </c>
      <c r="Y999" s="18" t="n">
        <f aca="false">IF($X999&lt;=0,0,$W999/$X999)</f>
        <v>48.3411764705882</v>
      </c>
      <c r="Z999" s="16" t="n">
        <f aca="false">$Y999*$H999*MM_PARA_M3_HA</f>
        <v>48321.84</v>
      </c>
      <c r="AA999" s="18" t="n">
        <f aca="false">IFERROR(INDEX(CADASTRO_PIVOS!$I$6:$I$41,MATCH($E999,CADASTRO_PIVOS!$B$6:$B$41,0)),0)</f>
        <v>714</v>
      </c>
      <c r="AB999" s="18" t="n">
        <f aca="false">IF($Z999&lt;=0,0,$Z999/$AA999)</f>
        <v>67.6776470588235</v>
      </c>
      <c r="AC999" s="16" t="n">
        <f aca="false">IFERROR(INDEX(SEMANAS!$K$6:$K$71,MATCH($B999,SEMANAS!$B$6:$B$71,0)),0)</f>
        <v>147</v>
      </c>
      <c r="AD999" s="19" t="n">
        <f aca="false">IF($AC999&lt;=0,0,$AB999/$AC999)</f>
        <v>0.460392156862745</v>
      </c>
      <c r="AE999" s="8" t="str">
        <f aca="false">IF($K999="SEM CULTURA","SEM CULTURA",IF($AA999&lt;=0,"DADO PENDENTE",IF($AD999&gt;LIMITE_CRITICO,"INVIAVEL",IF($AD999&gt;LIMITE_ATENCAO,"CRITICO",IF($AD999&gt;LIMITE_CONFORTAVEL,"ATENCAO","OK")))))</f>
        <v>OK</v>
      </c>
      <c r="AF999" s="8" t="str">
        <f aca="false">$B999&amp;"|"&amp;TEXT($AD999,"0.000000")</f>
        <v>4|0.460392</v>
      </c>
      <c r="AG999" s="18" t="n">
        <f aca="false">IF($K999="SEM CULTURA",0,$T999*$H999)</f>
        <v>4667.1324</v>
      </c>
      <c r="AH999" s="18" t="n">
        <f aca="false">IF($K999="SEM CULTURA",0,$V999*$H999)</f>
        <v>559.776</v>
      </c>
      <c r="AI999" s="18" t="n">
        <f aca="false">IF($K999="SEM CULTURA",0,$W999*$H999)</f>
        <v>4107.3564</v>
      </c>
      <c r="AJ999" s="18" t="n">
        <f aca="false">IF($K999="SEM CULTURA",0,$S999*$H999)</f>
        <v>4058.376</v>
      </c>
      <c r="AK999" s="8" t="str">
        <f aca="false">$E999&amp;"|"&amp;TEXT($AD999,"0.000000")</f>
        <v>PV 132|0.460392</v>
      </c>
    </row>
    <row r="1000" customFormat="false" ht="15" hidden="false" customHeight="false" outlineLevel="0" collapsed="false">
      <c r="B1000" s="16" t="n">
        <v>5</v>
      </c>
      <c r="C1000" s="17" t="n">
        <f aca="false">DATA_INICIO_SAFRA+($B1000-1)*DIAS_POR_SEMANA</f>
        <v>46293</v>
      </c>
      <c r="D1000" s="17" t="n">
        <f aca="false">$C1000+DIAS_POR_SEMANA-1</f>
        <v>46299</v>
      </c>
      <c r="E1000" s="15" t="s">
        <v>274</v>
      </c>
      <c r="F1000" s="8" t="str">
        <f aca="false">IFERROR(INDEX(CADASTRO_PIVOS!$C$6:$C$41,MATCH($E1000,CADASTRO_PIVOS!$B$6:$B$41,0)),"?")</f>
        <v>RM05</v>
      </c>
      <c r="G1000" s="8" t="str">
        <f aca="false">IFERROR(INDEX(CADASTRO_PIVOS!$D$6:$D$41,MATCH($E1000,CADASTRO_PIVOS!$B$6:$B$41,0)),"?")</f>
        <v>TR05</v>
      </c>
      <c r="H1000" s="20" t="n">
        <f aca="false">IFERROR(INDEX(CADASTRO_PIVOS!$E$6:$E$41,MATCH($E1000,CADASTRO_PIVOS!$B$6:$B$41,0)),0)</f>
        <v>99.96</v>
      </c>
      <c r="I1000" s="16" t="n">
        <f aca="false">IFERROR(SUMIFS(ROTACAO_RDM!$B$6:$B$71,ROTACAO_RDM!$D$6:$D$71,$E1000,ROTACAO_RDM!$I$6:$I$71,"&lt;="&amp;$C1000+INT(DIAS_POR_SEMANA/2),ROTACAO_RDM!$J$6:$J$71,"&gt;="&amp;$C1000+INT(DIAS_POR_SEMANA/2)),0)</f>
        <v>62</v>
      </c>
      <c r="J1000" s="16" t="n">
        <f aca="false">IFERROR(MATCH($I1000,ROTACAO_RDM!$B$6:$B$71,0),0)</f>
        <v>62</v>
      </c>
      <c r="K1000" s="8" t="str">
        <f aca="false">IF($J1000=0,"SEM CULTURA",INDEX(ROTACAO_RDM!$F$6:$F$71,$J1000))</f>
        <v>MILHO_SEMENTE</v>
      </c>
      <c r="L1000" s="8" t="str">
        <f aca="false">IF($J1000=0,"",INDEX(ROTACAO_RDM!$G$6:$G$71,$J1000))</f>
        <v>Syngenta</v>
      </c>
      <c r="M1000" s="17" t="n">
        <f aca="false">IF($J1000=0,"",INDEX(ROTACAO_RDM!$I$6:$I$71,$J1000))</f>
        <v>46191</v>
      </c>
      <c r="N1000" s="16" t="n">
        <f aca="false">IF($J1000=0,0,MAX(0,$C1000+INT(DIAS_POR_SEMANA/2)-INDEX(ROTACAO_RDM!$I$6:$I$71,$J1000)))</f>
        <v>105</v>
      </c>
      <c r="O1000" s="19" t="n">
        <f aca="false">IF($J1000=0,0,MIN(1,$N1000/MAX(1,INDEX(ROTACAO_RDM!$K$6:$K$71,$J1000))))</f>
        <v>0.65625</v>
      </c>
      <c r="P1000" s="16" t="n">
        <f aca="false">IF($J1000=0,0,IFERROR(MATCH(INDEX(ROTACAO_RDM!$N$6:$N$71,$J1000),PARAMETROS_CULTURAS!$B$6:$B$28,0),0))</f>
        <v>7</v>
      </c>
      <c r="Q1000" s="8" t="str">
        <f aca="false">IF($P1000=0,"-",IF($O1000&lt;=INDEX(PARAMETROS_CULTURAS!$F$6:$F$28,$P1000),"INICIAL",IF($O1000&lt;=INDEX(PARAMETROS_CULTURAS!$F$6:$F$28,$P1000)+INDEX(PARAMETROS_CULTURAS!$G$6:$G$28,$P1000),"DESENVOLVIMENTO",IF($O1000&lt;=INDEX(PARAMETROS_CULTURAS!$F$6:$F$28,$P1000)+INDEX(PARAMETROS_CULTURAS!$G$6:$G$28,$P1000)+INDEX(PARAMETROS_CULTURAS!$H$6:$H$28,$P1000),"MEDIA","FINAL"))))</f>
        <v>MEDIA</v>
      </c>
      <c r="R1000" s="24" t="n">
        <f aca="false">IF($P1000=0,0,IF($O1000&lt;=INDEX(PARAMETROS_CULTURAS!$F$6:$F$28,$P1000),INDEX(PARAMETROS_CULTURAS!$K$6:$K$28,$P1000),IF($O1000&lt;=INDEX(PARAMETROS_CULTURAS!$F$6:$F$28,$P1000)+INDEX(PARAMETROS_CULTURAS!$G$6:$G$28,$P1000),INDEX(PARAMETROS_CULTURAS!$K$6:$K$28,$P1000)+(INDEX(PARAMETROS_CULTURAS!$L$6:$L$28,$P1000)-INDEX(PARAMETROS_CULTURAS!$K$6:$K$28,$P1000))*($O1000-INDEX(PARAMETROS_CULTURAS!$F$6:$F$28,$P1000))/MAX(INDEX(PARAMETROS_CULTURAS!$G$6:$G$28,$P1000),0.0001),IF($O1000&lt;=INDEX(PARAMETROS_CULTURAS!$F$6:$F$28,$P1000)+INDEX(PARAMETROS_CULTURAS!$G$6:$G$28,$P1000)+INDEX(PARAMETROS_CULTURAS!$H$6:$H$28,$P1000),INDEX(PARAMETROS_CULTURAS!$L$6:$L$28,$P1000),INDEX(PARAMETROS_CULTURAS!$L$6:$L$28,$P1000)+(INDEX(PARAMETROS_CULTURAS!$M$6:$M$28,$P1000)-INDEX(PARAMETROS_CULTURAS!$L$6:$L$28,$P1000))*($O1000-INDEX(PARAMETROS_CULTURAS!$F$6:$F$28,$P1000)-INDEX(PARAMETROS_CULTURAS!$G$6:$G$28,$P1000)-INDEX(PARAMETROS_CULTURAS!$H$6:$H$28,$P1000))/MAX(INDEX(PARAMETROS_CULTURAS!$I$6:$I$28,$P1000),0.0001)))))</f>
        <v>1.15</v>
      </c>
      <c r="S1000" s="18" t="n">
        <f aca="false">IFERROR(INDEX(SEMANAS!$H$6:$H$71,MATCH($B1000,SEMANAS!$B$6:$B$71,0)),0)</f>
        <v>39.8</v>
      </c>
      <c r="T1000" s="18" t="n">
        <f aca="false">$R1000*$S1000</f>
        <v>45.77</v>
      </c>
      <c r="U1000" s="18" t="n">
        <f aca="false">IFERROR(INDEX(SEMANAS!$I$6:$I$71,MATCH($B1000,SEMANAS!$B$6:$B$71,0)),0)</f>
        <v>18.48</v>
      </c>
      <c r="V1000" s="18" t="n">
        <f aca="false">IFERROR(INDEX(SEMANAS!$J$6:$J$71,MATCH($B1000,SEMANAS!$B$6:$B$71,0)),0)</f>
        <v>14.784</v>
      </c>
      <c r="W1000" s="18" t="n">
        <f aca="false">MAX(0,$T1000-$V1000)</f>
        <v>30.986</v>
      </c>
      <c r="X1000" s="19" t="n">
        <f aca="false">IFERROR(INDEX(CADASTRO_PIVOS!$K$6:$K$41,MATCH($E1000,CADASTRO_PIVOS!$B$6:$B$41,0)),EFICIENCIA_PADRAO)</f>
        <v>0.85</v>
      </c>
      <c r="Y1000" s="18" t="n">
        <f aca="false">IF($X1000&lt;=0,0,$W1000/$X1000)</f>
        <v>36.4541176470588</v>
      </c>
      <c r="Z1000" s="16" t="n">
        <f aca="false">$Y1000*$H1000*MM_PARA_M3_HA</f>
        <v>36439.536</v>
      </c>
      <c r="AA1000" s="18" t="n">
        <f aca="false">IFERROR(INDEX(CADASTRO_PIVOS!$I$6:$I$41,MATCH($E1000,CADASTRO_PIVOS!$B$6:$B$41,0)),0)</f>
        <v>714</v>
      </c>
      <c r="AB1000" s="18" t="n">
        <f aca="false">IF($Z1000&lt;=0,0,$Z1000/$AA1000)</f>
        <v>51.0357647058824</v>
      </c>
      <c r="AC1000" s="16" t="n">
        <f aca="false">IFERROR(INDEX(SEMANAS!$K$6:$K$71,MATCH($B1000,SEMANAS!$B$6:$B$71,0)),0)</f>
        <v>147</v>
      </c>
      <c r="AD1000" s="19" t="n">
        <f aca="false">IF($AC1000&lt;=0,0,$AB1000/$AC1000)</f>
        <v>0.347182072829132</v>
      </c>
      <c r="AE1000" s="8" t="str">
        <f aca="false">IF($K1000="SEM CULTURA","SEM CULTURA",IF($AA1000&lt;=0,"DADO PENDENTE",IF($AD1000&gt;LIMITE_CRITICO,"INVIAVEL",IF($AD1000&gt;LIMITE_ATENCAO,"CRITICO",IF($AD1000&gt;LIMITE_CONFORTAVEL,"ATENCAO","OK")))))</f>
        <v>OK</v>
      </c>
      <c r="AF1000" s="8" t="str">
        <f aca="false">$B1000&amp;"|"&amp;TEXT($AD1000,"0.000000")</f>
        <v>5|0.347182</v>
      </c>
      <c r="AG1000" s="18" t="n">
        <f aca="false">IF($K1000="SEM CULTURA",0,$T1000*$H1000)</f>
        <v>4575.1692</v>
      </c>
      <c r="AH1000" s="18" t="n">
        <f aca="false">IF($K1000="SEM CULTURA",0,$V1000*$H1000)</f>
        <v>1477.80864</v>
      </c>
      <c r="AI1000" s="18" t="n">
        <f aca="false">IF($K1000="SEM CULTURA",0,$W1000*$H1000)</f>
        <v>3097.36056</v>
      </c>
      <c r="AJ1000" s="18" t="n">
        <f aca="false">IF($K1000="SEM CULTURA",0,$S1000*$H1000)</f>
        <v>3978.408</v>
      </c>
      <c r="AK1000" s="8" t="str">
        <f aca="false">$E1000&amp;"|"&amp;TEXT($AD1000,"0.000000")</f>
        <v>PV 132|0.347182</v>
      </c>
    </row>
    <row r="1001" customFormat="false" ht="15" hidden="false" customHeight="false" outlineLevel="0" collapsed="false">
      <c r="B1001" s="16" t="n">
        <v>6</v>
      </c>
      <c r="C1001" s="17" t="n">
        <f aca="false">DATA_INICIO_SAFRA+($B1001-1)*DIAS_POR_SEMANA</f>
        <v>46300</v>
      </c>
      <c r="D1001" s="17" t="n">
        <f aca="false">$C1001+DIAS_POR_SEMANA-1</f>
        <v>46306</v>
      </c>
      <c r="E1001" s="15" t="s">
        <v>274</v>
      </c>
      <c r="F1001" s="8" t="str">
        <f aca="false">IFERROR(INDEX(CADASTRO_PIVOS!$C$6:$C$41,MATCH($E1001,CADASTRO_PIVOS!$B$6:$B$41,0)),"?")</f>
        <v>RM05</v>
      </c>
      <c r="G1001" s="8" t="str">
        <f aca="false">IFERROR(INDEX(CADASTRO_PIVOS!$D$6:$D$41,MATCH($E1001,CADASTRO_PIVOS!$B$6:$B$41,0)),"?")</f>
        <v>TR05</v>
      </c>
      <c r="H1001" s="20" t="n">
        <f aca="false">IFERROR(INDEX(CADASTRO_PIVOS!$E$6:$E$41,MATCH($E1001,CADASTRO_PIVOS!$B$6:$B$41,0)),0)</f>
        <v>99.96</v>
      </c>
      <c r="I1001" s="16" t="n">
        <f aca="false">IFERROR(SUMIFS(ROTACAO_RDM!$B$6:$B$71,ROTACAO_RDM!$D$6:$D$71,$E1001,ROTACAO_RDM!$I$6:$I$71,"&lt;="&amp;$C1001+INT(DIAS_POR_SEMANA/2),ROTACAO_RDM!$J$6:$J$71,"&gt;="&amp;$C1001+INT(DIAS_POR_SEMANA/2)),0)</f>
        <v>62</v>
      </c>
      <c r="J1001" s="16" t="n">
        <f aca="false">IFERROR(MATCH($I1001,ROTACAO_RDM!$B$6:$B$71,0),0)</f>
        <v>62</v>
      </c>
      <c r="K1001" s="8" t="str">
        <f aca="false">IF($J1001=0,"SEM CULTURA",INDEX(ROTACAO_RDM!$F$6:$F$71,$J1001))</f>
        <v>MILHO_SEMENTE</v>
      </c>
      <c r="L1001" s="8" t="str">
        <f aca="false">IF($J1001=0,"",INDEX(ROTACAO_RDM!$G$6:$G$71,$J1001))</f>
        <v>Syngenta</v>
      </c>
      <c r="M1001" s="17" t="n">
        <f aca="false">IF($J1001=0,"",INDEX(ROTACAO_RDM!$I$6:$I$71,$J1001))</f>
        <v>46191</v>
      </c>
      <c r="N1001" s="16" t="n">
        <f aca="false">IF($J1001=0,0,MAX(0,$C1001+INT(DIAS_POR_SEMANA/2)-INDEX(ROTACAO_RDM!$I$6:$I$71,$J1001)))</f>
        <v>112</v>
      </c>
      <c r="O1001" s="19" t="n">
        <f aca="false">IF($J1001=0,0,MIN(1,$N1001/MAX(1,INDEX(ROTACAO_RDM!$K$6:$K$71,$J1001))))</f>
        <v>0.7</v>
      </c>
      <c r="P1001" s="16" t="n">
        <f aca="false">IF($J1001=0,0,IFERROR(MATCH(INDEX(ROTACAO_RDM!$N$6:$N$71,$J1001),PARAMETROS_CULTURAS!$B$6:$B$28,0),0))</f>
        <v>7</v>
      </c>
      <c r="Q1001" s="8" t="str">
        <f aca="false">IF($P1001=0,"-",IF($O1001&lt;=INDEX(PARAMETROS_CULTURAS!$F$6:$F$28,$P1001),"INICIAL",IF($O1001&lt;=INDEX(PARAMETROS_CULTURAS!$F$6:$F$28,$P1001)+INDEX(PARAMETROS_CULTURAS!$G$6:$G$28,$P1001),"DESENVOLVIMENTO",IF($O1001&lt;=INDEX(PARAMETROS_CULTURAS!$F$6:$F$28,$P1001)+INDEX(PARAMETROS_CULTURAS!$G$6:$G$28,$P1001)+INDEX(PARAMETROS_CULTURAS!$H$6:$H$28,$P1001),"MEDIA","FINAL"))))</f>
        <v>MEDIA</v>
      </c>
      <c r="R1001" s="24" t="n">
        <f aca="false">IF($P1001=0,0,IF($O1001&lt;=INDEX(PARAMETROS_CULTURAS!$F$6:$F$28,$P1001),INDEX(PARAMETROS_CULTURAS!$K$6:$K$28,$P1001),IF($O1001&lt;=INDEX(PARAMETROS_CULTURAS!$F$6:$F$28,$P1001)+INDEX(PARAMETROS_CULTURAS!$G$6:$G$28,$P1001),INDEX(PARAMETROS_CULTURAS!$K$6:$K$28,$P1001)+(INDEX(PARAMETROS_CULTURAS!$L$6:$L$28,$P1001)-INDEX(PARAMETROS_CULTURAS!$K$6:$K$28,$P1001))*($O1001-INDEX(PARAMETROS_CULTURAS!$F$6:$F$28,$P1001))/MAX(INDEX(PARAMETROS_CULTURAS!$G$6:$G$28,$P1001),0.0001),IF($O1001&lt;=INDEX(PARAMETROS_CULTURAS!$F$6:$F$28,$P1001)+INDEX(PARAMETROS_CULTURAS!$G$6:$G$28,$P1001)+INDEX(PARAMETROS_CULTURAS!$H$6:$H$28,$P1001),INDEX(PARAMETROS_CULTURAS!$L$6:$L$28,$P1001),INDEX(PARAMETROS_CULTURAS!$L$6:$L$28,$P1001)+(INDEX(PARAMETROS_CULTURAS!$M$6:$M$28,$P1001)-INDEX(PARAMETROS_CULTURAS!$L$6:$L$28,$P1001))*($O1001-INDEX(PARAMETROS_CULTURAS!$F$6:$F$28,$P1001)-INDEX(PARAMETROS_CULTURAS!$G$6:$G$28,$P1001)-INDEX(PARAMETROS_CULTURAS!$H$6:$H$28,$P1001))/MAX(INDEX(PARAMETROS_CULTURAS!$I$6:$I$28,$P1001),0.0001)))))</f>
        <v>1.15</v>
      </c>
      <c r="S1001" s="18" t="n">
        <f aca="false">IFERROR(INDEX(SEMANAS!$H$6:$H$71,MATCH($B1001,SEMANAS!$B$6:$B$71,0)),0)</f>
        <v>39.2</v>
      </c>
      <c r="T1001" s="18" t="n">
        <f aca="false">$R1001*$S1001</f>
        <v>45.08</v>
      </c>
      <c r="U1001" s="18" t="n">
        <f aca="false">IFERROR(INDEX(SEMANAS!$I$6:$I$71,MATCH($B1001,SEMANAS!$B$6:$B$71,0)),0)</f>
        <v>27.09</v>
      </c>
      <c r="V1001" s="18" t="n">
        <f aca="false">IFERROR(INDEX(SEMANAS!$J$6:$J$71,MATCH($B1001,SEMANAS!$B$6:$B$71,0)),0)</f>
        <v>21.672</v>
      </c>
      <c r="W1001" s="18" t="n">
        <f aca="false">MAX(0,$T1001-$V1001)</f>
        <v>23.408</v>
      </c>
      <c r="X1001" s="19" t="n">
        <f aca="false">IFERROR(INDEX(CADASTRO_PIVOS!$K$6:$K$41,MATCH($E1001,CADASTRO_PIVOS!$B$6:$B$41,0)),EFICIENCIA_PADRAO)</f>
        <v>0.85</v>
      </c>
      <c r="Y1001" s="18" t="n">
        <f aca="false">IF($X1001&lt;=0,0,$W1001/$X1001)</f>
        <v>27.5388235294118</v>
      </c>
      <c r="Z1001" s="16" t="n">
        <f aca="false">$Y1001*$H1001*MM_PARA_M3_HA</f>
        <v>27527.808</v>
      </c>
      <c r="AA1001" s="18" t="n">
        <f aca="false">IFERROR(INDEX(CADASTRO_PIVOS!$I$6:$I$41,MATCH($E1001,CADASTRO_PIVOS!$B$6:$B$41,0)),0)</f>
        <v>714</v>
      </c>
      <c r="AB1001" s="18" t="n">
        <f aca="false">IF($Z1001&lt;=0,0,$Z1001/$AA1001)</f>
        <v>38.5543529411765</v>
      </c>
      <c r="AC1001" s="16" t="n">
        <f aca="false">IFERROR(INDEX(SEMANAS!$K$6:$K$71,MATCH($B1001,SEMANAS!$B$6:$B$71,0)),0)</f>
        <v>147</v>
      </c>
      <c r="AD1001" s="19" t="n">
        <f aca="false">IF($AC1001&lt;=0,0,$AB1001/$AC1001)</f>
        <v>0.262274509803922</v>
      </c>
      <c r="AE1001" s="8" t="str">
        <f aca="false">IF($K1001="SEM CULTURA","SEM CULTURA",IF($AA1001&lt;=0,"DADO PENDENTE",IF($AD1001&gt;LIMITE_CRITICO,"INVIAVEL",IF($AD1001&gt;LIMITE_ATENCAO,"CRITICO",IF($AD1001&gt;LIMITE_CONFORTAVEL,"ATENCAO","OK")))))</f>
        <v>OK</v>
      </c>
      <c r="AF1001" s="8" t="str">
        <f aca="false">$B1001&amp;"|"&amp;TEXT($AD1001,"0.000000")</f>
        <v>6|0.262275</v>
      </c>
      <c r="AG1001" s="18" t="n">
        <f aca="false">IF($K1001="SEM CULTURA",0,$T1001*$H1001)</f>
        <v>4506.1968</v>
      </c>
      <c r="AH1001" s="18" t="n">
        <f aca="false">IF($K1001="SEM CULTURA",0,$V1001*$H1001)</f>
        <v>2166.33312</v>
      </c>
      <c r="AI1001" s="18" t="n">
        <f aca="false">IF($K1001="SEM CULTURA",0,$W1001*$H1001)</f>
        <v>2339.86368</v>
      </c>
      <c r="AJ1001" s="18" t="n">
        <f aca="false">IF($K1001="SEM CULTURA",0,$S1001*$H1001)</f>
        <v>3918.432</v>
      </c>
      <c r="AK1001" s="8" t="str">
        <f aca="false">$E1001&amp;"|"&amp;TEXT($AD1001,"0.000000")</f>
        <v>PV 132|0.262275</v>
      </c>
    </row>
    <row r="1002" customFormat="false" ht="15" hidden="false" customHeight="false" outlineLevel="0" collapsed="false">
      <c r="B1002" s="16" t="n">
        <v>7</v>
      </c>
      <c r="C1002" s="17" t="n">
        <f aca="false">DATA_INICIO_SAFRA+($B1002-1)*DIAS_POR_SEMANA</f>
        <v>46307</v>
      </c>
      <c r="D1002" s="17" t="n">
        <f aca="false">$C1002+DIAS_POR_SEMANA-1</f>
        <v>46313</v>
      </c>
      <c r="E1002" s="15" t="s">
        <v>274</v>
      </c>
      <c r="F1002" s="8" t="str">
        <f aca="false">IFERROR(INDEX(CADASTRO_PIVOS!$C$6:$C$41,MATCH($E1002,CADASTRO_PIVOS!$B$6:$B$41,0)),"?")</f>
        <v>RM05</v>
      </c>
      <c r="G1002" s="8" t="str">
        <f aca="false">IFERROR(INDEX(CADASTRO_PIVOS!$D$6:$D$41,MATCH($E1002,CADASTRO_PIVOS!$B$6:$B$41,0)),"?")</f>
        <v>TR05</v>
      </c>
      <c r="H1002" s="20" t="n">
        <f aca="false">IFERROR(INDEX(CADASTRO_PIVOS!$E$6:$E$41,MATCH($E1002,CADASTRO_PIVOS!$B$6:$B$41,0)),0)</f>
        <v>99.96</v>
      </c>
      <c r="I1002" s="16" t="n">
        <f aca="false">IFERROR(SUMIFS(ROTACAO_RDM!$B$6:$B$71,ROTACAO_RDM!$D$6:$D$71,$E1002,ROTACAO_RDM!$I$6:$I$71,"&lt;="&amp;$C1002+INT(DIAS_POR_SEMANA/2),ROTACAO_RDM!$J$6:$J$71,"&gt;="&amp;$C1002+INT(DIAS_POR_SEMANA/2)),0)</f>
        <v>62</v>
      </c>
      <c r="J1002" s="16" t="n">
        <f aca="false">IFERROR(MATCH($I1002,ROTACAO_RDM!$B$6:$B$71,0),0)</f>
        <v>62</v>
      </c>
      <c r="K1002" s="8" t="str">
        <f aca="false">IF($J1002=0,"SEM CULTURA",INDEX(ROTACAO_RDM!$F$6:$F$71,$J1002))</f>
        <v>MILHO_SEMENTE</v>
      </c>
      <c r="L1002" s="8" t="str">
        <f aca="false">IF($J1002=0,"",INDEX(ROTACAO_RDM!$G$6:$G$71,$J1002))</f>
        <v>Syngenta</v>
      </c>
      <c r="M1002" s="17" t="n">
        <f aca="false">IF($J1002=0,"",INDEX(ROTACAO_RDM!$I$6:$I$71,$J1002))</f>
        <v>46191</v>
      </c>
      <c r="N1002" s="16" t="n">
        <f aca="false">IF($J1002=0,0,MAX(0,$C1002+INT(DIAS_POR_SEMANA/2)-INDEX(ROTACAO_RDM!$I$6:$I$71,$J1002)))</f>
        <v>119</v>
      </c>
      <c r="O1002" s="19" t="n">
        <f aca="false">IF($J1002=0,0,MIN(1,$N1002/MAX(1,INDEX(ROTACAO_RDM!$K$6:$K$71,$J1002))))</f>
        <v>0.74375</v>
      </c>
      <c r="P1002" s="16" t="n">
        <f aca="false">IF($J1002=0,0,IFERROR(MATCH(INDEX(ROTACAO_RDM!$N$6:$N$71,$J1002),PARAMETROS_CULTURAS!$B$6:$B$28,0),0))</f>
        <v>7</v>
      </c>
      <c r="Q1002" s="8" t="str">
        <f aca="false">IF($P1002=0,"-",IF($O1002&lt;=INDEX(PARAMETROS_CULTURAS!$F$6:$F$28,$P1002),"INICIAL",IF($O1002&lt;=INDEX(PARAMETROS_CULTURAS!$F$6:$F$28,$P1002)+INDEX(PARAMETROS_CULTURAS!$G$6:$G$28,$P1002),"DESENVOLVIMENTO",IF($O1002&lt;=INDEX(PARAMETROS_CULTURAS!$F$6:$F$28,$P1002)+INDEX(PARAMETROS_CULTURAS!$G$6:$G$28,$P1002)+INDEX(PARAMETROS_CULTURAS!$H$6:$H$28,$P1002),"MEDIA","FINAL"))))</f>
        <v>MEDIA</v>
      </c>
      <c r="R1002" s="24" t="n">
        <f aca="false">IF($P1002=0,0,IF($O1002&lt;=INDEX(PARAMETROS_CULTURAS!$F$6:$F$28,$P1002),INDEX(PARAMETROS_CULTURAS!$K$6:$K$28,$P1002),IF($O1002&lt;=INDEX(PARAMETROS_CULTURAS!$F$6:$F$28,$P1002)+INDEX(PARAMETROS_CULTURAS!$G$6:$G$28,$P1002),INDEX(PARAMETROS_CULTURAS!$K$6:$K$28,$P1002)+(INDEX(PARAMETROS_CULTURAS!$L$6:$L$28,$P1002)-INDEX(PARAMETROS_CULTURAS!$K$6:$K$28,$P1002))*($O1002-INDEX(PARAMETROS_CULTURAS!$F$6:$F$28,$P1002))/MAX(INDEX(PARAMETROS_CULTURAS!$G$6:$G$28,$P1002),0.0001),IF($O1002&lt;=INDEX(PARAMETROS_CULTURAS!$F$6:$F$28,$P1002)+INDEX(PARAMETROS_CULTURAS!$G$6:$G$28,$P1002)+INDEX(PARAMETROS_CULTURAS!$H$6:$H$28,$P1002),INDEX(PARAMETROS_CULTURAS!$L$6:$L$28,$P1002),INDEX(PARAMETROS_CULTURAS!$L$6:$L$28,$P1002)+(INDEX(PARAMETROS_CULTURAS!$M$6:$M$28,$P1002)-INDEX(PARAMETROS_CULTURAS!$L$6:$L$28,$P1002))*($O1002-INDEX(PARAMETROS_CULTURAS!$F$6:$F$28,$P1002)-INDEX(PARAMETROS_CULTURAS!$G$6:$G$28,$P1002)-INDEX(PARAMETROS_CULTURAS!$H$6:$H$28,$P1002))/MAX(INDEX(PARAMETROS_CULTURAS!$I$6:$I$28,$P1002),0.0001)))))</f>
        <v>1.15</v>
      </c>
      <c r="S1002" s="18" t="n">
        <f aca="false">IFERROR(INDEX(SEMANAS!$H$6:$H$71,MATCH($B1002,SEMANAS!$B$6:$B$71,0)),0)</f>
        <v>39.2</v>
      </c>
      <c r="T1002" s="18" t="n">
        <f aca="false">$R1002*$S1002</f>
        <v>45.08</v>
      </c>
      <c r="U1002" s="18" t="n">
        <f aca="false">IFERROR(INDEX(SEMANAS!$I$6:$I$71,MATCH($B1002,SEMANAS!$B$6:$B$71,0)),0)</f>
        <v>27.09</v>
      </c>
      <c r="V1002" s="18" t="n">
        <f aca="false">IFERROR(INDEX(SEMANAS!$J$6:$J$71,MATCH($B1002,SEMANAS!$B$6:$B$71,0)),0)</f>
        <v>21.672</v>
      </c>
      <c r="W1002" s="18" t="n">
        <f aca="false">MAX(0,$T1002-$V1002)</f>
        <v>23.408</v>
      </c>
      <c r="X1002" s="19" t="n">
        <f aca="false">IFERROR(INDEX(CADASTRO_PIVOS!$K$6:$K$41,MATCH($E1002,CADASTRO_PIVOS!$B$6:$B$41,0)),EFICIENCIA_PADRAO)</f>
        <v>0.85</v>
      </c>
      <c r="Y1002" s="18" t="n">
        <f aca="false">IF($X1002&lt;=0,0,$W1002/$X1002)</f>
        <v>27.5388235294118</v>
      </c>
      <c r="Z1002" s="16" t="n">
        <f aca="false">$Y1002*$H1002*MM_PARA_M3_HA</f>
        <v>27527.808</v>
      </c>
      <c r="AA1002" s="18" t="n">
        <f aca="false">IFERROR(INDEX(CADASTRO_PIVOS!$I$6:$I$41,MATCH($E1002,CADASTRO_PIVOS!$B$6:$B$41,0)),0)</f>
        <v>714</v>
      </c>
      <c r="AB1002" s="18" t="n">
        <f aca="false">IF($Z1002&lt;=0,0,$Z1002/$AA1002)</f>
        <v>38.5543529411765</v>
      </c>
      <c r="AC1002" s="16" t="n">
        <f aca="false">IFERROR(INDEX(SEMANAS!$K$6:$K$71,MATCH($B1002,SEMANAS!$B$6:$B$71,0)),0)</f>
        <v>147</v>
      </c>
      <c r="AD1002" s="19" t="n">
        <f aca="false">IF($AC1002&lt;=0,0,$AB1002/$AC1002)</f>
        <v>0.262274509803922</v>
      </c>
      <c r="AE1002" s="8" t="str">
        <f aca="false">IF($K1002="SEM CULTURA","SEM CULTURA",IF($AA1002&lt;=0,"DADO PENDENTE",IF($AD1002&gt;LIMITE_CRITICO,"INVIAVEL",IF($AD1002&gt;LIMITE_ATENCAO,"CRITICO",IF($AD1002&gt;LIMITE_CONFORTAVEL,"ATENCAO","OK")))))</f>
        <v>OK</v>
      </c>
      <c r="AF1002" s="8" t="str">
        <f aca="false">$B1002&amp;"|"&amp;TEXT($AD1002,"0.000000")</f>
        <v>7|0.262275</v>
      </c>
      <c r="AG1002" s="18" t="n">
        <f aca="false">IF($K1002="SEM CULTURA",0,$T1002*$H1002)</f>
        <v>4506.1968</v>
      </c>
      <c r="AH1002" s="18" t="n">
        <f aca="false">IF($K1002="SEM CULTURA",0,$V1002*$H1002)</f>
        <v>2166.33312</v>
      </c>
      <c r="AI1002" s="18" t="n">
        <f aca="false">IF($K1002="SEM CULTURA",0,$W1002*$H1002)</f>
        <v>2339.86368</v>
      </c>
      <c r="AJ1002" s="18" t="n">
        <f aca="false">IF($K1002="SEM CULTURA",0,$S1002*$H1002)</f>
        <v>3918.432</v>
      </c>
      <c r="AK1002" s="8" t="str">
        <f aca="false">$E1002&amp;"|"&amp;TEXT($AD1002,"0.000000")</f>
        <v>PV 132|0.262275</v>
      </c>
    </row>
    <row r="1003" customFormat="false" ht="15" hidden="false" customHeight="false" outlineLevel="0" collapsed="false">
      <c r="B1003" s="16" t="n">
        <v>8</v>
      </c>
      <c r="C1003" s="17" t="n">
        <f aca="false">DATA_INICIO_SAFRA+($B1003-1)*DIAS_POR_SEMANA</f>
        <v>46314</v>
      </c>
      <c r="D1003" s="17" t="n">
        <f aca="false">$C1003+DIAS_POR_SEMANA-1</f>
        <v>46320</v>
      </c>
      <c r="E1003" s="15" t="s">
        <v>274</v>
      </c>
      <c r="F1003" s="8" t="str">
        <f aca="false">IFERROR(INDEX(CADASTRO_PIVOS!$C$6:$C$41,MATCH($E1003,CADASTRO_PIVOS!$B$6:$B$41,0)),"?")</f>
        <v>RM05</v>
      </c>
      <c r="G1003" s="8" t="str">
        <f aca="false">IFERROR(INDEX(CADASTRO_PIVOS!$D$6:$D$41,MATCH($E1003,CADASTRO_PIVOS!$B$6:$B$41,0)),"?")</f>
        <v>TR05</v>
      </c>
      <c r="H1003" s="20" t="n">
        <f aca="false">IFERROR(INDEX(CADASTRO_PIVOS!$E$6:$E$41,MATCH($E1003,CADASTRO_PIVOS!$B$6:$B$41,0)),0)</f>
        <v>99.96</v>
      </c>
      <c r="I1003" s="16" t="n">
        <f aca="false">IFERROR(SUMIFS(ROTACAO_RDM!$B$6:$B$71,ROTACAO_RDM!$D$6:$D$71,$E1003,ROTACAO_RDM!$I$6:$I$71,"&lt;="&amp;$C1003+INT(DIAS_POR_SEMANA/2),ROTACAO_RDM!$J$6:$J$71,"&gt;="&amp;$C1003+INT(DIAS_POR_SEMANA/2)),0)</f>
        <v>62</v>
      </c>
      <c r="J1003" s="16" t="n">
        <f aca="false">IFERROR(MATCH($I1003,ROTACAO_RDM!$B$6:$B$71,0),0)</f>
        <v>62</v>
      </c>
      <c r="K1003" s="8" t="str">
        <f aca="false">IF($J1003=0,"SEM CULTURA",INDEX(ROTACAO_RDM!$F$6:$F$71,$J1003))</f>
        <v>MILHO_SEMENTE</v>
      </c>
      <c r="L1003" s="8" t="str">
        <f aca="false">IF($J1003=0,"",INDEX(ROTACAO_RDM!$G$6:$G$71,$J1003))</f>
        <v>Syngenta</v>
      </c>
      <c r="M1003" s="17" t="n">
        <f aca="false">IF($J1003=0,"",INDEX(ROTACAO_RDM!$I$6:$I$71,$J1003))</f>
        <v>46191</v>
      </c>
      <c r="N1003" s="16" t="n">
        <f aca="false">IF($J1003=0,0,MAX(0,$C1003+INT(DIAS_POR_SEMANA/2)-INDEX(ROTACAO_RDM!$I$6:$I$71,$J1003)))</f>
        <v>126</v>
      </c>
      <c r="O1003" s="19" t="n">
        <f aca="false">IF($J1003=0,0,MIN(1,$N1003/MAX(1,INDEX(ROTACAO_RDM!$K$6:$K$71,$J1003))))</f>
        <v>0.7875</v>
      </c>
      <c r="P1003" s="16" t="n">
        <f aca="false">IF($J1003=0,0,IFERROR(MATCH(INDEX(ROTACAO_RDM!$N$6:$N$71,$J1003),PARAMETROS_CULTURAS!$B$6:$B$28,0),0))</f>
        <v>7</v>
      </c>
      <c r="Q1003" s="8" t="str">
        <f aca="false">IF($P1003=0,"-",IF($O1003&lt;=INDEX(PARAMETROS_CULTURAS!$F$6:$F$28,$P1003),"INICIAL",IF($O1003&lt;=INDEX(PARAMETROS_CULTURAS!$F$6:$F$28,$P1003)+INDEX(PARAMETROS_CULTURAS!$G$6:$G$28,$P1003),"DESENVOLVIMENTO",IF($O1003&lt;=INDEX(PARAMETROS_CULTURAS!$F$6:$F$28,$P1003)+INDEX(PARAMETROS_CULTURAS!$G$6:$G$28,$P1003)+INDEX(PARAMETROS_CULTURAS!$H$6:$H$28,$P1003),"MEDIA","FINAL"))))</f>
        <v>FINAL</v>
      </c>
      <c r="R1003" s="24" t="n">
        <f aca="false">IF($P1003=0,0,IF($O1003&lt;=INDEX(PARAMETROS_CULTURAS!$F$6:$F$28,$P1003),INDEX(PARAMETROS_CULTURAS!$K$6:$K$28,$P1003),IF($O1003&lt;=INDEX(PARAMETROS_CULTURAS!$F$6:$F$28,$P1003)+INDEX(PARAMETROS_CULTURAS!$G$6:$G$28,$P1003),INDEX(PARAMETROS_CULTURAS!$K$6:$K$28,$P1003)+(INDEX(PARAMETROS_CULTURAS!$L$6:$L$28,$P1003)-INDEX(PARAMETROS_CULTURAS!$K$6:$K$28,$P1003))*($O1003-INDEX(PARAMETROS_CULTURAS!$F$6:$F$28,$P1003))/MAX(INDEX(PARAMETROS_CULTURAS!$G$6:$G$28,$P1003),0.0001),IF($O1003&lt;=INDEX(PARAMETROS_CULTURAS!$F$6:$F$28,$P1003)+INDEX(PARAMETROS_CULTURAS!$G$6:$G$28,$P1003)+INDEX(PARAMETROS_CULTURAS!$H$6:$H$28,$P1003),INDEX(PARAMETROS_CULTURAS!$L$6:$L$28,$P1003),INDEX(PARAMETROS_CULTURAS!$L$6:$L$28,$P1003)+(INDEX(PARAMETROS_CULTURAS!$M$6:$M$28,$P1003)-INDEX(PARAMETROS_CULTURAS!$L$6:$L$28,$P1003))*($O1003-INDEX(PARAMETROS_CULTURAS!$F$6:$F$28,$P1003)-INDEX(PARAMETROS_CULTURAS!$G$6:$G$28,$P1003)-INDEX(PARAMETROS_CULTURAS!$H$6:$H$28,$P1003))/MAX(INDEX(PARAMETROS_CULTURAS!$I$6:$I$28,$P1003),0.0001)))))</f>
        <v>1.0675</v>
      </c>
      <c r="S1003" s="18" t="n">
        <f aca="false">IFERROR(INDEX(SEMANAS!$H$6:$H$71,MATCH($B1003,SEMANAS!$B$6:$B$71,0)),0)</f>
        <v>39.2</v>
      </c>
      <c r="T1003" s="18" t="n">
        <f aca="false">$R1003*$S1003</f>
        <v>41.846</v>
      </c>
      <c r="U1003" s="18" t="n">
        <f aca="false">IFERROR(INDEX(SEMANAS!$I$6:$I$71,MATCH($B1003,SEMANAS!$B$6:$B$71,0)),0)</f>
        <v>27.09</v>
      </c>
      <c r="V1003" s="18" t="n">
        <f aca="false">IFERROR(INDEX(SEMANAS!$J$6:$J$71,MATCH($B1003,SEMANAS!$B$6:$B$71,0)),0)</f>
        <v>21.672</v>
      </c>
      <c r="W1003" s="18" t="n">
        <f aca="false">MAX(0,$T1003-$V1003)</f>
        <v>20.174</v>
      </c>
      <c r="X1003" s="19" t="n">
        <f aca="false">IFERROR(INDEX(CADASTRO_PIVOS!$K$6:$K$41,MATCH($E1003,CADASTRO_PIVOS!$B$6:$B$41,0)),EFICIENCIA_PADRAO)</f>
        <v>0.85</v>
      </c>
      <c r="Y1003" s="18" t="n">
        <f aca="false">IF($X1003&lt;=0,0,$W1003/$X1003)</f>
        <v>23.7341176470588</v>
      </c>
      <c r="Z1003" s="16" t="n">
        <f aca="false">$Y1003*$H1003*MM_PARA_M3_HA</f>
        <v>23724.624</v>
      </c>
      <c r="AA1003" s="18" t="n">
        <f aca="false">IFERROR(INDEX(CADASTRO_PIVOS!$I$6:$I$41,MATCH($E1003,CADASTRO_PIVOS!$B$6:$B$41,0)),0)</f>
        <v>714</v>
      </c>
      <c r="AB1003" s="18" t="n">
        <f aca="false">IF($Z1003&lt;=0,0,$Z1003/$AA1003)</f>
        <v>33.2277647058824</v>
      </c>
      <c r="AC1003" s="16" t="n">
        <f aca="false">IFERROR(INDEX(SEMANAS!$K$6:$K$71,MATCH($B1003,SEMANAS!$B$6:$B$71,0)),0)</f>
        <v>147</v>
      </c>
      <c r="AD1003" s="19" t="n">
        <f aca="false">IF($AC1003&lt;=0,0,$AB1003/$AC1003)</f>
        <v>0.226039215686275</v>
      </c>
      <c r="AE1003" s="8" t="str">
        <f aca="false">IF($K1003="SEM CULTURA","SEM CULTURA",IF($AA1003&lt;=0,"DADO PENDENTE",IF($AD1003&gt;LIMITE_CRITICO,"INVIAVEL",IF($AD1003&gt;LIMITE_ATENCAO,"CRITICO",IF($AD1003&gt;LIMITE_CONFORTAVEL,"ATENCAO","OK")))))</f>
        <v>OK</v>
      </c>
      <c r="AF1003" s="8" t="str">
        <f aca="false">$B1003&amp;"|"&amp;TEXT($AD1003,"0.000000")</f>
        <v>8|0.226039</v>
      </c>
      <c r="AG1003" s="18" t="n">
        <f aca="false">IF($K1003="SEM CULTURA",0,$T1003*$H1003)</f>
        <v>4182.92616</v>
      </c>
      <c r="AH1003" s="18" t="n">
        <f aca="false">IF($K1003="SEM CULTURA",0,$V1003*$H1003)</f>
        <v>2166.33312</v>
      </c>
      <c r="AI1003" s="18" t="n">
        <f aca="false">IF($K1003="SEM CULTURA",0,$W1003*$H1003)</f>
        <v>2016.59304</v>
      </c>
      <c r="AJ1003" s="18" t="n">
        <f aca="false">IF($K1003="SEM CULTURA",0,$S1003*$H1003)</f>
        <v>3918.432</v>
      </c>
      <c r="AK1003" s="8" t="str">
        <f aca="false">$E1003&amp;"|"&amp;TEXT($AD1003,"0.000000")</f>
        <v>PV 132|0.226039</v>
      </c>
    </row>
    <row r="1004" customFormat="false" ht="15" hidden="false" customHeight="false" outlineLevel="0" collapsed="false">
      <c r="B1004" s="16" t="n">
        <v>9</v>
      </c>
      <c r="C1004" s="17" t="n">
        <f aca="false">DATA_INICIO_SAFRA+($B1004-1)*DIAS_POR_SEMANA</f>
        <v>46321</v>
      </c>
      <c r="D1004" s="17" t="n">
        <f aca="false">$C1004+DIAS_POR_SEMANA-1</f>
        <v>46327</v>
      </c>
      <c r="E1004" s="15" t="s">
        <v>274</v>
      </c>
      <c r="F1004" s="8" t="str">
        <f aca="false">IFERROR(INDEX(CADASTRO_PIVOS!$C$6:$C$41,MATCH($E1004,CADASTRO_PIVOS!$B$6:$B$41,0)),"?")</f>
        <v>RM05</v>
      </c>
      <c r="G1004" s="8" t="str">
        <f aca="false">IFERROR(INDEX(CADASTRO_PIVOS!$D$6:$D$41,MATCH($E1004,CADASTRO_PIVOS!$B$6:$B$41,0)),"?")</f>
        <v>TR05</v>
      </c>
      <c r="H1004" s="20" t="n">
        <f aca="false">IFERROR(INDEX(CADASTRO_PIVOS!$E$6:$E$41,MATCH($E1004,CADASTRO_PIVOS!$B$6:$B$41,0)),0)</f>
        <v>99.96</v>
      </c>
      <c r="I1004" s="16" t="n">
        <f aca="false">IFERROR(SUMIFS(ROTACAO_RDM!$B$6:$B$71,ROTACAO_RDM!$D$6:$D$71,$E1004,ROTACAO_RDM!$I$6:$I$71,"&lt;="&amp;$C1004+INT(DIAS_POR_SEMANA/2),ROTACAO_RDM!$J$6:$J$71,"&gt;="&amp;$C1004+INT(DIAS_POR_SEMANA/2)),0)</f>
        <v>62</v>
      </c>
      <c r="J1004" s="16" t="n">
        <f aca="false">IFERROR(MATCH($I1004,ROTACAO_RDM!$B$6:$B$71,0),0)</f>
        <v>62</v>
      </c>
      <c r="K1004" s="8" t="str">
        <f aca="false">IF($J1004=0,"SEM CULTURA",INDEX(ROTACAO_RDM!$F$6:$F$71,$J1004))</f>
        <v>MILHO_SEMENTE</v>
      </c>
      <c r="L1004" s="8" t="str">
        <f aca="false">IF($J1004=0,"",INDEX(ROTACAO_RDM!$G$6:$G$71,$J1004))</f>
        <v>Syngenta</v>
      </c>
      <c r="M1004" s="17" t="n">
        <f aca="false">IF($J1004=0,"",INDEX(ROTACAO_RDM!$I$6:$I$71,$J1004))</f>
        <v>46191</v>
      </c>
      <c r="N1004" s="16" t="n">
        <f aca="false">IF($J1004=0,0,MAX(0,$C1004+INT(DIAS_POR_SEMANA/2)-INDEX(ROTACAO_RDM!$I$6:$I$71,$J1004)))</f>
        <v>133</v>
      </c>
      <c r="O1004" s="19" t="n">
        <f aca="false">IF($J1004=0,0,MIN(1,$N1004/MAX(1,INDEX(ROTACAO_RDM!$K$6:$K$71,$J1004))))</f>
        <v>0.83125</v>
      </c>
      <c r="P1004" s="16" t="n">
        <f aca="false">IF($J1004=0,0,IFERROR(MATCH(INDEX(ROTACAO_RDM!$N$6:$N$71,$J1004),PARAMETROS_CULTURAS!$B$6:$B$28,0),0))</f>
        <v>7</v>
      </c>
      <c r="Q1004" s="8" t="str">
        <f aca="false">IF($P1004=0,"-",IF($O1004&lt;=INDEX(PARAMETROS_CULTURAS!$F$6:$F$28,$P1004),"INICIAL",IF($O1004&lt;=INDEX(PARAMETROS_CULTURAS!$F$6:$F$28,$P1004)+INDEX(PARAMETROS_CULTURAS!$G$6:$G$28,$P1004),"DESENVOLVIMENTO",IF($O1004&lt;=INDEX(PARAMETROS_CULTURAS!$F$6:$F$28,$P1004)+INDEX(PARAMETROS_CULTURAS!$G$6:$G$28,$P1004)+INDEX(PARAMETROS_CULTURAS!$H$6:$H$28,$P1004),"MEDIA","FINAL"))))</f>
        <v>FINAL</v>
      </c>
      <c r="R1004" s="24" t="n">
        <f aca="false">IF($P1004=0,0,IF($O1004&lt;=INDEX(PARAMETROS_CULTURAS!$F$6:$F$28,$P1004),INDEX(PARAMETROS_CULTURAS!$K$6:$K$28,$P1004),IF($O1004&lt;=INDEX(PARAMETROS_CULTURAS!$F$6:$F$28,$P1004)+INDEX(PARAMETROS_CULTURAS!$G$6:$G$28,$P1004),INDEX(PARAMETROS_CULTURAS!$K$6:$K$28,$P1004)+(INDEX(PARAMETROS_CULTURAS!$L$6:$L$28,$P1004)-INDEX(PARAMETROS_CULTURAS!$K$6:$K$28,$P1004))*($O1004-INDEX(PARAMETROS_CULTURAS!$F$6:$F$28,$P1004))/MAX(INDEX(PARAMETROS_CULTURAS!$G$6:$G$28,$P1004),0.0001),IF($O1004&lt;=INDEX(PARAMETROS_CULTURAS!$F$6:$F$28,$P1004)+INDEX(PARAMETROS_CULTURAS!$G$6:$G$28,$P1004)+INDEX(PARAMETROS_CULTURAS!$H$6:$H$28,$P1004),INDEX(PARAMETROS_CULTURAS!$L$6:$L$28,$P1004),INDEX(PARAMETROS_CULTURAS!$L$6:$L$28,$P1004)+(INDEX(PARAMETROS_CULTURAS!$M$6:$M$28,$P1004)-INDEX(PARAMETROS_CULTURAS!$L$6:$L$28,$P1004))*($O1004-INDEX(PARAMETROS_CULTURAS!$F$6:$F$28,$P1004)-INDEX(PARAMETROS_CULTURAS!$G$6:$G$28,$P1004)-INDEX(PARAMETROS_CULTURAS!$H$6:$H$28,$P1004))/MAX(INDEX(PARAMETROS_CULTURAS!$I$6:$I$28,$P1004),0.0001)))))</f>
        <v>0.97125</v>
      </c>
      <c r="S1004" s="18" t="n">
        <f aca="false">IFERROR(INDEX(SEMANAS!$H$6:$H$71,MATCH($B1004,SEMANAS!$B$6:$B$71,0)),0)</f>
        <v>38.5</v>
      </c>
      <c r="T1004" s="18" t="n">
        <f aca="false">$R1004*$S1004</f>
        <v>37.393125</v>
      </c>
      <c r="U1004" s="18" t="n">
        <f aca="false">IFERROR(INDEX(SEMANAS!$I$6:$I$71,MATCH($B1004,SEMANAS!$B$6:$B$71,0)),0)</f>
        <v>29.89</v>
      </c>
      <c r="V1004" s="18" t="n">
        <f aca="false">IFERROR(INDEX(SEMANAS!$J$6:$J$71,MATCH($B1004,SEMANAS!$B$6:$B$71,0)),0)</f>
        <v>23.912</v>
      </c>
      <c r="W1004" s="18" t="n">
        <f aca="false">MAX(0,$T1004-$V1004)</f>
        <v>13.481125</v>
      </c>
      <c r="X1004" s="19" t="n">
        <f aca="false">IFERROR(INDEX(CADASTRO_PIVOS!$K$6:$K$41,MATCH($E1004,CADASTRO_PIVOS!$B$6:$B$41,0)),EFICIENCIA_PADRAO)</f>
        <v>0.85</v>
      </c>
      <c r="Y1004" s="18" t="n">
        <f aca="false">IF($X1004&lt;=0,0,$W1004/$X1004)</f>
        <v>15.8601470588235</v>
      </c>
      <c r="Z1004" s="16" t="n">
        <f aca="false">$Y1004*$H1004*MM_PARA_M3_HA</f>
        <v>15853.803</v>
      </c>
      <c r="AA1004" s="18" t="n">
        <f aca="false">IFERROR(INDEX(CADASTRO_PIVOS!$I$6:$I$41,MATCH($E1004,CADASTRO_PIVOS!$B$6:$B$41,0)),0)</f>
        <v>714</v>
      </c>
      <c r="AB1004" s="18" t="n">
        <f aca="false">IF($Z1004&lt;=0,0,$Z1004/$AA1004)</f>
        <v>22.2042058823529</v>
      </c>
      <c r="AC1004" s="16" t="n">
        <f aca="false">IFERROR(INDEX(SEMANAS!$K$6:$K$71,MATCH($B1004,SEMANAS!$B$6:$B$71,0)),0)</f>
        <v>147</v>
      </c>
      <c r="AD1004" s="19" t="n">
        <f aca="false">IF($AC1004&lt;=0,0,$AB1004/$AC1004)</f>
        <v>0.151049019607843</v>
      </c>
      <c r="AE1004" s="8" t="str">
        <f aca="false">IF($K1004="SEM CULTURA","SEM CULTURA",IF($AA1004&lt;=0,"DADO PENDENTE",IF($AD1004&gt;LIMITE_CRITICO,"INVIAVEL",IF($AD1004&gt;LIMITE_ATENCAO,"CRITICO",IF($AD1004&gt;LIMITE_CONFORTAVEL,"ATENCAO","OK")))))</f>
        <v>OK</v>
      </c>
      <c r="AF1004" s="8" t="str">
        <f aca="false">$B1004&amp;"|"&amp;TEXT($AD1004,"0.000000")</f>
        <v>9|0.151049</v>
      </c>
      <c r="AG1004" s="18" t="n">
        <f aca="false">IF($K1004="SEM CULTURA",0,$T1004*$H1004)</f>
        <v>3737.816775</v>
      </c>
      <c r="AH1004" s="18" t="n">
        <f aca="false">IF($K1004="SEM CULTURA",0,$V1004*$H1004)</f>
        <v>2390.24352</v>
      </c>
      <c r="AI1004" s="18" t="n">
        <f aca="false">IF($K1004="SEM CULTURA",0,$W1004*$H1004)</f>
        <v>1347.573255</v>
      </c>
      <c r="AJ1004" s="18" t="n">
        <f aca="false">IF($K1004="SEM CULTURA",0,$S1004*$H1004)</f>
        <v>3848.46</v>
      </c>
      <c r="AK1004" s="8" t="str">
        <f aca="false">$E1004&amp;"|"&amp;TEXT($AD1004,"0.000000")</f>
        <v>PV 132|0.151049</v>
      </c>
    </row>
    <row r="1005" customFormat="false" ht="15" hidden="false" customHeight="false" outlineLevel="0" collapsed="false">
      <c r="B1005" s="16" t="n">
        <v>10</v>
      </c>
      <c r="C1005" s="17" t="n">
        <f aca="false">DATA_INICIO_SAFRA+($B1005-1)*DIAS_POR_SEMANA</f>
        <v>46328</v>
      </c>
      <c r="D1005" s="17" t="n">
        <f aca="false">$C1005+DIAS_POR_SEMANA-1</f>
        <v>46334</v>
      </c>
      <c r="E1005" s="15" t="s">
        <v>274</v>
      </c>
      <c r="F1005" s="8" t="str">
        <f aca="false">IFERROR(INDEX(CADASTRO_PIVOS!$C$6:$C$41,MATCH($E1005,CADASTRO_PIVOS!$B$6:$B$41,0)),"?")</f>
        <v>RM05</v>
      </c>
      <c r="G1005" s="8" t="str">
        <f aca="false">IFERROR(INDEX(CADASTRO_PIVOS!$D$6:$D$41,MATCH($E1005,CADASTRO_PIVOS!$B$6:$B$41,0)),"?")</f>
        <v>TR05</v>
      </c>
      <c r="H1005" s="20" t="n">
        <f aca="false">IFERROR(INDEX(CADASTRO_PIVOS!$E$6:$E$41,MATCH($E1005,CADASTRO_PIVOS!$B$6:$B$41,0)),0)</f>
        <v>99.96</v>
      </c>
      <c r="I1005" s="16" t="n">
        <f aca="false">IFERROR(SUMIFS(ROTACAO_RDM!$B$6:$B$71,ROTACAO_RDM!$D$6:$D$71,$E1005,ROTACAO_RDM!$I$6:$I$71,"&lt;="&amp;$C1005+INT(DIAS_POR_SEMANA/2),ROTACAO_RDM!$J$6:$J$71,"&gt;="&amp;$C1005+INT(DIAS_POR_SEMANA/2)),0)</f>
        <v>62</v>
      </c>
      <c r="J1005" s="16" t="n">
        <f aca="false">IFERROR(MATCH($I1005,ROTACAO_RDM!$B$6:$B$71,0),0)</f>
        <v>62</v>
      </c>
      <c r="K1005" s="8" t="str">
        <f aca="false">IF($J1005=0,"SEM CULTURA",INDEX(ROTACAO_RDM!$F$6:$F$71,$J1005))</f>
        <v>MILHO_SEMENTE</v>
      </c>
      <c r="L1005" s="8" t="str">
        <f aca="false">IF($J1005=0,"",INDEX(ROTACAO_RDM!$G$6:$G$71,$J1005))</f>
        <v>Syngenta</v>
      </c>
      <c r="M1005" s="17" t="n">
        <f aca="false">IF($J1005=0,"",INDEX(ROTACAO_RDM!$I$6:$I$71,$J1005))</f>
        <v>46191</v>
      </c>
      <c r="N1005" s="16" t="n">
        <f aca="false">IF($J1005=0,0,MAX(0,$C1005+INT(DIAS_POR_SEMANA/2)-INDEX(ROTACAO_RDM!$I$6:$I$71,$J1005)))</f>
        <v>140</v>
      </c>
      <c r="O1005" s="19" t="n">
        <f aca="false">IF($J1005=0,0,MIN(1,$N1005/MAX(1,INDEX(ROTACAO_RDM!$K$6:$K$71,$J1005))))</f>
        <v>0.875</v>
      </c>
      <c r="P1005" s="16" t="n">
        <f aca="false">IF($J1005=0,0,IFERROR(MATCH(INDEX(ROTACAO_RDM!$N$6:$N$71,$J1005),PARAMETROS_CULTURAS!$B$6:$B$28,0),0))</f>
        <v>7</v>
      </c>
      <c r="Q1005" s="8" t="str">
        <f aca="false">IF($P1005=0,"-",IF($O1005&lt;=INDEX(PARAMETROS_CULTURAS!$F$6:$F$28,$P1005),"INICIAL",IF($O1005&lt;=INDEX(PARAMETROS_CULTURAS!$F$6:$F$28,$P1005)+INDEX(PARAMETROS_CULTURAS!$G$6:$G$28,$P1005),"DESENVOLVIMENTO",IF($O1005&lt;=INDEX(PARAMETROS_CULTURAS!$F$6:$F$28,$P1005)+INDEX(PARAMETROS_CULTURAS!$G$6:$G$28,$P1005)+INDEX(PARAMETROS_CULTURAS!$H$6:$H$28,$P1005),"MEDIA","FINAL"))))</f>
        <v>FINAL</v>
      </c>
      <c r="R1005" s="24" t="n">
        <f aca="false">IF($P1005=0,0,IF($O1005&lt;=INDEX(PARAMETROS_CULTURAS!$F$6:$F$28,$P1005),INDEX(PARAMETROS_CULTURAS!$K$6:$K$28,$P1005),IF($O1005&lt;=INDEX(PARAMETROS_CULTURAS!$F$6:$F$28,$P1005)+INDEX(PARAMETROS_CULTURAS!$G$6:$G$28,$P1005),INDEX(PARAMETROS_CULTURAS!$K$6:$K$28,$P1005)+(INDEX(PARAMETROS_CULTURAS!$L$6:$L$28,$P1005)-INDEX(PARAMETROS_CULTURAS!$K$6:$K$28,$P1005))*($O1005-INDEX(PARAMETROS_CULTURAS!$F$6:$F$28,$P1005))/MAX(INDEX(PARAMETROS_CULTURAS!$G$6:$G$28,$P1005),0.0001),IF($O1005&lt;=INDEX(PARAMETROS_CULTURAS!$F$6:$F$28,$P1005)+INDEX(PARAMETROS_CULTURAS!$G$6:$G$28,$P1005)+INDEX(PARAMETROS_CULTURAS!$H$6:$H$28,$P1005),INDEX(PARAMETROS_CULTURAS!$L$6:$L$28,$P1005),INDEX(PARAMETROS_CULTURAS!$L$6:$L$28,$P1005)+(INDEX(PARAMETROS_CULTURAS!$M$6:$M$28,$P1005)-INDEX(PARAMETROS_CULTURAS!$L$6:$L$28,$P1005))*($O1005-INDEX(PARAMETROS_CULTURAS!$F$6:$F$28,$P1005)-INDEX(PARAMETROS_CULTURAS!$G$6:$G$28,$P1005)-INDEX(PARAMETROS_CULTURAS!$H$6:$H$28,$P1005))/MAX(INDEX(PARAMETROS_CULTURAS!$I$6:$I$28,$P1005),0.0001)))))</f>
        <v>0.875</v>
      </c>
      <c r="S1005" s="18" t="n">
        <f aca="false">IFERROR(INDEX(SEMANAS!$H$6:$H$71,MATCH($B1005,SEMANAS!$B$6:$B$71,0)),0)</f>
        <v>34.3</v>
      </c>
      <c r="T1005" s="18" t="n">
        <f aca="false">$R1005*$S1005</f>
        <v>30.0125</v>
      </c>
      <c r="U1005" s="18" t="n">
        <f aca="false">IFERROR(INDEX(SEMANAS!$I$6:$I$71,MATCH($B1005,SEMANAS!$B$6:$B$71,0)),0)</f>
        <v>46.69</v>
      </c>
      <c r="V1005" s="18" t="n">
        <f aca="false">IFERROR(INDEX(SEMANAS!$J$6:$J$71,MATCH($B1005,SEMANAS!$B$6:$B$71,0)),0)</f>
        <v>37.352</v>
      </c>
      <c r="W1005" s="18" t="n">
        <f aca="false">MAX(0,$T1005-$V1005)</f>
        <v>0</v>
      </c>
      <c r="X1005" s="19" t="n">
        <f aca="false">IFERROR(INDEX(CADASTRO_PIVOS!$K$6:$K$41,MATCH($E1005,CADASTRO_PIVOS!$B$6:$B$41,0)),EFICIENCIA_PADRAO)</f>
        <v>0.85</v>
      </c>
      <c r="Y1005" s="18" t="n">
        <f aca="false">IF($X1005&lt;=0,0,$W1005/$X1005)</f>
        <v>0</v>
      </c>
      <c r="Z1005" s="16" t="n">
        <f aca="false">$Y1005*$H1005*MM_PARA_M3_HA</f>
        <v>0</v>
      </c>
      <c r="AA1005" s="18" t="n">
        <f aca="false">IFERROR(INDEX(CADASTRO_PIVOS!$I$6:$I$41,MATCH($E1005,CADASTRO_PIVOS!$B$6:$B$41,0)),0)</f>
        <v>714</v>
      </c>
      <c r="AB1005" s="18" t="n">
        <f aca="false">IF($Z1005&lt;=0,0,$Z1005/$AA1005)</f>
        <v>0</v>
      </c>
      <c r="AC1005" s="16" t="n">
        <f aca="false">IFERROR(INDEX(SEMANAS!$K$6:$K$71,MATCH($B1005,SEMANAS!$B$6:$B$71,0)),0)</f>
        <v>147</v>
      </c>
      <c r="AD1005" s="19" t="n">
        <f aca="false">IF($AC1005&lt;=0,0,$AB1005/$AC1005)</f>
        <v>0</v>
      </c>
      <c r="AE1005" s="8" t="str">
        <f aca="false">IF($K1005="SEM CULTURA","SEM CULTURA",IF($AA1005&lt;=0,"DADO PENDENTE",IF($AD1005&gt;LIMITE_CRITICO,"INVIAVEL",IF($AD1005&gt;LIMITE_ATENCAO,"CRITICO",IF($AD1005&gt;LIMITE_CONFORTAVEL,"ATENCAO","OK")))))</f>
        <v>OK</v>
      </c>
      <c r="AF1005" s="8" t="str">
        <f aca="false">$B1005&amp;"|"&amp;TEXT($AD1005,"0.000000")</f>
        <v>10|0.000000</v>
      </c>
      <c r="AG1005" s="18" t="n">
        <f aca="false">IF($K1005="SEM CULTURA",0,$T1005*$H1005)</f>
        <v>3000.0495</v>
      </c>
      <c r="AH1005" s="18" t="n">
        <f aca="false">IF($K1005="SEM CULTURA",0,$V1005*$H1005)</f>
        <v>3733.70592</v>
      </c>
      <c r="AI1005" s="18" t="n">
        <f aca="false">IF($K1005="SEM CULTURA",0,$W1005*$H1005)</f>
        <v>0</v>
      </c>
      <c r="AJ1005" s="18" t="n">
        <f aca="false">IF($K1005="SEM CULTURA",0,$S1005*$H1005)</f>
        <v>3428.628</v>
      </c>
      <c r="AK1005" s="8" t="str">
        <f aca="false">$E1005&amp;"|"&amp;TEXT($AD1005,"0.000000")</f>
        <v>PV 132|0.000000</v>
      </c>
    </row>
    <row r="1006" customFormat="false" ht="15" hidden="false" customHeight="false" outlineLevel="0" collapsed="false">
      <c r="B1006" s="16" t="n">
        <v>11</v>
      </c>
      <c r="C1006" s="17" t="n">
        <f aca="false">DATA_INICIO_SAFRA+($B1006-1)*DIAS_POR_SEMANA</f>
        <v>46335</v>
      </c>
      <c r="D1006" s="17" t="n">
        <f aca="false">$C1006+DIAS_POR_SEMANA-1</f>
        <v>46341</v>
      </c>
      <c r="E1006" s="15" t="s">
        <v>274</v>
      </c>
      <c r="F1006" s="8" t="str">
        <f aca="false">IFERROR(INDEX(CADASTRO_PIVOS!$C$6:$C$41,MATCH($E1006,CADASTRO_PIVOS!$B$6:$B$41,0)),"?")</f>
        <v>RM05</v>
      </c>
      <c r="G1006" s="8" t="str">
        <f aca="false">IFERROR(INDEX(CADASTRO_PIVOS!$D$6:$D$41,MATCH($E1006,CADASTRO_PIVOS!$B$6:$B$41,0)),"?")</f>
        <v>TR05</v>
      </c>
      <c r="H1006" s="20" t="n">
        <f aca="false">IFERROR(INDEX(CADASTRO_PIVOS!$E$6:$E$41,MATCH($E1006,CADASTRO_PIVOS!$B$6:$B$41,0)),0)</f>
        <v>99.96</v>
      </c>
      <c r="I1006" s="16" t="n">
        <f aca="false">IFERROR(SUMIFS(ROTACAO_RDM!$B$6:$B$71,ROTACAO_RDM!$D$6:$D$71,$E1006,ROTACAO_RDM!$I$6:$I$71,"&lt;="&amp;$C1006+INT(DIAS_POR_SEMANA/2),ROTACAO_RDM!$J$6:$J$71,"&gt;="&amp;$C1006+INT(DIAS_POR_SEMANA/2)),0)</f>
        <v>62</v>
      </c>
      <c r="J1006" s="16" t="n">
        <f aca="false">IFERROR(MATCH($I1006,ROTACAO_RDM!$B$6:$B$71,0),0)</f>
        <v>62</v>
      </c>
      <c r="K1006" s="8" t="str">
        <f aca="false">IF($J1006=0,"SEM CULTURA",INDEX(ROTACAO_RDM!$F$6:$F$71,$J1006))</f>
        <v>MILHO_SEMENTE</v>
      </c>
      <c r="L1006" s="8" t="str">
        <f aca="false">IF($J1006=0,"",INDEX(ROTACAO_RDM!$G$6:$G$71,$J1006))</f>
        <v>Syngenta</v>
      </c>
      <c r="M1006" s="17" t="n">
        <f aca="false">IF($J1006=0,"",INDEX(ROTACAO_RDM!$I$6:$I$71,$J1006))</f>
        <v>46191</v>
      </c>
      <c r="N1006" s="16" t="n">
        <f aca="false">IF($J1006=0,0,MAX(0,$C1006+INT(DIAS_POR_SEMANA/2)-INDEX(ROTACAO_RDM!$I$6:$I$71,$J1006)))</f>
        <v>147</v>
      </c>
      <c r="O1006" s="19" t="n">
        <f aca="false">IF($J1006=0,0,MIN(1,$N1006/MAX(1,INDEX(ROTACAO_RDM!$K$6:$K$71,$J1006))))</f>
        <v>0.91875</v>
      </c>
      <c r="P1006" s="16" t="n">
        <f aca="false">IF($J1006=0,0,IFERROR(MATCH(INDEX(ROTACAO_RDM!$N$6:$N$71,$J1006),PARAMETROS_CULTURAS!$B$6:$B$28,0),0))</f>
        <v>7</v>
      </c>
      <c r="Q1006" s="8" t="str">
        <f aca="false">IF($P1006=0,"-",IF($O1006&lt;=INDEX(PARAMETROS_CULTURAS!$F$6:$F$28,$P1006),"INICIAL",IF($O1006&lt;=INDEX(PARAMETROS_CULTURAS!$F$6:$F$28,$P1006)+INDEX(PARAMETROS_CULTURAS!$G$6:$G$28,$P1006),"DESENVOLVIMENTO",IF($O1006&lt;=INDEX(PARAMETROS_CULTURAS!$F$6:$F$28,$P1006)+INDEX(PARAMETROS_CULTURAS!$G$6:$G$28,$P1006)+INDEX(PARAMETROS_CULTURAS!$H$6:$H$28,$P1006),"MEDIA","FINAL"))))</f>
        <v>FINAL</v>
      </c>
      <c r="R1006" s="24" t="n">
        <f aca="false">IF($P1006=0,0,IF($O1006&lt;=INDEX(PARAMETROS_CULTURAS!$F$6:$F$28,$P1006),INDEX(PARAMETROS_CULTURAS!$K$6:$K$28,$P1006),IF($O1006&lt;=INDEX(PARAMETROS_CULTURAS!$F$6:$F$28,$P1006)+INDEX(PARAMETROS_CULTURAS!$G$6:$G$28,$P1006),INDEX(PARAMETROS_CULTURAS!$K$6:$K$28,$P1006)+(INDEX(PARAMETROS_CULTURAS!$L$6:$L$28,$P1006)-INDEX(PARAMETROS_CULTURAS!$K$6:$K$28,$P1006))*($O1006-INDEX(PARAMETROS_CULTURAS!$F$6:$F$28,$P1006))/MAX(INDEX(PARAMETROS_CULTURAS!$G$6:$G$28,$P1006),0.0001),IF($O1006&lt;=INDEX(PARAMETROS_CULTURAS!$F$6:$F$28,$P1006)+INDEX(PARAMETROS_CULTURAS!$G$6:$G$28,$P1006)+INDEX(PARAMETROS_CULTURAS!$H$6:$H$28,$P1006),INDEX(PARAMETROS_CULTURAS!$L$6:$L$28,$P1006),INDEX(PARAMETROS_CULTURAS!$L$6:$L$28,$P1006)+(INDEX(PARAMETROS_CULTURAS!$M$6:$M$28,$P1006)-INDEX(PARAMETROS_CULTURAS!$L$6:$L$28,$P1006))*($O1006-INDEX(PARAMETROS_CULTURAS!$F$6:$F$28,$P1006)-INDEX(PARAMETROS_CULTURAS!$G$6:$G$28,$P1006)-INDEX(PARAMETROS_CULTURAS!$H$6:$H$28,$P1006))/MAX(INDEX(PARAMETROS_CULTURAS!$I$6:$I$28,$P1006),0.0001)))))</f>
        <v>0.77875</v>
      </c>
      <c r="S1006" s="18" t="n">
        <f aca="false">IFERROR(INDEX(SEMANAS!$H$6:$H$71,MATCH($B1006,SEMANAS!$B$6:$B$71,0)),0)</f>
        <v>34.3</v>
      </c>
      <c r="T1006" s="18" t="n">
        <f aca="false">$R1006*$S1006</f>
        <v>26.711125</v>
      </c>
      <c r="U1006" s="18" t="n">
        <f aca="false">IFERROR(INDEX(SEMANAS!$I$6:$I$71,MATCH($B1006,SEMANAS!$B$6:$B$71,0)),0)</f>
        <v>46.69</v>
      </c>
      <c r="V1006" s="18" t="n">
        <f aca="false">IFERROR(INDEX(SEMANAS!$J$6:$J$71,MATCH($B1006,SEMANAS!$B$6:$B$71,0)),0)</f>
        <v>37.352</v>
      </c>
      <c r="W1006" s="18" t="n">
        <f aca="false">MAX(0,$T1006-$V1006)</f>
        <v>0</v>
      </c>
      <c r="X1006" s="19" t="n">
        <f aca="false">IFERROR(INDEX(CADASTRO_PIVOS!$K$6:$K$41,MATCH($E1006,CADASTRO_PIVOS!$B$6:$B$41,0)),EFICIENCIA_PADRAO)</f>
        <v>0.85</v>
      </c>
      <c r="Y1006" s="18" t="n">
        <f aca="false">IF($X1006&lt;=0,0,$W1006/$X1006)</f>
        <v>0</v>
      </c>
      <c r="Z1006" s="16" t="n">
        <f aca="false">$Y1006*$H1006*MM_PARA_M3_HA</f>
        <v>0</v>
      </c>
      <c r="AA1006" s="18" t="n">
        <f aca="false">IFERROR(INDEX(CADASTRO_PIVOS!$I$6:$I$41,MATCH($E1006,CADASTRO_PIVOS!$B$6:$B$41,0)),0)</f>
        <v>714</v>
      </c>
      <c r="AB1006" s="18" t="n">
        <f aca="false">IF($Z1006&lt;=0,0,$Z1006/$AA1006)</f>
        <v>0</v>
      </c>
      <c r="AC1006" s="16" t="n">
        <f aca="false">IFERROR(INDEX(SEMANAS!$K$6:$K$71,MATCH($B1006,SEMANAS!$B$6:$B$71,0)),0)</f>
        <v>147</v>
      </c>
      <c r="AD1006" s="19" t="n">
        <f aca="false">IF($AC1006&lt;=0,0,$AB1006/$AC1006)</f>
        <v>0</v>
      </c>
      <c r="AE1006" s="8" t="str">
        <f aca="false">IF($K1006="SEM CULTURA","SEM CULTURA",IF($AA1006&lt;=0,"DADO PENDENTE",IF($AD1006&gt;LIMITE_CRITICO,"INVIAVEL",IF($AD1006&gt;LIMITE_ATENCAO,"CRITICO",IF($AD1006&gt;LIMITE_CONFORTAVEL,"ATENCAO","OK")))))</f>
        <v>OK</v>
      </c>
      <c r="AF1006" s="8" t="str">
        <f aca="false">$B1006&amp;"|"&amp;TEXT($AD1006,"0.000000")</f>
        <v>11|0.000000</v>
      </c>
      <c r="AG1006" s="18" t="n">
        <f aca="false">IF($K1006="SEM CULTURA",0,$T1006*$H1006)</f>
        <v>2670.044055</v>
      </c>
      <c r="AH1006" s="18" t="n">
        <f aca="false">IF($K1006="SEM CULTURA",0,$V1006*$H1006)</f>
        <v>3733.70592</v>
      </c>
      <c r="AI1006" s="18" t="n">
        <f aca="false">IF($K1006="SEM CULTURA",0,$W1006*$H1006)</f>
        <v>0</v>
      </c>
      <c r="AJ1006" s="18" t="n">
        <f aca="false">IF($K1006="SEM CULTURA",0,$S1006*$H1006)</f>
        <v>3428.628</v>
      </c>
      <c r="AK1006" s="8" t="str">
        <f aca="false">$E1006&amp;"|"&amp;TEXT($AD1006,"0.000000")</f>
        <v>PV 132|0.000000</v>
      </c>
    </row>
    <row r="1007" customFormat="false" ht="15" hidden="false" customHeight="false" outlineLevel="0" collapsed="false">
      <c r="B1007" s="16" t="n">
        <v>12</v>
      </c>
      <c r="C1007" s="17" t="n">
        <f aca="false">DATA_INICIO_SAFRA+($B1007-1)*DIAS_POR_SEMANA</f>
        <v>46342</v>
      </c>
      <c r="D1007" s="17" t="n">
        <f aca="false">$C1007+DIAS_POR_SEMANA-1</f>
        <v>46348</v>
      </c>
      <c r="E1007" s="15" t="s">
        <v>274</v>
      </c>
      <c r="F1007" s="8" t="str">
        <f aca="false">IFERROR(INDEX(CADASTRO_PIVOS!$C$6:$C$41,MATCH($E1007,CADASTRO_PIVOS!$B$6:$B$41,0)),"?")</f>
        <v>RM05</v>
      </c>
      <c r="G1007" s="8" t="str">
        <f aca="false">IFERROR(INDEX(CADASTRO_PIVOS!$D$6:$D$41,MATCH($E1007,CADASTRO_PIVOS!$B$6:$B$41,0)),"?")</f>
        <v>TR05</v>
      </c>
      <c r="H1007" s="20" t="n">
        <f aca="false">IFERROR(INDEX(CADASTRO_PIVOS!$E$6:$E$41,MATCH($E1007,CADASTRO_PIVOS!$B$6:$B$41,0)),0)</f>
        <v>99.96</v>
      </c>
      <c r="I1007" s="16" t="n">
        <f aca="false">IFERROR(SUMIFS(ROTACAO_RDM!$B$6:$B$71,ROTACAO_RDM!$D$6:$D$71,$E1007,ROTACAO_RDM!$I$6:$I$71,"&lt;="&amp;$C1007+INT(DIAS_POR_SEMANA/2),ROTACAO_RDM!$J$6:$J$71,"&gt;="&amp;$C1007+INT(DIAS_POR_SEMANA/2)),0)</f>
        <v>62</v>
      </c>
      <c r="J1007" s="16" t="n">
        <f aca="false">IFERROR(MATCH($I1007,ROTACAO_RDM!$B$6:$B$71,0),0)</f>
        <v>62</v>
      </c>
      <c r="K1007" s="8" t="str">
        <f aca="false">IF($J1007=0,"SEM CULTURA",INDEX(ROTACAO_RDM!$F$6:$F$71,$J1007))</f>
        <v>MILHO_SEMENTE</v>
      </c>
      <c r="L1007" s="8" t="str">
        <f aca="false">IF($J1007=0,"",INDEX(ROTACAO_RDM!$G$6:$G$71,$J1007))</f>
        <v>Syngenta</v>
      </c>
      <c r="M1007" s="17" t="n">
        <f aca="false">IF($J1007=0,"",INDEX(ROTACAO_RDM!$I$6:$I$71,$J1007))</f>
        <v>46191</v>
      </c>
      <c r="N1007" s="16" t="n">
        <f aca="false">IF($J1007=0,0,MAX(0,$C1007+INT(DIAS_POR_SEMANA/2)-INDEX(ROTACAO_RDM!$I$6:$I$71,$J1007)))</f>
        <v>154</v>
      </c>
      <c r="O1007" s="19" t="n">
        <f aca="false">IF($J1007=0,0,MIN(1,$N1007/MAX(1,INDEX(ROTACAO_RDM!$K$6:$K$71,$J1007))))</f>
        <v>0.9625</v>
      </c>
      <c r="P1007" s="16" t="n">
        <f aca="false">IF($J1007=0,0,IFERROR(MATCH(INDEX(ROTACAO_RDM!$N$6:$N$71,$J1007),PARAMETROS_CULTURAS!$B$6:$B$28,0),0))</f>
        <v>7</v>
      </c>
      <c r="Q1007" s="8" t="str">
        <f aca="false">IF($P1007=0,"-",IF($O1007&lt;=INDEX(PARAMETROS_CULTURAS!$F$6:$F$28,$P1007),"INICIAL",IF($O1007&lt;=INDEX(PARAMETROS_CULTURAS!$F$6:$F$28,$P1007)+INDEX(PARAMETROS_CULTURAS!$G$6:$G$28,$P1007),"DESENVOLVIMENTO",IF($O1007&lt;=INDEX(PARAMETROS_CULTURAS!$F$6:$F$28,$P1007)+INDEX(PARAMETROS_CULTURAS!$G$6:$G$28,$P1007)+INDEX(PARAMETROS_CULTURAS!$H$6:$H$28,$P1007),"MEDIA","FINAL"))))</f>
        <v>FINAL</v>
      </c>
      <c r="R1007" s="24" t="n">
        <f aca="false">IF($P1007=0,0,IF($O1007&lt;=INDEX(PARAMETROS_CULTURAS!$F$6:$F$28,$P1007),INDEX(PARAMETROS_CULTURAS!$K$6:$K$28,$P1007),IF($O1007&lt;=INDEX(PARAMETROS_CULTURAS!$F$6:$F$28,$P1007)+INDEX(PARAMETROS_CULTURAS!$G$6:$G$28,$P1007),INDEX(PARAMETROS_CULTURAS!$K$6:$K$28,$P1007)+(INDEX(PARAMETROS_CULTURAS!$L$6:$L$28,$P1007)-INDEX(PARAMETROS_CULTURAS!$K$6:$K$28,$P1007))*($O1007-INDEX(PARAMETROS_CULTURAS!$F$6:$F$28,$P1007))/MAX(INDEX(PARAMETROS_CULTURAS!$G$6:$G$28,$P1007),0.0001),IF($O1007&lt;=INDEX(PARAMETROS_CULTURAS!$F$6:$F$28,$P1007)+INDEX(PARAMETROS_CULTURAS!$G$6:$G$28,$P1007)+INDEX(PARAMETROS_CULTURAS!$H$6:$H$28,$P1007),INDEX(PARAMETROS_CULTURAS!$L$6:$L$28,$P1007),INDEX(PARAMETROS_CULTURAS!$L$6:$L$28,$P1007)+(INDEX(PARAMETROS_CULTURAS!$M$6:$M$28,$P1007)-INDEX(PARAMETROS_CULTURAS!$L$6:$L$28,$P1007))*($O1007-INDEX(PARAMETROS_CULTURAS!$F$6:$F$28,$P1007)-INDEX(PARAMETROS_CULTURAS!$G$6:$G$28,$P1007)-INDEX(PARAMETROS_CULTURAS!$H$6:$H$28,$P1007))/MAX(INDEX(PARAMETROS_CULTURAS!$I$6:$I$28,$P1007),0.0001)))))</f>
        <v>0.6825</v>
      </c>
      <c r="S1007" s="18" t="n">
        <f aca="false">IFERROR(INDEX(SEMANAS!$H$6:$H$71,MATCH($B1007,SEMANAS!$B$6:$B$71,0)),0)</f>
        <v>34.3</v>
      </c>
      <c r="T1007" s="18" t="n">
        <f aca="false">$R1007*$S1007</f>
        <v>23.40975</v>
      </c>
      <c r="U1007" s="18" t="n">
        <f aca="false">IFERROR(INDEX(SEMANAS!$I$6:$I$71,MATCH($B1007,SEMANAS!$B$6:$B$71,0)),0)</f>
        <v>46.69</v>
      </c>
      <c r="V1007" s="18" t="n">
        <f aca="false">IFERROR(INDEX(SEMANAS!$J$6:$J$71,MATCH($B1007,SEMANAS!$B$6:$B$71,0)),0)</f>
        <v>37.352</v>
      </c>
      <c r="W1007" s="18" t="n">
        <f aca="false">MAX(0,$T1007-$V1007)</f>
        <v>0</v>
      </c>
      <c r="X1007" s="19" t="n">
        <f aca="false">IFERROR(INDEX(CADASTRO_PIVOS!$K$6:$K$41,MATCH($E1007,CADASTRO_PIVOS!$B$6:$B$41,0)),EFICIENCIA_PADRAO)</f>
        <v>0.85</v>
      </c>
      <c r="Y1007" s="18" t="n">
        <f aca="false">IF($X1007&lt;=0,0,$W1007/$X1007)</f>
        <v>0</v>
      </c>
      <c r="Z1007" s="16" t="n">
        <f aca="false">$Y1007*$H1007*MM_PARA_M3_HA</f>
        <v>0</v>
      </c>
      <c r="AA1007" s="18" t="n">
        <f aca="false">IFERROR(INDEX(CADASTRO_PIVOS!$I$6:$I$41,MATCH($E1007,CADASTRO_PIVOS!$B$6:$B$41,0)),0)</f>
        <v>714</v>
      </c>
      <c r="AB1007" s="18" t="n">
        <f aca="false">IF($Z1007&lt;=0,0,$Z1007/$AA1007)</f>
        <v>0</v>
      </c>
      <c r="AC1007" s="16" t="n">
        <f aca="false">IFERROR(INDEX(SEMANAS!$K$6:$K$71,MATCH($B1007,SEMANAS!$B$6:$B$71,0)),0)</f>
        <v>147</v>
      </c>
      <c r="AD1007" s="19" t="n">
        <f aca="false">IF($AC1007&lt;=0,0,$AB1007/$AC1007)</f>
        <v>0</v>
      </c>
      <c r="AE1007" s="8" t="str">
        <f aca="false">IF($K1007="SEM CULTURA","SEM CULTURA",IF($AA1007&lt;=0,"DADO PENDENTE",IF($AD1007&gt;LIMITE_CRITICO,"INVIAVEL",IF($AD1007&gt;LIMITE_ATENCAO,"CRITICO",IF($AD1007&gt;LIMITE_CONFORTAVEL,"ATENCAO","OK")))))</f>
        <v>OK</v>
      </c>
      <c r="AF1007" s="8" t="str">
        <f aca="false">$B1007&amp;"|"&amp;TEXT($AD1007,"0.000000")</f>
        <v>12|0.000000</v>
      </c>
      <c r="AG1007" s="18" t="n">
        <f aca="false">IF($K1007="SEM CULTURA",0,$T1007*$H1007)</f>
        <v>2340.03861</v>
      </c>
      <c r="AH1007" s="18" t="n">
        <f aca="false">IF($K1007="SEM CULTURA",0,$V1007*$H1007)</f>
        <v>3733.70592</v>
      </c>
      <c r="AI1007" s="18" t="n">
        <f aca="false">IF($K1007="SEM CULTURA",0,$W1007*$H1007)</f>
        <v>0</v>
      </c>
      <c r="AJ1007" s="18" t="n">
        <f aca="false">IF($K1007="SEM CULTURA",0,$S1007*$H1007)</f>
        <v>3428.628</v>
      </c>
      <c r="AK1007" s="8" t="str">
        <f aca="false">$E1007&amp;"|"&amp;TEXT($AD1007,"0.000000")</f>
        <v>PV 132|0.000000</v>
      </c>
    </row>
    <row r="1008" customFormat="false" ht="15" hidden="false" customHeight="false" outlineLevel="0" collapsed="false">
      <c r="B1008" s="16" t="n">
        <v>13</v>
      </c>
      <c r="C1008" s="17" t="n">
        <f aca="false">DATA_INICIO_SAFRA+($B1008-1)*DIAS_POR_SEMANA</f>
        <v>46349</v>
      </c>
      <c r="D1008" s="17" t="n">
        <f aca="false">$C1008+DIAS_POR_SEMANA-1</f>
        <v>46355</v>
      </c>
      <c r="E1008" s="15" t="s">
        <v>274</v>
      </c>
      <c r="F1008" s="8" t="str">
        <f aca="false">IFERROR(INDEX(CADASTRO_PIVOS!$C$6:$C$41,MATCH($E1008,CADASTRO_PIVOS!$B$6:$B$41,0)),"?")</f>
        <v>RM05</v>
      </c>
      <c r="G1008" s="8" t="str">
        <f aca="false">IFERROR(INDEX(CADASTRO_PIVOS!$D$6:$D$41,MATCH($E1008,CADASTRO_PIVOS!$B$6:$B$41,0)),"?")</f>
        <v>TR05</v>
      </c>
      <c r="H1008" s="20" t="n">
        <f aca="false">IFERROR(INDEX(CADASTRO_PIVOS!$E$6:$E$41,MATCH($E1008,CADASTRO_PIVOS!$B$6:$B$41,0)),0)</f>
        <v>99.96</v>
      </c>
      <c r="I1008" s="16" t="n">
        <f aca="false">IFERROR(SUMIFS(ROTACAO_RDM!$B$6:$B$71,ROTACAO_RDM!$D$6:$D$71,$E1008,ROTACAO_RDM!$I$6:$I$71,"&lt;="&amp;$C1008+INT(DIAS_POR_SEMANA/2),ROTACAO_RDM!$J$6:$J$71,"&gt;="&amp;$C1008+INT(DIAS_POR_SEMANA/2)),0)</f>
        <v>0</v>
      </c>
      <c r="J1008" s="16" t="n">
        <f aca="false">IFERROR(MATCH($I1008,ROTACAO_RDM!$B$6:$B$71,0),0)</f>
        <v>0</v>
      </c>
      <c r="K1008" s="8" t="str">
        <f aca="false">IF($J1008=0,"SEM CULTURA",INDEX(ROTACAO_RDM!$F$6:$F$71,$J1008))</f>
        <v>SEM CULTURA</v>
      </c>
      <c r="L1008" s="8" t="str">
        <f aca="false">IF($J1008=0,"",INDEX(ROTACAO_RDM!$G$6:$G$71,$J1008))</f>
        <v/>
      </c>
      <c r="M1008" s="17" t="str">
        <f aca="false">IF($J1008=0,"",INDEX(ROTACAO_RDM!$I$6:$I$71,$J1008))</f>
        <v/>
      </c>
      <c r="N1008" s="16" t="n">
        <f aca="false">IF($J1008=0,0,MAX(0,$C1008+INT(DIAS_POR_SEMANA/2)-INDEX(ROTACAO_RDM!$I$6:$I$71,$J1008)))</f>
        <v>0</v>
      </c>
      <c r="O1008" s="19" t="n">
        <f aca="false">IF($J1008=0,0,MIN(1,$N1008/MAX(1,INDEX(ROTACAO_RDM!$K$6:$K$71,$J1008))))</f>
        <v>0</v>
      </c>
      <c r="P1008" s="16" t="n">
        <f aca="false">IF($J1008=0,0,IFERROR(MATCH(INDEX(ROTACAO_RDM!$N$6:$N$71,$J1008),PARAMETROS_CULTURAS!$B$6:$B$28,0),0))</f>
        <v>0</v>
      </c>
      <c r="Q1008" s="8" t="str">
        <f aca="false">IF($P1008=0,"-",IF($O1008&lt;=INDEX(PARAMETROS_CULTURAS!$F$6:$F$28,$P1008),"INICIAL",IF($O1008&lt;=INDEX(PARAMETROS_CULTURAS!$F$6:$F$28,$P1008)+INDEX(PARAMETROS_CULTURAS!$G$6:$G$28,$P1008),"DESENVOLVIMENTO",IF($O1008&lt;=INDEX(PARAMETROS_CULTURAS!$F$6:$F$28,$P1008)+INDEX(PARAMETROS_CULTURAS!$G$6:$G$28,$P1008)+INDEX(PARAMETROS_CULTURAS!$H$6:$H$28,$P1008),"MEDIA","FINAL"))))</f>
        <v>-</v>
      </c>
      <c r="R1008" s="24" t="n">
        <f aca="false">IF($P1008=0,0,IF($O1008&lt;=INDEX(PARAMETROS_CULTURAS!$F$6:$F$28,$P1008),INDEX(PARAMETROS_CULTURAS!$K$6:$K$28,$P1008),IF($O1008&lt;=INDEX(PARAMETROS_CULTURAS!$F$6:$F$28,$P1008)+INDEX(PARAMETROS_CULTURAS!$G$6:$G$28,$P1008),INDEX(PARAMETROS_CULTURAS!$K$6:$K$28,$P1008)+(INDEX(PARAMETROS_CULTURAS!$L$6:$L$28,$P1008)-INDEX(PARAMETROS_CULTURAS!$K$6:$K$28,$P1008))*($O1008-INDEX(PARAMETROS_CULTURAS!$F$6:$F$28,$P1008))/MAX(INDEX(PARAMETROS_CULTURAS!$G$6:$G$28,$P1008),0.0001),IF($O1008&lt;=INDEX(PARAMETROS_CULTURAS!$F$6:$F$28,$P1008)+INDEX(PARAMETROS_CULTURAS!$G$6:$G$28,$P1008)+INDEX(PARAMETROS_CULTURAS!$H$6:$H$28,$P1008),INDEX(PARAMETROS_CULTURAS!$L$6:$L$28,$P1008),INDEX(PARAMETROS_CULTURAS!$L$6:$L$28,$P1008)+(INDEX(PARAMETROS_CULTURAS!$M$6:$M$28,$P1008)-INDEX(PARAMETROS_CULTURAS!$L$6:$L$28,$P1008))*($O1008-INDEX(PARAMETROS_CULTURAS!$F$6:$F$28,$P1008)-INDEX(PARAMETROS_CULTURAS!$G$6:$G$28,$P1008)-INDEX(PARAMETROS_CULTURAS!$H$6:$H$28,$P1008))/MAX(INDEX(PARAMETROS_CULTURAS!$I$6:$I$28,$P1008),0.0001)))))</f>
        <v>0</v>
      </c>
      <c r="S1008" s="18" t="n">
        <f aca="false">IFERROR(INDEX(SEMANAS!$H$6:$H$71,MATCH($B1008,SEMANAS!$B$6:$B$71,0)),0)</f>
        <v>34.3</v>
      </c>
      <c r="T1008" s="18" t="n">
        <f aca="false">$R1008*$S1008</f>
        <v>0</v>
      </c>
      <c r="U1008" s="18" t="n">
        <f aca="false">IFERROR(INDEX(SEMANAS!$I$6:$I$71,MATCH($B1008,SEMANAS!$B$6:$B$71,0)),0)</f>
        <v>46.69</v>
      </c>
      <c r="V1008" s="18" t="n">
        <f aca="false">IFERROR(INDEX(SEMANAS!$J$6:$J$71,MATCH($B1008,SEMANAS!$B$6:$B$71,0)),0)</f>
        <v>37.352</v>
      </c>
      <c r="W1008" s="18" t="n">
        <f aca="false">MAX(0,$T1008-$V1008)</f>
        <v>0</v>
      </c>
      <c r="X1008" s="19" t="n">
        <f aca="false">IFERROR(INDEX(CADASTRO_PIVOS!$K$6:$K$41,MATCH($E1008,CADASTRO_PIVOS!$B$6:$B$41,0)),EFICIENCIA_PADRAO)</f>
        <v>0.85</v>
      </c>
      <c r="Y1008" s="18" t="n">
        <f aca="false">IF($X1008&lt;=0,0,$W1008/$X1008)</f>
        <v>0</v>
      </c>
      <c r="Z1008" s="16" t="n">
        <f aca="false">$Y1008*$H1008*MM_PARA_M3_HA</f>
        <v>0</v>
      </c>
      <c r="AA1008" s="18" t="n">
        <f aca="false">IFERROR(INDEX(CADASTRO_PIVOS!$I$6:$I$41,MATCH($E1008,CADASTRO_PIVOS!$B$6:$B$41,0)),0)</f>
        <v>714</v>
      </c>
      <c r="AB1008" s="18" t="n">
        <f aca="false">IF($Z1008&lt;=0,0,$Z1008/$AA1008)</f>
        <v>0</v>
      </c>
      <c r="AC1008" s="16" t="n">
        <f aca="false">IFERROR(INDEX(SEMANAS!$K$6:$K$71,MATCH($B1008,SEMANAS!$B$6:$B$71,0)),0)</f>
        <v>147</v>
      </c>
      <c r="AD1008" s="19" t="n">
        <f aca="false">IF($AC1008&lt;=0,0,$AB1008/$AC1008)</f>
        <v>0</v>
      </c>
      <c r="AE1008" s="8" t="str">
        <f aca="false">IF($K1008="SEM CULTURA","SEM CULTURA",IF($AA1008&lt;=0,"DADO PENDENTE",IF($AD1008&gt;LIMITE_CRITICO,"INVIAVEL",IF($AD1008&gt;LIMITE_ATENCAO,"CRITICO",IF($AD1008&gt;LIMITE_CONFORTAVEL,"ATENCAO","OK")))))</f>
        <v>SEM CULTURA</v>
      </c>
      <c r="AF1008" s="8" t="str">
        <f aca="false">$B1008&amp;"|"&amp;TEXT($AD1008,"0.000000")</f>
        <v>13|0.000000</v>
      </c>
      <c r="AG1008" s="18" t="n">
        <f aca="false">IF($K1008="SEM CULTURA",0,$T1008*$H1008)</f>
        <v>0</v>
      </c>
      <c r="AH1008" s="18" t="n">
        <f aca="false">IF($K1008="SEM CULTURA",0,$V1008*$H1008)</f>
        <v>0</v>
      </c>
      <c r="AI1008" s="18" t="n">
        <f aca="false">IF($K1008="SEM CULTURA",0,$W1008*$H1008)</f>
        <v>0</v>
      </c>
      <c r="AJ1008" s="18" t="n">
        <f aca="false">IF($K1008="SEM CULTURA",0,$S1008*$H1008)</f>
        <v>0</v>
      </c>
      <c r="AK1008" s="8" t="str">
        <f aca="false">$E1008&amp;"|"&amp;TEXT($AD1008,"0.000000")</f>
        <v>PV 132|0.000000</v>
      </c>
    </row>
    <row r="1009" customFormat="false" ht="15" hidden="false" customHeight="false" outlineLevel="0" collapsed="false">
      <c r="B1009" s="16" t="n">
        <v>14</v>
      </c>
      <c r="C1009" s="17" t="n">
        <f aca="false">DATA_INICIO_SAFRA+($B1009-1)*DIAS_POR_SEMANA</f>
        <v>46356</v>
      </c>
      <c r="D1009" s="17" t="n">
        <f aca="false">$C1009+DIAS_POR_SEMANA-1</f>
        <v>46362</v>
      </c>
      <c r="E1009" s="15" t="s">
        <v>274</v>
      </c>
      <c r="F1009" s="8" t="str">
        <f aca="false">IFERROR(INDEX(CADASTRO_PIVOS!$C$6:$C$41,MATCH($E1009,CADASTRO_PIVOS!$B$6:$B$41,0)),"?")</f>
        <v>RM05</v>
      </c>
      <c r="G1009" s="8" t="str">
        <f aca="false">IFERROR(INDEX(CADASTRO_PIVOS!$D$6:$D$41,MATCH($E1009,CADASTRO_PIVOS!$B$6:$B$41,0)),"?")</f>
        <v>TR05</v>
      </c>
      <c r="H1009" s="20" t="n">
        <f aca="false">IFERROR(INDEX(CADASTRO_PIVOS!$E$6:$E$41,MATCH($E1009,CADASTRO_PIVOS!$B$6:$B$41,0)),0)</f>
        <v>99.96</v>
      </c>
      <c r="I1009" s="16" t="n">
        <f aca="false">IFERROR(SUMIFS(ROTACAO_RDM!$B$6:$B$71,ROTACAO_RDM!$D$6:$D$71,$E1009,ROTACAO_RDM!$I$6:$I$71,"&lt;="&amp;$C1009+INT(DIAS_POR_SEMANA/2),ROTACAO_RDM!$J$6:$J$71,"&gt;="&amp;$C1009+INT(DIAS_POR_SEMANA/2)),0)</f>
        <v>63</v>
      </c>
      <c r="J1009" s="16" t="n">
        <f aca="false">IFERROR(MATCH($I1009,ROTACAO_RDM!$B$6:$B$71,0),0)</f>
        <v>63</v>
      </c>
      <c r="K1009" s="8" t="str">
        <f aca="false">IF($J1009=0,"SEM CULTURA",INDEX(ROTACAO_RDM!$F$6:$F$71,$J1009))</f>
        <v>ALGODAO</v>
      </c>
      <c r="L1009" s="8" t="str">
        <f aca="false">IF($J1009=0,"",INDEX(ROTACAO_RDM!$G$6:$G$71,$J1009))</f>
        <v>IMA 3764 B2RF</v>
      </c>
      <c r="M1009" s="17" t="n">
        <f aca="false">IF($J1009=0,"",INDEX(ROTACAO_RDM!$I$6:$I$71,$J1009))</f>
        <v>46357</v>
      </c>
      <c r="N1009" s="16" t="n">
        <f aca="false">IF($J1009=0,0,MAX(0,$C1009+INT(DIAS_POR_SEMANA/2)-INDEX(ROTACAO_RDM!$I$6:$I$71,$J1009)))</f>
        <v>2</v>
      </c>
      <c r="O1009" s="19" t="n">
        <f aca="false">IF($J1009=0,0,MIN(1,$N1009/MAX(1,INDEX(ROTACAO_RDM!$K$6:$K$71,$J1009))))</f>
        <v>0.00952380952380953</v>
      </c>
      <c r="P1009" s="16" t="n">
        <f aca="false">IF($J1009=0,0,IFERROR(MATCH(INDEX(ROTACAO_RDM!$N$6:$N$71,$J1009),PARAMETROS_CULTURAS!$B$6:$B$28,0),0))</f>
        <v>6</v>
      </c>
      <c r="Q1009" s="8" t="str">
        <f aca="false">IF($P1009=0,"-",IF($O1009&lt;=INDEX(PARAMETROS_CULTURAS!$F$6:$F$28,$P1009),"INICIAL",IF($O1009&lt;=INDEX(PARAMETROS_CULTURAS!$F$6:$F$28,$P1009)+INDEX(PARAMETROS_CULTURAS!$G$6:$G$28,$P1009),"DESENVOLVIMENTO",IF($O1009&lt;=INDEX(PARAMETROS_CULTURAS!$F$6:$F$28,$P1009)+INDEX(PARAMETROS_CULTURAS!$G$6:$G$28,$P1009)+INDEX(PARAMETROS_CULTURAS!$H$6:$H$28,$P1009),"MEDIA","FINAL"))))</f>
        <v>INICIAL</v>
      </c>
      <c r="R1009" s="24" t="n">
        <f aca="false">IF($P1009=0,0,IF($O1009&lt;=INDEX(PARAMETROS_CULTURAS!$F$6:$F$28,$P1009),INDEX(PARAMETROS_CULTURAS!$K$6:$K$28,$P1009),IF($O1009&lt;=INDEX(PARAMETROS_CULTURAS!$F$6:$F$28,$P1009)+INDEX(PARAMETROS_CULTURAS!$G$6:$G$28,$P1009),INDEX(PARAMETROS_CULTURAS!$K$6:$K$28,$P1009)+(INDEX(PARAMETROS_CULTURAS!$L$6:$L$28,$P1009)-INDEX(PARAMETROS_CULTURAS!$K$6:$K$28,$P1009))*($O1009-INDEX(PARAMETROS_CULTURAS!$F$6:$F$28,$P1009))/MAX(INDEX(PARAMETROS_CULTURAS!$G$6:$G$28,$P1009),0.0001),IF($O1009&lt;=INDEX(PARAMETROS_CULTURAS!$F$6:$F$28,$P1009)+INDEX(PARAMETROS_CULTURAS!$G$6:$G$28,$P1009)+INDEX(PARAMETROS_CULTURAS!$H$6:$H$28,$P1009),INDEX(PARAMETROS_CULTURAS!$L$6:$L$28,$P1009),INDEX(PARAMETROS_CULTURAS!$L$6:$L$28,$P1009)+(INDEX(PARAMETROS_CULTURAS!$M$6:$M$28,$P1009)-INDEX(PARAMETROS_CULTURAS!$L$6:$L$28,$P1009))*($O1009-INDEX(PARAMETROS_CULTURAS!$F$6:$F$28,$P1009)-INDEX(PARAMETROS_CULTURAS!$G$6:$G$28,$P1009)-INDEX(PARAMETROS_CULTURAS!$H$6:$H$28,$P1009))/MAX(INDEX(PARAMETROS_CULTURAS!$I$6:$I$28,$P1009),0.0001)))))</f>
        <v>0.35</v>
      </c>
      <c r="S1009" s="18" t="n">
        <f aca="false">IFERROR(INDEX(SEMANAS!$H$6:$H$71,MATCH($B1009,SEMANAS!$B$6:$B$71,0)),0)</f>
        <v>33.1</v>
      </c>
      <c r="T1009" s="18" t="n">
        <f aca="false">$R1009*$S1009</f>
        <v>11.585</v>
      </c>
      <c r="U1009" s="18" t="n">
        <f aca="false">IFERROR(INDEX(SEMANAS!$I$6:$I$71,MATCH($B1009,SEMANAS!$B$6:$B$71,0)),0)</f>
        <v>48.31</v>
      </c>
      <c r="V1009" s="18" t="n">
        <f aca="false">IFERROR(INDEX(SEMANAS!$J$6:$J$71,MATCH($B1009,SEMANAS!$B$6:$B$71,0)),0)</f>
        <v>38.648</v>
      </c>
      <c r="W1009" s="18" t="n">
        <f aca="false">MAX(0,$T1009-$V1009)</f>
        <v>0</v>
      </c>
      <c r="X1009" s="19" t="n">
        <f aca="false">IFERROR(INDEX(CADASTRO_PIVOS!$K$6:$K$41,MATCH($E1009,CADASTRO_PIVOS!$B$6:$B$41,0)),EFICIENCIA_PADRAO)</f>
        <v>0.85</v>
      </c>
      <c r="Y1009" s="18" t="n">
        <f aca="false">IF($X1009&lt;=0,0,$W1009/$X1009)</f>
        <v>0</v>
      </c>
      <c r="Z1009" s="16" t="n">
        <f aca="false">$Y1009*$H1009*MM_PARA_M3_HA</f>
        <v>0</v>
      </c>
      <c r="AA1009" s="18" t="n">
        <f aca="false">IFERROR(INDEX(CADASTRO_PIVOS!$I$6:$I$41,MATCH($E1009,CADASTRO_PIVOS!$B$6:$B$41,0)),0)</f>
        <v>714</v>
      </c>
      <c r="AB1009" s="18" t="n">
        <f aca="false">IF($Z1009&lt;=0,0,$Z1009/$AA1009)</f>
        <v>0</v>
      </c>
      <c r="AC1009" s="16" t="n">
        <f aca="false">IFERROR(INDEX(SEMANAS!$K$6:$K$71,MATCH($B1009,SEMANAS!$B$6:$B$71,0)),0)</f>
        <v>147</v>
      </c>
      <c r="AD1009" s="19" t="n">
        <f aca="false">IF($AC1009&lt;=0,0,$AB1009/$AC1009)</f>
        <v>0</v>
      </c>
      <c r="AE1009" s="8" t="str">
        <f aca="false">IF($K1009="SEM CULTURA","SEM CULTURA",IF($AA1009&lt;=0,"DADO PENDENTE",IF($AD1009&gt;LIMITE_CRITICO,"INVIAVEL",IF($AD1009&gt;LIMITE_ATENCAO,"CRITICO",IF($AD1009&gt;LIMITE_CONFORTAVEL,"ATENCAO","OK")))))</f>
        <v>OK</v>
      </c>
      <c r="AF1009" s="8" t="str">
        <f aca="false">$B1009&amp;"|"&amp;TEXT($AD1009,"0.000000")</f>
        <v>14|0.000000</v>
      </c>
      <c r="AG1009" s="18" t="n">
        <f aca="false">IF($K1009="SEM CULTURA",0,$T1009*$H1009)</f>
        <v>1158.0366</v>
      </c>
      <c r="AH1009" s="18" t="n">
        <f aca="false">IF($K1009="SEM CULTURA",0,$V1009*$H1009)</f>
        <v>3863.25408</v>
      </c>
      <c r="AI1009" s="18" t="n">
        <f aca="false">IF($K1009="SEM CULTURA",0,$W1009*$H1009)</f>
        <v>0</v>
      </c>
      <c r="AJ1009" s="18" t="n">
        <f aca="false">IF($K1009="SEM CULTURA",0,$S1009*$H1009)</f>
        <v>3308.676</v>
      </c>
      <c r="AK1009" s="8" t="str">
        <f aca="false">$E1009&amp;"|"&amp;TEXT($AD1009,"0.000000")</f>
        <v>PV 132|0.000000</v>
      </c>
    </row>
    <row r="1010" customFormat="false" ht="15" hidden="false" customHeight="false" outlineLevel="0" collapsed="false">
      <c r="B1010" s="16" t="n">
        <v>15</v>
      </c>
      <c r="C1010" s="17" t="n">
        <f aca="false">DATA_INICIO_SAFRA+($B1010-1)*DIAS_POR_SEMANA</f>
        <v>46363</v>
      </c>
      <c r="D1010" s="17" t="n">
        <f aca="false">$C1010+DIAS_POR_SEMANA-1</f>
        <v>46369</v>
      </c>
      <c r="E1010" s="15" t="s">
        <v>274</v>
      </c>
      <c r="F1010" s="8" t="str">
        <f aca="false">IFERROR(INDEX(CADASTRO_PIVOS!$C$6:$C$41,MATCH($E1010,CADASTRO_PIVOS!$B$6:$B$41,0)),"?")</f>
        <v>RM05</v>
      </c>
      <c r="G1010" s="8" t="str">
        <f aca="false">IFERROR(INDEX(CADASTRO_PIVOS!$D$6:$D$41,MATCH($E1010,CADASTRO_PIVOS!$B$6:$B$41,0)),"?")</f>
        <v>TR05</v>
      </c>
      <c r="H1010" s="20" t="n">
        <f aca="false">IFERROR(INDEX(CADASTRO_PIVOS!$E$6:$E$41,MATCH($E1010,CADASTRO_PIVOS!$B$6:$B$41,0)),0)</f>
        <v>99.96</v>
      </c>
      <c r="I1010" s="16" t="n">
        <f aca="false">IFERROR(SUMIFS(ROTACAO_RDM!$B$6:$B$71,ROTACAO_RDM!$D$6:$D$71,$E1010,ROTACAO_RDM!$I$6:$I$71,"&lt;="&amp;$C1010+INT(DIAS_POR_SEMANA/2),ROTACAO_RDM!$J$6:$J$71,"&gt;="&amp;$C1010+INT(DIAS_POR_SEMANA/2)),0)</f>
        <v>63</v>
      </c>
      <c r="J1010" s="16" t="n">
        <f aca="false">IFERROR(MATCH($I1010,ROTACAO_RDM!$B$6:$B$71,0),0)</f>
        <v>63</v>
      </c>
      <c r="K1010" s="8" t="str">
        <f aca="false">IF($J1010=0,"SEM CULTURA",INDEX(ROTACAO_RDM!$F$6:$F$71,$J1010))</f>
        <v>ALGODAO</v>
      </c>
      <c r="L1010" s="8" t="str">
        <f aca="false">IF($J1010=0,"",INDEX(ROTACAO_RDM!$G$6:$G$71,$J1010))</f>
        <v>IMA 3764 B2RF</v>
      </c>
      <c r="M1010" s="17" t="n">
        <f aca="false">IF($J1010=0,"",INDEX(ROTACAO_RDM!$I$6:$I$71,$J1010))</f>
        <v>46357</v>
      </c>
      <c r="N1010" s="16" t="n">
        <f aca="false">IF($J1010=0,0,MAX(0,$C1010+INT(DIAS_POR_SEMANA/2)-INDEX(ROTACAO_RDM!$I$6:$I$71,$J1010)))</f>
        <v>9</v>
      </c>
      <c r="O1010" s="19" t="n">
        <f aca="false">IF($J1010=0,0,MIN(1,$N1010/MAX(1,INDEX(ROTACAO_RDM!$K$6:$K$71,$J1010))))</f>
        <v>0.0428571428571429</v>
      </c>
      <c r="P1010" s="16" t="n">
        <f aca="false">IF($J1010=0,0,IFERROR(MATCH(INDEX(ROTACAO_RDM!$N$6:$N$71,$J1010),PARAMETROS_CULTURAS!$B$6:$B$28,0),0))</f>
        <v>6</v>
      </c>
      <c r="Q1010" s="8" t="str">
        <f aca="false">IF($P1010=0,"-",IF($O1010&lt;=INDEX(PARAMETROS_CULTURAS!$F$6:$F$28,$P1010),"INICIAL",IF($O1010&lt;=INDEX(PARAMETROS_CULTURAS!$F$6:$F$28,$P1010)+INDEX(PARAMETROS_CULTURAS!$G$6:$G$28,$P1010),"DESENVOLVIMENTO",IF($O1010&lt;=INDEX(PARAMETROS_CULTURAS!$F$6:$F$28,$P1010)+INDEX(PARAMETROS_CULTURAS!$G$6:$G$28,$P1010)+INDEX(PARAMETROS_CULTURAS!$H$6:$H$28,$P1010),"MEDIA","FINAL"))))</f>
        <v>INICIAL</v>
      </c>
      <c r="R1010" s="24" t="n">
        <f aca="false">IF($P1010=0,0,IF($O1010&lt;=INDEX(PARAMETROS_CULTURAS!$F$6:$F$28,$P1010),INDEX(PARAMETROS_CULTURAS!$K$6:$K$28,$P1010),IF($O1010&lt;=INDEX(PARAMETROS_CULTURAS!$F$6:$F$28,$P1010)+INDEX(PARAMETROS_CULTURAS!$G$6:$G$28,$P1010),INDEX(PARAMETROS_CULTURAS!$K$6:$K$28,$P1010)+(INDEX(PARAMETROS_CULTURAS!$L$6:$L$28,$P1010)-INDEX(PARAMETROS_CULTURAS!$K$6:$K$28,$P1010))*($O1010-INDEX(PARAMETROS_CULTURAS!$F$6:$F$28,$P1010))/MAX(INDEX(PARAMETROS_CULTURAS!$G$6:$G$28,$P1010),0.0001),IF($O1010&lt;=INDEX(PARAMETROS_CULTURAS!$F$6:$F$28,$P1010)+INDEX(PARAMETROS_CULTURAS!$G$6:$G$28,$P1010)+INDEX(PARAMETROS_CULTURAS!$H$6:$H$28,$P1010),INDEX(PARAMETROS_CULTURAS!$L$6:$L$28,$P1010),INDEX(PARAMETROS_CULTURAS!$L$6:$L$28,$P1010)+(INDEX(PARAMETROS_CULTURAS!$M$6:$M$28,$P1010)-INDEX(PARAMETROS_CULTURAS!$L$6:$L$28,$P1010))*($O1010-INDEX(PARAMETROS_CULTURAS!$F$6:$F$28,$P1010)-INDEX(PARAMETROS_CULTURAS!$G$6:$G$28,$P1010)-INDEX(PARAMETROS_CULTURAS!$H$6:$H$28,$P1010))/MAX(INDEX(PARAMETROS_CULTURAS!$I$6:$I$28,$P1010),0.0001)))))</f>
        <v>0.35</v>
      </c>
      <c r="S1010" s="18" t="n">
        <f aca="false">IFERROR(INDEX(SEMANAS!$H$6:$H$71,MATCH($B1010,SEMANAS!$B$6:$B$71,0)),0)</f>
        <v>32.9</v>
      </c>
      <c r="T1010" s="18" t="n">
        <f aca="false">$R1010*$S1010</f>
        <v>11.515</v>
      </c>
      <c r="U1010" s="18" t="n">
        <f aca="false">IFERROR(INDEX(SEMANAS!$I$6:$I$71,MATCH($B1010,SEMANAS!$B$6:$B$71,0)),0)</f>
        <v>48.58</v>
      </c>
      <c r="V1010" s="18" t="n">
        <f aca="false">IFERROR(INDEX(SEMANAS!$J$6:$J$71,MATCH($B1010,SEMANAS!$B$6:$B$71,0)),0)</f>
        <v>38.864</v>
      </c>
      <c r="W1010" s="18" t="n">
        <f aca="false">MAX(0,$T1010-$V1010)</f>
        <v>0</v>
      </c>
      <c r="X1010" s="19" t="n">
        <f aca="false">IFERROR(INDEX(CADASTRO_PIVOS!$K$6:$K$41,MATCH($E1010,CADASTRO_PIVOS!$B$6:$B$41,0)),EFICIENCIA_PADRAO)</f>
        <v>0.85</v>
      </c>
      <c r="Y1010" s="18" t="n">
        <f aca="false">IF($X1010&lt;=0,0,$W1010/$X1010)</f>
        <v>0</v>
      </c>
      <c r="Z1010" s="16" t="n">
        <f aca="false">$Y1010*$H1010*MM_PARA_M3_HA</f>
        <v>0</v>
      </c>
      <c r="AA1010" s="18" t="n">
        <f aca="false">IFERROR(INDEX(CADASTRO_PIVOS!$I$6:$I$41,MATCH($E1010,CADASTRO_PIVOS!$B$6:$B$41,0)),0)</f>
        <v>714</v>
      </c>
      <c r="AB1010" s="18" t="n">
        <f aca="false">IF($Z1010&lt;=0,0,$Z1010/$AA1010)</f>
        <v>0</v>
      </c>
      <c r="AC1010" s="16" t="n">
        <f aca="false">IFERROR(INDEX(SEMANAS!$K$6:$K$71,MATCH($B1010,SEMANAS!$B$6:$B$71,0)),0)</f>
        <v>147</v>
      </c>
      <c r="AD1010" s="19" t="n">
        <f aca="false">IF($AC1010&lt;=0,0,$AB1010/$AC1010)</f>
        <v>0</v>
      </c>
      <c r="AE1010" s="8" t="str">
        <f aca="false">IF($K1010="SEM CULTURA","SEM CULTURA",IF($AA1010&lt;=0,"DADO PENDENTE",IF($AD1010&gt;LIMITE_CRITICO,"INVIAVEL",IF($AD1010&gt;LIMITE_ATENCAO,"CRITICO",IF($AD1010&gt;LIMITE_CONFORTAVEL,"ATENCAO","OK")))))</f>
        <v>OK</v>
      </c>
      <c r="AF1010" s="8" t="str">
        <f aca="false">$B1010&amp;"|"&amp;TEXT($AD1010,"0.000000")</f>
        <v>15|0.000000</v>
      </c>
      <c r="AG1010" s="18" t="n">
        <f aca="false">IF($K1010="SEM CULTURA",0,$T1010*$H1010)</f>
        <v>1151.0394</v>
      </c>
      <c r="AH1010" s="18" t="n">
        <f aca="false">IF($K1010="SEM CULTURA",0,$V1010*$H1010)</f>
        <v>3884.84544</v>
      </c>
      <c r="AI1010" s="18" t="n">
        <f aca="false">IF($K1010="SEM CULTURA",0,$W1010*$H1010)</f>
        <v>0</v>
      </c>
      <c r="AJ1010" s="18" t="n">
        <f aca="false">IF($K1010="SEM CULTURA",0,$S1010*$H1010)</f>
        <v>3288.684</v>
      </c>
      <c r="AK1010" s="8" t="str">
        <f aca="false">$E1010&amp;"|"&amp;TEXT($AD1010,"0.000000")</f>
        <v>PV 132|0.000000</v>
      </c>
    </row>
    <row r="1011" customFormat="false" ht="15" hidden="false" customHeight="false" outlineLevel="0" collapsed="false">
      <c r="B1011" s="16" t="n">
        <v>16</v>
      </c>
      <c r="C1011" s="17" t="n">
        <f aca="false">DATA_INICIO_SAFRA+($B1011-1)*DIAS_POR_SEMANA</f>
        <v>46370</v>
      </c>
      <c r="D1011" s="17" t="n">
        <f aca="false">$C1011+DIAS_POR_SEMANA-1</f>
        <v>46376</v>
      </c>
      <c r="E1011" s="15" t="s">
        <v>274</v>
      </c>
      <c r="F1011" s="8" t="str">
        <f aca="false">IFERROR(INDEX(CADASTRO_PIVOS!$C$6:$C$41,MATCH($E1011,CADASTRO_PIVOS!$B$6:$B$41,0)),"?")</f>
        <v>RM05</v>
      </c>
      <c r="G1011" s="8" t="str">
        <f aca="false">IFERROR(INDEX(CADASTRO_PIVOS!$D$6:$D$41,MATCH($E1011,CADASTRO_PIVOS!$B$6:$B$41,0)),"?")</f>
        <v>TR05</v>
      </c>
      <c r="H1011" s="20" t="n">
        <f aca="false">IFERROR(INDEX(CADASTRO_PIVOS!$E$6:$E$41,MATCH($E1011,CADASTRO_PIVOS!$B$6:$B$41,0)),0)</f>
        <v>99.96</v>
      </c>
      <c r="I1011" s="16" t="n">
        <f aca="false">IFERROR(SUMIFS(ROTACAO_RDM!$B$6:$B$71,ROTACAO_RDM!$D$6:$D$71,$E1011,ROTACAO_RDM!$I$6:$I$71,"&lt;="&amp;$C1011+INT(DIAS_POR_SEMANA/2),ROTACAO_RDM!$J$6:$J$71,"&gt;="&amp;$C1011+INT(DIAS_POR_SEMANA/2)),0)</f>
        <v>63</v>
      </c>
      <c r="J1011" s="16" t="n">
        <f aca="false">IFERROR(MATCH($I1011,ROTACAO_RDM!$B$6:$B$71,0),0)</f>
        <v>63</v>
      </c>
      <c r="K1011" s="8" t="str">
        <f aca="false">IF($J1011=0,"SEM CULTURA",INDEX(ROTACAO_RDM!$F$6:$F$71,$J1011))</f>
        <v>ALGODAO</v>
      </c>
      <c r="L1011" s="8" t="str">
        <f aca="false">IF($J1011=0,"",INDEX(ROTACAO_RDM!$G$6:$G$71,$J1011))</f>
        <v>IMA 3764 B2RF</v>
      </c>
      <c r="M1011" s="17" t="n">
        <f aca="false">IF($J1011=0,"",INDEX(ROTACAO_RDM!$I$6:$I$71,$J1011))</f>
        <v>46357</v>
      </c>
      <c r="N1011" s="16" t="n">
        <f aca="false">IF($J1011=0,0,MAX(0,$C1011+INT(DIAS_POR_SEMANA/2)-INDEX(ROTACAO_RDM!$I$6:$I$71,$J1011)))</f>
        <v>16</v>
      </c>
      <c r="O1011" s="19" t="n">
        <f aca="false">IF($J1011=0,0,MIN(1,$N1011/MAX(1,INDEX(ROTACAO_RDM!$K$6:$K$71,$J1011))))</f>
        <v>0.0761904761904762</v>
      </c>
      <c r="P1011" s="16" t="n">
        <f aca="false">IF($J1011=0,0,IFERROR(MATCH(INDEX(ROTACAO_RDM!$N$6:$N$71,$J1011),PARAMETROS_CULTURAS!$B$6:$B$28,0),0))</f>
        <v>6</v>
      </c>
      <c r="Q1011" s="8" t="str">
        <f aca="false">IF($P1011=0,"-",IF($O1011&lt;=INDEX(PARAMETROS_CULTURAS!$F$6:$F$28,$P1011),"INICIAL",IF($O1011&lt;=INDEX(PARAMETROS_CULTURAS!$F$6:$F$28,$P1011)+INDEX(PARAMETROS_CULTURAS!$G$6:$G$28,$P1011),"DESENVOLVIMENTO",IF($O1011&lt;=INDEX(PARAMETROS_CULTURAS!$F$6:$F$28,$P1011)+INDEX(PARAMETROS_CULTURAS!$G$6:$G$28,$P1011)+INDEX(PARAMETROS_CULTURAS!$H$6:$H$28,$P1011),"MEDIA","FINAL"))))</f>
        <v>INICIAL</v>
      </c>
      <c r="R1011" s="24" t="n">
        <f aca="false">IF($P1011=0,0,IF($O1011&lt;=INDEX(PARAMETROS_CULTURAS!$F$6:$F$28,$P1011),INDEX(PARAMETROS_CULTURAS!$K$6:$K$28,$P1011),IF($O1011&lt;=INDEX(PARAMETROS_CULTURAS!$F$6:$F$28,$P1011)+INDEX(PARAMETROS_CULTURAS!$G$6:$G$28,$P1011),INDEX(PARAMETROS_CULTURAS!$K$6:$K$28,$P1011)+(INDEX(PARAMETROS_CULTURAS!$L$6:$L$28,$P1011)-INDEX(PARAMETROS_CULTURAS!$K$6:$K$28,$P1011))*($O1011-INDEX(PARAMETROS_CULTURAS!$F$6:$F$28,$P1011))/MAX(INDEX(PARAMETROS_CULTURAS!$G$6:$G$28,$P1011),0.0001),IF($O1011&lt;=INDEX(PARAMETROS_CULTURAS!$F$6:$F$28,$P1011)+INDEX(PARAMETROS_CULTURAS!$G$6:$G$28,$P1011)+INDEX(PARAMETROS_CULTURAS!$H$6:$H$28,$P1011),INDEX(PARAMETROS_CULTURAS!$L$6:$L$28,$P1011),INDEX(PARAMETROS_CULTURAS!$L$6:$L$28,$P1011)+(INDEX(PARAMETROS_CULTURAS!$M$6:$M$28,$P1011)-INDEX(PARAMETROS_CULTURAS!$L$6:$L$28,$P1011))*($O1011-INDEX(PARAMETROS_CULTURAS!$F$6:$F$28,$P1011)-INDEX(PARAMETROS_CULTURAS!$G$6:$G$28,$P1011)-INDEX(PARAMETROS_CULTURAS!$H$6:$H$28,$P1011))/MAX(INDEX(PARAMETROS_CULTURAS!$I$6:$I$28,$P1011),0.0001)))))</f>
        <v>0.35</v>
      </c>
      <c r="S1011" s="18" t="n">
        <f aca="false">IFERROR(INDEX(SEMANAS!$H$6:$H$71,MATCH($B1011,SEMANAS!$B$6:$B$71,0)),0)</f>
        <v>32.9</v>
      </c>
      <c r="T1011" s="18" t="n">
        <f aca="false">$R1011*$S1011</f>
        <v>11.515</v>
      </c>
      <c r="U1011" s="18" t="n">
        <f aca="false">IFERROR(INDEX(SEMANAS!$I$6:$I$71,MATCH($B1011,SEMANAS!$B$6:$B$71,0)),0)</f>
        <v>48.58</v>
      </c>
      <c r="V1011" s="18" t="n">
        <f aca="false">IFERROR(INDEX(SEMANAS!$J$6:$J$71,MATCH($B1011,SEMANAS!$B$6:$B$71,0)),0)</f>
        <v>38.864</v>
      </c>
      <c r="W1011" s="18" t="n">
        <f aca="false">MAX(0,$T1011-$V1011)</f>
        <v>0</v>
      </c>
      <c r="X1011" s="19" t="n">
        <f aca="false">IFERROR(INDEX(CADASTRO_PIVOS!$K$6:$K$41,MATCH($E1011,CADASTRO_PIVOS!$B$6:$B$41,0)),EFICIENCIA_PADRAO)</f>
        <v>0.85</v>
      </c>
      <c r="Y1011" s="18" t="n">
        <f aca="false">IF($X1011&lt;=0,0,$W1011/$X1011)</f>
        <v>0</v>
      </c>
      <c r="Z1011" s="16" t="n">
        <f aca="false">$Y1011*$H1011*MM_PARA_M3_HA</f>
        <v>0</v>
      </c>
      <c r="AA1011" s="18" t="n">
        <f aca="false">IFERROR(INDEX(CADASTRO_PIVOS!$I$6:$I$41,MATCH($E1011,CADASTRO_PIVOS!$B$6:$B$41,0)),0)</f>
        <v>714</v>
      </c>
      <c r="AB1011" s="18" t="n">
        <f aca="false">IF($Z1011&lt;=0,0,$Z1011/$AA1011)</f>
        <v>0</v>
      </c>
      <c r="AC1011" s="16" t="n">
        <f aca="false">IFERROR(INDEX(SEMANAS!$K$6:$K$71,MATCH($B1011,SEMANAS!$B$6:$B$71,0)),0)</f>
        <v>147</v>
      </c>
      <c r="AD1011" s="19" t="n">
        <f aca="false">IF($AC1011&lt;=0,0,$AB1011/$AC1011)</f>
        <v>0</v>
      </c>
      <c r="AE1011" s="8" t="str">
        <f aca="false">IF($K1011="SEM CULTURA","SEM CULTURA",IF($AA1011&lt;=0,"DADO PENDENTE",IF($AD1011&gt;LIMITE_CRITICO,"INVIAVEL",IF($AD1011&gt;LIMITE_ATENCAO,"CRITICO",IF($AD1011&gt;LIMITE_CONFORTAVEL,"ATENCAO","OK")))))</f>
        <v>OK</v>
      </c>
      <c r="AF1011" s="8" t="str">
        <f aca="false">$B1011&amp;"|"&amp;TEXT($AD1011,"0.000000")</f>
        <v>16|0.000000</v>
      </c>
      <c r="AG1011" s="18" t="n">
        <f aca="false">IF($K1011="SEM CULTURA",0,$T1011*$H1011)</f>
        <v>1151.0394</v>
      </c>
      <c r="AH1011" s="18" t="n">
        <f aca="false">IF($K1011="SEM CULTURA",0,$V1011*$H1011)</f>
        <v>3884.84544</v>
      </c>
      <c r="AI1011" s="18" t="n">
        <f aca="false">IF($K1011="SEM CULTURA",0,$W1011*$H1011)</f>
        <v>0</v>
      </c>
      <c r="AJ1011" s="18" t="n">
        <f aca="false">IF($K1011="SEM CULTURA",0,$S1011*$H1011)</f>
        <v>3288.684</v>
      </c>
      <c r="AK1011" s="8" t="str">
        <f aca="false">$E1011&amp;"|"&amp;TEXT($AD1011,"0.000000")</f>
        <v>PV 132|0.000000</v>
      </c>
    </row>
    <row r="1012" customFormat="false" ht="15" hidden="false" customHeight="false" outlineLevel="0" collapsed="false">
      <c r="B1012" s="16" t="n">
        <v>17</v>
      </c>
      <c r="C1012" s="17" t="n">
        <f aca="false">DATA_INICIO_SAFRA+($B1012-1)*DIAS_POR_SEMANA</f>
        <v>46377</v>
      </c>
      <c r="D1012" s="17" t="n">
        <f aca="false">$C1012+DIAS_POR_SEMANA-1</f>
        <v>46383</v>
      </c>
      <c r="E1012" s="15" t="s">
        <v>274</v>
      </c>
      <c r="F1012" s="8" t="str">
        <f aca="false">IFERROR(INDEX(CADASTRO_PIVOS!$C$6:$C$41,MATCH($E1012,CADASTRO_PIVOS!$B$6:$B$41,0)),"?")</f>
        <v>RM05</v>
      </c>
      <c r="G1012" s="8" t="str">
        <f aca="false">IFERROR(INDEX(CADASTRO_PIVOS!$D$6:$D$41,MATCH($E1012,CADASTRO_PIVOS!$B$6:$B$41,0)),"?")</f>
        <v>TR05</v>
      </c>
      <c r="H1012" s="20" t="n">
        <f aca="false">IFERROR(INDEX(CADASTRO_PIVOS!$E$6:$E$41,MATCH($E1012,CADASTRO_PIVOS!$B$6:$B$41,0)),0)</f>
        <v>99.96</v>
      </c>
      <c r="I1012" s="16" t="n">
        <f aca="false">IFERROR(SUMIFS(ROTACAO_RDM!$B$6:$B$71,ROTACAO_RDM!$D$6:$D$71,$E1012,ROTACAO_RDM!$I$6:$I$71,"&lt;="&amp;$C1012+INT(DIAS_POR_SEMANA/2),ROTACAO_RDM!$J$6:$J$71,"&gt;="&amp;$C1012+INT(DIAS_POR_SEMANA/2)),0)</f>
        <v>63</v>
      </c>
      <c r="J1012" s="16" t="n">
        <f aca="false">IFERROR(MATCH($I1012,ROTACAO_RDM!$B$6:$B$71,0),0)</f>
        <v>63</v>
      </c>
      <c r="K1012" s="8" t="str">
        <f aca="false">IF($J1012=0,"SEM CULTURA",INDEX(ROTACAO_RDM!$F$6:$F$71,$J1012))</f>
        <v>ALGODAO</v>
      </c>
      <c r="L1012" s="8" t="str">
        <f aca="false">IF($J1012=0,"",INDEX(ROTACAO_RDM!$G$6:$G$71,$J1012))</f>
        <v>IMA 3764 B2RF</v>
      </c>
      <c r="M1012" s="17" t="n">
        <f aca="false">IF($J1012=0,"",INDEX(ROTACAO_RDM!$I$6:$I$71,$J1012))</f>
        <v>46357</v>
      </c>
      <c r="N1012" s="16" t="n">
        <f aca="false">IF($J1012=0,0,MAX(0,$C1012+INT(DIAS_POR_SEMANA/2)-INDEX(ROTACAO_RDM!$I$6:$I$71,$J1012)))</f>
        <v>23</v>
      </c>
      <c r="O1012" s="19" t="n">
        <f aca="false">IF($J1012=0,0,MIN(1,$N1012/MAX(1,INDEX(ROTACAO_RDM!$K$6:$K$71,$J1012))))</f>
        <v>0.10952380952381</v>
      </c>
      <c r="P1012" s="16" t="n">
        <f aca="false">IF($J1012=0,0,IFERROR(MATCH(INDEX(ROTACAO_RDM!$N$6:$N$71,$J1012),PARAMETROS_CULTURAS!$B$6:$B$28,0),0))</f>
        <v>6</v>
      </c>
      <c r="Q1012" s="8" t="str">
        <f aca="false">IF($P1012=0,"-",IF($O1012&lt;=INDEX(PARAMETROS_CULTURAS!$F$6:$F$28,$P1012),"INICIAL",IF($O1012&lt;=INDEX(PARAMETROS_CULTURAS!$F$6:$F$28,$P1012)+INDEX(PARAMETROS_CULTURAS!$G$6:$G$28,$P1012),"DESENVOLVIMENTO",IF($O1012&lt;=INDEX(PARAMETROS_CULTURAS!$F$6:$F$28,$P1012)+INDEX(PARAMETROS_CULTURAS!$G$6:$G$28,$P1012)+INDEX(PARAMETROS_CULTURAS!$H$6:$H$28,$P1012),"MEDIA","FINAL"))))</f>
        <v>INICIAL</v>
      </c>
      <c r="R1012" s="24" t="n">
        <f aca="false">IF($P1012=0,0,IF($O1012&lt;=INDEX(PARAMETROS_CULTURAS!$F$6:$F$28,$P1012),INDEX(PARAMETROS_CULTURAS!$K$6:$K$28,$P1012),IF($O1012&lt;=INDEX(PARAMETROS_CULTURAS!$F$6:$F$28,$P1012)+INDEX(PARAMETROS_CULTURAS!$G$6:$G$28,$P1012),INDEX(PARAMETROS_CULTURAS!$K$6:$K$28,$P1012)+(INDEX(PARAMETROS_CULTURAS!$L$6:$L$28,$P1012)-INDEX(PARAMETROS_CULTURAS!$K$6:$K$28,$P1012))*($O1012-INDEX(PARAMETROS_CULTURAS!$F$6:$F$28,$P1012))/MAX(INDEX(PARAMETROS_CULTURAS!$G$6:$G$28,$P1012),0.0001),IF($O1012&lt;=INDEX(PARAMETROS_CULTURAS!$F$6:$F$28,$P1012)+INDEX(PARAMETROS_CULTURAS!$G$6:$G$28,$P1012)+INDEX(PARAMETROS_CULTURAS!$H$6:$H$28,$P1012),INDEX(PARAMETROS_CULTURAS!$L$6:$L$28,$P1012),INDEX(PARAMETROS_CULTURAS!$L$6:$L$28,$P1012)+(INDEX(PARAMETROS_CULTURAS!$M$6:$M$28,$P1012)-INDEX(PARAMETROS_CULTURAS!$L$6:$L$28,$P1012))*($O1012-INDEX(PARAMETROS_CULTURAS!$F$6:$F$28,$P1012)-INDEX(PARAMETROS_CULTURAS!$G$6:$G$28,$P1012)-INDEX(PARAMETROS_CULTURAS!$H$6:$H$28,$P1012))/MAX(INDEX(PARAMETROS_CULTURAS!$I$6:$I$28,$P1012),0.0001)))))</f>
        <v>0.35</v>
      </c>
      <c r="S1012" s="18" t="n">
        <f aca="false">IFERROR(INDEX(SEMANAS!$H$6:$H$71,MATCH($B1012,SEMANAS!$B$6:$B$71,0)),0)</f>
        <v>32.9</v>
      </c>
      <c r="T1012" s="18" t="n">
        <f aca="false">$R1012*$S1012</f>
        <v>11.515</v>
      </c>
      <c r="U1012" s="18" t="n">
        <f aca="false">IFERROR(INDEX(SEMANAS!$I$6:$I$71,MATCH($B1012,SEMANAS!$B$6:$B$71,0)),0)</f>
        <v>48.58</v>
      </c>
      <c r="V1012" s="18" t="n">
        <f aca="false">IFERROR(INDEX(SEMANAS!$J$6:$J$71,MATCH($B1012,SEMANAS!$B$6:$B$71,0)),0)</f>
        <v>38.864</v>
      </c>
      <c r="W1012" s="18" t="n">
        <f aca="false">MAX(0,$T1012-$V1012)</f>
        <v>0</v>
      </c>
      <c r="X1012" s="19" t="n">
        <f aca="false">IFERROR(INDEX(CADASTRO_PIVOS!$K$6:$K$41,MATCH($E1012,CADASTRO_PIVOS!$B$6:$B$41,0)),EFICIENCIA_PADRAO)</f>
        <v>0.85</v>
      </c>
      <c r="Y1012" s="18" t="n">
        <f aca="false">IF($X1012&lt;=0,0,$W1012/$X1012)</f>
        <v>0</v>
      </c>
      <c r="Z1012" s="16" t="n">
        <f aca="false">$Y1012*$H1012*MM_PARA_M3_HA</f>
        <v>0</v>
      </c>
      <c r="AA1012" s="18" t="n">
        <f aca="false">IFERROR(INDEX(CADASTRO_PIVOS!$I$6:$I$41,MATCH($E1012,CADASTRO_PIVOS!$B$6:$B$41,0)),0)</f>
        <v>714</v>
      </c>
      <c r="AB1012" s="18" t="n">
        <f aca="false">IF($Z1012&lt;=0,0,$Z1012/$AA1012)</f>
        <v>0</v>
      </c>
      <c r="AC1012" s="16" t="n">
        <f aca="false">IFERROR(INDEX(SEMANAS!$K$6:$K$71,MATCH($B1012,SEMANAS!$B$6:$B$71,0)),0)</f>
        <v>147</v>
      </c>
      <c r="AD1012" s="19" t="n">
        <f aca="false">IF($AC1012&lt;=0,0,$AB1012/$AC1012)</f>
        <v>0</v>
      </c>
      <c r="AE1012" s="8" t="str">
        <f aca="false">IF($K1012="SEM CULTURA","SEM CULTURA",IF($AA1012&lt;=0,"DADO PENDENTE",IF($AD1012&gt;LIMITE_CRITICO,"INVIAVEL",IF($AD1012&gt;LIMITE_ATENCAO,"CRITICO",IF($AD1012&gt;LIMITE_CONFORTAVEL,"ATENCAO","OK")))))</f>
        <v>OK</v>
      </c>
      <c r="AF1012" s="8" t="str">
        <f aca="false">$B1012&amp;"|"&amp;TEXT($AD1012,"0.000000")</f>
        <v>17|0.000000</v>
      </c>
      <c r="AG1012" s="18" t="n">
        <f aca="false">IF($K1012="SEM CULTURA",0,$T1012*$H1012)</f>
        <v>1151.0394</v>
      </c>
      <c r="AH1012" s="18" t="n">
        <f aca="false">IF($K1012="SEM CULTURA",0,$V1012*$H1012)</f>
        <v>3884.84544</v>
      </c>
      <c r="AI1012" s="18" t="n">
        <f aca="false">IF($K1012="SEM CULTURA",0,$W1012*$H1012)</f>
        <v>0</v>
      </c>
      <c r="AJ1012" s="18" t="n">
        <f aca="false">IF($K1012="SEM CULTURA",0,$S1012*$H1012)</f>
        <v>3288.684</v>
      </c>
      <c r="AK1012" s="8" t="str">
        <f aca="false">$E1012&amp;"|"&amp;TEXT($AD1012,"0.000000")</f>
        <v>PV 132|0.000000</v>
      </c>
    </row>
    <row r="1013" customFormat="false" ht="15" hidden="false" customHeight="false" outlineLevel="0" collapsed="false">
      <c r="B1013" s="16" t="n">
        <v>18</v>
      </c>
      <c r="C1013" s="17" t="n">
        <f aca="false">DATA_INICIO_SAFRA+($B1013-1)*DIAS_POR_SEMANA</f>
        <v>46384</v>
      </c>
      <c r="D1013" s="17" t="n">
        <f aca="false">$C1013+DIAS_POR_SEMANA-1</f>
        <v>46390</v>
      </c>
      <c r="E1013" s="15" t="s">
        <v>274</v>
      </c>
      <c r="F1013" s="8" t="str">
        <f aca="false">IFERROR(INDEX(CADASTRO_PIVOS!$C$6:$C$41,MATCH($E1013,CADASTRO_PIVOS!$B$6:$B$41,0)),"?")</f>
        <v>RM05</v>
      </c>
      <c r="G1013" s="8" t="str">
        <f aca="false">IFERROR(INDEX(CADASTRO_PIVOS!$D$6:$D$41,MATCH($E1013,CADASTRO_PIVOS!$B$6:$B$41,0)),"?")</f>
        <v>TR05</v>
      </c>
      <c r="H1013" s="20" t="n">
        <f aca="false">IFERROR(INDEX(CADASTRO_PIVOS!$E$6:$E$41,MATCH($E1013,CADASTRO_PIVOS!$B$6:$B$41,0)),0)</f>
        <v>99.96</v>
      </c>
      <c r="I1013" s="16" t="n">
        <f aca="false">IFERROR(SUMIFS(ROTACAO_RDM!$B$6:$B$71,ROTACAO_RDM!$D$6:$D$71,$E1013,ROTACAO_RDM!$I$6:$I$71,"&lt;="&amp;$C1013+INT(DIAS_POR_SEMANA/2),ROTACAO_RDM!$J$6:$J$71,"&gt;="&amp;$C1013+INT(DIAS_POR_SEMANA/2)),0)</f>
        <v>63</v>
      </c>
      <c r="J1013" s="16" t="n">
        <f aca="false">IFERROR(MATCH($I1013,ROTACAO_RDM!$B$6:$B$71,0),0)</f>
        <v>63</v>
      </c>
      <c r="K1013" s="8" t="str">
        <f aca="false">IF($J1013=0,"SEM CULTURA",INDEX(ROTACAO_RDM!$F$6:$F$71,$J1013))</f>
        <v>ALGODAO</v>
      </c>
      <c r="L1013" s="8" t="str">
        <f aca="false">IF($J1013=0,"",INDEX(ROTACAO_RDM!$G$6:$G$71,$J1013))</f>
        <v>IMA 3764 B2RF</v>
      </c>
      <c r="M1013" s="17" t="n">
        <f aca="false">IF($J1013=0,"",INDEX(ROTACAO_RDM!$I$6:$I$71,$J1013))</f>
        <v>46357</v>
      </c>
      <c r="N1013" s="16" t="n">
        <f aca="false">IF($J1013=0,0,MAX(0,$C1013+INT(DIAS_POR_SEMANA/2)-INDEX(ROTACAO_RDM!$I$6:$I$71,$J1013)))</f>
        <v>30</v>
      </c>
      <c r="O1013" s="19" t="n">
        <f aca="false">IF($J1013=0,0,MIN(1,$N1013/MAX(1,INDEX(ROTACAO_RDM!$K$6:$K$71,$J1013))))</f>
        <v>0.142857142857143</v>
      </c>
      <c r="P1013" s="16" t="n">
        <f aca="false">IF($J1013=0,0,IFERROR(MATCH(INDEX(ROTACAO_RDM!$N$6:$N$71,$J1013),PARAMETROS_CULTURAS!$B$6:$B$28,0),0))</f>
        <v>6</v>
      </c>
      <c r="Q1013" s="8" t="str">
        <f aca="false">IF($P1013=0,"-",IF($O1013&lt;=INDEX(PARAMETROS_CULTURAS!$F$6:$F$28,$P1013),"INICIAL",IF($O1013&lt;=INDEX(PARAMETROS_CULTURAS!$F$6:$F$28,$P1013)+INDEX(PARAMETROS_CULTURAS!$G$6:$G$28,$P1013),"DESENVOLVIMENTO",IF($O1013&lt;=INDEX(PARAMETROS_CULTURAS!$F$6:$F$28,$P1013)+INDEX(PARAMETROS_CULTURAS!$G$6:$G$28,$P1013)+INDEX(PARAMETROS_CULTURAS!$H$6:$H$28,$P1013),"MEDIA","FINAL"))))</f>
        <v>DESENVOLVIMENTO</v>
      </c>
      <c r="R1013" s="24" t="n">
        <f aca="false">IF($P1013=0,0,IF($O1013&lt;=INDEX(PARAMETROS_CULTURAS!$F$6:$F$28,$P1013),INDEX(PARAMETROS_CULTURAS!$K$6:$K$28,$P1013),IF($O1013&lt;=INDEX(PARAMETROS_CULTURAS!$F$6:$F$28,$P1013)+INDEX(PARAMETROS_CULTURAS!$G$6:$G$28,$P1013),INDEX(PARAMETROS_CULTURAS!$K$6:$K$28,$P1013)+(INDEX(PARAMETROS_CULTURAS!$L$6:$L$28,$P1013)-INDEX(PARAMETROS_CULTURAS!$K$6:$K$28,$P1013))*($O1013-INDEX(PARAMETROS_CULTURAS!$F$6:$F$28,$P1013))/MAX(INDEX(PARAMETROS_CULTURAS!$G$6:$G$28,$P1013),0.0001),IF($O1013&lt;=INDEX(PARAMETROS_CULTURAS!$F$6:$F$28,$P1013)+INDEX(PARAMETROS_CULTURAS!$G$6:$G$28,$P1013)+INDEX(PARAMETROS_CULTURAS!$H$6:$H$28,$P1013),INDEX(PARAMETROS_CULTURAS!$L$6:$L$28,$P1013),INDEX(PARAMETROS_CULTURAS!$L$6:$L$28,$P1013)+(INDEX(PARAMETROS_CULTURAS!$M$6:$M$28,$P1013)-INDEX(PARAMETROS_CULTURAS!$L$6:$L$28,$P1013))*($O1013-INDEX(PARAMETROS_CULTURAS!$F$6:$F$28,$P1013)-INDEX(PARAMETROS_CULTURAS!$G$6:$G$28,$P1013)-INDEX(PARAMETROS_CULTURAS!$H$6:$H$28,$P1013))/MAX(INDEX(PARAMETROS_CULTURAS!$I$6:$I$28,$P1013),0.0001)))))</f>
        <v>0.359523809523809</v>
      </c>
      <c r="S1013" s="18" t="n">
        <f aca="false">IFERROR(INDEX(SEMANAS!$H$6:$H$71,MATCH($B1013,SEMANAS!$B$6:$B$71,0)),0)</f>
        <v>33.2</v>
      </c>
      <c r="T1013" s="18" t="n">
        <f aca="false">$R1013*$S1013</f>
        <v>11.9361904761905</v>
      </c>
      <c r="U1013" s="18" t="n">
        <f aca="false">IFERROR(INDEX(SEMANAS!$I$6:$I$71,MATCH($B1013,SEMANAS!$B$6:$B$71,0)),0)</f>
        <v>47.11</v>
      </c>
      <c r="V1013" s="18" t="n">
        <f aca="false">IFERROR(INDEX(SEMANAS!$J$6:$J$71,MATCH($B1013,SEMANAS!$B$6:$B$71,0)),0)</f>
        <v>37.688</v>
      </c>
      <c r="W1013" s="18" t="n">
        <f aca="false">MAX(0,$T1013-$V1013)</f>
        <v>0</v>
      </c>
      <c r="X1013" s="19" t="n">
        <f aca="false">IFERROR(INDEX(CADASTRO_PIVOS!$K$6:$K$41,MATCH($E1013,CADASTRO_PIVOS!$B$6:$B$41,0)),EFICIENCIA_PADRAO)</f>
        <v>0.85</v>
      </c>
      <c r="Y1013" s="18" t="n">
        <f aca="false">IF($X1013&lt;=0,0,$W1013/$X1013)</f>
        <v>0</v>
      </c>
      <c r="Z1013" s="16" t="n">
        <f aca="false">$Y1013*$H1013*MM_PARA_M3_HA</f>
        <v>0</v>
      </c>
      <c r="AA1013" s="18" t="n">
        <f aca="false">IFERROR(INDEX(CADASTRO_PIVOS!$I$6:$I$41,MATCH($E1013,CADASTRO_PIVOS!$B$6:$B$41,0)),0)</f>
        <v>714</v>
      </c>
      <c r="AB1013" s="18" t="n">
        <f aca="false">IF($Z1013&lt;=0,0,$Z1013/$AA1013)</f>
        <v>0</v>
      </c>
      <c r="AC1013" s="16" t="n">
        <f aca="false">IFERROR(INDEX(SEMANAS!$K$6:$K$71,MATCH($B1013,SEMANAS!$B$6:$B$71,0)),0)</f>
        <v>147</v>
      </c>
      <c r="AD1013" s="19" t="n">
        <f aca="false">IF($AC1013&lt;=0,0,$AB1013/$AC1013)</f>
        <v>0</v>
      </c>
      <c r="AE1013" s="8" t="str">
        <f aca="false">IF($K1013="SEM CULTURA","SEM CULTURA",IF($AA1013&lt;=0,"DADO PENDENTE",IF($AD1013&gt;LIMITE_CRITICO,"INVIAVEL",IF($AD1013&gt;LIMITE_ATENCAO,"CRITICO",IF($AD1013&gt;LIMITE_CONFORTAVEL,"ATENCAO","OK")))))</f>
        <v>OK</v>
      </c>
      <c r="AF1013" s="8" t="str">
        <f aca="false">$B1013&amp;"|"&amp;TEXT($AD1013,"0.000000")</f>
        <v>18|0.000000</v>
      </c>
      <c r="AG1013" s="18" t="n">
        <f aca="false">IF($K1013="SEM CULTURA",0,$T1013*$H1013)</f>
        <v>1193.1416</v>
      </c>
      <c r="AH1013" s="18" t="n">
        <f aca="false">IF($K1013="SEM CULTURA",0,$V1013*$H1013)</f>
        <v>3767.29248</v>
      </c>
      <c r="AI1013" s="18" t="n">
        <f aca="false">IF($K1013="SEM CULTURA",0,$W1013*$H1013)</f>
        <v>0</v>
      </c>
      <c r="AJ1013" s="18" t="n">
        <f aca="false">IF($K1013="SEM CULTURA",0,$S1013*$H1013)</f>
        <v>3318.672</v>
      </c>
      <c r="AK1013" s="8" t="str">
        <f aca="false">$E1013&amp;"|"&amp;TEXT($AD1013,"0.000000")</f>
        <v>PV 132|0.000000</v>
      </c>
    </row>
    <row r="1014" customFormat="false" ht="15" hidden="false" customHeight="false" outlineLevel="0" collapsed="false">
      <c r="B1014" s="16" t="n">
        <v>19</v>
      </c>
      <c r="C1014" s="17" t="n">
        <f aca="false">DATA_INICIO_SAFRA+($B1014-1)*DIAS_POR_SEMANA</f>
        <v>46391</v>
      </c>
      <c r="D1014" s="17" t="n">
        <f aca="false">$C1014+DIAS_POR_SEMANA-1</f>
        <v>46397</v>
      </c>
      <c r="E1014" s="15" t="s">
        <v>274</v>
      </c>
      <c r="F1014" s="8" t="str">
        <f aca="false">IFERROR(INDEX(CADASTRO_PIVOS!$C$6:$C$41,MATCH($E1014,CADASTRO_PIVOS!$B$6:$B$41,0)),"?")</f>
        <v>RM05</v>
      </c>
      <c r="G1014" s="8" t="str">
        <f aca="false">IFERROR(INDEX(CADASTRO_PIVOS!$D$6:$D$41,MATCH($E1014,CADASTRO_PIVOS!$B$6:$B$41,0)),"?")</f>
        <v>TR05</v>
      </c>
      <c r="H1014" s="20" t="n">
        <f aca="false">IFERROR(INDEX(CADASTRO_PIVOS!$E$6:$E$41,MATCH($E1014,CADASTRO_PIVOS!$B$6:$B$41,0)),0)</f>
        <v>99.96</v>
      </c>
      <c r="I1014" s="16" t="n">
        <f aca="false">IFERROR(SUMIFS(ROTACAO_RDM!$B$6:$B$71,ROTACAO_RDM!$D$6:$D$71,$E1014,ROTACAO_RDM!$I$6:$I$71,"&lt;="&amp;$C1014+INT(DIAS_POR_SEMANA/2),ROTACAO_RDM!$J$6:$J$71,"&gt;="&amp;$C1014+INT(DIAS_POR_SEMANA/2)),0)</f>
        <v>63</v>
      </c>
      <c r="J1014" s="16" t="n">
        <f aca="false">IFERROR(MATCH($I1014,ROTACAO_RDM!$B$6:$B$71,0),0)</f>
        <v>63</v>
      </c>
      <c r="K1014" s="8" t="str">
        <f aca="false">IF($J1014=0,"SEM CULTURA",INDEX(ROTACAO_RDM!$F$6:$F$71,$J1014))</f>
        <v>ALGODAO</v>
      </c>
      <c r="L1014" s="8" t="str">
        <f aca="false">IF($J1014=0,"",INDEX(ROTACAO_RDM!$G$6:$G$71,$J1014))</f>
        <v>IMA 3764 B2RF</v>
      </c>
      <c r="M1014" s="17" t="n">
        <f aca="false">IF($J1014=0,"",INDEX(ROTACAO_RDM!$I$6:$I$71,$J1014))</f>
        <v>46357</v>
      </c>
      <c r="N1014" s="16" t="n">
        <f aca="false">IF($J1014=0,0,MAX(0,$C1014+INT(DIAS_POR_SEMANA/2)-INDEX(ROTACAO_RDM!$I$6:$I$71,$J1014)))</f>
        <v>37</v>
      </c>
      <c r="O1014" s="19" t="n">
        <f aca="false">IF($J1014=0,0,MIN(1,$N1014/MAX(1,INDEX(ROTACAO_RDM!$K$6:$K$71,$J1014))))</f>
        <v>0.176190476190476</v>
      </c>
      <c r="P1014" s="16" t="n">
        <f aca="false">IF($J1014=0,0,IFERROR(MATCH(INDEX(ROTACAO_RDM!$N$6:$N$71,$J1014),PARAMETROS_CULTURAS!$B$6:$B$28,0),0))</f>
        <v>6</v>
      </c>
      <c r="Q1014" s="8" t="str">
        <f aca="false">IF($P1014=0,"-",IF($O1014&lt;=INDEX(PARAMETROS_CULTURAS!$F$6:$F$28,$P1014),"INICIAL",IF($O1014&lt;=INDEX(PARAMETROS_CULTURAS!$F$6:$F$28,$P1014)+INDEX(PARAMETROS_CULTURAS!$G$6:$G$28,$P1014),"DESENVOLVIMENTO",IF($O1014&lt;=INDEX(PARAMETROS_CULTURAS!$F$6:$F$28,$P1014)+INDEX(PARAMETROS_CULTURAS!$G$6:$G$28,$P1014)+INDEX(PARAMETROS_CULTURAS!$H$6:$H$28,$P1014),"MEDIA","FINAL"))))</f>
        <v>DESENVOLVIMENTO</v>
      </c>
      <c r="R1014" s="24" t="n">
        <f aca="false">IF($P1014=0,0,IF($O1014&lt;=INDEX(PARAMETROS_CULTURAS!$F$6:$F$28,$P1014),INDEX(PARAMETROS_CULTURAS!$K$6:$K$28,$P1014),IF($O1014&lt;=INDEX(PARAMETROS_CULTURAS!$F$6:$F$28,$P1014)+INDEX(PARAMETROS_CULTURAS!$G$6:$G$28,$P1014),INDEX(PARAMETROS_CULTURAS!$K$6:$K$28,$P1014)+(INDEX(PARAMETROS_CULTURAS!$L$6:$L$28,$P1014)-INDEX(PARAMETROS_CULTURAS!$K$6:$K$28,$P1014))*($O1014-INDEX(PARAMETROS_CULTURAS!$F$6:$F$28,$P1014))/MAX(INDEX(PARAMETROS_CULTURAS!$G$6:$G$28,$P1014),0.0001),IF($O1014&lt;=INDEX(PARAMETROS_CULTURAS!$F$6:$F$28,$P1014)+INDEX(PARAMETROS_CULTURAS!$G$6:$G$28,$P1014)+INDEX(PARAMETROS_CULTURAS!$H$6:$H$28,$P1014),INDEX(PARAMETROS_CULTURAS!$L$6:$L$28,$P1014),INDEX(PARAMETROS_CULTURAS!$L$6:$L$28,$P1014)+(INDEX(PARAMETROS_CULTURAS!$M$6:$M$28,$P1014)-INDEX(PARAMETROS_CULTURAS!$L$6:$L$28,$P1014))*($O1014-INDEX(PARAMETROS_CULTURAS!$F$6:$F$28,$P1014)-INDEX(PARAMETROS_CULTURAS!$G$6:$G$28,$P1014)-INDEX(PARAMETROS_CULTURAS!$H$6:$H$28,$P1014))/MAX(INDEX(PARAMETROS_CULTURAS!$I$6:$I$28,$P1014),0.0001)))))</f>
        <v>0.470634920634921</v>
      </c>
      <c r="S1014" s="18" t="n">
        <f aca="false">IFERROR(INDEX(SEMANAS!$H$6:$H$71,MATCH($B1014,SEMANAS!$B$6:$B$71,0)),0)</f>
        <v>33.6</v>
      </c>
      <c r="T1014" s="18" t="n">
        <f aca="false">$R1014*$S1014</f>
        <v>15.8133333333333</v>
      </c>
      <c r="U1014" s="18" t="n">
        <f aca="false">IFERROR(INDEX(SEMANAS!$I$6:$I$71,MATCH($B1014,SEMANAS!$B$6:$B$71,0)),0)</f>
        <v>45.15</v>
      </c>
      <c r="V1014" s="18" t="n">
        <f aca="false">IFERROR(INDEX(SEMANAS!$J$6:$J$71,MATCH($B1014,SEMANAS!$B$6:$B$71,0)),0)</f>
        <v>36.12</v>
      </c>
      <c r="W1014" s="18" t="n">
        <f aca="false">MAX(0,$T1014-$V1014)</f>
        <v>0</v>
      </c>
      <c r="X1014" s="19" t="n">
        <f aca="false">IFERROR(INDEX(CADASTRO_PIVOS!$K$6:$K$41,MATCH($E1014,CADASTRO_PIVOS!$B$6:$B$41,0)),EFICIENCIA_PADRAO)</f>
        <v>0.85</v>
      </c>
      <c r="Y1014" s="18" t="n">
        <f aca="false">IF($X1014&lt;=0,0,$W1014/$X1014)</f>
        <v>0</v>
      </c>
      <c r="Z1014" s="16" t="n">
        <f aca="false">$Y1014*$H1014*MM_PARA_M3_HA</f>
        <v>0</v>
      </c>
      <c r="AA1014" s="18" t="n">
        <f aca="false">IFERROR(INDEX(CADASTRO_PIVOS!$I$6:$I$41,MATCH($E1014,CADASTRO_PIVOS!$B$6:$B$41,0)),0)</f>
        <v>714</v>
      </c>
      <c r="AB1014" s="18" t="n">
        <f aca="false">IF($Z1014&lt;=0,0,$Z1014/$AA1014)</f>
        <v>0</v>
      </c>
      <c r="AC1014" s="16" t="n">
        <f aca="false">IFERROR(INDEX(SEMANAS!$K$6:$K$71,MATCH($B1014,SEMANAS!$B$6:$B$71,0)),0)</f>
        <v>147</v>
      </c>
      <c r="AD1014" s="19" t="n">
        <f aca="false">IF($AC1014&lt;=0,0,$AB1014/$AC1014)</f>
        <v>0</v>
      </c>
      <c r="AE1014" s="8" t="str">
        <f aca="false">IF($K1014="SEM CULTURA","SEM CULTURA",IF($AA1014&lt;=0,"DADO PENDENTE",IF($AD1014&gt;LIMITE_CRITICO,"INVIAVEL",IF($AD1014&gt;LIMITE_ATENCAO,"CRITICO",IF($AD1014&gt;LIMITE_CONFORTAVEL,"ATENCAO","OK")))))</f>
        <v>OK</v>
      </c>
      <c r="AF1014" s="8" t="str">
        <f aca="false">$B1014&amp;"|"&amp;TEXT($AD1014,"0.000000")</f>
        <v>19|0.000000</v>
      </c>
      <c r="AG1014" s="18" t="n">
        <f aca="false">IF($K1014="SEM CULTURA",0,$T1014*$H1014)</f>
        <v>1580.7008</v>
      </c>
      <c r="AH1014" s="18" t="n">
        <f aca="false">IF($K1014="SEM CULTURA",0,$V1014*$H1014)</f>
        <v>3610.5552</v>
      </c>
      <c r="AI1014" s="18" t="n">
        <f aca="false">IF($K1014="SEM CULTURA",0,$W1014*$H1014)</f>
        <v>0</v>
      </c>
      <c r="AJ1014" s="18" t="n">
        <f aca="false">IF($K1014="SEM CULTURA",0,$S1014*$H1014)</f>
        <v>3358.656</v>
      </c>
      <c r="AK1014" s="8" t="str">
        <f aca="false">$E1014&amp;"|"&amp;TEXT($AD1014,"0.000000")</f>
        <v>PV 132|0.000000</v>
      </c>
    </row>
    <row r="1015" customFormat="false" ht="15" hidden="false" customHeight="false" outlineLevel="0" collapsed="false">
      <c r="B1015" s="16" t="n">
        <v>20</v>
      </c>
      <c r="C1015" s="17" t="n">
        <f aca="false">DATA_INICIO_SAFRA+($B1015-1)*DIAS_POR_SEMANA</f>
        <v>46398</v>
      </c>
      <c r="D1015" s="17" t="n">
        <f aca="false">$C1015+DIAS_POR_SEMANA-1</f>
        <v>46404</v>
      </c>
      <c r="E1015" s="15" t="s">
        <v>274</v>
      </c>
      <c r="F1015" s="8" t="str">
        <f aca="false">IFERROR(INDEX(CADASTRO_PIVOS!$C$6:$C$41,MATCH($E1015,CADASTRO_PIVOS!$B$6:$B$41,0)),"?")</f>
        <v>RM05</v>
      </c>
      <c r="G1015" s="8" t="str">
        <f aca="false">IFERROR(INDEX(CADASTRO_PIVOS!$D$6:$D$41,MATCH($E1015,CADASTRO_PIVOS!$B$6:$B$41,0)),"?")</f>
        <v>TR05</v>
      </c>
      <c r="H1015" s="20" t="n">
        <f aca="false">IFERROR(INDEX(CADASTRO_PIVOS!$E$6:$E$41,MATCH($E1015,CADASTRO_PIVOS!$B$6:$B$41,0)),0)</f>
        <v>99.96</v>
      </c>
      <c r="I1015" s="16" t="n">
        <f aca="false">IFERROR(SUMIFS(ROTACAO_RDM!$B$6:$B$71,ROTACAO_RDM!$D$6:$D$71,$E1015,ROTACAO_RDM!$I$6:$I$71,"&lt;="&amp;$C1015+INT(DIAS_POR_SEMANA/2),ROTACAO_RDM!$J$6:$J$71,"&gt;="&amp;$C1015+INT(DIAS_POR_SEMANA/2)),0)</f>
        <v>63</v>
      </c>
      <c r="J1015" s="16" t="n">
        <f aca="false">IFERROR(MATCH($I1015,ROTACAO_RDM!$B$6:$B$71,0),0)</f>
        <v>63</v>
      </c>
      <c r="K1015" s="8" t="str">
        <f aca="false">IF($J1015=0,"SEM CULTURA",INDEX(ROTACAO_RDM!$F$6:$F$71,$J1015))</f>
        <v>ALGODAO</v>
      </c>
      <c r="L1015" s="8" t="str">
        <f aca="false">IF($J1015=0,"",INDEX(ROTACAO_RDM!$G$6:$G$71,$J1015))</f>
        <v>IMA 3764 B2RF</v>
      </c>
      <c r="M1015" s="17" t="n">
        <f aca="false">IF($J1015=0,"",INDEX(ROTACAO_RDM!$I$6:$I$71,$J1015))</f>
        <v>46357</v>
      </c>
      <c r="N1015" s="16" t="n">
        <f aca="false">IF($J1015=0,0,MAX(0,$C1015+INT(DIAS_POR_SEMANA/2)-INDEX(ROTACAO_RDM!$I$6:$I$71,$J1015)))</f>
        <v>44</v>
      </c>
      <c r="O1015" s="19" t="n">
        <f aca="false">IF($J1015=0,0,MIN(1,$N1015/MAX(1,INDEX(ROTACAO_RDM!$K$6:$K$71,$J1015))))</f>
        <v>0.20952380952381</v>
      </c>
      <c r="P1015" s="16" t="n">
        <f aca="false">IF($J1015=0,0,IFERROR(MATCH(INDEX(ROTACAO_RDM!$N$6:$N$71,$J1015),PARAMETROS_CULTURAS!$B$6:$B$28,0),0))</f>
        <v>6</v>
      </c>
      <c r="Q1015" s="8" t="str">
        <f aca="false">IF($P1015=0,"-",IF($O1015&lt;=INDEX(PARAMETROS_CULTURAS!$F$6:$F$28,$P1015),"INICIAL",IF($O1015&lt;=INDEX(PARAMETROS_CULTURAS!$F$6:$F$28,$P1015)+INDEX(PARAMETROS_CULTURAS!$G$6:$G$28,$P1015),"DESENVOLVIMENTO",IF($O1015&lt;=INDEX(PARAMETROS_CULTURAS!$F$6:$F$28,$P1015)+INDEX(PARAMETROS_CULTURAS!$G$6:$G$28,$P1015)+INDEX(PARAMETROS_CULTURAS!$H$6:$H$28,$P1015),"MEDIA","FINAL"))))</f>
        <v>DESENVOLVIMENTO</v>
      </c>
      <c r="R1015" s="24" t="n">
        <f aca="false">IF($P1015=0,0,IF($O1015&lt;=INDEX(PARAMETROS_CULTURAS!$F$6:$F$28,$P1015),INDEX(PARAMETROS_CULTURAS!$K$6:$K$28,$P1015),IF($O1015&lt;=INDEX(PARAMETROS_CULTURAS!$F$6:$F$28,$P1015)+INDEX(PARAMETROS_CULTURAS!$G$6:$G$28,$P1015),INDEX(PARAMETROS_CULTURAS!$K$6:$K$28,$P1015)+(INDEX(PARAMETROS_CULTURAS!$L$6:$L$28,$P1015)-INDEX(PARAMETROS_CULTURAS!$K$6:$K$28,$P1015))*($O1015-INDEX(PARAMETROS_CULTURAS!$F$6:$F$28,$P1015))/MAX(INDEX(PARAMETROS_CULTURAS!$G$6:$G$28,$P1015),0.0001),IF($O1015&lt;=INDEX(PARAMETROS_CULTURAS!$F$6:$F$28,$P1015)+INDEX(PARAMETROS_CULTURAS!$G$6:$G$28,$P1015)+INDEX(PARAMETROS_CULTURAS!$H$6:$H$28,$P1015),INDEX(PARAMETROS_CULTURAS!$L$6:$L$28,$P1015),INDEX(PARAMETROS_CULTURAS!$L$6:$L$28,$P1015)+(INDEX(PARAMETROS_CULTURAS!$M$6:$M$28,$P1015)-INDEX(PARAMETROS_CULTURAS!$L$6:$L$28,$P1015))*($O1015-INDEX(PARAMETROS_CULTURAS!$F$6:$F$28,$P1015)-INDEX(PARAMETROS_CULTURAS!$G$6:$G$28,$P1015)-INDEX(PARAMETROS_CULTURAS!$H$6:$H$28,$P1015))/MAX(INDEX(PARAMETROS_CULTURAS!$I$6:$I$28,$P1015),0.0001)))))</f>
        <v>0.581746031746032</v>
      </c>
      <c r="S1015" s="18" t="n">
        <f aca="false">IFERROR(INDEX(SEMANAS!$H$6:$H$71,MATCH($B1015,SEMANAS!$B$6:$B$71,0)),0)</f>
        <v>33.6</v>
      </c>
      <c r="T1015" s="18" t="n">
        <f aca="false">$R1015*$S1015</f>
        <v>19.5466666666667</v>
      </c>
      <c r="U1015" s="18" t="n">
        <f aca="false">IFERROR(INDEX(SEMANAS!$I$6:$I$71,MATCH($B1015,SEMANAS!$B$6:$B$71,0)),0)</f>
        <v>45.15</v>
      </c>
      <c r="V1015" s="18" t="n">
        <f aca="false">IFERROR(INDEX(SEMANAS!$J$6:$J$71,MATCH($B1015,SEMANAS!$B$6:$B$71,0)),0)</f>
        <v>36.12</v>
      </c>
      <c r="W1015" s="18" t="n">
        <f aca="false">MAX(0,$T1015-$V1015)</f>
        <v>0</v>
      </c>
      <c r="X1015" s="19" t="n">
        <f aca="false">IFERROR(INDEX(CADASTRO_PIVOS!$K$6:$K$41,MATCH($E1015,CADASTRO_PIVOS!$B$6:$B$41,0)),EFICIENCIA_PADRAO)</f>
        <v>0.85</v>
      </c>
      <c r="Y1015" s="18" t="n">
        <f aca="false">IF($X1015&lt;=0,0,$W1015/$X1015)</f>
        <v>0</v>
      </c>
      <c r="Z1015" s="16" t="n">
        <f aca="false">$Y1015*$H1015*MM_PARA_M3_HA</f>
        <v>0</v>
      </c>
      <c r="AA1015" s="18" t="n">
        <f aca="false">IFERROR(INDEX(CADASTRO_PIVOS!$I$6:$I$41,MATCH($E1015,CADASTRO_PIVOS!$B$6:$B$41,0)),0)</f>
        <v>714</v>
      </c>
      <c r="AB1015" s="18" t="n">
        <f aca="false">IF($Z1015&lt;=0,0,$Z1015/$AA1015)</f>
        <v>0</v>
      </c>
      <c r="AC1015" s="16" t="n">
        <f aca="false">IFERROR(INDEX(SEMANAS!$K$6:$K$71,MATCH($B1015,SEMANAS!$B$6:$B$71,0)),0)</f>
        <v>147</v>
      </c>
      <c r="AD1015" s="19" t="n">
        <f aca="false">IF($AC1015&lt;=0,0,$AB1015/$AC1015)</f>
        <v>0</v>
      </c>
      <c r="AE1015" s="8" t="str">
        <f aca="false">IF($K1015="SEM CULTURA","SEM CULTURA",IF($AA1015&lt;=0,"DADO PENDENTE",IF($AD1015&gt;LIMITE_CRITICO,"INVIAVEL",IF($AD1015&gt;LIMITE_ATENCAO,"CRITICO",IF($AD1015&gt;LIMITE_CONFORTAVEL,"ATENCAO","OK")))))</f>
        <v>OK</v>
      </c>
      <c r="AF1015" s="8" t="str">
        <f aca="false">$B1015&amp;"|"&amp;TEXT($AD1015,"0.000000")</f>
        <v>20|0.000000</v>
      </c>
      <c r="AG1015" s="18" t="n">
        <f aca="false">IF($K1015="SEM CULTURA",0,$T1015*$H1015)</f>
        <v>1953.8848</v>
      </c>
      <c r="AH1015" s="18" t="n">
        <f aca="false">IF($K1015="SEM CULTURA",0,$V1015*$H1015)</f>
        <v>3610.5552</v>
      </c>
      <c r="AI1015" s="18" t="n">
        <f aca="false">IF($K1015="SEM CULTURA",0,$W1015*$H1015)</f>
        <v>0</v>
      </c>
      <c r="AJ1015" s="18" t="n">
        <f aca="false">IF($K1015="SEM CULTURA",0,$S1015*$H1015)</f>
        <v>3358.656</v>
      </c>
      <c r="AK1015" s="8" t="str">
        <f aca="false">$E1015&amp;"|"&amp;TEXT($AD1015,"0.000000")</f>
        <v>PV 132|0.000000</v>
      </c>
    </row>
    <row r="1016" customFormat="false" ht="15" hidden="false" customHeight="false" outlineLevel="0" collapsed="false">
      <c r="B1016" s="16" t="n">
        <v>21</v>
      </c>
      <c r="C1016" s="17" t="n">
        <f aca="false">DATA_INICIO_SAFRA+($B1016-1)*DIAS_POR_SEMANA</f>
        <v>46405</v>
      </c>
      <c r="D1016" s="17" t="n">
        <f aca="false">$C1016+DIAS_POR_SEMANA-1</f>
        <v>46411</v>
      </c>
      <c r="E1016" s="15" t="s">
        <v>274</v>
      </c>
      <c r="F1016" s="8" t="str">
        <f aca="false">IFERROR(INDEX(CADASTRO_PIVOS!$C$6:$C$41,MATCH($E1016,CADASTRO_PIVOS!$B$6:$B$41,0)),"?")</f>
        <v>RM05</v>
      </c>
      <c r="G1016" s="8" t="str">
        <f aca="false">IFERROR(INDEX(CADASTRO_PIVOS!$D$6:$D$41,MATCH($E1016,CADASTRO_PIVOS!$B$6:$B$41,0)),"?")</f>
        <v>TR05</v>
      </c>
      <c r="H1016" s="20" t="n">
        <f aca="false">IFERROR(INDEX(CADASTRO_PIVOS!$E$6:$E$41,MATCH($E1016,CADASTRO_PIVOS!$B$6:$B$41,0)),0)</f>
        <v>99.96</v>
      </c>
      <c r="I1016" s="16" t="n">
        <f aca="false">IFERROR(SUMIFS(ROTACAO_RDM!$B$6:$B$71,ROTACAO_RDM!$D$6:$D$71,$E1016,ROTACAO_RDM!$I$6:$I$71,"&lt;="&amp;$C1016+INT(DIAS_POR_SEMANA/2),ROTACAO_RDM!$J$6:$J$71,"&gt;="&amp;$C1016+INT(DIAS_POR_SEMANA/2)),0)</f>
        <v>63</v>
      </c>
      <c r="J1016" s="16" t="n">
        <f aca="false">IFERROR(MATCH($I1016,ROTACAO_RDM!$B$6:$B$71,0),0)</f>
        <v>63</v>
      </c>
      <c r="K1016" s="8" t="str">
        <f aca="false">IF($J1016=0,"SEM CULTURA",INDEX(ROTACAO_RDM!$F$6:$F$71,$J1016))</f>
        <v>ALGODAO</v>
      </c>
      <c r="L1016" s="8" t="str">
        <f aca="false">IF($J1016=0,"",INDEX(ROTACAO_RDM!$G$6:$G$71,$J1016))</f>
        <v>IMA 3764 B2RF</v>
      </c>
      <c r="M1016" s="17" t="n">
        <f aca="false">IF($J1016=0,"",INDEX(ROTACAO_RDM!$I$6:$I$71,$J1016))</f>
        <v>46357</v>
      </c>
      <c r="N1016" s="16" t="n">
        <f aca="false">IF($J1016=0,0,MAX(0,$C1016+INT(DIAS_POR_SEMANA/2)-INDEX(ROTACAO_RDM!$I$6:$I$71,$J1016)))</f>
        <v>51</v>
      </c>
      <c r="O1016" s="19" t="n">
        <f aca="false">IF($J1016=0,0,MIN(1,$N1016/MAX(1,INDEX(ROTACAO_RDM!$K$6:$K$71,$J1016))))</f>
        <v>0.242857142857143</v>
      </c>
      <c r="P1016" s="16" t="n">
        <f aca="false">IF($J1016=0,0,IFERROR(MATCH(INDEX(ROTACAO_RDM!$N$6:$N$71,$J1016),PARAMETROS_CULTURAS!$B$6:$B$28,0),0))</f>
        <v>6</v>
      </c>
      <c r="Q1016" s="8" t="str">
        <f aca="false">IF($P1016=0,"-",IF($O1016&lt;=INDEX(PARAMETROS_CULTURAS!$F$6:$F$28,$P1016),"INICIAL",IF($O1016&lt;=INDEX(PARAMETROS_CULTURAS!$F$6:$F$28,$P1016)+INDEX(PARAMETROS_CULTURAS!$G$6:$G$28,$P1016),"DESENVOLVIMENTO",IF($O1016&lt;=INDEX(PARAMETROS_CULTURAS!$F$6:$F$28,$P1016)+INDEX(PARAMETROS_CULTURAS!$G$6:$G$28,$P1016)+INDEX(PARAMETROS_CULTURAS!$H$6:$H$28,$P1016),"MEDIA","FINAL"))))</f>
        <v>DESENVOLVIMENTO</v>
      </c>
      <c r="R1016" s="24" t="n">
        <f aca="false">IF($P1016=0,0,IF($O1016&lt;=INDEX(PARAMETROS_CULTURAS!$F$6:$F$28,$P1016),INDEX(PARAMETROS_CULTURAS!$K$6:$K$28,$P1016),IF($O1016&lt;=INDEX(PARAMETROS_CULTURAS!$F$6:$F$28,$P1016)+INDEX(PARAMETROS_CULTURAS!$G$6:$G$28,$P1016),INDEX(PARAMETROS_CULTURAS!$K$6:$K$28,$P1016)+(INDEX(PARAMETROS_CULTURAS!$L$6:$L$28,$P1016)-INDEX(PARAMETROS_CULTURAS!$K$6:$K$28,$P1016))*($O1016-INDEX(PARAMETROS_CULTURAS!$F$6:$F$28,$P1016))/MAX(INDEX(PARAMETROS_CULTURAS!$G$6:$G$28,$P1016),0.0001),IF($O1016&lt;=INDEX(PARAMETROS_CULTURAS!$F$6:$F$28,$P1016)+INDEX(PARAMETROS_CULTURAS!$G$6:$G$28,$P1016)+INDEX(PARAMETROS_CULTURAS!$H$6:$H$28,$P1016),INDEX(PARAMETROS_CULTURAS!$L$6:$L$28,$P1016),INDEX(PARAMETROS_CULTURAS!$L$6:$L$28,$P1016)+(INDEX(PARAMETROS_CULTURAS!$M$6:$M$28,$P1016)-INDEX(PARAMETROS_CULTURAS!$L$6:$L$28,$P1016))*($O1016-INDEX(PARAMETROS_CULTURAS!$F$6:$F$28,$P1016)-INDEX(PARAMETROS_CULTURAS!$G$6:$G$28,$P1016)-INDEX(PARAMETROS_CULTURAS!$H$6:$H$28,$P1016))/MAX(INDEX(PARAMETROS_CULTURAS!$I$6:$I$28,$P1016),0.0001)))))</f>
        <v>0.692857142857143</v>
      </c>
      <c r="S1016" s="18" t="n">
        <f aca="false">IFERROR(INDEX(SEMANAS!$H$6:$H$71,MATCH($B1016,SEMANAS!$B$6:$B$71,0)),0)</f>
        <v>33.6</v>
      </c>
      <c r="T1016" s="18" t="n">
        <f aca="false">$R1016*$S1016</f>
        <v>23.28</v>
      </c>
      <c r="U1016" s="18" t="n">
        <f aca="false">IFERROR(INDEX(SEMANAS!$I$6:$I$71,MATCH($B1016,SEMANAS!$B$6:$B$71,0)),0)</f>
        <v>45.15</v>
      </c>
      <c r="V1016" s="18" t="n">
        <f aca="false">IFERROR(INDEX(SEMANAS!$J$6:$J$71,MATCH($B1016,SEMANAS!$B$6:$B$71,0)),0)</f>
        <v>36.12</v>
      </c>
      <c r="W1016" s="18" t="n">
        <f aca="false">MAX(0,$T1016-$V1016)</f>
        <v>0</v>
      </c>
      <c r="X1016" s="19" t="n">
        <f aca="false">IFERROR(INDEX(CADASTRO_PIVOS!$K$6:$K$41,MATCH($E1016,CADASTRO_PIVOS!$B$6:$B$41,0)),EFICIENCIA_PADRAO)</f>
        <v>0.85</v>
      </c>
      <c r="Y1016" s="18" t="n">
        <f aca="false">IF($X1016&lt;=0,0,$W1016/$X1016)</f>
        <v>0</v>
      </c>
      <c r="Z1016" s="16" t="n">
        <f aca="false">$Y1016*$H1016*MM_PARA_M3_HA</f>
        <v>0</v>
      </c>
      <c r="AA1016" s="18" t="n">
        <f aca="false">IFERROR(INDEX(CADASTRO_PIVOS!$I$6:$I$41,MATCH($E1016,CADASTRO_PIVOS!$B$6:$B$41,0)),0)</f>
        <v>714</v>
      </c>
      <c r="AB1016" s="18" t="n">
        <f aca="false">IF($Z1016&lt;=0,0,$Z1016/$AA1016)</f>
        <v>0</v>
      </c>
      <c r="AC1016" s="16" t="n">
        <f aca="false">IFERROR(INDEX(SEMANAS!$K$6:$K$71,MATCH($B1016,SEMANAS!$B$6:$B$71,0)),0)</f>
        <v>147</v>
      </c>
      <c r="AD1016" s="19" t="n">
        <f aca="false">IF($AC1016&lt;=0,0,$AB1016/$AC1016)</f>
        <v>0</v>
      </c>
      <c r="AE1016" s="8" t="str">
        <f aca="false">IF($K1016="SEM CULTURA","SEM CULTURA",IF($AA1016&lt;=0,"DADO PENDENTE",IF($AD1016&gt;LIMITE_CRITICO,"INVIAVEL",IF($AD1016&gt;LIMITE_ATENCAO,"CRITICO",IF($AD1016&gt;LIMITE_CONFORTAVEL,"ATENCAO","OK")))))</f>
        <v>OK</v>
      </c>
      <c r="AF1016" s="8" t="str">
        <f aca="false">$B1016&amp;"|"&amp;TEXT($AD1016,"0.000000")</f>
        <v>21|0.000000</v>
      </c>
      <c r="AG1016" s="18" t="n">
        <f aca="false">IF($K1016="SEM CULTURA",0,$T1016*$H1016)</f>
        <v>2327.0688</v>
      </c>
      <c r="AH1016" s="18" t="n">
        <f aca="false">IF($K1016="SEM CULTURA",0,$V1016*$H1016)</f>
        <v>3610.5552</v>
      </c>
      <c r="AI1016" s="18" t="n">
        <f aca="false">IF($K1016="SEM CULTURA",0,$W1016*$H1016)</f>
        <v>0</v>
      </c>
      <c r="AJ1016" s="18" t="n">
        <f aca="false">IF($K1016="SEM CULTURA",0,$S1016*$H1016)</f>
        <v>3358.656</v>
      </c>
      <c r="AK1016" s="8" t="str">
        <f aca="false">$E1016&amp;"|"&amp;TEXT($AD1016,"0.000000")</f>
        <v>PV 132|0.000000</v>
      </c>
    </row>
    <row r="1017" customFormat="false" ht="15" hidden="false" customHeight="false" outlineLevel="0" collapsed="false">
      <c r="B1017" s="16" t="n">
        <v>22</v>
      </c>
      <c r="C1017" s="17" t="n">
        <f aca="false">DATA_INICIO_SAFRA+($B1017-1)*DIAS_POR_SEMANA</f>
        <v>46412</v>
      </c>
      <c r="D1017" s="17" t="n">
        <f aca="false">$C1017+DIAS_POR_SEMANA-1</f>
        <v>46418</v>
      </c>
      <c r="E1017" s="15" t="s">
        <v>274</v>
      </c>
      <c r="F1017" s="8" t="str">
        <f aca="false">IFERROR(INDEX(CADASTRO_PIVOS!$C$6:$C$41,MATCH($E1017,CADASTRO_PIVOS!$B$6:$B$41,0)),"?")</f>
        <v>RM05</v>
      </c>
      <c r="G1017" s="8" t="str">
        <f aca="false">IFERROR(INDEX(CADASTRO_PIVOS!$D$6:$D$41,MATCH($E1017,CADASTRO_PIVOS!$B$6:$B$41,0)),"?")</f>
        <v>TR05</v>
      </c>
      <c r="H1017" s="20" t="n">
        <f aca="false">IFERROR(INDEX(CADASTRO_PIVOS!$E$6:$E$41,MATCH($E1017,CADASTRO_PIVOS!$B$6:$B$41,0)),0)</f>
        <v>99.96</v>
      </c>
      <c r="I1017" s="16" t="n">
        <f aca="false">IFERROR(SUMIFS(ROTACAO_RDM!$B$6:$B$71,ROTACAO_RDM!$D$6:$D$71,$E1017,ROTACAO_RDM!$I$6:$I$71,"&lt;="&amp;$C1017+INT(DIAS_POR_SEMANA/2),ROTACAO_RDM!$J$6:$J$71,"&gt;="&amp;$C1017+INT(DIAS_POR_SEMANA/2)),0)</f>
        <v>63</v>
      </c>
      <c r="J1017" s="16" t="n">
        <f aca="false">IFERROR(MATCH($I1017,ROTACAO_RDM!$B$6:$B$71,0),0)</f>
        <v>63</v>
      </c>
      <c r="K1017" s="8" t="str">
        <f aca="false">IF($J1017=0,"SEM CULTURA",INDEX(ROTACAO_RDM!$F$6:$F$71,$J1017))</f>
        <v>ALGODAO</v>
      </c>
      <c r="L1017" s="8" t="str">
        <f aca="false">IF($J1017=0,"",INDEX(ROTACAO_RDM!$G$6:$G$71,$J1017))</f>
        <v>IMA 3764 B2RF</v>
      </c>
      <c r="M1017" s="17" t="n">
        <f aca="false">IF($J1017=0,"",INDEX(ROTACAO_RDM!$I$6:$I$71,$J1017))</f>
        <v>46357</v>
      </c>
      <c r="N1017" s="16" t="n">
        <f aca="false">IF($J1017=0,0,MAX(0,$C1017+INT(DIAS_POR_SEMANA/2)-INDEX(ROTACAO_RDM!$I$6:$I$71,$J1017)))</f>
        <v>58</v>
      </c>
      <c r="O1017" s="19" t="n">
        <f aca="false">IF($J1017=0,0,MIN(1,$N1017/MAX(1,INDEX(ROTACAO_RDM!$K$6:$K$71,$J1017))))</f>
        <v>0.276190476190476</v>
      </c>
      <c r="P1017" s="16" t="n">
        <f aca="false">IF($J1017=0,0,IFERROR(MATCH(INDEX(ROTACAO_RDM!$N$6:$N$71,$J1017),PARAMETROS_CULTURAS!$B$6:$B$28,0),0))</f>
        <v>6</v>
      </c>
      <c r="Q1017" s="8" t="str">
        <f aca="false">IF($P1017=0,"-",IF($O1017&lt;=INDEX(PARAMETROS_CULTURAS!$F$6:$F$28,$P1017),"INICIAL",IF($O1017&lt;=INDEX(PARAMETROS_CULTURAS!$F$6:$F$28,$P1017)+INDEX(PARAMETROS_CULTURAS!$G$6:$G$28,$P1017),"DESENVOLVIMENTO",IF($O1017&lt;=INDEX(PARAMETROS_CULTURAS!$F$6:$F$28,$P1017)+INDEX(PARAMETROS_CULTURAS!$G$6:$G$28,$P1017)+INDEX(PARAMETROS_CULTURAS!$H$6:$H$28,$P1017),"MEDIA","FINAL"))))</f>
        <v>DESENVOLVIMENTO</v>
      </c>
      <c r="R1017" s="24" t="n">
        <f aca="false">IF($P1017=0,0,IF($O1017&lt;=INDEX(PARAMETROS_CULTURAS!$F$6:$F$28,$P1017),INDEX(PARAMETROS_CULTURAS!$K$6:$K$28,$P1017),IF($O1017&lt;=INDEX(PARAMETROS_CULTURAS!$F$6:$F$28,$P1017)+INDEX(PARAMETROS_CULTURAS!$G$6:$G$28,$P1017),INDEX(PARAMETROS_CULTURAS!$K$6:$K$28,$P1017)+(INDEX(PARAMETROS_CULTURAS!$L$6:$L$28,$P1017)-INDEX(PARAMETROS_CULTURAS!$K$6:$K$28,$P1017))*($O1017-INDEX(PARAMETROS_CULTURAS!$F$6:$F$28,$P1017))/MAX(INDEX(PARAMETROS_CULTURAS!$G$6:$G$28,$P1017),0.0001),IF($O1017&lt;=INDEX(PARAMETROS_CULTURAS!$F$6:$F$28,$P1017)+INDEX(PARAMETROS_CULTURAS!$G$6:$G$28,$P1017)+INDEX(PARAMETROS_CULTURAS!$H$6:$H$28,$P1017),INDEX(PARAMETROS_CULTURAS!$L$6:$L$28,$P1017),INDEX(PARAMETROS_CULTURAS!$L$6:$L$28,$P1017)+(INDEX(PARAMETROS_CULTURAS!$M$6:$M$28,$P1017)-INDEX(PARAMETROS_CULTURAS!$L$6:$L$28,$P1017))*($O1017-INDEX(PARAMETROS_CULTURAS!$F$6:$F$28,$P1017)-INDEX(PARAMETROS_CULTURAS!$G$6:$G$28,$P1017)-INDEX(PARAMETROS_CULTURAS!$H$6:$H$28,$P1017))/MAX(INDEX(PARAMETROS_CULTURAS!$I$6:$I$28,$P1017),0.0001)))))</f>
        <v>0.803968253968254</v>
      </c>
      <c r="S1017" s="18" t="n">
        <f aca="false">IFERROR(INDEX(SEMANAS!$H$6:$H$71,MATCH($B1017,SEMANAS!$B$6:$B$71,0)),0)</f>
        <v>33.6</v>
      </c>
      <c r="T1017" s="18" t="n">
        <f aca="false">$R1017*$S1017</f>
        <v>27.0133333333333</v>
      </c>
      <c r="U1017" s="18" t="n">
        <f aca="false">IFERROR(INDEX(SEMANAS!$I$6:$I$71,MATCH($B1017,SEMANAS!$B$6:$B$71,0)),0)</f>
        <v>45.15</v>
      </c>
      <c r="V1017" s="18" t="n">
        <f aca="false">IFERROR(INDEX(SEMANAS!$J$6:$J$71,MATCH($B1017,SEMANAS!$B$6:$B$71,0)),0)</f>
        <v>36.12</v>
      </c>
      <c r="W1017" s="18" t="n">
        <f aca="false">MAX(0,$T1017-$V1017)</f>
        <v>0</v>
      </c>
      <c r="X1017" s="19" t="n">
        <f aca="false">IFERROR(INDEX(CADASTRO_PIVOS!$K$6:$K$41,MATCH($E1017,CADASTRO_PIVOS!$B$6:$B$41,0)),EFICIENCIA_PADRAO)</f>
        <v>0.85</v>
      </c>
      <c r="Y1017" s="18" t="n">
        <f aca="false">IF($X1017&lt;=0,0,$W1017/$X1017)</f>
        <v>0</v>
      </c>
      <c r="Z1017" s="16" t="n">
        <f aca="false">$Y1017*$H1017*MM_PARA_M3_HA</f>
        <v>0</v>
      </c>
      <c r="AA1017" s="18" t="n">
        <f aca="false">IFERROR(INDEX(CADASTRO_PIVOS!$I$6:$I$41,MATCH($E1017,CADASTRO_PIVOS!$B$6:$B$41,0)),0)</f>
        <v>714</v>
      </c>
      <c r="AB1017" s="18" t="n">
        <f aca="false">IF($Z1017&lt;=0,0,$Z1017/$AA1017)</f>
        <v>0</v>
      </c>
      <c r="AC1017" s="16" t="n">
        <f aca="false">IFERROR(INDEX(SEMANAS!$K$6:$K$71,MATCH($B1017,SEMANAS!$B$6:$B$71,0)),0)</f>
        <v>147</v>
      </c>
      <c r="AD1017" s="19" t="n">
        <f aca="false">IF($AC1017&lt;=0,0,$AB1017/$AC1017)</f>
        <v>0</v>
      </c>
      <c r="AE1017" s="8" t="str">
        <f aca="false">IF($K1017="SEM CULTURA","SEM CULTURA",IF($AA1017&lt;=0,"DADO PENDENTE",IF($AD1017&gt;LIMITE_CRITICO,"INVIAVEL",IF($AD1017&gt;LIMITE_ATENCAO,"CRITICO",IF($AD1017&gt;LIMITE_CONFORTAVEL,"ATENCAO","OK")))))</f>
        <v>OK</v>
      </c>
      <c r="AF1017" s="8" t="str">
        <f aca="false">$B1017&amp;"|"&amp;TEXT($AD1017,"0.000000")</f>
        <v>22|0.000000</v>
      </c>
      <c r="AG1017" s="18" t="n">
        <f aca="false">IF($K1017="SEM CULTURA",0,$T1017*$H1017)</f>
        <v>2700.2528</v>
      </c>
      <c r="AH1017" s="18" t="n">
        <f aca="false">IF($K1017="SEM CULTURA",0,$V1017*$H1017)</f>
        <v>3610.5552</v>
      </c>
      <c r="AI1017" s="18" t="n">
        <f aca="false">IF($K1017="SEM CULTURA",0,$W1017*$H1017)</f>
        <v>0</v>
      </c>
      <c r="AJ1017" s="18" t="n">
        <f aca="false">IF($K1017="SEM CULTURA",0,$S1017*$H1017)</f>
        <v>3358.656</v>
      </c>
      <c r="AK1017" s="8" t="str">
        <f aca="false">$E1017&amp;"|"&amp;TEXT($AD1017,"0.000000")</f>
        <v>PV 132|0.000000</v>
      </c>
    </row>
    <row r="1018" customFormat="false" ht="15" hidden="false" customHeight="false" outlineLevel="0" collapsed="false">
      <c r="B1018" s="16" t="n">
        <v>23</v>
      </c>
      <c r="C1018" s="17" t="n">
        <f aca="false">DATA_INICIO_SAFRA+($B1018-1)*DIAS_POR_SEMANA</f>
        <v>46419</v>
      </c>
      <c r="D1018" s="17" t="n">
        <f aca="false">$C1018+DIAS_POR_SEMANA-1</f>
        <v>46425</v>
      </c>
      <c r="E1018" s="15" t="s">
        <v>274</v>
      </c>
      <c r="F1018" s="8" t="str">
        <f aca="false">IFERROR(INDEX(CADASTRO_PIVOS!$C$6:$C$41,MATCH($E1018,CADASTRO_PIVOS!$B$6:$B$41,0)),"?")</f>
        <v>RM05</v>
      </c>
      <c r="G1018" s="8" t="str">
        <f aca="false">IFERROR(INDEX(CADASTRO_PIVOS!$D$6:$D$41,MATCH($E1018,CADASTRO_PIVOS!$B$6:$B$41,0)),"?")</f>
        <v>TR05</v>
      </c>
      <c r="H1018" s="20" t="n">
        <f aca="false">IFERROR(INDEX(CADASTRO_PIVOS!$E$6:$E$41,MATCH($E1018,CADASTRO_PIVOS!$B$6:$B$41,0)),0)</f>
        <v>99.96</v>
      </c>
      <c r="I1018" s="16" t="n">
        <f aca="false">IFERROR(SUMIFS(ROTACAO_RDM!$B$6:$B$71,ROTACAO_RDM!$D$6:$D$71,$E1018,ROTACAO_RDM!$I$6:$I$71,"&lt;="&amp;$C1018+INT(DIAS_POR_SEMANA/2),ROTACAO_RDM!$J$6:$J$71,"&gt;="&amp;$C1018+INT(DIAS_POR_SEMANA/2)),0)</f>
        <v>63</v>
      </c>
      <c r="J1018" s="16" t="n">
        <f aca="false">IFERROR(MATCH($I1018,ROTACAO_RDM!$B$6:$B$71,0),0)</f>
        <v>63</v>
      </c>
      <c r="K1018" s="8" t="str">
        <f aca="false">IF($J1018=0,"SEM CULTURA",INDEX(ROTACAO_RDM!$F$6:$F$71,$J1018))</f>
        <v>ALGODAO</v>
      </c>
      <c r="L1018" s="8" t="str">
        <f aca="false">IF($J1018=0,"",INDEX(ROTACAO_RDM!$G$6:$G$71,$J1018))</f>
        <v>IMA 3764 B2RF</v>
      </c>
      <c r="M1018" s="17" t="n">
        <f aca="false">IF($J1018=0,"",INDEX(ROTACAO_RDM!$I$6:$I$71,$J1018))</f>
        <v>46357</v>
      </c>
      <c r="N1018" s="16" t="n">
        <f aca="false">IF($J1018=0,0,MAX(0,$C1018+INT(DIAS_POR_SEMANA/2)-INDEX(ROTACAO_RDM!$I$6:$I$71,$J1018)))</f>
        <v>65</v>
      </c>
      <c r="O1018" s="19" t="n">
        <f aca="false">IF($J1018=0,0,MIN(1,$N1018/MAX(1,INDEX(ROTACAO_RDM!$K$6:$K$71,$J1018))))</f>
        <v>0.30952380952381</v>
      </c>
      <c r="P1018" s="16" t="n">
        <f aca="false">IF($J1018=0,0,IFERROR(MATCH(INDEX(ROTACAO_RDM!$N$6:$N$71,$J1018),PARAMETROS_CULTURAS!$B$6:$B$28,0),0))</f>
        <v>6</v>
      </c>
      <c r="Q1018" s="8" t="str">
        <f aca="false">IF($P1018=0,"-",IF($O1018&lt;=INDEX(PARAMETROS_CULTURAS!$F$6:$F$28,$P1018),"INICIAL",IF($O1018&lt;=INDEX(PARAMETROS_CULTURAS!$F$6:$F$28,$P1018)+INDEX(PARAMETROS_CULTURAS!$G$6:$G$28,$P1018),"DESENVOLVIMENTO",IF($O1018&lt;=INDEX(PARAMETROS_CULTURAS!$F$6:$F$28,$P1018)+INDEX(PARAMETROS_CULTURAS!$G$6:$G$28,$P1018)+INDEX(PARAMETROS_CULTURAS!$H$6:$H$28,$P1018),"MEDIA","FINAL"))))</f>
        <v>DESENVOLVIMENTO</v>
      </c>
      <c r="R1018" s="24" t="n">
        <f aca="false">IF($P1018=0,0,IF($O1018&lt;=INDEX(PARAMETROS_CULTURAS!$F$6:$F$28,$P1018),INDEX(PARAMETROS_CULTURAS!$K$6:$K$28,$P1018),IF($O1018&lt;=INDEX(PARAMETROS_CULTURAS!$F$6:$F$28,$P1018)+INDEX(PARAMETROS_CULTURAS!$G$6:$G$28,$P1018),INDEX(PARAMETROS_CULTURAS!$K$6:$K$28,$P1018)+(INDEX(PARAMETROS_CULTURAS!$L$6:$L$28,$P1018)-INDEX(PARAMETROS_CULTURAS!$K$6:$K$28,$P1018))*($O1018-INDEX(PARAMETROS_CULTURAS!$F$6:$F$28,$P1018))/MAX(INDEX(PARAMETROS_CULTURAS!$G$6:$G$28,$P1018),0.0001),IF($O1018&lt;=INDEX(PARAMETROS_CULTURAS!$F$6:$F$28,$P1018)+INDEX(PARAMETROS_CULTURAS!$G$6:$G$28,$P1018)+INDEX(PARAMETROS_CULTURAS!$H$6:$H$28,$P1018),INDEX(PARAMETROS_CULTURAS!$L$6:$L$28,$P1018),INDEX(PARAMETROS_CULTURAS!$L$6:$L$28,$P1018)+(INDEX(PARAMETROS_CULTURAS!$M$6:$M$28,$P1018)-INDEX(PARAMETROS_CULTURAS!$L$6:$L$28,$P1018))*($O1018-INDEX(PARAMETROS_CULTURAS!$F$6:$F$28,$P1018)-INDEX(PARAMETROS_CULTURAS!$G$6:$G$28,$P1018)-INDEX(PARAMETROS_CULTURAS!$H$6:$H$28,$P1018))/MAX(INDEX(PARAMETROS_CULTURAS!$I$6:$I$28,$P1018),0.0001)))))</f>
        <v>0.915079365079365</v>
      </c>
      <c r="S1018" s="18" t="n">
        <f aca="false">IFERROR(INDEX(SEMANAS!$H$6:$H$71,MATCH($B1018,SEMANAS!$B$6:$B$71,0)),0)</f>
        <v>32.9</v>
      </c>
      <c r="T1018" s="18" t="n">
        <f aca="false">$R1018*$S1018</f>
        <v>30.1061111111111</v>
      </c>
      <c r="U1018" s="18" t="n">
        <f aca="false">IFERROR(INDEX(SEMANAS!$I$6:$I$71,MATCH($B1018,SEMANAS!$B$6:$B$71,0)),0)</f>
        <v>39.97</v>
      </c>
      <c r="V1018" s="18" t="n">
        <f aca="false">IFERROR(INDEX(SEMANAS!$J$6:$J$71,MATCH($B1018,SEMANAS!$B$6:$B$71,0)),0)</f>
        <v>31.976</v>
      </c>
      <c r="W1018" s="18" t="n">
        <f aca="false">MAX(0,$T1018-$V1018)</f>
        <v>0</v>
      </c>
      <c r="X1018" s="19" t="n">
        <f aca="false">IFERROR(INDEX(CADASTRO_PIVOS!$K$6:$K$41,MATCH($E1018,CADASTRO_PIVOS!$B$6:$B$41,0)),EFICIENCIA_PADRAO)</f>
        <v>0.85</v>
      </c>
      <c r="Y1018" s="18" t="n">
        <f aca="false">IF($X1018&lt;=0,0,$W1018/$X1018)</f>
        <v>0</v>
      </c>
      <c r="Z1018" s="16" t="n">
        <f aca="false">$Y1018*$H1018*MM_PARA_M3_HA</f>
        <v>0</v>
      </c>
      <c r="AA1018" s="18" t="n">
        <f aca="false">IFERROR(INDEX(CADASTRO_PIVOS!$I$6:$I$41,MATCH($E1018,CADASTRO_PIVOS!$B$6:$B$41,0)),0)</f>
        <v>714</v>
      </c>
      <c r="AB1018" s="18" t="n">
        <f aca="false">IF($Z1018&lt;=0,0,$Z1018/$AA1018)</f>
        <v>0</v>
      </c>
      <c r="AC1018" s="16" t="n">
        <f aca="false">IFERROR(INDEX(SEMANAS!$K$6:$K$71,MATCH($B1018,SEMANAS!$B$6:$B$71,0)),0)</f>
        <v>147</v>
      </c>
      <c r="AD1018" s="19" t="n">
        <f aca="false">IF($AC1018&lt;=0,0,$AB1018/$AC1018)</f>
        <v>0</v>
      </c>
      <c r="AE1018" s="8" t="str">
        <f aca="false">IF($K1018="SEM CULTURA","SEM CULTURA",IF($AA1018&lt;=0,"DADO PENDENTE",IF($AD1018&gt;LIMITE_CRITICO,"INVIAVEL",IF($AD1018&gt;LIMITE_ATENCAO,"CRITICO",IF($AD1018&gt;LIMITE_CONFORTAVEL,"ATENCAO","OK")))))</f>
        <v>OK</v>
      </c>
      <c r="AF1018" s="8" t="str">
        <f aca="false">$B1018&amp;"|"&amp;TEXT($AD1018,"0.000000")</f>
        <v>23|0.000000</v>
      </c>
      <c r="AG1018" s="18" t="n">
        <f aca="false">IF($K1018="SEM CULTURA",0,$T1018*$H1018)</f>
        <v>3009.40686666667</v>
      </c>
      <c r="AH1018" s="18" t="n">
        <f aca="false">IF($K1018="SEM CULTURA",0,$V1018*$H1018)</f>
        <v>3196.32096</v>
      </c>
      <c r="AI1018" s="18" t="n">
        <f aca="false">IF($K1018="SEM CULTURA",0,$W1018*$H1018)</f>
        <v>0</v>
      </c>
      <c r="AJ1018" s="18" t="n">
        <f aca="false">IF($K1018="SEM CULTURA",0,$S1018*$H1018)</f>
        <v>3288.684</v>
      </c>
      <c r="AK1018" s="8" t="str">
        <f aca="false">$E1018&amp;"|"&amp;TEXT($AD1018,"0.000000")</f>
        <v>PV 132|0.000000</v>
      </c>
    </row>
    <row r="1019" customFormat="false" ht="15" hidden="false" customHeight="false" outlineLevel="0" collapsed="false">
      <c r="B1019" s="16" t="n">
        <v>24</v>
      </c>
      <c r="C1019" s="17" t="n">
        <f aca="false">DATA_INICIO_SAFRA+($B1019-1)*DIAS_POR_SEMANA</f>
        <v>46426</v>
      </c>
      <c r="D1019" s="17" t="n">
        <f aca="false">$C1019+DIAS_POR_SEMANA-1</f>
        <v>46432</v>
      </c>
      <c r="E1019" s="15" t="s">
        <v>274</v>
      </c>
      <c r="F1019" s="8" t="str">
        <f aca="false">IFERROR(INDEX(CADASTRO_PIVOS!$C$6:$C$41,MATCH($E1019,CADASTRO_PIVOS!$B$6:$B$41,0)),"?")</f>
        <v>RM05</v>
      </c>
      <c r="G1019" s="8" t="str">
        <f aca="false">IFERROR(INDEX(CADASTRO_PIVOS!$D$6:$D$41,MATCH($E1019,CADASTRO_PIVOS!$B$6:$B$41,0)),"?")</f>
        <v>TR05</v>
      </c>
      <c r="H1019" s="20" t="n">
        <f aca="false">IFERROR(INDEX(CADASTRO_PIVOS!$E$6:$E$41,MATCH($E1019,CADASTRO_PIVOS!$B$6:$B$41,0)),0)</f>
        <v>99.96</v>
      </c>
      <c r="I1019" s="16" t="n">
        <f aca="false">IFERROR(SUMIFS(ROTACAO_RDM!$B$6:$B$71,ROTACAO_RDM!$D$6:$D$71,$E1019,ROTACAO_RDM!$I$6:$I$71,"&lt;="&amp;$C1019+INT(DIAS_POR_SEMANA/2),ROTACAO_RDM!$J$6:$J$71,"&gt;="&amp;$C1019+INT(DIAS_POR_SEMANA/2)),0)</f>
        <v>63</v>
      </c>
      <c r="J1019" s="16" t="n">
        <f aca="false">IFERROR(MATCH($I1019,ROTACAO_RDM!$B$6:$B$71,0),0)</f>
        <v>63</v>
      </c>
      <c r="K1019" s="8" t="str">
        <f aca="false">IF($J1019=0,"SEM CULTURA",INDEX(ROTACAO_RDM!$F$6:$F$71,$J1019))</f>
        <v>ALGODAO</v>
      </c>
      <c r="L1019" s="8" t="str">
        <f aca="false">IF($J1019=0,"",INDEX(ROTACAO_RDM!$G$6:$G$71,$J1019))</f>
        <v>IMA 3764 B2RF</v>
      </c>
      <c r="M1019" s="17" t="n">
        <f aca="false">IF($J1019=0,"",INDEX(ROTACAO_RDM!$I$6:$I$71,$J1019))</f>
        <v>46357</v>
      </c>
      <c r="N1019" s="16" t="n">
        <f aca="false">IF($J1019=0,0,MAX(0,$C1019+INT(DIAS_POR_SEMANA/2)-INDEX(ROTACAO_RDM!$I$6:$I$71,$J1019)))</f>
        <v>72</v>
      </c>
      <c r="O1019" s="19" t="n">
        <f aca="false">IF($J1019=0,0,MIN(1,$N1019/MAX(1,INDEX(ROTACAO_RDM!$K$6:$K$71,$J1019))))</f>
        <v>0.342857142857143</v>
      </c>
      <c r="P1019" s="16" t="n">
        <f aca="false">IF($J1019=0,0,IFERROR(MATCH(INDEX(ROTACAO_RDM!$N$6:$N$71,$J1019),PARAMETROS_CULTURAS!$B$6:$B$28,0),0))</f>
        <v>6</v>
      </c>
      <c r="Q1019" s="8" t="str">
        <f aca="false">IF($P1019=0,"-",IF($O1019&lt;=INDEX(PARAMETROS_CULTURAS!$F$6:$F$28,$P1019),"INICIAL",IF($O1019&lt;=INDEX(PARAMETROS_CULTURAS!$F$6:$F$28,$P1019)+INDEX(PARAMETROS_CULTURAS!$G$6:$G$28,$P1019),"DESENVOLVIMENTO",IF($O1019&lt;=INDEX(PARAMETROS_CULTURAS!$F$6:$F$28,$P1019)+INDEX(PARAMETROS_CULTURAS!$G$6:$G$28,$P1019)+INDEX(PARAMETROS_CULTURAS!$H$6:$H$28,$P1019),"MEDIA","FINAL"))))</f>
        <v>DESENVOLVIMENTO</v>
      </c>
      <c r="R1019" s="24" t="n">
        <f aca="false">IF($P1019=0,0,IF($O1019&lt;=INDEX(PARAMETROS_CULTURAS!$F$6:$F$28,$P1019),INDEX(PARAMETROS_CULTURAS!$K$6:$K$28,$P1019),IF($O1019&lt;=INDEX(PARAMETROS_CULTURAS!$F$6:$F$28,$P1019)+INDEX(PARAMETROS_CULTURAS!$G$6:$G$28,$P1019),INDEX(PARAMETROS_CULTURAS!$K$6:$K$28,$P1019)+(INDEX(PARAMETROS_CULTURAS!$L$6:$L$28,$P1019)-INDEX(PARAMETROS_CULTURAS!$K$6:$K$28,$P1019))*($O1019-INDEX(PARAMETROS_CULTURAS!$F$6:$F$28,$P1019))/MAX(INDEX(PARAMETROS_CULTURAS!$G$6:$G$28,$P1019),0.0001),IF($O1019&lt;=INDEX(PARAMETROS_CULTURAS!$F$6:$F$28,$P1019)+INDEX(PARAMETROS_CULTURAS!$G$6:$G$28,$P1019)+INDEX(PARAMETROS_CULTURAS!$H$6:$H$28,$P1019),INDEX(PARAMETROS_CULTURAS!$L$6:$L$28,$P1019),INDEX(PARAMETROS_CULTURAS!$L$6:$L$28,$P1019)+(INDEX(PARAMETROS_CULTURAS!$M$6:$M$28,$P1019)-INDEX(PARAMETROS_CULTURAS!$L$6:$L$28,$P1019))*($O1019-INDEX(PARAMETROS_CULTURAS!$F$6:$F$28,$P1019)-INDEX(PARAMETROS_CULTURAS!$G$6:$G$28,$P1019)-INDEX(PARAMETROS_CULTURAS!$H$6:$H$28,$P1019))/MAX(INDEX(PARAMETROS_CULTURAS!$I$6:$I$28,$P1019),0.0001)))))</f>
        <v>1.02619047619048</v>
      </c>
      <c r="S1019" s="18" t="n">
        <f aca="false">IFERROR(INDEX(SEMANAS!$H$6:$H$71,MATCH($B1019,SEMANAS!$B$6:$B$71,0)),0)</f>
        <v>32.9</v>
      </c>
      <c r="T1019" s="18" t="n">
        <f aca="false">$R1019*$S1019</f>
        <v>33.7616666666667</v>
      </c>
      <c r="U1019" s="18" t="n">
        <f aca="false">IFERROR(INDEX(SEMANAS!$I$6:$I$71,MATCH($B1019,SEMANAS!$B$6:$B$71,0)),0)</f>
        <v>39.97</v>
      </c>
      <c r="V1019" s="18" t="n">
        <f aca="false">IFERROR(INDEX(SEMANAS!$J$6:$J$71,MATCH($B1019,SEMANAS!$B$6:$B$71,0)),0)</f>
        <v>31.976</v>
      </c>
      <c r="W1019" s="18" t="n">
        <f aca="false">MAX(0,$T1019-$V1019)</f>
        <v>1.78566666666666</v>
      </c>
      <c r="X1019" s="19" t="n">
        <f aca="false">IFERROR(INDEX(CADASTRO_PIVOS!$K$6:$K$41,MATCH($E1019,CADASTRO_PIVOS!$B$6:$B$41,0)),EFICIENCIA_PADRAO)</f>
        <v>0.85</v>
      </c>
      <c r="Y1019" s="18" t="n">
        <f aca="false">IF($X1019&lt;=0,0,$W1019/$X1019)</f>
        <v>2.10078431372548</v>
      </c>
      <c r="Z1019" s="16" t="n">
        <f aca="false">$Y1019*$H1019*MM_PARA_M3_HA</f>
        <v>2099.94399999999</v>
      </c>
      <c r="AA1019" s="18" t="n">
        <f aca="false">IFERROR(INDEX(CADASTRO_PIVOS!$I$6:$I$41,MATCH($E1019,CADASTRO_PIVOS!$B$6:$B$41,0)),0)</f>
        <v>714</v>
      </c>
      <c r="AB1019" s="18" t="n">
        <f aca="false">IF($Z1019&lt;=0,0,$Z1019/$AA1019)</f>
        <v>2.94109803921568</v>
      </c>
      <c r="AC1019" s="16" t="n">
        <f aca="false">IFERROR(INDEX(SEMANAS!$K$6:$K$71,MATCH($B1019,SEMANAS!$B$6:$B$71,0)),0)</f>
        <v>147</v>
      </c>
      <c r="AD1019" s="19" t="n">
        <f aca="false">IF($AC1019&lt;=0,0,$AB1019/$AC1019)</f>
        <v>0.0200074696545284</v>
      </c>
      <c r="AE1019" s="8" t="str">
        <f aca="false">IF($K1019="SEM CULTURA","SEM CULTURA",IF($AA1019&lt;=0,"DADO PENDENTE",IF($AD1019&gt;LIMITE_CRITICO,"INVIAVEL",IF($AD1019&gt;LIMITE_ATENCAO,"CRITICO",IF($AD1019&gt;LIMITE_CONFORTAVEL,"ATENCAO","OK")))))</f>
        <v>OK</v>
      </c>
      <c r="AF1019" s="8" t="str">
        <f aca="false">$B1019&amp;"|"&amp;TEXT($AD1019,"0.000000")</f>
        <v>24|0.020007</v>
      </c>
      <c r="AG1019" s="18" t="n">
        <f aca="false">IF($K1019="SEM CULTURA",0,$T1019*$H1019)</f>
        <v>3374.8162</v>
      </c>
      <c r="AH1019" s="18" t="n">
        <f aca="false">IF($K1019="SEM CULTURA",0,$V1019*$H1019)</f>
        <v>3196.32096</v>
      </c>
      <c r="AI1019" s="18" t="n">
        <f aca="false">IF($K1019="SEM CULTURA",0,$W1019*$H1019)</f>
        <v>178.495239999999</v>
      </c>
      <c r="AJ1019" s="18" t="n">
        <f aca="false">IF($K1019="SEM CULTURA",0,$S1019*$H1019)</f>
        <v>3288.684</v>
      </c>
      <c r="AK1019" s="8" t="str">
        <f aca="false">$E1019&amp;"|"&amp;TEXT($AD1019,"0.000000")</f>
        <v>PV 132|0.020007</v>
      </c>
    </row>
    <row r="1020" customFormat="false" ht="15" hidden="false" customHeight="false" outlineLevel="0" collapsed="false">
      <c r="B1020" s="16" t="n">
        <v>25</v>
      </c>
      <c r="C1020" s="17" t="n">
        <f aca="false">DATA_INICIO_SAFRA+($B1020-1)*DIAS_POR_SEMANA</f>
        <v>46433</v>
      </c>
      <c r="D1020" s="17" t="n">
        <f aca="false">$C1020+DIAS_POR_SEMANA-1</f>
        <v>46439</v>
      </c>
      <c r="E1020" s="15" t="s">
        <v>274</v>
      </c>
      <c r="F1020" s="8" t="str">
        <f aca="false">IFERROR(INDEX(CADASTRO_PIVOS!$C$6:$C$41,MATCH($E1020,CADASTRO_PIVOS!$B$6:$B$41,0)),"?")</f>
        <v>RM05</v>
      </c>
      <c r="G1020" s="8" t="str">
        <f aca="false">IFERROR(INDEX(CADASTRO_PIVOS!$D$6:$D$41,MATCH($E1020,CADASTRO_PIVOS!$B$6:$B$41,0)),"?")</f>
        <v>TR05</v>
      </c>
      <c r="H1020" s="20" t="n">
        <f aca="false">IFERROR(INDEX(CADASTRO_PIVOS!$E$6:$E$41,MATCH($E1020,CADASTRO_PIVOS!$B$6:$B$41,0)),0)</f>
        <v>99.96</v>
      </c>
      <c r="I1020" s="16" t="n">
        <f aca="false">IFERROR(SUMIFS(ROTACAO_RDM!$B$6:$B$71,ROTACAO_RDM!$D$6:$D$71,$E1020,ROTACAO_RDM!$I$6:$I$71,"&lt;="&amp;$C1020+INT(DIAS_POR_SEMANA/2),ROTACAO_RDM!$J$6:$J$71,"&gt;="&amp;$C1020+INT(DIAS_POR_SEMANA/2)),0)</f>
        <v>63</v>
      </c>
      <c r="J1020" s="16" t="n">
        <f aca="false">IFERROR(MATCH($I1020,ROTACAO_RDM!$B$6:$B$71,0),0)</f>
        <v>63</v>
      </c>
      <c r="K1020" s="8" t="str">
        <f aca="false">IF($J1020=0,"SEM CULTURA",INDEX(ROTACAO_RDM!$F$6:$F$71,$J1020))</f>
        <v>ALGODAO</v>
      </c>
      <c r="L1020" s="8" t="str">
        <f aca="false">IF($J1020=0,"",INDEX(ROTACAO_RDM!$G$6:$G$71,$J1020))</f>
        <v>IMA 3764 B2RF</v>
      </c>
      <c r="M1020" s="17" t="n">
        <f aca="false">IF($J1020=0,"",INDEX(ROTACAO_RDM!$I$6:$I$71,$J1020))</f>
        <v>46357</v>
      </c>
      <c r="N1020" s="16" t="n">
        <f aca="false">IF($J1020=0,0,MAX(0,$C1020+INT(DIAS_POR_SEMANA/2)-INDEX(ROTACAO_RDM!$I$6:$I$71,$J1020)))</f>
        <v>79</v>
      </c>
      <c r="O1020" s="19" t="n">
        <f aca="false">IF($J1020=0,0,MIN(1,$N1020/MAX(1,INDEX(ROTACAO_RDM!$K$6:$K$71,$J1020))))</f>
        <v>0.376190476190476</v>
      </c>
      <c r="P1020" s="16" t="n">
        <f aca="false">IF($J1020=0,0,IFERROR(MATCH(INDEX(ROTACAO_RDM!$N$6:$N$71,$J1020),PARAMETROS_CULTURAS!$B$6:$B$28,0),0))</f>
        <v>6</v>
      </c>
      <c r="Q1020" s="8" t="str">
        <f aca="false">IF($P1020=0,"-",IF($O1020&lt;=INDEX(PARAMETROS_CULTURAS!$F$6:$F$28,$P1020),"INICIAL",IF($O1020&lt;=INDEX(PARAMETROS_CULTURAS!$F$6:$F$28,$P1020)+INDEX(PARAMETROS_CULTURAS!$G$6:$G$28,$P1020),"DESENVOLVIMENTO",IF($O1020&lt;=INDEX(PARAMETROS_CULTURAS!$F$6:$F$28,$P1020)+INDEX(PARAMETROS_CULTURAS!$G$6:$G$28,$P1020)+INDEX(PARAMETROS_CULTURAS!$H$6:$H$28,$P1020),"MEDIA","FINAL"))))</f>
        <v>DESENVOLVIMENTO</v>
      </c>
      <c r="R1020" s="24" t="n">
        <f aca="false">IF($P1020=0,0,IF($O1020&lt;=INDEX(PARAMETROS_CULTURAS!$F$6:$F$28,$P1020),INDEX(PARAMETROS_CULTURAS!$K$6:$K$28,$P1020),IF($O1020&lt;=INDEX(PARAMETROS_CULTURAS!$F$6:$F$28,$P1020)+INDEX(PARAMETROS_CULTURAS!$G$6:$G$28,$P1020),INDEX(PARAMETROS_CULTURAS!$K$6:$K$28,$P1020)+(INDEX(PARAMETROS_CULTURAS!$L$6:$L$28,$P1020)-INDEX(PARAMETROS_CULTURAS!$K$6:$K$28,$P1020))*($O1020-INDEX(PARAMETROS_CULTURAS!$F$6:$F$28,$P1020))/MAX(INDEX(PARAMETROS_CULTURAS!$G$6:$G$28,$P1020),0.0001),IF($O1020&lt;=INDEX(PARAMETROS_CULTURAS!$F$6:$F$28,$P1020)+INDEX(PARAMETROS_CULTURAS!$G$6:$G$28,$P1020)+INDEX(PARAMETROS_CULTURAS!$H$6:$H$28,$P1020),INDEX(PARAMETROS_CULTURAS!$L$6:$L$28,$P1020),INDEX(PARAMETROS_CULTURAS!$L$6:$L$28,$P1020)+(INDEX(PARAMETROS_CULTURAS!$M$6:$M$28,$P1020)-INDEX(PARAMETROS_CULTURAS!$L$6:$L$28,$P1020))*($O1020-INDEX(PARAMETROS_CULTURAS!$F$6:$F$28,$P1020)-INDEX(PARAMETROS_CULTURAS!$G$6:$G$28,$P1020)-INDEX(PARAMETROS_CULTURAS!$H$6:$H$28,$P1020))/MAX(INDEX(PARAMETROS_CULTURAS!$I$6:$I$28,$P1020),0.0001)))))</f>
        <v>1.13730158730159</v>
      </c>
      <c r="S1020" s="18" t="n">
        <f aca="false">IFERROR(INDEX(SEMANAS!$H$6:$H$71,MATCH($B1020,SEMANAS!$B$6:$B$71,0)),0)</f>
        <v>32.9</v>
      </c>
      <c r="T1020" s="18" t="n">
        <f aca="false">$R1020*$S1020</f>
        <v>37.4172222222222</v>
      </c>
      <c r="U1020" s="18" t="n">
        <f aca="false">IFERROR(INDEX(SEMANAS!$I$6:$I$71,MATCH($B1020,SEMANAS!$B$6:$B$71,0)),0)</f>
        <v>39.97</v>
      </c>
      <c r="V1020" s="18" t="n">
        <f aca="false">IFERROR(INDEX(SEMANAS!$J$6:$J$71,MATCH($B1020,SEMANAS!$B$6:$B$71,0)),0)</f>
        <v>31.976</v>
      </c>
      <c r="W1020" s="18" t="n">
        <f aca="false">MAX(0,$T1020-$V1020)</f>
        <v>5.44122222222222</v>
      </c>
      <c r="X1020" s="19" t="n">
        <f aca="false">IFERROR(INDEX(CADASTRO_PIVOS!$K$6:$K$41,MATCH($E1020,CADASTRO_PIVOS!$B$6:$B$41,0)),EFICIENCIA_PADRAO)</f>
        <v>0.85</v>
      </c>
      <c r="Y1020" s="18" t="n">
        <f aca="false">IF($X1020&lt;=0,0,$W1020/$X1020)</f>
        <v>6.40143790849673</v>
      </c>
      <c r="Z1020" s="16" t="n">
        <f aca="false">$Y1020*$H1020*MM_PARA_M3_HA</f>
        <v>6398.87733333333</v>
      </c>
      <c r="AA1020" s="18" t="n">
        <f aca="false">IFERROR(INDEX(CADASTRO_PIVOS!$I$6:$I$41,MATCH($E1020,CADASTRO_PIVOS!$B$6:$B$41,0)),0)</f>
        <v>714</v>
      </c>
      <c r="AB1020" s="18" t="n">
        <f aca="false">IF($Z1020&lt;=0,0,$Z1020/$AA1020)</f>
        <v>8.96201307189542</v>
      </c>
      <c r="AC1020" s="16" t="n">
        <f aca="false">IFERROR(INDEX(SEMANAS!$K$6:$K$71,MATCH($B1020,SEMANAS!$B$6:$B$71,0)),0)</f>
        <v>147</v>
      </c>
      <c r="AD1020" s="19" t="n">
        <f aca="false">IF($AC1020&lt;=0,0,$AB1020/$AC1020)</f>
        <v>0.0609660753190165</v>
      </c>
      <c r="AE1020" s="8" t="str">
        <f aca="false">IF($K1020="SEM CULTURA","SEM CULTURA",IF($AA1020&lt;=0,"DADO PENDENTE",IF($AD1020&gt;LIMITE_CRITICO,"INVIAVEL",IF($AD1020&gt;LIMITE_ATENCAO,"CRITICO",IF($AD1020&gt;LIMITE_CONFORTAVEL,"ATENCAO","OK")))))</f>
        <v>OK</v>
      </c>
      <c r="AF1020" s="8" t="str">
        <f aca="false">$B1020&amp;"|"&amp;TEXT($AD1020,"0.000000")</f>
        <v>25|0.060966</v>
      </c>
      <c r="AG1020" s="18" t="n">
        <f aca="false">IF($K1020="SEM CULTURA",0,$T1020*$H1020)</f>
        <v>3740.22553333333</v>
      </c>
      <c r="AH1020" s="18" t="n">
        <f aca="false">IF($K1020="SEM CULTURA",0,$V1020*$H1020)</f>
        <v>3196.32096</v>
      </c>
      <c r="AI1020" s="18" t="n">
        <f aca="false">IF($K1020="SEM CULTURA",0,$W1020*$H1020)</f>
        <v>543.904573333333</v>
      </c>
      <c r="AJ1020" s="18" t="n">
        <f aca="false">IF($K1020="SEM CULTURA",0,$S1020*$H1020)</f>
        <v>3288.684</v>
      </c>
      <c r="AK1020" s="8" t="str">
        <f aca="false">$E1020&amp;"|"&amp;TEXT($AD1020,"0.000000")</f>
        <v>PV 132|0.060966</v>
      </c>
    </row>
    <row r="1021" customFormat="false" ht="15" hidden="false" customHeight="false" outlineLevel="0" collapsed="false">
      <c r="B1021" s="16" t="n">
        <v>26</v>
      </c>
      <c r="C1021" s="17" t="n">
        <f aca="false">DATA_INICIO_SAFRA+($B1021-1)*DIAS_POR_SEMANA</f>
        <v>46440</v>
      </c>
      <c r="D1021" s="17" t="n">
        <f aca="false">$C1021+DIAS_POR_SEMANA-1</f>
        <v>46446</v>
      </c>
      <c r="E1021" s="15" t="s">
        <v>274</v>
      </c>
      <c r="F1021" s="8" t="str">
        <f aca="false">IFERROR(INDEX(CADASTRO_PIVOS!$C$6:$C$41,MATCH($E1021,CADASTRO_PIVOS!$B$6:$B$41,0)),"?")</f>
        <v>RM05</v>
      </c>
      <c r="G1021" s="8" t="str">
        <f aca="false">IFERROR(INDEX(CADASTRO_PIVOS!$D$6:$D$41,MATCH($E1021,CADASTRO_PIVOS!$B$6:$B$41,0)),"?")</f>
        <v>TR05</v>
      </c>
      <c r="H1021" s="20" t="n">
        <f aca="false">IFERROR(INDEX(CADASTRO_PIVOS!$E$6:$E$41,MATCH($E1021,CADASTRO_PIVOS!$B$6:$B$41,0)),0)</f>
        <v>99.96</v>
      </c>
      <c r="I1021" s="16" t="n">
        <f aca="false">IFERROR(SUMIFS(ROTACAO_RDM!$B$6:$B$71,ROTACAO_RDM!$D$6:$D$71,$E1021,ROTACAO_RDM!$I$6:$I$71,"&lt;="&amp;$C1021+INT(DIAS_POR_SEMANA/2),ROTACAO_RDM!$J$6:$J$71,"&gt;="&amp;$C1021+INT(DIAS_POR_SEMANA/2)),0)</f>
        <v>63</v>
      </c>
      <c r="J1021" s="16" t="n">
        <f aca="false">IFERROR(MATCH($I1021,ROTACAO_RDM!$B$6:$B$71,0),0)</f>
        <v>63</v>
      </c>
      <c r="K1021" s="8" t="str">
        <f aca="false">IF($J1021=0,"SEM CULTURA",INDEX(ROTACAO_RDM!$F$6:$F$71,$J1021))</f>
        <v>ALGODAO</v>
      </c>
      <c r="L1021" s="8" t="str">
        <f aca="false">IF($J1021=0,"",INDEX(ROTACAO_RDM!$G$6:$G$71,$J1021))</f>
        <v>IMA 3764 B2RF</v>
      </c>
      <c r="M1021" s="17" t="n">
        <f aca="false">IF($J1021=0,"",INDEX(ROTACAO_RDM!$I$6:$I$71,$J1021))</f>
        <v>46357</v>
      </c>
      <c r="N1021" s="16" t="n">
        <f aca="false">IF($J1021=0,0,MAX(0,$C1021+INT(DIAS_POR_SEMANA/2)-INDEX(ROTACAO_RDM!$I$6:$I$71,$J1021)))</f>
        <v>86</v>
      </c>
      <c r="O1021" s="19" t="n">
        <f aca="false">IF($J1021=0,0,MIN(1,$N1021/MAX(1,INDEX(ROTACAO_RDM!$K$6:$K$71,$J1021))))</f>
        <v>0.40952380952381</v>
      </c>
      <c r="P1021" s="16" t="n">
        <f aca="false">IF($J1021=0,0,IFERROR(MATCH(INDEX(ROTACAO_RDM!$N$6:$N$71,$J1021),PARAMETROS_CULTURAS!$B$6:$B$28,0),0))</f>
        <v>6</v>
      </c>
      <c r="Q1021" s="8" t="str">
        <f aca="false">IF($P1021=0,"-",IF($O1021&lt;=INDEX(PARAMETROS_CULTURAS!$F$6:$F$28,$P1021),"INICIAL",IF($O1021&lt;=INDEX(PARAMETROS_CULTURAS!$F$6:$F$28,$P1021)+INDEX(PARAMETROS_CULTURAS!$G$6:$G$28,$P1021),"DESENVOLVIMENTO",IF($O1021&lt;=INDEX(PARAMETROS_CULTURAS!$F$6:$F$28,$P1021)+INDEX(PARAMETROS_CULTURAS!$G$6:$G$28,$P1021)+INDEX(PARAMETROS_CULTURAS!$H$6:$H$28,$P1021),"MEDIA","FINAL"))))</f>
        <v>MEDIA</v>
      </c>
      <c r="R1021" s="24" t="n">
        <f aca="false">IF($P1021=0,0,IF($O1021&lt;=INDEX(PARAMETROS_CULTURAS!$F$6:$F$28,$P1021),INDEX(PARAMETROS_CULTURAS!$K$6:$K$28,$P1021),IF($O1021&lt;=INDEX(PARAMETROS_CULTURAS!$F$6:$F$28,$P1021)+INDEX(PARAMETROS_CULTURAS!$G$6:$G$28,$P1021),INDEX(PARAMETROS_CULTURAS!$K$6:$K$28,$P1021)+(INDEX(PARAMETROS_CULTURAS!$L$6:$L$28,$P1021)-INDEX(PARAMETROS_CULTURAS!$K$6:$K$28,$P1021))*($O1021-INDEX(PARAMETROS_CULTURAS!$F$6:$F$28,$P1021))/MAX(INDEX(PARAMETROS_CULTURAS!$G$6:$G$28,$P1021),0.0001),IF($O1021&lt;=INDEX(PARAMETROS_CULTURAS!$F$6:$F$28,$P1021)+INDEX(PARAMETROS_CULTURAS!$G$6:$G$28,$P1021)+INDEX(PARAMETROS_CULTURAS!$H$6:$H$28,$P1021),INDEX(PARAMETROS_CULTURAS!$L$6:$L$28,$P1021),INDEX(PARAMETROS_CULTURAS!$L$6:$L$28,$P1021)+(INDEX(PARAMETROS_CULTURAS!$M$6:$M$28,$P1021)-INDEX(PARAMETROS_CULTURAS!$L$6:$L$28,$P1021))*($O1021-INDEX(PARAMETROS_CULTURAS!$F$6:$F$28,$P1021)-INDEX(PARAMETROS_CULTURAS!$G$6:$G$28,$P1021)-INDEX(PARAMETROS_CULTURAS!$H$6:$H$28,$P1021))/MAX(INDEX(PARAMETROS_CULTURAS!$I$6:$I$28,$P1021),0.0001)))))</f>
        <v>1.15</v>
      </c>
      <c r="S1021" s="18" t="n">
        <f aca="false">IFERROR(INDEX(SEMANAS!$H$6:$H$71,MATCH($B1021,SEMANAS!$B$6:$B$71,0)),0)</f>
        <v>32.9</v>
      </c>
      <c r="T1021" s="18" t="n">
        <f aca="false">$R1021*$S1021</f>
        <v>37.835</v>
      </c>
      <c r="U1021" s="18" t="n">
        <f aca="false">IFERROR(INDEX(SEMANAS!$I$6:$I$71,MATCH($B1021,SEMANAS!$B$6:$B$71,0)),0)</f>
        <v>39.97</v>
      </c>
      <c r="V1021" s="18" t="n">
        <f aca="false">IFERROR(INDEX(SEMANAS!$J$6:$J$71,MATCH($B1021,SEMANAS!$B$6:$B$71,0)),0)</f>
        <v>31.976</v>
      </c>
      <c r="W1021" s="18" t="n">
        <f aca="false">MAX(0,$T1021-$V1021)</f>
        <v>5.85899999999999</v>
      </c>
      <c r="X1021" s="19" t="n">
        <f aca="false">IFERROR(INDEX(CADASTRO_PIVOS!$K$6:$K$41,MATCH($E1021,CADASTRO_PIVOS!$B$6:$B$41,0)),EFICIENCIA_PADRAO)</f>
        <v>0.85</v>
      </c>
      <c r="Y1021" s="18" t="n">
        <f aca="false">IF($X1021&lt;=0,0,$W1021/$X1021)</f>
        <v>6.89294117647058</v>
      </c>
      <c r="Z1021" s="16" t="n">
        <f aca="false">$Y1021*$H1021*MM_PARA_M3_HA</f>
        <v>6890.18399999999</v>
      </c>
      <c r="AA1021" s="18" t="n">
        <f aca="false">IFERROR(INDEX(CADASTRO_PIVOS!$I$6:$I$41,MATCH($E1021,CADASTRO_PIVOS!$B$6:$B$41,0)),0)</f>
        <v>714</v>
      </c>
      <c r="AB1021" s="18" t="n">
        <f aca="false">IF($Z1021&lt;=0,0,$Z1021/$AA1021)</f>
        <v>9.65011764705881</v>
      </c>
      <c r="AC1021" s="16" t="n">
        <f aca="false">IFERROR(INDEX(SEMANAS!$K$6:$K$71,MATCH($B1021,SEMANAS!$B$6:$B$71,0)),0)</f>
        <v>147</v>
      </c>
      <c r="AD1021" s="19" t="n">
        <f aca="false">IF($AC1021&lt;=0,0,$AB1021/$AC1021)</f>
        <v>0.0656470588235293</v>
      </c>
      <c r="AE1021" s="8" t="str">
        <f aca="false">IF($K1021="SEM CULTURA","SEM CULTURA",IF($AA1021&lt;=0,"DADO PENDENTE",IF($AD1021&gt;LIMITE_CRITICO,"INVIAVEL",IF($AD1021&gt;LIMITE_ATENCAO,"CRITICO",IF($AD1021&gt;LIMITE_CONFORTAVEL,"ATENCAO","OK")))))</f>
        <v>OK</v>
      </c>
      <c r="AF1021" s="8" t="str">
        <f aca="false">$B1021&amp;"|"&amp;TEXT($AD1021,"0.000000")</f>
        <v>26|0.065647</v>
      </c>
      <c r="AG1021" s="18" t="n">
        <f aca="false">IF($K1021="SEM CULTURA",0,$T1021*$H1021)</f>
        <v>3781.9866</v>
      </c>
      <c r="AH1021" s="18" t="n">
        <f aca="false">IF($K1021="SEM CULTURA",0,$V1021*$H1021)</f>
        <v>3196.32096</v>
      </c>
      <c r="AI1021" s="18" t="n">
        <f aca="false">IF($K1021="SEM CULTURA",0,$W1021*$H1021)</f>
        <v>585.665639999999</v>
      </c>
      <c r="AJ1021" s="18" t="n">
        <f aca="false">IF($K1021="SEM CULTURA",0,$S1021*$H1021)</f>
        <v>3288.684</v>
      </c>
      <c r="AK1021" s="8" t="str">
        <f aca="false">$E1021&amp;"|"&amp;TEXT($AD1021,"0.000000")</f>
        <v>PV 132|0.065647</v>
      </c>
    </row>
    <row r="1022" customFormat="false" ht="15" hidden="false" customHeight="false" outlineLevel="0" collapsed="false">
      <c r="B1022" s="16" t="n">
        <v>27</v>
      </c>
      <c r="C1022" s="17" t="n">
        <f aca="false">DATA_INICIO_SAFRA+($B1022-1)*DIAS_POR_SEMANA</f>
        <v>46447</v>
      </c>
      <c r="D1022" s="17" t="n">
        <f aca="false">$C1022+DIAS_POR_SEMANA-1</f>
        <v>46453</v>
      </c>
      <c r="E1022" s="15" t="s">
        <v>274</v>
      </c>
      <c r="F1022" s="8" t="str">
        <f aca="false">IFERROR(INDEX(CADASTRO_PIVOS!$C$6:$C$41,MATCH($E1022,CADASTRO_PIVOS!$B$6:$B$41,0)),"?")</f>
        <v>RM05</v>
      </c>
      <c r="G1022" s="8" t="str">
        <f aca="false">IFERROR(INDEX(CADASTRO_PIVOS!$D$6:$D$41,MATCH($E1022,CADASTRO_PIVOS!$B$6:$B$41,0)),"?")</f>
        <v>TR05</v>
      </c>
      <c r="H1022" s="20" t="n">
        <f aca="false">IFERROR(INDEX(CADASTRO_PIVOS!$E$6:$E$41,MATCH($E1022,CADASTRO_PIVOS!$B$6:$B$41,0)),0)</f>
        <v>99.96</v>
      </c>
      <c r="I1022" s="16" t="n">
        <f aca="false">IFERROR(SUMIFS(ROTACAO_RDM!$B$6:$B$71,ROTACAO_RDM!$D$6:$D$71,$E1022,ROTACAO_RDM!$I$6:$I$71,"&lt;="&amp;$C1022+INT(DIAS_POR_SEMANA/2),ROTACAO_RDM!$J$6:$J$71,"&gt;="&amp;$C1022+INT(DIAS_POR_SEMANA/2)),0)</f>
        <v>63</v>
      </c>
      <c r="J1022" s="16" t="n">
        <f aca="false">IFERROR(MATCH($I1022,ROTACAO_RDM!$B$6:$B$71,0),0)</f>
        <v>63</v>
      </c>
      <c r="K1022" s="8" t="str">
        <f aca="false">IF($J1022=0,"SEM CULTURA",INDEX(ROTACAO_RDM!$F$6:$F$71,$J1022))</f>
        <v>ALGODAO</v>
      </c>
      <c r="L1022" s="8" t="str">
        <f aca="false">IF($J1022=0,"",INDEX(ROTACAO_RDM!$G$6:$G$71,$J1022))</f>
        <v>IMA 3764 B2RF</v>
      </c>
      <c r="M1022" s="17" t="n">
        <f aca="false">IF($J1022=0,"",INDEX(ROTACAO_RDM!$I$6:$I$71,$J1022))</f>
        <v>46357</v>
      </c>
      <c r="N1022" s="16" t="n">
        <f aca="false">IF($J1022=0,0,MAX(0,$C1022+INT(DIAS_POR_SEMANA/2)-INDEX(ROTACAO_RDM!$I$6:$I$71,$J1022)))</f>
        <v>93</v>
      </c>
      <c r="O1022" s="19" t="n">
        <f aca="false">IF($J1022=0,0,MIN(1,$N1022/MAX(1,INDEX(ROTACAO_RDM!$K$6:$K$71,$J1022))))</f>
        <v>0.442857142857143</v>
      </c>
      <c r="P1022" s="16" t="n">
        <f aca="false">IF($J1022=0,0,IFERROR(MATCH(INDEX(ROTACAO_RDM!$N$6:$N$71,$J1022),PARAMETROS_CULTURAS!$B$6:$B$28,0),0))</f>
        <v>6</v>
      </c>
      <c r="Q1022" s="8" t="str">
        <f aca="false">IF($P1022=0,"-",IF($O1022&lt;=INDEX(PARAMETROS_CULTURAS!$F$6:$F$28,$P1022),"INICIAL",IF($O1022&lt;=INDEX(PARAMETROS_CULTURAS!$F$6:$F$28,$P1022)+INDEX(PARAMETROS_CULTURAS!$G$6:$G$28,$P1022),"DESENVOLVIMENTO",IF($O1022&lt;=INDEX(PARAMETROS_CULTURAS!$F$6:$F$28,$P1022)+INDEX(PARAMETROS_CULTURAS!$G$6:$G$28,$P1022)+INDEX(PARAMETROS_CULTURAS!$H$6:$H$28,$P1022),"MEDIA","FINAL"))))</f>
        <v>MEDIA</v>
      </c>
      <c r="R1022" s="24" t="n">
        <f aca="false">IF($P1022=0,0,IF($O1022&lt;=INDEX(PARAMETROS_CULTURAS!$F$6:$F$28,$P1022),INDEX(PARAMETROS_CULTURAS!$K$6:$K$28,$P1022),IF($O1022&lt;=INDEX(PARAMETROS_CULTURAS!$F$6:$F$28,$P1022)+INDEX(PARAMETROS_CULTURAS!$G$6:$G$28,$P1022),INDEX(PARAMETROS_CULTURAS!$K$6:$K$28,$P1022)+(INDEX(PARAMETROS_CULTURAS!$L$6:$L$28,$P1022)-INDEX(PARAMETROS_CULTURAS!$K$6:$K$28,$P1022))*($O1022-INDEX(PARAMETROS_CULTURAS!$F$6:$F$28,$P1022))/MAX(INDEX(PARAMETROS_CULTURAS!$G$6:$G$28,$P1022),0.0001),IF($O1022&lt;=INDEX(PARAMETROS_CULTURAS!$F$6:$F$28,$P1022)+INDEX(PARAMETROS_CULTURAS!$G$6:$G$28,$P1022)+INDEX(PARAMETROS_CULTURAS!$H$6:$H$28,$P1022),INDEX(PARAMETROS_CULTURAS!$L$6:$L$28,$P1022),INDEX(PARAMETROS_CULTURAS!$L$6:$L$28,$P1022)+(INDEX(PARAMETROS_CULTURAS!$M$6:$M$28,$P1022)-INDEX(PARAMETROS_CULTURAS!$L$6:$L$28,$P1022))*($O1022-INDEX(PARAMETROS_CULTURAS!$F$6:$F$28,$P1022)-INDEX(PARAMETROS_CULTURAS!$G$6:$G$28,$P1022)-INDEX(PARAMETROS_CULTURAS!$H$6:$H$28,$P1022))/MAX(INDEX(PARAMETROS_CULTURAS!$I$6:$I$28,$P1022),0.0001)))))</f>
        <v>1.15</v>
      </c>
      <c r="S1022" s="18" t="n">
        <f aca="false">IFERROR(INDEX(SEMANAS!$H$6:$H$71,MATCH($B1022,SEMANAS!$B$6:$B$71,0)),0)</f>
        <v>32.2</v>
      </c>
      <c r="T1022" s="18" t="n">
        <f aca="false">$R1022*$S1022</f>
        <v>37.03</v>
      </c>
      <c r="U1022" s="18" t="n">
        <f aca="false">IFERROR(INDEX(SEMANAS!$I$6:$I$71,MATCH($B1022,SEMANAS!$B$6:$B$71,0)),0)</f>
        <v>37.24</v>
      </c>
      <c r="V1022" s="18" t="n">
        <f aca="false">IFERROR(INDEX(SEMANAS!$J$6:$J$71,MATCH($B1022,SEMANAS!$B$6:$B$71,0)),0)</f>
        <v>29.792</v>
      </c>
      <c r="W1022" s="18" t="n">
        <f aca="false">MAX(0,$T1022-$V1022)</f>
        <v>7.23799999999999</v>
      </c>
      <c r="X1022" s="19" t="n">
        <f aca="false">IFERROR(INDEX(CADASTRO_PIVOS!$K$6:$K$41,MATCH($E1022,CADASTRO_PIVOS!$B$6:$B$41,0)),EFICIENCIA_PADRAO)</f>
        <v>0.85</v>
      </c>
      <c r="Y1022" s="18" t="n">
        <f aca="false">IF($X1022&lt;=0,0,$W1022/$X1022)</f>
        <v>8.51529411764705</v>
      </c>
      <c r="Z1022" s="16" t="n">
        <f aca="false">$Y1022*$H1022*MM_PARA_M3_HA</f>
        <v>8511.88799999999</v>
      </c>
      <c r="AA1022" s="18" t="n">
        <f aca="false">IFERROR(INDEX(CADASTRO_PIVOS!$I$6:$I$41,MATCH($E1022,CADASTRO_PIVOS!$B$6:$B$41,0)),0)</f>
        <v>714</v>
      </c>
      <c r="AB1022" s="18" t="n">
        <f aca="false">IF($Z1022&lt;=0,0,$Z1022/$AA1022)</f>
        <v>11.9214117647059</v>
      </c>
      <c r="AC1022" s="16" t="n">
        <f aca="false">IFERROR(INDEX(SEMANAS!$K$6:$K$71,MATCH($B1022,SEMANAS!$B$6:$B$71,0)),0)</f>
        <v>147</v>
      </c>
      <c r="AD1022" s="19" t="n">
        <f aca="false">IF($AC1022&lt;=0,0,$AB1022/$AC1022)</f>
        <v>0.0810980392156862</v>
      </c>
      <c r="AE1022" s="8" t="str">
        <f aca="false">IF($K1022="SEM CULTURA","SEM CULTURA",IF($AA1022&lt;=0,"DADO PENDENTE",IF($AD1022&gt;LIMITE_CRITICO,"INVIAVEL",IF($AD1022&gt;LIMITE_ATENCAO,"CRITICO",IF($AD1022&gt;LIMITE_CONFORTAVEL,"ATENCAO","OK")))))</f>
        <v>OK</v>
      </c>
      <c r="AF1022" s="8" t="str">
        <f aca="false">$B1022&amp;"|"&amp;TEXT($AD1022,"0.000000")</f>
        <v>27|0.081098</v>
      </c>
      <c r="AG1022" s="18" t="n">
        <f aca="false">IF($K1022="SEM CULTURA",0,$T1022*$H1022)</f>
        <v>3701.5188</v>
      </c>
      <c r="AH1022" s="18" t="n">
        <f aca="false">IF($K1022="SEM CULTURA",0,$V1022*$H1022)</f>
        <v>2978.00832</v>
      </c>
      <c r="AI1022" s="18" t="n">
        <f aca="false">IF($K1022="SEM CULTURA",0,$W1022*$H1022)</f>
        <v>723.510479999999</v>
      </c>
      <c r="AJ1022" s="18" t="n">
        <f aca="false">IF($K1022="SEM CULTURA",0,$S1022*$H1022)</f>
        <v>3218.712</v>
      </c>
      <c r="AK1022" s="8" t="str">
        <f aca="false">$E1022&amp;"|"&amp;TEXT($AD1022,"0.000000")</f>
        <v>PV 132|0.081098</v>
      </c>
    </row>
    <row r="1023" customFormat="false" ht="15" hidden="false" customHeight="false" outlineLevel="0" collapsed="false">
      <c r="B1023" s="16" t="n">
        <v>28</v>
      </c>
      <c r="C1023" s="17" t="n">
        <f aca="false">DATA_INICIO_SAFRA+($B1023-1)*DIAS_POR_SEMANA</f>
        <v>46454</v>
      </c>
      <c r="D1023" s="17" t="n">
        <f aca="false">$C1023+DIAS_POR_SEMANA-1</f>
        <v>46460</v>
      </c>
      <c r="E1023" s="15" t="s">
        <v>274</v>
      </c>
      <c r="F1023" s="8" t="str">
        <f aca="false">IFERROR(INDEX(CADASTRO_PIVOS!$C$6:$C$41,MATCH($E1023,CADASTRO_PIVOS!$B$6:$B$41,0)),"?")</f>
        <v>RM05</v>
      </c>
      <c r="G1023" s="8" t="str">
        <f aca="false">IFERROR(INDEX(CADASTRO_PIVOS!$D$6:$D$41,MATCH($E1023,CADASTRO_PIVOS!$B$6:$B$41,0)),"?")</f>
        <v>TR05</v>
      </c>
      <c r="H1023" s="20" t="n">
        <f aca="false">IFERROR(INDEX(CADASTRO_PIVOS!$E$6:$E$41,MATCH($E1023,CADASTRO_PIVOS!$B$6:$B$41,0)),0)</f>
        <v>99.96</v>
      </c>
      <c r="I1023" s="16" t="n">
        <f aca="false">IFERROR(SUMIFS(ROTACAO_RDM!$B$6:$B$71,ROTACAO_RDM!$D$6:$D$71,$E1023,ROTACAO_RDM!$I$6:$I$71,"&lt;="&amp;$C1023+INT(DIAS_POR_SEMANA/2),ROTACAO_RDM!$J$6:$J$71,"&gt;="&amp;$C1023+INT(DIAS_POR_SEMANA/2)),0)</f>
        <v>63</v>
      </c>
      <c r="J1023" s="16" t="n">
        <f aca="false">IFERROR(MATCH($I1023,ROTACAO_RDM!$B$6:$B$71,0),0)</f>
        <v>63</v>
      </c>
      <c r="K1023" s="8" t="str">
        <f aca="false">IF($J1023=0,"SEM CULTURA",INDEX(ROTACAO_RDM!$F$6:$F$71,$J1023))</f>
        <v>ALGODAO</v>
      </c>
      <c r="L1023" s="8" t="str">
        <f aca="false">IF($J1023=0,"",INDEX(ROTACAO_RDM!$G$6:$G$71,$J1023))</f>
        <v>IMA 3764 B2RF</v>
      </c>
      <c r="M1023" s="17" t="n">
        <f aca="false">IF($J1023=0,"",INDEX(ROTACAO_RDM!$I$6:$I$71,$J1023))</f>
        <v>46357</v>
      </c>
      <c r="N1023" s="16" t="n">
        <f aca="false">IF($J1023=0,0,MAX(0,$C1023+INT(DIAS_POR_SEMANA/2)-INDEX(ROTACAO_RDM!$I$6:$I$71,$J1023)))</f>
        <v>100</v>
      </c>
      <c r="O1023" s="19" t="n">
        <f aca="false">IF($J1023=0,0,MIN(1,$N1023/MAX(1,INDEX(ROTACAO_RDM!$K$6:$K$71,$J1023))))</f>
        <v>0.476190476190476</v>
      </c>
      <c r="P1023" s="16" t="n">
        <f aca="false">IF($J1023=0,0,IFERROR(MATCH(INDEX(ROTACAO_RDM!$N$6:$N$71,$J1023),PARAMETROS_CULTURAS!$B$6:$B$28,0),0))</f>
        <v>6</v>
      </c>
      <c r="Q1023" s="8" t="str">
        <f aca="false">IF($P1023=0,"-",IF($O1023&lt;=INDEX(PARAMETROS_CULTURAS!$F$6:$F$28,$P1023),"INICIAL",IF($O1023&lt;=INDEX(PARAMETROS_CULTURAS!$F$6:$F$28,$P1023)+INDEX(PARAMETROS_CULTURAS!$G$6:$G$28,$P1023),"DESENVOLVIMENTO",IF($O1023&lt;=INDEX(PARAMETROS_CULTURAS!$F$6:$F$28,$P1023)+INDEX(PARAMETROS_CULTURAS!$G$6:$G$28,$P1023)+INDEX(PARAMETROS_CULTURAS!$H$6:$H$28,$P1023),"MEDIA","FINAL"))))</f>
        <v>MEDIA</v>
      </c>
      <c r="R1023" s="24" t="n">
        <f aca="false">IF($P1023=0,0,IF($O1023&lt;=INDEX(PARAMETROS_CULTURAS!$F$6:$F$28,$P1023),INDEX(PARAMETROS_CULTURAS!$K$6:$K$28,$P1023),IF($O1023&lt;=INDEX(PARAMETROS_CULTURAS!$F$6:$F$28,$P1023)+INDEX(PARAMETROS_CULTURAS!$G$6:$G$28,$P1023),INDEX(PARAMETROS_CULTURAS!$K$6:$K$28,$P1023)+(INDEX(PARAMETROS_CULTURAS!$L$6:$L$28,$P1023)-INDEX(PARAMETROS_CULTURAS!$K$6:$K$28,$P1023))*($O1023-INDEX(PARAMETROS_CULTURAS!$F$6:$F$28,$P1023))/MAX(INDEX(PARAMETROS_CULTURAS!$G$6:$G$28,$P1023),0.0001),IF($O1023&lt;=INDEX(PARAMETROS_CULTURAS!$F$6:$F$28,$P1023)+INDEX(PARAMETROS_CULTURAS!$G$6:$G$28,$P1023)+INDEX(PARAMETROS_CULTURAS!$H$6:$H$28,$P1023),INDEX(PARAMETROS_CULTURAS!$L$6:$L$28,$P1023),INDEX(PARAMETROS_CULTURAS!$L$6:$L$28,$P1023)+(INDEX(PARAMETROS_CULTURAS!$M$6:$M$28,$P1023)-INDEX(PARAMETROS_CULTURAS!$L$6:$L$28,$P1023))*($O1023-INDEX(PARAMETROS_CULTURAS!$F$6:$F$28,$P1023)-INDEX(PARAMETROS_CULTURAS!$G$6:$G$28,$P1023)-INDEX(PARAMETROS_CULTURAS!$H$6:$H$28,$P1023))/MAX(INDEX(PARAMETROS_CULTURAS!$I$6:$I$28,$P1023),0.0001)))))</f>
        <v>1.15</v>
      </c>
      <c r="S1023" s="18" t="n">
        <f aca="false">IFERROR(INDEX(SEMANAS!$H$6:$H$71,MATCH($B1023,SEMANAS!$B$6:$B$71,0)),0)</f>
        <v>32.2</v>
      </c>
      <c r="T1023" s="18" t="n">
        <f aca="false">$R1023*$S1023</f>
        <v>37.03</v>
      </c>
      <c r="U1023" s="18" t="n">
        <f aca="false">IFERROR(INDEX(SEMANAS!$I$6:$I$71,MATCH($B1023,SEMANAS!$B$6:$B$71,0)),0)</f>
        <v>37.24</v>
      </c>
      <c r="V1023" s="18" t="n">
        <f aca="false">IFERROR(INDEX(SEMANAS!$J$6:$J$71,MATCH($B1023,SEMANAS!$B$6:$B$71,0)),0)</f>
        <v>29.792</v>
      </c>
      <c r="W1023" s="18" t="n">
        <f aca="false">MAX(0,$T1023-$V1023)</f>
        <v>7.23799999999999</v>
      </c>
      <c r="X1023" s="19" t="n">
        <f aca="false">IFERROR(INDEX(CADASTRO_PIVOS!$K$6:$K$41,MATCH($E1023,CADASTRO_PIVOS!$B$6:$B$41,0)),EFICIENCIA_PADRAO)</f>
        <v>0.85</v>
      </c>
      <c r="Y1023" s="18" t="n">
        <f aca="false">IF($X1023&lt;=0,0,$W1023/$X1023)</f>
        <v>8.51529411764705</v>
      </c>
      <c r="Z1023" s="16" t="n">
        <f aca="false">$Y1023*$H1023*MM_PARA_M3_HA</f>
        <v>8511.88799999999</v>
      </c>
      <c r="AA1023" s="18" t="n">
        <f aca="false">IFERROR(INDEX(CADASTRO_PIVOS!$I$6:$I$41,MATCH($E1023,CADASTRO_PIVOS!$B$6:$B$41,0)),0)</f>
        <v>714</v>
      </c>
      <c r="AB1023" s="18" t="n">
        <f aca="false">IF($Z1023&lt;=0,0,$Z1023/$AA1023)</f>
        <v>11.9214117647059</v>
      </c>
      <c r="AC1023" s="16" t="n">
        <f aca="false">IFERROR(INDEX(SEMANAS!$K$6:$K$71,MATCH($B1023,SEMANAS!$B$6:$B$71,0)),0)</f>
        <v>147</v>
      </c>
      <c r="AD1023" s="19" t="n">
        <f aca="false">IF($AC1023&lt;=0,0,$AB1023/$AC1023)</f>
        <v>0.0810980392156862</v>
      </c>
      <c r="AE1023" s="8" t="str">
        <f aca="false">IF($K1023="SEM CULTURA","SEM CULTURA",IF($AA1023&lt;=0,"DADO PENDENTE",IF($AD1023&gt;LIMITE_CRITICO,"INVIAVEL",IF($AD1023&gt;LIMITE_ATENCAO,"CRITICO",IF($AD1023&gt;LIMITE_CONFORTAVEL,"ATENCAO","OK")))))</f>
        <v>OK</v>
      </c>
      <c r="AF1023" s="8" t="str">
        <f aca="false">$B1023&amp;"|"&amp;TEXT($AD1023,"0.000000")</f>
        <v>28|0.081098</v>
      </c>
      <c r="AG1023" s="18" t="n">
        <f aca="false">IF($K1023="SEM CULTURA",0,$T1023*$H1023)</f>
        <v>3701.5188</v>
      </c>
      <c r="AH1023" s="18" t="n">
        <f aca="false">IF($K1023="SEM CULTURA",0,$V1023*$H1023)</f>
        <v>2978.00832</v>
      </c>
      <c r="AI1023" s="18" t="n">
        <f aca="false">IF($K1023="SEM CULTURA",0,$W1023*$H1023)</f>
        <v>723.510479999999</v>
      </c>
      <c r="AJ1023" s="18" t="n">
        <f aca="false">IF($K1023="SEM CULTURA",0,$S1023*$H1023)</f>
        <v>3218.712</v>
      </c>
      <c r="AK1023" s="8" t="str">
        <f aca="false">$E1023&amp;"|"&amp;TEXT($AD1023,"0.000000")</f>
        <v>PV 132|0.081098</v>
      </c>
    </row>
    <row r="1024" customFormat="false" ht="15" hidden="false" customHeight="false" outlineLevel="0" collapsed="false">
      <c r="B1024" s="16" t="n">
        <v>29</v>
      </c>
      <c r="C1024" s="17" t="n">
        <f aca="false">DATA_INICIO_SAFRA+($B1024-1)*DIAS_POR_SEMANA</f>
        <v>46461</v>
      </c>
      <c r="D1024" s="17" t="n">
        <f aca="false">$C1024+DIAS_POR_SEMANA-1</f>
        <v>46467</v>
      </c>
      <c r="E1024" s="15" t="s">
        <v>274</v>
      </c>
      <c r="F1024" s="8" t="str">
        <f aca="false">IFERROR(INDEX(CADASTRO_PIVOS!$C$6:$C$41,MATCH($E1024,CADASTRO_PIVOS!$B$6:$B$41,0)),"?")</f>
        <v>RM05</v>
      </c>
      <c r="G1024" s="8" t="str">
        <f aca="false">IFERROR(INDEX(CADASTRO_PIVOS!$D$6:$D$41,MATCH($E1024,CADASTRO_PIVOS!$B$6:$B$41,0)),"?")</f>
        <v>TR05</v>
      </c>
      <c r="H1024" s="20" t="n">
        <f aca="false">IFERROR(INDEX(CADASTRO_PIVOS!$E$6:$E$41,MATCH($E1024,CADASTRO_PIVOS!$B$6:$B$41,0)),0)</f>
        <v>99.96</v>
      </c>
      <c r="I1024" s="16" t="n">
        <f aca="false">IFERROR(SUMIFS(ROTACAO_RDM!$B$6:$B$71,ROTACAO_RDM!$D$6:$D$71,$E1024,ROTACAO_RDM!$I$6:$I$71,"&lt;="&amp;$C1024+INT(DIAS_POR_SEMANA/2),ROTACAO_RDM!$J$6:$J$71,"&gt;="&amp;$C1024+INT(DIAS_POR_SEMANA/2)),0)</f>
        <v>63</v>
      </c>
      <c r="J1024" s="16" t="n">
        <f aca="false">IFERROR(MATCH($I1024,ROTACAO_RDM!$B$6:$B$71,0),0)</f>
        <v>63</v>
      </c>
      <c r="K1024" s="8" t="str">
        <f aca="false">IF($J1024=0,"SEM CULTURA",INDEX(ROTACAO_RDM!$F$6:$F$71,$J1024))</f>
        <v>ALGODAO</v>
      </c>
      <c r="L1024" s="8" t="str">
        <f aca="false">IF($J1024=0,"",INDEX(ROTACAO_RDM!$G$6:$G$71,$J1024))</f>
        <v>IMA 3764 B2RF</v>
      </c>
      <c r="M1024" s="17" t="n">
        <f aca="false">IF($J1024=0,"",INDEX(ROTACAO_RDM!$I$6:$I$71,$J1024))</f>
        <v>46357</v>
      </c>
      <c r="N1024" s="16" t="n">
        <f aca="false">IF($J1024=0,0,MAX(0,$C1024+INT(DIAS_POR_SEMANA/2)-INDEX(ROTACAO_RDM!$I$6:$I$71,$J1024)))</f>
        <v>107</v>
      </c>
      <c r="O1024" s="19" t="n">
        <f aca="false">IF($J1024=0,0,MIN(1,$N1024/MAX(1,INDEX(ROTACAO_RDM!$K$6:$K$71,$J1024))))</f>
        <v>0.50952380952381</v>
      </c>
      <c r="P1024" s="16" t="n">
        <f aca="false">IF($J1024=0,0,IFERROR(MATCH(INDEX(ROTACAO_RDM!$N$6:$N$71,$J1024),PARAMETROS_CULTURAS!$B$6:$B$28,0),0))</f>
        <v>6</v>
      </c>
      <c r="Q1024" s="8" t="str">
        <f aca="false">IF($P1024=0,"-",IF($O1024&lt;=INDEX(PARAMETROS_CULTURAS!$F$6:$F$28,$P1024),"INICIAL",IF($O1024&lt;=INDEX(PARAMETROS_CULTURAS!$F$6:$F$28,$P1024)+INDEX(PARAMETROS_CULTURAS!$G$6:$G$28,$P1024),"DESENVOLVIMENTO",IF($O1024&lt;=INDEX(PARAMETROS_CULTURAS!$F$6:$F$28,$P1024)+INDEX(PARAMETROS_CULTURAS!$G$6:$G$28,$P1024)+INDEX(PARAMETROS_CULTURAS!$H$6:$H$28,$P1024),"MEDIA","FINAL"))))</f>
        <v>MEDIA</v>
      </c>
      <c r="R1024" s="24" t="n">
        <f aca="false">IF($P1024=0,0,IF($O1024&lt;=INDEX(PARAMETROS_CULTURAS!$F$6:$F$28,$P1024),INDEX(PARAMETROS_CULTURAS!$K$6:$K$28,$P1024),IF($O1024&lt;=INDEX(PARAMETROS_CULTURAS!$F$6:$F$28,$P1024)+INDEX(PARAMETROS_CULTURAS!$G$6:$G$28,$P1024),INDEX(PARAMETROS_CULTURAS!$K$6:$K$28,$P1024)+(INDEX(PARAMETROS_CULTURAS!$L$6:$L$28,$P1024)-INDEX(PARAMETROS_CULTURAS!$K$6:$K$28,$P1024))*($O1024-INDEX(PARAMETROS_CULTURAS!$F$6:$F$28,$P1024))/MAX(INDEX(PARAMETROS_CULTURAS!$G$6:$G$28,$P1024),0.0001),IF($O1024&lt;=INDEX(PARAMETROS_CULTURAS!$F$6:$F$28,$P1024)+INDEX(PARAMETROS_CULTURAS!$G$6:$G$28,$P1024)+INDEX(PARAMETROS_CULTURAS!$H$6:$H$28,$P1024),INDEX(PARAMETROS_CULTURAS!$L$6:$L$28,$P1024),INDEX(PARAMETROS_CULTURAS!$L$6:$L$28,$P1024)+(INDEX(PARAMETROS_CULTURAS!$M$6:$M$28,$P1024)-INDEX(PARAMETROS_CULTURAS!$L$6:$L$28,$P1024))*($O1024-INDEX(PARAMETROS_CULTURAS!$F$6:$F$28,$P1024)-INDEX(PARAMETROS_CULTURAS!$G$6:$G$28,$P1024)-INDEX(PARAMETROS_CULTURAS!$H$6:$H$28,$P1024))/MAX(INDEX(PARAMETROS_CULTURAS!$I$6:$I$28,$P1024),0.0001)))))</f>
        <v>1.15</v>
      </c>
      <c r="S1024" s="18" t="n">
        <f aca="false">IFERROR(INDEX(SEMANAS!$H$6:$H$71,MATCH($B1024,SEMANAS!$B$6:$B$71,0)),0)</f>
        <v>32.2</v>
      </c>
      <c r="T1024" s="18" t="n">
        <f aca="false">$R1024*$S1024</f>
        <v>37.03</v>
      </c>
      <c r="U1024" s="18" t="n">
        <f aca="false">IFERROR(INDEX(SEMANAS!$I$6:$I$71,MATCH($B1024,SEMANAS!$B$6:$B$71,0)),0)</f>
        <v>37.24</v>
      </c>
      <c r="V1024" s="18" t="n">
        <f aca="false">IFERROR(INDEX(SEMANAS!$J$6:$J$71,MATCH($B1024,SEMANAS!$B$6:$B$71,0)),0)</f>
        <v>29.792</v>
      </c>
      <c r="W1024" s="18" t="n">
        <f aca="false">MAX(0,$T1024-$V1024)</f>
        <v>7.23799999999999</v>
      </c>
      <c r="X1024" s="19" t="n">
        <f aca="false">IFERROR(INDEX(CADASTRO_PIVOS!$K$6:$K$41,MATCH($E1024,CADASTRO_PIVOS!$B$6:$B$41,0)),EFICIENCIA_PADRAO)</f>
        <v>0.85</v>
      </c>
      <c r="Y1024" s="18" t="n">
        <f aca="false">IF($X1024&lt;=0,0,$W1024/$X1024)</f>
        <v>8.51529411764705</v>
      </c>
      <c r="Z1024" s="16" t="n">
        <f aca="false">$Y1024*$H1024*MM_PARA_M3_HA</f>
        <v>8511.88799999999</v>
      </c>
      <c r="AA1024" s="18" t="n">
        <f aca="false">IFERROR(INDEX(CADASTRO_PIVOS!$I$6:$I$41,MATCH($E1024,CADASTRO_PIVOS!$B$6:$B$41,0)),0)</f>
        <v>714</v>
      </c>
      <c r="AB1024" s="18" t="n">
        <f aca="false">IF($Z1024&lt;=0,0,$Z1024/$AA1024)</f>
        <v>11.9214117647059</v>
      </c>
      <c r="AC1024" s="16" t="n">
        <f aca="false">IFERROR(INDEX(SEMANAS!$K$6:$K$71,MATCH($B1024,SEMANAS!$B$6:$B$71,0)),0)</f>
        <v>147</v>
      </c>
      <c r="AD1024" s="19" t="n">
        <f aca="false">IF($AC1024&lt;=0,0,$AB1024/$AC1024)</f>
        <v>0.0810980392156862</v>
      </c>
      <c r="AE1024" s="8" t="str">
        <f aca="false">IF($K1024="SEM CULTURA","SEM CULTURA",IF($AA1024&lt;=0,"DADO PENDENTE",IF($AD1024&gt;LIMITE_CRITICO,"INVIAVEL",IF($AD1024&gt;LIMITE_ATENCAO,"CRITICO",IF($AD1024&gt;LIMITE_CONFORTAVEL,"ATENCAO","OK")))))</f>
        <v>OK</v>
      </c>
      <c r="AF1024" s="8" t="str">
        <f aca="false">$B1024&amp;"|"&amp;TEXT($AD1024,"0.000000")</f>
        <v>29|0.081098</v>
      </c>
      <c r="AG1024" s="18" t="n">
        <f aca="false">IF($K1024="SEM CULTURA",0,$T1024*$H1024)</f>
        <v>3701.5188</v>
      </c>
      <c r="AH1024" s="18" t="n">
        <f aca="false">IF($K1024="SEM CULTURA",0,$V1024*$H1024)</f>
        <v>2978.00832</v>
      </c>
      <c r="AI1024" s="18" t="n">
        <f aca="false">IF($K1024="SEM CULTURA",0,$W1024*$H1024)</f>
        <v>723.510479999999</v>
      </c>
      <c r="AJ1024" s="18" t="n">
        <f aca="false">IF($K1024="SEM CULTURA",0,$S1024*$H1024)</f>
        <v>3218.712</v>
      </c>
      <c r="AK1024" s="8" t="str">
        <f aca="false">$E1024&amp;"|"&amp;TEXT($AD1024,"0.000000")</f>
        <v>PV 132|0.081098</v>
      </c>
    </row>
    <row r="1025" customFormat="false" ht="15" hidden="false" customHeight="false" outlineLevel="0" collapsed="false">
      <c r="B1025" s="16" t="n">
        <v>30</v>
      </c>
      <c r="C1025" s="17" t="n">
        <f aca="false">DATA_INICIO_SAFRA+($B1025-1)*DIAS_POR_SEMANA</f>
        <v>46468</v>
      </c>
      <c r="D1025" s="17" t="n">
        <f aca="false">$C1025+DIAS_POR_SEMANA-1</f>
        <v>46474</v>
      </c>
      <c r="E1025" s="15" t="s">
        <v>274</v>
      </c>
      <c r="F1025" s="8" t="str">
        <f aca="false">IFERROR(INDEX(CADASTRO_PIVOS!$C$6:$C$41,MATCH($E1025,CADASTRO_PIVOS!$B$6:$B$41,0)),"?")</f>
        <v>RM05</v>
      </c>
      <c r="G1025" s="8" t="str">
        <f aca="false">IFERROR(INDEX(CADASTRO_PIVOS!$D$6:$D$41,MATCH($E1025,CADASTRO_PIVOS!$B$6:$B$41,0)),"?")</f>
        <v>TR05</v>
      </c>
      <c r="H1025" s="20" t="n">
        <f aca="false">IFERROR(INDEX(CADASTRO_PIVOS!$E$6:$E$41,MATCH($E1025,CADASTRO_PIVOS!$B$6:$B$41,0)),0)</f>
        <v>99.96</v>
      </c>
      <c r="I1025" s="16" t="n">
        <f aca="false">IFERROR(SUMIFS(ROTACAO_RDM!$B$6:$B$71,ROTACAO_RDM!$D$6:$D$71,$E1025,ROTACAO_RDM!$I$6:$I$71,"&lt;="&amp;$C1025+INT(DIAS_POR_SEMANA/2),ROTACAO_RDM!$J$6:$J$71,"&gt;="&amp;$C1025+INT(DIAS_POR_SEMANA/2)),0)</f>
        <v>63</v>
      </c>
      <c r="J1025" s="16" t="n">
        <f aca="false">IFERROR(MATCH($I1025,ROTACAO_RDM!$B$6:$B$71,0),0)</f>
        <v>63</v>
      </c>
      <c r="K1025" s="8" t="str">
        <f aca="false">IF($J1025=0,"SEM CULTURA",INDEX(ROTACAO_RDM!$F$6:$F$71,$J1025))</f>
        <v>ALGODAO</v>
      </c>
      <c r="L1025" s="8" t="str">
        <f aca="false">IF($J1025=0,"",INDEX(ROTACAO_RDM!$G$6:$G$71,$J1025))</f>
        <v>IMA 3764 B2RF</v>
      </c>
      <c r="M1025" s="17" t="n">
        <f aca="false">IF($J1025=0,"",INDEX(ROTACAO_RDM!$I$6:$I$71,$J1025))</f>
        <v>46357</v>
      </c>
      <c r="N1025" s="16" t="n">
        <f aca="false">IF($J1025=0,0,MAX(0,$C1025+INT(DIAS_POR_SEMANA/2)-INDEX(ROTACAO_RDM!$I$6:$I$71,$J1025)))</f>
        <v>114</v>
      </c>
      <c r="O1025" s="19" t="n">
        <f aca="false">IF($J1025=0,0,MIN(1,$N1025/MAX(1,INDEX(ROTACAO_RDM!$K$6:$K$71,$J1025))))</f>
        <v>0.542857142857143</v>
      </c>
      <c r="P1025" s="16" t="n">
        <f aca="false">IF($J1025=0,0,IFERROR(MATCH(INDEX(ROTACAO_RDM!$N$6:$N$71,$J1025),PARAMETROS_CULTURAS!$B$6:$B$28,0),0))</f>
        <v>6</v>
      </c>
      <c r="Q1025" s="8" t="str">
        <f aca="false">IF($P1025=0,"-",IF($O1025&lt;=INDEX(PARAMETROS_CULTURAS!$F$6:$F$28,$P1025),"INICIAL",IF($O1025&lt;=INDEX(PARAMETROS_CULTURAS!$F$6:$F$28,$P1025)+INDEX(PARAMETROS_CULTURAS!$G$6:$G$28,$P1025),"DESENVOLVIMENTO",IF($O1025&lt;=INDEX(PARAMETROS_CULTURAS!$F$6:$F$28,$P1025)+INDEX(PARAMETROS_CULTURAS!$G$6:$G$28,$P1025)+INDEX(PARAMETROS_CULTURAS!$H$6:$H$28,$P1025),"MEDIA","FINAL"))))</f>
        <v>MEDIA</v>
      </c>
      <c r="R1025" s="24" t="n">
        <f aca="false">IF($P1025=0,0,IF($O1025&lt;=INDEX(PARAMETROS_CULTURAS!$F$6:$F$28,$P1025),INDEX(PARAMETROS_CULTURAS!$K$6:$K$28,$P1025),IF($O1025&lt;=INDEX(PARAMETROS_CULTURAS!$F$6:$F$28,$P1025)+INDEX(PARAMETROS_CULTURAS!$G$6:$G$28,$P1025),INDEX(PARAMETROS_CULTURAS!$K$6:$K$28,$P1025)+(INDEX(PARAMETROS_CULTURAS!$L$6:$L$28,$P1025)-INDEX(PARAMETROS_CULTURAS!$K$6:$K$28,$P1025))*($O1025-INDEX(PARAMETROS_CULTURAS!$F$6:$F$28,$P1025))/MAX(INDEX(PARAMETROS_CULTURAS!$G$6:$G$28,$P1025),0.0001),IF($O1025&lt;=INDEX(PARAMETROS_CULTURAS!$F$6:$F$28,$P1025)+INDEX(PARAMETROS_CULTURAS!$G$6:$G$28,$P1025)+INDEX(PARAMETROS_CULTURAS!$H$6:$H$28,$P1025),INDEX(PARAMETROS_CULTURAS!$L$6:$L$28,$P1025),INDEX(PARAMETROS_CULTURAS!$L$6:$L$28,$P1025)+(INDEX(PARAMETROS_CULTURAS!$M$6:$M$28,$P1025)-INDEX(PARAMETROS_CULTURAS!$L$6:$L$28,$P1025))*($O1025-INDEX(PARAMETROS_CULTURAS!$F$6:$F$28,$P1025)-INDEX(PARAMETROS_CULTURAS!$G$6:$G$28,$P1025)-INDEX(PARAMETROS_CULTURAS!$H$6:$H$28,$P1025))/MAX(INDEX(PARAMETROS_CULTURAS!$I$6:$I$28,$P1025),0.0001)))))</f>
        <v>1.15</v>
      </c>
      <c r="S1025" s="18" t="n">
        <f aca="false">IFERROR(INDEX(SEMANAS!$H$6:$H$71,MATCH($B1025,SEMANAS!$B$6:$B$71,0)),0)</f>
        <v>32.2</v>
      </c>
      <c r="T1025" s="18" t="n">
        <f aca="false">$R1025*$S1025</f>
        <v>37.03</v>
      </c>
      <c r="U1025" s="18" t="n">
        <f aca="false">IFERROR(INDEX(SEMANAS!$I$6:$I$71,MATCH($B1025,SEMANAS!$B$6:$B$71,0)),0)</f>
        <v>37.24</v>
      </c>
      <c r="V1025" s="18" t="n">
        <f aca="false">IFERROR(INDEX(SEMANAS!$J$6:$J$71,MATCH($B1025,SEMANAS!$B$6:$B$71,0)),0)</f>
        <v>29.792</v>
      </c>
      <c r="W1025" s="18" t="n">
        <f aca="false">MAX(0,$T1025-$V1025)</f>
        <v>7.23799999999999</v>
      </c>
      <c r="X1025" s="19" t="n">
        <f aca="false">IFERROR(INDEX(CADASTRO_PIVOS!$K$6:$K$41,MATCH($E1025,CADASTRO_PIVOS!$B$6:$B$41,0)),EFICIENCIA_PADRAO)</f>
        <v>0.85</v>
      </c>
      <c r="Y1025" s="18" t="n">
        <f aca="false">IF($X1025&lt;=0,0,$W1025/$X1025)</f>
        <v>8.51529411764705</v>
      </c>
      <c r="Z1025" s="16" t="n">
        <f aca="false">$Y1025*$H1025*MM_PARA_M3_HA</f>
        <v>8511.88799999999</v>
      </c>
      <c r="AA1025" s="18" t="n">
        <f aca="false">IFERROR(INDEX(CADASTRO_PIVOS!$I$6:$I$41,MATCH($E1025,CADASTRO_PIVOS!$B$6:$B$41,0)),0)</f>
        <v>714</v>
      </c>
      <c r="AB1025" s="18" t="n">
        <f aca="false">IF($Z1025&lt;=0,0,$Z1025/$AA1025)</f>
        <v>11.9214117647059</v>
      </c>
      <c r="AC1025" s="16" t="n">
        <f aca="false">IFERROR(INDEX(SEMANAS!$K$6:$K$71,MATCH($B1025,SEMANAS!$B$6:$B$71,0)),0)</f>
        <v>147</v>
      </c>
      <c r="AD1025" s="19" t="n">
        <f aca="false">IF($AC1025&lt;=0,0,$AB1025/$AC1025)</f>
        <v>0.0810980392156862</v>
      </c>
      <c r="AE1025" s="8" t="str">
        <f aca="false">IF($K1025="SEM CULTURA","SEM CULTURA",IF($AA1025&lt;=0,"DADO PENDENTE",IF($AD1025&gt;LIMITE_CRITICO,"INVIAVEL",IF($AD1025&gt;LIMITE_ATENCAO,"CRITICO",IF($AD1025&gt;LIMITE_CONFORTAVEL,"ATENCAO","OK")))))</f>
        <v>OK</v>
      </c>
      <c r="AF1025" s="8" t="str">
        <f aca="false">$B1025&amp;"|"&amp;TEXT($AD1025,"0.000000")</f>
        <v>30|0.081098</v>
      </c>
      <c r="AG1025" s="18" t="n">
        <f aca="false">IF($K1025="SEM CULTURA",0,$T1025*$H1025)</f>
        <v>3701.5188</v>
      </c>
      <c r="AH1025" s="18" t="n">
        <f aca="false">IF($K1025="SEM CULTURA",0,$V1025*$H1025)</f>
        <v>2978.00832</v>
      </c>
      <c r="AI1025" s="18" t="n">
        <f aca="false">IF($K1025="SEM CULTURA",0,$W1025*$H1025)</f>
        <v>723.510479999999</v>
      </c>
      <c r="AJ1025" s="18" t="n">
        <f aca="false">IF($K1025="SEM CULTURA",0,$S1025*$H1025)</f>
        <v>3218.712</v>
      </c>
      <c r="AK1025" s="8" t="str">
        <f aca="false">$E1025&amp;"|"&amp;TEXT($AD1025,"0.000000")</f>
        <v>PV 132|0.081098</v>
      </c>
    </row>
    <row r="1026" customFormat="false" ht="15" hidden="false" customHeight="false" outlineLevel="0" collapsed="false">
      <c r="B1026" s="16" t="n">
        <v>31</v>
      </c>
      <c r="C1026" s="17" t="n">
        <f aca="false">DATA_INICIO_SAFRA+($B1026-1)*DIAS_POR_SEMANA</f>
        <v>46475</v>
      </c>
      <c r="D1026" s="17" t="n">
        <f aca="false">$C1026+DIAS_POR_SEMANA-1</f>
        <v>46481</v>
      </c>
      <c r="E1026" s="15" t="s">
        <v>274</v>
      </c>
      <c r="F1026" s="8" t="str">
        <f aca="false">IFERROR(INDEX(CADASTRO_PIVOS!$C$6:$C$41,MATCH($E1026,CADASTRO_PIVOS!$B$6:$B$41,0)),"?")</f>
        <v>RM05</v>
      </c>
      <c r="G1026" s="8" t="str">
        <f aca="false">IFERROR(INDEX(CADASTRO_PIVOS!$D$6:$D$41,MATCH($E1026,CADASTRO_PIVOS!$B$6:$B$41,0)),"?")</f>
        <v>TR05</v>
      </c>
      <c r="H1026" s="20" t="n">
        <f aca="false">IFERROR(INDEX(CADASTRO_PIVOS!$E$6:$E$41,MATCH($E1026,CADASTRO_PIVOS!$B$6:$B$41,0)),0)</f>
        <v>99.96</v>
      </c>
      <c r="I1026" s="16" t="n">
        <f aca="false">IFERROR(SUMIFS(ROTACAO_RDM!$B$6:$B$71,ROTACAO_RDM!$D$6:$D$71,$E1026,ROTACAO_RDM!$I$6:$I$71,"&lt;="&amp;$C1026+INT(DIAS_POR_SEMANA/2),ROTACAO_RDM!$J$6:$J$71,"&gt;="&amp;$C1026+INT(DIAS_POR_SEMANA/2)),0)</f>
        <v>63</v>
      </c>
      <c r="J1026" s="16" t="n">
        <f aca="false">IFERROR(MATCH($I1026,ROTACAO_RDM!$B$6:$B$71,0),0)</f>
        <v>63</v>
      </c>
      <c r="K1026" s="8" t="str">
        <f aca="false">IF($J1026=0,"SEM CULTURA",INDEX(ROTACAO_RDM!$F$6:$F$71,$J1026))</f>
        <v>ALGODAO</v>
      </c>
      <c r="L1026" s="8" t="str">
        <f aca="false">IF($J1026=0,"",INDEX(ROTACAO_RDM!$G$6:$G$71,$J1026))</f>
        <v>IMA 3764 B2RF</v>
      </c>
      <c r="M1026" s="17" t="n">
        <f aca="false">IF($J1026=0,"",INDEX(ROTACAO_RDM!$I$6:$I$71,$J1026))</f>
        <v>46357</v>
      </c>
      <c r="N1026" s="16" t="n">
        <f aca="false">IF($J1026=0,0,MAX(0,$C1026+INT(DIAS_POR_SEMANA/2)-INDEX(ROTACAO_RDM!$I$6:$I$71,$J1026)))</f>
        <v>121</v>
      </c>
      <c r="O1026" s="19" t="n">
        <f aca="false">IF($J1026=0,0,MIN(1,$N1026/MAX(1,INDEX(ROTACAO_RDM!$K$6:$K$71,$J1026))))</f>
        <v>0.576190476190476</v>
      </c>
      <c r="P1026" s="16" t="n">
        <f aca="false">IF($J1026=0,0,IFERROR(MATCH(INDEX(ROTACAO_RDM!$N$6:$N$71,$J1026),PARAMETROS_CULTURAS!$B$6:$B$28,0),0))</f>
        <v>6</v>
      </c>
      <c r="Q1026" s="8" t="str">
        <f aca="false">IF($P1026=0,"-",IF($O1026&lt;=INDEX(PARAMETROS_CULTURAS!$F$6:$F$28,$P1026),"INICIAL",IF($O1026&lt;=INDEX(PARAMETROS_CULTURAS!$F$6:$F$28,$P1026)+INDEX(PARAMETROS_CULTURAS!$G$6:$G$28,$P1026),"DESENVOLVIMENTO",IF($O1026&lt;=INDEX(PARAMETROS_CULTURAS!$F$6:$F$28,$P1026)+INDEX(PARAMETROS_CULTURAS!$G$6:$G$28,$P1026)+INDEX(PARAMETROS_CULTURAS!$H$6:$H$28,$P1026),"MEDIA","FINAL"))))</f>
        <v>MEDIA</v>
      </c>
      <c r="R1026" s="24" t="n">
        <f aca="false">IF($P1026=0,0,IF($O1026&lt;=INDEX(PARAMETROS_CULTURAS!$F$6:$F$28,$P1026),INDEX(PARAMETROS_CULTURAS!$K$6:$K$28,$P1026),IF($O1026&lt;=INDEX(PARAMETROS_CULTURAS!$F$6:$F$28,$P1026)+INDEX(PARAMETROS_CULTURAS!$G$6:$G$28,$P1026),INDEX(PARAMETROS_CULTURAS!$K$6:$K$28,$P1026)+(INDEX(PARAMETROS_CULTURAS!$L$6:$L$28,$P1026)-INDEX(PARAMETROS_CULTURAS!$K$6:$K$28,$P1026))*($O1026-INDEX(PARAMETROS_CULTURAS!$F$6:$F$28,$P1026))/MAX(INDEX(PARAMETROS_CULTURAS!$G$6:$G$28,$P1026),0.0001),IF($O1026&lt;=INDEX(PARAMETROS_CULTURAS!$F$6:$F$28,$P1026)+INDEX(PARAMETROS_CULTURAS!$G$6:$G$28,$P1026)+INDEX(PARAMETROS_CULTURAS!$H$6:$H$28,$P1026),INDEX(PARAMETROS_CULTURAS!$L$6:$L$28,$P1026),INDEX(PARAMETROS_CULTURAS!$L$6:$L$28,$P1026)+(INDEX(PARAMETROS_CULTURAS!$M$6:$M$28,$P1026)-INDEX(PARAMETROS_CULTURAS!$L$6:$L$28,$P1026))*($O1026-INDEX(PARAMETROS_CULTURAS!$F$6:$F$28,$P1026)-INDEX(PARAMETROS_CULTURAS!$G$6:$G$28,$P1026)-INDEX(PARAMETROS_CULTURAS!$H$6:$H$28,$P1026))/MAX(INDEX(PARAMETROS_CULTURAS!$I$6:$I$28,$P1026),0.0001)))))</f>
        <v>1.15</v>
      </c>
      <c r="S1026" s="18" t="n">
        <f aca="false">IFERROR(INDEX(SEMANAS!$H$6:$H$71,MATCH($B1026,SEMANAS!$B$6:$B$71,0)),0)</f>
        <v>31.8</v>
      </c>
      <c r="T1026" s="18" t="n">
        <f aca="false">$R1026*$S1026</f>
        <v>36.57</v>
      </c>
      <c r="U1026" s="18" t="n">
        <f aca="false">IFERROR(INDEX(SEMANAS!$I$6:$I$71,MATCH($B1026,SEMANAS!$B$6:$B$71,0)),0)</f>
        <v>25.28</v>
      </c>
      <c r="V1026" s="18" t="n">
        <f aca="false">IFERROR(INDEX(SEMANAS!$J$6:$J$71,MATCH($B1026,SEMANAS!$B$6:$B$71,0)),0)</f>
        <v>20.224</v>
      </c>
      <c r="W1026" s="18" t="n">
        <f aca="false">MAX(0,$T1026-$V1026)</f>
        <v>16.346</v>
      </c>
      <c r="X1026" s="19" t="n">
        <f aca="false">IFERROR(INDEX(CADASTRO_PIVOS!$K$6:$K$41,MATCH($E1026,CADASTRO_PIVOS!$B$6:$B$41,0)),EFICIENCIA_PADRAO)</f>
        <v>0.85</v>
      </c>
      <c r="Y1026" s="18" t="n">
        <f aca="false">IF($X1026&lt;=0,0,$W1026/$X1026)</f>
        <v>19.2305882352941</v>
      </c>
      <c r="Z1026" s="16" t="n">
        <f aca="false">$Y1026*$H1026*MM_PARA_M3_HA</f>
        <v>19222.896</v>
      </c>
      <c r="AA1026" s="18" t="n">
        <f aca="false">IFERROR(INDEX(CADASTRO_PIVOS!$I$6:$I$41,MATCH($E1026,CADASTRO_PIVOS!$B$6:$B$41,0)),0)</f>
        <v>714</v>
      </c>
      <c r="AB1026" s="18" t="n">
        <f aca="false">IF($Z1026&lt;=0,0,$Z1026/$AA1026)</f>
        <v>26.9228235294118</v>
      </c>
      <c r="AC1026" s="16" t="n">
        <f aca="false">IFERROR(INDEX(SEMANAS!$K$6:$K$71,MATCH($B1026,SEMANAS!$B$6:$B$71,0)),0)</f>
        <v>147</v>
      </c>
      <c r="AD1026" s="19" t="n">
        <f aca="false">IF($AC1026&lt;=0,0,$AB1026/$AC1026)</f>
        <v>0.183148459383753</v>
      </c>
      <c r="AE1026" s="8" t="str">
        <f aca="false">IF($K1026="SEM CULTURA","SEM CULTURA",IF($AA1026&lt;=0,"DADO PENDENTE",IF($AD1026&gt;LIMITE_CRITICO,"INVIAVEL",IF($AD1026&gt;LIMITE_ATENCAO,"CRITICO",IF($AD1026&gt;LIMITE_CONFORTAVEL,"ATENCAO","OK")))))</f>
        <v>OK</v>
      </c>
      <c r="AF1026" s="8" t="str">
        <f aca="false">$B1026&amp;"|"&amp;TEXT($AD1026,"0.000000")</f>
        <v>31|0.183148</v>
      </c>
      <c r="AG1026" s="18" t="n">
        <f aca="false">IF($K1026="SEM CULTURA",0,$T1026*$H1026)</f>
        <v>3655.5372</v>
      </c>
      <c r="AH1026" s="18" t="n">
        <f aca="false">IF($K1026="SEM CULTURA",0,$V1026*$H1026)</f>
        <v>2021.59104</v>
      </c>
      <c r="AI1026" s="18" t="n">
        <f aca="false">IF($K1026="SEM CULTURA",0,$W1026*$H1026)</f>
        <v>1633.94616</v>
      </c>
      <c r="AJ1026" s="18" t="n">
        <f aca="false">IF($K1026="SEM CULTURA",0,$S1026*$H1026)</f>
        <v>3178.728</v>
      </c>
      <c r="AK1026" s="8" t="str">
        <f aca="false">$E1026&amp;"|"&amp;TEXT($AD1026,"0.000000")</f>
        <v>PV 132|0.183148</v>
      </c>
    </row>
    <row r="1027" customFormat="false" ht="15" hidden="false" customHeight="false" outlineLevel="0" collapsed="false">
      <c r="B1027" s="16" t="n">
        <v>32</v>
      </c>
      <c r="C1027" s="17" t="n">
        <f aca="false">DATA_INICIO_SAFRA+($B1027-1)*DIAS_POR_SEMANA</f>
        <v>46482</v>
      </c>
      <c r="D1027" s="17" t="n">
        <f aca="false">$C1027+DIAS_POR_SEMANA-1</f>
        <v>46488</v>
      </c>
      <c r="E1027" s="15" t="s">
        <v>274</v>
      </c>
      <c r="F1027" s="8" t="str">
        <f aca="false">IFERROR(INDEX(CADASTRO_PIVOS!$C$6:$C$41,MATCH($E1027,CADASTRO_PIVOS!$B$6:$B$41,0)),"?")</f>
        <v>RM05</v>
      </c>
      <c r="G1027" s="8" t="str">
        <f aca="false">IFERROR(INDEX(CADASTRO_PIVOS!$D$6:$D$41,MATCH($E1027,CADASTRO_PIVOS!$B$6:$B$41,0)),"?")</f>
        <v>TR05</v>
      </c>
      <c r="H1027" s="20" t="n">
        <f aca="false">IFERROR(INDEX(CADASTRO_PIVOS!$E$6:$E$41,MATCH($E1027,CADASTRO_PIVOS!$B$6:$B$41,0)),0)</f>
        <v>99.96</v>
      </c>
      <c r="I1027" s="16" t="n">
        <f aca="false">IFERROR(SUMIFS(ROTACAO_RDM!$B$6:$B$71,ROTACAO_RDM!$D$6:$D$71,$E1027,ROTACAO_RDM!$I$6:$I$71,"&lt;="&amp;$C1027+INT(DIAS_POR_SEMANA/2),ROTACAO_RDM!$J$6:$J$71,"&gt;="&amp;$C1027+INT(DIAS_POR_SEMANA/2)),0)</f>
        <v>63</v>
      </c>
      <c r="J1027" s="16" t="n">
        <f aca="false">IFERROR(MATCH($I1027,ROTACAO_RDM!$B$6:$B$71,0),0)</f>
        <v>63</v>
      </c>
      <c r="K1027" s="8" t="str">
        <f aca="false">IF($J1027=0,"SEM CULTURA",INDEX(ROTACAO_RDM!$F$6:$F$71,$J1027))</f>
        <v>ALGODAO</v>
      </c>
      <c r="L1027" s="8" t="str">
        <f aca="false">IF($J1027=0,"",INDEX(ROTACAO_RDM!$G$6:$G$71,$J1027))</f>
        <v>IMA 3764 B2RF</v>
      </c>
      <c r="M1027" s="17" t="n">
        <f aca="false">IF($J1027=0,"",INDEX(ROTACAO_RDM!$I$6:$I$71,$J1027))</f>
        <v>46357</v>
      </c>
      <c r="N1027" s="16" t="n">
        <f aca="false">IF($J1027=0,0,MAX(0,$C1027+INT(DIAS_POR_SEMANA/2)-INDEX(ROTACAO_RDM!$I$6:$I$71,$J1027)))</f>
        <v>128</v>
      </c>
      <c r="O1027" s="19" t="n">
        <f aca="false">IF($J1027=0,0,MIN(1,$N1027/MAX(1,INDEX(ROTACAO_RDM!$K$6:$K$71,$J1027))))</f>
        <v>0.60952380952381</v>
      </c>
      <c r="P1027" s="16" t="n">
        <f aca="false">IF($J1027=0,0,IFERROR(MATCH(INDEX(ROTACAO_RDM!$N$6:$N$71,$J1027),PARAMETROS_CULTURAS!$B$6:$B$28,0),0))</f>
        <v>6</v>
      </c>
      <c r="Q1027" s="8" t="str">
        <f aca="false">IF($P1027=0,"-",IF($O1027&lt;=INDEX(PARAMETROS_CULTURAS!$F$6:$F$28,$P1027),"INICIAL",IF($O1027&lt;=INDEX(PARAMETROS_CULTURAS!$F$6:$F$28,$P1027)+INDEX(PARAMETROS_CULTURAS!$G$6:$G$28,$P1027),"DESENVOLVIMENTO",IF($O1027&lt;=INDEX(PARAMETROS_CULTURAS!$F$6:$F$28,$P1027)+INDEX(PARAMETROS_CULTURAS!$G$6:$G$28,$P1027)+INDEX(PARAMETROS_CULTURAS!$H$6:$H$28,$P1027),"MEDIA","FINAL"))))</f>
        <v>MEDIA</v>
      </c>
      <c r="R1027" s="24" t="n">
        <f aca="false">IF($P1027=0,0,IF($O1027&lt;=INDEX(PARAMETROS_CULTURAS!$F$6:$F$28,$P1027),INDEX(PARAMETROS_CULTURAS!$K$6:$K$28,$P1027),IF($O1027&lt;=INDEX(PARAMETROS_CULTURAS!$F$6:$F$28,$P1027)+INDEX(PARAMETROS_CULTURAS!$G$6:$G$28,$P1027),INDEX(PARAMETROS_CULTURAS!$K$6:$K$28,$P1027)+(INDEX(PARAMETROS_CULTURAS!$L$6:$L$28,$P1027)-INDEX(PARAMETROS_CULTURAS!$K$6:$K$28,$P1027))*($O1027-INDEX(PARAMETROS_CULTURAS!$F$6:$F$28,$P1027))/MAX(INDEX(PARAMETROS_CULTURAS!$G$6:$G$28,$P1027),0.0001),IF($O1027&lt;=INDEX(PARAMETROS_CULTURAS!$F$6:$F$28,$P1027)+INDEX(PARAMETROS_CULTURAS!$G$6:$G$28,$P1027)+INDEX(PARAMETROS_CULTURAS!$H$6:$H$28,$P1027),INDEX(PARAMETROS_CULTURAS!$L$6:$L$28,$P1027),INDEX(PARAMETROS_CULTURAS!$L$6:$L$28,$P1027)+(INDEX(PARAMETROS_CULTURAS!$M$6:$M$28,$P1027)-INDEX(PARAMETROS_CULTURAS!$L$6:$L$28,$P1027))*($O1027-INDEX(PARAMETROS_CULTURAS!$F$6:$F$28,$P1027)-INDEX(PARAMETROS_CULTURAS!$G$6:$G$28,$P1027)-INDEX(PARAMETROS_CULTURAS!$H$6:$H$28,$P1027))/MAX(INDEX(PARAMETROS_CULTURAS!$I$6:$I$28,$P1027),0.0001)))))</f>
        <v>1.15</v>
      </c>
      <c r="S1027" s="18" t="n">
        <f aca="false">IFERROR(INDEX(SEMANAS!$H$6:$H$71,MATCH($B1027,SEMANAS!$B$6:$B$71,0)),0)</f>
        <v>31.5</v>
      </c>
      <c r="T1027" s="18" t="n">
        <f aca="false">$R1027*$S1027</f>
        <v>36.225</v>
      </c>
      <c r="U1027" s="18" t="n">
        <f aca="false">IFERROR(INDEX(SEMANAS!$I$6:$I$71,MATCH($B1027,SEMANAS!$B$6:$B$71,0)),0)</f>
        <v>16.31</v>
      </c>
      <c r="V1027" s="18" t="n">
        <f aca="false">IFERROR(INDEX(SEMANAS!$J$6:$J$71,MATCH($B1027,SEMANAS!$B$6:$B$71,0)),0)</f>
        <v>13.048</v>
      </c>
      <c r="W1027" s="18" t="n">
        <f aca="false">MAX(0,$T1027-$V1027)</f>
        <v>23.177</v>
      </c>
      <c r="X1027" s="19" t="n">
        <f aca="false">IFERROR(INDEX(CADASTRO_PIVOS!$K$6:$K$41,MATCH($E1027,CADASTRO_PIVOS!$B$6:$B$41,0)),EFICIENCIA_PADRAO)</f>
        <v>0.85</v>
      </c>
      <c r="Y1027" s="18" t="n">
        <f aca="false">IF($X1027&lt;=0,0,$W1027/$X1027)</f>
        <v>27.2670588235294</v>
      </c>
      <c r="Z1027" s="16" t="n">
        <f aca="false">$Y1027*$H1027*MM_PARA_M3_HA</f>
        <v>27256.152</v>
      </c>
      <c r="AA1027" s="18" t="n">
        <f aca="false">IFERROR(INDEX(CADASTRO_PIVOS!$I$6:$I$41,MATCH($E1027,CADASTRO_PIVOS!$B$6:$B$41,0)),0)</f>
        <v>714</v>
      </c>
      <c r="AB1027" s="18" t="n">
        <f aca="false">IF($Z1027&lt;=0,0,$Z1027/$AA1027)</f>
        <v>38.1738823529412</v>
      </c>
      <c r="AC1027" s="16" t="n">
        <f aca="false">IFERROR(INDEX(SEMANAS!$K$6:$K$71,MATCH($B1027,SEMANAS!$B$6:$B$71,0)),0)</f>
        <v>147</v>
      </c>
      <c r="AD1027" s="19" t="n">
        <f aca="false">IF($AC1027&lt;=0,0,$AB1027/$AC1027)</f>
        <v>0.259686274509804</v>
      </c>
      <c r="AE1027" s="8" t="str">
        <f aca="false">IF($K1027="SEM CULTURA","SEM CULTURA",IF($AA1027&lt;=0,"DADO PENDENTE",IF($AD1027&gt;LIMITE_CRITICO,"INVIAVEL",IF($AD1027&gt;LIMITE_ATENCAO,"CRITICO",IF($AD1027&gt;LIMITE_CONFORTAVEL,"ATENCAO","OK")))))</f>
        <v>OK</v>
      </c>
      <c r="AF1027" s="8" t="str">
        <f aca="false">$B1027&amp;"|"&amp;TEXT($AD1027,"0.000000")</f>
        <v>32|0.259686</v>
      </c>
      <c r="AG1027" s="18" t="n">
        <f aca="false">IF($K1027="SEM CULTURA",0,$T1027*$H1027)</f>
        <v>3621.051</v>
      </c>
      <c r="AH1027" s="18" t="n">
        <f aca="false">IF($K1027="SEM CULTURA",0,$V1027*$H1027)</f>
        <v>1304.27808</v>
      </c>
      <c r="AI1027" s="18" t="n">
        <f aca="false">IF($K1027="SEM CULTURA",0,$W1027*$H1027)</f>
        <v>2316.77292</v>
      </c>
      <c r="AJ1027" s="18" t="n">
        <f aca="false">IF($K1027="SEM CULTURA",0,$S1027*$H1027)</f>
        <v>3148.74</v>
      </c>
      <c r="AK1027" s="8" t="str">
        <f aca="false">$E1027&amp;"|"&amp;TEXT($AD1027,"0.000000")</f>
        <v>PV 132|0.259686</v>
      </c>
    </row>
    <row r="1028" customFormat="false" ht="15" hidden="false" customHeight="false" outlineLevel="0" collapsed="false">
      <c r="B1028" s="16" t="n">
        <v>33</v>
      </c>
      <c r="C1028" s="17" t="n">
        <f aca="false">DATA_INICIO_SAFRA+($B1028-1)*DIAS_POR_SEMANA</f>
        <v>46489</v>
      </c>
      <c r="D1028" s="17" t="n">
        <f aca="false">$C1028+DIAS_POR_SEMANA-1</f>
        <v>46495</v>
      </c>
      <c r="E1028" s="15" t="s">
        <v>274</v>
      </c>
      <c r="F1028" s="8" t="str">
        <f aca="false">IFERROR(INDEX(CADASTRO_PIVOS!$C$6:$C$41,MATCH($E1028,CADASTRO_PIVOS!$B$6:$B$41,0)),"?")</f>
        <v>RM05</v>
      </c>
      <c r="G1028" s="8" t="str">
        <f aca="false">IFERROR(INDEX(CADASTRO_PIVOS!$D$6:$D$41,MATCH($E1028,CADASTRO_PIVOS!$B$6:$B$41,0)),"?")</f>
        <v>TR05</v>
      </c>
      <c r="H1028" s="20" t="n">
        <f aca="false">IFERROR(INDEX(CADASTRO_PIVOS!$E$6:$E$41,MATCH($E1028,CADASTRO_PIVOS!$B$6:$B$41,0)),0)</f>
        <v>99.96</v>
      </c>
      <c r="I1028" s="16" t="n">
        <f aca="false">IFERROR(SUMIFS(ROTACAO_RDM!$B$6:$B$71,ROTACAO_RDM!$D$6:$D$71,$E1028,ROTACAO_RDM!$I$6:$I$71,"&lt;="&amp;$C1028+INT(DIAS_POR_SEMANA/2),ROTACAO_RDM!$J$6:$J$71,"&gt;="&amp;$C1028+INT(DIAS_POR_SEMANA/2)),0)</f>
        <v>63</v>
      </c>
      <c r="J1028" s="16" t="n">
        <f aca="false">IFERROR(MATCH($I1028,ROTACAO_RDM!$B$6:$B$71,0),0)</f>
        <v>63</v>
      </c>
      <c r="K1028" s="8" t="str">
        <f aca="false">IF($J1028=0,"SEM CULTURA",INDEX(ROTACAO_RDM!$F$6:$F$71,$J1028))</f>
        <v>ALGODAO</v>
      </c>
      <c r="L1028" s="8" t="str">
        <f aca="false">IF($J1028=0,"",INDEX(ROTACAO_RDM!$G$6:$G$71,$J1028))</f>
        <v>IMA 3764 B2RF</v>
      </c>
      <c r="M1028" s="17" t="n">
        <f aca="false">IF($J1028=0,"",INDEX(ROTACAO_RDM!$I$6:$I$71,$J1028))</f>
        <v>46357</v>
      </c>
      <c r="N1028" s="16" t="n">
        <f aca="false">IF($J1028=0,0,MAX(0,$C1028+INT(DIAS_POR_SEMANA/2)-INDEX(ROTACAO_RDM!$I$6:$I$71,$J1028)))</f>
        <v>135</v>
      </c>
      <c r="O1028" s="19" t="n">
        <f aca="false">IF($J1028=0,0,MIN(1,$N1028/MAX(1,INDEX(ROTACAO_RDM!$K$6:$K$71,$J1028))))</f>
        <v>0.642857142857143</v>
      </c>
      <c r="P1028" s="16" t="n">
        <f aca="false">IF($J1028=0,0,IFERROR(MATCH(INDEX(ROTACAO_RDM!$N$6:$N$71,$J1028),PARAMETROS_CULTURAS!$B$6:$B$28,0),0))</f>
        <v>6</v>
      </c>
      <c r="Q1028" s="8" t="str">
        <f aca="false">IF($P1028=0,"-",IF($O1028&lt;=INDEX(PARAMETROS_CULTURAS!$F$6:$F$28,$P1028),"INICIAL",IF($O1028&lt;=INDEX(PARAMETROS_CULTURAS!$F$6:$F$28,$P1028)+INDEX(PARAMETROS_CULTURAS!$G$6:$G$28,$P1028),"DESENVOLVIMENTO",IF($O1028&lt;=INDEX(PARAMETROS_CULTURAS!$F$6:$F$28,$P1028)+INDEX(PARAMETROS_CULTURAS!$G$6:$G$28,$P1028)+INDEX(PARAMETROS_CULTURAS!$H$6:$H$28,$P1028),"MEDIA","FINAL"))))</f>
        <v>MEDIA</v>
      </c>
      <c r="R1028" s="24" t="n">
        <f aca="false">IF($P1028=0,0,IF($O1028&lt;=INDEX(PARAMETROS_CULTURAS!$F$6:$F$28,$P1028),INDEX(PARAMETROS_CULTURAS!$K$6:$K$28,$P1028),IF($O1028&lt;=INDEX(PARAMETROS_CULTURAS!$F$6:$F$28,$P1028)+INDEX(PARAMETROS_CULTURAS!$G$6:$G$28,$P1028),INDEX(PARAMETROS_CULTURAS!$K$6:$K$28,$P1028)+(INDEX(PARAMETROS_CULTURAS!$L$6:$L$28,$P1028)-INDEX(PARAMETROS_CULTURAS!$K$6:$K$28,$P1028))*($O1028-INDEX(PARAMETROS_CULTURAS!$F$6:$F$28,$P1028))/MAX(INDEX(PARAMETROS_CULTURAS!$G$6:$G$28,$P1028),0.0001),IF($O1028&lt;=INDEX(PARAMETROS_CULTURAS!$F$6:$F$28,$P1028)+INDEX(PARAMETROS_CULTURAS!$G$6:$G$28,$P1028)+INDEX(PARAMETROS_CULTURAS!$H$6:$H$28,$P1028),INDEX(PARAMETROS_CULTURAS!$L$6:$L$28,$P1028),INDEX(PARAMETROS_CULTURAS!$L$6:$L$28,$P1028)+(INDEX(PARAMETROS_CULTURAS!$M$6:$M$28,$P1028)-INDEX(PARAMETROS_CULTURAS!$L$6:$L$28,$P1028))*($O1028-INDEX(PARAMETROS_CULTURAS!$F$6:$F$28,$P1028)-INDEX(PARAMETROS_CULTURAS!$G$6:$G$28,$P1028)-INDEX(PARAMETROS_CULTURAS!$H$6:$H$28,$P1028))/MAX(INDEX(PARAMETROS_CULTURAS!$I$6:$I$28,$P1028),0.0001)))))</f>
        <v>1.15</v>
      </c>
      <c r="S1028" s="18" t="n">
        <f aca="false">IFERROR(INDEX(SEMANAS!$H$6:$H$71,MATCH($B1028,SEMANAS!$B$6:$B$71,0)),0)</f>
        <v>31.5</v>
      </c>
      <c r="T1028" s="18" t="n">
        <f aca="false">$R1028*$S1028</f>
        <v>36.225</v>
      </c>
      <c r="U1028" s="18" t="n">
        <f aca="false">IFERROR(INDEX(SEMANAS!$I$6:$I$71,MATCH($B1028,SEMANAS!$B$6:$B$71,0)),0)</f>
        <v>16.31</v>
      </c>
      <c r="V1028" s="18" t="n">
        <f aca="false">IFERROR(INDEX(SEMANAS!$J$6:$J$71,MATCH($B1028,SEMANAS!$B$6:$B$71,0)),0)</f>
        <v>13.048</v>
      </c>
      <c r="W1028" s="18" t="n">
        <f aca="false">MAX(0,$T1028-$V1028)</f>
        <v>23.177</v>
      </c>
      <c r="X1028" s="19" t="n">
        <f aca="false">IFERROR(INDEX(CADASTRO_PIVOS!$K$6:$K$41,MATCH($E1028,CADASTRO_PIVOS!$B$6:$B$41,0)),EFICIENCIA_PADRAO)</f>
        <v>0.85</v>
      </c>
      <c r="Y1028" s="18" t="n">
        <f aca="false">IF($X1028&lt;=0,0,$W1028/$X1028)</f>
        <v>27.2670588235294</v>
      </c>
      <c r="Z1028" s="16" t="n">
        <f aca="false">$Y1028*$H1028*MM_PARA_M3_HA</f>
        <v>27256.152</v>
      </c>
      <c r="AA1028" s="18" t="n">
        <f aca="false">IFERROR(INDEX(CADASTRO_PIVOS!$I$6:$I$41,MATCH($E1028,CADASTRO_PIVOS!$B$6:$B$41,0)),0)</f>
        <v>714</v>
      </c>
      <c r="AB1028" s="18" t="n">
        <f aca="false">IF($Z1028&lt;=0,0,$Z1028/$AA1028)</f>
        <v>38.1738823529412</v>
      </c>
      <c r="AC1028" s="16" t="n">
        <f aca="false">IFERROR(INDEX(SEMANAS!$K$6:$K$71,MATCH($B1028,SEMANAS!$B$6:$B$71,0)),0)</f>
        <v>147</v>
      </c>
      <c r="AD1028" s="19" t="n">
        <f aca="false">IF($AC1028&lt;=0,0,$AB1028/$AC1028)</f>
        <v>0.259686274509804</v>
      </c>
      <c r="AE1028" s="8" t="str">
        <f aca="false">IF($K1028="SEM CULTURA","SEM CULTURA",IF($AA1028&lt;=0,"DADO PENDENTE",IF($AD1028&gt;LIMITE_CRITICO,"INVIAVEL",IF($AD1028&gt;LIMITE_ATENCAO,"CRITICO",IF($AD1028&gt;LIMITE_CONFORTAVEL,"ATENCAO","OK")))))</f>
        <v>OK</v>
      </c>
      <c r="AF1028" s="8" t="str">
        <f aca="false">$B1028&amp;"|"&amp;TEXT($AD1028,"0.000000")</f>
        <v>33|0.259686</v>
      </c>
      <c r="AG1028" s="18" t="n">
        <f aca="false">IF($K1028="SEM CULTURA",0,$T1028*$H1028)</f>
        <v>3621.051</v>
      </c>
      <c r="AH1028" s="18" t="n">
        <f aca="false">IF($K1028="SEM CULTURA",0,$V1028*$H1028)</f>
        <v>1304.27808</v>
      </c>
      <c r="AI1028" s="18" t="n">
        <f aca="false">IF($K1028="SEM CULTURA",0,$W1028*$H1028)</f>
        <v>2316.77292</v>
      </c>
      <c r="AJ1028" s="18" t="n">
        <f aca="false">IF($K1028="SEM CULTURA",0,$S1028*$H1028)</f>
        <v>3148.74</v>
      </c>
      <c r="AK1028" s="8" t="str">
        <f aca="false">$E1028&amp;"|"&amp;TEXT($AD1028,"0.000000")</f>
        <v>PV 132|0.259686</v>
      </c>
    </row>
    <row r="1029" customFormat="false" ht="15" hidden="false" customHeight="false" outlineLevel="0" collapsed="false">
      <c r="B1029" s="16" t="n">
        <v>34</v>
      </c>
      <c r="C1029" s="17" t="n">
        <f aca="false">DATA_INICIO_SAFRA+($B1029-1)*DIAS_POR_SEMANA</f>
        <v>46496</v>
      </c>
      <c r="D1029" s="17" t="n">
        <f aca="false">$C1029+DIAS_POR_SEMANA-1</f>
        <v>46502</v>
      </c>
      <c r="E1029" s="15" t="s">
        <v>274</v>
      </c>
      <c r="F1029" s="8" t="str">
        <f aca="false">IFERROR(INDEX(CADASTRO_PIVOS!$C$6:$C$41,MATCH($E1029,CADASTRO_PIVOS!$B$6:$B$41,0)),"?")</f>
        <v>RM05</v>
      </c>
      <c r="G1029" s="8" t="str">
        <f aca="false">IFERROR(INDEX(CADASTRO_PIVOS!$D$6:$D$41,MATCH($E1029,CADASTRO_PIVOS!$B$6:$B$41,0)),"?")</f>
        <v>TR05</v>
      </c>
      <c r="H1029" s="20" t="n">
        <f aca="false">IFERROR(INDEX(CADASTRO_PIVOS!$E$6:$E$41,MATCH($E1029,CADASTRO_PIVOS!$B$6:$B$41,0)),0)</f>
        <v>99.96</v>
      </c>
      <c r="I1029" s="16" t="n">
        <f aca="false">IFERROR(SUMIFS(ROTACAO_RDM!$B$6:$B$71,ROTACAO_RDM!$D$6:$D$71,$E1029,ROTACAO_RDM!$I$6:$I$71,"&lt;="&amp;$C1029+INT(DIAS_POR_SEMANA/2),ROTACAO_RDM!$J$6:$J$71,"&gt;="&amp;$C1029+INT(DIAS_POR_SEMANA/2)),0)</f>
        <v>63</v>
      </c>
      <c r="J1029" s="16" t="n">
        <f aca="false">IFERROR(MATCH($I1029,ROTACAO_RDM!$B$6:$B$71,0),0)</f>
        <v>63</v>
      </c>
      <c r="K1029" s="8" t="str">
        <f aca="false">IF($J1029=0,"SEM CULTURA",INDEX(ROTACAO_RDM!$F$6:$F$71,$J1029))</f>
        <v>ALGODAO</v>
      </c>
      <c r="L1029" s="8" t="str">
        <f aca="false">IF($J1029=0,"",INDEX(ROTACAO_RDM!$G$6:$G$71,$J1029))</f>
        <v>IMA 3764 B2RF</v>
      </c>
      <c r="M1029" s="17" t="n">
        <f aca="false">IF($J1029=0,"",INDEX(ROTACAO_RDM!$I$6:$I$71,$J1029))</f>
        <v>46357</v>
      </c>
      <c r="N1029" s="16" t="n">
        <f aca="false">IF($J1029=0,0,MAX(0,$C1029+INT(DIAS_POR_SEMANA/2)-INDEX(ROTACAO_RDM!$I$6:$I$71,$J1029)))</f>
        <v>142</v>
      </c>
      <c r="O1029" s="19" t="n">
        <f aca="false">IF($J1029=0,0,MIN(1,$N1029/MAX(1,INDEX(ROTACAO_RDM!$K$6:$K$71,$J1029))))</f>
        <v>0.676190476190476</v>
      </c>
      <c r="P1029" s="16" t="n">
        <f aca="false">IF($J1029=0,0,IFERROR(MATCH(INDEX(ROTACAO_RDM!$N$6:$N$71,$J1029),PARAMETROS_CULTURAS!$B$6:$B$28,0),0))</f>
        <v>6</v>
      </c>
      <c r="Q1029" s="8" t="str">
        <f aca="false">IF($P1029=0,"-",IF($O1029&lt;=INDEX(PARAMETROS_CULTURAS!$F$6:$F$28,$P1029),"INICIAL",IF($O1029&lt;=INDEX(PARAMETROS_CULTURAS!$F$6:$F$28,$P1029)+INDEX(PARAMETROS_CULTURAS!$G$6:$G$28,$P1029),"DESENVOLVIMENTO",IF($O1029&lt;=INDEX(PARAMETROS_CULTURAS!$F$6:$F$28,$P1029)+INDEX(PARAMETROS_CULTURAS!$G$6:$G$28,$P1029)+INDEX(PARAMETROS_CULTURAS!$H$6:$H$28,$P1029),"MEDIA","FINAL"))))</f>
        <v>MEDIA</v>
      </c>
      <c r="R1029" s="24" t="n">
        <f aca="false">IF($P1029=0,0,IF($O1029&lt;=INDEX(PARAMETROS_CULTURAS!$F$6:$F$28,$P1029),INDEX(PARAMETROS_CULTURAS!$K$6:$K$28,$P1029),IF($O1029&lt;=INDEX(PARAMETROS_CULTURAS!$F$6:$F$28,$P1029)+INDEX(PARAMETROS_CULTURAS!$G$6:$G$28,$P1029),INDEX(PARAMETROS_CULTURAS!$K$6:$K$28,$P1029)+(INDEX(PARAMETROS_CULTURAS!$L$6:$L$28,$P1029)-INDEX(PARAMETROS_CULTURAS!$K$6:$K$28,$P1029))*($O1029-INDEX(PARAMETROS_CULTURAS!$F$6:$F$28,$P1029))/MAX(INDEX(PARAMETROS_CULTURAS!$G$6:$G$28,$P1029),0.0001),IF($O1029&lt;=INDEX(PARAMETROS_CULTURAS!$F$6:$F$28,$P1029)+INDEX(PARAMETROS_CULTURAS!$G$6:$G$28,$P1029)+INDEX(PARAMETROS_CULTURAS!$H$6:$H$28,$P1029),INDEX(PARAMETROS_CULTURAS!$L$6:$L$28,$P1029),INDEX(PARAMETROS_CULTURAS!$L$6:$L$28,$P1029)+(INDEX(PARAMETROS_CULTURAS!$M$6:$M$28,$P1029)-INDEX(PARAMETROS_CULTURAS!$L$6:$L$28,$P1029))*($O1029-INDEX(PARAMETROS_CULTURAS!$F$6:$F$28,$P1029)-INDEX(PARAMETROS_CULTURAS!$G$6:$G$28,$P1029)-INDEX(PARAMETROS_CULTURAS!$H$6:$H$28,$P1029))/MAX(INDEX(PARAMETROS_CULTURAS!$I$6:$I$28,$P1029),0.0001)))))</f>
        <v>1.15</v>
      </c>
      <c r="S1029" s="18" t="n">
        <f aca="false">IFERROR(INDEX(SEMANAS!$H$6:$H$71,MATCH($B1029,SEMANAS!$B$6:$B$71,0)),0)</f>
        <v>31.5</v>
      </c>
      <c r="T1029" s="18" t="n">
        <f aca="false">$R1029*$S1029</f>
        <v>36.225</v>
      </c>
      <c r="U1029" s="18" t="n">
        <f aca="false">IFERROR(INDEX(SEMANAS!$I$6:$I$71,MATCH($B1029,SEMANAS!$B$6:$B$71,0)),0)</f>
        <v>16.31</v>
      </c>
      <c r="V1029" s="18" t="n">
        <f aca="false">IFERROR(INDEX(SEMANAS!$J$6:$J$71,MATCH($B1029,SEMANAS!$B$6:$B$71,0)),0)</f>
        <v>13.048</v>
      </c>
      <c r="W1029" s="18" t="n">
        <f aca="false">MAX(0,$T1029-$V1029)</f>
        <v>23.177</v>
      </c>
      <c r="X1029" s="19" t="n">
        <f aca="false">IFERROR(INDEX(CADASTRO_PIVOS!$K$6:$K$41,MATCH($E1029,CADASTRO_PIVOS!$B$6:$B$41,0)),EFICIENCIA_PADRAO)</f>
        <v>0.85</v>
      </c>
      <c r="Y1029" s="18" t="n">
        <f aca="false">IF($X1029&lt;=0,0,$W1029/$X1029)</f>
        <v>27.2670588235294</v>
      </c>
      <c r="Z1029" s="16" t="n">
        <f aca="false">$Y1029*$H1029*MM_PARA_M3_HA</f>
        <v>27256.152</v>
      </c>
      <c r="AA1029" s="18" t="n">
        <f aca="false">IFERROR(INDEX(CADASTRO_PIVOS!$I$6:$I$41,MATCH($E1029,CADASTRO_PIVOS!$B$6:$B$41,0)),0)</f>
        <v>714</v>
      </c>
      <c r="AB1029" s="18" t="n">
        <f aca="false">IF($Z1029&lt;=0,0,$Z1029/$AA1029)</f>
        <v>38.1738823529412</v>
      </c>
      <c r="AC1029" s="16" t="n">
        <f aca="false">IFERROR(INDEX(SEMANAS!$K$6:$K$71,MATCH($B1029,SEMANAS!$B$6:$B$71,0)),0)</f>
        <v>147</v>
      </c>
      <c r="AD1029" s="19" t="n">
        <f aca="false">IF($AC1029&lt;=0,0,$AB1029/$AC1029)</f>
        <v>0.259686274509804</v>
      </c>
      <c r="AE1029" s="8" t="str">
        <f aca="false">IF($K1029="SEM CULTURA","SEM CULTURA",IF($AA1029&lt;=0,"DADO PENDENTE",IF($AD1029&gt;LIMITE_CRITICO,"INVIAVEL",IF($AD1029&gt;LIMITE_ATENCAO,"CRITICO",IF($AD1029&gt;LIMITE_CONFORTAVEL,"ATENCAO","OK")))))</f>
        <v>OK</v>
      </c>
      <c r="AF1029" s="8" t="str">
        <f aca="false">$B1029&amp;"|"&amp;TEXT($AD1029,"0.000000")</f>
        <v>34|0.259686</v>
      </c>
      <c r="AG1029" s="18" t="n">
        <f aca="false">IF($K1029="SEM CULTURA",0,$T1029*$H1029)</f>
        <v>3621.051</v>
      </c>
      <c r="AH1029" s="18" t="n">
        <f aca="false">IF($K1029="SEM CULTURA",0,$V1029*$H1029)</f>
        <v>1304.27808</v>
      </c>
      <c r="AI1029" s="18" t="n">
        <f aca="false">IF($K1029="SEM CULTURA",0,$W1029*$H1029)</f>
        <v>2316.77292</v>
      </c>
      <c r="AJ1029" s="18" t="n">
        <f aca="false">IF($K1029="SEM CULTURA",0,$S1029*$H1029)</f>
        <v>3148.74</v>
      </c>
      <c r="AK1029" s="8" t="str">
        <f aca="false">$E1029&amp;"|"&amp;TEXT($AD1029,"0.000000")</f>
        <v>PV 132|0.259686</v>
      </c>
    </row>
    <row r="1030" customFormat="false" ht="15" hidden="false" customHeight="false" outlineLevel="0" collapsed="false">
      <c r="B1030" s="16" t="n">
        <v>35</v>
      </c>
      <c r="C1030" s="17" t="n">
        <f aca="false">DATA_INICIO_SAFRA+($B1030-1)*DIAS_POR_SEMANA</f>
        <v>46503</v>
      </c>
      <c r="D1030" s="17" t="n">
        <f aca="false">$C1030+DIAS_POR_SEMANA-1</f>
        <v>46509</v>
      </c>
      <c r="E1030" s="15" t="s">
        <v>274</v>
      </c>
      <c r="F1030" s="8" t="str">
        <f aca="false">IFERROR(INDEX(CADASTRO_PIVOS!$C$6:$C$41,MATCH($E1030,CADASTRO_PIVOS!$B$6:$B$41,0)),"?")</f>
        <v>RM05</v>
      </c>
      <c r="G1030" s="8" t="str">
        <f aca="false">IFERROR(INDEX(CADASTRO_PIVOS!$D$6:$D$41,MATCH($E1030,CADASTRO_PIVOS!$B$6:$B$41,0)),"?")</f>
        <v>TR05</v>
      </c>
      <c r="H1030" s="20" t="n">
        <f aca="false">IFERROR(INDEX(CADASTRO_PIVOS!$E$6:$E$41,MATCH($E1030,CADASTRO_PIVOS!$B$6:$B$41,0)),0)</f>
        <v>99.96</v>
      </c>
      <c r="I1030" s="16" t="n">
        <f aca="false">IFERROR(SUMIFS(ROTACAO_RDM!$B$6:$B$71,ROTACAO_RDM!$D$6:$D$71,$E1030,ROTACAO_RDM!$I$6:$I$71,"&lt;="&amp;$C1030+INT(DIAS_POR_SEMANA/2),ROTACAO_RDM!$J$6:$J$71,"&gt;="&amp;$C1030+INT(DIAS_POR_SEMANA/2)),0)</f>
        <v>63</v>
      </c>
      <c r="J1030" s="16" t="n">
        <f aca="false">IFERROR(MATCH($I1030,ROTACAO_RDM!$B$6:$B$71,0),0)</f>
        <v>63</v>
      </c>
      <c r="K1030" s="8" t="str">
        <f aca="false">IF($J1030=0,"SEM CULTURA",INDEX(ROTACAO_RDM!$F$6:$F$71,$J1030))</f>
        <v>ALGODAO</v>
      </c>
      <c r="L1030" s="8" t="str">
        <f aca="false">IF($J1030=0,"",INDEX(ROTACAO_RDM!$G$6:$G$71,$J1030))</f>
        <v>IMA 3764 B2RF</v>
      </c>
      <c r="M1030" s="17" t="n">
        <f aca="false">IF($J1030=0,"",INDEX(ROTACAO_RDM!$I$6:$I$71,$J1030))</f>
        <v>46357</v>
      </c>
      <c r="N1030" s="16" t="n">
        <f aca="false">IF($J1030=0,0,MAX(0,$C1030+INT(DIAS_POR_SEMANA/2)-INDEX(ROTACAO_RDM!$I$6:$I$71,$J1030)))</f>
        <v>149</v>
      </c>
      <c r="O1030" s="19" t="n">
        <f aca="false">IF($J1030=0,0,MIN(1,$N1030/MAX(1,INDEX(ROTACAO_RDM!$K$6:$K$71,$J1030))))</f>
        <v>0.70952380952381</v>
      </c>
      <c r="P1030" s="16" t="n">
        <f aca="false">IF($J1030=0,0,IFERROR(MATCH(INDEX(ROTACAO_RDM!$N$6:$N$71,$J1030),PARAMETROS_CULTURAS!$B$6:$B$28,0),0))</f>
        <v>6</v>
      </c>
      <c r="Q1030" s="8" t="str">
        <f aca="false">IF($P1030=0,"-",IF($O1030&lt;=INDEX(PARAMETROS_CULTURAS!$F$6:$F$28,$P1030),"INICIAL",IF($O1030&lt;=INDEX(PARAMETROS_CULTURAS!$F$6:$F$28,$P1030)+INDEX(PARAMETROS_CULTURAS!$G$6:$G$28,$P1030),"DESENVOLVIMENTO",IF($O1030&lt;=INDEX(PARAMETROS_CULTURAS!$F$6:$F$28,$P1030)+INDEX(PARAMETROS_CULTURAS!$G$6:$G$28,$P1030)+INDEX(PARAMETROS_CULTURAS!$H$6:$H$28,$P1030),"MEDIA","FINAL"))))</f>
        <v>MEDIA</v>
      </c>
      <c r="R1030" s="24" t="n">
        <f aca="false">IF($P1030=0,0,IF($O1030&lt;=INDEX(PARAMETROS_CULTURAS!$F$6:$F$28,$P1030),INDEX(PARAMETROS_CULTURAS!$K$6:$K$28,$P1030),IF($O1030&lt;=INDEX(PARAMETROS_CULTURAS!$F$6:$F$28,$P1030)+INDEX(PARAMETROS_CULTURAS!$G$6:$G$28,$P1030),INDEX(PARAMETROS_CULTURAS!$K$6:$K$28,$P1030)+(INDEX(PARAMETROS_CULTURAS!$L$6:$L$28,$P1030)-INDEX(PARAMETROS_CULTURAS!$K$6:$K$28,$P1030))*($O1030-INDEX(PARAMETROS_CULTURAS!$F$6:$F$28,$P1030))/MAX(INDEX(PARAMETROS_CULTURAS!$G$6:$G$28,$P1030),0.0001),IF($O1030&lt;=INDEX(PARAMETROS_CULTURAS!$F$6:$F$28,$P1030)+INDEX(PARAMETROS_CULTURAS!$G$6:$G$28,$P1030)+INDEX(PARAMETROS_CULTURAS!$H$6:$H$28,$P1030),INDEX(PARAMETROS_CULTURAS!$L$6:$L$28,$P1030),INDEX(PARAMETROS_CULTURAS!$L$6:$L$28,$P1030)+(INDEX(PARAMETROS_CULTURAS!$M$6:$M$28,$P1030)-INDEX(PARAMETROS_CULTURAS!$L$6:$L$28,$P1030))*($O1030-INDEX(PARAMETROS_CULTURAS!$F$6:$F$28,$P1030)-INDEX(PARAMETROS_CULTURAS!$G$6:$G$28,$P1030)-INDEX(PARAMETROS_CULTURAS!$H$6:$H$28,$P1030))/MAX(INDEX(PARAMETROS_CULTURAS!$I$6:$I$28,$P1030),0.0001)))))</f>
        <v>1.15</v>
      </c>
      <c r="S1030" s="18" t="n">
        <f aca="false">IFERROR(INDEX(SEMANAS!$H$6:$H$71,MATCH($B1030,SEMANAS!$B$6:$B$71,0)),0)</f>
        <v>30.9</v>
      </c>
      <c r="T1030" s="18" t="n">
        <f aca="false">$R1030*$S1030</f>
        <v>35.535</v>
      </c>
      <c r="U1030" s="18" t="n">
        <f aca="false">IFERROR(INDEX(SEMANAS!$I$6:$I$71,MATCH($B1030,SEMANAS!$B$6:$B$71,0)),0)</f>
        <v>12.61</v>
      </c>
      <c r="V1030" s="18" t="n">
        <f aca="false">IFERROR(INDEX(SEMANAS!$J$6:$J$71,MATCH($B1030,SEMANAS!$B$6:$B$71,0)),0)</f>
        <v>10.088</v>
      </c>
      <c r="W1030" s="18" t="n">
        <f aca="false">MAX(0,$T1030-$V1030)</f>
        <v>25.447</v>
      </c>
      <c r="X1030" s="19" t="n">
        <f aca="false">IFERROR(INDEX(CADASTRO_PIVOS!$K$6:$K$41,MATCH($E1030,CADASTRO_PIVOS!$B$6:$B$41,0)),EFICIENCIA_PADRAO)</f>
        <v>0.85</v>
      </c>
      <c r="Y1030" s="18" t="n">
        <f aca="false">IF($X1030&lt;=0,0,$W1030/$X1030)</f>
        <v>29.9376470588235</v>
      </c>
      <c r="Z1030" s="16" t="n">
        <f aca="false">$Y1030*$H1030*MM_PARA_M3_HA</f>
        <v>29925.672</v>
      </c>
      <c r="AA1030" s="18" t="n">
        <f aca="false">IFERROR(INDEX(CADASTRO_PIVOS!$I$6:$I$41,MATCH($E1030,CADASTRO_PIVOS!$B$6:$B$41,0)),0)</f>
        <v>714</v>
      </c>
      <c r="AB1030" s="18" t="n">
        <f aca="false">IF($Z1030&lt;=0,0,$Z1030/$AA1030)</f>
        <v>41.9127058823529</v>
      </c>
      <c r="AC1030" s="16" t="n">
        <f aca="false">IFERROR(INDEX(SEMANAS!$K$6:$K$71,MATCH($B1030,SEMANAS!$B$6:$B$71,0)),0)</f>
        <v>147</v>
      </c>
      <c r="AD1030" s="19" t="n">
        <f aca="false">IF($AC1030&lt;=0,0,$AB1030/$AC1030)</f>
        <v>0.285120448179272</v>
      </c>
      <c r="AE1030" s="8" t="str">
        <f aca="false">IF($K1030="SEM CULTURA","SEM CULTURA",IF($AA1030&lt;=0,"DADO PENDENTE",IF($AD1030&gt;LIMITE_CRITICO,"INVIAVEL",IF($AD1030&gt;LIMITE_ATENCAO,"CRITICO",IF($AD1030&gt;LIMITE_CONFORTAVEL,"ATENCAO","OK")))))</f>
        <v>OK</v>
      </c>
      <c r="AF1030" s="8" t="str">
        <f aca="false">$B1030&amp;"|"&amp;TEXT($AD1030,"0.000000")</f>
        <v>35|0.285120</v>
      </c>
      <c r="AG1030" s="18" t="n">
        <f aca="false">IF($K1030="SEM CULTURA",0,$T1030*$H1030)</f>
        <v>3552.0786</v>
      </c>
      <c r="AH1030" s="18" t="n">
        <f aca="false">IF($K1030="SEM CULTURA",0,$V1030*$H1030)</f>
        <v>1008.39648</v>
      </c>
      <c r="AI1030" s="18" t="n">
        <f aca="false">IF($K1030="SEM CULTURA",0,$W1030*$H1030)</f>
        <v>2543.68212</v>
      </c>
      <c r="AJ1030" s="18" t="n">
        <f aca="false">IF($K1030="SEM CULTURA",0,$S1030*$H1030)</f>
        <v>3088.764</v>
      </c>
      <c r="AK1030" s="8" t="str">
        <f aca="false">$E1030&amp;"|"&amp;TEXT($AD1030,"0.000000")</f>
        <v>PV 132|0.285120</v>
      </c>
    </row>
    <row r="1031" customFormat="false" ht="15" hidden="false" customHeight="false" outlineLevel="0" collapsed="false">
      <c r="B1031" s="16" t="n">
        <v>36</v>
      </c>
      <c r="C1031" s="17" t="n">
        <f aca="false">DATA_INICIO_SAFRA+($B1031-1)*DIAS_POR_SEMANA</f>
        <v>46510</v>
      </c>
      <c r="D1031" s="17" t="n">
        <f aca="false">$C1031+DIAS_POR_SEMANA-1</f>
        <v>46516</v>
      </c>
      <c r="E1031" s="15" t="s">
        <v>274</v>
      </c>
      <c r="F1031" s="8" t="str">
        <f aca="false">IFERROR(INDEX(CADASTRO_PIVOS!$C$6:$C$41,MATCH($E1031,CADASTRO_PIVOS!$B$6:$B$41,0)),"?")</f>
        <v>RM05</v>
      </c>
      <c r="G1031" s="8" t="str">
        <f aca="false">IFERROR(INDEX(CADASTRO_PIVOS!$D$6:$D$41,MATCH($E1031,CADASTRO_PIVOS!$B$6:$B$41,0)),"?")</f>
        <v>TR05</v>
      </c>
      <c r="H1031" s="20" t="n">
        <f aca="false">IFERROR(INDEX(CADASTRO_PIVOS!$E$6:$E$41,MATCH($E1031,CADASTRO_PIVOS!$B$6:$B$41,0)),0)</f>
        <v>99.96</v>
      </c>
      <c r="I1031" s="16" t="n">
        <f aca="false">IFERROR(SUMIFS(ROTACAO_RDM!$B$6:$B$71,ROTACAO_RDM!$D$6:$D$71,$E1031,ROTACAO_RDM!$I$6:$I$71,"&lt;="&amp;$C1031+INT(DIAS_POR_SEMANA/2),ROTACAO_RDM!$J$6:$J$71,"&gt;="&amp;$C1031+INT(DIAS_POR_SEMANA/2)),0)</f>
        <v>63</v>
      </c>
      <c r="J1031" s="16" t="n">
        <f aca="false">IFERROR(MATCH($I1031,ROTACAO_RDM!$B$6:$B$71,0),0)</f>
        <v>63</v>
      </c>
      <c r="K1031" s="8" t="str">
        <f aca="false">IF($J1031=0,"SEM CULTURA",INDEX(ROTACAO_RDM!$F$6:$F$71,$J1031))</f>
        <v>ALGODAO</v>
      </c>
      <c r="L1031" s="8" t="str">
        <f aca="false">IF($J1031=0,"",INDEX(ROTACAO_RDM!$G$6:$G$71,$J1031))</f>
        <v>IMA 3764 B2RF</v>
      </c>
      <c r="M1031" s="17" t="n">
        <f aca="false">IF($J1031=0,"",INDEX(ROTACAO_RDM!$I$6:$I$71,$J1031))</f>
        <v>46357</v>
      </c>
      <c r="N1031" s="16" t="n">
        <f aca="false">IF($J1031=0,0,MAX(0,$C1031+INT(DIAS_POR_SEMANA/2)-INDEX(ROTACAO_RDM!$I$6:$I$71,$J1031)))</f>
        <v>156</v>
      </c>
      <c r="O1031" s="19" t="n">
        <f aca="false">IF($J1031=0,0,MIN(1,$N1031/MAX(1,INDEX(ROTACAO_RDM!$K$6:$K$71,$J1031))))</f>
        <v>0.742857142857143</v>
      </c>
      <c r="P1031" s="16" t="n">
        <f aca="false">IF($J1031=0,0,IFERROR(MATCH(INDEX(ROTACAO_RDM!$N$6:$N$71,$J1031),PARAMETROS_CULTURAS!$B$6:$B$28,0),0))</f>
        <v>6</v>
      </c>
      <c r="Q1031" s="8" t="str">
        <f aca="false">IF($P1031=0,"-",IF($O1031&lt;=INDEX(PARAMETROS_CULTURAS!$F$6:$F$28,$P1031),"INICIAL",IF($O1031&lt;=INDEX(PARAMETROS_CULTURAS!$F$6:$F$28,$P1031)+INDEX(PARAMETROS_CULTURAS!$G$6:$G$28,$P1031),"DESENVOLVIMENTO",IF($O1031&lt;=INDEX(PARAMETROS_CULTURAS!$F$6:$F$28,$P1031)+INDEX(PARAMETROS_CULTURAS!$G$6:$G$28,$P1031)+INDEX(PARAMETROS_CULTURAS!$H$6:$H$28,$P1031),"MEDIA","FINAL"))))</f>
        <v>FINAL</v>
      </c>
      <c r="R1031" s="24" t="n">
        <f aca="false">IF($P1031=0,0,IF($O1031&lt;=INDEX(PARAMETROS_CULTURAS!$F$6:$F$28,$P1031),INDEX(PARAMETROS_CULTURAS!$K$6:$K$28,$P1031),IF($O1031&lt;=INDEX(PARAMETROS_CULTURAS!$F$6:$F$28,$P1031)+INDEX(PARAMETROS_CULTURAS!$G$6:$G$28,$P1031),INDEX(PARAMETROS_CULTURAS!$K$6:$K$28,$P1031)+(INDEX(PARAMETROS_CULTURAS!$L$6:$L$28,$P1031)-INDEX(PARAMETROS_CULTURAS!$K$6:$K$28,$P1031))*($O1031-INDEX(PARAMETROS_CULTURAS!$F$6:$F$28,$P1031))/MAX(INDEX(PARAMETROS_CULTURAS!$G$6:$G$28,$P1031),0.0001),IF($O1031&lt;=INDEX(PARAMETROS_CULTURAS!$F$6:$F$28,$P1031)+INDEX(PARAMETROS_CULTURAS!$G$6:$G$28,$P1031)+INDEX(PARAMETROS_CULTURAS!$H$6:$H$28,$P1031),INDEX(PARAMETROS_CULTURAS!$L$6:$L$28,$P1031),INDEX(PARAMETROS_CULTURAS!$L$6:$L$28,$P1031)+(INDEX(PARAMETROS_CULTURAS!$M$6:$M$28,$P1031)-INDEX(PARAMETROS_CULTURAS!$L$6:$L$28,$P1031))*($O1031-INDEX(PARAMETROS_CULTURAS!$F$6:$F$28,$P1031)-INDEX(PARAMETROS_CULTURAS!$G$6:$G$28,$P1031)-INDEX(PARAMETROS_CULTURAS!$H$6:$H$28,$P1031))/MAX(INDEX(PARAMETROS_CULTURAS!$I$6:$I$28,$P1031),0.0001)))))</f>
        <v>1.08768472906404</v>
      </c>
      <c r="S1031" s="18" t="n">
        <f aca="false">IFERROR(INDEX(SEMANAS!$H$6:$H$71,MATCH($B1031,SEMANAS!$B$6:$B$71,0)),0)</f>
        <v>29.4</v>
      </c>
      <c r="T1031" s="18" t="n">
        <f aca="false">$R1031*$S1031</f>
        <v>31.9779310344828</v>
      </c>
      <c r="U1031" s="18" t="n">
        <f aca="false">IFERROR(INDEX(SEMANAS!$I$6:$I$71,MATCH($B1031,SEMANAS!$B$6:$B$71,0)),0)</f>
        <v>3.36</v>
      </c>
      <c r="V1031" s="18" t="n">
        <f aca="false">IFERROR(INDEX(SEMANAS!$J$6:$J$71,MATCH($B1031,SEMANAS!$B$6:$B$71,0)),0)</f>
        <v>2.688</v>
      </c>
      <c r="W1031" s="18" t="n">
        <f aca="false">MAX(0,$T1031-$V1031)</f>
        <v>29.2899310344828</v>
      </c>
      <c r="X1031" s="19" t="n">
        <f aca="false">IFERROR(INDEX(CADASTRO_PIVOS!$K$6:$K$41,MATCH($E1031,CADASTRO_PIVOS!$B$6:$B$41,0)),EFICIENCIA_PADRAO)</f>
        <v>0.85</v>
      </c>
      <c r="Y1031" s="18" t="n">
        <f aca="false">IF($X1031&lt;=0,0,$W1031/$X1031)</f>
        <v>34.4587423935091</v>
      </c>
      <c r="Z1031" s="16" t="n">
        <f aca="false">$Y1031*$H1031*MM_PARA_M3_HA</f>
        <v>34444.9588965517</v>
      </c>
      <c r="AA1031" s="18" t="n">
        <f aca="false">IFERROR(INDEX(CADASTRO_PIVOS!$I$6:$I$41,MATCH($E1031,CADASTRO_PIVOS!$B$6:$B$41,0)),0)</f>
        <v>714</v>
      </c>
      <c r="AB1031" s="18" t="n">
        <f aca="false">IF($Z1031&lt;=0,0,$Z1031/$AA1031)</f>
        <v>48.2422393509128</v>
      </c>
      <c r="AC1031" s="16" t="n">
        <f aca="false">IFERROR(INDEX(SEMANAS!$K$6:$K$71,MATCH($B1031,SEMANAS!$B$6:$B$71,0)),0)</f>
        <v>147</v>
      </c>
      <c r="AD1031" s="19" t="n">
        <f aca="false">IF($AC1031&lt;=0,0,$AB1031/$AC1031)</f>
        <v>0.328178498985801</v>
      </c>
      <c r="AE1031" s="8" t="str">
        <f aca="false">IF($K1031="SEM CULTURA","SEM CULTURA",IF($AA1031&lt;=0,"DADO PENDENTE",IF($AD1031&gt;LIMITE_CRITICO,"INVIAVEL",IF($AD1031&gt;LIMITE_ATENCAO,"CRITICO",IF($AD1031&gt;LIMITE_CONFORTAVEL,"ATENCAO","OK")))))</f>
        <v>OK</v>
      </c>
      <c r="AF1031" s="8" t="str">
        <f aca="false">$B1031&amp;"|"&amp;TEXT($AD1031,"0.000000")</f>
        <v>36|0.328178</v>
      </c>
      <c r="AG1031" s="18" t="n">
        <f aca="false">IF($K1031="SEM CULTURA",0,$T1031*$H1031)</f>
        <v>3196.5139862069</v>
      </c>
      <c r="AH1031" s="18" t="n">
        <f aca="false">IF($K1031="SEM CULTURA",0,$V1031*$H1031)</f>
        <v>268.69248</v>
      </c>
      <c r="AI1031" s="18" t="n">
        <f aca="false">IF($K1031="SEM CULTURA",0,$W1031*$H1031)</f>
        <v>2927.8215062069</v>
      </c>
      <c r="AJ1031" s="18" t="n">
        <f aca="false">IF($K1031="SEM CULTURA",0,$S1031*$H1031)</f>
        <v>2938.824</v>
      </c>
      <c r="AK1031" s="8" t="str">
        <f aca="false">$E1031&amp;"|"&amp;TEXT($AD1031,"0.000000")</f>
        <v>PV 132|0.328178</v>
      </c>
    </row>
    <row r="1032" customFormat="false" ht="15" hidden="false" customHeight="false" outlineLevel="0" collapsed="false">
      <c r="B1032" s="16" t="n">
        <v>37</v>
      </c>
      <c r="C1032" s="17" t="n">
        <f aca="false">DATA_INICIO_SAFRA+($B1032-1)*DIAS_POR_SEMANA</f>
        <v>46517</v>
      </c>
      <c r="D1032" s="17" t="n">
        <f aca="false">$C1032+DIAS_POR_SEMANA-1</f>
        <v>46523</v>
      </c>
      <c r="E1032" s="15" t="s">
        <v>274</v>
      </c>
      <c r="F1032" s="8" t="str">
        <f aca="false">IFERROR(INDEX(CADASTRO_PIVOS!$C$6:$C$41,MATCH($E1032,CADASTRO_PIVOS!$B$6:$B$41,0)),"?")</f>
        <v>RM05</v>
      </c>
      <c r="G1032" s="8" t="str">
        <f aca="false">IFERROR(INDEX(CADASTRO_PIVOS!$D$6:$D$41,MATCH($E1032,CADASTRO_PIVOS!$B$6:$B$41,0)),"?")</f>
        <v>TR05</v>
      </c>
      <c r="H1032" s="20" t="n">
        <f aca="false">IFERROR(INDEX(CADASTRO_PIVOS!$E$6:$E$41,MATCH($E1032,CADASTRO_PIVOS!$B$6:$B$41,0)),0)</f>
        <v>99.96</v>
      </c>
      <c r="I1032" s="16" t="n">
        <f aca="false">IFERROR(SUMIFS(ROTACAO_RDM!$B$6:$B$71,ROTACAO_RDM!$D$6:$D$71,$E1032,ROTACAO_RDM!$I$6:$I$71,"&lt;="&amp;$C1032+INT(DIAS_POR_SEMANA/2),ROTACAO_RDM!$J$6:$J$71,"&gt;="&amp;$C1032+INT(DIAS_POR_SEMANA/2)),0)</f>
        <v>63</v>
      </c>
      <c r="J1032" s="16" t="n">
        <f aca="false">IFERROR(MATCH($I1032,ROTACAO_RDM!$B$6:$B$71,0),0)</f>
        <v>63</v>
      </c>
      <c r="K1032" s="8" t="str">
        <f aca="false">IF($J1032=0,"SEM CULTURA",INDEX(ROTACAO_RDM!$F$6:$F$71,$J1032))</f>
        <v>ALGODAO</v>
      </c>
      <c r="L1032" s="8" t="str">
        <f aca="false">IF($J1032=0,"",INDEX(ROTACAO_RDM!$G$6:$G$71,$J1032))</f>
        <v>IMA 3764 B2RF</v>
      </c>
      <c r="M1032" s="17" t="n">
        <f aca="false">IF($J1032=0,"",INDEX(ROTACAO_RDM!$I$6:$I$71,$J1032))</f>
        <v>46357</v>
      </c>
      <c r="N1032" s="16" t="n">
        <f aca="false">IF($J1032=0,0,MAX(0,$C1032+INT(DIAS_POR_SEMANA/2)-INDEX(ROTACAO_RDM!$I$6:$I$71,$J1032)))</f>
        <v>163</v>
      </c>
      <c r="O1032" s="19" t="n">
        <f aca="false">IF($J1032=0,0,MIN(1,$N1032/MAX(1,INDEX(ROTACAO_RDM!$K$6:$K$71,$J1032))))</f>
        <v>0.776190476190476</v>
      </c>
      <c r="P1032" s="16" t="n">
        <f aca="false">IF($J1032=0,0,IFERROR(MATCH(INDEX(ROTACAO_RDM!$N$6:$N$71,$J1032),PARAMETROS_CULTURAS!$B$6:$B$28,0),0))</f>
        <v>6</v>
      </c>
      <c r="Q1032" s="8" t="str">
        <f aca="false">IF($P1032=0,"-",IF($O1032&lt;=INDEX(PARAMETROS_CULTURAS!$F$6:$F$28,$P1032),"INICIAL",IF($O1032&lt;=INDEX(PARAMETROS_CULTURAS!$F$6:$F$28,$P1032)+INDEX(PARAMETROS_CULTURAS!$G$6:$G$28,$P1032),"DESENVOLVIMENTO",IF($O1032&lt;=INDEX(PARAMETROS_CULTURAS!$F$6:$F$28,$P1032)+INDEX(PARAMETROS_CULTURAS!$G$6:$G$28,$P1032)+INDEX(PARAMETROS_CULTURAS!$H$6:$H$28,$P1032),"MEDIA","FINAL"))))</f>
        <v>FINAL</v>
      </c>
      <c r="R1032" s="24" t="n">
        <f aca="false">IF($P1032=0,0,IF($O1032&lt;=INDEX(PARAMETROS_CULTURAS!$F$6:$F$28,$P1032),INDEX(PARAMETROS_CULTURAS!$K$6:$K$28,$P1032),IF($O1032&lt;=INDEX(PARAMETROS_CULTURAS!$F$6:$F$28,$P1032)+INDEX(PARAMETROS_CULTURAS!$G$6:$G$28,$P1032),INDEX(PARAMETROS_CULTURAS!$K$6:$K$28,$P1032)+(INDEX(PARAMETROS_CULTURAS!$L$6:$L$28,$P1032)-INDEX(PARAMETROS_CULTURAS!$K$6:$K$28,$P1032))*($O1032-INDEX(PARAMETROS_CULTURAS!$F$6:$F$28,$P1032))/MAX(INDEX(PARAMETROS_CULTURAS!$G$6:$G$28,$P1032),0.0001),IF($O1032&lt;=INDEX(PARAMETROS_CULTURAS!$F$6:$F$28,$P1032)+INDEX(PARAMETROS_CULTURAS!$G$6:$G$28,$P1032)+INDEX(PARAMETROS_CULTURAS!$H$6:$H$28,$P1032),INDEX(PARAMETROS_CULTURAS!$L$6:$L$28,$P1032),INDEX(PARAMETROS_CULTURAS!$L$6:$L$28,$P1032)+(INDEX(PARAMETROS_CULTURAS!$M$6:$M$28,$P1032)-INDEX(PARAMETROS_CULTURAS!$L$6:$L$28,$P1032))*($O1032-INDEX(PARAMETROS_CULTURAS!$F$6:$F$28,$P1032)-INDEX(PARAMETROS_CULTURAS!$G$6:$G$28,$P1032)-INDEX(PARAMETROS_CULTURAS!$H$6:$H$28,$P1032))/MAX(INDEX(PARAMETROS_CULTURAS!$I$6:$I$28,$P1032),0.0001)))))</f>
        <v>1.02446633825944</v>
      </c>
      <c r="S1032" s="18" t="n">
        <f aca="false">IFERROR(INDEX(SEMANAS!$H$6:$H$71,MATCH($B1032,SEMANAS!$B$6:$B$71,0)),0)</f>
        <v>29.4</v>
      </c>
      <c r="T1032" s="18" t="n">
        <f aca="false">$R1032*$S1032</f>
        <v>30.1193103448276</v>
      </c>
      <c r="U1032" s="18" t="n">
        <f aca="false">IFERROR(INDEX(SEMANAS!$I$6:$I$71,MATCH($B1032,SEMANAS!$B$6:$B$71,0)),0)</f>
        <v>3.36</v>
      </c>
      <c r="V1032" s="18" t="n">
        <f aca="false">IFERROR(INDEX(SEMANAS!$J$6:$J$71,MATCH($B1032,SEMANAS!$B$6:$B$71,0)),0)</f>
        <v>2.688</v>
      </c>
      <c r="W1032" s="18" t="n">
        <f aca="false">MAX(0,$T1032-$V1032)</f>
        <v>27.4313103448276</v>
      </c>
      <c r="X1032" s="19" t="n">
        <f aca="false">IFERROR(INDEX(CADASTRO_PIVOS!$K$6:$K$41,MATCH($E1032,CADASTRO_PIVOS!$B$6:$B$41,0)),EFICIENCIA_PADRAO)</f>
        <v>0.85</v>
      </c>
      <c r="Y1032" s="18" t="n">
        <f aca="false">IF($X1032&lt;=0,0,$W1032/$X1032)</f>
        <v>32.2721298174442</v>
      </c>
      <c r="Z1032" s="16" t="n">
        <f aca="false">$Y1032*$H1032*MM_PARA_M3_HA</f>
        <v>32259.2209655172</v>
      </c>
      <c r="AA1032" s="18" t="n">
        <f aca="false">IFERROR(INDEX(CADASTRO_PIVOS!$I$6:$I$41,MATCH($E1032,CADASTRO_PIVOS!$B$6:$B$41,0)),0)</f>
        <v>714</v>
      </c>
      <c r="AB1032" s="18" t="n">
        <f aca="false">IF($Z1032&lt;=0,0,$Z1032/$AA1032)</f>
        <v>45.1809817444219</v>
      </c>
      <c r="AC1032" s="16" t="n">
        <f aca="false">IFERROR(INDEX(SEMANAS!$K$6:$K$71,MATCH($B1032,SEMANAS!$B$6:$B$71,0)),0)</f>
        <v>147</v>
      </c>
      <c r="AD1032" s="19" t="n">
        <f aca="false">IF($AC1032&lt;=0,0,$AB1032/$AC1032)</f>
        <v>0.307353617308993</v>
      </c>
      <c r="AE1032" s="8" t="str">
        <f aca="false">IF($K1032="SEM CULTURA","SEM CULTURA",IF($AA1032&lt;=0,"DADO PENDENTE",IF($AD1032&gt;LIMITE_CRITICO,"INVIAVEL",IF($AD1032&gt;LIMITE_ATENCAO,"CRITICO",IF($AD1032&gt;LIMITE_CONFORTAVEL,"ATENCAO","OK")))))</f>
        <v>OK</v>
      </c>
      <c r="AF1032" s="8" t="str">
        <f aca="false">$B1032&amp;"|"&amp;TEXT($AD1032,"0.000000")</f>
        <v>37|0.307354</v>
      </c>
      <c r="AG1032" s="18" t="n">
        <f aca="false">IF($K1032="SEM CULTURA",0,$T1032*$H1032)</f>
        <v>3010.72626206897</v>
      </c>
      <c r="AH1032" s="18" t="n">
        <f aca="false">IF($K1032="SEM CULTURA",0,$V1032*$H1032)</f>
        <v>268.69248</v>
      </c>
      <c r="AI1032" s="18" t="n">
        <f aca="false">IF($K1032="SEM CULTURA",0,$W1032*$H1032)</f>
        <v>2742.03378206897</v>
      </c>
      <c r="AJ1032" s="18" t="n">
        <f aca="false">IF($K1032="SEM CULTURA",0,$S1032*$H1032)</f>
        <v>2938.824</v>
      </c>
      <c r="AK1032" s="8" t="str">
        <f aca="false">$E1032&amp;"|"&amp;TEXT($AD1032,"0.000000")</f>
        <v>PV 132|0.307354</v>
      </c>
    </row>
    <row r="1033" customFormat="false" ht="15" hidden="false" customHeight="false" outlineLevel="0" collapsed="false">
      <c r="B1033" s="16" t="n">
        <v>38</v>
      </c>
      <c r="C1033" s="17" t="n">
        <f aca="false">DATA_INICIO_SAFRA+($B1033-1)*DIAS_POR_SEMANA</f>
        <v>46524</v>
      </c>
      <c r="D1033" s="17" t="n">
        <f aca="false">$C1033+DIAS_POR_SEMANA-1</f>
        <v>46530</v>
      </c>
      <c r="E1033" s="15" t="s">
        <v>274</v>
      </c>
      <c r="F1033" s="8" t="str">
        <f aca="false">IFERROR(INDEX(CADASTRO_PIVOS!$C$6:$C$41,MATCH($E1033,CADASTRO_PIVOS!$B$6:$B$41,0)),"?")</f>
        <v>RM05</v>
      </c>
      <c r="G1033" s="8" t="str">
        <f aca="false">IFERROR(INDEX(CADASTRO_PIVOS!$D$6:$D$41,MATCH($E1033,CADASTRO_PIVOS!$B$6:$B$41,0)),"?")</f>
        <v>TR05</v>
      </c>
      <c r="H1033" s="20" t="n">
        <f aca="false">IFERROR(INDEX(CADASTRO_PIVOS!$E$6:$E$41,MATCH($E1033,CADASTRO_PIVOS!$B$6:$B$41,0)),0)</f>
        <v>99.96</v>
      </c>
      <c r="I1033" s="16" t="n">
        <f aca="false">IFERROR(SUMIFS(ROTACAO_RDM!$B$6:$B$71,ROTACAO_RDM!$D$6:$D$71,$E1033,ROTACAO_RDM!$I$6:$I$71,"&lt;="&amp;$C1033+INT(DIAS_POR_SEMANA/2),ROTACAO_RDM!$J$6:$J$71,"&gt;="&amp;$C1033+INT(DIAS_POR_SEMANA/2)),0)</f>
        <v>63</v>
      </c>
      <c r="J1033" s="16" t="n">
        <f aca="false">IFERROR(MATCH($I1033,ROTACAO_RDM!$B$6:$B$71,0),0)</f>
        <v>63</v>
      </c>
      <c r="K1033" s="8" t="str">
        <f aca="false">IF($J1033=0,"SEM CULTURA",INDEX(ROTACAO_RDM!$F$6:$F$71,$J1033))</f>
        <v>ALGODAO</v>
      </c>
      <c r="L1033" s="8" t="str">
        <f aca="false">IF($J1033=0,"",INDEX(ROTACAO_RDM!$G$6:$G$71,$J1033))</f>
        <v>IMA 3764 B2RF</v>
      </c>
      <c r="M1033" s="17" t="n">
        <f aca="false">IF($J1033=0,"",INDEX(ROTACAO_RDM!$I$6:$I$71,$J1033))</f>
        <v>46357</v>
      </c>
      <c r="N1033" s="16" t="n">
        <f aca="false">IF($J1033=0,0,MAX(0,$C1033+INT(DIAS_POR_SEMANA/2)-INDEX(ROTACAO_RDM!$I$6:$I$71,$J1033)))</f>
        <v>170</v>
      </c>
      <c r="O1033" s="19" t="n">
        <f aca="false">IF($J1033=0,0,MIN(1,$N1033/MAX(1,INDEX(ROTACAO_RDM!$K$6:$K$71,$J1033))))</f>
        <v>0.80952380952381</v>
      </c>
      <c r="P1033" s="16" t="n">
        <f aca="false">IF($J1033=0,0,IFERROR(MATCH(INDEX(ROTACAO_RDM!$N$6:$N$71,$J1033),PARAMETROS_CULTURAS!$B$6:$B$28,0),0))</f>
        <v>6</v>
      </c>
      <c r="Q1033" s="8" t="str">
        <f aca="false">IF($P1033=0,"-",IF($O1033&lt;=INDEX(PARAMETROS_CULTURAS!$F$6:$F$28,$P1033),"INICIAL",IF($O1033&lt;=INDEX(PARAMETROS_CULTURAS!$F$6:$F$28,$P1033)+INDEX(PARAMETROS_CULTURAS!$G$6:$G$28,$P1033),"DESENVOLVIMENTO",IF($O1033&lt;=INDEX(PARAMETROS_CULTURAS!$F$6:$F$28,$P1033)+INDEX(PARAMETROS_CULTURAS!$G$6:$G$28,$P1033)+INDEX(PARAMETROS_CULTURAS!$H$6:$H$28,$P1033),"MEDIA","FINAL"))))</f>
        <v>FINAL</v>
      </c>
      <c r="R1033" s="24" t="n">
        <f aca="false">IF($P1033=0,0,IF($O1033&lt;=INDEX(PARAMETROS_CULTURAS!$F$6:$F$28,$P1033),INDEX(PARAMETROS_CULTURAS!$K$6:$K$28,$P1033),IF($O1033&lt;=INDEX(PARAMETROS_CULTURAS!$F$6:$F$28,$P1033)+INDEX(PARAMETROS_CULTURAS!$G$6:$G$28,$P1033),INDEX(PARAMETROS_CULTURAS!$K$6:$K$28,$P1033)+(INDEX(PARAMETROS_CULTURAS!$L$6:$L$28,$P1033)-INDEX(PARAMETROS_CULTURAS!$K$6:$K$28,$P1033))*($O1033-INDEX(PARAMETROS_CULTURAS!$F$6:$F$28,$P1033))/MAX(INDEX(PARAMETROS_CULTURAS!$G$6:$G$28,$P1033),0.0001),IF($O1033&lt;=INDEX(PARAMETROS_CULTURAS!$F$6:$F$28,$P1033)+INDEX(PARAMETROS_CULTURAS!$G$6:$G$28,$P1033)+INDEX(PARAMETROS_CULTURAS!$H$6:$H$28,$P1033),INDEX(PARAMETROS_CULTURAS!$L$6:$L$28,$P1033),INDEX(PARAMETROS_CULTURAS!$L$6:$L$28,$P1033)+(INDEX(PARAMETROS_CULTURAS!$M$6:$M$28,$P1033)-INDEX(PARAMETROS_CULTURAS!$L$6:$L$28,$P1033))*($O1033-INDEX(PARAMETROS_CULTURAS!$F$6:$F$28,$P1033)-INDEX(PARAMETROS_CULTURAS!$G$6:$G$28,$P1033)-INDEX(PARAMETROS_CULTURAS!$H$6:$H$28,$P1033))/MAX(INDEX(PARAMETROS_CULTURAS!$I$6:$I$28,$P1033),0.0001)))))</f>
        <v>0.961247947454844</v>
      </c>
      <c r="S1033" s="18" t="n">
        <f aca="false">IFERROR(INDEX(SEMANAS!$H$6:$H$71,MATCH($B1033,SEMANAS!$B$6:$B$71,0)),0)</f>
        <v>29.4</v>
      </c>
      <c r="T1033" s="18" t="n">
        <f aca="false">$R1033*$S1033</f>
        <v>28.2606896551724</v>
      </c>
      <c r="U1033" s="18" t="n">
        <f aca="false">IFERROR(INDEX(SEMANAS!$I$6:$I$71,MATCH($B1033,SEMANAS!$B$6:$B$71,0)),0)</f>
        <v>3.36</v>
      </c>
      <c r="V1033" s="18" t="n">
        <f aca="false">IFERROR(INDEX(SEMANAS!$J$6:$J$71,MATCH($B1033,SEMANAS!$B$6:$B$71,0)),0)</f>
        <v>2.688</v>
      </c>
      <c r="W1033" s="18" t="n">
        <f aca="false">MAX(0,$T1033-$V1033)</f>
        <v>25.5726896551724</v>
      </c>
      <c r="X1033" s="19" t="n">
        <f aca="false">IFERROR(INDEX(CADASTRO_PIVOS!$K$6:$K$41,MATCH($E1033,CADASTRO_PIVOS!$B$6:$B$41,0)),EFICIENCIA_PADRAO)</f>
        <v>0.85</v>
      </c>
      <c r="Y1033" s="18" t="n">
        <f aca="false">IF($X1033&lt;=0,0,$W1033/$X1033)</f>
        <v>30.0855172413793</v>
      </c>
      <c r="Z1033" s="16" t="n">
        <f aca="false">$Y1033*$H1033*MM_PARA_M3_HA</f>
        <v>30073.4830344828</v>
      </c>
      <c r="AA1033" s="18" t="n">
        <f aca="false">IFERROR(INDEX(CADASTRO_PIVOS!$I$6:$I$41,MATCH($E1033,CADASTRO_PIVOS!$B$6:$B$41,0)),0)</f>
        <v>714</v>
      </c>
      <c r="AB1033" s="18" t="n">
        <f aca="false">IF($Z1033&lt;=0,0,$Z1033/$AA1033)</f>
        <v>42.1197241379311</v>
      </c>
      <c r="AC1033" s="16" t="n">
        <f aca="false">IFERROR(INDEX(SEMANAS!$K$6:$K$71,MATCH($B1033,SEMANAS!$B$6:$B$71,0)),0)</f>
        <v>147</v>
      </c>
      <c r="AD1033" s="19" t="n">
        <f aca="false">IF($AC1033&lt;=0,0,$AB1033/$AC1033)</f>
        <v>0.286528735632184</v>
      </c>
      <c r="AE1033" s="8" t="str">
        <f aca="false">IF($K1033="SEM CULTURA","SEM CULTURA",IF($AA1033&lt;=0,"DADO PENDENTE",IF($AD1033&gt;LIMITE_CRITICO,"INVIAVEL",IF($AD1033&gt;LIMITE_ATENCAO,"CRITICO",IF($AD1033&gt;LIMITE_CONFORTAVEL,"ATENCAO","OK")))))</f>
        <v>OK</v>
      </c>
      <c r="AF1033" s="8" t="str">
        <f aca="false">$B1033&amp;"|"&amp;TEXT($AD1033,"0.000000")</f>
        <v>38|0.286529</v>
      </c>
      <c r="AG1033" s="18" t="n">
        <f aca="false">IF($K1033="SEM CULTURA",0,$T1033*$H1033)</f>
        <v>2824.93853793103</v>
      </c>
      <c r="AH1033" s="18" t="n">
        <f aca="false">IF($K1033="SEM CULTURA",0,$V1033*$H1033)</f>
        <v>268.69248</v>
      </c>
      <c r="AI1033" s="18" t="n">
        <f aca="false">IF($K1033="SEM CULTURA",0,$W1033*$H1033)</f>
        <v>2556.24605793103</v>
      </c>
      <c r="AJ1033" s="18" t="n">
        <f aca="false">IF($K1033="SEM CULTURA",0,$S1033*$H1033)</f>
        <v>2938.824</v>
      </c>
      <c r="AK1033" s="8" t="str">
        <f aca="false">$E1033&amp;"|"&amp;TEXT($AD1033,"0.000000")</f>
        <v>PV 132|0.286529</v>
      </c>
    </row>
    <row r="1034" customFormat="false" ht="15" hidden="false" customHeight="false" outlineLevel="0" collapsed="false">
      <c r="B1034" s="16" t="n">
        <v>39</v>
      </c>
      <c r="C1034" s="17" t="n">
        <f aca="false">DATA_INICIO_SAFRA+($B1034-1)*DIAS_POR_SEMANA</f>
        <v>46531</v>
      </c>
      <c r="D1034" s="17" t="n">
        <f aca="false">$C1034+DIAS_POR_SEMANA-1</f>
        <v>46537</v>
      </c>
      <c r="E1034" s="15" t="s">
        <v>274</v>
      </c>
      <c r="F1034" s="8" t="str">
        <f aca="false">IFERROR(INDEX(CADASTRO_PIVOS!$C$6:$C$41,MATCH($E1034,CADASTRO_PIVOS!$B$6:$B$41,0)),"?")</f>
        <v>RM05</v>
      </c>
      <c r="G1034" s="8" t="str">
        <f aca="false">IFERROR(INDEX(CADASTRO_PIVOS!$D$6:$D$41,MATCH($E1034,CADASTRO_PIVOS!$B$6:$B$41,0)),"?")</f>
        <v>TR05</v>
      </c>
      <c r="H1034" s="20" t="n">
        <f aca="false">IFERROR(INDEX(CADASTRO_PIVOS!$E$6:$E$41,MATCH($E1034,CADASTRO_PIVOS!$B$6:$B$41,0)),0)</f>
        <v>99.96</v>
      </c>
      <c r="I1034" s="16" t="n">
        <f aca="false">IFERROR(SUMIFS(ROTACAO_RDM!$B$6:$B$71,ROTACAO_RDM!$D$6:$D$71,$E1034,ROTACAO_RDM!$I$6:$I$71,"&lt;="&amp;$C1034+INT(DIAS_POR_SEMANA/2),ROTACAO_RDM!$J$6:$J$71,"&gt;="&amp;$C1034+INT(DIAS_POR_SEMANA/2)),0)</f>
        <v>63</v>
      </c>
      <c r="J1034" s="16" t="n">
        <f aca="false">IFERROR(MATCH($I1034,ROTACAO_RDM!$B$6:$B$71,0),0)</f>
        <v>63</v>
      </c>
      <c r="K1034" s="8" t="str">
        <f aca="false">IF($J1034=0,"SEM CULTURA",INDEX(ROTACAO_RDM!$F$6:$F$71,$J1034))</f>
        <v>ALGODAO</v>
      </c>
      <c r="L1034" s="8" t="str">
        <f aca="false">IF($J1034=0,"",INDEX(ROTACAO_RDM!$G$6:$G$71,$J1034))</f>
        <v>IMA 3764 B2RF</v>
      </c>
      <c r="M1034" s="17" t="n">
        <f aca="false">IF($J1034=0,"",INDEX(ROTACAO_RDM!$I$6:$I$71,$J1034))</f>
        <v>46357</v>
      </c>
      <c r="N1034" s="16" t="n">
        <f aca="false">IF($J1034=0,0,MAX(0,$C1034+INT(DIAS_POR_SEMANA/2)-INDEX(ROTACAO_RDM!$I$6:$I$71,$J1034)))</f>
        <v>177</v>
      </c>
      <c r="O1034" s="19" t="n">
        <f aca="false">IF($J1034=0,0,MIN(1,$N1034/MAX(1,INDEX(ROTACAO_RDM!$K$6:$K$71,$J1034))))</f>
        <v>0.842857142857143</v>
      </c>
      <c r="P1034" s="16" t="n">
        <f aca="false">IF($J1034=0,0,IFERROR(MATCH(INDEX(ROTACAO_RDM!$N$6:$N$71,$J1034),PARAMETROS_CULTURAS!$B$6:$B$28,0),0))</f>
        <v>6</v>
      </c>
      <c r="Q1034" s="8" t="str">
        <f aca="false">IF($P1034=0,"-",IF($O1034&lt;=INDEX(PARAMETROS_CULTURAS!$F$6:$F$28,$P1034),"INICIAL",IF($O1034&lt;=INDEX(PARAMETROS_CULTURAS!$F$6:$F$28,$P1034)+INDEX(PARAMETROS_CULTURAS!$G$6:$G$28,$P1034),"DESENVOLVIMENTO",IF($O1034&lt;=INDEX(PARAMETROS_CULTURAS!$F$6:$F$28,$P1034)+INDEX(PARAMETROS_CULTURAS!$G$6:$G$28,$P1034)+INDEX(PARAMETROS_CULTURAS!$H$6:$H$28,$P1034),"MEDIA","FINAL"))))</f>
        <v>FINAL</v>
      </c>
      <c r="R1034" s="24" t="n">
        <f aca="false">IF($P1034=0,0,IF($O1034&lt;=INDEX(PARAMETROS_CULTURAS!$F$6:$F$28,$P1034),INDEX(PARAMETROS_CULTURAS!$K$6:$K$28,$P1034),IF($O1034&lt;=INDEX(PARAMETROS_CULTURAS!$F$6:$F$28,$P1034)+INDEX(PARAMETROS_CULTURAS!$G$6:$G$28,$P1034),INDEX(PARAMETROS_CULTURAS!$K$6:$K$28,$P1034)+(INDEX(PARAMETROS_CULTURAS!$L$6:$L$28,$P1034)-INDEX(PARAMETROS_CULTURAS!$K$6:$K$28,$P1034))*($O1034-INDEX(PARAMETROS_CULTURAS!$F$6:$F$28,$P1034))/MAX(INDEX(PARAMETROS_CULTURAS!$G$6:$G$28,$P1034),0.0001),IF($O1034&lt;=INDEX(PARAMETROS_CULTURAS!$F$6:$F$28,$P1034)+INDEX(PARAMETROS_CULTURAS!$G$6:$G$28,$P1034)+INDEX(PARAMETROS_CULTURAS!$H$6:$H$28,$P1034),INDEX(PARAMETROS_CULTURAS!$L$6:$L$28,$P1034),INDEX(PARAMETROS_CULTURAS!$L$6:$L$28,$P1034)+(INDEX(PARAMETROS_CULTURAS!$M$6:$M$28,$P1034)-INDEX(PARAMETROS_CULTURAS!$L$6:$L$28,$P1034))*($O1034-INDEX(PARAMETROS_CULTURAS!$F$6:$F$28,$P1034)-INDEX(PARAMETROS_CULTURAS!$G$6:$G$28,$P1034)-INDEX(PARAMETROS_CULTURAS!$H$6:$H$28,$P1034))/MAX(INDEX(PARAMETROS_CULTURAS!$I$6:$I$28,$P1034),0.0001)))))</f>
        <v>0.898029556650246</v>
      </c>
      <c r="S1034" s="18" t="n">
        <f aca="false">IFERROR(INDEX(SEMANAS!$H$6:$H$71,MATCH($B1034,SEMANAS!$B$6:$B$71,0)),0)</f>
        <v>29.4</v>
      </c>
      <c r="T1034" s="18" t="n">
        <f aca="false">$R1034*$S1034</f>
        <v>26.4020689655172</v>
      </c>
      <c r="U1034" s="18" t="n">
        <f aca="false">IFERROR(INDEX(SEMANAS!$I$6:$I$71,MATCH($B1034,SEMANAS!$B$6:$B$71,0)),0)</f>
        <v>3.36</v>
      </c>
      <c r="V1034" s="18" t="n">
        <f aca="false">IFERROR(INDEX(SEMANAS!$J$6:$J$71,MATCH($B1034,SEMANAS!$B$6:$B$71,0)),0)</f>
        <v>2.688</v>
      </c>
      <c r="W1034" s="18" t="n">
        <f aca="false">MAX(0,$T1034-$V1034)</f>
        <v>23.7140689655172</v>
      </c>
      <c r="X1034" s="19" t="n">
        <f aca="false">IFERROR(INDEX(CADASTRO_PIVOS!$K$6:$K$41,MATCH($E1034,CADASTRO_PIVOS!$B$6:$B$41,0)),EFICIENCIA_PADRAO)</f>
        <v>0.85</v>
      </c>
      <c r="Y1034" s="18" t="n">
        <f aca="false">IF($X1034&lt;=0,0,$W1034/$X1034)</f>
        <v>27.8989046653144</v>
      </c>
      <c r="Z1034" s="16" t="n">
        <f aca="false">$Y1034*$H1034*MM_PARA_M3_HA</f>
        <v>27887.7451034483</v>
      </c>
      <c r="AA1034" s="18" t="n">
        <f aca="false">IFERROR(INDEX(CADASTRO_PIVOS!$I$6:$I$41,MATCH($E1034,CADASTRO_PIVOS!$B$6:$B$41,0)),0)</f>
        <v>714</v>
      </c>
      <c r="AB1034" s="18" t="n">
        <f aca="false">IF($Z1034&lt;=0,0,$Z1034/$AA1034)</f>
        <v>39.0584665314402</v>
      </c>
      <c r="AC1034" s="16" t="n">
        <f aca="false">IFERROR(INDEX(SEMANAS!$K$6:$K$71,MATCH($B1034,SEMANAS!$B$6:$B$71,0)),0)</f>
        <v>147</v>
      </c>
      <c r="AD1034" s="19" t="n">
        <f aca="false">IF($AC1034&lt;=0,0,$AB1034/$AC1034)</f>
        <v>0.265703853955375</v>
      </c>
      <c r="AE1034" s="8" t="str">
        <f aca="false">IF($K1034="SEM CULTURA","SEM CULTURA",IF($AA1034&lt;=0,"DADO PENDENTE",IF($AD1034&gt;LIMITE_CRITICO,"INVIAVEL",IF($AD1034&gt;LIMITE_ATENCAO,"CRITICO",IF($AD1034&gt;LIMITE_CONFORTAVEL,"ATENCAO","OK")))))</f>
        <v>OK</v>
      </c>
      <c r="AF1034" s="8" t="str">
        <f aca="false">$B1034&amp;"|"&amp;TEXT($AD1034,"0.000000")</f>
        <v>39|0.265704</v>
      </c>
      <c r="AG1034" s="18" t="n">
        <f aca="false">IF($K1034="SEM CULTURA",0,$T1034*$H1034)</f>
        <v>2639.1508137931</v>
      </c>
      <c r="AH1034" s="18" t="n">
        <f aca="false">IF($K1034="SEM CULTURA",0,$V1034*$H1034)</f>
        <v>268.69248</v>
      </c>
      <c r="AI1034" s="18" t="n">
        <f aca="false">IF($K1034="SEM CULTURA",0,$W1034*$H1034)</f>
        <v>2370.4583337931</v>
      </c>
      <c r="AJ1034" s="18" t="n">
        <f aca="false">IF($K1034="SEM CULTURA",0,$S1034*$H1034)</f>
        <v>2938.824</v>
      </c>
      <c r="AK1034" s="8" t="str">
        <f aca="false">$E1034&amp;"|"&amp;TEXT($AD1034,"0.000000")</f>
        <v>PV 132|0.265704</v>
      </c>
    </row>
    <row r="1035" customFormat="false" ht="15" hidden="false" customHeight="false" outlineLevel="0" collapsed="false">
      <c r="B1035" s="16" t="n">
        <v>40</v>
      </c>
      <c r="C1035" s="17" t="n">
        <f aca="false">DATA_INICIO_SAFRA+($B1035-1)*DIAS_POR_SEMANA</f>
        <v>46538</v>
      </c>
      <c r="D1035" s="17" t="n">
        <f aca="false">$C1035+DIAS_POR_SEMANA-1</f>
        <v>46544</v>
      </c>
      <c r="E1035" s="15" t="s">
        <v>274</v>
      </c>
      <c r="F1035" s="8" t="str">
        <f aca="false">IFERROR(INDEX(CADASTRO_PIVOS!$C$6:$C$41,MATCH($E1035,CADASTRO_PIVOS!$B$6:$B$41,0)),"?")</f>
        <v>RM05</v>
      </c>
      <c r="G1035" s="8" t="str">
        <f aca="false">IFERROR(INDEX(CADASTRO_PIVOS!$D$6:$D$41,MATCH($E1035,CADASTRO_PIVOS!$B$6:$B$41,0)),"?")</f>
        <v>TR05</v>
      </c>
      <c r="H1035" s="20" t="n">
        <f aca="false">IFERROR(INDEX(CADASTRO_PIVOS!$E$6:$E$41,MATCH($E1035,CADASTRO_PIVOS!$B$6:$B$41,0)),0)</f>
        <v>99.96</v>
      </c>
      <c r="I1035" s="16" t="n">
        <f aca="false">IFERROR(SUMIFS(ROTACAO_RDM!$B$6:$B$71,ROTACAO_RDM!$D$6:$D$71,$E1035,ROTACAO_RDM!$I$6:$I$71,"&lt;="&amp;$C1035+INT(DIAS_POR_SEMANA/2),ROTACAO_RDM!$J$6:$J$71,"&gt;="&amp;$C1035+INT(DIAS_POR_SEMANA/2)),0)</f>
        <v>63</v>
      </c>
      <c r="J1035" s="16" t="n">
        <f aca="false">IFERROR(MATCH($I1035,ROTACAO_RDM!$B$6:$B$71,0),0)</f>
        <v>63</v>
      </c>
      <c r="K1035" s="8" t="str">
        <f aca="false">IF($J1035=0,"SEM CULTURA",INDEX(ROTACAO_RDM!$F$6:$F$71,$J1035))</f>
        <v>ALGODAO</v>
      </c>
      <c r="L1035" s="8" t="str">
        <f aca="false">IF($J1035=0,"",INDEX(ROTACAO_RDM!$G$6:$G$71,$J1035))</f>
        <v>IMA 3764 B2RF</v>
      </c>
      <c r="M1035" s="17" t="n">
        <f aca="false">IF($J1035=0,"",INDEX(ROTACAO_RDM!$I$6:$I$71,$J1035))</f>
        <v>46357</v>
      </c>
      <c r="N1035" s="16" t="n">
        <f aca="false">IF($J1035=0,0,MAX(0,$C1035+INT(DIAS_POR_SEMANA/2)-INDEX(ROTACAO_RDM!$I$6:$I$71,$J1035)))</f>
        <v>184</v>
      </c>
      <c r="O1035" s="19" t="n">
        <f aca="false">IF($J1035=0,0,MIN(1,$N1035/MAX(1,INDEX(ROTACAO_RDM!$K$6:$K$71,$J1035))))</f>
        <v>0.876190476190476</v>
      </c>
      <c r="P1035" s="16" t="n">
        <f aca="false">IF($J1035=0,0,IFERROR(MATCH(INDEX(ROTACAO_RDM!$N$6:$N$71,$J1035),PARAMETROS_CULTURAS!$B$6:$B$28,0),0))</f>
        <v>6</v>
      </c>
      <c r="Q1035" s="8" t="str">
        <f aca="false">IF($P1035=0,"-",IF($O1035&lt;=INDEX(PARAMETROS_CULTURAS!$F$6:$F$28,$P1035),"INICIAL",IF($O1035&lt;=INDEX(PARAMETROS_CULTURAS!$F$6:$F$28,$P1035)+INDEX(PARAMETROS_CULTURAS!$G$6:$G$28,$P1035),"DESENVOLVIMENTO",IF($O1035&lt;=INDEX(PARAMETROS_CULTURAS!$F$6:$F$28,$P1035)+INDEX(PARAMETROS_CULTURAS!$G$6:$G$28,$P1035)+INDEX(PARAMETROS_CULTURAS!$H$6:$H$28,$P1035),"MEDIA","FINAL"))))</f>
        <v>FINAL</v>
      </c>
      <c r="R1035" s="24" t="n">
        <f aca="false">IF($P1035=0,0,IF($O1035&lt;=INDEX(PARAMETROS_CULTURAS!$F$6:$F$28,$P1035),INDEX(PARAMETROS_CULTURAS!$K$6:$K$28,$P1035),IF($O1035&lt;=INDEX(PARAMETROS_CULTURAS!$F$6:$F$28,$P1035)+INDEX(PARAMETROS_CULTURAS!$G$6:$G$28,$P1035),INDEX(PARAMETROS_CULTURAS!$K$6:$K$28,$P1035)+(INDEX(PARAMETROS_CULTURAS!$L$6:$L$28,$P1035)-INDEX(PARAMETROS_CULTURAS!$K$6:$K$28,$P1035))*($O1035-INDEX(PARAMETROS_CULTURAS!$F$6:$F$28,$P1035))/MAX(INDEX(PARAMETROS_CULTURAS!$G$6:$G$28,$P1035),0.0001),IF($O1035&lt;=INDEX(PARAMETROS_CULTURAS!$F$6:$F$28,$P1035)+INDEX(PARAMETROS_CULTURAS!$G$6:$G$28,$P1035)+INDEX(PARAMETROS_CULTURAS!$H$6:$H$28,$P1035),INDEX(PARAMETROS_CULTURAS!$L$6:$L$28,$P1035),INDEX(PARAMETROS_CULTURAS!$L$6:$L$28,$P1035)+(INDEX(PARAMETROS_CULTURAS!$M$6:$M$28,$P1035)-INDEX(PARAMETROS_CULTURAS!$L$6:$L$28,$P1035))*($O1035-INDEX(PARAMETROS_CULTURAS!$F$6:$F$28,$P1035)-INDEX(PARAMETROS_CULTURAS!$G$6:$G$28,$P1035)-INDEX(PARAMETROS_CULTURAS!$H$6:$H$28,$P1035))/MAX(INDEX(PARAMETROS_CULTURAS!$I$6:$I$28,$P1035),0.0001)))))</f>
        <v>0.834811165845649</v>
      </c>
      <c r="S1035" s="18" t="n">
        <f aca="false">IFERROR(INDEX(SEMANAS!$H$6:$H$71,MATCH($B1035,SEMANAS!$B$6:$B$71,0)),0)</f>
        <v>28.2</v>
      </c>
      <c r="T1035" s="18" t="n">
        <f aca="false">$R1035*$S1035</f>
        <v>23.5416748768473</v>
      </c>
      <c r="U1035" s="18" t="n">
        <f aca="false">IFERROR(INDEX(SEMANAS!$I$6:$I$71,MATCH($B1035,SEMANAS!$B$6:$B$71,0)),0)</f>
        <v>1.5</v>
      </c>
      <c r="V1035" s="18" t="n">
        <f aca="false">IFERROR(INDEX(SEMANAS!$J$6:$J$71,MATCH($B1035,SEMANAS!$B$6:$B$71,0)),0)</f>
        <v>1.2</v>
      </c>
      <c r="W1035" s="18" t="n">
        <f aca="false">MAX(0,$T1035-$V1035)</f>
        <v>22.3416748768473</v>
      </c>
      <c r="X1035" s="19" t="n">
        <f aca="false">IFERROR(INDEX(CADASTRO_PIVOS!$K$6:$K$41,MATCH($E1035,CADASTRO_PIVOS!$B$6:$B$41,0)),EFICIENCIA_PADRAO)</f>
        <v>0.85</v>
      </c>
      <c r="Y1035" s="18" t="n">
        <f aca="false">IF($X1035&lt;=0,0,$W1035/$X1035)</f>
        <v>26.2843233845262</v>
      </c>
      <c r="Z1035" s="16" t="n">
        <f aca="false">$Y1035*$H1035*MM_PARA_M3_HA</f>
        <v>26273.8096551724</v>
      </c>
      <c r="AA1035" s="18" t="n">
        <f aca="false">IFERROR(INDEX(CADASTRO_PIVOS!$I$6:$I$41,MATCH($E1035,CADASTRO_PIVOS!$B$6:$B$41,0)),0)</f>
        <v>714</v>
      </c>
      <c r="AB1035" s="18" t="n">
        <f aca="false">IF($Z1035&lt;=0,0,$Z1035/$AA1035)</f>
        <v>36.7980527383367</v>
      </c>
      <c r="AC1035" s="16" t="n">
        <f aca="false">IFERROR(INDEX(SEMANAS!$K$6:$K$71,MATCH($B1035,SEMANAS!$B$6:$B$71,0)),0)</f>
        <v>147</v>
      </c>
      <c r="AD1035" s="19" t="n">
        <f aca="false">IF($AC1035&lt;=0,0,$AB1035/$AC1035)</f>
        <v>0.25032688937644</v>
      </c>
      <c r="AE1035" s="8" t="str">
        <f aca="false">IF($K1035="SEM CULTURA","SEM CULTURA",IF($AA1035&lt;=0,"DADO PENDENTE",IF($AD1035&gt;LIMITE_CRITICO,"INVIAVEL",IF($AD1035&gt;LIMITE_ATENCAO,"CRITICO",IF($AD1035&gt;LIMITE_CONFORTAVEL,"ATENCAO","OK")))))</f>
        <v>OK</v>
      </c>
      <c r="AF1035" s="8" t="str">
        <f aca="false">$B1035&amp;"|"&amp;TEXT($AD1035,"0.000000")</f>
        <v>40|0.250327</v>
      </c>
      <c r="AG1035" s="18" t="n">
        <f aca="false">IF($K1035="SEM CULTURA",0,$T1035*$H1035)</f>
        <v>2353.22582068966</v>
      </c>
      <c r="AH1035" s="18" t="n">
        <f aca="false">IF($K1035="SEM CULTURA",0,$V1035*$H1035)</f>
        <v>119.952</v>
      </c>
      <c r="AI1035" s="18" t="n">
        <f aca="false">IF($K1035="SEM CULTURA",0,$W1035*$H1035)</f>
        <v>2233.27382068965</v>
      </c>
      <c r="AJ1035" s="18" t="n">
        <f aca="false">IF($K1035="SEM CULTURA",0,$S1035*$H1035)</f>
        <v>2818.872</v>
      </c>
      <c r="AK1035" s="8" t="str">
        <f aca="false">$E1035&amp;"|"&amp;TEXT($AD1035,"0.000000")</f>
        <v>PV 132|0.250327</v>
      </c>
    </row>
    <row r="1036" customFormat="false" ht="15" hidden="false" customHeight="false" outlineLevel="0" collapsed="false">
      <c r="B1036" s="16" t="n">
        <v>41</v>
      </c>
      <c r="C1036" s="17" t="n">
        <f aca="false">DATA_INICIO_SAFRA+($B1036-1)*DIAS_POR_SEMANA</f>
        <v>46545</v>
      </c>
      <c r="D1036" s="17" t="n">
        <f aca="false">$C1036+DIAS_POR_SEMANA-1</f>
        <v>46551</v>
      </c>
      <c r="E1036" s="15" t="s">
        <v>274</v>
      </c>
      <c r="F1036" s="8" t="str">
        <f aca="false">IFERROR(INDEX(CADASTRO_PIVOS!$C$6:$C$41,MATCH($E1036,CADASTRO_PIVOS!$B$6:$B$41,0)),"?")</f>
        <v>RM05</v>
      </c>
      <c r="G1036" s="8" t="str">
        <f aca="false">IFERROR(INDEX(CADASTRO_PIVOS!$D$6:$D$41,MATCH($E1036,CADASTRO_PIVOS!$B$6:$B$41,0)),"?")</f>
        <v>TR05</v>
      </c>
      <c r="H1036" s="20" t="n">
        <f aca="false">IFERROR(INDEX(CADASTRO_PIVOS!$E$6:$E$41,MATCH($E1036,CADASTRO_PIVOS!$B$6:$B$41,0)),0)</f>
        <v>99.96</v>
      </c>
      <c r="I1036" s="16" t="n">
        <f aca="false">IFERROR(SUMIFS(ROTACAO_RDM!$B$6:$B$71,ROTACAO_RDM!$D$6:$D$71,$E1036,ROTACAO_RDM!$I$6:$I$71,"&lt;="&amp;$C1036+INT(DIAS_POR_SEMANA/2),ROTACAO_RDM!$J$6:$J$71,"&gt;="&amp;$C1036+INT(DIAS_POR_SEMANA/2)),0)</f>
        <v>63</v>
      </c>
      <c r="J1036" s="16" t="n">
        <f aca="false">IFERROR(MATCH($I1036,ROTACAO_RDM!$B$6:$B$71,0),0)</f>
        <v>63</v>
      </c>
      <c r="K1036" s="8" t="str">
        <f aca="false">IF($J1036=0,"SEM CULTURA",INDEX(ROTACAO_RDM!$F$6:$F$71,$J1036))</f>
        <v>ALGODAO</v>
      </c>
      <c r="L1036" s="8" t="str">
        <f aca="false">IF($J1036=0,"",INDEX(ROTACAO_RDM!$G$6:$G$71,$J1036))</f>
        <v>IMA 3764 B2RF</v>
      </c>
      <c r="M1036" s="17" t="n">
        <f aca="false">IF($J1036=0,"",INDEX(ROTACAO_RDM!$I$6:$I$71,$J1036))</f>
        <v>46357</v>
      </c>
      <c r="N1036" s="16" t="n">
        <f aca="false">IF($J1036=0,0,MAX(0,$C1036+INT(DIAS_POR_SEMANA/2)-INDEX(ROTACAO_RDM!$I$6:$I$71,$J1036)))</f>
        <v>191</v>
      </c>
      <c r="O1036" s="19" t="n">
        <f aca="false">IF($J1036=0,0,MIN(1,$N1036/MAX(1,INDEX(ROTACAO_RDM!$K$6:$K$71,$J1036))))</f>
        <v>0.90952380952381</v>
      </c>
      <c r="P1036" s="16" t="n">
        <f aca="false">IF($J1036=0,0,IFERROR(MATCH(INDEX(ROTACAO_RDM!$N$6:$N$71,$J1036),PARAMETROS_CULTURAS!$B$6:$B$28,0),0))</f>
        <v>6</v>
      </c>
      <c r="Q1036" s="8" t="str">
        <f aca="false">IF($P1036=0,"-",IF($O1036&lt;=INDEX(PARAMETROS_CULTURAS!$F$6:$F$28,$P1036),"INICIAL",IF($O1036&lt;=INDEX(PARAMETROS_CULTURAS!$F$6:$F$28,$P1036)+INDEX(PARAMETROS_CULTURAS!$G$6:$G$28,$P1036),"DESENVOLVIMENTO",IF($O1036&lt;=INDEX(PARAMETROS_CULTURAS!$F$6:$F$28,$P1036)+INDEX(PARAMETROS_CULTURAS!$G$6:$G$28,$P1036)+INDEX(PARAMETROS_CULTURAS!$H$6:$H$28,$P1036),"MEDIA","FINAL"))))</f>
        <v>FINAL</v>
      </c>
      <c r="R1036" s="24" t="n">
        <f aca="false">IF($P1036=0,0,IF($O1036&lt;=INDEX(PARAMETROS_CULTURAS!$F$6:$F$28,$P1036),INDEX(PARAMETROS_CULTURAS!$K$6:$K$28,$P1036),IF($O1036&lt;=INDEX(PARAMETROS_CULTURAS!$F$6:$F$28,$P1036)+INDEX(PARAMETROS_CULTURAS!$G$6:$G$28,$P1036),INDEX(PARAMETROS_CULTURAS!$K$6:$K$28,$P1036)+(INDEX(PARAMETROS_CULTURAS!$L$6:$L$28,$P1036)-INDEX(PARAMETROS_CULTURAS!$K$6:$K$28,$P1036))*($O1036-INDEX(PARAMETROS_CULTURAS!$F$6:$F$28,$P1036))/MAX(INDEX(PARAMETROS_CULTURAS!$G$6:$G$28,$P1036),0.0001),IF($O1036&lt;=INDEX(PARAMETROS_CULTURAS!$F$6:$F$28,$P1036)+INDEX(PARAMETROS_CULTURAS!$G$6:$G$28,$P1036)+INDEX(PARAMETROS_CULTURAS!$H$6:$H$28,$P1036),INDEX(PARAMETROS_CULTURAS!$L$6:$L$28,$P1036),INDEX(PARAMETROS_CULTURAS!$L$6:$L$28,$P1036)+(INDEX(PARAMETROS_CULTURAS!$M$6:$M$28,$P1036)-INDEX(PARAMETROS_CULTURAS!$L$6:$L$28,$P1036))*($O1036-INDEX(PARAMETROS_CULTURAS!$F$6:$F$28,$P1036)-INDEX(PARAMETROS_CULTURAS!$G$6:$G$28,$P1036)-INDEX(PARAMETROS_CULTURAS!$H$6:$H$28,$P1036))/MAX(INDEX(PARAMETROS_CULTURAS!$I$6:$I$28,$P1036),0.0001)))))</f>
        <v>0.771592775041051</v>
      </c>
      <c r="S1036" s="18" t="n">
        <f aca="false">IFERROR(INDEX(SEMANAS!$H$6:$H$71,MATCH($B1036,SEMANAS!$B$6:$B$71,0)),0)</f>
        <v>28</v>
      </c>
      <c r="T1036" s="18" t="n">
        <f aca="false">$R1036*$S1036</f>
        <v>21.6045977011494</v>
      </c>
      <c r="U1036" s="18" t="n">
        <f aca="false">IFERROR(INDEX(SEMANAS!$I$6:$I$71,MATCH($B1036,SEMANAS!$B$6:$B$71,0)),0)</f>
        <v>1.19</v>
      </c>
      <c r="V1036" s="18" t="n">
        <f aca="false">IFERROR(INDEX(SEMANAS!$J$6:$J$71,MATCH($B1036,SEMANAS!$B$6:$B$71,0)),0)</f>
        <v>0.952</v>
      </c>
      <c r="W1036" s="18" t="n">
        <f aca="false">MAX(0,$T1036-$V1036)</f>
        <v>20.6525977011494</v>
      </c>
      <c r="X1036" s="19" t="n">
        <f aca="false">IFERROR(INDEX(CADASTRO_PIVOS!$K$6:$K$41,MATCH($E1036,CADASTRO_PIVOS!$B$6:$B$41,0)),EFICIENCIA_PADRAO)</f>
        <v>0.85</v>
      </c>
      <c r="Y1036" s="18" t="n">
        <f aca="false">IF($X1036&lt;=0,0,$W1036/$X1036)</f>
        <v>24.2971737660581</v>
      </c>
      <c r="Z1036" s="16" t="n">
        <f aca="false">$Y1036*$H1036*MM_PARA_M3_HA</f>
        <v>24287.4548965517</v>
      </c>
      <c r="AA1036" s="18" t="n">
        <f aca="false">IFERROR(INDEX(CADASTRO_PIVOS!$I$6:$I$41,MATCH($E1036,CADASTRO_PIVOS!$B$6:$B$41,0)),0)</f>
        <v>714</v>
      </c>
      <c r="AB1036" s="18" t="n">
        <f aca="false">IF($Z1036&lt;=0,0,$Z1036/$AA1036)</f>
        <v>34.0160432724814</v>
      </c>
      <c r="AC1036" s="16" t="n">
        <f aca="false">IFERROR(INDEX(SEMANAS!$K$6:$K$71,MATCH($B1036,SEMANAS!$B$6:$B$71,0)),0)</f>
        <v>147</v>
      </c>
      <c r="AD1036" s="19" t="n">
        <f aca="false">IF($AC1036&lt;=0,0,$AB1036/$AC1036)</f>
        <v>0.23140165491484</v>
      </c>
      <c r="AE1036" s="8" t="str">
        <f aca="false">IF($K1036="SEM CULTURA","SEM CULTURA",IF($AA1036&lt;=0,"DADO PENDENTE",IF($AD1036&gt;LIMITE_CRITICO,"INVIAVEL",IF($AD1036&gt;LIMITE_ATENCAO,"CRITICO",IF($AD1036&gt;LIMITE_CONFORTAVEL,"ATENCAO","OK")))))</f>
        <v>OK</v>
      </c>
      <c r="AF1036" s="8" t="str">
        <f aca="false">$B1036&amp;"|"&amp;TEXT($AD1036,"0.000000")</f>
        <v>41|0.231402</v>
      </c>
      <c r="AG1036" s="18" t="n">
        <f aca="false">IF($K1036="SEM CULTURA",0,$T1036*$H1036)</f>
        <v>2159.5955862069</v>
      </c>
      <c r="AH1036" s="18" t="n">
        <f aca="false">IF($K1036="SEM CULTURA",0,$V1036*$H1036)</f>
        <v>95.16192</v>
      </c>
      <c r="AI1036" s="18" t="n">
        <f aca="false">IF($K1036="SEM CULTURA",0,$W1036*$H1036)</f>
        <v>2064.4336662069</v>
      </c>
      <c r="AJ1036" s="18" t="n">
        <f aca="false">IF($K1036="SEM CULTURA",0,$S1036*$H1036)</f>
        <v>2798.88</v>
      </c>
      <c r="AK1036" s="8" t="str">
        <f aca="false">$E1036&amp;"|"&amp;TEXT($AD1036,"0.000000")</f>
        <v>PV 132|0.231402</v>
      </c>
    </row>
    <row r="1037" customFormat="false" ht="15" hidden="false" customHeight="false" outlineLevel="0" collapsed="false">
      <c r="B1037" s="16" t="n">
        <v>42</v>
      </c>
      <c r="C1037" s="17" t="n">
        <f aca="false">DATA_INICIO_SAFRA+($B1037-1)*DIAS_POR_SEMANA</f>
        <v>46552</v>
      </c>
      <c r="D1037" s="17" t="n">
        <f aca="false">$C1037+DIAS_POR_SEMANA-1</f>
        <v>46558</v>
      </c>
      <c r="E1037" s="15" t="s">
        <v>274</v>
      </c>
      <c r="F1037" s="8" t="str">
        <f aca="false">IFERROR(INDEX(CADASTRO_PIVOS!$C$6:$C$41,MATCH($E1037,CADASTRO_PIVOS!$B$6:$B$41,0)),"?")</f>
        <v>RM05</v>
      </c>
      <c r="G1037" s="8" t="str">
        <f aca="false">IFERROR(INDEX(CADASTRO_PIVOS!$D$6:$D$41,MATCH($E1037,CADASTRO_PIVOS!$B$6:$B$41,0)),"?")</f>
        <v>TR05</v>
      </c>
      <c r="H1037" s="20" t="n">
        <f aca="false">IFERROR(INDEX(CADASTRO_PIVOS!$E$6:$E$41,MATCH($E1037,CADASTRO_PIVOS!$B$6:$B$41,0)),0)</f>
        <v>99.96</v>
      </c>
      <c r="I1037" s="16" t="n">
        <f aca="false">IFERROR(SUMIFS(ROTACAO_RDM!$B$6:$B$71,ROTACAO_RDM!$D$6:$D$71,$E1037,ROTACAO_RDM!$I$6:$I$71,"&lt;="&amp;$C1037+INT(DIAS_POR_SEMANA/2),ROTACAO_RDM!$J$6:$J$71,"&gt;="&amp;$C1037+INT(DIAS_POR_SEMANA/2)),0)</f>
        <v>63</v>
      </c>
      <c r="J1037" s="16" t="n">
        <f aca="false">IFERROR(MATCH($I1037,ROTACAO_RDM!$B$6:$B$71,0),0)</f>
        <v>63</v>
      </c>
      <c r="K1037" s="8" t="str">
        <f aca="false">IF($J1037=0,"SEM CULTURA",INDEX(ROTACAO_RDM!$F$6:$F$71,$J1037))</f>
        <v>ALGODAO</v>
      </c>
      <c r="L1037" s="8" t="str">
        <f aca="false">IF($J1037=0,"",INDEX(ROTACAO_RDM!$G$6:$G$71,$J1037))</f>
        <v>IMA 3764 B2RF</v>
      </c>
      <c r="M1037" s="17" t="n">
        <f aca="false">IF($J1037=0,"",INDEX(ROTACAO_RDM!$I$6:$I$71,$J1037))</f>
        <v>46357</v>
      </c>
      <c r="N1037" s="16" t="n">
        <f aca="false">IF($J1037=0,0,MAX(0,$C1037+INT(DIAS_POR_SEMANA/2)-INDEX(ROTACAO_RDM!$I$6:$I$71,$J1037)))</f>
        <v>198</v>
      </c>
      <c r="O1037" s="19" t="n">
        <f aca="false">IF($J1037=0,0,MIN(1,$N1037/MAX(1,INDEX(ROTACAO_RDM!$K$6:$K$71,$J1037))))</f>
        <v>0.942857142857143</v>
      </c>
      <c r="P1037" s="16" t="n">
        <f aca="false">IF($J1037=0,0,IFERROR(MATCH(INDEX(ROTACAO_RDM!$N$6:$N$71,$J1037),PARAMETROS_CULTURAS!$B$6:$B$28,0),0))</f>
        <v>6</v>
      </c>
      <c r="Q1037" s="8" t="str">
        <f aca="false">IF($P1037=0,"-",IF($O1037&lt;=INDEX(PARAMETROS_CULTURAS!$F$6:$F$28,$P1037),"INICIAL",IF($O1037&lt;=INDEX(PARAMETROS_CULTURAS!$F$6:$F$28,$P1037)+INDEX(PARAMETROS_CULTURAS!$G$6:$G$28,$P1037),"DESENVOLVIMENTO",IF($O1037&lt;=INDEX(PARAMETROS_CULTURAS!$F$6:$F$28,$P1037)+INDEX(PARAMETROS_CULTURAS!$G$6:$G$28,$P1037)+INDEX(PARAMETROS_CULTURAS!$H$6:$H$28,$P1037),"MEDIA","FINAL"))))</f>
        <v>FINAL</v>
      </c>
      <c r="R1037" s="24" t="n">
        <f aca="false">IF($P1037=0,0,IF($O1037&lt;=INDEX(PARAMETROS_CULTURAS!$F$6:$F$28,$P1037),INDEX(PARAMETROS_CULTURAS!$K$6:$K$28,$P1037),IF($O1037&lt;=INDEX(PARAMETROS_CULTURAS!$F$6:$F$28,$P1037)+INDEX(PARAMETROS_CULTURAS!$G$6:$G$28,$P1037),INDEX(PARAMETROS_CULTURAS!$K$6:$K$28,$P1037)+(INDEX(PARAMETROS_CULTURAS!$L$6:$L$28,$P1037)-INDEX(PARAMETROS_CULTURAS!$K$6:$K$28,$P1037))*($O1037-INDEX(PARAMETROS_CULTURAS!$F$6:$F$28,$P1037))/MAX(INDEX(PARAMETROS_CULTURAS!$G$6:$G$28,$P1037),0.0001),IF($O1037&lt;=INDEX(PARAMETROS_CULTURAS!$F$6:$F$28,$P1037)+INDEX(PARAMETROS_CULTURAS!$G$6:$G$28,$P1037)+INDEX(PARAMETROS_CULTURAS!$H$6:$H$28,$P1037),INDEX(PARAMETROS_CULTURAS!$L$6:$L$28,$P1037),INDEX(PARAMETROS_CULTURAS!$L$6:$L$28,$P1037)+(INDEX(PARAMETROS_CULTURAS!$M$6:$M$28,$P1037)-INDEX(PARAMETROS_CULTURAS!$L$6:$L$28,$P1037))*($O1037-INDEX(PARAMETROS_CULTURAS!$F$6:$F$28,$P1037)-INDEX(PARAMETROS_CULTURAS!$G$6:$G$28,$P1037)-INDEX(PARAMETROS_CULTURAS!$H$6:$H$28,$P1037))/MAX(INDEX(PARAMETROS_CULTURAS!$I$6:$I$28,$P1037),0.0001)))))</f>
        <v>0.708374384236453</v>
      </c>
      <c r="S1037" s="18" t="n">
        <f aca="false">IFERROR(INDEX(SEMANAS!$H$6:$H$71,MATCH($B1037,SEMANAS!$B$6:$B$71,0)),0)</f>
        <v>28</v>
      </c>
      <c r="T1037" s="18" t="n">
        <f aca="false">$R1037*$S1037</f>
        <v>19.8344827586207</v>
      </c>
      <c r="U1037" s="18" t="n">
        <f aca="false">IFERROR(INDEX(SEMANAS!$I$6:$I$71,MATCH($B1037,SEMANAS!$B$6:$B$71,0)),0)</f>
        <v>1.19</v>
      </c>
      <c r="V1037" s="18" t="n">
        <f aca="false">IFERROR(INDEX(SEMANAS!$J$6:$J$71,MATCH($B1037,SEMANAS!$B$6:$B$71,0)),0)</f>
        <v>0.952</v>
      </c>
      <c r="W1037" s="18" t="n">
        <f aca="false">MAX(0,$T1037-$V1037)</f>
        <v>18.8824827586207</v>
      </c>
      <c r="X1037" s="19" t="n">
        <f aca="false">IFERROR(INDEX(CADASTRO_PIVOS!$K$6:$K$41,MATCH($E1037,CADASTRO_PIVOS!$B$6:$B$41,0)),EFICIENCIA_PADRAO)</f>
        <v>0.85</v>
      </c>
      <c r="Y1037" s="18" t="n">
        <f aca="false">IF($X1037&lt;=0,0,$W1037/$X1037)</f>
        <v>22.2146855983773</v>
      </c>
      <c r="Z1037" s="16" t="n">
        <f aca="false">$Y1037*$H1037*MM_PARA_M3_HA</f>
        <v>22205.7997241379</v>
      </c>
      <c r="AA1037" s="18" t="n">
        <f aca="false">IFERROR(INDEX(CADASTRO_PIVOS!$I$6:$I$41,MATCH($E1037,CADASTRO_PIVOS!$B$6:$B$41,0)),0)</f>
        <v>714</v>
      </c>
      <c r="AB1037" s="18" t="n">
        <f aca="false">IF($Z1037&lt;=0,0,$Z1037/$AA1037)</f>
        <v>31.1005598377282</v>
      </c>
      <c r="AC1037" s="16" t="n">
        <f aca="false">IFERROR(INDEX(SEMANAS!$K$6:$K$71,MATCH($B1037,SEMANAS!$B$6:$B$71,0)),0)</f>
        <v>147</v>
      </c>
      <c r="AD1037" s="19" t="n">
        <f aca="false">IF($AC1037&lt;=0,0,$AB1037/$AC1037)</f>
        <v>0.21156843427026</v>
      </c>
      <c r="AE1037" s="8" t="str">
        <f aca="false">IF($K1037="SEM CULTURA","SEM CULTURA",IF($AA1037&lt;=0,"DADO PENDENTE",IF($AD1037&gt;LIMITE_CRITICO,"INVIAVEL",IF($AD1037&gt;LIMITE_ATENCAO,"CRITICO",IF($AD1037&gt;LIMITE_CONFORTAVEL,"ATENCAO","OK")))))</f>
        <v>OK</v>
      </c>
      <c r="AF1037" s="8" t="str">
        <f aca="false">$B1037&amp;"|"&amp;TEXT($AD1037,"0.000000")</f>
        <v>42|0.211568</v>
      </c>
      <c r="AG1037" s="18" t="n">
        <f aca="false">IF($K1037="SEM CULTURA",0,$T1037*$H1037)</f>
        <v>1982.65489655172</v>
      </c>
      <c r="AH1037" s="18" t="n">
        <f aca="false">IF($K1037="SEM CULTURA",0,$V1037*$H1037)</f>
        <v>95.16192</v>
      </c>
      <c r="AI1037" s="18" t="n">
        <f aca="false">IF($K1037="SEM CULTURA",0,$W1037*$H1037)</f>
        <v>1887.49297655172</v>
      </c>
      <c r="AJ1037" s="18" t="n">
        <f aca="false">IF($K1037="SEM CULTURA",0,$S1037*$H1037)</f>
        <v>2798.88</v>
      </c>
      <c r="AK1037" s="8" t="str">
        <f aca="false">$E1037&amp;"|"&amp;TEXT($AD1037,"0.000000")</f>
        <v>PV 132|0.211568</v>
      </c>
    </row>
    <row r="1038" customFormat="false" ht="15" hidden="false" customHeight="false" outlineLevel="0" collapsed="false">
      <c r="B1038" s="16" t="n">
        <v>43</v>
      </c>
      <c r="C1038" s="17" t="n">
        <f aca="false">DATA_INICIO_SAFRA+($B1038-1)*DIAS_POR_SEMANA</f>
        <v>46559</v>
      </c>
      <c r="D1038" s="17" t="n">
        <f aca="false">$C1038+DIAS_POR_SEMANA-1</f>
        <v>46565</v>
      </c>
      <c r="E1038" s="15" t="s">
        <v>274</v>
      </c>
      <c r="F1038" s="8" t="str">
        <f aca="false">IFERROR(INDEX(CADASTRO_PIVOS!$C$6:$C$41,MATCH($E1038,CADASTRO_PIVOS!$B$6:$B$41,0)),"?")</f>
        <v>RM05</v>
      </c>
      <c r="G1038" s="8" t="str">
        <f aca="false">IFERROR(INDEX(CADASTRO_PIVOS!$D$6:$D$41,MATCH($E1038,CADASTRO_PIVOS!$B$6:$B$41,0)),"?")</f>
        <v>TR05</v>
      </c>
      <c r="H1038" s="20" t="n">
        <f aca="false">IFERROR(INDEX(CADASTRO_PIVOS!$E$6:$E$41,MATCH($E1038,CADASTRO_PIVOS!$B$6:$B$41,0)),0)</f>
        <v>99.96</v>
      </c>
      <c r="I1038" s="16" t="n">
        <f aca="false">IFERROR(SUMIFS(ROTACAO_RDM!$B$6:$B$71,ROTACAO_RDM!$D$6:$D$71,$E1038,ROTACAO_RDM!$I$6:$I$71,"&lt;="&amp;$C1038+INT(DIAS_POR_SEMANA/2),ROTACAO_RDM!$J$6:$J$71,"&gt;="&amp;$C1038+INT(DIAS_POR_SEMANA/2)),0)</f>
        <v>63</v>
      </c>
      <c r="J1038" s="16" t="n">
        <f aca="false">IFERROR(MATCH($I1038,ROTACAO_RDM!$B$6:$B$71,0),0)</f>
        <v>63</v>
      </c>
      <c r="K1038" s="8" t="str">
        <f aca="false">IF($J1038=0,"SEM CULTURA",INDEX(ROTACAO_RDM!$F$6:$F$71,$J1038))</f>
        <v>ALGODAO</v>
      </c>
      <c r="L1038" s="8" t="str">
        <f aca="false">IF($J1038=0,"",INDEX(ROTACAO_RDM!$G$6:$G$71,$J1038))</f>
        <v>IMA 3764 B2RF</v>
      </c>
      <c r="M1038" s="17" t="n">
        <f aca="false">IF($J1038=0,"",INDEX(ROTACAO_RDM!$I$6:$I$71,$J1038))</f>
        <v>46357</v>
      </c>
      <c r="N1038" s="16" t="n">
        <f aca="false">IF($J1038=0,0,MAX(0,$C1038+INT(DIAS_POR_SEMANA/2)-INDEX(ROTACAO_RDM!$I$6:$I$71,$J1038)))</f>
        <v>205</v>
      </c>
      <c r="O1038" s="19" t="n">
        <f aca="false">IF($J1038=0,0,MIN(1,$N1038/MAX(1,INDEX(ROTACAO_RDM!$K$6:$K$71,$J1038))))</f>
        <v>0.976190476190476</v>
      </c>
      <c r="P1038" s="16" t="n">
        <f aca="false">IF($J1038=0,0,IFERROR(MATCH(INDEX(ROTACAO_RDM!$N$6:$N$71,$J1038),PARAMETROS_CULTURAS!$B$6:$B$28,0),0))</f>
        <v>6</v>
      </c>
      <c r="Q1038" s="8" t="str">
        <f aca="false">IF($P1038=0,"-",IF($O1038&lt;=INDEX(PARAMETROS_CULTURAS!$F$6:$F$28,$P1038),"INICIAL",IF($O1038&lt;=INDEX(PARAMETROS_CULTURAS!$F$6:$F$28,$P1038)+INDEX(PARAMETROS_CULTURAS!$G$6:$G$28,$P1038),"DESENVOLVIMENTO",IF($O1038&lt;=INDEX(PARAMETROS_CULTURAS!$F$6:$F$28,$P1038)+INDEX(PARAMETROS_CULTURAS!$G$6:$G$28,$P1038)+INDEX(PARAMETROS_CULTURAS!$H$6:$H$28,$P1038),"MEDIA","FINAL"))))</f>
        <v>FINAL</v>
      </c>
      <c r="R1038" s="24" t="n">
        <f aca="false">IF($P1038=0,0,IF($O1038&lt;=INDEX(PARAMETROS_CULTURAS!$F$6:$F$28,$P1038),INDEX(PARAMETROS_CULTURAS!$K$6:$K$28,$P1038),IF($O1038&lt;=INDEX(PARAMETROS_CULTURAS!$F$6:$F$28,$P1038)+INDEX(PARAMETROS_CULTURAS!$G$6:$G$28,$P1038),INDEX(PARAMETROS_CULTURAS!$K$6:$K$28,$P1038)+(INDEX(PARAMETROS_CULTURAS!$L$6:$L$28,$P1038)-INDEX(PARAMETROS_CULTURAS!$K$6:$K$28,$P1038))*($O1038-INDEX(PARAMETROS_CULTURAS!$F$6:$F$28,$P1038))/MAX(INDEX(PARAMETROS_CULTURAS!$G$6:$G$28,$P1038),0.0001),IF($O1038&lt;=INDEX(PARAMETROS_CULTURAS!$F$6:$F$28,$P1038)+INDEX(PARAMETROS_CULTURAS!$G$6:$G$28,$P1038)+INDEX(PARAMETROS_CULTURAS!$H$6:$H$28,$P1038),INDEX(PARAMETROS_CULTURAS!$L$6:$L$28,$P1038),INDEX(PARAMETROS_CULTURAS!$L$6:$L$28,$P1038)+(INDEX(PARAMETROS_CULTURAS!$M$6:$M$28,$P1038)-INDEX(PARAMETROS_CULTURAS!$L$6:$L$28,$P1038))*($O1038-INDEX(PARAMETROS_CULTURAS!$F$6:$F$28,$P1038)-INDEX(PARAMETROS_CULTURAS!$G$6:$G$28,$P1038)-INDEX(PARAMETROS_CULTURAS!$H$6:$H$28,$P1038))/MAX(INDEX(PARAMETROS_CULTURAS!$I$6:$I$28,$P1038),0.0001)))))</f>
        <v>0.645155993431856</v>
      </c>
      <c r="S1038" s="18" t="n">
        <f aca="false">IFERROR(INDEX(SEMANAS!$H$6:$H$71,MATCH($B1038,SEMANAS!$B$6:$B$71,0)),0)</f>
        <v>28</v>
      </c>
      <c r="T1038" s="18" t="n">
        <f aca="false">$R1038*$S1038</f>
        <v>18.064367816092</v>
      </c>
      <c r="U1038" s="18" t="n">
        <f aca="false">IFERROR(INDEX(SEMANAS!$I$6:$I$71,MATCH($B1038,SEMANAS!$B$6:$B$71,0)),0)</f>
        <v>1.19</v>
      </c>
      <c r="V1038" s="18" t="n">
        <f aca="false">IFERROR(INDEX(SEMANAS!$J$6:$J$71,MATCH($B1038,SEMANAS!$B$6:$B$71,0)),0)</f>
        <v>0.952</v>
      </c>
      <c r="W1038" s="18" t="n">
        <f aca="false">MAX(0,$T1038-$V1038)</f>
        <v>17.112367816092</v>
      </c>
      <c r="X1038" s="19" t="n">
        <f aca="false">IFERROR(INDEX(CADASTRO_PIVOS!$K$6:$K$41,MATCH($E1038,CADASTRO_PIVOS!$B$6:$B$41,0)),EFICIENCIA_PADRAO)</f>
        <v>0.85</v>
      </c>
      <c r="Y1038" s="18" t="n">
        <f aca="false">IF($X1038&lt;=0,0,$W1038/$X1038)</f>
        <v>20.1321974306964</v>
      </c>
      <c r="Z1038" s="16" t="n">
        <f aca="false">$Y1038*$H1038*MM_PARA_M3_HA</f>
        <v>20124.1445517241</v>
      </c>
      <c r="AA1038" s="18" t="n">
        <f aca="false">IFERROR(INDEX(CADASTRO_PIVOS!$I$6:$I$41,MATCH($E1038,CADASTRO_PIVOS!$B$6:$B$41,0)),0)</f>
        <v>714</v>
      </c>
      <c r="AB1038" s="18" t="n">
        <f aca="false">IF($Z1038&lt;=0,0,$Z1038/$AA1038)</f>
        <v>28.185076402975</v>
      </c>
      <c r="AC1038" s="16" t="n">
        <f aca="false">IFERROR(INDEX(SEMANAS!$K$6:$K$71,MATCH($B1038,SEMANAS!$B$6:$B$71,0)),0)</f>
        <v>147</v>
      </c>
      <c r="AD1038" s="19" t="n">
        <f aca="false">IF($AC1038&lt;=0,0,$AB1038/$AC1038)</f>
        <v>0.19173521362568</v>
      </c>
      <c r="AE1038" s="8" t="str">
        <f aca="false">IF($K1038="SEM CULTURA","SEM CULTURA",IF($AA1038&lt;=0,"DADO PENDENTE",IF($AD1038&gt;LIMITE_CRITICO,"INVIAVEL",IF($AD1038&gt;LIMITE_ATENCAO,"CRITICO",IF($AD1038&gt;LIMITE_CONFORTAVEL,"ATENCAO","OK")))))</f>
        <v>OK</v>
      </c>
      <c r="AF1038" s="8" t="str">
        <f aca="false">$B1038&amp;"|"&amp;TEXT($AD1038,"0.000000")</f>
        <v>43|0.191735</v>
      </c>
      <c r="AG1038" s="18" t="n">
        <f aca="false">IF($K1038="SEM CULTURA",0,$T1038*$H1038)</f>
        <v>1805.71420689655</v>
      </c>
      <c r="AH1038" s="18" t="n">
        <f aca="false">IF($K1038="SEM CULTURA",0,$V1038*$H1038)</f>
        <v>95.16192</v>
      </c>
      <c r="AI1038" s="18" t="n">
        <f aca="false">IF($K1038="SEM CULTURA",0,$W1038*$H1038)</f>
        <v>1710.55228689655</v>
      </c>
      <c r="AJ1038" s="18" t="n">
        <f aca="false">IF($K1038="SEM CULTURA",0,$S1038*$H1038)</f>
        <v>2798.88</v>
      </c>
      <c r="AK1038" s="8" t="str">
        <f aca="false">$E1038&amp;"|"&amp;TEXT($AD1038,"0.000000")</f>
        <v>PV 132|0.191735</v>
      </c>
    </row>
    <row r="1039" customFormat="false" ht="15" hidden="false" customHeight="false" outlineLevel="0" collapsed="false">
      <c r="B1039" s="16" t="n">
        <v>44</v>
      </c>
      <c r="C1039" s="17" t="n">
        <f aca="false">DATA_INICIO_SAFRA+($B1039-1)*DIAS_POR_SEMANA</f>
        <v>46566</v>
      </c>
      <c r="D1039" s="17" t="n">
        <f aca="false">$C1039+DIAS_POR_SEMANA-1</f>
        <v>46572</v>
      </c>
      <c r="E1039" s="15" t="s">
        <v>274</v>
      </c>
      <c r="F1039" s="8" t="str">
        <f aca="false">IFERROR(INDEX(CADASTRO_PIVOS!$C$6:$C$41,MATCH($E1039,CADASTRO_PIVOS!$B$6:$B$41,0)),"?")</f>
        <v>RM05</v>
      </c>
      <c r="G1039" s="8" t="str">
        <f aca="false">IFERROR(INDEX(CADASTRO_PIVOS!$D$6:$D$41,MATCH($E1039,CADASTRO_PIVOS!$B$6:$B$41,0)),"?")</f>
        <v>TR05</v>
      </c>
      <c r="H1039" s="20" t="n">
        <f aca="false">IFERROR(INDEX(CADASTRO_PIVOS!$E$6:$E$41,MATCH($E1039,CADASTRO_PIVOS!$B$6:$B$41,0)),0)</f>
        <v>99.96</v>
      </c>
      <c r="I1039" s="16" t="n">
        <f aca="false">IFERROR(SUMIFS(ROTACAO_RDM!$B$6:$B$71,ROTACAO_RDM!$D$6:$D$71,$E1039,ROTACAO_RDM!$I$6:$I$71,"&lt;="&amp;$C1039+INT(DIAS_POR_SEMANA/2),ROTACAO_RDM!$J$6:$J$71,"&gt;="&amp;$C1039+INT(DIAS_POR_SEMANA/2)),0)</f>
        <v>64</v>
      </c>
      <c r="J1039" s="16" t="n">
        <f aca="false">IFERROR(MATCH($I1039,ROTACAO_RDM!$B$6:$B$71,0),0)</f>
        <v>64</v>
      </c>
      <c r="K1039" s="8" t="str">
        <f aca="false">IF($J1039=0,"SEM CULTURA",INDEX(ROTACAO_RDM!$F$6:$F$71,$J1039))</f>
        <v>MILHO_SEMENTE</v>
      </c>
      <c r="L1039" s="8" t="n">
        <f aca="false">IF($J1039=0,"",INDEX(ROTACAO_RDM!$G$6:$G$71,$J1039))</f>
        <v>0</v>
      </c>
      <c r="M1039" s="17" t="n">
        <f aca="false">IF($J1039=0,"",INDEX(ROTACAO_RDM!$I$6:$I$71,$J1039))</f>
        <v>46566</v>
      </c>
      <c r="N1039" s="16" t="n">
        <f aca="false">IF($J1039=0,0,MAX(0,$C1039+INT(DIAS_POR_SEMANA/2)-INDEX(ROTACAO_RDM!$I$6:$I$71,$J1039)))</f>
        <v>3</v>
      </c>
      <c r="O1039" s="19" t="n">
        <f aca="false">IF($J1039=0,0,MIN(1,$N1039/MAX(1,INDEX(ROTACAO_RDM!$K$6:$K$71,$J1039))))</f>
        <v>0.0206896551724138</v>
      </c>
      <c r="P1039" s="16" t="n">
        <f aca="false">IF($J1039=0,0,IFERROR(MATCH(INDEX(ROTACAO_RDM!$N$6:$N$71,$J1039),PARAMETROS_CULTURAS!$B$6:$B$28,0),0))</f>
        <v>7</v>
      </c>
      <c r="Q1039" s="8" t="str">
        <f aca="false">IF($P1039=0,"-",IF($O1039&lt;=INDEX(PARAMETROS_CULTURAS!$F$6:$F$28,$P1039),"INICIAL",IF($O1039&lt;=INDEX(PARAMETROS_CULTURAS!$F$6:$F$28,$P1039)+INDEX(PARAMETROS_CULTURAS!$G$6:$G$28,$P1039),"DESENVOLVIMENTO",IF($O1039&lt;=INDEX(PARAMETROS_CULTURAS!$F$6:$F$28,$P1039)+INDEX(PARAMETROS_CULTURAS!$G$6:$G$28,$P1039)+INDEX(PARAMETROS_CULTURAS!$H$6:$H$28,$P1039),"MEDIA","FINAL"))))</f>
        <v>INICIAL</v>
      </c>
      <c r="R1039" s="24" t="n">
        <f aca="false">IF($P1039=0,0,IF($O1039&lt;=INDEX(PARAMETROS_CULTURAS!$F$6:$F$28,$P1039),INDEX(PARAMETROS_CULTURAS!$K$6:$K$28,$P1039),IF($O1039&lt;=INDEX(PARAMETROS_CULTURAS!$F$6:$F$28,$P1039)+INDEX(PARAMETROS_CULTURAS!$G$6:$G$28,$P1039),INDEX(PARAMETROS_CULTURAS!$K$6:$K$28,$P1039)+(INDEX(PARAMETROS_CULTURAS!$L$6:$L$28,$P1039)-INDEX(PARAMETROS_CULTURAS!$K$6:$K$28,$P1039))*($O1039-INDEX(PARAMETROS_CULTURAS!$F$6:$F$28,$P1039))/MAX(INDEX(PARAMETROS_CULTURAS!$G$6:$G$28,$P1039),0.0001),IF($O1039&lt;=INDEX(PARAMETROS_CULTURAS!$F$6:$F$28,$P1039)+INDEX(PARAMETROS_CULTURAS!$G$6:$G$28,$P1039)+INDEX(PARAMETROS_CULTURAS!$H$6:$H$28,$P1039),INDEX(PARAMETROS_CULTURAS!$L$6:$L$28,$P1039),INDEX(PARAMETROS_CULTURAS!$L$6:$L$28,$P1039)+(INDEX(PARAMETROS_CULTURAS!$M$6:$M$28,$P1039)-INDEX(PARAMETROS_CULTURAS!$L$6:$L$28,$P1039))*($O1039-INDEX(PARAMETROS_CULTURAS!$F$6:$F$28,$P1039)-INDEX(PARAMETROS_CULTURAS!$G$6:$G$28,$P1039)-INDEX(PARAMETROS_CULTURAS!$H$6:$H$28,$P1039))/MAX(INDEX(PARAMETROS_CULTURAS!$I$6:$I$28,$P1039),0.0001)))))</f>
        <v>0.3</v>
      </c>
      <c r="S1039" s="18" t="n">
        <f aca="false">IFERROR(INDEX(SEMANAS!$H$6:$H$71,MATCH($B1039,SEMANAS!$B$6:$B$71,0)),0)</f>
        <v>29.2</v>
      </c>
      <c r="T1039" s="18" t="n">
        <f aca="false">$R1039*$S1039</f>
        <v>8.76</v>
      </c>
      <c r="U1039" s="18" t="n">
        <f aca="false">IFERROR(INDEX(SEMANAS!$I$6:$I$71,MATCH($B1039,SEMANAS!$B$6:$B$71,0)),0)</f>
        <v>0.91</v>
      </c>
      <c r="V1039" s="18" t="n">
        <f aca="false">IFERROR(INDEX(SEMANAS!$J$6:$J$71,MATCH($B1039,SEMANAS!$B$6:$B$71,0)),0)</f>
        <v>0.728</v>
      </c>
      <c r="W1039" s="18" t="n">
        <f aca="false">MAX(0,$T1039-$V1039)</f>
        <v>8.032</v>
      </c>
      <c r="X1039" s="19" t="n">
        <f aca="false">IFERROR(INDEX(CADASTRO_PIVOS!$K$6:$K$41,MATCH($E1039,CADASTRO_PIVOS!$B$6:$B$41,0)),EFICIENCIA_PADRAO)</f>
        <v>0.85</v>
      </c>
      <c r="Y1039" s="18" t="n">
        <f aca="false">IF($X1039&lt;=0,0,$W1039/$X1039)</f>
        <v>9.44941176470588</v>
      </c>
      <c r="Z1039" s="16" t="n">
        <f aca="false">$Y1039*$H1039*MM_PARA_M3_HA</f>
        <v>9445.632</v>
      </c>
      <c r="AA1039" s="18" t="n">
        <f aca="false">IFERROR(INDEX(CADASTRO_PIVOS!$I$6:$I$41,MATCH($E1039,CADASTRO_PIVOS!$B$6:$B$41,0)),0)</f>
        <v>714</v>
      </c>
      <c r="AB1039" s="18" t="n">
        <f aca="false">IF($Z1039&lt;=0,0,$Z1039/$AA1039)</f>
        <v>13.2291764705882</v>
      </c>
      <c r="AC1039" s="16" t="n">
        <f aca="false">IFERROR(INDEX(SEMANAS!$K$6:$K$71,MATCH($B1039,SEMANAS!$B$6:$B$71,0)),0)</f>
        <v>147</v>
      </c>
      <c r="AD1039" s="19" t="n">
        <f aca="false">IF($AC1039&lt;=0,0,$AB1039/$AC1039)</f>
        <v>0.0899943977591037</v>
      </c>
      <c r="AE1039" s="8" t="str">
        <f aca="false">IF($K1039="SEM CULTURA","SEM CULTURA",IF($AA1039&lt;=0,"DADO PENDENTE",IF($AD1039&gt;LIMITE_CRITICO,"INVIAVEL",IF($AD1039&gt;LIMITE_ATENCAO,"CRITICO",IF($AD1039&gt;LIMITE_CONFORTAVEL,"ATENCAO","OK")))))</f>
        <v>OK</v>
      </c>
      <c r="AF1039" s="8" t="str">
        <f aca="false">$B1039&amp;"|"&amp;TEXT($AD1039,"0.000000")</f>
        <v>44|0.089994</v>
      </c>
      <c r="AG1039" s="18" t="n">
        <f aca="false">IF($K1039="SEM CULTURA",0,$T1039*$H1039)</f>
        <v>875.6496</v>
      </c>
      <c r="AH1039" s="18" t="n">
        <f aca="false">IF($K1039="SEM CULTURA",0,$V1039*$H1039)</f>
        <v>72.77088</v>
      </c>
      <c r="AI1039" s="18" t="n">
        <f aca="false">IF($K1039="SEM CULTURA",0,$W1039*$H1039)</f>
        <v>802.87872</v>
      </c>
      <c r="AJ1039" s="18" t="n">
        <f aca="false">IF($K1039="SEM CULTURA",0,$S1039*$H1039)</f>
        <v>2918.832</v>
      </c>
      <c r="AK1039" s="8" t="str">
        <f aca="false">$E1039&amp;"|"&amp;TEXT($AD1039,"0.000000")</f>
        <v>PV 132|0.089994</v>
      </c>
    </row>
    <row r="1040" customFormat="false" ht="15" hidden="false" customHeight="false" outlineLevel="0" collapsed="false">
      <c r="B1040" s="16" t="n">
        <v>45</v>
      </c>
      <c r="C1040" s="17" t="n">
        <f aca="false">DATA_INICIO_SAFRA+($B1040-1)*DIAS_POR_SEMANA</f>
        <v>46573</v>
      </c>
      <c r="D1040" s="17" t="n">
        <f aca="false">$C1040+DIAS_POR_SEMANA-1</f>
        <v>46579</v>
      </c>
      <c r="E1040" s="15" t="s">
        <v>274</v>
      </c>
      <c r="F1040" s="8" t="str">
        <f aca="false">IFERROR(INDEX(CADASTRO_PIVOS!$C$6:$C$41,MATCH($E1040,CADASTRO_PIVOS!$B$6:$B$41,0)),"?")</f>
        <v>RM05</v>
      </c>
      <c r="G1040" s="8" t="str">
        <f aca="false">IFERROR(INDEX(CADASTRO_PIVOS!$D$6:$D$41,MATCH($E1040,CADASTRO_PIVOS!$B$6:$B$41,0)),"?")</f>
        <v>TR05</v>
      </c>
      <c r="H1040" s="20" t="n">
        <f aca="false">IFERROR(INDEX(CADASTRO_PIVOS!$E$6:$E$41,MATCH($E1040,CADASTRO_PIVOS!$B$6:$B$41,0)),0)</f>
        <v>99.96</v>
      </c>
      <c r="I1040" s="16" t="n">
        <f aca="false">IFERROR(SUMIFS(ROTACAO_RDM!$B$6:$B$71,ROTACAO_RDM!$D$6:$D$71,$E1040,ROTACAO_RDM!$I$6:$I$71,"&lt;="&amp;$C1040+INT(DIAS_POR_SEMANA/2),ROTACAO_RDM!$J$6:$J$71,"&gt;="&amp;$C1040+INT(DIAS_POR_SEMANA/2)),0)</f>
        <v>64</v>
      </c>
      <c r="J1040" s="16" t="n">
        <f aca="false">IFERROR(MATCH($I1040,ROTACAO_RDM!$B$6:$B$71,0),0)</f>
        <v>64</v>
      </c>
      <c r="K1040" s="8" t="str">
        <f aca="false">IF($J1040=0,"SEM CULTURA",INDEX(ROTACAO_RDM!$F$6:$F$71,$J1040))</f>
        <v>MILHO_SEMENTE</v>
      </c>
      <c r="L1040" s="8" t="n">
        <f aca="false">IF($J1040=0,"",INDEX(ROTACAO_RDM!$G$6:$G$71,$J1040))</f>
        <v>0</v>
      </c>
      <c r="M1040" s="17" t="n">
        <f aca="false">IF($J1040=0,"",INDEX(ROTACAO_RDM!$I$6:$I$71,$J1040))</f>
        <v>46566</v>
      </c>
      <c r="N1040" s="16" t="n">
        <f aca="false">IF($J1040=0,0,MAX(0,$C1040+INT(DIAS_POR_SEMANA/2)-INDEX(ROTACAO_RDM!$I$6:$I$71,$J1040)))</f>
        <v>10</v>
      </c>
      <c r="O1040" s="19" t="n">
        <f aca="false">IF($J1040=0,0,MIN(1,$N1040/MAX(1,INDEX(ROTACAO_RDM!$K$6:$K$71,$J1040))))</f>
        <v>0.0689655172413793</v>
      </c>
      <c r="P1040" s="16" t="n">
        <f aca="false">IF($J1040=0,0,IFERROR(MATCH(INDEX(ROTACAO_RDM!$N$6:$N$71,$J1040),PARAMETROS_CULTURAS!$B$6:$B$28,0),0))</f>
        <v>7</v>
      </c>
      <c r="Q1040" s="8" t="str">
        <f aca="false">IF($P1040=0,"-",IF($O1040&lt;=INDEX(PARAMETROS_CULTURAS!$F$6:$F$28,$P1040),"INICIAL",IF($O1040&lt;=INDEX(PARAMETROS_CULTURAS!$F$6:$F$28,$P1040)+INDEX(PARAMETROS_CULTURAS!$G$6:$G$28,$P1040),"DESENVOLVIMENTO",IF($O1040&lt;=INDEX(PARAMETROS_CULTURAS!$F$6:$F$28,$P1040)+INDEX(PARAMETROS_CULTURAS!$G$6:$G$28,$P1040)+INDEX(PARAMETROS_CULTURAS!$H$6:$H$28,$P1040),"MEDIA","FINAL"))))</f>
        <v>INICIAL</v>
      </c>
      <c r="R1040" s="24" t="n">
        <f aca="false">IF($P1040=0,0,IF($O1040&lt;=INDEX(PARAMETROS_CULTURAS!$F$6:$F$28,$P1040),INDEX(PARAMETROS_CULTURAS!$K$6:$K$28,$P1040),IF($O1040&lt;=INDEX(PARAMETROS_CULTURAS!$F$6:$F$28,$P1040)+INDEX(PARAMETROS_CULTURAS!$G$6:$G$28,$P1040),INDEX(PARAMETROS_CULTURAS!$K$6:$K$28,$P1040)+(INDEX(PARAMETROS_CULTURAS!$L$6:$L$28,$P1040)-INDEX(PARAMETROS_CULTURAS!$K$6:$K$28,$P1040))*($O1040-INDEX(PARAMETROS_CULTURAS!$F$6:$F$28,$P1040))/MAX(INDEX(PARAMETROS_CULTURAS!$G$6:$G$28,$P1040),0.0001),IF($O1040&lt;=INDEX(PARAMETROS_CULTURAS!$F$6:$F$28,$P1040)+INDEX(PARAMETROS_CULTURAS!$G$6:$G$28,$P1040)+INDEX(PARAMETROS_CULTURAS!$H$6:$H$28,$P1040),INDEX(PARAMETROS_CULTURAS!$L$6:$L$28,$P1040),INDEX(PARAMETROS_CULTURAS!$L$6:$L$28,$P1040)+(INDEX(PARAMETROS_CULTURAS!$M$6:$M$28,$P1040)-INDEX(PARAMETROS_CULTURAS!$L$6:$L$28,$P1040))*($O1040-INDEX(PARAMETROS_CULTURAS!$F$6:$F$28,$P1040)-INDEX(PARAMETROS_CULTURAS!$G$6:$G$28,$P1040)-INDEX(PARAMETROS_CULTURAS!$H$6:$H$28,$P1040))/MAX(INDEX(PARAMETROS_CULTURAS!$I$6:$I$28,$P1040),0.0001)))))</f>
        <v>0.3</v>
      </c>
      <c r="S1040" s="18" t="n">
        <f aca="false">IFERROR(INDEX(SEMANAS!$H$6:$H$71,MATCH($B1040,SEMANAS!$B$6:$B$71,0)),0)</f>
        <v>30.1</v>
      </c>
      <c r="T1040" s="18" t="n">
        <f aca="false">$R1040*$S1040</f>
        <v>9.03</v>
      </c>
      <c r="U1040" s="18" t="n">
        <f aca="false">IFERROR(INDEX(SEMANAS!$I$6:$I$71,MATCH($B1040,SEMANAS!$B$6:$B$71,0)),0)</f>
        <v>0.7</v>
      </c>
      <c r="V1040" s="18" t="n">
        <f aca="false">IFERROR(INDEX(SEMANAS!$J$6:$J$71,MATCH($B1040,SEMANAS!$B$6:$B$71,0)),0)</f>
        <v>0.56</v>
      </c>
      <c r="W1040" s="18" t="n">
        <f aca="false">MAX(0,$T1040-$V1040)</f>
        <v>8.47</v>
      </c>
      <c r="X1040" s="19" t="n">
        <f aca="false">IFERROR(INDEX(CADASTRO_PIVOS!$K$6:$K$41,MATCH($E1040,CADASTRO_PIVOS!$B$6:$B$41,0)),EFICIENCIA_PADRAO)</f>
        <v>0.85</v>
      </c>
      <c r="Y1040" s="18" t="n">
        <f aca="false">IF($X1040&lt;=0,0,$W1040/$X1040)</f>
        <v>9.96470588235294</v>
      </c>
      <c r="Z1040" s="16" t="n">
        <f aca="false">$Y1040*$H1040*MM_PARA_M3_HA</f>
        <v>9960.72</v>
      </c>
      <c r="AA1040" s="18" t="n">
        <f aca="false">IFERROR(INDEX(CADASTRO_PIVOS!$I$6:$I$41,MATCH($E1040,CADASTRO_PIVOS!$B$6:$B$41,0)),0)</f>
        <v>714</v>
      </c>
      <c r="AB1040" s="18" t="n">
        <f aca="false">IF($Z1040&lt;=0,0,$Z1040/$AA1040)</f>
        <v>13.9505882352941</v>
      </c>
      <c r="AC1040" s="16" t="n">
        <f aca="false">IFERROR(INDEX(SEMANAS!$K$6:$K$71,MATCH($B1040,SEMANAS!$B$6:$B$71,0)),0)</f>
        <v>147</v>
      </c>
      <c r="AD1040" s="19" t="n">
        <f aca="false">IF($AC1040&lt;=0,0,$AB1040/$AC1040)</f>
        <v>0.0949019607843137</v>
      </c>
      <c r="AE1040" s="8" t="str">
        <f aca="false">IF($K1040="SEM CULTURA","SEM CULTURA",IF($AA1040&lt;=0,"DADO PENDENTE",IF($AD1040&gt;LIMITE_CRITICO,"INVIAVEL",IF($AD1040&gt;LIMITE_ATENCAO,"CRITICO",IF($AD1040&gt;LIMITE_CONFORTAVEL,"ATENCAO","OK")))))</f>
        <v>OK</v>
      </c>
      <c r="AF1040" s="8" t="str">
        <f aca="false">$B1040&amp;"|"&amp;TEXT($AD1040,"0.000000")</f>
        <v>45|0.094902</v>
      </c>
      <c r="AG1040" s="18" t="n">
        <f aca="false">IF($K1040="SEM CULTURA",0,$T1040*$H1040)</f>
        <v>902.6388</v>
      </c>
      <c r="AH1040" s="18" t="n">
        <f aca="false">IF($K1040="SEM CULTURA",0,$V1040*$H1040)</f>
        <v>55.9776</v>
      </c>
      <c r="AI1040" s="18" t="n">
        <f aca="false">IF($K1040="SEM CULTURA",0,$W1040*$H1040)</f>
        <v>846.6612</v>
      </c>
      <c r="AJ1040" s="18" t="n">
        <f aca="false">IF($K1040="SEM CULTURA",0,$S1040*$H1040)</f>
        <v>3008.796</v>
      </c>
      <c r="AK1040" s="8" t="str">
        <f aca="false">$E1040&amp;"|"&amp;TEXT($AD1040,"0.000000")</f>
        <v>PV 132|0.094902</v>
      </c>
    </row>
    <row r="1041" customFormat="false" ht="15" hidden="false" customHeight="false" outlineLevel="0" collapsed="false">
      <c r="B1041" s="16" t="n">
        <v>46</v>
      </c>
      <c r="C1041" s="17" t="n">
        <f aca="false">DATA_INICIO_SAFRA+($B1041-1)*DIAS_POR_SEMANA</f>
        <v>46580</v>
      </c>
      <c r="D1041" s="17" t="n">
        <f aca="false">$C1041+DIAS_POR_SEMANA-1</f>
        <v>46586</v>
      </c>
      <c r="E1041" s="15" t="s">
        <v>274</v>
      </c>
      <c r="F1041" s="8" t="str">
        <f aca="false">IFERROR(INDEX(CADASTRO_PIVOS!$C$6:$C$41,MATCH($E1041,CADASTRO_PIVOS!$B$6:$B$41,0)),"?")</f>
        <v>RM05</v>
      </c>
      <c r="G1041" s="8" t="str">
        <f aca="false">IFERROR(INDEX(CADASTRO_PIVOS!$D$6:$D$41,MATCH($E1041,CADASTRO_PIVOS!$B$6:$B$41,0)),"?")</f>
        <v>TR05</v>
      </c>
      <c r="H1041" s="20" t="n">
        <f aca="false">IFERROR(INDEX(CADASTRO_PIVOS!$E$6:$E$41,MATCH($E1041,CADASTRO_PIVOS!$B$6:$B$41,0)),0)</f>
        <v>99.96</v>
      </c>
      <c r="I1041" s="16" t="n">
        <f aca="false">IFERROR(SUMIFS(ROTACAO_RDM!$B$6:$B$71,ROTACAO_RDM!$D$6:$D$71,$E1041,ROTACAO_RDM!$I$6:$I$71,"&lt;="&amp;$C1041+INT(DIAS_POR_SEMANA/2),ROTACAO_RDM!$J$6:$J$71,"&gt;="&amp;$C1041+INT(DIAS_POR_SEMANA/2)),0)</f>
        <v>64</v>
      </c>
      <c r="J1041" s="16" t="n">
        <f aca="false">IFERROR(MATCH($I1041,ROTACAO_RDM!$B$6:$B$71,0),0)</f>
        <v>64</v>
      </c>
      <c r="K1041" s="8" t="str">
        <f aca="false">IF($J1041=0,"SEM CULTURA",INDEX(ROTACAO_RDM!$F$6:$F$71,$J1041))</f>
        <v>MILHO_SEMENTE</v>
      </c>
      <c r="L1041" s="8" t="n">
        <f aca="false">IF($J1041=0,"",INDEX(ROTACAO_RDM!$G$6:$G$71,$J1041))</f>
        <v>0</v>
      </c>
      <c r="M1041" s="17" t="n">
        <f aca="false">IF($J1041=0,"",INDEX(ROTACAO_RDM!$I$6:$I$71,$J1041))</f>
        <v>46566</v>
      </c>
      <c r="N1041" s="16" t="n">
        <f aca="false">IF($J1041=0,0,MAX(0,$C1041+INT(DIAS_POR_SEMANA/2)-INDEX(ROTACAO_RDM!$I$6:$I$71,$J1041)))</f>
        <v>17</v>
      </c>
      <c r="O1041" s="19" t="n">
        <f aca="false">IF($J1041=0,0,MIN(1,$N1041/MAX(1,INDEX(ROTACAO_RDM!$K$6:$K$71,$J1041))))</f>
        <v>0.117241379310345</v>
      </c>
      <c r="P1041" s="16" t="n">
        <f aca="false">IF($J1041=0,0,IFERROR(MATCH(INDEX(ROTACAO_RDM!$N$6:$N$71,$J1041),PARAMETROS_CULTURAS!$B$6:$B$28,0),0))</f>
        <v>7</v>
      </c>
      <c r="Q1041" s="8" t="str">
        <f aca="false">IF($P1041=0,"-",IF($O1041&lt;=INDEX(PARAMETROS_CULTURAS!$F$6:$F$28,$P1041),"INICIAL",IF($O1041&lt;=INDEX(PARAMETROS_CULTURAS!$F$6:$F$28,$P1041)+INDEX(PARAMETROS_CULTURAS!$G$6:$G$28,$P1041),"DESENVOLVIMENTO",IF($O1041&lt;=INDEX(PARAMETROS_CULTURAS!$F$6:$F$28,$P1041)+INDEX(PARAMETROS_CULTURAS!$G$6:$G$28,$P1041)+INDEX(PARAMETROS_CULTURAS!$H$6:$H$28,$P1041),"MEDIA","FINAL"))))</f>
        <v>INICIAL</v>
      </c>
      <c r="R1041" s="24" t="n">
        <f aca="false">IF($P1041=0,0,IF($O1041&lt;=INDEX(PARAMETROS_CULTURAS!$F$6:$F$28,$P1041),INDEX(PARAMETROS_CULTURAS!$K$6:$K$28,$P1041),IF($O1041&lt;=INDEX(PARAMETROS_CULTURAS!$F$6:$F$28,$P1041)+INDEX(PARAMETROS_CULTURAS!$G$6:$G$28,$P1041),INDEX(PARAMETROS_CULTURAS!$K$6:$K$28,$P1041)+(INDEX(PARAMETROS_CULTURAS!$L$6:$L$28,$P1041)-INDEX(PARAMETROS_CULTURAS!$K$6:$K$28,$P1041))*($O1041-INDEX(PARAMETROS_CULTURAS!$F$6:$F$28,$P1041))/MAX(INDEX(PARAMETROS_CULTURAS!$G$6:$G$28,$P1041),0.0001),IF($O1041&lt;=INDEX(PARAMETROS_CULTURAS!$F$6:$F$28,$P1041)+INDEX(PARAMETROS_CULTURAS!$G$6:$G$28,$P1041)+INDEX(PARAMETROS_CULTURAS!$H$6:$H$28,$P1041),INDEX(PARAMETROS_CULTURAS!$L$6:$L$28,$P1041),INDEX(PARAMETROS_CULTURAS!$L$6:$L$28,$P1041)+(INDEX(PARAMETROS_CULTURAS!$M$6:$M$28,$P1041)-INDEX(PARAMETROS_CULTURAS!$L$6:$L$28,$P1041))*($O1041-INDEX(PARAMETROS_CULTURAS!$F$6:$F$28,$P1041)-INDEX(PARAMETROS_CULTURAS!$G$6:$G$28,$P1041)-INDEX(PARAMETROS_CULTURAS!$H$6:$H$28,$P1041))/MAX(INDEX(PARAMETROS_CULTURAS!$I$6:$I$28,$P1041),0.0001)))))</f>
        <v>0.3</v>
      </c>
      <c r="S1041" s="18" t="n">
        <f aca="false">IFERROR(INDEX(SEMANAS!$H$6:$H$71,MATCH($B1041,SEMANAS!$B$6:$B$71,0)),0)</f>
        <v>30.1</v>
      </c>
      <c r="T1041" s="18" t="n">
        <f aca="false">$R1041*$S1041</f>
        <v>9.03</v>
      </c>
      <c r="U1041" s="18" t="n">
        <f aca="false">IFERROR(INDEX(SEMANAS!$I$6:$I$71,MATCH($B1041,SEMANAS!$B$6:$B$71,0)),0)</f>
        <v>0.7</v>
      </c>
      <c r="V1041" s="18" t="n">
        <f aca="false">IFERROR(INDEX(SEMANAS!$J$6:$J$71,MATCH($B1041,SEMANAS!$B$6:$B$71,0)),0)</f>
        <v>0.56</v>
      </c>
      <c r="W1041" s="18" t="n">
        <f aca="false">MAX(0,$T1041-$V1041)</f>
        <v>8.47</v>
      </c>
      <c r="X1041" s="19" t="n">
        <f aca="false">IFERROR(INDEX(CADASTRO_PIVOS!$K$6:$K$41,MATCH($E1041,CADASTRO_PIVOS!$B$6:$B$41,0)),EFICIENCIA_PADRAO)</f>
        <v>0.85</v>
      </c>
      <c r="Y1041" s="18" t="n">
        <f aca="false">IF($X1041&lt;=0,0,$W1041/$X1041)</f>
        <v>9.96470588235294</v>
      </c>
      <c r="Z1041" s="16" t="n">
        <f aca="false">$Y1041*$H1041*MM_PARA_M3_HA</f>
        <v>9960.72</v>
      </c>
      <c r="AA1041" s="18" t="n">
        <f aca="false">IFERROR(INDEX(CADASTRO_PIVOS!$I$6:$I$41,MATCH($E1041,CADASTRO_PIVOS!$B$6:$B$41,0)),0)</f>
        <v>714</v>
      </c>
      <c r="AB1041" s="18" t="n">
        <f aca="false">IF($Z1041&lt;=0,0,$Z1041/$AA1041)</f>
        <v>13.9505882352941</v>
      </c>
      <c r="AC1041" s="16" t="n">
        <f aca="false">IFERROR(INDEX(SEMANAS!$K$6:$K$71,MATCH($B1041,SEMANAS!$B$6:$B$71,0)),0)</f>
        <v>147</v>
      </c>
      <c r="AD1041" s="19" t="n">
        <f aca="false">IF($AC1041&lt;=0,0,$AB1041/$AC1041)</f>
        <v>0.0949019607843137</v>
      </c>
      <c r="AE1041" s="8" t="str">
        <f aca="false">IF($K1041="SEM CULTURA","SEM CULTURA",IF($AA1041&lt;=0,"DADO PENDENTE",IF($AD1041&gt;LIMITE_CRITICO,"INVIAVEL",IF($AD1041&gt;LIMITE_ATENCAO,"CRITICO",IF($AD1041&gt;LIMITE_CONFORTAVEL,"ATENCAO","OK")))))</f>
        <v>OK</v>
      </c>
      <c r="AF1041" s="8" t="str">
        <f aca="false">$B1041&amp;"|"&amp;TEXT($AD1041,"0.000000")</f>
        <v>46|0.094902</v>
      </c>
      <c r="AG1041" s="18" t="n">
        <f aca="false">IF($K1041="SEM CULTURA",0,$T1041*$H1041)</f>
        <v>902.6388</v>
      </c>
      <c r="AH1041" s="18" t="n">
        <f aca="false">IF($K1041="SEM CULTURA",0,$V1041*$H1041)</f>
        <v>55.9776</v>
      </c>
      <c r="AI1041" s="18" t="n">
        <f aca="false">IF($K1041="SEM CULTURA",0,$W1041*$H1041)</f>
        <v>846.6612</v>
      </c>
      <c r="AJ1041" s="18" t="n">
        <f aca="false">IF($K1041="SEM CULTURA",0,$S1041*$H1041)</f>
        <v>3008.796</v>
      </c>
      <c r="AK1041" s="8" t="str">
        <f aca="false">$E1041&amp;"|"&amp;TEXT($AD1041,"0.000000")</f>
        <v>PV 132|0.094902</v>
      </c>
    </row>
    <row r="1042" customFormat="false" ht="15" hidden="false" customHeight="false" outlineLevel="0" collapsed="false">
      <c r="B1042" s="16" t="n">
        <v>47</v>
      </c>
      <c r="C1042" s="17" t="n">
        <f aca="false">DATA_INICIO_SAFRA+($B1042-1)*DIAS_POR_SEMANA</f>
        <v>46587</v>
      </c>
      <c r="D1042" s="17" t="n">
        <f aca="false">$C1042+DIAS_POR_SEMANA-1</f>
        <v>46593</v>
      </c>
      <c r="E1042" s="15" t="s">
        <v>274</v>
      </c>
      <c r="F1042" s="8" t="str">
        <f aca="false">IFERROR(INDEX(CADASTRO_PIVOS!$C$6:$C$41,MATCH($E1042,CADASTRO_PIVOS!$B$6:$B$41,0)),"?")</f>
        <v>RM05</v>
      </c>
      <c r="G1042" s="8" t="str">
        <f aca="false">IFERROR(INDEX(CADASTRO_PIVOS!$D$6:$D$41,MATCH($E1042,CADASTRO_PIVOS!$B$6:$B$41,0)),"?")</f>
        <v>TR05</v>
      </c>
      <c r="H1042" s="20" t="n">
        <f aca="false">IFERROR(INDEX(CADASTRO_PIVOS!$E$6:$E$41,MATCH($E1042,CADASTRO_PIVOS!$B$6:$B$41,0)),0)</f>
        <v>99.96</v>
      </c>
      <c r="I1042" s="16" t="n">
        <f aca="false">IFERROR(SUMIFS(ROTACAO_RDM!$B$6:$B$71,ROTACAO_RDM!$D$6:$D$71,$E1042,ROTACAO_RDM!$I$6:$I$71,"&lt;="&amp;$C1042+INT(DIAS_POR_SEMANA/2),ROTACAO_RDM!$J$6:$J$71,"&gt;="&amp;$C1042+INT(DIAS_POR_SEMANA/2)),0)</f>
        <v>64</v>
      </c>
      <c r="J1042" s="16" t="n">
        <f aca="false">IFERROR(MATCH($I1042,ROTACAO_RDM!$B$6:$B$71,0),0)</f>
        <v>64</v>
      </c>
      <c r="K1042" s="8" t="str">
        <f aca="false">IF($J1042=0,"SEM CULTURA",INDEX(ROTACAO_RDM!$F$6:$F$71,$J1042))</f>
        <v>MILHO_SEMENTE</v>
      </c>
      <c r="L1042" s="8" t="n">
        <f aca="false">IF($J1042=0,"",INDEX(ROTACAO_RDM!$G$6:$G$71,$J1042))</f>
        <v>0</v>
      </c>
      <c r="M1042" s="17" t="n">
        <f aca="false">IF($J1042=0,"",INDEX(ROTACAO_RDM!$I$6:$I$71,$J1042))</f>
        <v>46566</v>
      </c>
      <c r="N1042" s="16" t="n">
        <f aca="false">IF($J1042=0,0,MAX(0,$C1042+INT(DIAS_POR_SEMANA/2)-INDEX(ROTACAO_RDM!$I$6:$I$71,$J1042)))</f>
        <v>24</v>
      </c>
      <c r="O1042" s="19" t="n">
        <f aca="false">IF($J1042=0,0,MIN(1,$N1042/MAX(1,INDEX(ROTACAO_RDM!$K$6:$K$71,$J1042))))</f>
        <v>0.16551724137931</v>
      </c>
      <c r="P1042" s="16" t="n">
        <f aca="false">IF($J1042=0,0,IFERROR(MATCH(INDEX(ROTACAO_RDM!$N$6:$N$71,$J1042),PARAMETROS_CULTURAS!$B$6:$B$28,0),0))</f>
        <v>7</v>
      </c>
      <c r="Q1042" s="8" t="str">
        <f aca="false">IF($P1042=0,"-",IF($O1042&lt;=INDEX(PARAMETROS_CULTURAS!$F$6:$F$28,$P1042),"INICIAL",IF($O1042&lt;=INDEX(PARAMETROS_CULTURAS!$F$6:$F$28,$P1042)+INDEX(PARAMETROS_CULTURAS!$G$6:$G$28,$P1042),"DESENVOLVIMENTO",IF($O1042&lt;=INDEX(PARAMETROS_CULTURAS!$F$6:$F$28,$P1042)+INDEX(PARAMETROS_CULTURAS!$G$6:$G$28,$P1042)+INDEX(PARAMETROS_CULTURAS!$H$6:$H$28,$P1042),"MEDIA","FINAL"))))</f>
        <v>INICIAL</v>
      </c>
      <c r="R1042" s="24" t="n">
        <f aca="false">IF($P1042=0,0,IF($O1042&lt;=INDEX(PARAMETROS_CULTURAS!$F$6:$F$28,$P1042),INDEX(PARAMETROS_CULTURAS!$K$6:$K$28,$P1042),IF($O1042&lt;=INDEX(PARAMETROS_CULTURAS!$F$6:$F$28,$P1042)+INDEX(PARAMETROS_CULTURAS!$G$6:$G$28,$P1042),INDEX(PARAMETROS_CULTURAS!$K$6:$K$28,$P1042)+(INDEX(PARAMETROS_CULTURAS!$L$6:$L$28,$P1042)-INDEX(PARAMETROS_CULTURAS!$K$6:$K$28,$P1042))*($O1042-INDEX(PARAMETROS_CULTURAS!$F$6:$F$28,$P1042))/MAX(INDEX(PARAMETROS_CULTURAS!$G$6:$G$28,$P1042),0.0001),IF($O1042&lt;=INDEX(PARAMETROS_CULTURAS!$F$6:$F$28,$P1042)+INDEX(PARAMETROS_CULTURAS!$G$6:$G$28,$P1042)+INDEX(PARAMETROS_CULTURAS!$H$6:$H$28,$P1042),INDEX(PARAMETROS_CULTURAS!$L$6:$L$28,$P1042),INDEX(PARAMETROS_CULTURAS!$L$6:$L$28,$P1042)+(INDEX(PARAMETROS_CULTURAS!$M$6:$M$28,$P1042)-INDEX(PARAMETROS_CULTURAS!$L$6:$L$28,$P1042))*($O1042-INDEX(PARAMETROS_CULTURAS!$F$6:$F$28,$P1042)-INDEX(PARAMETROS_CULTURAS!$G$6:$G$28,$P1042)-INDEX(PARAMETROS_CULTURAS!$H$6:$H$28,$P1042))/MAX(INDEX(PARAMETROS_CULTURAS!$I$6:$I$28,$P1042),0.0001)))))</f>
        <v>0.3</v>
      </c>
      <c r="S1042" s="18" t="n">
        <f aca="false">IFERROR(INDEX(SEMANAS!$H$6:$H$71,MATCH($B1042,SEMANAS!$B$6:$B$71,0)),0)</f>
        <v>30.1</v>
      </c>
      <c r="T1042" s="18" t="n">
        <f aca="false">$R1042*$S1042</f>
        <v>9.03</v>
      </c>
      <c r="U1042" s="18" t="n">
        <f aca="false">IFERROR(INDEX(SEMANAS!$I$6:$I$71,MATCH($B1042,SEMANAS!$B$6:$B$71,0)),0)</f>
        <v>0.7</v>
      </c>
      <c r="V1042" s="18" t="n">
        <f aca="false">IFERROR(INDEX(SEMANAS!$J$6:$J$71,MATCH($B1042,SEMANAS!$B$6:$B$71,0)),0)</f>
        <v>0.56</v>
      </c>
      <c r="W1042" s="18" t="n">
        <f aca="false">MAX(0,$T1042-$V1042)</f>
        <v>8.47</v>
      </c>
      <c r="X1042" s="19" t="n">
        <f aca="false">IFERROR(INDEX(CADASTRO_PIVOS!$K$6:$K$41,MATCH($E1042,CADASTRO_PIVOS!$B$6:$B$41,0)),EFICIENCIA_PADRAO)</f>
        <v>0.85</v>
      </c>
      <c r="Y1042" s="18" t="n">
        <f aca="false">IF($X1042&lt;=0,0,$W1042/$X1042)</f>
        <v>9.96470588235294</v>
      </c>
      <c r="Z1042" s="16" t="n">
        <f aca="false">$Y1042*$H1042*MM_PARA_M3_HA</f>
        <v>9960.72</v>
      </c>
      <c r="AA1042" s="18" t="n">
        <f aca="false">IFERROR(INDEX(CADASTRO_PIVOS!$I$6:$I$41,MATCH($E1042,CADASTRO_PIVOS!$B$6:$B$41,0)),0)</f>
        <v>714</v>
      </c>
      <c r="AB1042" s="18" t="n">
        <f aca="false">IF($Z1042&lt;=0,0,$Z1042/$AA1042)</f>
        <v>13.9505882352941</v>
      </c>
      <c r="AC1042" s="16" t="n">
        <f aca="false">IFERROR(INDEX(SEMANAS!$K$6:$K$71,MATCH($B1042,SEMANAS!$B$6:$B$71,0)),0)</f>
        <v>147</v>
      </c>
      <c r="AD1042" s="19" t="n">
        <f aca="false">IF($AC1042&lt;=0,0,$AB1042/$AC1042)</f>
        <v>0.0949019607843137</v>
      </c>
      <c r="AE1042" s="8" t="str">
        <f aca="false">IF($K1042="SEM CULTURA","SEM CULTURA",IF($AA1042&lt;=0,"DADO PENDENTE",IF($AD1042&gt;LIMITE_CRITICO,"INVIAVEL",IF($AD1042&gt;LIMITE_ATENCAO,"CRITICO",IF($AD1042&gt;LIMITE_CONFORTAVEL,"ATENCAO","OK")))))</f>
        <v>OK</v>
      </c>
      <c r="AF1042" s="8" t="str">
        <f aca="false">$B1042&amp;"|"&amp;TEXT($AD1042,"0.000000")</f>
        <v>47|0.094902</v>
      </c>
      <c r="AG1042" s="18" t="n">
        <f aca="false">IF($K1042="SEM CULTURA",0,$T1042*$H1042)</f>
        <v>902.6388</v>
      </c>
      <c r="AH1042" s="18" t="n">
        <f aca="false">IF($K1042="SEM CULTURA",0,$V1042*$H1042)</f>
        <v>55.9776</v>
      </c>
      <c r="AI1042" s="18" t="n">
        <f aca="false">IF($K1042="SEM CULTURA",0,$W1042*$H1042)</f>
        <v>846.6612</v>
      </c>
      <c r="AJ1042" s="18" t="n">
        <f aca="false">IF($K1042="SEM CULTURA",0,$S1042*$H1042)</f>
        <v>3008.796</v>
      </c>
      <c r="AK1042" s="8" t="str">
        <f aca="false">$E1042&amp;"|"&amp;TEXT($AD1042,"0.000000")</f>
        <v>PV 132|0.094902</v>
      </c>
    </row>
    <row r="1043" customFormat="false" ht="15" hidden="false" customHeight="false" outlineLevel="0" collapsed="false">
      <c r="B1043" s="16" t="n">
        <v>48</v>
      </c>
      <c r="C1043" s="17" t="n">
        <f aca="false">DATA_INICIO_SAFRA+($B1043-1)*DIAS_POR_SEMANA</f>
        <v>46594</v>
      </c>
      <c r="D1043" s="17" t="n">
        <f aca="false">$C1043+DIAS_POR_SEMANA-1</f>
        <v>46600</v>
      </c>
      <c r="E1043" s="15" t="s">
        <v>274</v>
      </c>
      <c r="F1043" s="8" t="str">
        <f aca="false">IFERROR(INDEX(CADASTRO_PIVOS!$C$6:$C$41,MATCH($E1043,CADASTRO_PIVOS!$B$6:$B$41,0)),"?")</f>
        <v>RM05</v>
      </c>
      <c r="G1043" s="8" t="str">
        <f aca="false">IFERROR(INDEX(CADASTRO_PIVOS!$D$6:$D$41,MATCH($E1043,CADASTRO_PIVOS!$B$6:$B$41,0)),"?")</f>
        <v>TR05</v>
      </c>
      <c r="H1043" s="20" t="n">
        <f aca="false">IFERROR(INDEX(CADASTRO_PIVOS!$E$6:$E$41,MATCH($E1043,CADASTRO_PIVOS!$B$6:$B$41,0)),0)</f>
        <v>99.96</v>
      </c>
      <c r="I1043" s="16" t="n">
        <f aca="false">IFERROR(SUMIFS(ROTACAO_RDM!$B$6:$B$71,ROTACAO_RDM!$D$6:$D$71,$E1043,ROTACAO_RDM!$I$6:$I$71,"&lt;="&amp;$C1043+INT(DIAS_POR_SEMANA/2),ROTACAO_RDM!$J$6:$J$71,"&gt;="&amp;$C1043+INT(DIAS_POR_SEMANA/2)),0)</f>
        <v>64</v>
      </c>
      <c r="J1043" s="16" t="n">
        <f aca="false">IFERROR(MATCH($I1043,ROTACAO_RDM!$B$6:$B$71,0),0)</f>
        <v>64</v>
      </c>
      <c r="K1043" s="8" t="str">
        <f aca="false">IF($J1043=0,"SEM CULTURA",INDEX(ROTACAO_RDM!$F$6:$F$71,$J1043))</f>
        <v>MILHO_SEMENTE</v>
      </c>
      <c r="L1043" s="8" t="n">
        <f aca="false">IF($J1043=0,"",INDEX(ROTACAO_RDM!$G$6:$G$71,$J1043))</f>
        <v>0</v>
      </c>
      <c r="M1043" s="17" t="n">
        <f aca="false">IF($J1043=0,"",INDEX(ROTACAO_RDM!$I$6:$I$71,$J1043))</f>
        <v>46566</v>
      </c>
      <c r="N1043" s="16" t="n">
        <f aca="false">IF($J1043=0,0,MAX(0,$C1043+INT(DIAS_POR_SEMANA/2)-INDEX(ROTACAO_RDM!$I$6:$I$71,$J1043)))</f>
        <v>31</v>
      </c>
      <c r="O1043" s="19" t="n">
        <f aca="false">IF($J1043=0,0,MIN(1,$N1043/MAX(1,INDEX(ROTACAO_RDM!$K$6:$K$71,$J1043))))</f>
        <v>0.213793103448276</v>
      </c>
      <c r="P1043" s="16" t="n">
        <f aca="false">IF($J1043=0,0,IFERROR(MATCH(INDEX(ROTACAO_RDM!$N$6:$N$71,$J1043),PARAMETROS_CULTURAS!$B$6:$B$28,0),0))</f>
        <v>7</v>
      </c>
      <c r="Q1043" s="8" t="str">
        <f aca="false">IF($P1043=0,"-",IF($O1043&lt;=INDEX(PARAMETROS_CULTURAS!$F$6:$F$28,$P1043),"INICIAL",IF($O1043&lt;=INDEX(PARAMETROS_CULTURAS!$F$6:$F$28,$P1043)+INDEX(PARAMETROS_CULTURAS!$G$6:$G$28,$P1043),"DESENVOLVIMENTO",IF($O1043&lt;=INDEX(PARAMETROS_CULTURAS!$F$6:$F$28,$P1043)+INDEX(PARAMETROS_CULTURAS!$G$6:$G$28,$P1043)+INDEX(PARAMETROS_CULTURAS!$H$6:$H$28,$P1043),"MEDIA","FINAL"))))</f>
        <v>DESENVOLVIMENTO</v>
      </c>
      <c r="R1043" s="24" t="n">
        <f aca="false">IF($P1043=0,0,IF($O1043&lt;=INDEX(PARAMETROS_CULTURAS!$F$6:$F$28,$P1043),INDEX(PARAMETROS_CULTURAS!$K$6:$K$28,$P1043),IF($O1043&lt;=INDEX(PARAMETROS_CULTURAS!$F$6:$F$28,$P1043)+INDEX(PARAMETROS_CULTURAS!$G$6:$G$28,$P1043),INDEX(PARAMETROS_CULTURAS!$K$6:$K$28,$P1043)+(INDEX(PARAMETROS_CULTURAS!$L$6:$L$28,$P1043)-INDEX(PARAMETROS_CULTURAS!$K$6:$K$28,$P1043))*($O1043-INDEX(PARAMETROS_CULTURAS!$F$6:$F$28,$P1043))/MAX(INDEX(PARAMETROS_CULTURAS!$G$6:$G$28,$P1043),0.0001),IF($O1043&lt;=INDEX(PARAMETROS_CULTURAS!$F$6:$F$28,$P1043)+INDEX(PARAMETROS_CULTURAS!$G$6:$G$28,$P1043)+INDEX(PARAMETROS_CULTURAS!$H$6:$H$28,$P1043),INDEX(PARAMETROS_CULTURAS!$L$6:$L$28,$P1043),INDEX(PARAMETROS_CULTURAS!$L$6:$L$28,$P1043)+(INDEX(PARAMETROS_CULTURAS!$M$6:$M$28,$P1043)-INDEX(PARAMETROS_CULTURAS!$L$6:$L$28,$P1043))*($O1043-INDEX(PARAMETROS_CULTURAS!$F$6:$F$28,$P1043)-INDEX(PARAMETROS_CULTURAS!$G$6:$G$28,$P1043)-INDEX(PARAMETROS_CULTURAS!$H$6:$H$28,$P1043))/MAX(INDEX(PARAMETROS_CULTURAS!$I$6:$I$28,$P1043),0.0001)))))</f>
        <v>0.380896551724138</v>
      </c>
      <c r="S1043" s="18" t="n">
        <f aca="false">IFERROR(INDEX(SEMANAS!$H$6:$H$71,MATCH($B1043,SEMANAS!$B$6:$B$71,0)),0)</f>
        <v>31</v>
      </c>
      <c r="T1043" s="18" t="n">
        <f aca="false">$R1043*$S1043</f>
        <v>11.8077931034483</v>
      </c>
      <c r="U1043" s="18" t="n">
        <f aca="false">IFERROR(INDEX(SEMANAS!$I$6:$I$71,MATCH($B1043,SEMANAS!$B$6:$B$71,0)),0)</f>
        <v>0.76</v>
      </c>
      <c r="V1043" s="18" t="n">
        <f aca="false">IFERROR(INDEX(SEMANAS!$J$6:$J$71,MATCH($B1043,SEMANAS!$B$6:$B$71,0)),0)</f>
        <v>0.608</v>
      </c>
      <c r="W1043" s="18" t="n">
        <f aca="false">MAX(0,$T1043-$V1043)</f>
        <v>11.1997931034483</v>
      </c>
      <c r="X1043" s="19" t="n">
        <f aca="false">IFERROR(INDEX(CADASTRO_PIVOS!$K$6:$K$41,MATCH($E1043,CADASTRO_PIVOS!$B$6:$B$41,0)),EFICIENCIA_PADRAO)</f>
        <v>0.85</v>
      </c>
      <c r="Y1043" s="18" t="n">
        <f aca="false">IF($X1043&lt;=0,0,$W1043/$X1043)</f>
        <v>13.1762271805274</v>
      </c>
      <c r="Z1043" s="16" t="n">
        <f aca="false">$Y1043*$H1043*MM_PARA_M3_HA</f>
        <v>13170.9566896552</v>
      </c>
      <c r="AA1043" s="18" t="n">
        <f aca="false">IFERROR(INDEX(CADASTRO_PIVOS!$I$6:$I$41,MATCH($E1043,CADASTRO_PIVOS!$B$6:$B$41,0)),0)</f>
        <v>714</v>
      </c>
      <c r="AB1043" s="18" t="n">
        <f aca="false">IF($Z1043&lt;=0,0,$Z1043/$AA1043)</f>
        <v>18.4467180527383</v>
      </c>
      <c r="AC1043" s="16" t="n">
        <f aca="false">IFERROR(INDEX(SEMANAS!$K$6:$K$71,MATCH($B1043,SEMANAS!$B$6:$B$71,0)),0)</f>
        <v>147</v>
      </c>
      <c r="AD1043" s="19" t="n">
        <f aca="false">IF($AC1043&lt;=0,0,$AB1043/$AC1043)</f>
        <v>0.125487877909785</v>
      </c>
      <c r="AE1043" s="8" t="str">
        <f aca="false">IF($K1043="SEM CULTURA","SEM CULTURA",IF($AA1043&lt;=0,"DADO PENDENTE",IF($AD1043&gt;LIMITE_CRITICO,"INVIAVEL",IF($AD1043&gt;LIMITE_ATENCAO,"CRITICO",IF($AD1043&gt;LIMITE_CONFORTAVEL,"ATENCAO","OK")))))</f>
        <v>OK</v>
      </c>
      <c r="AF1043" s="8" t="str">
        <f aca="false">$B1043&amp;"|"&amp;TEXT($AD1043,"0.000000")</f>
        <v>48|0.125488</v>
      </c>
      <c r="AG1043" s="18" t="n">
        <f aca="false">IF($K1043="SEM CULTURA",0,$T1043*$H1043)</f>
        <v>1180.30699862069</v>
      </c>
      <c r="AH1043" s="18" t="n">
        <f aca="false">IF($K1043="SEM CULTURA",0,$V1043*$H1043)</f>
        <v>60.77568</v>
      </c>
      <c r="AI1043" s="18" t="n">
        <f aca="false">IF($K1043="SEM CULTURA",0,$W1043*$H1043)</f>
        <v>1119.53131862069</v>
      </c>
      <c r="AJ1043" s="18" t="n">
        <f aca="false">IF($K1043="SEM CULTURA",0,$S1043*$H1043)</f>
        <v>3098.76</v>
      </c>
      <c r="AK1043" s="8" t="str">
        <f aca="false">$E1043&amp;"|"&amp;TEXT($AD1043,"0.000000")</f>
        <v>PV 132|0.125488</v>
      </c>
    </row>
    <row r="1044" customFormat="false" ht="15" hidden="false" customHeight="false" outlineLevel="0" collapsed="false">
      <c r="B1044" s="16" t="n">
        <v>49</v>
      </c>
      <c r="C1044" s="17" t="n">
        <f aca="false">DATA_INICIO_SAFRA+($B1044-1)*DIAS_POR_SEMANA</f>
        <v>46601</v>
      </c>
      <c r="D1044" s="17" t="n">
        <f aca="false">$C1044+DIAS_POR_SEMANA-1</f>
        <v>46607</v>
      </c>
      <c r="E1044" s="15" t="s">
        <v>274</v>
      </c>
      <c r="F1044" s="8" t="str">
        <f aca="false">IFERROR(INDEX(CADASTRO_PIVOS!$C$6:$C$41,MATCH($E1044,CADASTRO_PIVOS!$B$6:$B$41,0)),"?")</f>
        <v>RM05</v>
      </c>
      <c r="G1044" s="8" t="str">
        <f aca="false">IFERROR(INDEX(CADASTRO_PIVOS!$D$6:$D$41,MATCH($E1044,CADASTRO_PIVOS!$B$6:$B$41,0)),"?")</f>
        <v>TR05</v>
      </c>
      <c r="H1044" s="20" t="n">
        <f aca="false">IFERROR(INDEX(CADASTRO_PIVOS!$E$6:$E$41,MATCH($E1044,CADASTRO_PIVOS!$B$6:$B$41,0)),0)</f>
        <v>99.96</v>
      </c>
      <c r="I1044" s="16" t="n">
        <f aca="false">IFERROR(SUMIFS(ROTACAO_RDM!$B$6:$B$71,ROTACAO_RDM!$D$6:$D$71,$E1044,ROTACAO_RDM!$I$6:$I$71,"&lt;="&amp;$C1044+INT(DIAS_POR_SEMANA/2),ROTACAO_RDM!$J$6:$J$71,"&gt;="&amp;$C1044+INT(DIAS_POR_SEMANA/2)),0)</f>
        <v>64</v>
      </c>
      <c r="J1044" s="16" t="n">
        <f aca="false">IFERROR(MATCH($I1044,ROTACAO_RDM!$B$6:$B$71,0),0)</f>
        <v>64</v>
      </c>
      <c r="K1044" s="8" t="str">
        <f aca="false">IF($J1044=0,"SEM CULTURA",INDEX(ROTACAO_RDM!$F$6:$F$71,$J1044))</f>
        <v>MILHO_SEMENTE</v>
      </c>
      <c r="L1044" s="8" t="n">
        <f aca="false">IF($J1044=0,"",INDEX(ROTACAO_RDM!$G$6:$G$71,$J1044))</f>
        <v>0</v>
      </c>
      <c r="M1044" s="17" t="n">
        <f aca="false">IF($J1044=0,"",INDEX(ROTACAO_RDM!$I$6:$I$71,$J1044))</f>
        <v>46566</v>
      </c>
      <c r="N1044" s="16" t="n">
        <f aca="false">IF($J1044=0,0,MAX(0,$C1044+INT(DIAS_POR_SEMANA/2)-INDEX(ROTACAO_RDM!$I$6:$I$71,$J1044)))</f>
        <v>38</v>
      </c>
      <c r="O1044" s="19" t="n">
        <f aca="false">IF($J1044=0,0,MIN(1,$N1044/MAX(1,INDEX(ROTACAO_RDM!$K$6:$K$71,$J1044))))</f>
        <v>0.262068965517241</v>
      </c>
      <c r="P1044" s="16" t="n">
        <f aca="false">IF($J1044=0,0,IFERROR(MATCH(INDEX(ROTACAO_RDM!$N$6:$N$71,$J1044),PARAMETROS_CULTURAS!$B$6:$B$28,0),0))</f>
        <v>7</v>
      </c>
      <c r="Q1044" s="8" t="str">
        <f aca="false">IF($P1044=0,"-",IF($O1044&lt;=INDEX(PARAMETROS_CULTURAS!$F$6:$F$28,$P1044),"INICIAL",IF($O1044&lt;=INDEX(PARAMETROS_CULTURAS!$F$6:$F$28,$P1044)+INDEX(PARAMETROS_CULTURAS!$G$6:$G$28,$P1044),"DESENVOLVIMENTO",IF($O1044&lt;=INDEX(PARAMETROS_CULTURAS!$F$6:$F$28,$P1044)+INDEX(PARAMETROS_CULTURAS!$G$6:$G$28,$P1044)+INDEX(PARAMETROS_CULTURAS!$H$6:$H$28,$P1044),"MEDIA","FINAL"))))</f>
        <v>DESENVOLVIMENTO</v>
      </c>
      <c r="R1044" s="24" t="n">
        <f aca="false">IF($P1044=0,0,IF($O1044&lt;=INDEX(PARAMETROS_CULTURAS!$F$6:$F$28,$P1044),INDEX(PARAMETROS_CULTURAS!$K$6:$K$28,$P1044),IF($O1044&lt;=INDEX(PARAMETROS_CULTURAS!$F$6:$F$28,$P1044)+INDEX(PARAMETROS_CULTURAS!$G$6:$G$28,$P1044),INDEX(PARAMETROS_CULTURAS!$K$6:$K$28,$P1044)+(INDEX(PARAMETROS_CULTURAS!$L$6:$L$28,$P1044)-INDEX(PARAMETROS_CULTURAS!$K$6:$K$28,$P1044))*($O1044-INDEX(PARAMETROS_CULTURAS!$F$6:$F$28,$P1044))/MAX(INDEX(PARAMETROS_CULTURAS!$G$6:$G$28,$P1044),0.0001),IF($O1044&lt;=INDEX(PARAMETROS_CULTURAS!$F$6:$F$28,$P1044)+INDEX(PARAMETROS_CULTURAS!$G$6:$G$28,$P1044)+INDEX(PARAMETROS_CULTURAS!$H$6:$H$28,$P1044),INDEX(PARAMETROS_CULTURAS!$L$6:$L$28,$P1044),INDEX(PARAMETROS_CULTURAS!$L$6:$L$28,$P1044)+(INDEX(PARAMETROS_CULTURAS!$M$6:$M$28,$P1044)-INDEX(PARAMETROS_CULTURAS!$L$6:$L$28,$P1044))*($O1044-INDEX(PARAMETROS_CULTURAS!$F$6:$F$28,$P1044)-INDEX(PARAMETROS_CULTURAS!$G$6:$G$28,$P1044)-INDEX(PARAMETROS_CULTURAS!$H$6:$H$28,$P1044))/MAX(INDEX(PARAMETROS_CULTURAS!$I$6:$I$28,$P1044),0.0001)))))</f>
        <v>0.545034482758621</v>
      </c>
      <c r="S1044" s="18" t="n">
        <f aca="false">IFERROR(INDEX(SEMANAS!$H$6:$H$71,MATCH($B1044,SEMANAS!$B$6:$B$71,0)),0)</f>
        <v>36.4</v>
      </c>
      <c r="T1044" s="18" t="n">
        <f aca="false">$R1044*$S1044</f>
        <v>19.8392551724138</v>
      </c>
      <c r="U1044" s="18" t="n">
        <f aca="false">IFERROR(INDEX(SEMANAS!$I$6:$I$71,MATCH($B1044,SEMANAS!$B$6:$B$71,0)),0)</f>
        <v>1.12</v>
      </c>
      <c r="V1044" s="18" t="n">
        <f aca="false">IFERROR(INDEX(SEMANAS!$J$6:$J$71,MATCH($B1044,SEMANAS!$B$6:$B$71,0)),0)</f>
        <v>0.896</v>
      </c>
      <c r="W1044" s="18" t="n">
        <f aca="false">MAX(0,$T1044-$V1044)</f>
        <v>18.9432551724138</v>
      </c>
      <c r="X1044" s="19" t="n">
        <f aca="false">IFERROR(INDEX(CADASTRO_PIVOS!$K$6:$K$41,MATCH($E1044,CADASTRO_PIVOS!$B$6:$B$41,0)),EFICIENCIA_PADRAO)</f>
        <v>0.85</v>
      </c>
      <c r="Y1044" s="18" t="n">
        <f aca="false">IF($X1044&lt;=0,0,$W1044/$X1044)</f>
        <v>22.2861825557809</v>
      </c>
      <c r="Z1044" s="16" t="n">
        <f aca="false">$Y1044*$H1044*MM_PARA_M3_HA</f>
        <v>22277.2680827586</v>
      </c>
      <c r="AA1044" s="18" t="n">
        <f aca="false">IFERROR(INDEX(CADASTRO_PIVOS!$I$6:$I$41,MATCH($E1044,CADASTRO_PIVOS!$B$6:$B$41,0)),0)</f>
        <v>714</v>
      </c>
      <c r="AB1044" s="18" t="n">
        <f aca="false">IF($Z1044&lt;=0,0,$Z1044/$AA1044)</f>
        <v>31.2006555780933</v>
      </c>
      <c r="AC1044" s="16" t="n">
        <f aca="false">IFERROR(INDEX(SEMANAS!$K$6:$K$71,MATCH($B1044,SEMANAS!$B$6:$B$71,0)),0)</f>
        <v>147</v>
      </c>
      <c r="AD1044" s="19" t="n">
        <f aca="false">IF($AC1044&lt;=0,0,$AB1044/$AC1044)</f>
        <v>0.212249357674104</v>
      </c>
      <c r="AE1044" s="8" t="str">
        <f aca="false">IF($K1044="SEM CULTURA","SEM CULTURA",IF($AA1044&lt;=0,"DADO PENDENTE",IF($AD1044&gt;LIMITE_CRITICO,"INVIAVEL",IF($AD1044&gt;LIMITE_ATENCAO,"CRITICO",IF($AD1044&gt;LIMITE_CONFORTAVEL,"ATENCAO","OK")))))</f>
        <v>OK</v>
      </c>
      <c r="AF1044" s="8" t="str">
        <f aca="false">$B1044&amp;"|"&amp;TEXT($AD1044,"0.000000")</f>
        <v>49|0.212249</v>
      </c>
      <c r="AG1044" s="18" t="n">
        <f aca="false">IF($K1044="SEM CULTURA",0,$T1044*$H1044)</f>
        <v>1983.13194703448</v>
      </c>
      <c r="AH1044" s="18" t="n">
        <f aca="false">IF($K1044="SEM CULTURA",0,$V1044*$H1044)</f>
        <v>89.56416</v>
      </c>
      <c r="AI1044" s="18" t="n">
        <f aca="false">IF($K1044="SEM CULTURA",0,$W1044*$H1044)</f>
        <v>1893.56778703448</v>
      </c>
      <c r="AJ1044" s="18" t="n">
        <f aca="false">IF($K1044="SEM CULTURA",0,$S1044*$H1044)</f>
        <v>3638.544</v>
      </c>
      <c r="AK1044" s="8" t="str">
        <f aca="false">$E1044&amp;"|"&amp;TEXT($AD1044,"0.000000")</f>
        <v>PV 132|0.212249</v>
      </c>
    </row>
    <row r="1045" customFormat="false" ht="15" hidden="false" customHeight="false" outlineLevel="0" collapsed="false">
      <c r="B1045" s="16" t="n">
        <v>50</v>
      </c>
      <c r="C1045" s="17" t="n">
        <f aca="false">DATA_INICIO_SAFRA+($B1045-1)*DIAS_POR_SEMANA</f>
        <v>46608</v>
      </c>
      <c r="D1045" s="17" t="n">
        <f aca="false">$C1045+DIAS_POR_SEMANA-1</f>
        <v>46614</v>
      </c>
      <c r="E1045" s="15" t="s">
        <v>274</v>
      </c>
      <c r="F1045" s="8" t="str">
        <f aca="false">IFERROR(INDEX(CADASTRO_PIVOS!$C$6:$C$41,MATCH($E1045,CADASTRO_PIVOS!$B$6:$B$41,0)),"?")</f>
        <v>RM05</v>
      </c>
      <c r="G1045" s="8" t="str">
        <f aca="false">IFERROR(INDEX(CADASTRO_PIVOS!$D$6:$D$41,MATCH($E1045,CADASTRO_PIVOS!$B$6:$B$41,0)),"?")</f>
        <v>TR05</v>
      </c>
      <c r="H1045" s="20" t="n">
        <f aca="false">IFERROR(INDEX(CADASTRO_PIVOS!$E$6:$E$41,MATCH($E1045,CADASTRO_PIVOS!$B$6:$B$41,0)),0)</f>
        <v>99.96</v>
      </c>
      <c r="I1045" s="16" t="n">
        <f aca="false">IFERROR(SUMIFS(ROTACAO_RDM!$B$6:$B$71,ROTACAO_RDM!$D$6:$D$71,$E1045,ROTACAO_RDM!$I$6:$I$71,"&lt;="&amp;$C1045+INT(DIAS_POR_SEMANA/2),ROTACAO_RDM!$J$6:$J$71,"&gt;="&amp;$C1045+INT(DIAS_POR_SEMANA/2)),0)</f>
        <v>64</v>
      </c>
      <c r="J1045" s="16" t="n">
        <f aca="false">IFERROR(MATCH($I1045,ROTACAO_RDM!$B$6:$B$71,0),0)</f>
        <v>64</v>
      </c>
      <c r="K1045" s="8" t="str">
        <f aca="false">IF($J1045=0,"SEM CULTURA",INDEX(ROTACAO_RDM!$F$6:$F$71,$J1045))</f>
        <v>MILHO_SEMENTE</v>
      </c>
      <c r="L1045" s="8" t="n">
        <f aca="false">IF($J1045=0,"",INDEX(ROTACAO_RDM!$G$6:$G$71,$J1045))</f>
        <v>0</v>
      </c>
      <c r="M1045" s="17" t="n">
        <f aca="false">IF($J1045=0,"",INDEX(ROTACAO_RDM!$I$6:$I$71,$J1045))</f>
        <v>46566</v>
      </c>
      <c r="N1045" s="16" t="n">
        <f aca="false">IF($J1045=0,0,MAX(0,$C1045+INT(DIAS_POR_SEMANA/2)-INDEX(ROTACAO_RDM!$I$6:$I$71,$J1045)))</f>
        <v>45</v>
      </c>
      <c r="O1045" s="19" t="n">
        <f aca="false">IF($J1045=0,0,MIN(1,$N1045/MAX(1,INDEX(ROTACAO_RDM!$K$6:$K$71,$J1045))))</f>
        <v>0.310344827586207</v>
      </c>
      <c r="P1045" s="16" t="n">
        <f aca="false">IF($J1045=0,0,IFERROR(MATCH(INDEX(ROTACAO_RDM!$N$6:$N$71,$J1045),PARAMETROS_CULTURAS!$B$6:$B$28,0),0))</f>
        <v>7</v>
      </c>
      <c r="Q1045" s="8" t="str">
        <f aca="false">IF($P1045=0,"-",IF($O1045&lt;=INDEX(PARAMETROS_CULTURAS!$F$6:$F$28,$P1045),"INICIAL",IF($O1045&lt;=INDEX(PARAMETROS_CULTURAS!$F$6:$F$28,$P1045)+INDEX(PARAMETROS_CULTURAS!$G$6:$G$28,$P1045),"DESENVOLVIMENTO",IF($O1045&lt;=INDEX(PARAMETROS_CULTURAS!$F$6:$F$28,$P1045)+INDEX(PARAMETROS_CULTURAS!$G$6:$G$28,$P1045)+INDEX(PARAMETROS_CULTURAS!$H$6:$H$28,$P1045),"MEDIA","FINAL"))))</f>
        <v>DESENVOLVIMENTO</v>
      </c>
      <c r="R1045" s="24" t="n">
        <f aca="false">IF($P1045=0,0,IF($O1045&lt;=INDEX(PARAMETROS_CULTURAS!$F$6:$F$28,$P1045),INDEX(PARAMETROS_CULTURAS!$K$6:$K$28,$P1045),IF($O1045&lt;=INDEX(PARAMETROS_CULTURAS!$F$6:$F$28,$P1045)+INDEX(PARAMETROS_CULTURAS!$G$6:$G$28,$P1045),INDEX(PARAMETROS_CULTURAS!$K$6:$K$28,$P1045)+(INDEX(PARAMETROS_CULTURAS!$L$6:$L$28,$P1045)-INDEX(PARAMETROS_CULTURAS!$K$6:$K$28,$P1045))*($O1045-INDEX(PARAMETROS_CULTURAS!$F$6:$F$28,$P1045))/MAX(INDEX(PARAMETROS_CULTURAS!$G$6:$G$28,$P1045),0.0001),IF($O1045&lt;=INDEX(PARAMETROS_CULTURAS!$F$6:$F$28,$P1045)+INDEX(PARAMETROS_CULTURAS!$G$6:$G$28,$P1045)+INDEX(PARAMETROS_CULTURAS!$H$6:$H$28,$P1045),INDEX(PARAMETROS_CULTURAS!$L$6:$L$28,$P1045),INDEX(PARAMETROS_CULTURAS!$L$6:$L$28,$P1045)+(INDEX(PARAMETROS_CULTURAS!$M$6:$M$28,$P1045)-INDEX(PARAMETROS_CULTURAS!$L$6:$L$28,$P1045))*($O1045-INDEX(PARAMETROS_CULTURAS!$F$6:$F$28,$P1045)-INDEX(PARAMETROS_CULTURAS!$G$6:$G$28,$P1045)-INDEX(PARAMETROS_CULTURAS!$H$6:$H$28,$P1045))/MAX(INDEX(PARAMETROS_CULTURAS!$I$6:$I$28,$P1045),0.0001)))))</f>
        <v>0.709172413793104</v>
      </c>
      <c r="S1045" s="18" t="n">
        <f aca="false">IFERROR(INDEX(SEMANAS!$H$6:$H$71,MATCH($B1045,SEMANAS!$B$6:$B$71,0)),0)</f>
        <v>36.4</v>
      </c>
      <c r="T1045" s="18" t="n">
        <f aca="false">$R1045*$S1045</f>
        <v>25.813875862069</v>
      </c>
      <c r="U1045" s="18" t="n">
        <f aca="false">IFERROR(INDEX(SEMANAS!$I$6:$I$71,MATCH($B1045,SEMANAS!$B$6:$B$71,0)),0)</f>
        <v>1.12</v>
      </c>
      <c r="V1045" s="18" t="n">
        <f aca="false">IFERROR(INDEX(SEMANAS!$J$6:$J$71,MATCH($B1045,SEMANAS!$B$6:$B$71,0)),0)</f>
        <v>0.896</v>
      </c>
      <c r="W1045" s="18" t="n">
        <f aca="false">MAX(0,$T1045-$V1045)</f>
        <v>24.917875862069</v>
      </c>
      <c r="X1045" s="19" t="n">
        <f aca="false">IFERROR(INDEX(CADASTRO_PIVOS!$K$6:$K$41,MATCH($E1045,CADASTRO_PIVOS!$B$6:$B$41,0)),EFICIENCIA_PADRAO)</f>
        <v>0.85</v>
      </c>
      <c r="Y1045" s="18" t="n">
        <f aca="false">IF($X1045&lt;=0,0,$W1045/$X1045)</f>
        <v>29.3151480730223</v>
      </c>
      <c r="Z1045" s="16" t="n">
        <f aca="false">$Y1045*$H1045*MM_PARA_M3_HA</f>
        <v>29303.4220137931</v>
      </c>
      <c r="AA1045" s="18" t="n">
        <f aca="false">IFERROR(INDEX(CADASTRO_PIVOS!$I$6:$I$41,MATCH($E1045,CADASTRO_PIVOS!$B$6:$B$41,0)),0)</f>
        <v>714</v>
      </c>
      <c r="AB1045" s="18" t="n">
        <f aca="false">IF($Z1045&lt;=0,0,$Z1045/$AA1045)</f>
        <v>41.0412073022312</v>
      </c>
      <c r="AC1045" s="16" t="n">
        <f aca="false">IFERROR(INDEX(SEMANAS!$K$6:$K$71,MATCH($B1045,SEMANAS!$B$6:$B$71,0)),0)</f>
        <v>147</v>
      </c>
      <c r="AD1045" s="19" t="n">
        <f aca="false">IF($AC1045&lt;=0,0,$AB1045/$AC1045)</f>
        <v>0.279191886409736</v>
      </c>
      <c r="AE1045" s="8" t="str">
        <f aca="false">IF($K1045="SEM CULTURA","SEM CULTURA",IF($AA1045&lt;=0,"DADO PENDENTE",IF($AD1045&gt;LIMITE_CRITICO,"INVIAVEL",IF($AD1045&gt;LIMITE_ATENCAO,"CRITICO",IF($AD1045&gt;LIMITE_CONFORTAVEL,"ATENCAO","OK")))))</f>
        <v>OK</v>
      </c>
      <c r="AF1045" s="8" t="str">
        <f aca="false">$B1045&amp;"|"&amp;TEXT($AD1045,"0.000000")</f>
        <v>50|0.279192</v>
      </c>
      <c r="AG1045" s="18" t="n">
        <f aca="false">IF($K1045="SEM CULTURA",0,$T1045*$H1045)</f>
        <v>2580.35503117241</v>
      </c>
      <c r="AH1045" s="18" t="n">
        <f aca="false">IF($K1045="SEM CULTURA",0,$V1045*$H1045)</f>
        <v>89.56416</v>
      </c>
      <c r="AI1045" s="18" t="n">
        <f aca="false">IF($K1045="SEM CULTURA",0,$W1045*$H1045)</f>
        <v>2490.79087117241</v>
      </c>
      <c r="AJ1045" s="18" t="n">
        <f aca="false">IF($K1045="SEM CULTURA",0,$S1045*$H1045)</f>
        <v>3638.544</v>
      </c>
      <c r="AK1045" s="8" t="str">
        <f aca="false">$E1045&amp;"|"&amp;TEXT($AD1045,"0.000000")</f>
        <v>PV 132|0.279192</v>
      </c>
    </row>
    <row r="1046" customFormat="false" ht="15" hidden="false" customHeight="false" outlineLevel="0" collapsed="false">
      <c r="B1046" s="16" t="n">
        <v>51</v>
      </c>
      <c r="C1046" s="17" t="n">
        <f aca="false">DATA_INICIO_SAFRA+($B1046-1)*DIAS_POR_SEMANA</f>
        <v>46615</v>
      </c>
      <c r="D1046" s="17" t="n">
        <f aca="false">$C1046+DIAS_POR_SEMANA-1</f>
        <v>46621</v>
      </c>
      <c r="E1046" s="15" t="s">
        <v>274</v>
      </c>
      <c r="F1046" s="8" t="str">
        <f aca="false">IFERROR(INDEX(CADASTRO_PIVOS!$C$6:$C$41,MATCH($E1046,CADASTRO_PIVOS!$B$6:$B$41,0)),"?")</f>
        <v>RM05</v>
      </c>
      <c r="G1046" s="8" t="str">
        <f aca="false">IFERROR(INDEX(CADASTRO_PIVOS!$D$6:$D$41,MATCH($E1046,CADASTRO_PIVOS!$B$6:$B$41,0)),"?")</f>
        <v>TR05</v>
      </c>
      <c r="H1046" s="20" t="n">
        <f aca="false">IFERROR(INDEX(CADASTRO_PIVOS!$E$6:$E$41,MATCH($E1046,CADASTRO_PIVOS!$B$6:$B$41,0)),0)</f>
        <v>99.96</v>
      </c>
      <c r="I1046" s="16" t="n">
        <f aca="false">IFERROR(SUMIFS(ROTACAO_RDM!$B$6:$B$71,ROTACAO_RDM!$D$6:$D$71,$E1046,ROTACAO_RDM!$I$6:$I$71,"&lt;="&amp;$C1046+INT(DIAS_POR_SEMANA/2),ROTACAO_RDM!$J$6:$J$71,"&gt;="&amp;$C1046+INT(DIAS_POR_SEMANA/2)),0)</f>
        <v>64</v>
      </c>
      <c r="J1046" s="16" t="n">
        <f aca="false">IFERROR(MATCH($I1046,ROTACAO_RDM!$B$6:$B$71,0),0)</f>
        <v>64</v>
      </c>
      <c r="K1046" s="8" t="str">
        <f aca="false">IF($J1046=0,"SEM CULTURA",INDEX(ROTACAO_RDM!$F$6:$F$71,$J1046))</f>
        <v>MILHO_SEMENTE</v>
      </c>
      <c r="L1046" s="8" t="n">
        <f aca="false">IF($J1046=0,"",INDEX(ROTACAO_RDM!$G$6:$G$71,$J1046))</f>
        <v>0</v>
      </c>
      <c r="M1046" s="17" t="n">
        <f aca="false">IF($J1046=0,"",INDEX(ROTACAO_RDM!$I$6:$I$71,$J1046))</f>
        <v>46566</v>
      </c>
      <c r="N1046" s="16" t="n">
        <f aca="false">IF($J1046=0,0,MAX(0,$C1046+INT(DIAS_POR_SEMANA/2)-INDEX(ROTACAO_RDM!$I$6:$I$71,$J1046)))</f>
        <v>52</v>
      </c>
      <c r="O1046" s="19" t="n">
        <f aca="false">IF($J1046=0,0,MIN(1,$N1046/MAX(1,INDEX(ROTACAO_RDM!$K$6:$K$71,$J1046))))</f>
        <v>0.358620689655172</v>
      </c>
      <c r="P1046" s="16" t="n">
        <f aca="false">IF($J1046=0,0,IFERROR(MATCH(INDEX(ROTACAO_RDM!$N$6:$N$71,$J1046),PARAMETROS_CULTURAS!$B$6:$B$28,0),0))</f>
        <v>7</v>
      </c>
      <c r="Q1046" s="8" t="str">
        <f aca="false">IF($P1046=0,"-",IF($O1046&lt;=INDEX(PARAMETROS_CULTURAS!$F$6:$F$28,$P1046),"INICIAL",IF($O1046&lt;=INDEX(PARAMETROS_CULTURAS!$F$6:$F$28,$P1046)+INDEX(PARAMETROS_CULTURAS!$G$6:$G$28,$P1046),"DESENVOLVIMENTO",IF($O1046&lt;=INDEX(PARAMETROS_CULTURAS!$F$6:$F$28,$P1046)+INDEX(PARAMETROS_CULTURAS!$G$6:$G$28,$P1046)+INDEX(PARAMETROS_CULTURAS!$H$6:$H$28,$P1046),"MEDIA","FINAL"))))</f>
        <v>DESENVOLVIMENTO</v>
      </c>
      <c r="R1046" s="24" t="n">
        <f aca="false">IF($P1046=0,0,IF($O1046&lt;=INDEX(PARAMETROS_CULTURAS!$F$6:$F$28,$P1046),INDEX(PARAMETROS_CULTURAS!$K$6:$K$28,$P1046),IF($O1046&lt;=INDEX(PARAMETROS_CULTURAS!$F$6:$F$28,$P1046)+INDEX(PARAMETROS_CULTURAS!$G$6:$G$28,$P1046),INDEX(PARAMETROS_CULTURAS!$K$6:$K$28,$P1046)+(INDEX(PARAMETROS_CULTURAS!$L$6:$L$28,$P1046)-INDEX(PARAMETROS_CULTURAS!$K$6:$K$28,$P1046))*($O1046-INDEX(PARAMETROS_CULTURAS!$F$6:$F$28,$P1046))/MAX(INDEX(PARAMETROS_CULTURAS!$G$6:$G$28,$P1046),0.0001),IF($O1046&lt;=INDEX(PARAMETROS_CULTURAS!$F$6:$F$28,$P1046)+INDEX(PARAMETROS_CULTURAS!$G$6:$G$28,$P1046)+INDEX(PARAMETROS_CULTURAS!$H$6:$H$28,$P1046),INDEX(PARAMETROS_CULTURAS!$L$6:$L$28,$P1046),INDEX(PARAMETROS_CULTURAS!$L$6:$L$28,$P1046)+(INDEX(PARAMETROS_CULTURAS!$M$6:$M$28,$P1046)-INDEX(PARAMETROS_CULTURAS!$L$6:$L$28,$P1046))*($O1046-INDEX(PARAMETROS_CULTURAS!$F$6:$F$28,$P1046)-INDEX(PARAMETROS_CULTURAS!$G$6:$G$28,$P1046)-INDEX(PARAMETROS_CULTURAS!$H$6:$H$28,$P1046))/MAX(INDEX(PARAMETROS_CULTURAS!$I$6:$I$28,$P1046),0.0001)))))</f>
        <v>0.873310344827586</v>
      </c>
      <c r="S1046" s="18" t="n">
        <f aca="false">IFERROR(INDEX(SEMANAS!$H$6:$H$71,MATCH($B1046,SEMANAS!$B$6:$B$71,0)),0)</f>
        <v>36.4</v>
      </c>
      <c r="T1046" s="18" t="n">
        <f aca="false">$R1046*$S1046</f>
        <v>31.7884965517241</v>
      </c>
      <c r="U1046" s="18" t="n">
        <f aca="false">IFERROR(INDEX(SEMANAS!$I$6:$I$71,MATCH($B1046,SEMANAS!$B$6:$B$71,0)),0)</f>
        <v>1.12</v>
      </c>
      <c r="V1046" s="18" t="n">
        <f aca="false">IFERROR(INDEX(SEMANAS!$J$6:$J$71,MATCH($B1046,SEMANAS!$B$6:$B$71,0)),0)</f>
        <v>0.896</v>
      </c>
      <c r="W1046" s="18" t="n">
        <f aca="false">MAX(0,$T1046-$V1046)</f>
        <v>30.8924965517241</v>
      </c>
      <c r="X1046" s="19" t="n">
        <f aca="false">IFERROR(INDEX(CADASTRO_PIVOS!$K$6:$K$41,MATCH($E1046,CADASTRO_PIVOS!$B$6:$B$41,0)),EFICIENCIA_PADRAO)</f>
        <v>0.85</v>
      </c>
      <c r="Y1046" s="18" t="n">
        <f aca="false">IF($X1046&lt;=0,0,$W1046/$X1046)</f>
        <v>36.3441135902637</v>
      </c>
      <c r="Z1046" s="16" t="n">
        <f aca="false">$Y1046*$H1046*MM_PARA_M3_HA</f>
        <v>36329.5759448276</v>
      </c>
      <c r="AA1046" s="18" t="n">
        <f aca="false">IFERROR(INDEX(CADASTRO_PIVOS!$I$6:$I$41,MATCH($E1046,CADASTRO_PIVOS!$B$6:$B$41,0)),0)</f>
        <v>714</v>
      </c>
      <c r="AB1046" s="18" t="n">
        <f aca="false">IF($Z1046&lt;=0,0,$Z1046/$AA1046)</f>
        <v>50.8817590263692</v>
      </c>
      <c r="AC1046" s="16" t="n">
        <f aca="false">IFERROR(INDEX(SEMANAS!$K$6:$K$71,MATCH($B1046,SEMANAS!$B$6:$B$71,0)),0)</f>
        <v>147</v>
      </c>
      <c r="AD1046" s="19" t="n">
        <f aca="false">IF($AC1046&lt;=0,0,$AB1046/$AC1046)</f>
        <v>0.346134415145368</v>
      </c>
      <c r="AE1046" s="8" t="str">
        <f aca="false">IF($K1046="SEM CULTURA","SEM CULTURA",IF($AA1046&lt;=0,"DADO PENDENTE",IF($AD1046&gt;LIMITE_CRITICO,"INVIAVEL",IF($AD1046&gt;LIMITE_ATENCAO,"CRITICO",IF($AD1046&gt;LIMITE_CONFORTAVEL,"ATENCAO","OK")))))</f>
        <v>OK</v>
      </c>
      <c r="AF1046" s="8" t="str">
        <f aca="false">$B1046&amp;"|"&amp;TEXT($AD1046,"0.000000")</f>
        <v>51|0.346134</v>
      </c>
      <c r="AG1046" s="18" t="n">
        <f aca="false">IF($K1046="SEM CULTURA",0,$T1046*$H1046)</f>
        <v>3177.57811531034</v>
      </c>
      <c r="AH1046" s="18" t="n">
        <f aca="false">IF($K1046="SEM CULTURA",0,$V1046*$H1046)</f>
        <v>89.56416</v>
      </c>
      <c r="AI1046" s="18" t="n">
        <f aca="false">IF($K1046="SEM CULTURA",0,$W1046*$H1046)</f>
        <v>3088.01395531034</v>
      </c>
      <c r="AJ1046" s="18" t="n">
        <f aca="false">IF($K1046="SEM CULTURA",0,$S1046*$H1046)</f>
        <v>3638.544</v>
      </c>
      <c r="AK1046" s="8" t="str">
        <f aca="false">$E1046&amp;"|"&amp;TEXT($AD1046,"0.000000")</f>
        <v>PV 132|0.346134</v>
      </c>
    </row>
    <row r="1047" customFormat="false" ht="15" hidden="false" customHeight="false" outlineLevel="0" collapsed="false">
      <c r="B1047" s="16" t="n">
        <v>52</v>
      </c>
      <c r="C1047" s="17" t="n">
        <f aca="false">DATA_INICIO_SAFRA+($B1047-1)*DIAS_POR_SEMANA</f>
        <v>46622</v>
      </c>
      <c r="D1047" s="17" t="n">
        <f aca="false">$C1047+DIAS_POR_SEMANA-1</f>
        <v>46628</v>
      </c>
      <c r="E1047" s="15" t="s">
        <v>274</v>
      </c>
      <c r="F1047" s="8" t="str">
        <f aca="false">IFERROR(INDEX(CADASTRO_PIVOS!$C$6:$C$41,MATCH($E1047,CADASTRO_PIVOS!$B$6:$B$41,0)),"?")</f>
        <v>RM05</v>
      </c>
      <c r="G1047" s="8" t="str">
        <f aca="false">IFERROR(INDEX(CADASTRO_PIVOS!$D$6:$D$41,MATCH($E1047,CADASTRO_PIVOS!$B$6:$B$41,0)),"?")</f>
        <v>TR05</v>
      </c>
      <c r="H1047" s="20" t="n">
        <f aca="false">IFERROR(INDEX(CADASTRO_PIVOS!$E$6:$E$41,MATCH($E1047,CADASTRO_PIVOS!$B$6:$B$41,0)),0)</f>
        <v>99.96</v>
      </c>
      <c r="I1047" s="16" t="n">
        <f aca="false">IFERROR(SUMIFS(ROTACAO_RDM!$B$6:$B$71,ROTACAO_RDM!$D$6:$D$71,$E1047,ROTACAO_RDM!$I$6:$I$71,"&lt;="&amp;$C1047+INT(DIAS_POR_SEMANA/2),ROTACAO_RDM!$J$6:$J$71,"&gt;="&amp;$C1047+INT(DIAS_POR_SEMANA/2)),0)</f>
        <v>64</v>
      </c>
      <c r="J1047" s="16" t="n">
        <f aca="false">IFERROR(MATCH($I1047,ROTACAO_RDM!$B$6:$B$71,0),0)</f>
        <v>64</v>
      </c>
      <c r="K1047" s="8" t="str">
        <f aca="false">IF($J1047=0,"SEM CULTURA",INDEX(ROTACAO_RDM!$F$6:$F$71,$J1047))</f>
        <v>MILHO_SEMENTE</v>
      </c>
      <c r="L1047" s="8" t="n">
        <f aca="false">IF($J1047=0,"",INDEX(ROTACAO_RDM!$G$6:$G$71,$J1047))</f>
        <v>0</v>
      </c>
      <c r="M1047" s="17" t="n">
        <f aca="false">IF($J1047=0,"",INDEX(ROTACAO_RDM!$I$6:$I$71,$J1047))</f>
        <v>46566</v>
      </c>
      <c r="N1047" s="16" t="n">
        <f aca="false">IF($J1047=0,0,MAX(0,$C1047+INT(DIAS_POR_SEMANA/2)-INDEX(ROTACAO_RDM!$I$6:$I$71,$J1047)))</f>
        <v>59</v>
      </c>
      <c r="O1047" s="19" t="n">
        <f aca="false">IF($J1047=0,0,MIN(1,$N1047/MAX(1,INDEX(ROTACAO_RDM!$K$6:$K$71,$J1047))))</f>
        <v>0.406896551724138</v>
      </c>
      <c r="P1047" s="16" t="n">
        <f aca="false">IF($J1047=0,0,IFERROR(MATCH(INDEX(ROTACAO_RDM!$N$6:$N$71,$J1047),PARAMETROS_CULTURAS!$B$6:$B$28,0),0))</f>
        <v>7</v>
      </c>
      <c r="Q1047" s="8" t="str">
        <f aca="false">IF($P1047=0,"-",IF($O1047&lt;=INDEX(PARAMETROS_CULTURAS!$F$6:$F$28,$P1047),"INICIAL",IF($O1047&lt;=INDEX(PARAMETROS_CULTURAS!$F$6:$F$28,$P1047)+INDEX(PARAMETROS_CULTURAS!$G$6:$G$28,$P1047),"DESENVOLVIMENTO",IF($O1047&lt;=INDEX(PARAMETROS_CULTURAS!$F$6:$F$28,$P1047)+INDEX(PARAMETROS_CULTURAS!$G$6:$G$28,$P1047)+INDEX(PARAMETROS_CULTURAS!$H$6:$H$28,$P1047),"MEDIA","FINAL"))))</f>
        <v>DESENVOLVIMENTO</v>
      </c>
      <c r="R1047" s="24" t="n">
        <f aca="false">IF($P1047=0,0,IF($O1047&lt;=INDEX(PARAMETROS_CULTURAS!$F$6:$F$28,$P1047),INDEX(PARAMETROS_CULTURAS!$K$6:$K$28,$P1047),IF($O1047&lt;=INDEX(PARAMETROS_CULTURAS!$F$6:$F$28,$P1047)+INDEX(PARAMETROS_CULTURAS!$G$6:$G$28,$P1047),INDEX(PARAMETROS_CULTURAS!$K$6:$K$28,$P1047)+(INDEX(PARAMETROS_CULTURAS!$L$6:$L$28,$P1047)-INDEX(PARAMETROS_CULTURAS!$K$6:$K$28,$P1047))*($O1047-INDEX(PARAMETROS_CULTURAS!$F$6:$F$28,$P1047))/MAX(INDEX(PARAMETROS_CULTURAS!$G$6:$G$28,$P1047),0.0001),IF($O1047&lt;=INDEX(PARAMETROS_CULTURAS!$F$6:$F$28,$P1047)+INDEX(PARAMETROS_CULTURAS!$G$6:$G$28,$P1047)+INDEX(PARAMETROS_CULTURAS!$H$6:$H$28,$P1047),INDEX(PARAMETROS_CULTURAS!$L$6:$L$28,$P1047),INDEX(PARAMETROS_CULTURAS!$L$6:$L$28,$P1047)+(INDEX(PARAMETROS_CULTURAS!$M$6:$M$28,$P1047)-INDEX(PARAMETROS_CULTURAS!$L$6:$L$28,$P1047))*($O1047-INDEX(PARAMETROS_CULTURAS!$F$6:$F$28,$P1047)-INDEX(PARAMETROS_CULTURAS!$G$6:$G$28,$P1047)-INDEX(PARAMETROS_CULTURAS!$H$6:$H$28,$P1047))/MAX(INDEX(PARAMETROS_CULTURAS!$I$6:$I$28,$P1047),0.0001)))))</f>
        <v>1.03744827586207</v>
      </c>
      <c r="S1047" s="18" t="n">
        <f aca="false">IFERROR(INDEX(SEMANAS!$H$6:$H$71,MATCH($B1047,SEMANAS!$B$6:$B$71,0)),0)</f>
        <v>36.4</v>
      </c>
      <c r="T1047" s="18" t="n">
        <f aca="false">$R1047*$S1047</f>
        <v>37.7631172413793</v>
      </c>
      <c r="U1047" s="18" t="n">
        <f aca="false">IFERROR(INDEX(SEMANAS!$I$6:$I$71,MATCH($B1047,SEMANAS!$B$6:$B$71,0)),0)</f>
        <v>1.12</v>
      </c>
      <c r="V1047" s="18" t="n">
        <f aca="false">IFERROR(INDEX(SEMANAS!$J$6:$J$71,MATCH($B1047,SEMANAS!$B$6:$B$71,0)),0)</f>
        <v>0.896</v>
      </c>
      <c r="W1047" s="18" t="n">
        <f aca="false">MAX(0,$T1047-$V1047)</f>
        <v>36.8671172413793</v>
      </c>
      <c r="X1047" s="19" t="n">
        <f aca="false">IFERROR(INDEX(CADASTRO_PIVOS!$K$6:$K$41,MATCH($E1047,CADASTRO_PIVOS!$B$6:$B$41,0)),EFICIENCIA_PADRAO)</f>
        <v>0.85</v>
      </c>
      <c r="Y1047" s="18" t="n">
        <f aca="false">IF($X1047&lt;=0,0,$W1047/$X1047)</f>
        <v>43.3730791075051</v>
      </c>
      <c r="Z1047" s="16" t="n">
        <f aca="false">$Y1047*$H1047*MM_PARA_M3_HA</f>
        <v>43355.7298758621</v>
      </c>
      <c r="AA1047" s="18" t="n">
        <f aca="false">IFERROR(INDEX(CADASTRO_PIVOS!$I$6:$I$41,MATCH($E1047,CADASTRO_PIVOS!$B$6:$B$41,0)),0)</f>
        <v>714</v>
      </c>
      <c r="AB1047" s="18" t="n">
        <f aca="false">IF($Z1047&lt;=0,0,$Z1047/$AA1047)</f>
        <v>60.7223107505071</v>
      </c>
      <c r="AC1047" s="16" t="n">
        <f aca="false">IFERROR(INDEX(SEMANAS!$K$6:$K$71,MATCH($B1047,SEMANAS!$B$6:$B$71,0)),0)</f>
        <v>147</v>
      </c>
      <c r="AD1047" s="19" t="n">
        <f aca="false">IF($AC1047&lt;=0,0,$AB1047/$AC1047)</f>
        <v>0.413076943881001</v>
      </c>
      <c r="AE1047" s="8" t="str">
        <f aca="false">IF($K1047="SEM CULTURA","SEM CULTURA",IF($AA1047&lt;=0,"DADO PENDENTE",IF($AD1047&gt;LIMITE_CRITICO,"INVIAVEL",IF($AD1047&gt;LIMITE_ATENCAO,"CRITICO",IF($AD1047&gt;LIMITE_CONFORTAVEL,"ATENCAO","OK")))))</f>
        <v>OK</v>
      </c>
      <c r="AF1047" s="8" t="str">
        <f aca="false">$B1047&amp;"|"&amp;TEXT($AD1047,"0.000000")</f>
        <v>52|0.413077</v>
      </c>
      <c r="AG1047" s="18" t="n">
        <f aca="false">IF($K1047="SEM CULTURA",0,$T1047*$H1047)</f>
        <v>3774.80119944827</v>
      </c>
      <c r="AH1047" s="18" t="n">
        <f aca="false">IF($K1047="SEM CULTURA",0,$V1047*$H1047)</f>
        <v>89.56416</v>
      </c>
      <c r="AI1047" s="18" t="n">
        <f aca="false">IF($K1047="SEM CULTURA",0,$W1047*$H1047)</f>
        <v>3685.23703944827</v>
      </c>
      <c r="AJ1047" s="18" t="n">
        <f aca="false">IF($K1047="SEM CULTURA",0,$S1047*$H1047)</f>
        <v>3638.544</v>
      </c>
      <c r="AK1047" s="8" t="str">
        <f aca="false">$E1047&amp;"|"&amp;TEXT($AD1047,"0.000000")</f>
        <v>PV 132|0.413077</v>
      </c>
    </row>
    <row r="1048" customFormat="false" ht="15" hidden="false" customHeight="false" outlineLevel="0" collapsed="false">
      <c r="B1048" s="16" t="n">
        <v>53</v>
      </c>
      <c r="C1048" s="17" t="n">
        <f aca="false">DATA_INICIO_SAFRA+($B1048-1)*DIAS_POR_SEMANA</f>
        <v>46629</v>
      </c>
      <c r="D1048" s="17" t="n">
        <f aca="false">$C1048+DIAS_POR_SEMANA-1</f>
        <v>46635</v>
      </c>
      <c r="E1048" s="15" t="s">
        <v>274</v>
      </c>
      <c r="F1048" s="8" t="str">
        <f aca="false">IFERROR(INDEX(CADASTRO_PIVOS!$C$6:$C$41,MATCH($E1048,CADASTRO_PIVOS!$B$6:$B$41,0)),"?")</f>
        <v>RM05</v>
      </c>
      <c r="G1048" s="8" t="str">
        <f aca="false">IFERROR(INDEX(CADASTRO_PIVOS!$D$6:$D$41,MATCH($E1048,CADASTRO_PIVOS!$B$6:$B$41,0)),"?")</f>
        <v>TR05</v>
      </c>
      <c r="H1048" s="20" t="n">
        <f aca="false">IFERROR(INDEX(CADASTRO_PIVOS!$E$6:$E$41,MATCH($E1048,CADASTRO_PIVOS!$B$6:$B$41,0)),0)</f>
        <v>99.96</v>
      </c>
      <c r="I1048" s="16" t="n">
        <f aca="false">IFERROR(SUMIFS(ROTACAO_RDM!$B$6:$B$71,ROTACAO_RDM!$D$6:$D$71,$E1048,ROTACAO_RDM!$I$6:$I$71,"&lt;="&amp;$C1048+INT(DIAS_POR_SEMANA/2),ROTACAO_RDM!$J$6:$J$71,"&gt;="&amp;$C1048+INT(DIAS_POR_SEMANA/2)),0)</f>
        <v>64</v>
      </c>
      <c r="J1048" s="16" t="n">
        <f aca="false">IFERROR(MATCH($I1048,ROTACAO_RDM!$B$6:$B$71,0),0)</f>
        <v>64</v>
      </c>
      <c r="K1048" s="8" t="str">
        <f aca="false">IF($J1048=0,"SEM CULTURA",INDEX(ROTACAO_RDM!$F$6:$F$71,$J1048))</f>
        <v>MILHO_SEMENTE</v>
      </c>
      <c r="L1048" s="8" t="n">
        <f aca="false">IF($J1048=0,"",INDEX(ROTACAO_RDM!$G$6:$G$71,$J1048))</f>
        <v>0</v>
      </c>
      <c r="M1048" s="17" t="n">
        <f aca="false">IF($J1048=0,"",INDEX(ROTACAO_RDM!$I$6:$I$71,$J1048))</f>
        <v>46566</v>
      </c>
      <c r="N1048" s="16" t="n">
        <f aca="false">IF($J1048=0,0,MAX(0,$C1048+INT(DIAS_POR_SEMANA/2)-INDEX(ROTACAO_RDM!$I$6:$I$71,$J1048)))</f>
        <v>66</v>
      </c>
      <c r="O1048" s="19" t="n">
        <f aca="false">IF($J1048=0,0,MIN(1,$N1048/MAX(1,INDEX(ROTACAO_RDM!$K$6:$K$71,$J1048))))</f>
        <v>0.455172413793103</v>
      </c>
      <c r="P1048" s="16" t="n">
        <f aca="false">IF($J1048=0,0,IFERROR(MATCH(INDEX(ROTACAO_RDM!$N$6:$N$71,$J1048),PARAMETROS_CULTURAS!$B$6:$B$28,0),0))</f>
        <v>7</v>
      </c>
      <c r="Q1048" s="8" t="str">
        <f aca="false">IF($P1048=0,"-",IF($O1048&lt;=INDEX(PARAMETROS_CULTURAS!$F$6:$F$28,$P1048),"INICIAL",IF($O1048&lt;=INDEX(PARAMETROS_CULTURAS!$F$6:$F$28,$P1048)+INDEX(PARAMETROS_CULTURAS!$G$6:$G$28,$P1048),"DESENVOLVIMENTO",IF($O1048&lt;=INDEX(PARAMETROS_CULTURAS!$F$6:$F$28,$P1048)+INDEX(PARAMETROS_CULTURAS!$G$6:$G$28,$P1048)+INDEX(PARAMETROS_CULTURAS!$H$6:$H$28,$P1048),"MEDIA","FINAL"))))</f>
        <v>MEDIA</v>
      </c>
      <c r="R1048" s="24" t="n">
        <f aca="false">IF($P1048=0,0,IF($O1048&lt;=INDEX(PARAMETROS_CULTURAS!$F$6:$F$28,$P1048),INDEX(PARAMETROS_CULTURAS!$K$6:$K$28,$P1048),IF($O1048&lt;=INDEX(PARAMETROS_CULTURAS!$F$6:$F$28,$P1048)+INDEX(PARAMETROS_CULTURAS!$G$6:$G$28,$P1048),INDEX(PARAMETROS_CULTURAS!$K$6:$K$28,$P1048)+(INDEX(PARAMETROS_CULTURAS!$L$6:$L$28,$P1048)-INDEX(PARAMETROS_CULTURAS!$K$6:$K$28,$P1048))*($O1048-INDEX(PARAMETROS_CULTURAS!$F$6:$F$28,$P1048))/MAX(INDEX(PARAMETROS_CULTURAS!$G$6:$G$28,$P1048),0.0001),IF($O1048&lt;=INDEX(PARAMETROS_CULTURAS!$F$6:$F$28,$P1048)+INDEX(PARAMETROS_CULTURAS!$G$6:$G$28,$P1048)+INDEX(PARAMETROS_CULTURAS!$H$6:$H$28,$P1048),INDEX(PARAMETROS_CULTURAS!$L$6:$L$28,$P1048),INDEX(PARAMETROS_CULTURAS!$L$6:$L$28,$P1048)+(INDEX(PARAMETROS_CULTURAS!$M$6:$M$28,$P1048)-INDEX(PARAMETROS_CULTURAS!$L$6:$L$28,$P1048))*($O1048-INDEX(PARAMETROS_CULTURAS!$F$6:$F$28,$P1048)-INDEX(PARAMETROS_CULTURAS!$G$6:$G$28,$P1048)-INDEX(PARAMETROS_CULTURAS!$H$6:$H$28,$P1048))/MAX(INDEX(PARAMETROS_CULTURAS!$I$6:$I$28,$P1048),0.0001)))))</f>
        <v>1.15</v>
      </c>
      <c r="S1048" s="18" t="n">
        <f aca="false">IFERROR(INDEX(SEMANAS!$H$6:$H$71,MATCH($B1048,SEMANAS!$B$6:$B$71,0)),0)</f>
        <v>39.4</v>
      </c>
      <c r="T1048" s="18" t="n">
        <f aca="false">$R1048*$S1048</f>
        <v>45.31</v>
      </c>
      <c r="U1048" s="18" t="n">
        <f aca="false">IFERROR(INDEX(SEMANAS!$I$6:$I$71,MATCH($B1048,SEMANAS!$B$6:$B$71,0)),0)</f>
        <v>5.32</v>
      </c>
      <c r="V1048" s="18" t="n">
        <f aca="false">IFERROR(INDEX(SEMANAS!$J$6:$J$71,MATCH($B1048,SEMANAS!$B$6:$B$71,0)),0)</f>
        <v>4.256</v>
      </c>
      <c r="W1048" s="18" t="n">
        <f aca="false">MAX(0,$T1048-$V1048)</f>
        <v>41.054</v>
      </c>
      <c r="X1048" s="19" t="n">
        <f aca="false">IFERROR(INDEX(CADASTRO_PIVOS!$K$6:$K$41,MATCH($E1048,CADASTRO_PIVOS!$B$6:$B$41,0)),EFICIENCIA_PADRAO)</f>
        <v>0.85</v>
      </c>
      <c r="Y1048" s="18" t="n">
        <f aca="false">IF($X1048&lt;=0,0,$W1048/$X1048)</f>
        <v>48.2988235294118</v>
      </c>
      <c r="Z1048" s="16" t="n">
        <f aca="false">$Y1048*$H1048*MM_PARA_M3_HA</f>
        <v>48279.504</v>
      </c>
      <c r="AA1048" s="18" t="n">
        <f aca="false">IFERROR(INDEX(CADASTRO_PIVOS!$I$6:$I$41,MATCH($E1048,CADASTRO_PIVOS!$B$6:$B$41,0)),0)</f>
        <v>714</v>
      </c>
      <c r="AB1048" s="18" t="n">
        <f aca="false">IF($Z1048&lt;=0,0,$Z1048/$AA1048)</f>
        <v>67.6183529411765</v>
      </c>
      <c r="AC1048" s="16" t="n">
        <f aca="false">IFERROR(INDEX(SEMANAS!$K$6:$K$71,MATCH($B1048,SEMANAS!$B$6:$B$71,0)),0)</f>
        <v>147</v>
      </c>
      <c r="AD1048" s="19" t="n">
        <f aca="false">IF($AC1048&lt;=0,0,$AB1048/$AC1048)</f>
        <v>0.459988795518207</v>
      </c>
      <c r="AE1048" s="8" t="str">
        <f aca="false">IF($K1048="SEM CULTURA","SEM CULTURA",IF($AA1048&lt;=0,"DADO PENDENTE",IF($AD1048&gt;LIMITE_CRITICO,"INVIAVEL",IF($AD1048&gt;LIMITE_ATENCAO,"CRITICO",IF($AD1048&gt;LIMITE_CONFORTAVEL,"ATENCAO","OK")))))</f>
        <v>OK</v>
      </c>
      <c r="AF1048" s="8" t="str">
        <f aca="false">$B1048&amp;"|"&amp;TEXT($AD1048,"0.000000")</f>
        <v>53|0.459989</v>
      </c>
      <c r="AG1048" s="18" t="n">
        <f aca="false">IF($K1048="SEM CULTURA",0,$T1048*$H1048)</f>
        <v>4529.1876</v>
      </c>
      <c r="AH1048" s="18" t="n">
        <f aca="false">IF($K1048="SEM CULTURA",0,$V1048*$H1048)</f>
        <v>425.42976</v>
      </c>
      <c r="AI1048" s="18" t="n">
        <f aca="false">IF($K1048="SEM CULTURA",0,$W1048*$H1048)</f>
        <v>4103.75784</v>
      </c>
      <c r="AJ1048" s="18" t="n">
        <f aca="false">IF($K1048="SEM CULTURA",0,$S1048*$H1048)</f>
        <v>3938.424</v>
      </c>
      <c r="AK1048" s="8" t="str">
        <f aca="false">$E1048&amp;"|"&amp;TEXT($AD1048,"0.000000")</f>
        <v>PV 132|0.459989</v>
      </c>
    </row>
    <row r="1049" customFormat="false" ht="15" hidden="false" customHeight="false" outlineLevel="0" collapsed="false">
      <c r="B1049" s="16" t="n">
        <v>54</v>
      </c>
      <c r="C1049" s="17" t="n">
        <f aca="false">DATA_INICIO_SAFRA+($B1049-1)*DIAS_POR_SEMANA</f>
        <v>46636</v>
      </c>
      <c r="D1049" s="17" t="n">
        <f aca="false">$C1049+DIAS_POR_SEMANA-1</f>
        <v>46642</v>
      </c>
      <c r="E1049" s="15" t="s">
        <v>274</v>
      </c>
      <c r="F1049" s="8" t="str">
        <f aca="false">IFERROR(INDEX(CADASTRO_PIVOS!$C$6:$C$41,MATCH($E1049,CADASTRO_PIVOS!$B$6:$B$41,0)),"?")</f>
        <v>RM05</v>
      </c>
      <c r="G1049" s="8" t="str">
        <f aca="false">IFERROR(INDEX(CADASTRO_PIVOS!$D$6:$D$41,MATCH($E1049,CADASTRO_PIVOS!$B$6:$B$41,0)),"?")</f>
        <v>TR05</v>
      </c>
      <c r="H1049" s="20" t="n">
        <f aca="false">IFERROR(INDEX(CADASTRO_PIVOS!$E$6:$E$41,MATCH($E1049,CADASTRO_PIVOS!$B$6:$B$41,0)),0)</f>
        <v>99.96</v>
      </c>
      <c r="I1049" s="16" t="n">
        <f aca="false">IFERROR(SUMIFS(ROTACAO_RDM!$B$6:$B$71,ROTACAO_RDM!$D$6:$D$71,$E1049,ROTACAO_RDM!$I$6:$I$71,"&lt;="&amp;$C1049+INT(DIAS_POR_SEMANA/2),ROTACAO_RDM!$J$6:$J$71,"&gt;="&amp;$C1049+INT(DIAS_POR_SEMANA/2)),0)</f>
        <v>64</v>
      </c>
      <c r="J1049" s="16" t="n">
        <f aca="false">IFERROR(MATCH($I1049,ROTACAO_RDM!$B$6:$B$71,0),0)</f>
        <v>64</v>
      </c>
      <c r="K1049" s="8" t="str">
        <f aca="false">IF($J1049=0,"SEM CULTURA",INDEX(ROTACAO_RDM!$F$6:$F$71,$J1049))</f>
        <v>MILHO_SEMENTE</v>
      </c>
      <c r="L1049" s="8" t="n">
        <f aca="false">IF($J1049=0,"",INDEX(ROTACAO_RDM!$G$6:$G$71,$J1049))</f>
        <v>0</v>
      </c>
      <c r="M1049" s="17" t="n">
        <f aca="false">IF($J1049=0,"",INDEX(ROTACAO_RDM!$I$6:$I$71,$J1049))</f>
        <v>46566</v>
      </c>
      <c r="N1049" s="16" t="n">
        <f aca="false">IF($J1049=0,0,MAX(0,$C1049+INT(DIAS_POR_SEMANA/2)-INDEX(ROTACAO_RDM!$I$6:$I$71,$J1049)))</f>
        <v>73</v>
      </c>
      <c r="O1049" s="19" t="n">
        <f aca="false">IF($J1049=0,0,MIN(1,$N1049/MAX(1,INDEX(ROTACAO_RDM!$K$6:$K$71,$J1049))))</f>
        <v>0.503448275862069</v>
      </c>
      <c r="P1049" s="16" t="n">
        <f aca="false">IF($J1049=0,0,IFERROR(MATCH(INDEX(ROTACAO_RDM!$N$6:$N$71,$J1049),PARAMETROS_CULTURAS!$B$6:$B$28,0),0))</f>
        <v>7</v>
      </c>
      <c r="Q1049" s="8" t="str">
        <f aca="false">IF($P1049=0,"-",IF($O1049&lt;=INDEX(PARAMETROS_CULTURAS!$F$6:$F$28,$P1049),"INICIAL",IF($O1049&lt;=INDEX(PARAMETROS_CULTURAS!$F$6:$F$28,$P1049)+INDEX(PARAMETROS_CULTURAS!$G$6:$G$28,$P1049),"DESENVOLVIMENTO",IF($O1049&lt;=INDEX(PARAMETROS_CULTURAS!$F$6:$F$28,$P1049)+INDEX(PARAMETROS_CULTURAS!$G$6:$G$28,$P1049)+INDEX(PARAMETROS_CULTURAS!$H$6:$H$28,$P1049),"MEDIA","FINAL"))))</f>
        <v>MEDIA</v>
      </c>
      <c r="R1049" s="24" t="n">
        <f aca="false">IF($P1049=0,0,IF($O1049&lt;=INDEX(PARAMETROS_CULTURAS!$F$6:$F$28,$P1049),INDEX(PARAMETROS_CULTURAS!$K$6:$K$28,$P1049),IF($O1049&lt;=INDEX(PARAMETROS_CULTURAS!$F$6:$F$28,$P1049)+INDEX(PARAMETROS_CULTURAS!$G$6:$G$28,$P1049),INDEX(PARAMETROS_CULTURAS!$K$6:$K$28,$P1049)+(INDEX(PARAMETROS_CULTURAS!$L$6:$L$28,$P1049)-INDEX(PARAMETROS_CULTURAS!$K$6:$K$28,$P1049))*($O1049-INDEX(PARAMETROS_CULTURAS!$F$6:$F$28,$P1049))/MAX(INDEX(PARAMETROS_CULTURAS!$G$6:$G$28,$P1049),0.0001),IF($O1049&lt;=INDEX(PARAMETROS_CULTURAS!$F$6:$F$28,$P1049)+INDEX(PARAMETROS_CULTURAS!$G$6:$G$28,$P1049)+INDEX(PARAMETROS_CULTURAS!$H$6:$H$28,$P1049),INDEX(PARAMETROS_CULTURAS!$L$6:$L$28,$P1049),INDEX(PARAMETROS_CULTURAS!$L$6:$L$28,$P1049)+(INDEX(PARAMETROS_CULTURAS!$M$6:$M$28,$P1049)-INDEX(PARAMETROS_CULTURAS!$L$6:$L$28,$P1049))*($O1049-INDEX(PARAMETROS_CULTURAS!$F$6:$F$28,$P1049)-INDEX(PARAMETROS_CULTURAS!$G$6:$G$28,$P1049)-INDEX(PARAMETROS_CULTURAS!$H$6:$H$28,$P1049))/MAX(INDEX(PARAMETROS_CULTURAS!$I$6:$I$28,$P1049),0.0001)))))</f>
        <v>1.15</v>
      </c>
      <c r="S1049" s="18" t="n">
        <f aca="false">IFERROR(INDEX(SEMANAS!$H$6:$H$71,MATCH($B1049,SEMANAS!$B$6:$B$71,0)),0)</f>
        <v>40.6</v>
      </c>
      <c r="T1049" s="18" t="n">
        <f aca="false">$R1049*$S1049</f>
        <v>46.69</v>
      </c>
      <c r="U1049" s="18" t="n">
        <f aca="false">IFERROR(INDEX(SEMANAS!$I$6:$I$71,MATCH($B1049,SEMANAS!$B$6:$B$71,0)),0)</f>
        <v>7</v>
      </c>
      <c r="V1049" s="18" t="n">
        <f aca="false">IFERROR(INDEX(SEMANAS!$J$6:$J$71,MATCH($B1049,SEMANAS!$B$6:$B$71,0)),0)</f>
        <v>5.6</v>
      </c>
      <c r="W1049" s="18" t="n">
        <f aca="false">MAX(0,$T1049-$V1049)</f>
        <v>41.09</v>
      </c>
      <c r="X1049" s="19" t="n">
        <f aca="false">IFERROR(INDEX(CADASTRO_PIVOS!$K$6:$K$41,MATCH($E1049,CADASTRO_PIVOS!$B$6:$B$41,0)),EFICIENCIA_PADRAO)</f>
        <v>0.85</v>
      </c>
      <c r="Y1049" s="18" t="n">
        <f aca="false">IF($X1049&lt;=0,0,$W1049/$X1049)</f>
        <v>48.3411764705882</v>
      </c>
      <c r="Z1049" s="16" t="n">
        <f aca="false">$Y1049*$H1049*MM_PARA_M3_HA</f>
        <v>48321.84</v>
      </c>
      <c r="AA1049" s="18" t="n">
        <f aca="false">IFERROR(INDEX(CADASTRO_PIVOS!$I$6:$I$41,MATCH($E1049,CADASTRO_PIVOS!$B$6:$B$41,0)),0)</f>
        <v>714</v>
      </c>
      <c r="AB1049" s="18" t="n">
        <f aca="false">IF($Z1049&lt;=0,0,$Z1049/$AA1049)</f>
        <v>67.6776470588235</v>
      </c>
      <c r="AC1049" s="16" t="n">
        <f aca="false">IFERROR(INDEX(SEMANAS!$K$6:$K$71,MATCH($B1049,SEMANAS!$B$6:$B$71,0)),0)</f>
        <v>147</v>
      </c>
      <c r="AD1049" s="19" t="n">
        <f aca="false">IF($AC1049&lt;=0,0,$AB1049/$AC1049)</f>
        <v>0.460392156862745</v>
      </c>
      <c r="AE1049" s="8" t="str">
        <f aca="false">IF($K1049="SEM CULTURA","SEM CULTURA",IF($AA1049&lt;=0,"DADO PENDENTE",IF($AD1049&gt;LIMITE_CRITICO,"INVIAVEL",IF($AD1049&gt;LIMITE_ATENCAO,"CRITICO",IF($AD1049&gt;LIMITE_CONFORTAVEL,"ATENCAO","OK")))))</f>
        <v>OK</v>
      </c>
      <c r="AF1049" s="8" t="str">
        <f aca="false">$B1049&amp;"|"&amp;TEXT($AD1049,"0.000000")</f>
        <v>54|0.460392</v>
      </c>
      <c r="AG1049" s="18" t="n">
        <f aca="false">IF($K1049="SEM CULTURA",0,$T1049*$H1049)</f>
        <v>4667.1324</v>
      </c>
      <c r="AH1049" s="18" t="n">
        <f aca="false">IF($K1049="SEM CULTURA",0,$V1049*$H1049)</f>
        <v>559.776</v>
      </c>
      <c r="AI1049" s="18" t="n">
        <f aca="false">IF($K1049="SEM CULTURA",0,$W1049*$H1049)</f>
        <v>4107.3564</v>
      </c>
      <c r="AJ1049" s="18" t="n">
        <f aca="false">IF($K1049="SEM CULTURA",0,$S1049*$H1049)</f>
        <v>4058.376</v>
      </c>
      <c r="AK1049" s="8" t="str">
        <f aca="false">$E1049&amp;"|"&amp;TEXT($AD1049,"0.000000")</f>
        <v>PV 132|0.460392</v>
      </c>
    </row>
    <row r="1050" customFormat="false" ht="15" hidden="false" customHeight="false" outlineLevel="0" collapsed="false">
      <c r="B1050" s="16" t="n">
        <v>55</v>
      </c>
      <c r="C1050" s="17" t="n">
        <f aca="false">DATA_INICIO_SAFRA+($B1050-1)*DIAS_POR_SEMANA</f>
        <v>46643</v>
      </c>
      <c r="D1050" s="17" t="n">
        <f aca="false">$C1050+DIAS_POR_SEMANA-1</f>
        <v>46649</v>
      </c>
      <c r="E1050" s="15" t="s">
        <v>274</v>
      </c>
      <c r="F1050" s="8" t="str">
        <f aca="false">IFERROR(INDEX(CADASTRO_PIVOS!$C$6:$C$41,MATCH($E1050,CADASTRO_PIVOS!$B$6:$B$41,0)),"?")</f>
        <v>RM05</v>
      </c>
      <c r="G1050" s="8" t="str">
        <f aca="false">IFERROR(INDEX(CADASTRO_PIVOS!$D$6:$D$41,MATCH($E1050,CADASTRO_PIVOS!$B$6:$B$41,0)),"?")</f>
        <v>TR05</v>
      </c>
      <c r="H1050" s="20" t="n">
        <f aca="false">IFERROR(INDEX(CADASTRO_PIVOS!$E$6:$E$41,MATCH($E1050,CADASTRO_PIVOS!$B$6:$B$41,0)),0)</f>
        <v>99.96</v>
      </c>
      <c r="I1050" s="16" t="n">
        <f aca="false">IFERROR(SUMIFS(ROTACAO_RDM!$B$6:$B$71,ROTACAO_RDM!$D$6:$D$71,$E1050,ROTACAO_RDM!$I$6:$I$71,"&lt;="&amp;$C1050+INT(DIAS_POR_SEMANA/2),ROTACAO_RDM!$J$6:$J$71,"&gt;="&amp;$C1050+INT(DIAS_POR_SEMANA/2)),0)</f>
        <v>64</v>
      </c>
      <c r="J1050" s="16" t="n">
        <f aca="false">IFERROR(MATCH($I1050,ROTACAO_RDM!$B$6:$B$71,0),0)</f>
        <v>64</v>
      </c>
      <c r="K1050" s="8" t="str">
        <f aca="false">IF($J1050=0,"SEM CULTURA",INDEX(ROTACAO_RDM!$F$6:$F$71,$J1050))</f>
        <v>MILHO_SEMENTE</v>
      </c>
      <c r="L1050" s="8" t="n">
        <f aca="false">IF($J1050=0,"",INDEX(ROTACAO_RDM!$G$6:$G$71,$J1050))</f>
        <v>0</v>
      </c>
      <c r="M1050" s="17" t="n">
        <f aca="false">IF($J1050=0,"",INDEX(ROTACAO_RDM!$I$6:$I$71,$J1050))</f>
        <v>46566</v>
      </c>
      <c r="N1050" s="16" t="n">
        <f aca="false">IF($J1050=0,0,MAX(0,$C1050+INT(DIAS_POR_SEMANA/2)-INDEX(ROTACAO_RDM!$I$6:$I$71,$J1050)))</f>
        <v>80</v>
      </c>
      <c r="O1050" s="19" t="n">
        <f aca="false">IF($J1050=0,0,MIN(1,$N1050/MAX(1,INDEX(ROTACAO_RDM!$K$6:$K$71,$J1050))))</f>
        <v>0.551724137931035</v>
      </c>
      <c r="P1050" s="16" t="n">
        <f aca="false">IF($J1050=0,0,IFERROR(MATCH(INDEX(ROTACAO_RDM!$N$6:$N$71,$J1050),PARAMETROS_CULTURAS!$B$6:$B$28,0),0))</f>
        <v>7</v>
      </c>
      <c r="Q1050" s="8" t="str">
        <f aca="false">IF($P1050=0,"-",IF($O1050&lt;=INDEX(PARAMETROS_CULTURAS!$F$6:$F$28,$P1050),"INICIAL",IF($O1050&lt;=INDEX(PARAMETROS_CULTURAS!$F$6:$F$28,$P1050)+INDEX(PARAMETROS_CULTURAS!$G$6:$G$28,$P1050),"DESENVOLVIMENTO",IF($O1050&lt;=INDEX(PARAMETROS_CULTURAS!$F$6:$F$28,$P1050)+INDEX(PARAMETROS_CULTURAS!$G$6:$G$28,$P1050)+INDEX(PARAMETROS_CULTURAS!$H$6:$H$28,$P1050),"MEDIA","FINAL"))))</f>
        <v>MEDIA</v>
      </c>
      <c r="R1050" s="24" t="n">
        <f aca="false">IF($P1050=0,0,IF($O1050&lt;=INDEX(PARAMETROS_CULTURAS!$F$6:$F$28,$P1050),INDEX(PARAMETROS_CULTURAS!$K$6:$K$28,$P1050),IF($O1050&lt;=INDEX(PARAMETROS_CULTURAS!$F$6:$F$28,$P1050)+INDEX(PARAMETROS_CULTURAS!$G$6:$G$28,$P1050),INDEX(PARAMETROS_CULTURAS!$K$6:$K$28,$P1050)+(INDEX(PARAMETROS_CULTURAS!$L$6:$L$28,$P1050)-INDEX(PARAMETROS_CULTURAS!$K$6:$K$28,$P1050))*($O1050-INDEX(PARAMETROS_CULTURAS!$F$6:$F$28,$P1050))/MAX(INDEX(PARAMETROS_CULTURAS!$G$6:$G$28,$P1050),0.0001),IF($O1050&lt;=INDEX(PARAMETROS_CULTURAS!$F$6:$F$28,$P1050)+INDEX(PARAMETROS_CULTURAS!$G$6:$G$28,$P1050)+INDEX(PARAMETROS_CULTURAS!$H$6:$H$28,$P1050),INDEX(PARAMETROS_CULTURAS!$L$6:$L$28,$P1050),INDEX(PARAMETROS_CULTURAS!$L$6:$L$28,$P1050)+(INDEX(PARAMETROS_CULTURAS!$M$6:$M$28,$P1050)-INDEX(PARAMETROS_CULTURAS!$L$6:$L$28,$P1050))*($O1050-INDEX(PARAMETROS_CULTURAS!$F$6:$F$28,$P1050)-INDEX(PARAMETROS_CULTURAS!$G$6:$G$28,$P1050)-INDEX(PARAMETROS_CULTURAS!$H$6:$H$28,$P1050))/MAX(INDEX(PARAMETROS_CULTURAS!$I$6:$I$28,$P1050),0.0001)))))</f>
        <v>1.15</v>
      </c>
      <c r="S1050" s="18" t="n">
        <f aca="false">IFERROR(INDEX(SEMANAS!$H$6:$H$71,MATCH($B1050,SEMANAS!$B$6:$B$71,0)),0)</f>
        <v>40.6</v>
      </c>
      <c r="T1050" s="18" t="n">
        <f aca="false">$R1050*$S1050</f>
        <v>46.69</v>
      </c>
      <c r="U1050" s="18" t="n">
        <f aca="false">IFERROR(INDEX(SEMANAS!$I$6:$I$71,MATCH($B1050,SEMANAS!$B$6:$B$71,0)),0)</f>
        <v>7</v>
      </c>
      <c r="V1050" s="18" t="n">
        <f aca="false">IFERROR(INDEX(SEMANAS!$J$6:$J$71,MATCH($B1050,SEMANAS!$B$6:$B$71,0)),0)</f>
        <v>5.6</v>
      </c>
      <c r="W1050" s="18" t="n">
        <f aca="false">MAX(0,$T1050-$V1050)</f>
        <v>41.09</v>
      </c>
      <c r="X1050" s="19" t="n">
        <f aca="false">IFERROR(INDEX(CADASTRO_PIVOS!$K$6:$K$41,MATCH($E1050,CADASTRO_PIVOS!$B$6:$B$41,0)),EFICIENCIA_PADRAO)</f>
        <v>0.85</v>
      </c>
      <c r="Y1050" s="18" t="n">
        <f aca="false">IF($X1050&lt;=0,0,$W1050/$X1050)</f>
        <v>48.3411764705882</v>
      </c>
      <c r="Z1050" s="16" t="n">
        <f aca="false">$Y1050*$H1050*MM_PARA_M3_HA</f>
        <v>48321.84</v>
      </c>
      <c r="AA1050" s="18" t="n">
        <f aca="false">IFERROR(INDEX(CADASTRO_PIVOS!$I$6:$I$41,MATCH($E1050,CADASTRO_PIVOS!$B$6:$B$41,0)),0)</f>
        <v>714</v>
      </c>
      <c r="AB1050" s="18" t="n">
        <f aca="false">IF($Z1050&lt;=0,0,$Z1050/$AA1050)</f>
        <v>67.6776470588235</v>
      </c>
      <c r="AC1050" s="16" t="n">
        <f aca="false">IFERROR(INDEX(SEMANAS!$K$6:$K$71,MATCH($B1050,SEMANAS!$B$6:$B$71,0)),0)</f>
        <v>147</v>
      </c>
      <c r="AD1050" s="19" t="n">
        <f aca="false">IF($AC1050&lt;=0,0,$AB1050/$AC1050)</f>
        <v>0.460392156862745</v>
      </c>
      <c r="AE1050" s="8" t="str">
        <f aca="false">IF($K1050="SEM CULTURA","SEM CULTURA",IF($AA1050&lt;=0,"DADO PENDENTE",IF($AD1050&gt;LIMITE_CRITICO,"INVIAVEL",IF($AD1050&gt;LIMITE_ATENCAO,"CRITICO",IF($AD1050&gt;LIMITE_CONFORTAVEL,"ATENCAO","OK")))))</f>
        <v>OK</v>
      </c>
      <c r="AF1050" s="8" t="str">
        <f aca="false">$B1050&amp;"|"&amp;TEXT($AD1050,"0.000000")</f>
        <v>55|0.460392</v>
      </c>
      <c r="AG1050" s="18" t="n">
        <f aca="false">IF($K1050="SEM CULTURA",0,$T1050*$H1050)</f>
        <v>4667.1324</v>
      </c>
      <c r="AH1050" s="18" t="n">
        <f aca="false">IF($K1050="SEM CULTURA",0,$V1050*$H1050)</f>
        <v>559.776</v>
      </c>
      <c r="AI1050" s="18" t="n">
        <f aca="false">IF($K1050="SEM CULTURA",0,$W1050*$H1050)</f>
        <v>4107.3564</v>
      </c>
      <c r="AJ1050" s="18" t="n">
        <f aca="false">IF($K1050="SEM CULTURA",0,$S1050*$H1050)</f>
        <v>4058.376</v>
      </c>
      <c r="AK1050" s="8" t="str">
        <f aca="false">$E1050&amp;"|"&amp;TEXT($AD1050,"0.000000")</f>
        <v>PV 132|0.460392</v>
      </c>
    </row>
    <row r="1051" customFormat="false" ht="15" hidden="false" customHeight="false" outlineLevel="0" collapsed="false">
      <c r="B1051" s="16" t="n">
        <v>56</v>
      </c>
      <c r="C1051" s="17" t="n">
        <f aca="false">DATA_INICIO_SAFRA+($B1051-1)*DIAS_POR_SEMANA</f>
        <v>46650</v>
      </c>
      <c r="D1051" s="17" t="n">
        <f aca="false">$C1051+DIAS_POR_SEMANA-1</f>
        <v>46656</v>
      </c>
      <c r="E1051" s="15" t="s">
        <v>274</v>
      </c>
      <c r="F1051" s="8" t="str">
        <f aca="false">IFERROR(INDEX(CADASTRO_PIVOS!$C$6:$C$41,MATCH($E1051,CADASTRO_PIVOS!$B$6:$B$41,0)),"?")</f>
        <v>RM05</v>
      </c>
      <c r="G1051" s="8" t="str">
        <f aca="false">IFERROR(INDEX(CADASTRO_PIVOS!$D$6:$D$41,MATCH($E1051,CADASTRO_PIVOS!$B$6:$B$41,0)),"?")</f>
        <v>TR05</v>
      </c>
      <c r="H1051" s="20" t="n">
        <f aca="false">IFERROR(INDEX(CADASTRO_PIVOS!$E$6:$E$41,MATCH($E1051,CADASTRO_PIVOS!$B$6:$B$41,0)),0)</f>
        <v>99.96</v>
      </c>
      <c r="I1051" s="16" t="n">
        <f aca="false">IFERROR(SUMIFS(ROTACAO_RDM!$B$6:$B$71,ROTACAO_RDM!$D$6:$D$71,$E1051,ROTACAO_RDM!$I$6:$I$71,"&lt;="&amp;$C1051+INT(DIAS_POR_SEMANA/2),ROTACAO_RDM!$J$6:$J$71,"&gt;="&amp;$C1051+INT(DIAS_POR_SEMANA/2)),0)</f>
        <v>64</v>
      </c>
      <c r="J1051" s="16" t="n">
        <f aca="false">IFERROR(MATCH($I1051,ROTACAO_RDM!$B$6:$B$71,0),0)</f>
        <v>64</v>
      </c>
      <c r="K1051" s="8" t="str">
        <f aca="false">IF($J1051=0,"SEM CULTURA",INDEX(ROTACAO_RDM!$F$6:$F$71,$J1051))</f>
        <v>MILHO_SEMENTE</v>
      </c>
      <c r="L1051" s="8" t="n">
        <f aca="false">IF($J1051=0,"",INDEX(ROTACAO_RDM!$G$6:$G$71,$J1051))</f>
        <v>0</v>
      </c>
      <c r="M1051" s="17" t="n">
        <f aca="false">IF($J1051=0,"",INDEX(ROTACAO_RDM!$I$6:$I$71,$J1051))</f>
        <v>46566</v>
      </c>
      <c r="N1051" s="16" t="n">
        <f aca="false">IF($J1051=0,0,MAX(0,$C1051+INT(DIAS_POR_SEMANA/2)-INDEX(ROTACAO_RDM!$I$6:$I$71,$J1051)))</f>
        <v>87</v>
      </c>
      <c r="O1051" s="19" t="n">
        <f aca="false">IF($J1051=0,0,MIN(1,$N1051/MAX(1,INDEX(ROTACAO_RDM!$K$6:$K$71,$J1051))))</f>
        <v>0.6</v>
      </c>
      <c r="P1051" s="16" t="n">
        <f aca="false">IF($J1051=0,0,IFERROR(MATCH(INDEX(ROTACAO_RDM!$N$6:$N$71,$J1051),PARAMETROS_CULTURAS!$B$6:$B$28,0),0))</f>
        <v>7</v>
      </c>
      <c r="Q1051" s="8" t="str">
        <f aca="false">IF($P1051=0,"-",IF($O1051&lt;=INDEX(PARAMETROS_CULTURAS!$F$6:$F$28,$P1051),"INICIAL",IF($O1051&lt;=INDEX(PARAMETROS_CULTURAS!$F$6:$F$28,$P1051)+INDEX(PARAMETROS_CULTURAS!$G$6:$G$28,$P1051),"DESENVOLVIMENTO",IF($O1051&lt;=INDEX(PARAMETROS_CULTURAS!$F$6:$F$28,$P1051)+INDEX(PARAMETROS_CULTURAS!$G$6:$G$28,$P1051)+INDEX(PARAMETROS_CULTURAS!$H$6:$H$28,$P1051),"MEDIA","FINAL"))))</f>
        <v>MEDIA</v>
      </c>
      <c r="R1051" s="24" t="n">
        <f aca="false">IF($P1051=0,0,IF($O1051&lt;=INDEX(PARAMETROS_CULTURAS!$F$6:$F$28,$P1051),INDEX(PARAMETROS_CULTURAS!$K$6:$K$28,$P1051),IF($O1051&lt;=INDEX(PARAMETROS_CULTURAS!$F$6:$F$28,$P1051)+INDEX(PARAMETROS_CULTURAS!$G$6:$G$28,$P1051),INDEX(PARAMETROS_CULTURAS!$K$6:$K$28,$P1051)+(INDEX(PARAMETROS_CULTURAS!$L$6:$L$28,$P1051)-INDEX(PARAMETROS_CULTURAS!$K$6:$K$28,$P1051))*($O1051-INDEX(PARAMETROS_CULTURAS!$F$6:$F$28,$P1051))/MAX(INDEX(PARAMETROS_CULTURAS!$G$6:$G$28,$P1051),0.0001),IF($O1051&lt;=INDEX(PARAMETROS_CULTURAS!$F$6:$F$28,$P1051)+INDEX(PARAMETROS_CULTURAS!$G$6:$G$28,$P1051)+INDEX(PARAMETROS_CULTURAS!$H$6:$H$28,$P1051),INDEX(PARAMETROS_CULTURAS!$L$6:$L$28,$P1051),INDEX(PARAMETROS_CULTURAS!$L$6:$L$28,$P1051)+(INDEX(PARAMETROS_CULTURAS!$M$6:$M$28,$P1051)-INDEX(PARAMETROS_CULTURAS!$L$6:$L$28,$P1051))*($O1051-INDEX(PARAMETROS_CULTURAS!$F$6:$F$28,$P1051)-INDEX(PARAMETROS_CULTURAS!$G$6:$G$28,$P1051)-INDEX(PARAMETROS_CULTURAS!$H$6:$H$28,$P1051))/MAX(INDEX(PARAMETROS_CULTURAS!$I$6:$I$28,$P1051),0.0001)))))</f>
        <v>1.15</v>
      </c>
      <c r="S1051" s="18" t="n">
        <f aca="false">IFERROR(INDEX(SEMANAS!$H$6:$H$71,MATCH($B1051,SEMANAS!$B$6:$B$71,0)),0)</f>
        <v>40.6</v>
      </c>
      <c r="T1051" s="18" t="n">
        <f aca="false">$R1051*$S1051</f>
        <v>46.69</v>
      </c>
      <c r="U1051" s="18" t="n">
        <f aca="false">IFERROR(INDEX(SEMANAS!$I$6:$I$71,MATCH($B1051,SEMANAS!$B$6:$B$71,0)),0)</f>
        <v>7</v>
      </c>
      <c r="V1051" s="18" t="n">
        <f aca="false">IFERROR(INDEX(SEMANAS!$J$6:$J$71,MATCH($B1051,SEMANAS!$B$6:$B$71,0)),0)</f>
        <v>5.6</v>
      </c>
      <c r="W1051" s="18" t="n">
        <f aca="false">MAX(0,$T1051-$V1051)</f>
        <v>41.09</v>
      </c>
      <c r="X1051" s="19" t="n">
        <f aca="false">IFERROR(INDEX(CADASTRO_PIVOS!$K$6:$K$41,MATCH($E1051,CADASTRO_PIVOS!$B$6:$B$41,0)),EFICIENCIA_PADRAO)</f>
        <v>0.85</v>
      </c>
      <c r="Y1051" s="18" t="n">
        <f aca="false">IF($X1051&lt;=0,0,$W1051/$X1051)</f>
        <v>48.3411764705882</v>
      </c>
      <c r="Z1051" s="16" t="n">
        <f aca="false">$Y1051*$H1051*MM_PARA_M3_HA</f>
        <v>48321.84</v>
      </c>
      <c r="AA1051" s="18" t="n">
        <f aca="false">IFERROR(INDEX(CADASTRO_PIVOS!$I$6:$I$41,MATCH($E1051,CADASTRO_PIVOS!$B$6:$B$41,0)),0)</f>
        <v>714</v>
      </c>
      <c r="AB1051" s="18" t="n">
        <f aca="false">IF($Z1051&lt;=0,0,$Z1051/$AA1051)</f>
        <v>67.6776470588235</v>
      </c>
      <c r="AC1051" s="16" t="n">
        <f aca="false">IFERROR(INDEX(SEMANAS!$K$6:$K$71,MATCH($B1051,SEMANAS!$B$6:$B$71,0)),0)</f>
        <v>147</v>
      </c>
      <c r="AD1051" s="19" t="n">
        <f aca="false">IF($AC1051&lt;=0,0,$AB1051/$AC1051)</f>
        <v>0.460392156862745</v>
      </c>
      <c r="AE1051" s="8" t="str">
        <f aca="false">IF($K1051="SEM CULTURA","SEM CULTURA",IF($AA1051&lt;=0,"DADO PENDENTE",IF($AD1051&gt;LIMITE_CRITICO,"INVIAVEL",IF($AD1051&gt;LIMITE_ATENCAO,"CRITICO",IF($AD1051&gt;LIMITE_CONFORTAVEL,"ATENCAO","OK")))))</f>
        <v>OK</v>
      </c>
      <c r="AF1051" s="8" t="str">
        <f aca="false">$B1051&amp;"|"&amp;TEXT($AD1051,"0.000000")</f>
        <v>56|0.460392</v>
      </c>
      <c r="AG1051" s="18" t="n">
        <f aca="false">IF($K1051="SEM CULTURA",0,$T1051*$H1051)</f>
        <v>4667.1324</v>
      </c>
      <c r="AH1051" s="18" t="n">
        <f aca="false">IF($K1051="SEM CULTURA",0,$V1051*$H1051)</f>
        <v>559.776</v>
      </c>
      <c r="AI1051" s="18" t="n">
        <f aca="false">IF($K1051="SEM CULTURA",0,$W1051*$H1051)</f>
        <v>4107.3564</v>
      </c>
      <c r="AJ1051" s="18" t="n">
        <f aca="false">IF($K1051="SEM CULTURA",0,$S1051*$H1051)</f>
        <v>4058.376</v>
      </c>
      <c r="AK1051" s="8" t="str">
        <f aca="false">$E1051&amp;"|"&amp;TEXT($AD1051,"0.000000")</f>
        <v>PV 132|0.460392</v>
      </c>
    </row>
    <row r="1052" customFormat="false" ht="15" hidden="false" customHeight="false" outlineLevel="0" collapsed="false">
      <c r="B1052" s="16" t="n">
        <v>57</v>
      </c>
      <c r="C1052" s="17" t="n">
        <f aca="false">DATA_INICIO_SAFRA+($B1052-1)*DIAS_POR_SEMANA</f>
        <v>46657</v>
      </c>
      <c r="D1052" s="17" t="n">
        <f aca="false">$C1052+DIAS_POR_SEMANA-1</f>
        <v>46663</v>
      </c>
      <c r="E1052" s="15" t="s">
        <v>274</v>
      </c>
      <c r="F1052" s="8" t="str">
        <f aca="false">IFERROR(INDEX(CADASTRO_PIVOS!$C$6:$C$41,MATCH($E1052,CADASTRO_PIVOS!$B$6:$B$41,0)),"?")</f>
        <v>RM05</v>
      </c>
      <c r="G1052" s="8" t="str">
        <f aca="false">IFERROR(INDEX(CADASTRO_PIVOS!$D$6:$D$41,MATCH($E1052,CADASTRO_PIVOS!$B$6:$B$41,0)),"?")</f>
        <v>TR05</v>
      </c>
      <c r="H1052" s="20" t="n">
        <f aca="false">IFERROR(INDEX(CADASTRO_PIVOS!$E$6:$E$41,MATCH($E1052,CADASTRO_PIVOS!$B$6:$B$41,0)),0)</f>
        <v>99.96</v>
      </c>
      <c r="I1052" s="16" t="n">
        <f aca="false">IFERROR(SUMIFS(ROTACAO_RDM!$B$6:$B$71,ROTACAO_RDM!$D$6:$D$71,$E1052,ROTACAO_RDM!$I$6:$I$71,"&lt;="&amp;$C1052+INT(DIAS_POR_SEMANA/2),ROTACAO_RDM!$J$6:$J$71,"&gt;="&amp;$C1052+INT(DIAS_POR_SEMANA/2)),0)</f>
        <v>64</v>
      </c>
      <c r="J1052" s="16" t="n">
        <f aca="false">IFERROR(MATCH($I1052,ROTACAO_RDM!$B$6:$B$71,0),0)</f>
        <v>64</v>
      </c>
      <c r="K1052" s="8" t="str">
        <f aca="false">IF($J1052=0,"SEM CULTURA",INDEX(ROTACAO_RDM!$F$6:$F$71,$J1052))</f>
        <v>MILHO_SEMENTE</v>
      </c>
      <c r="L1052" s="8" t="n">
        <f aca="false">IF($J1052=0,"",INDEX(ROTACAO_RDM!$G$6:$G$71,$J1052))</f>
        <v>0</v>
      </c>
      <c r="M1052" s="17" t="n">
        <f aca="false">IF($J1052=0,"",INDEX(ROTACAO_RDM!$I$6:$I$71,$J1052))</f>
        <v>46566</v>
      </c>
      <c r="N1052" s="16" t="n">
        <f aca="false">IF($J1052=0,0,MAX(0,$C1052+INT(DIAS_POR_SEMANA/2)-INDEX(ROTACAO_RDM!$I$6:$I$71,$J1052)))</f>
        <v>94</v>
      </c>
      <c r="O1052" s="19" t="n">
        <f aca="false">IF($J1052=0,0,MIN(1,$N1052/MAX(1,INDEX(ROTACAO_RDM!$K$6:$K$71,$J1052))))</f>
        <v>0.648275862068966</v>
      </c>
      <c r="P1052" s="16" t="n">
        <f aca="false">IF($J1052=0,0,IFERROR(MATCH(INDEX(ROTACAO_RDM!$N$6:$N$71,$J1052),PARAMETROS_CULTURAS!$B$6:$B$28,0),0))</f>
        <v>7</v>
      </c>
      <c r="Q1052" s="8" t="str">
        <f aca="false">IF($P1052=0,"-",IF($O1052&lt;=INDEX(PARAMETROS_CULTURAS!$F$6:$F$28,$P1052),"INICIAL",IF($O1052&lt;=INDEX(PARAMETROS_CULTURAS!$F$6:$F$28,$P1052)+INDEX(PARAMETROS_CULTURAS!$G$6:$G$28,$P1052),"DESENVOLVIMENTO",IF($O1052&lt;=INDEX(PARAMETROS_CULTURAS!$F$6:$F$28,$P1052)+INDEX(PARAMETROS_CULTURAS!$G$6:$G$28,$P1052)+INDEX(PARAMETROS_CULTURAS!$H$6:$H$28,$P1052),"MEDIA","FINAL"))))</f>
        <v>MEDIA</v>
      </c>
      <c r="R1052" s="24" t="n">
        <f aca="false">IF($P1052=0,0,IF($O1052&lt;=INDEX(PARAMETROS_CULTURAS!$F$6:$F$28,$P1052),INDEX(PARAMETROS_CULTURAS!$K$6:$K$28,$P1052),IF($O1052&lt;=INDEX(PARAMETROS_CULTURAS!$F$6:$F$28,$P1052)+INDEX(PARAMETROS_CULTURAS!$G$6:$G$28,$P1052),INDEX(PARAMETROS_CULTURAS!$K$6:$K$28,$P1052)+(INDEX(PARAMETROS_CULTURAS!$L$6:$L$28,$P1052)-INDEX(PARAMETROS_CULTURAS!$K$6:$K$28,$P1052))*($O1052-INDEX(PARAMETROS_CULTURAS!$F$6:$F$28,$P1052))/MAX(INDEX(PARAMETROS_CULTURAS!$G$6:$G$28,$P1052),0.0001),IF($O1052&lt;=INDEX(PARAMETROS_CULTURAS!$F$6:$F$28,$P1052)+INDEX(PARAMETROS_CULTURAS!$G$6:$G$28,$P1052)+INDEX(PARAMETROS_CULTURAS!$H$6:$H$28,$P1052),INDEX(PARAMETROS_CULTURAS!$L$6:$L$28,$P1052),INDEX(PARAMETROS_CULTURAS!$L$6:$L$28,$P1052)+(INDEX(PARAMETROS_CULTURAS!$M$6:$M$28,$P1052)-INDEX(PARAMETROS_CULTURAS!$L$6:$L$28,$P1052))*($O1052-INDEX(PARAMETROS_CULTURAS!$F$6:$F$28,$P1052)-INDEX(PARAMETROS_CULTURAS!$G$6:$G$28,$P1052)-INDEX(PARAMETROS_CULTURAS!$H$6:$H$28,$P1052))/MAX(INDEX(PARAMETROS_CULTURAS!$I$6:$I$28,$P1052),0.0001)))))</f>
        <v>1.15</v>
      </c>
      <c r="S1052" s="18" t="n">
        <f aca="false">IFERROR(INDEX(SEMANAS!$H$6:$H$71,MATCH($B1052,SEMANAS!$B$6:$B$71,0)),0)</f>
        <v>40</v>
      </c>
      <c r="T1052" s="18" t="n">
        <f aca="false">$R1052*$S1052</f>
        <v>46</v>
      </c>
      <c r="U1052" s="18" t="n">
        <f aca="false">IFERROR(INDEX(SEMANAS!$I$6:$I$71,MATCH($B1052,SEMANAS!$B$6:$B$71,0)),0)</f>
        <v>15.61</v>
      </c>
      <c r="V1052" s="18" t="n">
        <f aca="false">IFERROR(INDEX(SEMANAS!$J$6:$J$71,MATCH($B1052,SEMANAS!$B$6:$B$71,0)),0)</f>
        <v>12.488</v>
      </c>
      <c r="W1052" s="18" t="n">
        <f aca="false">MAX(0,$T1052-$V1052)</f>
        <v>33.512</v>
      </c>
      <c r="X1052" s="19" t="n">
        <f aca="false">IFERROR(INDEX(CADASTRO_PIVOS!$K$6:$K$41,MATCH($E1052,CADASTRO_PIVOS!$B$6:$B$41,0)),EFICIENCIA_PADRAO)</f>
        <v>0.85</v>
      </c>
      <c r="Y1052" s="18" t="n">
        <f aca="false">IF($X1052&lt;=0,0,$W1052/$X1052)</f>
        <v>39.4258823529412</v>
      </c>
      <c r="Z1052" s="16" t="n">
        <f aca="false">$Y1052*$H1052*MM_PARA_M3_HA</f>
        <v>39410.112</v>
      </c>
      <c r="AA1052" s="18" t="n">
        <f aca="false">IFERROR(INDEX(CADASTRO_PIVOS!$I$6:$I$41,MATCH($E1052,CADASTRO_PIVOS!$B$6:$B$41,0)),0)</f>
        <v>714</v>
      </c>
      <c r="AB1052" s="18" t="n">
        <f aca="false">IF($Z1052&lt;=0,0,$Z1052/$AA1052)</f>
        <v>55.1962352941177</v>
      </c>
      <c r="AC1052" s="16" t="n">
        <f aca="false">IFERROR(INDEX(SEMANAS!$K$6:$K$71,MATCH($B1052,SEMANAS!$B$6:$B$71,0)),0)</f>
        <v>147</v>
      </c>
      <c r="AD1052" s="19" t="n">
        <f aca="false">IF($AC1052&lt;=0,0,$AB1052/$AC1052)</f>
        <v>0.375484593837535</v>
      </c>
      <c r="AE1052" s="8" t="str">
        <f aca="false">IF($K1052="SEM CULTURA","SEM CULTURA",IF($AA1052&lt;=0,"DADO PENDENTE",IF($AD1052&gt;LIMITE_CRITICO,"INVIAVEL",IF($AD1052&gt;LIMITE_ATENCAO,"CRITICO",IF($AD1052&gt;LIMITE_CONFORTAVEL,"ATENCAO","OK")))))</f>
        <v>OK</v>
      </c>
      <c r="AF1052" s="8" t="str">
        <f aca="false">$B1052&amp;"|"&amp;TEXT($AD1052,"0.000000")</f>
        <v>57|0.375485</v>
      </c>
      <c r="AG1052" s="18" t="n">
        <f aca="false">IF($K1052="SEM CULTURA",0,$T1052*$H1052)</f>
        <v>4598.16</v>
      </c>
      <c r="AH1052" s="18" t="n">
        <f aca="false">IF($K1052="SEM CULTURA",0,$V1052*$H1052)</f>
        <v>1248.30048</v>
      </c>
      <c r="AI1052" s="18" t="n">
        <f aca="false">IF($K1052="SEM CULTURA",0,$W1052*$H1052)</f>
        <v>3349.85952</v>
      </c>
      <c r="AJ1052" s="18" t="n">
        <f aca="false">IF($K1052="SEM CULTURA",0,$S1052*$H1052)</f>
        <v>3998.4</v>
      </c>
      <c r="AK1052" s="8" t="str">
        <f aca="false">$E1052&amp;"|"&amp;TEXT($AD1052,"0.000000")</f>
        <v>PV 132|0.375485</v>
      </c>
    </row>
    <row r="1053" customFormat="false" ht="15" hidden="false" customHeight="false" outlineLevel="0" collapsed="false">
      <c r="B1053" s="16" t="n">
        <v>58</v>
      </c>
      <c r="C1053" s="17" t="n">
        <f aca="false">DATA_INICIO_SAFRA+($B1053-1)*DIAS_POR_SEMANA</f>
        <v>46664</v>
      </c>
      <c r="D1053" s="17" t="n">
        <f aca="false">$C1053+DIAS_POR_SEMANA-1</f>
        <v>46670</v>
      </c>
      <c r="E1053" s="15" t="s">
        <v>274</v>
      </c>
      <c r="F1053" s="8" t="str">
        <f aca="false">IFERROR(INDEX(CADASTRO_PIVOS!$C$6:$C$41,MATCH($E1053,CADASTRO_PIVOS!$B$6:$B$41,0)),"?")</f>
        <v>RM05</v>
      </c>
      <c r="G1053" s="8" t="str">
        <f aca="false">IFERROR(INDEX(CADASTRO_PIVOS!$D$6:$D$41,MATCH($E1053,CADASTRO_PIVOS!$B$6:$B$41,0)),"?")</f>
        <v>TR05</v>
      </c>
      <c r="H1053" s="20" t="n">
        <f aca="false">IFERROR(INDEX(CADASTRO_PIVOS!$E$6:$E$41,MATCH($E1053,CADASTRO_PIVOS!$B$6:$B$41,0)),0)</f>
        <v>99.96</v>
      </c>
      <c r="I1053" s="16" t="n">
        <f aca="false">IFERROR(SUMIFS(ROTACAO_RDM!$B$6:$B$71,ROTACAO_RDM!$D$6:$D$71,$E1053,ROTACAO_RDM!$I$6:$I$71,"&lt;="&amp;$C1053+INT(DIAS_POR_SEMANA/2),ROTACAO_RDM!$J$6:$J$71,"&gt;="&amp;$C1053+INT(DIAS_POR_SEMANA/2)),0)</f>
        <v>64</v>
      </c>
      <c r="J1053" s="16" t="n">
        <f aca="false">IFERROR(MATCH($I1053,ROTACAO_RDM!$B$6:$B$71,0),0)</f>
        <v>64</v>
      </c>
      <c r="K1053" s="8" t="str">
        <f aca="false">IF($J1053=0,"SEM CULTURA",INDEX(ROTACAO_RDM!$F$6:$F$71,$J1053))</f>
        <v>MILHO_SEMENTE</v>
      </c>
      <c r="L1053" s="8" t="n">
        <f aca="false">IF($J1053=0,"",INDEX(ROTACAO_RDM!$G$6:$G$71,$J1053))</f>
        <v>0</v>
      </c>
      <c r="M1053" s="17" t="n">
        <f aca="false">IF($J1053=0,"",INDEX(ROTACAO_RDM!$I$6:$I$71,$J1053))</f>
        <v>46566</v>
      </c>
      <c r="N1053" s="16" t="n">
        <f aca="false">IF($J1053=0,0,MAX(0,$C1053+INT(DIAS_POR_SEMANA/2)-INDEX(ROTACAO_RDM!$I$6:$I$71,$J1053)))</f>
        <v>101</v>
      </c>
      <c r="O1053" s="19" t="n">
        <f aca="false">IF($J1053=0,0,MIN(1,$N1053/MAX(1,INDEX(ROTACAO_RDM!$K$6:$K$71,$J1053))))</f>
        <v>0.696551724137931</v>
      </c>
      <c r="P1053" s="16" t="n">
        <f aca="false">IF($J1053=0,0,IFERROR(MATCH(INDEX(ROTACAO_RDM!$N$6:$N$71,$J1053),PARAMETROS_CULTURAS!$B$6:$B$28,0),0))</f>
        <v>7</v>
      </c>
      <c r="Q1053" s="8" t="str">
        <f aca="false">IF($P1053=0,"-",IF($O1053&lt;=INDEX(PARAMETROS_CULTURAS!$F$6:$F$28,$P1053),"INICIAL",IF($O1053&lt;=INDEX(PARAMETROS_CULTURAS!$F$6:$F$28,$P1053)+INDEX(PARAMETROS_CULTURAS!$G$6:$G$28,$P1053),"DESENVOLVIMENTO",IF($O1053&lt;=INDEX(PARAMETROS_CULTURAS!$F$6:$F$28,$P1053)+INDEX(PARAMETROS_CULTURAS!$G$6:$G$28,$P1053)+INDEX(PARAMETROS_CULTURAS!$H$6:$H$28,$P1053),"MEDIA","FINAL"))))</f>
        <v>MEDIA</v>
      </c>
      <c r="R1053" s="24" t="n">
        <f aca="false">IF($P1053=0,0,IF($O1053&lt;=INDEX(PARAMETROS_CULTURAS!$F$6:$F$28,$P1053),INDEX(PARAMETROS_CULTURAS!$K$6:$K$28,$P1053),IF($O1053&lt;=INDEX(PARAMETROS_CULTURAS!$F$6:$F$28,$P1053)+INDEX(PARAMETROS_CULTURAS!$G$6:$G$28,$P1053),INDEX(PARAMETROS_CULTURAS!$K$6:$K$28,$P1053)+(INDEX(PARAMETROS_CULTURAS!$L$6:$L$28,$P1053)-INDEX(PARAMETROS_CULTURAS!$K$6:$K$28,$P1053))*($O1053-INDEX(PARAMETROS_CULTURAS!$F$6:$F$28,$P1053))/MAX(INDEX(PARAMETROS_CULTURAS!$G$6:$G$28,$P1053),0.0001),IF($O1053&lt;=INDEX(PARAMETROS_CULTURAS!$F$6:$F$28,$P1053)+INDEX(PARAMETROS_CULTURAS!$G$6:$G$28,$P1053)+INDEX(PARAMETROS_CULTURAS!$H$6:$H$28,$P1053),INDEX(PARAMETROS_CULTURAS!$L$6:$L$28,$P1053),INDEX(PARAMETROS_CULTURAS!$L$6:$L$28,$P1053)+(INDEX(PARAMETROS_CULTURAS!$M$6:$M$28,$P1053)-INDEX(PARAMETROS_CULTURAS!$L$6:$L$28,$P1053))*($O1053-INDEX(PARAMETROS_CULTURAS!$F$6:$F$28,$P1053)-INDEX(PARAMETROS_CULTURAS!$G$6:$G$28,$P1053)-INDEX(PARAMETROS_CULTURAS!$H$6:$H$28,$P1053))/MAX(INDEX(PARAMETROS_CULTURAS!$I$6:$I$28,$P1053),0.0001)))))</f>
        <v>1.15</v>
      </c>
      <c r="S1053" s="18" t="n">
        <f aca="false">IFERROR(INDEX(SEMANAS!$H$6:$H$71,MATCH($B1053,SEMANAS!$B$6:$B$71,0)),0)</f>
        <v>39.2</v>
      </c>
      <c r="T1053" s="18" t="n">
        <f aca="false">$R1053*$S1053</f>
        <v>45.08</v>
      </c>
      <c r="U1053" s="18" t="n">
        <f aca="false">IFERROR(INDEX(SEMANAS!$I$6:$I$71,MATCH($B1053,SEMANAS!$B$6:$B$71,0)),0)</f>
        <v>27.09</v>
      </c>
      <c r="V1053" s="18" t="n">
        <f aca="false">IFERROR(INDEX(SEMANAS!$J$6:$J$71,MATCH($B1053,SEMANAS!$B$6:$B$71,0)),0)</f>
        <v>21.672</v>
      </c>
      <c r="W1053" s="18" t="n">
        <f aca="false">MAX(0,$T1053-$V1053)</f>
        <v>23.408</v>
      </c>
      <c r="X1053" s="19" t="n">
        <f aca="false">IFERROR(INDEX(CADASTRO_PIVOS!$K$6:$K$41,MATCH($E1053,CADASTRO_PIVOS!$B$6:$B$41,0)),EFICIENCIA_PADRAO)</f>
        <v>0.85</v>
      </c>
      <c r="Y1053" s="18" t="n">
        <f aca="false">IF($X1053&lt;=0,0,$W1053/$X1053)</f>
        <v>27.5388235294118</v>
      </c>
      <c r="Z1053" s="16" t="n">
        <f aca="false">$Y1053*$H1053*MM_PARA_M3_HA</f>
        <v>27527.808</v>
      </c>
      <c r="AA1053" s="18" t="n">
        <f aca="false">IFERROR(INDEX(CADASTRO_PIVOS!$I$6:$I$41,MATCH($E1053,CADASTRO_PIVOS!$B$6:$B$41,0)),0)</f>
        <v>714</v>
      </c>
      <c r="AB1053" s="18" t="n">
        <f aca="false">IF($Z1053&lt;=0,0,$Z1053/$AA1053)</f>
        <v>38.5543529411765</v>
      </c>
      <c r="AC1053" s="16" t="n">
        <f aca="false">IFERROR(INDEX(SEMANAS!$K$6:$K$71,MATCH($B1053,SEMANAS!$B$6:$B$71,0)),0)</f>
        <v>147</v>
      </c>
      <c r="AD1053" s="19" t="n">
        <f aca="false">IF($AC1053&lt;=0,0,$AB1053/$AC1053)</f>
        <v>0.262274509803922</v>
      </c>
      <c r="AE1053" s="8" t="str">
        <f aca="false">IF($K1053="SEM CULTURA","SEM CULTURA",IF($AA1053&lt;=0,"DADO PENDENTE",IF($AD1053&gt;LIMITE_CRITICO,"INVIAVEL",IF($AD1053&gt;LIMITE_ATENCAO,"CRITICO",IF($AD1053&gt;LIMITE_CONFORTAVEL,"ATENCAO","OK")))))</f>
        <v>OK</v>
      </c>
      <c r="AF1053" s="8" t="str">
        <f aca="false">$B1053&amp;"|"&amp;TEXT($AD1053,"0.000000")</f>
        <v>58|0.262275</v>
      </c>
      <c r="AG1053" s="18" t="n">
        <f aca="false">IF($K1053="SEM CULTURA",0,$T1053*$H1053)</f>
        <v>4506.1968</v>
      </c>
      <c r="AH1053" s="18" t="n">
        <f aca="false">IF($K1053="SEM CULTURA",0,$V1053*$H1053)</f>
        <v>2166.33312</v>
      </c>
      <c r="AI1053" s="18" t="n">
        <f aca="false">IF($K1053="SEM CULTURA",0,$W1053*$H1053)</f>
        <v>2339.86368</v>
      </c>
      <c r="AJ1053" s="18" t="n">
        <f aca="false">IF($K1053="SEM CULTURA",0,$S1053*$H1053)</f>
        <v>3918.432</v>
      </c>
      <c r="AK1053" s="8" t="str">
        <f aca="false">$E1053&amp;"|"&amp;TEXT($AD1053,"0.000000")</f>
        <v>PV 132|0.262275</v>
      </c>
    </row>
    <row r="1054" customFormat="false" ht="15" hidden="false" customHeight="false" outlineLevel="0" collapsed="false">
      <c r="B1054" s="16" t="n">
        <v>59</v>
      </c>
      <c r="C1054" s="17" t="n">
        <f aca="false">DATA_INICIO_SAFRA+($B1054-1)*DIAS_POR_SEMANA</f>
        <v>46671</v>
      </c>
      <c r="D1054" s="17" t="n">
        <f aca="false">$C1054+DIAS_POR_SEMANA-1</f>
        <v>46677</v>
      </c>
      <c r="E1054" s="15" t="s">
        <v>274</v>
      </c>
      <c r="F1054" s="8" t="str">
        <f aca="false">IFERROR(INDEX(CADASTRO_PIVOS!$C$6:$C$41,MATCH($E1054,CADASTRO_PIVOS!$B$6:$B$41,0)),"?")</f>
        <v>RM05</v>
      </c>
      <c r="G1054" s="8" t="str">
        <f aca="false">IFERROR(INDEX(CADASTRO_PIVOS!$D$6:$D$41,MATCH($E1054,CADASTRO_PIVOS!$B$6:$B$41,0)),"?")</f>
        <v>TR05</v>
      </c>
      <c r="H1054" s="20" t="n">
        <f aca="false">IFERROR(INDEX(CADASTRO_PIVOS!$E$6:$E$41,MATCH($E1054,CADASTRO_PIVOS!$B$6:$B$41,0)),0)</f>
        <v>99.96</v>
      </c>
      <c r="I1054" s="16" t="n">
        <f aca="false">IFERROR(SUMIFS(ROTACAO_RDM!$B$6:$B$71,ROTACAO_RDM!$D$6:$D$71,$E1054,ROTACAO_RDM!$I$6:$I$71,"&lt;="&amp;$C1054+INT(DIAS_POR_SEMANA/2),ROTACAO_RDM!$J$6:$J$71,"&gt;="&amp;$C1054+INT(DIAS_POR_SEMANA/2)),0)</f>
        <v>64</v>
      </c>
      <c r="J1054" s="16" t="n">
        <f aca="false">IFERROR(MATCH($I1054,ROTACAO_RDM!$B$6:$B$71,0),0)</f>
        <v>64</v>
      </c>
      <c r="K1054" s="8" t="str">
        <f aca="false">IF($J1054=0,"SEM CULTURA",INDEX(ROTACAO_RDM!$F$6:$F$71,$J1054))</f>
        <v>MILHO_SEMENTE</v>
      </c>
      <c r="L1054" s="8" t="n">
        <f aca="false">IF($J1054=0,"",INDEX(ROTACAO_RDM!$G$6:$G$71,$J1054))</f>
        <v>0</v>
      </c>
      <c r="M1054" s="17" t="n">
        <f aca="false">IF($J1054=0,"",INDEX(ROTACAO_RDM!$I$6:$I$71,$J1054))</f>
        <v>46566</v>
      </c>
      <c r="N1054" s="16" t="n">
        <f aca="false">IF($J1054=0,0,MAX(0,$C1054+INT(DIAS_POR_SEMANA/2)-INDEX(ROTACAO_RDM!$I$6:$I$71,$J1054)))</f>
        <v>108</v>
      </c>
      <c r="O1054" s="19" t="n">
        <f aca="false">IF($J1054=0,0,MIN(1,$N1054/MAX(1,INDEX(ROTACAO_RDM!$K$6:$K$71,$J1054))))</f>
        <v>0.744827586206897</v>
      </c>
      <c r="P1054" s="16" t="n">
        <f aca="false">IF($J1054=0,0,IFERROR(MATCH(INDEX(ROTACAO_RDM!$N$6:$N$71,$J1054),PARAMETROS_CULTURAS!$B$6:$B$28,0),0))</f>
        <v>7</v>
      </c>
      <c r="Q1054" s="8" t="str">
        <f aca="false">IF($P1054=0,"-",IF($O1054&lt;=INDEX(PARAMETROS_CULTURAS!$F$6:$F$28,$P1054),"INICIAL",IF($O1054&lt;=INDEX(PARAMETROS_CULTURAS!$F$6:$F$28,$P1054)+INDEX(PARAMETROS_CULTURAS!$G$6:$G$28,$P1054),"DESENVOLVIMENTO",IF($O1054&lt;=INDEX(PARAMETROS_CULTURAS!$F$6:$F$28,$P1054)+INDEX(PARAMETROS_CULTURAS!$G$6:$G$28,$P1054)+INDEX(PARAMETROS_CULTURAS!$H$6:$H$28,$P1054),"MEDIA","FINAL"))))</f>
        <v>MEDIA</v>
      </c>
      <c r="R1054" s="24" t="n">
        <f aca="false">IF($P1054=0,0,IF($O1054&lt;=INDEX(PARAMETROS_CULTURAS!$F$6:$F$28,$P1054),INDEX(PARAMETROS_CULTURAS!$K$6:$K$28,$P1054),IF($O1054&lt;=INDEX(PARAMETROS_CULTURAS!$F$6:$F$28,$P1054)+INDEX(PARAMETROS_CULTURAS!$G$6:$G$28,$P1054),INDEX(PARAMETROS_CULTURAS!$K$6:$K$28,$P1054)+(INDEX(PARAMETROS_CULTURAS!$L$6:$L$28,$P1054)-INDEX(PARAMETROS_CULTURAS!$K$6:$K$28,$P1054))*($O1054-INDEX(PARAMETROS_CULTURAS!$F$6:$F$28,$P1054))/MAX(INDEX(PARAMETROS_CULTURAS!$G$6:$G$28,$P1054),0.0001),IF($O1054&lt;=INDEX(PARAMETROS_CULTURAS!$F$6:$F$28,$P1054)+INDEX(PARAMETROS_CULTURAS!$G$6:$G$28,$P1054)+INDEX(PARAMETROS_CULTURAS!$H$6:$H$28,$P1054),INDEX(PARAMETROS_CULTURAS!$L$6:$L$28,$P1054),INDEX(PARAMETROS_CULTURAS!$L$6:$L$28,$P1054)+(INDEX(PARAMETROS_CULTURAS!$M$6:$M$28,$P1054)-INDEX(PARAMETROS_CULTURAS!$L$6:$L$28,$P1054))*($O1054-INDEX(PARAMETROS_CULTURAS!$F$6:$F$28,$P1054)-INDEX(PARAMETROS_CULTURAS!$G$6:$G$28,$P1054)-INDEX(PARAMETROS_CULTURAS!$H$6:$H$28,$P1054))/MAX(INDEX(PARAMETROS_CULTURAS!$I$6:$I$28,$P1054),0.0001)))))</f>
        <v>1.15</v>
      </c>
      <c r="S1054" s="18" t="n">
        <f aca="false">IFERROR(INDEX(SEMANAS!$H$6:$H$71,MATCH($B1054,SEMANAS!$B$6:$B$71,0)),0)</f>
        <v>39.2</v>
      </c>
      <c r="T1054" s="18" t="n">
        <f aca="false">$R1054*$S1054</f>
        <v>45.08</v>
      </c>
      <c r="U1054" s="18" t="n">
        <f aca="false">IFERROR(INDEX(SEMANAS!$I$6:$I$71,MATCH($B1054,SEMANAS!$B$6:$B$71,0)),0)</f>
        <v>27.09</v>
      </c>
      <c r="V1054" s="18" t="n">
        <f aca="false">IFERROR(INDEX(SEMANAS!$J$6:$J$71,MATCH($B1054,SEMANAS!$B$6:$B$71,0)),0)</f>
        <v>21.672</v>
      </c>
      <c r="W1054" s="18" t="n">
        <f aca="false">MAX(0,$T1054-$V1054)</f>
        <v>23.408</v>
      </c>
      <c r="X1054" s="19" t="n">
        <f aca="false">IFERROR(INDEX(CADASTRO_PIVOS!$K$6:$K$41,MATCH($E1054,CADASTRO_PIVOS!$B$6:$B$41,0)),EFICIENCIA_PADRAO)</f>
        <v>0.85</v>
      </c>
      <c r="Y1054" s="18" t="n">
        <f aca="false">IF($X1054&lt;=0,0,$W1054/$X1054)</f>
        <v>27.5388235294118</v>
      </c>
      <c r="Z1054" s="16" t="n">
        <f aca="false">$Y1054*$H1054*MM_PARA_M3_HA</f>
        <v>27527.808</v>
      </c>
      <c r="AA1054" s="18" t="n">
        <f aca="false">IFERROR(INDEX(CADASTRO_PIVOS!$I$6:$I$41,MATCH($E1054,CADASTRO_PIVOS!$B$6:$B$41,0)),0)</f>
        <v>714</v>
      </c>
      <c r="AB1054" s="18" t="n">
        <f aca="false">IF($Z1054&lt;=0,0,$Z1054/$AA1054)</f>
        <v>38.5543529411765</v>
      </c>
      <c r="AC1054" s="16" t="n">
        <f aca="false">IFERROR(INDEX(SEMANAS!$K$6:$K$71,MATCH($B1054,SEMANAS!$B$6:$B$71,0)),0)</f>
        <v>147</v>
      </c>
      <c r="AD1054" s="19" t="n">
        <f aca="false">IF($AC1054&lt;=0,0,$AB1054/$AC1054)</f>
        <v>0.262274509803922</v>
      </c>
      <c r="AE1054" s="8" t="str">
        <f aca="false">IF($K1054="SEM CULTURA","SEM CULTURA",IF($AA1054&lt;=0,"DADO PENDENTE",IF($AD1054&gt;LIMITE_CRITICO,"INVIAVEL",IF($AD1054&gt;LIMITE_ATENCAO,"CRITICO",IF($AD1054&gt;LIMITE_CONFORTAVEL,"ATENCAO","OK")))))</f>
        <v>OK</v>
      </c>
      <c r="AF1054" s="8" t="str">
        <f aca="false">$B1054&amp;"|"&amp;TEXT($AD1054,"0.000000")</f>
        <v>59|0.262275</v>
      </c>
      <c r="AG1054" s="18" t="n">
        <f aca="false">IF($K1054="SEM CULTURA",0,$T1054*$H1054)</f>
        <v>4506.1968</v>
      </c>
      <c r="AH1054" s="18" t="n">
        <f aca="false">IF($K1054="SEM CULTURA",0,$V1054*$H1054)</f>
        <v>2166.33312</v>
      </c>
      <c r="AI1054" s="18" t="n">
        <f aca="false">IF($K1054="SEM CULTURA",0,$W1054*$H1054)</f>
        <v>2339.86368</v>
      </c>
      <c r="AJ1054" s="18" t="n">
        <f aca="false">IF($K1054="SEM CULTURA",0,$S1054*$H1054)</f>
        <v>3918.432</v>
      </c>
      <c r="AK1054" s="8" t="str">
        <f aca="false">$E1054&amp;"|"&amp;TEXT($AD1054,"0.000000")</f>
        <v>PV 132|0.262275</v>
      </c>
    </row>
    <row r="1055" customFormat="false" ht="15" hidden="false" customHeight="false" outlineLevel="0" collapsed="false">
      <c r="B1055" s="16" t="n">
        <v>60</v>
      </c>
      <c r="C1055" s="17" t="n">
        <f aca="false">DATA_INICIO_SAFRA+($B1055-1)*DIAS_POR_SEMANA</f>
        <v>46678</v>
      </c>
      <c r="D1055" s="17" t="n">
        <f aca="false">$C1055+DIAS_POR_SEMANA-1</f>
        <v>46684</v>
      </c>
      <c r="E1055" s="15" t="s">
        <v>274</v>
      </c>
      <c r="F1055" s="8" t="str">
        <f aca="false">IFERROR(INDEX(CADASTRO_PIVOS!$C$6:$C$41,MATCH($E1055,CADASTRO_PIVOS!$B$6:$B$41,0)),"?")</f>
        <v>RM05</v>
      </c>
      <c r="G1055" s="8" t="str">
        <f aca="false">IFERROR(INDEX(CADASTRO_PIVOS!$D$6:$D$41,MATCH($E1055,CADASTRO_PIVOS!$B$6:$B$41,0)),"?")</f>
        <v>TR05</v>
      </c>
      <c r="H1055" s="20" t="n">
        <f aca="false">IFERROR(INDEX(CADASTRO_PIVOS!$E$6:$E$41,MATCH($E1055,CADASTRO_PIVOS!$B$6:$B$41,0)),0)</f>
        <v>99.96</v>
      </c>
      <c r="I1055" s="16" t="n">
        <f aca="false">IFERROR(SUMIFS(ROTACAO_RDM!$B$6:$B$71,ROTACAO_RDM!$D$6:$D$71,$E1055,ROTACAO_RDM!$I$6:$I$71,"&lt;="&amp;$C1055+INT(DIAS_POR_SEMANA/2),ROTACAO_RDM!$J$6:$J$71,"&gt;="&amp;$C1055+INT(DIAS_POR_SEMANA/2)),0)</f>
        <v>64</v>
      </c>
      <c r="J1055" s="16" t="n">
        <f aca="false">IFERROR(MATCH($I1055,ROTACAO_RDM!$B$6:$B$71,0),0)</f>
        <v>64</v>
      </c>
      <c r="K1055" s="8" t="str">
        <f aca="false">IF($J1055=0,"SEM CULTURA",INDEX(ROTACAO_RDM!$F$6:$F$71,$J1055))</f>
        <v>MILHO_SEMENTE</v>
      </c>
      <c r="L1055" s="8" t="n">
        <f aca="false">IF($J1055=0,"",INDEX(ROTACAO_RDM!$G$6:$G$71,$J1055))</f>
        <v>0</v>
      </c>
      <c r="M1055" s="17" t="n">
        <f aca="false">IF($J1055=0,"",INDEX(ROTACAO_RDM!$I$6:$I$71,$J1055))</f>
        <v>46566</v>
      </c>
      <c r="N1055" s="16" t="n">
        <f aca="false">IF($J1055=0,0,MAX(0,$C1055+INT(DIAS_POR_SEMANA/2)-INDEX(ROTACAO_RDM!$I$6:$I$71,$J1055)))</f>
        <v>115</v>
      </c>
      <c r="O1055" s="19" t="n">
        <f aca="false">IF($J1055=0,0,MIN(1,$N1055/MAX(1,INDEX(ROTACAO_RDM!$K$6:$K$71,$J1055))))</f>
        <v>0.793103448275862</v>
      </c>
      <c r="P1055" s="16" t="n">
        <f aca="false">IF($J1055=0,0,IFERROR(MATCH(INDEX(ROTACAO_RDM!$N$6:$N$71,$J1055),PARAMETROS_CULTURAS!$B$6:$B$28,0),0))</f>
        <v>7</v>
      </c>
      <c r="Q1055" s="8" t="str">
        <f aca="false">IF($P1055=0,"-",IF($O1055&lt;=INDEX(PARAMETROS_CULTURAS!$F$6:$F$28,$P1055),"INICIAL",IF($O1055&lt;=INDEX(PARAMETROS_CULTURAS!$F$6:$F$28,$P1055)+INDEX(PARAMETROS_CULTURAS!$G$6:$G$28,$P1055),"DESENVOLVIMENTO",IF($O1055&lt;=INDEX(PARAMETROS_CULTURAS!$F$6:$F$28,$P1055)+INDEX(PARAMETROS_CULTURAS!$G$6:$G$28,$P1055)+INDEX(PARAMETROS_CULTURAS!$H$6:$H$28,$P1055),"MEDIA","FINAL"))))</f>
        <v>FINAL</v>
      </c>
      <c r="R1055" s="24" t="n">
        <f aca="false">IF($P1055=0,0,IF($O1055&lt;=INDEX(PARAMETROS_CULTURAS!$F$6:$F$28,$P1055),INDEX(PARAMETROS_CULTURAS!$K$6:$K$28,$P1055),IF($O1055&lt;=INDEX(PARAMETROS_CULTURAS!$F$6:$F$28,$P1055)+INDEX(PARAMETROS_CULTURAS!$G$6:$G$28,$P1055),INDEX(PARAMETROS_CULTURAS!$K$6:$K$28,$P1055)+(INDEX(PARAMETROS_CULTURAS!$L$6:$L$28,$P1055)-INDEX(PARAMETROS_CULTURAS!$K$6:$K$28,$P1055))*($O1055-INDEX(PARAMETROS_CULTURAS!$F$6:$F$28,$P1055))/MAX(INDEX(PARAMETROS_CULTURAS!$G$6:$G$28,$P1055),0.0001),IF($O1055&lt;=INDEX(PARAMETROS_CULTURAS!$F$6:$F$28,$P1055)+INDEX(PARAMETROS_CULTURAS!$G$6:$G$28,$P1055)+INDEX(PARAMETROS_CULTURAS!$H$6:$H$28,$P1055),INDEX(PARAMETROS_CULTURAS!$L$6:$L$28,$P1055),INDEX(PARAMETROS_CULTURAS!$L$6:$L$28,$P1055)+(INDEX(PARAMETROS_CULTURAS!$M$6:$M$28,$P1055)-INDEX(PARAMETROS_CULTURAS!$L$6:$L$28,$P1055))*($O1055-INDEX(PARAMETROS_CULTURAS!$F$6:$F$28,$P1055)-INDEX(PARAMETROS_CULTURAS!$G$6:$G$28,$P1055)-INDEX(PARAMETROS_CULTURAS!$H$6:$H$28,$P1055))/MAX(INDEX(PARAMETROS_CULTURAS!$I$6:$I$28,$P1055),0.0001)))))</f>
        <v>1.0551724137931</v>
      </c>
      <c r="S1055" s="18" t="n">
        <f aca="false">IFERROR(INDEX(SEMANAS!$H$6:$H$71,MATCH($B1055,SEMANAS!$B$6:$B$71,0)),0)</f>
        <v>39.2</v>
      </c>
      <c r="T1055" s="18" t="n">
        <f aca="false">$R1055*$S1055</f>
        <v>41.3627586206896</v>
      </c>
      <c r="U1055" s="18" t="n">
        <f aca="false">IFERROR(INDEX(SEMANAS!$I$6:$I$71,MATCH($B1055,SEMANAS!$B$6:$B$71,0)),0)</f>
        <v>27.09</v>
      </c>
      <c r="V1055" s="18" t="n">
        <f aca="false">IFERROR(INDEX(SEMANAS!$J$6:$J$71,MATCH($B1055,SEMANAS!$B$6:$B$71,0)),0)</f>
        <v>21.672</v>
      </c>
      <c r="W1055" s="18" t="n">
        <f aca="false">MAX(0,$T1055-$V1055)</f>
        <v>19.6907586206896</v>
      </c>
      <c r="X1055" s="19" t="n">
        <f aca="false">IFERROR(INDEX(CADASTRO_PIVOS!$K$6:$K$41,MATCH($E1055,CADASTRO_PIVOS!$B$6:$B$41,0)),EFICIENCIA_PADRAO)</f>
        <v>0.85</v>
      </c>
      <c r="Y1055" s="18" t="n">
        <f aca="false">IF($X1055&lt;=0,0,$W1055/$X1055)</f>
        <v>23.1655983772819</v>
      </c>
      <c r="Z1055" s="16" t="n">
        <f aca="false">$Y1055*$H1055*MM_PARA_M3_HA</f>
        <v>23156.332137931</v>
      </c>
      <c r="AA1055" s="18" t="n">
        <f aca="false">IFERROR(INDEX(CADASTRO_PIVOS!$I$6:$I$41,MATCH($E1055,CADASTRO_PIVOS!$B$6:$B$41,0)),0)</f>
        <v>714</v>
      </c>
      <c r="AB1055" s="18" t="n">
        <f aca="false">IF($Z1055&lt;=0,0,$Z1055/$AA1055)</f>
        <v>32.4318377281947</v>
      </c>
      <c r="AC1055" s="16" t="n">
        <f aca="false">IFERROR(INDEX(SEMANAS!$K$6:$K$71,MATCH($B1055,SEMANAS!$B$6:$B$71,0)),0)</f>
        <v>147</v>
      </c>
      <c r="AD1055" s="19" t="n">
        <f aca="false">IF($AC1055&lt;=0,0,$AB1055/$AC1055)</f>
        <v>0.220624746450304</v>
      </c>
      <c r="AE1055" s="8" t="str">
        <f aca="false">IF($K1055="SEM CULTURA","SEM CULTURA",IF($AA1055&lt;=0,"DADO PENDENTE",IF($AD1055&gt;LIMITE_CRITICO,"INVIAVEL",IF($AD1055&gt;LIMITE_ATENCAO,"CRITICO",IF($AD1055&gt;LIMITE_CONFORTAVEL,"ATENCAO","OK")))))</f>
        <v>OK</v>
      </c>
      <c r="AF1055" s="8" t="str">
        <f aca="false">$B1055&amp;"|"&amp;TEXT($AD1055,"0.000000")</f>
        <v>60|0.220625</v>
      </c>
      <c r="AG1055" s="18" t="n">
        <f aca="false">IF($K1055="SEM CULTURA",0,$T1055*$H1055)</f>
        <v>4134.62135172414</v>
      </c>
      <c r="AH1055" s="18" t="n">
        <f aca="false">IF($K1055="SEM CULTURA",0,$V1055*$H1055)</f>
        <v>2166.33312</v>
      </c>
      <c r="AI1055" s="18" t="n">
        <f aca="false">IF($K1055="SEM CULTURA",0,$W1055*$H1055)</f>
        <v>1968.28823172414</v>
      </c>
      <c r="AJ1055" s="18" t="n">
        <f aca="false">IF($K1055="SEM CULTURA",0,$S1055*$H1055)</f>
        <v>3918.432</v>
      </c>
      <c r="AK1055" s="8" t="str">
        <f aca="false">$E1055&amp;"|"&amp;TEXT($AD1055,"0.000000")</f>
        <v>PV 132|0.220625</v>
      </c>
    </row>
    <row r="1056" customFormat="false" ht="15" hidden="false" customHeight="false" outlineLevel="0" collapsed="false">
      <c r="B1056" s="16" t="n">
        <v>61</v>
      </c>
      <c r="C1056" s="17" t="n">
        <f aca="false">DATA_INICIO_SAFRA+($B1056-1)*DIAS_POR_SEMANA</f>
        <v>46685</v>
      </c>
      <c r="D1056" s="17" t="n">
        <f aca="false">$C1056+DIAS_POR_SEMANA-1</f>
        <v>46691</v>
      </c>
      <c r="E1056" s="15" t="s">
        <v>274</v>
      </c>
      <c r="F1056" s="8" t="str">
        <f aca="false">IFERROR(INDEX(CADASTRO_PIVOS!$C$6:$C$41,MATCH($E1056,CADASTRO_PIVOS!$B$6:$B$41,0)),"?")</f>
        <v>RM05</v>
      </c>
      <c r="G1056" s="8" t="str">
        <f aca="false">IFERROR(INDEX(CADASTRO_PIVOS!$D$6:$D$41,MATCH($E1056,CADASTRO_PIVOS!$B$6:$B$41,0)),"?")</f>
        <v>TR05</v>
      </c>
      <c r="H1056" s="20" t="n">
        <f aca="false">IFERROR(INDEX(CADASTRO_PIVOS!$E$6:$E$41,MATCH($E1056,CADASTRO_PIVOS!$B$6:$B$41,0)),0)</f>
        <v>99.96</v>
      </c>
      <c r="I1056" s="16" t="n">
        <f aca="false">IFERROR(SUMIFS(ROTACAO_RDM!$B$6:$B$71,ROTACAO_RDM!$D$6:$D$71,$E1056,ROTACAO_RDM!$I$6:$I$71,"&lt;="&amp;$C1056+INT(DIAS_POR_SEMANA/2),ROTACAO_RDM!$J$6:$J$71,"&gt;="&amp;$C1056+INT(DIAS_POR_SEMANA/2)),0)</f>
        <v>64</v>
      </c>
      <c r="J1056" s="16" t="n">
        <f aca="false">IFERROR(MATCH($I1056,ROTACAO_RDM!$B$6:$B$71,0),0)</f>
        <v>64</v>
      </c>
      <c r="K1056" s="8" t="str">
        <f aca="false">IF($J1056=0,"SEM CULTURA",INDEX(ROTACAO_RDM!$F$6:$F$71,$J1056))</f>
        <v>MILHO_SEMENTE</v>
      </c>
      <c r="L1056" s="8" t="n">
        <f aca="false">IF($J1056=0,"",INDEX(ROTACAO_RDM!$G$6:$G$71,$J1056))</f>
        <v>0</v>
      </c>
      <c r="M1056" s="17" t="n">
        <f aca="false">IF($J1056=0,"",INDEX(ROTACAO_RDM!$I$6:$I$71,$J1056))</f>
        <v>46566</v>
      </c>
      <c r="N1056" s="16" t="n">
        <f aca="false">IF($J1056=0,0,MAX(0,$C1056+INT(DIAS_POR_SEMANA/2)-INDEX(ROTACAO_RDM!$I$6:$I$71,$J1056)))</f>
        <v>122</v>
      </c>
      <c r="O1056" s="19" t="n">
        <f aca="false">IF($J1056=0,0,MIN(1,$N1056/MAX(1,INDEX(ROTACAO_RDM!$K$6:$K$71,$J1056))))</f>
        <v>0.841379310344828</v>
      </c>
      <c r="P1056" s="16" t="n">
        <f aca="false">IF($J1056=0,0,IFERROR(MATCH(INDEX(ROTACAO_RDM!$N$6:$N$71,$J1056),PARAMETROS_CULTURAS!$B$6:$B$28,0),0))</f>
        <v>7</v>
      </c>
      <c r="Q1056" s="8" t="str">
        <f aca="false">IF($P1056=0,"-",IF($O1056&lt;=INDEX(PARAMETROS_CULTURAS!$F$6:$F$28,$P1056),"INICIAL",IF($O1056&lt;=INDEX(PARAMETROS_CULTURAS!$F$6:$F$28,$P1056)+INDEX(PARAMETROS_CULTURAS!$G$6:$G$28,$P1056),"DESENVOLVIMENTO",IF($O1056&lt;=INDEX(PARAMETROS_CULTURAS!$F$6:$F$28,$P1056)+INDEX(PARAMETROS_CULTURAS!$G$6:$G$28,$P1056)+INDEX(PARAMETROS_CULTURAS!$H$6:$H$28,$P1056),"MEDIA","FINAL"))))</f>
        <v>FINAL</v>
      </c>
      <c r="R1056" s="24" t="n">
        <f aca="false">IF($P1056=0,0,IF($O1056&lt;=INDEX(PARAMETROS_CULTURAS!$F$6:$F$28,$P1056),INDEX(PARAMETROS_CULTURAS!$K$6:$K$28,$P1056),IF($O1056&lt;=INDEX(PARAMETROS_CULTURAS!$F$6:$F$28,$P1056)+INDEX(PARAMETROS_CULTURAS!$G$6:$G$28,$P1056),INDEX(PARAMETROS_CULTURAS!$K$6:$K$28,$P1056)+(INDEX(PARAMETROS_CULTURAS!$L$6:$L$28,$P1056)-INDEX(PARAMETROS_CULTURAS!$K$6:$K$28,$P1056))*($O1056-INDEX(PARAMETROS_CULTURAS!$F$6:$F$28,$P1056))/MAX(INDEX(PARAMETROS_CULTURAS!$G$6:$G$28,$P1056),0.0001),IF($O1056&lt;=INDEX(PARAMETROS_CULTURAS!$F$6:$F$28,$P1056)+INDEX(PARAMETROS_CULTURAS!$G$6:$G$28,$P1056)+INDEX(PARAMETROS_CULTURAS!$H$6:$H$28,$P1056),INDEX(PARAMETROS_CULTURAS!$L$6:$L$28,$P1056),INDEX(PARAMETROS_CULTURAS!$L$6:$L$28,$P1056)+(INDEX(PARAMETROS_CULTURAS!$M$6:$M$28,$P1056)-INDEX(PARAMETROS_CULTURAS!$L$6:$L$28,$P1056))*($O1056-INDEX(PARAMETROS_CULTURAS!$F$6:$F$28,$P1056)-INDEX(PARAMETROS_CULTURAS!$G$6:$G$28,$P1056)-INDEX(PARAMETROS_CULTURAS!$H$6:$H$28,$P1056))/MAX(INDEX(PARAMETROS_CULTURAS!$I$6:$I$28,$P1056),0.0001)))))</f>
        <v>0.948965517241379</v>
      </c>
      <c r="S1056" s="18" t="n">
        <f aca="false">IFERROR(INDEX(SEMANAS!$H$6:$H$71,MATCH($B1056,SEMANAS!$B$6:$B$71,0)),0)</f>
        <v>39.2</v>
      </c>
      <c r="T1056" s="18" t="n">
        <f aca="false">$R1056*$S1056</f>
        <v>37.1994482758621</v>
      </c>
      <c r="U1056" s="18" t="n">
        <f aca="false">IFERROR(INDEX(SEMANAS!$I$6:$I$71,MATCH($B1056,SEMANAS!$B$6:$B$71,0)),0)</f>
        <v>27.09</v>
      </c>
      <c r="V1056" s="18" t="n">
        <f aca="false">IFERROR(INDEX(SEMANAS!$J$6:$J$71,MATCH($B1056,SEMANAS!$B$6:$B$71,0)),0)</f>
        <v>21.672</v>
      </c>
      <c r="W1056" s="18" t="n">
        <f aca="false">MAX(0,$T1056-$V1056)</f>
        <v>15.5274482758621</v>
      </c>
      <c r="X1056" s="19" t="n">
        <f aca="false">IFERROR(INDEX(CADASTRO_PIVOS!$K$6:$K$41,MATCH($E1056,CADASTRO_PIVOS!$B$6:$B$41,0)),EFICIENCIA_PADRAO)</f>
        <v>0.85</v>
      </c>
      <c r="Y1056" s="18" t="n">
        <f aca="false">IF($X1056&lt;=0,0,$W1056/$X1056)</f>
        <v>18.2675862068966</v>
      </c>
      <c r="Z1056" s="16" t="n">
        <f aca="false">$Y1056*$H1056*MM_PARA_M3_HA</f>
        <v>18260.2791724138</v>
      </c>
      <c r="AA1056" s="18" t="n">
        <f aca="false">IFERROR(INDEX(CADASTRO_PIVOS!$I$6:$I$41,MATCH($E1056,CADASTRO_PIVOS!$B$6:$B$41,0)),0)</f>
        <v>714</v>
      </c>
      <c r="AB1056" s="18" t="n">
        <f aca="false">IF($Z1056&lt;=0,0,$Z1056/$AA1056)</f>
        <v>25.5746206896552</v>
      </c>
      <c r="AC1056" s="16" t="n">
        <f aca="false">IFERROR(INDEX(SEMANAS!$K$6:$K$71,MATCH($B1056,SEMANAS!$B$6:$B$71,0)),0)</f>
        <v>147</v>
      </c>
      <c r="AD1056" s="19" t="n">
        <f aca="false">IF($AC1056&lt;=0,0,$AB1056/$AC1056)</f>
        <v>0.173977011494253</v>
      </c>
      <c r="AE1056" s="8" t="str">
        <f aca="false">IF($K1056="SEM CULTURA","SEM CULTURA",IF($AA1056&lt;=0,"DADO PENDENTE",IF($AD1056&gt;LIMITE_CRITICO,"INVIAVEL",IF($AD1056&gt;LIMITE_ATENCAO,"CRITICO",IF($AD1056&gt;LIMITE_CONFORTAVEL,"ATENCAO","OK")))))</f>
        <v>OK</v>
      </c>
      <c r="AF1056" s="8" t="str">
        <f aca="false">$B1056&amp;"|"&amp;TEXT($AD1056,"0.000000")</f>
        <v>61|0.173977</v>
      </c>
      <c r="AG1056" s="18" t="n">
        <f aca="false">IF($K1056="SEM CULTURA",0,$T1056*$H1056)</f>
        <v>3718.45684965517</v>
      </c>
      <c r="AH1056" s="18" t="n">
        <f aca="false">IF($K1056="SEM CULTURA",0,$V1056*$H1056)</f>
        <v>2166.33312</v>
      </c>
      <c r="AI1056" s="18" t="n">
        <f aca="false">IF($K1056="SEM CULTURA",0,$W1056*$H1056)</f>
        <v>1552.12372965517</v>
      </c>
      <c r="AJ1056" s="18" t="n">
        <f aca="false">IF($K1056="SEM CULTURA",0,$S1056*$H1056)</f>
        <v>3918.432</v>
      </c>
      <c r="AK1056" s="8" t="str">
        <f aca="false">$E1056&amp;"|"&amp;TEXT($AD1056,"0.000000")</f>
        <v>PV 132|0.173977</v>
      </c>
    </row>
    <row r="1057" customFormat="false" ht="15" hidden="false" customHeight="false" outlineLevel="0" collapsed="false">
      <c r="B1057" s="16" t="n">
        <v>62</v>
      </c>
      <c r="C1057" s="17" t="n">
        <f aca="false">DATA_INICIO_SAFRA+($B1057-1)*DIAS_POR_SEMANA</f>
        <v>46692</v>
      </c>
      <c r="D1057" s="17" t="n">
        <f aca="false">$C1057+DIAS_POR_SEMANA-1</f>
        <v>46698</v>
      </c>
      <c r="E1057" s="15" t="s">
        <v>274</v>
      </c>
      <c r="F1057" s="8" t="str">
        <f aca="false">IFERROR(INDEX(CADASTRO_PIVOS!$C$6:$C$41,MATCH($E1057,CADASTRO_PIVOS!$B$6:$B$41,0)),"?")</f>
        <v>RM05</v>
      </c>
      <c r="G1057" s="8" t="str">
        <f aca="false">IFERROR(INDEX(CADASTRO_PIVOS!$D$6:$D$41,MATCH($E1057,CADASTRO_PIVOS!$B$6:$B$41,0)),"?")</f>
        <v>TR05</v>
      </c>
      <c r="H1057" s="20" t="n">
        <f aca="false">IFERROR(INDEX(CADASTRO_PIVOS!$E$6:$E$41,MATCH($E1057,CADASTRO_PIVOS!$B$6:$B$41,0)),0)</f>
        <v>99.96</v>
      </c>
      <c r="I1057" s="16" t="n">
        <f aca="false">IFERROR(SUMIFS(ROTACAO_RDM!$B$6:$B$71,ROTACAO_RDM!$D$6:$D$71,$E1057,ROTACAO_RDM!$I$6:$I$71,"&lt;="&amp;$C1057+INT(DIAS_POR_SEMANA/2),ROTACAO_RDM!$J$6:$J$71,"&gt;="&amp;$C1057+INT(DIAS_POR_SEMANA/2)),0)</f>
        <v>64</v>
      </c>
      <c r="J1057" s="16" t="n">
        <f aca="false">IFERROR(MATCH($I1057,ROTACAO_RDM!$B$6:$B$71,0),0)</f>
        <v>64</v>
      </c>
      <c r="K1057" s="8" t="str">
        <f aca="false">IF($J1057=0,"SEM CULTURA",INDEX(ROTACAO_RDM!$F$6:$F$71,$J1057))</f>
        <v>MILHO_SEMENTE</v>
      </c>
      <c r="L1057" s="8" t="n">
        <f aca="false">IF($J1057=0,"",INDEX(ROTACAO_RDM!$G$6:$G$71,$J1057))</f>
        <v>0</v>
      </c>
      <c r="M1057" s="17" t="n">
        <f aca="false">IF($J1057=0,"",INDEX(ROTACAO_RDM!$I$6:$I$71,$J1057))</f>
        <v>46566</v>
      </c>
      <c r="N1057" s="16" t="n">
        <f aca="false">IF($J1057=0,0,MAX(0,$C1057+INT(DIAS_POR_SEMANA/2)-INDEX(ROTACAO_RDM!$I$6:$I$71,$J1057)))</f>
        <v>129</v>
      </c>
      <c r="O1057" s="19" t="n">
        <f aca="false">IF($J1057=0,0,MIN(1,$N1057/MAX(1,INDEX(ROTACAO_RDM!$K$6:$K$71,$J1057))))</f>
        <v>0.889655172413793</v>
      </c>
      <c r="P1057" s="16" t="n">
        <f aca="false">IF($J1057=0,0,IFERROR(MATCH(INDEX(ROTACAO_RDM!$N$6:$N$71,$J1057),PARAMETROS_CULTURAS!$B$6:$B$28,0),0))</f>
        <v>7</v>
      </c>
      <c r="Q1057" s="8" t="str">
        <f aca="false">IF($P1057=0,"-",IF($O1057&lt;=INDEX(PARAMETROS_CULTURAS!$F$6:$F$28,$P1057),"INICIAL",IF($O1057&lt;=INDEX(PARAMETROS_CULTURAS!$F$6:$F$28,$P1057)+INDEX(PARAMETROS_CULTURAS!$G$6:$G$28,$P1057),"DESENVOLVIMENTO",IF($O1057&lt;=INDEX(PARAMETROS_CULTURAS!$F$6:$F$28,$P1057)+INDEX(PARAMETROS_CULTURAS!$G$6:$G$28,$P1057)+INDEX(PARAMETROS_CULTURAS!$H$6:$H$28,$P1057),"MEDIA","FINAL"))))</f>
        <v>FINAL</v>
      </c>
      <c r="R1057" s="24" t="n">
        <f aca="false">IF($P1057=0,0,IF($O1057&lt;=INDEX(PARAMETROS_CULTURAS!$F$6:$F$28,$P1057),INDEX(PARAMETROS_CULTURAS!$K$6:$K$28,$P1057),IF($O1057&lt;=INDEX(PARAMETROS_CULTURAS!$F$6:$F$28,$P1057)+INDEX(PARAMETROS_CULTURAS!$G$6:$G$28,$P1057),INDEX(PARAMETROS_CULTURAS!$K$6:$K$28,$P1057)+(INDEX(PARAMETROS_CULTURAS!$L$6:$L$28,$P1057)-INDEX(PARAMETROS_CULTURAS!$K$6:$K$28,$P1057))*($O1057-INDEX(PARAMETROS_CULTURAS!$F$6:$F$28,$P1057))/MAX(INDEX(PARAMETROS_CULTURAS!$G$6:$G$28,$P1057),0.0001),IF($O1057&lt;=INDEX(PARAMETROS_CULTURAS!$F$6:$F$28,$P1057)+INDEX(PARAMETROS_CULTURAS!$G$6:$G$28,$P1057)+INDEX(PARAMETROS_CULTURAS!$H$6:$H$28,$P1057),INDEX(PARAMETROS_CULTURAS!$L$6:$L$28,$P1057),INDEX(PARAMETROS_CULTURAS!$L$6:$L$28,$P1057)+(INDEX(PARAMETROS_CULTURAS!$M$6:$M$28,$P1057)-INDEX(PARAMETROS_CULTURAS!$L$6:$L$28,$P1057))*($O1057-INDEX(PARAMETROS_CULTURAS!$F$6:$F$28,$P1057)-INDEX(PARAMETROS_CULTURAS!$G$6:$G$28,$P1057)-INDEX(PARAMETROS_CULTURAS!$H$6:$H$28,$P1057))/MAX(INDEX(PARAMETROS_CULTURAS!$I$6:$I$28,$P1057),0.0001)))))</f>
        <v>0.842758620689655</v>
      </c>
      <c r="S1057" s="18" t="n">
        <f aca="false">IFERROR(INDEX(SEMANAS!$H$6:$H$71,MATCH($B1057,SEMANAS!$B$6:$B$71,0)),0)</f>
        <v>34.3</v>
      </c>
      <c r="T1057" s="18" t="n">
        <f aca="false">$R1057*$S1057</f>
        <v>28.9066206896552</v>
      </c>
      <c r="U1057" s="18" t="n">
        <f aca="false">IFERROR(INDEX(SEMANAS!$I$6:$I$71,MATCH($B1057,SEMANAS!$B$6:$B$71,0)),0)</f>
        <v>46.69</v>
      </c>
      <c r="V1057" s="18" t="n">
        <f aca="false">IFERROR(INDEX(SEMANAS!$J$6:$J$71,MATCH($B1057,SEMANAS!$B$6:$B$71,0)),0)</f>
        <v>37.352</v>
      </c>
      <c r="W1057" s="18" t="n">
        <f aca="false">MAX(0,$T1057-$V1057)</f>
        <v>0</v>
      </c>
      <c r="X1057" s="19" t="n">
        <f aca="false">IFERROR(INDEX(CADASTRO_PIVOS!$K$6:$K$41,MATCH($E1057,CADASTRO_PIVOS!$B$6:$B$41,0)),EFICIENCIA_PADRAO)</f>
        <v>0.85</v>
      </c>
      <c r="Y1057" s="18" t="n">
        <f aca="false">IF($X1057&lt;=0,0,$W1057/$X1057)</f>
        <v>0</v>
      </c>
      <c r="Z1057" s="16" t="n">
        <f aca="false">$Y1057*$H1057*MM_PARA_M3_HA</f>
        <v>0</v>
      </c>
      <c r="AA1057" s="18" t="n">
        <f aca="false">IFERROR(INDEX(CADASTRO_PIVOS!$I$6:$I$41,MATCH($E1057,CADASTRO_PIVOS!$B$6:$B$41,0)),0)</f>
        <v>714</v>
      </c>
      <c r="AB1057" s="18" t="n">
        <f aca="false">IF($Z1057&lt;=0,0,$Z1057/$AA1057)</f>
        <v>0</v>
      </c>
      <c r="AC1057" s="16" t="n">
        <f aca="false">IFERROR(INDEX(SEMANAS!$K$6:$K$71,MATCH($B1057,SEMANAS!$B$6:$B$71,0)),0)</f>
        <v>147</v>
      </c>
      <c r="AD1057" s="19" t="n">
        <f aca="false">IF($AC1057&lt;=0,0,$AB1057/$AC1057)</f>
        <v>0</v>
      </c>
      <c r="AE1057" s="8" t="str">
        <f aca="false">IF($K1057="SEM CULTURA","SEM CULTURA",IF($AA1057&lt;=0,"DADO PENDENTE",IF($AD1057&gt;LIMITE_CRITICO,"INVIAVEL",IF($AD1057&gt;LIMITE_ATENCAO,"CRITICO",IF($AD1057&gt;LIMITE_CONFORTAVEL,"ATENCAO","OK")))))</f>
        <v>OK</v>
      </c>
      <c r="AF1057" s="8" t="str">
        <f aca="false">$B1057&amp;"|"&amp;TEXT($AD1057,"0.000000")</f>
        <v>62|0.000000</v>
      </c>
      <c r="AG1057" s="18" t="n">
        <f aca="false">IF($K1057="SEM CULTURA",0,$T1057*$H1057)</f>
        <v>2889.50580413793</v>
      </c>
      <c r="AH1057" s="18" t="n">
        <f aca="false">IF($K1057="SEM CULTURA",0,$V1057*$H1057)</f>
        <v>3733.70592</v>
      </c>
      <c r="AI1057" s="18" t="n">
        <f aca="false">IF($K1057="SEM CULTURA",0,$W1057*$H1057)</f>
        <v>0</v>
      </c>
      <c r="AJ1057" s="18" t="n">
        <f aca="false">IF($K1057="SEM CULTURA",0,$S1057*$H1057)</f>
        <v>3428.628</v>
      </c>
      <c r="AK1057" s="8" t="str">
        <f aca="false">$E1057&amp;"|"&amp;TEXT($AD1057,"0.000000")</f>
        <v>PV 132|0.000000</v>
      </c>
    </row>
    <row r="1058" customFormat="false" ht="15" hidden="false" customHeight="false" outlineLevel="0" collapsed="false">
      <c r="B1058" s="16" t="n">
        <v>63</v>
      </c>
      <c r="C1058" s="17" t="n">
        <f aca="false">DATA_INICIO_SAFRA+($B1058-1)*DIAS_POR_SEMANA</f>
        <v>46699</v>
      </c>
      <c r="D1058" s="17" t="n">
        <f aca="false">$C1058+DIAS_POR_SEMANA-1</f>
        <v>46705</v>
      </c>
      <c r="E1058" s="15" t="s">
        <v>274</v>
      </c>
      <c r="F1058" s="8" t="str">
        <f aca="false">IFERROR(INDEX(CADASTRO_PIVOS!$C$6:$C$41,MATCH($E1058,CADASTRO_PIVOS!$B$6:$B$41,0)),"?")</f>
        <v>RM05</v>
      </c>
      <c r="G1058" s="8" t="str">
        <f aca="false">IFERROR(INDEX(CADASTRO_PIVOS!$D$6:$D$41,MATCH($E1058,CADASTRO_PIVOS!$B$6:$B$41,0)),"?")</f>
        <v>TR05</v>
      </c>
      <c r="H1058" s="20" t="n">
        <f aca="false">IFERROR(INDEX(CADASTRO_PIVOS!$E$6:$E$41,MATCH($E1058,CADASTRO_PIVOS!$B$6:$B$41,0)),0)</f>
        <v>99.96</v>
      </c>
      <c r="I1058" s="16" t="n">
        <f aca="false">IFERROR(SUMIFS(ROTACAO_RDM!$B$6:$B$71,ROTACAO_RDM!$D$6:$D$71,$E1058,ROTACAO_RDM!$I$6:$I$71,"&lt;="&amp;$C1058+INT(DIAS_POR_SEMANA/2),ROTACAO_RDM!$J$6:$J$71,"&gt;="&amp;$C1058+INT(DIAS_POR_SEMANA/2)),0)</f>
        <v>64</v>
      </c>
      <c r="J1058" s="16" t="n">
        <f aca="false">IFERROR(MATCH($I1058,ROTACAO_RDM!$B$6:$B$71,0),0)</f>
        <v>64</v>
      </c>
      <c r="K1058" s="8" t="str">
        <f aca="false">IF($J1058=0,"SEM CULTURA",INDEX(ROTACAO_RDM!$F$6:$F$71,$J1058))</f>
        <v>MILHO_SEMENTE</v>
      </c>
      <c r="L1058" s="8" t="n">
        <f aca="false">IF($J1058=0,"",INDEX(ROTACAO_RDM!$G$6:$G$71,$J1058))</f>
        <v>0</v>
      </c>
      <c r="M1058" s="17" t="n">
        <f aca="false">IF($J1058=0,"",INDEX(ROTACAO_RDM!$I$6:$I$71,$J1058))</f>
        <v>46566</v>
      </c>
      <c r="N1058" s="16" t="n">
        <f aca="false">IF($J1058=0,0,MAX(0,$C1058+INT(DIAS_POR_SEMANA/2)-INDEX(ROTACAO_RDM!$I$6:$I$71,$J1058)))</f>
        <v>136</v>
      </c>
      <c r="O1058" s="19" t="n">
        <f aca="false">IF($J1058=0,0,MIN(1,$N1058/MAX(1,INDEX(ROTACAO_RDM!$K$6:$K$71,$J1058))))</f>
        <v>0.937931034482759</v>
      </c>
      <c r="P1058" s="16" t="n">
        <f aca="false">IF($J1058=0,0,IFERROR(MATCH(INDEX(ROTACAO_RDM!$N$6:$N$71,$J1058),PARAMETROS_CULTURAS!$B$6:$B$28,0),0))</f>
        <v>7</v>
      </c>
      <c r="Q1058" s="8" t="str">
        <f aca="false">IF($P1058=0,"-",IF($O1058&lt;=INDEX(PARAMETROS_CULTURAS!$F$6:$F$28,$P1058),"INICIAL",IF($O1058&lt;=INDEX(PARAMETROS_CULTURAS!$F$6:$F$28,$P1058)+INDEX(PARAMETROS_CULTURAS!$G$6:$G$28,$P1058),"DESENVOLVIMENTO",IF($O1058&lt;=INDEX(PARAMETROS_CULTURAS!$F$6:$F$28,$P1058)+INDEX(PARAMETROS_CULTURAS!$G$6:$G$28,$P1058)+INDEX(PARAMETROS_CULTURAS!$H$6:$H$28,$P1058),"MEDIA","FINAL"))))</f>
        <v>FINAL</v>
      </c>
      <c r="R1058" s="24" t="n">
        <f aca="false">IF($P1058=0,0,IF($O1058&lt;=INDEX(PARAMETROS_CULTURAS!$F$6:$F$28,$P1058),INDEX(PARAMETROS_CULTURAS!$K$6:$K$28,$P1058),IF($O1058&lt;=INDEX(PARAMETROS_CULTURAS!$F$6:$F$28,$P1058)+INDEX(PARAMETROS_CULTURAS!$G$6:$G$28,$P1058),INDEX(PARAMETROS_CULTURAS!$K$6:$K$28,$P1058)+(INDEX(PARAMETROS_CULTURAS!$L$6:$L$28,$P1058)-INDEX(PARAMETROS_CULTURAS!$K$6:$K$28,$P1058))*($O1058-INDEX(PARAMETROS_CULTURAS!$F$6:$F$28,$P1058))/MAX(INDEX(PARAMETROS_CULTURAS!$G$6:$G$28,$P1058),0.0001),IF($O1058&lt;=INDEX(PARAMETROS_CULTURAS!$F$6:$F$28,$P1058)+INDEX(PARAMETROS_CULTURAS!$G$6:$G$28,$P1058)+INDEX(PARAMETROS_CULTURAS!$H$6:$H$28,$P1058),INDEX(PARAMETROS_CULTURAS!$L$6:$L$28,$P1058),INDEX(PARAMETROS_CULTURAS!$L$6:$L$28,$P1058)+(INDEX(PARAMETROS_CULTURAS!$M$6:$M$28,$P1058)-INDEX(PARAMETROS_CULTURAS!$L$6:$L$28,$P1058))*($O1058-INDEX(PARAMETROS_CULTURAS!$F$6:$F$28,$P1058)-INDEX(PARAMETROS_CULTURAS!$G$6:$G$28,$P1058)-INDEX(PARAMETROS_CULTURAS!$H$6:$H$28,$P1058))/MAX(INDEX(PARAMETROS_CULTURAS!$I$6:$I$28,$P1058),0.0001)))))</f>
        <v>0.736551724137931</v>
      </c>
      <c r="S1058" s="18" t="n">
        <f aca="false">IFERROR(INDEX(SEMANAS!$H$6:$H$71,MATCH($B1058,SEMANAS!$B$6:$B$71,0)),0)</f>
        <v>34.3</v>
      </c>
      <c r="T1058" s="18" t="n">
        <f aca="false">$R1058*$S1058</f>
        <v>25.263724137931</v>
      </c>
      <c r="U1058" s="18" t="n">
        <f aca="false">IFERROR(INDEX(SEMANAS!$I$6:$I$71,MATCH($B1058,SEMANAS!$B$6:$B$71,0)),0)</f>
        <v>46.69</v>
      </c>
      <c r="V1058" s="18" t="n">
        <f aca="false">IFERROR(INDEX(SEMANAS!$J$6:$J$71,MATCH($B1058,SEMANAS!$B$6:$B$71,0)),0)</f>
        <v>37.352</v>
      </c>
      <c r="W1058" s="18" t="n">
        <f aca="false">MAX(0,$T1058-$V1058)</f>
        <v>0</v>
      </c>
      <c r="X1058" s="19" t="n">
        <f aca="false">IFERROR(INDEX(CADASTRO_PIVOS!$K$6:$K$41,MATCH($E1058,CADASTRO_PIVOS!$B$6:$B$41,0)),EFICIENCIA_PADRAO)</f>
        <v>0.85</v>
      </c>
      <c r="Y1058" s="18" t="n">
        <f aca="false">IF($X1058&lt;=0,0,$W1058/$X1058)</f>
        <v>0</v>
      </c>
      <c r="Z1058" s="16" t="n">
        <f aca="false">$Y1058*$H1058*MM_PARA_M3_HA</f>
        <v>0</v>
      </c>
      <c r="AA1058" s="18" t="n">
        <f aca="false">IFERROR(INDEX(CADASTRO_PIVOS!$I$6:$I$41,MATCH($E1058,CADASTRO_PIVOS!$B$6:$B$41,0)),0)</f>
        <v>714</v>
      </c>
      <c r="AB1058" s="18" t="n">
        <f aca="false">IF($Z1058&lt;=0,0,$Z1058/$AA1058)</f>
        <v>0</v>
      </c>
      <c r="AC1058" s="16" t="n">
        <f aca="false">IFERROR(INDEX(SEMANAS!$K$6:$K$71,MATCH($B1058,SEMANAS!$B$6:$B$71,0)),0)</f>
        <v>147</v>
      </c>
      <c r="AD1058" s="19" t="n">
        <f aca="false">IF($AC1058&lt;=0,0,$AB1058/$AC1058)</f>
        <v>0</v>
      </c>
      <c r="AE1058" s="8" t="str">
        <f aca="false">IF($K1058="SEM CULTURA","SEM CULTURA",IF($AA1058&lt;=0,"DADO PENDENTE",IF($AD1058&gt;LIMITE_CRITICO,"INVIAVEL",IF($AD1058&gt;LIMITE_ATENCAO,"CRITICO",IF($AD1058&gt;LIMITE_CONFORTAVEL,"ATENCAO","OK")))))</f>
        <v>OK</v>
      </c>
      <c r="AF1058" s="8" t="str">
        <f aca="false">$B1058&amp;"|"&amp;TEXT($AD1058,"0.000000")</f>
        <v>63|0.000000</v>
      </c>
      <c r="AG1058" s="18" t="n">
        <f aca="false">IF($K1058="SEM CULTURA",0,$T1058*$H1058)</f>
        <v>2525.36186482759</v>
      </c>
      <c r="AH1058" s="18" t="n">
        <f aca="false">IF($K1058="SEM CULTURA",0,$V1058*$H1058)</f>
        <v>3733.70592</v>
      </c>
      <c r="AI1058" s="18" t="n">
        <f aca="false">IF($K1058="SEM CULTURA",0,$W1058*$H1058)</f>
        <v>0</v>
      </c>
      <c r="AJ1058" s="18" t="n">
        <f aca="false">IF($K1058="SEM CULTURA",0,$S1058*$H1058)</f>
        <v>3428.628</v>
      </c>
      <c r="AK1058" s="8" t="str">
        <f aca="false">$E1058&amp;"|"&amp;TEXT($AD1058,"0.000000")</f>
        <v>PV 132|0.000000</v>
      </c>
    </row>
    <row r="1059" customFormat="false" ht="15" hidden="false" customHeight="false" outlineLevel="0" collapsed="false">
      <c r="B1059" s="16" t="n">
        <v>64</v>
      </c>
      <c r="C1059" s="17" t="n">
        <f aca="false">DATA_INICIO_SAFRA+($B1059-1)*DIAS_POR_SEMANA</f>
        <v>46706</v>
      </c>
      <c r="D1059" s="17" t="n">
        <f aca="false">$C1059+DIAS_POR_SEMANA-1</f>
        <v>46712</v>
      </c>
      <c r="E1059" s="15" t="s">
        <v>274</v>
      </c>
      <c r="F1059" s="8" t="str">
        <f aca="false">IFERROR(INDEX(CADASTRO_PIVOS!$C$6:$C$41,MATCH($E1059,CADASTRO_PIVOS!$B$6:$B$41,0)),"?")</f>
        <v>RM05</v>
      </c>
      <c r="G1059" s="8" t="str">
        <f aca="false">IFERROR(INDEX(CADASTRO_PIVOS!$D$6:$D$41,MATCH($E1059,CADASTRO_PIVOS!$B$6:$B$41,0)),"?")</f>
        <v>TR05</v>
      </c>
      <c r="H1059" s="20" t="n">
        <f aca="false">IFERROR(INDEX(CADASTRO_PIVOS!$E$6:$E$41,MATCH($E1059,CADASTRO_PIVOS!$B$6:$B$41,0)),0)</f>
        <v>99.96</v>
      </c>
      <c r="I1059" s="16" t="n">
        <f aca="false">IFERROR(SUMIFS(ROTACAO_RDM!$B$6:$B$71,ROTACAO_RDM!$D$6:$D$71,$E1059,ROTACAO_RDM!$I$6:$I$71,"&lt;="&amp;$C1059+INT(DIAS_POR_SEMANA/2),ROTACAO_RDM!$J$6:$J$71,"&gt;="&amp;$C1059+INT(DIAS_POR_SEMANA/2)),0)</f>
        <v>64</v>
      </c>
      <c r="J1059" s="16" t="n">
        <f aca="false">IFERROR(MATCH($I1059,ROTACAO_RDM!$B$6:$B$71,0),0)</f>
        <v>64</v>
      </c>
      <c r="K1059" s="8" t="str">
        <f aca="false">IF($J1059=0,"SEM CULTURA",INDEX(ROTACAO_RDM!$F$6:$F$71,$J1059))</f>
        <v>MILHO_SEMENTE</v>
      </c>
      <c r="L1059" s="8" t="n">
        <f aca="false">IF($J1059=0,"",INDEX(ROTACAO_RDM!$G$6:$G$71,$J1059))</f>
        <v>0</v>
      </c>
      <c r="M1059" s="17" t="n">
        <f aca="false">IF($J1059=0,"",INDEX(ROTACAO_RDM!$I$6:$I$71,$J1059))</f>
        <v>46566</v>
      </c>
      <c r="N1059" s="16" t="n">
        <f aca="false">IF($J1059=0,0,MAX(0,$C1059+INT(DIAS_POR_SEMANA/2)-INDEX(ROTACAO_RDM!$I$6:$I$71,$J1059)))</f>
        <v>143</v>
      </c>
      <c r="O1059" s="19" t="n">
        <f aca="false">IF($J1059=0,0,MIN(1,$N1059/MAX(1,INDEX(ROTACAO_RDM!$K$6:$K$71,$J1059))))</f>
        <v>0.986206896551724</v>
      </c>
      <c r="P1059" s="16" t="n">
        <f aca="false">IF($J1059=0,0,IFERROR(MATCH(INDEX(ROTACAO_RDM!$N$6:$N$71,$J1059),PARAMETROS_CULTURAS!$B$6:$B$28,0),0))</f>
        <v>7</v>
      </c>
      <c r="Q1059" s="8" t="str">
        <f aca="false">IF($P1059=0,"-",IF($O1059&lt;=INDEX(PARAMETROS_CULTURAS!$F$6:$F$28,$P1059),"INICIAL",IF($O1059&lt;=INDEX(PARAMETROS_CULTURAS!$F$6:$F$28,$P1059)+INDEX(PARAMETROS_CULTURAS!$G$6:$G$28,$P1059),"DESENVOLVIMENTO",IF($O1059&lt;=INDEX(PARAMETROS_CULTURAS!$F$6:$F$28,$P1059)+INDEX(PARAMETROS_CULTURAS!$G$6:$G$28,$P1059)+INDEX(PARAMETROS_CULTURAS!$H$6:$H$28,$P1059),"MEDIA","FINAL"))))</f>
        <v>FINAL</v>
      </c>
      <c r="R1059" s="24" t="n">
        <f aca="false">IF($P1059=0,0,IF($O1059&lt;=INDEX(PARAMETROS_CULTURAS!$F$6:$F$28,$P1059),INDEX(PARAMETROS_CULTURAS!$K$6:$K$28,$P1059),IF($O1059&lt;=INDEX(PARAMETROS_CULTURAS!$F$6:$F$28,$P1059)+INDEX(PARAMETROS_CULTURAS!$G$6:$G$28,$P1059),INDEX(PARAMETROS_CULTURAS!$K$6:$K$28,$P1059)+(INDEX(PARAMETROS_CULTURAS!$L$6:$L$28,$P1059)-INDEX(PARAMETROS_CULTURAS!$K$6:$K$28,$P1059))*($O1059-INDEX(PARAMETROS_CULTURAS!$F$6:$F$28,$P1059))/MAX(INDEX(PARAMETROS_CULTURAS!$G$6:$G$28,$P1059),0.0001),IF($O1059&lt;=INDEX(PARAMETROS_CULTURAS!$F$6:$F$28,$P1059)+INDEX(PARAMETROS_CULTURAS!$G$6:$G$28,$P1059)+INDEX(PARAMETROS_CULTURAS!$H$6:$H$28,$P1059),INDEX(PARAMETROS_CULTURAS!$L$6:$L$28,$P1059),INDEX(PARAMETROS_CULTURAS!$L$6:$L$28,$P1059)+(INDEX(PARAMETROS_CULTURAS!$M$6:$M$28,$P1059)-INDEX(PARAMETROS_CULTURAS!$L$6:$L$28,$P1059))*($O1059-INDEX(PARAMETROS_CULTURAS!$F$6:$F$28,$P1059)-INDEX(PARAMETROS_CULTURAS!$G$6:$G$28,$P1059)-INDEX(PARAMETROS_CULTURAS!$H$6:$H$28,$P1059))/MAX(INDEX(PARAMETROS_CULTURAS!$I$6:$I$28,$P1059),0.0001)))))</f>
        <v>0.630344827586207</v>
      </c>
      <c r="S1059" s="18" t="n">
        <f aca="false">IFERROR(INDEX(SEMANAS!$H$6:$H$71,MATCH($B1059,SEMANAS!$B$6:$B$71,0)),0)</f>
        <v>34.3</v>
      </c>
      <c r="T1059" s="18" t="n">
        <f aca="false">$R1059*$S1059</f>
        <v>21.6208275862069</v>
      </c>
      <c r="U1059" s="18" t="n">
        <f aca="false">IFERROR(INDEX(SEMANAS!$I$6:$I$71,MATCH($B1059,SEMANAS!$B$6:$B$71,0)),0)</f>
        <v>46.69</v>
      </c>
      <c r="V1059" s="18" t="n">
        <f aca="false">IFERROR(INDEX(SEMANAS!$J$6:$J$71,MATCH($B1059,SEMANAS!$B$6:$B$71,0)),0)</f>
        <v>37.352</v>
      </c>
      <c r="W1059" s="18" t="n">
        <f aca="false">MAX(0,$T1059-$V1059)</f>
        <v>0</v>
      </c>
      <c r="X1059" s="19" t="n">
        <f aca="false">IFERROR(INDEX(CADASTRO_PIVOS!$K$6:$K$41,MATCH($E1059,CADASTRO_PIVOS!$B$6:$B$41,0)),EFICIENCIA_PADRAO)</f>
        <v>0.85</v>
      </c>
      <c r="Y1059" s="18" t="n">
        <f aca="false">IF($X1059&lt;=0,0,$W1059/$X1059)</f>
        <v>0</v>
      </c>
      <c r="Z1059" s="16" t="n">
        <f aca="false">$Y1059*$H1059*MM_PARA_M3_HA</f>
        <v>0</v>
      </c>
      <c r="AA1059" s="18" t="n">
        <f aca="false">IFERROR(INDEX(CADASTRO_PIVOS!$I$6:$I$41,MATCH($E1059,CADASTRO_PIVOS!$B$6:$B$41,0)),0)</f>
        <v>714</v>
      </c>
      <c r="AB1059" s="18" t="n">
        <f aca="false">IF($Z1059&lt;=0,0,$Z1059/$AA1059)</f>
        <v>0</v>
      </c>
      <c r="AC1059" s="16" t="n">
        <f aca="false">IFERROR(INDEX(SEMANAS!$K$6:$K$71,MATCH($B1059,SEMANAS!$B$6:$B$71,0)),0)</f>
        <v>147</v>
      </c>
      <c r="AD1059" s="19" t="n">
        <f aca="false">IF($AC1059&lt;=0,0,$AB1059/$AC1059)</f>
        <v>0</v>
      </c>
      <c r="AE1059" s="8" t="str">
        <f aca="false">IF($K1059="SEM CULTURA","SEM CULTURA",IF($AA1059&lt;=0,"DADO PENDENTE",IF($AD1059&gt;LIMITE_CRITICO,"INVIAVEL",IF($AD1059&gt;LIMITE_ATENCAO,"CRITICO",IF($AD1059&gt;LIMITE_CONFORTAVEL,"ATENCAO","OK")))))</f>
        <v>OK</v>
      </c>
      <c r="AF1059" s="8" t="str">
        <f aca="false">$B1059&amp;"|"&amp;TEXT($AD1059,"0.000000")</f>
        <v>64|0.000000</v>
      </c>
      <c r="AG1059" s="18" t="n">
        <f aca="false">IF($K1059="SEM CULTURA",0,$T1059*$H1059)</f>
        <v>2161.21792551724</v>
      </c>
      <c r="AH1059" s="18" t="n">
        <f aca="false">IF($K1059="SEM CULTURA",0,$V1059*$H1059)</f>
        <v>3733.70592</v>
      </c>
      <c r="AI1059" s="18" t="n">
        <f aca="false">IF($K1059="SEM CULTURA",0,$W1059*$H1059)</f>
        <v>0</v>
      </c>
      <c r="AJ1059" s="18" t="n">
        <f aca="false">IF($K1059="SEM CULTURA",0,$S1059*$H1059)</f>
        <v>3428.628</v>
      </c>
      <c r="AK1059" s="8" t="str">
        <f aca="false">$E1059&amp;"|"&amp;TEXT($AD1059,"0.000000")</f>
        <v>PV 132|0.000000</v>
      </c>
    </row>
    <row r="1060" customFormat="false" ht="15" hidden="false" customHeight="false" outlineLevel="0" collapsed="false">
      <c r="B1060" s="16" t="n">
        <v>65</v>
      </c>
      <c r="C1060" s="17" t="n">
        <f aca="false">DATA_INICIO_SAFRA+($B1060-1)*DIAS_POR_SEMANA</f>
        <v>46713</v>
      </c>
      <c r="D1060" s="17" t="n">
        <f aca="false">$C1060+DIAS_POR_SEMANA-1</f>
        <v>46719</v>
      </c>
      <c r="E1060" s="15" t="s">
        <v>274</v>
      </c>
      <c r="F1060" s="8" t="str">
        <f aca="false">IFERROR(INDEX(CADASTRO_PIVOS!$C$6:$C$41,MATCH($E1060,CADASTRO_PIVOS!$B$6:$B$41,0)),"?")</f>
        <v>RM05</v>
      </c>
      <c r="G1060" s="8" t="str">
        <f aca="false">IFERROR(INDEX(CADASTRO_PIVOS!$D$6:$D$41,MATCH($E1060,CADASTRO_PIVOS!$B$6:$B$41,0)),"?")</f>
        <v>TR05</v>
      </c>
      <c r="H1060" s="20" t="n">
        <f aca="false">IFERROR(INDEX(CADASTRO_PIVOS!$E$6:$E$41,MATCH($E1060,CADASTRO_PIVOS!$B$6:$B$41,0)),0)</f>
        <v>99.96</v>
      </c>
      <c r="I1060" s="16" t="n">
        <f aca="false">IFERROR(SUMIFS(ROTACAO_RDM!$B$6:$B$71,ROTACAO_RDM!$D$6:$D$71,$E1060,ROTACAO_RDM!$I$6:$I$71,"&lt;="&amp;$C1060+INT(DIAS_POR_SEMANA/2),ROTACAO_RDM!$J$6:$J$71,"&gt;="&amp;$C1060+INT(DIAS_POR_SEMANA/2)),0)</f>
        <v>0</v>
      </c>
      <c r="J1060" s="16" t="n">
        <f aca="false">IFERROR(MATCH($I1060,ROTACAO_RDM!$B$6:$B$71,0),0)</f>
        <v>0</v>
      </c>
      <c r="K1060" s="8" t="str">
        <f aca="false">IF($J1060=0,"SEM CULTURA",INDEX(ROTACAO_RDM!$F$6:$F$71,$J1060))</f>
        <v>SEM CULTURA</v>
      </c>
      <c r="L1060" s="8" t="str">
        <f aca="false">IF($J1060=0,"",INDEX(ROTACAO_RDM!$G$6:$G$71,$J1060))</f>
        <v/>
      </c>
      <c r="M1060" s="17" t="str">
        <f aca="false">IF($J1060=0,"",INDEX(ROTACAO_RDM!$I$6:$I$71,$J1060))</f>
        <v/>
      </c>
      <c r="N1060" s="16" t="n">
        <f aca="false">IF($J1060=0,0,MAX(0,$C1060+INT(DIAS_POR_SEMANA/2)-INDEX(ROTACAO_RDM!$I$6:$I$71,$J1060)))</f>
        <v>0</v>
      </c>
      <c r="O1060" s="19" t="n">
        <f aca="false">IF($J1060=0,0,MIN(1,$N1060/MAX(1,INDEX(ROTACAO_RDM!$K$6:$K$71,$J1060))))</f>
        <v>0</v>
      </c>
      <c r="P1060" s="16" t="n">
        <f aca="false">IF($J1060=0,0,IFERROR(MATCH(INDEX(ROTACAO_RDM!$N$6:$N$71,$J1060),PARAMETROS_CULTURAS!$B$6:$B$28,0),0))</f>
        <v>0</v>
      </c>
      <c r="Q1060" s="8" t="str">
        <f aca="false">IF($P1060=0,"-",IF($O1060&lt;=INDEX(PARAMETROS_CULTURAS!$F$6:$F$28,$P1060),"INICIAL",IF($O1060&lt;=INDEX(PARAMETROS_CULTURAS!$F$6:$F$28,$P1060)+INDEX(PARAMETROS_CULTURAS!$G$6:$G$28,$P1060),"DESENVOLVIMENTO",IF($O1060&lt;=INDEX(PARAMETROS_CULTURAS!$F$6:$F$28,$P1060)+INDEX(PARAMETROS_CULTURAS!$G$6:$G$28,$P1060)+INDEX(PARAMETROS_CULTURAS!$H$6:$H$28,$P1060),"MEDIA","FINAL"))))</f>
        <v>-</v>
      </c>
      <c r="R1060" s="24" t="n">
        <f aca="false">IF($P1060=0,0,IF($O1060&lt;=INDEX(PARAMETROS_CULTURAS!$F$6:$F$28,$P1060),INDEX(PARAMETROS_CULTURAS!$K$6:$K$28,$P1060),IF($O1060&lt;=INDEX(PARAMETROS_CULTURAS!$F$6:$F$28,$P1060)+INDEX(PARAMETROS_CULTURAS!$G$6:$G$28,$P1060),INDEX(PARAMETROS_CULTURAS!$K$6:$K$28,$P1060)+(INDEX(PARAMETROS_CULTURAS!$L$6:$L$28,$P1060)-INDEX(PARAMETROS_CULTURAS!$K$6:$K$28,$P1060))*($O1060-INDEX(PARAMETROS_CULTURAS!$F$6:$F$28,$P1060))/MAX(INDEX(PARAMETROS_CULTURAS!$G$6:$G$28,$P1060),0.0001),IF($O1060&lt;=INDEX(PARAMETROS_CULTURAS!$F$6:$F$28,$P1060)+INDEX(PARAMETROS_CULTURAS!$G$6:$G$28,$P1060)+INDEX(PARAMETROS_CULTURAS!$H$6:$H$28,$P1060),INDEX(PARAMETROS_CULTURAS!$L$6:$L$28,$P1060),INDEX(PARAMETROS_CULTURAS!$L$6:$L$28,$P1060)+(INDEX(PARAMETROS_CULTURAS!$M$6:$M$28,$P1060)-INDEX(PARAMETROS_CULTURAS!$L$6:$L$28,$P1060))*($O1060-INDEX(PARAMETROS_CULTURAS!$F$6:$F$28,$P1060)-INDEX(PARAMETROS_CULTURAS!$G$6:$G$28,$P1060)-INDEX(PARAMETROS_CULTURAS!$H$6:$H$28,$P1060))/MAX(INDEX(PARAMETROS_CULTURAS!$I$6:$I$28,$P1060),0.0001)))))</f>
        <v>0</v>
      </c>
      <c r="S1060" s="18" t="n">
        <f aca="false">IFERROR(INDEX(SEMANAS!$H$6:$H$71,MATCH($B1060,SEMANAS!$B$6:$B$71,0)),0)</f>
        <v>34.3</v>
      </c>
      <c r="T1060" s="18" t="n">
        <f aca="false">$R1060*$S1060</f>
        <v>0</v>
      </c>
      <c r="U1060" s="18" t="n">
        <f aca="false">IFERROR(INDEX(SEMANAS!$I$6:$I$71,MATCH($B1060,SEMANAS!$B$6:$B$71,0)),0)</f>
        <v>46.69</v>
      </c>
      <c r="V1060" s="18" t="n">
        <f aca="false">IFERROR(INDEX(SEMANAS!$J$6:$J$71,MATCH($B1060,SEMANAS!$B$6:$B$71,0)),0)</f>
        <v>37.352</v>
      </c>
      <c r="W1060" s="18" t="n">
        <f aca="false">MAX(0,$T1060-$V1060)</f>
        <v>0</v>
      </c>
      <c r="X1060" s="19" t="n">
        <f aca="false">IFERROR(INDEX(CADASTRO_PIVOS!$K$6:$K$41,MATCH($E1060,CADASTRO_PIVOS!$B$6:$B$41,0)),EFICIENCIA_PADRAO)</f>
        <v>0.85</v>
      </c>
      <c r="Y1060" s="18" t="n">
        <f aca="false">IF($X1060&lt;=0,0,$W1060/$X1060)</f>
        <v>0</v>
      </c>
      <c r="Z1060" s="16" t="n">
        <f aca="false">$Y1060*$H1060*MM_PARA_M3_HA</f>
        <v>0</v>
      </c>
      <c r="AA1060" s="18" t="n">
        <f aca="false">IFERROR(INDEX(CADASTRO_PIVOS!$I$6:$I$41,MATCH($E1060,CADASTRO_PIVOS!$B$6:$B$41,0)),0)</f>
        <v>714</v>
      </c>
      <c r="AB1060" s="18" t="n">
        <f aca="false">IF($Z1060&lt;=0,0,$Z1060/$AA1060)</f>
        <v>0</v>
      </c>
      <c r="AC1060" s="16" t="n">
        <f aca="false">IFERROR(INDEX(SEMANAS!$K$6:$K$71,MATCH($B1060,SEMANAS!$B$6:$B$71,0)),0)</f>
        <v>147</v>
      </c>
      <c r="AD1060" s="19" t="n">
        <f aca="false">IF($AC1060&lt;=0,0,$AB1060/$AC1060)</f>
        <v>0</v>
      </c>
      <c r="AE1060" s="8" t="str">
        <f aca="false">IF($K1060="SEM CULTURA","SEM CULTURA",IF($AA1060&lt;=0,"DADO PENDENTE",IF($AD1060&gt;LIMITE_CRITICO,"INVIAVEL",IF($AD1060&gt;LIMITE_ATENCAO,"CRITICO",IF($AD1060&gt;LIMITE_CONFORTAVEL,"ATENCAO","OK")))))</f>
        <v>SEM CULTURA</v>
      </c>
      <c r="AF1060" s="8" t="str">
        <f aca="false">$B1060&amp;"|"&amp;TEXT($AD1060,"0.000000")</f>
        <v>65|0.000000</v>
      </c>
      <c r="AG1060" s="18" t="n">
        <f aca="false">IF($K1060="SEM CULTURA",0,$T1060*$H1060)</f>
        <v>0</v>
      </c>
      <c r="AH1060" s="18" t="n">
        <f aca="false">IF($K1060="SEM CULTURA",0,$V1060*$H1060)</f>
        <v>0</v>
      </c>
      <c r="AI1060" s="18" t="n">
        <f aca="false">IF($K1060="SEM CULTURA",0,$W1060*$H1060)</f>
        <v>0</v>
      </c>
      <c r="AJ1060" s="18" t="n">
        <f aca="false">IF($K1060="SEM CULTURA",0,$S1060*$H1060)</f>
        <v>0</v>
      </c>
      <c r="AK1060" s="8" t="str">
        <f aca="false">$E1060&amp;"|"&amp;TEXT($AD1060,"0.000000")</f>
        <v>PV 132|0.000000</v>
      </c>
    </row>
    <row r="1061" customFormat="false" ht="15" hidden="false" customHeight="false" outlineLevel="0" collapsed="false">
      <c r="B1061" s="16" t="n">
        <v>66</v>
      </c>
      <c r="C1061" s="17" t="n">
        <f aca="false">DATA_INICIO_SAFRA+($B1061-1)*DIAS_POR_SEMANA</f>
        <v>46720</v>
      </c>
      <c r="D1061" s="17" t="n">
        <f aca="false">$C1061+DIAS_POR_SEMANA-1</f>
        <v>46726</v>
      </c>
      <c r="E1061" s="15" t="s">
        <v>274</v>
      </c>
      <c r="F1061" s="8" t="str">
        <f aca="false">IFERROR(INDEX(CADASTRO_PIVOS!$C$6:$C$41,MATCH($E1061,CADASTRO_PIVOS!$B$6:$B$41,0)),"?")</f>
        <v>RM05</v>
      </c>
      <c r="G1061" s="8" t="str">
        <f aca="false">IFERROR(INDEX(CADASTRO_PIVOS!$D$6:$D$41,MATCH($E1061,CADASTRO_PIVOS!$B$6:$B$41,0)),"?")</f>
        <v>TR05</v>
      </c>
      <c r="H1061" s="20" t="n">
        <f aca="false">IFERROR(INDEX(CADASTRO_PIVOS!$E$6:$E$41,MATCH($E1061,CADASTRO_PIVOS!$B$6:$B$41,0)),0)</f>
        <v>99.96</v>
      </c>
      <c r="I1061" s="16" t="n">
        <f aca="false">IFERROR(SUMIFS(ROTACAO_RDM!$B$6:$B$71,ROTACAO_RDM!$D$6:$D$71,$E1061,ROTACAO_RDM!$I$6:$I$71,"&lt;="&amp;$C1061+INT(DIAS_POR_SEMANA/2),ROTACAO_RDM!$J$6:$J$71,"&gt;="&amp;$C1061+INT(DIAS_POR_SEMANA/2)),0)</f>
        <v>0</v>
      </c>
      <c r="J1061" s="16" t="n">
        <f aca="false">IFERROR(MATCH($I1061,ROTACAO_RDM!$B$6:$B$71,0),0)</f>
        <v>0</v>
      </c>
      <c r="K1061" s="8" t="str">
        <f aca="false">IF($J1061=0,"SEM CULTURA",INDEX(ROTACAO_RDM!$F$6:$F$71,$J1061))</f>
        <v>SEM CULTURA</v>
      </c>
      <c r="L1061" s="8" t="str">
        <f aca="false">IF($J1061=0,"",INDEX(ROTACAO_RDM!$G$6:$G$71,$J1061))</f>
        <v/>
      </c>
      <c r="M1061" s="17" t="str">
        <f aca="false">IF($J1061=0,"",INDEX(ROTACAO_RDM!$I$6:$I$71,$J1061))</f>
        <v/>
      </c>
      <c r="N1061" s="16" t="n">
        <f aca="false">IF($J1061=0,0,MAX(0,$C1061+INT(DIAS_POR_SEMANA/2)-INDEX(ROTACAO_RDM!$I$6:$I$71,$J1061)))</f>
        <v>0</v>
      </c>
      <c r="O1061" s="19" t="n">
        <f aca="false">IF($J1061=0,0,MIN(1,$N1061/MAX(1,INDEX(ROTACAO_RDM!$K$6:$K$71,$J1061))))</f>
        <v>0</v>
      </c>
      <c r="P1061" s="16" t="n">
        <f aca="false">IF($J1061=0,0,IFERROR(MATCH(INDEX(ROTACAO_RDM!$N$6:$N$71,$J1061),PARAMETROS_CULTURAS!$B$6:$B$28,0),0))</f>
        <v>0</v>
      </c>
      <c r="Q1061" s="8" t="str">
        <f aca="false">IF($P1061=0,"-",IF($O1061&lt;=INDEX(PARAMETROS_CULTURAS!$F$6:$F$28,$P1061),"INICIAL",IF($O1061&lt;=INDEX(PARAMETROS_CULTURAS!$F$6:$F$28,$P1061)+INDEX(PARAMETROS_CULTURAS!$G$6:$G$28,$P1061),"DESENVOLVIMENTO",IF($O1061&lt;=INDEX(PARAMETROS_CULTURAS!$F$6:$F$28,$P1061)+INDEX(PARAMETROS_CULTURAS!$G$6:$G$28,$P1061)+INDEX(PARAMETROS_CULTURAS!$H$6:$H$28,$P1061),"MEDIA","FINAL"))))</f>
        <v>-</v>
      </c>
      <c r="R1061" s="24" t="n">
        <f aca="false">IF($P1061=0,0,IF($O1061&lt;=INDEX(PARAMETROS_CULTURAS!$F$6:$F$28,$P1061),INDEX(PARAMETROS_CULTURAS!$K$6:$K$28,$P1061),IF($O1061&lt;=INDEX(PARAMETROS_CULTURAS!$F$6:$F$28,$P1061)+INDEX(PARAMETROS_CULTURAS!$G$6:$G$28,$P1061),INDEX(PARAMETROS_CULTURAS!$K$6:$K$28,$P1061)+(INDEX(PARAMETROS_CULTURAS!$L$6:$L$28,$P1061)-INDEX(PARAMETROS_CULTURAS!$K$6:$K$28,$P1061))*($O1061-INDEX(PARAMETROS_CULTURAS!$F$6:$F$28,$P1061))/MAX(INDEX(PARAMETROS_CULTURAS!$G$6:$G$28,$P1061),0.0001),IF($O1061&lt;=INDEX(PARAMETROS_CULTURAS!$F$6:$F$28,$P1061)+INDEX(PARAMETROS_CULTURAS!$G$6:$G$28,$P1061)+INDEX(PARAMETROS_CULTURAS!$H$6:$H$28,$P1061),INDEX(PARAMETROS_CULTURAS!$L$6:$L$28,$P1061),INDEX(PARAMETROS_CULTURAS!$L$6:$L$28,$P1061)+(INDEX(PARAMETROS_CULTURAS!$M$6:$M$28,$P1061)-INDEX(PARAMETROS_CULTURAS!$L$6:$L$28,$P1061))*($O1061-INDEX(PARAMETROS_CULTURAS!$F$6:$F$28,$P1061)-INDEX(PARAMETROS_CULTURAS!$G$6:$G$28,$P1061)-INDEX(PARAMETROS_CULTURAS!$H$6:$H$28,$P1061))/MAX(INDEX(PARAMETROS_CULTURAS!$I$6:$I$28,$P1061),0.0001)))))</f>
        <v>0</v>
      </c>
      <c r="S1061" s="18" t="n">
        <f aca="false">IFERROR(INDEX(SEMANAS!$H$6:$H$71,MATCH($B1061,SEMANAS!$B$6:$B$71,0)),0)</f>
        <v>33.3</v>
      </c>
      <c r="T1061" s="18" t="n">
        <f aca="false">$R1061*$S1061</f>
        <v>0</v>
      </c>
      <c r="U1061" s="18" t="n">
        <f aca="false">IFERROR(INDEX(SEMANAS!$I$6:$I$71,MATCH($B1061,SEMANAS!$B$6:$B$71,0)),0)</f>
        <v>48.04</v>
      </c>
      <c r="V1061" s="18" t="n">
        <f aca="false">IFERROR(INDEX(SEMANAS!$J$6:$J$71,MATCH($B1061,SEMANAS!$B$6:$B$71,0)),0)</f>
        <v>38.432</v>
      </c>
      <c r="W1061" s="18" t="n">
        <f aca="false">MAX(0,$T1061-$V1061)</f>
        <v>0</v>
      </c>
      <c r="X1061" s="19" t="n">
        <f aca="false">IFERROR(INDEX(CADASTRO_PIVOS!$K$6:$K$41,MATCH($E1061,CADASTRO_PIVOS!$B$6:$B$41,0)),EFICIENCIA_PADRAO)</f>
        <v>0.85</v>
      </c>
      <c r="Y1061" s="18" t="n">
        <f aca="false">IF($X1061&lt;=0,0,$W1061/$X1061)</f>
        <v>0</v>
      </c>
      <c r="Z1061" s="16" t="n">
        <f aca="false">$Y1061*$H1061*MM_PARA_M3_HA</f>
        <v>0</v>
      </c>
      <c r="AA1061" s="18" t="n">
        <f aca="false">IFERROR(INDEX(CADASTRO_PIVOS!$I$6:$I$41,MATCH($E1061,CADASTRO_PIVOS!$B$6:$B$41,0)),0)</f>
        <v>714</v>
      </c>
      <c r="AB1061" s="18" t="n">
        <f aca="false">IF($Z1061&lt;=0,0,$Z1061/$AA1061)</f>
        <v>0</v>
      </c>
      <c r="AC1061" s="16" t="n">
        <f aca="false">IFERROR(INDEX(SEMANAS!$K$6:$K$71,MATCH($B1061,SEMANAS!$B$6:$B$71,0)),0)</f>
        <v>147</v>
      </c>
      <c r="AD1061" s="19" t="n">
        <f aca="false">IF($AC1061&lt;=0,0,$AB1061/$AC1061)</f>
        <v>0</v>
      </c>
      <c r="AE1061" s="8" t="str">
        <f aca="false">IF($K1061="SEM CULTURA","SEM CULTURA",IF($AA1061&lt;=0,"DADO PENDENTE",IF($AD1061&gt;LIMITE_CRITICO,"INVIAVEL",IF($AD1061&gt;LIMITE_ATENCAO,"CRITICO",IF($AD1061&gt;LIMITE_CONFORTAVEL,"ATENCAO","OK")))))</f>
        <v>SEM CULTURA</v>
      </c>
      <c r="AF1061" s="8" t="str">
        <f aca="false">$B1061&amp;"|"&amp;TEXT($AD1061,"0.000000")</f>
        <v>66|0.000000</v>
      </c>
      <c r="AG1061" s="18" t="n">
        <f aca="false">IF($K1061="SEM CULTURA",0,$T1061*$H1061)</f>
        <v>0</v>
      </c>
      <c r="AH1061" s="18" t="n">
        <f aca="false">IF($K1061="SEM CULTURA",0,$V1061*$H1061)</f>
        <v>0</v>
      </c>
      <c r="AI1061" s="18" t="n">
        <f aca="false">IF($K1061="SEM CULTURA",0,$W1061*$H1061)</f>
        <v>0</v>
      </c>
      <c r="AJ1061" s="18" t="n">
        <f aca="false">IF($K1061="SEM CULTURA",0,$S1061*$H1061)</f>
        <v>0</v>
      </c>
      <c r="AK1061" s="8" t="str">
        <f aca="false">$E1061&amp;"|"&amp;TEXT($AD1061,"0.000000")</f>
        <v>PV 132|0.000000</v>
      </c>
    </row>
    <row r="1062" customFormat="false" ht="15" hidden="false" customHeight="false" outlineLevel="0" collapsed="false">
      <c r="B1062" s="16" t="n">
        <v>1</v>
      </c>
      <c r="C1062" s="17" t="n">
        <f aca="false">DATA_INICIO_SAFRA+($B1062-1)*DIAS_POR_SEMANA</f>
        <v>46265</v>
      </c>
      <c r="D1062" s="17" t="n">
        <f aca="false">$C1062+DIAS_POR_SEMANA-1</f>
        <v>46271</v>
      </c>
      <c r="E1062" s="15" t="s">
        <v>275</v>
      </c>
      <c r="F1062" s="8" t="str">
        <f aca="false">IFERROR(INDEX(CADASTRO_PIVOS!$C$6:$C$41,MATCH($E1062,CADASTRO_PIVOS!$B$6:$B$41,0)),"?")</f>
        <v>RM06</v>
      </c>
      <c r="G1062" s="8" t="str">
        <f aca="false">IFERROR(INDEX(CADASTRO_PIVOS!$D$6:$D$41,MATCH($E1062,CADASTRO_PIVOS!$B$6:$B$41,0)),"?")</f>
        <v>TR06</v>
      </c>
      <c r="H1062" s="20" t="n">
        <f aca="false">IFERROR(INDEX(CADASTRO_PIVOS!$E$6:$E$41,MATCH($E1062,CADASTRO_PIVOS!$B$6:$B$41,0)),0)</f>
        <v>149.55</v>
      </c>
      <c r="I1062" s="16" t="n">
        <f aca="false">IFERROR(SUMIFS(ROTACAO_RDM!$B$6:$B$71,ROTACAO_RDM!$D$6:$D$71,$E1062,ROTACAO_RDM!$I$6:$I$71,"&lt;="&amp;$C1062+INT(DIAS_POR_SEMANA/2),ROTACAO_RDM!$J$6:$J$71,"&gt;="&amp;$C1062+INT(DIAS_POR_SEMANA/2)),0)</f>
        <v>26</v>
      </c>
      <c r="J1062" s="16" t="n">
        <f aca="false">IFERROR(MATCH($I1062,ROTACAO_RDM!$B$6:$B$71,0),0)</f>
        <v>26</v>
      </c>
      <c r="K1062" s="8" t="str">
        <f aca="false">IF($J1062=0,"SEM CULTURA",INDEX(ROTACAO_RDM!$F$6:$F$71,$J1062))</f>
        <v>ALGODAO</v>
      </c>
      <c r="L1062" s="8" t="str">
        <f aca="false">IF($J1062=0,"",INDEX(ROTACAO_RDM!$G$6:$G$71,$J1062))</f>
        <v>DP 2111 B3RF</v>
      </c>
      <c r="M1062" s="17" t="n">
        <f aca="false">IF($J1062=0,"",INDEX(ROTACAO_RDM!$I$6:$I$71,$J1062))</f>
        <v>46093</v>
      </c>
      <c r="N1062" s="16" t="n">
        <f aca="false">IF($J1062=0,0,MAX(0,$C1062+INT(DIAS_POR_SEMANA/2)-INDEX(ROTACAO_RDM!$I$6:$I$71,$J1062)))</f>
        <v>175</v>
      </c>
      <c r="O1062" s="19" t="n">
        <f aca="false">IF($J1062=0,0,MIN(1,$N1062/MAX(1,INDEX(ROTACAO_RDM!$K$6:$K$71,$J1062))))</f>
        <v>0.956284153005464</v>
      </c>
      <c r="P1062" s="16" t="n">
        <f aca="false">IF($J1062=0,0,IFERROR(MATCH(INDEX(ROTACAO_RDM!$N$6:$N$71,$J1062),PARAMETROS_CULTURAS!$B$6:$B$28,0),0))</f>
        <v>4</v>
      </c>
      <c r="Q1062" s="8" t="str">
        <f aca="false">IF($P1062=0,"-",IF($O1062&lt;=INDEX(PARAMETROS_CULTURAS!$F$6:$F$28,$P1062),"INICIAL",IF($O1062&lt;=INDEX(PARAMETROS_CULTURAS!$F$6:$F$28,$P1062)+INDEX(PARAMETROS_CULTURAS!$G$6:$G$28,$P1062),"DESENVOLVIMENTO",IF($O1062&lt;=INDEX(PARAMETROS_CULTURAS!$F$6:$F$28,$P1062)+INDEX(PARAMETROS_CULTURAS!$G$6:$G$28,$P1062)+INDEX(PARAMETROS_CULTURAS!$H$6:$H$28,$P1062),"MEDIA","FINAL"))))</f>
        <v>FINAL</v>
      </c>
      <c r="R1062" s="24" t="n">
        <f aca="false">IF($P1062=0,0,IF($O1062&lt;=INDEX(PARAMETROS_CULTURAS!$F$6:$F$28,$P1062),INDEX(PARAMETROS_CULTURAS!$K$6:$K$28,$P1062),IF($O1062&lt;=INDEX(PARAMETROS_CULTURAS!$F$6:$F$28,$P1062)+INDEX(PARAMETROS_CULTURAS!$G$6:$G$28,$P1062),INDEX(PARAMETROS_CULTURAS!$K$6:$K$28,$P1062)+(INDEX(PARAMETROS_CULTURAS!$L$6:$L$28,$P1062)-INDEX(PARAMETROS_CULTURAS!$K$6:$K$28,$P1062))*($O1062-INDEX(PARAMETROS_CULTURAS!$F$6:$F$28,$P1062))/MAX(INDEX(PARAMETROS_CULTURAS!$G$6:$G$28,$P1062),0.0001),IF($O1062&lt;=INDEX(PARAMETROS_CULTURAS!$F$6:$F$28,$P1062)+INDEX(PARAMETROS_CULTURAS!$G$6:$G$28,$P1062)+INDEX(PARAMETROS_CULTURAS!$H$6:$H$28,$P1062),INDEX(PARAMETROS_CULTURAS!$L$6:$L$28,$P1062),INDEX(PARAMETROS_CULTURAS!$L$6:$L$28,$P1062)+(INDEX(PARAMETROS_CULTURAS!$M$6:$M$28,$P1062)-INDEX(PARAMETROS_CULTURAS!$L$6:$L$28,$P1062))*($O1062-INDEX(PARAMETROS_CULTURAS!$F$6:$F$28,$P1062)-INDEX(PARAMETROS_CULTURAS!$G$6:$G$28,$P1062)-INDEX(PARAMETROS_CULTURAS!$H$6:$H$28,$P1062))/MAX(INDEX(PARAMETROS_CULTURAS!$I$6:$I$28,$P1062),0.0001)))))</f>
        <v>0.696174863387978</v>
      </c>
      <c r="S1062" s="18" t="n">
        <f aca="false">IFERROR(INDEX(SEMANAS!$H$6:$H$71,MATCH($B1062,SEMANAS!$B$6:$B$71,0)),0)</f>
        <v>40</v>
      </c>
      <c r="T1062" s="18" t="n">
        <f aca="false">$R1062*$S1062</f>
        <v>27.8469945355191</v>
      </c>
      <c r="U1062" s="18" t="n">
        <f aca="false">IFERROR(INDEX(SEMANAS!$I$6:$I$71,MATCH($B1062,SEMANAS!$B$6:$B$71,0)),0)</f>
        <v>6.16</v>
      </c>
      <c r="V1062" s="18" t="n">
        <f aca="false">IFERROR(INDEX(SEMANAS!$J$6:$J$71,MATCH($B1062,SEMANAS!$B$6:$B$71,0)),0)</f>
        <v>4.928</v>
      </c>
      <c r="W1062" s="18" t="n">
        <f aca="false">MAX(0,$T1062-$V1062)</f>
        <v>22.9189945355191</v>
      </c>
      <c r="X1062" s="19" t="n">
        <f aca="false">IFERROR(INDEX(CADASTRO_PIVOS!$K$6:$K$41,MATCH($E1062,CADASTRO_PIVOS!$B$6:$B$41,0)),EFICIENCIA_PADRAO)</f>
        <v>0.85</v>
      </c>
      <c r="Y1062" s="18" t="n">
        <f aca="false">IF($X1062&lt;=0,0,$W1062/$X1062)</f>
        <v>26.9635229829637</v>
      </c>
      <c r="Z1062" s="16" t="n">
        <f aca="false">$Y1062*$H1062*MM_PARA_M3_HA</f>
        <v>40323.9486210222</v>
      </c>
      <c r="AA1062" s="18" t="n">
        <f aca="false">IFERROR(INDEX(CADASTRO_PIVOS!$I$6:$I$41,MATCH($E1062,CADASTRO_PIVOS!$B$6:$B$41,0)),0)</f>
        <v>1068.21428571429</v>
      </c>
      <c r="AB1062" s="18" t="n">
        <f aca="false">IF($Z1062&lt;=0,0,$Z1062/$AA1062)</f>
        <v>37.7489321761492</v>
      </c>
      <c r="AC1062" s="16" t="n">
        <f aca="false">IFERROR(INDEX(SEMANAS!$K$6:$K$71,MATCH($B1062,SEMANAS!$B$6:$B$71,0)),0)</f>
        <v>147</v>
      </c>
      <c r="AD1062" s="19" t="n">
        <f aca="false">IF($AC1062&lt;=0,0,$AB1062/$AC1062)</f>
        <v>0.256795456980606</v>
      </c>
      <c r="AE1062" s="8" t="str">
        <f aca="false">IF($K1062="SEM CULTURA","SEM CULTURA",IF($AA1062&lt;=0,"DADO PENDENTE",IF($AD1062&gt;LIMITE_CRITICO,"INVIAVEL",IF($AD1062&gt;LIMITE_ATENCAO,"CRITICO",IF($AD1062&gt;LIMITE_CONFORTAVEL,"ATENCAO","OK")))))</f>
        <v>OK</v>
      </c>
      <c r="AF1062" s="8" t="str">
        <f aca="false">$B1062&amp;"|"&amp;TEXT($AD1062,"0.000000")</f>
        <v>1|0.256795</v>
      </c>
      <c r="AG1062" s="18" t="n">
        <f aca="false">IF($K1062="SEM CULTURA",0,$T1062*$H1062)</f>
        <v>4164.51803278689</v>
      </c>
      <c r="AH1062" s="18" t="n">
        <f aca="false">IF($K1062="SEM CULTURA",0,$V1062*$H1062)</f>
        <v>736.9824</v>
      </c>
      <c r="AI1062" s="18" t="n">
        <f aca="false">IF($K1062="SEM CULTURA",0,$W1062*$H1062)</f>
        <v>3427.53563278689</v>
      </c>
      <c r="AJ1062" s="18" t="n">
        <f aca="false">IF($K1062="SEM CULTURA",0,$S1062*$H1062)</f>
        <v>5982</v>
      </c>
      <c r="AK1062" s="8" t="str">
        <f aca="false">$E1062&amp;"|"&amp;TEXT($AD1062,"0.000000")</f>
        <v>PV 116|0.256795</v>
      </c>
    </row>
    <row r="1063" customFormat="false" ht="15" hidden="false" customHeight="false" outlineLevel="0" collapsed="false">
      <c r="B1063" s="16" t="n">
        <v>2</v>
      </c>
      <c r="C1063" s="17" t="n">
        <f aca="false">DATA_INICIO_SAFRA+($B1063-1)*DIAS_POR_SEMANA</f>
        <v>46272</v>
      </c>
      <c r="D1063" s="17" t="n">
        <f aca="false">$C1063+DIAS_POR_SEMANA-1</f>
        <v>46278</v>
      </c>
      <c r="E1063" s="15" t="s">
        <v>275</v>
      </c>
      <c r="F1063" s="8" t="str">
        <f aca="false">IFERROR(INDEX(CADASTRO_PIVOS!$C$6:$C$41,MATCH($E1063,CADASTRO_PIVOS!$B$6:$B$41,0)),"?")</f>
        <v>RM06</v>
      </c>
      <c r="G1063" s="8" t="str">
        <f aca="false">IFERROR(INDEX(CADASTRO_PIVOS!$D$6:$D$41,MATCH($E1063,CADASTRO_PIVOS!$B$6:$B$41,0)),"?")</f>
        <v>TR06</v>
      </c>
      <c r="H1063" s="20" t="n">
        <f aca="false">IFERROR(INDEX(CADASTRO_PIVOS!$E$6:$E$41,MATCH($E1063,CADASTRO_PIVOS!$B$6:$B$41,0)),0)</f>
        <v>149.55</v>
      </c>
      <c r="I1063" s="16" t="n">
        <f aca="false">IFERROR(SUMIFS(ROTACAO_RDM!$B$6:$B$71,ROTACAO_RDM!$D$6:$D$71,$E1063,ROTACAO_RDM!$I$6:$I$71,"&lt;="&amp;$C1063+INT(DIAS_POR_SEMANA/2),ROTACAO_RDM!$J$6:$J$71,"&gt;="&amp;$C1063+INT(DIAS_POR_SEMANA/2)),0)</f>
        <v>26</v>
      </c>
      <c r="J1063" s="16" t="n">
        <f aca="false">IFERROR(MATCH($I1063,ROTACAO_RDM!$B$6:$B$71,0),0)</f>
        <v>26</v>
      </c>
      <c r="K1063" s="8" t="str">
        <f aca="false">IF($J1063=0,"SEM CULTURA",INDEX(ROTACAO_RDM!$F$6:$F$71,$J1063))</f>
        <v>ALGODAO</v>
      </c>
      <c r="L1063" s="8" t="str">
        <f aca="false">IF($J1063=0,"",INDEX(ROTACAO_RDM!$G$6:$G$71,$J1063))</f>
        <v>DP 2111 B3RF</v>
      </c>
      <c r="M1063" s="17" t="n">
        <f aca="false">IF($J1063=0,"",INDEX(ROTACAO_RDM!$I$6:$I$71,$J1063))</f>
        <v>46093</v>
      </c>
      <c r="N1063" s="16" t="n">
        <f aca="false">IF($J1063=0,0,MAX(0,$C1063+INT(DIAS_POR_SEMANA/2)-INDEX(ROTACAO_RDM!$I$6:$I$71,$J1063)))</f>
        <v>182</v>
      </c>
      <c r="O1063" s="19" t="n">
        <f aca="false">IF($J1063=0,0,MIN(1,$N1063/MAX(1,INDEX(ROTACAO_RDM!$K$6:$K$71,$J1063))))</f>
        <v>0.994535519125683</v>
      </c>
      <c r="P1063" s="16" t="n">
        <f aca="false">IF($J1063=0,0,IFERROR(MATCH(INDEX(ROTACAO_RDM!$N$6:$N$71,$J1063),PARAMETROS_CULTURAS!$B$6:$B$28,0),0))</f>
        <v>4</v>
      </c>
      <c r="Q1063" s="8" t="str">
        <f aca="false">IF($P1063=0,"-",IF($O1063&lt;=INDEX(PARAMETROS_CULTURAS!$F$6:$F$28,$P1063),"INICIAL",IF($O1063&lt;=INDEX(PARAMETROS_CULTURAS!$F$6:$F$28,$P1063)+INDEX(PARAMETROS_CULTURAS!$G$6:$G$28,$P1063),"DESENVOLVIMENTO",IF($O1063&lt;=INDEX(PARAMETROS_CULTURAS!$F$6:$F$28,$P1063)+INDEX(PARAMETROS_CULTURAS!$G$6:$G$28,$P1063)+INDEX(PARAMETROS_CULTURAS!$H$6:$H$28,$P1063),"MEDIA","FINAL"))))</f>
        <v>FINAL</v>
      </c>
      <c r="R1063" s="24" t="n">
        <f aca="false">IF($P1063=0,0,IF($O1063&lt;=INDEX(PARAMETROS_CULTURAS!$F$6:$F$28,$P1063),INDEX(PARAMETROS_CULTURAS!$K$6:$K$28,$P1063),IF($O1063&lt;=INDEX(PARAMETROS_CULTURAS!$F$6:$F$28,$P1063)+INDEX(PARAMETROS_CULTURAS!$G$6:$G$28,$P1063),INDEX(PARAMETROS_CULTURAS!$K$6:$K$28,$P1063)+(INDEX(PARAMETROS_CULTURAS!$L$6:$L$28,$P1063)-INDEX(PARAMETROS_CULTURAS!$K$6:$K$28,$P1063))*($O1063-INDEX(PARAMETROS_CULTURAS!$F$6:$F$28,$P1063))/MAX(INDEX(PARAMETROS_CULTURAS!$G$6:$G$28,$P1063),0.0001),IF($O1063&lt;=INDEX(PARAMETROS_CULTURAS!$F$6:$F$28,$P1063)+INDEX(PARAMETROS_CULTURAS!$G$6:$G$28,$P1063)+INDEX(PARAMETROS_CULTURAS!$H$6:$H$28,$P1063),INDEX(PARAMETROS_CULTURAS!$L$6:$L$28,$P1063),INDEX(PARAMETROS_CULTURAS!$L$6:$L$28,$P1063)+(INDEX(PARAMETROS_CULTURAS!$M$6:$M$28,$P1063)-INDEX(PARAMETROS_CULTURAS!$L$6:$L$28,$P1063))*($O1063-INDEX(PARAMETROS_CULTURAS!$F$6:$F$28,$P1063)-INDEX(PARAMETROS_CULTURAS!$G$6:$G$28,$P1063)-INDEX(PARAMETROS_CULTURAS!$H$6:$H$28,$P1063))/MAX(INDEX(PARAMETROS_CULTURAS!$I$6:$I$28,$P1063),0.0001)))))</f>
        <v>0.612021857923497</v>
      </c>
      <c r="S1063" s="18" t="n">
        <f aca="false">IFERROR(INDEX(SEMANAS!$H$6:$H$71,MATCH($B1063,SEMANAS!$B$6:$B$71,0)),0)</f>
        <v>40.6</v>
      </c>
      <c r="T1063" s="18" t="n">
        <f aca="false">$R1063*$S1063</f>
        <v>24.848087431694</v>
      </c>
      <c r="U1063" s="18" t="n">
        <f aca="false">IFERROR(INDEX(SEMANAS!$I$6:$I$71,MATCH($B1063,SEMANAS!$B$6:$B$71,0)),0)</f>
        <v>7</v>
      </c>
      <c r="V1063" s="18" t="n">
        <f aca="false">IFERROR(INDEX(SEMANAS!$J$6:$J$71,MATCH($B1063,SEMANAS!$B$6:$B$71,0)),0)</f>
        <v>5.6</v>
      </c>
      <c r="W1063" s="18" t="n">
        <f aca="false">MAX(0,$T1063-$V1063)</f>
        <v>19.248087431694</v>
      </c>
      <c r="X1063" s="19" t="n">
        <f aca="false">IFERROR(INDEX(CADASTRO_PIVOS!$K$6:$K$41,MATCH($E1063,CADASTRO_PIVOS!$B$6:$B$41,0)),EFICIENCIA_PADRAO)</f>
        <v>0.85</v>
      </c>
      <c r="Y1063" s="18" t="n">
        <f aca="false">IF($X1063&lt;=0,0,$W1063/$X1063)</f>
        <v>22.6448087431694</v>
      </c>
      <c r="Z1063" s="16" t="n">
        <f aca="false">$Y1063*$H1063*MM_PARA_M3_HA</f>
        <v>33865.3114754098</v>
      </c>
      <c r="AA1063" s="18" t="n">
        <f aca="false">IFERROR(INDEX(CADASTRO_PIVOS!$I$6:$I$41,MATCH($E1063,CADASTRO_PIVOS!$B$6:$B$41,0)),0)</f>
        <v>1068.21428571429</v>
      </c>
      <c r="AB1063" s="18" t="n">
        <f aca="false">IF($Z1063&lt;=0,0,$Z1063/$AA1063)</f>
        <v>31.7027322404372</v>
      </c>
      <c r="AC1063" s="16" t="n">
        <f aca="false">IFERROR(INDEX(SEMANAS!$K$6:$K$71,MATCH($B1063,SEMANAS!$B$6:$B$71,0)),0)</f>
        <v>147</v>
      </c>
      <c r="AD1063" s="19" t="n">
        <f aca="false">IF($AC1063&lt;=0,0,$AB1063/$AC1063)</f>
        <v>0.215664845173042</v>
      </c>
      <c r="AE1063" s="8" t="str">
        <f aca="false">IF($K1063="SEM CULTURA","SEM CULTURA",IF($AA1063&lt;=0,"DADO PENDENTE",IF($AD1063&gt;LIMITE_CRITICO,"INVIAVEL",IF($AD1063&gt;LIMITE_ATENCAO,"CRITICO",IF($AD1063&gt;LIMITE_CONFORTAVEL,"ATENCAO","OK")))))</f>
        <v>OK</v>
      </c>
      <c r="AF1063" s="8" t="str">
        <f aca="false">$B1063&amp;"|"&amp;TEXT($AD1063,"0.000000")</f>
        <v>2|0.215665</v>
      </c>
      <c r="AG1063" s="18" t="n">
        <f aca="false">IF($K1063="SEM CULTURA",0,$T1063*$H1063)</f>
        <v>3716.03147540984</v>
      </c>
      <c r="AH1063" s="18" t="n">
        <f aca="false">IF($K1063="SEM CULTURA",0,$V1063*$H1063)</f>
        <v>837.48</v>
      </c>
      <c r="AI1063" s="18" t="n">
        <f aca="false">IF($K1063="SEM CULTURA",0,$W1063*$H1063)</f>
        <v>2878.55147540984</v>
      </c>
      <c r="AJ1063" s="18" t="n">
        <f aca="false">IF($K1063="SEM CULTURA",0,$S1063*$H1063)</f>
        <v>6071.73</v>
      </c>
      <c r="AK1063" s="8" t="str">
        <f aca="false">$E1063&amp;"|"&amp;TEXT($AD1063,"0.000000")</f>
        <v>PV 116|0.215665</v>
      </c>
    </row>
    <row r="1064" customFormat="false" ht="15" hidden="false" customHeight="false" outlineLevel="0" collapsed="false">
      <c r="B1064" s="16" t="n">
        <v>3</v>
      </c>
      <c r="C1064" s="17" t="n">
        <f aca="false">DATA_INICIO_SAFRA+($B1064-1)*DIAS_POR_SEMANA</f>
        <v>46279</v>
      </c>
      <c r="D1064" s="17" t="n">
        <f aca="false">$C1064+DIAS_POR_SEMANA-1</f>
        <v>46285</v>
      </c>
      <c r="E1064" s="15" t="s">
        <v>275</v>
      </c>
      <c r="F1064" s="8" t="str">
        <f aca="false">IFERROR(INDEX(CADASTRO_PIVOS!$C$6:$C$41,MATCH($E1064,CADASTRO_PIVOS!$B$6:$B$41,0)),"?")</f>
        <v>RM06</v>
      </c>
      <c r="G1064" s="8" t="str">
        <f aca="false">IFERROR(INDEX(CADASTRO_PIVOS!$D$6:$D$41,MATCH($E1064,CADASTRO_PIVOS!$B$6:$B$41,0)),"?")</f>
        <v>TR06</v>
      </c>
      <c r="H1064" s="20" t="n">
        <f aca="false">IFERROR(INDEX(CADASTRO_PIVOS!$E$6:$E$41,MATCH($E1064,CADASTRO_PIVOS!$B$6:$B$41,0)),0)</f>
        <v>149.55</v>
      </c>
      <c r="I1064" s="16" t="n">
        <f aca="false">IFERROR(SUMIFS(ROTACAO_RDM!$B$6:$B$71,ROTACAO_RDM!$D$6:$D$71,$E1064,ROTACAO_RDM!$I$6:$I$71,"&lt;="&amp;$C1064+INT(DIAS_POR_SEMANA/2),ROTACAO_RDM!$J$6:$J$71,"&gt;="&amp;$C1064+INT(DIAS_POR_SEMANA/2)),0)</f>
        <v>0</v>
      </c>
      <c r="J1064" s="16" t="n">
        <f aca="false">IFERROR(MATCH($I1064,ROTACAO_RDM!$B$6:$B$71,0),0)</f>
        <v>0</v>
      </c>
      <c r="K1064" s="8" t="str">
        <f aca="false">IF($J1064=0,"SEM CULTURA",INDEX(ROTACAO_RDM!$F$6:$F$71,$J1064))</f>
        <v>SEM CULTURA</v>
      </c>
      <c r="L1064" s="8" t="str">
        <f aca="false">IF($J1064=0,"",INDEX(ROTACAO_RDM!$G$6:$G$71,$J1064))</f>
        <v/>
      </c>
      <c r="M1064" s="17" t="str">
        <f aca="false">IF($J1064=0,"",INDEX(ROTACAO_RDM!$I$6:$I$71,$J1064))</f>
        <v/>
      </c>
      <c r="N1064" s="16" t="n">
        <f aca="false">IF($J1064=0,0,MAX(0,$C1064+INT(DIAS_POR_SEMANA/2)-INDEX(ROTACAO_RDM!$I$6:$I$71,$J1064)))</f>
        <v>0</v>
      </c>
      <c r="O1064" s="19" t="n">
        <f aca="false">IF($J1064=0,0,MIN(1,$N1064/MAX(1,INDEX(ROTACAO_RDM!$K$6:$K$71,$J1064))))</f>
        <v>0</v>
      </c>
      <c r="P1064" s="16" t="n">
        <f aca="false">IF($J1064=0,0,IFERROR(MATCH(INDEX(ROTACAO_RDM!$N$6:$N$71,$J1064),PARAMETROS_CULTURAS!$B$6:$B$28,0),0))</f>
        <v>0</v>
      </c>
      <c r="Q1064" s="8" t="str">
        <f aca="false">IF($P1064=0,"-",IF($O1064&lt;=INDEX(PARAMETROS_CULTURAS!$F$6:$F$28,$P1064),"INICIAL",IF($O1064&lt;=INDEX(PARAMETROS_CULTURAS!$F$6:$F$28,$P1064)+INDEX(PARAMETROS_CULTURAS!$G$6:$G$28,$P1064),"DESENVOLVIMENTO",IF($O1064&lt;=INDEX(PARAMETROS_CULTURAS!$F$6:$F$28,$P1064)+INDEX(PARAMETROS_CULTURAS!$G$6:$G$28,$P1064)+INDEX(PARAMETROS_CULTURAS!$H$6:$H$28,$P1064),"MEDIA","FINAL"))))</f>
        <v>-</v>
      </c>
      <c r="R1064" s="24" t="n">
        <f aca="false">IF($P1064=0,0,IF($O1064&lt;=INDEX(PARAMETROS_CULTURAS!$F$6:$F$28,$P1064),INDEX(PARAMETROS_CULTURAS!$K$6:$K$28,$P1064),IF($O1064&lt;=INDEX(PARAMETROS_CULTURAS!$F$6:$F$28,$P1064)+INDEX(PARAMETROS_CULTURAS!$G$6:$G$28,$P1064),INDEX(PARAMETROS_CULTURAS!$K$6:$K$28,$P1064)+(INDEX(PARAMETROS_CULTURAS!$L$6:$L$28,$P1064)-INDEX(PARAMETROS_CULTURAS!$K$6:$K$28,$P1064))*($O1064-INDEX(PARAMETROS_CULTURAS!$F$6:$F$28,$P1064))/MAX(INDEX(PARAMETROS_CULTURAS!$G$6:$G$28,$P1064),0.0001),IF($O1064&lt;=INDEX(PARAMETROS_CULTURAS!$F$6:$F$28,$P1064)+INDEX(PARAMETROS_CULTURAS!$G$6:$G$28,$P1064)+INDEX(PARAMETROS_CULTURAS!$H$6:$H$28,$P1064),INDEX(PARAMETROS_CULTURAS!$L$6:$L$28,$P1064),INDEX(PARAMETROS_CULTURAS!$L$6:$L$28,$P1064)+(INDEX(PARAMETROS_CULTURAS!$M$6:$M$28,$P1064)-INDEX(PARAMETROS_CULTURAS!$L$6:$L$28,$P1064))*($O1064-INDEX(PARAMETROS_CULTURAS!$F$6:$F$28,$P1064)-INDEX(PARAMETROS_CULTURAS!$G$6:$G$28,$P1064)-INDEX(PARAMETROS_CULTURAS!$H$6:$H$28,$P1064))/MAX(INDEX(PARAMETROS_CULTURAS!$I$6:$I$28,$P1064),0.0001)))))</f>
        <v>0</v>
      </c>
      <c r="S1064" s="18" t="n">
        <f aca="false">IFERROR(INDEX(SEMANAS!$H$6:$H$71,MATCH($B1064,SEMANAS!$B$6:$B$71,0)),0)</f>
        <v>40.6</v>
      </c>
      <c r="T1064" s="18" t="n">
        <f aca="false">$R1064*$S1064</f>
        <v>0</v>
      </c>
      <c r="U1064" s="18" t="n">
        <f aca="false">IFERROR(INDEX(SEMANAS!$I$6:$I$71,MATCH($B1064,SEMANAS!$B$6:$B$71,0)),0)</f>
        <v>7</v>
      </c>
      <c r="V1064" s="18" t="n">
        <f aca="false">IFERROR(INDEX(SEMANAS!$J$6:$J$71,MATCH($B1064,SEMANAS!$B$6:$B$71,0)),0)</f>
        <v>5.6</v>
      </c>
      <c r="W1064" s="18" t="n">
        <f aca="false">MAX(0,$T1064-$V1064)</f>
        <v>0</v>
      </c>
      <c r="X1064" s="19" t="n">
        <f aca="false">IFERROR(INDEX(CADASTRO_PIVOS!$K$6:$K$41,MATCH($E1064,CADASTRO_PIVOS!$B$6:$B$41,0)),EFICIENCIA_PADRAO)</f>
        <v>0.85</v>
      </c>
      <c r="Y1064" s="18" t="n">
        <f aca="false">IF($X1064&lt;=0,0,$W1064/$X1064)</f>
        <v>0</v>
      </c>
      <c r="Z1064" s="16" t="n">
        <f aca="false">$Y1064*$H1064*MM_PARA_M3_HA</f>
        <v>0</v>
      </c>
      <c r="AA1064" s="18" t="n">
        <f aca="false">IFERROR(INDEX(CADASTRO_PIVOS!$I$6:$I$41,MATCH($E1064,CADASTRO_PIVOS!$B$6:$B$41,0)),0)</f>
        <v>1068.21428571429</v>
      </c>
      <c r="AB1064" s="18" t="n">
        <f aca="false">IF($Z1064&lt;=0,0,$Z1064/$AA1064)</f>
        <v>0</v>
      </c>
      <c r="AC1064" s="16" t="n">
        <f aca="false">IFERROR(INDEX(SEMANAS!$K$6:$K$71,MATCH($B1064,SEMANAS!$B$6:$B$71,0)),0)</f>
        <v>147</v>
      </c>
      <c r="AD1064" s="19" t="n">
        <f aca="false">IF($AC1064&lt;=0,0,$AB1064/$AC1064)</f>
        <v>0</v>
      </c>
      <c r="AE1064" s="8" t="str">
        <f aca="false">IF($K1064="SEM CULTURA","SEM CULTURA",IF($AA1064&lt;=0,"DADO PENDENTE",IF($AD1064&gt;LIMITE_CRITICO,"INVIAVEL",IF($AD1064&gt;LIMITE_ATENCAO,"CRITICO",IF($AD1064&gt;LIMITE_CONFORTAVEL,"ATENCAO","OK")))))</f>
        <v>SEM CULTURA</v>
      </c>
      <c r="AF1064" s="8" t="str">
        <f aca="false">$B1064&amp;"|"&amp;TEXT($AD1064,"0.000000")</f>
        <v>3|0.000000</v>
      </c>
      <c r="AG1064" s="18" t="n">
        <f aca="false">IF($K1064="SEM CULTURA",0,$T1064*$H1064)</f>
        <v>0</v>
      </c>
      <c r="AH1064" s="18" t="n">
        <f aca="false">IF($K1064="SEM CULTURA",0,$V1064*$H1064)</f>
        <v>0</v>
      </c>
      <c r="AI1064" s="18" t="n">
        <f aca="false">IF($K1064="SEM CULTURA",0,$W1064*$H1064)</f>
        <v>0</v>
      </c>
      <c r="AJ1064" s="18" t="n">
        <f aca="false">IF($K1064="SEM CULTURA",0,$S1064*$H1064)</f>
        <v>0</v>
      </c>
      <c r="AK1064" s="8" t="str">
        <f aca="false">$E1064&amp;"|"&amp;TEXT($AD1064,"0.000000")</f>
        <v>PV 116|0.000000</v>
      </c>
    </row>
    <row r="1065" customFormat="false" ht="15" hidden="false" customHeight="false" outlineLevel="0" collapsed="false">
      <c r="B1065" s="16" t="n">
        <v>4</v>
      </c>
      <c r="C1065" s="17" t="n">
        <f aca="false">DATA_INICIO_SAFRA+($B1065-1)*DIAS_POR_SEMANA</f>
        <v>46286</v>
      </c>
      <c r="D1065" s="17" t="n">
        <f aca="false">$C1065+DIAS_POR_SEMANA-1</f>
        <v>46292</v>
      </c>
      <c r="E1065" s="15" t="s">
        <v>275</v>
      </c>
      <c r="F1065" s="8" t="str">
        <f aca="false">IFERROR(INDEX(CADASTRO_PIVOS!$C$6:$C$41,MATCH($E1065,CADASTRO_PIVOS!$B$6:$B$41,0)),"?")</f>
        <v>RM06</v>
      </c>
      <c r="G1065" s="8" t="str">
        <f aca="false">IFERROR(INDEX(CADASTRO_PIVOS!$D$6:$D$41,MATCH($E1065,CADASTRO_PIVOS!$B$6:$B$41,0)),"?")</f>
        <v>TR06</v>
      </c>
      <c r="H1065" s="20" t="n">
        <f aca="false">IFERROR(INDEX(CADASTRO_PIVOS!$E$6:$E$41,MATCH($E1065,CADASTRO_PIVOS!$B$6:$B$41,0)),0)</f>
        <v>149.55</v>
      </c>
      <c r="I1065" s="16" t="n">
        <f aca="false">IFERROR(SUMIFS(ROTACAO_RDM!$B$6:$B$71,ROTACAO_RDM!$D$6:$D$71,$E1065,ROTACAO_RDM!$I$6:$I$71,"&lt;="&amp;$C1065+INT(DIAS_POR_SEMANA/2),ROTACAO_RDM!$J$6:$J$71,"&gt;="&amp;$C1065+INT(DIAS_POR_SEMANA/2)),0)</f>
        <v>0</v>
      </c>
      <c r="J1065" s="16" t="n">
        <f aca="false">IFERROR(MATCH($I1065,ROTACAO_RDM!$B$6:$B$71,0),0)</f>
        <v>0</v>
      </c>
      <c r="K1065" s="8" t="str">
        <f aca="false">IF($J1065=0,"SEM CULTURA",INDEX(ROTACAO_RDM!$F$6:$F$71,$J1065))</f>
        <v>SEM CULTURA</v>
      </c>
      <c r="L1065" s="8" t="str">
        <f aca="false">IF($J1065=0,"",INDEX(ROTACAO_RDM!$G$6:$G$71,$J1065))</f>
        <v/>
      </c>
      <c r="M1065" s="17" t="str">
        <f aca="false">IF($J1065=0,"",INDEX(ROTACAO_RDM!$I$6:$I$71,$J1065))</f>
        <v/>
      </c>
      <c r="N1065" s="16" t="n">
        <f aca="false">IF($J1065=0,0,MAX(0,$C1065+INT(DIAS_POR_SEMANA/2)-INDEX(ROTACAO_RDM!$I$6:$I$71,$J1065)))</f>
        <v>0</v>
      </c>
      <c r="O1065" s="19" t="n">
        <f aca="false">IF($J1065=0,0,MIN(1,$N1065/MAX(1,INDEX(ROTACAO_RDM!$K$6:$K$71,$J1065))))</f>
        <v>0</v>
      </c>
      <c r="P1065" s="16" t="n">
        <f aca="false">IF($J1065=0,0,IFERROR(MATCH(INDEX(ROTACAO_RDM!$N$6:$N$71,$J1065),PARAMETROS_CULTURAS!$B$6:$B$28,0),0))</f>
        <v>0</v>
      </c>
      <c r="Q1065" s="8" t="str">
        <f aca="false">IF($P1065=0,"-",IF($O1065&lt;=INDEX(PARAMETROS_CULTURAS!$F$6:$F$28,$P1065),"INICIAL",IF($O1065&lt;=INDEX(PARAMETROS_CULTURAS!$F$6:$F$28,$P1065)+INDEX(PARAMETROS_CULTURAS!$G$6:$G$28,$P1065),"DESENVOLVIMENTO",IF($O1065&lt;=INDEX(PARAMETROS_CULTURAS!$F$6:$F$28,$P1065)+INDEX(PARAMETROS_CULTURAS!$G$6:$G$28,$P1065)+INDEX(PARAMETROS_CULTURAS!$H$6:$H$28,$P1065),"MEDIA","FINAL"))))</f>
        <v>-</v>
      </c>
      <c r="R1065" s="24" t="n">
        <f aca="false">IF($P1065=0,0,IF($O1065&lt;=INDEX(PARAMETROS_CULTURAS!$F$6:$F$28,$P1065),INDEX(PARAMETROS_CULTURAS!$K$6:$K$28,$P1065),IF($O1065&lt;=INDEX(PARAMETROS_CULTURAS!$F$6:$F$28,$P1065)+INDEX(PARAMETROS_CULTURAS!$G$6:$G$28,$P1065),INDEX(PARAMETROS_CULTURAS!$K$6:$K$28,$P1065)+(INDEX(PARAMETROS_CULTURAS!$L$6:$L$28,$P1065)-INDEX(PARAMETROS_CULTURAS!$K$6:$K$28,$P1065))*($O1065-INDEX(PARAMETROS_CULTURAS!$F$6:$F$28,$P1065))/MAX(INDEX(PARAMETROS_CULTURAS!$G$6:$G$28,$P1065),0.0001),IF($O1065&lt;=INDEX(PARAMETROS_CULTURAS!$F$6:$F$28,$P1065)+INDEX(PARAMETROS_CULTURAS!$G$6:$G$28,$P1065)+INDEX(PARAMETROS_CULTURAS!$H$6:$H$28,$P1065),INDEX(PARAMETROS_CULTURAS!$L$6:$L$28,$P1065),INDEX(PARAMETROS_CULTURAS!$L$6:$L$28,$P1065)+(INDEX(PARAMETROS_CULTURAS!$M$6:$M$28,$P1065)-INDEX(PARAMETROS_CULTURAS!$L$6:$L$28,$P1065))*($O1065-INDEX(PARAMETROS_CULTURAS!$F$6:$F$28,$P1065)-INDEX(PARAMETROS_CULTURAS!$G$6:$G$28,$P1065)-INDEX(PARAMETROS_CULTURAS!$H$6:$H$28,$P1065))/MAX(INDEX(PARAMETROS_CULTURAS!$I$6:$I$28,$P1065),0.0001)))))</f>
        <v>0</v>
      </c>
      <c r="S1065" s="18" t="n">
        <f aca="false">IFERROR(INDEX(SEMANAS!$H$6:$H$71,MATCH($B1065,SEMANAS!$B$6:$B$71,0)),0)</f>
        <v>40.6</v>
      </c>
      <c r="T1065" s="18" t="n">
        <f aca="false">$R1065*$S1065</f>
        <v>0</v>
      </c>
      <c r="U1065" s="18" t="n">
        <f aca="false">IFERROR(INDEX(SEMANAS!$I$6:$I$71,MATCH($B1065,SEMANAS!$B$6:$B$71,0)),0)</f>
        <v>7</v>
      </c>
      <c r="V1065" s="18" t="n">
        <f aca="false">IFERROR(INDEX(SEMANAS!$J$6:$J$71,MATCH($B1065,SEMANAS!$B$6:$B$71,0)),0)</f>
        <v>5.6</v>
      </c>
      <c r="W1065" s="18" t="n">
        <f aca="false">MAX(0,$T1065-$V1065)</f>
        <v>0</v>
      </c>
      <c r="X1065" s="19" t="n">
        <f aca="false">IFERROR(INDEX(CADASTRO_PIVOS!$K$6:$K$41,MATCH($E1065,CADASTRO_PIVOS!$B$6:$B$41,0)),EFICIENCIA_PADRAO)</f>
        <v>0.85</v>
      </c>
      <c r="Y1065" s="18" t="n">
        <f aca="false">IF($X1065&lt;=0,0,$W1065/$X1065)</f>
        <v>0</v>
      </c>
      <c r="Z1065" s="16" t="n">
        <f aca="false">$Y1065*$H1065*MM_PARA_M3_HA</f>
        <v>0</v>
      </c>
      <c r="AA1065" s="18" t="n">
        <f aca="false">IFERROR(INDEX(CADASTRO_PIVOS!$I$6:$I$41,MATCH($E1065,CADASTRO_PIVOS!$B$6:$B$41,0)),0)</f>
        <v>1068.21428571429</v>
      </c>
      <c r="AB1065" s="18" t="n">
        <f aca="false">IF($Z1065&lt;=0,0,$Z1065/$AA1065)</f>
        <v>0</v>
      </c>
      <c r="AC1065" s="16" t="n">
        <f aca="false">IFERROR(INDEX(SEMANAS!$K$6:$K$71,MATCH($B1065,SEMANAS!$B$6:$B$71,0)),0)</f>
        <v>147</v>
      </c>
      <c r="AD1065" s="19" t="n">
        <f aca="false">IF($AC1065&lt;=0,0,$AB1065/$AC1065)</f>
        <v>0</v>
      </c>
      <c r="AE1065" s="8" t="str">
        <f aca="false">IF($K1065="SEM CULTURA","SEM CULTURA",IF($AA1065&lt;=0,"DADO PENDENTE",IF($AD1065&gt;LIMITE_CRITICO,"INVIAVEL",IF($AD1065&gt;LIMITE_ATENCAO,"CRITICO",IF($AD1065&gt;LIMITE_CONFORTAVEL,"ATENCAO","OK")))))</f>
        <v>SEM CULTURA</v>
      </c>
      <c r="AF1065" s="8" t="str">
        <f aca="false">$B1065&amp;"|"&amp;TEXT($AD1065,"0.000000")</f>
        <v>4|0.000000</v>
      </c>
      <c r="AG1065" s="18" t="n">
        <f aca="false">IF($K1065="SEM CULTURA",0,$T1065*$H1065)</f>
        <v>0</v>
      </c>
      <c r="AH1065" s="18" t="n">
        <f aca="false">IF($K1065="SEM CULTURA",0,$V1065*$H1065)</f>
        <v>0</v>
      </c>
      <c r="AI1065" s="18" t="n">
        <f aca="false">IF($K1065="SEM CULTURA",0,$W1065*$H1065)</f>
        <v>0</v>
      </c>
      <c r="AJ1065" s="18" t="n">
        <f aca="false">IF($K1065="SEM CULTURA",0,$S1065*$H1065)</f>
        <v>0</v>
      </c>
      <c r="AK1065" s="8" t="str">
        <f aca="false">$E1065&amp;"|"&amp;TEXT($AD1065,"0.000000")</f>
        <v>PV 116|0.000000</v>
      </c>
    </row>
    <row r="1066" customFormat="false" ht="15" hidden="false" customHeight="false" outlineLevel="0" collapsed="false">
      <c r="B1066" s="16" t="n">
        <v>5</v>
      </c>
      <c r="C1066" s="17" t="n">
        <f aca="false">DATA_INICIO_SAFRA+($B1066-1)*DIAS_POR_SEMANA</f>
        <v>46293</v>
      </c>
      <c r="D1066" s="17" t="n">
        <f aca="false">$C1066+DIAS_POR_SEMANA-1</f>
        <v>46299</v>
      </c>
      <c r="E1066" s="15" t="s">
        <v>275</v>
      </c>
      <c r="F1066" s="8" t="str">
        <f aca="false">IFERROR(INDEX(CADASTRO_PIVOS!$C$6:$C$41,MATCH($E1066,CADASTRO_PIVOS!$B$6:$B$41,0)),"?")</f>
        <v>RM06</v>
      </c>
      <c r="G1066" s="8" t="str">
        <f aca="false">IFERROR(INDEX(CADASTRO_PIVOS!$D$6:$D$41,MATCH($E1066,CADASTRO_PIVOS!$B$6:$B$41,0)),"?")</f>
        <v>TR06</v>
      </c>
      <c r="H1066" s="20" t="n">
        <f aca="false">IFERROR(INDEX(CADASTRO_PIVOS!$E$6:$E$41,MATCH($E1066,CADASTRO_PIVOS!$B$6:$B$41,0)),0)</f>
        <v>149.55</v>
      </c>
      <c r="I1066" s="16" t="n">
        <f aca="false">IFERROR(SUMIFS(ROTACAO_RDM!$B$6:$B$71,ROTACAO_RDM!$D$6:$D$71,$E1066,ROTACAO_RDM!$I$6:$I$71,"&lt;="&amp;$C1066+INT(DIAS_POR_SEMANA/2),ROTACAO_RDM!$J$6:$J$71,"&gt;="&amp;$C1066+INT(DIAS_POR_SEMANA/2)),0)</f>
        <v>0</v>
      </c>
      <c r="J1066" s="16" t="n">
        <f aca="false">IFERROR(MATCH($I1066,ROTACAO_RDM!$B$6:$B$71,0),0)</f>
        <v>0</v>
      </c>
      <c r="K1066" s="8" t="str">
        <f aca="false">IF($J1066=0,"SEM CULTURA",INDEX(ROTACAO_RDM!$F$6:$F$71,$J1066))</f>
        <v>SEM CULTURA</v>
      </c>
      <c r="L1066" s="8" t="str">
        <f aca="false">IF($J1066=0,"",INDEX(ROTACAO_RDM!$G$6:$G$71,$J1066))</f>
        <v/>
      </c>
      <c r="M1066" s="17" t="str">
        <f aca="false">IF($J1066=0,"",INDEX(ROTACAO_RDM!$I$6:$I$71,$J1066))</f>
        <v/>
      </c>
      <c r="N1066" s="16" t="n">
        <f aca="false">IF($J1066=0,0,MAX(0,$C1066+INT(DIAS_POR_SEMANA/2)-INDEX(ROTACAO_RDM!$I$6:$I$71,$J1066)))</f>
        <v>0</v>
      </c>
      <c r="O1066" s="19" t="n">
        <f aca="false">IF($J1066=0,0,MIN(1,$N1066/MAX(1,INDEX(ROTACAO_RDM!$K$6:$K$71,$J1066))))</f>
        <v>0</v>
      </c>
      <c r="P1066" s="16" t="n">
        <f aca="false">IF($J1066=0,0,IFERROR(MATCH(INDEX(ROTACAO_RDM!$N$6:$N$71,$J1066),PARAMETROS_CULTURAS!$B$6:$B$28,0),0))</f>
        <v>0</v>
      </c>
      <c r="Q1066" s="8" t="str">
        <f aca="false">IF($P1066=0,"-",IF($O1066&lt;=INDEX(PARAMETROS_CULTURAS!$F$6:$F$28,$P1066),"INICIAL",IF($O1066&lt;=INDEX(PARAMETROS_CULTURAS!$F$6:$F$28,$P1066)+INDEX(PARAMETROS_CULTURAS!$G$6:$G$28,$P1066),"DESENVOLVIMENTO",IF($O1066&lt;=INDEX(PARAMETROS_CULTURAS!$F$6:$F$28,$P1066)+INDEX(PARAMETROS_CULTURAS!$G$6:$G$28,$P1066)+INDEX(PARAMETROS_CULTURAS!$H$6:$H$28,$P1066),"MEDIA","FINAL"))))</f>
        <v>-</v>
      </c>
      <c r="R1066" s="24" t="n">
        <f aca="false">IF($P1066=0,0,IF($O1066&lt;=INDEX(PARAMETROS_CULTURAS!$F$6:$F$28,$P1066),INDEX(PARAMETROS_CULTURAS!$K$6:$K$28,$P1066),IF($O1066&lt;=INDEX(PARAMETROS_CULTURAS!$F$6:$F$28,$P1066)+INDEX(PARAMETROS_CULTURAS!$G$6:$G$28,$P1066),INDEX(PARAMETROS_CULTURAS!$K$6:$K$28,$P1066)+(INDEX(PARAMETROS_CULTURAS!$L$6:$L$28,$P1066)-INDEX(PARAMETROS_CULTURAS!$K$6:$K$28,$P1066))*($O1066-INDEX(PARAMETROS_CULTURAS!$F$6:$F$28,$P1066))/MAX(INDEX(PARAMETROS_CULTURAS!$G$6:$G$28,$P1066),0.0001),IF($O1066&lt;=INDEX(PARAMETROS_CULTURAS!$F$6:$F$28,$P1066)+INDEX(PARAMETROS_CULTURAS!$G$6:$G$28,$P1066)+INDEX(PARAMETROS_CULTURAS!$H$6:$H$28,$P1066),INDEX(PARAMETROS_CULTURAS!$L$6:$L$28,$P1066),INDEX(PARAMETROS_CULTURAS!$L$6:$L$28,$P1066)+(INDEX(PARAMETROS_CULTURAS!$M$6:$M$28,$P1066)-INDEX(PARAMETROS_CULTURAS!$L$6:$L$28,$P1066))*($O1066-INDEX(PARAMETROS_CULTURAS!$F$6:$F$28,$P1066)-INDEX(PARAMETROS_CULTURAS!$G$6:$G$28,$P1066)-INDEX(PARAMETROS_CULTURAS!$H$6:$H$28,$P1066))/MAX(INDEX(PARAMETROS_CULTURAS!$I$6:$I$28,$P1066),0.0001)))))</f>
        <v>0</v>
      </c>
      <c r="S1066" s="18" t="n">
        <f aca="false">IFERROR(INDEX(SEMANAS!$H$6:$H$71,MATCH($B1066,SEMANAS!$B$6:$B$71,0)),0)</f>
        <v>39.8</v>
      </c>
      <c r="T1066" s="18" t="n">
        <f aca="false">$R1066*$S1066</f>
        <v>0</v>
      </c>
      <c r="U1066" s="18" t="n">
        <f aca="false">IFERROR(INDEX(SEMANAS!$I$6:$I$71,MATCH($B1066,SEMANAS!$B$6:$B$71,0)),0)</f>
        <v>18.48</v>
      </c>
      <c r="V1066" s="18" t="n">
        <f aca="false">IFERROR(INDEX(SEMANAS!$J$6:$J$71,MATCH($B1066,SEMANAS!$B$6:$B$71,0)),0)</f>
        <v>14.784</v>
      </c>
      <c r="W1066" s="18" t="n">
        <f aca="false">MAX(0,$T1066-$V1066)</f>
        <v>0</v>
      </c>
      <c r="X1066" s="19" t="n">
        <f aca="false">IFERROR(INDEX(CADASTRO_PIVOS!$K$6:$K$41,MATCH($E1066,CADASTRO_PIVOS!$B$6:$B$41,0)),EFICIENCIA_PADRAO)</f>
        <v>0.85</v>
      </c>
      <c r="Y1066" s="18" t="n">
        <f aca="false">IF($X1066&lt;=0,0,$W1066/$X1066)</f>
        <v>0</v>
      </c>
      <c r="Z1066" s="16" t="n">
        <f aca="false">$Y1066*$H1066*MM_PARA_M3_HA</f>
        <v>0</v>
      </c>
      <c r="AA1066" s="18" t="n">
        <f aca="false">IFERROR(INDEX(CADASTRO_PIVOS!$I$6:$I$41,MATCH($E1066,CADASTRO_PIVOS!$B$6:$B$41,0)),0)</f>
        <v>1068.21428571429</v>
      </c>
      <c r="AB1066" s="18" t="n">
        <f aca="false">IF($Z1066&lt;=0,0,$Z1066/$AA1066)</f>
        <v>0</v>
      </c>
      <c r="AC1066" s="16" t="n">
        <f aca="false">IFERROR(INDEX(SEMANAS!$K$6:$K$71,MATCH($B1066,SEMANAS!$B$6:$B$71,0)),0)</f>
        <v>147</v>
      </c>
      <c r="AD1066" s="19" t="n">
        <f aca="false">IF($AC1066&lt;=0,0,$AB1066/$AC1066)</f>
        <v>0</v>
      </c>
      <c r="AE1066" s="8" t="str">
        <f aca="false">IF($K1066="SEM CULTURA","SEM CULTURA",IF($AA1066&lt;=0,"DADO PENDENTE",IF($AD1066&gt;LIMITE_CRITICO,"INVIAVEL",IF($AD1066&gt;LIMITE_ATENCAO,"CRITICO",IF($AD1066&gt;LIMITE_CONFORTAVEL,"ATENCAO","OK")))))</f>
        <v>SEM CULTURA</v>
      </c>
      <c r="AF1066" s="8" t="str">
        <f aca="false">$B1066&amp;"|"&amp;TEXT($AD1066,"0.000000")</f>
        <v>5|0.000000</v>
      </c>
      <c r="AG1066" s="18" t="n">
        <f aca="false">IF($K1066="SEM CULTURA",0,$T1066*$H1066)</f>
        <v>0</v>
      </c>
      <c r="AH1066" s="18" t="n">
        <f aca="false">IF($K1066="SEM CULTURA",0,$V1066*$H1066)</f>
        <v>0</v>
      </c>
      <c r="AI1066" s="18" t="n">
        <f aca="false">IF($K1066="SEM CULTURA",0,$W1066*$H1066)</f>
        <v>0</v>
      </c>
      <c r="AJ1066" s="18" t="n">
        <f aca="false">IF($K1066="SEM CULTURA",0,$S1066*$H1066)</f>
        <v>0</v>
      </c>
      <c r="AK1066" s="8" t="str">
        <f aca="false">$E1066&amp;"|"&amp;TEXT($AD1066,"0.000000")</f>
        <v>PV 116|0.000000</v>
      </c>
    </row>
    <row r="1067" customFormat="false" ht="15" hidden="false" customHeight="false" outlineLevel="0" collapsed="false">
      <c r="B1067" s="16" t="n">
        <v>6</v>
      </c>
      <c r="C1067" s="17" t="n">
        <f aca="false">DATA_INICIO_SAFRA+($B1067-1)*DIAS_POR_SEMANA</f>
        <v>46300</v>
      </c>
      <c r="D1067" s="17" t="n">
        <f aca="false">$C1067+DIAS_POR_SEMANA-1</f>
        <v>46306</v>
      </c>
      <c r="E1067" s="15" t="s">
        <v>275</v>
      </c>
      <c r="F1067" s="8" t="str">
        <f aca="false">IFERROR(INDEX(CADASTRO_PIVOS!$C$6:$C$41,MATCH($E1067,CADASTRO_PIVOS!$B$6:$B$41,0)),"?")</f>
        <v>RM06</v>
      </c>
      <c r="G1067" s="8" t="str">
        <f aca="false">IFERROR(INDEX(CADASTRO_PIVOS!$D$6:$D$41,MATCH($E1067,CADASTRO_PIVOS!$B$6:$B$41,0)),"?")</f>
        <v>TR06</v>
      </c>
      <c r="H1067" s="20" t="n">
        <f aca="false">IFERROR(INDEX(CADASTRO_PIVOS!$E$6:$E$41,MATCH($E1067,CADASTRO_PIVOS!$B$6:$B$41,0)),0)</f>
        <v>149.55</v>
      </c>
      <c r="I1067" s="16" t="n">
        <f aca="false">IFERROR(SUMIFS(ROTACAO_RDM!$B$6:$B$71,ROTACAO_RDM!$D$6:$D$71,$E1067,ROTACAO_RDM!$I$6:$I$71,"&lt;="&amp;$C1067+INT(DIAS_POR_SEMANA/2),ROTACAO_RDM!$J$6:$J$71,"&gt;="&amp;$C1067+INT(DIAS_POR_SEMANA/2)),0)</f>
        <v>0</v>
      </c>
      <c r="J1067" s="16" t="n">
        <f aca="false">IFERROR(MATCH($I1067,ROTACAO_RDM!$B$6:$B$71,0),0)</f>
        <v>0</v>
      </c>
      <c r="K1067" s="8" t="str">
        <f aca="false">IF($J1067=0,"SEM CULTURA",INDEX(ROTACAO_RDM!$F$6:$F$71,$J1067))</f>
        <v>SEM CULTURA</v>
      </c>
      <c r="L1067" s="8" t="str">
        <f aca="false">IF($J1067=0,"",INDEX(ROTACAO_RDM!$G$6:$G$71,$J1067))</f>
        <v/>
      </c>
      <c r="M1067" s="17" t="str">
        <f aca="false">IF($J1067=0,"",INDEX(ROTACAO_RDM!$I$6:$I$71,$J1067))</f>
        <v/>
      </c>
      <c r="N1067" s="16" t="n">
        <f aca="false">IF($J1067=0,0,MAX(0,$C1067+INT(DIAS_POR_SEMANA/2)-INDEX(ROTACAO_RDM!$I$6:$I$71,$J1067)))</f>
        <v>0</v>
      </c>
      <c r="O1067" s="19" t="n">
        <f aca="false">IF($J1067=0,0,MIN(1,$N1067/MAX(1,INDEX(ROTACAO_RDM!$K$6:$K$71,$J1067))))</f>
        <v>0</v>
      </c>
      <c r="P1067" s="16" t="n">
        <f aca="false">IF($J1067=0,0,IFERROR(MATCH(INDEX(ROTACAO_RDM!$N$6:$N$71,$J1067),PARAMETROS_CULTURAS!$B$6:$B$28,0),0))</f>
        <v>0</v>
      </c>
      <c r="Q1067" s="8" t="str">
        <f aca="false">IF($P1067=0,"-",IF($O1067&lt;=INDEX(PARAMETROS_CULTURAS!$F$6:$F$28,$P1067),"INICIAL",IF($O1067&lt;=INDEX(PARAMETROS_CULTURAS!$F$6:$F$28,$P1067)+INDEX(PARAMETROS_CULTURAS!$G$6:$G$28,$P1067),"DESENVOLVIMENTO",IF($O1067&lt;=INDEX(PARAMETROS_CULTURAS!$F$6:$F$28,$P1067)+INDEX(PARAMETROS_CULTURAS!$G$6:$G$28,$P1067)+INDEX(PARAMETROS_CULTURAS!$H$6:$H$28,$P1067),"MEDIA","FINAL"))))</f>
        <v>-</v>
      </c>
      <c r="R1067" s="24" t="n">
        <f aca="false">IF($P1067=0,0,IF($O1067&lt;=INDEX(PARAMETROS_CULTURAS!$F$6:$F$28,$P1067),INDEX(PARAMETROS_CULTURAS!$K$6:$K$28,$P1067),IF($O1067&lt;=INDEX(PARAMETROS_CULTURAS!$F$6:$F$28,$P1067)+INDEX(PARAMETROS_CULTURAS!$G$6:$G$28,$P1067),INDEX(PARAMETROS_CULTURAS!$K$6:$K$28,$P1067)+(INDEX(PARAMETROS_CULTURAS!$L$6:$L$28,$P1067)-INDEX(PARAMETROS_CULTURAS!$K$6:$K$28,$P1067))*($O1067-INDEX(PARAMETROS_CULTURAS!$F$6:$F$28,$P1067))/MAX(INDEX(PARAMETROS_CULTURAS!$G$6:$G$28,$P1067),0.0001),IF($O1067&lt;=INDEX(PARAMETROS_CULTURAS!$F$6:$F$28,$P1067)+INDEX(PARAMETROS_CULTURAS!$G$6:$G$28,$P1067)+INDEX(PARAMETROS_CULTURAS!$H$6:$H$28,$P1067),INDEX(PARAMETROS_CULTURAS!$L$6:$L$28,$P1067),INDEX(PARAMETROS_CULTURAS!$L$6:$L$28,$P1067)+(INDEX(PARAMETROS_CULTURAS!$M$6:$M$28,$P1067)-INDEX(PARAMETROS_CULTURAS!$L$6:$L$28,$P1067))*($O1067-INDEX(PARAMETROS_CULTURAS!$F$6:$F$28,$P1067)-INDEX(PARAMETROS_CULTURAS!$G$6:$G$28,$P1067)-INDEX(PARAMETROS_CULTURAS!$H$6:$H$28,$P1067))/MAX(INDEX(PARAMETROS_CULTURAS!$I$6:$I$28,$P1067),0.0001)))))</f>
        <v>0</v>
      </c>
      <c r="S1067" s="18" t="n">
        <f aca="false">IFERROR(INDEX(SEMANAS!$H$6:$H$71,MATCH($B1067,SEMANAS!$B$6:$B$71,0)),0)</f>
        <v>39.2</v>
      </c>
      <c r="T1067" s="18" t="n">
        <f aca="false">$R1067*$S1067</f>
        <v>0</v>
      </c>
      <c r="U1067" s="18" t="n">
        <f aca="false">IFERROR(INDEX(SEMANAS!$I$6:$I$71,MATCH($B1067,SEMANAS!$B$6:$B$71,0)),0)</f>
        <v>27.09</v>
      </c>
      <c r="V1067" s="18" t="n">
        <f aca="false">IFERROR(INDEX(SEMANAS!$J$6:$J$71,MATCH($B1067,SEMANAS!$B$6:$B$71,0)),0)</f>
        <v>21.672</v>
      </c>
      <c r="W1067" s="18" t="n">
        <f aca="false">MAX(0,$T1067-$V1067)</f>
        <v>0</v>
      </c>
      <c r="X1067" s="19" t="n">
        <f aca="false">IFERROR(INDEX(CADASTRO_PIVOS!$K$6:$K$41,MATCH($E1067,CADASTRO_PIVOS!$B$6:$B$41,0)),EFICIENCIA_PADRAO)</f>
        <v>0.85</v>
      </c>
      <c r="Y1067" s="18" t="n">
        <f aca="false">IF($X1067&lt;=0,0,$W1067/$X1067)</f>
        <v>0</v>
      </c>
      <c r="Z1067" s="16" t="n">
        <f aca="false">$Y1067*$H1067*MM_PARA_M3_HA</f>
        <v>0</v>
      </c>
      <c r="AA1067" s="18" t="n">
        <f aca="false">IFERROR(INDEX(CADASTRO_PIVOS!$I$6:$I$41,MATCH($E1067,CADASTRO_PIVOS!$B$6:$B$41,0)),0)</f>
        <v>1068.21428571429</v>
      </c>
      <c r="AB1067" s="18" t="n">
        <f aca="false">IF($Z1067&lt;=0,0,$Z1067/$AA1067)</f>
        <v>0</v>
      </c>
      <c r="AC1067" s="16" t="n">
        <f aca="false">IFERROR(INDEX(SEMANAS!$K$6:$K$71,MATCH($B1067,SEMANAS!$B$6:$B$71,0)),0)</f>
        <v>147</v>
      </c>
      <c r="AD1067" s="19" t="n">
        <f aca="false">IF($AC1067&lt;=0,0,$AB1067/$AC1067)</f>
        <v>0</v>
      </c>
      <c r="AE1067" s="8" t="str">
        <f aca="false">IF($K1067="SEM CULTURA","SEM CULTURA",IF($AA1067&lt;=0,"DADO PENDENTE",IF($AD1067&gt;LIMITE_CRITICO,"INVIAVEL",IF($AD1067&gt;LIMITE_ATENCAO,"CRITICO",IF($AD1067&gt;LIMITE_CONFORTAVEL,"ATENCAO","OK")))))</f>
        <v>SEM CULTURA</v>
      </c>
      <c r="AF1067" s="8" t="str">
        <f aca="false">$B1067&amp;"|"&amp;TEXT($AD1067,"0.000000")</f>
        <v>6|0.000000</v>
      </c>
      <c r="AG1067" s="18" t="n">
        <f aca="false">IF($K1067="SEM CULTURA",0,$T1067*$H1067)</f>
        <v>0</v>
      </c>
      <c r="AH1067" s="18" t="n">
        <f aca="false">IF($K1067="SEM CULTURA",0,$V1067*$H1067)</f>
        <v>0</v>
      </c>
      <c r="AI1067" s="18" t="n">
        <f aca="false">IF($K1067="SEM CULTURA",0,$W1067*$H1067)</f>
        <v>0</v>
      </c>
      <c r="AJ1067" s="18" t="n">
        <f aca="false">IF($K1067="SEM CULTURA",0,$S1067*$H1067)</f>
        <v>0</v>
      </c>
      <c r="AK1067" s="8" t="str">
        <f aca="false">$E1067&amp;"|"&amp;TEXT($AD1067,"0.000000")</f>
        <v>PV 116|0.000000</v>
      </c>
    </row>
    <row r="1068" customFormat="false" ht="15" hidden="false" customHeight="false" outlineLevel="0" collapsed="false">
      <c r="B1068" s="16" t="n">
        <v>7</v>
      </c>
      <c r="C1068" s="17" t="n">
        <f aca="false">DATA_INICIO_SAFRA+($B1068-1)*DIAS_POR_SEMANA</f>
        <v>46307</v>
      </c>
      <c r="D1068" s="17" t="n">
        <f aca="false">$C1068+DIAS_POR_SEMANA-1</f>
        <v>46313</v>
      </c>
      <c r="E1068" s="15" t="s">
        <v>275</v>
      </c>
      <c r="F1068" s="8" t="str">
        <f aca="false">IFERROR(INDEX(CADASTRO_PIVOS!$C$6:$C$41,MATCH($E1068,CADASTRO_PIVOS!$B$6:$B$41,0)),"?")</f>
        <v>RM06</v>
      </c>
      <c r="G1068" s="8" t="str">
        <f aca="false">IFERROR(INDEX(CADASTRO_PIVOS!$D$6:$D$41,MATCH($E1068,CADASTRO_PIVOS!$B$6:$B$41,0)),"?")</f>
        <v>TR06</v>
      </c>
      <c r="H1068" s="20" t="n">
        <f aca="false">IFERROR(INDEX(CADASTRO_PIVOS!$E$6:$E$41,MATCH($E1068,CADASTRO_PIVOS!$B$6:$B$41,0)),0)</f>
        <v>149.55</v>
      </c>
      <c r="I1068" s="16" t="n">
        <f aca="false">IFERROR(SUMIFS(ROTACAO_RDM!$B$6:$B$71,ROTACAO_RDM!$D$6:$D$71,$E1068,ROTACAO_RDM!$I$6:$I$71,"&lt;="&amp;$C1068+INT(DIAS_POR_SEMANA/2),ROTACAO_RDM!$J$6:$J$71,"&gt;="&amp;$C1068+INT(DIAS_POR_SEMANA/2)),0)</f>
        <v>0</v>
      </c>
      <c r="J1068" s="16" t="n">
        <f aca="false">IFERROR(MATCH($I1068,ROTACAO_RDM!$B$6:$B$71,0),0)</f>
        <v>0</v>
      </c>
      <c r="K1068" s="8" t="str">
        <f aca="false">IF($J1068=0,"SEM CULTURA",INDEX(ROTACAO_RDM!$F$6:$F$71,$J1068))</f>
        <v>SEM CULTURA</v>
      </c>
      <c r="L1068" s="8" t="str">
        <f aca="false">IF($J1068=0,"",INDEX(ROTACAO_RDM!$G$6:$G$71,$J1068))</f>
        <v/>
      </c>
      <c r="M1068" s="17" t="str">
        <f aca="false">IF($J1068=0,"",INDEX(ROTACAO_RDM!$I$6:$I$71,$J1068))</f>
        <v/>
      </c>
      <c r="N1068" s="16" t="n">
        <f aca="false">IF($J1068=0,0,MAX(0,$C1068+INT(DIAS_POR_SEMANA/2)-INDEX(ROTACAO_RDM!$I$6:$I$71,$J1068)))</f>
        <v>0</v>
      </c>
      <c r="O1068" s="19" t="n">
        <f aca="false">IF($J1068=0,0,MIN(1,$N1068/MAX(1,INDEX(ROTACAO_RDM!$K$6:$K$71,$J1068))))</f>
        <v>0</v>
      </c>
      <c r="P1068" s="16" t="n">
        <f aca="false">IF($J1068=0,0,IFERROR(MATCH(INDEX(ROTACAO_RDM!$N$6:$N$71,$J1068),PARAMETROS_CULTURAS!$B$6:$B$28,0),0))</f>
        <v>0</v>
      </c>
      <c r="Q1068" s="8" t="str">
        <f aca="false">IF($P1068=0,"-",IF($O1068&lt;=INDEX(PARAMETROS_CULTURAS!$F$6:$F$28,$P1068),"INICIAL",IF($O1068&lt;=INDEX(PARAMETROS_CULTURAS!$F$6:$F$28,$P1068)+INDEX(PARAMETROS_CULTURAS!$G$6:$G$28,$P1068),"DESENVOLVIMENTO",IF($O1068&lt;=INDEX(PARAMETROS_CULTURAS!$F$6:$F$28,$P1068)+INDEX(PARAMETROS_CULTURAS!$G$6:$G$28,$P1068)+INDEX(PARAMETROS_CULTURAS!$H$6:$H$28,$P1068),"MEDIA","FINAL"))))</f>
        <v>-</v>
      </c>
      <c r="R1068" s="24" t="n">
        <f aca="false">IF($P1068=0,0,IF($O1068&lt;=INDEX(PARAMETROS_CULTURAS!$F$6:$F$28,$P1068),INDEX(PARAMETROS_CULTURAS!$K$6:$K$28,$P1068),IF($O1068&lt;=INDEX(PARAMETROS_CULTURAS!$F$6:$F$28,$P1068)+INDEX(PARAMETROS_CULTURAS!$G$6:$G$28,$P1068),INDEX(PARAMETROS_CULTURAS!$K$6:$K$28,$P1068)+(INDEX(PARAMETROS_CULTURAS!$L$6:$L$28,$P1068)-INDEX(PARAMETROS_CULTURAS!$K$6:$K$28,$P1068))*($O1068-INDEX(PARAMETROS_CULTURAS!$F$6:$F$28,$P1068))/MAX(INDEX(PARAMETROS_CULTURAS!$G$6:$G$28,$P1068),0.0001),IF($O1068&lt;=INDEX(PARAMETROS_CULTURAS!$F$6:$F$28,$P1068)+INDEX(PARAMETROS_CULTURAS!$G$6:$G$28,$P1068)+INDEX(PARAMETROS_CULTURAS!$H$6:$H$28,$P1068),INDEX(PARAMETROS_CULTURAS!$L$6:$L$28,$P1068),INDEX(PARAMETROS_CULTURAS!$L$6:$L$28,$P1068)+(INDEX(PARAMETROS_CULTURAS!$M$6:$M$28,$P1068)-INDEX(PARAMETROS_CULTURAS!$L$6:$L$28,$P1068))*($O1068-INDEX(PARAMETROS_CULTURAS!$F$6:$F$28,$P1068)-INDEX(PARAMETROS_CULTURAS!$G$6:$G$28,$P1068)-INDEX(PARAMETROS_CULTURAS!$H$6:$H$28,$P1068))/MAX(INDEX(PARAMETROS_CULTURAS!$I$6:$I$28,$P1068),0.0001)))))</f>
        <v>0</v>
      </c>
      <c r="S1068" s="18" t="n">
        <f aca="false">IFERROR(INDEX(SEMANAS!$H$6:$H$71,MATCH($B1068,SEMANAS!$B$6:$B$71,0)),0)</f>
        <v>39.2</v>
      </c>
      <c r="T1068" s="18" t="n">
        <f aca="false">$R1068*$S1068</f>
        <v>0</v>
      </c>
      <c r="U1068" s="18" t="n">
        <f aca="false">IFERROR(INDEX(SEMANAS!$I$6:$I$71,MATCH($B1068,SEMANAS!$B$6:$B$71,0)),0)</f>
        <v>27.09</v>
      </c>
      <c r="V1068" s="18" t="n">
        <f aca="false">IFERROR(INDEX(SEMANAS!$J$6:$J$71,MATCH($B1068,SEMANAS!$B$6:$B$71,0)),0)</f>
        <v>21.672</v>
      </c>
      <c r="W1068" s="18" t="n">
        <f aca="false">MAX(0,$T1068-$V1068)</f>
        <v>0</v>
      </c>
      <c r="X1068" s="19" t="n">
        <f aca="false">IFERROR(INDEX(CADASTRO_PIVOS!$K$6:$K$41,MATCH($E1068,CADASTRO_PIVOS!$B$6:$B$41,0)),EFICIENCIA_PADRAO)</f>
        <v>0.85</v>
      </c>
      <c r="Y1068" s="18" t="n">
        <f aca="false">IF($X1068&lt;=0,0,$W1068/$X1068)</f>
        <v>0</v>
      </c>
      <c r="Z1068" s="16" t="n">
        <f aca="false">$Y1068*$H1068*MM_PARA_M3_HA</f>
        <v>0</v>
      </c>
      <c r="AA1068" s="18" t="n">
        <f aca="false">IFERROR(INDEX(CADASTRO_PIVOS!$I$6:$I$41,MATCH($E1068,CADASTRO_PIVOS!$B$6:$B$41,0)),0)</f>
        <v>1068.21428571429</v>
      </c>
      <c r="AB1068" s="18" t="n">
        <f aca="false">IF($Z1068&lt;=0,0,$Z1068/$AA1068)</f>
        <v>0</v>
      </c>
      <c r="AC1068" s="16" t="n">
        <f aca="false">IFERROR(INDEX(SEMANAS!$K$6:$K$71,MATCH($B1068,SEMANAS!$B$6:$B$71,0)),0)</f>
        <v>147</v>
      </c>
      <c r="AD1068" s="19" t="n">
        <f aca="false">IF($AC1068&lt;=0,0,$AB1068/$AC1068)</f>
        <v>0</v>
      </c>
      <c r="AE1068" s="8" t="str">
        <f aca="false">IF($K1068="SEM CULTURA","SEM CULTURA",IF($AA1068&lt;=0,"DADO PENDENTE",IF($AD1068&gt;LIMITE_CRITICO,"INVIAVEL",IF($AD1068&gt;LIMITE_ATENCAO,"CRITICO",IF($AD1068&gt;LIMITE_CONFORTAVEL,"ATENCAO","OK")))))</f>
        <v>SEM CULTURA</v>
      </c>
      <c r="AF1068" s="8" t="str">
        <f aca="false">$B1068&amp;"|"&amp;TEXT($AD1068,"0.000000")</f>
        <v>7|0.000000</v>
      </c>
      <c r="AG1068" s="18" t="n">
        <f aca="false">IF($K1068="SEM CULTURA",0,$T1068*$H1068)</f>
        <v>0</v>
      </c>
      <c r="AH1068" s="18" t="n">
        <f aca="false">IF($K1068="SEM CULTURA",0,$V1068*$H1068)</f>
        <v>0</v>
      </c>
      <c r="AI1068" s="18" t="n">
        <f aca="false">IF($K1068="SEM CULTURA",0,$W1068*$H1068)</f>
        <v>0</v>
      </c>
      <c r="AJ1068" s="18" t="n">
        <f aca="false">IF($K1068="SEM CULTURA",0,$S1068*$H1068)</f>
        <v>0</v>
      </c>
      <c r="AK1068" s="8" t="str">
        <f aca="false">$E1068&amp;"|"&amp;TEXT($AD1068,"0.000000")</f>
        <v>PV 116|0.000000</v>
      </c>
    </row>
    <row r="1069" customFormat="false" ht="15" hidden="false" customHeight="false" outlineLevel="0" collapsed="false">
      <c r="B1069" s="16" t="n">
        <v>8</v>
      </c>
      <c r="C1069" s="17" t="n">
        <f aca="false">DATA_INICIO_SAFRA+($B1069-1)*DIAS_POR_SEMANA</f>
        <v>46314</v>
      </c>
      <c r="D1069" s="17" t="n">
        <f aca="false">$C1069+DIAS_POR_SEMANA-1</f>
        <v>46320</v>
      </c>
      <c r="E1069" s="15" t="s">
        <v>275</v>
      </c>
      <c r="F1069" s="8" t="str">
        <f aca="false">IFERROR(INDEX(CADASTRO_PIVOS!$C$6:$C$41,MATCH($E1069,CADASTRO_PIVOS!$B$6:$B$41,0)),"?")</f>
        <v>RM06</v>
      </c>
      <c r="G1069" s="8" t="str">
        <f aca="false">IFERROR(INDEX(CADASTRO_PIVOS!$D$6:$D$41,MATCH($E1069,CADASTRO_PIVOS!$B$6:$B$41,0)),"?")</f>
        <v>TR06</v>
      </c>
      <c r="H1069" s="20" t="n">
        <f aca="false">IFERROR(INDEX(CADASTRO_PIVOS!$E$6:$E$41,MATCH($E1069,CADASTRO_PIVOS!$B$6:$B$41,0)),0)</f>
        <v>149.55</v>
      </c>
      <c r="I1069" s="16" t="n">
        <f aca="false">IFERROR(SUMIFS(ROTACAO_RDM!$B$6:$B$71,ROTACAO_RDM!$D$6:$D$71,$E1069,ROTACAO_RDM!$I$6:$I$71,"&lt;="&amp;$C1069+INT(DIAS_POR_SEMANA/2),ROTACAO_RDM!$J$6:$J$71,"&gt;="&amp;$C1069+INT(DIAS_POR_SEMANA/2)),0)</f>
        <v>0</v>
      </c>
      <c r="J1069" s="16" t="n">
        <f aca="false">IFERROR(MATCH($I1069,ROTACAO_RDM!$B$6:$B$71,0),0)</f>
        <v>0</v>
      </c>
      <c r="K1069" s="8" t="str">
        <f aca="false">IF($J1069=0,"SEM CULTURA",INDEX(ROTACAO_RDM!$F$6:$F$71,$J1069))</f>
        <v>SEM CULTURA</v>
      </c>
      <c r="L1069" s="8" t="str">
        <f aca="false">IF($J1069=0,"",INDEX(ROTACAO_RDM!$G$6:$G$71,$J1069))</f>
        <v/>
      </c>
      <c r="M1069" s="17" t="str">
        <f aca="false">IF($J1069=0,"",INDEX(ROTACAO_RDM!$I$6:$I$71,$J1069))</f>
        <v/>
      </c>
      <c r="N1069" s="16" t="n">
        <f aca="false">IF($J1069=0,0,MAX(0,$C1069+INT(DIAS_POR_SEMANA/2)-INDEX(ROTACAO_RDM!$I$6:$I$71,$J1069)))</f>
        <v>0</v>
      </c>
      <c r="O1069" s="19" t="n">
        <f aca="false">IF($J1069=0,0,MIN(1,$N1069/MAX(1,INDEX(ROTACAO_RDM!$K$6:$K$71,$J1069))))</f>
        <v>0</v>
      </c>
      <c r="P1069" s="16" t="n">
        <f aca="false">IF($J1069=0,0,IFERROR(MATCH(INDEX(ROTACAO_RDM!$N$6:$N$71,$J1069),PARAMETROS_CULTURAS!$B$6:$B$28,0),0))</f>
        <v>0</v>
      </c>
      <c r="Q1069" s="8" t="str">
        <f aca="false">IF($P1069=0,"-",IF($O1069&lt;=INDEX(PARAMETROS_CULTURAS!$F$6:$F$28,$P1069),"INICIAL",IF($O1069&lt;=INDEX(PARAMETROS_CULTURAS!$F$6:$F$28,$P1069)+INDEX(PARAMETROS_CULTURAS!$G$6:$G$28,$P1069),"DESENVOLVIMENTO",IF($O1069&lt;=INDEX(PARAMETROS_CULTURAS!$F$6:$F$28,$P1069)+INDEX(PARAMETROS_CULTURAS!$G$6:$G$28,$P1069)+INDEX(PARAMETROS_CULTURAS!$H$6:$H$28,$P1069),"MEDIA","FINAL"))))</f>
        <v>-</v>
      </c>
      <c r="R1069" s="24" t="n">
        <f aca="false">IF($P1069=0,0,IF($O1069&lt;=INDEX(PARAMETROS_CULTURAS!$F$6:$F$28,$P1069),INDEX(PARAMETROS_CULTURAS!$K$6:$K$28,$P1069),IF($O1069&lt;=INDEX(PARAMETROS_CULTURAS!$F$6:$F$28,$P1069)+INDEX(PARAMETROS_CULTURAS!$G$6:$G$28,$P1069),INDEX(PARAMETROS_CULTURAS!$K$6:$K$28,$P1069)+(INDEX(PARAMETROS_CULTURAS!$L$6:$L$28,$P1069)-INDEX(PARAMETROS_CULTURAS!$K$6:$K$28,$P1069))*($O1069-INDEX(PARAMETROS_CULTURAS!$F$6:$F$28,$P1069))/MAX(INDEX(PARAMETROS_CULTURAS!$G$6:$G$28,$P1069),0.0001),IF($O1069&lt;=INDEX(PARAMETROS_CULTURAS!$F$6:$F$28,$P1069)+INDEX(PARAMETROS_CULTURAS!$G$6:$G$28,$P1069)+INDEX(PARAMETROS_CULTURAS!$H$6:$H$28,$P1069),INDEX(PARAMETROS_CULTURAS!$L$6:$L$28,$P1069),INDEX(PARAMETROS_CULTURAS!$L$6:$L$28,$P1069)+(INDEX(PARAMETROS_CULTURAS!$M$6:$M$28,$P1069)-INDEX(PARAMETROS_CULTURAS!$L$6:$L$28,$P1069))*($O1069-INDEX(PARAMETROS_CULTURAS!$F$6:$F$28,$P1069)-INDEX(PARAMETROS_CULTURAS!$G$6:$G$28,$P1069)-INDEX(PARAMETROS_CULTURAS!$H$6:$H$28,$P1069))/MAX(INDEX(PARAMETROS_CULTURAS!$I$6:$I$28,$P1069),0.0001)))))</f>
        <v>0</v>
      </c>
      <c r="S1069" s="18" t="n">
        <f aca="false">IFERROR(INDEX(SEMANAS!$H$6:$H$71,MATCH($B1069,SEMANAS!$B$6:$B$71,0)),0)</f>
        <v>39.2</v>
      </c>
      <c r="T1069" s="18" t="n">
        <f aca="false">$R1069*$S1069</f>
        <v>0</v>
      </c>
      <c r="U1069" s="18" t="n">
        <f aca="false">IFERROR(INDEX(SEMANAS!$I$6:$I$71,MATCH($B1069,SEMANAS!$B$6:$B$71,0)),0)</f>
        <v>27.09</v>
      </c>
      <c r="V1069" s="18" t="n">
        <f aca="false">IFERROR(INDEX(SEMANAS!$J$6:$J$71,MATCH($B1069,SEMANAS!$B$6:$B$71,0)),0)</f>
        <v>21.672</v>
      </c>
      <c r="W1069" s="18" t="n">
        <f aca="false">MAX(0,$T1069-$V1069)</f>
        <v>0</v>
      </c>
      <c r="X1069" s="19" t="n">
        <f aca="false">IFERROR(INDEX(CADASTRO_PIVOS!$K$6:$K$41,MATCH($E1069,CADASTRO_PIVOS!$B$6:$B$41,0)),EFICIENCIA_PADRAO)</f>
        <v>0.85</v>
      </c>
      <c r="Y1069" s="18" t="n">
        <f aca="false">IF($X1069&lt;=0,0,$W1069/$X1069)</f>
        <v>0</v>
      </c>
      <c r="Z1069" s="16" t="n">
        <f aca="false">$Y1069*$H1069*MM_PARA_M3_HA</f>
        <v>0</v>
      </c>
      <c r="AA1069" s="18" t="n">
        <f aca="false">IFERROR(INDEX(CADASTRO_PIVOS!$I$6:$I$41,MATCH($E1069,CADASTRO_PIVOS!$B$6:$B$41,0)),0)</f>
        <v>1068.21428571429</v>
      </c>
      <c r="AB1069" s="18" t="n">
        <f aca="false">IF($Z1069&lt;=0,0,$Z1069/$AA1069)</f>
        <v>0</v>
      </c>
      <c r="AC1069" s="16" t="n">
        <f aca="false">IFERROR(INDEX(SEMANAS!$K$6:$K$71,MATCH($B1069,SEMANAS!$B$6:$B$71,0)),0)</f>
        <v>147</v>
      </c>
      <c r="AD1069" s="19" t="n">
        <f aca="false">IF($AC1069&lt;=0,0,$AB1069/$AC1069)</f>
        <v>0</v>
      </c>
      <c r="AE1069" s="8" t="str">
        <f aca="false">IF($K1069="SEM CULTURA","SEM CULTURA",IF($AA1069&lt;=0,"DADO PENDENTE",IF($AD1069&gt;LIMITE_CRITICO,"INVIAVEL",IF($AD1069&gt;LIMITE_ATENCAO,"CRITICO",IF($AD1069&gt;LIMITE_CONFORTAVEL,"ATENCAO","OK")))))</f>
        <v>SEM CULTURA</v>
      </c>
      <c r="AF1069" s="8" t="str">
        <f aca="false">$B1069&amp;"|"&amp;TEXT($AD1069,"0.000000")</f>
        <v>8|0.000000</v>
      </c>
      <c r="AG1069" s="18" t="n">
        <f aca="false">IF($K1069="SEM CULTURA",0,$T1069*$H1069)</f>
        <v>0</v>
      </c>
      <c r="AH1069" s="18" t="n">
        <f aca="false">IF($K1069="SEM CULTURA",0,$V1069*$H1069)</f>
        <v>0</v>
      </c>
      <c r="AI1069" s="18" t="n">
        <f aca="false">IF($K1069="SEM CULTURA",0,$W1069*$H1069)</f>
        <v>0</v>
      </c>
      <c r="AJ1069" s="18" t="n">
        <f aca="false">IF($K1069="SEM CULTURA",0,$S1069*$H1069)</f>
        <v>0</v>
      </c>
      <c r="AK1069" s="8" t="str">
        <f aca="false">$E1069&amp;"|"&amp;TEXT($AD1069,"0.000000")</f>
        <v>PV 116|0.000000</v>
      </c>
    </row>
    <row r="1070" customFormat="false" ht="15" hidden="false" customHeight="false" outlineLevel="0" collapsed="false">
      <c r="B1070" s="16" t="n">
        <v>9</v>
      </c>
      <c r="C1070" s="17" t="n">
        <f aca="false">DATA_INICIO_SAFRA+($B1070-1)*DIAS_POR_SEMANA</f>
        <v>46321</v>
      </c>
      <c r="D1070" s="17" t="n">
        <f aca="false">$C1070+DIAS_POR_SEMANA-1</f>
        <v>46327</v>
      </c>
      <c r="E1070" s="15" t="s">
        <v>275</v>
      </c>
      <c r="F1070" s="8" t="str">
        <f aca="false">IFERROR(INDEX(CADASTRO_PIVOS!$C$6:$C$41,MATCH($E1070,CADASTRO_PIVOS!$B$6:$B$41,0)),"?")</f>
        <v>RM06</v>
      </c>
      <c r="G1070" s="8" t="str">
        <f aca="false">IFERROR(INDEX(CADASTRO_PIVOS!$D$6:$D$41,MATCH($E1070,CADASTRO_PIVOS!$B$6:$B$41,0)),"?")</f>
        <v>TR06</v>
      </c>
      <c r="H1070" s="20" t="n">
        <f aca="false">IFERROR(INDEX(CADASTRO_PIVOS!$E$6:$E$41,MATCH($E1070,CADASTRO_PIVOS!$B$6:$B$41,0)),0)</f>
        <v>149.55</v>
      </c>
      <c r="I1070" s="16" t="n">
        <f aca="false">IFERROR(SUMIFS(ROTACAO_RDM!$B$6:$B$71,ROTACAO_RDM!$D$6:$D$71,$E1070,ROTACAO_RDM!$I$6:$I$71,"&lt;="&amp;$C1070+INT(DIAS_POR_SEMANA/2),ROTACAO_RDM!$J$6:$J$71,"&gt;="&amp;$C1070+INT(DIAS_POR_SEMANA/2)),0)</f>
        <v>0</v>
      </c>
      <c r="J1070" s="16" t="n">
        <f aca="false">IFERROR(MATCH($I1070,ROTACAO_RDM!$B$6:$B$71,0),0)</f>
        <v>0</v>
      </c>
      <c r="K1070" s="8" t="str">
        <f aca="false">IF($J1070=0,"SEM CULTURA",INDEX(ROTACAO_RDM!$F$6:$F$71,$J1070))</f>
        <v>SEM CULTURA</v>
      </c>
      <c r="L1070" s="8" t="str">
        <f aca="false">IF($J1070=0,"",INDEX(ROTACAO_RDM!$G$6:$G$71,$J1070))</f>
        <v/>
      </c>
      <c r="M1070" s="17" t="str">
        <f aca="false">IF($J1070=0,"",INDEX(ROTACAO_RDM!$I$6:$I$71,$J1070))</f>
        <v/>
      </c>
      <c r="N1070" s="16" t="n">
        <f aca="false">IF($J1070=0,0,MAX(0,$C1070+INT(DIAS_POR_SEMANA/2)-INDEX(ROTACAO_RDM!$I$6:$I$71,$J1070)))</f>
        <v>0</v>
      </c>
      <c r="O1070" s="19" t="n">
        <f aca="false">IF($J1070=0,0,MIN(1,$N1070/MAX(1,INDEX(ROTACAO_RDM!$K$6:$K$71,$J1070))))</f>
        <v>0</v>
      </c>
      <c r="P1070" s="16" t="n">
        <f aca="false">IF($J1070=0,0,IFERROR(MATCH(INDEX(ROTACAO_RDM!$N$6:$N$71,$J1070),PARAMETROS_CULTURAS!$B$6:$B$28,0),0))</f>
        <v>0</v>
      </c>
      <c r="Q1070" s="8" t="str">
        <f aca="false">IF($P1070=0,"-",IF($O1070&lt;=INDEX(PARAMETROS_CULTURAS!$F$6:$F$28,$P1070),"INICIAL",IF($O1070&lt;=INDEX(PARAMETROS_CULTURAS!$F$6:$F$28,$P1070)+INDEX(PARAMETROS_CULTURAS!$G$6:$G$28,$P1070),"DESENVOLVIMENTO",IF($O1070&lt;=INDEX(PARAMETROS_CULTURAS!$F$6:$F$28,$P1070)+INDEX(PARAMETROS_CULTURAS!$G$6:$G$28,$P1070)+INDEX(PARAMETROS_CULTURAS!$H$6:$H$28,$P1070),"MEDIA","FINAL"))))</f>
        <v>-</v>
      </c>
      <c r="R1070" s="24" t="n">
        <f aca="false">IF($P1070=0,0,IF($O1070&lt;=INDEX(PARAMETROS_CULTURAS!$F$6:$F$28,$P1070),INDEX(PARAMETROS_CULTURAS!$K$6:$K$28,$P1070),IF($O1070&lt;=INDEX(PARAMETROS_CULTURAS!$F$6:$F$28,$P1070)+INDEX(PARAMETROS_CULTURAS!$G$6:$G$28,$P1070),INDEX(PARAMETROS_CULTURAS!$K$6:$K$28,$P1070)+(INDEX(PARAMETROS_CULTURAS!$L$6:$L$28,$P1070)-INDEX(PARAMETROS_CULTURAS!$K$6:$K$28,$P1070))*($O1070-INDEX(PARAMETROS_CULTURAS!$F$6:$F$28,$P1070))/MAX(INDEX(PARAMETROS_CULTURAS!$G$6:$G$28,$P1070),0.0001),IF($O1070&lt;=INDEX(PARAMETROS_CULTURAS!$F$6:$F$28,$P1070)+INDEX(PARAMETROS_CULTURAS!$G$6:$G$28,$P1070)+INDEX(PARAMETROS_CULTURAS!$H$6:$H$28,$P1070),INDEX(PARAMETROS_CULTURAS!$L$6:$L$28,$P1070),INDEX(PARAMETROS_CULTURAS!$L$6:$L$28,$P1070)+(INDEX(PARAMETROS_CULTURAS!$M$6:$M$28,$P1070)-INDEX(PARAMETROS_CULTURAS!$L$6:$L$28,$P1070))*($O1070-INDEX(PARAMETROS_CULTURAS!$F$6:$F$28,$P1070)-INDEX(PARAMETROS_CULTURAS!$G$6:$G$28,$P1070)-INDEX(PARAMETROS_CULTURAS!$H$6:$H$28,$P1070))/MAX(INDEX(PARAMETROS_CULTURAS!$I$6:$I$28,$P1070),0.0001)))))</f>
        <v>0</v>
      </c>
      <c r="S1070" s="18" t="n">
        <f aca="false">IFERROR(INDEX(SEMANAS!$H$6:$H$71,MATCH($B1070,SEMANAS!$B$6:$B$71,0)),0)</f>
        <v>38.5</v>
      </c>
      <c r="T1070" s="18" t="n">
        <f aca="false">$R1070*$S1070</f>
        <v>0</v>
      </c>
      <c r="U1070" s="18" t="n">
        <f aca="false">IFERROR(INDEX(SEMANAS!$I$6:$I$71,MATCH($B1070,SEMANAS!$B$6:$B$71,0)),0)</f>
        <v>29.89</v>
      </c>
      <c r="V1070" s="18" t="n">
        <f aca="false">IFERROR(INDEX(SEMANAS!$J$6:$J$71,MATCH($B1070,SEMANAS!$B$6:$B$71,0)),0)</f>
        <v>23.912</v>
      </c>
      <c r="W1070" s="18" t="n">
        <f aca="false">MAX(0,$T1070-$V1070)</f>
        <v>0</v>
      </c>
      <c r="X1070" s="19" t="n">
        <f aca="false">IFERROR(INDEX(CADASTRO_PIVOS!$K$6:$K$41,MATCH($E1070,CADASTRO_PIVOS!$B$6:$B$41,0)),EFICIENCIA_PADRAO)</f>
        <v>0.85</v>
      </c>
      <c r="Y1070" s="18" t="n">
        <f aca="false">IF($X1070&lt;=0,0,$W1070/$X1070)</f>
        <v>0</v>
      </c>
      <c r="Z1070" s="16" t="n">
        <f aca="false">$Y1070*$H1070*MM_PARA_M3_HA</f>
        <v>0</v>
      </c>
      <c r="AA1070" s="18" t="n">
        <f aca="false">IFERROR(INDEX(CADASTRO_PIVOS!$I$6:$I$41,MATCH($E1070,CADASTRO_PIVOS!$B$6:$B$41,0)),0)</f>
        <v>1068.21428571429</v>
      </c>
      <c r="AB1070" s="18" t="n">
        <f aca="false">IF($Z1070&lt;=0,0,$Z1070/$AA1070)</f>
        <v>0</v>
      </c>
      <c r="AC1070" s="16" t="n">
        <f aca="false">IFERROR(INDEX(SEMANAS!$K$6:$K$71,MATCH($B1070,SEMANAS!$B$6:$B$71,0)),0)</f>
        <v>147</v>
      </c>
      <c r="AD1070" s="19" t="n">
        <f aca="false">IF($AC1070&lt;=0,0,$AB1070/$AC1070)</f>
        <v>0</v>
      </c>
      <c r="AE1070" s="8" t="str">
        <f aca="false">IF($K1070="SEM CULTURA","SEM CULTURA",IF($AA1070&lt;=0,"DADO PENDENTE",IF($AD1070&gt;LIMITE_CRITICO,"INVIAVEL",IF($AD1070&gt;LIMITE_ATENCAO,"CRITICO",IF($AD1070&gt;LIMITE_CONFORTAVEL,"ATENCAO","OK")))))</f>
        <v>SEM CULTURA</v>
      </c>
      <c r="AF1070" s="8" t="str">
        <f aca="false">$B1070&amp;"|"&amp;TEXT($AD1070,"0.000000")</f>
        <v>9|0.000000</v>
      </c>
      <c r="AG1070" s="18" t="n">
        <f aca="false">IF($K1070="SEM CULTURA",0,$T1070*$H1070)</f>
        <v>0</v>
      </c>
      <c r="AH1070" s="18" t="n">
        <f aca="false">IF($K1070="SEM CULTURA",0,$V1070*$H1070)</f>
        <v>0</v>
      </c>
      <c r="AI1070" s="18" t="n">
        <f aca="false">IF($K1070="SEM CULTURA",0,$W1070*$H1070)</f>
        <v>0</v>
      </c>
      <c r="AJ1070" s="18" t="n">
        <f aca="false">IF($K1070="SEM CULTURA",0,$S1070*$H1070)</f>
        <v>0</v>
      </c>
      <c r="AK1070" s="8" t="str">
        <f aca="false">$E1070&amp;"|"&amp;TEXT($AD1070,"0.000000")</f>
        <v>PV 116|0.000000</v>
      </c>
    </row>
    <row r="1071" customFormat="false" ht="15" hidden="false" customHeight="false" outlineLevel="0" collapsed="false">
      <c r="B1071" s="16" t="n">
        <v>10</v>
      </c>
      <c r="C1071" s="17" t="n">
        <f aca="false">DATA_INICIO_SAFRA+($B1071-1)*DIAS_POR_SEMANA</f>
        <v>46328</v>
      </c>
      <c r="D1071" s="17" t="n">
        <f aca="false">$C1071+DIAS_POR_SEMANA-1</f>
        <v>46334</v>
      </c>
      <c r="E1071" s="15" t="s">
        <v>275</v>
      </c>
      <c r="F1071" s="8" t="str">
        <f aca="false">IFERROR(INDEX(CADASTRO_PIVOS!$C$6:$C$41,MATCH($E1071,CADASTRO_PIVOS!$B$6:$B$41,0)),"?")</f>
        <v>RM06</v>
      </c>
      <c r="G1071" s="8" t="str">
        <f aca="false">IFERROR(INDEX(CADASTRO_PIVOS!$D$6:$D$41,MATCH($E1071,CADASTRO_PIVOS!$B$6:$B$41,0)),"?")</f>
        <v>TR06</v>
      </c>
      <c r="H1071" s="20" t="n">
        <f aca="false">IFERROR(INDEX(CADASTRO_PIVOS!$E$6:$E$41,MATCH($E1071,CADASTRO_PIVOS!$B$6:$B$41,0)),0)</f>
        <v>149.55</v>
      </c>
      <c r="I1071" s="16" t="n">
        <f aca="false">IFERROR(SUMIFS(ROTACAO_RDM!$B$6:$B$71,ROTACAO_RDM!$D$6:$D$71,$E1071,ROTACAO_RDM!$I$6:$I$71,"&lt;="&amp;$C1071+INT(DIAS_POR_SEMANA/2),ROTACAO_RDM!$J$6:$J$71,"&gt;="&amp;$C1071+INT(DIAS_POR_SEMANA/2)),0)</f>
        <v>0</v>
      </c>
      <c r="J1071" s="16" t="n">
        <f aca="false">IFERROR(MATCH($I1071,ROTACAO_RDM!$B$6:$B$71,0),0)</f>
        <v>0</v>
      </c>
      <c r="K1071" s="8" t="str">
        <f aca="false">IF($J1071=0,"SEM CULTURA",INDEX(ROTACAO_RDM!$F$6:$F$71,$J1071))</f>
        <v>SEM CULTURA</v>
      </c>
      <c r="L1071" s="8" t="str">
        <f aca="false">IF($J1071=0,"",INDEX(ROTACAO_RDM!$G$6:$G$71,$J1071))</f>
        <v/>
      </c>
      <c r="M1071" s="17" t="str">
        <f aca="false">IF($J1071=0,"",INDEX(ROTACAO_RDM!$I$6:$I$71,$J1071))</f>
        <v/>
      </c>
      <c r="N1071" s="16" t="n">
        <f aca="false">IF($J1071=0,0,MAX(0,$C1071+INT(DIAS_POR_SEMANA/2)-INDEX(ROTACAO_RDM!$I$6:$I$71,$J1071)))</f>
        <v>0</v>
      </c>
      <c r="O1071" s="19" t="n">
        <f aca="false">IF($J1071=0,0,MIN(1,$N1071/MAX(1,INDEX(ROTACAO_RDM!$K$6:$K$71,$J1071))))</f>
        <v>0</v>
      </c>
      <c r="P1071" s="16" t="n">
        <f aca="false">IF($J1071=0,0,IFERROR(MATCH(INDEX(ROTACAO_RDM!$N$6:$N$71,$J1071),PARAMETROS_CULTURAS!$B$6:$B$28,0),0))</f>
        <v>0</v>
      </c>
      <c r="Q1071" s="8" t="str">
        <f aca="false">IF($P1071=0,"-",IF($O1071&lt;=INDEX(PARAMETROS_CULTURAS!$F$6:$F$28,$P1071),"INICIAL",IF($O1071&lt;=INDEX(PARAMETROS_CULTURAS!$F$6:$F$28,$P1071)+INDEX(PARAMETROS_CULTURAS!$G$6:$G$28,$P1071),"DESENVOLVIMENTO",IF($O1071&lt;=INDEX(PARAMETROS_CULTURAS!$F$6:$F$28,$P1071)+INDEX(PARAMETROS_CULTURAS!$G$6:$G$28,$P1071)+INDEX(PARAMETROS_CULTURAS!$H$6:$H$28,$P1071),"MEDIA","FINAL"))))</f>
        <v>-</v>
      </c>
      <c r="R1071" s="24" t="n">
        <f aca="false">IF($P1071=0,0,IF($O1071&lt;=INDEX(PARAMETROS_CULTURAS!$F$6:$F$28,$P1071),INDEX(PARAMETROS_CULTURAS!$K$6:$K$28,$P1071),IF($O1071&lt;=INDEX(PARAMETROS_CULTURAS!$F$6:$F$28,$P1071)+INDEX(PARAMETROS_CULTURAS!$G$6:$G$28,$P1071),INDEX(PARAMETROS_CULTURAS!$K$6:$K$28,$P1071)+(INDEX(PARAMETROS_CULTURAS!$L$6:$L$28,$P1071)-INDEX(PARAMETROS_CULTURAS!$K$6:$K$28,$P1071))*($O1071-INDEX(PARAMETROS_CULTURAS!$F$6:$F$28,$P1071))/MAX(INDEX(PARAMETROS_CULTURAS!$G$6:$G$28,$P1071),0.0001),IF($O1071&lt;=INDEX(PARAMETROS_CULTURAS!$F$6:$F$28,$P1071)+INDEX(PARAMETROS_CULTURAS!$G$6:$G$28,$P1071)+INDEX(PARAMETROS_CULTURAS!$H$6:$H$28,$P1071),INDEX(PARAMETROS_CULTURAS!$L$6:$L$28,$P1071),INDEX(PARAMETROS_CULTURAS!$L$6:$L$28,$P1071)+(INDEX(PARAMETROS_CULTURAS!$M$6:$M$28,$P1071)-INDEX(PARAMETROS_CULTURAS!$L$6:$L$28,$P1071))*($O1071-INDEX(PARAMETROS_CULTURAS!$F$6:$F$28,$P1071)-INDEX(PARAMETROS_CULTURAS!$G$6:$G$28,$P1071)-INDEX(PARAMETROS_CULTURAS!$H$6:$H$28,$P1071))/MAX(INDEX(PARAMETROS_CULTURAS!$I$6:$I$28,$P1071),0.0001)))))</f>
        <v>0</v>
      </c>
      <c r="S1071" s="18" t="n">
        <f aca="false">IFERROR(INDEX(SEMANAS!$H$6:$H$71,MATCH($B1071,SEMANAS!$B$6:$B$71,0)),0)</f>
        <v>34.3</v>
      </c>
      <c r="T1071" s="18" t="n">
        <f aca="false">$R1071*$S1071</f>
        <v>0</v>
      </c>
      <c r="U1071" s="18" t="n">
        <f aca="false">IFERROR(INDEX(SEMANAS!$I$6:$I$71,MATCH($B1071,SEMANAS!$B$6:$B$71,0)),0)</f>
        <v>46.69</v>
      </c>
      <c r="V1071" s="18" t="n">
        <f aca="false">IFERROR(INDEX(SEMANAS!$J$6:$J$71,MATCH($B1071,SEMANAS!$B$6:$B$71,0)),0)</f>
        <v>37.352</v>
      </c>
      <c r="W1071" s="18" t="n">
        <f aca="false">MAX(0,$T1071-$V1071)</f>
        <v>0</v>
      </c>
      <c r="X1071" s="19" t="n">
        <f aca="false">IFERROR(INDEX(CADASTRO_PIVOS!$K$6:$K$41,MATCH($E1071,CADASTRO_PIVOS!$B$6:$B$41,0)),EFICIENCIA_PADRAO)</f>
        <v>0.85</v>
      </c>
      <c r="Y1071" s="18" t="n">
        <f aca="false">IF($X1071&lt;=0,0,$W1071/$X1071)</f>
        <v>0</v>
      </c>
      <c r="Z1071" s="16" t="n">
        <f aca="false">$Y1071*$H1071*MM_PARA_M3_HA</f>
        <v>0</v>
      </c>
      <c r="AA1071" s="18" t="n">
        <f aca="false">IFERROR(INDEX(CADASTRO_PIVOS!$I$6:$I$41,MATCH($E1071,CADASTRO_PIVOS!$B$6:$B$41,0)),0)</f>
        <v>1068.21428571429</v>
      </c>
      <c r="AB1071" s="18" t="n">
        <f aca="false">IF($Z1071&lt;=0,0,$Z1071/$AA1071)</f>
        <v>0</v>
      </c>
      <c r="AC1071" s="16" t="n">
        <f aca="false">IFERROR(INDEX(SEMANAS!$K$6:$K$71,MATCH($B1071,SEMANAS!$B$6:$B$71,0)),0)</f>
        <v>147</v>
      </c>
      <c r="AD1071" s="19" t="n">
        <f aca="false">IF($AC1071&lt;=0,0,$AB1071/$AC1071)</f>
        <v>0</v>
      </c>
      <c r="AE1071" s="8" t="str">
        <f aca="false">IF($K1071="SEM CULTURA","SEM CULTURA",IF($AA1071&lt;=0,"DADO PENDENTE",IF($AD1071&gt;LIMITE_CRITICO,"INVIAVEL",IF($AD1071&gt;LIMITE_ATENCAO,"CRITICO",IF($AD1071&gt;LIMITE_CONFORTAVEL,"ATENCAO","OK")))))</f>
        <v>SEM CULTURA</v>
      </c>
      <c r="AF1071" s="8" t="str">
        <f aca="false">$B1071&amp;"|"&amp;TEXT($AD1071,"0.000000")</f>
        <v>10|0.000000</v>
      </c>
      <c r="AG1071" s="18" t="n">
        <f aca="false">IF($K1071="SEM CULTURA",0,$T1071*$H1071)</f>
        <v>0</v>
      </c>
      <c r="AH1071" s="18" t="n">
        <f aca="false">IF($K1071="SEM CULTURA",0,$V1071*$H1071)</f>
        <v>0</v>
      </c>
      <c r="AI1071" s="18" t="n">
        <f aca="false">IF($K1071="SEM CULTURA",0,$W1071*$H1071)</f>
        <v>0</v>
      </c>
      <c r="AJ1071" s="18" t="n">
        <f aca="false">IF($K1071="SEM CULTURA",0,$S1071*$H1071)</f>
        <v>0</v>
      </c>
      <c r="AK1071" s="8" t="str">
        <f aca="false">$E1071&amp;"|"&amp;TEXT($AD1071,"0.000000")</f>
        <v>PV 116|0.000000</v>
      </c>
    </row>
    <row r="1072" customFormat="false" ht="15" hidden="false" customHeight="false" outlineLevel="0" collapsed="false">
      <c r="B1072" s="16" t="n">
        <v>11</v>
      </c>
      <c r="C1072" s="17" t="n">
        <f aca="false">DATA_INICIO_SAFRA+($B1072-1)*DIAS_POR_SEMANA</f>
        <v>46335</v>
      </c>
      <c r="D1072" s="17" t="n">
        <f aca="false">$C1072+DIAS_POR_SEMANA-1</f>
        <v>46341</v>
      </c>
      <c r="E1072" s="15" t="s">
        <v>275</v>
      </c>
      <c r="F1072" s="8" t="str">
        <f aca="false">IFERROR(INDEX(CADASTRO_PIVOS!$C$6:$C$41,MATCH($E1072,CADASTRO_PIVOS!$B$6:$B$41,0)),"?")</f>
        <v>RM06</v>
      </c>
      <c r="G1072" s="8" t="str">
        <f aca="false">IFERROR(INDEX(CADASTRO_PIVOS!$D$6:$D$41,MATCH($E1072,CADASTRO_PIVOS!$B$6:$B$41,0)),"?")</f>
        <v>TR06</v>
      </c>
      <c r="H1072" s="20" t="n">
        <f aca="false">IFERROR(INDEX(CADASTRO_PIVOS!$E$6:$E$41,MATCH($E1072,CADASTRO_PIVOS!$B$6:$B$41,0)),0)</f>
        <v>149.55</v>
      </c>
      <c r="I1072" s="16" t="n">
        <f aca="false">IFERROR(SUMIFS(ROTACAO_RDM!$B$6:$B$71,ROTACAO_RDM!$D$6:$D$71,$E1072,ROTACAO_RDM!$I$6:$I$71,"&lt;="&amp;$C1072+INT(DIAS_POR_SEMANA/2),ROTACAO_RDM!$J$6:$J$71,"&gt;="&amp;$C1072+INT(DIAS_POR_SEMANA/2)),0)</f>
        <v>0</v>
      </c>
      <c r="J1072" s="16" t="n">
        <f aca="false">IFERROR(MATCH($I1072,ROTACAO_RDM!$B$6:$B$71,0),0)</f>
        <v>0</v>
      </c>
      <c r="K1072" s="8" t="str">
        <f aca="false">IF($J1072=0,"SEM CULTURA",INDEX(ROTACAO_RDM!$F$6:$F$71,$J1072))</f>
        <v>SEM CULTURA</v>
      </c>
      <c r="L1072" s="8" t="str">
        <f aca="false">IF($J1072=0,"",INDEX(ROTACAO_RDM!$G$6:$G$71,$J1072))</f>
        <v/>
      </c>
      <c r="M1072" s="17" t="str">
        <f aca="false">IF($J1072=0,"",INDEX(ROTACAO_RDM!$I$6:$I$71,$J1072))</f>
        <v/>
      </c>
      <c r="N1072" s="16" t="n">
        <f aca="false">IF($J1072=0,0,MAX(0,$C1072+INT(DIAS_POR_SEMANA/2)-INDEX(ROTACAO_RDM!$I$6:$I$71,$J1072)))</f>
        <v>0</v>
      </c>
      <c r="O1072" s="19" t="n">
        <f aca="false">IF($J1072=0,0,MIN(1,$N1072/MAX(1,INDEX(ROTACAO_RDM!$K$6:$K$71,$J1072))))</f>
        <v>0</v>
      </c>
      <c r="P1072" s="16" t="n">
        <f aca="false">IF($J1072=0,0,IFERROR(MATCH(INDEX(ROTACAO_RDM!$N$6:$N$71,$J1072),PARAMETROS_CULTURAS!$B$6:$B$28,0),0))</f>
        <v>0</v>
      </c>
      <c r="Q1072" s="8" t="str">
        <f aca="false">IF($P1072=0,"-",IF($O1072&lt;=INDEX(PARAMETROS_CULTURAS!$F$6:$F$28,$P1072),"INICIAL",IF($O1072&lt;=INDEX(PARAMETROS_CULTURAS!$F$6:$F$28,$P1072)+INDEX(PARAMETROS_CULTURAS!$G$6:$G$28,$P1072),"DESENVOLVIMENTO",IF($O1072&lt;=INDEX(PARAMETROS_CULTURAS!$F$6:$F$28,$P1072)+INDEX(PARAMETROS_CULTURAS!$G$6:$G$28,$P1072)+INDEX(PARAMETROS_CULTURAS!$H$6:$H$28,$P1072),"MEDIA","FINAL"))))</f>
        <v>-</v>
      </c>
      <c r="R1072" s="24" t="n">
        <f aca="false">IF($P1072=0,0,IF($O1072&lt;=INDEX(PARAMETROS_CULTURAS!$F$6:$F$28,$P1072),INDEX(PARAMETROS_CULTURAS!$K$6:$K$28,$P1072),IF($O1072&lt;=INDEX(PARAMETROS_CULTURAS!$F$6:$F$28,$P1072)+INDEX(PARAMETROS_CULTURAS!$G$6:$G$28,$P1072),INDEX(PARAMETROS_CULTURAS!$K$6:$K$28,$P1072)+(INDEX(PARAMETROS_CULTURAS!$L$6:$L$28,$P1072)-INDEX(PARAMETROS_CULTURAS!$K$6:$K$28,$P1072))*($O1072-INDEX(PARAMETROS_CULTURAS!$F$6:$F$28,$P1072))/MAX(INDEX(PARAMETROS_CULTURAS!$G$6:$G$28,$P1072),0.0001),IF($O1072&lt;=INDEX(PARAMETROS_CULTURAS!$F$6:$F$28,$P1072)+INDEX(PARAMETROS_CULTURAS!$G$6:$G$28,$P1072)+INDEX(PARAMETROS_CULTURAS!$H$6:$H$28,$P1072),INDEX(PARAMETROS_CULTURAS!$L$6:$L$28,$P1072),INDEX(PARAMETROS_CULTURAS!$L$6:$L$28,$P1072)+(INDEX(PARAMETROS_CULTURAS!$M$6:$M$28,$P1072)-INDEX(PARAMETROS_CULTURAS!$L$6:$L$28,$P1072))*($O1072-INDEX(PARAMETROS_CULTURAS!$F$6:$F$28,$P1072)-INDEX(PARAMETROS_CULTURAS!$G$6:$G$28,$P1072)-INDEX(PARAMETROS_CULTURAS!$H$6:$H$28,$P1072))/MAX(INDEX(PARAMETROS_CULTURAS!$I$6:$I$28,$P1072),0.0001)))))</f>
        <v>0</v>
      </c>
      <c r="S1072" s="18" t="n">
        <f aca="false">IFERROR(INDEX(SEMANAS!$H$6:$H$71,MATCH($B1072,SEMANAS!$B$6:$B$71,0)),0)</f>
        <v>34.3</v>
      </c>
      <c r="T1072" s="18" t="n">
        <f aca="false">$R1072*$S1072</f>
        <v>0</v>
      </c>
      <c r="U1072" s="18" t="n">
        <f aca="false">IFERROR(INDEX(SEMANAS!$I$6:$I$71,MATCH($B1072,SEMANAS!$B$6:$B$71,0)),0)</f>
        <v>46.69</v>
      </c>
      <c r="V1072" s="18" t="n">
        <f aca="false">IFERROR(INDEX(SEMANAS!$J$6:$J$71,MATCH($B1072,SEMANAS!$B$6:$B$71,0)),0)</f>
        <v>37.352</v>
      </c>
      <c r="W1072" s="18" t="n">
        <f aca="false">MAX(0,$T1072-$V1072)</f>
        <v>0</v>
      </c>
      <c r="X1072" s="19" t="n">
        <f aca="false">IFERROR(INDEX(CADASTRO_PIVOS!$K$6:$K$41,MATCH($E1072,CADASTRO_PIVOS!$B$6:$B$41,0)),EFICIENCIA_PADRAO)</f>
        <v>0.85</v>
      </c>
      <c r="Y1072" s="18" t="n">
        <f aca="false">IF($X1072&lt;=0,0,$W1072/$X1072)</f>
        <v>0</v>
      </c>
      <c r="Z1072" s="16" t="n">
        <f aca="false">$Y1072*$H1072*MM_PARA_M3_HA</f>
        <v>0</v>
      </c>
      <c r="AA1072" s="18" t="n">
        <f aca="false">IFERROR(INDEX(CADASTRO_PIVOS!$I$6:$I$41,MATCH($E1072,CADASTRO_PIVOS!$B$6:$B$41,0)),0)</f>
        <v>1068.21428571429</v>
      </c>
      <c r="AB1072" s="18" t="n">
        <f aca="false">IF($Z1072&lt;=0,0,$Z1072/$AA1072)</f>
        <v>0</v>
      </c>
      <c r="AC1072" s="16" t="n">
        <f aca="false">IFERROR(INDEX(SEMANAS!$K$6:$K$71,MATCH($B1072,SEMANAS!$B$6:$B$71,0)),0)</f>
        <v>147</v>
      </c>
      <c r="AD1072" s="19" t="n">
        <f aca="false">IF($AC1072&lt;=0,0,$AB1072/$AC1072)</f>
        <v>0</v>
      </c>
      <c r="AE1072" s="8" t="str">
        <f aca="false">IF($K1072="SEM CULTURA","SEM CULTURA",IF($AA1072&lt;=0,"DADO PENDENTE",IF($AD1072&gt;LIMITE_CRITICO,"INVIAVEL",IF($AD1072&gt;LIMITE_ATENCAO,"CRITICO",IF($AD1072&gt;LIMITE_CONFORTAVEL,"ATENCAO","OK")))))</f>
        <v>SEM CULTURA</v>
      </c>
      <c r="AF1072" s="8" t="str">
        <f aca="false">$B1072&amp;"|"&amp;TEXT($AD1072,"0.000000")</f>
        <v>11|0.000000</v>
      </c>
      <c r="AG1072" s="18" t="n">
        <f aca="false">IF($K1072="SEM CULTURA",0,$T1072*$H1072)</f>
        <v>0</v>
      </c>
      <c r="AH1072" s="18" t="n">
        <f aca="false">IF($K1072="SEM CULTURA",0,$V1072*$H1072)</f>
        <v>0</v>
      </c>
      <c r="AI1072" s="18" t="n">
        <f aca="false">IF($K1072="SEM CULTURA",0,$W1072*$H1072)</f>
        <v>0</v>
      </c>
      <c r="AJ1072" s="18" t="n">
        <f aca="false">IF($K1072="SEM CULTURA",0,$S1072*$H1072)</f>
        <v>0</v>
      </c>
      <c r="AK1072" s="8" t="str">
        <f aca="false">$E1072&amp;"|"&amp;TEXT($AD1072,"0.000000")</f>
        <v>PV 116|0.000000</v>
      </c>
    </row>
    <row r="1073" customFormat="false" ht="15" hidden="false" customHeight="false" outlineLevel="0" collapsed="false">
      <c r="B1073" s="16" t="n">
        <v>12</v>
      </c>
      <c r="C1073" s="17" t="n">
        <f aca="false">DATA_INICIO_SAFRA+($B1073-1)*DIAS_POR_SEMANA</f>
        <v>46342</v>
      </c>
      <c r="D1073" s="17" t="n">
        <f aca="false">$C1073+DIAS_POR_SEMANA-1</f>
        <v>46348</v>
      </c>
      <c r="E1073" s="15" t="s">
        <v>275</v>
      </c>
      <c r="F1073" s="8" t="str">
        <f aca="false">IFERROR(INDEX(CADASTRO_PIVOS!$C$6:$C$41,MATCH($E1073,CADASTRO_PIVOS!$B$6:$B$41,0)),"?")</f>
        <v>RM06</v>
      </c>
      <c r="G1073" s="8" t="str">
        <f aca="false">IFERROR(INDEX(CADASTRO_PIVOS!$D$6:$D$41,MATCH($E1073,CADASTRO_PIVOS!$B$6:$B$41,0)),"?")</f>
        <v>TR06</v>
      </c>
      <c r="H1073" s="20" t="n">
        <f aca="false">IFERROR(INDEX(CADASTRO_PIVOS!$E$6:$E$41,MATCH($E1073,CADASTRO_PIVOS!$B$6:$B$41,0)),0)</f>
        <v>149.55</v>
      </c>
      <c r="I1073" s="16" t="n">
        <f aca="false">IFERROR(SUMIFS(ROTACAO_RDM!$B$6:$B$71,ROTACAO_RDM!$D$6:$D$71,$E1073,ROTACAO_RDM!$I$6:$I$71,"&lt;="&amp;$C1073+INT(DIAS_POR_SEMANA/2),ROTACAO_RDM!$J$6:$J$71,"&gt;="&amp;$C1073+INT(DIAS_POR_SEMANA/2)),0)</f>
        <v>0</v>
      </c>
      <c r="J1073" s="16" t="n">
        <f aca="false">IFERROR(MATCH($I1073,ROTACAO_RDM!$B$6:$B$71,0),0)</f>
        <v>0</v>
      </c>
      <c r="K1073" s="8" t="str">
        <f aca="false">IF($J1073=0,"SEM CULTURA",INDEX(ROTACAO_RDM!$F$6:$F$71,$J1073))</f>
        <v>SEM CULTURA</v>
      </c>
      <c r="L1073" s="8" t="str">
        <f aca="false">IF($J1073=0,"",INDEX(ROTACAO_RDM!$G$6:$G$71,$J1073))</f>
        <v/>
      </c>
      <c r="M1073" s="17" t="str">
        <f aca="false">IF($J1073=0,"",INDEX(ROTACAO_RDM!$I$6:$I$71,$J1073))</f>
        <v/>
      </c>
      <c r="N1073" s="16" t="n">
        <f aca="false">IF($J1073=0,0,MAX(0,$C1073+INT(DIAS_POR_SEMANA/2)-INDEX(ROTACAO_RDM!$I$6:$I$71,$J1073)))</f>
        <v>0</v>
      </c>
      <c r="O1073" s="19" t="n">
        <f aca="false">IF($J1073=0,0,MIN(1,$N1073/MAX(1,INDEX(ROTACAO_RDM!$K$6:$K$71,$J1073))))</f>
        <v>0</v>
      </c>
      <c r="P1073" s="16" t="n">
        <f aca="false">IF($J1073=0,0,IFERROR(MATCH(INDEX(ROTACAO_RDM!$N$6:$N$71,$J1073),PARAMETROS_CULTURAS!$B$6:$B$28,0),0))</f>
        <v>0</v>
      </c>
      <c r="Q1073" s="8" t="str">
        <f aca="false">IF($P1073=0,"-",IF($O1073&lt;=INDEX(PARAMETROS_CULTURAS!$F$6:$F$28,$P1073),"INICIAL",IF($O1073&lt;=INDEX(PARAMETROS_CULTURAS!$F$6:$F$28,$P1073)+INDEX(PARAMETROS_CULTURAS!$G$6:$G$28,$P1073),"DESENVOLVIMENTO",IF($O1073&lt;=INDEX(PARAMETROS_CULTURAS!$F$6:$F$28,$P1073)+INDEX(PARAMETROS_CULTURAS!$G$6:$G$28,$P1073)+INDEX(PARAMETROS_CULTURAS!$H$6:$H$28,$P1073),"MEDIA","FINAL"))))</f>
        <v>-</v>
      </c>
      <c r="R1073" s="24" t="n">
        <f aca="false">IF($P1073=0,0,IF($O1073&lt;=INDEX(PARAMETROS_CULTURAS!$F$6:$F$28,$P1073),INDEX(PARAMETROS_CULTURAS!$K$6:$K$28,$P1073),IF($O1073&lt;=INDEX(PARAMETROS_CULTURAS!$F$6:$F$28,$P1073)+INDEX(PARAMETROS_CULTURAS!$G$6:$G$28,$P1073),INDEX(PARAMETROS_CULTURAS!$K$6:$K$28,$P1073)+(INDEX(PARAMETROS_CULTURAS!$L$6:$L$28,$P1073)-INDEX(PARAMETROS_CULTURAS!$K$6:$K$28,$P1073))*($O1073-INDEX(PARAMETROS_CULTURAS!$F$6:$F$28,$P1073))/MAX(INDEX(PARAMETROS_CULTURAS!$G$6:$G$28,$P1073),0.0001),IF($O1073&lt;=INDEX(PARAMETROS_CULTURAS!$F$6:$F$28,$P1073)+INDEX(PARAMETROS_CULTURAS!$G$6:$G$28,$P1073)+INDEX(PARAMETROS_CULTURAS!$H$6:$H$28,$P1073),INDEX(PARAMETROS_CULTURAS!$L$6:$L$28,$P1073),INDEX(PARAMETROS_CULTURAS!$L$6:$L$28,$P1073)+(INDEX(PARAMETROS_CULTURAS!$M$6:$M$28,$P1073)-INDEX(PARAMETROS_CULTURAS!$L$6:$L$28,$P1073))*($O1073-INDEX(PARAMETROS_CULTURAS!$F$6:$F$28,$P1073)-INDEX(PARAMETROS_CULTURAS!$G$6:$G$28,$P1073)-INDEX(PARAMETROS_CULTURAS!$H$6:$H$28,$P1073))/MAX(INDEX(PARAMETROS_CULTURAS!$I$6:$I$28,$P1073),0.0001)))))</f>
        <v>0</v>
      </c>
      <c r="S1073" s="18" t="n">
        <f aca="false">IFERROR(INDEX(SEMANAS!$H$6:$H$71,MATCH($B1073,SEMANAS!$B$6:$B$71,0)),0)</f>
        <v>34.3</v>
      </c>
      <c r="T1073" s="18" t="n">
        <f aca="false">$R1073*$S1073</f>
        <v>0</v>
      </c>
      <c r="U1073" s="18" t="n">
        <f aca="false">IFERROR(INDEX(SEMANAS!$I$6:$I$71,MATCH($B1073,SEMANAS!$B$6:$B$71,0)),0)</f>
        <v>46.69</v>
      </c>
      <c r="V1073" s="18" t="n">
        <f aca="false">IFERROR(INDEX(SEMANAS!$J$6:$J$71,MATCH($B1073,SEMANAS!$B$6:$B$71,0)),0)</f>
        <v>37.352</v>
      </c>
      <c r="W1073" s="18" t="n">
        <f aca="false">MAX(0,$T1073-$V1073)</f>
        <v>0</v>
      </c>
      <c r="X1073" s="19" t="n">
        <f aca="false">IFERROR(INDEX(CADASTRO_PIVOS!$K$6:$K$41,MATCH($E1073,CADASTRO_PIVOS!$B$6:$B$41,0)),EFICIENCIA_PADRAO)</f>
        <v>0.85</v>
      </c>
      <c r="Y1073" s="18" t="n">
        <f aca="false">IF($X1073&lt;=0,0,$W1073/$X1073)</f>
        <v>0</v>
      </c>
      <c r="Z1073" s="16" t="n">
        <f aca="false">$Y1073*$H1073*MM_PARA_M3_HA</f>
        <v>0</v>
      </c>
      <c r="AA1073" s="18" t="n">
        <f aca="false">IFERROR(INDEX(CADASTRO_PIVOS!$I$6:$I$41,MATCH($E1073,CADASTRO_PIVOS!$B$6:$B$41,0)),0)</f>
        <v>1068.21428571429</v>
      </c>
      <c r="AB1073" s="18" t="n">
        <f aca="false">IF($Z1073&lt;=0,0,$Z1073/$AA1073)</f>
        <v>0</v>
      </c>
      <c r="AC1073" s="16" t="n">
        <f aca="false">IFERROR(INDEX(SEMANAS!$K$6:$K$71,MATCH($B1073,SEMANAS!$B$6:$B$71,0)),0)</f>
        <v>147</v>
      </c>
      <c r="AD1073" s="19" t="n">
        <f aca="false">IF($AC1073&lt;=0,0,$AB1073/$AC1073)</f>
        <v>0</v>
      </c>
      <c r="AE1073" s="8" t="str">
        <f aca="false">IF($K1073="SEM CULTURA","SEM CULTURA",IF($AA1073&lt;=0,"DADO PENDENTE",IF($AD1073&gt;LIMITE_CRITICO,"INVIAVEL",IF($AD1073&gt;LIMITE_ATENCAO,"CRITICO",IF($AD1073&gt;LIMITE_CONFORTAVEL,"ATENCAO","OK")))))</f>
        <v>SEM CULTURA</v>
      </c>
      <c r="AF1073" s="8" t="str">
        <f aca="false">$B1073&amp;"|"&amp;TEXT($AD1073,"0.000000")</f>
        <v>12|0.000000</v>
      </c>
      <c r="AG1073" s="18" t="n">
        <f aca="false">IF($K1073="SEM CULTURA",0,$T1073*$H1073)</f>
        <v>0</v>
      </c>
      <c r="AH1073" s="18" t="n">
        <f aca="false">IF($K1073="SEM CULTURA",0,$V1073*$H1073)</f>
        <v>0</v>
      </c>
      <c r="AI1073" s="18" t="n">
        <f aca="false">IF($K1073="SEM CULTURA",0,$W1073*$H1073)</f>
        <v>0</v>
      </c>
      <c r="AJ1073" s="18" t="n">
        <f aca="false">IF($K1073="SEM CULTURA",0,$S1073*$H1073)</f>
        <v>0</v>
      </c>
      <c r="AK1073" s="8" t="str">
        <f aca="false">$E1073&amp;"|"&amp;TEXT($AD1073,"0.000000")</f>
        <v>PV 116|0.000000</v>
      </c>
    </row>
    <row r="1074" customFormat="false" ht="15" hidden="false" customHeight="false" outlineLevel="0" collapsed="false">
      <c r="B1074" s="16" t="n">
        <v>13</v>
      </c>
      <c r="C1074" s="17" t="n">
        <f aca="false">DATA_INICIO_SAFRA+($B1074-1)*DIAS_POR_SEMANA</f>
        <v>46349</v>
      </c>
      <c r="D1074" s="17" t="n">
        <f aca="false">$C1074+DIAS_POR_SEMANA-1</f>
        <v>46355</v>
      </c>
      <c r="E1074" s="15" t="s">
        <v>275</v>
      </c>
      <c r="F1074" s="8" t="str">
        <f aca="false">IFERROR(INDEX(CADASTRO_PIVOS!$C$6:$C$41,MATCH($E1074,CADASTRO_PIVOS!$B$6:$B$41,0)),"?")</f>
        <v>RM06</v>
      </c>
      <c r="G1074" s="8" t="str">
        <f aca="false">IFERROR(INDEX(CADASTRO_PIVOS!$D$6:$D$41,MATCH($E1074,CADASTRO_PIVOS!$B$6:$B$41,0)),"?")</f>
        <v>TR06</v>
      </c>
      <c r="H1074" s="20" t="n">
        <f aca="false">IFERROR(INDEX(CADASTRO_PIVOS!$E$6:$E$41,MATCH($E1074,CADASTRO_PIVOS!$B$6:$B$41,0)),0)</f>
        <v>149.55</v>
      </c>
      <c r="I1074" s="16" t="n">
        <f aca="false">IFERROR(SUMIFS(ROTACAO_RDM!$B$6:$B$71,ROTACAO_RDM!$D$6:$D$71,$E1074,ROTACAO_RDM!$I$6:$I$71,"&lt;="&amp;$C1074+INT(DIAS_POR_SEMANA/2),ROTACAO_RDM!$J$6:$J$71,"&gt;="&amp;$C1074+INT(DIAS_POR_SEMANA/2)),0)</f>
        <v>0</v>
      </c>
      <c r="J1074" s="16" t="n">
        <f aca="false">IFERROR(MATCH($I1074,ROTACAO_RDM!$B$6:$B$71,0),0)</f>
        <v>0</v>
      </c>
      <c r="K1074" s="8" t="str">
        <f aca="false">IF($J1074=0,"SEM CULTURA",INDEX(ROTACAO_RDM!$F$6:$F$71,$J1074))</f>
        <v>SEM CULTURA</v>
      </c>
      <c r="L1074" s="8" t="str">
        <f aca="false">IF($J1074=0,"",INDEX(ROTACAO_RDM!$G$6:$G$71,$J1074))</f>
        <v/>
      </c>
      <c r="M1074" s="17" t="str">
        <f aca="false">IF($J1074=0,"",INDEX(ROTACAO_RDM!$I$6:$I$71,$J1074))</f>
        <v/>
      </c>
      <c r="N1074" s="16" t="n">
        <f aca="false">IF($J1074=0,0,MAX(0,$C1074+INT(DIAS_POR_SEMANA/2)-INDEX(ROTACAO_RDM!$I$6:$I$71,$J1074)))</f>
        <v>0</v>
      </c>
      <c r="O1074" s="19" t="n">
        <f aca="false">IF($J1074=0,0,MIN(1,$N1074/MAX(1,INDEX(ROTACAO_RDM!$K$6:$K$71,$J1074))))</f>
        <v>0</v>
      </c>
      <c r="P1074" s="16" t="n">
        <f aca="false">IF($J1074=0,0,IFERROR(MATCH(INDEX(ROTACAO_RDM!$N$6:$N$71,$J1074),PARAMETROS_CULTURAS!$B$6:$B$28,0),0))</f>
        <v>0</v>
      </c>
      <c r="Q1074" s="8" t="str">
        <f aca="false">IF($P1074=0,"-",IF($O1074&lt;=INDEX(PARAMETROS_CULTURAS!$F$6:$F$28,$P1074),"INICIAL",IF($O1074&lt;=INDEX(PARAMETROS_CULTURAS!$F$6:$F$28,$P1074)+INDEX(PARAMETROS_CULTURAS!$G$6:$G$28,$P1074),"DESENVOLVIMENTO",IF($O1074&lt;=INDEX(PARAMETROS_CULTURAS!$F$6:$F$28,$P1074)+INDEX(PARAMETROS_CULTURAS!$G$6:$G$28,$P1074)+INDEX(PARAMETROS_CULTURAS!$H$6:$H$28,$P1074),"MEDIA","FINAL"))))</f>
        <v>-</v>
      </c>
      <c r="R1074" s="24" t="n">
        <f aca="false">IF($P1074=0,0,IF($O1074&lt;=INDEX(PARAMETROS_CULTURAS!$F$6:$F$28,$P1074),INDEX(PARAMETROS_CULTURAS!$K$6:$K$28,$P1074),IF($O1074&lt;=INDEX(PARAMETROS_CULTURAS!$F$6:$F$28,$P1074)+INDEX(PARAMETROS_CULTURAS!$G$6:$G$28,$P1074),INDEX(PARAMETROS_CULTURAS!$K$6:$K$28,$P1074)+(INDEX(PARAMETROS_CULTURAS!$L$6:$L$28,$P1074)-INDEX(PARAMETROS_CULTURAS!$K$6:$K$28,$P1074))*($O1074-INDEX(PARAMETROS_CULTURAS!$F$6:$F$28,$P1074))/MAX(INDEX(PARAMETROS_CULTURAS!$G$6:$G$28,$P1074),0.0001),IF($O1074&lt;=INDEX(PARAMETROS_CULTURAS!$F$6:$F$28,$P1074)+INDEX(PARAMETROS_CULTURAS!$G$6:$G$28,$P1074)+INDEX(PARAMETROS_CULTURAS!$H$6:$H$28,$P1074),INDEX(PARAMETROS_CULTURAS!$L$6:$L$28,$P1074),INDEX(PARAMETROS_CULTURAS!$L$6:$L$28,$P1074)+(INDEX(PARAMETROS_CULTURAS!$M$6:$M$28,$P1074)-INDEX(PARAMETROS_CULTURAS!$L$6:$L$28,$P1074))*($O1074-INDEX(PARAMETROS_CULTURAS!$F$6:$F$28,$P1074)-INDEX(PARAMETROS_CULTURAS!$G$6:$G$28,$P1074)-INDEX(PARAMETROS_CULTURAS!$H$6:$H$28,$P1074))/MAX(INDEX(PARAMETROS_CULTURAS!$I$6:$I$28,$P1074),0.0001)))))</f>
        <v>0</v>
      </c>
      <c r="S1074" s="18" t="n">
        <f aca="false">IFERROR(INDEX(SEMANAS!$H$6:$H$71,MATCH($B1074,SEMANAS!$B$6:$B$71,0)),0)</f>
        <v>34.3</v>
      </c>
      <c r="T1074" s="18" t="n">
        <f aca="false">$R1074*$S1074</f>
        <v>0</v>
      </c>
      <c r="U1074" s="18" t="n">
        <f aca="false">IFERROR(INDEX(SEMANAS!$I$6:$I$71,MATCH($B1074,SEMANAS!$B$6:$B$71,0)),0)</f>
        <v>46.69</v>
      </c>
      <c r="V1074" s="18" t="n">
        <f aca="false">IFERROR(INDEX(SEMANAS!$J$6:$J$71,MATCH($B1074,SEMANAS!$B$6:$B$71,0)),0)</f>
        <v>37.352</v>
      </c>
      <c r="W1074" s="18" t="n">
        <f aca="false">MAX(0,$T1074-$V1074)</f>
        <v>0</v>
      </c>
      <c r="X1074" s="19" t="n">
        <f aca="false">IFERROR(INDEX(CADASTRO_PIVOS!$K$6:$K$41,MATCH($E1074,CADASTRO_PIVOS!$B$6:$B$41,0)),EFICIENCIA_PADRAO)</f>
        <v>0.85</v>
      </c>
      <c r="Y1074" s="18" t="n">
        <f aca="false">IF($X1074&lt;=0,0,$W1074/$X1074)</f>
        <v>0</v>
      </c>
      <c r="Z1074" s="16" t="n">
        <f aca="false">$Y1074*$H1074*MM_PARA_M3_HA</f>
        <v>0</v>
      </c>
      <c r="AA1074" s="18" t="n">
        <f aca="false">IFERROR(INDEX(CADASTRO_PIVOS!$I$6:$I$41,MATCH($E1074,CADASTRO_PIVOS!$B$6:$B$41,0)),0)</f>
        <v>1068.21428571429</v>
      </c>
      <c r="AB1074" s="18" t="n">
        <f aca="false">IF($Z1074&lt;=0,0,$Z1074/$AA1074)</f>
        <v>0</v>
      </c>
      <c r="AC1074" s="16" t="n">
        <f aca="false">IFERROR(INDEX(SEMANAS!$K$6:$K$71,MATCH($B1074,SEMANAS!$B$6:$B$71,0)),0)</f>
        <v>147</v>
      </c>
      <c r="AD1074" s="19" t="n">
        <f aca="false">IF($AC1074&lt;=0,0,$AB1074/$AC1074)</f>
        <v>0</v>
      </c>
      <c r="AE1074" s="8" t="str">
        <f aca="false">IF($K1074="SEM CULTURA","SEM CULTURA",IF($AA1074&lt;=0,"DADO PENDENTE",IF($AD1074&gt;LIMITE_CRITICO,"INVIAVEL",IF($AD1074&gt;LIMITE_ATENCAO,"CRITICO",IF($AD1074&gt;LIMITE_CONFORTAVEL,"ATENCAO","OK")))))</f>
        <v>SEM CULTURA</v>
      </c>
      <c r="AF1074" s="8" t="str">
        <f aca="false">$B1074&amp;"|"&amp;TEXT($AD1074,"0.000000")</f>
        <v>13|0.000000</v>
      </c>
      <c r="AG1074" s="18" t="n">
        <f aca="false">IF($K1074="SEM CULTURA",0,$T1074*$H1074)</f>
        <v>0</v>
      </c>
      <c r="AH1074" s="18" t="n">
        <f aca="false">IF($K1074="SEM CULTURA",0,$V1074*$H1074)</f>
        <v>0</v>
      </c>
      <c r="AI1074" s="18" t="n">
        <f aca="false">IF($K1074="SEM CULTURA",0,$W1074*$H1074)</f>
        <v>0</v>
      </c>
      <c r="AJ1074" s="18" t="n">
        <f aca="false">IF($K1074="SEM CULTURA",0,$S1074*$H1074)</f>
        <v>0</v>
      </c>
      <c r="AK1074" s="8" t="str">
        <f aca="false">$E1074&amp;"|"&amp;TEXT($AD1074,"0.000000")</f>
        <v>PV 116|0.000000</v>
      </c>
    </row>
    <row r="1075" customFormat="false" ht="15" hidden="false" customHeight="false" outlineLevel="0" collapsed="false">
      <c r="B1075" s="16" t="n">
        <v>14</v>
      </c>
      <c r="C1075" s="17" t="n">
        <f aca="false">DATA_INICIO_SAFRA+($B1075-1)*DIAS_POR_SEMANA</f>
        <v>46356</v>
      </c>
      <c r="D1075" s="17" t="n">
        <f aca="false">$C1075+DIAS_POR_SEMANA-1</f>
        <v>46362</v>
      </c>
      <c r="E1075" s="15" t="s">
        <v>275</v>
      </c>
      <c r="F1075" s="8" t="str">
        <f aca="false">IFERROR(INDEX(CADASTRO_PIVOS!$C$6:$C$41,MATCH($E1075,CADASTRO_PIVOS!$B$6:$B$41,0)),"?")</f>
        <v>RM06</v>
      </c>
      <c r="G1075" s="8" t="str">
        <f aca="false">IFERROR(INDEX(CADASTRO_PIVOS!$D$6:$D$41,MATCH($E1075,CADASTRO_PIVOS!$B$6:$B$41,0)),"?")</f>
        <v>TR06</v>
      </c>
      <c r="H1075" s="20" t="n">
        <f aca="false">IFERROR(INDEX(CADASTRO_PIVOS!$E$6:$E$41,MATCH($E1075,CADASTRO_PIVOS!$B$6:$B$41,0)),0)</f>
        <v>149.55</v>
      </c>
      <c r="I1075" s="16" t="n">
        <f aca="false">IFERROR(SUMIFS(ROTACAO_RDM!$B$6:$B$71,ROTACAO_RDM!$D$6:$D$71,$E1075,ROTACAO_RDM!$I$6:$I$71,"&lt;="&amp;$C1075+INT(DIAS_POR_SEMANA/2),ROTACAO_RDM!$J$6:$J$71,"&gt;="&amp;$C1075+INT(DIAS_POR_SEMANA/2)),0)</f>
        <v>27</v>
      </c>
      <c r="J1075" s="16" t="n">
        <f aca="false">IFERROR(MATCH($I1075,ROTACAO_RDM!$B$6:$B$71,0),0)</f>
        <v>27</v>
      </c>
      <c r="K1075" s="8" t="str">
        <f aca="false">IF($J1075=0,"SEM CULTURA",INDEX(ROTACAO_RDM!$F$6:$F$71,$J1075))</f>
        <v>ALGODAO</v>
      </c>
      <c r="L1075" s="8" t="str">
        <f aca="false">IF($J1075=0,"",INDEX(ROTACAO_RDM!$G$6:$G$71,$J1075))</f>
        <v>FM 974 GLT</v>
      </c>
      <c r="M1075" s="17" t="n">
        <f aca="false">IF($J1075=0,"",INDEX(ROTACAO_RDM!$I$6:$I$71,$J1075))</f>
        <v>46355</v>
      </c>
      <c r="N1075" s="16" t="n">
        <f aca="false">IF($J1075=0,0,MAX(0,$C1075+INT(DIAS_POR_SEMANA/2)-INDEX(ROTACAO_RDM!$I$6:$I$71,$J1075)))</f>
        <v>4</v>
      </c>
      <c r="O1075" s="19" t="n">
        <f aca="false">IF($J1075=0,0,MIN(1,$N1075/MAX(1,INDEX(ROTACAO_RDM!$K$6:$K$71,$J1075))))</f>
        <v>0.0205128205128205</v>
      </c>
      <c r="P1075" s="16" t="n">
        <f aca="false">IF($J1075=0,0,IFERROR(MATCH(INDEX(ROTACAO_RDM!$N$6:$N$71,$J1075),PARAMETROS_CULTURAS!$B$6:$B$28,0),0))</f>
        <v>5</v>
      </c>
      <c r="Q1075" s="8" t="str">
        <f aca="false">IF($P1075=0,"-",IF($O1075&lt;=INDEX(PARAMETROS_CULTURAS!$F$6:$F$28,$P1075),"INICIAL",IF($O1075&lt;=INDEX(PARAMETROS_CULTURAS!$F$6:$F$28,$P1075)+INDEX(PARAMETROS_CULTURAS!$G$6:$G$28,$P1075),"DESENVOLVIMENTO",IF($O1075&lt;=INDEX(PARAMETROS_CULTURAS!$F$6:$F$28,$P1075)+INDEX(PARAMETROS_CULTURAS!$G$6:$G$28,$P1075)+INDEX(PARAMETROS_CULTURAS!$H$6:$H$28,$P1075),"MEDIA","FINAL"))))</f>
        <v>INICIAL</v>
      </c>
      <c r="R1075" s="24" t="n">
        <f aca="false">IF($P1075=0,0,IF($O1075&lt;=INDEX(PARAMETROS_CULTURAS!$F$6:$F$28,$P1075),INDEX(PARAMETROS_CULTURAS!$K$6:$K$28,$P1075),IF($O1075&lt;=INDEX(PARAMETROS_CULTURAS!$F$6:$F$28,$P1075)+INDEX(PARAMETROS_CULTURAS!$G$6:$G$28,$P1075),INDEX(PARAMETROS_CULTURAS!$K$6:$K$28,$P1075)+(INDEX(PARAMETROS_CULTURAS!$L$6:$L$28,$P1075)-INDEX(PARAMETROS_CULTURAS!$K$6:$K$28,$P1075))*($O1075-INDEX(PARAMETROS_CULTURAS!$F$6:$F$28,$P1075))/MAX(INDEX(PARAMETROS_CULTURAS!$G$6:$G$28,$P1075),0.0001),IF($O1075&lt;=INDEX(PARAMETROS_CULTURAS!$F$6:$F$28,$P1075)+INDEX(PARAMETROS_CULTURAS!$G$6:$G$28,$P1075)+INDEX(PARAMETROS_CULTURAS!$H$6:$H$28,$P1075),INDEX(PARAMETROS_CULTURAS!$L$6:$L$28,$P1075),INDEX(PARAMETROS_CULTURAS!$L$6:$L$28,$P1075)+(INDEX(PARAMETROS_CULTURAS!$M$6:$M$28,$P1075)-INDEX(PARAMETROS_CULTURAS!$L$6:$L$28,$P1075))*($O1075-INDEX(PARAMETROS_CULTURAS!$F$6:$F$28,$P1075)-INDEX(PARAMETROS_CULTURAS!$G$6:$G$28,$P1075)-INDEX(PARAMETROS_CULTURAS!$H$6:$H$28,$P1075))/MAX(INDEX(PARAMETROS_CULTURAS!$I$6:$I$28,$P1075),0.0001)))))</f>
        <v>0.35</v>
      </c>
      <c r="S1075" s="18" t="n">
        <f aca="false">IFERROR(INDEX(SEMANAS!$H$6:$H$71,MATCH($B1075,SEMANAS!$B$6:$B$71,0)),0)</f>
        <v>33.1</v>
      </c>
      <c r="T1075" s="18" t="n">
        <f aca="false">$R1075*$S1075</f>
        <v>11.585</v>
      </c>
      <c r="U1075" s="18" t="n">
        <f aca="false">IFERROR(INDEX(SEMANAS!$I$6:$I$71,MATCH($B1075,SEMANAS!$B$6:$B$71,0)),0)</f>
        <v>48.31</v>
      </c>
      <c r="V1075" s="18" t="n">
        <f aca="false">IFERROR(INDEX(SEMANAS!$J$6:$J$71,MATCH($B1075,SEMANAS!$B$6:$B$71,0)),0)</f>
        <v>38.648</v>
      </c>
      <c r="W1075" s="18" t="n">
        <f aca="false">MAX(0,$T1075-$V1075)</f>
        <v>0</v>
      </c>
      <c r="X1075" s="19" t="n">
        <f aca="false">IFERROR(INDEX(CADASTRO_PIVOS!$K$6:$K$41,MATCH($E1075,CADASTRO_PIVOS!$B$6:$B$41,0)),EFICIENCIA_PADRAO)</f>
        <v>0.85</v>
      </c>
      <c r="Y1075" s="18" t="n">
        <f aca="false">IF($X1075&lt;=0,0,$W1075/$X1075)</f>
        <v>0</v>
      </c>
      <c r="Z1075" s="16" t="n">
        <f aca="false">$Y1075*$H1075*MM_PARA_M3_HA</f>
        <v>0</v>
      </c>
      <c r="AA1075" s="18" t="n">
        <f aca="false">IFERROR(INDEX(CADASTRO_PIVOS!$I$6:$I$41,MATCH($E1075,CADASTRO_PIVOS!$B$6:$B$41,0)),0)</f>
        <v>1068.21428571429</v>
      </c>
      <c r="AB1075" s="18" t="n">
        <f aca="false">IF($Z1075&lt;=0,0,$Z1075/$AA1075)</f>
        <v>0</v>
      </c>
      <c r="AC1075" s="16" t="n">
        <f aca="false">IFERROR(INDEX(SEMANAS!$K$6:$K$71,MATCH($B1075,SEMANAS!$B$6:$B$71,0)),0)</f>
        <v>147</v>
      </c>
      <c r="AD1075" s="19" t="n">
        <f aca="false">IF($AC1075&lt;=0,0,$AB1075/$AC1075)</f>
        <v>0</v>
      </c>
      <c r="AE1075" s="8" t="str">
        <f aca="false">IF($K1075="SEM CULTURA","SEM CULTURA",IF($AA1075&lt;=0,"DADO PENDENTE",IF($AD1075&gt;LIMITE_CRITICO,"INVIAVEL",IF($AD1075&gt;LIMITE_ATENCAO,"CRITICO",IF($AD1075&gt;LIMITE_CONFORTAVEL,"ATENCAO","OK")))))</f>
        <v>OK</v>
      </c>
      <c r="AF1075" s="8" t="str">
        <f aca="false">$B1075&amp;"|"&amp;TEXT($AD1075,"0.000000")</f>
        <v>14|0.000000</v>
      </c>
      <c r="AG1075" s="18" t="n">
        <f aca="false">IF($K1075="SEM CULTURA",0,$T1075*$H1075)</f>
        <v>1732.53675</v>
      </c>
      <c r="AH1075" s="18" t="n">
        <f aca="false">IF($K1075="SEM CULTURA",0,$V1075*$H1075)</f>
        <v>5779.8084</v>
      </c>
      <c r="AI1075" s="18" t="n">
        <f aca="false">IF($K1075="SEM CULTURA",0,$W1075*$H1075)</f>
        <v>0</v>
      </c>
      <c r="AJ1075" s="18" t="n">
        <f aca="false">IF($K1075="SEM CULTURA",0,$S1075*$H1075)</f>
        <v>4950.105</v>
      </c>
      <c r="AK1075" s="8" t="str">
        <f aca="false">$E1075&amp;"|"&amp;TEXT($AD1075,"0.000000")</f>
        <v>PV 116|0.000000</v>
      </c>
    </row>
    <row r="1076" customFormat="false" ht="15" hidden="false" customHeight="false" outlineLevel="0" collapsed="false">
      <c r="B1076" s="16" t="n">
        <v>15</v>
      </c>
      <c r="C1076" s="17" t="n">
        <f aca="false">DATA_INICIO_SAFRA+($B1076-1)*DIAS_POR_SEMANA</f>
        <v>46363</v>
      </c>
      <c r="D1076" s="17" t="n">
        <f aca="false">$C1076+DIAS_POR_SEMANA-1</f>
        <v>46369</v>
      </c>
      <c r="E1076" s="15" t="s">
        <v>275</v>
      </c>
      <c r="F1076" s="8" t="str">
        <f aca="false">IFERROR(INDEX(CADASTRO_PIVOS!$C$6:$C$41,MATCH($E1076,CADASTRO_PIVOS!$B$6:$B$41,0)),"?")</f>
        <v>RM06</v>
      </c>
      <c r="G1076" s="8" t="str">
        <f aca="false">IFERROR(INDEX(CADASTRO_PIVOS!$D$6:$D$41,MATCH($E1076,CADASTRO_PIVOS!$B$6:$B$41,0)),"?")</f>
        <v>TR06</v>
      </c>
      <c r="H1076" s="20" t="n">
        <f aca="false">IFERROR(INDEX(CADASTRO_PIVOS!$E$6:$E$41,MATCH($E1076,CADASTRO_PIVOS!$B$6:$B$41,0)),0)</f>
        <v>149.55</v>
      </c>
      <c r="I1076" s="16" t="n">
        <f aca="false">IFERROR(SUMIFS(ROTACAO_RDM!$B$6:$B$71,ROTACAO_RDM!$D$6:$D$71,$E1076,ROTACAO_RDM!$I$6:$I$71,"&lt;="&amp;$C1076+INT(DIAS_POR_SEMANA/2),ROTACAO_RDM!$J$6:$J$71,"&gt;="&amp;$C1076+INT(DIAS_POR_SEMANA/2)),0)</f>
        <v>27</v>
      </c>
      <c r="J1076" s="16" t="n">
        <f aca="false">IFERROR(MATCH($I1076,ROTACAO_RDM!$B$6:$B$71,0),0)</f>
        <v>27</v>
      </c>
      <c r="K1076" s="8" t="str">
        <f aca="false">IF($J1076=0,"SEM CULTURA",INDEX(ROTACAO_RDM!$F$6:$F$71,$J1076))</f>
        <v>ALGODAO</v>
      </c>
      <c r="L1076" s="8" t="str">
        <f aca="false">IF($J1076=0,"",INDEX(ROTACAO_RDM!$G$6:$G$71,$J1076))</f>
        <v>FM 974 GLT</v>
      </c>
      <c r="M1076" s="17" t="n">
        <f aca="false">IF($J1076=0,"",INDEX(ROTACAO_RDM!$I$6:$I$71,$J1076))</f>
        <v>46355</v>
      </c>
      <c r="N1076" s="16" t="n">
        <f aca="false">IF($J1076=0,0,MAX(0,$C1076+INT(DIAS_POR_SEMANA/2)-INDEX(ROTACAO_RDM!$I$6:$I$71,$J1076)))</f>
        <v>11</v>
      </c>
      <c r="O1076" s="19" t="n">
        <f aca="false">IF($J1076=0,0,MIN(1,$N1076/MAX(1,INDEX(ROTACAO_RDM!$K$6:$K$71,$J1076))))</f>
        <v>0.0564102564102564</v>
      </c>
      <c r="P1076" s="16" t="n">
        <f aca="false">IF($J1076=0,0,IFERROR(MATCH(INDEX(ROTACAO_RDM!$N$6:$N$71,$J1076),PARAMETROS_CULTURAS!$B$6:$B$28,0),0))</f>
        <v>5</v>
      </c>
      <c r="Q1076" s="8" t="str">
        <f aca="false">IF($P1076=0,"-",IF($O1076&lt;=INDEX(PARAMETROS_CULTURAS!$F$6:$F$28,$P1076),"INICIAL",IF($O1076&lt;=INDEX(PARAMETROS_CULTURAS!$F$6:$F$28,$P1076)+INDEX(PARAMETROS_CULTURAS!$G$6:$G$28,$P1076),"DESENVOLVIMENTO",IF($O1076&lt;=INDEX(PARAMETROS_CULTURAS!$F$6:$F$28,$P1076)+INDEX(PARAMETROS_CULTURAS!$G$6:$G$28,$P1076)+INDEX(PARAMETROS_CULTURAS!$H$6:$H$28,$P1076),"MEDIA","FINAL"))))</f>
        <v>INICIAL</v>
      </c>
      <c r="R1076" s="24" t="n">
        <f aca="false">IF($P1076=0,0,IF($O1076&lt;=INDEX(PARAMETROS_CULTURAS!$F$6:$F$28,$P1076),INDEX(PARAMETROS_CULTURAS!$K$6:$K$28,$P1076),IF($O1076&lt;=INDEX(PARAMETROS_CULTURAS!$F$6:$F$28,$P1076)+INDEX(PARAMETROS_CULTURAS!$G$6:$G$28,$P1076),INDEX(PARAMETROS_CULTURAS!$K$6:$K$28,$P1076)+(INDEX(PARAMETROS_CULTURAS!$L$6:$L$28,$P1076)-INDEX(PARAMETROS_CULTURAS!$K$6:$K$28,$P1076))*($O1076-INDEX(PARAMETROS_CULTURAS!$F$6:$F$28,$P1076))/MAX(INDEX(PARAMETROS_CULTURAS!$G$6:$G$28,$P1076),0.0001),IF($O1076&lt;=INDEX(PARAMETROS_CULTURAS!$F$6:$F$28,$P1076)+INDEX(PARAMETROS_CULTURAS!$G$6:$G$28,$P1076)+INDEX(PARAMETROS_CULTURAS!$H$6:$H$28,$P1076),INDEX(PARAMETROS_CULTURAS!$L$6:$L$28,$P1076),INDEX(PARAMETROS_CULTURAS!$L$6:$L$28,$P1076)+(INDEX(PARAMETROS_CULTURAS!$M$6:$M$28,$P1076)-INDEX(PARAMETROS_CULTURAS!$L$6:$L$28,$P1076))*($O1076-INDEX(PARAMETROS_CULTURAS!$F$6:$F$28,$P1076)-INDEX(PARAMETROS_CULTURAS!$G$6:$G$28,$P1076)-INDEX(PARAMETROS_CULTURAS!$H$6:$H$28,$P1076))/MAX(INDEX(PARAMETROS_CULTURAS!$I$6:$I$28,$P1076),0.0001)))))</f>
        <v>0.35</v>
      </c>
      <c r="S1076" s="18" t="n">
        <f aca="false">IFERROR(INDEX(SEMANAS!$H$6:$H$71,MATCH($B1076,SEMANAS!$B$6:$B$71,0)),0)</f>
        <v>32.9</v>
      </c>
      <c r="T1076" s="18" t="n">
        <f aca="false">$R1076*$S1076</f>
        <v>11.515</v>
      </c>
      <c r="U1076" s="18" t="n">
        <f aca="false">IFERROR(INDEX(SEMANAS!$I$6:$I$71,MATCH($B1076,SEMANAS!$B$6:$B$71,0)),0)</f>
        <v>48.58</v>
      </c>
      <c r="V1076" s="18" t="n">
        <f aca="false">IFERROR(INDEX(SEMANAS!$J$6:$J$71,MATCH($B1076,SEMANAS!$B$6:$B$71,0)),0)</f>
        <v>38.864</v>
      </c>
      <c r="W1076" s="18" t="n">
        <f aca="false">MAX(0,$T1076-$V1076)</f>
        <v>0</v>
      </c>
      <c r="X1076" s="19" t="n">
        <f aca="false">IFERROR(INDEX(CADASTRO_PIVOS!$K$6:$K$41,MATCH($E1076,CADASTRO_PIVOS!$B$6:$B$41,0)),EFICIENCIA_PADRAO)</f>
        <v>0.85</v>
      </c>
      <c r="Y1076" s="18" t="n">
        <f aca="false">IF($X1076&lt;=0,0,$W1076/$X1076)</f>
        <v>0</v>
      </c>
      <c r="Z1076" s="16" t="n">
        <f aca="false">$Y1076*$H1076*MM_PARA_M3_HA</f>
        <v>0</v>
      </c>
      <c r="AA1076" s="18" t="n">
        <f aca="false">IFERROR(INDEX(CADASTRO_PIVOS!$I$6:$I$41,MATCH($E1076,CADASTRO_PIVOS!$B$6:$B$41,0)),0)</f>
        <v>1068.21428571429</v>
      </c>
      <c r="AB1076" s="18" t="n">
        <f aca="false">IF($Z1076&lt;=0,0,$Z1076/$AA1076)</f>
        <v>0</v>
      </c>
      <c r="AC1076" s="16" t="n">
        <f aca="false">IFERROR(INDEX(SEMANAS!$K$6:$K$71,MATCH($B1076,SEMANAS!$B$6:$B$71,0)),0)</f>
        <v>147</v>
      </c>
      <c r="AD1076" s="19" t="n">
        <f aca="false">IF($AC1076&lt;=0,0,$AB1076/$AC1076)</f>
        <v>0</v>
      </c>
      <c r="AE1076" s="8" t="str">
        <f aca="false">IF($K1076="SEM CULTURA","SEM CULTURA",IF($AA1076&lt;=0,"DADO PENDENTE",IF($AD1076&gt;LIMITE_CRITICO,"INVIAVEL",IF($AD1076&gt;LIMITE_ATENCAO,"CRITICO",IF($AD1076&gt;LIMITE_CONFORTAVEL,"ATENCAO","OK")))))</f>
        <v>OK</v>
      </c>
      <c r="AF1076" s="8" t="str">
        <f aca="false">$B1076&amp;"|"&amp;TEXT($AD1076,"0.000000")</f>
        <v>15|0.000000</v>
      </c>
      <c r="AG1076" s="18" t="n">
        <f aca="false">IF($K1076="SEM CULTURA",0,$T1076*$H1076)</f>
        <v>1722.06825</v>
      </c>
      <c r="AH1076" s="18" t="n">
        <f aca="false">IF($K1076="SEM CULTURA",0,$V1076*$H1076)</f>
        <v>5812.1112</v>
      </c>
      <c r="AI1076" s="18" t="n">
        <f aca="false">IF($K1076="SEM CULTURA",0,$W1076*$H1076)</f>
        <v>0</v>
      </c>
      <c r="AJ1076" s="18" t="n">
        <f aca="false">IF($K1076="SEM CULTURA",0,$S1076*$H1076)</f>
        <v>4920.195</v>
      </c>
      <c r="AK1076" s="8" t="str">
        <f aca="false">$E1076&amp;"|"&amp;TEXT($AD1076,"0.000000")</f>
        <v>PV 116|0.000000</v>
      </c>
    </row>
    <row r="1077" customFormat="false" ht="15" hidden="false" customHeight="false" outlineLevel="0" collapsed="false">
      <c r="B1077" s="16" t="n">
        <v>16</v>
      </c>
      <c r="C1077" s="17" t="n">
        <f aca="false">DATA_INICIO_SAFRA+($B1077-1)*DIAS_POR_SEMANA</f>
        <v>46370</v>
      </c>
      <c r="D1077" s="17" t="n">
        <f aca="false">$C1077+DIAS_POR_SEMANA-1</f>
        <v>46376</v>
      </c>
      <c r="E1077" s="15" t="s">
        <v>275</v>
      </c>
      <c r="F1077" s="8" t="str">
        <f aca="false">IFERROR(INDEX(CADASTRO_PIVOS!$C$6:$C$41,MATCH($E1077,CADASTRO_PIVOS!$B$6:$B$41,0)),"?")</f>
        <v>RM06</v>
      </c>
      <c r="G1077" s="8" t="str">
        <f aca="false">IFERROR(INDEX(CADASTRO_PIVOS!$D$6:$D$41,MATCH($E1077,CADASTRO_PIVOS!$B$6:$B$41,0)),"?")</f>
        <v>TR06</v>
      </c>
      <c r="H1077" s="20" t="n">
        <f aca="false">IFERROR(INDEX(CADASTRO_PIVOS!$E$6:$E$41,MATCH($E1077,CADASTRO_PIVOS!$B$6:$B$41,0)),0)</f>
        <v>149.55</v>
      </c>
      <c r="I1077" s="16" t="n">
        <f aca="false">IFERROR(SUMIFS(ROTACAO_RDM!$B$6:$B$71,ROTACAO_RDM!$D$6:$D$71,$E1077,ROTACAO_RDM!$I$6:$I$71,"&lt;="&amp;$C1077+INT(DIAS_POR_SEMANA/2),ROTACAO_RDM!$J$6:$J$71,"&gt;="&amp;$C1077+INT(DIAS_POR_SEMANA/2)),0)</f>
        <v>27</v>
      </c>
      <c r="J1077" s="16" t="n">
        <f aca="false">IFERROR(MATCH($I1077,ROTACAO_RDM!$B$6:$B$71,0),0)</f>
        <v>27</v>
      </c>
      <c r="K1077" s="8" t="str">
        <f aca="false">IF($J1077=0,"SEM CULTURA",INDEX(ROTACAO_RDM!$F$6:$F$71,$J1077))</f>
        <v>ALGODAO</v>
      </c>
      <c r="L1077" s="8" t="str">
        <f aca="false">IF($J1077=0,"",INDEX(ROTACAO_RDM!$G$6:$G$71,$J1077))</f>
        <v>FM 974 GLT</v>
      </c>
      <c r="M1077" s="17" t="n">
        <f aca="false">IF($J1077=0,"",INDEX(ROTACAO_RDM!$I$6:$I$71,$J1077))</f>
        <v>46355</v>
      </c>
      <c r="N1077" s="16" t="n">
        <f aca="false">IF($J1077=0,0,MAX(0,$C1077+INT(DIAS_POR_SEMANA/2)-INDEX(ROTACAO_RDM!$I$6:$I$71,$J1077)))</f>
        <v>18</v>
      </c>
      <c r="O1077" s="19" t="n">
        <f aca="false">IF($J1077=0,0,MIN(1,$N1077/MAX(1,INDEX(ROTACAO_RDM!$K$6:$K$71,$J1077))))</f>
        <v>0.0923076923076923</v>
      </c>
      <c r="P1077" s="16" t="n">
        <f aca="false">IF($J1077=0,0,IFERROR(MATCH(INDEX(ROTACAO_RDM!$N$6:$N$71,$J1077),PARAMETROS_CULTURAS!$B$6:$B$28,0),0))</f>
        <v>5</v>
      </c>
      <c r="Q1077" s="8" t="str">
        <f aca="false">IF($P1077=0,"-",IF($O1077&lt;=INDEX(PARAMETROS_CULTURAS!$F$6:$F$28,$P1077),"INICIAL",IF($O1077&lt;=INDEX(PARAMETROS_CULTURAS!$F$6:$F$28,$P1077)+INDEX(PARAMETROS_CULTURAS!$G$6:$G$28,$P1077),"DESENVOLVIMENTO",IF($O1077&lt;=INDEX(PARAMETROS_CULTURAS!$F$6:$F$28,$P1077)+INDEX(PARAMETROS_CULTURAS!$G$6:$G$28,$P1077)+INDEX(PARAMETROS_CULTURAS!$H$6:$H$28,$P1077),"MEDIA","FINAL"))))</f>
        <v>INICIAL</v>
      </c>
      <c r="R1077" s="24" t="n">
        <f aca="false">IF($P1077=0,0,IF($O1077&lt;=INDEX(PARAMETROS_CULTURAS!$F$6:$F$28,$P1077),INDEX(PARAMETROS_CULTURAS!$K$6:$K$28,$P1077),IF($O1077&lt;=INDEX(PARAMETROS_CULTURAS!$F$6:$F$28,$P1077)+INDEX(PARAMETROS_CULTURAS!$G$6:$G$28,$P1077),INDEX(PARAMETROS_CULTURAS!$K$6:$K$28,$P1077)+(INDEX(PARAMETROS_CULTURAS!$L$6:$L$28,$P1077)-INDEX(PARAMETROS_CULTURAS!$K$6:$K$28,$P1077))*($O1077-INDEX(PARAMETROS_CULTURAS!$F$6:$F$28,$P1077))/MAX(INDEX(PARAMETROS_CULTURAS!$G$6:$G$28,$P1077),0.0001),IF($O1077&lt;=INDEX(PARAMETROS_CULTURAS!$F$6:$F$28,$P1077)+INDEX(PARAMETROS_CULTURAS!$G$6:$G$28,$P1077)+INDEX(PARAMETROS_CULTURAS!$H$6:$H$28,$P1077),INDEX(PARAMETROS_CULTURAS!$L$6:$L$28,$P1077),INDEX(PARAMETROS_CULTURAS!$L$6:$L$28,$P1077)+(INDEX(PARAMETROS_CULTURAS!$M$6:$M$28,$P1077)-INDEX(PARAMETROS_CULTURAS!$L$6:$L$28,$P1077))*($O1077-INDEX(PARAMETROS_CULTURAS!$F$6:$F$28,$P1077)-INDEX(PARAMETROS_CULTURAS!$G$6:$G$28,$P1077)-INDEX(PARAMETROS_CULTURAS!$H$6:$H$28,$P1077))/MAX(INDEX(PARAMETROS_CULTURAS!$I$6:$I$28,$P1077),0.0001)))))</f>
        <v>0.35</v>
      </c>
      <c r="S1077" s="18" t="n">
        <f aca="false">IFERROR(INDEX(SEMANAS!$H$6:$H$71,MATCH($B1077,SEMANAS!$B$6:$B$71,0)),0)</f>
        <v>32.9</v>
      </c>
      <c r="T1077" s="18" t="n">
        <f aca="false">$R1077*$S1077</f>
        <v>11.515</v>
      </c>
      <c r="U1077" s="18" t="n">
        <f aca="false">IFERROR(INDEX(SEMANAS!$I$6:$I$71,MATCH($B1077,SEMANAS!$B$6:$B$71,0)),0)</f>
        <v>48.58</v>
      </c>
      <c r="V1077" s="18" t="n">
        <f aca="false">IFERROR(INDEX(SEMANAS!$J$6:$J$71,MATCH($B1077,SEMANAS!$B$6:$B$71,0)),0)</f>
        <v>38.864</v>
      </c>
      <c r="W1077" s="18" t="n">
        <f aca="false">MAX(0,$T1077-$V1077)</f>
        <v>0</v>
      </c>
      <c r="X1077" s="19" t="n">
        <f aca="false">IFERROR(INDEX(CADASTRO_PIVOS!$K$6:$K$41,MATCH($E1077,CADASTRO_PIVOS!$B$6:$B$41,0)),EFICIENCIA_PADRAO)</f>
        <v>0.85</v>
      </c>
      <c r="Y1077" s="18" t="n">
        <f aca="false">IF($X1077&lt;=0,0,$W1077/$X1077)</f>
        <v>0</v>
      </c>
      <c r="Z1077" s="16" t="n">
        <f aca="false">$Y1077*$H1077*MM_PARA_M3_HA</f>
        <v>0</v>
      </c>
      <c r="AA1077" s="18" t="n">
        <f aca="false">IFERROR(INDEX(CADASTRO_PIVOS!$I$6:$I$41,MATCH($E1077,CADASTRO_PIVOS!$B$6:$B$41,0)),0)</f>
        <v>1068.21428571429</v>
      </c>
      <c r="AB1077" s="18" t="n">
        <f aca="false">IF($Z1077&lt;=0,0,$Z1077/$AA1077)</f>
        <v>0</v>
      </c>
      <c r="AC1077" s="16" t="n">
        <f aca="false">IFERROR(INDEX(SEMANAS!$K$6:$K$71,MATCH($B1077,SEMANAS!$B$6:$B$71,0)),0)</f>
        <v>147</v>
      </c>
      <c r="AD1077" s="19" t="n">
        <f aca="false">IF($AC1077&lt;=0,0,$AB1077/$AC1077)</f>
        <v>0</v>
      </c>
      <c r="AE1077" s="8" t="str">
        <f aca="false">IF($K1077="SEM CULTURA","SEM CULTURA",IF($AA1077&lt;=0,"DADO PENDENTE",IF($AD1077&gt;LIMITE_CRITICO,"INVIAVEL",IF($AD1077&gt;LIMITE_ATENCAO,"CRITICO",IF($AD1077&gt;LIMITE_CONFORTAVEL,"ATENCAO","OK")))))</f>
        <v>OK</v>
      </c>
      <c r="AF1077" s="8" t="str">
        <f aca="false">$B1077&amp;"|"&amp;TEXT($AD1077,"0.000000")</f>
        <v>16|0.000000</v>
      </c>
      <c r="AG1077" s="18" t="n">
        <f aca="false">IF($K1077="SEM CULTURA",0,$T1077*$H1077)</f>
        <v>1722.06825</v>
      </c>
      <c r="AH1077" s="18" t="n">
        <f aca="false">IF($K1077="SEM CULTURA",0,$V1077*$H1077)</f>
        <v>5812.1112</v>
      </c>
      <c r="AI1077" s="18" t="n">
        <f aca="false">IF($K1077="SEM CULTURA",0,$W1077*$H1077)</f>
        <v>0</v>
      </c>
      <c r="AJ1077" s="18" t="n">
        <f aca="false">IF($K1077="SEM CULTURA",0,$S1077*$H1077)</f>
        <v>4920.195</v>
      </c>
      <c r="AK1077" s="8" t="str">
        <f aca="false">$E1077&amp;"|"&amp;TEXT($AD1077,"0.000000")</f>
        <v>PV 116|0.000000</v>
      </c>
    </row>
    <row r="1078" customFormat="false" ht="15" hidden="false" customHeight="false" outlineLevel="0" collapsed="false">
      <c r="B1078" s="16" t="n">
        <v>17</v>
      </c>
      <c r="C1078" s="17" t="n">
        <f aca="false">DATA_INICIO_SAFRA+($B1078-1)*DIAS_POR_SEMANA</f>
        <v>46377</v>
      </c>
      <c r="D1078" s="17" t="n">
        <f aca="false">$C1078+DIAS_POR_SEMANA-1</f>
        <v>46383</v>
      </c>
      <c r="E1078" s="15" t="s">
        <v>275</v>
      </c>
      <c r="F1078" s="8" t="str">
        <f aca="false">IFERROR(INDEX(CADASTRO_PIVOS!$C$6:$C$41,MATCH($E1078,CADASTRO_PIVOS!$B$6:$B$41,0)),"?")</f>
        <v>RM06</v>
      </c>
      <c r="G1078" s="8" t="str">
        <f aca="false">IFERROR(INDEX(CADASTRO_PIVOS!$D$6:$D$41,MATCH($E1078,CADASTRO_PIVOS!$B$6:$B$41,0)),"?")</f>
        <v>TR06</v>
      </c>
      <c r="H1078" s="20" t="n">
        <f aca="false">IFERROR(INDEX(CADASTRO_PIVOS!$E$6:$E$41,MATCH($E1078,CADASTRO_PIVOS!$B$6:$B$41,0)),0)</f>
        <v>149.55</v>
      </c>
      <c r="I1078" s="16" t="n">
        <f aca="false">IFERROR(SUMIFS(ROTACAO_RDM!$B$6:$B$71,ROTACAO_RDM!$D$6:$D$71,$E1078,ROTACAO_RDM!$I$6:$I$71,"&lt;="&amp;$C1078+INT(DIAS_POR_SEMANA/2),ROTACAO_RDM!$J$6:$J$71,"&gt;="&amp;$C1078+INT(DIAS_POR_SEMANA/2)),0)</f>
        <v>27</v>
      </c>
      <c r="J1078" s="16" t="n">
        <f aca="false">IFERROR(MATCH($I1078,ROTACAO_RDM!$B$6:$B$71,0),0)</f>
        <v>27</v>
      </c>
      <c r="K1078" s="8" t="str">
        <f aca="false">IF($J1078=0,"SEM CULTURA",INDEX(ROTACAO_RDM!$F$6:$F$71,$J1078))</f>
        <v>ALGODAO</v>
      </c>
      <c r="L1078" s="8" t="str">
        <f aca="false">IF($J1078=0,"",INDEX(ROTACAO_RDM!$G$6:$G$71,$J1078))</f>
        <v>FM 974 GLT</v>
      </c>
      <c r="M1078" s="17" t="n">
        <f aca="false">IF($J1078=0,"",INDEX(ROTACAO_RDM!$I$6:$I$71,$J1078))</f>
        <v>46355</v>
      </c>
      <c r="N1078" s="16" t="n">
        <f aca="false">IF($J1078=0,0,MAX(0,$C1078+INT(DIAS_POR_SEMANA/2)-INDEX(ROTACAO_RDM!$I$6:$I$71,$J1078)))</f>
        <v>25</v>
      </c>
      <c r="O1078" s="19" t="n">
        <f aca="false">IF($J1078=0,0,MIN(1,$N1078/MAX(1,INDEX(ROTACAO_RDM!$K$6:$K$71,$J1078))))</f>
        <v>0.128205128205128</v>
      </c>
      <c r="P1078" s="16" t="n">
        <f aca="false">IF($J1078=0,0,IFERROR(MATCH(INDEX(ROTACAO_RDM!$N$6:$N$71,$J1078),PARAMETROS_CULTURAS!$B$6:$B$28,0),0))</f>
        <v>5</v>
      </c>
      <c r="Q1078" s="8" t="str">
        <f aca="false">IF($P1078=0,"-",IF($O1078&lt;=INDEX(PARAMETROS_CULTURAS!$F$6:$F$28,$P1078),"INICIAL",IF($O1078&lt;=INDEX(PARAMETROS_CULTURAS!$F$6:$F$28,$P1078)+INDEX(PARAMETROS_CULTURAS!$G$6:$G$28,$P1078),"DESENVOLVIMENTO",IF($O1078&lt;=INDEX(PARAMETROS_CULTURAS!$F$6:$F$28,$P1078)+INDEX(PARAMETROS_CULTURAS!$G$6:$G$28,$P1078)+INDEX(PARAMETROS_CULTURAS!$H$6:$H$28,$P1078),"MEDIA","FINAL"))))</f>
        <v>INICIAL</v>
      </c>
      <c r="R1078" s="24" t="n">
        <f aca="false">IF($P1078=0,0,IF($O1078&lt;=INDEX(PARAMETROS_CULTURAS!$F$6:$F$28,$P1078),INDEX(PARAMETROS_CULTURAS!$K$6:$K$28,$P1078),IF($O1078&lt;=INDEX(PARAMETROS_CULTURAS!$F$6:$F$28,$P1078)+INDEX(PARAMETROS_CULTURAS!$G$6:$G$28,$P1078),INDEX(PARAMETROS_CULTURAS!$K$6:$K$28,$P1078)+(INDEX(PARAMETROS_CULTURAS!$L$6:$L$28,$P1078)-INDEX(PARAMETROS_CULTURAS!$K$6:$K$28,$P1078))*($O1078-INDEX(PARAMETROS_CULTURAS!$F$6:$F$28,$P1078))/MAX(INDEX(PARAMETROS_CULTURAS!$G$6:$G$28,$P1078),0.0001),IF($O1078&lt;=INDEX(PARAMETROS_CULTURAS!$F$6:$F$28,$P1078)+INDEX(PARAMETROS_CULTURAS!$G$6:$G$28,$P1078)+INDEX(PARAMETROS_CULTURAS!$H$6:$H$28,$P1078),INDEX(PARAMETROS_CULTURAS!$L$6:$L$28,$P1078),INDEX(PARAMETROS_CULTURAS!$L$6:$L$28,$P1078)+(INDEX(PARAMETROS_CULTURAS!$M$6:$M$28,$P1078)-INDEX(PARAMETROS_CULTURAS!$L$6:$L$28,$P1078))*($O1078-INDEX(PARAMETROS_CULTURAS!$F$6:$F$28,$P1078)-INDEX(PARAMETROS_CULTURAS!$G$6:$G$28,$P1078)-INDEX(PARAMETROS_CULTURAS!$H$6:$H$28,$P1078))/MAX(INDEX(PARAMETROS_CULTURAS!$I$6:$I$28,$P1078),0.0001)))))</f>
        <v>0.35</v>
      </c>
      <c r="S1078" s="18" t="n">
        <f aca="false">IFERROR(INDEX(SEMANAS!$H$6:$H$71,MATCH($B1078,SEMANAS!$B$6:$B$71,0)),0)</f>
        <v>32.9</v>
      </c>
      <c r="T1078" s="18" t="n">
        <f aca="false">$R1078*$S1078</f>
        <v>11.515</v>
      </c>
      <c r="U1078" s="18" t="n">
        <f aca="false">IFERROR(INDEX(SEMANAS!$I$6:$I$71,MATCH($B1078,SEMANAS!$B$6:$B$71,0)),0)</f>
        <v>48.58</v>
      </c>
      <c r="V1078" s="18" t="n">
        <f aca="false">IFERROR(INDEX(SEMANAS!$J$6:$J$71,MATCH($B1078,SEMANAS!$B$6:$B$71,0)),0)</f>
        <v>38.864</v>
      </c>
      <c r="W1078" s="18" t="n">
        <f aca="false">MAX(0,$T1078-$V1078)</f>
        <v>0</v>
      </c>
      <c r="X1078" s="19" t="n">
        <f aca="false">IFERROR(INDEX(CADASTRO_PIVOS!$K$6:$K$41,MATCH($E1078,CADASTRO_PIVOS!$B$6:$B$41,0)),EFICIENCIA_PADRAO)</f>
        <v>0.85</v>
      </c>
      <c r="Y1078" s="18" t="n">
        <f aca="false">IF($X1078&lt;=0,0,$W1078/$X1078)</f>
        <v>0</v>
      </c>
      <c r="Z1078" s="16" t="n">
        <f aca="false">$Y1078*$H1078*MM_PARA_M3_HA</f>
        <v>0</v>
      </c>
      <c r="AA1078" s="18" t="n">
        <f aca="false">IFERROR(INDEX(CADASTRO_PIVOS!$I$6:$I$41,MATCH($E1078,CADASTRO_PIVOS!$B$6:$B$41,0)),0)</f>
        <v>1068.21428571429</v>
      </c>
      <c r="AB1078" s="18" t="n">
        <f aca="false">IF($Z1078&lt;=0,0,$Z1078/$AA1078)</f>
        <v>0</v>
      </c>
      <c r="AC1078" s="16" t="n">
        <f aca="false">IFERROR(INDEX(SEMANAS!$K$6:$K$71,MATCH($B1078,SEMANAS!$B$6:$B$71,0)),0)</f>
        <v>147</v>
      </c>
      <c r="AD1078" s="19" t="n">
        <f aca="false">IF($AC1078&lt;=0,0,$AB1078/$AC1078)</f>
        <v>0</v>
      </c>
      <c r="AE1078" s="8" t="str">
        <f aca="false">IF($K1078="SEM CULTURA","SEM CULTURA",IF($AA1078&lt;=0,"DADO PENDENTE",IF($AD1078&gt;LIMITE_CRITICO,"INVIAVEL",IF($AD1078&gt;LIMITE_ATENCAO,"CRITICO",IF($AD1078&gt;LIMITE_CONFORTAVEL,"ATENCAO","OK")))))</f>
        <v>OK</v>
      </c>
      <c r="AF1078" s="8" t="str">
        <f aca="false">$B1078&amp;"|"&amp;TEXT($AD1078,"0.000000")</f>
        <v>17|0.000000</v>
      </c>
      <c r="AG1078" s="18" t="n">
        <f aca="false">IF($K1078="SEM CULTURA",0,$T1078*$H1078)</f>
        <v>1722.06825</v>
      </c>
      <c r="AH1078" s="18" t="n">
        <f aca="false">IF($K1078="SEM CULTURA",0,$V1078*$H1078)</f>
        <v>5812.1112</v>
      </c>
      <c r="AI1078" s="18" t="n">
        <f aca="false">IF($K1078="SEM CULTURA",0,$W1078*$H1078)</f>
        <v>0</v>
      </c>
      <c r="AJ1078" s="18" t="n">
        <f aca="false">IF($K1078="SEM CULTURA",0,$S1078*$H1078)</f>
        <v>4920.195</v>
      </c>
      <c r="AK1078" s="8" t="str">
        <f aca="false">$E1078&amp;"|"&amp;TEXT($AD1078,"0.000000")</f>
        <v>PV 116|0.000000</v>
      </c>
    </row>
    <row r="1079" customFormat="false" ht="15" hidden="false" customHeight="false" outlineLevel="0" collapsed="false">
      <c r="B1079" s="16" t="n">
        <v>18</v>
      </c>
      <c r="C1079" s="17" t="n">
        <f aca="false">DATA_INICIO_SAFRA+($B1079-1)*DIAS_POR_SEMANA</f>
        <v>46384</v>
      </c>
      <c r="D1079" s="17" t="n">
        <f aca="false">$C1079+DIAS_POR_SEMANA-1</f>
        <v>46390</v>
      </c>
      <c r="E1079" s="15" t="s">
        <v>275</v>
      </c>
      <c r="F1079" s="8" t="str">
        <f aca="false">IFERROR(INDEX(CADASTRO_PIVOS!$C$6:$C$41,MATCH($E1079,CADASTRO_PIVOS!$B$6:$B$41,0)),"?")</f>
        <v>RM06</v>
      </c>
      <c r="G1079" s="8" t="str">
        <f aca="false">IFERROR(INDEX(CADASTRO_PIVOS!$D$6:$D$41,MATCH($E1079,CADASTRO_PIVOS!$B$6:$B$41,0)),"?")</f>
        <v>TR06</v>
      </c>
      <c r="H1079" s="20" t="n">
        <f aca="false">IFERROR(INDEX(CADASTRO_PIVOS!$E$6:$E$41,MATCH($E1079,CADASTRO_PIVOS!$B$6:$B$41,0)),0)</f>
        <v>149.55</v>
      </c>
      <c r="I1079" s="16" t="n">
        <f aca="false">IFERROR(SUMIFS(ROTACAO_RDM!$B$6:$B$71,ROTACAO_RDM!$D$6:$D$71,$E1079,ROTACAO_RDM!$I$6:$I$71,"&lt;="&amp;$C1079+INT(DIAS_POR_SEMANA/2),ROTACAO_RDM!$J$6:$J$71,"&gt;="&amp;$C1079+INT(DIAS_POR_SEMANA/2)),0)</f>
        <v>27</v>
      </c>
      <c r="J1079" s="16" t="n">
        <f aca="false">IFERROR(MATCH($I1079,ROTACAO_RDM!$B$6:$B$71,0),0)</f>
        <v>27</v>
      </c>
      <c r="K1079" s="8" t="str">
        <f aca="false">IF($J1079=0,"SEM CULTURA",INDEX(ROTACAO_RDM!$F$6:$F$71,$J1079))</f>
        <v>ALGODAO</v>
      </c>
      <c r="L1079" s="8" t="str">
        <f aca="false">IF($J1079=0,"",INDEX(ROTACAO_RDM!$G$6:$G$71,$J1079))</f>
        <v>FM 974 GLT</v>
      </c>
      <c r="M1079" s="17" t="n">
        <f aca="false">IF($J1079=0,"",INDEX(ROTACAO_RDM!$I$6:$I$71,$J1079))</f>
        <v>46355</v>
      </c>
      <c r="N1079" s="16" t="n">
        <f aca="false">IF($J1079=0,0,MAX(0,$C1079+INT(DIAS_POR_SEMANA/2)-INDEX(ROTACAO_RDM!$I$6:$I$71,$J1079)))</f>
        <v>32</v>
      </c>
      <c r="O1079" s="19" t="n">
        <f aca="false">IF($J1079=0,0,MIN(1,$N1079/MAX(1,INDEX(ROTACAO_RDM!$K$6:$K$71,$J1079))))</f>
        <v>0.164102564102564</v>
      </c>
      <c r="P1079" s="16" t="n">
        <f aca="false">IF($J1079=0,0,IFERROR(MATCH(INDEX(ROTACAO_RDM!$N$6:$N$71,$J1079),PARAMETROS_CULTURAS!$B$6:$B$28,0),0))</f>
        <v>5</v>
      </c>
      <c r="Q1079" s="8" t="str">
        <f aca="false">IF($P1079=0,"-",IF($O1079&lt;=INDEX(PARAMETROS_CULTURAS!$F$6:$F$28,$P1079),"INICIAL",IF($O1079&lt;=INDEX(PARAMETROS_CULTURAS!$F$6:$F$28,$P1079)+INDEX(PARAMETROS_CULTURAS!$G$6:$G$28,$P1079),"DESENVOLVIMENTO",IF($O1079&lt;=INDEX(PARAMETROS_CULTURAS!$F$6:$F$28,$P1079)+INDEX(PARAMETROS_CULTURAS!$G$6:$G$28,$P1079)+INDEX(PARAMETROS_CULTURAS!$H$6:$H$28,$P1079),"MEDIA","FINAL"))))</f>
        <v>DESENVOLVIMENTO</v>
      </c>
      <c r="R1079" s="24" t="n">
        <f aca="false">IF($P1079=0,0,IF($O1079&lt;=INDEX(PARAMETROS_CULTURAS!$F$6:$F$28,$P1079),INDEX(PARAMETROS_CULTURAS!$K$6:$K$28,$P1079),IF($O1079&lt;=INDEX(PARAMETROS_CULTURAS!$F$6:$F$28,$P1079)+INDEX(PARAMETROS_CULTURAS!$G$6:$G$28,$P1079),INDEX(PARAMETROS_CULTURAS!$K$6:$K$28,$P1079)+(INDEX(PARAMETROS_CULTURAS!$L$6:$L$28,$P1079)-INDEX(PARAMETROS_CULTURAS!$K$6:$K$28,$P1079))*($O1079-INDEX(PARAMETROS_CULTURAS!$F$6:$F$28,$P1079))/MAX(INDEX(PARAMETROS_CULTURAS!$G$6:$G$28,$P1079),0.0001),IF($O1079&lt;=INDEX(PARAMETROS_CULTURAS!$F$6:$F$28,$P1079)+INDEX(PARAMETROS_CULTURAS!$G$6:$G$28,$P1079)+INDEX(PARAMETROS_CULTURAS!$H$6:$H$28,$P1079),INDEX(PARAMETROS_CULTURAS!$L$6:$L$28,$P1079),INDEX(PARAMETROS_CULTURAS!$L$6:$L$28,$P1079)+(INDEX(PARAMETROS_CULTURAS!$M$6:$M$28,$P1079)-INDEX(PARAMETROS_CULTURAS!$L$6:$L$28,$P1079))*($O1079-INDEX(PARAMETROS_CULTURAS!$F$6:$F$28,$P1079)-INDEX(PARAMETROS_CULTURAS!$G$6:$G$28,$P1079)-INDEX(PARAMETROS_CULTURAS!$H$6:$H$28,$P1079))/MAX(INDEX(PARAMETROS_CULTURAS!$I$6:$I$28,$P1079),0.0001)))))</f>
        <v>0.393392504930966</v>
      </c>
      <c r="S1079" s="18" t="n">
        <f aca="false">IFERROR(INDEX(SEMANAS!$H$6:$H$71,MATCH($B1079,SEMANAS!$B$6:$B$71,0)),0)</f>
        <v>33.2</v>
      </c>
      <c r="T1079" s="18" t="n">
        <f aca="false">$R1079*$S1079</f>
        <v>13.0606311637081</v>
      </c>
      <c r="U1079" s="18" t="n">
        <f aca="false">IFERROR(INDEX(SEMANAS!$I$6:$I$71,MATCH($B1079,SEMANAS!$B$6:$B$71,0)),0)</f>
        <v>47.11</v>
      </c>
      <c r="V1079" s="18" t="n">
        <f aca="false">IFERROR(INDEX(SEMANAS!$J$6:$J$71,MATCH($B1079,SEMANAS!$B$6:$B$71,0)),0)</f>
        <v>37.688</v>
      </c>
      <c r="W1079" s="18" t="n">
        <f aca="false">MAX(0,$T1079-$V1079)</f>
        <v>0</v>
      </c>
      <c r="X1079" s="19" t="n">
        <f aca="false">IFERROR(INDEX(CADASTRO_PIVOS!$K$6:$K$41,MATCH($E1079,CADASTRO_PIVOS!$B$6:$B$41,0)),EFICIENCIA_PADRAO)</f>
        <v>0.85</v>
      </c>
      <c r="Y1079" s="18" t="n">
        <f aca="false">IF($X1079&lt;=0,0,$W1079/$X1079)</f>
        <v>0</v>
      </c>
      <c r="Z1079" s="16" t="n">
        <f aca="false">$Y1079*$H1079*MM_PARA_M3_HA</f>
        <v>0</v>
      </c>
      <c r="AA1079" s="18" t="n">
        <f aca="false">IFERROR(INDEX(CADASTRO_PIVOS!$I$6:$I$41,MATCH($E1079,CADASTRO_PIVOS!$B$6:$B$41,0)),0)</f>
        <v>1068.21428571429</v>
      </c>
      <c r="AB1079" s="18" t="n">
        <f aca="false">IF($Z1079&lt;=0,0,$Z1079/$AA1079)</f>
        <v>0</v>
      </c>
      <c r="AC1079" s="16" t="n">
        <f aca="false">IFERROR(INDEX(SEMANAS!$K$6:$K$71,MATCH($B1079,SEMANAS!$B$6:$B$71,0)),0)</f>
        <v>147</v>
      </c>
      <c r="AD1079" s="19" t="n">
        <f aca="false">IF($AC1079&lt;=0,0,$AB1079/$AC1079)</f>
        <v>0</v>
      </c>
      <c r="AE1079" s="8" t="str">
        <f aca="false">IF($K1079="SEM CULTURA","SEM CULTURA",IF($AA1079&lt;=0,"DADO PENDENTE",IF($AD1079&gt;LIMITE_CRITICO,"INVIAVEL",IF($AD1079&gt;LIMITE_ATENCAO,"CRITICO",IF($AD1079&gt;LIMITE_CONFORTAVEL,"ATENCAO","OK")))))</f>
        <v>OK</v>
      </c>
      <c r="AF1079" s="8" t="str">
        <f aca="false">$B1079&amp;"|"&amp;TEXT($AD1079,"0.000000")</f>
        <v>18|0.000000</v>
      </c>
      <c r="AG1079" s="18" t="n">
        <f aca="false">IF($K1079="SEM CULTURA",0,$T1079*$H1079)</f>
        <v>1953.21739053254</v>
      </c>
      <c r="AH1079" s="18" t="n">
        <f aca="false">IF($K1079="SEM CULTURA",0,$V1079*$H1079)</f>
        <v>5636.2404</v>
      </c>
      <c r="AI1079" s="18" t="n">
        <f aca="false">IF($K1079="SEM CULTURA",0,$W1079*$H1079)</f>
        <v>0</v>
      </c>
      <c r="AJ1079" s="18" t="n">
        <f aca="false">IF($K1079="SEM CULTURA",0,$S1079*$H1079)</f>
        <v>4965.06</v>
      </c>
      <c r="AK1079" s="8" t="str">
        <f aca="false">$E1079&amp;"|"&amp;TEXT($AD1079,"0.000000")</f>
        <v>PV 116|0.000000</v>
      </c>
    </row>
    <row r="1080" customFormat="false" ht="15" hidden="false" customHeight="false" outlineLevel="0" collapsed="false">
      <c r="B1080" s="16" t="n">
        <v>19</v>
      </c>
      <c r="C1080" s="17" t="n">
        <f aca="false">DATA_INICIO_SAFRA+($B1080-1)*DIAS_POR_SEMANA</f>
        <v>46391</v>
      </c>
      <c r="D1080" s="17" t="n">
        <f aca="false">$C1080+DIAS_POR_SEMANA-1</f>
        <v>46397</v>
      </c>
      <c r="E1080" s="15" t="s">
        <v>275</v>
      </c>
      <c r="F1080" s="8" t="str">
        <f aca="false">IFERROR(INDEX(CADASTRO_PIVOS!$C$6:$C$41,MATCH($E1080,CADASTRO_PIVOS!$B$6:$B$41,0)),"?")</f>
        <v>RM06</v>
      </c>
      <c r="G1080" s="8" t="str">
        <f aca="false">IFERROR(INDEX(CADASTRO_PIVOS!$D$6:$D$41,MATCH($E1080,CADASTRO_PIVOS!$B$6:$B$41,0)),"?")</f>
        <v>TR06</v>
      </c>
      <c r="H1080" s="20" t="n">
        <f aca="false">IFERROR(INDEX(CADASTRO_PIVOS!$E$6:$E$41,MATCH($E1080,CADASTRO_PIVOS!$B$6:$B$41,0)),0)</f>
        <v>149.55</v>
      </c>
      <c r="I1080" s="16" t="n">
        <f aca="false">IFERROR(SUMIFS(ROTACAO_RDM!$B$6:$B$71,ROTACAO_RDM!$D$6:$D$71,$E1080,ROTACAO_RDM!$I$6:$I$71,"&lt;="&amp;$C1080+INT(DIAS_POR_SEMANA/2),ROTACAO_RDM!$J$6:$J$71,"&gt;="&amp;$C1080+INT(DIAS_POR_SEMANA/2)),0)</f>
        <v>27</v>
      </c>
      <c r="J1080" s="16" t="n">
        <f aca="false">IFERROR(MATCH($I1080,ROTACAO_RDM!$B$6:$B$71,0),0)</f>
        <v>27</v>
      </c>
      <c r="K1080" s="8" t="str">
        <f aca="false">IF($J1080=0,"SEM CULTURA",INDEX(ROTACAO_RDM!$F$6:$F$71,$J1080))</f>
        <v>ALGODAO</v>
      </c>
      <c r="L1080" s="8" t="str">
        <f aca="false">IF($J1080=0,"",INDEX(ROTACAO_RDM!$G$6:$G$71,$J1080))</f>
        <v>FM 974 GLT</v>
      </c>
      <c r="M1080" s="17" t="n">
        <f aca="false">IF($J1080=0,"",INDEX(ROTACAO_RDM!$I$6:$I$71,$J1080))</f>
        <v>46355</v>
      </c>
      <c r="N1080" s="16" t="n">
        <f aca="false">IF($J1080=0,0,MAX(0,$C1080+INT(DIAS_POR_SEMANA/2)-INDEX(ROTACAO_RDM!$I$6:$I$71,$J1080)))</f>
        <v>39</v>
      </c>
      <c r="O1080" s="19" t="n">
        <f aca="false">IF($J1080=0,0,MIN(1,$N1080/MAX(1,INDEX(ROTACAO_RDM!$K$6:$K$71,$J1080))))</f>
        <v>0.2</v>
      </c>
      <c r="P1080" s="16" t="n">
        <f aca="false">IF($J1080=0,0,IFERROR(MATCH(INDEX(ROTACAO_RDM!$N$6:$N$71,$J1080),PARAMETROS_CULTURAS!$B$6:$B$28,0),0))</f>
        <v>5</v>
      </c>
      <c r="Q1080" s="8" t="str">
        <f aca="false">IF($P1080=0,"-",IF($O1080&lt;=INDEX(PARAMETROS_CULTURAS!$F$6:$F$28,$P1080),"INICIAL",IF($O1080&lt;=INDEX(PARAMETROS_CULTURAS!$F$6:$F$28,$P1080)+INDEX(PARAMETROS_CULTURAS!$G$6:$G$28,$P1080),"DESENVOLVIMENTO",IF($O1080&lt;=INDEX(PARAMETROS_CULTURAS!$F$6:$F$28,$P1080)+INDEX(PARAMETROS_CULTURAS!$G$6:$G$28,$P1080)+INDEX(PARAMETROS_CULTURAS!$H$6:$H$28,$P1080),"MEDIA","FINAL"))))</f>
        <v>DESENVOLVIMENTO</v>
      </c>
      <c r="R1080" s="24" t="n">
        <f aca="false">IF($P1080=0,0,IF($O1080&lt;=INDEX(PARAMETROS_CULTURAS!$F$6:$F$28,$P1080),INDEX(PARAMETROS_CULTURAS!$K$6:$K$28,$P1080),IF($O1080&lt;=INDEX(PARAMETROS_CULTURAS!$F$6:$F$28,$P1080)+INDEX(PARAMETROS_CULTURAS!$G$6:$G$28,$P1080),INDEX(PARAMETROS_CULTURAS!$K$6:$K$28,$P1080)+(INDEX(PARAMETROS_CULTURAS!$L$6:$L$28,$P1080)-INDEX(PARAMETROS_CULTURAS!$K$6:$K$28,$P1080))*($O1080-INDEX(PARAMETROS_CULTURAS!$F$6:$F$28,$P1080))/MAX(INDEX(PARAMETROS_CULTURAS!$G$6:$G$28,$P1080),0.0001),IF($O1080&lt;=INDEX(PARAMETROS_CULTURAS!$F$6:$F$28,$P1080)+INDEX(PARAMETROS_CULTURAS!$G$6:$G$28,$P1080)+INDEX(PARAMETROS_CULTURAS!$H$6:$H$28,$P1080),INDEX(PARAMETROS_CULTURAS!$L$6:$L$28,$P1080),INDEX(PARAMETROS_CULTURAS!$L$6:$L$28,$P1080)+(INDEX(PARAMETROS_CULTURAS!$M$6:$M$28,$P1080)-INDEX(PARAMETROS_CULTURAS!$L$6:$L$28,$P1080))*($O1080-INDEX(PARAMETROS_CULTURAS!$F$6:$F$28,$P1080)-INDEX(PARAMETROS_CULTURAS!$G$6:$G$28,$P1080)-INDEX(PARAMETROS_CULTURAS!$H$6:$H$28,$P1080))/MAX(INDEX(PARAMETROS_CULTURAS!$I$6:$I$28,$P1080),0.0001)))))</f>
        <v>0.503846153846154</v>
      </c>
      <c r="S1080" s="18" t="n">
        <f aca="false">IFERROR(INDEX(SEMANAS!$H$6:$H$71,MATCH($B1080,SEMANAS!$B$6:$B$71,0)),0)</f>
        <v>33.6</v>
      </c>
      <c r="T1080" s="18" t="n">
        <f aca="false">$R1080*$S1080</f>
        <v>16.9292307692308</v>
      </c>
      <c r="U1080" s="18" t="n">
        <f aca="false">IFERROR(INDEX(SEMANAS!$I$6:$I$71,MATCH($B1080,SEMANAS!$B$6:$B$71,0)),0)</f>
        <v>45.15</v>
      </c>
      <c r="V1080" s="18" t="n">
        <f aca="false">IFERROR(INDEX(SEMANAS!$J$6:$J$71,MATCH($B1080,SEMANAS!$B$6:$B$71,0)),0)</f>
        <v>36.12</v>
      </c>
      <c r="W1080" s="18" t="n">
        <f aca="false">MAX(0,$T1080-$V1080)</f>
        <v>0</v>
      </c>
      <c r="X1080" s="19" t="n">
        <f aca="false">IFERROR(INDEX(CADASTRO_PIVOS!$K$6:$K$41,MATCH($E1080,CADASTRO_PIVOS!$B$6:$B$41,0)),EFICIENCIA_PADRAO)</f>
        <v>0.85</v>
      </c>
      <c r="Y1080" s="18" t="n">
        <f aca="false">IF($X1080&lt;=0,0,$W1080/$X1080)</f>
        <v>0</v>
      </c>
      <c r="Z1080" s="16" t="n">
        <f aca="false">$Y1080*$H1080*MM_PARA_M3_HA</f>
        <v>0</v>
      </c>
      <c r="AA1080" s="18" t="n">
        <f aca="false">IFERROR(INDEX(CADASTRO_PIVOS!$I$6:$I$41,MATCH($E1080,CADASTRO_PIVOS!$B$6:$B$41,0)),0)</f>
        <v>1068.21428571429</v>
      </c>
      <c r="AB1080" s="18" t="n">
        <f aca="false">IF($Z1080&lt;=0,0,$Z1080/$AA1080)</f>
        <v>0</v>
      </c>
      <c r="AC1080" s="16" t="n">
        <f aca="false">IFERROR(INDEX(SEMANAS!$K$6:$K$71,MATCH($B1080,SEMANAS!$B$6:$B$71,0)),0)</f>
        <v>147</v>
      </c>
      <c r="AD1080" s="19" t="n">
        <f aca="false">IF($AC1080&lt;=0,0,$AB1080/$AC1080)</f>
        <v>0</v>
      </c>
      <c r="AE1080" s="8" t="str">
        <f aca="false">IF($K1080="SEM CULTURA","SEM CULTURA",IF($AA1080&lt;=0,"DADO PENDENTE",IF($AD1080&gt;LIMITE_CRITICO,"INVIAVEL",IF($AD1080&gt;LIMITE_ATENCAO,"CRITICO",IF($AD1080&gt;LIMITE_CONFORTAVEL,"ATENCAO","OK")))))</f>
        <v>OK</v>
      </c>
      <c r="AF1080" s="8" t="str">
        <f aca="false">$B1080&amp;"|"&amp;TEXT($AD1080,"0.000000")</f>
        <v>19|0.000000</v>
      </c>
      <c r="AG1080" s="18" t="n">
        <f aca="false">IF($K1080="SEM CULTURA",0,$T1080*$H1080)</f>
        <v>2531.76646153846</v>
      </c>
      <c r="AH1080" s="18" t="n">
        <f aca="false">IF($K1080="SEM CULTURA",0,$V1080*$H1080)</f>
        <v>5401.746</v>
      </c>
      <c r="AI1080" s="18" t="n">
        <f aca="false">IF($K1080="SEM CULTURA",0,$W1080*$H1080)</f>
        <v>0</v>
      </c>
      <c r="AJ1080" s="18" t="n">
        <f aca="false">IF($K1080="SEM CULTURA",0,$S1080*$H1080)</f>
        <v>5024.88</v>
      </c>
      <c r="AK1080" s="8" t="str">
        <f aca="false">$E1080&amp;"|"&amp;TEXT($AD1080,"0.000000")</f>
        <v>PV 116|0.000000</v>
      </c>
    </row>
    <row r="1081" customFormat="false" ht="15" hidden="false" customHeight="false" outlineLevel="0" collapsed="false">
      <c r="B1081" s="16" t="n">
        <v>20</v>
      </c>
      <c r="C1081" s="17" t="n">
        <f aca="false">DATA_INICIO_SAFRA+($B1081-1)*DIAS_POR_SEMANA</f>
        <v>46398</v>
      </c>
      <c r="D1081" s="17" t="n">
        <f aca="false">$C1081+DIAS_POR_SEMANA-1</f>
        <v>46404</v>
      </c>
      <c r="E1081" s="15" t="s">
        <v>275</v>
      </c>
      <c r="F1081" s="8" t="str">
        <f aca="false">IFERROR(INDEX(CADASTRO_PIVOS!$C$6:$C$41,MATCH($E1081,CADASTRO_PIVOS!$B$6:$B$41,0)),"?")</f>
        <v>RM06</v>
      </c>
      <c r="G1081" s="8" t="str">
        <f aca="false">IFERROR(INDEX(CADASTRO_PIVOS!$D$6:$D$41,MATCH($E1081,CADASTRO_PIVOS!$B$6:$B$41,0)),"?")</f>
        <v>TR06</v>
      </c>
      <c r="H1081" s="20" t="n">
        <f aca="false">IFERROR(INDEX(CADASTRO_PIVOS!$E$6:$E$41,MATCH($E1081,CADASTRO_PIVOS!$B$6:$B$41,0)),0)</f>
        <v>149.55</v>
      </c>
      <c r="I1081" s="16" t="n">
        <f aca="false">IFERROR(SUMIFS(ROTACAO_RDM!$B$6:$B$71,ROTACAO_RDM!$D$6:$D$71,$E1081,ROTACAO_RDM!$I$6:$I$71,"&lt;="&amp;$C1081+INT(DIAS_POR_SEMANA/2),ROTACAO_RDM!$J$6:$J$71,"&gt;="&amp;$C1081+INT(DIAS_POR_SEMANA/2)),0)</f>
        <v>27</v>
      </c>
      <c r="J1081" s="16" t="n">
        <f aca="false">IFERROR(MATCH($I1081,ROTACAO_RDM!$B$6:$B$71,0),0)</f>
        <v>27</v>
      </c>
      <c r="K1081" s="8" t="str">
        <f aca="false">IF($J1081=0,"SEM CULTURA",INDEX(ROTACAO_RDM!$F$6:$F$71,$J1081))</f>
        <v>ALGODAO</v>
      </c>
      <c r="L1081" s="8" t="str">
        <f aca="false">IF($J1081=0,"",INDEX(ROTACAO_RDM!$G$6:$G$71,$J1081))</f>
        <v>FM 974 GLT</v>
      </c>
      <c r="M1081" s="17" t="n">
        <f aca="false">IF($J1081=0,"",INDEX(ROTACAO_RDM!$I$6:$I$71,$J1081))</f>
        <v>46355</v>
      </c>
      <c r="N1081" s="16" t="n">
        <f aca="false">IF($J1081=0,0,MAX(0,$C1081+INT(DIAS_POR_SEMANA/2)-INDEX(ROTACAO_RDM!$I$6:$I$71,$J1081)))</f>
        <v>46</v>
      </c>
      <c r="O1081" s="19" t="n">
        <f aca="false">IF($J1081=0,0,MIN(1,$N1081/MAX(1,INDEX(ROTACAO_RDM!$K$6:$K$71,$J1081))))</f>
        <v>0.235897435897436</v>
      </c>
      <c r="P1081" s="16" t="n">
        <f aca="false">IF($J1081=0,0,IFERROR(MATCH(INDEX(ROTACAO_RDM!$N$6:$N$71,$J1081),PARAMETROS_CULTURAS!$B$6:$B$28,0),0))</f>
        <v>5</v>
      </c>
      <c r="Q1081" s="8" t="str">
        <f aca="false">IF($P1081=0,"-",IF($O1081&lt;=INDEX(PARAMETROS_CULTURAS!$F$6:$F$28,$P1081),"INICIAL",IF($O1081&lt;=INDEX(PARAMETROS_CULTURAS!$F$6:$F$28,$P1081)+INDEX(PARAMETROS_CULTURAS!$G$6:$G$28,$P1081),"DESENVOLVIMENTO",IF($O1081&lt;=INDEX(PARAMETROS_CULTURAS!$F$6:$F$28,$P1081)+INDEX(PARAMETROS_CULTURAS!$G$6:$G$28,$P1081)+INDEX(PARAMETROS_CULTURAS!$H$6:$H$28,$P1081),"MEDIA","FINAL"))))</f>
        <v>DESENVOLVIMENTO</v>
      </c>
      <c r="R1081" s="24" t="n">
        <f aca="false">IF($P1081=0,0,IF($O1081&lt;=INDEX(PARAMETROS_CULTURAS!$F$6:$F$28,$P1081),INDEX(PARAMETROS_CULTURAS!$K$6:$K$28,$P1081),IF($O1081&lt;=INDEX(PARAMETROS_CULTURAS!$F$6:$F$28,$P1081)+INDEX(PARAMETROS_CULTURAS!$G$6:$G$28,$P1081),INDEX(PARAMETROS_CULTURAS!$K$6:$K$28,$P1081)+(INDEX(PARAMETROS_CULTURAS!$L$6:$L$28,$P1081)-INDEX(PARAMETROS_CULTURAS!$K$6:$K$28,$P1081))*($O1081-INDEX(PARAMETROS_CULTURAS!$F$6:$F$28,$P1081))/MAX(INDEX(PARAMETROS_CULTURAS!$G$6:$G$28,$P1081),0.0001),IF($O1081&lt;=INDEX(PARAMETROS_CULTURAS!$F$6:$F$28,$P1081)+INDEX(PARAMETROS_CULTURAS!$G$6:$G$28,$P1081)+INDEX(PARAMETROS_CULTURAS!$H$6:$H$28,$P1081),INDEX(PARAMETROS_CULTURAS!$L$6:$L$28,$P1081),INDEX(PARAMETROS_CULTURAS!$L$6:$L$28,$P1081)+(INDEX(PARAMETROS_CULTURAS!$M$6:$M$28,$P1081)-INDEX(PARAMETROS_CULTURAS!$L$6:$L$28,$P1081))*($O1081-INDEX(PARAMETROS_CULTURAS!$F$6:$F$28,$P1081)-INDEX(PARAMETROS_CULTURAS!$G$6:$G$28,$P1081)-INDEX(PARAMETROS_CULTURAS!$H$6:$H$28,$P1081))/MAX(INDEX(PARAMETROS_CULTURAS!$I$6:$I$28,$P1081),0.0001)))))</f>
        <v>0.614299802761341</v>
      </c>
      <c r="S1081" s="18" t="n">
        <f aca="false">IFERROR(INDEX(SEMANAS!$H$6:$H$71,MATCH($B1081,SEMANAS!$B$6:$B$71,0)),0)</f>
        <v>33.6</v>
      </c>
      <c r="T1081" s="18" t="n">
        <f aca="false">$R1081*$S1081</f>
        <v>20.6404733727811</v>
      </c>
      <c r="U1081" s="18" t="n">
        <f aca="false">IFERROR(INDEX(SEMANAS!$I$6:$I$71,MATCH($B1081,SEMANAS!$B$6:$B$71,0)),0)</f>
        <v>45.15</v>
      </c>
      <c r="V1081" s="18" t="n">
        <f aca="false">IFERROR(INDEX(SEMANAS!$J$6:$J$71,MATCH($B1081,SEMANAS!$B$6:$B$71,0)),0)</f>
        <v>36.12</v>
      </c>
      <c r="W1081" s="18" t="n">
        <f aca="false">MAX(0,$T1081-$V1081)</f>
        <v>0</v>
      </c>
      <c r="X1081" s="19" t="n">
        <f aca="false">IFERROR(INDEX(CADASTRO_PIVOS!$K$6:$K$41,MATCH($E1081,CADASTRO_PIVOS!$B$6:$B$41,0)),EFICIENCIA_PADRAO)</f>
        <v>0.85</v>
      </c>
      <c r="Y1081" s="18" t="n">
        <f aca="false">IF($X1081&lt;=0,0,$W1081/$X1081)</f>
        <v>0</v>
      </c>
      <c r="Z1081" s="16" t="n">
        <f aca="false">$Y1081*$H1081*MM_PARA_M3_HA</f>
        <v>0</v>
      </c>
      <c r="AA1081" s="18" t="n">
        <f aca="false">IFERROR(INDEX(CADASTRO_PIVOS!$I$6:$I$41,MATCH($E1081,CADASTRO_PIVOS!$B$6:$B$41,0)),0)</f>
        <v>1068.21428571429</v>
      </c>
      <c r="AB1081" s="18" t="n">
        <f aca="false">IF($Z1081&lt;=0,0,$Z1081/$AA1081)</f>
        <v>0</v>
      </c>
      <c r="AC1081" s="16" t="n">
        <f aca="false">IFERROR(INDEX(SEMANAS!$K$6:$K$71,MATCH($B1081,SEMANAS!$B$6:$B$71,0)),0)</f>
        <v>147</v>
      </c>
      <c r="AD1081" s="19" t="n">
        <f aca="false">IF($AC1081&lt;=0,0,$AB1081/$AC1081)</f>
        <v>0</v>
      </c>
      <c r="AE1081" s="8" t="str">
        <f aca="false">IF($K1081="SEM CULTURA","SEM CULTURA",IF($AA1081&lt;=0,"DADO PENDENTE",IF($AD1081&gt;LIMITE_CRITICO,"INVIAVEL",IF($AD1081&gt;LIMITE_ATENCAO,"CRITICO",IF($AD1081&gt;LIMITE_CONFORTAVEL,"ATENCAO","OK")))))</f>
        <v>OK</v>
      </c>
      <c r="AF1081" s="8" t="str">
        <f aca="false">$B1081&amp;"|"&amp;TEXT($AD1081,"0.000000")</f>
        <v>20|0.000000</v>
      </c>
      <c r="AG1081" s="18" t="n">
        <f aca="false">IF($K1081="SEM CULTURA",0,$T1081*$H1081)</f>
        <v>3086.78279289941</v>
      </c>
      <c r="AH1081" s="18" t="n">
        <f aca="false">IF($K1081="SEM CULTURA",0,$V1081*$H1081)</f>
        <v>5401.746</v>
      </c>
      <c r="AI1081" s="18" t="n">
        <f aca="false">IF($K1081="SEM CULTURA",0,$W1081*$H1081)</f>
        <v>0</v>
      </c>
      <c r="AJ1081" s="18" t="n">
        <f aca="false">IF($K1081="SEM CULTURA",0,$S1081*$H1081)</f>
        <v>5024.88</v>
      </c>
      <c r="AK1081" s="8" t="str">
        <f aca="false">$E1081&amp;"|"&amp;TEXT($AD1081,"0.000000")</f>
        <v>PV 116|0.000000</v>
      </c>
    </row>
    <row r="1082" customFormat="false" ht="15" hidden="false" customHeight="false" outlineLevel="0" collapsed="false">
      <c r="B1082" s="16" t="n">
        <v>21</v>
      </c>
      <c r="C1082" s="17" t="n">
        <f aca="false">DATA_INICIO_SAFRA+($B1082-1)*DIAS_POR_SEMANA</f>
        <v>46405</v>
      </c>
      <c r="D1082" s="17" t="n">
        <f aca="false">$C1082+DIAS_POR_SEMANA-1</f>
        <v>46411</v>
      </c>
      <c r="E1082" s="15" t="s">
        <v>275</v>
      </c>
      <c r="F1082" s="8" t="str">
        <f aca="false">IFERROR(INDEX(CADASTRO_PIVOS!$C$6:$C$41,MATCH($E1082,CADASTRO_PIVOS!$B$6:$B$41,0)),"?")</f>
        <v>RM06</v>
      </c>
      <c r="G1082" s="8" t="str">
        <f aca="false">IFERROR(INDEX(CADASTRO_PIVOS!$D$6:$D$41,MATCH($E1082,CADASTRO_PIVOS!$B$6:$B$41,0)),"?")</f>
        <v>TR06</v>
      </c>
      <c r="H1082" s="20" t="n">
        <f aca="false">IFERROR(INDEX(CADASTRO_PIVOS!$E$6:$E$41,MATCH($E1082,CADASTRO_PIVOS!$B$6:$B$41,0)),0)</f>
        <v>149.55</v>
      </c>
      <c r="I1082" s="16" t="n">
        <f aca="false">IFERROR(SUMIFS(ROTACAO_RDM!$B$6:$B$71,ROTACAO_RDM!$D$6:$D$71,$E1082,ROTACAO_RDM!$I$6:$I$71,"&lt;="&amp;$C1082+INT(DIAS_POR_SEMANA/2),ROTACAO_RDM!$J$6:$J$71,"&gt;="&amp;$C1082+INT(DIAS_POR_SEMANA/2)),0)</f>
        <v>27</v>
      </c>
      <c r="J1082" s="16" t="n">
        <f aca="false">IFERROR(MATCH($I1082,ROTACAO_RDM!$B$6:$B$71,0),0)</f>
        <v>27</v>
      </c>
      <c r="K1082" s="8" t="str">
        <f aca="false">IF($J1082=0,"SEM CULTURA",INDEX(ROTACAO_RDM!$F$6:$F$71,$J1082))</f>
        <v>ALGODAO</v>
      </c>
      <c r="L1082" s="8" t="str">
        <f aca="false">IF($J1082=0,"",INDEX(ROTACAO_RDM!$G$6:$G$71,$J1082))</f>
        <v>FM 974 GLT</v>
      </c>
      <c r="M1082" s="17" t="n">
        <f aca="false">IF($J1082=0,"",INDEX(ROTACAO_RDM!$I$6:$I$71,$J1082))</f>
        <v>46355</v>
      </c>
      <c r="N1082" s="16" t="n">
        <f aca="false">IF($J1082=0,0,MAX(0,$C1082+INT(DIAS_POR_SEMANA/2)-INDEX(ROTACAO_RDM!$I$6:$I$71,$J1082)))</f>
        <v>53</v>
      </c>
      <c r="O1082" s="19" t="n">
        <f aca="false">IF($J1082=0,0,MIN(1,$N1082/MAX(1,INDEX(ROTACAO_RDM!$K$6:$K$71,$J1082))))</f>
        <v>0.271794871794872</v>
      </c>
      <c r="P1082" s="16" t="n">
        <f aca="false">IF($J1082=0,0,IFERROR(MATCH(INDEX(ROTACAO_RDM!$N$6:$N$71,$J1082),PARAMETROS_CULTURAS!$B$6:$B$28,0),0))</f>
        <v>5</v>
      </c>
      <c r="Q1082" s="8" t="str">
        <f aca="false">IF($P1082=0,"-",IF($O1082&lt;=INDEX(PARAMETROS_CULTURAS!$F$6:$F$28,$P1082),"INICIAL",IF($O1082&lt;=INDEX(PARAMETROS_CULTURAS!$F$6:$F$28,$P1082)+INDEX(PARAMETROS_CULTURAS!$G$6:$G$28,$P1082),"DESENVOLVIMENTO",IF($O1082&lt;=INDEX(PARAMETROS_CULTURAS!$F$6:$F$28,$P1082)+INDEX(PARAMETROS_CULTURAS!$G$6:$G$28,$P1082)+INDEX(PARAMETROS_CULTURAS!$H$6:$H$28,$P1082),"MEDIA","FINAL"))))</f>
        <v>DESENVOLVIMENTO</v>
      </c>
      <c r="R1082" s="24" t="n">
        <f aca="false">IF($P1082=0,0,IF($O1082&lt;=INDEX(PARAMETROS_CULTURAS!$F$6:$F$28,$P1082),INDEX(PARAMETROS_CULTURAS!$K$6:$K$28,$P1082),IF($O1082&lt;=INDEX(PARAMETROS_CULTURAS!$F$6:$F$28,$P1082)+INDEX(PARAMETROS_CULTURAS!$G$6:$G$28,$P1082),INDEX(PARAMETROS_CULTURAS!$K$6:$K$28,$P1082)+(INDEX(PARAMETROS_CULTURAS!$L$6:$L$28,$P1082)-INDEX(PARAMETROS_CULTURAS!$K$6:$K$28,$P1082))*($O1082-INDEX(PARAMETROS_CULTURAS!$F$6:$F$28,$P1082))/MAX(INDEX(PARAMETROS_CULTURAS!$G$6:$G$28,$P1082),0.0001),IF($O1082&lt;=INDEX(PARAMETROS_CULTURAS!$F$6:$F$28,$P1082)+INDEX(PARAMETROS_CULTURAS!$G$6:$G$28,$P1082)+INDEX(PARAMETROS_CULTURAS!$H$6:$H$28,$P1082),INDEX(PARAMETROS_CULTURAS!$L$6:$L$28,$P1082),INDEX(PARAMETROS_CULTURAS!$L$6:$L$28,$P1082)+(INDEX(PARAMETROS_CULTURAS!$M$6:$M$28,$P1082)-INDEX(PARAMETROS_CULTURAS!$L$6:$L$28,$P1082))*($O1082-INDEX(PARAMETROS_CULTURAS!$F$6:$F$28,$P1082)-INDEX(PARAMETROS_CULTURAS!$G$6:$G$28,$P1082)-INDEX(PARAMETROS_CULTURAS!$H$6:$H$28,$P1082))/MAX(INDEX(PARAMETROS_CULTURAS!$I$6:$I$28,$P1082),0.0001)))))</f>
        <v>0.724753451676528</v>
      </c>
      <c r="S1082" s="18" t="n">
        <f aca="false">IFERROR(INDEX(SEMANAS!$H$6:$H$71,MATCH($B1082,SEMANAS!$B$6:$B$71,0)),0)</f>
        <v>33.6</v>
      </c>
      <c r="T1082" s="18" t="n">
        <f aca="false">$R1082*$S1082</f>
        <v>24.3517159763314</v>
      </c>
      <c r="U1082" s="18" t="n">
        <f aca="false">IFERROR(INDEX(SEMANAS!$I$6:$I$71,MATCH($B1082,SEMANAS!$B$6:$B$71,0)),0)</f>
        <v>45.15</v>
      </c>
      <c r="V1082" s="18" t="n">
        <f aca="false">IFERROR(INDEX(SEMANAS!$J$6:$J$71,MATCH($B1082,SEMANAS!$B$6:$B$71,0)),0)</f>
        <v>36.12</v>
      </c>
      <c r="W1082" s="18" t="n">
        <f aca="false">MAX(0,$T1082-$V1082)</f>
        <v>0</v>
      </c>
      <c r="X1082" s="19" t="n">
        <f aca="false">IFERROR(INDEX(CADASTRO_PIVOS!$K$6:$K$41,MATCH($E1082,CADASTRO_PIVOS!$B$6:$B$41,0)),EFICIENCIA_PADRAO)</f>
        <v>0.85</v>
      </c>
      <c r="Y1082" s="18" t="n">
        <f aca="false">IF($X1082&lt;=0,0,$W1082/$X1082)</f>
        <v>0</v>
      </c>
      <c r="Z1082" s="16" t="n">
        <f aca="false">$Y1082*$H1082*MM_PARA_M3_HA</f>
        <v>0</v>
      </c>
      <c r="AA1082" s="18" t="n">
        <f aca="false">IFERROR(INDEX(CADASTRO_PIVOS!$I$6:$I$41,MATCH($E1082,CADASTRO_PIVOS!$B$6:$B$41,0)),0)</f>
        <v>1068.21428571429</v>
      </c>
      <c r="AB1082" s="18" t="n">
        <f aca="false">IF($Z1082&lt;=0,0,$Z1082/$AA1082)</f>
        <v>0</v>
      </c>
      <c r="AC1082" s="16" t="n">
        <f aca="false">IFERROR(INDEX(SEMANAS!$K$6:$K$71,MATCH($B1082,SEMANAS!$B$6:$B$71,0)),0)</f>
        <v>147</v>
      </c>
      <c r="AD1082" s="19" t="n">
        <f aca="false">IF($AC1082&lt;=0,0,$AB1082/$AC1082)</f>
        <v>0</v>
      </c>
      <c r="AE1082" s="8" t="str">
        <f aca="false">IF($K1082="SEM CULTURA","SEM CULTURA",IF($AA1082&lt;=0,"DADO PENDENTE",IF($AD1082&gt;LIMITE_CRITICO,"INVIAVEL",IF($AD1082&gt;LIMITE_ATENCAO,"CRITICO",IF($AD1082&gt;LIMITE_CONFORTAVEL,"ATENCAO","OK")))))</f>
        <v>OK</v>
      </c>
      <c r="AF1082" s="8" t="str">
        <f aca="false">$B1082&amp;"|"&amp;TEXT($AD1082,"0.000000")</f>
        <v>21|0.000000</v>
      </c>
      <c r="AG1082" s="18" t="n">
        <f aca="false">IF($K1082="SEM CULTURA",0,$T1082*$H1082)</f>
        <v>3641.79912426035</v>
      </c>
      <c r="AH1082" s="18" t="n">
        <f aca="false">IF($K1082="SEM CULTURA",0,$V1082*$H1082)</f>
        <v>5401.746</v>
      </c>
      <c r="AI1082" s="18" t="n">
        <f aca="false">IF($K1082="SEM CULTURA",0,$W1082*$H1082)</f>
        <v>0</v>
      </c>
      <c r="AJ1082" s="18" t="n">
        <f aca="false">IF($K1082="SEM CULTURA",0,$S1082*$H1082)</f>
        <v>5024.88</v>
      </c>
      <c r="AK1082" s="8" t="str">
        <f aca="false">$E1082&amp;"|"&amp;TEXT($AD1082,"0.000000")</f>
        <v>PV 116|0.000000</v>
      </c>
    </row>
    <row r="1083" customFormat="false" ht="15" hidden="false" customHeight="false" outlineLevel="0" collapsed="false">
      <c r="B1083" s="16" t="n">
        <v>22</v>
      </c>
      <c r="C1083" s="17" t="n">
        <f aca="false">DATA_INICIO_SAFRA+($B1083-1)*DIAS_POR_SEMANA</f>
        <v>46412</v>
      </c>
      <c r="D1083" s="17" t="n">
        <f aca="false">$C1083+DIAS_POR_SEMANA-1</f>
        <v>46418</v>
      </c>
      <c r="E1083" s="15" t="s">
        <v>275</v>
      </c>
      <c r="F1083" s="8" t="str">
        <f aca="false">IFERROR(INDEX(CADASTRO_PIVOS!$C$6:$C$41,MATCH($E1083,CADASTRO_PIVOS!$B$6:$B$41,0)),"?")</f>
        <v>RM06</v>
      </c>
      <c r="G1083" s="8" t="str">
        <f aca="false">IFERROR(INDEX(CADASTRO_PIVOS!$D$6:$D$41,MATCH($E1083,CADASTRO_PIVOS!$B$6:$B$41,0)),"?")</f>
        <v>TR06</v>
      </c>
      <c r="H1083" s="20" t="n">
        <f aca="false">IFERROR(INDEX(CADASTRO_PIVOS!$E$6:$E$41,MATCH($E1083,CADASTRO_PIVOS!$B$6:$B$41,0)),0)</f>
        <v>149.55</v>
      </c>
      <c r="I1083" s="16" t="n">
        <f aca="false">IFERROR(SUMIFS(ROTACAO_RDM!$B$6:$B$71,ROTACAO_RDM!$D$6:$D$71,$E1083,ROTACAO_RDM!$I$6:$I$71,"&lt;="&amp;$C1083+INT(DIAS_POR_SEMANA/2),ROTACAO_RDM!$J$6:$J$71,"&gt;="&amp;$C1083+INT(DIAS_POR_SEMANA/2)),0)</f>
        <v>27</v>
      </c>
      <c r="J1083" s="16" t="n">
        <f aca="false">IFERROR(MATCH($I1083,ROTACAO_RDM!$B$6:$B$71,0),0)</f>
        <v>27</v>
      </c>
      <c r="K1083" s="8" t="str">
        <f aca="false">IF($J1083=0,"SEM CULTURA",INDEX(ROTACAO_RDM!$F$6:$F$71,$J1083))</f>
        <v>ALGODAO</v>
      </c>
      <c r="L1083" s="8" t="str">
        <f aca="false">IF($J1083=0,"",INDEX(ROTACAO_RDM!$G$6:$G$71,$J1083))</f>
        <v>FM 974 GLT</v>
      </c>
      <c r="M1083" s="17" t="n">
        <f aca="false">IF($J1083=0,"",INDEX(ROTACAO_RDM!$I$6:$I$71,$J1083))</f>
        <v>46355</v>
      </c>
      <c r="N1083" s="16" t="n">
        <f aca="false">IF($J1083=0,0,MAX(0,$C1083+INT(DIAS_POR_SEMANA/2)-INDEX(ROTACAO_RDM!$I$6:$I$71,$J1083)))</f>
        <v>60</v>
      </c>
      <c r="O1083" s="19" t="n">
        <f aca="false">IF($J1083=0,0,MIN(1,$N1083/MAX(1,INDEX(ROTACAO_RDM!$K$6:$K$71,$J1083))))</f>
        <v>0.307692307692308</v>
      </c>
      <c r="P1083" s="16" t="n">
        <f aca="false">IF($J1083=0,0,IFERROR(MATCH(INDEX(ROTACAO_RDM!$N$6:$N$71,$J1083),PARAMETROS_CULTURAS!$B$6:$B$28,0),0))</f>
        <v>5</v>
      </c>
      <c r="Q1083" s="8" t="str">
        <f aca="false">IF($P1083=0,"-",IF($O1083&lt;=INDEX(PARAMETROS_CULTURAS!$F$6:$F$28,$P1083),"INICIAL",IF($O1083&lt;=INDEX(PARAMETROS_CULTURAS!$F$6:$F$28,$P1083)+INDEX(PARAMETROS_CULTURAS!$G$6:$G$28,$P1083),"DESENVOLVIMENTO",IF($O1083&lt;=INDEX(PARAMETROS_CULTURAS!$F$6:$F$28,$P1083)+INDEX(PARAMETROS_CULTURAS!$G$6:$G$28,$P1083)+INDEX(PARAMETROS_CULTURAS!$H$6:$H$28,$P1083),"MEDIA","FINAL"))))</f>
        <v>DESENVOLVIMENTO</v>
      </c>
      <c r="R1083" s="24" t="n">
        <f aca="false">IF($P1083=0,0,IF($O1083&lt;=INDEX(PARAMETROS_CULTURAS!$F$6:$F$28,$P1083),INDEX(PARAMETROS_CULTURAS!$K$6:$K$28,$P1083),IF($O1083&lt;=INDEX(PARAMETROS_CULTURAS!$F$6:$F$28,$P1083)+INDEX(PARAMETROS_CULTURAS!$G$6:$G$28,$P1083),INDEX(PARAMETROS_CULTURAS!$K$6:$K$28,$P1083)+(INDEX(PARAMETROS_CULTURAS!$L$6:$L$28,$P1083)-INDEX(PARAMETROS_CULTURAS!$K$6:$K$28,$P1083))*($O1083-INDEX(PARAMETROS_CULTURAS!$F$6:$F$28,$P1083))/MAX(INDEX(PARAMETROS_CULTURAS!$G$6:$G$28,$P1083),0.0001),IF($O1083&lt;=INDEX(PARAMETROS_CULTURAS!$F$6:$F$28,$P1083)+INDEX(PARAMETROS_CULTURAS!$G$6:$G$28,$P1083)+INDEX(PARAMETROS_CULTURAS!$H$6:$H$28,$P1083),INDEX(PARAMETROS_CULTURAS!$L$6:$L$28,$P1083),INDEX(PARAMETROS_CULTURAS!$L$6:$L$28,$P1083)+(INDEX(PARAMETROS_CULTURAS!$M$6:$M$28,$P1083)-INDEX(PARAMETROS_CULTURAS!$L$6:$L$28,$P1083))*($O1083-INDEX(PARAMETROS_CULTURAS!$F$6:$F$28,$P1083)-INDEX(PARAMETROS_CULTURAS!$G$6:$G$28,$P1083)-INDEX(PARAMETROS_CULTURAS!$H$6:$H$28,$P1083))/MAX(INDEX(PARAMETROS_CULTURAS!$I$6:$I$28,$P1083),0.0001)))))</f>
        <v>0.835207100591716</v>
      </c>
      <c r="S1083" s="18" t="n">
        <f aca="false">IFERROR(INDEX(SEMANAS!$H$6:$H$71,MATCH($B1083,SEMANAS!$B$6:$B$71,0)),0)</f>
        <v>33.6</v>
      </c>
      <c r="T1083" s="18" t="n">
        <f aca="false">$R1083*$S1083</f>
        <v>28.0629585798817</v>
      </c>
      <c r="U1083" s="18" t="n">
        <f aca="false">IFERROR(INDEX(SEMANAS!$I$6:$I$71,MATCH($B1083,SEMANAS!$B$6:$B$71,0)),0)</f>
        <v>45.15</v>
      </c>
      <c r="V1083" s="18" t="n">
        <f aca="false">IFERROR(INDEX(SEMANAS!$J$6:$J$71,MATCH($B1083,SEMANAS!$B$6:$B$71,0)),0)</f>
        <v>36.12</v>
      </c>
      <c r="W1083" s="18" t="n">
        <f aca="false">MAX(0,$T1083-$V1083)</f>
        <v>0</v>
      </c>
      <c r="X1083" s="19" t="n">
        <f aca="false">IFERROR(INDEX(CADASTRO_PIVOS!$K$6:$K$41,MATCH($E1083,CADASTRO_PIVOS!$B$6:$B$41,0)),EFICIENCIA_PADRAO)</f>
        <v>0.85</v>
      </c>
      <c r="Y1083" s="18" t="n">
        <f aca="false">IF($X1083&lt;=0,0,$W1083/$X1083)</f>
        <v>0</v>
      </c>
      <c r="Z1083" s="16" t="n">
        <f aca="false">$Y1083*$H1083*MM_PARA_M3_HA</f>
        <v>0</v>
      </c>
      <c r="AA1083" s="18" t="n">
        <f aca="false">IFERROR(INDEX(CADASTRO_PIVOS!$I$6:$I$41,MATCH($E1083,CADASTRO_PIVOS!$B$6:$B$41,0)),0)</f>
        <v>1068.21428571429</v>
      </c>
      <c r="AB1083" s="18" t="n">
        <f aca="false">IF($Z1083&lt;=0,0,$Z1083/$AA1083)</f>
        <v>0</v>
      </c>
      <c r="AC1083" s="16" t="n">
        <f aca="false">IFERROR(INDEX(SEMANAS!$K$6:$K$71,MATCH($B1083,SEMANAS!$B$6:$B$71,0)),0)</f>
        <v>147</v>
      </c>
      <c r="AD1083" s="19" t="n">
        <f aca="false">IF($AC1083&lt;=0,0,$AB1083/$AC1083)</f>
        <v>0</v>
      </c>
      <c r="AE1083" s="8" t="str">
        <f aca="false">IF($K1083="SEM CULTURA","SEM CULTURA",IF($AA1083&lt;=0,"DADO PENDENTE",IF($AD1083&gt;LIMITE_CRITICO,"INVIAVEL",IF($AD1083&gt;LIMITE_ATENCAO,"CRITICO",IF($AD1083&gt;LIMITE_CONFORTAVEL,"ATENCAO","OK")))))</f>
        <v>OK</v>
      </c>
      <c r="AF1083" s="8" t="str">
        <f aca="false">$B1083&amp;"|"&amp;TEXT($AD1083,"0.000000")</f>
        <v>22|0.000000</v>
      </c>
      <c r="AG1083" s="18" t="n">
        <f aca="false">IF($K1083="SEM CULTURA",0,$T1083*$H1083)</f>
        <v>4196.8154556213</v>
      </c>
      <c r="AH1083" s="18" t="n">
        <f aca="false">IF($K1083="SEM CULTURA",0,$V1083*$H1083)</f>
        <v>5401.746</v>
      </c>
      <c r="AI1083" s="18" t="n">
        <f aca="false">IF($K1083="SEM CULTURA",0,$W1083*$H1083)</f>
        <v>0</v>
      </c>
      <c r="AJ1083" s="18" t="n">
        <f aca="false">IF($K1083="SEM CULTURA",0,$S1083*$H1083)</f>
        <v>5024.88</v>
      </c>
      <c r="AK1083" s="8" t="str">
        <f aca="false">$E1083&amp;"|"&amp;TEXT($AD1083,"0.000000")</f>
        <v>PV 116|0.000000</v>
      </c>
    </row>
    <row r="1084" customFormat="false" ht="15" hidden="false" customHeight="false" outlineLevel="0" collapsed="false">
      <c r="B1084" s="16" t="n">
        <v>23</v>
      </c>
      <c r="C1084" s="17" t="n">
        <f aca="false">DATA_INICIO_SAFRA+($B1084-1)*DIAS_POR_SEMANA</f>
        <v>46419</v>
      </c>
      <c r="D1084" s="17" t="n">
        <f aca="false">$C1084+DIAS_POR_SEMANA-1</f>
        <v>46425</v>
      </c>
      <c r="E1084" s="15" t="s">
        <v>275</v>
      </c>
      <c r="F1084" s="8" t="str">
        <f aca="false">IFERROR(INDEX(CADASTRO_PIVOS!$C$6:$C$41,MATCH($E1084,CADASTRO_PIVOS!$B$6:$B$41,0)),"?")</f>
        <v>RM06</v>
      </c>
      <c r="G1084" s="8" t="str">
        <f aca="false">IFERROR(INDEX(CADASTRO_PIVOS!$D$6:$D$41,MATCH($E1084,CADASTRO_PIVOS!$B$6:$B$41,0)),"?")</f>
        <v>TR06</v>
      </c>
      <c r="H1084" s="20" t="n">
        <f aca="false">IFERROR(INDEX(CADASTRO_PIVOS!$E$6:$E$41,MATCH($E1084,CADASTRO_PIVOS!$B$6:$B$41,0)),0)</f>
        <v>149.55</v>
      </c>
      <c r="I1084" s="16" t="n">
        <f aca="false">IFERROR(SUMIFS(ROTACAO_RDM!$B$6:$B$71,ROTACAO_RDM!$D$6:$D$71,$E1084,ROTACAO_RDM!$I$6:$I$71,"&lt;="&amp;$C1084+INT(DIAS_POR_SEMANA/2),ROTACAO_RDM!$J$6:$J$71,"&gt;="&amp;$C1084+INT(DIAS_POR_SEMANA/2)),0)</f>
        <v>27</v>
      </c>
      <c r="J1084" s="16" t="n">
        <f aca="false">IFERROR(MATCH($I1084,ROTACAO_RDM!$B$6:$B$71,0),0)</f>
        <v>27</v>
      </c>
      <c r="K1084" s="8" t="str">
        <f aca="false">IF($J1084=0,"SEM CULTURA",INDEX(ROTACAO_RDM!$F$6:$F$71,$J1084))</f>
        <v>ALGODAO</v>
      </c>
      <c r="L1084" s="8" t="str">
        <f aca="false">IF($J1084=0,"",INDEX(ROTACAO_RDM!$G$6:$G$71,$J1084))</f>
        <v>FM 974 GLT</v>
      </c>
      <c r="M1084" s="17" t="n">
        <f aca="false">IF($J1084=0,"",INDEX(ROTACAO_RDM!$I$6:$I$71,$J1084))</f>
        <v>46355</v>
      </c>
      <c r="N1084" s="16" t="n">
        <f aca="false">IF($J1084=0,0,MAX(0,$C1084+INT(DIAS_POR_SEMANA/2)-INDEX(ROTACAO_RDM!$I$6:$I$71,$J1084)))</f>
        <v>67</v>
      </c>
      <c r="O1084" s="19" t="n">
        <f aca="false">IF($J1084=0,0,MIN(1,$N1084/MAX(1,INDEX(ROTACAO_RDM!$K$6:$K$71,$J1084))))</f>
        <v>0.343589743589744</v>
      </c>
      <c r="P1084" s="16" t="n">
        <f aca="false">IF($J1084=0,0,IFERROR(MATCH(INDEX(ROTACAO_RDM!$N$6:$N$71,$J1084),PARAMETROS_CULTURAS!$B$6:$B$28,0),0))</f>
        <v>5</v>
      </c>
      <c r="Q1084" s="8" t="str">
        <f aca="false">IF($P1084=0,"-",IF($O1084&lt;=INDEX(PARAMETROS_CULTURAS!$F$6:$F$28,$P1084),"INICIAL",IF($O1084&lt;=INDEX(PARAMETROS_CULTURAS!$F$6:$F$28,$P1084)+INDEX(PARAMETROS_CULTURAS!$G$6:$G$28,$P1084),"DESENVOLVIMENTO",IF($O1084&lt;=INDEX(PARAMETROS_CULTURAS!$F$6:$F$28,$P1084)+INDEX(PARAMETROS_CULTURAS!$G$6:$G$28,$P1084)+INDEX(PARAMETROS_CULTURAS!$H$6:$H$28,$P1084),"MEDIA","FINAL"))))</f>
        <v>DESENVOLVIMENTO</v>
      </c>
      <c r="R1084" s="24" t="n">
        <f aca="false">IF($P1084=0,0,IF($O1084&lt;=INDEX(PARAMETROS_CULTURAS!$F$6:$F$28,$P1084),INDEX(PARAMETROS_CULTURAS!$K$6:$K$28,$P1084),IF($O1084&lt;=INDEX(PARAMETROS_CULTURAS!$F$6:$F$28,$P1084)+INDEX(PARAMETROS_CULTURAS!$G$6:$G$28,$P1084),INDEX(PARAMETROS_CULTURAS!$K$6:$K$28,$P1084)+(INDEX(PARAMETROS_CULTURAS!$L$6:$L$28,$P1084)-INDEX(PARAMETROS_CULTURAS!$K$6:$K$28,$P1084))*($O1084-INDEX(PARAMETROS_CULTURAS!$F$6:$F$28,$P1084))/MAX(INDEX(PARAMETROS_CULTURAS!$G$6:$G$28,$P1084),0.0001),IF($O1084&lt;=INDEX(PARAMETROS_CULTURAS!$F$6:$F$28,$P1084)+INDEX(PARAMETROS_CULTURAS!$G$6:$G$28,$P1084)+INDEX(PARAMETROS_CULTURAS!$H$6:$H$28,$P1084),INDEX(PARAMETROS_CULTURAS!$L$6:$L$28,$P1084),INDEX(PARAMETROS_CULTURAS!$L$6:$L$28,$P1084)+(INDEX(PARAMETROS_CULTURAS!$M$6:$M$28,$P1084)-INDEX(PARAMETROS_CULTURAS!$L$6:$L$28,$P1084))*($O1084-INDEX(PARAMETROS_CULTURAS!$F$6:$F$28,$P1084)-INDEX(PARAMETROS_CULTURAS!$G$6:$G$28,$P1084)-INDEX(PARAMETROS_CULTURAS!$H$6:$H$28,$P1084))/MAX(INDEX(PARAMETROS_CULTURAS!$I$6:$I$28,$P1084),0.0001)))))</f>
        <v>0.945660749506903</v>
      </c>
      <c r="S1084" s="18" t="n">
        <f aca="false">IFERROR(INDEX(SEMANAS!$H$6:$H$71,MATCH($B1084,SEMANAS!$B$6:$B$71,0)),0)</f>
        <v>32.9</v>
      </c>
      <c r="T1084" s="18" t="n">
        <f aca="false">$R1084*$S1084</f>
        <v>31.1122386587771</v>
      </c>
      <c r="U1084" s="18" t="n">
        <f aca="false">IFERROR(INDEX(SEMANAS!$I$6:$I$71,MATCH($B1084,SEMANAS!$B$6:$B$71,0)),0)</f>
        <v>39.97</v>
      </c>
      <c r="V1084" s="18" t="n">
        <f aca="false">IFERROR(INDEX(SEMANAS!$J$6:$J$71,MATCH($B1084,SEMANAS!$B$6:$B$71,0)),0)</f>
        <v>31.976</v>
      </c>
      <c r="W1084" s="18" t="n">
        <f aca="false">MAX(0,$T1084-$V1084)</f>
        <v>0</v>
      </c>
      <c r="X1084" s="19" t="n">
        <f aca="false">IFERROR(INDEX(CADASTRO_PIVOS!$K$6:$K$41,MATCH($E1084,CADASTRO_PIVOS!$B$6:$B$41,0)),EFICIENCIA_PADRAO)</f>
        <v>0.85</v>
      </c>
      <c r="Y1084" s="18" t="n">
        <f aca="false">IF($X1084&lt;=0,0,$W1084/$X1084)</f>
        <v>0</v>
      </c>
      <c r="Z1084" s="16" t="n">
        <f aca="false">$Y1084*$H1084*MM_PARA_M3_HA</f>
        <v>0</v>
      </c>
      <c r="AA1084" s="18" t="n">
        <f aca="false">IFERROR(INDEX(CADASTRO_PIVOS!$I$6:$I$41,MATCH($E1084,CADASTRO_PIVOS!$B$6:$B$41,0)),0)</f>
        <v>1068.21428571429</v>
      </c>
      <c r="AB1084" s="18" t="n">
        <f aca="false">IF($Z1084&lt;=0,0,$Z1084/$AA1084)</f>
        <v>0</v>
      </c>
      <c r="AC1084" s="16" t="n">
        <f aca="false">IFERROR(INDEX(SEMANAS!$K$6:$K$71,MATCH($B1084,SEMANAS!$B$6:$B$71,0)),0)</f>
        <v>147</v>
      </c>
      <c r="AD1084" s="19" t="n">
        <f aca="false">IF($AC1084&lt;=0,0,$AB1084/$AC1084)</f>
        <v>0</v>
      </c>
      <c r="AE1084" s="8" t="str">
        <f aca="false">IF($K1084="SEM CULTURA","SEM CULTURA",IF($AA1084&lt;=0,"DADO PENDENTE",IF($AD1084&gt;LIMITE_CRITICO,"INVIAVEL",IF($AD1084&gt;LIMITE_ATENCAO,"CRITICO",IF($AD1084&gt;LIMITE_CONFORTAVEL,"ATENCAO","OK")))))</f>
        <v>OK</v>
      </c>
      <c r="AF1084" s="8" t="str">
        <f aca="false">$B1084&amp;"|"&amp;TEXT($AD1084,"0.000000")</f>
        <v>23|0.000000</v>
      </c>
      <c r="AG1084" s="18" t="n">
        <f aca="false">IF($K1084="SEM CULTURA",0,$T1084*$H1084)</f>
        <v>4652.83529142012</v>
      </c>
      <c r="AH1084" s="18" t="n">
        <f aca="false">IF($K1084="SEM CULTURA",0,$V1084*$H1084)</f>
        <v>4782.0108</v>
      </c>
      <c r="AI1084" s="18" t="n">
        <f aca="false">IF($K1084="SEM CULTURA",0,$W1084*$H1084)</f>
        <v>0</v>
      </c>
      <c r="AJ1084" s="18" t="n">
        <f aca="false">IF($K1084="SEM CULTURA",0,$S1084*$H1084)</f>
        <v>4920.195</v>
      </c>
      <c r="AK1084" s="8" t="str">
        <f aca="false">$E1084&amp;"|"&amp;TEXT($AD1084,"0.000000")</f>
        <v>PV 116|0.000000</v>
      </c>
    </row>
    <row r="1085" customFormat="false" ht="15" hidden="false" customHeight="false" outlineLevel="0" collapsed="false">
      <c r="B1085" s="16" t="n">
        <v>24</v>
      </c>
      <c r="C1085" s="17" t="n">
        <f aca="false">DATA_INICIO_SAFRA+($B1085-1)*DIAS_POR_SEMANA</f>
        <v>46426</v>
      </c>
      <c r="D1085" s="17" t="n">
        <f aca="false">$C1085+DIAS_POR_SEMANA-1</f>
        <v>46432</v>
      </c>
      <c r="E1085" s="15" t="s">
        <v>275</v>
      </c>
      <c r="F1085" s="8" t="str">
        <f aca="false">IFERROR(INDEX(CADASTRO_PIVOS!$C$6:$C$41,MATCH($E1085,CADASTRO_PIVOS!$B$6:$B$41,0)),"?")</f>
        <v>RM06</v>
      </c>
      <c r="G1085" s="8" t="str">
        <f aca="false">IFERROR(INDEX(CADASTRO_PIVOS!$D$6:$D$41,MATCH($E1085,CADASTRO_PIVOS!$B$6:$B$41,0)),"?")</f>
        <v>TR06</v>
      </c>
      <c r="H1085" s="20" t="n">
        <f aca="false">IFERROR(INDEX(CADASTRO_PIVOS!$E$6:$E$41,MATCH($E1085,CADASTRO_PIVOS!$B$6:$B$41,0)),0)</f>
        <v>149.55</v>
      </c>
      <c r="I1085" s="16" t="n">
        <f aca="false">IFERROR(SUMIFS(ROTACAO_RDM!$B$6:$B$71,ROTACAO_RDM!$D$6:$D$71,$E1085,ROTACAO_RDM!$I$6:$I$71,"&lt;="&amp;$C1085+INT(DIAS_POR_SEMANA/2),ROTACAO_RDM!$J$6:$J$71,"&gt;="&amp;$C1085+INT(DIAS_POR_SEMANA/2)),0)</f>
        <v>27</v>
      </c>
      <c r="J1085" s="16" t="n">
        <f aca="false">IFERROR(MATCH($I1085,ROTACAO_RDM!$B$6:$B$71,0),0)</f>
        <v>27</v>
      </c>
      <c r="K1085" s="8" t="str">
        <f aca="false">IF($J1085=0,"SEM CULTURA",INDEX(ROTACAO_RDM!$F$6:$F$71,$J1085))</f>
        <v>ALGODAO</v>
      </c>
      <c r="L1085" s="8" t="str">
        <f aca="false">IF($J1085=0,"",INDEX(ROTACAO_RDM!$G$6:$G$71,$J1085))</f>
        <v>FM 974 GLT</v>
      </c>
      <c r="M1085" s="17" t="n">
        <f aca="false">IF($J1085=0,"",INDEX(ROTACAO_RDM!$I$6:$I$71,$J1085))</f>
        <v>46355</v>
      </c>
      <c r="N1085" s="16" t="n">
        <f aca="false">IF($J1085=0,0,MAX(0,$C1085+INT(DIAS_POR_SEMANA/2)-INDEX(ROTACAO_RDM!$I$6:$I$71,$J1085)))</f>
        <v>74</v>
      </c>
      <c r="O1085" s="19" t="n">
        <f aca="false">IF($J1085=0,0,MIN(1,$N1085/MAX(1,INDEX(ROTACAO_RDM!$K$6:$K$71,$J1085))))</f>
        <v>0.379487179487179</v>
      </c>
      <c r="P1085" s="16" t="n">
        <f aca="false">IF($J1085=0,0,IFERROR(MATCH(INDEX(ROTACAO_RDM!$N$6:$N$71,$J1085),PARAMETROS_CULTURAS!$B$6:$B$28,0),0))</f>
        <v>5</v>
      </c>
      <c r="Q1085" s="8" t="str">
        <f aca="false">IF($P1085=0,"-",IF($O1085&lt;=INDEX(PARAMETROS_CULTURAS!$F$6:$F$28,$P1085),"INICIAL",IF($O1085&lt;=INDEX(PARAMETROS_CULTURAS!$F$6:$F$28,$P1085)+INDEX(PARAMETROS_CULTURAS!$G$6:$G$28,$P1085),"DESENVOLVIMENTO",IF($O1085&lt;=INDEX(PARAMETROS_CULTURAS!$F$6:$F$28,$P1085)+INDEX(PARAMETROS_CULTURAS!$G$6:$G$28,$P1085)+INDEX(PARAMETROS_CULTURAS!$H$6:$H$28,$P1085),"MEDIA","FINAL"))))</f>
        <v>DESENVOLVIMENTO</v>
      </c>
      <c r="R1085" s="24" t="n">
        <f aca="false">IF($P1085=0,0,IF($O1085&lt;=INDEX(PARAMETROS_CULTURAS!$F$6:$F$28,$P1085),INDEX(PARAMETROS_CULTURAS!$K$6:$K$28,$P1085),IF($O1085&lt;=INDEX(PARAMETROS_CULTURAS!$F$6:$F$28,$P1085)+INDEX(PARAMETROS_CULTURAS!$G$6:$G$28,$P1085),INDEX(PARAMETROS_CULTURAS!$K$6:$K$28,$P1085)+(INDEX(PARAMETROS_CULTURAS!$L$6:$L$28,$P1085)-INDEX(PARAMETROS_CULTURAS!$K$6:$K$28,$P1085))*($O1085-INDEX(PARAMETROS_CULTURAS!$F$6:$F$28,$P1085))/MAX(INDEX(PARAMETROS_CULTURAS!$G$6:$G$28,$P1085),0.0001),IF($O1085&lt;=INDEX(PARAMETROS_CULTURAS!$F$6:$F$28,$P1085)+INDEX(PARAMETROS_CULTURAS!$G$6:$G$28,$P1085)+INDEX(PARAMETROS_CULTURAS!$H$6:$H$28,$P1085),INDEX(PARAMETROS_CULTURAS!$L$6:$L$28,$P1085),INDEX(PARAMETROS_CULTURAS!$L$6:$L$28,$P1085)+(INDEX(PARAMETROS_CULTURAS!$M$6:$M$28,$P1085)-INDEX(PARAMETROS_CULTURAS!$L$6:$L$28,$P1085))*($O1085-INDEX(PARAMETROS_CULTURAS!$F$6:$F$28,$P1085)-INDEX(PARAMETROS_CULTURAS!$G$6:$G$28,$P1085)-INDEX(PARAMETROS_CULTURAS!$H$6:$H$28,$P1085))/MAX(INDEX(PARAMETROS_CULTURAS!$I$6:$I$28,$P1085),0.0001)))))</f>
        <v>1.05611439842209</v>
      </c>
      <c r="S1085" s="18" t="n">
        <f aca="false">IFERROR(INDEX(SEMANAS!$H$6:$H$71,MATCH($B1085,SEMANAS!$B$6:$B$71,0)),0)</f>
        <v>32.9</v>
      </c>
      <c r="T1085" s="18" t="n">
        <f aca="false">$R1085*$S1085</f>
        <v>34.7461637080868</v>
      </c>
      <c r="U1085" s="18" t="n">
        <f aca="false">IFERROR(INDEX(SEMANAS!$I$6:$I$71,MATCH($B1085,SEMANAS!$B$6:$B$71,0)),0)</f>
        <v>39.97</v>
      </c>
      <c r="V1085" s="18" t="n">
        <f aca="false">IFERROR(INDEX(SEMANAS!$J$6:$J$71,MATCH($B1085,SEMANAS!$B$6:$B$71,0)),0)</f>
        <v>31.976</v>
      </c>
      <c r="W1085" s="18" t="n">
        <f aca="false">MAX(0,$T1085-$V1085)</f>
        <v>2.77016370808677</v>
      </c>
      <c r="X1085" s="19" t="n">
        <f aca="false">IFERROR(INDEX(CADASTRO_PIVOS!$K$6:$K$41,MATCH($E1085,CADASTRO_PIVOS!$B$6:$B$41,0)),EFICIENCIA_PADRAO)</f>
        <v>0.85</v>
      </c>
      <c r="Y1085" s="18" t="n">
        <f aca="false">IF($X1085&lt;=0,0,$W1085/$X1085)</f>
        <v>3.25901612716091</v>
      </c>
      <c r="Z1085" s="16" t="n">
        <f aca="false">$Y1085*$H1085*MM_PARA_M3_HA</f>
        <v>4873.85861816914</v>
      </c>
      <c r="AA1085" s="18" t="n">
        <f aca="false">IFERROR(INDEX(CADASTRO_PIVOS!$I$6:$I$41,MATCH($E1085,CADASTRO_PIVOS!$B$6:$B$41,0)),0)</f>
        <v>1068.21428571429</v>
      </c>
      <c r="AB1085" s="18" t="n">
        <f aca="false">IF($Z1085&lt;=0,0,$Z1085/$AA1085)</f>
        <v>4.56262257802527</v>
      </c>
      <c r="AC1085" s="16" t="n">
        <f aca="false">IFERROR(INDEX(SEMANAS!$K$6:$K$71,MATCH($B1085,SEMANAS!$B$6:$B$71,0)),0)</f>
        <v>147</v>
      </c>
      <c r="AD1085" s="19" t="n">
        <f aca="false">IF($AC1085&lt;=0,0,$AB1085/$AC1085)</f>
        <v>0.0310382488301039</v>
      </c>
      <c r="AE1085" s="8" t="str">
        <f aca="false">IF($K1085="SEM CULTURA","SEM CULTURA",IF($AA1085&lt;=0,"DADO PENDENTE",IF($AD1085&gt;LIMITE_CRITICO,"INVIAVEL",IF($AD1085&gt;LIMITE_ATENCAO,"CRITICO",IF($AD1085&gt;LIMITE_CONFORTAVEL,"ATENCAO","OK")))))</f>
        <v>OK</v>
      </c>
      <c r="AF1085" s="8" t="str">
        <f aca="false">$B1085&amp;"|"&amp;TEXT($AD1085,"0.000000")</f>
        <v>24|0.031038</v>
      </c>
      <c r="AG1085" s="18" t="n">
        <f aca="false">IF($K1085="SEM CULTURA",0,$T1085*$H1085)</f>
        <v>5196.28878254438</v>
      </c>
      <c r="AH1085" s="18" t="n">
        <f aca="false">IF($K1085="SEM CULTURA",0,$V1085*$H1085)</f>
        <v>4782.0108</v>
      </c>
      <c r="AI1085" s="18" t="n">
        <f aca="false">IF($K1085="SEM CULTURA",0,$W1085*$H1085)</f>
        <v>414.277982544377</v>
      </c>
      <c r="AJ1085" s="18" t="n">
        <f aca="false">IF($K1085="SEM CULTURA",0,$S1085*$H1085)</f>
        <v>4920.195</v>
      </c>
      <c r="AK1085" s="8" t="str">
        <f aca="false">$E1085&amp;"|"&amp;TEXT($AD1085,"0.000000")</f>
        <v>PV 116|0.031038</v>
      </c>
    </row>
    <row r="1086" customFormat="false" ht="15" hidden="false" customHeight="false" outlineLevel="0" collapsed="false">
      <c r="B1086" s="16" t="n">
        <v>25</v>
      </c>
      <c r="C1086" s="17" t="n">
        <f aca="false">DATA_INICIO_SAFRA+($B1086-1)*DIAS_POR_SEMANA</f>
        <v>46433</v>
      </c>
      <c r="D1086" s="17" t="n">
        <f aca="false">$C1086+DIAS_POR_SEMANA-1</f>
        <v>46439</v>
      </c>
      <c r="E1086" s="15" t="s">
        <v>275</v>
      </c>
      <c r="F1086" s="8" t="str">
        <f aca="false">IFERROR(INDEX(CADASTRO_PIVOS!$C$6:$C$41,MATCH($E1086,CADASTRO_PIVOS!$B$6:$B$41,0)),"?")</f>
        <v>RM06</v>
      </c>
      <c r="G1086" s="8" t="str">
        <f aca="false">IFERROR(INDEX(CADASTRO_PIVOS!$D$6:$D$41,MATCH($E1086,CADASTRO_PIVOS!$B$6:$B$41,0)),"?")</f>
        <v>TR06</v>
      </c>
      <c r="H1086" s="20" t="n">
        <f aca="false">IFERROR(INDEX(CADASTRO_PIVOS!$E$6:$E$41,MATCH($E1086,CADASTRO_PIVOS!$B$6:$B$41,0)),0)</f>
        <v>149.55</v>
      </c>
      <c r="I1086" s="16" t="n">
        <f aca="false">IFERROR(SUMIFS(ROTACAO_RDM!$B$6:$B$71,ROTACAO_RDM!$D$6:$D$71,$E1086,ROTACAO_RDM!$I$6:$I$71,"&lt;="&amp;$C1086+INT(DIAS_POR_SEMANA/2),ROTACAO_RDM!$J$6:$J$71,"&gt;="&amp;$C1086+INT(DIAS_POR_SEMANA/2)),0)</f>
        <v>27</v>
      </c>
      <c r="J1086" s="16" t="n">
        <f aca="false">IFERROR(MATCH($I1086,ROTACAO_RDM!$B$6:$B$71,0),0)</f>
        <v>27</v>
      </c>
      <c r="K1086" s="8" t="str">
        <f aca="false">IF($J1086=0,"SEM CULTURA",INDEX(ROTACAO_RDM!$F$6:$F$71,$J1086))</f>
        <v>ALGODAO</v>
      </c>
      <c r="L1086" s="8" t="str">
        <f aca="false">IF($J1086=0,"",INDEX(ROTACAO_RDM!$G$6:$G$71,$J1086))</f>
        <v>FM 974 GLT</v>
      </c>
      <c r="M1086" s="17" t="n">
        <f aca="false">IF($J1086=0,"",INDEX(ROTACAO_RDM!$I$6:$I$71,$J1086))</f>
        <v>46355</v>
      </c>
      <c r="N1086" s="16" t="n">
        <f aca="false">IF($J1086=0,0,MAX(0,$C1086+INT(DIAS_POR_SEMANA/2)-INDEX(ROTACAO_RDM!$I$6:$I$71,$J1086)))</f>
        <v>81</v>
      </c>
      <c r="O1086" s="19" t="n">
        <f aca="false">IF($J1086=0,0,MIN(1,$N1086/MAX(1,INDEX(ROTACAO_RDM!$K$6:$K$71,$J1086))))</f>
        <v>0.415384615384615</v>
      </c>
      <c r="P1086" s="16" t="n">
        <f aca="false">IF($J1086=0,0,IFERROR(MATCH(INDEX(ROTACAO_RDM!$N$6:$N$71,$J1086),PARAMETROS_CULTURAS!$B$6:$B$28,0),0))</f>
        <v>5</v>
      </c>
      <c r="Q1086" s="8" t="str">
        <f aca="false">IF($P1086=0,"-",IF($O1086&lt;=INDEX(PARAMETROS_CULTURAS!$F$6:$F$28,$P1086),"INICIAL",IF($O1086&lt;=INDEX(PARAMETROS_CULTURAS!$F$6:$F$28,$P1086)+INDEX(PARAMETROS_CULTURAS!$G$6:$G$28,$P1086),"DESENVOLVIMENTO",IF($O1086&lt;=INDEX(PARAMETROS_CULTURAS!$F$6:$F$28,$P1086)+INDEX(PARAMETROS_CULTURAS!$G$6:$G$28,$P1086)+INDEX(PARAMETROS_CULTURAS!$H$6:$H$28,$P1086),"MEDIA","FINAL"))))</f>
        <v>MEDIA</v>
      </c>
      <c r="R1086" s="24" t="n">
        <f aca="false">IF($P1086=0,0,IF($O1086&lt;=INDEX(PARAMETROS_CULTURAS!$F$6:$F$28,$P1086),INDEX(PARAMETROS_CULTURAS!$K$6:$K$28,$P1086),IF($O1086&lt;=INDEX(PARAMETROS_CULTURAS!$F$6:$F$28,$P1086)+INDEX(PARAMETROS_CULTURAS!$G$6:$G$28,$P1086),INDEX(PARAMETROS_CULTURAS!$K$6:$K$28,$P1086)+(INDEX(PARAMETROS_CULTURAS!$L$6:$L$28,$P1086)-INDEX(PARAMETROS_CULTURAS!$K$6:$K$28,$P1086))*($O1086-INDEX(PARAMETROS_CULTURAS!$F$6:$F$28,$P1086))/MAX(INDEX(PARAMETROS_CULTURAS!$G$6:$G$28,$P1086),0.0001),IF($O1086&lt;=INDEX(PARAMETROS_CULTURAS!$F$6:$F$28,$P1086)+INDEX(PARAMETROS_CULTURAS!$G$6:$G$28,$P1086)+INDEX(PARAMETROS_CULTURAS!$H$6:$H$28,$P1086),INDEX(PARAMETROS_CULTURAS!$L$6:$L$28,$P1086),INDEX(PARAMETROS_CULTURAS!$L$6:$L$28,$P1086)+(INDEX(PARAMETROS_CULTURAS!$M$6:$M$28,$P1086)-INDEX(PARAMETROS_CULTURAS!$L$6:$L$28,$P1086))*($O1086-INDEX(PARAMETROS_CULTURAS!$F$6:$F$28,$P1086)-INDEX(PARAMETROS_CULTURAS!$G$6:$G$28,$P1086)-INDEX(PARAMETROS_CULTURAS!$H$6:$H$28,$P1086))/MAX(INDEX(PARAMETROS_CULTURAS!$I$6:$I$28,$P1086),0.0001)))))</f>
        <v>1.15</v>
      </c>
      <c r="S1086" s="18" t="n">
        <f aca="false">IFERROR(INDEX(SEMANAS!$H$6:$H$71,MATCH($B1086,SEMANAS!$B$6:$B$71,0)),0)</f>
        <v>32.9</v>
      </c>
      <c r="T1086" s="18" t="n">
        <f aca="false">$R1086*$S1086</f>
        <v>37.835</v>
      </c>
      <c r="U1086" s="18" t="n">
        <f aca="false">IFERROR(INDEX(SEMANAS!$I$6:$I$71,MATCH($B1086,SEMANAS!$B$6:$B$71,0)),0)</f>
        <v>39.97</v>
      </c>
      <c r="V1086" s="18" t="n">
        <f aca="false">IFERROR(INDEX(SEMANAS!$J$6:$J$71,MATCH($B1086,SEMANAS!$B$6:$B$71,0)),0)</f>
        <v>31.976</v>
      </c>
      <c r="W1086" s="18" t="n">
        <f aca="false">MAX(0,$T1086-$V1086)</f>
        <v>5.85899999999999</v>
      </c>
      <c r="X1086" s="19" t="n">
        <f aca="false">IFERROR(INDEX(CADASTRO_PIVOS!$K$6:$K$41,MATCH($E1086,CADASTRO_PIVOS!$B$6:$B$41,0)),EFICIENCIA_PADRAO)</f>
        <v>0.85</v>
      </c>
      <c r="Y1086" s="18" t="n">
        <f aca="false">IF($X1086&lt;=0,0,$W1086/$X1086)</f>
        <v>6.89294117647058</v>
      </c>
      <c r="Z1086" s="16" t="n">
        <f aca="false">$Y1086*$H1086*MM_PARA_M3_HA</f>
        <v>10308.3935294118</v>
      </c>
      <c r="AA1086" s="18" t="n">
        <f aca="false">IFERROR(INDEX(CADASTRO_PIVOS!$I$6:$I$41,MATCH($E1086,CADASTRO_PIVOS!$B$6:$B$41,0)),0)</f>
        <v>1068.21428571429</v>
      </c>
      <c r="AB1086" s="18" t="n">
        <f aca="false">IF($Z1086&lt;=0,0,$Z1086/$AA1086)</f>
        <v>9.65011764705881</v>
      </c>
      <c r="AC1086" s="16" t="n">
        <f aca="false">IFERROR(INDEX(SEMANAS!$K$6:$K$71,MATCH($B1086,SEMANAS!$B$6:$B$71,0)),0)</f>
        <v>147</v>
      </c>
      <c r="AD1086" s="19" t="n">
        <f aca="false">IF($AC1086&lt;=0,0,$AB1086/$AC1086)</f>
        <v>0.0656470588235293</v>
      </c>
      <c r="AE1086" s="8" t="str">
        <f aca="false">IF($K1086="SEM CULTURA","SEM CULTURA",IF($AA1086&lt;=0,"DADO PENDENTE",IF($AD1086&gt;LIMITE_CRITICO,"INVIAVEL",IF($AD1086&gt;LIMITE_ATENCAO,"CRITICO",IF($AD1086&gt;LIMITE_CONFORTAVEL,"ATENCAO","OK")))))</f>
        <v>OK</v>
      </c>
      <c r="AF1086" s="8" t="str">
        <f aca="false">$B1086&amp;"|"&amp;TEXT($AD1086,"0.000000")</f>
        <v>25|0.065647</v>
      </c>
      <c r="AG1086" s="18" t="n">
        <f aca="false">IF($K1086="SEM CULTURA",0,$T1086*$H1086)</f>
        <v>5658.22425</v>
      </c>
      <c r="AH1086" s="18" t="n">
        <f aca="false">IF($K1086="SEM CULTURA",0,$V1086*$H1086)</f>
        <v>4782.0108</v>
      </c>
      <c r="AI1086" s="18" t="n">
        <f aca="false">IF($K1086="SEM CULTURA",0,$W1086*$H1086)</f>
        <v>876.213449999999</v>
      </c>
      <c r="AJ1086" s="18" t="n">
        <f aca="false">IF($K1086="SEM CULTURA",0,$S1086*$H1086)</f>
        <v>4920.195</v>
      </c>
      <c r="AK1086" s="8" t="str">
        <f aca="false">$E1086&amp;"|"&amp;TEXT($AD1086,"0.000000")</f>
        <v>PV 116|0.065647</v>
      </c>
    </row>
    <row r="1087" customFormat="false" ht="15" hidden="false" customHeight="false" outlineLevel="0" collapsed="false">
      <c r="B1087" s="16" t="n">
        <v>26</v>
      </c>
      <c r="C1087" s="17" t="n">
        <f aca="false">DATA_INICIO_SAFRA+($B1087-1)*DIAS_POR_SEMANA</f>
        <v>46440</v>
      </c>
      <c r="D1087" s="17" t="n">
        <f aca="false">$C1087+DIAS_POR_SEMANA-1</f>
        <v>46446</v>
      </c>
      <c r="E1087" s="15" t="s">
        <v>275</v>
      </c>
      <c r="F1087" s="8" t="str">
        <f aca="false">IFERROR(INDEX(CADASTRO_PIVOS!$C$6:$C$41,MATCH($E1087,CADASTRO_PIVOS!$B$6:$B$41,0)),"?")</f>
        <v>RM06</v>
      </c>
      <c r="G1087" s="8" t="str">
        <f aca="false">IFERROR(INDEX(CADASTRO_PIVOS!$D$6:$D$41,MATCH($E1087,CADASTRO_PIVOS!$B$6:$B$41,0)),"?")</f>
        <v>TR06</v>
      </c>
      <c r="H1087" s="20" t="n">
        <f aca="false">IFERROR(INDEX(CADASTRO_PIVOS!$E$6:$E$41,MATCH($E1087,CADASTRO_PIVOS!$B$6:$B$41,0)),0)</f>
        <v>149.55</v>
      </c>
      <c r="I1087" s="16" t="n">
        <f aca="false">IFERROR(SUMIFS(ROTACAO_RDM!$B$6:$B$71,ROTACAO_RDM!$D$6:$D$71,$E1087,ROTACAO_RDM!$I$6:$I$71,"&lt;="&amp;$C1087+INT(DIAS_POR_SEMANA/2),ROTACAO_RDM!$J$6:$J$71,"&gt;="&amp;$C1087+INT(DIAS_POR_SEMANA/2)),0)</f>
        <v>27</v>
      </c>
      <c r="J1087" s="16" t="n">
        <f aca="false">IFERROR(MATCH($I1087,ROTACAO_RDM!$B$6:$B$71,0),0)</f>
        <v>27</v>
      </c>
      <c r="K1087" s="8" t="str">
        <f aca="false">IF($J1087=0,"SEM CULTURA",INDEX(ROTACAO_RDM!$F$6:$F$71,$J1087))</f>
        <v>ALGODAO</v>
      </c>
      <c r="L1087" s="8" t="str">
        <f aca="false">IF($J1087=0,"",INDEX(ROTACAO_RDM!$G$6:$G$71,$J1087))</f>
        <v>FM 974 GLT</v>
      </c>
      <c r="M1087" s="17" t="n">
        <f aca="false">IF($J1087=0,"",INDEX(ROTACAO_RDM!$I$6:$I$71,$J1087))</f>
        <v>46355</v>
      </c>
      <c r="N1087" s="16" t="n">
        <f aca="false">IF($J1087=0,0,MAX(0,$C1087+INT(DIAS_POR_SEMANA/2)-INDEX(ROTACAO_RDM!$I$6:$I$71,$J1087)))</f>
        <v>88</v>
      </c>
      <c r="O1087" s="19" t="n">
        <f aca="false">IF($J1087=0,0,MIN(1,$N1087/MAX(1,INDEX(ROTACAO_RDM!$K$6:$K$71,$J1087))))</f>
        <v>0.451282051282051</v>
      </c>
      <c r="P1087" s="16" t="n">
        <f aca="false">IF($J1087=0,0,IFERROR(MATCH(INDEX(ROTACAO_RDM!$N$6:$N$71,$J1087),PARAMETROS_CULTURAS!$B$6:$B$28,0),0))</f>
        <v>5</v>
      </c>
      <c r="Q1087" s="8" t="str">
        <f aca="false">IF($P1087=0,"-",IF($O1087&lt;=INDEX(PARAMETROS_CULTURAS!$F$6:$F$28,$P1087),"INICIAL",IF($O1087&lt;=INDEX(PARAMETROS_CULTURAS!$F$6:$F$28,$P1087)+INDEX(PARAMETROS_CULTURAS!$G$6:$G$28,$P1087),"DESENVOLVIMENTO",IF($O1087&lt;=INDEX(PARAMETROS_CULTURAS!$F$6:$F$28,$P1087)+INDEX(PARAMETROS_CULTURAS!$G$6:$G$28,$P1087)+INDEX(PARAMETROS_CULTURAS!$H$6:$H$28,$P1087),"MEDIA","FINAL"))))</f>
        <v>MEDIA</v>
      </c>
      <c r="R1087" s="24" t="n">
        <f aca="false">IF($P1087=0,0,IF($O1087&lt;=INDEX(PARAMETROS_CULTURAS!$F$6:$F$28,$P1087),INDEX(PARAMETROS_CULTURAS!$K$6:$K$28,$P1087),IF($O1087&lt;=INDEX(PARAMETROS_CULTURAS!$F$6:$F$28,$P1087)+INDEX(PARAMETROS_CULTURAS!$G$6:$G$28,$P1087),INDEX(PARAMETROS_CULTURAS!$K$6:$K$28,$P1087)+(INDEX(PARAMETROS_CULTURAS!$L$6:$L$28,$P1087)-INDEX(PARAMETROS_CULTURAS!$K$6:$K$28,$P1087))*($O1087-INDEX(PARAMETROS_CULTURAS!$F$6:$F$28,$P1087))/MAX(INDEX(PARAMETROS_CULTURAS!$G$6:$G$28,$P1087),0.0001),IF($O1087&lt;=INDEX(PARAMETROS_CULTURAS!$F$6:$F$28,$P1087)+INDEX(PARAMETROS_CULTURAS!$G$6:$G$28,$P1087)+INDEX(PARAMETROS_CULTURAS!$H$6:$H$28,$P1087),INDEX(PARAMETROS_CULTURAS!$L$6:$L$28,$P1087),INDEX(PARAMETROS_CULTURAS!$L$6:$L$28,$P1087)+(INDEX(PARAMETROS_CULTURAS!$M$6:$M$28,$P1087)-INDEX(PARAMETROS_CULTURAS!$L$6:$L$28,$P1087))*($O1087-INDEX(PARAMETROS_CULTURAS!$F$6:$F$28,$P1087)-INDEX(PARAMETROS_CULTURAS!$G$6:$G$28,$P1087)-INDEX(PARAMETROS_CULTURAS!$H$6:$H$28,$P1087))/MAX(INDEX(PARAMETROS_CULTURAS!$I$6:$I$28,$P1087),0.0001)))))</f>
        <v>1.15</v>
      </c>
      <c r="S1087" s="18" t="n">
        <f aca="false">IFERROR(INDEX(SEMANAS!$H$6:$H$71,MATCH($B1087,SEMANAS!$B$6:$B$71,0)),0)</f>
        <v>32.9</v>
      </c>
      <c r="T1087" s="18" t="n">
        <f aca="false">$R1087*$S1087</f>
        <v>37.835</v>
      </c>
      <c r="U1087" s="18" t="n">
        <f aca="false">IFERROR(INDEX(SEMANAS!$I$6:$I$71,MATCH($B1087,SEMANAS!$B$6:$B$71,0)),0)</f>
        <v>39.97</v>
      </c>
      <c r="V1087" s="18" t="n">
        <f aca="false">IFERROR(INDEX(SEMANAS!$J$6:$J$71,MATCH($B1087,SEMANAS!$B$6:$B$71,0)),0)</f>
        <v>31.976</v>
      </c>
      <c r="W1087" s="18" t="n">
        <f aca="false">MAX(0,$T1087-$V1087)</f>
        <v>5.85899999999999</v>
      </c>
      <c r="X1087" s="19" t="n">
        <f aca="false">IFERROR(INDEX(CADASTRO_PIVOS!$K$6:$K$41,MATCH($E1087,CADASTRO_PIVOS!$B$6:$B$41,0)),EFICIENCIA_PADRAO)</f>
        <v>0.85</v>
      </c>
      <c r="Y1087" s="18" t="n">
        <f aca="false">IF($X1087&lt;=0,0,$W1087/$X1087)</f>
        <v>6.89294117647058</v>
      </c>
      <c r="Z1087" s="16" t="n">
        <f aca="false">$Y1087*$H1087*MM_PARA_M3_HA</f>
        <v>10308.3935294118</v>
      </c>
      <c r="AA1087" s="18" t="n">
        <f aca="false">IFERROR(INDEX(CADASTRO_PIVOS!$I$6:$I$41,MATCH($E1087,CADASTRO_PIVOS!$B$6:$B$41,0)),0)</f>
        <v>1068.21428571429</v>
      </c>
      <c r="AB1087" s="18" t="n">
        <f aca="false">IF($Z1087&lt;=0,0,$Z1087/$AA1087)</f>
        <v>9.65011764705881</v>
      </c>
      <c r="AC1087" s="16" t="n">
        <f aca="false">IFERROR(INDEX(SEMANAS!$K$6:$K$71,MATCH($B1087,SEMANAS!$B$6:$B$71,0)),0)</f>
        <v>147</v>
      </c>
      <c r="AD1087" s="19" t="n">
        <f aca="false">IF($AC1087&lt;=0,0,$AB1087/$AC1087)</f>
        <v>0.0656470588235293</v>
      </c>
      <c r="AE1087" s="8" t="str">
        <f aca="false">IF($K1087="SEM CULTURA","SEM CULTURA",IF($AA1087&lt;=0,"DADO PENDENTE",IF($AD1087&gt;LIMITE_CRITICO,"INVIAVEL",IF($AD1087&gt;LIMITE_ATENCAO,"CRITICO",IF($AD1087&gt;LIMITE_CONFORTAVEL,"ATENCAO","OK")))))</f>
        <v>OK</v>
      </c>
      <c r="AF1087" s="8" t="str">
        <f aca="false">$B1087&amp;"|"&amp;TEXT($AD1087,"0.000000")</f>
        <v>26|0.065647</v>
      </c>
      <c r="AG1087" s="18" t="n">
        <f aca="false">IF($K1087="SEM CULTURA",0,$T1087*$H1087)</f>
        <v>5658.22425</v>
      </c>
      <c r="AH1087" s="18" t="n">
        <f aca="false">IF($K1087="SEM CULTURA",0,$V1087*$H1087)</f>
        <v>4782.0108</v>
      </c>
      <c r="AI1087" s="18" t="n">
        <f aca="false">IF($K1087="SEM CULTURA",0,$W1087*$H1087)</f>
        <v>876.213449999999</v>
      </c>
      <c r="AJ1087" s="18" t="n">
        <f aca="false">IF($K1087="SEM CULTURA",0,$S1087*$H1087)</f>
        <v>4920.195</v>
      </c>
      <c r="AK1087" s="8" t="str">
        <f aca="false">$E1087&amp;"|"&amp;TEXT($AD1087,"0.000000")</f>
        <v>PV 116|0.065647</v>
      </c>
    </row>
    <row r="1088" customFormat="false" ht="15" hidden="false" customHeight="false" outlineLevel="0" collapsed="false">
      <c r="B1088" s="16" t="n">
        <v>27</v>
      </c>
      <c r="C1088" s="17" t="n">
        <f aca="false">DATA_INICIO_SAFRA+($B1088-1)*DIAS_POR_SEMANA</f>
        <v>46447</v>
      </c>
      <c r="D1088" s="17" t="n">
        <f aca="false">$C1088+DIAS_POR_SEMANA-1</f>
        <v>46453</v>
      </c>
      <c r="E1088" s="15" t="s">
        <v>275</v>
      </c>
      <c r="F1088" s="8" t="str">
        <f aca="false">IFERROR(INDEX(CADASTRO_PIVOS!$C$6:$C$41,MATCH($E1088,CADASTRO_PIVOS!$B$6:$B$41,0)),"?")</f>
        <v>RM06</v>
      </c>
      <c r="G1088" s="8" t="str">
        <f aca="false">IFERROR(INDEX(CADASTRO_PIVOS!$D$6:$D$41,MATCH($E1088,CADASTRO_PIVOS!$B$6:$B$41,0)),"?")</f>
        <v>TR06</v>
      </c>
      <c r="H1088" s="20" t="n">
        <f aca="false">IFERROR(INDEX(CADASTRO_PIVOS!$E$6:$E$41,MATCH($E1088,CADASTRO_PIVOS!$B$6:$B$41,0)),0)</f>
        <v>149.55</v>
      </c>
      <c r="I1088" s="16" t="n">
        <f aca="false">IFERROR(SUMIFS(ROTACAO_RDM!$B$6:$B$71,ROTACAO_RDM!$D$6:$D$71,$E1088,ROTACAO_RDM!$I$6:$I$71,"&lt;="&amp;$C1088+INT(DIAS_POR_SEMANA/2),ROTACAO_RDM!$J$6:$J$71,"&gt;="&amp;$C1088+INT(DIAS_POR_SEMANA/2)),0)</f>
        <v>27</v>
      </c>
      <c r="J1088" s="16" t="n">
        <f aca="false">IFERROR(MATCH($I1088,ROTACAO_RDM!$B$6:$B$71,0),0)</f>
        <v>27</v>
      </c>
      <c r="K1088" s="8" t="str">
        <f aca="false">IF($J1088=0,"SEM CULTURA",INDEX(ROTACAO_RDM!$F$6:$F$71,$J1088))</f>
        <v>ALGODAO</v>
      </c>
      <c r="L1088" s="8" t="str">
        <f aca="false">IF($J1088=0,"",INDEX(ROTACAO_RDM!$G$6:$G$71,$J1088))</f>
        <v>FM 974 GLT</v>
      </c>
      <c r="M1088" s="17" t="n">
        <f aca="false">IF($J1088=0,"",INDEX(ROTACAO_RDM!$I$6:$I$71,$J1088))</f>
        <v>46355</v>
      </c>
      <c r="N1088" s="16" t="n">
        <f aca="false">IF($J1088=0,0,MAX(0,$C1088+INT(DIAS_POR_SEMANA/2)-INDEX(ROTACAO_RDM!$I$6:$I$71,$J1088)))</f>
        <v>95</v>
      </c>
      <c r="O1088" s="19" t="n">
        <f aca="false">IF($J1088=0,0,MIN(1,$N1088/MAX(1,INDEX(ROTACAO_RDM!$K$6:$K$71,$J1088))))</f>
        <v>0.487179487179487</v>
      </c>
      <c r="P1088" s="16" t="n">
        <f aca="false">IF($J1088=0,0,IFERROR(MATCH(INDEX(ROTACAO_RDM!$N$6:$N$71,$J1088),PARAMETROS_CULTURAS!$B$6:$B$28,0),0))</f>
        <v>5</v>
      </c>
      <c r="Q1088" s="8" t="str">
        <f aca="false">IF($P1088=0,"-",IF($O1088&lt;=INDEX(PARAMETROS_CULTURAS!$F$6:$F$28,$P1088),"INICIAL",IF($O1088&lt;=INDEX(PARAMETROS_CULTURAS!$F$6:$F$28,$P1088)+INDEX(PARAMETROS_CULTURAS!$G$6:$G$28,$P1088),"DESENVOLVIMENTO",IF($O1088&lt;=INDEX(PARAMETROS_CULTURAS!$F$6:$F$28,$P1088)+INDEX(PARAMETROS_CULTURAS!$G$6:$G$28,$P1088)+INDEX(PARAMETROS_CULTURAS!$H$6:$H$28,$P1088),"MEDIA","FINAL"))))</f>
        <v>MEDIA</v>
      </c>
      <c r="R1088" s="24" t="n">
        <f aca="false">IF($P1088=0,0,IF($O1088&lt;=INDEX(PARAMETROS_CULTURAS!$F$6:$F$28,$P1088),INDEX(PARAMETROS_CULTURAS!$K$6:$K$28,$P1088),IF($O1088&lt;=INDEX(PARAMETROS_CULTURAS!$F$6:$F$28,$P1088)+INDEX(PARAMETROS_CULTURAS!$G$6:$G$28,$P1088),INDEX(PARAMETROS_CULTURAS!$K$6:$K$28,$P1088)+(INDEX(PARAMETROS_CULTURAS!$L$6:$L$28,$P1088)-INDEX(PARAMETROS_CULTURAS!$K$6:$K$28,$P1088))*($O1088-INDEX(PARAMETROS_CULTURAS!$F$6:$F$28,$P1088))/MAX(INDEX(PARAMETROS_CULTURAS!$G$6:$G$28,$P1088),0.0001),IF($O1088&lt;=INDEX(PARAMETROS_CULTURAS!$F$6:$F$28,$P1088)+INDEX(PARAMETROS_CULTURAS!$G$6:$G$28,$P1088)+INDEX(PARAMETROS_CULTURAS!$H$6:$H$28,$P1088),INDEX(PARAMETROS_CULTURAS!$L$6:$L$28,$P1088),INDEX(PARAMETROS_CULTURAS!$L$6:$L$28,$P1088)+(INDEX(PARAMETROS_CULTURAS!$M$6:$M$28,$P1088)-INDEX(PARAMETROS_CULTURAS!$L$6:$L$28,$P1088))*($O1088-INDEX(PARAMETROS_CULTURAS!$F$6:$F$28,$P1088)-INDEX(PARAMETROS_CULTURAS!$G$6:$G$28,$P1088)-INDEX(PARAMETROS_CULTURAS!$H$6:$H$28,$P1088))/MAX(INDEX(PARAMETROS_CULTURAS!$I$6:$I$28,$P1088),0.0001)))))</f>
        <v>1.15</v>
      </c>
      <c r="S1088" s="18" t="n">
        <f aca="false">IFERROR(INDEX(SEMANAS!$H$6:$H$71,MATCH($B1088,SEMANAS!$B$6:$B$71,0)),0)</f>
        <v>32.2</v>
      </c>
      <c r="T1088" s="18" t="n">
        <f aca="false">$R1088*$S1088</f>
        <v>37.03</v>
      </c>
      <c r="U1088" s="18" t="n">
        <f aca="false">IFERROR(INDEX(SEMANAS!$I$6:$I$71,MATCH($B1088,SEMANAS!$B$6:$B$71,0)),0)</f>
        <v>37.24</v>
      </c>
      <c r="V1088" s="18" t="n">
        <f aca="false">IFERROR(INDEX(SEMANAS!$J$6:$J$71,MATCH($B1088,SEMANAS!$B$6:$B$71,0)),0)</f>
        <v>29.792</v>
      </c>
      <c r="W1088" s="18" t="n">
        <f aca="false">MAX(0,$T1088-$V1088)</f>
        <v>7.23799999999999</v>
      </c>
      <c r="X1088" s="19" t="n">
        <f aca="false">IFERROR(INDEX(CADASTRO_PIVOS!$K$6:$K$41,MATCH($E1088,CADASTRO_PIVOS!$B$6:$B$41,0)),EFICIENCIA_PADRAO)</f>
        <v>0.85</v>
      </c>
      <c r="Y1088" s="18" t="n">
        <f aca="false">IF($X1088&lt;=0,0,$W1088/$X1088)</f>
        <v>8.51529411764705</v>
      </c>
      <c r="Z1088" s="16" t="n">
        <f aca="false">$Y1088*$H1088*MM_PARA_M3_HA</f>
        <v>12734.6223529412</v>
      </c>
      <c r="AA1088" s="18" t="n">
        <f aca="false">IFERROR(INDEX(CADASTRO_PIVOS!$I$6:$I$41,MATCH($E1088,CADASTRO_PIVOS!$B$6:$B$41,0)),0)</f>
        <v>1068.21428571429</v>
      </c>
      <c r="AB1088" s="18" t="n">
        <f aca="false">IF($Z1088&lt;=0,0,$Z1088/$AA1088)</f>
        <v>11.9214117647059</v>
      </c>
      <c r="AC1088" s="16" t="n">
        <f aca="false">IFERROR(INDEX(SEMANAS!$K$6:$K$71,MATCH($B1088,SEMANAS!$B$6:$B$71,0)),0)</f>
        <v>147</v>
      </c>
      <c r="AD1088" s="19" t="n">
        <f aca="false">IF($AC1088&lt;=0,0,$AB1088/$AC1088)</f>
        <v>0.0810980392156862</v>
      </c>
      <c r="AE1088" s="8" t="str">
        <f aca="false">IF($K1088="SEM CULTURA","SEM CULTURA",IF($AA1088&lt;=0,"DADO PENDENTE",IF($AD1088&gt;LIMITE_CRITICO,"INVIAVEL",IF($AD1088&gt;LIMITE_ATENCAO,"CRITICO",IF($AD1088&gt;LIMITE_CONFORTAVEL,"ATENCAO","OK")))))</f>
        <v>OK</v>
      </c>
      <c r="AF1088" s="8" t="str">
        <f aca="false">$B1088&amp;"|"&amp;TEXT($AD1088,"0.000000")</f>
        <v>27|0.081098</v>
      </c>
      <c r="AG1088" s="18" t="n">
        <f aca="false">IF($K1088="SEM CULTURA",0,$T1088*$H1088)</f>
        <v>5537.8365</v>
      </c>
      <c r="AH1088" s="18" t="n">
        <f aca="false">IF($K1088="SEM CULTURA",0,$V1088*$H1088)</f>
        <v>4455.3936</v>
      </c>
      <c r="AI1088" s="18" t="n">
        <f aca="false">IF($K1088="SEM CULTURA",0,$W1088*$H1088)</f>
        <v>1082.4429</v>
      </c>
      <c r="AJ1088" s="18" t="n">
        <f aca="false">IF($K1088="SEM CULTURA",0,$S1088*$H1088)</f>
        <v>4815.51</v>
      </c>
      <c r="AK1088" s="8" t="str">
        <f aca="false">$E1088&amp;"|"&amp;TEXT($AD1088,"0.000000")</f>
        <v>PV 116|0.081098</v>
      </c>
    </row>
    <row r="1089" customFormat="false" ht="15" hidden="false" customHeight="false" outlineLevel="0" collapsed="false">
      <c r="B1089" s="16" t="n">
        <v>28</v>
      </c>
      <c r="C1089" s="17" t="n">
        <f aca="false">DATA_INICIO_SAFRA+($B1089-1)*DIAS_POR_SEMANA</f>
        <v>46454</v>
      </c>
      <c r="D1089" s="17" t="n">
        <f aca="false">$C1089+DIAS_POR_SEMANA-1</f>
        <v>46460</v>
      </c>
      <c r="E1089" s="15" t="s">
        <v>275</v>
      </c>
      <c r="F1089" s="8" t="str">
        <f aca="false">IFERROR(INDEX(CADASTRO_PIVOS!$C$6:$C$41,MATCH($E1089,CADASTRO_PIVOS!$B$6:$B$41,0)),"?")</f>
        <v>RM06</v>
      </c>
      <c r="G1089" s="8" t="str">
        <f aca="false">IFERROR(INDEX(CADASTRO_PIVOS!$D$6:$D$41,MATCH($E1089,CADASTRO_PIVOS!$B$6:$B$41,0)),"?")</f>
        <v>TR06</v>
      </c>
      <c r="H1089" s="20" t="n">
        <f aca="false">IFERROR(INDEX(CADASTRO_PIVOS!$E$6:$E$41,MATCH($E1089,CADASTRO_PIVOS!$B$6:$B$41,0)),0)</f>
        <v>149.55</v>
      </c>
      <c r="I1089" s="16" t="n">
        <f aca="false">IFERROR(SUMIFS(ROTACAO_RDM!$B$6:$B$71,ROTACAO_RDM!$D$6:$D$71,$E1089,ROTACAO_RDM!$I$6:$I$71,"&lt;="&amp;$C1089+INT(DIAS_POR_SEMANA/2),ROTACAO_RDM!$J$6:$J$71,"&gt;="&amp;$C1089+INT(DIAS_POR_SEMANA/2)),0)</f>
        <v>27</v>
      </c>
      <c r="J1089" s="16" t="n">
        <f aca="false">IFERROR(MATCH($I1089,ROTACAO_RDM!$B$6:$B$71,0),0)</f>
        <v>27</v>
      </c>
      <c r="K1089" s="8" t="str">
        <f aca="false">IF($J1089=0,"SEM CULTURA",INDEX(ROTACAO_RDM!$F$6:$F$71,$J1089))</f>
        <v>ALGODAO</v>
      </c>
      <c r="L1089" s="8" t="str">
        <f aca="false">IF($J1089=0,"",INDEX(ROTACAO_RDM!$G$6:$G$71,$J1089))</f>
        <v>FM 974 GLT</v>
      </c>
      <c r="M1089" s="17" t="n">
        <f aca="false">IF($J1089=0,"",INDEX(ROTACAO_RDM!$I$6:$I$71,$J1089))</f>
        <v>46355</v>
      </c>
      <c r="N1089" s="16" t="n">
        <f aca="false">IF($J1089=0,0,MAX(0,$C1089+INT(DIAS_POR_SEMANA/2)-INDEX(ROTACAO_RDM!$I$6:$I$71,$J1089)))</f>
        <v>102</v>
      </c>
      <c r="O1089" s="19" t="n">
        <f aca="false">IF($J1089=0,0,MIN(1,$N1089/MAX(1,INDEX(ROTACAO_RDM!$K$6:$K$71,$J1089))))</f>
        <v>0.523076923076923</v>
      </c>
      <c r="P1089" s="16" t="n">
        <f aca="false">IF($J1089=0,0,IFERROR(MATCH(INDEX(ROTACAO_RDM!$N$6:$N$71,$J1089),PARAMETROS_CULTURAS!$B$6:$B$28,0),0))</f>
        <v>5</v>
      </c>
      <c r="Q1089" s="8" t="str">
        <f aca="false">IF($P1089=0,"-",IF($O1089&lt;=INDEX(PARAMETROS_CULTURAS!$F$6:$F$28,$P1089),"INICIAL",IF($O1089&lt;=INDEX(PARAMETROS_CULTURAS!$F$6:$F$28,$P1089)+INDEX(PARAMETROS_CULTURAS!$G$6:$G$28,$P1089),"DESENVOLVIMENTO",IF($O1089&lt;=INDEX(PARAMETROS_CULTURAS!$F$6:$F$28,$P1089)+INDEX(PARAMETROS_CULTURAS!$G$6:$G$28,$P1089)+INDEX(PARAMETROS_CULTURAS!$H$6:$H$28,$P1089),"MEDIA","FINAL"))))</f>
        <v>MEDIA</v>
      </c>
      <c r="R1089" s="24" t="n">
        <f aca="false">IF($P1089=0,0,IF($O1089&lt;=INDEX(PARAMETROS_CULTURAS!$F$6:$F$28,$P1089),INDEX(PARAMETROS_CULTURAS!$K$6:$K$28,$P1089),IF($O1089&lt;=INDEX(PARAMETROS_CULTURAS!$F$6:$F$28,$P1089)+INDEX(PARAMETROS_CULTURAS!$G$6:$G$28,$P1089),INDEX(PARAMETROS_CULTURAS!$K$6:$K$28,$P1089)+(INDEX(PARAMETROS_CULTURAS!$L$6:$L$28,$P1089)-INDEX(PARAMETROS_CULTURAS!$K$6:$K$28,$P1089))*($O1089-INDEX(PARAMETROS_CULTURAS!$F$6:$F$28,$P1089))/MAX(INDEX(PARAMETROS_CULTURAS!$G$6:$G$28,$P1089),0.0001),IF($O1089&lt;=INDEX(PARAMETROS_CULTURAS!$F$6:$F$28,$P1089)+INDEX(PARAMETROS_CULTURAS!$G$6:$G$28,$P1089)+INDEX(PARAMETROS_CULTURAS!$H$6:$H$28,$P1089),INDEX(PARAMETROS_CULTURAS!$L$6:$L$28,$P1089),INDEX(PARAMETROS_CULTURAS!$L$6:$L$28,$P1089)+(INDEX(PARAMETROS_CULTURAS!$M$6:$M$28,$P1089)-INDEX(PARAMETROS_CULTURAS!$L$6:$L$28,$P1089))*($O1089-INDEX(PARAMETROS_CULTURAS!$F$6:$F$28,$P1089)-INDEX(PARAMETROS_CULTURAS!$G$6:$G$28,$P1089)-INDEX(PARAMETROS_CULTURAS!$H$6:$H$28,$P1089))/MAX(INDEX(PARAMETROS_CULTURAS!$I$6:$I$28,$P1089),0.0001)))))</f>
        <v>1.15</v>
      </c>
      <c r="S1089" s="18" t="n">
        <f aca="false">IFERROR(INDEX(SEMANAS!$H$6:$H$71,MATCH($B1089,SEMANAS!$B$6:$B$71,0)),0)</f>
        <v>32.2</v>
      </c>
      <c r="T1089" s="18" t="n">
        <f aca="false">$R1089*$S1089</f>
        <v>37.03</v>
      </c>
      <c r="U1089" s="18" t="n">
        <f aca="false">IFERROR(INDEX(SEMANAS!$I$6:$I$71,MATCH($B1089,SEMANAS!$B$6:$B$71,0)),0)</f>
        <v>37.24</v>
      </c>
      <c r="V1089" s="18" t="n">
        <f aca="false">IFERROR(INDEX(SEMANAS!$J$6:$J$71,MATCH($B1089,SEMANAS!$B$6:$B$71,0)),0)</f>
        <v>29.792</v>
      </c>
      <c r="W1089" s="18" t="n">
        <f aca="false">MAX(0,$T1089-$V1089)</f>
        <v>7.23799999999999</v>
      </c>
      <c r="X1089" s="19" t="n">
        <f aca="false">IFERROR(INDEX(CADASTRO_PIVOS!$K$6:$K$41,MATCH($E1089,CADASTRO_PIVOS!$B$6:$B$41,0)),EFICIENCIA_PADRAO)</f>
        <v>0.85</v>
      </c>
      <c r="Y1089" s="18" t="n">
        <f aca="false">IF($X1089&lt;=0,0,$W1089/$X1089)</f>
        <v>8.51529411764705</v>
      </c>
      <c r="Z1089" s="16" t="n">
        <f aca="false">$Y1089*$H1089*MM_PARA_M3_HA</f>
        <v>12734.6223529412</v>
      </c>
      <c r="AA1089" s="18" t="n">
        <f aca="false">IFERROR(INDEX(CADASTRO_PIVOS!$I$6:$I$41,MATCH($E1089,CADASTRO_PIVOS!$B$6:$B$41,0)),0)</f>
        <v>1068.21428571429</v>
      </c>
      <c r="AB1089" s="18" t="n">
        <f aca="false">IF($Z1089&lt;=0,0,$Z1089/$AA1089)</f>
        <v>11.9214117647059</v>
      </c>
      <c r="AC1089" s="16" t="n">
        <f aca="false">IFERROR(INDEX(SEMANAS!$K$6:$K$71,MATCH($B1089,SEMANAS!$B$6:$B$71,0)),0)</f>
        <v>147</v>
      </c>
      <c r="AD1089" s="19" t="n">
        <f aca="false">IF($AC1089&lt;=0,0,$AB1089/$AC1089)</f>
        <v>0.0810980392156862</v>
      </c>
      <c r="AE1089" s="8" t="str">
        <f aca="false">IF($K1089="SEM CULTURA","SEM CULTURA",IF($AA1089&lt;=0,"DADO PENDENTE",IF($AD1089&gt;LIMITE_CRITICO,"INVIAVEL",IF($AD1089&gt;LIMITE_ATENCAO,"CRITICO",IF($AD1089&gt;LIMITE_CONFORTAVEL,"ATENCAO","OK")))))</f>
        <v>OK</v>
      </c>
      <c r="AF1089" s="8" t="str">
        <f aca="false">$B1089&amp;"|"&amp;TEXT($AD1089,"0.000000")</f>
        <v>28|0.081098</v>
      </c>
      <c r="AG1089" s="18" t="n">
        <f aca="false">IF($K1089="SEM CULTURA",0,$T1089*$H1089)</f>
        <v>5537.8365</v>
      </c>
      <c r="AH1089" s="18" t="n">
        <f aca="false">IF($K1089="SEM CULTURA",0,$V1089*$H1089)</f>
        <v>4455.3936</v>
      </c>
      <c r="AI1089" s="18" t="n">
        <f aca="false">IF($K1089="SEM CULTURA",0,$W1089*$H1089)</f>
        <v>1082.4429</v>
      </c>
      <c r="AJ1089" s="18" t="n">
        <f aca="false">IF($K1089="SEM CULTURA",0,$S1089*$H1089)</f>
        <v>4815.51</v>
      </c>
      <c r="AK1089" s="8" t="str">
        <f aca="false">$E1089&amp;"|"&amp;TEXT($AD1089,"0.000000")</f>
        <v>PV 116|0.081098</v>
      </c>
    </row>
    <row r="1090" customFormat="false" ht="15" hidden="false" customHeight="false" outlineLevel="0" collapsed="false">
      <c r="B1090" s="16" t="n">
        <v>29</v>
      </c>
      <c r="C1090" s="17" t="n">
        <f aca="false">DATA_INICIO_SAFRA+($B1090-1)*DIAS_POR_SEMANA</f>
        <v>46461</v>
      </c>
      <c r="D1090" s="17" t="n">
        <f aca="false">$C1090+DIAS_POR_SEMANA-1</f>
        <v>46467</v>
      </c>
      <c r="E1090" s="15" t="s">
        <v>275</v>
      </c>
      <c r="F1090" s="8" t="str">
        <f aca="false">IFERROR(INDEX(CADASTRO_PIVOS!$C$6:$C$41,MATCH($E1090,CADASTRO_PIVOS!$B$6:$B$41,0)),"?")</f>
        <v>RM06</v>
      </c>
      <c r="G1090" s="8" t="str">
        <f aca="false">IFERROR(INDEX(CADASTRO_PIVOS!$D$6:$D$41,MATCH($E1090,CADASTRO_PIVOS!$B$6:$B$41,0)),"?")</f>
        <v>TR06</v>
      </c>
      <c r="H1090" s="20" t="n">
        <f aca="false">IFERROR(INDEX(CADASTRO_PIVOS!$E$6:$E$41,MATCH($E1090,CADASTRO_PIVOS!$B$6:$B$41,0)),0)</f>
        <v>149.55</v>
      </c>
      <c r="I1090" s="16" t="n">
        <f aca="false">IFERROR(SUMIFS(ROTACAO_RDM!$B$6:$B$71,ROTACAO_RDM!$D$6:$D$71,$E1090,ROTACAO_RDM!$I$6:$I$71,"&lt;="&amp;$C1090+INT(DIAS_POR_SEMANA/2),ROTACAO_RDM!$J$6:$J$71,"&gt;="&amp;$C1090+INT(DIAS_POR_SEMANA/2)),0)</f>
        <v>27</v>
      </c>
      <c r="J1090" s="16" t="n">
        <f aca="false">IFERROR(MATCH($I1090,ROTACAO_RDM!$B$6:$B$71,0),0)</f>
        <v>27</v>
      </c>
      <c r="K1090" s="8" t="str">
        <f aca="false">IF($J1090=0,"SEM CULTURA",INDEX(ROTACAO_RDM!$F$6:$F$71,$J1090))</f>
        <v>ALGODAO</v>
      </c>
      <c r="L1090" s="8" t="str">
        <f aca="false">IF($J1090=0,"",INDEX(ROTACAO_RDM!$G$6:$G$71,$J1090))</f>
        <v>FM 974 GLT</v>
      </c>
      <c r="M1090" s="17" t="n">
        <f aca="false">IF($J1090=0,"",INDEX(ROTACAO_RDM!$I$6:$I$71,$J1090))</f>
        <v>46355</v>
      </c>
      <c r="N1090" s="16" t="n">
        <f aca="false">IF($J1090=0,0,MAX(0,$C1090+INT(DIAS_POR_SEMANA/2)-INDEX(ROTACAO_RDM!$I$6:$I$71,$J1090)))</f>
        <v>109</v>
      </c>
      <c r="O1090" s="19" t="n">
        <f aca="false">IF($J1090=0,0,MIN(1,$N1090/MAX(1,INDEX(ROTACAO_RDM!$K$6:$K$71,$J1090))))</f>
        <v>0.558974358974359</v>
      </c>
      <c r="P1090" s="16" t="n">
        <f aca="false">IF($J1090=0,0,IFERROR(MATCH(INDEX(ROTACAO_RDM!$N$6:$N$71,$J1090),PARAMETROS_CULTURAS!$B$6:$B$28,0),0))</f>
        <v>5</v>
      </c>
      <c r="Q1090" s="8" t="str">
        <f aca="false">IF($P1090=0,"-",IF($O1090&lt;=INDEX(PARAMETROS_CULTURAS!$F$6:$F$28,$P1090),"INICIAL",IF($O1090&lt;=INDEX(PARAMETROS_CULTURAS!$F$6:$F$28,$P1090)+INDEX(PARAMETROS_CULTURAS!$G$6:$G$28,$P1090),"DESENVOLVIMENTO",IF($O1090&lt;=INDEX(PARAMETROS_CULTURAS!$F$6:$F$28,$P1090)+INDEX(PARAMETROS_CULTURAS!$G$6:$G$28,$P1090)+INDEX(PARAMETROS_CULTURAS!$H$6:$H$28,$P1090),"MEDIA","FINAL"))))</f>
        <v>MEDIA</v>
      </c>
      <c r="R1090" s="24" t="n">
        <f aca="false">IF($P1090=0,0,IF($O1090&lt;=INDEX(PARAMETROS_CULTURAS!$F$6:$F$28,$P1090),INDEX(PARAMETROS_CULTURAS!$K$6:$K$28,$P1090),IF($O1090&lt;=INDEX(PARAMETROS_CULTURAS!$F$6:$F$28,$P1090)+INDEX(PARAMETROS_CULTURAS!$G$6:$G$28,$P1090),INDEX(PARAMETROS_CULTURAS!$K$6:$K$28,$P1090)+(INDEX(PARAMETROS_CULTURAS!$L$6:$L$28,$P1090)-INDEX(PARAMETROS_CULTURAS!$K$6:$K$28,$P1090))*($O1090-INDEX(PARAMETROS_CULTURAS!$F$6:$F$28,$P1090))/MAX(INDEX(PARAMETROS_CULTURAS!$G$6:$G$28,$P1090),0.0001),IF($O1090&lt;=INDEX(PARAMETROS_CULTURAS!$F$6:$F$28,$P1090)+INDEX(PARAMETROS_CULTURAS!$G$6:$G$28,$P1090)+INDEX(PARAMETROS_CULTURAS!$H$6:$H$28,$P1090),INDEX(PARAMETROS_CULTURAS!$L$6:$L$28,$P1090),INDEX(PARAMETROS_CULTURAS!$L$6:$L$28,$P1090)+(INDEX(PARAMETROS_CULTURAS!$M$6:$M$28,$P1090)-INDEX(PARAMETROS_CULTURAS!$L$6:$L$28,$P1090))*($O1090-INDEX(PARAMETROS_CULTURAS!$F$6:$F$28,$P1090)-INDEX(PARAMETROS_CULTURAS!$G$6:$G$28,$P1090)-INDEX(PARAMETROS_CULTURAS!$H$6:$H$28,$P1090))/MAX(INDEX(PARAMETROS_CULTURAS!$I$6:$I$28,$P1090),0.0001)))))</f>
        <v>1.15</v>
      </c>
      <c r="S1090" s="18" t="n">
        <f aca="false">IFERROR(INDEX(SEMANAS!$H$6:$H$71,MATCH($B1090,SEMANAS!$B$6:$B$71,0)),0)</f>
        <v>32.2</v>
      </c>
      <c r="T1090" s="18" t="n">
        <f aca="false">$R1090*$S1090</f>
        <v>37.03</v>
      </c>
      <c r="U1090" s="18" t="n">
        <f aca="false">IFERROR(INDEX(SEMANAS!$I$6:$I$71,MATCH($B1090,SEMANAS!$B$6:$B$71,0)),0)</f>
        <v>37.24</v>
      </c>
      <c r="V1090" s="18" t="n">
        <f aca="false">IFERROR(INDEX(SEMANAS!$J$6:$J$71,MATCH($B1090,SEMANAS!$B$6:$B$71,0)),0)</f>
        <v>29.792</v>
      </c>
      <c r="W1090" s="18" t="n">
        <f aca="false">MAX(0,$T1090-$V1090)</f>
        <v>7.23799999999999</v>
      </c>
      <c r="X1090" s="19" t="n">
        <f aca="false">IFERROR(INDEX(CADASTRO_PIVOS!$K$6:$K$41,MATCH($E1090,CADASTRO_PIVOS!$B$6:$B$41,0)),EFICIENCIA_PADRAO)</f>
        <v>0.85</v>
      </c>
      <c r="Y1090" s="18" t="n">
        <f aca="false">IF($X1090&lt;=0,0,$W1090/$X1090)</f>
        <v>8.51529411764705</v>
      </c>
      <c r="Z1090" s="16" t="n">
        <f aca="false">$Y1090*$H1090*MM_PARA_M3_HA</f>
        <v>12734.6223529412</v>
      </c>
      <c r="AA1090" s="18" t="n">
        <f aca="false">IFERROR(INDEX(CADASTRO_PIVOS!$I$6:$I$41,MATCH($E1090,CADASTRO_PIVOS!$B$6:$B$41,0)),0)</f>
        <v>1068.21428571429</v>
      </c>
      <c r="AB1090" s="18" t="n">
        <f aca="false">IF($Z1090&lt;=0,0,$Z1090/$AA1090)</f>
        <v>11.9214117647059</v>
      </c>
      <c r="AC1090" s="16" t="n">
        <f aca="false">IFERROR(INDEX(SEMANAS!$K$6:$K$71,MATCH($B1090,SEMANAS!$B$6:$B$71,0)),0)</f>
        <v>147</v>
      </c>
      <c r="AD1090" s="19" t="n">
        <f aca="false">IF($AC1090&lt;=0,0,$AB1090/$AC1090)</f>
        <v>0.0810980392156862</v>
      </c>
      <c r="AE1090" s="8" t="str">
        <f aca="false">IF($K1090="SEM CULTURA","SEM CULTURA",IF($AA1090&lt;=0,"DADO PENDENTE",IF($AD1090&gt;LIMITE_CRITICO,"INVIAVEL",IF($AD1090&gt;LIMITE_ATENCAO,"CRITICO",IF($AD1090&gt;LIMITE_CONFORTAVEL,"ATENCAO","OK")))))</f>
        <v>OK</v>
      </c>
      <c r="AF1090" s="8" t="str">
        <f aca="false">$B1090&amp;"|"&amp;TEXT($AD1090,"0.000000")</f>
        <v>29|0.081098</v>
      </c>
      <c r="AG1090" s="18" t="n">
        <f aca="false">IF($K1090="SEM CULTURA",0,$T1090*$H1090)</f>
        <v>5537.8365</v>
      </c>
      <c r="AH1090" s="18" t="n">
        <f aca="false">IF($K1090="SEM CULTURA",0,$V1090*$H1090)</f>
        <v>4455.3936</v>
      </c>
      <c r="AI1090" s="18" t="n">
        <f aca="false">IF($K1090="SEM CULTURA",0,$W1090*$H1090)</f>
        <v>1082.4429</v>
      </c>
      <c r="AJ1090" s="18" t="n">
        <f aca="false">IF($K1090="SEM CULTURA",0,$S1090*$H1090)</f>
        <v>4815.51</v>
      </c>
      <c r="AK1090" s="8" t="str">
        <f aca="false">$E1090&amp;"|"&amp;TEXT($AD1090,"0.000000")</f>
        <v>PV 116|0.081098</v>
      </c>
    </row>
    <row r="1091" customFormat="false" ht="15" hidden="false" customHeight="false" outlineLevel="0" collapsed="false">
      <c r="B1091" s="16" t="n">
        <v>30</v>
      </c>
      <c r="C1091" s="17" t="n">
        <f aca="false">DATA_INICIO_SAFRA+($B1091-1)*DIAS_POR_SEMANA</f>
        <v>46468</v>
      </c>
      <c r="D1091" s="17" t="n">
        <f aca="false">$C1091+DIAS_POR_SEMANA-1</f>
        <v>46474</v>
      </c>
      <c r="E1091" s="15" t="s">
        <v>275</v>
      </c>
      <c r="F1091" s="8" t="str">
        <f aca="false">IFERROR(INDEX(CADASTRO_PIVOS!$C$6:$C$41,MATCH($E1091,CADASTRO_PIVOS!$B$6:$B$41,0)),"?")</f>
        <v>RM06</v>
      </c>
      <c r="G1091" s="8" t="str">
        <f aca="false">IFERROR(INDEX(CADASTRO_PIVOS!$D$6:$D$41,MATCH($E1091,CADASTRO_PIVOS!$B$6:$B$41,0)),"?")</f>
        <v>TR06</v>
      </c>
      <c r="H1091" s="20" t="n">
        <f aca="false">IFERROR(INDEX(CADASTRO_PIVOS!$E$6:$E$41,MATCH($E1091,CADASTRO_PIVOS!$B$6:$B$41,0)),0)</f>
        <v>149.55</v>
      </c>
      <c r="I1091" s="16" t="n">
        <f aca="false">IFERROR(SUMIFS(ROTACAO_RDM!$B$6:$B$71,ROTACAO_RDM!$D$6:$D$71,$E1091,ROTACAO_RDM!$I$6:$I$71,"&lt;="&amp;$C1091+INT(DIAS_POR_SEMANA/2),ROTACAO_RDM!$J$6:$J$71,"&gt;="&amp;$C1091+INT(DIAS_POR_SEMANA/2)),0)</f>
        <v>27</v>
      </c>
      <c r="J1091" s="16" t="n">
        <f aca="false">IFERROR(MATCH($I1091,ROTACAO_RDM!$B$6:$B$71,0),0)</f>
        <v>27</v>
      </c>
      <c r="K1091" s="8" t="str">
        <f aca="false">IF($J1091=0,"SEM CULTURA",INDEX(ROTACAO_RDM!$F$6:$F$71,$J1091))</f>
        <v>ALGODAO</v>
      </c>
      <c r="L1091" s="8" t="str">
        <f aca="false">IF($J1091=0,"",INDEX(ROTACAO_RDM!$G$6:$G$71,$J1091))</f>
        <v>FM 974 GLT</v>
      </c>
      <c r="M1091" s="17" t="n">
        <f aca="false">IF($J1091=0,"",INDEX(ROTACAO_RDM!$I$6:$I$71,$J1091))</f>
        <v>46355</v>
      </c>
      <c r="N1091" s="16" t="n">
        <f aca="false">IF($J1091=0,0,MAX(0,$C1091+INT(DIAS_POR_SEMANA/2)-INDEX(ROTACAO_RDM!$I$6:$I$71,$J1091)))</f>
        <v>116</v>
      </c>
      <c r="O1091" s="19" t="n">
        <f aca="false">IF($J1091=0,0,MIN(1,$N1091/MAX(1,INDEX(ROTACAO_RDM!$K$6:$K$71,$J1091))))</f>
        <v>0.594871794871795</v>
      </c>
      <c r="P1091" s="16" t="n">
        <f aca="false">IF($J1091=0,0,IFERROR(MATCH(INDEX(ROTACAO_RDM!$N$6:$N$71,$J1091),PARAMETROS_CULTURAS!$B$6:$B$28,0),0))</f>
        <v>5</v>
      </c>
      <c r="Q1091" s="8" t="str">
        <f aca="false">IF($P1091=0,"-",IF($O1091&lt;=INDEX(PARAMETROS_CULTURAS!$F$6:$F$28,$P1091),"INICIAL",IF($O1091&lt;=INDEX(PARAMETROS_CULTURAS!$F$6:$F$28,$P1091)+INDEX(PARAMETROS_CULTURAS!$G$6:$G$28,$P1091),"DESENVOLVIMENTO",IF($O1091&lt;=INDEX(PARAMETROS_CULTURAS!$F$6:$F$28,$P1091)+INDEX(PARAMETROS_CULTURAS!$G$6:$G$28,$P1091)+INDEX(PARAMETROS_CULTURAS!$H$6:$H$28,$P1091),"MEDIA","FINAL"))))</f>
        <v>MEDIA</v>
      </c>
      <c r="R1091" s="24" t="n">
        <f aca="false">IF($P1091=0,0,IF($O1091&lt;=INDEX(PARAMETROS_CULTURAS!$F$6:$F$28,$P1091),INDEX(PARAMETROS_CULTURAS!$K$6:$K$28,$P1091),IF($O1091&lt;=INDEX(PARAMETROS_CULTURAS!$F$6:$F$28,$P1091)+INDEX(PARAMETROS_CULTURAS!$G$6:$G$28,$P1091),INDEX(PARAMETROS_CULTURAS!$K$6:$K$28,$P1091)+(INDEX(PARAMETROS_CULTURAS!$L$6:$L$28,$P1091)-INDEX(PARAMETROS_CULTURAS!$K$6:$K$28,$P1091))*($O1091-INDEX(PARAMETROS_CULTURAS!$F$6:$F$28,$P1091))/MAX(INDEX(PARAMETROS_CULTURAS!$G$6:$G$28,$P1091),0.0001),IF($O1091&lt;=INDEX(PARAMETROS_CULTURAS!$F$6:$F$28,$P1091)+INDEX(PARAMETROS_CULTURAS!$G$6:$G$28,$P1091)+INDEX(PARAMETROS_CULTURAS!$H$6:$H$28,$P1091),INDEX(PARAMETROS_CULTURAS!$L$6:$L$28,$P1091),INDEX(PARAMETROS_CULTURAS!$L$6:$L$28,$P1091)+(INDEX(PARAMETROS_CULTURAS!$M$6:$M$28,$P1091)-INDEX(PARAMETROS_CULTURAS!$L$6:$L$28,$P1091))*($O1091-INDEX(PARAMETROS_CULTURAS!$F$6:$F$28,$P1091)-INDEX(PARAMETROS_CULTURAS!$G$6:$G$28,$P1091)-INDEX(PARAMETROS_CULTURAS!$H$6:$H$28,$P1091))/MAX(INDEX(PARAMETROS_CULTURAS!$I$6:$I$28,$P1091),0.0001)))))</f>
        <v>1.15</v>
      </c>
      <c r="S1091" s="18" t="n">
        <f aca="false">IFERROR(INDEX(SEMANAS!$H$6:$H$71,MATCH($B1091,SEMANAS!$B$6:$B$71,0)),0)</f>
        <v>32.2</v>
      </c>
      <c r="T1091" s="18" t="n">
        <f aca="false">$R1091*$S1091</f>
        <v>37.03</v>
      </c>
      <c r="U1091" s="18" t="n">
        <f aca="false">IFERROR(INDEX(SEMANAS!$I$6:$I$71,MATCH($B1091,SEMANAS!$B$6:$B$71,0)),0)</f>
        <v>37.24</v>
      </c>
      <c r="V1091" s="18" t="n">
        <f aca="false">IFERROR(INDEX(SEMANAS!$J$6:$J$71,MATCH($B1091,SEMANAS!$B$6:$B$71,0)),0)</f>
        <v>29.792</v>
      </c>
      <c r="W1091" s="18" t="n">
        <f aca="false">MAX(0,$T1091-$V1091)</f>
        <v>7.23799999999999</v>
      </c>
      <c r="X1091" s="19" t="n">
        <f aca="false">IFERROR(INDEX(CADASTRO_PIVOS!$K$6:$K$41,MATCH($E1091,CADASTRO_PIVOS!$B$6:$B$41,0)),EFICIENCIA_PADRAO)</f>
        <v>0.85</v>
      </c>
      <c r="Y1091" s="18" t="n">
        <f aca="false">IF($X1091&lt;=0,0,$W1091/$X1091)</f>
        <v>8.51529411764705</v>
      </c>
      <c r="Z1091" s="16" t="n">
        <f aca="false">$Y1091*$H1091*MM_PARA_M3_HA</f>
        <v>12734.6223529412</v>
      </c>
      <c r="AA1091" s="18" t="n">
        <f aca="false">IFERROR(INDEX(CADASTRO_PIVOS!$I$6:$I$41,MATCH($E1091,CADASTRO_PIVOS!$B$6:$B$41,0)),0)</f>
        <v>1068.21428571429</v>
      </c>
      <c r="AB1091" s="18" t="n">
        <f aca="false">IF($Z1091&lt;=0,0,$Z1091/$AA1091)</f>
        <v>11.9214117647059</v>
      </c>
      <c r="AC1091" s="16" t="n">
        <f aca="false">IFERROR(INDEX(SEMANAS!$K$6:$K$71,MATCH($B1091,SEMANAS!$B$6:$B$71,0)),0)</f>
        <v>147</v>
      </c>
      <c r="AD1091" s="19" t="n">
        <f aca="false">IF($AC1091&lt;=0,0,$AB1091/$AC1091)</f>
        <v>0.0810980392156862</v>
      </c>
      <c r="AE1091" s="8" t="str">
        <f aca="false">IF($K1091="SEM CULTURA","SEM CULTURA",IF($AA1091&lt;=0,"DADO PENDENTE",IF($AD1091&gt;LIMITE_CRITICO,"INVIAVEL",IF($AD1091&gt;LIMITE_ATENCAO,"CRITICO",IF($AD1091&gt;LIMITE_CONFORTAVEL,"ATENCAO","OK")))))</f>
        <v>OK</v>
      </c>
      <c r="AF1091" s="8" t="str">
        <f aca="false">$B1091&amp;"|"&amp;TEXT($AD1091,"0.000000")</f>
        <v>30|0.081098</v>
      </c>
      <c r="AG1091" s="18" t="n">
        <f aca="false">IF($K1091="SEM CULTURA",0,$T1091*$H1091)</f>
        <v>5537.8365</v>
      </c>
      <c r="AH1091" s="18" t="n">
        <f aca="false">IF($K1091="SEM CULTURA",0,$V1091*$H1091)</f>
        <v>4455.3936</v>
      </c>
      <c r="AI1091" s="18" t="n">
        <f aca="false">IF($K1091="SEM CULTURA",0,$W1091*$H1091)</f>
        <v>1082.4429</v>
      </c>
      <c r="AJ1091" s="18" t="n">
        <f aca="false">IF($K1091="SEM CULTURA",0,$S1091*$H1091)</f>
        <v>4815.51</v>
      </c>
      <c r="AK1091" s="8" t="str">
        <f aca="false">$E1091&amp;"|"&amp;TEXT($AD1091,"0.000000")</f>
        <v>PV 116|0.081098</v>
      </c>
    </row>
    <row r="1092" customFormat="false" ht="15" hidden="false" customHeight="false" outlineLevel="0" collapsed="false">
      <c r="B1092" s="16" t="n">
        <v>31</v>
      </c>
      <c r="C1092" s="17" t="n">
        <f aca="false">DATA_INICIO_SAFRA+($B1092-1)*DIAS_POR_SEMANA</f>
        <v>46475</v>
      </c>
      <c r="D1092" s="17" t="n">
        <f aca="false">$C1092+DIAS_POR_SEMANA-1</f>
        <v>46481</v>
      </c>
      <c r="E1092" s="15" t="s">
        <v>275</v>
      </c>
      <c r="F1092" s="8" t="str">
        <f aca="false">IFERROR(INDEX(CADASTRO_PIVOS!$C$6:$C$41,MATCH($E1092,CADASTRO_PIVOS!$B$6:$B$41,0)),"?")</f>
        <v>RM06</v>
      </c>
      <c r="G1092" s="8" t="str">
        <f aca="false">IFERROR(INDEX(CADASTRO_PIVOS!$D$6:$D$41,MATCH($E1092,CADASTRO_PIVOS!$B$6:$B$41,0)),"?")</f>
        <v>TR06</v>
      </c>
      <c r="H1092" s="20" t="n">
        <f aca="false">IFERROR(INDEX(CADASTRO_PIVOS!$E$6:$E$41,MATCH($E1092,CADASTRO_PIVOS!$B$6:$B$41,0)),0)</f>
        <v>149.55</v>
      </c>
      <c r="I1092" s="16" t="n">
        <f aca="false">IFERROR(SUMIFS(ROTACAO_RDM!$B$6:$B$71,ROTACAO_RDM!$D$6:$D$71,$E1092,ROTACAO_RDM!$I$6:$I$71,"&lt;="&amp;$C1092+INT(DIAS_POR_SEMANA/2),ROTACAO_RDM!$J$6:$J$71,"&gt;="&amp;$C1092+INT(DIAS_POR_SEMANA/2)),0)</f>
        <v>27</v>
      </c>
      <c r="J1092" s="16" t="n">
        <f aca="false">IFERROR(MATCH($I1092,ROTACAO_RDM!$B$6:$B$71,0),0)</f>
        <v>27</v>
      </c>
      <c r="K1092" s="8" t="str">
        <f aca="false">IF($J1092=0,"SEM CULTURA",INDEX(ROTACAO_RDM!$F$6:$F$71,$J1092))</f>
        <v>ALGODAO</v>
      </c>
      <c r="L1092" s="8" t="str">
        <f aca="false">IF($J1092=0,"",INDEX(ROTACAO_RDM!$G$6:$G$71,$J1092))</f>
        <v>FM 974 GLT</v>
      </c>
      <c r="M1092" s="17" t="n">
        <f aca="false">IF($J1092=0,"",INDEX(ROTACAO_RDM!$I$6:$I$71,$J1092))</f>
        <v>46355</v>
      </c>
      <c r="N1092" s="16" t="n">
        <f aca="false">IF($J1092=0,0,MAX(0,$C1092+INT(DIAS_POR_SEMANA/2)-INDEX(ROTACAO_RDM!$I$6:$I$71,$J1092)))</f>
        <v>123</v>
      </c>
      <c r="O1092" s="19" t="n">
        <f aca="false">IF($J1092=0,0,MIN(1,$N1092/MAX(1,INDEX(ROTACAO_RDM!$K$6:$K$71,$J1092))))</f>
        <v>0.630769230769231</v>
      </c>
      <c r="P1092" s="16" t="n">
        <f aca="false">IF($J1092=0,0,IFERROR(MATCH(INDEX(ROTACAO_RDM!$N$6:$N$71,$J1092),PARAMETROS_CULTURAS!$B$6:$B$28,0),0))</f>
        <v>5</v>
      </c>
      <c r="Q1092" s="8" t="str">
        <f aca="false">IF($P1092=0,"-",IF($O1092&lt;=INDEX(PARAMETROS_CULTURAS!$F$6:$F$28,$P1092),"INICIAL",IF($O1092&lt;=INDEX(PARAMETROS_CULTURAS!$F$6:$F$28,$P1092)+INDEX(PARAMETROS_CULTURAS!$G$6:$G$28,$P1092),"DESENVOLVIMENTO",IF($O1092&lt;=INDEX(PARAMETROS_CULTURAS!$F$6:$F$28,$P1092)+INDEX(PARAMETROS_CULTURAS!$G$6:$G$28,$P1092)+INDEX(PARAMETROS_CULTURAS!$H$6:$H$28,$P1092),"MEDIA","FINAL"))))</f>
        <v>MEDIA</v>
      </c>
      <c r="R1092" s="24" t="n">
        <f aca="false">IF($P1092=0,0,IF($O1092&lt;=INDEX(PARAMETROS_CULTURAS!$F$6:$F$28,$P1092),INDEX(PARAMETROS_CULTURAS!$K$6:$K$28,$P1092),IF($O1092&lt;=INDEX(PARAMETROS_CULTURAS!$F$6:$F$28,$P1092)+INDEX(PARAMETROS_CULTURAS!$G$6:$G$28,$P1092),INDEX(PARAMETROS_CULTURAS!$K$6:$K$28,$P1092)+(INDEX(PARAMETROS_CULTURAS!$L$6:$L$28,$P1092)-INDEX(PARAMETROS_CULTURAS!$K$6:$K$28,$P1092))*($O1092-INDEX(PARAMETROS_CULTURAS!$F$6:$F$28,$P1092))/MAX(INDEX(PARAMETROS_CULTURAS!$G$6:$G$28,$P1092),0.0001),IF($O1092&lt;=INDEX(PARAMETROS_CULTURAS!$F$6:$F$28,$P1092)+INDEX(PARAMETROS_CULTURAS!$G$6:$G$28,$P1092)+INDEX(PARAMETROS_CULTURAS!$H$6:$H$28,$P1092),INDEX(PARAMETROS_CULTURAS!$L$6:$L$28,$P1092),INDEX(PARAMETROS_CULTURAS!$L$6:$L$28,$P1092)+(INDEX(PARAMETROS_CULTURAS!$M$6:$M$28,$P1092)-INDEX(PARAMETROS_CULTURAS!$L$6:$L$28,$P1092))*($O1092-INDEX(PARAMETROS_CULTURAS!$F$6:$F$28,$P1092)-INDEX(PARAMETROS_CULTURAS!$G$6:$G$28,$P1092)-INDEX(PARAMETROS_CULTURAS!$H$6:$H$28,$P1092))/MAX(INDEX(PARAMETROS_CULTURAS!$I$6:$I$28,$P1092),0.0001)))))</f>
        <v>1.15</v>
      </c>
      <c r="S1092" s="18" t="n">
        <f aca="false">IFERROR(INDEX(SEMANAS!$H$6:$H$71,MATCH($B1092,SEMANAS!$B$6:$B$71,0)),0)</f>
        <v>31.8</v>
      </c>
      <c r="T1092" s="18" t="n">
        <f aca="false">$R1092*$S1092</f>
        <v>36.57</v>
      </c>
      <c r="U1092" s="18" t="n">
        <f aca="false">IFERROR(INDEX(SEMANAS!$I$6:$I$71,MATCH($B1092,SEMANAS!$B$6:$B$71,0)),0)</f>
        <v>25.28</v>
      </c>
      <c r="V1092" s="18" t="n">
        <f aca="false">IFERROR(INDEX(SEMANAS!$J$6:$J$71,MATCH($B1092,SEMANAS!$B$6:$B$71,0)),0)</f>
        <v>20.224</v>
      </c>
      <c r="W1092" s="18" t="n">
        <f aca="false">MAX(0,$T1092-$V1092)</f>
        <v>16.346</v>
      </c>
      <c r="X1092" s="19" t="n">
        <f aca="false">IFERROR(INDEX(CADASTRO_PIVOS!$K$6:$K$41,MATCH($E1092,CADASTRO_PIVOS!$B$6:$B$41,0)),EFICIENCIA_PADRAO)</f>
        <v>0.85</v>
      </c>
      <c r="Y1092" s="18" t="n">
        <f aca="false">IF($X1092&lt;=0,0,$W1092/$X1092)</f>
        <v>19.2305882352941</v>
      </c>
      <c r="Z1092" s="16" t="n">
        <f aca="false">$Y1092*$H1092*MM_PARA_M3_HA</f>
        <v>28759.3447058823</v>
      </c>
      <c r="AA1092" s="18" t="n">
        <f aca="false">IFERROR(INDEX(CADASTRO_PIVOS!$I$6:$I$41,MATCH($E1092,CADASTRO_PIVOS!$B$6:$B$41,0)),0)</f>
        <v>1068.21428571429</v>
      </c>
      <c r="AB1092" s="18" t="n">
        <f aca="false">IF($Z1092&lt;=0,0,$Z1092/$AA1092)</f>
        <v>26.9228235294118</v>
      </c>
      <c r="AC1092" s="16" t="n">
        <f aca="false">IFERROR(INDEX(SEMANAS!$K$6:$K$71,MATCH($B1092,SEMANAS!$B$6:$B$71,0)),0)</f>
        <v>147</v>
      </c>
      <c r="AD1092" s="19" t="n">
        <f aca="false">IF($AC1092&lt;=0,0,$AB1092/$AC1092)</f>
        <v>0.183148459383753</v>
      </c>
      <c r="AE1092" s="8" t="str">
        <f aca="false">IF($K1092="SEM CULTURA","SEM CULTURA",IF($AA1092&lt;=0,"DADO PENDENTE",IF($AD1092&gt;LIMITE_CRITICO,"INVIAVEL",IF($AD1092&gt;LIMITE_ATENCAO,"CRITICO",IF($AD1092&gt;LIMITE_CONFORTAVEL,"ATENCAO","OK")))))</f>
        <v>OK</v>
      </c>
      <c r="AF1092" s="8" t="str">
        <f aca="false">$B1092&amp;"|"&amp;TEXT($AD1092,"0.000000")</f>
        <v>31|0.183148</v>
      </c>
      <c r="AG1092" s="18" t="n">
        <f aca="false">IF($K1092="SEM CULTURA",0,$T1092*$H1092)</f>
        <v>5469.0435</v>
      </c>
      <c r="AH1092" s="18" t="n">
        <f aca="false">IF($K1092="SEM CULTURA",0,$V1092*$H1092)</f>
        <v>3024.4992</v>
      </c>
      <c r="AI1092" s="18" t="n">
        <f aca="false">IF($K1092="SEM CULTURA",0,$W1092*$H1092)</f>
        <v>2444.5443</v>
      </c>
      <c r="AJ1092" s="18" t="n">
        <f aca="false">IF($K1092="SEM CULTURA",0,$S1092*$H1092)</f>
        <v>4755.69</v>
      </c>
      <c r="AK1092" s="8" t="str">
        <f aca="false">$E1092&amp;"|"&amp;TEXT($AD1092,"0.000000")</f>
        <v>PV 116|0.183148</v>
      </c>
    </row>
    <row r="1093" customFormat="false" ht="15" hidden="false" customHeight="false" outlineLevel="0" collapsed="false">
      <c r="B1093" s="16" t="n">
        <v>32</v>
      </c>
      <c r="C1093" s="17" t="n">
        <f aca="false">DATA_INICIO_SAFRA+($B1093-1)*DIAS_POR_SEMANA</f>
        <v>46482</v>
      </c>
      <c r="D1093" s="17" t="n">
        <f aca="false">$C1093+DIAS_POR_SEMANA-1</f>
        <v>46488</v>
      </c>
      <c r="E1093" s="15" t="s">
        <v>275</v>
      </c>
      <c r="F1093" s="8" t="str">
        <f aca="false">IFERROR(INDEX(CADASTRO_PIVOS!$C$6:$C$41,MATCH($E1093,CADASTRO_PIVOS!$B$6:$B$41,0)),"?")</f>
        <v>RM06</v>
      </c>
      <c r="G1093" s="8" t="str">
        <f aca="false">IFERROR(INDEX(CADASTRO_PIVOS!$D$6:$D$41,MATCH($E1093,CADASTRO_PIVOS!$B$6:$B$41,0)),"?")</f>
        <v>TR06</v>
      </c>
      <c r="H1093" s="20" t="n">
        <f aca="false">IFERROR(INDEX(CADASTRO_PIVOS!$E$6:$E$41,MATCH($E1093,CADASTRO_PIVOS!$B$6:$B$41,0)),0)</f>
        <v>149.55</v>
      </c>
      <c r="I1093" s="16" t="n">
        <f aca="false">IFERROR(SUMIFS(ROTACAO_RDM!$B$6:$B$71,ROTACAO_RDM!$D$6:$D$71,$E1093,ROTACAO_RDM!$I$6:$I$71,"&lt;="&amp;$C1093+INT(DIAS_POR_SEMANA/2),ROTACAO_RDM!$J$6:$J$71,"&gt;="&amp;$C1093+INT(DIAS_POR_SEMANA/2)),0)</f>
        <v>27</v>
      </c>
      <c r="J1093" s="16" t="n">
        <f aca="false">IFERROR(MATCH($I1093,ROTACAO_RDM!$B$6:$B$71,0),0)</f>
        <v>27</v>
      </c>
      <c r="K1093" s="8" t="str">
        <f aca="false">IF($J1093=0,"SEM CULTURA",INDEX(ROTACAO_RDM!$F$6:$F$71,$J1093))</f>
        <v>ALGODAO</v>
      </c>
      <c r="L1093" s="8" t="str">
        <f aca="false">IF($J1093=0,"",INDEX(ROTACAO_RDM!$G$6:$G$71,$J1093))</f>
        <v>FM 974 GLT</v>
      </c>
      <c r="M1093" s="17" t="n">
        <f aca="false">IF($J1093=0,"",INDEX(ROTACAO_RDM!$I$6:$I$71,$J1093))</f>
        <v>46355</v>
      </c>
      <c r="N1093" s="16" t="n">
        <f aca="false">IF($J1093=0,0,MAX(0,$C1093+INT(DIAS_POR_SEMANA/2)-INDEX(ROTACAO_RDM!$I$6:$I$71,$J1093)))</f>
        <v>130</v>
      </c>
      <c r="O1093" s="19" t="n">
        <f aca="false">IF($J1093=0,0,MIN(1,$N1093/MAX(1,INDEX(ROTACAO_RDM!$K$6:$K$71,$J1093))))</f>
        <v>0.666666666666667</v>
      </c>
      <c r="P1093" s="16" t="n">
        <f aca="false">IF($J1093=0,0,IFERROR(MATCH(INDEX(ROTACAO_RDM!$N$6:$N$71,$J1093),PARAMETROS_CULTURAS!$B$6:$B$28,0),0))</f>
        <v>5</v>
      </c>
      <c r="Q1093" s="8" t="str">
        <f aca="false">IF($P1093=0,"-",IF($O1093&lt;=INDEX(PARAMETROS_CULTURAS!$F$6:$F$28,$P1093),"INICIAL",IF($O1093&lt;=INDEX(PARAMETROS_CULTURAS!$F$6:$F$28,$P1093)+INDEX(PARAMETROS_CULTURAS!$G$6:$G$28,$P1093),"DESENVOLVIMENTO",IF($O1093&lt;=INDEX(PARAMETROS_CULTURAS!$F$6:$F$28,$P1093)+INDEX(PARAMETROS_CULTURAS!$G$6:$G$28,$P1093)+INDEX(PARAMETROS_CULTURAS!$H$6:$H$28,$P1093),"MEDIA","FINAL"))))</f>
        <v>MEDIA</v>
      </c>
      <c r="R1093" s="24" t="n">
        <f aca="false">IF($P1093=0,0,IF($O1093&lt;=INDEX(PARAMETROS_CULTURAS!$F$6:$F$28,$P1093),INDEX(PARAMETROS_CULTURAS!$K$6:$K$28,$P1093),IF($O1093&lt;=INDEX(PARAMETROS_CULTURAS!$F$6:$F$28,$P1093)+INDEX(PARAMETROS_CULTURAS!$G$6:$G$28,$P1093),INDEX(PARAMETROS_CULTURAS!$K$6:$K$28,$P1093)+(INDEX(PARAMETROS_CULTURAS!$L$6:$L$28,$P1093)-INDEX(PARAMETROS_CULTURAS!$K$6:$K$28,$P1093))*($O1093-INDEX(PARAMETROS_CULTURAS!$F$6:$F$28,$P1093))/MAX(INDEX(PARAMETROS_CULTURAS!$G$6:$G$28,$P1093),0.0001),IF($O1093&lt;=INDEX(PARAMETROS_CULTURAS!$F$6:$F$28,$P1093)+INDEX(PARAMETROS_CULTURAS!$G$6:$G$28,$P1093)+INDEX(PARAMETROS_CULTURAS!$H$6:$H$28,$P1093),INDEX(PARAMETROS_CULTURAS!$L$6:$L$28,$P1093),INDEX(PARAMETROS_CULTURAS!$L$6:$L$28,$P1093)+(INDEX(PARAMETROS_CULTURAS!$M$6:$M$28,$P1093)-INDEX(PARAMETROS_CULTURAS!$L$6:$L$28,$P1093))*($O1093-INDEX(PARAMETROS_CULTURAS!$F$6:$F$28,$P1093)-INDEX(PARAMETROS_CULTURAS!$G$6:$G$28,$P1093)-INDEX(PARAMETROS_CULTURAS!$H$6:$H$28,$P1093))/MAX(INDEX(PARAMETROS_CULTURAS!$I$6:$I$28,$P1093),0.0001)))))</f>
        <v>1.15</v>
      </c>
      <c r="S1093" s="18" t="n">
        <f aca="false">IFERROR(INDEX(SEMANAS!$H$6:$H$71,MATCH($B1093,SEMANAS!$B$6:$B$71,0)),0)</f>
        <v>31.5</v>
      </c>
      <c r="T1093" s="18" t="n">
        <f aca="false">$R1093*$S1093</f>
        <v>36.225</v>
      </c>
      <c r="U1093" s="18" t="n">
        <f aca="false">IFERROR(INDEX(SEMANAS!$I$6:$I$71,MATCH($B1093,SEMANAS!$B$6:$B$71,0)),0)</f>
        <v>16.31</v>
      </c>
      <c r="V1093" s="18" t="n">
        <f aca="false">IFERROR(INDEX(SEMANAS!$J$6:$J$71,MATCH($B1093,SEMANAS!$B$6:$B$71,0)),0)</f>
        <v>13.048</v>
      </c>
      <c r="W1093" s="18" t="n">
        <f aca="false">MAX(0,$T1093-$V1093)</f>
        <v>23.177</v>
      </c>
      <c r="X1093" s="19" t="n">
        <f aca="false">IFERROR(INDEX(CADASTRO_PIVOS!$K$6:$K$41,MATCH($E1093,CADASTRO_PIVOS!$B$6:$B$41,0)),EFICIENCIA_PADRAO)</f>
        <v>0.85</v>
      </c>
      <c r="Y1093" s="18" t="n">
        <f aca="false">IF($X1093&lt;=0,0,$W1093/$X1093)</f>
        <v>27.2670588235294</v>
      </c>
      <c r="Z1093" s="16" t="n">
        <f aca="false">$Y1093*$H1093*MM_PARA_M3_HA</f>
        <v>40777.8864705882</v>
      </c>
      <c r="AA1093" s="18" t="n">
        <f aca="false">IFERROR(INDEX(CADASTRO_PIVOS!$I$6:$I$41,MATCH($E1093,CADASTRO_PIVOS!$B$6:$B$41,0)),0)</f>
        <v>1068.21428571429</v>
      </c>
      <c r="AB1093" s="18" t="n">
        <f aca="false">IF($Z1093&lt;=0,0,$Z1093/$AA1093)</f>
        <v>38.1738823529412</v>
      </c>
      <c r="AC1093" s="16" t="n">
        <f aca="false">IFERROR(INDEX(SEMANAS!$K$6:$K$71,MATCH($B1093,SEMANAS!$B$6:$B$71,0)),0)</f>
        <v>147</v>
      </c>
      <c r="AD1093" s="19" t="n">
        <f aca="false">IF($AC1093&lt;=0,0,$AB1093/$AC1093)</f>
        <v>0.259686274509804</v>
      </c>
      <c r="AE1093" s="8" t="str">
        <f aca="false">IF($K1093="SEM CULTURA","SEM CULTURA",IF($AA1093&lt;=0,"DADO PENDENTE",IF($AD1093&gt;LIMITE_CRITICO,"INVIAVEL",IF($AD1093&gt;LIMITE_ATENCAO,"CRITICO",IF($AD1093&gt;LIMITE_CONFORTAVEL,"ATENCAO","OK")))))</f>
        <v>OK</v>
      </c>
      <c r="AF1093" s="8" t="str">
        <f aca="false">$B1093&amp;"|"&amp;TEXT($AD1093,"0.000000")</f>
        <v>32|0.259686</v>
      </c>
      <c r="AG1093" s="18" t="n">
        <f aca="false">IF($K1093="SEM CULTURA",0,$T1093*$H1093)</f>
        <v>5417.44875</v>
      </c>
      <c r="AH1093" s="18" t="n">
        <f aca="false">IF($K1093="SEM CULTURA",0,$V1093*$H1093)</f>
        <v>1951.3284</v>
      </c>
      <c r="AI1093" s="18" t="n">
        <f aca="false">IF($K1093="SEM CULTURA",0,$W1093*$H1093)</f>
        <v>3466.12035</v>
      </c>
      <c r="AJ1093" s="18" t="n">
        <f aca="false">IF($K1093="SEM CULTURA",0,$S1093*$H1093)</f>
        <v>4710.825</v>
      </c>
      <c r="AK1093" s="8" t="str">
        <f aca="false">$E1093&amp;"|"&amp;TEXT($AD1093,"0.000000")</f>
        <v>PV 116|0.259686</v>
      </c>
    </row>
    <row r="1094" customFormat="false" ht="15" hidden="false" customHeight="false" outlineLevel="0" collapsed="false">
      <c r="B1094" s="16" t="n">
        <v>33</v>
      </c>
      <c r="C1094" s="17" t="n">
        <f aca="false">DATA_INICIO_SAFRA+($B1094-1)*DIAS_POR_SEMANA</f>
        <v>46489</v>
      </c>
      <c r="D1094" s="17" t="n">
        <f aca="false">$C1094+DIAS_POR_SEMANA-1</f>
        <v>46495</v>
      </c>
      <c r="E1094" s="15" t="s">
        <v>275</v>
      </c>
      <c r="F1094" s="8" t="str">
        <f aca="false">IFERROR(INDEX(CADASTRO_PIVOS!$C$6:$C$41,MATCH($E1094,CADASTRO_PIVOS!$B$6:$B$41,0)),"?")</f>
        <v>RM06</v>
      </c>
      <c r="G1094" s="8" t="str">
        <f aca="false">IFERROR(INDEX(CADASTRO_PIVOS!$D$6:$D$41,MATCH($E1094,CADASTRO_PIVOS!$B$6:$B$41,0)),"?")</f>
        <v>TR06</v>
      </c>
      <c r="H1094" s="20" t="n">
        <f aca="false">IFERROR(INDEX(CADASTRO_PIVOS!$E$6:$E$41,MATCH($E1094,CADASTRO_PIVOS!$B$6:$B$41,0)),0)</f>
        <v>149.55</v>
      </c>
      <c r="I1094" s="16" t="n">
        <f aca="false">IFERROR(SUMIFS(ROTACAO_RDM!$B$6:$B$71,ROTACAO_RDM!$D$6:$D$71,$E1094,ROTACAO_RDM!$I$6:$I$71,"&lt;="&amp;$C1094+INT(DIAS_POR_SEMANA/2),ROTACAO_RDM!$J$6:$J$71,"&gt;="&amp;$C1094+INT(DIAS_POR_SEMANA/2)),0)</f>
        <v>27</v>
      </c>
      <c r="J1094" s="16" t="n">
        <f aca="false">IFERROR(MATCH($I1094,ROTACAO_RDM!$B$6:$B$71,0),0)</f>
        <v>27</v>
      </c>
      <c r="K1094" s="8" t="str">
        <f aca="false">IF($J1094=0,"SEM CULTURA",INDEX(ROTACAO_RDM!$F$6:$F$71,$J1094))</f>
        <v>ALGODAO</v>
      </c>
      <c r="L1094" s="8" t="str">
        <f aca="false">IF($J1094=0,"",INDEX(ROTACAO_RDM!$G$6:$G$71,$J1094))</f>
        <v>FM 974 GLT</v>
      </c>
      <c r="M1094" s="17" t="n">
        <f aca="false">IF($J1094=0,"",INDEX(ROTACAO_RDM!$I$6:$I$71,$J1094))</f>
        <v>46355</v>
      </c>
      <c r="N1094" s="16" t="n">
        <f aca="false">IF($J1094=0,0,MAX(0,$C1094+INT(DIAS_POR_SEMANA/2)-INDEX(ROTACAO_RDM!$I$6:$I$71,$J1094)))</f>
        <v>137</v>
      </c>
      <c r="O1094" s="19" t="n">
        <f aca="false">IF($J1094=0,0,MIN(1,$N1094/MAX(1,INDEX(ROTACAO_RDM!$K$6:$K$71,$J1094))))</f>
        <v>0.702564102564103</v>
      </c>
      <c r="P1094" s="16" t="n">
        <f aca="false">IF($J1094=0,0,IFERROR(MATCH(INDEX(ROTACAO_RDM!$N$6:$N$71,$J1094),PARAMETROS_CULTURAS!$B$6:$B$28,0),0))</f>
        <v>5</v>
      </c>
      <c r="Q1094" s="8" t="str">
        <f aca="false">IF($P1094=0,"-",IF($O1094&lt;=INDEX(PARAMETROS_CULTURAS!$F$6:$F$28,$P1094),"INICIAL",IF($O1094&lt;=INDEX(PARAMETROS_CULTURAS!$F$6:$F$28,$P1094)+INDEX(PARAMETROS_CULTURAS!$G$6:$G$28,$P1094),"DESENVOLVIMENTO",IF($O1094&lt;=INDEX(PARAMETROS_CULTURAS!$F$6:$F$28,$P1094)+INDEX(PARAMETROS_CULTURAS!$G$6:$G$28,$P1094)+INDEX(PARAMETROS_CULTURAS!$H$6:$H$28,$P1094),"MEDIA","FINAL"))))</f>
        <v>MEDIA</v>
      </c>
      <c r="R1094" s="24" t="n">
        <f aca="false">IF($P1094=0,0,IF($O1094&lt;=INDEX(PARAMETROS_CULTURAS!$F$6:$F$28,$P1094),INDEX(PARAMETROS_CULTURAS!$K$6:$K$28,$P1094),IF($O1094&lt;=INDEX(PARAMETROS_CULTURAS!$F$6:$F$28,$P1094)+INDEX(PARAMETROS_CULTURAS!$G$6:$G$28,$P1094),INDEX(PARAMETROS_CULTURAS!$K$6:$K$28,$P1094)+(INDEX(PARAMETROS_CULTURAS!$L$6:$L$28,$P1094)-INDEX(PARAMETROS_CULTURAS!$K$6:$K$28,$P1094))*($O1094-INDEX(PARAMETROS_CULTURAS!$F$6:$F$28,$P1094))/MAX(INDEX(PARAMETROS_CULTURAS!$G$6:$G$28,$P1094),0.0001),IF($O1094&lt;=INDEX(PARAMETROS_CULTURAS!$F$6:$F$28,$P1094)+INDEX(PARAMETROS_CULTURAS!$G$6:$G$28,$P1094)+INDEX(PARAMETROS_CULTURAS!$H$6:$H$28,$P1094),INDEX(PARAMETROS_CULTURAS!$L$6:$L$28,$P1094),INDEX(PARAMETROS_CULTURAS!$L$6:$L$28,$P1094)+(INDEX(PARAMETROS_CULTURAS!$M$6:$M$28,$P1094)-INDEX(PARAMETROS_CULTURAS!$L$6:$L$28,$P1094))*($O1094-INDEX(PARAMETROS_CULTURAS!$F$6:$F$28,$P1094)-INDEX(PARAMETROS_CULTURAS!$G$6:$G$28,$P1094)-INDEX(PARAMETROS_CULTURAS!$H$6:$H$28,$P1094))/MAX(INDEX(PARAMETROS_CULTURAS!$I$6:$I$28,$P1094),0.0001)))))</f>
        <v>1.15</v>
      </c>
      <c r="S1094" s="18" t="n">
        <f aca="false">IFERROR(INDEX(SEMANAS!$H$6:$H$71,MATCH($B1094,SEMANAS!$B$6:$B$71,0)),0)</f>
        <v>31.5</v>
      </c>
      <c r="T1094" s="18" t="n">
        <f aca="false">$R1094*$S1094</f>
        <v>36.225</v>
      </c>
      <c r="U1094" s="18" t="n">
        <f aca="false">IFERROR(INDEX(SEMANAS!$I$6:$I$71,MATCH($B1094,SEMANAS!$B$6:$B$71,0)),0)</f>
        <v>16.31</v>
      </c>
      <c r="V1094" s="18" t="n">
        <f aca="false">IFERROR(INDEX(SEMANAS!$J$6:$J$71,MATCH($B1094,SEMANAS!$B$6:$B$71,0)),0)</f>
        <v>13.048</v>
      </c>
      <c r="W1094" s="18" t="n">
        <f aca="false">MAX(0,$T1094-$V1094)</f>
        <v>23.177</v>
      </c>
      <c r="X1094" s="19" t="n">
        <f aca="false">IFERROR(INDEX(CADASTRO_PIVOS!$K$6:$K$41,MATCH($E1094,CADASTRO_PIVOS!$B$6:$B$41,0)),EFICIENCIA_PADRAO)</f>
        <v>0.85</v>
      </c>
      <c r="Y1094" s="18" t="n">
        <f aca="false">IF($X1094&lt;=0,0,$W1094/$X1094)</f>
        <v>27.2670588235294</v>
      </c>
      <c r="Z1094" s="16" t="n">
        <f aca="false">$Y1094*$H1094*MM_PARA_M3_HA</f>
        <v>40777.8864705882</v>
      </c>
      <c r="AA1094" s="18" t="n">
        <f aca="false">IFERROR(INDEX(CADASTRO_PIVOS!$I$6:$I$41,MATCH($E1094,CADASTRO_PIVOS!$B$6:$B$41,0)),0)</f>
        <v>1068.21428571429</v>
      </c>
      <c r="AB1094" s="18" t="n">
        <f aca="false">IF($Z1094&lt;=0,0,$Z1094/$AA1094)</f>
        <v>38.1738823529412</v>
      </c>
      <c r="AC1094" s="16" t="n">
        <f aca="false">IFERROR(INDEX(SEMANAS!$K$6:$K$71,MATCH($B1094,SEMANAS!$B$6:$B$71,0)),0)</f>
        <v>147</v>
      </c>
      <c r="AD1094" s="19" t="n">
        <f aca="false">IF($AC1094&lt;=0,0,$AB1094/$AC1094)</f>
        <v>0.259686274509804</v>
      </c>
      <c r="AE1094" s="8" t="str">
        <f aca="false">IF($K1094="SEM CULTURA","SEM CULTURA",IF($AA1094&lt;=0,"DADO PENDENTE",IF($AD1094&gt;LIMITE_CRITICO,"INVIAVEL",IF($AD1094&gt;LIMITE_ATENCAO,"CRITICO",IF($AD1094&gt;LIMITE_CONFORTAVEL,"ATENCAO","OK")))))</f>
        <v>OK</v>
      </c>
      <c r="AF1094" s="8" t="str">
        <f aca="false">$B1094&amp;"|"&amp;TEXT($AD1094,"0.000000")</f>
        <v>33|0.259686</v>
      </c>
      <c r="AG1094" s="18" t="n">
        <f aca="false">IF($K1094="SEM CULTURA",0,$T1094*$H1094)</f>
        <v>5417.44875</v>
      </c>
      <c r="AH1094" s="18" t="n">
        <f aca="false">IF($K1094="SEM CULTURA",0,$V1094*$H1094)</f>
        <v>1951.3284</v>
      </c>
      <c r="AI1094" s="18" t="n">
        <f aca="false">IF($K1094="SEM CULTURA",0,$W1094*$H1094)</f>
        <v>3466.12035</v>
      </c>
      <c r="AJ1094" s="18" t="n">
        <f aca="false">IF($K1094="SEM CULTURA",0,$S1094*$H1094)</f>
        <v>4710.825</v>
      </c>
      <c r="AK1094" s="8" t="str">
        <f aca="false">$E1094&amp;"|"&amp;TEXT($AD1094,"0.000000")</f>
        <v>PV 116|0.259686</v>
      </c>
    </row>
    <row r="1095" customFormat="false" ht="15" hidden="false" customHeight="false" outlineLevel="0" collapsed="false">
      <c r="B1095" s="16" t="n">
        <v>34</v>
      </c>
      <c r="C1095" s="17" t="n">
        <f aca="false">DATA_INICIO_SAFRA+($B1095-1)*DIAS_POR_SEMANA</f>
        <v>46496</v>
      </c>
      <c r="D1095" s="17" t="n">
        <f aca="false">$C1095+DIAS_POR_SEMANA-1</f>
        <v>46502</v>
      </c>
      <c r="E1095" s="15" t="s">
        <v>275</v>
      </c>
      <c r="F1095" s="8" t="str">
        <f aca="false">IFERROR(INDEX(CADASTRO_PIVOS!$C$6:$C$41,MATCH($E1095,CADASTRO_PIVOS!$B$6:$B$41,0)),"?")</f>
        <v>RM06</v>
      </c>
      <c r="G1095" s="8" t="str">
        <f aca="false">IFERROR(INDEX(CADASTRO_PIVOS!$D$6:$D$41,MATCH($E1095,CADASTRO_PIVOS!$B$6:$B$41,0)),"?")</f>
        <v>TR06</v>
      </c>
      <c r="H1095" s="20" t="n">
        <f aca="false">IFERROR(INDEX(CADASTRO_PIVOS!$E$6:$E$41,MATCH($E1095,CADASTRO_PIVOS!$B$6:$B$41,0)),0)</f>
        <v>149.55</v>
      </c>
      <c r="I1095" s="16" t="n">
        <f aca="false">IFERROR(SUMIFS(ROTACAO_RDM!$B$6:$B$71,ROTACAO_RDM!$D$6:$D$71,$E1095,ROTACAO_RDM!$I$6:$I$71,"&lt;="&amp;$C1095+INT(DIAS_POR_SEMANA/2),ROTACAO_RDM!$J$6:$J$71,"&gt;="&amp;$C1095+INT(DIAS_POR_SEMANA/2)),0)</f>
        <v>27</v>
      </c>
      <c r="J1095" s="16" t="n">
        <f aca="false">IFERROR(MATCH($I1095,ROTACAO_RDM!$B$6:$B$71,0),0)</f>
        <v>27</v>
      </c>
      <c r="K1095" s="8" t="str">
        <f aca="false">IF($J1095=0,"SEM CULTURA",INDEX(ROTACAO_RDM!$F$6:$F$71,$J1095))</f>
        <v>ALGODAO</v>
      </c>
      <c r="L1095" s="8" t="str">
        <f aca="false">IF($J1095=0,"",INDEX(ROTACAO_RDM!$G$6:$G$71,$J1095))</f>
        <v>FM 974 GLT</v>
      </c>
      <c r="M1095" s="17" t="n">
        <f aca="false">IF($J1095=0,"",INDEX(ROTACAO_RDM!$I$6:$I$71,$J1095))</f>
        <v>46355</v>
      </c>
      <c r="N1095" s="16" t="n">
        <f aca="false">IF($J1095=0,0,MAX(0,$C1095+INT(DIAS_POR_SEMANA/2)-INDEX(ROTACAO_RDM!$I$6:$I$71,$J1095)))</f>
        <v>144</v>
      </c>
      <c r="O1095" s="19" t="n">
        <f aca="false">IF($J1095=0,0,MIN(1,$N1095/MAX(1,INDEX(ROTACAO_RDM!$K$6:$K$71,$J1095))))</f>
        <v>0.738461538461539</v>
      </c>
      <c r="P1095" s="16" t="n">
        <f aca="false">IF($J1095=0,0,IFERROR(MATCH(INDEX(ROTACAO_RDM!$N$6:$N$71,$J1095),PARAMETROS_CULTURAS!$B$6:$B$28,0),0))</f>
        <v>5</v>
      </c>
      <c r="Q1095" s="8" t="str">
        <f aca="false">IF($P1095=0,"-",IF($O1095&lt;=INDEX(PARAMETROS_CULTURAS!$F$6:$F$28,$P1095),"INICIAL",IF($O1095&lt;=INDEX(PARAMETROS_CULTURAS!$F$6:$F$28,$P1095)+INDEX(PARAMETROS_CULTURAS!$G$6:$G$28,$P1095),"DESENVOLVIMENTO",IF($O1095&lt;=INDEX(PARAMETROS_CULTURAS!$F$6:$F$28,$P1095)+INDEX(PARAMETROS_CULTURAS!$G$6:$G$28,$P1095)+INDEX(PARAMETROS_CULTURAS!$H$6:$H$28,$P1095),"MEDIA","FINAL"))))</f>
        <v>FINAL</v>
      </c>
      <c r="R1095" s="24" t="n">
        <f aca="false">IF($P1095=0,0,IF($O1095&lt;=INDEX(PARAMETROS_CULTURAS!$F$6:$F$28,$P1095),INDEX(PARAMETROS_CULTURAS!$K$6:$K$28,$P1095),IF($O1095&lt;=INDEX(PARAMETROS_CULTURAS!$F$6:$F$28,$P1095)+INDEX(PARAMETROS_CULTURAS!$G$6:$G$28,$P1095),INDEX(PARAMETROS_CULTURAS!$K$6:$K$28,$P1095)+(INDEX(PARAMETROS_CULTURAS!$L$6:$L$28,$P1095)-INDEX(PARAMETROS_CULTURAS!$K$6:$K$28,$P1095))*($O1095-INDEX(PARAMETROS_CULTURAS!$F$6:$F$28,$P1095))/MAX(INDEX(PARAMETROS_CULTURAS!$G$6:$G$28,$P1095),0.0001),IF($O1095&lt;=INDEX(PARAMETROS_CULTURAS!$F$6:$F$28,$P1095)+INDEX(PARAMETROS_CULTURAS!$G$6:$G$28,$P1095)+INDEX(PARAMETROS_CULTURAS!$H$6:$H$28,$P1095),INDEX(PARAMETROS_CULTURAS!$L$6:$L$28,$P1095),INDEX(PARAMETROS_CULTURAS!$L$6:$L$28,$P1095)+(INDEX(PARAMETROS_CULTURAS!$M$6:$M$28,$P1095)-INDEX(PARAMETROS_CULTURAS!$L$6:$L$28,$P1095))*($O1095-INDEX(PARAMETROS_CULTURAS!$F$6:$F$28,$P1095)-INDEX(PARAMETROS_CULTURAS!$G$6:$G$28,$P1095)-INDEX(PARAMETROS_CULTURAS!$H$6:$H$28,$P1095))/MAX(INDEX(PARAMETROS_CULTURAS!$I$6:$I$28,$P1095),0.0001)))))</f>
        <v>1.11373626373626</v>
      </c>
      <c r="S1095" s="18" t="n">
        <f aca="false">IFERROR(INDEX(SEMANAS!$H$6:$H$71,MATCH($B1095,SEMANAS!$B$6:$B$71,0)),0)</f>
        <v>31.5</v>
      </c>
      <c r="T1095" s="18" t="n">
        <f aca="false">$R1095*$S1095</f>
        <v>35.0826923076923</v>
      </c>
      <c r="U1095" s="18" t="n">
        <f aca="false">IFERROR(INDEX(SEMANAS!$I$6:$I$71,MATCH($B1095,SEMANAS!$B$6:$B$71,0)),0)</f>
        <v>16.31</v>
      </c>
      <c r="V1095" s="18" t="n">
        <f aca="false">IFERROR(INDEX(SEMANAS!$J$6:$J$71,MATCH($B1095,SEMANAS!$B$6:$B$71,0)),0)</f>
        <v>13.048</v>
      </c>
      <c r="W1095" s="18" t="n">
        <f aca="false">MAX(0,$T1095-$V1095)</f>
        <v>22.0346923076923</v>
      </c>
      <c r="X1095" s="19" t="n">
        <f aca="false">IFERROR(INDEX(CADASTRO_PIVOS!$K$6:$K$41,MATCH($E1095,CADASTRO_PIVOS!$B$6:$B$41,0)),EFICIENCIA_PADRAO)</f>
        <v>0.85</v>
      </c>
      <c r="Y1095" s="18" t="n">
        <f aca="false">IF($X1095&lt;=0,0,$W1095/$X1095)</f>
        <v>25.9231674208145</v>
      </c>
      <c r="Z1095" s="16" t="n">
        <f aca="false">$Y1095*$H1095*MM_PARA_M3_HA</f>
        <v>38768.0968778281</v>
      </c>
      <c r="AA1095" s="18" t="n">
        <f aca="false">IFERROR(INDEX(CADASTRO_PIVOS!$I$6:$I$41,MATCH($E1095,CADASTRO_PIVOS!$B$6:$B$41,0)),0)</f>
        <v>1068.21428571429</v>
      </c>
      <c r="AB1095" s="18" t="n">
        <f aca="false">IF($Z1095&lt;=0,0,$Z1095/$AA1095)</f>
        <v>36.2924343891403</v>
      </c>
      <c r="AC1095" s="16" t="n">
        <f aca="false">IFERROR(INDEX(SEMANAS!$K$6:$K$71,MATCH($B1095,SEMANAS!$B$6:$B$71,0)),0)</f>
        <v>147</v>
      </c>
      <c r="AD1095" s="19" t="n">
        <f aca="false">IF($AC1095&lt;=0,0,$AB1095/$AC1095)</f>
        <v>0.246887308769662</v>
      </c>
      <c r="AE1095" s="8" t="str">
        <f aca="false">IF($K1095="SEM CULTURA","SEM CULTURA",IF($AA1095&lt;=0,"DADO PENDENTE",IF($AD1095&gt;LIMITE_CRITICO,"INVIAVEL",IF($AD1095&gt;LIMITE_ATENCAO,"CRITICO",IF($AD1095&gt;LIMITE_CONFORTAVEL,"ATENCAO","OK")))))</f>
        <v>OK</v>
      </c>
      <c r="AF1095" s="8" t="str">
        <f aca="false">$B1095&amp;"|"&amp;TEXT($AD1095,"0.000000")</f>
        <v>34|0.246887</v>
      </c>
      <c r="AG1095" s="18" t="n">
        <f aca="false">IF($K1095="SEM CULTURA",0,$T1095*$H1095)</f>
        <v>5246.61663461539</v>
      </c>
      <c r="AH1095" s="18" t="n">
        <f aca="false">IF($K1095="SEM CULTURA",0,$V1095*$H1095)</f>
        <v>1951.3284</v>
      </c>
      <c r="AI1095" s="18" t="n">
        <f aca="false">IF($K1095="SEM CULTURA",0,$W1095*$H1095)</f>
        <v>3295.28823461538</v>
      </c>
      <c r="AJ1095" s="18" t="n">
        <f aca="false">IF($K1095="SEM CULTURA",0,$S1095*$H1095)</f>
        <v>4710.825</v>
      </c>
      <c r="AK1095" s="8" t="str">
        <f aca="false">$E1095&amp;"|"&amp;TEXT($AD1095,"0.000000")</f>
        <v>PV 116|0.246887</v>
      </c>
    </row>
    <row r="1096" customFormat="false" ht="15" hidden="false" customHeight="false" outlineLevel="0" collapsed="false">
      <c r="B1096" s="16" t="n">
        <v>35</v>
      </c>
      <c r="C1096" s="17" t="n">
        <f aca="false">DATA_INICIO_SAFRA+($B1096-1)*DIAS_POR_SEMANA</f>
        <v>46503</v>
      </c>
      <c r="D1096" s="17" t="n">
        <f aca="false">$C1096+DIAS_POR_SEMANA-1</f>
        <v>46509</v>
      </c>
      <c r="E1096" s="15" t="s">
        <v>275</v>
      </c>
      <c r="F1096" s="8" t="str">
        <f aca="false">IFERROR(INDEX(CADASTRO_PIVOS!$C$6:$C$41,MATCH($E1096,CADASTRO_PIVOS!$B$6:$B$41,0)),"?")</f>
        <v>RM06</v>
      </c>
      <c r="G1096" s="8" t="str">
        <f aca="false">IFERROR(INDEX(CADASTRO_PIVOS!$D$6:$D$41,MATCH($E1096,CADASTRO_PIVOS!$B$6:$B$41,0)),"?")</f>
        <v>TR06</v>
      </c>
      <c r="H1096" s="20" t="n">
        <f aca="false">IFERROR(INDEX(CADASTRO_PIVOS!$E$6:$E$41,MATCH($E1096,CADASTRO_PIVOS!$B$6:$B$41,0)),0)</f>
        <v>149.55</v>
      </c>
      <c r="I1096" s="16" t="n">
        <f aca="false">IFERROR(SUMIFS(ROTACAO_RDM!$B$6:$B$71,ROTACAO_RDM!$D$6:$D$71,$E1096,ROTACAO_RDM!$I$6:$I$71,"&lt;="&amp;$C1096+INT(DIAS_POR_SEMANA/2),ROTACAO_RDM!$J$6:$J$71,"&gt;="&amp;$C1096+INT(DIAS_POR_SEMANA/2)),0)</f>
        <v>27</v>
      </c>
      <c r="J1096" s="16" t="n">
        <f aca="false">IFERROR(MATCH($I1096,ROTACAO_RDM!$B$6:$B$71,0),0)</f>
        <v>27</v>
      </c>
      <c r="K1096" s="8" t="str">
        <f aca="false">IF($J1096=0,"SEM CULTURA",INDEX(ROTACAO_RDM!$F$6:$F$71,$J1096))</f>
        <v>ALGODAO</v>
      </c>
      <c r="L1096" s="8" t="str">
        <f aca="false">IF($J1096=0,"",INDEX(ROTACAO_RDM!$G$6:$G$71,$J1096))</f>
        <v>FM 974 GLT</v>
      </c>
      <c r="M1096" s="17" t="n">
        <f aca="false">IF($J1096=0,"",INDEX(ROTACAO_RDM!$I$6:$I$71,$J1096))</f>
        <v>46355</v>
      </c>
      <c r="N1096" s="16" t="n">
        <f aca="false">IF($J1096=0,0,MAX(0,$C1096+INT(DIAS_POR_SEMANA/2)-INDEX(ROTACAO_RDM!$I$6:$I$71,$J1096)))</f>
        <v>151</v>
      </c>
      <c r="O1096" s="19" t="n">
        <f aca="false">IF($J1096=0,0,MIN(1,$N1096/MAX(1,INDEX(ROTACAO_RDM!$K$6:$K$71,$J1096))))</f>
        <v>0.774358974358974</v>
      </c>
      <c r="P1096" s="16" t="n">
        <f aca="false">IF($J1096=0,0,IFERROR(MATCH(INDEX(ROTACAO_RDM!$N$6:$N$71,$J1096),PARAMETROS_CULTURAS!$B$6:$B$28,0),0))</f>
        <v>5</v>
      </c>
      <c r="Q1096" s="8" t="str">
        <f aca="false">IF($P1096=0,"-",IF($O1096&lt;=INDEX(PARAMETROS_CULTURAS!$F$6:$F$28,$P1096),"INICIAL",IF($O1096&lt;=INDEX(PARAMETROS_CULTURAS!$F$6:$F$28,$P1096)+INDEX(PARAMETROS_CULTURAS!$G$6:$G$28,$P1096),"DESENVOLVIMENTO",IF($O1096&lt;=INDEX(PARAMETROS_CULTURAS!$F$6:$F$28,$P1096)+INDEX(PARAMETROS_CULTURAS!$G$6:$G$28,$P1096)+INDEX(PARAMETROS_CULTURAS!$H$6:$H$28,$P1096),"MEDIA","FINAL"))))</f>
        <v>FINAL</v>
      </c>
      <c r="R1096" s="24" t="n">
        <f aca="false">IF($P1096=0,0,IF($O1096&lt;=INDEX(PARAMETROS_CULTURAS!$F$6:$F$28,$P1096),INDEX(PARAMETROS_CULTURAS!$K$6:$K$28,$P1096),IF($O1096&lt;=INDEX(PARAMETROS_CULTURAS!$F$6:$F$28,$P1096)+INDEX(PARAMETROS_CULTURAS!$G$6:$G$28,$P1096),INDEX(PARAMETROS_CULTURAS!$K$6:$K$28,$P1096)+(INDEX(PARAMETROS_CULTURAS!$L$6:$L$28,$P1096)-INDEX(PARAMETROS_CULTURAS!$K$6:$K$28,$P1096))*($O1096-INDEX(PARAMETROS_CULTURAS!$F$6:$F$28,$P1096))/MAX(INDEX(PARAMETROS_CULTURAS!$G$6:$G$28,$P1096),0.0001),IF($O1096&lt;=INDEX(PARAMETROS_CULTURAS!$F$6:$F$28,$P1096)+INDEX(PARAMETROS_CULTURAS!$G$6:$G$28,$P1096)+INDEX(PARAMETROS_CULTURAS!$H$6:$H$28,$P1096),INDEX(PARAMETROS_CULTURAS!$L$6:$L$28,$P1096),INDEX(PARAMETROS_CULTURAS!$L$6:$L$28,$P1096)+(INDEX(PARAMETROS_CULTURAS!$M$6:$M$28,$P1096)-INDEX(PARAMETROS_CULTURAS!$L$6:$L$28,$P1096))*($O1096-INDEX(PARAMETROS_CULTURAS!$F$6:$F$28,$P1096)-INDEX(PARAMETROS_CULTURAS!$G$6:$G$28,$P1096)-INDEX(PARAMETROS_CULTURAS!$H$6:$H$28,$P1096))/MAX(INDEX(PARAMETROS_CULTURAS!$I$6:$I$28,$P1096),0.0001)))))</f>
        <v>1.04322344322344</v>
      </c>
      <c r="S1096" s="18" t="n">
        <f aca="false">IFERROR(INDEX(SEMANAS!$H$6:$H$71,MATCH($B1096,SEMANAS!$B$6:$B$71,0)),0)</f>
        <v>30.9</v>
      </c>
      <c r="T1096" s="18" t="n">
        <f aca="false">$R1096*$S1096</f>
        <v>32.2356043956044</v>
      </c>
      <c r="U1096" s="18" t="n">
        <f aca="false">IFERROR(INDEX(SEMANAS!$I$6:$I$71,MATCH($B1096,SEMANAS!$B$6:$B$71,0)),0)</f>
        <v>12.61</v>
      </c>
      <c r="V1096" s="18" t="n">
        <f aca="false">IFERROR(INDEX(SEMANAS!$J$6:$J$71,MATCH($B1096,SEMANAS!$B$6:$B$71,0)),0)</f>
        <v>10.088</v>
      </c>
      <c r="W1096" s="18" t="n">
        <f aca="false">MAX(0,$T1096-$V1096)</f>
        <v>22.1476043956044</v>
      </c>
      <c r="X1096" s="19" t="n">
        <f aca="false">IFERROR(INDEX(CADASTRO_PIVOS!$K$6:$K$41,MATCH($E1096,CADASTRO_PIVOS!$B$6:$B$41,0)),EFICIENCIA_PADRAO)</f>
        <v>0.85</v>
      </c>
      <c r="Y1096" s="18" t="n">
        <f aca="false">IF($X1096&lt;=0,0,$W1096/$X1096)</f>
        <v>26.0560051712993</v>
      </c>
      <c r="Z1096" s="16" t="n">
        <f aca="false">$Y1096*$H1096*MM_PARA_M3_HA</f>
        <v>38966.7557336781</v>
      </c>
      <c r="AA1096" s="18" t="n">
        <f aca="false">IFERROR(INDEX(CADASTRO_PIVOS!$I$6:$I$41,MATCH($E1096,CADASTRO_PIVOS!$B$6:$B$41,0)),0)</f>
        <v>1068.21428571429</v>
      </c>
      <c r="AB1096" s="18" t="n">
        <f aca="false">IF($Z1096&lt;=0,0,$Z1096/$AA1096)</f>
        <v>36.478407239819</v>
      </c>
      <c r="AC1096" s="16" t="n">
        <f aca="false">IFERROR(INDEX(SEMANAS!$K$6:$K$71,MATCH($B1096,SEMANAS!$B$6:$B$71,0)),0)</f>
        <v>147</v>
      </c>
      <c r="AD1096" s="19" t="n">
        <f aca="false">IF($AC1096&lt;=0,0,$AB1096/$AC1096)</f>
        <v>0.24815243020285</v>
      </c>
      <c r="AE1096" s="8" t="str">
        <f aca="false">IF($K1096="SEM CULTURA","SEM CULTURA",IF($AA1096&lt;=0,"DADO PENDENTE",IF($AD1096&gt;LIMITE_CRITICO,"INVIAVEL",IF($AD1096&gt;LIMITE_ATENCAO,"CRITICO",IF($AD1096&gt;LIMITE_CONFORTAVEL,"ATENCAO","OK")))))</f>
        <v>OK</v>
      </c>
      <c r="AF1096" s="8" t="str">
        <f aca="false">$B1096&amp;"|"&amp;TEXT($AD1096,"0.000000")</f>
        <v>35|0.248152</v>
      </c>
      <c r="AG1096" s="18" t="n">
        <f aca="false">IF($K1096="SEM CULTURA",0,$T1096*$H1096)</f>
        <v>4820.83463736264</v>
      </c>
      <c r="AH1096" s="18" t="n">
        <f aca="false">IF($K1096="SEM CULTURA",0,$V1096*$H1096)</f>
        <v>1508.6604</v>
      </c>
      <c r="AI1096" s="18" t="n">
        <f aca="false">IF($K1096="SEM CULTURA",0,$W1096*$H1096)</f>
        <v>3312.17423736264</v>
      </c>
      <c r="AJ1096" s="18" t="n">
        <f aca="false">IF($K1096="SEM CULTURA",0,$S1096*$H1096)</f>
        <v>4621.095</v>
      </c>
      <c r="AK1096" s="8" t="str">
        <f aca="false">$E1096&amp;"|"&amp;TEXT($AD1096,"0.000000")</f>
        <v>PV 116|0.248152</v>
      </c>
    </row>
    <row r="1097" customFormat="false" ht="15" hidden="false" customHeight="false" outlineLevel="0" collapsed="false">
      <c r="B1097" s="16" t="n">
        <v>36</v>
      </c>
      <c r="C1097" s="17" t="n">
        <f aca="false">DATA_INICIO_SAFRA+($B1097-1)*DIAS_POR_SEMANA</f>
        <v>46510</v>
      </c>
      <c r="D1097" s="17" t="n">
        <f aca="false">$C1097+DIAS_POR_SEMANA-1</f>
        <v>46516</v>
      </c>
      <c r="E1097" s="15" t="s">
        <v>275</v>
      </c>
      <c r="F1097" s="8" t="str">
        <f aca="false">IFERROR(INDEX(CADASTRO_PIVOS!$C$6:$C$41,MATCH($E1097,CADASTRO_PIVOS!$B$6:$B$41,0)),"?")</f>
        <v>RM06</v>
      </c>
      <c r="G1097" s="8" t="str">
        <f aca="false">IFERROR(INDEX(CADASTRO_PIVOS!$D$6:$D$41,MATCH($E1097,CADASTRO_PIVOS!$B$6:$B$41,0)),"?")</f>
        <v>TR06</v>
      </c>
      <c r="H1097" s="20" t="n">
        <f aca="false">IFERROR(INDEX(CADASTRO_PIVOS!$E$6:$E$41,MATCH($E1097,CADASTRO_PIVOS!$B$6:$B$41,0)),0)</f>
        <v>149.55</v>
      </c>
      <c r="I1097" s="16" t="n">
        <f aca="false">IFERROR(SUMIFS(ROTACAO_RDM!$B$6:$B$71,ROTACAO_RDM!$D$6:$D$71,$E1097,ROTACAO_RDM!$I$6:$I$71,"&lt;="&amp;$C1097+INT(DIAS_POR_SEMANA/2),ROTACAO_RDM!$J$6:$J$71,"&gt;="&amp;$C1097+INT(DIAS_POR_SEMANA/2)),0)</f>
        <v>27</v>
      </c>
      <c r="J1097" s="16" t="n">
        <f aca="false">IFERROR(MATCH($I1097,ROTACAO_RDM!$B$6:$B$71,0),0)</f>
        <v>27</v>
      </c>
      <c r="K1097" s="8" t="str">
        <f aca="false">IF($J1097=0,"SEM CULTURA",INDEX(ROTACAO_RDM!$F$6:$F$71,$J1097))</f>
        <v>ALGODAO</v>
      </c>
      <c r="L1097" s="8" t="str">
        <f aca="false">IF($J1097=0,"",INDEX(ROTACAO_RDM!$G$6:$G$71,$J1097))</f>
        <v>FM 974 GLT</v>
      </c>
      <c r="M1097" s="17" t="n">
        <f aca="false">IF($J1097=0,"",INDEX(ROTACAO_RDM!$I$6:$I$71,$J1097))</f>
        <v>46355</v>
      </c>
      <c r="N1097" s="16" t="n">
        <f aca="false">IF($J1097=0,0,MAX(0,$C1097+INT(DIAS_POR_SEMANA/2)-INDEX(ROTACAO_RDM!$I$6:$I$71,$J1097)))</f>
        <v>158</v>
      </c>
      <c r="O1097" s="19" t="n">
        <f aca="false">IF($J1097=0,0,MIN(1,$N1097/MAX(1,INDEX(ROTACAO_RDM!$K$6:$K$71,$J1097))))</f>
        <v>0.81025641025641</v>
      </c>
      <c r="P1097" s="16" t="n">
        <f aca="false">IF($J1097=0,0,IFERROR(MATCH(INDEX(ROTACAO_RDM!$N$6:$N$71,$J1097),PARAMETROS_CULTURAS!$B$6:$B$28,0),0))</f>
        <v>5</v>
      </c>
      <c r="Q1097" s="8" t="str">
        <f aca="false">IF($P1097=0,"-",IF($O1097&lt;=INDEX(PARAMETROS_CULTURAS!$F$6:$F$28,$P1097),"INICIAL",IF($O1097&lt;=INDEX(PARAMETROS_CULTURAS!$F$6:$F$28,$P1097)+INDEX(PARAMETROS_CULTURAS!$G$6:$G$28,$P1097),"DESENVOLVIMENTO",IF($O1097&lt;=INDEX(PARAMETROS_CULTURAS!$F$6:$F$28,$P1097)+INDEX(PARAMETROS_CULTURAS!$G$6:$G$28,$P1097)+INDEX(PARAMETROS_CULTURAS!$H$6:$H$28,$P1097),"MEDIA","FINAL"))))</f>
        <v>FINAL</v>
      </c>
      <c r="R1097" s="24" t="n">
        <f aca="false">IF($P1097=0,0,IF($O1097&lt;=INDEX(PARAMETROS_CULTURAS!$F$6:$F$28,$P1097),INDEX(PARAMETROS_CULTURAS!$K$6:$K$28,$P1097),IF($O1097&lt;=INDEX(PARAMETROS_CULTURAS!$F$6:$F$28,$P1097)+INDEX(PARAMETROS_CULTURAS!$G$6:$G$28,$P1097),INDEX(PARAMETROS_CULTURAS!$K$6:$K$28,$P1097)+(INDEX(PARAMETROS_CULTURAS!$L$6:$L$28,$P1097)-INDEX(PARAMETROS_CULTURAS!$K$6:$K$28,$P1097))*($O1097-INDEX(PARAMETROS_CULTURAS!$F$6:$F$28,$P1097))/MAX(INDEX(PARAMETROS_CULTURAS!$G$6:$G$28,$P1097),0.0001),IF($O1097&lt;=INDEX(PARAMETROS_CULTURAS!$F$6:$F$28,$P1097)+INDEX(PARAMETROS_CULTURAS!$G$6:$G$28,$P1097)+INDEX(PARAMETROS_CULTURAS!$H$6:$H$28,$P1097),INDEX(PARAMETROS_CULTURAS!$L$6:$L$28,$P1097),INDEX(PARAMETROS_CULTURAS!$L$6:$L$28,$P1097)+(INDEX(PARAMETROS_CULTURAS!$M$6:$M$28,$P1097)-INDEX(PARAMETROS_CULTURAS!$L$6:$L$28,$P1097))*($O1097-INDEX(PARAMETROS_CULTURAS!$F$6:$F$28,$P1097)-INDEX(PARAMETROS_CULTURAS!$G$6:$G$28,$P1097)-INDEX(PARAMETROS_CULTURAS!$H$6:$H$28,$P1097))/MAX(INDEX(PARAMETROS_CULTURAS!$I$6:$I$28,$P1097),0.0001)))))</f>
        <v>0.972710622710623</v>
      </c>
      <c r="S1097" s="18" t="n">
        <f aca="false">IFERROR(INDEX(SEMANAS!$H$6:$H$71,MATCH($B1097,SEMANAS!$B$6:$B$71,0)),0)</f>
        <v>29.4</v>
      </c>
      <c r="T1097" s="18" t="n">
        <f aca="false">$R1097*$S1097</f>
        <v>28.5976923076923</v>
      </c>
      <c r="U1097" s="18" t="n">
        <f aca="false">IFERROR(INDEX(SEMANAS!$I$6:$I$71,MATCH($B1097,SEMANAS!$B$6:$B$71,0)),0)</f>
        <v>3.36</v>
      </c>
      <c r="V1097" s="18" t="n">
        <f aca="false">IFERROR(INDEX(SEMANAS!$J$6:$J$71,MATCH($B1097,SEMANAS!$B$6:$B$71,0)),0)</f>
        <v>2.688</v>
      </c>
      <c r="W1097" s="18" t="n">
        <f aca="false">MAX(0,$T1097-$V1097)</f>
        <v>25.9096923076923</v>
      </c>
      <c r="X1097" s="19" t="n">
        <f aca="false">IFERROR(INDEX(CADASTRO_PIVOS!$K$6:$K$41,MATCH($E1097,CADASTRO_PIVOS!$B$6:$B$41,0)),EFICIENCIA_PADRAO)</f>
        <v>0.85</v>
      </c>
      <c r="Y1097" s="18" t="n">
        <f aca="false">IF($X1097&lt;=0,0,$W1097/$X1097)</f>
        <v>30.4819909502262</v>
      </c>
      <c r="Z1097" s="16" t="n">
        <f aca="false">$Y1097*$H1097*MM_PARA_M3_HA</f>
        <v>45585.8174660634</v>
      </c>
      <c r="AA1097" s="18" t="n">
        <f aca="false">IFERROR(INDEX(CADASTRO_PIVOS!$I$6:$I$41,MATCH($E1097,CADASTRO_PIVOS!$B$6:$B$41,0)),0)</f>
        <v>1068.21428571429</v>
      </c>
      <c r="AB1097" s="18" t="n">
        <f aca="false">IF($Z1097&lt;=0,0,$Z1097/$AA1097)</f>
        <v>42.6747873303167</v>
      </c>
      <c r="AC1097" s="16" t="n">
        <f aca="false">IFERROR(INDEX(SEMANAS!$K$6:$K$71,MATCH($B1097,SEMANAS!$B$6:$B$71,0)),0)</f>
        <v>147</v>
      </c>
      <c r="AD1097" s="19" t="n">
        <f aca="false">IF($AC1097&lt;=0,0,$AB1097/$AC1097)</f>
        <v>0.29030467571644</v>
      </c>
      <c r="AE1097" s="8" t="str">
        <f aca="false">IF($K1097="SEM CULTURA","SEM CULTURA",IF($AA1097&lt;=0,"DADO PENDENTE",IF($AD1097&gt;LIMITE_CRITICO,"INVIAVEL",IF($AD1097&gt;LIMITE_ATENCAO,"CRITICO",IF($AD1097&gt;LIMITE_CONFORTAVEL,"ATENCAO","OK")))))</f>
        <v>OK</v>
      </c>
      <c r="AF1097" s="8" t="str">
        <f aca="false">$B1097&amp;"|"&amp;TEXT($AD1097,"0.000000")</f>
        <v>36|0.290305</v>
      </c>
      <c r="AG1097" s="18" t="n">
        <f aca="false">IF($K1097="SEM CULTURA",0,$T1097*$H1097)</f>
        <v>4276.78488461539</v>
      </c>
      <c r="AH1097" s="18" t="n">
        <f aca="false">IF($K1097="SEM CULTURA",0,$V1097*$H1097)</f>
        <v>401.9904</v>
      </c>
      <c r="AI1097" s="18" t="n">
        <f aca="false">IF($K1097="SEM CULTURA",0,$W1097*$H1097)</f>
        <v>3874.79448461539</v>
      </c>
      <c r="AJ1097" s="18" t="n">
        <f aca="false">IF($K1097="SEM CULTURA",0,$S1097*$H1097)</f>
        <v>4396.77</v>
      </c>
      <c r="AK1097" s="8" t="str">
        <f aca="false">$E1097&amp;"|"&amp;TEXT($AD1097,"0.000000")</f>
        <v>PV 116|0.290305</v>
      </c>
    </row>
    <row r="1098" customFormat="false" ht="15" hidden="false" customHeight="false" outlineLevel="0" collapsed="false">
      <c r="B1098" s="16" t="n">
        <v>37</v>
      </c>
      <c r="C1098" s="17" t="n">
        <f aca="false">DATA_INICIO_SAFRA+($B1098-1)*DIAS_POR_SEMANA</f>
        <v>46517</v>
      </c>
      <c r="D1098" s="17" t="n">
        <f aca="false">$C1098+DIAS_POR_SEMANA-1</f>
        <v>46523</v>
      </c>
      <c r="E1098" s="15" t="s">
        <v>275</v>
      </c>
      <c r="F1098" s="8" t="str">
        <f aca="false">IFERROR(INDEX(CADASTRO_PIVOS!$C$6:$C$41,MATCH($E1098,CADASTRO_PIVOS!$B$6:$B$41,0)),"?")</f>
        <v>RM06</v>
      </c>
      <c r="G1098" s="8" t="str">
        <f aca="false">IFERROR(INDEX(CADASTRO_PIVOS!$D$6:$D$41,MATCH($E1098,CADASTRO_PIVOS!$B$6:$B$41,0)),"?")</f>
        <v>TR06</v>
      </c>
      <c r="H1098" s="20" t="n">
        <f aca="false">IFERROR(INDEX(CADASTRO_PIVOS!$E$6:$E$41,MATCH($E1098,CADASTRO_PIVOS!$B$6:$B$41,0)),0)</f>
        <v>149.55</v>
      </c>
      <c r="I1098" s="16" t="n">
        <f aca="false">IFERROR(SUMIFS(ROTACAO_RDM!$B$6:$B$71,ROTACAO_RDM!$D$6:$D$71,$E1098,ROTACAO_RDM!$I$6:$I$71,"&lt;="&amp;$C1098+INT(DIAS_POR_SEMANA/2),ROTACAO_RDM!$J$6:$J$71,"&gt;="&amp;$C1098+INT(DIAS_POR_SEMANA/2)),0)</f>
        <v>27</v>
      </c>
      <c r="J1098" s="16" t="n">
        <f aca="false">IFERROR(MATCH($I1098,ROTACAO_RDM!$B$6:$B$71,0),0)</f>
        <v>27</v>
      </c>
      <c r="K1098" s="8" t="str">
        <f aca="false">IF($J1098=0,"SEM CULTURA",INDEX(ROTACAO_RDM!$F$6:$F$71,$J1098))</f>
        <v>ALGODAO</v>
      </c>
      <c r="L1098" s="8" t="str">
        <f aca="false">IF($J1098=0,"",INDEX(ROTACAO_RDM!$G$6:$G$71,$J1098))</f>
        <v>FM 974 GLT</v>
      </c>
      <c r="M1098" s="17" t="n">
        <f aca="false">IF($J1098=0,"",INDEX(ROTACAO_RDM!$I$6:$I$71,$J1098))</f>
        <v>46355</v>
      </c>
      <c r="N1098" s="16" t="n">
        <f aca="false">IF($J1098=0,0,MAX(0,$C1098+INT(DIAS_POR_SEMANA/2)-INDEX(ROTACAO_RDM!$I$6:$I$71,$J1098)))</f>
        <v>165</v>
      </c>
      <c r="O1098" s="19" t="n">
        <f aca="false">IF($J1098=0,0,MIN(1,$N1098/MAX(1,INDEX(ROTACAO_RDM!$K$6:$K$71,$J1098))))</f>
        <v>0.846153846153846</v>
      </c>
      <c r="P1098" s="16" t="n">
        <f aca="false">IF($J1098=0,0,IFERROR(MATCH(INDEX(ROTACAO_RDM!$N$6:$N$71,$J1098),PARAMETROS_CULTURAS!$B$6:$B$28,0),0))</f>
        <v>5</v>
      </c>
      <c r="Q1098" s="8" t="str">
        <f aca="false">IF($P1098=0,"-",IF($O1098&lt;=INDEX(PARAMETROS_CULTURAS!$F$6:$F$28,$P1098),"INICIAL",IF($O1098&lt;=INDEX(PARAMETROS_CULTURAS!$F$6:$F$28,$P1098)+INDEX(PARAMETROS_CULTURAS!$G$6:$G$28,$P1098),"DESENVOLVIMENTO",IF($O1098&lt;=INDEX(PARAMETROS_CULTURAS!$F$6:$F$28,$P1098)+INDEX(PARAMETROS_CULTURAS!$G$6:$G$28,$P1098)+INDEX(PARAMETROS_CULTURAS!$H$6:$H$28,$P1098),"MEDIA","FINAL"))))</f>
        <v>FINAL</v>
      </c>
      <c r="R1098" s="24" t="n">
        <f aca="false">IF($P1098=0,0,IF($O1098&lt;=INDEX(PARAMETROS_CULTURAS!$F$6:$F$28,$P1098),INDEX(PARAMETROS_CULTURAS!$K$6:$K$28,$P1098),IF($O1098&lt;=INDEX(PARAMETROS_CULTURAS!$F$6:$F$28,$P1098)+INDEX(PARAMETROS_CULTURAS!$G$6:$G$28,$P1098),INDEX(PARAMETROS_CULTURAS!$K$6:$K$28,$P1098)+(INDEX(PARAMETROS_CULTURAS!$L$6:$L$28,$P1098)-INDEX(PARAMETROS_CULTURAS!$K$6:$K$28,$P1098))*($O1098-INDEX(PARAMETROS_CULTURAS!$F$6:$F$28,$P1098))/MAX(INDEX(PARAMETROS_CULTURAS!$G$6:$G$28,$P1098),0.0001),IF($O1098&lt;=INDEX(PARAMETROS_CULTURAS!$F$6:$F$28,$P1098)+INDEX(PARAMETROS_CULTURAS!$G$6:$G$28,$P1098)+INDEX(PARAMETROS_CULTURAS!$H$6:$H$28,$P1098),INDEX(PARAMETROS_CULTURAS!$L$6:$L$28,$P1098),INDEX(PARAMETROS_CULTURAS!$L$6:$L$28,$P1098)+(INDEX(PARAMETROS_CULTURAS!$M$6:$M$28,$P1098)-INDEX(PARAMETROS_CULTURAS!$L$6:$L$28,$P1098))*($O1098-INDEX(PARAMETROS_CULTURAS!$F$6:$F$28,$P1098)-INDEX(PARAMETROS_CULTURAS!$G$6:$G$28,$P1098)-INDEX(PARAMETROS_CULTURAS!$H$6:$H$28,$P1098))/MAX(INDEX(PARAMETROS_CULTURAS!$I$6:$I$28,$P1098),0.0001)))))</f>
        <v>0.902197802197802</v>
      </c>
      <c r="S1098" s="18" t="n">
        <f aca="false">IFERROR(INDEX(SEMANAS!$H$6:$H$71,MATCH($B1098,SEMANAS!$B$6:$B$71,0)),0)</f>
        <v>29.4</v>
      </c>
      <c r="T1098" s="18" t="n">
        <f aca="false">$R1098*$S1098</f>
        <v>26.5246153846154</v>
      </c>
      <c r="U1098" s="18" t="n">
        <f aca="false">IFERROR(INDEX(SEMANAS!$I$6:$I$71,MATCH($B1098,SEMANAS!$B$6:$B$71,0)),0)</f>
        <v>3.36</v>
      </c>
      <c r="V1098" s="18" t="n">
        <f aca="false">IFERROR(INDEX(SEMANAS!$J$6:$J$71,MATCH($B1098,SEMANAS!$B$6:$B$71,0)),0)</f>
        <v>2.688</v>
      </c>
      <c r="W1098" s="18" t="n">
        <f aca="false">MAX(0,$T1098-$V1098)</f>
        <v>23.8366153846154</v>
      </c>
      <c r="X1098" s="19" t="n">
        <f aca="false">IFERROR(INDEX(CADASTRO_PIVOS!$K$6:$K$41,MATCH($E1098,CADASTRO_PIVOS!$B$6:$B$41,0)),EFICIENCIA_PADRAO)</f>
        <v>0.85</v>
      </c>
      <c r="Y1098" s="18" t="n">
        <f aca="false">IF($X1098&lt;=0,0,$W1098/$X1098)</f>
        <v>28.0430769230769</v>
      </c>
      <c r="Z1098" s="16" t="n">
        <f aca="false">$Y1098*$H1098*MM_PARA_M3_HA</f>
        <v>41938.4215384616</v>
      </c>
      <c r="AA1098" s="18" t="n">
        <f aca="false">IFERROR(INDEX(CADASTRO_PIVOS!$I$6:$I$41,MATCH($E1098,CADASTRO_PIVOS!$B$6:$B$41,0)),0)</f>
        <v>1068.21428571429</v>
      </c>
      <c r="AB1098" s="18" t="n">
        <f aca="false">IF($Z1098&lt;=0,0,$Z1098/$AA1098)</f>
        <v>39.2603076923077</v>
      </c>
      <c r="AC1098" s="16" t="n">
        <f aca="false">IFERROR(INDEX(SEMANAS!$K$6:$K$71,MATCH($B1098,SEMANAS!$B$6:$B$71,0)),0)</f>
        <v>147</v>
      </c>
      <c r="AD1098" s="19" t="n">
        <f aca="false">IF($AC1098&lt;=0,0,$AB1098/$AC1098)</f>
        <v>0.267076923076923</v>
      </c>
      <c r="AE1098" s="8" t="str">
        <f aca="false">IF($K1098="SEM CULTURA","SEM CULTURA",IF($AA1098&lt;=0,"DADO PENDENTE",IF($AD1098&gt;LIMITE_CRITICO,"INVIAVEL",IF($AD1098&gt;LIMITE_ATENCAO,"CRITICO",IF($AD1098&gt;LIMITE_CONFORTAVEL,"ATENCAO","OK")))))</f>
        <v>OK</v>
      </c>
      <c r="AF1098" s="8" t="str">
        <f aca="false">$B1098&amp;"|"&amp;TEXT($AD1098,"0.000000")</f>
        <v>37|0.267077</v>
      </c>
      <c r="AG1098" s="18" t="n">
        <f aca="false">IF($K1098="SEM CULTURA",0,$T1098*$H1098)</f>
        <v>3966.75623076923</v>
      </c>
      <c r="AH1098" s="18" t="n">
        <f aca="false">IF($K1098="SEM CULTURA",0,$V1098*$H1098)</f>
        <v>401.9904</v>
      </c>
      <c r="AI1098" s="18" t="n">
        <f aca="false">IF($K1098="SEM CULTURA",0,$W1098*$H1098)</f>
        <v>3564.76583076923</v>
      </c>
      <c r="AJ1098" s="18" t="n">
        <f aca="false">IF($K1098="SEM CULTURA",0,$S1098*$H1098)</f>
        <v>4396.77</v>
      </c>
      <c r="AK1098" s="8" t="str">
        <f aca="false">$E1098&amp;"|"&amp;TEXT($AD1098,"0.000000")</f>
        <v>PV 116|0.267077</v>
      </c>
    </row>
    <row r="1099" customFormat="false" ht="15" hidden="false" customHeight="false" outlineLevel="0" collapsed="false">
      <c r="B1099" s="16" t="n">
        <v>38</v>
      </c>
      <c r="C1099" s="17" t="n">
        <f aca="false">DATA_INICIO_SAFRA+($B1099-1)*DIAS_POR_SEMANA</f>
        <v>46524</v>
      </c>
      <c r="D1099" s="17" t="n">
        <f aca="false">$C1099+DIAS_POR_SEMANA-1</f>
        <v>46530</v>
      </c>
      <c r="E1099" s="15" t="s">
        <v>275</v>
      </c>
      <c r="F1099" s="8" t="str">
        <f aca="false">IFERROR(INDEX(CADASTRO_PIVOS!$C$6:$C$41,MATCH($E1099,CADASTRO_PIVOS!$B$6:$B$41,0)),"?")</f>
        <v>RM06</v>
      </c>
      <c r="G1099" s="8" t="str">
        <f aca="false">IFERROR(INDEX(CADASTRO_PIVOS!$D$6:$D$41,MATCH($E1099,CADASTRO_PIVOS!$B$6:$B$41,0)),"?")</f>
        <v>TR06</v>
      </c>
      <c r="H1099" s="20" t="n">
        <f aca="false">IFERROR(INDEX(CADASTRO_PIVOS!$E$6:$E$41,MATCH($E1099,CADASTRO_PIVOS!$B$6:$B$41,0)),0)</f>
        <v>149.55</v>
      </c>
      <c r="I1099" s="16" t="n">
        <f aca="false">IFERROR(SUMIFS(ROTACAO_RDM!$B$6:$B$71,ROTACAO_RDM!$D$6:$D$71,$E1099,ROTACAO_RDM!$I$6:$I$71,"&lt;="&amp;$C1099+INT(DIAS_POR_SEMANA/2),ROTACAO_RDM!$J$6:$J$71,"&gt;="&amp;$C1099+INT(DIAS_POR_SEMANA/2)),0)</f>
        <v>27</v>
      </c>
      <c r="J1099" s="16" t="n">
        <f aca="false">IFERROR(MATCH($I1099,ROTACAO_RDM!$B$6:$B$71,0),0)</f>
        <v>27</v>
      </c>
      <c r="K1099" s="8" t="str">
        <f aca="false">IF($J1099=0,"SEM CULTURA",INDEX(ROTACAO_RDM!$F$6:$F$71,$J1099))</f>
        <v>ALGODAO</v>
      </c>
      <c r="L1099" s="8" t="str">
        <f aca="false">IF($J1099=0,"",INDEX(ROTACAO_RDM!$G$6:$G$71,$J1099))</f>
        <v>FM 974 GLT</v>
      </c>
      <c r="M1099" s="17" t="n">
        <f aca="false">IF($J1099=0,"",INDEX(ROTACAO_RDM!$I$6:$I$71,$J1099))</f>
        <v>46355</v>
      </c>
      <c r="N1099" s="16" t="n">
        <f aca="false">IF($J1099=0,0,MAX(0,$C1099+INT(DIAS_POR_SEMANA/2)-INDEX(ROTACAO_RDM!$I$6:$I$71,$J1099)))</f>
        <v>172</v>
      </c>
      <c r="O1099" s="19" t="n">
        <f aca="false">IF($J1099=0,0,MIN(1,$N1099/MAX(1,INDEX(ROTACAO_RDM!$K$6:$K$71,$J1099))))</f>
        <v>0.882051282051282</v>
      </c>
      <c r="P1099" s="16" t="n">
        <f aca="false">IF($J1099=0,0,IFERROR(MATCH(INDEX(ROTACAO_RDM!$N$6:$N$71,$J1099),PARAMETROS_CULTURAS!$B$6:$B$28,0),0))</f>
        <v>5</v>
      </c>
      <c r="Q1099" s="8" t="str">
        <f aca="false">IF($P1099=0,"-",IF($O1099&lt;=INDEX(PARAMETROS_CULTURAS!$F$6:$F$28,$P1099),"INICIAL",IF($O1099&lt;=INDEX(PARAMETROS_CULTURAS!$F$6:$F$28,$P1099)+INDEX(PARAMETROS_CULTURAS!$G$6:$G$28,$P1099),"DESENVOLVIMENTO",IF($O1099&lt;=INDEX(PARAMETROS_CULTURAS!$F$6:$F$28,$P1099)+INDEX(PARAMETROS_CULTURAS!$G$6:$G$28,$P1099)+INDEX(PARAMETROS_CULTURAS!$H$6:$H$28,$P1099),"MEDIA","FINAL"))))</f>
        <v>FINAL</v>
      </c>
      <c r="R1099" s="24" t="n">
        <f aca="false">IF($P1099=0,0,IF($O1099&lt;=INDEX(PARAMETROS_CULTURAS!$F$6:$F$28,$P1099),INDEX(PARAMETROS_CULTURAS!$K$6:$K$28,$P1099),IF($O1099&lt;=INDEX(PARAMETROS_CULTURAS!$F$6:$F$28,$P1099)+INDEX(PARAMETROS_CULTURAS!$G$6:$G$28,$P1099),INDEX(PARAMETROS_CULTURAS!$K$6:$K$28,$P1099)+(INDEX(PARAMETROS_CULTURAS!$L$6:$L$28,$P1099)-INDEX(PARAMETROS_CULTURAS!$K$6:$K$28,$P1099))*($O1099-INDEX(PARAMETROS_CULTURAS!$F$6:$F$28,$P1099))/MAX(INDEX(PARAMETROS_CULTURAS!$G$6:$G$28,$P1099),0.0001),IF($O1099&lt;=INDEX(PARAMETROS_CULTURAS!$F$6:$F$28,$P1099)+INDEX(PARAMETROS_CULTURAS!$G$6:$G$28,$P1099)+INDEX(PARAMETROS_CULTURAS!$H$6:$H$28,$P1099),INDEX(PARAMETROS_CULTURAS!$L$6:$L$28,$P1099),INDEX(PARAMETROS_CULTURAS!$L$6:$L$28,$P1099)+(INDEX(PARAMETROS_CULTURAS!$M$6:$M$28,$P1099)-INDEX(PARAMETROS_CULTURAS!$L$6:$L$28,$P1099))*($O1099-INDEX(PARAMETROS_CULTURAS!$F$6:$F$28,$P1099)-INDEX(PARAMETROS_CULTURAS!$G$6:$G$28,$P1099)-INDEX(PARAMETROS_CULTURAS!$H$6:$H$28,$P1099))/MAX(INDEX(PARAMETROS_CULTURAS!$I$6:$I$28,$P1099),0.0001)))))</f>
        <v>0.831684981684982</v>
      </c>
      <c r="S1099" s="18" t="n">
        <f aca="false">IFERROR(INDEX(SEMANAS!$H$6:$H$71,MATCH($B1099,SEMANAS!$B$6:$B$71,0)),0)</f>
        <v>29.4</v>
      </c>
      <c r="T1099" s="18" t="n">
        <f aca="false">$R1099*$S1099</f>
        <v>24.4515384615385</v>
      </c>
      <c r="U1099" s="18" t="n">
        <f aca="false">IFERROR(INDEX(SEMANAS!$I$6:$I$71,MATCH($B1099,SEMANAS!$B$6:$B$71,0)),0)</f>
        <v>3.36</v>
      </c>
      <c r="V1099" s="18" t="n">
        <f aca="false">IFERROR(INDEX(SEMANAS!$J$6:$J$71,MATCH($B1099,SEMANAS!$B$6:$B$71,0)),0)</f>
        <v>2.688</v>
      </c>
      <c r="W1099" s="18" t="n">
        <f aca="false">MAX(0,$T1099-$V1099)</f>
        <v>21.7635384615385</v>
      </c>
      <c r="X1099" s="19" t="n">
        <f aca="false">IFERROR(INDEX(CADASTRO_PIVOS!$K$6:$K$41,MATCH($E1099,CADASTRO_PIVOS!$B$6:$B$41,0)),EFICIENCIA_PADRAO)</f>
        <v>0.85</v>
      </c>
      <c r="Y1099" s="18" t="n">
        <f aca="false">IF($X1099&lt;=0,0,$W1099/$X1099)</f>
        <v>25.6041628959276</v>
      </c>
      <c r="Z1099" s="16" t="n">
        <f aca="false">$Y1099*$H1099*MM_PARA_M3_HA</f>
        <v>38291.0256108597</v>
      </c>
      <c r="AA1099" s="18" t="n">
        <f aca="false">IFERROR(INDEX(CADASTRO_PIVOS!$I$6:$I$41,MATCH($E1099,CADASTRO_PIVOS!$B$6:$B$41,0)),0)</f>
        <v>1068.21428571429</v>
      </c>
      <c r="AB1099" s="18" t="n">
        <f aca="false">IF($Z1099&lt;=0,0,$Z1099/$AA1099)</f>
        <v>35.8458280542987</v>
      </c>
      <c r="AC1099" s="16" t="n">
        <f aca="false">IFERROR(INDEX(SEMANAS!$K$6:$K$71,MATCH($B1099,SEMANAS!$B$6:$B$71,0)),0)</f>
        <v>147</v>
      </c>
      <c r="AD1099" s="19" t="n">
        <f aca="false">IF($AC1099&lt;=0,0,$AB1099/$AC1099)</f>
        <v>0.243849170437406</v>
      </c>
      <c r="AE1099" s="8" t="str">
        <f aca="false">IF($K1099="SEM CULTURA","SEM CULTURA",IF($AA1099&lt;=0,"DADO PENDENTE",IF($AD1099&gt;LIMITE_CRITICO,"INVIAVEL",IF($AD1099&gt;LIMITE_ATENCAO,"CRITICO",IF($AD1099&gt;LIMITE_CONFORTAVEL,"ATENCAO","OK")))))</f>
        <v>OK</v>
      </c>
      <c r="AF1099" s="8" t="str">
        <f aca="false">$B1099&amp;"|"&amp;TEXT($AD1099,"0.000000")</f>
        <v>38|0.243849</v>
      </c>
      <c r="AG1099" s="18" t="n">
        <f aca="false">IF($K1099="SEM CULTURA",0,$T1099*$H1099)</f>
        <v>3656.72757692308</v>
      </c>
      <c r="AH1099" s="18" t="n">
        <f aca="false">IF($K1099="SEM CULTURA",0,$V1099*$H1099)</f>
        <v>401.9904</v>
      </c>
      <c r="AI1099" s="18" t="n">
        <f aca="false">IF($K1099="SEM CULTURA",0,$W1099*$H1099)</f>
        <v>3254.73717692308</v>
      </c>
      <c r="AJ1099" s="18" t="n">
        <f aca="false">IF($K1099="SEM CULTURA",0,$S1099*$H1099)</f>
        <v>4396.77</v>
      </c>
      <c r="AK1099" s="8" t="str">
        <f aca="false">$E1099&amp;"|"&amp;TEXT($AD1099,"0.000000")</f>
        <v>PV 116|0.243849</v>
      </c>
    </row>
    <row r="1100" customFormat="false" ht="15" hidden="false" customHeight="false" outlineLevel="0" collapsed="false">
      <c r="B1100" s="16" t="n">
        <v>39</v>
      </c>
      <c r="C1100" s="17" t="n">
        <f aca="false">DATA_INICIO_SAFRA+($B1100-1)*DIAS_POR_SEMANA</f>
        <v>46531</v>
      </c>
      <c r="D1100" s="17" t="n">
        <f aca="false">$C1100+DIAS_POR_SEMANA-1</f>
        <v>46537</v>
      </c>
      <c r="E1100" s="15" t="s">
        <v>275</v>
      </c>
      <c r="F1100" s="8" t="str">
        <f aca="false">IFERROR(INDEX(CADASTRO_PIVOS!$C$6:$C$41,MATCH($E1100,CADASTRO_PIVOS!$B$6:$B$41,0)),"?")</f>
        <v>RM06</v>
      </c>
      <c r="G1100" s="8" t="str">
        <f aca="false">IFERROR(INDEX(CADASTRO_PIVOS!$D$6:$D$41,MATCH($E1100,CADASTRO_PIVOS!$B$6:$B$41,0)),"?")</f>
        <v>TR06</v>
      </c>
      <c r="H1100" s="20" t="n">
        <f aca="false">IFERROR(INDEX(CADASTRO_PIVOS!$E$6:$E$41,MATCH($E1100,CADASTRO_PIVOS!$B$6:$B$41,0)),0)</f>
        <v>149.55</v>
      </c>
      <c r="I1100" s="16" t="n">
        <f aca="false">IFERROR(SUMIFS(ROTACAO_RDM!$B$6:$B$71,ROTACAO_RDM!$D$6:$D$71,$E1100,ROTACAO_RDM!$I$6:$I$71,"&lt;="&amp;$C1100+INT(DIAS_POR_SEMANA/2),ROTACAO_RDM!$J$6:$J$71,"&gt;="&amp;$C1100+INT(DIAS_POR_SEMANA/2)),0)</f>
        <v>27</v>
      </c>
      <c r="J1100" s="16" t="n">
        <f aca="false">IFERROR(MATCH($I1100,ROTACAO_RDM!$B$6:$B$71,0),0)</f>
        <v>27</v>
      </c>
      <c r="K1100" s="8" t="str">
        <f aca="false">IF($J1100=0,"SEM CULTURA",INDEX(ROTACAO_RDM!$F$6:$F$71,$J1100))</f>
        <v>ALGODAO</v>
      </c>
      <c r="L1100" s="8" t="str">
        <f aca="false">IF($J1100=0,"",INDEX(ROTACAO_RDM!$G$6:$G$71,$J1100))</f>
        <v>FM 974 GLT</v>
      </c>
      <c r="M1100" s="17" t="n">
        <f aca="false">IF($J1100=0,"",INDEX(ROTACAO_RDM!$I$6:$I$71,$J1100))</f>
        <v>46355</v>
      </c>
      <c r="N1100" s="16" t="n">
        <f aca="false">IF($J1100=0,0,MAX(0,$C1100+INT(DIAS_POR_SEMANA/2)-INDEX(ROTACAO_RDM!$I$6:$I$71,$J1100)))</f>
        <v>179</v>
      </c>
      <c r="O1100" s="19" t="n">
        <f aca="false">IF($J1100=0,0,MIN(1,$N1100/MAX(1,INDEX(ROTACAO_RDM!$K$6:$K$71,$J1100))))</f>
        <v>0.917948717948718</v>
      </c>
      <c r="P1100" s="16" t="n">
        <f aca="false">IF($J1100=0,0,IFERROR(MATCH(INDEX(ROTACAO_RDM!$N$6:$N$71,$J1100),PARAMETROS_CULTURAS!$B$6:$B$28,0),0))</f>
        <v>5</v>
      </c>
      <c r="Q1100" s="8" t="str">
        <f aca="false">IF($P1100=0,"-",IF($O1100&lt;=INDEX(PARAMETROS_CULTURAS!$F$6:$F$28,$P1100),"INICIAL",IF($O1100&lt;=INDEX(PARAMETROS_CULTURAS!$F$6:$F$28,$P1100)+INDEX(PARAMETROS_CULTURAS!$G$6:$G$28,$P1100),"DESENVOLVIMENTO",IF($O1100&lt;=INDEX(PARAMETROS_CULTURAS!$F$6:$F$28,$P1100)+INDEX(PARAMETROS_CULTURAS!$G$6:$G$28,$P1100)+INDEX(PARAMETROS_CULTURAS!$H$6:$H$28,$P1100),"MEDIA","FINAL"))))</f>
        <v>FINAL</v>
      </c>
      <c r="R1100" s="24" t="n">
        <f aca="false">IF($P1100=0,0,IF($O1100&lt;=INDEX(PARAMETROS_CULTURAS!$F$6:$F$28,$P1100),INDEX(PARAMETROS_CULTURAS!$K$6:$K$28,$P1100),IF($O1100&lt;=INDEX(PARAMETROS_CULTURAS!$F$6:$F$28,$P1100)+INDEX(PARAMETROS_CULTURAS!$G$6:$G$28,$P1100),INDEX(PARAMETROS_CULTURAS!$K$6:$K$28,$P1100)+(INDEX(PARAMETROS_CULTURAS!$L$6:$L$28,$P1100)-INDEX(PARAMETROS_CULTURAS!$K$6:$K$28,$P1100))*($O1100-INDEX(PARAMETROS_CULTURAS!$F$6:$F$28,$P1100))/MAX(INDEX(PARAMETROS_CULTURAS!$G$6:$G$28,$P1100),0.0001),IF($O1100&lt;=INDEX(PARAMETROS_CULTURAS!$F$6:$F$28,$P1100)+INDEX(PARAMETROS_CULTURAS!$G$6:$G$28,$P1100)+INDEX(PARAMETROS_CULTURAS!$H$6:$H$28,$P1100),INDEX(PARAMETROS_CULTURAS!$L$6:$L$28,$P1100),INDEX(PARAMETROS_CULTURAS!$L$6:$L$28,$P1100)+(INDEX(PARAMETROS_CULTURAS!$M$6:$M$28,$P1100)-INDEX(PARAMETROS_CULTURAS!$L$6:$L$28,$P1100))*($O1100-INDEX(PARAMETROS_CULTURAS!$F$6:$F$28,$P1100)-INDEX(PARAMETROS_CULTURAS!$G$6:$G$28,$P1100)-INDEX(PARAMETROS_CULTURAS!$H$6:$H$28,$P1100))/MAX(INDEX(PARAMETROS_CULTURAS!$I$6:$I$28,$P1100),0.0001)))))</f>
        <v>0.761172161172161</v>
      </c>
      <c r="S1100" s="18" t="n">
        <f aca="false">IFERROR(INDEX(SEMANAS!$H$6:$H$71,MATCH($B1100,SEMANAS!$B$6:$B$71,0)),0)</f>
        <v>29.4</v>
      </c>
      <c r="T1100" s="18" t="n">
        <f aca="false">$R1100*$S1100</f>
        <v>22.3784615384615</v>
      </c>
      <c r="U1100" s="18" t="n">
        <f aca="false">IFERROR(INDEX(SEMANAS!$I$6:$I$71,MATCH($B1100,SEMANAS!$B$6:$B$71,0)),0)</f>
        <v>3.36</v>
      </c>
      <c r="V1100" s="18" t="n">
        <f aca="false">IFERROR(INDEX(SEMANAS!$J$6:$J$71,MATCH($B1100,SEMANAS!$B$6:$B$71,0)),0)</f>
        <v>2.688</v>
      </c>
      <c r="W1100" s="18" t="n">
        <f aca="false">MAX(0,$T1100-$V1100)</f>
        <v>19.6904615384616</v>
      </c>
      <c r="X1100" s="19" t="n">
        <f aca="false">IFERROR(INDEX(CADASTRO_PIVOS!$K$6:$K$41,MATCH($E1100,CADASTRO_PIVOS!$B$6:$B$41,0)),EFICIENCIA_PADRAO)</f>
        <v>0.85</v>
      </c>
      <c r="Y1100" s="18" t="n">
        <f aca="false">IF($X1100&lt;=0,0,$W1100/$X1100)</f>
        <v>23.1652488687783</v>
      </c>
      <c r="Z1100" s="16" t="n">
        <f aca="false">$Y1100*$H1100*MM_PARA_M3_HA</f>
        <v>34643.6296832579</v>
      </c>
      <c r="AA1100" s="18" t="n">
        <f aca="false">IFERROR(INDEX(CADASTRO_PIVOS!$I$6:$I$41,MATCH($E1100,CADASTRO_PIVOS!$B$6:$B$41,0)),0)</f>
        <v>1068.21428571429</v>
      </c>
      <c r="AB1100" s="18" t="n">
        <f aca="false">IF($Z1100&lt;=0,0,$Z1100/$AA1100)</f>
        <v>32.4313484162896</v>
      </c>
      <c r="AC1100" s="16" t="n">
        <f aca="false">IFERROR(INDEX(SEMANAS!$K$6:$K$71,MATCH($B1100,SEMANAS!$B$6:$B$71,0)),0)</f>
        <v>147</v>
      </c>
      <c r="AD1100" s="19" t="n">
        <f aca="false">IF($AC1100&lt;=0,0,$AB1100/$AC1100)</f>
        <v>0.220621417797889</v>
      </c>
      <c r="AE1100" s="8" t="str">
        <f aca="false">IF($K1100="SEM CULTURA","SEM CULTURA",IF($AA1100&lt;=0,"DADO PENDENTE",IF($AD1100&gt;LIMITE_CRITICO,"INVIAVEL",IF($AD1100&gt;LIMITE_ATENCAO,"CRITICO",IF($AD1100&gt;LIMITE_CONFORTAVEL,"ATENCAO","OK")))))</f>
        <v>OK</v>
      </c>
      <c r="AF1100" s="8" t="str">
        <f aca="false">$B1100&amp;"|"&amp;TEXT($AD1100,"0.000000")</f>
        <v>39|0.220621</v>
      </c>
      <c r="AG1100" s="18" t="n">
        <f aca="false">IF($K1100="SEM CULTURA",0,$T1100*$H1100)</f>
        <v>3346.69892307692</v>
      </c>
      <c r="AH1100" s="18" t="n">
        <f aca="false">IF($K1100="SEM CULTURA",0,$V1100*$H1100)</f>
        <v>401.9904</v>
      </c>
      <c r="AI1100" s="18" t="n">
        <f aca="false">IF($K1100="SEM CULTURA",0,$W1100*$H1100)</f>
        <v>2944.70852307693</v>
      </c>
      <c r="AJ1100" s="18" t="n">
        <f aca="false">IF($K1100="SEM CULTURA",0,$S1100*$H1100)</f>
        <v>4396.77</v>
      </c>
      <c r="AK1100" s="8" t="str">
        <f aca="false">$E1100&amp;"|"&amp;TEXT($AD1100,"0.000000")</f>
        <v>PV 116|0.220621</v>
      </c>
    </row>
    <row r="1101" customFormat="false" ht="15" hidden="false" customHeight="false" outlineLevel="0" collapsed="false">
      <c r="B1101" s="16" t="n">
        <v>40</v>
      </c>
      <c r="C1101" s="17" t="n">
        <f aca="false">DATA_INICIO_SAFRA+($B1101-1)*DIAS_POR_SEMANA</f>
        <v>46538</v>
      </c>
      <c r="D1101" s="17" t="n">
        <f aca="false">$C1101+DIAS_POR_SEMANA-1</f>
        <v>46544</v>
      </c>
      <c r="E1101" s="15" t="s">
        <v>275</v>
      </c>
      <c r="F1101" s="8" t="str">
        <f aca="false">IFERROR(INDEX(CADASTRO_PIVOS!$C$6:$C$41,MATCH($E1101,CADASTRO_PIVOS!$B$6:$B$41,0)),"?")</f>
        <v>RM06</v>
      </c>
      <c r="G1101" s="8" t="str">
        <f aca="false">IFERROR(INDEX(CADASTRO_PIVOS!$D$6:$D$41,MATCH($E1101,CADASTRO_PIVOS!$B$6:$B$41,0)),"?")</f>
        <v>TR06</v>
      </c>
      <c r="H1101" s="20" t="n">
        <f aca="false">IFERROR(INDEX(CADASTRO_PIVOS!$E$6:$E$41,MATCH($E1101,CADASTRO_PIVOS!$B$6:$B$41,0)),0)</f>
        <v>149.55</v>
      </c>
      <c r="I1101" s="16" t="n">
        <f aca="false">IFERROR(SUMIFS(ROTACAO_RDM!$B$6:$B$71,ROTACAO_RDM!$D$6:$D$71,$E1101,ROTACAO_RDM!$I$6:$I$71,"&lt;="&amp;$C1101+INT(DIAS_POR_SEMANA/2),ROTACAO_RDM!$J$6:$J$71,"&gt;="&amp;$C1101+INT(DIAS_POR_SEMANA/2)),0)</f>
        <v>27</v>
      </c>
      <c r="J1101" s="16" t="n">
        <f aca="false">IFERROR(MATCH($I1101,ROTACAO_RDM!$B$6:$B$71,0),0)</f>
        <v>27</v>
      </c>
      <c r="K1101" s="8" t="str">
        <f aca="false">IF($J1101=0,"SEM CULTURA",INDEX(ROTACAO_RDM!$F$6:$F$71,$J1101))</f>
        <v>ALGODAO</v>
      </c>
      <c r="L1101" s="8" t="str">
        <f aca="false">IF($J1101=0,"",INDEX(ROTACAO_RDM!$G$6:$G$71,$J1101))</f>
        <v>FM 974 GLT</v>
      </c>
      <c r="M1101" s="17" t="n">
        <f aca="false">IF($J1101=0,"",INDEX(ROTACAO_RDM!$I$6:$I$71,$J1101))</f>
        <v>46355</v>
      </c>
      <c r="N1101" s="16" t="n">
        <f aca="false">IF($J1101=0,0,MAX(0,$C1101+INT(DIAS_POR_SEMANA/2)-INDEX(ROTACAO_RDM!$I$6:$I$71,$J1101)))</f>
        <v>186</v>
      </c>
      <c r="O1101" s="19" t="n">
        <f aca="false">IF($J1101=0,0,MIN(1,$N1101/MAX(1,INDEX(ROTACAO_RDM!$K$6:$K$71,$J1101))))</f>
        <v>0.953846153846154</v>
      </c>
      <c r="P1101" s="16" t="n">
        <f aca="false">IF($J1101=0,0,IFERROR(MATCH(INDEX(ROTACAO_RDM!$N$6:$N$71,$J1101),PARAMETROS_CULTURAS!$B$6:$B$28,0),0))</f>
        <v>5</v>
      </c>
      <c r="Q1101" s="8" t="str">
        <f aca="false">IF($P1101=0,"-",IF($O1101&lt;=INDEX(PARAMETROS_CULTURAS!$F$6:$F$28,$P1101),"INICIAL",IF($O1101&lt;=INDEX(PARAMETROS_CULTURAS!$F$6:$F$28,$P1101)+INDEX(PARAMETROS_CULTURAS!$G$6:$G$28,$P1101),"DESENVOLVIMENTO",IF($O1101&lt;=INDEX(PARAMETROS_CULTURAS!$F$6:$F$28,$P1101)+INDEX(PARAMETROS_CULTURAS!$G$6:$G$28,$P1101)+INDEX(PARAMETROS_CULTURAS!$H$6:$H$28,$P1101),"MEDIA","FINAL"))))</f>
        <v>FINAL</v>
      </c>
      <c r="R1101" s="24" t="n">
        <f aca="false">IF($P1101=0,0,IF($O1101&lt;=INDEX(PARAMETROS_CULTURAS!$F$6:$F$28,$P1101),INDEX(PARAMETROS_CULTURAS!$K$6:$K$28,$P1101),IF($O1101&lt;=INDEX(PARAMETROS_CULTURAS!$F$6:$F$28,$P1101)+INDEX(PARAMETROS_CULTURAS!$G$6:$G$28,$P1101),INDEX(PARAMETROS_CULTURAS!$K$6:$K$28,$P1101)+(INDEX(PARAMETROS_CULTURAS!$L$6:$L$28,$P1101)-INDEX(PARAMETROS_CULTURAS!$K$6:$K$28,$P1101))*($O1101-INDEX(PARAMETROS_CULTURAS!$F$6:$F$28,$P1101))/MAX(INDEX(PARAMETROS_CULTURAS!$G$6:$G$28,$P1101),0.0001),IF($O1101&lt;=INDEX(PARAMETROS_CULTURAS!$F$6:$F$28,$P1101)+INDEX(PARAMETROS_CULTURAS!$G$6:$G$28,$P1101)+INDEX(PARAMETROS_CULTURAS!$H$6:$H$28,$P1101),INDEX(PARAMETROS_CULTURAS!$L$6:$L$28,$P1101),INDEX(PARAMETROS_CULTURAS!$L$6:$L$28,$P1101)+(INDEX(PARAMETROS_CULTURAS!$M$6:$M$28,$P1101)-INDEX(PARAMETROS_CULTURAS!$L$6:$L$28,$P1101))*($O1101-INDEX(PARAMETROS_CULTURAS!$F$6:$F$28,$P1101)-INDEX(PARAMETROS_CULTURAS!$G$6:$G$28,$P1101)-INDEX(PARAMETROS_CULTURAS!$H$6:$H$28,$P1101))/MAX(INDEX(PARAMETROS_CULTURAS!$I$6:$I$28,$P1101),0.0001)))))</f>
        <v>0.690659340659341</v>
      </c>
      <c r="S1101" s="18" t="n">
        <f aca="false">IFERROR(INDEX(SEMANAS!$H$6:$H$71,MATCH($B1101,SEMANAS!$B$6:$B$71,0)),0)</f>
        <v>28.2</v>
      </c>
      <c r="T1101" s="18" t="n">
        <f aca="false">$R1101*$S1101</f>
        <v>19.4765934065934</v>
      </c>
      <c r="U1101" s="18" t="n">
        <f aca="false">IFERROR(INDEX(SEMANAS!$I$6:$I$71,MATCH($B1101,SEMANAS!$B$6:$B$71,0)),0)</f>
        <v>1.5</v>
      </c>
      <c r="V1101" s="18" t="n">
        <f aca="false">IFERROR(INDEX(SEMANAS!$J$6:$J$71,MATCH($B1101,SEMANAS!$B$6:$B$71,0)),0)</f>
        <v>1.2</v>
      </c>
      <c r="W1101" s="18" t="n">
        <f aca="false">MAX(0,$T1101-$V1101)</f>
        <v>18.2765934065934</v>
      </c>
      <c r="X1101" s="19" t="n">
        <f aca="false">IFERROR(INDEX(CADASTRO_PIVOS!$K$6:$K$41,MATCH($E1101,CADASTRO_PIVOS!$B$6:$B$41,0)),EFICIENCIA_PADRAO)</f>
        <v>0.85</v>
      </c>
      <c r="Y1101" s="18" t="n">
        <f aca="false">IF($X1101&lt;=0,0,$W1101/$X1101)</f>
        <v>21.5018745959922</v>
      </c>
      <c r="Z1101" s="16" t="n">
        <f aca="false">$Y1101*$H1101*MM_PARA_M3_HA</f>
        <v>32156.0534583064</v>
      </c>
      <c r="AA1101" s="18" t="n">
        <f aca="false">IFERROR(INDEX(CADASTRO_PIVOS!$I$6:$I$41,MATCH($E1101,CADASTRO_PIVOS!$B$6:$B$41,0)),0)</f>
        <v>1068.21428571429</v>
      </c>
      <c r="AB1101" s="18" t="n">
        <f aca="false">IF($Z1101&lt;=0,0,$Z1101/$AA1101)</f>
        <v>30.1026244343891</v>
      </c>
      <c r="AC1101" s="16" t="n">
        <f aca="false">IFERROR(INDEX(SEMANAS!$K$6:$K$71,MATCH($B1101,SEMANAS!$B$6:$B$71,0)),0)</f>
        <v>147</v>
      </c>
      <c r="AD1101" s="19" t="n">
        <f aca="false">IF($AC1101&lt;=0,0,$AB1101/$AC1101)</f>
        <v>0.204779758057069</v>
      </c>
      <c r="AE1101" s="8" t="str">
        <f aca="false">IF($K1101="SEM CULTURA","SEM CULTURA",IF($AA1101&lt;=0,"DADO PENDENTE",IF($AD1101&gt;LIMITE_CRITICO,"INVIAVEL",IF($AD1101&gt;LIMITE_ATENCAO,"CRITICO",IF($AD1101&gt;LIMITE_CONFORTAVEL,"ATENCAO","OK")))))</f>
        <v>OK</v>
      </c>
      <c r="AF1101" s="8" t="str">
        <f aca="false">$B1101&amp;"|"&amp;TEXT($AD1101,"0.000000")</f>
        <v>40|0.204780</v>
      </c>
      <c r="AG1101" s="18" t="n">
        <f aca="false">IF($K1101="SEM CULTURA",0,$T1101*$H1101)</f>
        <v>2912.72454395604</v>
      </c>
      <c r="AH1101" s="18" t="n">
        <f aca="false">IF($K1101="SEM CULTURA",0,$V1101*$H1101)</f>
        <v>179.46</v>
      </c>
      <c r="AI1101" s="18" t="n">
        <f aca="false">IF($K1101="SEM CULTURA",0,$W1101*$H1101)</f>
        <v>2733.26454395604</v>
      </c>
      <c r="AJ1101" s="18" t="n">
        <f aca="false">IF($K1101="SEM CULTURA",0,$S1101*$H1101)</f>
        <v>4217.31</v>
      </c>
      <c r="AK1101" s="8" t="str">
        <f aca="false">$E1101&amp;"|"&amp;TEXT($AD1101,"0.000000")</f>
        <v>PV 116|0.204780</v>
      </c>
    </row>
    <row r="1102" customFormat="false" ht="15" hidden="false" customHeight="false" outlineLevel="0" collapsed="false">
      <c r="B1102" s="16" t="n">
        <v>41</v>
      </c>
      <c r="C1102" s="17" t="n">
        <f aca="false">DATA_INICIO_SAFRA+($B1102-1)*DIAS_POR_SEMANA</f>
        <v>46545</v>
      </c>
      <c r="D1102" s="17" t="n">
        <f aca="false">$C1102+DIAS_POR_SEMANA-1</f>
        <v>46551</v>
      </c>
      <c r="E1102" s="15" t="s">
        <v>275</v>
      </c>
      <c r="F1102" s="8" t="str">
        <f aca="false">IFERROR(INDEX(CADASTRO_PIVOS!$C$6:$C$41,MATCH($E1102,CADASTRO_PIVOS!$B$6:$B$41,0)),"?")</f>
        <v>RM06</v>
      </c>
      <c r="G1102" s="8" t="str">
        <f aca="false">IFERROR(INDEX(CADASTRO_PIVOS!$D$6:$D$41,MATCH($E1102,CADASTRO_PIVOS!$B$6:$B$41,0)),"?")</f>
        <v>TR06</v>
      </c>
      <c r="H1102" s="20" t="n">
        <f aca="false">IFERROR(INDEX(CADASTRO_PIVOS!$E$6:$E$41,MATCH($E1102,CADASTRO_PIVOS!$B$6:$B$41,0)),0)</f>
        <v>149.55</v>
      </c>
      <c r="I1102" s="16" t="n">
        <f aca="false">IFERROR(SUMIFS(ROTACAO_RDM!$B$6:$B$71,ROTACAO_RDM!$D$6:$D$71,$E1102,ROTACAO_RDM!$I$6:$I$71,"&lt;="&amp;$C1102+INT(DIAS_POR_SEMANA/2),ROTACAO_RDM!$J$6:$J$71,"&gt;="&amp;$C1102+INT(DIAS_POR_SEMANA/2)),0)</f>
        <v>27</v>
      </c>
      <c r="J1102" s="16" t="n">
        <f aca="false">IFERROR(MATCH($I1102,ROTACAO_RDM!$B$6:$B$71,0),0)</f>
        <v>27</v>
      </c>
      <c r="K1102" s="8" t="str">
        <f aca="false">IF($J1102=0,"SEM CULTURA",INDEX(ROTACAO_RDM!$F$6:$F$71,$J1102))</f>
        <v>ALGODAO</v>
      </c>
      <c r="L1102" s="8" t="str">
        <f aca="false">IF($J1102=0,"",INDEX(ROTACAO_RDM!$G$6:$G$71,$J1102))</f>
        <v>FM 974 GLT</v>
      </c>
      <c r="M1102" s="17" t="n">
        <f aca="false">IF($J1102=0,"",INDEX(ROTACAO_RDM!$I$6:$I$71,$J1102))</f>
        <v>46355</v>
      </c>
      <c r="N1102" s="16" t="n">
        <f aca="false">IF($J1102=0,0,MAX(0,$C1102+INT(DIAS_POR_SEMANA/2)-INDEX(ROTACAO_RDM!$I$6:$I$71,$J1102)))</f>
        <v>193</v>
      </c>
      <c r="O1102" s="19" t="n">
        <f aca="false">IF($J1102=0,0,MIN(1,$N1102/MAX(1,INDEX(ROTACAO_RDM!$K$6:$K$71,$J1102))))</f>
        <v>0.98974358974359</v>
      </c>
      <c r="P1102" s="16" t="n">
        <f aca="false">IF($J1102=0,0,IFERROR(MATCH(INDEX(ROTACAO_RDM!$N$6:$N$71,$J1102),PARAMETROS_CULTURAS!$B$6:$B$28,0),0))</f>
        <v>5</v>
      </c>
      <c r="Q1102" s="8" t="str">
        <f aca="false">IF($P1102=0,"-",IF($O1102&lt;=INDEX(PARAMETROS_CULTURAS!$F$6:$F$28,$P1102),"INICIAL",IF($O1102&lt;=INDEX(PARAMETROS_CULTURAS!$F$6:$F$28,$P1102)+INDEX(PARAMETROS_CULTURAS!$G$6:$G$28,$P1102),"DESENVOLVIMENTO",IF($O1102&lt;=INDEX(PARAMETROS_CULTURAS!$F$6:$F$28,$P1102)+INDEX(PARAMETROS_CULTURAS!$G$6:$G$28,$P1102)+INDEX(PARAMETROS_CULTURAS!$H$6:$H$28,$P1102),"MEDIA","FINAL"))))</f>
        <v>FINAL</v>
      </c>
      <c r="R1102" s="24" t="n">
        <f aca="false">IF($P1102=0,0,IF($O1102&lt;=INDEX(PARAMETROS_CULTURAS!$F$6:$F$28,$P1102),INDEX(PARAMETROS_CULTURAS!$K$6:$K$28,$P1102),IF($O1102&lt;=INDEX(PARAMETROS_CULTURAS!$F$6:$F$28,$P1102)+INDEX(PARAMETROS_CULTURAS!$G$6:$G$28,$P1102),INDEX(PARAMETROS_CULTURAS!$K$6:$K$28,$P1102)+(INDEX(PARAMETROS_CULTURAS!$L$6:$L$28,$P1102)-INDEX(PARAMETROS_CULTURAS!$K$6:$K$28,$P1102))*($O1102-INDEX(PARAMETROS_CULTURAS!$F$6:$F$28,$P1102))/MAX(INDEX(PARAMETROS_CULTURAS!$G$6:$G$28,$P1102),0.0001),IF($O1102&lt;=INDEX(PARAMETROS_CULTURAS!$F$6:$F$28,$P1102)+INDEX(PARAMETROS_CULTURAS!$G$6:$G$28,$P1102)+INDEX(PARAMETROS_CULTURAS!$H$6:$H$28,$P1102),INDEX(PARAMETROS_CULTURAS!$L$6:$L$28,$P1102),INDEX(PARAMETROS_CULTURAS!$L$6:$L$28,$P1102)+(INDEX(PARAMETROS_CULTURAS!$M$6:$M$28,$P1102)-INDEX(PARAMETROS_CULTURAS!$L$6:$L$28,$P1102))*($O1102-INDEX(PARAMETROS_CULTURAS!$F$6:$F$28,$P1102)-INDEX(PARAMETROS_CULTURAS!$G$6:$G$28,$P1102)-INDEX(PARAMETROS_CULTURAS!$H$6:$H$28,$P1102))/MAX(INDEX(PARAMETROS_CULTURAS!$I$6:$I$28,$P1102),0.0001)))))</f>
        <v>0.62014652014652</v>
      </c>
      <c r="S1102" s="18" t="n">
        <f aca="false">IFERROR(INDEX(SEMANAS!$H$6:$H$71,MATCH($B1102,SEMANAS!$B$6:$B$71,0)),0)</f>
        <v>28</v>
      </c>
      <c r="T1102" s="18" t="n">
        <f aca="false">$R1102*$S1102</f>
        <v>17.3641025641026</v>
      </c>
      <c r="U1102" s="18" t="n">
        <f aca="false">IFERROR(INDEX(SEMANAS!$I$6:$I$71,MATCH($B1102,SEMANAS!$B$6:$B$71,0)),0)</f>
        <v>1.19</v>
      </c>
      <c r="V1102" s="18" t="n">
        <f aca="false">IFERROR(INDEX(SEMANAS!$J$6:$J$71,MATCH($B1102,SEMANAS!$B$6:$B$71,0)),0)</f>
        <v>0.952</v>
      </c>
      <c r="W1102" s="18" t="n">
        <f aca="false">MAX(0,$T1102-$V1102)</f>
        <v>16.4121025641026</v>
      </c>
      <c r="X1102" s="19" t="n">
        <f aca="false">IFERROR(INDEX(CADASTRO_PIVOS!$K$6:$K$41,MATCH($E1102,CADASTRO_PIVOS!$B$6:$B$41,0)),EFICIENCIA_PADRAO)</f>
        <v>0.85</v>
      </c>
      <c r="Y1102" s="18" t="n">
        <f aca="false">IF($X1102&lt;=0,0,$W1102/$X1102)</f>
        <v>19.3083559577677</v>
      </c>
      <c r="Z1102" s="16" t="n">
        <f aca="false">$Y1102*$H1102*MM_PARA_M3_HA</f>
        <v>28875.6463348416</v>
      </c>
      <c r="AA1102" s="18" t="n">
        <f aca="false">IFERROR(INDEX(CADASTRO_PIVOS!$I$6:$I$41,MATCH($E1102,CADASTRO_PIVOS!$B$6:$B$41,0)),0)</f>
        <v>1068.21428571429</v>
      </c>
      <c r="AB1102" s="18" t="n">
        <f aca="false">IF($Z1102&lt;=0,0,$Z1102/$AA1102)</f>
        <v>27.0316983408748</v>
      </c>
      <c r="AC1102" s="16" t="n">
        <f aca="false">IFERROR(INDEX(SEMANAS!$K$6:$K$71,MATCH($B1102,SEMANAS!$B$6:$B$71,0)),0)</f>
        <v>147</v>
      </c>
      <c r="AD1102" s="19" t="n">
        <f aca="false">IF($AC1102&lt;=0,0,$AB1102/$AC1102)</f>
        <v>0.183889104359693</v>
      </c>
      <c r="AE1102" s="8" t="str">
        <f aca="false">IF($K1102="SEM CULTURA","SEM CULTURA",IF($AA1102&lt;=0,"DADO PENDENTE",IF($AD1102&gt;LIMITE_CRITICO,"INVIAVEL",IF($AD1102&gt;LIMITE_ATENCAO,"CRITICO",IF($AD1102&gt;LIMITE_CONFORTAVEL,"ATENCAO","OK")))))</f>
        <v>OK</v>
      </c>
      <c r="AF1102" s="8" t="str">
        <f aca="false">$B1102&amp;"|"&amp;TEXT($AD1102,"0.000000")</f>
        <v>41|0.183889</v>
      </c>
      <c r="AG1102" s="18" t="n">
        <f aca="false">IF($K1102="SEM CULTURA",0,$T1102*$H1102)</f>
        <v>2596.80153846154</v>
      </c>
      <c r="AH1102" s="18" t="n">
        <f aca="false">IF($K1102="SEM CULTURA",0,$V1102*$H1102)</f>
        <v>142.3716</v>
      </c>
      <c r="AI1102" s="18" t="n">
        <f aca="false">IF($K1102="SEM CULTURA",0,$W1102*$H1102)</f>
        <v>2454.42993846154</v>
      </c>
      <c r="AJ1102" s="18" t="n">
        <f aca="false">IF($K1102="SEM CULTURA",0,$S1102*$H1102)</f>
        <v>4187.4</v>
      </c>
      <c r="AK1102" s="8" t="str">
        <f aca="false">$E1102&amp;"|"&amp;TEXT($AD1102,"0.000000")</f>
        <v>PV 116|0.183889</v>
      </c>
    </row>
    <row r="1103" customFormat="false" ht="15" hidden="false" customHeight="false" outlineLevel="0" collapsed="false">
      <c r="B1103" s="16" t="n">
        <v>42</v>
      </c>
      <c r="C1103" s="17" t="n">
        <f aca="false">DATA_INICIO_SAFRA+($B1103-1)*DIAS_POR_SEMANA</f>
        <v>46552</v>
      </c>
      <c r="D1103" s="17" t="n">
        <f aca="false">$C1103+DIAS_POR_SEMANA-1</f>
        <v>46558</v>
      </c>
      <c r="E1103" s="15" t="s">
        <v>275</v>
      </c>
      <c r="F1103" s="8" t="str">
        <f aca="false">IFERROR(INDEX(CADASTRO_PIVOS!$C$6:$C$41,MATCH($E1103,CADASTRO_PIVOS!$B$6:$B$41,0)),"?")</f>
        <v>RM06</v>
      </c>
      <c r="G1103" s="8" t="str">
        <f aca="false">IFERROR(INDEX(CADASTRO_PIVOS!$D$6:$D$41,MATCH($E1103,CADASTRO_PIVOS!$B$6:$B$41,0)),"?")</f>
        <v>TR06</v>
      </c>
      <c r="H1103" s="20" t="n">
        <f aca="false">IFERROR(INDEX(CADASTRO_PIVOS!$E$6:$E$41,MATCH($E1103,CADASTRO_PIVOS!$B$6:$B$41,0)),0)</f>
        <v>149.55</v>
      </c>
      <c r="I1103" s="16" t="n">
        <f aca="false">IFERROR(SUMIFS(ROTACAO_RDM!$B$6:$B$71,ROTACAO_RDM!$D$6:$D$71,$E1103,ROTACAO_RDM!$I$6:$I$71,"&lt;="&amp;$C1103+INT(DIAS_POR_SEMANA/2),ROTACAO_RDM!$J$6:$J$71,"&gt;="&amp;$C1103+INT(DIAS_POR_SEMANA/2)),0)</f>
        <v>0</v>
      </c>
      <c r="J1103" s="16" t="n">
        <f aca="false">IFERROR(MATCH($I1103,ROTACAO_RDM!$B$6:$B$71,0),0)</f>
        <v>0</v>
      </c>
      <c r="K1103" s="8" t="str">
        <f aca="false">IF($J1103=0,"SEM CULTURA",INDEX(ROTACAO_RDM!$F$6:$F$71,$J1103))</f>
        <v>SEM CULTURA</v>
      </c>
      <c r="L1103" s="8" t="str">
        <f aca="false">IF($J1103=0,"",INDEX(ROTACAO_RDM!$G$6:$G$71,$J1103))</f>
        <v/>
      </c>
      <c r="M1103" s="17" t="str">
        <f aca="false">IF($J1103=0,"",INDEX(ROTACAO_RDM!$I$6:$I$71,$J1103))</f>
        <v/>
      </c>
      <c r="N1103" s="16" t="n">
        <f aca="false">IF($J1103=0,0,MAX(0,$C1103+INT(DIAS_POR_SEMANA/2)-INDEX(ROTACAO_RDM!$I$6:$I$71,$J1103)))</f>
        <v>0</v>
      </c>
      <c r="O1103" s="19" t="n">
        <f aca="false">IF($J1103=0,0,MIN(1,$N1103/MAX(1,INDEX(ROTACAO_RDM!$K$6:$K$71,$J1103))))</f>
        <v>0</v>
      </c>
      <c r="P1103" s="16" t="n">
        <f aca="false">IF($J1103=0,0,IFERROR(MATCH(INDEX(ROTACAO_RDM!$N$6:$N$71,$J1103),PARAMETROS_CULTURAS!$B$6:$B$28,0),0))</f>
        <v>0</v>
      </c>
      <c r="Q1103" s="8" t="str">
        <f aca="false">IF($P1103=0,"-",IF($O1103&lt;=INDEX(PARAMETROS_CULTURAS!$F$6:$F$28,$P1103),"INICIAL",IF($O1103&lt;=INDEX(PARAMETROS_CULTURAS!$F$6:$F$28,$P1103)+INDEX(PARAMETROS_CULTURAS!$G$6:$G$28,$P1103),"DESENVOLVIMENTO",IF($O1103&lt;=INDEX(PARAMETROS_CULTURAS!$F$6:$F$28,$P1103)+INDEX(PARAMETROS_CULTURAS!$G$6:$G$28,$P1103)+INDEX(PARAMETROS_CULTURAS!$H$6:$H$28,$P1103),"MEDIA","FINAL"))))</f>
        <v>-</v>
      </c>
      <c r="R1103" s="24" t="n">
        <f aca="false">IF($P1103=0,0,IF($O1103&lt;=INDEX(PARAMETROS_CULTURAS!$F$6:$F$28,$P1103),INDEX(PARAMETROS_CULTURAS!$K$6:$K$28,$P1103),IF($O1103&lt;=INDEX(PARAMETROS_CULTURAS!$F$6:$F$28,$P1103)+INDEX(PARAMETROS_CULTURAS!$G$6:$G$28,$P1103),INDEX(PARAMETROS_CULTURAS!$K$6:$K$28,$P1103)+(INDEX(PARAMETROS_CULTURAS!$L$6:$L$28,$P1103)-INDEX(PARAMETROS_CULTURAS!$K$6:$K$28,$P1103))*($O1103-INDEX(PARAMETROS_CULTURAS!$F$6:$F$28,$P1103))/MAX(INDEX(PARAMETROS_CULTURAS!$G$6:$G$28,$P1103),0.0001),IF($O1103&lt;=INDEX(PARAMETROS_CULTURAS!$F$6:$F$28,$P1103)+INDEX(PARAMETROS_CULTURAS!$G$6:$G$28,$P1103)+INDEX(PARAMETROS_CULTURAS!$H$6:$H$28,$P1103),INDEX(PARAMETROS_CULTURAS!$L$6:$L$28,$P1103),INDEX(PARAMETROS_CULTURAS!$L$6:$L$28,$P1103)+(INDEX(PARAMETROS_CULTURAS!$M$6:$M$28,$P1103)-INDEX(PARAMETROS_CULTURAS!$L$6:$L$28,$P1103))*($O1103-INDEX(PARAMETROS_CULTURAS!$F$6:$F$28,$P1103)-INDEX(PARAMETROS_CULTURAS!$G$6:$G$28,$P1103)-INDEX(PARAMETROS_CULTURAS!$H$6:$H$28,$P1103))/MAX(INDEX(PARAMETROS_CULTURAS!$I$6:$I$28,$P1103),0.0001)))))</f>
        <v>0</v>
      </c>
      <c r="S1103" s="18" t="n">
        <f aca="false">IFERROR(INDEX(SEMANAS!$H$6:$H$71,MATCH($B1103,SEMANAS!$B$6:$B$71,0)),0)</f>
        <v>28</v>
      </c>
      <c r="T1103" s="18" t="n">
        <f aca="false">$R1103*$S1103</f>
        <v>0</v>
      </c>
      <c r="U1103" s="18" t="n">
        <f aca="false">IFERROR(INDEX(SEMANAS!$I$6:$I$71,MATCH($B1103,SEMANAS!$B$6:$B$71,0)),0)</f>
        <v>1.19</v>
      </c>
      <c r="V1103" s="18" t="n">
        <f aca="false">IFERROR(INDEX(SEMANAS!$J$6:$J$71,MATCH($B1103,SEMANAS!$B$6:$B$71,0)),0)</f>
        <v>0.952</v>
      </c>
      <c r="W1103" s="18" t="n">
        <f aca="false">MAX(0,$T1103-$V1103)</f>
        <v>0</v>
      </c>
      <c r="X1103" s="19" t="n">
        <f aca="false">IFERROR(INDEX(CADASTRO_PIVOS!$K$6:$K$41,MATCH($E1103,CADASTRO_PIVOS!$B$6:$B$41,0)),EFICIENCIA_PADRAO)</f>
        <v>0.85</v>
      </c>
      <c r="Y1103" s="18" t="n">
        <f aca="false">IF($X1103&lt;=0,0,$W1103/$X1103)</f>
        <v>0</v>
      </c>
      <c r="Z1103" s="16" t="n">
        <f aca="false">$Y1103*$H1103*MM_PARA_M3_HA</f>
        <v>0</v>
      </c>
      <c r="AA1103" s="18" t="n">
        <f aca="false">IFERROR(INDEX(CADASTRO_PIVOS!$I$6:$I$41,MATCH($E1103,CADASTRO_PIVOS!$B$6:$B$41,0)),0)</f>
        <v>1068.21428571429</v>
      </c>
      <c r="AB1103" s="18" t="n">
        <f aca="false">IF($Z1103&lt;=0,0,$Z1103/$AA1103)</f>
        <v>0</v>
      </c>
      <c r="AC1103" s="16" t="n">
        <f aca="false">IFERROR(INDEX(SEMANAS!$K$6:$K$71,MATCH($B1103,SEMANAS!$B$6:$B$71,0)),0)</f>
        <v>147</v>
      </c>
      <c r="AD1103" s="19" t="n">
        <f aca="false">IF($AC1103&lt;=0,0,$AB1103/$AC1103)</f>
        <v>0</v>
      </c>
      <c r="AE1103" s="8" t="str">
        <f aca="false">IF($K1103="SEM CULTURA","SEM CULTURA",IF($AA1103&lt;=0,"DADO PENDENTE",IF($AD1103&gt;LIMITE_CRITICO,"INVIAVEL",IF($AD1103&gt;LIMITE_ATENCAO,"CRITICO",IF($AD1103&gt;LIMITE_CONFORTAVEL,"ATENCAO","OK")))))</f>
        <v>SEM CULTURA</v>
      </c>
      <c r="AF1103" s="8" t="str">
        <f aca="false">$B1103&amp;"|"&amp;TEXT($AD1103,"0.000000")</f>
        <v>42|0.000000</v>
      </c>
      <c r="AG1103" s="18" t="n">
        <f aca="false">IF($K1103="SEM CULTURA",0,$T1103*$H1103)</f>
        <v>0</v>
      </c>
      <c r="AH1103" s="18" t="n">
        <f aca="false">IF($K1103="SEM CULTURA",0,$V1103*$H1103)</f>
        <v>0</v>
      </c>
      <c r="AI1103" s="18" t="n">
        <f aca="false">IF($K1103="SEM CULTURA",0,$W1103*$H1103)</f>
        <v>0</v>
      </c>
      <c r="AJ1103" s="18" t="n">
        <f aca="false">IF($K1103="SEM CULTURA",0,$S1103*$H1103)</f>
        <v>0</v>
      </c>
      <c r="AK1103" s="8" t="str">
        <f aca="false">$E1103&amp;"|"&amp;TEXT($AD1103,"0.000000")</f>
        <v>PV 116|0.000000</v>
      </c>
    </row>
    <row r="1104" customFormat="false" ht="15" hidden="false" customHeight="false" outlineLevel="0" collapsed="false">
      <c r="B1104" s="16" t="n">
        <v>43</v>
      </c>
      <c r="C1104" s="17" t="n">
        <f aca="false">DATA_INICIO_SAFRA+($B1104-1)*DIAS_POR_SEMANA</f>
        <v>46559</v>
      </c>
      <c r="D1104" s="17" t="n">
        <f aca="false">$C1104+DIAS_POR_SEMANA-1</f>
        <v>46565</v>
      </c>
      <c r="E1104" s="15" t="s">
        <v>275</v>
      </c>
      <c r="F1104" s="8" t="str">
        <f aca="false">IFERROR(INDEX(CADASTRO_PIVOS!$C$6:$C$41,MATCH($E1104,CADASTRO_PIVOS!$B$6:$B$41,0)),"?")</f>
        <v>RM06</v>
      </c>
      <c r="G1104" s="8" t="str">
        <f aca="false">IFERROR(INDEX(CADASTRO_PIVOS!$D$6:$D$41,MATCH($E1104,CADASTRO_PIVOS!$B$6:$B$41,0)),"?")</f>
        <v>TR06</v>
      </c>
      <c r="H1104" s="20" t="n">
        <f aca="false">IFERROR(INDEX(CADASTRO_PIVOS!$E$6:$E$41,MATCH($E1104,CADASTRO_PIVOS!$B$6:$B$41,0)),0)</f>
        <v>149.55</v>
      </c>
      <c r="I1104" s="16" t="n">
        <f aca="false">IFERROR(SUMIFS(ROTACAO_RDM!$B$6:$B$71,ROTACAO_RDM!$D$6:$D$71,$E1104,ROTACAO_RDM!$I$6:$I$71,"&lt;="&amp;$C1104+INT(DIAS_POR_SEMANA/2),ROTACAO_RDM!$J$6:$J$71,"&gt;="&amp;$C1104+INT(DIAS_POR_SEMANA/2)),0)</f>
        <v>0</v>
      </c>
      <c r="J1104" s="16" t="n">
        <f aca="false">IFERROR(MATCH($I1104,ROTACAO_RDM!$B$6:$B$71,0),0)</f>
        <v>0</v>
      </c>
      <c r="K1104" s="8" t="str">
        <f aca="false">IF($J1104=0,"SEM CULTURA",INDEX(ROTACAO_RDM!$F$6:$F$71,$J1104))</f>
        <v>SEM CULTURA</v>
      </c>
      <c r="L1104" s="8" t="str">
        <f aca="false">IF($J1104=0,"",INDEX(ROTACAO_RDM!$G$6:$G$71,$J1104))</f>
        <v/>
      </c>
      <c r="M1104" s="17" t="str">
        <f aca="false">IF($J1104=0,"",INDEX(ROTACAO_RDM!$I$6:$I$71,$J1104))</f>
        <v/>
      </c>
      <c r="N1104" s="16" t="n">
        <f aca="false">IF($J1104=0,0,MAX(0,$C1104+INT(DIAS_POR_SEMANA/2)-INDEX(ROTACAO_RDM!$I$6:$I$71,$J1104)))</f>
        <v>0</v>
      </c>
      <c r="O1104" s="19" t="n">
        <f aca="false">IF($J1104=0,0,MIN(1,$N1104/MAX(1,INDEX(ROTACAO_RDM!$K$6:$K$71,$J1104))))</f>
        <v>0</v>
      </c>
      <c r="P1104" s="16" t="n">
        <f aca="false">IF($J1104=0,0,IFERROR(MATCH(INDEX(ROTACAO_RDM!$N$6:$N$71,$J1104),PARAMETROS_CULTURAS!$B$6:$B$28,0),0))</f>
        <v>0</v>
      </c>
      <c r="Q1104" s="8" t="str">
        <f aca="false">IF($P1104=0,"-",IF($O1104&lt;=INDEX(PARAMETROS_CULTURAS!$F$6:$F$28,$P1104),"INICIAL",IF($O1104&lt;=INDEX(PARAMETROS_CULTURAS!$F$6:$F$28,$P1104)+INDEX(PARAMETROS_CULTURAS!$G$6:$G$28,$P1104),"DESENVOLVIMENTO",IF($O1104&lt;=INDEX(PARAMETROS_CULTURAS!$F$6:$F$28,$P1104)+INDEX(PARAMETROS_CULTURAS!$G$6:$G$28,$P1104)+INDEX(PARAMETROS_CULTURAS!$H$6:$H$28,$P1104),"MEDIA","FINAL"))))</f>
        <v>-</v>
      </c>
      <c r="R1104" s="24" t="n">
        <f aca="false">IF($P1104=0,0,IF($O1104&lt;=INDEX(PARAMETROS_CULTURAS!$F$6:$F$28,$P1104),INDEX(PARAMETROS_CULTURAS!$K$6:$K$28,$P1104),IF($O1104&lt;=INDEX(PARAMETROS_CULTURAS!$F$6:$F$28,$P1104)+INDEX(PARAMETROS_CULTURAS!$G$6:$G$28,$P1104),INDEX(PARAMETROS_CULTURAS!$K$6:$K$28,$P1104)+(INDEX(PARAMETROS_CULTURAS!$L$6:$L$28,$P1104)-INDEX(PARAMETROS_CULTURAS!$K$6:$K$28,$P1104))*($O1104-INDEX(PARAMETROS_CULTURAS!$F$6:$F$28,$P1104))/MAX(INDEX(PARAMETROS_CULTURAS!$G$6:$G$28,$P1104),0.0001),IF($O1104&lt;=INDEX(PARAMETROS_CULTURAS!$F$6:$F$28,$P1104)+INDEX(PARAMETROS_CULTURAS!$G$6:$G$28,$P1104)+INDEX(PARAMETROS_CULTURAS!$H$6:$H$28,$P1104),INDEX(PARAMETROS_CULTURAS!$L$6:$L$28,$P1104),INDEX(PARAMETROS_CULTURAS!$L$6:$L$28,$P1104)+(INDEX(PARAMETROS_CULTURAS!$M$6:$M$28,$P1104)-INDEX(PARAMETROS_CULTURAS!$L$6:$L$28,$P1104))*($O1104-INDEX(PARAMETROS_CULTURAS!$F$6:$F$28,$P1104)-INDEX(PARAMETROS_CULTURAS!$G$6:$G$28,$P1104)-INDEX(PARAMETROS_CULTURAS!$H$6:$H$28,$P1104))/MAX(INDEX(PARAMETROS_CULTURAS!$I$6:$I$28,$P1104),0.0001)))))</f>
        <v>0</v>
      </c>
      <c r="S1104" s="18" t="n">
        <f aca="false">IFERROR(INDEX(SEMANAS!$H$6:$H$71,MATCH($B1104,SEMANAS!$B$6:$B$71,0)),0)</f>
        <v>28</v>
      </c>
      <c r="T1104" s="18" t="n">
        <f aca="false">$R1104*$S1104</f>
        <v>0</v>
      </c>
      <c r="U1104" s="18" t="n">
        <f aca="false">IFERROR(INDEX(SEMANAS!$I$6:$I$71,MATCH($B1104,SEMANAS!$B$6:$B$71,0)),0)</f>
        <v>1.19</v>
      </c>
      <c r="V1104" s="18" t="n">
        <f aca="false">IFERROR(INDEX(SEMANAS!$J$6:$J$71,MATCH($B1104,SEMANAS!$B$6:$B$71,0)),0)</f>
        <v>0.952</v>
      </c>
      <c r="W1104" s="18" t="n">
        <f aca="false">MAX(0,$T1104-$V1104)</f>
        <v>0</v>
      </c>
      <c r="X1104" s="19" t="n">
        <f aca="false">IFERROR(INDEX(CADASTRO_PIVOS!$K$6:$K$41,MATCH($E1104,CADASTRO_PIVOS!$B$6:$B$41,0)),EFICIENCIA_PADRAO)</f>
        <v>0.85</v>
      </c>
      <c r="Y1104" s="18" t="n">
        <f aca="false">IF($X1104&lt;=0,0,$W1104/$X1104)</f>
        <v>0</v>
      </c>
      <c r="Z1104" s="16" t="n">
        <f aca="false">$Y1104*$H1104*MM_PARA_M3_HA</f>
        <v>0</v>
      </c>
      <c r="AA1104" s="18" t="n">
        <f aca="false">IFERROR(INDEX(CADASTRO_PIVOS!$I$6:$I$41,MATCH($E1104,CADASTRO_PIVOS!$B$6:$B$41,0)),0)</f>
        <v>1068.21428571429</v>
      </c>
      <c r="AB1104" s="18" t="n">
        <f aca="false">IF($Z1104&lt;=0,0,$Z1104/$AA1104)</f>
        <v>0</v>
      </c>
      <c r="AC1104" s="16" t="n">
        <f aca="false">IFERROR(INDEX(SEMANAS!$K$6:$K$71,MATCH($B1104,SEMANAS!$B$6:$B$71,0)),0)</f>
        <v>147</v>
      </c>
      <c r="AD1104" s="19" t="n">
        <f aca="false">IF($AC1104&lt;=0,0,$AB1104/$AC1104)</f>
        <v>0</v>
      </c>
      <c r="AE1104" s="8" t="str">
        <f aca="false">IF($K1104="SEM CULTURA","SEM CULTURA",IF($AA1104&lt;=0,"DADO PENDENTE",IF($AD1104&gt;LIMITE_CRITICO,"INVIAVEL",IF($AD1104&gt;LIMITE_ATENCAO,"CRITICO",IF($AD1104&gt;LIMITE_CONFORTAVEL,"ATENCAO","OK")))))</f>
        <v>SEM CULTURA</v>
      </c>
      <c r="AF1104" s="8" t="str">
        <f aca="false">$B1104&amp;"|"&amp;TEXT($AD1104,"0.000000")</f>
        <v>43|0.000000</v>
      </c>
      <c r="AG1104" s="18" t="n">
        <f aca="false">IF($K1104="SEM CULTURA",0,$T1104*$H1104)</f>
        <v>0</v>
      </c>
      <c r="AH1104" s="18" t="n">
        <f aca="false">IF($K1104="SEM CULTURA",0,$V1104*$H1104)</f>
        <v>0</v>
      </c>
      <c r="AI1104" s="18" t="n">
        <f aca="false">IF($K1104="SEM CULTURA",0,$W1104*$H1104)</f>
        <v>0</v>
      </c>
      <c r="AJ1104" s="18" t="n">
        <f aca="false">IF($K1104="SEM CULTURA",0,$S1104*$H1104)</f>
        <v>0</v>
      </c>
      <c r="AK1104" s="8" t="str">
        <f aca="false">$E1104&amp;"|"&amp;TEXT($AD1104,"0.000000")</f>
        <v>PV 116|0.000000</v>
      </c>
    </row>
    <row r="1105" customFormat="false" ht="15" hidden="false" customHeight="false" outlineLevel="0" collapsed="false">
      <c r="B1105" s="16" t="n">
        <v>44</v>
      </c>
      <c r="C1105" s="17" t="n">
        <f aca="false">DATA_INICIO_SAFRA+($B1105-1)*DIAS_POR_SEMANA</f>
        <v>46566</v>
      </c>
      <c r="D1105" s="17" t="n">
        <f aca="false">$C1105+DIAS_POR_SEMANA-1</f>
        <v>46572</v>
      </c>
      <c r="E1105" s="15" t="s">
        <v>275</v>
      </c>
      <c r="F1105" s="8" t="str">
        <f aca="false">IFERROR(INDEX(CADASTRO_PIVOS!$C$6:$C$41,MATCH($E1105,CADASTRO_PIVOS!$B$6:$B$41,0)),"?")</f>
        <v>RM06</v>
      </c>
      <c r="G1105" s="8" t="str">
        <f aca="false">IFERROR(INDEX(CADASTRO_PIVOS!$D$6:$D$41,MATCH($E1105,CADASTRO_PIVOS!$B$6:$B$41,0)),"?")</f>
        <v>TR06</v>
      </c>
      <c r="H1105" s="20" t="n">
        <f aca="false">IFERROR(INDEX(CADASTRO_PIVOS!$E$6:$E$41,MATCH($E1105,CADASTRO_PIVOS!$B$6:$B$41,0)),0)</f>
        <v>149.55</v>
      </c>
      <c r="I1105" s="16" t="n">
        <f aca="false">IFERROR(SUMIFS(ROTACAO_RDM!$B$6:$B$71,ROTACAO_RDM!$D$6:$D$71,$E1105,ROTACAO_RDM!$I$6:$I$71,"&lt;="&amp;$C1105+INT(DIAS_POR_SEMANA/2),ROTACAO_RDM!$J$6:$J$71,"&gt;="&amp;$C1105+INT(DIAS_POR_SEMANA/2)),0)</f>
        <v>0</v>
      </c>
      <c r="J1105" s="16" t="n">
        <f aca="false">IFERROR(MATCH($I1105,ROTACAO_RDM!$B$6:$B$71,0),0)</f>
        <v>0</v>
      </c>
      <c r="K1105" s="8" t="str">
        <f aca="false">IF($J1105=0,"SEM CULTURA",INDEX(ROTACAO_RDM!$F$6:$F$71,$J1105))</f>
        <v>SEM CULTURA</v>
      </c>
      <c r="L1105" s="8" t="str">
        <f aca="false">IF($J1105=0,"",INDEX(ROTACAO_RDM!$G$6:$G$71,$J1105))</f>
        <v/>
      </c>
      <c r="M1105" s="17" t="str">
        <f aca="false">IF($J1105=0,"",INDEX(ROTACAO_RDM!$I$6:$I$71,$J1105))</f>
        <v/>
      </c>
      <c r="N1105" s="16" t="n">
        <f aca="false">IF($J1105=0,0,MAX(0,$C1105+INT(DIAS_POR_SEMANA/2)-INDEX(ROTACAO_RDM!$I$6:$I$71,$J1105)))</f>
        <v>0</v>
      </c>
      <c r="O1105" s="19" t="n">
        <f aca="false">IF($J1105=0,0,MIN(1,$N1105/MAX(1,INDEX(ROTACAO_RDM!$K$6:$K$71,$J1105))))</f>
        <v>0</v>
      </c>
      <c r="P1105" s="16" t="n">
        <f aca="false">IF($J1105=0,0,IFERROR(MATCH(INDEX(ROTACAO_RDM!$N$6:$N$71,$J1105),PARAMETROS_CULTURAS!$B$6:$B$28,0),0))</f>
        <v>0</v>
      </c>
      <c r="Q1105" s="8" t="str">
        <f aca="false">IF($P1105=0,"-",IF($O1105&lt;=INDEX(PARAMETROS_CULTURAS!$F$6:$F$28,$P1105),"INICIAL",IF($O1105&lt;=INDEX(PARAMETROS_CULTURAS!$F$6:$F$28,$P1105)+INDEX(PARAMETROS_CULTURAS!$G$6:$G$28,$P1105),"DESENVOLVIMENTO",IF($O1105&lt;=INDEX(PARAMETROS_CULTURAS!$F$6:$F$28,$P1105)+INDEX(PARAMETROS_CULTURAS!$G$6:$G$28,$P1105)+INDEX(PARAMETROS_CULTURAS!$H$6:$H$28,$P1105),"MEDIA","FINAL"))))</f>
        <v>-</v>
      </c>
      <c r="R1105" s="24" t="n">
        <f aca="false">IF($P1105=0,0,IF($O1105&lt;=INDEX(PARAMETROS_CULTURAS!$F$6:$F$28,$P1105),INDEX(PARAMETROS_CULTURAS!$K$6:$K$28,$P1105),IF($O1105&lt;=INDEX(PARAMETROS_CULTURAS!$F$6:$F$28,$P1105)+INDEX(PARAMETROS_CULTURAS!$G$6:$G$28,$P1105),INDEX(PARAMETROS_CULTURAS!$K$6:$K$28,$P1105)+(INDEX(PARAMETROS_CULTURAS!$L$6:$L$28,$P1105)-INDEX(PARAMETROS_CULTURAS!$K$6:$K$28,$P1105))*($O1105-INDEX(PARAMETROS_CULTURAS!$F$6:$F$28,$P1105))/MAX(INDEX(PARAMETROS_CULTURAS!$G$6:$G$28,$P1105),0.0001),IF($O1105&lt;=INDEX(PARAMETROS_CULTURAS!$F$6:$F$28,$P1105)+INDEX(PARAMETROS_CULTURAS!$G$6:$G$28,$P1105)+INDEX(PARAMETROS_CULTURAS!$H$6:$H$28,$P1105),INDEX(PARAMETROS_CULTURAS!$L$6:$L$28,$P1105),INDEX(PARAMETROS_CULTURAS!$L$6:$L$28,$P1105)+(INDEX(PARAMETROS_CULTURAS!$M$6:$M$28,$P1105)-INDEX(PARAMETROS_CULTURAS!$L$6:$L$28,$P1105))*($O1105-INDEX(PARAMETROS_CULTURAS!$F$6:$F$28,$P1105)-INDEX(PARAMETROS_CULTURAS!$G$6:$G$28,$P1105)-INDEX(PARAMETROS_CULTURAS!$H$6:$H$28,$P1105))/MAX(INDEX(PARAMETROS_CULTURAS!$I$6:$I$28,$P1105),0.0001)))))</f>
        <v>0</v>
      </c>
      <c r="S1105" s="18" t="n">
        <f aca="false">IFERROR(INDEX(SEMANAS!$H$6:$H$71,MATCH($B1105,SEMANAS!$B$6:$B$71,0)),0)</f>
        <v>29.2</v>
      </c>
      <c r="T1105" s="18" t="n">
        <f aca="false">$R1105*$S1105</f>
        <v>0</v>
      </c>
      <c r="U1105" s="18" t="n">
        <f aca="false">IFERROR(INDEX(SEMANAS!$I$6:$I$71,MATCH($B1105,SEMANAS!$B$6:$B$71,0)),0)</f>
        <v>0.91</v>
      </c>
      <c r="V1105" s="18" t="n">
        <f aca="false">IFERROR(INDEX(SEMANAS!$J$6:$J$71,MATCH($B1105,SEMANAS!$B$6:$B$71,0)),0)</f>
        <v>0.728</v>
      </c>
      <c r="W1105" s="18" t="n">
        <f aca="false">MAX(0,$T1105-$V1105)</f>
        <v>0</v>
      </c>
      <c r="X1105" s="19" t="n">
        <f aca="false">IFERROR(INDEX(CADASTRO_PIVOS!$K$6:$K$41,MATCH($E1105,CADASTRO_PIVOS!$B$6:$B$41,0)),EFICIENCIA_PADRAO)</f>
        <v>0.85</v>
      </c>
      <c r="Y1105" s="18" t="n">
        <f aca="false">IF($X1105&lt;=0,0,$W1105/$X1105)</f>
        <v>0</v>
      </c>
      <c r="Z1105" s="16" t="n">
        <f aca="false">$Y1105*$H1105*MM_PARA_M3_HA</f>
        <v>0</v>
      </c>
      <c r="AA1105" s="18" t="n">
        <f aca="false">IFERROR(INDEX(CADASTRO_PIVOS!$I$6:$I$41,MATCH($E1105,CADASTRO_PIVOS!$B$6:$B$41,0)),0)</f>
        <v>1068.21428571429</v>
      </c>
      <c r="AB1105" s="18" t="n">
        <f aca="false">IF($Z1105&lt;=0,0,$Z1105/$AA1105)</f>
        <v>0</v>
      </c>
      <c r="AC1105" s="16" t="n">
        <f aca="false">IFERROR(INDEX(SEMANAS!$K$6:$K$71,MATCH($B1105,SEMANAS!$B$6:$B$71,0)),0)</f>
        <v>147</v>
      </c>
      <c r="AD1105" s="19" t="n">
        <f aca="false">IF($AC1105&lt;=0,0,$AB1105/$AC1105)</f>
        <v>0</v>
      </c>
      <c r="AE1105" s="8" t="str">
        <f aca="false">IF($K1105="SEM CULTURA","SEM CULTURA",IF($AA1105&lt;=0,"DADO PENDENTE",IF($AD1105&gt;LIMITE_CRITICO,"INVIAVEL",IF($AD1105&gt;LIMITE_ATENCAO,"CRITICO",IF($AD1105&gt;LIMITE_CONFORTAVEL,"ATENCAO","OK")))))</f>
        <v>SEM CULTURA</v>
      </c>
      <c r="AF1105" s="8" t="str">
        <f aca="false">$B1105&amp;"|"&amp;TEXT($AD1105,"0.000000")</f>
        <v>44|0.000000</v>
      </c>
      <c r="AG1105" s="18" t="n">
        <f aca="false">IF($K1105="SEM CULTURA",0,$T1105*$H1105)</f>
        <v>0</v>
      </c>
      <c r="AH1105" s="18" t="n">
        <f aca="false">IF($K1105="SEM CULTURA",0,$V1105*$H1105)</f>
        <v>0</v>
      </c>
      <c r="AI1105" s="18" t="n">
        <f aca="false">IF($K1105="SEM CULTURA",0,$W1105*$H1105)</f>
        <v>0</v>
      </c>
      <c r="AJ1105" s="18" t="n">
        <f aca="false">IF($K1105="SEM CULTURA",0,$S1105*$H1105)</f>
        <v>0</v>
      </c>
      <c r="AK1105" s="8" t="str">
        <f aca="false">$E1105&amp;"|"&amp;TEXT($AD1105,"0.000000")</f>
        <v>PV 116|0.000000</v>
      </c>
    </row>
    <row r="1106" customFormat="false" ht="15" hidden="false" customHeight="false" outlineLevel="0" collapsed="false">
      <c r="B1106" s="16" t="n">
        <v>45</v>
      </c>
      <c r="C1106" s="17" t="n">
        <f aca="false">DATA_INICIO_SAFRA+($B1106-1)*DIAS_POR_SEMANA</f>
        <v>46573</v>
      </c>
      <c r="D1106" s="17" t="n">
        <f aca="false">$C1106+DIAS_POR_SEMANA-1</f>
        <v>46579</v>
      </c>
      <c r="E1106" s="15" t="s">
        <v>275</v>
      </c>
      <c r="F1106" s="8" t="str">
        <f aca="false">IFERROR(INDEX(CADASTRO_PIVOS!$C$6:$C$41,MATCH($E1106,CADASTRO_PIVOS!$B$6:$B$41,0)),"?")</f>
        <v>RM06</v>
      </c>
      <c r="G1106" s="8" t="str">
        <f aca="false">IFERROR(INDEX(CADASTRO_PIVOS!$D$6:$D$41,MATCH($E1106,CADASTRO_PIVOS!$B$6:$B$41,0)),"?")</f>
        <v>TR06</v>
      </c>
      <c r="H1106" s="20" t="n">
        <f aca="false">IFERROR(INDEX(CADASTRO_PIVOS!$E$6:$E$41,MATCH($E1106,CADASTRO_PIVOS!$B$6:$B$41,0)),0)</f>
        <v>149.55</v>
      </c>
      <c r="I1106" s="16" t="n">
        <f aca="false">IFERROR(SUMIFS(ROTACAO_RDM!$B$6:$B$71,ROTACAO_RDM!$D$6:$D$71,$E1106,ROTACAO_RDM!$I$6:$I$71,"&lt;="&amp;$C1106+INT(DIAS_POR_SEMANA/2),ROTACAO_RDM!$J$6:$J$71,"&gt;="&amp;$C1106+INT(DIAS_POR_SEMANA/2)),0)</f>
        <v>0</v>
      </c>
      <c r="J1106" s="16" t="n">
        <f aca="false">IFERROR(MATCH($I1106,ROTACAO_RDM!$B$6:$B$71,0),0)</f>
        <v>0</v>
      </c>
      <c r="K1106" s="8" t="str">
        <f aca="false">IF($J1106=0,"SEM CULTURA",INDEX(ROTACAO_RDM!$F$6:$F$71,$J1106))</f>
        <v>SEM CULTURA</v>
      </c>
      <c r="L1106" s="8" t="str">
        <f aca="false">IF($J1106=0,"",INDEX(ROTACAO_RDM!$G$6:$G$71,$J1106))</f>
        <v/>
      </c>
      <c r="M1106" s="17" t="str">
        <f aca="false">IF($J1106=0,"",INDEX(ROTACAO_RDM!$I$6:$I$71,$J1106))</f>
        <v/>
      </c>
      <c r="N1106" s="16" t="n">
        <f aca="false">IF($J1106=0,0,MAX(0,$C1106+INT(DIAS_POR_SEMANA/2)-INDEX(ROTACAO_RDM!$I$6:$I$71,$J1106)))</f>
        <v>0</v>
      </c>
      <c r="O1106" s="19" t="n">
        <f aca="false">IF($J1106=0,0,MIN(1,$N1106/MAX(1,INDEX(ROTACAO_RDM!$K$6:$K$71,$J1106))))</f>
        <v>0</v>
      </c>
      <c r="P1106" s="16" t="n">
        <f aca="false">IF($J1106=0,0,IFERROR(MATCH(INDEX(ROTACAO_RDM!$N$6:$N$71,$J1106),PARAMETROS_CULTURAS!$B$6:$B$28,0),0))</f>
        <v>0</v>
      </c>
      <c r="Q1106" s="8" t="str">
        <f aca="false">IF($P1106=0,"-",IF($O1106&lt;=INDEX(PARAMETROS_CULTURAS!$F$6:$F$28,$P1106),"INICIAL",IF($O1106&lt;=INDEX(PARAMETROS_CULTURAS!$F$6:$F$28,$P1106)+INDEX(PARAMETROS_CULTURAS!$G$6:$G$28,$P1106),"DESENVOLVIMENTO",IF($O1106&lt;=INDEX(PARAMETROS_CULTURAS!$F$6:$F$28,$P1106)+INDEX(PARAMETROS_CULTURAS!$G$6:$G$28,$P1106)+INDEX(PARAMETROS_CULTURAS!$H$6:$H$28,$P1106),"MEDIA","FINAL"))))</f>
        <v>-</v>
      </c>
      <c r="R1106" s="24" t="n">
        <f aca="false">IF($P1106=0,0,IF($O1106&lt;=INDEX(PARAMETROS_CULTURAS!$F$6:$F$28,$P1106),INDEX(PARAMETROS_CULTURAS!$K$6:$K$28,$P1106),IF($O1106&lt;=INDEX(PARAMETROS_CULTURAS!$F$6:$F$28,$P1106)+INDEX(PARAMETROS_CULTURAS!$G$6:$G$28,$P1106),INDEX(PARAMETROS_CULTURAS!$K$6:$K$28,$P1106)+(INDEX(PARAMETROS_CULTURAS!$L$6:$L$28,$P1106)-INDEX(PARAMETROS_CULTURAS!$K$6:$K$28,$P1106))*($O1106-INDEX(PARAMETROS_CULTURAS!$F$6:$F$28,$P1106))/MAX(INDEX(PARAMETROS_CULTURAS!$G$6:$G$28,$P1106),0.0001),IF($O1106&lt;=INDEX(PARAMETROS_CULTURAS!$F$6:$F$28,$P1106)+INDEX(PARAMETROS_CULTURAS!$G$6:$G$28,$P1106)+INDEX(PARAMETROS_CULTURAS!$H$6:$H$28,$P1106),INDEX(PARAMETROS_CULTURAS!$L$6:$L$28,$P1106),INDEX(PARAMETROS_CULTURAS!$L$6:$L$28,$P1106)+(INDEX(PARAMETROS_CULTURAS!$M$6:$M$28,$P1106)-INDEX(PARAMETROS_CULTURAS!$L$6:$L$28,$P1106))*($O1106-INDEX(PARAMETROS_CULTURAS!$F$6:$F$28,$P1106)-INDEX(PARAMETROS_CULTURAS!$G$6:$G$28,$P1106)-INDEX(PARAMETROS_CULTURAS!$H$6:$H$28,$P1106))/MAX(INDEX(PARAMETROS_CULTURAS!$I$6:$I$28,$P1106),0.0001)))))</f>
        <v>0</v>
      </c>
      <c r="S1106" s="18" t="n">
        <f aca="false">IFERROR(INDEX(SEMANAS!$H$6:$H$71,MATCH($B1106,SEMANAS!$B$6:$B$71,0)),0)</f>
        <v>30.1</v>
      </c>
      <c r="T1106" s="18" t="n">
        <f aca="false">$R1106*$S1106</f>
        <v>0</v>
      </c>
      <c r="U1106" s="18" t="n">
        <f aca="false">IFERROR(INDEX(SEMANAS!$I$6:$I$71,MATCH($B1106,SEMANAS!$B$6:$B$71,0)),0)</f>
        <v>0.7</v>
      </c>
      <c r="V1106" s="18" t="n">
        <f aca="false">IFERROR(INDEX(SEMANAS!$J$6:$J$71,MATCH($B1106,SEMANAS!$B$6:$B$71,0)),0)</f>
        <v>0.56</v>
      </c>
      <c r="W1106" s="18" t="n">
        <f aca="false">MAX(0,$T1106-$V1106)</f>
        <v>0</v>
      </c>
      <c r="X1106" s="19" t="n">
        <f aca="false">IFERROR(INDEX(CADASTRO_PIVOS!$K$6:$K$41,MATCH($E1106,CADASTRO_PIVOS!$B$6:$B$41,0)),EFICIENCIA_PADRAO)</f>
        <v>0.85</v>
      </c>
      <c r="Y1106" s="18" t="n">
        <f aca="false">IF($X1106&lt;=0,0,$W1106/$X1106)</f>
        <v>0</v>
      </c>
      <c r="Z1106" s="16" t="n">
        <f aca="false">$Y1106*$H1106*MM_PARA_M3_HA</f>
        <v>0</v>
      </c>
      <c r="AA1106" s="18" t="n">
        <f aca="false">IFERROR(INDEX(CADASTRO_PIVOS!$I$6:$I$41,MATCH($E1106,CADASTRO_PIVOS!$B$6:$B$41,0)),0)</f>
        <v>1068.21428571429</v>
      </c>
      <c r="AB1106" s="18" t="n">
        <f aca="false">IF($Z1106&lt;=0,0,$Z1106/$AA1106)</f>
        <v>0</v>
      </c>
      <c r="AC1106" s="16" t="n">
        <f aca="false">IFERROR(INDEX(SEMANAS!$K$6:$K$71,MATCH($B1106,SEMANAS!$B$6:$B$71,0)),0)</f>
        <v>147</v>
      </c>
      <c r="AD1106" s="19" t="n">
        <f aca="false">IF($AC1106&lt;=0,0,$AB1106/$AC1106)</f>
        <v>0</v>
      </c>
      <c r="AE1106" s="8" t="str">
        <f aca="false">IF($K1106="SEM CULTURA","SEM CULTURA",IF($AA1106&lt;=0,"DADO PENDENTE",IF($AD1106&gt;LIMITE_CRITICO,"INVIAVEL",IF($AD1106&gt;LIMITE_ATENCAO,"CRITICO",IF($AD1106&gt;LIMITE_CONFORTAVEL,"ATENCAO","OK")))))</f>
        <v>SEM CULTURA</v>
      </c>
      <c r="AF1106" s="8" t="str">
        <f aca="false">$B1106&amp;"|"&amp;TEXT($AD1106,"0.000000")</f>
        <v>45|0.000000</v>
      </c>
      <c r="AG1106" s="18" t="n">
        <f aca="false">IF($K1106="SEM CULTURA",0,$T1106*$H1106)</f>
        <v>0</v>
      </c>
      <c r="AH1106" s="18" t="n">
        <f aca="false">IF($K1106="SEM CULTURA",0,$V1106*$H1106)</f>
        <v>0</v>
      </c>
      <c r="AI1106" s="18" t="n">
        <f aca="false">IF($K1106="SEM CULTURA",0,$W1106*$H1106)</f>
        <v>0</v>
      </c>
      <c r="AJ1106" s="18" t="n">
        <f aca="false">IF($K1106="SEM CULTURA",0,$S1106*$H1106)</f>
        <v>0</v>
      </c>
      <c r="AK1106" s="8" t="str">
        <f aca="false">$E1106&amp;"|"&amp;TEXT($AD1106,"0.000000")</f>
        <v>PV 116|0.000000</v>
      </c>
    </row>
    <row r="1107" customFormat="false" ht="15" hidden="false" customHeight="false" outlineLevel="0" collapsed="false">
      <c r="B1107" s="16" t="n">
        <v>46</v>
      </c>
      <c r="C1107" s="17" t="n">
        <f aca="false">DATA_INICIO_SAFRA+($B1107-1)*DIAS_POR_SEMANA</f>
        <v>46580</v>
      </c>
      <c r="D1107" s="17" t="n">
        <f aca="false">$C1107+DIAS_POR_SEMANA-1</f>
        <v>46586</v>
      </c>
      <c r="E1107" s="15" t="s">
        <v>275</v>
      </c>
      <c r="F1107" s="8" t="str">
        <f aca="false">IFERROR(INDEX(CADASTRO_PIVOS!$C$6:$C$41,MATCH($E1107,CADASTRO_PIVOS!$B$6:$B$41,0)),"?")</f>
        <v>RM06</v>
      </c>
      <c r="G1107" s="8" t="str">
        <f aca="false">IFERROR(INDEX(CADASTRO_PIVOS!$D$6:$D$41,MATCH($E1107,CADASTRO_PIVOS!$B$6:$B$41,0)),"?")</f>
        <v>TR06</v>
      </c>
      <c r="H1107" s="20" t="n">
        <f aca="false">IFERROR(INDEX(CADASTRO_PIVOS!$E$6:$E$41,MATCH($E1107,CADASTRO_PIVOS!$B$6:$B$41,0)),0)</f>
        <v>149.55</v>
      </c>
      <c r="I1107" s="16" t="n">
        <f aca="false">IFERROR(SUMIFS(ROTACAO_RDM!$B$6:$B$71,ROTACAO_RDM!$D$6:$D$71,$E1107,ROTACAO_RDM!$I$6:$I$71,"&lt;="&amp;$C1107+INT(DIAS_POR_SEMANA/2),ROTACAO_RDM!$J$6:$J$71,"&gt;="&amp;$C1107+INT(DIAS_POR_SEMANA/2)),0)</f>
        <v>0</v>
      </c>
      <c r="J1107" s="16" t="n">
        <f aca="false">IFERROR(MATCH($I1107,ROTACAO_RDM!$B$6:$B$71,0),0)</f>
        <v>0</v>
      </c>
      <c r="K1107" s="8" t="str">
        <f aca="false">IF($J1107=0,"SEM CULTURA",INDEX(ROTACAO_RDM!$F$6:$F$71,$J1107))</f>
        <v>SEM CULTURA</v>
      </c>
      <c r="L1107" s="8" t="str">
        <f aca="false">IF($J1107=0,"",INDEX(ROTACAO_RDM!$G$6:$G$71,$J1107))</f>
        <v/>
      </c>
      <c r="M1107" s="17" t="str">
        <f aca="false">IF($J1107=0,"",INDEX(ROTACAO_RDM!$I$6:$I$71,$J1107))</f>
        <v/>
      </c>
      <c r="N1107" s="16" t="n">
        <f aca="false">IF($J1107=0,0,MAX(0,$C1107+INT(DIAS_POR_SEMANA/2)-INDEX(ROTACAO_RDM!$I$6:$I$71,$J1107)))</f>
        <v>0</v>
      </c>
      <c r="O1107" s="19" t="n">
        <f aca="false">IF($J1107=0,0,MIN(1,$N1107/MAX(1,INDEX(ROTACAO_RDM!$K$6:$K$71,$J1107))))</f>
        <v>0</v>
      </c>
      <c r="P1107" s="16" t="n">
        <f aca="false">IF($J1107=0,0,IFERROR(MATCH(INDEX(ROTACAO_RDM!$N$6:$N$71,$J1107),PARAMETROS_CULTURAS!$B$6:$B$28,0),0))</f>
        <v>0</v>
      </c>
      <c r="Q1107" s="8" t="str">
        <f aca="false">IF($P1107=0,"-",IF($O1107&lt;=INDEX(PARAMETROS_CULTURAS!$F$6:$F$28,$P1107),"INICIAL",IF($O1107&lt;=INDEX(PARAMETROS_CULTURAS!$F$6:$F$28,$P1107)+INDEX(PARAMETROS_CULTURAS!$G$6:$G$28,$P1107),"DESENVOLVIMENTO",IF($O1107&lt;=INDEX(PARAMETROS_CULTURAS!$F$6:$F$28,$P1107)+INDEX(PARAMETROS_CULTURAS!$G$6:$G$28,$P1107)+INDEX(PARAMETROS_CULTURAS!$H$6:$H$28,$P1107),"MEDIA","FINAL"))))</f>
        <v>-</v>
      </c>
      <c r="R1107" s="24" t="n">
        <f aca="false">IF($P1107=0,0,IF($O1107&lt;=INDEX(PARAMETROS_CULTURAS!$F$6:$F$28,$P1107),INDEX(PARAMETROS_CULTURAS!$K$6:$K$28,$P1107),IF($O1107&lt;=INDEX(PARAMETROS_CULTURAS!$F$6:$F$28,$P1107)+INDEX(PARAMETROS_CULTURAS!$G$6:$G$28,$P1107),INDEX(PARAMETROS_CULTURAS!$K$6:$K$28,$P1107)+(INDEX(PARAMETROS_CULTURAS!$L$6:$L$28,$P1107)-INDEX(PARAMETROS_CULTURAS!$K$6:$K$28,$P1107))*($O1107-INDEX(PARAMETROS_CULTURAS!$F$6:$F$28,$P1107))/MAX(INDEX(PARAMETROS_CULTURAS!$G$6:$G$28,$P1107),0.0001),IF($O1107&lt;=INDEX(PARAMETROS_CULTURAS!$F$6:$F$28,$P1107)+INDEX(PARAMETROS_CULTURAS!$G$6:$G$28,$P1107)+INDEX(PARAMETROS_CULTURAS!$H$6:$H$28,$P1107),INDEX(PARAMETROS_CULTURAS!$L$6:$L$28,$P1107),INDEX(PARAMETROS_CULTURAS!$L$6:$L$28,$P1107)+(INDEX(PARAMETROS_CULTURAS!$M$6:$M$28,$P1107)-INDEX(PARAMETROS_CULTURAS!$L$6:$L$28,$P1107))*($O1107-INDEX(PARAMETROS_CULTURAS!$F$6:$F$28,$P1107)-INDEX(PARAMETROS_CULTURAS!$G$6:$G$28,$P1107)-INDEX(PARAMETROS_CULTURAS!$H$6:$H$28,$P1107))/MAX(INDEX(PARAMETROS_CULTURAS!$I$6:$I$28,$P1107),0.0001)))))</f>
        <v>0</v>
      </c>
      <c r="S1107" s="18" t="n">
        <f aca="false">IFERROR(INDEX(SEMANAS!$H$6:$H$71,MATCH($B1107,SEMANAS!$B$6:$B$71,0)),0)</f>
        <v>30.1</v>
      </c>
      <c r="T1107" s="18" t="n">
        <f aca="false">$R1107*$S1107</f>
        <v>0</v>
      </c>
      <c r="U1107" s="18" t="n">
        <f aca="false">IFERROR(INDEX(SEMANAS!$I$6:$I$71,MATCH($B1107,SEMANAS!$B$6:$B$71,0)),0)</f>
        <v>0.7</v>
      </c>
      <c r="V1107" s="18" t="n">
        <f aca="false">IFERROR(INDEX(SEMANAS!$J$6:$J$71,MATCH($B1107,SEMANAS!$B$6:$B$71,0)),0)</f>
        <v>0.56</v>
      </c>
      <c r="W1107" s="18" t="n">
        <f aca="false">MAX(0,$T1107-$V1107)</f>
        <v>0</v>
      </c>
      <c r="X1107" s="19" t="n">
        <f aca="false">IFERROR(INDEX(CADASTRO_PIVOS!$K$6:$K$41,MATCH($E1107,CADASTRO_PIVOS!$B$6:$B$41,0)),EFICIENCIA_PADRAO)</f>
        <v>0.85</v>
      </c>
      <c r="Y1107" s="18" t="n">
        <f aca="false">IF($X1107&lt;=0,0,$W1107/$X1107)</f>
        <v>0</v>
      </c>
      <c r="Z1107" s="16" t="n">
        <f aca="false">$Y1107*$H1107*MM_PARA_M3_HA</f>
        <v>0</v>
      </c>
      <c r="AA1107" s="18" t="n">
        <f aca="false">IFERROR(INDEX(CADASTRO_PIVOS!$I$6:$I$41,MATCH($E1107,CADASTRO_PIVOS!$B$6:$B$41,0)),0)</f>
        <v>1068.21428571429</v>
      </c>
      <c r="AB1107" s="18" t="n">
        <f aca="false">IF($Z1107&lt;=0,0,$Z1107/$AA1107)</f>
        <v>0</v>
      </c>
      <c r="AC1107" s="16" t="n">
        <f aca="false">IFERROR(INDEX(SEMANAS!$K$6:$K$71,MATCH($B1107,SEMANAS!$B$6:$B$71,0)),0)</f>
        <v>147</v>
      </c>
      <c r="AD1107" s="19" t="n">
        <f aca="false">IF($AC1107&lt;=0,0,$AB1107/$AC1107)</f>
        <v>0</v>
      </c>
      <c r="AE1107" s="8" t="str">
        <f aca="false">IF($K1107="SEM CULTURA","SEM CULTURA",IF($AA1107&lt;=0,"DADO PENDENTE",IF($AD1107&gt;LIMITE_CRITICO,"INVIAVEL",IF($AD1107&gt;LIMITE_ATENCAO,"CRITICO",IF($AD1107&gt;LIMITE_CONFORTAVEL,"ATENCAO","OK")))))</f>
        <v>SEM CULTURA</v>
      </c>
      <c r="AF1107" s="8" t="str">
        <f aca="false">$B1107&amp;"|"&amp;TEXT($AD1107,"0.000000")</f>
        <v>46|0.000000</v>
      </c>
      <c r="AG1107" s="18" t="n">
        <f aca="false">IF($K1107="SEM CULTURA",0,$T1107*$H1107)</f>
        <v>0</v>
      </c>
      <c r="AH1107" s="18" t="n">
        <f aca="false">IF($K1107="SEM CULTURA",0,$V1107*$H1107)</f>
        <v>0</v>
      </c>
      <c r="AI1107" s="18" t="n">
        <f aca="false">IF($K1107="SEM CULTURA",0,$W1107*$H1107)</f>
        <v>0</v>
      </c>
      <c r="AJ1107" s="18" t="n">
        <f aca="false">IF($K1107="SEM CULTURA",0,$S1107*$H1107)</f>
        <v>0</v>
      </c>
      <c r="AK1107" s="8" t="str">
        <f aca="false">$E1107&amp;"|"&amp;TEXT($AD1107,"0.000000")</f>
        <v>PV 116|0.000000</v>
      </c>
    </row>
    <row r="1108" customFormat="false" ht="15" hidden="false" customHeight="false" outlineLevel="0" collapsed="false">
      <c r="B1108" s="16" t="n">
        <v>47</v>
      </c>
      <c r="C1108" s="17" t="n">
        <f aca="false">DATA_INICIO_SAFRA+($B1108-1)*DIAS_POR_SEMANA</f>
        <v>46587</v>
      </c>
      <c r="D1108" s="17" t="n">
        <f aca="false">$C1108+DIAS_POR_SEMANA-1</f>
        <v>46593</v>
      </c>
      <c r="E1108" s="15" t="s">
        <v>275</v>
      </c>
      <c r="F1108" s="8" t="str">
        <f aca="false">IFERROR(INDEX(CADASTRO_PIVOS!$C$6:$C$41,MATCH($E1108,CADASTRO_PIVOS!$B$6:$B$41,0)),"?")</f>
        <v>RM06</v>
      </c>
      <c r="G1108" s="8" t="str">
        <f aca="false">IFERROR(INDEX(CADASTRO_PIVOS!$D$6:$D$41,MATCH($E1108,CADASTRO_PIVOS!$B$6:$B$41,0)),"?")</f>
        <v>TR06</v>
      </c>
      <c r="H1108" s="20" t="n">
        <f aca="false">IFERROR(INDEX(CADASTRO_PIVOS!$E$6:$E$41,MATCH($E1108,CADASTRO_PIVOS!$B$6:$B$41,0)),0)</f>
        <v>149.55</v>
      </c>
      <c r="I1108" s="16" t="n">
        <f aca="false">IFERROR(SUMIFS(ROTACAO_RDM!$B$6:$B$71,ROTACAO_RDM!$D$6:$D$71,$E1108,ROTACAO_RDM!$I$6:$I$71,"&lt;="&amp;$C1108+INT(DIAS_POR_SEMANA/2),ROTACAO_RDM!$J$6:$J$71,"&gt;="&amp;$C1108+INT(DIAS_POR_SEMANA/2)),0)</f>
        <v>0</v>
      </c>
      <c r="J1108" s="16" t="n">
        <f aca="false">IFERROR(MATCH($I1108,ROTACAO_RDM!$B$6:$B$71,0),0)</f>
        <v>0</v>
      </c>
      <c r="K1108" s="8" t="str">
        <f aca="false">IF($J1108=0,"SEM CULTURA",INDEX(ROTACAO_RDM!$F$6:$F$71,$J1108))</f>
        <v>SEM CULTURA</v>
      </c>
      <c r="L1108" s="8" t="str">
        <f aca="false">IF($J1108=0,"",INDEX(ROTACAO_RDM!$G$6:$G$71,$J1108))</f>
        <v/>
      </c>
      <c r="M1108" s="17" t="str">
        <f aca="false">IF($J1108=0,"",INDEX(ROTACAO_RDM!$I$6:$I$71,$J1108))</f>
        <v/>
      </c>
      <c r="N1108" s="16" t="n">
        <f aca="false">IF($J1108=0,0,MAX(0,$C1108+INT(DIAS_POR_SEMANA/2)-INDEX(ROTACAO_RDM!$I$6:$I$71,$J1108)))</f>
        <v>0</v>
      </c>
      <c r="O1108" s="19" t="n">
        <f aca="false">IF($J1108=0,0,MIN(1,$N1108/MAX(1,INDEX(ROTACAO_RDM!$K$6:$K$71,$J1108))))</f>
        <v>0</v>
      </c>
      <c r="P1108" s="16" t="n">
        <f aca="false">IF($J1108=0,0,IFERROR(MATCH(INDEX(ROTACAO_RDM!$N$6:$N$71,$J1108),PARAMETROS_CULTURAS!$B$6:$B$28,0),0))</f>
        <v>0</v>
      </c>
      <c r="Q1108" s="8" t="str">
        <f aca="false">IF($P1108=0,"-",IF($O1108&lt;=INDEX(PARAMETROS_CULTURAS!$F$6:$F$28,$P1108),"INICIAL",IF($O1108&lt;=INDEX(PARAMETROS_CULTURAS!$F$6:$F$28,$P1108)+INDEX(PARAMETROS_CULTURAS!$G$6:$G$28,$P1108),"DESENVOLVIMENTO",IF($O1108&lt;=INDEX(PARAMETROS_CULTURAS!$F$6:$F$28,$P1108)+INDEX(PARAMETROS_CULTURAS!$G$6:$G$28,$P1108)+INDEX(PARAMETROS_CULTURAS!$H$6:$H$28,$P1108),"MEDIA","FINAL"))))</f>
        <v>-</v>
      </c>
      <c r="R1108" s="24" t="n">
        <f aca="false">IF($P1108=0,0,IF($O1108&lt;=INDEX(PARAMETROS_CULTURAS!$F$6:$F$28,$P1108),INDEX(PARAMETROS_CULTURAS!$K$6:$K$28,$P1108),IF($O1108&lt;=INDEX(PARAMETROS_CULTURAS!$F$6:$F$28,$P1108)+INDEX(PARAMETROS_CULTURAS!$G$6:$G$28,$P1108),INDEX(PARAMETROS_CULTURAS!$K$6:$K$28,$P1108)+(INDEX(PARAMETROS_CULTURAS!$L$6:$L$28,$P1108)-INDEX(PARAMETROS_CULTURAS!$K$6:$K$28,$P1108))*($O1108-INDEX(PARAMETROS_CULTURAS!$F$6:$F$28,$P1108))/MAX(INDEX(PARAMETROS_CULTURAS!$G$6:$G$28,$P1108),0.0001),IF($O1108&lt;=INDEX(PARAMETROS_CULTURAS!$F$6:$F$28,$P1108)+INDEX(PARAMETROS_CULTURAS!$G$6:$G$28,$P1108)+INDEX(PARAMETROS_CULTURAS!$H$6:$H$28,$P1108),INDEX(PARAMETROS_CULTURAS!$L$6:$L$28,$P1108),INDEX(PARAMETROS_CULTURAS!$L$6:$L$28,$P1108)+(INDEX(PARAMETROS_CULTURAS!$M$6:$M$28,$P1108)-INDEX(PARAMETROS_CULTURAS!$L$6:$L$28,$P1108))*($O1108-INDEX(PARAMETROS_CULTURAS!$F$6:$F$28,$P1108)-INDEX(PARAMETROS_CULTURAS!$G$6:$G$28,$P1108)-INDEX(PARAMETROS_CULTURAS!$H$6:$H$28,$P1108))/MAX(INDEX(PARAMETROS_CULTURAS!$I$6:$I$28,$P1108),0.0001)))))</f>
        <v>0</v>
      </c>
      <c r="S1108" s="18" t="n">
        <f aca="false">IFERROR(INDEX(SEMANAS!$H$6:$H$71,MATCH($B1108,SEMANAS!$B$6:$B$71,0)),0)</f>
        <v>30.1</v>
      </c>
      <c r="T1108" s="18" t="n">
        <f aca="false">$R1108*$S1108</f>
        <v>0</v>
      </c>
      <c r="U1108" s="18" t="n">
        <f aca="false">IFERROR(INDEX(SEMANAS!$I$6:$I$71,MATCH($B1108,SEMANAS!$B$6:$B$71,0)),0)</f>
        <v>0.7</v>
      </c>
      <c r="V1108" s="18" t="n">
        <f aca="false">IFERROR(INDEX(SEMANAS!$J$6:$J$71,MATCH($B1108,SEMANAS!$B$6:$B$71,0)),0)</f>
        <v>0.56</v>
      </c>
      <c r="W1108" s="18" t="n">
        <f aca="false">MAX(0,$T1108-$V1108)</f>
        <v>0</v>
      </c>
      <c r="X1108" s="19" t="n">
        <f aca="false">IFERROR(INDEX(CADASTRO_PIVOS!$K$6:$K$41,MATCH($E1108,CADASTRO_PIVOS!$B$6:$B$41,0)),EFICIENCIA_PADRAO)</f>
        <v>0.85</v>
      </c>
      <c r="Y1108" s="18" t="n">
        <f aca="false">IF($X1108&lt;=0,0,$W1108/$X1108)</f>
        <v>0</v>
      </c>
      <c r="Z1108" s="16" t="n">
        <f aca="false">$Y1108*$H1108*MM_PARA_M3_HA</f>
        <v>0</v>
      </c>
      <c r="AA1108" s="18" t="n">
        <f aca="false">IFERROR(INDEX(CADASTRO_PIVOS!$I$6:$I$41,MATCH($E1108,CADASTRO_PIVOS!$B$6:$B$41,0)),0)</f>
        <v>1068.21428571429</v>
      </c>
      <c r="AB1108" s="18" t="n">
        <f aca="false">IF($Z1108&lt;=0,0,$Z1108/$AA1108)</f>
        <v>0</v>
      </c>
      <c r="AC1108" s="16" t="n">
        <f aca="false">IFERROR(INDEX(SEMANAS!$K$6:$K$71,MATCH($B1108,SEMANAS!$B$6:$B$71,0)),0)</f>
        <v>147</v>
      </c>
      <c r="AD1108" s="19" t="n">
        <f aca="false">IF($AC1108&lt;=0,0,$AB1108/$AC1108)</f>
        <v>0</v>
      </c>
      <c r="AE1108" s="8" t="str">
        <f aca="false">IF($K1108="SEM CULTURA","SEM CULTURA",IF($AA1108&lt;=0,"DADO PENDENTE",IF($AD1108&gt;LIMITE_CRITICO,"INVIAVEL",IF($AD1108&gt;LIMITE_ATENCAO,"CRITICO",IF($AD1108&gt;LIMITE_CONFORTAVEL,"ATENCAO","OK")))))</f>
        <v>SEM CULTURA</v>
      </c>
      <c r="AF1108" s="8" t="str">
        <f aca="false">$B1108&amp;"|"&amp;TEXT($AD1108,"0.000000")</f>
        <v>47|0.000000</v>
      </c>
      <c r="AG1108" s="18" t="n">
        <f aca="false">IF($K1108="SEM CULTURA",0,$T1108*$H1108)</f>
        <v>0</v>
      </c>
      <c r="AH1108" s="18" t="n">
        <f aca="false">IF($K1108="SEM CULTURA",0,$V1108*$H1108)</f>
        <v>0</v>
      </c>
      <c r="AI1108" s="18" t="n">
        <f aca="false">IF($K1108="SEM CULTURA",0,$W1108*$H1108)</f>
        <v>0</v>
      </c>
      <c r="AJ1108" s="18" t="n">
        <f aca="false">IF($K1108="SEM CULTURA",0,$S1108*$H1108)</f>
        <v>0</v>
      </c>
      <c r="AK1108" s="8" t="str">
        <f aca="false">$E1108&amp;"|"&amp;TEXT($AD1108,"0.000000")</f>
        <v>PV 116|0.000000</v>
      </c>
    </row>
    <row r="1109" customFormat="false" ht="15" hidden="false" customHeight="false" outlineLevel="0" collapsed="false">
      <c r="B1109" s="16" t="n">
        <v>48</v>
      </c>
      <c r="C1109" s="17" t="n">
        <f aca="false">DATA_INICIO_SAFRA+($B1109-1)*DIAS_POR_SEMANA</f>
        <v>46594</v>
      </c>
      <c r="D1109" s="17" t="n">
        <f aca="false">$C1109+DIAS_POR_SEMANA-1</f>
        <v>46600</v>
      </c>
      <c r="E1109" s="15" t="s">
        <v>275</v>
      </c>
      <c r="F1109" s="8" t="str">
        <f aca="false">IFERROR(INDEX(CADASTRO_PIVOS!$C$6:$C$41,MATCH($E1109,CADASTRO_PIVOS!$B$6:$B$41,0)),"?")</f>
        <v>RM06</v>
      </c>
      <c r="G1109" s="8" t="str">
        <f aca="false">IFERROR(INDEX(CADASTRO_PIVOS!$D$6:$D$41,MATCH($E1109,CADASTRO_PIVOS!$B$6:$B$41,0)),"?")</f>
        <v>TR06</v>
      </c>
      <c r="H1109" s="20" t="n">
        <f aca="false">IFERROR(INDEX(CADASTRO_PIVOS!$E$6:$E$41,MATCH($E1109,CADASTRO_PIVOS!$B$6:$B$41,0)),0)</f>
        <v>149.55</v>
      </c>
      <c r="I1109" s="16" t="n">
        <f aca="false">IFERROR(SUMIFS(ROTACAO_RDM!$B$6:$B$71,ROTACAO_RDM!$D$6:$D$71,$E1109,ROTACAO_RDM!$I$6:$I$71,"&lt;="&amp;$C1109+INT(DIAS_POR_SEMANA/2),ROTACAO_RDM!$J$6:$J$71,"&gt;="&amp;$C1109+INT(DIAS_POR_SEMANA/2)),0)</f>
        <v>0</v>
      </c>
      <c r="J1109" s="16" t="n">
        <f aca="false">IFERROR(MATCH($I1109,ROTACAO_RDM!$B$6:$B$71,0),0)</f>
        <v>0</v>
      </c>
      <c r="K1109" s="8" t="str">
        <f aca="false">IF($J1109=0,"SEM CULTURA",INDEX(ROTACAO_RDM!$F$6:$F$71,$J1109))</f>
        <v>SEM CULTURA</v>
      </c>
      <c r="L1109" s="8" t="str">
        <f aca="false">IF($J1109=0,"",INDEX(ROTACAO_RDM!$G$6:$G$71,$J1109))</f>
        <v/>
      </c>
      <c r="M1109" s="17" t="str">
        <f aca="false">IF($J1109=0,"",INDEX(ROTACAO_RDM!$I$6:$I$71,$J1109))</f>
        <v/>
      </c>
      <c r="N1109" s="16" t="n">
        <f aca="false">IF($J1109=0,0,MAX(0,$C1109+INT(DIAS_POR_SEMANA/2)-INDEX(ROTACAO_RDM!$I$6:$I$71,$J1109)))</f>
        <v>0</v>
      </c>
      <c r="O1109" s="19" t="n">
        <f aca="false">IF($J1109=0,0,MIN(1,$N1109/MAX(1,INDEX(ROTACAO_RDM!$K$6:$K$71,$J1109))))</f>
        <v>0</v>
      </c>
      <c r="P1109" s="16" t="n">
        <f aca="false">IF($J1109=0,0,IFERROR(MATCH(INDEX(ROTACAO_RDM!$N$6:$N$71,$J1109),PARAMETROS_CULTURAS!$B$6:$B$28,0),0))</f>
        <v>0</v>
      </c>
      <c r="Q1109" s="8" t="str">
        <f aca="false">IF($P1109=0,"-",IF($O1109&lt;=INDEX(PARAMETROS_CULTURAS!$F$6:$F$28,$P1109),"INICIAL",IF($O1109&lt;=INDEX(PARAMETROS_CULTURAS!$F$6:$F$28,$P1109)+INDEX(PARAMETROS_CULTURAS!$G$6:$G$28,$P1109),"DESENVOLVIMENTO",IF($O1109&lt;=INDEX(PARAMETROS_CULTURAS!$F$6:$F$28,$P1109)+INDEX(PARAMETROS_CULTURAS!$G$6:$G$28,$P1109)+INDEX(PARAMETROS_CULTURAS!$H$6:$H$28,$P1109),"MEDIA","FINAL"))))</f>
        <v>-</v>
      </c>
      <c r="R1109" s="24" t="n">
        <f aca="false">IF($P1109=0,0,IF($O1109&lt;=INDEX(PARAMETROS_CULTURAS!$F$6:$F$28,$P1109),INDEX(PARAMETROS_CULTURAS!$K$6:$K$28,$P1109),IF($O1109&lt;=INDEX(PARAMETROS_CULTURAS!$F$6:$F$28,$P1109)+INDEX(PARAMETROS_CULTURAS!$G$6:$G$28,$P1109),INDEX(PARAMETROS_CULTURAS!$K$6:$K$28,$P1109)+(INDEX(PARAMETROS_CULTURAS!$L$6:$L$28,$P1109)-INDEX(PARAMETROS_CULTURAS!$K$6:$K$28,$P1109))*($O1109-INDEX(PARAMETROS_CULTURAS!$F$6:$F$28,$P1109))/MAX(INDEX(PARAMETROS_CULTURAS!$G$6:$G$28,$P1109),0.0001),IF($O1109&lt;=INDEX(PARAMETROS_CULTURAS!$F$6:$F$28,$P1109)+INDEX(PARAMETROS_CULTURAS!$G$6:$G$28,$P1109)+INDEX(PARAMETROS_CULTURAS!$H$6:$H$28,$P1109),INDEX(PARAMETROS_CULTURAS!$L$6:$L$28,$P1109),INDEX(PARAMETROS_CULTURAS!$L$6:$L$28,$P1109)+(INDEX(PARAMETROS_CULTURAS!$M$6:$M$28,$P1109)-INDEX(PARAMETROS_CULTURAS!$L$6:$L$28,$P1109))*($O1109-INDEX(PARAMETROS_CULTURAS!$F$6:$F$28,$P1109)-INDEX(PARAMETROS_CULTURAS!$G$6:$G$28,$P1109)-INDEX(PARAMETROS_CULTURAS!$H$6:$H$28,$P1109))/MAX(INDEX(PARAMETROS_CULTURAS!$I$6:$I$28,$P1109),0.0001)))))</f>
        <v>0</v>
      </c>
      <c r="S1109" s="18" t="n">
        <f aca="false">IFERROR(INDEX(SEMANAS!$H$6:$H$71,MATCH($B1109,SEMANAS!$B$6:$B$71,0)),0)</f>
        <v>31</v>
      </c>
      <c r="T1109" s="18" t="n">
        <f aca="false">$R1109*$S1109</f>
        <v>0</v>
      </c>
      <c r="U1109" s="18" t="n">
        <f aca="false">IFERROR(INDEX(SEMANAS!$I$6:$I$71,MATCH($B1109,SEMANAS!$B$6:$B$71,0)),0)</f>
        <v>0.76</v>
      </c>
      <c r="V1109" s="18" t="n">
        <f aca="false">IFERROR(INDEX(SEMANAS!$J$6:$J$71,MATCH($B1109,SEMANAS!$B$6:$B$71,0)),0)</f>
        <v>0.608</v>
      </c>
      <c r="W1109" s="18" t="n">
        <f aca="false">MAX(0,$T1109-$V1109)</f>
        <v>0</v>
      </c>
      <c r="X1109" s="19" t="n">
        <f aca="false">IFERROR(INDEX(CADASTRO_PIVOS!$K$6:$K$41,MATCH($E1109,CADASTRO_PIVOS!$B$6:$B$41,0)),EFICIENCIA_PADRAO)</f>
        <v>0.85</v>
      </c>
      <c r="Y1109" s="18" t="n">
        <f aca="false">IF($X1109&lt;=0,0,$W1109/$X1109)</f>
        <v>0</v>
      </c>
      <c r="Z1109" s="16" t="n">
        <f aca="false">$Y1109*$H1109*MM_PARA_M3_HA</f>
        <v>0</v>
      </c>
      <c r="AA1109" s="18" t="n">
        <f aca="false">IFERROR(INDEX(CADASTRO_PIVOS!$I$6:$I$41,MATCH($E1109,CADASTRO_PIVOS!$B$6:$B$41,0)),0)</f>
        <v>1068.21428571429</v>
      </c>
      <c r="AB1109" s="18" t="n">
        <f aca="false">IF($Z1109&lt;=0,0,$Z1109/$AA1109)</f>
        <v>0</v>
      </c>
      <c r="AC1109" s="16" t="n">
        <f aca="false">IFERROR(INDEX(SEMANAS!$K$6:$K$71,MATCH($B1109,SEMANAS!$B$6:$B$71,0)),0)</f>
        <v>147</v>
      </c>
      <c r="AD1109" s="19" t="n">
        <f aca="false">IF($AC1109&lt;=0,0,$AB1109/$AC1109)</f>
        <v>0</v>
      </c>
      <c r="AE1109" s="8" t="str">
        <f aca="false">IF($K1109="SEM CULTURA","SEM CULTURA",IF($AA1109&lt;=0,"DADO PENDENTE",IF($AD1109&gt;LIMITE_CRITICO,"INVIAVEL",IF($AD1109&gt;LIMITE_ATENCAO,"CRITICO",IF($AD1109&gt;LIMITE_CONFORTAVEL,"ATENCAO","OK")))))</f>
        <v>SEM CULTURA</v>
      </c>
      <c r="AF1109" s="8" t="str">
        <f aca="false">$B1109&amp;"|"&amp;TEXT($AD1109,"0.000000")</f>
        <v>48|0.000000</v>
      </c>
      <c r="AG1109" s="18" t="n">
        <f aca="false">IF($K1109="SEM CULTURA",0,$T1109*$H1109)</f>
        <v>0</v>
      </c>
      <c r="AH1109" s="18" t="n">
        <f aca="false">IF($K1109="SEM CULTURA",0,$V1109*$H1109)</f>
        <v>0</v>
      </c>
      <c r="AI1109" s="18" t="n">
        <f aca="false">IF($K1109="SEM CULTURA",0,$W1109*$H1109)</f>
        <v>0</v>
      </c>
      <c r="AJ1109" s="18" t="n">
        <f aca="false">IF($K1109="SEM CULTURA",0,$S1109*$H1109)</f>
        <v>0</v>
      </c>
      <c r="AK1109" s="8" t="str">
        <f aca="false">$E1109&amp;"|"&amp;TEXT($AD1109,"0.000000")</f>
        <v>PV 116|0.000000</v>
      </c>
    </row>
    <row r="1110" customFormat="false" ht="15" hidden="false" customHeight="false" outlineLevel="0" collapsed="false">
      <c r="B1110" s="16" t="n">
        <v>49</v>
      </c>
      <c r="C1110" s="17" t="n">
        <f aca="false">DATA_INICIO_SAFRA+($B1110-1)*DIAS_POR_SEMANA</f>
        <v>46601</v>
      </c>
      <c r="D1110" s="17" t="n">
        <f aca="false">$C1110+DIAS_POR_SEMANA-1</f>
        <v>46607</v>
      </c>
      <c r="E1110" s="15" t="s">
        <v>275</v>
      </c>
      <c r="F1110" s="8" t="str">
        <f aca="false">IFERROR(INDEX(CADASTRO_PIVOS!$C$6:$C$41,MATCH($E1110,CADASTRO_PIVOS!$B$6:$B$41,0)),"?")</f>
        <v>RM06</v>
      </c>
      <c r="G1110" s="8" t="str">
        <f aca="false">IFERROR(INDEX(CADASTRO_PIVOS!$D$6:$D$41,MATCH($E1110,CADASTRO_PIVOS!$B$6:$B$41,0)),"?")</f>
        <v>TR06</v>
      </c>
      <c r="H1110" s="20" t="n">
        <f aca="false">IFERROR(INDEX(CADASTRO_PIVOS!$E$6:$E$41,MATCH($E1110,CADASTRO_PIVOS!$B$6:$B$41,0)),0)</f>
        <v>149.55</v>
      </c>
      <c r="I1110" s="16" t="n">
        <f aca="false">IFERROR(SUMIFS(ROTACAO_RDM!$B$6:$B$71,ROTACAO_RDM!$D$6:$D$71,$E1110,ROTACAO_RDM!$I$6:$I$71,"&lt;="&amp;$C1110+INT(DIAS_POR_SEMANA/2),ROTACAO_RDM!$J$6:$J$71,"&gt;="&amp;$C1110+INT(DIAS_POR_SEMANA/2)),0)</f>
        <v>0</v>
      </c>
      <c r="J1110" s="16" t="n">
        <f aca="false">IFERROR(MATCH($I1110,ROTACAO_RDM!$B$6:$B$71,0),0)</f>
        <v>0</v>
      </c>
      <c r="K1110" s="8" t="str">
        <f aca="false">IF($J1110=0,"SEM CULTURA",INDEX(ROTACAO_RDM!$F$6:$F$71,$J1110))</f>
        <v>SEM CULTURA</v>
      </c>
      <c r="L1110" s="8" t="str">
        <f aca="false">IF($J1110=0,"",INDEX(ROTACAO_RDM!$G$6:$G$71,$J1110))</f>
        <v/>
      </c>
      <c r="M1110" s="17" t="str">
        <f aca="false">IF($J1110=0,"",INDEX(ROTACAO_RDM!$I$6:$I$71,$J1110))</f>
        <v/>
      </c>
      <c r="N1110" s="16" t="n">
        <f aca="false">IF($J1110=0,0,MAX(0,$C1110+INT(DIAS_POR_SEMANA/2)-INDEX(ROTACAO_RDM!$I$6:$I$71,$J1110)))</f>
        <v>0</v>
      </c>
      <c r="O1110" s="19" t="n">
        <f aca="false">IF($J1110=0,0,MIN(1,$N1110/MAX(1,INDEX(ROTACAO_RDM!$K$6:$K$71,$J1110))))</f>
        <v>0</v>
      </c>
      <c r="P1110" s="16" t="n">
        <f aca="false">IF($J1110=0,0,IFERROR(MATCH(INDEX(ROTACAO_RDM!$N$6:$N$71,$J1110),PARAMETROS_CULTURAS!$B$6:$B$28,0),0))</f>
        <v>0</v>
      </c>
      <c r="Q1110" s="8" t="str">
        <f aca="false">IF($P1110=0,"-",IF($O1110&lt;=INDEX(PARAMETROS_CULTURAS!$F$6:$F$28,$P1110),"INICIAL",IF($O1110&lt;=INDEX(PARAMETROS_CULTURAS!$F$6:$F$28,$P1110)+INDEX(PARAMETROS_CULTURAS!$G$6:$G$28,$P1110),"DESENVOLVIMENTO",IF($O1110&lt;=INDEX(PARAMETROS_CULTURAS!$F$6:$F$28,$P1110)+INDEX(PARAMETROS_CULTURAS!$G$6:$G$28,$P1110)+INDEX(PARAMETROS_CULTURAS!$H$6:$H$28,$P1110),"MEDIA","FINAL"))))</f>
        <v>-</v>
      </c>
      <c r="R1110" s="24" t="n">
        <f aca="false">IF($P1110=0,0,IF($O1110&lt;=INDEX(PARAMETROS_CULTURAS!$F$6:$F$28,$P1110),INDEX(PARAMETROS_CULTURAS!$K$6:$K$28,$P1110),IF($O1110&lt;=INDEX(PARAMETROS_CULTURAS!$F$6:$F$28,$P1110)+INDEX(PARAMETROS_CULTURAS!$G$6:$G$28,$P1110),INDEX(PARAMETROS_CULTURAS!$K$6:$K$28,$P1110)+(INDEX(PARAMETROS_CULTURAS!$L$6:$L$28,$P1110)-INDEX(PARAMETROS_CULTURAS!$K$6:$K$28,$P1110))*($O1110-INDEX(PARAMETROS_CULTURAS!$F$6:$F$28,$P1110))/MAX(INDEX(PARAMETROS_CULTURAS!$G$6:$G$28,$P1110),0.0001),IF($O1110&lt;=INDEX(PARAMETROS_CULTURAS!$F$6:$F$28,$P1110)+INDEX(PARAMETROS_CULTURAS!$G$6:$G$28,$P1110)+INDEX(PARAMETROS_CULTURAS!$H$6:$H$28,$P1110),INDEX(PARAMETROS_CULTURAS!$L$6:$L$28,$P1110),INDEX(PARAMETROS_CULTURAS!$L$6:$L$28,$P1110)+(INDEX(PARAMETROS_CULTURAS!$M$6:$M$28,$P1110)-INDEX(PARAMETROS_CULTURAS!$L$6:$L$28,$P1110))*($O1110-INDEX(PARAMETROS_CULTURAS!$F$6:$F$28,$P1110)-INDEX(PARAMETROS_CULTURAS!$G$6:$G$28,$P1110)-INDEX(PARAMETROS_CULTURAS!$H$6:$H$28,$P1110))/MAX(INDEX(PARAMETROS_CULTURAS!$I$6:$I$28,$P1110),0.0001)))))</f>
        <v>0</v>
      </c>
      <c r="S1110" s="18" t="n">
        <f aca="false">IFERROR(INDEX(SEMANAS!$H$6:$H$71,MATCH($B1110,SEMANAS!$B$6:$B$71,0)),0)</f>
        <v>36.4</v>
      </c>
      <c r="T1110" s="18" t="n">
        <f aca="false">$R1110*$S1110</f>
        <v>0</v>
      </c>
      <c r="U1110" s="18" t="n">
        <f aca="false">IFERROR(INDEX(SEMANAS!$I$6:$I$71,MATCH($B1110,SEMANAS!$B$6:$B$71,0)),0)</f>
        <v>1.12</v>
      </c>
      <c r="V1110" s="18" t="n">
        <f aca="false">IFERROR(INDEX(SEMANAS!$J$6:$J$71,MATCH($B1110,SEMANAS!$B$6:$B$71,0)),0)</f>
        <v>0.896</v>
      </c>
      <c r="W1110" s="18" t="n">
        <f aca="false">MAX(0,$T1110-$V1110)</f>
        <v>0</v>
      </c>
      <c r="X1110" s="19" t="n">
        <f aca="false">IFERROR(INDEX(CADASTRO_PIVOS!$K$6:$K$41,MATCH($E1110,CADASTRO_PIVOS!$B$6:$B$41,0)),EFICIENCIA_PADRAO)</f>
        <v>0.85</v>
      </c>
      <c r="Y1110" s="18" t="n">
        <f aca="false">IF($X1110&lt;=0,0,$W1110/$X1110)</f>
        <v>0</v>
      </c>
      <c r="Z1110" s="16" t="n">
        <f aca="false">$Y1110*$H1110*MM_PARA_M3_HA</f>
        <v>0</v>
      </c>
      <c r="AA1110" s="18" t="n">
        <f aca="false">IFERROR(INDEX(CADASTRO_PIVOS!$I$6:$I$41,MATCH($E1110,CADASTRO_PIVOS!$B$6:$B$41,0)),0)</f>
        <v>1068.21428571429</v>
      </c>
      <c r="AB1110" s="18" t="n">
        <f aca="false">IF($Z1110&lt;=0,0,$Z1110/$AA1110)</f>
        <v>0</v>
      </c>
      <c r="AC1110" s="16" t="n">
        <f aca="false">IFERROR(INDEX(SEMANAS!$K$6:$K$71,MATCH($B1110,SEMANAS!$B$6:$B$71,0)),0)</f>
        <v>147</v>
      </c>
      <c r="AD1110" s="19" t="n">
        <f aca="false">IF($AC1110&lt;=0,0,$AB1110/$AC1110)</f>
        <v>0</v>
      </c>
      <c r="AE1110" s="8" t="str">
        <f aca="false">IF($K1110="SEM CULTURA","SEM CULTURA",IF($AA1110&lt;=0,"DADO PENDENTE",IF($AD1110&gt;LIMITE_CRITICO,"INVIAVEL",IF($AD1110&gt;LIMITE_ATENCAO,"CRITICO",IF($AD1110&gt;LIMITE_CONFORTAVEL,"ATENCAO","OK")))))</f>
        <v>SEM CULTURA</v>
      </c>
      <c r="AF1110" s="8" t="str">
        <f aca="false">$B1110&amp;"|"&amp;TEXT($AD1110,"0.000000")</f>
        <v>49|0.000000</v>
      </c>
      <c r="AG1110" s="18" t="n">
        <f aca="false">IF($K1110="SEM CULTURA",0,$T1110*$H1110)</f>
        <v>0</v>
      </c>
      <c r="AH1110" s="18" t="n">
        <f aca="false">IF($K1110="SEM CULTURA",0,$V1110*$H1110)</f>
        <v>0</v>
      </c>
      <c r="AI1110" s="18" t="n">
        <f aca="false">IF($K1110="SEM CULTURA",0,$W1110*$H1110)</f>
        <v>0</v>
      </c>
      <c r="AJ1110" s="18" t="n">
        <f aca="false">IF($K1110="SEM CULTURA",0,$S1110*$H1110)</f>
        <v>0</v>
      </c>
      <c r="AK1110" s="8" t="str">
        <f aca="false">$E1110&amp;"|"&amp;TEXT($AD1110,"0.000000")</f>
        <v>PV 116|0.000000</v>
      </c>
    </row>
    <row r="1111" customFormat="false" ht="15" hidden="false" customHeight="false" outlineLevel="0" collapsed="false">
      <c r="B1111" s="16" t="n">
        <v>50</v>
      </c>
      <c r="C1111" s="17" t="n">
        <f aca="false">DATA_INICIO_SAFRA+($B1111-1)*DIAS_POR_SEMANA</f>
        <v>46608</v>
      </c>
      <c r="D1111" s="17" t="n">
        <f aca="false">$C1111+DIAS_POR_SEMANA-1</f>
        <v>46614</v>
      </c>
      <c r="E1111" s="15" t="s">
        <v>275</v>
      </c>
      <c r="F1111" s="8" t="str">
        <f aca="false">IFERROR(INDEX(CADASTRO_PIVOS!$C$6:$C$41,MATCH($E1111,CADASTRO_PIVOS!$B$6:$B$41,0)),"?")</f>
        <v>RM06</v>
      </c>
      <c r="G1111" s="8" t="str">
        <f aca="false">IFERROR(INDEX(CADASTRO_PIVOS!$D$6:$D$41,MATCH($E1111,CADASTRO_PIVOS!$B$6:$B$41,0)),"?")</f>
        <v>TR06</v>
      </c>
      <c r="H1111" s="20" t="n">
        <f aca="false">IFERROR(INDEX(CADASTRO_PIVOS!$E$6:$E$41,MATCH($E1111,CADASTRO_PIVOS!$B$6:$B$41,0)),0)</f>
        <v>149.55</v>
      </c>
      <c r="I1111" s="16" t="n">
        <f aca="false">IFERROR(SUMIFS(ROTACAO_RDM!$B$6:$B$71,ROTACAO_RDM!$D$6:$D$71,$E1111,ROTACAO_RDM!$I$6:$I$71,"&lt;="&amp;$C1111+INT(DIAS_POR_SEMANA/2),ROTACAO_RDM!$J$6:$J$71,"&gt;="&amp;$C1111+INT(DIAS_POR_SEMANA/2)),0)</f>
        <v>0</v>
      </c>
      <c r="J1111" s="16" t="n">
        <f aca="false">IFERROR(MATCH($I1111,ROTACAO_RDM!$B$6:$B$71,0),0)</f>
        <v>0</v>
      </c>
      <c r="K1111" s="8" t="str">
        <f aca="false">IF($J1111=0,"SEM CULTURA",INDEX(ROTACAO_RDM!$F$6:$F$71,$J1111))</f>
        <v>SEM CULTURA</v>
      </c>
      <c r="L1111" s="8" t="str">
        <f aca="false">IF($J1111=0,"",INDEX(ROTACAO_RDM!$G$6:$G$71,$J1111))</f>
        <v/>
      </c>
      <c r="M1111" s="17" t="str">
        <f aca="false">IF($J1111=0,"",INDEX(ROTACAO_RDM!$I$6:$I$71,$J1111))</f>
        <v/>
      </c>
      <c r="N1111" s="16" t="n">
        <f aca="false">IF($J1111=0,0,MAX(0,$C1111+INT(DIAS_POR_SEMANA/2)-INDEX(ROTACAO_RDM!$I$6:$I$71,$J1111)))</f>
        <v>0</v>
      </c>
      <c r="O1111" s="19" t="n">
        <f aca="false">IF($J1111=0,0,MIN(1,$N1111/MAX(1,INDEX(ROTACAO_RDM!$K$6:$K$71,$J1111))))</f>
        <v>0</v>
      </c>
      <c r="P1111" s="16" t="n">
        <f aca="false">IF($J1111=0,0,IFERROR(MATCH(INDEX(ROTACAO_RDM!$N$6:$N$71,$J1111),PARAMETROS_CULTURAS!$B$6:$B$28,0),0))</f>
        <v>0</v>
      </c>
      <c r="Q1111" s="8" t="str">
        <f aca="false">IF($P1111=0,"-",IF($O1111&lt;=INDEX(PARAMETROS_CULTURAS!$F$6:$F$28,$P1111),"INICIAL",IF($O1111&lt;=INDEX(PARAMETROS_CULTURAS!$F$6:$F$28,$P1111)+INDEX(PARAMETROS_CULTURAS!$G$6:$G$28,$P1111),"DESENVOLVIMENTO",IF($O1111&lt;=INDEX(PARAMETROS_CULTURAS!$F$6:$F$28,$P1111)+INDEX(PARAMETROS_CULTURAS!$G$6:$G$28,$P1111)+INDEX(PARAMETROS_CULTURAS!$H$6:$H$28,$P1111),"MEDIA","FINAL"))))</f>
        <v>-</v>
      </c>
      <c r="R1111" s="24" t="n">
        <f aca="false">IF($P1111=0,0,IF($O1111&lt;=INDEX(PARAMETROS_CULTURAS!$F$6:$F$28,$P1111),INDEX(PARAMETROS_CULTURAS!$K$6:$K$28,$P1111),IF($O1111&lt;=INDEX(PARAMETROS_CULTURAS!$F$6:$F$28,$P1111)+INDEX(PARAMETROS_CULTURAS!$G$6:$G$28,$P1111),INDEX(PARAMETROS_CULTURAS!$K$6:$K$28,$P1111)+(INDEX(PARAMETROS_CULTURAS!$L$6:$L$28,$P1111)-INDEX(PARAMETROS_CULTURAS!$K$6:$K$28,$P1111))*($O1111-INDEX(PARAMETROS_CULTURAS!$F$6:$F$28,$P1111))/MAX(INDEX(PARAMETROS_CULTURAS!$G$6:$G$28,$P1111),0.0001),IF($O1111&lt;=INDEX(PARAMETROS_CULTURAS!$F$6:$F$28,$P1111)+INDEX(PARAMETROS_CULTURAS!$G$6:$G$28,$P1111)+INDEX(PARAMETROS_CULTURAS!$H$6:$H$28,$P1111),INDEX(PARAMETROS_CULTURAS!$L$6:$L$28,$P1111),INDEX(PARAMETROS_CULTURAS!$L$6:$L$28,$P1111)+(INDEX(PARAMETROS_CULTURAS!$M$6:$M$28,$P1111)-INDEX(PARAMETROS_CULTURAS!$L$6:$L$28,$P1111))*($O1111-INDEX(PARAMETROS_CULTURAS!$F$6:$F$28,$P1111)-INDEX(PARAMETROS_CULTURAS!$G$6:$G$28,$P1111)-INDEX(PARAMETROS_CULTURAS!$H$6:$H$28,$P1111))/MAX(INDEX(PARAMETROS_CULTURAS!$I$6:$I$28,$P1111),0.0001)))))</f>
        <v>0</v>
      </c>
      <c r="S1111" s="18" t="n">
        <f aca="false">IFERROR(INDEX(SEMANAS!$H$6:$H$71,MATCH($B1111,SEMANAS!$B$6:$B$71,0)),0)</f>
        <v>36.4</v>
      </c>
      <c r="T1111" s="18" t="n">
        <f aca="false">$R1111*$S1111</f>
        <v>0</v>
      </c>
      <c r="U1111" s="18" t="n">
        <f aca="false">IFERROR(INDEX(SEMANAS!$I$6:$I$71,MATCH($B1111,SEMANAS!$B$6:$B$71,0)),0)</f>
        <v>1.12</v>
      </c>
      <c r="V1111" s="18" t="n">
        <f aca="false">IFERROR(INDEX(SEMANAS!$J$6:$J$71,MATCH($B1111,SEMANAS!$B$6:$B$71,0)),0)</f>
        <v>0.896</v>
      </c>
      <c r="W1111" s="18" t="n">
        <f aca="false">MAX(0,$T1111-$V1111)</f>
        <v>0</v>
      </c>
      <c r="X1111" s="19" t="n">
        <f aca="false">IFERROR(INDEX(CADASTRO_PIVOS!$K$6:$K$41,MATCH($E1111,CADASTRO_PIVOS!$B$6:$B$41,0)),EFICIENCIA_PADRAO)</f>
        <v>0.85</v>
      </c>
      <c r="Y1111" s="18" t="n">
        <f aca="false">IF($X1111&lt;=0,0,$W1111/$X1111)</f>
        <v>0</v>
      </c>
      <c r="Z1111" s="16" t="n">
        <f aca="false">$Y1111*$H1111*MM_PARA_M3_HA</f>
        <v>0</v>
      </c>
      <c r="AA1111" s="18" t="n">
        <f aca="false">IFERROR(INDEX(CADASTRO_PIVOS!$I$6:$I$41,MATCH($E1111,CADASTRO_PIVOS!$B$6:$B$41,0)),0)</f>
        <v>1068.21428571429</v>
      </c>
      <c r="AB1111" s="18" t="n">
        <f aca="false">IF($Z1111&lt;=0,0,$Z1111/$AA1111)</f>
        <v>0</v>
      </c>
      <c r="AC1111" s="16" t="n">
        <f aca="false">IFERROR(INDEX(SEMANAS!$K$6:$K$71,MATCH($B1111,SEMANAS!$B$6:$B$71,0)),0)</f>
        <v>147</v>
      </c>
      <c r="AD1111" s="19" t="n">
        <f aca="false">IF($AC1111&lt;=0,0,$AB1111/$AC1111)</f>
        <v>0</v>
      </c>
      <c r="AE1111" s="8" t="str">
        <f aca="false">IF($K1111="SEM CULTURA","SEM CULTURA",IF($AA1111&lt;=0,"DADO PENDENTE",IF($AD1111&gt;LIMITE_CRITICO,"INVIAVEL",IF($AD1111&gt;LIMITE_ATENCAO,"CRITICO",IF($AD1111&gt;LIMITE_CONFORTAVEL,"ATENCAO","OK")))))</f>
        <v>SEM CULTURA</v>
      </c>
      <c r="AF1111" s="8" t="str">
        <f aca="false">$B1111&amp;"|"&amp;TEXT($AD1111,"0.000000")</f>
        <v>50|0.000000</v>
      </c>
      <c r="AG1111" s="18" t="n">
        <f aca="false">IF($K1111="SEM CULTURA",0,$T1111*$H1111)</f>
        <v>0</v>
      </c>
      <c r="AH1111" s="18" t="n">
        <f aca="false">IF($K1111="SEM CULTURA",0,$V1111*$H1111)</f>
        <v>0</v>
      </c>
      <c r="AI1111" s="18" t="n">
        <f aca="false">IF($K1111="SEM CULTURA",0,$W1111*$H1111)</f>
        <v>0</v>
      </c>
      <c r="AJ1111" s="18" t="n">
        <f aca="false">IF($K1111="SEM CULTURA",0,$S1111*$H1111)</f>
        <v>0</v>
      </c>
      <c r="AK1111" s="8" t="str">
        <f aca="false">$E1111&amp;"|"&amp;TEXT($AD1111,"0.000000")</f>
        <v>PV 116|0.000000</v>
      </c>
    </row>
    <row r="1112" customFormat="false" ht="15" hidden="false" customHeight="false" outlineLevel="0" collapsed="false">
      <c r="B1112" s="16" t="n">
        <v>51</v>
      </c>
      <c r="C1112" s="17" t="n">
        <f aca="false">DATA_INICIO_SAFRA+($B1112-1)*DIAS_POR_SEMANA</f>
        <v>46615</v>
      </c>
      <c r="D1112" s="17" t="n">
        <f aca="false">$C1112+DIAS_POR_SEMANA-1</f>
        <v>46621</v>
      </c>
      <c r="E1112" s="15" t="s">
        <v>275</v>
      </c>
      <c r="F1112" s="8" t="str">
        <f aca="false">IFERROR(INDEX(CADASTRO_PIVOS!$C$6:$C$41,MATCH($E1112,CADASTRO_PIVOS!$B$6:$B$41,0)),"?")</f>
        <v>RM06</v>
      </c>
      <c r="G1112" s="8" t="str">
        <f aca="false">IFERROR(INDEX(CADASTRO_PIVOS!$D$6:$D$41,MATCH($E1112,CADASTRO_PIVOS!$B$6:$B$41,0)),"?")</f>
        <v>TR06</v>
      </c>
      <c r="H1112" s="20" t="n">
        <f aca="false">IFERROR(INDEX(CADASTRO_PIVOS!$E$6:$E$41,MATCH($E1112,CADASTRO_PIVOS!$B$6:$B$41,0)),0)</f>
        <v>149.55</v>
      </c>
      <c r="I1112" s="16" t="n">
        <f aca="false">IFERROR(SUMIFS(ROTACAO_RDM!$B$6:$B$71,ROTACAO_RDM!$D$6:$D$71,$E1112,ROTACAO_RDM!$I$6:$I$71,"&lt;="&amp;$C1112+INT(DIAS_POR_SEMANA/2),ROTACAO_RDM!$J$6:$J$71,"&gt;="&amp;$C1112+INT(DIAS_POR_SEMANA/2)),0)</f>
        <v>0</v>
      </c>
      <c r="J1112" s="16" t="n">
        <f aca="false">IFERROR(MATCH($I1112,ROTACAO_RDM!$B$6:$B$71,0),0)</f>
        <v>0</v>
      </c>
      <c r="K1112" s="8" t="str">
        <f aca="false">IF($J1112=0,"SEM CULTURA",INDEX(ROTACAO_RDM!$F$6:$F$71,$J1112))</f>
        <v>SEM CULTURA</v>
      </c>
      <c r="L1112" s="8" t="str">
        <f aca="false">IF($J1112=0,"",INDEX(ROTACAO_RDM!$G$6:$G$71,$J1112))</f>
        <v/>
      </c>
      <c r="M1112" s="17" t="str">
        <f aca="false">IF($J1112=0,"",INDEX(ROTACAO_RDM!$I$6:$I$71,$J1112))</f>
        <v/>
      </c>
      <c r="N1112" s="16" t="n">
        <f aca="false">IF($J1112=0,0,MAX(0,$C1112+INT(DIAS_POR_SEMANA/2)-INDEX(ROTACAO_RDM!$I$6:$I$71,$J1112)))</f>
        <v>0</v>
      </c>
      <c r="O1112" s="19" t="n">
        <f aca="false">IF($J1112=0,0,MIN(1,$N1112/MAX(1,INDEX(ROTACAO_RDM!$K$6:$K$71,$J1112))))</f>
        <v>0</v>
      </c>
      <c r="P1112" s="16" t="n">
        <f aca="false">IF($J1112=0,0,IFERROR(MATCH(INDEX(ROTACAO_RDM!$N$6:$N$71,$J1112),PARAMETROS_CULTURAS!$B$6:$B$28,0),0))</f>
        <v>0</v>
      </c>
      <c r="Q1112" s="8" t="str">
        <f aca="false">IF($P1112=0,"-",IF($O1112&lt;=INDEX(PARAMETROS_CULTURAS!$F$6:$F$28,$P1112),"INICIAL",IF($O1112&lt;=INDEX(PARAMETROS_CULTURAS!$F$6:$F$28,$P1112)+INDEX(PARAMETROS_CULTURAS!$G$6:$G$28,$P1112),"DESENVOLVIMENTO",IF($O1112&lt;=INDEX(PARAMETROS_CULTURAS!$F$6:$F$28,$P1112)+INDEX(PARAMETROS_CULTURAS!$G$6:$G$28,$P1112)+INDEX(PARAMETROS_CULTURAS!$H$6:$H$28,$P1112),"MEDIA","FINAL"))))</f>
        <v>-</v>
      </c>
      <c r="R1112" s="24" t="n">
        <f aca="false">IF($P1112=0,0,IF($O1112&lt;=INDEX(PARAMETROS_CULTURAS!$F$6:$F$28,$P1112),INDEX(PARAMETROS_CULTURAS!$K$6:$K$28,$P1112),IF($O1112&lt;=INDEX(PARAMETROS_CULTURAS!$F$6:$F$28,$P1112)+INDEX(PARAMETROS_CULTURAS!$G$6:$G$28,$P1112),INDEX(PARAMETROS_CULTURAS!$K$6:$K$28,$P1112)+(INDEX(PARAMETROS_CULTURAS!$L$6:$L$28,$P1112)-INDEX(PARAMETROS_CULTURAS!$K$6:$K$28,$P1112))*($O1112-INDEX(PARAMETROS_CULTURAS!$F$6:$F$28,$P1112))/MAX(INDEX(PARAMETROS_CULTURAS!$G$6:$G$28,$P1112),0.0001),IF($O1112&lt;=INDEX(PARAMETROS_CULTURAS!$F$6:$F$28,$P1112)+INDEX(PARAMETROS_CULTURAS!$G$6:$G$28,$P1112)+INDEX(PARAMETROS_CULTURAS!$H$6:$H$28,$P1112),INDEX(PARAMETROS_CULTURAS!$L$6:$L$28,$P1112),INDEX(PARAMETROS_CULTURAS!$L$6:$L$28,$P1112)+(INDEX(PARAMETROS_CULTURAS!$M$6:$M$28,$P1112)-INDEX(PARAMETROS_CULTURAS!$L$6:$L$28,$P1112))*($O1112-INDEX(PARAMETROS_CULTURAS!$F$6:$F$28,$P1112)-INDEX(PARAMETROS_CULTURAS!$G$6:$G$28,$P1112)-INDEX(PARAMETROS_CULTURAS!$H$6:$H$28,$P1112))/MAX(INDEX(PARAMETROS_CULTURAS!$I$6:$I$28,$P1112),0.0001)))))</f>
        <v>0</v>
      </c>
      <c r="S1112" s="18" t="n">
        <f aca="false">IFERROR(INDEX(SEMANAS!$H$6:$H$71,MATCH($B1112,SEMANAS!$B$6:$B$71,0)),0)</f>
        <v>36.4</v>
      </c>
      <c r="T1112" s="18" t="n">
        <f aca="false">$R1112*$S1112</f>
        <v>0</v>
      </c>
      <c r="U1112" s="18" t="n">
        <f aca="false">IFERROR(INDEX(SEMANAS!$I$6:$I$71,MATCH($B1112,SEMANAS!$B$6:$B$71,0)),0)</f>
        <v>1.12</v>
      </c>
      <c r="V1112" s="18" t="n">
        <f aca="false">IFERROR(INDEX(SEMANAS!$J$6:$J$71,MATCH($B1112,SEMANAS!$B$6:$B$71,0)),0)</f>
        <v>0.896</v>
      </c>
      <c r="W1112" s="18" t="n">
        <f aca="false">MAX(0,$T1112-$V1112)</f>
        <v>0</v>
      </c>
      <c r="X1112" s="19" t="n">
        <f aca="false">IFERROR(INDEX(CADASTRO_PIVOS!$K$6:$K$41,MATCH($E1112,CADASTRO_PIVOS!$B$6:$B$41,0)),EFICIENCIA_PADRAO)</f>
        <v>0.85</v>
      </c>
      <c r="Y1112" s="18" t="n">
        <f aca="false">IF($X1112&lt;=0,0,$W1112/$X1112)</f>
        <v>0</v>
      </c>
      <c r="Z1112" s="16" t="n">
        <f aca="false">$Y1112*$H1112*MM_PARA_M3_HA</f>
        <v>0</v>
      </c>
      <c r="AA1112" s="18" t="n">
        <f aca="false">IFERROR(INDEX(CADASTRO_PIVOS!$I$6:$I$41,MATCH($E1112,CADASTRO_PIVOS!$B$6:$B$41,0)),0)</f>
        <v>1068.21428571429</v>
      </c>
      <c r="AB1112" s="18" t="n">
        <f aca="false">IF($Z1112&lt;=0,0,$Z1112/$AA1112)</f>
        <v>0</v>
      </c>
      <c r="AC1112" s="16" t="n">
        <f aca="false">IFERROR(INDEX(SEMANAS!$K$6:$K$71,MATCH($B1112,SEMANAS!$B$6:$B$71,0)),0)</f>
        <v>147</v>
      </c>
      <c r="AD1112" s="19" t="n">
        <f aca="false">IF($AC1112&lt;=0,0,$AB1112/$AC1112)</f>
        <v>0</v>
      </c>
      <c r="AE1112" s="8" t="str">
        <f aca="false">IF($K1112="SEM CULTURA","SEM CULTURA",IF($AA1112&lt;=0,"DADO PENDENTE",IF($AD1112&gt;LIMITE_CRITICO,"INVIAVEL",IF($AD1112&gt;LIMITE_ATENCAO,"CRITICO",IF($AD1112&gt;LIMITE_CONFORTAVEL,"ATENCAO","OK")))))</f>
        <v>SEM CULTURA</v>
      </c>
      <c r="AF1112" s="8" t="str">
        <f aca="false">$B1112&amp;"|"&amp;TEXT($AD1112,"0.000000")</f>
        <v>51|0.000000</v>
      </c>
      <c r="AG1112" s="18" t="n">
        <f aca="false">IF($K1112="SEM CULTURA",0,$T1112*$H1112)</f>
        <v>0</v>
      </c>
      <c r="AH1112" s="18" t="n">
        <f aca="false">IF($K1112="SEM CULTURA",0,$V1112*$H1112)</f>
        <v>0</v>
      </c>
      <c r="AI1112" s="18" t="n">
        <f aca="false">IF($K1112="SEM CULTURA",0,$W1112*$H1112)</f>
        <v>0</v>
      </c>
      <c r="AJ1112" s="18" t="n">
        <f aca="false">IF($K1112="SEM CULTURA",0,$S1112*$H1112)</f>
        <v>0</v>
      </c>
      <c r="AK1112" s="8" t="str">
        <f aca="false">$E1112&amp;"|"&amp;TEXT($AD1112,"0.000000")</f>
        <v>PV 116|0.000000</v>
      </c>
    </row>
    <row r="1113" customFormat="false" ht="15" hidden="false" customHeight="false" outlineLevel="0" collapsed="false">
      <c r="B1113" s="16" t="n">
        <v>52</v>
      </c>
      <c r="C1113" s="17" t="n">
        <f aca="false">DATA_INICIO_SAFRA+($B1113-1)*DIAS_POR_SEMANA</f>
        <v>46622</v>
      </c>
      <c r="D1113" s="17" t="n">
        <f aca="false">$C1113+DIAS_POR_SEMANA-1</f>
        <v>46628</v>
      </c>
      <c r="E1113" s="15" t="s">
        <v>275</v>
      </c>
      <c r="F1113" s="8" t="str">
        <f aca="false">IFERROR(INDEX(CADASTRO_PIVOS!$C$6:$C$41,MATCH($E1113,CADASTRO_PIVOS!$B$6:$B$41,0)),"?")</f>
        <v>RM06</v>
      </c>
      <c r="G1113" s="8" t="str">
        <f aca="false">IFERROR(INDEX(CADASTRO_PIVOS!$D$6:$D$41,MATCH($E1113,CADASTRO_PIVOS!$B$6:$B$41,0)),"?")</f>
        <v>TR06</v>
      </c>
      <c r="H1113" s="20" t="n">
        <f aca="false">IFERROR(INDEX(CADASTRO_PIVOS!$E$6:$E$41,MATCH($E1113,CADASTRO_PIVOS!$B$6:$B$41,0)),0)</f>
        <v>149.55</v>
      </c>
      <c r="I1113" s="16" t="n">
        <f aca="false">IFERROR(SUMIFS(ROTACAO_RDM!$B$6:$B$71,ROTACAO_RDM!$D$6:$D$71,$E1113,ROTACAO_RDM!$I$6:$I$71,"&lt;="&amp;$C1113+INT(DIAS_POR_SEMANA/2),ROTACAO_RDM!$J$6:$J$71,"&gt;="&amp;$C1113+INT(DIAS_POR_SEMANA/2)),0)</f>
        <v>0</v>
      </c>
      <c r="J1113" s="16" t="n">
        <f aca="false">IFERROR(MATCH($I1113,ROTACAO_RDM!$B$6:$B$71,0),0)</f>
        <v>0</v>
      </c>
      <c r="K1113" s="8" t="str">
        <f aca="false">IF($J1113=0,"SEM CULTURA",INDEX(ROTACAO_RDM!$F$6:$F$71,$J1113))</f>
        <v>SEM CULTURA</v>
      </c>
      <c r="L1113" s="8" t="str">
        <f aca="false">IF($J1113=0,"",INDEX(ROTACAO_RDM!$G$6:$G$71,$J1113))</f>
        <v/>
      </c>
      <c r="M1113" s="17" t="str">
        <f aca="false">IF($J1113=0,"",INDEX(ROTACAO_RDM!$I$6:$I$71,$J1113))</f>
        <v/>
      </c>
      <c r="N1113" s="16" t="n">
        <f aca="false">IF($J1113=0,0,MAX(0,$C1113+INT(DIAS_POR_SEMANA/2)-INDEX(ROTACAO_RDM!$I$6:$I$71,$J1113)))</f>
        <v>0</v>
      </c>
      <c r="O1113" s="19" t="n">
        <f aca="false">IF($J1113=0,0,MIN(1,$N1113/MAX(1,INDEX(ROTACAO_RDM!$K$6:$K$71,$J1113))))</f>
        <v>0</v>
      </c>
      <c r="P1113" s="16" t="n">
        <f aca="false">IF($J1113=0,0,IFERROR(MATCH(INDEX(ROTACAO_RDM!$N$6:$N$71,$J1113),PARAMETROS_CULTURAS!$B$6:$B$28,0),0))</f>
        <v>0</v>
      </c>
      <c r="Q1113" s="8" t="str">
        <f aca="false">IF($P1113=0,"-",IF($O1113&lt;=INDEX(PARAMETROS_CULTURAS!$F$6:$F$28,$P1113),"INICIAL",IF($O1113&lt;=INDEX(PARAMETROS_CULTURAS!$F$6:$F$28,$P1113)+INDEX(PARAMETROS_CULTURAS!$G$6:$G$28,$P1113),"DESENVOLVIMENTO",IF($O1113&lt;=INDEX(PARAMETROS_CULTURAS!$F$6:$F$28,$P1113)+INDEX(PARAMETROS_CULTURAS!$G$6:$G$28,$P1113)+INDEX(PARAMETROS_CULTURAS!$H$6:$H$28,$P1113),"MEDIA","FINAL"))))</f>
        <v>-</v>
      </c>
      <c r="R1113" s="24" t="n">
        <f aca="false">IF($P1113=0,0,IF($O1113&lt;=INDEX(PARAMETROS_CULTURAS!$F$6:$F$28,$P1113),INDEX(PARAMETROS_CULTURAS!$K$6:$K$28,$P1113),IF($O1113&lt;=INDEX(PARAMETROS_CULTURAS!$F$6:$F$28,$P1113)+INDEX(PARAMETROS_CULTURAS!$G$6:$G$28,$P1113),INDEX(PARAMETROS_CULTURAS!$K$6:$K$28,$P1113)+(INDEX(PARAMETROS_CULTURAS!$L$6:$L$28,$P1113)-INDEX(PARAMETROS_CULTURAS!$K$6:$K$28,$P1113))*($O1113-INDEX(PARAMETROS_CULTURAS!$F$6:$F$28,$P1113))/MAX(INDEX(PARAMETROS_CULTURAS!$G$6:$G$28,$P1113),0.0001),IF($O1113&lt;=INDEX(PARAMETROS_CULTURAS!$F$6:$F$28,$P1113)+INDEX(PARAMETROS_CULTURAS!$G$6:$G$28,$P1113)+INDEX(PARAMETROS_CULTURAS!$H$6:$H$28,$P1113),INDEX(PARAMETROS_CULTURAS!$L$6:$L$28,$P1113),INDEX(PARAMETROS_CULTURAS!$L$6:$L$28,$P1113)+(INDEX(PARAMETROS_CULTURAS!$M$6:$M$28,$P1113)-INDEX(PARAMETROS_CULTURAS!$L$6:$L$28,$P1113))*($O1113-INDEX(PARAMETROS_CULTURAS!$F$6:$F$28,$P1113)-INDEX(PARAMETROS_CULTURAS!$G$6:$G$28,$P1113)-INDEX(PARAMETROS_CULTURAS!$H$6:$H$28,$P1113))/MAX(INDEX(PARAMETROS_CULTURAS!$I$6:$I$28,$P1113),0.0001)))))</f>
        <v>0</v>
      </c>
      <c r="S1113" s="18" t="n">
        <f aca="false">IFERROR(INDEX(SEMANAS!$H$6:$H$71,MATCH($B1113,SEMANAS!$B$6:$B$71,0)),0)</f>
        <v>36.4</v>
      </c>
      <c r="T1113" s="18" t="n">
        <f aca="false">$R1113*$S1113</f>
        <v>0</v>
      </c>
      <c r="U1113" s="18" t="n">
        <f aca="false">IFERROR(INDEX(SEMANAS!$I$6:$I$71,MATCH($B1113,SEMANAS!$B$6:$B$71,0)),0)</f>
        <v>1.12</v>
      </c>
      <c r="V1113" s="18" t="n">
        <f aca="false">IFERROR(INDEX(SEMANAS!$J$6:$J$71,MATCH($B1113,SEMANAS!$B$6:$B$71,0)),0)</f>
        <v>0.896</v>
      </c>
      <c r="W1113" s="18" t="n">
        <f aca="false">MAX(0,$T1113-$V1113)</f>
        <v>0</v>
      </c>
      <c r="X1113" s="19" t="n">
        <f aca="false">IFERROR(INDEX(CADASTRO_PIVOS!$K$6:$K$41,MATCH($E1113,CADASTRO_PIVOS!$B$6:$B$41,0)),EFICIENCIA_PADRAO)</f>
        <v>0.85</v>
      </c>
      <c r="Y1113" s="18" t="n">
        <f aca="false">IF($X1113&lt;=0,0,$W1113/$X1113)</f>
        <v>0</v>
      </c>
      <c r="Z1113" s="16" t="n">
        <f aca="false">$Y1113*$H1113*MM_PARA_M3_HA</f>
        <v>0</v>
      </c>
      <c r="AA1113" s="18" t="n">
        <f aca="false">IFERROR(INDEX(CADASTRO_PIVOS!$I$6:$I$41,MATCH($E1113,CADASTRO_PIVOS!$B$6:$B$41,0)),0)</f>
        <v>1068.21428571429</v>
      </c>
      <c r="AB1113" s="18" t="n">
        <f aca="false">IF($Z1113&lt;=0,0,$Z1113/$AA1113)</f>
        <v>0</v>
      </c>
      <c r="AC1113" s="16" t="n">
        <f aca="false">IFERROR(INDEX(SEMANAS!$K$6:$K$71,MATCH($B1113,SEMANAS!$B$6:$B$71,0)),0)</f>
        <v>147</v>
      </c>
      <c r="AD1113" s="19" t="n">
        <f aca="false">IF($AC1113&lt;=0,0,$AB1113/$AC1113)</f>
        <v>0</v>
      </c>
      <c r="AE1113" s="8" t="str">
        <f aca="false">IF($K1113="SEM CULTURA","SEM CULTURA",IF($AA1113&lt;=0,"DADO PENDENTE",IF($AD1113&gt;LIMITE_CRITICO,"INVIAVEL",IF($AD1113&gt;LIMITE_ATENCAO,"CRITICO",IF($AD1113&gt;LIMITE_CONFORTAVEL,"ATENCAO","OK")))))</f>
        <v>SEM CULTURA</v>
      </c>
      <c r="AF1113" s="8" t="str">
        <f aca="false">$B1113&amp;"|"&amp;TEXT($AD1113,"0.000000")</f>
        <v>52|0.000000</v>
      </c>
      <c r="AG1113" s="18" t="n">
        <f aca="false">IF($K1113="SEM CULTURA",0,$T1113*$H1113)</f>
        <v>0</v>
      </c>
      <c r="AH1113" s="18" t="n">
        <f aca="false">IF($K1113="SEM CULTURA",0,$V1113*$H1113)</f>
        <v>0</v>
      </c>
      <c r="AI1113" s="18" t="n">
        <f aca="false">IF($K1113="SEM CULTURA",0,$W1113*$H1113)</f>
        <v>0</v>
      </c>
      <c r="AJ1113" s="18" t="n">
        <f aca="false">IF($K1113="SEM CULTURA",0,$S1113*$H1113)</f>
        <v>0</v>
      </c>
      <c r="AK1113" s="8" t="str">
        <f aca="false">$E1113&amp;"|"&amp;TEXT($AD1113,"0.000000")</f>
        <v>PV 116|0.000000</v>
      </c>
    </row>
    <row r="1114" customFormat="false" ht="15" hidden="false" customHeight="false" outlineLevel="0" collapsed="false">
      <c r="B1114" s="16" t="n">
        <v>53</v>
      </c>
      <c r="C1114" s="17" t="n">
        <f aca="false">DATA_INICIO_SAFRA+($B1114-1)*DIAS_POR_SEMANA</f>
        <v>46629</v>
      </c>
      <c r="D1114" s="17" t="n">
        <f aca="false">$C1114+DIAS_POR_SEMANA-1</f>
        <v>46635</v>
      </c>
      <c r="E1114" s="15" t="s">
        <v>275</v>
      </c>
      <c r="F1114" s="8" t="str">
        <f aca="false">IFERROR(INDEX(CADASTRO_PIVOS!$C$6:$C$41,MATCH($E1114,CADASTRO_PIVOS!$B$6:$B$41,0)),"?")</f>
        <v>RM06</v>
      </c>
      <c r="G1114" s="8" t="str">
        <f aca="false">IFERROR(INDEX(CADASTRO_PIVOS!$D$6:$D$41,MATCH($E1114,CADASTRO_PIVOS!$B$6:$B$41,0)),"?")</f>
        <v>TR06</v>
      </c>
      <c r="H1114" s="20" t="n">
        <f aca="false">IFERROR(INDEX(CADASTRO_PIVOS!$E$6:$E$41,MATCH($E1114,CADASTRO_PIVOS!$B$6:$B$41,0)),0)</f>
        <v>149.55</v>
      </c>
      <c r="I1114" s="16" t="n">
        <f aca="false">IFERROR(SUMIFS(ROTACAO_RDM!$B$6:$B$71,ROTACAO_RDM!$D$6:$D$71,$E1114,ROTACAO_RDM!$I$6:$I$71,"&lt;="&amp;$C1114+INT(DIAS_POR_SEMANA/2),ROTACAO_RDM!$J$6:$J$71,"&gt;="&amp;$C1114+INT(DIAS_POR_SEMANA/2)),0)</f>
        <v>0</v>
      </c>
      <c r="J1114" s="16" t="n">
        <f aca="false">IFERROR(MATCH($I1114,ROTACAO_RDM!$B$6:$B$71,0),0)</f>
        <v>0</v>
      </c>
      <c r="K1114" s="8" t="str">
        <f aca="false">IF($J1114=0,"SEM CULTURA",INDEX(ROTACAO_RDM!$F$6:$F$71,$J1114))</f>
        <v>SEM CULTURA</v>
      </c>
      <c r="L1114" s="8" t="str">
        <f aca="false">IF($J1114=0,"",INDEX(ROTACAO_RDM!$G$6:$G$71,$J1114))</f>
        <v/>
      </c>
      <c r="M1114" s="17" t="str">
        <f aca="false">IF($J1114=0,"",INDEX(ROTACAO_RDM!$I$6:$I$71,$J1114))</f>
        <v/>
      </c>
      <c r="N1114" s="16" t="n">
        <f aca="false">IF($J1114=0,0,MAX(0,$C1114+INT(DIAS_POR_SEMANA/2)-INDEX(ROTACAO_RDM!$I$6:$I$71,$J1114)))</f>
        <v>0</v>
      </c>
      <c r="O1114" s="19" t="n">
        <f aca="false">IF($J1114=0,0,MIN(1,$N1114/MAX(1,INDEX(ROTACAO_RDM!$K$6:$K$71,$J1114))))</f>
        <v>0</v>
      </c>
      <c r="P1114" s="16" t="n">
        <f aca="false">IF($J1114=0,0,IFERROR(MATCH(INDEX(ROTACAO_RDM!$N$6:$N$71,$J1114),PARAMETROS_CULTURAS!$B$6:$B$28,0),0))</f>
        <v>0</v>
      </c>
      <c r="Q1114" s="8" t="str">
        <f aca="false">IF($P1114=0,"-",IF($O1114&lt;=INDEX(PARAMETROS_CULTURAS!$F$6:$F$28,$P1114),"INICIAL",IF($O1114&lt;=INDEX(PARAMETROS_CULTURAS!$F$6:$F$28,$P1114)+INDEX(PARAMETROS_CULTURAS!$G$6:$G$28,$P1114),"DESENVOLVIMENTO",IF($O1114&lt;=INDEX(PARAMETROS_CULTURAS!$F$6:$F$28,$P1114)+INDEX(PARAMETROS_CULTURAS!$G$6:$G$28,$P1114)+INDEX(PARAMETROS_CULTURAS!$H$6:$H$28,$P1114),"MEDIA","FINAL"))))</f>
        <v>-</v>
      </c>
      <c r="R1114" s="24" t="n">
        <f aca="false">IF($P1114=0,0,IF($O1114&lt;=INDEX(PARAMETROS_CULTURAS!$F$6:$F$28,$P1114),INDEX(PARAMETROS_CULTURAS!$K$6:$K$28,$P1114),IF($O1114&lt;=INDEX(PARAMETROS_CULTURAS!$F$6:$F$28,$P1114)+INDEX(PARAMETROS_CULTURAS!$G$6:$G$28,$P1114),INDEX(PARAMETROS_CULTURAS!$K$6:$K$28,$P1114)+(INDEX(PARAMETROS_CULTURAS!$L$6:$L$28,$P1114)-INDEX(PARAMETROS_CULTURAS!$K$6:$K$28,$P1114))*($O1114-INDEX(PARAMETROS_CULTURAS!$F$6:$F$28,$P1114))/MAX(INDEX(PARAMETROS_CULTURAS!$G$6:$G$28,$P1114),0.0001),IF($O1114&lt;=INDEX(PARAMETROS_CULTURAS!$F$6:$F$28,$P1114)+INDEX(PARAMETROS_CULTURAS!$G$6:$G$28,$P1114)+INDEX(PARAMETROS_CULTURAS!$H$6:$H$28,$P1114),INDEX(PARAMETROS_CULTURAS!$L$6:$L$28,$P1114),INDEX(PARAMETROS_CULTURAS!$L$6:$L$28,$P1114)+(INDEX(PARAMETROS_CULTURAS!$M$6:$M$28,$P1114)-INDEX(PARAMETROS_CULTURAS!$L$6:$L$28,$P1114))*($O1114-INDEX(PARAMETROS_CULTURAS!$F$6:$F$28,$P1114)-INDEX(PARAMETROS_CULTURAS!$G$6:$G$28,$P1114)-INDEX(PARAMETROS_CULTURAS!$H$6:$H$28,$P1114))/MAX(INDEX(PARAMETROS_CULTURAS!$I$6:$I$28,$P1114),0.0001)))))</f>
        <v>0</v>
      </c>
      <c r="S1114" s="18" t="n">
        <f aca="false">IFERROR(INDEX(SEMANAS!$H$6:$H$71,MATCH($B1114,SEMANAS!$B$6:$B$71,0)),0)</f>
        <v>39.4</v>
      </c>
      <c r="T1114" s="18" t="n">
        <f aca="false">$R1114*$S1114</f>
        <v>0</v>
      </c>
      <c r="U1114" s="18" t="n">
        <f aca="false">IFERROR(INDEX(SEMANAS!$I$6:$I$71,MATCH($B1114,SEMANAS!$B$6:$B$71,0)),0)</f>
        <v>5.32</v>
      </c>
      <c r="V1114" s="18" t="n">
        <f aca="false">IFERROR(INDEX(SEMANAS!$J$6:$J$71,MATCH($B1114,SEMANAS!$B$6:$B$71,0)),0)</f>
        <v>4.256</v>
      </c>
      <c r="W1114" s="18" t="n">
        <f aca="false">MAX(0,$T1114-$V1114)</f>
        <v>0</v>
      </c>
      <c r="X1114" s="19" t="n">
        <f aca="false">IFERROR(INDEX(CADASTRO_PIVOS!$K$6:$K$41,MATCH($E1114,CADASTRO_PIVOS!$B$6:$B$41,0)),EFICIENCIA_PADRAO)</f>
        <v>0.85</v>
      </c>
      <c r="Y1114" s="18" t="n">
        <f aca="false">IF($X1114&lt;=0,0,$W1114/$X1114)</f>
        <v>0</v>
      </c>
      <c r="Z1114" s="16" t="n">
        <f aca="false">$Y1114*$H1114*MM_PARA_M3_HA</f>
        <v>0</v>
      </c>
      <c r="AA1114" s="18" t="n">
        <f aca="false">IFERROR(INDEX(CADASTRO_PIVOS!$I$6:$I$41,MATCH($E1114,CADASTRO_PIVOS!$B$6:$B$41,0)),0)</f>
        <v>1068.21428571429</v>
      </c>
      <c r="AB1114" s="18" t="n">
        <f aca="false">IF($Z1114&lt;=0,0,$Z1114/$AA1114)</f>
        <v>0</v>
      </c>
      <c r="AC1114" s="16" t="n">
        <f aca="false">IFERROR(INDEX(SEMANAS!$K$6:$K$71,MATCH($B1114,SEMANAS!$B$6:$B$71,0)),0)</f>
        <v>147</v>
      </c>
      <c r="AD1114" s="19" t="n">
        <f aca="false">IF($AC1114&lt;=0,0,$AB1114/$AC1114)</f>
        <v>0</v>
      </c>
      <c r="AE1114" s="8" t="str">
        <f aca="false">IF($K1114="SEM CULTURA","SEM CULTURA",IF($AA1114&lt;=0,"DADO PENDENTE",IF($AD1114&gt;LIMITE_CRITICO,"INVIAVEL",IF($AD1114&gt;LIMITE_ATENCAO,"CRITICO",IF($AD1114&gt;LIMITE_CONFORTAVEL,"ATENCAO","OK")))))</f>
        <v>SEM CULTURA</v>
      </c>
      <c r="AF1114" s="8" t="str">
        <f aca="false">$B1114&amp;"|"&amp;TEXT($AD1114,"0.000000")</f>
        <v>53|0.000000</v>
      </c>
      <c r="AG1114" s="18" t="n">
        <f aca="false">IF($K1114="SEM CULTURA",0,$T1114*$H1114)</f>
        <v>0</v>
      </c>
      <c r="AH1114" s="18" t="n">
        <f aca="false">IF($K1114="SEM CULTURA",0,$V1114*$H1114)</f>
        <v>0</v>
      </c>
      <c r="AI1114" s="18" t="n">
        <f aca="false">IF($K1114="SEM CULTURA",0,$W1114*$H1114)</f>
        <v>0</v>
      </c>
      <c r="AJ1114" s="18" t="n">
        <f aca="false">IF($K1114="SEM CULTURA",0,$S1114*$H1114)</f>
        <v>0</v>
      </c>
      <c r="AK1114" s="8" t="str">
        <f aca="false">$E1114&amp;"|"&amp;TEXT($AD1114,"0.000000")</f>
        <v>PV 116|0.000000</v>
      </c>
    </row>
    <row r="1115" customFormat="false" ht="15" hidden="false" customHeight="false" outlineLevel="0" collapsed="false">
      <c r="B1115" s="16" t="n">
        <v>54</v>
      </c>
      <c r="C1115" s="17" t="n">
        <f aca="false">DATA_INICIO_SAFRA+($B1115-1)*DIAS_POR_SEMANA</f>
        <v>46636</v>
      </c>
      <c r="D1115" s="17" t="n">
        <f aca="false">$C1115+DIAS_POR_SEMANA-1</f>
        <v>46642</v>
      </c>
      <c r="E1115" s="15" t="s">
        <v>275</v>
      </c>
      <c r="F1115" s="8" t="str">
        <f aca="false">IFERROR(INDEX(CADASTRO_PIVOS!$C$6:$C$41,MATCH($E1115,CADASTRO_PIVOS!$B$6:$B$41,0)),"?")</f>
        <v>RM06</v>
      </c>
      <c r="G1115" s="8" t="str">
        <f aca="false">IFERROR(INDEX(CADASTRO_PIVOS!$D$6:$D$41,MATCH($E1115,CADASTRO_PIVOS!$B$6:$B$41,0)),"?")</f>
        <v>TR06</v>
      </c>
      <c r="H1115" s="20" t="n">
        <f aca="false">IFERROR(INDEX(CADASTRO_PIVOS!$E$6:$E$41,MATCH($E1115,CADASTRO_PIVOS!$B$6:$B$41,0)),0)</f>
        <v>149.55</v>
      </c>
      <c r="I1115" s="16" t="n">
        <f aca="false">IFERROR(SUMIFS(ROTACAO_RDM!$B$6:$B$71,ROTACAO_RDM!$D$6:$D$71,$E1115,ROTACAO_RDM!$I$6:$I$71,"&lt;="&amp;$C1115+INT(DIAS_POR_SEMANA/2),ROTACAO_RDM!$J$6:$J$71,"&gt;="&amp;$C1115+INT(DIAS_POR_SEMANA/2)),0)</f>
        <v>0</v>
      </c>
      <c r="J1115" s="16" t="n">
        <f aca="false">IFERROR(MATCH($I1115,ROTACAO_RDM!$B$6:$B$71,0),0)</f>
        <v>0</v>
      </c>
      <c r="K1115" s="8" t="str">
        <f aca="false">IF($J1115=0,"SEM CULTURA",INDEX(ROTACAO_RDM!$F$6:$F$71,$J1115))</f>
        <v>SEM CULTURA</v>
      </c>
      <c r="L1115" s="8" t="str">
        <f aca="false">IF($J1115=0,"",INDEX(ROTACAO_RDM!$G$6:$G$71,$J1115))</f>
        <v/>
      </c>
      <c r="M1115" s="17" t="str">
        <f aca="false">IF($J1115=0,"",INDEX(ROTACAO_RDM!$I$6:$I$71,$J1115))</f>
        <v/>
      </c>
      <c r="N1115" s="16" t="n">
        <f aca="false">IF($J1115=0,0,MAX(0,$C1115+INT(DIAS_POR_SEMANA/2)-INDEX(ROTACAO_RDM!$I$6:$I$71,$J1115)))</f>
        <v>0</v>
      </c>
      <c r="O1115" s="19" t="n">
        <f aca="false">IF($J1115=0,0,MIN(1,$N1115/MAX(1,INDEX(ROTACAO_RDM!$K$6:$K$71,$J1115))))</f>
        <v>0</v>
      </c>
      <c r="P1115" s="16" t="n">
        <f aca="false">IF($J1115=0,0,IFERROR(MATCH(INDEX(ROTACAO_RDM!$N$6:$N$71,$J1115),PARAMETROS_CULTURAS!$B$6:$B$28,0),0))</f>
        <v>0</v>
      </c>
      <c r="Q1115" s="8" t="str">
        <f aca="false">IF($P1115=0,"-",IF($O1115&lt;=INDEX(PARAMETROS_CULTURAS!$F$6:$F$28,$P1115),"INICIAL",IF($O1115&lt;=INDEX(PARAMETROS_CULTURAS!$F$6:$F$28,$P1115)+INDEX(PARAMETROS_CULTURAS!$G$6:$G$28,$P1115),"DESENVOLVIMENTO",IF($O1115&lt;=INDEX(PARAMETROS_CULTURAS!$F$6:$F$28,$P1115)+INDEX(PARAMETROS_CULTURAS!$G$6:$G$28,$P1115)+INDEX(PARAMETROS_CULTURAS!$H$6:$H$28,$P1115),"MEDIA","FINAL"))))</f>
        <v>-</v>
      </c>
      <c r="R1115" s="24" t="n">
        <f aca="false">IF($P1115=0,0,IF($O1115&lt;=INDEX(PARAMETROS_CULTURAS!$F$6:$F$28,$P1115),INDEX(PARAMETROS_CULTURAS!$K$6:$K$28,$P1115),IF($O1115&lt;=INDEX(PARAMETROS_CULTURAS!$F$6:$F$28,$P1115)+INDEX(PARAMETROS_CULTURAS!$G$6:$G$28,$P1115),INDEX(PARAMETROS_CULTURAS!$K$6:$K$28,$P1115)+(INDEX(PARAMETROS_CULTURAS!$L$6:$L$28,$P1115)-INDEX(PARAMETROS_CULTURAS!$K$6:$K$28,$P1115))*($O1115-INDEX(PARAMETROS_CULTURAS!$F$6:$F$28,$P1115))/MAX(INDEX(PARAMETROS_CULTURAS!$G$6:$G$28,$P1115),0.0001),IF($O1115&lt;=INDEX(PARAMETROS_CULTURAS!$F$6:$F$28,$P1115)+INDEX(PARAMETROS_CULTURAS!$G$6:$G$28,$P1115)+INDEX(PARAMETROS_CULTURAS!$H$6:$H$28,$P1115),INDEX(PARAMETROS_CULTURAS!$L$6:$L$28,$P1115),INDEX(PARAMETROS_CULTURAS!$L$6:$L$28,$P1115)+(INDEX(PARAMETROS_CULTURAS!$M$6:$M$28,$P1115)-INDEX(PARAMETROS_CULTURAS!$L$6:$L$28,$P1115))*($O1115-INDEX(PARAMETROS_CULTURAS!$F$6:$F$28,$P1115)-INDEX(PARAMETROS_CULTURAS!$G$6:$G$28,$P1115)-INDEX(PARAMETROS_CULTURAS!$H$6:$H$28,$P1115))/MAX(INDEX(PARAMETROS_CULTURAS!$I$6:$I$28,$P1115),0.0001)))))</f>
        <v>0</v>
      </c>
      <c r="S1115" s="18" t="n">
        <f aca="false">IFERROR(INDEX(SEMANAS!$H$6:$H$71,MATCH($B1115,SEMANAS!$B$6:$B$71,0)),0)</f>
        <v>40.6</v>
      </c>
      <c r="T1115" s="18" t="n">
        <f aca="false">$R1115*$S1115</f>
        <v>0</v>
      </c>
      <c r="U1115" s="18" t="n">
        <f aca="false">IFERROR(INDEX(SEMANAS!$I$6:$I$71,MATCH($B1115,SEMANAS!$B$6:$B$71,0)),0)</f>
        <v>7</v>
      </c>
      <c r="V1115" s="18" t="n">
        <f aca="false">IFERROR(INDEX(SEMANAS!$J$6:$J$71,MATCH($B1115,SEMANAS!$B$6:$B$71,0)),0)</f>
        <v>5.6</v>
      </c>
      <c r="W1115" s="18" t="n">
        <f aca="false">MAX(0,$T1115-$V1115)</f>
        <v>0</v>
      </c>
      <c r="X1115" s="19" t="n">
        <f aca="false">IFERROR(INDEX(CADASTRO_PIVOS!$K$6:$K$41,MATCH($E1115,CADASTRO_PIVOS!$B$6:$B$41,0)),EFICIENCIA_PADRAO)</f>
        <v>0.85</v>
      </c>
      <c r="Y1115" s="18" t="n">
        <f aca="false">IF($X1115&lt;=0,0,$W1115/$X1115)</f>
        <v>0</v>
      </c>
      <c r="Z1115" s="16" t="n">
        <f aca="false">$Y1115*$H1115*MM_PARA_M3_HA</f>
        <v>0</v>
      </c>
      <c r="AA1115" s="18" t="n">
        <f aca="false">IFERROR(INDEX(CADASTRO_PIVOS!$I$6:$I$41,MATCH($E1115,CADASTRO_PIVOS!$B$6:$B$41,0)),0)</f>
        <v>1068.21428571429</v>
      </c>
      <c r="AB1115" s="18" t="n">
        <f aca="false">IF($Z1115&lt;=0,0,$Z1115/$AA1115)</f>
        <v>0</v>
      </c>
      <c r="AC1115" s="16" t="n">
        <f aca="false">IFERROR(INDEX(SEMANAS!$K$6:$K$71,MATCH($B1115,SEMANAS!$B$6:$B$71,0)),0)</f>
        <v>147</v>
      </c>
      <c r="AD1115" s="19" t="n">
        <f aca="false">IF($AC1115&lt;=0,0,$AB1115/$AC1115)</f>
        <v>0</v>
      </c>
      <c r="AE1115" s="8" t="str">
        <f aca="false">IF($K1115="SEM CULTURA","SEM CULTURA",IF($AA1115&lt;=0,"DADO PENDENTE",IF($AD1115&gt;LIMITE_CRITICO,"INVIAVEL",IF($AD1115&gt;LIMITE_ATENCAO,"CRITICO",IF($AD1115&gt;LIMITE_CONFORTAVEL,"ATENCAO","OK")))))</f>
        <v>SEM CULTURA</v>
      </c>
      <c r="AF1115" s="8" t="str">
        <f aca="false">$B1115&amp;"|"&amp;TEXT($AD1115,"0.000000")</f>
        <v>54|0.000000</v>
      </c>
      <c r="AG1115" s="18" t="n">
        <f aca="false">IF($K1115="SEM CULTURA",0,$T1115*$H1115)</f>
        <v>0</v>
      </c>
      <c r="AH1115" s="18" t="n">
        <f aca="false">IF($K1115="SEM CULTURA",0,$V1115*$H1115)</f>
        <v>0</v>
      </c>
      <c r="AI1115" s="18" t="n">
        <f aca="false">IF($K1115="SEM CULTURA",0,$W1115*$H1115)</f>
        <v>0</v>
      </c>
      <c r="AJ1115" s="18" t="n">
        <f aca="false">IF($K1115="SEM CULTURA",0,$S1115*$H1115)</f>
        <v>0</v>
      </c>
      <c r="AK1115" s="8" t="str">
        <f aca="false">$E1115&amp;"|"&amp;TEXT($AD1115,"0.000000")</f>
        <v>PV 116|0.000000</v>
      </c>
    </row>
    <row r="1116" customFormat="false" ht="15" hidden="false" customHeight="false" outlineLevel="0" collapsed="false">
      <c r="B1116" s="16" t="n">
        <v>55</v>
      </c>
      <c r="C1116" s="17" t="n">
        <f aca="false">DATA_INICIO_SAFRA+($B1116-1)*DIAS_POR_SEMANA</f>
        <v>46643</v>
      </c>
      <c r="D1116" s="17" t="n">
        <f aca="false">$C1116+DIAS_POR_SEMANA-1</f>
        <v>46649</v>
      </c>
      <c r="E1116" s="15" t="s">
        <v>275</v>
      </c>
      <c r="F1116" s="8" t="str">
        <f aca="false">IFERROR(INDEX(CADASTRO_PIVOS!$C$6:$C$41,MATCH($E1116,CADASTRO_PIVOS!$B$6:$B$41,0)),"?")</f>
        <v>RM06</v>
      </c>
      <c r="G1116" s="8" t="str">
        <f aca="false">IFERROR(INDEX(CADASTRO_PIVOS!$D$6:$D$41,MATCH($E1116,CADASTRO_PIVOS!$B$6:$B$41,0)),"?")</f>
        <v>TR06</v>
      </c>
      <c r="H1116" s="20" t="n">
        <f aca="false">IFERROR(INDEX(CADASTRO_PIVOS!$E$6:$E$41,MATCH($E1116,CADASTRO_PIVOS!$B$6:$B$41,0)),0)</f>
        <v>149.55</v>
      </c>
      <c r="I1116" s="16" t="n">
        <f aca="false">IFERROR(SUMIFS(ROTACAO_RDM!$B$6:$B$71,ROTACAO_RDM!$D$6:$D$71,$E1116,ROTACAO_RDM!$I$6:$I$71,"&lt;="&amp;$C1116+INT(DIAS_POR_SEMANA/2),ROTACAO_RDM!$J$6:$J$71,"&gt;="&amp;$C1116+INT(DIAS_POR_SEMANA/2)),0)</f>
        <v>0</v>
      </c>
      <c r="J1116" s="16" t="n">
        <f aca="false">IFERROR(MATCH($I1116,ROTACAO_RDM!$B$6:$B$71,0),0)</f>
        <v>0</v>
      </c>
      <c r="K1116" s="8" t="str">
        <f aca="false">IF($J1116=0,"SEM CULTURA",INDEX(ROTACAO_RDM!$F$6:$F$71,$J1116))</f>
        <v>SEM CULTURA</v>
      </c>
      <c r="L1116" s="8" t="str">
        <f aca="false">IF($J1116=0,"",INDEX(ROTACAO_RDM!$G$6:$G$71,$J1116))</f>
        <v/>
      </c>
      <c r="M1116" s="17" t="str">
        <f aca="false">IF($J1116=0,"",INDEX(ROTACAO_RDM!$I$6:$I$71,$J1116))</f>
        <v/>
      </c>
      <c r="N1116" s="16" t="n">
        <f aca="false">IF($J1116=0,0,MAX(0,$C1116+INT(DIAS_POR_SEMANA/2)-INDEX(ROTACAO_RDM!$I$6:$I$71,$J1116)))</f>
        <v>0</v>
      </c>
      <c r="O1116" s="19" t="n">
        <f aca="false">IF($J1116=0,0,MIN(1,$N1116/MAX(1,INDEX(ROTACAO_RDM!$K$6:$K$71,$J1116))))</f>
        <v>0</v>
      </c>
      <c r="P1116" s="16" t="n">
        <f aca="false">IF($J1116=0,0,IFERROR(MATCH(INDEX(ROTACAO_RDM!$N$6:$N$71,$J1116),PARAMETROS_CULTURAS!$B$6:$B$28,0),0))</f>
        <v>0</v>
      </c>
      <c r="Q1116" s="8" t="str">
        <f aca="false">IF($P1116=0,"-",IF($O1116&lt;=INDEX(PARAMETROS_CULTURAS!$F$6:$F$28,$P1116),"INICIAL",IF($O1116&lt;=INDEX(PARAMETROS_CULTURAS!$F$6:$F$28,$P1116)+INDEX(PARAMETROS_CULTURAS!$G$6:$G$28,$P1116),"DESENVOLVIMENTO",IF($O1116&lt;=INDEX(PARAMETROS_CULTURAS!$F$6:$F$28,$P1116)+INDEX(PARAMETROS_CULTURAS!$G$6:$G$28,$P1116)+INDEX(PARAMETROS_CULTURAS!$H$6:$H$28,$P1116),"MEDIA","FINAL"))))</f>
        <v>-</v>
      </c>
      <c r="R1116" s="24" t="n">
        <f aca="false">IF($P1116=0,0,IF($O1116&lt;=INDEX(PARAMETROS_CULTURAS!$F$6:$F$28,$P1116),INDEX(PARAMETROS_CULTURAS!$K$6:$K$28,$P1116),IF($O1116&lt;=INDEX(PARAMETROS_CULTURAS!$F$6:$F$28,$P1116)+INDEX(PARAMETROS_CULTURAS!$G$6:$G$28,$P1116),INDEX(PARAMETROS_CULTURAS!$K$6:$K$28,$P1116)+(INDEX(PARAMETROS_CULTURAS!$L$6:$L$28,$P1116)-INDEX(PARAMETROS_CULTURAS!$K$6:$K$28,$P1116))*($O1116-INDEX(PARAMETROS_CULTURAS!$F$6:$F$28,$P1116))/MAX(INDEX(PARAMETROS_CULTURAS!$G$6:$G$28,$P1116),0.0001),IF($O1116&lt;=INDEX(PARAMETROS_CULTURAS!$F$6:$F$28,$P1116)+INDEX(PARAMETROS_CULTURAS!$G$6:$G$28,$P1116)+INDEX(PARAMETROS_CULTURAS!$H$6:$H$28,$P1116),INDEX(PARAMETROS_CULTURAS!$L$6:$L$28,$P1116),INDEX(PARAMETROS_CULTURAS!$L$6:$L$28,$P1116)+(INDEX(PARAMETROS_CULTURAS!$M$6:$M$28,$P1116)-INDEX(PARAMETROS_CULTURAS!$L$6:$L$28,$P1116))*($O1116-INDEX(PARAMETROS_CULTURAS!$F$6:$F$28,$P1116)-INDEX(PARAMETROS_CULTURAS!$G$6:$G$28,$P1116)-INDEX(PARAMETROS_CULTURAS!$H$6:$H$28,$P1116))/MAX(INDEX(PARAMETROS_CULTURAS!$I$6:$I$28,$P1116),0.0001)))))</f>
        <v>0</v>
      </c>
      <c r="S1116" s="18" t="n">
        <f aca="false">IFERROR(INDEX(SEMANAS!$H$6:$H$71,MATCH($B1116,SEMANAS!$B$6:$B$71,0)),0)</f>
        <v>40.6</v>
      </c>
      <c r="T1116" s="18" t="n">
        <f aca="false">$R1116*$S1116</f>
        <v>0</v>
      </c>
      <c r="U1116" s="18" t="n">
        <f aca="false">IFERROR(INDEX(SEMANAS!$I$6:$I$71,MATCH($B1116,SEMANAS!$B$6:$B$71,0)),0)</f>
        <v>7</v>
      </c>
      <c r="V1116" s="18" t="n">
        <f aca="false">IFERROR(INDEX(SEMANAS!$J$6:$J$71,MATCH($B1116,SEMANAS!$B$6:$B$71,0)),0)</f>
        <v>5.6</v>
      </c>
      <c r="W1116" s="18" t="n">
        <f aca="false">MAX(0,$T1116-$V1116)</f>
        <v>0</v>
      </c>
      <c r="X1116" s="19" t="n">
        <f aca="false">IFERROR(INDEX(CADASTRO_PIVOS!$K$6:$K$41,MATCH($E1116,CADASTRO_PIVOS!$B$6:$B$41,0)),EFICIENCIA_PADRAO)</f>
        <v>0.85</v>
      </c>
      <c r="Y1116" s="18" t="n">
        <f aca="false">IF($X1116&lt;=0,0,$W1116/$X1116)</f>
        <v>0</v>
      </c>
      <c r="Z1116" s="16" t="n">
        <f aca="false">$Y1116*$H1116*MM_PARA_M3_HA</f>
        <v>0</v>
      </c>
      <c r="AA1116" s="18" t="n">
        <f aca="false">IFERROR(INDEX(CADASTRO_PIVOS!$I$6:$I$41,MATCH($E1116,CADASTRO_PIVOS!$B$6:$B$41,0)),0)</f>
        <v>1068.21428571429</v>
      </c>
      <c r="AB1116" s="18" t="n">
        <f aca="false">IF($Z1116&lt;=0,0,$Z1116/$AA1116)</f>
        <v>0</v>
      </c>
      <c r="AC1116" s="16" t="n">
        <f aca="false">IFERROR(INDEX(SEMANAS!$K$6:$K$71,MATCH($B1116,SEMANAS!$B$6:$B$71,0)),0)</f>
        <v>147</v>
      </c>
      <c r="AD1116" s="19" t="n">
        <f aca="false">IF($AC1116&lt;=0,0,$AB1116/$AC1116)</f>
        <v>0</v>
      </c>
      <c r="AE1116" s="8" t="str">
        <f aca="false">IF($K1116="SEM CULTURA","SEM CULTURA",IF($AA1116&lt;=0,"DADO PENDENTE",IF($AD1116&gt;LIMITE_CRITICO,"INVIAVEL",IF($AD1116&gt;LIMITE_ATENCAO,"CRITICO",IF($AD1116&gt;LIMITE_CONFORTAVEL,"ATENCAO","OK")))))</f>
        <v>SEM CULTURA</v>
      </c>
      <c r="AF1116" s="8" t="str">
        <f aca="false">$B1116&amp;"|"&amp;TEXT($AD1116,"0.000000")</f>
        <v>55|0.000000</v>
      </c>
      <c r="AG1116" s="18" t="n">
        <f aca="false">IF($K1116="SEM CULTURA",0,$T1116*$H1116)</f>
        <v>0</v>
      </c>
      <c r="AH1116" s="18" t="n">
        <f aca="false">IF($K1116="SEM CULTURA",0,$V1116*$H1116)</f>
        <v>0</v>
      </c>
      <c r="AI1116" s="18" t="n">
        <f aca="false">IF($K1116="SEM CULTURA",0,$W1116*$H1116)</f>
        <v>0</v>
      </c>
      <c r="AJ1116" s="18" t="n">
        <f aca="false">IF($K1116="SEM CULTURA",0,$S1116*$H1116)</f>
        <v>0</v>
      </c>
      <c r="AK1116" s="8" t="str">
        <f aca="false">$E1116&amp;"|"&amp;TEXT($AD1116,"0.000000")</f>
        <v>PV 116|0.000000</v>
      </c>
    </row>
    <row r="1117" customFormat="false" ht="15" hidden="false" customHeight="false" outlineLevel="0" collapsed="false">
      <c r="B1117" s="16" t="n">
        <v>56</v>
      </c>
      <c r="C1117" s="17" t="n">
        <f aca="false">DATA_INICIO_SAFRA+($B1117-1)*DIAS_POR_SEMANA</f>
        <v>46650</v>
      </c>
      <c r="D1117" s="17" t="n">
        <f aca="false">$C1117+DIAS_POR_SEMANA-1</f>
        <v>46656</v>
      </c>
      <c r="E1117" s="15" t="s">
        <v>275</v>
      </c>
      <c r="F1117" s="8" t="str">
        <f aca="false">IFERROR(INDEX(CADASTRO_PIVOS!$C$6:$C$41,MATCH($E1117,CADASTRO_PIVOS!$B$6:$B$41,0)),"?")</f>
        <v>RM06</v>
      </c>
      <c r="G1117" s="8" t="str">
        <f aca="false">IFERROR(INDEX(CADASTRO_PIVOS!$D$6:$D$41,MATCH($E1117,CADASTRO_PIVOS!$B$6:$B$41,0)),"?")</f>
        <v>TR06</v>
      </c>
      <c r="H1117" s="20" t="n">
        <f aca="false">IFERROR(INDEX(CADASTRO_PIVOS!$E$6:$E$41,MATCH($E1117,CADASTRO_PIVOS!$B$6:$B$41,0)),0)</f>
        <v>149.55</v>
      </c>
      <c r="I1117" s="16" t="n">
        <f aca="false">IFERROR(SUMIFS(ROTACAO_RDM!$B$6:$B$71,ROTACAO_RDM!$D$6:$D$71,$E1117,ROTACAO_RDM!$I$6:$I$71,"&lt;="&amp;$C1117+INT(DIAS_POR_SEMANA/2),ROTACAO_RDM!$J$6:$J$71,"&gt;="&amp;$C1117+INT(DIAS_POR_SEMANA/2)),0)</f>
        <v>0</v>
      </c>
      <c r="J1117" s="16" t="n">
        <f aca="false">IFERROR(MATCH($I1117,ROTACAO_RDM!$B$6:$B$71,0),0)</f>
        <v>0</v>
      </c>
      <c r="K1117" s="8" t="str">
        <f aca="false">IF($J1117=0,"SEM CULTURA",INDEX(ROTACAO_RDM!$F$6:$F$71,$J1117))</f>
        <v>SEM CULTURA</v>
      </c>
      <c r="L1117" s="8" t="str">
        <f aca="false">IF($J1117=0,"",INDEX(ROTACAO_RDM!$G$6:$G$71,$J1117))</f>
        <v/>
      </c>
      <c r="M1117" s="17" t="str">
        <f aca="false">IF($J1117=0,"",INDEX(ROTACAO_RDM!$I$6:$I$71,$J1117))</f>
        <v/>
      </c>
      <c r="N1117" s="16" t="n">
        <f aca="false">IF($J1117=0,0,MAX(0,$C1117+INT(DIAS_POR_SEMANA/2)-INDEX(ROTACAO_RDM!$I$6:$I$71,$J1117)))</f>
        <v>0</v>
      </c>
      <c r="O1117" s="19" t="n">
        <f aca="false">IF($J1117=0,0,MIN(1,$N1117/MAX(1,INDEX(ROTACAO_RDM!$K$6:$K$71,$J1117))))</f>
        <v>0</v>
      </c>
      <c r="P1117" s="16" t="n">
        <f aca="false">IF($J1117=0,0,IFERROR(MATCH(INDEX(ROTACAO_RDM!$N$6:$N$71,$J1117),PARAMETROS_CULTURAS!$B$6:$B$28,0),0))</f>
        <v>0</v>
      </c>
      <c r="Q1117" s="8" t="str">
        <f aca="false">IF($P1117=0,"-",IF($O1117&lt;=INDEX(PARAMETROS_CULTURAS!$F$6:$F$28,$P1117),"INICIAL",IF($O1117&lt;=INDEX(PARAMETROS_CULTURAS!$F$6:$F$28,$P1117)+INDEX(PARAMETROS_CULTURAS!$G$6:$G$28,$P1117),"DESENVOLVIMENTO",IF($O1117&lt;=INDEX(PARAMETROS_CULTURAS!$F$6:$F$28,$P1117)+INDEX(PARAMETROS_CULTURAS!$G$6:$G$28,$P1117)+INDEX(PARAMETROS_CULTURAS!$H$6:$H$28,$P1117),"MEDIA","FINAL"))))</f>
        <v>-</v>
      </c>
      <c r="R1117" s="24" t="n">
        <f aca="false">IF($P1117=0,0,IF($O1117&lt;=INDEX(PARAMETROS_CULTURAS!$F$6:$F$28,$P1117),INDEX(PARAMETROS_CULTURAS!$K$6:$K$28,$P1117),IF($O1117&lt;=INDEX(PARAMETROS_CULTURAS!$F$6:$F$28,$P1117)+INDEX(PARAMETROS_CULTURAS!$G$6:$G$28,$P1117),INDEX(PARAMETROS_CULTURAS!$K$6:$K$28,$P1117)+(INDEX(PARAMETROS_CULTURAS!$L$6:$L$28,$P1117)-INDEX(PARAMETROS_CULTURAS!$K$6:$K$28,$P1117))*($O1117-INDEX(PARAMETROS_CULTURAS!$F$6:$F$28,$P1117))/MAX(INDEX(PARAMETROS_CULTURAS!$G$6:$G$28,$P1117),0.0001),IF($O1117&lt;=INDEX(PARAMETROS_CULTURAS!$F$6:$F$28,$P1117)+INDEX(PARAMETROS_CULTURAS!$G$6:$G$28,$P1117)+INDEX(PARAMETROS_CULTURAS!$H$6:$H$28,$P1117),INDEX(PARAMETROS_CULTURAS!$L$6:$L$28,$P1117),INDEX(PARAMETROS_CULTURAS!$L$6:$L$28,$P1117)+(INDEX(PARAMETROS_CULTURAS!$M$6:$M$28,$P1117)-INDEX(PARAMETROS_CULTURAS!$L$6:$L$28,$P1117))*($O1117-INDEX(PARAMETROS_CULTURAS!$F$6:$F$28,$P1117)-INDEX(PARAMETROS_CULTURAS!$G$6:$G$28,$P1117)-INDEX(PARAMETROS_CULTURAS!$H$6:$H$28,$P1117))/MAX(INDEX(PARAMETROS_CULTURAS!$I$6:$I$28,$P1117),0.0001)))))</f>
        <v>0</v>
      </c>
      <c r="S1117" s="18" t="n">
        <f aca="false">IFERROR(INDEX(SEMANAS!$H$6:$H$71,MATCH($B1117,SEMANAS!$B$6:$B$71,0)),0)</f>
        <v>40.6</v>
      </c>
      <c r="T1117" s="18" t="n">
        <f aca="false">$R1117*$S1117</f>
        <v>0</v>
      </c>
      <c r="U1117" s="18" t="n">
        <f aca="false">IFERROR(INDEX(SEMANAS!$I$6:$I$71,MATCH($B1117,SEMANAS!$B$6:$B$71,0)),0)</f>
        <v>7</v>
      </c>
      <c r="V1117" s="18" t="n">
        <f aca="false">IFERROR(INDEX(SEMANAS!$J$6:$J$71,MATCH($B1117,SEMANAS!$B$6:$B$71,0)),0)</f>
        <v>5.6</v>
      </c>
      <c r="W1117" s="18" t="n">
        <f aca="false">MAX(0,$T1117-$V1117)</f>
        <v>0</v>
      </c>
      <c r="X1117" s="19" t="n">
        <f aca="false">IFERROR(INDEX(CADASTRO_PIVOS!$K$6:$K$41,MATCH($E1117,CADASTRO_PIVOS!$B$6:$B$41,0)),EFICIENCIA_PADRAO)</f>
        <v>0.85</v>
      </c>
      <c r="Y1117" s="18" t="n">
        <f aca="false">IF($X1117&lt;=0,0,$W1117/$X1117)</f>
        <v>0</v>
      </c>
      <c r="Z1117" s="16" t="n">
        <f aca="false">$Y1117*$H1117*MM_PARA_M3_HA</f>
        <v>0</v>
      </c>
      <c r="AA1117" s="18" t="n">
        <f aca="false">IFERROR(INDEX(CADASTRO_PIVOS!$I$6:$I$41,MATCH($E1117,CADASTRO_PIVOS!$B$6:$B$41,0)),0)</f>
        <v>1068.21428571429</v>
      </c>
      <c r="AB1117" s="18" t="n">
        <f aca="false">IF($Z1117&lt;=0,0,$Z1117/$AA1117)</f>
        <v>0</v>
      </c>
      <c r="AC1117" s="16" t="n">
        <f aca="false">IFERROR(INDEX(SEMANAS!$K$6:$K$71,MATCH($B1117,SEMANAS!$B$6:$B$71,0)),0)</f>
        <v>147</v>
      </c>
      <c r="AD1117" s="19" t="n">
        <f aca="false">IF($AC1117&lt;=0,0,$AB1117/$AC1117)</f>
        <v>0</v>
      </c>
      <c r="AE1117" s="8" t="str">
        <f aca="false">IF($K1117="SEM CULTURA","SEM CULTURA",IF($AA1117&lt;=0,"DADO PENDENTE",IF($AD1117&gt;LIMITE_CRITICO,"INVIAVEL",IF($AD1117&gt;LIMITE_ATENCAO,"CRITICO",IF($AD1117&gt;LIMITE_CONFORTAVEL,"ATENCAO","OK")))))</f>
        <v>SEM CULTURA</v>
      </c>
      <c r="AF1117" s="8" t="str">
        <f aca="false">$B1117&amp;"|"&amp;TEXT($AD1117,"0.000000")</f>
        <v>56|0.000000</v>
      </c>
      <c r="AG1117" s="18" t="n">
        <f aca="false">IF($K1117="SEM CULTURA",0,$T1117*$H1117)</f>
        <v>0</v>
      </c>
      <c r="AH1117" s="18" t="n">
        <f aca="false">IF($K1117="SEM CULTURA",0,$V1117*$H1117)</f>
        <v>0</v>
      </c>
      <c r="AI1117" s="18" t="n">
        <f aca="false">IF($K1117="SEM CULTURA",0,$W1117*$H1117)</f>
        <v>0</v>
      </c>
      <c r="AJ1117" s="18" t="n">
        <f aca="false">IF($K1117="SEM CULTURA",0,$S1117*$H1117)</f>
        <v>0</v>
      </c>
      <c r="AK1117" s="8" t="str">
        <f aca="false">$E1117&amp;"|"&amp;TEXT($AD1117,"0.000000")</f>
        <v>PV 116|0.000000</v>
      </c>
    </row>
    <row r="1118" customFormat="false" ht="15" hidden="false" customHeight="false" outlineLevel="0" collapsed="false">
      <c r="B1118" s="16" t="n">
        <v>57</v>
      </c>
      <c r="C1118" s="17" t="n">
        <f aca="false">DATA_INICIO_SAFRA+($B1118-1)*DIAS_POR_SEMANA</f>
        <v>46657</v>
      </c>
      <c r="D1118" s="17" t="n">
        <f aca="false">$C1118+DIAS_POR_SEMANA-1</f>
        <v>46663</v>
      </c>
      <c r="E1118" s="15" t="s">
        <v>275</v>
      </c>
      <c r="F1118" s="8" t="str">
        <f aca="false">IFERROR(INDEX(CADASTRO_PIVOS!$C$6:$C$41,MATCH($E1118,CADASTRO_PIVOS!$B$6:$B$41,0)),"?")</f>
        <v>RM06</v>
      </c>
      <c r="G1118" s="8" t="str">
        <f aca="false">IFERROR(INDEX(CADASTRO_PIVOS!$D$6:$D$41,MATCH($E1118,CADASTRO_PIVOS!$B$6:$B$41,0)),"?")</f>
        <v>TR06</v>
      </c>
      <c r="H1118" s="20" t="n">
        <f aca="false">IFERROR(INDEX(CADASTRO_PIVOS!$E$6:$E$41,MATCH($E1118,CADASTRO_PIVOS!$B$6:$B$41,0)),0)</f>
        <v>149.55</v>
      </c>
      <c r="I1118" s="16" t="n">
        <f aca="false">IFERROR(SUMIFS(ROTACAO_RDM!$B$6:$B$71,ROTACAO_RDM!$D$6:$D$71,$E1118,ROTACAO_RDM!$I$6:$I$71,"&lt;="&amp;$C1118+INT(DIAS_POR_SEMANA/2),ROTACAO_RDM!$J$6:$J$71,"&gt;="&amp;$C1118+INT(DIAS_POR_SEMANA/2)),0)</f>
        <v>0</v>
      </c>
      <c r="J1118" s="16" t="n">
        <f aca="false">IFERROR(MATCH($I1118,ROTACAO_RDM!$B$6:$B$71,0),0)</f>
        <v>0</v>
      </c>
      <c r="K1118" s="8" t="str">
        <f aca="false">IF($J1118=0,"SEM CULTURA",INDEX(ROTACAO_RDM!$F$6:$F$71,$J1118))</f>
        <v>SEM CULTURA</v>
      </c>
      <c r="L1118" s="8" t="str">
        <f aca="false">IF($J1118=0,"",INDEX(ROTACAO_RDM!$G$6:$G$71,$J1118))</f>
        <v/>
      </c>
      <c r="M1118" s="17" t="str">
        <f aca="false">IF($J1118=0,"",INDEX(ROTACAO_RDM!$I$6:$I$71,$J1118))</f>
        <v/>
      </c>
      <c r="N1118" s="16" t="n">
        <f aca="false">IF($J1118=0,0,MAX(0,$C1118+INT(DIAS_POR_SEMANA/2)-INDEX(ROTACAO_RDM!$I$6:$I$71,$J1118)))</f>
        <v>0</v>
      </c>
      <c r="O1118" s="19" t="n">
        <f aca="false">IF($J1118=0,0,MIN(1,$N1118/MAX(1,INDEX(ROTACAO_RDM!$K$6:$K$71,$J1118))))</f>
        <v>0</v>
      </c>
      <c r="P1118" s="16" t="n">
        <f aca="false">IF($J1118=0,0,IFERROR(MATCH(INDEX(ROTACAO_RDM!$N$6:$N$71,$J1118),PARAMETROS_CULTURAS!$B$6:$B$28,0),0))</f>
        <v>0</v>
      </c>
      <c r="Q1118" s="8" t="str">
        <f aca="false">IF($P1118=0,"-",IF($O1118&lt;=INDEX(PARAMETROS_CULTURAS!$F$6:$F$28,$P1118),"INICIAL",IF($O1118&lt;=INDEX(PARAMETROS_CULTURAS!$F$6:$F$28,$P1118)+INDEX(PARAMETROS_CULTURAS!$G$6:$G$28,$P1118),"DESENVOLVIMENTO",IF($O1118&lt;=INDEX(PARAMETROS_CULTURAS!$F$6:$F$28,$P1118)+INDEX(PARAMETROS_CULTURAS!$G$6:$G$28,$P1118)+INDEX(PARAMETROS_CULTURAS!$H$6:$H$28,$P1118),"MEDIA","FINAL"))))</f>
        <v>-</v>
      </c>
      <c r="R1118" s="24" t="n">
        <f aca="false">IF($P1118=0,0,IF($O1118&lt;=INDEX(PARAMETROS_CULTURAS!$F$6:$F$28,$P1118),INDEX(PARAMETROS_CULTURAS!$K$6:$K$28,$P1118),IF($O1118&lt;=INDEX(PARAMETROS_CULTURAS!$F$6:$F$28,$P1118)+INDEX(PARAMETROS_CULTURAS!$G$6:$G$28,$P1118),INDEX(PARAMETROS_CULTURAS!$K$6:$K$28,$P1118)+(INDEX(PARAMETROS_CULTURAS!$L$6:$L$28,$P1118)-INDEX(PARAMETROS_CULTURAS!$K$6:$K$28,$P1118))*($O1118-INDEX(PARAMETROS_CULTURAS!$F$6:$F$28,$P1118))/MAX(INDEX(PARAMETROS_CULTURAS!$G$6:$G$28,$P1118),0.0001),IF($O1118&lt;=INDEX(PARAMETROS_CULTURAS!$F$6:$F$28,$P1118)+INDEX(PARAMETROS_CULTURAS!$G$6:$G$28,$P1118)+INDEX(PARAMETROS_CULTURAS!$H$6:$H$28,$P1118),INDEX(PARAMETROS_CULTURAS!$L$6:$L$28,$P1118),INDEX(PARAMETROS_CULTURAS!$L$6:$L$28,$P1118)+(INDEX(PARAMETROS_CULTURAS!$M$6:$M$28,$P1118)-INDEX(PARAMETROS_CULTURAS!$L$6:$L$28,$P1118))*($O1118-INDEX(PARAMETROS_CULTURAS!$F$6:$F$28,$P1118)-INDEX(PARAMETROS_CULTURAS!$G$6:$G$28,$P1118)-INDEX(PARAMETROS_CULTURAS!$H$6:$H$28,$P1118))/MAX(INDEX(PARAMETROS_CULTURAS!$I$6:$I$28,$P1118),0.0001)))))</f>
        <v>0</v>
      </c>
      <c r="S1118" s="18" t="n">
        <f aca="false">IFERROR(INDEX(SEMANAS!$H$6:$H$71,MATCH($B1118,SEMANAS!$B$6:$B$71,0)),0)</f>
        <v>40</v>
      </c>
      <c r="T1118" s="18" t="n">
        <f aca="false">$R1118*$S1118</f>
        <v>0</v>
      </c>
      <c r="U1118" s="18" t="n">
        <f aca="false">IFERROR(INDEX(SEMANAS!$I$6:$I$71,MATCH($B1118,SEMANAS!$B$6:$B$71,0)),0)</f>
        <v>15.61</v>
      </c>
      <c r="V1118" s="18" t="n">
        <f aca="false">IFERROR(INDEX(SEMANAS!$J$6:$J$71,MATCH($B1118,SEMANAS!$B$6:$B$71,0)),0)</f>
        <v>12.488</v>
      </c>
      <c r="W1118" s="18" t="n">
        <f aca="false">MAX(0,$T1118-$V1118)</f>
        <v>0</v>
      </c>
      <c r="X1118" s="19" t="n">
        <f aca="false">IFERROR(INDEX(CADASTRO_PIVOS!$K$6:$K$41,MATCH($E1118,CADASTRO_PIVOS!$B$6:$B$41,0)),EFICIENCIA_PADRAO)</f>
        <v>0.85</v>
      </c>
      <c r="Y1118" s="18" t="n">
        <f aca="false">IF($X1118&lt;=0,0,$W1118/$X1118)</f>
        <v>0</v>
      </c>
      <c r="Z1118" s="16" t="n">
        <f aca="false">$Y1118*$H1118*MM_PARA_M3_HA</f>
        <v>0</v>
      </c>
      <c r="AA1118" s="18" t="n">
        <f aca="false">IFERROR(INDEX(CADASTRO_PIVOS!$I$6:$I$41,MATCH($E1118,CADASTRO_PIVOS!$B$6:$B$41,0)),0)</f>
        <v>1068.21428571429</v>
      </c>
      <c r="AB1118" s="18" t="n">
        <f aca="false">IF($Z1118&lt;=0,0,$Z1118/$AA1118)</f>
        <v>0</v>
      </c>
      <c r="AC1118" s="16" t="n">
        <f aca="false">IFERROR(INDEX(SEMANAS!$K$6:$K$71,MATCH($B1118,SEMANAS!$B$6:$B$71,0)),0)</f>
        <v>147</v>
      </c>
      <c r="AD1118" s="19" t="n">
        <f aca="false">IF($AC1118&lt;=0,0,$AB1118/$AC1118)</f>
        <v>0</v>
      </c>
      <c r="AE1118" s="8" t="str">
        <f aca="false">IF($K1118="SEM CULTURA","SEM CULTURA",IF($AA1118&lt;=0,"DADO PENDENTE",IF($AD1118&gt;LIMITE_CRITICO,"INVIAVEL",IF($AD1118&gt;LIMITE_ATENCAO,"CRITICO",IF($AD1118&gt;LIMITE_CONFORTAVEL,"ATENCAO","OK")))))</f>
        <v>SEM CULTURA</v>
      </c>
      <c r="AF1118" s="8" t="str">
        <f aca="false">$B1118&amp;"|"&amp;TEXT($AD1118,"0.000000")</f>
        <v>57|0.000000</v>
      </c>
      <c r="AG1118" s="18" t="n">
        <f aca="false">IF($K1118="SEM CULTURA",0,$T1118*$H1118)</f>
        <v>0</v>
      </c>
      <c r="AH1118" s="18" t="n">
        <f aca="false">IF($K1118="SEM CULTURA",0,$V1118*$H1118)</f>
        <v>0</v>
      </c>
      <c r="AI1118" s="18" t="n">
        <f aca="false">IF($K1118="SEM CULTURA",0,$W1118*$H1118)</f>
        <v>0</v>
      </c>
      <c r="AJ1118" s="18" t="n">
        <f aca="false">IF($K1118="SEM CULTURA",0,$S1118*$H1118)</f>
        <v>0</v>
      </c>
      <c r="AK1118" s="8" t="str">
        <f aca="false">$E1118&amp;"|"&amp;TEXT($AD1118,"0.000000")</f>
        <v>PV 116|0.000000</v>
      </c>
    </row>
    <row r="1119" customFormat="false" ht="15" hidden="false" customHeight="false" outlineLevel="0" collapsed="false">
      <c r="B1119" s="16" t="n">
        <v>58</v>
      </c>
      <c r="C1119" s="17" t="n">
        <f aca="false">DATA_INICIO_SAFRA+($B1119-1)*DIAS_POR_SEMANA</f>
        <v>46664</v>
      </c>
      <c r="D1119" s="17" t="n">
        <f aca="false">$C1119+DIAS_POR_SEMANA-1</f>
        <v>46670</v>
      </c>
      <c r="E1119" s="15" t="s">
        <v>275</v>
      </c>
      <c r="F1119" s="8" t="str">
        <f aca="false">IFERROR(INDEX(CADASTRO_PIVOS!$C$6:$C$41,MATCH($E1119,CADASTRO_PIVOS!$B$6:$B$41,0)),"?")</f>
        <v>RM06</v>
      </c>
      <c r="G1119" s="8" t="str">
        <f aca="false">IFERROR(INDEX(CADASTRO_PIVOS!$D$6:$D$41,MATCH($E1119,CADASTRO_PIVOS!$B$6:$B$41,0)),"?")</f>
        <v>TR06</v>
      </c>
      <c r="H1119" s="20" t="n">
        <f aca="false">IFERROR(INDEX(CADASTRO_PIVOS!$E$6:$E$41,MATCH($E1119,CADASTRO_PIVOS!$B$6:$B$41,0)),0)</f>
        <v>149.55</v>
      </c>
      <c r="I1119" s="16" t="n">
        <f aca="false">IFERROR(SUMIFS(ROTACAO_RDM!$B$6:$B$71,ROTACAO_RDM!$D$6:$D$71,$E1119,ROTACAO_RDM!$I$6:$I$71,"&lt;="&amp;$C1119+INT(DIAS_POR_SEMANA/2),ROTACAO_RDM!$J$6:$J$71,"&gt;="&amp;$C1119+INT(DIAS_POR_SEMANA/2)),0)</f>
        <v>0</v>
      </c>
      <c r="J1119" s="16" t="n">
        <f aca="false">IFERROR(MATCH($I1119,ROTACAO_RDM!$B$6:$B$71,0),0)</f>
        <v>0</v>
      </c>
      <c r="K1119" s="8" t="str">
        <f aca="false">IF($J1119=0,"SEM CULTURA",INDEX(ROTACAO_RDM!$F$6:$F$71,$J1119))</f>
        <v>SEM CULTURA</v>
      </c>
      <c r="L1119" s="8" t="str">
        <f aca="false">IF($J1119=0,"",INDEX(ROTACAO_RDM!$G$6:$G$71,$J1119))</f>
        <v/>
      </c>
      <c r="M1119" s="17" t="str">
        <f aca="false">IF($J1119=0,"",INDEX(ROTACAO_RDM!$I$6:$I$71,$J1119))</f>
        <v/>
      </c>
      <c r="N1119" s="16" t="n">
        <f aca="false">IF($J1119=0,0,MAX(0,$C1119+INT(DIAS_POR_SEMANA/2)-INDEX(ROTACAO_RDM!$I$6:$I$71,$J1119)))</f>
        <v>0</v>
      </c>
      <c r="O1119" s="19" t="n">
        <f aca="false">IF($J1119=0,0,MIN(1,$N1119/MAX(1,INDEX(ROTACAO_RDM!$K$6:$K$71,$J1119))))</f>
        <v>0</v>
      </c>
      <c r="P1119" s="16" t="n">
        <f aca="false">IF($J1119=0,0,IFERROR(MATCH(INDEX(ROTACAO_RDM!$N$6:$N$71,$J1119),PARAMETROS_CULTURAS!$B$6:$B$28,0),0))</f>
        <v>0</v>
      </c>
      <c r="Q1119" s="8" t="str">
        <f aca="false">IF($P1119=0,"-",IF($O1119&lt;=INDEX(PARAMETROS_CULTURAS!$F$6:$F$28,$P1119),"INICIAL",IF($O1119&lt;=INDEX(PARAMETROS_CULTURAS!$F$6:$F$28,$P1119)+INDEX(PARAMETROS_CULTURAS!$G$6:$G$28,$P1119),"DESENVOLVIMENTO",IF($O1119&lt;=INDEX(PARAMETROS_CULTURAS!$F$6:$F$28,$P1119)+INDEX(PARAMETROS_CULTURAS!$G$6:$G$28,$P1119)+INDEX(PARAMETROS_CULTURAS!$H$6:$H$28,$P1119),"MEDIA","FINAL"))))</f>
        <v>-</v>
      </c>
      <c r="R1119" s="24" t="n">
        <f aca="false">IF($P1119=0,0,IF($O1119&lt;=INDEX(PARAMETROS_CULTURAS!$F$6:$F$28,$P1119),INDEX(PARAMETROS_CULTURAS!$K$6:$K$28,$P1119),IF($O1119&lt;=INDEX(PARAMETROS_CULTURAS!$F$6:$F$28,$P1119)+INDEX(PARAMETROS_CULTURAS!$G$6:$G$28,$P1119),INDEX(PARAMETROS_CULTURAS!$K$6:$K$28,$P1119)+(INDEX(PARAMETROS_CULTURAS!$L$6:$L$28,$P1119)-INDEX(PARAMETROS_CULTURAS!$K$6:$K$28,$P1119))*($O1119-INDEX(PARAMETROS_CULTURAS!$F$6:$F$28,$P1119))/MAX(INDEX(PARAMETROS_CULTURAS!$G$6:$G$28,$P1119),0.0001),IF($O1119&lt;=INDEX(PARAMETROS_CULTURAS!$F$6:$F$28,$P1119)+INDEX(PARAMETROS_CULTURAS!$G$6:$G$28,$P1119)+INDEX(PARAMETROS_CULTURAS!$H$6:$H$28,$P1119),INDEX(PARAMETROS_CULTURAS!$L$6:$L$28,$P1119),INDEX(PARAMETROS_CULTURAS!$L$6:$L$28,$P1119)+(INDEX(PARAMETROS_CULTURAS!$M$6:$M$28,$P1119)-INDEX(PARAMETROS_CULTURAS!$L$6:$L$28,$P1119))*($O1119-INDEX(PARAMETROS_CULTURAS!$F$6:$F$28,$P1119)-INDEX(PARAMETROS_CULTURAS!$G$6:$G$28,$P1119)-INDEX(PARAMETROS_CULTURAS!$H$6:$H$28,$P1119))/MAX(INDEX(PARAMETROS_CULTURAS!$I$6:$I$28,$P1119),0.0001)))))</f>
        <v>0</v>
      </c>
      <c r="S1119" s="18" t="n">
        <f aca="false">IFERROR(INDEX(SEMANAS!$H$6:$H$71,MATCH($B1119,SEMANAS!$B$6:$B$71,0)),0)</f>
        <v>39.2</v>
      </c>
      <c r="T1119" s="18" t="n">
        <f aca="false">$R1119*$S1119</f>
        <v>0</v>
      </c>
      <c r="U1119" s="18" t="n">
        <f aca="false">IFERROR(INDEX(SEMANAS!$I$6:$I$71,MATCH($B1119,SEMANAS!$B$6:$B$71,0)),0)</f>
        <v>27.09</v>
      </c>
      <c r="V1119" s="18" t="n">
        <f aca="false">IFERROR(INDEX(SEMANAS!$J$6:$J$71,MATCH($B1119,SEMANAS!$B$6:$B$71,0)),0)</f>
        <v>21.672</v>
      </c>
      <c r="W1119" s="18" t="n">
        <f aca="false">MAX(0,$T1119-$V1119)</f>
        <v>0</v>
      </c>
      <c r="X1119" s="19" t="n">
        <f aca="false">IFERROR(INDEX(CADASTRO_PIVOS!$K$6:$K$41,MATCH($E1119,CADASTRO_PIVOS!$B$6:$B$41,0)),EFICIENCIA_PADRAO)</f>
        <v>0.85</v>
      </c>
      <c r="Y1119" s="18" t="n">
        <f aca="false">IF($X1119&lt;=0,0,$W1119/$X1119)</f>
        <v>0</v>
      </c>
      <c r="Z1119" s="16" t="n">
        <f aca="false">$Y1119*$H1119*MM_PARA_M3_HA</f>
        <v>0</v>
      </c>
      <c r="AA1119" s="18" t="n">
        <f aca="false">IFERROR(INDEX(CADASTRO_PIVOS!$I$6:$I$41,MATCH($E1119,CADASTRO_PIVOS!$B$6:$B$41,0)),0)</f>
        <v>1068.21428571429</v>
      </c>
      <c r="AB1119" s="18" t="n">
        <f aca="false">IF($Z1119&lt;=0,0,$Z1119/$AA1119)</f>
        <v>0</v>
      </c>
      <c r="AC1119" s="16" t="n">
        <f aca="false">IFERROR(INDEX(SEMANAS!$K$6:$K$71,MATCH($B1119,SEMANAS!$B$6:$B$71,0)),0)</f>
        <v>147</v>
      </c>
      <c r="AD1119" s="19" t="n">
        <f aca="false">IF($AC1119&lt;=0,0,$AB1119/$AC1119)</f>
        <v>0</v>
      </c>
      <c r="AE1119" s="8" t="str">
        <f aca="false">IF($K1119="SEM CULTURA","SEM CULTURA",IF($AA1119&lt;=0,"DADO PENDENTE",IF($AD1119&gt;LIMITE_CRITICO,"INVIAVEL",IF($AD1119&gt;LIMITE_ATENCAO,"CRITICO",IF($AD1119&gt;LIMITE_CONFORTAVEL,"ATENCAO","OK")))))</f>
        <v>SEM CULTURA</v>
      </c>
      <c r="AF1119" s="8" t="str">
        <f aca="false">$B1119&amp;"|"&amp;TEXT($AD1119,"0.000000")</f>
        <v>58|0.000000</v>
      </c>
      <c r="AG1119" s="18" t="n">
        <f aca="false">IF($K1119="SEM CULTURA",0,$T1119*$H1119)</f>
        <v>0</v>
      </c>
      <c r="AH1119" s="18" t="n">
        <f aca="false">IF($K1119="SEM CULTURA",0,$V1119*$H1119)</f>
        <v>0</v>
      </c>
      <c r="AI1119" s="18" t="n">
        <f aca="false">IF($K1119="SEM CULTURA",0,$W1119*$H1119)</f>
        <v>0</v>
      </c>
      <c r="AJ1119" s="18" t="n">
        <f aca="false">IF($K1119="SEM CULTURA",0,$S1119*$H1119)</f>
        <v>0</v>
      </c>
      <c r="AK1119" s="8" t="str">
        <f aca="false">$E1119&amp;"|"&amp;TEXT($AD1119,"0.000000")</f>
        <v>PV 116|0.000000</v>
      </c>
    </row>
    <row r="1120" customFormat="false" ht="15" hidden="false" customHeight="false" outlineLevel="0" collapsed="false">
      <c r="B1120" s="16" t="n">
        <v>59</v>
      </c>
      <c r="C1120" s="17" t="n">
        <f aca="false">DATA_INICIO_SAFRA+($B1120-1)*DIAS_POR_SEMANA</f>
        <v>46671</v>
      </c>
      <c r="D1120" s="17" t="n">
        <f aca="false">$C1120+DIAS_POR_SEMANA-1</f>
        <v>46677</v>
      </c>
      <c r="E1120" s="15" t="s">
        <v>275</v>
      </c>
      <c r="F1120" s="8" t="str">
        <f aca="false">IFERROR(INDEX(CADASTRO_PIVOS!$C$6:$C$41,MATCH($E1120,CADASTRO_PIVOS!$B$6:$B$41,0)),"?")</f>
        <v>RM06</v>
      </c>
      <c r="G1120" s="8" t="str">
        <f aca="false">IFERROR(INDEX(CADASTRO_PIVOS!$D$6:$D$41,MATCH($E1120,CADASTRO_PIVOS!$B$6:$B$41,0)),"?")</f>
        <v>TR06</v>
      </c>
      <c r="H1120" s="20" t="n">
        <f aca="false">IFERROR(INDEX(CADASTRO_PIVOS!$E$6:$E$41,MATCH($E1120,CADASTRO_PIVOS!$B$6:$B$41,0)),0)</f>
        <v>149.55</v>
      </c>
      <c r="I1120" s="16" t="n">
        <f aca="false">IFERROR(SUMIFS(ROTACAO_RDM!$B$6:$B$71,ROTACAO_RDM!$D$6:$D$71,$E1120,ROTACAO_RDM!$I$6:$I$71,"&lt;="&amp;$C1120+INT(DIAS_POR_SEMANA/2),ROTACAO_RDM!$J$6:$J$71,"&gt;="&amp;$C1120+INT(DIAS_POR_SEMANA/2)),0)</f>
        <v>0</v>
      </c>
      <c r="J1120" s="16" t="n">
        <f aca="false">IFERROR(MATCH($I1120,ROTACAO_RDM!$B$6:$B$71,0),0)</f>
        <v>0</v>
      </c>
      <c r="K1120" s="8" t="str">
        <f aca="false">IF($J1120=0,"SEM CULTURA",INDEX(ROTACAO_RDM!$F$6:$F$71,$J1120))</f>
        <v>SEM CULTURA</v>
      </c>
      <c r="L1120" s="8" t="str">
        <f aca="false">IF($J1120=0,"",INDEX(ROTACAO_RDM!$G$6:$G$71,$J1120))</f>
        <v/>
      </c>
      <c r="M1120" s="17" t="str">
        <f aca="false">IF($J1120=0,"",INDEX(ROTACAO_RDM!$I$6:$I$71,$J1120))</f>
        <v/>
      </c>
      <c r="N1120" s="16" t="n">
        <f aca="false">IF($J1120=0,0,MAX(0,$C1120+INT(DIAS_POR_SEMANA/2)-INDEX(ROTACAO_RDM!$I$6:$I$71,$J1120)))</f>
        <v>0</v>
      </c>
      <c r="O1120" s="19" t="n">
        <f aca="false">IF($J1120=0,0,MIN(1,$N1120/MAX(1,INDEX(ROTACAO_RDM!$K$6:$K$71,$J1120))))</f>
        <v>0</v>
      </c>
      <c r="P1120" s="16" t="n">
        <f aca="false">IF($J1120=0,0,IFERROR(MATCH(INDEX(ROTACAO_RDM!$N$6:$N$71,$J1120),PARAMETROS_CULTURAS!$B$6:$B$28,0),0))</f>
        <v>0</v>
      </c>
      <c r="Q1120" s="8" t="str">
        <f aca="false">IF($P1120=0,"-",IF($O1120&lt;=INDEX(PARAMETROS_CULTURAS!$F$6:$F$28,$P1120),"INICIAL",IF($O1120&lt;=INDEX(PARAMETROS_CULTURAS!$F$6:$F$28,$P1120)+INDEX(PARAMETROS_CULTURAS!$G$6:$G$28,$P1120),"DESENVOLVIMENTO",IF($O1120&lt;=INDEX(PARAMETROS_CULTURAS!$F$6:$F$28,$P1120)+INDEX(PARAMETROS_CULTURAS!$G$6:$G$28,$P1120)+INDEX(PARAMETROS_CULTURAS!$H$6:$H$28,$P1120),"MEDIA","FINAL"))))</f>
        <v>-</v>
      </c>
      <c r="R1120" s="24" t="n">
        <f aca="false">IF($P1120=0,0,IF($O1120&lt;=INDEX(PARAMETROS_CULTURAS!$F$6:$F$28,$P1120),INDEX(PARAMETROS_CULTURAS!$K$6:$K$28,$P1120),IF($O1120&lt;=INDEX(PARAMETROS_CULTURAS!$F$6:$F$28,$P1120)+INDEX(PARAMETROS_CULTURAS!$G$6:$G$28,$P1120),INDEX(PARAMETROS_CULTURAS!$K$6:$K$28,$P1120)+(INDEX(PARAMETROS_CULTURAS!$L$6:$L$28,$P1120)-INDEX(PARAMETROS_CULTURAS!$K$6:$K$28,$P1120))*($O1120-INDEX(PARAMETROS_CULTURAS!$F$6:$F$28,$P1120))/MAX(INDEX(PARAMETROS_CULTURAS!$G$6:$G$28,$P1120),0.0001),IF($O1120&lt;=INDEX(PARAMETROS_CULTURAS!$F$6:$F$28,$P1120)+INDEX(PARAMETROS_CULTURAS!$G$6:$G$28,$P1120)+INDEX(PARAMETROS_CULTURAS!$H$6:$H$28,$P1120),INDEX(PARAMETROS_CULTURAS!$L$6:$L$28,$P1120),INDEX(PARAMETROS_CULTURAS!$L$6:$L$28,$P1120)+(INDEX(PARAMETROS_CULTURAS!$M$6:$M$28,$P1120)-INDEX(PARAMETROS_CULTURAS!$L$6:$L$28,$P1120))*($O1120-INDEX(PARAMETROS_CULTURAS!$F$6:$F$28,$P1120)-INDEX(PARAMETROS_CULTURAS!$G$6:$G$28,$P1120)-INDEX(PARAMETROS_CULTURAS!$H$6:$H$28,$P1120))/MAX(INDEX(PARAMETROS_CULTURAS!$I$6:$I$28,$P1120),0.0001)))))</f>
        <v>0</v>
      </c>
      <c r="S1120" s="18" t="n">
        <f aca="false">IFERROR(INDEX(SEMANAS!$H$6:$H$71,MATCH($B1120,SEMANAS!$B$6:$B$71,0)),0)</f>
        <v>39.2</v>
      </c>
      <c r="T1120" s="18" t="n">
        <f aca="false">$R1120*$S1120</f>
        <v>0</v>
      </c>
      <c r="U1120" s="18" t="n">
        <f aca="false">IFERROR(INDEX(SEMANAS!$I$6:$I$71,MATCH($B1120,SEMANAS!$B$6:$B$71,0)),0)</f>
        <v>27.09</v>
      </c>
      <c r="V1120" s="18" t="n">
        <f aca="false">IFERROR(INDEX(SEMANAS!$J$6:$J$71,MATCH($B1120,SEMANAS!$B$6:$B$71,0)),0)</f>
        <v>21.672</v>
      </c>
      <c r="W1120" s="18" t="n">
        <f aca="false">MAX(0,$T1120-$V1120)</f>
        <v>0</v>
      </c>
      <c r="X1120" s="19" t="n">
        <f aca="false">IFERROR(INDEX(CADASTRO_PIVOS!$K$6:$K$41,MATCH($E1120,CADASTRO_PIVOS!$B$6:$B$41,0)),EFICIENCIA_PADRAO)</f>
        <v>0.85</v>
      </c>
      <c r="Y1120" s="18" t="n">
        <f aca="false">IF($X1120&lt;=0,0,$W1120/$X1120)</f>
        <v>0</v>
      </c>
      <c r="Z1120" s="16" t="n">
        <f aca="false">$Y1120*$H1120*MM_PARA_M3_HA</f>
        <v>0</v>
      </c>
      <c r="AA1120" s="18" t="n">
        <f aca="false">IFERROR(INDEX(CADASTRO_PIVOS!$I$6:$I$41,MATCH($E1120,CADASTRO_PIVOS!$B$6:$B$41,0)),0)</f>
        <v>1068.21428571429</v>
      </c>
      <c r="AB1120" s="18" t="n">
        <f aca="false">IF($Z1120&lt;=0,0,$Z1120/$AA1120)</f>
        <v>0</v>
      </c>
      <c r="AC1120" s="16" t="n">
        <f aca="false">IFERROR(INDEX(SEMANAS!$K$6:$K$71,MATCH($B1120,SEMANAS!$B$6:$B$71,0)),0)</f>
        <v>147</v>
      </c>
      <c r="AD1120" s="19" t="n">
        <f aca="false">IF($AC1120&lt;=0,0,$AB1120/$AC1120)</f>
        <v>0</v>
      </c>
      <c r="AE1120" s="8" t="str">
        <f aca="false">IF($K1120="SEM CULTURA","SEM CULTURA",IF($AA1120&lt;=0,"DADO PENDENTE",IF($AD1120&gt;LIMITE_CRITICO,"INVIAVEL",IF($AD1120&gt;LIMITE_ATENCAO,"CRITICO",IF($AD1120&gt;LIMITE_CONFORTAVEL,"ATENCAO","OK")))))</f>
        <v>SEM CULTURA</v>
      </c>
      <c r="AF1120" s="8" t="str">
        <f aca="false">$B1120&amp;"|"&amp;TEXT($AD1120,"0.000000")</f>
        <v>59|0.000000</v>
      </c>
      <c r="AG1120" s="18" t="n">
        <f aca="false">IF($K1120="SEM CULTURA",0,$T1120*$H1120)</f>
        <v>0</v>
      </c>
      <c r="AH1120" s="18" t="n">
        <f aca="false">IF($K1120="SEM CULTURA",0,$V1120*$H1120)</f>
        <v>0</v>
      </c>
      <c r="AI1120" s="18" t="n">
        <f aca="false">IF($K1120="SEM CULTURA",0,$W1120*$H1120)</f>
        <v>0</v>
      </c>
      <c r="AJ1120" s="18" t="n">
        <f aca="false">IF($K1120="SEM CULTURA",0,$S1120*$H1120)</f>
        <v>0</v>
      </c>
      <c r="AK1120" s="8" t="str">
        <f aca="false">$E1120&amp;"|"&amp;TEXT($AD1120,"0.000000")</f>
        <v>PV 116|0.000000</v>
      </c>
    </row>
    <row r="1121" customFormat="false" ht="15" hidden="false" customHeight="false" outlineLevel="0" collapsed="false">
      <c r="B1121" s="16" t="n">
        <v>60</v>
      </c>
      <c r="C1121" s="17" t="n">
        <f aca="false">DATA_INICIO_SAFRA+($B1121-1)*DIAS_POR_SEMANA</f>
        <v>46678</v>
      </c>
      <c r="D1121" s="17" t="n">
        <f aca="false">$C1121+DIAS_POR_SEMANA-1</f>
        <v>46684</v>
      </c>
      <c r="E1121" s="15" t="s">
        <v>275</v>
      </c>
      <c r="F1121" s="8" t="str">
        <f aca="false">IFERROR(INDEX(CADASTRO_PIVOS!$C$6:$C$41,MATCH($E1121,CADASTRO_PIVOS!$B$6:$B$41,0)),"?")</f>
        <v>RM06</v>
      </c>
      <c r="G1121" s="8" t="str">
        <f aca="false">IFERROR(INDEX(CADASTRO_PIVOS!$D$6:$D$41,MATCH($E1121,CADASTRO_PIVOS!$B$6:$B$41,0)),"?")</f>
        <v>TR06</v>
      </c>
      <c r="H1121" s="20" t="n">
        <f aca="false">IFERROR(INDEX(CADASTRO_PIVOS!$E$6:$E$41,MATCH($E1121,CADASTRO_PIVOS!$B$6:$B$41,0)),0)</f>
        <v>149.55</v>
      </c>
      <c r="I1121" s="16" t="n">
        <f aca="false">IFERROR(SUMIFS(ROTACAO_RDM!$B$6:$B$71,ROTACAO_RDM!$D$6:$D$71,$E1121,ROTACAO_RDM!$I$6:$I$71,"&lt;="&amp;$C1121+INT(DIAS_POR_SEMANA/2),ROTACAO_RDM!$J$6:$J$71,"&gt;="&amp;$C1121+INT(DIAS_POR_SEMANA/2)),0)</f>
        <v>0</v>
      </c>
      <c r="J1121" s="16" t="n">
        <f aca="false">IFERROR(MATCH($I1121,ROTACAO_RDM!$B$6:$B$71,0),0)</f>
        <v>0</v>
      </c>
      <c r="K1121" s="8" t="str">
        <f aca="false">IF($J1121=0,"SEM CULTURA",INDEX(ROTACAO_RDM!$F$6:$F$71,$J1121))</f>
        <v>SEM CULTURA</v>
      </c>
      <c r="L1121" s="8" t="str">
        <f aca="false">IF($J1121=0,"",INDEX(ROTACAO_RDM!$G$6:$G$71,$J1121))</f>
        <v/>
      </c>
      <c r="M1121" s="17" t="str">
        <f aca="false">IF($J1121=0,"",INDEX(ROTACAO_RDM!$I$6:$I$71,$J1121))</f>
        <v/>
      </c>
      <c r="N1121" s="16" t="n">
        <f aca="false">IF($J1121=0,0,MAX(0,$C1121+INT(DIAS_POR_SEMANA/2)-INDEX(ROTACAO_RDM!$I$6:$I$71,$J1121)))</f>
        <v>0</v>
      </c>
      <c r="O1121" s="19" t="n">
        <f aca="false">IF($J1121=0,0,MIN(1,$N1121/MAX(1,INDEX(ROTACAO_RDM!$K$6:$K$71,$J1121))))</f>
        <v>0</v>
      </c>
      <c r="P1121" s="16" t="n">
        <f aca="false">IF($J1121=0,0,IFERROR(MATCH(INDEX(ROTACAO_RDM!$N$6:$N$71,$J1121),PARAMETROS_CULTURAS!$B$6:$B$28,0),0))</f>
        <v>0</v>
      </c>
      <c r="Q1121" s="8" t="str">
        <f aca="false">IF($P1121=0,"-",IF($O1121&lt;=INDEX(PARAMETROS_CULTURAS!$F$6:$F$28,$P1121),"INICIAL",IF($O1121&lt;=INDEX(PARAMETROS_CULTURAS!$F$6:$F$28,$P1121)+INDEX(PARAMETROS_CULTURAS!$G$6:$G$28,$P1121),"DESENVOLVIMENTO",IF($O1121&lt;=INDEX(PARAMETROS_CULTURAS!$F$6:$F$28,$P1121)+INDEX(PARAMETROS_CULTURAS!$G$6:$G$28,$P1121)+INDEX(PARAMETROS_CULTURAS!$H$6:$H$28,$P1121),"MEDIA","FINAL"))))</f>
        <v>-</v>
      </c>
      <c r="R1121" s="24" t="n">
        <f aca="false">IF($P1121=0,0,IF($O1121&lt;=INDEX(PARAMETROS_CULTURAS!$F$6:$F$28,$P1121),INDEX(PARAMETROS_CULTURAS!$K$6:$K$28,$P1121),IF($O1121&lt;=INDEX(PARAMETROS_CULTURAS!$F$6:$F$28,$P1121)+INDEX(PARAMETROS_CULTURAS!$G$6:$G$28,$P1121),INDEX(PARAMETROS_CULTURAS!$K$6:$K$28,$P1121)+(INDEX(PARAMETROS_CULTURAS!$L$6:$L$28,$P1121)-INDEX(PARAMETROS_CULTURAS!$K$6:$K$28,$P1121))*($O1121-INDEX(PARAMETROS_CULTURAS!$F$6:$F$28,$P1121))/MAX(INDEX(PARAMETROS_CULTURAS!$G$6:$G$28,$P1121),0.0001),IF($O1121&lt;=INDEX(PARAMETROS_CULTURAS!$F$6:$F$28,$P1121)+INDEX(PARAMETROS_CULTURAS!$G$6:$G$28,$P1121)+INDEX(PARAMETROS_CULTURAS!$H$6:$H$28,$P1121),INDEX(PARAMETROS_CULTURAS!$L$6:$L$28,$P1121),INDEX(PARAMETROS_CULTURAS!$L$6:$L$28,$P1121)+(INDEX(PARAMETROS_CULTURAS!$M$6:$M$28,$P1121)-INDEX(PARAMETROS_CULTURAS!$L$6:$L$28,$P1121))*($O1121-INDEX(PARAMETROS_CULTURAS!$F$6:$F$28,$P1121)-INDEX(PARAMETROS_CULTURAS!$G$6:$G$28,$P1121)-INDEX(PARAMETROS_CULTURAS!$H$6:$H$28,$P1121))/MAX(INDEX(PARAMETROS_CULTURAS!$I$6:$I$28,$P1121),0.0001)))))</f>
        <v>0</v>
      </c>
      <c r="S1121" s="18" t="n">
        <f aca="false">IFERROR(INDEX(SEMANAS!$H$6:$H$71,MATCH($B1121,SEMANAS!$B$6:$B$71,0)),0)</f>
        <v>39.2</v>
      </c>
      <c r="T1121" s="18" t="n">
        <f aca="false">$R1121*$S1121</f>
        <v>0</v>
      </c>
      <c r="U1121" s="18" t="n">
        <f aca="false">IFERROR(INDEX(SEMANAS!$I$6:$I$71,MATCH($B1121,SEMANAS!$B$6:$B$71,0)),0)</f>
        <v>27.09</v>
      </c>
      <c r="V1121" s="18" t="n">
        <f aca="false">IFERROR(INDEX(SEMANAS!$J$6:$J$71,MATCH($B1121,SEMANAS!$B$6:$B$71,0)),0)</f>
        <v>21.672</v>
      </c>
      <c r="W1121" s="18" t="n">
        <f aca="false">MAX(0,$T1121-$V1121)</f>
        <v>0</v>
      </c>
      <c r="X1121" s="19" t="n">
        <f aca="false">IFERROR(INDEX(CADASTRO_PIVOS!$K$6:$K$41,MATCH($E1121,CADASTRO_PIVOS!$B$6:$B$41,0)),EFICIENCIA_PADRAO)</f>
        <v>0.85</v>
      </c>
      <c r="Y1121" s="18" t="n">
        <f aca="false">IF($X1121&lt;=0,0,$W1121/$X1121)</f>
        <v>0</v>
      </c>
      <c r="Z1121" s="16" t="n">
        <f aca="false">$Y1121*$H1121*MM_PARA_M3_HA</f>
        <v>0</v>
      </c>
      <c r="AA1121" s="18" t="n">
        <f aca="false">IFERROR(INDEX(CADASTRO_PIVOS!$I$6:$I$41,MATCH($E1121,CADASTRO_PIVOS!$B$6:$B$41,0)),0)</f>
        <v>1068.21428571429</v>
      </c>
      <c r="AB1121" s="18" t="n">
        <f aca="false">IF($Z1121&lt;=0,0,$Z1121/$AA1121)</f>
        <v>0</v>
      </c>
      <c r="AC1121" s="16" t="n">
        <f aca="false">IFERROR(INDEX(SEMANAS!$K$6:$K$71,MATCH($B1121,SEMANAS!$B$6:$B$71,0)),0)</f>
        <v>147</v>
      </c>
      <c r="AD1121" s="19" t="n">
        <f aca="false">IF($AC1121&lt;=0,0,$AB1121/$AC1121)</f>
        <v>0</v>
      </c>
      <c r="AE1121" s="8" t="str">
        <f aca="false">IF($K1121="SEM CULTURA","SEM CULTURA",IF($AA1121&lt;=0,"DADO PENDENTE",IF($AD1121&gt;LIMITE_CRITICO,"INVIAVEL",IF($AD1121&gt;LIMITE_ATENCAO,"CRITICO",IF($AD1121&gt;LIMITE_CONFORTAVEL,"ATENCAO","OK")))))</f>
        <v>SEM CULTURA</v>
      </c>
      <c r="AF1121" s="8" t="str">
        <f aca="false">$B1121&amp;"|"&amp;TEXT($AD1121,"0.000000")</f>
        <v>60|0.000000</v>
      </c>
      <c r="AG1121" s="18" t="n">
        <f aca="false">IF($K1121="SEM CULTURA",0,$T1121*$H1121)</f>
        <v>0</v>
      </c>
      <c r="AH1121" s="18" t="n">
        <f aca="false">IF($K1121="SEM CULTURA",0,$V1121*$H1121)</f>
        <v>0</v>
      </c>
      <c r="AI1121" s="18" t="n">
        <f aca="false">IF($K1121="SEM CULTURA",0,$W1121*$H1121)</f>
        <v>0</v>
      </c>
      <c r="AJ1121" s="18" t="n">
        <f aca="false">IF($K1121="SEM CULTURA",0,$S1121*$H1121)</f>
        <v>0</v>
      </c>
      <c r="AK1121" s="8" t="str">
        <f aca="false">$E1121&amp;"|"&amp;TEXT($AD1121,"0.000000")</f>
        <v>PV 116|0.000000</v>
      </c>
    </row>
    <row r="1122" customFormat="false" ht="15" hidden="false" customHeight="false" outlineLevel="0" collapsed="false">
      <c r="B1122" s="16" t="n">
        <v>61</v>
      </c>
      <c r="C1122" s="17" t="n">
        <f aca="false">DATA_INICIO_SAFRA+($B1122-1)*DIAS_POR_SEMANA</f>
        <v>46685</v>
      </c>
      <c r="D1122" s="17" t="n">
        <f aca="false">$C1122+DIAS_POR_SEMANA-1</f>
        <v>46691</v>
      </c>
      <c r="E1122" s="15" t="s">
        <v>275</v>
      </c>
      <c r="F1122" s="8" t="str">
        <f aca="false">IFERROR(INDEX(CADASTRO_PIVOS!$C$6:$C$41,MATCH($E1122,CADASTRO_PIVOS!$B$6:$B$41,0)),"?")</f>
        <v>RM06</v>
      </c>
      <c r="G1122" s="8" t="str">
        <f aca="false">IFERROR(INDEX(CADASTRO_PIVOS!$D$6:$D$41,MATCH($E1122,CADASTRO_PIVOS!$B$6:$B$41,0)),"?")</f>
        <v>TR06</v>
      </c>
      <c r="H1122" s="20" t="n">
        <f aca="false">IFERROR(INDEX(CADASTRO_PIVOS!$E$6:$E$41,MATCH($E1122,CADASTRO_PIVOS!$B$6:$B$41,0)),0)</f>
        <v>149.55</v>
      </c>
      <c r="I1122" s="16" t="n">
        <f aca="false">IFERROR(SUMIFS(ROTACAO_RDM!$B$6:$B$71,ROTACAO_RDM!$D$6:$D$71,$E1122,ROTACAO_RDM!$I$6:$I$71,"&lt;="&amp;$C1122+INT(DIAS_POR_SEMANA/2),ROTACAO_RDM!$J$6:$J$71,"&gt;="&amp;$C1122+INT(DIAS_POR_SEMANA/2)),0)</f>
        <v>0</v>
      </c>
      <c r="J1122" s="16" t="n">
        <f aca="false">IFERROR(MATCH($I1122,ROTACAO_RDM!$B$6:$B$71,0),0)</f>
        <v>0</v>
      </c>
      <c r="K1122" s="8" t="str">
        <f aca="false">IF($J1122=0,"SEM CULTURA",INDEX(ROTACAO_RDM!$F$6:$F$71,$J1122))</f>
        <v>SEM CULTURA</v>
      </c>
      <c r="L1122" s="8" t="str">
        <f aca="false">IF($J1122=0,"",INDEX(ROTACAO_RDM!$G$6:$G$71,$J1122))</f>
        <v/>
      </c>
      <c r="M1122" s="17" t="str">
        <f aca="false">IF($J1122=0,"",INDEX(ROTACAO_RDM!$I$6:$I$71,$J1122))</f>
        <v/>
      </c>
      <c r="N1122" s="16" t="n">
        <f aca="false">IF($J1122=0,0,MAX(0,$C1122+INT(DIAS_POR_SEMANA/2)-INDEX(ROTACAO_RDM!$I$6:$I$71,$J1122)))</f>
        <v>0</v>
      </c>
      <c r="O1122" s="19" t="n">
        <f aca="false">IF($J1122=0,0,MIN(1,$N1122/MAX(1,INDEX(ROTACAO_RDM!$K$6:$K$71,$J1122))))</f>
        <v>0</v>
      </c>
      <c r="P1122" s="16" t="n">
        <f aca="false">IF($J1122=0,0,IFERROR(MATCH(INDEX(ROTACAO_RDM!$N$6:$N$71,$J1122),PARAMETROS_CULTURAS!$B$6:$B$28,0),0))</f>
        <v>0</v>
      </c>
      <c r="Q1122" s="8" t="str">
        <f aca="false">IF($P1122=0,"-",IF($O1122&lt;=INDEX(PARAMETROS_CULTURAS!$F$6:$F$28,$P1122),"INICIAL",IF($O1122&lt;=INDEX(PARAMETROS_CULTURAS!$F$6:$F$28,$P1122)+INDEX(PARAMETROS_CULTURAS!$G$6:$G$28,$P1122),"DESENVOLVIMENTO",IF($O1122&lt;=INDEX(PARAMETROS_CULTURAS!$F$6:$F$28,$P1122)+INDEX(PARAMETROS_CULTURAS!$G$6:$G$28,$P1122)+INDEX(PARAMETROS_CULTURAS!$H$6:$H$28,$P1122),"MEDIA","FINAL"))))</f>
        <v>-</v>
      </c>
      <c r="R1122" s="24" t="n">
        <f aca="false">IF($P1122=0,0,IF($O1122&lt;=INDEX(PARAMETROS_CULTURAS!$F$6:$F$28,$P1122),INDEX(PARAMETROS_CULTURAS!$K$6:$K$28,$P1122),IF($O1122&lt;=INDEX(PARAMETROS_CULTURAS!$F$6:$F$28,$P1122)+INDEX(PARAMETROS_CULTURAS!$G$6:$G$28,$P1122),INDEX(PARAMETROS_CULTURAS!$K$6:$K$28,$P1122)+(INDEX(PARAMETROS_CULTURAS!$L$6:$L$28,$P1122)-INDEX(PARAMETROS_CULTURAS!$K$6:$K$28,$P1122))*($O1122-INDEX(PARAMETROS_CULTURAS!$F$6:$F$28,$P1122))/MAX(INDEX(PARAMETROS_CULTURAS!$G$6:$G$28,$P1122),0.0001),IF($O1122&lt;=INDEX(PARAMETROS_CULTURAS!$F$6:$F$28,$P1122)+INDEX(PARAMETROS_CULTURAS!$G$6:$G$28,$P1122)+INDEX(PARAMETROS_CULTURAS!$H$6:$H$28,$P1122),INDEX(PARAMETROS_CULTURAS!$L$6:$L$28,$P1122),INDEX(PARAMETROS_CULTURAS!$L$6:$L$28,$P1122)+(INDEX(PARAMETROS_CULTURAS!$M$6:$M$28,$P1122)-INDEX(PARAMETROS_CULTURAS!$L$6:$L$28,$P1122))*($O1122-INDEX(PARAMETROS_CULTURAS!$F$6:$F$28,$P1122)-INDEX(PARAMETROS_CULTURAS!$G$6:$G$28,$P1122)-INDEX(PARAMETROS_CULTURAS!$H$6:$H$28,$P1122))/MAX(INDEX(PARAMETROS_CULTURAS!$I$6:$I$28,$P1122),0.0001)))))</f>
        <v>0</v>
      </c>
      <c r="S1122" s="18" t="n">
        <f aca="false">IFERROR(INDEX(SEMANAS!$H$6:$H$71,MATCH($B1122,SEMANAS!$B$6:$B$71,0)),0)</f>
        <v>39.2</v>
      </c>
      <c r="T1122" s="18" t="n">
        <f aca="false">$R1122*$S1122</f>
        <v>0</v>
      </c>
      <c r="U1122" s="18" t="n">
        <f aca="false">IFERROR(INDEX(SEMANAS!$I$6:$I$71,MATCH($B1122,SEMANAS!$B$6:$B$71,0)),0)</f>
        <v>27.09</v>
      </c>
      <c r="V1122" s="18" t="n">
        <f aca="false">IFERROR(INDEX(SEMANAS!$J$6:$J$71,MATCH($B1122,SEMANAS!$B$6:$B$71,0)),0)</f>
        <v>21.672</v>
      </c>
      <c r="W1122" s="18" t="n">
        <f aca="false">MAX(0,$T1122-$V1122)</f>
        <v>0</v>
      </c>
      <c r="X1122" s="19" t="n">
        <f aca="false">IFERROR(INDEX(CADASTRO_PIVOS!$K$6:$K$41,MATCH($E1122,CADASTRO_PIVOS!$B$6:$B$41,0)),EFICIENCIA_PADRAO)</f>
        <v>0.85</v>
      </c>
      <c r="Y1122" s="18" t="n">
        <f aca="false">IF($X1122&lt;=0,0,$W1122/$X1122)</f>
        <v>0</v>
      </c>
      <c r="Z1122" s="16" t="n">
        <f aca="false">$Y1122*$H1122*MM_PARA_M3_HA</f>
        <v>0</v>
      </c>
      <c r="AA1122" s="18" t="n">
        <f aca="false">IFERROR(INDEX(CADASTRO_PIVOS!$I$6:$I$41,MATCH($E1122,CADASTRO_PIVOS!$B$6:$B$41,0)),0)</f>
        <v>1068.21428571429</v>
      </c>
      <c r="AB1122" s="18" t="n">
        <f aca="false">IF($Z1122&lt;=0,0,$Z1122/$AA1122)</f>
        <v>0</v>
      </c>
      <c r="AC1122" s="16" t="n">
        <f aca="false">IFERROR(INDEX(SEMANAS!$K$6:$K$71,MATCH($B1122,SEMANAS!$B$6:$B$71,0)),0)</f>
        <v>147</v>
      </c>
      <c r="AD1122" s="19" t="n">
        <f aca="false">IF($AC1122&lt;=0,0,$AB1122/$AC1122)</f>
        <v>0</v>
      </c>
      <c r="AE1122" s="8" t="str">
        <f aca="false">IF($K1122="SEM CULTURA","SEM CULTURA",IF($AA1122&lt;=0,"DADO PENDENTE",IF($AD1122&gt;LIMITE_CRITICO,"INVIAVEL",IF($AD1122&gt;LIMITE_ATENCAO,"CRITICO",IF($AD1122&gt;LIMITE_CONFORTAVEL,"ATENCAO","OK")))))</f>
        <v>SEM CULTURA</v>
      </c>
      <c r="AF1122" s="8" t="str">
        <f aca="false">$B1122&amp;"|"&amp;TEXT($AD1122,"0.000000")</f>
        <v>61|0.000000</v>
      </c>
      <c r="AG1122" s="18" t="n">
        <f aca="false">IF($K1122="SEM CULTURA",0,$T1122*$H1122)</f>
        <v>0</v>
      </c>
      <c r="AH1122" s="18" t="n">
        <f aca="false">IF($K1122="SEM CULTURA",0,$V1122*$H1122)</f>
        <v>0</v>
      </c>
      <c r="AI1122" s="18" t="n">
        <f aca="false">IF($K1122="SEM CULTURA",0,$W1122*$H1122)</f>
        <v>0</v>
      </c>
      <c r="AJ1122" s="18" t="n">
        <f aca="false">IF($K1122="SEM CULTURA",0,$S1122*$H1122)</f>
        <v>0</v>
      </c>
      <c r="AK1122" s="8" t="str">
        <f aca="false">$E1122&amp;"|"&amp;TEXT($AD1122,"0.000000")</f>
        <v>PV 116|0.000000</v>
      </c>
    </row>
    <row r="1123" customFormat="false" ht="15" hidden="false" customHeight="false" outlineLevel="0" collapsed="false">
      <c r="B1123" s="16" t="n">
        <v>62</v>
      </c>
      <c r="C1123" s="17" t="n">
        <f aca="false">DATA_INICIO_SAFRA+($B1123-1)*DIAS_POR_SEMANA</f>
        <v>46692</v>
      </c>
      <c r="D1123" s="17" t="n">
        <f aca="false">$C1123+DIAS_POR_SEMANA-1</f>
        <v>46698</v>
      </c>
      <c r="E1123" s="15" t="s">
        <v>275</v>
      </c>
      <c r="F1123" s="8" t="str">
        <f aca="false">IFERROR(INDEX(CADASTRO_PIVOS!$C$6:$C$41,MATCH($E1123,CADASTRO_PIVOS!$B$6:$B$41,0)),"?")</f>
        <v>RM06</v>
      </c>
      <c r="G1123" s="8" t="str">
        <f aca="false">IFERROR(INDEX(CADASTRO_PIVOS!$D$6:$D$41,MATCH($E1123,CADASTRO_PIVOS!$B$6:$B$41,0)),"?")</f>
        <v>TR06</v>
      </c>
      <c r="H1123" s="20" t="n">
        <f aca="false">IFERROR(INDEX(CADASTRO_PIVOS!$E$6:$E$41,MATCH($E1123,CADASTRO_PIVOS!$B$6:$B$41,0)),0)</f>
        <v>149.55</v>
      </c>
      <c r="I1123" s="16" t="n">
        <f aca="false">IFERROR(SUMIFS(ROTACAO_RDM!$B$6:$B$71,ROTACAO_RDM!$D$6:$D$71,$E1123,ROTACAO_RDM!$I$6:$I$71,"&lt;="&amp;$C1123+INT(DIAS_POR_SEMANA/2),ROTACAO_RDM!$J$6:$J$71,"&gt;="&amp;$C1123+INT(DIAS_POR_SEMANA/2)),0)</f>
        <v>0</v>
      </c>
      <c r="J1123" s="16" t="n">
        <f aca="false">IFERROR(MATCH($I1123,ROTACAO_RDM!$B$6:$B$71,0),0)</f>
        <v>0</v>
      </c>
      <c r="K1123" s="8" t="str">
        <f aca="false">IF($J1123=0,"SEM CULTURA",INDEX(ROTACAO_RDM!$F$6:$F$71,$J1123))</f>
        <v>SEM CULTURA</v>
      </c>
      <c r="L1123" s="8" t="str">
        <f aca="false">IF($J1123=0,"",INDEX(ROTACAO_RDM!$G$6:$G$71,$J1123))</f>
        <v/>
      </c>
      <c r="M1123" s="17" t="str">
        <f aca="false">IF($J1123=0,"",INDEX(ROTACAO_RDM!$I$6:$I$71,$J1123))</f>
        <v/>
      </c>
      <c r="N1123" s="16" t="n">
        <f aca="false">IF($J1123=0,0,MAX(0,$C1123+INT(DIAS_POR_SEMANA/2)-INDEX(ROTACAO_RDM!$I$6:$I$71,$J1123)))</f>
        <v>0</v>
      </c>
      <c r="O1123" s="19" t="n">
        <f aca="false">IF($J1123=0,0,MIN(1,$N1123/MAX(1,INDEX(ROTACAO_RDM!$K$6:$K$71,$J1123))))</f>
        <v>0</v>
      </c>
      <c r="P1123" s="16" t="n">
        <f aca="false">IF($J1123=0,0,IFERROR(MATCH(INDEX(ROTACAO_RDM!$N$6:$N$71,$J1123),PARAMETROS_CULTURAS!$B$6:$B$28,0),0))</f>
        <v>0</v>
      </c>
      <c r="Q1123" s="8" t="str">
        <f aca="false">IF($P1123=0,"-",IF($O1123&lt;=INDEX(PARAMETROS_CULTURAS!$F$6:$F$28,$P1123),"INICIAL",IF($O1123&lt;=INDEX(PARAMETROS_CULTURAS!$F$6:$F$28,$P1123)+INDEX(PARAMETROS_CULTURAS!$G$6:$G$28,$P1123),"DESENVOLVIMENTO",IF($O1123&lt;=INDEX(PARAMETROS_CULTURAS!$F$6:$F$28,$P1123)+INDEX(PARAMETROS_CULTURAS!$G$6:$G$28,$P1123)+INDEX(PARAMETROS_CULTURAS!$H$6:$H$28,$P1123),"MEDIA","FINAL"))))</f>
        <v>-</v>
      </c>
      <c r="R1123" s="24" t="n">
        <f aca="false">IF($P1123=0,0,IF($O1123&lt;=INDEX(PARAMETROS_CULTURAS!$F$6:$F$28,$P1123),INDEX(PARAMETROS_CULTURAS!$K$6:$K$28,$P1123),IF($O1123&lt;=INDEX(PARAMETROS_CULTURAS!$F$6:$F$28,$P1123)+INDEX(PARAMETROS_CULTURAS!$G$6:$G$28,$P1123),INDEX(PARAMETROS_CULTURAS!$K$6:$K$28,$P1123)+(INDEX(PARAMETROS_CULTURAS!$L$6:$L$28,$P1123)-INDEX(PARAMETROS_CULTURAS!$K$6:$K$28,$P1123))*($O1123-INDEX(PARAMETROS_CULTURAS!$F$6:$F$28,$P1123))/MAX(INDEX(PARAMETROS_CULTURAS!$G$6:$G$28,$P1123),0.0001),IF($O1123&lt;=INDEX(PARAMETROS_CULTURAS!$F$6:$F$28,$P1123)+INDEX(PARAMETROS_CULTURAS!$G$6:$G$28,$P1123)+INDEX(PARAMETROS_CULTURAS!$H$6:$H$28,$P1123),INDEX(PARAMETROS_CULTURAS!$L$6:$L$28,$P1123),INDEX(PARAMETROS_CULTURAS!$L$6:$L$28,$P1123)+(INDEX(PARAMETROS_CULTURAS!$M$6:$M$28,$P1123)-INDEX(PARAMETROS_CULTURAS!$L$6:$L$28,$P1123))*($O1123-INDEX(PARAMETROS_CULTURAS!$F$6:$F$28,$P1123)-INDEX(PARAMETROS_CULTURAS!$G$6:$G$28,$P1123)-INDEX(PARAMETROS_CULTURAS!$H$6:$H$28,$P1123))/MAX(INDEX(PARAMETROS_CULTURAS!$I$6:$I$28,$P1123),0.0001)))))</f>
        <v>0</v>
      </c>
      <c r="S1123" s="18" t="n">
        <f aca="false">IFERROR(INDEX(SEMANAS!$H$6:$H$71,MATCH($B1123,SEMANAS!$B$6:$B$71,0)),0)</f>
        <v>34.3</v>
      </c>
      <c r="T1123" s="18" t="n">
        <f aca="false">$R1123*$S1123</f>
        <v>0</v>
      </c>
      <c r="U1123" s="18" t="n">
        <f aca="false">IFERROR(INDEX(SEMANAS!$I$6:$I$71,MATCH($B1123,SEMANAS!$B$6:$B$71,0)),0)</f>
        <v>46.69</v>
      </c>
      <c r="V1123" s="18" t="n">
        <f aca="false">IFERROR(INDEX(SEMANAS!$J$6:$J$71,MATCH($B1123,SEMANAS!$B$6:$B$71,0)),0)</f>
        <v>37.352</v>
      </c>
      <c r="W1123" s="18" t="n">
        <f aca="false">MAX(0,$T1123-$V1123)</f>
        <v>0</v>
      </c>
      <c r="X1123" s="19" t="n">
        <f aca="false">IFERROR(INDEX(CADASTRO_PIVOS!$K$6:$K$41,MATCH($E1123,CADASTRO_PIVOS!$B$6:$B$41,0)),EFICIENCIA_PADRAO)</f>
        <v>0.85</v>
      </c>
      <c r="Y1123" s="18" t="n">
        <f aca="false">IF($X1123&lt;=0,0,$W1123/$X1123)</f>
        <v>0</v>
      </c>
      <c r="Z1123" s="16" t="n">
        <f aca="false">$Y1123*$H1123*MM_PARA_M3_HA</f>
        <v>0</v>
      </c>
      <c r="AA1123" s="18" t="n">
        <f aca="false">IFERROR(INDEX(CADASTRO_PIVOS!$I$6:$I$41,MATCH($E1123,CADASTRO_PIVOS!$B$6:$B$41,0)),0)</f>
        <v>1068.21428571429</v>
      </c>
      <c r="AB1123" s="18" t="n">
        <f aca="false">IF($Z1123&lt;=0,0,$Z1123/$AA1123)</f>
        <v>0</v>
      </c>
      <c r="AC1123" s="16" t="n">
        <f aca="false">IFERROR(INDEX(SEMANAS!$K$6:$K$71,MATCH($B1123,SEMANAS!$B$6:$B$71,0)),0)</f>
        <v>147</v>
      </c>
      <c r="AD1123" s="19" t="n">
        <f aca="false">IF($AC1123&lt;=0,0,$AB1123/$AC1123)</f>
        <v>0</v>
      </c>
      <c r="AE1123" s="8" t="str">
        <f aca="false">IF($K1123="SEM CULTURA","SEM CULTURA",IF($AA1123&lt;=0,"DADO PENDENTE",IF($AD1123&gt;LIMITE_CRITICO,"INVIAVEL",IF($AD1123&gt;LIMITE_ATENCAO,"CRITICO",IF($AD1123&gt;LIMITE_CONFORTAVEL,"ATENCAO","OK")))))</f>
        <v>SEM CULTURA</v>
      </c>
      <c r="AF1123" s="8" t="str">
        <f aca="false">$B1123&amp;"|"&amp;TEXT($AD1123,"0.000000")</f>
        <v>62|0.000000</v>
      </c>
      <c r="AG1123" s="18" t="n">
        <f aca="false">IF($K1123="SEM CULTURA",0,$T1123*$H1123)</f>
        <v>0</v>
      </c>
      <c r="AH1123" s="18" t="n">
        <f aca="false">IF($K1123="SEM CULTURA",0,$V1123*$H1123)</f>
        <v>0</v>
      </c>
      <c r="AI1123" s="18" t="n">
        <f aca="false">IF($K1123="SEM CULTURA",0,$W1123*$H1123)</f>
        <v>0</v>
      </c>
      <c r="AJ1123" s="18" t="n">
        <f aca="false">IF($K1123="SEM CULTURA",0,$S1123*$H1123)</f>
        <v>0</v>
      </c>
      <c r="AK1123" s="8" t="str">
        <f aca="false">$E1123&amp;"|"&amp;TEXT($AD1123,"0.000000")</f>
        <v>PV 116|0.000000</v>
      </c>
    </row>
    <row r="1124" customFormat="false" ht="15" hidden="false" customHeight="false" outlineLevel="0" collapsed="false">
      <c r="B1124" s="16" t="n">
        <v>63</v>
      </c>
      <c r="C1124" s="17" t="n">
        <f aca="false">DATA_INICIO_SAFRA+($B1124-1)*DIAS_POR_SEMANA</f>
        <v>46699</v>
      </c>
      <c r="D1124" s="17" t="n">
        <f aca="false">$C1124+DIAS_POR_SEMANA-1</f>
        <v>46705</v>
      </c>
      <c r="E1124" s="15" t="s">
        <v>275</v>
      </c>
      <c r="F1124" s="8" t="str">
        <f aca="false">IFERROR(INDEX(CADASTRO_PIVOS!$C$6:$C$41,MATCH($E1124,CADASTRO_PIVOS!$B$6:$B$41,0)),"?")</f>
        <v>RM06</v>
      </c>
      <c r="G1124" s="8" t="str">
        <f aca="false">IFERROR(INDEX(CADASTRO_PIVOS!$D$6:$D$41,MATCH($E1124,CADASTRO_PIVOS!$B$6:$B$41,0)),"?")</f>
        <v>TR06</v>
      </c>
      <c r="H1124" s="20" t="n">
        <f aca="false">IFERROR(INDEX(CADASTRO_PIVOS!$E$6:$E$41,MATCH($E1124,CADASTRO_PIVOS!$B$6:$B$41,0)),0)</f>
        <v>149.55</v>
      </c>
      <c r="I1124" s="16" t="n">
        <f aca="false">IFERROR(SUMIFS(ROTACAO_RDM!$B$6:$B$71,ROTACAO_RDM!$D$6:$D$71,$E1124,ROTACAO_RDM!$I$6:$I$71,"&lt;="&amp;$C1124+INT(DIAS_POR_SEMANA/2),ROTACAO_RDM!$J$6:$J$71,"&gt;="&amp;$C1124+INT(DIAS_POR_SEMANA/2)),0)</f>
        <v>0</v>
      </c>
      <c r="J1124" s="16" t="n">
        <f aca="false">IFERROR(MATCH($I1124,ROTACAO_RDM!$B$6:$B$71,0),0)</f>
        <v>0</v>
      </c>
      <c r="K1124" s="8" t="str">
        <f aca="false">IF($J1124=0,"SEM CULTURA",INDEX(ROTACAO_RDM!$F$6:$F$71,$J1124))</f>
        <v>SEM CULTURA</v>
      </c>
      <c r="L1124" s="8" t="str">
        <f aca="false">IF($J1124=0,"",INDEX(ROTACAO_RDM!$G$6:$G$71,$J1124))</f>
        <v/>
      </c>
      <c r="M1124" s="17" t="str">
        <f aca="false">IF($J1124=0,"",INDEX(ROTACAO_RDM!$I$6:$I$71,$J1124))</f>
        <v/>
      </c>
      <c r="N1124" s="16" t="n">
        <f aca="false">IF($J1124=0,0,MAX(0,$C1124+INT(DIAS_POR_SEMANA/2)-INDEX(ROTACAO_RDM!$I$6:$I$71,$J1124)))</f>
        <v>0</v>
      </c>
      <c r="O1124" s="19" t="n">
        <f aca="false">IF($J1124=0,0,MIN(1,$N1124/MAX(1,INDEX(ROTACAO_RDM!$K$6:$K$71,$J1124))))</f>
        <v>0</v>
      </c>
      <c r="P1124" s="16" t="n">
        <f aca="false">IF($J1124=0,0,IFERROR(MATCH(INDEX(ROTACAO_RDM!$N$6:$N$71,$J1124),PARAMETROS_CULTURAS!$B$6:$B$28,0),0))</f>
        <v>0</v>
      </c>
      <c r="Q1124" s="8" t="str">
        <f aca="false">IF($P1124=0,"-",IF($O1124&lt;=INDEX(PARAMETROS_CULTURAS!$F$6:$F$28,$P1124),"INICIAL",IF($O1124&lt;=INDEX(PARAMETROS_CULTURAS!$F$6:$F$28,$P1124)+INDEX(PARAMETROS_CULTURAS!$G$6:$G$28,$P1124),"DESENVOLVIMENTO",IF($O1124&lt;=INDEX(PARAMETROS_CULTURAS!$F$6:$F$28,$P1124)+INDEX(PARAMETROS_CULTURAS!$G$6:$G$28,$P1124)+INDEX(PARAMETROS_CULTURAS!$H$6:$H$28,$P1124),"MEDIA","FINAL"))))</f>
        <v>-</v>
      </c>
      <c r="R1124" s="24" t="n">
        <f aca="false">IF($P1124=0,0,IF($O1124&lt;=INDEX(PARAMETROS_CULTURAS!$F$6:$F$28,$P1124),INDEX(PARAMETROS_CULTURAS!$K$6:$K$28,$P1124),IF($O1124&lt;=INDEX(PARAMETROS_CULTURAS!$F$6:$F$28,$P1124)+INDEX(PARAMETROS_CULTURAS!$G$6:$G$28,$P1124),INDEX(PARAMETROS_CULTURAS!$K$6:$K$28,$P1124)+(INDEX(PARAMETROS_CULTURAS!$L$6:$L$28,$P1124)-INDEX(PARAMETROS_CULTURAS!$K$6:$K$28,$P1124))*($O1124-INDEX(PARAMETROS_CULTURAS!$F$6:$F$28,$P1124))/MAX(INDEX(PARAMETROS_CULTURAS!$G$6:$G$28,$P1124),0.0001),IF($O1124&lt;=INDEX(PARAMETROS_CULTURAS!$F$6:$F$28,$P1124)+INDEX(PARAMETROS_CULTURAS!$G$6:$G$28,$P1124)+INDEX(PARAMETROS_CULTURAS!$H$6:$H$28,$P1124),INDEX(PARAMETROS_CULTURAS!$L$6:$L$28,$P1124),INDEX(PARAMETROS_CULTURAS!$L$6:$L$28,$P1124)+(INDEX(PARAMETROS_CULTURAS!$M$6:$M$28,$P1124)-INDEX(PARAMETROS_CULTURAS!$L$6:$L$28,$P1124))*($O1124-INDEX(PARAMETROS_CULTURAS!$F$6:$F$28,$P1124)-INDEX(PARAMETROS_CULTURAS!$G$6:$G$28,$P1124)-INDEX(PARAMETROS_CULTURAS!$H$6:$H$28,$P1124))/MAX(INDEX(PARAMETROS_CULTURAS!$I$6:$I$28,$P1124),0.0001)))))</f>
        <v>0</v>
      </c>
      <c r="S1124" s="18" t="n">
        <f aca="false">IFERROR(INDEX(SEMANAS!$H$6:$H$71,MATCH($B1124,SEMANAS!$B$6:$B$71,0)),0)</f>
        <v>34.3</v>
      </c>
      <c r="T1124" s="18" t="n">
        <f aca="false">$R1124*$S1124</f>
        <v>0</v>
      </c>
      <c r="U1124" s="18" t="n">
        <f aca="false">IFERROR(INDEX(SEMANAS!$I$6:$I$71,MATCH($B1124,SEMANAS!$B$6:$B$71,0)),0)</f>
        <v>46.69</v>
      </c>
      <c r="V1124" s="18" t="n">
        <f aca="false">IFERROR(INDEX(SEMANAS!$J$6:$J$71,MATCH($B1124,SEMANAS!$B$6:$B$71,0)),0)</f>
        <v>37.352</v>
      </c>
      <c r="W1124" s="18" t="n">
        <f aca="false">MAX(0,$T1124-$V1124)</f>
        <v>0</v>
      </c>
      <c r="X1124" s="19" t="n">
        <f aca="false">IFERROR(INDEX(CADASTRO_PIVOS!$K$6:$K$41,MATCH($E1124,CADASTRO_PIVOS!$B$6:$B$41,0)),EFICIENCIA_PADRAO)</f>
        <v>0.85</v>
      </c>
      <c r="Y1124" s="18" t="n">
        <f aca="false">IF($X1124&lt;=0,0,$W1124/$X1124)</f>
        <v>0</v>
      </c>
      <c r="Z1124" s="16" t="n">
        <f aca="false">$Y1124*$H1124*MM_PARA_M3_HA</f>
        <v>0</v>
      </c>
      <c r="AA1124" s="18" t="n">
        <f aca="false">IFERROR(INDEX(CADASTRO_PIVOS!$I$6:$I$41,MATCH($E1124,CADASTRO_PIVOS!$B$6:$B$41,0)),0)</f>
        <v>1068.21428571429</v>
      </c>
      <c r="AB1124" s="18" t="n">
        <f aca="false">IF($Z1124&lt;=0,0,$Z1124/$AA1124)</f>
        <v>0</v>
      </c>
      <c r="AC1124" s="16" t="n">
        <f aca="false">IFERROR(INDEX(SEMANAS!$K$6:$K$71,MATCH($B1124,SEMANAS!$B$6:$B$71,0)),0)</f>
        <v>147</v>
      </c>
      <c r="AD1124" s="19" t="n">
        <f aca="false">IF($AC1124&lt;=0,0,$AB1124/$AC1124)</f>
        <v>0</v>
      </c>
      <c r="AE1124" s="8" t="str">
        <f aca="false">IF($K1124="SEM CULTURA","SEM CULTURA",IF($AA1124&lt;=0,"DADO PENDENTE",IF($AD1124&gt;LIMITE_CRITICO,"INVIAVEL",IF($AD1124&gt;LIMITE_ATENCAO,"CRITICO",IF($AD1124&gt;LIMITE_CONFORTAVEL,"ATENCAO","OK")))))</f>
        <v>SEM CULTURA</v>
      </c>
      <c r="AF1124" s="8" t="str">
        <f aca="false">$B1124&amp;"|"&amp;TEXT($AD1124,"0.000000")</f>
        <v>63|0.000000</v>
      </c>
      <c r="AG1124" s="18" t="n">
        <f aca="false">IF($K1124="SEM CULTURA",0,$T1124*$H1124)</f>
        <v>0</v>
      </c>
      <c r="AH1124" s="18" t="n">
        <f aca="false">IF($K1124="SEM CULTURA",0,$V1124*$H1124)</f>
        <v>0</v>
      </c>
      <c r="AI1124" s="18" t="n">
        <f aca="false">IF($K1124="SEM CULTURA",0,$W1124*$H1124)</f>
        <v>0</v>
      </c>
      <c r="AJ1124" s="18" t="n">
        <f aca="false">IF($K1124="SEM CULTURA",0,$S1124*$H1124)</f>
        <v>0</v>
      </c>
      <c r="AK1124" s="8" t="str">
        <f aca="false">$E1124&amp;"|"&amp;TEXT($AD1124,"0.000000")</f>
        <v>PV 116|0.000000</v>
      </c>
    </row>
    <row r="1125" customFormat="false" ht="15" hidden="false" customHeight="false" outlineLevel="0" collapsed="false">
      <c r="B1125" s="16" t="n">
        <v>64</v>
      </c>
      <c r="C1125" s="17" t="n">
        <f aca="false">DATA_INICIO_SAFRA+($B1125-1)*DIAS_POR_SEMANA</f>
        <v>46706</v>
      </c>
      <c r="D1125" s="17" t="n">
        <f aca="false">$C1125+DIAS_POR_SEMANA-1</f>
        <v>46712</v>
      </c>
      <c r="E1125" s="15" t="s">
        <v>275</v>
      </c>
      <c r="F1125" s="8" t="str">
        <f aca="false">IFERROR(INDEX(CADASTRO_PIVOS!$C$6:$C$41,MATCH($E1125,CADASTRO_PIVOS!$B$6:$B$41,0)),"?")</f>
        <v>RM06</v>
      </c>
      <c r="G1125" s="8" t="str">
        <f aca="false">IFERROR(INDEX(CADASTRO_PIVOS!$D$6:$D$41,MATCH($E1125,CADASTRO_PIVOS!$B$6:$B$41,0)),"?")</f>
        <v>TR06</v>
      </c>
      <c r="H1125" s="20" t="n">
        <f aca="false">IFERROR(INDEX(CADASTRO_PIVOS!$E$6:$E$41,MATCH($E1125,CADASTRO_PIVOS!$B$6:$B$41,0)),0)</f>
        <v>149.55</v>
      </c>
      <c r="I1125" s="16" t="n">
        <f aca="false">IFERROR(SUMIFS(ROTACAO_RDM!$B$6:$B$71,ROTACAO_RDM!$D$6:$D$71,$E1125,ROTACAO_RDM!$I$6:$I$71,"&lt;="&amp;$C1125+INT(DIAS_POR_SEMANA/2),ROTACAO_RDM!$J$6:$J$71,"&gt;="&amp;$C1125+INT(DIAS_POR_SEMANA/2)),0)</f>
        <v>0</v>
      </c>
      <c r="J1125" s="16" t="n">
        <f aca="false">IFERROR(MATCH($I1125,ROTACAO_RDM!$B$6:$B$71,0),0)</f>
        <v>0</v>
      </c>
      <c r="K1125" s="8" t="str">
        <f aca="false">IF($J1125=0,"SEM CULTURA",INDEX(ROTACAO_RDM!$F$6:$F$71,$J1125))</f>
        <v>SEM CULTURA</v>
      </c>
      <c r="L1125" s="8" t="str">
        <f aca="false">IF($J1125=0,"",INDEX(ROTACAO_RDM!$G$6:$G$71,$J1125))</f>
        <v/>
      </c>
      <c r="M1125" s="17" t="str">
        <f aca="false">IF($J1125=0,"",INDEX(ROTACAO_RDM!$I$6:$I$71,$J1125))</f>
        <v/>
      </c>
      <c r="N1125" s="16" t="n">
        <f aca="false">IF($J1125=0,0,MAX(0,$C1125+INT(DIAS_POR_SEMANA/2)-INDEX(ROTACAO_RDM!$I$6:$I$71,$J1125)))</f>
        <v>0</v>
      </c>
      <c r="O1125" s="19" t="n">
        <f aca="false">IF($J1125=0,0,MIN(1,$N1125/MAX(1,INDEX(ROTACAO_RDM!$K$6:$K$71,$J1125))))</f>
        <v>0</v>
      </c>
      <c r="P1125" s="16" t="n">
        <f aca="false">IF($J1125=0,0,IFERROR(MATCH(INDEX(ROTACAO_RDM!$N$6:$N$71,$J1125),PARAMETROS_CULTURAS!$B$6:$B$28,0),0))</f>
        <v>0</v>
      </c>
      <c r="Q1125" s="8" t="str">
        <f aca="false">IF($P1125=0,"-",IF($O1125&lt;=INDEX(PARAMETROS_CULTURAS!$F$6:$F$28,$P1125),"INICIAL",IF($O1125&lt;=INDEX(PARAMETROS_CULTURAS!$F$6:$F$28,$P1125)+INDEX(PARAMETROS_CULTURAS!$G$6:$G$28,$P1125),"DESENVOLVIMENTO",IF($O1125&lt;=INDEX(PARAMETROS_CULTURAS!$F$6:$F$28,$P1125)+INDEX(PARAMETROS_CULTURAS!$G$6:$G$28,$P1125)+INDEX(PARAMETROS_CULTURAS!$H$6:$H$28,$P1125),"MEDIA","FINAL"))))</f>
        <v>-</v>
      </c>
      <c r="R1125" s="24" t="n">
        <f aca="false">IF($P1125=0,0,IF($O1125&lt;=INDEX(PARAMETROS_CULTURAS!$F$6:$F$28,$P1125),INDEX(PARAMETROS_CULTURAS!$K$6:$K$28,$P1125),IF($O1125&lt;=INDEX(PARAMETROS_CULTURAS!$F$6:$F$28,$P1125)+INDEX(PARAMETROS_CULTURAS!$G$6:$G$28,$P1125),INDEX(PARAMETROS_CULTURAS!$K$6:$K$28,$P1125)+(INDEX(PARAMETROS_CULTURAS!$L$6:$L$28,$P1125)-INDEX(PARAMETROS_CULTURAS!$K$6:$K$28,$P1125))*($O1125-INDEX(PARAMETROS_CULTURAS!$F$6:$F$28,$P1125))/MAX(INDEX(PARAMETROS_CULTURAS!$G$6:$G$28,$P1125),0.0001),IF($O1125&lt;=INDEX(PARAMETROS_CULTURAS!$F$6:$F$28,$P1125)+INDEX(PARAMETROS_CULTURAS!$G$6:$G$28,$P1125)+INDEX(PARAMETROS_CULTURAS!$H$6:$H$28,$P1125),INDEX(PARAMETROS_CULTURAS!$L$6:$L$28,$P1125),INDEX(PARAMETROS_CULTURAS!$L$6:$L$28,$P1125)+(INDEX(PARAMETROS_CULTURAS!$M$6:$M$28,$P1125)-INDEX(PARAMETROS_CULTURAS!$L$6:$L$28,$P1125))*($O1125-INDEX(PARAMETROS_CULTURAS!$F$6:$F$28,$P1125)-INDEX(PARAMETROS_CULTURAS!$G$6:$G$28,$P1125)-INDEX(PARAMETROS_CULTURAS!$H$6:$H$28,$P1125))/MAX(INDEX(PARAMETROS_CULTURAS!$I$6:$I$28,$P1125),0.0001)))))</f>
        <v>0</v>
      </c>
      <c r="S1125" s="18" t="n">
        <f aca="false">IFERROR(INDEX(SEMANAS!$H$6:$H$71,MATCH($B1125,SEMANAS!$B$6:$B$71,0)),0)</f>
        <v>34.3</v>
      </c>
      <c r="T1125" s="18" t="n">
        <f aca="false">$R1125*$S1125</f>
        <v>0</v>
      </c>
      <c r="U1125" s="18" t="n">
        <f aca="false">IFERROR(INDEX(SEMANAS!$I$6:$I$71,MATCH($B1125,SEMANAS!$B$6:$B$71,0)),0)</f>
        <v>46.69</v>
      </c>
      <c r="V1125" s="18" t="n">
        <f aca="false">IFERROR(INDEX(SEMANAS!$J$6:$J$71,MATCH($B1125,SEMANAS!$B$6:$B$71,0)),0)</f>
        <v>37.352</v>
      </c>
      <c r="W1125" s="18" t="n">
        <f aca="false">MAX(0,$T1125-$V1125)</f>
        <v>0</v>
      </c>
      <c r="X1125" s="19" t="n">
        <f aca="false">IFERROR(INDEX(CADASTRO_PIVOS!$K$6:$K$41,MATCH($E1125,CADASTRO_PIVOS!$B$6:$B$41,0)),EFICIENCIA_PADRAO)</f>
        <v>0.85</v>
      </c>
      <c r="Y1125" s="18" t="n">
        <f aca="false">IF($X1125&lt;=0,0,$W1125/$X1125)</f>
        <v>0</v>
      </c>
      <c r="Z1125" s="16" t="n">
        <f aca="false">$Y1125*$H1125*MM_PARA_M3_HA</f>
        <v>0</v>
      </c>
      <c r="AA1125" s="18" t="n">
        <f aca="false">IFERROR(INDEX(CADASTRO_PIVOS!$I$6:$I$41,MATCH($E1125,CADASTRO_PIVOS!$B$6:$B$41,0)),0)</f>
        <v>1068.21428571429</v>
      </c>
      <c r="AB1125" s="18" t="n">
        <f aca="false">IF($Z1125&lt;=0,0,$Z1125/$AA1125)</f>
        <v>0</v>
      </c>
      <c r="AC1125" s="16" t="n">
        <f aca="false">IFERROR(INDEX(SEMANAS!$K$6:$K$71,MATCH($B1125,SEMANAS!$B$6:$B$71,0)),0)</f>
        <v>147</v>
      </c>
      <c r="AD1125" s="19" t="n">
        <f aca="false">IF($AC1125&lt;=0,0,$AB1125/$AC1125)</f>
        <v>0</v>
      </c>
      <c r="AE1125" s="8" t="str">
        <f aca="false">IF($K1125="SEM CULTURA","SEM CULTURA",IF($AA1125&lt;=0,"DADO PENDENTE",IF($AD1125&gt;LIMITE_CRITICO,"INVIAVEL",IF($AD1125&gt;LIMITE_ATENCAO,"CRITICO",IF($AD1125&gt;LIMITE_CONFORTAVEL,"ATENCAO","OK")))))</f>
        <v>SEM CULTURA</v>
      </c>
      <c r="AF1125" s="8" t="str">
        <f aca="false">$B1125&amp;"|"&amp;TEXT($AD1125,"0.000000")</f>
        <v>64|0.000000</v>
      </c>
      <c r="AG1125" s="18" t="n">
        <f aca="false">IF($K1125="SEM CULTURA",0,$T1125*$H1125)</f>
        <v>0</v>
      </c>
      <c r="AH1125" s="18" t="n">
        <f aca="false">IF($K1125="SEM CULTURA",0,$V1125*$H1125)</f>
        <v>0</v>
      </c>
      <c r="AI1125" s="18" t="n">
        <f aca="false">IF($K1125="SEM CULTURA",0,$W1125*$H1125)</f>
        <v>0</v>
      </c>
      <c r="AJ1125" s="18" t="n">
        <f aca="false">IF($K1125="SEM CULTURA",0,$S1125*$H1125)</f>
        <v>0</v>
      </c>
      <c r="AK1125" s="8" t="str">
        <f aca="false">$E1125&amp;"|"&amp;TEXT($AD1125,"0.000000")</f>
        <v>PV 116|0.000000</v>
      </c>
    </row>
    <row r="1126" customFormat="false" ht="15" hidden="false" customHeight="false" outlineLevel="0" collapsed="false">
      <c r="B1126" s="16" t="n">
        <v>65</v>
      </c>
      <c r="C1126" s="17" t="n">
        <f aca="false">DATA_INICIO_SAFRA+($B1126-1)*DIAS_POR_SEMANA</f>
        <v>46713</v>
      </c>
      <c r="D1126" s="17" t="n">
        <f aca="false">$C1126+DIAS_POR_SEMANA-1</f>
        <v>46719</v>
      </c>
      <c r="E1126" s="15" t="s">
        <v>275</v>
      </c>
      <c r="F1126" s="8" t="str">
        <f aca="false">IFERROR(INDEX(CADASTRO_PIVOS!$C$6:$C$41,MATCH($E1126,CADASTRO_PIVOS!$B$6:$B$41,0)),"?")</f>
        <v>RM06</v>
      </c>
      <c r="G1126" s="8" t="str">
        <f aca="false">IFERROR(INDEX(CADASTRO_PIVOS!$D$6:$D$41,MATCH($E1126,CADASTRO_PIVOS!$B$6:$B$41,0)),"?")</f>
        <v>TR06</v>
      </c>
      <c r="H1126" s="20" t="n">
        <f aca="false">IFERROR(INDEX(CADASTRO_PIVOS!$E$6:$E$41,MATCH($E1126,CADASTRO_PIVOS!$B$6:$B$41,0)),0)</f>
        <v>149.55</v>
      </c>
      <c r="I1126" s="16" t="n">
        <f aca="false">IFERROR(SUMIFS(ROTACAO_RDM!$B$6:$B$71,ROTACAO_RDM!$D$6:$D$71,$E1126,ROTACAO_RDM!$I$6:$I$71,"&lt;="&amp;$C1126+INT(DIAS_POR_SEMANA/2),ROTACAO_RDM!$J$6:$J$71,"&gt;="&amp;$C1126+INT(DIAS_POR_SEMANA/2)),0)</f>
        <v>0</v>
      </c>
      <c r="J1126" s="16" t="n">
        <f aca="false">IFERROR(MATCH($I1126,ROTACAO_RDM!$B$6:$B$71,0),0)</f>
        <v>0</v>
      </c>
      <c r="K1126" s="8" t="str">
        <f aca="false">IF($J1126=0,"SEM CULTURA",INDEX(ROTACAO_RDM!$F$6:$F$71,$J1126))</f>
        <v>SEM CULTURA</v>
      </c>
      <c r="L1126" s="8" t="str">
        <f aca="false">IF($J1126=0,"",INDEX(ROTACAO_RDM!$G$6:$G$71,$J1126))</f>
        <v/>
      </c>
      <c r="M1126" s="17" t="str">
        <f aca="false">IF($J1126=0,"",INDEX(ROTACAO_RDM!$I$6:$I$71,$J1126))</f>
        <v/>
      </c>
      <c r="N1126" s="16" t="n">
        <f aca="false">IF($J1126=0,0,MAX(0,$C1126+INT(DIAS_POR_SEMANA/2)-INDEX(ROTACAO_RDM!$I$6:$I$71,$J1126)))</f>
        <v>0</v>
      </c>
      <c r="O1126" s="19" t="n">
        <f aca="false">IF($J1126=0,0,MIN(1,$N1126/MAX(1,INDEX(ROTACAO_RDM!$K$6:$K$71,$J1126))))</f>
        <v>0</v>
      </c>
      <c r="P1126" s="16" t="n">
        <f aca="false">IF($J1126=0,0,IFERROR(MATCH(INDEX(ROTACAO_RDM!$N$6:$N$71,$J1126),PARAMETROS_CULTURAS!$B$6:$B$28,0),0))</f>
        <v>0</v>
      </c>
      <c r="Q1126" s="8" t="str">
        <f aca="false">IF($P1126=0,"-",IF($O1126&lt;=INDEX(PARAMETROS_CULTURAS!$F$6:$F$28,$P1126),"INICIAL",IF($O1126&lt;=INDEX(PARAMETROS_CULTURAS!$F$6:$F$28,$P1126)+INDEX(PARAMETROS_CULTURAS!$G$6:$G$28,$P1126),"DESENVOLVIMENTO",IF($O1126&lt;=INDEX(PARAMETROS_CULTURAS!$F$6:$F$28,$P1126)+INDEX(PARAMETROS_CULTURAS!$G$6:$G$28,$P1126)+INDEX(PARAMETROS_CULTURAS!$H$6:$H$28,$P1126),"MEDIA","FINAL"))))</f>
        <v>-</v>
      </c>
      <c r="R1126" s="24" t="n">
        <f aca="false">IF($P1126=0,0,IF($O1126&lt;=INDEX(PARAMETROS_CULTURAS!$F$6:$F$28,$P1126),INDEX(PARAMETROS_CULTURAS!$K$6:$K$28,$P1126),IF($O1126&lt;=INDEX(PARAMETROS_CULTURAS!$F$6:$F$28,$P1126)+INDEX(PARAMETROS_CULTURAS!$G$6:$G$28,$P1126),INDEX(PARAMETROS_CULTURAS!$K$6:$K$28,$P1126)+(INDEX(PARAMETROS_CULTURAS!$L$6:$L$28,$P1126)-INDEX(PARAMETROS_CULTURAS!$K$6:$K$28,$P1126))*($O1126-INDEX(PARAMETROS_CULTURAS!$F$6:$F$28,$P1126))/MAX(INDEX(PARAMETROS_CULTURAS!$G$6:$G$28,$P1126),0.0001),IF($O1126&lt;=INDEX(PARAMETROS_CULTURAS!$F$6:$F$28,$P1126)+INDEX(PARAMETROS_CULTURAS!$G$6:$G$28,$P1126)+INDEX(PARAMETROS_CULTURAS!$H$6:$H$28,$P1126),INDEX(PARAMETROS_CULTURAS!$L$6:$L$28,$P1126),INDEX(PARAMETROS_CULTURAS!$L$6:$L$28,$P1126)+(INDEX(PARAMETROS_CULTURAS!$M$6:$M$28,$P1126)-INDEX(PARAMETROS_CULTURAS!$L$6:$L$28,$P1126))*($O1126-INDEX(PARAMETROS_CULTURAS!$F$6:$F$28,$P1126)-INDEX(PARAMETROS_CULTURAS!$G$6:$G$28,$P1126)-INDEX(PARAMETROS_CULTURAS!$H$6:$H$28,$P1126))/MAX(INDEX(PARAMETROS_CULTURAS!$I$6:$I$28,$P1126),0.0001)))))</f>
        <v>0</v>
      </c>
      <c r="S1126" s="18" t="n">
        <f aca="false">IFERROR(INDEX(SEMANAS!$H$6:$H$71,MATCH($B1126,SEMANAS!$B$6:$B$71,0)),0)</f>
        <v>34.3</v>
      </c>
      <c r="T1126" s="18" t="n">
        <f aca="false">$R1126*$S1126</f>
        <v>0</v>
      </c>
      <c r="U1126" s="18" t="n">
        <f aca="false">IFERROR(INDEX(SEMANAS!$I$6:$I$71,MATCH($B1126,SEMANAS!$B$6:$B$71,0)),0)</f>
        <v>46.69</v>
      </c>
      <c r="V1126" s="18" t="n">
        <f aca="false">IFERROR(INDEX(SEMANAS!$J$6:$J$71,MATCH($B1126,SEMANAS!$B$6:$B$71,0)),0)</f>
        <v>37.352</v>
      </c>
      <c r="W1126" s="18" t="n">
        <f aca="false">MAX(0,$T1126-$V1126)</f>
        <v>0</v>
      </c>
      <c r="X1126" s="19" t="n">
        <f aca="false">IFERROR(INDEX(CADASTRO_PIVOS!$K$6:$K$41,MATCH($E1126,CADASTRO_PIVOS!$B$6:$B$41,0)),EFICIENCIA_PADRAO)</f>
        <v>0.85</v>
      </c>
      <c r="Y1126" s="18" t="n">
        <f aca="false">IF($X1126&lt;=0,0,$W1126/$X1126)</f>
        <v>0</v>
      </c>
      <c r="Z1126" s="16" t="n">
        <f aca="false">$Y1126*$H1126*MM_PARA_M3_HA</f>
        <v>0</v>
      </c>
      <c r="AA1126" s="18" t="n">
        <f aca="false">IFERROR(INDEX(CADASTRO_PIVOS!$I$6:$I$41,MATCH($E1126,CADASTRO_PIVOS!$B$6:$B$41,0)),0)</f>
        <v>1068.21428571429</v>
      </c>
      <c r="AB1126" s="18" t="n">
        <f aca="false">IF($Z1126&lt;=0,0,$Z1126/$AA1126)</f>
        <v>0</v>
      </c>
      <c r="AC1126" s="16" t="n">
        <f aca="false">IFERROR(INDEX(SEMANAS!$K$6:$K$71,MATCH($B1126,SEMANAS!$B$6:$B$71,0)),0)</f>
        <v>147</v>
      </c>
      <c r="AD1126" s="19" t="n">
        <f aca="false">IF($AC1126&lt;=0,0,$AB1126/$AC1126)</f>
        <v>0</v>
      </c>
      <c r="AE1126" s="8" t="str">
        <f aca="false">IF($K1126="SEM CULTURA","SEM CULTURA",IF($AA1126&lt;=0,"DADO PENDENTE",IF($AD1126&gt;LIMITE_CRITICO,"INVIAVEL",IF($AD1126&gt;LIMITE_ATENCAO,"CRITICO",IF($AD1126&gt;LIMITE_CONFORTAVEL,"ATENCAO","OK")))))</f>
        <v>SEM CULTURA</v>
      </c>
      <c r="AF1126" s="8" t="str">
        <f aca="false">$B1126&amp;"|"&amp;TEXT($AD1126,"0.000000")</f>
        <v>65|0.000000</v>
      </c>
      <c r="AG1126" s="18" t="n">
        <f aca="false">IF($K1126="SEM CULTURA",0,$T1126*$H1126)</f>
        <v>0</v>
      </c>
      <c r="AH1126" s="18" t="n">
        <f aca="false">IF($K1126="SEM CULTURA",0,$V1126*$H1126)</f>
        <v>0</v>
      </c>
      <c r="AI1126" s="18" t="n">
        <f aca="false">IF($K1126="SEM CULTURA",0,$W1126*$H1126)</f>
        <v>0</v>
      </c>
      <c r="AJ1126" s="18" t="n">
        <f aca="false">IF($K1126="SEM CULTURA",0,$S1126*$H1126)</f>
        <v>0</v>
      </c>
      <c r="AK1126" s="8" t="str">
        <f aca="false">$E1126&amp;"|"&amp;TEXT($AD1126,"0.000000")</f>
        <v>PV 116|0.000000</v>
      </c>
    </row>
    <row r="1127" customFormat="false" ht="15" hidden="false" customHeight="false" outlineLevel="0" collapsed="false">
      <c r="B1127" s="16" t="n">
        <v>66</v>
      </c>
      <c r="C1127" s="17" t="n">
        <f aca="false">DATA_INICIO_SAFRA+($B1127-1)*DIAS_POR_SEMANA</f>
        <v>46720</v>
      </c>
      <c r="D1127" s="17" t="n">
        <f aca="false">$C1127+DIAS_POR_SEMANA-1</f>
        <v>46726</v>
      </c>
      <c r="E1127" s="15" t="s">
        <v>275</v>
      </c>
      <c r="F1127" s="8" t="str">
        <f aca="false">IFERROR(INDEX(CADASTRO_PIVOS!$C$6:$C$41,MATCH($E1127,CADASTRO_PIVOS!$B$6:$B$41,0)),"?")</f>
        <v>RM06</v>
      </c>
      <c r="G1127" s="8" t="str">
        <f aca="false">IFERROR(INDEX(CADASTRO_PIVOS!$D$6:$D$41,MATCH($E1127,CADASTRO_PIVOS!$B$6:$B$41,0)),"?")</f>
        <v>TR06</v>
      </c>
      <c r="H1127" s="20" t="n">
        <f aca="false">IFERROR(INDEX(CADASTRO_PIVOS!$E$6:$E$41,MATCH($E1127,CADASTRO_PIVOS!$B$6:$B$41,0)),0)</f>
        <v>149.55</v>
      </c>
      <c r="I1127" s="16" t="n">
        <f aca="false">IFERROR(SUMIFS(ROTACAO_RDM!$B$6:$B$71,ROTACAO_RDM!$D$6:$D$71,$E1127,ROTACAO_RDM!$I$6:$I$71,"&lt;="&amp;$C1127+INT(DIAS_POR_SEMANA/2),ROTACAO_RDM!$J$6:$J$71,"&gt;="&amp;$C1127+INT(DIAS_POR_SEMANA/2)),0)</f>
        <v>0</v>
      </c>
      <c r="J1127" s="16" t="n">
        <f aca="false">IFERROR(MATCH($I1127,ROTACAO_RDM!$B$6:$B$71,0),0)</f>
        <v>0</v>
      </c>
      <c r="K1127" s="8" t="str">
        <f aca="false">IF($J1127=0,"SEM CULTURA",INDEX(ROTACAO_RDM!$F$6:$F$71,$J1127))</f>
        <v>SEM CULTURA</v>
      </c>
      <c r="L1127" s="8" t="str">
        <f aca="false">IF($J1127=0,"",INDEX(ROTACAO_RDM!$G$6:$G$71,$J1127))</f>
        <v/>
      </c>
      <c r="M1127" s="17" t="str">
        <f aca="false">IF($J1127=0,"",INDEX(ROTACAO_RDM!$I$6:$I$71,$J1127))</f>
        <v/>
      </c>
      <c r="N1127" s="16" t="n">
        <f aca="false">IF($J1127=0,0,MAX(0,$C1127+INT(DIAS_POR_SEMANA/2)-INDEX(ROTACAO_RDM!$I$6:$I$71,$J1127)))</f>
        <v>0</v>
      </c>
      <c r="O1127" s="19" t="n">
        <f aca="false">IF($J1127=0,0,MIN(1,$N1127/MAX(1,INDEX(ROTACAO_RDM!$K$6:$K$71,$J1127))))</f>
        <v>0</v>
      </c>
      <c r="P1127" s="16" t="n">
        <f aca="false">IF($J1127=0,0,IFERROR(MATCH(INDEX(ROTACAO_RDM!$N$6:$N$71,$J1127),PARAMETROS_CULTURAS!$B$6:$B$28,0),0))</f>
        <v>0</v>
      </c>
      <c r="Q1127" s="8" t="str">
        <f aca="false">IF($P1127=0,"-",IF($O1127&lt;=INDEX(PARAMETROS_CULTURAS!$F$6:$F$28,$P1127),"INICIAL",IF($O1127&lt;=INDEX(PARAMETROS_CULTURAS!$F$6:$F$28,$P1127)+INDEX(PARAMETROS_CULTURAS!$G$6:$G$28,$P1127),"DESENVOLVIMENTO",IF($O1127&lt;=INDEX(PARAMETROS_CULTURAS!$F$6:$F$28,$P1127)+INDEX(PARAMETROS_CULTURAS!$G$6:$G$28,$P1127)+INDEX(PARAMETROS_CULTURAS!$H$6:$H$28,$P1127),"MEDIA","FINAL"))))</f>
        <v>-</v>
      </c>
      <c r="R1127" s="24" t="n">
        <f aca="false">IF($P1127=0,0,IF($O1127&lt;=INDEX(PARAMETROS_CULTURAS!$F$6:$F$28,$P1127),INDEX(PARAMETROS_CULTURAS!$K$6:$K$28,$P1127),IF($O1127&lt;=INDEX(PARAMETROS_CULTURAS!$F$6:$F$28,$P1127)+INDEX(PARAMETROS_CULTURAS!$G$6:$G$28,$P1127),INDEX(PARAMETROS_CULTURAS!$K$6:$K$28,$P1127)+(INDEX(PARAMETROS_CULTURAS!$L$6:$L$28,$P1127)-INDEX(PARAMETROS_CULTURAS!$K$6:$K$28,$P1127))*($O1127-INDEX(PARAMETROS_CULTURAS!$F$6:$F$28,$P1127))/MAX(INDEX(PARAMETROS_CULTURAS!$G$6:$G$28,$P1127),0.0001),IF($O1127&lt;=INDEX(PARAMETROS_CULTURAS!$F$6:$F$28,$P1127)+INDEX(PARAMETROS_CULTURAS!$G$6:$G$28,$P1127)+INDEX(PARAMETROS_CULTURAS!$H$6:$H$28,$P1127),INDEX(PARAMETROS_CULTURAS!$L$6:$L$28,$P1127),INDEX(PARAMETROS_CULTURAS!$L$6:$L$28,$P1127)+(INDEX(PARAMETROS_CULTURAS!$M$6:$M$28,$P1127)-INDEX(PARAMETROS_CULTURAS!$L$6:$L$28,$P1127))*($O1127-INDEX(PARAMETROS_CULTURAS!$F$6:$F$28,$P1127)-INDEX(PARAMETROS_CULTURAS!$G$6:$G$28,$P1127)-INDEX(PARAMETROS_CULTURAS!$H$6:$H$28,$P1127))/MAX(INDEX(PARAMETROS_CULTURAS!$I$6:$I$28,$P1127),0.0001)))))</f>
        <v>0</v>
      </c>
      <c r="S1127" s="18" t="n">
        <f aca="false">IFERROR(INDEX(SEMANAS!$H$6:$H$71,MATCH($B1127,SEMANAS!$B$6:$B$71,0)),0)</f>
        <v>33.3</v>
      </c>
      <c r="T1127" s="18" t="n">
        <f aca="false">$R1127*$S1127</f>
        <v>0</v>
      </c>
      <c r="U1127" s="18" t="n">
        <f aca="false">IFERROR(INDEX(SEMANAS!$I$6:$I$71,MATCH($B1127,SEMANAS!$B$6:$B$71,0)),0)</f>
        <v>48.04</v>
      </c>
      <c r="V1127" s="18" t="n">
        <f aca="false">IFERROR(INDEX(SEMANAS!$J$6:$J$71,MATCH($B1127,SEMANAS!$B$6:$B$71,0)),0)</f>
        <v>38.432</v>
      </c>
      <c r="W1127" s="18" t="n">
        <f aca="false">MAX(0,$T1127-$V1127)</f>
        <v>0</v>
      </c>
      <c r="X1127" s="19" t="n">
        <f aca="false">IFERROR(INDEX(CADASTRO_PIVOS!$K$6:$K$41,MATCH($E1127,CADASTRO_PIVOS!$B$6:$B$41,0)),EFICIENCIA_PADRAO)</f>
        <v>0.85</v>
      </c>
      <c r="Y1127" s="18" t="n">
        <f aca="false">IF($X1127&lt;=0,0,$W1127/$X1127)</f>
        <v>0</v>
      </c>
      <c r="Z1127" s="16" t="n">
        <f aca="false">$Y1127*$H1127*MM_PARA_M3_HA</f>
        <v>0</v>
      </c>
      <c r="AA1127" s="18" t="n">
        <f aca="false">IFERROR(INDEX(CADASTRO_PIVOS!$I$6:$I$41,MATCH($E1127,CADASTRO_PIVOS!$B$6:$B$41,0)),0)</f>
        <v>1068.21428571429</v>
      </c>
      <c r="AB1127" s="18" t="n">
        <f aca="false">IF($Z1127&lt;=0,0,$Z1127/$AA1127)</f>
        <v>0</v>
      </c>
      <c r="AC1127" s="16" t="n">
        <f aca="false">IFERROR(INDEX(SEMANAS!$K$6:$K$71,MATCH($B1127,SEMANAS!$B$6:$B$71,0)),0)</f>
        <v>147</v>
      </c>
      <c r="AD1127" s="19" t="n">
        <f aca="false">IF($AC1127&lt;=0,0,$AB1127/$AC1127)</f>
        <v>0</v>
      </c>
      <c r="AE1127" s="8" t="str">
        <f aca="false">IF($K1127="SEM CULTURA","SEM CULTURA",IF($AA1127&lt;=0,"DADO PENDENTE",IF($AD1127&gt;LIMITE_CRITICO,"INVIAVEL",IF($AD1127&gt;LIMITE_ATENCAO,"CRITICO",IF($AD1127&gt;LIMITE_CONFORTAVEL,"ATENCAO","OK")))))</f>
        <v>SEM CULTURA</v>
      </c>
      <c r="AF1127" s="8" t="str">
        <f aca="false">$B1127&amp;"|"&amp;TEXT($AD1127,"0.000000")</f>
        <v>66|0.000000</v>
      </c>
      <c r="AG1127" s="18" t="n">
        <f aca="false">IF($K1127="SEM CULTURA",0,$T1127*$H1127)</f>
        <v>0</v>
      </c>
      <c r="AH1127" s="18" t="n">
        <f aca="false">IF($K1127="SEM CULTURA",0,$V1127*$H1127)</f>
        <v>0</v>
      </c>
      <c r="AI1127" s="18" t="n">
        <f aca="false">IF($K1127="SEM CULTURA",0,$W1127*$H1127)</f>
        <v>0</v>
      </c>
      <c r="AJ1127" s="18" t="n">
        <f aca="false">IF($K1127="SEM CULTURA",0,$S1127*$H1127)</f>
        <v>0</v>
      </c>
      <c r="AK1127" s="8" t="str">
        <f aca="false">$E1127&amp;"|"&amp;TEXT($AD1127,"0.000000")</f>
        <v>PV 116|0.000000</v>
      </c>
    </row>
    <row r="1128" customFormat="false" ht="15" hidden="false" customHeight="false" outlineLevel="0" collapsed="false">
      <c r="B1128" s="16" t="n">
        <v>1</v>
      </c>
      <c r="C1128" s="17" t="n">
        <f aca="false">DATA_INICIO_SAFRA+($B1128-1)*DIAS_POR_SEMANA</f>
        <v>46265</v>
      </c>
      <c r="D1128" s="17" t="n">
        <f aca="false">$C1128+DIAS_POR_SEMANA-1</f>
        <v>46271</v>
      </c>
      <c r="E1128" s="15" t="s">
        <v>276</v>
      </c>
      <c r="F1128" s="8" t="str">
        <f aca="false">IFERROR(INDEX(CADASTRO_PIVOS!$C$6:$C$41,MATCH($E1128,CADASTRO_PIVOS!$B$6:$B$41,0)),"?")</f>
        <v>RM06</v>
      </c>
      <c r="G1128" s="8" t="str">
        <f aca="false">IFERROR(INDEX(CADASTRO_PIVOS!$D$6:$D$41,MATCH($E1128,CADASTRO_PIVOS!$B$6:$B$41,0)),"?")</f>
        <v>TR06</v>
      </c>
      <c r="H1128" s="20" t="n">
        <f aca="false">IFERROR(INDEX(CADASTRO_PIVOS!$E$6:$E$41,MATCH($E1128,CADASTRO_PIVOS!$B$6:$B$41,0)),0)</f>
        <v>149.94</v>
      </c>
      <c r="I1128" s="16" t="n">
        <f aca="false">IFERROR(SUMIFS(ROTACAO_RDM!$B$6:$B$71,ROTACAO_RDM!$D$6:$D$71,$E1128,ROTACAO_RDM!$I$6:$I$71,"&lt;="&amp;$C1128+INT(DIAS_POR_SEMANA/2),ROTACAO_RDM!$J$6:$J$71,"&gt;="&amp;$C1128+INT(DIAS_POR_SEMANA/2)),0)</f>
        <v>28</v>
      </c>
      <c r="J1128" s="16" t="n">
        <f aca="false">IFERROR(MATCH($I1128,ROTACAO_RDM!$B$6:$B$71,0),0)</f>
        <v>28</v>
      </c>
      <c r="K1128" s="8" t="str">
        <f aca="false">IF($J1128=0,"SEM CULTURA",INDEX(ROTACAO_RDM!$F$6:$F$71,$J1128))</f>
        <v>ALGODAO</v>
      </c>
      <c r="L1128" s="8" t="str">
        <f aca="false">IF($J1128=0,"",INDEX(ROTACAO_RDM!$G$6:$G$71,$J1128))</f>
        <v>FM 911 GLTP/ FM 945 STP</v>
      </c>
      <c r="M1128" s="17" t="n">
        <f aca="false">IF($J1128=0,"",INDEX(ROTACAO_RDM!$I$6:$I$71,$J1128))</f>
        <v>46073</v>
      </c>
      <c r="N1128" s="16" t="n">
        <f aca="false">IF($J1128=0,0,MAX(0,$C1128+INT(DIAS_POR_SEMANA/2)-INDEX(ROTACAO_RDM!$I$6:$I$71,$J1128)))</f>
        <v>195</v>
      </c>
      <c r="O1128" s="19" t="n">
        <f aca="false">IF($J1128=0,0,MIN(1,$N1128/MAX(1,INDEX(ROTACAO_RDM!$K$6:$K$71,$J1128))))</f>
        <v>0.984848484848485</v>
      </c>
      <c r="P1128" s="16" t="n">
        <f aca="false">IF($J1128=0,0,IFERROR(MATCH(INDEX(ROTACAO_RDM!$N$6:$N$71,$J1128),PARAMETROS_CULTURAS!$B$6:$B$28,0),0))</f>
        <v>5</v>
      </c>
      <c r="Q1128" s="8" t="str">
        <f aca="false">IF($P1128=0,"-",IF($O1128&lt;=INDEX(PARAMETROS_CULTURAS!$F$6:$F$28,$P1128),"INICIAL",IF($O1128&lt;=INDEX(PARAMETROS_CULTURAS!$F$6:$F$28,$P1128)+INDEX(PARAMETROS_CULTURAS!$G$6:$G$28,$P1128),"DESENVOLVIMENTO",IF($O1128&lt;=INDEX(PARAMETROS_CULTURAS!$F$6:$F$28,$P1128)+INDEX(PARAMETROS_CULTURAS!$G$6:$G$28,$P1128)+INDEX(PARAMETROS_CULTURAS!$H$6:$H$28,$P1128),"MEDIA","FINAL"))))</f>
        <v>FINAL</v>
      </c>
      <c r="R1128" s="24" t="n">
        <f aca="false">IF($P1128=0,0,IF($O1128&lt;=INDEX(PARAMETROS_CULTURAS!$F$6:$F$28,$P1128),INDEX(PARAMETROS_CULTURAS!$K$6:$K$28,$P1128),IF($O1128&lt;=INDEX(PARAMETROS_CULTURAS!$F$6:$F$28,$P1128)+INDEX(PARAMETROS_CULTURAS!$G$6:$G$28,$P1128),INDEX(PARAMETROS_CULTURAS!$K$6:$K$28,$P1128)+(INDEX(PARAMETROS_CULTURAS!$L$6:$L$28,$P1128)-INDEX(PARAMETROS_CULTURAS!$K$6:$K$28,$P1128))*($O1128-INDEX(PARAMETROS_CULTURAS!$F$6:$F$28,$P1128))/MAX(INDEX(PARAMETROS_CULTURAS!$G$6:$G$28,$P1128),0.0001),IF($O1128&lt;=INDEX(PARAMETROS_CULTURAS!$F$6:$F$28,$P1128)+INDEX(PARAMETROS_CULTURAS!$G$6:$G$28,$P1128)+INDEX(PARAMETROS_CULTURAS!$H$6:$H$28,$P1128),INDEX(PARAMETROS_CULTURAS!$L$6:$L$28,$P1128),INDEX(PARAMETROS_CULTURAS!$L$6:$L$28,$P1128)+(INDEX(PARAMETROS_CULTURAS!$M$6:$M$28,$P1128)-INDEX(PARAMETROS_CULTURAS!$L$6:$L$28,$P1128))*($O1128-INDEX(PARAMETROS_CULTURAS!$F$6:$F$28,$P1128)-INDEX(PARAMETROS_CULTURAS!$G$6:$G$28,$P1128)-INDEX(PARAMETROS_CULTURAS!$H$6:$H$28,$P1128))/MAX(INDEX(PARAMETROS_CULTURAS!$I$6:$I$28,$P1128),0.0001)))))</f>
        <v>0.629761904761905</v>
      </c>
      <c r="S1128" s="18" t="n">
        <f aca="false">IFERROR(INDEX(SEMANAS!$H$6:$H$71,MATCH($B1128,SEMANAS!$B$6:$B$71,0)),0)</f>
        <v>40</v>
      </c>
      <c r="T1128" s="18" t="n">
        <f aca="false">$R1128*$S1128</f>
        <v>25.1904761904762</v>
      </c>
      <c r="U1128" s="18" t="n">
        <f aca="false">IFERROR(INDEX(SEMANAS!$I$6:$I$71,MATCH($B1128,SEMANAS!$B$6:$B$71,0)),0)</f>
        <v>6.16</v>
      </c>
      <c r="V1128" s="18" t="n">
        <f aca="false">IFERROR(INDEX(SEMANAS!$J$6:$J$71,MATCH($B1128,SEMANAS!$B$6:$B$71,0)),0)</f>
        <v>4.928</v>
      </c>
      <c r="W1128" s="18" t="n">
        <f aca="false">MAX(0,$T1128-$V1128)</f>
        <v>20.2624761904762</v>
      </c>
      <c r="X1128" s="19" t="n">
        <f aca="false">IFERROR(INDEX(CADASTRO_PIVOS!$K$6:$K$41,MATCH($E1128,CADASTRO_PIVOS!$B$6:$B$41,0)),EFICIENCIA_PADRAO)</f>
        <v>0.85</v>
      </c>
      <c r="Y1128" s="18" t="n">
        <f aca="false">IF($X1128&lt;=0,0,$W1128/$X1128)</f>
        <v>23.8382072829132</v>
      </c>
      <c r="Z1128" s="16" t="n">
        <f aca="false">$Y1128*$H1128*MM_PARA_M3_HA</f>
        <v>35743.008</v>
      </c>
      <c r="AA1128" s="18" t="n">
        <f aca="false">IFERROR(INDEX(CADASTRO_PIVOS!$I$6:$I$41,MATCH($E1128,CADASTRO_PIVOS!$B$6:$B$41,0)),0)</f>
        <v>1071</v>
      </c>
      <c r="AB1128" s="18" t="n">
        <f aca="false">IF($Z1128&lt;=0,0,$Z1128/$AA1128)</f>
        <v>33.3734901960784</v>
      </c>
      <c r="AC1128" s="16" t="n">
        <f aca="false">IFERROR(INDEX(SEMANAS!$K$6:$K$71,MATCH($B1128,SEMANAS!$B$6:$B$71,0)),0)</f>
        <v>147</v>
      </c>
      <c r="AD1128" s="19" t="n">
        <f aca="false">IF($AC1128&lt;=0,0,$AB1128/$AC1128)</f>
        <v>0.227030545551554</v>
      </c>
      <c r="AE1128" s="8" t="str">
        <f aca="false">IF($K1128="SEM CULTURA","SEM CULTURA",IF($AA1128&lt;=0,"DADO PENDENTE",IF($AD1128&gt;LIMITE_CRITICO,"INVIAVEL",IF($AD1128&gt;LIMITE_ATENCAO,"CRITICO",IF($AD1128&gt;LIMITE_CONFORTAVEL,"ATENCAO","OK")))))</f>
        <v>OK</v>
      </c>
      <c r="AF1128" s="8" t="str">
        <f aca="false">$B1128&amp;"|"&amp;TEXT($AD1128,"0.000000")</f>
        <v>1|0.227031</v>
      </c>
      <c r="AG1128" s="18" t="n">
        <f aca="false">IF($K1128="SEM CULTURA",0,$T1128*$H1128)</f>
        <v>3777.06</v>
      </c>
      <c r="AH1128" s="18" t="n">
        <f aca="false">IF($K1128="SEM CULTURA",0,$V1128*$H1128)</f>
        <v>738.90432</v>
      </c>
      <c r="AI1128" s="18" t="n">
        <f aca="false">IF($K1128="SEM CULTURA",0,$W1128*$H1128)</f>
        <v>3038.15568</v>
      </c>
      <c r="AJ1128" s="18" t="n">
        <f aca="false">IF($K1128="SEM CULTURA",0,$S1128*$H1128)</f>
        <v>5997.6</v>
      </c>
      <c r="AK1128" s="8" t="str">
        <f aca="false">$E1128&amp;"|"&amp;TEXT($AD1128,"0.000000")</f>
        <v>PV 117|0.227031</v>
      </c>
    </row>
    <row r="1129" customFormat="false" ht="15" hidden="false" customHeight="false" outlineLevel="0" collapsed="false">
      <c r="B1129" s="16" t="n">
        <v>2</v>
      </c>
      <c r="C1129" s="17" t="n">
        <f aca="false">DATA_INICIO_SAFRA+($B1129-1)*DIAS_POR_SEMANA</f>
        <v>46272</v>
      </c>
      <c r="D1129" s="17" t="n">
        <f aca="false">$C1129+DIAS_POR_SEMANA-1</f>
        <v>46278</v>
      </c>
      <c r="E1129" s="15" t="s">
        <v>276</v>
      </c>
      <c r="F1129" s="8" t="str">
        <f aca="false">IFERROR(INDEX(CADASTRO_PIVOS!$C$6:$C$41,MATCH($E1129,CADASTRO_PIVOS!$B$6:$B$41,0)),"?")</f>
        <v>RM06</v>
      </c>
      <c r="G1129" s="8" t="str">
        <f aca="false">IFERROR(INDEX(CADASTRO_PIVOS!$D$6:$D$41,MATCH($E1129,CADASTRO_PIVOS!$B$6:$B$41,0)),"?")</f>
        <v>TR06</v>
      </c>
      <c r="H1129" s="20" t="n">
        <f aca="false">IFERROR(INDEX(CADASTRO_PIVOS!$E$6:$E$41,MATCH($E1129,CADASTRO_PIVOS!$B$6:$B$41,0)),0)</f>
        <v>149.94</v>
      </c>
      <c r="I1129" s="16" t="n">
        <f aca="false">IFERROR(SUMIFS(ROTACAO_RDM!$B$6:$B$71,ROTACAO_RDM!$D$6:$D$71,$E1129,ROTACAO_RDM!$I$6:$I$71,"&lt;="&amp;$C1129+INT(DIAS_POR_SEMANA/2),ROTACAO_RDM!$J$6:$J$71,"&gt;="&amp;$C1129+INT(DIAS_POR_SEMANA/2)),0)</f>
        <v>0</v>
      </c>
      <c r="J1129" s="16" t="n">
        <f aca="false">IFERROR(MATCH($I1129,ROTACAO_RDM!$B$6:$B$71,0),0)</f>
        <v>0</v>
      </c>
      <c r="K1129" s="8" t="str">
        <f aca="false">IF($J1129=0,"SEM CULTURA",INDEX(ROTACAO_RDM!$F$6:$F$71,$J1129))</f>
        <v>SEM CULTURA</v>
      </c>
      <c r="L1129" s="8" t="str">
        <f aca="false">IF($J1129=0,"",INDEX(ROTACAO_RDM!$G$6:$G$71,$J1129))</f>
        <v/>
      </c>
      <c r="M1129" s="17" t="str">
        <f aca="false">IF($J1129=0,"",INDEX(ROTACAO_RDM!$I$6:$I$71,$J1129))</f>
        <v/>
      </c>
      <c r="N1129" s="16" t="n">
        <f aca="false">IF($J1129=0,0,MAX(0,$C1129+INT(DIAS_POR_SEMANA/2)-INDEX(ROTACAO_RDM!$I$6:$I$71,$J1129)))</f>
        <v>0</v>
      </c>
      <c r="O1129" s="19" t="n">
        <f aca="false">IF($J1129=0,0,MIN(1,$N1129/MAX(1,INDEX(ROTACAO_RDM!$K$6:$K$71,$J1129))))</f>
        <v>0</v>
      </c>
      <c r="P1129" s="16" t="n">
        <f aca="false">IF($J1129=0,0,IFERROR(MATCH(INDEX(ROTACAO_RDM!$N$6:$N$71,$J1129),PARAMETROS_CULTURAS!$B$6:$B$28,0),0))</f>
        <v>0</v>
      </c>
      <c r="Q1129" s="8" t="str">
        <f aca="false">IF($P1129=0,"-",IF($O1129&lt;=INDEX(PARAMETROS_CULTURAS!$F$6:$F$28,$P1129),"INICIAL",IF($O1129&lt;=INDEX(PARAMETROS_CULTURAS!$F$6:$F$28,$P1129)+INDEX(PARAMETROS_CULTURAS!$G$6:$G$28,$P1129),"DESENVOLVIMENTO",IF($O1129&lt;=INDEX(PARAMETROS_CULTURAS!$F$6:$F$28,$P1129)+INDEX(PARAMETROS_CULTURAS!$G$6:$G$28,$P1129)+INDEX(PARAMETROS_CULTURAS!$H$6:$H$28,$P1129),"MEDIA","FINAL"))))</f>
        <v>-</v>
      </c>
      <c r="R1129" s="24" t="n">
        <f aca="false">IF($P1129=0,0,IF($O1129&lt;=INDEX(PARAMETROS_CULTURAS!$F$6:$F$28,$P1129),INDEX(PARAMETROS_CULTURAS!$K$6:$K$28,$P1129),IF($O1129&lt;=INDEX(PARAMETROS_CULTURAS!$F$6:$F$28,$P1129)+INDEX(PARAMETROS_CULTURAS!$G$6:$G$28,$P1129),INDEX(PARAMETROS_CULTURAS!$K$6:$K$28,$P1129)+(INDEX(PARAMETROS_CULTURAS!$L$6:$L$28,$P1129)-INDEX(PARAMETROS_CULTURAS!$K$6:$K$28,$P1129))*($O1129-INDEX(PARAMETROS_CULTURAS!$F$6:$F$28,$P1129))/MAX(INDEX(PARAMETROS_CULTURAS!$G$6:$G$28,$P1129),0.0001),IF($O1129&lt;=INDEX(PARAMETROS_CULTURAS!$F$6:$F$28,$P1129)+INDEX(PARAMETROS_CULTURAS!$G$6:$G$28,$P1129)+INDEX(PARAMETROS_CULTURAS!$H$6:$H$28,$P1129),INDEX(PARAMETROS_CULTURAS!$L$6:$L$28,$P1129),INDEX(PARAMETROS_CULTURAS!$L$6:$L$28,$P1129)+(INDEX(PARAMETROS_CULTURAS!$M$6:$M$28,$P1129)-INDEX(PARAMETROS_CULTURAS!$L$6:$L$28,$P1129))*($O1129-INDEX(PARAMETROS_CULTURAS!$F$6:$F$28,$P1129)-INDEX(PARAMETROS_CULTURAS!$G$6:$G$28,$P1129)-INDEX(PARAMETROS_CULTURAS!$H$6:$H$28,$P1129))/MAX(INDEX(PARAMETROS_CULTURAS!$I$6:$I$28,$P1129),0.0001)))))</f>
        <v>0</v>
      </c>
      <c r="S1129" s="18" t="n">
        <f aca="false">IFERROR(INDEX(SEMANAS!$H$6:$H$71,MATCH($B1129,SEMANAS!$B$6:$B$71,0)),0)</f>
        <v>40.6</v>
      </c>
      <c r="T1129" s="18" t="n">
        <f aca="false">$R1129*$S1129</f>
        <v>0</v>
      </c>
      <c r="U1129" s="18" t="n">
        <f aca="false">IFERROR(INDEX(SEMANAS!$I$6:$I$71,MATCH($B1129,SEMANAS!$B$6:$B$71,0)),0)</f>
        <v>7</v>
      </c>
      <c r="V1129" s="18" t="n">
        <f aca="false">IFERROR(INDEX(SEMANAS!$J$6:$J$71,MATCH($B1129,SEMANAS!$B$6:$B$71,0)),0)</f>
        <v>5.6</v>
      </c>
      <c r="W1129" s="18" t="n">
        <f aca="false">MAX(0,$T1129-$V1129)</f>
        <v>0</v>
      </c>
      <c r="X1129" s="19" t="n">
        <f aca="false">IFERROR(INDEX(CADASTRO_PIVOS!$K$6:$K$41,MATCH($E1129,CADASTRO_PIVOS!$B$6:$B$41,0)),EFICIENCIA_PADRAO)</f>
        <v>0.85</v>
      </c>
      <c r="Y1129" s="18" t="n">
        <f aca="false">IF($X1129&lt;=0,0,$W1129/$X1129)</f>
        <v>0</v>
      </c>
      <c r="Z1129" s="16" t="n">
        <f aca="false">$Y1129*$H1129*MM_PARA_M3_HA</f>
        <v>0</v>
      </c>
      <c r="AA1129" s="18" t="n">
        <f aca="false">IFERROR(INDEX(CADASTRO_PIVOS!$I$6:$I$41,MATCH($E1129,CADASTRO_PIVOS!$B$6:$B$41,0)),0)</f>
        <v>1071</v>
      </c>
      <c r="AB1129" s="18" t="n">
        <f aca="false">IF($Z1129&lt;=0,0,$Z1129/$AA1129)</f>
        <v>0</v>
      </c>
      <c r="AC1129" s="16" t="n">
        <f aca="false">IFERROR(INDEX(SEMANAS!$K$6:$K$71,MATCH($B1129,SEMANAS!$B$6:$B$71,0)),0)</f>
        <v>147</v>
      </c>
      <c r="AD1129" s="19" t="n">
        <f aca="false">IF($AC1129&lt;=0,0,$AB1129/$AC1129)</f>
        <v>0</v>
      </c>
      <c r="AE1129" s="8" t="str">
        <f aca="false">IF($K1129="SEM CULTURA","SEM CULTURA",IF($AA1129&lt;=0,"DADO PENDENTE",IF($AD1129&gt;LIMITE_CRITICO,"INVIAVEL",IF($AD1129&gt;LIMITE_ATENCAO,"CRITICO",IF($AD1129&gt;LIMITE_CONFORTAVEL,"ATENCAO","OK")))))</f>
        <v>SEM CULTURA</v>
      </c>
      <c r="AF1129" s="8" t="str">
        <f aca="false">$B1129&amp;"|"&amp;TEXT($AD1129,"0.000000")</f>
        <v>2|0.000000</v>
      </c>
      <c r="AG1129" s="18" t="n">
        <f aca="false">IF($K1129="SEM CULTURA",0,$T1129*$H1129)</f>
        <v>0</v>
      </c>
      <c r="AH1129" s="18" t="n">
        <f aca="false">IF($K1129="SEM CULTURA",0,$V1129*$H1129)</f>
        <v>0</v>
      </c>
      <c r="AI1129" s="18" t="n">
        <f aca="false">IF($K1129="SEM CULTURA",0,$W1129*$H1129)</f>
        <v>0</v>
      </c>
      <c r="AJ1129" s="18" t="n">
        <f aca="false">IF($K1129="SEM CULTURA",0,$S1129*$H1129)</f>
        <v>0</v>
      </c>
      <c r="AK1129" s="8" t="str">
        <f aca="false">$E1129&amp;"|"&amp;TEXT($AD1129,"0.000000")</f>
        <v>PV 117|0.000000</v>
      </c>
    </row>
    <row r="1130" customFormat="false" ht="15" hidden="false" customHeight="false" outlineLevel="0" collapsed="false">
      <c r="B1130" s="16" t="n">
        <v>3</v>
      </c>
      <c r="C1130" s="17" t="n">
        <f aca="false">DATA_INICIO_SAFRA+($B1130-1)*DIAS_POR_SEMANA</f>
        <v>46279</v>
      </c>
      <c r="D1130" s="17" t="n">
        <f aca="false">$C1130+DIAS_POR_SEMANA-1</f>
        <v>46285</v>
      </c>
      <c r="E1130" s="15" t="s">
        <v>276</v>
      </c>
      <c r="F1130" s="8" t="str">
        <f aca="false">IFERROR(INDEX(CADASTRO_PIVOS!$C$6:$C$41,MATCH($E1130,CADASTRO_PIVOS!$B$6:$B$41,0)),"?")</f>
        <v>RM06</v>
      </c>
      <c r="G1130" s="8" t="str">
        <f aca="false">IFERROR(INDEX(CADASTRO_PIVOS!$D$6:$D$41,MATCH($E1130,CADASTRO_PIVOS!$B$6:$B$41,0)),"?")</f>
        <v>TR06</v>
      </c>
      <c r="H1130" s="20" t="n">
        <f aca="false">IFERROR(INDEX(CADASTRO_PIVOS!$E$6:$E$41,MATCH($E1130,CADASTRO_PIVOS!$B$6:$B$41,0)),0)</f>
        <v>149.94</v>
      </c>
      <c r="I1130" s="16" t="n">
        <f aca="false">IFERROR(SUMIFS(ROTACAO_RDM!$B$6:$B$71,ROTACAO_RDM!$D$6:$D$71,$E1130,ROTACAO_RDM!$I$6:$I$71,"&lt;="&amp;$C1130+INT(DIAS_POR_SEMANA/2),ROTACAO_RDM!$J$6:$J$71,"&gt;="&amp;$C1130+INT(DIAS_POR_SEMANA/2)),0)</f>
        <v>0</v>
      </c>
      <c r="J1130" s="16" t="n">
        <f aca="false">IFERROR(MATCH($I1130,ROTACAO_RDM!$B$6:$B$71,0),0)</f>
        <v>0</v>
      </c>
      <c r="K1130" s="8" t="str">
        <f aca="false">IF($J1130=0,"SEM CULTURA",INDEX(ROTACAO_RDM!$F$6:$F$71,$J1130))</f>
        <v>SEM CULTURA</v>
      </c>
      <c r="L1130" s="8" t="str">
        <f aca="false">IF($J1130=0,"",INDEX(ROTACAO_RDM!$G$6:$G$71,$J1130))</f>
        <v/>
      </c>
      <c r="M1130" s="17" t="str">
        <f aca="false">IF($J1130=0,"",INDEX(ROTACAO_RDM!$I$6:$I$71,$J1130))</f>
        <v/>
      </c>
      <c r="N1130" s="16" t="n">
        <f aca="false">IF($J1130=0,0,MAX(0,$C1130+INT(DIAS_POR_SEMANA/2)-INDEX(ROTACAO_RDM!$I$6:$I$71,$J1130)))</f>
        <v>0</v>
      </c>
      <c r="O1130" s="19" t="n">
        <f aca="false">IF($J1130=0,0,MIN(1,$N1130/MAX(1,INDEX(ROTACAO_RDM!$K$6:$K$71,$J1130))))</f>
        <v>0</v>
      </c>
      <c r="P1130" s="16" t="n">
        <f aca="false">IF($J1130=0,0,IFERROR(MATCH(INDEX(ROTACAO_RDM!$N$6:$N$71,$J1130),PARAMETROS_CULTURAS!$B$6:$B$28,0),0))</f>
        <v>0</v>
      </c>
      <c r="Q1130" s="8" t="str">
        <f aca="false">IF($P1130=0,"-",IF($O1130&lt;=INDEX(PARAMETROS_CULTURAS!$F$6:$F$28,$P1130),"INICIAL",IF($O1130&lt;=INDEX(PARAMETROS_CULTURAS!$F$6:$F$28,$P1130)+INDEX(PARAMETROS_CULTURAS!$G$6:$G$28,$P1130),"DESENVOLVIMENTO",IF($O1130&lt;=INDEX(PARAMETROS_CULTURAS!$F$6:$F$28,$P1130)+INDEX(PARAMETROS_CULTURAS!$G$6:$G$28,$P1130)+INDEX(PARAMETROS_CULTURAS!$H$6:$H$28,$P1130),"MEDIA","FINAL"))))</f>
        <v>-</v>
      </c>
      <c r="R1130" s="24" t="n">
        <f aca="false">IF($P1130=0,0,IF($O1130&lt;=INDEX(PARAMETROS_CULTURAS!$F$6:$F$28,$P1130),INDEX(PARAMETROS_CULTURAS!$K$6:$K$28,$P1130),IF($O1130&lt;=INDEX(PARAMETROS_CULTURAS!$F$6:$F$28,$P1130)+INDEX(PARAMETROS_CULTURAS!$G$6:$G$28,$P1130),INDEX(PARAMETROS_CULTURAS!$K$6:$K$28,$P1130)+(INDEX(PARAMETROS_CULTURAS!$L$6:$L$28,$P1130)-INDEX(PARAMETROS_CULTURAS!$K$6:$K$28,$P1130))*($O1130-INDEX(PARAMETROS_CULTURAS!$F$6:$F$28,$P1130))/MAX(INDEX(PARAMETROS_CULTURAS!$G$6:$G$28,$P1130),0.0001),IF($O1130&lt;=INDEX(PARAMETROS_CULTURAS!$F$6:$F$28,$P1130)+INDEX(PARAMETROS_CULTURAS!$G$6:$G$28,$P1130)+INDEX(PARAMETROS_CULTURAS!$H$6:$H$28,$P1130),INDEX(PARAMETROS_CULTURAS!$L$6:$L$28,$P1130),INDEX(PARAMETROS_CULTURAS!$L$6:$L$28,$P1130)+(INDEX(PARAMETROS_CULTURAS!$M$6:$M$28,$P1130)-INDEX(PARAMETROS_CULTURAS!$L$6:$L$28,$P1130))*($O1130-INDEX(PARAMETROS_CULTURAS!$F$6:$F$28,$P1130)-INDEX(PARAMETROS_CULTURAS!$G$6:$G$28,$P1130)-INDEX(PARAMETROS_CULTURAS!$H$6:$H$28,$P1130))/MAX(INDEX(PARAMETROS_CULTURAS!$I$6:$I$28,$P1130),0.0001)))))</f>
        <v>0</v>
      </c>
      <c r="S1130" s="18" t="n">
        <f aca="false">IFERROR(INDEX(SEMANAS!$H$6:$H$71,MATCH($B1130,SEMANAS!$B$6:$B$71,0)),0)</f>
        <v>40.6</v>
      </c>
      <c r="T1130" s="18" t="n">
        <f aca="false">$R1130*$S1130</f>
        <v>0</v>
      </c>
      <c r="U1130" s="18" t="n">
        <f aca="false">IFERROR(INDEX(SEMANAS!$I$6:$I$71,MATCH($B1130,SEMANAS!$B$6:$B$71,0)),0)</f>
        <v>7</v>
      </c>
      <c r="V1130" s="18" t="n">
        <f aca="false">IFERROR(INDEX(SEMANAS!$J$6:$J$71,MATCH($B1130,SEMANAS!$B$6:$B$71,0)),0)</f>
        <v>5.6</v>
      </c>
      <c r="W1130" s="18" t="n">
        <f aca="false">MAX(0,$T1130-$V1130)</f>
        <v>0</v>
      </c>
      <c r="X1130" s="19" t="n">
        <f aca="false">IFERROR(INDEX(CADASTRO_PIVOS!$K$6:$K$41,MATCH($E1130,CADASTRO_PIVOS!$B$6:$B$41,0)),EFICIENCIA_PADRAO)</f>
        <v>0.85</v>
      </c>
      <c r="Y1130" s="18" t="n">
        <f aca="false">IF($X1130&lt;=0,0,$W1130/$X1130)</f>
        <v>0</v>
      </c>
      <c r="Z1130" s="16" t="n">
        <f aca="false">$Y1130*$H1130*MM_PARA_M3_HA</f>
        <v>0</v>
      </c>
      <c r="AA1130" s="18" t="n">
        <f aca="false">IFERROR(INDEX(CADASTRO_PIVOS!$I$6:$I$41,MATCH($E1130,CADASTRO_PIVOS!$B$6:$B$41,0)),0)</f>
        <v>1071</v>
      </c>
      <c r="AB1130" s="18" t="n">
        <f aca="false">IF($Z1130&lt;=0,0,$Z1130/$AA1130)</f>
        <v>0</v>
      </c>
      <c r="AC1130" s="16" t="n">
        <f aca="false">IFERROR(INDEX(SEMANAS!$K$6:$K$71,MATCH($B1130,SEMANAS!$B$6:$B$71,0)),0)</f>
        <v>147</v>
      </c>
      <c r="AD1130" s="19" t="n">
        <f aca="false">IF($AC1130&lt;=0,0,$AB1130/$AC1130)</f>
        <v>0</v>
      </c>
      <c r="AE1130" s="8" t="str">
        <f aca="false">IF($K1130="SEM CULTURA","SEM CULTURA",IF($AA1130&lt;=0,"DADO PENDENTE",IF($AD1130&gt;LIMITE_CRITICO,"INVIAVEL",IF($AD1130&gt;LIMITE_ATENCAO,"CRITICO",IF($AD1130&gt;LIMITE_CONFORTAVEL,"ATENCAO","OK")))))</f>
        <v>SEM CULTURA</v>
      </c>
      <c r="AF1130" s="8" t="str">
        <f aca="false">$B1130&amp;"|"&amp;TEXT($AD1130,"0.000000")</f>
        <v>3|0.000000</v>
      </c>
      <c r="AG1130" s="18" t="n">
        <f aca="false">IF($K1130="SEM CULTURA",0,$T1130*$H1130)</f>
        <v>0</v>
      </c>
      <c r="AH1130" s="18" t="n">
        <f aca="false">IF($K1130="SEM CULTURA",0,$V1130*$H1130)</f>
        <v>0</v>
      </c>
      <c r="AI1130" s="18" t="n">
        <f aca="false">IF($K1130="SEM CULTURA",0,$W1130*$H1130)</f>
        <v>0</v>
      </c>
      <c r="AJ1130" s="18" t="n">
        <f aca="false">IF($K1130="SEM CULTURA",0,$S1130*$H1130)</f>
        <v>0</v>
      </c>
      <c r="AK1130" s="8" t="str">
        <f aca="false">$E1130&amp;"|"&amp;TEXT($AD1130,"0.000000")</f>
        <v>PV 117|0.000000</v>
      </c>
    </row>
    <row r="1131" customFormat="false" ht="15" hidden="false" customHeight="false" outlineLevel="0" collapsed="false">
      <c r="B1131" s="16" t="n">
        <v>4</v>
      </c>
      <c r="C1131" s="17" t="n">
        <f aca="false">DATA_INICIO_SAFRA+($B1131-1)*DIAS_POR_SEMANA</f>
        <v>46286</v>
      </c>
      <c r="D1131" s="17" t="n">
        <f aca="false">$C1131+DIAS_POR_SEMANA-1</f>
        <v>46292</v>
      </c>
      <c r="E1131" s="15" t="s">
        <v>276</v>
      </c>
      <c r="F1131" s="8" t="str">
        <f aca="false">IFERROR(INDEX(CADASTRO_PIVOS!$C$6:$C$41,MATCH($E1131,CADASTRO_PIVOS!$B$6:$B$41,0)),"?")</f>
        <v>RM06</v>
      </c>
      <c r="G1131" s="8" t="str">
        <f aca="false">IFERROR(INDEX(CADASTRO_PIVOS!$D$6:$D$41,MATCH($E1131,CADASTRO_PIVOS!$B$6:$B$41,0)),"?")</f>
        <v>TR06</v>
      </c>
      <c r="H1131" s="20" t="n">
        <f aca="false">IFERROR(INDEX(CADASTRO_PIVOS!$E$6:$E$41,MATCH($E1131,CADASTRO_PIVOS!$B$6:$B$41,0)),0)</f>
        <v>149.94</v>
      </c>
      <c r="I1131" s="16" t="n">
        <f aca="false">IFERROR(SUMIFS(ROTACAO_RDM!$B$6:$B$71,ROTACAO_RDM!$D$6:$D$71,$E1131,ROTACAO_RDM!$I$6:$I$71,"&lt;="&amp;$C1131+INT(DIAS_POR_SEMANA/2),ROTACAO_RDM!$J$6:$J$71,"&gt;="&amp;$C1131+INT(DIAS_POR_SEMANA/2)),0)</f>
        <v>0</v>
      </c>
      <c r="J1131" s="16" t="n">
        <f aca="false">IFERROR(MATCH($I1131,ROTACAO_RDM!$B$6:$B$71,0),0)</f>
        <v>0</v>
      </c>
      <c r="K1131" s="8" t="str">
        <f aca="false">IF($J1131=0,"SEM CULTURA",INDEX(ROTACAO_RDM!$F$6:$F$71,$J1131))</f>
        <v>SEM CULTURA</v>
      </c>
      <c r="L1131" s="8" t="str">
        <f aca="false">IF($J1131=0,"",INDEX(ROTACAO_RDM!$G$6:$G$71,$J1131))</f>
        <v/>
      </c>
      <c r="M1131" s="17" t="str">
        <f aca="false">IF($J1131=0,"",INDEX(ROTACAO_RDM!$I$6:$I$71,$J1131))</f>
        <v/>
      </c>
      <c r="N1131" s="16" t="n">
        <f aca="false">IF($J1131=0,0,MAX(0,$C1131+INT(DIAS_POR_SEMANA/2)-INDEX(ROTACAO_RDM!$I$6:$I$71,$J1131)))</f>
        <v>0</v>
      </c>
      <c r="O1131" s="19" t="n">
        <f aca="false">IF($J1131=0,0,MIN(1,$N1131/MAX(1,INDEX(ROTACAO_RDM!$K$6:$K$71,$J1131))))</f>
        <v>0</v>
      </c>
      <c r="P1131" s="16" t="n">
        <f aca="false">IF($J1131=0,0,IFERROR(MATCH(INDEX(ROTACAO_RDM!$N$6:$N$71,$J1131),PARAMETROS_CULTURAS!$B$6:$B$28,0),0))</f>
        <v>0</v>
      </c>
      <c r="Q1131" s="8" t="str">
        <f aca="false">IF($P1131=0,"-",IF($O1131&lt;=INDEX(PARAMETROS_CULTURAS!$F$6:$F$28,$P1131),"INICIAL",IF($O1131&lt;=INDEX(PARAMETROS_CULTURAS!$F$6:$F$28,$P1131)+INDEX(PARAMETROS_CULTURAS!$G$6:$G$28,$P1131),"DESENVOLVIMENTO",IF($O1131&lt;=INDEX(PARAMETROS_CULTURAS!$F$6:$F$28,$P1131)+INDEX(PARAMETROS_CULTURAS!$G$6:$G$28,$P1131)+INDEX(PARAMETROS_CULTURAS!$H$6:$H$28,$P1131),"MEDIA","FINAL"))))</f>
        <v>-</v>
      </c>
      <c r="R1131" s="24" t="n">
        <f aca="false">IF($P1131=0,0,IF($O1131&lt;=INDEX(PARAMETROS_CULTURAS!$F$6:$F$28,$P1131),INDEX(PARAMETROS_CULTURAS!$K$6:$K$28,$P1131),IF($O1131&lt;=INDEX(PARAMETROS_CULTURAS!$F$6:$F$28,$P1131)+INDEX(PARAMETROS_CULTURAS!$G$6:$G$28,$P1131),INDEX(PARAMETROS_CULTURAS!$K$6:$K$28,$P1131)+(INDEX(PARAMETROS_CULTURAS!$L$6:$L$28,$P1131)-INDEX(PARAMETROS_CULTURAS!$K$6:$K$28,$P1131))*($O1131-INDEX(PARAMETROS_CULTURAS!$F$6:$F$28,$P1131))/MAX(INDEX(PARAMETROS_CULTURAS!$G$6:$G$28,$P1131),0.0001),IF($O1131&lt;=INDEX(PARAMETROS_CULTURAS!$F$6:$F$28,$P1131)+INDEX(PARAMETROS_CULTURAS!$G$6:$G$28,$P1131)+INDEX(PARAMETROS_CULTURAS!$H$6:$H$28,$P1131),INDEX(PARAMETROS_CULTURAS!$L$6:$L$28,$P1131),INDEX(PARAMETROS_CULTURAS!$L$6:$L$28,$P1131)+(INDEX(PARAMETROS_CULTURAS!$M$6:$M$28,$P1131)-INDEX(PARAMETROS_CULTURAS!$L$6:$L$28,$P1131))*($O1131-INDEX(PARAMETROS_CULTURAS!$F$6:$F$28,$P1131)-INDEX(PARAMETROS_CULTURAS!$G$6:$G$28,$P1131)-INDEX(PARAMETROS_CULTURAS!$H$6:$H$28,$P1131))/MAX(INDEX(PARAMETROS_CULTURAS!$I$6:$I$28,$P1131),0.0001)))))</f>
        <v>0</v>
      </c>
      <c r="S1131" s="18" t="n">
        <f aca="false">IFERROR(INDEX(SEMANAS!$H$6:$H$71,MATCH($B1131,SEMANAS!$B$6:$B$71,0)),0)</f>
        <v>40.6</v>
      </c>
      <c r="T1131" s="18" t="n">
        <f aca="false">$R1131*$S1131</f>
        <v>0</v>
      </c>
      <c r="U1131" s="18" t="n">
        <f aca="false">IFERROR(INDEX(SEMANAS!$I$6:$I$71,MATCH($B1131,SEMANAS!$B$6:$B$71,0)),0)</f>
        <v>7</v>
      </c>
      <c r="V1131" s="18" t="n">
        <f aca="false">IFERROR(INDEX(SEMANAS!$J$6:$J$71,MATCH($B1131,SEMANAS!$B$6:$B$71,0)),0)</f>
        <v>5.6</v>
      </c>
      <c r="W1131" s="18" t="n">
        <f aca="false">MAX(0,$T1131-$V1131)</f>
        <v>0</v>
      </c>
      <c r="X1131" s="19" t="n">
        <f aca="false">IFERROR(INDEX(CADASTRO_PIVOS!$K$6:$K$41,MATCH($E1131,CADASTRO_PIVOS!$B$6:$B$41,0)),EFICIENCIA_PADRAO)</f>
        <v>0.85</v>
      </c>
      <c r="Y1131" s="18" t="n">
        <f aca="false">IF($X1131&lt;=0,0,$W1131/$X1131)</f>
        <v>0</v>
      </c>
      <c r="Z1131" s="16" t="n">
        <f aca="false">$Y1131*$H1131*MM_PARA_M3_HA</f>
        <v>0</v>
      </c>
      <c r="AA1131" s="18" t="n">
        <f aca="false">IFERROR(INDEX(CADASTRO_PIVOS!$I$6:$I$41,MATCH($E1131,CADASTRO_PIVOS!$B$6:$B$41,0)),0)</f>
        <v>1071</v>
      </c>
      <c r="AB1131" s="18" t="n">
        <f aca="false">IF($Z1131&lt;=0,0,$Z1131/$AA1131)</f>
        <v>0</v>
      </c>
      <c r="AC1131" s="16" t="n">
        <f aca="false">IFERROR(INDEX(SEMANAS!$K$6:$K$71,MATCH($B1131,SEMANAS!$B$6:$B$71,0)),0)</f>
        <v>147</v>
      </c>
      <c r="AD1131" s="19" t="n">
        <f aca="false">IF($AC1131&lt;=0,0,$AB1131/$AC1131)</f>
        <v>0</v>
      </c>
      <c r="AE1131" s="8" t="str">
        <f aca="false">IF($K1131="SEM CULTURA","SEM CULTURA",IF($AA1131&lt;=0,"DADO PENDENTE",IF($AD1131&gt;LIMITE_CRITICO,"INVIAVEL",IF($AD1131&gt;LIMITE_ATENCAO,"CRITICO",IF($AD1131&gt;LIMITE_CONFORTAVEL,"ATENCAO","OK")))))</f>
        <v>SEM CULTURA</v>
      </c>
      <c r="AF1131" s="8" t="str">
        <f aca="false">$B1131&amp;"|"&amp;TEXT($AD1131,"0.000000")</f>
        <v>4|0.000000</v>
      </c>
      <c r="AG1131" s="18" t="n">
        <f aca="false">IF($K1131="SEM CULTURA",0,$T1131*$H1131)</f>
        <v>0</v>
      </c>
      <c r="AH1131" s="18" t="n">
        <f aca="false">IF($K1131="SEM CULTURA",0,$V1131*$H1131)</f>
        <v>0</v>
      </c>
      <c r="AI1131" s="18" t="n">
        <f aca="false">IF($K1131="SEM CULTURA",0,$W1131*$H1131)</f>
        <v>0</v>
      </c>
      <c r="AJ1131" s="18" t="n">
        <f aca="false">IF($K1131="SEM CULTURA",0,$S1131*$H1131)</f>
        <v>0</v>
      </c>
      <c r="AK1131" s="8" t="str">
        <f aca="false">$E1131&amp;"|"&amp;TEXT($AD1131,"0.000000")</f>
        <v>PV 117|0.000000</v>
      </c>
    </row>
    <row r="1132" customFormat="false" ht="15" hidden="false" customHeight="false" outlineLevel="0" collapsed="false">
      <c r="B1132" s="16" t="n">
        <v>5</v>
      </c>
      <c r="C1132" s="17" t="n">
        <f aca="false">DATA_INICIO_SAFRA+($B1132-1)*DIAS_POR_SEMANA</f>
        <v>46293</v>
      </c>
      <c r="D1132" s="17" t="n">
        <f aca="false">$C1132+DIAS_POR_SEMANA-1</f>
        <v>46299</v>
      </c>
      <c r="E1132" s="15" t="s">
        <v>276</v>
      </c>
      <c r="F1132" s="8" t="str">
        <f aca="false">IFERROR(INDEX(CADASTRO_PIVOS!$C$6:$C$41,MATCH($E1132,CADASTRO_PIVOS!$B$6:$B$41,0)),"?")</f>
        <v>RM06</v>
      </c>
      <c r="G1132" s="8" t="str">
        <f aca="false">IFERROR(INDEX(CADASTRO_PIVOS!$D$6:$D$41,MATCH($E1132,CADASTRO_PIVOS!$B$6:$B$41,0)),"?")</f>
        <v>TR06</v>
      </c>
      <c r="H1132" s="20" t="n">
        <f aca="false">IFERROR(INDEX(CADASTRO_PIVOS!$E$6:$E$41,MATCH($E1132,CADASTRO_PIVOS!$B$6:$B$41,0)),0)</f>
        <v>149.94</v>
      </c>
      <c r="I1132" s="16" t="n">
        <f aca="false">IFERROR(SUMIFS(ROTACAO_RDM!$B$6:$B$71,ROTACAO_RDM!$D$6:$D$71,$E1132,ROTACAO_RDM!$I$6:$I$71,"&lt;="&amp;$C1132+INT(DIAS_POR_SEMANA/2),ROTACAO_RDM!$J$6:$J$71,"&gt;="&amp;$C1132+INT(DIAS_POR_SEMANA/2)),0)</f>
        <v>0</v>
      </c>
      <c r="J1132" s="16" t="n">
        <f aca="false">IFERROR(MATCH($I1132,ROTACAO_RDM!$B$6:$B$71,0),0)</f>
        <v>0</v>
      </c>
      <c r="K1132" s="8" t="str">
        <f aca="false">IF($J1132=0,"SEM CULTURA",INDEX(ROTACAO_RDM!$F$6:$F$71,$J1132))</f>
        <v>SEM CULTURA</v>
      </c>
      <c r="L1132" s="8" t="str">
        <f aca="false">IF($J1132=0,"",INDEX(ROTACAO_RDM!$G$6:$G$71,$J1132))</f>
        <v/>
      </c>
      <c r="M1132" s="17" t="str">
        <f aca="false">IF($J1132=0,"",INDEX(ROTACAO_RDM!$I$6:$I$71,$J1132))</f>
        <v/>
      </c>
      <c r="N1132" s="16" t="n">
        <f aca="false">IF($J1132=0,0,MAX(0,$C1132+INT(DIAS_POR_SEMANA/2)-INDEX(ROTACAO_RDM!$I$6:$I$71,$J1132)))</f>
        <v>0</v>
      </c>
      <c r="O1132" s="19" t="n">
        <f aca="false">IF($J1132=0,0,MIN(1,$N1132/MAX(1,INDEX(ROTACAO_RDM!$K$6:$K$71,$J1132))))</f>
        <v>0</v>
      </c>
      <c r="P1132" s="16" t="n">
        <f aca="false">IF($J1132=0,0,IFERROR(MATCH(INDEX(ROTACAO_RDM!$N$6:$N$71,$J1132),PARAMETROS_CULTURAS!$B$6:$B$28,0),0))</f>
        <v>0</v>
      </c>
      <c r="Q1132" s="8" t="str">
        <f aca="false">IF($P1132=0,"-",IF($O1132&lt;=INDEX(PARAMETROS_CULTURAS!$F$6:$F$28,$P1132),"INICIAL",IF($O1132&lt;=INDEX(PARAMETROS_CULTURAS!$F$6:$F$28,$P1132)+INDEX(PARAMETROS_CULTURAS!$G$6:$G$28,$P1132),"DESENVOLVIMENTO",IF($O1132&lt;=INDEX(PARAMETROS_CULTURAS!$F$6:$F$28,$P1132)+INDEX(PARAMETROS_CULTURAS!$G$6:$G$28,$P1132)+INDEX(PARAMETROS_CULTURAS!$H$6:$H$28,$P1132),"MEDIA","FINAL"))))</f>
        <v>-</v>
      </c>
      <c r="R1132" s="24" t="n">
        <f aca="false">IF($P1132=0,0,IF($O1132&lt;=INDEX(PARAMETROS_CULTURAS!$F$6:$F$28,$P1132),INDEX(PARAMETROS_CULTURAS!$K$6:$K$28,$P1132),IF($O1132&lt;=INDEX(PARAMETROS_CULTURAS!$F$6:$F$28,$P1132)+INDEX(PARAMETROS_CULTURAS!$G$6:$G$28,$P1132),INDEX(PARAMETROS_CULTURAS!$K$6:$K$28,$P1132)+(INDEX(PARAMETROS_CULTURAS!$L$6:$L$28,$P1132)-INDEX(PARAMETROS_CULTURAS!$K$6:$K$28,$P1132))*($O1132-INDEX(PARAMETROS_CULTURAS!$F$6:$F$28,$P1132))/MAX(INDEX(PARAMETROS_CULTURAS!$G$6:$G$28,$P1132),0.0001),IF($O1132&lt;=INDEX(PARAMETROS_CULTURAS!$F$6:$F$28,$P1132)+INDEX(PARAMETROS_CULTURAS!$G$6:$G$28,$P1132)+INDEX(PARAMETROS_CULTURAS!$H$6:$H$28,$P1132),INDEX(PARAMETROS_CULTURAS!$L$6:$L$28,$P1132),INDEX(PARAMETROS_CULTURAS!$L$6:$L$28,$P1132)+(INDEX(PARAMETROS_CULTURAS!$M$6:$M$28,$P1132)-INDEX(PARAMETROS_CULTURAS!$L$6:$L$28,$P1132))*($O1132-INDEX(PARAMETROS_CULTURAS!$F$6:$F$28,$P1132)-INDEX(PARAMETROS_CULTURAS!$G$6:$G$28,$P1132)-INDEX(PARAMETROS_CULTURAS!$H$6:$H$28,$P1132))/MAX(INDEX(PARAMETROS_CULTURAS!$I$6:$I$28,$P1132),0.0001)))))</f>
        <v>0</v>
      </c>
      <c r="S1132" s="18" t="n">
        <f aca="false">IFERROR(INDEX(SEMANAS!$H$6:$H$71,MATCH($B1132,SEMANAS!$B$6:$B$71,0)),0)</f>
        <v>39.8</v>
      </c>
      <c r="T1132" s="18" t="n">
        <f aca="false">$R1132*$S1132</f>
        <v>0</v>
      </c>
      <c r="U1132" s="18" t="n">
        <f aca="false">IFERROR(INDEX(SEMANAS!$I$6:$I$71,MATCH($B1132,SEMANAS!$B$6:$B$71,0)),0)</f>
        <v>18.48</v>
      </c>
      <c r="V1132" s="18" t="n">
        <f aca="false">IFERROR(INDEX(SEMANAS!$J$6:$J$71,MATCH($B1132,SEMANAS!$B$6:$B$71,0)),0)</f>
        <v>14.784</v>
      </c>
      <c r="W1132" s="18" t="n">
        <f aca="false">MAX(0,$T1132-$V1132)</f>
        <v>0</v>
      </c>
      <c r="X1132" s="19" t="n">
        <f aca="false">IFERROR(INDEX(CADASTRO_PIVOS!$K$6:$K$41,MATCH($E1132,CADASTRO_PIVOS!$B$6:$B$41,0)),EFICIENCIA_PADRAO)</f>
        <v>0.85</v>
      </c>
      <c r="Y1132" s="18" t="n">
        <f aca="false">IF($X1132&lt;=0,0,$W1132/$X1132)</f>
        <v>0</v>
      </c>
      <c r="Z1132" s="16" t="n">
        <f aca="false">$Y1132*$H1132*MM_PARA_M3_HA</f>
        <v>0</v>
      </c>
      <c r="AA1132" s="18" t="n">
        <f aca="false">IFERROR(INDEX(CADASTRO_PIVOS!$I$6:$I$41,MATCH($E1132,CADASTRO_PIVOS!$B$6:$B$41,0)),0)</f>
        <v>1071</v>
      </c>
      <c r="AB1132" s="18" t="n">
        <f aca="false">IF($Z1132&lt;=0,0,$Z1132/$AA1132)</f>
        <v>0</v>
      </c>
      <c r="AC1132" s="16" t="n">
        <f aca="false">IFERROR(INDEX(SEMANAS!$K$6:$K$71,MATCH($B1132,SEMANAS!$B$6:$B$71,0)),0)</f>
        <v>147</v>
      </c>
      <c r="AD1132" s="19" t="n">
        <f aca="false">IF($AC1132&lt;=0,0,$AB1132/$AC1132)</f>
        <v>0</v>
      </c>
      <c r="AE1132" s="8" t="str">
        <f aca="false">IF($K1132="SEM CULTURA","SEM CULTURA",IF($AA1132&lt;=0,"DADO PENDENTE",IF($AD1132&gt;LIMITE_CRITICO,"INVIAVEL",IF($AD1132&gt;LIMITE_ATENCAO,"CRITICO",IF($AD1132&gt;LIMITE_CONFORTAVEL,"ATENCAO","OK")))))</f>
        <v>SEM CULTURA</v>
      </c>
      <c r="AF1132" s="8" t="str">
        <f aca="false">$B1132&amp;"|"&amp;TEXT($AD1132,"0.000000")</f>
        <v>5|0.000000</v>
      </c>
      <c r="AG1132" s="18" t="n">
        <f aca="false">IF($K1132="SEM CULTURA",0,$T1132*$H1132)</f>
        <v>0</v>
      </c>
      <c r="AH1132" s="18" t="n">
        <f aca="false">IF($K1132="SEM CULTURA",0,$V1132*$H1132)</f>
        <v>0</v>
      </c>
      <c r="AI1132" s="18" t="n">
        <f aca="false">IF($K1132="SEM CULTURA",0,$W1132*$H1132)</f>
        <v>0</v>
      </c>
      <c r="AJ1132" s="18" t="n">
        <f aca="false">IF($K1132="SEM CULTURA",0,$S1132*$H1132)</f>
        <v>0</v>
      </c>
      <c r="AK1132" s="8" t="str">
        <f aca="false">$E1132&amp;"|"&amp;TEXT($AD1132,"0.000000")</f>
        <v>PV 117|0.000000</v>
      </c>
    </row>
    <row r="1133" customFormat="false" ht="15" hidden="false" customHeight="false" outlineLevel="0" collapsed="false">
      <c r="B1133" s="16" t="n">
        <v>6</v>
      </c>
      <c r="C1133" s="17" t="n">
        <f aca="false">DATA_INICIO_SAFRA+($B1133-1)*DIAS_POR_SEMANA</f>
        <v>46300</v>
      </c>
      <c r="D1133" s="17" t="n">
        <f aca="false">$C1133+DIAS_POR_SEMANA-1</f>
        <v>46306</v>
      </c>
      <c r="E1133" s="15" t="s">
        <v>276</v>
      </c>
      <c r="F1133" s="8" t="str">
        <f aca="false">IFERROR(INDEX(CADASTRO_PIVOS!$C$6:$C$41,MATCH($E1133,CADASTRO_PIVOS!$B$6:$B$41,0)),"?")</f>
        <v>RM06</v>
      </c>
      <c r="G1133" s="8" t="str">
        <f aca="false">IFERROR(INDEX(CADASTRO_PIVOS!$D$6:$D$41,MATCH($E1133,CADASTRO_PIVOS!$B$6:$B$41,0)),"?")</f>
        <v>TR06</v>
      </c>
      <c r="H1133" s="20" t="n">
        <f aca="false">IFERROR(INDEX(CADASTRO_PIVOS!$E$6:$E$41,MATCH($E1133,CADASTRO_PIVOS!$B$6:$B$41,0)),0)</f>
        <v>149.94</v>
      </c>
      <c r="I1133" s="16" t="n">
        <f aca="false">IFERROR(SUMIFS(ROTACAO_RDM!$B$6:$B$71,ROTACAO_RDM!$D$6:$D$71,$E1133,ROTACAO_RDM!$I$6:$I$71,"&lt;="&amp;$C1133+INT(DIAS_POR_SEMANA/2),ROTACAO_RDM!$J$6:$J$71,"&gt;="&amp;$C1133+INT(DIAS_POR_SEMANA/2)),0)</f>
        <v>0</v>
      </c>
      <c r="J1133" s="16" t="n">
        <f aca="false">IFERROR(MATCH($I1133,ROTACAO_RDM!$B$6:$B$71,0),0)</f>
        <v>0</v>
      </c>
      <c r="K1133" s="8" t="str">
        <f aca="false">IF($J1133=0,"SEM CULTURA",INDEX(ROTACAO_RDM!$F$6:$F$71,$J1133))</f>
        <v>SEM CULTURA</v>
      </c>
      <c r="L1133" s="8" t="str">
        <f aca="false">IF($J1133=0,"",INDEX(ROTACAO_RDM!$G$6:$G$71,$J1133))</f>
        <v/>
      </c>
      <c r="M1133" s="17" t="str">
        <f aca="false">IF($J1133=0,"",INDEX(ROTACAO_RDM!$I$6:$I$71,$J1133))</f>
        <v/>
      </c>
      <c r="N1133" s="16" t="n">
        <f aca="false">IF($J1133=0,0,MAX(0,$C1133+INT(DIAS_POR_SEMANA/2)-INDEX(ROTACAO_RDM!$I$6:$I$71,$J1133)))</f>
        <v>0</v>
      </c>
      <c r="O1133" s="19" t="n">
        <f aca="false">IF($J1133=0,0,MIN(1,$N1133/MAX(1,INDEX(ROTACAO_RDM!$K$6:$K$71,$J1133))))</f>
        <v>0</v>
      </c>
      <c r="P1133" s="16" t="n">
        <f aca="false">IF($J1133=0,0,IFERROR(MATCH(INDEX(ROTACAO_RDM!$N$6:$N$71,$J1133),PARAMETROS_CULTURAS!$B$6:$B$28,0),0))</f>
        <v>0</v>
      </c>
      <c r="Q1133" s="8" t="str">
        <f aca="false">IF($P1133=0,"-",IF($O1133&lt;=INDEX(PARAMETROS_CULTURAS!$F$6:$F$28,$P1133),"INICIAL",IF($O1133&lt;=INDEX(PARAMETROS_CULTURAS!$F$6:$F$28,$P1133)+INDEX(PARAMETROS_CULTURAS!$G$6:$G$28,$P1133),"DESENVOLVIMENTO",IF($O1133&lt;=INDEX(PARAMETROS_CULTURAS!$F$6:$F$28,$P1133)+INDEX(PARAMETROS_CULTURAS!$G$6:$G$28,$P1133)+INDEX(PARAMETROS_CULTURAS!$H$6:$H$28,$P1133),"MEDIA","FINAL"))))</f>
        <v>-</v>
      </c>
      <c r="R1133" s="24" t="n">
        <f aca="false">IF($P1133=0,0,IF($O1133&lt;=INDEX(PARAMETROS_CULTURAS!$F$6:$F$28,$P1133),INDEX(PARAMETROS_CULTURAS!$K$6:$K$28,$P1133),IF($O1133&lt;=INDEX(PARAMETROS_CULTURAS!$F$6:$F$28,$P1133)+INDEX(PARAMETROS_CULTURAS!$G$6:$G$28,$P1133),INDEX(PARAMETROS_CULTURAS!$K$6:$K$28,$P1133)+(INDEX(PARAMETROS_CULTURAS!$L$6:$L$28,$P1133)-INDEX(PARAMETROS_CULTURAS!$K$6:$K$28,$P1133))*($O1133-INDEX(PARAMETROS_CULTURAS!$F$6:$F$28,$P1133))/MAX(INDEX(PARAMETROS_CULTURAS!$G$6:$G$28,$P1133),0.0001),IF($O1133&lt;=INDEX(PARAMETROS_CULTURAS!$F$6:$F$28,$P1133)+INDEX(PARAMETROS_CULTURAS!$G$6:$G$28,$P1133)+INDEX(PARAMETROS_CULTURAS!$H$6:$H$28,$P1133),INDEX(PARAMETROS_CULTURAS!$L$6:$L$28,$P1133),INDEX(PARAMETROS_CULTURAS!$L$6:$L$28,$P1133)+(INDEX(PARAMETROS_CULTURAS!$M$6:$M$28,$P1133)-INDEX(PARAMETROS_CULTURAS!$L$6:$L$28,$P1133))*($O1133-INDEX(PARAMETROS_CULTURAS!$F$6:$F$28,$P1133)-INDEX(PARAMETROS_CULTURAS!$G$6:$G$28,$P1133)-INDEX(PARAMETROS_CULTURAS!$H$6:$H$28,$P1133))/MAX(INDEX(PARAMETROS_CULTURAS!$I$6:$I$28,$P1133),0.0001)))))</f>
        <v>0</v>
      </c>
      <c r="S1133" s="18" t="n">
        <f aca="false">IFERROR(INDEX(SEMANAS!$H$6:$H$71,MATCH($B1133,SEMANAS!$B$6:$B$71,0)),0)</f>
        <v>39.2</v>
      </c>
      <c r="T1133" s="18" t="n">
        <f aca="false">$R1133*$S1133</f>
        <v>0</v>
      </c>
      <c r="U1133" s="18" t="n">
        <f aca="false">IFERROR(INDEX(SEMANAS!$I$6:$I$71,MATCH($B1133,SEMANAS!$B$6:$B$71,0)),0)</f>
        <v>27.09</v>
      </c>
      <c r="V1133" s="18" t="n">
        <f aca="false">IFERROR(INDEX(SEMANAS!$J$6:$J$71,MATCH($B1133,SEMANAS!$B$6:$B$71,0)),0)</f>
        <v>21.672</v>
      </c>
      <c r="W1133" s="18" t="n">
        <f aca="false">MAX(0,$T1133-$V1133)</f>
        <v>0</v>
      </c>
      <c r="X1133" s="19" t="n">
        <f aca="false">IFERROR(INDEX(CADASTRO_PIVOS!$K$6:$K$41,MATCH($E1133,CADASTRO_PIVOS!$B$6:$B$41,0)),EFICIENCIA_PADRAO)</f>
        <v>0.85</v>
      </c>
      <c r="Y1133" s="18" t="n">
        <f aca="false">IF($X1133&lt;=0,0,$W1133/$X1133)</f>
        <v>0</v>
      </c>
      <c r="Z1133" s="16" t="n">
        <f aca="false">$Y1133*$H1133*MM_PARA_M3_HA</f>
        <v>0</v>
      </c>
      <c r="AA1133" s="18" t="n">
        <f aca="false">IFERROR(INDEX(CADASTRO_PIVOS!$I$6:$I$41,MATCH($E1133,CADASTRO_PIVOS!$B$6:$B$41,0)),0)</f>
        <v>1071</v>
      </c>
      <c r="AB1133" s="18" t="n">
        <f aca="false">IF($Z1133&lt;=0,0,$Z1133/$AA1133)</f>
        <v>0</v>
      </c>
      <c r="AC1133" s="16" t="n">
        <f aca="false">IFERROR(INDEX(SEMANAS!$K$6:$K$71,MATCH($B1133,SEMANAS!$B$6:$B$71,0)),0)</f>
        <v>147</v>
      </c>
      <c r="AD1133" s="19" t="n">
        <f aca="false">IF($AC1133&lt;=0,0,$AB1133/$AC1133)</f>
        <v>0</v>
      </c>
      <c r="AE1133" s="8" t="str">
        <f aca="false">IF($K1133="SEM CULTURA","SEM CULTURA",IF($AA1133&lt;=0,"DADO PENDENTE",IF($AD1133&gt;LIMITE_CRITICO,"INVIAVEL",IF($AD1133&gt;LIMITE_ATENCAO,"CRITICO",IF($AD1133&gt;LIMITE_CONFORTAVEL,"ATENCAO","OK")))))</f>
        <v>SEM CULTURA</v>
      </c>
      <c r="AF1133" s="8" t="str">
        <f aca="false">$B1133&amp;"|"&amp;TEXT($AD1133,"0.000000")</f>
        <v>6|0.000000</v>
      </c>
      <c r="AG1133" s="18" t="n">
        <f aca="false">IF($K1133="SEM CULTURA",0,$T1133*$H1133)</f>
        <v>0</v>
      </c>
      <c r="AH1133" s="18" t="n">
        <f aca="false">IF($K1133="SEM CULTURA",0,$V1133*$H1133)</f>
        <v>0</v>
      </c>
      <c r="AI1133" s="18" t="n">
        <f aca="false">IF($K1133="SEM CULTURA",0,$W1133*$H1133)</f>
        <v>0</v>
      </c>
      <c r="AJ1133" s="18" t="n">
        <f aca="false">IF($K1133="SEM CULTURA",0,$S1133*$H1133)</f>
        <v>0</v>
      </c>
      <c r="AK1133" s="8" t="str">
        <f aca="false">$E1133&amp;"|"&amp;TEXT($AD1133,"0.000000")</f>
        <v>PV 117|0.000000</v>
      </c>
    </row>
    <row r="1134" customFormat="false" ht="15" hidden="false" customHeight="false" outlineLevel="0" collapsed="false">
      <c r="B1134" s="16" t="n">
        <v>7</v>
      </c>
      <c r="C1134" s="17" t="n">
        <f aca="false">DATA_INICIO_SAFRA+($B1134-1)*DIAS_POR_SEMANA</f>
        <v>46307</v>
      </c>
      <c r="D1134" s="17" t="n">
        <f aca="false">$C1134+DIAS_POR_SEMANA-1</f>
        <v>46313</v>
      </c>
      <c r="E1134" s="15" t="s">
        <v>276</v>
      </c>
      <c r="F1134" s="8" t="str">
        <f aca="false">IFERROR(INDEX(CADASTRO_PIVOS!$C$6:$C$41,MATCH($E1134,CADASTRO_PIVOS!$B$6:$B$41,0)),"?")</f>
        <v>RM06</v>
      </c>
      <c r="G1134" s="8" t="str">
        <f aca="false">IFERROR(INDEX(CADASTRO_PIVOS!$D$6:$D$41,MATCH($E1134,CADASTRO_PIVOS!$B$6:$B$41,0)),"?")</f>
        <v>TR06</v>
      </c>
      <c r="H1134" s="20" t="n">
        <f aca="false">IFERROR(INDEX(CADASTRO_PIVOS!$E$6:$E$41,MATCH($E1134,CADASTRO_PIVOS!$B$6:$B$41,0)),0)</f>
        <v>149.94</v>
      </c>
      <c r="I1134" s="16" t="n">
        <f aca="false">IFERROR(SUMIFS(ROTACAO_RDM!$B$6:$B$71,ROTACAO_RDM!$D$6:$D$71,$E1134,ROTACAO_RDM!$I$6:$I$71,"&lt;="&amp;$C1134+INT(DIAS_POR_SEMANA/2),ROTACAO_RDM!$J$6:$J$71,"&gt;="&amp;$C1134+INT(DIAS_POR_SEMANA/2)),0)</f>
        <v>0</v>
      </c>
      <c r="J1134" s="16" t="n">
        <f aca="false">IFERROR(MATCH($I1134,ROTACAO_RDM!$B$6:$B$71,0),0)</f>
        <v>0</v>
      </c>
      <c r="K1134" s="8" t="str">
        <f aca="false">IF($J1134=0,"SEM CULTURA",INDEX(ROTACAO_RDM!$F$6:$F$71,$J1134))</f>
        <v>SEM CULTURA</v>
      </c>
      <c r="L1134" s="8" t="str">
        <f aca="false">IF($J1134=0,"",INDEX(ROTACAO_RDM!$G$6:$G$71,$J1134))</f>
        <v/>
      </c>
      <c r="M1134" s="17" t="str">
        <f aca="false">IF($J1134=0,"",INDEX(ROTACAO_RDM!$I$6:$I$71,$J1134))</f>
        <v/>
      </c>
      <c r="N1134" s="16" t="n">
        <f aca="false">IF($J1134=0,0,MAX(0,$C1134+INT(DIAS_POR_SEMANA/2)-INDEX(ROTACAO_RDM!$I$6:$I$71,$J1134)))</f>
        <v>0</v>
      </c>
      <c r="O1134" s="19" t="n">
        <f aca="false">IF($J1134=0,0,MIN(1,$N1134/MAX(1,INDEX(ROTACAO_RDM!$K$6:$K$71,$J1134))))</f>
        <v>0</v>
      </c>
      <c r="P1134" s="16" t="n">
        <f aca="false">IF($J1134=0,0,IFERROR(MATCH(INDEX(ROTACAO_RDM!$N$6:$N$71,$J1134),PARAMETROS_CULTURAS!$B$6:$B$28,0),0))</f>
        <v>0</v>
      </c>
      <c r="Q1134" s="8" t="str">
        <f aca="false">IF($P1134=0,"-",IF($O1134&lt;=INDEX(PARAMETROS_CULTURAS!$F$6:$F$28,$P1134),"INICIAL",IF($O1134&lt;=INDEX(PARAMETROS_CULTURAS!$F$6:$F$28,$P1134)+INDEX(PARAMETROS_CULTURAS!$G$6:$G$28,$P1134),"DESENVOLVIMENTO",IF($O1134&lt;=INDEX(PARAMETROS_CULTURAS!$F$6:$F$28,$P1134)+INDEX(PARAMETROS_CULTURAS!$G$6:$G$28,$P1134)+INDEX(PARAMETROS_CULTURAS!$H$6:$H$28,$P1134),"MEDIA","FINAL"))))</f>
        <v>-</v>
      </c>
      <c r="R1134" s="24" t="n">
        <f aca="false">IF($P1134=0,0,IF($O1134&lt;=INDEX(PARAMETROS_CULTURAS!$F$6:$F$28,$P1134),INDEX(PARAMETROS_CULTURAS!$K$6:$K$28,$P1134),IF($O1134&lt;=INDEX(PARAMETROS_CULTURAS!$F$6:$F$28,$P1134)+INDEX(PARAMETROS_CULTURAS!$G$6:$G$28,$P1134),INDEX(PARAMETROS_CULTURAS!$K$6:$K$28,$P1134)+(INDEX(PARAMETROS_CULTURAS!$L$6:$L$28,$P1134)-INDEX(PARAMETROS_CULTURAS!$K$6:$K$28,$P1134))*($O1134-INDEX(PARAMETROS_CULTURAS!$F$6:$F$28,$P1134))/MAX(INDEX(PARAMETROS_CULTURAS!$G$6:$G$28,$P1134),0.0001),IF($O1134&lt;=INDEX(PARAMETROS_CULTURAS!$F$6:$F$28,$P1134)+INDEX(PARAMETROS_CULTURAS!$G$6:$G$28,$P1134)+INDEX(PARAMETROS_CULTURAS!$H$6:$H$28,$P1134),INDEX(PARAMETROS_CULTURAS!$L$6:$L$28,$P1134),INDEX(PARAMETROS_CULTURAS!$L$6:$L$28,$P1134)+(INDEX(PARAMETROS_CULTURAS!$M$6:$M$28,$P1134)-INDEX(PARAMETROS_CULTURAS!$L$6:$L$28,$P1134))*($O1134-INDEX(PARAMETROS_CULTURAS!$F$6:$F$28,$P1134)-INDEX(PARAMETROS_CULTURAS!$G$6:$G$28,$P1134)-INDEX(PARAMETROS_CULTURAS!$H$6:$H$28,$P1134))/MAX(INDEX(PARAMETROS_CULTURAS!$I$6:$I$28,$P1134),0.0001)))))</f>
        <v>0</v>
      </c>
      <c r="S1134" s="18" t="n">
        <f aca="false">IFERROR(INDEX(SEMANAS!$H$6:$H$71,MATCH($B1134,SEMANAS!$B$6:$B$71,0)),0)</f>
        <v>39.2</v>
      </c>
      <c r="T1134" s="18" t="n">
        <f aca="false">$R1134*$S1134</f>
        <v>0</v>
      </c>
      <c r="U1134" s="18" t="n">
        <f aca="false">IFERROR(INDEX(SEMANAS!$I$6:$I$71,MATCH($B1134,SEMANAS!$B$6:$B$71,0)),0)</f>
        <v>27.09</v>
      </c>
      <c r="V1134" s="18" t="n">
        <f aca="false">IFERROR(INDEX(SEMANAS!$J$6:$J$71,MATCH($B1134,SEMANAS!$B$6:$B$71,0)),0)</f>
        <v>21.672</v>
      </c>
      <c r="W1134" s="18" t="n">
        <f aca="false">MAX(0,$T1134-$V1134)</f>
        <v>0</v>
      </c>
      <c r="X1134" s="19" t="n">
        <f aca="false">IFERROR(INDEX(CADASTRO_PIVOS!$K$6:$K$41,MATCH($E1134,CADASTRO_PIVOS!$B$6:$B$41,0)),EFICIENCIA_PADRAO)</f>
        <v>0.85</v>
      </c>
      <c r="Y1134" s="18" t="n">
        <f aca="false">IF($X1134&lt;=0,0,$W1134/$X1134)</f>
        <v>0</v>
      </c>
      <c r="Z1134" s="16" t="n">
        <f aca="false">$Y1134*$H1134*MM_PARA_M3_HA</f>
        <v>0</v>
      </c>
      <c r="AA1134" s="18" t="n">
        <f aca="false">IFERROR(INDEX(CADASTRO_PIVOS!$I$6:$I$41,MATCH($E1134,CADASTRO_PIVOS!$B$6:$B$41,0)),0)</f>
        <v>1071</v>
      </c>
      <c r="AB1134" s="18" t="n">
        <f aca="false">IF($Z1134&lt;=0,0,$Z1134/$AA1134)</f>
        <v>0</v>
      </c>
      <c r="AC1134" s="16" t="n">
        <f aca="false">IFERROR(INDEX(SEMANAS!$K$6:$K$71,MATCH($B1134,SEMANAS!$B$6:$B$71,0)),0)</f>
        <v>147</v>
      </c>
      <c r="AD1134" s="19" t="n">
        <f aca="false">IF($AC1134&lt;=0,0,$AB1134/$AC1134)</f>
        <v>0</v>
      </c>
      <c r="AE1134" s="8" t="str">
        <f aca="false">IF($K1134="SEM CULTURA","SEM CULTURA",IF($AA1134&lt;=0,"DADO PENDENTE",IF($AD1134&gt;LIMITE_CRITICO,"INVIAVEL",IF($AD1134&gt;LIMITE_ATENCAO,"CRITICO",IF($AD1134&gt;LIMITE_CONFORTAVEL,"ATENCAO","OK")))))</f>
        <v>SEM CULTURA</v>
      </c>
      <c r="AF1134" s="8" t="str">
        <f aca="false">$B1134&amp;"|"&amp;TEXT($AD1134,"0.000000")</f>
        <v>7|0.000000</v>
      </c>
      <c r="AG1134" s="18" t="n">
        <f aca="false">IF($K1134="SEM CULTURA",0,$T1134*$H1134)</f>
        <v>0</v>
      </c>
      <c r="AH1134" s="18" t="n">
        <f aca="false">IF($K1134="SEM CULTURA",0,$V1134*$H1134)</f>
        <v>0</v>
      </c>
      <c r="AI1134" s="18" t="n">
        <f aca="false">IF($K1134="SEM CULTURA",0,$W1134*$H1134)</f>
        <v>0</v>
      </c>
      <c r="AJ1134" s="18" t="n">
        <f aca="false">IF($K1134="SEM CULTURA",0,$S1134*$H1134)</f>
        <v>0</v>
      </c>
      <c r="AK1134" s="8" t="str">
        <f aca="false">$E1134&amp;"|"&amp;TEXT($AD1134,"0.000000")</f>
        <v>PV 117|0.000000</v>
      </c>
    </row>
    <row r="1135" customFormat="false" ht="15" hidden="false" customHeight="false" outlineLevel="0" collapsed="false">
      <c r="B1135" s="16" t="n">
        <v>8</v>
      </c>
      <c r="C1135" s="17" t="n">
        <f aca="false">DATA_INICIO_SAFRA+($B1135-1)*DIAS_POR_SEMANA</f>
        <v>46314</v>
      </c>
      <c r="D1135" s="17" t="n">
        <f aca="false">$C1135+DIAS_POR_SEMANA-1</f>
        <v>46320</v>
      </c>
      <c r="E1135" s="15" t="s">
        <v>276</v>
      </c>
      <c r="F1135" s="8" t="str">
        <f aca="false">IFERROR(INDEX(CADASTRO_PIVOS!$C$6:$C$41,MATCH($E1135,CADASTRO_PIVOS!$B$6:$B$41,0)),"?")</f>
        <v>RM06</v>
      </c>
      <c r="G1135" s="8" t="str">
        <f aca="false">IFERROR(INDEX(CADASTRO_PIVOS!$D$6:$D$41,MATCH($E1135,CADASTRO_PIVOS!$B$6:$B$41,0)),"?")</f>
        <v>TR06</v>
      </c>
      <c r="H1135" s="20" t="n">
        <f aca="false">IFERROR(INDEX(CADASTRO_PIVOS!$E$6:$E$41,MATCH($E1135,CADASTRO_PIVOS!$B$6:$B$41,0)),0)</f>
        <v>149.94</v>
      </c>
      <c r="I1135" s="16" t="n">
        <f aca="false">IFERROR(SUMIFS(ROTACAO_RDM!$B$6:$B$71,ROTACAO_RDM!$D$6:$D$71,$E1135,ROTACAO_RDM!$I$6:$I$71,"&lt;="&amp;$C1135+INT(DIAS_POR_SEMANA/2),ROTACAO_RDM!$J$6:$J$71,"&gt;="&amp;$C1135+INT(DIAS_POR_SEMANA/2)),0)</f>
        <v>0</v>
      </c>
      <c r="J1135" s="16" t="n">
        <f aca="false">IFERROR(MATCH($I1135,ROTACAO_RDM!$B$6:$B$71,0),0)</f>
        <v>0</v>
      </c>
      <c r="K1135" s="8" t="str">
        <f aca="false">IF($J1135=0,"SEM CULTURA",INDEX(ROTACAO_RDM!$F$6:$F$71,$J1135))</f>
        <v>SEM CULTURA</v>
      </c>
      <c r="L1135" s="8" t="str">
        <f aca="false">IF($J1135=0,"",INDEX(ROTACAO_RDM!$G$6:$G$71,$J1135))</f>
        <v/>
      </c>
      <c r="M1135" s="17" t="str">
        <f aca="false">IF($J1135=0,"",INDEX(ROTACAO_RDM!$I$6:$I$71,$J1135))</f>
        <v/>
      </c>
      <c r="N1135" s="16" t="n">
        <f aca="false">IF($J1135=0,0,MAX(0,$C1135+INT(DIAS_POR_SEMANA/2)-INDEX(ROTACAO_RDM!$I$6:$I$71,$J1135)))</f>
        <v>0</v>
      </c>
      <c r="O1135" s="19" t="n">
        <f aca="false">IF($J1135=0,0,MIN(1,$N1135/MAX(1,INDEX(ROTACAO_RDM!$K$6:$K$71,$J1135))))</f>
        <v>0</v>
      </c>
      <c r="P1135" s="16" t="n">
        <f aca="false">IF($J1135=0,0,IFERROR(MATCH(INDEX(ROTACAO_RDM!$N$6:$N$71,$J1135),PARAMETROS_CULTURAS!$B$6:$B$28,0),0))</f>
        <v>0</v>
      </c>
      <c r="Q1135" s="8" t="str">
        <f aca="false">IF($P1135=0,"-",IF($O1135&lt;=INDEX(PARAMETROS_CULTURAS!$F$6:$F$28,$P1135),"INICIAL",IF($O1135&lt;=INDEX(PARAMETROS_CULTURAS!$F$6:$F$28,$P1135)+INDEX(PARAMETROS_CULTURAS!$G$6:$G$28,$P1135),"DESENVOLVIMENTO",IF($O1135&lt;=INDEX(PARAMETROS_CULTURAS!$F$6:$F$28,$P1135)+INDEX(PARAMETROS_CULTURAS!$G$6:$G$28,$P1135)+INDEX(PARAMETROS_CULTURAS!$H$6:$H$28,$P1135),"MEDIA","FINAL"))))</f>
        <v>-</v>
      </c>
      <c r="R1135" s="24" t="n">
        <f aca="false">IF($P1135=0,0,IF($O1135&lt;=INDEX(PARAMETROS_CULTURAS!$F$6:$F$28,$P1135),INDEX(PARAMETROS_CULTURAS!$K$6:$K$28,$P1135),IF($O1135&lt;=INDEX(PARAMETROS_CULTURAS!$F$6:$F$28,$P1135)+INDEX(PARAMETROS_CULTURAS!$G$6:$G$28,$P1135),INDEX(PARAMETROS_CULTURAS!$K$6:$K$28,$P1135)+(INDEX(PARAMETROS_CULTURAS!$L$6:$L$28,$P1135)-INDEX(PARAMETROS_CULTURAS!$K$6:$K$28,$P1135))*($O1135-INDEX(PARAMETROS_CULTURAS!$F$6:$F$28,$P1135))/MAX(INDEX(PARAMETROS_CULTURAS!$G$6:$G$28,$P1135),0.0001),IF($O1135&lt;=INDEX(PARAMETROS_CULTURAS!$F$6:$F$28,$P1135)+INDEX(PARAMETROS_CULTURAS!$G$6:$G$28,$P1135)+INDEX(PARAMETROS_CULTURAS!$H$6:$H$28,$P1135),INDEX(PARAMETROS_CULTURAS!$L$6:$L$28,$P1135),INDEX(PARAMETROS_CULTURAS!$L$6:$L$28,$P1135)+(INDEX(PARAMETROS_CULTURAS!$M$6:$M$28,$P1135)-INDEX(PARAMETROS_CULTURAS!$L$6:$L$28,$P1135))*($O1135-INDEX(PARAMETROS_CULTURAS!$F$6:$F$28,$P1135)-INDEX(PARAMETROS_CULTURAS!$G$6:$G$28,$P1135)-INDEX(PARAMETROS_CULTURAS!$H$6:$H$28,$P1135))/MAX(INDEX(PARAMETROS_CULTURAS!$I$6:$I$28,$P1135),0.0001)))))</f>
        <v>0</v>
      </c>
      <c r="S1135" s="18" t="n">
        <f aca="false">IFERROR(INDEX(SEMANAS!$H$6:$H$71,MATCH($B1135,SEMANAS!$B$6:$B$71,0)),0)</f>
        <v>39.2</v>
      </c>
      <c r="T1135" s="18" t="n">
        <f aca="false">$R1135*$S1135</f>
        <v>0</v>
      </c>
      <c r="U1135" s="18" t="n">
        <f aca="false">IFERROR(INDEX(SEMANAS!$I$6:$I$71,MATCH($B1135,SEMANAS!$B$6:$B$71,0)),0)</f>
        <v>27.09</v>
      </c>
      <c r="V1135" s="18" t="n">
        <f aca="false">IFERROR(INDEX(SEMANAS!$J$6:$J$71,MATCH($B1135,SEMANAS!$B$6:$B$71,0)),0)</f>
        <v>21.672</v>
      </c>
      <c r="W1135" s="18" t="n">
        <f aca="false">MAX(0,$T1135-$V1135)</f>
        <v>0</v>
      </c>
      <c r="X1135" s="19" t="n">
        <f aca="false">IFERROR(INDEX(CADASTRO_PIVOS!$K$6:$K$41,MATCH($E1135,CADASTRO_PIVOS!$B$6:$B$41,0)),EFICIENCIA_PADRAO)</f>
        <v>0.85</v>
      </c>
      <c r="Y1135" s="18" t="n">
        <f aca="false">IF($X1135&lt;=0,0,$W1135/$X1135)</f>
        <v>0</v>
      </c>
      <c r="Z1135" s="16" t="n">
        <f aca="false">$Y1135*$H1135*MM_PARA_M3_HA</f>
        <v>0</v>
      </c>
      <c r="AA1135" s="18" t="n">
        <f aca="false">IFERROR(INDEX(CADASTRO_PIVOS!$I$6:$I$41,MATCH($E1135,CADASTRO_PIVOS!$B$6:$B$41,0)),0)</f>
        <v>1071</v>
      </c>
      <c r="AB1135" s="18" t="n">
        <f aca="false">IF($Z1135&lt;=0,0,$Z1135/$AA1135)</f>
        <v>0</v>
      </c>
      <c r="AC1135" s="16" t="n">
        <f aca="false">IFERROR(INDEX(SEMANAS!$K$6:$K$71,MATCH($B1135,SEMANAS!$B$6:$B$71,0)),0)</f>
        <v>147</v>
      </c>
      <c r="AD1135" s="19" t="n">
        <f aca="false">IF($AC1135&lt;=0,0,$AB1135/$AC1135)</f>
        <v>0</v>
      </c>
      <c r="AE1135" s="8" t="str">
        <f aca="false">IF($K1135="SEM CULTURA","SEM CULTURA",IF($AA1135&lt;=0,"DADO PENDENTE",IF($AD1135&gt;LIMITE_CRITICO,"INVIAVEL",IF($AD1135&gt;LIMITE_ATENCAO,"CRITICO",IF($AD1135&gt;LIMITE_CONFORTAVEL,"ATENCAO","OK")))))</f>
        <v>SEM CULTURA</v>
      </c>
      <c r="AF1135" s="8" t="str">
        <f aca="false">$B1135&amp;"|"&amp;TEXT($AD1135,"0.000000")</f>
        <v>8|0.000000</v>
      </c>
      <c r="AG1135" s="18" t="n">
        <f aca="false">IF($K1135="SEM CULTURA",0,$T1135*$H1135)</f>
        <v>0</v>
      </c>
      <c r="AH1135" s="18" t="n">
        <f aca="false">IF($K1135="SEM CULTURA",0,$V1135*$H1135)</f>
        <v>0</v>
      </c>
      <c r="AI1135" s="18" t="n">
        <f aca="false">IF($K1135="SEM CULTURA",0,$W1135*$H1135)</f>
        <v>0</v>
      </c>
      <c r="AJ1135" s="18" t="n">
        <f aca="false">IF($K1135="SEM CULTURA",0,$S1135*$H1135)</f>
        <v>0</v>
      </c>
      <c r="AK1135" s="8" t="str">
        <f aca="false">$E1135&amp;"|"&amp;TEXT($AD1135,"0.000000")</f>
        <v>PV 117|0.000000</v>
      </c>
    </row>
    <row r="1136" customFormat="false" ht="15" hidden="false" customHeight="false" outlineLevel="0" collapsed="false">
      <c r="B1136" s="16" t="n">
        <v>9</v>
      </c>
      <c r="C1136" s="17" t="n">
        <f aca="false">DATA_INICIO_SAFRA+($B1136-1)*DIAS_POR_SEMANA</f>
        <v>46321</v>
      </c>
      <c r="D1136" s="17" t="n">
        <f aca="false">$C1136+DIAS_POR_SEMANA-1</f>
        <v>46327</v>
      </c>
      <c r="E1136" s="15" t="s">
        <v>276</v>
      </c>
      <c r="F1136" s="8" t="str">
        <f aca="false">IFERROR(INDEX(CADASTRO_PIVOS!$C$6:$C$41,MATCH($E1136,CADASTRO_PIVOS!$B$6:$B$41,0)),"?")</f>
        <v>RM06</v>
      </c>
      <c r="G1136" s="8" t="str">
        <f aca="false">IFERROR(INDEX(CADASTRO_PIVOS!$D$6:$D$41,MATCH($E1136,CADASTRO_PIVOS!$B$6:$B$41,0)),"?")</f>
        <v>TR06</v>
      </c>
      <c r="H1136" s="20" t="n">
        <f aca="false">IFERROR(INDEX(CADASTRO_PIVOS!$E$6:$E$41,MATCH($E1136,CADASTRO_PIVOS!$B$6:$B$41,0)),0)</f>
        <v>149.94</v>
      </c>
      <c r="I1136" s="16" t="n">
        <f aca="false">IFERROR(SUMIFS(ROTACAO_RDM!$B$6:$B$71,ROTACAO_RDM!$D$6:$D$71,$E1136,ROTACAO_RDM!$I$6:$I$71,"&lt;="&amp;$C1136+INT(DIAS_POR_SEMANA/2),ROTACAO_RDM!$J$6:$J$71,"&gt;="&amp;$C1136+INT(DIAS_POR_SEMANA/2)),0)</f>
        <v>0</v>
      </c>
      <c r="J1136" s="16" t="n">
        <f aca="false">IFERROR(MATCH($I1136,ROTACAO_RDM!$B$6:$B$71,0),0)</f>
        <v>0</v>
      </c>
      <c r="K1136" s="8" t="str">
        <f aca="false">IF($J1136=0,"SEM CULTURA",INDEX(ROTACAO_RDM!$F$6:$F$71,$J1136))</f>
        <v>SEM CULTURA</v>
      </c>
      <c r="L1136" s="8" t="str">
        <f aca="false">IF($J1136=0,"",INDEX(ROTACAO_RDM!$G$6:$G$71,$J1136))</f>
        <v/>
      </c>
      <c r="M1136" s="17" t="str">
        <f aca="false">IF($J1136=0,"",INDEX(ROTACAO_RDM!$I$6:$I$71,$J1136))</f>
        <v/>
      </c>
      <c r="N1136" s="16" t="n">
        <f aca="false">IF($J1136=0,0,MAX(0,$C1136+INT(DIAS_POR_SEMANA/2)-INDEX(ROTACAO_RDM!$I$6:$I$71,$J1136)))</f>
        <v>0</v>
      </c>
      <c r="O1136" s="19" t="n">
        <f aca="false">IF($J1136=0,0,MIN(1,$N1136/MAX(1,INDEX(ROTACAO_RDM!$K$6:$K$71,$J1136))))</f>
        <v>0</v>
      </c>
      <c r="P1136" s="16" t="n">
        <f aca="false">IF($J1136=0,0,IFERROR(MATCH(INDEX(ROTACAO_RDM!$N$6:$N$71,$J1136),PARAMETROS_CULTURAS!$B$6:$B$28,0),0))</f>
        <v>0</v>
      </c>
      <c r="Q1136" s="8" t="str">
        <f aca="false">IF($P1136=0,"-",IF($O1136&lt;=INDEX(PARAMETROS_CULTURAS!$F$6:$F$28,$P1136),"INICIAL",IF($O1136&lt;=INDEX(PARAMETROS_CULTURAS!$F$6:$F$28,$P1136)+INDEX(PARAMETROS_CULTURAS!$G$6:$G$28,$P1136),"DESENVOLVIMENTO",IF($O1136&lt;=INDEX(PARAMETROS_CULTURAS!$F$6:$F$28,$P1136)+INDEX(PARAMETROS_CULTURAS!$G$6:$G$28,$P1136)+INDEX(PARAMETROS_CULTURAS!$H$6:$H$28,$P1136),"MEDIA","FINAL"))))</f>
        <v>-</v>
      </c>
      <c r="R1136" s="24" t="n">
        <f aca="false">IF($P1136=0,0,IF($O1136&lt;=INDEX(PARAMETROS_CULTURAS!$F$6:$F$28,$P1136),INDEX(PARAMETROS_CULTURAS!$K$6:$K$28,$P1136),IF($O1136&lt;=INDEX(PARAMETROS_CULTURAS!$F$6:$F$28,$P1136)+INDEX(PARAMETROS_CULTURAS!$G$6:$G$28,$P1136),INDEX(PARAMETROS_CULTURAS!$K$6:$K$28,$P1136)+(INDEX(PARAMETROS_CULTURAS!$L$6:$L$28,$P1136)-INDEX(PARAMETROS_CULTURAS!$K$6:$K$28,$P1136))*($O1136-INDEX(PARAMETROS_CULTURAS!$F$6:$F$28,$P1136))/MAX(INDEX(PARAMETROS_CULTURAS!$G$6:$G$28,$P1136),0.0001),IF($O1136&lt;=INDEX(PARAMETROS_CULTURAS!$F$6:$F$28,$P1136)+INDEX(PARAMETROS_CULTURAS!$G$6:$G$28,$P1136)+INDEX(PARAMETROS_CULTURAS!$H$6:$H$28,$P1136),INDEX(PARAMETROS_CULTURAS!$L$6:$L$28,$P1136),INDEX(PARAMETROS_CULTURAS!$L$6:$L$28,$P1136)+(INDEX(PARAMETROS_CULTURAS!$M$6:$M$28,$P1136)-INDEX(PARAMETROS_CULTURAS!$L$6:$L$28,$P1136))*($O1136-INDEX(PARAMETROS_CULTURAS!$F$6:$F$28,$P1136)-INDEX(PARAMETROS_CULTURAS!$G$6:$G$28,$P1136)-INDEX(PARAMETROS_CULTURAS!$H$6:$H$28,$P1136))/MAX(INDEX(PARAMETROS_CULTURAS!$I$6:$I$28,$P1136),0.0001)))))</f>
        <v>0</v>
      </c>
      <c r="S1136" s="18" t="n">
        <f aca="false">IFERROR(INDEX(SEMANAS!$H$6:$H$71,MATCH($B1136,SEMANAS!$B$6:$B$71,0)),0)</f>
        <v>38.5</v>
      </c>
      <c r="T1136" s="18" t="n">
        <f aca="false">$R1136*$S1136</f>
        <v>0</v>
      </c>
      <c r="U1136" s="18" t="n">
        <f aca="false">IFERROR(INDEX(SEMANAS!$I$6:$I$71,MATCH($B1136,SEMANAS!$B$6:$B$71,0)),0)</f>
        <v>29.89</v>
      </c>
      <c r="V1136" s="18" t="n">
        <f aca="false">IFERROR(INDEX(SEMANAS!$J$6:$J$71,MATCH($B1136,SEMANAS!$B$6:$B$71,0)),0)</f>
        <v>23.912</v>
      </c>
      <c r="W1136" s="18" t="n">
        <f aca="false">MAX(0,$T1136-$V1136)</f>
        <v>0</v>
      </c>
      <c r="X1136" s="19" t="n">
        <f aca="false">IFERROR(INDEX(CADASTRO_PIVOS!$K$6:$K$41,MATCH($E1136,CADASTRO_PIVOS!$B$6:$B$41,0)),EFICIENCIA_PADRAO)</f>
        <v>0.85</v>
      </c>
      <c r="Y1136" s="18" t="n">
        <f aca="false">IF($X1136&lt;=0,0,$W1136/$X1136)</f>
        <v>0</v>
      </c>
      <c r="Z1136" s="16" t="n">
        <f aca="false">$Y1136*$H1136*MM_PARA_M3_HA</f>
        <v>0</v>
      </c>
      <c r="AA1136" s="18" t="n">
        <f aca="false">IFERROR(INDEX(CADASTRO_PIVOS!$I$6:$I$41,MATCH($E1136,CADASTRO_PIVOS!$B$6:$B$41,0)),0)</f>
        <v>1071</v>
      </c>
      <c r="AB1136" s="18" t="n">
        <f aca="false">IF($Z1136&lt;=0,0,$Z1136/$AA1136)</f>
        <v>0</v>
      </c>
      <c r="AC1136" s="16" t="n">
        <f aca="false">IFERROR(INDEX(SEMANAS!$K$6:$K$71,MATCH($B1136,SEMANAS!$B$6:$B$71,0)),0)</f>
        <v>147</v>
      </c>
      <c r="AD1136" s="19" t="n">
        <f aca="false">IF($AC1136&lt;=0,0,$AB1136/$AC1136)</f>
        <v>0</v>
      </c>
      <c r="AE1136" s="8" t="str">
        <f aca="false">IF($K1136="SEM CULTURA","SEM CULTURA",IF($AA1136&lt;=0,"DADO PENDENTE",IF($AD1136&gt;LIMITE_CRITICO,"INVIAVEL",IF($AD1136&gt;LIMITE_ATENCAO,"CRITICO",IF($AD1136&gt;LIMITE_CONFORTAVEL,"ATENCAO","OK")))))</f>
        <v>SEM CULTURA</v>
      </c>
      <c r="AF1136" s="8" t="str">
        <f aca="false">$B1136&amp;"|"&amp;TEXT($AD1136,"0.000000")</f>
        <v>9|0.000000</v>
      </c>
      <c r="AG1136" s="18" t="n">
        <f aca="false">IF($K1136="SEM CULTURA",0,$T1136*$H1136)</f>
        <v>0</v>
      </c>
      <c r="AH1136" s="18" t="n">
        <f aca="false">IF($K1136="SEM CULTURA",0,$V1136*$H1136)</f>
        <v>0</v>
      </c>
      <c r="AI1136" s="18" t="n">
        <f aca="false">IF($K1136="SEM CULTURA",0,$W1136*$H1136)</f>
        <v>0</v>
      </c>
      <c r="AJ1136" s="18" t="n">
        <f aca="false">IF($K1136="SEM CULTURA",0,$S1136*$H1136)</f>
        <v>0</v>
      </c>
      <c r="AK1136" s="8" t="str">
        <f aca="false">$E1136&amp;"|"&amp;TEXT($AD1136,"0.000000")</f>
        <v>PV 117|0.000000</v>
      </c>
    </row>
    <row r="1137" customFormat="false" ht="15" hidden="false" customHeight="false" outlineLevel="0" collapsed="false">
      <c r="B1137" s="16" t="n">
        <v>10</v>
      </c>
      <c r="C1137" s="17" t="n">
        <f aca="false">DATA_INICIO_SAFRA+($B1137-1)*DIAS_POR_SEMANA</f>
        <v>46328</v>
      </c>
      <c r="D1137" s="17" t="n">
        <f aca="false">$C1137+DIAS_POR_SEMANA-1</f>
        <v>46334</v>
      </c>
      <c r="E1137" s="15" t="s">
        <v>276</v>
      </c>
      <c r="F1137" s="8" t="str">
        <f aca="false">IFERROR(INDEX(CADASTRO_PIVOS!$C$6:$C$41,MATCH($E1137,CADASTRO_PIVOS!$B$6:$B$41,0)),"?")</f>
        <v>RM06</v>
      </c>
      <c r="G1137" s="8" t="str">
        <f aca="false">IFERROR(INDEX(CADASTRO_PIVOS!$D$6:$D$41,MATCH($E1137,CADASTRO_PIVOS!$B$6:$B$41,0)),"?")</f>
        <v>TR06</v>
      </c>
      <c r="H1137" s="20" t="n">
        <f aca="false">IFERROR(INDEX(CADASTRO_PIVOS!$E$6:$E$41,MATCH($E1137,CADASTRO_PIVOS!$B$6:$B$41,0)),0)</f>
        <v>149.94</v>
      </c>
      <c r="I1137" s="16" t="n">
        <f aca="false">IFERROR(SUMIFS(ROTACAO_RDM!$B$6:$B$71,ROTACAO_RDM!$D$6:$D$71,$E1137,ROTACAO_RDM!$I$6:$I$71,"&lt;="&amp;$C1137+INT(DIAS_POR_SEMANA/2),ROTACAO_RDM!$J$6:$J$71,"&gt;="&amp;$C1137+INT(DIAS_POR_SEMANA/2)),0)</f>
        <v>0</v>
      </c>
      <c r="J1137" s="16" t="n">
        <f aca="false">IFERROR(MATCH($I1137,ROTACAO_RDM!$B$6:$B$71,0),0)</f>
        <v>0</v>
      </c>
      <c r="K1137" s="8" t="str">
        <f aca="false">IF($J1137=0,"SEM CULTURA",INDEX(ROTACAO_RDM!$F$6:$F$71,$J1137))</f>
        <v>SEM CULTURA</v>
      </c>
      <c r="L1137" s="8" t="str">
        <f aca="false">IF($J1137=0,"",INDEX(ROTACAO_RDM!$G$6:$G$71,$J1137))</f>
        <v/>
      </c>
      <c r="M1137" s="17" t="str">
        <f aca="false">IF($J1137=0,"",INDEX(ROTACAO_RDM!$I$6:$I$71,$J1137))</f>
        <v/>
      </c>
      <c r="N1137" s="16" t="n">
        <f aca="false">IF($J1137=0,0,MAX(0,$C1137+INT(DIAS_POR_SEMANA/2)-INDEX(ROTACAO_RDM!$I$6:$I$71,$J1137)))</f>
        <v>0</v>
      </c>
      <c r="O1137" s="19" t="n">
        <f aca="false">IF($J1137=0,0,MIN(1,$N1137/MAX(1,INDEX(ROTACAO_RDM!$K$6:$K$71,$J1137))))</f>
        <v>0</v>
      </c>
      <c r="P1137" s="16" t="n">
        <f aca="false">IF($J1137=0,0,IFERROR(MATCH(INDEX(ROTACAO_RDM!$N$6:$N$71,$J1137),PARAMETROS_CULTURAS!$B$6:$B$28,0),0))</f>
        <v>0</v>
      </c>
      <c r="Q1137" s="8" t="str">
        <f aca="false">IF($P1137=0,"-",IF($O1137&lt;=INDEX(PARAMETROS_CULTURAS!$F$6:$F$28,$P1137),"INICIAL",IF($O1137&lt;=INDEX(PARAMETROS_CULTURAS!$F$6:$F$28,$P1137)+INDEX(PARAMETROS_CULTURAS!$G$6:$G$28,$P1137),"DESENVOLVIMENTO",IF($O1137&lt;=INDEX(PARAMETROS_CULTURAS!$F$6:$F$28,$P1137)+INDEX(PARAMETROS_CULTURAS!$G$6:$G$28,$P1137)+INDEX(PARAMETROS_CULTURAS!$H$6:$H$28,$P1137),"MEDIA","FINAL"))))</f>
        <v>-</v>
      </c>
      <c r="R1137" s="24" t="n">
        <f aca="false">IF($P1137=0,0,IF($O1137&lt;=INDEX(PARAMETROS_CULTURAS!$F$6:$F$28,$P1137),INDEX(PARAMETROS_CULTURAS!$K$6:$K$28,$P1137),IF($O1137&lt;=INDEX(PARAMETROS_CULTURAS!$F$6:$F$28,$P1137)+INDEX(PARAMETROS_CULTURAS!$G$6:$G$28,$P1137),INDEX(PARAMETROS_CULTURAS!$K$6:$K$28,$P1137)+(INDEX(PARAMETROS_CULTURAS!$L$6:$L$28,$P1137)-INDEX(PARAMETROS_CULTURAS!$K$6:$K$28,$P1137))*($O1137-INDEX(PARAMETROS_CULTURAS!$F$6:$F$28,$P1137))/MAX(INDEX(PARAMETROS_CULTURAS!$G$6:$G$28,$P1137),0.0001),IF($O1137&lt;=INDEX(PARAMETROS_CULTURAS!$F$6:$F$28,$P1137)+INDEX(PARAMETROS_CULTURAS!$G$6:$G$28,$P1137)+INDEX(PARAMETROS_CULTURAS!$H$6:$H$28,$P1137),INDEX(PARAMETROS_CULTURAS!$L$6:$L$28,$P1137),INDEX(PARAMETROS_CULTURAS!$L$6:$L$28,$P1137)+(INDEX(PARAMETROS_CULTURAS!$M$6:$M$28,$P1137)-INDEX(PARAMETROS_CULTURAS!$L$6:$L$28,$P1137))*($O1137-INDEX(PARAMETROS_CULTURAS!$F$6:$F$28,$P1137)-INDEX(PARAMETROS_CULTURAS!$G$6:$G$28,$P1137)-INDEX(PARAMETROS_CULTURAS!$H$6:$H$28,$P1137))/MAX(INDEX(PARAMETROS_CULTURAS!$I$6:$I$28,$P1137),0.0001)))))</f>
        <v>0</v>
      </c>
      <c r="S1137" s="18" t="n">
        <f aca="false">IFERROR(INDEX(SEMANAS!$H$6:$H$71,MATCH($B1137,SEMANAS!$B$6:$B$71,0)),0)</f>
        <v>34.3</v>
      </c>
      <c r="T1137" s="18" t="n">
        <f aca="false">$R1137*$S1137</f>
        <v>0</v>
      </c>
      <c r="U1137" s="18" t="n">
        <f aca="false">IFERROR(INDEX(SEMANAS!$I$6:$I$71,MATCH($B1137,SEMANAS!$B$6:$B$71,0)),0)</f>
        <v>46.69</v>
      </c>
      <c r="V1137" s="18" t="n">
        <f aca="false">IFERROR(INDEX(SEMANAS!$J$6:$J$71,MATCH($B1137,SEMANAS!$B$6:$B$71,0)),0)</f>
        <v>37.352</v>
      </c>
      <c r="W1137" s="18" t="n">
        <f aca="false">MAX(0,$T1137-$V1137)</f>
        <v>0</v>
      </c>
      <c r="X1137" s="19" t="n">
        <f aca="false">IFERROR(INDEX(CADASTRO_PIVOS!$K$6:$K$41,MATCH($E1137,CADASTRO_PIVOS!$B$6:$B$41,0)),EFICIENCIA_PADRAO)</f>
        <v>0.85</v>
      </c>
      <c r="Y1137" s="18" t="n">
        <f aca="false">IF($X1137&lt;=0,0,$W1137/$X1137)</f>
        <v>0</v>
      </c>
      <c r="Z1137" s="16" t="n">
        <f aca="false">$Y1137*$H1137*MM_PARA_M3_HA</f>
        <v>0</v>
      </c>
      <c r="AA1137" s="18" t="n">
        <f aca="false">IFERROR(INDEX(CADASTRO_PIVOS!$I$6:$I$41,MATCH($E1137,CADASTRO_PIVOS!$B$6:$B$41,0)),0)</f>
        <v>1071</v>
      </c>
      <c r="AB1137" s="18" t="n">
        <f aca="false">IF($Z1137&lt;=0,0,$Z1137/$AA1137)</f>
        <v>0</v>
      </c>
      <c r="AC1137" s="16" t="n">
        <f aca="false">IFERROR(INDEX(SEMANAS!$K$6:$K$71,MATCH($B1137,SEMANAS!$B$6:$B$71,0)),0)</f>
        <v>147</v>
      </c>
      <c r="AD1137" s="19" t="n">
        <f aca="false">IF($AC1137&lt;=0,0,$AB1137/$AC1137)</f>
        <v>0</v>
      </c>
      <c r="AE1137" s="8" t="str">
        <f aca="false">IF($K1137="SEM CULTURA","SEM CULTURA",IF($AA1137&lt;=0,"DADO PENDENTE",IF($AD1137&gt;LIMITE_CRITICO,"INVIAVEL",IF($AD1137&gt;LIMITE_ATENCAO,"CRITICO",IF($AD1137&gt;LIMITE_CONFORTAVEL,"ATENCAO","OK")))))</f>
        <v>SEM CULTURA</v>
      </c>
      <c r="AF1137" s="8" t="str">
        <f aca="false">$B1137&amp;"|"&amp;TEXT($AD1137,"0.000000")</f>
        <v>10|0.000000</v>
      </c>
      <c r="AG1137" s="18" t="n">
        <f aca="false">IF($K1137="SEM CULTURA",0,$T1137*$H1137)</f>
        <v>0</v>
      </c>
      <c r="AH1137" s="18" t="n">
        <f aca="false">IF($K1137="SEM CULTURA",0,$V1137*$H1137)</f>
        <v>0</v>
      </c>
      <c r="AI1137" s="18" t="n">
        <f aca="false">IF($K1137="SEM CULTURA",0,$W1137*$H1137)</f>
        <v>0</v>
      </c>
      <c r="AJ1137" s="18" t="n">
        <f aca="false">IF($K1137="SEM CULTURA",0,$S1137*$H1137)</f>
        <v>0</v>
      </c>
      <c r="AK1137" s="8" t="str">
        <f aca="false">$E1137&amp;"|"&amp;TEXT($AD1137,"0.000000")</f>
        <v>PV 117|0.000000</v>
      </c>
    </row>
    <row r="1138" customFormat="false" ht="15" hidden="false" customHeight="false" outlineLevel="0" collapsed="false">
      <c r="B1138" s="16" t="n">
        <v>11</v>
      </c>
      <c r="C1138" s="17" t="n">
        <f aca="false">DATA_INICIO_SAFRA+($B1138-1)*DIAS_POR_SEMANA</f>
        <v>46335</v>
      </c>
      <c r="D1138" s="17" t="n">
        <f aca="false">$C1138+DIAS_POR_SEMANA-1</f>
        <v>46341</v>
      </c>
      <c r="E1138" s="15" t="s">
        <v>276</v>
      </c>
      <c r="F1138" s="8" t="str">
        <f aca="false">IFERROR(INDEX(CADASTRO_PIVOS!$C$6:$C$41,MATCH($E1138,CADASTRO_PIVOS!$B$6:$B$41,0)),"?")</f>
        <v>RM06</v>
      </c>
      <c r="G1138" s="8" t="str">
        <f aca="false">IFERROR(INDEX(CADASTRO_PIVOS!$D$6:$D$41,MATCH($E1138,CADASTRO_PIVOS!$B$6:$B$41,0)),"?")</f>
        <v>TR06</v>
      </c>
      <c r="H1138" s="20" t="n">
        <f aca="false">IFERROR(INDEX(CADASTRO_PIVOS!$E$6:$E$41,MATCH($E1138,CADASTRO_PIVOS!$B$6:$B$41,0)),0)</f>
        <v>149.94</v>
      </c>
      <c r="I1138" s="16" t="n">
        <f aca="false">IFERROR(SUMIFS(ROTACAO_RDM!$B$6:$B$71,ROTACAO_RDM!$D$6:$D$71,$E1138,ROTACAO_RDM!$I$6:$I$71,"&lt;="&amp;$C1138+INT(DIAS_POR_SEMANA/2),ROTACAO_RDM!$J$6:$J$71,"&gt;="&amp;$C1138+INT(DIAS_POR_SEMANA/2)),0)</f>
        <v>0</v>
      </c>
      <c r="J1138" s="16" t="n">
        <f aca="false">IFERROR(MATCH($I1138,ROTACAO_RDM!$B$6:$B$71,0),0)</f>
        <v>0</v>
      </c>
      <c r="K1138" s="8" t="str">
        <f aca="false">IF($J1138=0,"SEM CULTURA",INDEX(ROTACAO_RDM!$F$6:$F$71,$J1138))</f>
        <v>SEM CULTURA</v>
      </c>
      <c r="L1138" s="8" t="str">
        <f aca="false">IF($J1138=0,"",INDEX(ROTACAO_RDM!$G$6:$G$71,$J1138))</f>
        <v/>
      </c>
      <c r="M1138" s="17" t="str">
        <f aca="false">IF($J1138=0,"",INDEX(ROTACAO_RDM!$I$6:$I$71,$J1138))</f>
        <v/>
      </c>
      <c r="N1138" s="16" t="n">
        <f aca="false">IF($J1138=0,0,MAX(0,$C1138+INT(DIAS_POR_SEMANA/2)-INDEX(ROTACAO_RDM!$I$6:$I$71,$J1138)))</f>
        <v>0</v>
      </c>
      <c r="O1138" s="19" t="n">
        <f aca="false">IF($J1138=0,0,MIN(1,$N1138/MAX(1,INDEX(ROTACAO_RDM!$K$6:$K$71,$J1138))))</f>
        <v>0</v>
      </c>
      <c r="P1138" s="16" t="n">
        <f aca="false">IF($J1138=0,0,IFERROR(MATCH(INDEX(ROTACAO_RDM!$N$6:$N$71,$J1138),PARAMETROS_CULTURAS!$B$6:$B$28,0),0))</f>
        <v>0</v>
      </c>
      <c r="Q1138" s="8" t="str">
        <f aca="false">IF($P1138=0,"-",IF($O1138&lt;=INDEX(PARAMETROS_CULTURAS!$F$6:$F$28,$P1138),"INICIAL",IF($O1138&lt;=INDEX(PARAMETROS_CULTURAS!$F$6:$F$28,$P1138)+INDEX(PARAMETROS_CULTURAS!$G$6:$G$28,$P1138),"DESENVOLVIMENTO",IF($O1138&lt;=INDEX(PARAMETROS_CULTURAS!$F$6:$F$28,$P1138)+INDEX(PARAMETROS_CULTURAS!$G$6:$G$28,$P1138)+INDEX(PARAMETROS_CULTURAS!$H$6:$H$28,$P1138),"MEDIA","FINAL"))))</f>
        <v>-</v>
      </c>
      <c r="R1138" s="24" t="n">
        <f aca="false">IF($P1138=0,0,IF($O1138&lt;=INDEX(PARAMETROS_CULTURAS!$F$6:$F$28,$P1138),INDEX(PARAMETROS_CULTURAS!$K$6:$K$28,$P1138),IF($O1138&lt;=INDEX(PARAMETROS_CULTURAS!$F$6:$F$28,$P1138)+INDEX(PARAMETROS_CULTURAS!$G$6:$G$28,$P1138),INDEX(PARAMETROS_CULTURAS!$K$6:$K$28,$P1138)+(INDEX(PARAMETROS_CULTURAS!$L$6:$L$28,$P1138)-INDEX(PARAMETROS_CULTURAS!$K$6:$K$28,$P1138))*($O1138-INDEX(PARAMETROS_CULTURAS!$F$6:$F$28,$P1138))/MAX(INDEX(PARAMETROS_CULTURAS!$G$6:$G$28,$P1138),0.0001),IF($O1138&lt;=INDEX(PARAMETROS_CULTURAS!$F$6:$F$28,$P1138)+INDEX(PARAMETROS_CULTURAS!$G$6:$G$28,$P1138)+INDEX(PARAMETROS_CULTURAS!$H$6:$H$28,$P1138),INDEX(PARAMETROS_CULTURAS!$L$6:$L$28,$P1138),INDEX(PARAMETROS_CULTURAS!$L$6:$L$28,$P1138)+(INDEX(PARAMETROS_CULTURAS!$M$6:$M$28,$P1138)-INDEX(PARAMETROS_CULTURAS!$L$6:$L$28,$P1138))*($O1138-INDEX(PARAMETROS_CULTURAS!$F$6:$F$28,$P1138)-INDEX(PARAMETROS_CULTURAS!$G$6:$G$28,$P1138)-INDEX(PARAMETROS_CULTURAS!$H$6:$H$28,$P1138))/MAX(INDEX(PARAMETROS_CULTURAS!$I$6:$I$28,$P1138),0.0001)))))</f>
        <v>0</v>
      </c>
      <c r="S1138" s="18" t="n">
        <f aca="false">IFERROR(INDEX(SEMANAS!$H$6:$H$71,MATCH($B1138,SEMANAS!$B$6:$B$71,0)),0)</f>
        <v>34.3</v>
      </c>
      <c r="T1138" s="18" t="n">
        <f aca="false">$R1138*$S1138</f>
        <v>0</v>
      </c>
      <c r="U1138" s="18" t="n">
        <f aca="false">IFERROR(INDEX(SEMANAS!$I$6:$I$71,MATCH($B1138,SEMANAS!$B$6:$B$71,0)),0)</f>
        <v>46.69</v>
      </c>
      <c r="V1138" s="18" t="n">
        <f aca="false">IFERROR(INDEX(SEMANAS!$J$6:$J$71,MATCH($B1138,SEMANAS!$B$6:$B$71,0)),0)</f>
        <v>37.352</v>
      </c>
      <c r="W1138" s="18" t="n">
        <f aca="false">MAX(0,$T1138-$V1138)</f>
        <v>0</v>
      </c>
      <c r="X1138" s="19" t="n">
        <f aca="false">IFERROR(INDEX(CADASTRO_PIVOS!$K$6:$K$41,MATCH($E1138,CADASTRO_PIVOS!$B$6:$B$41,0)),EFICIENCIA_PADRAO)</f>
        <v>0.85</v>
      </c>
      <c r="Y1138" s="18" t="n">
        <f aca="false">IF($X1138&lt;=0,0,$W1138/$X1138)</f>
        <v>0</v>
      </c>
      <c r="Z1138" s="16" t="n">
        <f aca="false">$Y1138*$H1138*MM_PARA_M3_HA</f>
        <v>0</v>
      </c>
      <c r="AA1138" s="18" t="n">
        <f aca="false">IFERROR(INDEX(CADASTRO_PIVOS!$I$6:$I$41,MATCH($E1138,CADASTRO_PIVOS!$B$6:$B$41,0)),0)</f>
        <v>1071</v>
      </c>
      <c r="AB1138" s="18" t="n">
        <f aca="false">IF($Z1138&lt;=0,0,$Z1138/$AA1138)</f>
        <v>0</v>
      </c>
      <c r="AC1138" s="16" t="n">
        <f aca="false">IFERROR(INDEX(SEMANAS!$K$6:$K$71,MATCH($B1138,SEMANAS!$B$6:$B$71,0)),0)</f>
        <v>147</v>
      </c>
      <c r="AD1138" s="19" t="n">
        <f aca="false">IF($AC1138&lt;=0,0,$AB1138/$AC1138)</f>
        <v>0</v>
      </c>
      <c r="AE1138" s="8" t="str">
        <f aca="false">IF($K1138="SEM CULTURA","SEM CULTURA",IF($AA1138&lt;=0,"DADO PENDENTE",IF($AD1138&gt;LIMITE_CRITICO,"INVIAVEL",IF($AD1138&gt;LIMITE_ATENCAO,"CRITICO",IF($AD1138&gt;LIMITE_CONFORTAVEL,"ATENCAO","OK")))))</f>
        <v>SEM CULTURA</v>
      </c>
      <c r="AF1138" s="8" t="str">
        <f aca="false">$B1138&amp;"|"&amp;TEXT($AD1138,"0.000000")</f>
        <v>11|0.000000</v>
      </c>
      <c r="AG1138" s="18" t="n">
        <f aca="false">IF($K1138="SEM CULTURA",0,$T1138*$H1138)</f>
        <v>0</v>
      </c>
      <c r="AH1138" s="18" t="n">
        <f aca="false">IF($K1138="SEM CULTURA",0,$V1138*$H1138)</f>
        <v>0</v>
      </c>
      <c r="AI1138" s="18" t="n">
        <f aca="false">IF($K1138="SEM CULTURA",0,$W1138*$H1138)</f>
        <v>0</v>
      </c>
      <c r="AJ1138" s="18" t="n">
        <f aca="false">IF($K1138="SEM CULTURA",0,$S1138*$H1138)</f>
        <v>0</v>
      </c>
      <c r="AK1138" s="8" t="str">
        <f aca="false">$E1138&amp;"|"&amp;TEXT($AD1138,"0.000000")</f>
        <v>PV 117|0.000000</v>
      </c>
    </row>
    <row r="1139" customFormat="false" ht="15" hidden="false" customHeight="false" outlineLevel="0" collapsed="false">
      <c r="B1139" s="16" t="n">
        <v>12</v>
      </c>
      <c r="C1139" s="17" t="n">
        <f aca="false">DATA_INICIO_SAFRA+($B1139-1)*DIAS_POR_SEMANA</f>
        <v>46342</v>
      </c>
      <c r="D1139" s="17" t="n">
        <f aca="false">$C1139+DIAS_POR_SEMANA-1</f>
        <v>46348</v>
      </c>
      <c r="E1139" s="15" t="s">
        <v>276</v>
      </c>
      <c r="F1139" s="8" t="str">
        <f aca="false">IFERROR(INDEX(CADASTRO_PIVOS!$C$6:$C$41,MATCH($E1139,CADASTRO_PIVOS!$B$6:$B$41,0)),"?")</f>
        <v>RM06</v>
      </c>
      <c r="G1139" s="8" t="str">
        <f aca="false">IFERROR(INDEX(CADASTRO_PIVOS!$D$6:$D$41,MATCH($E1139,CADASTRO_PIVOS!$B$6:$B$41,0)),"?")</f>
        <v>TR06</v>
      </c>
      <c r="H1139" s="20" t="n">
        <f aca="false">IFERROR(INDEX(CADASTRO_PIVOS!$E$6:$E$41,MATCH($E1139,CADASTRO_PIVOS!$B$6:$B$41,0)),0)</f>
        <v>149.94</v>
      </c>
      <c r="I1139" s="16" t="n">
        <f aca="false">IFERROR(SUMIFS(ROTACAO_RDM!$B$6:$B$71,ROTACAO_RDM!$D$6:$D$71,$E1139,ROTACAO_RDM!$I$6:$I$71,"&lt;="&amp;$C1139+INT(DIAS_POR_SEMANA/2),ROTACAO_RDM!$J$6:$J$71,"&gt;="&amp;$C1139+INT(DIAS_POR_SEMANA/2)),0)</f>
        <v>0</v>
      </c>
      <c r="J1139" s="16" t="n">
        <f aca="false">IFERROR(MATCH($I1139,ROTACAO_RDM!$B$6:$B$71,0),0)</f>
        <v>0</v>
      </c>
      <c r="K1139" s="8" t="str">
        <f aca="false">IF($J1139=0,"SEM CULTURA",INDEX(ROTACAO_RDM!$F$6:$F$71,$J1139))</f>
        <v>SEM CULTURA</v>
      </c>
      <c r="L1139" s="8" t="str">
        <f aca="false">IF($J1139=0,"",INDEX(ROTACAO_RDM!$G$6:$G$71,$J1139))</f>
        <v/>
      </c>
      <c r="M1139" s="17" t="str">
        <f aca="false">IF($J1139=0,"",INDEX(ROTACAO_RDM!$I$6:$I$71,$J1139))</f>
        <v/>
      </c>
      <c r="N1139" s="16" t="n">
        <f aca="false">IF($J1139=0,0,MAX(0,$C1139+INT(DIAS_POR_SEMANA/2)-INDEX(ROTACAO_RDM!$I$6:$I$71,$J1139)))</f>
        <v>0</v>
      </c>
      <c r="O1139" s="19" t="n">
        <f aca="false">IF($J1139=0,0,MIN(1,$N1139/MAX(1,INDEX(ROTACAO_RDM!$K$6:$K$71,$J1139))))</f>
        <v>0</v>
      </c>
      <c r="P1139" s="16" t="n">
        <f aca="false">IF($J1139=0,0,IFERROR(MATCH(INDEX(ROTACAO_RDM!$N$6:$N$71,$J1139),PARAMETROS_CULTURAS!$B$6:$B$28,0),0))</f>
        <v>0</v>
      </c>
      <c r="Q1139" s="8" t="str">
        <f aca="false">IF($P1139=0,"-",IF($O1139&lt;=INDEX(PARAMETROS_CULTURAS!$F$6:$F$28,$P1139),"INICIAL",IF($O1139&lt;=INDEX(PARAMETROS_CULTURAS!$F$6:$F$28,$P1139)+INDEX(PARAMETROS_CULTURAS!$G$6:$G$28,$P1139),"DESENVOLVIMENTO",IF($O1139&lt;=INDEX(PARAMETROS_CULTURAS!$F$6:$F$28,$P1139)+INDEX(PARAMETROS_CULTURAS!$G$6:$G$28,$P1139)+INDEX(PARAMETROS_CULTURAS!$H$6:$H$28,$P1139),"MEDIA","FINAL"))))</f>
        <v>-</v>
      </c>
      <c r="R1139" s="24" t="n">
        <f aca="false">IF($P1139=0,0,IF($O1139&lt;=INDEX(PARAMETROS_CULTURAS!$F$6:$F$28,$P1139),INDEX(PARAMETROS_CULTURAS!$K$6:$K$28,$P1139),IF($O1139&lt;=INDEX(PARAMETROS_CULTURAS!$F$6:$F$28,$P1139)+INDEX(PARAMETROS_CULTURAS!$G$6:$G$28,$P1139),INDEX(PARAMETROS_CULTURAS!$K$6:$K$28,$P1139)+(INDEX(PARAMETROS_CULTURAS!$L$6:$L$28,$P1139)-INDEX(PARAMETROS_CULTURAS!$K$6:$K$28,$P1139))*($O1139-INDEX(PARAMETROS_CULTURAS!$F$6:$F$28,$P1139))/MAX(INDEX(PARAMETROS_CULTURAS!$G$6:$G$28,$P1139),0.0001),IF($O1139&lt;=INDEX(PARAMETROS_CULTURAS!$F$6:$F$28,$P1139)+INDEX(PARAMETROS_CULTURAS!$G$6:$G$28,$P1139)+INDEX(PARAMETROS_CULTURAS!$H$6:$H$28,$P1139),INDEX(PARAMETROS_CULTURAS!$L$6:$L$28,$P1139),INDEX(PARAMETROS_CULTURAS!$L$6:$L$28,$P1139)+(INDEX(PARAMETROS_CULTURAS!$M$6:$M$28,$P1139)-INDEX(PARAMETROS_CULTURAS!$L$6:$L$28,$P1139))*($O1139-INDEX(PARAMETROS_CULTURAS!$F$6:$F$28,$P1139)-INDEX(PARAMETROS_CULTURAS!$G$6:$G$28,$P1139)-INDEX(PARAMETROS_CULTURAS!$H$6:$H$28,$P1139))/MAX(INDEX(PARAMETROS_CULTURAS!$I$6:$I$28,$P1139),0.0001)))))</f>
        <v>0</v>
      </c>
      <c r="S1139" s="18" t="n">
        <f aca="false">IFERROR(INDEX(SEMANAS!$H$6:$H$71,MATCH($B1139,SEMANAS!$B$6:$B$71,0)),0)</f>
        <v>34.3</v>
      </c>
      <c r="T1139" s="18" t="n">
        <f aca="false">$R1139*$S1139</f>
        <v>0</v>
      </c>
      <c r="U1139" s="18" t="n">
        <f aca="false">IFERROR(INDEX(SEMANAS!$I$6:$I$71,MATCH($B1139,SEMANAS!$B$6:$B$71,0)),0)</f>
        <v>46.69</v>
      </c>
      <c r="V1139" s="18" t="n">
        <f aca="false">IFERROR(INDEX(SEMANAS!$J$6:$J$71,MATCH($B1139,SEMANAS!$B$6:$B$71,0)),0)</f>
        <v>37.352</v>
      </c>
      <c r="W1139" s="18" t="n">
        <f aca="false">MAX(0,$T1139-$V1139)</f>
        <v>0</v>
      </c>
      <c r="X1139" s="19" t="n">
        <f aca="false">IFERROR(INDEX(CADASTRO_PIVOS!$K$6:$K$41,MATCH($E1139,CADASTRO_PIVOS!$B$6:$B$41,0)),EFICIENCIA_PADRAO)</f>
        <v>0.85</v>
      </c>
      <c r="Y1139" s="18" t="n">
        <f aca="false">IF($X1139&lt;=0,0,$W1139/$X1139)</f>
        <v>0</v>
      </c>
      <c r="Z1139" s="16" t="n">
        <f aca="false">$Y1139*$H1139*MM_PARA_M3_HA</f>
        <v>0</v>
      </c>
      <c r="AA1139" s="18" t="n">
        <f aca="false">IFERROR(INDEX(CADASTRO_PIVOS!$I$6:$I$41,MATCH($E1139,CADASTRO_PIVOS!$B$6:$B$41,0)),0)</f>
        <v>1071</v>
      </c>
      <c r="AB1139" s="18" t="n">
        <f aca="false">IF($Z1139&lt;=0,0,$Z1139/$AA1139)</f>
        <v>0</v>
      </c>
      <c r="AC1139" s="16" t="n">
        <f aca="false">IFERROR(INDEX(SEMANAS!$K$6:$K$71,MATCH($B1139,SEMANAS!$B$6:$B$71,0)),0)</f>
        <v>147</v>
      </c>
      <c r="AD1139" s="19" t="n">
        <f aca="false">IF($AC1139&lt;=0,0,$AB1139/$AC1139)</f>
        <v>0</v>
      </c>
      <c r="AE1139" s="8" t="str">
        <f aca="false">IF($K1139="SEM CULTURA","SEM CULTURA",IF($AA1139&lt;=0,"DADO PENDENTE",IF($AD1139&gt;LIMITE_CRITICO,"INVIAVEL",IF($AD1139&gt;LIMITE_ATENCAO,"CRITICO",IF($AD1139&gt;LIMITE_CONFORTAVEL,"ATENCAO","OK")))))</f>
        <v>SEM CULTURA</v>
      </c>
      <c r="AF1139" s="8" t="str">
        <f aca="false">$B1139&amp;"|"&amp;TEXT($AD1139,"0.000000")</f>
        <v>12|0.000000</v>
      </c>
      <c r="AG1139" s="18" t="n">
        <f aca="false">IF($K1139="SEM CULTURA",0,$T1139*$H1139)</f>
        <v>0</v>
      </c>
      <c r="AH1139" s="18" t="n">
        <f aca="false">IF($K1139="SEM CULTURA",0,$V1139*$H1139)</f>
        <v>0</v>
      </c>
      <c r="AI1139" s="18" t="n">
        <f aca="false">IF($K1139="SEM CULTURA",0,$W1139*$H1139)</f>
        <v>0</v>
      </c>
      <c r="AJ1139" s="18" t="n">
        <f aca="false">IF($K1139="SEM CULTURA",0,$S1139*$H1139)</f>
        <v>0</v>
      </c>
      <c r="AK1139" s="8" t="str">
        <f aca="false">$E1139&amp;"|"&amp;TEXT($AD1139,"0.000000")</f>
        <v>PV 117|0.000000</v>
      </c>
    </row>
    <row r="1140" customFormat="false" ht="15" hidden="false" customHeight="false" outlineLevel="0" collapsed="false">
      <c r="B1140" s="16" t="n">
        <v>13</v>
      </c>
      <c r="C1140" s="17" t="n">
        <f aca="false">DATA_INICIO_SAFRA+($B1140-1)*DIAS_POR_SEMANA</f>
        <v>46349</v>
      </c>
      <c r="D1140" s="17" t="n">
        <f aca="false">$C1140+DIAS_POR_SEMANA-1</f>
        <v>46355</v>
      </c>
      <c r="E1140" s="15" t="s">
        <v>276</v>
      </c>
      <c r="F1140" s="8" t="str">
        <f aca="false">IFERROR(INDEX(CADASTRO_PIVOS!$C$6:$C$41,MATCH($E1140,CADASTRO_PIVOS!$B$6:$B$41,0)),"?")</f>
        <v>RM06</v>
      </c>
      <c r="G1140" s="8" t="str">
        <f aca="false">IFERROR(INDEX(CADASTRO_PIVOS!$D$6:$D$41,MATCH($E1140,CADASTRO_PIVOS!$B$6:$B$41,0)),"?")</f>
        <v>TR06</v>
      </c>
      <c r="H1140" s="20" t="n">
        <f aca="false">IFERROR(INDEX(CADASTRO_PIVOS!$E$6:$E$41,MATCH($E1140,CADASTRO_PIVOS!$B$6:$B$41,0)),0)</f>
        <v>149.94</v>
      </c>
      <c r="I1140" s="16" t="n">
        <f aca="false">IFERROR(SUMIFS(ROTACAO_RDM!$B$6:$B$71,ROTACAO_RDM!$D$6:$D$71,$E1140,ROTACAO_RDM!$I$6:$I$71,"&lt;="&amp;$C1140+INT(DIAS_POR_SEMANA/2),ROTACAO_RDM!$J$6:$J$71,"&gt;="&amp;$C1140+INT(DIAS_POR_SEMANA/2)),0)</f>
        <v>0</v>
      </c>
      <c r="J1140" s="16" t="n">
        <f aca="false">IFERROR(MATCH($I1140,ROTACAO_RDM!$B$6:$B$71,0),0)</f>
        <v>0</v>
      </c>
      <c r="K1140" s="8" t="str">
        <f aca="false">IF($J1140=0,"SEM CULTURA",INDEX(ROTACAO_RDM!$F$6:$F$71,$J1140))</f>
        <v>SEM CULTURA</v>
      </c>
      <c r="L1140" s="8" t="str">
        <f aca="false">IF($J1140=0,"",INDEX(ROTACAO_RDM!$G$6:$G$71,$J1140))</f>
        <v/>
      </c>
      <c r="M1140" s="17" t="str">
        <f aca="false">IF($J1140=0,"",INDEX(ROTACAO_RDM!$I$6:$I$71,$J1140))</f>
        <v/>
      </c>
      <c r="N1140" s="16" t="n">
        <f aca="false">IF($J1140=0,0,MAX(0,$C1140+INT(DIAS_POR_SEMANA/2)-INDEX(ROTACAO_RDM!$I$6:$I$71,$J1140)))</f>
        <v>0</v>
      </c>
      <c r="O1140" s="19" t="n">
        <f aca="false">IF($J1140=0,0,MIN(1,$N1140/MAX(1,INDEX(ROTACAO_RDM!$K$6:$K$71,$J1140))))</f>
        <v>0</v>
      </c>
      <c r="P1140" s="16" t="n">
        <f aca="false">IF($J1140=0,0,IFERROR(MATCH(INDEX(ROTACAO_RDM!$N$6:$N$71,$J1140),PARAMETROS_CULTURAS!$B$6:$B$28,0),0))</f>
        <v>0</v>
      </c>
      <c r="Q1140" s="8" t="str">
        <f aca="false">IF($P1140=0,"-",IF($O1140&lt;=INDEX(PARAMETROS_CULTURAS!$F$6:$F$28,$P1140),"INICIAL",IF($O1140&lt;=INDEX(PARAMETROS_CULTURAS!$F$6:$F$28,$P1140)+INDEX(PARAMETROS_CULTURAS!$G$6:$G$28,$P1140),"DESENVOLVIMENTO",IF($O1140&lt;=INDEX(PARAMETROS_CULTURAS!$F$6:$F$28,$P1140)+INDEX(PARAMETROS_CULTURAS!$G$6:$G$28,$P1140)+INDEX(PARAMETROS_CULTURAS!$H$6:$H$28,$P1140),"MEDIA","FINAL"))))</f>
        <v>-</v>
      </c>
      <c r="R1140" s="24" t="n">
        <f aca="false">IF($P1140=0,0,IF($O1140&lt;=INDEX(PARAMETROS_CULTURAS!$F$6:$F$28,$P1140),INDEX(PARAMETROS_CULTURAS!$K$6:$K$28,$P1140),IF($O1140&lt;=INDEX(PARAMETROS_CULTURAS!$F$6:$F$28,$P1140)+INDEX(PARAMETROS_CULTURAS!$G$6:$G$28,$P1140),INDEX(PARAMETROS_CULTURAS!$K$6:$K$28,$P1140)+(INDEX(PARAMETROS_CULTURAS!$L$6:$L$28,$P1140)-INDEX(PARAMETROS_CULTURAS!$K$6:$K$28,$P1140))*($O1140-INDEX(PARAMETROS_CULTURAS!$F$6:$F$28,$P1140))/MAX(INDEX(PARAMETROS_CULTURAS!$G$6:$G$28,$P1140),0.0001),IF($O1140&lt;=INDEX(PARAMETROS_CULTURAS!$F$6:$F$28,$P1140)+INDEX(PARAMETROS_CULTURAS!$G$6:$G$28,$P1140)+INDEX(PARAMETROS_CULTURAS!$H$6:$H$28,$P1140),INDEX(PARAMETROS_CULTURAS!$L$6:$L$28,$P1140),INDEX(PARAMETROS_CULTURAS!$L$6:$L$28,$P1140)+(INDEX(PARAMETROS_CULTURAS!$M$6:$M$28,$P1140)-INDEX(PARAMETROS_CULTURAS!$L$6:$L$28,$P1140))*($O1140-INDEX(PARAMETROS_CULTURAS!$F$6:$F$28,$P1140)-INDEX(PARAMETROS_CULTURAS!$G$6:$G$28,$P1140)-INDEX(PARAMETROS_CULTURAS!$H$6:$H$28,$P1140))/MAX(INDEX(PARAMETROS_CULTURAS!$I$6:$I$28,$P1140),0.0001)))))</f>
        <v>0</v>
      </c>
      <c r="S1140" s="18" t="n">
        <f aca="false">IFERROR(INDEX(SEMANAS!$H$6:$H$71,MATCH($B1140,SEMANAS!$B$6:$B$71,0)),0)</f>
        <v>34.3</v>
      </c>
      <c r="T1140" s="18" t="n">
        <f aca="false">$R1140*$S1140</f>
        <v>0</v>
      </c>
      <c r="U1140" s="18" t="n">
        <f aca="false">IFERROR(INDEX(SEMANAS!$I$6:$I$71,MATCH($B1140,SEMANAS!$B$6:$B$71,0)),0)</f>
        <v>46.69</v>
      </c>
      <c r="V1140" s="18" t="n">
        <f aca="false">IFERROR(INDEX(SEMANAS!$J$6:$J$71,MATCH($B1140,SEMANAS!$B$6:$B$71,0)),0)</f>
        <v>37.352</v>
      </c>
      <c r="W1140" s="18" t="n">
        <f aca="false">MAX(0,$T1140-$V1140)</f>
        <v>0</v>
      </c>
      <c r="X1140" s="19" t="n">
        <f aca="false">IFERROR(INDEX(CADASTRO_PIVOS!$K$6:$K$41,MATCH($E1140,CADASTRO_PIVOS!$B$6:$B$41,0)),EFICIENCIA_PADRAO)</f>
        <v>0.85</v>
      </c>
      <c r="Y1140" s="18" t="n">
        <f aca="false">IF($X1140&lt;=0,0,$W1140/$X1140)</f>
        <v>0</v>
      </c>
      <c r="Z1140" s="16" t="n">
        <f aca="false">$Y1140*$H1140*MM_PARA_M3_HA</f>
        <v>0</v>
      </c>
      <c r="AA1140" s="18" t="n">
        <f aca="false">IFERROR(INDEX(CADASTRO_PIVOS!$I$6:$I$41,MATCH($E1140,CADASTRO_PIVOS!$B$6:$B$41,0)),0)</f>
        <v>1071</v>
      </c>
      <c r="AB1140" s="18" t="n">
        <f aca="false">IF($Z1140&lt;=0,0,$Z1140/$AA1140)</f>
        <v>0</v>
      </c>
      <c r="AC1140" s="16" t="n">
        <f aca="false">IFERROR(INDEX(SEMANAS!$K$6:$K$71,MATCH($B1140,SEMANAS!$B$6:$B$71,0)),0)</f>
        <v>147</v>
      </c>
      <c r="AD1140" s="19" t="n">
        <f aca="false">IF($AC1140&lt;=0,0,$AB1140/$AC1140)</f>
        <v>0</v>
      </c>
      <c r="AE1140" s="8" t="str">
        <f aca="false">IF($K1140="SEM CULTURA","SEM CULTURA",IF($AA1140&lt;=0,"DADO PENDENTE",IF($AD1140&gt;LIMITE_CRITICO,"INVIAVEL",IF($AD1140&gt;LIMITE_ATENCAO,"CRITICO",IF($AD1140&gt;LIMITE_CONFORTAVEL,"ATENCAO","OK")))))</f>
        <v>SEM CULTURA</v>
      </c>
      <c r="AF1140" s="8" t="str">
        <f aca="false">$B1140&amp;"|"&amp;TEXT($AD1140,"0.000000")</f>
        <v>13|0.000000</v>
      </c>
      <c r="AG1140" s="18" t="n">
        <f aca="false">IF($K1140="SEM CULTURA",0,$T1140*$H1140)</f>
        <v>0</v>
      </c>
      <c r="AH1140" s="18" t="n">
        <f aca="false">IF($K1140="SEM CULTURA",0,$V1140*$H1140)</f>
        <v>0</v>
      </c>
      <c r="AI1140" s="18" t="n">
        <f aca="false">IF($K1140="SEM CULTURA",0,$W1140*$H1140)</f>
        <v>0</v>
      </c>
      <c r="AJ1140" s="18" t="n">
        <f aca="false">IF($K1140="SEM CULTURA",0,$S1140*$H1140)</f>
        <v>0</v>
      </c>
      <c r="AK1140" s="8" t="str">
        <f aca="false">$E1140&amp;"|"&amp;TEXT($AD1140,"0.000000")</f>
        <v>PV 117|0.000000</v>
      </c>
    </row>
    <row r="1141" customFormat="false" ht="15" hidden="false" customHeight="false" outlineLevel="0" collapsed="false">
      <c r="B1141" s="16" t="n">
        <v>14</v>
      </c>
      <c r="C1141" s="17" t="n">
        <f aca="false">DATA_INICIO_SAFRA+($B1141-1)*DIAS_POR_SEMANA</f>
        <v>46356</v>
      </c>
      <c r="D1141" s="17" t="n">
        <f aca="false">$C1141+DIAS_POR_SEMANA-1</f>
        <v>46362</v>
      </c>
      <c r="E1141" s="15" t="s">
        <v>276</v>
      </c>
      <c r="F1141" s="8" t="str">
        <f aca="false">IFERROR(INDEX(CADASTRO_PIVOS!$C$6:$C$41,MATCH($E1141,CADASTRO_PIVOS!$B$6:$B$41,0)),"?")</f>
        <v>RM06</v>
      </c>
      <c r="G1141" s="8" t="str">
        <f aca="false">IFERROR(INDEX(CADASTRO_PIVOS!$D$6:$D$41,MATCH($E1141,CADASTRO_PIVOS!$B$6:$B$41,0)),"?")</f>
        <v>TR06</v>
      </c>
      <c r="H1141" s="20" t="n">
        <f aca="false">IFERROR(INDEX(CADASTRO_PIVOS!$E$6:$E$41,MATCH($E1141,CADASTRO_PIVOS!$B$6:$B$41,0)),0)</f>
        <v>149.94</v>
      </c>
      <c r="I1141" s="16" t="n">
        <f aca="false">IFERROR(SUMIFS(ROTACAO_RDM!$B$6:$B$71,ROTACAO_RDM!$D$6:$D$71,$E1141,ROTACAO_RDM!$I$6:$I$71,"&lt;="&amp;$C1141+INT(DIAS_POR_SEMANA/2),ROTACAO_RDM!$J$6:$J$71,"&gt;="&amp;$C1141+INT(DIAS_POR_SEMANA/2)),0)</f>
        <v>29</v>
      </c>
      <c r="J1141" s="16" t="n">
        <f aca="false">IFERROR(MATCH($I1141,ROTACAO_RDM!$B$6:$B$71,0),0)</f>
        <v>29</v>
      </c>
      <c r="K1141" s="8" t="str">
        <f aca="false">IF($J1141=0,"SEM CULTURA",INDEX(ROTACAO_RDM!$F$6:$F$71,$J1141))</f>
        <v>ALGODAO</v>
      </c>
      <c r="L1141" s="8" t="str">
        <f aca="false">IF($J1141=0,"",INDEX(ROTACAO_RDM!$G$6:$G$71,$J1141))</f>
        <v>FM 974 GLT</v>
      </c>
      <c r="M1141" s="17" t="n">
        <f aca="false">IF($J1141=0,"",INDEX(ROTACAO_RDM!$I$6:$I$71,$J1141))</f>
        <v>46356</v>
      </c>
      <c r="N1141" s="16" t="n">
        <f aca="false">IF($J1141=0,0,MAX(0,$C1141+INT(DIAS_POR_SEMANA/2)-INDEX(ROTACAO_RDM!$I$6:$I$71,$J1141)))</f>
        <v>3</v>
      </c>
      <c r="O1141" s="19" t="n">
        <f aca="false">IF($J1141=0,0,MIN(1,$N1141/MAX(1,INDEX(ROTACAO_RDM!$K$6:$K$71,$J1141))))</f>
        <v>0.0153846153846154</v>
      </c>
      <c r="P1141" s="16" t="n">
        <f aca="false">IF($J1141=0,0,IFERROR(MATCH(INDEX(ROTACAO_RDM!$N$6:$N$71,$J1141),PARAMETROS_CULTURAS!$B$6:$B$28,0),0))</f>
        <v>5</v>
      </c>
      <c r="Q1141" s="8" t="str">
        <f aca="false">IF($P1141=0,"-",IF($O1141&lt;=INDEX(PARAMETROS_CULTURAS!$F$6:$F$28,$P1141),"INICIAL",IF($O1141&lt;=INDEX(PARAMETROS_CULTURAS!$F$6:$F$28,$P1141)+INDEX(PARAMETROS_CULTURAS!$G$6:$G$28,$P1141),"DESENVOLVIMENTO",IF($O1141&lt;=INDEX(PARAMETROS_CULTURAS!$F$6:$F$28,$P1141)+INDEX(PARAMETROS_CULTURAS!$G$6:$G$28,$P1141)+INDEX(PARAMETROS_CULTURAS!$H$6:$H$28,$P1141),"MEDIA","FINAL"))))</f>
        <v>INICIAL</v>
      </c>
      <c r="R1141" s="24" t="n">
        <f aca="false">IF($P1141=0,0,IF($O1141&lt;=INDEX(PARAMETROS_CULTURAS!$F$6:$F$28,$P1141),INDEX(PARAMETROS_CULTURAS!$K$6:$K$28,$P1141),IF($O1141&lt;=INDEX(PARAMETROS_CULTURAS!$F$6:$F$28,$P1141)+INDEX(PARAMETROS_CULTURAS!$G$6:$G$28,$P1141),INDEX(PARAMETROS_CULTURAS!$K$6:$K$28,$P1141)+(INDEX(PARAMETROS_CULTURAS!$L$6:$L$28,$P1141)-INDEX(PARAMETROS_CULTURAS!$K$6:$K$28,$P1141))*($O1141-INDEX(PARAMETROS_CULTURAS!$F$6:$F$28,$P1141))/MAX(INDEX(PARAMETROS_CULTURAS!$G$6:$G$28,$P1141),0.0001),IF($O1141&lt;=INDEX(PARAMETROS_CULTURAS!$F$6:$F$28,$P1141)+INDEX(PARAMETROS_CULTURAS!$G$6:$G$28,$P1141)+INDEX(PARAMETROS_CULTURAS!$H$6:$H$28,$P1141),INDEX(PARAMETROS_CULTURAS!$L$6:$L$28,$P1141),INDEX(PARAMETROS_CULTURAS!$L$6:$L$28,$P1141)+(INDEX(PARAMETROS_CULTURAS!$M$6:$M$28,$P1141)-INDEX(PARAMETROS_CULTURAS!$L$6:$L$28,$P1141))*($O1141-INDEX(PARAMETROS_CULTURAS!$F$6:$F$28,$P1141)-INDEX(PARAMETROS_CULTURAS!$G$6:$G$28,$P1141)-INDEX(PARAMETROS_CULTURAS!$H$6:$H$28,$P1141))/MAX(INDEX(PARAMETROS_CULTURAS!$I$6:$I$28,$P1141),0.0001)))))</f>
        <v>0.35</v>
      </c>
      <c r="S1141" s="18" t="n">
        <f aca="false">IFERROR(INDEX(SEMANAS!$H$6:$H$71,MATCH($B1141,SEMANAS!$B$6:$B$71,0)),0)</f>
        <v>33.1</v>
      </c>
      <c r="T1141" s="18" t="n">
        <f aca="false">$R1141*$S1141</f>
        <v>11.585</v>
      </c>
      <c r="U1141" s="18" t="n">
        <f aca="false">IFERROR(INDEX(SEMANAS!$I$6:$I$71,MATCH($B1141,SEMANAS!$B$6:$B$71,0)),0)</f>
        <v>48.31</v>
      </c>
      <c r="V1141" s="18" t="n">
        <f aca="false">IFERROR(INDEX(SEMANAS!$J$6:$J$71,MATCH($B1141,SEMANAS!$B$6:$B$71,0)),0)</f>
        <v>38.648</v>
      </c>
      <c r="W1141" s="18" t="n">
        <f aca="false">MAX(0,$T1141-$V1141)</f>
        <v>0</v>
      </c>
      <c r="X1141" s="19" t="n">
        <f aca="false">IFERROR(INDEX(CADASTRO_PIVOS!$K$6:$K$41,MATCH($E1141,CADASTRO_PIVOS!$B$6:$B$41,0)),EFICIENCIA_PADRAO)</f>
        <v>0.85</v>
      </c>
      <c r="Y1141" s="18" t="n">
        <f aca="false">IF($X1141&lt;=0,0,$W1141/$X1141)</f>
        <v>0</v>
      </c>
      <c r="Z1141" s="16" t="n">
        <f aca="false">$Y1141*$H1141*MM_PARA_M3_HA</f>
        <v>0</v>
      </c>
      <c r="AA1141" s="18" t="n">
        <f aca="false">IFERROR(INDEX(CADASTRO_PIVOS!$I$6:$I$41,MATCH($E1141,CADASTRO_PIVOS!$B$6:$B$41,0)),0)</f>
        <v>1071</v>
      </c>
      <c r="AB1141" s="18" t="n">
        <f aca="false">IF($Z1141&lt;=0,0,$Z1141/$AA1141)</f>
        <v>0</v>
      </c>
      <c r="AC1141" s="16" t="n">
        <f aca="false">IFERROR(INDEX(SEMANAS!$K$6:$K$71,MATCH($B1141,SEMANAS!$B$6:$B$71,0)),0)</f>
        <v>147</v>
      </c>
      <c r="AD1141" s="19" t="n">
        <f aca="false">IF($AC1141&lt;=0,0,$AB1141/$AC1141)</f>
        <v>0</v>
      </c>
      <c r="AE1141" s="8" t="str">
        <f aca="false">IF($K1141="SEM CULTURA","SEM CULTURA",IF($AA1141&lt;=0,"DADO PENDENTE",IF($AD1141&gt;LIMITE_CRITICO,"INVIAVEL",IF($AD1141&gt;LIMITE_ATENCAO,"CRITICO",IF($AD1141&gt;LIMITE_CONFORTAVEL,"ATENCAO","OK")))))</f>
        <v>OK</v>
      </c>
      <c r="AF1141" s="8" t="str">
        <f aca="false">$B1141&amp;"|"&amp;TEXT($AD1141,"0.000000")</f>
        <v>14|0.000000</v>
      </c>
      <c r="AG1141" s="18" t="n">
        <f aca="false">IF($K1141="SEM CULTURA",0,$T1141*$H1141)</f>
        <v>1737.0549</v>
      </c>
      <c r="AH1141" s="18" t="n">
        <f aca="false">IF($K1141="SEM CULTURA",0,$V1141*$H1141)</f>
        <v>5794.88112</v>
      </c>
      <c r="AI1141" s="18" t="n">
        <f aca="false">IF($K1141="SEM CULTURA",0,$W1141*$H1141)</f>
        <v>0</v>
      </c>
      <c r="AJ1141" s="18" t="n">
        <f aca="false">IF($K1141="SEM CULTURA",0,$S1141*$H1141)</f>
        <v>4963.014</v>
      </c>
      <c r="AK1141" s="8" t="str">
        <f aca="false">$E1141&amp;"|"&amp;TEXT($AD1141,"0.000000")</f>
        <v>PV 117|0.000000</v>
      </c>
    </row>
    <row r="1142" customFormat="false" ht="15" hidden="false" customHeight="false" outlineLevel="0" collapsed="false">
      <c r="B1142" s="16" t="n">
        <v>15</v>
      </c>
      <c r="C1142" s="17" t="n">
        <f aca="false">DATA_INICIO_SAFRA+($B1142-1)*DIAS_POR_SEMANA</f>
        <v>46363</v>
      </c>
      <c r="D1142" s="17" t="n">
        <f aca="false">$C1142+DIAS_POR_SEMANA-1</f>
        <v>46369</v>
      </c>
      <c r="E1142" s="15" t="s">
        <v>276</v>
      </c>
      <c r="F1142" s="8" t="str">
        <f aca="false">IFERROR(INDEX(CADASTRO_PIVOS!$C$6:$C$41,MATCH($E1142,CADASTRO_PIVOS!$B$6:$B$41,0)),"?")</f>
        <v>RM06</v>
      </c>
      <c r="G1142" s="8" t="str">
        <f aca="false">IFERROR(INDEX(CADASTRO_PIVOS!$D$6:$D$41,MATCH($E1142,CADASTRO_PIVOS!$B$6:$B$41,0)),"?")</f>
        <v>TR06</v>
      </c>
      <c r="H1142" s="20" t="n">
        <f aca="false">IFERROR(INDEX(CADASTRO_PIVOS!$E$6:$E$41,MATCH($E1142,CADASTRO_PIVOS!$B$6:$B$41,0)),0)</f>
        <v>149.94</v>
      </c>
      <c r="I1142" s="16" t="n">
        <f aca="false">IFERROR(SUMIFS(ROTACAO_RDM!$B$6:$B$71,ROTACAO_RDM!$D$6:$D$71,$E1142,ROTACAO_RDM!$I$6:$I$71,"&lt;="&amp;$C1142+INT(DIAS_POR_SEMANA/2),ROTACAO_RDM!$J$6:$J$71,"&gt;="&amp;$C1142+INT(DIAS_POR_SEMANA/2)),0)</f>
        <v>29</v>
      </c>
      <c r="J1142" s="16" t="n">
        <f aca="false">IFERROR(MATCH($I1142,ROTACAO_RDM!$B$6:$B$71,0),0)</f>
        <v>29</v>
      </c>
      <c r="K1142" s="8" t="str">
        <f aca="false">IF($J1142=0,"SEM CULTURA",INDEX(ROTACAO_RDM!$F$6:$F$71,$J1142))</f>
        <v>ALGODAO</v>
      </c>
      <c r="L1142" s="8" t="str">
        <f aca="false">IF($J1142=0,"",INDEX(ROTACAO_RDM!$G$6:$G$71,$J1142))</f>
        <v>FM 974 GLT</v>
      </c>
      <c r="M1142" s="17" t="n">
        <f aca="false">IF($J1142=0,"",INDEX(ROTACAO_RDM!$I$6:$I$71,$J1142))</f>
        <v>46356</v>
      </c>
      <c r="N1142" s="16" t="n">
        <f aca="false">IF($J1142=0,0,MAX(0,$C1142+INT(DIAS_POR_SEMANA/2)-INDEX(ROTACAO_RDM!$I$6:$I$71,$J1142)))</f>
        <v>10</v>
      </c>
      <c r="O1142" s="19" t="n">
        <f aca="false">IF($J1142=0,0,MIN(1,$N1142/MAX(1,INDEX(ROTACAO_RDM!$K$6:$K$71,$J1142))))</f>
        <v>0.0512820512820513</v>
      </c>
      <c r="P1142" s="16" t="n">
        <f aca="false">IF($J1142=0,0,IFERROR(MATCH(INDEX(ROTACAO_RDM!$N$6:$N$71,$J1142),PARAMETROS_CULTURAS!$B$6:$B$28,0),0))</f>
        <v>5</v>
      </c>
      <c r="Q1142" s="8" t="str">
        <f aca="false">IF($P1142=0,"-",IF($O1142&lt;=INDEX(PARAMETROS_CULTURAS!$F$6:$F$28,$P1142),"INICIAL",IF($O1142&lt;=INDEX(PARAMETROS_CULTURAS!$F$6:$F$28,$P1142)+INDEX(PARAMETROS_CULTURAS!$G$6:$G$28,$P1142),"DESENVOLVIMENTO",IF($O1142&lt;=INDEX(PARAMETROS_CULTURAS!$F$6:$F$28,$P1142)+INDEX(PARAMETROS_CULTURAS!$G$6:$G$28,$P1142)+INDEX(PARAMETROS_CULTURAS!$H$6:$H$28,$P1142),"MEDIA","FINAL"))))</f>
        <v>INICIAL</v>
      </c>
      <c r="R1142" s="24" t="n">
        <f aca="false">IF($P1142=0,0,IF($O1142&lt;=INDEX(PARAMETROS_CULTURAS!$F$6:$F$28,$P1142),INDEX(PARAMETROS_CULTURAS!$K$6:$K$28,$P1142),IF($O1142&lt;=INDEX(PARAMETROS_CULTURAS!$F$6:$F$28,$P1142)+INDEX(PARAMETROS_CULTURAS!$G$6:$G$28,$P1142),INDEX(PARAMETROS_CULTURAS!$K$6:$K$28,$P1142)+(INDEX(PARAMETROS_CULTURAS!$L$6:$L$28,$P1142)-INDEX(PARAMETROS_CULTURAS!$K$6:$K$28,$P1142))*($O1142-INDEX(PARAMETROS_CULTURAS!$F$6:$F$28,$P1142))/MAX(INDEX(PARAMETROS_CULTURAS!$G$6:$G$28,$P1142),0.0001),IF($O1142&lt;=INDEX(PARAMETROS_CULTURAS!$F$6:$F$28,$P1142)+INDEX(PARAMETROS_CULTURAS!$G$6:$G$28,$P1142)+INDEX(PARAMETROS_CULTURAS!$H$6:$H$28,$P1142),INDEX(PARAMETROS_CULTURAS!$L$6:$L$28,$P1142),INDEX(PARAMETROS_CULTURAS!$L$6:$L$28,$P1142)+(INDEX(PARAMETROS_CULTURAS!$M$6:$M$28,$P1142)-INDEX(PARAMETROS_CULTURAS!$L$6:$L$28,$P1142))*($O1142-INDEX(PARAMETROS_CULTURAS!$F$6:$F$28,$P1142)-INDEX(PARAMETROS_CULTURAS!$G$6:$G$28,$P1142)-INDEX(PARAMETROS_CULTURAS!$H$6:$H$28,$P1142))/MAX(INDEX(PARAMETROS_CULTURAS!$I$6:$I$28,$P1142),0.0001)))))</f>
        <v>0.35</v>
      </c>
      <c r="S1142" s="18" t="n">
        <f aca="false">IFERROR(INDEX(SEMANAS!$H$6:$H$71,MATCH($B1142,SEMANAS!$B$6:$B$71,0)),0)</f>
        <v>32.9</v>
      </c>
      <c r="T1142" s="18" t="n">
        <f aca="false">$R1142*$S1142</f>
        <v>11.515</v>
      </c>
      <c r="U1142" s="18" t="n">
        <f aca="false">IFERROR(INDEX(SEMANAS!$I$6:$I$71,MATCH($B1142,SEMANAS!$B$6:$B$71,0)),0)</f>
        <v>48.58</v>
      </c>
      <c r="V1142" s="18" t="n">
        <f aca="false">IFERROR(INDEX(SEMANAS!$J$6:$J$71,MATCH($B1142,SEMANAS!$B$6:$B$71,0)),0)</f>
        <v>38.864</v>
      </c>
      <c r="W1142" s="18" t="n">
        <f aca="false">MAX(0,$T1142-$V1142)</f>
        <v>0</v>
      </c>
      <c r="X1142" s="19" t="n">
        <f aca="false">IFERROR(INDEX(CADASTRO_PIVOS!$K$6:$K$41,MATCH($E1142,CADASTRO_PIVOS!$B$6:$B$41,0)),EFICIENCIA_PADRAO)</f>
        <v>0.85</v>
      </c>
      <c r="Y1142" s="18" t="n">
        <f aca="false">IF($X1142&lt;=0,0,$W1142/$X1142)</f>
        <v>0</v>
      </c>
      <c r="Z1142" s="16" t="n">
        <f aca="false">$Y1142*$H1142*MM_PARA_M3_HA</f>
        <v>0</v>
      </c>
      <c r="AA1142" s="18" t="n">
        <f aca="false">IFERROR(INDEX(CADASTRO_PIVOS!$I$6:$I$41,MATCH($E1142,CADASTRO_PIVOS!$B$6:$B$41,0)),0)</f>
        <v>1071</v>
      </c>
      <c r="AB1142" s="18" t="n">
        <f aca="false">IF($Z1142&lt;=0,0,$Z1142/$AA1142)</f>
        <v>0</v>
      </c>
      <c r="AC1142" s="16" t="n">
        <f aca="false">IFERROR(INDEX(SEMANAS!$K$6:$K$71,MATCH($B1142,SEMANAS!$B$6:$B$71,0)),0)</f>
        <v>147</v>
      </c>
      <c r="AD1142" s="19" t="n">
        <f aca="false">IF($AC1142&lt;=0,0,$AB1142/$AC1142)</f>
        <v>0</v>
      </c>
      <c r="AE1142" s="8" t="str">
        <f aca="false">IF($K1142="SEM CULTURA","SEM CULTURA",IF($AA1142&lt;=0,"DADO PENDENTE",IF($AD1142&gt;LIMITE_CRITICO,"INVIAVEL",IF($AD1142&gt;LIMITE_ATENCAO,"CRITICO",IF($AD1142&gt;LIMITE_CONFORTAVEL,"ATENCAO","OK")))))</f>
        <v>OK</v>
      </c>
      <c r="AF1142" s="8" t="str">
        <f aca="false">$B1142&amp;"|"&amp;TEXT($AD1142,"0.000000")</f>
        <v>15|0.000000</v>
      </c>
      <c r="AG1142" s="18" t="n">
        <f aca="false">IF($K1142="SEM CULTURA",0,$T1142*$H1142)</f>
        <v>1726.5591</v>
      </c>
      <c r="AH1142" s="18" t="n">
        <f aca="false">IF($K1142="SEM CULTURA",0,$V1142*$H1142)</f>
        <v>5827.26816</v>
      </c>
      <c r="AI1142" s="18" t="n">
        <f aca="false">IF($K1142="SEM CULTURA",0,$W1142*$H1142)</f>
        <v>0</v>
      </c>
      <c r="AJ1142" s="18" t="n">
        <f aca="false">IF($K1142="SEM CULTURA",0,$S1142*$H1142)</f>
        <v>4933.026</v>
      </c>
      <c r="AK1142" s="8" t="str">
        <f aca="false">$E1142&amp;"|"&amp;TEXT($AD1142,"0.000000")</f>
        <v>PV 117|0.000000</v>
      </c>
    </row>
    <row r="1143" customFormat="false" ht="15" hidden="false" customHeight="false" outlineLevel="0" collapsed="false">
      <c r="B1143" s="16" t="n">
        <v>16</v>
      </c>
      <c r="C1143" s="17" t="n">
        <f aca="false">DATA_INICIO_SAFRA+($B1143-1)*DIAS_POR_SEMANA</f>
        <v>46370</v>
      </c>
      <c r="D1143" s="17" t="n">
        <f aca="false">$C1143+DIAS_POR_SEMANA-1</f>
        <v>46376</v>
      </c>
      <c r="E1143" s="15" t="s">
        <v>276</v>
      </c>
      <c r="F1143" s="8" t="str">
        <f aca="false">IFERROR(INDEX(CADASTRO_PIVOS!$C$6:$C$41,MATCH($E1143,CADASTRO_PIVOS!$B$6:$B$41,0)),"?")</f>
        <v>RM06</v>
      </c>
      <c r="G1143" s="8" t="str">
        <f aca="false">IFERROR(INDEX(CADASTRO_PIVOS!$D$6:$D$41,MATCH($E1143,CADASTRO_PIVOS!$B$6:$B$41,0)),"?")</f>
        <v>TR06</v>
      </c>
      <c r="H1143" s="20" t="n">
        <f aca="false">IFERROR(INDEX(CADASTRO_PIVOS!$E$6:$E$41,MATCH($E1143,CADASTRO_PIVOS!$B$6:$B$41,0)),0)</f>
        <v>149.94</v>
      </c>
      <c r="I1143" s="16" t="n">
        <f aca="false">IFERROR(SUMIFS(ROTACAO_RDM!$B$6:$B$71,ROTACAO_RDM!$D$6:$D$71,$E1143,ROTACAO_RDM!$I$6:$I$71,"&lt;="&amp;$C1143+INT(DIAS_POR_SEMANA/2),ROTACAO_RDM!$J$6:$J$71,"&gt;="&amp;$C1143+INT(DIAS_POR_SEMANA/2)),0)</f>
        <v>29</v>
      </c>
      <c r="J1143" s="16" t="n">
        <f aca="false">IFERROR(MATCH($I1143,ROTACAO_RDM!$B$6:$B$71,0),0)</f>
        <v>29</v>
      </c>
      <c r="K1143" s="8" t="str">
        <f aca="false">IF($J1143=0,"SEM CULTURA",INDEX(ROTACAO_RDM!$F$6:$F$71,$J1143))</f>
        <v>ALGODAO</v>
      </c>
      <c r="L1143" s="8" t="str">
        <f aca="false">IF($J1143=0,"",INDEX(ROTACAO_RDM!$G$6:$G$71,$J1143))</f>
        <v>FM 974 GLT</v>
      </c>
      <c r="M1143" s="17" t="n">
        <f aca="false">IF($J1143=0,"",INDEX(ROTACAO_RDM!$I$6:$I$71,$J1143))</f>
        <v>46356</v>
      </c>
      <c r="N1143" s="16" t="n">
        <f aca="false">IF($J1143=0,0,MAX(0,$C1143+INT(DIAS_POR_SEMANA/2)-INDEX(ROTACAO_RDM!$I$6:$I$71,$J1143)))</f>
        <v>17</v>
      </c>
      <c r="O1143" s="19" t="n">
        <f aca="false">IF($J1143=0,0,MIN(1,$N1143/MAX(1,INDEX(ROTACAO_RDM!$K$6:$K$71,$J1143))))</f>
        <v>0.0871794871794872</v>
      </c>
      <c r="P1143" s="16" t="n">
        <f aca="false">IF($J1143=0,0,IFERROR(MATCH(INDEX(ROTACAO_RDM!$N$6:$N$71,$J1143),PARAMETROS_CULTURAS!$B$6:$B$28,0),0))</f>
        <v>5</v>
      </c>
      <c r="Q1143" s="8" t="str">
        <f aca="false">IF($P1143=0,"-",IF($O1143&lt;=INDEX(PARAMETROS_CULTURAS!$F$6:$F$28,$P1143),"INICIAL",IF($O1143&lt;=INDEX(PARAMETROS_CULTURAS!$F$6:$F$28,$P1143)+INDEX(PARAMETROS_CULTURAS!$G$6:$G$28,$P1143),"DESENVOLVIMENTO",IF($O1143&lt;=INDEX(PARAMETROS_CULTURAS!$F$6:$F$28,$P1143)+INDEX(PARAMETROS_CULTURAS!$G$6:$G$28,$P1143)+INDEX(PARAMETROS_CULTURAS!$H$6:$H$28,$P1143),"MEDIA","FINAL"))))</f>
        <v>INICIAL</v>
      </c>
      <c r="R1143" s="24" t="n">
        <f aca="false">IF($P1143=0,0,IF($O1143&lt;=INDEX(PARAMETROS_CULTURAS!$F$6:$F$28,$P1143),INDEX(PARAMETROS_CULTURAS!$K$6:$K$28,$P1143),IF($O1143&lt;=INDEX(PARAMETROS_CULTURAS!$F$6:$F$28,$P1143)+INDEX(PARAMETROS_CULTURAS!$G$6:$G$28,$P1143),INDEX(PARAMETROS_CULTURAS!$K$6:$K$28,$P1143)+(INDEX(PARAMETROS_CULTURAS!$L$6:$L$28,$P1143)-INDEX(PARAMETROS_CULTURAS!$K$6:$K$28,$P1143))*($O1143-INDEX(PARAMETROS_CULTURAS!$F$6:$F$28,$P1143))/MAX(INDEX(PARAMETROS_CULTURAS!$G$6:$G$28,$P1143),0.0001),IF($O1143&lt;=INDEX(PARAMETROS_CULTURAS!$F$6:$F$28,$P1143)+INDEX(PARAMETROS_CULTURAS!$G$6:$G$28,$P1143)+INDEX(PARAMETROS_CULTURAS!$H$6:$H$28,$P1143),INDEX(PARAMETROS_CULTURAS!$L$6:$L$28,$P1143),INDEX(PARAMETROS_CULTURAS!$L$6:$L$28,$P1143)+(INDEX(PARAMETROS_CULTURAS!$M$6:$M$28,$P1143)-INDEX(PARAMETROS_CULTURAS!$L$6:$L$28,$P1143))*($O1143-INDEX(PARAMETROS_CULTURAS!$F$6:$F$28,$P1143)-INDEX(PARAMETROS_CULTURAS!$G$6:$G$28,$P1143)-INDEX(PARAMETROS_CULTURAS!$H$6:$H$28,$P1143))/MAX(INDEX(PARAMETROS_CULTURAS!$I$6:$I$28,$P1143),0.0001)))))</f>
        <v>0.35</v>
      </c>
      <c r="S1143" s="18" t="n">
        <f aca="false">IFERROR(INDEX(SEMANAS!$H$6:$H$71,MATCH($B1143,SEMANAS!$B$6:$B$71,0)),0)</f>
        <v>32.9</v>
      </c>
      <c r="T1143" s="18" t="n">
        <f aca="false">$R1143*$S1143</f>
        <v>11.515</v>
      </c>
      <c r="U1143" s="18" t="n">
        <f aca="false">IFERROR(INDEX(SEMANAS!$I$6:$I$71,MATCH($B1143,SEMANAS!$B$6:$B$71,0)),0)</f>
        <v>48.58</v>
      </c>
      <c r="V1143" s="18" t="n">
        <f aca="false">IFERROR(INDEX(SEMANAS!$J$6:$J$71,MATCH($B1143,SEMANAS!$B$6:$B$71,0)),0)</f>
        <v>38.864</v>
      </c>
      <c r="W1143" s="18" t="n">
        <f aca="false">MAX(0,$T1143-$V1143)</f>
        <v>0</v>
      </c>
      <c r="X1143" s="19" t="n">
        <f aca="false">IFERROR(INDEX(CADASTRO_PIVOS!$K$6:$K$41,MATCH($E1143,CADASTRO_PIVOS!$B$6:$B$41,0)),EFICIENCIA_PADRAO)</f>
        <v>0.85</v>
      </c>
      <c r="Y1143" s="18" t="n">
        <f aca="false">IF($X1143&lt;=0,0,$W1143/$X1143)</f>
        <v>0</v>
      </c>
      <c r="Z1143" s="16" t="n">
        <f aca="false">$Y1143*$H1143*MM_PARA_M3_HA</f>
        <v>0</v>
      </c>
      <c r="AA1143" s="18" t="n">
        <f aca="false">IFERROR(INDEX(CADASTRO_PIVOS!$I$6:$I$41,MATCH($E1143,CADASTRO_PIVOS!$B$6:$B$41,0)),0)</f>
        <v>1071</v>
      </c>
      <c r="AB1143" s="18" t="n">
        <f aca="false">IF($Z1143&lt;=0,0,$Z1143/$AA1143)</f>
        <v>0</v>
      </c>
      <c r="AC1143" s="16" t="n">
        <f aca="false">IFERROR(INDEX(SEMANAS!$K$6:$K$71,MATCH($B1143,SEMANAS!$B$6:$B$71,0)),0)</f>
        <v>147</v>
      </c>
      <c r="AD1143" s="19" t="n">
        <f aca="false">IF($AC1143&lt;=0,0,$AB1143/$AC1143)</f>
        <v>0</v>
      </c>
      <c r="AE1143" s="8" t="str">
        <f aca="false">IF($K1143="SEM CULTURA","SEM CULTURA",IF($AA1143&lt;=0,"DADO PENDENTE",IF($AD1143&gt;LIMITE_CRITICO,"INVIAVEL",IF($AD1143&gt;LIMITE_ATENCAO,"CRITICO",IF($AD1143&gt;LIMITE_CONFORTAVEL,"ATENCAO","OK")))))</f>
        <v>OK</v>
      </c>
      <c r="AF1143" s="8" t="str">
        <f aca="false">$B1143&amp;"|"&amp;TEXT($AD1143,"0.000000")</f>
        <v>16|0.000000</v>
      </c>
      <c r="AG1143" s="18" t="n">
        <f aca="false">IF($K1143="SEM CULTURA",0,$T1143*$H1143)</f>
        <v>1726.5591</v>
      </c>
      <c r="AH1143" s="18" t="n">
        <f aca="false">IF($K1143="SEM CULTURA",0,$V1143*$H1143)</f>
        <v>5827.26816</v>
      </c>
      <c r="AI1143" s="18" t="n">
        <f aca="false">IF($K1143="SEM CULTURA",0,$W1143*$H1143)</f>
        <v>0</v>
      </c>
      <c r="AJ1143" s="18" t="n">
        <f aca="false">IF($K1143="SEM CULTURA",0,$S1143*$H1143)</f>
        <v>4933.026</v>
      </c>
      <c r="AK1143" s="8" t="str">
        <f aca="false">$E1143&amp;"|"&amp;TEXT($AD1143,"0.000000")</f>
        <v>PV 117|0.000000</v>
      </c>
    </row>
    <row r="1144" customFormat="false" ht="15" hidden="false" customHeight="false" outlineLevel="0" collapsed="false">
      <c r="B1144" s="16" t="n">
        <v>17</v>
      </c>
      <c r="C1144" s="17" t="n">
        <f aca="false">DATA_INICIO_SAFRA+($B1144-1)*DIAS_POR_SEMANA</f>
        <v>46377</v>
      </c>
      <c r="D1144" s="17" t="n">
        <f aca="false">$C1144+DIAS_POR_SEMANA-1</f>
        <v>46383</v>
      </c>
      <c r="E1144" s="15" t="s">
        <v>276</v>
      </c>
      <c r="F1144" s="8" t="str">
        <f aca="false">IFERROR(INDEX(CADASTRO_PIVOS!$C$6:$C$41,MATCH($E1144,CADASTRO_PIVOS!$B$6:$B$41,0)),"?")</f>
        <v>RM06</v>
      </c>
      <c r="G1144" s="8" t="str">
        <f aca="false">IFERROR(INDEX(CADASTRO_PIVOS!$D$6:$D$41,MATCH($E1144,CADASTRO_PIVOS!$B$6:$B$41,0)),"?")</f>
        <v>TR06</v>
      </c>
      <c r="H1144" s="20" t="n">
        <f aca="false">IFERROR(INDEX(CADASTRO_PIVOS!$E$6:$E$41,MATCH($E1144,CADASTRO_PIVOS!$B$6:$B$41,0)),0)</f>
        <v>149.94</v>
      </c>
      <c r="I1144" s="16" t="n">
        <f aca="false">IFERROR(SUMIFS(ROTACAO_RDM!$B$6:$B$71,ROTACAO_RDM!$D$6:$D$71,$E1144,ROTACAO_RDM!$I$6:$I$71,"&lt;="&amp;$C1144+INT(DIAS_POR_SEMANA/2),ROTACAO_RDM!$J$6:$J$71,"&gt;="&amp;$C1144+INT(DIAS_POR_SEMANA/2)),0)</f>
        <v>29</v>
      </c>
      <c r="J1144" s="16" t="n">
        <f aca="false">IFERROR(MATCH($I1144,ROTACAO_RDM!$B$6:$B$71,0),0)</f>
        <v>29</v>
      </c>
      <c r="K1144" s="8" t="str">
        <f aca="false">IF($J1144=0,"SEM CULTURA",INDEX(ROTACAO_RDM!$F$6:$F$71,$J1144))</f>
        <v>ALGODAO</v>
      </c>
      <c r="L1144" s="8" t="str">
        <f aca="false">IF($J1144=0,"",INDEX(ROTACAO_RDM!$G$6:$G$71,$J1144))</f>
        <v>FM 974 GLT</v>
      </c>
      <c r="M1144" s="17" t="n">
        <f aca="false">IF($J1144=0,"",INDEX(ROTACAO_RDM!$I$6:$I$71,$J1144))</f>
        <v>46356</v>
      </c>
      <c r="N1144" s="16" t="n">
        <f aca="false">IF($J1144=0,0,MAX(0,$C1144+INT(DIAS_POR_SEMANA/2)-INDEX(ROTACAO_RDM!$I$6:$I$71,$J1144)))</f>
        <v>24</v>
      </c>
      <c r="O1144" s="19" t="n">
        <f aca="false">IF($J1144=0,0,MIN(1,$N1144/MAX(1,INDEX(ROTACAO_RDM!$K$6:$K$71,$J1144))))</f>
        <v>0.123076923076923</v>
      </c>
      <c r="P1144" s="16" t="n">
        <f aca="false">IF($J1144=0,0,IFERROR(MATCH(INDEX(ROTACAO_RDM!$N$6:$N$71,$J1144),PARAMETROS_CULTURAS!$B$6:$B$28,0),0))</f>
        <v>5</v>
      </c>
      <c r="Q1144" s="8" t="str">
        <f aca="false">IF($P1144=0,"-",IF($O1144&lt;=INDEX(PARAMETROS_CULTURAS!$F$6:$F$28,$P1144),"INICIAL",IF($O1144&lt;=INDEX(PARAMETROS_CULTURAS!$F$6:$F$28,$P1144)+INDEX(PARAMETROS_CULTURAS!$G$6:$G$28,$P1144),"DESENVOLVIMENTO",IF($O1144&lt;=INDEX(PARAMETROS_CULTURAS!$F$6:$F$28,$P1144)+INDEX(PARAMETROS_CULTURAS!$G$6:$G$28,$P1144)+INDEX(PARAMETROS_CULTURAS!$H$6:$H$28,$P1144),"MEDIA","FINAL"))))</f>
        <v>INICIAL</v>
      </c>
      <c r="R1144" s="24" t="n">
        <f aca="false">IF($P1144=0,0,IF($O1144&lt;=INDEX(PARAMETROS_CULTURAS!$F$6:$F$28,$P1144),INDEX(PARAMETROS_CULTURAS!$K$6:$K$28,$P1144),IF($O1144&lt;=INDEX(PARAMETROS_CULTURAS!$F$6:$F$28,$P1144)+INDEX(PARAMETROS_CULTURAS!$G$6:$G$28,$P1144),INDEX(PARAMETROS_CULTURAS!$K$6:$K$28,$P1144)+(INDEX(PARAMETROS_CULTURAS!$L$6:$L$28,$P1144)-INDEX(PARAMETROS_CULTURAS!$K$6:$K$28,$P1144))*($O1144-INDEX(PARAMETROS_CULTURAS!$F$6:$F$28,$P1144))/MAX(INDEX(PARAMETROS_CULTURAS!$G$6:$G$28,$P1144),0.0001),IF($O1144&lt;=INDEX(PARAMETROS_CULTURAS!$F$6:$F$28,$P1144)+INDEX(PARAMETROS_CULTURAS!$G$6:$G$28,$P1144)+INDEX(PARAMETROS_CULTURAS!$H$6:$H$28,$P1144),INDEX(PARAMETROS_CULTURAS!$L$6:$L$28,$P1144),INDEX(PARAMETROS_CULTURAS!$L$6:$L$28,$P1144)+(INDEX(PARAMETROS_CULTURAS!$M$6:$M$28,$P1144)-INDEX(PARAMETROS_CULTURAS!$L$6:$L$28,$P1144))*($O1144-INDEX(PARAMETROS_CULTURAS!$F$6:$F$28,$P1144)-INDEX(PARAMETROS_CULTURAS!$G$6:$G$28,$P1144)-INDEX(PARAMETROS_CULTURAS!$H$6:$H$28,$P1144))/MAX(INDEX(PARAMETROS_CULTURAS!$I$6:$I$28,$P1144),0.0001)))))</f>
        <v>0.35</v>
      </c>
      <c r="S1144" s="18" t="n">
        <f aca="false">IFERROR(INDEX(SEMANAS!$H$6:$H$71,MATCH($B1144,SEMANAS!$B$6:$B$71,0)),0)</f>
        <v>32.9</v>
      </c>
      <c r="T1144" s="18" t="n">
        <f aca="false">$R1144*$S1144</f>
        <v>11.515</v>
      </c>
      <c r="U1144" s="18" t="n">
        <f aca="false">IFERROR(INDEX(SEMANAS!$I$6:$I$71,MATCH($B1144,SEMANAS!$B$6:$B$71,0)),0)</f>
        <v>48.58</v>
      </c>
      <c r="V1144" s="18" t="n">
        <f aca="false">IFERROR(INDEX(SEMANAS!$J$6:$J$71,MATCH($B1144,SEMANAS!$B$6:$B$71,0)),0)</f>
        <v>38.864</v>
      </c>
      <c r="W1144" s="18" t="n">
        <f aca="false">MAX(0,$T1144-$V1144)</f>
        <v>0</v>
      </c>
      <c r="X1144" s="19" t="n">
        <f aca="false">IFERROR(INDEX(CADASTRO_PIVOS!$K$6:$K$41,MATCH($E1144,CADASTRO_PIVOS!$B$6:$B$41,0)),EFICIENCIA_PADRAO)</f>
        <v>0.85</v>
      </c>
      <c r="Y1144" s="18" t="n">
        <f aca="false">IF($X1144&lt;=0,0,$W1144/$X1144)</f>
        <v>0</v>
      </c>
      <c r="Z1144" s="16" t="n">
        <f aca="false">$Y1144*$H1144*MM_PARA_M3_HA</f>
        <v>0</v>
      </c>
      <c r="AA1144" s="18" t="n">
        <f aca="false">IFERROR(INDEX(CADASTRO_PIVOS!$I$6:$I$41,MATCH($E1144,CADASTRO_PIVOS!$B$6:$B$41,0)),0)</f>
        <v>1071</v>
      </c>
      <c r="AB1144" s="18" t="n">
        <f aca="false">IF($Z1144&lt;=0,0,$Z1144/$AA1144)</f>
        <v>0</v>
      </c>
      <c r="AC1144" s="16" t="n">
        <f aca="false">IFERROR(INDEX(SEMANAS!$K$6:$K$71,MATCH($B1144,SEMANAS!$B$6:$B$71,0)),0)</f>
        <v>147</v>
      </c>
      <c r="AD1144" s="19" t="n">
        <f aca="false">IF($AC1144&lt;=0,0,$AB1144/$AC1144)</f>
        <v>0</v>
      </c>
      <c r="AE1144" s="8" t="str">
        <f aca="false">IF($K1144="SEM CULTURA","SEM CULTURA",IF($AA1144&lt;=0,"DADO PENDENTE",IF($AD1144&gt;LIMITE_CRITICO,"INVIAVEL",IF($AD1144&gt;LIMITE_ATENCAO,"CRITICO",IF($AD1144&gt;LIMITE_CONFORTAVEL,"ATENCAO","OK")))))</f>
        <v>OK</v>
      </c>
      <c r="AF1144" s="8" t="str">
        <f aca="false">$B1144&amp;"|"&amp;TEXT($AD1144,"0.000000")</f>
        <v>17|0.000000</v>
      </c>
      <c r="AG1144" s="18" t="n">
        <f aca="false">IF($K1144="SEM CULTURA",0,$T1144*$H1144)</f>
        <v>1726.5591</v>
      </c>
      <c r="AH1144" s="18" t="n">
        <f aca="false">IF($K1144="SEM CULTURA",0,$V1144*$H1144)</f>
        <v>5827.26816</v>
      </c>
      <c r="AI1144" s="18" t="n">
        <f aca="false">IF($K1144="SEM CULTURA",0,$W1144*$H1144)</f>
        <v>0</v>
      </c>
      <c r="AJ1144" s="18" t="n">
        <f aca="false">IF($K1144="SEM CULTURA",0,$S1144*$H1144)</f>
        <v>4933.026</v>
      </c>
      <c r="AK1144" s="8" t="str">
        <f aca="false">$E1144&amp;"|"&amp;TEXT($AD1144,"0.000000")</f>
        <v>PV 117|0.000000</v>
      </c>
    </row>
    <row r="1145" customFormat="false" ht="15" hidden="false" customHeight="false" outlineLevel="0" collapsed="false">
      <c r="B1145" s="16" t="n">
        <v>18</v>
      </c>
      <c r="C1145" s="17" t="n">
        <f aca="false">DATA_INICIO_SAFRA+($B1145-1)*DIAS_POR_SEMANA</f>
        <v>46384</v>
      </c>
      <c r="D1145" s="17" t="n">
        <f aca="false">$C1145+DIAS_POR_SEMANA-1</f>
        <v>46390</v>
      </c>
      <c r="E1145" s="15" t="s">
        <v>276</v>
      </c>
      <c r="F1145" s="8" t="str">
        <f aca="false">IFERROR(INDEX(CADASTRO_PIVOS!$C$6:$C$41,MATCH($E1145,CADASTRO_PIVOS!$B$6:$B$41,0)),"?")</f>
        <v>RM06</v>
      </c>
      <c r="G1145" s="8" t="str">
        <f aca="false">IFERROR(INDEX(CADASTRO_PIVOS!$D$6:$D$41,MATCH($E1145,CADASTRO_PIVOS!$B$6:$B$41,0)),"?")</f>
        <v>TR06</v>
      </c>
      <c r="H1145" s="20" t="n">
        <f aca="false">IFERROR(INDEX(CADASTRO_PIVOS!$E$6:$E$41,MATCH($E1145,CADASTRO_PIVOS!$B$6:$B$41,0)),0)</f>
        <v>149.94</v>
      </c>
      <c r="I1145" s="16" t="n">
        <f aca="false">IFERROR(SUMIFS(ROTACAO_RDM!$B$6:$B$71,ROTACAO_RDM!$D$6:$D$71,$E1145,ROTACAO_RDM!$I$6:$I$71,"&lt;="&amp;$C1145+INT(DIAS_POR_SEMANA/2),ROTACAO_RDM!$J$6:$J$71,"&gt;="&amp;$C1145+INT(DIAS_POR_SEMANA/2)),0)</f>
        <v>29</v>
      </c>
      <c r="J1145" s="16" t="n">
        <f aca="false">IFERROR(MATCH($I1145,ROTACAO_RDM!$B$6:$B$71,0),0)</f>
        <v>29</v>
      </c>
      <c r="K1145" s="8" t="str">
        <f aca="false">IF($J1145=0,"SEM CULTURA",INDEX(ROTACAO_RDM!$F$6:$F$71,$J1145))</f>
        <v>ALGODAO</v>
      </c>
      <c r="L1145" s="8" t="str">
        <f aca="false">IF($J1145=0,"",INDEX(ROTACAO_RDM!$G$6:$G$71,$J1145))</f>
        <v>FM 974 GLT</v>
      </c>
      <c r="M1145" s="17" t="n">
        <f aca="false">IF($J1145=0,"",INDEX(ROTACAO_RDM!$I$6:$I$71,$J1145))</f>
        <v>46356</v>
      </c>
      <c r="N1145" s="16" t="n">
        <f aca="false">IF($J1145=0,0,MAX(0,$C1145+INT(DIAS_POR_SEMANA/2)-INDEX(ROTACAO_RDM!$I$6:$I$71,$J1145)))</f>
        <v>31</v>
      </c>
      <c r="O1145" s="19" t="n">
        <f aca="false">IF($J1145=0,0,MIN(1,$N1145/MAX(1,INDEX(ROTACAO_RDM!$K$6:$K$71,$J1145))))</f>
        <v>0.158974358974359</v>
      </c>
      <c r="P1145" s="16" t="n">
        <f aca="false">IF($J1145=0,0,IFERROR(MATCH(INDEX(ROTACAO_RDM!$N$6:$N$71,$J1145),PARAMETROS_CULTURAS!$B$6:$B$28,0),0))</f>
        <v>5</v>
      </c>
      <c r="Q1145" s="8" t="str">
        <f aca="false">IF($P1145=0,"-",IF($O1145&lt;=INDEX(PARAMETROS_CULTURAS!$F$6:$F$28,$P1145),"INICIAL",IF($O1145&lt;=INDEX(PARAMETROS_CULTURAS!$F$6:$F$28,$P1145)+INDEX(PARAMETROS_CULTURAS!$G$6:$G$28,$P1145),"DESENVOLVIMENTO",IF($O1145&lt;=INDEX(PARAMETROS_CULTURAS!$F$6:$F$28,$P1145)+INDEX(PARAMETROS_CULTURAS!$G$6:$G$28,$P1145)+INDEX(PARAMETROS_CULTURAS!$H$6:$H$28,$P1145),"MEDIA","FINAL"))))</f>
        <v>DESENVOLVIMENTO</v>
      </c>
      <c r="R1145" s="24" t="n">
        <f aca="false">IF($P1145=0,0,IF($O1145&lt;=INDEX(PARAMETROS_CULTURAS!$F$6:$F$28,$P1145),INDEX(PARAMETROS_CULTURAS!$K$6:$K$28,$P1145),IF($O1145&lt;=INDEX(PARAMETROS_CULTURAS!$F$6:$F$28,$P1145)+INDEX(PARAMETROS_CULTURAS!$G$6:$G$28,$P1145),INDEX(PARAMETROS_CULTURAS!$K$6:$K$28,$P1145)+(INDEX(PARAMETROS_CULTURAS!$L$6:$L$28,$P1145)-INDEX(PARAMETROS_CULTURAS!$K$6:$K$28,$P1145))*($O1145-INDEX(PARAMETROS_CULTURAS!$F$6:$F$28,$P1145))/MAX(INDEX(PARAMETROS_CULTURAS!$G$6:$G$28,$P1145),0.0001),IF($O1145&lt;=INDEX(PARAMETROS_CULTURAS!$F$6:$F$28,$P1145)+INDEX(PARAMETROS_CULTURAS!$G$6:$G$28,$P1145)+INDEX(PARAMETROS_CULTURAS!$H$6:$H$28,$P1145),INDEX(PARAMETROS_CULTURAS!$L$6:$L$28,$P1145),INDEX(PARAMETROS_CULTURAS!$L$6:$L$28,$P1145)+(INDEX(PARAMETROS_CULTURAS!$M$6:$M$28,$P1145)-INDEX(PARAMETROS_CULTURAS!$L$6:$L$28,$P1145))*($O1145-INDEX(PARAMETROS_CULTURAS!$F$6:$F$28,$P1145)-INDEX(PARAMETROS_CULTURAS!$G$6:$G$28,$P1145)-INDEX(PARAMETROS_CULTURAS!$H$6:$H$28,$P1145))/MAX(INDEX(PARAMETROS_CULTURAS!$I$6:$I$28,$P1145),0.0001)))))</f>
        <v>0.377613412228797</v>
      </c>
      <c r="S1145" s="18" t="n">
        <f aca="false">IFERROR(INDEX(SEMANAS!$H$6:$H$71,MATCH($B1145,SEMANAS!$B$6:$B$71,0)),0)</f>
        <v>33.2</v>
      </c>
      <c r="T1145" s="18" t="n">
        <f aca="false">$R1145*$S1145</f>
        <v>12.5367652859961</v>
      </c>
      <c r="U1145" s="18" t="n">
        <f aca="false">IFERROR(INDEX(SEMANAS!$I$6:$I$71,MATCH($B1145,SEMANAS!$B$6:$B$71,0)),0)</f>
        <v>47.11</v>
      </c>
      <c r="V1145" s="18" t="n">
        <f aca="false">IFERROR(INDEX(SEMANAS!$J$6:$J$71,MATCH($B1145,SEMANAS!$B$6:$B$71,0)),0)</f>
        <v>37.688</v>
      </c>
      <c r="W1145" s="18" t="n">
        <f aca="false">MAX(0,$T1145-$V1145)</f>
        <v>0</v>
      </c>
      <c r="X1145" s="19" t="n">
        <f aca="false">IFERROR(INDEX(CADASTRO_PIVOS!$K$6:$K$41,MATCH($E1145,CADASTRO_PIVOS!$B$6:$B$41,0)),EFICIENCIA_PADRAO)</f>
        <v>0.85</v>
      </c>
      <c r="Y1145" s="18" t="n">
        <f aca="false">IF($X1145&lt;=0,0,$W1145/$X1145)</f>
        <v>0</v>
      </c>
      <c r="Z1145" s="16" t="n">
        <f aca="false">$Y1145*$H1145*MM_PARA_M3_HA</f>
        <v>0</v>
      </c>
      <c r="AA1145" s="18" t="n">
        <f aca="false">IFERROR(INDEX(CADASTRO_PIVOS!$I$6:$I$41,MATCH($E1145,CADASTRO_PIVOS!$B$6:$B$41,0)),0)</f>
        <v>1071</v>
      </c>
      <c r="AB1145" s="18" t="n">
        <f aca="false">IF($Z1145&lt;=0,0,$Z1145/$AA1145)</f>
        <v>0</v>
      </c>
      <c r="AC1145" s="16" t="n">
        <f aca="false">IFERROR(INDEX(SEMANAS!$K$6:$K$71,MATCH($B1145,SEMANAS!$B$6:$B$71,0)),0)</f>
        <v>147</v>
      </c>
      <c r="AD1145" s="19" t="n">
        <f aca="false">IF($AC1145&lt;=0,0,$AB1145/$AC1145)</f>
        <v>0</v>
      </c>
      <c r="AE1145" s="8" t="str">
        <f aca="false">IF($K1145="SEM CULTURA","SEM CULTURA",IF($AA1145&lt;=0,"DADO PENDENTE",IF($AD1145&gt;LIMITE_CRITICO,"INVIAVEL",IF($AD1145&gt;LIMITE_ATENCAO,"CRITICO",IF($AD1145&gt;LIMITE_CONFORTAVEL,"ATENCAO","OK")))))</f>
        <v>OK</v>
      </c>
      <c r="AF1145" s="8" t="str">
        <f aca="false">$B1145&amp;"|"&amp;TEXT($AD1145,"0.000000")</f>
        <v>18|0.000000</v>
      </c>
      <c r="AG1145" s="18" t="n">
        <f aca="false">IF($K1145="SEM CULTURA",0,$T1145*$H1145)</f>
        <v>1879.76258698225</v>
      </c>
      <c r="AH1145" s="18" t="n">
        <f aca="false">IF($K1145="SEM CULTURA",0,$V1145*$H1145)</f>
        <v>5650.93872</v>
      </c>
      <c r="AI1145" s="18" t="n">
        <f aca="false">IF($K1145="SEM CULTURA",0,$W1145*$H1145)</f>
        <v>0</v>
      </c>
      <c r="AJ1145" s="18" t="n">
        <f aca="false">IF($K1145="SEM CULTURA",0,$S1145*$H1145)</f>
        <v>4978.008</v>
      </c>
      <c r="AK1145" s="8" t="str">
        <f aca="false">$E1145&amp;"|"&amp;TEXT($AD1145,"0.000000")</f>
        <v>PV 117|0.000000</v>
      </c>
    </row>
    <row r="1146" customFormat="false" ht="15" hidden="false" customHeight="false" outlineLevel="0" collapsed="false">
      <c r="B1146" s="16" t="n">
        <v>19</v>
      </c>
      <c r="C1146" s="17" t="n">
        <f aca="false">DATA_INICIO_SAFRA+($B1146-1)*DIAS_POR_SEMANA</f>
        <v>46391</v>
      </c>
      <c r="D1146" s="17" t="n">
        <f aca="false">$C1146+DIAS_POR_SEMANA-1</f>
        <v>46397</v>
      </c>
      <c r="E1146" s="15" t="s">
        <v>276</v>
      </c>
      <c r="F1146" s="8" t="str">
        <f aca="false">IFERROR(INDEX(CADASTRO_PIVOS!$C$6:$C$41,MATCH($E1146,CADASTRO_PIVOS!$B$6:$B$41,0)),"?")</f>
        <v>RM06</v>
      </c>
      <c r="G1146" s="8" t="str">
        <f aca="false">IFERROR(INDEX(CADASTRO_PIVOS!$D$6:$D$41,MATCH($E1146,CADASTRO_PIVOS!$B$6:$B$41,0)),"?")</f>
        <v>TR06</v>
      </c>
      <c r="H1146" s="20" t="n">
        <f aca="false">IFERROR(INDEX(CADASTRO_PIVOS!$E$6:$E$41,MATCH($E1146,CADASTRO_PIVOS!$B$6:$B$41,0)),0)</f>
        <v>149.94</v>
      </c>
      <c r="I1146" s="16" t="n">
        <f aca="false">IFERROR(SUMIFS(ROTACAO_RDM!$B$6:$B$71,ROTACAO_RDM!$D$6:$D$71,$E1146,ROTACAO_RDM!$I$6:$I$71,"&lt;="&amp;$C1146+INT(DIAS_POR_SEMANA/2),ROTACAO_RDM!$J$6:$J$71,"&gt;="&amp;$C1146+INT(DIAS_POR_SEMANA/2)),0)</f>
        <v>29</v>
      </c>
      <c r="J1146" s="16" t="n">
        <f aca="false">IFERROR(MATCH($I1146,ROTACAO_RDM!$B$6:$B$71,0),0)</f>
        <v>29</v>
      </c>
      <c r="K1146" s="8" t="str">
        <f aca="false">IF($J1146=0,"SEM CULTURA",INDEX(ROTACAO_RDM!$F$6:$F$71,$J1146))</f>
        <v>ALGODAO</v>
      </c>
      <c r="L1146" s="8" t="str">
        <f aca="false">IF($J1146=0,"",INDEX(ROTACAO_RDM!$G$6:$G$71,$J1146))</f>
        <v>FM 974 GLT</v>
      </c>
      <c r="M1146" s="17" t="n">
        <f aca="false">IF($J1146=0,"",INDEX(ROTACAO_RDM!$I$6:$I$71,$J1146))</f>
        <v>46356</v>
      </c>
      <c r="N1146" s="16" t="n">
        <f aca="false">IF($J1146=0,0,MAX(0,$C1146+INT(DIAS_POR_SEMANA/2)-INDEX(ROTACAO_RDM!$I$6:$I$71,$J1146)))</f>
        <v>38</v>
      </c>
      <c r="O1146" s="19" t="n">
        <f aca="false">IF($J1146=0,0,MIN(1,$N1146/MAX(1,INDEX(ROTACAO_RDM!$K$6:$K$71,$J1146))))</f>
        <v>0.194871794871795</v>
      </c>
      <c r="P1146" s="16" t="n">
        <f aca="false">IF($J1146=0,0,IFERROR(MATCH(INDEX(ROTACAO_RDM!$N$6:$N$71,$J1146),PARAMETROS_CULTURAS!$B$6:$B$28,0),0))</f>
        <v>5</v>
      </c>
      <c r="Q1146" s="8" t="str">
        <f aca="false">IF($P1146=0,"-",IF($O1146&lt;=INDEX(PARAMETROS_CULTURAS!$F$6:$F$28,$P1146),"INICIAL",IF($O1146&lt;=INDEX(PARAMETROS_CULTURAS!$F$6:$F$28,$P1146)+INDEX(PARAMETROS_CULTURAS!$G$6:$G$28,$P1146),"DESENVOLVIMENTO",IF($O1146&lt;=INDEX(PARAMETROS_CULTURAS!$F$6:$F$28,$P1146)+INDEX(PARAMETROS_CULTURAS!$G$6:$G$28,$P1146)+INDEX(PARAMETROS_CULTURAS!$H$6:$H$28,$P1146),"MEDIA","FINAL"))))</f>
        <v>DESENVOLVIMENTO</v>
      </c>
      <c r="R1146" s="24" t="n">
        <f aca="false">IF($P1146=0,0,IF($O1146&lt;=INDEX(PARAMETROS_CULTURAS!$F$6:$F$28,$P1146),INDEX(PARAMETROS_CULTURAS!$K$6:$K$28,$P1146),IF($O1146&lt;=INDEX(PARAMETROS_CULTURAS!$F$6:$F$28,$P1146)+INDEX(PARAMETROS_CULTURAS!$G$6:$G$28,$P1146),INDEX(PARAMETROS_CULTURAS!$K$6:$K$28,$P1146)+(INDEX(PARAMETROS_CULTURAS!$L$6:$L$28,$P1146)-INDEX(PARAMETROS_CULTURAS!$K$6:$K$28,$P1146))*($O1146-INDEX(PARAMETROS_CULTURAS!$F$6:$F$28,$P1146))/MAX(INDEX(PARAMETROS_CULTURAS!$G$6:$G$28,$P1146),0.0001),IF($O1146&lt;=INDEX(PARAMETROS_CULTURAS!$F$6:$F$28,$P1146)+INDEX(PARAMETROS_CULTURAS!$G$6:$G$28,$P1146)+INDEX(PARAMETROS_CULTURAS!$H$6:$H$28,$P1146),INDEX(PARAMETROS_CULTURAS!$L$6:$L$28,$P1146),INDEX(PARAMETROS_CULTURAS!$L$6:$L$28,$P1146)+(INDEX(PARAMETROS_CULTURAS!$M$6:$M$28,$P1146)-INDEX(PARAMETROS_CULTURAS!$L$6:$L$28,$P1146))*($O1146-INDEX(PARAMETROS_CULTURAS!$F$6:$F$28,$P1146)-INDEX(PARAMETROS_CULTURAS!$G$6:$G$28,$P1146)-INDEX(PARAMETROS_CULTURAS!$H$6:$H$28,$P1146))/MAX(INDEX(PARAMETROS_CULTURAS!$I$6:$I$28,$P1146),0.0001)))))</f>
        <v>0.488067061143984</v>
      </c>
      <c r="S1146" s="18" t="n">
        <f aca="false">IFERROR(INDEX(SEMANAS!$H$6:$H$71,MATCH($B1146,SEMANAS!$B$6:$B$71,0)),0)</f>
        <v>33.6</v>
      </c>
      <c r="T1146" s="18" t="n">
        <f aca="false">$R1146*$S1146</f>
        <v>16.3990532544379</v>
      </c>
      <c r="U1146" s="18" t="n">
        <f aca="false">IFERROR(INDEX(SEMANAS!$I$6:$I$71,MATCH($B1146,SEMANAS!$B$6:$B$71,0)),0)</f>
        <v>45.15</v>
      </c>
      <c r="V1146" s="18" t="n">
        <f aca="false">IFERROR(INDEX(SEMANAS!$J$6:$J$71,MATCH($B1146,SEMANAS!$B$6:$B$71,0)),0)</f>
        <v>36.12</v>
      </c>
      <c r="W1146" s="18" t="n">
        <f aca="false">MAX(0,$T1146-$V1146)</f>
        <v>0</v>
      </c>
      <c r="X1146" s="19" t="n">
        <f aca="false">IFERROR(INDEX(CADASTRO_PIVOS!$K$6:$K$41,MATCH($E1146,CADASTRO_PIVOS!$B$6:$B$41,0)),EFICIENCIA_PADRAO)</f>
        <v>0.85</v>
      </c>
      <c r="Y1146" s="18" t="n">
        <f aca="false">IF($X1146&lt;=0,0,$W1146/$X1146)</f>
        <v>0</v>
      </c>
      <c r="Z1146" s="16" t="n">
        <f aca="false">$Y1146*$H1146*MM_PARA_M3_HA</f>
        <v>0</v>
      </c>
      <c r="AA1146" s="18" t="n">
        <f aca="false">IFERROR(INDEX(CADASTRO_PIVOS!$I$6:$I$41,MATCH($E1146,CADASTRO_PIVOS!$B$6:$B$41,0)),0)</f>
        <v>1071</v>
      </c>
      <c r="AB1146" s="18" t="n">
        <f aca="false">IF($Z1146&lt;=0,0,$Z1146/$AA1146)</f>
        <v>0</v>
      </c>
      <c r="AC1146" s="16" t="n">
        <f aca="false">IFERROR(INDEX(SEMANAS!$K$6:$K$71,MATCH($B1146,SEMANAS!$B$6:$B$71,0)),0)</f>
        <v>147</v>
      </c>
      <c r="AD1146" s="19" t="n">
        <f aca="false">IF($AC1146&lt;=0,0,$AB1146/$AC1146)</f>
        <v>0</v>
      </c>
      <c r="AE1146" s="8" t="str">
        <f aca="false">IF($K1146="SEM CULTURA","SEM CULTURA",IF($AA1146&lt;=0,"DADO PENDENTE",IF($AD1146&gt;LIMITE_CRITICO,"INVIAVEL",IF($AD1146&gt;LIMITE_ATENCAO,"CRITICO",IF($AD1146&gt;LIMITE_CONFORTAVEL,"ATENCAO","OK")))))</f>
        <v>OK</v>
      </c>
      <c r="AF1146" s="8" t="str">
        <f aca="false">$B1146&amp;"|"&amp;TEXT($AD1146,"0.000000")</f>
        <v>19|0.000000</v>
      </c>
      <c r="AG1146" s="18" t="n">
        <f aca="false">IF($K1146="SEM CULTURA",0,$T1146*$H1146)</f>
        <v>2458.87404497041</v>
      </c>
      <c r="AH1146" s="18" t="n">
        <f aca="false">IF($K1146="SEM CULTURA",0,$V1146*$H1146)</f>
        <v>5415.8328</v>
      </c>
      <c r="AI1146" s="18" t="n">
        <f aca="false">IF($K1146="SEM CULTURA",0,$W1146*$H1146)</f>
        <v>0</v>
      </c>
      <c r="AJ1146" s="18" t="n">
        <f aca="false">IF($K1146="SEM CULTURA",0,$S1146*$H1146)</f>
        <v>5037.984</v>
      </c>
      <c r="AK1146" s="8" t="str">
        <f aca="false">$E1146&amp;"|"&amp;TEXT($AD1146,"0.000000")</f>
        <v>PV 117|0.000000</v>
      </c>
    </row>
    <row r="1147" customFormat="false" ht="15" hidden="false" customHeight="false" outlineLevel="0" collapsed="false">
      <c r="B1147" s="16" t="n">
        <v>20</v>
      </c>
      <c r="C1147" s="17" t="n">
        <f aca="false">DATA_INICIO_SAFRA+($B1147-1)*DIAS_POR_SEMANA</f>
        <v>46398</v>
      </c>
      <c r="D1147" s="17" t="n">
        <f aca="false">$C1147+DIAS_POR_SEMANA-1</f>
        <v>46404</v>
      </c>
      <c r="E1147" s="15" t="s">
        <v>276</v>
      </c>
      <c r="F1147" s="8" t="str">
        <f aca="false">IFERROR(INDEX(CADASTRO_PIVOS!$C$6:$C$41,MATCH($E1147,CADASTRO_PIVOS!$B$6:$B$41,0)),"?")</f>
        <v>RM06</v>
      </c>
      <c r="G1147" s="8" t="str">
        <f aca="false">IFERROR(INDEX(CADASTRO_PIVOS!$D$6:$D$41,MATCH($E1147,CADASTRO_PIVOS!$B$6:$B$41,0)),"?")</f>
        <v>TR06</v>
      </c>
      <c r="H1147" s="20" t="n">
        <f aca="false">IFERROR(INDEX(CADASTRO_PIVOS!$E$6:$E$41,MATCH($E1147,CADASTRO_PIVOS!$B$6:$B$41,0)),0)</f>
        <v>149.94</v>
      </c>
      <c r="I1147" s="16" t="n">
        <f aca="false">IFERROR(SUMIFS(ROTACAO_RDM!$B$6:$B$71,ROTACAO_RDM!$D$6:$D$71,$E1147,ROTACAO_RDM!$I$6:$I$71,"&lt;="&amp;$C1147+INT(DIAS_POR_SEMANA/2),ROTACAO_RDM!$J$6:$J$71,"&gt;="&amp;$C1147+INT(DIAS_POR_SEMANA/2)),0)</f>
        <v>29</v>
      </c>
      <c r="J1147" s="16" t="n">
        <f aca="false">IFERROR(MATCH($I1147,ROTACAO_RDM!$B$6:$B$71,0),0)</f>
        <v>29</v>
      </c>
      <c r="K1147" s="8" t="str">
        <f aca="false">IF($J1147=0,"SEM CULTURA",INDEX(ROTACAO_RDM!$F$6:$F$71,$J1147))</f>
        <v>ALGODAO</v>
      </c>
      <c r="L1147" s="8" t="str">
        <f aca="false">IF($J1147=0,"",INDEX(ROTACAO_RDM!$G$6:$G$71,$J1147))</f>
        <v>FM 974 GLT</v>
      </c>
      <c r="M1147" s="17" t="n">
        <f aca="false">IF($J1147=0,"",INDEX(ROTACAO_RDM!$I$6:$I$71,$J1147))</f>
        <v>46356</v>
      </c>
      <c r="N1147" s="16" t="n">
        <f aca="false">IF($J1147=0,0,MAX(0,$C1147+INT(DIAS_POR_SEMANA/2)-INDEX(ROTACAO_RDM!$I$6:$I$71,$J1147)))</f>
        <v>45</v>
      </c>
      <c r="O1147" s="19" t="n">
        <f aca="false">IF($J1147=0,0,MIN(1,$N1147/MAX(1,INDEX(ROTACAO_RDM!$K$6:$K$71,$J1147))))</f>
        <v>0.230769230769231</v>
      </c>
      <c r="P1147" s="16" t="n">
        <f aca="false">IF($J1147=0,0,IFERROR(MATCH(INDEX(ROTACAO_RDM!$N$6:$N$71,$J1147),PARAMETROS_CULTURAS!$B$6:$B$28,0),0))</f>
        <v>5</v>
      </c>
      <c r="Q1147" s="8" t="str">
        <f aca="false">IF($P1147=0,"-",IF($O1147&lt;=INDEX(PARAMETROS_CULTURAS!$F$6:$F$28,$P1147),"INICIAL",IF($O1147&lt;=INDEX(PARAMETROS_CULTURAS!$F$6:$F$28,$P1147)+INDEX(PARAMETROS_CULTURAS!$G$6:$G$28,$P1147),"DESENVOLVIMENTO",IF($O1147&lt;=INDEX(PARAMETROS_CULTURAS!$F$6:$F$28,$P1147)+INDEX(PARAMETROS_CULTURAS!$G$6:$G$28,$P1147)+INDEX(PARAMETROS_CULTURAS!$H$6:$H$28,$P1147),"MEDIA","FINAL"))))</f>
        <v>DESENVOLVIMENTO</v>
      </c>
      <c r="R1147" s="24" t="n">
        <f aca="false">IF($P1147=0,0,IF($O1147&lt;=INDEX(PARAMETROS_CULTURAS!$F$6:$F$28,$P1147),INDEX(PARAMETROS_CULTURAS!$K$6:$K$28,$P1147),IF($O1147&lt;=INDEX(PARAMETROS_CULTURAS!$F$6:$F$28,$P1147)+INDEX(PARAMETROS_CULTURAS!$G$6:$G$28,$P1147),INDEX(PARAMETROS_CULTURAS!$K$6:$K$28,$P1147)+(INDEX(PARAMETROS_CULTURAS!$L$6:$L$28,$P1147)-INDEX(PARAMETROS_CULTURAS!$K$6:$K$28,$P1147))*($O1147-INDEX(PARAMETROS_CULTURAS!$F$6:$F$28,$P1147))/MAX(INDEX(PARAMETROS_CULTURAS!$G$6:$G$28,$P1147),0.0001),IF($O1147&lt;=INDEX(PARAMETROS_CULTURAS!$F$6:$F$28,$P1147)+INDEX(PARAMETROS_CULTURAS!$G$6:$G$28,$P1147)+INDEX(PARAMETROS_CULTURAS!$H$6:$H$28,$P1147),INDEX(PARAMETROS_CULTURAS!$L$6:$L$28,$P1147),INDEX(PARAMETROS_CULTURAS!$L$6:$L$28,$P1147)+(INDEX(PARAMETROS_CULTURAS!$M$6:$M$28,$P1147)-INDEX(PARAMETROS_CULTURAS!$L$6:$L$28,$P1147))*($O1147-INDEX(PARAMETROS_CULTURAS!$F$6:$F$28,$P1147)-INDEX(PARAMETROS_CULTURAS!$G$6:$G$28,$P1147)-INDEX(PARAMETROS_CULTURAS!$H$6:$H$28,$P1147))/MAX(INDEX(PARAMETROS_CULTURAS!$I$6:$I$28,$P1147),0.0001)))))</f>
        <v>0.598520710059172</v>
      </c>
      <c r="S1147" s="18" t="n">
        <f aca="false">IFERROR(INDEX(SEMANAS!$H$6:$H$71,MATCH($B1147,SEMANAS!$B$6:$B$71,0)),0)</f>
        <v>33.6</v>
      </c>
      <c r="T1147" s="18" t="n">
        <f aca="false">$R1147*$S1147</f>
        <v>20.1102958579882</v>
      </c>
      <c r="U1147" s="18" t="n">
        <f aca="false">IFERROR(INDEX(SEMANAS!$I$6:$I$71,MATCH($B1147,SEMANAS!$B$6:$B$71,0)),0)</f>
        <v>45.15</v>
      </c>
      <c r="V1147" s="18" t="n">
        <f aca="false">IFERROR(INDEX(SEMANAS!$J$6:$J$71,MATCH($B1147,SEMANAS!$B$6:$B$71,0)),0)</f>
        <v>36.12</v>
      </c>
      <c r="W1147" s="18" t="n">
        <f aca="false">MAX(0,$T1147-$V1147)</f>
        <v>0</v>
      </c>
      <c r="X1147" s="19" t="n">
        <f aca="false">IFERROR(INDEX(CADASTRO_PIVOS!$K$6:$K$41,MATCH($E1147,CADASTRO_PIVOS!$B$6:$B$41,0)),EFICIENCIA_PADRAO)</f>
        <v>0.85</v>
      </c>
      <c r="Y1147" s="18" t="n">
        <f aca="false">IF($X1147&lt;=0,0,$W1147/$X1147)</f>
        <v>0</v>
      </c>
      <c r="Z1147" s="16" t="n">
        <f aca="false">$Y1147*$H1147*MM_PARA_M3_HA</f>
        <v>0</v>
      </c>
      <c r="AA1147" s="18" t="n">
        <f aca="false">IFERROR(INDEX(CADASTRO_PIVOS!$I$6:$I$41,MATCH($E1147,CADASTRO_PIVOS!$B$6:$B$41,0)),0)</f>
        <v>1071</v>
      </c>
      <c r="AB1147" s="18" t="n">
        <f aca="false">IF($Z1147&lt;=0,0,$Z1147/$AA1147)</f>
        <v>0</v>
      </c>
      <c r="AC1147" s="16" t="n">
        <f aca="false">IFERROR(INDEX(SEMANAS!$K$6:$K$71,MATCH($B1147,SEMANAS!$B$6:$B$71,0)),0)</f>
        <v>147</v>
      </c>
      <c r="AD1147" s="19" t="n">
        <f aca="false">IF($AC1147&lt;=0,0,$AB1147/$AC1147)</f>
        <v>0</v>
      </c>
      <c r="AE1147" s="8" t="str">
        <f aca="false">IF($K1147="SEM CULTURA","SEM CULTURA",IF($AA1147&lt;=0,"DADO PENDENTE",IF($AD1147&gt;LIMITE_CRITICO,"INVIAVEL",IF($AD1147&gt;LIMITE_ATENCAO,"CRITICO",IF($AD1147&gt;LIMITE_CONFORTAVEL,"ATENCAO","OK")))))</f>
        <v>OK</v>
      </c>
      <c r="AF1147" s="8" t="str">
        <f aca="false">$B1147&amp;"|"&amp;TEXT($AD1147,"0.000000")</f>
        <v>20|0.000000</v>
      </c>
      <c r="AG1147" s="18" t="n">
        <f aca="false">IF($K1147="SEM CULTURA",0,$T1147*$H1147)</f>
        <v>3015.33776094675</v>
      </c>
      <c r="AH1147" s="18" t="n">
        <f aca="false">IF($K1147="SEM CULTURA",0,$V1147*$H1147)</f>
        <v>5415.8328</v>
      </c>
      <c r="AI1147" s="18" t="n">
        <f aca="false">IF($K1147="SEM CULTURA",0,$W1147*$H1147)</f>
        <v>0</v>
      </c>
      <c r="AJ1147" s="18" t="n">
        <f aca="false">IF($K1147="SEM CULTURA",0,$S1147*$H1147)</f>
        <v>5037.984</v>
      </c>
      <c r="AK1147" s="8" t="str">
        <f aca="false">$E1147&amp;"|"&amp;TEXT($AD1147,"0.000000")</f>
        <v>PV 117|0.000000</v>
      </c>
    </row>
    <row r="1148" customFormat="false" ht="15" hidden="false" customHeight="false" outlineLevel="0" collapsed="false">
      <c r="B1148" s="16" t="n">
        <v>21</v>
      </c>
      <c r="C1148" s="17" t="n">
        <f aca="false">DATA_INICIO_SAFRA+($B1148-1)*DIAS_POR_SEMANA</f>
        <v>46405</v>
      </c>
      <c r="D1148" s="17" t="n">
        <f aca="false">$C1148+DIAS_POR_SEMANA-1</f>
        <v>46411</v>
      </c>
      <c r="E1148" s="15" t="s">
        <v>276</v>
      </c>
      <c r="F1148" s="8" t="str">
        <f aca="false">IFERROR(INDEX(CADASTRO_PIVOS!$C$6:$C$41,MATCH($E1148,CADASTRO_PIVOS!$B$6:$B$41,0)),"?")</f>
        <v>RM06</v>
      </c>
      <c r="G1148" s="8" t="str">
        <f aca="false">IFERROR(INDEX(CADASTRO_PIVOS!$D$6:$D$41,MATCH($E1148,CADASTRO_PIVOS!$B$6:$B$41,0)),"?")</f>
        <v>TR06</v>
      </c>
      <c r="H1148" s="20" t="n">
        <f aca="false">IFERROR(INDEX(CADASTRO_PIVOS!$E$6:$E$41,MATCH($E1148,CADASTRO_PIVOS!$B$6:$B$41,0)),0)</f>
        <v>149.94</v>
      </c>
      <c r="I1148" s="16" t="n">
        <f aca="false">IFERROR(SUMIFS(ROTACAO_RDM!$B$6:$B$71,ROTACAO_RDM!$D$6:$D$71,$E1148,ROTACAO_RDM!$I$6:$I$71,"&lt;="&amp;$C1148+INT(DIAS_POR_SEMANA/2),ROTACAO_RDM!$J$6:$J$71,"&gt;="&amp;$C1148+INT(DIAS_POR_SEMANA/2)),0)</f>
        <v>29</v>
      </c>
      <c r="J1148" s="16" t="n">
        <f aca="false">IFERROR(MATCH($I1148,ROTACAO_RDM!$B$6:$B$71,0),0)</f>
        <v>29</v>
      </c>
      <c r="K1148" s="8" t="str">
        <f aca="false">IF($J1148=0,"SEM CULTURA",INDEX(ROTACAO_RDM!$F$6:$F$71,$J1148))</f>
        <v>ALGODAO</v>
      </c>
      <c r="L1148" s="8" t="str">
        <f aca="false">IF($J1148=0,"",INDEX(ROTACAO_RDM!$G$6:$G$71,$J1148))</f>
        <v>FM 974 GLT</v>
      </c>
      <c r="M1148" s="17" t="n">
        <f aca="false">IF($J1148=0,"",INDEX(ROTACAO_RDM!$I$6:$I$71,$J1148))</f>
        <v>46356</v>
      </c>
      <c r="N1148" s="16" t="n">
        <f aca="false">IF($J1148=0,0,MAX(0,$C1148+INT(DIAS_POR_SEMANA/2)-INDEX(ROTACAO_RDM!$I$6:$I$71,$J1148)))</f>
        <v>52</v>
      </c>
      <c r="O1148" s="19" t="n">
        <f aca="false">IF($J1148=0,0,MIN(1,$N1148/MAX(1,INDEX(ROTACAO_RDM!$K$6:$K$71,$J1148))))</f>
        <v>0.266666666666667</v>
      </c>
      <c r="P1148" s="16" t="n">
        <f aca="false">IF($J1148=0,0,IFERROR(MATCH(INDEX(ROTACAO_RDM!$N$6:$N$71,$J1148),PARAMETROS_CULTURAS!$B$6:$B$28,0),0))</f>
        <v>5</v>
      </c>
      <c r="Q1148" s="8" t="str">
        <f aca="false">IF($P1148=0,"-",IF($O1148&lt;=INDEX(PARAMETROS_CULTURAS!$F$6:$F$28,$P1148),"INICIAL",IF($O1148&lt;=INDEX(PARAMETROS_CULTURAS!$F$6:$F$28,$P1148)+INDEX(PARAMETROS_CULTURAS!$G$6:$G$28,$P1148),"DESENVOLVIMENTO",IF($O1148&lt;=INDEX(PARAMETROS_CULTURAS!$F$6:$F$28,$P1148)+INDEX(PARAMETROS_CULTURAS!$G$6:$G$28,$P1148)+INDEX(PARAMETROS_CULTURAS!$H$6:$H$28,$P1148),"MEDIA","FINAL"))))</f>
        <v>DESENVOLVIMENTO</v>
      </c>
      <c r="R1148" s="24" t="n">
        <f aca="false">IF($P1148=0,0,IF($O1148&lt;=INDEX(PARAMETROS_CULTURAS!$F$6:$F$28,$P1148),INDEX(PARAMETROS_CULTURAS!$K$6:$K$28,$P1148),IF($O1148&lt;=INDEX(PARAMETROS_CULTURAS!$F$6:$F$28,$P1148)+INDEX(PARAMETROS_CULTURAS!$G$6:$G$28,$P1148),INDEX(PARAMETROS_CULTURAS!$K$6:$K$28,$P1148)+(INDEX(PARAMETROS_CULTURAS!$L$6:$L$28,$P1148)-INDEX(PARAMETROS_CULTURAS!$K$6:$K$28,$P1148))*($O1148-INDEX(PARAMETROS_CULTURAS!$F$6:$F$28,$P1148))/MAX(INDEX(PARAMETROS_CULTURAS!$G$6:$G$28,$P1148),0.0001),IF($O1148&lt;=INDEX(PARAMETROS_CULTURAS!$F$6:$F$28,$P1148)+INDEX(PARAMETROS_CULTURAS!$G$6:$G$28,$P1148)+INDEX(PARAMETROS_CULTURAS!$H$6:$H$28,$P1148),INDEX(PARAMETROS_CULTURAS!$L$6:$L$28,$P1148),INDEX(PARAMETROS_CULTURAS!$L$6:$L$28,$P1148)+(INDEX(PARAMETROS_CULTURAS!$M$6:$M$28,$P1148)-INDEX(PARAMETROS_CULTURAS!$L$6:$L$28,$P1148))*($O1148-INDEX(PARAMETROS_CULTURAS!$F$6:$F$28,$P1148)-INDEX(PARAMETROS_CULTURAS!$G$6:$G$28,$P1148)-INDEX(PARAMETROS_CULTURAS!$H$6:$H$28,$P1148))/MAX(INDEX(PARAMETROS_CULTURAS!$I$6:$I$28,$P1148),0.0001)))))</f>
        <v>0.708974358974359</v>
      </c>
      <c r="S1148" s="18" t="n">
        <f aca="false">IFERROR(INDEX(SEMANAS!$H$6:$H$71,MATCH($B1148,SEMANAS!$B$6:$B$71,0)),0)</f>
        <v>33.6</v>
      </c>
      <c r="T1148" s="18" t="n">
        <f aca="false">$R1148*$S1148</f>
        <v>23.8215384615385</v>
      </c>
      <c r="U1148" s="18" t="n">
        <f aca="false">IFERROR(INDEX(SEMANAS!$I$6:$I$71,MATCH($B1148,SEMANAS!$B$6:$B$71,0)),0)</f>
        <v>45.15</v>
      </c>
      <c r="V1148" s="18" t="n">
        <f aca="false">IFERROR(INDEX(SEMANAS!$J$6:$J$71,MATCH($B1148,SEMANAS!$B$6:$B$71,0)),0)</f>
        <v>36.12</v>
      </c>
      <c r="W1148" s="18" t="n">
        <f aca="false">MAX(0,$T1148-$V1148)</f>
        <v>0</v>
      </c>
      <c r="X1148" s="19" t="n">
        <f aca="false">IFERROR(INDEX(CADASTRO_PIVOS!$K$6:$K$41,MATCH($E1148,CADASTRO_PIVOS!$B$6:$B$41,0)),EFICIENCIA_PADRAO)</f>
        <v>0.85</v>
      </c>
      <c r="Y1148" s="18" t="n">
        <f aca="false">IF($X1148&lt;=0,0,$W1148/$X1148)</f>
        <v>0</v>
      </c>
      <c r="Z1148" s="16" t="n">
        <f aca="false">$Y1148*$H1148*MM_PARA_M3_HA</f>
        <v>0</v>
      </c>
      <c r="AA1148" s="18" t="n">
        <f aca="false">IFERROR(INDEX(CADASTRO_PIVOS!$I$6:$I$41,MATCH($E1148,CADASTRO_PIVOS!$B$6:$B$41,0)),0)</f>
        <v>1071</v>
      </c>
      <c r="AB1148" s="18" t="n">
        <f aca="false">IF($Z1148&lt;=0,0,$Z1148/$AA1148)</f>
        <v>0</v>
      </c>
      <c r="AC1148" s="16" t="n">
        <f aca="false">IFERROR(INDEX(SEMANAS!$K$6:$K$71,MATCH($B1148,SEMANAS!$B$6:$B$71,0)),0)</f>
        <v>147</v>
      </c>
      <c r="AD1148" s="19" t="n">
        <f aca="false">IF($AC1148&lt;=0,0,$AB1148/$AC1148)</f>
        <v>0</v>
      </c>
      <c r="AE1148" s="8" t="str">
        <f aca="false">IF($K1148="SEM CULTURA","SEM CULTURA",IF($AA1148&lt;=0,"DADO PENDENTE",IF($AD1148&gt;LIMITE_CRITICO,"INVIAVEL",IF($AD1148&gt;LIMITE_ATENCAO,"CRITICO",IF($AD1148&gt;LIMITE_CONFORTAVEL,"ATENCAO","OK")))))</f>
        <v>OK</v>
      </c>
      <c r="AF1148" s="8" t="str">
        <f aca="false">$B1148&amp;"|"&amp;TEXT($AD1148,"0.000000")</f>
        <v>21|0.000000</v>
      </c>
      <c r="AG1148" s="18" t="n">
        <f aca="false">IF($K1148="SEM CULTURA",0,$T1148*$H1148)</f>
        <v>3571.80147692308</v>
      </c>
      <c r="AH1148" s="18" t="n">
        <f aca="false">IF($K1148="SEM CULTURA",0,$V1148*$H1148)</f>
        <v>5415.8328</v>
      </c>
      <c r="AI1148" s="18" t="n">
        <f aca="false">IF($K1148="SEM CULTURA",0,$W1148*$H1148)</f>
        <v>0</v>
      </c>
      <c r="AJ1148" s="18" t="n">
        <f aca="false">IF($K1148="SEM CULTURA",0,$S1148*$H1148)</f>
        <v>5037.984</v>
      </c>
      <c r="AK1148" s="8" t="str">
        <f aca="false">$E1148&amp;"|"&amp;TEXT($AD1148,"0.000000")</f>
        <v>PV 117|0.000000</v>
      </c>
    </row>
    <row r="1149" customFormat="false" ht="15" hidden="false" customHeight="false" outlineLevel="0" collapsed="false">
      <c r="B1149" s="16" t="n">
        <v>22</v>
      </c>
      <c r="C1149" s="17" t="n">
        <f aca="false">DATA_INICIO_SAFRA+($B1149-1)*DIAS_POR_SEMANA</f>
        <v>46412</v>
      </c>
      <c r="D1149" s="17" t="n">
        <f aca="false">$C1149+DIAS_POR_SEMANA-1</f>
        <v>46418</v>
      </c>
      <c r="E1149" s="15" t="s">
        <v>276</v>
      </c>
      <c r="F1149" s="8" t="str">
        <f aca="false">IFERROR(INDEX(CADASTRO_PIVOS!$C$6:$C$41,MATCH($E1149,CADASTRO_PIVOS!$B$6:$B$41,0)),"?")</f>
        <v>RM06</v>
      </c>
      <c r="G1149" s="8" t="str">
        <f aca="false">IFERROR(INDEX(CADASTRO_PIVOS!$D$6:$D$41,MATCH($E1149,CADASTRO_PIVOS!$B$6:$B$41,0)),"?")</f>
        <v>TR06</v>
      </c>
      <c r="H1149" s="20" t="n">
        <f aca="false">IFERROR(INDEX(CADASTRO_PIVOS!$E$6:$E$41,MATCH($E1149,CADASTRO_PIVOS!$B$6:$B$41,0)),0)</f>
        <v>149.94</v>
      </c>
      <c r="I1149" s="16" t="n">
        <f aca="false">IFERROR(SUMIFS(ROTACAO_RDM!$B$6:$B$71,ROTACAO_RDM!$D$6:$D$71,$E1149,ROTACAO_RDM!$I$6:$I$71,"&lt;="&amp;$C1149+INT(DIAS_POR_SEMANA/2),ROTACAO_RDM!$J$6:$J$71,"&gt;="&amp;$C1149+INT(DIAS_POR_SEMANA/2)),0)</f>
        <v>29</v>
      </c>
      <c r="J1149" s="16" t="n">
        <f aca="false">IFERROR(MATCH($I1149,ROTACAO_RDM!$B$6:$B$71,0),0)</f>
        <v>29</v>
      </c>
      <c r="K1149" s="8" t="str">
        <f aca="false">IF($J1149=0,"SEM CULTURA",INDEX(ROTACAO_RDM!$F$6:$F$71,$J1149))</f>
        <v>ALGODAO</v>
      </c>
      <c r="L1149" s="8" t="str">
        <f aca="false">IF($J1149=0,"",INDEX(ROTACAO_RDM!$G$6:$G$71,$J1149))</f>
        <v>FM 974 GLT</v>
      </c>
      <c r="M1149" s="17" t="n">
        <f aca="false">IF($J1149=0,"",INDEX(ROTACAO_RDM!$I$6:$I$71,$J1149))</f>
        <v>46356</v>
      </c>
      <c r="N1149" s="16" t="n">
        <f aca="false">IF($J1149=0,0,MAX(0,$C1149+INT(DIAS_POR_SEMANA/2)-INDEX(ROTACAO_RDM!$I$6:$I$71,$J1149)))</f>
        <v>59</v>
      </c>
      <c r="O1149" s="19" t="n">
        <f aca="false">IF($J1149=0,0,MIN(1,$N1149/MAX(1,INDEX(ROTACAO_RDM!$K$6:$K$71,$J1149))))</f>
        <v>0.302564102564103</v>
      </c>
      <c r="P1149" s="16" t="n">
        <f aca="false">IF($J1149=0,0,IFERROR(MATCH(INDEX(ROTACAO_RDM!$N$6:$N$71,$J1149),PARAMETROS_CULTURAS!$B$6:$B$28,0),0))</f>
        <v>5</v>
      </c>
      <c r="Q1149" s="8" t="str">
        <f aca="false">IF($P1149=0,"-",IF($O1149&lt;=INDEX(PARAMETROS_CULTURAS!$F$6:$F$28,$P1149),"INICIAL",IF($O1149&lt;=INDEX(PARAMETROS_CULTURAS!$F$6:$F$28,$P1149)+INDEX(PARAMETROS_CULTURAS!$G$6:$G$28,$P1149),"DESENVOLVIMENTO",IF($O1149&lt;=INDEX(PARAMETROS_CULTURAS!$F$6:$F$28,$P1149)+INDEX(PARAMETROS_CULTURAS!$G$6:$G$28,$P1149)+INDEX(PARAMETROS_CULTURAS!$H$6:$H$28,$P1149),"MEDIA","FINAL"))))</f>
        <v>DESENVOLVIMENTO</v>
      </c>
      <c r="R1149" s="24" t="n">
        <f aca="false">IF($P1149=0,0,IF($O1149&lt;=INDEX(PARAMETROS_CULTURAS!$F$6:$F$28,$P1149),INDEX(PARAMETROS_CULTURAS!$K$6:$K$28,$P1149),IF($O1149&lt;=INDEX(PARAMETROS_CULTURAS!$F$6:$F$28,$P1149)+INDEX(PARAMETROS_CULTURAS!$G$6:$G$28,$P1149),INDEX(PARAMETROS_CULTURAS!$K$6:$K$28,$P1149)+(INDEX(PARAMETROS_CULTURAS!$L$6:$L$28,$P1149)-INDEX(PARAMETROS_CULTURAS!$K$6:$K$28,$P1149))*($O1149-INDEX(PARAMETROS_CULTURAS!$F$6:$F$28,$P1149))/MAX(INDEX(PARAMETROS_CULTURAS!$G$6:$G$28,$P1149),0.0001),IF($O1149&lt;=INDEX(PARAMETROS_CULTURAS!$F$6:$F$28,$P1149)+INDEX(PARAMETROS_CULTURAS!$G$6:$G$28,$P1149)+INDEX(PARAMETROS_CULTURAS!$H$6:$H$28,$P1149),INDEX(PARAMETROS_CULTURAS!$L$6:$L$28,$P1149),INDEX(PARAMETROS_CULTURAS!$L$6:$L$28,$P1149)+(INDEX(PARAMETROS_CULTURAS!$M$6:$M$28,$P1149)-INDEX(PARAMETROS_CULTURAS!$L$6:$L$28,$P1149))*($O1149-INDEX(PARAMETROS_CULTURAS!$F$6:$F$28,$P1149)-INDEX(PARAMETROS_CULTURAS!$G$6:$G$28,$P1149)-INDEX(PARAMETROS_CULTURAS!$H$6:$H$28,$P1149))/MAX(INDEX(PARAMETROS_CULTURAS!$I$6:$I$28,$P1149),0.0001)))))</f>
        <v>0.819428007889546</v>
      </c>
      <c r="S1149" s="18" t="n">
        <f aca="false">IFERROR(INDEX(SEMANAS!$H$6:$H$71,MATCH($B1149,SEMANAS!$B$6:$B$71,0)),0)</f>
        <v>33.6</v>
      </c>
      <c r="T1149" s="18" t="n">
        <f aca="false">$R1149*$S1149</f>
        <v>27.5327810650888</v>
      </c>
      <c r="U1149" s="18" t="n">
        <f aca="false">IFERROR(INDEX(SEMANAS!$I$6:$I$71,MATCH($B1149,SEMANAS!$B$6:$B$71,0)),0)</f>
        <v>45.15</v>
      </c>
      <c r="V1149" s="18" t="n">
        <f aca="false">IFERROR(INDEX(SEMANAS!$J$6:$J$71,MATCH($B1149,SEMANAS!$B$6:$B$71,0)),0)</f>
        <v>36.12</v>
      </c>
      <c r="W1149" s="18" t="n">
        <f aca="false">MAX(0,$T1149-$V1149)</f>
        <v>0</v>
      </c>
      <c r="X1149" s="19" t="n">
        <f aca="false">IFERROR(INDEX(CADASTRO_PIVOS!$K$6:$K$41,MATCH($E1149,CADASTRO_PIVOS!$B$6:$B$41,0)),EFICIENCIA_PADRAO)</f>
        <v>0.85</v>
      </c>
      <c r="Y1149" s="18" t="n">
        <f aca="false">IF($X1149&lt;=0,0,$W1149/$X1149)</f>
        <v>0</v>
      </c>
      <c r="Z1149" s="16" t="n">
        <f aca="false">$Y1149*$H1149*MM_PARA_M3_HA</f>
        <v>0</v>
      </c>
      <c r="AA1149" s="18" t="n">
        <f aca="false">IFERROR(INDEX(CADASTRO_PIVOS!$I$6:$I$41,MATCH($E1149,CADASTRO_PIVOS!$B$6:$B$41,0)),0)</f>
        <v>1071</v>
      </c>
      <c r="AB1149" s="18" t="n">
        <f aca="false">IF($Z1149&lt;=0,0,$Z1149/$AA1149)</f>
        <v>0</v>
      </c>
      <c r="AC1149" s="16" t="n">
        <f aca="false">IFERROR(INDEX(SEMANAS!$K$6:$K$71,MATCH($B1149,SEMANAS!$B$6:$B$71,0)),0)</f>
        <v>147</v>
      </c>
      <c r="AD1149" s="19" t="n">
        <f aca="false">IF($AC1149&lt;=0,0,$AB1149/$AC1149)</f>
        <v>0</v>
      </c>
      <c r="AE1149" s="8" t="str">
        <f aca="false">IF($K1149="SEM CULTURA","SEM CULTURA",IF($AA1149&lt;=0,"DADO PENDENTE",IF($AD1149&gt;LIMITE_CRITICO,"INVIAVEL",IF($AD1149&gt;LIMITE_ATENCAO,"CRITICO",IF($AD1149&gt;LIMITE_CONFORTAVEL,"ATENCAO","OK")))))</f>
        <v>OK</v>
      </c>
      <c r="AF1149" s="8" t="str">
        <f aca="false">$B1149&amp;"|"&amp;TEXT($AD1149,"0.000000")</f>
        <v>22|0.000000</v>
      </c>
      <c r="AG1149" s="18" t="n">
        <f aca="false">IF($K1149="SEM CULTURA",0,$T1149*$H1149)</f>
        <v>4128.26519289941</v>
      </c>
      <c r="AH1149" s="18" t="n">
        <f aca="false">IF($K1149="SEM CULTURA",0,$V1149*$H1149)</f>
        <v>5415.8328</v>
      </c>
      <c r="AI1149" s="18" t="n">
        <f aca="false">IF($K1149="SEM CULTURA",0,$W1149*$H1149)</f>
        <v>0</v>
      </c>
      <c r="AJ1149" s="18" t="n">
        <f aca="false">IF($K1149="SEM CULTURA",0,$S1149*$H1149)</f>
        <v>5037.984</v>
      </c>
      <c r="AK1149" s="8" t="str">
        <f aca="false">$E1149&amp;"|"&amp;TEXT($AD1149,"0.000000")</f>
        <v>PV 117|0.000000</v>
      </c>
    </row>
    <row r="1150" customFormat="false" ht="15" hidden="false" customHeight="false" outlineLevel="0" collapsed="false">
      <c r="B1150" s="16" t="n">
        <v>23</v>
      </c>
      <c r="C1150" s="17" t="n">
        <f aca="false">DATA_INICIO_SAFRA+($B1150-1)*DIAS_POR_SEMANA</f>
        <v>46419</v>
      </c>
      <c r="D1150" s="17" t="n">
        <f aca="false">$C1150+DIAS_POR_SEMANA-1</f>
        <v>46425</v>
      </c>
      <c r="E1150" s="15" t="s">
        <v>276</v>
      </c>
      <c r="F1150" s="8" t="str">
        <f aca="false">IFERROR(INDEX(CADASTRO_PIVOS!$C$6:$C$41,MATCH($E1150,CADASTRO_PIVOS!$B$6:$B$41,0)),"?")</f>
        <v>RM06</v>
      </c>
      <c r="G1150" s="8" t="str">
        <f aca="false">IFERROR(INDEX(CADASTRO_PIVOS!$D$6:$D$41,MATCH($E1150,CADASTRO_PIVOS!$B$6:$B$41,0)),"?")</f>
        <v>TR06</v>
      </c>
      <c r="H1150" s="20" t="n">
        <f aca="false">IFERROR(INDEX(CADASTRO_PIVOS!$E$6:$E$41,MATCH($E1150,CADASTRO_PIVOS!$B$6:$B$41,0)),0)</f>
        <v>149.94</v>
      </c>
      <c r="I1150" s="16" t="n">
        <f aca="false">IFERROR(SUMIFS(ROTACAO_RDM!$B$6:$B$71,ROTACAO_RDM!$D$6:$D$71,$E1150,ROTACAO_RDM!$I$6:$I$71,"&lt;="&amp;$C1150+INT(DIAS_POR_SEMANA/2),ROTACAO_RDM!$J$6:$J$71,"&gt;="&amp;$C1150+INT(DIAS_POR_SEMANA/2)),0)</f>
        <v>29</v>
      </c>
      <c r="J1150" s="16" t="n">
        <f aca="false">IFERROR(MATCH($I1150,ROTACAO_RDM!$B$6:$B$71,0),0)</f>
        <v>29</v>
      </c>
      <c r="K1150" s="8" t="str">
        <f aca="false">IF($J1150=0,"SEM CULTURA",INDEX(ROTACAO_RDM!$F$6:$F$71,$J1150))</f>
        <v>ALGODAO</v>
      </c>
      <c r="L1150" s="8" t="str">
        <f aca="false">IF($J1150=0,"",INDEX(ROTACAO_RDM!$G$6:$G$71,$J1150))</f>
        <v>FM 974 GLT</v>
      </c>
      <c r="M1150" s="17" t="n">
        <f aca="false">IF($J1150=0,"",INDEX(ROTACAO_RDM!$I$6:$I$71,$J1150))</f>
        <v>46356</v>
      </c>
      <c r="N1150" s="16" t="n">
        <f aca="false">IF($J1150=0,0,MAX(0,$C1150+INT(DIAS_POR_SEMANA/2)-INDEX(ROTACAO_RDM!$I$6:$I$71,$J1150)))</f>
        <v>66</v>
      </c>
      <c r="O1150" s="19" t="n">
        <f aca="false">IF($J1150=0,0,MIN(1,$N1150/MAX(1,INDEX(ROTACAO_RDM!$K$6:$K$71,$J1150))))</f>
        <v>0.338461538461539</v>
      </c>
      <c r="P1150" s="16" t="n">
        <f aca="false">IF($J1150=0,0,IFERROR(MATCH(INDEX(ROTACAO_RDM!$N$6:$N$71,$J1150),PARAMETROS_CULTURAS!$B$6:$B$28,0),0))</f>
        <v>5</v>
      </c>
      <c r="Q1150" s="8" t="str">
        <f aca="false">IF($P1150=0,"-",IF($O1150&lt;=INDEX(PARAMETROS_CULTURAS!$F$6:$F$28,$P1150),"INICIAL",IF($O1150&lt;=INDEX(PARAMETROS_CULTURAS!$F$6:$F$28,$P1150)+INDEX(PARAMETROS_CULTURAS!$G$6:$G$28,$P1150),"DESENVOLVIMENTO",IF($O1150&lt;=INDEX(PARAMETROS_CULTURAS!$F$6:$F$28,$P1150)+INDEX(PARAMETROS_CULTURAS!$G$6:$G$28,$P1150)+INDEX(PARAMETROS_CULTURAS!$H$6:$H$28,$P1150),"MEDIA","FINAL"))))</f>
        <v>DESENVOLVIMENTO</v>
      </c>
      <c r="R1150" s="24" t="n">
        <f aca="false">IF($P1150=0,0,IF($O1150&lt;=INDEX(PARAMETROS_CULTURAS!$F$6:$F$28,$P1150),INDEX(PARAMETROS_CULTURAS!$K$6:$K$28,$P1150),IF($O1150&lt;=INDEX(PARAMETROS_CULTURAS!$F$6:$F$28,$P1150)+INDEX(PARAMETROS_CULTURAS!$G$6:$G$28,$P1150),INDEX(PARAMETROS_CULTURAS!$K$6:$K$28,$P1150)+(INDEX(PARAMETROS_CULTURAS!$L$6:$L$28,$P1150)-INDEX(PARAMETROS_CULTURAS!$K$6:$K$28,$P1150))*($O1150-INDEX(PARAMETROS_CULTURAS!$F$6:$F$28,$P1150))/MAX(INDEX(PARAMETROS_CULTURAS!$G$6:$G$28,$P1150),0.0001),IF($O1150&lt;=INDEX(PARAMETROS_CULTURAS!$F$6:$F$28,$P1150)+INDEX(PARAMETROS_CULTURAS!$G$6:$G$28,$P1150)+INDEX(PARAMETROS_CULTURAS!$H$6:$H$28,$P1150),INDEX(PARAMETROS_CULTURAS!$L$6:$L$28,$P1150),INDEX(PARAMETROS_CULTURAS!$L$6:$L$28,$P1150)+(INDEX(PARAMETROS_CULTURAS!$M$6:$M$28,$P1150)-INDEX(PARAMETROS_CULTURAS!$L$6:$L$28,$P1150))*($O1150-INDEX(PARAMETROS_CULTURAS!$F$6:$F$28,$P1150)-INDEX(PARAMETROS_CULTURAS!$G$6:$G$28,$P1150)-INDEX(PARAMETROS_CULTURAS!$H$6:$H$28,$P1150))/MAX(INDEX(PARAMETROS_CULTURAS!$I$6:$I$28,$P1150),0.0001)))))</f>
        <v>0.929881656804734</v>
      </c>
      <c r="S1150" s="18" t="n">
        <f aca="false">IFERROR(INDEX(SEMANAS!$H$6:$H$71,MATCH($B1150,SEMANAS!$B$6:$B$71,0)),0)</f>
        <v>32.9</v>
      </c>
      <c r="T1150" s="18" t="n">
        <f aca="false">$R1150*$S1150</f>
        <v>30.5931065088757</v>
      </c>
      <c r="U1150" s="18" t="n">
        <f aca="false">IFERROR(INDEX(SEMANAS!$I$6:$I$71,MATCH($B1150,SEMANAS!$B$6:$B$71,0)),0)</f>
        <v>39.97</v>
      </c>
      <c r="V1150" s="18" t="n">
        <f aca="false">IFERROR(INDEX(SEMANAS!$J$6:$J$71,MATCH($B1150,SEMANAS!$B$6:$B$71,0)),0)</f>
        <v>31.976</v>
      </c>
      <c r="W1150" s="18" t="n">
        <f aca="false">MAX(0,$T1150-$V1150)</f>
        <v>0</v>
      </c>
      <c r="X1150" s="19" t="n">
        <f aca="false">IFERROR(INDEX(CADASTRO_PIVOS!$K$6:$K$41,MATCH($E1150,CADASTRO_PIVOS!$B$6:$B$41,0)),EFICIENCIA_PADRAO)</f>
        <v>0.85</v>
      </c>
      <c r="Y1150" s="18" t="n">
        <f aca="false">IF($X1150&lt;=0,0,$W1150/$X1150)</f>
        <v>0</v>
      </c>
      <c r="Z1150" s="16" t="n">
        <f aca="false">$Y1150*$H1150*MM_PARA_M3_HA</f>
        <v>0</v>
      </c>
      <c r="AA1150" s="18" t="n">
        <f aca="false">IFERROR(INDEX(CADASTRO_PIVOS!$I$6:$I$41,MATCH($E1150,CADASTRO_PIVOS!$B$6:$B$41,0)),0)</f>
        <v>1071</v>
      </c>
      <c r="AB1150" s="18" t="n">
        <f aca="false">IF($Z1150&lt;=0,0,$Z1150/$AA1150)</f>
        <v>0</v>
      </c>
      <c r="AC1150" s="16" t="n">
        <f aca="false">IFERROR(INDEX(SEMANAS!$K$6:$K$71,MATCH($B1150,SEMANAS!$B$6:$B$71,0)),0)</f>
        <v>147</v>
      </c>
      <c r="AD1150" s="19" t="n">
        <f aca="false">IF($AC1150&lt;=0,0,$AB1150/$AC1150)</f>
        <v>0</v>
      </c>
      <c r="AE1150" s="8" t="str">
        <f aca="false">IF($K1150="SEM CULTURA","SEM CULTURA",IF($AA1150&lt;=0,"DADO PENDENTE",IF($AD1150&gt;LIMITE_CRITICO,"INVIAVEL",IF($AD1150&gt;LIMITE_ATENCAO,"CRITICO",IF($AD1150&gt;LIMITE_CONFORTAVEL,"ATENCAO","OK")))))</f>
        <v>OK</v>
      </c>
      <c r="AF1150" s="8" t="str">
        <f aca="false">$B1150&amp;"|"&amp;TEXT($AD1150,"0.000000")</f>
        <v>23|0.000000</v>
      </c>
      <c r="AG1150" s="18" t="n">
        <f aca="false">IF($K1150="SEM CULTURA",0,$T1150*$H1150)</f>
        <v>4587.13038994083</v>
      </c>
      <c r="AH1150" s="18" t="n">
        <f aca="false">IF($K1150="SEM CULTURA",0,$V1150*$H1150)</f>
        <v>4794.48144</v>
      </c>
      <c r="AI1150" s="18" t="n">
        <f aca="false">IF($K1150="SEM CULTURA",0,$W1150*$H1150)</f>
        <v>0</v>
      </c>
      <c r="AJ1150" s="18" t="n">
        <f aca="false">IF($K1150="SEM CULTURA",0,$S1150*$H1150)</f>
        <v>4933.026</v>
      </c>
      <c r="AK1150" s="8" t="str">
        <f aca="false">$E1150&amp;"|"&amp;TEXT($AD1150,"0.000000")</f>
        <v>PV 117|0.000000</v>
      </c>
    </row>
    <row r="1151" customFormat="false" ht="15" hidden="false" customHeight="false" outlineLevel="0" collapsed="false">
      <c r="B1151" s="16" t="n">
        <v>24</v>
      </c>
      <c r="C1151" s="17" t="n">
        <f aca="false">DATA_INICIO_SAFRA+($B1151-1)*DIAS_POR_SEMANA</f>
        <v>46426</v>
      </c>
      <c r="D1151" s="17" t="n">
        <f aca="false">$C1151+DIAS_POR_SEMANA-1</f>
        <v>46432</v>
      </c>
      <c r="E1151" s="15" t="s">
        <v>276</v>
      </c>
      <c r="F1151" s="8" t="str">
        <f aca="false">IFERROR(INDEX(CADASTRO_PIVOS!$C$6:$C$41,MATCH($E1151,CADASTRO_PIVOS!$B$6:$B$41,0)),"?")</f>
        <v>RM06</v>
      </c>
      <c r="G1151" s="8" t="str">
        <f aca="false">IFERROR(INDEX(CADASTRO_PIVOS!$D$6:$D$41,MATCH($E1151,CADASTRO_PIVOS!$B$6:$B$41,0)),"?")</f>
        <v>TR06</v>
      </c>
      <c r="H1151" s="20" t="n">
        <f aca="false">IFERROR(INDEX(CADASTRO_PIVOS!$E$6:$E$41,MATCH($E1151,CADASTRO_PIVOS!$B$6:$B$41,0)),0)</f>
        <v>149.94</v>
      </c>
      <c r="I1151" s="16" t="n">
        <f aca="false">IFERROR(SUMIFS(ROTACAO_RDM!$B$6:$B$71,ROTACAO_RDM!$D$6:$D$71,$E1151,ROTACAO_RDM!$I$6:$I$71,"&lt;="&amp;$C1151+INT(DIAS_POR_SEMANA/2),ROTACAO_RDM!$J$6:$J$71,"&gt;="&amp;$C1151+INT(DIAS_POR_SEMANA/2)),0)</f>
        <v>29</v>
      </c>
      <c r="J1151" s="16" t="n">
        <f aca="false">IFERROR(MATCH($I1151,ROTACAO_RDM!$B$6:$B$71,0),0)</f>
        <v>29</v>
      </c>
      <c r="K1151" s="8" t="str">
        <f aca="false">IF($J1151=0,"SEM CULTURA",INDEX(ROTACAO_RDM!$F$6:$F$71,$J1151))</f>
        <v>ALGODAO</v>
      </c>
      <c r="L1151" s="8" t="str">
        <f aca="false">IF($J1151=0,"",INDEX(ROTACAO_RDM!$G$6:$G$71,$J1151))</f>
        <v>FM 974 GLT</v>
      </c>
      <c r="M1151" s="17" t="n">
        <f aca="false">IF($J1151=0,"",INDEX(ROTACAO_RDM!$I$6:$I$71,$J1151))</f>
        <v>46356</v>
      </c>
      <c r="N1151" s="16" t="n">
        <f aca="false">IF($J1151=0,0,MAX(0,$C1151+INT(DIAS_POR_SEMANA/2)-INDEX(ROTACAO_RDM!$I$6:$I$71,$J1151)))</f>
        <v>73</v>
      </c>
      <c r="O1151" s="19" t="n">
        <f aca="false">IF($J1151=0,0,MIN(1,$N1151/MAX(1,INDEX(ROTACAO_RDM!$K$6:$K$71,$J1151))))</f>
        <v>0.374358974358974</v>
      </c>
      <c r="P1151" s="16" t="n">
        <f aca="false">IF($J1151=0,0,IFERROR(MATCH(INDEX(ROTACAO_RDM!$N$6:$N$71,$J1151),PARAMETROS_CULTURAS!$B$6:$B$28,0),0))</f>
        <v>5</v>
      </c>
      <c r="Q1151" s="8" t="str">
        <f aca="false">IF($P1151=0,"-",IF($O1151&lt;=INDEX(PARAMETROS_CULTURAS!$F$6:$F$28,$P1151),"INICIAL",IF($O1151&lt;=INDEX(PARAMETROS_CULTURAS!$F$6:$F$28,$P1151)+INDEX(PARAMETROS_CULTURAS!$G$6:$G$28,$P1151),"DESENVOLVIMENTO",IF($O1151&lt;=INDEX(PARAMETROS_CULTURAS!$F$6:$F$28,$P1151)+INDEX(PARAMETROS_CULTURAS!$G$6:$G$28,$P1151)+INDEX(PARAMETROS_CULTURAS!$H$6:$H$28,$P1151),"MEDIA","FINAL"))))</f>
        <v>DESENVOLVIMENTO</v>
      </c>
      <c r="R1151" s="24" t="n">
        <f aca="false">IF($P1151=0,0,IF($O1151&lt;=INDEX(PARAMETROS_CULTURAS!$F$6:$F$28,$P1151),INDEX(PARAMETROS_CULTURAS!$K$6:$K$28,$P1151),IF($O1151&lt;=INDEX(PARAMETROS_CULTURAS!$F$6:$F$28,$P1151)+INDEX(PARAMETROS_CULTURAS!$G$6:$G$28,$P1151),INDEX(PARAMETROS_CULTURAS!$K$6:$K$28,$P1151)+(INDEX(PARAMETROS_CULTURAS!$L$6:$L$28,$P1151)-INDEX(PARAMETROS_CULTURAS!$K$6:$K$28,$P1151))*($O1151-INDEX(PARAMETROS_CULTURAS!$F$6:$F$28,$P1151))/MAX(INDEX(PARAMETROS_CULTURAS!$G$6:$G$28,$P1151),0.0001),IF($O1151&lt;=INDEX(PARAMETROS_CULTURAS!$F$6:$F$28,$P1151)+INDEX(PARAMETROS_CULTURAS!$G$6:$G$28,$P1151)+INDEX(PARAMETROS_CULTURAS!$H$6:$H$28,$P1151),INDEX(PARAMETROS_CULTURAS!$L$6:$L$28,$P1151),INDEX(PARAMETROS_CULTURAS!$L$6:$L$28,$P1151)+(INDEX(PARAMETROS_CULTURAS!$M$6:$M$28,$P1151)-INDEX(PARAMETROS_CULTURAS!$L$6:$L$28,$P1151))*($O1151-INDEX(PARAMETROS_CULTURAS!$F$6:$F$28,$P1151)-INDEX(PARAMETROS_CULTURAS!$G$6:$G$28,$P1151)-INDEX(PARAMETROS_CULTURAS!$H$6:$H$28,$P1151))/MAX(INDEX(PARAMETROS_CULTURAS!$I$6:$I$28,$P1151),0.0001)))))</f>
        <v>1.04033530571992</v>
      </c>
      <c r="S1151" s="18" t="n">
        <f aca="false">IFERROR(INDEX(SEMANAS!$H$6:$H$71,MATCH($B1151,SEMANAS!$B$6:$B$71,0)),0)</f>
        <v>32.9</v>
      </c>
      <c r="T1151" s="18" t="n">
        <f aca="false">$R1151*$S1151</f>
        <v>34.2270315581854</v>
      </c>
      <c r="U1151" s="18" t="n">
        <f aca="false">IFERROR(INDEX(SEMANAS!$I$6:$I$71,MATCH($B1151,SEMANAS!$B$6:$B$71,0)),0)</f>
        <v>39.97</v>
      </c>
      <c r="V1151" s="18" t="n">
        <f aca="false">IFERROR(INDEX(SEMANAS!$J$6:$J$71,MATCH($B1151,SEMANAS!$B$6:$B$71,0)),0)</f>
        <v>31.976</v>
      </c>
      <c r="W1151" s="18" t="n">
        <f aca="false">MAX(0,$T1151-$V1151)</f>
        <v>2.2510315581854</v>
      </c>
      <c r="X1151" s="19" t="n">
        <f aca="false">IFERROR(INDEX(CADASTRO_PIVOS!$K$6:$K$41,MATCH($E1151,CADASTRO_PIVOS!$B$6:$B$41,0)),EFICIENCIA_PADRAO)</f>
        <v>0.85</v>
      </c>
      <c r="Y1151" s="18" t="n">
        <f aca="false">IF($X1151&lt;=0,0,$W1151/$X1151)</f>
        <v>2.64827242139459</v>
      </c>
      <c r="Z1151" s="16" t="n">
        <f aca="false">$Y1151*$H1151*MM_PARA_M3_HA</f>
        <v>3970.81966863904</v>
      </c>
      <c r="AA1151" s="18" t="n">
        <f aca="false">IFERROR(INDEX(CADASTRO_PIVOS!$I$6:$I$41,MATCH($E1151,CADASTRO_PIVOS!$B$6:$B$41,0)),0)</f>
        <v>1071</v>
      </c>
      <c r="AB1151" s="18" t="n">
        <f aca="false">IF($Z1151&lt;=0,0,$Z1151/$AA1151)</f>
        <v>3.70758138995242</v>
      </c>
      <c r="AC1151" s="16" t="n">
        <f aca="false">IFERROR(INDEX(SEMANAS!$K$6:$K$71,MATCH($B1151,SEMANAS!$B$6:$B$71,0)),0)</f>
        <v>147</v>
      </c>
      <c r="AD1151" s="19" t="n">
        <f aca="false">IF($AC1151&lt;=0,0,$AB1151/$AC1151)</f>
        <v>0.0252216421085199</v>
      </c>
      <c r="AE1151" s="8" t="str">
        <f aca="false">IF($K1151="SEM CULTURA","SEM CULTURA",IF($AA1151&lt;=0,"DADO PENDENTE",IF($AD1151&gt;LIMITE_CRITICO,"INVIAVEL",IF($AD1151&gt;LIMITE_ATENCAO,"CRITICO",IF($AD1151&gt;LIMITE_CONFORTAVEL,"ATENCAO","OK")))))</f>
        <v>OK</v>
      </c>
      <c r="AF1151" s="8" t="str">
        <f aca="false">$B1151&amp;"|"&amp;TEXT($AD1151,"0.000000")</f>
        <v>24|0.025222</v>
      </c>
      <c r="AG1151" s="18" t="n">
        <f aca="false">IF($K1151="SEM CULTURA",0,$T1151*$H1151)</f>
        <v>5132.00111183432</v>
      </c>
      <c r="AH1151" s="18" t="n">
        <f aca="false">IF($K1151="SEM CULTURA",0,$V1151*$H1151)</f>
        <v>4794.48144</v>
      </c>
      <c r="AI1151" s="18" t="n">
        <f aca="false">IF($K1151="SEM CULTURA",0,$W1151*$H1151)</f>
        <v>337.519671834319</v>
      </c>
      <c r="AJ1151" s="18" t="n">
        <f aca="false">IF($K1151="SEM CULTURA",0,$S1151*$H1151)</f>
        <v>4933.026</v>
      </c>
      <c r="AK1151" s="8" t="str">
        <f aca="false">$E1151&amp;"|"&amp;TEXT($AD1151,"0.000000")</f>
        <v>PV 117|0.025222</v>
      </c>
    </row>
    <row r="1152" customFormat="false" ht="15" hidden="false" customHeight="false" outlineLevel="0" collapsed="false">
      <c r="B1152" s="16" t="n">
        <v>25</v>
      </c>
      <c r="C1152" s="17" t="n">
        <f aca="false">DATA_INICIO_SAFRA+($B1152-1)*DIAS_POR_SEMANA</f>
        <v>46433</v>
      </c>
      <c r="D1152" s="17" t="n">
        <f aca="false">$C1152+DIAS_POR_SEMANA-1</f>
        <v>46439</v>
      </c>
      <c r="E1152" s="15" t="s">
        <v>276</v>
      </c>
      <c r="F1152" s="8" t="str">
        <f aca="false">IFERROR(INDEX(CADASTRO_PIVOS!$C$6:$C$41,MATCH($E1152,CADASTRO_PIVOS!$B$6:$B$41,0)),"?")</f>
        <v>RM06</v>
      </c>
      <c r="G1152" s="8" t="str">
        <f aca="false">IFERROR(INDEX(CADASTRO_PIVOS!$D$6:$D$41,MATCH($E1152,CADASTRO_PIVOS!$B$6:$B$41,0)),"?")</f>
        <v>TR06</v>
      </c>
      <c r="H1152" s="20" t="n">
        <f aca="false">IFERROR(INDEX(CADASTRO_PIVOS!$E$6:$E$41,MATCH($E1152,CADASTRO_PIVOS!$B$6:$B$41,0)),0)</f>
        <v>149.94</v>
      </c>
      <c r="I1152" s="16" t="n">
        <f aca="false">IFERROR(SUMIFS(ROTACAO_RDM!$B$6:$B$71,ROTACAO_RDM!$D$6:$D$71,$E1152,ROTACAO_RDM!$I$6:$I$71,"&lt;="&amp;$C1152+INT(DIAS_POR_SEMANA/2),ROTACAO_RDM!$J$6:$J$71,"&gt;="&amp;$C1152+INT(DIAS_POR_SEMANA/2)),0)</f>
        <v>29</v>
      </c>
      <c r="J1152" s="16" t="n">
        <f aca="false">IFERROR(MATCH($I1152,ROTACAO_RDM!$B$6:$B$71,0),0)</f>
        <v>29</v>
      </c>
      <c r="K1152" s="8" t="str">
        <f aca="false">IF($J1152=0,"SEM CULTURA",INDEX(ROTACAO_RDM!$F$6:$F$71,$J1152))</f>
        <v>ALGODAO</v>
      </c>
      <c r="L1152" s="8" t="str">
        <f aca="false">IF($J1152=0,"",INDEX(ROTACAO_RDM!$G$6:$G$71,$J1152))</f>
        <v>FM 974 GLT</v>
      </c>
      <c r="M1152" s="17" t="n">
        <f aca="false">IF($J1152=0,"",INDEX(ROTACAO_RDM!$I$6:$I$71,$J1152))</f>
        <v>46356</v>
      </c>
      <c r="N1152" s="16" t="n">
        <f aca="false">IF($J1152=0,0,MAX(0,$C1152+INT(DIAS_POR_SEMANA/2)-INDEX(ROTACAO_RDM!$I$6:$I$71,$J1152)))</f>
        <v>80</v>
      </c>
      <c r="O1152" s="19" t="n">
        <f aca="false">IF($J1152=0,0,MIN(1,$N1152/MAX(1,INDEX(ROTACAO_RDM!$K$6:$K$71,$J1152))))</f>
        <v>0.41025641025641</v>
      </c>
      <c r="P1152" s="16" t="n">
        <f aca="false">IF($J1152=0,0,IFERROR(MATCH(INDEX(ROTACAO_RDM!$N$6:$N$71,$J1152),PARAMETROS_CULTURAS!$B$6:$B$28,0),0))</f>
        <v>5</v>
      </c>
      <c r="Q1152" s="8" t="str">
        <f aca="false">IF($P1152=0,"-",IF($O1152&lt;=INDEX(PARAMETROS_CULTURAS!$F$6:$F$28,$P1152),"INICIAL",IF($O1152&lt;=INDEX(PARAMETROS_CULTURAS!$F$6:$F$28,$P1152)+INDEX(PARAMETROS_CULTURAS!$G$6:$G$28,$P1152),"DESENVOLVIMENTO",IF($O1152&lt;=INDEX(PARAMETROS_CULTURAS!$F$6:$F$28,$P1152)+INDEX(PARAMETROS_CULTURAS!$G$6:$G$28,$P1152)+INDEX(PARAMETROS_CULTURAS!$H$6:$H$28,$P1152),"MEDIA","FINAL"))))</f>
        <v>MEDIA</v>
      </c>
      <c r="R1152" s="24" t="n">
        <f aca="false">IF($P1152=0,0,IF($O1152&lt;=INDEX(PARAMETROS_CULTURAS!$F$6:$F$28,$P1152),INDEX(PARAMETROS_CULTURAS!$K$6:$K$28,$P1152),IF($O1152&lt;=INDEX(PARAMETROS_CULTURAS!$F$6:$F$28,$P1152)+INDEX(PARAMETROS_CULTURAS!$G$6:$G$28,$P1152),INDEX(PARAMETROS_CULTURAS!$K$6:$K$28,$P1152)+(INDEX(PARAMETROS_CULTURAS!$L$6:$L$28,$P1152)-INDEX(PARAMETROS_CULTURAS!$K$6:$K$28,$P1152))*($O1152-INDEX(PARAMETROS_CULTURAS!$F$6:$F$28,$P1152))/MAX(INDEX(PARAMETROS_CULTURAS!$G$6:$G$28,$P1152),0.0001),IF($O1152&lt;=INDEX(PARAMETROS_CULTURAS!$F$6:$F$28,$P1152)+INDEX(PARAMETROS_CULTURAS!$G$6:$G$28,$P1152)+INDEX(PARAMETROS_CULTURAS!$H$6:$H$28,$P1152),INDEX(PARAMETROS_CULTURAS!$L$6:$L$28,$P1152),INDEX(PARAMETROS_CULTURAS!$L$6:$L$28,$P1152)+(INDEX(PARAMETROS_CULTURAS!$M$6:$M$28,$P1152)-INDEX(PARAMETROS_CULTURAS!$L$6:$L$28,$P1152))*($O1152-INDEX(PARAMETROS_CULTURAS!$F$6:$F$28,$P1152)-INDEX(PARAMETROS_CULTURAS!$G$6:$G$28,$P1152)-INDEX(PARAMETROS_CULTURAS!$H$6:$H$28,$P1152))/MAX(INDEX(PARAMETROS_CULTURAS!$I$6:$I$28,$P1152),0.0001)))))</f>
        <v>1.15</v>
      </c>
      <c r="S1152" s="18" t="n">
        <f aca="false">IFERROR(INDEX(SEMANAS!$H$6:$H$71,MATCH($B1152,SEMANAS!$B$6:$B$71,0)),0)</f>
        <v>32.9</v>
      </c>
      <c r="T1152" s="18" t="n">
        <f aca="false">$R1152*$S1152</f>
        <v>37.835</v>
      </c>
      <c r="U1152" s="18" t="n">
        <f aca="false">IFERROR(INDEX(SEMANAS!$I$6:$I$71,MATCH($B1152,SEMANAS!$B$6:$B$71,0)),0)</f>
        <v>39.97</v>
      </c>
      <c r="V1152" s="18" t="n">
        <f aca="false">IFERROR(INDEX(SEMANAS!$J$6:$J$71,MATCH($B1152,SEMANAS!$B$6:$B$71,0)),0)</f>
        <v>31.976</v>
      </c>
      <c r="W1152" s="18" t="n">
        <f aca="false">MAX(0,$T1152-$V1152)</f>
        <v>5.85899999999999</v>
      </c>
      <c r="X1152" s="19" t="n">
        <f aca="false">IFERROR(INDEX(CADASTRO_PIVOS!$K$6:$K$41,MATCH($E1152,CADASTRO_PIVOS!$B$6:$B$41,0)),EFICIENCIA_PADRAO)</f>
        <v>0.85</v>
      </c>
      <c r="Y1152" s="18" t="n">
        <f aca="false">IF($X1152&lt;=0,0,$W1152/$X1152)</f>
        <v>6.89294117647058</v>
      </c>
      <c r="Z1152" s="16" t="n">
        <f aca="false">$Y1152*$H1152*MM_PARA_M3_HA</f>
        <v>10335.276</v>
      </c>
      <c r="AA1152" s="18" t="n">
        <f aca="false">IFERROR(INDEX(CADASTRO_PIVOS!$I$6:$I$41,MATCH($E1152,CADASTRO_PIVOS!$B$6:$B$41,0)),0)</f>
        <v>1071</v>
      </c>
      <c r="AB1152" s="18" t="n">
        <f aca="false">IF($Z1152&lt;=0,0,$Z1152/$AA1152)</f>
        <v>9.65011764705881</v>
      </c>
      <c r="AC1152" s="16" t="n">
        <f aca="false">IFERROR(INDEX(SEMANAS!$K$6:$K$71,MATCH($B1152,SEMANAS!$B$6:$B$71,0)),0)</f>
        <v>147</v>
      </c>
      <c r="AD1152" s="19" t="n">
        <f aca="false">IF($AC1152&lt;=0,0,$AB1152/$AC1152)</f>
        <v>0.0656470588235293</v>
      </c>
      <c r="AE1152" s="8" t="str">
        <f aca="false">IF($K1152="SEM CULTURA","SEM CULTURA",IF($AA1152&lt;=0,"DADO PENDENTE",IF($AD1152&gt;LIMITE_CRITICO,"INVIAVEL",IF($AD1152&gt;LIMITE_ATENCAO,"CRITICO",IF($AD1152&gt;LIMITE_CONFORTAVEL,"ATENCAO","OK")))))</f>
        <v>OK</v>
      </c>
      <c r="AF1152" s="8" t="str">
        <f aca="false">$B1152&amp;"|"&amp;TEXT($AD1152,"0.000000")</f>
        <v>25|0.065647</v>
      </c>
      <c r="AG1152" s="18" t="n">
        <f aca="false">IF($K1152="SEM CULTURA",0,$T1152*$H1152)</f>
        <v>5672.9799</v>
      </c>
      <c r="AH1152" s="18" t="n">
        <f aca="false">IF($K1152="SEM CULTURA",0,$V1152*$H1152)</f>
        <v>4794.48144</v>
      </c>
      <c r="AI1152" s="18" t="n">
        <f aca="false">IF($K1152="SEM CULTURA",0,$W1152*$H1152)</f>
        <v>878.498459999999</v>
      </c>
      <c r="AJ1152" s="18" t="n">
        <f aca="false">IF($K1152="SEM CULTURA",0,$S1152*$H1152)</f>
        <v>4933.026</v>
      </c>
      <c r="AK1152" s="8" t="str">
        <f aca="false">$E1152&amp;"|"&amp;TEXT($AD1152,"0.000000")</f>
        <v>PV 117|0.065647</v>
      </c>
    </row>
    <row r="1153" customFormat="false" ht="15" hidden="false" customHeight="false" outlineLevel="0" collapsed="false">
      <c r="B1153" s="16" t="n">
        <v>26</v>
      </c>
      <c r="C1153" s="17" t="n">
        <f aca="false">DATA_INICIO_SAFRA+($B1153-1)*DIAS_POR_SEMANA</f>
        <v>46440</v>
      </c>
      <c r="D1153" s="17" t="n">
        <f aca="false">$C1153+DIAS_POR_SEMANA-1</f>
        <v>46446</v>
      </c>
      <c r="E1153" s="15" t="s">
        <v>276</v>
      </c>
      <c r="F1153" s="8" t="str">
        <f aca="false">IFERROR(INDEX(CADASTRO_PIVOS!$C$6:$C$41,MATCH($E1153,CADASTRO_PIVOS!$B$6:$B$41,0)),"?")</f>
        <v>RM06</v>
      </c>
      <c r="G1153" s="8" t="str">
        <f aca="false">IFERROR(INDEX(CADASTRO_PIVOS!$D$6:$D$41,MATCH($E1153,CADASTRO_PIVOS!$B$6:$B$41,0)),"?")</f>
        <v>TR06</v>
      </c>
      <c r="H1153" s="20" t="n">
        <f aca="false">IFERROR(INDEX(CADASTRO_PIVOS!$E$6:$E$41,MATCH($E1153,CADASTRO_PIVOS!$B$6:$B$41,0)),0)</f>
        <v>149.94</v>
      </c>
      <c r="I1153" s="16" t="n">
        <f aca="false">IFERROR(SUMIFS(ROTACAO_RDM!$B$6:$B$71,ROTACAO_RDM!$D$6:$D$71,$E1153,ROTACAO_RDM!$I$6:$I$71,"&lt;="&amp;$C1153+INT(DIAS_POR_SEMANA/2),ROTACAO_RDM!$J$6:$J$71,"&gt;="&amp;$C1153+INT(DIAS_POR_SEMANA/2)),0)</f>
        <v>29</v>
      </c>
      <c r="J1153" s="16" t="n">
        <f aca="false">IFERROR(MATCH($I1153,ROTACAO_RDM!$B$6:$B$71,0),0)</f>
        <v>29</v>
      </c>
      <c r="K1153" s="8" t="str">
        <f aca="false">IF($J1153=0,"SEM CULTURA",INDEX(ROTACAO_RDM!$F$6:$F$71,$J1153))</f>
        <v>ALGODAO</v>
      </c>
      <c r="L1153" s="8" t="str">
        <f aca="false">IF($J1153=0,"",INDEX(ROTACAO_RDM!$G$6:$G$71,$J1153))</f>
        <v>FM 974 GLT</v>
      </c>
      <c r="M1153" s="17" t="n">
        <f aca="false">IF($J1153=0,"",INDEX(ROTACAO_RDM!$I$6:$I$71,$J1153))</f>
        <v>46356</v>
      </c>
      <c r="N1153" s="16" t="n">
        <f aca="false">IF($J1153=0,0,MAX(0,$C1153+INT(DIAS_POR_SEMANA/2)-INDEX(ROTACAO_RDM!$I$6:$I$71,$J1153)))</f>
        <v>87</v>
      </c>
      <c r="O1153" s="19" t="n">
        <f aca="false">IF($J1153=0,0,MIN(1,$N1153/MAX(1,INDEX(ROTACAO_RDM!$K$6:$K$71,$J1153))))</f>
        <v>0.446153846153846</v>
      </c>
      <c r="P1153" s="16" t="n">
        <f aca="false">IF($J1153=0,0,IFERROR(MATCH(INDEX(ROTACAO_RDM!$N$6:$N$71,$J1153),PARAMETROS_CULTURAS!$B$6:$B$28,0),0))</f>
        <v>5</v>
      </c>
      <c r="Q1153" s="8" t="str">
        <f aca="false">IF($P1153=0,"-",IF($O1153&lt;=INDEX(PARAMETROS_CULTURAS!$F$6:$F$28,$P1153),"INICIAL",IF($O1153&lt;=INDEX(PARAMETROS_CULTURAS!$F$6:$F$28,$P1153)+INDEX(PARAMETROS_CULTURAS!$G$6:$G$28,$P1153),"DESENVOLVIMENTO",IF($O1153&lt;=INDEX(PARAMETROS_CULTURAS!$F$6:$F$28,$P1153)+INDEX(PARAMETROS_CULTURAS!$G$6:$G$28,$P1153)+INDEX(PARAMETROS_CULTURAS!$H$6:$H$28,$P1153),"MEDIA","FINAL"))))</f>
        <v>MEDIA</v>
      </c>
      <c r="R1153" s="24" t="n">
        <f aca="false">IF($P1153=0,0,IF($O1153&lt;=INDEX(PARAMETROS_CULTURAS!$F$6:$F$28,$P1153),INDEX(PARAMETROS_CULTURAS!$K$6:$K$28,$P1153),IF($O1153&lt;=INDEX(PARAMETROS_CULTURAS!$F$6:$F$28,$P1153)+INDEX(PARAMETROS_CULTURAS!$G$6:$G$28,$P1153),INDEX(PARAMETROS_CULTURAS!$K$6:$K$28,$P1153)+(INDEX(PARAMETROS_CULTURAS!$L$6:$L$28,$P1153)-INDEX(PARAMETROS_CULTURAS!$K$6:$K$28,$P1153))*($O1153-INDEX(PARAMETROS_CULTURAS!$F$6:$F$28,$P1153))/MAX(INDEX(PARAMETROS_CULTURAS!$G$6:$G$28,$P1153),0.0001),IF($O1153&lt;=INDEX(PARAMETROS_CULTURAS!$F$6:$F$28,$P1153)+INDEX(PARAMETROS_CULTURAS!$G$6:$G$28,$P1153)+INDEX(PARAMETROS_CULTURAS!$H$6:$H$28,$P1153),INDEX(PARAMETROS_CULTURAS!$L$6:$L$28,$P1153),INDEX(PARAMETROS_CULTURAS!$L$6:$L$28,$P1153)+(INDEX(PARAMETROS_CULTURAS!$M$6:$M$28,$P1153)-INDEX(PARAMETROS_CULTURAS!$L$6:$L$28,$P1153))*($O1153-INDEX(PARAMETROS_CULTURAS!$F$6:$F$28,$P1153)-INDEX(PARAMETROS_CULTURAS!$G$6:$G$28,$P1153)-INDEX(PARAMETROS_CULTURAS!$H$6:$H$28,$P1153))/MAX(INDEX(PARAMETROS_CULTURAS!$I$6:$I$28,$P1153),0.0001)))))</f>
        <v>1.15</v>
      </c>
      <c r="S1153" s="18" t="n">
        <f aca="false">IFERROR(INDEX(SEMANAS!$H$6:$H$71,MATCH($B1153,SEMANAS!$B$6:$B$71,0)),0)</f>
        <v>32.9</v>
      </c>
      <c r="T1153" s="18" t="n">
        <f aca="false">$R1153*$S1153</f>
        <v>37.835</v>
      </c>
      <c r="U1153" s="18" t="n">
        <f aca="false">IFERROR(INDEX(SEMANAS!$I$6:$I$71,MATCH($B1153,SEMANAS!$B$6:$B$71,0)),0)</f>
        <v>39.97</v>
      </c>
      <c r="V1153" s="18" t="n">
        <f aca="false">IFERROR(INDEX(SEMANAS!$J$6:$J$71,MATCH($B1153,SEMANAS!$B$6:$B$71,0)),0)</f>
        <v>31.976</v>
      </c>
      <c r="W1153" s="18" t="n">
        <f aca="false">MAX(0,$T1153-$V1153)</f>
        <v>5.85899999999999</v>
      </c>
      <c r="X1153" s="19" t="n">
        <f aca="false">IFERROR(INDEX(CADASTRO_PIVOS!$K$6:$K$41,MATCH($E1153,CADASTRO_PIVOS!$B$6:$B$41,0)),EFICIENCIA_PADRAO)</f>
        <v>0.85</v>
      </c>
      <c r="Y1153" s="18" t="n">
        <f aca="false">IF($X1153&lt;=0,0,$W1153/$X1153)</f>
        <v>6.89294117647058</v>
      </c>
      <c r="Z1153" s="16" t="n">
        <f aca="false">$Y1153*$H1153*MM_PARA_M3_HA</f>
        <v>10335.276</v>
      </c>
      <c r="AA1153" s="18" t="n">
        <f aca="false">IFERROR(INDEX(CADASTRO_PIVOS!$I$6:$I$41,MATCH($E1153,CADASTRO_PIVOS!$B$6:$B$41,0)),0)</f>
        <v>1071</v>
      </c>
      <c r="AB1153" s="18" t="n">
        <f aca="false">IF($Z1153&lt;=0,0,$Z1153/$AA1153)</f>
        <v>9.65011764705881</v>
      </c>
      <c r="AC1153" s="16" t="n">
        <f aca="false">IFERROR(INDEX(SEMANAS!$K$6:$K$71,MATCH($B1153,SEMANAS!$B$6:$B$71,0)),0)</f>
        <v>147</v>
      </c>
      <c r="AD1153" s="19" t="n">
        <f aca="false">IF($AC1153&lt;=0,0,$AB1153/$AC1153)</f>
        <v>0.0656470588235293</v>
      </c>
      <c r="AE1153" s="8" t="str">
        <f aca="false">IF($K1153="SEM CULTURA","SEM CULTURA",IF($AA1153&lt;=0,"DADO PENDENTE",IF($AD1153&gt;LIMITE_CRITICO,"INVIAVEL",IF($AD1153&gt;LIMITE_ATENCAO,"CRITICO",IF($AD1153&gt;LIMITE_CONFORTAVEL,"ATENCAO","OK")))))</f>
        <v>OK</v>
      </c>
      <c r="AF1153" s="8" t="str">
        <f aca="false">$B1153&amp;"|"&amp;TEXT($AD1153,"0.000000")</f>
        <v>26|0.065647</v>
      </c>
      <c r="AG1153" s="18" t="n">
        <f aca="false">IF($K1153="SEM CULTURA",0,$T1153*$H1153)</f>
        <v>5672.9799</v>
      </c>
      <c r="AH1153" s="18" t="n">
        <f aca="false">IF($K1153="SEM CULTURA",0,$V1153*$H1153)</f>
        <v>4794.48144</v>
      </c>
      <c r="AI1153" s="18" t="n">
        <f aca="false">IF($K1153="SEM CULTURA",0,$W1153*$H1153)</f>
        <v>878.498459999999</v>
      </c>
      <c r="AJ1153" s="18" t="n">
        <f aca="false">IF($K1153="SEM CULTURA",0,$S1153*$H1153)</f>
        <v>4933.026</v>
      </c>
      <c r="AK1153" s="8" t="str">
        <f aca="false">$E1153&amp;"|"&amp;TEXT($AD1153,"0.000000")</f>
        <v>PV 117|0.065647</v>
      </c>
    </row>
    <row r="1154" customFormat="false" ht="15" hidden="false" customHeight="false" outlineLevel="0" collapsed="false">
      <c r="B1154" s="16" t="n">
        <v>27</v>
      </c>
      <c r="C1154" s="17" t="n">
        <f aca="false">DATA_INICIO_SAFRA+($B1154-1)*DIAS_POR_SEMANA</f>
        <v>46447</v>
      </c>
      <c r="D1154" s="17" t="n">
        <f aca="false">$C1154+DIAS_POR_SEMANA-1</f>
        <v>46453</v>
      </c>
      <c r="E1154" s="15" t="s">
        <v>276</v>
      </c>
      <c r="F1154" s="8" t="str">
        <f aca="false">IFERROR(INDEX(CADASTRO_PIVOS!$C$6:$C$41,MATCH($E1154,CADASTRO_PIVOS!$B$6:$B$41,0)),"?")</f>
        <v>RM06</v>
      </c>
      <c r="G1154" s="8" t="str">
        <f aca="false">IFERROR(INDEX(CADASTRO_PIVOS!$D$6:$D$41,MATCH($E1154,CADASTRO_PIVOS!$B$6:$B$41,0)),"?")</f>
        <v>TR06</v>
      </c>
      <c r="H1154" s="20" t="n">
        <f aca="false">IFERROR(INDEX(CADASTRO_PIVOS!$E$6:$E$41,MATCH($E1154,CADASTRO_PIVOS!$B$6:$B$41,0)),0)</f>
        <v>149.94</v>
      </c>
      <c r="I1154" s="16" t="n">
        <f aca="false">IFERROR(SUMIFS(ROTACAO_RDM!$B$6:$B$71,ROTACAO_RDM!$D$6:$D$71,$E1154,ROTACAO_RDM!$I$6:$I$71,"&lt;="&amp;$C1154+INT(DIAS_POR_SEMANA/2),ROTACAO_RDM!$J$6:$J$71,"&gt;="&amp;$C1154+INT(DIAS_POR_SEMANA/2)),0)</f>
        <v>29</v>
      </c>
      <c r="J1154" s="16" t="n">
        <f aca="false">IFERROR(MATCH($I1154,ROTACAO_RDM!$B$6:$B$71,0),0)</f>
        <v>29</v>
      </c>
      <c r="K1154" s="8" t="str">
        <f aca="false">IF($J1154=0,"SEM CULTURA",INDEX(ROTACAO_RDM!$F$6:$F$71,$J1154))</f>
        <v>ALGODAO</v>
      </c>
      <c r="L1154" s="8" t="str">
        <f aca="false">IF($J1154=0,"",INDEX(ROTACAO_RDM!$G$6:$G$71,$J1154))</f>
        <v>FM 974 GLT</v>
      </c>
      <c r="M1154" s="17" t="n">
        <f aca="false">IF($J1154=0,"",INDEX(ROTACAO_RDM!$I$6:$I$71,$J1154))</f>
        <v>46356</v>
      </c>
      <c r="N1154" s="16" t="n">
        <f aca="false">IF($J1154=0,0,MAX(0,$C1154+INT(DIAS_POR_SEMANA/2)-INDEX(ROTACAO_RDM!$I$6:$I$71,$J1154)))</f>
        <v>94</v>
      </c>
      <c r="O1154" s="19" t="n">
        <f aca="false">IF($J1154=0,0,MIN(1,$N1154/MAX(1,INDEX(ROTACAO_RDM!$K$6:$K$71,$J1154))))</f>
        <v>0.482051282051282</v>
      </c>
      <c r="P1154" s="16" t="n">
        <f aca="false">IF($J1154=0,0,IFERROR(MATCH(INDEX(ROTACAO_RDM!$N$6:$N$71,$J1154),PARAMETROS_CULTURAS!$B$6:$B$28,0),0))</f>
        <v>5</v>
      </c>
      <c r="Q1154" s="8" t="str">
        <f aca="false">IF($P1154=0,"-",IF($O1154&lt;=INDEX(PARAMETROS_CULTURAS!$F$6:$F$28,$P1154),"INICIAL",IF($O1154&lt;=INDEX(PARAMETROS_CULTURAS!$F$6:$F$28,$P1154)+INDEX(PARAMETROS_CULTURAS!$G$6:$G$28,$P1154),"DESENVOLVIMENTO",IF($O1154&lt;=INDEX(PARAMETROS_CULTURAS!$F$6:$F$28,$P1154)+INDEX(PARAMETROS_CULTURAS!$G$6:$G$28,$P1154)+INDEX(PARAMETROS_CULTURAS!$H$6:$H$28,$P1154),"MEDIA","FINAL"))))</f>
        <v>MEDIA</v>
      </c>
      <c r="R1154" s="24" t="n">
        <f aca="false">IF($P1154=0,0,IF($O1154&lt;=INDEX(PARAMETROS_CULTURAS!$F$6:$F$28,$P1154),INDEX(PARAMETROS_CULTURAS!$K$6:$K$28,$P1154),IF($O1154&lt;=INDEX(PARAMETROS_CULTURAS!$F$6:$F$28,$P1154)+INDEX(PARAMETROS_CULTURAS!$G$6:$G$28,$P1154),INDEX(PARAMETROS_CULTURAS!$K$6:$K$28,$P1154)+(INDEX(PARAMETROS_CULTURAS!$L$6:$L$28,$P1154)-INDEX(PARAMETROS_CULTURAS!$K$6:$K$28,$P1154))*($O1154-INDEX(PARAMETROS_CULTURAS!$F$6:$F$28,$P1154))/MAX(INDEX(PARAMETROS_CULTURAS!$G$6:$G$28,$P1154),0.0001),IF($O1154&lt;=INDEX(PARAMETROS_CULTURAS!$F$6:$F$28,$P1154)+INDEX(PARAMETROS_CULTURAS!$G$6:$G$28,$P1154)+INDEX(PARAMETROS_CULTURAS!$H$6:$H$28,$P1154),INDEX(PARAMETROS_CULTURAS!$L$6:$L$28,$P1154),INDEX(PARAMETROS_CULTURAS!$L$6:$L$28,$P1154)+(INDEX(PARAMETROS_CULTURAS!$M$6:$M$28,$P1154)-INDEX(PARAMETROS_CULTURAS!$L$6:$L$28,$P1154))*($O1154-INDEX(PARAMETROS_CULTURAS!$F$6:$F$28,$P1154)-INDEX(PARAMETROS_CULTURAS!$G$6:$G$28,$P1154)-INDEX(PARAMETROS_CULTURAS!$H$6:$H$28,$P1154))/MAX(INDEX(PARAMETROS_CULTURAS!$I$6:$I$28,$P1154),0.0001)))))</f>
        <v>1.15</v>
      </c>
      <c r="S1154" s="18" t="n">
        <f aca="false">IFERROR(INDEX(SEMANAS!$H$6:$H$71,MATCH($B1154,SEMANAS!$B$6:$B$71,0)),0)</f>
        <v>32.2</v>
      </c>
      <c r="T1154" s="18" t="n">
        <f aca="false">$R1154*$S1154</f>
        <v>37.03</v>
      </c>
      <c r="U1154" s="18" t="n">
        <f aca="false">IFERROR(INDEX(SEMANAS!$I$6:$I$71,MATCH($B1154,SEMANAS!$B$6:$B$71,0)),0)</f>
        <v>37.24</v>
      </c>
      <c r="V1154" s="18" t="n">
        <f aca="false">IFERROR(INDEX(SEMANAS!$J$6:$J$71,MATCH($B1154,SEMANAS!$B$6:$B$71,0)),0)</f>
        <v>29.792</v>
      </c>
      <c r="W1154" s="18" t="n">
        <f aca="false">MAX(0,$T1154-$V1154)</f>
        <v>7.23799999999999</v>
      </c>
      <c r="X1154" s="19" t="n">
        <f aca="false">IFERROR(INDEX(CADASTRO_PIVOS!$K$6:$K$41,MATCH($E1154,CADASTRO_PIVOS!$B$6:$B$41,0)),EFICIENCIA_PADRAO)</f>
        <v>0.85</v>
      </c>
      <c r="Y1154" s="18" t="n">
        <f aca="false">IF($X1154&lt;=0,0,$W1154/$X1154)</f>
        <v>8.51529411764705</v>
      </c>
      <c r="Z1154" s="16" t="n">
        <f aca="false">$Y1154*$H1154*MM_PARA_M3_HA</f>
        <v>12767.832</v>
      </c>
      <c r="AA1154" s="18" t="n">
        <f aca="false">IFERROR(INDEX(CADASTRO_PIVOS!$I$6:$I$41,MATCH($E1154,CADASTRO_PIVOS!$B$6:$B$41,0)),0)</f>
        <v>1071</v>
      </c>
      <c r="AB1154" s="18" t="n">
        <f aca="false">IF($Z1154&lt;=0,0,$Z1154/$AA1154)</f>
        <v>11.9214117647059</v>
      </c>
      <c r="AC1154" s="16" t="n">
        <f aca="false">IFERROR(INDEX(SEMANAS!$K$6:$K$71,MATCH($B1154,SEMANAS!$B$6:$B$71,0)),0)</f>
        <v>147</v>
      </c>
      <c r="AD1154" s="19" t="n">
        <f aca="false">IF($AC1154&lt;=0,0,$AB1154/$AC1154)</f>
        <v>0.0810980392156862</v>
      </c>
      <c r="AE1154" s="8" t="str">
        <f aca="false">IF($K1154="SEM CULTURA","SEM CULTURA",IF($AA1154&lt;=0,"DADO PENDENTE",IF($AD1154&gt;LIMITE_CRITICO,"INVIAVEL",IF($AD1154&gt;LIMITE_ATENCAO,"CRITICO",IF($AD1154&gt;LIMITE_CONFORTAVEL,"ATENCAO","OK")))))</f>
        <v>OK</v>
      </c>
      <c r="AF1154" s="8" t="str">
        <f aca="false">$B1154&amp;"|"&amp;TEXT($AD1154,"0.000000")</f>
        <v>27|0.081098</v>
      </c>
      <c r="AG1154" s="18" t="n">
        <f aca="false">IF($K1154="SEM CULTURA",0,$T1154*$H1154)</f>
        <v>5552.2782</v>
      </c>
      <c r="AH1154" s="18" t="n">
        <f aca="false">IF($K1154="SEM CULTURA",0,$V1154*$H1154)</f>
        <v>4467.01248</v>
      </c>
      <c r="AI1154" s="18" t="n">
        <f aca="false">IF($K1154="SEM CULTURA",0,$W1154*$H1154)</f>
        <v>1085.26572</v>
      </c>
      <c r="AJ1154" s="18" t="n">
        <f aca="false">IF($K1154="SEM CULTURA",0,$S1154*$H1154)</f>
        <v>4828.068</v>
      </c>
      <c r="AK1154" s="8" t="str">
        <f aca="false">$E1154&amp;"|"&amp;TEXT($AD1154,"0.000000")</f>
        <v>PV 117|0.081098</v>
      </c>
    </row>
    <row r="1155" customFormat="false" ht="15" hidden="false" customHeight="false" outlineLevel="0" collapsed="false">
      <c r="B1155" s="16" t="n">
        <v>28</v>
      </c>
      <c r="C1155" s="17" t="n">
        <f aca="false">DATA_INICIO_SAFRA+($B1155-1)*DIAS_POR_SEMANA</f>
        <v>46454</v>
      </c>
      <c r="D1155" s="17" t="n">
        <f aca="false">$C1155+DIAS_POR_SEMANA-1</f>
        <v>46460</v>
      </c>
      <c r="E1155" s="15" t="s">
        <v>276</v>
      </c>
      <c r="F1155" s="8" t="str">
        <f aca="false">IFERROR(INDEX(CADASTRO_PIVOS!$C$6:$C$41,MATCH($E1155,CADASTRO_PIVOS!$B$6:$B$41,0)),"?")</f>
        <v>RM06</v>
      </c>
      <c r="G1155" s="8" t="str">
        <f aca="false">IFERROR(INDEX(CADASTRO_PIVOS!$D$6:$D$41,MATCH($E1155,CADASTRO_PIVOS!$B$6:$B$41,0)),"?")</f>
        <v>TR06</v>
      </c>
      <c r="H1155" s="20" t="n">
        <f aca="false">IFERROR(INDEX(CADASTRO_PIVOS!$E$6:$E$41,MATCH($E1155,CADASTRO_PIVOS!$B$6:$B$41,0)),0)</f>
        <v>149.94</v>
      </c>
      <c r="I1155" s="16" t="n">
        <f aca="false">IFERROR(SUMIFS(ROTACAO_RDM!$B$6:$B$71,ROTACAO_RDM!$D$6:$D$71,$E1155,ROTACAO_RDM!$I$6:$I$71,"&lt;="&amp;$C1155+INT(DIAS_POR_SEMANA/2),ROTACAO_RDM!$J$6:$J$71,"&gt;="&amp;$C1155+INT(DIAS_POR_SEMANA/2)),0)</f>
        <v>29</v>
      </c>
      <c r="J1155" s="16" t="n">
        <f aca="false">IFERROR(MATCH($I1155,ROTACAO_RDM!$B$6:$B$71,0),0)</f>
        <v>29</v>
      </c>
      <c r="K1155" s="8" t="str">
        <f aca="false">IF($J1155=0,"SEM CULTURA",INDEX(ROTACAO_RDM!$F$6:$F$71,$J1155))</f>
        <v>ALGODAO</v>
      </c>
      <c r="L1155" s="8" t="str">
        <f aca="false">IF($J1155=0,"",INDEX(ROTACAO_RDM!$G$6:$G$71,$J1155))</f>
        <v>FM 974 GLT</v>
      </c>
      <c r="M1155" s="17" t="n">
        <f aca="false">IF($J1155=0,"",INDEX(ROTACAO_RDM!$I$6:$I$71,$J1155))</f>
        <v>46356</v>
      </c>
      <c r="N1155" s="16" t="n">
        <f aca="false">IF($J1155=0,0,MAX(0,$C1155+INT(DIAS_POR_SEMANA/2)-INDEX(ROTACAO_RDM!$I$6:$I$71,$J1155)))</f>
        <v>101</v>
      </c>
      <c r="O1155" s="19" t="n">
        <f aca="false">IF($J1155=0,0,MIN(1,$N1155/MAX(1,INDEX(ROTACAO_RDM!$K$6:$K$71,$J1155))))</f>
        <v>0.517948717948718</v>
      </c>
      <c r="P1155" s="16" t="n">
        <f aca="false">IF($J1155=0,0,IFERROR(MATCH(INDEX(ROTACAO_RDM!$N$6:$N$71,$J1155),PARAMETROS_CULTURAS!$B$6:$B$28,0),0))</f>
        <v>5</v>
      </c>
      <c r="Q1155" s="8" t="str">
        <f aca="false">IF($P1155=0,"-",IF($O1155&lt;=INDEX(PARAMETROS_CULTURAS!$F$6:$F$28,$P1155),"INICIAL",IF($O1155&lt;=INDEX(PARAMETROS_CULTURAS!$F$6:$F$28,$P1155)+INDEX(PARAMETROS_CULTURAS!$G$6:$G$28,$P1155),"DESENVOLVIMENTO",IF($O1155&lt;=INDEX(PARAMETROS_CULTURAS!$F$6:$F$28,$P1155)+INDEX(PARAMETROS_CULTURAS!$G$6:$G$28,$P1155)+INDEX(PARAMETROS_CULTURAS!$H$6:$H$28,$P1155),"MEDIA","FINAL"))))</f>
        <v>MEDIA</v>
      </c>
      <c r="R1155" s="24" t="n">
        <f aca="false">IF($P1155=0,0,IF($O1155&lt;=INDEX(PARAMETROS_CULTURAS!$F$6:$F$28,$P1155),INDEX(PARAMETROS_CULTURAS!$K$6:$K$28,$P1155),IF($O1155&lt;=INDEX(PARAMETROS_CULTURAS!$F$6:$F$28,$P1155)+INDEX(PARAMETROS_CULTURAS!$G$6:$G$28,$P1155),INDEX(PARAMETROS_CULTURAS!$K$6:$K$28,$P1155)+(INDEX(PARAMETROS_CULTURAS!$L$6:$L$28,$P1155)-INDEX(PARAMETROS_CULTURAS!$K$6:$K$28,$P1155))*($O1155-INDEX(PARAMETROS_CULTURAS!$F$6:$F$28,$P1155))/MAX(INDEX(PARAMETROS_CULTURAS!$G$6:$G$28,$P1155),0.0001),IF($O1155&lt;=INDEX(PARAMETROS_CULTURAS!$F$6:$F$28,$P1155)+INDEX(PARAMETROS_CULTURAS!$G$6:$G$28,$P1155)+INDEX(PARAMETROS_CULTURAS!$H$6:$H$28,$P1155),INDEX(PARAMETROS_CULTURAS!$L$6:$L$28,$P1155),INDEX(PARAMETROS_CULTURAS!$L$6:$L$28,$P1155)+(INDEX(PARAMETROS_CULTURAS!$M$6:$M$28,$P1155)-INDEX(PARAMETROS_CULTURAS!$L$6:$L$28,$P1155))*($O1155-INDEX(PARAMETROS_CULTURAS!$F$6:$F$28,$P1155)-INDEX(PARAMETROS_CULTURAS!$G$6:$G$28,$P1155)-INDEX(PARAMETROS_CULTURAS!$H$6:$H$28,$P1155))/MAX(INDEX(PARAMETROS_CULTURAS!$I$6:$I$28,$P1155),0.0001)))))</f>
        <v>1.15</v>
      </c>
      <c r="S1155" s="18" t="n">
        <f aca="false">IFERROR(INDEX(SEMANAS!$H$6:$H$71,MATCH($B1155,SEMANAS!$B$6:$B$71,0)),0)</f>
        <v>32.2</v>
      </c>
      <c r="T1155" s="18" t="n">
        <f aca="false">$R1155*$S1155</f>
        <v>37.03</v>
      </c>
      <c r="U1155" s="18" t="n">
        <f aca="false">IFERROR(INDEX(SEMANAS!$I$6:$I$71,MATCH($B1155,SEMANAS!$B$6:$B$71,0)),0)</f>
        <v>37.24</v>
      </c>
      <c r="V1155" s="18" t="n">
        <f aca="false">IFERROR(INDEX(SEMANAS!$J$6:$J$71,MATCH($B1155,SEMANAS!$B$6:$B$71,0)),0)</f>
        <v>29.792</v>
      </c>
      <c r="W1155" s="18" t="n">
        <f aca="false">MAX(0,$T1155-$V1155)</f>
        <v>7.23799999999999</v>
      </c>
      <c r="X1155" s="19" t="n">
        <f aca="false">IFERROR(INDEX(CADASTRO_PIVOS!$K$6:$K$41,MATCH($E1155,CADASTRO_PIVOS!$B$6:$B$41,0)),EFICIENCIA_PADRAO)</f>
        <v>0.85</v>
      </c>
      <c r="Y1155" s="18" t="n">
        <f aca="false">IF($X1155&lt;=0,0,$W1155/$X1155)</f>
        <v>8.51529411764705</v>
      </c>
      <c r="Z1155" s="16" t="n">
        <f aca="false">$Y1155*$H1155*MM_PARA_M3_HA</f>
        <v>12767.832</v>
      </c>
      <c r="AA1155" s="18" t="n">
        <f aca="false">IFERROR(INDEX(CADASTRO_PIVOS!$I$6:$I$41,MATCH($E1155,CADASTRO_PIVOS!$B$6:$B$41,0)),0)</f>
        <v>1071</v>
      </c>
      <c r="AB1155" s="18" t="n">
        <f aca="false">IF($Z1155&lt;=0,0,$Z1155/$AA1155)</f>
        <v>11.9214117647059</v>
      </c>
      <c r="AC1155" s="16" t="n">
        <f aca="false">IFERROR(INDEX(SEMANAS!$K$6:$K$71,MATCH($B1155,SEMANAS!$B$6:$B$71,0)),0)</f>
        <v>147</v>
      </c>
      <c r="AD1155" s="19" t="n">
        <f aca="false">IF($AC1155&lt;=0,0,$AB1155/$AC1155)</f>
        <v>0.0810980392156862</v>
      </c>
      <c r="AE1155" s="8" t="str">
        <f aca="false">IF($K1155="SEM CULTURA","SEM CULTURA",IF($AA1155&lt;=0,"DADO PENDENTE",IF($AD1155&gt;LIMITE_CRITICO,"INVIAVEL",IF($AD1155&gt;LIMITE_ATENCAO,"CRITICO",IF($AD1155&gt;LIMITE_CONFORTAVEL,"ATENCAO","OK")))))</f>
        <v>OK</v>
      </c>
      <c r="AF1155" s="8" t="str">
        <f aca="false">$B1155&amp;"|"&amp;TEXT($AD1155,"0.000000")</f>
        <v>28|0.081098</v>
      </c>
      <c r="AG1155" s="18" t="n">
        <f aca="false">IF($K1155="SEM CULTURA",0,$T1155*$H1155)</f>
        <v>5552.2782</v>
      </c>
      <c r="AH1155" s="18" t="n">
        <f aca="false">IF($K1155="SEM CULTURA",0,$V1155*$H1155)</f>
        <v>4467.01248</v>
      </c>
      <c r="AI1155" s="18" t="n">
        <f aca="false">IF($K1155="SEM CULTURA",0,$W1155*$H1155)</f>
        <v>1085.26572</v>
      </c>
      <c r="AJ1155" s="18" t="n">
        <f aca="false">IF($K1155="SEM CULTURA",0,$S1155*$H1155)</f>
        <v>4828.068</v>
      </c>
      <c r="AK1155" s="8" t="str">
        <f aca="false">$E1155&amp;"|"&amp;TEXT($AD1155,"0.000000")</f>
        <v>PV 117|0.081098</v>
      </c>
    </row>
    <row r="1156" customFormat="false" ht="15" hidden="false" customHeight="false" outlineLevel="0" collapsed="false">
      <c r="B1156" s="16" t="n">
        <v>29</v>
      </c>
      <c r="C1156" s="17" t="n">
        <f aca="false">DATA_INICIO_SAFRA+($B1156-1)*DIAS_POR_SEMANA</f>
        <v>46461</v>
      </c>
      <c r="D1156" s="17" t="n">
        <f aca="false">$C1156+DIAS_POR_SEMANA-1</f>
        <v>46467</v>
      </c>
      <c r="E1156" s="15" t="s">
        <v>276</v>
      </c>
      <c r="F1156" s="8" t="str">
        <f aca="false">IFERROR(INDEX(CADASTRO_PIVOS!$C$6:$C$41,MATCH($E1156,CADASTRO_PIVOS!$B$6:$B$41,0)),"?")</f>
        <v>RM06</v>
      </c>
      <c r="G1156" s="8" t="str">
        <f aca="false">IFERROR(INDEX(CADASTRO_PIVOS!$D$6:$D$41,MATCH($E1156,CADASTRO_PIVOS!$B$6:$B$41,0)),"?")</f>
        <v>TR06</v>
      </c>
      <c r="H1156" s="20" t="n">
        <f aca="false">IFERROR(INDEX(CADASTRO_PIVOS!$E$6:$E$41,MATCH($E1156,CADASTRO_PIVOS!$B$6:$B$41,0)),0)</f>
        <v>149.94</v>
      </c>
      <c r="I1156" s="16" t="n">
        <f aca="false">IFERROR(SUMIFS(ROTACAO_RDM!$B$6:$B$71,ROTACAO_RDM!$D$6:$D$71,$E1156,ROTACAO_RDM!$I$6:$I$71,"&lt;="&amp;$C1156+INT(DIAS_POR_SEMANA/2),ROTACAO_RDM!$J$6:$J$71,"&gt;="&amp;$C1156+INT(DIAS_POR_SEMANA/2)),0)</f>
        <v>29</v>
      </c>
      <c r="J1156" s="16" t="n">
        <f aca="false">IFERROR(MATCH($I1156,ROTACAO_RDM!$B$6:$B$71,0),0)</f>
        <v>29</v>
      </c>
      <c r="K1156" s="8" t="str">
        <f aca="false">IF($J1156=0,"SEM CULTURA",INDEX(ROTACAO_RDM!$F$6:$F$71,$J1156))</f>
        <v>ALGODAO</v>
      </c>
      <c r="L1156" s="8" t="str">
        <f aca="false">IF($J1156=0,"",INDEX(ROTACAO_RDM!$G$6:$G$71,$J1156))</f>
        <v>FM 974 GLT</v>
      </c>
      <c r="M1156" s="17" t="n">
        <f aca="false">IF($J1156=0,"",INDEX(ROTACAO_RDM!$I$6:$I$71,$J1156))</f>
        <v>46356</v>
      </c>
      <c r="N1156" s="16" t="n">
        <f aca="false">IF($J1156=0,0,MAX(0,$C1156+INT(DIAS_POR_SEMANA/2)-INDEX(ROTACAO_RDM!$I$6:$I$71,$J1156)))</f>
        <v>108</v>
      </c>
      <c r="O1156" s="19" t="n">
        <f aca="false">IF($J1156=0,0,MIN(1,$N1156/MAX(1,INDEX(ROTACAO_RDM!$K$6:$K$71,$J1156))))</f>
        <v>0.553846153846154</v>
      </c>
      <c r="P1156" s="16" t="n">
        <f aca="false">IF($J1156=0,0,IFERROR(MATCH(INDEX(ROTACAO_RDM!$N$6:$N$71,$J1156),PARAMETROS_CULTURAS!$B$6:$B$28,0),0))</f>
        <v>5</v>
      </c>
      <c r="Q1156" s="8" t="str">
        <f aca="false">IF($P1156=0,"-",IF($O1156&lt;=INDEX(PARAMETROS_CULTURAS!$F$6:$F$28,$P1156),"INICIAL",IF($O1156&lt;=INDEX(PARAMETROS_CULTURAS!$F$6:$F$28,$P1156)+INDEX(PARAMETROS_CULTURAS!$G$6:$G$28,$P1156),"DESENVOLVIMENTO",IF($O1156&lt;=INDEX(PARAMETROS_CULTURAS!$F$6:$F$28,$P1156)+INDEX(PARAMETROS_CULTURAS!$G$6:$G$28,$P1156)+INDEX(PARAMETROS_CULTURAS!$H$6:$H$28,$P1156),"MEDIA","FINAL"))))</f>
        <v>MEDIA</v>
      </c>
      <c r="R1156" s="24" t="n">
        <f aca="false">IF($P1156=0,0,IF($O1156&lt;=INDEX(PARAMETROS_CULTURAS!$F$6:$F$28,$P1156),INDEX(PARAMETROS_CULTURAS!$K$6:$K$28,$P1156),IF($O1156&lt;=INDEX(PARAMETROS_CULTURAS!$F$6:$F$28,$P1156)+INDEX(PARAMETROS_CULTURAS!$G$6:$G$28,$P1156),INDEX(PARAMETROS_CULTURAS!$K$6:$K$28,$P1156)+(INDEX(PARAMETROS_CULTURAS!$L$6:$L$28,$P1156)-INDEX(PARAMETROS_CULTURAS!$K$6:$K$28,$P1156))*($O1156-INDEX(PARAMETROS_CULTURAS!$F$6:$F$28,$P1156))/MAX(INDEX(PARAMETROS_CULTURAS!$G$6:$G$28,$P1156),0.0001),IF($O1156&lt;=INDEX(PARAMETROS_CULTURAS!$F$6:$F$28,$P1156)+INDEX(PARAMETROS_CULTURAS!$G$6:$G$28,$P1156)+INDEX(PARAMETROS_CULTURAS!$H$6:$H$28,$P1156),INDEX(PARAMETROS_CULTURAS!$L$6:$L$28,$P1156),INDEX(PARAMETROS_CULTURAS!$L$6:$L$28,$P1156)+(INDEX(PARAMETROS_CULTURAS!$M$6:$M$28,$P1156)-INDEX(PARAMETROS_CULTURAS!$L$6:$L$28,$P1156))*($O1156-INDEX(PARAMETROS_CULTURAS!$F$6:$F$28,$P1156)-INDEX(PARAMETROS_CULTURAS!$G$6:$G$28,$P1156)-INDEX(PARAMETROS_CULTURAS!$H$6:$H$28,$P1156))/MAX(INDEX(PARAMETROS_CULTURAS!$I$6:$I$28,$P1156),0.0001)))))</f>
        <v>1.15</v>
      </c>
      <c r="S1156" s="18" t="n">
        <f aca="false">IFERROR(INDEX(SEMANAS!$H$6:$H$71,MATCH($B1156,SEMANAS!$B$6:$B$71,0)),0)</f>
        <v>32.2</v>
      </c>
      <c r="T1156" s="18" t="n">
        <f aca="false">$R1156*$S1156</f>
        <v>37.03</v>
      </c>
      <c r="U1156" s="18" t="n">
        <f aca="false">IFERROR(INDEX(SEMANAS!$I$6:$I$71,MATCH($B1156,SEMANAS!$B$6:$B$71,0)),0)</f>
        <v>37.24</v>
      </c>
      <c r="V1156" s="18" t="n">
        <f aca="false">IFERROR(INDEX(SEMANAS!$J$6:$J$71,MATCH($B1156,SEMANAS!$B$6:$B$71,0)),0)</f>
        <v>29.792</v>
      </c>
      <c r="W1156" s="18" t="n">
        <f aca="false">MAX(0,$T1156-$V1156)</f>
        <v>7.23799999999999</v>
      </c>
      <c r="X1156" s="19" t="n">
        <f aca="false">IFERROR(INDEX(CADASTRO_PIVOS!$K$6:$K$41,MATCH($E1156,CADASTRO_PIVOS!$B$6:$B$41,0)),EFICIENCIA_PADRAO)</f>
        <v>0.85</v>
      </c>
      <c r="Y1156" s="18" t="n">
        <f aca="false">IF($X1156&lt;=0,0,$W1156/$X1156)</f>
        <v>8.51529411764705</v>
      </c>
      <c r="Z1156" s="16" t="n">
        <f aca="false">$Y1156*$H1156*MM_PARA_M3_HA</f>
        <v>12767.832</v>
      </c>
      <c r="AA1156" s="18" t="n">
        <f aca="false">IFERROR(INDEX(CADASTRO_PIVOS!$I$6:$I$41,MATCH($E1156,CADASTRO_PIVOS!$B$6:$B$41,0)),0)</f>
        <v>1071</v>
      </c>
      <c r="AB1156" s="18" t="n">
        <f aca="false">IF($Z1156&lt;=0,0,$Z1156/$AA1156)</f>
        <v>11.9214117647059</v>
      </c>
      <c r="AC1156" s="16" t="n">
        <f aca="false">IFERROR(INDEX(SEMANAS!$K$6:$K$71,MATCH($B1156,SEMANAS!$B$6:$B$71,0)),0)</f>
        <v>147</v>
      </c>
      <c r="AD1156" s="19" t="n">
        <f aca="false">IF($AC1156&lt;=0,0,$AB1156/$AC1156)</f>
        <v>0.0810980392156862</v>
      </c>
      <c r="AE1156" s="8" t="str">
        <f aca="false">IF($K1156="SEM CULTURA","SEM CULTURA",IF($AA1156&lt;=0,"DADO PENDENTE",IF($AD1156&gt;LIMITE_CRITICO,"INVIAVEL",IF($AD1156&gt;LIMITE_ATENCAO,"CRITICO",IF($AD1156&gt;LIMITE_CONFORTAVEL,"ATENCAO","OK")))))</f>
        <v>OK</v>
      </c>
      <c r="AF1156" s="8" t="str">
        <f aca="false">$B1156&amp;"|"&amp;TEXT($AD1156,"0.000000")</f>
        <v>29|0.081098</v>
      </c>
      <c r="AG1156" s="18" t="n">
        <f aca="false">IF($K1156="SEM CULTURA",0,$T1156*$H1156)</f>
        <v>5552.2782</v>
      </c>
      <c r="AH1156" s="18" t="n">
        <f aca="false">IF($K1156="SEM CULTURA",0,$V1156*$H1156)</f>
        <v>4467.01248</v>
      </c>
      <c r="AI1156" s="18" t="n">
        <f aca="false">IF($K1156="SEM CULTURA",0,$W1156*$H1156)</f>
        <v>1085.26572</v>
      </c>
      <c r="AJ1156" s="18" t="n">
        <f aca="false">IF($K1156="SEM CULTURA",0,$S1156*$H1156)</f>
        <v>4828.068</v>
      </c>
      <c r="AK1156" s="8" t="str">
        <f aca="false">$E1156&amp;"|"&amp;TEXT($AD1156,"0.000000")</f>
        <v>PV 117|0.081098</v>
      </c>
    </row>
    <row r="1157" customFormat="false" ht="15" hidden="false" customHeight="false" outlineLevel="0" collapsed="false">
      <c r="B1157" s="16" t="n">
        <v>30</v>
      </c>
      <c r="C1157" s="17" t="n">
        <f aca="false">DATA_INICIO_SAFRA+($B1157-1)*DIAS_POR_SEMANA</f>
        <v>46468</v>
      </c>
      <c r="D1157" s="17" t="n">
        <f aca="false">$C1157+DIAS_POR_SEMANA-1</f>
        <v>46474</v>
      </c>
      <c r="E1157" s="15" t="s">
        <v>276</v>
      </c>
      <c r="F1157" s="8" t="str">
        <f aca="false">IFERROR(INDEX(CADASTRO_PIVOS!$C$6:$C$41,MATCH($E1157,CADASTRO_PIVOS!$B$6:$B$41,0)),"?")</f>
        <v>RM06</v>
      </c>
      <c r="G1157" s="8" t="str">
        <f aca="false">IFERROR(INDEX(CADASTRO_PIVOS!$D$6:$D$41,MATCH($E1157,CADASTRO_PIVOS!$B$6:$B$41,0)),"?")</f>
        <v>TR06</v>
      </c>
      <c r="H1157" s="20" t="n">
        <f aca="false">IFERROR(INDEX(CADASTRO_PIVOS!$E$6:$E$41,MATCH($E1157,CADASTRO_PIVOS!$B$6:$B$41,0)),0)</f>
        <v>149.94</v>
      </c>
      <c r="I1157" s="16" t="n">
        <f aca="false">IFERROR(SUMIFS(ROTACAO_RDM!$B$6:$B$71,ROTACAO_RDM!$D$6:$D$71,$E1157,ROTACAO_RDM!$I$6:$I$71,"&lt;="&amp;$C1157+INT(DIAS_POR_SEMANA/2),ROTACAO_RDM!$J$6:$J$71,"&gt;="&amp;$C1157+INT(DIAS_POR_SEMANA/2)),0)</f>
        <v>29</v>
      </c>
      <c r="J1157" s="16" t="n">
        <f aca="false">IFERROR(MATCH($I1157,ROTACAO_RDM!$B$6:$B$71,0),0)</f>
        <v>29</v>
      </c>
      <c r="K1157" s="8" t="str">
        <f aca="false">IF($J1157=0,"SEM CULTURA",INDEX(ROTACAO_RDM!$F$6:$F$71,$J1157))</f>
        <v>ALGODAO</v>
      </c>
      <c r="L1157" s="8" t="str">
        <f aca="false">IF($J1157=0,"",INDEX(ROTACAO_RDM!$G$6:$G$71,$J1157))</f>
        <v>FM 974 GLT</v>
      </c>
      <c r="M1157" s="17" t="n">
        <f aca="false">IF($J1157=0,"",INDEX(ROTACAO_RDM!$I$6:$I$71,$J1157))</f>
        <v>46356</v>
      </c>
      <c r="N1157" s="16" t="n">
        <f aca="false">IF($J1157=0,0,MAX(0,$C1157+INT(DIAS_POR_SEMANA/2)-INDEX(ROTACAO_RDM!$I$6:$I$71,$J1157)))</f>
        <v>115</v>
      </c>
      <c r="O1157" s="19" t="n">
        <f aca="false">IF($J1157=0,0,MIN(1,$N1157/MAX(1,INDEX(ROTACAO_RDM!$K$6:$K$71,$J1157))))</f>
        <v>0.58974358974359</v>
      </c>
      <c r="P1157" s="16" t="n">
        <f aca="false">IF($J1157=0,0,IFERROR(MATCH(INDEX(ROTACAO_RDM!$N$6:$N$71,$J1157),PARAMETROS_CULTURAS!$B$6:$B$28,0),0))</f>
        <v>5</v>
      </c>
      <c r="Q1157" s="8" t="str">
        <f aca="false">IF($P1157=0,"-",IF($O1157&lt;=INDEX(PARAMETROS_CULTURAS!$F$6:$F$28,$P1157),"INICIAL",IF($O1157&lt;=INDEX(PARAMETROS_CULTURAS!$F$6:$F$28,$P1157)+INDEX(PARAMETROS_CULTURAS!$G$6:$G$28,$P1157),"DESENVOLVIMENTO",IF($O1157&lt;=INDEX(PARAMETROS_CULTURAS!$F$6:$F$28,$P1157)+INDEX(PARAMETROS_CULTURAS!$G$6:$G$28,$P1157)+INDEX(PARAMETROS_CULTURAS!$H$6:$H$28,$P1157),"MEDIA","FINAL"))))</f>
        <v>MEDIA</v>
      </c>
      <c r="R1157" s="24" t="n">
        <f aca="false">IF($P1157=0,0,IF($O1157&lt;=INDEX(PARAMETROS_CULTURAS!$F$6:$F$28,$P1157),INDEX(PARAMETROS_CULTURAS!$K$6:$K$28,$P1157),IF($O1157&lt;=INDEX(PARAMETROS_CULTURAS!$F$6:$F$28,$P1157)+INDEX(PARAMETROS_CULTURAS!$G$6:$G$28,$P1157),INDEX(PARAMETROS_CULTURAS!$K$6:$K$28,$P1157)+(INDEX(PARAMETROS_CULTURAS!$L$6:$L$28,$P1157)-INDEX(PARAMETROS_CULTURAS!$K$6:$K$28,$P1157))*($O1157-INDEX(PARAMETROS_CULTURAS!$F$6:$F$28,$P1157))/MAX(INDEX(PARAMETROS_CULTURAS!$G$6:$G$28,$P1157),0.0001),IF($O1157&lt;=INDEX(PARAMETROS_CULTURAS!$F$6:$F$28,$P1157)+INDEX(PARAMETROS_CULTURAS!$G$6:$G$28,$P1157)+INDEX(PARAMETROS_CULTURAS!$H$6:$H$28,$P1157),INDEX(PARAMETROS_CULTURAS!$L$6:$L$28,$P1157),INDEX(PARAMETROS_CULTURAS!$L$6:$L$28,$P1157)+(INDEX(PARAMETROS_CULTURAS!$M$6:$M$28,$P1157)-INDEX(PARAMETROS_CULTURAS!$L$6:$L$28,$P1157))*($O1157-INDEX(PARAMETROS_CULTURAS!$F$6:$F$28,$P1157)-INDEX(PARAMETROS_CULTURAS!$G$6:$G$28,$P1157)-INDEX(PARAMETROS_CULTURAS!$H$6:$H$28,$P1157))/MAX(INDEX(PARAMETROS_CULTURAS!$I$6:$I$28,$P1157),0.0001)))))</f>
        <v>1.15</v>
      </c>
      <c r="S1157" s="18" t="n">
        <f aca="false">IFERROR(INDEX(SEMANAS!$H$6:$H$71,MATCH($B1157,SEMANAS!$B$6:$B$71,0)),0)</f>
        <v>32.2</v>
      </c>
      <c r="T1157" s="18" t="n">
        <f aca="false">$R1157*$S1157</f>
        <v>37.03</v>
      </c>
      <c r="U1157" s="18" t="n">
        <f aca="false">IFERROR(INDEX(SEMANAS!$I$6:$I$71,MATCH($B1157,SEMANAS!$B$6:$B$71,0)),0)</f>
        <v>37.24</v>
      </c>
      <c r="V1157" s="18" t="n">
        <f aca="false">IFERROR(INDEX(SEMANAS!$J$6:$J$71,MATCH($B1157,SEMANAS!$B$6:$B$71,0)),0)</f>
        <v>29.792</v>
      </c>
      <c r="W1157" s="18" t="n">
        <f aca="false">MAX(0,$T1157-$V1157)</f>
        <v>7.23799999999999</v>
      </c>
      <c r="X1157" s="19" t="n">
        <f aca="false">IFERROR(INDEX(CADASTRO_PIVOS!$K$6:$K$41,MATCH($E1157,CADASTRO_PIVOS!$B$6:$B$41,0)),EFICIENCIA_PADRAO)</f>
        <v>0.85</v>
      </c>
      <c r="Y1157" s="18" t="n">
        <f aca="false">IF($X1157&lt;=0,0,$W1157/$X1157)</f>
        <v>8.51529411764705</v>
      </c>
      <c r="Z1157" s="16" t="n">
        <f aca="false">$Y1157*$H1157*MM_PARA_M3_HA</f>
        <v>12767.832</v>
      </c>
      <c r="AA1157" s="18" t="n">
        <f aca="false">IFERROR(INDEX(CADASTRO_PIVOS!$I$6:$I$41,MATCH($E1157,CADASTRO_PIVOS!$B$6:$B$41,0)),0)</f>
        <v>1071</v>
      </c>
      <c r="AB1157" s="18" t="n">
        <f aca="false">IF($Z1157&lt;=0,0,$Z1157/$AA1157)</f>
        <v>11.9214117647059</v>
      </c>
      <c r="AC1157" s="16" t="n">
        <f aca="false">IFERROR(INDEX(SEMANAS!$K$6:$K$71,MATCH($B1157,SEMANAS!$B$6:$B$71,0)),0)</f>
        <v>147</v>
      </c>
      <c r="AD1157" s="19" t="n">
        <f aca="false">IF($AC1157&lt;=0,0,$AB1157/$AC1157)</f>
        <v>0.0810980392156862</v>
      </c>
      <c r="AE1157" s="8" t="str">
        <f aca="false">IF($K1157="SEM CULTURA","SEM CULTURA",IF($AA1157&lt;=0,"DADO PENDENTE",IF($AD1157&gt;LIMITE_CRITICO,"INVIAVEL",IF($AD1157&gt;LIMITE_ATENCAO,"CRITICO",IF($AD1157&gt;LIMITE_CONFORTAVEL,"ATENCAO","OK")))))</f>
        <v>OK</v>
      </c>
      <c r="AF1157" s="8" t="str">
        <f aca="false">$B1157&amp;"|"&amp;TEXT($AD1157,"0.000000")</f>
        <v>30|0.081098</v>
      </c>
      <c r="AG1157" s="18" t="n">
        <f aca="false">IF($K1157="SEM CULTURA",0,$T1157*$H1157)</f>
        <v>5552.2782</v>
      </c>
      <c r="AH1157" s="18" t="n">
        <f aca="false">IF($K1157="SEM CULTURA",0,$V1157*$H1157)</f>
        <v>4467.01248</v>
      </c>
      <c r="AI1157" s="18" t="n">
        <f aca="false">IF($K1157="SEM CULTURA",0,$W1157*$H1157)</f>
        <v>1085.26572</v>
      </c>
      <c r="AJ1157" s="18" t="n">
        <f aca="false">IF($K1157="SEM CULTURA",0,$S1157*$H1157)</f>
        <v>4828.068</v>
      </c>
      <c r="AK1157" s="8" t="str">
        <f aca="false">$E1157&amp;"|"&amp;TEXT($AD1157,"0.000000")</f>
        <v>PV 117|0.081098</v>
      </c>
    </row>
    <row r="1158" customFormat="false" ht="15" hidden="false" customHeight="false" outlineLevel="0" collapsed="false">
      <c r="B1158" s="16" t="n">
        <v>31</v>
      </c>
      <c r="C1158" s="17" t="n">
        <f aca="false">DATA_INICIO_SAFRA+($B1158-1)*DIAS_POR_SEMANA</f>
        <v>46475</v>
      </c>
      <c r="D1158" s="17" t="n">
        <f aca="false">$C1158+DIAS_POR_SEMANA-1</f>
        <v>46481</v>
      </c>
      <c r="E1158" s="15" t="s">
        <v>276</v>
      </c>
      <c r="F1158" s="8" t="str">
        <f aca="false">IFERROR(INDEX(CADASTRO_PIVOS!$C$6:$C$41,MATCH($E1158,CADASTRO_PIVOS!$B$6:$B$41,0)),"?")</f>
        <v>RM06</v>
      </c>
      <c r="G1158" s="8" t="str">
        <f aca="false">IFERROR(INDEX(CADASTRO_PIVOS!$D$6:$D$41,MATCH($E1158,CADASTRO_PIVOS!$B$6:$B$41,0)),"?")</f>
        <v>TR06</v>
      </c>
      <c r="H1158" s="20" t="n">
        <f aca="false">IFERROR(INDEX(CADASTRO_PIVOS!$E$6:$E$41,MATCH($E1158,CADASTRO_PIVOS!$B$6:$B$41,0)),0)</f>
        <v>149.94</v>
      </c>
      <c r="I1158" s="16" t="n">
        <f aca="false">IFERROR(SUMIFS(ROTACAO_RDM!$B$6:$B$71,ROTACAO_RDM!$D$6:$D$71,$E1158,ROTACAO_RDM!$I$6:$I$71,"&lt;="&amp;$C1158+INT(DIAS_POR_SEMANA/2),ROTACAO_RDM!$J$6:$J$71,"&gt;="&amp;$C1158+INT(DIAS_POR_SEMANA/2)),0)</f>
        <v>29</v>
      </c>
      <c r="J1158" s="16" t="n">
        <f aca="false">IFERROR(MATCH($I1158,ROTACAO_RDM!$B$6:$B$71,0),0)</f>
        <v>29</v>
      </c>
      <c r="K1158" s="8" t="str">
        <f aca="false">IF($J1158=0,"SEM CULTURA",INDEX(ROTACAO_RDM!$F$6:$F$71,$J1158))</f>
        <v>ALGODAO</v>
      </c>
      <c r="L1158" s="8" t="str">
        <f aca="false">IF($J1158=0,"",INDEX(ROTACAO_RDM!$G$6:$G$71,$J1158))</f>
        <v>FM 974 GLT</v>
      </c>
      <c r="M1158" s="17" t="n">
        <f aca="false">IF($J1158=0,"",INDEX(ROTACAO_RDM!$I$6:$I$71,$J1158))</f>
        <v>46356</v>
      </c>
      <c r="N1158" s="16" t="n">
        <f aca="false">IF($J1158=0,0,MAX(0,$C1158+INT(DIAS_POR_SEMANA/2)-INDEX(ROTACAO_RDM!$I$6:$I$71,$J1158)))</f>
        <v>122</v>
      </c>
      <c r="O1158" s="19" t="n">
        <f aca="false">IF($J1158=0,0,MIN(1,$N1158/MAX(1,INDEX(ROTACAO_RDM!$K$6:$K$71,$J1158))))</f>
        <v>0.625641025641026</v>
      </c>
      <c r="P1158" s="16" t="n">
        <f aca="false">IF($J1158=0,0,IFERROR(MATCH(INDEX(ROTACAO_RDM!$N$6:$N$71,$J1158),PARAMETROS_CULTURAS!$B$6:$B$28,0),0))</f>
        <v>5</v>
      </c>
      <c r="Q1158" s="8" t="str">
        <f aca="false">IF($P1158=0,"-",IF($O1158&lt;=INDEX(PARAMETROS_CULTURAS!$F$6:$F$28,$P1158),"INICIAL",IF($O1158&lt;=INDEX(PARAMETROS_CULTURAS!$F$6:$F$28,$P1158)+INDEX(PARAMETROS_CULTURAS!$G$6:$G$28,$P1158),"DESENVOLVIMENTO",IF($O1158&lt;=INDEX(PARAMETROS_CULTURAS!$F$6:$F$28,$P1158)+INDEX(PARAMETROS_CULTURAS!$G$6:$G$28,$P1158)+INDEX(PARAMETROS_CULTURAS!$H$6:$H$28,$P1158),"MEDIA","FINAL"))))</f>
        <v>MEDIA</v>
      </c>
      <c r="R1158" s="24" t="n">
        <f aca="false">IF($P1158=0,0,IF($O1158&lt;=INDEX(PARAMETROS_CULTURAS!$F$6:$F$28,$P1158),INDEX(PARAMETROS_CULTURAS!$K$6:$K$28,$P1158),IF($O1158&lt;=INDEX(PARAMETROS_CULTURAS!$F$6:$F$28,$P1158)+INDEX(PARAMETROS_CULTURAS!$G$6:$G$28,$P1158),INDEX(PARAMETROS_CULTURAS!$K$6:$K$28,$P1158)+(INDEX(PARAMETROS_CULTURAS!$L$6:$L$28,$P1158)-INDEX(PARAMETROS_CULTURAS!$K$6:$K$28,$P1158))*($O1158-INDEX(PARAMETROS_CULTURAS!$F$6:$F$28,$P1158))/MAX(INDEX(PARAMETROS_CULTURAS!$G$6:$G$28,$P1158),0.0001),IF($O1158&lt;=INDEX(PARAMETROS_CULTURAS!$F$6:$F$28,$P1158)+INDEX(PARAMETROS_CULTURAS!$G$6:$G$28,$P1158)+INDEX(PARAMETROS_CULTURAS!$H$6:$H$28,$P1158),INDEX(PARAMETROS_CULTURAS!$L$6:$L$28,$P1158),INDEX(PARAMETROS_CULTURAS!$L$6:$L$28,$P1158)+(INDEX(PARAMETROS_CULTURAS!$M$6:$M$28,$P1158)-INDEX(PARAMETROS_CULTURAS!$L$6:$L$28,$P1158))*($O1158-INDEX(PARAMETROS_CULTURAS!$F$6:$F$28,$P1158)-INDEX(PARAMETROS_CULTURAS!$G$6:$G$28,$P1158)-INDEX(PARAMETROS_CULTURAS!$H$6:$H$28,$P1158))/MAX(INDEX(PARAMETROS_CULTURAS!$I$6:$I$28,$P1158),0.0001)))))</f>
        <v>1.15</v>
      </c>
      <c r="S1158" s="18" t="n">
        <f aca="false">IFERROR(INDEX(SEMANAS!$H$6:$H$71,MATCH($B1158,SEMANAS!$B$6:$B$71,0)),0)</f>
        <v>31.8</v>
      </c>
      <c r="T1158" s="18" t="n">
        <f aca="false">$R1158*$S1158</f>
        <v>36.57</v>
      </c>
      <c r="U1158" s="18" t="n">
        <f aca="false">IFERROR(INDEX(SEMANAS!$I$6:$I$71,MATCH($B1158,SEMANAS!$B$6:$B$71,0)),0)</f>
        <v>25.28</v>
      </c>
      <c r="V1158" s="18" t="n">
        <f aca="false">IFERROR(INDEX(SEMANAS!$J$6:$J$71,MATCH($B1158,SEMANAS!$B$6:$B$71,0)),0)</f>
        <v>20.224</v>
      </c>
      <c r="W1158" s="18" t="n">
        <f aca="false">MAX(0,$T1158-$V1158)</f>
        <v>16.346</v>
      </c>
      <c r="X1158" s="19" t="n">
        <f aca="false">IFERROR(INDEX(CADASTRO_PIVOS!$K$6:$K$41,MATCH($E1158,CADASTRO_PIVOS!$B$6:$B$41,0)),EFICIENCIA_PADRAO)</f>
        <v>0.85</v>
      </c>
      <c r="Y1158" s="18" t="n">
        <f aca="false">IF($X1158&lt;=0,0,$W1158/$X1158)</f>
        <v>19.2305882352941</v>
      </c>
      <c r="Z1158" s="16" t="n">
        <f aca="false">$Y1158*$H1158*MM_PARA_M3_HA</f>
        <v>28834.344</v>
      </c>
      <c r="AA1158" s="18" t="n">
        <f aca="false">IFERROR(INDEX(CADASTRO_PIVOS!$I$6:$I$41,MATCH($E1158,CADASTRO_PIVOS!$B$6:$B$41,0)),0)</f>
        <v>1071</v>
      </c>
      <c r="AB1158" s="18" t="n">
        <f aca="false">IF($Z1158&lt;=0,0,$Z1158/$AA1158)</f>
        <v>26.9228235294118</v>
      </c>
      <c r="AC1158" s="16" t="n">
        <f aca="false">IFERROR(INDEX(SEMANAS!$K$6:$K$71,MATCH($B1158,SEMANAS!$B$6:$B$71,0)),0)</f>
        <v>147</v>
      </c>
      <c r="AD1158" s="19" t="n">
        <f aca="false">IF($AC1158&lt;=0,0,$AB1158/$AC1158)</f>
        <v>0.183148459383753</v>
      </c>
      <c r="AE1158" s="8" t="str">
        <f aca="false">IF($K1158="SEM CULTURA","SEM CULTURA",IF($AA1158&lt;=0,"DADO PENDENTE",IF($AD1158&gt;LIMITE_CRITICO,"INVIAVEL",IF($AD1158&gt;LIMITE_ATENCAO,"CRITICO",IF($AD1158&gt;LIMITE_CONFORTAVEL,"ATENCAO","OK")))))</f>
        <v>OK</v>
      </c>
      <c r="AF1158" s="8" t="str">
        <f aca="false">$B1158&amp;"|"&amp;TEXT($AD1158,"0.000000")</f>
        <v>31|0.183148</v>
      </c>
      <c r="AG1158" s="18" t="n">
        <f aca="false">IF($K1158="SEM CULTURA",0,$T1158*$H1158)</f>
        <v>5483.3058</v>
      </c>
      <c r="AH1158" s="18" t="n">
        <f aca="false">IF($K1158="SEM CULTURA",0,$V1158*$H1158)</f>
        <v>3032.38656</v>
      </c>
      <c r="AI1158" s="18" t="n">
        <f aca="false">IF($K1158="SEM CULTURA",0,$W1158*$H1158)</f>
        <v>2450.91924</v>
      </c>
      <c r="AJ1158" s="18" t="n">
        <f aca="false">IF($K1158="SEM CULTURA",0,$S1158*$H1158)</f>
        <v>4768.092</v>
      </c>
      <c r="AK1158" s="8" t="str">
        <f aca="false">$E1158&amp;"|"&amp;TEXT($AD1158,"0.000000")</f>
        <v>PV 117|0.183148</v>
      </c>
    </row>
    <row r="1159" customFormat="false" ht="15" hidden="false" customHeight="false" outlineLevel="0" collapsed="false">
      <c r="B1159" s="16" t="n">
        <v>32</v>
      </c>
      <c r="C1159" s="17" t="n">
        <f aca="false">DATA_INICIO_SAFRA+($B1159-1)*DIAS_POR_SEMANA</f>
        <v>46482</v>
      </c>
      <c r="D1159" s="17" t="n">
        <f aca="false">$C1159+DIAS_POR_SEMANA-1</f>
        <v>46488</v>
      </c>
      <c r="E1159" s="15" t="s">
        <v>276</v>
      </c>
      <c r="F1159" s="8" t="str">
        <f aca="false">IFERROR(INDEX(CADASTRO_PIVOS!$C$6:$C$41,MATCH($E1159,CADASTRO_PIVOS!$B$6:$B$41,0)),"?")</f>
        <v>RM06</v>
      </c>
      <c r="G1159" s="8" t="str">
        <f aca="false">IFERROR(INDEX(CADASTRO_PIVOS!$D$6:$D$41,MATCH($E1159,CADASTRO_PIVOS!$B$6:$B$41,0)),"?")</f>
        <v>TR06</v>
      </c>
      <c r="H1159" s="20" t="n">
        <f aca="false">IFERROR(INDEX(CADASTRO_PIVOS!$E$6:$E$41,MATCH($E1159,CADASTRO_PIVOS!$B$6:$B$41,0)),0)</f>
        <v>149.94</v>
      </c>
      <c r="I1159" s="16" t="n">
        <f aca="false">IFERROR(SUMIFS(ROTACAO_RDM!$B$6:$B$71,ROTACAO_RDM!$D$6:$D$71,$E1159,ROTACAO_RDM!$I$6:$I$71,"&lt;="&amp;$C1159+INT(DIAS_POR_SEMANA/2),ROTACAO_RDM!$J$6:$J$71,"&gt;="&amp;$C1159+INT(DIAS_POR_SEMANA/2)),0)</f>
        <v>29</v>
      </c>
      <c r="J1159" s="16" t="n">
        <f aca="false">IFERROR(MATCH($I1159,ROTACAO_RDM!$B$6:$B$71,0),0)</f>
        <v>29</v>
      </c>
      <c r="K1159" s="8" t="str">
        <f aca="false">IF($J1159=0,"SEM CULTURA",INDEX(ROTACAO_RDM!$F$6:$F$71,$J1159))</f>
        <v>ALGODAO</v>
      </c>
      <c r="L1159" s="8" t="str">
        <f aca="false">IF($J1159=0,"",INDEX(ROTACAO_RDM!$G$6:$G$71,$J1159))</f>
        <v>FM 974 GLT</v>
      </c>
      <c r="M1159" s="17" t="n">
        <f aca="false">IF($J1159=0,"",INDEX(ROTACAO_RDM!$I$6:$I$71,$J1159))</f>
        <v>46356</v>
      </c>
      <c r="N1159" s="16" t="n">
        <f aca="false">IF($J1159=0,0,MAX(0,$C1159+INT(DIAS_POR_SEMANA/2)-INDEX(ROTACAO_RDM!$I$6:$I$71,$J1159)))</f>
        <v>129</v>
      </c>
      <c r="O1159" s="19" t="n">
        <f aca="false">IF($J1159=0,0,MIN(1,$N1159/MAX(1,INDEX(ROTACAO_RDM!$K$6:$K$71,$J1159))))</f>
        <v>0.661538461538462</v>
      </c>
      <c r="P1159" s="16" t="n">
        <f aca="false">IF($J1159=0,0,IFERROR(MATCH(INDEX(ROTACAO_RDM!$N$6:$N$71,$J1159),PARAMETROS_CULTURAS!$B$6:$B$28,0),0))</f>
        <v>5</v>
      </c>
      <c r="Q1159" s="8" t="str">
        <f aca="false">IF($P1159=0,"-",IF($O1159&lt;=INDEX(PARAMETROS_CULTURAS!$F$6:$F$28,$P1159),"INICIAL",IF($O1159&lt;=INDEX(PARAMETROS_CULTURAS!$F$6:$F$28,$P1159)+INDEX(PARAMETROS_CULTURAS!$G$6:$G$28,$P1159),"DESENVOLVIMENTO",IF($O1159&lt;=INDEX(PARAMETROS_CULTURAS!$F$6:$F$28,$P1159)+INDEX(PARAMETROS_CULTURAS!$G$6:$G$28,$P1159)+INDEX(PARAMETROS_CULTURAS!$H$6:$H$28,$P1159),"MEDIA","FINAL"))))</f>
        <v>MEDIA</v>
      </c>
      <c r="R1159" s="24" t="n">
        <f aca="false">IF($P1159=0,0,IF($O1159&lt;=INDEX(PARAMETROS_CULTURAS!$F$6:$F$28,$P1159),INDEX(PARAMETROS_CULTURAS!$K$6:$K$28,$P1159),IF($O1159&lt;=INDEX(PARAMETROS_CULTURAS!$F$6:$F$28,$P1159)+INDEX(PARAMETROS_CULTURAS!$G$6:$G$28,$P1159),INDEX(PARAMETROS_CULTURAS!$K$6:$K$28,$P1159)+(INDEX(PARAMETROS_CULTURAS!$L$6:$L$28,$P1159)-INDEX(PARAMETROS_CULTURAS!$K$6:$K$28,$P1159))*($O1159-INDEX(PARAMETROS_CULTURAS!$F$6:$F$28,$P1159))/MAX(INDEX(PARAMETROS_CULTURAS!$G$6:$G$28,$P1159),0.0001),IF($O1159&lt;=INDEX(PARAMETROS_CULTURAS!$F$6:$F$28,$P1159)+INDEX(PARAMETROS_CULTURAS!$G$6:$G$28,$P1159)+INDEX(PARAMETROS_CULTURAS!$H$6:$H$28,$P1159),INDEX(PARAMETROS_CULTURAS!$L$6:$L$28,$P1159),INDEX(PARAMETROS_CULTURAS!$L$6:$L$28,$P1159)+(INDEX(PARAMETROS_CULTURAS!$M$6:$M$28,$P1159)-INDEX(PARAMETROS_CULTURAS!$L$6:$L$28,$P1159))*($O1159-INDEX(PARAMETROS_CULTURAS!$F$6:$F$28,$P1159)-INDEX(PARAMETROS_CULTURAS!$G$6:$G$28,$P1159)-INDEX(PARAMETROS_CULTURAS!$H$6:$H$28,$P1159))/MAX(INDEX(PARAMETROS_CULTURAS!$I$6:$I$28,$P1159),0.0001)))))</f>
        <v>1.15</v>
      </c>
      <c r="S1159" s="18" t="n">
        <f aca="false">IFERROR(INDEX(SEMANAS!$H$6:$H$71,MATCH($B1159,SEMANAS!$B$6:$B$71,0)),0)</f>
        <v>31.5</v>
      </c>
      <c r="T1159" s="18" t="n">
        <f aca="false">$R1159*$S1159</f>
        <v>36.225</v>
      </c>
      <c r="U1159" s="18" t="n">
        <f aca="false">IFERROR(INDEX(SEMANAS!$I$6:$I$71,MATCH($B1159,SEMANAS!$B$6:$B$71,0)),0)</f>
        <v>16.31</v>
      </c>
      <c r="V1159" s="18" t="n">
        <f aca="false">IFERROR(INDEX(SEMANAS!$J$6:$J$71,MATCH($B1159,SEMANAS!$B$6:$B$71,0)),0)</f>
        <v>13.048</v>
      </c>
      <c r="W1159" s="18" t="n">
        <f aca="false">MAX(0,$T1159-$V1159)</f>
        <v>23.177</v>
      </c>
      <c r="X1159" s="19" t="n">
        <f aca="false">IFERROR(INDEX(CADASTRO_PIVOS!$K$6:$K$41,MATCH($E1159,CADASTRO_PIVOS!$B$6:$B$41,0)),EFICIENCIA_PADRAO)</f>
        <v>0.85</v>
      </c>
      <c r="Y1159" s="18" t="n">
        <f aca="false">IF($X1159&lt;=0,0,$W1159/$X1159)</f>
        <v>27.2670588235294</v>
      </c>
      <c r="Z1159" s="16" t="n">
        <f aca="false">$Y1159*$H1159*MM_PARA_M3_HA</f>
        <v>40884.228</v>
      </c>
      <c r="AA1159" s="18" t="n">
        <f aca="false">IFERROR(INDEX(CADASTRO_PIVOS!$I$6:$I$41,MATCH($E1159,CADASTRO_PIVOS!$B$6:$B$41,0)),0)</f>
        <v>1071</v>
      </c>
      <c r="AB1159" s="18" t="n">
        <f aca="false">IF($Z1159&lt;=0,0,$Z1159/$AA1159)</f>
        <v>38.1738823529412</v>
      </c>
      <c r="AC1159" s="16" t="n">
        <f aca="false">IFERROR(INDEX(SEMANAS!$K$6:$K$71,MATCH($B1159,SEMANAS!$B$6:$B$71,0)),0)</f>
        <v>147</v>
      </c>
      <c r="AD1159" s="19" t="n">
        <f aca="false">IF($AC1159&lt;=0,0,$AB1159/$AC1159)</f>
        <v>0.259686274509804</v>
      </c>
      <c r="AE1159" s="8" t="str">
        <f aca="false">IF($K1159="SEM CULTURA","SEM CULTURA",IF($AA1159&lt;=0,"DADO PENDENTE",IF($AD1159&gt;LIMITE_CRITICO,"INVIAVEL",IF($AD1159&gt;LIMITE_ATENCAO,"CRITICO",IF($AD1159&gt;LIMITE_CONFORTAVEL,"ATENCAO","OK")))))</f>
        <v>OK</v>
      </c>
      <c r="AF1159" s="8" t="str">
        <f aca="false">$B1159&amp;"|"&amp;TEXT($AD1159,"0.000000")</f>
        <v>32|0.259686</v>
      </c>
      <c r="AG1159" s="18" t="n">
        <f aca="false">IF($K1159="SEM CULTURA",0,$T1159*$H1159)</f>
        <v>5431.5765</v>
      </c>
      <c r="AH1159" s="18" t="n">
        <f aca="false">IF($K1159="SEM CULTURA",0,$V1159*$H1159)</f>
        <v>1956.41712</v>
      </c>
      <c r="AI1159" s="18" t="n">
        <f aca="false">IF($K1159="SEM CULTURA",0,$W1159*$H1159)</f>
        <v>3475.15938</v>
      </c>
      <c r="AJ1159" s="18" t="n">
        <f aca="false">IF($K1159="SEM CULTURA",0,$S1159*$H1159)</f>
        <v>4723.11</v>
      </c>
      <c r="AK1159" s="8" t="str">
        <f aca="false">$E1159&amp;"|"&amp;TEXT($AD1159,"0.000000")</f>
        <v>PV 117|0.259686</v>
      </c>
    </row>
    <row r="1160" customFormat="false" ht="15" hidden="false" customHeight="false" outlineLevel="0" collapsed="false">
      <c r="B1160" s="16" t="n">
        <v>33</v>
      </c>
      <c r="C1160" s="17" t="n">
        <f aca="false">DATA_INICIO_SAFRA+($B1160-1)*DIAS_POR_SEMANA</f>
        <v>46489</v>
      </c>
      <c r="D1160" s="17" t="n">
        <f aca="false">$C1160+DIAS_POR_SEMANA-1</f>
        <v>46495</v>
      </c>
      <c r="E1160" s="15" t="s">
        <v>276</v>
      </c>
      <c r="F1160" s="8" t="str">
        <f aca="false">IFERROR(INDEX(CADASTRO_PIVOS!$C$6:$C$41,MATCH($E1160,CADASTRO_PIVOS!$B$6:$B$41,0)),"?")</f>
        <v>RM06</v>
      </c>
      <c r="G1160" s="8" t="str">
        <f aca="false">IFERROR(INDEX(CADASTRO_PIVOS!$D$6:$D$41,MATCH($E1160,CADASTRO_PIVOS!$B$6:$B$41,0)),"?")</f>
        <v>TR06</v>
      </c>
      <c r="H1160" s="20" t="n">
        <f aca="false">IFERROR(INDEX(CADASTRO_PIVOS!$E$6:$E$41,MATCH($E1160,CADASTRO_PIVOS!$B$6:$B$41,0)),0)</f>
        <v>149.94</v>
      </c>
      <c r="I1160" s="16" t="n">
        <f aca="false">IFERROR(SUMIFS(ROTACAO_RDM!$B$6:$B$71,ROTACAO_RDM!$D$6:$D$71,$E1160,ROTACAO_RDM!$I$6:$I$71,"&lt;="&amp;$C1160+INT(DIAS_POR_SEMANA/2),ROTACAO_RDM!$J$6:$J$71,"&gt;="&amp;$C1160+INT(DIAS_POR_SEMANA/2)),0)</f>
        <v>29</v>
      </c>
      <c r="J1160" s="16" t="n">
        <f aca="false">IFERROR(MATCH($I1160,ROTACAO_RDM!$B$6:$B$71,0),0)</f>
        <v>29</v>
      </c>
      <c r="K1160" s="8" t="str">
        <f aca="false">IF($J1160=0,"SEM CULTURA",INDEX(ROTACAO_RDM!$F$6:$F$71,$J1160))</f>
        <v>ALGODAO</v>
      </c>
      <c r="L1160" s="8" t="str">
        <f aca="false">IF($J1160=0,"",INDEX(ROTACAO_RDM!$G$6:$G$71,$J1160))</f>
        <v>FM 974 GLT</v>
      </c>
      <c r="M1160" s="17" t="n">
        <f aca="false">IF($J1160=0,"",INDEX(ROTACAO_RDM!$I$6:$I$71,$J1160))</f>
        <v>46356</v>
      </c>
      <c r="N1160" s="16" t="n">
        <f aca="false">IF($J1160=0,0,MAX(0,$C1160+INT(DIAS_POR_SEMANA/2)-INDEX(ROTACAO_RDM!$I$6:$I$71,$J1160)))</f>
        <v>136</v>
      </c>
      <c r="O1160" s="19" t="n">
        <f aca="false">IF($J1160=0,0,MIN(1,$N1160/MAX(1,INDEX(ROTACAO_RDM!$K$6:$K$71,$J1160))))</f>
        <v>0.697435897435897</v>
      </c>
      <c r="P1160" s="16" t="n">
        <f aca="false">IF($J1160=0,0,IFERROR(MATCH(INDEX(ROTACAO_RDM!$N$6:$N$71,$J1160),PARAMETROS_CULTURAS!$B$6:$B$28,0),0))</f>
        <v>5</v>
      </c>
      <c r="Q1160" s="8" t="str">
        <f aca="false">IF($P1160=0,"-",IF($O1160&lt;=INDEX(PARAMETROS_CULTURAS!$F$6:$F$28,$P1160),"INICIAL",IF($O1160&lt;=INDEX(PARAMETROS_CULTURAS!$F$6:$F$28,$P1160)+INDEX(PARAMETROS_CULTURAS!$G$6:$G$28,$P1160),"DESENVOLVIMENTO",IF($O1160&lt;=INDEX(PARAMETROS_CULTURAS!$F$6:$F$28,$P1160)+INDEX(PARAMETROS_CULTURAS!$G$6:$G$28,$P1160)+INDEX(PARAMETROS_CULTURAS!$H$6:$H$28,$P1160),"MEDIA","FINAL"))))</f>
        <v>MEDIA</v>
      </c>
      <c r="R1160" s="24" t="n">
        <f aca="false">IF($P1160=0,0,IF($O1160&lt;=INDEX(PARAMETROS_CULTURAS!$F$6:$F$28,$P1160),INDEX(PARAMETROS_CULTURAS!$K$6:$K$28,$P1160),IF($O1160&lt;=INDEX(PARAMETROS_CULTURAS!$F$6:$F$28,$P1160)+INDEX(PARAMETROS_CULTURAS!$G$6:$G$28,$P1160),INDEX(PARAMETROS_CULTURAS!$K$6:$K$28,$P1160)+(INDEX(PARAMETROS_CULTURAS!$L$6:$L$28,$P1160)-INDEX(PARAMETROS_CULTURAS!$K$6:$K$28,$P1160))*($O1160-INDEX(PARAMETROS_CULTURAS!$F$6:$F$28,$P1160))/MAX(INDEX(PARAMETROS_CULTURAS!$G$6:$G$28,$P1160),0.0001),IF($O1160&lt;=INDEX(PARAMETROS_CULTURAS!$F$6:$F$28,$P1160)+INDEX(PARAMETROS_CULTURAS!$G$6:$G$28,$P1160)+INDEX(PARAMETROS_CULTURAS!$H$6:$H$28,$P1160),INDEX(PARAMETROS_CULTURAS!$L$6:$L$28,$P1160),INDEX(PARAMETROS_CULTURAS!$L$6:$L$28,$P1160)+(INDEX(PARAMETROS_CULTURAS!$M$6:$M$28,$P1160)-INDEX(PARAMETROS_CULTURAS!$L$6:$L$28,$P1160))*($O1160-INDEX(PARAMETROS_CULTURAS!$F$6:$F$28,$P1160)-INDEX(PARAMETROS_CULTURAS!$G$6:$G$28,$P1160)-INDEX(PARAMETROS_CULTURAS!$H$6:$H$28,$P1160))/MAX(INDEX(PARAMETROS_CULTURAS!$I$6:$I$28,$P1160),0.0001)))))</f>
        <v>1.15</v>
      </c>
      <c r="S1160" s="18" t="n">
        <f aca="false">IFERROR(INDEX(SEMANAS!$H$6:$H$71,MATCH($B1160,SEMANAS!$B$6:$B$71,0)),0)</f>
        <v>31.5</v>
      </c>
      <c r="T1160" s="18" t="n">
        <f aca="false">$R1160*$S1160</f>
        <v>36.225</v>
      </c>
      <c r="U1160" s="18" t="n">
        <f aca="false">IFERROR(INDEX(SEMANAS!$I$6:$I$71,MATCH($B1160,SEMANAS!$B$6:$B$71,0)),0)</f>
        <v>16.31</v>
      </c>
      <c r="V1160" s="18" t="n">
        <f aca="false">IFERROR(INDEX(SEMANAS!$J$6:$J$71,MATCH($B1160,SEMANAS!$B$6:$B$71,0)),0)</f>
        <v>13.048</v>
      </c>
      <c r="W1160" s="18" t="n">
        <f aca="false">MAX(0,$T1160-$V1160)</f>
        <v>23.177</v>
      </c>
      <c r="X1160" s="19" t="n">
        <f aca="false">IFERROR(INDEX(CADASTRO_PIVOS!$K$6:$K$41,MATCH($E1160,CADASTRO_PIVOS!$B$6:$B$41,0)),EFICIENCIA_PADRAO)</f>
        <v>0.85</v>
      </c>
      <c r="Y1160" s="18" t="n">
        <f aca="false">IF($X1160&lt;=0,0,$W1160/$X1160)</f>
        <v>27.2670588235294</v>
      </c>
      <c r="Z1160" s="16" t="n">
        <f aca="false">$Y1160*$H1160*MM_PARA_M3_HA</f>
        <v>40884.228</v>
      </c>
      <c r="AA1160" s="18" t="n">
        <f aca="false">IFERROR(INDEX(CADASTRO_PIVOS!$I$6:$I$41,MATCH($E1160,CADASTRO_PIVOS!$B$6:$B$41,0)),0)</f>
        <v>1071</v>
      </c>
      <c r="AB1160" s="18" t="n">
        <f aca="false">IF($Z1160&lt;=0,0,$Z1160/$AA1160)</f>
        <v>38.1738823529412</v>
      </c>
      <c r="AC1160" s="16" t="n">
        <f aca="false">IFERROR(INDEX(SEMANAS!$K$6:$K$71,MATCH($B1160,SEMANAS!$B$6:$B$71,0)),0)</f>
        <v>147</v>
      </c>
      <c r="AD1160" s="19" t="n">
        <f aca="false">IF($AC1160&lt;=0,0,$AB1160/$AC1160)</f>
        <v>0.259686274509804</v>
      </c>
      <c r="AE1160" s="8" t="str">
        <f aca="false">IF($K1160="SEM CULTURA","SEM CULTURA",IF($AA1160&lt;=0,"DADO PENDENTE",IF($AD1160&gt;LIMITE_CRITICO,"INVIAVEL",IF($AD1160&gt;LIMITE_ATENCAO,"CRITICO",IF($AD1160&gt;LIMITE_CONFORTAVEL,"ATENCAO","OK")))))</f>
        <v>OK</v>
      </c>
      <c r="AF1160" s="8" t="str">
        <f aca="false">$B1160&amp;"|"&amp;TEXT($AD1160,"0.000000")</f>
        <v>33|0.259686</v>
      </c>
      <c r="AG1160" s="18" t="n">
        <f aca="false">IF($K1160="SEM CULTURA",0,$T1160*$H1160)</f>
        <v>5431.5765</v>
      </c>
      <c r="AH1160" s="18" t="n">
        <f aca="false">IF($K1160="SEM CULTURA",0,$V1160*$H1160)</f>
        <v>1956.41712</v>
      </c>
      <c r="AI1160" s="18" t="n">
        <f aca="false">IF($K1160="SEM CULTURA",0,$W1160*$H1160)</f>
        <v>3475.15938</v>
      </c>
      <c r="AJ1160" s="18" t="n">
        <f aca="false">IF($K1160="SEM CULTURA",0,$S1160*$H1160)</f>
        <v>4723.11</v>
      </c>
      <c r="AK1160" s="8" t="str">
        <f aca="false">$E1160&amp;"|"&amp;TEXT($AD1160,"0.000000")</f>
        <v>PV 117|0.259686</v>
      </c>
    </row>
    <row r="1161" customFormat="false" ht="15" hidden="false" customHeight="false" outlineLevel="0" collapsed="false">
      <c r="B1161" s="16" t="n">
        <v>34</v>
      </c>
      <c r="C1161" s="17" t="n">
        <f aca="false">DATA_INICIO_SAFRA+($B1161-1)*DIAS_POR_SEMANA</f>
        <v>46496</v>
      </c>
      <c r="D1161" s="17" t="n">
        <f aca="false">$C1161+DIAS_POR_SEMANA-1</f>
        <v>46502</v>
      </c>
      <c r="E1161" s="15" t="s">
        <v>276</v>
      </c>
      <c r="F1161" s="8" t="str">
        <f aca="false">IFERROR(INDEX(CADASTRO_PIVOS!$C$6:$C$41,MATCH($E1161,CADASTRO_PIVOS!$B$6:$B$41,0)),"?")</f>
        <v>RM06</v>
      </c>
      <c r="G1161" s="8" t="str">
        <f aca="false">IFERROR(INDEX(CADASTRO_PIVOS!$D$6:$D$41,MATCH($E1161,CADASTRO_PIVOS!$B$6:$B$41,0)),"?")</f>
        <v>TR06</v>
      </c>
      <c r="H1161" s="20" t="n">
        <f aca="false">IFERROR(INDEX(CADASTRO_PIVOS!$E$6:$E$41,MATCH($E1161,CADASTRO_PIVOS!$B$6:$B$41,0)),0)</f>
        <v>149.94</v>
      </c>
      <c r="I1161" s="16" t="n">
        <f aca="false">IFERROR(SUMIFS(ROTACAO_RDM!$B$6:$B$71,ROTACAO_RDM!$D$6:$D$71,$E1161,ROTACAO_RDM!$I$6:$I$71,"&lt;="&amp;$C1161+INT(DIAS_POR_SEMANA/2),ROTACAO_RDM!$J$6:$J$71,"&gt;="&amp;$C1161+INT(DIAS_POR_SEMANA/2)),0)</f>
        <v>29</v>
      </c>
      <c r="J1161" s="16" t="n">
        <f aca="false">IFERROR(MATCH($I1161,ROTACAO_RDM!$B$6:$B$71,0),0)</f>
        <v>29</v>
      </c>
      <c r="K1161" s="8" t="str">
        <f aca="false">IF($J1161=0,"SEM CULTURA",INDEX(ROTACAO_RDM!$F$6:$F$71,$J1161))</f>
        <v>ALGODAO</v>
      </c>
      <c r="L1161" s="8" t="str">
        <f aca="false">IF($J1161=0,"",INDEX(ROTACAO_RDM!$G$6:$G$71,$J1161))</f>
        <v>FM 974 GLT</v>
      </c>
      <c r="M1161" s="17" t="n">
        <f aca="false">IF($J1161=0,"",INDEX(ROTACAO_RDM!$I$6:$I$71,$J1161))</f>
        <v>46356</v>
      </c>
      <c r="N1161" s="16" t="n">
        <f aca="false">IF($J1161=0,0,MAX(0,$C1161+INT(DIAS_POR_SEMANA/2)-INDEX(ROTACAO_RDM!$I$6:$I$71,$J1161)))</f>
        <v>143</v>
      </c>
      <c r="O1161" s="19" t="n">
        <f aca="false">IF($J1161=0,0,MIN(1,$N1161/MAX(1,INDEX(ROTACAO_RDM!$K$6:$K$71,$J1161))))</f>
        <v>0.733333333333333</v>
      </c>
      <c r="P1161" s="16" t="n">
        <f aca="false">IF($J1161=0,0,IFERROR(MATCH(INDEX(ROTACAO_RDM!$N$6:$N$71,$J1161),PARAMETROS_CULTURAS!$B$6:$B$28,0),0))</f>
        <v>5</v>
      </c>
      <c r="Q1161" s="8" t="str">
        <f aca="false">IF($P1161=0,"-",IF($O1161&lt;=INDEX(PARAMETROS_CULTURAS!$F$6:$F$28,$P1161),"INICIAL",IF($O1161&lt;=INDEX(PARAMETROS_CULTURAS!$F$6:$F$28,$P1161)+INDEX(PARAMETROS_CULTURAS!$G$6:$G$28,$P1161),"DESENVOLVIMENTO",IF($O1161&lt;=INDEX(PARAMETROS_CULTURAS!$F$6:$F$28,$P1161)+INDEX(PARAMETROS_CULTURAS!$G$6:$G$28,$P1161)+INDEX(PARAMETROS_CULTURAS!$H$6:$H$28,$P1161),"MEDIA","FINAL"))))</f>
        <v>FINAL</v>
      </c>
      <c r="R1161" s="24" t="n">
        <f aca="false">IF($P1161=0,0,IF($O1161&lt;=INDEX(PARAMETROS_CULTURAS!$F$6:$F$28,$P1161),INDEX(PARAMETROS_CULTURAS!$K$6:$K$28,$P1161),IF($O1161&lt;=INDEX(PARAMETROS_CULTURAS!$F$6:$F$28,$P1161)+INDEX(PARAMETROS_CULTURAS!$G$6:$G$28,$P1161),INDEX(PARAMETROS_CULTURAS!$K$6:$K$28,$P1161)+(INDEX(PARAMETROS_CULTURAS!$L$6:$L$28,$P1161)-INDEX(PARAMETROS_CULTURAS!$K$6:$K$28,$P1161))*($O1161-INDEX(PARAMETROS_CULTURAS!$F$6:$F$28,$P1161))/MAX(INDEX(PARAMETROS_CULTURAS!$G$6:$G$28,$P1161),0.0001),IF($O1161&lt;=INDEX(PARAMETROS_CULTURAS!$F$6:$F$28,$P1161)+INDEX(PARAMETROS_CULTURAS!$G$6:$G$28,$P1161)+INDEX(PARAMETROS_CULTURAS!$H$6:$H$28,$P1161),INDEX(PARAMETROS_CULTURAS!$L$6:$L$28,$P1161),INDEX(PARAMETROS_CULTURAS!$L$6:$L$28,$P1161)+(INDEX(PARAMETROS_CULTURAS!$M$6:$M$28,$P1161)-INDEX(PARAMETROS_CULTURAS!$L$6:$L$28,$P1161))*($O1161-INDEX(PARAMETROS_CULTURAS!$F$6:$F$28,$P1161)-INDEX(PARAMETROS_CULTURAS!$G$6:$G$28,$P1161)-INDEX(PARAMETROS_CULTURAS!$H$6:$H$28,$P1161))/MAX(INDEX(PARAMETROS_CULTURAS!$I$6:$I$28,$P1161),0.0001)))))</f>
        <v>1.12380952380952</v>
      </c>
      <c r="S1161" s="18" t="n">
        <f aca="false">IFERROR(INDEX(SEMANAS!$H$6:$H$71,MATCH($B1161,SEMANAS!$B$6:$B$71,0)),0)</f>
        <v>31.5</v>
      </c>
      <c r="T1161" s="18" t="n">
        <f aca="false">$R1161*$S1161</f>
        <v>35.4</v>
      </c>
      <c r="U1161" s="18" t="n">
        <f aca="false">IFERROR(INDEX(SEMANAS!$I$6:$I$71,MATCH($B1161,SEMANAS!$B$6:$B$71,0)),0)</f>
        <v>16.31</v>
      </c>
      <c r="V1161" s="18" t="n">
        <f aca="false">IFERROR(INDEX(SEMANAS!$J$6:$J$71,MATCH($B1161,SEMANAS!$B$6:$B$71,0)),0)</f>
        <v>13.048</v>
      </c>
      <c r="W1161" s="18" t="n">
        <f aca="false">MAX(0,$T1161-$V1161)</f>
        <v>22.352</v>
      </c>
      <c r="X1161" s="19" t="n">
        <f aca="false">IFERROR(INDEX(CADASTRO_PIVOS!$K$6:$K$41,MATCH($E1161,CADASTRO_PIVOS!$B$6:$B$41,0)),EFICIENCIA_PADRAO)</f>
        <v>0.85</v>
      </c>
      <c r="Y1161" s="18" t="n">
        <f aca="false">IF($X1161&lt;=0,0,$W1161/$X1161)</f>
        <v>26.2964705882353</v>
      </c>
      <c r="Z1161" s="16" t="n">
        <f aca="false">$Y1161*$H1161*MM_PARA_M3_HA</f>
        <v>39428.928</v>
      </c>
      <c r="AA1161" s="18" t="n">
        <f aca="false">IFERROR(INDEX(CADASTRO_PIVOS!$I$6:$I$41,MATCH($E1161,CADASTRO_PIVOS!$B$6:$B$41,0)),0)</f>
        <v>1071</v>
      </c>
      <c r="AB1161" s="18" t="n">
        <f aca="false">IF($Z1161&lt;=0,0,$Z1161/$AA1161)</f>
        <v>36.8150588235294</v>
      </c>
      <c r="AC1161" s="16" t="n">
        <f aca="false">IFERROR(INDEX(SEMANAS!$K$6:$K$71,MATCH($B1161,SEMANAS!$B$6:$B$71,0)),0)</f>
        <v>147</v>
      </c>
      <c r="AD1161" s="19" t="n">
        <f aca="false">IF($AC1161&lt;=0,0,$AB1161/$AC1161)</f>
        <v>0.250442577030812</v>
      </c>
      <c r="AE1161" s="8" t="str">
        <f aca="false">IF($K1161="SEM CULTURA","SEM CULTURA",IF($AA1161&lt;=0,"DADO PENDENTE",IF($AD1161&gt;LIMITE_CRITICO,"INVIAVEL",IF($AD1161&gt;LIMITE_ATENCAO,"CRITICO",IF($AD1161&gt;LIMITE_CONFORTAVEL,"ATENCAO","OK")))))</f>
        <v>OK</v>
      </c>
      <c r="AF1161" s="8" t="str">
        <f aca="false">$B1161&amp;"|"&amp;TEXT($AD1161,"0.000000")</f>
        <v>34|0.250443</v>
      </c>
      <c r="AG1161" s="18" t="n">
        <f aca="false">IF($K1161="SEM CULTURA",0,$T1161*$H1161)</f>
        <v>5307.876</v>
      </c>
      <c r="AH1161" s="18" t="n">
        <f aca="false">IF($K1161="SEM CULTURA",0,$V1161*$H1161)</f>
        <v>1956.41712</v>
      </c>
      <c r="AI1161" s="18" t="n">
        <f aca="false">IF($K1161="SEM CULTURA",0,$W1161*$H1161)</f>
        <v>3351.45888</v>
      </c>
      <c r="AJ1161" s="18" t="n">
        <f aca="false">IF($K1161="SEM CULTURA",0,$S1161*$H1161)</f>
        <v>4723.11</v>
      </c>
      <c r="AK1161" s="8" t="str">
        <f aca="false">$E1161&amp;"|"&amp;TEXT($AD1161,"0.000000")</f>
        <v>PV 117|0.250443</v>
      </c>
    </row>
    <row r="1162" customFormat="false" ht="15" hidden="false" customHeight="false" outlineLevel="0" collapsed="false">
      <c r="B1162" s="16" t="n">
        <v>35</v>
      </c>
      <c r="C1162" s="17" t="n">
        <f aca="false">DATA_INICIO_SAFRA+($B1162-1)*DIAS_POR_SEMANA</f>
        <v>46503</v>
      </c>
      <c r="D1162" s="17" t="n">
        <f aca="false">$C1162+DIAS_POR_SEMANA-1</f>
        <v>46509</v>
      </c>
      <c r="E1162" s="15" t="s">
        <v>276</v>
      </c>
      <c r="F1162" s="8" t="str">
        <f aca="false">IFERROR(INDEX(CADASTRO_PIVOS!$C$6:$C$41,MATCH($E1162,CADASTRO_PIVOS!$B$6:$B$41,0)),"?")</f>
        <v>RM06</v>
      </c>
      <c r="G1162" s="8" t="str">
        <f aca="false">IFERROR(INDEX(CADASTRO_PIVOS!$D$6:$D$41,MATCH($E1162,CADASTRO_PIVOS!$B$6:$B$41,0)),"?")</f>
        <v>TR06</v>
      </c>
      <c r="H1162" s="20" t="n">
        <f aca="false">IFERROR(INDEX(CADASTRO_PIVOS!$E$6:$E$41,MATCH($E1162,CADASTRO_PIVOS!$B$6:$B$41,0)),0)</f>
        <v>149.94</v>
      </c>
      <c r="I1162" s="16" t="n">
        <f aca="false">IFERROR(SUMIFS(ROTACAO_RDM!$B$6:$B$71,ROTACAO_RDM!$D$6:$D$71,$E1162,ROTACAO_RDM!$I$6:$I$71,"&lt;="&amp;$C1162+INT(DIAS_POR_SEMANA/2),ROTACAO_RDM!$J$6:$J$71,"&gt;="&amp;$C1162+INT(DIAS_POR_SEMANA/2)),0)</f>
        <v>29</v>
      </c>
      <c r="J1162" s="16" t="n">
        <f aca="false">IFERROR(MATCH($I1162,ROTACAO_RDM!$B$6:$B$71,0),0)</f>
        <v>29</v>
      </c>
      <c r="K1162" s="8" t="str">
        <f aca="false">IF($J1162=0,"SEM CULTURA",INDEX(ROTACAO_RDM!$F$6:$F$71,$J1162))</f>
        <v>ALGODAO</v>
      </c>
      <c r="L1162" s="8" t="str">
        <f aca="false">IF($J1162=0,"",INDEX(ROTACAO_RDM!$G$6:$G$71,$J1162))</f>
        <v>FM 974 GLT</v>
      </c>
      <c r="M1162" s="17" t="n">
        <f aca="false">IF($J1162=0,"",INDEX(ROTACAO_RDM!$I$6:$I$71,$J1162))</f>
        <v>46356</v>
      </c>
      <c r="N1162" s="16" t="n">
        <f aca="false">IF($J1162=0,0,MAX(0,$C1162+INT(DIAS_POR_SEMANA/2)-INDEX(ROTACAO_RDM!$I$6:$I$71,$J1162)))</f>
        <v>150</v>
      </c>
      <c r="O1162" s="19" t="n">
        <f aca="false">IF($J1162=0,0,MIN(1,$N1162/MAX(1,INDEX(ROTACAO_RDM!$K$6:$K$71,$J1162))))</f>
        <v>0.769230769230769</v>
      </c>
      <c r="P1162" s="16" t="n">
        <f aca="false">IF($J1162=0,0,IFERROR(MATCH(INDEX(ROTACAO_RDM!$N$6:$N$71,$J1162),PARAMETROS_CULTURAS!$B$6:$B$28,0),0))</f>
        <v>5</v>
      </c>
      <c r="Q1162" s="8" t="str">
        <f aca="false">IF($P1162=0,"-",IF($O1162&lt;=INDEX(PARAMETROS_CULTURAS!$F$6:$F$28,$P1162),"INICIAL",IF($O1162&lt;=INDEX(PARAMETROS_CULTURAS!$F$6:$F$28,$P1162)+INDEX(PARAMETROS_CULTURAS!$G$6:$G$28,$P1162),"DESENVOLVIMENTO",IF($O1162&lt;=INDEX(PARAMETROS_CULTURAS!$F$6:$F$28,$P1162)+INDEX(PARAMETROS_CULTURAS!$G$6:$G$28,$P1162)+INDEX(PARAMETROS_CULTURAS!$H$6:$H$28,$P1162),"MEDIA","FINAL"))))</f>
        <v>FINAL</v>
      </c>
      <c r="R1162" s="24" t="n">
        <f aca="false">IF($P1162=0,0,IF($O1162&lt;=INDEX(PARAMETROS_CULTURAS!$F$6:$F$28,$P1162),INDEX(PARAMETROS_CULTURAS!$K$6:$K$28,$P1162),IF($O1162&lt;=INDEX(PARAMETROS_CULTURAS!$F$6:$F$28,$P1162)+INDEX(PARAMETROS_CULTURAS!$G$6:$G$28,$P1162),INDEX(PARAMETROS_CULTURAS!$K$6:$K$28,$P1162)+(INDEX(PARAMETROS_CULTURAS!$L$6:$L$28,$P1162)-INDEX(PARAMETROS_CULTURAS!$K$6:$K$28,$P1162))*($O1162-INDEX(PARAMETROS_CULTURAS!$F$6:$F$28,$P1162))/MAX(INDEX(PARAMETROS_CULTURAS!$G$6:$G$28,$P1162),0.0001),IF($O1162&lt;=INDEX(PARAMETROS_CULTURAS!$F$6:$F$28,$P1162)+INDEX(PARAMETROS_CULTURAS!$G$6:$G$28,$P1162)+INDEX(PARAMETROS_CULTURAS!$H$6:$H$28,$P1162),INDEX(PARAMETROS_CULTURAS!$L$6:$L$28,$P1162),INDEX(PARAMETROS_CULTURAS!$L$6:$L$28,$P1162)+(INDEX(PARAMETROS_CULTURAS!$M$6:$M$28,$P1162)-INDEX(PARAMETROS_CULTURAS!$L$6:$L$28,$P1162))*($O1162-INDEX(PARAMETROS_CULTURAS!$F$6:$F$28,$P1162)-INDEX(PARAMETROS_CULTURAS!$G$6:$G$28,$P1162)-INDEX(PARAMETROS_CULTURAS!$H$6:$H$28,$P1162))/MAX(INDEX(PARAMETROS_CULTURAS!$I$6:$I$28,$P1162),0.0001)))))</f>
        <v>1.0532967032967</v>
      </c>
      <c r="S1162" s="18" t="n">
        <f aca="false">IFERROR(INDEX(SEMANAS!$H$6:$H$71,MATCH($B1162,SEMANAS!$B$6:$B$71,0)),0)</f>
        <v>30.9</v>
      </c>
      <c r="T1162" s="18" t="n">
        <f aca="false">$R1162*$S1162</f>
        <v>32.5468681318681</v>
      </c>
      <c r="U1162" s="18" t="n">
        <f aca="false">IFERROR(INDEX(SEMANAS!$I$6:$I$71,MATCH($B1162,SEMANAS!$B$6:$B$71,0)),0)</f>
        <v>12.61</v>
      </c>
      <c r="V1162" s="18" t="n">
        <f aca="false">IFERROR(INDEX(SEMANAS!$J$6:$J$71,MATCH($B1162,SEMANAS!$B$6:$B$71,0)),0)</f>
        <v>10.088</v>
      </c>
      <c r="W1162" s="18" t="n">
        <f aca="false">MAX(0,$T1162-$V1162)</f>
        <v>22.4588681318681</v>
      </c>
      <c r="X1162" s="19" t="n">
        <f aca="false">IFERROR(INDEX(CADASTRO_PIVOS!$K$6:$K$41,MATCH($E1162,CADASTRO_PIVOS!$B$6:$B$41,0)),EFICIENCIA_PADRAO)</f>
        <v>0.85</v>
      </c>
      <c r="Y1162" s="18" t="n">
        <f aca="false">IF($X1162&lt;=0,0,$W1162/$X1162)</f>
        <v>26.4221978021978</v>
      </c>
      <c r="Z1162" s="16" t="n">
        <f aca="false">$Y1162*$H1162*MM_PARA_M3_HA</f>
        <v>39617.4433846154</v>
      </c>
      <c r="AA1162" s="18" t="n">
        <f aca="false">IFERROR(INDEX(CADASTRO_PIVOS!$I$6:$I$41,MATCH($E1162,CADASTRO_PIVOS!$B$6:$B$41,0)),0)</f>
        <v>1071</v>
      </c>
      <c r="AB1162" s="18" t="n">
        <f aca="false">IF($Z1162&lt;=0,0,$Z1162/$AA1162)</f>
        <v>36.9910769230769</v>
      </c>
      <c r="AC1162" s="16" t="n">
        <f aca="false">IFERROR(INDEX(SEMANAS!$K$6:$K$71,MATCH($B1162,SEMANAS!$B$6:$B$71,0)),0)</f>
        <v>147</v>
      </c>
      <c r="AD1162" s="19" t="n">
        <f aca="false">IF($AC1162&lt;=0,0,$AB1162/$AC1162)</f>
        <v>0.25163997906855</v>
      </c>
      <c r="AE1162" s="8" t="str">
        <f aca="false">IF($K1162="SEM CULTURA","SEM CULTURA",IF($AA1162&lt;=0,"DADO PENDENTE",IF($AD1162&gt;LIMITE_CRITICO,"INVIAVEL",IF($AD1162&gt;LIMITE_ATENCAO,"CRITICO",IF($AD1162&gt;LIMITE_CONFORTAVEL,"ATENCAO","OK")))))</f>
        <v>OK</v>
      </c>
      <c r="AF1162" s="8" t="str">
        <f aca="false">$B1162&amp;"|"&amp;TEXT($AD1162,"0.000000")</f>
        <v>35|0.251640</v>
      </c>
      <c r="AG1162" s="18" t="n">
        <f aca="false">IF($K1162="SEM CULTURA",0,$T1162*$H1162)</f>
        <v>4880.07740769231</v>
      </c>
      <c r="AH1162" s="18" t="n">
        <f aca="false">IF($K1162="SEM CULTURA",0,$V1162*$H1162)</f>
        <v>1512.59472</v>
      </c>
      <c r="AI1162" s="18" t="n">
        <f aca="false">IF($K1162="SEM CULTURA",0,$W1162*$H1162)</f>
        <v>3367.48268769231</v>
      </c>
      <c r="AJ1162" s="18" t="n">
        <f aca="false">IF($K1162="SEM CULTURA",0,$S1162*$H1162)</f>
        <v>4633.146</v>
      </c>
      <c r="AK1162" s="8" t="str">
        <f aca="false">$E1162&amp;"|"&amp;TEXT($AD1162,"0.000000")</f>
        <v>PV 117|0.251640</v>
      </c>
    </row>
    <row r="1163" customFormat="false" ht="15" hidden="false" customHeight="false" outlineLevel="0" collapsed="false">
      <c r="B1163" s="16" t="n">
        <v>36</v>
      </c>
      <c r="C1163" s="17" t="n">
        <f aca="false">DATA_INICIO_SAFRA+($B1163-1)*DIAS_POR_SEMANA</f>
        <v>46510</v>
      </c>
      <c r="D1163" s="17" t="n">
        <f aca="false">$C1163+DIAS_POR_SEMANA-1</f>
        <v>46516</v>
      </c>
      <c r="E1163" s="15" t="s">
        <v>276</v>
      </c>
      <c r="F1163" s="8" t="str">
        <f aca="false">IFERROR(INDEX(CADASTRO_PIVOS!$C$6:$C$41,MATCH($E1163,CADASTRO_PIVOS!$B$6:$B$41,0)),"?")</f>
        <v>RM06</v>
      </c>
      <c r="G1163" s="8" t="str">
        <f aca="false">IFERROR(INDEX(CADASTRO_PIVOS!$D$6:$D$41,MATCH($E1163,CADASTRO_PIVOS!$B$6:$B$41,0)),"?")</f>
        <v>TR06</v>
      </c>
      <c r="H1163" s="20" t="n">
        <f aca="false">IFERROR(INDEX(CADASTRO_PIVOS!$E$6:$E$41,MATCH($E1163,CADASTRO_PIVOS!$B$6:$B$41,0)),0)</f>
        <v>149.94</v>
      </c>
      <c r="I1163" s="16" t="n">
        <f aca="false">IFERROR(SUMIFS(ROTACAO_RDM!$B$6:$B$71,ROTACAO_RDM!$D$6:$D$71,$E1163,ROTACAO_RDM!$I$6:$I$71,"&lt;="&amp;$C1163+INT(DIAS_POR_SEMANA/2),ROTACAO_RDM!$J$6:$J$71,"&gt;="&amp;$C1163+INT(DIAS_POR_SEMANA/2)),0)</f>
        <v>29</v>
      </c>
      <c r="J1163" s="16" t="n">
        <f aca="false">IFERROR(MATCH($I1163,ROTACAO_RDM!$B$6:$B$71,0),0)</f>
        <v>29</v>
      </c>
      <c r="K1163" s="8" t="str">
        <f aca="false">IF($J1163=0,"SEM CULTURA",INDEX(ROTACAO_RDM!$F$6:$F$71,$J1163))</f>
        <v>ALGODAO</v>
      </c>
      <c r="L1163" s="8" t="str">
        <f aca="false">IF($J1163=0,"",INDEX(ROTACAO_RDM!$G$6:$G$71,$J1163))</f>
        <v>FM 974 GLT</v>
      </c>
      <c r="M1163" s="17" t="n">
        <f aca="false">IF($J1163=0,"",INDEX(ROTACAO_RDM!$I$6:$I$71,$J1163))</f>
        <v>46356</v>
      </c>
      <c r="N1163" s="16" t="n">
        <f aca="false">IF($J1163=0,0,MAX(0,$C1163+INT(DIAS_POR_SEMANA/2)-INDEX(ROTACAO_RDM!$I$6:$I$71,$J1163)))</f>
        <v>157</v>
      </c>
      <c r="O1163" s="19" t="n">
        <f aca="false">IF($J1163=0,0,MIN(1,$N1163/MAX(1,INDEX(ROTACAO_RDM!$K$6:$K$71,$J1163))))</f>
        <v>0.805128205128205</v>
      </c>
      <c r="P1163" s="16" t="n">
        <f aca="false">IF($J1163=0,0,IFERROR(MATCH(INDEX(ROTACAO_RDM!$N$6:$N$71,$J1163),PARAMETROS_CULTURAS!$B$6:$B$28,0),0))</f>
        <v>5</v>
      </c>
      <c r="Q1163" s="8" t="str">
        <f aca="false">IF($P1163=0,"-",IF($O1163&lt;=INDEX(PARAMETROS_CULTURAS!$F$6:$F$28,$P1163),"INICIAL",IF($O1163&lt;=INDEX(PARAMETROS_CULTURAS!$F$6:$F$28,$P1163)+INDEX(PARAMETROS_CULTURAS!$G$6:$G$28,$P1163),"DESENVOLVIMENTO",IF($O1163&lt;=INDEX(PARAMETROS_CULTURAS!$F$6:$F$28,$P1163)+INDEX(PARAMETROS_CULTURAS!$G$6:$G$28,$P1163)+INDEX(PARAMETROS_CULTURAS!$H$6:$H$28,$P1163),"MEDIA","FINAL"))))</f>
        <v>FINAL</v>
      </c>
      <c r="R1163" s="24" t="n">
        <f aca="false">IF($P1163=0,0,IF($O1163&lt;=INDEX(PARAMETROS_CULTURAS!$F$6:$F$28,$P1163),INDEX(PARAMETROS_CULTURAS!$K$6:$K$28,$P1163),IF($O1163&lt;=INDEX(PARAMETROS_CULTURAS!$F$6:$F$28,$P1163)+INDEX(PARAMETROS_CULTURAS!$G$6:$G$28,$P1163),INDEX(PARAMETROS_CULTURAS!$K$6:$K$28,$P1163)+(INDEX(PARAMETROS_CULTURAS!$L$6:$L$28,$P1163)-INDEX(PARAMETROS_CULTURAS!$K$6:$K$28,$P1163))*($O1163-INDEX(PARAMETROS_CULTURAS!$F$6:$F$28,$P1163))/MAX(INDEX(PARAMETROS_CULTURAS!$G$6:$G$28,$P1163),0.0001),IF($O1163&lt;=INDEX(PARAMETROS_CULTURAS!$F$6:$F$28,$P1163)+INDEX(PARAMETROS_CULTURAS!$G$6:$G$28,$P1163)+INDEX(PARAMETROS_CULTURAS!$H$6:$H$28,$P1163),INDEX(PARAMETROS_CULTURAS!$L$6:$L$28,$P1163),INDEX(PARAMETROS_CULTURAS!$L$6:$L$28,$P1163)+(INDEX(PARAMETROS_CULTURAS!$M$6:$M$28,$P1163)-INDEX(PARAMETROS_CULTURAS!$L$6:$L$28,$P1163))*($O1163-INDEX(PARAMETROS_CULTURAS!$F$6:$F$28,$P1163)-INDEX(PARAMETROS_CULTURAS!$G$6:$G$28,$P1163)-INDEX(PARAMETROS_CULTURAS!$H$6:$H$28,$P1163))/MAX(INDEX(PARAMETROS_CULTURAS!$I$6:$I$28,$P1163),0.0001)))))</f>
        <v>0.982783882783883</v>
      </c>
      <c r="S1163" s="18" t="n">
        <f aca="false">IFERROR(INDEX(SEMANAS!$H$6:$H$71,MATCH($B1163,SEMANAS!$B$6:$B$71,0)),0)</f>
        <v>29.4</v>
      </c>
      <c r="T1163" s="18" t="n">
        <f aca="false">$R1163*$S1163</f>
        <v>28.8938461538462</v>
      </c>
      <c r="U1163" s="18" t="n">
        <f aca="false">IFERROR(INDEX(SEMANAS!$I$6:$I$71,MATCH($B1163,SEMANAS!$B$6:$B$71,0)),0)</f>
        <v>3.36</v>
      </c>
      <c r="V1163" s="18" t="n">
        <f aca="false">IFERROR(INDEX(SEMANAS!$J$6:$J$71,MATCH($B1163,SEMANAS!$B$6:$B$71,0)),0)</f>
        <v>2.688</v>
      </c>
      <c r="W1163" s="18" t="n">
        <f aca="false">MAX(0,$T1163-$V1163)</f>
        <v>26.2058461538462</v>
      </c>
      <c r="X1163" s="19" t="n">
        <f aca="false">IFERROR(INDEX(CADASTRO_PIVOS!$K$6:$K$41,MATCH($E1163,CADASTRO_PIVOS!$B$6:$B$41,0)),EFICIENCIA_PADRAO)</f>
        <v>0.85</v>
      </c>
      <c r="Y1163" s="18" t="n">
        <f aca="false">IF($X1163&lt;=0,0,$W1163/$X1163)</f>
        <v>30.830407239819</v>
      </c>
      <c r="Z1163" s="16" t="n">
        <f aca="false">$Y1163*$H1163*MM_PARA_M3_HA</f>
        <v>46227.1126153846</v>
      </c>
      <c r="AA1163" s="18" t="n">
        <f aca="false">IFERROR(INDEX(CADASTRO_PIVOS!$I$6:$I$41,MATCH($E1163,CADASTRO_PIVOS!$B$6:$B$41,0)),0)</f>
        <v>1071</v>
      </c>
      <c r="AB1163" s="18" t="n">
        <f aca="false">IF($Z1163&lt;=0,0,$Z1163/$AA1163)</f>
        <v>43.1625701357466</v>
      </c>
      <c r="AC1163" s="16" t="n">
        <f aca="false">IFERROR(INDEX(SEMANAS!$K$6:$K$71,MATCH($B1163,SEMANAS!$B$6:$B$71,0)),0)</f>
        <v>147</v>
      </c>
      <c r="AD1163" s="19" t="n">
        <f aca="false">IF($AC1163&lt;=0,0,$AB1163/$AC1163)</f>
        <v>0.293622926093514</v>
      </c>
      <c r="AE1163" s="8" t="str">
        <f aca="false">IF($K1163="SEM CULTURA","SEM CULTURA",IF($AA1163&lt;=0,"DADO PENDENTE",IF($AD1163&gt;LIMITE_CRITICO,"INVIAVEL",IF($AD1163&gt;LIMITE_ATENCAO,"CRITICO",IF($AD1163&gt;LIMITE_CONFORTAVEL,"ATENCAO","OK")))))</f>
        <v>OK</v>
      </c>
      <c r="AF1163" s="8" t="str">
        <f aca="false">$B1163&amp;"|"&amp;TEXT($AD1163,"0.000000")</f>
        <v>36|0.293623</v>
      </c>
      <c r="AG1163" s="18" t="n">
        <f aca="false">IF($K1163="SEM CULTURA",0,$T1163*$H1163)</f>
        <v>4332.34329230769</v>
      </c>
      <c r="AH1163" s="18" t="n">
        <f aca="false">IF($K1163="SEM CULTURA",0,$V1163*$H1163)</f>
        <v>403.03872</v>
      </c>
      <c r="AI1163" s="18" t="n">
        <f aca="false">IF($K1163="SEM CULTURA",0,$W1163*$H1163)</f>
        <v>3929.30457230769</v>
      </c>
      <c r="AJ1163" s="18" t="n">
        <f aca="false">IF($K1163="SEM CULTURA",0,$S1163*$H1163)</f>
        <v>4408.236</v>
      </c>
      <c r="AK1163" s="8" t="str">
        <f aca="false">$E1163&amp;"|"&amp;TEXT($AD1163,"0.000000")</f>
        <v>PV 117|0.293623</v>
      </c>
    </row>
    <row r="1164" customFormat="false" ht="15" hidden="false" customHeight="false" outlineLevel="0" collapsed="false">
      <c r="B1164" s="16" t="n">
        <v>37</v>
      </c>
      <c r="C1164" s="17" t="n">
        <f aca="false">DATA_INICIO_SAFRA+($B1164-1)*DIAS_POR_SEMANA</f>
        <v>46517</v>
      </c>
      <c r="D1164" s="17" t="n">
        <f aca="false">$C1164+DIAS_POR_SEMANA-1</f>
        <v>46523</v>
      </c>
      <c r="E1164" s="15" t="s">
        <v>276</v>
      </c>
      <c r="F1164" s="8" t="str">
        <f aca="false">IFERROR(INDEX(CADASTRO_PIVOS!$C$6:$C$41,MATCH($E1164,CADASTRO_PIVOS!$B$6:$B$41,0)),"?")</f>
        <v>RM06</v>
      </c>
      <c r="G1164" s="8" t="str">
        <f aca="false">IFERROR(INDEX(CADASTRO_PIVOS!$D$6:$D$41,MATCH($E1164,CADASTRO_PIVOS!$B$6:$B$41,0)),"?")</f>
        <v>TR06</v>
      </c>
      <c r="H1164" s="20" t="n">
        <f aca="false">IFERROR(INDEX(CADASTRO_PIVOS!$E$6:$E$41,MATCH($E1164,CADASTRO_PIVOS!$B$6:$B$41,0)),0)</f>
        <v>149.94</v>
      </c>
      <c r="I1164" s="16" t="n">
        <f aca="false">IFERROR(SUMIFS(ROTACAO_RDM!$B$6:$B$71,ROTACAO_RDM!$D$6:$D$71,$E1164,ROTACAO_RDM!$I$6:$I$71,"&lt;="&amp;$C1164+INT(DIAS_POR_SEMANA/2),ROTACAO_RDM!$J$6:$J$71,"&gt;="&amp;$C1164+INT(DIAS_POR_SEMANA/2)),0)</f>
        <v>29</v>
      </c>
      <c r="J1164" s="16" t="n">
        <f aca="false">IFERROR(MATCH($I1164,ROTACAO_RDM!$B$6:$B$71,0),0)</f>
        <v>29</v>
      </c>
      <c r="K1164" s="8" t="str">
        <f aca="false">IF($J1164=0,"SEM CULTURA",INDEX(ROTACAO_RDM!$F$6:$F$71,$J1164))</f>
        <v>ALGODAO</v>
      </c>
      <c r="L1164" s="8" t="str">
        <f aca="false">IF($J1164=0,"",INDEX(ROTACAO_RDM!$G$6:$G$71,$J1164))</f>
        <v>FM 974 GLT</v>
      </c>
      <c r="M1164" s="17" t="n">
        <f aca="false">IF($J1164=0,"",INDEX(ROTACAO_RDM!$I$6:$I$71,$J1164))</f>
        <v>46356</v>
      </c>
      <c r="N1164" s="16" t="n">
        <f aca="false">IF($J1164=0,0,MAX(0,$C1164+INT(DIAS_POR_SEMANA/2)-INDEX(ROTACAO_RDM!$I$6:$I$71,$J1164)))</f>
        <v>164</v>
      </c>
      <c r="O1164" s="19" t="n">
        <f aca="false">IF($J1164=0,0,MIN(1,$N1164/MAX(1,INDEX(ROTACAO_RDM!$K$6:$K$71,$J1164))))</f>
        <v>0.841025641025641</v>
      </c>
      <c r="P1164" s="16" t="n">
        <f aca="false">IF($J1164=0,0,IFERROR(MATCH(INDEX(ROTACAO_RDM!$N$6:$N$71,$J1164),PARAMETROS_CULTURAS!$B$6:$B$28,0),0))</f>
        <v>5</v>
      </c>
      <c r="Q1164" s="8" t="str">
        <f aca="false">IF($P1164=0,"-",IF($O1164&lt;=INDEX(PARAMETROS_CULTURAS!$F$6:$F$28,$P1164),"INICIAL",IF($O1164&lt;=INDEX(PARAMETROS_CULTURAS!$F$6:$F$28,$P1164)+INDEX(PARAMETROS_CULTURAS!$G$6:$G$28,$P1164),"DESENVOLVIMENTO",IF($O1164&lt;=INDEX(PARAMETROS_CULTURAS!$F$6:$F$28,$P1164)+INDEX(PARAMETROS_CULTURAS!$G$6:$G$28,$P1164)+INDEX(PARAMETROS_CULTURAS!$H$6:$H$28,$P1164),"MEDIA","FINAL"))))</f>
        <v>FINAL</v>
      </c>
      <c r="R1164" s="24" t="n">
        <f aca="false">IF($P1164=0,0,IF($O1164&lt;=INDEX(PARAMETROS_CULTURAS!$F$6:$F$28,$P1164),INDEX(PARAMETROS_CULTURAS!$K$6:$K$28,$P1164),IF($O1164&lt;=INDEX(PARAMETROS_CULTURAS!$F$6:$F$28,$P1164)+INDEX(PARAMETROS_CULTURAS!$G$6:$G$28,$P1164),INDEX(PARAMETROS_CULTURAS!$K$6:$K$28,$P1164)+(INDEX(PARAMETROS_CULTURAS!$L$6:$L$28,$P1164)-INDEX(PARAMETROS_CULTURAS!$K$6:$K$28,$P1164))*($O1164-INDEX(PARAMETROS_CULTURAS!$F$6:$F$28,$P1164))/MAX(INDEX(PARAMETROS_CULTURAS!$G$6:$G$28,$P1164),0.0001),IF($O1164&lt;=INDEX(PARAMETROS_CULTURAS!$F$6:$F$28,$P1164)+INDEX(PARAMETROS_CULTURAS!$G$6:$G$28,$P1164)+INDEX(PARAMETROS_CULTURAS!$H$6:$H$28,$P1164),INDEX(PARAMETROS_CULTURAS!$L$6:$L$28,$P1164),INDEX(PARAMETROS_CULTURAS!$L$6:$L$28,$P1164)+(INDEX(PARAMETROS_CULTURAS!$M$6:$M$28,$P1164)-INDEX(PARAMETROS_CULTURAS!$L$6:$L$28,$P1164))*($O1164-INDEX(PARAMETROS_CULTURAS!$F$6:$F$28,$P1164)-INDEX(PARAMETROS_CULTURAS!$G$6:$G$28,$P1164)-INDEX(PARAMETROS_CULTURAS!$H$6:$H$28,$P1164))/MAX(INDEX(PARAMETROS_CULTURAS!$I$6:$I$28,$P1164),0.0001)))))</f>
        <v>0.912271062271062</v>
      </c>
      <c r="S1164" s="18" t="n">
        <f aca="false">IFERROR(INDEX(SEMANAS!$H$6:$H$71,MATCH($B1164,SEMANAS!$B$6:$B$71,0)),0)</f>
        <v>29.4</v>
      </c>
      <c r="T1164" s="18" t="n">
        <f aca="false">$R1164*$S1164</f>
        <v>26.8207692307692</v>
      </c>
      <c r="U1164" s="18" t="n">
        <f aca="false">IFERROR(INDEX(SEMANAS!$I$6:$I$71,MATCH($B1164,SEMANAS!$B$6:$B$71,0)),0)</f>
        <v>3.36</v>
      </c>
      <c r="V1164" s="18" t="n">
        <f aca="false">IFERROR(INDEX(SEMANAS!$J$6:$J$71,MATCH($B1164,SEMANAS!$B$6:$B$71,0)),0)</f>
        <v>2.688</v>
      </c>
      <c r="W1164" s="18" t="n">
        <f aca="false">MAX(0,$T1164-$V1164)</f>
        <v>24.1327692307692</v>
      </c>
      <c r="X1164" s="19" t="n">
        <f aca="false">IFERROR(INDEX(CADASTRO_PIVOS!$K$6:$K$41,MATCH($E1164,CADASTRO_PIVOS!$B$6:$B$41,0)),EFICIENCIA_PADRAO)</f>
        <v>0.85</v>
      </c>
      <c r="Y1164" s="18" t="n">
        <f aca="false">IF($X1164&lt;=0,0,$W1164/$X1164)</f>
        <v>28.3914932126697</v>
      </c>
      <c r="Z1164" s="16" t="n">
        <f aca="false">$Y1164*$H1164*MM_PARA_M3_HA</f>
        <v>42570.2049230769</v>
      </c>
      <c r="AA1164" s="18" t="n">
        <f aca="false">IFERROR(INDEX(CADASTRO_PIVOS!$I$6:$I$41,MATCH($E1164,CADASTRO_PIVOS!$B$6:$B$41,0)),0)</f>
        <v>1071</v>
      </c>
      <c r="AB1164" s="18" t="n">
        <f aca="false">IF($Z1164&lt;=0,0,$Z1164/$AA1164)</f>
        <v>39.7480904977376</v>
      </c>
      <c r="AC1164" s="16" t="n">
        <f aca="false">IFERROR(INDEX(SEMANAS!$K$6:$K$71,MATCH($B1164,SEMANAS!$B$6:$B$71,0)),0)</f>
        <v>147</v>
      </c>
      <c r="AD1164" s="19" t="n">
        <f aca="false">IF($AC1164&lt;=0,0,$AB1164/$AC1164)</f>
        <v>0.270395173453997</v>
      </c>
      <c r="AE1164" s="8" t="str">
        <f aca="false">IF($K1164="SEM CULTURA","SEM CULTURA",IF($AA1164&lt;=0,"DADO PENDENTE",IF($AD1164&gt;LIMITE_CRITICO,"INVIAVEL",IF($AD1164&gt;LIMITE_ATENCAO,"CRITICO",IF($AD1164&gt;LIMITE_CONFORTAVEL,"ATENCAO","OK")))))</f>
        <v>OK</v>
      </c>
      <c r="AF1164" s="8" t="str">
        <f aca="false">$B1164&amp;"|"&amp;TEXT($AD1164,"0.000000")</f>
        <v>37|0.270395</v>
      </c>
      <c r="AG1164" s="18" t="n">
        <f aca="false">IF($K1164="SEM CULTURA",0,$T1164*$H1164)</f>
        <v>4021.50613846154</v>
      </c>
      <c r="AH1164" s="18" t="n">
        <f aca="false">IF($K1164="SEM CULTURA",0,$V1164*$H1164)</f>
        <v>403.03872</v>
      </c>
      <c r="AI1164" s="18" t="n">
        <f aca="false">IF($K1164="SEM CULTURA",0,$W1164*$H1164)</f>
        <v>3618.46741846154</v>
      </c>
      <c r="AJ1164" s="18" t="n">
        <f aca="false">IF($K1164="SEM CULTURA",0,$S1164*$H1164)</f>
        <v>4408.236</v>
      </c>
      <c r="AK1164" s="8" t="str">
        <f aca="false">$E1164&amp;"|"&amp;TEXT($AD1164,"0.000000")</f>
        <v>PV 117|0.270395</v>
      </c>
    </row>
    <row r="1165" customFormat="false" ht="15" hidden="false" customHeight="false" outlineLevel="0" collapsed="false">
      <c r="B1165" s="16" t="n">
        <v>38</v>
      </c>
      <c r="C1165" s="17" t="n">
        <f aca="false">DATA_INICIO_SAFRA+($B1165-1)*DIAS_POR_SEMANA</f>
        <v>46524</v>
      </c>
      <c r="D1165" s="17" t="n">
        <f aca="false">$C1165+DIAS_POR_SEMANA-1</f>
        <v>46530</v>
      </c>
      <c r="E1165" s="15" t="s">
        <v>276</v>
      </c>
      <c r="F1165" s="8" t="str">
        <f aca="false">IFERROR(INDEX(CADASTRO_PIVOS!$C$6:$C$41,MATCH($E1165,CADASTRO_PIVOS!$B$6:$B$41,0)),"?")</f>
        <v>RM06</v>
      </c>
      <c r="G1165" s="8" t="str">
        <f aca="false">IFERROR(INDEX(CADASTRO_PIVOS!$D$6:$D$41,MATCH($E1165,CADASTRO_PIVOS!$B$6:$B$41,0)),"?")</f>
        <v>TR06</v>
      </c>
      <c r="H1165" s="20" t="n">
        <f aca="false">IFERROR(INDEX(CADASTRO_PIVOS!$E$6:$E$41,MATCH($E1165,CADASTRO_PIVOS!$B$6:$B$41,0)),0)</f>
        <v>149.94</v>
      </c>
      <c r="I1165" s="16" t="n">
        <f aca="false">IFERROR(SUMIFS(ROTACAO_RDM!$B$6:$B$71,ROTACAO_RDM!$D$6:$D$71,$E1165,ROTACAO_RDM!$I$6:$I$71,"&lt;="&amp;$C1165+INT(DIAS_POR_SEMANA/2),ROTACAO_RDM!$J$6:$J$71,"&gt;="&amp;$C1165+INT(DIAS_POR_SEMANA/2)),0)</f>
        <v>29</v>
      </c>
      <c r="J1165" s="16" t="n">
        <f aca="false">IFERROR(MATCH($I1165,ROTACAO_RDM!$B$6:$B$71,0),0)</f>
        <v>29</v>
      </c>
      <c r="K1165" s="8" t="str">
        <f aca="false">IF($J1165=0,"SEM CULTURA",INDEX(ROTACAO_RDM!$F$6:$F$71,$J1165))</f>
        <v>ALGODAO</v>
      </c>
      <c r="L1165" s="8" t="str">
        <f aca="false">IF($J1165=0,"",INDEX(ROTACAO_RDM!$G$6:$G$71,$J1165))</f>
        <v>FM 974 GLT</v>
      </c>
      <c r="M1165" s="17" t="n">
        <f aca="false">IF($J1165=0,"",INDEX(ROTACAO_RDM!$I$6:$I$71,$J1165))</f>
        <v>46356</v>
      </c>
      <c r="N1165" s="16" t="n">
        <f aca="false">IF($J1165=0,0,MAX(0,$C1165+INT(DIAS_POR_SEMANA/2)-INDEX(ROTACAO_RDM!$I$6:$I$71,$J1165)))</f>
        <v>171</v>
      </c>
      <c r="O1165" s="19" t="n">
        <f aca="false">IF($J1165=0,0,MIN(1,$N1165/MAX(1,INDEX(ROTACAO_RDM!$K$6:$K$71,$J1165))))</f>
        <v>0.876923076923077</v>
      </c>
      <c r="P1165" s="16" t="n">
        <f aca="false">IF($J1165=0,0,IFERROR(MATCH(INDEX(ROTACAO_RDM!$N$6:$N$71,$J1165),PARAMETROS_CULTURAS!$B$6:$B$28,0),0))</f>
        <v>5</v>
      </c>
      <c r="Q1165" s="8" t="str">
        <f aca="false">IF($P1165=0,"-",IF($O1165&lt;=INDEX(PARAMETROS_CULTURAS!$F$6:$F$28,$P1165),"INICIAL",IF($O1165&lt;=INDEX(PARAMETROS_CULTURAS!$F$6:$F$28,$P1165)+INDEX(PARAMETROS_CULTURAS!$G$6:$G$28,$P1165),"DESENVOLVIMENTO",IF($O1165&lt;=INDEX(PARAMETROS_CULTURAS!$F$6:$F$28,$P1165)+INDEX(PARAMETROS_CULTURAS!$G$6:$G$28,$P1165)+INDEX(PARAMETROS_CULTURAS!$H$6:$H$28,$P1165),"MEDIA","FINAL"))))</f>
        <v>FINAL</v>
      </c>
      <c r="R1165" s="24" t="n">
        <f aca="false">IF($P1165=0,0,IF($O1165&lt;=INDEX(PARAMETROS_CULTURAS!$F$6:$F$28,$P1165),INDEX(PARAMETROS_CULTURAS!$K$6:$K$28,$P1165),IF($O1165&lt;=INDEX(PARAMETROS_CULTURAS!$F$6:$F$28,$P1165)+INDEX(PARAMETROS_CULTURAS!$G$6:$G$28,$P1165),INDEX(PARAMETROS_CULTURAS!$K$6:$K$28,$P1165)+(INDEX(PARAMETROS_CULTURAS!$L$6:$L$28,$P1165)-INDEX(PARAMETROS_CULTURAS!$K$6:$K$28,$P1165))*($O1165-INDEX(PARAMETROS_CULTURAS!$F$6:$F$28,$P1165))/MAX(INDEX(PARAMETROS_CULTURAS!$G$6:$G$28,$P1165),0.0001),IF($O1165&lt;=INDEX(PARAMETROS_CULTURAS!$F$6:$F$28,$P1165)+INDEX(PARAMETROS_CULTURAS!$G$6:$G$28,$P1165)+INDEX(PARAMETROS_CULTURAS!$H$6:$H$28,$P1165),INDEX(PARAMETROS_CULTURAS!$L$6:$L$28,$P1165),INDEX(PARAMETROS_CULTURAS!$L$6:$L$28,$P1165)+(INDEX(PARAMETROS_CULTURAS!$M$6:$M$28,$P1165)-INDEX(PARAMETROS_CULTURAS!$L$6:$L$28,$P1165))*($O1165-INDEX(PARAMETROS_CULTURAS!$F$6:$F$28,$P1165)-INDEX(PARAMETROS_CULTURAS!$G$6:$G$28,$P1165)-INDEX(PARAMETROS_CULTURAS!$H$6:$H$28,$P1165))/MAX(INDEX(PARAMETROS_CULTURAS!$I$6:$I$28,$P1165),0.0001)))))</f>
        <v>0.841758241758242</v>
      </c>
      <c r="S1165" s="18" t="n">
        <f aca="false">IFERROR(INDEX(SEMANAS!$H$6:$H$71,MATCH($B1165,SEMANAS!$B$6:$B$71,0)),0)</f>
        <v>29.4</v>
      </c>
      <c r="T1165" s="18" t="n">
        <f aca="false">$R1165*$S1165</f>
        <v>24.7476923076923</v>
      </c>
      <c r="U1165" s="18" t="n">
        <f aca="false">IFERROR(INDEX(SEMANAS!$I$6:$I$71,MATCH($B1165,SEMANAS!$B$6:$B$71,0)),0)</f>
        <v>3.36</v>
      </c>
      <c r="V1165" s="18" t="n">
        <f aca="false">IFERROR(INDEX(SEMANAS!$J$6:$J$71,MATCH($B1165,SEMANAS!$B$6:$B$71,0)),0)</f>
        <v>2.688</v>
      </c>
      <c r="W1165" s="18" t="n">
        <f aca="false">MAX(0,$T1165-$V1165)</f>
        <v>22.0596923076923</v>
      </c>
      <c r="X1165" s="19" t="n">
        <f aca="false">IFERROR(INDEX(CADASTRO_PIVOS!$K$6:$K$41,MATCH($E1165,CADASTRO_PIVOS!$B$6:$B$41,0)),EFICIENCIA_PADRAO)</f>
        <v>0.85</v>
      </c>
      <c r="Y1165" s="18" t="n">
        <f aca="false">IF($X1165&lt;=0,0,$W1165/$X1165)</f>
        <v>25.9525791855204</v>
      </c>
      <c r="Z1165" s="16" t="n">
        <f aca="false">$Y1165*$H1165*MM_PARA_M3_HA</f>
        <v>38913.2972307692</v>
      </c>
      <c r="AA1165" s="18" t="n">
        <f aca="false">IFERROR(INDEX(CADASTRO_PIVOS!$I$6:$I$41,MATCH($E1165,CADASTRO_PIVOS!$B$6:$B$41,0)),0)</f>
        <v>1071</v>
      </c>
      <c r="AB1165" s="18" t="n">
        <f aca="false">IF($Z1165&lt;=0,0,$Z1165/$AA1165)</f>
        <v>36.3336108597285</v>
      </c>
      <c r="AC1165" s="16" t="n">
        <f aca="false">IFERROR(INDEX(SEMANAS!$K$6:$K$71,MATCH($B1165,SEMANAS!$B$6:$B$71,0)),0)</f>
        <v>147</v>
      </c>
      <c r="AD1165" s="19" t="n">
        <f aca="false">IF($AC1165&lt;=0,0,$AB1165/$AC1165)</f>
        <v>0.24716742081448</v>
      </c>
      <c r="AE1165" s="8" t="str">
        <f aca="false">IF($K1165="SEM CULTURA","SEM CULTURA",IF($AA1165&lt;=0,"DADO PENDENTE",IF($AD1165&gt;LIMITE_CRITICO,"INVIAVEL",IF($AD1165&gt;LIMITE_ATENCAO,"CRITICO",IF($AD1165&gt;LIMITE_CONFORTAVEL,"ATENCAO","OK")))))</f>
        <v>OK</v>
      </c>
      <c r="AF1165" s="8" t="str">
        <f aca="false">$B1165&amp;"|"&amp;TEXT($AD1165,"0.000000")</f>
        <v>38|0.247167</v>
      </c>
      <c r="AG1165" s="18" t="n">
        <f aca="false">IF($K1165="SEM CULTURA",0,$T1165*$H1165)</f>
        <v>3710.66898461539</v>
      </c>
      <c r="AH1165" s="18" t="n">
        <f aca="false">IF($K1165="SEM CULTURA",0,$V1165*$H1165)</f>
        <v>403.03872</v>
      </c>
      <c r="AI1165" s="18" t="n">
        <f aca="false">IF($K1165="SEM CULTURA",0,$W1165*$H1165)</f>
        <v>3307.63026461539</v>
      </c>
      <c r="AJ1165" s="18" t="n">
        <f aca="false">IF($K1165="SEM CULTURA",0,$S1165*$H1165)</f>
        <v>4408.236</v>
      </c>
      <c r="AK1165" s="8" t="str">
        <f aca="false">$E1165&amp;"|"&amp;TEXT($AD1165,"0.000000")</f>
        <v>PV 117|0.247167</v>
      </c>
    </row>
    <row r="1166" customFormat="false" ht="15" hidden="false" customHeight="false" outlineLevel="0" collapsed="false">
      <c r="B1166" s="16" t="n">
        <v>39</v>
      </c>
      <c r="C1166" s="17" t="n">
        <f aca="false">DATA_INICIO_SAFRA+($B1166-1)*DIAS_POR_SEMANA</f>
        <v>46531</v>
      </c>
      <c r="D1166" s="17" t="n">
        <f aca="false">$C1166+DIAS_POR_SEMANA-1</f>
        <v>46537</v>
      </c>
      <c r="E1166" s="15" t="s">
        <v>276</v>
      </c>
      <c r="F1166" s="8" t="str">
        <f aca="false">IFERROR(INDEX(CADASTRO_PIVOS!$C$6:$C$41,MATCH($E1166,CADASTRO_PIVOS!$B$6:$B$41,0)),"?")</f>
        <v>RM06</v>
      </c>
      <c r="G1166" s="8" t="str">
        <f aca="false">IFERROR(INDEX(CADASTRO_PIVOS!$D$6:$D$41,MATCH($E1166,CADASTRO_PIVOS!$B$6:$B$41,0)),"?")</f>
        <v>TR06</v>
      </c>
      <c r="H1166" s="20" t="n">
        <f aca="false">IFERROR(INDEX(CADASTRO_PIVOS!$E$6:$E$41,MATCH($E1166,CADASTRO_PIVOS!$B$6:$B$41,0)),0)</f>
        <v>149.94</v>
      </c>
      <c r="I1166" s="16" t="n">
        <f aca="false">IFERROR(SUMIFS(ROTACAO_RDM!$B$6:$B$71,ROTACAO_RDM!$D$6:$D$71,$E1166,ROTACAO_RDM!$I$6:$I$71,"&lt;="&amp;$C1166+INT(DIAS_POR_SEMANA/2),ROTACAO_RDM!$J$6:$J$71,"&gt;="&amp;$C1166+INT(DIAS_POR_SEMANA/2)),0)</f>
        <v>29</v>
      </c>
      <c r="J1166" s="16" t="n">
        <f aca="false">IFERROR(MATCH($I1166,ROTACAO_RDM!$B$6:$B$71,0),0)</f>
        <v>29</v>
      </c>
      <c r="K1166" s="8" t="str">
        <f aca="false">IF($J1166=0,"SEM CULTURA",INDEX(ROTACAO_RDM!$F$6:$F$71,$J1166))</f>
        <v>ALGODAO</v>
      </c>
      <c r="L1166" s="8" t="str">
        <f aca="false">IF($J1166=0,"",INDEX(ROTACAO_RDM!$G$6:$G$71,$J1166))</f>
        <v>FM 974 GLT</v>
      </c>
      <c r="M1166" s="17" t="n">
        <f aca="false">IF($J1166=0,"",INDEX(ROTACAO_RDM!$I$6:$I$71,$J1166))</f>
        <v>46356</v>
      </c>
      <c r="N1166" s="16" t="n">
        <f aca="false">IF($J1166=0,0,MAX(0,$C1166+INT(DIAS_POR_SEMANA/2)-INDEX(ROTACAO_RDM!$I$6:$I$71,$J1166)))</f>
        <v>178</v>
      </c>
      <c r="O1166" s="19" t="n">
        <f aca="false">IF($J1166=0,0,MIN(1,$N1166/MAX(1,INDEX(ROTACAO_RDM!$K$6:$K$71,$J1166))))</f>
        <v>0.912820512820513</v>
      </c>
      <c r="P1166" s="16" t="n">
        <f aca="false">IF($J1166=0,0,IFERROR(MATCH(INDEX(ROTACAO_RDM!$N$6:$N$71,$J1166),PARAMETROS_CULTURAS!$B$6:$B$28,0),0))</f>
        <v>5</v>
      </c>
      <c r="Q1166" s="8" t="str">
        <f aca="false">IF($P1166=0,"-",IF($O1166&lt;=INDEX(PARAMETROS_CULTURAS!$F$6:$F$28,$P1166),"INICIAL",IF($O1166&lt;=INDEX(PARAMETROS_CULTURAS!$F$6:$F$28,$P1166)+INDEX(PARAMETROS_CULTURAS!$G$6:$G$28,$P1166),"DESENVOLVIMENTO",IF($O1166&lt;=INDEX(PARAMETROS_CULTURAS!$F$6:$F$28,$P1166)+INDEX(PARAMETROS_CULTURAS!$G$6:$G$28,$P1166)+INDEX(PARAMETROS_CULTURAS!$H$6:$H$28,$P1166),"MEDIA","FINAL"))))</f>
        <v>FINAL</v>
      </c>
      <c r="R1166" s="24" t="n">
        <f aca="false">IF($P1166=0,0,IF($O1166&lt;=INDEX(PARAMETROS_CULTURAS!$F$6:$F$28,$P1166),INDEX(PARAMETROS_CULTURAS!$K$6:$K$28,$P1166),IF($O1166&lt;=INDEX(PARAMETROS_CULTURAS!$F$6:$F$28,$P1166)+INDEX(PARAMETROS_CULTURAS!$G$6:$G$28,$P1166),INDEX(PARAMETROS_CULTURAS!$K$6:$K$28,$P1166)+(INDEX(PARAMETROS_CULTURAS!$L$6:$L$28,$P1166)-INDEX(PARAMETROS_CULTURAS!$K$6:$K$28,$P1166))*($O1166-INDEX(PARAMETROS_CULTURAS!$F$6:$F$28,$P1166))/MAX(INDEX(PARAMETROS_CULTURAS!$G$6:$G$28,$P1166),0.0001),IF($O1166&lt;=INDEX(PARAMETROS_CULTURAS!$F$6:$F$28,$P1166)+INDEX(PARAMETROS_CULTURAS!$G$6:$G$28,$P1166)+INDEX(PARAMETROS_CULTURAS!$H$6:$H$28,$P1166),INDEX(PARAMETROS_CULTURAS!$L$6:$L$28,$P1166),INDEX(PARAMETROS_CULTURAS!$L$6:$L$28,$P1166)+(INDEX(PARAMETROS_CULTURAS!$M$6:$M$28,$P1166)-INDEX(PARAMETROS_CULTURAS!$L$6:$L$28,$P1166))*($O1166-INDEX(PARAMETROS_CULTURAS!$F$6:$F$28,$P1166)-INDEX(PARAMETROS_CULTURAS!$G$6:$G$28,$P1166)-INDEX(PARAMETROS_CULTURAS!$H$6:$H$28,$P1166))/MAX(INDEX(PARAMETROS_CULTURAS!$I$6:$I$28,$P1166),0.0001)))))</f>
        <v>0.771245421245421</v>
      </c>
      <c r="S1166" s="18" t="n">
        <f aca="false">IFERROR(INDEX(SEMANAS!$H$6:$H$71,MATCH($B1166,SEMANAS!$B$6:$B$71,0)),0)</f>
        <v>29.4</v>
      </c>
      <c r="T1166" s="18" t="n">
        <f aca="false">$R1166*$S1166</f>
        <v>22.6746153846154</v>
      </c>
      <c r="U1166" s="18" t="n">
        <f aca="false">IFERROR(INDEX(SEMANAS!$I$6:$I$71,MATCH($B1166,SEMANAS!$B$6:$B$71,0)),0)</f>
        <v>3.36</v>
      </c>
      <c r="V1166" s="18" t="n">
        <f aca="false">IFERROR(INDEX(SEMANAS!$J$6:$J$71,MATCH($B1166,SEMANAS!$B$6:$B$71,0)),0)</f>
        <v>2.688</v>
      </c>
      <c r="W1166" s="18" t="n">
        <f aca="false">MAX(0,$T1166-$V1166)</f>
        <v>19.9866153846154</v>
      </c>
      <c r="X1166" s="19" t="n">
        <f aca="false">IFERROR(INDEX(CADASTRO_PIVOS!$K$6:$K$41,MATCH($E1166,CADASTRO_PIVOS!$B$6:$B$41,0)),EFICIENCIA_PADRAO)</f>
        <v>0.85</v>
      </c>
      <c r="Y1166" s="18" t="n">
        <f aca="false">IF($X1166&lt;=0,0,$W1166/$X1166)</f>
        <v>23.513665158371</v>
      </c>
      <c r="Z1166" s="16" t="n">
        <f aca="false">$Y1166*$H1166*MM_PARA_M3_HA</f>
        <v>35256.3895384615</v>
      </c>
      <c r="AA1166" s="18" t="n">
        <f aca="false">IFERROR(INDEX(CADASTRO_PIVOS!$I$6:$I$41,MATCH($E1166,CADASTRO_PIVOS!$B$6:$B$41,0)),0)</f>
        <v>1071</v>
      </c>
      <c r="AB1166" s="18" t="n">
        <f aca="false">IF($Z1166&lt;=0,0,$Z1166/$AA1166)</f>
        <v>32.9191312217195</v>
      </c>
      <c r="AC1166" s="16" t="n">
        <f aca="false">IFERROR(INDEX(SEMANAS!$K$6:$K$71,MATCH($B1166,SEMANAS!$B$6:$B$71,0)),0)</f>
        <v>147</v>
      </c>
      <c r="AD1166" s="19" t="n">
        <f aca="false">IF($AC1166&lt;=0,0,$AB1166/$AC1166)</f>
        <v>0.223939668174962</v>
      </c>
      <c r="AE1166" s="8" t="str">
        <f aca="false">IF($K1166="SEM CULTURA","SEM CULTURA",IF($AA1166&lt;=0,"DADO PENDENTE",IF($AD1166&gt;LIMITE_CRITICO,"INVIAVEL",IF($AD1166&gt;LIMITE_ATENCAO,"CRITICO",IF($AD1166&gt;LIMITE_CONFORTAVEL,"ATENCAO","OK")))))</f>
        <v>OK</v>
      </c>
      <c r="AF1166" s="8" t="str">
        <f aca="false">$B1166&amp;"|"&amp;TEXT($AD1166,"0.000000")</f>
        <v>39|0.223940</v>
      </c>
      <c r="AG1166" s="18" t="n">
        <f aca="false">IF($K1166="SEM CULTURA",0,$T1166*$H1166)</f>
        <v>3399.83183076923</v>
      </c>
      <c r="AH1166" s="18" t="n">
        <f aca="false">IF($K1166="SEM CULTURA",0,$V1166*$H1166)</f>
        <v>403.03872</v>
      </c>
      <c r="AI1166" s="18" t="n">
        <f aca="false">IF($K1166="SEM CULTURA",0,$W1166*$H1166)</f>
        <v>2996.79311076923</v>
      </c>
      <c r="AJ1166" s="18" t="n">
        <f aca="false">IF($K1166="SEM CULTURA",0,$S1166*$H1166)</f>
        <v>4408.236</v>
      </c>
      <c r="AK1166" s="8" t="str">
        <f aca="false">$E1166&amp;"|"&amp;TEXT($AD1166,"0.000000")</f>
        <v>PV 117|0.223940</v>
      </c>
    </row>
    <row r="1167" customFormat="false" ht="15" hidden="false" customHeight="false" outlineLevel="0" collapsed="false">
      <c r="B1167" s="16" t="n">
        <v>40</v>
      </c>
      <c r="C1167" s="17" t="n">
        <f aca="false">DATA_INICIO_SAFRA+($B1167-1)*DIAS_POR_SEMANA</f>
        <v>46538</v>
      </c>
      <c r="D1167" s="17" t="n">
        <f aca="false">$C1167+DIAS_POR_SEMANA-1</f>
        <v>46544</v>
      </c>
      <c r="E1167" s="15" t="s">
        <v>276</v>
      </c>
      <c r="F1167" s="8" t="str">
        <f aca="false">IFERROR(INDEX(CADASTRO_PIVOS!$C$6:$C$41,MATCH($E1167,CADASTRO_PIVOS!$B$6:$B$41,0)),"?")</f>
        <v>RM06</v>
      </c>
      <c r="G1167" s="8" t="str">
        <f aca="false">IFERROR(INDEX(CADASTRO_PIVOS!$D$6:$D$41,MATCH($E1167,CADASTRO_PIVOS!$B$6:$B$41,0)),"?")</f>
        <v>TR06</v>
      </c>
      <c r="H1167" s="20" t="n">
        <f aca="false">IFERROR(INDEX(CADASTRO_PIVOS!$E$6:$E$41,MATCH($E1167,CADASTRO_PIVOS!$B$6:$B$41,0)),0)</f>
        <v>149.94</v>
      </c>
      <c r="I1167" s="16" t="n">
        <f aca="false">IFERROR(SUMIFS(ROTACAO_RDM!$B$6:$B$71,ROTACAO_RDM!$D$6:$D$71,$E1167,ROTACAO_RDM!$I$6:$I$71,"&lt;="&amp;$C1167+INT(DIAS_POR_SEMANA/2),ROTACAO_RDM!$J$6:$J$71,"&gt;="&amp;$C1167+INT(DIAS_POR_SEMANA/2)),0)</f>
        <v>29</v>
      </c>
      <c r="J1167" s="16" t="n">
        <f aca="false">IFERROR(MATCH($I1167,ROTACAO_RDM!$B$6:$B$71,0),0)</f>
        <v>29</v>
      </c>
      <c r="K1167" s="8" t="str">
        <f aca="false">IF($J1167=0,"SEM CULTURA",INDEX(ROTACAO_RDM!$F$6:$F$71,$J1167))</f>
        <v>ALGODAO</v>
      </c>
      <c r="L1167" s="8" t="str">
        <f aca="false">IF($J1167=0,"",INDEX(ROTACAO_RDM!$G$6:$G$71,$J1167))</f>
        <v>FM 974 GLT</v>
      </c>
      <c r="M1167" s="17" t="n">
        <f aca="false">IF($J1167=0,"",INDEX(ROTACAO_RDM!$I$6:$I$71,$J1167))</f>
        <v>46356</v>
      </c>
      <c r="N1167" s="16" t="n">
        <f aca="false">IF($J1167=0,0,MAX(0,$C1167+INT(DIAS_POR_SEMANA/2)-INDEX(ROTACAO_RDM!$I$6:$I$71,$J1167)))</f>
        <v>185</v>
      </c>
      <c r="O1167" s="19" t="n">
        <f aca="false">IF($J1167=0,0,MIN(1,$N1167/MAX(1,INDEX(ROTACAO_RDM!$K$6:$K$71,$J1167))))</f>
        <v>0.948717948717949</v>
      </c>
      <c r="P1167" s="16" t="n">
        <f aca="false">IF($J1167=0,0,IFERROR(MATCH(INDEX(ROTACAO_RDM!$N$6:$N$71,$J1167),PARAMETROS_CULTURAS!$B$6:$B$28,0),0))</f>
        <v>5</v>
      </c>
      <c r="Q1167" s="8" t="str">
        <f aca="false">IF($P1167=0,"-",IF($O1167&lt;=INDEX(PARAMETROS_CULTURAS!$F$6:$F$28,$P1167),"INICIAL",IF($O1167&lt;=INDEX(PARAMETROS_CULTURAS!$F$6:$F$28,$P1167)+INDEX(PARAMETROS_CULTURAS!$G$6:$G$28,$P1167),"DESENVOLVIMENTO",IF($O1167&lt;=INDEX(PARAMETROS_CULTURAS!$F$6:$F$28,$P1167)+INDEX(PARAMETROS_CULTURAS!$G$6:$G$28,$P1167)+INDEX(PARAMETROS_CULTURAS!$H$6:$H$28,$P1167),"MEDIA","FINAL"))))</f>
        <v>FINAL</v>
      </c>
      <c r="R1167" s="24" t="n">
        <f aca="false">IF($P1167=0,0,IF($O1167&lt;=INDEX(PARAMETROS_CULTURAS!$F$6:$F$28,$P1167),INDEX(PARAMETROS_CULTURAS!$K$6:$K$28,$P1167),IF($O1167&lt;=INDEX(PARAMETROS_CULTURAS!$F$6:$F$28,$P1167)+INDEX(PARAMETROS_CULTURAS!$G$6:$G$28,$P1167),INDEX(PARAMETROS_CULTURAS!$K$6:$K$28,$P1167)+(INDEX(PARAMETROS_CULTURAS!$L$6:$L$28,$P1167)-INDEX(PARAMETROS_CULTURAS!$K$6:$K$28,$P1167))*($O1167-INDEX(PARAMETROS_CULTURAS!$F$6:$F$28,$P1167))/MAX(INDEX(PARAMETROS_CULTURAS!$G$6:$G$28,$P1167),0.0001),IF($O1167&lt;=INDEX(PARAMETROS_CULTURAS!$F$6:$F$28,$P1167)+INDEX(PARAMETROS_CULTURAS!$G$6:$G$28,$P1167)+INDEX(PARAMETROS_CULTURAS!$H$6:$H$28,$P1167),INDEX(PARAMETROS_CULTURAS!$L$6:$L$28,$P1167),INDEX(PARAMETROS_CULTURAS!$L$6:$L$28,$P1167)+(INDEX(PARAMETROS_CULTURAS!$M$6:$M$28,$P1167)-INDEX(PARAMETROS_CULTURAS!$L$6:$L$28,$P1167))*($O1167-INDEX(PARAMETROS_CULTURAS!$F$6:$F$28,$P1167)-INDEX(PARAMETROS_CULTURAS!$G$6:$G$28,$P1167)-INDEX(PARAMETROS_CULTURAS!$H$6:$H$28,$P1167))/MAX(INDEX(PARAMETROS_CULTURAS!$I$6:$I$28,$P1167),0.0001)))))</f>
        <v>0.700732600732601</v>
      </c>
      <c r="S1167" s="18" t="n">
        <f aca="false">IFERROR(INDEX(SEMANAS!$H$6:$H$71,MATCH($B1167,SEMANAS!$B$6:$B$71,0)),0)</f>
        <v>28.2</v>
      </c>
      <c r="T1167" s="18" t="n">
        <f aca="false">$R1167*$S1167</f>
        <v>19.7606593406593</v>
      </c>
      <c r="U1167" s="18" t="n">
        <f aca="false">IFERROR(INDEX(SEMANAS!$I$6:$I$71,MATCH($B1167,SEMANAS!$B$6:$B$71,0)),0)</f>
        <v>1.5</v>
      </c>
      <c r="V1167" s="18" t="n">
        <f aca="false">IFERROR(INDEX(SEMANAS!$J$6:$J$71,MATCH($B1167,SEMANAS!$B$6:$B$71,0)),0)</f>
        <v>1.2</v>
      </c>
      <c r="W1167" s="18" t="n">
        <f aca="false">MAX(0,$T1167-$V1167)</f>
        <v>18.5606593406593</v>
      </c>
      <c r="X1167" s="19" t="n">
        <f aca="false">IFERROR(INDEX(CADASTRO_PIVOS!$K$6:$K$41,MATCH($E1167,CADASTRO_PIVOS!$B$6:$B$41,0)),EFICIENCIA_PADRAO)</f>
        <v>0.85</v>
      </c>
      <c r="Y1167" s="18" t="n">
        <f aca="false">IF($X1167&lt;=0,0,$W1167/$X1167)</f>
        <v>21.8360698125404</v>
      </c>
      <c r="Z1167" s="16" t="n">
        <f aca="false">$Y1167*$H1167*MM_PARA_M3_HA</f>
        <v>32741.0030769231</v>
      </c>
      <c r="AA1167" s="18" t="n">
        <f aca="false">IFERROR(INDEX(CADASTRO_PIVOS!$I$6:$I$41,MATCH($E1167,CADASTRO_PIVOS!$B$6:$B$41,0)),0)</f>
        <v>1071</v>
      </c>
      <c r="AB1167" s="18" t="n">
        <f aca="false">IF($Z1167&lt;=0,0,$Z1167/$AA1167)</f>
        <v>30.5704977375566</v>
      </c>
      <c r="AC1167" s="16" t="n">
        <f aca="false">IFERROR(INDEX(SEMANAS!$K$6:$K$71,MATCH($B1167,SEMANAS!$B$6:$B$71,0)),0)</f>
        <v>147</v>
      </c>
      <c r="AD1167" s="19" t="n">
        <f aca="false">IF($AC1167&lt;=0,0,$AB1167/$AC1167)</f>
        <v>0.207962569643242</v>
      </c>
      <c r="AE1167" s="8" t="str">
        <f aca="false">IF($K1167="SEM CULTURA","SEM CULTURA",IF($AA1167&lt;=0,"DADO PENDENTE",IF($AD1167&gt;LIMITE_CRITICO,"INVIAVEL",IF($AD1167&gt;LIMITE_ATENCAO,"CRITICO",IF($AD1167&gt;LIMITE_CONFORTAVEL,"ATENCAO","OK")))))</f>
        <v>OK</v>
      </c>
      <c r="AF1167" s="8" t="str">
        <f aca="false">$B1167&amp;"|"&amp;TEXT($AD1167,"0.000000")</f>
        <v>40|0.207963</v>
      </c>
      <c r="AG1167" s="18" t="n">
        <f aca="false">IF($K1167="SEM CULTURA",0,$T1167*$H1167)</f>
        <v>2962.91326153846</v>
      </c>
      <c r="AH1167" s="18" t="n">
        <f aca="false">IF($K1167="SEM CULTURA",0,$V1167*$H1167)</f>
        <v>179.928</v>
      </c>
      <c r="AI1167" s="18" t="n">
        <f aca="false">IF($K1167="SEM CULTURA",0,$W1167*$H1167)</f>
        <v>2782.98526153846</v>
      </c>
      <c r="AJ1167" s="18" t="n">
        <f aca="false">IF($K1167="SEM CULTURA",0,$S1167*$H1167)</f>
        <v>4228.308</v>
      </c>
      <c r="AK1167" s="8" t="str">
        <f aca="false">$E1167&amp;"|"&amp;TEXT($AD1167,"0.000000")</f>
        <v>PV 117|0.207963</v>
      </c>
    </row>
    <row r="1168" customFormat="false" ht="15" hidden="false" customHeight="false" outlineLevel="0" collapsed="false">
      <c r="B1168" s="16" t="n">
        <v>41</v>
      </c>
      <c r="C1168" s="17" t="n">
        <f aca="false">DATA_INICIO_SAFRA+($B1168-1)*DIAS_POR_SEMANA</f>
        <v>46545</v>
      </c>
      <c r="D1168" s="17" t="n">
        <f aca="false">$C1168+DIAS_POR_SEMANA-1</f>
        <v>46551</v>
      </c>
      <c r="E1168" s="15" t="s">
        <v>276</v>
      </c>
      <c r="F1168" s="8" t="str">
        <f aca="false">IFERROR(INDEX(CADASTRO_PIVOS!$C$6:$C$41,MATCH($E1168,CADASTRO_PIVOS!$B$6:$B$41,0)),"?")</f>
        <v>RM06</v>
      </c>
      <c r="G1168" s="8" t="str">
        <f aca="false">IFERROR(INDEX(CADASTRO_PIVOS!$D$6:$D$41,MATCH($E1168,CADASTRO_PIVOS!$B$6:$B$41,0)),"?")</f>
        <v>TR06</v>
      </c>
      <c r="H1168" s="20" t="n">
        <f aca="false">IFERROR(INDEX(CADASTRO_PIVOS!$E$6:$E$41,MATCH($E1168,CADASTRO_PIVOS!$B$6:$B$41,0)),0)</f>
        <v>149.94</v>
      </c>
      <c r="I1168" s="16" t="n">
        <f aca="false">IFERROR(SUMIFS(ROTACAO_RDM!$B$6:$B$71,ROTACAO_RDM!$D$6:$D$71,$E1168,ROTACAO_RDM!$I$6:$I$71,"&lt;="&amp;$C1168+INT(DIAS_POR_SEMANA/2),ROTACAO_RDM!$J$6:$J$71,"&gt;="&amp;$C1168+INT(DIAS_POR_SEMANA/2)),0)</f>
        <v>29</v>
      </c>
      <c r="J1168" s="16" t="n">
        <f aca="false">IFERROR(MATCH($I1168,ROTACAO_RDM!$B$6:$B$71,0),0)</f>
        <v>29</v>
      </c>
      <c r="K1168" s="8" t="str">
        <f aca="false">IF($J1168=0,"SEM CULTURA",INDEX(ROTACAO_RDM!$F$6:$F$71,$J1168))</f>
        <v>ALGODAO</v>
      </c>
      <c r="L1168" s="8" t="str">
        <f aca="false">IF($J1168=0,"",INDEX(ROTACAO_RDM!$G$6:$G$71,$J1168))</f>
        <v>FM 974 GLT</v>
      </c>
      <c r="M1168" s="17" t="n">
        <f aca="false">IF($J1168=0,"",INDEX(ROTACAO_RDM!$I$6:$I$71,$J1168))</f>
        <v>46356</v>
      </c>
      <c r="N1168" s="16" t="n">
        <f aca="false">IF($J1168=0,0,MAX(0,$C1168+INT(DIAS_POR_SEMANA/2)-INDEX(ROTACAO_RDM!$I$6:$I$71,$J1168)))</f>
        <v>192</v>
      </c>
      <c r="O1168" s="19" t="n">
        <f aca="false">IF($J1168=0,0,MIN(1,$N1168/MAX(1,INDEX(ROTACAO_RDM!$K$6:$K$71,$J1168))))</f>
        <v>0.984615384615385</v>
      </c>
      <c r="P1168" s="16" t="n">
        <f aca="false">IF($J1168=0,0,IFERROR(MATCH(INDEX(ROTACAO_RDM!$N$6:$N$71,$J1168),PARAMETROS_CULTURAS!$B$6:$B$28,0),0))</f>
        <v>5</v>
      </c>
      <c r="Q1168" s="8" t="str">
        <f aca="false">IF($P1168=0,"-",IF($O1168&lt;=INDEX(PARAMETROS_CULTURAS!$F$6:$F$28,$P1168),"INICIAL",IF($O1168&lt;=INDEX(PARAMETROS_CULTURAS!$F$6:$F$28,$P1168)+INDEX(PARAMETROS_CULTURAS!$G$6:$G$28,$P1168),"DESENVOLVIMENTO",IF($O1168&lt;=INDEX(PARAMETROS_CULTURAS!$F$6:$F$28,$P1168)+INDEX(PARAMETROS_CULTURAS!$G$6:$G$28,$P1168)+INDEX(PARAMETROS_CULTURAS!$H$6:$H$28,$P1168),"MEDIA","FINAL"))))</f>
        <v>FINAL</v>
      </c>
      <c r="R1168" s="24" t="n">
        <f aca="false">IF($P1168=0,0,IF($O1168&lt;=INDEX(PARAMETROS_CULTURAS!$F$6:$F$28,$P1168),INDEX(PARAMETROS_CULTURAS!$K$6:$K$28,$P1168),IF($O1168&lt;=INDEX(PARAMETROS_CULTURAS!$F$6:$F$28,$P1168)+INDEX(PARAMETROS_CULTURAS!$G$6:$G$28,$P1168),INDEX(PARAMETROS_CULTURAS!$K$6:$K$28,$P1168)+(INDEX(PARAMETROS_CULTURAS!$L$6:$L$28,$P1168)-INDEX(PARAMETROS_CULTURAS!$K$6:$K$28,$P1168))*($O1168-INDEX(PARAMETROS_CULTURAS!$F$6:$F$28,$P1168))/MAX(INDEX(PARAMETROS_CULTURAS!$G$6:$G$28,$P1168),0.0001),IF($O1168&lt;=INDEX(PARAMETROS_CULTURAS!$F$6:$F$28,$P1168)+INDEX(PARAMETROS_CULTURAS!$G$6:$G$28,$P1168)+INDEX(PARAMETROS_CULTURAS!$H$6:$H$28,$P1168),INDEX(PARAMETROS_CULTURAS!$L$6:$L$28,$P1168),INDEX(PARAMETROS_CULTURAS!$L$6:$L$28,$P1168)+(INDEX(PARAMETROS_CULTURAS!$M$6:$M$28,$P1168)-INDEX(PARAMETROS_CULTURAS!$L$6:$L$28,$P1168))*($O1168-INDEX(PARAMETROS_CULTURAS!$F$6:$F$28,$P1168)-INDEX(PARAMETROS_CULTURAS!$G$6:$G$28,$P1168)-INDEX(PARAMETROS_CULTURAS!$H$6:$H$28,$P1168))/MAX(INDEX(PARAMETROS_CULTURAS!$I$6:$I$28,$P1168),0.0001)))))</f>
        <v>0.63021978021978</v>
      </c>
      <c r="S1168" s="18" t="n">
        <f aca="false">IFERROR(INDEX(SEMANAS!$H$6:$H$71,MATCH($B1168,SEMANAS!$B$6:$B$71,0)),0)</f>
        <v>28</v>
      </c>
      <c r="T1168" s="18" t="n">
        <f aca="false">$R1168*$S1168</f>
        <v>17.6461538461538</v>
      </c>
      <c r="U1168" s="18" t="n">
        <f aca="false">IFERROR(INDEX(SEMANAS!$I$6:$I$71,MATCH($B1168,SEMANAS!$B$6:$B$71,0)),0)</f>
        <v>1.19</v>
      </c>
      <c r="V1168" s="18" t="n">
        <f aca="false">IFERROR(INDEX(SEMANAS!$J$6:$J$71,MATCH($B1168,SEMANAS!$B$6:$B$71,0)),0)</f>
        <v>0.952</v>
      </c>
      <c r="W1168" s="18" t="n">
        <f aca="false">MAX(0,$T1168-$V1168)</f>
        <v>16.6941538461538</v>
      </c>
      <c r="X1168" s="19" t="n">
        <f aca="false">IFERROR(INDEX(CADASTRO_PIVOS!$K$6:$K$41,MATCH($E1168,CADASTRO_PIVOS!$B$6:$B$41,0)),EFICIENCIA_PADRAO)</f>
        <v>0.85</v>
      </c>
      <c r="Y1168" s="18" t="n">
        <f aca="false">IF($X1168&lt;=0,0,$W1168/$X1168)</f>
        <v>19.6401809954751</v>
      </c>
      <c r="Z1168" s="16" t="n">
        <f aca="false">$Y1168*$H1168*MM_PARA_M3_HA</f>
        <v>29448.4873846154</v>
      </c>
      <c r="AA1168" s="18" t="n">
        <f aca="false">IFERROR(INDEX(CADASTRO_PIVOS!$I$6:$I$41,MATCH($E1168,CADASTRO_PIVOS!$B$6:$B$41,0)),0)</f>
        <v>1071</v>
      </c>
      <c r="AB1168" s="18" t="n">
        <f aca="false">IF($Z1168&lt;=0,0,$Z1168/$AA1168)</f>
        <v>27.4962533936652</v>
      </c>
      <c r="AC1168" s="16" t="n">
        <f aca="false">IFERROR(INDEX(SEMANAS!$K$6:$K$71,MATCH($B1168,SEMANAS!$B$6:$B$71,0)),0)</f>
        <v>147</v>
      </c>
      <c r="AD1168" s="19" t="n">
        <f aca="false">IF($AC1168&lt;=0,0,$AB1168/$AC1168)</f>
        <v>0.187049342814049</v>
      </c>
      <c r="AE1168" s="8" t="str">
        <f aca="false">IF($K1168="SEM CULTURA","SEM CULTURA",IF($AA1168&lt;=0,"DADO PENDENTE",IF($AD1168&gt;LIMITE_CRITICO,"INVIAVEL",IF($AD1168&gt;LIMITE_ATENCAO,"CRITICO",IF($AD1168&gt;LIMITE_CONFORTAVEL,"ATENCAO","OK")))))</f>
        <v>OK</v>
      </c>
      <c r="AF1168" s="8" t="str">
        <f aca="false">$B1168&amp;"|"&amp;TEXT($AD1168,"0.000000")</f>
        <v>41|0.187049</v>
      </c>
      <c r="AG1168" s="18" t="n">
        <f aca="false">IF($K1168="SEM CULTURA",0,$T1168*$H1168)</f>
        <v>2645.86430769231</v>
      </c>
      <c r="AH1168" s="18" t="n">
        <f aca="false">IF($K1168="SEM CULTURA",0,$V1168*$H1168)</f>
        <v>142.74288</v>
      </c>
      <c r="AI1168" s="18" t="n">
        <f aca="false">IF($K1168="SEM CULTURA",0,$W1168*$H1168)</f>
        <v>2503.12142769231</v>
      </c>
      <c r="AJ1168" s="18" t="n">
        <f aca="false">IF($K1168="SEM CULTURA",0,$S1168*$H1168)</f>
        <v>4198.32</v>
      </c>
      <c r="AK1168" s="8" t="str">
        <f aca="false">$E1168&amp;"|"&amp;TEXT($AD1168,"0.000000")</f>
        <v>PV 117|0.187049</v>
      </c>
    </row>
    <row r="1169" customFormat="false" ht="15" hidden="false" customHeight="false" outlineLevel="0" collapsed="false">
      <c r="B1169" s="16" t="n">
        <v>42</v>
      </c>
      <c r="C1169" s="17" t="n">
        <f aca="false">DATA_INICIO_SAFRA+($B1169-1)*DIAS_POR_SEMANA</f>
        <v>46552</v>
      </c>
      <c r="D1169" s="17" t="n">
        <f aca="false">$C1169+DIAS_POR_SEMANA-1</f>
        <v>46558</v>
      </c>
      <c r="E1169" s="15" t="s">
        <v>276</v>
      </c>
      <c r="F1169" s="8" t="str">
        <f aca="false">IFERROR(INDEX(CADASTRO_PIVOS!$C$6:$C$41,MATCH($E1169,CADASTRO_PIVOS!$B$6:$B$41,0)),"?")</f>
        <v>RM06</v>
      </c>
      <c r="G1169" s="8" t="str">
        <f aca="false">IFERROR(INDEX(CADASTRO_PIVOS!$D$6:$D$41,MATCH($E1169,CADASTRO_PIVOS!$B$6:$B$41,0)),"?")</f>
        <v>TR06</v>
      </c>
      <c r="H1169" s="20" t="n">
        <f aca="false">IFERROR(INDEX(CADASTRO_PIVOS!$E$6:$E$41,MATCH($E1169,CADASTRO_PIVOS!$B$6:$B$41,0)),0)</f>
        <v>149.94</v>
      </c>
      <c r="I1169" s="16" t="n">
        <f aca="false">IFERROR(SUMIFS(ROTACAO_RDM!$B$6:$B$71,ROTACAO_RDM!$D$6:$D$71,$E1169,ROTACAO_RDM!$I$6:$I$71,"&lt;="&amp;$C1169+INT(DIAS_POR_SEMANA/2),ROTACAO_RDM!$J$6:$J$71,"&gt;="&amp;$C1169+INT(DIAS_POR_SEMANA/2)),0)</f>
        <v>0</v>
      </c>
      <c r="J1169" s="16" t="n">
        <f aca="false">IFERROR(MATCH($I1169,ROTACAO_RDM!$B$6:$B$71,0),0)</f>
        <v>0</v>
      </c>
      <c r="K1169" s="8" t="str">
        <f aca="false">IF($J1169=0,"SEM CULTURA",INDEX(ROTACAO_RDM!$F$6:$F$71,$J1169))</f>
        <v>SEM CULTURA</v>
      </c>
      <c r="L1169" s="8" t="str">
        <f aca="false">IF($J1169=0,"",INDEX(ROTACAO_RDM!$G$6:$G$71,$J1169))</f>
        <v/>
      </c>
      <c r="M1169" s="17" t="str">
        <f aca="false">IF($J1169=0,"",INDEX(ROTACAO_RDM!$I$6:$I$71,$J1169))</f>
        <v/>
      </c>
      <c r="N1169" s="16" t="n">
        <f aca="false">IF($J1169=0,0,MAX(0,$C1169+INT(DIAS_POR_SEMANA/2)-INDEX(ROTACAO_RDM!$I$6:$I$71,$J1169)))</f>
        <v>0</v>
      </c>
      <c r="O1169" s="19" t="n">
        <f aca="false">IF($J1169=0,0,MIN(1,$N1169/MAX(1,INDEX(ROTACAO_RDM!$K$6:$K$71,$J1169))))</f>
        <v>0</v>
      </c>
      <c r="P1169" s="16" t="n">
        <f aca="false">IF($J1169=0,0,IFERROR(MATCH(INDEX(ROTACAO_RDM!$N$6:$N$71,$J1169),PARAMETROS_CULTURAS!$B$6:$B$28,0),0))</f>
        <v>0</v>
      </c>
      <c r="Q1169" s="8" t="str">
        <f aca="false">IF($P1169=0,"-",IF($O1169&lt;=INDEX(PARAMETROS_CULTURAS!$F$6:$F$28,$P1169),"INICIAL",IF($O1169&lt;=INDEX(PARAMETROS_CULTURAS!$F$6:$F$28,$P1169)+INDEX(PARAMETROS_CULTURAS!$G$6:$G$28,$P1169),"DESENVOLVIMENTO",IF($O1169&lt;=INDEX(PARAMETROS_CULTURAS!$F$6:$F$28,$P1169)+INDEX(PARAMETROS_CULTURAS!$G$6:$G$28,$P1169)+INDEX(PARAMETROS_CULTURAS!$H$6:$H$28,$P1169),"MEDIA","FINAL"))))</f>
        <v>-</v>
      </c>
      <c r="R1169" s="24" t="n">
        <f aca="false">IF($P1169=0,0,IF($O1169&lt;=INDEX(PARAMETROS_CULTURAS!$F$6:$F$28,$P1169),INDEX(PARAMETROS_CULTURAS!$K$6:$K$28,$P1169),IF($O1169&lt;=INDEX(PARAMETROS_CULTURAS!$F$6:$F$28,$P1169)+INDEX(PARAMETROS_CULTURAS!$G$6:$G$28,$P1169),INDEX(PARAMETROS_CULTURAS!$K$6:$K$28,$P1169)+(INDEX(PARAMETROS_CULTURAS!$L$6:$L$28,$P1169)-INDEX(PARAMETROS_CULTURAS!$K$6:$K$28,$P1169))*($O1169-INDEX(PARAMETROS_CULTURAS!$F$6:$F$28,$P1169))/MAX(INDEX(PARAMETROS_CULTURAS!$G$6:$G$28,$P1169),0.0001),IF($O1169&lt;=INDEX(PARAMETROS_CULTURAS!$F$6:$F$28,$P1169)+INDEX(PARAMETROS_CULTURAS!$G$6:$G$28,$P1169)+INDEX(PARAMETROS_CULTURAS!$H$6:$H$28,$P1169),INDEX(PARAMETROS_CULTURAS!$L$6:$L$28,$P1169),INDEX(PARAMETROS_CULTURAS!$L$6:$L$28,$P1169)+(INDEX(PARAMETROS_CULTURAS!$M$6:$M$28,$P1169)-INDEX(PARAMETROS_CULTURAS!$L$6:$L$28,$P1169))*($O1169-INDEX(PARAMETROS_CULTURAS!$F$6:$F$28,$P1169)-INDEX(PARAMETROS_CULTURAS!$G$6:$G$28,$P1169)-INDEX(PARAMETROS_CULTURAS!$H$6:$H$28,$P1169))/MAX(INDEX(PARAMETROS_CULTURAS!$I$6:$I$28,$P1169),0.0001)))))</f>
        <v>0</v>
      </c>
      <c r="S1169" s="18" t="n">
        <f aca="false">IFERROR(INDEX(SEMANAS!$H$6:$H$71,MATCH($B1169,SEMANAS!$B$6:$B$71,0)),0)</f>
        <v>28</v>
      </c>
      <c r="T1169" s="18" t="n">
        <f aca="false">$R1169*$S1169</f>
        <v>0</v>
      </c>
      <c r="U1169" s="18" t="n">
        <f aca="false">IFERROR(INDEX(SEMANAS!$I$6:$I$71,MATCH($B1169,SEMANAS!$B$6:$B$71,0)),0)</f>
        <v>1.19</v>
      </c>
      <c r="V1169" s="18" t="n">
        <f aca="false">IFERROR(INDEX(SEMANAS!$J$6:$J$71,MATCH($B1169,SEMANAS!$B$6:$B$71,0)),0)</f>
        <v>0.952</v>
      </c>
      <c r="W1169" s="18" t="n">
        <f aca="false">MAX(0,$T1169-$V1169)</f>
        <v>0</v>
      </c>
      <c r="X1169" s="19" t="n">
        <f aca="false">IFERROR(INDEX(CADASTRO_PIVOS!$K$6:$K$41,MATCH($E1169,CADASTRO_PIVOS!$B$6:$B$41,0)),EFICIENCIA_PADRAO)</f>
        <v>0.85</v>
      </c>
      <c r="Y1169" s="18" t="n">
        <f aca="false">IF($X1169&lt;=0,0,$W1169/$X1169)</f>
        <v>0</v>
      </c>
      <c r="Z1169" s="16" t="n">
        <f aca="false">$Y1169*$H1169*MM_PARA_M3_HA</f>
        <v>0</v>
      </c>
      <c r="AA1169" s="18" t="n">
        <f aca="false">IFERROR(INDEX(CADASTRO_PIVOS!$I$6:$I$41,MATCH($E1169,CADASTRO_PIVOS!$B$6:$B$41,0)),0)</f>
        <v>1071</v>
      </c>
      <c r="AB1169" s="18" t="n">
        <f aca="false">IF($Z1169&lt;=0,0,$Z1169/$AA1169)</f>
        <v>0</v>
      </c>
      <c r="AC1169" s="16" t="n">
        <f aca="false">IFERROR(INDEX(SEMANAS!$K$6:$K$71,MATCH($B1169,SEMANAS!$B$6:$B$71,0)),0)</f>
        <v>147</v>
      </c>
      <c r="AD1169" s="19" t="n">
        <f aca="false">IF($AC1169&lt;=0,0,$AB1169/$AC1169)</f>
        <v>0</v>
      </c>
      <c r="AE1169" s="8" t="str">
        <f aca="false">IF($K1169="SEM CULTURA","SEM CULTURA",IF($AA1169&lt;=0,"DADO PENDENTE",IF($AD1169&gt;LIMITE_CRITICO,"INVIAVEL",IF($AD1169&gt;LIMITE_ATENCAO,"CRITICO",IF($AD1169&gt;LIMITE_CONFORTAVEL,"ATENCAO","OK")))))</f>
        <v>SEM CULTURA</v>
      </c>
      <c r="AF1169" s="8" t="str">
        <f aca="false">$B1169&amp;"|"&amp;TEXT($AD1169,"0.000000")</f>
        <v>42|0.000000</v>
      </c>
      <c r="AG1169" s="18" t="n">
        <f aca="false">IF($K1169="SEM CULTURA",0,$T1169*$H1169)</f>
        <v>0</v>
      </c>
      <c r="AH1169" s="18" t="n">
        <f aca="false">IF($K1169="SEM CULTURA",0,$V1169*$H1169)</f>
        <v>0</v>
      </c>
      <c r="AI1169" s="18" t="n">
        <f aca="false">IF($K1169="SEM CULTURA",0,$W1169*$H1169)</f>
        <v>0</v>
      </c>
      <c r="AJ1169" s="18" t="n">
        <f aca="false">IF($K1169="SEM CULTURA",0,$S1169*$H1169)</f>
        <v>0</v>
      </c>
      <c r="AK1169" s="8" t="str">
        <f aca="false">$E1169&amp;"|"&amp;TEXT($AD1169,"0.000000")</f>
        <v>PV 117|0.000000</v>
      </c>
    </row>
    <row r="1170" customFormat="false" ht="15" hidden="false" customHeight="false" outlineLevel="0" collapsed="false">
      <c r="B1170" s="16" t="n">
        <v>43</v>
      </c>
      <c r="C1170" s="17" t="n">
        <f aca="false">DATA_INICIO_SAFRA+($B1170-1)*DIAS_POR_SEMANA</f>
        <v>46559</v>
      </c>
      <c r="D1170" s="17" t="n">
        <f aca="false">$C1170+DIAS_POR_SEMANA-1</f>
        <v>46565</v>
      </c>
      <c r="E1170" s="15" t="s">
        <v>276</v>
      </c>
      <c r="F1170" s="8" t="str">
        <f aca="false">IFERROR(INDEX(CADASTRO_PIVOS!$C$6:$C$41,MATCH($E1170,CADASTRO_PIVOS!$B$6:$B$41,0)),"?")</f>
        <v>RM06</v>
      </c>
      <c r="G1170" s="8" t="str">
        <f aca="false">IFERROR(INDEX(CADASTRO_PIVOS!$D$6:$D$41,MATCH($E1170,CADASTRO_PIVOS!$B$6:$B$41,0)),"?")</f>
        <v>TR06</v>
      </c>
      <c r="H1170" s="20" t="n">
        <f aca="false">IFERROR(INDEX(CADASTRO_PIVOS!$E$6:$E$41,MATCH($E1170,CADASTRO_PIVOS!$B$6:$B$41,0)),0)</f>
        <v>149.94</v>
      </c>
      <c r="I1170" s="16" t="n">
        <f aca="false">IFERROR(SUMIFS(ROTACAO_RDM!$B$6:$B$71,ROTACAO_RDM!$D$6:$D$71,$E1170,ROTACAO_RDM!$I$6:$I$71,"&lt;="&amp;$C1170+INT(DIAS_POR_SEMANA/2),ROTACAO_RDM!$J$6:$J$71,"&gt;="&amp;$C1170+INT(DIAS_POR_SEMANA/2)),0)</f>
        <v>0</v>
      </c>
      <c r="J1170" s="16" t="n">
        <f aca="false">IFERROR(MATCH($I1170,ROTACAO_RDM!$B$6:$B$71,0),0)</f>
        <v>0</v>
      </c>
      <c r="K1170" s="8" t="str">
        <f aca="false">IF($J1170=0,"SEM CULTURA",INDEX(ROTACAO_RDM!$F$6:$F$71,$J1170))</f>
        <v>SEM CULTURA</v>
      </c>
      <c r="L1170" s="8" t="str">
        <f aca="false">IF($J1170=0,"",INDEX(ROTACAO_RDM!$G$6:$G$71,$J1170))</f>
        <v/>
      </c>
      <c r="M1170" s="17" t="str">
        <f aca="false">IF($J1170=0,"",INDEX(ROTACAO_RDM!$I$6:$I$71,$J1170))</f>
        <v/>
      </c>
      <c r="N1170" s="16" t="n">
        <f aca="false">IF($J1170=0,0,MAX(0,$C1170+INT(DIAS_POR_SEMANA/2)-INDEX(ROTACAO_RDM!$I$6:$I$71,$J1170)))</f>
        <v>0</v>
      </c>
      <c r="O1170" s="19" t="n">
        <f aca="false">IF($J1170=0,0,MIN(1,$N1170/MAX(1,INDEX(ROTACAO_RDM!$K$6:$K$71,$J1170))))</f>
        <v>0</v>
      </c>
      <c r="P1170" s="16" t="n">
        <f aca="false">IF($J1170=0,0,IFERROR(MATCH(INDEX(ROTACAO_RDM!$N$6:$N$71,$J1170),PARAMETROS_CULTURAS!$B$6:$B$28,0),0))</f>
        <v>0</v>
      </c>
      <c r="Q1170" s="8" t="str">
        <f aca="false">IF($P1170=0,"-",IF($O1170&lt;=INDEX(PARAMETROS_CULTURAS!$F$6:$F$28,$P1170),"INICIAL",IF($O1170&lt;=INDEX(PARAMETROS_CULTURAS!$F$6:$F$28,$P1170)+INDEX(PARAMETROS_CULTURAS!$G$6:$G$28,$P1170),"DESENVOLVIMENTO",IF($O1170&lt;=INDEX(PARAMETROS_CULTURAS!$F$6:$F$28,$P1170)+INDEX(PARAMETROS_CULTURAS!$G$6:$G$28,$P1170)+INDEX(PARAMETROS_CULTURAS!$H$6:$H$28,$P1170),"MEDIA","FINAL"))))</f>
        <v>-</v>
      </c>
      <c r="R1170" s="24" t="n">
        <f aca="false">IF($P1170=0,0,IF($O1170&lt;=INDEX(PARAMETROS_CULTURAS!$F$6:$F$28,$P1170),INDEX(PARAMETROS_CULTURAS!$K$6:$K$28,$P1170),IF($O1170&lt;=INDEX(PARAMETROS_CULTURAS!$F$6:$F$28,$P1170)+INDEX(PARAMETROS_CULTURAS!$G$6:$G$28,$P1170),INDEX(PARAMETROS_CULTURAS!$K$6:$K$28,$P1170)+(INDEX(PARAMETROS_CULTURAS!$L$6:$L$28,$P1170)-INDEX(PARAMETROS_CULTURAS!$K$6:$K$28,$P1170))*($O1170-INDEX(PARAMETROS_CULTURAS!$F$6:$F$28,$P1170))/MAX(INDEX(PARAMETROS_CULTURAS!$G$6:$G$28,$P1170),0.0001),IF($O1170&lt;=INDEX(PARAMETROS_CULTURAS!$F$6:$F$28,$P1170)+INDEX(PARAMETROS_CULTURAS!$G$6:$G$28,$P1170)+INDEX(PARAMETROS_CULTURAS!$H$6:$H$28,$P1170),INDEX(PARAMETROS_CULTURAS!$L$6:$L$28,$P1170),INDEX(PARAMETROS_CULTURAS!$L$6:$L$28,$P1170)+(INDEX(PARAMETROS_CULTURAS!$M$6:$M$28,$P1170)-INDEX(PARAMETROS_CULTURAS!$L$6:$L$28,$P1170))*($O1170-INDEX(PARAMETROS_CULTURAS!$F$6:$F$28,$P1170)-INDEX(PARAMETROS_CULTURAS!$G$6:$G$28,$P1170)-INDEX(PARAMETROS_CULTURAS!$H$6:$H$28,$P1170))/MAX(INDEX(PARAMETROS_CULTURAS!$I$6:$I$28,$P1170),0.0001)))))</f>
        <v>0</v>
      </c>
      <c r="S1170" s="18" t="n">
        <f aca="false">IFERROR(INDEX(SEMANAS!$H$6:$H$71,MATCH($B1170,SEMANAS!$B$6:$B$71,0)),0)</f>
        <v>28</v>
      </c>
      <c r="T1170" s="18" t="n">
        <f aca="false">$R1170*$S1170</f>
        <v>0</v>
      </c>
      <c r="U1170" s="18" t="n">
        <f aca="false">IFERROR(INDEX(SEMANAS!$I$6:$I$71,MATCH($B1170,SEMANAS!$B$6:$B$71,0)),0)</f>
        <v>1.19</v>
      </c>
      <c r="V1170" s="18" t="n">
        <f aca="false">IFERROR(INDEX(SEMANAS!$J$6:$J$71,MATCH($B1170,SEMANAS!$B$6:$B$71,0)),0)</f>
        <v>0.952</v>
      </c>
      <c r="W1170" s="18" t="n">
        <f aca="false">MAX(0,$T1170-$V1170)</f>
        <v>0</v>
      </c>
      <c r="X1170" s="19" t="n">
        <f aca="false">IFERROR(INDEX(CADASTRO_PIVOS!$K$6:$K$41,MATCH($E1170,CADASTRO_PIVOS!$B$6:$B$41,0)),EFICIENCIA_PADRAO)</f>
        <v>0.85</v>
      </c>
      <c r="Y1170" s="18" t="n">
        <f aca="false">IF($X1170&lt;=0,0,$W1170/$X1170)</f>
        <v>0</v>
      </c>
      <c r="Z1170" s="16" t="n">
        <f aca="false">$Y1170*$H1170*MM_PARA_M3_HA</f>
        <v>0</v>
      </c>
      <c r="AA1170" s="18" t="n">
        <f aca="false">IFERROR(INDEX(CADASTRO_PIVOS!$I$6:$I$41,MATCH($E1170,CADASTRO_PIVOS!$B$6:$B$41,0)),0)</f>
        <v>1071</v>
      </c>
      <c r="AB1170" s="18" t="n">
        <f aca="false">IF($Z1170&lt;=0,0,$Z1170/$AA1170)</f>
        <v>0</v>
      </c>
      <c r="AC1170" s="16" t="n">
        <f aca="false">IFERROR(INDEX(SEMANAS!$K$6:$K$71,MATCH($B1170,SEMANAS!$B$6:$B$71,0)),0)</f>
        <v>147</v>
      </c>
      <c r="AD1170" s="19" t="n">
        <f aca="false">IF($AC1170&lt;=0,0,$AB1170/$AC1170)</f>
        <v>0</v>
      </c>
      <c r="AE1170" s="8" t="str">
        <f aca="false">IF($K1170="SEM CULTURA","SEM CULTURA",IF($AA1170&lt;=0,"DADO PENDENTE",IF($AD1170&gt;LIMITE_CRITICO,"INVIAVEL",IF($AD1170&gt;LIMITE_ATENCAO,"CRITICO",IF($AD1170&gt;LIMITE_CONFORTAVEL,"ATENCAO","OK")))))</f>
        <v>SEM CULTURA</v>
      </c>
      <c r="AF1170" s="8" t="str">
        <f aca="false">$B1170&amp;"|"&amp;TEXT($AD1170,"0.000000")</f>
        <v>43|0.000000</v>
      </c>
      <c r="AG1170" s="18" t="n">
        <f aca="false">IF($K1170="SEM CULTURA",0,$T1170*$H1170)</f>
        <v>0</v>
      </c>
      <c r="AH1170" s="18" t="n">
        <f aca="false">IF($K1170="SEM CULTURA",0,$V1170*$H1170)</f>
        <v>0</v>
      </c>
      <c r="AI1170" s="18" t="n">
        <f aca="false">IF($K1170="SEM CULTURA",0,$W1170*$H1170)</f>
        <v>0</v>
      </c>
      <c r="AJ1170" s="18" t="n">
        <f aca="false">IF($K1170="SEM CULTURA",0,$S1170*$H1170)</f>
        <v>0</v>
      </c>
      <c r="AK1170" s="8" t="str">
        <f aca="false">$E1170&amp;"|"&amp;TEXT($AD1170,"0.000000")</f>
        <v>PV 117|0.000000</v>
      </c>
    </row>
    <row r="1171" customFormat="false" ht="15" hidden="false" customHeight="false" outlineLevel="0" collapsed="false">
      <c r="B1171" s="16" t="n">
        <v>44</v>
      </c>
      <c r="C1171" s="17" t="n">
        <f aca="false">DATA_INICIO_SAFRA+($B1171-1)*DIAS_POR_SEMANA</f>
        <v>46566</v>
      </c>
      <c r="D1171" s="17" t="n">
        <f aca="false">$C1171+DIAS_POR_SEMANA-1</f>
        <v>46572</v>
      </c>
      <c r="E1171" s="15" t="s">
        <v>276</v>
      </c>
      <c r="F1171" s="8" t="str">
        <f aca="false">IFERROR(INDEX(CADASTRO_PIVOS!$C$6:$C$41,MATCH($E1171,CADASTRO_PIVOS!$B$6:$B$41,0)),"?")</f>
        <v>RM06</v>
      </c>
      <c r="G1171" s="8" t="str">
        <f aca="false">IFERROR(INDEX(CADASTRO_PIVOS!$D$6:$D$41,MATCH($E1171,CADASTRO_PIVOS!$B$6:$B$41,0)),"?")</f>
        <v>TR06</v>
      </c>
      <c r="H1171" s="20" t="n">
        <f aca="false">IFERROR(INDEX(CADASTRO_PIVOS!$E$6:$E$41,MATCH($E1171,CADASTRO_PIVOS!$B$6:$B$41,0)),0)</f>
        <v>149.94</v>
      </c>
      <c r="I1171" s="16" t="n">
        <f aca="false">IFERROR(SUMIFS(ROTACAO_RDM!$B$6:$B$71,ROTACAO_RDM!$D$6:$D$71,$E1171,ROTACAO_RDM!$I$6:$I$71,"&lt;="&amp;$C1171+INT(DIAS_POR_SEMANA/2),ROTACAO_RDM!$J$6:$J$71,"&gt;="&amp;$C1171+INT(DIAS_POR_SEMANA/2)),0)</f>
        <v>0</v>
      </c>
      <c r="J1171" s="16" t="n">
        <f aca="false">IFERROR(MATCH($I1171,ROTACAO_RDM!$B$6:$B$71,0),0)</f>
        <v>0</v>
      </c>
      <c r="K1171" s="8" t="str">
        <f aca="false">IF($J1171=0,"SEM CULTURA",INDEX(ROTACAO_RDM!$F$6:$F$71,$J1171))</f>
        <v>SEM CULTURA</v>
      </c>
      <c r="L1171" s="8" t="str">
        <f aca="false">IF($J1171=0,"",INDEX(ROTACAO_RDM!$G$6:$G$71,$J1171))</f>
        <v/>
      </c>
      <c r="M1171" s="17" t="str">
        <f aca="false">IF($J1171=0,"",INDEX(ROTACAO_RDM!$I$6:$I$71,$J1171))</f>
        <v/>
      </c>
      <c r="N1171" s="16" t="n">
        <f aca="false">IF($J1171=0,0,MAX(0,$C1171+INT(DIAS_POR_SEMANA/2)-INDEX(ROTACAO_RDM!$I$6:$I$71,$J1171)))</f>
        <v>0</v>
      </c>
      <c r="O1171" s="19" t="n">
        <f aca="false">IF($J1171=0,0,MIN(1,$N1171/MAX(1,INDEX(ROTACAO_RDM!$K$6:$K$71,$J1171))))</f>
        <v>0</v>
      </c>
      <c r="P1171" s="16" t="n">
        <f aca="false">IF($J1171=0,0,IFERROR(MATCH(INDEX(ROTACAO_RDM!$N$6:$N$71,$J1171),PARAMETROS_CULTURAS!$B$6:$B$28,0),0))</f>
        <v>0</v>
      </c>
      <c r="Q1171" s="8" t="str">
        <f aca="false">IF($P1171=0,"-",IF($O1171&lt;=INDEX(PARAMETROS_CULTURAS!$F$6:$F$28,$P1171),"INICIAL",IF($O1171&lt;=INDEX(PARAMETROS_CULTURAS!$F$6:$F$28,$P1171)+INDEX(PARAMETROS_CULTURAS!$G$6:$G$28,$P1171),"DESENVOLVIMENTO",IF($O1171&lt;=INDEX(PARAMETROS_CULTURAS!$F$6:$F$28,$P1171)+INDEX(PARAMETROS_CULTURAS!$G$6:$G$28,$P1171)+INDEX(PARAMETROS_CULTURAS!$H$6:$H$28,$P1171),"MEDIA","FINAL"))))</f>
        <v>-</v>
      </c>
      <c r="R1171" s="24" t="n">
        <f aca="false">IF($P1171=0,0,IF($O1171&lt;=INDEX(PARAMETROS_CULTURAS!$F$6:$F$28,$P1171),INDEX(PARAMETROS_CULTURAS!$K$6:$K$28,$P1171),IF($O1171&lt;=INDEX(PARAMETROS_CULTURAS!$F$6:$F$28,$P1171)+INDEX(PARAMETROS_CULTURAS!$G$6:$G$28,$P1171),INDEX(PARAMETROS_CULTURAS!$K$6:$K$28,$P1171)+(INDEX(PARAMETROS_CULTURAS!$L$6:$L$28,$P1171)-INDEX(PARAMETROS_CULTURAS!$K$6:$K$28,$P1171))*($O1171-INDEX(PARAMETROS_CULTURAS!$F$6:$F$28,$P1171))/MAX(INDEX(PARAMETROS_CULTURAS!$G$6:$G$28,$P1171),0.0001),IF($O1171&lt;=INDEX(PARAMETROS_CULTURAS!$F$6:$F$28,$P1171)+INDEX(PARAMETROS_CULTURAS!$G$6:$G$28,$P1171)+INDEX(PARAMETROS_CULTURAS!$H$6:$H$28,$P1171),INDEX(PARAMETROS_CULTURAS!$L$6:$L$28,$P1171),INDEX(PARAMETROS_CULTURAS!$L$6:$L$28,$P1171)+(INDEX(PARAMETROS_CULTURAS!$M$6:$M$28,$P1171)-INDEX(PARAMETROS_CULTURAS!$L$6:$L$28,$P1171))*($O1171-INDEX(PARAMETROS_CULTURAS!$F$6:$F$28,$P1171)-INDEX(PARAMETROS_CULTURAS!$G$6:$G$28,$P1171)-INDEX(PARAMETROS_CULTURAS!$H$6:$H$28,$P1171))/MAX(INDEX(PARAMETROS_CULTURAS!$I$6:$I$28,$P1171),0.0001)))))</f>
        <v>0</v>
      </c>
      <c r="S1171" s="18" t="n">
        <f aca="false">IFERROR(INDEX(SEMANAS!$H$6:$H$71,MATCH($B1171,SEMANAS!$B$6:$B$71,0)),0)</f>
        <v>29.2</v>
      </c>
      <c r="T1171" s="18" t="n">
        <f aca="false">$R1171*$S1171</f>
        <v>0</v>
      </c>
      <c r="U1171" s="18" t="n">
        <f aca="false">IFERROR(INDEX(SEMANAS!$I$6:$I$71,MATCH($B1171,SEMANAS!$B$6:$B$71,0)),0)</f>
        <v>0.91</v>
      </c>
      <c r="V1171" s="18" t="n">
        <f aca="false">IFERROR(INDEX(SEMANAS!$J$6:$J$71,MATCH($B1171,SEMANAS!$B$6:$B$71,0)),0)</f>
        <v>0.728</v>
      </c>
      <c r="W1171" s="18" t="n">
        <f aca="false">MAX(0,$T1171-$V1171)</f>
        <v>0</v>
      </c>
      <c r="X1171" s="19" t="n">
        <f aca="false">IFERROR(INDEX(CADASTRO_PIVOS!$K$6:$K$41,MATCH($E1171,CADASTRO_PIVOS!$B$6:$B$41,0)),EFICIENCIA_PADRAO)</f>
        <v>0.85</v>
      </c>
      <c r="Y1171" s="18" t="n">
        <f aca="false">IF($X1171&lt;=0,0,$W1171/$X1171)</f>
        <v>0</v>
      </c>
      <c r="Z1171" s="16" t="n">
        <f aca="false">$Y1171*$H1171*MM_PARA_M3_HA</f>
        <v>0</v>
      </c>
      <c r="AA1171" s="18" t="n">
        <f aca="false">IFERROR(INDEX(CADASTRO_PIVOS!$I$6:$I$41,MATCH($E1171,CADASTRO_PIVOS!$B$6:$B$41,0)),0)</f>
        <v>1071</v>
      </c>
      <c r="AB1171" s="18" t="n">
        <f aca="false">IF($Z1171&lt;=0,0,$Z1171/$AA1171)</f>
        <v>0</v>
      </c>
      <c r="AC1171" s="16" t="n">
        <f aca="false">IFERROR(INDEX(SEMANAS!$K$6:$K$71,MATCH($B1171,SEMANAS!$B$6:$B$71,0)),0)</f>
        <v>147</v>
      </c>
      <c r="AD1171" s="19" t="n">
        <f aca="false">IF($AC1171&lt;=0,0,$AB1171/$AC1171)</f>
        <v>0</v>
      </c>
      <c r="AE1171" s="8" t="str">
        <f aca="false">IF($K1171="SEM CULTURA","SEM CULTURA",IF($AA1171&lt;=0,"DADO PENDENTE",IF($AD1171&gt;LIMITE_CRITICO,"INVIAVEL",IF($AD1171&gt;LIMITE_ATENCAO,"CRITICO",IF($AD1171&gt;LIMITE_CONFORTAVEL,"ATENCAO","OK")))))</f>
        <v>SEM CULTURA</v>
      </c>
      <c r="AF1171" s="8" t="str">
        <f aca="false">$B1171&amp;"|"&amp;TEXT($AD1171,"0.000000")</f>
        <v>44|0.000000</v>
      </c>
      <c r="AG1171" s="18" t="n">
        <f aca="false">IF($K1171="SEM CULTURA",0,$T1171*$H1171)</f>
        <v>0</v>
      </c>
      <c r="AH1171" s="18" t="n">
        <f aca="false">IF($K1171="SEM CULTURA",0,$V1171*$H1171)</f>
        <v>0</v>
      </c>
      <c r="AI1171" s="18" t="n">
        <f aca="false">IF($K1171="SEM CULTURA",0,$W1171*$H1171)</f>
        <v>0</v>
      </c>
      <c r="AJ1171" s="18" t="n">
        <f aca="false">IF($K1171="SEM CULTURA",0,$S1171*$H1171)</f>
        <v>0</v>
      </c>
      <c r="AK1171" s="8" t="str">
        <f aca="false">$E1171&amp;"|"&amp;TEXT($AD1171,"0.000000")</f>
        <v>PV 117|0.000000</v>
      </c>
    </row>
    <row r="1172" customFormat="false" ht="15" hidden="false" customHeight="false" outlineLevel="0" collapsed="false">
      <c r="B1172" s="16" t="n">
        <v>45</v>
      </c>
      <c r="C1172" s="17" t="n">
        <f aca="false">DATA_INICIO_SAFRA+($B1172-1)*DIAS_POR_SEMANA</f>
        <v>46573</v>
      </c>
      <c r="D1172" s="17" t="n">
        <f aca="false">$C1172+DIAS_POR_SEMANA-1</f>
        <v>46579</v>
      </c>
      <c r="E1172" s="15" t="s">
        <v>276</v>
      </c>
      <c r="F1172" s="8" t="str">
        <f aca="false">IFERROR(INDEX(CADASTRO_PIVOS!$C$6:$C$41,MATCH($E1172,CADASTRO_PIVOS!$B$6:$B$41,0)),"?")</f>
        <v>RM06</v>
      </c>
      <c r="G1172" s="8" t="str">
        <f aca="false">IFERROR(INDEX(CADASTRO_PIVOS!$D$6:$D$41,MATCH($E1172,CADASTRO_PIVOS!$B$6:$B$41,0)),"?")</f>
        <v>TR06</v>
      </c>
      <c r="H1172" s="20" t="n">
        <f aca="false">IFERROR(INDEX(CADASTRO_PIVOS!$E$6:$E$41,MATCH($E1172,CADASTRO_PIVOS!$B$6:$B$41,0)),0)</f>
        <v>149.94</v>
      </c>
      <c r="I1172" s="16" t="n">
        <f aca="false">IFERROR(SUMIFS(ROTACAO_RDM!$B$6:$B$71,ROTACAO_RDM!$D$6:$D$71,$E1172,ROTACAO_RDM!$I$6:$I$71,"&lt;="&amp;$C1172+INT(DIAS_POR_SEMANA/2),ROTACAO_RDM!$J$6:$J$71,"&gt;="&amp;$C1172+INT(DIAS_POR_SEMANA/2)),0)</f>
        <v>0</v>
      </c>
      <c r="J1172" s="16" t="n">
        <f aca="false">IFERROR(MATCH($I1172,ROTACAO_RDM!$B$6:$B$71,0),0)</f>
        <v>0</v>
      </c>
      <c r="K1172" s="8" t="str">
        <f aca="false">IF($J1172=0,"SEM CULTURA",INDEX(ROTACAO_RDM!$F$6:$F$71,$J1172))</f>
        <v>SEM CULTURA</v>
      </c>
      <c r="L1172" s="8" t="str">
        <f aca="false">IF($J1172=0,"",INDEX(ROTACAO_RDM!$G$6:$G$71,$J1172))</f>
        <v/>
      </c>
      <c r="M1172" s="17" t="str">
        <f aca="false">IF($J1172=0,"",INDEX(ROTACAO_RDM!$I$6:$I$71,$J1172))</f>
        <v/>
      </c>
      <c r="N1172" s="16" t="n">
        <f aca="false">IF($J1172=0,0,MAX(0,$C1172+INT(DIAS_POR_SEMANA/2)-INDEX(ROTACAO_RDM!$I$6:$I$71,$J1172)))</f>
        <v>0</v>
      </c>
      <c r="O1172" s="19" t="n">
        <f aca="false">IF($J1172=0,0,MIN(1,$N1172/MAX(1,INDEX(ROTACAO_RDM!$K$6:$K$71,$J1172))))</f>
        <v>0</v>
      </c>
      <c r="P1172" s="16" t="n">
        <f aca="false">IF($J1172=0,0,IFERROR(MATCH(INDEX(ROTACAO_RDM!$N$6:$N$71,$J1172),PARAMETROS_CULTURAS!$B$6:$B$28,0),0))</f>
        <v>0</v>
      </c>
      <c r="Q1172" s="8" t="str">
        <f aca="false">IF($P1172=0,"-",IF($O1172&lt;=INDEX(PARAMETROS_CULTURAS!$F$6:$F$28,$P1172),"INICIAL",IF($O1172&lt;=INDEX(PARAMETROS_CULTURAS!$F$6:$F$28,$P1172)+INDEX(PARAMETROS_CULTURAS!$G$6:$G$28,$P1172),"DESENVOLVIMENTO",IF($O1172&lt;=INDEX(PARAMETROS_CULTURAS!$F$6:$F$28,$P1172)+INDEX(PARAMETROS_CULTURAS!$G$6:$G$28,$P1172)+INDEX(PARAMETROS_CULTURAS!$H$6:$H$28,$P1172),"MEDIA","FINAL"))))</f>
        <v>-</v>
      </c>
      <c r="R1172" s="24" t="n">
        <f aca="false">IF($P1172=0,0,IF($O1172&lt;=INDEX(PARAMETROS_CULTURAS!$F$6:$F$28,$P1172),INDEX(PARAMETROS_CULTURAS!$K$6:$K$28,$P1172),IF($O1172&lt;=INDEX(PARAMETROS_CULTURAS!$F$6:$F$28,$P1172)+INDEX(PARAMETROS_CULTURAS!$G$6:$G$28,$P1172),INDEX(PARAMETROS_CULTURAS!$K$6:$K$28,$P1172)+(INDEX(PARAMETROS_CULTURAS!$L$6:$L$28,$P1172)-INDEX(PARAMETROS_CULTURAS!$K$6:$K$28,$P1172))*($O1172-INDEX(PARAMETROS_CULTURAS!$F$6:$F$28,$P1172))/MAX(INDEX(PARAMETROS_CULTURAS!$G$6:$G$28,$P1172),0.0001),IF($O1172&lt;=INDEX(PARAMETROS_CULTURAS!$F$6:$F$28,$P1172)+INDEX(PARAMETROS_CULTURAS!$G$6:$G$28,$P1172)+INDEX(PARAMETROS_CULTURAS!$H$6:$H$28,$P1172),INDEX(PARAMETROS_CULTURAS!$L$6:$L$28,$P1172),INDEX(PARAMETROS_CULTURAS!$L$6:$L$28,$P1172)+(INDEX(PARAMETROS_CULTURAS!$M$6:$M$28,$P1172)-INDEX(PARAMETROS_CULTURAS!$L$6:$L$28,$P1172))*($O1172-INDEX(PARAMETROS_CULTURAS!$F$6:$F$28,$P1172)-INDEX(PARAMETROS_CULTURAS!$G$6:$G$28,$P1172)-INDEX(PARAMETROS_CULTURAS!$H$6:$H$28,$P1172))/MAX(INDEX(PARAMETROS_CULTURAS!$I$6:$I$28,$P1172),0.0001)))))</f>
        <v>0</v>
      </c>
      <c r="S1172" s="18" t="n">
        <f aca="false">IFERROR(INDEX(SEMANAS!$H$6:$H$71,MATCH($B1172,SEMANAS!$B$6:$B$71,0)),0)</f>
        <v>30.1</v>
      </c>
      <c r="T1172" s="18" t="n">
        <f aca="false">$R1172*$S1172</f>
        <v>0</v>
      </c>
      <c r="U1172" s="18" t="n">
        <f aca="false">IFERROR(INDEX(SEMANAS!$I$6:$I$71,MATCH($B1172,SEMANAS!$B$6:$B$71,0)),0)</f>
        <v>0.7</v>
      </c>
      <c r="V1172" s="18" t="n">
        <f aca="false">IFERROR(INDEX(SEMANAS!$J$6:$J$71,MATCH($B1172,SEMANAS!$B$6:$B$71,0)),0)</f>
        <v>0.56</v>
      </c>
      <c r="W1172" s="18" t="n">
        <f aca="false">MAX(0,$T1172-$V1172)</f>
        <v>0</v>
      </c>
      <c r="X1172" s="19" t="n">
        <f aca="false">IFERROR(INDEX(CADASTRO_PIVOS!$K$6:$K$41,MATCH($E1172,CADASTRO_PIVOS!$B$6:$B$41,0)),EFICIENCIA_PADRAO)</f>
        <v>0.85</v>
      </c>
      <c r="Y1172" s="18" t="n">
        <f aca="false">IF($X1172&lt;=0,0,$W1172/$X1172)</f>
        <v>0</v>
      </c>
      <c r="Z1172" s="16" t="n">
        <f aca="false">$Y1172*$H1172*MM_PARA_M3_HA</f>
        <v>0</v>
      </c>
      <c r="AA1172" s="18" t="n">
        <f aca="false">IFERROR(INDEX(CADASTRO_PIVOS!$I$6:$I$41,MATCH($E1172,CADASTRO_PIVOS!$B$6:$B$41,0)),0)</f>
        <v>1071</v>
      </c>
      <c r="AB1172" s="18" t="n">
        <f aca="false">IF($Z1172&lt;=0,0,$Z1172/$AA1172)</f>
        <v>0</v>
      </c>
      <c r="AC1172" s="16" t="n">
        <f aca="false">IFERROR(INDEX(SEMANAS!$K$6:$K$71,MATCH($B1172,SEMANAS!$B$6:$B$71,0)),0)</f>
        <v>147</v>
      </c>
      <c r="AD1172" s="19" t="n">
        <f aca="false">IF($AC1172&lt;=0,0,$AB1172/$AC1172)</f>
        <v>0</v>
      </c>
      <c r="AE1172" s="8" t="str">
        <f aca="false">IF($K1172="SEM CULTURA","SEM CULTURA",IF($AA1172&lt;=0,"DADO PENDENTE",IF($AD1172&gt;LIMITE_CRITICO,"INVIAVEL",IF($AD1172&gt;LIMITE_ATENCAO,"CRITICO",IF($AD1172&gt;LIMITE_CONFORTAVEL,"ATENCAO","OK")))))</f>
        <v>SEM CULTURA</v>
      </c>
      <c r="AF1172" s="8" t="str">
        <f aca="false">$B1172&amp;"|"&amp;TEXT($AD1172,"0.000000")</f>
        <v>45|0.000000</v>
      </c>
      <c r="AG1172" s="18" t="n">
        <f aca="false">IF($K1172="SEM CULTURA",0,$T1172*$H1172)</f>
        <v>0</v>
      </c>
      <c r="AH1172" s="18" t="n">
        <f aca="false">IF($K1172="SEM CULTURA",0,$V1172*$H1172)</f>
        <v>0</v>
      </c>
      <c r="AI1172" s="18" t="n">
        <f aca="false">IF($K1172="SEM CULTURA",0,$W1172*$H1172)</f>
        <v>0</v>
      </c>
      <c r="AJ1172" s="18" t="n">
        <f aca="false">IF($K1172="SEM CULTURA",0,$S1172*$H1172)</f>
        <v>0</v>
      </c>
      <c r="AK1172" s="8" t="str">
        <f aca="false">$E1172&amp;"|"&amp;TEXT($AD1172,"0.000000")</f>
        <v>PV 117|0.000000</v>
      </c>
    </row>
    <row r="1173" customFormat="false" ht="15" hidden="false" customHeight="false" outlineLevel="0" collapsed="false">
      <c r="B1173" s="16" t="n">
        <v>46</v>
      </c>
      <c r="C1173" s="17" t="n">
        <f aca="false">DATA_INICIO_SAFRA+($B1173-1)*DIAS_POR_SEMANA</f>
        <v>46580</v>
      </c>
      <c r="D1173" s="17" t="n">
        <f aca="false">$C1173+DIAS_POR_SEMANA-1</f>
        <v>46586</v>
      </c>
      <c r="E1173" s="15" t="s">
        <v>276</v>
      </c>
      <c r="F1173" s="8" t="str">
        <f aca="false">IFERROR(INDEX(CADASTRO_PIVOS!$C$6:$C$41,MATCH($E1173,CADASTRO_PIVOS!$B$6:$B$41,0)),"?")</f>
        <v>RM06</v>
      </c>
      <c r="G1173" s="8" t="str">
        <f aca="false">IFERROR(INDEX(CADASTRO_PIVOS!$D$6:$D$41,MATCH($E1173,CADASTRO_PIVOS!$B$6:$B$41,0)),"?")</f>
        <v>TR06</v>
      </c>
      <c r="H1173" s="20" t="n">
        <f aca="false">IFERROR(INDEX(CADASTRO_PIVOS!$E$6:$E$41,MATCH($E1173,CADASTRO_PIVOS!$B$6:$B$41,0)),0)</f>
        <v>149.94</v>
      </c>
      <c r="I1173" s="16" t="n">
        <f aca="false">IFERROR(SUMIFS(ROTACAO_RDM!$B$6:$B$71,ROTACAO_RDM!$D$6:$D$71,$E1173,ROTACAO_RDM!$I$6:$I$71,"&lt;="&amp;$C1173+INT(DIAS_POR_SEMANA/2),ROTACAO_RDM!$J$6:$J$71,"&gt;="&amp;$C1173+INT(DIAS_POR_SEMANA/2)),0)</f>
        <v>0</v>
      </c>
      <c r="J1173" s="16" t="n">
        <f aca="false">IFERROR(MATCH($I1173,ROTACAO_RDM!$B$6:$B$71,0),0)</f>
        <v>0</v>
      </c>
      <c r="K1173" s="8" t="str">
        <f aca="false">IF($J1173=0,"SEM CULTURA",INDEX(ROTACAO_RDM!$F$6:$F$71,$J1173))</f>
        <v>SEM CULTURA</v>
      </c>
      <c r="L1173" s="8" t="str">
        <f aca="false">IF($J1173=0,"",INDEX(ROTACAO_RDM!$G$6:$G$71,$J1173))</f>
        <v/>
      </c>
      <c r="M1173" s="17" t="str">
        <f aca="false">IF($J1173=0,"",INDEX(ROTACAO_RDM!$I$6:$I$71,$J1173))</f>
        <v/>
      </c>
      <c r="N1173" s="16" t="n">
        <f aca="false">IF($J1173=0,0,MAX(0,$C1173+INT(DIAS_POR_SEMANA/2)-INDEX(ROTACAO_RDM!$I$6:$I$71,$J1173)))</f>
        <v>0</v>
      </c>
      <c r="O1173" s="19" t="n">
        <f aca="false">IF($J1173=0,0,MIN(1,$N1173/MAX(1,INDEX(ROTACAO_RDM!$K$6:$K$71,$J1173))))</f>
        <v>0</v>
      </c>
      <c r="P1173" s="16" t="n">
        <f aca="false">IF($J1173=0,0,IFERROR(MATCH(INDEX(ROTACAO_RDM!$N$6:$N$71,$J1173),PARAMETROS_CULTURAS!$B$6:$B$28,0),0))</f>
        <v>0</v>
      </c>
      <c r="Q1173" s="8" t="str">
        <f aca="false">IF($P1173=0,"-",IF($O1173&lt;=INDEX(PARAMETROS_CULTURAS!$F$6:$F$28,$P1173),"INICIAL",IF($O1173&lt;=INDEX(PARAMETROS_CULTURAS!$F$6:$F$28,$P1173)+INDEX(PARAMETROS_CULTURAS!$G$6:$G$28,$P1173),"DESENVOLVIMENTO",IF($O1173&lt;=INDEX(PARAMETROS_CULTURAS!$F$6:$F$28,$P1173)+INDEX(PARAMETROS_CULTURAS!$G$6:$G$28,$P1173)+INDEX(PARAMETROS_CULTURAS!$H$6:$H$28,$P1173),"MEDIA","FINAL"))))</f>
        <v>-</v>
      </c>
      <c r="R1173" s="24" t="n">
        <f aca="false">IF($P1173=0,0,IF($O1173&lt;=INDEX(PARAMETROS_CULTURAS!$F$6:$F$28,$P1173),INDEX(PARAMETROS_CULTURAS!$K$6:$K$28,$P1173),IF($O1173&lt;=INDEX(PARAMETROS_CULTURAS!$F$6:$F$28,$P1173)+INDEX(PARAMETROS_CULTURAS!$G$6:$G$28,$P1173),INDEX(PARAMETROS_CULTURAS!$K$6:$K$28,$P1173)+(INDEX(PARAMETROS_CULTURAS!$L$6:$L$28,$P1173)-INDEX(PARAMETROS_CULTURAS!$K$6:$K$28,$P1173))*($O1173-INDEX(PARAMETROS_CULTURAS!$F$6:$F$28,$P1173))/MAX(INDEX(PARAMETROS_CULTURAS!$G$6:$G$28,$P1173),0.0001),IF($O1173&lt;=INDEX(PARAMETROS_CULTURAS!$F$6:$F$28,$P1173)+INDEX(PARAMETROS_CULTURAS!$G$6:$G$28,$P1173)+INDEX(PARAMETROS_CULTURAS!$H$6:$H$28,$P1173),INDEX(PARAMETROS_CULTURAS!$L$6:$L$28,$P1173),INDEX(PARAMETROS_CULTURAS!$L$6:$L$28,$P1173)+(INDEX(PARAMETROS_CULTURAS!$M$6:$M$28,$P1173)-INDEX(PARAMETROS_CULTURAS!$L$6:$L$28,$P1173))*($O1173-INDEX(PARAMETROS_CULTURAS!$F$6:$F$28,$P1173)-INDEX(PARAMETROS_CULTURAS!$G$6:$G$28,$P1173)-INDEX(PARAMETROS_CULTURAS!$H$6:$H$28,$P1173))/MAX(INDEX(PARAMETROS_CULTURAS!$I$6:$I$28,$P1173),0.0001)))))</f>
        <v>0</v>
      </c>
      <c r="S1173" s="18" t="n">
        <f aca="false">IFERROR(INDEX(SEMANAS!$H$6:$H$71,MATCH($B1173,SEMANAS!$B$6:$B$71,0)),0)</f>
        <v>30.1</v>
      </c>
      <c r="T1173" s="18" t="n">
        <f aca="false">$R1173*$S1173</f>
        <v>0</v>
      </c>
      <c r="U1173" s="18" t="n">
        <f aca="false">IFERROR(INDEX(SEMANAS!$I$6:$I$71,MATCH($B1173,SEMANAS!$B$6:$B$71,0)),0)</f>
        <v>0.7</v>
      </c>
      <c r="V1173" s="18" t="n">
        <f aca="false">IFERROR(INDEX(SEMANAS!$J$6:$J$71,MATCH($B1173,SEMANAS!$B$6:$B$71,0)),0)</f>
        <v>0.56</v>
      </c>
      <c r="W1173" s="18" t="n">
        <f aca="false">MAX(0,$T1173-$V1173)</f>
        <v>0</v>
      </c>
      <c r="X1173" s="19" t="n">
        <f aca="false">IFERROR(INDEX(CADASTRO_PIVOS!$K$6:$K$41,MATCH($E1173,CADASTRO_PIVOS!$B$6:$B$41,0)),EFICIENCIA_PADRAO)</f>
        <v>0.85</v>
      </c>
      <c r="Y1173" s="18" t="n">
        <f aca="false">IF($X1173&lt;=0,0,$W1173/$X1173)</f>
        <v>0</v>
      </c>
      <c r="Z1173" s="16" t="n">
        <f aca="false">$Y1173*$H1173*MM_PARA_M3_HA</f>
        <v>0</v>
      </c>
      <c r="AA1173" s="18" t="n">
        <f aca="false">IFERROR(INDEX(CADASTRO_PIVOS!$I$6:$I$41,MATCH($E1173,CADASTRO_PIVOS!$B$6:$B$41,0)),0)</f>
        <v>1071</v>
      </c>
      <c r="AB1173" s="18" t="n">
        <f aca="false">IF($Z1173&lt;=0,0,$Z1173/$AA1173)</f>
        <v>0</v>
      </c>
      <c r="AC1173" s="16" t="n">
        <f aca="false">IFERROR(INDEX(SEMANAS!$K$6:$K$71,MATCH($B1173,SEMANAS!$B$6:$B$71,0)),0)</f>
        <v>147</v>
      </c>
      <c r="AD1173" s="19" t="n">
        <f aca="false">IF($AC1173&lt;=0,0,$AB1173/$AC1173)</f>
        <v>0</v>
      </c>
      <c r="AE1173" s="8" t="str">
        <f aca="false">IF($K1173="SEM CULTURA","SEM CULTURA",IF($AA1173&lt;=0,"DADO PENDENTE",IF($AD1173&gt;LIMITE_CRITICO,"INVIAVEL",IF($AD1173&gt;LIMITE_ATENCAO,"CRITICO",IF($AD1173&gt;LIMITE_CONFORTAVEL,"ATENCAO","OK")))))</f>
        <v>SEM CULTURA</v>
      </c>
      <c r="AF1173" s="8" t="str">
        <f aca="false">$B1173&amp;"|"&amp;TEXT($AD1173,"0.000000")</f>
        <v>46|0.000000</v>
      </c>
      <c r="AG1173" s="18" t="n">
        <f aca="false">IF($K1173="SEM CULTURA",0,$T1173*$H1173)</f>
        <v>0</v>
      </c>
      <c r="AH1173" s="18" t="n">
        <f aca="false">IF($K1173="SEM CULTURA",0,$V1173*$H1173)</f>
        <v>0</v>
      </c>
      <c r="AI1173" s="18" t="n">
        <f aca="false">IF($K1173="SEM CULTURA",0,$W1173*$H1173)</f>
        <v>0</v>
      </c>
      <c r="AJ1173" s="18" t="n">
        <f aca="false">IF($K1173="SEM CULTURA",0,$S1173*$H1173)</f>
        <v>0</v>
      </c>
      <c r="AK1173" s="8" t="str">
        <f aca="false">$E1173&amp;"|"&amp;TEXT($AD1173,"0.000000")</f>
        <v>PV 117|0.000000</v>
      </c>
    </row>
    <row r="1174" customFormat="false" ht="15" hidden="false" customHeight="false" outlineLevel="0" collapsed="false">
      <c r="B1174" s="16" t="n">
        <v>47</v>
      </c>
      <c r="C1174" s="17" t="n">
        <f aca="false">DATA_INICIO_SAFRA+($B1174-1)*DIAS_POR_SEMANA</f>
        <v>46587</v>
      </c>
      <c r="D1174" s="17" t="n">
        <f aca="false">$C1174+DIAS_POR_SEMANA-1</f>
        <v>46593</v>
      </c>
      <c r="E1174" s="15" t="s">
        <v>276</v>
      </c>
      <c r="F1174" s="8" t="str">
        <f aca="false">IFERROR(INDEX(CADASTRO_PIVOS!$C$6:$C$41,MATCH($E1174,CADASTRO_PIVOS!$B$6:$B$41,0)),"?")</f>
        <v>RM06</v>
      </c>
      <c r="G1174" s="8" t="str">
        <f aca="false">IFERROR(INDEX(CADASTRO_PIVOS!$D$6:$D$41,MATCH($E1174,CADASTRO_PIVOS!$B$6:$B$41,0)),"?")</f>
        <v>TR06</v>
      </c>
      <c r="H1174" s="20" t="n">
        <f aca="false">IFERROR(INDEX(CADASTRO_PIVOS!$E$6:$E$41,MATCH($E1174,CADASTRO_PIVOS!$B$6:$B$41,0)),0)</f>
        <v>149.94</v>
      </c>
      <c r="I1174" s="16" t="n">
        <f aca="false">IFERROR(SUMIFS(ROTACAO_RDM!$B$6:$B$71,ROTACAO_RDM!$D$6:$D$71,$E1174,ROTACAO_RDM!$I$6:$I$71,"&lt;="&amp;$C1174+INT(DIAS_POR_SEMANA/2),ROTACAO_RDM!$J$6:$J$71,"&gt;="&amp;$C1174+INT(DIAS_POR_SEMANA/2)),0)</f>
        <v>0</v>
      </c>
      <c r="J1174" s="16" t="n">
        <f aca="false">IFERROR(MATCH($I1174,ROTACAO_RDM!$B$6:$B$71,0),0)</f>
        <v>0</v>
      </c>
      <c r="K1174" s="8" t="str">
        <f aca="false">IF($J1174=0,"SEM CULTURA",INDEX(ROTACAO_RDM!$F$6:$F$71,$J1174))</f>
        <v>SEM CULTURA</v>
      </c>
      <c r="L1174" s="8" t="str">
        <f aca="false">IF($J1174=0,"",INDEX(ROTACAO_RDM!$G$6:$G$71,$J1174))</f>
        <v/>
      </c>
      <c r="M1174" s="17" t="str">
        <f aca="false">IF($J1174=0,"",INDEX(ROTACAO_RDM!$I$6:$I$71,$J1174))</f>
        <v/>
      </c>
      <c r="N1174" s="16" t="n">
        <f aca="false">IF($J1174=0,0,MAX(0,$C1174+INT(DIAS_POR_SEMANA/2)-INDEX(ROTACAO_RDM!$I$6:$I$71,$J1174)))</f>
        <v>0</v>
      </c>
      <c r="O1174" s="19" t="n">
        <f aca="false">IF($J1174=0,0,MIN(1,$N1174/MAX(1,INDEX(ROTACAO_RDM!$K$6:$K$71,$J1174))))</f>
        <v>0</v>
      </c>
      <c r="P1174" s="16" t="n">
        <f aca="false">IF($J1174=0,0,IFERROR(MATCH(INDEX(ROTACAO_RDM!$N$6:$N$71,$J1174),PARAMETROS_CULTURAS!$B$6:$B$28,0),0))</f>
        <v>0</v>
      </c>
      <c r="Q1174" s="8" t="str">
        <f aca="false">IF($P1174=0,"-",IF($O1174&lt;=INDEX(PARAMETROS_CULTURAS!$F$6:$F$28,$P1174),"INICIAL",IF($O1174&lt;=INDEX(PARAMETROS_CULTURAS!$F$6:$F$28,$P1174)+INDEX(PARAMETROS_CULTURAS!$G$6:$G$28,$P1174),"DESENVOLVIMENTO",IF($O1174&lt;=INDEX(PARAMETROS_CULTURAS!$F$6:$F$28,$P1174)+INDEX(PARAMETROS_CULTURAS!$G$6:$G$28,$P1174)+INDEX(PARAMETROS_CULTURAS!$H$6:$H$28,$P1174),"MEDIA","FINAL"))))</f>
        <v>-</v>
      </c>
      <c r="R1174" s="24" t="n">
        <f aca="false">IF($P1174=0,0,IF($O1174&lt;=INDEX(PARAMETROS_CULTURAS!$F$6:$F$28,$P1174),INDEX(PARAMETROS_CULTURAS!$K$6:$K$28,$P1174),IF($O1174&lt;=INDEX(PARAMETROS_CULTURAS!$F$6:$F$28,$P1174)+INDEX(PARAMETROS_CULTURAS!$G$6:$G$28,$P1174),INDEX(PARAMETROS_CULTURAS!$K$6:$K$28,$P1174)+(INDEX(PARAMETROS_CULTURAS!$L$6:$L$28,$P1174)-INDEX(PARAMETROS_CULTURAS!$K$6:$K$28,$P1174))*($O1174-INDEX(PARAMETROS_CULTURAS!$F$6:$F$28,$P1174))/MAX(INDEX(PARAMETROS_CULTURAS!$G$6:$G$28,$P1174),0.0001),IF($O1174&lt;=INDEX(PARAMETROS_CULTURAS!$F$6:$F$28,$P1174)+INDEX(PARAMETROS_CULTURAS!$G$6:$G$28,$P1174)+INDEX(PARAMETROS_CULTURAS!$H$6:$H$28,$P1174),INDEX(PARAMETROS_CULTURAS!$L$6:$L$28,$P1174),INDEX(PARAMETROS_CULTURAS!$L$6:$L$28,$P1174)+(INDEX(PARAMETROS_CULTURAS!$M$6:$M$28,$P1174)-INDEX(PARAMETROS_CULTURAS!$L$6:$L$28,$P1174))*($O1174-INDEX(PARAMETROS_CULTURAS!$F$6:$F$28,$P1174)-INDEX(PARAMETROS_CULTURAS!$G$6:$G$28,$P1174)-INDEX(PARAMETROS_CULTURAS!$H$6:$H$28,$P1174))/MAX(INDEX(PARAMETROS_CULTURAS!$I$6:$I$28,$P1174),0.0001)))))</f>
        <v>0</v>
      </c>
      <c r="S1174" s="18" t="n">
        <f aca="false">IFERROR(INDEX(SEMANAS!$H$6:$H$71,MATCH($B1174,SEMANAS!$B$6:$B$71,0)),0)</f>
        <v>30.1</v>
      </c>
      <c r="T1174" s="18" t="n">
        <f aca="false">$R1174*$S1174</f>
        <v>0</v>
      </c>
      <c r="U1174" s="18" t="n">
        <f aca="false">IFERROR(INDEX(SEMANAS!$I$6:$I$71,MATCH($B1174,SEMANAS!$B$6:$B$71,0)),0)</f>
        <v>0.7</v>
      </c>
      <c r="V1174" s="18" t="n">
        <f aca="false">IFERROR(INDEX(SEMANAS!$J$6:$J$71,MATCH($B1174,SEMANAS!$B$6:$B$71,0)),0)</f>
        <v>0.56</v>
      </c>
      <c r="W1174" s="18" t="n">
        <f aca="false">MAX(0,$T1174-$V1174)</f>
        <v>0</v>
      </c>
      <c r="X1174" s="19" t="n">
        <f aca="false">IFERROR(INDEX(CADASTRO_PIVOS!$K$6:$K$41,MATCH($E1174,CADASTRO_PIVOS!$B$6:$B$41,0)),EFICIENCIA_PADRAO)</f>
        <v>0.85</v>
      </c>
      <c r="Y1174" s="18" t="n">
        <f aca="false">IF($X1174&lt;=0,0,$W1174/$X1174)</f>
        <v>0</v>
      </c>
      <c r="Z1174" s="16" t="n">
        <f aca="false">$Y1174*$H1174*MM_PARA_M3_HA</f>
        <v>0</v>
      </c>
      <c r="AA1174" s="18" t="n">
        <f aca="false">IFERROR(INDEX(CADASTRO_PIVOS!$I$6:$I$41,MATCH($E1174,CADASTRO_PIVOS!$B$6:$B$41,0)),0)</f>
        <v>1071</v>
      </c>
      <c r="AB1174" s="18" t="n">
        <f aca="false">IF($Z1174&lt;=0,0,$Z1174/$AA1174)</f>
        <v>0</v>
      </c>
      <c r="AC1174" s="16" t="n">
        <f aca="false">IFERROR(INDEX(SEMANAS!$K$6:$K$71,MATCH($B1174,SEMANAS!$B$6:$B$71,0)),0)</f>
        <v>147</v>
      </c>
      <c r="AD1174" s="19" t="n">
        <f aca="false">IF($AC1174&lt;=0,0,$AB1174/$AC1174)</f>
        <v>0</v>
      </c>
      <c r="AE1174" s="8" t="str">
        <f aca="false">IF($K1174="SEM CULTURA","SEM CULTURA",IF($AA1174&lt;=0,"DADO PENDENTE",IF($AD1174&gt;LIMITE_CRITICO,"INVIAVEL",IF($AD1174&gt;LIMITE_ATENCAO,"CRITICO",IF($AD1174&gt;LIMITE_CONFORTAVEL,"ATENCAO","OK")))))</f>
        <v>SEM CULTURA</v>
      </c>
      <c r="AF1174" s="8" t="str">
        <f aca="false">$B1174&amp;"|"&amp;TEXT($AD1174,"0.000000")</f>
        <v>47|0.000000</v>
      </c>
      <c r="AG1174" s="18" t="n">
        <f aca="false">IF($K1174="SEM CULTURA",0,$T1174*$H1174)</f>
        <v>0</v>
      </c>
      <c r="AH1174" s="18" t="n">
        <f aca="false">IF($K1174="SEM CULTURA",0,$V1174*$H1174)</f>
        <v>0</v>
      </c>
      <c r="AI1174" s="18" t="n">
        <f aca="false">IF($K1174="SEM CULTURA",0,$W1174*$H1174)</f>
        <v>0</v>
      </c>
      <c r="AJ1174" s="18" t="n">
        <f aca="false">IF($K1174="SEM CULTURA",0,$S1174*$H1174)</f>
        <v>0</v>
      </c>
      <c r="AK1174" s="8" t="str">
        <f aca="false">$E1174&amp;"|"&amp;TEXT($AD1174,"0.000000")</f>
        <v>PV 117|0.000000</v>
      </c>
    </row>
    <row r="1175" customFormat="false" ht="15" hidden="false" customHeight="false" outlineLevel="0" collapsed="false">
      <c r="B1175" s="16" t="n">
        <v>48</v>
      </c>
      <c r="C1175" s="17" t="n">
        <f aca="false">DATA_INICIO_SAFRA+($B1175-1)*DIAS_POR_SEMANA</f>
        <v>46594</v>
      </c>
      <c r="D1175" s="17" t="n">
        <f aca="false">$C1175+DIAS_POR_SEMANA-1</f>
        <v>46600</v>
      </c>
      <c r="E1175" s="15" t="s">
        <v>276</v>
      </c>
      <c r="F1175" s="8" t="str">
        <f aca="false">IFERROR(INDEX(CADASTRO_PIVOS!$C$6:$C$41,MATCH($E1175,CADASTRO_PIVOS!$B$6:$B$41,0)),"?")</f>
        <v>RM06</v>
      </c>
      <c r="G1175" s="8" t="str">
        <f aca="false">IFERROR(INDEX(CADASTRO_PIVOS!$D$6:$D$41,MATCH($E1175,CADASTRO_PIVOS!$B$6:$B$41,0)),"?")</f>
        <v>TR06</v>
      </c>
      <c r="H1175" s="20" t="n">
        <f aca="false">IFERROR(INDEX(CADASTRO_PIVOS!$E$6:$E$41,MATCH($E1175,CADASTRO_PIVOS!$B$6:$B$41,0)),0)</f>
        <v>149.94</v>
      </c>
      <c r="I1175" s="16" t="n">
        <f aca="false">IFERROR(SUMIFS(ROTACAO_RDM!$B$6:$B$71,ROTACAO_RDM!$D$6:$D$71,$E1175,ROTACAO_RDM!$I$6:$I$71,"&lt;="&amp;$C1175+INT(DIAS_POR_SEMANA/2),ROTACAO_RDM!$J$6:$J$71,"&gt;="&amp;$C1175+INT(DIAS_POR_SEMANA/2)),0)</f>
        <v>0</v>
      </c>
      <c r="J1175" s="16" t="n">
        <f aca="false">IFERROR(MATCH($I1175,ROTACAO_RDM!$B$6:$B$71,0),0)</f>
        <v>0</v>
      </c>
      <c r="K1175" s="8" t="str">
        <f aca="false">IF($J1175=0,"SEM CULTURA",INDEX(ROTACAO_RDM!$F$6:$F$71,$J1175))</f>
        <v>SEM CULTURA</v>
      </c>
      <c r="L1175" s="8" t="str">
        <f aca="false">IF($J1175=0,"",INDEX(ROTACAO_RDM!$G$6:$G$71,$J1175))</f>
        <v/>
      </c>
      <c r="M1175" s="17" t="str">
        <f aca="false">IF($J1175=0,"",INDEX(ROTACAO_RDM!$I$6:$I$71,$J1175))</f>
        <v/>
      </c>
      <c r="N1175" s="16" t="n">
        <f aca="false">IF($J1175=0,0,MAX(0,$C1175+INT(DIAS_POR_SEMANA/2)-INDEX(ROTACAO_RDM!$I$6:$I$71,$J1175)))</f>
        <v>0</v>
      </c>
      <c r="O1175" s="19" t="n">
        <f aca="false">IF($J1175=0,0,MIN(1,$N1175/MAX(1,INDEX(ROTACAO_RDM!$K$6:$K$71,$J1175))))</f>
        <v>0</v>
      </c>
      <c r="P1175" s="16" t="n">
        <f aca="false">IF($J1175=0,0,IFERROR(MATCH(INDEX(ROTACAO_RDM!$N$6:$N$71,$J1175),PARAMETROS_CULTURAS!$B$6:$B$28,0),0))</f>
        <v>0</v>
      </c>
      <c r="Q1175" s="8" t="str">
        <f aca="false">IF($P1175=0,"-",IF($O1175&lt;=INDEX(PARAMETROS_CULTURAS!$F$6:$F$28,$P1175),"INICIAL",IF($O1175&lt;=INDEX(PARAMETROS_CULTURAS!$F$6:$F$28,$P1175)+INDEX(PARAMETROS_CULTURAS!$G$6:$G$28,$P1175),"DESENVOLVIMENTO",IF($O1175&lt;=INDEX(PARAMETROS_CULTURAS!$F$6:$F$28,$P1175)+INDEX(PARAMETROS_CULTURAS!$G$6:$G$28,$P1175)+INDEX(PARAMETROS_CULTURAS!$H$6:$H$28,$P1175),"MEDIA","FINAL"))))</f>
        <v>-</v>
      </c>
      <c r="R1175" s="24" t="n">
        <f aca="false">IF($P1175=0,0,IF($O1175&lt;=INDEX(PARAMETROS_CULTURAS!$F$6:$F$28,$P1175),INDEX(PARAMETROS_CULTURAS!$K$6:$K$28,$P1175),IF($O1175&lt;=INDEX(PARAMETROS_CULTURAS!$F$6:$F$28,$P1175)+INDEX(PARAMETROS_CULTURAS!$G$6:$G$28,$P1175),INDEX(PARAMETROS_CULTURAS!$K$6:$K$28,$P1175)+(INDEX(PARAMETROS_CULTURAS!$L$6:$L$28,$P1175)-INDEX(PARAMETROS_CULTURAS!$K$6:$K$28,$P1175))*($O1175-INDEX(PARAMETROS_CULTURAS!$F$6:$F$28,$P1175))/MAX(INDEX(PARAMETROS_CULTURAS!$G$6:$G$28,$P1175),0.0001),IF($O1175&lt;=INDEX(PARAMETROS_CULTURAS!$F$6:$F$28,$P1175)+INDEX(PARAMETROS_CULTURAS!$G$6:$G$28,$P1175)+INDEX(PARAMETROS_CULTURAS!$H$6:$H$28,$P1175),INDEX(PARAMETROS_CULTURAS!$L$6:$L$28,$P1175),INDEX(PARAMETROS_CULTURAS!$L$6:$L$28,$P1175)+(INDEX(PARAMETROS_CULTURAS!$M$6:$M$28,$P1175)-INDEX(PARAMETROS_CULTURAS!$L$6:$L$28,$P1175))*($O1175-INDEX(PARAMETROS_CULTURAS!$F$6:$F$28,$P1175)-INDEX(PARAMETROS_CULTURAS!$G$6:$G$28,$P1175)-INDEX(PARAMETROS_CULTURAS!$H$6:$H$28,$P1175))/MAX(INDEX(PARAMETROS_CULTURAS!$I$6:$I$28,$P1175),0.0001)))))</f>
        <v>0</v>
      </c>
      <c r="S1175" s="18" t="n">
        <f aca="false">IFERROR(INDEX(SEMANAS!$H$6:$H$71,MATCH($B1175,SEMANAS!$B$6:$B$71,0)),0)</f>
        <v>31</v>
      </c>
      <c r="T1175" s="18" t="n">
        <f aca="false">$R1175*$S1175</f>
        <v>0</v>
      </c>
      <c r="U1175" s="18" t="n">
        <f aca="false">IFERROR(INDEX(SEMANAS!$I$6:$I$71,MATCH($B1175,SEMANAS!$B$6:$B$71,0)),0)</f>
        <v>0.76</v>
      </c>
      <c r="V1175" s="18" t="n">
        <f aca="false">IFERROR(INDEX(SEMANAS!$J$6:$J$71,MATCH($B1175,SEMANAS!$B$6:$B$71,0)),0)</f>
        <v>0.608</v>
      </c>
      <c r="W1175" s="18" t="n">
        <f aca="false">MAX(0,$T1175-$V1175)</f>
        <v>0</v>
      </c>
      <c r="X1175" s="19" t="n">
        <f aca="false">IFERROR(INDEX(CADASTRO_PIVOS!$K$6:$K$41,MATCH($E1175,CADASTRO_PIVOS!$B$6:$B$41,0)),EFICIENCIA_PADRAO)</f>
        <v>0.85</v>
      </c>
      <c r="Y1175" s="18" t="n">
        <f aca="false">IF($X1175&lt;=0,0,$W1175/$X1175)</f>
        <v>0</v>
      </c>
      <c r="Z1175" s="16" t="n">
        <f aca="false">$Y1175*$H1175*MM_PARA_M3_HA</f>
        <v>0</v>
      </c>
      <c r="AA1175" s="18" t="n">
        <f aca="false">IFERROR(INDEX(CADASTRO_PIVOS!$I$6:$I$41,MATCH($E1175,CADASTRO_PIVOS!$B$6:$B$41,0)),0)</f>
        <v>1071</v>
      </c>
      <c r="AB1175" s="18" t="n">
        <f aca="false">IF($Z1175&lt;=0,0,$Z1175/$AA1175)</f>
        <v>0</v>
      </c>
      <c r="AC1175" s="16" t="n">
        <f aca="false">IFERROR(INDEX(SEMANAS!$K$6:$K$71,MATCH($B1175,SEMANAS!$B$6:$B$71,0)),0)</f>
        <v>147</v>
      </c>
      <c r="AD1175" s="19" t="n">
        <f aca="false">IF($AC1175&lt;=0,0,$AB1175/$AC1175)</f>
        <v>0</v>
      </c>
      <c r="AE1175" s="8" t="str">
        <f aca="false">IF($K1175="SEM CULTURA","SEM CULTURA",IF($AA1175&lt;=0,"DADO PENDENTE",IF($AD1175&gt;LIMITE_CRITICO,"INVIAVEL",IF($AD1175&gt;LIMITE_ATENCAO,"CRITICO",IF($AD1175&gt;LIMITE_CONFORTAVEL,"ATENCAO","OK")))))</f>
        <v>SEM CULTURA</v>
      </c>
      <c r="AF1175" s="8" t="str">
        <f aca="false">$B1175&amp;"|"&amp;TEXT($AD1175,"0.000000")</f>
        <v>48|0.000000</v>
      </c>
      <c r="AG1175" s="18" t="n">
        <f aca="false">IF($K1175="SEM CULTURA",0,$T1175*$H1175)</f>
        <v>0</v>
      </c>
      <c r="AH1175" s="18" t="n">
        <f aca="false">IF($K1175="SEM CULTURA",0,$V1175*$H1175)</f>
        <v>0</v>
      </c>
      <c r="AI1175" s="18" t="n">
        <f aca="false">IF($K1175="SEM CULTURA",0,$W1175*$H1175)</f>
        <v>0</v>
      </c>
      <c r="AJ1175" s="18" t="n">
        <f aca="false">IF($K1175="SEM CULTURA",0,$S1175*$H1175)</f>
        <v>0</v>
      </c>
      <c r="AK1175" s="8" t="str">
        <f aca="false">$E1175&amp;"|"&amp;TEXT($AD1175,"0.000000")</f>
        <v>PV 117|0.000000</v>
      </c>
    </row>
    <row r="1176" customFormat="false" ht="15" hidden="false" customHeight="false" outlineLevel="0" collapsed="false">
      <c r="B1176" s="16" t="n">
        <v>49</v>
      </c>
      <c r="C1176" s="17" t="n">
        <f aca="false">DATA_INICIO_SAFRA+($B1176-1)*DIAS_POR_SEMANA</f>
        <v>46601</v>
      </c>
      <c r="D1176" s="17" t="n">
        <f aca="false">$C1176+DIAS_POR_SEMANA-1</f>
        <v>46607</v>
      </c>
      <c r="E1176" s="15" t="s">
        <v>276</v>
      </c>
      <c r="F1176" s="8" t="str">
        <f aca="false">IFERROR(INDEX(CADASTRO_PIVOS!$C$6:$C$41,MATCH($E1176,CADASTRO_PIVOS!$B$6:$B$41,0)),"?")</f>
        <v>RM06</v>
      </c>
      <c r="G1176" s="8" t="str">
        <f aca="false">IFERROR(INDEX(CADASTRO_PIVOS!$D$6:$D$41,MATCH($E1176,CADASTRO_PIVOS!$B$6:$B$41,0)),"?")</f>
        <v>TR06</v>
      </c>
      <c r="H1176" s="20" t="n">
        <f aca="false">IFERROR(INDEX(CADASTRO_PIVOS!$E$6:$E$41,MATCH($E1176,CADASTRO_PIVOS!$B$6:$B$41,0)),0)</f>
        <v>149.94</v>
      </c>
      <c r="I1176" s="16" t="n">
        <f aca="false">IFERROR(SUMIFS(ROTACAO_RDM!$B$6:$B$71,ROTACAO_RDM!$D$6:$D$71,$E1176,ROTACAO_RDM!$I$6:$I$71,"&lt;="&amp;$C1176+INT(DIAS_POR_SEMANA/2),ROTACAO_RDM!$J$6:$J$71,"&gt;="&amp;$C1176+INT(DIAS_POR_SEMANA/2)),0)</f>
        <v>0</v>
      </c>
      <c r="J1176" s="16" t="n">
        <f aca="false">IFERROR(MATCH($I1176,ROTACAO_RDM!$B$6:$B$71,0),0)</f>
        <v>0</v>
      </c>
      <c r="K1176" s="8" t="str">
        <f aca="false">IF($J1176=0,"SEM CULTURA",INDEX(ROTACAO_RDM!$F$6:$F$71,$J1176))</f>
        <v>SEM CULTURA</v>
      </c>
      <c r="L1176" s="8" t="str">
        <f aca="false">IF($J1176=0,"",INDEX(ROTACAO_RDM!$G$6:$G$71,$J1176))</f>
        <v/>
      </c>
      <c r="M1176" s="17" t="str">
        <f aca="false">IF($J1176=0,"",INDEX(ROTACAO_RDM!$I$6:$I$71,$J1176))</f>
        <v/>
      </c>
      <c r="N1176" s="16" t="n">
        <f aca="false">IF($J1176=0,0,MAX(0,$C1176+INT(DIAS_POR_SEMANA/2)-INDEX(ROTACAO_RDM!$I$6:$I$71,$J1176)))</f>
        <v>0</v>
      </c>
      <c r="O1176" s="19" t="n">
        <f aca="false">IF($J1176=0,0,MIN(1,$N1176/MAX(1,INDEX(ROTACAO_RDM!$K$6:$K$71,$J1176))))</f>
        <v>0</v>
      </c>
      <c r="P1176" s="16" t="n">
        <f aca="false">IF($J1176=0,0,IFERROR(MATCH(INDEX(ROTACAO_RDM!$N$6:$N$71,$J1176),PARAMETROS_CULTURAS!$B$6:$B$28,0),0))</f>
        <v>0</v>
      </c>
      <c r="Q1176" s="8" t="str">
        <f aca="false">IF($P1176=0,"-",IF($O1176&lt;=INDEX(PARAMETROS_CULTURAS!$F$6:$F$28,$P1176),"INICIAL",IF($O1176&lt;=INDEX(PARAMETROS_CULTURAS!$F$6:$F$28,$P1176)+INDEX(PARAMETROS_CULTURAS!$G$6:$G$28,$P1176),"DESENVOLVIMENTO",IF($O1176&lt;=INDEX(PARAMETROS_CULTURAS!$F$6:$F$28,$P1176)+INDEX(PARAMETROS_CULTURAS!$G$6:$G$28,$P1176)+INDEX(PARAMETROS_CULTURAS!$H$6:$H$28,$P1176),"MEDIA","FINAL"))))</f>
        <v>-</v>
      </c>
      <c r="R1176" s="24" t="n">
        <f aca="false">IF($P1176=0,0,IF($O1176&lt;=INDEX(PARAMETROS_CULTURAS!$F$6:$F$28,$P1176),INDEX(PARAMETROS_CULTURAS!$K$6:$K$28,$P1176),IF($O1176&lt;=INDEX(PARAMETROS_CULTURAS!$F$6:$F$28,$P1176)+INDEX(PARAMETROS_CULTURAS!$G$6:$G$28,$P1176),INDEX(PARAMETROS_CULTURAS!$K$6:$K$28,$P1176)+(INDEX(PARAMETROS_CULTURAS!$L$6:$L$28,$P1176)-INDEX(PARAMETROS_CULTURAS!$K$6:$K$28,$P1176))*($O1176-INDEX(PARAMETROS_CULTURAS!$F$6:$F$28,$P1176))/MAX(INDEX(PARAMETROS_CULTURAS!$G$6:$G$28,$P1176),0.0001),IF($O1176&lt;=INDEX(PARAMETROS_CULTURAS!$F$6:$F$28,$P1176)+INDEX(PARAMETROS_CULTURAS!$G$6:$G$28,$P1176)+INDEX(PARAMETROS_CULTURAS!$H$6:$H$28,$P1176),INDEX(PARAMETROS_CULTURAS!$L$6:$L$28,$P1176),INDEX(PARAMETROS_CULTURAS!$L$6:$L$28,$P1176)+(INDEX(PARAMETROS_CULTURAS!$M$6:$M$28,$P1176)-INDEX(PARAMETROS_CULTURAS!$L$6:$L$28,$P1176))*($O1176-INDEX(PARAMETROS_CULTURAS!$F$6:$F$28,$P1176)-INDEX(PARAMETROS_CULTURAS!$G$6:$G$28,$P1176)-INDEX(PARAMETROS_CULTURAS!$H$6:$H$28,$P1176))/MAX(INDEX(PARAMETROS_CULTURAS!$I$6:$I$28,$P1176),0.0001)))))</f>
        <v>0</v>
      </c>
      <c r="S1176" s="18" t="n">
        <f aca="false">IFERROR(INDEX(SEMANAS!$H$6:$H$71,MATCH($B1176,SEMANAS!$B$6:$B$71,0)),0)</f>
        <v>36.4</v>
      </c>
      <c r="T1176" s="18" t="n">
        <f aca="false">$R1176*$S1176</f>
        <v>0</v>
      </c>
      <c r="U1176" s="18" t="n">
        <f aca="false">IFERROR(INDEX(SEMANAS!$I$6:$I$71,MATCH($B1176,SEMANAS!$B$6:$B$71,0)),0)</f>
        <v>1.12</v>
      </c>
      <c r="V1176" s="18" t="n">
        <f aca="false">IFERROR(INDEX(SEMANAS!$J$6:$J$71,MATCH($B1176,SEMANAS!$B$6:$B$71,0)),0)</f>
        <v>0.896</v>
      </c>
      <c r="W1176" s="18" t="n">
        <f aca="false">MAX(0,$T1176-$V1176)</f>
        <v>0</v>
      </c>
      <c r="X1176" s="19" t="n">
        <f aca="false">IFERROR(INDEX(CADASTRO_PIVOS!$K$6:$K$41,MATCH($E1176,CADASTRO_PIVOS!$B$6:$B$41,0)),EFICIENCIA_PADRAO)</f>
        <v>0.85</v>
      </c>
      <c r="Y1176" s="18" t="n">
        <f aca="false">IF($X1176&lt;=0,0,$W1176/$X1176)</f>
        <v>0</v>
      </c>
      <c r="Z1176" s="16" t="n">
        <f aca="false">$Y1176*$H1176*MM_PARA_M3_HA</f>
        <v>0</v>
      </c>
      <c r="AA1176" s="18" t="n">
        <f aca="false">IFERROR(INDEX(CADASTRO_PIVOS!$I$6:$I$41,MATCH($E1176,CADASTRO_PIVOS!$B$6:$B$41,0)),0)</f>
        <v>1071</v>
      </c>
      <c r="AB1176" s="18" t="n">
        <f aca="false">IF($Z1176&lt;=0,0,$Z1176/$AA1176)</f>
        <v>0</v>
      </c>
      <c r="AC1176" s="16" t="n">
        <f aca="false">IFERROR(INDEX(SEMANAS!$K$6:$K$71,MATCH($B1176,SEMANAS!$B$6:$B$71,0)),0)</f>
        <v>147</v>
      </c>
      <c r="AD1176" s="19" t="n">
        <f aca="false">IF($AC1176&lt;=0,0,$AB1176/$AC1176)</f>
        <v>0</v>
      </c>
      <c r="AE1176" s="8" t="str">
        <f aca="false">IF($K1176="SEM CULTURA","SEM CULTURA",IF($AA1176&lt;=0,"DADO PENDENTE",IF($AD1176&gt;LIMITE_CRITICO,"INVIAVEL",IF($AD1176&gt;LIMITE_ATENCAO,"CRITICO",IF($AD1176&gt;LIMITE_CONFORTAVEL,"ATENCAO","OK")))))</f>
        <v>SEM CULTURA</v>
      </c>
      <c r="AF1176" s="8" t="str">
        <f aca="false">$B1176&amp;"|"&amp;TEXT($AD1176,"0.000000")</f>
        <v>49|0.000000</v>
      </c>
      <c r="AG1176" s="18" t="n">
        <f aca="false">IF($K1176="SEM CULTURA",0,$T1176*$H1176)</f>
        <v>0</v>
      </c>
      <c r="AH1176" s="18" t="n">
        <f aca="false">IF($K1176="SEM CULTURA",0,$V1176*$H1176)</f>
        <v>0</v>
      </c>
      <c r="AI1176" s="18" t="n">
        <f aca="false">IF($K1176="SEM CULTURA",0,$W1176*$H1176)</f>
        <v>0</v>
      </c>
      <c r="AJ1176" s="18" t="n">
        <f aca="false">IF($K1176="SEM CULTURA",0,$S1176*$H1176)</f>
        <v>0</v>
      </c>
      <c r="AK1176" s="8" t="str">
        <f aca="false">$E1176&amp;"|"&amp;TEXT($AD1176,"0.000000")</f>
        <v>PV 117|0.000000</v>
      </c>
    </row>
    <row r="1177" customFormat="false" ht="15" hidden="false" customHeight="false" outlineLevel="0" collapsed="false">
      <c r="B1177" s="16" t="n">
        <v>50</v>
      </c>
      <c r="C1177" s="17" t="n">
        <f aca="false">DATA_INICIO_SAFRA+($B1177-1)*DIAS_POR_SEMANA</f>
        <v>46608</v>
      </c>
      <c r="D1177" s="17" t="n">
        <f aca="false">$C1177+DIAS_POR_SEMANA-1</f>
        <v>46614</v>
      </c>
      <c r="E1177" s="15" t="s">
        <v>276</v>
      </c>
      <c r="F1177" s="8" t="str">
        <f aca="false">IFERROR(INDEX(CADASTRO_PIVOS!$C$6:$C$41,MATCH($E1177,CADASTRO_PIVOS!$B$6:$B$41,0)),"?")</f>
        <v>RM06</v>
      </c>
      <c r="G1177" s="8" t="str">
        <f aca="false">IFERROR(INDEX(CADASTRO_PIVOS!$D$6:$D$41,MATCH($E1177,CADASTRO_PIVOS!$B$6:$B$41,0)),"?")</f>
        <v>TR06</v>
      </c>
      <c r="H1177" s="20" t="n">
        <f aca="false">IFERROR(INDEX(CADASTRO_PIVOS!$E$6:$E$41,MATCH($E1177,CADASTRO_PIVOS!$B$6:$B$41,0)),0)</f>
        <v>149.94</v>
      </c>
      <c r="I1177" s="16" t="n">
        <f aca="false">IFERROR(SUMIFS(ROTACAO_RDM!$B$6:$B$71,ROTACAO_RDM!$D$6:$D$71,$E1177,ROTACAO_RDM!$I$6:$I$71,"&lt;="&amp;$C1177+INT(DIAS_POR_SEMANA/2),ROTACAO_RDM!$J$6:$J$71,"&gt;="&amp;$C1177+INT(DIAS_POR_SEMANA/2)),0)</f>
        <v>0</v>
      </c>
      <c r="J1177" s="16" t="n">
        <f aca="false">IFERROR(MATCH($I1177,ROTACAO_RDM!$B$6:$B$71,0),0)</f>
        <v>0</v>
      </c>
      <c r="K1177" s="8" t="str">
        <f aca="false">IF($J1177=0,"SEM CULTURA",INDEX(ROTACAO_RDM!$F$6:$F$71,$J1177))</f>
        <v>SEM CULTURA</v>
      </c>
      <c r="L1177" s="8" t="str">
        <f aca="false">IF($J1177=0,"",INDEX(ROTACAO_RDM!$G$6:$G$71,$J1177))</f>
        <v/>
      </c>
      <c r="M1177" s="17" t="str">
        <f aca="false">IF($J1177=0,"",INDEX(ROTACAO_RDM!$I$6:$I$71,$J1177))</f>
        <v/>
      </c>
      <c r="N1177" s="16" t="n">
        <f aca="false">IF($J1177=0,0,MAX(0,$C1177+INT(DIAS_POR_SEMANA/2)-INDEX(ROTACAO_RDM!$I$6:$I$71,$J1177)))</f>
        <v>0</v>
      </c>
      <c r="O1177" s="19" t="n">
        <f aca="false">IF($J1177=0,0,MIN(1,$N1177/MAX(1,INDEX(ROTACAO_RDM!$K$6:$K$71,$J1177))))</f>
        <v>0</v>
      </c>
      <c r="P1177" s="16" t="n">
        <f aca="false">IF($J1177=0,0,IFERROR(MATCH(INDEX(ROTACAO_RDM!$N$6:$N$71,$J1177),PARAMETROS_CULTURAS!$B$6:$B$28,0),0))</f>
        <v>0</v>
      </c>
      <c r="Q1177" s="8" t="str">
        <f aca="false">IF($P1177=0,"-",IF($O1177&lt;=INDEX(PARAMETROS_CULTURAS!$F$6:$F$28,$P1177),"INICIAL",IF($O1177&lt;=INDEX(PARAMETROS_CULTURAS!$F$6:$F$28,$P1177)+INDEX(PARAMETROS_CULTURAS!$G$6:$G$28,$P1177),"DESENVOLVIMENTO",IF($O1177&lt;=INDEX(PARAMETROS_CULTURAS!$F$6:$F$28,$P1177)+INDEX(PARAMETROS_CULTURAS!$G$6:$G$28,$P1177)+INDEX(PARAMETROS_CULTURAS!$H$6:$H$28,$P1177),"MEDIA","FINAL"))))</f>
        <v>-</v>
      </c>
      <c r="R1177" s="24" t="n">
        <f aca="false">IF($P1177=0,0,IF($O1177&lt;=INDEX(PARAMETROS_CULTURAS!$F$6:$F$28,$P1177),INDEX(PARAMETROS_CULTURAS!$K$6:$K$28,$P1177),IF($O1177&lt;=INDEX(PARAMETROS_CULTURAS!$F$6:$F$28,$P1177)+INDEX(PARAMETROS_CULTURAS!$G$6:$G$28,$P1177),INDEX(PARAMETROS_CULTURAS!$K$6:$K$28,$P1177)+(INDEX(PARAMETROS_CULTURAS!$L$6:$L$28,$P1177)-INDEX(PARAMETROS_CULTURAS!$K$6:$K$28,$P1177))*($O1177-INDEX(PARAMETROS_CULTURAS!$F$6:$F$28,$P1177))/MAX(INDEX(PARAMETROS_CULTURAS!$G$6:$G$28,$P1177),0.0001),IF($O1177&lt;=INDEX(PARAMETROS_CULTURAS!$F$6:$F$28,$P1177)+INDEX(PARAMETROS_CULTURAS!$G$6:$G$28,$P1177)+INDEX(PARAMETROS_CULTURAS!$H$6:$H$28,$P1177),INDEX(PARAMETROS_CULTURAS!$L$6:$L$28,$P1177),INDEX(PARAMETROS_CULTURAS!$L$6:$L$28,$P1177)+(INDEX(PARAMETROS_CULTURAS!$M$6:$M$28,$P1177)-INDEX(PARAMETROS_CULTURAS!$L$6:$L$28,$P1177))*($O1177-INDEX(PARAMETROS_CULTURAS!$F$6:$F$28,$P1177)-INDEX(PARAMETROS_CULTURAS!$G$6:$G$28,$P1177)-INDEX(PARAMETROS_CULTURAS!$H$6:$H$28,$P1177))/MAX(INDEX(PARAMETROS_CULTURAS!$I$6:$I$28,$P1177),0.0001)))))</f>
        <v>0</v>
      </c>
      <c r="S1177" s="18" t="n">
        <f aca="false">IFERROR(INDEX(SEMANAS!$H$6:$H$71,MATCH($B1177,SEMANAS!$B$6:$B$71,0)),0)</f>
        <v>36.4</v>
      </c>
      <c r="T1177" s="18" t="n">
        <f aca="false">$R1177*$S1177</f>
        <v>0</v>
      </c>
      <c r="U1177" s="18" t="n">
        <f aca="false">IFERROR(INDEX(SEMANAS!$I$6:$I$71,MATCH($B1177,SEMANAS!$B$6:$B$71,0)),0)</f>
        <v>1.12</v>
      </c>
      <c r="V1177" s="18" t="n">
        <f aca="false">IFERROR(INDEX(SEMANAS!$J$6:$J$71,MATCH($B1177,SEMANAS!$B$6:$B$71,0)),0)</f>
        <v>0.896</v>
      </c>
      <c r="W1177" s="18" t="n">
        <f aca="false">MAX(0,$T1177-$V1177)</f>
        <v>0</v>
      </c>
      <c r="X1177" s="19" t="n">
        <f aca="false">IFERROR(INDEX(CADASTRO_PIVOS!$K$6:$K$41,MATCH($E1177,CADASTRO_PIVOS!$B$6:$B$41,0)),EFICIENCIA_PADRAO)</f>
        <v>0.85</v>
      </c>
      <c r="Y1177" s="18" t="n">
        <f aca="false">IF($X1177&lt;=0,0,$W1177/$X1177)</f>
        <v>0</v>
      </c>
      <c r="Z1177" s="16" t="n">
        <f aca="false">$Y1177*$H1177*MM_PARA_M3_HA</f>
        <v>0</v>
      </c>
      <c r="AA1177" s="18" t="n">
        <f aca="false">IFERROR(INDEX(CADASTRO_PIVOS!$I$6:$I$41,MATCH($E1177,CADASTRO_PIVOS!$B$6:$B$41,0)),0)</f>
        <v>1071</v>
      </c>
      <c r="AB1177" s="18" t="n">
        <f aca="false">IF($Z1177&lt;=0,0,$Z1177/$AA1177)</f>
        <v>0</v>
      </c>
      <c r="AC1177" s="16" t="n">
        <f aca="false">IFERROR(INDEX(SEMANAS!$K$6:$K$71,MATCH($B1177,SEMANAS!$B$6:$B$71,0)),0)</f>
        <v>147</v>
      </c>
      <c r="AD1177" s="19" t="n">
        <f aca="false">IF($AC1177&lt;=0,0,$AB1177/$AC1177)</f>
        <v>0</v>
      </c>
      <c r="AE1177" s="8" t="str">
        <f aca="false">IF($K1177="SEM CULTURA","SEM CULTURA",IF($AA1177&lt;=0,"DADO PENDENTE",IF($AD1177&gt;LIMITE_CRITICO,"INVIAVEL",IF($AD1177&gt;LIMITE_ATENCAO,"CRITICO",IF($AD1177&gt;LIMITE_CONFORTAVEL,"ATENCAO","OK")))))</f>
        <v>SEM CULTURA</v>
      </c>
      <c r="AF1177" s="8" t="str">
        <f aca="false">$B1177&amp;"|"&amp;TEXT($AD1177,"0.000000")</f>
        <v>50|0.000000</v>
      </c>
      <c r="AG1177" s="18" t="n">
        <f aca="false">IF($K1177="SEM CULTURA",0,$T1177*$H1177)</f>
        <v>0</v>
      </c>
      <c r="AH1177" s="18" t="n">
        <f aca="false">IF($K1177="SEM CULTURA",0,$V1177*$H1177)</f>
        <v>0</v>
      </c>
      <c r="AI1177" s="18" t="n">
        <f aca="false">IF($K1177="SEM CULTURA",0,$W1177*$H1177)</f>
        <v>0</v>
      </c>
      <c r="AJ1177" s="18" t="n">
        <f aca="false">IF($K1177="SEM CULTURA",0,$S1177*$H1177)</f>
        <v>0</v>
      </c>
      <c r="AK1177" s="8" t="str">
        <f aca="false">$E1177&amp;"|"&amp;TEXT($AD1177,"0.000000")</f>
        <v>PV 117|0.000000</v>
      </c>
    </row>
    <row r="1178" customFormat="false" ht="15" hidden="false" customHeight="false" outlineLevel="0" collapsed="false">
      <c r="B1178" s="16" t="n">
        <v>51</v>
      </c>
      <c r="C1178" s="17" t="n">
        <f aca="false">DATA_INICIO_SAFRA+($B1178-1)*DIAS_POR_SEMANA</f>
        <v>46615</v>
      </c>
      <c r="D1178" s="17" t="n">
        <f aca="false">$C1178+DIAS_POR_SEMANA-1</f>
        <v>46621</v>
      </c>
      <c r="E1178" s="15" t="s">
        <v>276</v>
      </c>
      <c r="F1178" s="8" t="str">
        <f aca="false">IFERROR(INDEX(CADASTRO_PIVOS!$C$6:$C$41,MATCH($E1178,CADASTRO_PIVOS!$B$6:$B$41,0)),"?")</f>
        <v>RM06</v>
      </c>
      <c r="G1178" s="8" t="str">
        <f aca="false">IFERROR(INDEX(CADASTRO_PIVOS!$D$6:$D$41,MATCH($E1178,CADASTRO_PIVOS!$B$6:$B$41,0)),"?")</f>
        <v>TR06</v>
      </c>
      <c r="H1178" s="20" t="n">
        <f aca="false">IFERROR(INDEX(CADASTRO_PIVOS!$E$6:$E$41,MATCH($E1178,CADASTRO_PIVOS!$B$6:$B$41,0)),0)</f>
        <v>149.94</v>
      </c>
      <c r="I1178" s="16" t="n">
        <f aca="false">IFERROR(SUMIFS(ROTACAO_RDM!$B$6:$B$71,ROTACAO_RDM!$D$6:$D$71,$E1178,ROTACAO_RDM!$I$6:$I$71,"&lt;="&amp;$C1178+INT(DIAS_POR_SEMANA/2),ROTACAO_RDM!$J$6:$J$71,"&gt;="&amp;$C1178+INT(DIAS_POR_SEMANA/2)),0)</f>
        <v>0</v>
      </c>
      <c r="J1178" s="16" t="n">
        <f aca="false">IFERROR(MATCH($I1178,ROTACAO_RDM!$B$6:$B$71,0),0)</f>
        <v>0</v>
      </c>
      <c r="K1178" s="8" t="str">
        <f aca="false">IF($J1178=0,"SEM CULTURA",INDEX(ROTACAO_RDM!$F$6:$F$71,$J1178))</f>
        <v>SEM CULTURA</v>
      </c>
      <c r="L1178" s="8" t="str">
        <f aca="false">IF($J1178=0,"",INDEX(ROTACAO_RDM!$G$6:$G$71,$J1178))</f>
        <v/>
      </c>
      <c r="M1178" s="17" t="str">
        <f aca="false">IF($J1178=0,"",INDEX(ROTACAO_RDM!$I$6:$I$71,$J1178))</f>
        <v/>
      </c>
      <c r="N1178" s="16" t="n">
        <f aca="false">IF($J1178=0,0,MAX(0,$C1178+INT(DIAS_POR_SEMANA/2)-INDEX(ROTACAO_RDM!$I$6:$I$71,$J1178)))</f>
        <v>0</v>
      </c>
      <c r="O1178" s="19" t="n">
        <f aca="false">IF($J1178=0,0,MIN(1,$N1178/MAX(1,INDEX(ROTACAO_RDM!$K$6:$K$71,$J1178))))</f>
        <v>0</v>
      </c>
      <c r="P1178" s="16" t="n">
        <f aca="false">IF($J1178=0,0,IFERROR(MATCH(INDEX(ROTACAO_RDM!$N$6:$N$71,$J1178),PARAMETROS_CULTURAS!$B$6:$B$28,0),0))</f>
        <v>0</v>
      </c>
      <c r="Q1178" s="8" t="str">
        <f aca="false">IF($P1178=0,"-",IF($O1178&lt;=INDEX(PARAMETROS_CULTURAS!$F$6:$F$28,$P1178),"INICIAL",IF($O1178&lt;=INDEX(PARAMETROS_CULTURAS!$F$6:$F$28,$P1178)+INDEX(PARAMETROS_CULTURAS!$G$6:$G$28,$P1178),"DESENVOLVIMENTO",IF($O1178&lt;=INDEX(PARAMETROS_CULTURAS!$F$6:$F$28,$P1178)+INDEX(PARAMETROS_CULTURAS!$G$6:$G$28,$P1178)+INDEX(PARAMETROS_CULTURAS!$H$6:$H$28,$P1178),"MEDIA","FINAL"))))</f>
        <v>-</v>
      </c>
      <c r="R1178" s="24" t="n">
        <f aca="false">IF($P1178=0,0,IF($O1178&lt;=INDEX(PARAMETROS_CULTURAS!$F$6:$F$28,$P1178),INDEX(PARAMETROS_CULTURAS!$K$6:$K$28,$P1178),IF($O1178&lt;=INDEX(PARAMETROS_CULTURAS!$F$6:$F$28,$P1178)+INDEX(PARAMETROS_CULTURAS!$G$6:$G$28,$P1178),INDEX(PARAMETROS_CULTURAS!$K$6:$K$28,$P1178)+(INDEX(PARAMETROS_CULTURAS!$L$6:$L$28,$P1178)-INDEX(PARAMETROS_CULTURAS!$K$6:$K$28,$P1178))*($O1178-INDEX(PARAMETROS_CULTURAS!$F$6:$F$28,$P1178))/MAX(INDEX(PARAMETROS_CULTURAS!$G$6:$G$28,$P1178),0.0001),IF($O1178&lt;=INDEX(PARAMETROS_CULTURAS!$F$6:$F$28,$P1178)+INDEX(PARAMETROS_CULTURAS!$G$6:$G$28,$P1178)+INDEX(PARAMETROS_CULTURAS!$H$6:$H$28,$P1178),INDEX(PARAMETROS_CULTURAS!$L$6:$L$28,$P1178),INDEX(PARAMETROS_CULTURAS!$L$6:$L$28,$P1178)+(INDEX(PARAMETROS_CULTURAS!$M$6:$M$28,$P1178)-INDEX(PARAMETROS_CULTURAS!$L$6:$L$28,$P1178))*($O1178-INDEX(PARAMETROS_CULTURAS!$F$6:$F$28,$P1178)-INDEX(PARAMETROS_CULTURAS!$G$6:$G$28,$P1178)-INDEX(PARAMETROS_CULTURAS!$H$6:$H$28,$P1178))/MAX(INDEX(PARAMETROS_CULTURAS!$I$6:$I$28,$P1178),0.0001)))))</f>
        <v>0</v>
      </c>
      <c r="S1178" s="18" t="n">
        <f aca="false">IFERROR(INDEX(SEMANAS!$H$6:$H$71,MATCH($B1178,SEMANAS!$B$6:$B$71,0)),0)</f>
        <v>36.4</v>
      </c>
      <c r="T1178" s="18" t="n">
        <f aca="false">$R1178*$S1178</f>
        <v>0</v>
      </c>
      <c r="U1178" s="18" t="n">
        <f aca="false">IFERROR(INDEX(SEMANAS!$I$6:$I$71,MATCH($B1178,SEMANAS!$B$6:$B$71,0)),0)</f>
        <v>1.12</v>
      </c>
      <c r="V1178" s="18" t="n">
        <f aca="false">IFERROR(INDEX(SEMANAS!$J$6:$J$71,MATCH($B1178,SEMANAS!$B$6:$B$71,0)),0)</f>
        <v>0.896</v>
      </c>
      <c r="W1178" s="18" t="n">
        <f aca="false">MAX(0,$T1178-$V1178)</f>
        <v>0</v>
      </c>
      <c r="X1178" s="19" t="n">
        <f aca="false">IFERROR(INDEX(CADASTRO_PIVOS!$K$6:$K$41,MATCH($E1178,CADASTRO_PIVOS!$B$6:$B$41,0)),EFICIENCIA_PADRAO)</f>
        <v>0.85</v>
      </c>
      <c r="Y1178" s="18" t="n">
        <f aca="false">IF($X1178&lt;=0,0,$W1178/$X1178)</f>
        <v>0</v>
      </c>
      <c r="Z1178" s="16" t="n">
        <f aca="false">$Y1178*$H1178*MM_PARA_M3_HA</f>
        <v>0</v>
      </c>
      <c r="AA1178" s="18" t="n">
        <f aca="false">IFERROR(INDEX(CADASTRO_PIVOS!$I$6:$I$41,MATCH($E1178,CADASTRO_PIVOS!$B$6:$B$41,0)),0)</f>
        <v>1071</v>
      </c>
      <c r="AB1178" s="18" t="n">
        <f aca="false">IF($Z1178&lt;=0,0,$Z1178/$AA1178)</f>
        <v>0</v>
      </c>
      <c r="AC1178" s="16" t="n">
        <f aca="false">IFERROR(INDEX(SEMANAS!$K$6:$K$71,MATCH($B1178,SEMANAS!$B$6:$B$71,0)),0)</f>
        <v>147</v>
      </c>
      <c r="AD1178" s="19" t="n">
        <f aca="false">IF($AC1178&lt;=0,0,$AB1178/$AC1178)</f>
        <v>0</v>
      </c>
      <c r="AE1178" s="8" t="str">
        <f aca="false">IF($K1178="SEM CULTURA","SEM CULTURA",IF($AA1178&lt;=0,"DADO PENDENTE",IF($AD1178&gt;LIMITE_CRITICO,"INVIAVEL",IF($AD1178&gt;LIMITE_ATENCAO,"CRITICO",IF($AD1178&gt;LIMITE_CONFORTAVEL,"ATENCAO","OK")))))</f>
        <v>SEM CULTURA</v>
      </c>
      <c r="AF1178" s="8" t="str">
        <f aca="false">$B1178&amp;"|"&amp;TEXT($AD1178,"0.000000")</f>
        <v>51|0.000000</v>
      </c>
      <c r="AG1178" s="18" t="n">
        <f aca="false">IF($K1178="SEM CULTURA",0,$T1178*$H1178)</f>
        <v>0</v>
      </c>
      <c r="AH1178" s="18" t="n">
        <f aca="false">IF($K1178="SEM CULTURA",0,$V1178*$H1178)</f>
        <v>0</v>
      </c>
      <c r="AI1178" s="18" t="n">
        <f aca="false">IF($K1178="SEM CULTURA",0,$W1178*$H1178)</f>
        <v>0</v>
      </c>
      <c r="AJ1178" s="18" t="n">
        <f aca="false">IF($K1178="SEM CULTURA",0,$S1178*$H1178)</f>
        <v>0</v>
      </c>
      <c r="AK1178" s="8" t="str">
        <f aca="false">$E1178&amp;"|"&amp;TEXT($AD1178,"0.000000")</f>
        <v>PV 117|0.000000</v>
      </c>
    </row>
    <row r="1179" customFormat="false" ht="15" hidden="false" customHeight="false" outlineLevel="0" collapsed="false">
      <c r="B1179" s="16" t="n">
        <v>52</v>
      </c>
      <c r="C1179" s="17" t="n">
        <f aca="false">DATA_INICIO_SAFRA+($B1179-1)*DIAS_POR_SEMANA</f>
        <v>46622</v>
      </c>
      <c r="D1179" s="17" t="n">
        <f aca="false">$C1179+DIAS_POR_SEMANA-1</f>
        <v>46628</v>
      </c>
      <c r="E1179" s="15" t="s">
        <v>276</v>
      </c>
      <c r="F1179" s="8" t="str">
        <f aca="false">IFERROR(INDEX(CADASTRO_PIVOS!$C$6:$C$41,MATCH($E1179,CADASTRO_PIVOS!$B$6:$B$41,0)),"?")</f>
        <v>RM06</v>
      </c>
      <c r="G1179" s="8" t="str">
        <f aca="false">IFERROR(INDEX(CADASTRO_PIVOS!$D$6:$D$41,MATCH($E1179,CADASTRO_PIVOS!$B$6:$B$41,0)),"?")</f>
        <v>TR06</v>
      </c>
      <c r="H1179" s="20" t="n">
        <f aca="false">IFERROR(INDEX(CADASTRO_PIVOS!$E$6:$E$41,MATCH($E1179,CADASTRO_PIVOS!$B$6:$B$41,0)),0)</f>
        <v>149.94</v>
      </c>
      <c r="I1179" s="16" t="n">
        <f aca="false">IFERROR(SUMIFS(ROTACAO_RDM!$B$6:$B$71,ROTACAO_RDM!$D$6:$D$71,$E1179,ROTACAO_RDM!$I$6:$I$71,"&lt;="&amp;$C1179+INT(DIAS_POR_SEMANA/2),ROTACAO_RDM!$J$6:$J$71,"&gt;="&amp;$C1179+INT(DIAS_POR_SEMANA/2)),0)</f>
        <v>0</v>
      </c>
      <c r="J1179" s="16" t="n">
        <f aca="false">IFERROR(MATCH($I1179,ROTACAO_RDM!$B$6:$B$71,0),0)</f>
        <v>0</v>
      </c>
      <c r="K1179" s="8" t="str">
        <f aca="false">IF($J1179=0,"SEM CULTURA",INDEX(ROTACAO_RDM!$F$6:$F$71,$J1179))</f>
        <v>SEM CULTURA</v>
      </c>
      <c r="L1179" s="8" t="str">
        <f aca="false">IF($J1179=0,"",INDEX(ROTACAO_RDM!$G$6:$G$71,$J1179))</f>
        <v/>
      </c>
      <c r="M1179" s="17" t="str">
        <f aca="false">IF($J1179=0,"",INDEX(ROTACAO_RDM!$I$6:$I$71,$J1179))</f>
        <v/>
      </c>
      <c r="N1179" s="16" t="n">
        <f aca="false">IF($J1179=0,0,MAX(0,$C1179+INT(DIAS_POR_SEMANA/2)-INDEX(ROTACAO_RDM!$I$6:$I$71,$J1179)))</f>
        <v>0</v>
      </c>
      <c r="O1179" s="19" t="n">
        <f aca="false">IF($J1179=0,0,MIN(1,$N1179/MAX(1,INDEX(ROTACAO_RDM!$K$6:$K$71,$J1179))))</f>
        <v>0</v>
      </c>
      <c r="P1179" s="16" t="n">
        <f aca="false">IF($J1179=0,0,IFERROR(MATCH(INDEX(ROTACAO_RDM!$N$6:$N$71,$J1179),PARAMETROS_CULTURAS!$B$6:$B$28,0),0))</f>
        <v>0</v>
      </c>
      <c r="Q1179" s="8" t="str">
        <f aca="false">IF($P1179=0,"-",IF($O1179&lt;=INDEX(PARAMETROS_CULTURAS!$F$6:$F$28,$P1179),"INICIAL",IF($O1179&lt;=INDEX(PARAMETROS_CULTURAS!$F$6:$F$28,$P1179)+INDEX(PARAMETROS_CULTURAS!$G$6:$G$28,$P1179),"DESENVOLVIMENTO",IF($O1179&lt;=INDEX(PARAMETROS_CULTURAS!$F$6:$F$28,$P1179)+INDEX(PARAMETROS_CULTURAS!$G$6:$G$28,$P1179)+INDEX(PARAMETROS_CULTURAS!$H$6:$H$28,$P1179),"MEDIA","FINAL"))))</f>
        <v>-</v>
      </c>
      <c r="R1179" s="24" t="n">
        <f aca="false">IF($P1179=0,0,IF($O1179&lt;=INDEX(PARAMETROS_CULTURAS!$F$6:$F$28,$P1179),INDEX(PARAMETROS_CULTURAS!$K$6:$K$28,$P1179),IF($O1179&lt;=INDEX(PARAMETROS_CULTURAS!$F$6:$F$28,$P1179)+INDEX(PARAMETROS_CULTURAS!$G$6:$G$28,$P1179),INDEX(PARAMETROS_CULTURAS!$K$6:$K$28,$P1179)+(INDEX(PARAMETROS_CULTURAS!$L$6:$L$28,$P1179)-INDEX(PARAMETROS_CULTURAS!$K$6:$K$28,$P1179))*($O1179-INDEX(PARAMETROS_CULTURAS!$F$6:$F$28,$P1179))/MAX(INDEX(PARAMETROS_CULTURAS!$G$6:$G$28,$P1179),0.0001),IF($O1179&lt;=INDEX(PARAMETROS_CULTURAS!$F$6:$F$28,$P1179)+INDEX(PARAMETROS_CULTURAS!$G$6:$G$28,$P1179)+INDEX(PARAMETROS_CULTURAS!$H$6:$H$28,$P1179),INDEX(PARAMETROS_CULTURAS!$L$6:$L$28,$P1179),INDEX(PARAMETROS_CULTURAS!$L$6:$L$28,$P1179)+(INDEX(PARAMETROS_CULTURAS!$M$6:$M$28,$P1179)-INDEX(PARAMETROS_CULTURAS!$L$6:$L$28,$P1179))*($O1179-INDEX(PARAMETROS_CULTURAS!$F$6:$F$28,$P1179)-INDEX(PARAMETROS_CULTURAS!$G$6:$G$28,$P1179)-INDEX(PARAMETROS_CULTURAS!$H$6:$H$28,$P1179))/MAX(INDEX(PARAMETROS_CULTURAS!$I$6:$I$28,$P1179),0.0001)))))</f>
        <v>0</v>
      </c>
      <c r="S1179" s="18" t="n">
        <f aca="false">IFERROR(INDEX(SEMANAS!$H$6:$H$71,MATCH($B1179,SEMANAS!$B$6:$B$71,0)),0)</f>
        <v>36.4</v>
      </c>
      <c r="T1179" s="18" t="n">
        <f aca="false">$R1179*$S1179</f>
        <v>0</v>
      </c>
      <c r="U1179" s="18" t="n">
        <f aca="false">IFERROR(INDEX(SEMANAS!$I$6:$I$71,MATCH($B1179,SEMANAS!$B$6:$B$71,0)),0)</f>
        <v>1.12</v>
      </c>
      <c r="V1179" s="18" t="n">
        <f aca="false">IFERROR(INDEX(SEMANAS!$J$6:$J$71,MATCH($B1179,SEMANAS!$B$6:$B$71,0)),0)</f>
        <v>0.896</v>
      </c>
      <c r="W1179" s="18" t="n">
        <f aca="false">MAX(0,$T1179-$V1179)</f>
        <v>0</v>
      </c>
      <c r="X1179" s="19" t="n">
        <f aca="false">IFERROR(INDEX(CADASTRO_PIVOS!$K$6:$K$41,MATCH($E1179,CADASTRO_PIVOS!$B$6:$B$41,0)),EFICIENCIA_PADRAO)</f>
        <v>0.85</v>
      </c>
      <c r="Y1179" s="18" t="n">
        <f aca="false">IF($X1179&lt;=0,0,$W1179/$X1179)</f>
        <v>0</v>
      </c>
      <c r="Z1179" s="16" t="n">
        <f aca="false">$Y1179*$H1179*MM_PARA_M3_HA</f>
        <v>0</v>
      </c>
      <c r="AA1179" s="18" t="n">
        <f aca="false">IFERROR(INDEX(CADASTRO_PIVOS!$I$6:$I$41,MATCH($E1179,CADASTRO_PIVOS!$B$6:$B$41,0)),0)</f>
        <v>1071</v>
      </c>
      <c r="AB1179" s="18" t="n">
        <f aca="false">IF($Z1179&lt;=0,0,$Z1179/$AA1179)</f>
        <v>0</v>
      </c>
      <c r="AC1179" s="16" t="n">
        <f aca="false">IFERROR(INDEX(SEMANAS!$K$6:$K$71,MATCH($B1179,SEMANAS!$B$6:$B$71,0)),0)</f>
        <v>147</v>
      </c>
      <c r="AD1179" s="19" t="n">
        <f aca="false">IF($AC1179&lt;=0,0,$AB1179/$AC1179)</f>
        <v>0</v>
      </c>
      <c r="AE1179" s="8" t="str">
        <f aca="false">IF($K1179="SEM CULTURA","SEM CULTURA",IF($AA1179&lt;=0,"DADO PENDENTE",IF($AD1179&gt;LIMITE_CRITICO,"INVIAVEL",IF($AD1179&gt;LIMITE_ATENCAO,"CRITICO",IF($AD1179&gt;LIMITE_CONFORTAVEL,"ATENCAO","OK")))))</f>
        <v>SEM CULTURA</v>
      </c>
      <c r="AF1179" s="8" t="str">
        <f aca="false">$B1179&amp;"|"&amp;TEXT($AD1179,"0.000000")</f>
        <v>52|0.000000</v>
      </c>
      <c r="AG1179" s="18" t="n">
        <f aca="false">IF($K1179="SEM CULTURA",0,$T1179*$H1179)</f>
        <v>0</v>
      </c>
      <c r="AH1179" s="18" t="n">
        <f aca="false">IF($K1179="SEM CULTURA",0,$V1179*$H1179)</f>
        <v>0</v>
      </c>
      <c r="AI1179" s="18" t="n">
        <f aca="false">IF($K1179="SEM CULTURA",0,$W1179*$H1179)</f>
        <v>0</v>
      </c>
      <c r="AJ1179" s="18" t="n">
        <f aca="false">IF($K1179="SEM CULTURA",0,$S1179*$H1179)</f>
        <v>0</v>
      </c>
      <c r="AK1179" s="8" t="str">
        <f aca="false">$E1179&amp;"|"&amp;TEXT($AD1179,"0.000000")</f>
        <v>PV 117|0.000000</v>
      </c>
    </row>
    <row r="1180" customFormat="false" ht="15" hidden="false" customHeight="false" outlineLevel="0" collapsed="false">
      <c r="B1180" s="16" t="n">
        <v>53</v>
      </c>
      <c r="C1180" s="17" t="n">
        <f aca="false">DATA_INICIO_SAFRA+($B1180-1)*DIAS_POR_SEMANA</f>
        <v>46629</v>
      </c>
      <c r="D1180" s="17" t="n">
        <f aca="false">$C1180+DIAS_POR_SEMANA-1</f>
        <v>46635</v>
      </c>
      <c r="E1180" s="15" t="s">
        <v>276</v>
      </c>
      <c r="F1180" s="8" t="str">
        <f aca="false">IFERROR(INDEX(CADASTRO_PIVOS!$C$6:$C$41,MATCH($E1180,CADASTRO_PIVOS!$B$6:$B$41,0)),"?")</f>
        <v>RM06</v>
      </c>
      <c r="G1180" s="8" t="str">
        <f aca="false">IFERROR(INDEX(CADASTRO_PIVOS!$D$6:$D$41,MATCH($E1180,CADASTRO_PIVOS!$B$6:$B$41,0)),"?")</f>
        <v>TR06</v>
      </c>
      <c r="H1180" s="20" t="n">
        <f aca="false">IFERROR(INDEX(CADASTRO_PIVOS!$E$6:$E$41,MATCH($E1180,CADASTRO_PIVOS!$B$6:$B$41,0)),0)</f>
        <v>149.94</v>
      </c>
      <c r="I1180" s="16" t="n">
        <f aca="false">IFERROR(SUMIFS(ROTACAO_RDM!$B$6:$B$71,ROTACAO_RDM!$D$6:$D$71,$E1180,ROTACAO_RDM!$I$6:$I$71,"&lt;="&amp;$C1180+INT(DIAS_POR_SEMANA/2),ROTACAO_RDM!$J$6:$J$71,"&gt;="&amp;$C1180+INT(DIAS_POR_SEMANA/2)),0)</f>
        <v>0</v>
      </c>
      <c r="J1180" s="16" t="n">
        <f aca="false">IFERROR(MATCH($I1180,ROTACAO_RDM!$B$6:$B$71,0),0)</f>
        <v>0</v>
      </c>
      <c r="K1180" s="8" t="str">
        <f aca="false">IF($J1180=0,"SEM CULTURA",INDEX(ROTACAO_RDM!$F$6:$F$71,$J1180))</f>
        <v>SEM CULTURA</v>
      </c>
      <c r="L1180" s="8" t="str">
        <f aca="false">IF($J1180=0,"",INDEX(ROTACAO_RDM!$G$6:$G$71,$J1180))</f>
        <v/>
      </c>
      <c r="M1180" s="17" t="str">
        <f aca="false">IF($J1180=0,"",INDEX(ROTACAO_RDM!$I$6:$I$71,$J1180))</f>
        <v/>
      </c>
      <c r="N1180" s="16" t="n">
        <f aca="false">IF($J1180=0,0,MAX(0,$C1180+INT(DIAS_POR_SEMANA/2)-INDEX(ROTACAO_RDM!$I$6:$I$71,$J1180)))</f>
        <v>0</v>
      </c>
      <c r="O1180" s="19" t="n">
        <f aca="false">IF($J1180=0,0,MIN(1,$N1180/MAX(1,INDEX(ROTACAO_RDM!$K$6:$K$71,$J1180))))</f>
        <v>0</v>
      </c>
      <c r="P1180" s="16" t="n">
        <f aca="false">IF($J1180=0,0,IFERROR(MATCH(INDEX(ROTACAO_RDM!$N$6:$N$71,$J1180),PARAMETROS_CULTURAS!$B$6:$B$28,0),0))</f>
        <v>0</v>
      </c>
      <c r="Q1180" s="8" t="str">
        <f aca="false">IF($P1180=0,"-",IF($O1180&lt;=INDEX(PARAMETROS_CULTURAS!$F$6:$F$28,$P1180),"INICIAL",IF($O1180&lt;=INDEX(PARAMETROS_CULTURAS!$F$6:$F$28,$P1180)+INDEX(PARAMETROS_CULTURAS!$G$6:$G$28,$P1180),"DESENVOLVIMENTO",IF($O1180&lt;=INDEX(PARAMETROS_CULTURAS!$F$6:$F$28,$P1180)+INDEX(PARAMETROS_CULTURAS!$G$6:$G$28,$P1180)+INDEX(PARAMETROS_CULTURAS!$H$6:$H$28,$P1180),"MEDIA","FINAL"))))</f>
        <v>-</v>
      </c>
      <c r="R1180" s="24" t="n">
        <f aca="false">IF($P1180=0,0,IF($O1180&lt;=INDEX(PARAMETROS_CULTURAS!$F$6:$F$28,$P1180),INDEX(PARAMETROS_CULTURAS!$K$6:$K$28,$P1180),IF($O1180&lt;=INDEX(PARAMETROS_CULTURAS!$F$6:$F$28,$P1180)+INDEX(PARAMETROS_CULTURAS!$G$6:$G$28,$P1180),INDEX(PARAMETROS_CULTURAS!$K$6:$K$28,$P1180)+(INDEX(PARAMETROS_CULTURAS!$L$6:$L$28,$P1180)-INDEX(PARAMETROS_CULTURAS!$K$6:$K$28,$P1180))*($O1180-INDEX(PARAMETROS_CULTURAS!$F$6:$F$28,$P1180))/MAX(INDEX(PARAMETROS_CULTURAS!$G$6:$G$28,$P1180),0.0001),IF($O1180&lt;=INDEX(PARAMETROS_CULTURAS!$F$6:$F$28,$P1180)+INDEX(PARAMETROS_CULTURAS!$G$6:$G$28,$P1180)+INDEX(PARAMETROS_CULTURAS!$H$6:$H$28,$P1180),INDEX(PARAMETROS_CULTURAS!$L$6:$L$28,$P1180),INDEX(PARAMETROS_CULTURAS!$L$6:$L$28,$P1180)+(INDEX(PARAMETROS_CULTURAS!$M$6:$M$28,$P1180)-INDEX(PARAMETROS_CULTURAS!$L$6:$L$28,$P1180))*($O1180-INDEX(PARAMETROS_CULTURAS!$F$6:$F$28,$P1180)-INDEX(PARAMETROS_CULTURAS!$G$6:$G$28,$P1180)-INDEX(PARAMETROS_CULTURAS!$H$6:$H$28,$P1180))/MAX(INDEX(PARAMETROS_CULTURAS!$I$6:$I$28,$P1180),0.0001)))))</f>
        <v>0</v>
      </c>
      <c r="S1180" s="18" t="n">
        <f aca="false">IFERROR(INDEX(SEMANAS!$H$6:$H$71,MATCH($B1180,SEMANAS!$B$6:$B$71,0)),0)</f>
        <v>39.4</v>
      </c>
      <c r="T1180" s="18" t="n">
        <f aca="false">$R1180*$S1180</f>
        <v>0</v>
      </c>
      <c r="U1180" s="18" t="n">
        <f aca="false">IFERROR(INDEX(SEMANAS!$I$6:$I$71,MATCH($B1180,SEMANAS!$B$6:$B$71,0)),0)</f>
        <v>5.32</v>
      </c>
      <c r="V1180" s="18" t="n">
        <f aca="false">IFERROR(INDEX(SEMANAS!$J$6:$J$71,MATCH($B1180,SEMANAS!$B$6:$B$71,0)),0)</f>
        <v>4.256</v>
      </c>
      <c r="W1180" s="18" t="n">
        <f aca="false">MAX(0,$T1180-$V1180)</f>
        <v>0</v>
      </c>
      <c r="X1180" s="19" t="n">
        <f aca="false">IFERROR(INDEX(CADASTRO_PIVOS!$K$6:$K$41,MATCH($E1180,CADASTRO_PIVOS!$B$6:$B$41,0)),EFICIENCIA_PADRAO)</f>
        <v>0.85</v>
      </c>
      <c r="Y1180" s="18" t="n">
        <f aca="false">IF($X1180&lt;=0,0,$W1180/$X1180)</f>
        <v>0</v>
      </c>
      <c r="Z1180" s="16" t="n">
        <f aca="false">$Y1180*$H1180*MM_PARA_M3_HA</f>
        <v>0</v>
      </c>
      <c r="AA1180" s="18" t="n">
        <f aca="false">IFERROR(INDEX(CADASTRO_PIVOS!$I$6:$I$41,MATCH($E1180,CADASTRO_PIVOS!$B$6:$B$41,0)),0)</f>
        <v>1071</v>
      </c>
      <c r="AB1180" s="18" t="n">
        <f aca="false">IF($Z1180&lt;=0,0,$Z1180/$AA1180)</f>
        <v>0</v>
      </c>
      <c r="AC1180" s="16" t="n">
        <f aca="false">IFERROR(INDEX(SEMANAS!$K$6:$K$71,MATCH($B1180,SEMANAS!$B$6:$B$71,0)),0)</f>
        <v>147</v>
      </c>
      <c r="AD1180" s="19" t="n">
        <f aca="false">IF($AC1180&lt;=0,0,$AB1180/$AC1180)</f>
        <v>0</v>
      </c>
      <c r="AE1180" s="8" t="str">
        <f aca="false">IF($K1180="SEM CULTURA","SEM CULTURA",IF($AA1180&lt;=0,"DADO PENDENTE",IF($AD1180&gt;LIMITE_CRITICO,"INVIAVEL",IF($AD1180&gt;LIMITE_ATENCAO,"CRITICO",IF($AD1180&gt;LIMITE_CONFORTAVEL,"ATENCAO","OK")))))</f>
        <v>SEM CULTURA</v>
      </c>
      <c r="AF1180" s="8" t="str">
        <f aca="false">$B1180&amp;"|"&amp;TEXT($AD1180,"0.000000")</f>
        <v>53|0.000000</v>
      </c>
      <c r="AG1180" s="18" t="n">
        <f aca="false">IF($K1180="SEM CULTURA",0,$T1180*$H1180)</f>
        <v>0</v>
      </c>
      <c r="AH1180" s="18" t="n">
        <f aca="false">IF($K1180="SEM CULTURA",0,$V1180*$H1180)</f>
        <v>0</v>
      </c>
      <c r="AI1180" s="18" t="n">
        <f aca="false">IF($K1180="SEM CULTURA",0,$W1180*$H1180)</f>
        <v>0</v>
      </c>
      <c r="AJ1180" s="18" t="n">
        <f aca="false">IF($K1180="SEM CULTURA",0,$S1180*$H1180)</f>
        <v>0</v>
      </c>
      <c r="AK1180" s="8" t="str">
        <f aca="false">$E1180&amp;"|"&amp;TEXT($AD1180,"0.000000")</f>
        <v>PV 117|0.000000</v>
      </c>
    </row>
    <row r="1181" customFormat="false" ht="15" hidden="false" customHeight="false" outlineLevel="0" collapsed="false">
      <c r="B1181" s="16" t="n">
        <v>54</v>
      </c>
      <c r="C1181" s="17" t="n">
        <f aca="false">DATA_INICIO_SAFRA+($B1181-1)*DIAS_POR_SEMANA</f>
        <v>46636</v>
      </c>
      <c r="D1181" s="17" t="n">
        <f aca="false">$C1181+DIAS_POR_SEMANA-1</f>
        <v>46642</v>
      </c>
      <c r="E1181" s="15" t="s">
        <v>276</v>
      </c>
      <c r="F1181" s="8" t="str">
        <f aca="false">IFERROR(INDEX(CADASTRO_PIVOS!$C$6:$C$41,MATCH($E1181,CADASTRO_PIVOS!$B$6:$B$41,0)),"?")</f>
        <v>RM06</v>
      </c>
      <c r="G1181" s="8" t="str">
        <f aca="false">IFERROR(INDEX(CADASTRO_PIVOS!$D$6:$D$41,MATCH($E1181,CADASTRO_PIVOS!$B$6:$B$41,0)),"?")</f>
        <v>TR06</v>
      </c>
      <c r="H1181" s="20" t="n">
        <f aca="false">IFERROR(INDEX(CADASTRO_PIVOS!$E$6:$E$41,MATCH($E1181,CADASTRO_PIVOS!$B$6:$B$41,0)),0)</f>
        <v>149.94</v>
      </c>
      <c r="I1181" s="16" t="n">
        <f aca="false">IFERROR(SUMIFS(ROTACAO_RDM!$B$6:$B$71,ROTACAO_RDM!$D$6:$D$71,$E1181,ROTACAO_RDM!$I$6:$I$71,"&lt;="&amp;$C1181+INT(DIAS_POR_SEMANA/2),ROTACAO_RDM!$J$6:$J$71,"&gt;="&amp;$C1181+INT(DIAS_POR_SEMANA/2)),0)</f>
        <v>0</v>
      </c>
      <c r="J1181" s="16" t="n">
        <f aca="false">IFERROR(MATCH($I1181,ROTACAO_RDM!$B$6:$B$71,0),0)</f>
        <v>0</v>
      </c>
      <c r="K1181" s="8" t="str">
        <f aca="false">IF($J1181=0,"SEM CULTURA",INDEX(ROTACAO_RDM!$F$6:$F$71,$J1181))</f>
        <v>SEM CULTURA</v>
      </c>
      <c r="L1181" s="8" t="str">
        <f aca="false">IF($J1181=0,"",INDEX(ROTACAO_RDM!$G$6:$G$71,$J1181))</f>
        <v/>
      </c>
      <c r="M1181" s="17" t="str">
        <f aca="false">IF($J1181=0,"",INDEX(ROTACAO_RDM!$I$6:$I$71,$J1181))</f>
        <v/>
      </c>
      <c r="N1181" s="16" t="n">
        <f aca="false">IF($J1181=0,0,MAX(0,$C1181+INT(DIAS_POR_SEMANA/2)-INDEX(ROTACAO_RDM!$I$6:$I$71,$J1181)))</f>
        <v>0</v>
      </c>
      <c r="O1181" s="19" t="n">
        <f aca="false">IF($J1181=0,0,MIN(1,$N1181/MAX(1,INDEX(ROTACAO_RDM!$K$6:$K$71,$J1181))))</f>
        <v>0</v>
      </c>
      <c r="P1181" s="16" t="n">
        <f aca="false">IF($J1181=0,0,IFERROR(MATCH(INDEX(ROTACAO_RDM!$N$6:$N$71,$J1181),PARAMETROS_CULTURAS!$B$6:$B$28,0),0))</f>
        <v>0</v>
      </c>
      <c r="Q1181" s="8" t="str">
        <f aca="false">IF($P1181=0,"-",IF($O1181&lt;=INDEX(PARAMETROS_CULTURAS!$F$6:$F$28,$P1181),"INICIAL",IF($O1181&lt;=INDEX(PARAMETROS_CULTURAS!$F$6:$F$28,$P1181)+INDEX(PARAMETROS_CULTURAS!$G$6:$G$28,$P1181),"DESENVOLVIMENTO",IF($O1181&lt;=INDEX(PARAMETROS_CULTURAS!$F$6:$F$28,$P1181)+INDEX(PARAMETROS_CULTURAS!$G$6:$G$28,$P1181)+INDEX(PARAMETROS_CULTURAS!$H$6:$H$28,$P1181),"MEDIA","FINAL"))))</f>
        <v>-</v>
      </c>
      <c r="R1181" s="24" t="n">
        <f aca="false">IF($P1181=0,0,IF($O1181&lt;=INDEX(PARAMETROS_CULTURAS!$F$6:$F$28,$P1181),INDEX(PARAMETROS_CULTURAS!$K$6:$K$28,$P1181),IF($O1181&lt;=INDEX(PARAMETROS_CULTURAS!$F$6:$F$28,$P1181)+INDEX(PARAMETROS_CULTURAS!$G$6:$G$28,$P1181),INDEX(PARAMETROS_CULTURAS!$K$6:$K$28,$P1181)+(INDEX(PARAMETROS_CULTURAS!$L$6:$L$28,$P1181)-INDEX(PARAMETROS_CULTURAS!$K$6:$K$28,$P1181))*($O1181-INDEX(PARAMETROS_CULTURAS!$F$6:$F$28,$P1181))/MAX(INDEX(PARAMETROS_CULTURAS!$G$6:$G$28,$P1181),0.0001),IF($O1181&lt;=INDEX(PARAMETROS_CULTURAS!$F$6:$F$28,$P1181)+INDEX(PARAMETROS_CULTURAS!$G$6:$G$28,$P1181)+INDEX(PARAMETROS_CULTURAS!$H$6:$H$28,$P1181),INDEX(PARAMETROS_CULTURAS!$L$6:$L$28,$P1181),INDEX(PARAMETROS_CULTURAS!$L$6:$L$28,$P1181)+(INDEX(PARAMETROS_CULTURAS!$M$6:$M$28,$P1181)-INDEX(PARAMETROS_CULTURAS!$L$6:$L$28,$P1181))*($O1181-INDEX(PARAMETROS_CULTURAS!$F$6:$F$28,$P1181)-INDEX(PARAMETROS_CULTURAS!$G$6:$G$28,$P1181)-INDEX(PARAMETROS_CULTURAS!$H$6:$H$28,$P1181))/MAX(INDEX(PARAMETROS_CULTURAS!$I$6:$I$28,$P1181),0.0001)))))</f>
        <v>0</v>
      </c>
      <c r="S1181" s="18" t="n">
        <f aca="false">IFERROR(INDEX(SEMANAS!$H$6:$H$71,MATCH($B1181,SEMANAS!$B$6:$B$71,0)),0)</f>
        <v>40.6</v>
      </c>
      <c r="T1181" s="18" t="n">
        <f aca="false">$R1181*$S1181</f>
        <v>0</v>
      </c>
      <c r="U1181" s="18" t="n">
        <f aca="false">IFERROR(INDEX(SEMANAS!$I$6:$I$71,MATCH($B1181,SEMANAS!$B$6:$B$71,0)),0)</f>
        <v>7</v>
      </c>
      <c r="V1181" s="18" t="n">
        <f aca="false">IFERROR(INDEX(SEMANAS!$J$6:$J$71,MATCH($B1181,SEMANAS!$B$6:$B$71,0)),0)</f>
        <v>5.6</v>
      </c>
      <c r="W1181" s="18" t="n">
        <f aca="false">MAX(0,$T1181-$V1181)</f>
        <v>0</v>
      </c>
      <c r="X1181" s="19" t="n">
        <f aca="false">IFERROR(INDEX(CADASTRO_PIVOS!$K$6:$K$41,MATCH($E1181,CADASTRO_PIVOS!$B$6:$B$41,0)),EFICIENCIA_PADRAO)</f>
        <v>0.85</v>
      </c>
      <c r="Y1181" s="18" t="n">
        <f aca="false">IF($X1181&lt;=0,0,$W1181/$X1181)</f>
        <v>0</v>
      </c>
      <c r="Z1181" s="16" t="n">
        <f aca="false">$Y1181*$H1181*MM_PARA_M3_HA</f>
        <v>0</v>
      </c>
      <c r="AA1181" s="18" t="n">
        <f aca="false">IFERROR(INDEX(CADASTRO_PIVOS!$I$6:$I$41,MATCH($E1181,CADASTRO_PIVOS!$B$6:$B$41,0)),0)</f>
        <v>1071</v>
      </c>
      <c r="AB1181" s="18" t="n">
        <f aca="false">IF($Z1181&lt;=0,0,$Z1181/$AA1181)</f>
        <v>0</v>
      </c>
      <c r="AC1181" s="16" t="n">
        <f aca="false">IFERROR(INDEX(SEMANAS!$K$6:$K$71,MATCH($B1181,SEMANAS!$B$6:$B$71,0)),0)</f>
        <v>147</v>
      </c>
      <c r="AD1181" s="19" t="n">
        <f aca="false">IF($AC1181&lt;=0,0,$AB1181/$AC1181)</f>
        <v>0</v>
      </c>
      <c r="AE1181" s="8" t="str">
        <f aca="false">IF($K1181="SEM CULTURA","SEM CULTURA",IF($AA1181&lt;=0,"DADO PENDENTE",IF($AD1181&gt;LIMITE_CRITICO,"INVIAVEL",IF($AD1181&gt;LIMITE_ATENCAO,"CRITICO",IF($AD1181&gt;LIMITE_CONFORTAVEL,"ATENCAO","OK")))))</f>
        <v>SEM CULTURA</v>
      </c>
      <c r="AF1181" s="8" t="str">
        <f aca="false">$B1181&amp;"|"&amp;TEXT($AD1181,"0.000000")</f>
        <v>54|0.000000</v>
      </c>
      <c r="AG1181" s="18" t="n">
        <f aca="false">IF($K1181="SEM CULTURA",0,$T1181*$H1181)</f>
        <v>0</v>
      </c>
      <c r="AH1181" s="18" t="n">
        <f aca="false">IF($K1181="SEM CULTURA",0,$V1181*$H1181)</f>
        <v>0</v>
      </c>
      <c r="AI1181" s="18" t="n">
        <f aca="false">IF($K1181="SEM CULTURA",0,$W1181*$H1181)</f>
        <v>0</v>
      </c>
      <c r="AJ1181" s="18" t="n">
        <f aca="false">IF($K1181="SEM CULTURA",0,$S1181*$H1181)</f>
        <v>0</v>
      </c>
      <c r="AK1181" s="8" t="str">
        <f aca="false">$E1181&amp;"|"&amp;TEXT($AD1181,"0.000000")</f>
        <v>PV 117|0.000000</v>
      </c>
    </row>
    <row r="1182" customFormat="false" ht="15" hidden="false" customHeight="false" outlineLevel="0" collapsed="false">
      <c r="B1182" s="16" t="n">
        <v>55</v>
      </c>
      <c r="C1182" s="17" t="n">
        <f aca="false">DATA_INICIO_SAFRA+($B1182-1)*DIAS_POR_SEMANA</f>
        <v>46643</v>
      </c>
      <c r="D1182" s="17" t="n">
        <f aca="false">$C1182+DIAS_POR_SEMANA-1</f>
        <v>46649</v>
      </c>
      <c r="E1182" s="15" t="s">
        <v>276</v>
      </c>
      <c r="F1182" s="8" t="str">
        <f aca="false">IFERROR(INDEX(CADASTRO_PIVOS!$C$6:$C$41,MATCH($E1182,CADASTRO_PIVOS!$B$6:$B$41,0)),"?")</f>
        <v>RM06</v>
      </c>
      <c r="G1182" s="8" t="str">
        <f aca="false">IFERROR(INDEX(CADASTRO_PIVOS!$D$6:$D$41,MATCH($E1182,CADASTRO_PIVOS!$B$6:$B$41,0)),"?")</f>
        <v>TR06</v>
      </c>
      <c r="H1182" s="20" t="n">
        <f aca="false">IFERROR(INDEX(CADASTRO_PIVOS!$E$6:$E$41,MATCH($E1182,CADASTRO_PIVOS!$B$6:$B$41,0)),0)</f>
        <v>149.94</v>
      </c>
      <c r="I1182" s="16" t="n">
        <f aca="false">IFERROR(SUMIFS(ROTACAO_RDM!$B$6:$B$71,ROTACAO_RDM!$D$6:$D$71,$E1182,ROTACAO_RDM!$I$6:$I$71,"&lt;="&amp;$C1182+INT(DIAS_POR_SEMANA/2),ROTACAO_RDM!$J$6:$J$71,"&gt;="&amp;$C1182+INT(DIAS_POR_SEMANA/2)),0)</f>
        <v>0</v>
      </c>
      <c r="J1182" s="16" t="n">
        <f aca="false">IFERROR(MATCH($I1182,ROTACAO_RDM!$B$6:$B$71,0),0)</f>
        <v>0</v>
      </c>
      <c r="K1182" s="8" t="str">
        <f aca="false">IF($J1182=0,"SEM CULTURA",INDEX(ROTACAO_RDM!$F$6:$F$71,$J1182))</f>
        <v>SEM CULTURA</v>
      </c>
      <c r="L1182" s="8" t="str">
        <f aca="false">IF($J1182=0,"",INDEX(ROTACAO_RDM!$G$6:$G$71,$J1182))</f>
        <v/>
      </c>
      <c r="M1182" s="17" t="str">
        <f aca="false">IF($J1182=0,"",INDEX(ROTACAO_RDM!$I$6:$I$71,$J1182))</f>
        <v/>
      </c>
      <c r="N1182" s="16" t="n">
        <f aca="false">IF($J1182=0,0,MAX(0,$C1182+INT(DIAS_POR_SEMANA/2)-INDEX(ROTACAO_RDM!$I$6:$I$71,$J1182)))</f>
        <v>0</v>
      </c>
      <c r="O1182" s="19" t="n">
        <f aca="false">IF($J1182=0,0,MIN(1,$N1182/MAX(1,INDEX(ROTACAO_RDM!$K$6:$K$71,$J1182))))</f>
        <v>0</v>
      </c>
      <c r="P1182" s="16" t="n">
        <f aca="false">IF($J1182=0,0,IFERROR(MATCH(INDEX(ROTACAO_RDM!$N$6:$N$71,$J1182),PARAMETROS_CULTURAS!$B$6:$B$28,0),0))</f>
        <v>0</v>
      </c>
      <c r="Q1182" s="8" t="str">
        <f aca="false">IF($P1182=0,"-",IF($O1182&lt;=INDEX(PARAMETROS_CULTURAS!$F$6:$F$28,$P1182),"INICIAL",IF($O1182&lt;=INDEX(PARAMETROS_CULTURAS!$F$6:$F$28,$P1182)+INDEX(PARAMETROS_CULTURAS!$G$6:$G$28,$P1182),"DESENVOLVIMENTO",IF($O1182&lt;=INDEX(PARAMETROS_CULTURAS!$F$6:$F$28,$P1182)+INDEX(PARAMETROS_CULTURAS!$G$6:$G$28,$P1182)+INDEX(PARAMETROS_CULTURAS!$H$6:$H$28,$P1182),"MEDIA","FINAL"))))</f>
        <v>-</v>
      </c>
      <c r="R1182" s="24" t="n">
        <f aca="false">IF($P1182=0,0,IF($O1182&lt;=INDEX(PARAMETROS_CULTURAS!$F$6:$F$28,$P1182),INDEX(PARAMETROS_CULTURAS!$K$6:$K$28,$P1182),IF($O1182&lt;=INDEX(PARAMETROS_CULTURAS!$F$6:$F$28,$P1182)+INDEX(PARAMETROS_CULTURAS!$G$6:$G$28,$P1182),INDEX(PARAMETROS_CULTURAS!$K$6:$K$28,$P1182)+(INDEX(PARAMETROS_CULTURAS!$L$6:$L$28,$P1182)-INDEX(PARAMETROS_CULTURAS!$K$6:$K$28,$P1182))*($O1182-INDEX(PARAMETROS_CULTURAS!$F$6:$F$28,$P1182))/MAX(INDEX(PARAMETROS_CULTURAS!$G$6:$G$28,$P1182),0.0001),IF($O1182&lt;=INDEX(PARAMETROS_CULTURAS!$F$6:$F$28,$P1182)+INDEX(PARAMETROS_CULTURAS!$G$6:$G$28,$P1182)+INDEX(PARAMETROS_CULTURAS!$H$6:$H$28,$P1182),INDEX(PARAMETROS_CULTURAS!$L$6:$L$28,$P1182),INDEX(PARAMETROS_CULTURAS!$L$6:$L$28,$P1182)+(INDEX(PARAMETROS_CULTURAS!$M$6:$M$28,$P1182)-INDEX(PARAMETROS_CULTURAS!$L$6:$L$28,$P1182))*($O1182-INDEX(PARAMETROS_CULTURAS!$F$6:$F$28,$P1182)-INDEX(PARAMETROS_CULTURAS!$G$6:$G$28,$P1182)-INDEX(PARAMETROS_CULTURAS!$H$6:$H$28,$P1182))/MAX(INDEX(PARAMETROS_CULTURAS!$I$6:$I$28,$P1182),0.0001)))))</f>
        <v>0</v>
      </c>
      <c r="S1182" s="18" t="n">
        <f aca="false">IFERROR(INDEX(SEMANAS!$H$6:$H$71,MATCH($B1182,SEMANAS!$B$6:$B$71,0)),0)</f>
        <v>40.6</v>
      </c>
      <c r="T1182" s="18" t="n">
        <f aca="false">$R1182*$S1182</f>
        <v>0</v>
      </c>
      <c r="U1182" s="18" t="n">
        <f aca="false">IFERROR(INDEX(SEMANAS!$I$6:$I$71,MATCH($B1182,SEMANAS!$B$6:$B$71,0)),0)</f>
        <v>7</v>
      </c>
      <c r="V1182" s="18" t="n">
        <f aca="false">IFERROR(INDEX(SEMANAS!$J$6:$J$71,MATCH($B1182,SEMANAS!$B$6:$B$71,0)),0)</f>
        <v>5.6</v>
      </c>
      <c r="W1182" s="18" t="n">
        <f aca="false">MAX(0,$T1182-$V1182)</f>
        <v>0</v>
      </c>
      <c r="X1182" s="19" t="n">
        <f aca="false">IFERROR(INDEX(CADASTRO_PIVOS!$K$6:$K$41,MATCH($E1182,CADASTRO_PIVOS!$B$6:$B$41,0)),EFICIENCIA_PADRAO)</f>
        <v>0.85</v>
      </c>
      <c r="Y1182" s="18" t="n">
        <f aca="false">IF($X1182&lt;=0,0,$W1182/$X1182)</f>
        <v>0</v>
      </c>
      <c r="Z1182" s="16" t="n">
        <f aca="false">$Y1182*$H1182*MM_PARA_M3_HA</f>
        <v>0</v>
      </c>
      <c r="AA1182" s="18" t="n">
        <f aca="false">IFERROR(INDEX(CADASTRO_PIVOS!$I$6:$I$41,MATCH($E1182,CADASTRO_PIVOS!$B$6:$B$41,0)),0)</f>
        <v>1071</v>
      </c>
      <c r="AB1182" s="18" t="n">
        <f aca="false">IF($Z1182&lt;=0,0,$Z1182/$AA1182)</f>
        <v>0</v>
      </c>
      <c r="AC1182" s="16" t="n">
        <f aca="false">IFERROR(INDEX(SEMANAS!$K$6:$K$71,MATCH($B1182,SEMANAS!$B$6:$B$71,0)),0)</f>
        <v>147</v>
      </c>
      <c r="AD1182" s="19" t="n">
        <f aca="false">IF($AC1182&lt;=0,0,$AB1182/$AC1182)</f>
        <v>0</v>
      </c>
      <c r="AE1182" s="8" t="str">
        <f aca="false">IF($K1182="SEM CULTURA","SEM CULTURA",IF($AA1182&lt;=0,"DADO PENDENTE",IF($AD1182&gt;LIMITE_CRITICO,"INVIAVEL",IF($AD1182&gt;LIMITE_ATENCAO,"CRITICO",IF($AD1182&gt;LIMITE_CONFORTAVEL,"ATENCAO","OK")))))</f>
        <v>SEM CULTURA</v>
      </c>
      <c r="AF1182" s="8" t="str">
        <f aca="false">$B1182&amp;"|"&amp;TEXT($AD1182,"0.000000")</f>
        <v>55|0.000000</v>
      </c>
      <c r="AG1182" s="18" t="n">
        <f aca="false">IF($K1182="SEM CULTURA",0,$T1182*$H1182)</f>
        <v>0</v>
      </c>
      <c r="AH1182" s="18" t="n">
        <f aca="false">IF($K1182="SEM CULTURA",0,$V1182*$H1182)</f>
        <v>0</v>
      </c>
      <c r="AI1182" s="18" t="n">
        <f aca="false">IF($K1182="SEM CULTURA",0,$W1182*$H1182)</f>
        <v>0</v>
      </c>
      <c r="AJ1182" s="18" t="n">
        <f aca="false">IF($K1182="SEM CULTURA",0,$S1182*$H1182)</f>
        <v>0</v>
      </c>
      <c r="AK1182" s="8" t="str">
        <f aca="false">$E1182&amp;"|"&amp;TEXT($AD1182,"0.000000")</f>
        <v>PV 117|0.000000</v>
      </c>
    </row>
    <row r="1183" customFormat="false" ht="15" hidden="false" customHeight="false" outlineLevel="0" collapsed="false">
      <c r="B1183" s="16" t="n">
        <v>56</v>
      </c>
      <c r="C1183" s="17" t="n">
        <f aca="false">DATA_INICIO_SAFRA+($B1183-1)*DIAS_POR_SEMANA</f>
        <v>46650</v>
      </c>
      <c r="D1183" s="17" t="n">
        <f aca="false">$C1183+DIAS_POR_SEMANA-1</f>
        <v>46656</v>
      </c>
      <c r="E1183" s="15" t="s">
        <v>276</v>
      </c>
      <c r="F1183" s="8" t="str">
        <f aca="false">IFERROR(INDEX(CADASTRO_PIVOS!$C$6:$C$41,MATCH($E1183,CADASTRO_PIVOS!$B$6:$B$41,0)),"?")</f>
        <v>RM06</v>
      </c>
      <c r="G1183" s="8" t="str">
        <f aca="false">IFERROR(INDEX(CADASTRO_PIVOS!$D$6:$D$41,MATCH($E1183,CADASTRO_PIVOS!$B$6:$B$41,0)),"?")</f>
        <v>TR06</v>
      </c>
      <c r="H1183" s="20" t="n">
        <f aca="false">IFERROR(INDEX(CADASTRO_PIVOS!$E$6:$E$41,MATCH($E1183,CADASTRO_PIVOS!$B$6:$B$41,0)),0)</f>
        <v>149.94</v>
      </c>
      <c r="I1183" s="16" t="n">
        <f aca="false">IFERROR(SUMIFS(ROTACAO_RDM!$B$6:$B$71,ROTACAO_RDM!$D$6:$D$71,$E1183,ROTACAO_RDM!$I$6:$I$71,"&lt;="&amp;$C1183+INT(DIAS_POR_SEMANA/2),ROTACAO_RDM!$J$6:$J$71,"&gt;="&amp;$C1183+INT(DIAS_POR_SEMANA/2)),0)</f>
        <v>0</v>
      </c>
      <c r="J1183" s="16" t="n">
        <f aca="false">IFERROR(MATCH($I1183,ROTACAO_RDM!$B$6:$B$71,0),0)</f>
        <v>0</v>
      </c>
      <c r="K1183" s="8" t="str">
        <f aca="false">IF($J1183=0,"SEM CULTURA",INDEX(ROTACAO_RDM!$F$6:$F$71,$J1183))</f>
        <v>SEM CULTURA</v>
      </c>
      <c r="L1183" s="8" t="str">
        <f aca="false">IF($J1183=0,"",INDEX(ROTACAO_RDM!$G$6:$G$71,$J1183))</f>
        <v/>
      </c>
      <c r="M1183" s="17" t="str">
        <f aca="false">IF($J1183=0,"",INDEX(ROTACAO_RDM!$I$6:$I$71,$J1183))</f>
        <v/>
      </c>
      <c r="N1183" s="16" t="n">
        <f aca="false">IF($J1183=0,0,MAX(0,$C1183+INT(DIAS_POR_SEMANA/2)-INDEX(ROTACAO_RDM!$I$6:$I$71,$J1183)))</f>
        <v>0</v>
      </c>
      <c r="O1183" s="19" t="n">
        <f aca="false">IF($J1183=0,0,MIN(1,$N1183/MAX(1,INDEX(ROTACAO_RDM!$K$6:$K$71,$J1183))))</f>
        <v>0</v>
      </c>
      <c r="P1183" s="16" t="n">
        <f aca="false">IF($J1183=0,0,IFERROR(MATCH(INDEX(ROTACAO_RDM!$N$6:$N$71,$J1183),PARAMETROS_CULTURAS!$B$6:$B$28,0),0))</f>
        <v>0</v>
      </c>
      <c r="Q1183" s="8" t="str">
        <f aca="false">IF($P1183=0,"-",IF($O1183&lt;=INDEX(PARAMETROS_CULTURAS!$F$6:$F$28,$P1183),"INICIAL",IF($O1183&lt;=INDEX(PARAMETROS_CULTURAS!$F$6:$F$28,$P1183)+INDEX(PARAMETROS_CULTURAS!$G$6:$G$28,$P1183),"DESENVOLVIMENTO",IF($O1183&lt;=INDEX(PARAMETROS_CULTURAS!$F$6:$F$28,$P1183)+INDEX(PARAMETROS_CULTURAS!$G$6:$G$28,$P1183)+INDEX(PARAMETROS_CULTURAS!$H$6:$H$28,$P1183),"MEDIA","FINAL"))))</f>
        <v>-</v>
      </c>
      <c r="R1183" s="24" t="n">
        <f aca="false">IF($P1183=0,0,IF($O1183&lt;=INDEX(PARAMETROS_CULTURAS!$F$6:$F$28,$P1183),INDEX(PARAMETROS_CULTURAS!$K$6:$K$28,$P1183),IF($O1183&lt;=INDEX(PARAMETROS_CULTURAS!$F$6:$F$28,$P1183)+INDEX(PARAMETROS_CULTURAS!$G$6:$G$28,$P1183),INDEX(PARAMETROS_CULTURAS!$K$6:$K$28,$P1183)+(INDEX(PARAMETROS_CULTURAS!$L$6:$L$28,$P1183)-INDEX(PARAMETROS_CULTURAS!$K$6:$K$28,$P1183))*($O1183-INDEX(PARAMETROS_CULTURAS!$F$6:$F$28,$P1183))/MAX(INDEX(PARAMETROS_CULTURAS!$G$6:$G$28,$P1183),0.0001),IF($O1183&lt;=INDEX(PARAMETROS_CULTURAS!$F$6:$F$28,$P1183)+INDEX(PARAMETROS_CULTURAS!$G$6:$G$28,$P1183)+INDEX(PARAMETROS_CULTURAS!$H$6:$H$28,$P1183),INDEX(PARAMETROS_CULTURAS!$L$6:$L$28,$P1183),INDEX(PARAMETROS_CULTURAS!$L$6:$L$28,$P1183)+(INDEX(PARAMETROS_CULTURAS!$M$6:$M$28,$P1183)-INDEX(PARAMETROS_CULTURAS!$L$6:$L$28,$P1183))*($O1183-INDEX(PARAMETROS_CULTURAS!$F$6:$F$28,$P1183)-INDEX(PARAMETROS_CULTURAS!$G$6:$G$28,$P1183)-INDEX(PARAMETROS_CULTURAS!$H$6:$H$28,$P1183))/MAX(INDEX(PARAMETROS_CULTURAS!$I$6:$I$28,$P1183),0.0001)))))</f>
        <v>0</v>
      </c>
      <c r="S1183" s="18" t="n">
        <f aca="false">IFERROR(INDEX(SEMANAS!$H$6:$H$71,MATCH($B1183,SEMANAS!$B$6:$B$71,0)),0)</f>
        <v>40.6</v>
      </c>
      <c r="T1183" s="18" t="n">
        <f aca="false">$R1183*$S1183</f>
        <v>0</v>
      </c>
      <c r="U1183" s="18" t="n">
        <f aca="false">IFERROR(INDEX(SEMANAS!$I$6:$I$71,MATCH($B1183,SEMANAS!$B$6:$B$71,0)),0)</f>
        <v>7</v>
      </c>
      <c r="V1183" s="18" t="n">
        <f aca="false">IFERROR(INDEX(SEMANAS!$J$6:$J$71,MATCH($B1183,SEMANAS!$B$6:$B$71,0)),0)</f>
        <v>5.6</v>
      </c>
      <c r="W1183" s="18" t="n">
        <f aca="false">MAX(0,$T1183-$V1183)</f>
        <v>0</v>
      </c>
      <c r="X1183" s="19" t="n">
        <f aca="false">IFERROR(INDEX(CADASTRO_PIVOS!$K$6:$K$41,MATCH($E1183,CADASTRO_PIVOS!$B$6:$B$41,0)),EFICIENCIA_PADRAO)</f>
        <v>0.85</v>
      </c>
      <c r="Y1183" s="18" t="n">
        <f aca="false">IF($X1183&lt;=0,0,$W1183/$X1183)</f>
        <v>0</v>
      </c>
      <c r="Z1183" s="16" t="n">
        <f aca="false">$Y1183*$H1183*MM_PARA_M3_HA</f>
        <v>0</v>
      </c>
      <c r="AA1183" s="18" t="n">
        <f aca="false">IFERROR(INDEX(CADASTRO_PIVOS!$I$6:$I$41,MATCH($E1183,CADASTRO_PIVOS!$B$6:$B$41,0)),0)</f>
        <v>1071</v>
      </c>
      <c r="AB1183" s="18" t="n">
        <f aca="false">IF($Z1183&lt;=0,0,$Z1183/$AA1183)</f>
        <v>0</v>
      </c>
      <c r="AC1183" s="16" t="n">
        <f aca="false">IFERROR(INDEX(SEMANAS!$K$6:$K$71,MATCH($B1183,SEMANAS!$B$6:$B$71,0)),0)</f>
        <v>147</v>
      </c>
      <c r="AD1183" s="19" t="n">
        <f aca="false">IF($AC1183&lt;=0,0,$AB1183/$AC1183)</f>
        <v>0</v>
      </c>
      <c r="AE1183" s="8" t="str">
        <f aca="false">IF($K1183="SEM CULTURA","SEM CULTURA",IF($AA1183&lt;=0,"DADO PENDENTE",IF($AD1183&gt;LIMITE_CRITICO,"INVIAVEL",IF($AD1183&gt;LIMITE_ATENCAO,"CRITICO",IF($AD1183&gt;LIMITE_CONFORTAVEL,"ATENCAO","OK")))))</f>
        <v>SEM CULTURA</v>
      </c>
      <c r="AF1183" s="8" t="str">
        <f aca="false">$B1183&amp;"|"&amp;TEXT($AD1183,"0.000000")</f>
        <v>56|0.000000</v>
      </c>
      <c r="AG1183" s="18" t="n">
        <f aca="false">IF($K1183="SEM CULTURA",0,$T1183*$H1183)</f>
        <v>0</v>
      </c>
      <c r="AH1183" s="18" t="n">
        <f aca="false">IF($K1183="SEM CULTURA",0,$V1183*$H1183)</f>
        <v>0</v>
      </c>
      <c r="AI1183" s="18" t="n">
        <f aca="false">IF($K1183="SEM CULTURA",0,$W1183*$H1183)</f>
        <v>0</v>
      </c>
      <c r="AJ1183" s="18" t="n">
        <f aca="false">IF($K1183="SEM CULTURA",0,$S1183*$H1183)</f>
        <v>0</v>
      </c>
      <c r="AK1183" s="8" t="str">
        <f aca="false">$E1183&amp;"|"&amp;TEXT($AD1183,"0.000000")</f>
        <v>PV 117|0.000000</v>
      </c>
    </row>
    <row r="1184" customFormat="false" ht="15" hidden="false" customHeight="false" outlineLevel="0" collapsed="false">
      <c r="B1184" s="16" t="n">
        <v>57</v>
      </c>
      <c r="C1184" s="17" t="n">
        <f aca="false">DATA_INICIO_SAFRA+($B1184-1)*DIAS_POR_SEMANA</f>
        <v>46657</v>
      </c>
      <c r="D1184" s="17" t="n">
        <f aca="false">$C1184+DIAS_POR_SEMANA-1</f>
        <v>46663</v>
      </c>
      <c r="E1184" s="15" t="s">
        <v>276</v>
      </c>
      <c r="F1184" s="8" t="str">
        <f aca="false">IFERROR(INDEX(CADASTRO_PIVOS!$C$6:$C$41,MATCH($E1184,CADASTRO_PIVOS!$B$6:$B$41,0)),"?")</f>
        <v>RM06</v>
      </c>
      <c r="G1184" s="8" t="str">
        <f aca="false">IFERROR(INDEX(CADASTRO_PIVOS!$D$6:$D$41,MATCH($E1184,CADASTRO_PIVOS!$B$6:$B$41,0)),"?")</f>
        <v>TR06</v>
      </c>
      <c r="H1184" s="20" t="n">
        <f aca="false">IFERROR(INDEX(CADASTRO_PIVOS!$E$6:$E$41,MATCH($E1184,CADASTRO_PIVOS!$B$6:$B$41,0)),0)</f>
        <v>149.94</v>
      </c>
      <c r="I1184" s="16" t="n">
        <f aca="false">IFERROR(SUMIFS(ROTACAO_RDM!$B$6:$B$71,ROTACAO_RDM!$D$6:$D$71,$E1184,ROTACAO_RDM!$I$6:$I$71,"&lt;="&amp;$C1184+INT(DIAS_POR_SEMANA/2),ROTACAO_RDM!$J$6:$J$71,"&gt;="&amp;$C1184+INT(DIAS_POR_SEMANA/2)),0)</f>
        <v>0</v>
      </c>
      <c r="J1184" s="16" t="n">
        <f aca="false">IFERROR(MATCH($I1184,ROTACAO_RDM!$B$6:$B$71,0),0)</f>
        <v>0</v>
      </c>
      <c r="K1184" s="8" t="str">
        <f aca="false">IF($J1184=0,"SEM CULTURA",INDEX(ROTACAO_RDM!$F$6:$F$71,$J1184))</f>
        <v>SEM CULTURA</v>
      </c>
      <c r="L1184" s="8" t="str">
        <f aca="false">IF($J1184=0,"",INDEX(ROTACAO_RDM!$G$6:$G$71,$J1184))</f>
        <v/>
      </c>
      <c r="M1184" s="17" t="str">
        <f aca="false">IF($J1184=0,"",INDEX(ROTACAO_RDM!$I$6:$I$71,$J1184))</f>
        <v/>
      </c>
      <c r="N1184" s="16" t="n">
        <f aca="false">IF($J1184=0,0,MAX(0,$C1184+INT(DIAS_POR_SEMANA/2)-INDEX(ROTACAO_RDM!$I$6:$I$71,$J1184)))</f>
        <v>0</v>
      </c>
      <c r="O1184" s="19" t="n">
        <f aca="false">IF($J1184=0,0,MIN(1,$N1184/MAX(1,INDEX(ROTACAO_RDM!$K$6:$K$71,$J1184))))</f>
        <v>0</v>
      </c>
      <c r="P1184" s="16" t="n">
        <f aca="false">IF($J1184=0,0,IFERROR(MATCH(INDEX(ROTACAO_RDM!$N$6:$N$71,$J1184),PARAMETROS_CULTURAS!$B$6:$B$28,0),0))</f>
        <v>0</v>
      </c>
      <c r="Q1184" s="8" t="str">
        <f aca="false">IF($P1184=0,"-",IF($O1184&lt;=INDEX(PARAMETROS_CULTURAS!$F$6:$F$28,$P1184),"INICIAL",IF($O1184&lt;=INDEX(PARAMETROS_CULTURAS!$F$6:$F$28,$P1184)+INDEX(PARAMETROS_CULTURAS!$G$6:$G$28,$P1184),"DESENVOLVIMENTO",IF($O1184&lt;=INDEX(PARAMETROS_CULTURAS!$F$6:$F$28,$P1184)+INDEX(PARAMETROS_CULTURAS!$G$6:$G$28,$P1184)+INDEX(PARAMETROS_CULTURAS!$H$6:$H$28,$P1184),"MEDIA","FINAL"))))</f>
        <v>-</v>
      </c>
      <c r="R1184" s="24" t="n">
        <f aca="false">IF($P1184=0,0,IF($O1184&lt;=INDEX(PARAMETROS_CULTURAS!$F$6:$F$28,$P1184),INDEX(PARAMETROS_CULTURAS!$K$6:$K$28,$P1184),IF($O1184&lt;=INDEX(PARAMETROS_CULTURAS!$F$6:$F$28,$P1184)+INDEX(PARAMETROS_CULTURAS!$G$6:$G$28,$P1184),INDEX(PARAMETROS_CULTURAS!$K$6:$K$28,$P1184)+(INDEX(PARAMETROS_CULTURAS!$L$6:$L$28,$P1184)-INDEX(PARAMETROS_CULTURAS!$K$6:$K$28,$P1184))*($O1184-INDEX(PARAMETROS_CULTURAS!$F$6:$F$28,$P1184))/MAX(INDEX(PARAMETROS_CULTURAS!$G$6:$G$28,$P1184),0.0001),IF($O1184&lt;=INDEX(PARAMETROS_CULTURAS!$F$6:$F$28,$P1184)+INDEX(PARAMETROS_CULTURAS!$G$6:$G$28,$P1184)+INDEX(PARAMETROS_CULTURAS!$H$6:$H$28,$P1184),INDEX(PARAMETROS_CULTURAS!$L$6:$L$28,$P1184),INDEX(PARAMETROS_CULTURAS!$L$6:$L$28,$P1184)+(INDEX(PARAMETROS_CULTURAS!$M$6:$M$28,$P1184)-INDEX(PARAMETROS_CULTURAS!$L$6:$L$28,$P1184))*($O1184-INDEX(PARAMETROS_CULTURAS!$F$6:$F$28,$P1184)-INDEX(PARAMETROS_CULTURAS!$G$6:$G$28,$P1184)-INDEX(PARAMETROS_CULTURAS!$H$6:$H$28,$P1184))/MAX(INDEX(PARAMETROS_CULTURAS!$I$6:$I$28,$P1184),0.0001)))))</f>
        <v>0</v>
      </c>
      <c r="S1184" s="18" t="n">
        <f aca="false">IFERROR(INDEX(SEMANAS!$H$6:$H$71,MATCH($B1184,SEMANAS!$B$6:$B$71,0)),0)</f>
        <v>40</v>
      </c>
      <c r="T1184" s="18" t="n">
        <f aca="false">$R1184*$S1184</f>
        <v>0</v>
      </c>
      <c r="U1184" s="18" t="n">
        <f aca="false">IFERROR(INDEX(SEMANAS!$I$6:$I$71,MATCH($B1184,SEMANAS!$B$6:$B$71,0)),0)</f>
        <v>15.61</v>
      </c>
      <c r="V1184" s="18" t="n">
        <f aca="false">IFERROR(INDEX(SEMANAS!$J$6:$J$71,MATCH($B1184,SEMANAS!$B$6:$B$71,0)),0)</f>
        <v>12.488</v>
      </c>
      <c r="W1184" s="18" t="n">
        <f aca="false">MAX(0,$T1184-$V1184)</f>
        <v>0</v>
      </c>
      <c r="X1184" s="19" t="n">
        <f aca="false">IFERROR(INDEX(CADASTRO_PIVOS!$K$6:$K$41,MATCH($E1184,CADASTRO_PIVOS!$B$6:$B$41,0)),EFICIENCIA_PADRAO)</f>
        <v>0.85</v>
      </c>
      <c r="Y1184" s="18" t="n">
        <f aca="false">IF($X1184&lt;=0,0,$W1184/$X1184)</f>
        <v>0</v>
      </c>
      <c r="Z1184" s="16" t="n">
        <f aca="false">$Y1184*$H1184*MM_PARA_M3_HA</f>
        <v>0</v>
      </c>
      <c r="AA1184" s="18" t="n">
        <f aca="false">IFERROR(INDEX(CADASTRO_PIVOS!$I$6:$I$41,MATCH($E1184,CADASTRO_PIVOS!$B$6:$B$41,0)),0)</f>
        <v>1071</v>
      </c>
      <c r="AB1184" s="18" t="n">
        <f aca="false">IF($Z1184&lt;=0,0,$Z1184/$AA1184)</f>
        <v>0</v>
      </c>
      <c r="AC1184" s="16" t="n">
        <f aca="false">IFERROR(INDEX(SEMANAS!$K$6:$K$71,MATCH($B1184,SEMANAS!$B$6:$B$71,0)),0)</f>
        <v>147</v>
      </c>
      <c r="AD1184" s="19" t="n">
        <f aca="false">IF($AC1184&lt;=0,0,$AB1184/$AC1184)</f>
        <v>0</v>
      </c>
      <c r="AE1184" s="8" t="str">
        <f aca="false">IF($K1184="SEM CULTURA","SEM CULTURA",IF($AA1184&lt;=0,"DADO PENDENTE",IF($AD1184&gt;LIMITE_CRITICO,"INVIAVEL",IF($AD1184&gt;LIMITE_ATENCAO,"CRITICO",IF($AD1184&gt;LIMITE_CONFORTAVEL,"ATENCAO","OK")))))</f>
        <v>SEM CULTURA</v>
      </c>
      <c r="AF1184" s="8" t="str">
        <f aca="false">$B1184&amp;"|"&amp;TEXT($AD1184,"0.000000")</f>
        <v>57|0.000000</v>
      </c>
      <c r="AG1184" s="18" t="n">
        <f aca="false">IF($K1184="SEM CULTURA",0,$T1184*$H1184)</f>
        <v>0</v>
      </c>
      <c r="AH1184" s="18" t="n">
        <f aca="false">IF($K1184="SEM CULTURA",0,$V1184*$H1184)</f>
        <v>0</v>
      </c>
      <c r="AI1184" s="18" t="n">
        <f aca="false">IF($K1184="SEM CULTURA",0,$W1184*$H1184)</f>
        <v>0</v>
      </c>
      <c r="AJ1184" s="18" t="n">
        <f aca="false">IF($K1184="SEM CULTURA",0,$S1184*$H1184)</f>
        <v>0</v>
      </c>
      <c r="AK1184" s="8" t="str">
        <f aca="false">$E1184&amp;"|"&amp;TEXT($AD1184,"0.000000")</f>
        <v>PV 117|0.000000</v>
      </c>
    </row>
    <row r="1185" customFormat="false" ht="15" hidden="false" customHeight="false" outlineLevel="0" collapsed="false">
      <c r="B1185" s="16" t="n">
        <v>58</v>
      </c>
      <c r="C1185" s="17" t="n">
        <f aca="false">DATA_INICIO_SAFRA+($B1185-1)*DIAS_POR_SEMANA</f>
        <v>46664</v>
      </c>
      <c r="D1185" s="17" t="n">
        <f aca="false">$C1185+DIAS_POR_SEMANA-1</f>
        <v>46670</v>
      </c>
      <c r="E1185" s="15" t="s">
        <v>276</v>
      </c>
      <c r="F1185" s="8" t="str">
        <f aca="false">IFERROR(INDEX(CADASTRO_PIVOS!$C$6:$C$41,MATCH($E1185,CADASTRO_PIVOS!$B$6:$B$41,0)),"?")</f>
        <v>RM06</v>
      </c>
      <c r="G1185" s="8" t="str">
        <f aca="false">IFERROR(INDEX(CADASTRO_PIVOS!$D$6:$D$41,MATCH($E1185,CADASTRO_PIVOS!$B$6:$B$41,0)),"?")</f>
        <v>TR06</v>
      </c>
      <c r="H1185" s="20" t="n">
        <f aca="false">IFERROR(INDEX(CADASTRO_PIVOS!$E$6:$E$41,MATCH($E1185,CADASTRO_PIVOS!$B$6:$B$41,0)),0)</f>
        <v>149.94</v>
      </c>
      <c r="I1185" s="16" t="n">
        <f aca="false">IFERROR(SUMIFS(ROTACAO_RDM!$B$6:$B$71,ROTACAO_RDM!$D$6:$D$71,$E1185,ROTACAO_RDM!$I$6:$I$71,"&lt;="&amp;$C1185+INT(DIAS_POR_SEMANA/2),ROTACAO_RDM!$J$6:$J$71,"&gt;="&amp;$C1185+INT(DIAS_POR_SEMANA/2)),0)</f>
        <v>0</v>
      </c>
      <c r="J1185" s="16" t="n">
        <f aca="false">IFERROR(MATCH($I1185,ROTACAO_RDM!$B$6:$B$71,0),0)</f>
        <v>0</v>
      </c>
      <c r="K1185" s="8" t="str">
        <f aca="false">IF($J1185=0,"SEM CULTURA",INDEX(ROTACAO_RDM!$F$6:$F$71,$J1185))</f>
        <v>SEM CULTURA</v>
      </c>
      <c r="L1185" s="8" t="str">
        <f aca="false">IF($J1185=0,"",INDEX(ROTACAO_RDM!$G$6:$G$71,$J1185))</f>
        <v/>
      </c>
      <c r="M1185" s="17" t="str">
        <f aca="false">IF($J1185=0,"",INDEX(ROTACAO_RDM!$I$6:$I$71,$J1185))</f>
        <v/>
      </c>
      <c r="N1185" s="16" t="n">
        <f aca="false">IF($J1185=0,0,MAX(0,$C1185+INT(DIAS_POR_SEMANA/2)-INDEX(ROTACAO_RDM!$I$6:$I$71,$J1185)))</f>
        <v>0</v>
      </c>
      <c r="O1185" s="19" t="n">
        <f aca="false">IF($J1185=0,0,MIN(1,$N1185/MAX(1,INDEX(ROTACAO_RDM!$K$6:$K$71,$J1185))))</f>
        <v>0</v>
      </c>
      <c r="P1185" s="16" t="n">
        <f aca="false">IF($J1185=0,0,IFERROR(MATCH(INDEX(ROTACAO_RDM!$N$6:$N$71,$J1185),PARAMETROS_CULTURAS!$B$6:$B$28,0),0))</f>
        <v>0</v>
      </c>
      <c r="Q1185" s="8" t="str">
        <f aca="false">IF($P1185=0,"-",IF($O1185&lt;=INDEX(PARAMETROS_CULTURAS!$F$6:$F$28,$P1185),"INICIAL",IF($O1185&lt;=INDEX(PARAMETROS_CULTURAS!$F$6:$F$28,$P1185)+INDEX(PARAMETROS_CULTURAS!$G$6:$G$28,$P1185),"DESENVOLVIMENTO",IF($O1185&lt;=INDEX(PARAMETROS_CULTURAS!$F$6:$F$28,$P1185)+INDEX(PARAMETROS_CULTURAS!$G$6:$G$28,$P1185)+INDEX(PARAMETROS_CULTURAS!$H$6:$H$28,$P1185),"MEDIA","FINAL"))))</f>
        <v>-</v>
      </c>
      <c r="R1185" s="24" t="n">
        <f aca="false">IF($P1185=0,0,IF($O1185&lt;=INDEX(PARAMETROS_CULTURAS!$F$6:$F$28,$P1185),INDEX(PARAMETROS_CULTURAS!$K$6:$K$28,$P1185),IF($O1185&lt;=INDEX(PARAMETROS_CULTURAS!$F$6:$F$28,$P1185)+INDEX(PARAMETROS_CULTURAS!$G$6:$G$28,$P1185),INDEX(PARAMETROS_CULTURAS!$K$6:$K$28,$P1185)+(INDEX(PARAMETROS_CULTURAS!$L$6:$L$28,$P1185)-INDEX(PARAMETROS_CULTURAS!$K$6:$K$28,$P1185))*($O1185-INDEX(PARAMETROS_CULTURAS!$F$6:$F$28,$P1185))/MAX(INDEX(PARAMETROS_CULTURAS!$G$6:$G$28,$P1185),0.0001),IF($O1185&lt;=INDEX(PARAMETROS_CULTURAS!$F$6:$F$28,$P1185)+INDEX(PARAMETROS_CULTURAS!$G$6:$G$28,$P1185)+INDEX(PARAMETROS_CULTURAS!$H$6:$H$28,$P1185),INDEX(PARAMETROS_CULTURAS!$L$6:$L$28,$P1185),INDEX(PARAMETROS_CULTURAS!$L$6:$L$28,$P1185)+(INDEX(PARAMETROS_CULTURAS!$M$6:$M$28,$P1185)-INDEX(PARAMETROS_CULTURAS!$L$6:$L$28,$P1185))*($O1185-INDEX(PARAMETROS_CULTURAS!$F$6:$F$28,$P1185)-INDEX(PARAMETROS_CULTURAS!$G$6:$G$28,$P1185)-INDEX(PARAMETROS_CULTURAS!$H$6:$H$28,$P1185))/MAX(INDEX(PARAMETROS_CULTURAS!$I$6:$I$28,$P1185),0.0001)))))</f>
        <v>0</v>
      </c>
      <c r="S1185" s="18" t="n">
        <f aca="false">IFERROR(INDEX(SEMANAS!$H$6:$H$71,MATCH($B1185,SEMANAS!$B$6:$B$71,0)),0)</f>
        <v>39.2</v>
      </c>
      <c r="T1185" s="18" t="n">
        <f aca="false">$R1185*$S1185</f>
        <v>0</v>
      </c>
      <c r="U1185" s="18" t="n">
        <f aca="false">IFERROR(INDEX(SEMANAS!$I$6:$I$71,MATCH($B1185,SEMANAS!$B$6:$B$71,0)),0)</f>
        <v>27.09</v>
      </c>
      <c r="V1185" s="18" t="n">
        <f aca="false">IFERROR(INDEX(SEMANAS!$J$6:$J$71,MATCH($B1185,SEMANAS!$B$6:$B$71,0)),0)</f>
        <v>21.672</v>
      </c>
      <c r="W1185" s="18" t="n">
        <f aca="false">MAX(0,$T1185-$V1185)</f>
        <v>0</v>
      </c>
      <c r="X1185" s="19" t="n">
        <f aca="false">IFERROR(INDEX(CADASTRO_PIVOS!$K$6:$K$41,MATCH($E1185,CADASTRO_PIVOS!$B$6:$B$41,0)),EFICIENCIA_PADRAO)</f>
        <v>0.85</v>
      </c>
      <c r="Y1185" s="18" t="n">
        <f aca="false">IF($X1185&lt;=0,0,$W1185/$X1185)</f>
        <v>0</v>
      </c>
      <c r="Z1185" s="16" t="n">
        <f aca="false">$Y1185*$H1185*MM_PARA_M3_HA</f>
        <v>0</v>
      </c>
      <c r="AA1185" s="18" t="n">
        <f aca="false">IFERROR(INDEX(CADASTRO_PIVOS!$I$6:$I$41,MATCH($E1185,CADASTRO_PIVOS!$B$6:$B$41,0)),0)</f>
        <v>1071</v>
      </c>
      <c r="AB1185" s="18" t="n">
        <f aca="false">IF($Z1185&lt;=0,0,$Z1185/$AA1185)</f>
        <v>0</v>
      </c>
      <c r="AC1185" s="16" t="n">
        <f aca="false">IFERROR(INDEX(SEMANAS!$K$6:$K$71,MATCH($B1185,SEMANAS!$B$6:$B$71,0)),0)</f>
        <v>147</v>
      </c>
      <c r="AD1185" s="19" t="n">
        <f aca="false">IF($AC1185&lt;=0,0,$AB1185/$AC1185)</f>
        <v>0</v>
      </c>
      <c r="AE1185" s="8" t="str">
        <f aca="false">IF($K1185="SEM CULTURA","SEM CULTURA",IF($AA1185&lt;=0,"DADO PENDENTE",IF($AD1185&gt;LIMITE_CRITICO,"INVIAVEL",IF($AD1185&gt;LIMITE_ATENCAO,"CRITICO",IF($AD1185&gt;LIMITE_CONFORTAVEL,"ATENCAO","OK")))))</f>
        <v>SEM CULTURA</v>
      </c>
      <c r="AF1185" s="8" t="str">
        <f aca="false">$B1185&amp;"|"&amp;TEXT($AD1185,"0.000000")</f>
        <v>58|0.000000</v>
      </c>
      <c r="AG1185" s="18" t="n">
        <f aca="false">IF($K1185="SEM CULTURA",0,$T1185*$H1185)</f>
        <v>0</v>
      </c>
      <c r="AH1185" s="18" t="n">
        <f aca="false">IF($K1185="SEM CULTURA",0,$V1185*$H1185)</f>
        <v>0</v>
      </c>
      <c r="AI1185" s="18" t="n">
        <f aca="false">IF($K1185="SEM CULTURA",0,$W1185*$H1185)</f>
        <v>0</v>
      </c>
      <c r="AJ1185" s="18" t="n">
        <f aca="false">IF($K1185="SEM CULTURA",0,$S1185*$H1185)</f>
        <v>0</v>
      </c>
      <c r="AK1185" s="8" t="str">
        <f aca="false">$E1185&amp;"|"&amp;TEXT($AD1185,"0.000000")</f>
        <v>PV 117|0.000000</v>
      </c>
    </row>
    <row r="1186" customFormat="false" ht="15" hidden="false" customHeight="false" outlineLevel="0" collapsed="false">
      <c r="B1186" s="16" t="n">
        <v>59</v>
      </c>
      <c r="C1186" s="17" t="n">
        <f aca="false">DATA_INICIO_SAFRA+($B1186-1)*DIAS_POR_SEMANA</f>
        <v>46671</v>
      </c>
      <c r="D1186" s="17" t="n">
        <f aca="false">$C1186+DIAS_POR_SEMANA-1</f>
        <v>46677</v>
      </c>
      <c r="E1186" s="15" t="s">
        <v>276</v>
      </c>
      <c r="F1186" s="8" t="str">
        <f aca="false">IFERROR(INDEX(CADASTRO_PIVOS!$C$6:$C$41,MATCH($E1186,CADASTRO_PIVOS!$B$6:$B$41,0)),"?")</f>
        <v>RM06</v>
      </c>
      <c r="G1186" s="8" t="str">
        <f aca="false">IFERROR(INDEX(CADASTRO_PIVOS!$D$6:$D$41,MATCH($E1186,CADASTRO_PIVOS!$B$6:$B$41,0)),"?")</f>
        <v>TR06</v>
      </c>
      <c r="H1186" s="20" t="n">
        <f aca="false">IFERROR(INDEX(CADASTRO_PIVOS!$E$6:$E$41,MATCH($E1186,CADASTRO_PIVOS!$B$6:$B$41,0)),0)</f>
        <v>149.94</v>
      </c>
      <c r="I1186" s="16" t="n">
        <f aca="false">IFERROR(SUMIFS(ROTACAO_RDM!$B$6:$B$71,ROTACAO_RDM!$D$6:$D$71,$E1186,ROTACAO_RDM!$I$6:$I$71,"&lt;="&amp;$C1186+INT(DIAS_POR_SEMANA/2),ROTACAO_RDM!$J$6:$J$71,"&gt;="&amp;$C1186+INT(DIAS_POR_SEMANA/2)),0)</f>
        <v>0</v>
      </c>
      <c r="J1186" s="16" t="n">
        <f aca="false">IFERROR(MATCH($I1186,ROTACAO_RDM!$B$6:$B$71,0),0)</f>
        <v>0</v>
      </c>
      <c r="K1186" s="8" t="str">
        <f aca="false">IF($J1186=0,"SEM CULTURA",INDEX(ROTACAO_RDM!$F$6:$F$71,$J1186))</f>
        <v>SEM CULTURA</v>
      </c>
      <c r="L1186" s="8" t="str">
        <f aca="false">IF($J1186=0,"",INDEX(ROTACAO_RDM!$G$6:$G$71,$J1186))</f>
        <v/>
      </c>
      <c r="M1186" s="17" t="str">
        <f aca="false">IF($J1186=0,"",INDEX(ROTACAO_RDM!$I$6:$I$71,$J1186))</f>
        <v/>
      </c>
      <c r="N1186" s="16" t="n">
        <f aca="false">IF($J1186=0,0,MAX(0,$C1186+INT(DIAS_POR_SEMANA/2)-INDEX(ROTACAO_RDM!$I$6:$I$71,$J1186)))</f>
        <v>0</v>
      </c>
      <c r="O1186" s="19" t="n">
        <f aca="false">IF($J1186=0,0,MIN(1,$N1186/MAX(1,INDEX(ROTACAO_RDM!$K$6:$K$71,$J1186))))</f>
        <v>0</v>
      </c>
      <c r="P1186" s="16" t="n">
        <f aca="false">IF($J1186=0,0,IFERROR(MATCH(INDEX(ROTACAO_RDM!$N$6:$N$71,$J1186),PARAMETROS_CULTURAS!$B$6:$B$28,0),0))</f>
        <v>0</v>
      </c>
      <c r="Q1186" s="8" t="str">
        <f aca="false">IF($P1186=0,"-",IF($O1186&lt;=INDEX(PARAMETROS_CULTURAS!$F$6:$F$28,$P1186),"INICIAL",IF($O1186&lt;=INDEX(PARAMETROS_CULTURAS!$F$6:$F$28,$P1186)+INDEX(PARAMETROS_CULTURAS!$G$6:$G$28,$P1186),"DESENVOLVIMENTO",IF($O1186&lt;=INDEX(PARAMETROS_CULTURAS!$F$6:$F$28,$P1186)+INDEX(PARAMETROS_CULTURAS!$G$6:$G$28,$P1186)+INDEX(PARAMETROS_CULTURAS!$H$6:$H$28,$P1186),"MEDIA","FINAL"))))</f>
        <v>-</v>
      </c>
      <c r="R1186" s="24" t="n">
        <f aca="false">IF($P1186=0,0,IF($O1186&lt;=INDEX(PARAMETROS_CULTURAS!$F$6:$F$28,$P1186),INDEX(PARAMETROS_CULTURAS!$K$6:$K$28,$P1186),IF($O1186&lt;=INDEX(PARAMETROS_CULTURAS!$F$6:$F$28,$P1186)+INDEX(PARAMETROS_CULTURAS!$G$6:$G$28,$P1186),INDEX(PARAMETROS_CULTURAS!$K$6:$K$28,$P1186)+(INDEX(PARAMETROS_CULTURAS!$L$6:$L$28,$P1186)-INDEX(PARAMETROS_CULTURAS!$K$6:$K$28,$P1186))*($O1186-INDEX(PARAMETROS_CULTURAS!$F$6:$F$28,$P1186))/MAX(INDEX(PARAMETROS_CULTURAS!$G$6:$G$28,$P1186),0.0001),IF($O1186&lt;=INDEX(PARAMETROS_CULTURAS!$F$6:$F$28,$P1186)+INDEX(PARAMETROS_CULTURAS!$G$6:$G$28,$P1186)+INDEX(PARAMETROS_CULTURAS!$H$6:$H$28,$P1186),INDEX(PARAMETROS_CULTURAS!$L$6:$L$28,$P1186),INDEX(PARAMETROS_CULTURAS!$L$6:$L$28,$P1186)+(INDEX(PARAMETROS_CULTURAS!$M$6:$M$28,$P1186)-INDEX(PARAMETROS_CULTURAS!$L$6:$L$28,$P1186))*($O1186-INDEX(PARAMETROS_CULTURAS!$F$6:$F$28,$P1186)-INDEX(PARAMETROS_CULTURAS!$G$6:$G$28,$P1186)-INDEX(PARAMETROS_CULTURAS!$H$6:$H$28,$P1186))/MAX(INDEX(PARAMETROS_CULTURAS!$I$6:$I$28,$P1186),0.0001)))))</f>
        <v>0</v>
      </c>
      <c r="S1186" s="18" t="n">
        <f aca="false">IFERROR(INDEX(SEMANAS!$H$6:$H$71,MATCH($B1186,SEMANAS!$B$6:$B$71,0)),0)</f>
        <v>39.2</v>
      </c>
      <c r="T1186" s="18" t="n">
        <f aca="false">$R1186*$S1186</f>
        <v>0</v>
      </c>
      <c r="U1186" s="18" t="n">
        <f aca="false">IFERROR(INDEX(SEMANAS!$I$6:$I$71,MATCH($B1186,SEMANAS!$B$6:$B$71,0)),0)</f>
        <v>27.09</v>
      </c>
      <c r="V1186" s="18" t="n">
        <f aca="false">IFERROR(INDEX(SEMANAS!$J$6:$J$71,MATCH($B1186,SEMANAS!$B$6:$B$71,0)),0)</f>
        <v>21.672</v>
      </c>
      <c r="W1186" s="18" t="n">
        <f aca="false">MAX(0,$T1186-$V1186)</f>
        <v>0</v>
      </c>
      <c r="X1186" s="19" t="n">
        <f aca="false">IFERROR(INDEX(CADASTRO_PIVOS!$K$6:$K$41,MATCH($E1186,CADASTRO_PIVOS!$B$6:$B$41,0)),EFICIENCIA_PADRAO)</f>
        <v>0.85</v>
      </c>
      <c r="Y1186" s="18" t="n">
        <f aca="false">IF($X1186&lt;=0,0,$W1186/$X1186)</f>
        <v>0</v>
      </c>
      <c r="Z1186" s="16" t="n">
        <f aca="false">$Y1186*$H1186*MM_PARA_M3_HA</f>
        <v>0</v>
      </c>
      <c r="AA1186" s="18" t="n">
        <f aca="false">IFERROR(INDEX(CADASTRO_PIVOS!$I$6:$I$41,MATCH($E1186,CADASTRO_PIVOS!$B$6:$B$41,0)),0)</f>
        <v>1071</v>
      </c>
      <c r="AB1186" s="18" t="n">
        <f aca="false">IF($Z1186&lt;=0,0,$Z1186/$AA1186)</f>
        <v>0</v>
      </c>
      <c r="AC1186" s="16" t="n">
        <f aca="false">IFERROR(INDEX(SEMANAS!$K$6:$K$71,MATCH($B1186,SEMANAS!$B$6:$B$71,0)),0)</f>
        <v>147</v>
      </c>
      <c r="AD1186" s="19" t="n">
        <f aca="false">IF($AC1186&lt;=0,0,$AB1186/$AC1186)</f>
        <v>0</v>
      </c>
      <c r="AE1186" s="8" t="str">
        <f aca="false">IF($K1186="SEM CULTURA","SEM CULTURA",IF($AA1186&lt;=0,"DADO PENDENTE",IF($AD1186&gt;LIMITE_CRITICO,"INVIAVEL",IF($AD1186&gt;LIMITE_ATENCAO,"CRITICO",IF($AD1186&gt;LIMITE_CONFORTAVEL,"ATENCAO","OK")))))</f>
        <v>SEM CULTURA</v>
      </c>
      <c r="AF1186" s="8" t="str">
        <f aca="false">$B1186&amp;"|"&amp;TEXT($AD1186,"0.000000")</f>
        <v>59|0.000000</v>
      </c>
      <c r="AG1186" s="18" t="n">
        <f aca="false">IF($K1186="SEM CULTURA",0,$T1186*$H1186)</f>
        <v>0</v>
      </c>
      <c r="AH1186" s="18" t="n">
        <f aca="false">IF($K1186="SEM CULTURA",0,$V1186*$H1186)</f>
        <v>0</v>
      </c>
      <c r="AI1186" s="18" t="n">
        <f aca="false">IF($K1186="SEM CULTURA",0,$W1186*$H1186)</f>
        <v>0</v>
      </c>
      <c r="AJ1186" s="18" t="n">
        <f aca="false">IF($K1186="SEM CULTURA",0,$S1186*$H1186)</f>
        <v>0</v>
      </c>
      <c r="AK1186" s="8" t="str">
        <f aca="false">$E1186&amp;"|"&amp;TEXT($AD1186,"0.000000")</f>
        <v>PV 117|0.000000</v>
      </c>
    </row>
    <row r="1187" customFormat="false" ht="15" hidden="false" customHeight="false" outlineLevel="0" collapsed="false">
      <c r="B1187" s="16" t="n">
        <v>60</v>
      </c>
      <c r="C1187" s="17" t="n">
        <f aca="false">DATA_INICIO_SAFRA+($B1187-1)*DIAS_POR_SEMANA</f>
        <v>46678</v>
      </c>
      <c r="D1187" s="17" t="n">
        <f aca="false">$C1187+DIAS_POR_SEMANA-1</f>
        <v>46684</v>
      </c>
      <c r="E1187" s="15" t="s">
        <v>276</v>
      </c>
      <c r="F1187" s="8" t="str">
        <f aca="false">IFERROR(INDEX(CADASTRO_PIVOS!$C$6:$C$41,MATCH($E1187,CADASTRO_PIVOS!$B$6:$B$41,0)),"?")</f>
        <v>RM06</v>
      </c>
      <c r="G1187" s="8" t="str">
        <f aca="false">IFERROR(INDEX(CADASTRO_PIVOS!$D$6:$D$41,MATCH($E1187,CADASTRO_PIVOS!$B$6:$B$41,0)),"?")</f>
        <v>TR06</v>
      </c>
      <c r="H1187" s="20" t="n">
        <f aca="false">IFERROR(INDEX(CADASTRO_PIVOS!$E$6:$E$41,MATCH($E1187,CADASTRO_PIVOS!$B$6:$B$41,0)),0)</f>
        <v>149.94</v>
      </c>
      <c r="I1187" s="16" t="n">
        <f aca="false">IFERROR(SUMIFS(ROTACAO_RDM!$B$6:$B$71,ROTACAO_RDM!$D$6:$D$71,$E1187,ROTACAO_RDM!$I$6:$I$71,"&lt;="&amp;$C1187+INT(DIAS_POR_SEMANA/2),ROTACAO_RDM!$J$6:$J$71,"&gt;="&amp;$C1187+INT(DIAS_POR_SEMANA/2)),0)</f>
        <v>0</v>
      </c>
      <c r="J1187" s="16" t="n">
        <f aca="false">IFERROR(MATCH($I1187,ROTACAO_RDM!$B$6:$B$71,0),0)</f>
        <v>0</v>
      </c>
      <c r="K1187" s="8" t="str">
        <f aca="false">IF($J1187=0,"SEM CULTURA",INDEX(ROTACAO_RDM!$F$6:$F$71,$J1187))</f>
        <v>SEM CULTURA</v>
      </c>
      <c r="L1187" s="8" t="str">
        <f aca="false">IF($J1187=0,"",INDEX(ROTACAO_RDM!$G$6:$G$71,$J1187))</f>
        <v/>
      </c>
      <c r="M1187" s="17" t="str">
        <f aca="false">IF($J1187=0,"",INDEX(ROTACAO_RDM!$I$6:$I$71,$J1187))</f>
        <v/>
      </c>
      <c r="N1187" s="16" t="n">
        <f aca="false">IF($J1187=0,0,MAX(0,$C1187+INT(DIAS_POR_SEMANA/2)-INDEX(ROTACAO_RDM!$I$6:$I$71,$J1187)))</f>
        <v>0</v>
      </c>
      <c r="O1187" s="19" t="n">
        <f aca="false">IF($J1187=0,0,MIN(1,$N1187/MAX(1,INDEX(ROTACAO_RDM!$K$6:$K$71,$J1187))))</f>
        <v>0</v>
      </c>
      <c r="P1187" s="16" t="n">
        <f aca="false">IF($J1187=0,0,IFERROR(MATCH(INDEX(ROTACAO_RDM!$N$6:$N$71,$J1187),PARAMETROS_CULTURAS!$B$6:$B$28,0),0))</f>
        <v>0</v>
      </c>
      <c r="Q1187" s="8" t="str">
        <f aca="false">IF($P1187=0,"-",IF($O1187&lt;=INDEX(PARAMETROS_CULTURAS!$F$6:$F$28,$P1187),"INICIAL",IF($O1187&lt;=INDEX(PARAMETROS_CULTURAS!$F$6:$F$28,$P1187)+INDEX(PARAMETROS_CULTURAS!$G$6:$G$28,$P1187),"DESENVOLVIMENTO",IF($O1187&lt;=INDEX(PARAMETROS_CULTURAS!$F$6:$F$28,$P1187)+INDEX(PARAMETROS_CULTURAS!$G$6:$G$28,$P1187)+INDEX(PARAMETROS_CULTURAS!$H$6:$H$28,$P1187),"MEDIA","FINAL"))))</f>
        <v>-</v>
      </c>
      <c r="R1187" s="24" t="n">
        <f aca="false">IF($P1187=0,0,IF($O1187&lt;=INDEX(PARAMETROS_CULTURAS!$F$6:$F$28,$P1187),INDEX(PARAMETROS_CULTURAS!$K$6:$K$28,$P1187),IF($O1187&lt;=INDEX(PARAMETROS_CULTURAS!$F$6:$F$28,$P1187)+INDEX(PARAMETROS_CULTURAS!$G$6:$G$28,$P1187),INDEX(PARAMETROS_CULTURAS!$K$6:$K$28,$P1187)+(INDEX(PARAMETROS_CULTURAS!$L$6:$L$28,$P1187)-INDEX(PARAMETROS_CULTURAS!$K$6:$K$28,$P1187))*($O1187-INDEX(PARAMETROS_CULTURAS!$F$6:$F$28,$P1187))/MAX(INDEX(PARAMETROS_CULTURAS!$G$6:$G$28,$P1187),0.0001),IF($O1187&lt;=INDEX(PARAMETROS_CULTURAS!$F$6:$F$28,$P1187)+INDEX(PARAMETROS_CULTURAS!$G$6:$G$28,$P1187)+INDEX(PARAMETROS_CULTURAS!$H$6:$H$28,$P1187),INDEX(PARAMETROS_CULTURAS!$L$6:$L$28,$P1187),INDEX(PARAMETROS_CULTURAS!$L$6:$L$28,$P1187)+(INDEX(PARAMETROS_CULTURAS!$M$6:$M$28,$P1187)-INDEX(PARAMETROS_CULTURAS!$L$6:$L$28,$P1187))*($O1187-INDEX(PARAMETROS_CULTURAS!$F$6:$F$28,$P1187)-INDEX(PARAMETROS_CULTURAS!$G$6:$G$28,$P1187)-INDEX(PARAMETROS_CULTURAS!$H$6:$H$28,$P1187))/MAX(INDEX(PARAMETROS_CULTURAS!$I$6:$I$28,$P1187),0.0001)))))</f>
        <v>0</v>
      </c>
      <c r="S1187" s="18" t="n">
        <f aca="false">IFERROR(INDEX(SEMANAS!$H$6:$H$71,MATCH($B1187,SEMANAS!$B$6:$B$71,0)),0)</f>
        <v>39.2</v>
      </c>
      <c r="T1187" s="18" t="n">
        <f aca="false">$R1187*$S1187</f>
        <v>0</v>
      </c>
      <c r="U1187" s="18" t="n">
        <f aca="false">IFERROR(INDEX(SEMANAS!$I$6:$I$71,MATCH($B1187,SEMANAS!$B$6:$B$71,0)),0)</f>
        <v>27.09</v>
      </c>
      <c r="V1187" s="18" t="n">
        <f aca="false">IFERROR(INDEX(SEMANAS!$J$6:$J$71,MATCH($B1187,SEMANAS!$B$6:$B$71,0)),0)</f>
        <v>21.672</v>
      </c>
      <c r="W1187" s="18" t="n">
        <f aca="false">MAX(0,$T1187-$V1187)</f>
        <v>0</v>
      </c>
      <c r="X1187" s="19" t="n">
        <f aca="false">IFERROR(INDEX(CADASTRO_PIVOS!$K$6:$K$41,MATCH($E1187,CADASTRO_PIVOS!$B$6:$B$41,0)),EFICIENCIA_PADRAO)</f>
        <v>0.85</v>
      </c>
      <c r="Y1187" s="18" t="n">
        <f aca="false">IF($X1187&lt;=0,0,$W1187/$X1187)</f>
        <v>0</v>
      </c>
      <c r="Z1187" s="16" t="n">
        <f aca="false">$Y1187*$H1187*MM_PARA_M3_HA</f>
        <v>0</v>
      </c>
      <c r="AA1187" s="18" t="n">
        <f aca="false">IFERROR(INDEX(CADASTRO_PIVOS!$I$6:$I$41,MATCH($E1187,CADASTRO_PIVOS!$B$6:$B$41,0)),0)</f>
        <v>1071</v>
      </c>
      <c r="AB1187" s="18" t="n">
        <f aca="false">IF($Z1187&lt;=0,0,$Z1187/$AA1187)</f>
        <v>0</v>
      </c>
      <c r="AC1187" s="16" t="n">
        <f aca="false">IFERROR(INDEX(SEMANAS!$K$6:$K$71,MATCH($B1187,SEMANAS!$B$6:$B$71,0)),0)</f>
        <v>147</v>
      </c>
      <c r="AD1187" s="19" t="n">
        <f aca="false">IF($AC1187&lt;=0,0,$AB1187/$AC1187)</f>
        <v>0</v>
      </c>
      <c r="AE1187" s="8" t="str">
        <f aca="false">IF($K1187="SEM CULTURA","SEM CULTURA",IF($AA1187&lt;=0,"DADO PENDENTE",IF($AD1187&gt;LIMITE_CRITICO,"INVIAVEL",IF($AD1187&gt;LIMITE_ATENCAO,"CRITICO",IF($AD1187&gt;LIMITE_CONFORTAVEL,"ATENCAO","OK")))))</f>
        <v>SEM CULTURA</v>
      </c>
      <c r="AF1187" s="8" t="str">
        <f aca="false">$B1187&amp;"|"&amp;TEXT($AD1187,"0.000000")</f>
        <v>60|0.000000</v>
      </c>
      <c r="AG1187" s="18" t="n">
        <f aca="false">IF($K1187="SEM CULTURA",0,$T1187*$H1187)</f>
        <v>0</v>
      </c>
      <c r="AH1187" s="18" t="n">
        <f aca="false">IF($K1187="SEM CULTURA",0,$V1187*$H1187)</f>
        <v>0</v>
      </c>
      <c r="AI1187" s="18" t="n">
        <f aca="false">IF($K1187="SEM CULTURA",0,$W1187*$H1187)</f>
        <v>0</v>
      </c>
      <c r="AJ1187" s="18" t="n">
        <f aca="false">IF($K1187="SEM CULTURA",0,$S1187*$H1187)</f>
        <v>0</v>
      </c>
      <c r="AK1187" s="8" t="str">
        <f aca="false">$E1187&amp;"|"&amp;TEXT($AD1187,"0.000000")</f>
        <v>PV 117|0.000000</v>
      </c>
    </row>
    <row r="1188" customFormat="false" ht="15" hidden="false" customHeight="false" outlineLevel="0" collapsed="false">
      <c r="B1188" s="16" t="n">
        <v>61</v>
      </c>
      <c r="C1188" s="17" t="n">
        <f aca="false">DATA_INICIO_SAFRA+($B1188-1)*DIAS_POR_SEMANA</f>
        <v>46685</v>
      </c>
      <c r="D1188" s="17" t="n">
        <f aca="false">$C1188+DIAS_POR_SEMANA-1</f>
        <v>46691</v>
      </c>
      <c r="E1188" s="15" t="s">
        <v>276</v>
      </c>
      <c r="F1188" s="8" t="str">
        <f aca="false">IFERROR(INDEX(CADASTRO_PIVOS!$C$6:$C$41,MATCH($E1188,CADASTRO_PIVOS!$B$6:$B$41,0)),"?")</f>
        <v>RM06</v>
      </c>
      <c r="G1188" s="8" t="str">
        <f aca="false">IFERROR(INDEX(CADASTRO_PIVOS!$D$6:$D$41,MATCH($E1188,CADASTRO_PIVOS!$B$6:$B$41,0)),"?")</f>
        <v>TR06</v>
      </c>
      <c r="H1188" s="20" t="n">
        <f aca="false">IFERROR(INDEX(CADASTRO_PIVOS!$E$6:$E$41,MATCH($E1188,CADASTRO_PIVOS!$B$6:$B$41,0)),0)</f>
        <v>149.94</v>
      </c>
      <c r="I1188" s="16" t="n">
        <f aca="false">IFERROR(SUMIFS(ROTACAO_RDM!$B$6:$B$71,ROTACAO_RDM!$D$6:$D$71,$E1188,ROTACAO_RDM!$I$6:$I$71,"&lt;="&amp;$C1188+INT(DIAS_POR_SEMANA/2),ROTACAO_RDM!$J$6:$J$71,"&gt;="&amp;$C1188+INT(DIAS_POR_SEMANA/2)),0)</f>
        <v>0</v>
      </c>
      <c r="J1188" s="16" t="n">
        <f aca="false">IFERROR(MATCH($I1188,ROTACAO_RDM!$B$6:$B$71,0),0)</f>
        <v>0</v>
      </c>
      <c r="K1188" s="8" t="str">
        <f aca="false">IF($J1188=0,"SEM CULTURA",INDEX(ROTACAO_RDM!$F$6:$F$71,$J1188))</f>
        <v>SEM CULTURA</v>
      </c>
      <c r="L1188" s="8" t="str">
        <f aca="false">IF($J1188=0,"",INDEX(ROTACAO_RDM!$G$6:$G$71,$J1188))</f>
        <v/>
      </c>
      <c r="M1188" s="17" t="str">
        <f aca="false">IF($J1188=0,"",INDEX(ROTACAO_RDM!$I$6:$I$71,$J1188))</f>
        <v/>
      </c>
      <c r="N1188" s="16" t="n">
        <f aca="false">IF($J1188=0,0,MAX(0,$C1188+INT(DIAS_POR_SEMANA/2)-INDEX(ROTACAO_RDM!$I$6:$I$71,$J1188)))</f>
        <v>0</v>
      </c>
      <c r="O1188" s="19" t="n">
        <f aca="false">IF($J1188=0,0,MIN(1,$N1188/MAX(1,INDEX(ROTACAO_RDM!$K$6:$K$71,$J1188))))</f>
        <v>0</v>
      </c>
      <c r="P1188" s="16" t="n">
        <f aca="false">IF($J1188=0,0,IFERROR(MATCH(INDEX(ROTACAO_RDM!$N$6:$N$71,$J1188),PARAMETROS_CULTURAS!$B$6:$B$28,0),0))</f>
        <v>0</v>
      </c>
      <c r="Q1188" s="8" t="str">
        <f aca="false">IF($P1188=0,"-",IF($O1188&lt;=INDEX(PARAMETROS_CULTURAS!$F$6:$F$28,$P1188),"INICIAL",IF($O1188&lt;=INDEX(PARAMETROS_CULTURAS!$F$6:$F$28,$P1188)+INDEX(PARAMETROS_CULTURAS!$G$6:$G$28,$P1188),"DESENVOLVIMENTO",IF($O1188&lt;=INDEX(PARAMETROS_CULTURAS!$F$6:$F$28,$P1188)+INDEX(PARAMETROS_CULTURAS!$G$6:$G$28,$P1188)+INDEX(PARAMETROS_CULTURAS!$H$6:$H$28,$P1188),"MEDIA","FINAL"))))</f>
        <v>-</v>
      </c>
      <c r="R1188" s="24" t="n">
        <f aca="false">IF($P1188=0,0,IF($O1188&lt;=INDEX(PARAMETROS_CULTURAS!$F$6:$F$28,$P1188),INDEX(PARAMETROS_CULTURAS!$K$6:$K$28,$P1188),IF($O1188&lt;=INDEX(PARAMETROS_CULTURAS!$F$6:$F$28,$P1188)+INDEX(PARAMETROS_CULTURAS!$G$6:$G$28,$P1188),INDEX(PARAMETROS_CULTURAS!$K$6:$K$28,$P1188)+(INDEX(PARAMETROS_CULTURAS!$L$6:$L$28,$P1188)-INDEX(PARAMETROS_CULTURAS!$K$6:$K$28,$P1188))*($O1188-INDEX(PARAMETROS_CULTURAS!$F$6:$F$28,$P1188))/MAX(INDEX(PARAMETROS_CULTURAS!$G$6:$G$28,$P1188),0.0001),IF($O1188&lt;=INDEX(PARAMETROS_CULTURAS!$F$6:$F$28,$P1188)+INDEX(PARAMETROS_CULTURAS!$G$6:$G$28,$P1188)+INDEX(PARAMETROS_CULTURAS!$H$6:$H$28,$P1188),INDEX(PARAMETROS_CULTURAS!$L$6:$L$28,$P1188),INDEX(PARAMETROS_CULTURAS!$L$6:$L$28,$P1188)+(INDEX(PARAMETROS_CULTURAS!$M$6:$M$28,$P1188)-INDEX(PARAMETROS_CULTURAS!$L$6:$L$28,$P1188))*($O1188-INDEX(PARAMETROS_CULTURAS!$F$6:$F$28,$P1188)-INDEX(PARAMETROS_CULTURAS!$G$6:$G$28,$P1188)-INDEX(PARAMETROS_CULTURAS!$H$6:$H$28,$P1188))/MAX(INDEX(PARAMETROS_CULTURAS!$I$6:$I$28,$P1188),0.0001)))))</f>
        <v>0</v>
      </c>
      <c r="S1188" s="18" t="n">
        <f aca="false">IFERROR(INDEX(SEMANAS!$H$6:$H$71,MATCH($B1188,SEMANAS!$B$6:$B$71,0)),0)</f>
        <v>39.2</v>
      </c>
      <c r="T1188" s="18" t="n">
        <f aca="false">$R1188*$S1188</f>
        <v>0</v>
      </c>
      <c r="U1188" s="18" t="n">
        <f aca="false">IFERROR(INDEX(SEMANAS!$I$6:$I$71,MATCH($B1188,SEMANAS!$B$6:$B$71,0)),0)</f>
        <v>27.09</v>
      </c>
      <c r="V1188" s="18" t="n">
        <f aca="false">IFERROR(INDEX(SEMANAS!$J$6:$J$71,MATCH($B1188,SEMANAS!$B$6:$B$71,0)),0)</f>
        <v>21.672</v>
      </c>
      <c r="W1188" s="18" t="n">
        <f aca="false">MAX(0,$T1188-$V1188)</f>
        <v>0</v>
      </c>
      <c r="X1188" s="19" t="n">
        <f aca="false">IFERROR(INDEX(CADASTRO_PIVOS!$K$6:$K$41,MATCH($E1188,CADASTRO_PIVOS!$B$6:$B$41,0)),EFICIENCIA_PADRAO)</f>
        <v>0.85</v>
      </c>
      <c r="Y1188" s="18" t="n">
        <f aca="false">IF($X1188&lt;=0,0,$W1188/$X1188)</f>
        <v>0</v>
      </c>
      <c r="Z1188" s="16" t="n">
        <f aca="false">$Y1188*$H1188*MM_PARA_M3_HA</f>
        <v>0</v>
      </c>
      <c r="AA1188" s="18" t="n">
        <f aca="false">IFERROR(INDEX(CADASTRO_PIVOS!$I$6:$I$41,MATCH($E1188,CADASTRO_PIVOS!$B$6:$B$41,0)),0)</f>
        <v>1071</v>
      </c>
      <c r="AB1188" s="18" t="n">
        <f aca="false">IF($Z1188&lt;=0,0,$Z1188/$AA1188)</f>
        <v>0</v>
      </c>
      <c r="AC1188" s="16" t="n">
        <f aca="false">IFERROR(INDEX(SEMANAS!$K$6:$K$71,MATCH($B1188,SEMANAS!$B$6:$B$71,0)),0)</f>
        <v>147</v>
      </c>
      <c r="AD1188" s="19" t="n">
        <f aca="false">IF($AC1188&lt;=0,0,$AB1188/$AC1188)</f>
        <v>0</v>
      </c>
      <c r="AE1188" s="8" t="str">
        <f aca="false">IF($K1188="SEM CULTURA","SEM CULTURA",IF($AA1188&lt;=0,"DADO PENDENTE",IF($AD1188&gt;LIMITE_CRITICO,"INVIAVEL",IF($AD1188&gt;LIMITE_ATENCAO,"CRITICO",IF($AD1188&gt;LIMITE_CONFORTAVEL,"ATENCAO","OK")))))</f>
        <v>SEM CULTURA</v>
      </c>
      <c r="AF1188" s="8" t="str">
        <f aca="false">$B1188&amp;"|"&amp;TEXT($AD1188,"0.000000")</f>
        <v>61|0.000000</v>
      </c>
      <c r="AG1188" s="18" t="n">
        <f aca="false">IF($K1188="SEM CULTURA",0,$T1188*$H1188)</f>
        <v>0</v>
      </c>
      <c r="AH1188" s="18" t="n">
        <f aca="false">IF($K1188="SEM CULTURA",0,$V1188*$H1188)</f>
        <v>0</v>
      </c>
      <c r="AI1188" s="18" t="n">
        <f aca="false">IF($K1188="SEM CULTURA",0,$W1188*$H1188)</f>
        <v>0</v>
      </c>
      <c r="AJ1188" s="18" t="n">
        <f aca="false">IF($K1188="SEM CULTURA",0,$S1188*$H1188)</f>
        <v>0</v>
      </c>
      <c r="AK1188" s="8" t="str">
        <f aca="false">$E1188&amp;"|"&amp;TEXT($AD1188,"0.000000")</f>
        <v>PV 117|0.000000</v>
      </c>
    </row>
    <row r="1189" customFormat="false" ht="15" hidden="false" customHeight="false" outlineLevel="0" collapsed="false">
      <c r="B1189" s="16" t="n">
        <v>62</v>
      </c>
      <c r="C1189" s="17" t="n">
        <f aca="false">DATA_INICIO_SAFRA+($B1189-1)*DIAS_POR_SEMANA</f>
        <v>46692</v>
      </c>
      <c r="D1189" s="17" t="n">
        <f aca="false">$C1189+DIAS_POR_SEMANA-1</f>
        <v>46698</v>
      </c>
      <c r="E1189" s="15" t="s">
        <v>276</v>
      </c>
      <c r="F1189" s="8" t="str">
        <f aca="false">IFERROR(INDEX(CADASTRO_PIVOS!$C$6:$C$41,MATCH($E1189,CADASTRO_PIVOS!$B$6:$B$41,0)),"?")</f>
        <v>RM06</v>
      </c>
      <c r="G1189" s="8" t="str">
        <f aca="false">IFERROR(INDEX(CADASTRO_PIVOS!$D$6:$D$41,MATCH($E1189,CADASTRO_PIVOS!$B$6:$B$41,0)),"?")</f>
        <v>TR06</v>
      </c>
      <c r="H1189" s="20" t="n">
        <f aca="false">IFERROR(INDEX(CADASTRO_PIVOS!$E$6:$E$41,MATCH($E1189,CADASTRO_PIVOS!$B$6:$B$41,0)),0)</f>
        <v>149.94</v>
      </c>
      <c r="I1189" s="16" t="n">
        <f aca="false">IFERROR(SUMIFS(ROTACAO_RDM!$B$6:$B$71,ROTACAO_RDM!$D$6:$D$71,$E1189,ROTACAO_RDM!$I$6:$I$71,"&lt;="&amp;$C1189+INT(DIAS_POR_SEMANA/2),ROTACAO_RDM!$J$6:$J$71,"&gt;="&amp;$C1189+INT(DIAS_POR_SEMANA/2)),0)</f>
        <v>0</v>
      </c>
      <c r="J1189" s="16" t="n">
        <f aca="false">IFERROR(MATCH($I1189,ROTACAO_RDM!$B$6:$B$71,0),0)</f>
        <v>0</v>
      </c>
      <c r="K1189" s="8" t="str">
        <f aca="false">IF($J1189=0,"SEM CULTURA",INDEX(ROTACAO_RDM!$F$6:$F$71,$J1189))</f>
        <v>SEM CULTURA</v>
      </c>
      <c r="L1189" s="8" t="str">
        <f aca="false">IF($J1189=0,"",INDEX(ROTACAO_RDM!$G$6:$G$71,$J1189))</f>
        <v/>
      </c>
      <c r="M1189" s="17" t="str">
        <f aca="false">IF($J1189=0,"",INDEX(ROTACAO_RDM!$I$6:$I$71,$J1189))</f>
        <v/>
      </c>
      <c r="N1189" s="16" t="n">
        <f aca="false">IF($J1189=0,0,MAX(0,$C1189+INT(DIAS_POR_SEMANA/2)-INDEX(ROTACAO_RDM!$I$6:$I$71,$J1189)))</f>
        <v>0</v>
      </c>
      <c r="O1189" s="19" t="n">
        <f aca="false">IF($J1189=0,0,MIN(1,$N1189/MAX(1,INDEX(ROTACAO_RDM!$K$6:$K$71,$J1189))))</f>
        <v>0</v>
      </c>
      <c r="P1189" s="16" t="n">
        <f aca="false">IF($J1189=0,0,IFERROR(MATCH(INDEX(ROTACAO_RDM!$N$6:$N$71,$J1189),PARAMETROS_CULTURAS!$B$6:$B$28,0),0))</f>
        <v>0</v>
      </c>
      <c r="Q1189" s="8" t="str">
        <f aca="false">IF($P1189=0,"-",IF($O1189&lt;=INDEX(PARAMETROS_CULTURAS!$F$6:$F$28,$P1189),"INICIAL",IF($O1189&lt;=INDEX(PARAMETROS_CULTURAS!$F$6:$F$28,$P1189)+INDEX(PARAMETROS_CULTURAS!$G$6:$G$28,$P1189),"DESENVOLVIMENTO",IF($O1189&lt;=INDEX(PARAMETROS_CULTURAS!$F$6:$F$28,$P1189)+INDEX(PARAMETROS_CULTURAS!$G$6:$G$28,$P1189)+INDEX(PARAMETROS_CULTURAS!$H$6:$H$28,$P1189),"MEDIA","FINAL"))))</f>
        <v>-</v>
      </c>
      <c r="R1189" s="24" t="n">
        <f aca="false">IF($P1189=0,0,IF($O1189&lt;=INDEX(PARAMETROS_CULTURAS!$F$6:$F$28,$P1189),INDEX(PARAMETROS_CULTURAS!$K$6:$K$28,$P1189),IF($O1189&lt;=INDEX(PARAMETROS_CULTURAS!$F$6:$F$28,$P1189)+INDEX(PARAMETROS_CULTURAS!$G$6:$G$28,$P1189),INDEX(PARAMETROS_CULTURAS!$K$6:$K$28,$P1189)+(INDEX(PARAMETROS_CULTURAS!$L$6:$L$28,$P1189)-INDEX(PARAMETROS_CULTURAS!$K$6:$K$28,$P1189))*($O1189-INDEX(PARAMETROS_CULTURAS!$F$6:$F$28,$P1189))/MAX(INDEX(PARAMETROS_CULTURAS!$G$6:$G$28,$P1189),0.0001),IF($O1189&lt;=INDEX(PARAMETROS_CULTURAS!$F$6:$F$28,$P1189)+INDEX(PARAMETROS_CULTURAS!$G$6:$G$28,$P1189)+INDEX(PARAMETROS_CULTURAS!$H$6:$H$28,$P1189),INDEX(PARAMETROS_CULTURAS!$L$6:$L$28,$P1189),INDEX(PARAMETROS_CULTURAS!$L$6:$L$28,$P1189)+(INDEX(PARAMETROS_CULTURAS!$M$6:$M$28,$P1189)-INDEX(PARAMETROS_CULTURAS!$L$6:$L$28,$P1189))*($O1189-INDEX(PARAMETROS_CULTURAS!$F$6:$F$28,$P1189)-INDEX(PARAMETROS_CULTURAS!$G$6:$G$28,$P1189)-INDEX(PARAMETROS_CULTURAS!$H$6:$H$28,$P1189))/MAX(INDEX(PARAMETROS_CULTURAS!$I$6:$I$28,$P1189),0.0001)))))</f>
        <v>0</v>
      </c>
      <c r="S1189" s="18" t="n">
        <f aca="false">IFERROR(INDEX(SEMANAS!$H$6:$H$71,MATCH($B1189,SEMANAS!$B$6:$B$71,0)),0)</f>
        <v>34.3</v>
      </c>
      <c r="T1189" s="18" t="n">
        <f aca="false">$R1189*$S1189</f>
        <v>0</v>
      </c>
      <c r="U1189" s="18" t="n">
        <f aca="false">IFERROR(INDEX(SEMANAS!$I$6:$I$71,MATCH($B1189,SEMANAS!$B$6:$B$71,0)),0)</f>
        <v>46.69</v>
      </c>
      <c r="V1189" s="18" t="n">
        <f aca="false">IFERROR(INDEX(SEMANAS!$J$6:$J$71,MATCH($B1189,SEMANAS!$B$6:$B$71,0)),0)</f>
        <v>37.352</v>
      </c>
      <c r="W1189" s="18" t="n">
        <f aca="false">MAX(0,$T1189-$V1189)</f>
        <v>0</v>
      </c>
      <c r="X1189" s="19" t="n">
        <f aca="false">IFERROR(INDEX(CADASTRO_PIVOS!$K$6:$K$41,MATCH($E1189,CADASTRO_PIVOS!$B$6:$B$41,0)),EFICIENCIA_PADRAO)</f>
        <v>0.85</v>
      </c>
      <c r="Y1189" s="18" t="n">
        <f aca="false">IF($X1189&lt;=0,0,$W1189/$X1189)</f>
        <v>0</v>
      </c>
      <c r="Z1189" s="16" t="n">
        <f aca="false">$Y1189*$H1189*MM_PARA_M3_HA</f>
        <v>0</v>
      </c>
      <c r="AA1189" s="18" t="n">
        <f aca="false">IFERROR(INDEX(CADASTRO_PIVOS!$I$6:$I$41,MATCH($E1189,CADASTRO_PIVOS!$B$6:$B$41,0)),0)</f>
        <v>1071</v>
      </c>
      <c r="AB1189" s="18" t="n">
        <f aca="false">IF($Z1189&lt;=0,0,$Z1189/$AA1189)</f>
        <v>0</v>
      </c>
      <c r="AC1189" s="16" t="n">
        <f aca="false">IFERROR(INDEX(SEMANAS!$K$6:$K$71,MATCH($B1189,SEMANAS!$B$6:$B$71,0)),0)</f>
        <v>147</v>
      </c>
      <c r="AD1189" s="19" t="n">
        <f aca="false">IF($AC1189&lt;=0,0,$AB1189/$AC1189)</f>
        <v>0</v>
      </c>
      <c r="AE1189" s="8" t="str">
        <f aca="false">IF($K1189="SEM CULTURA","SEM CULTURA",IF($AA1189&lt;=0,"DADO PENDENTE",IF($AD1189&gt;LIMITE_CRITICO,"INVIAVEL",IF($AD1189&gt;LIMITE_ATENCAO,"CRITICO",IF($AD1189&gt;LIMITE_CONFORTAVEL,"ATENCAO","OK")))))</f>
        <v>SEM CULTURA</v>
      </c>
      <c r="AF1189" s="8" t="str">
        <f aca="false">$B1189&amp;"|"&amp;TEXT($AD1189,"0.000000")</f>
        <v>62|0.000000</v>
      </c>
      <c r="AG1189" s="18" t="n">
        <f aca="false">IF($K1189="SEM CULTURA",0,$T1189*$H1189)</f>
        <v>0</v>
      </c>
      <c r="AH1189" s="18" t="n">
        <f aca="false">IF($K1189="SEM CULTURA",0,$V1189*$H1189)</f>
        <v>0</v>
      </c>
      <c r="AI1189" s="18" t="n">
        <f aca="false">IF($K1189="SEM CULTURA",0,$W1189*$H1189)</f>
        <v>0</v>
      </c>
      <c r="AJ1189" s="18" t="n">
        <f aca="false">IF($K1189="SEM CULTURA",0,$S1189*$H1189)</f>
        <v>0</v>
      </c>
      <c r="AK1189" s="8" t="str">
        <f aca="false">$E1189&amp;"|"&amp;TEXT($AD1189,"0.000000")</f>
        <v>PV 117|0.000000</v>
      </c>
    </row>
    <row r="1190" customFormat="false" ht="15" hidden="false" customHeight="false" outlineLevel="0" collapsed="false">
      <c r="B1190" s="16" t="n">
        <v>63</v>
      </c>
      <c r="C1190" s="17" t="n">
        <f aca="false">DATA_INICIO_SAFRA+($B1190-1)*DIAS_POR_SEMANA</f>
        <v>46699</v>
      </c>
      <c r="D1190" s="17" t="n">
        <f aca="false">$C1190+DIAS_POR_SEMANA-1</f>
        <v>46705</v>
      </c>
      <c r="E1190" s="15" t="s">
        <v>276</v>
      </c>
      <c r="F1190" s="8" t="str">
        <f aca="false">IFERROR(INDEX(CADASTRO_PIVOS!$C$6:$C$41,MATCH($E1190,CADASTRO_PIVOS!$B$6:$B$41,0)),"?")</f>
        <v>RM06</v>
      </c>
      <c r="G1190" s="8" t="str">
        <f aca="false">IFERROR(INDEX(CADASTRO_PIVOS!$D$6:$D$41,MATCH($E1190,CADASTRO_PIVOS!$B$6:$B$41,0)),"?")</f>
        <v>TR06</v>
      </c>
      <c r="H1190" s="20" t="n">
        <f aca="false">IFERROR(INDEX(CADASTRO_PIVOS!$E$6:$E$41,MATCH($E1190,CADASTRO_PIVOS!$B$6:$B$41,0)),0)</f>
        <v>149.94</v>
      </c>
      <c r="I1190" s="16" t="n">
        <f aca="false">IFERROR(SUMIFS(ROTACAO_RDM!$B$6:$B$71,ROTACAO_RDM!$D$6:$D$71,$E1190,ROTACAO_RDM!$I$6:$I$71,"&lt;="&amp;$C1190+INT(DIAS_POR_SEMANA/2),ROTACAO_RDM!$J$6:$J$71,"&gt;="&amp;$C1190+INT(DIAS_POR_SEMANA/2)),0)</f>
        <v>0</v>
      </c>
      <c r="J1190" s="16" t="n">
        <f aca="false">IFERROR(MATCH($I1190,ROTACAO_RDM!$B$6:$B$71,0),0)</f>
        <v>0</v>
      </c>
      <c r="K1190" s="8" t="str">
        <f aca="false">IF($J1190=0,"SEM CULTURA",INDEX(ROTACAO_RDM!$F$6:$F$71,$J1190))</f>
        <v>SEM CULTURA</v>
      </c>
      <c r="L1190" s="8" t="str">
        <f aca="false">IF($J1190=0,"",INDEX(ROTACAO_RDM!$G$6:$G$71,$J1190))</f>
        <v/>
      </c>
      <c r="M1190" s="17" t="str">
        <f aca="false">IF($J1190=0,"",INDEX(ROTACAO_RDM!$I$6:$I$71,$J1190))</f>
        <v/>
      </c>
      <c r="N1190" s="16" t="n">
        <f aca="false">IF($J1190=0,0,MAX(0,$C1190+INT(DIAS_POR_SEMANA/2)-INDEX(ROTACAO_RDM!$I$6:$I$71,$J1190)))</f>
        <v>0</v>
      </c>
      <c r="O1190" s="19" t="n">
        <f aca="false">IF($J1190=0,0,MIN(1,$N1190/MAX(1,INDEX(ROTACAO_RDM!$K$6:$K$71,$J1190))))</f>
        <v>0</v>
      </c>
      <c r="P1190" s="16" t="n">
        <f aca="false">IF($J1190=0,0,IFERROR(MATCH(INDEX(ROTACAO_RDM!$N$6:$N$71,$J1190),PARAMETROS_CULTURAS!$B$6:$B$28,0),0))</f>
        <v>0</v>
      </c>
      <c r="Q1190" s="8" t="str">
        <f aca="false">IF($P1190=0,"-",IF($O1190&lt;=INDEX(PARAMETROS_CULTURAS!$F$6:$F$28,$P1190),"INICIAL",IF($O1190&lt;=INDEX(PARAMETROS_CULTURAS!$F$6:$F$28,$P1190)+INDEX(PARAMETROS_CULTURAS!$G$6:$G$28,$P1190),"DESENVOLVIMENTO",IF($O1190&lt;=INDEX(PARAMETROS_CULTURAS!$F$6:$F$28,$P1190)+INDEX(PARAMETROS_CULTURAS!$G$6:$G$28,$P1190)+INDEX(PARAMETROS_CULTURAS!$H$6:$H$28,$P1190),"MEDIA","FINAL"))))</f>
        <v>-</v>
      </c>
      <c r="R1190" s="24" t="n">
        <f aca="false">IF($P1190=0,0,IF($O1190&lt;=INDEX(PARAMETROS_CULTURAS!$F$6:$F$28,$P1190),INDEX(PARAMETROS_CULTURAS!$K$6:$K$28,$P1190),IF($O1190&lt;=INDEX(PARAMETROS_CULTURAS!$F$6:$F$28,$P1190)+INDEX(PARAMETROS_CULTURAS!$G$6:$G$28,$P1190),INDEX(PARAMETROS_CULTURAS!$K$6:$K$28,$P1190)+(INDEX(PARAMETROS_CULTURAS!$L$6:$L$28,$P1190)-INDEX(PARAMETROS_CULTURAS!$K$6:$K$28,$P1190))*($O1190-INDEX(PARAMETROS_CULTURAS!$F$6:$F$28,$P1190))/MAX(INDEX(PARAMETROS_CULTURAS!$G$6:$G$28,$P1190),0.0001),IF($O1190&lt;=INDEX(PARAMETROS_CULTURAS!$F$6:$F$28,$P1190)+INDEX(PARAMETROS_CULTURAS!$G$6:$G$28,$P1190)+INDEX(PARAMETROS_CULTURAS!$H$6:$H$28,$P1190),INDEX(PARAMETROS_CULTURAS!$L$6:$L$28,$P1190),INDEX(PARAMETROS_CULTURAS!$L$6:$L$28,$P1190)+(INDEX(PARAMETROS_CULTURAS!$M$6:$M$28,$P1190)-INDEX(PARAMETROS_CULTURAS!$L$6:$L$28,$P1190))*($O1190-INDEX(PARAMETROS_CULTURAS!$F$6:$F$28,$P1190)-INDEX(PARAMETROS_CULTURAS!$G$6:$G$28,$P1190)-INDEX(PARAMETROS_CULTURAS!$H$6:$H$28,$P1190))/MAX(INDEX(PARAMETROS_CULTURAS!$I$6:$I$28,$P1190),0.0001)))))</f>
        <v>0</v>
      </c>
      <c r="S1190" s="18" t="n">
        <f aca="false">IFERROR(INDEX(SEMANAS!$H$6:$H$71,MATCH($B1190,SEMANAS!$B$6:$B$71,0)),0)</f>
        <v>34.3</v>
      </c>
      <c r="T1190" s="18" t="n">
        <f aca="false">$R1190*$S1190</f>
        <v>0</v>
      </c>
      <c r="U1190" s="18" t="n">
        <f aca="false">IFERROR(INDEX(SEMANAS!$I$6:$I$71,MATCH($B1190,SEMANAS!$B$6:$B$71,0)),0)</f>
        <v>46.69</v>
      </c>
      <c r="V1190" s="18" t="n">
        <f aca="false">IFERROR(INDEX(SEMANAS!$J$6:$J$71,MATCH($B1190,SEMANAS!$B$6:$B$71,0)),0)</f>
        <v>37.352</v>
      </c>
      <c r="W1190" s="18" t="n">
        <f aca="false">MAX(0,$T1190-$V1190)</f>
        <v>0</v>
      </c>
      <c r="X1190" s="19" t="n">
        <f aca="false">IFERROR(INDEX(CADASTRO_PIVOS!$K$6:$K$41,MATCH($E1190,CADASTRO_PIVOS!$B$6:$B$41,0)),EFICIENCIA_PADRAO)</f>
        <v>0.85</v>
      </c>
      <c r="Y1190" s="18" t="n">
        <f aca="false">IF($X1190&lt;=0,0,$W1190/$X1190)</f>
        <v>0</v>
      </c>
      <c r="Z1190" s="16" t="n">
        <f aca="false">$Y1190*$H1190*MM_PARA_M3_HA</f>
        <v>0</v>
      </c>
      <c r="AA1190" s="18" t="n">
        <f aca="false">IFERROR(INDEX(CADASTRO_PIVOS!$I$6:$I$41,MATCH($E1190,CADASTRO_PIVOS!$B$6:$B$41,0)),0)</f>
        <v>1071</v>
      </c>
      <c r="AB1190" s="18" t="n">
        <f aca="false">IF($Z1190&lt;=0,0,$Z1190/$AA1190)</f>
        <v>0</v>
      </c>
      <c r="AC1190" s="16" t="n">
        <f aca="false">IFERROR(INDEX(SEMANAS!$K$6:$K$71,MATCH($B1190,SEMANAS!$B$6:$B$71,0)),0)</f>
        <v>147</v>
      </c>
      <c r="AD1190" s="19" t="n">
        <f aca="false">IF($AC1190&lt;=0,0,$AB1190/$AC1190)</f>
        <v>0</v>
      </c>
      <c r="AE1190" s="8" t="str">
        <f aca="false">IF($K1190="SEM CULTURA","SEM CULTURA",IF($AA1190&lt;=0,"DADO PENDENTE",IF($AD1190&gt;LIMITE_CRITICO,"INVIAVEL",IF($AD1190&gt;LIMITE_ATENCAO,"CRITICO",IF($AD1190&gt;LIMITE_CONFORTAVEL,"ATENCAO","OK")))))</f>
        <v>SEM CULTURA</v>
      </c>
      <c r="AF1190" s="8" t="str">
        <f aca="false">$B1190&amp;"|"&amp;TEXT($AD1190,"0.000000")</f>
        <v>63|0.000000</v>
      </c>
      <c r="AG1190" s="18" t="n">
        <f aca="false">IF($K1190="SEM CULTURA",0,$T1190*$H1190)</f>
        <v>0</v>
      </c>
      <c r="AH1190" s="18" t="n">
        <f aca="false">IF($K1190="SEM CULTURA",0,$V1190*$H1190)</f>
        <v>0</v>
      </c>
      <c r="AI1190" s="18" t="n">
        <f aca="false">IF($K1190="SEM CULTURA",0,$W1190*$H1190)</f>
        <v>0</v>
      </c>
      <c r="AJ1190" s="18" t="n">
        <f aca="false">IF($K1190="SEM CULTURA",0,$S1190*$H1190)</f>
        <v>0</v>
      </c>
      <c r="AK1190" s="8" t="str">
        <f aca="false">$E1190&amp;"|"&amp;TEXT($AD1190,"0.000000")</f>
        <v>PV 117|0.000000</v>
      </c>
    </row>
    <row r="1191" customFormat="false" ht="15" hidden="false" customHeight="false" outlineLevel="0" collapsed="false">
      <c r="B1191" s="16" t="n">
        <v>64</v>
      </c>
      <c r="C1191" s="17" t="n">
        <f aca="false">DATA_INICIO_SAFRA+($B1191-1)*DIAS_POR_SEMANA</f>
        <v>46706</v>
      </c>
      <c r="D1191" s="17" t="n">
        <f aca="false">$C1191+DIAS_POR_SEMANA-1</f>
        <v>46712</v>
      </c>
      <c r="E1191" s="15" t="s">
        <v>276</v>
      </c>
      <c r="F1191" s="8" t="str">
        <f aca="false">IFERROR(INDEX(CADASTRO_PIVOS!$C$6:$C$41,MATCH($E1191,CADASTRO_PIVOS!$B$6:$B$41,0)),"?")</f>
        <v>RM06</v>
      </c>
      <c r="G1191" s="8" t="str">
        <f aca="false">IFERROR(INDEX(CADASTRO_PIVOS!$D$6:$D$41,MATCH($E1191,CADASTRO_PIVOS!$B$6:$B$41,0)),"?")</f>
        <v>TR06</v>
      </c>
      <c r="H1191" s="20" t="n">
        <f aca="false">IFERROR(INDEX(CADASTRO_PIVOS!$E$6:$E$41,MATCH($E1191,CADASTRO_PIVOS!$B$6:$B$41,0)),0)</f>
        <v>149.94</v>
      </c>
      <c r="I1191" s="16" t="n">
        <f aca="false">IFERROR(SUMIFS(ROTACAO_RDM!$B$6:$B$71,ROTACAO_RDM!$D$6:$D$71,$E1191,ROTACAO_RDM!$I$6:$I$71,"&lt;="&amp;$C1191+INT(DIAS_POR_SEMANA/2),ROTACAO_RDM!$J$6:$J$71,"&gt;="&amp;$C1191+INT(DIAS_POR_SEMANA/2)),0)</f>
        <v>0</v>
      </c>
      <c r="J1191" s="16" t="n">
        <f aca="false">IFERROR(MATCH($I1191,ROTACAO_RDM!$B$6:$B$71,0),0)</f>
        <v>0</v>
      </c>
      <c r="K1191" s="8" t="str">
        <f aca="false">IF($J1191=0,"SEM CULTURA",INDEX(ROTACAO_RDM!$F$6:$F$71,$J1191))</f>
        <v>SEM CULTURA</v>
      </c>
      <c r="L1191" s="8" t="str">
        <f aca="false">IF($J1191=0,"",INDEX(ROTACAO_RDM!$G$6:$G$71,$J1191))</f>
        <v/>
      </c>
      <c r="M1191" s="17" t="str">
        <f aca="false">IF($J1191=0,"",INDEX(ROTACAO_RDM!$I$6:$I$71,$J1191))</f>
        <v/>
      </c>
      <c r="N1191" s="16" t="n">
        <f aca="false">IF($J1191=0,0,MAX(0,$C1191+INT(DIAS_POR_SEMANA/2)-INDEX(ROTACAO_RDM!$I$6:$I$71,$J1191)))</f>
        <v>0</v>
      </c>
      <c r="O1191" s="19" t="n">
        <f aca="false">IF($J1191=0,0,MIN(1,$N1191/MAX(1,INDEX(ROTACAO_RDM!$K$6:$K$71,$J1191))))</f>
        <v>0</v>
      </c>
      <c r="P1191" s="16" t="n">
        <f aca="false">IF($J1191=0,0,IFERROR(MATCH(INDEX(ROTACAO_RDM!$N$6:$N$71,$J1191),PARAMETROS_CULTURAS!$B$6:$B$28,0),0))</f>
        <v>0</v>
      </c>
      <c r="Q1191" s="8" t="str">
        <f aca="false">IF($P1191=0,"-",IF($O1191&lt;=INDEX(PARAMETROS_CULTURAS!$F$6:$F$28,$P1191),"INICIAL",IF($O1191&lt;=INDEX(PARAMETROS_CULTURAS!$F$6:$F$28,$P1191)+INDEX(PARAMETROS_CULTURAS!$G$6:$G$28,$P1191),"DESENVOLVIMENTO",IF($O1191&lt;=INDEX(PARAMETROS_CULTURAS!$F$6:$F$28,$P1191)+INDEX(PARAMETROS_CULTURAS!$G$6:$G$28,$P1191)+INDEX(PARAMETROS_CULTURAS!$H$6:$H$28,$P1191),"MEDIA","FINAL"))))</f>
        <v>-</v>
      </c>
      <c r="R1191" s="24" t="n">
        <f aca="false">IF($P1191=0,0,IF($O1191&lt;=INDEX(PARAMETROS_CULTURAS!$F$6:$F$28,$P1191),INDEX(PARAMETROS_CULTURAS!$K$6:$K$28,$P1191),IF($O1191&lt;=INDEX(PARAMETROS_CULTURAS!$F$6:$F$28,$P1191)+INDEX(PARAMETROS_CULTURAS!$G$6:$G$28,$P1191),INDEX(PARAMETROS_CULTURAS!$K$6:$K$28,$P1191)+(INDEX(PARAMETROS_CULTURAS!$L$6:$L$28,$P1191)-INDEX(PARAMETROS_CULTURAS!$K$6:$K$28,$P1191))*($O1191-INDEX(PARAMETROS_CULTURAS!$F$6:$F$28,$P1191))/MAX(INDEX(PARAMETROS_CULTURAS!$G$6:$G$28,$P1191),0.0001),IF($O1191&lt;=INDEX(PARAMETROS_CULTURAS!$F$6:$F$28,$P1191)+INDEX(PARAMETROS_CULTURAS!$G$6:$G$28,$P1191)+INDEX(PARAMETROS_CULTURAS!$H$6:$H$28,$P1191),INDEX(PARAMETROS_CULTURAS!$L$6:$L$28,$P1191),INDEX(PARAMETROS_CULTURAS!$L$6:$L$28,$P1191)+(INDEX(PARAMETROS_CULTURAS!$M$6:$M$28,$P1191)-INDEX(PARAMETROS_CULTURAS!$L$6:$L$28,$P1191))*($O1191-INDEX(PARAMETROS_CULTURAS!$F$6:$F$28,$P1191)-INDEX(PARAMETROS_CULTURAS!$G$6:$G$28,$P1191)-INDEX(PARAMETROS_CULTURAS!$H$6:$H$28,$P1191))/MAX(INDEX(PARAMETROS_CULTURAS!$I$6:$I$28,$P1191),0.0001)))))</f>
        <v>0</v>
      </c>
      <c r="S1191" s="18" t="n">
        <f aca="false">IFERROR(INDEX(SEMANAS!$H$6:$H$71,MATCH($B1191,SEMANAS!$B$6:$B$71,0)),0)</f>
        <v>34.3</v>
      </c>
      <c r="T1191" s="18" t="n">
        <f aca="false">$R1191*$S1191</f>
        <v>0</v>
      </c>
      <c r="U1191" s="18" t="n">
        <f aca="false">IFERROR(INDEX(SEMANAS!$I$6:$I$71,MATCH($B1191,SEMANAS!$B$6:$B$71,0)),0)</f>
        <v>46.69</v>
      </c>
      <c r="V1191" s="18" t="n">
        <f aca="false">IFERROR(INDEX(SEMANAS!$J$6:$J$71,MATCH($B1191,SEMANAS!$B$6:$B$71,0)),0)</f>
        <v>37.352</v>
      </c>
      <c r="W1191" s="18" t="n">
        <f aca="false">MAX(0,$T1191-$V1191)</f>
        <v>0</v>
      </c>
      <c r="X1191" s="19" t="n">
        <f aca="false">IFERROR(INDEX(CADASTRO_PIVOS!$K$6:$K$41,MATCH($E1191,CADASTRO_PIVOS!$B$6:$B$41,0)),EFICIENCIA_PADRAO)</f>
        <v>0.85</v>
      </c>
      <c r="Y1191" s="18" t="n">
        <f aca="false">IF($X1191&lt;=0,0,$W1191/$X1191)</f>
        <v>0</v>
      </c>
      <c r="Z1191" s="16" t="n">
        <f aca="false">$Y1191*$H1191*MM_PARA_M3_HA</f>
        <v>0</v>
      </c>
      <c r="AA1191" s="18" t="n">
        <f aca="false">IFERROR(INDEX(CADASTRO_PIVOS!$I$6:$I$41,MATCH($E1191,CADASTRO_PIVOS!$B$6:$B$41,0)),0)</f>
        <v>1071</v>
      </c>
      <c r="AB1191" s="18" t="n">
        <f aca="false">IF($Z1191&lt;=0,0,$Z1191/$AA1191)</f>
        <v>0</v>
      </c>
      <c r="AC1191" s="16" t="n">
        <f aca="false">IFERROR(INDEX(SEMANAS!$K$6:$K$71,MATCH($B1191,SEMANAS!$B$6:$B$71,0)),0)</f>
        <v>147</v>
      </c>
      <c r="AD1191" s="19" t="n">
        <f aca="false">IF($AC1191&lt;=0,0,$AB1191/$AC1191)</f>
        <v>0</v>
      </c>
      <c r="AE1191" s="8" t="str">
        <f aca="false">IF($K1191="SEM CULTURA","SEM CULTURA",IF($AA1191&lt;=0,"DADO PENDENTE",IF($AD1191&gt;LIMITE_CRITICO,"INVIAVEL",IF($AD1191&gt;LIMITE_ATENCAO,"CRITICO",IF($AD1191&gt;LIMITE_CONFORTAVEL,"ATENCAO","OK")))))</f>
        <v>SEM CULTURA</v>
      </c>
      <c r="AF1191" s="8" t="str">
        <f aca="false">$B1191&amp;"|"&amp;TEXT($AD1191,"0.000000")</f>
        <v>64|0.000000</v>
      </c>
      <c r="AG1191" s="18" t="n">
        <f aca="false">IF($K1191="SEM CULTURA",0,$T1191*$H1191)</f>
        <v>0</v>
      </c>
      <c r="AH1191" s="18" t="n">
        <f aca="false">IF($K1191="SEM CULTURA",0,$V1191*$H1191)</f>
        <v>0</v>
      </c>
      <c r="AI1191" s="18" t="n">
        <f aca="false">IF($K1191="SEM CULTURA",0,$W1191*$H1191)</f>
        <v>0</v>
      </c>
      <c r="AJ1191" s="18" t="n">
        <f aca="false">IF($K1191="SEM CULTURA",0,$S1191*$H1191)</f>
        <v>0</v>
      </c>
      <c r="AK1191" s="8" t="str">
        <f aca="false">$E1191&amp;"|"&amp;TEXT($AD1191,"0.000000")</f>
        <v>PV 117|0.000000</v>
      </c>
    </row>
    <row r="1192" customFormat="false" ht="15" hidden="false" customHeight="false" outlineLevel="0" collapsed="false">
      <c r="B1192" s="16" t="n">
        <v>65</v>
      </c>
      <c r="C1192" s="17" t="n">
        <f aca="false">DATA_INICIO_SAFRA+($B1192-1)*DIAS_POR_SEMANA</f>
        <v>46713</v>
      </c>
      <c r="D1192" s="17" t="n">
        <f aca="false">$C1192+DIAS_POR_SEMANA-1</f>
        <v>46719</v>
      </c>
      <c r="E1192" s="15" t="s">
        <v>276</v>
      </c>
      <c r="F1192" s="8" t="str">
        <f aca="false">IFERROR(INDEX(CADASTRO_PIVOS!$C$6:$C$41,MATCH($E1192,CADASTRO_PIVOS!$B$6:$B$41,0)),"?")</f>
        <v>RM06</v>
      </c>
      <c r="G1192" s="8" t="str">
        <f aca="false">IFERROR(INDEX(CADASTRO_PIVOS!$D$6:$D$41,MATCH($E1192,CADASTRO_PIVOS!$B$6:$B$41,0)),"?")</f>
        <v>TR06</v>
      </c>
      <c r="H1192" s="20" t="n">
        <f aca="false">IFERROR(INDEX(CADASTRO_PIVOS!$E$6:$E$41,MATCH($E1192,CADASTRO_PIVOS!$B$6:$B$41,0)),0)</f>
        <v>149.94</v>
      </c>
      <c r="I1192" s="16" t="n">
        <f aca="false">IFERROR(SUMIFS(ROTACAO_RDM!$B$6:$B$71,ROTACAO_RDM!$D$6:$D$71,$E1192,ROTACAO_RDM!$I$6:$I$71,"&lt;="&amp;$C1192+INT(DIAS_POR_SEMANA/2),ROTACAO_RDM!$J$6:$J$71,"&gt;="&amp;$C1192+INT(DIAS_POR_SEMANA/2)),0)</f>
        <v>0</v>
      </c>
      <c r="J1192" s="16" t="n">
        <f aca="false">IFERROR(MATCH($I1192,ROTACAO_RDM!$B$6:$B$71,0),0)</f>
        <v>0</v>
      </c>
      <c r="K1192" s="8" t="str">
        <f aca="false">IF($J1192=0,"SEM CULTURA",INDEX(ROTACAO_RDM!$F$6:$F$71,$J1192))</f>
        <v>SEM CULTURA</v>
      </c>
      <c r="L1192" s="8" t="str">
        <f aca="false">IF($J1192=0,"",INDEX(ROTACAO_RDM!$G$6:$G$71,$J1192))</f>
        <v/>
      </c>
      <c r="M1192" s="17" t="str">
        <f aca="false">IF($J1192=0,"",INDEX(ROTACAO_RDM!$I$6:$I$71,$J1192))</f>
        <v/>
      </c>
      <c r="N1192" s="16" t="n">
        <f aca="false">IF($J1192=0,0,MAX(0,$C1192+INT(DIAS_POR_SEMANA/2)-INDEX(ROTACAO_RDM!$I$6:$I$71,$J1192)))</f>
        <v>0</v>
      </c>
      <c r="O1192" s="19" t="n">
        <f aca="false">IF($J1192=0,0,MIN(1,$N1192/MAX(1,INDEX(ROTACAO_RDM!$K$6:$K$71,$J1192))))</f>
        <v>0</v>
      </c>
      <c r="P1192" s="16" t="n">
        <f aca="false">IF($J1192=0,0,IFERROR(MATCH(INDEX(ROTACAO_RDM!$N$6:$N$71,$J1192),PARAMETROS_CULTURAS!$B$6:$B$28,0),0))</f>
        <v>0</v>
      </c>
      <c r="Q1192" s="8" t="str">
        <f aca="false">IF($P1192=0,"-",IF($O1192&lt;=INDEX(PARAMETROS_CULTURAS!$F$6:$F$28,$P1192),"INICIAL",IF($O1192&lt;=INDEX(PARAMETROS_CULTURAS!$F$6:$F$28,$P1192)+INDEX(PARAMETROS_CULTURAS!$G$6:$G$28,$P1192),"DESENVOLVIMENTO",IF($O1192&lt;=INDEX(PARAMETROS_CULTURAS!$F$6:$F$28,$P1192)+INDEX(PARAMETROS_CULTURAS!$G$6:$G$28,$P1192)+INDEX(PARAMETROS_CULTURAS!$H$6:$H$28,$P1192),"MEDIA","FINAL"))))</f>
        <v>-</v>
      </c>
      <c r="R1192" s="24" t="n">
        <f aca="false">IF($P1192=0,0,IF($O1192&lt;=INDEX(PARAMETROS_CULTURAS!$F$6:$F$28,$P1192),INDEX(PARAMETROS_CULTURAS!$K$6:$K$28,$P1192),IF($O1192&lt;=INDEX(PARAMETROS_CULTURAS!$F$6:$F$28,$P1192)+INDEX(PARAMETROS_CULTURAS!$G$6:$G$28,$P1192),INDEX(PARAMETROS_CULTURAS!$K$6:$K$28,$P1192)+(INDEX(PARAMETROS_CULTURAS!$L$6:$L$28,$P1192)-INDEX(PARAMETROS_CULTURAS!$K$6:$K$28,$P1192))*($O1192-INDEX(PARAMETROS_CULTURAS!$F$6:$F$28,$P1192))/MAX(INDEX(PARAMETROS_CULTURAS!$G$6:$G$28,$P1192),0.0001),IF($O1192&lt;=INDEX(PARAMETROS_CULTURAS!$F$6:$F$28,$P1192)+INDEX(PARAMETROS_CULTURAS!$G$6:$G$28,$P1192)+INDEX(PARAMETROS_CULTURAS!$H$6:$H$28,$P1192),INDEX(PARAMETROS_CULTURAS!$L$6:$L$28,$P1192),INDEX(PARAMETROS_CULTURAS!$L$6:$L$28,$P1192)+(INDEX(PARAMETROS_CULTURAS!$M$6:$M$28,$P1192)-INDEX(PARAMETROS_CULTURAS!$L$6:$L$28,$P1192))*($O1192-INDEX(PARAMETROS_CULTURAS!$F$6:$F$28,$P1192)-INDEX(PARAMETROS_CULTURAS!$G$6:$G$28,$P1192)-INDEX(PARAMETROS_CULTURAS!$H$6:$H$28,$P1192))/MAX(INDEX(PARAMETROS_CULTURAS!$I$6:$I$28,$P1192),0.0001)))))</f>
        <v>0</v>
      </c>
      <c r="S1192" s="18" t="n">
        <f aca="false">IFERROR(INDEX(SEMANAS!$H$6:$H$71,MATCH($B1192,SEMANAS!$B$6:$B$71,0)),0)</f>
        <v>34.3</v>
      </c>
      <c r="T1192" s="18" t="n">
        <f aca="false">$R1192*$S1192</f>
        <v>0</v>
      </c>
      <c r="U1192" s="18" t="n">
        <f aca="false">IFERROR(INDEX(SEMANAS!$I$6:$I$71,MATCH($B1192,SEMANAS!$B$6:$B$71,0)),0)</f>
        <v>46.69</v>
      </c>
      <c r="V1192" s="18" t="n">
        <f aca="false">IFERROR(INDEX(SEMANAS!$J$6:$J$71,MATCH($B1192,SEMANAS!$B$6:$B$71,0)),0)</f>
        <v>37.352</v>
      </c>
      <c r="W1192" s="18" t="n">
        <f aca="false">MAX(0,$T1192-$V1192)</f>
        <v>0</v>
      </c>
      <c r="X1192" s="19" t="n">
        <f aca="false">IFERROR(INDEX(CADASTRO_PIVOS!$K$6:$K$41,MATCH($E1192,CADASTRO_PIVOS!$B$6:$B$41,0)),EFICIENCIA_PADRAO)</f>
        <v>0.85</v>
      </c>
      <c r="Y1192" s="18" t="n">
        <f aca="false">IF($X1192&lt;=0,0,$W1192/$X1192)</f>
        <v>0</v>
      </c>
      <c r="Z1192" s="16" t="n">
        <f aca="false">$Y1192*$H1192*MM_PARA_M3_HA</f>
        <v>0</v>
      </c>
      <c r="AA1192" s="18" t="n">
        <f aca="false">IFERROR(INDEX(CADASTRO_PIVOS!$I$6:$I$41,MATCH($E1192,CADASTRO_PIVOS!$B$6:$B$41,0)),0)</f>
        <v>1071</v>
      </c>
      <c r="AB1192" s="18" t="n">
        <f aca="false">IF($Z1192&lt;=0,0,$Z1192/$AA1192)</f>
        <v>0</v>
      </c>
      <c r="AC1192" s="16" t="n">
        <f aca="false">IFERROR(INDEX(SEMANAS!$K$6:$K$71,MATCH($B1192,SEMANAS!$B$6:$B$71,0)),0)</f>
        <v>147</v>
      </c>
      <c r="AD1192" s="19" t="n">
        <f aca="false">IF($AC1192&lt;=0,0,$AB1192/$AC1192)</f>
        <v>0</v>
      </c>
      <c r="AE1192" s="8" t="str">
        <f aca="false">IF($K1192="SEM CULTURA","SEM CULTURA",IF($AA1192&lt;=0,"DADO PENDENTE",IF($AD1192&gt;LIMITE_CRITICO,"INVIAVEL",IF($AD1192&gt;LIMITE_ATENCAO,"CRITICO",IF($AD1192&gt;LIMITE_CONFORTAVEL,"ATENCAO","OK")))))</f>
        <v>SEM CULTURA</v>
      </c>
      <c r="AF1192" s="8" t="str">
        <f aca="false">$B1192&amp;"|"&amp;TEXT($AD1192,"0.000000")</f>
        <v>65|0.000000</v>
      </c>
      <c r="AG1192" s="18" t="n">
        <f aca="false">IF($K1192="SEM CULTURA",0,$T1192*$H1192)</f>
        <v>0</v>
      </c>
      <c r="AH1192" s="18" t="n">
        <f aca="false">IF($K1192="SEM CULTURA",0,$V1192*$H1192)</f>
        <v>0</v>
      </c>
      <c r="AI1192" s="18" t="n">
        <f aca="false">IF($K1192="SEM CULTURA",0,$W1192*$H1192)</f>
        <v>0</v>
      </c>
      <c r="AJ1192" s="18" t="n">
        <f aca="false">IF($K1192="SEM CULTURA",0,$S1192*$H1192)</f>
        <v>0</v>
      </c>
      <c r="AK1192" s="8" t="str">
        <f aca="false">$E1192&amp;"|"&amp;TEXT($AD1192,"0.000000")</f>
        <v>PV 117|0.000000</v>
      </c>
    </row>
    <row r="1193" customFormat="false" ht="15" hidden="false" customHeight="false" outlineLevel="0" collapsed="false">
      <c r="B1193" s="16" t="n">
        <v>66</v>
      </c>
      <c r="C1193" s="17" t="n">
        <f aca="false">DATA_INICIO_SAFRA+($B1193-1)*DIAS_POR_SEMANA</f>
        <v>46720</v>
      </c>
      <c r="D1193" s="17" t="n">
        <f aca="false">$C1193+DIAS_POR_SEMANA-1</f>
        <v>46726</v>
      </c>
      <c r="E1193" s="15" t="s">
        <v>276</v>
      </c>
      <c r="F1193" s="8" t="str">
        <f aca="false">IFERROR(INDEX(CADASTRO_PIVOS!$C$6:$C$41,MATCH($E1193,CADASTRO_PIVOS!$B$6:$B$41,0)),"?")</f>
        <v>RM06</v>
      </c>
      <c r="G1193" s="8" t="str">
        <f aca="false">IFERROR(INDEX(CADASTRO_PIVOS!$D$6:$D$41,MATCH($E1193,CADASTRO_PIVOS!$B$6:$B$41,0)),"?")</f>
        <v>TR06</v>
      </c>
      <c r="H1193" s="20" t="n">
        <f aca="false">IFERROR(INDEX(CADASTRO_PIVOS!$E$6:$E$41,MATCH($E1193,CADASTRO_PIVOS!$B$6:$B$41,0)),0)</f>
        <v>149.94</v>
      </c>
      <c r="I1193" s="16" t="n">
        <f aca="false">IFERROR(SUMIFS(ROTACAO_RDM!$B$6:$B$71,ROTACAO_RDM!$D$6:$D$71,$E1193,ROTACAO_RDM!$I$6:$I$71,"&lt;="&amp;$C1193+INT(DIAS_POR_SEMANA/2),ROTACAO_RDM!$J$6:$J$71,"&gt;="&amp;$C1193+INT(DIAS_POR_SEMANA/2)),0)</f>
        <v>0</v>
      </c>
      <c r="J1193" s="16" t="n">
        <f aca="false">IFERROR(MATCH($I1193,ROTACAO_RDM!$B$6:$B$71,0),0)</f>
        <v>0</v>
      </c>
      <c r="K1193" s="8" t="str">
        <f aca="false">IF($J1193=0,"SEM CULTURA",INDEX(ROTACAO_RDM!$F$6:$F$71,$J1193))</f>
        <v>SEM CULTURA</v>
      </c>
      <c r="L1193" s="8" t="str">
        <f aca="false">IF($J1193=0,"",INDEX(ROTACAO_RDM!$G$6:$G$71,$J1193))</f>
        <v/>
      </c>
      <c r="M1193" s="17" t="str">
        <f aca="false">IF($J1193=0,"",INDEX(ROTACAO_RDM!$I$6:$I$71,$J1193))</f>
        <v/>
      </c>
      <c r="N1193" s="16" t="n">
        <f aca="false">IF($J1193=0,0,MAX(0,$C1193+INT(DIAS_POR_SEMANA/2)-INDEX(ROTACAO_RDM!$I$6:$I$71,$J1193)))</f>
        <v>0</v>
      </c>
      <c r="O1193" s="19" t="n">
        <f aca="false">IF($J1193=0,0,MIN(1,$N1193/MAX(1,INDEX(ROTACAO_RDM!$K$6:$K$71,$J1193))))</f>
        <v>0</v>
      </c>
      <c r="P1193" s="16" t="n">
        <f aca="false">IF($J1193=0,0,IFERROR(MATCH(INDEX(ROTACAO_RDM!$N$6:$N$71,$J1193),PARAMETROS_CULTURAS!$B$6:$B$28,0),0))</f>
        <v>0</v>
      </c>
      <c r="Q1193" s="8" t="str">
        <f aca="false">IF($P1193=0,"-",IF($O1193&lt;=INDEX(PARAMETROS_CULTURAS!$F$6:$F$28,$P1193),"INICIAL",IF($O1193&lt;=INDEX(PARAMETROS_CULTURAS!$F$6:$F$28,$P1193)+INDEX(PARAMETROS_CULTURAS!$G$6:$G$28,$P1193),"DESENVOLVIMENTO",IF($O1193&lt;=INDEX(PARAMETROS_CULTURAS!$F$6:$F$28,$P1193)+INDEX(PARAMETROS_CULTURAS!$G$6:$G$28,$P1193)+INDEX(PARAMETROS_CULTURAS!$H$6:$H$28,$P1193),"MEDIA","FINAL"))))</f>
        <v>-</v>
      </c>
      <c r="R1193" s="24" t="n">
        <f aca="false">IF($P1193=0,0,IF($O1193&lt;=INDEX(PARAMETROS_CULTURAS!$F$6:$F$28,$P1193),INDEX(PARAMETROS_CULTURAS!$K$6:$K$28,$P1193),IF($O1193&lt;=INDEX(PARAMETROS_CULTURAS!$F$6:$F$28,$P1193)+INDEX(PARAMETROS_CULTURAS!$G$6:$G$28,$P1193),INDEX(PARAMETROS_CULTURAS!$K$6:$K$28,$P1193)+(INDEX(PARAMETROS_CULTURAS!$L$6:$L$28,$P1193)-INDEX(PARAMETROS_CULTURAS!$K$6:$K$28,$P1193))*($O1193-INDEX(PARAMETROS_CULTURAS!$F$6:$F$28,$P1193))/MAX(INDEX(PARAMETROS_CULTURAS!$G$6:$G$28,$P1193),0.0001),IF($O1193&lt;=INDEX(PARAMETROS_CULTURAS!$F$6:$F$28,$P1193)+INDEX(PARAMETROS_CULTURAS!$G$6:$G$28,$P1193)+INDEX(PARAMETROS_CULTURAS!$H$6:$H$28,$P1193),INDEX(PARAMETROS_CULTURAS!$L$6:$L$28,$P1193),INDEX(PARAMETROS_CULTURAS!$L$6:$L$28,$P1193)+(INDEX(PARAMETROS_CULTURAS!$M$6:$M$28,$P1193)-INDEX(PARAMETROS_CULTURAS!$L$6:$L$28,$P1193))*($O1193-INDEX(PARAMETROS_CULTURAS!$F$6:$F$28,$P1193)-INDEX(PARAMETROS_CULTURAS!$G$6:$G$28,$P1193)-INDEX(PARAMETROS_CULTURAS!$H$6:$H$28,$P1193))/MAX(INDEX(PARAMETROS_CULTURAS!$I$6:$I$28,$P1193),0.0001)))))</f>
        <v>0</v>
      </c>
      <c r="S1193" s="18" t="n">
        <f aca="false">IFERROR(INDEX(SEMANAS!$H$6:$H$71,MATCH($B1193,SEMANAS!$B$6:$B$71,0)),0)</f>
        <v>33.3</v>
      </c>
      <c r="T1193" s="18" t="n">
        <f aca="false">$R1193*$S1193</f>
        <v>0</v>
      </c>
      <c r="U1193" s="18" t="n">
        <f aca="false">IFERROR(INDEX(SEMANAS!$I$6:$I$71,MATCH($B1193,SEMANAS!$B$6:$B$71,0)),0)</f>
        <v>48.04</v>
      </c>
      <c r="V1193" s="18" t="n">
        <f aca="false">IFERROR(INDEX(SEMANAS!$J$6:$J$71,MATCH($B1193,SEMANAS!$B$6:$B$71,0)),0)</f>
        <v>38.432</v>
      </c>
      <c r="W1193" s="18" t="n">
        <f aca="false">MAX(0,$T1193-$V1193)</f>
        <v>0</v>
      </c>
      <c r="X1193" s="19" t="n">
        <f aca="false">IFERROR(INDEX(CADASTRO_PIVOS!$K$6:$K$41,MATCH($E1193,CADASTRO_PIVOS!$B$6:$B$41,0)),EFICIENCIA_PADRAO)</f>
        <v>0.85</v>
      </c>
      <c r="Y1193" s="18" t="n">
        <f aca="false">IF($X1193&lt;=0,0,$W1193/$X1193)</f>
        <v>0</v>
      </c>
      <c r="Z1193" s="16" t="n">
        <f aca="false">$Y1193*$H1193*MM_PARA_M3_HA</f>
        <v>0</v>
      </c>
      <c r="AA1193" s="18" t="n">
        <f aca="false">IFERROR(INDEX(CADASTRO_PIVOS!$I$6:$I$41,MATCH($E1193,CADASTRO_PIVOS!$B$6:$B$41,0)),0)</f>
        <v>1071</v>
      </c>
      <c r="AB1193" s="18" t="n">
        <f aca="false">IF($Z1193&lt;=0,0,$Z1193/$AA1193)</f>
        <v>0</v>
      </c>
      <c r="AC1193" s="16" t="n">
        <f aca="false">IFERROR(INDEX(SEMANAS!$K$6:$K$71,MATCH($B1193,SEMANAS!$B$6:$B$71,0)),0)</f>
        <v>147</v>
      </c>
      <c r="AD1193" s="19" t="n">
        <f aca="false">IF($AC1193&lt;=0,0,$AB1193/$AC1193)</f>
        <v>0</v>
      </c>
      <c r="AE1193" s="8" t="str">
        <f aca="false">IF($K1193="SEM CULTURA","SEM CULTURA",IF($AA1193&lt;=0,"DADO PENDENTE",IF($AD1193&gt;LIMITE_CRITICO,"INVIAVEL",IF($AD1193&gt;LIMITE_ATENCAO,"CRITICO",IF($AD1193&gt;LIMITE_CONFORTAVEL,"ATENCAO","OK")))))</f>
        <v>SEM CULTURA</v>
      </c>
      <c r="AF1193" s="8" t="str">
        <f aca="false">$B1193&amp;"|"&amp;TEXT($AD1193,"0.000000")</f>
        <v>66|0.000000</v>
      </c>
      <c r="AG1193" s="18" t="n">
        <f aca="false">IF($K1193="SEM CULTURA",0,$T1193*$H1193)</f>
        <v>0</v>
      </c>
      <c r="AH1193" s="18" t="n">
        <f aca="false">IF($K1193="SEM CULTURA",0,$V1193*$H1193)</f>
        <v>0</v>
      </c>
      <c r="AI1193" s="18" t="n">
        <f aca="false">IF($K1193="SEM CULTURA",0,$W1193*$H1193)</f>
        <v>0</v>
      </c>
      <c r="AJ1193" s="18" t="n">
        <f aca="false">IF($K1193="SEM CULTURA",0,$S1193*$H1193)</f>
        <v>0</v>
      </c>
      <c r="AK1193" s="8" t="str">
        <f aca="false">$E1193&amp;"|"&amp;TEXT($AD1193,"0.000000")</f>
        <v>PV 117|0.000000</v>
      </c>
    </row>
    <row r="1194" customFormat="false" ht="15" hidden="false" customHeight="false" outlineLevel="0" collapsed="false">
      <c r="B1194" s="16" t="n">
        <v>1</v>
      </c>
      <c r="C1194" s="17" t="n">
        <f aca="false">DATA_INICIO_SAFRA+($B1194-1)*DIAS_POR_SEMANA</f>
        <v>46265</v>
      </c>
      <c r="D1194" s="17" t="n">
        <f aca="false">$C1194+DIAS_POR_SEMANA-1</f>
        <v>46271</v>
      </c>
      <c r="E1194" s="15" t="s">
        <v>277</v>
      </c>
      <c r="F1194" s="8" t="str">
        <f aca="false">IFERROR(INDEX(CADASTRO_PIVOS!$C$6:$C$41,MATCH($E1194,CADASTRO_PIVOS!$B$6:$B$41,0)),"?")</f>
        <v>RM06</v>
      </c>
      <c r="G1194" s="8" t="str">
        <f aca="false">IFERROR(INDEX(CADASTRO_PIVOS!$D$6:$D$41,MATCH($E1194,CADASTRO_PIVOS!$B$6:$B$41,0)),"?")</f>
        <v>TR06</v>
      </c>
      <c r="H1194" s="20" t="n">
        <f aca="false">IFERROR(INDEX(CADASTRO_PIVOS!$E$6:$E$41,MATCH($E1194,CADASTRO_PIVOS!$B$6:$B$41,0)),0)</f>
        <v>146.49</v>
      </c>
      <c r="I1194" s="16" t="n">
        <f aca="false">IFERROR(SUMIFS(ROTACAO_RDM!$B$6:$B$71,ROTACAO_RDM!$D$6:$D$71,$E1194,ROTACAO_RDM!$I$6:$I$71,"&lt;="&amp;$C1194+INT(DIAS_POR_SEMANA/2),ROTACAO_RDM!$J$6:$J$71,"&gt;="&amp;$C1194+INT(DIAS_POR_SEMANA/2)),0)</f>
        <v>0</v>
      </c>
      <c r="J1194" s="16" t="n">
        <f aca="false">IFERROR(MATCH($I1194,ROTACAO_RDM!$B$6:$B$71,0),0)</f>
        <v>0</v>
      </c>
      <c r="K1194" s="8" t="str">
        <f aca="false">IF($J1194=0,"SEM CULTURA",INDEX(ROTACAO_RDM!$F$6:$F$71,$J1194))</f>
        <v>SEM CULTURA</v>
      </c>
      <c r="L1194" s="8" t="str">
        <f aca="false">IF($J1194=0,"",INDEX(ROTACAO_RDM!$G$6:$G$71,$J1194))</f>
        <v/>
      </c>
      <c r="M1194" s="17" t="str">
        <f aca="false">IF($J1194=0,"",INDEX(ROTACAO_RDM!$I$6:$I$71,$J1194))</f>
        <v/>
      </c>
      <c r="N1194" s="16" t="n">
        <f aca="false">IF($J1194=0,0,MAX(0,$C1194+INT(DIAS_POR_SEMANA/2)-INDEX(ROTACAO_RDM!$I$6:$I$71,$J1194)))</f>
        <v>0</v>
      </c>
      <c r="O1194" s="19" t="n">
        <f aca="false">IF($J1194=0,0,MIN(1,$N1194/MAX(1,INDEX(ROTACAO_RDM!$K$6:$K$71,$J1194))))</f>
        <v>0</v>
      </c>
      <c r="P1194" s="16" t="n">
        <f aca="false">IF($J1194=0,0,IFERROR(MATCH(INDEX(ROTACAO_RDM!$N$6:$N$71,$J1194),PARAMETROS_CULTURAS!$B$6:$B$28,0),0))</f>
        <v>0</v>
      </c>
      <c r="Q1194" s="8" t="str">
        <f aca="false">IF($P1194=0,"-",IF($O1194&lt;=INDEX(PARAMETROS_CULTURAS!$F$6:$F$28,$P1194),"INICIAL",IF($O1194&lt;=INDEX(PARAMETROS_CULTURAS!$F$6:$F$28,$P1194)+INDEX(PARAMETROS_CULTURAS!$G$6:$G$28,$P1194),"DESENVOLVIMENTO",IF($O1194&lt;=INDEX(PARAMETROS_CULTURAS!$F$6:$F$28,$P1194)+INDEX(PARAMETROS_CULTURAS!$G$6:$G$28,$P1194)+INDEX(PARAMETROS_CULTURAS!$H$6:$H$28,$P1194),"MEDIA","FINAL"))))</f>
        <v>-</v>
      </c>
      <c r="R1194" s="24" t="n">
        <f aca="false">IF($P1194=0,0,IF($O1194&lt;=INDEX(PARAMETROS_CULTURAS!$F$6:$F$28,$P1194),INDEX(PARAMETROS_CULTURAS!$K$6:$K$28,$P1194),IF($O1194&lt;=INDEX(PARAMETROS_CULTURAS!$F$6:$F$28,$P1194)+INDEX(PARAMETROS_CULTURAS!$G$6:$G$28,$P1194),INDEX(PARAMETROS_CULTURAS!$K$6:$K$28,$P1194)+(INDEX(PARAMETROS_CULTURAS!$L$6:$L$28,$P1194)-INDEX(PARAMETROS_CULTURAS!$K$6:$K$28,$P1194))*($O1194-INDEX(PARAMETROS_CULTURAS!$F$6:$F$28,$P1194))/MAX(INDEX(PARAMETROS_CULTURAS!$G$6:$G$28,$P1194),0.0001),IF($O1194&lt;=INDEX(PARAMETROS_CULTURAS!$F$6:$F$28,$P1194)+INDEX(PARAMETROS_CULTURAS!$G$6:$G$28,$P1194)+INDEX(PARAMETROS_CULTURAS!$H$6:$H$28,$P1194),INDEX(PARAMETROS_CULTURAS!$L$6:$L$28,$P1194),INDEX(PARAMETROS_CULTURAS!$L$6:$L$28,$P1194)+(INDEX(PARAMETROS_CULTURAS!$M$6:$M$28,$P1194)-INDEX(PARAMETROS_CULTURAS!$L$6:$L$28,$P1194))*($O1194-INDEX(PARAMETROS_CULTURAS!$F$6:$F$28,$P1194)-INDEX(PARAMETROS_CULTURAS!$G$6:$G$28,$P1194)-INDEX(PARAMETROS_CULTURAS!$H$6:$H$28,$P1194))/MAX(INDEX(PARAMETROS_CULTURAS!$I$6:$I$28,$P1194),0.0001)))))</f>
        <v>0</v>
      </c>
      <c r="S1194" s="18" t="n">
        <f aca="false">IFERROR(INDEX(SEMANAS!$H$6:$H$71,MATCH($B1194,SEMANAS!$B$6:$B$71,0)),0)</f>
        <v>40</v>
      </c>
      <c r="T1194" s="18" t="n">
        <f aca="false">$R1194*$S1194</f>
        <v>0</v>
      </c>
      <c r="U1194" s="18" t="n">
        <f aca="false">IFERROR(INDEX(SEMANAS!$I$6:$I$71,MATCH($B1194,SEMANAS!$B$6:$B$71,0)),0)</f>
        <v>6.16</v>
      </c>
      <c r="V1194" s="18" t="n">
        <f aca="false">IFERROR(INDEX(SEMANAS!$J$6:$J$71,MATCH($B1194,SEMANAS!$B$6:$B$71,0)),0)</f>
        <v>4.928</v>
      </c>
      <c r="W1194" s="18" t="n">
        <f aca="false">MAX(0,$T1194-$V1194)</f>
        <v>0</v>
      </c>
      <c r="X1194" s="19" t="n">
        <f aca="false">IFERROR(INDEX(CADASTRO_PIVOS!$K$6:$K$41,MATCH($E1194,CADASTRO_PIVOS!$B$6:$B$41,0)),EFICIENCIA_PADRAO)</f>
        <v>0.85</v>
      </c>
      <c r="Y1194" s="18" t="n">
        <f aca="false">IF($X1194&lt;=0,0,$W1194/$X1194)</f>
        <v>0</v>
      </c>
      <c r="Z1194" s="16" t="n">
        <f aca="false">$Y1194*$H1194*MM_PARA_M3_HA</f>
        <v>0</v>
      </c>
      <c r="AA1194" s="18" t="n">
        <f aca="false">IFERROR(INDEX(CADASTRO_PIVOS!$I$6:$I$41,MATCH($E1194,CADASTRO_PIVOS!$B$6:$B$41,0)),0)</f>
        <v>906.842857142857</v>
      </c>
      <c r="AB1194" s="18" t="n">
        <f aca="false">IF($Z1194&lt;=0,0,$Z1194/$AA1194)</f>
        <v>0</v>
      </c>
      <c r="AC1194" s="16" t="n">
        <f aca="false">IFERROR(INDEX(SEMANAS!$K$6:$K$71,MATCH($B1194,SEMANAS!$B$6:$B$71,0)),0)</f>
        <v>147</v>
      </c>
      <c r="AD1194" s="19" t="n">
        <f aca="false">IF($AC1194&lt;=0,0,$AB1194/$AC1194)</f>
        <v>0</v>
      </c>
      <c r="AE1194" s="8" t="str">
        <f aca="false">IF($K1194="SEM CULTURA","SEM CULTURA",IF($AA1194&lt;=0,"DADO PENDENTE",IF($AD1194&gt;LIMITE_CRITICO,"INVIAVEL",IF($AD1194&gt;LIMITE_ATENCAO,"CRITICO",IF($AD1194&gt;LIMITE_CONFORTAVEL,"ATENCAO","OK")))))</f>
        <v>SEM CULTURA</v>
      </c>
      <c r="AF1194" s="8" t="str">
        <f aca="false">$B1194&amp;"|"&amp;TEXT($AD1194,"0.000000")</f>
        <v>1|0.000000</v>
      </c>
      <c r="AG1194" s="18" t="n">
        <f aca="false">IF($K1194="SEM CULTURA",0,$T1194*$H1194)</f>
        <v>0</v>
      </c>
      <c r="AH1194" s="18" t="n">
        <f aca="false">IF($K1194="SEM CULTURA",0,$V1194*$H1194)</f>
        <v>0</v>
      </c>
      <c r="AI1194" s="18" t="n">
        <f aca="false">IF($K1194="SEM CULTURA",0,$W1194*$H1194)</f>
        <v>0</v>
      </c>
      <c r="AJ1194" s="18" t="n">
        <f aca="false">IF($K1194="SEM CULTURA",0,$S1194*$H1194)</f>
        <v>0</v>
      </c>
      <c r="AK1194" s="8" t="str">
        <f aca="false">$E1194&amp;"|"&amp;TEXT($AD1194,"0.000000")</f>
        <v>PV 118|0.000000</v>
      </c>
    </row>
    <row r="1195" customFormat="false" ht="15" hidden="false" customHeight="false" outlineLevel="0" collapsed="false">
      <c r="B1195" s="16" t="n">
        <v>2</v>
      </c>
      <c r="C1195" s="17" t="n">
        <f aca="false">DATA_INICIO_SAFRA+($B1195-1)*DIAS_POR_SEMANA</f>
        <v>46272</v>
      </c>
      <c r="D1195" s="17" t="n">
        <f aca="false">$C1195+DIAS_POR_SEMANA-1</f>
        <v>46278</v>
      </c>
      <c r="E1195" s="15" t="s">
        <v>277</v>
      </c>
      <c r="F1195" s="8" t="str">
        <f aca="false">IFERROR(INDEX(CADASTRO_PIVOS!$C$6:$C$41,MATCH($E1195,CADASTRO_PIVOS!$B$6:$B$41,0)),"?")</f>
        <v>RM06</v>
      </c>
      <c r="G1195" s="8" t="str">
        <f aca="false">IFERROR(INDEX(CADASTRO_PIVOS!$D$6:$D$41,MATCH($E1195,CADASTRO_PIVOS!$B$6:$B$41,0)),"?")</f>
        <v>TR06</v>
      </c>
      <c r="H1195" s="20" t="n">
        <f aca="false">IFERROR(INDEX(CADASTRO_PIVOS!$E$6:$E$41,MATCH($E1195,CADASTRO_PIVOS!$B$6:$B$41,0)),0)</f>
        <v>146.49</v>
      </c>
      <c r="I1195" s="16" t="n">
        <f aca="false">IFERROR(SUMIFS(ROTACAO_RDM!$B$6:$B$71,ROTACAO_RDM!$D$6:$D$71,$E1195,ROTACAO_RDM!$I$6:$I$71,"&lt;="&amp;$C1195+INT(DIAS_POR_SEMANA/2),ROTACAO_RDM!$J$6:$J$71,"&gt;="&amp;$C1195+INT(DIAS_POR_SEMANA/2)),0)</f>
        <v>0</v>
      </c>
      <c r="J1195" s="16" t="n">
        <f aca="false">IFERROR(MATCH($I1195,ROTACAO_RDM!$B$6:$B$71,0),0)</f>
        <v>0</v>
      </c>
      <c r="K1195" s="8" t="str">
        <f aca="false">IF($J1195=0,"SEM CULTURA",INDEX(ROTACAO_RDM!$F$6:$F$71,$J1195))</f>
        <v>SEM CULTURA</v>
      </c>
      <c r="L1195" s="8" t="str">
        <f aca="false">IF($J1195=0,"",INDEX(ROTACAO_RDM!$G$6:$G$71,$J1195))</f>
        <v/>
      </c>
      <c r="M1195" s="17" t="str">
        <f aca="false">IF($J1195=0,"",INDEX(ROTACAO_RDM!$I$6:$I$71,$J1195))</f>
        <v/>
      </c>
      <c r="N1195" s="16" t="n">
        <f aca="false">IF($J1195=0,0,MAX(0,$C1195+INT(DIAS_POR_SEMANA/2)-INDEX(ROTACAO_RDM!$I$6:$I$71,$J1195)))</f>
        <v>0</v>
      </c>
      <c r="O1195" s="19" t="n">
        <f aca="false">IF($J1195=0,0,MIN(1,$N1195/MAX(1,INDEX(ROTACAO_RDM!$K$6:$K$71,$J1195))))</f>
        <v>0</v>
      </c>
      <c r="P1195" s="16" t="n">
        <f aca="false">IF($J1195=0,0,IFERROR(MATCH(INDEX(ROTACAO_RDM!$N$6:$N$71,$J1195),PARAMETROS_CULTURAS!$B$6:$B$28,0),0))</f>
        <v>0</v>
      </c>
      <c r="Q1195" s="8" t="str">
        <f aca="false">IF($P1195=0,"-",IF($O1195&lt;=INDEX(PARAMETROS_CULTURAS!$F$6:$F$28,$P1195),"INICIAL",IF($O1195&lt;=INDEX(PARAMETROS_CULTURAS!$F$6:$F$28,$P1195)+INDEX(PARAMETROS_CULTURAS!$G$6:$G$28,$P1195),"DESENVOLVIMENTO",IF($O1195&lt;=INDEX(PARAMETROS_CULTURAS!$F$6:$F$28,$P1195)+INDEX(PARAMETROS_CULTURAS!$G$6:$G$28,$P1195)+INDEX(PARAMETROS_CULTURAS!$H$6:$H$28,$P1195),"MEDIA","FINAL"))))</f>
        <v>-</v>
      </c>
      <c r="R1195" s="24" t="n">
        <f aca="false">IF($P1195=0,0,IF($O1195&lt;=INDEX(PARAMETROS_CULTURAS!$F$6:$F$28,$P1195),INDEX(PARAMETROS_CULTURAS!$K$6:$K$28,$P1195),IF($O1195&lt;=INDEX(PARAMETROS_CULTURAS!$F$6:$F$28,$P1195)+INDEX(PARAMETROS_CULTURAS!$G$6:$G$28,$P1195),INDEX(PARAMETROS_CULTURAS!$K$6:$K$28,$P1195)+(INDEX(PARAMETROS_CULTURAS!$L$6:$L$28,$P1195)-INDEX(PARAMETROS_CULTURAS!$K$6:$K$28,$P1195))*($O1195-INDEX(PARAMETROS_CULTURAS!$F$6:$F$28,$P1195))/MAX(INDEX(PARAMETROS_CULTURAS!$G$6:$G$28,$P1195),0.0001),IF($O1195&lt;=INDEX(PARAMETROS_CULTURAS!$F$6:$F$28,$P1195)+INDEX(PARAMETROS_CULTURAS!$G$6:$G$28,$P1195)+INDEX(PARAMETROS_CULTURAS!$H$6:$H$28,$P1195),INDEX(PARAMETROS_CULTURAS!$L$6:$L$28,$P1195),INDEX(PARAMETROS_CULTURAS!$L$6:$L$28,$P1195)+(INDEX(PARAMETROS_CULTURAS!$M$6:$M$28,$P1195)-INDEX(PARAMETROS_CULTURAS!$L$6:$L$28,$P1195))*($O1195-INDEX(PARAMETROS_CULTURAS!$F$6:$F$28,$P1195)-INDEX(PARAMETROS_CULTURAS!$G$6:$G$28,$P1195)-INDEX(PARAMETROS_CULTURAS!$H$6:$H$28,$P1195))/MAX(INDEX(PARAMETROS_CULTURAS!$I$6:$I$28,$P1195),0.0001)))))</f>
        <v>0</v>
      </c>
      <c r="S1195" s="18" t="n">
        <f aca="false">IFERROR(INDEX(SEMANAS!$H$6:$H$71,MATCH($B1195,SEMANAS!$B$6:$B$71,0)),0)</f>
        <v>40.6</v>
      </c>
      <c r="T1195" s="18" t="n">
        <f aca="false">$R1195*$S1195</f>
        <v>0</v>
      </c>
      <c r="U1195" s="18" t="n">
        <f aca="false">IFERROR(INDEX(SEMANAS!$I$6:$I$71,MATCH($B1195,SEMANAS!$B$6:$B$71,0)),0)</f>
        <v>7</v>
      </c>
      <c r="V1195" s="18" t="n">
        <f aca="false">IFERROR(INDEX(SEMANAS!$J$6:$J$71,MATCH($B1195,SEMANAS!$B$6:$B$71,0)),0)</f>
        <v>5.6</v>
      </c>
      <c r="W1195" s="18" t="n">
        <f aca="false">MAX(0,$T1195-$V1195)</f>
        <v>0</v>
      </c>
      <c r="X1195" s="19" t="n">
        <f aca="false">IFERROR(INDEX(CADASTRO_PIVOS!$K$6:$K$41,MATCH($E1195,CADASTRO_PIVOS!$B$6:$B$41,0)),EFICIENCIA_PADRAO)</f>
        <v>0.85</v>
      </c>
      <c r="Y1195" s="18" t="n">
        <f aca="false">IF($X1195&lt;=0,0,$W1195/$X1195)</f>
        <v>0</v>
      </c>
      <c r="Z1195" s="16" t="n">
        <f aca="false">$Y1195*$H1195*MM_PARA_M3_HA</f>
        <v>0</v>
      </c>
      <c r="AA1195" s="18" t="n">
        <f aca="false">IFERROR(INDEX(CADASTRO_PIVOS!$I$6:$I$41,MATCH($E1195,CADASTRO_PIVOS!$B$6:$B$41,0)),0)</f>
        <v>906.842857142857</v>
      </c>
      <c r="AB1195" s="18" t="n">
        <f aca="false">IF($Z1195&lt;=0,0,$Z1195/$AA1195)</f>
        <v>0</v>
      </c>
      <c r="AC1195" s="16" t="n">
        <f aca="false">IFERROR(INDEX(SEMANAS!$K$6:$K$71,MATCH($B1195,SEMANAS!$B$6:$B$71,0)),0)</f>
        <v>147</v>
      </c>
      <c r="AD1195" s="19" t="n">
        <f aca="false">IF($AC1195&lt;=0,0,$AB1195/$AC1195)</f>
        <v>0</v>
      </c>
      <c r="AE1195" s="8" t="str">
        <f aca="false">IF($K1195="SEM CULTURA","SEM CULTURA",IF($AA1195&lt;=0,"DADO PENDENTE",IF($AD1195&gt;LIMITE_CRITICO,"INVIAVEL",IF($AD1195&gt;LIMITE_ATENCAO,"CRITICO",IF($AD1195&gt;LIMITE_CONFORTAVEL,"ATENCAO","OK")))))</f>
        <v>SEM CULTURA</v>
      </c>
      <c r="AF1195" s="8" t="str">
        <f aca="false">$B1195&amp;"|"&amp;TEXT($AD1195,"0.000000")</f>
        <v>2|0.000000</v>
      </c>
      <c r="AG1195" s="18" t="n">
        <f aca="false">IF($K1195="SEM CULTURA",0,$T1195*$H1195)</f>
        <v>0</v>
      </c>
      <c r="AH1195" s="18" t="n">
        <f aca="false">IF($K1195="SEM CULTURA",0,$V1195*$H1195)</f>
        <v>0</v>
      </c>
      <c r="AI1195" s="18" t="n">
        <f aca="false">IF($K1195="SEM CULTURA",0,$W1195*$H1195)</f>
        <v>0</v>
      </c>
      <c r="AJ1195" s="18" t="n">
        <f aca="false">IF($K1195="SEM CULTURA",0,$S1195*$H1195)</f>
        <v>0</v>
      </c>
      <c r="AK1195" s="8" t="str">
        <f aca="false">$E1195&amp;"|"&amp;TEXT($AD1195,"0.000000")</f>
        <v>PV 118|0.000000</v>
      </c>
    </row>
    <row r="1196" customFormat="false" ht="15" hidden="false" customHeight="false" outlineLevel="0" collapsed="false">
      <c r="B1196" s="16" t="n">
        <v>3</v>
      </c>
      <c r="C1196" s="17" t="n">
        <f aca="false">DATA_INICIO_SAFRA+($B1196-1)*DIAS_POR_SEMANA</f>
        <v>46279</v>
      </c>
      <c r="D1196" s="17" t="n">
        <f aca="false">$C1196+DIAS_POR_SEMANA-1</f>
        <v>46285</v>
      </c>
      <c r="E1196" s="15" t="s">
        <v>277</v>
      </c>
      <c r="F1196" s="8" t="str">
        <f aca="false">IFERROR(INDEX(CADASTRO_PIVOS!$C$6:$C$41,MATCH($E1196,CADASTRO_PIVOS!$B$6:$B$41,0)),"?")</f>
        <v>RM06</v>
      </c>
      <c r="G1196" s="8" t="str">
        <f aca="false">IFERROR(INDEX(CADASTRO_PIVOS!$D$6:$D$41,MATCH($E1196,CADASTRO_PIVOS!$B$6:$B$41,0)),"?")</f>
        <v>TR06</v>
      </c>
      <c r="H1196" s="20" t="n">
        <f aca="false">IFERROR(INDEX(CADASTRO_PIVOS!$E$6:$E$41,MATCH($E1196,CADASTRO_PIVOS!$B$6:$B$41,0)),0)</f>
        <v>146.49</v>
      </c>
      <c r="I1196" s="16" t="n">
        <f aca="false">IFERROR(SUMIFS(ROTACAO_RDM!$B$6:$B$71,ROTACAO_RDM!$D$6:$D$71,$E1196,ROTACAO_RDM!$I$6:$I$71,"&lt;="&amp;$C1196+INT(DIAS_POR_SEMANA/2),ROTACAO_RDM!$J$6:$J$71,"&gt;="&amp;$C1196+INT(DIAS_POR_SEMANA/2)),0)</f>
        <v>0</v>
      </c>
      <c r="J1196" s="16" t="n">
        <f aca="false">IFERROR(MATCH($I1196,ROTACAO_RDM!$B$6:$B$71,0),0)</f>
        <v>0</v>
      </c>
      <c r="K1196" s="8" t="str">
        <f aca="false">IF($J1196=0,"SEM CULTURA",INDEX(ROTACAO_RDM!$F$6:$F$71,$J1196))</f>
        <v>SEM CULTURA</v>
      </c>
      <c r="L1196" s="8" t="str">
        <f aca="false">IF($J1196=0,"",INDEX(ROTACAO_RDM!$G$6:$G$71,$J1196))</f>
        <v/>
      </c>
      <c r="M1196" s="17" t="str">
        <f aca="false">IF($J1196=0,"",INDEX(ROTACAO_RDM!$I$6:$I$71,$J1196))</f>
        <v/>
      </c>
      <c r="N1196" s="16" t="n">
        <f aca="false">IF($J1196=0,0,MAX(0,$C1196+INT(DIAS_POR_SEMANA/2)-INDEX(ROTACAO_RDM!$I$6:$I$71,$J1196)))</f>
        <v>0</v>
      </c>
      <c r="O1196" s="19" t="n">
        <f aca="false">IF($J1196=0,0,MIN(1,$N1196/MAX(1,INDEX(ROTACAO_RDM!$K$6:$K$71,$J1196))))</f>
        <v>0</v>
      </c>
      <c r="P1196" s="16" t="n">
        <f aca="false">IF($J1196=0,0,IFERROR(MATCH(INDEX(ROTACAO_RDM!$N$6:$N$71,$J1196),PARAMETROS_CULTURAS!$B$6:$B$28,0),0))</f>
        <v>0</v>
      </c>
      <c r="Q1196" s="8" t="str">
        <f aca="false">IF($P1196=0,"-",IF($O1196&lt;=INDEX(PARAMETROS_CULTURAS!$F$6:$F$28,$P1196),"INICIAL",IF($O1196&lt;=INDEX(PARAMETROS_CULTURAS!$F$6:$F$28,$P1196)+INDEX(PARAMETROS_CULTURAS!$G$6:$G$28,$P1196),"DESENVOLVIMENTO",IF($O1196&lt;=INDEX(PARAMETROS_CULTURAS!$F$6:$F$28,$P1196)+INDEX(PARAMETROS_CULTURAS!$G$6:$G$28,$P1196)+INDEX(PARAMETROS_CULTURAS!$H$6:$H$28,$P1196),"MEDIA","FINAL"))))</f>
        <v>-</v>
      </c>
      <c r="R1196" s="24" t="n">
        <f aca="false">IF($P1196=0,0,IF($O1196&lt;=INDEX(PARAMETROS_CULTURAS!$F$6:$F$28,$P1196),INDEX(PARAMETROS_CULTURAS!$K$6:$K$28,$P1196),IF($O1196&lt;=INDEX(PARAMETROS_CULTURAS!$F$6:$F$28,$P1196)+INDEX(PARAMETROS_CULTURAS!$G$6:$G$28,$P1196),INDEX(PARAMETROS_CULTURAS!$K$6:$K$28,$P1196)+(INDEX(PARAMETROS_CULTURAS!$L$6:$L$28,$P1196)-INDEX(PARAMETROS_CULTURAS!$K$6:$K$28,$P1196))*($O1196-INDEX(PARAMETROS_CULTURAS!$F$6:$F$28,$P1196))/MAX(INDEX(PARAMETROS_CULTURAS!$G$6:$G$28,$P1196),0.0001),IF($O1196&lt;=INDEX(PARAMETROS_CULTURAS!$F$6:$F$28,$P1196)+INDEX(PARAMETROS_CULTURAS!$G$6:$G$28,$P1196)+INDEX(PARAMETROS_CULTURAS!$H$6:$H$28,$P1196),INDEX(PARAMETROS_CULTURAS!$L$6:$L$28,$P1196),INDEX(PARAMETROS_CULTURAS!$L$6:$L$28,$P1196)+(INDEX(PARAMETROS_CULTURAS!$M$6:$M$28,$P1196)-INDEX(PARAMETROS_CULTURAS!$L$6:$L$28,$P1196))*($O1196-INDEX(PARAMETROS_CULTURAS!$F$6:$F$28,$P1196)-INDEX(PARAMETROS_CULTURAS!$G$6:$G$28,$P1196)-INDEX(PARAMETROS_CULTURAS!$H$6:$H$28,$P1196))/MAX(INDEX(PARAMETROS_CULTURAS!$I$6:$I$28,$P1196),0.0001)))))</f>
        <v>0</v>
      </c>
      <c r="S1196" s="18" t="n">
        <f aca="false">IFERROR(INDEX(SEMANAS!$H$6:$H$71,MATCH($B1196,SEMANAS!$B$6:$B$71,0)),0)</f>
        <v>40.6</v>
      </c>
      <c r="T1196" s="18" t="n">
        <f aca="false">$R1196*$S1196</f>
        <v>0</v>
      </c>
      <c r="U1196" s="18" t="n">
        <f aca="false">IFERROR(INDEX(SEMANAS!$I$6:$I$71,MATCH($B1196,SEMANAS!$B$6:$B$71,0)),0)</f>
        <v>7</v>
      </c>
      <c r="V1196" s="18" t="n">
        <f aca="false">IFERROR(INDEX(SEMANAS!$J$6:$J$71,MATCH($B1196,SEMANAS!$B$6:$B$71,0)),0)</f>
        <v>5.6</v>
      </c>
      <c r="W1196" s="18" t="n">
        <f aca="false">MAX(0,$T1196-$V1196)</f>
        <v>0</v>
      </c>
      <c r="X1196" s="19" t="n">
        <f aca="false">IFERROR(INDEX(CADASTRO_PIVOS!$K$6:$K$41,MATCH($E1196,CADASTRO_PIVOS!$B$6:$B$41,0)),EFICIENCIA_PADRAO)</f>
        <v>0.85</v>
      </c>
      <c r="Y1196" s="18" t="n">
        <f aca="false">IF($X1196&lt;=0,0,$W1196/$X1196)</f>
        <v>0</v>
      </c>
      <c r="Z1196" s="16" t="n">
        <f aca="false">$Y1196*$H1196*MM_PARA_M3_HA</f>
        <v>0</v>
      </c>
      <c r="AA1196" s="18" t="n">
        <f aca="false">IFERROR(INDEX(CADASTRO_PIVOS!$I$6:$I$41,MATCH($E1196,CADASTRO_PIVOS!$B$6:$B$41,0)),0)</f>
        <v>906.842857142857</v>
      </c>
      <c r="AB1196" s="18" t="n">
        <f aca="false">IF($Z1196&lt;=0,0,$Z1196/$AA1196)</f>
        <v>0</v>
      </c>
      <c r="AC1196" s="16" t="n">
        <f aca="false">IFERROR(INDEX(SEMANAS!$K$6:$K$71,MATCH($B1196,SEMANAS!$B$6:$B$71,0)),0)</f>
        <v>147</v>
      </c>
      <c r="AD1196" s="19" t="n">
        <f aca="false">IF($AC1196&lt;=0,0,$AB1196/$AC1196)</f>
        <v>0</v>
      </c>
      <c r="AE1196" s="8" t="str">
        <f aca="false">IF($K1196="SEM CULTURA","SEM CULTURA",IF($AA1196&lt;=0,"DADO PENDENTE",IF($AD1196&gt;LIMITE_CRITICO,"INVIAVEL",IF($AD1196&gt;LIMITE_ATENCAO,"CRITICO",IF($AD1196&gt;LIMITE_CONFORTAVEL,"ATENCAO","OK")))))</f>
        <v>SEM CULTURA</v>
      </c>
      <c r="AF1196" s="8" t="str">
        <f aca="false">$B1196&amp;"|"&amp;TEXT($AD1196,"0.000000")</f>
        <v>3|0.000000</v>
      </c>
      <c r="AG1196" s="18" t="n">
        <f aca="false">IF($K1196="SEM CULTURA",0,$T1196*$H1196)</f>
        <v>0</v>
      </c>
      <c r="AH1196" s="18" t="n">
        <f aca="false">IF($K1196="SEM CULTURA",0,$V1196*$H1196)</f>
        <v>0</v>
      </c>
      <c r="AI1196" s="18" t="n">
        <f aca="false">IF($K1196="SEM CULTURA",0,$W1196*$H1196)</f>
        <v>0</v>
      </c>
      <c r="AJ1196" s="18" t="n">
        <f aca="false">IF($K1196="SEM CULTURA",0,$S1196*$H1196)</f>
        <v>0</v>
      </c>
      <c r="AK1196" s="8" t="str">
        <f aca="false">$E1196&amp;"|"&amp;TEXT($AD1196,"0.000000")</f>
        <v>PV 118|0.000000</v>
      </c>
    </row>
    <row r="1197" customFormat="false" ht="15" hidden="false" customHeight="false" outlineLevel="0" collapsed="false">
      <c r="B1197" s="16" t="n">
        <v>4</v>
      </c>
      <c r="C1197" s="17" t="n">
        <f aca="false">DATA_INICIO_SAFRA+($B1197-1)*DIAS_POR_SEMANA</f>
        <v>46286</v>
      </c>
      <c r="D1197" s="17" t="n">
        <f aca="false">$C1197+DIAS_POR_SEMANA-1</f>
        <v>46292</v>
      </c>
      <c r="E1197" s="15" t="s">
        <v>277</v>
      </c>
      <c r="F1197" s="8" t="str">
        <f aca="false">IFERROR(INDEX(CADASTRO_PIVOS!$C$6:$C$41,MATCH($E1197,CADASTRO_PIVOS!$B$6:$B$41,0)),"?")</f>
        <v>RM06</v>
      </c>
      <c r="G1197" s="8" t="str">
        <f aca="false">IFERROR(INDEX(CADASTRO_PIVOS!$D$6:$D$41,MATCH($E1197,CADASTRO_PIVOS!$B$6:$B$41,0)),"?")</f>
        <v>TR06</v>
      </c>
      <c r="H1197" s="20" t="n">
        <f aca="false">IFERROR(INDEX(CADASTRO_PIVOS!$E$6:$E$41,MATCH($E1197,CADASTRO_PIVOS!$B$6:$B$41,0)),0)</f>
        <v>146.49</v>
      </c>
      <c r="I1197" s="16" t="n">
        <f aca="false">IFERROR(SUMIFS(ROTACAO_RDM!$B$6:$B$71,ROTACAO_RDM!$D$6:$D$71,$E1197,ROTACAO_RDM!$I$6:$I$71,"&lt;="&amp;$C1197+INT(DIAS_POR_SEMANA/2),ROTACAO_RDM!$J$6:$J$71,"&gt;="&amp;$C1197+INT(DIAS_POR_SEMANA/2)),0)</f>
        <v>0</v>
      </c>
      <c r="J1197" s="16" t="n">
        <f aca="false">IFERROR(MATCH($I1197,ROTACAO_RDM!$B$6:$B$71,0),0)</f>
        <v>0</v>
      </c>
      <c r="K1197" s="8" t="str">
        <f aca="false">IF($J1197=0,"SEM CULTURA",INDEX(ROTACAO_RDM!$F$6:$F$71,$J1197))</f>
        <v>SEM CULTURA</v>
      </c>
      <c r="L1197" s="8" t="str">
        <f aca="false">IF($J1197=0,"",INDEX(ROTACAO_RDM!$G$6:$G$71,$J1197))</f>
        <v/>
      </c>
      <c r="M1197" s="17" t="str">
        <f aca="false">IF($J1197=0,"",INDEX(ROTACAO_RDM!$I$6:$I$71,$J1197))</f>
        <v/>
      </c>
      <c r="N1197" s="16" t="n">
        <f aca="false">IF($J1197=0,0,MAX(0,$C1197+INT(DIAS_POR_SEMANA/2)-INDEX(ROTACAO_RDM!$I$6:$I$71,$J1197)))</f>
        <v>0</v>
      </c>
      <c r="O1197" s="19" t="n">
        <f aca="false">IF($J1197=0,0,MIN(1,$N1197/MAX(1,INDEX(ROTACAO_RDM!$K$6:$K$71,$J1197))))</f>
        <v>0</v>
      </c>
      <c r="P1197" s="16" t="n">
        <f aca="false">IF($J1197=0,0,IFERROR(MATCH(INDEX(ROTACAO_RDM!$N$6:$N$71,$J1197),PARAMETROS_CULTURAS!$B$6:$B$28,0),0))</f>
        <v>0</v>
      </c>
      <c r="Q1197" s="8" t="str">
        <f aca="false">IF($P1197=0,"-",IF($O1197&lt;=INDEX(PARAMETROS_CULTURAS!$F$6:$F$28,$P1197),"INICIAL",IF($O1197&lt;=INDEX(PARAMETROS_CULTURAS!$F$6:$F$28,$P1197)+INDEX(PARAMETROS_CULTURAS!$G$6:$G$28,$P1197),"DESENVOLVIMENTO",IF($O1197&lt;=INDEX(PARAMETROS_CULTURAS!$F$6:$F$28,$P1197)+INDEX(PARAMETROS_CULTURAS!$G$6:$G$28,$P1197)+INDEX(PARAMETROS_CULTURAS!$H$6:$H$28,$P1197),"MEDIA","FINAL"))))</f>
        <v>-</v>
      </c>
      <c r="R1197" s="24" t="n">
        <f aca="false">IF($P1197=0,0,IF($O1197&lt;=INDEX(PARAMETROS_CULTURAS!$F$6:$F$28,$P1197),INDEX(PARAMETROS_CULTURAS!$K$6:$K$28,$P1197),IF($O1197&lt;=INDEX(PARAMETROS_CULTURAS!$F$6:$F$28,$P1197)+INDEX(PARAMETROS_CULTURAS!$G$6:$G$28,$P1197),INDEX(PARAMETROS_CULTURAS!$K$6:$K$28,$P1197)+(INDEX(PARAMETROS_CULTURAS!$L$6:$L$28,$P1197)-INDEX(PARAMETROS_CULTURAS!$K$6:$K$28,$P1197))*($O1197-INDEX(PARAMETROS_CULTURAS!$F$6:$F$28,$P1197))/MAX(INDEX(PARAMETROS_CULTURAS!$G$6:$G$28,$P1197),0.0001),IF($O1197&lt;=INDEX(PARAMETROS_CULTURAS!$F$6:$F$28,$P1197)+INDEX(PARAMETROS_CULTURAS!$G$6:$G$28,$P1197)+INDEX(PARAMETROS_CULTURAS!$H$6:$H$28,$P1197),INDEX(PARAMETROS_CULTURAS!$L$6:$L$28,$P1197),INDEX(PARAMETROS_CULTURAS!$L$6:$L$28,$P1197)+(INDEX(PARAMETROS_CULTURAS!$M$6:$M$28,$P1197)-INDEX(PARAMETROS_CULTURAS!$L$6:$L$28,$P1197))*($O1197-INDEX(PARAMETROS_CULTURAS!$F$6:$F$28,$P1197)-INDEX(PARAMETROS_CULTURAS!$G$6:$G$28,$P1197)-INDEX(PARAMETROS_CULTURAS!$H$6:$H$28,$P1197))/MAX(INDEX(PARAMETROS_CULTURAS!$I$6:$I$28,$P1197),0.0001)))))</f>
        <v>0</v>
      </c>
      <c r="S1197" s="18" t="n">
        <f aca="false">IFERROR(INDEX(SEMANAS!$H$6:$H$71,MATCH($B1197,SEMANAS!$B$6:$B$71,0)),0)</f>
        <v>40.6</v>
      </c>
      <c r="T1197" s="18" t="n">
        <f aca="false">$R1197*$S1197</f>
        <v>0</v>
      </c>
      <c r="U1197" s="18" t="n">
        <f aca="false">IFERROR(INDEX(SEMANAS!$I$6:$I$71,MATCH($B1197,SEMANAS!$B$6:$B$71,0)),0)</f>
        <v>7</v>
      </c>
      <c r="V1197" s="18" t="n">
        <f aca="false">IFERROR(INDEX(SEMANAS!$J$6:$J$71,MATCH($B1197,SEMANAS!$B$6:$B$71,0)),0)</f>
        <v>5.6</v>
      </c>
      <c r="W1197" s="18" t="n">
        <f aca="false">MAX(0,$T1197-$V1197)</f>
        <v>0</v>
      </c>
      <c r="X1197" s="19" t="n">
        <f aca="false">IFERROR(INDEX(CADASTRO_PIVOS!$K$6:$K$41,MATCH($E1197,CADASTRO_PIVOS!$B$6:$B$41,0)),EFICIENCIA_PADRAO)</f>
        <v>0.85</v>
      </c>
      <c r="Y1197" s="18" t="n">
        <f aca="false">IF($X1197&lt;=0,0,$W1197/$X1197)</f>
        <v>0</v>
      </c>
      <c r="Z1197" s="16" t="n">
        <f aca="false">$Y1197*$H1197*MM_PARA_M3_HA</f>
        <v>0</v>
      </c>
      <c r="AA1197" s="18" t="n">
        <f aca="false">IFERROR(INDEX(CADASTRO_PIVOS!$I$6:$I$41,MATCH($E1197,CADASTRO_PIVOS!$B$6:$B$41,0)),0)</f>
        <v>906.842857142857</v>
      </c>
      <c r="AB1197" s="18" t="n">
        <f aca="false">IF($Z1197&lt;=0,0,$Z1197/$AA1197)</f>
        <v>0</v>
      </c>
      <c r="AC1197" s="16" t="n">
        <f aca="false">IFERROR(INDEX(SEMANAS!$K$6:$K$71,MATCH($B1197,SEMANAS!$B$6:$B$71,0)),0)</f>
        <v>147</v>
      </c>
      <c r="AD1197" s="19" t="n">
        <f aca="false">IF($AC1197&lt;=0,0,$AB1197/$AC1197)</f>
        <v>0</v>
      </c>
      <c r="AE1197" s="8" t="str">
        <f aca="false">IF($K1197="SEM CULTURA","SEM CULTURA",IF($AA1197&lt;=0,"DADO PENDENTE",IF($AD1197&gt;LIMITE_CRITICO,"INVIAVEL",IF($AD1197&gt;LIMITE_ATENCAO,"CRITICO",IF($AD1197&gt;LIMITE_CONFORTAVEL,"ATENCAO","OK")))))</f>
        <v>SEM CULTURA</v>
      </c>
      <c r="AF1197" s="8" t="str">
        <f aca="false">$B1197&amp;"|"&amp;TEXT($AD1197,"0.000000")</f>
        <v>4|0.000000</v>
      </c>
      <c r="AG1197" s="18" t="n">
        <f aca="false">IF($K1197="SEM CULTURA",0,$T1197*$H1197)</f>
        <v>0</v>
      </c>
      <c r="AH1197" s="18" t="n">
        <f aca="false">IF($K1197="SEM CULTURA",0,$V1197*$H1197)</f>
        <v>0</v>
      </c>
      <c r="AI1197" s="18" t="n">
        <f aca="false">IF($K1197="SEM CULTURA",0,$W1197*$H1197)</f>
        <v>0</v>
      </c>
      <c r="AJ1197" s="18" t="n">
        <f aca="false">IF($K1197="SEM CULTURA",0,$S1197*$H1197)</f>
        <v>0</v>
      </c>
      <c r="AK1197" s="8" t="str">
        <f aca="false">$E1197&amp;"|"&amp;TEXT($AD1197,"0.000000")</f>
        <v>PV 118|0.000000</v>
      </c>
    </row>
    <row r="1198" customFormat="false" ht="15" hidden="false" customHeight="false" outlineLevel="0" collapsed="false">
      <c r="B1198" s="16" t="n">
        <v>5</v>
      </c>
      <c r="C1198" s="17" t="n">
        <f aca="false">DATA_INICIO_SAFRA+($B1198-1)*DIAS_POR_SEMANA</f>
        <v>46293</v>
      </c>
      <c r="D1198" s="17" t="n">
        <f aca="false">$C1198+DIAS_POR_SEMANA-1</f>
        <v>46299</v>
      </c>
      <c r="E1198" s="15" t="s">
        <v>277</v>
      </c>
      <c r="F1198" s="8" t="str">
        <f aca="false">IFERROR(INDEX(CADASTRO_PIVOS!$C$6:$C$41,MATCH($E1198,CADASTRO_PIVOS!$B$6:$B$41,0)),"?")</f>
        <v>RM06</v>
      </c>
      <c r="G1198" s="8" t="str">
        <f aca="false">IFERROR(INDEX(CADASTRO_PIVOS!$D$6:$D$41,MATCH($E1198,CADASTRO_PIVOS!$B$6:$B$41,0)),"?")</f>
        <v>TR06</v>
      </c>
      <c r="H1198" s="20" t="n">
        <f aca="false">IFERROR(INDEX(CADASTRO_PIVOS!$E$6:$E$41,MATCH($E1198,CADASTRO_PIVOS!$B$6:$B$41,0)),0)</f>
        <v>146.49</v>
      </c>
      <c r="I1198" s="16" t="n">
        <f aca="false">IFERROR(SUMIFS(ROTACAO_RDM!$B$6:$B$71,ROTACAO_RDM!$D$6:$D$71,$E1198,ROTACAO_RDM!$I$6:$I$71,"&lt;="&amp;$C1198+INT(DIAS_POR_SEMANA/2),ROTACAO_RDM!$J$6:$J$71,"&gt;="&amp;$C1198+INT(DIAS_POR_SEMANA/2)),0)</f>
        <v>0</v>
      </c>
      <c r="J1198" s="16" t="n">
        <f aca="false">IFERROR(MATCH($I1198,ROTACAO_RDM!$B$6:$B$71,0),0)</f>
        <v>0</v>
      </c>
      <c r="K1198" s="8" t="str">
        <f aca="false">IF($J1198=0,"SEM CULTURA",INDEX(ROTACAO_RDM!$F$6:$F$71,$J1198))</f>
        <v>SEM CULTURA</v>
      </c>
      <c r="L1198" s="8" t="str">
        <f aca="false">IF($J1198=0,"",INDEX(ROTACAO_RDM!$G$6:$G$71,$J1198))</f>
        <v/>
      </c>
      <c r="M1198" s="17" t="str">
        <f aca="false">IF($J1198=0,"",INDEX(ROTACAO_RDM!$I$6:$I$71,$J1198))</f>
        <v/>
      </c>
      <c r="N1198" s="16" t="n">
        <f aca="false">IF($J1198=0,0,MAX(0,$C1198+INT(DIAS_POR_SEMANA/2)-INDEX(ROTACAO_RDM!$I$6:$I$71,$J1198)))</f>
        <v>0</v>
      </c>
      <c r="O1198" s="19" t="n">
        <f aca="false">IF($J1198=0,0,MIN(1,$N1198/MAX(1,INDEX(ROTACAO_RDM!$K$6:$K$71,$J1198))))</f>
        <v>0</v>
      </c>
      <c r="P1198" s="16" t="n">
        <f aca="false">IF($J1198=0,0,IFERROR(MATCH(INDEX(ROTACAO_RDM!$N$6:$N$71,$J1198),PARAMETROS_CULTURAS!$B$6:$B$28,0),0))</f>
        <v>0</v>
      </c>
      <c r="Q1198" s="8" t="str">
        <f aca="false">IF($P1198=0,"-",IF($O1198&lt;=INDEX(PARAMETROS_CULTURAS!$F$6:$F$28,$P1198),"INICIAL",IF($O1198&lt;=INDEX(PARAMETROS_CULTURAS!$F$6:$F$28,$P1198)+INDEX(PARAMETROS_CULTURAS!$G$6:$G$28,$P1198),"DESENVOLVIMENTO",IF($O1198&lt;=INDEX(PARAMETROS_CULTURAS!$F$6:$F$28,$P1198)+INDEX(PARAMETROS_CULTURAS!$G$6:$G$28,$P1198)+INDEX(PARAMETROS_CULTURAS!$H$6:$H$28,$P1198),"MEDIA","FINAL"))))</f>
        <v>-</v>
      </c>
      <c r="R1198" s="24" t="n">
        <f aca="false">IF($P1198=0,0,IF($O1198&lt;=INDEX(PARAMETROS_CULTURAS!$F$6:$F$28,$P1198),INDEX(PARAMETROS_CULTURAS!$K$6:$K$28,$P1198),IF($O1198&lt;=INDEX(PARAMETROS_CULTURAS!$F$6:$F$28,$P1198)+INDEX(PARAMETROS_CULTURAS!$G$6:$G$28,$P1198),INDEX(PARAMETROS_CULTURAS!$K$6:$K$28,$P1198)+(INDEX(PARAMETROS_CULTURAS!$L$6:$L$28,$P1198)-INDEX(PARAMETROS_CULTURAS!$K$6:$K$28,$P1198))*($O1198-INDEX(PARAMETROS_CULTURAS!$F$6:$F$28,$P1198))/MAX(INDEX(PARAMETROS_CULTURAS!$G$6:$G$28,$P1198),0.0001),IF($O1198&lt;=INDEX(PARAMETROS_CULTURAS!$F$6:$F$28,$P1198)+INDEX(PARAMETROS_CULTURAS!$G$6:$G$28,$P1198)+INDEX(PARAMETROS_CULTURAS!$H$6:$H$28,$P1198),INDEX(PARAMETROS_CULTURAS!$L$6:$L$28,$P1198),INDEX(PARAMETROS_CULTURAS!$L$6:$L$28,$P1198)+(INDEX(PARAMETROS_CULTURAS!$M$6:$M$28,$P1198)-INDEX(PARAMETROS_CULTURAS!$L$6:$L$28,$P1198))*($O1198-INDEX(PARAMETROS_CULTURAS!$F$6:$F$28,$P1198)-INDEX(PARAMETROS_CULTURAS!$G$6:$G$28,$P1198)-INDEX(PARAMETROS_CULTURAS!$H$6:$H$28,$P1198))/MAX(INDEX(PARAMETROS_CULTURAS!$I$6:$I$28,$P1198),0.0001)))))</f>
        <v>0</v>
      </c>
      <c r="S1198" s="18" t="n">
        <f aca="false">IFERROR(INDEX(SEMANAS!$H$6:$H$71,MATCH($B1198,SEMANAS!$B$6:$B$71,0)),0)</f>
        <v>39.8</v>
      </c>
      <c r="T1198" s="18" t="n">
        <f aca="false">$R1198*$S1198</f>
        <v>0</v>
      </c>
      <c r="U1198" s="18" t="n">
        <f aca="false">IFERROR(INDEX(SEMANAS!$I$6:$I$71,MATCH($B1198,SEMANAS!$B$6:$B$71,0)),0)</f>
        <v>18.48</v>
      </c>
      <c r="V1198" s="18" t="n">
        <f aca="false">IFERROR(INDEX(SEMANAS!$J$6:$J$71,MATCH($B1198,SEMANAS!$B$6:$B$71,0)),0)</f>
        <v>14.784</v>
      </c>
      <c r="W1198" s="18" t="n">
        <f aca="false">MAX(0,$T1198-$V1198)</f>
        <v>0</v>
      </c>
      <c r="X1198" s="19" t="n">
        <f aca="false">IFERROR(INDEX(CADASTRO_PIVOS!$K$6:$K$41,MATCH($E1198,CADASTRO_PIVOS!$B$6:$B$41,0)),EFICIENCIA_PADRAO)</f>
        <v>0.85</v>
      </c>
      <c r="Y1198" s="18" t="n">
        <f aca="false">IF($X1198&lt;=0,0,$W1198/$X1198)</f>
        <v>0</v>
      </c>
      <c r="Z1198" s="16" t="n">
        <f aca="false">$Y1198*$H1198*MM_PARA_M3_HA</f>
        <v>0</v>
      </c>
      <c r="AA1198" s="18" t="n">
        <f aca="false">IFERROR(INDEX(CADASTRO_PIVOS!$I$6:$I$41,MATCH($E1198,CADASTRO_PIVOS!$B$6:$B$41,0)),0)</f>
        <v>906.842857142857</v>
      </c>
      <c r="AB1198" s="18" t="n">
        <f aca="false">IF($Z1198&lt;=0,0,$Z1198/$AA1198)</f>
        <v>0</v>
      </c>
      <c r="AC1198" s="16" t="n">
        <f aca="false">IFERROR(INDEX(SEMANAS!$K$6:$K$71,MATCH($B1198,SEMANAS!$B$6:$B$71,0)),0)</f>
        <v>147</v>
      </c>
      <c r="AD1198" s="19" t="n">
        <f aca="false">IF($AC1198&lt;=0,0,$AB1198/$AC1198)</f>
        <v>0</v>
      </c>
      <c r="AE1198" s="8" t="str">
        <f aca="false">IF($K1198="SEM CULTURA","SEM CULTURA",IF($AA1198&lt;=0,"DADO PENDENTE",IF($AD1198&gt;LIMITE_CRITICO,"INVIAVEL",IF($AD1198&gt;LIMITE_ATENCAO,"CRITICO",IF($AD1198&gt;LIMITE_CONFORTAVEL,"ATENCAO","OK")))))</f>
        <v>SEM CULTURA</v>
      </c>
      <c r="AF1198" s="8" t="str">
        <f aca="false">$B1198&amp;"|"&amp;TEXT($AD1198,"0.000000")</f>
        <v>5|0.000000</v>
      </c>
      <c r="AG1198" s="18" t="n">
        <f aca="false">IF($K1198="SEM CULTURA",0,$T1198*$H1198)</f>
        <v>0</v>
      </c>
      <c r="AH1198" s="18" t="n">
        <f aca="false">IF($K1198="SEM CULTURA",0,$V1198*$H1198)</f>
        <v>0</v>
      </c>
      <c r="AI1198" s="18" t="n">
        <f aca="false">IF($K1198="SEM CULTURA",0,$W1198*$H1198)</f>
        <v>0</v>
      </c>
      <c r="AJ1198" s="18" t="n">
        <f aca="false">IF($K1198="SEM CULTURA",0,$S1198*$H1198)</f>
        <v>0</v>
      </c>
      <c r="AK1198" s="8" t="str">
        <f aca="false">$E1198&amp;"|"&amp;TEXT($AD1198,"0.000000")</f>
        <v>PV 118|0.000000</v>
      </c>
    </row>
    <row r="1199" customFormat="false" ht="15" hidden="false" customHeight="false" outlineLevel="0" collapsed="false">
      <c r="B1199" s="16" t="n">
        <v>6</v>
      </c>
      <c r="C1199" s="17" t="n">
        <f aca="false">DATA_INICIO_SAFRA+($B1199-1)*DIAS_POR_SEMANA</f>
        <v>46300</v>
      </c>
      <c r="D1199" s="17" t="n">
        <f aca="false">$C1199+DIAS_POR_SEMANA-1</f>
        <v>46306</v>
      </c>
      <c r="E1199" s="15" t="s">
        <v>277</v>
      </c>
      <c r="F1199" s="8" t="str">
        <f aca="false">IFERROR(INDEX(CADASTRO_PIVOS!$C$6:$C$41,MATCH($E1199,CADASTRO_PIVOS!$B$6:$B$41,0)),"?")</f>
        <v>RM06</v>
      </c>
      <c r="G1199" s="8" t="str">
        <f aca="false">IFERROR(INDEX(CADASTRO_PIVOS!$D$6:$D$41,MATCH($E1199,CADASTRO_PIVOS!$B$6:$B$41,0)),"?")</f>
        <v>TR06</v>
      </c>
      <c r="H1199" s="20" t="n">
        <f aca="false">IFERROR(INDEX(CADASTRO_PIVOS!$E$6:$E$41,MATCH($E1199,CADASTRO_PIVOS!$B$6:$B$41,0)),0)</f>
        <v>146.49</v>
      </c>
      <c r="I1199" s="16" t="n">
        <f aca="false">IFERROR(SUMIFS(ROTACAO_RDM!$B$6:$B$71,ROTACAO_RDM!$D$6:$D$71,$E1199,ROTACAO_RDM!$I$6:$I$71,"&lt;="&amp;$C1199+INT(DIAS_POR_SEMANA/2),ROTACAO_RDM!$J$6:$J$71,"&gt;="&amp;$C1199+INT(DIAS_POR_SEMANA/2)),0)</f>
        <v>0</v>
      </c>
      <c r="J1199" s="16" t="n">
        <f aca="false">IFERROR(MATCH($I1199,ROTACAO_RDM!$B$6:$B$71,0),0)</f>
        <v>0</v>
      </c>
      <c r="K1199" s="8" t="str">
        <f aca="false">IF($J1199=0,"SEM CULTURA",INDEX(ROTACAO_RDM!$F$6:$F$71,$J1199))</f>
        <v>SEM CULTURA</v>
      </c>
      <c r="L1199" s="8" t="str">
        <f aca="false">IF($J1199=0,"",INDEX(ROTACAO_RDM!$G$6:$G$71,$J1199))</f>
        <v/>
      </c>
      <c r="M1199" s="17" t="str">
        <f aca="false">IF($J1199=0,"",INDEX(ROTACAO_RDM!$I$6:$I$71,$J1199))</f>
        <v/>
      </c>
      <c r="N1199" s="16" t="n">
        <f aca="false">IF($J1199=0,0,MAX(0,$C1199+INT(DIAS_POR_SEMANA/2)-INDEX(ROTACAO_RDM!$I$6:$I$71,$J1199)))</f>
        <v>0</v>
      </c>
      <c r="O1199" s="19" t="n">
        <f aca="false">IF($J1199=0,0,MIN(1,$N1199/MAX(1,INDEX(ROTACAO_RDM!$K$6:$K$71,$J1199))))</f>
        <v>0</v>
      </c>
      <c r="P1199" s="16" t="n">
        <f aca="false">IF($J1199=0,0,IFERROR(MATCH(INDEX(ROTACAO_RDM!$N$6:$N$71,$J1199),PARAMETROS_CULTURAS!$B$6:$B$28,0),0))</f>
        <v>0</v>
      </c>
      <c r="Q1199" s="8" t="str">
        <f aca="false">IF($P1199=0,"-",IF($O1199&lt;=INDEX(PARAMETROS_CULTURAS!$F$6:$F$28,$P1199),"INICIAL",IF($O1199&lt;=INDEX(PARAMETROS_CULTURAS!$F$6:$F$28,$P1199)+INDEX(PARAMETROS_CULTURAS!$G$6:$G$28,$P1199),"DESENVOLVIMENTO",IF($O1199&lt;=INDEX(PARAMETROS_CULTURAS!$F$6:$F$28,$P1199)+INDEX(PARAMETROS_CULTURAS!$G$6:$G$28,$P1199)+INDEX(PARAMETROS_CULTURAS!$H$6:$H$28,$P1199),"MEDIA","FINAL"))))</f>
        <v>-</v>
      </c>
      <c r="R1199" s="24" t="n">
        <f aca="false">IF($P1199=0,0,IF($O1199&lt;=INDEX(PARAMETROS_CULTURAS!$F$6:$F$28,$P1199),INDEX(PARAMETROS_CULTURAS!$K$6:$K$28,$P1199),IF($O1199&lt;=INDEX(PARAMETROS_CULTURAS!$F$6:$F$28,$P1199)+INDEX(PARAMETROS_CULTURAS!$G$6:$G$28,$P1199),INDEX(PARAMETROS_CULTURAS!$K$6:$K$28,$P1199)+(INDEX(PARAMETROS_CULTURAS!$L$6:$L$28,$P1199)-INDEX(PARAMETROS_CULTURAS!$K$6:$K$28,$P1199))*($O1199-INDEX(PARAMETROS_CULTURAS!$F$6:$F$28,$P1199))/MAX(INDEX(PARAMETROS_CULTURAS!$G$6:$G$28,$P1199),0.0001),IF($O1199&lt;=INDEX(PARAMETROS_CULTURAS!$F$6:$F$28,$P1199)+INDEX(PARAMETROS_CULTURAS!$G$6:$G$28,$P1199)+INDEX(PARAMETROS_CULTURAS!$H$6:$H$28,$P1199),INDEX(PARAMETROS_CULTURAS!$L$6:$L$28,$P1199),INDEX(PARAMETROS_CULTURAS!$L$6:$L$28,$P1199)+(INDEX(PARAMETROS_CULTURAS!$M$6:$M$28,$P1199)-INDEX(PARAMETROS_CULTURAS!$L$6:$L$28,$P1199))*($O1199-INDEX(PARAMETROS_CULTURAS!$F$6:$F$28,$P1199)-INDEX(PARAMETROS_CULTURAS!$G$6:$G$28,$P1199)-INDEX(PARAMETROS_CULTURAS!$H$6:$H$28,$P1199))/MAX(INDEX(PARAMETROS_CULTURAS!$I$6:$I$28,$P1199),0.0001)))))</f>
        <v>0</v>
      </c>
      <c r="S1199" s="18" t="n">
        <f aca="false">IFERROR(INDEX(SEMANAS!$H$6:$H$71,MATCH($B1199,SEMANAS!$B$6:$B$71,0)),0)</f>
        <v>39.2</v>
      </c>
      <c r="T1199" s="18" t="n">
        <f aca="false">$R1199*$S1199</f>
        <v>0</v>
      </c>
      <c r="U1199" s="18" t="n">
        <f aca="false">IFERROR(INDEX(SEMANAS!$I$6:$I$71,MATCH($B1199,SEMANAS!$B$6:$B$71,0)),0)</f>
        <v>27.09</v>
      </c>
      <c r="V1199" s="18" t="n">
        <f aca="false">IFERROR(INDEX(SEMANAS!$J$6:$J$71,MATCH($B1199,SEMANAS!$B$6:$B$71,0)),0)</f>
        <v>21.672</v>
      </c>
      <c r="W1199" s="18" t="n">
        <f aca="false">MAX(0,$T1199-$V1199)</f>
        <v>0</v>
      </c>
      <c r="X1199" s="19" t="n">
        <f aca="false">IFERROR(INDEX(CADASTRO_PIVOS!$K$6:$K$41,MATCH($E1199,CADASTRO_PIVOS!$B$6:$B$41,0)),EFICIENCIA_PADRAO)</f>
        <v>0.85</v>
      </c>
      <c r="Y1199" s="18" t="n">
        <f aca="false">IF($X1199&lt;=0,0,$W1199/$X1199)</f>
        <v>0</v>
      </c>
      <c r="Z1199" s="16" t="n">
        <f aca="false">$Y1199*$H1199*MM_PARA_M3_HA</f>
        <v>0</v>
      </c>
      <c r="AA1199" s="18" t="n">
        <f aca="false">IFERROR(INDEX(CADASTRO_PIVOS!$I$6:$I$41,MATCH($E1199,CADASTRO_PIVOS!$B$6:$B$41,0)),0)</f>
        <v>906.842857142857</v>
      </c>
      <c r="AB1199" s="18" t="n">
        <f aca="false">IF($Z1199&lt;=0,0,$Z1199/$AA1199)</f>
        <v>0</v>
      </c>
      <c r="AC1199" s="16" t="n">
        <f aca="false">IFERROR(INDEX(SEMANAS!$K$6:$K$71,MATCH($B1199,SEMANAS!$B$6:$B$71,0)),0)</f>
        <v>147</v>
      </c>
      <c r="AD1199" s="19" t="n">
        <f aca="false">IF($AC1199&lt;=0,0,$AB1199/$AC1199)</f>
        <v>0</v>
      </c>
      <c r="AE1199" s="8" t="str">
        <f aca="false">IF($K1199="SEM CULTURA","SEM CULTURA",IF($AA1199&lt;=0,"DADO PENDENTE",IF($AD1199&gt;LIMITE_CRITICO,"INVIAVEL",IF($AD1199&gt;LIMITE_ATENCAO,"CRITICO",IF($AD1199&gt;LIMITE_CONFORTAVEL,"ATENCAO","OK")))))</f>
        <v>SEM CULTURA</v>
      </c>
      <c r="AF1199" s="8" t="str">
        <f aca="false">$B1199&amp;"|"&amp;TEXT($AD1199,"0.000000")</f>
        <v>6|0.000000</v>
      </c>
      <c r="AG1199" s="18" t="n">
        <f aca="false">IF($K1199="SEM CULTURA",0,$T1199*$H1199)</f>
        <v>0</v>
      </c>
      <c r="AH1199" s="18" t="n">
        <f aca="false">IF($K1199="SEM CULTURA",0,$V1199*$H1199)</f>
        <v>0</v>
      </c>
      <c r="AI1199" s="18" t="n">
        <f aca="false">IF($K1199="SEM CULTURA",0,$W1199*$H1199)</f>
        <v>0</v>
      </c>
      <c r="AJ1199" s="18" t="n">
        <f aca="false">IF($K1199="SEM CULTURA",0,$S1199*$H1199)</f>
        <v>0</v>
      </c>
      <c r="AK1199" s="8" t="str">
        <f aca="false">$E1199&amp;"|"&amp;TEXT($AD1199,"0.000000")</f>
        <v>PV 118|0.000000</v>
      </c>
    </row>
    <row r="1200" customFormat="false" ht="15" hidden="false" customHeight="false" outlineLevel="0" collapsed="false">
      <c r="B1200" s="16" t="n">
        <v>7</v>
      </c>
      <c r="C1200" s="17" t="n">
        <f aca="false">DATA_INICIO_SAFRA+($B1200-1)*DIAS_POR_SEMANA</f>
        <v>46307</v>
      </c>
      <c r="D1200" s="17" t="n">
        <f aca="false">$C1200+DIAS_POR_SEMANA-1</f>
        <v>46313</v>
      </c>
      <c r="E1200" s="15" t="s">
        <v>277</v>
      </c>
      <c r="F1200" s="8" t="str">
        <f aca="false">IFERROR(INDEX(CADASTRO_PIVOS!$C$6:$C$41,MATCH($E1200,CADASTRO_PIVOS!$B$6:$B$41,0)),"?")</f>
        <v>RM06</v>
      </c>
      <c r="G1200" s="8" t="str">
        <f aca="false">IFERROR(INDEX(CADASTRO_PIVOS!$D$6:$D$41,MATCH($E1200,CADASTRO_PIVOS!$B$6:$B$41,0)),"?")</f>
        <v>TR06</v>
      </c>
      <c r="H1200" s="20" t="n">
        <f aca="false">IFERROR(INDEX(CADASTRO_PIVOS!$E$6:$E$41,MATCH($E1200,CADASTRO_PIVOS!$B$6:$B$41,0)),0)</f>
        <v>146.49</v>
      </c>
      <c r="I1200" s="16" t="n">
        <f aca="false">IFERROR(SUMIFS(ROTACAO_RDM!$B$6:$B$71,ROTACAO_RDM!$D$6:$D$71,$E1200,ROTACAO_RDM!$I$6:$I$71,"&lt;="&amp;$C1200+INT(DIAS_POR_SEMANA/2),ROTACAO_RDM!$J$6:$J$71,"&gt;="&amp;$C1200+INT(DIAS_POR_SEMANA/2)),0)</f>
        <v>0</v>
      </c>
      <c r="J1200" s="16" t="n">
        <f aca="false">IFERROR(MATCH($I1200,ROTACAO_RDM!$B$6:$B$71,0),0)</f>
        <v>0</v>
      </c>
      <c r="K1200" s="8" t="str">
        <f aca="false">IF($J1200=0,"SEM CULTURA",INDEX(ROTACAO_RDM!$F$6:$F$71,$J1200))</f>
        <v>SEM CULTURA</v>
      </c>
      <c r="L1200" s="8" t="str">
        <f aca="false">IF($J1200=0,"",INDEX(ROTACAO_RDM!$G$6:$G$71,$J1200))</f>
        <v/>
      </c>
      <c r="M1200" s="17" t="str">
        <f aca="false">IF($J1200=0,"",INDEX(ROTACAO_RDM!$I$6:$I$71,$J1200))</f>
        <v/>
      </c>
      <c r="N1200" s="16" t="n">
        <f aca="false">IF($J1200=0,0,MAX(0,$C1200+INT(DIAS_POR_SEMANA/2)-INDEX(ROTACAO_RDM!$I$6:$I$71,$J1200)))</f>
        <v>0</v>
      </c>
      <c r="O1200" s="19" t="n">
        <f aca="false">IF($J1200=0,0,MIN(1,$N1200/MAX(1,INDEX(ROTACAO_RDM!$K$6:$K$71,$J1200))))</f>
        <v>0</v>
      </c>
      <c r="P1200" s="16" t="n">
        <f aca="false">IF($J1200=0,0,IFERROR(MATCH(INDEX(ROTACAO_RDM!$N$6:$N$71,$J1200),PARAMETROS_CULTURAS!$B$6:$B$28,0),0))</f>
        <v>0</v>
      </c>
      <c r="Q1200" s="8" t="str">
        <f aca="false">IF($P1200=0,"-",IF($O1200&lt;=INDEX(PARAMETROS_CULTURAS!$F$6:$F$28,$P1200),"INICIAL",IF($O1200&lt;=INDEX(PARAMETROS_CULTURAS!$F$6:$F$28,$P1200)+INDEX(PARAMETROS_CULTURAS!$G$6:$G$28,$P1200),"DESENVOLVIMENTO",IF($O1200&lt;=INDEX(PARAMETROS_CULTURAS!$F$6:$F$28,$P1200)+INDEX(PARAMETROS_CULTURAS!$G$6:$G$28,$P1200)+INDEX(PARAMETROS_CULTURAS!$H$6:$H$28,$P1200),"MEDIA","FINAL"))))</f>
        <v>-</v>
      </c>
      <c r="R1200" s="24" t="n">
        <f aca="false">IF($P1200=0,0,IF($O1200&lt;=INDEX(PARAMETROS_CULTURAS!$F$6:$F$28,$P1200),INDEX(PARAMETROS_CULTURAS!$K$6:$K$28,$P1200),IF($O1200&lt;=INDEX(PARAMETROS_CULTURAS!$F$6:$F$28,$P1200)+INDEX(PARAMETROS_CULTURAS!$G$6:$G$28,$P1200),INDEX(PARAMETROS_CULTURAS!$K$6:$K$28,$P1200)+(INDEX(PARAMETROS_CULTURAS!$L$6:$L$28,$P1200)-INDEX(PARAMETROS_CULTURAS!$K$6:$K$28,$P1200))*($O1200-INDEX(PARAMETROS_CULTURAS!$F$6:$F$28,$P1200))/MAX(INDEX(PARAMETROS_CULTURAS!$G$6:$G$28,$P1200),0.0001),IF($O1200&lt;=INDEX(PARAMETROS_CULTURAS!$F$6:$F$28,$P1200)+INDEX(PARAMETROS_CULTURAS!$G$6:$G$28,$P1200)+INDEX(PARAMETROS_CULTURAS!$H$6:$H$28,$P1200),INDEX(PARAMETROS_CULTURAS!$L$6:$L$28,$P1200),INDEX(PARAMETROS_CULTURAS!$L$6:$L$28,$P1200)+(INDEX(PARAMETROS_CULTURAS!$M$6:$M$28,$P1200)-INDEX(PARAMETROS_CULTURAS!$L$6:$L$28,$P1200))*($O1200-INDEX(PARAMETROS_CULTURAS!$F$6:$F$28,$P1200)-INDEX(PARAMETROS_CULTURAS!$G$6:$G$28,$P1200)-INDEX(PARAMETROS_CULTURAS!$H$6:$H$28,$P1200))/MAX(INDEX(PARAMETROS_CULTURAS!$I$6:$I$28,$P1200),0.0001)))))</f>
        <v>0</v>
      </c>
      <c r="S1200" s="18" t="n">
        <f aca="false">IFERROR(INDEX(SEMANAS!$H$6:$H$71,MATCH($B1200,SEMANAS!$B$6:$B$71,0)),0)</f>
        <v>39.2</v>
      </c>
      <c r="T1200" s="18" t="n">
        <f aca="false">$R1200*$S1200</f>
        <v>0</v>
      </c>
      <c r="U1200" s="18" t="n">
        <f aca="false">IFERROR(INDEX(SEMANAS!$I$6:$I$71,MATCH($B1200,SEMANAS!$B$6:$B$71,0)),0)</f>
        <v>27.09</v>
      </c>
      <c r="V1200" s="18" t="n">
        <f aca="false">IFERROR(INDEX(SEMANAS!$J$6:$J$71,MATCH($B1200,SEMANAS!$B$6:$B$71,0)),0)</f>
        <v>21.672</v>
      </c>
      <c r="W1200" s="18" t="n">
        <f aca="false">MAX(0,$T1200-$V1200)</f>
        <v>0</v>
      </c>
      <c r="X1200" s="19" t="n">
        <f aca="false">IFERROR(INDEX(CADASTRO_PIVOS!$K$6:$K$41,MATCH($E1200,CADASTRO_PIVOS!$B$6:$B$41,0)),EFICIENCIA_PADRAO)</f>
        <v>0.85</v>
      </c>
      <c r="Y1200" s="18" t="n">
        <f aca="false">IF($X1200&lt;=0,0,$W1200/$X1200)</f>
        <v>0</v>
      </c>
      <c r="Z1200" s="16" t="n">
        <f aca="false">$Y1200*$H1200*MM_PARA_M3_HA</f>
        <v>0</v>
      </c>
      <c r="AA1200" s="18" t="n">
        <f aca="false">IFERROR(INDEX(CADASTRO_PIVOS!$I$6:$I$41,MATCH($E1200,CADASTRO_PIVOS!$B$6:$B$41,0)),0)</f>
        <v>906.842857142857</v>
      </c>
      <c r="AB1200" s="18" t="n">
        <f aca="false">IF($Z1200&lt;=0,0,$Z1200/$AA1200)</f>
        <v>0</v>
      </c>
      <c r="AC1200" s="16" t="n">
        <f aca="false">IFERROR(INDEX(SEMANAS!$K$6:$K$71,MATCH($B1200,SEMANAS!$B$6:$B$71,0)),0)</f>
        <v>147</v>
      </c>
      <c r="AD1200" s="19" t="n">
        <f aca="false">IF($AC1200&lt;=0,0,$AB1200/$AC1200)</f>
        <v>0</v>
      </c>
      <c r="AE1200" s="8" t="str">
        <f aca="false">IF($K1200="SEM CULTURA","SEM CULTURA",IF($AA1200&lt;=0,"DADO PENDENTE",IF($AD1200&gt;LIMITE_CRITICO,"INVIAVEL",IF($AD1200&gt;LIMITE_ATENCAO,"CRITICO",IF($AD1200&gt;LIMITE_CONFORTAVEL,"ATENCAO","OK")))))</f>
        <v>SEM CULTURA</v>
      </c>
      <c r="AF1200" s="8" t="str">
        <f aca="false">$B1200&amp;"|"&amp;TEXT($AD1200,"0.000000")</f>
        <v>7|0.000000</v>
      </c>
      <c r="AG1200" s="18" t="n">
        <f aca="false">IF($K1200="SEM CULTURA",0,$T1200*$H1200)</f>
        <v>0</v>
      </c>
      <c r="AH1200" s="18" t="n">
        <f aca="false">IF($K1200="SEM CULTURA",0,$V1200*$H1200)</f>
        <v>0</v>
      </c>
      <c r="AI1200" s="18" t="n">
        <f aca="false">IF($K1200="SEM CULTURA",0,$W1200*$H1200)</f>
        <v>0</v>
      </c>
      <c r="AJ1200" s="18" t="n">
        <f aca="false">IF($K1200="SEM CULTURA",0,$S1200*$H1200)</f>
        <v>0</v>
      </c>
      <c r="AK1200" s="8" t="str">
        <f aca="false">$E1200&amp;"|"&amp;TEXT($AD1200,"0.000000")</f>
        <v>PV 118|0.000000</v>
      </c>
    </row>
    <row r="1201" customFormat="false" ht="15" hidden="false" customHeight="false" outlineLevel="0" collapsed="false">
      <c r="B1201" s="16" t="n">
        <v>8</v>
      </c>
      <c r="C1201" s="17" t="n">
        <f aca="false">DATA_INICIO_SAFRA+($B1201-1)*DIAS_POR_SEMANA</f>
        <v>46314</v>
      </c>
      <c r="D1201" s="17" t="n">
        <f aca="false">$C1201+DIAS_POR_SEMANA-1</f>
        <v>46320</v>
      </c>
      <c r="E1201" s="15" t="s">
        <v>277</v>
      </c>
      <c r="F1201" s="8" t="str">
        <f aca="false">IFERROR(INDEX(CADASTRO_PIVOS!$C$6:$C$41,MATCH($E1201,CADASTRO_PIVOS!$B$6:$B$41,0)),"?")</f>
        <v>RM06</v>
      </c>
      <c r="G1201" s="8" t="str">
        <f aca="false">IFERROR(INDEX(CADASTRO_PIVOS!$D$6:$D$41,MATCH($E1201,CADASTRO_PIVOS!$B$6:$B$41,0)),"?")</f>
        <v>TR06</v>
      </c>
      <c r="H1201" s="20" t="n">
        <f aca="false">IFERROR(INDEX(CADASTRO_PIVOS!$E$6:$E$41,MATCH($E1201,CADASTRO_PIVOS!$B$6:$B$41,0)),0)</f>
        <v>146.49</v>
      </c>
      <c r="I1201" s="16" t="n">
        <f aca="false">IFERROR(SUMIFS(ROTACAO_RDM!$B$6:$B$71,ROTACAO_RDM!$D$6:$D$71,$E1201,ROTACAO_RDM!$I$6:$I$71,"&lt;="&amp;$C1201+INT(DIAS_POR_SEMANA/2),ROTACAO_RDM!$J$6:$J$71,"&gt;="&amp;$C1201+INT(DIAS_POR_SEMANA/2)),0)</f>
        <v>0</v>
      </c>
      <c r="J1201" s="16" t="n">
        <f aca="false">IFERROR(MATCH($I1201,ROTACAO_RDM!$B$6:$B$71,0),0)</f>
        <v>0</v>
      </c>
      <c r="K1201" s="8" t="str">
        <f aca="false">IF($J1201=0,"SEM CULTURA",INDEX(ROTACAO_RDM!$F$6:$F$71,$J1201))</f>
        <v>SEM CULTURA</v>
      </c>
      <c r="L1201" s="8" t="str">
        <f aca="false">IF($J1201=0,"",INDEX(ROTACAO_RDM!$G$6:$G$71,$J1201))</f>
        <v/>
      </c>
      <c r="M1201" s="17" t="str">
        <f aca="false">IF($J1201=0,"",INDEX(ROTACAO_RDM!$I$6:$I$71,$J1201))</f>
        <v/>
      </c>
      <c r="N1201" s="16" t="n">
        <f aca="false">IF($J1201=0,0,MAX(0,$C1201+INT(DIAS_POR_SEMANA/2)-INDEX(ROTACAO_RDM!$I$6:$I$71,$J1201)))</f>
        <v>0</v>
      </c>
      <c r="O1201" s="19" t="n">
        <f aca="false">IF($J1201=0,0,MIN(1,$N1201/MAX(1,INDEX(ROTACAO_RDM!$K$6:$K$71,$J1201))))</f>
        <v>0</v>
      </c>
      <c r="P1201" s="16" t="n">
        <f aca="false">IF($J1201=0,0,IFERROR(MATCH(INDEX(ROTACAO_RDM!$N$6:$N$71,$J1201),PARAMETROS_CULTURAS!$B$6:$B$28,0),0))</f>
        <v>0</v>
      </c>
      <c r="Q1201" s="8" t="str">
        <f aca="false">IF($P1201=0,"-",IF($O1201&lt;=INDEX(PARAMETROS_CULTURAS!$F$6:$F$28,$P1201),"INICIAL",IF($O1201&lt;=INDEX(PARAMETROS_CULTURAS!$F$6:$F$28,$P1201)+INDEX(PARAMETROS_CULTURAS!$G$6:$G$28,$P1201),"DESENVOLVIMENTO",IF($O1201&lt;=INDEX(PARAMETROS_CULTURAS!$F$6:$F$28,$P1201)+INDEX(PARAMETROS_CULTURAS!$G$6:$G$28,$P1201)+INDEX(PARAMETROS_CULTURAS!$H$6:$H$28,$P1201),"MEDIA","FINAL"))))</f>
        <v>-</v>
      </c>
      <c r="R1201" s="24" t="n">
        <f aca="false">IF($P1201=0,0,IF($O1201&lt;=INDEX(PARAMETROS_CULTURAS!$F$6:$F$28,$P1201),INDEX(PARAMETROS_CULTURAS!$K$6:$K$28,$P1201),IF($O1201&lt;=INDEX(PARAMETROS_CULTURAS!$F$6:$F$28,$P1201)+INDEX(PARAMETROS_CULTURAS!$G$6:$G$28,$P1201),INDEX(PARAMETROS_CULTURAS!$K$6:$K$28,$P1201)+(INDEX(PARAMETROS_CULTURAS!$L$6:$L$28,$P1201)-INDEX(PARAMETROS_CULTURAS!$K$6:$K$28,$P1201))*($O1201-INDEX(PARAMETROS_CULTURAS!$F$6:$F$28,$P1201))/MAX(INDEX(PARAMETROS_CULTURAS!$G$6:$G$28,$P1201),0.0001),IF($O1201&lt;=INDEX(PARAMETROS_CULTURAS!$F$6:$F$28,$P1201)+INDEX(PARAMETROS_CULTURAS!$G$6:$G$28,$P1201)+INDEX(PARAMETROS_CULTURAS!$H$6:$H$28,$P1201),INDEX(PARAMETROS_CULTURAS!$L$6:$L$28,$P1201),INDEX(PARAMETROS_CULTURAS!$L$6:$L$28,$P1201)+(INDEX(PARAMETROS_CULTURAS!$M$6:$M$28,$P1201)-INDEX(PARAMETROS_CULTURAS!$L$6:$L$28,$P1201))*($O1201-INDEX(PARAMETROS_CULTURAS!$F$6:$F$28,$P1201)-INDEX(PARAMETROS_CULTURAS!$G$6:$G$28,$P1201)-INDEX(PARAMETROS_CULTURAS!$H$6:$H$28,$P1201))/MAX(INDEX(PARAMETROS_CULTURAS!$I$6:$I$28,$P1201),0.0001)))))</f>
        <v>0</v>
      </c>
      <c r="S1201" s="18" t="n">
        <f aca="false">IFERROR(INDEX(SEMANAS!$H$6:$H$71,MATCH($B1201,SEMANAS!$B$6:$B$71,0)),0)</f>
        <v>39.2</v>
      </c>
      <c r="T1201" s="18" t="n">
        <f aca="false">$R1201*$S1201</f>
        <v>0</v>
      </c>
      <c r="U1201" s="18" t="n">
        <f aca="false">IFERROR(INDEX(SEMANAS!$I$6:$I$71,MATCH($B1201,SEMANAS!$B$6:$B$71,0)),0)</f>
        <v>27.09</v>
      </c>
      <c r="V1201" s="18" t="n">
        <f aca="false">IFERROR(INDEX(SEMANAS!$J$6:$J$71,MATCH($B1201,SEMANAS!$B$6:$B$71,0)),0)</f>
        <v>21.672</v>
      </c>
      <c r="W1201" s="18" t="n">
        <f aca="false">MAX(0,$T1201-$V1201)</f>
        <v>0</v>
      </c>
      <c r="X1201" s="19" t="n">
        <f aca="false">IFERROR(INDEX(CADASTRO_PIVOS!$K$6:$K$41,MATCH($E1201,CADASTRO_PIVOS!$B$6:$B$41,0)),EFICIENCIA_PADRAO)</f>
        <v>0.85</v>
      </c>
      <c r="Y1201" s="18" t="n">
        <f aca="false">IF($X1201&lt;=0,0,$W1201/$X1201)</f>
        <v>0</v>
      </c>
      <c r="Z1201" s="16" t="n">
        <f aca="false">$Y1201*$H1201*MM_PARA_M3_HA</f>
        <v>0</v>
      </c>
      <c r="AA1201" s="18" t="n">
        <f aca="false">IFERROR(INDEX(CADASTRO_PIVOS!$I$6:$I$41,MATCH($E1201,CADASTRO_PIVOS!$B$6:$B$41,0)),0)</f>
        <v>906.842857142857</v>
      </c>
      <c r="AB1201" s="18" t="n">
        <f aca="false">IF($Z1201&lt;=0,0,$Z1201/$AA1201)</f>
        <v>0</v>
      </c>
      <c r="AC1201" s="16" t="n">
        <f aca="false">IFERROR(INDEX(SEMANAS!$K$6:$K$71,MATCH($B1201,SEMANAS!$B$6:$B$71,0)),0)</f>
        <v>147</v>
      </c>
      <c r="AD1201" s="19" t="n">
        <f aca="false">IF($AC1201&lt;=0,0,$AB1201/$AC1201)</f>
        <v>0</v>
      </c>
      <c r="AE1201" s="8" t="str">
        <f aca="false">IF($K1201="SEM CULTURA","SEM CULTURA",IF($AA1201&lt;=0,"DADO PENDENTE",IF($AD1201&gt;LIMITE_CRITICO,"INVIAVEL",IF($AD1201&gt;LIMITE_ATENCAO,"CRITICO",IF($AD1201&gt;LIMITE_CONFORTAVEL,"ATENCAO","OK")))))</f>
        <v>SEM CULTURA</v>
      </c>
      <c r="AF1201" s="8" t="str">
        <f aca="false">$B1201&amp;"|"&amp;TEXT($AD1201,"0.000000")</f>
        <v>8|0.000000</v>
      </c>
      <c r="AG1201" s="18" t="n">
        <f aca="false">IF($K1201="SEM CULTURA",0,$T1201*$H1201)</f>
        <v>0</v>
      </c>
      <c r="AH1201" s="18" t="n">
        <f aca="false">IF($K1201="SEM CULTURA",0,$V1201*$H1201)</f>
        <v>0</v>
      </c>
      <c r="AI1201" s="18" t="n">
        <f aca="false">IF($K1201="SEM CULTURA",0,$W1201*$H1201)</f>
        <v>0</v>
      </c>
      <c r="AJ1201" s="18" t="n">
        <f aca="false">IF($K1201="SEM CULTURA",0,$S1201*$H1201)</f>
        <v>0</v>
      </c>
      <c r="AK1201" s="8" t="str">
        <f aca="false">$E1201&amp;"|"&amp;TEXT($AD1201,"0.000000")</f>
        <v>PV 118|0.000000</v>
      </c>
    </row>
    <row r="1202" customFormat="false" ht="15" hidden="false" customHeight="false" outlineLevel="0" collapsed="false">
      <c r="B1202" s="16" t="n">
        <v>9</v>
      </c>
      <c r="C1202" s="17" t="n">
        <f aca="false">DATA_INICIO_SAFRA+($B1202-1)*DIAS_POR_SEMANA</f>
        <v>46321</v>
      </c>
      <c r="D1202" s="17" t="n">
        <f aca="false">$C1202+DIAS_POR_SEMANA-1</f>
        <v>46327</v>
      </c>
      <c r="E1202" s="15" t="s">
        <v>277</v>
      </c>
      <c r="F1202" s="8" t="str">
        <f aca="false">IFERROR(INDEX(CADASTRO_PIVOS!$C$6:$C$41,MATCH($E1202,CADASTRO_PIVOS!$B$6:$B$41,0)),"?")</f>
        <v>RM06</v>
      </c>
      <c r="G1202" s="8" t="str">
        <f aca="false">IFERROR(INDEX(CADASTRO_PIVOS!$D$6:$D$41,MATCH($E1202,CADASTRO_PIVOS!$B$6:$B$41,0)),"?")</f>
        <v>TR06</v>
      </c>
      <c r="H1202" s="20" t="n">
        <f aca="false">IFERROR(INDEX(CADASTRO_PIVOS!$E$6:$E$41,MATCH($E1202,CADASTRO_PIVOS!$B$6:$B$41,0)),0)</f>
        <v>146.49</v>
      </c>
      <c r="I1202" s="16" t="n">
        <f aca="false">IFERROR(SUMIFS(ROTACAO_RDM!$B$6:$B$71,ROTACAO_RDM!$D$6:$D$71,$E1202,ROTACAO_RDM!$I$6:$I$71,"&lt;="&amp;$C1202+INT(DIAS_POR_SEMANA/2),ROTACAO_RDM!$J$6:$J$71,"&gt;="&amp;$C1202+INT(DIAS_POR_SEMANA/2)),0)</f>
        <v>0</v>
      </c>
      <c r="J1202" s="16" t="n">
        <f aca="false">IFERROR(MATCH($I1202,ROTACAO_RDM!$B$6:$B$71,0),0)</f>
        <v>0</v>
      </c>
      <c r="K1202" s="8" t="str">
        <f aca="false">IF($J1202=0,"SEM CULTURA",INDEX(ROTACAO_RDM!$F$6:$F$71,$J1202))</f>
        <v>SEM CULTURA</v>
      </c>
      <c r="L1202" s="8" t="str">
        <f aca="false">IF($J1202=0,"",INDEX(ROTACAO_RDM!$G$6:$G$71,$J1202))</f>
        <v/>
      </c>
      <c r="M1202" s="17" t="str">
        <f aca="false">IF($J1202=0,"",INDEX(ROTACAO_RDM!$I$6:$I$71,$J1202))</f>
        <v/>
      </c>
      <c r="N1202" s="16" t="n">
        <f aca="false">IF($J1202=0,0,MAX(0,$C1202+INT(DIAS_POR_SEMANA/2)-INDEX(ROTACAO_RDM!$I$6:$I$71,$J1202)))</f>
        <v>0</v>
      </c>
      <c r="O1202" s="19" t="n">
        <f aca="false">IF($J1202=0,0,MIN(1,$N1202/MAX(1,INDEX(ROTACAO_RDM!$K$6:$K$71,$J1202))))</f>
        <v>0</v>
      </c>
      <c r="P1202" s="16" t="n">
        <f aca="false">IF($J1202=0,0,IFERROR(MATCH(INDEX(ROTACAO_RDM!$N$6:$N$71,$J1202),PARAMETROS_CULTURAS!$B$6:$B$28,0),0))</f>
        <v>0</v>
      </c>
      <c r="Q1202" s="8" t="str">
        <f aca="false">IF($P1202=0,"-",IF($O1202&lt;=INDEX(PARAMETROS_CULTURAS!$F$6:$F$28,$P1202),"INICIAL",IF($O1202&lt;=INDEX(PARAMETROS_CULTURAS!$F$6:$F$28,$P1202)+INDEX(PARAMETROS_CULTURAS!$G$6:$G$28,$P1202),"DESENVOLVIMENTO",IF($O1202&lt;=INDEX(PARAMETROS_CULTURAS!$F$6:$F$28,$P1202)+INDEX(PARAMETROS_CULTURAS!$G$6:$G$28,$P1202)+INDEX(PARAMETROS_CULTURAS!$H$6:$H$28,$P1202),"MEDIA","FINAL"))))</f>
        <v>-</v>
      </c>
      <c r="R1202" s="24" t="n">
        <f aca="false">IF($P1202=0,0,IF($O1202&lt;=INDEX(PARAMETROS_CULTURAS!$F$6:$F$28,$P1202),INDEX(PARAMETROS_CULTURAS!$K$6:$K$28,$P1202),IF($O1202&lt;=INDEX(PARAMETROS_CULTURAS!$F$6:$F$28,$P1202)+INDEX(PARAMETROS_CULTURAS!$G$6:$G$28,$P1202),INDEX(PARAMETROS_CULTURAS!$K$6:$K$28,$P1202)+(INDEX(PARAMETROS_CULTURAS!$L$6:$L$28,$P1202)-INDEX(PARAMETROS_CULTURAS!$K$6:$K$28,$P1202))*($O1202-INDEX(PARAMETROS_CULTURAS!$F$6:$F$28,$P1202))/MAX(INDEX(PARAMETROS_CULTURAS!$G$6:$G$28,$P1202),0.0001),IF($O1202&lt;=INDEX(PARAMETROS_CULTURAS!$F$6:$F$28,$P1202)+INDEX(PARAMETROS_CULTURAS!$G$6:$G$28,$P1202)+INDEX(PARAMETROS_CULTURAS!$H$6:$H$28,$P1202),INDEX(PARAMETROS_CULTURAS!$L$6:$L$28,$P1202),INDEX(PARAMETROS_CULTURAS!$L$6:$L$28,$P1202)+(INDEX(PARAMETROS_CULTURAS!$M$6:$M$28,$P1202)-INDEX(PARAMETROS_CULTURAS!$L$6:$L$28,$P1202))*($O1202-INDEX(PARAMETROS_CULTURAS!$F$6:$F$28,$P1202)-INDEX(PARAMETROS_CULTURAS!$G$6:$G$28,$P1202)-INDEX(PARAMETROS_CULTURAS!$H$6:$H$28,$P1202))/MAX(INDEX(PARAMETROS_CULTURAS!$I$6:$I$28,$P1202),0.0001)))))</f>
        <v>0</v>
      </c>
      <c r="S1202" s="18" t="n">
        <f aca="false">IFERROR(INDEX(SEMANAS!$H$6:$H$71,MATCH($B1202,SEMANAS!$B$6:$B$71,0)),0)</f>
        <v>38.5</v>
      </c>
      <c r="T1202" s="18" t="n">
        <f aca="false">$R1202*$S1202</f>
        <v>0</v>
      </c>
      <c r="U1202" s="18" t="n">
        <f aca="false">IFERROR(INDEX(SEMANAS!$I$6:$I$71,MATCH($B1202,SEMANAS!$B$6:$B$71,0)),0)</f>
        <v>29.89</v>
      </c>
      <c r="V1202" s="18" t="n">
        <f aca="false">IFERROR(INDEX(SEMANAS!$J$6:$J$71,MATCH($B1202,SEMANAS!$B$6:$B$71,0)),0)</f>
        <v>23.912</v>
      </c>
      <c r="W1202" s="18" t="n">
        <f aca="false">MAX(0,$T1202-$V1202)</f>
        <v>0</v>
      </c>
      <c r="X1202" s="19" t="n">
        <f aca="false">IFERROR(INDEX(CADASTRO_PIVOS!$K$6:$K$41,MATCH($E1202,CADASTRO_PIVOS!$B$6:$B$41,0)),EFICIENCIA_PADRAO)</f>
        <v>0.85</v>
      </c>
      <c r="Y1202" s="18" t="n">
        <f aca="false">IF($X1202&lt;=0,0,$W1202/$X1202)</f>
        <v>0</v>
      </c>
      <c r="Z1202" s="16" t="n">
        <f aca="false">$Y1202*$H1202*MM_PARA_M3_HA</f>
        <v>0</v>
      </c>
      <c r="AA1202" s="18" t="n">
        <f aca="false">IFERROR(INDEX(CADASTRO_PIVOS!$I$6:$I$41,MATCH($E1202,CADASTRO_PIVOS!$B$6:$B$41,0)),0)</f>
        <v>906.842857142857</v>
      </c>
      <c r="AB1202" s="18" t="n">
        <f aca="false">IF($Z1202&lt;=0,0,$Z1202/$AA1202)</f>
        <v>0</v>
      </c>
      <c r="AC1202" s="16" t="n">
        <f aca="false">IFERROR(INDEX(SEMANAS!$K$6:$K$71,MATCH($B1202,SEMANAS!$B$6:$B$71,0)),0)</f>
        <v>147</v>
      </c>
      <c r="AD1202" s="19" t="n">
        <f aca="false">IF($AC1202&lt;=0,0,$AB1202/$AC1202)</f>
        <v>0</v>
      </c>
      <c r="AE1202" s="8" t="str">
        <f aca="false">IF($K1202="SEM CULTURA","SEM CULTURA",IF($AA1202&lt;=0,"DADO PENDENTE",IF($AD1202&gt;LIMITE_CRITICO,"INVIAVEL",IF($AD1202&gt;LIMITE_ATENCAO,"CRITICO",IF($AD1202&gt;LIMITE_CONFORTAVEL,"ATENCAO","OK")))))</f>
        <v>SEM CULTURA</v>
      </c>
      <c r="AF1202" s="8" t="str">
        <f aca="false">$B1202&amp;"|"&amp;TEXT($AD1202,"0.000000")</f>
        <v>9|0.000000</v>
      </c>
      <c r="AG1202" s="18" t="n">
        <f aca="false">IF($K1202="SEM CULTURA",0,$T1202*$H1202)</f>
        <v>0</v>
      </c>
      <c r="AH1202" s="18" t="n">
        <f aca="false">IF($K1202="SEM CULTURA",0,$V1202*$H1202)</f>
        <v>0</v>
      </c>
      <c r="AI1202" s="18" t="n">
        <f aca="false">IF($K1202="SEM CULTURA",0,$W1202*$H1202)</f>
        <v>0</v>
      </c>
      <c r="AJ1202" s="18" t="n">
        <f aca="false">IF($K1202="SEM CULTURA",0,$S1202*$H1202)</f>
        <v>0</v>
      </c>
      <c r="AK1202" s="8" t="str">
        <f aca="false">$E1202&amp;"|"&amp;TEXT($AD1202,"0.000000")</f>
        <v>PV 118|0.000000</v>
      </c>
    </row>
    <row r="1203" customFormat="false" ht="15" hidden="false" customHeight="false" outlineLevel="0" collapsed="false">
      <c r="B1203" s="16" t="n">
        <v>10</v>
      </c>
      <c r="C1203" s="17" t="n">
        <f aca="false">DATA_INICIO_SAFRA+($B1203-1)*DIAS_POR_SEMANA</f>
        <v>46328</v>
      </c>
      <c r="D1203" s="17" t="n">
        <f aca="false">$C1203+DIAS_POR_SEMANA-1</f>
        <v>46334</v>
      </c>
      <c r="E1203" s="15" t="s">
        <v>277</v>
      </c>
      <c r="F1203" s="8" t="str">
        <f aca="false">IFERROR(INDEX(CADASTRO_PIVOS!$C$6:$C$41,MATCH($E1203,CADASTRO_PIVOS!$B$6:$B$41,0)),"?")</f>
        <v>RM06</v>
      </c>
      <c r="G1203" s="8" t="str">
        <f aca="false">IFERROR(INDEX(CADASTRO_PIVOS!$D$6:$D$41,MATCH($E1203,CADASTRO_PIVOS!$B$6:$B$41,0)),"?")</f>
        <v>TR06</v>
      </c>
      <c r="H1203" s="20" t="n">
        <f aca="false">IFERROR(INDEX(CADASTRO_PIVOS!$E$6:$E$41,MATCH($E1203,CADASTRO_PIVOS!$B$6:$B$41,0)),0)</f>
        <v>146.49</v>
      </c>
      <c r="I1203" s="16" t="n">
        <f aca="false">IFERROR(SUMIFS(ROTACAO_RDM!$B$6:$B$71,ROTACAO_RDM!$D$6:$D$71,$E1203,ROTACAO_RDM!$I$6:$I$71,"&lt;="&amp;$C1203+INT(DIAS_POR_SEMANA/2),ROTACAO_RDM!$J$6:$J$71,"&gt;="&amp;$C1203+INT(DIAS_POR_SEMANA/2)),0)</f>
        <v>0</v>
      </c>
      <c r="J1203" s="16" t="n">
        <f aca="false">IFERROR(MATCH($I1203,ROTACAO_RDM!$B$6:$B$71,0),0)</f>
        <v>0</v>
      </c>
      <c r="K1203" s="8" t="str">
        <f aca="false">IF($J1203=0,"SEM CULTURA",INDEX(ROTACAO_RDM!$F$6:$F$71,$J1203))</f>
        <v>SEM CULTURA</v>
      </c>
      <c r="L1203" s="8" t="str">
        <f aca="false">IF($J1203=0,"",INDEX(ROTACAO_RDM!$G$6:$G$71,$J1203))</f>
        <v/>
      </c>
      <c r="M1203" s="17" t="str">
        <f aca="false">IF($J1203=0,"",INDEX(ROTACAO_RDM!$I$6:$I$71,$J1203))</f>
        <v/>
      </c>
      <c r="N1203" s="16" t="n">
        <f aca="false">IF($J1203=0,0,MAX(0,$C1203+INT(DIAS_POR_SEMANA/2)-INDEX(ROTACAO_RDM!$I$6:$I$71,$J1203)))</f>
        <v>0</v>
      </c>
      <c r="O1203" s="19" t="n">
        <f aca="false">IF($J1203=0,0,MIN(1,$N1203/MAX(1,INDEX(ROTACAO_RDM!$K$6:$K$71,$J1203))))</f>
        <v>0</v>
      </c>
      <c r="P1203" s="16" t="n">
        <f aca="false">IF($J1203=0,0,IFERROR(MATCH(INDEX(ROTACAO_RDM!$N$6:$N$71,$J1203),PARAMETROS_CULTURAS!$B$6:$B$28,0),0))</f>
        <v>0</v>
      </c>
      <c r="Q1203" s="8" t="str">
        <f aca="false">IF($P1203=0,"-",IF($O1203&lt;=INDEX(PARAMETROS_CULTURAS!$F$6:$F$28,$P1203),"INICIAL",IF($O1203&lt;=INDEX(PARAMETROS_CULTURAS!$F$6:$F$28,$P1203)+INDEX(PARAMETROS_CULTURAS!$G$6:$G$28,$P1203),"DESENVOLVIMENTO",IF($O1203&lt;=INDEX(PARAMETROS_CULTURAS!$F$6:$F$28,$P1203)+INDEX(PARAMETROS_CULTURAS!$G$6:$G$28,$P1203)+INDEX(PARAMETROS_CULTURAS!$H$6:$H$28,$P1203),"MEDIA","FINAL"))))</f>
        <v>-</v>
      </c>
      <c r="R1203" s="24" t="n">
        <f aca="false">IF($P1203=0,0,IF($O1203&lt;=INDEX(PARAMETROS_CULTURAS!$F$6:$F$28,$P1203),INDEX(PARAMETROS_CULTURAS!$K$6:$K$28,$P1203),IF($O1203&lt;=INDEX(PARAMETROS_CULTURAS!$F$6:$F$28,$P1203)+INDEX(PARAMETROS_CULTURAS!$G$6:$G$28,$P1203),INDEX(PARAMETROS_CULTURAS!$K$6:$K$28,$P1203)+(INDEX(PARAMETROS_CULTURAS!$L$6:$L$28,$P1203)-INDEX(PARAMETROS_CULTURAS!$K$6:$K$28,$P1203))*($O1203-INDEX(PARAMETROS_CULTURAS!$F$6:$F$28,$P1203))/MAX(INDEX(PARAMETROS_CULTURAS!$G$6:$G$28,$P1203),0.0001),IF($O1203&lt;=INDEX(PARAMETROS_CULTURAS!$F$6:$F$28,$P1203)+INDEX(PARAMETROS_CULTURAS!$G$6:$G$28,$P1203)+INDEX(PARAMETROS_CULTURAS!$H$6:$H$28,$P1203),INDEX(PARAMETROS_CULTURAS!$L$6:$L$28,$P1203),INDEX(PARAMETROS_CULTURAS!$L$6:$L$28,$P1203)+(INDEX(PARAMETROS_CULTURAS!$M$6:$M$28,$P1203)-INDEX(PARAMETROS_CULTURAS!$L$6:$L$28,$P1203))*($O1203-INDEX(PARAMETROS_CULTURAS!$F$6:$F$28,$P1203)-INDEX(PARAMETROS_CULTURAS!$G$6:$G$28,$P1203)-INDEX(PARAMETROS_CULTURAS!$H$6:$H$28,$P1203))/MAX(INDEX(PARAMETROS_CULTURAS!$I$6:$I$28,$P1203),0.0001)))))</f>
        <v>0</v>
      </c>
      <c r="S1203" s="18" t="n">
        <f aca="false">IFERROR(INDEX(SEMANAS!$H$6:$H$71,MATCH($B1203,SEMANAS!$B$6:$B$71,0)),0)</f>
        <v>34.3</v>
      </c>
      <c r="T1203" s="18" t="n">
        <f aca="false">$R1203*$S1203</f>
        <v>0</v>
      </c>
      <c r="U1203" s="18" t="n">
        <f aca="false">IFERROR(INDEX(SEMANAS!$I$6:$I$71,MATCH($B1203,SEMANAS!$B$6:$B$71,0)),0)</f>
        <v>46.69</v>
      </c>
      <c r="V1203" s="18" t="n">
        <f aca="false">IFERROR(INDEX(SEMANAS!$J$6:$J$71,MATCH($B1203,SEMANAS!$B$6:$B$71,0)),0)</f>
        <v>37.352</v>
      </c>
      <c r="W1203" s="18" t="n">
        <f aca="false">MAX(0,$T1203-$V1203)</f>
        <v>0</v>
      </c>
      <c r="X1203" s="19" t="n">
        <f aca="false">IFERROR(INDEX(CADASTRO_PIVOS!$K$6:$K$41,MATCH($E1203,CADASTRO_PIVOS!$B$6:$B$41,0)),EFICIENCIA_PADRAO)</f>
        <v>0.85</v>
      </c>
      <c r="Y1203" s="18" t="n">
        <f aca="false">IF($X1203&lt;=0,0,$W1203/$X1203)</f>
        <v>0</v>
      </c>
      <c r="Z1203" s="16" t="n">
        <f aca="false">$Y1203*$H1203*MM_PARA_M3_HA</f>
        <v>0</v>
      </c>
      <c r="AA1203" s="18" t="n">
        <f aca="false">IFERROR(INDEX(CADASTRO_PIVOS!$I$6:$I$41,MATCH($E1203,CADASTRO_PIVOS!$B$6:$B$41,0)),0)</f>
        <v>906.842857142857</v>
      </c>
      <c r="AB1203" s="18" t="n">
        <f aca="false">IF($Z1203&lt;=0,0,$Z1203/$AA1203)</f>
        <v>0</v>
      </c>
      <c r="AC1203" s="16" t="n">
        <f aca="false">IFERROR(INDEX(SEMANAS!$K$6:$K$71,MATCH($B1203,SEMANAS!$B$6:$B$71,0)),0)</f>
        <v>147</v>
      </c>
      <c r="AD1203" s="19" t="n">
        <f aca="false">IF($AC1203&lt;=0,0,$AB1203/$AC1203)</f>
        <v>0</v>
      </c>
      <c r="AE1203" s="8" t="str">
        <f aca="false">IF($K1203="SEM CULTURA","SEM CULTURA",IF($AA1203&lt;=0,"DADO PENDENTE",IF($AD1203&gt;LIMITE_CRITICO,"INVIAVEL",IF($AD1203&gt;LIMITE_ATENCAO,"CRITICO",IF($AD1203&gt;LIMITE_CONFORTAVEL,"ATENCAO","OK")))))</f>
        <v>SEM CULTURA</v>
      </c>
      <c r="AF1203" s="8" t="str">
        <f aca="false">$B1203&amp;"|"&amp;TEXT($AD1203,"0.000000")</f>
        <v>10|0.000000</v>
      </c>
      <c r="AG1203" s="18" t="n">
        <f aca="false">IF($K1203="SEM CULTURA",0,$T1203*$H1203)</f>
        <v>0</v>
      </c>
      <c r="AH1203" s="18" t="n">
        <f aca="false">IF($K1203="SEM CULTURA",0,$V1203*$H1203)</f>
        <v>0</v>
      </c>
      <c r="AI1203" s="18" t="n">
        <f aca="false">IF($K1203="SEM CULTURA",0,$W1203*$H1203)</f>
        <v>0</v>
      </c>
      <c r="AJ1203" s="18" t="n">
        <f aca="false">IF($K1203="SEM CULTURA",0,$S1203*$H1203)</f>
        <v>0</v>
      </c>
      <c r="AK1203" s="8" t="str">
        <f aca="false">$E1203&amp;"|"&amp;TEXT($AD1203,"0.000000")</f>
        <v>PV 118|0.000000</v>
      </c>
    </row>
    <row r="1204" customFormat="false" ht="15" hidden="false" customHeight="false" outlineLevel="0" collapsed="false">
      <c r="B1204" s="16" t="n">
        <v>11</v>
      </c>
      <c r="C1204" s="17" t="n">
        <f aca="false">DATA_INICIO_SAFRA+($B1204-1)*DIAS_POR_SEMANA</f>
        <v>46335</v>
      </c>
      <c r="D1204" s="17" t="n">
        <f aca="false">$C1204+DIAS_POR_SEMANA-1</f>
        <v>46341</v>
      </c>
      <c r="E1204" s="15" t="s">
        <v>277</v>
      </c>
      <c r="F1204" s="8" t="str">
        <f aca="false">IFERROR(INDEX(CADASTRO_PIVOS!$C$6:$C$41,MATCH($E1204,CADASTRO_PIVOS!$B$6:$B$41,0)),"?")</f>
        <v>RM06</v>
      </c>
      <c r="G1204" s="8" t="str">
        <f aca="false">IFERROR(INDEX(CADASTRO_PIVOS!$D$6:$D$41,MATCH($E1204,CADASTRO_PIVOS!$B$6:$B$41,0)),"?")</f>
        <v>TR06</v>
      </c>
      <c r="H1204" s="20" t="n">
        <f aca="false">IFERROR(INDEX(CADASTRO_PIVOS!$E$6:$E$41,MATCH($E1204,CADASTRO_PIVOS!$B$6:$B$41,0)),0)</f>
        <v>146.49</v>
      </c>
      <c r="I1204" s="16" t="n">
        <f aca="false">IFERROR(SUMIFS(ROTACAO_RDM!$B$6:$B$71,ROTACAO_RDM!$D$6:$D$71,$E1204,ROTACAO_RDM!$I$6:$I$71,"&lt;="&amp;$C1204+INT(DIAS_POR_SEMANA/2),ROTACAO_RDM!$J$6:$J$71,"&gt;="&amp;$C1204+INT(DIAS_POR_SEMANA/2)),0)</f>
        <v>0</v>
      </c>
      <c r="J1204" s="16" t="n">
        <f aca="false">IFERROR(MATCH($I1204,ROTACAO_RDM!$B$6:$B$71,0),0)</f>
        <v>0</v>
      </c>
      <c r="K1204" s="8" t="str">
        <f aca="false">IF($J1204=0,"SEM CULTURA",INDEX(ROTACAO_RDM!$F$6:$F$71,$J1204))</f>
        <v>SEM CULTURA</v>
      </c>
      <c r="L1204" s="8" t="str">
        <f aca="false">IF($J1204=0,"",INDEX(ROTACAO_RDM!$G$6:$G$71,$J1204))</f>
        <v/>
      </c>
      <c r="M1204" s="17" t="str">
        <f aca="false">IF($J1204=0,"",INDEX(ROTACAO_RDM!$I$6:$I$71,$J1204))</f>
        <v/>
      </c>
      <c r="N1204" s="16" t="n">
        <f aca="false">IF($J1204=0,0,MAX(0,$C1204+INT(DIAS_POR_SEMANA/2)-INDEX(ROTACAO_RDM!$I$6:$I$71,$J1204)))</f>
        <v>0</v>
      </c>
      <c r="O1204" s="19" t="n">
        <f aca="false">IF($J1204=0,0,MIN(1,$N1204/MAX(1,INDEX(ROTACAO_RDM!$K$6:$K$71,$J1204))))</f>
        <v>0</v>
      </c>
      <c r="P1204" s="16" t="n">
        <f aca="false">IF($J1204=0,0,IFERROR(MATCH(INDEX(ROTACAO_RDM!$N$6:$N$71,$J1204),PARAMETROS_CULTURAS!$B$6:$B$28,0),0))</f>
        <v>0</v>
      </c>
      <c r="Q1204" s="8" t="str">
        <f aca="false">IF($P1204=0,"-",IF($O1204&lt;=INDEX(PARAMETROS_CULTURAS!$F$6:$F$28,$P1204),"INICIAL",IF($O1204&lt;=INDEX(PARAMETROS_CULTURAS!$F$6:$F$28,$P1204)+INDEX(PARAMETROS_CULTURAS!$G$6:$G$28,$P1204),"DESENVOLVIMENTO",IF($O1204&lt;=INDEX(PARAMETROS_CULTURAS!$F$6:$F$28,$P1204)+INDEX(PARAMETROS_CULTURAS!$G$6:$G$28,$P1204)+INDEX(PARAMETROS_CULTURAS!$H$6:$H$28,$P1204),"MEDIA","FINAL"))))</f>
        <v>-</v>
      </c>
      <c r="R1204" s="24" t="n">
        <f aca="false">IF($P1204=0,0,IF($O1204&lt;=INDEX(PARAMETROS_CULTURAS!$F$6:$F$28,$P1204),INDEX(PARAMETROS_CULTURAS!$K$6:$K$28,$P1204),IF($O1204&lt;=INDEX(PARAMETROS_CULTURAS!$F$6:$F$28,$P1204)+INDEX(PARAMETROS_CULTURAS!$G$6:$G$28,$P1204),INDEX(PARAMETROS_CULTURAS!$K$6:$K$28,$P1204)+(INDEX(PARAMETROS_CULTURAS!$L$6:$L$28,$P1204)-INDEX(PARAMETROS_CULTURAS!$K$6:$K$28,$P1204))*($O1204-INDEX(PARAMETROS_CULTURAS!$F$6:$F$28,$P1204))/MAX(INDEX(PARAMETROS_CULTURAS!$G$6:$G$28,$P1204),0.0001),IF($O1204&lt;=INDEX(PARAMETROS_CULTURAS!$F$6:$F$28,$P1204)+INDEX(PARAMETROS_CULTURAS!$G$6:$G$28,$P1204)+INDEX(PARAMETROS_CULTURAS!$H$6:$H$28,$P1204),INDEX(PARAMETROS_CULTURAS!$L$6:$L$28,$P1204),INDEX(PARAMETROS_CULTURAS!$L$6:$L$28,$P1204)+(INDEX(PARAMETROS_CULTURAS!$M$6:$M$28,$P1204)-INDEX(PARAMETROS_CULTURAS!$L$6:$L$28,$P1204))*($O1204-INDEX(PARAMETROS_CULTURAS!$F$6:$F$28,$P1204)-INDEX(PARAMETROS_CULTURAS!$G$6:$G$28,$P1204)-INDEX(PARAMETROS_CULTURAS!$H$6:$H$28,$P1204))/MAX(INDEX(PARAMETROS_CULTURAS!$I$6:$I$28,$P1204),0.0001)))))</f>
        <v>0</v>
      </c>
      <c r="S1204" s="18" t="n">
        <f aca="false">IFERROR(INDEX(SEMANAS!$H$6:$H$71,MATCH($B1204,SEMANAS!$B$6:$B$71,0)),0)</f>
        <v>34.3</v>
      </c>
      <c r="T1204" s="18" t="n">
        <f aca="false">$R1204*$S1204</f>
        <v>0</v>
      </c>
      <c r="U1204" s="18" t="n">
        <f aca="false">IFERROR(INDEX(SEMANAS!$I$6:$I$71,MATCH($B1204,SEMANAS!$B$6:$B$71,0)),0)</f>
        <v>46.69</v>
      </c>
      <c r="V1204" s="18" t="n">
        <f aca="false">IFERROR(INDEX(SEMANAS!$J$6:$J$71,MATCH($B1204,SEMANAS!$B$6:$B$71,0)),0)</f>
        <v>37.352</v>
      </c>
      <c r="W1204" s="18" t="n">
        <f aca="false">MAX(0,$T1204-$V1204)</f>
        <v>0</v>
      </c>
      <c r="X1204" s="19" t="n">
        <f aca="false">IFERROR(INDEX(CADASTRO_PIVOS!$K$6:$K$41,MATCH($E1204,CADASTRO_PIVOS!$B$6:$B$41,0)),EFICIENCIA_PADRAO)</f>
        <v>0.85</v>
      </c>
      <c r="Y1204" s="18" t="n">
        <f aca="false">IF($X1204&lt;=0,0,$W1204/$X1204)</f>
        <v>0</v>
      </c>
      <c r="Z1204" s="16" t="n">
        <f aca="false">$Y1204*$H1204*MM_PARA_M3_HA</f>
        <v>0</v>
      </c>
      <c r="AA1204" s="18" t="n">
        <f aca="false">IFERROR(INDEX(CADASTRO_PIVOS!$I$6:$I$41,MATCH($E1204,CADASTRO_PIVOS!$B$6:$B$41,0)),0)</f>
        <v>906.842857142857</v>
      </c>
      <c r="AB1204" s="18" t="n">
        <f aca="false">IF($Z1204&lt;=0,0,$Z1204/$AA1204)</f>
        <v>0</v>
      </c>
      <c r="AC1204" s="16" t="n">
        <f aca="false">IFERROR(INDEX(SEMANAS!$K$6:$K$71,MATCH($B1204,SEMANAS!$B$6:$B$71,0)),0)</f>
        <v>147</v>
      </c>
      <c r="AD1204" s="19" t="n">
        <f aca="false">IF($AC1204&lt;=0,0,$AB1204/$AC1204)</f>
        <v>0</v>
      </c>
      <c r="AE1204" s="8" t="str">
        <f aca="false">IF($K1204="SEM CULTURA","SEM CULTURA",IF($AA1204&lt;=0,"DADO PENDENTE",IF($AD1204&gt;LIMITE_CRITICO,"INVIAVEL",IF($AD1204&gt;LIMITE_ATENCAO,"CRITICO",IF($AD1204&gt;LIMITE_CONFORTAVEL,"ATENCAO","OK")))))</f>
        <v>SEM CULTURA</v>
      </c>
      <c r="AF1204" s="8" t="str">
        <f aca="false">$B1204&amp;"|"&amp;TEXT($AD1204,"0.000000")</f>
        <v>11|0.000000</v>
      </c>
      <c r="AG1204" s="18" t="n">
        <f aca="false">IF($K1204="SEM CULTURA",0,$T1204*$H1204)</f>
        <v>0</v>
      </c>
      <c r="AH1204" s="18" t="n">
        <f aca="false">IF($K1204="SEM CULTURA",0,$V1204*$H1204)</f>
        <v>0</v>
      </c>
      <c r="AI1204" s="18" t="n">
        <f aca="false">IF($K1204="SEM CULTURA",0,$W1204*$H1204)</f>
        <v>0</v>
      </c>
      <c r="AJ1204" s="18" t="n">
        <f aca="false">IF($K1204="SEM CULTURA",0,$S1204*$H1204)</f>
        <v>0</v>
      </c>
      <c r="AK1204" s="8" t="str">
        <f aca="false">$E1204&amp;"|"&amp;TEXT($AD1204,"0.000000")</f>
        <v>PV 118|0.000000</v>
      </c>
    </row>
    <row r="1205" customFormat="false" ht="15" hidden="false" customHeight="false" outlineLevel="0" collapsed="false">
      <c r="B1205" s="16" t="n">
        <v>12</v>
      </c>
      <c r="C1205" s="17" t="n">
        <f aca="false">DATA_INICIO_SAFRA+($B1205-1)*DIAS_POR_SEMANA</f>
        <v>46342</v>
      </c>
      <c r="D1205" s="17" t="n">
        <f aca="false">$C1205+DIAS_POR_SEMANA-1</f>
        <v>46348</v>
      </c>
      <c r="E1205" s="15" t="s">
        <v>277</v>
      </c>
      <c r="F1205" s="8" t="str">
        <f aca="false">IFERROR(INDEX(CADASTRO_PIVOS!$C$6:$C$41,MATCH($E1205,CADASTRO_PIVOS!$B$6:$B$41,0)),"?")</f>
        <v>RM06</v>
      </c>
      <c r="G1205" s="8" t="str">
        <f aca="false">IFERROR(INDEX(CADASTRO_PIVOS!$D$6:$D$41,MATCH($E1205,CADASTRO_PIVOS!$B$6:$B$41,0)),"?")</f>
        <v>TR06</v>
      </c>
      <c r="H1205" s="20" t="n">
        <f aca="false">IFERROR(INDEX(CADASTRO_PIVOS!$E$6:$E$41,MATCH($E1205,CADASTRO_PIVOS!$B$6:$B$41,0)),0)</f>
        <v>146.49</v>
      </c>
      <c r="I1205" s="16" t="n">
        <f aca="false">IFERROR(SUMIFS(ROTACAO_RDM!$B$6:$B$71,ROTACAO_RDM!$D$6:$D$71,$E1205,ROTACAO_RDM!$I$6:$I$71,"&lt;="&amp;$C1205+INT(DIAS_POR_SEMANA/2),ROTACAO_RDM!$J$6:$J$71,"&gt;="&amp;$C1205+INT(DIAS_POR_SEMANA/2)),0)</f>
        <v>0</v>
      </c>
      <c r="J1205" s="16" t="n">
        <f aca="false">IFERROR(MATCH($I1205,ROTACAO_RDM!$B$6:$B$71,0),0)</f>
        <v>0</v>
      </c>
      <c r="K1205" s="8" t="str">
        <f aca="false">IF($J1205=0,"SEM CULTURA",INDEX(ROTACAO_RDM!$F$6:$F$71,$J1205))</f>
        <v>SEM CULTURA</v>
      </c>
      <c r="L1205" s="8" t="str">
        <f aca="false">IF($J1205=0,"",INDEX(ROTACAO_RDM!$G$6:$G$71,$J1205))</f>
        <v/>
      </c>
      <c r="M1205" s="17" t="str">
        <f aca="false">IF($J1205=0,"",INDEX(ROTACAO_RDM!$I$6:$I$71,$J1205))</f>
        <v/>
      </c>
      <c r="N1205" s="16" t="n">
        <f aca="false">IF($J1205=0,0,MAX(0,$C1205+INT(DIAS_POR_SEMANA/2)-INDEX(ROTACAO_RDM!$I$6:$I$71,$J1205)))</f>
        <v>0</v>
      </c>
      <c r="O1205" s="19" t="n">
        <f aca="false">IF($J1205=0,0,MIN(1,$N1205/MAX(1,INDEX(ROTACAO_RDM!$K$6:$K$71,$J1205))))</f>
        <v>0</v>
      </c>
      <c r="P1205" s="16" t="n">
        <f aca="false">IF($J1205=0,0,IFERROR(MATCH(INDEX(ROTACAO_RDM!$N$6:$N$71,$J1205),PARAMETROS_CULTURAS!$B$6:$B$28,0),0))</f>
        <v>0</v>
      </c>
      <c r="Q1205" s="8" t="str">
        <f aca="false">IF($P1205=0,"-",IF($O1205&lt;=INDEX(PARAMETROS_CULTURAS!$F$6:$F$28,$P1205),"INICIAL",IF($O1205&lt;=INDEX(PARAMETROS_CULTURAS!$F$6:$F$28,$P1205)+INDEX(PARAMETROS_CULTURAS!$G$6:$G$28,$P1205),"DESENVOLVIMENTO",IF($O1205&lt;=INDEX(PARAMETROS_CULTURAS!$F$6:$F$28,$P1205)+INDEX(PARAMETROS_CULTURAS!$G$6:$G$28,$P1205)+INDEX(PARAMETROS_CULTURAS!$H$6:$H$28,$P1205),"MEDIA","FINAL"))))</f>
        <v>-</v>
      </c>
      <c r="R1205" s="24" t="n">
        <f aca="false">IF($P1205=0,0,IF($O1205&lt;=INDEX(PARAMETROS_CULTURAS!$F$6:$F$28,$P1205),INDEX(PARAMETROS_CULTURAS!$K$6:$K$28,$P1205),IF($O1205&lt;=INDEX(PARAMETROS_CULTURAS!$F$6:$F$28,$P1205)+INDEX(PARAMETROS_CULTURAS!$G$6:$G$28,$P1205),INDEX(PARAMETROS_CULTURAS!$K$6:$K$28,$P1205)+(INDEX(PARAMETROS_CULTURAS!$L$6:$L$28,$P1205)-INDEX(PARAMETROS_CULTURAS!$K$6:$K$28,$P1205))*($O1205-INDEX(PARAMETROS_CULTURAS!$F$6:$F$28,$P1205))/MAX(INDEX(PARAMETROS_CULTURAS!$G$6:$G$28,$P1205),0.0001),IF($O1205&lt;=INDEX(PARAMETROS_CULTURAS!$F$6:$F$28,$P1205)+INDEX(PARAMETROS_CULTURAS!$G$6:$G$28,$P1205)+INDEX(PARAMETROS_CULTURAS!$H$6:$H$28,$P1205),INDEX(PARAMETROS_CULTURAS!$L$6:$L$28,$P1205),INDEX(PARAMETROS_CULTURAS!$L$6:$L$28,$P1205)+(INDEX(PARAMETROS_CULTURAS!$M$6:$M$28,$P1205)-INDEX(PARAMETROS_CULTURAS!$L$6:$L$28,$P1205))*($O1205-INDEX(PARAMETROS_CULTURAS!$F$6:$F$28,$P1205)-INDEX(PARAMETROS_CULTURAS!$G$6:$G$28,$P1205)-INDEX(PARAMETROS_CULTURAS!$H$6:$H$28,$P1205))/MAX(INDEX(PARAMETROS_CULTURAS!$I$6:$I$28,$P1205),0.0001)))))</f>
        <v>0</v>
      </c>
      <c r="S1205" s="18" t="n">
        <f aca="false">IFERROR(INDEX(SEMANAS!$H$6:$H$71,MATCH($B1205,SEMANAS!$B$6:$B$71,0)),0)</f>
        <v>34.3</v>
      </c>
      <c r="T1205" s="18" t="n">
        <f aca="false">$R1205*$S1205</f>
        <v>0</v>
      </c>
      <c r="U1205" s="18" t="n">
        <f aca="false">IFERROR(INDEX(SEMANAS!$I$6:$I$71,MATCH($B1205,SEMANAS!$B$6:$B$71,0)),0)</f>
        <v>46.69</v>
      </c>
      <c r="V1205" s="18" t="n">
        <f aca="false">IFERROR(INDEX(SEMANAS!$J$6:$J$71,MATCH($B1205,SEMANAS!$B$6:$B$71,0)),0)</f>
        <v>37.352</v>
      </c>
      <c r="W1205" s="18" t="n">
        <f aca="false">MAX(0,$T1205-$V1205)</f>
        <v>0</v>
      </c>
      <c r="X1205" s="19" t="n">
        <f aca="false">IFERROR(INDEX(CADASTRO_PIVOS!$K$6:$K$41,MATCH($E1205,CADASTRO_PIVOS!$B$6:$B$41,0)),EFICIENCIA_PADRAO)</f>
        <v>0.85</v>
      </c>
      <c r="Y1205" s="18" t="n">
        <f aca="false">IF($X1205&lt;=0,0,$W1205/$X1205)</f>
        <v>0</v>
      </c>
      <c r="Z1205" s="16" t="n">
        <f aca="false">$Y1205*$H1205*MM_PARA_M3_HA</f>
        <v>0</v>
      </c>
      <c r="AA1205" s="18" t="n">
        <f aca="false">IFERROR(INDEX(CADASTRO_PIVOS!$I$6:$I$41,MATCH($E1205,CADASTRO_PIVOS!$B$6:$B$41,0)),0)</f>
        <v>906.842857142857</v>
      </c>
      <c r="AB1205" s="18" t="n">
        <f aca="false">IF($Z1205&lt;=0,0,$Z1205/$AA1205)</f>
        <v>0</v>
      </c>
      <c r="AC1205" s="16" t="n">
        <f aca="false">IFERROR(INDEX(SEMANAS!$K$6:$K$71,MATCH($B1205,SEMANAS!$B$6:$B$71,0)),0)</f>
        <v>147</v>
      </c>
      <c r="AD1205" s="19" t="n">
        <f aca="false">IF($AC1205&lt;=0,0,$AB1205/$AC1205)</f>
        <v>0</v>
      </c>
      <c r="AE1205" s="8" t="str">
        <f aca="false">IF($K1205="SEM CULTURA","SEM CULTURA",IF($AA1205&lt;=0,"DADO PENDENTE",IF($AD1205&gt;LIMITE_CRITICO,"INVIAVEL",IF($AD1205&gt;LIMITE_ATENCAO,"CRITICO",IF($AD1205&gt;LIMITE_CONFORTAVEL,"ATENCAO","OK")))))</f>
        <v>SEM CULTURA</v>
      </c>
      <c r="AF1205" s="8" t="str">
        <f aca="false">$B1205&amp;"|"&amp;TEXT($AD1205,"0.000000")</f>
        <v>12|0.000000</v>
      </c>
      <c r="AG1205" s="18" t="n">
        <f aca="false">IF($K1205="SEM CULTURA",0,$T1205*$H1205)</f>
        <v>0</v>
      </c>
      <c r="AH1205" s="18" t="n">
        <f aca="false">IF($K1205="SEM CULTURA",0,$V1205*$H1205)</f>
        <v>0</v>
      </c>
      <c r="AI1205" s="18" t="n">
        <f aca="false">IF($K1205="SEM CULTURA",0,$W1205*$H1205)</f>
        <v>0</v>
      </c>
      <c r="AJ1205" s="18" t="n">
        <f aca="false">IF($K1205="SEM CULTURA",0,$S1205*$H1205)</f>
        <v>0</v>
      </c>
      <c r="AK1205" s="8" t="str">
        <f aca="false">$E1205&amp;"|"&amp;TEXT($AD1205,"0.000000")</f>
        <v>PV 118|0.000000</v>
      </c>
    </row>
    <row r="1206" customFormat="false" ht="15" hidden="false" customHeight="false" outlineLevel="0" collapsed="false">
      <c r="B1206" s="16" t="n">
        <v>13</v>
      </c>
      <c r="C1206" s="17" t="n">
        <f aca="false">DATA_INICIO_SAFRA+($B1206-1)*DIAS_POR_SEMANA</f>
        <v>46349</v>
      </c>
      <c r="D1206" s="17" t="n">
        <f aca="false">$C1206+DIAS_POR_SEMANA-1</f>
        <v>46355</v>
      </c>
      <c r="E1206" s="15" t="s">
        <v>277</v>
      </c>
      <c r="F1206" s="8" t="str">
        <f aca="false">IFERROR(INDEX(CADASTRO_PIVOS!$C$6:$C$41,MATCH($E1206,CADASTRO_PIVOS!$B$6:$B$41,0)),"?")</f>
        <v>RM06</v>
      </c>
      <c r="G1206" s="8" t="str">
        <f aca="false">IFERROR(INDEX(CADASTRO_PIVOS!$D$6:$D$41,MATCH($E1206,CADASTRO_PIVOS!$B$6:$B$41,0)),"?")</f>
        <v>TR06</v>
      </c>
      <c r="H1206" s="20" t="n">
        <f aca="false">IFERROR(INDEX(CADASTRO_PIVOS!$E$6:$E$41,MATCH($E1206,CADASTRO_PIVOS!$B$6:$B$41,0)),0)</f>
        <v>146.49</v>
      </c>
      <c r="I1206" s="16" t="n">
        <f aca="false">IFERROR(SUMIFS(ROTACAO_RDM!$B$6:$B$71,ROTACAO_RDM!$D$6:$D$71,$E1206,ROTACAO_RDM!$I$6:$I$71,"&lt;="&amp;$C1206+INT(DIAS_POR_SEMANA/2),ROTACAO_RDM!$J$6:$J$71,"&gt;="&amp;$C1206+INT(DIAS_POR_SEMANA/2)),0)</f>
        <v>0</v>
      </c>
      <c r="J1206" s="16" t="n">
        <f aca="false">IFERROR(MATCH($I1206,ROTACAO_RDM!$B$6:$B$71,0),0)</f>
        <v>0</v>
      </c>
      <c r="K1206" s="8" t="str">
        <f aca="false">IF($J1206=0,"SEM CULTURA",INDEX(ROTACAO_RDM!$F$6:$F$71,$J1206))</f>
        <v>SEM CULTURA</v>
      </c>
      <c r="L1206" s="8" t="str">
        <f aca="false">IF($J1206=0,"",INDEX(ROTACAO_RDM!$G$6:$G$71,$J1206))</f>
        <v/>
      </c>
      <c r="M1206" s="17" t="str">
        <f aca="false">IF($J1206=0,"",INDEX(ROTACAO_RDM!$I$6:$I$71,$J1206))</f>
        <v/>
      </c>
      <c r="N1206" s="16" t="n">
        <f aca="false">IF($J1206=0,0,MAX(0,$C1206+INT(DIAS_POR_SEMANA/2)-INDEX(ROTACAO_RDM!$I$6:$I$71,$J1206)))</f>
        <v>0</v>
      </c>
      <c r="O1206" s="19" t="n">
        <f aca="false">IF($J1206=0,0,MIN(1,$N1206/MAX(1,INDEX(ROTACAO_RDM!$K$6:$K$71,$J1206))))</f>
        <v>0</v>
      </c>
      <c r="P1206" s="16" t="n">
        <f aca="false">IF($J1206=0,0,IFERROR(MATCH(INDEX(ROTACAO_RDM!$N$6:$N$71,$J1206),PARAMETROS_CULTURAS!$B$6:$B$28,0),0))</f>
        <v>0</v>
      </c>
      <c r="Q1206" s="8" t="str">
        <f aca="false">IF($P1206=0,"-",IF($O1206&lt;=INDEX(PARAMETROS_CULTURAS!$F$6:$F$28,$P1206),"INICIAL",IF($O1206&lt;=INDEX(PARAMETROS_CULTURAS!$F$6:$F$28,$P1206)+INDEX(PARAMETROS_CULTURAS!$G$6:$G$28,$P1206),"DESENVOLVIMENTO",IF($O1206&lt;=INDEX(PARAMETROS_CULTURAS!$F$6:$F$28,$P1206)+INDEX(PARAMETROS_CULTURAS!$G$6:$G$28,$P1206)+INDEX(PARAMETROS_CULTURAS!$H$6:$H$28,$P1206),"MEDIA","FINAL"))))</f>
        <v>-</v>
      </c>
      <c r="R1206" s="24" t="n">
        <f aca="false">IF($P1206=0,0,IF($O1206&lt;=INDEX(PARAMETROS_CULTURAS!$F$6:$F$28,$P1206),INDEX(PARAMETROS_CULTURAS!$K$6:$K$28,$P1206),IF($O1206&lt;=INDEX(PARAMETROS_CULTURAS!$F$6:$F$28,$P1206)+INDEX(PARAMETROS_CULTURAS!$G$6:$G$28,$P1206),INDEX(PARAMETROS_CULTURAS!$K$6:$K$28,$P1206)+(INDEX(PARAMETROS_CULTURAS!$L$6:$L$28,$P1206)-INDEX(PARAMETROS_CULTURAS!$K$6:$K$28,$P1206))*($O1206-INDEX(PARAMETROS_CULTURAS!$F$6:$F$28,$P1206))/MAX(INDEX(PARAMETROS_CULTURAS!$G$6:$G$28,$P1206),0.0001),IF($O1206&lt;=INDEX(PARAMETROS_CULTURAS!$F$6:$F$28,$P1206)+INDEX(PARAMETROS_CULTURAS!$G$6:$G$28,$P1206)+INDEX(PARAMETROS_CULTURAS!$H$6:$H$28,$P1206),INDEX(PARAMETROS_CULTURAS!$L$6:$L$28,$P1206),INDEX(PARAMETROS_CULTURAS!$L$6:$L$28,$P1206)+(INDEX(PARAMETROS_CULTURAS!$M$6:$M$28,$P1206)-INDEX(PARAMETROS_CULTURAS!$L$6:$L$28,$P1206))*($O1206-INDEX(PARAMETROS_CULTURAS!$F$6:$F$28,$P1206)-INDEX(PARAMETROS_CULTURAS!$G$6:$G$28,$P1206)-INDEX(PARAMETROS_CULTURAS!$H$6:$H$28,$P1206))/MAX(INDEX(PARAMETROS_CULTURAS!$I$6:$I$28,$P1206),0.0001)))))</f>
        <v>0</v>
      </c>
      <c r="S1206" s="18" t="n">
        <f aca="false">IFERROR(INDEX(SEMANAS!$H$6:$H$71,MATCH($B1206,SEMANAS!$B$6:$B$71,0)),0)</f>
        <v>34.3</v>
      </c>
      <c r="T1206" s="18" t="n">
        <f aca="false">$R1206*$S1206</f>
        <v>0</v>
      </c>
      <c r="U1206" s="18" t="n">
        <f aca="false">IFERROR(INDEX(SEMANAS!$I$6:$I$71,MATCH($B1206,SEMANAS!$B$6:$B$71,0)),0)</f>
        <v>46.69</v>
      </c>
      <c r="V1206" s="18" t="n">
        <f aca="false">IFERROR(INDEX(SEMANAS!$J$6:$J$71,MATCH($B1206,SEMANAS!$B$6:$B$71,0)),0)</f>
        <v>37.352</v>
      </c>
      <c r="W1206" s="18" t="n">
        <f aca="false">MAX(0,$T1206-$V1206)</f>
        <v>0</v>
      </c>
      <c r="X1206" s="19" t="n">
        <f aca="false">IFERROR(INDEX(CADASTRO_PIVOS!$K$6:$K$41,MATCH($E1206,CADASTRO_PIVOS!$B$6:$B$41,0)),EFICIENCIA_PADRAO)</f>
        <v>0.85</v>
      </c>
      <c r="Y1206" s="18" t="n">
        <f aca="false">IF($X1206&lt;=0,0,$W1206/$X1206)</f>
        <v>0</v>
      </c>
      <c r="Z1206" s="16" t="n">
        <f aca="false">$Y1206*$H1206*MM_PARA_M3_HA</f>
        <v>0</v>
      </c>
      <c r="AA1206" s="18" t="n">
        <f aca="false">IFERROR(INDEX(CADASTRO_PIVOS!$I$6:$I$41,MATCH($E1206,CADASTRO_PIVOS!$B$6:$B$41,0)),0)</f>
        <v>906.842857142857</v>
      </c>
      <c r="AB1206" s="18" t="n">
        <f aca="false">IF($Z1206&lt;=0,0,$Z1206/$AA1206)</f>
        <v>0</v>
      </c>
      <c r="AC1206" s="16" t="n">
        <f aca="false">IFERROR(INDEX(SEMANAS!$K$6:$K$71,MATCH($B1206,SEMANAS!$B$6:$B$71,0)),0)</f>
        <v>147</v>
      </c>
      <c r="AD1206" s="19" t="n">
        <f aca="false">IF($AC1206&lt;=0,0,$AB1206/$AC1206)</f>
        <v>0</v>
      </c>
      <c r="AE1206" s="8" t="str">
        <f aca="false">IF($K1206="SEM CULTURA","SEM CULTURA",IF($AA1206&lt;=0,"DADO PENDENTE",IF($AD1206&gt;LIMITE_CRITICO,"INVIAVEL",IF($AD1206&gt;LIMITE_ATENCAO,"CRITICO",IF($AD1206&gt;LIMITE_CONFORTAVEL,"ATENCAO","OK")))))</f>
        <v>SEM CULTURA</v>
      </c>
      <c r="AF1206" s="8" t="str">
        <f aca="false">$B1206&amp;"|"&amp;TEXT($AD1206,"0.000000")</f>
        <v>13|0.000000</v>
      </c>
      <c r="AG1206" s="18" t="n">
        <f aca="false">IF($K1206="SEM CULTURA",0,$T1206*$H1206)</f>
        <v>0</v>
      </c>
      <c r="AH1206" s="18" t="n">
        <f aca="false">IF($K1206="SEM CULTURA",0,$V1206*$H1206)</f>
        <v>0</v>
      </c>
      <c r="AI1206" s="18" t="n">
        <f aca="false">IF($K1206="SEM CULTURA",0,$W1206*$H1206)</f>
        <v>0</v>
      </c>
      <c r="AJ1206" s="18" t="n">
        <f aca="false">IF($K1206="SEM CULTURA",0,$S1206*$H1206)</f>
        <v>0</v>
      </c>
      <c r="AK1206" s="8" t="str">
        <f aca="false">$E1206&amp;"|"&amp;TEXT($AD1206,"0.000000")</f>
        <v>PV 118|0.000000</v>
      </c>
    </row>
    <row r="1207" customFormat="false" ht="15" hidden="false" customHeight="false" outlineLevel="0" collapsed="false">
      <c r="B1207" s="16" t="n">
        <v>14</v>
      </c>
      <c r="C1207" s="17" t="n">
        <f aca="false">DATA_INICIO_SAFRA+($B1207-1)*DIAS_POR_SEMANA</f>
        <v>46356</v>
      </c>
      <c r="D1207" s="17" t="n">
        <f aca="false">$C1207+DIAS_POR_SEMANA-1</f>
        <v>46362</v>
      </c>
      <c r="E1207" s="15" t="s">
        <v>277</v>
      </c>
      <c r="F1207" s="8" t="str">
        <f aca="false">IFERROR(INDEX(CADASTRO_PIVOS!$C$6:$C$41,MATCH($E1207,CADASTRO_PIVOS!$B$6:$B$41,0)),"?")</f>
        <v>RM06</v>
      </c>
      <c r="G1207" s="8" t="str">
        <f aca="false">IFERROR(INDEX(CADASTRO_PIVOS!$D$6:$D$41,MATCH($E1207,CADASTRO_PIVOS!$B$6:$B$41,0)),"?")</f>
        <v>TR06</v>
      </c>
      <c r="H1207" s="20" t="n">
        <f aca="false">IFERROR(INDEX(CADASTRO_PIVOS!$E$6:$E$41,MATCH($E1207,CADASTRO_PIVOS!$B$6:$B$41,0)),0)</f>
        <v>146.49</v>
      </c>
      <c r="I1207" s="16" t="n">
        <f aca="false">IFERROR(SUMIFS(ROTACAO_RDM!$B$6:$B$71,ROTACAO_RDM!$D$6:$D$71,$E1207,ROTACAO_RDM!$I$6:$I$71,"&lt;="&amp;$C1207+INT(DIAS_POR_SEMANA/2),ROTACAO_RDM!$J$6:$J$71,"&gt;="&amp;$C1207+INT(DIAS_POR_SEMANA/2)),0)</f>
        <v>0</v>
      </c>
      <c r="J1207" s="16" t="n">
        <f aca="false">IFERROR(MATCH($I1207,ROTACAO_RDM!$B$6:$B$71,0),0)</f>
        <v>0</v>
      </c>
      <c r="K1207" s="8" t="str">
        <f aca="false">IF($J1207=0,"SEM CULTURA",INDEX(ROTACAO_RDM!$F$6:$F$71,$J1207))</f>
        <v>SEM CULTURA</v>
      </c>
      <c r="L1207" s="8" t="str">
        <f aca="false">IF($J1207=0,"",INDEX(ROTACAO_RDM!$G$6:$G$71,$J1207))</f>
        <v/>
      </c>
      <c r="M1207" s="17" t="str">
        <f aca="false">IF($J1207=0,"",INDEX(ROTACAO_RDM!$I$6:$I$71,$J1207))</f>
        <v/>
      </c>
      <c r="N1207" s="16" t="n">
        <f aca="false">IF($J1207=0,0,MAX(0,$C1207+INT(DIAS_POR_SEMANA/2)-INDEX(ROTACAO_RDM!$I$6:$I$71,$J1207)))</f>
        <v>0</v>
      </c>
      <c r="O1207" s="19" t="n">
        <f aca="false">IF($J1207=0,0,MIN(1,$N1207/MAX(1,INDEX(ROTACAO_RDM!$K$6:$K$71,$J1207))))</f>
        <v>0</v>
      </c>
      <c r="P1207" s="16" t="n">
        <f aca="false">IF($J1207=0,0,IFERROR(MATCH(INDEX(ROTACAO_RDM!$N$6:$N$71,$J1207),PARAMETROS_CULTURAS!$B$6:$B$28,0),0))</f>
        <v>0</v>
      </c>
      <c r="Q1207" s="8" t="str">
        <f aca="false">IF($P1207=0,"-",IF($O1207&lt;=INDEX(PARAMETROS_CULTURAS!$F$6:$F$28,$P1207),"INICIAL",IF($O1207&lt;=INDEX(PARAMETROS_CULTURAS!$F$6:$F$28,$P1207)+INDEX(PARAMETROS_CULTURAS!$G$6:$G$28,$P1207),"DESENVOLVIMENTO",IF($O1207&lt;=INDEX(PARAMETROS_CULTURAS!$F$6:$F$28,$P1207)+INDEX(PARAMETROS_CULTURAS!$G$6:$G$28,$P1207)+INDEX(PARAMETROS_CULTURAS!$H$6:$H$28,$P1207),"MEDIA","FINAL"))))</f>
        <v>-</v>
      </c>
      <c r="R1207" s="24" t="n">
        <f aca="false">IF($P1207=0,0,IF($O1207&lt;=INDEX(PARAMETROS_CULTURAS!$F$6:$F$28,$P1207),INDEX(PARAMETROS_CULTURAS!$K$6:$K$28,$P1207),IF($O1207&lt;=INDEX(PARAMETROS_CULTURAS!$F$6:$F$28,$P1207)+INDEX(PARAMETROS_CULTURAS!$G$6:$G$28,$P1207),INDEX(PARAMETROS_CULTURAS!$K$6:$K$28,$P1207)+(INDEX(PARAMETROS_CULTURAS!$L$6:$L$28,$P1207)-INDEX(PARAMETROS_CULTURAS!$K$6:$K$28,$P1207))*($O1207-INDEX(PARAMETROS_CULTURAS!$F$6:$F$28,$P1207))/MAX(INDEX(PARAMETROS_CULTURAS!$G$6:$G$28,$P1207),0.0001),IF($O1207&lt;=INDEX(PARAMETROS_CULTURAS!$F$6:$F$28,$P1207)+INDEX(PARAMETROS_CULTURAS!$G$6:$G$28,$P1207)+INDEX(PARAMETROS_CULTURAS!$H$6:$H$28,$P1207),INDEX(PARAMETROS_CULTURAS!$L$6:$L$28,$P1207),INDEX(PARAMETROS_CULTURAS!$L$6:$L$28,$P1207)+(INDEX(PARAMETROS_CULTURAS!$M$6:$M$28,$P1207)-INDEX(PARAMETROS_CULTURAS!$L$6:$L$28,$P1207))*($O1207-INDEX(PARAMETROS_CULTURAS!$F$6:$F$28,$P1207)-INDEX(PARAMETROS_CULTURAS!$G$6:$G$28,$P1207)-INDEX(PARAMETROS_CULTURAS!$H$6:$H$28,$P1207))/MAX(INDEX(PARAMETROS_CULTURAS!$I$6:$I$28,$P1207),0.0001)))))</f>
        <v>0</v>
      </c>
      <c r="S1207" s="18" t="n">
        <f aca="false">IFERROR(INDEX(SEMANAS!$H$6:$H$71,MATCH($B1207,SEMANAS!$B$6:$B$71,0)),0)</f>
        <v>33.1</v>
      </c>
      <c r="T1207" s="18" t="n">
        <f aca="false">$R1207*$S1207</f>
        <v>0</v>
      </c>
      <c r="U1207" s="18" t="n">
        <f aca="false">IFERROR(INDEX(SEMANAS!$I$6:$I$71,MATCH($B1207,SEMANAS!$B$6:$B$71,0)),0)</f>
        <v>48.31</v>
      </c>
      <c r="V1207" s="18" t="n">
        <f aca="false">IFERROR(INDEX(SEMANAS!$J$6:$J$71,MATCH($B1207,SEMANAS!$B$6:$B$71,0)),0)</f>
        <v>38.648</v>
      </c>
      <c r="W1207" s="18" t="n">
        <f aca="false">MAX(0,$T1207-$V1207)</f>
        <v>0</v>
      </c>
      <c r="X1207" s="19" t="n">
        <f aca="false">IFERROR(INDEX(CADASTRO_PIVOS!$K$6:$K$41,MATCH($E1207,CADASTRO_PIVOS!$B$6:$B$41,0)),EFICIENCIA_PADRAO)</f>
        <v>0.85</v>
      </c>
      <c r="Y1207" s="18" t="n">
        <f aca="false">IF($X1207&lt;=0,0,$W1207/$X1207)</f>
        <v>0</v>
      </c>
      <c r="Z1207" s="16" t="n">
        <f aca="false">$Y1207*$H1207*MM_PARA_M3_HA</f>
        <v>0</v>
      </c>
      <c r="AA1207" s="18" t="n">
        <f aca="false">IFERROR(INDEX(CADASTRO_PIVOS!$I$6:$I$41,MATCH($E1207,CADASTRO_PIVOS!$B$6:$B$41,0)),0)</f>
        <v>906.842857142857</v>
      </c>
      <c r="AB1207" s="18" t="n">
        <f aca="false">IF($Z1207&lt;=0,0,$Z1207/$AA1207)</f>
        <v>0</v>
      </c>
      <c r="AC1207" s="16" t="n">
        <f aca="false">IFERROR(INDEX(SEMANAS!$K$6:$K$71,MATCH($B1207,SEMANAS!$B$6:$B$71,0)),0)</f>
        <v>147</v>
      </c>
      <c r="AD1207" s="19" t="n">
        <f aca="false">IF($AC1207&lt;=0,0,$AB1207/$AC1207)</f>
        <v>0</v>
      </c>
      <c r="AE1207" s="8" t="str">
        <f aca="false">IF($K1207="SEM CULTURA","SEM CULTURA",IF($AA1207&lt;=0,"DADO PENDENTE",IF($AD1207&gt;LIMITE_CRITICO,"INVIAVEL",IF($AD1207&gt;LIMITE_ATENCAO,"CRITICO",IF($AD1207&gt;LIMITE_CONFORTAVEL,"ATENCAO","OK")))))</f>
        <v>SEM CULTURA</v>
      </c>
      <c r="AF1207" s="8" t="str">
        <f aca="false">$B1207&amp;"|"&amp;TEXT($AD1207,"0.000000")</f>
        <v>14|0.000000</v>
      </c>
      <c r="AG1207" s="18" t="n">
        <f aca="false">IF($K1207="SEM CULTURA",0,$T1207*$H1207)</f>
        <v>0</v>
      </c>
      <c r="AH1207" s="18" t="n">
        <f aca="false">IF($K1207="SEM CULTURA",0,$V1207*$H1207)</f>
        <v>0</v>
      </c>
      <c r="AI1207" s="18" t="n">
        <f aca="false">IF($K1207="SEM CULTURA",0,$W1207*$H1207)</f>
        <v>0</v>
      </c>
      <c r="AJ1207" s="18" t="n">
        <f aca="false">IF($K1207="SEM CULTURA",0,$S1207*$H1207)</f>
        <v>0</v>
      </c>
      <c r="AK1207" s="8" t="str">
        <f aca="false">$E1207&amp;"|"&amp;TEXT($AD1207,"0.000000")</f>
        <v>PV 118|0.000000</v>
      </c>
    </row>
    <row r="1208" customFormat="false" ht="15" hidden="false" customHeight="false" outlineLevel="0" collapsed="false">
      <c r="B1208" s="16" t="n">
        <v>15</v>
      </c>
      <c r="C1208" s="17" t="n">
        <f aca="false">DATA_INICIO_SAFRA+($B1208-1)*DIAS_POR_SEMANA</f>
        <v>46363</v>
      </c>
      <c r="D1208" s="17" t="n">
        <f aca="false">$C1208+DIAS_POR_SEMANA-1</f>
        <v>46369</v>
      </c>
      <c r="E1208" s="15" t="s">
        <v>277</v>
      </c>
      <c r="F1208" s="8" t="str">
        <f aca="false">IFERROR(INDEX(CADASTRO_PIVOS!$C$6:$C$41,MATCH($E1208,CADASTRO_PIVOS!$B$6:$B$41,0)),"?")</f>
        <v>RM06</v>
      </c>
      <c r="G1208" s="8" t="str">
        <f aca="false">IFERROR(INDEX(CADASTRO_PIVOS!$D$6:$D$41,MATCH($E1208,CADASTRO_PIVOS!$B$6:$B$41,0)),"?")</f>
        <v>TR06</v>
      </c>
      <c r="H1208" s="20" t="n">
        <f aca="false">IFERROR(INDEX(CADASTRO_PIVOS!$E$6:$E$41,MATCH($E1208,CADASTRO_PIVOS!$B$6:$B$41,0)),0)</f>
        <v>146.49</v>
      </c>
      <c r="I1208" s="16" t="n">
        <f aca="false">IFERROR(SUMIFS(ROTACAO_RDM!$B$6:$B$71,ROTACAO_RDM!$D$6:$D$71,$E1208,ROTACAO_RDM!$I$6:$I$71,"&lt;="&amp;$C1208+INT(DIAS_POR_SEMANA/2),ROTACAO_RDM!$J$6:$J$71,"&gt;="&amp;$C1208+INT(DIAS_POR_SEMANA/2)),0)</f>
        <v>0</v>
      </c>
      <c r="J1208" s="16" t="n">
        <f aca="false">IFERROR(MATCH($I1208,ROTACAO_RDM!$B$6:$B$71,0),0)</f>
        <v>0</v>
      </c>
      <c r="K1208" s="8" t="str">
        <f aca="false">IF($J1208=0,"SEM CULTURA",INDEX(ROTACAO_RDM!$F$6:$F$71,$J1208))</f>
        <v>SEM CULTURA</v>
      </c>
      <c r="L1208" s="8" t="str">
        <f aca="false">IF($J1208=0,"",INDEX(ROTACAO_RDM!$G$6:$G$71,$J1208))</f>
        <v/>
      </c>
      <c r="M1208" s="17" t="str">
        <f aca="false">IF($J1208=0,"",INDEX(ROTACAO_RDM!$I$6:$I$71,$J1208))</f>
        <v/>
      </c>
      <c r="N1208" s="16" t="n">
        <f aca="false">IF($J1208=0,0,MAX(0,$C1208+INT(DIAS_POR_SEMANA/2)-INDEX(ROTACAO_RDM!$I$6:$I$71,$J1208)))</f>
        <v>0</v>
      </c>
      <c r="O1208" s="19" t="n">
        <f aca="false">IF($J1208=0,0,MIN(1,$N1208/MAX(1,INDEX(ROTACAO_RDM!$K$6:$K$71,$J1208))))</f>
        <v>0</v>
      </c>
      <c r="P1208" s="16" t="n">
        <f aca="false">IF($J1208=0,0,IFERROR(MATCH(INDEX(ROTACAO_RDM!$N$6:$N$71,$J1208),PARAMETROS_CULTURAS!$B$6:$B$28,0),0))</f>
        <v>0</v>
      </c>
      <c r="Q1208" s="8" t="str">
        <f aca="false">IF($P1208=0,"-",IF($O1208&lt;=INDEX(PARAMETROS_CULTURAS!$F$6:$F$28,$P1208),"INICIAL",IF($O1208&lt;=INDEX(PARAMETROS_CULTURAS!$F$6:$F$28,$P1208)+INDEX(PARAMETROS_CULTURAS!$G$6:$G$28,$P1208),"DESENVOLVIMENTO",IF($O1208&lt;=INDEX(PARAMETROS_CULTURAS!$F$6:$F$28,$P1208)+INDEX(PARAMETROS_CULTURAS!$G$6:$G$28,$P1208)+INDEX(PARAMETROS_CULTURAS!$H$6:$H$28,$P1208),"MEDIA","FINAL"))))</f>
        <v>-</v>
      </c>
      <c r="R1208" s="24" t="n">
        <f aca="false">IF($P1208=0,0,IF($O1208&lt;=INDEX(PARAMETROS_CULTURAS!$F$6:$F$28,$P1208),INDEX(PARAMETROS_CULTURAS!$K$6:$K$28,$P1208),IF($O1208&lt;=INDEX(PARAMETROS_CULTURAS!$F$6:$F$28,$P1208)+INDEX(PARAMETROS_CULTURAS!$G$6:$G$28,$P1208),INDEX(PARAMETROS_CULTURAS!$K$6:$K$28,$P1208)+(INDEX(PARAMETROS_CULTURAS!$L$6:$L$28,$P1208)-INDEX(PARAMETROS_CULTURAS!$K$6:$K$28,$P1208))*($O1208-INDEX(PARAMETROS_CULTURAS!$F$6:$F$28,$P1208))/MAX(INDEX(PARAMETROS_CULTURAS!$G$6:$G$28,$P1208),0.0001),IF($O1208&lt;=INDEX(PARAMETROS_CULTURAS!$F$6:$F$28,$P1208)+INDEX(PARAMETROS_CULTURAS!$G$6:$G$28,$P1208)+INDEX(PARAMETROS_CULTURAS!$H$6:$H$28,$P1208),INDEX(PARAMETROS_CULTURAS!$L$6:$L$28,$P1208),INDEX(PARAMETROS_CULTURAS!$L$6:$L$28,$P1208)+(INDEX(PARAMETROS_CULTURAS!$M$6:$M$28,$P1208)-INDEX(PARAMETROS_CULTURAS!$L$6:$L$28,$P1208))*($O1208-INDEX(PARAMETROS_CULTURAS!$F$6:$F$28,$P1208)-INDEX(PARAMETROS_CULTURAS!$G$6:$G$28,$P1208)-INDEX(PARAMETROS_CULTURAS!$H$6:$H$28,$P1208))/MAX(INDEX(PARAMETROS_CULTURAS!$I$6:$I$28,$P1208),0.0001)))))</f>
        <v>0</v>
      </c>
      <c r="S1208" s="18" t="n">
        <f aca="false">IFERROR(INDEX(SEMANAS!$H$6:$H$71,MATCH($B1208,SEMANAS!$B$6:$B$71,0)),0)</f>
        <v>32.9</v>
      </c>
      <c r="T1208" s="18" t="n">
        <f aca="false">$R1208*$S1208</f>
        <v>0</v>
      </c>
      <c r="U1208" s="18" t="n">
        <f aca="false">IFERROR(INDEX(SEMANAS!$I$6:$I$71,MATCH($B1208,SEMANAS!$B$6:$B$71,0)),0)</f>
        <v>48.58</v>
      </c>
      <c r="V1208" s="18" t="n">
        <f aca="false">IFERROR(INDEX(SEMANAS!$J$6:$J$71,MATCH($B1208,SEMANAS!$B$6:$B$71,0)),0)</f>
        <v>38.864</v>
      </c>
      <c r="W1208" s="18" t="n">
        <f aca="false">MAX(0,$T1208-$V1208)</f>
        <v>0</v>
      </c>
      <c r="X1208" s="19" t="n">
        <f aca="false">IFERROR(INDEX(CADASTRO_PIVOS!$K$6:$K$41,MATCH($E1208,CADASTRO_PIVOS!$B$6:$B$41,0)),EFICIENCIA_PADRAO)</f>
        <v>0.85</v>
      </c>
      <c r="Y1208" s="18" t="n">
        <f aca="false">IF($X1208&lt;=0,0,$W1208/$X1208)</f>
        <v>0</v>
      </c>
      <c r="Z1208" s="16" t="n">
        <f aca="false">$Y1208*$H1208*MM_PARA_M3_HA</f>
        <v>0</v>
      </c>
      <c r="AA1208" s="18" t="n">
        <f aca="false">IFERROR(INDEX(CADASTRO_PIVOS!$I$6:$I$41,MATCH($E1208,CADASTRO_PIVOS!$B$6:$B$41,0)),0)</f>
        <v>906.842857142857</v>
      </c>
      <c r="AB1208" s="18" t="n">
        <f aca="false">IF($Z1208&lt;=0,0,$Z1208/$AA1208)</f>
        <v>0</v>
      </c>
      <c r="AC1208" s="16" t="n">
        <f aca="false">IFERROR(INDEX(SEMANAS!$K$6:$K$71,MATCH($B1208,SEMANAS!$B$6:$B$71,0)),0)</f>
        <v>147</v>
      </c>
      <c r="AD1208" s="19" t="n">
        <f aca="false">IF($AC1208&lt;=0,0,$AB1208/$AC1208)</f>
        <v>0</v>
      </c>
      <c r="AE1208" s="8" t="str">
        <f aca="false">IF($K1208="SEM CULTURA","SEM CULTURA",IF($AA1208&lt;=0,"DADO PENDENTE",IF($AD1208&gt;LIMITE_CRITICO,"INVIAVEL",IF($AD1208&gt;LIMITE_ATENCAO,"CRITICO",IF($AD1208&gt;LIMITE_CONFORTAVEL,"ATENCAO","OK")))))</f>
        <v>SEM CULTURA</v>
      </c>
      <c r="AF1208" s="8" t="str">
        <f aca="false">$B1208&amp;"|"&amp;TEXT($AD1208,"0.000000")</f>
        <v>15|0.000000</v>
      </c>
      <c r="AG1208" s="18" t="n">
        <f aca="false">IF($K1208="SEM CULTURA",0,$T1208*$H1208)</f>
        <v>0</v>
      </c>
      <c r="AH1208" s="18" t="n">
        <f aca="false">IF($K1208="SEM CULTURA",0,$V1208*$H1208)</f>
        <v>0</v>
      </c>
      <c r="AI1208" s="18" t="n">
        <f aca="false">IF($K1208="SEM CULTURA",0,$W1208*$H1208)</f>
        <v>0</v>
      </c>
      <c r="AJ1208" s="18" t="n">
        <f aca="false">IF($K1208="SEM CULTURA",0,$S1208*$H1208)</f>
        <v>0</v>
      </c>
      <c r="AK1208" s="8" t="str">
        <f aca="false">$E1208&amp;"|"&amp;TEXT($AD1208,"0.000000")</f>
        <v>PV 118|0.000000</v>
      </c>
    </row>
    <row r="1209" customFormat="false" ht="15" hidden="false" customHeight="false" outlineLevel="0" collapsed="false">
      <c r="B1209" s="16" t="n">
        <v>16</v>
      </c>
      <c r="C1209" s="17" t="n">
        <f aca="false">DATA_INICIO_SAFRA+($B1209-1)*DIAS_POR_SEMANA</f>
        <v>46370</v>
      </c>
      <c r="D1209" s="17" t="n">
        <f aca="false">$C1209+DIAS_POR_SEMANA-1</f>
        <v>46376</v>
      </c>
      <c r="E1209" s="15" t="s">
        <v>277</v>
      </c>
      <c r="F1209" s="8" t="str">
        <f aca="false">IFERROR(INDEX(CADASTRO_PIVOS!$C$6:$C$41,MATCH($E1209,CADASTRO_PIVOS!$B$6:$B$41,0)),"?")</f>
        <v>RM06</v>
      </c>
      <c r="G1209" s="8" t="str">
        <f aca="false">IFERROR(INDEX(CADASTRO_PIVOS!$D$6:$D$41,MATCH($E1209,CADASTRO_PIVOS!$B$6:$B$41,0)),"?")</f>
        <v>TR06</v>
      </c>
      <c r="H1209" s="20" t="n">
        <f aca="false">IFERROR(INDEX(CADASTRO_PIVOS!$E$6:$E$41,MATCH($E1209,CADASTRO_PIVOS!$B$6:$B$41,0)),0)</f>
        <v>146.49</v>
      </c>
      <c r="I1209" s="16" t="n">
        <f aca="false">IFERROR(SUMIFS(ROTACAO_RDM!$B$6:$B$71,ROTACAO_RDM!$D$6:$D$71,$E1209,ROTACAO_RDM!$I$6:$I$71,"&lt;="&amp;$C1209+INT(DIAS_POR_SEMANA/2),ROTACAO_RDM!$J$6:$J$71,"&gt;="&amp;$C1209+INT(DIAS_POR_SEMANA/2)),0)</f>
        <v>0</v>
      </c>
      <c r="J1209" s="16" t="n">
        <f aca="false">IFERROR(MATCH($I1209,ROTACAO_RDM!$B$6:$B$71,0),0)</f>
        <v>0</v>
      </c>
      <c r="K1209" s="8" t="str">
        <f aca="false">IF($J1209=0,"SEM CULTURA",INDEX(ROTACAO_RDM!$F$6:$F$71,$J1209))</f>
        <v>SEM CULTURA</v>
      </c>
      <c r="L1209" s="8" t="str">
        <f aca="false">IF($J1209=0,"",INDEX(ROTACAO_RDM!$G$6:$G$71,$J1209))</f>
        <v/>
      </c>
      <c r="M1209" s="17" t="str">
        <f aca="false">IF($J1209=0,"",INDEX(ROTACAO_RDM!$I$6:$I$71,$J1209))</f>
        <v/>
      </c>
      <c r="N1209" s="16" t="n">
        <f aca="false">IF($J1209=0,0,MAX(0,$C1209+INT(DIAS_POR_SEMANA/2)-INDEX(ROTACAO_RDM!$I$6:$I$71,$J1209)))</f>
        <v>0</v>
      </c>
      <c r="O1209" s="19" t="n">
        <f aca="false">IF($J1209=0,0,MIN(1,$N1209/MAX(1,INDEX(ROTACAO_RDM!$K$6:$K$71,$J1209))))</f>
        <v>0</v>
      </c>
      <c r="P1209" s="16" t="n">
        <f aca="false">IF($J1209=0,0,IFERROR(MATCH(INDEX(ROTACAO_RDM!$N$6:$N$71,$J1209),PARAMETROS_CULTURAS!$B$6:$B$28,0),0))</f>
        <v>0</v>
      </c>
      <c r="Q1209" s="8" t="str">
        <f aca="false">IF($P1209=0,"-",IF($O1209&lt;=INDEX(PARAMETROS_CULTURAS!$F$6:$F$28,$P1209),"INICIAL",IF($O1209&lt;=INDEX(PARAMETROS_CULTURAS!$F$6:$F$28,$P1209)+INDEX(PARAMETROS_CULTURAS!$G$6:$G$28,$P1209),"DESENVOLVIMENTO",IF($O1209&lt;=INDEX(PARAMETROS_CULTURAS!$F$6:$F$28,$P1209)+INDEX(PARAMETROS_CULTURAS!$G$6:$G$28,$P1209)+INDEX(PARAMETROS_CULTURAS!$H$6:$H$28,$P1209),"MEDIA","FINAL"))))</f>
        <v>-</v>
      </c>
      <c r="R1209" s="24" t="n">
        <f aca="false">IF($P1209=0,0,IF($O1209&lt;=INDEX(PARAMETROS_CULTURAS!$F$6:$F$28,$P1209),INDEX(PARAMETROS_CULTURAS!$K$6:$K$28,$P1209),IF($O1209&lt;=INDEX(PARAMETROS_CULTURAS!$F$6:$F$28,$P1209)+INDEX(PARAMETROS_CULTURAS!$G$6:$G$28,$P1209),INDEX(PARAMETROS_CULTURAS!$K$6:$K$28,$P1209)+(INDEX(PARAMETROS_CULTURAS!$L$6:$L$28,$P1209)-INDEX(PARAMETROS_CULTURAS!$K$6:$K$28,$P1209))*($O1209-INDEX(PARAMETROS_CULTURAS!$F$6:$F$28,$P1209))/MAX(INDEX(PARAMETROS_CULTURAS!$G$6:$G$28,$P1209),0.0001),IF($O1209&lt;=INDEX(PARAMETROS_CULTURAS!$F$6:$F$28,$P1209)+INDEX(PARAMETROS_CULTURAS!$G$6:$G$28,$P1209)+INDEX(PARAMETROS_CULTURAS!$H$6:$H$28,$P1209),INDEX(PARAMETROS_CULTURAS!$L$6:$L$28,$P1209),INDEX(PARAMETROS_CULTURAS!$L$6:$L$28,$P1209)+(INDEX(PARAMETROS_CULTURAS!$M$6:$M$28,$P1209)-INDEX(PARAMETROS_CULTURAS!$L$6:$L$28,$P1209))*($O1209-INDEX(PARAMETROS_CULTURAS!$F$6:$F$28,$P1209)-INDEX(PARAMETROS_CULTURAS!$G$6:$G$28,$P1209)-INDEX(PARAMETROS_CULTURAS!$H$6:$H$28,$P1209))/MAX(INDEX(PARAMETROS_CULTURAS!$I$6:$I$28,$P1209),0.0001)))))</f>
        <v>0</v>
      </c>
      <c r="S1209" s="18" t="n">
        <f aca="false">IFERROR(INDEX(SEMANAS!$H$6:$H$71,MATCH($B1209,SEMANAS!$B$6:$B$71,0)),0)</f>
        <v>32.9</v>
      </c>
      <c r="T1209" s="18" t="n">
        <f aca="false">$R1209*$S1209</f>
        <v>0</v>
      </c>
      <c r="U1209" s="18" t="n">
        <f aca="false">IFERROR(INDEX(SEMANAS!$I$6:$I$71,MATCH($B1209,SEMANAS!$B$6:$B$71,0)),0)</f>
        <v>48.58</v>
      </c>
      <c r="V1209" s="18" t="n">
        <f aca="false">IFERROR(INDEX(SEMANAS!$J$6:$J$71,MATCH($B1209,SEMANAS!$B$6:$B$71,0)),0)</f>
        <v>38.864</v>
      </c>
      <c r="W1209" s="18" t="n">
        <f aca="false">MAX(0,$T1209-$V1209)</f>
        <v>0</v>
      </c>
      <c r="X1209" s="19" t="n">
        <f aca="false">IFERROR(INDEX(CADASTRO_PIVOS!$K$6:$K$41,MATCH($E1209,CADASTRO_PIVOS!$B$6:$B$41,0)),EFICIENCIA_PADRAO)</f>
        <v>0.85</v>
      </c>
      <c r="Y1209" s="18" t="n">
        <f aca="false">IF($X1209&lt;=0,0,$W1209/$X1209)</f>
        <v>0</v>
      </c>
      <c r="Z1209" s="16" t="n">
        <f aca="false">$Y1209*$H1209*MM_PARA_M3_HA</f>
        <v>0</v>
      </c>
      <c r="AA1209" s="18" t="n">
        <f aca="false">IFERROR(INDEX(CADASTRO_PIVOS!$I$6:$I$41,MATCH($E1209,CADASTRO_PIVOS!$B$6:$B$41,0)),0)</f>
        <v>906.842857142857</v>
      </c>
      <c r="AB1209" s="18" t="n">
        <f aca="false">IF($Z1209&lt;=0,0,$Z1209/$AA1209)</f>
        <v>0</v>
      </c>
      <c r="AC1209" s="16" t="n">
        <f aca="false">IFERROR(INDEX(SEMANAS!$K$6:$K$71,MATCH($B1209,SEMANAS!$B$6:$B$71,0)),0)</f>
        <v>147</v>
      </c>
      <c r="AD1209" s="19" t="n">
        <f aca="false">IF($AC1209&lt;=0,0,$AB1209/$AC1209)</f>
        <v>0</v>
      </c>
      <c r="AE1209" s="8" t="str">
        <f aca="false">IF($K1209="SEM CULTURA","SEM CULTURA",IF($AA1209&lt;=0,"DADO PENDENTE",IF($AD1209&gt;LIMITE_CRITICO,"INVIAVEL",IF($AD1209&gt;LIMITE_ATENCAO,"CRITICO",IF($AD1209&gt;LIMITE_CONFORTAVEL,"ATENCAO","OK")))))</f>
        <v>SEM CULTURA</v>
      </c>
      <c r="AF1209" s="8" t="str">
        <f aca="false">$B1209&amp;"|"&amp;TEXT($AD1209,"0.000000")</f>
        <v>16|0.000000</v>
      </c>
      <c r="AG1209" s="18" t="n">
        <f aca="false">IF($K1209="SEM CULTURA",0,$T1209*$H1209)</f>
        <v>0</v>
      </c>
      <c r="AH1209" s="18" t="n">
        <f aca="false">IF($K1209="SEM CULTURA",0,$V1209*$H1209)</f>
        <v>0</v>
      </c>
      <c r="AI1209" s="18" t="n">
        <f aca="false">IF($K1209="SEM CULTURA",0,$W1209*$H1209)</f>
        <v>0</v>
      </c>
      <c r="AJ1209" s="18" t="n">
        <f aca="false">IF($K1209="SEM CULTURA",0,$S1209*$H1209)</f>
        <v>0</v>
      </c>
      <c r="AK1209" s="8" t="str">
        <f aca="false">$E1209&amp;"|"&amp;TEXT($AD1209,"0.000000")</f>
        <v>PV 118|0.000000</v>
      </c>
    </row>
    <row r="1210" customFormat="false" ht="15" hidden="false" customHeight="false" outlineLevel="0" collapsed="false">
      <c r="B1210" s="16" t="n">
        <v>17</v>
      </c>
      <c r="C1210" s="17" t="n">
        <f aca="false">DATA_INICIO_SAFRA+($B1210-1)*DIAS_POR_SEMANA</f>
        <v>46377</v>
      </c>
      <c r="D1210" s="17" t="n">
        <f aca="false">$C1210+DIAS_POR_SEMANA-1</f>
        <v>46383</v>
      </c>
      <c r="E1210" s="15" t="s">
        <v>277</v>
      </c>
      <c r="F1210" s="8" t="str">
        <f aca="false">IFERROR(INDEX(CADASTRO_PIVOS!$C$6:$C$41,MATCH($E1210,CADASTRO_PIVOS!$B$6:$B$41,0)),"?")</f>
        <v>RM06</v>
      </c>
      <c r="G1210" s="8" t="str">
        <f aca="false">IFERROR(INDEX(CADASTRO_PIVOS!$D$6:$D$41,MATCH($E1210,CADASTRO_PIVOS!$B$6:$B$41,0)),"?")</f>
        <v>TR06</v>
      </c>
      <c r="H1210" s="20" t="n">
        <f aca="false">IFERROR(INDEX(CADASTRO_PIVOS!$E$6:$E$41,MATCH($E1210,CADASTRO_PIVOS!$B$6:$B$41,0)),0)</f>
        <v>146.49</v>
      </c>
      <c r="I1210" s="16" t="n">
        <f aca="false">IFERROR(SUMIFS(ROTACAO_RDM!$B$6:$B$71,ROTACAO_RDM!$D$6:$D$71,$E1210,ROTACAO_RDM!$I$6:$I$71,"&lt;="&amp;$C1210+INT(DIAS_POR_SEMANA/2),ROTACAO_RDM!$J$6:$J$71,"&gt;="&amp;$C1210+INT(DIAS_POR_SEMANA/2)),0)</f>
        <v>0</v>
      </c>
      <c r="J1210" s="16" t="n">
        <f aca="false">IFERROR(MATCH($I1210,ROTACAO_RDM!$B$6:$B$71,0),0)</f>
        <v>0</v>
      </c>
      <c r="K1210" s="8" t="str">
        <f aca="false">IF($J1210=0,"SEM CULTURA",INDEX(ROTACAO_RDM!$F$6:$F$71,$J1210))</f>
        <v>SEM CULTURA</v>
      </c>
      <c r="L1210" s="8" t="str">
        <f aca="false">IF($J1210=0,"",INDEX(ROTACAO_RDM!$G$6:$G$71,$J1210))</f>
        <v/>
      </c>
      <c r="M1210" s="17" t="str">
        <f aca="false">IF($J1210=0,"",INDEX(ROTACAO_RDM!$I$6:$I$71,$J1210))</f>
        <v/>
      </c>
      <c r="N1210" s="16" t="n">
        <f aca="false">IF($J1210=0,0,MAX(0,$C1210+INT(DIAS_POR_SEMANA/2)-INDEX(ROTACAO_RDM!$I$6:$I$71,$J1210)))</f>
        <v>0</v>
      </c>
      <c r="O1210" s="19" t="n">
        <f aca="false">IF($J1210=0,0,MIN(1,$N1210/MAX(1,INDEX(ROTACAO_RDM!$K$6:$K$71,$J1210))))</f>
        <v>0</v>
      </c>
      <c r="P1210" s="16" t="n">
        <f aca="false">IF($J1210=0,0,IFERROR(MATCH(INDEX(ROTACAO_RDM!$N$6:$N$71,$J1210),PARAMETROS_CULTURAS!$B$6:$B$28,0),0))</f>
        <v>0</v>
      </c>
      <c r="Q1210" s="8" t="str">
        <f aca="false">IF($P1210=0,"-",IF($O1210&lt;=INDEX(PARAMETROS_CULTURAS!$F$6:$F$28,$P1210),"INICIAL",IF($O1210&lt;=INDEX(PARAMETROS_CULTURAS!$F$6:$F$28,$P1210)+INDEX(PARAMETROS_CULTURAS!$G$6:$G$28,$P1210),"DESENVOLVIMENTO",IF($O1210&lt;=INDEX(PARAMETROS_CULTURAS!$F$6:$F$28,$P1210)+INDEX(PARAMETROS_CULTURAS!$G$6:$G$28,$P1210)+INDEX(PARAMETROS_CULTURAS!$H$6:$H$28,$P1210),"MEDIA","FINAL"))))</f>
        <v>-</v>
      </c>
      <c r="R1210" s="24" t="n">
        <f aca="false">IF($P1210=0,0,IF($O1210&lt;=INDEX(PARAMETROS_CULTURAS!$F$6:$F$28,$P1210),INDEX(PARAMETROS_CULTURAS!$K$6:$K$28,$P1210),IF($O1210&lt;=INDEX(PARAMETROS_CULTURAS!$F$6:$F$28,$P1210)+INDEX(PARAMETROS_CULTURAS!$G$6:$G$28,$P1210),INDEX(PARAMETROS_CULTURAS!$K$6:$K$28,$P1210)+(INDEX(PARAMETROS_CULTURAS!$L$6:$L$28,$P1210)-INDEX(PARAMETROS_CULTURAS!$K$6:$K$28,$P1210))*($O1210-INDEX(PARAMETROS_CULTURAS!$F$6:$F$28,$P1210))/MAX(INDEX(PARAMETROS_CULTURAS!$G$6:$G$28,$P1210),0.0001),IF($O1210&lt;=INDEX(PARAMETROS_CULTURAS!$F$6:$F$28,$P1210)+INDEX(PARAMETROS_CULTURAS!$G$6:$G$28,$P1210)+INDEX(PARAMETROS_CULTURAS!$H$6:$H$28,$P1210),INDEX(PARAMETROS_CULTURAS!$L$6:$L$28,$P1210),INDEX(PARAMETROS_CULTURAS!$L$6:$L$28,$P1210)+(INDEX(PARAMETROS_CULTURAS!$M$6:$M$28,$P1210)-INDEX(PARAMETROS_CULTURAS!$L$6:$L$28,$P1210))*($O1210-INDEX(PARAMETROS_CULTURAS!$F$6:$F$28,$P1210)-INDEX(PARAMETROS_CULTURAS!$G$6:$G$28,$P1210)-INDEX(PARAMETROS_CULTURAS!$H$6:$H$28,$P1210))/MAX(INDEX(PARAMETROS_CULTURAS!$I$6:$I$28,$P1210),0.0001)))))</f>
        <v>0</v>
      </c>
      <c r="S1210" s="18" t="n">
        <f aca="false">IFERROR(INDEX(SEMANAS!$H$6:$H$71,MATCH($B1210,SEMANAS!$B$6:$B$71,0)),0)</f>
        <v>32.9</v>
      </c>
      <c r="T1210" s="18" t="n">
        <f aca="false">$R1210*$S1210</f>
        <v>0</v>
      </c>
      <c r="U1210" s="18" t="n">
        <f aca="false">IFERROR(INDEX(SEMANAS!$I$6:$I$71,MATCH($B1210,SEMANAS!$B$6:$B$71,0)),0)</f>
        <v>48.58</v>
      </c>
      <c r="V1210" s="18" t="n">
        <f aca="false">IFERROR(INDEX(SEMANAS!$J$6:$J$71,MATCH($B1210,SEMANAS!$B$6:$B$71,0)),0)</f>
        <v>38.864</v>
      </c>
      <c r="W1210" s="18" t="n">
        <f aca="false">MAX(0,$T1210-$V1210)</f>
        <v>0</v>
      </c>
      <c r="X1210" s="19" t="n">
        <f aca="false">IFERROR(INDEX(CADASTRO_PIVOS!$K$6:$K$41,MATCH($E1210,CADASTRO_PIVOS!$B$6:$B$41,0)),EFICIENCIA_PADRAO)</f>
        <v>0.85</v>
      </c>
      <c r="Y1210" s="18" t="n">
        <f aca="false">IF($X1210&lt;=0,0,$W1210/$X1210)</f>
        <v>0</v>
      </c>
      <c r="Z1210" s="16" t="n">
        <f aca="false">$Y1210*$H1210*MM_PARA_M3_HA</f>
        <v>0</v>
      </c>
      <c r="AA1210" s="18" t="n">
        <f aca="false">IFERROR(INDEX(CADASTRO_PIVOS!$I$6:$I$41,MATCH($E1210,CADASTRO_PIVOS!$B$6:$B$41,0)),0)</f>
        <v>906.842857142857</v>
      </c>
      <c r="AB1210" s="18" t="n">
        <f aca="false">IF($Z1210&lt;=0,0,$Z1210/$AA1210)</f>
        <v>0</v>
      </c>
      <c r="AC1210" s="16" t="n">
        <f aca="false">IFERROR(INDEX(SEMANAS!$K$6:$K$71,MATCH($B1210,SEMANAS!$B$6:$B$71,0)),0)</f>
        <v>147</v>
      </c>
      <c r="AD1210" s="19" t="n">
        <f aca="false">IF($AC1210&lt;=0,0,$AB1210/$AC1210)</f>
        <v>0</v>
      </c>
      <c r="AE1210" s="8" t="str">
        <f aca="false">IF($K1210="SEM CULTURA","SEM CULTURA",IF($AA1210&lt;=0,"DADO PENDENTE",IF($AD1210&gt;LIMITE_CRITICO,"INVIAVEL",IF($AD1210&gt;LIMITE_ATENCAO,"CRITICO",IF($AD1210&gt;LIMITE_CONFORTAVEL,"ATENCAO","OK")))))</f>
        <v>SEM CULTURA</v>
      </c>
      <c r="AF1210" s="8" t="str">
        <f aca="false">$B1210&amp;"|"&amp;TEXT($AD1210,"0.000000")</f>
        <v>17|0.000000</v>
      </c>
      <c r="AG1210" s="18" t="n">
        <f aca="false">IF($K1210="SEM CULTURA",0,$T1210*$H1210)</f>
        <v>0</v>
      </c>
      <c r="AH1210" s="18" t="n">
        <f aca="false">IF($K1210="SEM CULTURA",0,$V1210*$H1210)</f>
        <v>0</v>
      </c>
      <c r="AI1210" s="18" t="n">
        <f aca="false">IF($K1210="SEM CULTURA",0,$W1210*$H1210)</f>
        <v>0</v>
      </c>
      <c r="AJ1210" s="18" t="n">
        <f aca="false">IF($K1210="SEM CULTURA",0,$S1210*$H1210)</f>
        <v>0</v>
      </c>
      <c r="AK1210" s="8" t="str">
        <f aca="false">$E1210&amp;"|"&amp;TEXT($AD1210,"0.000000")</f>
        <v>PV 118|0.000000</v>
      </c>
    </row>
    <row r="1211" customFormat="false" ht="15" hidden="false" customHeight="false" outlineLevel="0" collapsed="false">
      <c r="B1211" s="16" t="n">
        <v>18</v>
      </c>
      <c r="C1211" s="17" t="n">
        <f aca="false">DATA_INICIO_SAFRA+($B1211-1)*DIAS_POR_SEMANA</f>
        <v>46384</v>
      </c>
      <c r="D1211" s="17" t="n">
        <f aca="false">$C1211+DIAS_POR_SEMANA-1</f>
        <v>46390</v>
      </c>
      <c r="E1211" s="15" t="s">
        <v>277</v>
      </c>
      <c r="F1211" s="8" t="str">
        <f aca="false">IFERROR(INDEX(CADASTRO_PIVOS!$C$6:$C$41,MATCH($E1211,CADASTRO_PIVOS!$B$6:$B$41,0)),"?")</f>
        <v>RM06</v>
      </c>
      <c r="G1211" s="8" t="str">
        <f aca="false">IFERROR(INDEX(CADASTRO_PIVOS!$D$6:$D$41,MATCH($E1211,CADASTRO_PIVOS!$B$6:$B$41,0)),"?")</f>
        <v>TR06</v>
      </c>
      <c r="H1211" s="20" t="n">
        <f aca="false">IFERROR(INDEX(CADASTRO_PIVOS!$E$6:$E$41,MATCH($E1211,CADASTRO_PIVOS!$B$6:$B$41,0)),0)</f>
        <v>146.49</v>
      </c>
      <c r="I1211" s="16" t="n">
        <f aca="false">IFERROR(SUMIFS(ROTACAO_RDM!$B$6:$B$71,ROTACAO_RDM!$D$6:$D$71,$E1211,ROTACAO_RDM!$I$6:$I$71,"&lt;="&amp;$C1211+INT(DIAS_POR_SEMANA/2),ROTACAO_RDM!$J$6:$J$71,"&gt;="&amp;$C1211+INT(DIAS_POR_SEMANA/2)),0)</f>
        <v>0</v>
      </c>
      <c r="J1211" s="16" t="n">
        <f aca="false">IFERROR(MATCH($I1211,ROTACAO_RDM!$B$6:$B$71,0),0)</f>
        <v>0</v>
      </c>
      <c r="K1211" s="8" t="str">
        <f aca="false">IF($J1211=0,"SEM CULTURA",INDEX(ROTACAO_RDM!$F$6:$F$71,$J1211))</f>
        <v>SEM CULTURA</v>
      </c>
      <c r="L1211" s="8" t="str">
        <f aca="false">IF($J1211=0,"",INDEX(ROTACAO_RDM!$G$6:$G$71,$J1211))</f>
        <v/>
      </c>
      <c r="M1211" s="17" t="str">
        <f aca="false">IF($J1211=0,"",INDEX(ROTACAO_RDM!$I$6:$I$71,$J1211))</f>
        <v/>
      </c>
      <c r="N1211" s="16" t="n">
        <f aca="false">IF($J1211=0,0,MAX(0,$C1211+INT(DIAS_POR_SEMANA/2)-INDEX(ROTACAO_RDM!$I$6:$I$71,$J1211)))</f>
        <v>0</v>
      </c>
      <c r="O1211" s="19" t="n">
        <f aca="false">IF($J1211=0,0,MIN(1,$N1211/MAX(1,INDEX(ROTACAO_RDM!$K$6:$K$71,$J1211))))</f>
        <v>0</v>
      </c>
      <c r="P1211" s="16" t="n">
        <f aca="false">IF($J1211=0,0,IFERROR(MATCH(INDEX(ROTACAO_RDM!$N$6:$N$71,$J1211),PARAMETROS_CULTURAS!$B$6:$B$28,0),0))</f>
        <v>0</v>
      </c>
      <c r="Q1211" s="8" t="str">
        <f aca="false">IF($P1211=0,"-",IF($O1211&lt;=INDEX(PARAMETROS_CULTURAS!$F$6:$F$28,$P1211),"INICIAL",IF($O1211&lt;=INDEX(PARAMETROS_CULTURAS!$F$6:$F$28,$P1211)+INDEX(PARAMETROS_CULTURAS!$G$6:$G$28,$P1211),"DESENVOLVIMENTO",IF($O1211&lt;=INDEX(PARAMETROS_CULTURAS!$F$6:$F$28,$P1211)+INDEX(PARAMETROS_CULTURAS!$G$6:$G$28,$P1211)+INDEX(PARAMETROS_CULTURAS!$H$6:$H$28,$P1211),"MEDIA","FINAL"))))</f>
        <v>-</v>
      </c>
      <c r="R1211" s="24" t="n">
        <f aca="false">IF($P1211=0,0,IF($O1211&lt;=INDEX(PARAMETROS_CULTURAS!$F$6:$F$28,$P1211),INDEX(PARAMETROS_CULTURAS!$K$6:$K$28,$P1211),IF($O1211&lt;=INDEX(PARAMETROS_CULTURAS!$F$6:$F$28,$P1211)+INDEX(PARAMETROS_CULTURAS!$G$6:$G$28,$P1211),INDEX(PARAMETROS_CULTURAS!$K$6:$K$28,$P1211)+(INDEX(PARAMETROS_CULTURAS!$L$6:$L$28,$P1211)-INDEX(PARAMETROS_CULTURAS!$K$6:$K$28,$P1211))*($O1211-INDEX(PARAMETROS_CULTURAS!$F$6:$F$28,$P1211))/MAX(INDEX(PARAMETROS_CULTURAS!$G$6:$G$28,$P1211),0.0001),IF($O1211&lt;=INDEX(PARAMETROS_CULTURAS!$F$6:$F$28,$P1211)+INDEX(PARAMETROS_CULTURAS!$G$6:$G$28,$P1211)+INDEX(PARAMETROS_CULTURAS!$H$6:$H$28,$P1211),INDEX(PARAMETROS_CULTURAS!$L$6:$L$28,$P1211),INDEX(PARAMETROS_CULTURAS!$L$6:$L$28,$P1211)+(INDEX(PARAMETROS_CULTURAS!$M$6:$M$28,$P1211)-INDEX(PARAMETROS_CULTURAS!$L$6:$L$28,$P1211))*($O1211-INDEX(PARAMETROS_CULTURAS!$F$6:$F$28,$P1211)-INDEX(PARAMETROS_CULTURAS!$G$6:$G$28,$P1211)-INDEX(PARAMETROS_CULTURAS!$H$6:$H$28,$P1211))/MAX(INDEX(PARAMETROS_CULTURAS!$I$6:$I$28,$P1211),0.0001)))))</f>
        <v>0</v>
      </c>
      <c r="S1211" s="18" t="n">
        <f aca="false">IFERROR(INDEX(SEMANAS!$H$6:$H$71,MATCH($B1211,SEMANAS!$B$6:$B$71,0)),0)</f>
        <v>33.2</v>
      </c>
      <c r="T1211" s="18" t="n">
        <f aca="false">$R1211*$S1211</f>
        <v>0</v>
      </c>
      <c r="U1211" s="18" t="n">
        <f aca="false">IFERROR(INDEX(SEMANAS!$I$6:$I$71,MATCH($B1211,SEMANAS!$B$6:$B$71,0)),0)</f>
        <v>47.11</v>
      </c>
      <c r="V1211" s="18" t="n">
        <f aca="false">IFERROR(INDEX(SEMANAS!$J$6:$J$71,MATCH($B1211,SEMANAS!$B$6:$B$71,0)),0)</f>
        <v>37.688</v>
      </c>
      <c r="W1211" s="18" t="n">
        <f aca="false">MAX(0,$T1211-$V1211)</f>
        <v>0</v>
      </c>
      <c r="X1211" s="19" t="n">
        <f aca="false">IFERROR(INDEX(CADASTRO_PIVOS!$K$6:$K$41,MATCH($E1211,CADASTRO_PIVOS!$B$6:$B$41,0)),EFICIENCIA_PADRAO)</f>
        <v>0.85</v>
      </c>
      <c r="Y1211" s="18" t="n">
        <f aca="false">IF($X1211&lt;=0,0,$W1211/$X1211)</f>
        <v>0</v>
      </c>
      <c r="Z1211" s="16" t="n">
        <f aca="false">$Y1211*$H1211*MM_PARA_M3_HA</f>
        <v>0</v>
      </c>
      <c r="AA1211" s="18" t="n">
        <f aca="false">IFERROR(INDEX(CADASTRO_PIVOS!$I$6:$I$41,MATCH($E1211,CADASTRO_PIVOS!$B$6:$B$41,0)),0)</f>
        <v>906.842857142857</v>
      </c>
      <c r="AB1211" s="18" t="n">
        <f aca="false">IF($Z1211&lt;=0,0,$Z1211/$AA1211)</f>
        <v>0</v>
      </c>
      <c r="AC1211" s="16" t="n">
        <f aca="false">IFERROR(INDEX(SEMANAS!$K$6:$K$71,MATCH($B1211,SEMANAS!$B$6:$B$71,0)),0)</f>
        <v>147</v>
      </c>
      <c r="AD1211" s="19" t="n">
        <f aca="false">IF($AC1211&lt;=0,0,$AB1211/$AC1211)</f>
        <v>0</v>
      </c>
      <c r="AE1211" s="8" t="str">
        <f aca="false">IF($K1211="SEM CULTURA","SEM CULTURA",IF($AA1211&lt;=0,"DADO PENDENTE",IF($AD1211&gt;LIMITE_CRITICO,"INVIAVEL",IF($AD1211&gt;LIMITE_ATENCAO,"CRITICO",IF($AD1211&gt;LIMITE_CONFORTAVEL,"ATENCAO","OK")))))</f>
        <v>SEM CULTURA</v>
      </c>
      <c r="AF1211" s="8" t="str">
        <f aca="false">$B1211&amp;"|"&amp;TEXT($AD1211,"0.000000")</f>
        <v>18|0.000000</v>
      </c>
      <c r="AG1211" s="18" t="n">
        <f aca="false">IF($K1211="SEM CULTURA",0,$T1211*$H1211)</f>
        <v>0</v>
      </c>
      <c r="AH1211" s="18" t="n">
        <f aca="false">IF($K1211="SEM CULTURA",0,$V1211*$H1211)</f>
        <v>0</v>
      </c>
      <c r="AI1211" s="18" t="n">
        <f aca="false">IF($K1211="SEM CULTURA",0,$W1211*$H1211)</f>
        <v>0</v>
      </c>
      <c r="AJ1211" s="18" t="n">
        <f aca="false">IF($K1211="SEM CULTURA",0,$S1211*$H1211)</f>
        <v>0</v>
      </c>
      <c r="AK1211" s="8" t="str">
        <f aca="false">$E1211&amp;"|"&amp;TEXT($AD1211,"0.000000")</f>
        <v>PV 118|0.000000</v>
      </c>
    </row>
    <row r="1212" customFormat="false" ht="15" hidden="false" customHeight="false" outlineLevel="0" collapsed="false">
      <c r="B1212" s="16" t="n">
        <v>19</v>
      </c>
      <c r="C1212" s="17" t="n">
        <f aca="false">DATA_INICIO_SAFRA+($B1212-1)*DIAS_POR_SEMANA</f>
        <v>46391</v>
      </c>
      <c r="D1212" s="17" t="n">
        <f aca="false">$C1212+DIAS_POR_SEMANA-1</f>
        <v>46397</v>
      </c>
      <c r="E1212" s="15" t="s">
        <v>277</v>
      </c>
      <c r="F1212" s="8" t="str">
        <f aca="false">IFERROR(INDEX(CADASTRO_PIVOS!$C$6:$C$41,MATCH($E1212,CADASTRO_PIVOS!$B$6:$B$41,0)),"?")</f>
        <v>RM06</v>
      </c>
      <c r="G1212" s="8" t="str">
        <f aca="false">IFERROR(INDEX(CADASTRO_PIVOS!$D$6:$D$41,MATCH($E1212,CADASTRO_PIVOS!$B$6:$B$41,0)),"?")</f>
        <v>TR06</v>
      </c>
      <c r="H1212" s="20" t="n">
        <f aca="false">IFERROR(INDEX(CADASTRO_PIVOS!$E$6:$E$41,MATCH($E1212,CADASTRO_PIVOS!$B$6:$B$41,0)),0)</f>
        <v>146.49</v>
      </c>
      <c r="I1212" s="16" t="n">
        <f aca="false">IFERROR(SUMIFS(ROTACAO_RDM!$B$6:$B$71,ROTACAO_RDM!$D$6:$D$71,$E1212,ROTACAO_RDM!$I$6:$I$71,"&lt;="&amp;$C1212+INT(DIAS_POR_SEMANA/2),ROTACAO_RDM!$J$6:$J$71,"&gt;="&amp;$C1212+INT(DIAS_POR_SEMANA/2)),0)</f>
        <v>30</v>
      </c>
      <c r="J1212" s="16" t="n">
        <f aca="false">IFERROR(MATCH($I1212,ROTACAO_RDM!$B$6:$B$71,0),0)</f>
        <v>30</v>
      </c>
      <c r="K1212" s="8" t="str">
        <f aca="false">IF($J1212=0,"SEM CULTURA",INDEX(ROTACAO_RDM!$F$6:$F$71,$J1212))</f>
        <v>TABACO</v>
      </c>
      <c r="L1212" s="8" t="str">
        <f aca="false">IF($J1212=0,"",INDEX(ROTACAO_RDM!$G$6:$G$71,$J1212))</f>
        <v>PVH-2343</v>
      </c>
      <c r="M1212" s="17" t="n">
        <f aca="false">IF($J1212=0,"",INDEX(ROTACAO_RDM!$I$6:$I$71,$J1212))</f>
        <v>46389</v>
      </c>
      <c r="N1212" s="16" t="n">
        <f aca="false">IF($J1212=0,0,MAX(0,$C1212+INT(DIAS_POR_SEMANA/2)-INDEX(ROTACAO_RDM!$I$6:$I$71,$J1212)))</f>
        <v>5</v>
      </c>
      <c r="O1212" s="19" t="n">
        <f aca="false">IF($J1212=0,0,MIN(1,$N1212/MAX(1,INDEX(ROTACAO_RDM!$K$6:$K$71,$J1212))))</f>
        <v>0.03125</v>
      </c>
      <c r="P1212" s="16" t="n">
        <f aca="false">IF($J1212=0,0,IFERROR(MATCH(INDEX(ROTACAO_RDM!$N$6:$N$71,$J1212),PARAMETROS_CULTURAS!$B$6:$B$28,0),0))</f>
        <v>9</v>
      </c>
      <c r="Q1212" s="8" t="str">
        <f aca="false">IF($P1212=0,"-",IF($O1212&lt;=INDEX(PARAMETROS_CULTURAS!$F$6:$F$28,$P1212),"INICIAL",IF($O1212&lt;=INDEX(PARAMETROS_CULTURAS!$F$6:$F$28,$P1212)+INDEX(PARAMETROS_CULTURAS!$G$6:$G$28,$P1212),"DESENVOLVIMENTO",IF($O1212&lt;=INDEX(PARAMETROS_CULTURAS!$F$6:$F$28,$P1212)+INDEX(PARAMETROS_CULTURAS!$G$6:$G$28,$P1212)+INDEX(PARAMETROS_CULTURAS!$H$6:$H$28,$P1212),"MEDIA","FINAL"))))</f>
        <v>INICIAL</v>
      </c>
      <c r="R1212" s="24" t="n">
        <f aca="false">IF($P1212=0,0,IF($O1212&lt;=INDEX(PARAMETROS_CULTURAS!$F$6:$F$28,$P1212),INDEX(PARAMETROS_CULTURAS!$K$6:$K$28,$P1212),IF($O1212&lt;=INDEX(PARAMETROS_CULTURAS!$F$6:$F$28,$P1212)+INDEX(PARAMETROS_CULTURAS!$G$6:$G$28,$P1212),INDEX(PARAMETROS_CULTURAS!$K$6:$K$28,$P1212)+(INDEX(PARAMETROS_CULTURAS!$L$6:$L$28,$P1212)-INDEX(PARAMETROS_CULTURAS!$K$6:$K$28,$P1212))*($O1212-INDEX(PARAMETROS_CULTURAS!$F$6:$F$28,$P1212))/MAX(INDEX(PARAMETROS_CULTURAS!$G$6:$G$28,$P1212),0.0001),IF($O1212&lt;=INDEX(PARAMETROS_CULTURAS!$F$6:$F$28,$P1212)+INDEX(PARAMETROS_CULTURAS!$G$6:$G$28,$P1212)+INDEX(PARAMETROS_CULTURAS!$H$6:$H$28,$P1212),INDEX(PARAMETROS_CULTURAS!$L$6:$L$28,$P1212),INDEX(PARAMETROS_CULTURAS!$L$6:$L$28,$P1212)+(INDEX(PARAMETROS_CULTURAS!$M$6:$M$28,$P1212)-INDEX(PARAMETROS_CULTURAS!$L$6:$L$28,$P1212))*($O1212-INDEX(PARAMETROS_CULTURAS!$F$6:$F$28,$P1212)-INDEX(PARAMETROS_CULTURAS!$G$6:$G$28,$P1212)-INDEX(PARAMETROS_CULTURAS!$H$6:$H$28,$P1212))/MAX(INDEX(PARAMETROS_CULTURAS!$I$6:$I$28,$P1212),0.0001)))))</f>
        <v>0.35</v>
      </c>
      <c r="S1212" s="18" t="n">
        <f aca="false">IFERROR(INDEX(SEMANAS!$H$6:$H$71,MATCH($B1212,SEMANAS!$B$6:$B$71,0)),0)</f>
        <v>33.6</v>
      </c>
      <c r="T1212" s="18" t="n">
        <f aca="false">$R1212*$S1212</f>
        <v>11.76</v>
      </c>
      <c r="U1212" s="18" t="n">
        <f aca="false">IFERROR(INDEX(SEMANAS!$I$6:$I$71,MATCH($B1212,SEMANAS!$B$6:$B$71,0)),0)</f>
        <v>45.15</v>
      </c>
      <c r="V1212" s="18" t="n">
        <f aca="false">IFERROR(INDEX(SEMANAS!$J$6:$J$71,MATCH($B1212,SEMANAS!$B$6:$B$71,0)),0)</f>
        <v>36.12</v>
      </c>
      <c r="W1212" s="18" t="n">
        <f aca="false">MAX(0,$T1212-$V1212)</f>
        <v>0</v>
      </c>
      <c r="X1212" s="19" t="n">
        <f aca="false">IFERROR(INDEX(CADASTRO_PIVOS!$K$6:$K$41,MATCH($E1212,CADASTRO_PIVOS!$B$6:$B$41,0)),EFICIENCIA_PADRAO)</f>
        <v>0.85</v>
      </c>
      <c r="Y1212" s="18" t="n">
        <f aca="false">IF($X1212&lt;=0,0,$W1212/$X1212)</f>
        <v>0</v>
      </c>
      <c r="Z1212" s="16" t="n">
        <f aca="false">$Y1212*$H1212*MM_PARA_M3_HA</f>
        <v>0</v>
      </c>
      <c r="AA1212" s="18" t="n">
        <f aca="false">IFERROR(INDEX(CADASTRO_PIVOS!$I$6:$I$41,MATCH($E1212,CADASTRO_PIVOS!$B$6:$B$41,0)),0)</f>
        <v>906.842857142857</v>
      </c>
      <c r="AB1212" s="18" t="n">
        <f aca="false">IF($Z1212&lt;=0,0,$Z1212/$AA1212)</f>
        <v>0</v>
      </c>
      <c r="AC1212" s="16" t="n">
        <f aca="false">IFERROR(INDEX(SEMANAS!$K$6:$K$71,MATCH($B1212,SEMANAS!$B$6:$B$71,0)),0)</f>
        <v>147</v>
      </c>
      <c r="AD1212" s="19" t="n">
        <f aca="false">IF($AC1212&lt;=0,0,$AB1212/$AC1212)</f>
        <v>0</v>
      </c>
      <c r="AE1212" s="8" t="str">
        <f aca="false">IF($K1212="SEM CULTURA","SEM CULTURA",IF($AA1212&lt;=0,"DADO PENDENTE",IF($AD1212&gt;LIMITE_CRITICO,"INVIAVEL",IF($AD1212&gt;LIMITE_ATENCAO,"CRITICO",IF($AD1212&gt;LIMITE_CONFORTAVEL,"ATENCAO","OK")))))</f>
        <v>OK</v>
      </c>
      <c r="AF1212" s="8" t="str">
        <f aca="false">$B1212&amp;"|"&amp;TEXT($AD1212,"0.000000")</f>
        <v>19|0.000000</v>
      </c>
      <c r="AG1212" s="18" t="n">
        <f aca="false">IF($K1212="SEM CULTURA",0,$T1212*$H1212)</f>
        <v>1722.7224</v>
      </c>
      <c r="AH1212" s="18" t="n">
        <f aca="false">IF($K1212="SEM CULTURA",0,$V1212*$H1212)</f>
        <v>5291.2188</v>
      </c>
      <c r="AI1212" s="18" t="n">
        <f aca="false">IF($K1212="SEM CULTURA",0,$W1212*$H1212)</f>
        <v>0</v>
      </c>
      <c r="AJ1212" s="18" t="n">
        <f aca="false">IF($K1212="SEM CULTURA",0,$S1212*$H1212)</f>
        <v>4922.064</v>
      </c>
      <c r="AK1212" s="8" t="str">
        <f aca="false">$E1212&amp;"|"&amp;TEXT($AD1212,"0.000000")</f>
        <v>PV 118|0.000000</v>
      </c>
    </row>
    <row r="1213" customFormat="false" ht="15" hidden="false" customHeight="false" outlineLevel="0" collapsed="false">
      <c r="B1213" s="16" t="n">
        <v>20</v>
      </c>
      <c r="C1213" s="17" t="n">
        <f aca="false">DATA_INICIO_SAFRA+($B1213-1)*DIAS_POR_SEMANA</f>
        <v>46398</v>
      </c>
      <c r="D1213" s="17" t="n">
        <f aca="false">$C1213+DIAS_POR_SEMANA-1</f>
        <v>46404</v>
      </c>
      <c r="E1213" s="15" t="s">
        <v>277</v>
      </c>
      <c r="F1213" s="8" t="str">
        <f aca="false">IFERROR(INDEX(CADASTRO_PIVOS!$C$6:$C$41,MATCH($E1213,CADASTRO_PIVOS!$B$6:$B$41,0)),"?")</f>
        <v>RM06</v>
      </c>
      <c r="G1213" s="8" t="str">
        <f aca="false">IFERROR(INDEX(CADASTRO_PIVOS!$D$6:$D$41,MATCH($E1213,CADASTRO_PIVOS!$B$6:$B$41,0)),"?")</f>
        <v>TR06</v>
      </c>
      <c r="H1213" s="20" t="n">
        <f aca="false">IFERROR(INDEX(CADASTRO_PIVOS!$E$6:$E$41,MATCH($E1213,CADASTRO_PIVOS!$B$6:$B$41,0)),0)</f>
        <v>146.49</v>
      </c>
      <c r="I1213" s="16" t="n">
        <f aca="false">IFERROR(SUMIFS(ROTACAO_RDM!$B$6:$B$71,ROTACAO_RDM!$D$6:$D$71,$E1213,ROTACAO_RDM!$I$6:$I$71,"&lt;="&amp;$C1213+INT(DIAS_POR_SEMANA/2),ROTACAO_RDM!$J$6:$J$71,"&gt;="&amp;$C1213+INT(DIAS_POR_SEMANA/2)),0)</f>
        <v>30</v>
      </c>
      <c r="J1213" s="16" t="n">
        <f aca="false">IFERROR(MATCH($I1213,ROTACAO_RDM!$B$6:$B$71,0),0)</f>
        <v>30</v>
      </c>
      <c r="K1213" s="8" t="str">
        <f aca="false">IF($J1213=0,"SEM CULTURA",INDEX(ROTACAO_RDM!$F$6:$F$71,$J1213))</f>
        <v>TABACO</v>
      </c>
      <c r="L1213" s="8" t="str">
        <f aca="false">IF($J1213=0,"",INDEX(ROTACAO_RDM!$G$6:$G$71,$J1213))</f>
        <v>PVH-2343</v>
      </c>
      <c r="M1213" s="17" t="n">
        <f aca="false">IF($J1213=0,"",INDEX(ROTACAO_RDM!$I$6:$I$71,$J1213))</f>
        <v>46389</v>
      </c>
      <c r="N1213" s="16" t="n">
        <f aca="false">IF($J1213=0,0,MAX(0,$C1213+INT(DIAS_POR_SEMANA/2)-INDEX(ROTACAO_RDM!$I$6:$I$71,$J1213)))</f>
        <v>12</v>
      </c>
      <c r="O1213" s="19" t="n">
        <f aca="false">IF($J1213=0,0,MIN(1,$N1213/MAX(1,INDEX(ROTACAO_RDM!$K$6:$K$71,$J1213))))</f>
        <v>0.075</v>
      </c>
      <c r="P1213" s="16" t="n">
        <f aca="false">IF($J1213=0,0,IFERROR(MATCH(INDEX(ROTACAO_RDM!$N$6:$N$71,$J1213),PARAMETROS_CULTURAS!$B$6:$B$28,0),0))</f>
        <v>9</v>
      </c>
      <c r="Q1213" s="8" t="str">
        <f aca="false">IF($P1213=0,"-",IF($O1213&lt;=INDEX(PARAMETROS_CULTURAS!$F$6:$F$28,$P1213),"INICIAL",IF($O1213&lt;=INDEX(PARAMETROS_CULTURAS!$F$6:$F$28,$P1213)+INDEX(PARAMETROS_CULTURAS!$G$6:$G$28,$P1213),"DESENVOLVIMENTO",IF($O1213&lt;=INDEX(PARAMETROS_CULTURAS!$F$6:$F$28,$P1213)+INDEX(PARAMETROS_CULTURAS!$G$6:$G$28,$P1213)+INDEX(PARAMETROS_CULTURAS!$H$6:$H$28,$P1213),"MEDIA","FINAL"))))</f>
        <v>INICIAL</v>
      </c>
      <c r="R1213" s="24" t="n">
        <f aca="false">IF($P1213=0,0,IF($O1213&lt;=INDEX(PARAMETROS_CULTURAS!$F$6:$F$28,$P1213),INDEX(PARAMETROS_CULTURAS!$K$6:$K$28,$P1213),IF($O1213&lt;=INDEX(PARAMETROS_CULTURAS!$F$6:$F$28,$P1213)+INDEX(PARAMETROS_CULTURAS!$G$6:$G$28,$P1213),INDEX(PARAMETROS_CULTURAS!$K$6:$K$28,$P1213)+(INDEX(PARAMETROS_CULTURAS!$L$6:$L$28,$P1213)-INDEX(PARAMETROS_CULTURAS!$K$6:$K$28,$P1213))*($O1213-INDEX(PARAMETROS_CULTURAS!$F$6:$F$28,$P1213))/MAX(INDEX(PARAMETROS_CULTURAS!$G$6:$G$28,$P1213),0.0001),IF($O1213&lt;=INDEX(PARAMETROS_CULTURAS!$F$6:$F$28,$P1213)+INDEX(PARAMETROS_CULTURAS!$G$6:$G$28,$P1213)+INDEX(PARAMETROS_CULTURAS!$H$6:$H$28,$P1213),INDEX(PARAMETROS_CULTURAS!$L$6:$L$28,$P1213),INDEX(PARAMETROS_CULTURAS!$L$6:$L$28,$P1213)+(INDEX(PARAMETROS_CULTURAS!$M$6:$M$28,$P1213)-INDEX(PARAMETROS_CULTURAS!$L$6:$L$28,$P1213))*($O1213-INDEX(PARAMETROS_CULTURAS!$F$6:$F$28,$P1213)-INDEX(PARAMETROS_CULTURAS!$G$6:$G$28,$P1213)-INDEX(PARAMETROS_CULTURAS!$H$6:$H$28,$P1213))/MAX(INDEX(PARAMETROS_CULTURAS!$I$6:$I$28,$P1213),0.0001)))))</f>
        <v>0.35</v>
      </c>
      <c r="S1213" s="18" t="n">
        <f aca="false">IFERROR(INDEX(SEMANAS!$H$6:$H$71,MATCH($B1213,SEMANAS!$B$6:$B$71,0)),0)</f>
        <v>33.6</v>
      </c>
      <c r="T1213" s="18" t="n">
        <f aca="false">$R1213*$S1213</f>
        <v>11.76</v>
      </c>
      <c r="U1213" s="18" t="n">
        <f aca="false">IFERROR(INDEX(SEMANAS!$I$6:$I$71,MATCH($B1213,SEMANAS!$B$6:$B$71,0)),0)</f>
        <v>45.15</v>
      </c>
      <c r="V1213" s="18" t="n">
        <f aca="false">IFERROR(INDEX(SEMANAS!$J$6:$J$71,MATCH($B1213,SEMANAS!$B$6:$B$71,0)),0)</f>
        <v>36.12</v>
      </c>
      <c r="W1213" s="18" t="n">
        <f aca="false">MAX(0,$T1213-$V1213)</f>
        <v>0</v>
      </c>
      <c r="X1213" s="19" t="n">
        <f aca="false">IFERROR(INDEX(CADASTRO_PIVOS!$K$6:$K$41,MATCH($E1213,CADASTRO_PIVOS!$B$6:$B$41,0)),EFICIENCIA_PADRAO)</f>
        <v>0.85</v>
      </c>
      <c r="Y1213" s="18" t="n">
        <f aca="false">IF($X1213&lt;=0,0,$W1213/$X1213)</f>
        <v>0</v>
      </c>
      <c r="Z1213" s="16" t="n">
        <f aca="false">$Y1213*$H1213*MM_PARA_M3_HA</f>
        <v>0</v>
      </c>
      <c r="AA1213" s="18" t="n">
        <f aca="false">IFERROR(INDEX(CADASTRO_PIVOS!$I$6:$I$41,MATCH($E1213,CADASTRO_PIVOS!$B$6:$B$41,0)),0)</f>
        <v>906.842857142857</v>
      </c>
      <c r="AB1213" s="18" t="n">
        <f aca="false">IF($Z1213&lt;=0,0,$Z1213/$AA1213)</f>
        <v>0</v>
      </c>
      <c r="AC1213" s="16" t="n">
        <f aca="false">IFERROR(INDEX(SEMANAS!$K$6:$K$71,MATCH($B1213,SEMANAS!$B$6:$B$71,0)),0)</f>
        <v>147</v>
      </c>
      <c r="AD1213" s="19" t="n">
        <f aca="false">IF($AC1213&lt;=0,0,$AB1213/$AC1213)</f>
        <v>0</v>
      </c>
      <c r="AE1213" s="8" t="str">
        <f aca="false">IF($K1213="SEM CULTURA","SEM CULTURA",IF($AA1213&lt;=0,"DADO PENDENTE",IF($AD1213&gt;LIMITE_CRITICO,"INVIAVEL",IF($AD1213&gt;LIMITE_ATENCAO,"CRITICO",IF($AD1213&gt;LIMITE_CONFORTAVEL,"ATENCAO","OK")))))</f>
        <v>OK</v>
      </c>
      <c r="AF1213" s="8" t="str">
        <f aca="false">$B1213&amp;"|"&amp;TEXT($AD1213,"0.000000")</f>
        <v>20|0.000000</v>
      </c>
      <c r="AG1213" s="18" t="n">
        <f aca="false">IF($K1213="SEM CULTURA",0,$T1213*$H1213)</f>
        <v>1722.7224</v>
      </c>
      <c r="AH1213" s="18" t="n">
        <f aca="false">IF($K1213="SEM CULTURA",0,$V1213*$H1213)</f>
        <v>5291.2188</v>
      </c>
      <c r="AI1213" s="18" t="n">
        <f aca="false">IF($K1213="SEM CULTURA",0,$W1213*$H1213)</f>
        <v>0</v>
      </c>
      <c r="AJ1213" s="18" t="n">
        <f aca="false">IF($K1213="SEM CULTURA",0,$S1213*$H1213)</f>
        <v>4922.064</v>
      </c>
      <c r="AK1213" s="8" t="str">
        <f aca="false">$E1213&amp;"|"&amp;TEXT($AD1213,"0.000000")</f>
        <v>PV 118|0.000000</v>
      </c>
    </row>
    <row r="1214" customFormat="false" ht="15" hidden="false" customHeight="false" outlineLevel="0" collapsed="false">
      <c r="B1214" s="16" t="n">
        <v>21</v>
      </c>
      <c r="C1214" s="17" t="n">
        <f aca="false">DATA_INICIO_SAFRA+($B1214-1)*DIAS_POR_SEMANA</f>
        <v>46405</v>
      </c>
      <c r="D1214" s="17" t="n">
        <f aca="false">$C1214+DIAS_POR_SEMANA-1</f>
        <v>46411</v>
      </c>
      <c r="E1214" s="15" t="s">
        <v>277</v>
      </c>
      <c r="F1214" s="8" t="str">
        <f aca="false">IFERROR(INDEX(CADASTRO_PIVOS!$C$6:$C$41,MATCH($E1214,CADASTRO_PIVOS!$B$6:$B$41,0)),"?")</f>
        <v>RM06</v>
      </c>
      <c r="G1214" s="8" t="str">
        <f aca="false">IFERROR(INDEX(CADASTRO_PIVOS!$D$6:$D$41,MATCH($E1214,CADASTRO_PIVOS!$B$6:$B$41,0)),"?")</f>
        <v>TR06</v>
      </c>
      <c r="H1214" s="20" t="n">
        <f aca="false">IFERROR(INDEX(CADASTRO_PIVOS!$E$6:$E$41,MATCH($E1214,CADASTRO_PIVOS!$B$6:$B$41,0)),0)</f>
        <v>146.49</v>
      </c>
      <c r="I1214" s="16" t="n">
        <f aca="false">IFERROR(SUMIFS(ROTACAO_RDM!$B$6:$B$71,ROTACAO_RDM!$D$6:$D$71,$E1214,ROTACAO_RDM!$I$6:$I$71,"&lt;="&amp;$C1214+INT(DIAS_POR_SEMANA/2),ROTACAO_RDM!$J$6:$J$71,"&gt;="&amp;$C1214+INT(DIAS_POR_SEMANA/2)),0)</f>
        <v>30</v>
      </c>
      <c r="J1214" s="16" t="n">
        <f aca="false">IFERROR(MATCH($I1214,ROTACAO_RDM!$B$6:$B$71,0),0)</f>
        <v>30</v>
      </c>
      <c r="K1214" s="8" t="str">
        <f aca="false">IF($J1214=0,"SEM CULTURA",INDEX(ROTACAO_RDM!$F$6:$F$71,$J1214))</f>
        <v>TABACO</v>
      </c>
      <c r="L1214" s="8" t="str">
        <f aca="false">IF($J1214=0,"",INDEX(ROTACAO_RDM!$G$6:$G$71,$J1214))</f>
        <v>PVH-2343</v>
      </c>
      <c r="M1214" s="17" t="n">
        <f aca="false">IF($J1214=0,"",INDEX(ROTACAO_RDM!$I$6:$I$71,$J1214))</f>
        <v>46389</v>
      </c>
      <c r="N1214" s="16" t="n">
        <f aca="false">IF($J1214=0,0,MAX(0,$C1214+INT(DIAS_POR_SEMANA/2)-INDEX(ROTACAO_RDM!$I$6:$I$71,$J1214)))</f>
        <v>19</v>
      </c>
      <c r="O1214" s="19" t="n">
        <f aca="false">IF($J1214=0,0,MIN(1,$N1214/MAX(1,INDEX(ROTACAO_RDM!$K$6:$K$71,$J1214))))</f>
        <v>0.11875</v>
      </c>
      <c r="P1214" s="16" t="n">
        <f aca="false">IF($J1214=0,0,IFERROR(MATCH(INDEX(ROTACAO_RDM!$N$6:$N$71,$J1214),PARAMETROS_CULTURAS!$B$6:$B$28,0),0))</f>
        <v>9</v>
      </c>
      <c r="Q1214" s="8" t="str">
        <f aca="false">IF($P1214=0,"-",IF($O1214&lt;=INDEX(PARAMETROS_CULTURAS!$F$6:$F$28,$P1214),"INICIAL",IF($O1214&lt;=INDEX(PARAMETROS_CULTURAS!$F$6:$F$28,$P1214)+INDEX(PARAMETROS_CULTURAS!$G$6:$G$28,$P1214),"DESENVOLVIMENTO",IF($O1214&lt;=INDEX(PARAMETROS_CULTURAS!$F$6:$F$28,$P1214)+INDEX(PARAMETROS_CULTURAS!$G$6:$G$28,$P1214)+INDEX(PARAMETROS_CULTURAS!$H$6:$H$28,$P1214),"MEDIA","FINAL"))))</f>
        <v>INICIAL</v>
      </c>
      <c r="R1214" s="24" t="n">
        <f aca="false">IF($P1214=0,0,IF($O1214&lt;=INDEX(PARAMETROS_CULTURAS!$F$6:$F$28,$P1214),INDEX(PARAMETROS_CULTURAS!$K$6:$K$28,$P1214),IF($O1214&lt;=INDEX(PARAMETROS_CULTURAS!$F$6:$F$28,$P1214)+INDEX(PARAMETROS_CULTURAS!$G$6:$G$28,$P1214),INDEX(PARAMETROS_CULTURAS!$K$6:$K$28,$P1214)+(INDEX(PARAMETROS_CULTURAS!$L$6:$L$28,$P1214)-INDEX(PARAMETROS_CULTURAS!$K$6:$K$28,$P1214))*($O1214-INDEX(PARAMETROS_CULTURAS!$F$6:$F$28,$P1214))/MAX(INDEX(PARAMETROS_CULTURAS!$G$6:$G$28,$P1214),0.0001),IF($O1214&lt;=INDEX(PARAMETROS_CULTURAS!$F$6:$F$28,$P1214)+INDEX(PARAMETROS_CULTURAS!$G$6:$G$28,$P1214)+INDEX(PARAMETROS_CULTURAS!$H$6:$H$28,$P1214),INDEX(PARAMETROS_CULTURAS!$L$6:$L$28,$P1214),INDEX(PARAMETROS_CULTURAS!$L$6:$L$28,$P1214)+(INDEX(PARAMETROS_CULTURAS!$M$6:$M$28,$P1214)-INDEX(PARAMETROS_CULTURAS!$L$6:$L$28,$P1214))*($O1214-INDEX(PARAMETROS_CULTURAS!$F$6:$F$28,$P1214)-INDEX(PARAMETROS_CULTURAS!$G$6:$G$28,$P1214)-INDEX(PARAMETROS_CULTURAS!$H$6:$H$28,$P1214))/MAX(INDEX(PARAMETROS_CULTURAS!$I$6:$I$28,$P1214),0.0001)))))</f>
        <v>0.35</v>
      </c>
      <c r="S1214" s="18" t="n">
        <f aca="false">IFERROR(INDEX(SEMANAS!$H$6:$H$71,MATCH($B1214,SEMANAS!$B$6:$B$71,0)),0)</f>
        <v>33.6</v>
      </c>
      <c r="T1214" s="18" t="n">
        <f aca="false">$R1214*$S1214</f>
        <v>11.76</v>
      </c>
      <c r="U1214" s="18" t="n">
        <f aca="false">IFERROR(INDEX(SEMANAS!$I$6:$I$71,MATCH($B1214,SEMANAS!$B$6:$B$71,0)),0)</f>
        <v>45.15</v>
      </c>
      <c r="V1214" s="18" t="n">
        <f aca="false">IFERROR(INDEX(SEMANAS!$J$6:$J$71,MATCH($B1214,SEMANAS!$B$6:$B$71,0)),0)</f>
        <v>36.12</v>
      </c>
      <c r="W1214" s="18" t="n">
        <f aca="false">MAX(0,$T1214-$V1214)</f>
        <v>0</v>
      </c>
      <c r="X1214" s="19" t="n">
        <f aca="false">IFERROR(INDEX(CADASTRO_PIVOS!$K$6:$K$41,MATCH($E1214,CADASTRO_PIVOS!$B$6:$B$41,0)),EFICIENCIA_PADRAO)</f>
        <v>0.85</v>
      </c>
      <c r="Y1214" s="18" t="n">
        <f aca="false">IF($X1214&lt;=0,0,$W1214/$X1214)</f>
        <v>0</v>
      </c>
      <c r="Z1214" s="16" t="n">
        <f aca="false">$Y1214*$H1214*MM_PARA_M3_HA</f>
        <v>0</v>
      </c>
      <c r="AA1214" s="18" t="n">
        <f aca="false">IFERROR(INDEX(CADASTRO_PIVOS!$I$6:$I$41,MATCH($E1214,CADASTRO_PIVOS!$B$6:$B$41,0)),0)</f>
        <v>906.842857142857</v>
      </c>
      <c r="AB1214" s="18" t="n">
        <f aca="false">IF($Z1214&lt;=0,0,$Z1214/$AA1214)</f>
        <v>0</v>
      </c>
      <c r="AC1214" s="16" t="n">
        <f aca="false">IFERROR(INDEX(SEMANAS!$K$6:$K$71,MATCH($B1214,SEMANAS!$B$6:$B$71,0)),0)</f>
        <v>147</v>
      </c>
      <c r="AD1214" s="19" t="n">
        <f aca="false">IF($AC1214&lt;=0,0,$AB1214/$AC1214)</f>
        <v>0</v>
      </c>
      <c r="AE1214" s="8" t="str">
        <f aca="false">IF($K1214="SEM CULTURA","SEM CULTURA",IF($AA1214&lt;=0,"DADO PENDENTE",IF($AD1214&gt;LIMITE_CRITICO,"INVIAVEL",IF($AD1214&gt;LIMITE_ATENCAO,"CRITICO",IF($AD1214&gt;LIMITE_CONFORTAVEL,"ATENCAO","OK")))))</f>
        <v>OK</v>
      </c>
      <c r="AF1214" s="8" t="str">
        <f aca="false">$B1214&amp;"|"&amp;TEXT($AD1214,"0.000000")</f>
        <v>21|0.000000</v>
      </c>
      <c r="AG1214" s="18" t="n">
        <f aca="false">IF($K1214="SEM CULTURA",0,$T1214*$H1214)</f>
        <v>1722.7224</v>
      </c>
      <c r="AH1214" s="18" t="n">
        <f aca="false">IF($K1214="SEM CULTURA",0,$V1214*$H1214)</f>
        <v>5291.2188</v>
      </c>
      <c r="AI1214" s="18" t="n">
        <f aca="false">IF($K1214="SEM CULTURA",0,$W1214*$H1214)</f>
        <v>0</v>
      </c>
      <c r="AJ1214" s="18" t="n">
        <f aca="false">IF($K1214="SEM CULTURA",0,$S1214*$H1214)</f>
        <v>4922.064</v>
      </c>
      <c r="AK1214" s="8" t="str">
        <f aca="false">$E1214&amp;"|"&amp;TEXT($AD1214,"0.000000")</f>
        <v>PV 118|0.000000</v>
      </c>
    </row>
    <row r="1215" customFormat="false" ht="15" hidden="false" customHeight="false" outlineLevel="0" collapsed="false">
      <c r="B1215" s="16" t="n">
        <v>22</v>
      </c>
      <c r="C1215" s="17" t="n">
        <f aca="false">DATA_INICIO_SAFRA+($B1215-1)*DIAS_POR_SEMANA</f>
        <v>46412</v>
      </c>
      <c r="D1215" s="17" t="n">
        <f aca="false">$C1215+DIAS_POR_SEMANA-1</f>
        <v>46418</v>
      </c>
      <c r="E1215" s="15" t="s">
        <v>277</v>
      </c>
      <c r="F1215" s="8" t="str">
        <f aca="false">IFERROR(INDEX(CADASTRO_PIVOS!$C$6:$C$41,MATCH($E1215,CADASTRO_PIVOS!$B$6:$B$41,0)),"?")</f>
        <v>RM06</v>
      </c>
      <c r="G1215" s="8" t="str">
        <f aca="false">IFERROR(INDEX(CADASTRO_PIVOS!$D$6:$D$41,MATCH($E1215,CADASTRO_PIVOS!$B$6:$B$41,0)),"?")</f>
        <v>TR06</v>
      </c>
      <c r="H1215" s="20" t="n">
        <f aca="false">IFERROR(INDEX(CADASTRO_PIVOS!$E$6:$E$41,MATCH($E1215,CADASTRO_PIVOS!$B$6:$B$41,0)),0)</f>
        <v>146.49</v>
      </c>
      <c r="I1215" s="16" t="n">
        <f aca="false">IFERROR(SUMIFS(ROTACAO_RDM!$B$6:$B$71,ROTACAO_RDM!$D$6:$D$71,$E1215,ROTACAO_RDM!$I$6:$I$71,"&lt;="&amp;$C1215+INT(DIAS_POR_SEMANA/2),ROTACAO_RDM!$J$6:$J$71,"&gt;="&amp;$C1215+INT(DIAS_POR_SEMANA/2)),0)</f>
        <v>30</v>
      </c>
      <c r="J1215" s="16" t="n">
        <f aca="false">IFERROR(MATCH($I1215,ROTACAO_RDM!$B$6:$B$71,0),0)</f>
        <v>30</v>
      </c>
      <c r="K1215" s="8" t="str">
        <f aca="false">IF($J1215=0,"SEM CULTURA",INDEX(ROTACAO_RDM!$F$6:$F$71,$J1215))</f>
        <v>TABACO</v>
      </c>
      <c r="L1215" s="8" t="str">
        <f aca="false">IF($J1215=0,"",INDEX(ROTACAO_RDM!$G$6:$G$71,$J1215))</f>
        <v>PVH-2343</v>
      </c>
      <c r="M1215" s="17" t="n">
        <f aca="false">IF($J1215=0,"",INDEX(ROTACAO_RDM!$I$6:$I$71,$J1215))</f>
        <v>46389</v>
      </c>
      <c r="N1215" s="16" t="n">
        <f aca="false">IF($J1215=0,0,MAX(0,$C1215+INT(DIAS_POR_SEMANA/2)-INDEX(ROTACAO_RDM!$I$6:$I$71,$J1215)))</f>
        <v>26</v>
      </c>
      <c r="O1215" s="19" t="n">
        <f aca="false">IF($J1215=0,0,MIN(1,$N1215/MAX(1,INDEX(ROTACAO_RDM!$K$6:$K$71,$J1215))))</f>
        <v>0.1625</v>
      </c>
      <c r="P1215" s="16" t="n">
        <f aca="false">IF($J1215=0,0,IFERROR(MATCH(INDEX(ROTACAO_RDM!$N$6:$N$71,$J1215),PARAMETROS_CULTURAS!$B$6:$B$28,0),0))</f>
        <v>9</v>
      </c>
      <c r="Q1215" s="8" t="str">
        <f aca="false">IF($P1215=0,"-",IF($O1215&lt;=INDEX(PARAMETROS_CULTURAS!$F$6:$F$28,$P1215),"INICIAL",IF($O1215&lt;=INDEX(PARAMETROS_CULTURAS!$F$6:$F$28,$P1215)+INDEX(PARAMETROS_CULTURAS!$G$6:$G$28,$P1215),"DESENVOLVIMENTO",IF($O1215&lt;=INDEX(PARAMETROS_CULTURAS!$F$6:$F$28,$P1215)+INDEX(PARAMETROS_CULTURAS!$G$6:$G$28,$P1215)+INDEX(PARAMETROS_CULTURAS!$H$6:$H$28,$P1215),"MEDIA","FINAL"))))</f>
        <v>INICIAL</v>
      </c>
      <c r="R1215" s="24" t="n">
        <f aca="false">IF($P1215=0,0,IF($O1215&lt;=INDEX(PARAMETROS_CULTURAS!$F$6:$F$28,$P1215),INDEX(PARAMETROS_CULTURAS!$K$6:$K$28,$P1215),IF($O1215&lt;=INDEX(PARAMETROS_CULTURAS!$F$6:$F$28,$P1215)+INDEX(PARAMETROS_CULTURAS!$G$6:$G$28,$P1215),INDEX(PARAMETROS_CULTURAS!$K$6:$K$28,$P1215)+(INDEX(PARAMETROS_CULTURAS!$L$6:$L$28,$P1215)-INDEX(PARAMETROS_CULTURAS!$K$6:$K$28,$P1215))*($O1215-INDEX(PARAMETROS_CULTURAS!$F$6:$F$28,$P1215))/MAX(INDEX(PARAMETROS_CULTURAS!$G$6:$G$28,$P1215),0.0001),IF($O1215&lt;=INDEX(PARAMETROS_CULTURAS!$F$6:$F$28,$P1215)+INDEX(PARAMETROS_CULTURAS!$G$6:$G$28,$P1215)+INDEX(PARAMETROS_CULTURAS!$H$6:$H$28,$P1215),INDEX(PARAMETROS_CULTURAS!$L$6:$L$28,$P1215),INDEX(PARAMETROS_CULTURAS!$L$6:$L$28,$P1215)+(INDEX(PARAMETROS_CULTURAS!$M$6:$M$28,$P1215)-INDEX(PARAMETROS_CULTURAS!$L$6:$L$28,$P1215))*($O1215-INDEX(PARAMETROS_CULTURAS!$F$6:$F$28,$P1215)-INDEX(PARAMETROS_CULTURAS!$G$6:$G$28,$P1215)-INDEX(PARAMETROS_CULTURAS!$H$6:$H$28,$P1215))/MAX(INDEX(PARAMETROS_CULTURAS!$I$6:$I$28,$P1215),0.0001)))))</f>
        <v>0.35</v>
      </c>
      <c r="S1215" s="18" t="n">
        <f aca="false">IFERROR(INDEX(SEMANAS!$H$6:$H$71,MATCH($B1215,SEMANAS!$B$6:$B$71,0)),0)</f>
        <v>33.6</v>
      </c>
      <c r="T1215" s="18" t="n">
        <f aca="false">$R1215*$S1215</f>
        <v>11.76</v>
      </c>
      <c r="U1215" s="18" t="n">
        <f aca="false">IFERROR(INDEX(SEMANAS!$I$6:$I$71,MATCH($B1215,SEMANAS!$B$6:$B$71,0)),0)</f>
        <v>45.15</v>
      </c>
      <c r="V1215" s="18" t="n">
        <f aca="false">IFERROR(INDEX(SEMANAS!$J$6:$J$71,MATCH($B1215,SEMANAS!$B$6:$B$71,0)),0)</f>
        <v>36.12</v>
      </c>
      <c r="W1215" s="18" t="n">
        <f aca="false">MAX(0,$T1215-$V1215)</f>
        <v>0</v>
      </c>
      <c r="X1215" s="19" t="n">
        <f aca="false">IFERROR(INDEX(CADASTRO_PIVOS!$K$6:$K$41,MATCH($E1215,CADASTRO_PIVOS!$B$6:$B$41,0)),EFICIENCIA_PADRAO)</f>
        <v>0.85</v>
      </c>
      <c r="Y1215" s="18" t="n">
        <f aca="false">IF($X1215&lt;=0,0,$W1215/$X1215)</f>
        <v>0</v>
      </c>
      <c r="Z1215" s="16" t="n">
        <f aca="false">$Y1215*$H1215*MM_PARA_M3_HA</f>
        <v>0</v>
      </c>
      <c r="AA1215" s="18" t="n">
        <f aca="false">IFERROR(INDEX(CADASTRO_PIVOS!$I$6:$I$41,MATCH($E1215,CADASTRO_PIVOS!$B$6:$B$41,0)),0)</f>
        <v>906.842857142857</v>
      </c>
      <c r="AB1215" s="18" t="n">
        <f aca="false">IF($Z1215&lt;=0,0,$Z1215/$AA1215)</f>
        <v>0</v>
      </c>
      <c r="AC1215" s="16" t="n">
        <f aca="false">IFERROR(INDEX(SEMANAS!$K$6:$K$71,MATCH($B1215,SEMANAS!$B$6:$B$71,0)),0)</f>
        <v>147</v>
      </c>
      <c r="AD1215" s="19" t="n">
        <f aca="false">IF($AC1215&lt;=0,0,$AB1215/$AC1215)</f>
        <v>0</v>
      </c>
      <c r="AE1215" s="8" t="str">
        <f aca="false">IF($K1215="SEM CULTURA","SEM CULTURA",IF($AA1215&lt;=0,"DADO PENDENTE",IF($AD1215&gt;LIMITE_CRITICO,"INVIAVEL",IF($AD1215&gt;LIMITE_ATENCAO,"CRITICO",IF($AD1215&gt;LIMITE_CONFORTAVEL,"ATENCAO","OK")))))</f>
        <v>OK</v>
      </c>
      <c r="AF1215" s="8" t="str">
        <f aca="false">$B1215&amp;"|"&amp;TEXT($AD1215,"0.000000")</f>
        <v>22|0.000000</v>
      </c>
      <c r="AG1215" s="18" t="n">
        <f aca="false">IF($K1215="SEM CULTURA",0,$T1215*$H1215)</f>
        <v>1722.7224</v>
      </c>
      <c r="AH1215" s="18" t="n">
        <f aca="false">IF($K1215="SEM CULTURA",0,$V1215*$H1215)</f>
        <v>5291.2188</v>
      </c>
      <c r="AI1215" s="18" t="n">
        <f aca="false">IF($K1215="SEM CULTURA",0,$W1215*$H1215)</f>
        <v>0</v>
      </c>
      <c r="AJ1215" s="18" t="n">
        <f aca="false">IF($K1215="SEM CULTURA",0,$S1215*$H1215)</f>
        <v>4922.064</v>
      </c>
      <c r="AK1215" s="8" t="str">
        <f aca="false">$E1215&amp;"|"&amp;TEXT($AD1215,"0.000000")</f>
        <v>PV 118|0.000000</v>
      </c>
    </row>
    <row r="1216" customFormat="false" ht="15" hidden="false" customHeight="false" outlineLevel="0" collapsed="false">
      <c r="B1216" s="16" t="n">
        <v>23</v>
      </c>
      <c r="C1216" s="17" t="n">
        <f aca="false">DATA_INICIO_SAFRA+($B1216-1)*DIAS_POR_SEMANA</f>
        <v>46419</v>
      </c>
      <c r="D1216" s="17" t="n">
        <f aca="false">$C1216+DIAS_POR_SEMANA-1</f>
        <v>46425</v>
      </c>
      <c r="E1216" s="15" t="s">
        <v>277</v>
      </c>
      <c r="F1216" s="8" t="str">
        <f aca="false">IFERROR(INDEX(CADASTRO_PIVOS!$C$6:$C$41,MATCH($E1216,CADASTRO_PIVOS!$B$6:$B$41,0)),"?")</f>
        <v>RM06</v>
      </c>
      <c r="G1216" s="8" t="str">
        <f aca="false">IFERROR(INDEX(CADASTRO_PIVOS!$D$6:$D$41,MATCH($E1216,CADASTRO_PIVOS!$B$6:$B$41,0)),"?")</f>
        <v>TR06</v>
      </c>
      <c r="H1216" s="20" t="n">
        <f aca="false">IFERROR(INDEX(CADASTRO_PIVOS!$E$6:$E$41,MATCH($E1216,CADASTRO_PIVOS!$B$6:$B$41,0)),0)</f>
        <v>146.49</v>
      </c>
      <c r="I1216" s="16" t="n">
        <f aca="false">IFERROR(SUMIFS(ROTACAO_RDM!$B$6:$B$71,ROTACAO_RDM!$D$6:$D$71,$E1216,ROTACAO_RDM!$I$6:$I$71,"&lt;="&amp;$C1216+INT(DIAS_POR_SEMANA/2),ROTACAO_RDM!$J$6:$J$71,"&gt;="&amp;$C1216+INT(DIAS_POR_SEMANA/2)),0)</f>
        <v>30</v>
      </c>
      <c r="J1216" s="16" t="n">
        <f aca="false">IFERROR(MATCH($I1216,ROTACAO_RDM!$B$6:$B$71,0),0)</f>
        <v>30</v>
      </c>
      <c r="K1216" s="8" t="str">
        <f aca="false">IF($J1216=0,"SEM CULTURA",INDEX(ROTACAO_RDM!$F$6:$F$71,$J1216))</f>
        <v>TABACO</v>
      </c>
      <c r="L1216" s="8" t="str">
        <f aca="false">IF($J1216=0,"",INDEX(ROTACAO_RDM!$G$6:$G$71,$J1216))</f>
        <v>PVH-2343</v>
      </c>
      <c r="M1216" s="17" t="n">
        <f aca="false">IF($J1216=0,"",INDEX(ROTACAO_RDM!$I$6:$I$71,$J1216))</f>
        <v>46389</v>
      </c>
      <c r="N1216" s="16" t="n">
        <f aca="false">IF($J1216=0,0,MAX(0,$C1216+INT(DIAS_POR_SEMANA/2)-INDEX(ROTACAO_RDM!$I$6:$I$71,$J1216)))</f>
        <v>33</v>
      </c>
      <c r="O1216" s="19" t="n">
        <f aca="false">IF($J1216=0,0,MIN(1,$N1216/MAX(1,INDEX(ROTACAO_RDM!$K$6:$K$71,$J1216))))</f>
        <v>0.20625</v>
      </c>
      <c r="P1216" s="16" t="n">
        <f aca="false">IF($J1216=0,0,IFERROR(MATCH(INDEX(ROTACAO_RDM!$N$6:$N$71,$J1216),PARAMETROS_CULTURAS!$B$6:$B$28,0),0))</f>
        <v>9</v>
      </c>
      <c r="Q1216" s="8" t="str">
        <f aca="false">IF($P1216=0,"-",IF($O1216&lt;=INDEX(PARAMETROS_CULTURAS!$F$6:$F$28,$P1216),"INICIAL",IF($O1216&lt;=INDEX(PARAMETROS_CULTURAS!$F$6:$F$28,$P1216)+INDEX(PARAMETROS_CULTURAS!$G$6:$G$28,$P1216),"DESENVOLVIMENTO",IF($O1216&lt;=INDEX(PARAMETROS_CULTURAS!$F$6:$F$28,$P1216)+INDEX(PARAMETROS_CULTURAS!$G$6:$G$28,$P1216)+INDEX(PARAMETROS_CULTURAS!$H$6:$H$28,$P1216),"MEDIA","FINAL"))))</f>
        <v>DESENVOLVIMENTO</v>
      </c>
      <c r="R1216" s="24" t="n">
        <f aca="false">IF($P1216=0,0,IF($O1216&lt;=INDEX(PARAMETROS_CULTURAS!$F$6:$F$28,$P1216),INDEX(PARAMETROS_CULTURAS!$K$6:$K$28,$P1216),IF($O1216&lt;=INDEX(PARAMETROS_CULTURAS!$F$6:$F$28,$P1216)+INDEX(PARAMETROS_CULTURAS!$G$6:$G$28,$P1216),INDEX(PARAMETROS_CULTURAS!$K$6:$K$28,$P1216)+(INDEX(PARAMETROS_CULTURAS!$L$6:$L$28,$P1216)-INDEX(PARAMETROS_CULTURAS!$K$6:$K$28,$P1216))*($O1216-INDEX(PARAMETROS_CULTURAS!$F$6:$F$28,$P1216))/MAX(INDEX(PARAMETROS_CULTURAS!$G$6:$G$28,$P1216),0.0001),IF($O1216&lt;=INDEX(PARAMETROS_CULTURAS!$F$6:$F$28,$P1216)+INDEX(PARAMETROS_CULTURAS!$G$6:$G$28,$P1216)+INDEX(PARAMETROS_CULTURAS!$H$6:$H$28,$P1216),INDEX(PARAMETROS_CULTURAS!$L$6:$L$28,$P1216),INDEX(PARAMETROS_CULTURAS!$L$6:$L$28,$P1216)+(INDEX(PARAMETROS_CULTURAS!$M$6:$M$28,$P1216)-INDEX(PARAMETROS_CULTURAS!$L$6:$L$28,$P1216))*($O1216-INDEX(PARAMETROS_CULTURAS!$F$6:$F$28,$P1216)-INDEX(PARAMETROS_CULTURAS!$G$6:$G$28,$P1216)-INDEX(PARAMETROS_CULTURAS!$H$6:$H$28,$P1216))/MAX(INDEX(PARAMETROS_CULTURAS!$I$6:$I$28,$P1216),0.0001)))))</f>
        <v>0.422916666666667</v>
      </c>
      <c r="S1216" s="18" t="n">
        <f aca="false">IFERROR(INDEX(SEMANAS!$H$6:$H$71,MATCH($B1216,SEMANAS!$B$6:$B$71,0)),0)</f>
        <v>32.9</v>
      </c>
      <c r="T1216" s="18" t="n">
        <f aca="false">$R1216*$S1216</f>
        <v>13.9139583333333</v>
      </c>
      <c r="U1216" s="18" t="n">
        <f aca="false">IFERROR(INDEX(SEMANAS!$I$6:$I$71,MATCH($B1216,SEMANAS!$B$6:$B$71,0)),0)</f>
        <v>39.97</v>
      </c>
      <c r="V1216" s="18" t="n">
        <f aca="false">IFERROR(INDEX(SEMANAS!$J$6:$J$71,MATCH($B1216,SEMANAS!$B$6:$B$71,0)),0)</f>
        <v>31.976</v>
      </c>
      <c r="W1216" s="18" t="n">
        <f aca="false">MAX(0,$T1216-$V1216)</f>
        <v>0</v>
      </c>
      <c r="X1216" s="19" t="n">
        <f aca="false">IFERROR(INDEX(CADASTRO_PIVOS!$K$6:$K$41,MATCH($E1216,CADASTRO_PIVOS!$B$6:$B$41,0)),EFICIENCIA_PADRAO)</f>
        <v>0.85</v>
      </c>
      <c r="Y1216" s="18" t="n">
        <f aca="false">IF($X1216&lt;=0,0,$W1216/$X1216)</f>
        <v>0</v>
      </c>
      <c r="Z1216" s="16" t="n">
        <f aca="false">$Y1216*$H1216*MM_PARA_M3_HA</f>
        <v>0</v>
      </c>
      <c r="AA1216" s="18" t="n">
        <f aca="false">IFERROR(INDEX(CADASTRO_PIVOS!$I$6:$I$41,MATCH($E1216,CADASTRO_PIVOS!$B$6:$B$41,0)),0)</f>
        <v>906.842857142857</v>
      </c>
      <c r="AB1216" s="18" t="n">
        <f aca="false">IF($Z1216&lt;=0,0,$Z1216/$AA1216)</f>
        <v>0</v>
      </c>
      <c r="AC1216" s="16" t="n">
        <f aca="false">IFERROR(INDEX(SEMANAS!$K$6:$K$71,MATCH($B1216,SEMANAS!$B$6:$B$71,0)),0)</f>
        <v>147</v>
      </c>
      <c r="AD1216" s="19" t="n">
        <f aca="false">IF($AC1216&lt;=0,0,$AB1216/$AC1216)</f>
        <v>0</v>
      </c>
      <c r="AE1216" s="8" t="str">
        <f aca="false">IF($K1216="SEM CULTURA","SEM CULTURA",IF($AA1216&lt;=0,"DADO PENDENTE",IF($AD1216&gt;LIMITE_CRITICO,"INVIAVEL",IF($AD1216&gt;LIMITE_ATENCAO,"CRITICO",IF($AD1216&gt;LIMITE_CONFORTAVEL,"ATENCAO","OK")))))</f>
        <v>OK</v>
      </c>
      <c r="AF1216" s="8" t="str">
        <f aca="false">$B1216&amp;"|"&amp;TEXT($AD1216,"0.000000")</f>
        <v>23|0.000000</v>
      </c>
      <c r="AG1216" s="18" t="n">
        <f aca="false">IF($K1216="SEM CULTURA",0,$T1216*$H1216)</f>
        <v>2038.25575625</v>
      </c>
      <c r="AH1216" s="18" t="n">
        <f aca="false">IF($K1216="SEM CULTURA",0,$V1216*$H1216)</f>
        <v>4684.16424</v>
      </c>
      <c r="AI1216" s="18" t="n">
        <f aca="false">IF($K1216="SEM CULTURA",0,$W1216*$H1216)</f>
        <v>0</v>
      </c>
      <c r="AJ1216" s="18" t="n">
        <f aca="false">IF($K1216="SEM CULTURA",0,$S1216*$H1216)</f>
        <v>4819.521</v>
      </c>
      <c r="AK1216" s="8" t="str">
        <f aca="false">$E1216&amp;"|"&amp;TEXT($AD1216,"0.000000")</f>
        <v>PV 118|0.000000</v>
      </c>
    </row>
    <row r="1217" customFormat="false" ht="15" hidden="false" customHeight="false" outlineLevel="0" collapsed="false">
      <c r="B1217" s="16" t="n">
        <v>24</v>
      </c>
      <c r="C1217" s="17" t="n">
        <f aca="false">DATA_INICIO_SAFRA+($B1217-1)*DIAS_POR_SEMANA</f>
        <v>46426</v>
      </c>
      <c r="D1217" s="17" t="n">
        <f aca="false">$C1217+DIAS_POR_SEMANA-1</f>
        <v>46432</v>
      </c>
      <c r="E1217" s="15" t="s">
        <v>277</v>
      </c>
      <c r="F1217" s="8" t="str">
        <f aca="false">IFERROR(INDEX(CADASTRO_PIVOS!$C$6:$C$41,MATCH($E1217,CADASTRO_PIVOS!$B$6:$B$41,0)),"?")</f>
        <v>RM06</v>
      </c>
      <c r="G1217" s="8" t="str">
        <f aca="false">IFERROR(INDEX(CADASTRO_PIVOS!$D$6:$D$41,MATCH($E1217,CADASTRO_PIVOS!$B$6:$B$41,0)),"?")</f>
        <v>TR06</v>
      </c>
      <c r="H1217" s="20" t="n">
        <f aca="false">IFERROR(INDEX(CADASTRO_PIVOS!$E$6:$E$41,MATCH($E1217,CADASTRO_PIVOS!$B$6:$B$41,0)),0)</f>
        <v>146.49</v>
      </c>
      <c r="I1217" s="16" t="n">
        <f aca="false">IFERROR(SUMIFS(ROTACAO_RDM!$B$6:$B$71,ROTACAO_RDM!$D$6:$D$71,$E1217,ROTACAO_RDM!$I$6:$I$71,"&lt;="&amp;$C1217+INT(DIAS_POR_SEMANA/2),ROTACAO_RDM!$J$6:$J$71,"&gt;="&amp;$C1217+INT(DIAS_POR_SEMANA/2)),0)</f>
        <v>30</v>
      </c>
      <c r="J1217" s="16" t="n">
        <f aca="false">IFERROR(MATCH($I1217,ROTACAO_RDM!$B$6:$B$71,0),0)</f>
        <v>30</v>
      </c>
      <c r="K1217" s="8" t="str">
        <f aca="false">IF($J1217=0,"SEM CULTURA",INDEX(ROTACAO_RDM!$F$6:$F$71,$J1217))</f>
        <v>TABACO</v>
      </c>
      <c r="L1217" s="8" t="str">
        <f aca="false">IF($J1217=0,"",INDEX(ROTACAO_RDM!$G$6:$G$71,$J1217))</f>
        <v>PVH-2343</v>
      </c>
      <c r="M1217" s="17" t="n">
        <f aca="false">IF($J1217=0,"",INDEX(ROTACAO_RDM!$I$6:$I$71,$J1217))</f>
        <v>46389</v>
      </c>
      <c r="N1217" s="16" t="n">
        <f aca="false">IF($J1217=0,0,MAX(0,$C1217+INT(DIAS_POR_SEMANA/2)-INDEX(ROTACAO_RDM!$I$6:$I$71,$J1217)))</f>
        <v>40</v>
      </c>
      <c r="O1217" s="19" t="n">
        <f aca="false">IF($J1217=0,0,MIN(1,$N1217/MAX(1,INDEX(ROTACAO_RDM!$K$6:$K$71,$J1217))))</f>
        <v>0.25</v>
      </c>
      <c r="P1217" s="16" t="n">
        <f aca="false">IF($J1217=0,0,IFERROR(MATCH(INDEX(ROTACAO_RDM!$N$6:$N$71,$J1217),PARAMETROS_CULTURAS!$B$6:$B$28,0),0))</f>
        <v>9</v>
      </c>
      <c r="Q1217" s="8" t="str">
        <f aca="false">IF($P1217=0,"-",IF($O1217&lt;=INDEX(PARAMETROS_CULTURAS!$F$6:$F$28,$P1217),"INICIAL",IF($O1217&lt;=INDEX(PARAMETROS_CULTURAS!$F$6:$F$28,$P1217)+INDEX(PARAMETROS_CULTURAS!$G$6:$G$28,$P1217),"DESENVOLVIMENTO",IF($O1217&lt;=INDEX(PARAMETROS_CULTURAS!$F$6:$F$28,$P1217)+INDEX(PARAMETROS_CULTURAS!$G$6:$G$28,$P1217)+INDEX(PARAMETROS_CULTURAS!$H$6:$H$28,$P1217),"MEDIA","FINAL"))))</f>
        <v>DESENVOLVIMENTO</v>
      </c>
      <c r="R1217" s="24" t="n">
        <f aca="false">IF($P1217=0,0,IF($O1217&lt;=INDEX(PARAMETROS_CULTURAS!$F$6:$F$28,$P1217),INDEX(PARAMETROS_CULTURAS!$K$6:$K$28,$P1217),IF($O1217&lt;=INDEX(PARAMETROS_CULTURAS!$F$6:$F$28,$P1217)+INDEX(PARAMETROS_CULTURAS!$G$6:$G$28,$P1217),INDEX(PARAMETROS_CULTURAS!$K$6:$K$28,$P1217)+(INDEX(PARAMETROS_CULTURAS!$L$6:$L$28,$P1217)-INDEX(PARAMETROS_CULTURAS!$K$6:$K$28,$P1217))*($O1217-INDEX(PARAMETROS_CULTURAS!$F$6:$F$28,$P1217))/MAX(INDEX(PARAMETROS_CULTURAS!$G$6:$G$28,$P1217),0.0001),IF($O1217&lt;=INDEX(PARAMETROS_CULTURAS!$F$6:$F$28,$P1217)+INDEX(PARAMETROS_CULTURAS!$G$6:$G$28,$P1217)+INDEX(PARAMETROS_CULTURAS!$H$6:$H$28,$P1217),INDEX(PARAMETROS_CULTURAS!$L$6:$L$28,$P1217),INDEX(PARAMETROS_CULTURAS!$L$6:$L$28,$P1217)+(INDEX(PARAMETROS_CULTURAS!$M$6:$M$28,$P1217)-INDEX(PARAMETROS_CULTURAS!$L$6:$L$28,$P1217))*($O1217-INDEX(PARAMETROS_CULTURAS!$F$6:$F$28,$P1217)-INDEX(PARAMETROS_CULTURAS!$G$6:$G$28,$P1217)-INDEX(PARAMETROS_CULTURAS!$H$6:$H$28,$P1217))/MAX(INDEX(PARAMETROS_CULTURAS!$I$6:$I$28,$P1217),0.0001)))))</f>
        <v>0.544444444444445</v>
      </c>
      <c r="S1217" s="18" t="n">
        <f aca="false">IFERROR(INDEX(SEMANAS!$H$6:$H$71,MATCH($B1217,SEMANAS!$B$6:$B$71,0)),0)</f>
        <v>32.9</v>
      </c>
      <c r="T1217" s="18" t="n">
        <f aca="false">$R1217*$S1217</f>
        <v>17.9122222222222</v>
      </c>
      <c r="U1217" s="18" t="n">
        <f aca="false">IFERROR(INDEX(SEMANAS!$I$6:$I$71,MATCH($B1217,SEMANAS!$B$6:$B$71,0)),0)</f>
        <v>39.97</v>
      </c>
      <c r="V1217" s="18" t="n">
        <f aca="false">IFERROR(INDEX(SEMANAS!$J$6:$J$71,MATCH($B1217,SEMANAS!$B$6:$B$71,0)),0)</f>
        <v>31.976</v>
      </c>
      <c r="W1217" s="18" t="n">
        <f aca="false">MAX(0,$T1217-$V1217)</f>
        <v>0</v>
      </c>
      <c r="X1217" s="19" t="n">
        <f aca="false">IFERROR(INDEX(CADASTRO_PIVOS!$K$6:$K$41,MATCH($E1217,CADASTRO_PIVOS!$B$6:$B$41,0)),EFICIENCIA_PADRAO)</f>
        <v>0.85</v>
      </c>
      <c r="Y1217" s="18" t="n">
        <f aca="false">IF($X1217&lt;=0,0,$W1217/$X1217)</f>
        <v>0</v>
      </c>
      <c r="Z1217" s="16" t="n">
        <f aca="false">$Y1217*$H1217*MM_PARA_M3_HA</f>
        <v>0</v>
      </c>
      <c r="AA1217" s="18" t="n">
        <f aca="false">IFERROR(INDEX(CADASTRO_PIVOS!$I$6:$I$41,MATCH($E1217,CADASTRO_PIVOS!$B$6:$B$41,0)),0)</f>
        <v>906.842857142857</v>
      </c>
      <c r="AB1217" s="18" t="n">
        <f aca="false">IF($Z1217&lt;=0,0,$Z1217/$AA1217)</f>
        <v>0</v>
      </c>
      <c r="AC1217" s="16" t="n">
        <f aca="false">IFERROR(INDEX(SEMANAS!$K$6:$K$71,MATCH($B1217,SEMANAS!$B$6:$B$71,0)),0)</f>
        <v>147</v>
      </c>
      <c r="AD1217" s="19" t="n">
        <f aca="false">IF($AC1217&lt;=0,0,$AB1217/$AC1217)</f>
        <v>0</v>
      </c>
      <c r="AE1217" s="8" t="str">
        <f aca="false">IF($K1217="SEM CULTURA","SEM CULTURA",IF($AA1217&lt;=0,"DADO PENDENTE",IF($AD1217&gt;LIMITE_CRITICO,"INVIAVEL",IF($AD1217&gt;LIMITE_ATENCAO,"CRITICO",IF($AD1217&gt;LIMITE_CONFORTAVEL,"ATENCAO","OK")))))</f>
        <v>OK</v>
      </c>
      <c r="AF1217" s="8" t="str">
        <f aca="false">$B1217&amp;"|"&amp;TEXT($AD1217,"0.000000")</f>
        <v>24|0.000000</v>
      </c>
      <c r="AG1217" s="18" t="n">
        <f aca="false">IF($K1217="SEM CULTURA",0,$T1217*$H1217)</f>
        <v>2623.96143333333</v>
      </c>
      <c r="AH1217" s="18" t="n">
        <f aca="false">IF($K1217="SEM CULTURA",0,$V1217*$H1217)</f>
        <v>4684.16424</v>
      </c>
      <c r="AI1217" s="18" t="n">
        <f aca="false">IF($K1217="SEM CULTURA",0,$W1217*$H1217)</f>
        <v>0</v>
      </c>
      <c r="AJ1217" s="18" t="n">
        <f aca="false">IF($K1217="SEM CULTURA",0,$S1217*$H1217)</f>
        <v>4819.521</v>
      </c>
      <c r="AK1217" s="8" t="str">
        <f aca="false">$E1217&amp;"|"&amp;TEXT($AD1217,"0.000000")</f>
        <v>PV 118|0.000000</v>
      </c>
    </row>
    <row r="1218" customFormat="false" ht="15" hidden="false" customHeight="false" outlineLevel="0" collapsed="false">
      <c r="B1218" s="16" t="n">
        <v>25</v>
      </c>
      <c r="C1218" s="17" t="n">
        <f aca="false">DATA_INICIO_SAFRA+($B1218-1)*DIAS_POR_SEMANA</f>
        <v>46433</v>
      </c>
      <c r="D1218" s="17" t="n">
        <f aca="false">$C1218+DIAS_POR_SEMANA-1</f>
        <v>46439</v>
      </c>
      <c r="E1218" s="15" t="s">
        <v>277</v>
      </c>
      <c r="F1218" s="8" t="str">
        <f aca="false">IFERROR(INDEX(CADASTRO_PIVOS!$C$6:$C$41,MATCH($E1218,CADASTRO_PIVOS!$B$6:$B$41,0)),"?")</f>
        <v>RM06</v>
      </c>
      <c r="G1218" s="8" t="str">
        <f aca="false">IFERROR(INDEX(CADASTRO_PIVOS!$D$6:$D$41,MATCH($E1218,CADASTRO_PIVOS!$B$6:$B$41,0)),"?")</f>
        <v>TR06</v>
      </c>
      <c r="H1218" s="20" t="n">
        <f aca="false">IFERROR(INDEX(CADASTRO_PIVOS!$E$6:$E$41,MATCH($E1218,CADASTRO_PIVOS!$B$6:$B$41,0)),0)</f>
        <v>146.49</v>
      </c>
      <c r="I1218" s="16" t="n">
        <f aca="false">IFERROR(SUMIFS(ROTACAO_RDM!$B$6:$B$71,ROTACAO_RDM!$D$6:$D$71,$E1218,ROTACAO_RDM!$I$6:$I$71,"&lt;="&amp;$C1218+INT(DIAS_POR_SEMANA/2),ROTACAO_RDM!$J$6:$J$71,"&gt;="&amp;$C1218+INT(DIAS_POR_SEMANA/2)),0)</f>
        <v>30</v>
      </c>
      <c r="J1218" s="16" t="n">
        <f aca="false">IFERROR(MATCH($I1218,ROTACAO_RDM!$B$6:$B$71,0),0)</f>
        <v>30</v>
      </c>
      <c r="K1218" s="8" t="str">
        <f aca="false">IF($J1218=0,"SEM CULTURA",INDEX(ROTACAO_RDM!$F$6:$F$71,$J1218))</f>
        <v>TABACO</v>
      </c>
      <c r="L1218" s="8" t="str">
        <f aca="false">IF($J1218=0,"",INDEX(ROTACAO_RDM!$G$6:$G$71,$J1218))</f>
        <v>PVH-2343</v>
      </c>
      <c r="M1218" s="17" t="n">
        <f aca="false">IF($J1218=0,"",INDEX(ROTACAO_RDM!$I$6:$I$71,$J1218))</f>
        <v>46389</v>
      </c>
      <c r="N1218" s="16" t="n">
        <f aca="false">IF($J1218=0,0,MAX(0,$C1218+INT(DIAS_POR_SEMANA/2)-INDEX(ROTACAO_RDM!$I$6:$I$71,$J1218)))</f>
        <v>47</v>
      </c>
      <c r="O1218" s="19" t="n">
        <f aca="false">IF($J1218=0,0,MIN(1,$N1218/MAX(1,INDEX(ROTACAO_RDM!$K$6:$K$71,$J1218))))</f>
        <v>0.29375</v>
      </c>
      <c r="P1218" s="16" t="n">
        <f aca="false">IF($J1218=0,0,IFERROR(MATCH(INDEX(ROTACAO_RDM!$N$6:$N$71,$J1218),PARAMETROS_CULTURAS!$B$6:$B$28,0),0))</f>
        <v>9</v>
      </c>
      <c r="Q1218" s="8" t="str">
        <f aca="false">IF($P1218=0,"-",IF($O1218&lt;=INDEX(PARAMETROS_CULTURAS!$F$6:$F$28,$P1218),"INICIAL",IF($O1218&lt;=INDEX(PARAMETROS_CULTURAS!$F$6:$F$28,$P1218)+INDEX(PARAMETROS_CULTURAS!$G$6:$G$28,$P1218),"DESENVOLVIMENTO",IF($O1218&lt;=INDEX(PARAMETROS_CULTURAS!$F$6:$F$28,$P1218)+INDEX(PARAMETROS_CULTURAS!$G$6:$G$28,$P1218)+INDEX(PARAMETROS_CULTURAS!$H$6:$H$28,$P1218),"MEDIA","FINAL"))))</f>
        <v>DESENVOLVIMENTO</v>
      </c>
      <c r="R1218" s="24" t="n">
        <f aca="false">IF($P1218=0,0,IF($O1218&lt;=INDEX(PARAMETROS_CULTURAS!$F$6:$F$28,$P1218),INDEX(PARAMETROS_CULTURAS!$K$6:$K$28,$P1218),IF($O1218&lt;=INDEX(PARAMETROS_CULTURAS!$F$6:$F$28,$P1218)+INDEX(PARAMETROS_CULTURAS!$G$6:$G$28,$P1218),INDEX(PARAMETROS_CULTURAS!$K$6:$K$28,$P1218)+(INDEX(PARAMETROS_CULTURAS!$L$6:$L$28,$P1218)-INDEX(PARAMETROS_CULTURAS!$K$6:$K$28,$P1218))*($O1218-INDEX(PARAMETROS_CULTURAS!$F$6:$F$28,$P1218))/MAX(INDEX(PARAMETROS_CULTURAS!$G$6:$G$28,$P1218),0.0001),IF($O1218&lt;=INDEX(PARAMETROS_CULTURAS!$F$6:$F$28,$P1218)+INDEX(PARAMETROS_CULTURAS!$G$6:$G$28,$P1218)+INDEX(PARAMETROS_CULTURAS!$H$6:$H$28,$P1218),INDEX(PARAMETROS_CULTURAS!$L$6:$L$28,$P1218),INDEX(PARAMETROS_CULTURAS!$L$6:$L$28,$P1218)+(INDEX(PARAMETROS_CULTURAS!$M$6:$M$28,$P1218)-INDEX(PARAMETROS_CULTURAS!$L$6:$L$28,$P1218))*($O1218-INDEX(PARAMETROS_CULTURAS!$F$6:$F$28,$P1218)-INDEX(PARAMETROS_CULTURAS!$G$6:$G$28,$P1218)-INDEX(PARAMETROS_CULTURAS!$H$6:$H$28,$P1218))/MAX(INDEX(PARAMETROS_CULTURAS!$I$6:$I$28,$P1218),0.0001)))))</f>
        <v>0.665972222222222</v>
      </c>
      <c r="S1218" s="18" t="n">
        <f aca="false">IFERROR(INDEX(SEMANAS!$H$6:$H$71,MATCH($B1218,SEMANAS!$B$6:$B$71,0)),0)</f>
        <v>32.9</v>
      </c>
      <c r="T1218" s="18" t="n">
        <f aca="false">$R1218*$S1218</f>
        <v>21.9104861111111</v>
      </c>
      <c r="U1218" s="18" t="n">
        <f aca="false">IFERROR(INDEX(SEMANAS!$I$6:$I$71,MATCH($B1218,SEMANAS!$B$6:$B$71,0)),0)</f>
        <v>39.97</v>
      </c>
      <c r="V1218" s="18" t="n">
        <f aca="false">IFERROR(INDEX(SEMANAS!$J$6:$J$71,MATCH($B1218,SEMANAS!$B$6:$B$71,0)),0)</f>
        <v>31.976</v>
      </c>
      <c r="W1218" s="18" t="n">
        <f aca="false">MAX(0,$T1218-$V1218)</f>
        <v>0</v>
      </c>
      <c r="X1218" s="19" t="n">
        <f aca="false">IFERROR(INDEX(CADASTRO_PIVOS!$K$6:$K$41,MATCH($E1218,CADASTRO_PIVOS!$B$6:$B$41,0)),EFICIENCIA_PADRAO)</f>
        <v>0.85</v>
      </c>
      <c r="Y1218" s="18" t="n">
        <f aca="false">IF($X1218&lt;=0,0,$W1218/$X1218)</f>
        <v>0</v>
      </c>
      <c r="Z1218" s="16" t="n">
        <f aca="false">$Y1218*$H1218*MM_PARA_M3_HA</f>
        <v>0</v>
      </c>
      <c r="AA1218" s="18" t="n">
        <f aca="false">IFERROR(INDEX(CADASTRO_PIVOS!$I$6:$I$41,MATCH($E1218,CADASTRO_PIVOS!$B$6:$B$41,0)),0)</f>
        <v>906.842857142857</v>
      </c>
      <c r="AB1218" s="18" t="n">
        <f aca="false">IF($Z1218&lt;=0,0,$Z1218/$AA1218)</f>
        <v>0</v>
      </c>
      <c r="AC1218" s="16" t="n">
        <f aca="false">IFERROR(INDEX(SEMANAS!$K$6:$K$71,MATCH($B1218,SEMANAS!$B$6:$B$71,0)),0)</f>
        <v>147</v>
      </c>
      <c r="AD1218" s="19" t="n">
        <f aca="false">IF($AC1218&lt;=0,0,$AB1218/$AC1218)</f>
        <v>0</v>
      </c>
      <c r="AE1218" s="8" t="str">
        <f aca="false">IF($K1218="SEM CULTURA","SEM CULTURA",IF($AA1218&lt;=0,"DADO PENDENTE",IF($AD1218&gt;LIMITE_CRITICO,"INVIAVEL",IF($AD1218&gt;LIMITE_ATENCAO,"CRITICO",IF($AD1218&gt;LIMITE_CONFORTAVEL,"ATENCAO","OK")))))</f>
        <v>OK</v>
      </c>
      <c r="AF1218" s="8" t="str">
        <f aca="false">$B1218&amp;"|"&amp;TEXT($AD1218,"0.000000")</f>
        <v>25|0.000000</v>
      </c>
      <c r="AG1218" s="18" t="n">
        <f aca="false">IF($K1218="SEM CULTURA",0,$T1218*$H1218)</f>
        <v>3209.66711041667</v>
      </c>
      <c r="AH1218" s="18" t="n">
        <f aca="false">IF($K1218="SEM CULTURA",0,$V1218*$H1218)</f>
        <v>4684.16424</v>
      </c>
      <c r="AI1218" s="18" t="n">
        <f aca="false">IF($K1218="SEM CULTURA",0,$W1218*$H1218)</f>
        <v>0</v>
      </c>
      <c r="AJ1218" s="18" t="n">
        <f aca="false">IF($K1218="SEM CULTURA",0,$S1218*$H1218)</f>
        <v>4819.521</v>
      </c>
      <c r="AK1218" s="8" t="str">
        <f aca="false">$E1218&amp;"|"&amp;TEXT($AD1218,"0.000000")</f>
        <v>PV 118|0.000000</v>
      </c>
    </row>
    <row r="1219" customFormat="false" ht="15" hidden="false" customHeight="false" outlineLevel="0" collapsed="false">
      <c r="B1219" s="16" t="n">
        <v>26</v>
      </c>
      <c r="C1219" s="17" t="n">
        <f aca="false">DATA_INICIO_SAFRA+($B1219-1)*DIAS_POR_SEMANA</f>
        <v>46440</v>
      </c>
      <c r="D1219" s="17" t="n">
        <f aca="false">$C1219+DIAS_POR_SEMANA-1</f>
        <v>46446</v>
      </c>
      <c r="E1219" s="15" t="s">
        <v>277</v>
      </c>
      <c r="F1219" s="8" t="str">
        <f aca="false">IFERROR(INDEX(CADASTRO_PIVOS!$C$6:$C$41,MATCH($E1219,CADASTRO_PIVOS!$B$6:$B$41,0)),"?")</f>
        <v>RM06</v>
      </c>
      <c r="G1219" s="8" t="str">
        <f aca="false">IFERROR(INDEX(CADASTRO_PIVOS!$D$6:$D$41,MATCH($E1219,CADASTRO_PIVOS!$B$6:$B$41,0)),"?")</f>
        <v>TR06</v>
      </c>
      <c r="H1219" s="20" t="n">
        <f aca="false">IFERROR(INDEX(CADASTRO_PIVOS!$E$6:$E$41,MATCH($E1219,CADASTRO_PIVOS!$B$6:$B$41,0)),0)</f>
        <v>146.49</v>
      </c>
      <c r="I1219" s="16" t="n">
        <f aca="false">IFERROR(SUMIFS(ROTACAO_RDM!$B$6:$B$71,ROTACAO_RDM!$D$6:$D$71,$E1219,ROTACAO_RDM!$I$6:$I$71,"&lt;="&amp;$C1219+INT(DIAS_POR_SEMANA/2),ROTACAO_RDM!$J$6:$J$71,"&gt;="&amp;$C1219+INT(DIAS_POR_SEMANA/2)),0)</f>
        <v>30</v>
      </c>
      <c r="J1219" s="16" t="n">
        <f aca="false">IFERROR(MATCH($I1219,ROTACAO_RDM!$B$6:$B$71,0),0)</f>
        <v>30</v>
      </c>
      <c r="K1219" s="8" t="str">
        <f aca="false">IF($J1219=0,"SEM CULTURA",INDEX(ROTACAO_RDM!$F$6:$F$71,$J1219))</f>
        <v>TABACO</v>
      </c>
      <c r="L1219" s="8" t="str">
        <f aca="false">IF($J1219=0,"",INDEX(ROTACAO_RDM!$G$6:$G$71,$J1219))</f>
        <v>PVH-2343</v>
      </c>
      <c r="M1219" s="17" t="n">
        <f aca="false">IF($J1219=0,"",INDEX(ROTACAO_RDM!$I$6:$I$71,$J1219))</f>
        <v>46389</v>
      </c>
      <c r="N1219" s="16" t="n">
        <f aca="false">IF($J1219=0,0,MAX(0,$C1219+INT(DIAS_POR_SEMANA/2)-INDEX(ROTACAO_RDM!$I$6:$I$71,$J1219)))</f>
        <v>54</v>
      </c>
      <c r="O1219" s="19" t="n">
        <f aca="false">IF($J1219=0,0,MIN(1,$N1219/MAX(1,INDEX(ROTACAO_RDM!$K$6:$K$71,$J1219))))</f>
        <v>0.3375</v>
      </c>
      <c r="P1219" s="16" t="n">
        <f aca="false">IF($J1219=0,0,IFERROR(MATCH(INDEX(ROTACAO_RDM!$N$6:$N$71,$J1219),PARAMETROS_CULTURAS!$B$6:$B$28,0),0))</f>
        <v>9</v>
      </c>
      <c r="Q1219" s="8" t="str">
        <f aca="false">IF($P1219=0,"-",IF($O1219&lt;=INDEX(PARAMETROS_CULTURAS!$F$6:$F$28,$P1219),"INICIAL",IF($O1219&lt;=INDEX(PARAMETROS_CULTURAS!$F$6:$F$28,$P1219)+INDEX(PARAMETROS_CULTURAS!$G$6:$G$28,$P1219),"DESENVOLVIMENTO",IF($O1219&lt;=INDEX(PARAMETROS_CULTURAS!$F$6:$F$28,$P1219)+INDEX(PARAMETROS_CULTURAS!$G$6:$G$28,$P1219)+INDEX(PARAMETROS_CULTURAS!$H$6:$H$28,$P1219),"MEDIA","FINAL"))))</f>
        <v>DESENVOLVIMENTO</v>
      </c>
      <c r="R1219" s="24" t="n">
        <f aca="false">IF($P1219=0,0,IF($O1219&lt;=INDEX(PARAMETROS_CULTURAS!$F$6:$F$28,$P1219),INDEX(PARAMETROS_CULTURAS!$K$6:$K$28,$P1219),IF($O1219&lt;=INDEX(PARAMETROS_CULTURAS!$F$6:$F$28,$P1219)+INDEX(PARAMETROS_CULTURAS!$G$6:$G$28,$P1219),INDEX(PARAMETROS_CULTURAS!$K$6:$K$28,$P1219)+(INDEX(PARAMETROS_CULTURAS!$L$6:$L$28,$P1219)-INDEX(PARAMETROS_CULTURAS!$K$6:$K$28,$P1219))*($O1219-INDEX(PARAMETROS_CULTURAS!$F$6:$F$28,$P1219))/MAX(INDEX(PARAMETROS_CULTURAS!$G$6:$G$28,$P1219),0.0001),IF($O1219&lt;=INDEX(PARAMETROS_CULTURAS!$F$6:$F$28,$P1219)+INDEX(PARAMETROS_CULTURAS!$G$6:$G$28,$P1219)+INDEX(PARAMETROS_CULTURAS!$H$6:$H$28,$P1219),INDEX(PARAMETROS_CULTURAS!$L$6:$L$28,$P1219),INDEX(PARAMETROS_CULTURAS!$L$6:$L$28,$P1219)+(INDEX(PARAMETROS_CULTURAS!$M$6:$M$28,$P1219)-INDEX(PARAMETROS_CULTURAS!$L$6:$L$28,$P1219))*($O1219-INDEX(PARAMETROS_CULTURAS!$F$6:$F$28,$P1219)-INDEX(PARAMETROS_CULTURAS!$G$6:$G$28,$P1219)-INDEX(PARAMETROS_CULTURAS!$H$6:$H$28,$P1219))/MAX(INDEX(PARAMETROS_CULTURAS!$I$6:$I$28,$P1219),0.0001)))))</f>
        <v>0.7875</v>
      </c>
      <c r="S1219" s="18" t="n">
        <f aca="false">IFERROR(INDEX(SEMANAS!$H$6:$H$71,MATCH($B1219,SEMANAS!$B$6:$B$71,0)),0)</f>
        <v>32.9</v>
      </c>
      <c r="T1219" s="18" t="n">
        <f aca="false">$R1219*$S1219</f>
        <v>25.90875</v>
      </c>
      <c r="U1219" s="18" t="n">
        <f aca="false">IFERROR(INDEX(SEMANAS!$I$6:$I$71,MATCH($B1219,SEMANAS!$B$6:$B$71,0)),0)</f>
        <v>39.97</v>
      </c>
      <c r="V1219" s="18" t="n">
        <f aca="false">IFERROR(INDEX(SEMANAS!$J$6:$J$71,MATCH($B1219,SEMANAS!$B$6:$B$71,0)),0)</f>
        <v>31.976</v>
      </c>
      <c r="W1219" s="18" t="n">
        <f aca="false">MAX(0,$T1219-$V1219)</f>
        <v>0</v>
      </c>
      <c r="X1219" s="19" t="n">
        <f aca="false">IFERROR(INDEX(CADASTRO_PIVOS!$K$6:$K$41,MATCH($E1219,CADASTRO_PIVOS!$B$6:$B$41,0)),EFICIENCIA_PADRAO)</f>
        <v>0.85</v>
      </c>
      <c r="Y1219" s="18" t="n">
        <f aca="false">IF($X1219&lt;=0,0,$W1219/$X1219)</f>
        <v>0</v>
      </c>
      <c r="Z1219" s="16" t="n">
        <f aca="false">$Y1219*$H1219*MM_PARA_M3_HA</f>
        <v>0</v>
      </c>
      <c r="AA1219" s="18" t="n">
        <f aca="false">IFERROR(INDEX(CADASTRO_PIVOS!$I$6:$I$41,MATCH($E1219,CADASTRO_PIVOS!$B$6:$B$41,0)),0)</f>
        <v>906.842857142857</v>
      </c>
      <c r="AB1219" s="18" t="n">
        <f aca="false">IF($Z1219&lt;=0,0,$Z1219/$AA1219)</f>
        <v>0</v>
      </c>
      <c r="AC1219" s="16" t="n">
        <f aca="false">IFERROR(INDEX(SEMANAS!$K$6:$K$71,MATCH($B1219,SEMANAS!$B$6:$B$71,0)),0)</f>
        <v>147</v>
      </c>
      <c r="AD1219" s="19" t="n">
        <f aca="false">IF($AC1219&lt;=0,0,$AB1219/$AC1219)</f>
        <v>0</v>
      </c>
      <c r="AE1219" s="8" t="str">
        <f aca="false">IF($K1219="SEM CULTURA","SEM CULTURA",IF($AA1219&lt;=0,"DADO PENDENTE",IF($AD1219&gt;LIMITE_CRITICO,"INVIAVEL",IF($AD1219&gt;LIMITE_ATENCAO,"CRITICO",IF($AD1219&gt;LIMITE_CONFORTAVEL,"ATENCAO","OK")))))</f>
        <v>OK</v>
      </c>
      <c r="AF1219" s="8" t="str">
        <f aca="false">$B1219&amp;"|"&amp;TEXT($AD1219,"0.000000")</f>
        <v>26|0.000000</v>
      </c>
      <c r="AG1219" s="18" t="n">
        <f aca="false">IF($K1219="SEM CULTURA",0,$T1219*$H1219)</f>
        <v>3795.3727875</v>
      </c>
      <c r="AH1219" s="18" t="n">
        <f aca="false">IF($K1219="SEM CULTURA",0,$V1219*$H1219)</f>
        <v>4684.16424</v>
      </c>
      <c r="AI1219" s="18" t="n">
        <f aca="false">IF($K1219="SEM CULTURA",0,$W1219*$H1219)</f>
        <v>0</v>
      </c>
      <c r="AJ1219" s="18" t="n">
        <f aca="false">IF($K1219="SEM CULTURA",0,$S1219*$H1219)</f>
        <v>4819.521</v>
      </c>
      <c r="AK1219" s="8" t="str">
        <f aca="false">$E1219&amp;"|"&amp;TEXT($AD1219,"0.000000")</f>
        <v>PV 118|0.000000</v>
      </c>
    </row>
    <row r="1220" customFormat="false" ht="15" hidden="false" customHeight="false" outlineLevel="0" collapsed="false">
      <c r="B1220" s="16" t="n">
        <v>27</v>
      </c>
      <c r="C1220" s="17" t="n">
        <f aca="false">DATA_INICIO_SAFRA+($B1220-1)*DIAS_POR_SEMANA</f>
        <v>46447</v>
      </c>
      <c r="D1220" s="17" t="n">
        <f aca="false">$C1220+DIAS_POR_SEMANA-1</f>
        <v>46453</v>
      </c>
      <c r="E1220" s="15" t="s">
        <v>277</v>
      </c>
      <c r="F1220" s="8" t="str">
        <f aca="false">IFERROR(INDEX(CADASTRO_PIVOS!$C$6:$C$41,MATCH($E1220,CADASTRO_PIVOS!$B$6:$B$41,0)),"?")</f>
        <v>RM06</v>
      </c>
      <c r="G1220" s="8" t="str">
        <f aca="false">IFERROR(INDEX(CADASTRO_PIVOS!$D$6:$D$41,MATCH($E1220,CADASTRO_PIVOS!$B$6:$B$41,0)),"?")</f>
        <v>TR06</v>
      </c>
      <c r="H1220" s="20" t="n">
        <f aca="false">IFERROR(INDEX(CADASTRO_PIVOS!$E$6:$E$41,MATCH($E1220,CADASTRO_PIVOS!$B$6:$B$41,0)),0)</f>
        <v>146.49</v>
      </c>
      <c r="I1220" s="16" t="n">
        <f aca="false">IFERROR(SUMIFS(ROTACAO_RDM!$B$6:$B$71,ROTACAO_RDM!$D$6:$D$71,$E1220,ROTACAO_RDM!$I$6:$I$71,"&lt;="&amp;$C1220+INT(DIAS_POR_SEMANA/2),ROTACAO_RDM!$J$6:$J$71,"&gt;="&amp;$C1220+INT(DIAS_POR_SEMANA/2)),0)</f>
        <v>30</v>
      </c>
      <c r="J1220" s="16" t="n">
        <f aca="false">IFERROR(MATCH($I1220,ROTACAO_RDM!$B$6:$B$71,0),0)</f>
        <v>30</v>
      </c>
      <c r="K1220" s="8" t="str">
        <f aca="false">IF($J1220=0,"SEM CULTURA",INDEX(ROTACAO_RDM!$F$6:$F$71,$J1220))</f>
        <v>TABACO</v>
      </c>
      <c r="L1220" s="8" t="str">
        <f aca="false">IF($J1220=0,"",INDEX(ROTACAO_RDM!$G$6:$G$71,$J1220))</f>
        <v>PVH-2343</v>
      </c>
      <c r="M1220" s="17" t="n">
        <f aca="false">IF($J1220=0,"",INDEX(ROTACAO_RDM!$I$6:$I$71,$J1220))</f>
        <v>46389</v>
      </c>
      <c r="N1220" s="16" t="n">
        <f aca="false">IF($J1220=0,0,MAX(0,$C1220+INT(DIAS_POR_SEMANA/2)-INDEX(ROTACAO_RDM!$I$6:$I$71,$J1220)))</f>
        <v>61</v>
      </c>
      <c r="O1220" s="19" t="n">
        <f aca="false">IF($J1220=0,0,MIN(1,$N1220/MAX(1,INDEX(ROTACAO_RDM!$K$6:$K$71,$J1220))))</f>
        <v>0.38125</v>
      </c>
      <c r="P1220" s="16" t="n">
        <f aca="false">IF($J1220=0,0,IFERROR(MATCH(INDEX(ROTACAO_RDM!$N$6:$N$71,$J1220),PARAMETROS_CULTURAS!$B$6:$B$28,0),0))</f>
        <v>9</v>
      </c>
      <c r="Q1220" s="8" t="str">
        <f aca="false">IF($P1220=0,"-",IF($O1220&lt;=INDEX(PARAMETROS_CULTURAS!$F$6:$F$28,$P1220),"INICIAL",IF($O1220&lt;=INDEX(PARAMETROS_CULTURAS!$F$6:$F$28,$P1220)+INDEX(PARAMETROS_CULTURAS!$G$6:$G$28,$P1220),"DESENVOLVIMENTO",IF($O1220&lt;=INDEX(PARAMETROS_CULTURAS!$F$6:$F$28,$P1220)+INDEX(PARAMETROS_CULTURAS!$G$6:$G$28,$P1220)+INDEX(PARAMETROS_CULTURAS!$H$6:$H$28,$P1220),"MEDIA","FINAL"))))</f>
        <v>DESENVOLVIMENTO</v>
      </c>
      <c r="R1220" s="24" t="n">
        <f aca="false">IF($P1220=0,0,IF($O1220&lt;=INDEX(PARAMETROS_CULTURAS!$F$6:$F$28,$P1220),INDEX(PARAMETROS_CULTURAS!$K$6:$K$28,$P1220),IF($O1220&lt;=INDEX(PARAMETROS_CULTURAS!$F$6:$F$28,$P1220)+INDEX(PARAMETROS_CULTURAS!$G$6:$G$28,$P1220),INDEX(PARAMETROS_CULTURAS!$K$6:$K$28,$P1220)+(INDEX(PARAMETROS_CULTURAS!$L$6:$L$28,$P1220)-INDEX(PARAMETROS_CULTURAS!$K$6:$K$28,$P1220))*($O1220-INDEX(PARAMETROS_CULTURAS!$F$6:$F$28,$P1220))/MAX(INDEX(PARAMETROS_CULTURAS!$G$6:$G$28,$P1220),0.0001),IF($O1220&lt;=INDEX(PARAMETROS_CULTURAS!$F$6:$F$28,$P1220)+INDEX(PARAMETROS_CULTURAS!$G$6:$G$28,$P1220)+INDEX(PARAMETROS_CULTURAS!$H$6:$H$28,$P1220),INDEX(PARAMETROS_CULTURAS!$L$6:$L$28,$P1220),INDEX(PARAMETROS_CULTURAS!$L$6:$L$28,$P1220)+(INDEX(PARAMETROS_CULTURAS!$M$6:$M$28,$P1220)-INDEX(PARAMETROS_CULTURAS!$L$6:$L$28,$P1220))*($O1220-INDEX(PARAMETROS_CULTURAS!$F$6:$F$28,$P1220)-INDEX(PARAMETROS_CULTURAS!$G$6:$G$28,$P1220)-INDEX(PARAMETROS_CULTURAS!$H$6:$H$28,$P1220))/MAX(INDEX(PARAMETROS_CULTURAS!$I$6:$I$28,$P1220),0.0001)))))</f>
        <v>0.909027777777778</v>
      </c>
      <c r="S1220" s="18" t="n">
        <f aca="false">IFERROR(INDEX(SEMANAS!$H$6:$H$71,MATCH($B1220,SEMANAS!$B$6:$B$71,0)),0)</f>
        <v>32.2</v>
      </c>
      <c r="T1220" s="18" t="n">
        <f aca="false">$R1220*$S1220</f>
        <v>29.2706944444444</v>
      </c>
      <c r="U1220" s="18" t="n">
        <f aca="false">IFERROR(INDEX(SEMANAS!$I$6:$I$71,MATCH($B1220,SEMANAS!$B$6:$B$71,0)),0)</f>
        <v>37.24</v>
      </c>
      <c r="V1220" s="18" t="n">
        <f aca="false">IFERROR(INDEX(SEMANAS!$J$6:$J$71,MATCH($B1220,SEMANAS!$B$6:$B$71,0)),0)</f>
        <v>29.792</v>
      </c>
      <c r="W1220" s="18" t="n">
        <f aca="false">MAX(0,$T1220-$V1220)</f>
        <v>0</v>
      </c>
      <c r="X1220" s="19" t="n">
        <f aca="false">IFERROR(INDEX(CADASTRO_PIVOS!$K$6:$K$41,MATCH($E1220,CADASTRO_PIVOS!$B$6:$B$41,0)),EFICIENCIA_PADRAO)</f>
        <v>0.85</v>
      </c>
      <c r="Y1220" s="18" t="n">
        <f aca="false">IF($X1220&lt;=0,0,$W1220/$X1220)</f>
        <v>0</v>
      </c>
      <c r="Z1220" s="16" t="n">
        <f aca="false">$Y1220*$H1220*MM_PARA_M3_HA</f>
        <v>0</v>
      </c>
      <c r="AA1220" s="18" t="n">
        <f aca="false">IFERROR(INDEX(CADASTRO_PIVOS!$I$6:$I$41,MATCH($E1220,CADASTRO_PIVOS!$B$6:$B$41,0)),0)</f>
        <v>906.842857142857</v>
      </c>
      <c r="AB1220" s="18" t="n">
        <f aca="false">IF($Z1220&lt;=0,0,$Z1220/$AA1220)</f>
        <v>0</v>
      </c>
      <c r="AC1220" s="16" t="n">
        <f aca="false">IFERROR(INDEX(SEMANAS!$K$6:$K$71,MATCH($B1220,SEMANAS!$B$6:$B$71,0)),0)</f>
        <v>147</v>
      </c>
      <c r="AD1220" s="19" t="n">
        <f aca="false">IF($AC1220&lt;=0,0,$AB1220/$AC1220)</f>
        <v>0</v>
      </c>
      <c r="AE1220" s="8" t="str">
        <f aca="false">IF($K1220="SEM CULTURA","SEM CULTURA",IF($AA1220&lt;=0,"DADO PENDENTE",IF($AD1220&gt;LIMITE_CRITICO,"INVIAVEL",IF($AD1220&gt;LIMITE_ATENCAO,"CRITICO",IF($AD1220&gt;LIMITE_CONFORTAVEL,"ATENCAO","OK")))))</f>
        <v>OK</v>
      </c>
      <c r="AF1220" s="8" t="str">
        <f aca="false">$B1220&amp;"|"&amp;TEXT($AD1220,"0.000000")</f>
        <v>27|0.000000</v>
      </c>
      <c r="AG1220" s="18" t="n">
        <f aca="false">IF($K1220="SEM CULTURA",0,$T1220*$H1220)</f>
        <v>4287.86402916667</v>
      </c>
      <c r="AH1220" s="18" t="n">
        <f aca="false">IF($K1220="SEM CULTURA",0,$V1220*$H1220)</f>
        <v>4364.23008</v>
      </c>
      <c r="AI1220" s="18" t="n">
        <f aca="false">IF($K1220="SEM CULTURA",0,$W1220*$H1220)</f>
        <v>0</v>
      </c>
      <c r="AJ1220" s="18" t="n">
        <f aca="false">IF($K1220="SEM CULTURA",0,$S1220*$H1220)</f>
        <v>4716.978</v>
      </c>
      <c r="AK1220" s="8" t="str">
        <f aca="false">$E1220&amp;"|"&amp;TEXT($AD1220,"0.000000")</f>
        <v>PV 118|0.000000</v>
      </c>
    </row>
    <row r="1221" customFormat="false" ht="15" hidden="false" customHeight="false" outlineLevel="0" collapsed="false">
      <c r="B1221" s="16" t="n">
        <v>28</v>
      </c>
      <c r="C1221" s="17" t="n">
        <f aca="false">DATA_INICIO_SAFRA+($B1221-1)*DIAS_POR_SEMANA</f>
        <v>46454</v>
      </c>
      <c r="D1221" s="17" t="n">
        <f aca="false">$C1221+DIAS_POR_SEMANA-1</f>
        <v>46460</v>
      </c>
      <c r="E1221" s="15" t="s">
        <v>277</v>
      </c>
      <c r="F1221" s="8" t="str">
        <f aca="false">IFERROR(INDEX(CADASTRO_PIVOS!$C$6:$C$41,MATCH($E1221,CADASTRO_PIVOS!$B$6:$B$41,0)),"?")</f>
        <v>RM06</v>
      </c>
      <c r="G1221" s="8" t="str">
        <f aca="false">IFERROR(INDEX(CADASTRO_PIVOS!$D$6:$D$41,MATCH($E1221,CADASTRO_PIVOS!$B$6:$B$41,0)),"?")</f>
        <v>TR06</v>
      </c>
      <c r="H1221" s="20" t="n">
        <f aca="false">IFERROR(INDEX(CADASTRO_PIVOS!$E$6:$E$41,MATCH($E1221,CADASTRO_PIVOS!$B$6:$B$41,0)),0)</f>
        <v>146.49</v>
      </c>
      <c r="I1221" s="16" t="n">
        <f aca="false">IFERROR(SUMIFS(ROTACAO_RDM!$B$6:$B$71,ROTACAO_RDM!$D$6:$D$71,$E1221,ROTACAO_RDM!$I$6:$I$71,"&lt;="&amp;$C1221+INT(DIAS_POR_SEMANA/2),ROTACAO_RDM!$J$6:$J$71,"&gt;="&amp;$C1221+INT(DIAS_POR_SEMANA/2)),0)</f>
        <v>30</v>
      </c>
      <c r="J1221" s="16" t="n">
        <f aca="false">IFERROR(MATCH($I1221,ROTACAO_RDM!$B$6:$B$71,0),0)</f>
        <v>30</v>
      </c>
      <c r="K1221" s="8" t="str">
        <f aca="false">IF($J1221=0,"SEM CULTURA",INDEX(ROTACAO_RDM!$F$6:$F$71,$J1221))</f>
        <v>TABACO</v>
      </c>
      <c r="L1221" s="8" t="str">
        <f aca="false">IF($J1221=0,"",INDEX(ROTACAO_RDM!$G$6:$G$71,$J1221))</f>
        <v>PVH-2343</v>
      </c>
      <c r="M1221" s="17" t="n">
        <f aca="false">IF($J1221=0,"",INDEX(ROTACAO_RDM!$I$6:$I$71,$J1221))</f>
        <v>46389</v>
      </c>
      <c r="N1221" s="16" t="n">
        <f aca="false">IF($J1221=0,0,MAX(0,$C1221+INT(DIAS_POR_SEMANA/2)-INDEX(ROTACAO_RDM!$I$6:$I$71,$J1221)))</f>
        <v>68</v>
      </c>
      <c r="O1221" s="19" t="n">
        <f aca="false">IF($J1221=0,0,MIN(1,$N1221/MAX(1,INDEX(ROTACAO_RDM!$K$6:$K$71,$J1221))))</f>
        <v>0.425</v>
      </c>
      <c r="P1221" s="16" t="n">
        <f aca="false">IF($J1221=0,0,IFERROR(MATCH(INDEX(ROTACAO_RDM!$N$6:$N$71,$J1221),PARAMETROS_CULTURAS!$B$6:$B$28,0),0))</f>
        <v>9</v>
      </c>
      <c r="Q1221" s="8" t="str">
        <f aca="false">IF($P1221=0,"-",IF($O1221&lt;=INDEX(PARAMETROS_CULTURAS!$F$6:$F$28,$P1221),"INICIAL",IF($O1221&lt;=INDEX(PARAMETROS_CULTURAS!$F$6:$F$28,$P1221)+INDEX(PARAMETROS_CULTURAS!$G$6:$G$28,$P1221),"DESENVOLVIMENTO",IF($O1221&lt;=INDEX(PARAMETROS_CULTURAS!$F$6:$F$28,$P1221)+INDEX(PARAMETROS_CULTURAS!$G$6:$G$28,$P1221)+INDEX(PARAMETROS_CULTURAS!$H$6:$H$28,$P1221),"MEDIA","FINAL"))))</f>
        <v>DESENVOLVIMENTO</v>
      </c>
      <c r="R1221" s="24" t="n">
        <f aca="false">IF($P1221=0,0,IF($O1221&lt;=INDEX(PARAMETROS_CULTURAS!$F$6:$F$28,$P1221),INDEX(PARAMETROS_CULTURAS!$K$6:$K$28,$P1221),IF($O1221&lt;=INDEX(PARAMETROS_CULTURAS!$F$6:$F$28,$P1221)+INDEX(PARAMETROS_CULTURAS!$G$6:$G$28,$P1221),INDEX(PARAMETROS_CULTURAS!$K$6:$K$28,$P1221)+(INDEX(PARAMETROS_CULTURAS!$L$6:$L$28,$P1221)-INDEX(PARAMETROS_CULTURAS!$K$6:$K$28,$P1221))*($O1221-INDEX(PARAMETROS_CULTURAS!$F$6:$F$28,$P1221))/MAX(INDEX(PARAMETROS_CULTURAS!$G$6:$G$28,$P1221),0.0001),IF($O1221&lt;=INDEX(PARAMETROS_CULTURAS!$F$6:$F$28,$P1221)+INDEX(PARAMETROS_CULTURAS!$G$6:$G$28,$P1221)+INDEX(PARAMETROS_CULTURAS!$H$6:$H$28,$P1221),INDEX(PARAMETROS_CULTURAS!$L$6:$L$28,$P1221),INDEX(PARAMETROS_CULTURAS!$L$6:$L$28,$P1221)+(INDEX(PARAMETROS_CULTURAS!$M$6:$M$28,$P1221)-INDEX(PARAMETROS_CULTURAS!$L$6:$L$28,$P1221))*($O1221-INDEX(PARAMETROS_CULTURAS!$F$6:$F$28,$P1221)-INDEX(PARAMETROS_CULTURAS!$G$6:$G$28,$P1221)-INDEX(PARAMETROS_CULTURAS!$H$6:$H$28,$P1221))/MAX(INDEX(PARAMETROS_CULTURAS!$I$6:$I$28,$P1221),0.0001)))))</f>
        <v>1.03055555555556</v>
      </c>
      <c r="S1221" s="18" t="n">
        <f aca="false">IFERROR(INDEX(SEMANAS!$H$6:$H$71,MATCH($B1221,SEMANAS!$B$6:$B$71,0)),0)</f>
        <v>32.2</v>
      </c>
      <c r="T1221" s="18" t="n">
        <f aca="false">$R1221*$S1221</f>
        <v>33.1838888888889</v>
      </c>
      <c r="U1221" s="18" t="n">
        <f aca="false">IFERROR(INDEX(SEMANAS!$I$6:$I$71,MATCH($B1221,SEMANAS!$B$6:$B$71,0)),0)</f>
        <v>37.24</v>
      </c>
      <c r="V1221" s="18" t="n">
        <f aca="false">IFERROR(INDEX(SEMANAS!$J$6:$J$71,MATCH($B1221,SEMANAS!$B$6:$B$71,0)),0)</f>
        <v>29.792</v>
      </c>
      <c r="W1221" s="18" t="n">
        <f aca="false">MAX(0,$T1221-$V1221)</f>
        <v>3.39188888888888</v>
      </c>
      <c r="X1221" s="19" t="n">
        <f aca="false">IFERROR(INDEX(CADASTRO_PIVOS!$K$6:$K$41,MATCH($E1221,CADASTRO_PIVOS!$B$6:$B$41,0)),EFICIENCIA_PADRAO)</f>
        <v>0.85</v>
      </c>
      <c r="Y1221" s="18" t="n">
        <f aca="false">IF($X1221&lt;=0,0,$W1221/$X1221)</f>
        <v>3.99045751633986</v>
      </c>
      <c r="Z1221" s="16" t="n">
        <f aca="false">$Y1221*$H1221*MM_PARA_M3_HA</f>
        <v>5845.62121568626</v>
      </c>
      <c r="AA1221" s="18" t="n">
        <f aca="false">IFERROR(INDEX(CADASTRO_PIVOS!$I$6:$I$41,MATCH($E1221,CADASTRO_PIVOS!$B$6:$B$41,0)),0)</f>
        <v>906.842857142857</v>
      </c>
      <c r="AB1221" s="18" t="n">
        <f aca="false">IF($Z1221&lt;=0,0,$Z1221/$AA1221)</f>
        <v>6.44612368024131</v>
      </c>
      <c r="AC1221" s="16" t="n">
        <f aca="false">IFERROR(INDEX(SEMANAS!$K$6:$K$71,MATCH($B1221,SEMANAS!$B$6:$B$71,0)),0)</f>
        <v>147</v>
      </c>
      <c r="AD1221" s="19" t="n">
        <f aca="false">IF($AC1221&lt;=0,0,$AB1221/$AC1221)</f>
        <v>0.0438511814982402</v>
      </c>
      <c r="AE1221" s="8" t="str">
        <f aca="false">IF($K1221="SEM CULTURA","SEM CULTURA",IF($AA1221&lt;=0,"DADO PENDENTE",IF($AD1221&gt;LIMITE_CRITICO,"INVIAVEL",IF($AD1221&gt;LIMITE_ATENCAO,"CRITICO",IF($AD1221&gt;LIMITE_CONFORTAVEL,"ATENCAO","OK")))))</f>
        <v>OK</v>
      </c>
      <c r="AF1221" s="8" t="str">
        <f aca="false">$B1221&amp;"|"&amp;TEXT($AD1221,"0.000000")</f>
        <v>28|0.043851</v>
      </c>
      <c r="AG1221" s="18" t="n">
        <f aca="false">IF($K1221="SEM CULTURA",0,$T1221*$H1221)</f>
        <v>4861.10788333333</v>
      </c>
      <c r="AH1221" s="18" t="n">
        <f aca="false">IF($K1221="SEM CULTURA",0,$V1221*$H1221)</f>
        <v>4364.23008</v>
      </c>
      <c r="AI1221" s="18" t="n">
        <f aca="false">IF($K1221="SEM CULTURA",0,$W1221*$H1221)</f>
        <v>496.877803333332</v>
      </c>
      <c r="AJ1221" s="18" t="n">
        <f aca="false">IF($K1221="SEM CULTURA",0,$S1221*$H1221)</f>
        <v>4716.978</v>
      </c>
      <c r="AK1221" s="8" t="str">
        <f aca="false">$E1221&amp;"|"&amp;TEXT($AD1221,"0.000000")</f>
        <v>PV 118|0.043851</v>
      </c>
    </row>
    <row r="1222" customFormat="false" ht="15" hidden="false" customHeight="false" outlineLevel="0" collapsed="false">
      <c r="B1222" s="16" t="n">
        <v>29</v>
      </c>
      <c r="C1222" s="17" t="n">
        <f aca="false">DATA_INICIO_SAFRA+($B1222-1)*DIAS_POR_SEMANA</f>
        <v>46461</v>
      </c>
      <c r="D1222" s="17" t="n">
        <f aca="false">$C1222+DIAS_POR_SEMANA-1</f>
        <v>46467</v>
      </c>
      <c r="E1222" s="15" t="s">
        <v>277</v>
      </c>
      <c r="F1222" s="8" t="str">
        <f aca="false">IFERROR(INDEX(CADASTRO_PIVOS!$C$6:$C$41,MATCH($E1222,CADASTRO_PIVOS!$B$6:$B$41,0)),"?")</f>
        <v>RM06</v>
      </c>
      <c r="G1222" s="8" t="str">
        <f aca="false">IFERROR(INDEX(CADASTRO_PIVOS!$D$6:$D$41,MATCH($E1222,CADASTRO_PIVOS!$B$6:$B$41,0)),"?")</f>
        <v>TR06</v>
      </c>
      <c r="H1222" s="20" t="n">
        <f aca="false">IFERROR(INDEX(CADASTRO_PIVOS!$E$6:$E$41,MATCH($E1222,CADASTRO_PIVOS!$B$6:$B$41,0)),0)</f>
        <v>146.49</v>
      </c>
      <c r="I1222" s="16" t="n">
        <f aca="false">IFERROR(SUMIFS(ROTACAO_RDM!$B$6:$B$71,ROTACAO_RDM!$D$6:$D$71,$E1222,ROTACAO_RDM!$I$6:$I$71,"&lt;="&amp;$C1222+INT(DIAS_POR_SEMANA/2),ROTACAO_RDM!$J$6:$J$71,"&gt;="&amp;$C1222+INT(DIAS_POR_SEMANA/2)),0)</f>
        <v>30</v>
      </c>
      <c r="J1222" s="16" t="n">
        <f aca="false">IFERROR(MATCH($I1222,ROTACAO_RDM!$B$6:$B$71,0),0)</f>
        <v>30</v>
      </c>
      <c r="K1222" s="8" t="str">
        <f aca="false">IF($J1222=0,"SEM CULTURA",INDEX(ROTACAO_RDM!$F$6:$F$71,$J1222))</f>
        <v>TABACO</v>
      </c>
      <c r="L1222" s="8" t="str">
        <f aca="false">IF($J1222=0,"",INDEX(ROTACAO_RDM!$G$6:$G$71,$J1222))</f>
        <v>PVH-2343</v>
      </c>
      <c r="M1222" s="17" t="n">
        <f aca="false">IF($J1222=0,"",INDEX(ROTACAO_RDM!$I$6:$I$71,$J1222))</f>
        <v>46389</v>
      </c>
      <c r="N1222" s="16" t="n">
        <f aca="false">IF($J1222=0,0,MAX(0,$C1222+INT(DIAS_POR_SEMANA/2)-INDEX(ROTACAO_RDM!$I$6:$I$71,$J1222)))</f>
        <v>75</v>
      </c>
      <c r="O1222" s="19" t="n">
        <f aca="false">IF($J1222=0,0,MIN(1,$N1222/MAX(1,INDEX(ROTACAO_RDM!$K$6:$K$71,$J1222))))</f>
        <v>0.46875</v>
      </c>
      <c r="P1222" s="16" t="n">
        <f aca="false">IF($J1222=0,0,IFERROR(MATCH(INDEX(ROTACAO_RDM!$N$6:$N$71,$J1222),PARAMETROS_CULTURAS!$B$6:$B$28,0),0))</f>
        <v>9</v>
      </c>
      <c r="Q1222" s="8" t="str">
        <f aca="false">IF($P1222=0,"-",IF($O1222&lt;=INDEX(PARAMETROS_CULTURAS!$F$6:$F$28,$P1222),"INICIAL",IF($O1222&lt;=INDEX(PARAMETROS_CULTURAS!$F$6:$F$28,$P1222)+INDEX(PARAMETROS_CULTURAS!$G$6:$G$28,$P1222),"DESENVOLVIMENTO",IF($O1222&lt;=INDEX(PARAMETROS_CULTURAS!$F$6:$F$28,$P1222)+INDEX(PARAMETROS_CULTURAS!$G$6:$G$28,$P1222)+INDEX(PARAMETROS_CULTURAS!$H$6:$H$28,$P1222),"MEDIA","FINAL"))))</f>
        <v>MEDIA</v>
      </c>
      <c r="R1222" s="24" t="n">
        <f aca="false">IF($P1222=0,0,IF($O1222&lt;=INDEX(PARAMETROS_CULTURAS!$F$6:$F$28,$P1222),INDEX(PARAMETROS_CULTURAS!$K$6:$K$28,$P1222),IF($O1222&lt;=INDEX(PARAMETROS_CULTURAS!$F$6:$F$28,$P1222)+INDEX(PARAMETROS_CULTURAS!$G$6:$G$28,$P1222),INDEX(PARAMETROS_CULTURAS!$K$6:$K$28,$P1222)+(INDEX(PARAMETROS_CULTURAS!$L$6:$L$28,$P1222)-INDEX(PARAMETROS_CULTURAS!$K$6:$K$28,$P1222))*($O1222-INDEX(PARAMETROS_CULTURAS!$F$6:$F$28,$P1222))/MAX(INDEX(PARAMETROS_CULTURAS!$G$6:$G$28,$P1222),0.0001),IF($O1222&lt;=INDEX(PARAMETROS_CULTURAS!$F$6:$F$28,$P1222)+INDEX(PARAMETROS_CULTURAS!$G$6:$G$28,$P1222)+INDEX(PARAMETROS_CULTURAS!$H$6:$H$28,$P1222),INDEX(PARAMETROS_CULTURAS!$L$6:$L$28,$P1222),INDEX(PARAMETROS_CULTURAS!$L$6:$L$28,$P1222)+(INDEX(PARAMETROS_CULTURAS!$M$6:$M$28,$P1222)-INDEX(PARAMETROS_CULTURAS!$L$6:$L$28,$P1222))*($O1222-INDEX(PARAMETROS_CULTURAS!$F$6:$F$28,$P1222)-INDEX(PARAMETROS_CULTURAS!$G$6:$G$28,$P1222)-INDEX(PARAMETROS_CULTURAS!$H$6:$H$28,$P1222))/MAX(INDEX(PARAMETROS_CULTURAS!$I$6:$I$28,$P1222),0.0001)))))</f>
        <v>1.1</v>
      </c>
      <c r="S1222" s="18" t="n">
        <f aca="false">IFERROR(INDEX(SEMANAS!$H$6:$H$71,MATCH($B1222,SEMANAS!$B$6:$B$71,0)),0)</f>
        <v>32.2</v>
      </c>
      <c r="T1222" s="18" t="n">
        <f aca="false">$R1222*$S1222</f>
        <v>35.42</v>
      </c>
      <c r="U1222" s="18" t="n">
        <f aca="false">IFERROR(INDEX(SEMANAS!$I$6:$I$71,MATCH($B1222,SEMANAS!$B$6:$B$71,0)),0)</f>
        <v>37.24</v>
      </c>
      <c r="V1222" s="18" t="n">
        <f aca="false">IFERROR(INDEX(SEMANAS!$J$6:$J$71,MATCH($B1222,SEMANAS!$B$6:$B$71,0)),0)</f>
        <v>29.792</v>
      </c>
      <c r="W1222" s="18" t="n">
        <f aca="false">MAX(0,$T1222-$V1222)</f>
        <v>5.628</v>
      </c>
      <c r="X1222" s="19" t="n">
        <f aca="false">IFERROR(INDEX(CADASTRO_PIVOS!$K$6:$K$41,MATCH($E1222,CADASTRO_PIVOS!$B$6:$B$41,0)),EFICIENCIA_PADRAO)</f>
        <v>0.85</v>
      </c>
      <c r="Y1222" s="18" t="n">
        <f aca="false">IF($X1222&lt;=0,0,$W1222/$X1222)</f>
        <v>6.62117647058824</v>
      </c>
      <c r="Z1222" s="16" t="n">
        <f aca="false">$Y1222*$H1222*MM_PARA_M3_HA</f>
        <v>9699.36141176471</v>
      </c>
      <c r="AA1222" s="18" t="n">
        <f aca="false">IFERROR(INDEX(CADASTRO_PIVOS!$I$6:$I$41,MATCH($E1222,CADASTRO_PIVOS!$B$6:$B$41,0)),0)</f>
        <v>906.842857142857</v>
      </c>
      <c r="AB1222" s="18" t="n">
        <f aca="false">IF($Z1222&lt;=0,0,$Z1222/$AA1222)</f>
        <v>10.6957466063348</v>
      </c>
      <c r="AC1222" s="16" t="n">
        <f aca="false">IFERROR(INDEX(SEMANAS!$K$6:$K$71,MATCH($B1222,SEMANAS!$B$6:$B$71,0)),0)</f>
        <v>147</v>
      </c>
      <c r="AD1222" s="19" t="n">
        <f aca="false">IF($AC1222&lt;=0,0,$AB1222/$AC1222)</f>
        <v>0.0727601809954751</v>
      </c>
      <c r="AE1222" s="8" t="str">
        <f aca="false">IF($K1222="SEM CULTURA","SEM CULTURA",IF($AA1222&lt;=0,"DADO PENDENTE",IF($AD1222&gt;LIMITE_CRITICO,"INVIAVEL",IF($AD1222&gt;LIMITE_ATENCAO,"CRITICO",IF($AD1222&gt;LIMITE_CONFORTAVEL,"ATENCAO","OK")))))</f>
        <v>OK</v>
      </c>
      <c r="AF1222" s="8" t="str">
        <f aca="false">$B1222&amp;"|"&amp;TEXT($AD1222,"0.000000")</f>
        <v>29|0.072760</v>
      </c>
      <c r="AG1222" s="18" t="n">
        <f aca="false">IF($K1222="SEM CULTURA",0,$T1222*$H1222)</f>
        <v>5188.6758</v>
      </c>
      <c r="AH1222" s="18" t="n">
        <f aca="false">IF($K1222="SEM CULTURA",0,$V1222*$H1222)</f>
        <v>4364.23008</v>
      </c>
      <c r="AI1222" s="18" t="n">
        <f aca="false">IF($K1222="SEM CULTURA",0,$W1222*$H1222)</f>
        <v>824.44572</v>
      </c>
      <c r="AJ1222" s="18" t="n">
        <f aca="false">IF($K1222="SEM CULTURA",0,$S1222*$H1222)</f>
        <v>4716.978</v>
      </c>
      <c r="AK1222" s="8" t="str">
        <f aca="false">$E1222&amp;"|"&amp;TEXT($AD1222,"0.000000")</f>
        <v>PV 118|0.072760</v>
      </c>
    </row>
    <row r="1223" customFormat="false" ht="15" hidden="false" customHeight="false" outlineLevel="0" collapsed="false">
      <c r="B1223" s="16" t="n">
        <v>30</v>
      </c>
      <c r="C1223" s="17" t="n">
        <f aca="false">DATA_INICIO_SAFRA+($B1223-1)*DIAS_POR_SEMANA</f>
        <v>46468</v>
      </c>
      <c r="D1223" s="17" t="n">
        <f aca="false">$C1223+DIAS_POR_SEMANA-1</f>
        <v>46474</v>
      </c>
      <c r="E1223" s="15" t="s">
        <v>277</v>
      </c>
      <c r="F1223" s="8" t="str">
        <f aca="false">IFERROR(INDEX(CADASTRO_PIVOS!$C$6:$C$41,MATCH($E1223,CADASTRO_PIVOS!$B$6:$B$41,0)),"?")</f>
        <v>RM06</v>
      </c>
      <c r="G1223" s="8" t="str">
        <f aca="false">IFERROR(INDEX(CADASTRO_PIVOS!$D$6:$D$41,MATCH($E1223,CADASTRO_PIVOS!$B$6:$B$41,0)),"?")</f>
        <v>TR06</v>
      </c>
      <c r="H1223" s="20" t="n">
        <f aca="false">IFERROR(INDEX(CADASTRO_PIVOS!$E$6:$E$41,MATCH($E1223,CADASTRO_PIVOS!$B$6:$B$41,0)),0)</f>
        <v>146.49</v>
      </c>
      <c r="I1223" s="16" t="n">
        <f aca="false">IFERROR(SUMIFS(ROTACAO_RDM!$B$6:$B$71,ROTACAO_RDM!$D$6:$D$71,$E1223,ROTACAO_RDM!$I$6:$I$71,"&lt;="&amp;$C1223+INT(DIAS_POR_SEMANA/2),ROTACAO_RDM!$J$6:$J$71,"&gt;="&amp;$C1223+INT(DIAS_POR_SEMANA/2)),0)</f>
        <v>30</v>
      </c>
      <c r="J1223" s="16" t="n">
        <f aca="false">IFERROR(MATCH($I1223,ROTACAO_RDM!$B$6:$B$71,0),0)</f>
        <v>30</v>
      </c>
      <c r="K1223" s="8" t="str">
        <f aca="false">IF($J1223=0,"SEM CULTURA",INDEX(ROTACAO_RDM!$F$6:$F$71,$J1223))</f>
        <v>TABACO</v>
      </c>
      <c r="L1223" s="8" t="str">
        <f aca="false">IF($J1223=0,"",INDEX(ROTACAO_RDM!$G$6:$G$71,$J1223))</f>
        <v>PVH-2343</v>
      </c>
      <c r="M1223" s="17" t="n">
        <f aca="false">IF($J1223=0,"",INDEX(ROTACAO_RDM!$I$6:$I$71,$J1223))</f>
        <v>46389</v>
      </c>
      <c r="N1223" s="16" t="n">
        <f aca="false">IF($J1223=0,0,MAX(0,$C1223+INT(DIAS_POR_SEMANA/2)-INDEX(ROTACAO_RDM!$I$6:$I$71,$J1223)))</f>
        <v>82</v>
      </c>
      <c r="O1223" s="19" t="n">
        <f aca="false">IF($J1223=0,0,MIN(1,$N1223/MAX(1,INDEX(ROTACAO_RDM!$K$6:$K$71,$J1223))))</f>
        <v>0.5125</v>
      </c>
      <c r="P1223" s="16" t="n">
        <f aca="false">IF($J1223=0,0,IFERROR(MATCH(INDEX(ROTACAO_RDM!$N$6:$N$71,$J1223),PARAMETROS_CULTURAS!$B$6:$B$28,0),0))</f>
        <v>9</v>
      </c>
      <c r="Q1223" s="8" t="str">
        <f aca="false">IF($P1223=0,"-",IF($O1223&lt;=INDEX(PARAMETROS_CULTURAS!$F$6:$F$28,$P1223),"INICIAL",IF($O1223&lt;=INDEX(PARAMETROS_CULTURAS!$F$6:$F$28,$P1223)+INDEX(PARAMETROS_CULTURAS!$G$6:$G$28,$P1223),"DESENVOLVIMENTO",IF($O1223&lt;=INDEX(PARAMETROS_CULTURAS!$F$6:$F$28,$P1223)+INDEX(PARAMETROS_CULTURAS!$G$6:$G$28,$P1223)+INDEX(PARAMETROS_CULTURAS!$H$6:$H$28,$P1223),"MEDIA","FINAL"))))</f>
        <v>MEDIA</v>
      </c>
      <c r="R1223" s="24" t="n">
        <f aca="false">IF($P1223=0,0,IF($O1223&lt;=INDEX(PARAMETROS_CULTURAS!$F$6:$F$28,$P1223),INDEX(PARAMETROS_CULTURAS!$K$6:$K$28,$P1223),IF($O1223&lt;=INDEX(PARAMETROS_CULTURAS!$F$6:$F$28,$P1223)+INDEX(PARAMETROS_CULTURAS!$G$6:$G$28,$P1223),INDEX(PARAMETROS_CULTURAS!$K$6:$K$28,$P1223)+(INDEX(PARAMETROS_CULTURAS!$L$6:$L$28,$P1223)-INDEX(PARAMETROS_CULTURAS!$K$6:$K$28,$P1223))*($O1223-INDEX(PARAMETROS_CULTURAS!$F$6:$F$28,$P1223))/MAX(INDEX(PARAMETROS_CULTURAS!$G$6:$G$28,$P1223),0.0001),IF($O1223&lt;=INDEX(PARAMETROS_CULTURAS!$F$6:$F$28,$P1223)+INDEX(PARAMETROS_CULTURAS!$G$6:$G$28,$P1223)+INDEX(PARAMETROS_CULTURAS!$H$6:$H$28,$P1223),INDEX(PARAMETROS_CULTURAS!$L$6:$L$28,$P1223),INDEX(PARAMETROS_CULTURAS!$L$6:$L$28,$P1223)+(INDEX(PARAMETROS_CULTURAS!$M$6:$M$28,$P1223)-INDEX(PARAMETROS_CULTURAS!$L$6:$L$28,$P1223))*($O1223-INDEX(PARAMETROS_CULTURAS!$F$6:$F$28,$P1223)-INDEX(PARAMETROS_CULTURAS!$G$6:$G$28,$P1223)-INDEX(PARAMETROS_CULTURAS!$H$6:$H$28,$P1223))/MAX(INDEX(PARAMETROS_CULTURAS!$I$6:$I$28,$P1223),0.0001)))))</f>
        <v>1.1</v>
      </c>
      <c r="S1223" s="18" t="n">
        <f aca="false">IFERROR(INDEX(SEMANAS!$H$6:$H$71,MATCH($B1223,SEMANAS!$B$6:$B$71,0)),0)</f>
        <v>32.2</v>
      </c>
      <c r="T1223" s="18" t="n">
        <f aca="false">$R1223*$S1223</f>
        <v>35.42</v>
      </c>
      <c r="U1223" s="18" t="n">
        <f aca="false">IFERROR(INDEX(SEMANAS!$I$6:$I$71,MATCH($B1223,SEMANAS!$B$6:$B$71,0)),0)</f>
        <v>37.24</v>
      </c>
      <c r="V1223" s="18" t="n">
        <f aca="false">IFERROR(INDEX(SEMANAS!$J$6:$J$71,MATCH($B1223,SEMANAS!$B$6:$B$71,0)),0)</f>
        <v>29.792</v>
      </c>
      <c r="W1223" s="18" t="n">
        <f aca="false">MAX(0,$T1223-$V1223)</f>
        <v>5.628</v>
      </c>
      <c r="X1223" s="19" t="n">
        <f aca="false">IFERROR(INDEX(CADASTRO_PIVOS!$K$6:$K$41,MATCH($E1223,CADASTRO_PIVOS!$B$6:$B$41,0)),EFICIENCIA_PADRAO)</f>
        <v>0.85</v>
      </c>
      <c r="Y1223" s="18" t="n">
        <f aca="false">IF($X1223&lt;=0,0,$W1223/$X1223)</f>
        <v>6.62117647058824</v>
      </c>
      <c r="Z1223" s="16" t="n">
        <f aca="false">$Y1223*$H1223*MM_PARA_M3_HA</f>
        <v>9699.36141176471</v>
      </c>
      <c r="AA1223" s="18" t="n">
        <f aca="false">IFERROR(INDEX(CADASTRO_PIVOS!$I$6:$I$41,MATCH($E1223,CADASTRO_PIVOS!$B$6:$B$41,0)),0)</f>
        <v>906.842857142857</v>
      </c>
      <c r="AB1223" s="18" t="n">
        <f aca="false">IF($Z1223&lt;=0,0,$Z1223/$AA1223)</f>
        <v>10.6957466063348</v>
      </c>
      <c r="AC1223" s="16" t="n">
        <f aca="false">IFERROR(INDEX(SEMANAS!$K$6:$K$71,MATCH($B1223,SEMANAS!$B$6:$B$71,0)),0)</f>
        <v>147</v>
      </c>
      <c r="AD1223" s="19" t="n">
        <f aca="false">IF($AC1223&lt;=0,0,$AB1223/$AC1223)</f>
        <v>0.0727601809954751</v>
      </c>
      <c r="AE1223" s="8" t="str">
        <f aca="false">IF($K1223="SEM CULTURA","SEM CULTURA",IF($AA1223&lt;=0,"DADO PENDENTE",IF($AD1223&gt;LIMITE_CRITICO,"INVIAVEL",IF($AD1223&gt;LIMITE_ATENCAO,"CRITICO",IF($AD1223&gt;LIMITE_CONFORTAVEL,"ATENCAO","OK")))))</f>
        <v>OK</v>
      </c>
      <c r="AF1223" s="8" t="str">
        <f aca="false">$B1223&amp;"|"&amp;TEXT($AD1223,"0.000000")</f>
        <v>30|0.072760</v>
      </c>
      <c r="AG1223" s="18" t="n">
        <f aca="false">IF($K1223="SEM CULTURA",0,$T1223*$H1223)</f>
        <v>5188.6758</v>
      </c>
      <c r="AH1223" s="18" t="n">
        <f aca="false">IF($K1223="SEM CULTURA",0,$V1223*$H1223)</f>
        <v>4364.23008</v>
      </c>
      <c r="AI1223" s="18" t="n">
        <f aca="false">IF($K1223="SEM CULTURA",0,$W1223*$H1223)</f>
        <v>824.44572</v>
      </c>
      <c r="AJ1223" s="18" t="n">
        <f aca="false">IF($K1223="SEM CULTURA",0,$S1223*$H1223)</f>
        <v>4716.978</v>
      </c>
      <c r="AK1223" s="8" t="str">
        <f aca="false">$E1223&amp;"|"&amp;TEXT($AD1223,"0.000000")</f>
        <v>PV 118|0.072760</v>
      </c>
    </row>
    <row r="1224" customFormat="false" ht="15" hidden="false" customHeight="false" outlineLevel="0" collapsed="false">
      <c r="B1224" s="16" t="n">
        <v>31</v>
      </c>
      <c r="C1224" s="17" t="n">
        <f aca="false">DATA_INICIO_SAFRA+($B1224-1)*DIAS_POR_SEMANA</f>
        <v>46475</v>
      </c>
      <c r="D1224" s="17" t="n">
        <f aca="false">$C1224+DIAS_POR_SEMANA-1</f>
        <v>46481</v>
      </c>
      <c r="E1224" s="15" t="s">
        <v>277</v>
      </c>
      <c r="F1224" s="8" t="str">
        <f aca="false">IFERROR(INDEX(CADASTRO_PIVOS!$C$6:$C$41,MATCH($E1224,CADASTRO_PIVOS!$B$6:$B$41,0)),"?")</f>
        <v>RM06</v>
      </c>
      <c r="G1224" s="8" t="str">
        <f aca="false">IFERROR(INDEX(CADASTRO_PIVOS!$D$6:$D$41,MATCH($E1224,CADASTRO_PIVOS!$B$6:$B$41,0)),"?")</f>
        <v>TR06</v>
      </c>
      <c r="H1224" s="20" t="n">
        <f aca="false">IFERROR(INDEX(CADASTRO_PIVOS!$E$6:$E$41,MATCH($E1224,CADASTRO_PIVOS!$B$6:$B$41,0)),0)</f>
        <v>146.49</v>
      </c>
      <c r="I1224" s="16" t="n">
        <f aca="false">IFERROR(SUMIFS(ROTACAO_RDM!$B$6:$B$71,ROTACAO_RDM!$D$6:$D$71,$E1224,ROTACAO_RDM!$I$6:$I$71,"&lt;="&amp;$C1224+INT(DIAS_POR_SEMANA/2),ROTACAO_RDM!$J$6:$J$71,"&gt;="&amp;$C1224+INT(DIAS_POR_SEMANA/2)),0)</f>
        <v>30</v>
      </c>
      <c r="J1224" s="16" t="n">
        <f aca="false">IFERROR(MATCH($I1224,ROTACAO_RDM!$B$6:$B$71,0),0)</f>
        <v>30</v>
      </c>
      <c r="K1224" s="8" t="str">
        <f aca="false">IF($J1224=0,"SEM CULTURA",INDEX(ROTACAO_RDM!$F$6:$F$71,$J1224))</f>
        <v>TABACO</v>
      </c>
      <c r="L1224" s="8" t="str">
        <f aca="false">IF($J1224=0,"",INDEX(ROTACAO_RDM!$G$6:$G$71,$J1224))</f>
        <v>PVH-2343</v>
      </c>
      <c r="M1224" s="17" t="n">
        <f aca="false">IF($J1224=0,"",INDEX(ROTACAO_RDM!$I$6:$I$71,$J1224))</f>
        <v>46389</v>
      </c>
      <c r="N1224" s="16" t="n">
        <f aca="false">IF($J1224=0,0,MAX(0,$C1224+INT(DIAS_POR_SEMANA/2)-INDEX(ROTACAO_RDM!$I$6:$I$71,$J1224)))</f>
        <v>89</v>
      </c>
      <c r="O1224" s="19" t="n">
        <f aca="false">IF($J1224=0,0,MIN(1,$N1224/MAX(1,INDEX(ROTACAO_RDM!$K$6:$K$71,$J1224))))</f>
        <v>0.55625</v>
      </c>
      <c r="P1224" s="16" t="n">
        <f aca="false">IF($J1224=0,0,IFERROR(MATCH(INDEX(ROTACAO_RDM!$N$6:$N$71,$J1224),PARAMETROS_CULTURAS!$B$6:$B$28,0),0))</f>
        <v>9</v>
      </c>
      <c r="Q1224" s="8" t="str">
        <f aca="false">IF($P1224=0,"-",IF($O1224&lt;=INDEX(PARAMETROS_CULTURAS!$F$6:$F$28,$P1224),"INICIAL",IF($O1224&lt;=INDEX(PARAMETROS_CULTURAS!$F$6:$F$28,$P1224)+INDEX(PARAMETROS_CULTURAS!$G$6:$G$28,$P1224),"DESENVOLVIMENTO",IF($O1224&lt;=INDEX(PARAMETROS_CULTURAS!$F$6:$F$28,$P1224)+INDEX(PARAMETROS_CULTURAS!$G$6:$G$28,$P1224)+INDEX(PARAMETROS_CULTURAS!$H$6:$H$28,$P1224),"MEDIA","FINAL"))))</f>
        <v>MEDIA</v>
      </c>
      <c r="R1224" s="24" t="n">
        <f aca="false">IF($P1224=0,0,IF($O1224&lt;=INDEX(PARAMETROS_CULTURAS!$F$6:$F$28,$P1224),INDEX(PARAMETROS_CULTURAS!$K$6:$K$28,$P1224),IF($O1224&lt;=INDEX(PARAMETROS_CULTURAS!$F$6:$F$28,$P1224)+INDEX(PARAMETROS_CULTURAS!$G$6:$G$28,$P1224),INDEX(PARAMETROS_CULTURAS!$K$6:$K$28,$P1224)+(INDEX(PARAMETROS_CULTURAS!$L$6:$L$28,$P1224)-INDEX(PARAMETROS_CULTURAS!$K$6:$K$28,$P1224))*($O1224-INDEX(PARAMETROS_CULTURAS!$F$6:$F$28,$P1224))/MAX(INDEX(PARAMETROS_CULTURAS!$G$6:$G$28,$P1224),0.0001),IF($O1224&lt;=INDEX(PARAMETROS_CULTURAS!$F$6:$F$28,$P1224)+INDEX(PARAMETROS_CULTURAS!$G$6:$G$28,$P1224)+INDEX(PARAMETROS_CULTURAS!$H$6:$H$28,$P1224),INDEX(PARAMETROS_CULTURAS!$L$6:$L$28,$P1224),INDEX(PARAMETROS_CULTURAS!$L$6:$L$28,$P1224)+(INDEX(PARAMETROS_CULTURAS!$M$6:$M$28,$P1224)-INDEX(PARAMETROS_CULTURAS!$L$6:$L$28,$P1224))*($O1224-INDEX(PARAMETROS_CULTURAS!$F$6:$F$28,$P1224)-INDEX(PARAMETROS_CULTURAS!$G$6:$G$28,$P1224)-INDEX(PARAMETROS_CULTURAS!$H$6:$H$28,$P1224))/MAX(INDEX(PARAMETROS_CULTURAS!$I$6:$I$28,$P1224),0.0001)))))</f>
        <v>1.1</v>
      </c>
      <c r="S1224" s="18" t="n">
        <f aca="false">IFERROR(INDEX(SEMANAS!$H$6:$H$71,MATCH($B1224,SEMANAS!$B$6:$B$71,0)),0)</f>
        <v>31.8</v>
      </c>
      <c r="T1224" s="18" t="n">
        <f aca="false">$R1224*$S1224</f>
        <v>34.98</v>
      </c>
      <c r="U1224" s="18" t="n">
        <f aca="false">IFERROR(INDEX(SEMANAS!$I$6:$I$71,MATCH($B1224,SEMANAS!$B$6:$B$71,0)),0)</f>
        <v>25.28</v>
      </c>
      <c r="V1224" s="18" t="n">
        <f aca="false">IFERROR(INDEX(SEMANAS!$J$6:$J$71,MATCH($B1224,SEMANAS!$B$6:$B$71,0)),0)</f>
        <v>20.224</v>
      </c>
      <c r="W1224" s="18" t="n">
        <f aca="false">MAX(0,$T1224-$V1224)</f>
        <v>14.756</v>
      </c>
      <c r="X1224" s="19" t="n">
        <f aca="false">IFERROR(INDEX(CADASTRO_PIVOS!$K$6:$K$41,MATCH($E1224,CADASTRO_PIVOS!$B$6:$B$41,0)),EFICIENCIA_PADRAO)</f>
        <v>0.85</v>
      </c>
      <c r="Y1224" s="18" t="n">
        <f aca="false">IF($X1224&lt;=0,0,$W1224/$X1224)</f>
        <v>17.36</v>
      </c>
      <c r="Z1224" s="16" t="n">
        <f aca="false">$Y1224*$H1224*MM_PARA_M3_HA</f>
        <v>25430.664</v>
      </c>
      <c r="AA1224" s="18" t="n">
        <f aca="false">IFERROR(INDEX(CADASTRO_PIVOS!$I$6:$I$41,MATCH($E1224,CADASTRO_PIVOS!$B$6:$B$41,0)),0)</f>
        <v>906.842857142857</v>
      </c>
      <c r="AB1224" s="18" t="n">
        <f aca="false">IF($Z1224&lt;=0,0,$Z1224/$AA1224)</f>
        <v>28.0430769230769</v>
      </c>
      <c r="AC1224" s="16" t="n">
        <f aca="false">IFERROR(INDEX(SEMANAS!$K$6:$K$71,MATCH($B1224,SEMANAS!$B$6:$B$71,0)),0)</f>
        <v>147</v>
      </c>
      <c r="AD1224" s="19" t="n">
        <f aca="false">IF($AC1224&lt;=0,0,$AB1224/$AC1224)</f>
        <v>0.190769230769231</v>
      </c>
      <c r="AE1224" s="8" t="str">
        <f aca="false">IF($K1224="SEM CULTURA","SEM CULTURA",IF($AA1224&lt;=0,"DADO PENDENTE",IF($AD1224&gt;LIMITE_CRITICO,"INVIAVEL",IF($AD1224&gt;LIMITE_ATENCAO,"CRITICO",IF($AD1224&gt;LIMITE_CONFORTAVEL,"ATENCAO","OK")))))</f>
        <v>OK</v>
      </c>
      <c r="AF1224" s="8" t="str">
        <f aca="false">$B1224&amp;"|"&amp;TEXT($AD1224,"0.000000")</f>
        <v>31|0.190769</v>
      </c>
      <c r="AG1224" s="18" t="n">
        <f aca="false">IF($K1224="SEM CULTURA",0,$T1224*$H1224)</f>
        <v>5124.2202</v>
      </c>
      <c r="AH1224" s="18" t="n">
        <f aca="false">IF($K1224="SEM CULTURA",0,$V1224*$H1224)</f>
        <v>2962.61376</v>
      </c>
      <c r="AI1224" s="18" t="n">
        <f aca="false">IF($K1224="SEM CULTURA",0,$W1224*$H1224)</f>
        <v>2161.60644</v>
      </c>
      <c r="AJ1224" s="18" t="n">
        <f aca="false">IF($K1224="SEM CULTURA",0,$S1224*$H1224)</f>
        <v>4658.382</v>
      </c>
      <c r="AK1224" s="8" t="str">
        <f aca="false">$E1224&amp;"|"&amp;TEXT($AD1224,"0.000000")</f>
        <v>PV 118|0.190769</v>
      </c>
    </row>
    <row r="1225" customFormat="false" ht="15" hidden="false" customHeight="false" outlineLevel="0" collapsed="false">
      <c r="B1225" s="16" t="n">
        <v>32</v>
      </c>
      <c r="C1225" s="17" t="n">
        <f aca="false">DATA_INICIO_SAFRA+($B1225-1)*DIAS_POR_SEMANA</f>
        <v>46482</v>
      </c>
      <c r="D1225" s="17" t="n">
        <f aca="false">$C1225+DIAS_POR_SEMANA-1</f>
        <v>46488</v>
      </c>
      <c r="E1225" s="15" t="s">
        <v>277</v>
      </c>
      <c r="F1225" s="8" t="str">
        <f aca="false">IFERROR(INDEX(CADASTRO_PIVOS!$C$6:$C$41,MATCH($E1225,CADASTRO_PIVOS!$B$6:$B$41,0)),"?")</f>
        <v>RM06</v>
      </c>
      <c r="G1225" s="8" t="str">
        <f aca="false">IFERROR(INDEX(CADASTRO_PIVOS!$D$6:$D$41,MATCH($E1225,CADASTRO_PIVOS!$B$6:$B$41,0)),"?")</f>
        <v>TR06</v>
      </c>
      <c r="H1225" s="20" t="n">
        <f aca="false">IFERROR(INDEX(CADASTRO_PIVOS!$E$6:$E$41,MATCH($E1225,CADASTRO_PIVOS!$B$6:$B$41,0)),0)</f>
        <v>146.49</v>
      </c>
      <c r="I1225" s="16" t="n">
        <f aca="false">IFERROR(SUMIFS(ROTACAO_RDM!$B$6:$B$71,ROTACAO_RDM!$D$6:$D$71,$E1225,ROTACAO_RDM!$I$6:$I$71,"&lt;="&amp;$C1225+INT(DIAS_POR_SEMANA/2),ROTACAO_RDM!$J$6:$J$71,"&gt;="&amp;$C1225+INT(DIAS_POR_SEMANA/2)),0)</f>
        <v>30</v>
      </c>
      <c r="J1225" s="16" t="n">
        <f aca="false">IFERROR(MATCH($I1225,ROTACAO_RDM!$B$6:$B$71,0),0)</f>
        <v>30</v>
      </c>
      <c r="K1225" s="8" t="str">
        <f aca="false">IF($J1225=0,"SEM CULTURA",INDEX(ROTACAO_RDM!$F$6:$F$71,$J1225))</f>
        <v>TABACO</v>
      </c>
      <c r="L1225" s="8" t="str">
        <f aca="false">IF($J1225=0,"",INDEX(ROTACAO_RDM!$G$6:$G$71,$J1225))</f>
        <v>PVH-2343</v>
      </c>
      <c r="M1225" s="17" t="n">
        <f aca="false">IF($J1225=0,"",INDEX(ROTACAO_RDM!$I$6:$I$71,$J1225))</f>
        <v>46389</v>
      </c>
      <c r="N1225" s="16" t="n">
        <f aca="false">IF($J1225=0,0,MAX(0,$C1225+INT(DIAS_POR_SEMANA/2)-INDEX(ROTACAO_RDM!$I$6:$I$71,$J1225)))</f>
        <v>96</v>
      </c>
      <c r="O1225" s="19" t="n">
        <f aca="false">IF($J1225=0,0,MIN(1,$N1225/MAX(1,INDEX(ROTACAO_RDM!$K$6:$K$71,$J1225))))</f>
        <v>0.6</v>
      </c>
      <c r="P1225" s="16" t="n">
        <f aca="false">IF($J1225=0,0,IFERROR(MATCH(INDEX(ROTACAO_RDM!$N$6:$N$71,$J1225),PARAMETROS_CULTURAS!$B$6:$B$28,0),0))</f>
        <v>9</v>
      </c>
      <c r="Q1225" s="8" t="str">
        <f aca="false">IF($P1225=0,"-",IF($O1225&lt;=INDEX(PARAMETROS_CULTURAS!$F$6:$F$28,$P1225),"INICIAL",IF($O1225&lt;=INDEX(PARAMETROS_CULTURAS!$F$6:$F$28,$P1225)+INDEX(PARAMETROS_CULTURAS!$G$6:$G$28,$P1225),"DESENVOLVIMENTO",IF($O1225&lt;=INDEX(PARAMETROS_CULTURAS!$F$6:$F$28,$P1225)+INDEX(PARAMETROS_CULTURAS!$G$6:$G$28,$P1225)+INDEX(PARAMETROS_CULTURAS!$H$6:$H$28,$P1225),"MEDIA","FINAL"))))</f>
        <v>MEDIA</v>
      </c>
      <c r="R1225" s="24" t="n">
        <f aca="false">IF($P1225=0,0,IF($O1225&lt;=INDEX(PARAMETROS_CULTURAS!$F$6:$F$28,$P1225),INDEX(PARAMETROS_CULTURAS!$K$6:$K$28,$P1225),IF($O1225&lt;=INDEX(PARAMETROS_CULTURAS!$F$6:$F$28,$P1225)+INDEX(PARAMETROS_CULTURAS!$G$6:$G$28,$P1225),INDEX(PARAMETROS_CULTURAS!$K$6:$K$28,$P1225)+(INDEX(PARAMETROS_CULTURAS!$L$6:$L$28,$P1225)-INDEX(PARAMETROS_CULTURAS!$K$6:$K$28,$P1225))*($O1225-INDEX(PARAMETROS_CULTURAS!$F$6:$F$28,$P1225))/MAX(INDEX(PARAMETROS_CULTURAS!$G$6:$G$28,$P1225),0.0001),IF($O1225&lt;=INDEX(PARAMETROS_CULTURAS!$F$6:$F$28,$P1225)+INDEX(PARAMETROS_CULTURAS!$G$6:$G$28,$P1225)+INDEX(PARAMETROS_CULTURAS!$H$6:$H$28,$P1225),INDEX(PARAMETROS_CULTURAS!$L$6:$L$28,$P1225),INDEX(PARAMETROS_CULTURAS!$L$6:$L$28,$P1225)+(INDEX(PARAMETROS_CULTURAS!$M$6:$M$28,$P1225)-INDEX(PARAMETROS_CULTURAS!$L$6:$L$28,$P1225))*($O1225-INDEX(PARAMETROS_CULTURAS!$F$6:$F$28,$P1225)-INDEX(PARAMETROS_CULTURAS!$G$6:$G$28,$P1225)-INDEX(PARAMETROS_CULTURAS!$H$6:$H$28,$P1225))/MAX(INDEX(PARAMETROS_CULTURAS!$I$6:$I$28,$P1225),0.0001)))))</f>
        <v>1.1</v>
      </c>
      <c r="S1225" s="18" t="n">
        <f aca="false">IFERROR(INDEX(SEMANAS!$H$6:$H$71,MATCH($B1225,SEMANAS!$B$6:$B$71,0)),0)</f>
        <v>31.5</v>
      </c>
      <c r="T1225" s="18" t="n">
        <f aca="false">$R1225*$S1225</f>
        <v>34.65</v>
      </c>
      <c r="U1225" s="18" t="n">
        <f aca="false">IFERROR(INDEX(SEMANAS!$I$6:$I$71,MATCH($B1225,SEMANAS!$B$6:$B$71,0)),0)</f>
        <v>16.31</v>
      </c>
      <c r="V1225" s="18" t="n">
        <f aca="false">IFERROR(INDEX(SEMANAS!$J$6:$J$71,MATCH($B1225,SEMANAS!$B$6:$B$71,0)),0)</f>
        <v>13.048</v>
      </c>
      <c r="W1225" s="18" t="n">
        <f aca="false">MAX(0,$T1225-$V1225)</f>
        <v>21.602</v>
      </c>
      <c r="X1225" s="19" t="n">
        <f aca="false">IFERROR(INDEX(CADASTRO_PIVOS!$K$6:$K$41,MATCH($E1225,CADASTRO_PIVOS!$B$6:$B$41,0)),EFICIENCIA_PADRAO)</f>
        <v>0.85</v>
      </c>
      <c r="Y1225" s="18" t="n">
        <f aca="false">IF($X1225&lt;=0,0,$W1225/$X1225)</f>
        <v>25.4141176470588</v>
      </c>
      <c r="Z1225" s="16" t="n">
        <f aca="false">$Y1225*$H1225*MM_PARA_M3_HA</f>
        <v>37229.1409411765</v>
      </c>
      <c r="AA1225" s="18" t="n">
        <f aca="false">IFERROR(INDEX(CADASTRO_PIVOS!$I$6:$I$41,MATCH($E1225,CADASTRO_PIVOS!$B$6:$B$41,0)),0)</f>
        <v>906.842857142857</v>
      </c>
      <c r="AB1225" s="18" t="n">
        <f aca="false">IF($Z1225&lt;=0,0,$Z1225/$AA1225)</f>
        <v>41.0535746606335</v>
      </c>
      <c r="AC1225" s="16" t="n">
        <f aca="false">IFERROR(INDEX(SEMANAS!$K$6:$K$71,MATCH($B1225,SEMANAS!$B$6:$B$71,0)),0)</f>
        <v>147</v>
      </c>
      <c r="AD1225" s="19" t="n">
        <f aca="false">IF($AC1225&lt;=0,0,$AB1225/$AC1225)</f>
        <v>0.279276018099548</v>
      </c>
      <c r="AE1225" s="8" t="str">
        <f aca="false">IF($K1225="SEM CULTURA","SEM CULTURA",IF($AA1225&lt;=0,"DADO PENDENTE",IF($AD1225&gt;LIMITE_CRITICO,"INVIAVEL",IF($AD1225&gt;LIMITE_ATENCAO,"CRITICO",IF($AD1225&gt;LIMITE_CONFORTAVEL,"ATENCAO","OK")))))</f>
        <v>OK</v>
      </c>
      <c r="AF1225" s="8" t="str">
        <f aca="false">$B1225&amp;"|"&amp;TEXT($AD1225,"0.000000")</f>
        <v>32|0.279276</v>
      </c>
      <c r="AG1225" s="18" t="n">
        <f aca="false">IF($K1225="SEM CULTURA",0,$T1225*$H1225)</f>
        <v>5075.8785</v>
      </c>
      <c r="AH1225" s="18" t="n">
        <f aca="false">IF($K1225="SEM CULTURA",0,$V1225*$H1225)</f>
        <v>1911.40152</v>
      </c>
      <c r="AI1225" s="18" t="n">
        <f aca="false">IF($K1225="SEM CULTURA",0,$W1225*$H1225)</f>
        <v>3164.47698</v>
      </c>
      <c r="AJ1225" s="18" t="n">
        <f aca="false">IF($K1225="SEM CULTURA",0,$S1225*$H1225)</f>
        <v>4614.435</v>
      </c>
      <c r="AK1225" s="8" t="str">
        <f aca="false">$E1225&amp;"|"&amp;TEXT($AD1225,"0.000000")</f>
        <v>PV 118|0.279276</v>
      </c>
    </row>
    <row r="1226" customFormat="false" ht="15" hidden="false" customHeight="false" outlineLevel="0" collapsed="false">
      <c r="B1226" s="16" t="n">
        <v>33</v>
      </c>
      <c r="C1226" s="17" t="n">
        <f aca="false">DATA_INICIO_SAFRA+($B1226-1)*DIAS_POR_SEMANA</f>
        <v>46489</v>
      </c>
      <c r="D1226" s="17" t="n">
        <f aca="false">$C1226+DIAS_POR_SEMANA-1</f>
        <v>46495</v>
      </c>
      <c r="E1226" s="15" t="s">
        <v>277</v>
      </c>
      <c r="F1226" s="8" t="str">
        <f aca="false">IFERROR(INDEX(CADASTRO_PIVOS!$C$6:$C$41,MATCH($E1226,CADASTRO_PIVOS!$B$6:$B$41,0)),"?")</f>
        <v>RM06</v>
      </c>
      <c r="G1226" s="8" t="str">
        <f aca="false">IFERROR(INDEX(CADASTRO_PIVOS!$D$6:$D$41,MATCH($E1226,CADASTRO_PIVOS!$B$6:$B$41,0)),"?")</f>
        <v>TR06</v>
      </c>
      <c r="H1226" s="20" t="n">
        <f aca="false">IFERROR(INDEX(CADASTRO_PIVOS!$E$6:$E$41,MATCH($E1226,CADASTRO_PIVOS!$B$6:$B$41,0)),0)</f>
        <v>146.49</v>
      </c>
      <c r="I1226" s="16" t="n">
        <f aca="false">IFERROR(SUMIFS(ROTACAO_RDM!$B$6:$B$71,ROTACAO_RDM!$D$6:$D$71,$E1226,ROTACAO_RDM!$I$6:$I$71,"&lt;="&amp;$C1226+INT(DIAS_POR_SEMANA/2),ROTACAO_RDM!$J$6:$J$71,"&gt;="&amp;$C1226+INT(DIAS_POR_SEMANA/2)),0)</f>
        <v>30</v>
      </c>
      <c r="J1226" s="16" t="n">
        <f aca="false">IFERROR(MATCH($I1226,ROTACAO_RDM!$B$6:$B$71,0),0)</f>
        <v>30</v>
      </c>
      <c r="K1226" s="8" t="str">
        <f aca="false">IF($J1226=0,"SEM CULTURA",INDEX(ROTACAO_RDM!$F$6:$F$71,$J1226))</f>
        <v>TABACO</v>
      </c>
      <c r="L1226" s="8" t="str">
        <f aca="false">IF($J1226=0,"",INDEX(ROTACAO_RDM!$G$6:$G$71,$J1226))</f>
        <v>PVH-2343</v>
      </c>
      <c r="M1226" s="17" t="n">
        <f aca="false">IF($J1226=0,"",INDEX(ROTACAO_RDM!$I$6:$I$71,$J1226))</f>
        <v>46389</v>
      </c>
      <c r="N1226" s="16" t="n">
        <f aca="false">IF($J1226=0,0,MAX(0,$C1226+INT(DIAS_POR_SEMANA/2)-INDEX(ROTACAO_RDM!$I$6:$I$71,$J1226)))</f>
        <v>103</v>
      </c>
      <c r="O1226" s="19" t="n">
        <f aca="false">IF($J1226=0,0,MIN(1,$N1226/MAX(1,INDEX(ROTACAO_RDM!$K$6:$K$71,$J1226))))</f>
        <v>0.64375</v>
      </c>
      <c r="P1226" s="16" t="n">
        <f aca="false">IF($J1226=0,0,IFERROR(MATCH(INDEX(ROTACAO_RDM!$N$6:$N$71,$J1226),PARAMETROS_CULTURAS!$B$6:$B$28,0),0))</f>
        <v>9</v>
      </c>
      <c r="Q1226" s="8" t="str">
        <f aca="false">IF($P1226=0,"-",IF($O1226&lt;=INDEX(PARAMETROS_CULTURAS!$F$6:$F$28,$P1226),"INICIAL",IF($O1226&lt;=INDEX(PARAMETROS_CULTURAS!$F$6:$F$28,$P1226)+INDEX(PARAMETROS_CULTURAS!$G$6:$G$28,$P1226),"DESENVOLVIMENTO",IF($O1226&lt;=INDEX(PARAMETROS_CULTURAS!$F$6:$F$28,$P1226)+INDEX(PARAMETROS_CULTURAS!$G$6:$G$28,$P1226)+INDEX(PARAMETROS_CULTURAS!$H$6:$H$28,$P1226),"MEDIA","FINAL"))))</f>
        <v>MEDIA</v>
      </c>
      <c r="R1226" s="24" t="n">
        <f aca="false">IF($P1226=0,0,IF($O1226&lt;=INDEX(PARAMETROS_CULTURAS!$F$6:$F$28,$P1226),INDEX(PARAMETROS_CULTURAS!$K$6:$K$28,$P1226),IF($O1226&lt;=INDEX(PARAMETROS_CULTURAS!$F$6:$F$28,$P1226)+INDEX(PARAMETROS_CULTURAS!$G$6:$G$28,$P1226),INDEX(PARAMETROS_CULTURAS!$K$6:$K$28,$P1226)+(INDEX(PARAMETROS_CULTURAS!$L$6:$L$28,$P1226)-INDEX(PARAMETROS_CULTURAS!$K$6:$K$28,$P1226))*($O1226-INDEX(PARAMETROS_CULTURAS!$F$6:$F$28,$P1226))/MAX(INDEX(PARAMETROS_CULTURAS!$G$6:$G$28,$P1226),0.0001),IF($O1226&lt;=INDEX(PARAMETROS_CULTURAS!$F$6:$F$28,$P1226)+INDEX(PARAMETROS_CULTURAS!$G$6:$G$28,$P1226)+INDEX(PARAMETROS_CULTURAS!$H$6:$H$28,$P1226),INDEX(PARAMETROS_CULTURAS!$L$6:$L$28,$P1226),INDEX(PARAMETROS_CULTURAS!$L$6:$L$28,$P1226)+(INDEX(PARAMETROS_CULTURAS!$M$6:$M$28,$P1226)-INDEX(PARAMETROS_CULTURAS!$L$6:$L$28,$P1226))*($O1226-INDEX(PARAMETROS_CULTURAS!$F$6:$F$28,$P1226)-INDEX(PARAMETROS_CULTURAS!$G$6:$G$28,$P1226)-INDEX(PARAMETROS_CULTURAS!$H$6:$H$28,$P1226))/MAX(INDEX(PARAMETROS_CULTURAS!$I$6:$I$28,$P1226),0.0001)))))</f>
        <v>1.1</v>
      </c>
      <c r="S1226" s="18" t="n">
        <f aca="false">IFERROR(INDEX(SEMANAS!$H$6:$H$71,MATCH($B1226,SEMANAS!$B$6:$B$71,0)),0)</f>
        <v>31.5</v>
      </c>
      <c r="T1226" s="18" t="n">
        <f aca="false">$R1226*$S1226</f>
        <v>34.65</v>
      </c>
      <c r="U1226" s="18" t="n">
        <f aca="false">IFERROR(INDEX(SEMANAS!$I$6:$I$71,MATCH($B1226,SEMANAS!$B$6:$B$71,0)),0)</f>
        <v>16.31</v>
      </c>
      <c r="V1226" s="18" t="n">
        <f aca="false">IFERROR(INDEX(SEMANAS!$J$6:$J$71,MATCH($B1226,SEMANAS!$B$6:$B$71,0)),0)</f>
        <v>13.048</v>
      </c>
      <c r="W1226" s="18" t="n">
        <f aca="false">MAX(0,$T1226-$V1226)</f>
        <v>21.602</v>
      </c>
      <c r="X1226" s="19" t="n">
        <f aca="false">IFERROR(INDEX(CADASTRO_PIVOS!$K$6:$K$41,MATCH($E1226,CADASTRO_PIVOS!$B$6:$B$41,0)),EFICIENCIA_PADRAO)</f>
        <v>0.85</v>
      </c>
      <c r="Y1226" s="18" t="n">
        <f aca="false">IF($X1226&lt;=0,0,$W1226/$X1226)</f>
        <v>25.4141176470588</v>
      </c>
      <c r="Z1226" s="16" t="n">
        <f aca="false">$Y1226*$H1226*MM_PARA_M3_HA</f>
        <v>37229.1409411765</v>
      </c>
      <c r="AA1226" s="18" t="n">
        <f aca="false">IFERROR(INDEX(CADASTRO_PIVOS!$I$6:$I$41,MATCH($E1226,CADASTRO_PIVOS!$B$6:$B$41,0)),0)</f>
        <v>906.842857142857</v>
      </c>
      <c r="AB1226" s="18" t="n">
        <f aca="false">IF($Z1226&lt;=0,0,$Z1226/$AA1226)</f>
        <v>41.0535746606335</v>
      </c>
      <c r="AC1226" s="16" t="n">
        <f aca="false">IFERROR(INDEX(SEMANAS!$K$6:$K$71,MATCH($B1226,SEMANAS!$B$6:$B$71,0)),0)</f>
        <v>147</v>
      </c>
      <c r="AD1226" s="19" t="n">
        <f aca="false">IF($AC1226&lt;=0,0,$AB1226/$AC1226)</f>
        <v>0.279276018099548</v>
      </c>
      <c r="AE1226" s="8" t="str">
        <f aca="false">IF($K1226="SEM CULTURA","SEM CULTURA",IF($AA1226&lt;=0,"DADO PENDENTE",IF($AD1226&gt;LIMITE_CRITICO,"INVIAVEL",IF($AD1226&gt;LIMITE_ATENCAO,"CRITICO",IF($AD1226&gt;LIMITE_CONFORTAVEL,"ATENCAO","OK")))))</f>
        <v>OK</v>
      </c>
      <c r="AF1226" s="8" t="str">
        <f aca="false">$B1226&amp;"|"&amp;TEXT($AD1226,"0.000000")</f>
        <v>33|0.279276</v>
      </c>
      <c r="AG1226" s="18" t="n">
        <f aca="false">IF($K1226="SEM CULTURA",0,$T1226*$H1226)</f>
        <v>5075.8785</v>
      </c>
      <c r="AH1226" s="18" t="n">
        <f aca="false">IF($K1226="SEM CULTURA",0,$V1226*$H1226)</f>
        <v>1911.40152</v>
      </c>
      <c r="AI1226" s="18" t="n">
        <f aca="false">IF($K1226="SEM CULTURA",0,$W1226*$H1226)</f>
        <v>3164.47698</v>
      </c>
      <c r="AJ1226" s="18" t="n">
        <f aca="false">IF($K1226="SEM CULTURA",0,$S1226*$H1226)</f>
        <v>4614.435</v>
      </c>
      <c r="AK1226" s="8" t="str">
        <f aca="false">$E1226&amp;"|"&amp;TEXT($AD1226,"0.000000")</f>
        <v>PV 118|0.279276</v>
      </c>
    </row>
    <row r="1227" customFormat="false" ht="15" hidden="false" customHeight="false" outlineLevel="0" collapsed="false">
      <c r="B1227" s="16" t="n">
        <v>34</v>
      </c>
      <c r="C1227" s="17" t="n">
        <f aca="false">DATA_INICIO_SAFRA+($B1227-1)*DIAS_POR_SEMANA</f>
        <v>46496</v>
      </c>
      <c r="D1227" s="17" t="n">
        <f aca="false">$C1227+DIAS_POR_SEMANA-1</f>
        <v>46502</v>
      </c>
      <c r="E1227" s="15" t="s">
        <v>277</v>
      </c>
      <c r="F1227" s="8" t="str">
        <f aca="false">IFERROR(INDEX(CADASTRO_PIVOS!$C$6:$C$41,MATCH($E1227,CADASTRO_PIVOS!$B$6:$B$41,0)),"?")</f>
        <v>RM06</v>
      </c>
      <c r="G1227" s="8" t="str">
        <f aca="false">IFERROR(INDEX(CADASTRO_PIVOS!$D$6:$D$41,MATCH($E1227,CADASTRO_PIVOS!$B$6:$B$41,0)),"?")</f>
        <v>TR06</v>
      </c>
      <c r="H1227" s="20" t="n">
        <f aca="false">IFERROR(INDEX(CADASTRO_PIVOS!$E$6:$E$41,MATCH($E1227,CADASTRO_PIVOS!$B$6:$B$41,0)),0)</f>
        <v>146.49</v>
      </c>
      <c r="I1227" s="16" t="n">
        <f aca="false">IFERROR(SUMIFS(ROTACAO_RDM!$B$6:$B$71,ROTACAO_RDM!$D$6:$D$71,$E1227,ROTACAO_RDM!$I$6:$I$71,"&lt;="&amp;$C1227+INT(DIAS_POR_SEMANA/2),ROTACAO_RDM!$J$6:$J$71,"&gt;="&amp;$C1227+INT(DIAS_POR_SEMANA/2)),0)</f>
        <v>30</v>
      </c>
      <c r="J1227" s="16" t="n">
        <f aca="false">IFERROR(MATCH($I1227,ROTACAO_RDM!$B$6:$B$71,0),0)</f>
        <v>30</v>
      </c>
      <c r="K1227" s="8" t="str">
        <f aca="false">IF($J1227=0,"SEM CULTURA",INDEX(ROTACAO_RDM!$F$6:$F$71,$J1227))</f>
        <v>TABACO</v>
      </c>
      <c r="L1227" s="8" t="str">
        <f aca="false">IF($J1227=0,"",INDEX(ROTACAO_RDM!$G$6:$G$71,$J1227))</f>
        <v>PVH-2343</v>
      </c>
      <c r="M1227" s="17" t="n">
        <f aca="false">IF($J1227=0,"",INDEX(ROTACAO_RDM!$I$6:$I$71,$J1227))</f>
        <v>46389</v>
      </c>
      <c r="N1227" s="16" t="n">
        <f aca="false">IF($J1227=0,0,MAX(0,$C1227+INT(DIAS_POR_SEMANA/2)-INDEX(ROTACAO_RDM!$I$6:$I$71,$J1227)))</f>
        <v>110</v>
      </c>
      <c r="O1227" s="19" t="n">
        <f aca="false">IF($J1227=0,0,MIN(1,$N1227/MAX(1,INDEX(ROTACAO_RDM!$K$6:$K$71,$J1227))))</f>
        <v>0.6875</v>
      </c>
      <c r="P1227" s="16" t="n">
        <f aca="false">IF($J1227=0,0,IFERROR(MATCH(INDEX(ROTACAO_RDM!$N$6:$N$71,$J1227),PARAMETROS_CULTURAS!$B$6:$B$28,0),0))</f>
        <v>9</v>
      </c>
      <c r="Q1227" s="8" t="str">
        <f aca="false">IF($P1227=0,"-",IF($O1227&lt;=INDEX(PARAMETROS_CULTURAS!$F$6:$F$28,$P1227),"INICIAL",IF($O1227&lt;=INDEX(PARAMETROS_CULTURAS!$F$6:$F$28,$P1227)+INDEX(PARAMETROS_CULTURAS!$G$6:$G$28,$P1227),"DESENVOLVIMENTO",IF($O1227&lt;=INDEX(PARAMETROS_CULTURAS!$F$6:$F$28,$P1227)+INDEX(PARAMETROS_CULTURAS!$G$6:$G$28,$P1227)+INDEX(PARAMETROS_CULTURAS!$H$6:$H$28,$P1227),"MEDIA","FINAL"))))</f>
        <v>MEDIA</v>
      </c>
      <c r="R1227" s="24" t="n">
        <f aca="false">IF($P1227=0,0,IF($O1227&lt;=INDEX(PARAMETROS_CULTURAS!$F$6:$F$28,$P1227),INDEX(PARAMETROS_CULTURAS!$K$6:$K$28,$P1227),IF($O1227&lt;=INDEX(PARAMETROS_CULTURAS!$F$6:$F$28,$P1227)+INDEX(PARAMETROS_CULTURAS!$G$6:$G$28,$P1227),INDEX(PARAMETROS_CULTURAS!$K$6:$K$28,$P1227)+(INDEX(PARAMETROS_CULTURAS!$L$6:$L$28,$P1227)-INDEX(PARAMETROS_CULTURAS!$K$6:$K$28,$P1227))*($O1227-INDEX(PARAMETROS_CULTURAS!$F$6:$F$28,$P1227))/MAX(INDEX(PARAMETROS_CULTURAS!$G$6:$G$28,$P1227),0.0001),IF($O1227&lt;=INDEX(PARAMETROS_CULTURAS!$F$6:$F$28,$P1227)+INDEX(PARAMETROS_CULTURAS!$G$6:$G$28,$P1227)+INDEX(PARAMETROS_CULTURAS!$H$6:$H$28,$P1227),INDEX(PARAMETROS_CULTURAS!$L$6:$L$28,$P1227),INDEX(PARAMETROS_CULTURAS!$L$6:$L$28,$P1227)+(INDEX(PARAMETROS_CULTURAS!$M$6:$M$28,$P1227)-INDEX(PARAMETROS_CULTURAS!$L$6:$L$28,$P1227))*($O1227-INDEX(PARAMETROS_CULTURAS!$F$6:$F$28,$P1227)-INDEX(PARAMETROS_CULTURAS!$G$6:$G$28,$P1227)-INDEX(PARAMETROS_CULTURAS!$H$6:$H$28,$P1227))/MAX(INDEX(PARAMETROS_CULTURAS!$I$6:$I$28,$P1227),0.0001)))))</f>
        <v>1.1</v>
      </c>
      <c r="S1227" s="18" t="n">
        <f aca="false">IFERROR(INDEX(SEMANAS!$H$6:$H$71,MATCH($B1227,SEMANAS!$B$6:$B$71,0)),0)</f>
        <v>31.5</v>
      </c>
      <c r="T1227" s="18" t="n">
        <f aca="false">$R1227*$S1227</f>
        <v>34.65</v>
      </c>
      <c r="U1227" s="18" t="n">
        <f aca="false">IFERROR(INDEX(SEMANAS!$I$6:$I$71,MATCH($B1227,SEMANAS!$B$6:$B$71,0)),0)</f>
        <v>16.31</v>
      </c>
      <c r="V1227" s="18" t="n">
        <f aca="false">IFERROR(INDEX(SEMANAS!$J$6:$J$71,MATCH($B1227,SEMANAS!$B$6:$B$71,0)),0)</f>
        <v>13.048</v>
      </c>
      <c r="W1227" s="18" t="n">
        <f aca="false">MAX(0,$T1227-$V1227)</f>
        <v>21.602</v>
      </c>
      <c r="X1227" s="19" t="n">
        <f aca="false">IFERROR(INDEX(CADASTRO_PIVOS!$K$6:$K$41,MATCH($E1227,CADASTRO_PIVOS!$B$6:$B$41,0)),EFICIENCIA_PADRAO)</f>
        <v>0.85</v>
      </c>
      <c r="Y1227" s="18" t="n">
        <f aca="false">IF($X1227&lt;=0,0,$W1227/$X1227)</f>
        <v>25.4141176470588</v>
      </c>
      <c r="Z1227" s="16" t="n">
        <f aca="false">$Y1227*$H1227*MM_PARA_M3_HA</f>
        <v>37229.1409411765</v>
      </c>
      <c r="AA1227" s="18" t="n">
        <f aca="false">IFERROR(INDEX(CADASTRO_PIVOS!$I$6:$I$41,MATCH($E1227,CADASTRO_PIVOS!$B$6:$B$41,0)),0)</f>
        <v>906.842857142857</v>
      </c>
      <c r="AB1227" s="18" t="n">
        <f aca="false">IF($Z1227&lt;=0,0,$Z1227/$AA1227)</f>
        <v>41.0535746606335</v>
      </c>
      <c r="AC1227" s="16" t="n">
        <f aca="false">IFERROR(INDEX(SEMANAS!$K$6:$K$71,MATCH($B1227,SEMANAS!$B$6:$B$71,0)),0)</f>
        <v>147</v>
      </c>
      <c r="AD1227" s="19" t="n">
        <f aca="false">IF($AC1227&lt;=0,0,$AB1227/$AC1227)</f>
        <v>0.279276018099548</v>
      </c>
      <c r="AE1227" s="8" t="str">
        <f aca="false">IF($K1227="SEM CULTURA","SEM CULTURA",IF($AA1227&lt;=0,"DADO PENDENTE",IF($AD1227&gt;LIMITE_CRITICO,"INVIAVEL",IF($AD1227&gt;LIMITE_ATENCAO,"CRITICO",IF($AD1227&gt;LIMITE_CONFORTAVEL,"ATENCAO","OK")))))</f>
        <v>OK</v>
      </c>
      <c r="AF1227" s="8" t="str">
        <f aca="false">$B1227&amp;"|"&amp;TEXT($AD1227,"0.000000")</f>
        <v>34|0.279276</v>
      </c>
      <c r="AG1227" s="18" t="n">
        <f aca="false">IF($K1227="SEM CULTURA",0,$T1227*$H1227)</f>
        <v>5075.8785</v>
      </c>
      <c r="AH1227" s="18" t="n">
        <f aca="false">IF($K1227="SEM CULTURA",0,$V1227*$H1227)</f>
        <v>1911.40152</v>
      </c>
      <c r="AI1227" s="18" t="n">
        <f aca="false">IF($K1227="SEM CULTURA",0,$W1227*$H1227)</f>
        <v>3164.47698</v>
      </c>
      <c r="AJ1227" s="18" t="n">
        <f aca="false">IF($K1227="SEM CULTURA",0,$S1227*$H1227)</f>
        <v>4614.435</v>
      </c>
      <c r="AK1227" s="8" t="str">
        <f aca="false">$E1227&amp;"|"&amp;TEXT($AD1227,"0.000000")</f>
        <v>PV 118|0.279276</v>
      </c>
    </row>
    <row r="1228" customFormat="false" ht="15" hidden="false" customHeight="false" outlineLevel="0" collapsed="false">
      <c r="B1228" s="16" t="n">
        <v>35</v>
      </c>
      <c r="C1228" s="17" t="n">
        <f aca="false">DATA_INICIO_SAFRA+($B1228-1)*DIAS_POR_SEMANA</f>
        <v>46503</v>
      </c>
      <c r="D1228" s="17" t="n">
        <f aca="false">$C1228+DIAS_POR_SEMANA-1</f>
        <v>46509</v>
      </c>
      <c r="E1228" s="15" t="s">
        <v>277</v>
      </c>
      <c r="F1228" s="8" t="str">
        <f aca="false">IFERROR(INDEX(CADASTRO_PIVOS!$C$6:$C$41,MATCH($E1228,CADASTRO_PIVOS!$B$6:$B$41,0)),"?")</f>
        <v>RM06</v>
      </c>
      <c r="G1228" s="8" t="str">
        <f aca="false">IFERROR(INDEX(CADASTRO_PIVOS!$D$6:$D$41,MATCH($E1228,CADASTRO_PIVOS!$B$6:$B$41,0)),"?")</f>
        <v>TR06</v>
      </c>
      <c r="H1228" s="20" t="n">
        <f aca="false">IFERROR(INDEX(CADASTRO_PIVOS!$E$6:$E$41,MATCH($E1228,CADASTRO_PIVOS!$B$6:$B$41,0)),0)</f>
        <v>146.49</v>
      </c>
      <c r="I1228" s="16" t="n">
        <f aca="false">IFERROR(SUMIFS(ROTACAO_RDM!$B$6:$B$71,ROTACAO_RDM!$D$6:$D$71,$E1228,ROTACAO_RDM!$I$6:$I$71,"&lt;="&amp;$C1228+INT(DIAS_POR_SEMANA/2),ROTACAO_RDM!$J$6:$J$71,"&gt;="&amp;$C1228+INT(DIAS_POR_SEMANA/2)),0)</f>
        <v>30</v>
      </c>
      <c r="J1228" s="16" t="n">
        <f aca="false">IFERROR(MATCH($I1228,ROTACAO_RDM!$B$6:$B$71,0),0)</f>
        <v>30</v>
      </c>
      <c r="K1228" s="8" t="str">
        <f aca="false">IF($J1228=0,"SEM CULTURA",INDEX(ROTACAO_RDM!$F$6:$F$71,$J1228))</f>
        <v>TABACO</v>
      </c>
      <c r="L1228" s="8" t="str">
        <f aca="false">IF($J1228=0,"",INDEX(ROTACAO_RDM!$G$6:$G$71,$J1228))</f>
        <v>PVH-2343</v>
      </c>
      <c r="M1228" s="17" t="n">
        <f aca="false">IF($J1228=0,"",INDEX(ROTACAO_RDM!$I$6:$I$71,$J1228))</f>
        <v>46389</v>
      </c>
      <c r="N1228" s="16" t="n">
        <f aca="false">IF($J1228=0,0,MAX(0,$C1228+INT(DIAS_POR_SEMANA/2)-INDEX(ROTACAO_RDM!$I$6:$I$71,$J1228)))</f>
        <v>117</v>
      </c>
      <c r="O1228" s="19" t="n">
        <f aca="false">IF($J1228=0,0,MIN(1,$N1228/MAX(1,INDEX(ROTACAO_RDM!$K$6:$K$71,$J1228))))</f>
        <v>0.73125</v>
      </c>
      <c r="P1228" s="16" t="n">
        <f aca="false">IF($J1228=0,0,IFERROR(MATCH(INDEX(ROTACAO_RDM!$N$6:$N$71,$J1228),PARAMETROS_CULTURAS!$B$6:$B$28,0),0))</f>
        <v>9</v>
      </c>
      <c r="Q1228" s="8" t="str">
        <f aca="false">IF($P1228=0,"-",IF($O1228&lt;=INDEX(PARAMETROS_CULTURAS!$F$6:$F$28,$P1228),"INICIAL",IF($O1228&lt;=INDEX(PARAMETROS_CULTURAS!$F$6:$F$28,$P1228)+INDEX(PARAMETROS_CULTURAS!$G$6:$G$28,$P1228),"DESENVOLVIMENTO",IF($O1228&lt;=INDEX(PARAMETROS_CULTURAS!$F$6:$F$28,$P1228)+INDEX(PARAMETROS_CULTURAS!$G$6:$G$28,$P1228)+INDEX(PARAMETROS_CULTURAS!$H$6:$H$28,$P1228),"MEDIA","FINAL"))))</f>
        <v>FINAL</v>
      </c>
      <c r="R1228" s="24" t="n">
        <f aca="false">IF($P1228=0,0,IF($O1228&lt;=INDEX(PARAMETROS_CULTURAS!$F$6:$F$28,$P1228),INDEX(PARAMETROS_CULTURAS!$K$6:$K$28,$P1228),IF($O1228&lt;=INDEX(PARAMETROS_CULTURAS!$F$6:$F$28,$P1228)+INDEX(PARAMETROS_CULTURAS!$G$6:$G$28,$P1228),INDEX(PARAMETROS_CULTURAS!$K$6:$K$28,$P1228)+(INDEX(PARAMETROS_CULTURAS!$L$6:$L$28,$P1228)-INDEX(PARAMETROS_CULTURAS!$K$6:$K$28,$P1228))*($O1228-INDEX(PARAMETROS_CULTURAS!$F$6:$F$28,$P1228))/MAX(INDEX(PARAMETROS_CULTURAS!$G$6:$G$28,$P1228),0.0001),IF($O1228&lt;=INDEX(PARAMETROS_CULTURAS!$F$6:$F$28,$P1228)+INDEX(PARAMETROS_CULTURAS!$G$6:$G$28,$P1228)+INDEX(PARAMETROS_CULTURAS!$H$6:$H$28,$P1228),INDEX(PARAMETROS_CULTURAS!$L$6:$L$28,$P1228),INDEX(PARAMETROS_CULTURAS!$L$6:$L$28,$P1228)+(INDEX(PARAMETROS_CULTURAS!$M$6:$M$28,$P1228)-INDEX(PARAMETROS_CULTURAS!$L$6:$L$28,$P1228))*($O1228-INDEX(PARAMETROS_CULTURAS!$F$6:$F$28,$P1228)-INDEX(PARAMETROS_CULTURAS!$G$6:$G$28,$P1228)-INDEX(PARAMETROS_CULTURAS!$H$6:$H$28,$P1228))/MAX(INDEX(PARAMETROS_CULTURAS!$I$6:$I$28,$P1228),0.0001)))))</f>
        <v>1.08794642857143</v>
      </c>
      <c r="S1228" s="18" t="n">
        <f aca="false">IFERROR(INDEX(SEMANAS!$H$6:$H$71,MATCH($B1228,SEMANAS!$B$6:$B$71,0)),0)</f>
        <v>30.9</v>
      </c>
      <c r="T1228" s="18" t="n">
        <f aca="false">$R1228*$S1228</f>
        <v>33.6175446428571</v>
      </c>
      <c r="U1228" s="18" t="n">
        <f aca="false">IFERROR(INDEX(SEMANAS!$I$6:$I$71,MATCH($B1228,SEMANAS!$B$6:$B$71,0)),0)</f>
        <v>12.61</v>
      </c>
      <c r="V1228" s="18" t="n">
        <f aca="false">IFERROR(INDEX(SEMANAS!$J$6:$J$71,MATCH($B1228,SEMANAS!$B$6:$B$71,0)),0)</f>
        <v>10.088</v>
      </c>
      <c r="W1228" s="18" t="n">
        <f aca="false">MAX(0,$T1228-$V1228)</f>
        <v>23.5295446428571</v>
      </c>
      <c r="X1228" s="19" t="n">
        <f aca="false">IFERROR(INDEX(CADASTRO_PIVOS!$K$6:$K$41,MATCH($E1228,CADASTRO_PIVOS!$B$6:$B$41,0)),EFICIENCIA_PADRAO)</f>
        <v>0.85</v>
      </c>
      <c r="Y1228" s="18" t="n">
        <f aca="false">IF($X1228&lt;=0,0,$W1228/$X1228)</f>
        <v>27.6818172268908</v>
      </c>
      <c r="Z1228" s="16" t="n">
        <f aca="false">$Y1228*$H1228*MM_PARA_M3_HA</f>
        <v>40551.0940556723</v>
      </c>
      <c r="AA1228" s="18" t="n">
        <f aca="false">IFERROR(INDEX(CADASTRO_PIVOS!$I$6:$I$41,MATCH($E1228,CADASTRO_PIVOS!$B$6:$B$41,0)),0)</f>
        <v>906.842857142857</v>
      </c>
      <c r="AB1228" s="18" t="n">
        <f aca="false">IF($Z1228&lt;=0,0,$Z1228/$AA1228)</f>
        <v>44.7167816742081</v>
      </c>
      <c r="AC1228" s="16" t="n">
        <f aca="false">IFERROR(INDEX(SEMANAS!$K$6:$K$71,MATCH($B1228,SEMANAS!$B$6:$B$71,0)),0)</f>
        <v>147</v>
      </c>
      <c r="AD1228" s="19" t="n">
        <f aca="false">IF($AC1228&lt;=0,0,$AB1228/$AC1228)</f>
        <v>0.304195793702096</v>
      </c>
      <c r="AE1228" s="8" t="str">
        <f aca="false">IF($K1228="SEM CULTURA","SEM CULTURA",IF($AA1228&lt;=0,"DADO PENDENTE",IF($AD1228&gt;LIMITE_CRITICO,"INVIAVEL",IF($AD1228&gt;LIMITE_ATENCAO,"CRITICO",IF($AD1228&gt;LIMITE_CONFORTAVEL,"ATENCAO","OK")))))</f>
        <v>OK</v>
      </c>
      <c r="AF1228" s="8" t="str">
        <f aca="false">$B1228&amp;"|"&amp;TEXT($AD1228,"0.000000")</f>
        <v>35|0.304196</v>
      </c>
      <c r="AG1228" s="18" t="n">
        <f aca="false">IF($K1228="SEM CULTURA",0,$T1228*$H1228)</f>
        <v>4924.63411473214</v>
      </c>
      <c r="AH1228" s="18" t="n">
        <f aca="false">IF($K1228="SEM CULTURA",0,$V1228*$H1228)</f>
        <v>1477.79112</v>
      </c>
      <c r="AI1228" s="18" t="n">
        <f aca="false">IF($K1228="SEM CULTURA",0,$W1228*$H1228)</f>
        <v>3446.84299473214</v>
      </c>
      <c r="AJ1228" s="18" t="n">
        <f aca="false">IF($K1228="SEM CULTURA",0,$S1228*$H1228)</f>
        <v>4526.541</v>
      </c>
      <c r="AK1228" s="8" t="str">
        <f aca="false">$E1228&amp;"|"&amp;TEXT($AD1228,"0.000000")</f>
        <v>PV 118|0.304196</v>
      </c>
    </row>
    <row r="1229" customFormat="false" ht="15" hidden="false" customHeight="false" outlineLevel="0" collapsed="false">
      <c r="B1229" s="16" t="n">
        <v>36</v>
      </c>
      <c r="C1229" s="17" t="n">
        <f aca="false">DATA_INICIO_SAFRA+($B1229-1)*DIAS_POR_SEMANA</f>
        <v>46510</v>
      </c>
      <c r="D1229" s="17" t="n">
        <f aca="false">$C1229+DIAS_POR_SEMANA-1</f>
        <v>46516</v>
      </c>
      <c r="E1229" s="15" t="s">
        <v>277</v>
      </c>
      <c r="F1229" s="8" t="str">
        <f aca="false">IFERROR(INDEX(CADASTRO_PIVOS!$C$6:$C$41,MATCH($E1229,CADASTRO_PIVOS!$B$6:$B$41,0)),"?")</f>
        <v>RM06</v>
      </c>
      <c r="G1229" s="8" t="str">
        <f aca="false">IFERROR(INDEX(CADASTRO_PIVOS!$D$6:$D$41,MATCH($E1229,CADASTRO_PIVOS!$B$6:$B$41,0)),"?")</f>
        <v>TR06</v>
      </c>
      <c r="H1229" s="20" t="n">
        <f aca="false">IFERROR(INDEX(CADASTRO_PIVOS!$E$6:$E$41,MATCH($E1229,CADASTRO_PIVOS!$B$6:$B$41,0)),0)</f>
        <v>146.49</v>
      </c>
      <c r="I1229" s="16" t="n">
        <f aca="false">IFERROR(SUMIFS(ROTACAO_RDM!$B$6:$B$71,ROTACAO_RDM!$D$6:$D$71,$E1229,ROTACAO_RDM!$I$6:$I$71,"&lt;="&amp;$C1229+INT(DIAS_POR_SEMANA/2),ROTACAO_RDM!$J$6:$J$71,"&gt;="&amp;$C1229+INT(DIAS_POR_SEMANA/2)),0)</f>
        <v>30</v>
      </c>
      <c r="J1229" s="16" t="n">
        <f aca="false">IFERROR(MATCH($I1229,ROTACAO_RDM!$B$6:$B$71,0),0)</f>
        <v>30</v>
      </c>
      <c r="K1229" s="8" t="str">
        <f aca="false">IF($J1229=0,"SEM CULTURA",INDEX(ROTACAO_RDM!$F$6:$F$71,$J1229))</f>
        <v>TABACO</v>
      </c>
      <c r="L1229" s="8" t="str">
        <f aca="false">IF($J1229=0,"",INDEX(ROTACAO_RDM!$G$6:$G$71,$J1229))</f>
        <v>PVH-2343</v>
      </c>
      <c r="M1229" s="17" t="n">
        <f aca="false">IF($J1229=0,"",INDEX(ROTACAO_RDM!$I$6:$I$71,$J1229))</f>
        <v>46389</v>
      </c>
      <c r="N1229" s="16" t="n">
        <f aca="false">IF($J1229=0,0,MAX(0,$C1229+INT(DIAS_POR_SEMANA/2)-INDEX(ROTACAO_RDM!$I$6:$I$71,$J1229)))</f>
        <v>124</v>
      </c>
      <c r="O1229" s="19" t="n">
        <f aca="false">IF($J1229=0,0,MIN(1,$N1229/MAX(1,INDEX(ROTACAO_RDM!$K$6:$K$71,$J1229))))</f>
        <v>0.775</v>
      </c>
      <c r="P1229" s="16" t="n">
        <f aca="false">IF($J1229=0,0,IFERROR(MATCH(INDEX(ROTACAO_RDM!$N$6:$N$71,$J1229),PARAMETROS_CULTURAS!$B$6:$B$28,0),0))</f>
        <v>9</v>
      </c>
      <c r="Q1229" s="8" t="str">
        <f aca="false">IF($P1229=0,"-",IF($O1229&lt;=INDEX(PARAMETROS_CULTURAS!$F$6:$F$28,$P1229),"INICIAL",IF($O1229&lt;=INDEX(PARAMETROS_CULTURAS!$F$6:$F$28,$P1229)+INDEX(PARAMETROS_CULTURAS!$G$6:$G$28,$P1229),"DESENVOLVIMENTO",IF($O1229&lt;=INDEX(PARAMETROS_CULTURAS!$F$6:$F$28,$P1229)+INDEX(PARAMETROS_CULTURAS!$G$6:$G$28,$P1229)+INDEX(PARAMETROS_CULTURAS!$H$6:$H$28,$P1229),"MEDIA","FINAL"))))</f>
        <v>FINAL</v>
      </c>
      <c r="R1229" s="24" t="n">
        <f aca="false">IF($P1229=0,0,IF($O1229&lt;=INDEX(PARAMETROS_CULTURAS!$F$6:$F$28,$P1229),INDEX(PARAMETROS_CULTURAS!$K$6:$K$28,$P1229),IF($O1229&lt;=INDEX(PARAMETROS_CULTURAS!$F$6:$F$28,$P1229)+INDEX(PARAMETROS_CULTURAS!$G$6:$G$28,$P1229),INDEX(PARAMETROS_CULTURAS!$K$6:$K$28,$P1229)+(INDEX(PARAMETROS_CULTURAS!$L$6:$L$28,$P1229)-INDEX(PARAMETROS_CULTURAS!$K$6:$K$28,$P1229))*($O1229-INDEX(PARAMETROS_CULTURAS!$F$6:$F$28,$P1229))/MAX(INDEX(PARAMETROS_CULTURAS!$G$6:$G$28,$P1229),0.0001),IF($O1229&lt;=INDEX(PARAMETROS_CULTURAS!$F$6:$F$28,$P1229)+INDEX(PARAMETROS_CULTURAS!$G$6:$G$28,$P1229)+INDEX(PARAMETROS_CULTURAS!$H$6:$H$28,$P1229),INDEX(PARAMETROS_CULTURAS!$L$6:$L$28,$P1229),INDEX(PARAMETROS_CULTURAS!$L$6:$L$28,$P1229)+(INDEX(PARAMETROS_CULTURAS!$M$6:$M$28,$P1229)-INDEX(PARAMETROS_CULTURAS!$L$6:$L$28,$P1229))*($O1229-INDEX(PARAMETROS_CULTURAS!$F$6:$F$28,$P1229)-INDEX(PARAMETROS_CULTURAS!$G$6:$G$28,$P1229)-INDEX(PARAMETROS_CULTURAS!$H$6:$H$28,$P1229))/MAX(INDEX(PARAMETROS_CULTURAS!$I$6:$I$28,$P1229),0.0001)))))</f>
        <v>1.04107142857143</v>
      </c>
      <c r="S1229" s="18" t="n">
        <f aca="false">IFERROR(INDEX(SEMANAS!$H$6:$H$71,MATCH($B1229,SEMANAS!$B$6:$B$71,0)),0)</f>
        <v>29.4</v>
      </c>
      <c r="T1229" s="18" t="n">
        <f aca="false">$R1229*$S1229</f>
        <v>30.6075</v>
      </c>
      <c r="U1229" s="18" t="n">
        <f aca="false">IFERROR(INDEX(SEMANAS!$I$6:$I$71,MATCH($B1229,SEMANAS!$B$6:$B$71,0)),0)</f>
        <v>3.36</v>
      </c>
      <c r="V1229" s="18" t="n">
        <f aca="false">IFERROR(INDEX(SEMANAS!$J$6:$J$71,MATCH($B1229,SEMANAS!$B$6:$B$71,0)),0)</f>
        <v>2.688</v>
      </c>
      <c r="W1229" s="18" t="n">
        <f aca="false">MAX(0,$T1229-$V1229)</f>
        <v>27.9195</v>
      </c>
      <c r="X1229" s="19" t="n">
        <f aca="false">IFERROR(INDEX(CADASTRO_PIVOS!$K$6:$K$41,MATCH($E1229,CADASTRO_PIVOS!$B$6:$B$41,0)),EFICIENCIA_PADRAO)</f>
        <v>0.85</v>
      </c>
      <c r="Y1229" s="18" t="n">
        <f aca="false">IF($X1229&lt;=0,0,$W1229/$X1229)</f>
        <v>32.8464705882353</v>
      </c>
      <c r="Z1229" s="16" t="n">
        <f aca="false">$Y1229*$H1229*MM_PARA_M3_HA</f>
        <v>48116.7947647059</v>
      </c>
      <c r="AA1229" s="18" t="n">
        <f aca="false">IFERROR(INDEX(CADASTRO_PIVOS!$I$6:$I$41,MATCH($E1229,CADASTRO_PIVOS!$B$6:$B$41,0)),0)</f>
        <v>906.842857142857</v>
      </c>
      <c r="AB1229" s="18" t="n">
        <f aca="false">IF($Z1229&lt;=0,0,$Z1229/$AA1229)</f>
        <v>53.0596832579186</v>
      </c>
      <c r="AC1229" s="16" t="n">
        <f aca="false">IFERROR(INDEX(SEMANAS!$K$6:$K$71,MATCH($B1229,SEMANAS!$B$6:$B$71,0)),0)</f>
        <v>147</v>
      </c>
      <c r="AD1229" s="19" t="n">
        <f aca="false">IF($AC1229&lt;=0,0,$AB1229/$AC1229)</f>
        <v>0.360950226244344</v>
      </c>
      <c r="AE1229" s="8" t="str">
        <f aca="false">IF($K1229="SEM CULTURA","SEM CULTURA",IF($AA1229&lt;=0,"DADO PENDENTE",IF($AD1229&gt;LIMITE_CRITICO,"INVIAVEL",IF($AD1229&gt;LIMITE_ATENCAO,"CRITICO",IF($AD1229&gt;LIMITE_CONFORTAVEL,"ATENCAO","OK")))))</f>
        <v>OK</v>
      </c>
      <c r="AF1229" s="8" t="str">
        <f aca="false">$B1229&amp;"|"&amp;TEXT($AD1229,"0.000000")</f>
        <v>36|0.360950</v>
      </c>
      <c r="AG1229" s="18" t="n">
        <f aca="false">IF($K1229="SEM CULTURA",0,$T1229*$H1229)</f>
        <v>4483.692675</v>
      </c>
      <c r="AH1229" s="18" t="n">
        <f aca="false">IF($K1229="SEM CULTURA",0,$V1229*$H1229)</f>
        <v>393.76512</v>
      </c>
      <c r="AI1229" s="18" t="n">
        <f aca="false">IF($K1229="SEM CULTURA",0,$W1229*$H1229)</f>
        <v>4089.927555</v>
      </c>
      <c r="AJ1229" s="18" t="n">
        <f aca="false">IF($K1229="SEM CULTURA",0,$S1229*$H1229)</f>
        <v>4306.806</v>
      </c>
      <c r="AK1229" s="8" t="str">
        <f aca="false">$E1229&amp;"|"&amp;TEXT($AD1229,"0.000000")</f>
        <v>PV 118|0.360950</v>
      </c>
    </row>
    <row r="1230" customFormat="false" ht="15" hidden="false" customHeight="false" outlineLevel="0" collapsed="false">
      <c r="B1230" s="16" t="n">
        <v>37</v>
      </c>
      <c r="C1230" s="17" t="n">
        <f aca="false">DATA_INICIO_SAFRA+($B1230-1)*DIAS_POR_SEMANA</f>
        <v>46517</v>
      </c>
      <c r="D1230" s="17" t="n">
        <f aca="false">$C1230+DIAS_POR_SEMANA-1</f>
        <v>46523</v>
      </c>
      <c r="E1230" s="15" t="s">
        <v>277</v>
      </c>
      <c r="F1230" s="8" t="str">
        <f aca="false">IFERROR(INDEX(CADASTRO_PIVOS!$C$6:$C$41,MATCH($E1230,CADASTRO_PIVOS!$B$6:$B$41,0)),"?")</f>
        <v>RM06</v>
      </c>
      <c r="G1230" s="8" t="str">
        <f aca="false">IFERROR(INDEX(CADASTRO_PIVOS!$D$6:$D$41,MATCH($E1230,CADASTRO_PIVOS!$B$6:$B$41,0)),"?")</f>
        <v>TR06</v>
      </c>
      <c r="H1230" s="20" t="n">
        <f aca="false">IFERROR(INDEX(CADASTRO_PIVOS!$E$6:$E$41,MATCH($E1230,CADASTRO_PIVOS!$B$6:$B$41,0)),0)</f>
        <v>146.49</v>
      </c>
      <c r="I1230" s="16" t="n">
        <f aca="false">IFERROR(SUMIFS(ROTACAO_RDM!$B$6:$B$71,ROTACAO_RDM!$D$6:$D$71,$E1230,ROTACAO_RDM!$I$6:$I$71,"&lt;="&amp;$C1230+INT(DIAS_POR_SEMANA/2),ROTACAO_RDM!$J$6:$J$71,"&gt;="&amp;$C1230+INT(DIAS_POR_SEMANA/2)),0)</f>
        <v>30</v>
      </c>
      <c r="J1230" s="16" t="n">
        <f aca="false">IFERROR(MATCH($I1230,ROTACAO_RDM!$B$6:$B$71,0),0)</f>
        <v>30</v>
      </c>
      <c r="K1230" s="8" t="str">
        <f aca="false">IF($J1230=0,"SEM CULTURA",INDEX(ROTACAO_RDM!$F$6:$F$71,$J1230))</f>
        <v>TABACO</v>
      </c>
      <c r="L1230" s="8" t="str">
        <f aca="false">IF($J1230=0,"",INDEX(ROTACAO_RDM!$G$6:$G$71,$J1230))</f>
        <v>PVH-2343</v>
      </c>
      <c r="M1230" s="17" t="n">
        <f aca="false">IF($J1230=0,"",INDEX(ROTACAO_RDM!$I$6:$I$71,$J1230))</f>
        <v>46389</v>
      </c>
      <c r="N1230" s="16" t="n">
        <f aca="false">IF($J1230=0,0,MAX(0,$C1230+INT(DIAS_POR_SEMANA/2)-INDEX(ROTACAO_RDM!$I$6:$I$71,$J1230)))</f>
        <v>131</v>
      </c>
      <c r="O1230" s="19" t="n">
        <f aca="false">IF($J1230=0,0,MIN(1,$N1230/MAX(1,INDEX(ROTACAO_RDM!$K$6:$K$71,$J1230))))</f>
        <v>0.81875</v>
      </c>
      <c r="P1230" s="16" t="n">
        <f aca="false">IF($J1230=0,0,IFERROR(MATCH(INDEX(ROTACAO_RDM!$N$6:$N$71,$J1230),PARAMETROS_CULTURAS!$B$6:$B$28,0),0))</f>
        <v>9</v>
      </c>
      <c r="Q1230" s="8" t="str">
        <f aca="false">IF($P1230=0,"-",IF($O1230&lt;=INDEX(PARAMETROS_CULTURAS!$F$6:$F$28,$P1230),"INICIAL",IF($O1230&lt;=INDEX(PARAMETROS_CULTURAS!$F$6:$F$28,$P1230)+INDEX(PARAMETROS_CULTURAS!$G$6:$G$28,$P1230),"DESENVOLVIMENTO",IF($O1230&lt;=INDEX(PARAMETROS_CULTURAS!$F$6:$F$28,$P1230)+INDEX(PARAMETROS_CULTURAS!$G$6:$G$28,$P1230)+INDEX(PARAMETROS_CULTURAS!$H$6:$H$28,$P1230),"MEDIA","FINAL"))))</f>
        <v>FINAL</v>
      </c>
      <c r="R1230" s="24" t="n">
        <f aca="false">IF($P1230=0,0,IF($O1230&lt;=INDEX(PARAMETROS_CULTURAS!$F$6:$F$28,$P1230),INDEX(PARAMETROS_CULTURAS!$K$6:$K$28,$P1230),IF($O1230&lt;=INDEX(PARAMETROS_CULTURAS!$F$6:$F$28,$P1230)+INDEX(PARAMETROS_CULTURAS!$G$6:$G$28,$P1230),INDEX(PARAMETROS_CULTURAS!$K$6:$K$28,$P1230)+(INDEX(PARAMETROS_CULTURAS!$L$6:$L$28,$P1230)-INDEX(PARAMETROS_CULTURAS!$K$6:$K$28,$P1230))*($O1230-INDEX(PARAMETROS_CULTURAS!$F$6:$F$28,$P1230))/MAX(INDEX(PARAMETROS_CULTURAS!$G$6:$G$28,$P1230),0.0001),IF($O1230&lt;=INDEX(PARAMETROS_CULTURAS!$F$6:$F$28,$P1230)+INDEX(PARAMETROS_CULTURAS!$G$6:$G$28,$P1230)+INDEX(PARAMETROS_CULTURAS!$H$6:$H$28,$P1230),INDEX(PARAMETROS_CULTURAS!$L$6:$L$28,$P1230),INDEX(PARAMETROS_CULTURAS!$L$6:$L$28,$P1230)+(INDEX(PARAMETROS_CULTURAS!$M$6:$M$28,$P1230)-INDEX(PARAMETROS_CULTURAS!$L$6:$L$28,$P1230))*($O1230-INDEX(PARAMETROS_CULTURAS!$F$6:$F$28,$P1230)-INDEX(PARAMETROS_CULTURAS!$G$6:$G$28,$P1230)-INDEX(PARAMETROS_CULTURAS!$H$6:$H$28,$P1230))/MAX(INDEX(PARAMETROS_CULTURAS!$I$6:$I$28,$P1230),0.0001)))))</f>
        <v>0.994196428571429</v>
      </c>
      <c r="S1230" s="18" t="n">
        <f aca="false">IFERROR(INDEX(SEMANAS!$H$6:$H$71,MATCH($B1230,SEMANAS!$B$6:$B$71,0)),0)</f>
        <v>29.4</v>
      </c>
      <c r="T1230" s="18" t="n">
        <f aca="false">$R1230*$S1230</f>
        <v>29.229375</v>
      </c>
      <c r="U1230" s="18" t="n">
        <f aca="false">IFERROR(INDEX(SEMANAS!$I$6:$I$71,MATCH($B1230,SEMANAS!$B$6:$B$71,0)),0)</f>
        <v>3.36</v>
      </c>
      <c r="V1230" s="18" t="n">
        <f aca="false">IFERROR(INDEX(SEMANAS!$J$6:$J$71,MATCH($B1230,SEMANAS!$B$6:$B$71,0)),0)</f>
        <v>2.688</v>
      </c>
      <c r="W1230" s="18" t="n">
        <f aca="false">MAX(0,$T1230-$V1230)</f>
        <v>26.541375</v>
      </c>
      <c r="X1230" s="19" t="n">
        <f aca="false">IFERROR(INDEX(CADASTRO_PIVOS!$K$6:$K$41,MATCH($E1230,CADASTRO_PIVOS!$B$6:$B$41,0)),EFICIENCIA_PADRAO)</f>
        <v>0.85</v>
      </c>
      <c r="Y1230" s="18" t="n">
        <f aca="false">IF($X1230&lt;=0,0,$W1230/$X1230)</f>
        <v>31.2251470588235</v>
      </c>
      <c r="Z1230" s="16" t="n">
        <f aca="false">$Y1230*$H1230*MM_PARA_M3_HA</f>
        <v>45741.7179264706</v>
      </c>
      <c r="AA1230" s="18" t="n">
        <f aca="false">IFERROR(INDEX(CADASTRO_PIVOS!$I$6:$I$41,MATCH($E1230,CADASTRO_PIVOS!$B$6:$B$41,0)),0)</f>
        <v>906.842857142857</v>
      </c>
      <c r="AB1230" s="18" t="n">
        <f aca="false">IF($Z1230&lt;=0,0,$Z1230/$AA1230)</f>
        <v>50.4406221719457</v>
      </c>
      <c r="AC1230" s="16" t="n">
        <f aca="false">IFERROR(INDEX(SEMANAS!$K$6:$K$71,MATCH($B1230,SEMANAS!$B$6:$B$71,0)),0)</f>
        <v>147</v>
      </c>
      <c r="AD1230" s="19" t="n">
        <f aca="false">IF($AC1230&lt;=0,0,$AB1230/$AC1230)</f>
        <v>0.343133484162896</v>
      </c>
      <c r="AE1230" s="8" t="str">
        <f aca="false">IF($K1230="SEM CULTURA","SEM CULTURA",IF($AA1230&lt;=0,"DADO PENDENTE",IF($AD1230&gt;LIMITE_CRITICO,"INVIAVEL",IF($AD1230&gt;LIMITE_ATENCAO,"CRITICO",IF($AD1230&gt;LIMITE_CONFORTAVEL,"ATENCAO","OK")))))</f>
        <v>OK</v>
      </c>
      <c r="AF1230" s="8" t="str">
        <f aca="false">$B1230&amp;"|"&amp;TEXT($AD1230,"0.000000")</f>
        <v>37|0.343133</v>
      </c>
      <c r="AG1230" s="18" t="n">
        <f aca="false">IF($K1230="SEM CULTURA",0,$T1230*$H1230)</f>
        <v>4281.81114375</v>
      </c>
      <c r="AH1230" s="18" t="n">
        <f aca="false">IF($K1230="SEM CULTURA",0,$V1230*$H1230)</f>
        <v>393.76512</v>
      </c>
      <c r="AI1230" s="18" t="n">
        <f aca="false">IF($K1230="SEM CULTURA",0,$W1230*$H1230)</f>
        <v>3888.04602375</v>
      </c>
      <c r="AJ1230" s="18" t="n">
        <f aca="false">IF($K1230="SEM CULTURA",0,$S1230*$H1230)</f>
        <v>4306.806</v>
      </c>
      <c r="AK1230" s="8" t="str">
        <f aca="false">$E1230&amp;"|"&amp;TEXT($AD1230,"0.000000")</f>
        <v>PV 118|0.343133</v>
      </c>
    </row>
    <row r="1231" customFormat="false" ht="15" hidden="false" customHeight="false" outlineLevel="0" collapsed="false">
      <c r="B1231" s="16" t="n">
        <v>38</v>
      </c>
      <c r="C1231" s="17" t="n">
        <f aca="false">DATA_INICIO_SAFRA+($B1231-1)*DIAS_POR_SEMANA</f>
        <v>46524</v>
      </c>
      <c r="D1231" s="17" t="n">
        <f aca="false">$C1231+DIAS_POR_SEMANA-1</f>
        <v>46530</v>
      </c>
      <c r="E1231" s="15" t="s">
        <v>277</v>
      </c>
      <c r="F1231" s="8" t="str">
        <f aca="false">IFERROR(INDEX(CADASTRO_PIVOS!$C$6:$C$41,MATCH($E1231,CADASTRO_PIVOS!$B$6:$B$41,0)),"?")</f>
        <v>RM06</v>
      </c>
      <c r="G1231" s="8" t="str">
        <f aca="false">IFERROR(INDEX(CADASTRO_PIVOS!$D$6:$D$41,MATCH($E1231,CADASTRO_PIVOS!$B$6:$B$41,0)),"?")</f>
        <v>TR06</v>
      </c>
      <c r="H1231" s="20" t="n">
        <f aca="false">IFERROR(INDEX(CADASTRO_PIVOS!$E$6:$E$41,MATCH($E1231,CADASTRO_PIVOS!$B$6:$B$41,0)),0)</f>
        <v>146.49</v>
      </c>
      <c r="I1231" s="16" t="n">
        <f aca="false">IFERROR(SUMIFS(ROTACAO_RDM!$B$6:$B$71,ROTACAO_RDM!$D$6:$D$71,$E1231,ROTACAO_RDM!$I$6:$I$71,"&lt;="&amp;$C1231+INT(DIAS_POR_SEMANA/2),ROTACAO_RDM!$J$6:$J$71,"&gt;="&amp;$C1231+INT(DIAS_POR_SEMANA/2)),0)</f>
        <v>30</v>
      </c>
      <c r="J1231" s="16" t="n">
        <f aca="false">IFERROR(MATCH($I1231,ROTACAO_RDM!$B$6:$B$71,0),0)</f>
        <v>30</v>
      </c>
      <c r="K1231" s="8" t="str">
        <f aca="false">IF($J1231=0,"SEM CULTURA",INDEX(ROTACAO_RDM!$F$6:$F$71,$J1231))</f>
        <v>TABACO</v>
      </c>
      <c r="L1231" s="8" t="str">
        <f aca="false">IF($J1231=0,"",INDEX(ROTACAO_RDM!$G$6:$G$71,$J1231))</f>
        <v>PVH-2343</v>
      </c>
      <c r="M1231" s="17" t="n">
        <f aca="false">IF($J1231=0,"",INDEX(ROTACAO_RDM!$I$6:$I$71,$J1231))</f>
        <v>46389</v>
      </c>
      <c r="N1231" s="16" t="n">
        <f aca="false">IF($J1231=0,0,MAX(0,$C1231+INT(DIAS_POR_SEMANA/2)-INDEX(ROTACAO_RDM!$I$6:$I$71,$J1231)))</f>
        <v>138</v>
      </c>
      <c r="O1231" s="19" t="n">
        <f aca="false">IF($J1231=0,0,MIN(1,$N1231/MAX(1,INDEX(ROTACAO_RDM!$K$6:$K$71,$J1231))))</f>
        <v>0.8625</v>
      </c>
      <c r="P1231" s="16" t="n">
        <f aca="false">IF($J1231=0,0,IFERROR(MATCH(INDEX(ROTACAO_RDM!$N$6:$N$71,$J1231),PARAMETROS_CULTURAS!$B$6:$B$28,0),0))</f>
        <v>9</v>
      </c>
      <c r="Q1231" s="8" t="str">
        <f aca="false">IF($P1231=0,"-",IF($O1231&lt;=INDEX(PARAMETROS_CULTURAS!$F$6:$F$28,$P1231),"INICIAL",IF($O1231&lt;=INDEX(PARAMETROS_CULTURAS!$F$6:$F$28,$P1231)+INDEX(PARAMETROS_CULTURAS!$G$6:$G$28,$P1231),"DESENVOLVIMENTO",IF($O1231&lt;=INDEX(PARAMETROS_CULTURAS!$F$6:$F$28,$P1231)+INDEX(PARAMETROS_CULTURAS!$G$6:$G$28,$P1231)+INDEX(PARAMETROS_CULTURAS!$H$6:$H$28,$P1231),"MEDIA","FINAL"))))</f>
        <v>FINAL</v>
      </c>
      <c r="R1231" s="24" t="n">
        <f aca="false">IF($P1231=0,0,IF($O1231&lt;=INDEX(PARAMETROS_CULTURAS!$F$6:$F$28,$P1231),INDEX(PARAMETROS_CULTURAS!$K$6:$K$28,$P1231),IF($O1231&lt;=INDEX(PARAMETROS_CULTURAS!$F$6:$F$28,$P1231)+INDEX(PARAMETROS_CULTURAS!$G$6:$G$28,$P1231),INDEX(PARAMETROS_CULTURAS!$K$6:$K$28,$P1231)+(INDEX(PARAMETROS_CULTURAS!$L$6:$L$28,$P1231)-INDEX(PARAMETROS_CULTURAS!$K$6:$K$28,$P1231))*($O1231-INDEX(PARAMETROS_CULTURAS!$F$6:$F$28,$P1231))/MAX(INDEX(PARAMETROS_CULTURAS!$G$6:$G$28,$P1231),0.0001),IF($O1231&lt;=INDEX(PARAMETROS_CULTURAS!$F$6:$F$28,$P1231)+INDEX(PARAMETROS_CULTURAS!$G$6:$G$28,$P1231)+INDEX(PARAMETROS_CULTURAS!$H$6:$H$28,$P1231),INDEX(PARAMETROS_CULTURAS!$L$6:$L$28,$P1231),INDEX(PARAMETROS_CULTURAS!$L$6:$L$28,$P1231)+(INDEX(PARAMETROS_CULTURAS!$M$6:$M$28,$P1231)-INDEX(PARAMETROS_CULTURAS!$L$6:$L$28,$P1231))*($O1231-INDEX(PARAMETROS_CULTURAS!$F$6:$F$28,$P1231)-INDEX(PARAMETROS_CULTURAS!$G$6:$G$28,$P1231)-INDEX(PARAMETROS_CULTURAS!$H$6:$H$28,$P1231))/MAX(INDEX(PARAMETROS_CULTURAS!$I$6:$I$28,$P1231),0.0001)))))</f>
        <v>0.947321428571429</v>
      </c>
      <c r="S1231" s="18" t="n">
        <f aca="false">IFERROR(INDEX(SEMANAS!$H$6:$H$71,MATCH($B1231,SEMANAS!$B$6:$B$71,0)),0)</f>
        <v>29.4</v>
      </c>
      <c r="T1231" s="18" t="n">
        <f aca="false">$R1231*$S1231</f>
        <v>27.85125</v>
      </c>
      <c r="U1231" s="18" t="n">
        <f aca="false">IFERROR(INDEX(SEMANAS!$I$6:$I$71,MATCH($B1231,SEMANAS!$B$6:$B$71,0)),0)</f>
        <v>3.36</v>
      </c>
      <c r="V1231" s="18" t="n">
        <f aca="false">IFERROR(INDEX(SEMANAS!$J$6:$J$71,MATCH($B1231,SEMANAS!$B$6:$B$71,0)),0)</f>
        <v>2.688</v>
      </c>
      <c r="W1231" s="18" t="n">
        <f aca="false">MAX(0,$T1231-$V1231)</f>
        <v>25.16325</v>
      </c>
      <c r="X1231" s="19" t="n">
        <f aca="false">IFERROR(INDEX(CADASTRO_PIVOS!$K$6:$K$41,MATCH($E1231,CADASTRO_PIVOS!$B$6:$B$41,0)),EFICIENCIA_PADRAO)</f>
        <v>0.85</v>
      </c>
      <c r="Y1231" s="18" t="n">
        <f aca="false">IF($X1231&lt;=0,0,$W1231/$X1231)</f>
        <v>29.6038235294118</v>
      </c>
      <c r="Z1231" s="16" t="n">
        <f aca="false">$Y1231*$H1231*MM_PARA_M3_HA</f>
        <v>43366.6410882353</v>
      </c>
      <c r="AA1231" s="18" t="n">
        <f aca="false">IFERROR(INDEX(CADASTRO_PIVOS!$I$6:$I$41,MATCH($E1231,CADASTRO_PIVOS!$B$6:$B$41,0)),0)</f>
        <v>906.842857142857</v>
      </c>
      <c r="AB1231" s="18" t="n">
        <f aca="false">IF($Z1231&lt;=0,0,$Z1231/$AA1231)</f>
        <v>47.8215610859729</v>
      </c>
      <c r="AC1231" s="16" t="n">
        <f aca="false">IFERROR(INDEX(SEMANAS!$K$6:$K$71,MATCH($B1231,SEMANAS!$B$6:$B$71,0)),0)</f>
        <v>147</v>
      </c>
      <c r="AD1231" s="19" t="n">
        <f aca="false">IF($AC1231&lt;=0,0,$AB1231/$AC1231)</f>
        <v>0.325316742081448</v>
      </c>
      <c r="AE1231" s="8" t="str">
        <f aca="false">IF($K1231="SEM CULTURA","SEM CULTURA",IF($AA1231&lt;=0,"DADO PENDENTE",IF($AD1231&gt;LIMITE_CRITICO,"INVIAVEL",IF($AD1231&gt;LIMITE_ATENCAO,"CRITICO",IF($AD1231&gt;LIMITE_CONFORTAVEL,"ATENCAO","OK")))))</f>
        <v>OK</v>
      </c>
      <c r="AF1231" s="8" t="str">
        <f aca="false">$B1231&amp;"|"&amp;TEXT($AD1231,"0.000000")</f>
        <v>38|0.325317</v>
      </c>
      <c r="AG1231" s="18" t="n">
        <f aca="false">IF($K1231="SEM CULTURA",0,$T1231*$H1231)</f>
        <v>4079.9296125</v>
      </c>
      <c r="AH1231" s="18" t="n">
        <f aca="false">IF($K1231="SEM CULTURA",0,$V1231*$H1231)</f>
        <v>393.76512</v>
      </c>
      <c r="AI1231" s="18" t="n">
        <f aca="false">IF($K1231="SEM CULTURA",0,$W1231*$H1231)</f>
        <v>3686.1644925</v>
      </c>
      <c r="AJ1231" s="18" t="n">
        <f aca="false">IF($K1231="SEM CULTURA",0,$S1231*$H1231)</f>
        <v>4306.806</v>
      </c>
      <c r="AK1231" s="8" t="str">
        <f aca="false">$E1231&amp;"|"&amp;TEXT($AD1231,"0.000000")</f>
        <v>PV 118|0.325317</v>
      </c>
    </row>
    <row r="1232" customFormat="false" ht="15" hidden="false" customHeight="false" outlineLevel="0" collapsed="false">
      <c r="B1232" s="16" t="n">
        <v>39</v>
      </c>
      <c r="C1232" s="17" t="n">
        <f aca="false">DATA_INICIO_SAFRA+($B1232-1)*DIAS_POR_SEMANA</f>
        <v>46531</v>
      </c>
      <c r="D1232" s="17" t="n">
        <f aca="false">$C1232+DIAS_POR_SEMANA-1</f>
        <v>46537</v>
      </c>
      <c r="E1232" s="15" t="s">
        <v>277</v>
      </c>
      <c r="F1232" s="8" t="str">
        <f aca="false">IFERROR(INDEX(CADASTRO_PIVOS!$C$6:$C$41,MATCH($E1232,CADASTRO_PIVOS!$B$6:$B$41,0)),"?")</f>
        <v>RM06</v>
      </c>
      <c r="G1232" s="8" t="str">
        <f aca="false">IFERROR(INDEX(CADASTRO_PIVOS!$D$6:$D$41,MATCH($E1232,CADASTRO_PIVOS!$B$6:$B$41,0)),"?")</f>
        <v>TR06</v>
      </c>
      <c r="H1232" s="20" t="n">
        <f aca="false">IFERROR(INDEX(CADASTRO_PIVOS!$E$6:$E$41,MATCH($E1232,CADASTRO_PIVOS!$B$6:$B$41,0)),0)</f>
        <v>146.49</v>
      </c>
      <c r="I1232" s="16" t="n">
        <f aca="false">IFERROR(SUMIFS(ROTACAO_RDM!$B$6:$B$71,ROTACAO_RDM!$D$6:$D$71,$E1232,ROTACAO_RDM!$I$6:$I$71,"&lt;="&amp;$C1232+INT(DIAS_POR_SEMANA/2),ROTACAO_RDM!$J$6:$J$71,"&gt;="&amp;$C1232+INT(DIAS_POR_SEMANA/2)),0)</f>
        <v>30</v>
      </c>
      <c r="J1232" s="16" t="n">
        <f aca="false">IFERROR(MATCH($I1232,ROTACAO_RDM!$B$6:$B$71,0),0)</f>
        <v>30</v>
      </c>
      <c r="K1232" s="8" t="str">
        <f aca="false">IF($J1232=0,"SEM CULTURA",INDEX(ROTACAO_RDM!$F$6:$F$71,$J1232))</f>
        <v>TABACO</v>
      </c>
      <c r="L1232" s="8" t="str">
        <f aca="false">IF($J1232=0,"",INDEX(ROTACAO_RDM!$G$6:$G$71,$J1232))</f>
        <v>PVH-2343</v>
      </c>
      <c r="M1232" s="17" t="n">
        <f aca="false">IF($J1232=0,"",INDEX(ROTACAO_RDM!$I$6:$I$71,$J1232))</f>
        <v>46389</v>
      </c>
      <c r="N1232" s="16" t="n">
        <f aca="false">IF($J1232=0,0,MAX(0,$C1232+INT(DIAS_POR_SEMANA/2)-INDEX(ROTACAO_RDM!$I$6:$I$71,$J1232)))</f>
        <v>145</v>
      </c>
      <c r="O1232" s="19" t="n">
        <f aca="false">IF($J1232=0,0,MIN(1,$N1232/MAX(1,INDEX(ROTACAO_RDM!$K$6:$K$71,$J1232))))</f>
        <v>0.90625</v>
      </c>
      <c r="P1232" s="16" t="n">
        <f aca="false">IF($J1232=0,0,IFERROR(MATCH(INDEX(ROTACAO_RDM!$N$6:$N$71,$J1232),PARAMETROS_CULTURAS!$B$6:$B$28,0),0))</f>
        <v>9</v>
      </c>
      <c r="Q1232" s="8" t="str">
        <f aca="false">IF($P1232=0,"-",IF($O1232&lt;=INDEX(PARAMETROS_CULTURAS!$F$6:$F$28,$P1232),"INICIAL",IF($O1232&lt;=INDEX(PARAMETROS_CULTURAS!$F$6:$F$28,$P1232)+INDEX(PARAMETROS_CULTURAS!$G$6:$G$28,$P1232),"DESENVOLVIMENTO",IF($O1232&lt;=INDEX(PARAMETROS_CULTURAS!$F$6:$F$28,$P1232)+INDEX(PARAMETROS_CULTURAS!$G$6:$G$28,$P1232)+INDEX(PARAMETROS_CULTURAS!$H$6:$H$28,$P1232),"MEDIA","FINAL"))))</f>
        <v>FINAL</v>
      </c>
      <c r="R1232" s="24" t="n">
        <f aca="false">IF($P1232=0,0,IF($O1232&lt;=INDEX(PARAMETROS_CULTURAS!$F$6:$F$28,$P1232),INDEX(PARAMETROS_CULTURAS!$K$6:$K$28,$P1232),IF($O1232&lt;=INDEX(PARAMETROS_CULTURAS!$F$6:$F$28,$P1232)+INDEX(PARAMETROS_CULTURAS!$G$6:$G$28,$P1232),INDEX(PARAMETROS_CULTURAS!$K$6:$K$28,$P1232)+(INDEX(PARAMETROS_CULTURAS!$L$6:$L$28,$P1232)-INDEX(PARAMETROS_CULTURAS!$K$6:$K$28,$P1232))*($O1232-INDEX(PARAMETROS_CULTURAS!$F$6:$F$28,$P1232))/MAX(INDEX(PARAMETROS_CULTURAS!$G$6:$G$28,$P1232),0.0001),IF($O1232&lt;=INDEX(PARAMETROS_CULTURAS!$F$6:$F$28,$P1232)+INDEX(PARAMETROS_CULTURAS!$G$6:$G$28,$P1232)+INDEX(PARAMETROS_CULTURAS!$H$6:$H$28,$P1232),INDEX(PARAMETROS_CULTURAS!$L$6:$L$28,$P1232),INDEX(PARAMETROS_CULTURAS!$L$6:$L$28,$P1232)+(INDEX(PARAMETROS_CULTURAS!$M$6:$M$28,$P1232)-INDEX(PARAMETROS_CULTURAS!$L$6:$L$28,$P1232))*($O1232-INDEX(PARAMETROS_CULTURAS!$F$6:$F$28,$P1232)-INDEX(PARAMETROS_CULTURAS!$G$6:$G$28,$P1232)-INDEX(PARAMETROS_CULTURAS!$H$6:$H$28,$P1232))/MAX(INDEX(PARAMETROS_CULTURAS!$I$6:$I$28,$P1232),0.0001)))))</f>
        <v>0.900446428571429</v>
      </c>
      <c r="S1232" s="18" t="n">
        <f aca="false">IFERROR(INDEX(SEMANAS!$H$6:$H$71,MATCH($B1232,SEMANAS!$B$6:$B$71,0)),0)</f>
        <v>29.4</v>
      </c>
      <c r="T1232" s="18" t="n">
        <f aca="false">$R1232*$S1232</f>
        <v>26.473125</v>
      </c>
      <c r="U1232" s="18" t="n">
        <f aca="false">IFERROR(INDEX(SEMANAS!$I$6:$I$71,MATCH($B1232,SEMANAS!$B$6:$B$71,0)),0)</f>
        <v>3.36</v>
      </c>
      <c r="V1232" s="18" t="n">
        <f aca="false">IFERROR(INDEX(SEMANAS!$J$6:$J$71,MATCH($B1232,SEMANAS!$B$6:$B$71,0)),0)</f>
        <v>2.688</v>
      </c>
      <c r="W1232" s="18" t="n">
        <f aca="false">MAX(0,$T1232-$V1232)</f>
        <v>23.785125</v>
      </c>
      <c r="X1232" s="19" t="n">
        <f aca="false">IFERROR(INDEX(CADASTRO_PIVOS!$K$6:$K$41,MATCH($E1232,CADASTRO_PIVOS!$B$6:$B$41,0)),EFICIENCIA_PADRAO)</f>
        <v>0.85</v>
      </c>
      <c r="Y1232" s="18" t="n">
        <f aca="false">IF($X1232&lt;=0,0,$W1232/$X1232)</f>
        <v>27.9825</v>
      </c>
      <c r="Z1232" s="16" t="n">
        <f aca="false">$Y1232*$H1232*MM_PARA_M3_HA</f>
        <v>40991.56425</v>
      </c>
      <c r="AA1232" s="18" t="n">
        <f aca="false">IFERROR(INDEX(CADASTRO_PIVOS!$I$6:$I$41,MATCH($E1232,CADASTRO_PIVOS!$B$6:$B$41,0)),0)</f>
        <v>906.842857142857</v>
      </c>
      <c r="AB1232" s="18" t="n">
        <f aca="false">IF($Z1232&lt;=0,0,$Z1232/$AA1232)</f>
        <v>45.2025</v>
      </c>
      <c r="AC1232" s="16" t="n">
        <f aca="false">IFERROR(INDEX(SEMANAS!$K$6:$K$71,MATCH($B1232,SEMANAS!$B$6:$B$71,0)),0)</f>
        <v>147</v>
      </c>
      <c r="AD1232" s="19" t="n">
        <f aca="false">IF($AC1232&lt;=0,0,$AB1232/$AC1232)</f>
        <v>0.3075</v>
      </c>
      <c r="AE1232" s="8" t="str">
        <f aca="false">IF($K1232="SEM CULTURA","SEM CULTURA",IF($AA1232&lt;=0,"DADO PENDENTE",IF($AD1232&gt;LIMITE_CRITICO,"INVIAVEL",IF($AD1232&gt;LIMITE_ATENCAO,"CRITICO",IF($AD1232&gt;LIMITE_CONFORTAVEL,"ATENCAO","OK")))))</f>
        <v>OK</v>
      </c>
      <c r="AF1232" s="8" t="str">
        <f aca="false">$B1232&amp;"|"&amp;TEXT($AD1232,"0.000000")</f>
        <v>39|0.307500</v>
      </c>
      <c r="AG1232" s="18" t="n">
        <f aca="false">IF($K1232="SEM CULTURA",0,$T1232*$H1232)</f>
        <v>3878.04808125</v>
      </c>
      <c r="AH1232" s="18" t="n">
        <f aca="false">IF($K1232="SEM CULTURA",0,$V1232*$H1232)</f>
        <v>393.76512</v>
      </c>
      <c r="AI1232" s="18" t="n">
        <f aca="false">IF($K1232="SEM CULTURA",0,$W1232*$H1232)</f>
        <v>3484.28296125</v>
      </c>
      <c r="AJ1232" s="18" t="n">
        <f aca="false">IF($K1232="SEM CULTURA",0,$S1232*$H1232)</f>
        <v>4306.806</v>
      </c>
      <c r="AK1232" s="8" t="str">
        <f aca="false">$E1232&amp;"|"&amp;TEXT($AD1232,"0.000000")</f>
        <v>PV 118|0.307500</v>
      </c>
    </row>
    <row r="1233" customFormat="false" ht="15" hidden="false" customHeight="false" outlineLevel="0" collapsed="false">
      <c r="B1233" s="16" t="n">
        <v>40</v>
      </c>
      <c r="C1233" s="17" t="n">
        <f aca="false">DATA_INICIO_SAFRA+($B1233-1)*DIAS_POR_SEMANA</f>
        <v>46538</v>
      </c>
      <c r="D1233" s="17" t="n">
        <f aca="false">$C1233+DIAS_POR_SEMANA-1</f>
        <v>46544</v>
      </c>
      <c r="E1233" s="15" t="s">
        <v>277</v>
      </c>
      <c r="F1233" s="8" t="str">
        <f aca="false">IFERROR(INDEX(CADASTRO_PIVOS!$C$6:$C$41,MATCH($E1233,CADASTRO_PIVOS!$B$6:$B$41,0)),"?")</f>
        <v>RM06</v>
      </c>
      <c r="G1233" s="8" t="str">
        <f aca="false">IFERROR(INDEX(CADASTRO_PIVOS!$D$6:$D$41,MATCH($E1233,CADASTRO_PIVOS!$B$6:$B$41,0)),"?")</f>
        <v>TR06</v>
      </c>
      <c r="H1233" s="20" t="n">
        <f aca="false">IFERROR(INDEX(CADASTRO_PIVOS!$E$6:$E$41,MATCH($E1233,CADASTRO_PIVOS!$B$6:$B$41,0)),0)</f>
        <v>146.49</v>
      </c>
      <c r="I1233" s="16" t="n">
        <f aca="false">IFERROR(SUMIFS(ROTACAO_RDM!$B$6:$B$71,ROTACAO_RDM!$D$6:$D$71,$E1233,ROTACAO_RDM!$I$6:$I$71,"&lt;="&amp;$C1233+INT(DIAS_POR_SEMANA/2),ROTACAO_RDM!$J$6:$J$71,"&gt;="&amp;$C1233+INT(DIAS_POR_SEMANA/2)),0)</f>
        <v>30</v>
      </c>
      <c r="J1233" s="16" t="n">
        <f aca="false">IFERROR(MATCH($I1233,ROTACAO_RDM!$B$6:$B$71,0),0)</f>
        <v>30</v>
      </c>
      <c r="K1233" s="8" t="str">
        <f aca="false">IF($J1233=0,"SEM CULTURA",INDEX(ROTACAO_RDM!$F$6:$F$71,$J1233))</f>
        <v>TABACO</v>
      </c>
      <c r="L1233" s="8" t="str">
        <f aca="false">IF($J1233=0,"",INDEX(ROTACAO_RDM!$G$6:$G$71,$J1233))</f>
        <v>PVH-2343</v>
      </c>
      <c r="M1233" s="17" t="n">
        <f aca="false">IF($J1233=0,"",INDEX(ROTACAO_RDM!$I$6:$I$71,$J1233))</f>
        <v>46389</v>
      </c>
      <c r="N1233" s="16" t="n">
        <f aca="false">IF($J1233=0,0,MAX(0,$C1233+INT(DIAS_POR_SEMANA/2)-INDEX(ROTACAO_RDM!$I$6:$I$71,$J1233)))</f>
        <v>152</v>
      </c>
      <c r="O1233" s="19" t="n">
        <f aca="false">IF($J1233=0,0,MIN(1,$N1233/MAX(1,INDEX(ROTACAO_RDM!$K$6:$K$71,$J1233))))</f>
        <v>0.95</v>
      </c>
      <c r="P1233" s="16" t="n">
        <f aca="false">IF($J1233=0,0,IFERROR(MATCH(INDEX(ROTACAO_RDM!$N$6:$N$71,$J1233),PARAMETROS_CULTURAS!$B$6:$B$28,0),0))</f>
        <v>9</v>
      </c>
      <c r="Q1233" s="8" t="str">
        <f aca="false">IF($P1233=0,"-",IF($O1233&lt;=INDEX(PARAMETROS_CULTURAS!$F$6:$F$28,$P1233),"INICIAL",IF($O1233&lt;=INDEX(PARAMETROS_CULTURAS!$F$6:$F$28,$P1233)+INDEX(PARAMETROS_CULTURAS!$G$6:$G$28,$P1233),"DESENVOLVIMENTO",IF($O1233&lt;=INDEX(PARAMETROS_CULTURAS!$F$6:$F$28,$P1233)+INDEX(PARAMETROS_CULTURAS!$G$6:$G$28,$P1233)+INDEX(PARAMETROS_CULTURAS!$H$6:$H$28,$P1233),"MEDIA","FINAL"))))</f>
        <v>FINAL</v>
      </c>
      <c r="R1233" s="24" t="n">
        <f aca="false">IF($P1233=0,0,IF($O1233&lt;=INDEX(PARAMETROS_CULTURAS!$F$6:$F$28,$P1233),INDEX(PARAMETROS_CULTURAS!$K$6:$K$28,$P1233),IF($O1233&lt;=INDEX(PARAMETROS_CULTURAS!$F$6:$F$28,$P1233)+INDEX(PARAMETROS_CULTURAS!$G$6:$G$28,$P1233),INDEX(PARAMETROS_CULTURAS!$K$6:$K$28,$P1233)+(INDEX(PARAMETROS_CULTURAS!$L$6:$L$28,$P1233)-INDEX(PARAMETROS_CULTURAS!$K$6:$K$28,$P1233))*($O1233-INDEX(PARAMETROS_CULTURAS!$F$6:$F$28,$P1233))/MAX(INDEX(PARAMETROS_CULTURAS!$G$6:$G$28,$P1233),0.0001),IF($O1233&lt;=INDEX(PARAMETROS_CULTURAS!$F$6:$F$28,$P1233)+INDEX(PARAMETROS_CULTURAS!$G$6:$G$28,$P1233)+INDEX(PARAMETROS_CULTURAS!$H$6:$H$28,$P1233),INDEX(PARAMETROS_CULTURAS!$L$6:$L$28,$P1233),INDEX(PARAMETROS_CULTURAS!$L$6:$L$28,$P1233)+(INDEX(PARAMETROS_CULTURAS!$M$6:$M$28,$P1233)-INDEX(PARAMETROS_CULTURAS!$L$6:$L$28,$P1233))*($O1233-INDEX(PARAMETROS_CULTURAS!$F$6:$F$28,$P1233)-INDEX(PARAMETROS_CULTURAS!$G$6:$G$28,$P1233)-INDEX(PARAMETROS_CULTURAS!$H$6:$H$28,$P1233))/MAX(INDEX(PARAMETROS_CULTURAS!$I$6:$I$28,$P1233),0.0001)))))</f>
        <v>0.853571428571429</v>
      </c>
      <c r="S1233" s="18" t="n">
        <f aca="false">IFERROR(INDEX(SEMANAS!$H$6:$H$71,MATCH($B1233,SEMANAS!$B$6:$B$71,0)),0)</f>
        <v>28.2</v>
      </c>
      <c r="T1233" s="18" t="n">
        <f aca="false">$R1233*$S1233</f>
        <v>24.0707142857143</v>
      </c>
      <c r="U1233" s="18" t="n">
        <f aca="false">IFERROR(INDEX(SEMANAS!$I$6:$I$71,MATCH($B1233,SEMANAS!$B$6:$B$71,0)),0)</f>
        <v>1.5</v>
      </c>
      <c r="V1233" s="18" t="n">
        <f aca="false">IFERROR(INDEX(SEMANAS!$J$6:$J$71,MATCH($B1233,SEMANAS!$B$6:$B$71,0)),0)</f>
        <v>1.2</v>
      </c>
      <c r="W1233" s="18" t="n">
        <f aca="false">MAX(0,$T1233-$V1233)</f>
        <v>22.8707142857143</v>
      </c>
      <c r="X1233" s="19" t="n">
        <f aca="false">IFERROR(INDEX(CADASTRO_PIVOS!$K$6:$K$41,MATCH($E1233,CADASTRO_PIVOS!$B$6:$B$41,0)),EFICIENCIA_PADRAO)</f>
        <v>0.85</v>
      </c>
      <c r="Y1233" s="18" t="n">
        <f aca="false">IF($X1233&lt;=0,0,$W1233/$X1233)</f>
        <v>26.9067226890756</v>
      </c>
      <c r="Z1233" s="16" t="n">
        <f aca="false">$Y1233*$H1233*MM_PARA_M3_HA</f>
        <v>39415.6580672269</v>
      </c>
      <c r="AA1233" s="18" t="n">
        <f aca="false">IFERROR(INDEX(CADASTRO_PIVOS!$I$6:$I$41,MATCH($E1233,CADASTRO_PIVOS!$B$6:$B$41,0)),0)</f>
        <v>906.842857142857</v>
      </c>
      <c r="AB1233" s="18" t="n">
        <f aca="false">IF($Z1233&lt;=0,0,$Z1233/$AA1233)</f>
        <v>43.4647058823529</v>
      </c>
      <c r="AC1233" s="16" t="n">
        <f aca="false">IFERROR(INDEX(SEMANAS!$K$6:$K$71,MATCH($B1233,SEMANAS!$B$6:$B$71,0)),0)</f>
        <v>147</v>
      </c>
      <c r="AD1233" s="19" t="n">
        <f aca="false">IF($AC1233&lt;=0,0,$AB1233/$AC1233)</f>
        <v>0.295678271308523</v>
      </c>
      <c r="AE1233" s="8" t="str">
        <f aca="false">IF($K1233="SEM CULTURA","SEM CULTURA",IF($AA1233&lt;=0,"DADO PENDENTE",IF($AD1233&gt;LIMITE_CRITICO,"INVIAVEL",IF($AD1233&gt;LIMITE_ATENCAO,"CRITICO",IF($AD1233&gt;LIMITE_CONFORTAVEL,"ATENCAO","OK")))))</f>
        <v>OK</v>
      </c>
      <c r="AF1233" s="8" t="str">
        <f aca="false">$B1233&amp;"|"&amp;TEXT($AD1233,"0.000000")</f>
        <v>40|0.295678</v>
      </c>
      <c r="AG1233" s="18" t="n">
        <f aca="false">IF($K1233="SEM CULTURA",0,$T1233*$H1233)</f>
        <v>3526.11893571429</v>
      </c>
      <c r="AH1233" s="18" t="n">
        <f aca="false">IF($K1233="SEM CULTURA",0,$V1233*$H1233)</f>
        <v>175.788</v>
      </c>
      <c r="AI1233" s="18" t="n">
        <f aca="false">IF($K1233="SEM CULTURA",0,$W1233*$H1233)</f>
        <v>3350.33093571429</v>
      </c>
      <c r="AJ1233" s="18" t="n">
        <f aca="false">IF($K1233="SEM CULTURA",0,$S1233*$H1233)</f>
        <v>4131.018</v>
      </c>
      <c r="AK1233" s="8" t="str">
        <f aca="false">$E1233&amp;"|"&amp;TEXT($AD1233,"0.000000")</f>
        <v>PV 118|0.295678</v>
      </c>
    </row>
    <row r="1234" customFormat="false" ht="15" hidden="false" customHeight="false" outlineLevel="0" collapsed="false">
      <c r="B1234" s="16" t="n">
        <v>41</v>
      </c>
      <c r="C1234" s="17" t="n">
        <f aca="false">DATA_INICIO_SAFRA+($B1234-1)*DIAS_POR_SEMANA</f>
        <v>46545</v>
      </c>
      <c r="D1234" s="17" t="n">
        <f aca="false">$C1234+DIAS_POR_SEMANA-1</f>
        <v>46551</v>
      </c>
      <c r="E1234" s="15" t="s">
        <v>277</v>
      </c>
      <c r="F1234" s="8" t="str">
        <f aca="false">IFERROR(INDEX(CADASTRO_PIVOS!$C$6:$C$41,MATCH($E1234,CADASTRO_PIVOS!$B$6:$B$41,0)),"?")</f>
        <v>RM06</v>
      </c>
      <c r="G1234" s="8" t="str">
        <f aca="false">IFERROR(INDEX(CADASTRO_PIVOS!$D$6:$D$41,MATCH($E1234,CADASTRO_PIVOS!$B$6:$B$41,0)),"?")</f>
        <v>TR06</v>
      </c>
      <c r="H1234" s="20" t="n">
        <f aca="false">IFERROR(INDEX(CADASTRO_PIVOS!$E$6:$E$41,MATCH($E1234,CADASTRO_PIVOS!$B$6:$B$41,0)),0)</f>
        <v>146.49</v>
      </c>
      <c r="I1234" s="16" t="n">
        <f aca="false">IFERROR(SUMIFS(ROTACAO_RDM!$B$6:$B$71,ROTACAO_RDM!$D$6:$D$71,$E1234,ROTACAO_RDM!$I$6:$I$71,"&lt;="&amp;$C1234+INT(DIAS_POR_SEMANA/2),ROTACAO_RDM!$J$6:$J$71,"&gt;="&amp;$C1234+INT(DIAS_POR_SEMANA/2)),0)</f>
        <v>30</v>
      </c>
      <c r="J1234" s="16" t="n">
        <f aca="false">IFERROR(MATCH($I1234,ROTACAO_RDM!$B$6:$B$71,0),0)</f>
        <v>30</v>
      </c>
      <c r="K1234" s="8" t="str">
        <f aca="false">IF($J1234=0,"SEM CULTURA",INDEX(ROTACAO_RDM!$F$6:$F$71,$J1234))</f>
        <v>TABACO</v>
      </c>
      <c r="L1234" s="8" t="str">
        <f aca="false">IF($J1234=0,"",INDEX(ROTACAO_RDM!$G$6:$G$71,$J1234))</f>
        <v>PVH-2343</v>
      </c>
      <c r="M1234" s="17" t="n">
        <f aca="false">IF($J1234=0,"",INDEX(ROTACAO_RDM!$I$6:$I$71,$J1234))</f>
        <v>46389</v>
      </c>
      <c r="N1234" s="16" t="n">
        <f aca="false">IF($J1234=0,0,MAX(0,$C1234+INT(DIAS_POR_SEMANA/2)-INDEX(ROTACAO_RDM!$I$6:$I$71,$J1234)))</f>
        <v>159</v>
      </c>
      <c r="O1234" s="19" t="n">
        <f aca="false">IF($J1234=0,0,MIN(1,$N1234/MAX(1,INDEX(ROTACAO_RDM!$K$6:$K$71,$J1234))))</f>
        <v>0.99375</v>
      </c>
      <c r="P1234" s="16" t="n">
        <f aca="false">IF($J1234=0,0,IFERROR(MATCH(INDEX(ROTACAO_RDM!$N$6:$N$71,$J1234),PARAMETROS_CULTURAS!$B$6:$B$28,0),0))</f>
        <v>9</v>
      </c>
      <c r="Q1234" s="8" t="str">
        <f aca="false">IF($P1234=0,"-",IF($O1234&lt;=INDEX(PARAMETROS_CULTURAS!$F$6:$F$28,$P1234),"INICIAL",IF($O1234&lt;=INDEX(PARAMETROS_CULTURAS!$F$6:$F$28,$P1234)+INDEX(PARAMETROS_CULTURAS!$G$6:$G$28,$P1234),"DESENVOLVIMENTO",IF($O1234&lt;=INDEX(PARAMETROS_CULTURAS!$F$6:$F$28,$P1234)+INDEX(PARAMETROS_CULTURAS!$G$6:$G$28,$P1234)+INDEX(PARAMETROS_CULTURAS!$H$6:$H$28,$P1234),"MEDIA","FINAL"))))</f>
        <v>FINAL</v>
      </c>
      <c r="R1234" s="24" t="n">
        <f aca="false">IF($P1234=0,0,IF($O1234&lt;=INDEX(PARAMETROS_CULTURAS!$F$6:$F$28,$P1234),INDEX(PARAMETROS_CULTURAS!$K$6:$K$28,$P1234),IF($O1234&lt;=INDEX(PARAMETROS_CULTURAS!$F$6:$F$28,$P1234)+INDEX(PARAMETROS_CULTURAS!$G$6:$G$28,$P1234),INDEX(PARAMETROS_CULTURAS!$K$6:$K$28,$P1234)+(INDEX(PARAMETROS_CULTURAS!$L$6:$L$28,$P1234)-INDEX(PARAMETROS_CULTURAS!$K$6:$K$28,$P1234))*($O1234-INDEX(PARAMETROS_CULTURAS!$F$6:$F$28,$P1234))/MAX(INDEX(PARAMETROS_CULTURAS!$G$6:$G$28,$P1234),0.0001),IF($O1234&lt;=INDEX(PARAMETROS_CULTURAS!$F$6:$F$28,$P1234)+INDEX(PARAMETROS_CULTURAS!$G$6:$G$28,$P1234)+INDEX(PARAMETROS_CULTURAS!$H$6:$H$28,$P1234),INDEX(PARAMETROS_CULTURAS!$L$6:$L$28,$P1234),INDEX(PARAMETROS_CULTURAS!$L$6:$L$28,$P1234)+(INDEX(PARAMETROS_CULTURAS!$M$6:$M$28,$P1234)-INDEX(PARAMETROS_CULTURAS!$L$6:$L$28,$P1234))*($O1234-INDEX(PARAMETROS_CULTURAS!$F$6:$F$28,$P1234)-INDEX(PARAMETROS_CULTURAS!$G$6:$G$28,$P1234)-INDEX(PARAMETROS_CULTURAS!$H$6:$H$28,$P1234))/MAX(INDEX(PARAMETROS_CULTURAS!$I$6:$I$28,$P1234),0.0001)))))</f>
        <v>0.806696428571429</v>
      </c>
      <c r="S1234" s="18" t="n">
        <f aca="false">IFERROR(INDEX(SEMANAS!$H$6:$H$71,MATCH($B1234,SEMANAS!$B$6:$B$71,0)),0)</f>
        <v>28</v>
      </c>
      <c r="T1234" s="18" t="n">
        <f aca="false">$R1234*$S1234</f>
        <v>22.5875</v>
      </c>
      <c r="U1234" s="18" t="n">
        <f aca="false">IFERROR(INDEX(SEMANAS!$I$6:$I$71,MATCH($B1234,SEMANAS!$B$6:$B$71,0)),0)</f>
        <v>1.19</v>
      </c>
      <c r="V1234" s="18" t="n">
        <f aca="false">IFERROR(INDEX(SEMANAS!$J$6:$J$71,MATCH($B1234,SEMANAS!$B$6:$B$71,0)),0)</f>
        <v>0.952</v>
      </c>
      <c r="W1234" s="18" t="n">
        <f aca="false">MAX(0,$T1234-$V1234)</f>
        <v>21.6355</v>
      </c>
      <c r="X1234" s="19" t="n">
        <f aca="false">IFERROR(INDEX(CADASTRO_PIVOS!$K$6:$K$41,MATCH($E1234,CADASTRO_PIVOS!$B$6:$B$41,0)),EFICIENCIA_PADRAO)</f>
        <v>0.85</v>
      </c>
      <c r="Y1234" s="18" t="n">
        <f aca="false">IF($X1234&lt;=0,0,$W1234/$X1234)</f>
        <v>25.4535294117647</v>
      </c>
      <c r="Z1234" s="16" t="n">
        <f aca="false">$Y1234*$H1234*MM_PARA_M3_HA</f>
        <v>37286.8752352941</v>
      </c>
      <c r="AA1234" s="18" t="n">
        <f aca="false">IFERROR(INDEX(CADASTRO_PIVOS!$I$6:$I$41,MATCH($E1234,CADASTRO_PIVOS!$B$6:$B$41,0)),0)</f>
        <v>906.842857142857</v>
      </c>
      <c r="AB1234" s="18" t="n">
        <f aca="false">IF($Z1234&lt;=0,0,$Z1234/$AA1234)</f>
        <v>41.1172398190045</v>
      </c>
      <c r="AC1234" s="16" t="n">
        <f aca="false">IFERROR(INDEX(SEMANAS!$K$6:$K$71,MATCH($B1234,SEMANAS!$B$6:$B$71,0)),0)</f>
        <v>147</v>
      </c>
      <c r="AD1234" s="19" t="n">
        <f aca="false">IF($AC1234&lt;=0,0,$AB1234/$AC1234)</f>
        <v>0.279709114414997</v>
      </c>
      <c r="AE1234" s="8" t="str">
        <f aca="false">IF($K1234="SEM CULTURA","SEM CULTURA",IF($AA1234&lt;=0,"DADO PENDENTE",IF($AD1234&gt;LIMITE_CRITICO,"INVIAVEL",IF($AD1234&gt;LIMITE_ATENCAO,"CRITICO",IF($AD1234&gt;LIMITE_CONFORTAVEL,"ATENCAO","OK")))))</f>
        <v>OK</v>
      </c>
      <c r="AF1234" s="8" t="str">
        <f aca="false">$B1234&amp;"|"&amp;TEXT($AD1234,"0.000000")</f>
        <v>41|0.279709</v>
      </c>
      <c r="AG1234" s="18" t="n">
        <f aca="false">IF($K1234="SEM CULTURA",0,$T1234*$H1234)</f>
        <v>3308.842875</v>
      </c>
      <c r="AH1234" s="18" t="n">
        <f aca="false">IF($K1234="SEM CULTURA",0,$V1234*$H1234)</f>
        <v>139.45848</v>
      </c>
      <c r="AI1234" s="18" t="n">
        <f aca="false">IF($K1234="SEM CULTURA",0,$W1234*$H1234)</f>
        <v>3169.384395</v>
      </c>
      <c r="AJ1234" s="18" t="n">
        <f aca="false">IF($K1234="SEM CULTURA",0,$S1234*$H1234)</f>
        <v>4101.72</v>
      </c>
      <c r="AK1234" s="8" t="str">
        <f aca="false">$E1234&amp;"|"&amp;TEXT($AD1234,"0.000000")</f>
        <v>PV 118|0.279709</v>
      </c>
    </row>
    <row r="1235" customFormat="false" ht="15" hidden="false" customHeight="false" outlineLevel="0" collapsed="false">
      <c r="B1235" s="16" t="n">
        <v>42</v>
      </c>
      <c r="C1235" s="17" t="n">
        <f aca="false">DATA_INICIO_SAFRA+($B1235-1)*DIAS_POR_SEMANA</f>
        <v>46552</v>
      </c>
      <c r="D1235" s="17" t="n">
        <f aca="false">$C1235+DIAS_POR_SEMANA-1</f>
        <v>46558</v>
      </c>
      <c r="E1235" s="15" t="s">
        <v>277</v>
      </c>
      <c r="F1235" s="8" t="str">
        <f aca="false">IFERROR(INDEX(CADASTRO_PIVOS!$C$6:$C$41,MATCH($E1235,CADASTRO_PIVOS!$B$6:$B$41,0)),"?")</f>
        <v>RM06</v>
      </c>
      <c r="G1235" s="8" t="str">
        <f aca="false">IFERROR(INDEX(CADASTRO_PIVOS!$D$6:$D$41,MATCH($E1235,CADASTRO_PIVOS!$B$6:$B$41,0)),"?")</f>
        <v>TR06</v>
      </c>
      <c r="H1235" s="20" t="n">
        <f aca="false">IFERROR(INDEX(CADASTRO_PIVOS!$E$6:$E$41,MATCH($E1235,CADASTRO_PIVOS!$B$6:$B$41,0)),0)</f>
        <v>146.49</v>
      </c>
      <c r="I1235" s="16" t="n">
        <f aca="false">IFERROR(SUMIFS(ROTACAO_RDM!$B$6:$B$71,ROTACAO_RDM!$D$6:$D$71,$E1235,ROTACAO_RDM!$I$6:$I$71,"&lt;="&amp;$C1235+INT(DIAS_POR_SEMANA/2),ROTACAO_RDM!$J$6:$J$71,"&gt;="&amp;$C1235+INT(DIAS_POR_SEMANA/2)),0)</f>
        <v>0</v>
      </c>
      <c r="J1235" s="16" t="n">
        <f aca="false">IFERROR(MATCH($I1235,ROTACAO_RDM!$B$6:$B$71,0),0)</f>
        <v>0</v>
      </c>
      <c r="K1235" s="8" t="str">
        <f aca="false">IF($J1235=0,"SEM CULTURA",INDEX(ROTACAO_RDM!$F$6:$F$71,$J1235))</f>
        <v>SEM CULTURA</v>
      </c>
      <c r="L1235" s="8" t="str">
        <f aca="false">IF($J1235=0,"",INDEX(ROTACAO_RDM!$G$6:$G$71,$J1235))</f>
        <v/>
      </c>
      <c r="M1235" s="17" t="str">
        <f aca="false">IF($J1235=0,"",INDEX(ROTACAO_RDM!$I$6:$I$71,$J1235))</f>
        <v/>
      </c>
      <c r="N1235" s="16" t="n">
        <f aca="false">IF($J1235=0,0,MAX(0,$C1235+INT(DIAS_POR_SEMANA/2)-INDEX(ROTACAO_RDM!$I$6:$I$71,$J1235)))</f>
        <v>0</v>
      </c>
      <c r="O1235" s="19" t="n">
        <f aca="false">IF($J1235=0,0,MIN(1,$N1235/MAX(1,INDEX(ROTACAO_RDM!$K$6:$K$71,$J1235))))</f>
        <v>0</v>
      </c>
      <c r="P1235" s="16" t="n">
        <f aca="false">IF($J1235=0,0,IFERROR(MATCH(INDEX(ROTACAO_RDM!$N$6:$N$71,$J1235),PARAMETROS_CULTURAS!$B$6:$B$28,0),0))</f>
        <v>0</v>
      </c>
      <c r="Q1235" s="8" t="str">
        <f aca="false">IF($P1235=0,"-",IF($O1235&lt;=INDEX(PARAMETROS_CULTURAS!$F$6:$F$28,$P1235),"INICIAL",IF($O1235&lt;=INDEX(PARAMETROS_CULTURAS!$F$6:$F$28,$P1235)+INDEX(PARAMETROS_CULTURAS!$G$6:$G$28,$P1235),"DESENVOLVIMENTO",IF($O1235&lt;=INDEX(PARAMETROS_CULTURAS!$F$6:$F$28,$P1235)+INDEX(PARAMETROS_CULTURAS!$G$6:$G$28,$P1235)+INDEX(PARAMETROS_CULTURAS!$H$6:$H$28,$P1235),"MEDIA","FINAL"))))</f>
        <v>-</v>
      </c>
      <c r="R1235" s="24" t="n">
        <f aca="false">IF($P1235=0,0,IF($O1235&lt;=INDEX(PARAMETROS_CULTURAS!$F$6:$F$28,$P1235),INDEX(PARAMETROS_CULTURAS!$K$6:$K$28,$P1235),IF($O1235&lt;=INDEX(PARAMETROS_CULTURAS!$F$6:$F$28,$P1235)+INDEX(PARAMETROS_CULTURAS!$G$6:$G$28,$P1235),INDEX(PARAMETROS_CULTURAS!$K$6:$K$28,$P1235)+(INDEX(PARAMETROS_CULTURAS!$L$6:$L$28,$P1235)-INDEX(PARAMETROS_CULTURAS!$K$6:$K$28,$P1235))*($O1235-INDEX(PARAMETROS_CULTURAS!$F$6:$F$28,$P1235))/MAX(INDEX(PARAMETROS_CULTURAS!$G$6:$G$28,$P1235),0.0001),IF($O1235&lt;=INDEX(PARAMETROS_CULTURAS!$F$6:$F$28,$P1235)+INDEX(PARAMETROS_CULTURAS!$G$6:$G$28,$P1235)+INDEX(PARAMETROS_CULTURAS!$H$6:$H$28,$P1235),INDEX(PARAMETROS_CULTURAS!$L$6:$L$28,$P1235),INDEX(PARAMETROS_CULTURAS!$L$6:$L$28,$P1235)+(INDEX(PARAMETROS_CULTURAS!$M$6:$M$28,$P1235)-INDEX(PARAMETROS_CULTURAS!$L$6:$L$28,$P1235))*($O1235-INDEX(PARAMETROS_CULTURAS!$F$6:$F$28,$P1235)-INDEX(PARAMETROS_CULTURAS!$G$6:$G$28,$P1235)-INDEX(PARAMETROS_CULTURAS!$H$6:$H$28,$P1235))/MAX(INDEX(PARAMETROS_CULTURAS!$I$6:$I$28,$P1235),0.0001)))))</f>
        <v>0</v>
      </c>
      <c r="S1235" s="18" t="n">
        <f aca="false">IFERROR(INDEX(SEMANAS!$H$6:$H$71,MATCH($B1235,SEMANAS!$B$6:$B$71,0)),0)</f>
        <v>28</v>
      </c>
      <c r="T1235" s="18" t="n">
        <f aca="false">$R1235*$S1235</f>
        <v>0</v>
      </c>
      <c r="U1235" s="18" t="n">
        <f aca="false">IFERROR(INDEX(SEMANAS!$I$6:$I$71,MATCH($B1235,SEMANAS!$B$6:$B$71,0)),0)</f>
        <v>1.19</v>
      </c>
      <c r="V1235" s="18" t="n">
        <f aca="false">IFERROR(INDEX(SEMANAS!$J$6:$J$71,MATCH($B1235,SEMANAS!$B$6:$B$71,0)),0)</f>
        <v>0.952</v>
      </c>
      <c r="W1235" s="18" t="n">
        <f aca="false">MAX(0,$T1235-$V1235)</f>
        <v>0</v>
      </c>
      <c r="X1235" s="19" t="n">
        <f aca="false">IFERROR(INDEX(CADASTRO_PIVOS!$K$6:$K$41,MATCH($E1235,CADASTRO_PIVOS!$B$6:$B$41,0)),EFICIENCIA_PADRAO)</f>
        <v>0.85</v>
      </c>
      <c r="Y1235" s="18" t="n">
        <f aca="false">IF($X1235&lt;=0,0,$W1235/$X1235)</f>
        <v>0</v>
      </c>
      <c r="Z1235" s="16" t="n">
        <f aca="false">$Y1235*$H1235*MM_PARA_M3_HA</f>
        <v>0</v>
      </c>
      <c r="AA1235" s="18" t="n">
        <f aca="false">IFERROR(INDEX(CADASTRO_PIVOS!$I$6:$I$41,MATCH($E1235,CADASTRO_PIVOS!$B$6:$B$41,0)),0)</f>
        <v>906.842857142857</v>
      </c>
      <c r="AB1235" s="18" t="n">
        <f aca="false">IF($Z1235&lt;=0,0,$Z1235/$AA1235)</f>
        <v>0</v>
      </c>
      <c r="AC1235" s="16" t="n">
        <f aca="false">IFERROR(INDEX(SEMANAS!$K$6:$K$71,MATCH($B1235,SEMANAS!$B$6:$B$71,0)),0)</f>
        <v>147</v>
      </c>
      <c r="AD1235" s="19" t="n">
        <f aca="false">IF($AC1235&lt;=0,0,$AB1235/$AC1235)</f>
        <v>0</v>
      </c>
      <c r="AE1235" s="8" t="str">
        <f aca="false">IF($K1235="SEM CULTURA","SEM CULTURA",IF($AA1235&lt;=0,"DADO PENDENTE",IF($AD1235&gt;LIMITE_CRITICO,"INVIAVEL",IF($AD1235&gt;LIMITE_ATENCAO,"CRITICO",IF($AD1235&gt;LIMITE_CONFORTAVEL,"ATENCAO","OK")))))</f>
        <v>SEM CULTURA</v>
      </c>
      <c r="AF1235" s="8" t="str">
        <f aca="false">$B1235&amp;"|"&amp;TEXT($AD1235,"0.000000")</f>
        <v>42|0.000000</v>
      </c>
      <c r="AG1235" s="18" t="n">
        <f aca="false">IF($K1235="SEM CULTURA",0,$T1235*$H1235)</f>
        <v>0</v>
      </c>
      <c r="AH1235" s="18" t="n">
        <f aca="false">IF($K1235="SEM CULTURA",0,$V1235*$H1235)</f>
        <v>0</v>
      </c>
      <c r="AI1235" s="18" t="n">
        <f aca="false">IF($K1235="SEM CULTURA",0,$W1235*$H1235)</f>
        <v>0</v>
      </c>
      <c r="AJ1235" s="18" t="n">
        <f aca="false">IF($K1235="SEM CULTURA",0,$S1235*$H1235)</f>
        <v>0</v>
      </c>
      <c r="AK1235" s="8" t="str">
        <f aca="false">$E1235&amp;"|"&amp;TEXT($AD1235,"0.000000")</f>
        <v>PV 118|0.000000</v>
      </c>
    </row>
    <row r="1236" customFormat="false" ht="15" hidden="false" customHeight="false" outlineLevel="0" collapsed="false">
      <c r="B1236" s="16" t="n">
        <v>43</v>
      </c>
      <c r="C1236" s="17" t="n">
        <f aca="false">DATA_INICIO_SAFRA+($B1236-1)*DIAS_POR_SEMANA</f>
        <v>46559</v>
      </c>
      <c r="D1236" s="17" t="n">
        <f aca="false">$C1236+DIAS_POR_SEMANA-1</f>
        <v>46565</v>
      </c>
      <c r="E1236" s="15" t="s">
        <v>277</v>
      </c>
      <c r="F1236" s="8" t="str">
        <f aca="false">IFERROR(INDEX(CADASTRO_PIVOS!$C$6:$C$41,MATCH($E1236,CADASTRO_PIVOS!$B$6:$B$41,0)),"?")</f>
        <v>RM06</v>
      </c>
      <c r="G1236" s="8" t="str">
        <f aca="false">IFERROR(INDEX(CADASTRO_PIVOS!$D$6:$D$41,MATCH($E1236,CADASTRO_PIVOS!$B$6:$B$41,0)),"?")</f>
        <v>TR06</v>
      </c>
      <c r="H1236" s="20" t="n">
        <f aca="false">IFERROR(INDEX(CADASTRO_PIVOS!$E$6:$E$41,MATCH($E1236,CADASTRO_PIVOS!$B$6:$B$41,0)),0)</f>
        <v>146.49</v>
      </c>
      <c r="I1236" s="16" t="n">
        <f aca="false">IFERROR(SUMIFS(ROTACAO_RDM!$B$6:$B$71,ROTACAO_RDM!$D$6:$D$71,$E1236,ROTACAO_RDM!$I$6:$I$71,"&lt;="&amp;$C1236+INT(DIAS_POR_SEMANA/2),ROTACAO_RDM!$J$6:$J$71,"&gt;="&amp;$C1236+INT(DIAS_POR_SEMANA/2)),0)</f>
        <v>31</v>
      </c>
      <c r="J1236" s="16" t="n">
        <f aca="false">IFERROR(MATCH($I1236,ROTACAO_RDM!$B$6:$B$71,0),0)</f>
        <v>31</v>
      </c>
      <c r="K1236" s="8" t="str">
        <f aca="false">IF($J1236=0,"SEM CULTURA",INDEX(ROTACAO_RDM!$F$6:$F$71,$J1236))</f>
        <v>MILHO_GRAO</v>
      </c>
      <c r="L1236" s="8" t="n">
        <f aca="false">IF($J1236=0,"",INDEX(ROTACAO_RDM!$G$6:$G$71,$J1236))</f>
        <v>0</v>
      </c>
      <c r="M1236" s="17" t="n">
        <f aca="false">IF($J1236=0,"",INDEX(ROTACAO_RDM!$I$6:$I$71,$J1236))</f>
        <v>46559</v>
      </c>
      <c r="N1236" s="16" t="n">
        <f aca="false">IF($J1236=0,0,MAX(0,$C1236+INT(DIAS_POR_SEMANA/2)-INDEX(ROTACAO_RDM!$I$6:$I$71,$J1236)))</f>
        <v>3</v>
      </c>
      <c r="O1236" s="19" t="n">
        <f aca="false">IF($J1236=0,0,MIN(1,$N1236/MAX(1,INDEX(ROTACAO_RDM!$K$6:$K$71,$J1236))))</f>
        <v>0.01875</v>
      </c>
      <c r="P1236" s="16" t="n">
        <f aca="false">IF($J1236=0,0,IFERROR(MATCH(INDEX(ROTACAO_RDM!$N$6:$N$71,$J1236),PARAMETROS_CULTURAS!$B$6:$B$28,0),0))</f>
        <v>8</v>
      </c>
      <c r="Q1236" s="8" t="str">
        <f aca="false">IF($P1236=0,"-",IF($O1236&lt;=INDEX(PARAMETROS_CULTURAS!$F$6:$F$28,$P1236),"INICIAL",IF($O1236&lt;=INDEX(PARAMETROS_CULTURAS!$F$6:$F$28,$P1236)+INDEX(PARAMETROS_CULTURAS!$G$6:$G$28,$P1236),"DESENVOLVIMENTO",IF($O1236&lt;=INDEX(PARAMETROS_CULTURAS!$F$6:$F$28,$P1236)+INDEX(PARAMETROS_CULTURAS!$G$6:$G$28,$P1236)+INDEX(PARAMETROS_CULTURAS!$H$6:$H$28,$P1236),"MEDIA","FINAL"))))</f>
        <v>INICIAL</v>
      </c>
      <c r="R1236" s="24" t="n">
        <f aca="false">IF($P1236=0,0,IF($O1236&lt;=INDEX(PARAMETROS_CULTURAS!$F$6:$F$28,$P1236),INDEX(PARAMETROS_CULTURAS!$K$6:$K$28,$P1236),IF($O1236&lt;=INDEX(PARAMETROS_CULTURAS!$F$6:$F$28,$P1236)+INDEX(PARAMETROS_CULTURAS!$G$6:$G$28,$P1236),INDEX(PARAMETROS_CULTURAS!$K$6:$K$28,$P1236)+(INDEX(PARAMETROS_CULTURAS!$L$6:$L$28,$P1236)-INDEX(PARAMETROS_CULTURAS!$K$6:$K$28,$P1236))*($O1236-INDEX(PARAMETROS_CULTURAS!$F$6:$F$28,$P1236))/MAX(INDEX(PARAMETROS_CULTURAS!$G$6:$G$28,$P1236),0.0001),IF($O1236&lt;=INDEX(PARAMETROS_CULTURAS!$F$6:$F$28,$P1236)+INDEX(PARAMETROS_CULTURAS!$G$6:$G$28,$P1236)+INDEX(PARAMETROS_CULTURAS!$H$6:$H$28,$P1236),INDEX(PARAMETROS_CULTURAS!$L$6:$L$28,$P1236),INDEX(PARAMETROS_CULTURAS!$L$6:$L$28,$P1236)+(INDEX(PARAMETROS_CULTURAS!$M$6:$M$28,$P1236)-INDEX(PARAMETROS_CULTURAS!$L$6:$L$28,$P1236))*($O1236-INDEX(PARAMETROS_CULTURAS!$F$6:$F$28,$P1236)-INDEX(PARAMETROS_CULTURAS!$G$6:$G$28,$P1236)-INDEX(PARAMETROS_CULTURAS!$H$6:$H$28,$P1236))/MAX(INDEX(PARAMETROS_CULTURAS!$I$6:$I$28,$P1236),0.0001)))))</f>
        <v>0.3</v>
      </c>
      <c r="S1236" s="18" t="n">
        <f aca="false">IFERROR(INDEX(SEMANAS!$H$6:$H$71,MATCH($B1236,SEMANAS!$B$6:$B$71,0)),0)</f>
        <v>28</v>
      </c>
      <c r="T1236" s="18" t="n">
        <f aca="false">$R1236*$S1236</f>
        <v>8.4</v>
      </c>
      <c r="U1236" s="18" t="n">
        <f aca="false">IFERROR(INDEX(SEMANAS!$I$6:$I$71,MATCH($B1236,SEMANAS!$B$6:$B$71,0)),0)</f>
        <v>1.19</v>
      </c>
      <c r="V1236" s="18" t="n">
        <f aca="false">IFERROR(INDEX(SEMANAS!$J$6:$J$71,MATCH($B1236,SEMANAS!$B$6:$B$71,0)),0)</f>
        <v>0.952</v>
      </c>
      <c r="W1236" s="18" t="n">
        <f aca="false">MAX(0,$T1236-$V1236)</f>
        <v>7.448</v>
      </c>
      <c r="X1236" s="19" t="n">
        <f aca="false">IFERROR(INDEX(CADASTRO_PIVOS!$K$6:$K$41,MATCH($E1236,CADASTRO_PIVOS!$B$6:$B$41,0)),EFICIENCIA_PADRAO)</f>
        <v>0.85</v>
      </c>
      <c r="Y1236" s="18" t="n">
        <f aca="false">IF($X1236&lt;=0,0,$W1236/$X1236)</f>
        <v>8.76235294117647</v>
      </c>
      <c r="Z1236" s="16" t="n">
        <f aca="false">$Y1236*$H1236*MM_PARA_M3_HA</f>
        <v>12835.9708235294</v>
      </c>
      <c r="AA1236" s="18" t="n">
        <f aca="false">IFERROR(INDEX(CADASTRO_PIVOS!$I$6:$I$41,MATCH($E1236,CADASTRO_PIVOS!$B$6:$B$41,0)),0)</f>
        <v>906.842857142857</v>
      </c>
      <c r="AB1236" s="18" t="n">
        <f aca="false">IF($Z1236&lt;=0,0,$Z1236/$AA1236)</f>
        <v>14.1545701357466</v>
      </c>
      <c r="AC1236" s="16" t="n">
        <f aca="false">IFERROR(INDEX(SEMANAS!$K$6:$K$71,MATCH($B1236,SEMANAS!$B$6:$B$71,0)),0)</f>
        <v>147</v>
      </c>
      <c r="AD1236" s="19" t="n">
        <f aca="false">IF($AC1236&lt;=0,0,$AB1236/$AC1236)</f>
        <v>0.096289592760181</v>
      </c>
      <c r="AE1236" s="8" t="str">
        <f aca="false">IF($K1236="SEM CULTURA","SEM CULTURA",IF($AA1236&lt;=0,"DADO PENDENTE",IF($AD1236&gt;LIMITE_CRITICO,"INVIAVEL",IF($AD1236&gt;LIMITE_ATENCAO,"CRITICO",IF($AD1236&gt;LIMITE_CONFORTAVEL,"ATENCAO","OK")))))</f>
        <v>OK</v>
      </c>
      <c r="AF1236" s="8" t="str">
        <f aca="false">$B1236&amp;"|"&amp;TEXT($AD1236,"0.000000")</f>
        <v>43|0.096290</v>
      </c>
      <c r="AG1236" s="18" t="n">
        <f aca="false">IF($K1236="SEM CULTURA",0,$T1236*$H1236)</f>
        <v>1230.516</v>
      </c>
      <c r="AH1236" s="18" t="n">
        <f aca="false">IF($K1236="SEM CULTURA",0,$V1236*$H1236)</f>
        <v>139.45848</v>
      </c>
      <c r="AI1236" s="18" t="n">
        <f aca="false">IF($K1236="SEM CULTURA",0,$W1236*$H1236)</f>
        <v>1091.05752</v>
      </c>
      <c r="AJ1236" s="18" t="n">
        <f aca="false">IF($K1236="SEM CULTURA",0,$S1236*$H1236)</f>
        <v>4101.72</v>
      </c>
      <c r="AK1236" s="8" t="str">
        <f aca="false">$E1236&amp;"|"&amp;TEXT($AD1236,"0.000000")</f>
        <v>PV 118|0.096290</v>
      </c>
    </row>
    <row r="1237" customFormat="false" ht="15" hidden="false" customHeight="false" outlineLevel="0" collapsed="false">
      <c r="B1237" s="16" t="n">
        <v>44</v>
      </c>
      <c r="C1237" s="17" t="n">
        <f aca="false">DATA_INICIO_SAFRA+($B1237-1)*DIAS_POR_SEMANA</f>
        <v>46566</v>
      </c>
      <c r="D1237" s="17" t="n">
        <f aca="false">$C1237+DIAS_POR_SEMANA-1</f>
        <v>46572</v>
      </c>
      <c r="E1237" s="15" t="s">
        <v>277</v>
      </c>
      <c r="F1237" s="8" t="str">
        <f aca="false">IFERROR(INDEX(CADASTRO_PIVOS!$C$6:$C$41,MATCH($E1237,CADASTRO_PIVOS!$B$6:$B$41,0)),"?")</f>
        <v>RM06</v>
      </c>
      <c r="G1237" s="8" t="str">
        <f aca="false">IFERROR(INDEX(CADASTRO_PIVOS!$D$6:$D$41,MATCH($E1237,CADASTRO_PIVOS!$B$6:$B$41,0)),"?")</f>
        <v>TR06</v>
      </c>
      <c r="H1237" s="20" t="n">
        <f aca="false">IFERROR(INDEX(CADASTRO_PIVOS!$E$6:$E$41,MATCH($E1237,CADASTRO_PIVOS!$B$6:$B$41,0)),0)</f>
        <v>146.49</v>
      </c>
      <c r="I1237" s="16" t="n">
        <f aca="false">IFERROR(SUMIFS(ROTACAO_RDM!$B$6:$B$71,ROTACAO_RDM!$D$6:$D$71,$E1237,ROTACAO_RDM!$I$6:$I$71,"&lt;="&amp;$C1237+INT(DIAS_POR_SEMANA/2),ROTACAO_RDM!$J$6:$J$71,"&gt;="&amp;$C1237+INT(DIAS_POR_SEMANA/2)),0)</f>
        <v>31</v>
      </c>
      <c r="J1237" s="16" t="n">
        <f aca="false">IFERROR(MATCH($I1237,ROTACAO_RDM!$B$6:$B$71,0),0)</f>
        <v>31</v>
      </c>
      <c r="K1237" s="8" t="str">
        <f aca="false">IF($J1237=0,"SEM CULTURA",INDEX(ROTACAO_RDM!$F$6:$F$71,$J1237))</f>
        <v>MILHO_GRAO</v>
      </c>
      <c r="L1237" s="8" t="n">
        <f aca="false">IF($J1237=0,"",INDEX(ROTACAO_RDM!$G$6:$G$71,$J1237))</f>
        <v>0</v>
      </c>
      <c r="M1237" s="17" t="n">
        <f aca="false">IF($J1237=0,"",INDEX(ROTACAO_RDM!$I$6:$I$71,$J1237))</f>
        <v>46559</v>
      </c>
      <c r="N1237" s="16" t="n">
        <f aca="false">IF($J1237=0,0,MAX(0,$C1237+INT(DIAS_POR_SEMANA/2)-INDEX(ROTACAO_RDM!$I$6:$I$71,$J1237)))</f>
        <v>10</v>
      </c>
      <c r="O1237" s="19" t="n">
        <f aca="false">IF($J1237=0,0,MIN(1,$N1237/MAX(1,INDEX(ROTACAO_RDM!$K$6:$K$71,$J1237))))</f>
        <v>0.0625</v>
      </c>
      <c r="P1237" s="16" t="n">
        <f aca="false">IF($J1237=0,0,IFERROR(MATCH(INDEX(ROTACAO_RDM!$N$6:$N$71,$J1237),PARAMETROS_CULTURAS!$B$6:$B$28,0),0))</f>
        <v>8</v>
      </c>
      <c r="Q1237" s="8" t="str">
        <f aca="false">IF($P1237=0,"-",IF($O1237&lt;=INDEX(PARAMETROS_CULTURAS!$F$6:$F$28,$P1237),"INICIAL",IF($O1237&lt;=INDEX(PARAMETROS_CULTURAS!$F$6:$F$28,$P1237)+INDEX(PARAMETROS_CULTURAS!$G$6:$G$28,$P1237),"DESENVOLVIMENTO",IF($O1237&lt;=INDEX(PARAMETROS_CULTURAS!$F$6:$F$28,$P1237)+INDEX(PARAMETROS_CULTURAS!$G$6:$G$28,$P1237)+INDEX(PARAMETROS_CULTURAS!$H$6:$H$28,$P1237),"MEDIA","FINAL"))))</f>
        <v>INICIAL</v>
      </c>
      <c r="R1237" s="24" t="n">
        <f aca="false">IF($P1237=0,0,IF($O1237&lt;=INDEX(PARAMETROS_CULTURAS!$F$6:$F$28,$P1237),INDEX(PARAMETROS_CULTURAS!$K$6:$K$28,$P1237),IF($O1237&lt;=INDEX(PARAMETROS_CULTURAS!$F$6:$F$28,$P1237)+INDEX(PARAMETROS_CULTURAS!$G$6:$G$28,$P1237),INDEX(PARAMETROS_CULTURAS!$K$6:$K$28,$P1237)+(INDEX(PARAMETROS_CULTURAS!$L$6:$L$28,$P1237)-INDEX(PARAMETROS_CULTURAS!$K$6:$K$28,$P1237))*($O1237-INDEX(PARAMETROS_CULTURAS!$F$6:$F$28,$P1237))/MAX(INDEX(PARAMETROS_CULTURAS!$G$6:$G$28,$P1237),0.0001),IF($O1237&lt;=INDEX(PARAMETROS_CULTURAS!$F$6:$F$28,$P1237)+INDEX(PARAMETROS_CULTURAS!$G$6:$G$28,$P1237)+INDEX(PARAMETROS_CULTURAS!$H$6:$H$28,$P1237),INDEX(PARAMETROS_CULTURAS!$L$6:$L$28,$P1237),INDEX(PARAMETROS_CULTURAS!$L$6:$L$28,$P1237)+(INDEX(PARAMETROS_CULTURAS!$M$6:$M$28,$P1237)-INDEX(PARAMETROS_CULTURAS!$L$6:$L$28,$P1237))*($O1237-INDEX(PARAMETROS_CULTURAS!$F$6:$F$28,$P1237)-INDEX(PARAMETROS_CULTURAS!$G$6:$G$28,$P1237)-INDEX(PARAMETROS_CULTURAS!$H$6:$H$28,$P1237))/MAX(INDEX(PARAMETROS_CULTURAS!$I$6:$I$28,$P1237),0.0001)))))</f>
        <v>0.3</v>
      </c>
      <c r="S1237" s="18" t="n">
        <f aca="false">IFERROR(INDEX(SEMANAS!$H$6:$H$71,MATCH($B1237,SEMANAS!$B$6:$B$71,0)),0)</f>
        <v>29.2</v>
      </c>
      <c r="T1237" s="18" t="n">
        <f aca="false">$R1237*$S1237</f>
        <v>8.76</v>
      </c>
      <c r="U1237" s="18" t="n">
        <f aca="false">IFERROR(INDEX(SEMANAS!$I$6:$I$71,MATCH($B1237,SEMANAS!$B$6:$B$71,0)),0)</f>
        <v>0.91</v>
      </c>
      <c r="V1237" s="18" t="n">
        <f aca="false">IFERROR(INDEX(SEMANAS!$J$6:$J$71,MATCH($B1237,SEMANAS!$B$6:$B$71,0)),0)</f>
        <v>0.728</v>
      </c>
      <c r="W1237" s="18" t="n">
        <f aca="false">MAX(0,$T1237-$V1237)</f>
        <v>8.032</v>
      </c>
      <c r="X1237" s="19" t="n">
        <f aca="false">IFERROR(INDEX(CADASTRO_PIVOS!$K$6:$K$41,MATCH($E1237,CADASTRO_PIVOS!$B$6:$B$41,0)),EFICIENCIA_PADRAO)</f>
        <v>0.85</v>
      </c>
      <c r="Y1237" s="18" t="n">
        <f aca="false">IF($X1237&lt;=0,0,$W1237/$X1237)</f>
        <v>9.44941176470588</v>
      </c>
      <c r="Z1237" s="16" t="n">
        <f aca="false">$Y1237*$H1237*MM_PARA_M3_HA</f>
        <v>13842.4432941176</v>
      </c>
      <c r="AA1237" s="18" t="n">
        <f aca="false">IFERROR(INDEX(CADASTRO_PIVOS!$I$6:$I$41,MATCH($E1237,CADASTRO_PIVOS!$B$6:$B$41,0)),0)</f>
        <v>906.842857142857</v>
      </c>
      <c r="AB1237" s="18" t="n">
        <f aca="false">IF($Z1237&lt;=0,0,$Z1237/$AA1237)</f>
        <v>15.2644343891403</v>
      </c>
      <c r="AC1237" s="16" t="n">
        <f aca="false">IFERROR(INDEX(SEMANAS!$K$6:$K$71,MATCH($B1237,SEMANAS!$B$6:$B$71,0)),0)</f>
        <v>147</v>
      </c>
      <c r="AD1237" s="19" t="n">
        <f aca="false">IF($AC1237&lt;=0,0,$AB1237/$AC1237)</f>
        <v>0.103839689722043</v>
      </c>
      <c r="AE1237" s="8" t="str">
        <f aca="false">IF($K1237="SEM CULTURA","SEM CULTURA",IF($AA1237&lt;=0,"DADO PENDENTE",IF($AD1237&gt;LIMITE_CRITICO,"INVIAVEL",IF($AD1237&gt;LIMITE_ATENCAO,"CRITICO",IF($AD1237&gt;LIMITE_CONFORTAVEL,"ATENCAO","OK")))))</f>
        <v>OK</v>
      </c>
      <c r="AF1237" s="8" t="str">
        <f aca="false">$B1237&amp;"|"&amp;TEXT($AD1237,"0.000000")</f>
        <v>44|0.103840</v>
      </c>
      <c r="AG1237" s="18" t="n">
        <f aca="false">IF($K1237="SEM CULTURA",0,$T1237*$H1237)</f>
        <v>1283.2524</v>
      </c>
      <c r="AH1237" s="18" t="n">
        <f aca="false">IF($K1237="SEM CULTURA",0,$V1237*$H1237)</f>
        <v>106.64472</v>
      </c>
      <c r="AI1237" s="18" t="n">
        <f aca="false">IF($K1237="SEM CULTURA",0,$W1237*$H1237)</f>
        <v>1176.60768</v>
      </c>
      <c r="AJ1237" s="18" t="n">
        <f aca="false">IF($K1237="SEM CULTURA",0,$S1237*$H1237)</f>
        <v>4277.508</v>
      </c>
      <c r="AK1237" s="8" t="str">
        <f aca="false">$E1237&amp;"|"&amp;TEXT($AD1237,"0.000000")</f>
        <v>PV 118|0.103840</v>
      </c>
    </row>
    <row r="1238" customFormat="false" ht="15" hidden="false" customHeight="false" outlineLevel="0" collapsed="false">
      <c r="B1238" s="16" t="n">
        <v>45</v>
      </c>
      <c r="C1238" s="17" t="n">
        <f aca="false">DATA_INICIO_SAFRA+($B1238-1)*DIAS_POR_SEMANA</f>
        <v>46573</v>
      </c>
      <c r="D1238" s="17" t="n">
        <f aca="false">$C1238+DIAS_POR_SEMANA-1</f>
        <v>46579</v>
      </c>
      <c r="E1238" s="15" t="s">
        <v>277</v>
      </c>
      <c r="F1238" s="8" t="str">
        <f aca="false">IFERROR(INDEX(CADASTRO_PIVOS!$C$6:$C$41,MATCH($E1238,CADASTRO_PIVOS!$B$6:$B$41,0)),"?")</f>
        <v>RM06</v>
      </c>
      <c r="G1238" s="8" t="str">
        <f aca="false">IFERROR(INDEX(CADASTRO_PIVOS!$D$6:$D$41,MATCH($E1238,CADASTRO_PIVOS!$B$6:$B$41,0)),"?")</f>
        <v>TR06</v>
      </c>
      <c r="H1238" s="20" t="n">
        <f aca="false">IFERROR(INDEX(CADASTRO_PIVOS!$E$6:$E$41,MATCH($E1238,CADASTRO_PIVOS!$B$6:$B$41,0)),0)</f>
        <v>146.49</v>
      </c>
      <c r="I1238" s="16" t="n">
        <f aca="false">IFERROR(SUMIFS(ROTACAO_RDM!$B$6:$B$71,ROTACAO_RDM!$D$6:$D$71,$E1238,ROTACAO_RDM!$I$6:$I$71,"&lt;="&amp;$C1238+INT(DIAS_POR_SEMANA/2),ROTACAO_RDM!$J$6:$J$71,"&gt;="&amp;$C1238+INT(DIAS_POR_SEMANA/2)),0)</f>
        <v>31</v>
      </c>
      <c r="J1238" s="16" t="n">
        <f aca="false">IFERROR(MATCH($I1238,ROTACAO_RDM!$B$6:$B$71,0),0)</f>
        <v>31</v>
      </c>
      <c r="K1238" s="8" t="str">
        <f aca="false">IF($J1238=0,"SEM CULTURA",INDEX(ROTACAO_RDM!$F$6:$F$71,$J1238))</f>
        <v>MILHO_GRAO</v>
      </c>
      <c r="L1238" s="8" t="n">
        <f aca="false">IF($J1238=0,"",INDEX(ROTACAO_RDM!$G$6:$G$71,$J1238))</f>
        <v>0</v>
      </c>
      <c r="M1238" s="17" t="n">
        <f aca="false">IF($J1238=0,"",INDEX(ROTACAO_RDM!$I$6:$I$71,$J1238))</f>
        <v>46559</v>
      </c>
      <c r="N1238" s="16" t="n">
        <f aca="false">IF($J1238=0,0,MAX(0,$C1238+INT(DIAS_POR_SEMANA/2)-INDEX(ROTACAO_RDM!$I$6:$I$71,$J1238)))</f>
        <v>17</v>
      </c>
      <c r="O1238" s="19" t="n">
        <f aca="false">IF($J1238=0,0,MIN(1,$N1238/MAX(1,INDEX(ROTACAO_RDM!$K$6:$K$71,$J1238))))</f>
        <v>0.10625</v>
      </c>
      <c r="P1238" s="16" t="n">
        <f aca="false">IF($J1238=0,0,IFERROR(MATCH(INDEX(ROTACAO_RDM!$N$6:$N$71,$J1238),PARAMETROS_CULTURAS!$B$6:$B$28,0),0))</f>
        <v>8</v>
      </c>
      <c r="Q1238" s="8" t="str">
        <f aca="false">IF($P1238=0,"-",IF($O1238&lt;=INDEX(PARAMETROS_CULTURAS!$F$6:$F$28,$P1238),"INICIAL",IF($O1238&lt;=INDEX(PARAMETROS_CULTURAS!$F$6:$F$28,$P1238)+INDEX(PARAMETROS_CULTURAS!$G$6:$G$28,$P1238),"DESENVOLVIMENTO",IF($O1238&lt;=INDEX(PARAMETROS_CULTURAS!$F$6:$F$28,$P1238)+INDEX(PARAMETROS_CULTURAS!$G$6:$G$28,$P1238)+INDEX(PARAMETROS_CULTURAS!$H$6:$H$28,$P1238),"MEDIA","FINAL"))))</f>
        <v>INICIAL</v>
      </c>
      <c r="R1238" s="24" t="n">
        <f aca="false">IF($P1238=0,0,IF($O1238&lt;=INDEX(PARAMETROS_CULTURAS!$F$6:$F$28,$P1238),INDEX(PARAMETROS_CULTURAS!$K$6:$K$28,$P1238),IF($O1238&lt;=INDEX(PARAMETROS_CULTURAS!$F$6:$F$28,$P1238)+INDEX(PARAMETROS_CULTURAS!$G$6:$G$28,$P1238),INDEX(PARAMETROS_CULTURAS!$K$6:$K$28,$P1238)+(INDEX(PARAMETROS_CULTURAS!$L$6:$L$28,$P1238)-INDEX(PARAMETROS_CULTURAS!$K$6:$K$28,$P1238))*($O1238-INDEX(PARAMETROS_CULTURAS!$F$6:$F$28,$P1238))/MAX(INDEX(PARAMETROS_CULTURAS!$G$6:$G$28,$P1238),0.0001),IF($O1238&lt;=INDEX(PARAMETROS_CULTURAS!$F$6:$F$28,$P1238)+INDEX(PARAMETROS_CULTURAS!$G$6:$G$28,$P1238)+INDEX(PARAMETROS_CULTURAS!$H$6:$H$28,$P1238),INDEX(PARAMETROS_CULTURAS!$L$6:$L$28,$P1238),INDEX(PARAMETROS_CULTURAS!$L$6:$L$28,$P1238)+(INDEX(PARAMETROS_CULTURAS!$M$6:$M$28,$P1238)-INDEX(PARAMETROS_CULTURAS!$L$6:$L$28,$P1238))*($O1238-INDEX(PARAMETROS_CULTURAS!$F$6:$F$28,$P1238)-INDEX(PARAMETROS_CULTURAS!$G$6:$G$28,$P1238)-INDEX(PARAMETROS_CULTURAS!$H$6:$H$28,$P1238))/MAX(INDEX(PARAMETROS_CULTURAS!$I$6:$I$28,$P1238),0.0001)))))</f>
        <v>0.3</v>
      </c>
      <c r="S1238" s="18" t="n">
        <f aca="false">IFERROR(INDEX(SEMANAS!$H$6:$H$71,MATCH($B1238,SEMANAS!$B$6:$B$71,0)),0)</f>
        <v>30.1</v>
      </c>
      <c r="T1238" s="18" t="n">
        <f aca="false">$R1238*$S1238</f>
        <v>9.03</v>
      </c>
      <c r="U1238" s="18" t="n">
        <f aca="false">IFERROR(INDEX(SEMANAS!$I$6:$I$71,MATCH($B1238,SEMANAS!$B$6:$B$71,0)),0)</f>
        <v>0.7</v>
      </c>
      <c r="V1238" s="18" t="n">
        <f aca="false">IFERROR(INDEX(SEMANAS!$J$6:$J$71,MATCH($B1238,SEMANAS!$B$6:$B$71,0)),0)</f>
        <v>0.56</v>
      </c>
      <c r="W1238" s="18" t="n">
        <f aca="false">MAX(0,$T1238-$V1238)</f>
        <v>8.47</v>
      </c>
      <c r="X1238" s="19" t="n">
        <f aca="false">IFERROR(INDEX(CADASTRO_PIVOS!$K$6:$K$41,MATCH($E1238,CADASTRO_PIVOS!$B$6:$B$41,0)),EFICIENCIA_PADRAO)</f>
        <v>0.85</v>
      </c>
      <c r="Y1238" s="18" t="n">
        <f aca="false">IF($X1238&lt;=0,0,$W1238/$X1238)</f>
        <v>9.96470588235294</v>
      </c>
      <c r="Z1238" s="16" t="n">
        <f aca="false">$Y1238*$H1238*MM_PARA_M3_HA</f>
        <v>14597.2976470588</v>
      </c>
      <c r="AA1238" s="18" t="n">
        <f aca="false">IFERROR(INDEX(CADASTRO_PIVOS!$I$6:$I$41,MATCH($E1238,CADASTRO_PIVOS!$B$6:$B$41,0)),0)</f>
        <v>906.842857142857</v>
      </c>
      <c r="AB1238" s="18" t="n">
        <f aca="false">IF($Z1238&lt;=0,0,$Z1238/$AA1238)</f>
        <v>16.0968325791855</v>
      </c>
      <c r="AC1238" s="16" t="n">
        <f aca="false">IFERROR(INDEX(SEMANAS!$K$6:$K$71,MATCH($B1238,SEMANAS!$B$6:$B$71,0)),0)</f>
        <v>147</v>
      </c>
      <c r="AD1238" s="19" t="n">
        <f aca="false">IF($AC1238&lt;=0,0,$AB1238/$AC1238)</f>
        <v>0.109502262443439</v>
      </c>
      <c r="AE1238" s="8" t="str">
        <f aca="false">IF($K1238="SEM CULTURA","SEM CULTURA",IF($AA1238&lt;=0,"DADO PENDENTE",IF($AD1238&gt;LIMITE_CRITICO,"INVIAVEL",IF($AD1238&gt;LIMITE_ATENCAO,"CRITICO",IF($AD1238&gt;LIMITE_CONFORTAVEL,"ATENCAO","OK")))))</f>
        <v>OK</v>
      </c>
      <c r="AF1238" s="8" t="str">
        <f aca="false">$B1238&amp;"|"&amp;TEXT($AD1238,"0.000000")</f>
        <v>45|0.109502</v>
      </c>
      <c r="AG1238" s="18" t="n">
        <f aca="false">IF($K1238="SEM CULTURA",0,$T1238*$H1238)</f>
        <v>1322.8047</v>
      </c>
      <c r="AH1238" s="18" t="n">
        <f aca="false">IF($K1238="SEM CULTURA",0,$V1238*$H1238)</f>
        <v>82.0344</v>
      </c>
      <c r="AI1238" s="18" t="n">
        <f aca="false">IF($K1238="SEM CULTURA",0,$W1238*$H1238)</f>
        <v>1240.7703</v>
      </c>
      <c r="AJ1238" s="18" t="n">
        <f aca="false">IF($K1238="SEM CULTURA",0,$S1238*$H1238)</f>
        <v>4409.349</v>
      </c>
      <c r="AK1238" s="8" t="str">
        <f aca="false">$E1238&amp;"|"&amp;TEXT($AD1238,"0.000000")</f>
        <v>PV 118|0.109502</v>
      </c>
    </row>
    <row r="1239" customFormat="false" ht="15" hidden="false" customHeight="false" outlineLevel="0" collapsed="false">
      <c r="B1239" s="16" t="n">
        <v>46</v>
      </c>
      <c r="C1239" s="17" t="n">
        <f aca="false">DATA_INICIO_SAFRA+($B1239-1)*DIAS_POR_SEMANA</f>
        <v>46580</v>
      </c>
      <c r="D1239" s="17" t="n">
        <f aca="false">$C1239+DIAS_POR_SEMANA-1</f>
        <v>46586</v>
      </c>
      <c r="E1239" s="15" t="s">
        <v>277</v>
      </c>
      <c r="F1239" s="8" t="str">
        <f aca="false">IFERROR(INDEX(CADASTRO_PIVOS!$C$6:$C$41,MATCH($E1239,CADASTRO_PIVOS!$B$6:$B$41,0)),"?")</f>
        <v>RM06</v>
      </c>
      <c r="G1239" s="8" t="str">
        <f aca="false">IFERROR(INDEX(CADASTRO_PIVOS!$D$6:$D$41,MATCH($E1239,CADASTRO_PIVOS!$B$6:$B$41,0)),"?")</f>
        <v>TR06</v>
      </c>
      <c r="H1239" s="20" t="n">
        <f aca="false">IFERROR(INDEX(CADASTRO_PIVOS!$E$6:$E$41,MATCH($E1239,CADASTRO_PIVOS!$B$6:$B$41,0)),0)</f>
        <v>146.49</v>
      </c>
      <c r="I1239" s="16" t="n">
        <f aca="false">IFERROR(SUMIFS(ROTACAO_RDM!$B$6:$B$71,ROTACAO_RDM!$D$6:$D$71,$E1239,ROTACAO_RDM!$I$6:$I$71,"&lt;="&amp;$C1239+INT(DIAS_POR_SEMANA/2),ROTACAO_RDM!$J$6:$J$71,"&gt;="&amp;$C1239+INT(DIAS_POR_SEMANA/2)),0)</f>
        <v>31</v>
      </c>
      <c r="J1239" s="16" t="n">
        <f aca="false">IFERROR(MATCH($I1239,ROTACAO_RDM!$B$6:$B$71,0),0)</f>
        <v>31</v>
      </c>
      <c r="K1239" s="8" t="str">
        <f aca="false">IF($J1239=0,"SEM CULTURA",INDEX(ROTACAO_RDM!$F$6:$F$71,$J1239))</f>
        <v>MILHO_GRAO</v>
      </c>
      <c r="L1239" s="8" t="n">
        <f aca="false">IF($J1239=0,"",INDEX(ROTACAO_RDM!$G$6:$G$71,$J1239))</f>
        <v>0</v>
      </c>
      <c r="M1239" s="17" t="n">
        <f aca="false">IF($J1239=0,"",INDEX(ROTACAO_RDM!$I$6:$I$71,$J1239))</f>
        <v>46559</v>
      </c>
      <c r="N1239" s="16" t="n">
        <f aca="false">IF($J1239=0,0,MAX(0,$C1239+INT(DIAS_POR_SEMANA/2)-INDEX(ROTACAO_RDM!$I$6:$I$71,$J1239)))</f>
        <v>24</v>
      </c>
      <c r="O1239" s="19" t="n">
        <f aca="false">IF($J1239=0,0,MIN(1,$N1239/MAX(1,INDEX(ROTACAO_RDM!$K$6:$K$71,$J1239))))</f>
        <v>0.15</v>
      </c>
      <c r="P1239" s="16" t="n">
        <f aca="false">IF($J1239=0,0,IFERROR(MATCH(INDEX(ROTACAO_RDM!$N$6:$N$71,$J1239),PARAMETROS_CULTURAS!$B$6:$B$28,0),0))</f>
        <v>8</v>
      </c>
      <c r="Q1239" s="8" t="str">
        <f aca="false">IF($P1239=0,"-",IF($O1239&lt;=INDEX(PARAMETROS_CULTURAS!$F$6:$F$28,$P1239),"INICIAL",IF($O1239&lt;=INDEX(PARAMETROS_CULTURAS!$F$6:$F$28,$P1239)+INDEX(PARAMETROS_CULTURAS!$G$6:$G$28,$P1239),"DESENVOLVIMENTO",IF($O1239&lt;=INDEX(PARAMETROS_CULTURAS!$F$6:$F$28,$P1239)+INDEX(PARAMETROS_CULTURAS!$G$6:$G$28,$P1239)+INDEX(PARAMETROS_CULTURAS!$H$6:$H$28,$P1239),"MEDIA","FINAL"))))</f>
        <v>INICIAL</v>
      </c>
      <c r="R1239" s="24" t="n">
        <f aca="false">IF($P1239=0,0,IF($O1239&lt;=INDEX(PARAMETROS_CULTURAS!$F$6:$F$28,$P1239),INDEX(PARAMETROS_CULTURAS!$K$6:$K$28,$P1239),IF($O1239&lt;=INDEX(PARAMETROS_CULTURAS!$F$6:$F$28,$P1239)+INDEX(PARAMETROS_CULTURAS!$G$6:$G$28,$P1239),INDEX(PARAMETROS_CULTURAS!$K$6:$K$28,$P1239)+(INDEX(PARAMETROS_CULTURAS!$L$6:$L$28,$P1239)-INDEX(PARAMETROS_CULTURAS!$K$6:$K$28,$P1239))*($O1239-INDEX(PARAMETROS_CULTURAS!$F$6:$F$28,$P1239))/MAX(INDEX(PARAMETROS_CULTURAS!$G$6:$G$28,$P1239),0.0001),IF($O1239&lt;=INDEX(PARAMETROS_CULTURAS!$F$6:$F$28,$P1239)+INDEX(PARAMETROS_CULTURAS!$G$6:$G$28,$P1239)+INDEX(PARAMETROS_CULTURAS!$H$6:$H$28,$P1239),INDEX(PARAMETROS_CULTURAS!$L$6:$L$28,$P1239),INDEX(PARAMETROS_CULTURAS!$L$6:$L$28,$P1239)+(INDEX(PARAMETROS_CULTURAS!$M$6:$M$28,$P1239)-INDEX(PARAMETROS_CULTURAS!$L$6:$L$28,$P1239))*($O1239-INDEX(PARAMETROS_CULTURAS!$F$6:$F$28,$P1239)-INDEX(PARAMETROS_CULTURAS!$G$6:$G$28,$P1239)-INDEX(PARAMETROS_CULTURAS!$H$6:$H$28,$P1239))/MAX(INDEX(PARAMETROS_CULTURAS!$I$6:$I$28,$P1239),0.0001)))))</f>
        <v>0.3</v>
      </c>
      <c r="S1239" s="18" t="n">
        <f aca="false">IFERROR(INDEX(SEMANAS!$H$6:$H$71,MATCH($B1239,SEMANAS!$B$6:$B$71,0)),0)</f>
        <v>30.1</v>
      </c>
      <c r="T1239" s="18" t="n">
        <f aca="false">$R1239*$S1239</f>
        <v>9.03</v>
      </c>
      <c r="U1239" s="18" t="n">
        <f aca="false">IFERROR(INDEX(SEMANAS!$I$6:$I$71,MATCH($B1239,SEMANAS!$B$6:$B$71,0)),0)</f>
        <v>0.7</v>
      </c>
      <c r="V1239" s="18" t="n">
        <f aca="false">IFERROR(INDEX(SEMANAS!$J$6:$J$71,MATCH($B1239,SEMANAS!$B$6:$B$71,0)),0)</f>
        <v>0.56</v>
      </c>
      <c r="W1239" s="18" t="n">
        <f aca="false">MAX(0,$T1239-$V1239)</f>
        <v>8.47</v>
      </c>
      <c r="X1239" s="19" t="n">
        <f aca="false">IFERROR(INDEX(CADASTRO_PIVOS!$K$6:$K$41,MATCH($E1239,CADASTRO_PIVOS!$B$6:$B$41,0)),EFICIENCIA_PADRAO)</f>
        <v>0.85</v>
      </c>
      <c r="Y1239" s="18" t="n">
        <f aca="false">IF($X1239&lt;=0,0,$W1239/$X1239)</f>
        <v>9.96470588235294</v>
      </c>
      <c r="Z1239" s="16" t="n">
        <f aca="false">$Y1239*$H1239*MM_PARA_M3_HA</f>
        <v>14597.2976470588</v>
      </c>
      <c r="AA1239" s="18" t="n">
        <f aca="false">IFERROR(INDEX(CADASTRO_PIVOS!$I$6:$I$41,MATCH($E1239,CADASTRO_PIVOS!$B$6:$B$41,0)),0)</f>
        <v>906.842857142857</v>
      </c>
      <c r="AB1239" s="18" t="n">
        <f aca="false">IF($Z1239&lt;=0,0,$Z1239/$AA1239)</f>
        <v>16.0968325791855</v>
      </c>
      <c r="AC1239" s="16" t="n">
        <f aca="false">IFERROR(INDEX(SEMANAS!$K$6:$K$71,MATCH($B1239,SEMANAS!$B$6:$B$71,0)),0)</f>
        <v>147</v>
      </c>
      <c r="AD1239" s="19" t="n">
        <f aca="false">IF($AC1239&lt;=0,0,$AB1239/$AC1239)</f>
        <v>0.109502262443439</v>
      </c>
      <c r="AE1239" s="8" t="str">
        <f aca="false">IF($K1239="SEM CULTURA","SEM CULTURA",IF($AA1239&lt;=0,"DADO PENDENTE",IF($AD1239&gt;LIMITE_CRITICO,"INVIAVEL",IF($AD1239&gt;LIMITE_ATENCAO,"CRITICO",IF($AD1239&gt;LIMITE_CONFORTAVEL,"ATENCAO","OK")))))</f>
        <v>OK</v>
      </c>
      <c r="AF1239" s="8" t="str">
        <f aca="false">$B1239&amp;"|"&amp;TEXT($AD1239,"0.000000")</f>
        <v>46|0.109502</v>
      </c>
      <c r="AG1239" s="18" t="n">
        <f aca="false">IF($K1239="SEM CULTURA",0,$T1239*$H1239)</f>
        <v>1322.8047</v>
      </c>
      <c r="AH1239" s="18" t="n">
        <f aca="false">IF($K1239="SEM CULTURA",0,$V1239*$H1239)</f>
        <v>82.0344</v>
      </c>
      <c r="AI1239" s="18" t="n">
        <f aca="false">IF($K1239="SEM CULTURA",0,$W1239*$H1239)</f>
        <v>1240.7703</v>
      </c>
      <c r="AJ1239" s="18" t="n">
        <f aca="false">IF($K1239="SEM CULTURA",0,$S1239*$H1239)</f>
        <v>4409.349</v>
      </c>
      <c r="AK1239" s="8" t="str">
        <f aca="false">$E1239&amp;"|"&amp;TEXT($AD1239,"0.000000")</f>
        <v>PV 118|0.109502</v>
      </c>
    </row>
    <row r="1240" customFormat="false" ht="15" hidden="false" customHeight="false" outlineLevel="0" collapsed="false">
      <c r="B1240" s="16" t="n">
        <v>47</v>
      </c>
      <c r="C1240" s="17" t="n">
        <f aca="false">DATA_INICIO_SAFRA+($B1240-1)*DIAS_POR_SEMANA</f>
        <v>46587</v>
      </c>
      <c r="D1240" s="17" t="n">
        <f aca="false">$C1240+DIAS_POR_SEMANA-1</f>
        <v>46593</v>
      </c>
      <c r="E1240" s="15" t="s">
        <v>277</v>
      </c>
      <c r="F1240" s="8" t="str">
        <f aca="false">IFERROR(INDEX(CADASTRO_PIVOS!$C$6:$C$41,MATCH($E1240,CADASTRO_PIVOS!$B$6:$B$41,0)),"?")</f>
        <v>RM06</v>
      </c>
      <c r="G1240" s="8" t="str">
        <f aca="false">IFERROR(INDEX(CADASTRO_PIVOS!$D$6:$D$41,MATCH($E1240,CADASTRO_PIVOS!$B$6:$B$41,0)),"?")</f>
        <v>TR06</v>
      </c>
      <c r="H1240" s="20" t="n">
        <f aca="false">IFERROR(INDEX(CADASTRO_PIVOS!$E$6:$E$41,MATCH($E1240,CADASTRO_PIVOS!$B$6:$B$41,0)),0)</f>
        <v>146.49</v>
      </c>
      <c r="I1240" s="16" t="n">
        <f aca="false">IFERROR(SUMIFS(ROTACAO_RDM!$B$6:$B$71,ROTACAO_RDM!$D$6:$D$71,$E1240,ROTACAO_RDM!$I$6:$I$71,"&lt;="&amp;$C1240+INT(DIAS_POR_SEMANA/2),ROTACAO_RDM!$J$6:$J$71,"&gt;="&amp;$C1240+INT(DIAS_POR_SEMANA/2)),0)</f>
        <v>31</v>
      </c>
      <c r="J1240" s="16" t="n">
        <f aca="false">IFERROR(MATCH($I1240,ROTACAO_RDM!$B$6:$B$71,0),0)</f>
        <v>31</v>
      </c>
      <c r="K1240" s="8" t="str">
        <f aca="false">IF($J1240=0,"SEM CULTURA",INDEX(ROTACAO_RDM!$F$6:$F$71,$J1240))</f>
        <v>MILHO_GRAO</v>
      </c>
      <c r="L1240" s="8" t="n">
        <f aca="false">IF($J1240=0,"",INDEX(ROTACAO_RDM!$G$6:$G$71,$J1240))</f>
        <v>0</v>
      </c>
      <c r="M1240" s="17" t="n">
        <f aca="false">IF($J1240=0,"",INDEX(ROTACAO_RDM!$I$6:$I$71,$J1240))</f>
        <v>46559</v>
      </c>
      <c r="N1240" s="16" t="n">
        <f aca="false">IF($J1240=0,0,MAX(0,$C1240+INT(DIAS_POR_SEMANA/2)-INDEX(ROTACAO_RDM!$I$6:$I$71,$J1240)))</f>
        <v>31</v>
      </c>
      <c r="O1240" s="19" t="n">
        <f aca="false">IF($J1240=0,0,MIN(1,$N1240/MAX(1,INDEX(ROTACAO_RDM!$K$6:$K$71,$J1240))))</f>
        <v>0.19375</v>
      </c>
      <c r="P1240" s="16" t="n">
        <f aca="false">IF($J1240=0,0,IFERROR(MATCH(INDEX(ROTACAO_RDM!$N$6:$N$71,$J1240),PARAMETROS_CULTURAS!$B$6:$B$28,0),0))</f>
        <v>8</v>
      </c>
      <c r="Q1240" s="8" t="str">
        <f aca="false">IF($P1240=0,"-",IF($O1240&lt;=INDEX(PARAMETROS_CULTURAS!$F$6:$F$28,$P1240),"INICIAL",IF($O1240&lt;=INDEX(PARAMETROS_CULTURAS!$F$6:$F$28,$P1240)+INDEX(PARAMETROS_CULTURAS!$G$6:$G$28,$P1240),"DESENVOLVIMENTO",IF($O1240&lt;=INDEX(PARAMETROS_CULTURAS!$F$6:$F$28,$P1240)+INDEX(PARAMETROS_CULTURAS!$G$6:$G$28,$P1240)+INDEX(PARAMETROS_CULTURAS!$H$6:$H$28,$P1240),"MEDIA","FINAL"))))</f>
        <v>DESENVOLVIMENTO</v>
      </c>
      <c r="R1240" s="24" t="n">
        <f aca="false">IF($P1240=0,0,IF($O1240&lt;=INDEX(PARAMETROS_CULTURAS!$F$6:$F$28,$P1240),INDEX(PARAMETROS_CULTURAS!$K$6:$K$28,$P1240),IF($O1240&lt;=INDEX(PARAMETROS_CULTURAS!$F$6:$F$28,$P1240)+INDEX(PARAMETROS_CULTURAS!$G$6:$G$28,$P1240),INDEX(PARAMETROS_CULTURAS!$K$6:$K$28,$P1240)+(INDEX(PARAMETROS_CULTURAS!$L$6:$L$28,$P1240)-INDEX(PARAMETROS_CULTURAS!$K$6:$K$28,$P1240))*($O1240-INDEX(PARAMETROS_CULTURAS!$F$6:$F$28,$P1240))/MAX(INDEX(PARAMETROS_CULTURAS!$G$6:$G$28,$P1240),0.0001),IF($O1240&lt;=INDEX(PARAMETROS_CULTURAS!$F$6:$F$28,$P1240)+INDEX(PARAMETROS_CULTURAS!$G$6:$G$28,$P1240)+INDEX(PARAMETROS_CULTURAS!$H$6:$H$28,$P1240),INDEX(PARAMETROS_CULTURAS!$L$6:$L$28,$P1240),INDEX(PARAMETROS_CULTURAS!$L$6:$L$28,$P1240)+(INDEX(PARAMETROS_CULTURAS!$M$6:$M$28,$P1240)-INDEX(PARAMETROS_CULTURAS!$L$6:$L$28,$P1240))*($O1240-INDEX(PARAMETROS_CULTURAS!$F$6:$F$28,$P1240)-INDEX(PARAMETROS_CULTURAS!$G$6:$G$28,$P1240)-INDEX(PARAMETROS_CULTURAS!$H$6:$H$28,$P1240))/MAX(INDEX(PARAMETROS_CULTURAS!$I$6:$I$28,$P1240),0.0001)))))</f>
        <v>0.3135</v>
      </c>
      <c r="S1240" s="18" t="n">
        <f aca="false">IFERROR(INDEX(SEMANAS!$H$6:$H$71,MATCH($B1240,SEMANAS!$B$6:$B$71,0)),0)</f>
        <v>30.1</v>
      </c>
      <c r="T1240" s="18" t="n">
        <f aca="false">$R1240*$S1240</f>
        <v>9.43635</v>
      </c>
      <c r="U1240" s="18" t="n">
        <f aca="false">IFERROR(INDEX(SEMANAS!$I$6:$I$71,MATCH($B1240,SEMANAS!$B$6:$B$71,0)),0)</f>
        <v>0.7</v>
      </c>
      <c r="V1240" s="18" t="n">
        <f aca="false">IFERROR(INDEX(SEMANAS!$J$6:$J$71,MATCH($B1240,SEMANAS!$B$6:$B$71,0)),0)</f>
        <v>0.56</v>
      </c>
      <c r="W1240" s="18" t="n">
        <f aca="false">MAX(0,$T1240-$V1240)</f>
        <v>8.87635</v>
      </c>
      <c r="X1240" s="19" t="n">
        <f aca="false">IFERROR(INDEX(CADASTRO_PIVOS!$K$6:$K$41,MATCH($E1240,CADASTRO_PIVOS!$B$6:$B$41,0)),EFICIENCIA_PADRAO)</f>
        <v>0.85</v>
      </c>
      <c r="Y1240" s="18" t="n">
        <f aca="false">IF($X1240&lt;=0,0,$W1240/$X1240)</f>
        <v>10.4427647058824</v>
      </c>
      <c r="Z1240" s="16" t="n">
        <f aca="false">$Y1240*$H1240*MM_PARA_M3_HA</f>
        <v>15297.6060176471</v>
      </c>
      <c r="AA1240" s="18" t="n">
        <f aca="false">IFERROR(INDEX(CADASTRO_PIVOS!$I$6:$I$41,MATCH($E1240,CADASTRO_PIVOS!$B$6:$B$41,0)),0)</f>
        <v>906.842857142857</v>
      </c>
      <c r="AB1240" s="18" t="n">
        <f aca="false">IF($Z1240&lt;=0,0,$Z1240/$AA1240)</f>
        <v>16.8690814479638</v>
      </c>
      <c r="AC1240" s="16" t="n">
        <f aca="false">IFERROR(INDEX(SEMANAS!$K$6:$K$71,MATCH($B1240,SEMANAS!$B$6:$B$71,0)),0)</f>
        <v>147</v>
      </c>
      <c r="AD1240" s="19" t="n">
        <f aca="false">IF($AC1240&lt;=0,0,$AB1240/$AC1240)</f>
        <v>0.114755656108597</v>
      </c>
      <c r="AE1240" s="8" t="str">
        <f aca="false">IF($K1240="SEM CULTURA","SEM CULTURA",IF($AA1240&lt;=0,"DADO PENDENTE",IF($AD1240&gt;LIMITE_CRITICO,"INVIAVEL",IF($AD1240&gt;LIMITE_ATENCAO,"CRITICO",IF($AD1240&gt;LIMITE_CONFORTAVEL,"ATENCAO","OK")))))</f>
        <v>OK</v>
      </c>
      <c r="AF1240" s="8" t="str">
        <f aca="false">$B1240&amp;"|"&amp;TEXT($AD1240,"0.000000")</f>
        <v>47|0.114756</v>
      </c>
      <c r="AG1240" s="18" t="n">
        <f aca="false">IF($K1240="SEM CULTURA",0,$T1240*$H1240)</f>
        <v>1382.3309115</v>
      </c>
      <c r="AH1240" s="18" t="n">
        <f aca="false">IF($K1240="SEM CULTURA",0,$V1240*$H1240)</f>
        <v>82.0344</v>
      </c>
      <c r="AI1240" s="18" t="n">
        <f aca="false">IF($K1240="SEM CULTURA",0,$W1240*$H1240)</f>
        <v>1300.2965115</v>
      </c>
      <c r="AJ1240" s="18" t="n">
        <f aca="false">IF($K1240="SEM CULTURA",0,$S1240*$H1240)</f>
        <v>4409.349</v>
      </c>
      <c r="AK1240" s="8" t="str">
        <f aca="false">$E1240&amp;"|"&amp;TEXT($AD1240,"0.000000")</f>
        <v>PV 118|0.114756</v>
      </c>
    </row>
    <row r="1241" customFormat="false" ht="15" hidden="false" customHeight="false" outlineLevel="0" collapsed="false">
      <c r="B1241" s="16" t="n">
        <v>48</v>
      </c>
      <c r="C1241" s="17" t="n">
        <f aca="false">DATA_INICIO_SAFRA+($B1241-1)*DIAS_POR_SEMANA</f>
        <v>46594</v>
      </c>
      <c r="D1241" s="17" t="n">
        <f aca="false">$C1241+DIAS_POR_SEMANA-1</f>
        <v>46600</v>
      </c>
      <c r="E1241" s="15" t="s">
        <v>277</v>
      </c>
      <c r="F1241" s="8" t="str">
        <f aca="false">IFERROR(INDEX(CADASTRO_PIVOS!$C$6:$C$41,MATCH($E1241,CADASTRO_PIVOS!$B$6:$B$41,0)),"?")</f>
        <v>RM06</v>
      </c>
      <c r="G1241" s="8" t="str">
        <f aca="false">IFERROR(INDEX(CADASTRO_PIVOS!$D$6:$D$41,MATCH($E1241,CADASTRO_PIVOS!$B$6:$B$41,0)),"?")</f>
        <v>TR06</v>
      </c>
      <c r="H1241" s="20" t="n">
        <f aca="false">IFERROR(INDEX(CADASTRO_PIVOS!$E$6:$E$41,MATCH($E1241,CADASTRO_PIVOS!$B$6:$B$41,0)),0)</f>
        <v>146.49</v>
      </c>
      <c r="I1241" s="16" t="n">
        <f aca="false">IFERROR(SUMIFS(ROTACAO_RDM!$B$6:$B$71,ROTACAO_RDM!$D$6:$D$71,$E1241,ROTACAO_RDM!$I$6:$I$71,"&lt;="&amp;$C1241+INT(DIAS_POR_SEMANA/2),ROTACAO_RDM!$J$6:$J$71,"&gt;="&amp;$C1241+INT(DIAS_POR_SEMANA/2)),0)</f>
        <v>31</v>
      </c>
      <c r="J1241" s="16" t="n">
        <f aca="false">IFERROR(MATCH($I1241,ROTACAO_RDM!$B$6:$B$71,0),0)</f>
        <v>31</v>
      </c>
      <c r="K1241" s="8" t="str">
        <f aca="false">IF($J1241=0,"SEM CULTURA",INDEX(ROTACAO_RDM!$F$6:$F$71,$J1241))</f>
        <v>MILHO_GRAO</v>
      </c>
      <c r="L1241" s="8" t="n">
        <f aca="false">IF($J1241=0,"",INDEX(ROTACAO_RDM!$G$6:$G$71,$J1241))</f>
        <v>0</v>
      </c>
      <c r="M1241" s="17" t="n">
        <f aca="false">IF($J1241=0,"",INDEX(ROTACAO_RDM!$I$6:$I$71,$J1241))</f>
        <v>46559</v>
      </c>
      <c r="N1241" s="16" t="n">
        <f aca="false">IF($J1241=0,0,MAX(0,$C1241+INT(DIAS_POR_SEMANA/2)-INDEX(ROTACAO_RDM!$I$6:$I$71,$J1241)))</f>
        <v>38</v>
      </c>
      <c r="O1241" s="19" t="n">
        <f aca="false">IF($J1241=0,0,MIN(1,$N1241/MAX(1,INDEX(ROTACAO_RDM!$K$6:$K$71,$J1241))))</f>
        <v>0.2375</v>
      </c>
      <c r="P1241" s="16" t="n">
        <f aca="false">IF($J1241=0,0,IFERROR(MATCH(INDEX(ROTACAO_RDM!$N$6:$N$71,$J1241),PARAMETROS_CULTURAS!$B$6:$B$28,0),0))</f>
        <v>8</v>
      </c>
      <c r="Q1241" s="8" t="str">
        <f aca="false">IF($P1241=0,"-",IF($O1241&lt;=INDEX(PARAMETROS_CULTURAS!$F$6:$F$28,$P1241),"INICIAL",IF($O1241&lt;=INDEX(PARAMETROS_CULTURAS!$F$6:$F$28,$P1241)+INDEX(PARAMETROS_CULTURAS!$G$6:$G$28,$P1241),"DESENVOLVIMENTO",IF($O1241&lt;=INDEX(PARAMETROS_CULTURAS!$F$6:$F$28,$P1241)+INDEX(PARAMETROS_CULTURAS!$G$6:$G$28,$P1241)+INDEX(PARAMETROS_CULTURAS!$H$6:$H$28,$P1241),"MEDIA","FINAL"))))</f>
        <v>DESENVOLVIMENTO</v>
      </c>
      <c r="R1241" s="24" t="n">
        <f aca="false">IF($P1241=0,0,IF($O1241&lt;=INDEX(PARAMETROS_CULTURAS!$F$6:$F$28,$P1241),INDEX(PARAMETROS_CULTURAS!$K$6:$K$28,$P1241),IF($O1241&lt;=INDEX(PARAMETROS_CULTURAS!$F$6:$F$28,$P1241)+INDEX(PARAMETROS_CULTURAS!$G$6:$G$28,$P1241),INDEX(PARAMETROS_CULTURAS!$K$6:$K$28,$P1241)+(INDEX(PARAMETROS_CULTURAS!$L$6:$L$28,$P1241)-INDEX(PARAMETROS_CULTURAS!$K$6:$K$28,$P1241))*($O1241-INDEX(PARAMETROS_CULTURAS!$F$6:$F$28,$P1241))/MAX(INDEX(PARAMETROS_CULTURAS!$G$6:$G$28,$P1241),0.0001),IF($O1241&lt;=INDEX(PARAMETROS_CULTURAS!$F$6:$F$28,$P1241)+INDEX(PARAMETROS_CULTURAS!$G$6:$G$28,$P1241)+INDEX(PARAMETROS_CULTURAS!$H$6:$H$28,$P1241),INDEX(PARAMETROS_CULTURAS!$L$6:$L$28,$P1241),INDEX(PARAMETROS_CULTURAS!$L$6:$L$28,$P1241)+(INDEX(PARAMETROS_CULTURAS!$M$6:$M$28,$P1241)-INDEX(PARAMETROS_CULTURAS!$L$6:$L$28,$P1241))*($O1241-INDEX(PARAMETROS_CULTURAS!$F$6:$F$28,$P1241)-INDEX(PARAMETROS_CULTURAS!$G$6:$G$28,$P1241)-INDEX(PARAMETROS_CULTURAS!$H$6:$H$28,$P1241))/MAX(INDEX(PARAMETROS_CULTURAS!$I$6:$I$28,$P1241),0.0001)))))</f>
        <v>0.471</v>
      </c>
      <c r="S1241" s="18" t="n">
        <f aca="false">IFERROR(INDEX(SEMANAS!$H$6:$H$71,MATCH($B1241,SEMANAS!$B$6:$B$71,0)),0)</f>
        <v>31</v>
      </c>
      <c r="T1241" s="18" t="n">
        <f aca="false">$R1241*$S1241</f>
        <v>14.601</v>
      </c>
      <c r="U1241" s="18" t="n">
        <f aca="false">IFERROR(INDEX(SEMANAS!$I$6:$I$71,MATCH($B1241,SEMANAS!$B$6:$B$71,0)),0)</f>
        <v>0.76</v>
      </c>
      <c r="V1241" s="18" t="n">
        <f aca="false">IFERROR(INDEX(SEMANAS!$J$6:$J$71,MATCH($B1241,SEMANAS!$B$6:$B$71,0)),0)</f>
        <v>0.608</v>
      </c>
      <c r="W1241" s="18" t="n">
        <f aca="false">MAX(0,$T1241-$V1241)</f>
        <v>13.993</v>
      </c>
      <c r="X1241" s="19" t="n">
        <f aca="false">IFERROR(INDEX(CADASTRO_PIVOS!$K$6:$K$41,MATCH($E1241,CADASTRO_PIVOS!$B$6:$B$41,0)),EFICIENCIA_PADRAO)</f>
        <v>0.85</v>
      </c>
      <c r="Y1241" s="18" t="n">
        <f aca="false">IF($X1241&lt;=0,0,$W1241/$X1241)</f>
        <v>16.4623529411765</v>
      </c>
      <c r="Z1241" s="16" t="n">
        <f aca="false">$Y1241*$H1241*MM_PARA_M3_HA</f>
        <v>24115.7008235294</v>
      </c>
      <c r="AA1241" s="18" t="n">
        <f aca="false">IFERROR(INDEX(CADASTRO_PIVOS!$I$6:$I$41,MATCH($E1241,CADASTRO_PIVOS!$B$6:$B$41,0)),0)</f>
        <v>906.842857142857</v>
      </c>
      <c r="AB1241" s="18" t="n">
        <f aca="false">IF($Z1241&lt;=0,0,$Z1241/$AA1241)</f>
        <v>26.5930316742081</v>
      </c>
      <c r="AC1241" s="16" t="n">
        <f aca="false">IFERROR(INDEX(SEMANAS!$K$6:$K$71,MATCH($B1241,SEMANAS!$B$6:$B$71,0)),0)</f>
        <v>147</v>
      </c>
      <c r="AD1241" s="19" t="n">
        <f aca="false">IF($AC1241&lt;=0,0,$AB1241/$AC1241)</f>
        <v>0.180904977375566</v>
      </c>
      <c r="AE1241" s="8" t="str">
        <f aca="false">IF($K1241="SEM CULTURA","SEM CULTURA",IF($AA1241&lt;=0,"DADO PENDENTE",IF($AD1241&gt;LIMITE_CRITICO,"INVIAVEL",IF($AD1241&gt;LIMITE_ATENCAO,"CRITICO",IF($AD1241&gt;LIMITE_CONFORTAVEL,"ATENCAO","OK")))))</f>
        <v>OK</v>
      </c>
      <c r="AF1241" s="8" t="str">
        <f aca="false">$B1241&amp;"|"&amp;TEXT($AD1241,"0.000000")</f>
        <v>48|0.180905</v>
      </c>
      <c r="AG1241" s="18" t="n">
        <f aca="false">IF($K1241="SEM CULTURA",0,$T1241*$H1241)</f>
        <v>2138.90049</v>
      </c>
      <c r="AH1241" s="18" t="n">
        <f aca="false">IF($K1241="SEM CULTURA",0,$V1241*$H1241)</f>
        <v>89.06592</v>
      </c>
      <c r="AI1241" s="18" t="n">
        <f aca="false">IF($K1241="SEM CULTURA",0,$W1241*$H1241)</f>
        <v>2049.83457</v>
      </c>
      <c r="AJ1241" s="18" t="n">
        <f aca="false">IF($K1241="SEM CULTURA",0,$S1241*$H1241)</f>
        <v>4541.19</v>
      </c>
      <c r="AK1241" s="8" t="str">
        <f aca="false">$E1241&amp;"|"&amp;TEXT($AD1241,"0.000000")</f>
        <v>PV 118|0.180905</v>
      </c>
    </row>
    <row r="1242" customFormat="false" ht="15" hidden="false" customHeight="false" outlineLevel="0" collapsed="false">
      <c r="B1242" s="16" t="n">
        <v>49</v>
      </c>
      <c r="C1242" s="17" t="n">
        <f aca="false">DATA_INICIO_SAFRA+($B1242-1)*DIAS_POR_SEMANA</f>
        <v>46601</v>
      </c>
      <c r="D1242" s="17" t="n">
        <f aca="false">$C1242+DIAS_POR_SEMANA-1</f>
        <v>46607</v>
      </c>
      <c r="E1242" s="15" t="s">
        <v>277</v>
      </c>
      <c r="F1242" s="8" t="str">
        <f aca="false">IFERROR(INDEX(CADASTRO_PIVOS!$C$6:$C$41,MATCH($E1242,CADASTRO_PIVOS!$B$6:$B$41,0)),"?")</f>
        <v>RM06</v>
      </c>
      <c r="G1242" s="8" t="str">
        <f aca="false">IFERROR(INDEX(CADASTRO_PIVOS!$D$6:$D$41,MATCH($E1242,CADASTRO_PIVOS!$B$6:$B$41,0)),"?")</f>
        <v>TR06</v>
      </c>
      <c r="H1242" s="20" t="n">
        <f aca="false">IFERROR(INDEX(CADASTRO_PIVOS!$E$6:$E$41,MATCH($E1242,CADASTRO_PIVOS!$B$6:$B$41,0)),0)</f>
        <v>146.49</v>
      </c>
      <c r="I1242" s="16" t="n">
        <f aca="false">IFERROR(SUMIFS(ROTACAO_RDM!$B$6:$B$71,ROTACAO_RDM!$D$6:$D$71,$E1242,ROTACAO_RDM!$I$6:$I$71,"&lt;="&amp;$C1242+INT(DIAS_POR_SEMANA/2),ROTACAO_RDM!$J$6:$J$71,"&gt;="&amp;$C1242+INT(DIAS_POR_SEMANA/2)),0)</f>
        <v>31</v>
      </c>
      <c r="J1242" s="16" t="n">
        <f aca="false">IFERROR(MATCH($I1242,ROTACAO_RDM!$B$6:$B$71,0),0)</f>
        <v>31</v>
      </c>
      <c r="K1242" s="8" t="str">
        <f aca="false">IF($J1242=0,"SEM CULTURA",INDEX(ROTACAO_RDM!$F$6:$F$71,$J1242))</f>
        <v>MILHO_GRAO</v>
      </c>
      <c r="L1242" s="8" t="n">
        <f aca="false">IF($J1242=0,"",INDEX(ROTACAO_RDM!$G$6:$G$71,$J1242))</f>
        <v>0</v>
      </c>
      <c r="M1242" s="17" t="n">
        <f aca="false">IF($J1242=0,"",INDEX(ROTACAO_RDM!$I$6:$I$71,$J1242))</f>
        <v>46559</v>
      </c>
      <c r="N1242" s="16" t="n">
        <f aca="false">IF($J1242=0,0,MAX(0,$C1242+INT(DIAS_POR_SEMANA/2)-INDEX(ROTACAO_RDM!$I$6:$I$71,$J1242)))</f>
        <v>45</v>
      </c>
      <c r="O1242" s="19" t="n">
        <f aca="false">IF($J1242=0,0,MIN(1,$N1242/MAX(1,INDEX(ROTACAO_RDM!$K$6:$K$71,$J1242))))</f>
        <v>0.28125</v>
      </c>
      <c r="P1242" s="16" t="n">
        <f aca="false">IF($J1242=0,0,IFERROR(MATCH(INDEX(ROTACAO_RDM!$N$6:$N$71,$J1242),PARAMETROS_CULTURAS!$B$6:$B$28,0),0))</f>
        <v>8</v>
      </c>
      <c r="Q1242" s="8" t="str">
        <f aca="false">IF($P1242=0,"-",IF($O1242&lt;=INDEX(PARAMETROS_CULTURAS!$F$6:$F$28,$P1242),"INICIAL",IF($O1242&lt;=INDEX(PARAMETROS_CULTURAS!$F$6:$F$28,$P1242)+INDEX(PARAMETROS_CULTURAS!$G$6:$G$28,$P1242),"DESENVOLVIMENTO",IF($O1242&lt;=INDEX(PARAMETROS_CULTURAS!$F$6:$F$28,$P1242)+INDEX(PARAMETROS_CULTURAS!$G$6:$G$28,$P1242)+INDEX(PARAMETROS_CULTURAS!$H$6:$H$28,$P1242),"MEDIA","FINAL"))))</f>
        <v>DESENVOLVIMENTO</v>
      </c>
      <c r="R1242" s="24" t="n">
        <f aca="false">IF($P1242=0,0,IF($O1242&lt;=INDEX(PARAMETROS_CULTURAS!$F$6:$F$28,$P1242),INDEX(PARAMETROS_CULTURAS!$K$6:$K$28,$P1242),IF($O1242&lt;=INDEX(PARAMETROS_CULTURAS!$F$6:$F$28,$P1242)+INDEX(PARAMETROS_CULTURAS!$G$6:$G$28,$P1242),INDEX(PARAMETROS_CULTURAS!$K$6:$K$28,$P1242)+(INDEX(PARAMETROS_CULTURAS!$L$6:$L$28,$P1242)-INDEX(PARAMETROS_CULTURAS!$K$6:$K$28,$P1242))*($O1242-INDEX(PARAMETROS_CULTURAS!$F$6:$F$28,$P1242))/MAX(INDEX(PARAMETROS_CULTURAS!$G$6:$G$28,$P1242),0.0001),IF($O1242&lt;=INDEX(PARAMETROS_CULTURAS!$F$6:$F$28,$P1242)+INDEX(PARAMETROS_CULTURAS!$G$6:$G$28,$P1242)+INDEX(PARAMETROS_CULTURAS!$H$6:$H$28,$P1242),INDEX(PARAMETROS_CULTURAS!$L$6:$L$28,$P1242),INDEX(PARAMETROS_CULTURAS!$L$6:$L$28,$P1242)+(INDEX(PARAMETROS_CULTURAS!$M$6:$M$28,$P1242)-INDEX(PARAMETROS_CULTURAS!$L$6:$L$28,$P1242))*($O1242-INDEX(PARAMETROS_CULTURAS!$F$6:$F$28,$P1242)-INDEX(PARAMETROS_CULTURAS!$G$6:$G$28,$P1242)-INDEX(PARAMETROS_CULTURAS!$H$6:$H$28,$P1242))/MAX(INDEX(PARAMETROS_CULTURAS!$I$6:$I$28,$P1242),0.0001)))))</f>
        <v>0.6285</v>
      </c>
      <c r="S1242" s="18" t="n">
        <f aca="false">IFERROR(INDEX(SEMANAS!$H$6:$H$71,MATCH($B1242,SEMANAS!$B$6:$B$71,0)),0)</f>
        <v>36.4</v>
      </c>
      <c r="T1242" s="18" t="n">
        <f aca="false">$R1242*$S1242</f>
        <v>22.8774</v>
      </c>
      <c r="U1242" s="18" t="n">
        <f aca="false">IFERROR(INDEX(SEMANAS!$I$6:$I$71,MATCH($B1242,SEMANAS!$B$6:$B$71,0)),0)</f>
        <v>1.12</v>
      </c>
      <c r="V1242" s="18" t="n">
        <f aca="false">IFERROR(INDEX(SEMANAS!$J$6:$J$71,MATCH($B1242,SEMANAS!$B$6:$B$71,0)),0)</f>
        <v>0.896</v>
      </c>
      <c r="W1242" s="18" t="n">
        <f aca="false">MAX(0,$T1242-$V1242)</f>
        <v>21.9814</v>
      </c>
      <c r="X1242" s="19" t="n">
        <f aca="false">IFERROR(INDEX(CADASTRO_PIVOS!$K$6:$K$41,MATCH($E1242,CADASTRO_PIVOS!$B$6:$B$41,0)),EFICIENCIA_PADRAO)</f>
        <v>0.85</v>
      </c>
      <c r="Y1242" s="18" t="n">
        <f aca="false">IF($X1242&lt;=0,0,$W1242/$X1242)</f>
        <v>25.8604705882353</v>
      </c>
      <c r="Z1242" s="16" t="n">
        <f aca="false">$Y1242*$H1242*MM_PARA_M3_HA</f>
        <v>37883.0033647059</v>
      </c>
      <c r="AA1242" s="18" t="n">
        <f aca="false">IFERROR(INDEX(CADASTRO_PIVOS!$I$6:$I$41,MATCH($E1242,CADASTRO_PIVOS!$B$6:$B$41,0)),0)</f>
        <v>906.842857142857</v>
      </c>
      <c r="AB1242" s="18" t="n">
        <f aca="false">IF($Z1242&lt;=0,0,$Z1242/$AA1242)</f>
        <v>41.7746063348416</v>
      </c>
      <c r="AC1242" s="16" t="n">
        <f aca="false">IFERROR(INDEX(SEMANAS!$K$6:$K$71,MATCH($B1242,SEMANAS!$B$6:$B$71,0)),0)</f>
        <v>147</v>
      </c>
      <c r="AD1242" s="19" t="n">
        <f aca="false">IF($AC1242&lt;=0,0,$AB1242/$AC1242)</f>
        <v>0.284180995475113</v>
      </c>
      <c r="AE1242" s="8" t="str">
        <f aca="false">IF($K1242="SEM CULTURA","SEM CULTURA",IF($AA1242&lt;=0,"DADO PENDENTE",IF($AD1242&gt;LIMITE_CRITICO,"INVIAVEL",IF($AD1242&gt;LIMITE_ATENCAO,"CRITICO",IF($AD1242&gt;LIMITE_CONFORTAVEL,"ATENCAO","OK")))))</f>
        <v>OK</v>
      </c>
      <c r="AF1242" s="8" t="str">
        <f aca="false">$B1242&amp;"|"&amp;TEXT($AD1242,"0.000000")</f>
        <v>49|0.284181</v>
      </c>
      <c r="AG1242" s="18" t="n">
        <f aca="false">IF($K1242="SEM CULTURA",0,$T1242*$H1242)</f>
        <v>3351.310326</v>
      </c>
      <c r="AH1242" s="18" t="n">
        <f aca="false">IF($K1242="SEM CULTURA",0,$V1242*$H1242)</f>
        <v>131.25504</v>
      </c>
      <c r="AI1242" s="18" t="n">
        <f aca="false">IF($K1242="SEM CULTURA",0,$W1242*$H1242)</f>
        <v>3220.055286</v>
      </c>
      <c r="AJ1242" s="18" t="n">
        <f aca="false">IF($K1242="SEM CULTURA",0,$S1242*$H1242)</f>
        <v>5332.236</v>
      </c>
      <c r="AK1242" s="8" t="str">
        <f aca="false">$E1242&amp;"|"&amp;TEXT($AD1242,"0.000000")</f>
        <v>PV 118|0.284181</v>
      </c>
    </row>
    <row r="1243" customFormat="false" ht="15" hidden="false" customHeight="false" outlineLevel="0" collapsed="false">
      <c r="B1243" s="16" t="n">
        <v>50</v>
      </c>
      <c r="C1243" s="17" t="n">
        <f aca="false">DATA_INICIO_SAFRA+($B1243-1)*DIAS_POR_SEMANA</f>
        <v>46608</v>
      </c>
      <c r="D1243" s="17" t="n">
        <f aca="false">$C1243+DIAS_POR_SEMANA-1</f>
        <v>46614</v>
      </c>
      <c r="E1243" s="15" t="s">
        <v>277</v>
      </c>
      <c r="F1243" s="8" t="str">
        <f aca="false">IFERROR(INDEX(CADASTRO_PIVOS!$C$6:$C$41,MATCH($E1243,CADASTRO_PIVOS!$B$6:$B$41,0)),"?")</f>
        <v>RM06</v>
      </c>
      <c r="G1243" s="8" t="str">
        <f aca="false">IFERROR(INDEX(CADASTRO_PIVOS!$D$6:$D$41,MATCH($E1243,CADASTRO_PIVOS!$B$6:$B$41,0)),"?")</f>
        <v>TR06</v>
      </c>
      <c r="H1243" s="20" t="n">
        <f aca="false">IFERROR(INDEX(CADASTRO_PIVOS!$E$6:$E$41,MATCH($E1243,CADASTRO_PIVOS!$B$6:$B$41,0)),0)</f>
        <v>146.49</v>
      </c>
      <c r="I1243" s="16" t="n">
        <f aca="false">IFERROR(SUMIFS(ROTACAO_RDM!$B$6:$B$71,ROTACAO_RDM!$D$6:$D$71,$E1243,ROTACAO_RDM!$I$6:$I$71,"&lt;="&amp;$C1243+INT(DIAS_POR_SEMANA/2),ROTACAO_RDM!$J$6:$J$71,"&gt;="&amp;$C1243+INT(DIAS_POR_SEMANA/2)),0)</f>
        <v>31</v>
      </c>
      <c r="J1243" s="16" t="n">
        <f aca="false">IFERROR(MATCH($I1243,ROTACAO_RDM!$B$6:$B$71,0),0)</f>
        <v>31</v>
      </c>
      <c r="K1243" s="8" t="str">
        <f aca="false">IF($J1243=0,"SEM CULTURA",INDEX(ROTACAO_RDM!$F$6:$F$71,$J1243))</f>
        <v>MILHO_GRAO</v>
      </c>
      <c r="L1243" s="8" t="n">
        <f aca="false">IF($J1243=0,"",INDEX(ROTACAO_RDM!$G$6:$G$71,$J1243))</f>
        <v>0</v>
      </c>
      <c r="M1243" s="17" t="n">
        <f aca="false">IF($J1243=0,"",INDEX(ROTACAO_RDM!$I$6:$I$71,$J1243))</f>
        <v>46559</v>
      </c>
      <c r="N1243" s="16" t="n">
        <f aca="false">IF($J1243=0,0,MAX(0,$C1243+INT(DIAS_POR_SEMANA/2)-INDEX(ROTACAO_RDM!$I$6:$I$71,$J1243)))</f>
        <v>52</v>
      </c>
      <c r="O1243" s="19" t="n">
        <f aca="false">IF($J1243=0,0,MIN(1,$N1243/MAX(1,INDEX(ROTACAO_RDM!$K$6:$K$71,$J1243))))</f>
        <v>0.325</v>
      </c>
      <c r="P1243" s="16" t="n">
        <f aca="false">IF($J1243=0,0,IFERROR(MATCH(INDEX(ROTACAO_RDM!$N$6:$N$71,$J1243),PARAMETROS_CULTURAS!$B$6:$B$28,0),0))</f>
        <v>8</v>
      </c>
      <c r="Q1243" s="8" t="str">
        <f aca="false">IF($P1243=0,"-",IF($O1243&lt;=INDEX(PARAMETROS_CULTURAS!$F$6:$F$28,$P1243),"INICIAL",IF($O1243&lt;=INDEX(PARAMETROS_CULTURAS!$F$6:$F$28,$P1243)+INDEX(PARAMETROS_CULTURAS!$G$6:$G$28,$P1243),"DESENVOLVIMENTO",IF($O1243&lt;=INDEX(PARAMETROS_CULTURAS!$F$6:$F$28,$P1243)+INDEX(PARAMETROS_CULTURAS!$G$6:$G$28,$P1243)+INDEX(PARAMETROS_CULTURAS!$H$6:$H$28,$P1243),"MEDIA","FINAL"))))</f>
        <v>DESENVOLVIMENTO</v>
      </c>
      <c r="R1243" s="24" t="n">
        <f aca="false">IF($P1243=0,0,IF($O1243&lt;=INDEX(PARAMETROS_CULTURAS!$F$6:$F$28,$P1243),INDEX(PARAMETROS_CULTURAS!$K$6:$K$28,$P1243),IF($O1243&lt;=INDEX(PARAMETROS_CULTURAS!$F$6:$F$28,$P1243)+INDEX(PARAMETROS_CULTURAS!$G$6:$G$28,$P1243),INDEX(PARAMETROS_CULTURAS!$K$6:$K$28,$P1243)+(INDEX(PARAMETROS_CULTURAS!$L$6:$L$28,$P1243)-INDEX(PARAMETROS_CULTURAS!$K$6:$K$28,$P1243))*($O1243-INDEX(PARAMETROS_CULTURAS!$F$6:$F$28,$P1243))/MAX(INDEX(PARAMETROS_CULTURAS!$G$6:$G$28,$P1243),0.0001),IF($O1243&lt;=INDEX(PARAMETROS_CULTURAS!$F$6:$F$28,$P1243)+INDEX(PARAMETROS_CULTURAS!$G$6:$G$28,$P1243)+INDEX(PARAMETROS_CULTURAS!$H$6:$H$28,$P1243),INDEX(PARAMETROS_CULTURAS!$L$6:$L$28,$P1243),INDEX(PARAMETROS_CULTURAS!$L$6:$L$28,$P1243)+(INDEX(PARAMETROS_CULTURAS!$M$6:$M$28,$P1243)-INDEX(PARAMETROS_CULTURAS!$L$6:$L$28,$P1243))*($O1243-INDEX(PARAMETROS_CULTURAS!$F$6:$F$28,$P1243)-INDEX(PARAMETROS_CULTURAS!$G$6:$G$28,$P1243)-INDEX(PARAMETROS_CULTURAS!$H$6:$H$28,$P1243))/MAX(INDEX(PARAMETROS_CULTURAS!$I$6:$I$28,$P1243),0.0001)))))</f>
        <v>0.786</v>
      </c>
      <c r="S1243" s="18" t="n">
        <f aca="false">IFERROR(INDEX(SEMANAS!$H$6:$H$71,MATCH($B1243,SEMANAS!$B$6:$B$71,0)),0)</f>
        <v>36.4</v>
      </c>
      <c r="T1243" s="18" t="n">
        <f aca="false">$R1243*$S1243</f>
        <v>28.6104</v>
      </c>
      <c r="U1243" s="18" t="n">
        <f aca="false">IFERROR(INDEX(SEMANAS!$I$6:$I$71,MATCH($B1243,SEMANAS!$B$6:$B$71,0)),0)</f>
        <v>1.12</v>
      </c>
      <c r="V1243" s="18" t="n">
        <f aca="false">IFERROR(INDEX(SEMANAS!$J$6:$J$71,MATCH($B1243,SEMANAS!$B$6:$B$71,0)),0)</f>
        <v>0.896</v>
      </c>
      <c r="W1243" s="18" t="n">
        <f aca="false">MAX(0,$T1243-$V1243)</f>
        <v>27.7144</v>
      </c>
      <c r="X1243" s="19" t="n">
        <f aca="false">IFERROR(INDEX(CADASTRO_PIVOS!$K$6:$K$41,MATCH($E1243,CADASTRO_PIVOS!$B$6:$B$41,0)),EFICIENCIA_PADRAO)</f>
        <v>0.85</v>
      </c>
      <c r="Y1243" s="18" t="n">
        <f aca="false">IF($X1243&lt;=0,0,$W1243/$X1243)</f>
        <v>32.6051764705882</v>
      </c>
      <c r="Z1243" s="16" t="n">
        <f aca="false">$Y1243*$H1243*MM_PARA_M3_HA</f>
        <v>47763.3230117647</v>
      </c>
      <c r="AA1243" s="18" t="n">
        <f aca="false">IFERROR(INDEX(CADASTRO_PIVOS!$I$6:$I$41,MATCH($E1243,CADASTRO_PIVOS!$B$6:$B$41,0)),0)</f>
        <v>906.842857142857</v>
      </c>
      <c r="AB1243" s="18" t="n">
        <f aca="false">IF($Z1243&lt;=0,0,$Z1243/$AA1243)</f>
        <v>52.6699004524887</v>
      </c>
      <c r="AC1243" s="16" t="n">
        <f aca="false">IFERROR(INDEX(SEMANAS!$K$6:$K$71,MATCH($B1243,SEMANAS!$B$6:$B$71,0)),0)</f>
        <v>147</v>
      </c>
      <c r="AD1243" s="19" t="n">
        <f aca="false">IF($AC1243&lt;=0,0,$AB1243/$AC1243)</f>
        <v>0.358298642533937</v>
      </c>
      <c r="AE1243" s="8" t="str">
        <f aca="false">IF($K1243="SEM CULTURA","SEM CULTURA",IF($AA1243&lt;=0,"DADO PENDENTE",IF($AD1243&gt;LIMITE_CRITICO,"INVIAVEL",IF($AD1243&gt;LIMITE_ATENCAO,"CRITICO",IF($AD1243&gt;LIMITE_CONFORTAVEL,"ATENCAO","OK")))))</f>
        <v>OK</v>
      </c>
      <c r="AF1243" s="8" t="str">
        <f aca="false">$B1243&amp;"|"&amp;TEXT($AD1243,"0.000000")</f>
        <v>50|0.358299</v>
      </c>
      <c r="AG1243" s="18" t="n">
        <f aca="false">IF($K1243="SEM CULTURA",0,$T1243*$H1243)</f>
        <v>4191.137496</v>
      </c>
      <c r="AH1243" s="18" t="n">
        <f aca="false">IF($K1243="SEM CULTURA",0,$V1243*$H1243)</f>
        <v>131.25504</v>
      </c>
      <c r="AI1243" s="18" t="n">
        <f aca="false">IF($K1243="SEM CULTURA",0,$W1243*$H1243)</f>
        <v>4059.882456</v>
      </c>
      <c r="AJ1243" s="18" t="n">
        <f aca="false">IF($K1243="SEM CULTURA",0,$S1243*$H1243)</f>
        <v>5332.236</v>
      </c>
      <c r="AK1243" s="8" t="str">
        <f aca="false">$E1243&amp;"|"&amp;TEXT($AD1243,"0.000000")</f>
        <v>PV 118|0.358299</v>
      </c>
    </row>
    <row r="1244" customFormat="false" ht="15" hidden="false" customHeight="false" outlineLevel="0" collapsed="false">
      <c r="B1244" s="16" t="n">
        <v>51</v>
      </c>
      <c r="C1244" s="17" t="n">
        <f aca="false">DATA_INICIO_SAFRA+($B1244-1)*DIAS_POR_SEMANA</f>
        <v>46615</v>
      </c>
      <c r="D1244" s="17" t="n">
        <f aca="false">$C1244+DIAS_POR_SEMANA-1</f>
        <v>46621</v>
      </c>
      <c r="E1244" s="15" t="s">
        <v>277</v>
      </c>
      <c r="F1244" s="8" t="str">
        <f aca="false">IFERROR(INDEX(CADASTRO_PIVOS!$C$6:$C$41,MATCH($E1244,CADASTRO_PIVOS!$B$6:$B$41,0)),"?")</f>
        <v>RM06</v>
      </c>
      <c r="G1244" s="8" t="str">
        <f aca="false">IFERROR(INDEX(CADASTRO_PIVOS!$D$6:$D$41,MATCH($E1244,CADASTRO_PIVOS!$B$6:$B$41,0)),"?")</f>
        <v>TR06</v>
      </c>
      <c r="H1244" s="20" t="n">
        <f aca="false">IFERROR(INDEX(CADASTRO_PIVOS!$E$6:$E$41,MATCH($E1244,CADASTRO_PIVOS!$B$6:$B$41,0)),0)</f>
        <v>146.49</v>
      </c>
      <c r="I1244" s="16" t="n">
        <f aca="false">IFERROR(SUMIFS(ROTACAO_RDM!$B$6:$B$71,ROTACAO_RDM!$D$6:$D$71,$E1244,ROTACAO_RDM!$I$6:$I$71,"&lt;="&amp;$C1244+INT(DIAS_POR_SEMANA/2),ROTACAO_RDM!$J$6:$J$71,"&gt;="&amp;$C1244+INT(DIAS_POR_SEMANA/2)),0)</f>
        <v>31</v>
      </c>
      <c r="J1244" s="16" t="n">
        <f aca="false">IFERROR(MATCH($I1244,ROTACAO_RDM!$B$6:$B$71,0),0)</f>
        <v>31</v>
      </c>
      <c r="K1244" s="8" t="str">
        <f aca="false">IF($J1244=0,"SEM CULTURA",INDEX(ROTACAO_RDM!$F$6:$F$71,$J1244))</f>
        <v>MILHO_GRAO</v>
      </c>
      <c r="L1244" s="8" t="n">
        <f aca="false">IF($J1244=0,"",INDEX(ROTACAO_RDM!$G$6:$G$71,$J1244))</f>
        <v>0</v>
      </c>
      <c r="M1244" s="17" t="n">
        <f aca="false">IF($J1244=0,"",INDEX(ROTACAO_RDM!$I$6:$I$71,$J1244))</f>
        <v>46559</v>
      </c>
      <c r="N1244" s="16" t="n">
        <f aca="false">IF($J1244=0,0,MAX(0,$C1244+INT(DIAS_POR_SEMANA/2)-INDEX(ROTACAO_RDM!$I$6:$I$71,$J1244)))</f>
        <v>59</v>
      </c>
      <c r="O1244" s="19" t="n">
        <f aca="false">IF($J1244=0,0,MIN(1,$N1244/MAX(1,INDEX(ROTACAO_RDM!$K$6:$K$71,$J1244))))</f>
        <v>0.36875</v>
      </c>
      <c r="P1244" s="16" t="n">
        <f aca="false">IF($J1244=0,0,IFERROR(MATCH(INDEX(ROTACAO_RDM!$N$6:$N$71,$J1244),PARAMETROS_CULTURAS!$B$6:$B$28,0),0))</f>
        <v>8</v>
      </c>
      <c r="Q1244" s="8" t="str">
        <f aca="false">IF($P1244=0,"-",IF($O1244&lt;=INDEX(PARAMETROS_CULTURAS!$F$6:$F$28,$P1244),"INICIAL",IF($O1244&lt;=INDEX(PARAMETROS_CULTURAS!$F$6:$F$28,$P1244)+INDEX(PARAMETROS_CULTURAS!$G$6:$G$28,$P1244),"DESENVOLVIMENTO",IF($O1244&lt;=INDEX(PARAMETROS_CULTURAS!$F$6:$F$28,$P1244)+INDEX(PARAMETROS_CULTURAS!$G$6:$G$28,$P1244)+INDEX(PARAMETROS_CULTURAS!$H$6:$H$28,$P1244),"MEDIA","FINAL"))))</f>
        <v>DESENVOLVIMENTO</v>
      </c>
      <c r="R1244" s="24" t="n">
        <f aca="false">IF($P1244=0,0,IF($O1244&lt;=INDEX(PARAMETROS_CULTURAS!$F$6:$F$28,$P1244),INDEX(PARAMETROS_CULTURAS!$K$6:$K$28,$P1244),IF($O1244&lt;=INDEX(PARAMETROS_CULTURAS!$F$6:$F$28,$P1244)+INDEX(PARAMETROS_CULTURAS!$G$6:$G$28,$P1244),INDEX(PARAMETROS_CULTURAS!$K$6:$K$28,$P1244)+(INDEX(PARAMETROS_CULTURAS!$L$6:$L$28,$P1244)-INDEX(PARAMETROS_CULTURAS!$K$6:$K$28,$P1244))*($O1244-INDEX(PARAMETROS_CULTURAS!$F$6:$F$28,$P1244))/MAX(INDEX(PARAMETROS_CULTURAS!$G$6:$G$28,$P1244),0.0001),IF($O1244&lt;=INDEX(PARAMETROS_CULTURAS!$F$6:$F$28,$P1244)+INDEX(PARAMETROS_CULTURAS!$G$6:$G$28,$P1244)+INDEX(PARAMETROS_CULTURAS!$H$6:$H$28,$P1244),INDEX(PARAMETROS_CULTURAS!$L$6:$L$28,$P1244),INDEX(PARAMETROS_CULTURAS!$L$6:$L$28,$P1244)+(INDEX(PARAMETROS_CULTURAS!$M$6:$M$28,$P1244)-INDEX(PARAMETROS_CULTURAS!$L$6:$L$28,$P1244))*($O1244-INDEX(PARAMETROS_CULTURAS!$F$6:$F$28,$P1244)-INDEX(PARAMETROS_CULTURAS!$G$6:$G$28,$P1244)-INDEX(PARAMETROS_CULTURAS!$H$6:$H$28,$P1244))/MAX(INDEX(PARAMETROS_CULTURAS!$I$6:$I$28,$P1244),0.0001)))))</f>
        <v>0.9435</v>
      </c>
      <c r="S1244" s="18" t="n">
        <f aca="false">IFERROR(INDEX(SEMANAS!$H$6:$H$71,MATCH($B1244,SEMANAS!$B$6:$B$71,0)),0)</f>
        <v>36.4</v>
      </c>
      <c r="T1244" s="18" t="n">
        <f aca="false">$R1244*$S1244</f>
        <v>34.3434</v>
      </c>
      <c r="U1244" s="18" t="n">
        <f aca="false">IFERROR(INDEX(SEMANAS!$I$6:$I$71,MATCH($B1244,SEMANAS!$B$6:$B$71,0)),0)</f>
        <v>1.12</v>
      </c>
      <c r="V1244" s="18" t="n">
        <f aca="false">IFERROR(INDEX(SEMANAS!$J$6:$J$71,MATCH($B1244,SEMANAS!$B$6:$B$71,0)),0)</f>
        <v>0.896</v>
      </c>
      <c r="W1244" s="18" t="n">
        <f aca="false">MAX(0,$T1244-$V1244)</f>
        <v>33.4474</v>
      </c>
      <c r="X1244" s="19" t="n">
        <f aca="false">IFERROR(INDEX(CADASTRO_PIVOS!$K$6:$K$41,MATCH($E1244,CADASTRO_PIVOS!$B$6:$B$41,0)),EFICIENCIA_PADRAO)</f>
        <v>0.85</v>
      </c>
      <c r="Y1244" s="18" t="n">
        <f aca="false">IF($X1244&lt;=0,0,$W1244/$X1244)</f>
        <v>39.3498823529412</v>
      </c>
      <c r="Z1244" s="16" t="n">
        <f aca="false">$Y1244*$H1244*MM_PARA_M3_HA</f>
        <v>57643.6426588235</v>
      </c>
      <c r="AA1244" s="18" t="n">
        <f aca="false">IFERROR(INDEX(CADASTRO_PIVOS!$I$6:$I$41,MATCH($E1244,CADASTRO_PIVOS!$B$6:$B$41,0)),0)</f>
        <v>906.842857142857</v>
      </c>
      <c r="AB1244" s="18" t="n">
        <f aca="false">IF($Z1244&lt;=0,0,$Z1244/$AA1244)</f>
        <v>63.5651945701357</v>
      </c>
      <c r="AC1244" s="16" t="n">
        <f aca="false">IFERROR(INDEX(SEMANAS!$K$6:$K$71,MATCH($B1244,SEMANAS!$B$6:$B$71,0)),0)</f>
        <v>147</v>
      </c>
      <c r="AD1244" s="19" t="n">
        <f aca="false">IF($AC1244&lt;=0,0,$AB1244/$AC1244)</f>
        <v>0.43241628959276</v>
      </c>
      <c r="AE1244" s="8" t="str">
        <f aca="false">IF($K1244="SEM CULTURA","SEM CULTURA",IF($AA1244&lt;=0,"DADO PENDENTE",IF($AD1244&gt;LIMITE_CRITICO,"INVIAVEL",IF($AD1244&gt;LIMITE_ATENCAO,"CRITICO",IF($AD1244&gt;LIMITE_CONFORTAVEL,"ATENCAO","OK")))))</f>
        <v>OK</v>
      </c>
      <c r="AF1244" s="8" t="str">
        <f aca="false">$B1244&amp;"|"&amp;TEXT($AD1244,"0.000000")</f>
        <v>51|0.432416</v>
      </c>
      <c r="AG1244" s="18" t="n">
        <f aca="false">IF($K1244="SEM CULTURA",0,$T1244*$H1244)</f>
        <v>5030.964666</v>
      </c>
      <c r="AH1244" s="18" t="n">
        <f aca="false">IF($K1244="SEM CULTURA",0,$V1244*$H1244)</f>
        <v>131.25504</v>
      </c>
      <c r="AI1244" s="18" t="n">
        <f aca="false">IF($K1244="SEM CULTURA",0,$W1244*$H1244)</f>
        <v>4899.709626</v>
      </c>
      <c r="AJ1244" s="18" t="n">
        <f aca="false">IF($K1244="SEM CULTURA",0,$S1244*$H1244)</f>
        <v>5332.236</v>
      </c>
      <c r="AK1244" s="8" t="str">
        <f aca="false">$E1244&amp;"|"&amp;TEXT($AD1244,"0.000000")</f>
        <v>PV 118|0.432416</v>
      </c>
    </row>
    <row r="1245" customFormat="false" ht="15" hidden="false" customHeight="false" outlineLevel="0" collapsed="false">
      <c r="B1245" s="16" t="n">
        <v>52</v>
      </c>
      <c r="C1245" s="17" t="n">
        <f aca="false">DATA_INICIO_SAFRA+($B1245-1)*DIAS_POR_SEMANA</f>
        <v>46622</v>
      </c>
      <c r="D1245" s="17" t="n">
        <f aca="false">$C1245+DIAS_POR_SEMANA-1</f>
        <v>46628</v>
      </c>
      <c r="E1245" s="15" t="s">
        <v>277</v>
      </c>
      <c r="F1245" s="8" t="str">
        <f aca="false">IFERROR(INDEX(CADASTRO_PIVOS!$C$6:$C$41,MATCH($E1245,CADASTRO_PIVOS!$B$6:$B$41,0)),"?")</f>
        <v>RM06</v>
      </c>
      <c r="G1245" s="8" t="str">
        <f aca="false">IFERROR(INDEX(CADASTRO_PIVOS!$D$6:$D$41,MATCH($E1245,CADASTRO_PIVOS!$B$6:$B$41,0)),"?")</f>
        <v>TR06</v>
      </c>
      <c r="H1245" s="20" t="n">
        <f aca="false">IFERROR(INDEX(CADASTRO_PIVOS!$E$6:$E$41,MATCH($E1245,CADASTRO_PIVOS!$B$6:$B$41,0)),0)</f>
        <v>146.49</v>
      </c>
      <c r="I1245" s="16" t="n">
        <f aca="false">IFERROR(SUMIFS(ROTACAO_RDM!$B$6:$B$71,ROTACAO_RDM!$D$6:$D$71,$E1245,ROTACAO_RDM!$I$6:$I$71,"&lt;="&amp;$C1245+INT(DIAS_POR_SEMANA/2),ROTACAO_RDM!$J$6:$J$71,"&gt;="&amp;$C1245+INT(DIAS_POR_SEMANA/2)),0)</f>
        <v>31</v>
      </c>
      <c r="J1245" s="16" t="n">
        <f aca="false">IFERROR(MATCH($I1245,ROTACAO_RDM!$B$6:$B$71,0),0)</f>
        <v>31</v>
      </c>
      <c r="K1245" s="8" t="str">
        <f aca="false">IF($J1245=0,"SEM CULTURA",INDEX(ROTACAO_RDM!$F$6:$F$71,$J1245))</f>
        <v>MILHO_GRAO</v>
      </c>
      <c r="L1245" s="8" t="n">
        <f aca="false">IF($J1245=0,"",INDEX(ROTACAO_RDM!$G$6:$G$71,$J1245))</f>
        <v>0</v>
      </c>
      <c r="M1245" s="17" t="n">
        <f aca="false">IF($J1245=0,"",INDEX(ROTACAO_RDM!$I$6:$I$71,$J1245))</f>
        <v>46559</v>
      </c>
      <c r="N1245" s="16" t="n">
        <f aca="false">IF($J1245=0,0,MAX(0,$C1245+INT(DIAS_POR_SEMANA/2)-INDEX(ROTACAO_RDM!$I$6:$I$71,$J1245)))</f>
        <v>66</v>
      </c>
      <c r="O1245" s="19" t="n">
        <f aca="false">IF($J1245=0,0,MIN(1,$N1245/MAX(1,INDEX(ROTACAO_RDM!$K$6:$K$71,$J1245))))</f>
        <v>0.4125</v>
      </c>
      <c r="P1245" s="16" t="n">
        <f aca="false">IF($J1245=0,0,IFERROR(MATCH(INDEX(ROTACAO_RDM!$N$6:$N$71,$J1245),PARAMETROS_CULTURAS!$B$6:$B$28,0),0))</f>
        <v>8</v>
      </c>
      <c r="Q1245" s="8" t="str">
        <f aca="false">IF($P1245=0,"-",IF($O1245&lt;=INDEX(PARAMETROS_CULTURAS!$F$6:$F$28,$P1245),"INICIAL",IF($O1245&lt;=INDEX(PARAMETROS_CULTURAS!$F$6:$F$28,$P1245)+INDEX(PARAMETROS_CULTURAS!$G$6:$G$28,$P1245),"DESENVOLVIMENTO",IF($O1245&lt;=INDEX(PARAMETROS_CULTURAS!$F$6:$F$28,$P1245)+INDEX(PARAMETROS_CULTURAS!$G$6:$G$28,$P1245)+INDEX(PARAMETROS_CULTURAS!$H$6:$H$28,$P1245),"MEDIA","FINAL"))))</f>
        <v>DESENVOLVIMENTO</v>
      </c>
      <c r="R1245" s="24" t="n">
        <f aca="false">IF($P1245=0,0,IF($O1245&lt;=INDEX(PARAMETROS_CULTURAS!$F$6:$F$28,$P1245),INDEX(PARAMETROS_CULTURAS!$K$6:$K$28,$P1245),IF($O1245&lt;=INDEX(PARAMETROS_CULTURAS!$F$6:$F$28,$P1245)+INDEX(PARAMETROS_CULTURAS!$G$6:$G$28,$P1245),INDEX(PARAMETROS_CULTURAS!$K$6:$K$28,$P1245)+(INDEX(PARAMETROS_CULTURAS!$L$6:$L$28,$P1245)-INDEX(PARAMETROS_CULTURAS!$K$6:$K$28,$P1245))*($O1245-INDEX(PARAMETROS_CULTURAS!$F$6:$F$28,$P1245))/MAX(INDEX(PARAMETROS_CULTURAS!$G$6:$G$28,$P1245),0.0001),IF($O1245&lt;=INDEX(PARAMETROS_CULTURAS!$F$6:$F$28,$P1245)+INDEX(PARAMETROS_CULTURAS!$G$6:$G$28,$P1245)+INDEX(PARAMETROS_CULTURAS!$H$6:$H$28,$P1245),INDEX(PARAMETROS_CULTURAS!$L$6:$L$28,$P1245),INDEX(PARAMETROS_CULTURAS!$L$6:$L$28,$P1245)+(INDEX(PARAMETROS_CULTURAS!$M$6:$M$28,$P1245)-INDEX(PARAMETROS_CULTURAS!$L$6:$L$28,$P1245))*($O1245-INDEX(PARAMETROS_CULTURAS!$F$6:$F$28,$P1245)-INDEX(PARAMETROS_CULTURAS!$G$6:$G$28,$P1245)-INDEX(PARAMETROS_CULTURAS!$H$6:$H$28,$P1245))/MAX(INDEX(PARAMETROS_CULTURAS!$I$6:$I$28,$P1245),0.0001)))))</f>
        <v>1.101</v>
      </c>
      <c r="S1245" s="18" t="n">
        <f aca="false">IFERROR(INDEX(SEMANAS!$H$6:$H$71,MATCH($B1245,SEMANAS!$B$6:$B$71,0)),0)</f>
        <v>36.4</v>
      </c>
      <c r="T1245" s="18" t="n">
        <f aca="false">$R1245*$S1245</f>
        <v>40.0764</v>
      </c>
      <c r="U1245" s="18" t="n">
        <f aca="false">IFERROR(INDEX(SEMANAS!$I$6:$I$71,MATCH($B1245,SEMANAS!$B$6:$B$71,0)),0)</f>
        <v>1.12</v>
      </c>
      <c r="V1245" s="18" t="n">
        <f aca="false">IFERROR(INDEX(SEMANAS!$J$6:$J$71,MATCH($B1245,SEMANAS!$B$6:$B$71,0)),0)</f>
        <v>0.896</v>
      </c>
      <c r="W1245" s="18" t="n">
        <f aca="false">MAX(0,$T1245-$V1245)</f>
        <v>39.1804</v>
      </c>
      <c r="X1245" s="19" t="n">
        <f aca="false">IFERROR(INDEX(CADASTRO_PIVOS!$K$6:$K$41,MATCH($E1245,CADASTRO_PIVOS!$B$6:$B$41,0)),EFICIENCIA_PADRAO)</f>
        <v>0.85</v>
      </c>
      <c r="Y1245" s="18" t="n">
        <f aca="false">IF($X1245&lt;=0,0,$W1245/$X1245)</f>
        <v>46.0945882352941</v>
      </c>
      <c r="Z1245" s="16" t="n">
        <f aca="false">$Y1245*$H1245*MM_PARA_M3_HA</f>
        <v>67523.9623058824</v>
      </c>
      <c r="AA1245" s="18" t="n">
        <f aca="false">IFERROR(INDEX(CADASTRO_PIVOS!$I$6:$I$41,MATCH($E1245,CADASTRO_PIVOS!$B$6:$B$41,0)),0)</f>
        <v>906.842857142857</v>
      </c>
      <c r="AB1245" s="18" t="n">
        <f aca="false">IF($Z1245&lt;=0,0,$Z1245/$AA1245)</f>
        <v>74.4604886877828</v>
      </c>
      <c r="AC1245" s="16" t="n">
        <f aca="false">IFERROR(INDEX(SEMANAS!$K$6:$K$71,MATCH($B1245,SEMANAS!$B$6:$B$71,0)),0)</f>
        <v>147</v>
      </c>
      <c r="AD1245" s="19" t="n">
        <f aca="false">IF($AC1245&lt;=0,0,$AB1245/$AC1245)</f>
        <v>0.506533936651584</v>
      </c>
      <c r="AE1245" s="8" t="str">
        <f aca="false">IF($K1245="SEM CULTURA","SEM CULTURA",IF($AA1245&lt;=0,"DADO PENDENTE",IF($AD1245&gt;LIMITE_CRITICO,"INVIAVEL",IF($AD1245&gt;LIMITE_ATENCAO,"CRITICO",IF($AD1245&gt;LIMITE_CONFORTAVEL,"ATENCAO","OK")))))</f>
        <v>OK</v>
      </c>
      <c r="AF1245" s="8" t="str">
        <f aca="false">$B1245&amp;"|"&amp;TEXT($AD1245,"0.000000")</f>
        <v>52|0.506534</v>
      </c>
      <c r="AG1245" s="18" t="n">
        <f aca="false">IF($K1245="SEM CULTURA",0,$T1245*$H1245)</f>
        <v>5870.791836</v>
      </c>
      <c r="AH1245" s="18" t="n">
        <f aca="false">IF($K1245="SEM CULTURA",0,$V1245*$H1245)</f>
        <v>131.25504</v>
      </c>
      <c r="AI1245" s="18" t="n">
        <f aca="false">IF($K1245="SEM CULTURA",0,$W1245*$H1245)</f>
        <v>5739.536796</v>
      </c>
      <c r="AJ1245" s="18" t="n">
        <f aca="false">IF($K1245="SEM CULTURA",0,$S1245*$H1245)</f>
        <v>5332.236</v>
      </c>
      <c r="AK1245" s="8" t="str">
        <f aca="false">$E1245&amp;"|"&amp;TEXT($AD1245,"0.000000")</f>
        <v>PV 118|0.506534</v>
      </c>
    </row>
    <row r="1246" customFormat="false" ht="15" hidden="false" customHeight="false" outlineLevel="0" collapsed="false">
      <c r="B1246" s="16" t="n">
        <v>53</v>
      </c>
      <c r="C1246" s="17" t="n">
        <f aca="false">DATA_INICIO_SAFRA+($B1246-1)*DIAS_POR_SEMANA</f>
        <v>46629</v>
      </c>
      <c r="D1246" s="17" t="n">
        <f aca="false">$C1246+DIAS_POR_SEMANA-1</f>
        <v>46635</v>
      </c>
      <c r="E1246" s="15" t="s">
        <v>277</v>
      </c>
      <c r="F1246" s="8" t="str">
        <f aca="false">IFERROR(INDEX(CADASTRO_PIVOS!$C$6:$C$41,MATCH($E1246,CADASTRO_PIVOS!$B$6:$B$41,0)),"?")</f>
        <v>RM06</v>
      </c>
      <c r="G1246" s="8" t="str">
        <f aca="false">IFERROR(INDEX(CADASTRO_PIVOS!$D$6:$D$41,MATCH($E1246,CADASTRO_PIVOS!$B$6:$B$41,0)),"?")</f>
        <v>TR06</v>
      </c>
      <c r="H1246" s="20" t="n">
        <f aca="false">IFERROR(INDEX(CADASTRO_PIVOS!$E$6:$E$41,MATCH($E1246,CADASTRO_PIVOS!$B$6:$B$41,0)),0)</f>
        <v>146.49</v>
      </c>
      <c r="I1246" s="16" t="n">
        <f aca="false">IFERROR(SUMIFS(ROTACAO_RDM!$B$6:$B$71,ROTACAO_RDM!$D$6:$D$71,$E1246,ROTACAO_RDM!$I$6:$I$71,"&lt;="&amp;$C1246+INT(DIAS_POR_SEMANA/2),ROTACAO_RDM!$J$6:$J$71,"&gt;="&amp;$C1246+INT(DIAS_POR_SEMANA/2)),0)</f>
        <v>31</v>
      </c>
      <c r="J1246" s="16" t="n">
        <f aca="false">IFERROR(MATCH($I1246,ROTACAO_RDM!$B$6:$B$71,0),0)</f>
        <v>31</v>
      </c>
      <c r="K1246" s="8" t="str">
        <f aca="false">IF($J1246=0,"SEM CULTURA",INDEX(ROTACAO_RDM!$F$6:$F$71,$J1246))</f>
        <v>MILHO_GRAO</v>
      </c>
      <c r="L1246" s="8" t="n">
        <f aca="false">IF($J1246=0,"",INDEX(ROTACAO_RDM!$G$6:$G$71,$J1246))</f>
        <v>0</v>
      </c>
      <c r="M1246" s="17" t="n">
        <f aca="false">IF($J1246=0,"",INDEX(ROTACAO_RDM!$I$6:$I$71,$J1246))</f>
        <v>46559</v>
      </c>
      <c r="N1246" s="16" t="n">
        <f aca="false">IF($J1246=0,0,MAX(0,$C1246+INT(DIAS_POR_SEMANA/2)-INDEX(ROTACAO_RDM!$I$6:$I$71,$J1246)))</f>
        <v>73</v>
      </c>
      <c r="O1246" s="19" t="n">
        <f aca="false">IF($J1246=0,0,MIN(1,$N1246/MAX(1,INDEX(ROTACAO_RDM!$K$6:$K$71,$J1246))))</f>
        <v>0.45625</v>
      </c>
      <c r="P1246" s="16" t="n">
        <f aca="false">IF($J1246=0,0,IFERROR(MATCH(INDEX(ROTACAO_RDM!$N$6:$N$71,$J1246),PARAMETROS_CULTURAS!$B$6:$B$28,0),0))</f>
        <v>8</v>
      </c>
      <c r="Q1246" s="8" t="str">
        <f aca="false">IF($P1246=0,"-",IF($O1246&lt;=INDEX(PARAMETROS_CULTURAS!$F$6:$F$28,$P1246),"INICIAL",IF($O1246&lt;=INDEX(PARAMETROS_CULTURAS!$F$6:$F$28,$P1246)+INDEX(PARAMETROS_CULTURAS!$G$6:$G$28,$P1246),"DESENVOLVIMENTO",IF($O1246&lt;=INDEX(PARAMETROS_CULTURAS!$F$6:$F$28,$P1246)+INDEX(PARAMETROS_CULTURAS!$G$6:$G$28,$P1246)+INDEX(PARAMETROS_CULTURAS!$H$6:$H$28,$P1246),"MEDIA","FINAL"))))</f>
        <v>MEDIA</v>
      </c>
      <c r="R1246" s="24" t="n">
        <f aca="false">IF($P1246=0,0,IF($O1246&lt;=INDEX(PARAMETROS_CULTURAS!$F$6:$F$28,$P1246),INDEX(PARAMETROS_CULTURAS!$K$6:$K$28,$P1246),IF($O1246&lt;=INDEX(PARAMETROS_CULTURAS!$F$6:$F$28,$P1246)+INDEX(PARAMETROS_CULTURAS!$G$6:$G$28,$P1246),INDEX(PARAMETROS_CULTURAS!$K$6:$K$28,$P1246)+(INDEX(PARAMETROS_CULTURAS!$L$6:$L$28,$P1246)-INDEX(PARAMETROS_CULTURAS!$K$6:$K$28,$P1246))*($O1246-INDEX(PARAMETROS_CULTURAS!$F$6:$F$28,$P1246))/MAX(INDEX(PARAMETROS_CULTURAS!$G$6:$G$28,$P1246),0.0001),IF($O1246&lt;=INDEX(PARAMETROS_CULTURAS!$F$6:$F$28,$P1246)+INDEX(PARAMETROS_CULTURAS!$G$6:$G$28,$P1246)+INDEX(PARAMETROS_CULTURAS!$H$6:$H$28,$P1246),INDEX(PARAMETROS_CULTURAS!$L$6:$L$28,$P1246),INDEX(PARAMETROS_CULTURAS!$L$6:$L$28,$P1246)+(INDEX(PARAMETROS_CULTURAS!$M$6:$M$28,$P1246)-INDEX(PARAMETROS_CULTURAS!$L$6:$L$28,$P1246))*($O1246-INDEX(PARAMETROS_CULTURAS!$F$6:$F$28,$P1246)-INDEX(PARAMETROS_CULTURAS!$G$6:$G$28,$P1246)-INDEX(PARAMETROS_CULTURAS!$H$6:$H$28,$P1246))/MAX(INDEX(PARAMETROS_CULTURAS!$I$6:$I$28,$P1246),0.0001)))))</f>
        <v>1.2</v>
      </c>
      <c r="S1246" s="18" t="n">
        <f aca="false">IFERROR(INDEX(SEMANAS!$H$6:$H$71,MATCH($B1246,SEMANAS!$B$6:$B$71,0)),0)</f>
        <v>39.4</v>
      </c>
      <c r="T1246" s="18" t="n">
        <f aca="false">$R1246*$S1246</f>
        <v>47.28</v>
      </c>
      <c r="U1246" s="18" t="n">
        <f aca="false">IFERROR(INDEX(SEMANAS!$I$6:$I$71,MATCH($B1246,SEMANAS!$B$6:$B$71,0)),0)</f>
        <v>5.32</v>
      </c>
      <c r="V1246" s="18" t="n">
        <f aca="false">IFERROR(INDEX(SEMANAS!$J$6:$J$71,MATCH($B1246,SEMANAS!$B$6:$B$71,0)),0)</f>
        <v>4.256</v>
      </c>
      <c r="W1246" s="18" t="n">
        <f aca="false">MAX(0,$T1246-$V1246)</f>
        <v>43.024</v>
      </c>
      <c r="X1246" s="19" t="n">
        <f aca="false">IFERROR(INDEX(CADASTRO_PIVOS!$K$6:$K$41,MATCH($E1246,CADASTRO_PIVOS!$B$6:$B$41,0)),EFICIENCIA_PADRAO)</f>
        <v>0.85</v>
      </c>
      <c r="Y1246" s="18" t="n">
        <f aca="false">IF($X1246&lt;=0,0,$W1246/$X1246)</f>
        <v>50.6164705882353</v>
      </c>
      <c r="Z1246" s="16" t="n">
        <f aca="false">$Y1246*$H1246*MM_PARA_M3_HA</f>
        <v>74148.0677647059</v>
      </c>
      <c r="AA1246" s="18" t="n">
        <f aca="false">IFERROR(INDEX(CADASTRO_PIVOS!$I$6:$I$41,MATCH($E1246,CADASTRO_PIVOS!$B$6:$B$41,0)),0)</f>
        <v>906.842857142857</v>
      </c>
      <c r="AB1246" s="18" t="n">
        <f aca="false">IF($Z1246&lt;=0,0,$Z1246/$AA1246)</f>
        <v>81.7650678733032</v>
      </c>
      <c r="AC1246" s="16" t="n">
        <f aca="false">IFERROR(INDEX(SEMANAS!$K$6:$K$71,MATCH($B1246,SEMANAS!$B$6:$B$71,0)),0)</f>
        <v>147</v>
      </c>
      <c r="AD1246" s="19" t="n">
        <f aca="false">IF($AC1246&lt;=0,0,$AB1246/$AC1246)</f>
        <v>0.556224951519069</v>
      </c>
      <c r="AE1246" s="8" t="str">
        <f aca="false">IF($K1246="SEM CULTURA","SEM CULTURA",IF($AA1246&lt;=0,"DADO PENDENTE",IF($AD1246&gt;LIMITE_CRITICO,"INVIAVEL",IF($AD1246&gt;LIMITE_ATENCAO,"CRITICO",IF($AD1246&gt;LIMITE_CONFORTAVEL,"ATENCAO","OK")))))</f>
        <v>OK</v>
      </c>
      <c r="AF1246" s="8" t="str">
        <f aca="false">$B1246&amp;"|"&amp;TEXT($AD1246,"0.000000")</f>
        <v>53|0.556225</v>
      </c>
      <c r="AG1246" s="18" t="n">
        <f aca="false">IF($K1246="SEM CULTURA",0,$T1246*$H1246)</f>
        <v>6926.0472</v>
      </c>
      <c r="AH1246" s="18" t="n">
        <f aca="false">IF($K1246="SEM CULTURA",0,$V1246*$H1246)</f>
        <v>623.46144</v>
      </c>
      <c r="AI1246" s="18" t="n">
        <f aca="false">IF($K1246="SEM CULTURA",0,$W1246*$H1246)</f>
        <v>6302.58576</v>
      </c>
      <c r="AJ1246" s="18" t="n">
        <f aca="false">IF($K1246="SEM CULTURA",0,$S1246*$H1246)</f>
        <v>5771.706</v>
      </c>
      <c r="AK1246" s="8" t="str">
        <f aca="false">$E1246&amp;"|"&amp;TEXT($AD1246,"0.000000")</f>
        <v>PV 118|0.556225</v>
      </c>
    </row>
    <row r="1247" customFormat="false" ht="15" hidden="false" customHeight="false" outlineLevel="0" collapsed="false">
      <c r="B1247" s="16" t="n">
        <v>54</v>
      </c>
      <c r="C1247" s="17" t="n">
        <f aca="false">DATA_INICIO_SAFRA+($B1247-1)*DIAS_POR_SEMANA</f>
        <v>46636</v>
      </c>
      <c r="D1247" s="17" t="n">
        <f aca="false">$C1247+DIAS_POR_SEMANA-1</f>
        <v>46642</v>
      </c>
      <c r="E1247" s="15" t="s">
        <v>277</v>
      </c>
      <c r="F1247" s="8" t="str">
        <f aca="false">IFERROR(INDEX(CADASTRO_PIVOS!$C$6:$C$41,MATCH($E1247,CADASTRO_PIVOS!$B$6:$B$41,0)),"?")</f>
        <v>RM06</v>
      </c>
      <c r="G1247" s="8" t="str">
        <f aca="false">IFERROR(INDEX(CADASTRO_PIVOS!$D$6:$D$41,MATCH($E1247,CADASTRO_PIVOS!$B$6:$B$41,0)),"?")</f>
        <v>TR06</v>
      </c>
      <c r="H1247" s="20" t="n">
        <f aca="false">IFERROR(INDEX(CADASTRO_PIVOS!$E$6:$E$41,MATCH($E1247,CADASTRO_PIVOS!$B$6:$B$41,0)),0)</f>
        <v>146.49</v>
      </c>
      <c r="I1247" s="16" t="n">
        <f aca="false">IFERROR(SUMIFS(ROTACAO_RDM!$B$6:$B$71,ROTACAO_RDM!$D$6:$D$71,$E1247,ROTACAO_RDM!$I$6:$I$71,"&lt;="&amp;$C1247+INT(DIAS_POR_SEMANA/2),ROTACAO_RDM!$J$6:$J$71,"&gt;="&amp;$C1247+INT(DIAS_POR_SEMANA/2)),0)</f>
        <v>31</v>
      </c>
      <c r="J1247" s="16" t="n">
        <f aca="false">IFERROR(MATCH($I1247,ROTACAO_RDM!$B$6:$B$71,0),0)</f>
        <v>31</v>
      </c>
      <c r="K1247" s="8" t="str">
        <f aca="false">IF($J1247=0,"SEM CULTURA",INDEX(ROTACAO_RDM!$F$6:$F$71,$J1247))</f>
        <v>MILHO_GRAO</v>
      </c>
      <c r="L1247" s="8" t="n">
        <f aca="false">IF($J1247=0,"",INDEX(ROTACAO_RDM!$G$6:$G$71,$J1247))</f>
        <v>0</v>
      </c>
      <c r="M1247" s="17" t="n">
        <f aca="false">IF($J1247=0,"",INDEX(ROTACAO_RDM!$I$6:$I$71,$J1247))</f>
        <v>46559</v>
      </c>
      <c r="N1247" s="16" t="n">
        <f aca="false">IF($J1247=0,0,MAX(0,$C1247+INT(DIAS_POR_SEMANA/2)-INDEX(ROTACAO_RDM!$I$6:$I$71,$J1247)))</f>
        <v>80</v>
      </c>
      <c r="O1247" s="19" t="n">
        <f aca="false">IF($J1247=0,0,MIN(1,$N1247/MAX(1,INDEX(ROTACAO_RDM!$K$6:$K$71,$J1247))))</f>
        <v>0.5</v>
      </c>
      <c r="P1247" s="16" t="n">
        <f aca="false">IF($J1247=0,0,IFERROR(MATCH(INDEX(ROTACAO_RDM!$N$6:$N$71,$J1247),PARAMETROS_CULTURAS!$B$6:$B$28,0),0))</f>
        <v>8</v>
      </c>
      <c r="Q1247" s="8" t="str">
        <f aca="false">IF($P1247=0,"-",IF($O1247&lt;=INDEX(PARAMETROS_CULTURAS!$F$6:$F$28,$P1247),"INICIAL",IF($O1247&lt;=INDEX(PARAMETROS_CULTURAS!$F$6:$F$28,$P1247)+INDEX(PARAMETROS_CULTURAS!$G$6:$G$28,$P1247),"DESENVOLVIMENTO",IF($O1247&lt;=INDEX(PARAMETROS_CULTURAS!$F$6:$F$28,$P1247)+INDEX(PARAMETROS_CULTURAS!$G$6:$G$28,$P1247)+INDEX(PARAMETROS_CULTURAS!$H$6:$H$28,$P1247),"MEDIA","FINAL"))))</f>
        <v>MEDIA</v>
      </c>
      <c r="R1247" s="24" t="n">
        <f aca="false">IF($P1247=0,0,IF($O1247&lt;=INDEX(PARAMETROS_CULTURAS!$F$6:$F$28,$P1247),INDEX(PARAMETROS_CULTURAS!$K$6:$K$28,$P1247),IF($O1247&lt;=INDEX(PARAMETROS_CULTURAS!$F$6:$F$28,$P1247)+INDEX(PARAMETROS_CULTURAS!$G$6:$G$28,$P1247),INDEX(PARAMETROS_CULTURAS!$K$6:$K$28,$P1247)+(INDEX(PARAMETROS_CULTURAS!$L$6:$L$28,$P1247)-INDEX(PARAMETROS_CULTURAS!$K$6:$K$28,$P1247))*($O1247-INDEX(PARAMETROS_CULTURAS!$F$6:$F$28,$P1247))/MAX(INDEX(PARAMETROS_CULTURAS!$G$6:$G$28,$P1247),0.0001),IF($O1247&lt;=INDEX(PARAMETROS_CULTURAS!$F$6:$F$28,$P1247)+INDEX(PARAMETROS_CULTURAS!$G$6:$G$28,$P1247)+INDEX(PARAMETROS_CULTURAS!$H$6:$H$28,$P1247),INDEX(PARAMETROS_CULTURAS!$L$6:$L$28,$P1247),INDEX(PARAMETROS_CULTURAS!$L$6:$L$28,$P1247)+(INDEX(PARAMETROS_CULTURAS!$M$6:$M$28,$P1247)-INDEX(PARAMETROS_CULTURAS!$L$6:$L$28,$P1247))*($O1247-INDEX(PARAMETROS_CULTURAS!$F$6:$F$28,$P1247)-INDEX(PARAMETROS_CULTURAS!$G$6:$G$28,$P1247)-INDEX(PARAMETROS_CULTURAS!$H$6:$H$28,$P1247))/MAX(INDEX(PARAMETROS_CULTURAS!$I$6:$I$28,$P1247),0.0001)))))</f>
        <v>1.2</v>
      </c>
      <c r="S1247" s="18" t="n">
        <f aca="false">IFERROR(INDEX(SEMANAS!$H$6:$H$71,MATCH($B1247,SEMANAS!$B$6:$B$71,0)),0)</f>
        <v>40.6</v>
      </c>
      <c r="T1247" s="18" t="n">
        <f aca="false">$R1247*$S1247</f>
        <v>48.72</v>
      </c>
      <c r="U1247" s="18" t="n">
        <f aca="false">IFERROR(INDEX(SEMANAS!$I$6:$I$71,MATCH($B1247,SEMANAS!$B$6:$B$71,0)),0)</f>
        <v>7</v>
      </c>
      <c r="V1247" s="18" t="n">
        <f aca="false">IFERROR(INDEX(SEMANAS!$J$6:$J$71,MATCH($B1247,SEMANAS!$B$6:$B$71,0)),0)</f>
        <v>5.6</v>
      </c>
      <c r="W1247" s="18" t="n">
        <f aca="false">MAX(0,$T1247-$V1247)</f>
        <v>43.12</v>
      </c>
      <c r="X1247" s="19" t="n">
        <f aca="false">IFERROR(INDEX(CADASTRO_PIVOS!$K$6:$K$41,MATCH($E1247,CADASTRO_PIVOS!$B$6:$B$41,0)),EFICIENCIA_PADRAO)</f>
        <v>0.85</v>
      </c>
      <c r="Y1247" s="18" t="n">
        <f aca="false">IF($X1247&lt;=0,0,$W1247/$X1247)</f>
        <v>50.7294117647059</v>
      </c>
      <c r="Z1247" s="16" t="n">
        <f aca="false">$Y1247*$H1247*MM_PARA_M3_HA</f>
        <v>74313.5152941177</v>
      </c>
      <c r="AA1247" s="18" t="n">
        <f aca="false">IFERROR(INDEX(CADASTRO_PIVOS!$I$6:$I$41,MATCH($E1247,CADASTRO_PIVOS!$B$6:$B$41,0)),0)</f>
        <v>906.842857142857</v>
      </c>
      <c r="AB1247" s="18" t="n">
        <f aca="false">IF($Z1247&lt;=0,0,$Z1247/$AA1247)</f>
        <v>81.9475113122172</v>
      </c>
      <c r="AC1247" s="16" t="n">
        <f aca="false">IFERROR(INDEX(SEMANAS!$K$6:$K$71,MATCH($B1247,SEMANAS!$B$6:$B$71,0)),0)</f>
        <v>147</v>
      </c>
      <c r="AD1247" s="19" t="n">
        <f aca="false">IF($AC1247&lt;=0,0,$AB1247/$AC1247)</f>
        <v>0.557466063348416</v>
      </c>
      <c r="AE1247" s="8" t="str">
        <f aca="false">IF($K1247="SEM CULTURA","SEM CULTURA",IF($AA1247&lt;=0,"DADO PENDENTE",IF($AD1247&gt;LIMITE_CRITICO,"INVIAVEL",IF($AD1247&gt;LIMITE_ATENCAO,"CRITICO",IF($AD1247&gt;LIMITE_CONFORTAVEL,"ATENCAO","OK")))))</f>
        <v>OK</v>
      </c>
      <c r="AF1247" s="8" t="str">
        <f aca="false">$B1247&amp;"|"&amp;TEXT($AD1247,"0.000000")</f>
        <v>54|0.557466</v>
      </c>
      <c r="AG1247" s="18" t="n">
        <f aca="false">IF($K1247="SEM CULTURA",0,$T1247*$H1247)</f>
        <v>7136.9928</v>
      </c>
      <c r="AH1247" s="18" t="n">
        <f aca="false">IF($K1247="SEM CULTURA",0,$V1247*$H1247)</f>
        <v>820.344</v>
      </c>
      <c r="AI1247" s="18" t="n">
        <f aca="false">IF($K1247="SEM CULTURA",0,$W1247*$H1247)</f>
        <v>6316.6488</v>
      </c>
      <c r="AJ1247" s="18" t="n">
        <f aca="false">IF($K1247="SEM CULTURA",0,$S1247*$H1247)</f>
        <v>5947.494</v>
      </c>
      <c r="AK1247" s="8" t="str">
        <f aca="false">$E1247&amp;"|"&amp;TEXT($AD1247,"0.000000")</f>
        <v>PV 118|0.557466</v>
      </c>
    </row>
    <row r="1248" customFormat="false" ht="15" hidden="false" customHeight="false" outlineLevel="0" collapsed="false">
      <c r="B1248" s="16" t="n">
        <v>55</v>
      </c>
      <c r="C1248" s="17" t="n">
        <f aca="false">DATA_INICIO_SAFRA+($B1248-1)*DIAS_POR_SEMANA</f>
        <v>46643</v>
      </c>
      <c r="D1248" s="17" t="n">
        <f aca="false">$C1248+DIAS_POR_SEMANA-1</f>
        <v>46649</v>
      </c>
      <c r="E1248" s="15" t="s">
        <v>277</v>
      </c>
      <c r="F1248" s="8" t="str">
        <f aca="false">IFERROR(INDEX(CADASTRO_PIVOS!$C$6:$C$41,MATCH($E1248,CADASTRO_PIVOS!$B$6:$B$41,0)),"?")</f>
        <v>RM06</v>
      </c>
      <c r="G1248" s="8" t="str">
        <f aca="false">IFERROR(INDEX(CADASTRO_PIVOS!$D$6:$D$41,MATCH($E1248,CADASTRO_PIVOS!$B$6:$B$41,0)),"?")</f>
        <v>TR06</v>
      </c>
      <c r="H1248" s="20" t="n">
        <f aca="false">IFERROR(INDEX(CADASTRO_PIVOS!$E$6:$E$41,MATCH($E1248,CADASTRO_PIVOS!$B$6:$B$41,0)),0)</f>
        <v>146.49</v>
      </c>
      <c r="I1248" s="16" t="n">
        <f aca="false">IFERROR(SUMIFS(ROTACAO_RDM!$B$6:$B$71,ROTACAO_RDM!$D$6:$D$71,$E1248,ROTACAO_RDM!$I$6:$I$71,"&lt;="&amp;$C1248+INT(DIAS_POR_SEMANA/2),ROTACAO_RDM!$J$6:$J$71,"&gt;="&amp;$C1248+INT(DIAS_POR_SEMANA/2)),0)</f>
        <v>31</v>
      </c>
      <c r="J1248" s="16" t="n">
        <f aca="false">IFERROR(MATCH($I1248,ROTACAO_RDM!$B$6:$B$71,0),0)</f>
        <v>31</v>
      </c>
      <c r="K1248" s="8" t="str">
        <f aca="false">IF($J1248=0,"SEM CULTURA",INDEX(ROTACAO_RDM!$F$6:$F$71,$J1248))</f>
        <v>MILHO_GRAO</v>
      </c>
      <c r="L1248" s="8" t="n">
        <f aca="false">IF($J1248=0,"",INDEX(ROTACAO_RDM!$G$6:$G$71,$J1248))</f>
        <v>0</v>
      </c>
      <c r="M1248" s="17" t="n">
        <f aca="false">IF($J1248=0,"",INDEX(ROTACAO_RDM!$I$6:$I$71,$J1248))</f>
        <v>46559</v>
      </c>
      <c r="N1248" s="16" t="n">
        <f aca="false">IF($J1248=0,0,MAX(0,$C1248+INT(DIAS_POR_SEMANA/2)-INDEX(ROTACAO_RDM!$I$6:$I$71,$J1248)))</f>
        <v>87</v>
      </c>
      <c r="O1248" s="19" t="n">
        <f aca="false">IF($J1248=0,0,MIN(1,$N1248/MAX(1,INDEX(ROTACAO_RDM!$K$6:$K$71,$J1248))))</f>
        <v>0.54375</v>
      </c>
      <c r="P1248" s="16" t="n">
        <f aca="false">IF($J1248=0,0,IFERROR(MATCH(INDEX(ROTACAO_RDM!$N$6:$N$71,$J1248),PARAMETROS_CULTURAS!$B$6:$B$28,0),0))</f>
        <v>8</v>
      </c>
      <c r="Q1248" s="8" t="str">
        <f aca="false">IF($P1248=0,"-",IF($O1248&lt;=INDEX(PARAMETROS_CULTURAS!$F$6:$F$28,$P1248),"INICIAL",IF($O1248&lt;=INDEX(PARAMETROS_CULTURAS!$F$6:$F$28,$P1248)+INDEX(PARAMETROS_CULTURAS!$G$6:$G$28,$P1248),"DESENVOLVIMENTO",IF($O1248&lt;=INDEX(PARAMETROS_CULTURAS!$F$6:$F$28,$P1248)+INDEX(PARAMETROS_CULTURAS!$G$6:$G$28,$P1248)+INDEX(PARAMETROS_CULTURAS!$H$6:$H$28,$P1248),"MEDIA","FINAL"))))</f>
        <v>MEDIA</v>
      </c>
      <c r="R1248" s="24" t="n">
        <f aca="false">IF($P1248=0,0,IF($O1248&lt;=INDEX(PARAMETROS_CULTURAS!$F$6:$F$28,$P1248),INDEX(PARAMETROS_CULTURAS!$K$6:$K$28,$P1248),IF($O1248&lt;=INDEX(PARAMETROS_CULTURAS!$F$6:$F$28,$P1248)+INDEX(PARAMETROS_CULTURAS!$G$6:$G$28,$P1248),INDEX(PARAMETROS_CULTURAS!$K$6:$K$28,$P1248)+(INDEX(PARAMETROS_CULTURAS!$L$6:$L$28,$P1248)-INDEX(PARAMETROS_CULTURAS!$K$6:$K$28,$P1248))*($O1248-INDEX(PARAMETROS_CULTURAS!$F$6:$F$28,$P1248))/MAX(INDEX(PARAMETROS_CULTURAS!$G$6:$G$28,$P1248),0.0001),IF($O1248&lt;=INDEX(PARAMETROS_CULTURAS!$F$6:$F$28,$P1248)+INDEX(PARAMETROS_CULTURAS!$G$6:$G$28,$P1248)+INDEX(PARAMETROS_CULTURAS!$H$6:$H$28,$P1248),INDEX(PARAMETROS_CULTURAS!$L$6:$L$28,$P1248),INDEX(PARAMETROS_CULTURAS!$L$6:$L$28,$P1248)+(INDEX(PARAMETROS_CULTURAS!$M$6:$M$28,$P1248)-INDEX(PARAMETROS_CULTURAS!$L$6:$L$28,$P1248))*($O1248-INDEX(PARAMETROS_CULTURAS!$F$6:$F$28,$P1248)-INDEX(PARAMETROS_CULTURAS!$G$6:$G$28,$P1248)-INDEX(PARAMETROS_CULTURAS!$H$6:$H$28,$P1248))/MAX(INDEX(PARAMETROS_CULTURAS!$I$6:$I$28,$P1248),0.0001)))))</f>
        <v>1.2</v>
      </c>
      <c r="S1248" s="18" t="n">
        <f aca="false">IFERROR(INDEX(SEMANAS!$H$6:$H$71,MATCH($B1248,SEMANAS!$B$6:$B$71,0)),0)</f>
        <v>40.6</v>
      </c>
      <c r="T1248" s="18" t="n">
        <f aca="false">$R1248*$S1248</f>
        <v>48.72</v>
      </c>
      <c r="U1248" s="18" t="n">
        <f aca="false">IFERROR(INDEX(SEMANAS!$I$6:$I$71,MATCH($B1248,SEMANAS!$B$6:$B$71,0)),0)</f>
        <v>7</v>
      </c>
      <c r="V1248" s="18" t="n">
        <f aca="false">IFERROR(INDEX(SEMANAS!$J$6:$J$71,MATCH($B1248,SEMANAS!$B$6:$B$71,0)),0)</f>
        <v>5.6</v>
      </c>
      <c r="W1248" s="18" t="n">
        <f aca="false">MAX(0,$T1248-$V1248)</f>
        <v>43.12</v>
      </c>
      <c r="X1248" s="19" t="n">
        <f aca="false">IFERROR(INDEX(CADASTRO_PIVOS!$K$6:$K$41,MATCH($E1248,CADASTRO_PIVOS!$B$6:$B$41,0)),EFICIENCIA_PADRAO)</f>
        <v>0.85</v>
      </c>
      <c r="Y1248" s="18" t="n">
        <f aca="false">IF($X1248&lt;=0,0,$W1248/$X1248)</f>
        <v>50.7294117647059</v>
      </c>
      <c r="Z1248" s="16" t="n">
        <f aca="false">$Y1248*$H1248*MM_PARA_M3_HA</f>
        <v>74313.5152941177</v>
      </c>
      <c r="AA1248" s="18" t="n">
        <f aca="false">IFERROR(INDEX(CADASTRO_PIVOS!$I$6:$I$41,MATCH($E1248,CADASTRO_PIVOS!$B$6:$B$41,0)),0)</f>
        <v>906.842857142857</v>
      </c>
      <c r="AB1248" s="18" t="n">
        <f aca="false">IF($Z1248&lt;=0,0,$Z1248/$AA1248)</f>
        <v>81.9475113122172</v>
      </c>
      <c r="AC1248" s="16" t="n">
        <f aca="false">IFERROR(INDEX(SEMANAS!$K$6:$K$71,MATCH($B1248,SEMANAS!$B$6:$B$71,0)),0)</f>
        <v>147</v>
      </c>
      <c r="AD1248" s="19" t="n">
        <f aca="false">IF($AC1248&lt;=0,0,$AB1248/$AC1248)</f>
        <v>0.557466063348416</v>
      </c>
      <c r="AE1248" s="8" t="str">
        <f aca="false">IF($K1248="SEM CULTURA","SEM CULTURA",IF($AA1248&lt;=0,"DADO PENDENTE",IF($AD1248&gt;LIMITE_CRITICO,"INVIAVEL",IF($AD1248&gt;LIMITE_ATENCAO,"CRITICO",IF($AD1248&gt;LIMITE_CONFORTAVEL,"ATENCAO","OK")))))</f>
        <v>OK</v>
      </c>
      <c r="AF1248" s="8" t="str">
        <f aca="false">$B1248&amp;"|"&amp;TEXT($AD1248,"0.000000")</f>
        <v>55|0.557466</v>
      </c>
      <c r="AG1248" s="18" t="n">
        <f aca="false">IF($K1248="SEM CULTURA",0,$T1248*$H1248)</f>
        <v>7136.9928</v>
      </c>
      <c r="AH1248" s="18" t="n">
        <f aca="false">IF($K1248="SEM CULTURA",0,$V1248*$H1248)</f>
        <v>820.344</v>
      </c>
      <c r="AI1248" s="18" t="n">
        <f aca="false">IF($K1248="SEM CULTURA",0,$W1248*$H1248)</f>
        <v>6316.6488</v>
      </c>
      <c r="AJ1248" s="18" t="n">
        <f aca="false">IF($K1248="SEM CULTURA",0,$S1248*$H1248)</f>
        <v>5947.494</v>
      </c>
      <c r="AK1248" s="8" t="str">
        <f aca="false">$E1248&amp;"|"&amp;TEXT($AD1248,"0.000000")</f>
        <v>PV 118|0.557466</v>
      </c>
    </row>
    <row r="1249" customFormat="false" ht="15" hidden="false" customHeight="false" outlineLevel="0" collapsed="false">
      <c r="B1249" s="16" t="n">
        <v>56</v>
      </c>
      <c r="C1249" s="17" t="n">
        <f aca="false">DATA_INICIO_SAFRA+($B1249-1)*DIAS_POR_SEMANA</f>
        <v>46650</v>
      </c>
      <c r="D1249" s="17" t="n">
        <f aca="false">$C1249+DIAS_POR_SEMANA-1</f>
        <v>46656</v>
      </c>
      <c r="E1249" s="15" t="s">
        <v>277</v>
      </c>
      <c r="F1249" s="8" t="str">
        <f aca="false">IFERROR(INDEX(CADASTRO_PIVOS!$C$6:$C$41,MATCH($E1249,CADASTRO_PIVOS!$B$6:$B$41,0)),"?")</f>
        <v>RM06</v>
      </c>
      <c r="G1249" s="8" t="str">
        <f aca="false">IFERROR(INDEX(CADASTRO_PIVOS!$D$6:$D$41,MATCH($E1249,CADASTRO_PIVOS!$B$6:$B$41,0)),"?")</f>
        <v>TR06</v>
      </c>
      <c r="H1249" s="20" t="n">
        <f aca="false">IFERROR(INDEX(CADASTRO_PIVOS!$E$6:$E$41,MATCH($E1249,CADASTRO_PIVOS!$B$6:$B$41,0)),0)</f>
        <v>146.49</v>
      </c>
      <c r="I1249" s="16" t="n">
        <f aca="false">IFERROR(SUMIFS(ROTACAO_RDM!$B$6:$B$71,ROTACAO_RDM!$D$6:$D$71,$E1249,ROTACAO_RDM!$I$6:$I$71,"&lt;="&amp;$C1249+INT(DIAS_POR_SEMANA/2),ROTACAO_RDM!$J$6:$J$71,"&gt;="&amp;$C1249+INT(DIAS_POR_SEMANA/2)),0)</f>
        <v>31</v>
      </c>
      <c r="J1249" s="16" t="n">
        <f aca="false">IFERROR(MATCH($I1249,ROTACAO_RDM!$B$6:$B$71,0),0)</f>
        <v>31</v>
      </c>
      <c r="K1249" s="8" t="str">
        <f aca="false">IF($J1249=0,"SEM CULTURA",INDEX(ROTACAO_RDM!$F$6:$F$71,$J1249))</f>
        <v>MILHO_GRAO</v>
      </c>
      <c r="L1249" s="8" t="n">
        <f aca="false">IF($J1249=0,"",INDEX(ROTACAO_RDM!$G$6:$G$71,$J1249))</f>
        <v>0</v>
      </c>
      <c r="M1249" s="17" t="n">
        <f aca="false">IF($J1249=0,"",INDEX(ROTACAO_RDM!$I$6:$I$71,$J1249))</f>
        <v>46559</v>
      </c>
      <c r="N1249" s="16" t="n">
        <f aca="false">IF($J1249=0,0,MAX(0,$C1249+INT(DIAS_POR_SEMANA/2)-INDEX(ROTACAO_RDM!$I$6:$I$71,$J1249)))</f>
        <v>94</v>
      </c>
      <c r="O1249" s="19" t="n">
        <f aca="false">IF($J1249=0,0,MIN(1,$N1249/MAX(1,INDEX(ROTACAO_RDM!$K$6:$K$71,$J1249))))</f>
        <v>0.5875</v>
      </c>
      <c r="P1249" s="16" t="n">
        <f aca="false">IF($J1249=0,0,IFERROR(MATCH(INDEX(ROTACAO_RDM!$N$6:$N$71,$J1249),PARAMETROS_CULTURAS!$B$6:$B$28,0),0))</f>
        <v>8</v>
      </c>
      <c r="Q1249" s="8" t="str">
        <f aca="false">IF($P1249=0,"-",IF($O1249&lt;=INDEX(PARAMETROS_CULTURAS!$F$6:$F$28,$P1249),"INICIAL",IF($O1249&lt;=INDEX(PARAMETROS_CULTURAS!$F$6:$F$28,$P1249)+INDEX(PARAMETROS_CULTURAS!$G$6:$G$28,$P1249),"DESENVOLVIMENTO",IF($O1249&lt;=INDEX(PARAMETROS_CULTURAS!$F$6:$F$28,$P1249)+INDEX(PARAMETROS_CULTURAS!$G$6:$G$28,$P1249)+INDEX(PARAMETROS_CULTURAS!$H$6:$H$28,$P1249),"MEDIA","FINAL"))))</f>
        <v>MEDIA</v>
      </c>
      <c r="R1249" s="24" t="n">
        <f aca="false">IF($P1249=0,0,IF($O1249&lt;=INDEX(PARAMETROS_CULTURAS!$F$6:$F$28,$P1249),INDEX(PARAMETROS_CULTURAS!$K$6:$K$28,$P1249),IF($O1249&lt;=INDEX(PARAMETROS_CULTURAS!$F$6:$F$28,$P1249)+INDEX(PARAMETROS_CULTURAS!$G$6:$G$28,$P1249),INDEX(PARAMETROS_CULTURAS!$K$6:$K$28,$P1249)+(INDEX(PARAMETROS_CULTURAS!$L$6:$L$28,$P1249)-INDEX(PARAMETROS_CULTURAS!$K$6:$K$28,$P1249))*($O1249-INDEX(PARAMETROS_CULTURAS!$F$6:$F$28,$P1249))/MAX(INDEX(PARAMETROS_CULTURAS!$G$6:$G$28,$P1249),0.0001),IF($O1249&lt;=INDEX(PARAMETROS_CULTURAS!$F$6:$F$28,$P1249)+INDEX(PARAMETROS_CULTURAS!$G$6:$G$28,$P1249)+INDEX(PARAMETROS_CULTURAS!$H$6:$H$28,$P1249),INDEX(PARAMETROS_CULTURAS!$L$6:$L$28,$P1249),INDEX(PARAMETROS_CULTURAS!$L$6:$L$28,$P1249)+(INDEX(PARAMETROS_CULTURAS!$M$6:$M$28,$P1249)-INDEX(PARAMETROS_CULTURAS!$L$6:$L$28,$P1249))*($O1249-INDEX(PARAMETROS_CULTURAS!$F$6:$F$28,$P1249)-INDEX(PARAMETROS_CULTURAS!$G$6:$G$28,$P1249)-INDEX(PARAMETROS_CULTURAS!$H$6:$H$28,$P1249))/MAX(INDEX(PARAMETROS_CULTURAS!$I$6:$I$28,$P1249),0.0001)))))</f>
        <v>1.2</v>
      </c>
      <c r="S1249" s="18" t="n">
        <f aca="false">IFERROR(INDEX(SEMANAS!$H$6:$H$71,MATCH($B1249,SEMANAS!$B$6:$B$71,0)),0)</f>
        <v>40.6</v>
      </c>
      <c r="T1249" s="18" t="n">
        <f aca="false">$R1249*$S1249</f>
        <v>48.72</v>
      </c>
      <c r="U1249" s="18" t="n">
        <f aca="false">IFERROR(INDEX(SEMANAS!$I$6:$I$71,MATCH($B1249,SEMANAS!$B$6:$B$71,0)),0)</f>
        <v>7</v>
      </c>
      <c r="V1249" s="18" t="n">
        <f aca="false">IFERROR(INDEX(SEMANAS!$J$6:$J$71,MATCH($B1249,SEMANAS!$B$6:$B$71,0)),0)</f>
        <v>5.6</v>
      </c>
      <c r="W1249" s="18" t="n">
        <f aca="false">MAX(0,$T1249-$V1249)</f>
        <v>43.12</v>
      </c>
      <c r="X1249" s="19" t="n">
        <f aca="false">IFERROR(INDEX(CADASTRO_PIVOS!$K$6:$K$41,MATCH($E1249,CADASTRO_PIVOS!$B$6:$B$41,0)),EFICIENCIA_PADRAO)</f>
        <v>0.85</v>
      </c>
      <c r="Y1249" s="18" t="n">
        <f aca="false">IF($X1249&lt;=0,0,$W1249/$X1249)</f>
        <v>50.7294117647059</v>
      </c>
      <c r="Z1249" s="16" t="n">
        <f aca="false">$Y1249*$H1249*MM_PARA_M3_HA</f>
        <v>74313.5152941177</v>
      </c>
      <c r="AA1249" s="18" t="n">
        <f aca="false">IFERROR(INDEX(CADASTRO_PIVOS!$I$6:$I$41,MATCH($E1249,CADASTRO_PIVOS!$B$6:$B$41,0)),0)</f>
        <v>906.842857142857</v>
      </c>
      <c r="AB1249" s="18" t="n">
        <f aca="false">IF($Z1249&lt;=0,0,$Z1249/$AA1249)</f>
        <v>81.9475113122172</v>
      </c>
      <c r="AC1249" s="16" t="n">
        <f aca="false">IFERROR(INDEX(SEMANAS!$K$6:$K$71,MATCH($B1249,SEMANAS!$B$6:$B$71,0)),0)</f>
        <v>147</v>
      </c>
      <c r="AD1249" s="19" t="n">
        <f aca="false">IF($AC1249&lt;=0,0,$AB1249/$AC1249)</f>
        <v>0.557466063348416</v>
      </c>
      <c r="AE1249" s="8" t="str">
        <f aca="false">IF($K1249="SEM CULTURA","SEM CULTURA",IF($AA1249&lt;=0,"DADO PENDENTE",IF($AD1249&gt;LIMITE_CRITICO,"INVIAVEL",IF($AD1249&gt;LIMITE_ATENCAO,"CRITICO",IF($AD1249&gt;LIMITE_CONFORTAVEL,"ATENCAO","OK")))))</f>
        <v>OK</v>
      </c>
      <c r="AF1249" s="8" t="str">
        <f aca="false">$B1249&amp;"|"&amp;TEXT($AD1249,"0.000000")</f>
        <v>56|0.557466</v>
      </c>
      <c r="AG1249" s="18" t="n">
        <f aca="false">IF($K1249="SEM CULTURA",0,$T1249*$H1249)</f>
        <v>7136.9928</v>
      </c>
      <c r="AH1249" s="18" t="n">
        <f aca="false">IF($K1249="SEM CULTURA",0,$V1249*$H1249)</f>
        <v>820.344</v>
      </c>
      <c r="AI1249" s="18" t="n">
        <f aca="false">IF($K1249="SEM CULTURA",0,$W1249*$H1249)</f>
        <v>6316.6488</v>
      </c>
      <c r="AJ1249" s="18" t="n">
        <f aca="false">IF($K1249="SEM CULTURA",0,$S1249*$H1249)</f>
        <v>5947.494</v>
      </c>
      <c r="AK1249" s="8" t="str">
        <f aca="false">$E1249&amp;"|"&amp;TEXT($AD1249,"0.000000")</f>
        <v>PV 118|0.557466</v>
      </c>
    </row>
    <row r="1250" customFormat="false" ht="15" hidden="false" customHeight="false" outlineLevel="0" collapsed="false">
      <c r="B1250" s="16" t="n">
        <v>57</v>
      </c>
      <c r="C1250" s="17" t="n">
        <f aca="false">DATA_INICIO_SAFRA+($B1250-1)*DIAS_POR_SEMANA</f>
        <v>46657</v>
      </c>
      <c r="D1250" s="17" t="n">
        <f aca="false">$C1250+DIAS_POR_SEMANA-1</f>
        <v>46663</v>
      </c>
      <c r="E1250" s="15" t="s">
        <v>277</v>
      </c>
      <c r="F1250" s="8" t="str">
        <f aca="false">IFERROR(INDEX(CADASTRO_PIVOS!$C$6:$C$41,MATCH($E1250,CADASTRO_PIVOS!$B$6:$B$41,0)),"?")</f>
        <v>RM06</v>
      </c>
      <c r="G1250" s="8" t="str">
        <f aca="false">IFERROR(INDEX(CADASTRO_PIVOS!$D$6:$D$41,MATCH($E1250,CADASTRO_PIVOS!$B$6:$B$41,0)),"?")</f>
        <v>TR06</v>
      </c>
      <c r="H1250" s="20" t="n">
        <f aca="false">IFERROR(INDEX(CADASTRO_PIVOS!$E$6:$E$41,MATCH($E1250,CADASTRO_PIVOS!$B$6:$B$41,0)),0)</f>
        <v>146.49</v>
      </c>
      <c r="I1250" s="16" t="n">
        <f aca="false">IFERROR(SUMIFS(ROTACAO_RDM!$B$6:$B$71,ROTACAO_RDM!$D$6:$D$71,$E1250,ROTACAO_RDM!$I$6:$I$71,"&lt;="&amp;$C1250+INT(DIAS_POR_SEMANA/2),ROTACAO_RDM!$J$6:$J$71,"&gt;="&amp;$C1250+INT(DIAS_POR_SEMANA/2)),0)</f>
        <v>31</v>
      </c>
      <c r="J1250" s="16" t="n">
        <f aca="false">IFERROR(MATCH($I1250,ROTACAO_RDM!$B$6:$B$71,0),0)</f>
        <v>31</v>
      </c>
      <c r="K1250" s="8" t="str">
        <f aca="false">IF($J1250=0,"SEM CULTURA",INDEX(ROTACAO_RDM!$F$6:$F$71,$J1250))</f>
        <v>MILHO_GRAO</v>
      </c>
      <c r="L1250" s="8" t="n">
        <f aca="false">IF($J1250=0,"",INDEX(ROTACAO_RDM!$G$6:$G$71,$J1250))</f>
        <v>0</v>
      </c>
      <c r="M1250" s="17" t="n">
        <f aca="false">IF($J1250=0,"",INDEX(ROTACAO_RDM!$I$6:$I$71,$J1250))</f>
        <v>46559</v>
      </c>
      <c r="N1250" s="16" t="n">
        <f aca="false">IF($J1250=0,0,MAX(0,$C1250+INT(DIAS_POR_SEMANA/2)-INDEX(ROTACAO_RDM!$I$6:$I$71,$J1250)))</f>
        <v>101</v>
      </c>
      <c r="O1250" s="19" t="n">
        <f aca="false">IF($J1250=0,0,MIN(1,$N1250/MAX(1,INDEX(ROTACAO_RDM!$K$6:$K$71,$J1250))))</f>
        <v>0.63125</v>
      </c>
      <c r="P1250" s="16" t="n">
        <f aca="false">IF($J1250=0,0,IFERROR(MATCH(INDEX(ROTACAO_RDM!$N$6:$N$71,$J1250),PARAMETROS_CULTURAS!$B$6:$B$28,0),0))</f>
        <v>8</v>
      </c>
      <c r="Q1250" s="8" t="str">
        <f aca="false">IF($P1250=0,"-",IF($O1250&lt;=INDEX(PARAMETROS_CULTURAS!$F$6:$F$28,$P1250),"INICIAL",IF($O1250&lt;=INDEX(PARAMETROS_CULTURAS!$F$6:$F$28,$P1250)+INDEX(PARAMETROS_CULTURAS!$G$6:$G$28,$P1250),"DESENVOLVIMENTO",IF($O1250&lt;=INDEX(PARAMETROS_CULTURAS!$F$6:$F$28,$P1250)+INDEX(PARAMETROS_CULTURAS!$G$6:$G$28,$P1250)+INDEX(PARAMETROS_CULTURAS!$H$6:$H$28,$P1250),"MEDIA","FINAL"))))</f>
        <v>MEDIA</v>
      </c>
      <c r="R1250" s="24" t="n">
        <f aca="false">IF($P1250=0,0,IF($O1250&lt;=INDEX(PARAMETROS_CULTURAS!$F$6:$F$28,$P1250),INDEX(PARAMETROS_CULTURAS!$K$6:$K$28,$P1250),IF($O1250&lt;=INDEX(PARAMETROS_CULTURAS!$F$6:$F$28,$P1250)+INDEX(PARAMETROS_CULTURAS!$G$6:$G$28,$P1250),INDEX(PARAMETROS_CULTURAS!$K$6:$K$28,$P1250)+(INDEX(PARAMETROS_CULTURAS!$L$6:$L$28,$P1250)-INDEX(PARAMETROS_CULTURAS!$K$6:$K$28,$P1250))*($O1250-INDEX(PARAMETROS_CULTURAS!$F$6:$F$28,$P1250))/MAX(INDEX(PARAMETROS_CULTURAS!$G$6:$G$28,$P1250),0.0001),IF($O1250&lt;=INDEX(PARAMETROS_CULTURAS!$F$6:$F$28,$P1250)+INDEX(PARAMETROS_CULTURAS!$G$6:$G$28,$P1250)+INDEX(PARAMETROS_CULTURAS!$H$6:$H$28,$P1250),INDEX(PARAMETROS_CULTURAS!$L$6:$L$28,$P1250),INDEX(PARAMETROS_CULTURAS!$L$6:$L$28,$P1250)+(INDEX(PARAMETROS_CULTURAS!$M$6:$M$28,$P1250)-INDEX(PARAMETROS_CULTURAS!$L$6:$L$28,$P1250))*($O1250-INDEX(PARAMETROS_CULTURAS!$F$6:$F$28,$P1250)-INDEX(PARAMETROS_CULTURAS!$G$6:$G$28,$P1250)-INDEX(PARAMETROS_CULTURAS!$H$6:$H$28,$P1250))/MAX(INDEX(PARAMETROS_CULTURAS!$I$6:$I$28,$P1250),0.0001)))))</f>
        <v>1.2</v>
      </c>
      <c r="S1250" s="18" t="n">
        <f aca="false">IFERROR(INDEX(SEMANAS!$H$6:$H$71,MATCH($B1250,SEMANAS!$B$6:$B$71,0)),0)</f>
        <v>40</v>
      </c>
      <c r="T1250" s="18" t="n">
        <f aca="false">$R1250*$S1250</f>
        <v>48</v>
      </c>
      <c r="U1250" s="18" t="n">
        <f aca="false">IFERROR(INDEX(SEMANAS!$I$6:$I$71,MATCH($B1250,SEMANAS!$B$6:$B$71,0)),0)</f>
        <v>15.61</v>
      </c>
      <c r="V1250" s="18" t="n">
        <f aca="false">IFERROR(INDEX(SEMANAS!$J$6:$J$71,MATCH($B1250,SEMANAS!$B$6:$B$71,0)),0)</f>
        <v>12.488</v>
      </c>
      <c r="W1250" s="18" t="n">
        <f aca="false">MAX(0,$T1250-$V1250)</f>
        <v>35.512</v>
      </c>
      <c r="X1250" s="19" t="n">
        <f aca="false">IFERROR(INDEX(CADASTRO_PIVOS!$K$6:$K$41,MATCH($E1250,CADASTRO_PIVOS!$B$6:$B$41,0)),EFICIENCIA_PADRAO)</f>
        <v>0.85</v>
      </c>
      <c r="Y1250" s="18" t="n">
        <f aca="false">IF($X1250&lt;=0,0,$W1250/$X1250)</f>
        <v>41.7788235294118</v>
      </c>
      <c r="Z1250" s="16" t="n">
        <f aca="false">$Y1250*$H1250*MM_PARA_M3_HA</f>
        <v>61201.7985882353</v>
      </c>
      <c r="AA1250" s="18" t="n">
        <f aca="false">IFERROR(INDEX(CADASTRO_PIVOS!$I$6:$I$41,MATCH($E1250,CADASTRO_PIVOS!$B$6:$B$41,0)),0)</f>
        <v>906.842857142857</v>
      </c>
      <c r="AB1250" s="18" t="n">
        <f aca="false">IF($Z1250&lt;=0,0,$Z1250/$AA1250)</f>
        <v>67.4888687782806</v>
      </c>
      <c r="AC1250" s="16" t="n">
        <f aca="false">IFERROR(INDEX(SEMANAS!$K$6:$K$71,MATCH($B1250,SEMANAS!$B$6:$B$71,0)),0)</f>
        <v>147</v>
      </c>
      <c r="AD1250" s="19" t="n">
        <f aca="false">IF($AC1250&lt;=0,0,$AB1250/$AC1250)</f>
        <v>0.459107950872657</v>
      </c>
      <c r="AE1250" s="8" t="str">
        <f aca="false">IF($K1250="SEM CULTURA","SEM CULTURA",IF($AA1250&lt;=0,"DADO PENDENTE",IF($AD1250&gt;LIMITE_CRITICO,"INVIAVEL",IF($AD1250&gt;LIMITE_ATENCAO,"CRITICO",IF($AD1250&gt;LIMITE_CONFORTAVEL,"ATENCAO","OK")))))</f>
        <v>OK</v>
      </c>
      <c r="AF1250" s="8" t="str">
        <f aca="false">$B1250&amp;"|"&amp;TEXT($AD1250,"0.000000")</f>
        <v>57|0.459108</v>
      </c>
      <c r="AG1250" s="18" t="n">
        <f aca="false">IF($K1250="SEM CULTURA",0,$T1250*$H1250)</f>
        <v>7031.52</v>
      </c>
      <c r="AH1250" s="18" t="n">
        <f aca="false">IF($K1250="SEM CULTURA",0,$V1250*$H1250)</f>
        <v>1829.36712</v>
      </c>
      <c r="AI1250" s="18" t="n">
        <f aca="false">IF($K1250="SEM CULTURA",0,$W1250*$H1250)</f>
        <v>5202.15288</v>
      </c>
      <c r="AJ1250" s="18" t="n">
        <f aca="false">IF($K1250="SEM CULTURA",0,$S1250*$H1250)</f>
        <v>5859.6</v>
      </c>
      <c r="AK1250" s="8" t="str">
        <f aca="false">$E1250&amp;"|"&amp;TEXT($AD1250,"0.000000")</f>
        <v>PV 118|0.459108</v>
      </c>
    </row>
    <row r="1251" customFormat="false" ht="15" hidden="false" customHeight="false" outlineLevel="0" collapsed="false">
      <c r="B1251" s="16" t="n">
        <v>58</v>
      </c>
      <c r="C1251" s="17" t="n">
        <f aca="false">DATA_INICIO_SAFRA+($B1251-1)*DIAS_POR_SEMANA</f>
        <v>46664</v>
      </c>
      <c r="D1251" s="17" t="n">
        <f aca="false">$C1251+DIAS_POR_SEMANA-1</f>
        <v>46670</v>
      </c>
      <c r="E1251" s="15" t="s">
        <v>277</v>
      </c>
      <c r="F1251" s="8" t="str">
        <f aca="false">IFERROR(INDEX(CADASTRO_PIVOS!$C$6:$C$41,MATCH($E1251,CADASTRO_PIVOS!$B$6:$B$41,0)),"?")</f>
        <v>RM06</v>
      </c>
      <c r="G1251" s="8" t="str">
        <f aca="false">IFERROR(INDEX(CADASTRO_PIVOS!$D$6:$D$41,MATCH($E1251,CADASTRO_PIVOS!$B$6:$B$41,0)),"?")</f>
        <v>TR06</v>
      </c>
      <c r="H1251" s="20" t="n">
        <f aca="false">IFERROR(INDEX(CADASTRO_PIVOS!$E$6:$E$41,MATCH($E1251,CADASTRO_PIVOS!$B$6:$B$41,0)),0)</f>
        <v>146.49</v>
      </c>
      <c r="I1251" s="16" t="n">
        <f aca="false">IFERROR(SUMIFS(ROTACAO_RDM!$B$6:$B$71,ROTACAO_RDM!$D$6:$D$71,$E1251,ROTACAO_RDM!$I$6:$I$71,"&lt;="&amp;$C1251+INT(DIAS_POR_SEMANA/2),ROTACAO_RDM!$J$6:$J$71,"&gt;="&amp;$C1251+INT(DIAS_POR_SEMANA/2)),0)</f>
        <v>31</v>
      </c>
      <c r="J1251" s="16" t="n">
        <f aca="false">IFERROR(MATCH($I1251,ROTACAO_RDM!$B$6:$B$71,0),0)</f>
        <v>31</v>
      </c>
      <c r="K1251" s="8" t="str">
        <f aca="false">IF($J1251=0,"SEM CULTURA",INDEX(ROTACAO_RDM!$F$6:$F$71,$J1251))</f>
        <v>MILHO_GRAO</v>
      </c>
      <c r="L1251" s="8" t="n">
        <f aca="false">IF($J1251=0,"",INDEX(ROTACAO_RDM!$G$6:$G$71,$J1251))</f>
        <v>0</v>
      </c>
      <c r="M1251" s="17" t="n">
        <f aca="false">IF($J1251=0,"",INDEX(ROTACAO_RDM!$I$6:$I$71,$J1251))</f>
        <v>46559</v>
      </c>
      <c r="N1251" s="16" t="n">
        <f aca="false">IF($J1251=0,0,MAX(0,$C1251+INT(DIAS_POR_SEMANA/2)-INDEX(ROTACAO_RDM!$I$6:$I$71,$J1251)))</f>
        <v>108</v>
      </c>
      <c r="O1251" s="19" t="n">
        <f aca="false">IF($J1251=0,0,MIN(1,$N1251/MAX(1,INDEX(ROTACAO_RDM!$K$6:$K$71,$J1251))))</f>
        <v>0.675</v>
      </c>
      <c r="P1251" s="16" t="n">
        <f aca="false">IF($J1251=0,0,IFERROR(MATCH(INDEX(ROTACAO_RDM!$N$6:$N$71,$J1251),PARAMETROS_CULTURAS!$B$6:$B$28,0),0))</f>
        <v>8</v>
      </c>
      <c r="Q1251" s="8" t="str">
        <f aca="false">IF($P1251=0,"-",IF($O1251&lt;=INDEX(PARAMETROS_CULTURAS!$F$6:$F$28,$P1251),"INICIAL",IF($O1251&lt;=INDEX(PARAMETROS_CULTURAS!$F$6:$F$28,$P1251)+INDEX(PARAMETROS_CULTURAS!$G$6:$G$28,$P1251),"DESENVOLVIMENTO",IF($O1251&lt;=INDEX(PARAMETROS_CULTURAS!$F$6:$F$28,$P1251)+INDEX(PARAMETROS_CULTURAS!$G$6:$G$28,$P1251)+INDEX(PARAMETROS_CULTURAS!$H$6:$H$28,$P1251),"MEDIA","FINAL"))))</f>
        <v>MEDIA</v>
      </c>
      <c r="R1251" s="24" t="n">
        <f aca="false">IF($P1251=0,0,IF($O1251&lt;=INDEX(PARAMETROS_CULTURAS!$F$6:$F$28,$P1251),INDEX(PARAMETROS_CULTURAS!$K$6:$K$28,$P1251),IF($O1251&lt;=INDEX(PARAMETROS_CULTURAS!$F$6:$F$28,$P1251)+INDEX(PARAMETROS_CULTURAS!$G$6:$G$28,$P1251),INDEX(PARAMETROS_CULTURAS!$K$6:$K$28,$P1251)+(INDEX(PARAMETROS_CULTURAS!$L$6:$L$28,$P1251)-INDEX(PARAMETROS_CULTURAS!$K$6:$K$28,$P1251))*($O1251-INDEX(PARAMETROS_CULTURAS!$F$6:$F$28,$P1251))/MAX(INDEX(PARAMETROS_CULTURAS!$G$6:$G$28,$P1251),0.0001),IF($O1251&lt;=INDEX(PARAMETROS_CULTURAS!$F$6:$F$28,$P1251)+INDEX(PARAMETROS_CULTURAS!$G$6:$G$28,$P1251)+INDEX(PARAMETROS_CULTURAS!$H$6:$H$28,$P1251),INDEX(PARAMETROS_CULTURAS!$L$6:$L$28,$P1251),INDEX(PARAMETROS_CULTURAS!$L$6:$L$28,$P1251)+(INDEX(PARAMETROS_CULTURAS!$M$6:$M$28,$P1251)-INDEX(PARAMETROS_CULTURAS!$L$6:$L$28,$P1251))*($O1251-INDEX(PARAMETROS_CULTURAS!$F$6:$F$28,$P1251)-INDEX(PARAMETROS_CULTURAS!$G$6:$G$28,$P1251)-INDEX(PARAMETROS_CULTURAS!$H$6:$H$28,$P1251))/MAX(INDEX(PARAMETROS_CULTURAS!$I$6:$I$28,$P1251),0.0001)))))</f>
        <v>1.2</v>
      </c>
      <c r="S1251" s="18" t="n">
        <f aca="false">IFERROR(INDEX(SEMANAS!$H$6:$H$71,MATCH($B1251,SEMANAS!$B$6:$B$71,0)),0)</f>
        <v>39.2</v>
      </c>
      <c r="T1251" s="18" t="n">
        <f aca="false">$R1251*$S1251</f>
        <v>47.04</v>
      </c>
      <c r="U1251" s="18" t="n">
        <f aca="false">IFERROR(INDEX(SEMANAS!$I$6:$I$71,MATCH($B1251,SEMANAS!$B$6:$B$71,0)),0)</f>
        <v>27.09</v>
      </c>
      <c r="V1251" s="18" t="n">
        <f aca="false">IFERROR(INDEX(SEMANAS!$J$6:$J$71,MATCH($B1251,SEMANAS!$B$6:$B$71,0)),0)</f>
        <v>21.672</v>
      </c>
      <c r="W1251" s="18" t="n">
        <f aca="false">MAX(0,$T1251-$V1251)</f>
        <v>25.368</v>
      </c>
      <c r="X1251" s="19" t="n">
        <f aca="false">IFERROR(INDEX(CADASTRO_PIVOS!$K$6:$K$41,MATCH($E1251,CADASTRO_PIVOS!$B$6:$B$41,0)),EFICIENCIA_PADRAO)</f>
        <v>0.85</v>
      </c>
      <c r="Y1251" s="18" t="n">
        <f aca="false">IF($X1251&lt;=0,0,$W1251/$X1251)</f>
        <v>29.8447058823529</v>
      </c>
      <c r="Z1251" s="16" t="n">
        <f aca="false">$Y1251*$H1251*MM_PARA_M3_HA</f>
        <v>43719.5096470588</v>
      </c>
      <c r="AA1251" s="18" t="n">
        <f aca="false">IFERROR(INDEX(CADASTRO_PIVOS!$I$6:$I$41,MATCH($E1251,CADASTRO_PIVOS!$B$6:$B$41,0)),0)</f>
        <v>906.842857142857</v>
      </c>
      <c r="AB1251" s="18" t="n">
        <f aca="false">IF($Z1251&lt;=0,0,$Z1251/$AA1251)</f>
        <v>48.2106787330317</v>
      </c>
      <c r="AC1251" s="16" t="n">
        <f aca="false">IFERROR(INDEX(SEMANAS!$K$6:$K$71,MATCH($B1251,SEMANAS!$B$6:$B$71,0)),0)</f>
        <v>147</v>
      </c>
      <c r="AD1251" s="19" t="n">
        <f aca="false">IF($AC1251&lt;=0,0,$AB1251/$AC1251)</f>
        <v>0.327963800904977</v>
      </c>
      <c r="AE1251" s="8" t="str">
        <f aca="false">IF($K1251="SEM CULTURA","SEM CULTURA",IF($AA1251&lt;=0,"DADO PENDENTE",IF($AD1251&gt;LIMITE_CRITICO,"INVIAVEL",IF($AD1251&gt;LIMITE_ATENCAO,"CRITICO",IF($AD1251&gt;LIMITE_CONFORTAVEL,"ATENCAO","OK")))))</f>
        <v>OK</v>
      </c>
      <c r="AF1251" s="8" t="str">
        <f aca="false">$B1251&amp;"|"&amp;TEXT($AD1251,"0.000000")</f>
        <v>58|0.327964</v>
      </c>
      <c r="AG1251" s="18" t="n">
        <f aca="false">IF($K1251="SEM CULTURA",0,$T1251*$H1251)</f>
        <v>6890.8896</v>
      </c>
      <c r="AH1251" s="18" t="n">
        <f aca="false">IF($K1251="SEM CULTURA",0,$V1251*$H1251)</f>
        <v>3174.73128</v>
      </c>
      <c r="AI1251" s="18" t="n">
        <f aca="false">IF($K1251="SEM CULTURA",0,$W1251*$H1251)</f>
        <v>3716.15832</v>
      </c>
      <c r="AJ1251" s="18" t="n">
        <f aca="false">IF($K1251="SEM CULTURA",0,$S1251*$H1251)</f>
        <v>5742.408</v>
      </c>
      <c r="AK1251" s="8" t="str">
        <f aca="false">$E1251&amp;"|"&amp;TEXT($AD1251,"0.000000")</f>
        <v>PV 118|0.327964</v>
      </c>
    </row>
    <row r="1252" customFormat="false" ht="15" hidden="false" customHeight="false" outlineLevel="0" collapsed="false">
      <c r="B1252" s="16" t="n">
        <v>59</v>
      </c>
      <c r="C1252" s="17" t="n">
        <f aca="false">DATA_INICIO_SAFRA+($B1252-1)*DIAS_POR_SEMANA</f>
        <v>46671</v>
      </c>
      <c r="D1252" s="17" t="n">
        <f aca="false">$C1252+DIAS_POR_SEMANA-1</f>
        <v>46677</v>
      </c>
      <c r="E1252" s="15" t="s">
        <v>277</v>
      </c>
      <c r="F1252" s="8" t="str">
        <f aca="false">IFERROR(INDEX(CADASTRO_PIVOS!$C$6:$C$41,MATCH($E1252,CADASTRO_PIVOS!$B$6:$B$41,0)),"?")</f>
        <v>RM06</v>
      </c>
      <c r="G1252" s="8" t="str">
        <f aca="false">IFERROR(INDEX(CADASTRO_PIVOS!$D$6:$D$41,MATCH($E1252,CADASTRO_PIVOS!$B$6:$B$41,0)),"?")</f>
        <v>TR06</v>
      </c>
      <c r="H1252" s="20" t="n">
        <f aca="false">IFERROR(INDEX(CADASTRO_PIVOS!$E$6:$E$41,MATCH($E1252,CADASTRO_PIVOS!$B$6:$B$41,0)),0)</f>
        <v>146.49</v>
      </c>
      <c r="I1252" s="16" t="n">
        <f aca="false">IFERROR(SUMIFS(ROTACAO_RDM!$B$6:$B$71,ROTACAO_RDM!$D$6:$D$71,$E1252,ROTACAO_RDM!$I$6:$I$71,"&lt;="&amp;$C1252+INT(DIAS_POR_SEMANA/2),ROTACAO_RDM!$J$6:$J$71,"&gt;="&amp;$C1252+INT(DIAS_POR_SEMANA/2)),0)</f>
        <v>31</v>
      </c>
      <c r="J1252" s="16" t="n">
        <f aca="false">IFERROR(MATCH($I1252,ROTACAO_RDM!$B$6:$B$71,0),0)</f>
        <v>31</v>
      </c>
      <c r="K1252" s="8" t="str">
        <f aca="false">IF($J1252=0,"SEM CULTURA",INDEX(ROTACAO_RDM!$F$6:$F$71,$J1252))</f>
        <v>MILHO_GRAO</v>
      </c>
      <c r="L1252" s="8" t="n">
        <f aca="false">IF($J1252=0,"",INDEX(ROTACAO_RDM!$G$6:$G$71,$J1252))</f>
        <v>0</v>
      </c>
      <c r="M1252" s="17" t="n">
        <f aca="false">IF($J1252=0,"",INDEX(ROTACAO_RDM!$I$6:$I$71,$J1252))</f>
        <v>46559</v>
      </c>
      <c r="N1252" s="16" t="n">
        <f aca="false">IF($J1252=0,0,MAX(0,$C1252+INT(DIAS_POR_SEMANA/2)-INDEX(ROTACAO_RDM!$I$6:$I$71,$J1252)))</f>
        <v>115</v>
      </c>
      <c r="O1252" s="19" t="n">
        <f aca="false">IF($J1252=0,0,MIN(1,$N1252/MAX(1,INDEX(ROTACAO_RDM!$K$6:$K$71,$J1252))))</f>
        <v>0.71875</v>
      </c>
      <c r="P1252" s="16" t="n">
        <f aca="false">IF($J1252=0,0,IFERROR(MATCH(INDEX(ROTACAO_RDM!$N$6:$N$71,$J1252),PARAMETROS_CULTURAS!$B$6:$B$28,0),0))</f>
        <v>8</v>
      </c>
      <c r="Q1252" s="8" t="str">
        <f aca="false">IF($P1252=0,"-",IF($O1252&lt;=INDEX(PARAMETROS_CULTURAS!$F$6:$F$28,$P1252),"INICIAL",IF($O1252&lt;=INDEX(PARAMETROS_CULTURAS!$F$6:$F$28,$P1252)+INDEX(PARAMETROS_CULTURAS!$G$6:$G$28,$P1252),"DESENVOLVIMENTO",IF($O1252&lt;=INDEX(PARAMETROS_CULTURAS!$F$6:$F$28,$P1252)+INDEX(PARAMETROS_CULTURAS!$G$6:$G$28,$P1252)+INDEX(PARAMETROS_CULTURAS!$H$6:$H$28,$P1252),"MEDIA","FINAL"))))</f>
        <v>MEDIA</v>
      </c>
      <c r="R1252" s="24" t="n">
        <f aca="false">IF($P1252=0,0,IF($O1252&lt;=INDEX(PARAMETROS_CULTURAS!$F$6:$F$28,$P1252),INDEX(PARAMETROS_CULTURAS!$K$6:$K$28,$P1252),IF($O1252&lt;=INDEX(PARAMETROS_CULTURAS!$F$6:$F$28,$P1252)+INDEX(PARAMETROS_CULTURAS!$G$6:$G$28,$P1252),INDEX(PARAMETROS_CULTURAS!$K$6:$K$28,$P1252)+(INDEX(PARAMETROS_CULTURAS!$L$6:$L$28,$P1252)-INDEX(PARAMETROS_CULTURAS!$K$6:$K$28,$P1252))*($O1252-INDEX(PARAMETROS_CULTURAS!$F$6:$F$28,$P1252))/MAX(INDEX(PARAMETROS_CULTURAS!$G$6:$G$28,$P1252),0.0001),IF($O1252&lt;=INDEX(PARAMETROS_CULTURAS!$F$6:$F$28,$P1252)+INDEX(PARAMETROS_CULTURAS!$G$6:$G$28,$P1252)+INDEX(PARAMETROS_CULTURAS!$H$6:$H$28,$P1252),INDEX(PARAMETROS_CULTURAS!$L$6:$L$28,$P1252),INDEX(PARAMETROS_CULTURAS!$L$6:$L$28,$P1252)+(INDEX(PARAMETROS_CULTURAS!$M$6:$M$28,$P1252)-INDEX(PARAMETROS_CULTURAS!$L$6:$L$28,$P1252))*($O1252-INDEX(PARAMETROS_CULTURAS!$F$6:$F$28,$P1252)-INDEX(PARAMETROS_CULTURAS!$G$6:$G$28,$P1252)-INDEX(PARAMETROS_CULTURAS!$H$6:$H$28,$P1252))/MAX(INDEX(PARAMETROS_CULTURAS!$I$6:$I$28,$P1252),0.0001)))))</f>
        <v>1.2</v>
      </c>
      <c r="S1252" s="18" t="n">
        <f aca="false">IFERROR(INDEX(SEMANAS!$H$6:$H$71,MATCH($B1252,SEMANAS!$B$6:$B$71,0)),0)</f>
        <v>39.2</v>
      </c>
      <c r="T1252" s="18" t="n">
        <f aca="false">$R1252*$S1252</f>
        <v>47.04</v>
      </c>
      <c r="U1252" s="18" t="n">
        <f aca="false">IFERROR(INDEX(SEMANAS!$I$6:$I$71,MATCH($B1252,SEMANAS!$B$6:$B$71,0)),0)</f>
        <v>27.09</v>
      </c>
      <c r="V1252" s="18" t="n">
        <f aca="false">IFERROR(INDEX(SEMANAS!$J$6:$J$71,MATCH($B1252,SEMANAS!$B$6:$B$71,0)),0)</f>
        <v>21.672</v>
      </c>
      <c r="W1252" s="18" t="n">
        <f aca="false">MAX(0,$T1252-$V1252)</f>
        <v>25.368</v>
      </c>
      <c r="X1252" s="19" t="n">
        <f aca="false">IFERROR(INDEX(CADASTRO_PIVOS!$K$6:$K$41,MATCH($E1252,CADASTRO_PIVOS!$B$6:$B$41,0)),EFICIENCIA_PADRAO)</f>
        <v>0.85</v>
      </c>
      <c r="Y1252" s="18" t="n">
        <f aca="false">IF($X1252&lt;=0,0,$W1252/$X1252)</f>
        <v>29.8447058823529</v>
      </c>
      <c r="Z1252" s="16" t="n">
        <f aca="false">$Y1252*$H1252*MM_PARA_M3_HA</f>
        <v>43719.5096470588</v>
      </c>
      <c r="AA1252" s="18" t="n">
        <f aca="false">IFERROR(INDEX(CADASTRO_PIVOS!$I$6:$I$41,MATCH($E1252,CADASTRO_PIVOS!$B$6:$B$41,0)),0)</f>
        <v>906.842857142857</v>
      </c>
      <c r="AB1252" s="18" t="n">
        <f aca="false">IF($Z1252&lt;=0,0,$Z1252/$AA1252)</f>
        <v>48.2106787330317</v>
      </c>
      <c r="AC1252" s="16" t="n">
        <f aca="false">IFERROR(INDEX(SEMANAS!$K$6:$K$71,MATCH($B1252,SEMANAS!$B$6:$B$71,0)),0)</f>
        <v>147</v>
      </c>
      <c r="AD1252" s="19" t="n">
        <f aca="false">IF($AC1252&lt;=0,0,$AB1252/$AC1252)</f>
        <v>0.327963800904977</v>
      </c>
      <c r="AE1252" s="8" t="str">
        <f aca="false">IF($K1252="SEM CULTURA","SEM CULTURA",IF($AA1252&lt;=0,"DADO PENDENTE",IF($AD1252&gt;LIMITE_CRITICO,"INVIAVEL",IF($AD1252&gt;LIMITE_ATENCAO,"CRITICO",IF($AD1252&gt;LIMITE_CONFORTAVEL,"ATENCAO","OK")))))</f>
        <v>OK</v>
      </c>
      <c r="AF1252" s="8" t="str">
        <f aca="false">$B1252&amp;"|"&amp;TEXT($AD1252,"0.000000")</f>
        <v>59|0.327964</v>
      </c>
      <c r="AG1252" s="18" t="n">
        <f aca="false">IF($K1252="SEM CULTURA",0,$T1252*$H1252)</f>
        <v>6890.8896</v>
      </c>
      <c r="AH1252" s="18" t="n">
        <f aca="false">IF($K1252="SEM CULTURA",0,$V1252*$H1252)</f>
        <v>3174.73128</v>
      </c>
      <c r="AI1252" s="18" t="n">
        <f aca="false">IF($K1252="SEM CULTURA",0,$W1252*$H1252)</f>
        <v>3716.15832</v>
      </c>
      <c r="AJ1252" s="18" t="n">
        <f aca="false">IF($K1252="SEM CULTURA",0,$S1252*$H1252)</f>
        <v>5742.408</v>
      </c>
      <c r="AK1252" s="8" t="str">
        <f aca="false">$E1252&amp;"|"&amp;TEXT($AD1252,"0.000000")</f>
        <v>PV 118|0.327964</v>
      </c>
    </row>
    <row r="1253" customFormat="false" ht="15" hidden="false" customHeight="false" outlineLevel="0" collapsed="false">
      <c r="B1253" s="16" t="n">
        <v>60</v>
      </c>
      <c r="C1253" s="17" t="n">
        <f aca="false">DATA_INICIO_SAFRA+($B1253-1)*DIAS_POR_SEMANA</f>
        <v>46678</v>
      </c>
      <c r="D1253" s="17" t="n">
        <f aca="false">$C1253+DIAS_POR_SEMANA-1</f>
        <v>46684</v>
      </c>
      <c r="E1253" s="15" t="s">
        <v>277</v>
      </c>
      <c r="F1253" s="8" t="str">
        <f aca="false">IFERROR(INDEX(CADASTRO_PIVOS!$C$6:$C$41,MATCH($E1253,CADASTRO_PIVOS!$B$6:$B$41,0)),"?")</f>
        <v>RM06</v>
      </c>
      <c r="G1253" s="8" t="str">
        <f aca="false">IFERROR(INDEX(CADASTRO_PIVOS!$D$6:$D$41,MATCH($E1253,CADASTRO_PIVOS!$B$6:$B$41,0)),"?")</f>
        <v>TR06</v>
      </c>
      <c r="H1253" s="20" t="n">
        <f aca="false">IFERROR(INDEX(CADASTRO_PIVOS!$E$6:$E$41,MATCH($E1253,CADASTRO_PIVOS!$B$6:$B$41,0)),0)</f>
        <v>146.49</v>
      </c>
      <c r="I1253" s="16" t="n">
        <f aca="false">IFERROR(SUMIFS(ROTACAO_RDM!$B$6:$B$71,ROTACAO_RDM!$D$6:$D$71,$E1253,ROTACAO_RDM!$I$6:$I$71,"&lt;="&amp;$C1253+INT(DIAS_POR_SEMANA/2),ROTACAO_RDM!$J$6:$J$71,"&gt;="&amp;$C1253+INT(DIAS_POR_SEMANA/2)),0)</f>
        <v>31</v>
      </c>
      <c r="J1253" s="16" t="n">
        <f aca="false">IFERROR(MATCH($I1253,ROTACAO_RDM!$B$6:$B$71,0),0)</f>
        <v>31</v>
      </c>
      <c r="K1253" s="8" t="str">
        <f aca="false">IF($J1253=0,"SEM CULTURA",INDEX(ROTACAO_RDM!$F$6:$F$71,$J1253))</f>
        <v>MILHO_GRAO</v>
      </c>
      <c r="L1253" s="8" t="n">
        <f aca="false">IF($J1253=0,"",INDEX(ROTACAO_RDM!$G$6:$G$71,$J1253))</f>
        <v>0</v>
      </c>
      <c r="M1253" s="17" t="n">
        <f aca="false">IF($J1253=0,"",INDEX(ROTACAO_RDM!$I$6:$I$71,$J1253))</f>
        <v>46559</v>
      </c>
      <c r="N1253" s="16" t="n">
        <f aca="false">IF($J1253=0,0,MAX(0,$C1253+INT(DIAS_POR_SEMANA/2)-INDEX(ROTACAO_RDM!$I$6:$I$71,$J1253)))</f>
        <v>122</v>
      </c>
      <c r="O1253" s="19" t="n">
        <f aca="false">IF($J1253=0,0,MIN(1,$N1253/MAX(1,INDEX(ROTACAO_RDM!$K$6:$K$71,$J1253))))</f>
        <v>0.7625</v>
      </c>
      <c r="P1253" s="16" t="n">
        <f aca="false">IF($J1253=0,0,IFERROR(MATCH(INDEX(ROTACAO_RDM!$N$6:$N$71,$J1253),PARAMETROS_CULTURAS!$B$6:$B$28,0),0))</f>
        <v>8</v>
      </c>
      <c r="Q1253" s="8" t="str">
        <f aca="false">IF($P1253=0,"-",IF($O1253&lt;=INDEX(PARAMETROS_CULTURAS!$F$6:$F$28,$P1253),"INICIAL",IF($O1253&lt;=INDEX(PARAMETROS_CULTURAS!$F$6:$F$28,$P1253)+INDEX(PARAMETROS_CULTURAS!$G$6:$G$28,$P1253),"DESENVOLVIMENTO",IF($O1253&lt;=INDEX(PARAMETROS_CULTURAS!$F$6:$F$28,$P1253)+INDEX(PARAMETROS_CULTURAS!$G$6:$G$28,$P1253)+INDEX(PARAMETROS_CULTURAS!$H$6:$H$28,$P1253),"MEDIA","FINAL"))))</f>
        <v>FINAL</v>
      </c>
      <c r="R1253" s="24" t="n">
        <f aca="false">IF($P1253=0,0,IF($O1253&lt;=INDEX(PARAMETROS_CULTURAS!$F$6:$F$28,$P1253),INDEX(PARAMETROS_CULTURAS!$K$6:$K$28,$P1253),IF($O1253&lt;=INDEX(PARAMETROS_CULTURAS!$F$6:$F$28,$P1253)+INDEX(PARAMETROS_CULTURAS!$G$6:$G$28,$P1253),INDEX(PARAMETROS_CULTURAS!$K$6:$K$28,$P1253)+(INDEX(PARAMETROS_CULTURAS!$L$6:$L$28,$P1253)-INDEX(PARAMETROS_CULTURAS!$K$6:$K$28,$P1253))*($O1253-INDEX(PARAMETROS_CULTURAS!$F$6:$F$28,$P1253))/MAX(INDEX(PARAMETROS_CULTURAS!$G$6:$G$28,$P1253),0.0001),IF($O1253&lt;=INDEX(PARAMETROS_CULTURAS!$F$6:$F$28,$P1253)+INDEX(PARAMETROS_CULTURAS!$G$6:$G$28,$P1253)+INDEX(PARAMETROS_CULTURAS!$H$6:$H$28,$P1253),INDEX(PARAMETROS_CULTURAS!$L$6:$L$28,$P1253),INDEX(PARAMETROS_CULTURAS!$L$6:$L$28,$P1253)+(INDEX(PARAMETROS_CULTURAS!$M$6:$M$28,$P1253)-INDEX(PARAMETROS_CULTURAS!$L$6:$L$28,$P1253))*($O1253-INDEX(PARAMETROS_CULTURAS!$F$6:$F$28,$P1253)-INDEX(PARAMETROS_CULTURAS!$G$6:$G$28,$P1253)-INDEX(PARAMETROS_CULTURAS!$H$6:$H$28,$P1253))/MAX(INDEX(PARAMETROS_CULTURAS!$I$6:$I$28,$P1253),0.0001)))))</f>
        <v>1.17</v>
      </c>
      <c r="S1253" s="18" t="n">
        <f aca="false">IFERROR(INDEX(SEMANAS!$H$6:$H$71,MATCH($B1253,SEMANAS!$B$6:$B$71,0)),0)</f>
        <v>39.2</v>
      </c>
      <c r="T1253" s="18" t="n">
        <f aca="false">$R1253*$S1253</f>
        <v>45.864</v>
      </c>
      <c r="U1253" s="18" t="n">
        <f aca="false">IFERROR(INDEX(SEMANAS!$I$6:$I$71,MATCH($B1253,SEMANAS!$B$6:$B$71,0)),0)</f>
        <v>27.09</v>
      </c>
      <c r="V1253" s="18" t="n">
        <f aca="false">IFERROR(INDEX(SEMANAS!$J$6:$J$71,MATCH($B1253,SEMANAS!$B$6:$B$71,0)),0)</f>
        <v>21.672</v>
      </c>
      <c r="W1253" s="18" t="n">
        <f aca="false">MAX(0,$T1253-$V1253)</f>
        <v>24.192</v>
      </c>
      <c r="X1253" s="19" t="n">
        <f aca="false">IFERROR(INDEX(CADASTRO_PIVOS!$K$6:$K$41,MATCH($E1253,CADASTRO_PIVOS!$B$6:$B$41,0)),EFICIENCIA_PADRAO)</f>
        <v>0.85</v>
      </c>
      <c r="Y1253" s="18" t="n">
        <f aca="false">IF($X1253&lt;=0,0,$W1253/$X1253)</f>
        <v>28.4611764705882</v>
      </c>
      <c r="Z1253" s="16" t="n">
        <f aca="false">$Y1253*$H1253*MM_PARA_M3_HA</f>
        <v>41692.7774117647</v>
      </c>
      <c r="AA1253" s="18" t="n">
        <f aca="false">IFERROR(INDEX(CADASTRO_PIVOS!$I$6:$I$41,MATCH($E1253,CADASTRO_PIVOS!$B$6:$B$41,0)),0)</f>
        <v>906.842857142857</v>
      </c>
      <c r="AB1253" s="18" t="n">
        <f aca="false">IF($Z1253&lt;=0,0,$Z1253/$AA1253)</f>
        <v>45.9757466063348</v>
      </c>
      <c r="AC1253" s="16" t="n">
        <f aca="false">IFERROR(INDEX(SEMANAS!$K$6:$K$71,MATCH($B1253,SEMANAS!$B$6:$B$71,0)),0)</f>
        <v>147</v>
      </c>
      <c r="AD1253" s="19" t="n">
        <f aca="false">IF($AC1253&lt;=0,0,$AB1253/$AC1253)</f>
        <v>0.312760180995475</v>
      </c>
      <c r="AE1253" s="8" t="str">
        <f aca="false">IF($K1253="SEM CULTURA","SEM CULTURA",IF($AA1253&lt;=0,"DADO PENDENTE",IF($AD1253&gt;LIMITE_CRITICO,"INVIAVEL",IF($AD1253&gt;LIMITE_ATENCAO,"CRITICO",IF($AD1253&gt;LIMITE_CONFORTAVEL,"ATENCAO","OK")))))</f>
        <v>OK</v>
      </c>
      <c r="AF1253" s="8" t="str">
        <f aca="false">$B1253&amp;"|"&amp;TEXT($AD1253,"0.000000")</f>
        <v>60|0.312760</v>
      </c>
      <c r="AG1253" s="18" t="n">
        <f aca="false">IF($K1253="SEM CULTURA",0,$T1253*$H1253)</f>
        <v>6718.61736</v>
      </c>
      <c r="AH1253" s="18" t="n">
        <f aca="false">IF($K1253="SEM CULTURA",0,$V1253*$H1253)</f>
        <v>3174.73128</v>
      </c>
      <c r="AI1253" s="18" t="n">
        <f aca="false">IF($K1253="SEM CULTURA",0,$W1253*$H1253)</f>
        <v>3543.88608</v>
      </c>
      <c r="AJ1253" s="18" t="n">
        <f aca="false">IF($K1253="SEM CULTURA",0,$S1253*$H1253)</f>
        <v>5742.408</v>
      </c>
      <c r="AK1253" s="8" t="str">
        <f aca="false">$E1253&amp;"|"&amp;TEXT($AD1253,"0.000000")</f>
        <v>PV 118|0.312760</v>
      </c>
    </row>
    <row r="1254" customFormat="false" ht="15" hidden="false" customHeight="false" outlineLevel="0" collapsed="false">
      <c r="B1254" s="16" t="n">
        <v>61</v>
      </c>
      <c r="C1254" s="17" t="n">
        <f aca="false">DATA_INICIO_SAFRA+($B1254-1)*DIAS_POR_SEMANA</f>
        <v>46685</v>
      </c>
      <c r="D1254" s="17" t="n">
        <f aca="false">$C1254+DIAS_POR_SEMANA-1</f>
        <v>46691</v>
      </c>
      <c r="E1254" s="15" t="s">
        <v>277</v>
      </c>
      <c r="F1254" s="8" t="str">
        <f aca="false">IFERROR(INDEX(CADASTRO_PIVOS!$C$6:$C$41,MATCH($E1254,CADASTRO_PIVOS!$B$6:$B$41,0)),"?")</f>
        <v>RM06</v>
      </c>
      <c r="G1254" s="8" t="str">
        <f aca="false">IFERROR(INDEX(CADASTRO_PIVOS!$D$6:$D$41,MATCH($E1254,CADASTRO_PIVOS!$B$6:$B$41,0)),"?")</f>
        <v>TR06</v>
      </c>
      <c r="H1254" s="20" t="n">
        <f aca="false">IFERROR(INDEX(CADASTRO_PIVOS!$E$6:$E$41,MATCH($E1254,CADASTRO_PIVOS!$B$6:$B$41,0)),0)</f>
        <v>146.49</v>
      </c>
      <c r="I1254" s="16" t="n">
        <f aca="false">IFERROR(SUMIFS(ROTACAO_RDM!$B$6:$B$71,ROTACAO_RDM!$D$6:$D$71,$E1254,ROTACAO_RDM!$I$6:$I$71,"&lt;="&amp;$C1254+INT(DIAS_POR_SEMANA/2),ROTACAO_RDM!$J$6:$J$71,"&gt;="&amp;$C1254+INT(DIAS_POR_SEMANA/2)),0)</f>
        <v>31</v>
      </c>
      <c r="J1254" s="16" t="n">
        <f aca="false">IFERROR(MATCH($I1254,ROTACAO_RDM!$B$6:$B$71,0),0)</f>
        <v>31</v>
      </c>
      <c r="K1254" s="8" t="str">
        <f aca="false">IF($J1254=0,"SEM CULTURA",INDEX(ROTACAO_RDM!$F$6:$F$71,$J1254))</f>
        <v>MILHO_GRAO</v>
      </c>
      <c r="L1254" s="8" t="n">
        <f aca="false">IF($J1254=0,"",INDEX(ROTACAO_RDM!$G$6:$G$71,$J1254))</f>
        <v>0</v>
      </c>
      <c r="M1254" s="17" t="n">
        <f aca="false">IF($J1254=0,"",INDEX(ROTACAO_RDM!$I$6:$I$71,$J1254))</f>
        <v>46559</v>
      </c>
      <c r="N1254" s="16" t="n">
        <f aca="false">IF($J1254=0,0,MAX(0,$C1254+INT(DIAS_POR_SEMANA/2)-INDEX(ROTACAO_RDM!$I$6:$I$71,$J1254)))</f>
        <v>129</v>
      </c>
      <c r="O1254" s="19" t="n">
        <f aca="false">IF($J1254=0,0,MIN(1,$N1254/MAX(1,INDEX(ROTACAO_RDM!$K$6:$K$71,$J1254))))</f>
        <v>0.80625</v>
      </c>
      <c r="P1254" s="16" t="n">
        <f aca="false">IF($J1254=0,0,IFERROR(MATCH(INDEX(ROTACAO_RDM!$N$6:$N$71,$J1254),PARAMETROS_CULTURAS!$B$6:$B$28,0),0))</f>
        <v>8</v>
      </c>
      <c r="Q1254" s="8" t="str">
        <f aca="false">IF($P1254=0,"-",IF($O1254&lt;=INDEX(PARAMETROS_CULTURAS!$F$6:$F$28,$P1254),"INICIAL",IF($O1254&lt;=INDEX(PARAMETROS_CULTURAS!$F$6:$F$28,$P1254)+INDEX(PARAMETROS_CULTURAS!$G$6:$G$28,$P1254),"DESENVOLVIMENTO",IF($O1254&lt;=INDEX(PARAMETROS_CULTURAS!$F$6:$F$28,$P1254)+INDEX(PARAMETROS_CULTURAS!$G$6:$G$28,$P1254)+INDEX(PARAMETROS_CULTURAS!$H$6:$H$28,$P1254),"MEDIA","FINAL"))))</f>
        <v>FINAL</v>
      </c>
      <c r="R1254" s="24" t="n">
        <f aca="false">IF($P1254=0,0,IF($O1254&lt;=INDEX(PARAMETROS_CULTURAS!$F$6:$F$28,$P1254),INDEX(PARAMETROS_CULTURAS!$K$6:$K$28,$P1254),IF($O1254&lt;=INDEX(PARAMETROS_CULTURAS!$F$6:$F$28,$P1254)+INDEX(PARAMETROS_CULTURAS!$G$6:$G$28,$P1254),INDEX(PARAMETROS_CULTURAS!$K$6:$K$28,$P1254)+(INDEX(PARAMETROS_CULTURAS!$L$6:$L$28,$P1254)-INDEX(PARAMETROS_CULTURAS!$K$6:$K$28,$P1254))*($O1254-INDEX(PARAMETROS_CULTURAS!$F$6:$F$28,$P1254))/MAX(INDEX(PARAMETROS_CULTURAS!$G$6:$G$28,$P1254),0.0001),IF($O1254&lt;=INDEX(PARAMETROS_CULTURAS!$F$6:$F$28,$P1254)+INDEX(PARAMETROS_CULTURAS!$G$6:$G$28,$P1254)+INDEX(PARAMETROS_CULTURAS!$H$6:$H$28,$P1254),INDEX(PARAMETROS_CULTURAS!$L$6:$L$28,$P1254),INDEX(PARAMETROS_CULTURAS!$L$6:$L$28,$P1254)+(INDEX(PARAMETROS_CULTURAS!$M$6:$M$28,$P1254)-INDEX(PARAMETROS_CULTURAS!$L$6:$L$28,$P1254))*($O1254-INDEX(PARAMETROS_CULTURAS!$F$6:$F$28,$P1254)-INDEX(PARAMETROS_CULTURAS!$G$6:$G$28,$P1254)-INDEX(PARAMETROS_CULTURAS!$H$6:$H$28,$P1254))/MAX(INDEX(PARAMETROS_CULTURAS!$I$6:$I$28,$P1254),0.0001)))))</f>
        <v>1.065</v>
      </c>
      <c r="S1254" s="18" t="n">
        <f aca="false">IFERROR(INDEX(SEMANAS!$H$6:$H$71,MATCH($B1254,SEMANAS!$B$6:$B$71,0)),0)</f>
        <v>39.2</v>
      </c>
      <c r="T1254" s="18" t="n">
        <f aca="false">$R1254*$S1254</f>
        <v>41.748</v>
      </c>
      <c r="U1254" s="18" t="n">
        <f aca="false">IFERROR(INDEX(SEMANAS!$I$6:$I$71,MATCH($B1254,SEMANAS!$B$6:$B$71,0)),0)</f>
        <v>27.09</v>
      </c>
      <c r="V1254" s="18" t="n">
        <f aca="false">IFERROR(INDEX(SEMANAS!$J$6:$J$71,MATCH($B1254,SEMANAS!$B$6:$B$71,0)),0)</f>
        <v>21.672</v>
      </c>
      <c r="W1254" s="18" t="n">
        <f aca="false">MAX(0,$T1254-$V1254)</f>
        <v>20.076</v>
      </c>
      <c r="X1254" s="19" t="n">
        <f aca="false">IFERROR(INDEX(CADASTRO_PIVOS!$K$6:$K$41,MATCH($E1254,CADASTRO_PIVOS!$B$6:$B$41,0)),EFICIENCIA_PADRAO)</f>
        <v>0.85</v>
      </c>
      <c r="Y1254" s="18" t="n">
        <f aca="false">IF($X1254&lt;=0,0,$W1254/$X1254)</f>
        <v>23.6188235294118</v>
      </c>
      <c r="Z1254" s="16" t="n">
        <f aca="false">$Y1254*$H1254*MM_PARA_M3_HA</f>
        <v>34599.2145882353</v>
      </c>
      <c r="AA1254" s="18" t="n">
        <f aca="false">IFERROR(INDEX(CADASTRO_PIVOS!$I$6:$I$41,MATCH($E1254,CADASTRO_PIVOS!$B$6:$B$41,0)),0)</f>
        <v>906.842857142857</v>
      </c>
      <c r="AB1254" s="18" t="n">
        <f aca="false">IF($Z1254&lt;=0,0,$Z1254/$AA1254)</f>
        <v>38.1534841628959</v>
      </c>
      <c r="AC1254" s="16" t="n">
        <f aca="false">IFERROR(INDEX(SEMANAS!$K$6:$K$71,MATCH($B1254,SEMANAS!$B$6:$B$71,0)),0)</f>
        <v>147</v>
      </c>
      <c r="AD1254" s="19" t="n">
        <f aca="false">IF($AC1254&lt;=0,0,$AB1254/$AC1254)</f>
        <v>0.259547511312217</v>
      </c>
      <c r="AE1254" s="8" t="str">
        <f aca="false">IF($K1254="SEM CULTURA","SEM CULTURA",IF($AA1254&lt;=0,"DADO PENDENTE",IF($AD1254&gt;LIMITE_CRITICO,"INVIAVEL",IF($AD1254&gt;LIMITE_ATENCAO,"CRITICO",IF($AD1254&gt;LIMITE_CONFORTAVEL,"ATENCAO","OK")))))</f>
        <v>OK</v>
      </c>
      <c r="AF1254" s="8" t="str">
        <f aca="false">$B1254&amp;"|"&amp;TEXT($AD1254,"0.000000")</f>
        <v>61|0.259548</v>
      </c>
      <c r="AG1254" s="18" t="n">
        <f aca="false">IF($K1254="SEM CULTURA",0,$T1254*$H1254)</f>
        <v>6115.66452</v>
      </c>
      <c r="AH1254" s="18" t="n">
        <f aca="false">IF($K1254="SEM CULTURA",0,$V1254*$H1254)</f>
        <v>3174.73128</v>
      </c>
      <c r="AI1254" s="18" t="n">
        <f aca="false">IF($K1254="SEM CULTURA",0,$W1254*$H1254)</f>
        <v>2940.93324</v>
      </c>
      <c r="AJ1254" s="18" t="n">
        <f aca="false">IF($K1254="SEM CULTURA",0,$S1254*$H1254)</f>
        <v>5742.408</v>
      </c>
      <c r="AK1254" s="8" t="str">
        <f aca="false">$E1254&amp;"|"&amp;TEXT($AD1254,"0.000000")</f>
        <v>PV 118|0.259548</v>
      </c>
    </row>
    <row r="1255" customFormat="false" ht="15" hidden="false" customHeight="false" outlineLevel="0" collapsed="false">
      <c r="B1255" s="16" t="n">
        <v>62</v>
      </c>
      <c r="C1255" s="17" t="n">
        <f aca="false">DATA_INICIO_SAFRA+($B1255-1)*DIAS_POR_SEMANA</f>
        <v>46692</v>
      </c>
      <c r="D1255" s="17" t="n">
        <f aca="false">$C1255+DIAS_POR_SEMANA-1</f>
        <v>46698</v>
      </c>
      <c r="E1255" s="15" t="s">
        <v>277</v>
      </c>
      <c r="F1255" s="8" t="str">
        <f aca="false">IFERROR(INDEX(CADASTRO_PIVOS!$C$6:$C$41,MATCH($E1255,CADASTRO_PIVOS!$B$6:$B$41,0)),"?")</f>
        <v>RM06</v>
      </c>
      <c r="G1255" s="8" t="str">
        <f aca="false">IFERROR(INDEX(CADASTRO_PIVOS!$D$6:$D$41,MATCH($E1255,CADASTRO_PIVOS!$B$6:$B$41,0)),"?")</f>
        <v>TR06</v>
      </c>
      <c r="H1255" s="20" t="n">
        <f aca="false">IFERROR(INDEX(CADASTRO_PIVOS!$E$6:$E$41,MATCH($E1255,CADASTRO_PIVOS!$B$6:$B$41,0)),0)</f>
        <v>146.49</v>
      </c>
      <c r="I1255" s="16" t="n">
        <f aca="false">IFERROR(SUMIFS(ROTACAO_RDM!$B$6:$B$71,ROTACAO_RDM!$D$6:$D$71,$E1255,ROTACAO_RDM!$I$6:$I$71,"&lt;="&amp;$C1255+INT(DIAS_POR_SEMANA/2),ROTACAO_RDM!$J$6:$J$71,"&gt;="&amp;$C1255+INT(DIAS_POR_SEMANA/2)),0)</f>
        <v>31</v>
      </c>
      <c r="J1255" s="16" t="n">
        <f aca="false">IFERROR(MATCH($I1255,ROTACAO_RDM!$B$6:$B$71,0),0)</f>
        <v>31</v>
      </c>
      <c r="K1255" s="8" t="str">
        <f aca="false">IF($J1255=0,"SEM CULTURA",INDEX(ROTACAO_RDM!$F$6:$F$71,$J1255))</f>
        <v>MILHO_GRAO</v>
      </c>
      <c r="L1255" s="8" t="n">
        <f aca="false">IF($J1255=0,"",INDEX(ROTACAO_RDM!$G$6:$G$71,$J1255))</f>
        <v>0</v>
      </c>
      <c r="M1255" s="17" t="n">
        <f aca="false">IF($J1255=0,"",INDEX(ROTACAO_RDM!$I$6:$I$71,$J1255))</f>
        <v>46559</v>
      </c>
      <c r="N1255" s="16" t="n">
        <f aca="false">IF($J1255=0,0,MAX(0,$C1255+INT(DIAS_POR_SEMANA/2)-INDEX(ROTACAO_RDM!$I$6:$I$71,$J1255)))</f>
        <v>136</v>
      </c>
      <c r="O1255" s="19" t="n">
        <f aca="false">IF($J1255=0,0,MIN(1,$N1255/MAX(1,INDEX(ROTACAO_RDM!$K$6:$K$71,$J1255))))</f>
        <v>0.85</v>
      </c>
      <c r="P1255" s="16" t="n">
        <f aca="false">IF($J1255=0,0,IFERROR(MATCH(INDEX(ROTACAO_RDM!$N$6:$N$71,$J1255),PARAMETROS_CULTURAS!$B$6:$B$28,0),0))</f>
        <v>8</v>
      </c>
      <c r="Q1255" s="8" t="str">
        <f aca="false">IF($P1255=0,"-",IF($O1255&lt;=INDEX(PARAMETROS_CULTURAS!$F$6:$F$28,$P1255),"INICIAL",IF($O1255&lt;=INDEX(PARAMETROS_CULTURAS!$F$6:$F$28,$P1255)+INDEX(PARAMETROS_CULTURAS!$G$6:$G$28,$P1255),"DESENVOLVIMENTO",IF($O1255&lt;=INDEX(PARAMETROS_CULTURAS!$F$6:$F$28,$P1255)+INDEX(PARAMETROS_CULTURAS!$G$6:$G$28,$P1255)+INDEX(PARAMETROS_CULTURAS!$H$6:$H$28,$P1255),"MEDIA","FINAL"))))</f>
        <v>FINAL</v>
      </c>
      <c r="R1255" s="24" t="n">
        <f aca="false">IF($P1255=0,0,IF($O1255&lt;=INDEX(PARAMETROS_CULTURAS!$F$6:$F$28,$P1255),INDEX(PARAMETROS_CULTURAS!$K$6:$K$28,$P1255),IF($O1255&lt;=INDEX(PARAMETROS_CULTURAS!$F$6:$F$28,$P1255)+INDEX(PARAMETROS_CULTURAS!$G$6:$G$28,$P1255),INDEX(PARAMETROS_CULTURAS!$K$6:$K$28,$P1255)+(INDEX(PARAMETROS_CULTURAS!$L$6:$L$28,$P1255)-INDEX(PARAMETROS_CULTURAS!$K$6:$K$28,$P1255))*($O1255-INDEX(PARAMETROS_CULTURAS!$F$6:$F$28,$P1255))/MAX(INDEX(PARAMETROS_CULTURAS!$G$6:$G$28,$P1255),0.0001),IF($O1255&lt;=INDEX(PARAMETROS_CULTURAS!$F$6:$F$28,$P1255)+INDEX(PARAMETROS_CULTURAS!$G$6:$G$28,$P1255)+INDEX(PARAMETROS_CULTURAS!$H$6:$H$28,$P1255),INDEX(PARAMETROS_CULTURAS!$L$6:$L$28,$P1255),INDEX(PARAMETROS_CULTURAS!$L$6:$L$28,$P1255)+(INDEX(PARAMETROS_CULTURAS!$M$6:$M$28,$P1255)-INDEX(PARAMETROS_CULTURAS!$L$6:$L$28,$P1255))*($O1255-INDEX(PARAMETROS_CULTURAS!$F$6:$F$28,$P1255)-INDEX(PARAMETROS_CULTURAS!$G$6:$G$28,$P1255)-INDEX(PARAMETROS_CULTURAS!$H$6:$H$28,$P1255))/MAX(INDEX(PARAMETROS_CULTURAS!$I$6:$I$28,$P1255),0.0001)))))</f>
        <v>0.96</v>
      </c>
      <c r="S1255" s="18" t="n">
        <f aca="false">IFERROR(INDEX(SEMANAS!$H$6:$H$71,MATCH($B1255,SEMANAS!$B$6:$B$71,0)),0)</f>
        <v>34.3</v>
      </c>
      <c r="T1255" s="18" t="n">
        <f aca="false">$R1255*$S1255</f>
        <v>32.928</v>
      </c>
      <c r="U1255" s="18" t="n">
        <f aca="false">IFERROR(INDEX(SEMANAS!$I$6:$I$71,MATCH($B1255,SEMANAS!$B$6:$B$71,0)),0)</f>
        <v>46.69</v>
      </c>
      <c r="V1255" s="18" t="n">
        <f aca="false">IFERROR(INDEX(SEMANAS!$J$6:$J$71,MATCH($B1255,SEMANAS!$B$6:$B$71,0)),0)</f>
        <v>37.352</v>
      </c>
      <c r="W1255" s="18" t="n">
        <f aca="false">MAX(0,$T1255-$V1255)</f>
        <v>0</v>
      </c>
      <c r="X1255" s="19" t="n">
        <f aca="false">IFERROR(INDEX(CADASTRO_PIVOS!$K$6:$K$41,MATCH($E1255,CADASTRO_PIVOS!$B$6:$B$41,0)),EFICIENCIA_PADRAO)</f>
        <v>0.85</v>
      </c>
      <c r="Y1255" s="18" t="n">
        <f aca="false">IF($X1255&lt;=0,0,$W1255/$X1255)</f>
        <v>0</v>
      </c>
      <c r="Z1255" s="16" t="n">
        <f aca="false">$Y1255*$H1255*MM_PARA_M3_HA</f>
        <v>0</v>
      </c>
      <c r="AA1255" s="18" t="n">
        <f aca="false">IFERROR(INDEX(CADASTRO_PIVOS!$I$6:$I$41,MATCH($E1255,CADASTRO_PIVOS!$B$6:$B$41,0)),0)</f>
        <v>906.842857142857</v>
      </c>
      <c r="AB1255" s="18" t="n">
        <f aca="false">IF($Z1255&lt;=0,0,$Z1255/$AA1255)</f>
        <v>0</v>
      </c>
      <c r="AC1255" s="16" t="n">
        <f aca="false">IFERROR(INDEX(SEMANAS!$K$6:$K$71,MATCH($B1255,SEMANAS!$B$6:$B$71,0)),0)</f>
        <v>147</v>
      </c>
      <c r="AD1255" s="19" t="n">
        <f aca="false">IF($AC1255&lt;=0,0,$AB1255/$AC1255)</f>
        <v>0</v>
      </c>
      <c r="AE1255" s="8" t="str">
        <f aca="false">IF($K1255="SEM CULTURA","SEM CULTURA",IF($AA1255&lt;=0,"DADO PENDENTE",IF($AD1255&gt;LIMITE_CRITICO,"INVIAVEL",IF($AD1255&gt;LIMITE_ATENCAO,"CRITICO",IF($AD1255&gt;LIMITE_CONFORTAVEL,"ATENCAO","OK")))))</f>
        <v>OK</v>
      </c>
      <c r="AF1255" s="8" t="str">
        <f aca="false">$B1255&amp;"|"&amp;TEXT($AD1255,"0.000000")</f>
        <v>62|0.000000</v>
      </c>
      <c r="AG1255" s="18" t="n">
        <f aca="false">IF($K1255="SEM CULTURA",0,$T1255*$H1255)</f>
        <v>4823.62272</v>
      </c>
      <c r="AH1255" s="18" t="n">
        <f aca="false">IF($K1255="SEM CULTURA",0,$V1255*$H1255)</f>
        <v>5471.69448</v>
      </c>
      <c r="AI1255" s="18" t="n">
        <f aca="false">IF($K1255="SEM CULTURA",0,$W1255*$H1255)</f>
        <v>0</v>
      </c>
      <c r="AJ1255" s="18" t="n">
        <f aca="false">IF($K1255="SEM CULTURA",0,$S1255*$H1255)</f>
        <v>5024.607</v>
      </c>
      <c r="AK1255" s="8" t="str">
        <f aca="false">$E1255&amp;"|"&amp;TEXT($AD1255,"0.000000")</f>
        <v>PV 118|0.000000</v>
      </c>
    </row>
    <row r="1256" customFormat="false" ht="15" hidden="false" customHeight="false" outlineLevel="0" collapsed="false">
      <c r="B1256" s="16" t="n">
        <v>63</v>
      </c>
      <c r="C1256" s="17" t="n">
        <f aca="false">DATA_INICIO_SAFRA+($B1256-1)*DIAS_POR_SEMANA</f>
        <v>46699</v>
      </c>
      <c r="D1256" s="17" t="n">
        <f aca="false">$C1256+DIAS_POR_SEMANA-1</f>
        <v>46705</v>
      </c>
      <c r="E1256" s="15" t="s">
        <v>277</v>
      </c>
      <c r="F1256" s="8" t="str">
        <f aca="false">IFERROR(INDEX(CADASTRO_PIVOS!$C$6:$C$41,MATCH($E1256,CADASTRO_PIVOS!$B$6:$B$41,0)),"?")</f>
        <v>RM06</v>
      </c>
      <c r="G1256" s="8" t="str">
        <f aca="false">IFERROR(INDEX(CADASTRO_PIVOS!$D$6:$D$41,MATCH($E1256,CADASTRO_PIVOS!$B$6:$B$41,0)),"?")</f>
        <v>TR06</v>
      </c>
      <c r="H1256" s="20" t="n">
        <f aca="false">IFERROR(INDEX(CADASTRO_PIVOS!$E$6:$E$41,MATCH($E1256,CADASTRO_PIVOS!$B$6:$B$41,0)),0)</f>
        <v>146.49</v>
      </c>
      <c r="I1256" s="16" t="n">
        <f aca="false">IFERROR(SUMIFS(ROTACAO_RDM!$B$6:$B$71,ROTACAO_RDM!$D$6:$D$71,$E1256,ROTACAO_RDM!$I$6:$I$71,"&lt;="&amp;$C1256+INT(DIAS_POR_SEMANA/2),ROTACAO_RDM!$J$6:$J$71,"&gt;="&amp;$C1256+INT(DIAS_POR_SEMANA/2)),0)</f>
        <v>31</v>
      </c>
      <c r="J1256" s="16" t="n">
        <f aca="false">IFERROR(MATCH($I1256,ROTACAO_RDM!$B$6:$B$71,0),0)</f>
        <v>31</v>
      </c>
      <c r="K1256" s="8" t="str">
        <f aca="false">IF($J1256=0,"SEM CULTURA",INDEX(ROTACAO_RDM!$F$6:$F$71,$J1256))</f>
        <v>MILHO_GRAO</v>
      </c>
      <c r="L1256" s="8" t="n">
        <f aca="false">IF($J1256=0,"",INDEX(ROTACAO_RDM!$G$6:$G$71,$J1256))</f>
        <v>0</v>
      </c>
      <c r="M1256" s="17" t="n">
        <f aca="false">IF($J1256=0,"",INDEX(ROTACAO_RDM!$I$6:$I$71,$J1256))</f>
        <v>46559</v>
      </c>
      <c r="N1256" s="16" t="n">
        <f aca="false">IF($J1256=0,0,MAX(0,$C1256+INT(DIAS_POR_SEMANA/2)-INDEX(ROTACAO_RDM!$I$6:$I$71,$J1256)))</f>
        <v>143</v>
      </c>
      <c r="O1256" s="19" t="n">
        <f aca="false">IF($J1256=0,0,MIN(1,$N1256/MAX(1,INDEX(ROTACAO_RDM!$K$6:$K$71,$J1256))))</f>
        <v>0.89375</v>
      </c>
      <c r="P1256" s="16" t="n">
        <f aca="false">IF($J1256=0,0,IFERROR(MATCH(INDEX(ROTACAO_RDM!$N$6:$N$71,$J1256),PARAMETROS_CULTURAS!$B$6:$B$28,0),0))</f>
        <v>8</v>
      </c>
      <c r="Q1256" s="8" t="str">
        <f aca="false">IF($P1256=0,"-",IF($O1256&lt;=INDEX(PARAMETROS_CULTURAS!$F$6:$F$28,$P1256),"INICIAL",IF($O1256&lt;=INDEX(PARAMETROS_CULTURAS!$F$6:$F$28,$P1256)+INDEX(PARAMETROS_CULTURAS!$G$6:$G$28,$P1256),"DESENVOLVIMENTO",IF($O1256&lt;=INDEX(PARAMETROS_CULTURAS!$F$6:$F$28,$P1256)+INDEX(PARAMETROS_CULTURAS!$G$6:$G$28,$P1256)+INDEX(PARAMETROS_CULTURAS!$H$6:$H$28,$P1256),"MEDIA","FINAL"))))</f>
        <v>FINAL</v>
      </c>
      <c r="R1256" s="24" t="n">
        <f aca="false">IF($P1256=0,0,IF($O1256&lt;=INDEX(PARAMETROS_CULTURAS!$F$6:$F$28,$P1256),INDEX(PARAMETROS_CULTURAS!$K$6:$K$28,$P1256),IF($O1256&lt;=INDEX(PARAMETROS_CULTURAS!$F$6:$F$28,$P1256)+INDEX(PARAMETROS_CULTURAS!$G$6:$G$28,$P1256),INDEX(PARAMETROS_CULTURAS!$K$6:$K$28,$P1256)+(INDEX(PARAMETROS_CULTURAS!$L$6:$L$28,$P1256)-INDEX(PARAMETROS_CULTURAS!$K$6:$K$28,$P1256))*($O1256-INDEX(PARAMETROS_CULTURAS!$F$6:$F$28,$P1256))/MAX(INDEX(PARAMETROS_CULTURAS!$G$6:$G$28,$P1256),0.0001),IF($O1256&lt;=INDEX(PARAMETROS_CULTURAS!$F$6:$F$28,$P1256)+INDEX(PARAMETROS_CULTURAS!$G$6:$G$28,$P1256)+INDEX(PARAMETROS_CULTURAS!$H$6:$H$28,$P1256),INDEX(PARAMETROS_CULTURAS!$L$6:$L$28,$P1256),INDEX(PARAMETROS_CULTURAS!$L$6:$L$28,$P1256)+(INDEX(PARAMETROS_CULTURAS!$M$6:$M$28,$P1256)-INDEX(PARAMETROS_CULTURAS!$L$6:$L$28,$P1256))*($O1256-INDEX(PARAMETROS_CULTURAS!$F$6:$F$28,$P1256)-INDEX(PARAMETROS_CULTURAS!$G$6:$G$28,$P1256)-INDEX(PARAMETROS_CULTURAS!$H$6:$H$28,$P1256))/MAX(INDEX(PARAMETROS_CULTURAS!$I$6:$I$28,$P1256),0.0001)))))</f>
        <v>0.855</v>
      </c>
      <c r="S1256" s="18" t="n">
        <f aca="false">IFERROR(INDEX(SEMANAS!$H$6:$H$71,MATCH($B1256,SEMANAS!$B$6:$B$71,0)),0)</f>
        <v>34.3</v>
      </c>
      <c r="T1256" s="18" t="n">
        <f aca="false">$R1256*$S1256</f>
        <v>29.3265</v>
      </c>
      <c r="U1256" s="18" t="n">
        <f aca="false">IFERROR(INDEX(SEMANAS!$I$6:$I$71,MATCH($B1256,SEMANAS!$B$6:$B$71,0)),0)</f>
        <v>46.69</v>
      </c>
      <c r="V1256" s="18" t="n">
        <f aca="false">IFERROR(INDEX(SEMANAS!$J$6:$J$71,MATCH($B1256,SEMANAS!$B$6:$B$71,0)),0)</f>
        <v>37.352</v>
      </c>
      <c r="W1256" s="18" t="n">
        <f aca="false">MAX(0,$T1256-$V1256)</f>
        <v>0</v>
      </c>
      <c r="X1256" s="19" t="n">
        <f aca="false">IFERROR(INDEX(CADASTRO_PIVOS!$K$6:$K$41,MATCH($E1256,CADASTRO_PIVOS!$B$6:$B$41,0)),EFICIENCIA_PADRAO)</f>
        <v>0.85</v>
      </c>
      <c r="Y1256" s="18" t="n">
        <f aca="false">IF($X1256&lt;=0,0,$W1256/$X1256)</f>
        <v>0</v>
      </c>
      <c r="Z1256" s="16" t="n">
        <f aca="false">$Y1256*$H1256*MM_PARA_M3_HA</f>
        <v>0</v>
      </c>
      <c r="AA1256" s="18" t="n">
        <f aca="false">IFERROR(INDEX(CADASTRO_PIVOS!$I$6:$I$41,MATCH($E1256,CADASTRO_PIVOS!$B$6:$B$41,0)),0)</f>
        <v>906.842857142857</v>
      </c>
      <c r="AB1256" s="18" t="n">
        <f aca="false">IF($Z1256&lt;=0,0,$Z1256/$AA1256)</f>
        <v>0</v>
      </c>
      <c r="AC1256" s="16" t="n">
        <f aca="false">IFERROR(INDEX(SEMANAS!$K$6:$K$71,MATCH($B1256,SEMANAS!$B$6:$B$71,0)),0)</f>
        <v>147</v>
      </c>
      <c r="AD1256" s="19" t="n">
        <f aca="false">IF($AC1256&lt;=0,0,$AB1256/$AC1256)</f>
        <v>0</v>
      </c>
      <c r="AE1256" s="8" t="str">
        <f aca="false">IF($K1256="SEM CULTURA","SEM CULTURA",IF($AA1256&lt;=0,"DADO PENDENTE",IF($AD1256&gt;LIMITE_CRITICO,"INVIAVEL",IF($AD1256&gt;LIMITE_ATENCAO,"CRITICO",IF($AD1256&gt;LIMITE_CONFORTAVEL,"ATENCAO","OK")))))</f>
        <v>OK</v>
      </c>
      <c r="AF1256" s="8" t="str">
        <f aca="false">$B1256&amp;"|"&amp;TEXT($AD1256,"0.000000")</f>
        <v>63|0.000000</v>
      </c>
      <c r="AG1256" s="18" t="n">
        <f aca="false">IF($K1256="SEM CULTURA",0,$T1256*$H1256)</f>
        <v>4296.038985</v>
      </c>
      <c r="AH1256" s="18" t="n">
        <f aca="false">IF($K1256="SEM CULTURA",0,$V1256*$H1256)</f>
        <v>5471.69448</v>
      </c>
      <c r="AI1256" s="18" t="n">
        <f aca="false">IF($K1256="SEM CULTURA",0,$W1256*$H1256)</f>
        <v>0</v>
      </c>
      <c r="AJ1256" s="18" t="n">
        <f aca="false">IF($K1256="SEM CULTURA",0,$S1256*$H1256)</f>
        <v>5024.607</v>
      </c>
      <c r="AK1256" s="8" t="str">
        <f aca="false">$E1256&amp;"|"&amp;TEXT($AD1256,"0.000000")</f>
        <v>PV 118|0.000000</v>
      </c>
    </row>
    <row r="1257" customFormat="false" ht="15" hidden="false" customHeight="false" outlineLevel="0" collapsed="false">
      <c r="B1257" s="16" t="n">
        <v>64</v>
      </c>
      <c r="C1257" s="17" t="n">
        <f aca="false">DATA_INICIO_SAFRA+($B1257-1)*DIAS_POR_SEMANA</f>
        <v>46706</v>
      </c>
      <c r="D1257" s="17" t="n">
        <f aca="false">$C1257+DIAS_POR_SEMANA-1</f>
        <v>46712</v>
      </c>
      <c r="E1257" s="15" t="s">
        <v>277</v>
      </c>
      <c r="F1257" s="8" t="str">
        <f aca="false">IFERROR(INDEX(CADASTRO_PIVOS!$C$6:$C$41,MATCH($E1257,CADASTRO_PIVOS!$B$6:$B$41,0)),"?")</f>
        <v>RM06</v>
      </c>
      <c r="G1257" s="8" t="str">
        <f aca="false">IFERROR(INDEX(CADASTRO_PIVOS!$D$6:$D$41,MATCH($E1257,CADASTRO_PIVOS!$B$6:$B$41,0)),"?")</f>
        <v>TR06</v>
      </c>
      <c r="H1257" s="20" t="n">
        <f aca="false">IFERROR(INDEX(CADASTRO_PIVOS!$E$6:$E$41,MATCH($E1257,CADASTRO_PIVOS!$B$6:$B$41,0)),0)</f>
        <v>146.49</v>
      </c>
      <c r="I1257" s="16" t="n">
        <f aca="false">IFERROR(SUMIFS(ROTACAO_RDM!$B$6:$B$71,ROTACAO_RDM!$D$6:$D$71,$E1257,ROTACAO_RDM!$I$6:$I$71,"&lt;="&amp;$C1257+INT(DIAS_POR_SEMANA/2),ROTACAO_RDM!$J$6:$J$71,"&gt;="&amp;$C1257+INT(DIAS_POR_SEMANA/2)),0)</f>
        <v>31</v>
      </c>
      <c r="J1257" s="16" t="n">
        <f aca="false">IFERROR(MATCH($I1257,ROTACAO_RDM!$B$6:$B$71,0),0)</f>
        <v>31</v>
      </c>
      <c r="K1257" s="8" t="str">
        <f aca="false">IF($J1257=0,"SEM CULTURA",INDEX(ROTACAO_RDM!$F$6:$F$71,$J1257))</f>
        <v>MILHO_GRAO</v>
      </c>
      <c r="L1257" s="8" t="n">
        <f aca="false">IF($J1257=0,"",INDEX(ROTACAO_RDM!$G$6:$G$71,$J1257))</f>
        <v>0</v>
      </c>
      <c r="M1257" s="17" t="n">
        <f aca="false">IF($J1257=0,"",INDEX(ROTACAO_RDM!$I$6:$I$71,$J1257))</f>
        <v>46559</v>
      </c>
      <c r="N1257" s="16" t="n">
        <f aca="false">IF($J1257=0,0,MAX(0,$C1257+INT(DIAS_POR_SEMANA/2)-INDEX(ROTACAO_RDM!$I$6:$I$71,$J1257)))</f>
        <v>150</v>
      </c>
      <c r="O1257" s="19" t="n">
        <f aca="false">IF($J1257=0,0,MIN(1,$N1257/MAX(1,INDEX(ROTACAO_RDM!$K$6:$K$71,$J1257))))</f>
        <v>0.9375</v>
      </c>
      <c r="P1257" s="16" t="n">
        <f aca="false">IF($J1257=0,0,IFERROR(MATCH(INDEX(ROTACAO_RDM!$N$6:$N$71,$J1257),PARAMETROS_CULTURAS!$B$6:$B$28,0),0))</f>
        <v>8</v>
      </c>
      <c r="Q1257" s="8" t="str">
        <f aca="false">IF($P1257=0,"-",IF($O1257&lt;=INDEX(PARAMETROS_CULTURAS!$F$6:$F$28,$P1257),"INICIAL",IF($O1257&lt;=INDEX(PARAMETROS_CULTURAS!$F$6:$F$28,$P1257)+INDEX(PARAMETROS_CULTURAS!$G$6:$G$28,$P1257),"DESENVOLVIMENTO",IF($O1257&lt;=INDEX(PARAMETROS_CULTURAS!$F$6:$F$28,$P1257)+INDEX(PARAMETROS_CULTURAS!$G$6:$G$28,$P1257)+INDEX(PARAMETROS_CULTURAS!$H$6:$H$28,$P1257),"MEDIA","FINAL"))))</f>
        <v>FINAL</v>
      </c>
      <c r="R1257" s="24" t="n">
        <f aca="false">IF($P1257=0,0,IF($O1257&lt;=INDEX(PARAMETROS_CULTURAS!$F$6:$F$28,$P1257),INDEX(PARAMETROS_CULTURAS!$K$6:$K$28,$P1257),IF($O1257&lt;=INDEX(PARAMETROS_CULTURAS!$F$6:$F$28,$P1257)+INDEX(PARAMETROS_CULTURAS!$G$6:$G$28,$P1257),INDEX(PARAMETROS_CULTURAS!$K$6:$K$28,$P1257)+(INDEX(PARAMETROS_CULTURAS!$L$6:$L$28,$P1257)-INDEX(PARAMETROS_CULTURAS!$K$6:$K$28,$P1257))*($O1257-INDEX(PARAMETROS_CULTURAS!$F$6:$F$28,$P1257))/MAX(INDEX(PARAMETROS_CULTURAS!$G$6:$G$28,$P1257),0.0001),IF($O1257&lt;=INDEX(PARAMETROS_CULTURAS!$F$6:$F$28,$P1257)+INDEX(PARAMETROS_CULTURAS!$G$6:$G$28,$P1257)+INDEX(PARAMETROS_CULTURAS!$H$6:$H$28,$P1257),INDEX(PARAMETROS_CULTURAS!$L$6:$L$28,$P1257),INDEX(PARAMETROS_CULTURAS!$L$6:$L$28,$P1257)+(INDEX(PARAMETROS_CULTURAS!$M$6:$M$28,$P1257)-INDEX(PARAMETROS_CULTURAS!$L$6:$L$28,$P1257))*($O1257-INDEX(PARAMETROS_CULTURAS!$F$6:$F$28,$P1257)-INDEX(PARAMETROS_CULTURAS!$G$6:$G$28,$P1257)-INDEX(PARAMETROS_CULTURAS!$H$6:$H$28,$P1257))/MAX(INDEX(PARAMETROS_CULTURAS!$I$6:$I$28,$P1257),0.0001)))))</f>
        <v>0.75</v>
      </c>
      <c r="S1257" s="18" t="n">
        <f aca="false">IFERROR(INDEX(SEMANAS!$H$6:$H$71,MATCH($B1257,SEMANAS!$B$6:$B$71,0)),0)</f>
        <v>34.3</v>
      </c>
      <c r="T1257" s="18" t="n">
        <f aca="false">$R1257*$S1257</f>
        <v>25.725</v>
      </c>
      <c r="U1257" s="18" t="n">
        <f aca="false">IFERROR(INDEX(SEMANAS!$I$6:$I$71,MATCH($B1257,SEMANAS!$B$6:$B$71,0)),0)</f>
        <v>46.69</v>
      </c>
      <c r="V1257" s="18" t="n">
        <f aca="false">IFERROR(INDEX(SEMANAS!$J$6:$J$71,MATCH($B1257,SEMANAS!$B$6:$B$71,0)),0)</f>
        <v>37.352</v>
      </c>
      <c r="W1257" s="18" t="n">
        <f aca="false">MAX(0,$T1257-$V1257)</f>
        <v>0</v>
      </c>
      <c r="X1257" s="19" t="n">
        <f aca="false">IFERROR(INDEX(CADASTRO_PIVOS!$K$6:$K$41,MATCH($E1257,CADASTRO_PIVOS!$B$6:$B$41,0)),EFICIENCIA_PADRAO)</f>
        <v>0.85</v>
      </c>
      <c r="Y1257" s="18" t="n">
        <f aca="false">IF($X1257&lt;=0,0,$W1257/$X1257)</f>
        <v>0</v>
      </c>
      <c r="Z1257" s="16" t="n">
        <f aca="false">$Y1257*$H1257*MM_PARA_M3_HA</f>
        <v>0</v>
      </c>
      <c r="AA1257" s="18" t="n">
        <f aca="false">IFERROR(INDEX(CADASTRO_PIVOS!$I$6:$I$41,MATCH($E1257,CADASTRO_PIVOS!$B$6:$B$41,0)),0)</f>
        <v>906.842857142857</v>
      </c>
      <c r="AB1257" s="18" t="n">
        <f aca="false">IF($Z1257&lt;=0,0,$Z1257/$AA1257)</f>
        <v>0</v>
      </c>
      <c r="AC1257" s="16" t="n">
        <f aca="false">IFERROR(INDEX(SEMANAS!$K$6:$K$71,MATCH($B1257,SEMANAS!$B$6:$B$71,0)),0)</f>
        <v>147</v>
      </c>
      <c r="AD1257" s="19" t="n">
        <f aca="false">IF($AC1257&lt;=0,0,$AB1257/$AC1257)</f>
        <v>0</v>
      </c>
      <c r="AE1257" s="8" t="str">
        <f aca="false">IF($K1257="SEM CULTURA","SEM CULTURA",IF($AA1257&lt;=0,"DADO PENDENTE",IF($AD1257&gt;LIMITE_CRITICO,"INVIAVEL",IF($AD1257&gt;LIMITE_ATENCAO,"CRITICO",IF($AD1257&gt;LIMITE_CONFORTAVEL,"ATENCAO","OK")))))</f>
        <v>OK</v>
      </c>
      <c r="AF1257" s="8" t="str">
        <f aca="false">$B1257&amp;"|"&amp;TEXT($AD1257,"0.000000")</f>
        <v>64|0.000000</v>
      </c>
      <c r="AG1257" s="18" t="n">
        <f aca="false">IF($K1257="SEM CULTURA",0,$T1257*$H1257)</f>
        <v>3768.45525</v>
      </c>
      <c r="AH1257" s="18" t="n">
        <f aca="false">IF($K1257="SEM CULTURA",0,$V1257*$H1257)</f>
        <v>5471.69448</v>
      </c>
      <c r="AI1257" s="18" t="n">
        <f aca="false">IF($K1257="SEM CULTURA",0,$W1257*$H1257)</f>
        <v>0</v>
      </c>
      <c r="AJ1257" s="18" t="n">
        <f aca="false">IF($K1257="SEM CULTURA",0,$S1257*$H1257)</f>
        <v>5024.607</v>
      </c>
      <c r="AK1257" s="8" t="str">
        <f aca="false">$E1257&amp;"|"&amp;TEXT($AD1257,"0.000000")</f>
        <v>PV 118|0.000000</v>
      </c>
    </row>
    <row r="1258" customFormat="false" ht="15" hidden="false" customHeight="false" outlineLevel="0" collapsed="false">
      <c r="B1258" s="16" t="n">
        <v>65</v>
      </c>
      <c r="C1258" s="17" t="n">
        <f aca="false">DATA_INICIO_SAFRA+($B1258-1)*DIAS_POR_SEMANA</f>
        <v>46713</v>
      </c>
      <c r="D1258" s="17" t="n">
        <f aca="false">$C1258+DIAS_POR_SEMANA-1</f>
        <v>46719</v>
      </c>
      <c r="E1258" s="15" t="s">
        <v>277</v>
      </c>
      <c r="F1258" s="8" t="str">
        <f aca="false">IFERROR(INDEX(CADASTRO_PIVOS!$C$6:$C$41,MATCH($E1258,CADASTRO_PIVOS!$B$6:$B$41,0)),"?")</f>
        <v>RM06</v>
      </c>
      <c r="G1258" s="8" t="str">
        <f aca="false">IFERROR(INDEX(CADASTRO_PIVOS!$D$6:$D$41,MATCH($E1258,CADASTRO_PIVOS!$B$6:$B$41,0)),"?")</f>
        <v>TR06</v>
      </c>
      <c r="H1258" s="20" t="n">
        <f aca="false">IFERROR(INDEX(CADASTRO_PIVOS!$E$6:$E$41,MATCH($E1258,CADASTRO_PIVOS!$B$6:$B$41,0)),0)</f>
        <v>146.49</v>
      </c>
      <c r="I1258" s="16" t="n">
        <f aca="false">IFERROR(SUMIFS(ROTACAO_RDM!$B$6:$B$71,ROTACAO_RDM!$D$6:$D$71,$E1258,ROTACAO_RDM!$I$6:$I$71,"&lt;="&amp;$C1258+INT(DIAS_POR_SEMANA/2),ROTACAO_RDM!$J$6:$J$71,"&gt;="&amp;$C1258+INT(DIAS_POR_SEMANA/2)),0)</f>
        <v>31</v>
      </c>
      <c r="J1258" s="16" t="n">
        <f aca="false">IFERROR(MATCH($I1258,ROTACAO_RDM!$B$6:$B$71,0),0)</f>
        <v>31</v>
      </c>
      <c r="K1258" s="8" t="str">
        <f aca="false">IF($J1258=0,"SEM CULTURA",INDEX(ROTACAO_RDM!$F$6:$F$71,$J1258))</f>
        <v>MILHO_GRAO</v>
      </c>
      <c r="L1258" s="8" t="n">
        <f aca="false">IF($J1258=0,"",INDEX(ROTACAO_RDM!$G$6:$G$71,$J1258))</f>
        <v>0</v>
      </c>
      <c r="M1258" s="17" t="n">
        <f aca="false">IF($J1258=0,"",INDEX(ROTACAO_RDM!$I$6:$I$71,$J1258))</f>
        <v>46559</v>
      </c>
      <c r="N1258" s="16" t="n">
        <f aca="false">IF($J1258=0,0,MAX(0,$C1258+INT(DIAS_POR_SEMANA/2)-INDEX(ROTACAO_RDM!$I$6:$I$71,$J1258)))</f>
        <v>157</v>
      </c>
      <c r="O1258" s="19" t="n">
        <f aca="false">IF($J1258=0,0,MIN(1,$N1258/MAX(1,INDEX(ROTACAO_RDM!$K$6:$K$71,$J1258))))</f>
        <v>0.98125</v>
      </c>
      <c r="P1258" s="16" t="n">
        <f aca="false">IF($J1258=0,0,IFERROR(MATCH(INDEX(ROTACAO_RDM!$N$6:$N$71,$J1258),PARAMETROS_CULTURAS!$B$6:$B$28,0),0))</f>
        <v>8</v>
      </c>
      <c r="Q1258" s="8" t="str">
        <f aca="false">IF($P1258=0,"-",IF($O1258&lt;=INDEX(PARAMETROS_CULTURAS!$F$6:$F$28,$P1258),"INICIAL",IF($O1258&lt;=INDEX(PARAMETROS_CULTURAS!$F$6:$F$28,$P1258)+INDEX(PARAMETROS_CULTURAS!$G$6:$G$28,$P1258),"DESENVOLVIMENTO",IF($O1258&lt;=INDEX(PARAMETROS_CULTURAS!$F$6:$F$28,$P1258)+INDEX(PARAMETROS_CULTURAS!$G$6:$G$28,$P1258)+INDEX(PARAMETROS_CULTURAS!$H$6:$H$28,$P1258),"MEDIA","FINAL"))))</f>
        <v>FINAL</v>
      </c>
      <c r="R1258" s="24" t="n">
        <f aca="false">IF($P1258=0,0,IF($O1258&lt;=INDEX(PARAMETROS_CULTURAS!$F$6:$F$28,$P1258),INDEX(PARAMETROS_CULTURAS!$K$6:$K$28,$P1258),IF($O1258&lt;=INDEX(PARAMETROS_CULTURAS!$F$6:$F$28,$P1258)+INDEX(PARAMETROS_CULTURAS!$G$6:$G$28,$P1258),INDEX(PARAMETROS_CULTURAS!$K$6:$K$28,$P1258)+(INDEX(PARAMETROS_CULTURAS!$L$6:$L$28,$P1258)-INDEX(PARAMETROS_CULTURAS!$K$6:$K$28,$P1258))*($O1258-INDEX(PARAMETROS_CULTURAS!$F$6:$F$28,$P1258))/MAX(INDEX(PARAMETROS_CULTURAS!$G$6:$G$28,$P1258),0.0001),IF($O1258&lt;=INDEX(PARAMETROS_CULTURAS!$F$6:$F$28,$P1258)+INDEX(PARAMETROS_CULTURAS!$G$6:$G$28,$P1258)+INDEX(PARAMETROS_CULTURAS!$H$6:$H$28,$P1258),INDEX(PARAMETROS_CULTURAS!$L$6:$L$28,$P1258),INDEX(PARAMETROS_CULTURAS!$L$6:$L$28,$P1258)+(INDEX(PARAMETROS_CULTURAS!$M$6:$M$28,$P1258)-INDEX(PARAMETROS_CULTURAS!$L$6:$L$28,$P1258))*($O1258-INDEX(PARAMETROS_CULTURAS!$F$6:$F$28,$P1258)-INDEX(PARAMETROS_CULTURAS!$G$6:$G$28,$P1258)-INDEX(PARAMETROS_CULTURAS!$H$6:$H$28,$P1258))/MAX(INDEX(PARAMETROS_CULTURAS!$I$6:$I$28,$P1258),0.0001)))))</f>
        <v>0.645</v>
      </c>
      <c r="S1258" s="18" t="n">
        <f aca="false">IFERROR(INDEX(SEMANAS!$H$6:$H$71,MATCH($B1258,SEMANAS!$B$6:$B$71,0)),0)</f>
        <v>34.3</v>
      </c>
      <c r="T1258" s="18" t="n">
        <f aca="false">$R1258*$S1258</f>
        <v>22.1235</v>
      </c>
      <c r="U1258" s="18" t="n">
        <f aca="false">IFERROR(INDEX(SEMANAS!$I$6:$I$71,MATCH($B1258,SEMANAS!$B$6:$B$71,0)),0)</f>
        <v>46.69</v>
      </c>
      <c r="V1258" s="18" t="n">
        <f aca="false">IFERROR(INDEX(SEMANAS!$J$6:$J$71,MATCH($B1258,SEMANAS!$B$6:$B$71,0)),0)</f>
        <v>37.352</v>
      </c>
      <c r="W1258" s="18" t="n">
        <f aca="false">MAX(0,$T1258-$V1258)</f>
        <v>0</v>
      </c>
      <c r="X1258" s="19" t="n">
        <f aca="false">IFERROR(INDEX(CADASTRO_PIVOS!$K$6:$K$41,MATCH($E1258,CADASTRO_PIVOS!$B$6:$B$41,0)),EFICIENCIA_PADRAO)</f>
        <v>0.85</v>
      </c>
      <c r="Y1258" s="18" t="n">
        <f aca="false">IF($X1258&lt;=0,0,$W1258/$X1258)</f>
        <v>0</v>
      </c>
      <c r="Z1258" s="16" t="n">
        <f aca="false">$Y1258*$H1258*MM_PARA_M3_HA</f>
        <v>0</v>
      </c>
      <c r="AA1258" s="18" t="n">
        <f aca="false">IFERROR(INDEX(CADASTRO_PIVOS!$I$6:$I$41,MATCH($E1258,CADASTRO_PIVOS!$B$6:$B$41,0)),0)</f>
        <v>906.842857142857</v>
      </c>
      <c r="AB1258" s="18" t="n">
        <f aca="false">IF($Z1258&lt;=0,0,$Z1258/$AA1258)</f>
        <v>0</v>
      </c>
      <c r="AC1258" s="16" t="n">
        <f aca="false">IFERROR(INDEX(SEMANAS!$K$6:$K$71,MATCH($B1258,SEMANAS!$B$6:$B$71,0)),0)</f>
        <v>147</v>
      </c>
      <c r="AD1258" s="19" t="n">
        <f aca="false">IF($AC1258&lt;=0,0,$AB1258/$AC1258)</f>
        <v>0</v>
      </c>
      <c r="AE1258" s="8" t="str">
        <f aca="false">IF($K1258="SEM CULTURA","SEM CULTURA",IF($AA1258&lt;=0,"DADO PENDENTE",IF($AD1258&gt;LIMITE_CRITICO,"INVIAVEL",IF($AD1258&gt;LIMITE_ATENCAO,"CRITICO",IF($AD1258&gt;LIMITE_CONFORTAVEL,"ATENCAO","OK")))))</f>
        <v>OK</v>
      </c>
      <c r="AF1258" s="8" t="str">
        <f aca="false">$B1258&amp;"|"&amp;TEXT($AD1258,"0.000000")</f>
        <v>65|0.000000</v>
      </c>
      <c r="AG1258" s="18" t="n">
        <f aca="false">IF($K1258="SEM CULTURA",0,$T1258*$H1258)</f>
        <v>3240.871515</v>
      </c>
      <c r="AH1258" s="18" t="n">
        <f aca="false">IF($K1258="SEM CULTURA",0,$V1258*$H1258)</f>
        <v>5471.69448</v>
      </c>
      <c r="AI1258" s="18" t="n">
        <f aca="false">IF($K1258="SEM CULTURA",0,$W1258*$H1258)</f>
        <v>0</v>
      </c>
      <c r="AJ1258" s="18" t="n">
        <f aca="false">IF($K1258="SEM CULTURA",0,$S1258*$H1258)</f>
        <v>5024.607</v>
      </c>
      <c r="AK1258" s="8" t="str">
        <f aca="false">$E1258&amp;"|"&amp;TEXT($AD1258,"0.000000")</f>
        <v>PV 118|0.000000</v>
      </c>
    </row>
    <row r="1259" customFormat="false" ht="15" hidden="false" customHeight="false" outlineLevel="0" collapsed="false">
      <c r="B1259" s="16" t="n">
        <v>66</v>
      </c>
      <c r="C1259" s="17" t="n">
        <f aca="false">DATA_INICIO_SAFRA+($B1259-1)*DIAS_POR_SEMANA</f>
        <v>46720</v>
      </c>
      <c r="D1259" s="17" t="n">
        <f aca="false">$C1259+DIAS_POR_SEMANA-1</f>
        <v>46726</v>
      </c>
      <c r="E1259" s="15" t="s">
        <v>277</v>
      </c>
      <c r="F1259" s="8" t="str">
        <f aca="false">IFERROR(INDEX(CADASTRO_PIVOS!$C$6:$C$41,MATCH($E1259,CADASTRO_PIVOS!$B$6:$B$41,0)),"?")</f>
        <v>RM06</v>
      </c>
      <c r="G1259" s="8" t="str">
        <f aca="false">IFERROR(INDEX(CADASTRO_PIVOS!$D$6:$D$41,MATCH($E1259,CADASTRO_PIVOS!$B$6:$B$41,0)),"?")</f>
        <v>TR06</v>
      </c>
      <c r="H1259" s="20" t="n">
        <f aca="false">IFERROR(INDEX(CADASTRO_PIVOS!$E$6:$E$41,MATCH($E1259,CADASTRO_PIVOS!$B$6:$B$41,0)),0)</f>
        <v>146.49</v>
      </c>
      <c r="I1259" s="16" t="n">
        <f aca="false">IFERROR(SUMIFS(ROTACAO_RDM!$B$6:$B$71,ROTACAO_RDM!$D$6:$D$71,$E1259,ROTACAO_RDM!$I$6:$I$71,"&lt;="&amp;$C1259+INT(DIAS_POR_SEMANA/2),ROTACAO_RDM!$J$6:$J$71,"&gt;="&amp;$C1259+INT(DIAS_POR_SEMANA/2)),0)</f>
        <v>0</v>
      </c>
      <c r="J1259" s="16" t="n">
        <f aca="false">IFERROR(MATCH($I1259,ROTACAO_RDM!$B$6:$B$71,0),0)</f>
        <v>0</v>
      </c>
      <c r="K1259" s="8" t="str">
        <f aca="false">IF($J1259=0,"SEM CULTURA",INDEX(ROTACAO_RDM!$F$6:$F$71,$J1259))</f>
        <v>SEM CULTURA</v>
      </c>
      <c r="L1259" s="8" t="str">
        <f aca="false">IF($J1259=0,"",INDEX(ROTACAO_RDM!$G$6:$G$71,$J1259))</f>
        <v/>
      </c>
      <c r="M1259" s="17" t="str">
        <f aca="false">IF($J1259=0,"",INDEX(ROTACAO_RDM!$I$6:$I$71,$J1259))</f>
        <v/>
      </c>
      <c r="N1259" s="16" t="n">
        <f aca="false">IF($J1259=0,0,MAX(0,$C1259+INT(DIAS_POR_SEMANA/2)-INDEX(ROTACAO_RDM!$I$6:$I$71,$J1259)))</f>
        <v>0</v>
      </c>
      <c r="O1259" s="19" t="n">
        <f aca="false">IF($J1259=0,0,MIN(1,$N1259/MAX(1,INDEX(ROTACAO_RDM!$K$6:$K$71,$J1259))))</f>
        <v>0</v>
      </c>
      <c r="P1259" s="16" t="n">
        <f aca="false">IF($J1259=0,0,IFERROR(MATCH(INDEX(ROTACAO_RDM!$N$6:$N$71,$J1259),PARAMETROS_CULTURAS!$B$6:$B$28,0),0))</f>
        <v>0</v>
      </c>
      <c r="Q1259" s="8" t="str">
        <f aca="false">IF($P1259=0,"-",IF($O1259&lt;=INDEX(PARAMETROS_CULTURAS!$F$6:$F$28,$P1259),"INICIAL",IF($O1259&lt;=INDEX(PARAMETROS_CULTURAS!$F$6:$F$28,$P1259)+INDEX(PARAMETROS_CULTURAS!$G$6:$G$28,$P1259),"DESENVOLVIMENTO",IF($O1259&lt;=INDEX(PARAMETROS_CULTURAS!$F$6:$F$28,$P1259)+INDEX(PARAMETROS_CULTURAS!$G$6:$G$28,$P1259)+INDEX(PARAMETROS_CULTURAS!$H$6:$H$28,$P1259),"MEDIA","FINAL"))))</f>
        <v>-</v>
      </c>
      <c r="R1259" s="24" t="n">
        <f aca="false">IF($P1259=0,0,IF($O1259&lt;=INDEX(PARAMETROS_CULTURAS!$F$6:$F$28,$P1259),INDEX(PARAMETROS_CULTURAS!$K$6:$K$28,$P1259),IF($O1259&lt;=INDEX(PARAMETROS_CULTURAS!$F$6:$F$28,$P1259)+INDEX(PARAMETROS_CULTURAS!$G$6:$G$28,$P1259),INDEX(PARAMETROS_CULTURAS!$K$6:$K$28,$P1259)+(INDEX(PARAMETROS_CULTURAS!$L$6:$L$28,$P1259)-INDEX(PARAMETROS_CULTURAS!$K$6:$K$28,$P1259))*($O1259-INDEX(PARAMETROS_CULTURAS!$F$6:$F$28,$P1259))/MAX(INDEX(PARAMETROS_CULTURAS!$G$6:$G$28,$P1259),0.0001),IF($O1259&lt;=INDEX(PARAMETROS_CULTURAS!$F$6:$F$28,$P1259)+INDEX(PARAMETROS_CULTURAS!$G$6:$G$28,$P1259)+INDEX(PARAMETROS_CULTURAS!$H$6:$H$28,$P1259),INDEX(PARAMETROS_CULTURAS!$L$6:$L$28,$P1259),INDEX(PARAMETROS_CULTURAS!$L$6:$L$28,$P1259)+(INDEX(PARAMETROS_CULTURAS!$M$6:$M$28,$P1259)-INDEX(PARAMETROS_CULTURAS!$L$6:$L$28,$P1259))*($O1259-INDEX(PARAMETROS_CULTURAS!$F$6:$F$28,$P1259)-INDEX(PARAMETROS_CULTURAS!$G$6:$G$28,$P1259)-INDEX(PARAMETROS_CULTURAS!$H$6:$H$28,$P1259))/MAX(INDEX(PARAMETROS_CULTURAS!$I$6:$I$28,$P1259),0.0001)))))</f>
        <v>0</v>
      </c>
      <c r="S1259" s="18" t="n">
        <f aca="false">IFERROR(INDEX(SEMANAS!$H$6:$H$71,MATCH($B1259,SEMANAS!$B$6:$B$71,0)),0)</f>
        <v>33.3</v>
      </c>
      <c r="T1259" s="18" t="n">
        <f aca="false">$R1259*$S1259</f>
        <v>0</v>
      </c>
      <c r="U1259" s="18" t="n">
        <f aca="false">IFERROR(INDEX(SEMANAS!$I$6:$I$71,MATCH($B1259,SEMANAS!$B$6:$B$71,0)),0)</f>
        <v>48.04</v>
      </c>
      <c r="V1259" s="18" t="n">
        <f aca="false">IFERROR(INDEX(SEMANAS!$J$6:$J$71,MATCH($B1259,SEMANAS!$B$6:$B$71,0)),0)</f>
        <v>38.432</v>
      </c>
      <c r="W1259" s="18" t="n">
        <f aca="false">MAX(0,$T1259-$V1259)</f>
        <v>0</v>
      </c>
      <c r="X1259" s="19" t="n">
        <f aca="false">IFERROR(INDEX(CADASTRO_PIVOS!$K$6:$K$41,MATCH($E1259,CADASTRO_PIVOS!$B$6:$B$41,0)),EFICIENCIA_PADRAO)</f>
        <v>0.85</v>
      </c>
      <c r="Y1259" s="18" t="n">
        <f aca="false">IF($X1259&lt;=0,0,$W1259/$X1259)</f>
        <v>0</v>
      </c>
      <c r="Z1259" s="16" t="n">
        <f aca="false">$Y1259*$H1259*MM_PARA_M3_HA</f>
        <v>0</v>
      </c>
      <c r="AA1259" s="18" t="n">
        <f aca="false">IFERROR(INDEX(CADASTRO_PIVOS!$I$6:$I$41,MATCH($E1259,CADASTRO_PIVOS!$B$6:$B$41,0)),0)</f>
        <v>906.842857142857</v>
      </c>
      <c r="AB1259" s="18" t="n">
        <f aca="false">IF($Z1259&lt;=0,0,$Z1259/$AA1259)</f>
        <v>0</v>
      </c>
      <c r="AC1259" s="16" t="n">
        <f aca="false">IFERROR(INDEX(SEMANAS!$K$6:$K$71,MATCH($B1259,SEMANAS!$B$6:$B$71,0)),0)</f>
        <v>147</v>
      </c>
      <c r="AD1259" s="19" t="n">
        <f aca="false">IF($AC1259&lt;=0,0,$AB1259/$AC1259)</f>
        <v>0</v>
      </c>
      <c r="AE1259" s="8" t="str">
        <f aca="false">IF($K1259="SEM CULTURA","SEM CULTURA",IF($AA1259&lt;=0,"DADO PENDENTE",IF($AD1259&gt;LIMITE_CRITICO,"INVIAVEL",IF($AD1259&gt;LIMITE_ATENCAO,"CRITICO",IF($AD1259&gt;LIMITE_CONFORTAVEL,"ATENCAO","OK")))))</f>
        <v>SEM CULTURA</v>
      </c>
      <c r="AF1259" s="8" t="str">
        <f aca="false">$B1259&amp;"|"&amp;TEXT($AD1259,"0.000000")</f>
        <v>66|0.000000</v>
      </c>
      <c r="AG1259" s="18" t="n">
        <f aca="false">IF($K1259="SEM CULTURA",0,$T1259*$H1259)</f>
        <v>0</v>
      </c>
      <c r="AH1259" s="18" t="n">
        <f aca="false">IF($K1259="SEM CULTURA",0,$V1259*$H1259)</f>
        <v>0</v>
      </c>
      <c r="AI1259" s="18" t="n">
        <f aca="false">IF($K1259="SEM CULTURA",0,$W1259*$H1259)</f>
        <v>0</v>
      </c>
      <c r="AJ1259" s="18" t="n">
        <f aca="false">IF($K1259="SEM CULTURA",0,$S1259*$H1259)</f>
        <v>0</v>
      </c>
      <c r="AK1259" s="8" t="str">
        <f aca="false">$E1259&amp;"|"&amp;TEXT($AD1259,"0.000000")</f>
        <v>PV 118|0.000000</v>
      </c>
    </row>
    <row r="1260" customFormat="false" ht="15" hidden="false" customHeight="false" outlineLevel="0" collapsed="false">
      <c r="B1260" s="16" t="n">
        <v>1</v>
      </c>
      <c r="C1260" s="17" t="n">
        <f aca="false">DATA_INICIO_SAFRA+($B1260-1)*DIAS_POR_SEMANA</f>
        <v>46265</v>
      </c>
      <c r="D1260" s="17" t="n">
        <f aca="false">$C1260+DIAS_POR_SEMANA-1</f>
        <v>46271</v>
      </c>
      <c r="E1260" s="15" t="s">
        <v>278</v>
      </c>
      <c r="F1260" s="8" t="str">
        <f aca="false">IFERROR(INDEX(CADASTRO_PIVOS!$C$6:$C$41,MATCH($E1260,CADASTRO_PIVOS!$B$6:$B$41,0)),"?")</f>
        <v>RM06</v>
      </c>
      <c r="G1260" s="8" t="str">
        <f aca="false">IFERROR(INDEX(CADASTRO_PIVOS!$D$6:$D$41,MATCH($E1260,CADASTRO_PIVOS!$B$6:$B$41,0)),"?")</f>
        <v>TR06</v>
      </c>
      <c r="H1260" s="20" t="n">
        <f aca="false">IFERROR(INDEX(CADASTRO_PIVOS!$E$6:$E$41,MATCH($E1260,CADASTRO_PIVOS!$B$6:$B$41,0)),0)</f>
        <v>149.94</v>
      </c>
      <c r="I1260" s="16" t="n">
        <f aca="false">IFERROR(SUMIFS(ROTACAO_RDM!$B$6:$B$71,ROTACAO_RDM!$D$6:$D$71,$E1260,ROTACAO_RDM!$I$6:$I$71,"&lt;="&amp;$C1260+INT(DIAS_POR_SEMANA/2),ROTACAO_RDM!$J$6:$J$71,"&gt;="&amp;$C1260+INT(DIAS_POR_SEMANA/2)),0)</f>
        <v>0</v>
      </c>
      <c r="J1260" s="16" t="n">
        <f aca="false">IFERROR(MATCH($I1260,ROTACAO_RDM!$B$6:$B$71,0),0)</f>
        <v>0</v>
      </c>
      <c r="K1260" s="8" t="str">
        <f aca="false">IF($J1260=0,"SEM CULTURA",INDEX(ROTACAO_RDM!$F$6:$F$71,$J1260))</f>
        <v>SEM CULTURA</v>
      </c>
      <c r="L1260" s="8" t="str">
        <f aca="false">IF($J1260=0,"",INDEX(ROTACAO_RDM!$G$6:$G$71,$J1260))</f>
        <v/>
      </c>
      <c r="M1260" s="17" t="str">
        <f aca="false">IF($J1260=0,"",INDEX(ROTACAO_RDM!$I$6:$I$71,$J1260))</f>
        <v/>
      </c>
      <c r="N1260" s="16" t="n">
        <f aca="false">IF($J1260=0,0,MAX(0,$C1260+INT(DIAS_POR_SEMANA/2)-INDEX(ROTACAO_RDM!$I$6:$I$71,$J1260)))</f>
        <v>0</v>
      </c>
      <c r="O1260" s="19" t="n">
        <f aca="false">IF($J1260=0,0,MIN(1,$N1260/MAX(1,INDEX(ROTACAO_RDM!$K$6:$K$71,$J1260))))</f>
        <v>0</v>
      </c>
      <c r="P1260" s="16" t="n">
        <f aca="false">IF($J1260=0,0,IFERROR(MATCH(INDEX(ROTACAO_RDM!$N$6:$N$71,$J1260),PARAMETROS_CULTURAS!$B$6:$B$28,0),0))</f>
        <v>0</v>
      </c>
      <c r="Q1260" s="8" t="str">
        <f aca="false">IF($P1260=0,"-",IF($O1260&lt;=INDEX(PARAMETROS_CULTURAS!$F$6:$F$28,$P1260),"INICIAL",IF($O1260&lt;=INDEX(PARAMETROS_CULTURAS!$F$6:$F$28,$P1260)+INDEX(PARAMETROS_CULTURAS!$G$6:$G$28,$P1260),"DESENVOLVIMENTO",IF($O1260&lt;=INDEX(PARAMETROS_CULTURAS!$F$6:$F$28,$P1260)+INDEX(PARAMETROS_CULTURAS!$G$6:$G$28,$P1260)+INDEX(PARAMETROS_CULTURAS!$H$6:$H$28,$P1260),"MEDIA","FINAL"))))</f>
        <v>-</v>
      </c>
      <c r="R1260" s="24" t="n">
        <f aca="false">IF($P1260=0,0,IF($O1260&lt;=INDEX(PARAMETROS_CULTURAS!$F$6:$F$28,$P1260),INDEX(PARAMETROS_CULTURAS!$K$6:$K$28,$P1260),IF($O1260&lt;=INDEX(PARAMETROS_CULTURAS!$F$6:$F$28,$P1260)+INDEX(PARAMETROS_CULTURAS!$G$6:$G$28,$P1260),INDEX(PARAMETROS_CULTURAS!$K$6:$K$28,$P1260)+(INDEX(PARAMETROS_CULTURAS!$L$6:$L$28,$P1260)-INDEX(PARAMETROS_CULTURAS!$K$6:$K$28,$P1260))*($O1260-INDEX(PARAMETROS_CULTURAS!$F$6:$F$28,$P1260))/MAX(INDEX(PARAMETROS_CULTURAS!$G$6:$G$28,$P1260),0.0001),IF($O1260&lt;=INDEX(PARAMETROS_CULTURAS!$F$6:$F$28,$P1260)+INDEX(PARAMETROS_CULTURAS!$G$6:$G$28,$P1260)+INDEX(PARAMETROS_CULTURAS!$H$6:$H$28,$P1260),INDEX(PARAMETROS_CULTURAS!$L$6:$L$28,$P1260),INDEX(PARAMETROS_CULTURAS!$L$6:$L$28,$P1260)+(INDEX(PARAMETROS_CULTURAS!$M$6:$M$28,$P1260)-INDEX(PARAMETROS_CULTURAS!$L$6:$L$28,$P1260))*($O1260-INDEX(PARAMETROS_CULTURAS!$F$6:$F$28,$P1260)-INDEX(PARAMETROS_CULTURAS!$G$6:$G$28,$P1260)-INDEX(PARAMETROS_CULTURAS!$H$6:$H$28,$P1260))/MAX(INDEX(PARAMETROS_CULTURAS!$I$6:$I$28,$P1260),0.0001)))))</f>
        <v>0</v>
      </c>
      <c r="S1260" s="18" t="n">
        <f aca="false">IFERROR(INDEX(SEMANAS!$H$6:$H$71,MATCH($B1260,SEMANAS!$B$6:$B$71,0)),0)</f>
        <v>40</v>
      </c>
      <c r="T1260" s="18" t="n">
        <f aca="false">$R1260*$S1260</f>
        <v>0</v>
      </c>
      <c r="U1260" s="18" t="n">
        <f aca="false">IFERROR(INDEX(SEMANAS!$I$6:$I$71,MATCH($B1260,SEMANAS!$B$6:$B$71,0)),0)</f>
        <v>6.16</v>
      </c>
      <c r="V1260" s="18" t="n">
        <f aca="false">IFERROR(INDEX(SEMANAS!$J$6:$J$71,MATCH($B1260,SEMANAS!$B$6:$B$71,0)),0)</f>
        <v>4.928</v>
      </c>
      <c r="W1260" s="18" t="n">
        <f aca="false">MAX(0,$T1260-$V1260)</f>
        <v>0</v>
      </c>
      <c r="X1260" s="19" t="n">
        <f aca="false">IFERROR(INDEX(CADASTRO_PIVOS!$K$6:$K$41,MATCH($E1260,CADASTRO_PIVOS!$B$6:$B$41,0)),EFICIENCIA_PADRAO)</f>
        <v>0.85</v>
      </c>
      <c r="Y1260" s="18" t="n">
        <f aca="false">IF($X1260&lt;=0,0,$W1260/$X1260)</f>
        <v>0</v>
      </c>
      <c r="Z1260" s="16" t="n">
        <f aca="false">$Y1260*$H1260*MM_PARA_M3_HA</f>
        <v>0</v>
      </c>
      <c r="AA1260" s="18" t="n">
        <f aca="false">IFERROR(INDEX(CADASTRO_PIVOS!$I$6:$I$41,MATCH($E1260,CADASTRO_PIVOS!$B$6:$B$41,0)),0)</f>
        <v>1071</v>
      </c>
      <c r="AB1260" s="18" t="n">
        <f aca="false">IF($Z1260&lt;=0,0,$Z1260/$AA1260)</f>
        <v>0</v>
      </c>
      <c r="AC1260" s="16" t="n">
        <f aca="false">IFERROR(INDEX(SEMANAS!$K$6:$K$71,MATCH($B1260,SEMANAS!$B$6:$B$71,0)),0)</f>
        <v>147</v>
      </c>
      <c r="AD1260" s="19" t="n">
        <f aca="false">IF($AC1260&lt;=0,0,$AB1260/$AC1260)</f>
        <v>0</v>
      </c>
      <c r="AE1260" s="8" t="str">
        <f aca="false">IF($K1260="SEM CULTURA","SEM CULTURA",IF($AA1260&lt;=0,"DADO PENDENTE",IF($AD1260&gt;LIMITE_CRITICO,"INVIAVEL",IF($AD1260&gt;LIMITE_ATENCAO,"CRITICO",IF($AD1260&gt;LIMITE_CONFORTAVEL,"ATENCAO","OK")))))</f>
        <v>SEM CULTURA</v>
      </c>
      <c r="AF1260" s="8" t="str">
        <f aca="false">$B1260&amp;"|"&amp;TEXT($AD1260,"0.000000")</f>
        <v>1|0.000000</v>
      </c>
      <c r="AG1260" s="18" t="n">
        <f aca="false">IF($K1260="SEM CULTURA",0,$T1260*$H1260)</f>
        <v>0</v>
      </c>
      <c r="AH1260" s="18" t="n">
        <f aca="false">IF($K1260="SEM CULTURA",0,$V1260*$H1260)</f>
        <v>0</v>
      </c>
      <c r="AI1260" s="18" t="n">
        <f aca="false">IF($K1260="SEM CULTURA",0,$W1260*$H1260)</f>
        <v>0</v>
      </c>
      <c r="AJ1260" s="18" t="n">
        <f aca="false">IF($K1260="SEM CULTURA",0,$S1260*$H1260)</f>
        <v>0</v>
      </c>
      <c r="AK1260" s="8" t="str">
        <f aca="false">$E1260&amp;"|"&amp;TEXT($AD1260,"0.000000")</f>
        <v>PV 119|0.000000</v>
      </c>
    </row>
    <row r="1261" customFormat="false" ht="15" hidden="false" customHeight="false" outlineLevel="0" collapsed="false">
      <c r="B1261" s="16" t="n">
        <v>2</v>
      </c>
      <c r="C1261" s="17" t="n">
        <f aca="false">DATA_INICIO_SAFRA+($B1261-1)*DIAS_POR_SEMANA</f>
        <v>46272</v>
      </c>
      <c r="D1261" s="17" t="n">
        <f aca="false">$C1261+DIAS_POR_SEMANA-1</f>
        <v>46278</v>
      </c>
      <c r="E1261" s="15" t="s">
        <v>278</v>
      </c>
      <c r="F1261" s="8" t="str">
        <f aca="false">IFERROR(INDEX(CADASTRO_PIVOS!$C$6:$C$41,MATCH($E1261,CADASTRO_PIVOS!$B$6:$B$41,0)),"?")</f>
        <v>RM06</v>
      </c>
      <c r="G1261" s="8" t="str">
        <f aca="false">IFERROR(INDEX(CADASTRO_PIVOS!$D$6:$D$41,MATCH($E1261,CADASTRO_PIVOS!$B$6:$B$41,0)),"?")</f>
        <v>TR06</v>
      </c>
      <c r="H1261" s="20" t="n">
        <f aca="false">IFERROR(INDEX(CADASTRO_PIVOS!$E$6:$E$41,MATCH($E1261,CADASTRO_PIVOS!$B$6:$B$41,0)),0)</f>
        <v>149.94</v>
      </c>
      <c r="I1261" s="16" t="n">
        <f aca="false">IFERROR(SUMIFS(ROTACAO_RDM!$B$6:$B$71,ROTACAO_RDM!$D$6:$D$71,$E1261,ROTACAO_RDM!$I$6:$I$71,"&lt;="&amp;$C1261+INT(DIAS_POR_SEMANA/2),ROTACAO_RDM!$J$6:$J$71,"&gt;="&amp;$C1261+INT(DIAS_POR_SEMANA/2)),0)</f>
        <v>0</v>
      </c>
      <c r="J1261" s="16" t="n">
        <f aca="false">IFERROR(MATCH($I1261,ROTACAO_RDM!$B$6:$B$71,0),0)</f>
        <v>0</v>
      </c>
      <c r="K1261" s="8" t="str">
        <f aca="false">IF($J1261=0,"SEM CULTURA",INDEX(ROTACAO_RDM!$F$6:$F$71,$J1261))</f>
        <v>SEM CULTURA</v>
      </c>
      <c r="L1261" s="8" t="str">
        <f aca="false">IF($J1261=0,"",INDEX(ROTACAO_RDM!$G$6:$G$71,$J1261))</f>
        <v/>
      </c>
      <c r="M1261" s="17" t="str">
        <f aca="false">IF($J1261=0,"",INDEX(ROTACAO_RDM!$I$6:$I$71,$J1261))</f>
        <v/>
      </c>
      <c r="N1261" s="16" t="n">
        <f aca="false">IF($J1261=0,0,MAX(0,$C1261+INT(DIAS_POR_SEMANA/2)-INDEX(ROTACAO_RDM!$I$6:$I$71,$J1261)))</f>
        <v>0</v>
      </c>
      <c r="O1261" s="19" t="n">
        <f aca="false">IF($J1261=0,0,MIN(1,$N1261/MAX(1,INDEX(ROTACAO_RDM!$K$6:$K$71,$J1261))))</f>
        <v>0</v>
      </c>
      <c r="P1261" s="16" t="n">
        <f aca="false">IF($J1261=0,0,IFERROR(MATCH(INDEX(ROTACAO_RDM!$N$6:$N$71,$J1261),PARAMETROS_CULTURAS!$B$6:$B$28,0),0))</f>
        <v>0</v>
      </c>
      <c r="Q1261" s="8" t="str">
        <f aca="false">IF($P1261=0,"-",IF($O1261&lt;=INDEX(PARAMETROS_CULTURAS!$F$6:$F$28,$P1261),"INICIAL",IF($O1261&lt;=INDEX(PARAMETROS_CULTURAS!$F$6:$F$28,$P1261)+INDEX(PARAMETROS_CULTURAS!$G$6:$G$28,$P1261),"DESENVOLVIMENTO",IF($O1261&lt;=INDEX(PARAMETROS_CULTURAS!$F$6:$F$28,$P1261)+INDEX(PARAMETROS_CULTURAS!$G$6:$G$28,$P1261)+INDEX(PARAMETROS_CULTURAS!$H$6:$H$28,$P1261),"MEDIA","FINAL"))))</f>
        <v>-</v>
      </c>
      <c r="R1261" s="24" t="n">
        <f aca="false">IF($P1261=0,0,IF($O1261&lt;=INDEX(PARAMETROS_CULTURAS!$F$6:$F$28,$P1261),INDEX(PARAMETROS_CULTURAS!$K$6:$K$28,$P1261),IF($O1261&lt;=INDEX(PARAMETROS_CULTURAS!$F$6:$F$28,$P1261)+INDEX(PARAMETROS_CULTURAS!$G$6:$G$28,$P1261),INDEX(PARAMETROS_CULTURAS!$K$6:$K$28,$P1261)+(INDEX(PARAMETROS_CULTURAS!$L$6:$L$28,$P1261)-INDEX(PARAMETROS_CULTURAS!$K$6:$K$28,$P1261))*($O1261-INDEX(PARAMETROS_CULTURAS!$F$6:$F$28,$P1261))/MAX(INDEX(PARAMETROS_CULTURAS!$G$6:$G$28,$P1261),0.0001),IF($O1261&lt;=INDEX(PARAMETROS_CULTURAS!$F$6:$F$28,$P1261)+INDEX(PARAMETROS_CULTURAS!$G$6:$G$28,$P1261)+INDEX(PARAMETROS_CULTURAS!$H$6:$H$28,$P1261),INDEX(PARAMETROS_CULTURAS!$L$6:$L$28,$P1261),INDEX(PARAMETROS_CULTURAS!$L$6:$L$28,$P1261)+(INDEX(PARAMETROS_CULTURAS!$M$6:$M$28,$P1261)-INDEX(PARAMETROS_CULTURAS!$L$6:$L$28,$P1261))*($O1261-INDEX(PARAMETROS_CULTURAS!$F$6:$F$28,$P1261)-INDEX(PARAMETROS_CULTURAS!$G$6:$G$28,$P1261)-INDEX(PARAMETROS_CULTURAS!$H$6:$H$28,$P1261))/MAX(INDEX(PARAMETROS_CULTURAS!$I$6:$I$28,$P1261),0.0001)))))</f>
        <v>0</v>
      </c>
      <c r="S1261" s="18" t="n">
        <f aca="false">IFERROR(INDEX(SEMANAS!$H$6:$H$71,MATCH($B1261,SEMANAS!$B$6:$B$71,0)),0)</f>
        <v>40.6</v>
      </c>
      <c r="T1261" s="18" t="n">
        <f aca="false">$R1261*$S1261</f>
        <v>0</v>
      </c>
      <c r="U1261" s="18" t="n">
        <f aca="false">IFERROR(INDEX(SEMANAS!$I$6:$I$71,MATCH($B1261,SEMANAS!$B$6:$B$71,0)),0)</f>
        <v>7</v>
      </c>
      <c r="V1261" s="18" t="n">
        <f aca="false">IFERROR(INDEX(SEMANAS!$J$6:$J$71,MATCH($B1261,SEMANAS!$B$6:$B$71,0)),0)</f>
        <v>5.6</v>
      </c>
      <c r="W1261" s="18" t="n">
        <f aca="false">MAX(0,$T1261-$V1261)</f>
        <v>0</v>
      </c>
      <c r="X1261" s="19" t="n">
        <f aca="false">IFERROR(INDEX(CADASTRO_PIVOS!$K$6:$K$41,MATCH($E1261,CADASTRO_PIVOS!$B$6:$B$41,0)),EFICIENCIA_PADRAO)</f>
        <v>0.85</v>
      </c>
      <c r="Y1261" s="18" t="n">
        <f aca="false">IF($X1261&lt;=0,0,$W1261/$X1261)</f>
        <v>0</v>
      </c>
      <c r="Z1261" s="16" t="n">
        <f aca="false">$Y1261*$H1261*MM_PARA_M3_HA</f>
        <v>0</v>
      </c>
      <c r="AA1261" s="18" t="n">
        <f aca="false">IFERROR(INDEX(CADASTRO_PIVOS!$I$6:$I$41,MATCH($E1261,CADASTRO_PIVOS!$B$6:$B$41,0)),0)</f>
        <v>1071</v>
      </c>
      <c r="AB1261" s="18" t="n">
        <f aca="false">IF($Z1261&lt;=0,0,$Z1261/$AA1261)</f>
        <v>0</v>
      </c>
      <c r="AC1261" s="16" t="n">
        <f aca="false">IFERROR(INDEX(SEMANAS!$K$6:$K$71,MATCH($B1261,SEMANAS!$B$6:$B$71,0)),0)</f>
        <v>147</v>
      </c>
      <c r="AD1261" s="19" t="n">
        <f aca="false">IF($AC1261&lt;=0,0,$AB1261/$AC1261)</f>
        <v>0</v>
      </c>
      <c r="AE1261" s="8" t="str">
        <f aca="false">IF($K1261="SEM CULTURA","SEM CULTURA",IF($AA1261&lt;=0,"DADO PENDENTE",IF($AD1261&gt;LIMITE_CRITICO,"INVIAVEL",IF($AD1261&gt;LIMITE_ATENCAO,"CRITICO",IF($AD1261&gt;LIMITE_CONFORTAVEL,"ATENCAO","OK")))))</f>
        <v>SEM CULTURA</v>
      </c>
      <c r="AF1261" s="8" t="str">
        <f aca="false">$B1261&amp;"|"&amp;TEXT($AD1261,"0.000000")</f>
        <v>2|0.000000</v>
      </c>
      <c r="AG1261" s="18" t="n">
        <f aca="false">IF($K1261="SEM CULTURA",0,$T1261*$H1261)</f>
        <v>0</v>
      </c>
      <c r="AH1261" s="18" t="n">
        <f aca="false">IF($K1261="SEM CULTURA",0,$V1261*$H1261)</f>
        <v>0</v>
      </c>
      <c r="AI1261" s="18" t="n">
        <f aca="false">IF($K1261="SEM CULTURA",0,$W1261*$H1261)</f>
        <v>0</v>
      </c>
      <c r="AJ1261" s="18" t="n">
        <f aca="false">IF($K1261="SEM CULTURA",0,$S1261*$H1261)</f>
        <v>0</v>
      </c>
      <c r="AK1261" s="8" t="str">
        <f aca="false">$E1261&amp;"|"&amp;TEXT($AD1261,"0.000000")</f>
        <v>PV 119|0.000000</v>
      </c>
    </row>
    <row r="1262" customFormat="false" ht="15" hidden="false" customHeight="false" outlineLevel="0" collapsed="false">
      <c r="B1262" s="16" t="n">
        <v>3</v>
      </c>
      <c r="C1262" s="17" t="n">
        <f aca="false">DATA_INICIO_SAFRA+($B1262-1)*DIAS_POR_SEMANA</f>
        <v>46279</v>
      </c>
      <c r="D1262" s="17" t="n">
        <f aca="false">$C1262+DIAS_POR_SEMANA-1</f>
        <v>46285</v>
      </c>
      <c r="E1262" s="15" t="s">
        <v>278</v>
      </c>
      <c r="F1262" s="8" t="str">
        <f aca="false">IFERROR(INDEX(CADASTRO_PIVOS!$C$6:$C$41,MATCH($E1262,CADASTRO_PIVOS!$B$6:$B$41,0)),"?")</f>
        <v>RM06</v>
      </c>
      <c r="G1262" s="8" t="str">
        <f aca="false">IFERROR(INDEX(CADASTRO_PIVOS!$D$6:$D$41,MATCH($E1262,CADASTRO_PIVOS!$B$6:$B$41,0)),"?")</f>
        <v>TR06</v>
      </c>
      <c r="H1262" s="20" t="n">
        <f aca="false">IFERROR(INDEX(CADASTRO_PIVOS!$E$6:$E$41,MATCH($E1262,CADASTRO_PIVOS!$B$6:$B$41,0)),0)</f>
        <v>149.94</v>
      </c>
      <c r="I1262" s="16" t="n">
        <f aca="false">IFERROR(SUMIFS(ROTACAO_RDM!$B$6:$B$71,ROTACAO_RDM!$D$6:$D$71,$E1262,ROTACAO_RDM!$I$6:$I$71,"&lt;="&amp;$C1262+INT(DIAS_POR_SEMANA/2),ROTACAO_RDM!$J$6:$J$71,"&gt;="&amp;$C1262+INT(DIAS_POR_SEMANA/2)),0)</f>
        <v>0</v>
      </c>
      <c r="J1262" s="16" t="n">
        <f aca="false">IFERROR(MATCH($I1262,ROTACAO_RDM!$B$6:$B$71,0),0)</f>
        <v>0</v>
      </c>
      <c r="K1262" s="8" t="str">
        <f aca="false">IF($J1262=0,"SEM CULTURA",INDEX(ROTACAO_RDM!$F$6:$F$71,$J1262))</f>
        <v>SEM CULTURA</v>
      </c>
      <c r="L1262" s="8" t="str">
        <f aca="false">IF($J1262=0,"",INDEX(ROTACAO_RDM!$G$6:$G$71,$J1262))</f>
        <v/>
      </c>
      <c r="M1262" s="17" t="str">
        <f aca="false">IF($J1262=0,"",INDEX(ROTACAO_RDM!$I$6:$I$71,$J1262))</f>
        <v/>
      </c>
      <c r="N1262" s="16" t="n">
        <f aca="false">IF($J1262=0,0,MAX(0,$C1262+INT(DIAS_POR_SEMANA/2)-INDEX(ROTACAO_RDM!$I$6:$I$71,$J1262)))</f>
        <v>0</v>
      </c>
      <c r="O1262" s="19" t="n">
        <f aca="false">IF($J1262=0,0,MIN(1,$N1262/MAX(1,INDEX(ROTACAO_RDM!$K$6:$K$71,$J1262))))</f>
        <v>0</v>
      </c>
      <c r="P1262" s="16" t="n">
        <f aca="false">IF($J1262=0,0,IFERROR(MATCH(INDEX(ROTACAO_RDM!$N$6:$N$71,$J1262),PARAMETROS_CULTURAS!$B$6:$B$28,0),0))</f>
        <v>0</v>
      </c>
      <c r="Q1262" s="8" t="str">
        <f aca="false">IF($P1262=0,"-",IF($O1262&lt;=INDEX(PARAMETROS_CULTURAS!$F$6:$F$28,$P1262),"INICIAL",IF($O1262&lt;=INDEX(PARAMETROS_CULTURAS!$F$6:$F$28,$P1262)+INDEX(PARAMETROS_CULTURAS!$G$6:$G$28,$P1262),"DESENVOLVIMENTO",IF($O1262&lt;=INDEX(PARAMETROS_CULTURAS!$F$6:$F$28,$P1262)+INDEX(PARAMETROS_CULTURAS!$G$6:$G$28,$P1262)+INDEX(PARAMETROS_CULTURAS!$H$6:$H$28,$P1262),"MEDIA","FINAL"))))</f>
        <v>-</v>
      </c>
      <c r="R1262" s="24" t="n">
        <f aca="false">IF($P1262=0,0,IF($O1262&lt;=INDEX(PARAMETROS_CULTURAS!$F$6:$F$28,$P1262),INDEX(PARAMETROS_CULTURAS!$K$6:$K$28,$P1262),IF($O1262&lt;=INDEX(PARAMETROS_CULTURAS!$F$6:$F$28,$P1262)+INDEX(PARAMETROS_CULTURAS!$G$6:$G$28,$P1262),INDEX(PARAMETROS_CULTURAS!$K$6:$K$28,$P1262)+(INDEX(PARAMETROS_CULTURAS!$L$6:$L$28,$P1262)-INDEX(PARAMETROS_CULTURAS!$K$6:$K$28,$P1262))*($O1262-INDEX(PARAMETROS_CULTURAS!$F$6:$F$28,$P1262))/MAX(INDEX(PARAMETROS_CULTURAS!$G$6:$G$28,$P1262),0.0001),IF($O1262&lt;=INDEX(PARAMETROS_CULTURAS!$F$6:$F$28,$P1262)+INDEX(PARAMETROS_CULTURAS!$G$6:$G$28,$P1262)+INDEX(PARAMETROS_CULTURAS!$H$6:$H$28,$P1262),INDEX(PARAMETROS_CULTURAS!$L$6:$L$28,$P1262),INDEX(PARAMETROS_CULTURAS!$L$6:$L$28,$P1262)+(INDEX(PARAMETROS_CULTURAS!$M$6:$M$28,$P1262)-INDEX(PARAMETROS_CULTURAS!$L$6:$L$28,$P1262))*($O1262-INDEX(PARAMETROS_CULTURAS!$F$6:$F$28,$P1262)-INDEX(PARAMETROS_CULTURAS!$G$6:$G$28,$P1262)-INDEX(PARAMETROS_CULTURAS!$H$6:$H$28,$P1262))/MAX(INDEX(PARAMETROS_CULTURAS!$I$6:$I$28,$P1262),0.0001)))))</f>
        <v>0</v>
      </c>
      <c r="S1262" s="18" t="n">
        <f aca="false">IFERROR(INDEX(SEMANAS!$H$6:$H$71,MATCH($B1262,SEMANAS!$B$6:$B$71,0)),0)</f>
        <v>40.6</v>
      </c>
      <c r="T1262" s="18" t="n">
        <f aca="false">$R1262*$S1262</f>
        <v>0</v>
      </c>
      <c r="U1262" s="18" t="n">
        <f aca="false">IFERROR(INDEX(SEMANAS!$I$6:$I$71,MATCH($B1262,SEMANAS!$B$6:$B$71,0)),0)</f>
        <v>7</v>
      </c>
      <c r="V1262" s="18" t="n">
        <f aca="false">IFERROR(INDEX(SEMANAS!$J$6:$J$71,MATCH($B1262,SEMANAS!$B$6:$B$71,0)),0)</f>
        <v>5.6</v>
      </c>
      <c r="W1262" s="18" t="n">
        <f aca="false">MAX(0,$T1262-$V1262)</f>
        <v>0</v>
      </c>
      <c r="X1262" s="19" t="n">
        <f aca="false">IFERROR(INDEX(CADASTRO_PIVOS!$K$6:$K$41,MATCH($E1262,CADASTRO_PIVOS!$B$6:$B$41,0)),EFICIENCIA_PADRAO)</f>
        <v>0.85</v>
      </c>
      <c r="Y1262" s="18" t="n">
        <f aca="false">IF($X1262&lt;=0,0,$W1262/$X1262)</f>
        <v>0</v>
      </c>
      <c r="Z1262" s="16" t="n">
        <f aca="false">$Y1262*$H1262*MM_PARA_M3_HA</f>
        <v>0</v>
      </c>
      <c r="AA1262" s="18" t="n">
        <f aca="false">IFERROR(INDEX(CADASTRO_PIVOS!$I$6:$I$41,MATCH($E1262,CADASTRO_PIVOS!$B$6:$B$41,0)),0)</f>
        <v>1071</v>
      </c>
      <c r="AB1262" s="18" t="n">
        <f aca="false">IF($Z1262&lt;=0,0,$Z1262/$AA1262)</f>
        <v>0</v>
      </c>
      <c r="AC1262" s="16" t="n">
        <f aca="false">IFERROR(INDEX(SEMANAS!$K$6:$K$71,MATCH($B1262,SEMANAS!$B$6:$B$71,0)),0)</f>
        <v>147</v>
      </c>
      <c r="AD1262" s="19" t="n">
        <f aca="false">IF($AC1262&lt;=0,0,$AB1262/$AC1262)</f>
        <v>0</v>
      </c>
      <c r="AE1262" s="8" t="str">
        <f aca="false">IF($K1262="SEM CULTURA","SEM CULTURA",IF($AA1262&lt;=0,"DADO PENDENTE",IF($AD1262&gt;LIMITE_CRITICO,"INVIAVEL",IF($AD1262&gt;LIMITE_ATENCAO,"CRITICO",IF($AD1262&gt;LIMITE_CONFORTAVEL,"ATENCAO","OK")))))</f>
        <v>SEM CULTURA</v>
      </c>
      <c r="AF1262" s="8" t="str">
        <f aca="false">$B1262&amp;"|"&amp;TEXT($AD1262,"0.000000")</f>
        <v>3|0.000000</v>
      </c>
      <c r="AG1262" s="18" t="n">
        <f aca="false">IF($K1262="SEM CULTURA",0,$T1262*$H1262)</f>
        <v>0</v>
      </c>
      <c r="AH1262" s="18" t="n">
        <f aca="false">IF($K1262="SEM CULTURA",0,$V1262*$H1262)</f>
        <v>0</v>
      </c>
      <c r="AI1262" s="18" t="n">
        <f aca="false">IF($K1262="SEM CULTURA",0,$W1262*$H1262)</f>
        <v>0</v>
      </c>
      <c r="AJ1262" s="18" t="n">
        <f aca="false">IF($K1262="SEM CULTURA",0,$S1262*$H1262)</f>
        <v>0</v>
      </c>
      <c r="AK1262" s="8" t="str">
        <f aca="false">$E1262&amp;"|"&amp;TEXT($AD1262,"0.000000")</f>
        <v>PV 119|0.000000</v>
      </c>
    </row>
    <row r="1263" customFormat="false" ht="15" hidden="false" customHeight="false" outlineLevel="0" collapsed="false">
      <c r="B1263" s="16" t="n">
        <v>4</v>
      </c>
      <c r="C1263" s="17" t="n">
        <f aca="false">DATA_INICIO_SAFRA+($B1263-1)*DIAS_POR_SEMANA</f>
        <v>46286</v>
      </c>
      <c r="D1263" s="17" t="n">
        <f aca="false">$C1263+DIAS_POR_SEMANA-1</f>
        <v>46292</v>
      </c>
      <c r="E1263" s="15" t="s">
        <v>278</v>
      </c>
      <c r="F1263" s="8" t="str">
        <f aca="false">IFERROR(INDEX(CADASTRO_PIVOS!$C$6:$C$41,MATCH($E1263,CADASTRO_PIVOS!$B$6:$B$41,0)),"?")</f>
        <v>RM06</v>
      </c>
      <c r="G1263" s="8" t="str">
        <f aca="false">IFERROR(INDEX(CADASTRO_PIVOS!$D$6:$D$41,MATCH($E1263,CADASTRO_PIVOS!$B$6:$B$41,0)),"?")</f>
        <v>TR06</v>
      </c>
      <c r="H1263" s="20" t="n">
        <f aca="false">IFERROR(INDEX(CADASTRO_PIVOS!$E$6:$E$41,MATCH($E1263,CADASTRO_PIVOS!$B$6:$B$41,0)),0)</f>
        <v>149.94</v>
      </c>
      <c r="I1263" s="16" t="n">
        <f aca="false">IFERROR(SUMIFS(ROTACAO_RDM!$B$6:$B$71,ROTACAO_RDM!$D$6:$D$71,$E1263,ROTACAO_RDM!$I$6:$I$71,"&lt;="&amp;$C1263+INT(DIAS_POR_SEMANA/2),ROTACAO_RDM!$J$6:$J$71,"&gt;="&amp;$C1263+INT(DIAS_POR_SEMANA/2)),0)</f>
        <v>0</v>
      </c>
      <c r="J1263" s="16" t="n">
        <f aca="false">IFERROR(MATCH($I1263,ROTACAO_RDM!$B$6:$B$71,0),0)</f>
        <v>0</v>
      </c>
      <c r="K1263" s="8" t="str">
        <f aca="false">IF($J1263=0,"SEM CULTURA",INDEX(ROTACAO_RDM!$F$6:$F$71,$J1263))</f>
        <v>SEM CULTURA</v>
      </c>
      <c r="L1263" s="8" t="str">
        <f aca="false">IF($J1263=0,"",INDEX(ROTACAO_RDM!$G$6:$G$71,$J1263))</f>
        <v/>
      </c>
      <c r="M1263" s="17" t="str">
        <f aca="false">IF($J1263=0,"",INDEX(ROTACAO_RDM!$I$6:$I$71,$J1263))</f>
        <v/>
      </c>
      <c r="N1263" s="16" t="n">
        <f aca="false">IF($J1263=0,0,MAX(0,$C1263+INT(DIAS_POR_SEMANA/2)-INDEX(ROTACAO_RDM!$I$6:$I$71,$J1263)))</f>
        <v>0</v>
      </c>
      <c r="O1263" s="19" t="n">
        <f aca="false">IF($J1263=0,0,MIN(1,$N1263/MAX(1,INDEX(ROTACAO_RDM!$K$6:$K$71,$J1263))))</f>
        <v>0</v>
      </c>
      <c r="P1263" s="16" t="n">
        <f aca="false">IF($J1263=0,0,IFERROR(MATCH(INDEX(ROTACAO_RDM!$N$6:$N$71,$J1263),PARAMETROS_CULTURAS!$B$6:$B$28,0),0))</f>
        <v>0</v>
      </c>
      <c r="Q1263" s="8" t="str">
        <f aca="false">IF($P1263=0,"-",IF($O1263&lt;=INDEX(PARAMETROS_CULTURAS!$F$6:$F$28,$P1263),"INICIAL",IF($O1263&lt;=INDEX(PARAMETROS_CULTURAS!$F$6:$F$28,$P1263)+INDEX(PARAMETROS_CULTURAS!$G$6:$G$28,$P1263),"DESENVOLVIMENTO",IF($O1263&lt;=INDEX(PARAMETROS_CULTURAS!$F$6:$F$28,$P1263)+INDEX(PARAMETROS_CULTURAS!$G$6:$G$28,$P1263)+INDEX(PARAMETROS_CULTURAS!$H$6:$H$28,$P1263),"MEDIA","FINAL"))))</f>
        <v>-</v>
      </c>
      <c r="R1263" s="24" t="n">
        <f aca="false">IF($P1263=0,0,IF($O1263&lt;=INDEX(PARAMETROS_CULTURAS!$F$6:$F$28,$P1263),INDEX(PARAMETROS_CULTURAS!$K$6:$K$28,$P1263),IF($O1263&lt;=INDEX(PARAMETROS_CULTURAS!$F$6:$F$28,$P1263)+INDEX(PARAMETROS_CULTURAS!$G$6:$G$28,$P1263),INDEX(PARAMETROS_CULTURAS!$K$6:$K$28,$P1263)+(INDEX(PARAMETROS_CULTURAS!$L$6:$L$28,$P1263)-INDEX(PARAMETROS_CULTURAS!$K$6:$K$28,$P1263))*($O1263-INDEX(PARAMETROS_CULTURAS!$F$6:$F$28,$P1263))/MAX(INDEX(PARAMETROS_CULTURAS!$G$6:$G$28,$P1263),0.0001),IF($O1263&lt;=INDEX(PARAMETROS_CULTURAS!$F$6:$F$28,$P1263)+INDEX(PARAMETROS_CULTURAS!$G$6:$G$28,$P1263)+INDEX(PARAMETROS_CULTURAS!$H$6:$H$28,$P1263),INDEX(PARAMETROS_CULTURAS!$L$6:$L$28,$P1263),INDEX(PARAMETROS_CULTURAS!$L$6:$L$28,$P1263)+(INDEX(PARAMETROS_CULTURAS!$M$6:$M$28,$P1263)-INDEX(PARAMETROS_CULTURAS!$L$6:$L$28,$P1263))*($O1263-INDEX(PARAMETROS_CULTURAS!$F$6:$F$28,$P1263)-INDEX(PARAMETROS_CULTURAS!$G$6:$G$28,$P1263)-INDEX(PARAMETROS_CULTURAS!$H$6:$H$28,$P1263))/MAX(INDEX(PARAMETROS_CULTURAS!$I$6:$I$28,$P1263),0.0001)))))</f>
        <v>0</v>
      </c>
      <c r="S1263" s="18" t="n">
        <f aca="false">IFERROR(INDEX(SEMANAS!$H$6:$H$71,MATCH($B1263,SEMANAS!$B$6:$B$71,0)),0)</f>
        <v>40.6</v>
      </c>
      <c r="T1263" s="18" t="n">
        <f aca="false">$R1263*$S1263</f>
        <v>0</v>
      </c>
      <c r="U1263" s="18" t="n">
        <f aca="false">IFERROR(INDEX(SEMANAS!$I$6:$I$71,MATCH($B1263,SEMANAS!$B$6:$B$71,0)),0)</f>
        <v>7</v>
      </c>
      <c r="V1263" s="18" t="n">
        <f aca="false">IFERROR(INDEX(SEMANAS!$J$6:$J$71,MATCH($B1263,SEMANAS!$B$6:$B$71,0)),0)</f>
        <v>5.6</v>
      </c>
      <c r="W1263" s="18" t="n">
        <f aca="false">MAX(0,$T1263-$V1263)</f>
        <v>0</v>
      </c>
      <c r="X1263" s="19" t="n">
        <f aca="false">IFERROR(INDEX(CADASTRO_PIVOS!$K$6:$K$41,MATCH($E1263,CADASTRO_PIVOS!$B$6:$B$41,0)),EFICIENCIA_PADRAO)</f>
        <v>0.85</v>
      </c>
      <c r="Y1263" s="18" t="n">
        <f aca="false">IF($X1263&lt;=0,0,$W1263/$X1263)</f>
        <v>0</v>
      </c>
      <c r="Z1263" s="16" t="n">
        <f aca="false">$Y1263*$H1263*MM_PARA_M3_HA</f>
        <v>0</v>
      </c>
      <c r="AA1263" s="18" t="n">
        <f aca="false">IFERROR(INDEX(CADASTRO_PIVOS!$I$6:$I$41,MATCH($E1263,CADASTRO_PIVOS!$B$6:$B$41,0)),0)</f>
        <v>1071</v>
      </c>
      <c r="AB1263" s="18" t="n">
        <f aca="false">IF($Z1263&lt;=0,0,$Z1263/$AA1263)</f>
        <v>0</v>
      </c>
      <c r="AC1263" s="16" t="n">
        <f aca="false">IFERROR(INDEX(SEMANAS!$K$6:$K$71,MATCH($B1263,SEMANAS!$B$6:$B$71,0)),0)</f>
        <v>147</v>
      </c>
      <c r="AD1263" s="19" t="n">
        <f aca="false">IF($AC1263&lt;=0,0,$AB1263/$AC1263)</f>
        <v>0</v>
      </c>
      <c r="AE1263" s="8" t="str">
        <f aca="false">IF($K1263="SEM CULTURA","SEM CULTURA",IF($AA1263&lt;=0,"DADO PENDENTE",IF($AD1263&gt;LIMITE_CRITICO,"INVIAVEL",IF($AD1263&gt;LIMITE_ATENCAO,"CRITICO",IF($AD1263&gt;LIMITE_CONFORTAVEL,"ATENCAO","OK")))))</f>
        <v>SEM CULTURA</v>
      </c>
      <c r="AF1263" s="8" t="str">
        <f aca="false">$B1263&amp;"|"&amp;TEXT($AD1263,"0.000000")</f>
        <v>4|0.000000</v>
      </c>
      <c r="AG1263" s="18" t="n">
        <f aca="false">IF($K1263="SEM CULTURA",0,$T1263*$H1263)</f>
        <v>0</v>
      </c>
      <c r="AH1263" s="18" t="n">
        <f aca="false">IF($K1263="SEM CULTURA",0,$V1263*$H1263)</f>
        <v>0</v>
      </c>
      <c r="AI1263" s="18" t="n">
        <f aca="false">IF($K1263="SEM CULTURA",0,$W1263*$H1263)</f>
        <v>0</v>
      </c>
      <c r="AJ1263" s="18" t="n">
        <f aca="false">IF($K1263="SEM CULTURA",0,$S1263*$H1263)</f>
        <v>0</v>
      </c>
      <c r="AK1263" s="8" t="str">
        <f aca="false">$E1263&amp;"|"&amp;TEXT($AD1263,"0.000000")</f>
        <v>PV 119|0.000000</v>
      </c>
    </row>
    <row r="1264" customFormat="false" ht="15" hidden="false" customHeight="false" outlineLevel="0" collapsed="false">
      <c r="B1264" s="16" t="n">
        <v>5</v>
      </c>
      <c r="C1264" s="17" t="n">
        <f aca="false">DATA_INICIO_SAFRA+($B1264-1)*DIAS_POR_SEMANA</f>
        <v>46293</v>
      </c>
      <c r="D1264" s="17" t="n">
        <f aca="false">$C1264+DIAS_POR_SEMANA-1</f>
        <v>46299</v>
      </c>
      <c r="E1264" s="15" t="s">
        <v>278</v>
      </c>
      <c r="F1264" s="8" t="str">
        <f aca="false">IFERROR(INDEX(CADASTRO_PIVOS!$C$6:$C$41,MATCH($E1264,CADASTRO_PIVOS!$B$6:$B$41,0)),"?")</f>
        <v>RM06</v>
      </c>
      <c r="G1264" s="8" t="str">
        <f aca="false">IFERROR(INDEX(CADASTRO_PIVOS!$D$6:$D$41,MATCH($E1264,CADASTRO_PIVOS!$B$6:$B$41,0)),"?")</f>
        <v>TR06</v>
      </c>
      <c r="H1264" s="20" t="n">
        <f aca="false">IFERROR(INDEX(CADASTRO_PIVOS!$E$6:$E$41,MATCH($E1264,CADASTRO_PIVOS!$B$6:$B$41,0)),0)</f>
        <v>149.94</v>
      </c>
      <c r="I1264" s="16" t="n">
        <f aca="false">IFERROR(SUMIFS(ROTACAO_RDM!$B$6:$B$71,ROTACAO_RDM!$D$6:$D$71,$E1264,ROTACAO_RDM!$I$6:$I$71,"&lt;="&amp;$C1264+INT(DIAS_POR_SEMANA/2),ROTACAO_RDM!$J$6:$J$71,"&gt;="&amp;$C1264+INT(DIAS_POR_SEMANA/2)),0)</f>
        <v>0</v>
      </c>
      <c r="J1264" s="16" t="n">
        <f aca="false">IFERROR(MATCH($I1264,ROTACAO_RDM!$B$6:$B$71,0),0)</f>
        <v>0</v>
      </c>
      <c r="K1264" s="8" t="str">
        <f aca="false">IF($J1264=0,"SEM CULTURA",INDEX(ROTACAO_RDM!$F$6:$F$71,$J1264))</f>
        <v>SEM CULTURA</v>
      </c>
      <c r="L1264" s="8" t="str">
        <f aca="false">IF($J1264=0,"",INDEX(ROTACAO_RDM!$G$6:$G$71,$J1264))</f>
        <v/>
      </c>
      <c r="M1264" s="17" t="str">
        <f aca="false">IF($J1264=0,"",INDEX(ROTACAO_RDM!$I$6:$I$71,$J1264))</f>
        <v/>
      </c>
      <c r="N1264" s="16" t="n">
        <f aca="false">IF($J1264=0,0,MAX(0,$C1264+INT(DIAS_POR_SEMANA/2)-INDEX(ROTACAO_RDM!$I$6:$I$71,$J1264)))</f>
        <v>0</v>
      </c>
      <c r="O1264" s="19" t="n">
        <f aca="false">IF($J1264=0,0,MIN(1,$N1264/MAX(1,INDEX(ROTACAO_RDM!$K$6:$K$71,$J1264))))</f>
        <v>0</v>
      </c>
      <c r="P1264" s="16" t="n">
        <f aca="false">IF($J1264=0,0,IFERROR(MATCH(INDEX(ROTACAO_RDM!$N$6:$N$71,$J1264),PARAMETROS_CULTURAS!$B$6:$B$28,0),0))</f>
        <v>0</v>
      </c>
      <c r="Q1264" s="8" t="str">
        <f aca="false">IF($P1264=0,"-",IF($O1264&lt;=INDEX(PARAMETROS_CULTURAS!$F$6:$F$28,$P1264),"INICIAL",IF($O1264&lt;=INDEX(PARAMETROS_CULTURAS!$F$6:$F$28,$P1264)+INDEX(PARAMETROS_CULTURAS!$G$6:$G$28,$P1264),"DESENVOLVIMENTO",IF($O1264&lt;=INDEX(PARAMETROS_CULTURAS!$F$6:$F$28,$P1264)+INDEX(PARAMETROS_CULTURAS!$G$6:$G$28,$P1264)+INDEX(PARAMETROS_CULTURAS!$H$6:$H$28,$P1264),"MEDIA","FINAL"))))</f>
        <v>-</v>
      </c>
      <c r="R1264" s="24" t="n">
        <f aca="false">IF($P1264=0,0,IF($O1264&lt;=INDEX(PARAMETROS_CULTURAS!$F$6:$F$28,$P1264),INDEX(PARAMETROS_CULTURAS!$K$6:$K$28,$P1264),IF($O1264&lt;=INDEX(PARAMETROS_CULTURAS!$F$6:$F$28,$P1264)+INDEX(PARAMETROS_CULTURAS!$G$6:$G$28,$P1264),INDEX(PARAMETROS_CULTURAS!$K$6:$K$28,$P1264)+(INDEX(PARAMETROS_CULTURAS!$L$6:$L$28,$P1264)-INDEX(PARAMETROS_CULTURAS!$K$6:$K$28,$P1264))*($O1264-INDEX(PARAMETROS_CULTURAS!$F$6:$F$28,$P1264))/MAX(INDEX(PARAMETROS_CULTURAS!$G$6:$G$28,$P1264),0.0001),IF($O1264&lt;=INDEX(PARAMETROS_CULTURAS!$F$6:$F$28,$P1264)+INDEX(PARAMETROS_CULTURAS!$G$6:$G$28,$P1264)+INDEX(PARAMETROS_CULTURAS!$H$6:$H$28,$P1264),INDEX(PARAMETROS_CULTURAS!$L$6:$L$28,$P1264),INDEX(PARAMETROS_CULTURAS!$L$6:$L$28,$P1264)+(INDEX(PARAMETROS_CULTURAS!$M$6:$M$28,$P1264)-INDEX(PARAMETROS_CULTURAS!$L$6:$L$28,$P1264))*($O1264-INDEX(PARAMETROS_CULTURAS!$F$6:$F$28,$P1264)-INDEX(PARAMETROS_CULTURAS!$G$6:$G$28,$P1264)-INDEX(PARAMETROS_CULTURAS!$H$6:$H$28,$P1264))/MAX(INDEX(PARAMETROS_CULTURAS!$I$6:$I$28,$P1264),0.0001)))))</f>
        <v>0</v>
      </c>
      <c r="S1264" s="18" t="n">
        <f aca="false">IFERROR(INDEX(SEMANAS!$H$6:$H$71,MATCH($B1264,SEMANAS!$B$6:$B$71,0)),0)</f>
        <v>39.8</v>
      </c>
      <c r="T1264" s="18" t="n">
        <f aca="false">$R1264*$S1264</f>
        <v>0</v>
      </c>
      <c r="U1264" s="18" t="n">
        <f aca="false">IFERROR(INDEX(SEMANAS!$I$6:$I$71,MATCH($B1264,SEMANAS!$B$6:$B$71,0)),0)</f>
        <v>18.48</v>
      </c>
      <c r="V1264" s="18" t="n">
        <f aca="false">IFERROR(INDEX(SEMANAS!$J$6:$J$71,MATCH($B1264,SEMANAS!$B$6:$B$71,0)),0)</f>
        <v>14.784</v>
      </c>
      <c r="W1264" s="18" t="n">
        <f aca="false">MAX(0,$T1264-$V1264)</f>
        <v>0</v>
      </c>
      <c r="X1264" s="19" t="n">
        <f aca="false">IFERROR(INDEX(CADASTRO_PIVOS!$K$6:$K$41,MATCH($E1264,CADASTRO_PIVOS!$B$6:$B$41,0)),EFICIENCIA_PADRAO)</f>
        <v>0.85</v>
      </c>
      <c r="Y1264" s="18" t="n">
        <f aca="false">IF($X1264&lt;=0,0,$W1264/$X1264)</f>
        <v>0</v>
      </c>
      <c r="Z1264" s="16" t="n">
        <f aca="false">$Y1264*$H1264*MM_PARA_M3_HA</f>
        <v>0</v>
      </c>
      <c r="AA1264" s="18" t="n">
        <f aca="false">IFERROR(INDEX(CADASTRO_PIVOS!$I$6:$I$41,MATCH($E1264,CADASTRO_PIVOS!$B$6:$B$41,0)),0)</f>
        <v>1071</v>
      </c>
      <c r="AB1264" s="18" t="n">
        <f aca="false">IF($Z1264&lt;=0,0,$Z1264/$AA1264)</f>
        <v>0</v>
      </c>
      <c r="AC1264" s="16" t="n">
        <f aca="false">IFERROR(INDEX(SEMANAS!$K$6:$K$71,MATCH($B1264,SEMANAS!$B$6:$B$71,0)),0)</f>
        <v>147</v>
      </c>
      <c r="AD1264" s="19" t="n">
        <f aca="false">IF($AC1264&lt;=0,0,$AB1264/$AC1264)</f>
        <v>0</v>
      </c>
      <c r="AE1264" s="8" t="str">
        <f aca="false">IF($K1264="SEM CULTURA","SEM CULTURA",IF($AA1264&lt;=0,"DADO PENDENTE",IF($AD1264&gt;LIMITE_CRITICO,"INVIAVEL",IF($AD1264&gt;LIMITE_ATENCAO,"CRITICO",IF($AD1264&gt;LIMITE_CONFORTAVEL,"ATENCAO","OK")))))</f>
        <v>SEM CULTURA</v>
      </c>
      <c r="AF1264" s="8" t="str">
        <f aca="false">$B1264&amp;"|"&amp;TEXT($AD1264,"0.000000")</f>
        <v>5|0.000000</v>
      </c>
      <c r="AG1264" s="18" t="n">
        <f aca="false">IF($K1264="SEM CULTURA",0,$T1264*$H1264)</f>
        <v>0</v>
      </c>
      <c r="AH1264" s="18" t="n">
        <f aca="false">IF($K1264="SEM CULTURA",0,$V1264*$H1264)</f>
        <v>0</v>
      </c>
      <c r="AI1264" s="18" t="n">
        <f aca="false">IF($K1264="SEM CULTURA",0,$W1264*$H1264)</f>
        <v>0</v>
      </c>
      <c r="AJ1264" s="18" t="n">
        <f aca="false">IF($K1264="SEM CULTURA",0,$S1264*$H1264)</f>
        <v>0</v>
      </c>
      <c r="AK1264" s="8" t="str">
        <f aca="false">$E1264&amp;"|"&amp;TEXT($AD1264,"0.000000")</f>
        <v>PV 119|0.000000</v>
      </c>
    </row>
    <row r="1265" customFormat="false" ht="15" hidden="false" customHeight="false" outlineLevel="0" collapsed="false">
      <c r="B1265" s="16" t="n">
        <v>6</v>
      </c>
      <c r="C1265" s="17" t="n">
        <f aca="false">DATA_INICIO_SAFRA+($B1265-1)*DIAS_POR_SEMANA</f>
        <v>46300</v>
      </c>
      <c r="D1265" s="17" t="n">
        <f aca="false">$C1265+DIAS_POR_SEMANA-1</f>
        <v>46306</v>
      </c>
      <c r="E1265" s="15" t="s">
        <v>278</v>
      </c>
      <c r="F1265" s="8" t="str">
        <f aca="false">IFERROR(INDEX(CADASTRO_PIVOS!$C$6:$C$41,MATCH($E1265,CADASTRO_PIVOS!$B$6:$B$41,0)),"?")</f>
        <v>RM06</v>
      </c>
      <c r="G1265" s="8" t="str">
        <f aca="false">IFERROR(INDEX(CADASTRO_PIVOS!$D$6:$D$41,MATCH($E1265,CADASTRO_PIVOS!$B$6:$B$41,0)),"?")</f>
        <v>TR06</v>
      </c>
      <c r="H1265" s="20" t="n">
        <f aca="false">IFERROR(INDEX(CADASTRO_PIVOS!$E$6:$E$41,MATCH($E1265,CADASTRO_PIVOS!$B$6:$B$41,0)),0)</f>
        <v>149.94</v>
      </c>
      <c r="I1265" s="16" t="n">
        <f aca="false">IFERROR(SUMIFS(ROTACAO_RDM!$B$6:$B$71,ROTACAO_RDM!$D$6:$D$71,$E1265,ROTACAO_RDM!$I$6:$I$71,"&lt;="&amp;$C1265+INT(DIAS_POR_SEMANA/2),ROTACAO_RDM!$J$6:$J$71,"&gt;="&amp;$C1265+INT(DIAS_POR_SEMANA/2)),0)</f>
        <v>0</v>
      </c>
      <c r="J1265" s="16" t="n">
        <f aca="false">IFERROR(MATCH($I1265,ROTACAO_RDM!$B$6:$B$71,0),0)</f>
        <v>0</v>
      </c>
      <c r="K1265" s="8" t="str">
        <f aca="false">IF($J1265=0,"SEM CULTURA",INDEX(ROTACAO_RDM!$F$6:$F$71,$J1265))</f>
        <v>SEM CULTURA</v>
      </c>
      <c r="L1265" s="8" t="str">
        <f aca="false">IF($J1265=0,"",INDEX(ROTACAO_RDM!$G$6:$G$71,$J1265))</f>
        <v/>
      </c>
      <c r="M1265" s="17" t="str">
        <f aca="false">IF($J1265=0,"",INDEX(ROTACAO_RDM!$I$6:$I$71,$J1265))</f>
        <v/>
      </c>
      <c r="N1265" s="16" t="n">
        <f aca="false">IF($J1265=0,0,MAX(0,$C1265+INT(DIAS_POR_SEMANA/2)-INDEX(ROTACAO_RDM!$I$6:$I$71,$J1265)))</f>
        <v>0</v>
      </c>
      <c r="O1265" s="19" t="n">
        <f aca="false">IF($J1265=0,0,MIN(1,$N1265/MAX(1,INDEX(ROTACAO_RDM!$K$6:$K$71,$J1265))))</f>
        <v>0</v>
      </c>
      <c r="P1265" s="16" t="n">
        <f aca="false">IF($J1265=0,0,IFERROR(MATCH(INDEX(ROTACAO_RDM!$N$6:$N$71,$J1265),PARAMETROS_CULTURAS!$B$6:$B$28,0),0))</f>
        <v>0</v>
      </c>
      <c r="Q1265" s="8" t="str">
        <f aca="false">IF($P1265=0,"-",IF($O1265&lt;=INDEX(PARAMETROS_CULTURAS!$F$6:$F$28,$P1265),"INICIAL",IF($O1265&lt;=INDEX(PARAMETROS_CULTURAS!$F$6:$F$28,$P1265)+INDEX(PARAMETROS_CULTURAS!$G$6:$G$28,$P1265),"DESENVOLVIMENTO",IF($O1265&lt;=INDEX(PARAMETROS_CULTURAS!$F$6:$F$28,$P1265)+INDEX(PARAMETROS_CULTURAS!$G$6:$G$28,$P1265)+INDEX(PARAMETROS_CULTURAS!$H$6:$H$28,$P1265),"MEDIA","FINAL"))))</f>
        <v>-</v>
      </c>
      <c r="R1265" s="24" t="n">
        <f aca="false">IF($P1265=0,0,IF($O1265&lt;=INDEX(PARAMETROS_CULTURAS!$F$6:$F$28,$P1265),INDEX(PARAMETROS_CULTURAS!$K$6:$K$28,$P1265),IF($O1265&lt;=INDEX(PARAMETROS_CULTURAS!$F$6:$F$28,$P1265)+INDEX(PARAMETROS_CULTURAS!$G$6:$G$28,$P1265),INDEX(PARAMETROS_CULTURAS!$K$6:$K$28,$P1265)+(INDEX(PARAMETROS_CULTURAS!$L$6:$L$28,$P1265)-INDEX(PARAMETROS_CULTURAS!$K$6:$K$28,$P1265))*($O1265-INDEX(PARAMETROS_CULTURAS!$F$6:$F$28,$P1265))/MAX(INDEX(PARAMETROS_CULTURAS!$G$6:$G$28,$P1265),0.0001),IF($O1265&lt;=INDEX(PARAMETROS_CULTURAS!$F$6:$F$28,$P1265)+INDEX(PARAMETROS_CULTURAS!$G$6:$G$28,$P1265)+INDEX(PARAMETROS_CULTURAS!$H$6:$H$28,$P1265),INDEX(PARAMETROS_CULTURAS!$L$6:$L$28,$P1265),INDEX(PARAMETROS_CULTURAS!$L$6:$L$28,$P1265)+(INDEX(PARAMETROS_CULTURAS!$M$6:$M$28,$P1265)-INDEX(PARAMETROS_CULTURAS!$L$6:$L$28,$P1265))*($O1265-INDEX(PARAMETROS_CULTURAS!$F$6:$F$28,$P1265)-INDEX(PARAMETROS_CULTURAS!$G$6:$G$28,$P1265)-INDEX(PARAMETROS_CULTURAS!$H$6:$H$28,$P1265))/MAX(INDEX(PARAMETROS_CULTURAS!$I$6:$I$28,$P1265),0.0001)))))</f>
        <v>0</v>
      </c>
      <c r="S1265" s="18" t="n">
        <f aca="false">IFERROR(INDEX(SEMANAS!$H$6:$H$71,MATCH($B1265,SEMANAS!$B$6:$B$71,0)),0)</f>
        <v>39.2</v>
      </c>
      <c r="T1265" s="18" t="n">
        <f aca="false">$R1265*$S1265</f>
        <v>0</v>
      </c>
      <c r="U1265" s="18" t="n">
        <f aca="false">IFERROR(INDEX(SEMANAS!$I$6:$I$71,MATCH($B1265,SEMANAS!$B$6:$B$71,0)),0)</f>
        <v>27.09</v>
      </c>
      <c r="V1265" s="18" t="n">
        <f aca="false">IFERROR(INDEX(SEMANAS!$J$6:$J$71,MATCH($B1265,SEMANAS!$B$6:$B$71,0)),0)</f>
        <v>21.672</v>
      </c>
      <c r="W1265" s="18" t="n">
        <f aca="false">MAX(0,$T1265-$V1265)</f>
        <v>0</v>
      </c>
      <c r="X1265" s="19" t="n">
        <f aca="false">IFERROR(INDEX(CADASTRO_PIVOS!$K$6:$K$41,MATCH($E1265,CADASTRO_PIVOS!$B$6:$B$41,0)),EFICIENCIA_PADRAO)</f>
        <v>0.85</v>
      </c>
      <c r="Y1265" s="18" t="n">
        <f aca="false">IF($X1265&lt;=0,0,$W1265/$X1265)</f>
        <v>0</v>
      </c>
      <c r="Z1265" s="16" t="n">
        <f aca="false">$Y1265*$H1265*MM_PARA_M3_HA</f>
        <v>0</v>
      </c>
      <c r="AA1265" s="18" t="n">
        <f aca="false">IFERROR(INDEX(CADASTRO_PIVOS!$I$6:$I$41,MATCH($E1265,CADASTRO_PIVOS!$B$6:$B$41,0)),0)</f>
        <v>1071</v>
      </c>
      <c r="AB1265" s="18" t="n">
        <f aca="false">IF($Z1265&lt;=0,0,$Z1265/$AA1265)</f>
        <v>0</v>
      </c>
      <c r="AC1265" s="16" t="n">
        <f aca="false">IFERROR(INDEX(SEMANAS!$K$6:$K$71,MATCH($B1265,SEMANAS!$B$6:$B$71,0)),0)</f>
        <v>147</v>
      </c>
      <c r="AD1265" s="19" t="n">
        <f aca="false">IF($AC1265&lt;=0,0,$AB1265/$AC1265)</f>
        <v>0</v>
      </c>
      <c r="AE1265" s="8" t="str">
        <f aca="false">IF($K1265="SEM CULTURA","SEM CULTURA",IF($AA1265&lt;=0,"DADO PENDENTE",IF($AD1265&gt;LIMITE_CRITICO,"INVIAVEL",IF($AD1265&gt;LIMITE_ATENCAO,"CRITICO",IF($AD1265&gt;LIMITE_CONFORTAVEL,"ATENCAO","OK")))))</f>
        <v>SEM CULTURA</v>
      </c>
      <c r="AF1265" s="8" t="str">
        <f aca="false">$B1265&amp;"|"&amp;TEXT($AD1265,"0.000000")</f>
        <v>6|0.000000</v>
      </c>
      <c r="AG1265" s="18" t="n">
        <f aca="false">IF($K1265="SEM CULTURA",0,$T1265*$H1265)</f>
        <v>0</v>
      </c>
      <c r="AH1265" s="18" t="n">
        <f aca="false">IF($K1265="SEM CULTURA",0,$V1265*$H1265)</f>
        <v>0</v>
      </c>
      <c r="AI1265" s="18" t="n">
        <f aca="false">IF($K1265="SEM CULTURA",0,$W1265*$H1265)</f>
        <v>0</v>
      </c>
      <c r="AJ1265" s="18" t="n">
        <f aca="false">IF($K1265="SEM CULTURA",0,$S1265*$H1265)</f>
        <v>0</v>
      </c>
      <c r="AK1265" s="8" t="str">
        <f aca="false">$E1265&amp;"|"&amp;TEXT($AD1265,"0.000000")</f>
        <v>PV 119|0.000000</v>
      </c>
    </row>
    <row r="1266" customFormat="false" ht="15" hidden="false" customHeight="false" outlineLevel="0" collapsed="false">
      <c r="B1266" s="16" t="n">
        <v>7</v>
      </c>
      <c r="C1266" s="17" t="n">
        <f aca="false">DATA_INICIO_SAFRA+($B1266-1)*DIAS_POR_SEMANA</f>
        <v>46307</v>
      </c>
      <c r="D1266" s="17" t="n">
        <f aca="false">$C1266+DIAS_POR_SEMANA-1</f>
        <v>46313</v>
      </c>
      <c r="E1266" s="15" t="s">
        <v>278</v>
      </c>
      <c r="F1266" s="8" t="str">
        <f aca="false">IFERROR(INDEX(CADASTRO_PIVOS!$C$6:$C$41,MATCH($E1266,CADASTRO_PIVOS!$B$6:$B$41,0)),"?")</f>
        <v>RM06</v>
      </c>
      <c r="G1266" s="8" t="str">
        <f aca="false">IFERROR(INDEX(CADASTRO_PIVOS!$D$6:$D$41,MATCH($E1266,CADASTRO_PIVOS!$B$6:$B$41,0)),"?")</f>
        <v>TR06</v>
      </c>
      <c r="H1266" s="20" t="n">
        <f aca="false">IFERROR(INDEX(CADASTRO_PIVOS!$E$6:$E$41,MATCH($E1266,CADASTRO_PIVOS!$B$6:$B$41,0)),0)</f>
        <v>149.94</v>
      </c>
      <c r="I1266" s="16" t="n">
        <f aca="false">IFERROR(SUMIFS(ROTACAO_RDM!$B$6:$B$71,ROTACAO_RDM!$D$6:$D$71,$E1266,ROTACAO_RDM!$I$6:$I$71,"&lt;="&amp;$C1266+INT(DIAS_POR_SEMANA/2),ROTACAO_RDM!$J$6:$J$71,"&gt;="&amp;$C1266+INT(DIAS_POR_SEMANA/2)),0)</f>
        <v>0</v>
      </c>
      <c r="J1266" s="16" t="n">
        <f aca="false">IFERROR(MATCH($I1266,ROTACAO_RDM!$B$6:$B$71,0),0)</f>
        <v>0</v>
      </c>
      <c r="K1266" s="8" t="str">
        <f aca="false">IF($J1266=0,"SEM CULTURA",INDEX(ROTACAO_RDM!$F$6:$F$71,$J1266))</f>
        <v>SEM CULTURA</v>
      </c>
      <c r="L1266" s="8" t="str">
        <f aca="false">IF($J1266=0,"",INDEX(ROTACAO_RDM!$G$6:$G$71,$J1266))</f>
        <v/>
      </c>
      <c r="M1266" s="17" t="str">
        <f aca="false">IF($J1266=0,"",INDEX(ROTACAO_RDM!$I$6:$I$71,$J1266))</f>
        <v/>
      </c>
      <c r="N1266" s="16" t="n">
        <f aca="false">IF($J1266=0,0,MAX(0,$C1266+INT(DIAS_POR_SEMANA/2)-INDEX(ROTACAO_RDM!$I$6:$I$71,$J1266)))</f>
        <v>0</v>
      </c>
      <c r="O1266" s="19" t="n">
        <f aca="false">IF($J1266=0,0,MIN(1,$N1266/MAX(1,INDEX(ROTACAO_RDM!$K$6:$K$71,$J1266))))</f>
        <v>0</v>
      </c>
      <c r="P1266" s="16" t="n">
        <f aca="false">IF($J1266=0,0,IFERROR(MATCH(INDEX(ROTACAO_RDM!$N$6:$N$71,$J1266),PARAMETROS_CULTURAS!$B$6:$B$28,0),0))</f>
        <v>0</v>
      </c>
      <c r="Q1266" s="8" t="str">
        <f aca="false">IF($P1266=0,"-",IF($O1266&lt;=INDEX(PARAMETROS_CULTURAS!$F$6:$F$28,$P1266),"INICIAL",IF($O1266&lt;=INDEX(PARAMETROS_CULTURAS!$F$6:$F$28,$P1266)+INDEX(PARAMETROS_CULTURAS!$G$6:$G$28,$P1266),"DESENVOLVIMENTO",IF($O1266&lt;=INDEX(PARAMETROS_CULTURAS!$F$6:$F$28,$P1266)+INDEX(PARAMETROS_CULTURAS!$G$6:$G$28,$P1266)+INDEX(PARAMETROS_CULTURAS!$H$6:$H$28,$P1266),"MEDIA","FINAL"))))</f>
        <v>-</v>
      </c>
      <c r="R1266" s="24" t="n">
        <f aca="false">IF($P1266=0,0,IF($O1266&lt;=INDEX(PARAMETROS_CULTURAS!$F$6:$F$28,$P1266),INDEX(PARAMETROS_CULTURAS!$K$6:$K$28,$P1266),IF($O1266&lt;=INDEX(PARAMETROS_CULTURAS!$F$6:$F$28,$P1266)+INDEX(PARAMETROS_CULTURAS!$G$6:$G$28,$P1266),INDEX(PARAMETROS_CULTURAS!$K$6:$K$28,$P1266)+(INDEX(PARAMETROS_CULTURAS!$L$6:$L$28,$P1266)-INDEX(PARAMETROS_CULTURAS!$K$6:$K$28,$P1266))*($O1266-INDEX(PARAMETROS_CULTURAS!$F$6:$F$28,$P1266))/MAX(INDEX(PARAMETROS_CULTURAS!$G$6:$G$28,$P1266),0.0001),IF($O1266&lt;=INDEX(PARAMETROS_CULTURAS!$F$6:$F$28,$P1266)+INDEX(PARAMETROS_CULTURAS!$G$6:$G$28,$P1266)+INDEX(PARAMETROS_CULTURAS!$H$6:$H$28,$P1266),INDEX(PARAMETROS_CULTURAS!$L$6:$L$28,$P1266),INDEX(PARAMETROS_CULTURAS!$L$6:$L$28,$P1266)+(INDEX(PARAMETROS_CULTURAS!$M$6:$M$28,$P1266)-INDEX(PARAMETROS_CULTURAS!$L$6:$L$28,$P1266))*($O1266-INDEX(PARAMETROS_CULTURAS!$F$6:$F$28,$P1266)-INDEX(PARAMETROS_CULTURAS!$G$6:$G$28,$P1266)-INDEX(PARAMETROS_CULTURAS!$H$6:$H$28,$P1266))/MAX(INDEX(PARAMETROS_CULTURAS!$I$6:$I$28,$P1266),0.0001)))))</f>
        <v>0</v>
      </c>
      <c r="S1266" s="18" t="n">
        <f aca="false">IFERROR(INDEX(SEMANAS!$H$6:$H$71,MATCH($B1266,SEMANAS!$B$6:$B$71,0)),0)</f>
        <v>39.2</v>
      </c>
      <c r="T1266" s="18" t="n">
        <f aca="false">$R1266*$S1266</f>
        <v>0</v>
      </c>
      <c r="U1266" s="18" t="n">
        <f aca="false">IFERROR(INDEX(SEMANAS!$I$6:$I$71,MATCH($B1266,SEMANAS!$B$6:$B$71,0)),0)</f>
        <v>27.09</v>
      </c>
      <c r="V1266" s="18" t="n">
        <f aca="false">IFERROR(INDEX(SEMANAS!$J$6:$J$71,MATCH($B1266,SEMANAS!$B$6:$B$71,0)),0)</f>
        <v>21.672</v>
      </c>
      <c r="W1266" s="18" t="n">
        <f aca="false">MAX(0,$T1266-$V1266)</f>
        <v>0</v>
      </c>
      <c r="X1266" s="19" t="n">
        <f aca="false">IFERROR(INDEX(CADASTRO_PIVOS!$K$6:$K$41,MATCH($E1266,CADASTRO_PIVOS!$B$6:$B$41,0)),EFICIENCIA_PADRAO)</f>
        <v>0.85</v>
      </c>
      <c r="Y1266" s="18" t="n">
        <f aca="false">IF($X1266&lt;=0,0,$W1266/$X1266)</f>
        <v>0</v>
      </c>
      <c r="Z1266" s="16" t="n">
        <f aca="false">$Y1266*$H1266*MM_PARA_M3_HA</f>
        <v>0</v>
      </c>
      <c r="AA1266" s="18" t="n">
        <f aca="false">IFERROR(INDEX(CADASTRO_PIVOS!$I$6:$I$41,MATCH($E1266,CADASTRO_PIVOS!$B$6:$B$41,0)),0)</f>
        <v>1071</v>
      </c>
      <c r="AB1266" s="18" t="n">
        <f aca="false">IF($Z1266&lt;=0,0,$Z1266/$AA1266)</f>
        <v>0</v>
      </c>
      <c r="AC1266" s="16" t="n">
        <f aca="false">IFERROR(INDEX(SEMANAS!$K$6:$K$71,MATCH($B1266,SEMANAS!$B$6:$B$71,0)),0)</f>
        <v>147</v>
      </c>
      <c r="AD1266" s="19" t="n">
        <f aca="false">IF($AC1266&lt;=0,0,$AB1266/$AC1266)</f>
        <v>0</v>
      </c>
      <c r="AE1266" s="8" t="str">
        <f aca="false">IF($K1266="SEM CULTURA","SEM CULTURA",IF($AA1266&lt;=0,"DADO PENDENTE",IF($AD1266&gt;LIMITE_CRITICO,"INVIAVEL",IF($AD1266&gt;LIMITE_ATENCAO,"CRITICO",IF($AD1266&gt;LIMITE_CONFORTAVEL,"ATENCAO","OK")))))</f>
        <v>SEM CULTURA</v>
      </c>
      <c r="AF1266" s="8" t="str">
        <f aca="false">$B1266&amp;"|"&amp;TEXT($AD1266,"0.000000")</f>
        <v>7|0.000000</v>
      </c>
      <c r="AG1266" s="18" t="n">
        <f aca="false">IF($K1266="SEM CULTURA",0,$T1266*$H1266)</f>
        <v>0</v>
      </c>
      <c r="AH1266" s="18" t="n">
        <f aca="false">IF($K1266="SEM CULTURA",0,$V1266*$H1266)</f>
        <v>0</v>
      </c>
      <c r="AI1266" s="18" t="n">
        <f aca="false">IF($K1266="SEM CULTURA",0,$W1266*$H1266)</f>
        <v>0</v>
      </c>
      <c r="AJ1266" s="18" t="n">
        <f aca="false">IF($K1266="SEM CULTURA",0,$S1266*$H1266)</f>
        <v>0</v>
      </c>
      <c r="AK1266" s="8" t="str">
        <f aca="false">$E1266&amp;"|"&amp;TEXT($AD1266,"0.000000")</f>
        <v>PV 119|0.000000</v>
      </c>
    </row>
    <row r="1267" customFormat="false" ht="15" hidden="false" customHeight="false" outlineLevel="0" collapsed="false">
      <c r="B1267" s="16" t="n">
        <v>8</v>
      </c>
      <c r="C1267" s="17" t="n">
        <f aca="false">DATA_INICIO_SAFRA+($B1267-1)*DIAS_POR_SEMANA</f>
        <v>46314</v>
      </c>
      <c r="D1267" s="17" t="n">
        <f aca="false">$C1267+DIAS_POR_SEMANA-1</f>
        <v>46320</v>
      </c>
      <c r="E1267" s="15" t="s">
        <v>278</v>
      </c>
      <c r="F1267" s="8" t="str">
        <f aca="false">IFERROR(INDEX(CADASTRO_PIVOS!$C$6:$C$41,MATCH($E1267,CADASTRO_PIVOS!$B$6:$B$41,0)),"?")</f>
        <v>RM06</v>
      </c>
      <c r="G1267" s="8" t="str">
        <f aca="false">IFERROR(INDEX(CADASTRO_PIVOS!$D$6:$D$41,MATCH($E1267,CADASTRO_PIVOS!$B$6:$B$41,0)),"?")</f>
        <v>TR06</v>
      </c>
      <c r="H1267" s="20" t="n">
        <f aca="false">IFERROR(INDEX(CADASTRO_PIVOS!$E$6:$E$41,MATCH($E1267,CADASTRO_PIVOS!$B$6:$B$41,0)),0)</f>
        <v>149.94</v>
      </c>
      <c r="I1267" s="16" t="n">
        <f aca="false">IFERROR(SUMIFS(ROTACAO_RDM!$B$6:$B$71,ROTACAO_RDM!$D$6:$D$71,$E1267,ROTACAO_RDM!$I$6:$I$71,"&lt;="&amp;$C1267+INT(DIAS_POR_SEMANA/2),ROTACAO_RDM!$J$6:$J$71,"&gt;="&amp;$C1267+INT(DIAS_POR_SEMANA/2)),0)</f>
        <v>0</v>
      </c>
      <c r="J1267" s="16" t="n">
        <f aca="false">IFERROR(MATCH($I1267,ROTACAO_RDM!$B$6:$B$71,0),0)</f>
        <v>0</v>
      </c>
      <c r="K1267" s="8" t="str">
        <f aca="false">IF($J1267=0,"SEM CULTURA",INDEX(ROTACAO_RDM!$F$6:$F$71,$J1267))</f>
        <v>SEM CULTURA</v>
      </c>
      <c r="L1267" s="8" t="str">
        <f aca="false">IF($J1267=0,"",INDEX(ROTACAO_RDM!$G$6:$G$71,$J1267))</f>
        <v/>
      </c>
      <c r="M1267" s="17" t="str">
        <f aca="false">IF($J1267=0,"",INDEX(ROTACAO_RDM!$I$6:$I$71,$J1267))</f>
        <v/>
      </c>
      <c r="N1267" s="16" t="n">
        <f aca="false">IF($J1267=0,0,MAX(0,$C1267+INT(DIAS_POR_SEMANA/2)-INDEX(ROTACAO_RDM!$I$6:$I$71,$J1267)))</f>
        <v>0</v>
      </c>
      <c r="O1267" s="19" t="n">
        <f aca="false">IF($J1267=0,0,MIN(1,$N1267/MAX(1,INDEX(ROTACAO_RDM!$K$6:$K$71,$J1267))))</f>
        <v>0</v>
      </c>
      <c r="P1267" s="16" t="n">
        <f aca="false">IF($J1267=0,0,IFERROR(MATCH(INDEX(ROTACAO_RDM!$N$6:$N$71,$J1267),PARAMETROS_CULTURAS!$B$6:$B$28,0),0))</f>
        <v>0</v>
      </c>
      <c r="Q1267" s="8" t="str">
        <f aca="false">IF($P1267=0,"-",IF($O1267&lt;=INDEX(PARAMETROS_CULTURAS!$F$6:$F$28,$P1267),"INICIAL",IF($O1267&lt;=INDEX(PARAMETROS_CULTURAS!$F$6:$F$28,$P1267)+INDEX(PARAMETROS_CULTURAS!$G$6:$G$28,$P1267),"DESENVOLVIMENTO",IF($O1267&lt;=INDEX(PARAMETROS_CULTURAS!$F$6:$F$28,$P1267)+INDEX(PARAMETROS_CULTURAS!$G$6:$G$28,$P1267)+INDEX(PARAMETROS_CULTURAS!$H$6:$H$28,$P1267),"MEDIA","FINAL"))))</f>
        <v>-</v>
      </c>
      <c r="R1267" s="24" t="n">
        <f aca="false">IF($P1267=0,0,IF($O1267&lt;=INDEX(PARAMETROS_CULTURAS!$F$6:$F$28,$P1267),INDEX(PARAMETROS_CULTURAS!$K$6:$K$28,$P1267),IF($O1267&lt;=INDEX(PARAMETROS_CULTURAS!$F$6:$F$28,$P1267)+INDEX(PARAMETROS_CULTURAS!$G$6:$G$28,$P1267),INDEX(PARAMETROS_CULTURAS!$K$6:$K$28,$P1267)+(INDEX(PARAMETROS_CULTURAS!$L$6:$L$28,$P1267)-INDEX(PARAMETROS_CULTURAS!$K$6:$K$28,$P1267))*($O1267-INDEX(PARAMETROS_CULTURAS!$F$6:$F$28,$P1267))/MAX(INDEX(PARAMETROS_CULTURAS!$G$6:$G$28,$P1267),0.0001),IF($O1267&lt;=INDEX(PARAMETROS_CULTURAS!$F$6:$F$28,$P1267)+INDEX(PARAMETROS_CULTURAS!$G$6:$G$28,$P1267)+INDEX(PARAMETROS_CULTURAS!$H$6:$H$28,$P1267),INDEX(PARAMETROS_CULTURAS!$L$6:$L$28,$P1267),INDEX(PARAMETROS_CULTURAS!$L$6:$L$28,$P1267)+(INDEX(PARAMETROS_CULTURAS!$M$6:$M$28,$P1267)-INDEX(PARAMETROS_CULTURAS!$L$6:$L$28,$P1267))*($O1267-INDEX(PARAMETROS_CULTURAS!$F$6:$F$28,$P1267)-INDEX(PARAMETROS_CULTURAS!$G$6:$G$28,$P1267)-INDEX(PARAMETROS_CULTURAS!$H$6:$H$28,$P1267))/MAX(INDEX(PARAMETROS_CULTURAS!$I$6:$I$28,$P1267),0.0001)))))</f>
        <v>0</v>
      </c>
      <c r="S1267" s="18" t="n">
        <f aca="false">IFERROR(INDEX(SEMANAS!$H$6:$H$71,MATCH($B1267,SEMANAS!$B$6:$B$71,0)),0)</f>
        <v>39.2</v>
      </c>
      <c r="T1267" s="18" t="n">
        <f aca="false">$R1267*$S1267</f>
        <v>0</v>
      </c>
      <c r="U1267" s="18" t="n">
        <f aca="false">IFERROR(INDEX(SEMANAS!$I$6:$I$71,MATCH($B1267,SEMANAS!$B$6:$B$71,0)),0)</f>
        <v>27.09</v>
      </c>
      <c r="V1267" s="18" t="n">
        <f aca="false">IFERROR(INDEX(SEMANAS!$J$6:$J$71,MATCH($B1267,SEMANAS!$B$6:$B$71,0)),0)</f>
        <v>21.672</v>
      </c>
      <c r="W1267" s="18" t="n">
        <f aca="false">MAX(0,$T1267-$V1267)</f>
        <v>0</v>
      </c>
      <c r="X1267" s="19" t="n">
        <f aca="false">IFERROR(INDEX(CADASTRO_PIVOS!$K$6:$K$41,MATCH($E1267,CADASTRO_PIVOS!$B$6:$B$41,0)),EFICIENCIA_PADRAO)</f>
        <v>0.85</v>
      </c>
      <c r="Y1267" s="18" t="n">
        <f aca="false">IF($X1267&lt;=0,0,$W1267/$X1267)</f>
        <v>0</v>
      </c>
      <c r="Z1267" s="16" t="n">
        <f aca="false">$Y1267*$H1267*MM_PARA_M3_HA</f>
        <v>0</v>
      </c>
      <c r="AA1267" s="18" t="n">
        <f aca="false">IFERROR(INDEX(CADASTRO_PIVOS!$I$6:$I$41,MATCH($E1267,CADASTRO_PIVOS!$B$6:$B$41,0)),0)</f>
        <v>1071</v>
      </c>
      <c r="AB1267" s="18" t="n">
        <f aca="false">IF($Z1267&lt;=0,0,$Z1267/$AA1267)</f>
        <v>0</v>
      </c>
      <c r="AC1267" s="16" t="n">
        <f aca="false">IFERROR(INDEX(SEMANAS!$K$6:$K$71,MATCH($B1267,SEMANAS!$B$6:$B$71,0)),0)</f>
        <v>147</v>
      </c>
      <c r="AD1267" s="19" t="n">
        <f aca="false">IF($AC1267&lt;=0,0,$AB1267/$AC1267)</f>
        <v>0</v>
      </c>
      <c r="AE1267" s="8" t="str">
        <f aca="false">IF($K1267="SEM CULTURA","SEM CULTURA",IF($AA1267&lt;=0,"DADO PENDENTE",IF($AD1267&gt;LIMITE_CRITICO,"INVIAVEL",IF($AD1267&gt;LIMITE_ATENCAO,"CRITICO",IF($AD1267&gt;LIMITE_CONFORTAVEL,"ATENCAO","OK")))))</f>
        <v>SEM CULTURA</v>
      </c>
      <c r="AF1267" s="8" t="str">
        <f aca="false">$B1267&amp;"|"&amp;TEXT($AD1267,"0.000000")</f>
        <v>8|0.000000</v>
      </c>
      <c r="AG1267" s="18" t="n">
        <f aca="false">IF($K1267="SEM CULTURA",0,$T1267*$H1267)</f>
        <v>0</v>
      </c>
      <c r="AH1267" s="18" t="n">
        <f aca="false">IF($K1267="SEM CULTURA",0,$V1267*$H1267)</f>
        <v>0</v>
      </c>
      <c r="AI1267" s="18" t="n">
        <f aca="false">IF($K1267="SEM CULTURA",0,$W1267*$H1267)</f>
        <v>0</v>
      </c>
      <c r="AJ1267" s="18" t="n">
        <f aca="false">IF($K1267="SEM CULTURA",0,$S1267*$H1267)</f>
        <v>0</v>
      </c>
      <c r="AK1267" s="8" t="str">
        <f aca="false">$E1267&amp;"|"&amp;TEXT($AD1267,"0.000000")</f>
        <v>PV 119|0.000000</v>
      </c>
    </row>
    <row r="1268" customFormat="false" ht="15" hidden="false" customHeight="false" outlineLevel="0" collapsed="false">
      <c r="B1268" s="16" t="n">
        <v>9</v>
      </c>
      <c r="C1268" s="17" t="n">
        <f aca="false">DATA_INICIO_SAFRA+($B1268-1)*DIAS_POR_SEMANA</f>
        <v>46321</v>
      </c>
      <c r="D1268" s="17" t="n">
        <f aca="false">$C1268+DIAS_POR_SEMANA-1</f>
        <v>46327</v>
      </c>
      <c r="E1268" s="15" t="s">
        <v>278</v>
      </c>
      <c r="F1268" s="8" t="str">
        <f aca="false">IFERROR(INDEX(CADASTRO_PIVOS!$C$6:$C$41,MATCH($E1268,CADASTRO_PIVOS!$B$6:$B$41,0)),"?")</f>
        <v>RM06</v>
      </c>
      <c r="G1268" s="8" t="str">
        <f aca="false">IFERROR(INDEX(CADASTRO_PIVOS!$D$6:$D$41,MATCH($E1268,CADASTRO_PIVOS!$B$6:$B$41,0)),"?")</f>
        <v>TR06</v>
      </c>
      <c r="H1268" s="20" t="n">
        <f aca="false">IFERROR(INDEX(CADASTRO_PIVOS!$E$6:$E$41,MATCH($E1268,CADASTRO_PIVOS!$B$6:$B$41,0)),0)</f>
        <v>149.94</v>
      </c>
      <c r="I1268" s="16" t="n">
        <f aca="false">IFERROR(SUMIFS(ROTACAO_RDM!$B$6:$B$71,ROTACAO_RDM!$D$6:$D$71,$E1268,ROTACAO_RDM!$I$6:$I$71,"&lt;="&amp;$C1268+INT(DIAS_POR_SEMANA/2),ROTACAO_RDM!$J$6:$J$71,"&gt;="&amp;$C1268+INT(DIAS_POR_SEMANA/2)),0)</f>
        <v>0</v>
      </c>
      <c r="J1268" s="16" t="n">
        <f aca="false">IFERROR(MATCH($I1268,ROTACAO_RDM!$B$6:$B$71,0),0)</f>
        <v>0</v>
      </c>
      <c r="K1268" s="8" t="str">
        <f aca="false">IF($J1268=0,"SEM CULTURA",INDEX(ROTACAO_RDM!$F$6:$F$71,$J1268))</f>
        <v>SEM CULTURA</v>
      </c>
      <c r="L1268" s="8" t="str">
        <f aca="false">IF($J1268=0,"",INDEX(ROTACAO_RDM!$G$6:$G$71,$J1268))</f>
        <v/>
      </c>
      <c r="M1268" s="17" t="str">
        <f aca="false">IF($J1268=0,"",INDEX(ROTACAO_RDM!$I$6:$I$71,$J1268))</f>
        <v/>
      </c>
      <c r="N1268" s="16" t="n">
        <f aca="false">IF($J1268=0,0,MAX(0,$C1268+INT(DIAS_POR_SEMANA/2)-INDEX(ROTACAO_RDM!$I$6:$I$71,$J1268)))</f>
        <v>0</v>
      </c>
      <c r="O1268" s="19" t="n">
        <f aca="false">IF($J1268=0,0,MIN(1,$N1268/MAX(1,INDEX(ROTACAO_RDM!$K$6:$K$71,$J1268))))</f>
        <v>0</v>
      </c>
      <c r="P1268" s="16" t="n">
        <f aca="false">IF($J1268=0,0,IFERROR(MATCH(INDEX(ROTACAO_RDM!$N$6:$N$71,$J1268),PARAMETROS_CULTURAS!$B$6:$B$28,0),0))</f>
        <v>0</v>
      </c>
      <c r="Q1268" s="8" t="str">
        <f aca="false">IF($P1268=0,"-",IF($O1268&lt;=INDEX(PARAMETROS_CULTURAS!$F$6:$F$28,$P1268),"INICIAL",IF($O1268&lt;=INDEX(PARAMETROS_CULTURAS!$F$6:$F$28,$P1268)+INDEX(PARAMETROS_CULTURAS!$G$6:$G$28,$P1268),"DESENVOLVIMENTO",IF($O1268&lt;=INDEX(PARAMETROS_CULTURAS!$F$6:$F$28,$P1268)+INDEX(PARAMETROS_CULTURAS!$G$6:$G$28,$P1268)+INDEX(PARAMETROS_CULTURAS!$H$6:$H$28,$P1268),"MEDIA","FINAL"))))</f>
        <v>-</v>
      </c>
      <c r="R1268" s="24" t="n">
        <f aca="false">IF($P1268=0,0,IF($O1268&lt;=INDEX(PARAMETROS_CULTURAS!$F$6:$F$28,$P1268),INDEX(PARAMETROS_CULTURAS!$K$6:$K$28,$P1268),IF($O1268&lt;=INDEX(PARAMETROS_CULTURAS!$F$6:$F$28,$P1268)+INDEX(PARAMETROS_CULTURAS!$G$6:$G$28,$P1268),INDEX(PARAMETROS_CULTURAS!$K$6:$K$28,$P1268)+(INDEX(PARAMETROS_CULTURAS!$L$6:$L$28,$P1268)-INDEX(PARAMETROS_CULTURAS!$K$6:$K$28,$P1268))*($O1268-INDEX(PARAMETROS_CULTURAS!$F$6:$F$28,$P1268))/MAX(INDEX(PARAMETROS_CULTURAS!$G$6:$G$28,$P1268),0.0001),IF($O1268&lt;=INDEX(PARAMETROS_CULTURAS!$F$6:$F$28,$P1268)+INDEX(PARAMETROS_CULTURAS!$G$6:$G$28,$P1268)+INDEX(PARAMETROS_CULTURAS!$H$6:$H$28,$P1268),INDEX(PARAMETROS_CULTURAS!$L$6:$L$28,$P1268),INDEX(PARAMETROS_CULTURAS!$L$6:$L$28,$P1268)+(INDEX(PARAMETROS_CULTURAS!$M$6:$M$28,$P1268)-INDEX(PARAMETROS_CULTURAS!$L$6:$L$28,$P1268))*($O1268-INDEX(PARAMETROS_CULTURAS!$F$6:$F$28,$P1268)-INDEX(PARAMETROS_CULTURAS!$G$6:$G$28,$P1268)-INDEX(PARAMETROS_CULTURAS!$H$6:$H$28,$P1268))/MAX(INDEX(PARAMETROS_CULTURAS!$I$6:$I$28,$P1268),0.0001)))))</f>
        <v>0</v>
      </c>
      <c r="S1268" s="18" t="n">
        <f aca="false">IFERROR(INDEX(SEMANAS!$H$6:$H$71,MATCH($B1268,SEMANAS!$B$6:$B$71,0)),0)</f>
        <v>38.5</v>
      </c>
      <c r="T1268" s="18" t="n">
        <f aca="false">$R1268*$S1268</f>
        <v>0</v>
      </c>
      <c r="U1268" s="18" t="n">
        <f aca="false">IFERROR(INDEX(SEMANAS!$I$6:$I$71,MATCH($B1268,SEMANAS!$B$6:$B$71,0)),0)</f>
        <v>29.89</v>
      </c>
      <c r="V1268" s="18" t="n">
        <f aca="false">IFERROR(INDEX(SEMANAS!$J$6:$J$71,MATCH($B1268,SEMANAS!$B$6:$B$71,0)),0)</f>
        <v>23.912</v>
      </c>
      <c r="W1268" s="18" t="n">
        <f aca="false">MAX(0,$T1268-$V1268)</f>
        <v>0</v>
      </c>
      <c r="X1268" s="19" t="n">
        <f aca="false">IFERROR(INDEX(CADASTRO_PIVOS!$K$6:$K$41,MATCH($E1268,CADASTRO_PIVOS!$B$6:$B$41,0)),EFICIENCIA_PADRAO)</f>
        <v>0.85</v>
      </c>
      <c r="Y1268" s="18" t="n">
        <f aca="false">IF($X1268&lt;=0,0,$W1268/$X1268)</f>
        <v>0</v>
      </c>
      <c r="Z1268" s="16" t="n">
        <f aca="false">$Y1268*$H1268*MM_PARA_M3_HA</f>
        <v>0</v>
      </c>
      <c r="AA1268" s="18" t="n">
        <f aca="false">IFERROR(INDEX(CADASTRO_PIVOS!$I$6:$I$41,MATCH($E1268,CADASTRO_PIVOS!$B$6:$B$41,0)),0)</f>
        <v>1071</v>
      </c>
      <c r="AB1268" s="18" t="n">
        <f aca="false">IF($Z1268&lt;=0,0,$Z1268/$AA1268)</f>
        <v>0</v>
      </c>
      <c r="AC1268" s="16" t="n">
        <f aca="false">IFERROR(INDEX(SEMANAS!$K$6:$K$71,MATCH($B1268,SEMANAS!$B$6:$B$71,0)),0)</f>
        <v>147</v>
      </c>
      <c r="AD1268" s="19" t="n">
        <f aca="false">IF($AC1268&lt;=0,0,$AB1268/$AC1268)</f>
        <v>0</v>
      </c>
      <c r="AE1268" s="8" t="str">
        <f aca="false">IF($K1268="SEM CULTURA","SEM CULTURA",IF($AA1268&lt;=0,"DADO PENDENTE",IF($AD1268&gt;LIMITE_CRITICO,"INVIAVEL",IF($AD1268&gt;LIMITE_ATENCAO,"CRITICO",IF($AD1268&gt;LIMITE_CONFORTAVEL,"ATENCAO","OK")))))</f>
        <v>SEM CULTURA</v>
      </c>
      <c r="AF1268" s="8" t="str">
        <f aca="false">$B1268&amp;"|"&amp;TEXT($AD1268,"0.000000")</f>
        <v>9|0.000000</v>
      </c>
      <c r="AG1268" s="18" t="n">
        <f aca="false">IF($K1268="SEM CULTURA",0,$T1268*$H1268)</f>
        <v>0</v>
      </c>
      <c r="AH1268" s="18" t="n">
        <f aca="false">IF($K1268="SEM CULTURA",0,$V1268*$H1268)</f>
        <v>0</v>
      </c>
      <c r="AI1268" s="18" t="n">
        <f aca="false">IF($K1268="SEM CULTURA",0,$W1268*$H1268)</f>
        <v>0</v>
      </c>
      <c r="AJ1268" s="18" t="n">
        <f aca="false">IF($K1268="SEM CULTURA",0,$S1268*$H1268)</f>
        <v>0</v>
      </c>
      <c r="AK1268" s="8" t="str">
        <f aca="false">$E1268&amp;"|"&amp;TEXT($AD1268,"0.000000")</f>
        <v>PV 119|0.000000</v>
      </c>
    </row>
    <row r="1269" customFormat="false" ht="15" hidden="false" customHeight="false" outlineLevel="0" collapsed="false">
      <c r="B1269" s="16" t="n">
        <v>10</v>
      </c>
      <c r="C1269" s="17" t="n">
        <f aca="false">DATA_INICIO_SAFRA+($B1269-1)*DIAS_POR_SEMANA</f>
        <v>46328</v>
      </c>
      <c r="D1269" s="17" t="n">
        <f aca="false">$C1269+DIAS_POR_SEMANA-1</f>
        <v>46334</v>
      </c>
      <c r="E1269" s="15" t="s">
        <v>278</v>
      </c>
      <c r="F1269" s="8" t="str">
        <f aca="false">IFERROR(INDEX(CADASTRO_PIVOS!$C$6:$C$41,MATCH($E1269,CADASTRO_PIVOS!$B$6:$B$41,0)),"?")</f>
        <v>RM06</v>
      </c>
      <c r="G1269" s="8" t="str">
        <f aca="false">IFERROR(INDEX(CADASTRO_PIVOS!$D$6:$D$41,MATCH($E1269,CADASTRO_PIVOS!$B$6:$B$41,0)),"?")</f>
        <v>TR06</v>
      </c>
      <c r="H1269" s="20" t="n">
        <f aca="false">IFERROR(INDEX(CADASTRO_PIVOS!$E$6:$E$41,MATCH($E1269,CADASTRO_PIVOS!$B$6:$B$41,0)),0)</f>
        <v>149.94</v>
      </c>
      <c r="I1269" s="16" t="n">
        <f aca="false">IFERROR(SUMIFS(ROTACAO_RDM!$B$6:$B$71,ROTACAO_RDM!$D$6:$D$71,$E1269,ROTACAO_RDM!$I$6:$I$71,"&lt;="&amp;$C1269+INT(DIAS_POR_SEMANA/2),ROTACAO_RDM!$J$6:$J$71,"&gt;="&amp;$C1269+INT(DIAS_POR_SEMANA/2)),0)</f>
        <v>0</v>
      </c>
      <c r="J1269" s="16" t="n">
        <f aca="false">IFERROR(MATCH($I1269,ROTACAO_RDM!$B$6:$B$71,0),0)</f>
        <v>0</v>
      </c>
      <c r="K1269" s="8" t="str">
        <f aca="false">IF($J1269=0,"SEM CULTURA",INDEX(ROTACAO_RDM!$F$6:$F$71,$J1269))</f>
        <v>SEM CULTURA</v>
      </c>
      <c r="L1269" s="8" t="str">
        <f aca="false">IF($J1269=0,"",INDEX(ROTACAO_RDM!$G$6:$G$71,$J1269))</f>
        <v/>
      </c>
      <c r="M1269" s="17" t="str">
        <f aca="false">IF($J1269=0,"",INDEX(ROTACAO_RDM!$I$6:$I$71,$J1269))</f>
        <v/>
      </c>
      <c r="N1269" s="16" t="n">
        <f aca="false">IF($J1269=0,0,MAX(0,$C1269+INT(DIAS_POR_SEMANA/2)-INDEX(ROTACAO_RDM!$I$6:$I$71,$J1269)))</f>
        <v>0</v>
      </c>
      <c r="O1269" s="19" t="n">
        <f aca="false">IF($J1269=0,0,MIN(1,$N1269/MAX(1,INDEX(ROTACAO_RDM!$K$6:$K$71,$J1269))))</f>
        <v>0</v>
      </c>
      <c r="P1269" s="16" t="n">
        <f aca="false">IF($J1269=0,0,IFERROR(MATCH(INDEX(ROTACAO_RDM!$N$6:$N$71,$J1269),PARAMETROS_CULTURAS!$B$6:$B$28,0),0))</f>
        <v>0</v>
      </c>
      <c r="Q1269" s="8" t="str">
        <f aca="false">IF($P1269=0,"-",IF($O1269&lt;=INDEX(PARAMETROS_CULTURAS!$F$6:$F$28,$P1269),"INICIAL",IF($O1269&lt;=INDEX(PARAMETROS_CULTURAS!$F$6:$F$28,$P1269)+INDEX(PARAMETROS_CULTURAS!$G$6:$G$28,$P1269),"DESENVOLVIMENTO",IF($O1269&lt;=INDEX(PARAMETROS_CULTURAS!$F$6:$F$28,$P1269)+INDEX(PARAMETROS_CULTURAS!$G$6:$G$28,$P1269)+INDEX(PARAMETROS_CULTURAS!$H$6:$H$28,$P1269),"MEDIA","FINAL"))))</f>
        <v>-</v>
      </c>
      <c r="R1269" s="24" t="n">
        <f aca="false">IF($P1269=0,0,IF($O1269&lt;=INDEX(PARAMETROS_CULTURAS!$F$6:$F$28,$P1269),INDEX(PARAMETROS_CULTURAS!$K$6:$K$28,$P1269),IF($O1269&lt;=INDEX(PARAMETROS_CULTURAS!$F$6:$F$28,$P1269)+INDEX(PARAMETROS_CULTURAS!$G$6:$G$28,$P1269),INDEX(PARAMETROS_CULTURAS!$K$6:$K$28,$P1269)+(INDEX(PARAMETROS_CULTURAS!$L$6:$L$28,$P1269)-INDEX(PARAMETROS_CULTURAS!$K$6:$K$28,$P1269))*($O1269-INDEX(PARAMETROS_CULTURAS!$F$6:$F$28,$P1269))/MAX(INDEX(PARAMETROS_CULTURAS!$G$6:$G$28,$P1269),0.0001),IF($O1269&lt;=INDEX(PARAMETROS_CULTURAS!$F$6:$F$28,$P1269)+INDEX(PARAMETROS_CULTURAS!$G$6:$G$28,$P1269)+INDEX(PARAMETROS_CULTURAS!$H$6:$H$28,$P1269),INDEX(PARAMETROS_CULTURAS!$L$6:$L$28,$P1269),INDEX(PARAMETROS_CULTURAS!$L$6:$L$28,$P1269)+(INDEX(PARAMETROS_CULTURAS!$M$6:$M$28,$P1269)-INDEX(PARAMETROS_CULTURAS!$L$6:$L$28,$P1269))*($O1269-INDEX(PARAMETROS_CULTURAS!$F$6:$F$28,$P1269)-INDEX(PARAMETROS_CULTURAS!$G$6:$G$28,$P1269)-INDEX(PARAMETROS_CULTURAS!$H$6:$H$28,$P1269))/MAX(INDEX(PARAMETROS_CULTURAS!$I$6:$I$28,$P1269),0.0001)))))</f>
        <v>0</v>
      </c>
      <c r="S1269" s="18" t="n">
        <f aca="false">IFERROR(INDEX(SEMANAS!$H$6:$H$71,MATCH($B1269,SEMANAS!$B$6:$B$71,0)),0)</f>
        <v>34.3</v>
      </c>
      <c r="T1269" s="18" t="n">
        <f aca="false">$R1269*$S1269</f>
        <v>0</v>
      </c>
      <c r="U1269" s="18" t="n">
        <f aca="false">IFERROR(INDEX(SEMANAS!$I$6:$I$71,MATCH($B1269,SEMANAS!$B$6:$B$71,0)),0)</f>
        <v>46.69</v>
      </c>
      <c r="V1269" s="18" t="n">
        <f aca="false">IFERROR(INDEX(SEMANAS!$J$6:$J$71,MATCH($B1269,SEMANAS!$B$6:$B$71,0)),0)</f>
        <v>37.352</v>
      </c>
      <c r="W1269" s="18" t="n">
        <f aca="false">MAX(0,$T1269-$V1269)</f>
        <v>0</v>
      </c>
      <c r="X1269" s="19" t="n">
        <f aca="false">IFERROR(INDEX(CADASTRO_PIVOS!$K$6:$K$41,MATCH($E1269,CADASTRO_PIVOS!$B$6:$B$41,0)),EFICIENCIA_PADRAO)</f>
        <v>0.85</v>
      </c>
      <c r="Y1269" s="18" t="n">
        <f aca="false">IF($X1269&lt;=0,0,$W1269/$X1269)</f>
        <v>0</v>
      </c>
      <c r="Z1269" s="16" t="n">
        <f aca="false">$Y1269*$H1269*MM_PARA_M3_HA</f>
        <v>0</v>
      </c>
      <c r="AA1269" s="18" t="n">
        <f aca="false">IFERROR(INDEX(CADASTRO_PIVOS!$I$6:$I$41,MATCH($E1269,CADASTRO_PIVOS!$B$6:$B$41,0)),0)</f>
        <v>1071</v>
      </c>
      <c r="AB1269" s="18" t="n">
        <f aca="false">IF($Z1269&lt;=0,0,$Z1269/$AA1269)</f>
        <v>0</v>
      </c>
      <c r="AC1269" s="16" t="n">
        <f aca="false">IFERROR(INDEX(SEMANAS!$K$6:$K$71,MATCH($B1269,SEMANAS!$B$6:$B$71,0)),0)</f>
        <v>147</v>
      </c>
      <c r="AD1269" s="19" t="n">
        <f aca="false">IF($AC1269&lt;=0,0,$AB1269/$AC1269)</f>
        <v>0</v>
      </c>
      <c r="AE1269" s="8" t="str">
        <f aca="false">IF($K1269="SEM CULTURA","SEM CULTURA",IF($AA1269&lt;=0,"DADO PENDENTE",IF($AD1269&gt;LIMITE_CRITICO,"INVIAVEL",IF($AD1269&gt;LIMITE_ATENCAO,"CRITICO",IF($AD1269&gt;LIMITE_CONFORTAVEL,"ATENCAO","OK")))))</f>
        <v>SEM CULTURA</v>
      </c>
      <c r="AF1269" s="8" t="str">
        <f aca="false">$B1269&amp;"|"&amp;TEXT($AD1269,"0.000000")</f>
        <v>10|0.000000</v>
      </c>
      <c r="AG1269" s="18" t="n">
        <f aca="false">IF($K1269="SEM CULTURA",0,$T1269*$H1269)</f>
        <v>0</v>
      </c>
      <c r="AH1269" s="18" t="n">
        <f aca="false">IF($K1269="SEM CULTURA",0,$V1269*$H1269)</f>
        <v>0</v>
      </c>
      <c r="AI1269" s="18" t="n">
        <f aca="false">IF($K1269="SEM CULTURA",0,$W1269*$H1269)</f>
        <v>0</v>
      </c>
      <c r="AJ1269" s="18" t="n">
        <f aca="false">IF($K1269="SEM CULTURA",0,$S1269*$H1269)</f>
        <v>0</v>
      </c>
      <c r="AK1269" s="8" t="str">
        <f aca="false">$E1269&amp;"|"&amp;TEXT($AD1269,"0.000000")</f>
        <v>PV 119|0.000000</v>
      </c>
    </row>
    <row r="1270" customFormat="false" ht="15" hidden="false" customHeight="false" outlineLevel="0" collapsed="false">
      <c r="B1270" s="16" t="n">
        <v>11</v>
      </c>
      <c r="C1270" s="17" t="n">
        <f aca="false">DATA_INICIO_SAFRA+($B1270-1)*DIAS_POR_SEMANA</f>
        <v>46335</v>
      </c>
      <c r="D1270" s="17" t="n">
        <f aca="false">$C1270+DIAS_POR_SEMANA-1</f>
        <v>46341</v>
      </c>
      <c r="E1270" s="15" t="s">
        <v>278</v>
      </c>
      <c r="F1270" s="8" t="str">
        <f aca="false">IFERROR(INDEX(CADASTRO_PIVOS!$C$6:$C$41,MATCH($E1270,CADASTRO_PIVOS!$B$6:$B$41,0)),"?")</f>
        <v>RM06</v>
      </c>
      <c r="G1270" s="8" t="str">
        <f aca="false">IFERROR(INDEX(CADASTRO_PIVOS!$D$6:$D$41,MATCH($E1270,CADASTRO_PIVOS!$B$6:$B$41,0)),"?")</f>
        <v>TR06</v>
      </c>
      <c r="H1270" s="20" t="n">
        <f aca="false">IFERROR(INDEX(CADASTRO_PIVOS!$E$6:$E$41,MATCH($E1270,CADASTRO_PIVOS!$B$6:$B$41,0)),0)</f>
        <v>149.94</v>
      </c>
      <c r="I1270" s="16" t="n">
        <f aca="false">IFERROR(SUMIFS(ROTACAO_RDM!$B$6:$B$71,ROTACAO_RDM!$D$6:$D$71,$E1270,ROTACAO_RDM!$I$6:$I$71,"&lt;="&amp;$C1270+INT(DIAS_POR_SEMANA/2),ROTACAO_RDM!$J$6:$J$71,"&gt;="&amp;$C1270+INT(DIAS_POR_SEMANA/2)),0)</f>
        <v>0</v>
      </c>
      <c r="J1270" s="16" t="n">
        <f aca="false">IFERROR(MATCH($I1270,ROTACAO_RDM!$B$6:$B$71,0),0)</f>
        <v>0</v>
      </c>
      <c r="K1270" s="8" t="str">
        <f aca="false">IF($J1270=0,"SEM CULTURA",INDEX(ROTACAO_RDM!$F$6:$F$71,$J1270))</f>
        <v>SEM CULTURA</v>
      </c>
      <c r="L1270" s="8" t="str">
        <f aca="false">IF($J1270=0,"",INDEX(ROTACAO_RDM!$G$6:$G$71,$J1270))</f>
        <v/>
      </c>
      <c r="M1270" s="17" t="str">
        <f aca="false">IF($J1270=0,"",INDEX(ROTACAO_RDM!$I$6:$I$71,$J1270))</f>
        <v/>
      </c>
      <c r="N1270" s="16" t="n">
        <f aca="false">IF($J1270=0,0,MAX(0,$C1270+INT(DIAS_POR_SEMANA/2)-INDEX(ROTACAO_RDM!$I$6:$I$71,$J1270)))</f>
        <v>0</v>
      </c>
      <c r="O1270" s="19" t="n">
        <f aca="false">IF($J1270=0,0,MIN(1,$N1270/MAX(1,INDEX(ROTACAO_RDM!$K$6:$K$71,$J1270))))</f>
        <v>0</v>
      </c>
      <c r="P1270" s="16" t="n">
        <f aca="false">IF($J1270=0,0,IFERROR(MATCH(INDEX(ROTACAO_RDM!$N$6:$N$71,$J1270),PARAMETROS_CULTURAS!$B$6:$B$28,0),0))</f>
        <v>0</v>
      </c>
      <c r="Q1270" s="8" t="str">
        <f aca="false">IF($P1270=0,"-",IF($O1270&lt;=INDEX(PARAMETROS_CULTURAS!$F$6:$F$28,$P1270),"INICIAL",IF($O1270&lt;=INDEX(PARAMETROS_CULTURAS!$F$6:$F$28,$P1270)+INDEX(PARAMETROS_CULTURAS!$G$6:$G$28,$P1270),"DESENVOLVIMENTO",IF($O1270&lt;=INDEX(PARAMETROS_CULTURAS!$F$6:$F$28,$P1270)+INDEX(PARAMETROS_CULTURAS!$G$6:$G$28,$P1270)+INDEX(PARAMETROS_CULTURAS!$H$6:$H$28,$P1270),"MEDIA","FINAL"))))</f>
        <v>-</v>
      </c>
      <c r="R1270" s="24" t="n">
        <f aca="false">IF($P1270=0,0,IF($O1270&lt;=INDEX(PARAMETROS_CULTURAS!$F$6:$F$28,$P1270),INDEX(PARAMETROS_CULTURAS!$K$6:$K$28,$P1270),IF($O1270&lt;=INDEX(PARAMETROS_CULTURAS!$F$6:$F$28,$P1270)+INDEX(PARAMETROS_CULTURAS!$G$6:$G$28,$P1270),INDEX(PARAMETROS_CULTURAS!$K$6:$K$28,$P1270)+(INDEX(PARAMETROS_CULTURAS!$L$6:$L$28,$P1270)-INDEX(PARAMETROS_CULTURAS!$K$6:$K$28,$P1270))*($O1270-INDEX(PARAMETROS_CULTURAS!$F$6:$F$28,$P1270))/MAX(INDEX(PARAMETROS_CULTURAS!$G$6:$G$28,$P1270),0.0001),IF($O1270&lt;=INDEX(PARAMETROS_CULTURAS!$F$6:$F$28,$P1270)+INDEX(PARAMETROS_CULTURAS!$G$6:$G$28,$P1270)+INDEX(PARAMETROS_CULTURAS!$H$6:$H$28,$P1270),INDEX(PARAMETROS_CULTURAS!$L$6:$L$28,$P1270),INDEX(PARAMETROS_CULTURAS!$L$6:$L$28,$P1270)+(INDEX(PARAMETROS_CULTURAS!$M$6:$M$28,$P1270)-INDEX(PARAMETROS_CULTURAS!$L$6:$L$28,$P1270))*($O1270-INDEX(PARAMETROS_CULTURAS!$F$6:$F$28,$P1270)-INDEX(PARAMETROS_CULTURAS!$G$6:$G$28,$P1270)-INDEX(PARAMETROS_CULTURAS!$H$6:$H$28,$P1270))/MAX(INDEX(PARAMETROS_CULTURAS!$I$6:$I$28,$P1270),0.0001)))))</f>
        <v>0</v>
      </c>
      <c r="S1270" s="18" t="n">
        <f aca="false">IFERROR(INDEX(SEMANAS!$H$6:$H$71,MATCH($B1270,SEMANAS!$B$6:$B$71,0)),0)</f>
        <v>34.3</v>
      </c>
      <c r="T1270" s="18" t="n">
        <f aca="false">$R1270*$S1270</f>
        <v>0</v>
      </c>
      <c r="U1270" s="18" t="n">
        <f aca="false">IFERROR(INDEX(SEMANAS!$I$6:$I$71,MATCH($B1270,SEMANAS!$B$6:$B$71,0)),0)</f>
        <v>46.69</v>
      </c>
      <c r="V1270" s="18" t="n">
        <f aca="false">IFERROR(INDEX(SEMANAS!$J$6:$J$71,MATCH($B1270,SEMANAS!$B$6:$B$71,0)),0)</f>
        <v>37.352</v>
      </c>
      <c r="W1270" s="18" t="n">
        <f aca="false">MAX(0,$T1270-$V1270)</f>
        <v>0</v>
      </c>
      <c r="X1270" s="19" t="n">
        <f aca="false">IFERROR(INDEX(CADASTRO_PIVOS!$K$6:$K$41,MATCH($E1270,CADASTRO_PIVOS!$B$6:$B$41,0)),EFICIENCIA_PADRAO)</f>
        <v>0.85</v>
      </c>
      <c r="Y1270" s="18" t="n">
        <f aca="false">IF($X1270&lt;=0,0,$W1270/$X1270)</f>
        <v>0</v>
      </c>
      <c r="Z1270" s="16" t="n">
        <f aca="false">$Y1270*$H1270*MM_PARA_M3_HA</f>
        <v>0</v>
      </c>
      <c r="AA1270" s="18" t="n">
        <f aca="false">IFERROR(INDEX(CADASTRO_PIVOS!$I$6:$I$41,MATCH($E1270,CADASTRO_PIVOS!$B$6:$B$41,0)),0)</f>
        <v>1071</v>
      </c>
      <c r="AB1270" s="18" t="n">
        <f aca="false">IF($Z1270&lt;=0,0,$Z1270/$AA1270)</f>
        <v>0</v>
      </c>
      <c r="AC1270" s="16" t="n">
        <f aca="false">IFERROR(INDEX(SEMANAS!$K$6:$K$71,MATCH($B1270,SEMANAS!$B$6:$B$71,0)),0)</f>
        <v>147</v>
      </c>
      <c r="AD1270" s="19" t="n">
        <f aca="false">IF($AC1270&lt;=0,0,$AB1270/$AC1270)</f>
        <v>0</v>
      </c>
      <c r="AE1270" s="8" t="str">
        <f aca="false">IF($K1270="SEM CULTURA","SEM CULTURA",IF($AA1270&lt;=0,"DADO PENDENTE",IF($AD1270&gt;LIMITE_CRITICO,"INVIAVEL",IF($AD1270&gt;LIMITE_ATENCAO,"CRITICO",IF($AD1270&gt;LIMITE_CONFORTAVEL,"ATENCAO","OK")))))</f>
        <v>SEM CULTURA</v>
      </c>
      <c r="AF1270" s="8" t="str">
        <f aca="false">$B1270&amp;"|"&amp;TEXT($AD1270,"0.000000")</f>
        <v>11|0.000000</v>
      </c>
      <c r="AG1270" s="18" t="n">
        <f aca="false">IF($K1270="SEM CULTURA",0,$T1270*$H1270)</f>
        <v>0</v>
      </c>
      <c r="AH1270" s="18" t="n">
        <f aca="false">IF($K1270="SEM CULTURA",0,$V1270*$H1270)</f>
        <v>0</v>
      </c>
      <c r="AI1270" s="18" t="n">
        <f aca="false">IF($K1270="SEM CULTURA",0,$W1270*$H1270)</f>
        <v>0</v>
      </c>
      <c r="AJ1270" s="18" t="n">
        <f aca="false">IF($K1270="SEM CULTURA",0,$S1270*$H1270)</f>
        <v>0</v>
      </c>
      <c r="AK1270" s="8" t="str">
        <f aca="false">$E1270&amp;"|"&amp;TEXT($AD1270,"0.000000")</f>
        <v>PV 119|0.000000</v>
      </c>
    </row>
    <row r="1271" customFormat="false" ht="15" hidden="false" customHeight="false" outlineLevel="0" collapsed="false">
      <c r="B1271" s="16" t="n">
        <v>12</v>
      </c>
      <c r="C1271" s="17" t="n">
        <f aca="false">DATA_INICIO_SAFRA+($B1271-1)*DIAS_POR_SEMANA</f>
        <v>46342</v>
      </c>
      <c r="D1271" s="17" t="n">
        <f aca="false">$C1271+DIAS_POR_SEMANA-1</f>
        <v>46348</v>
      </c>
      <c r="E1271" s="15" t="s">
        <v>278</v>
      </c>
      <c r="F1271" s="8" t="str">
        <f aca="false">IFERROR(INDEX(CADASTRO_PIVOS!$C$6:$C$41,MATCH($E1271,CADASTRO_PIVOS!$B$6:$B$41,0)),"?")</f>
        <v>RM06</v>
      </c>
      <c r="G1271" s="8" t="str">
        <f aca="false">IFERROR(INDEX(CADASTRO_PIVOS!$D$6:$D$41,MATCH($E1271,CADASTRO_PIVOS!$B$6:$B$41,0)),"?")</f>
        <v>TR06</v>
      </c>
      <c r="H1271" s="20" t="n">
        <f aca="false">IFERROR(INDEX(CADASTRO_PIVOS!$E$6:$E$41,MATCH($E1271,CADASTRO_PIVOS!$B$6:$B$41,0)),0)</f>
        <v>149.94</v>
      </c>
      <c r="I1271" s="16" t="n">
        <f aca="false">IFERROR(SUMIFS(ROTACAO_RDM!$B$6:$B$71,ROTACAO_RDM!$D$6:$D$71,$E1271,ROTACAO_RDM!$I$6:$I$71,"&lt;="&amp;$C1271+INT(DIAS_POR_SEMANA/2),ROTACAO_RDM!$J$6:$J$71,"&gt;="&amp;$C1271+INT(DIAS_POR_SEMANA/2)),0)</f>
        <v>0</v>
      </c>
      <c r="J1271" s="16" t="n">
        <f aca="false">IFERROR(MATCH($I1271,ROTACAO_RDM!$B$6:$B$71,0),0)</f>
        <v>0</v>
      </c>
      <c r="K1271" s="8" t="str">
        <f aca="false">IF($J1271=0,"SEM CULTURA",INDEX(ROTACAO_RDM!$F$6:$F$71,$J1271))</f>
        <v>SEM CULTURA</v>
      </c>
      <c r="L1271" s="8" t="str">
        <f aca="false">IF($J1271=0,"",INDEX(ROTACAO_RDM!$G$6:$G$71,$J1271))</f>
        <v/>
      </c>
      <c r="M1271" s="17" t="str">
        <f aca="false">IF($J1271=0,"",INDEX(ROTACAO_RDM!$I$6:$I$71,$J1271))</f>
        <v/>
      </c>
      <c r="N1271" s="16" t="n">
        <f aca="false">IF($J1271=0,0,MAX(0,$C1271+INT(DIAS_POR_SEMANA/2)-INDEX(ROTACAO_RDM!$I$6:$I$71,$J1271)))</f>
        <v>0</v>
      </c>
      <c r="O1271" s="19" t="n">
        <f aca="false">IF($J1271=0,0,MIN(1,$N1271/MAX(1,INDEX(ROTACAO_RDM!$K$6:$K$71,$J1271))))</f>
        <v>0</v>
      </c>
      <c r="P1271" s="16" t="n">
        <f aca="false">IF($J1271=0,0,IFERROR(MATCH(INDEX(ROTACAO_RDM!$N$6:$N$71,$J1271),PARAMETROS_CULTURAS!$B$6:$B$28,0),0))</f>
        <v>0</v>
      </c>
      <c r="Q1271" s="8" t="str">
        <f aca="false">IF($P1271=0,"-",IF($O1271&lt;=INDEX(PARAMETROS_CULTURAS!$F$6:$F$28,$P1271),"INICIAL",IF($O1271&lt;=INDEX(PARAMETROS_CULTURAS!$F$6:$F$28,$P1271)+INDEX(PARAMETROS_CULTURAS!$G$6:$G$28,$P1271),"DESENVOLVIMENTO",IF($O1271&lt;=INDEX(PARAMETROS_CULTURAS!$F$6:$F$28,$P1271)+INDEX(PARAMETROS_CULTURAS!$G$6:$G$28,$P1271)+INDEX(PARAMETROS_CULTURAS!$H$6:$H$28,$P1271),"MEDIA","FINAL"))))</f>
        <v>-</v>
      </c>
      <c r="R1271" s="24" t="n">
        <f aca="false">IF($P1271=0,0,IF($O1271&lt;=INDEX(PARAMETROS_CULTURAS!$F$6:$F$28,$P1271),INDEX(PARAMETROS_CULTURAS!$K$6:$K$28,$P1271),IF($O1271&lt;=INDEX(PARAMETROS_CULTURAS!$F$6:$F$28,$P1271)+INDEX(PARAMETROS_CULTURAS!$G$6:$G$28,$P1271),INDEX(PARAMETROS_CULTURAS!$K$6:$K$28,$P1271)+(INDEX(PARAMETROS_CULTURAS!$L$6:$L$28,$P1271)-INDEX(PARAMETROS_CULTURAS!$K$6:$K$28,$P1271))*($O1271-INDEX(PARAMETROS_CULTURAS!$F$6:$F$28,$P1271))/MAX(INDEX(PARAMETROS_CULTURAS!$G$6:$G$28,$P1271),0.0001),IF($O1271&lt;=INDEX(PARAMETROS_CULTURAS!$F$6:$F$28,$P1271)+INDEX(PARAMETROS_CULTURAS!$G$6:$G$28,$P1271)+INDEX(PARAMETROS_CULTURAS!$H$6:$H$28,$P1271),INDEX(PARAMETROS_CULTURAS!$L$6:$L$28,$P1271),INDEX(PARAMETROS_CULTURAS!$L$6:$L$28,$P1271)+(INDEX(PARAMETROS_CULTURAS!$M$6:$M$28,$P1271)-INDEX(PARAMETROS_CULTURAS!$L$6:$L$28,$P1271))*($O1271-INDEX(PARAMETROS_CULTURAS!$F$6:$F$28,$P1271)-INDEX(PARAMETROS_CULTURAS!$G$6:$G$28,$P1271)-INDEX(PARAMETROS_CULTURAS!$H$6:$H$28,$P1271))/MAX(INDEX(PARAMETROS_CULTURAS!$I$6:$I$28,$P1271),0.0001)))))</f>
        <v>0</v>
      </c>
      <c r="S1271" s="18" t="n">
        <f aca="false">IFERROR(INDEX(SEMANAS!$H$6:$H$71,MATCH($B1271,SEMANAS!$B$6:$B$71,0)),0)</f>
        <v>34.3</v>
      </c>
      <c r="T1271" s="18" t="n">
        <f aca="false">$R1271*$S1271</f>
        <v>0</v>
      </c>
      <c r="U1271" s="18" t="n">
        <f aca="false">IFERROR(INDEX(SEMANAS!$I$6:$I$71,MATCH($B1271,SEMANAS!$B$6:$B$71,0)),0)</f>
        <v>46.69</v>
      </c>
      <c r="V1271" s="18" t="n">
        <f aca="false">IFERROR(INDEX(SEMANAS!$J$6:$J$71,MATCH($B1271,SEMANAS!$B$6:$B$71,0)),0)</f>
        <v>37.352</v>
      </c>
      <c r="W1271" s="18" t="n">
        <f aca="false">MAX(0,$T1271-$V1271)</f>
        <v>0</v>
      </c>
      <c r="X1271" s="19" t="n">
        <f aca="false">IFERROR(INDEX(CADASTRO_PIVOS!$K$6:$K$41,MATCH($E1271,CADASTRO_PIVOS!$B$6:$B$41,0)),EFICIENCIA_PADRAO)</f>
        <v>0.85</v>
      </c>
      <c r="Y1271" s="18" t="n">
        <f aca="false">IF($X1271&lt;=0,0,$W1271/$X1271)</f>
        <v>0</v>
      </c>
      <c r="Z1271" s="16" t="n">
        <f aca="false">$Y1271*$H1271*MM_PARA_M3_HA</f>
        <v>0</v>
      </c>
      <c r="AA1271" s="18" t="n">
        <f aca="false">IFERROR(INDEX(CADASTRO_PIVOS!$I$6:$I$41,MATCH($E1271,CADASTRO_PIVOS!$B$6:$B$41,0)),0)</f>
        <v>1071</v>
      </c>
      <c r="AB1271" s="18" t="n">
        <f aca="false">IF($Z1271&lt;=0,0,$Z1271/$AA1271)</f>
        <v>0</v>
      </c>
      <c r="AC1271" s="16" t="n">
        <f aca="false">IFERROR(INDEX(SEMANAS!$K$6:$K$71,MATCH($B1271,SEMANAS!$B$6:$B$71,0)),0)</f>
        <v>147</v>
      </c>
      <c r="AD1271" s="19" t="n">
        <f aca="false">IF($AC1271&lt;=0,0,$AB1271/$AC1271)</f>
        <v>0</v>
      </c>
      <c r="AE1271" s="8" t="str">
        <f aca="false">IF($K1271="SEM CULTURA","SEM CULTURA",IF($AA1271&lt;=0,"DADO PENDENTE",IF($AD1271&gt;LIMITE_CRITICO,"INVIAVEL",IF($AD1271&gt;LIMITE_ATENCAO,"CRITICO",IF($AD1271&gt;LIMITE_CONFORTAVEL,"ATENCAO","OK")))))</f>
        <v>SEM CULTURA</v>
      </c>
      <c r="AF1271" s="8" t="str">
        <f aca="false">$B1271&amp;"|"&amp;TEXT($AD1271,"0.000000")</f>
        <v>12|0.000000</v>
      </c>
      <c r="AG1271" s="18" t="n">
        <f aca="false">IF($K1271="SEM CULTURA",0,$T1271*$H1271)</f>
        <v>0</v>
      </c>
      <c r="AH1271" s="18" t="n">
        <f aca="false">IF($K1271="SEM CULTURA",0,$V1271*$H1271)</f>
        <v>0</v>
      </c>
      <c r="AI1271" s="18" t="n">
        <f aca="false">IF($K1271="SEM CULTURA",0,$W1271*$H1271)</f>
        <v>0</v>
      </c>
      <c r="AJ1271" s="18" t="n">
        <f aca="false">IF($K1271="SEM CULTURA",0,$S1271*$H1271)</f>
        <v>0</v>
      </c>
      <c r="AK1271" s="8" t="str">
        <f aca="false">$E1271&amp;"|"&amp;TEXT($AD1271,"0.000000")</f>
        <v>PV 119|0.000000</v>
      </c>
    </row>
    <row r="1272" customFormat="false" ht="15" hidden="false" customHeight="false" outlineLevel="0" collapsed="false">
      <c r="B1272" s="16" t="n">
        <v>13</v>
      </c>
      <c r="C1272" s="17" t="n">
        <f aca="false">DATA_INICIO_SAFRA+($B1272-1)*DIAS_POR_SEMANA</f>
        <v>46349</v>
      </c>
      <c r="D1272" s="17" t="n">
        <f aca="false">$C1272+DIAS_POR_SEMANA-1</f>
        <v>46355</v>
      </c>
      <c r="E1272" s="15" t="s">
        <v>278</v>
      </c>
      <c r="F1272" s="8" t="str">
        <f aca="false">IFERROR(INDEX(CADASTRO_PIVOS!$C$6:$C$41,MATCH($E1272,CADASTRO_PIVOS!$B$6:$B$41,0)),"?")</f>
        <v>RM06</v>
      </c>
      <c r="G1272" s="8" t="str">
        <f aca="false">IFERROR(INDEX(CADASTRO_PIVOS!$D$6:$D$41,MATCH($E1272,CADASTRO_PIVOS!$B$6:$B$41,0)),"?")</f>
        <v>TR06</v>
      </c>
      <c r="H1272" s="20" t="n">
        <f aca="false">IFERROR(INDEX(CADASTRO_PIVOS!$E$6:$E$41,MATCH($E1272,CADASTRO_PIVOS!$B$6:$B$41,0)),0)</f>
        <v>149.94</v>
      </c>
      <c r="I1272" s="16" t="n">
        <f aca="false">IFERROR(SUMIFS(ROTACAO_RDM!$B$6:$B$71,ROTACAO_RDM!$D$6:$D$71,$E1272,ROTACAO_RDM!$I$6:$I$71,"&lt;="&amp;$C1272+INT(DIAS_POR_SEMANA/2),ROTACAO_RDM!$J$6:$J$71,"&gt;="&amp;$C1272+INT(DIAS_POR_SEMANA/2)),0)</f>
        <v>0</v>
      </c>
      <c r="J1272" s="16" t="n">
        <f aca="false">IFERROR(MATCH($I1272,ROTACAO_RDM!$B$6:$B$71,0),0)</f>
        <v>0</v>
      </c>
      <c r="K1272" s="8" t="str">
        <f aca="false">IF($J1272=0,"SEM CULTURA",INDEX(ROTACAO_RDM!$F$6:$F$71,$J1272))</f>
        <v>SEM CULTURA</v>
      </c>
      <c r="L1272" s="8" t="str">
        <f aca="false">IF($J1272=0,"",INDEX(ROTACAO_RDM!$G$6:$G$71,$J1272))</f>
        <v/>
      </c>
      <c r="M1272" s="17" t="str">
        <f aca="false">IF($J1272=0,"",INDEX(ROTACAO_RDM!$I$6:$I$71,$J1272))</f>
        <v/>
      </c>
      <c r="N1272" s="16" t="n">
        <f aca="false">IF($J1272=0,0,MAX(0,$C1272+INT(DIAS_POR_SEMANA/2)-INDEX(ROTACAO_RDM!$I$6:$I$71,$J1272)))</f>
        <v>0</v>
      </c>
      <c r="O1272" s="19" t="n">
        <f aca="false">IF($J1272=0,0,MIN(1,$N1272/MAX(1,INDEX(ROTACAO_RDM!$K$6:$K$71,$J1272))))</f>
        <v>0</v>
      </c>
      <c r="P1272" s="16" t="n">
        <f aca="false">IF($J1272=0,0,IFERROR(MATCH(INDEX(ROTACAO_RDM!$N$6:$N$71,$J1272),PARAMETROS_CULTURAS!$B$6:$B$28,0),0))</f>
        <v>0</v>
      </c>
      <c r="Q1272" s="8" t="str">
        <f aca="false">IF($P1272=0,"-",IF($O1272&lt;=INDEX(PARAMETROS_CULTURAS!$F$6:$F$28,$P1272),"INICIAL",IF($O1272&lt;=INDEX(PARAMETROS_CULTURAS!$F$6:$F$28,$P1272)+INDEX(PARAMETROS_CULTURAS!$G$6:$G$28,$P1272),"DESENVOLVIMENTO",IF($O1272&lt;=INDEX(PARAMETROS_CULTURAS!$F$6:$F$28,$P1272)+INDEX(PARAMETROS_CULTURAS!$G$6:$G$28,$P1272)+INDEX(PARAMETROS_CULTURAS!$H$6:$H$28,$P1272),"MEDIA","FINAL"))))</f>
        <v>-</v>
      </c>
      <c r="R1272" s="24" t="n">
        <f aca="false">IF($P1272=0,0,IF($O1272&lt;=INDEX(PARAMETROS_CULTURAS!$F$6:$F$28,$P1272),INDEX(PARAMETROS_CULTURAS!$K$6:$K$28,$P1272),IF($O1272&lt;=INDEX(PARAMETROS_CULTURAS!$F$6:$F$28,$P1272)+INDEX(PARAMETROS_CULTURAS!$G$6:$G$28,$P1272),INDEX(PARAMETROS_CULTURAS!$K$6:$K$28,$P1272)+(INDEX(PARAMETROS_CULTURAS!$L$6:$L$28,$P1272)-INDEX(PARAMETROS_CULTURAS!$K$6:$K$28,$P1272))*($O1272-INDEX(PARAMETROS_CULTURAS!$F$6:$F$28,$P1272))/MAX(INDEX(PARAMETROS_CULTURAS!$G$6:$G$28,$P1272),0.0001),IF($O1272&lt;=INDEX(PARAMETROS_CULTURAS!$F$6:$F$28,$P1272)+INDEX(PARAMETROS_CULTURAS!$G$6:$G$28,$P1272)+INDEX(PARAMETROS_CULTURAS!$H$6:$H$28,$P1272),INDEX(PARAMETROS_CULTURAS!$L$6:$L$28,$P1272),INDEX(PARAMETROS_CULTURAS!$L$6:$L$28,$P1272)+(INDEX(PARAMETROS_CULTURAS!$M$6:$M$28,$P1272)-INDEX(PARAMETROS_CULTURAS!$L$6:$L$28,$P1272))*($O1272-INDEX(PARAMETROS_CULTURAS!$F$6:$F$28,$P1272)-INDEX(PARAMETROS_CULTURAS!$G$6:$G$28,$P1272)-INDEX(PARAMETROS_CULTURAS!$H$6:$H$28,$P1272))/MAX(INDEX(PARAMETROS_CULTURAS!$I$6:$I$28,$P1272),0.0001)))))</f>
        <v>0</v>
      </c>
      <c r="S1272" s="18" t="n">
        <f aca="false">IFERROR(INDEX(SEMANAS!$H$6:$H$71,MATCH($B1272,SEMANAS!$B$6:$B$71,0)),0)</f>
        <v>34.3</v>
      </c>
      <c r="T1272" s="18" t="n">
        <f aca="false">$R1272*$S1272</f>
        <v>0</v>
      </c>
      <c r="U1272" s="18" t="n">
        <f aca="false">IFERROR(INDEX(SEMANAS!$I$6:$I$71,MATCH($B1272,SEMANAS!$B$6:$B$71,0)),0)</f>
        <v>46.69</v>
      </c>
      <c r="V1272" s="18" t="n">
        <f aca="false">IFERROR(INDEX(SEMANAS!$J$6:$J$71,MATCH($B1272,SEMANAS!$B$6:$B$71,0)),0)</f>
        <v>37.352</v>
      </c>
      <c r="W1272" s="18" t="n">
        <f aca="false">MAX(0,$T1272-$V1272)</f>
        <v>0</v>
      </c>
      <c r="X1272" s="19" t="n">
        <f aca="false">IFERROR(INDEX(CADASTRO_PIVOS!$K$6:$K$41,MATCH($E1272,CADASTRO_PIVOS!$B$6:$B$41,0)),EFICIENCIA_PADRAO)</f>
        <v>0.85</v>
      </c>
      <c r="Y1272" s="18" t="n">
        <f aca="false">IF($X1272&lt;=0,0,$W1272/$X1272)</f>
        <v>0</v>
      </c>
      <c r="Z1272" s="16" t="n">
        <f aca="false">$Y1272*$H1272*MM_PARA_M3_HA</f>
        <v>0</v>
      </c>
      <c r="AA1272" s="18" t="n">
        <f aca="false">IFERROR(INDEX(CADASTRO_PIVOS!$I$6:$I$41,MATCH($E1272,CADASTRO_PIVOS!$B$6:$B$41,0)),0)</f>
        <v>1071</v>
      </c>
      <c r="AB1272" s="18" t="n">
        <f aca="false">IF($Z1272&lt;=0,0,$Z1272/$AA1272)</f>
        <v>0</v>
      </c>
      <c r="AC1272" s="16" t="n">
        <f aca="false">IFERROR(INDEX(SEMANAS!$K$6:$K$71,MATCH($B1272,SEMANAS!$B$6:$B$71,0)),0)</f>
        <v>147</v>
      </c>
      <c r="AD1272" s="19" t="n">
        <f aca="false">IF($AC1272&lt;=0,0,$AB1272/$AC1272)</f>
        <v>0</v>
      </c>
      <c r="AE1272" s="8" t="str">
        <f aca="false">IF($K1272="SEM CULTURA","SEM CULTURA",IF($AA1272&lt;=0,"DADO PENDENTE",IF($AD1272&gt;LIMITE_CRITICO,"INVIAVEL",IF($AD1272&gt;LIMITE_ATENCAO,"CRITICO",IF($AD1272&gt;LIMITE_CONFORTAVEL,"ATENCAO","OK")))))</f>
        <v>SEM CULTURA</v>
      </c>
      <c r="AF1272" s="8" t="str">
        <f aca="false">$B1272&amp;"|"&amp;TEXT($AD1272,"0.000000")</f>
        <v>13|0.000000</v>
      </c>
      <c r="AG1272" s="18" t="n">
        <f aca="false">IF($K1272="SEM CULTURA",0,$T1272*$H1272)</f>
        <v>0</v>
      </c>
      <c r="AH1272" s="18" t="n">
        <f aca="false">IF($K1272="SEM CULTURA",0,$V1272*$H1272)</f>
        <v>0</v>
      </c>
      <c r="AI1272" s="18" t="n">
        <f aca="false">IF($K1272="SEM CULTURA",0,$W1272*$H1272)</f>
        <v>0</v>
      </c>
      <c r="AJ1272" s="18" t="n">
        <f aca="false">IF($K1272="SEM CULTURA",0,$S1272*$H1272)</f>
        <v>0</v>
      </c>
      <c r="AK1272" s="8" t="str">
        <f aca="false">$E1272&amp;"|"&amp;TEXT($AD1272,"0.000000")</f>
        <v>PV 119|0.000000</v>
      </c>
    </row>
    <row r="1273" customFormat="false" ht="15" hidden="false" customHeight="false" outlineLevel="0" collapsed="false">
      <c r="B1273" s="16" t="n">
        <v>14</v>
      </c>
      <c r="C1273" s="17" t="n">
        <f aca="false">DATA_INICIO_SAFRA+($B1273-1)*DIAS_POR_SEMANA</f>
        <v>46356</v>
      </c>
      <c r="D1273" s="17" t="n">
        <f aca="false">$C1273+DIAS_POR_SEMANA-1</f>
        <v>46362</v>
      </c>
      <c r="E1273" s="15" t="s">
        <v>278</v>
      </c>
      <c r="F1273" s="8" t="str">
        <f aca="false">IFERROR(INDEX(CADASTRO_PIVOS!$C$6:$C$41,MATCH($E1273,CADASTRO_PIVOS!$B$6:$B$41,0)),"?")</f>
        <v>RM06</v>
      </c>
      <c r="G1273" s="8" t="str">
        <f aca="false">IFERROR(INDEX(CADASTRO_PIVOS!$D$6:$D$41,MATCH($E1273,CADASTRO_PIVOS!$B$6:$B$41,0)),"?")</f>
        <v>TR06</v>
      </c>
      <c r="H1273" s="20" t="n">
        <f aca="false">IFERROR(INDEX(CADASTRO_PIVOS!$E$6:$E$41,MATCH($E1273,CADASTRO_PIVOS!$B$6:$B$41,0)),0)</f>
        <v>149.94</v>
      </c>
      <c r="I1273" s="16" t="n">
        <f aca="false">IFERROR(SUMIFS(ROTACAO_RDM!$B$6:$B$71,ROTACAO_RDM!$D$6:$D$71,$E1273,ROTACAO_RDM!$I$6:$I$71,"&lt;="&amp;$C1273+INT(DIAS_POR_SEMANA/2),ROTACAO_RDM!$J$6:$J$71,"&gt;="&amp;$C1273+INT(DIAS_POR_SEMANA/2)),0)</f>
        <v>0</v>
      </c>
      <c r="J1273" s="16" t="n">
        <f aca="false">IFERROR(MATCH($I1273,ROTACAO_RDM!$B$6:$B$71,0),0)</f>
        <v>0</v>
      </c>
      <c r="K1273" s="8" t="str">
        <f aca="false">IF($J1273=0,"SEM CULTURA",INDEX(ROTACAO_RDM!$F$6:$F$71,$J1273))</f>
        <v>SEM CULTURA</v>
      </c>
      <c r="L1273" s="8" t="str">
        <f aca="false">IF($J1273=0,"",INDEX(ROTACAO_RDM!$G$6:$G$71,$J1273))</f>
        <v/>
      </c>
      <c r="M1273" s="17" t="str">
        <f aca="false">IF($J1273=0,"",INDEX(ROTACAO_RDM!$I$6:$I$71,$J1273))</f>
        <v/>
      </c>
      <c r="N1273" s="16" t="n">
        <f aca="false">IF($J1273=0,0,MAX(0,$C1273+INT(DIAS_POR_SEMANA/2)-INDEX(ROTACAO_RDM!$I$6:$I$71,$J1273)))</f>
        <v>0</v>
      </c>
      <c r="O1273" s="19" t="n">
        <f aca="false">IF($J1273=0,0,MIN(1,$N1273/MAX(1,INDEX(ROTACAO_RDM!$K$6:$K$71,$J1273))))</f>
        <v>0</v>
      </c>
      <c r="P1273" s="16" t="n">
        <f aca="false">IF($J1273=0,0,IFERROR(MATCH(INDEX(ROTACAO_RDM!$N$6:$N$71,$J1273),PARAMETROS_CULTURAS!$B$6:$B$28,0),0))</f>
        <v>0</v>
      </c>
      <c r="Q1273" s="8" t="str">
        <f aca="false">IF($P1273=0,"-",IF($O1273&lt;=INDEX(PARAMETROS_CULTURAS!$F$6:$F$28,$P1273),"INICIAL",IF($O1273&lt;=INDEX(PARAMETROS_CULTURAS!$F$6:$F$28,$P1273)+INDEX(PARAMETROS_CULTURAS!$G$6:$G$28,$P1273),"DESENVOLVIMENTO",IF($O1273&lt;=INDEX(PARAMETROS_CULTURAS!$F$6:$F$28,$P1273)+INDEX(PARAMETROS_CULTURAS!$G$6:$G$28,$P1273)+INDEX(PARAMETROS_CULTURAS!$H$6:$H$28,$P1273),"MEDIA","FINAL"))))</f>
        <v>-</v>
      </c>
      <c r="R1273" s="24" t="n">
        <f aca="false">IF($P1273=0,0,IF($O1273&lt;=INDEX(PARAMETROS_CULTURAS!$F$6:$F$28,$P1273),INDEX(PARAMETROS_CULTURAS!$K$6:$K$28,$P1273),IF($O1273&lt;=INDEX(PARAMETROS_CULTURAS!$F$6:$F$28,$P1273)+INDEX(PARAMETROS_CULTURAS!$G$6:$G$28,$P1273),INDEX(PARAMETROS_CULTURAS!$K$6:$K$28,$P1273)+(INDEX(PARAMETROS_CULTURAS!$L$6:$L$28,$P1273)-INDEX(PARAMETROS_CULTURAS!$K$6:$K$28,$P1273))*($O1273-INDEX(PARAMETROS_CULTURAS!$F$6:$F$28,$P1273))/MAX(INDEX(PARAMETROS_CULTURAS!$G$6:$G$28,$P1273),0.0001),IF($O1273&lt;=INDEX(PARAMETROS_CULTURAS!$F$6:$F$28,$P1273)+INDEX(PARAMETROS_CULTURAS!$G$6:$G$28,$P1273)+INDEX(PARAMETROS_CULTURAS!$H$6:$H$28,$P1273),INDEX(PARAMETROS_CULTURAS!$L$6:$L$28,$P1273),INDEX(PARAMETROS_CULTURAS!$L$6:$L$28,$P1273)+(INDEX(PARAMETROS_CULTURAS!$M$6:$M$28,$P1273)-INDEX(PARAMETROS_CULTURAS!$L$6:$L$28,$P1273))*($O1273-INDEX(PARAMETROS_CULTURAS!$F$6:$F$28,$P1273)-INDEX(PARAMETROS_CULTURAS!$G$6:$G$28,$P1273)-INDEX(PARAMETROS_CULTURAS!$H$6:$H$28,$P1273))/MAX(INDEX(PARAMETROS_CULTURAS!$I$6:$I$28,$P1273),0.0001)))))</f>
        <v>0</v>
      </c>
      <c r="S1273" s="18" t="n">
        <f aca="false">IFERROR(INDEX(SEMANAS!$H$6:$H$71,MATCH($B1273,SEMANAS!$B$6:$B$71,0)),0)</f>
        <v>33.1</v>
      </c>
      <c r="T1273" s="18" t="n">
        <f aca="false">$R1273*$S1273</f>
        <v>0</v>
      </c>
      <c r="U1273" s="18" t="n">
        <f aca="false">IFERROR(INDEX(SEMANAS!$I$6:$I$71,MATCH($B1273,SEMANAS!$B$6:$B$71,0)),0)</f>
        <v>48.31</v>
      </c>
      <c r="V1273" s="18" t="n">
        <f aca="false">IFERROR(INDEX(SEMANAS!$J$6:$J$71,MATCH($B1273,SEMANAS!$B$6:$B$71,0)),0)</f>
        <v>38.648</v>
      </c>
      <c r="W1273" s="18" t="n">
        <f aca="false">MAX(0,$T1273-$V1273)</f>
        <v>0</v>
      </c>
      <c r="X1273" s="19" t="n">
        <f aca="false">IFERROR(INDEX(CADASTRO_PIVOS!$K$6:$K$41,MATCH($E1273,CADASTRO_PIVOS!$B$6:$B$41,0)),EFICIENCIA_PADRAO)</f>
        <v>0.85</v>
      </c>
      <c r="Y1273" s="18" t="n">
        <f aca="false">IF($X1273&lt;=0,0,$W1273/$X1273)</f>
        <v>0</v>
      </c>
      <c r="Z1273" s="16" t="n">
        <f aca="false">$Y1273*$H1273*MM_PARA_M3_HA</f>
        <v>0</v>
      </c>
      <c r="AA1273" s="18" t="n">
        <f aca="false">IFERROR(INDEX(CADASTRO_PIVOS!$I$6:$I$41,MATCH($E1273,CADASTRO_PIVOS!$B$6:$B$41,0)),0)</f>
        <v>1071</v>
      </c>
      <c r="AB1273" s="18" t="n">
        <f aca="false">IF($Z1273&lt;=0,0,$Z1273/$AA1273)</f>
        <v>0</v>
      </c>
      <c r="AC1273" s="16" t="n">
        <f aca="false">IFERROR(INDEX(SEMANAS!$K$6:$K$71,MATCH($B1273,SEMANAS!$B$6:$B$71,0)),0)</f>
        <v>147</v>
      </c>
      <c r="AD1273" s="19" t="n">
        <f aca="false">IF($AC1273&lt;=0,0,$AB1273/$AC1273)</f>
        <v>0</v>
      </c>
      <c r="AE1273" s="8" t="str">
        <f aca="false">IF($K1273="SEM CULTURA","SEM CULTURA",IF($AA1273&lt;=0,"DADO PENDENTE",IF($AD1273&gt;LIMITE_CRITICO,"INVIAVEL",IF($AD1273&gt;LIMITE_ATENCAO,"CRITICO",IF($AD1273&gt;LIMITE_CONFORTAVEL,"ATENCAO","OK")))))</f>
        <v>SEM CULTURA</v>
      </c>
      <c r="AF1273" s="8" t="str">
        <f aca="false">$B1273&amp;"|"&amp;TEXT($AD1273,"0.000000")</f>
        <v>14|0.000000</v>
      </c>
      <c r="AG1273" s="18" t="n">
        <f aca="false">IF($K1273="SEM CULTURA",0,$T1273*$H1273)</f>
        <v>0</v>
      </c>
      <c r="AH1273" s="18" t="n">
        <f aca="false">IF($K1273="SEM CULTURA",0,$V1273*$H1273)</f>
        <v>0</v>
      </c>
      <c r="AI1273" s="18" t="n">
        <f aca="false">IF($K1273="SEM CULTURA",0,$W1273*$H1273)</f>
        <v>0</v>
      </c>
      <c r="AJ1273" s="18" t="n">
        <f aca="false">IF($K1273="SEM CULTURA",0,$S1273*$H1273)</f>
        <v>0</v>
      </c>
      <c r="AK1273" s="8" t="str">
        <f aca="false">$E1273&amp;"|"&amp;TEXT($AD1273,"0.000000")</f>
        <v>PV 119|0.000000</v>
      </c>
    </row>
    <row r="1274" customFormat="false" ht="15" hidden="false" customHeight="false" outlineLevel="0" collapsed="false">
      <c r="B1274" s="16" t="n">
        <v>15</v>
      </c>
      <c r="C1274" s="17" t="n">
        <f aca="false">DATA_INICIO_SAFRA+($B1274-1)*DIAS_POR_SEMANA</f>
        <v>46363</v>
      </c>
      <c r="D1274" s="17" t="n">
        <f aca="false">$C1274+DIAS_POR_SEMANA-1</f>
        <v>46369</v>
      </c>
      <c r="E1274" s="15" t="s">
        <v>278</v>
      </c>
      <c r="F1274" s="8" t="str">
        <f aca="false">IFERROR(INDEX(CADASTRO_PIVOS!$C$6:$C$41,MATCH($E1274,CADASTRO_PIVOS!$B$6:$B$41,0)),"?")</f>
        <v>RM06</v>
      </c>
      <c r="G1274" s="8" t="str">
        <f aca="false">IFERROR(INDEX(CADASTRO_PIVOS!$D$6:$D$41,MATCH($E1274,CADASTRO_PIVOS!$B$6:$B$41,0)),"?")</f>
        <v>TR06</v>
      </c>
      <c r="H1274" s="20" t="n">
        <f aca="false">IFERROR(INDEX(CADASTRO_PIVOS!$E$6:$E$41,MATCH($E1274,CADASTRO_PIVOS!$B$6:$B$41,0)),0)</f>
        <v>149.94</v>
      </c>
      <c r="I1274" s="16" t="n">
        <f aca="false">IFERROR(SUMIFS(ROTACAO_RDM!$B$6:$B$71,ROTACAO_RDM!$D$6:$D$71,$E1274,ROTACAO_RDM!$I$6:$I$71,"&lt;="&amp;$C1274+INT(DIAS_POR_SEMANA/2),ROTACAO_RDM!$J$6:$J$71,"&gt;="&amp;$C1274+INT(DIAS_POR_SEMANA/2)),0)</f>
        <v>0</v>
      </c>
      <c r="J1274" s="16" t="n">
        <f aca="false">IFERROR(MATCH($I1274,ROTACAO_RDM!$B$6:$B$71,0),0)</f>
        <v>0</v>
      </c>
      <c r="K1274" s="8" t="str">
        <f aca="false">IF($J1274=0,"SEM CULTURA",INDEX(ROTACAO_RDM!$F$6:$F$71,$J1274))</f>
        <v>SEM CULTURA</v>
      </c>
      <c r="L1274" s="8" t="str">
        <f aca="false">IF($J1274=0,"",INDEX(ROTACAO_RDM!$G$6:$G$71,$J1274))</f>
        <v/>
      </c>
      <c r="M1274" s="17" t="str">
        <f aca="false">IF($J1274=0,"",INDEX(ROTACAO_RDM!$I$6:$I$71,$J1274))</f>
        <v/>
      </c>
      <c r="N1274" s="16" t="n">
        <f aca="false">IF($J1274=0,0,MAX(0,$C1274+INT(DIAS_POR_SEMANA/2)-INDEX(ROTACAO_RDM!$I$6:$I$71,$J1274)))</f>
        <v>0</v>
      </c>
      <c r="O1274" s="19" t="n">
        <f aca="false">IF($J1274=0,0,MIN(1,$N1274/MAX(1,INDEX(ROTACAO_RDM!$K$6:$K$71,$J1274))))</f>
        <v>0</v>
      </c>
      <c r="P1274" s="16" t="n">
        <f aca="false">IF($J1274=0,0,IFERROR(MATCH(INDEX(ROTACAO_RDM!$N$6:$N$71,$J1274),PARAMETROS_CULTURAS!$B$6:$B$28,0),0))</f>
        <v>0</v>
      </c>
      <c r="Q1274" s="8" t="str">
        <f aca="false">IF($P1274=0,"-",IF($O1274&lt;=INDEX(PARAMETROS_CULTURAS!$F$6:$F$28,$P1274),"INICIAL",IF($O1274&lt;=INDEX(PARAMETROS_CULTURAS!$F$6:$F$28,$P1274)+INDEX(PARAMETROS_CULTURAS!$G$6:$G$28,$P1274),"DESENVOLVIMENTO",IF($O1274&lt;=INDEX(PARAMETROS_CULTURAS!$F$6:$F$28,$P1274)+INDEX(PARAMETROS_CULTURAS!$G$6:$G$28,$P1274)+INDEX(PARAMETROS_CULTURAS!$H$6:$H$28,$P1274),"MEDIA","FINAL"))))</f>
        <v>-</v>
      </c>
      <c r="R1274" s="24" t="n">
        <f aca="false">IF($P1274=0,0,IF($O1274&lt;=INDEX(PARAMETROS_CULTURAS!$F$6:$F$28,$P1274),INDEX(PARAMETROS_CULTURAS!$K$6:$K$28,$P1274),IF($O1274&lt;=INDEX(PARAMETROS_CULTURAS!$F$6:$F$28,$P1274)+INDEX(PARAMETROS_CULTURAS!$G$6:$G$28,$P1274),INDEX(PARAMETROS_CULTURAS!$K$6:$K$28,$P1274)+(INDEX(PARAMETROS_CULTURAS!$L$6:$L$28,$P1274)-INDEX(PARAMETROS_CULTURAS!$K$6:$K$28,$P1274))*($O1274-INDEX(PARAMETROS_CULTURAS!$F$6:$F$28,$P1274))/MAX(INDEX(PARAMETROS_CULTURAS!$G$6:$G$28,$P1274),0.0001),IF($O1274&lt;=INDEX(PARAMETROS_CULTURAS!$F$6:$F$28,$P1274)+INDEX(PARAMETROS_CULTURAS!$G$6:$G$28,$P1274)+INDEX(PARAMETROS_CULTURAS!$H$6:$H$28,$P1274),INDEX(PARAMETROS_CULTURAS!$L$6:$L$28,$P1274),INDEX(PARAMETROS_CULTURAS!$L$6:$L$28,$P1274)+(INDEX(PARAMETROS_CULTURAS!$M$6:$M$28,$P1274)-INDEX(PARAMETROS_CULTURAS!$L$6:$L$28,$P1274))*($O1274-INDEX(PARAMETROS_CULTURAS!$F$6:$F$28,$P1274)-INDEX(PARAMETROS_CULTURAS!$G$6:$G$28,$P1274)-INDEX(PARAMETROS_CULTURAS!$H$6:$H$28,$P1274))/MAX(INDEX(PARAMETROS_CULTURAS!$I$6:$I$28,$P1274),0.0001)))))</f>
        <v>0</v>
      </c>
      <c r="S1274" s="18" t="n">
        <f aca="false">IFERROR(INDEX(SEMANAS!$H$6:$H$71,MATCH($B1274,SEMANAS!$B$6:$B$71,0)),0)</f>
        <v>32.9</v>
      </c>
      <c r="T1274" s="18" t="n">
        <f aca="false">$R1274*$S1274</f>
        <v>0</v>
      </c>
      <c r="U1274" s="18" t="n">
        <f aca="false">IFERROR(INDEX(SEMANAS!$I$6:$I$71,MATCH($B1274,SEMANAS!$B$6:$B$71,0)),0)</f>
        <v>48.58</v>
      </c>
      <c r="V1274" s="18" t="n">
        <f aca="false">IFERROR(INDEX(SEMANAS!$J$6:$J$71,MATCH($B1274,SEMANAS!$B$6:$B$71,0)),0)</f>
        <v>38.864</v>
      </c>
      <c r="W1274" s="18" t="n">
        <f aca="false">MAX(0,$T1274-$V1274)</f>
        <v>0</v>
      </c>
      <c r="X1274" s="19" t="n">
        <f aca="false">IFERROR(INDEX(CADASTRO_PIVOS!$K$6:$K$41,MATCH($E1274,CADASTRO_PIVOS!$B$6:$B$41,0)),EFICIENCIA_PADRAO)</f>
        <v>0.85</v>
      </c>
      <c r="Y1274" s="18" t="n">
        <f aca="false">IF($X1274&lt;=0,0,$W1274/$X1274)</f>
        <v>0</v>
      </c>
      <c r="Z1274" s="16" t="n">
        <f aca="false">$Y1274*$H1274*MM_PARA_M3_HA</f>
        <v>0</v>
      </c>
      <c r="AA1274" s="18" t="n">
        <f aca="false">IFERROR(INDEX(CADASTRO_PIVOS!$I$6:$I$41,MATCH($E1274,CADASTRO_PIVOS!$B$6:$B$41,0)),0)</f>
        <v>1071</v>
      </c>
      <c r="AB1274" s="18" t="n">
        <f aca="false">IF($Z1274&lt;=0,0,$Z1274/$AA1274)</f>
        <v>0</v>
      </c>
      <c r="AC1274" s="16" t="n">
        <f aca="false">IFERROR(INDEX(SEMANAS!$K$6:$K$71,MATCH($B1274,SEMANAS!$B$6:$B$71,0)),0)</f>
        <v>147</v>
      </c>
      <c r="AD1274" s="19" t="n">
        <f aca="false">IF($AC1274&lt;=0,0,$AB1274/$AC1274)</f>
        <v>0</v>
      </c>
      <c r="AE1274" s="8" t="str">
        <f aca="false">IF($K1274="SEM CULTURA","SEM CULTURA",IF($AA1274&lt;=0,"DADO PENDENTE",IF($AD1274&gt;LIMITE_CRITICO,"INVIAVEL",IF($AD1274&gt;LIMITE_ATENCAO,"CRITICO",IF($AD1274&gt;LIMITE_CONFORTAVEL,"ATENCAO","OK")))))</f>
        <v>SEM CULTURA</v>
      </c>
      <c r="AF1274" s="8" t="str">
        <f aca="false">$B1274&amp;"|"&amp;TEXT($AD1274,"0.000000")</f>
        <v>15|0.000000</v>
      </c>
      <c r="AG1274" s="18" t="n">
        <f aca="false">IF($K1274="SEM CULTURA",0,$T1274*$H1274)</f>
        <v>0</v>
      </c>
      <c r="AH1274" s="18" t="n">
        <f aca="false">IF($K1274="SEM CULTURA",0,$V1274*$H1274)</f>
        <v>0</v>
      </c>
      <c r="AI1274" s="18" t="n">
        <f aca="false">IF($K1274="SEM CULTURA",0,$W1274*$H1274)</f>
        <v>0</v>
      </c>
      <c r="AJ1274" s="18" t="n">
        <f aca="false">IF($K1274="SEM CULTURA",0,$S1274*$H1274)</f>
        <v>0</v>
      </c>
      <c r="AK1274" s="8" t="str">
        <f aca="false">$E1274&amp;"|"&amp;TEXT($AD1274,"0.000000")</f>
        <v>PV 119|0.000000</v>
      </c>
    </row>
    <row r="1275" customFormat="false" ht="15" hidden="false" customHeight="false" outlineLevel="0" collapsed="false">
      <c r="B1275" s="16" t="n">
        <v>16</v>
      </c>
      <c r="C1275" s="17" t="n">
        <f aca="false">DATA_INICIO_SAFRA+($B1275-1)*DIAS_POR_SEMANA</f>
        <v>46370</v>
      </c>
      <c r="D1275" s="17" t="n">
        <f aca="false">$C1275+DIAS_POR_SEMANA-1</f>
        <v>46376</v>
      </c>
      <c r="E1275" s="15" t="s">
        <v>278</v>
      </c>
      <c r="F1275" s="8" t="str">
        <f aca="false">IFERROR(INDEX(CADASTRO_PIVOS!$C$6:$C$41,MATCH($E1275,CADASTRO_PIVOS!$B$6:$B$41,0)),"?")</f>
        <v>RM06</v>
      </c>
      <c r="G1275" s="8" t="str">
        <f aca="false">IFERROR(INDEX(CADASTRO_PIVOS!$D$6:$D$41,MATCH($E1275,CADASTRO_PIVOS!$B$6:$B$41,0)),"?")</f>
        <v>TR06</v>
      </c>
      <c r="H1275" s="20" t="n">
        <f aca="false">IFERROR(INDEX(CADASTRO_PIVOS!$E$6:$E$41,MATCH($E1275,CADASTRO_PIVOS!$B$6:$B$41,0)),0)</f>
        <v>149.94</v>
      </c>
      <c r="I1275" s="16" t="n">
        <f aca="false">IFERROR(SUMIFS(ROTACAO_RDM!$B$6:$B$71,ROTACAO_RDM!$D$6:$D$71,$E1275,ROTACAO_RDM!$I$6:$I$71,"&lt;="&amp;$C1275+INT(DIAS_POR_SEMANA/2),ROTACAO_RDM!$J$6:$J$71,"&gt;="&amp;$C1275+INT(DIAS_POR_SEMANA/2)),0)</f>
        <v>0</v>
      </c>
      <c r="J1275" s="16" t="n">
        <f aca="false">IFERROR(MATCH($I1275,ROTACAO_RDM!$B$6:$B$71,0),0)</f>
        <v>0</v>
      </c>
      <c r="K1275" s="8" t="str">
        <f aca="false">IF($J1275=0,"SEM CULTURA",INDEX(ROTACAO_RDM!$F$6:$F$71,$J1275))</f>
        <v>SEM CULTURA</v>
      </c>
      <c r="L1275" s="8" t="str">
        <f aca="false">IF($J1275=0,"",INDEX(ROTACAO_RDM!$G$6:$G$71,$J1275))</f>
        <v/>
      </c>
      <c r="M1275" s="17" t="str">
        <f aca="false">IF($J1275=0,"",INDEX(ROTACAO_RDM!$I$6:$I$71,$J1275))</f>
        <v/>
      </c>
      <c r="N1275" s="16" t="n">
        <f aca="false">IF($J1275=0,0,MAX(0,$C1275+INT(DIAS_POR_SEMANA/2)-INDEX(ROTACAO_RDM!$I$6:$I$71,$J1275)))</f>
        <v>0</v>
      </c>
      <c r="O1275" s="19" t="n">
        <f aca="false">IF($J1275=0,0,MIN(1,$N1275/MAX(1,INDEX(ROTACAO_RDM!$K$6:$K$71,$J1275))))</f>
        <v>0</v>
      </c>
      <c r="P1275" s="16" t="n">
        <f aca="false">IF($J1275=0,0,IFERROR(MATCH(INDEX(ROTACAO_RDM!$N$6:$N$71,$J1275),PARAMETROS_CULTURAS!$B$6:$B$28,0),0))</f>
        <v>0</v>
      </c>
      <c r="Q1275" s="8" t="str">
        <f aca="false">IF($P1275=0,"-",IF($O1275&lt;=INDEX(PARAMETROS_CULTURAS!$F$6:$F$28,$P1275),"INICIAL",IF($O1275&lt;=INDEX(PARAMETROS_CULTURAS!$F$6:$F$28,$P1275)+INDEX(PARAMETROS_CULTURAS!$G$6:$G$28,$P1275),"DESENVOLVIMENTO",IF($O1275&lt;=INDEX(PARAMETROS_CULTURAS!$F$6:$F$28,$P1275)+INDEX(PARAMETROS_CULTURAS!$G$6:$G$28,$P1275)+INDEX(PARAMETROS_CULTURAS!$H$6:$H$28,$P1275),"MEDIA","FINAL"))))</f>
        <v>-</v>
      </c>
      <c r="R1275" s="24" t="n">
        <f aca="false">IF($P1275=0,0,IF($O1275&lt;=INDEX(PARAMETROS_CULTURAS!$F$6:$F$28,$P1275),INDEX(PARAMETROS_CULTURAS!$K$6:$K$28,$P1275),IF($O1275&lt;=INDEX(PARAMETROS_CULTURAS!$F$6:$F$28,$P1275)+INDEX(PARAMETROS_CULTURAS!$G$6:$G$28,$P1275),INDEX(PARAMETROS_CULTURAS!$K$6:$K$28,$P1275)+(INDEX(PARAMETROS_CULTURAS!$L$6:$L$28,$P1275)-INDEX(PARAMETROS_CULTURAS!$K$6:$K$28,$P1275))*($O1275-INDEX(PARAMETROS_CULTURAS!$F$6:$F$28,$P1275))/MAX(INDEX(PARAMETROS_CULTURAS!$G$6:$G$28,$P1275),0.0001),IF($O1275&lt;=INDEX(PARAMETROS_CULTURAS!$F$6:$F$28,$P1275)+INDEX(PARAMETROS_CULTURAS!$G$6:$G$28,$P1275)+INDEX(PARAMETROS_CULTURAS!$H$6:$H$28,$P1275),INDEX(PARAMETROS_CULTURAS!$L$6:$L$28,$P1275),INDEX(PARAMETROS_CULTURAS!$L$6:$L$28,$P1275)+(INDEX(PARAMETROS_CULTURAS!$M$6:$M$28,$P1275)-INDEX(PARAMETROS_CULTURAS!$L$6:$L$28,$P1275))*($O1275-INDEX(PARAMETROS_CULTURAS!$F$6:$F$28,$P1275)-INDEX(PARAMETROS_CULTURAS!$G$6:$G$28,$P1275)-INDEX(PARAMETROS_CULTURAS!$H$6:$H$28,$P1275))/MAX(INDEX(PARAMETROS_CULTURAS!$I$6:$I$28,$P1275),0.0001)))))</f>
        <v>0</v>
      </c>
      <c r="S1275" s="18" t="n">
        <f aca="false">IFERROR(INDEX(SEMANAS!$H$6:$H$71,MATCH($B1275,SEMANAS!$B$6:$B$71,0)),0)</f>
        <v>32.9</v>
      </c>
      <c r="T1275" s="18" t="n">
        <f aca="false">$R1275*$S1275</f>
        <v>0</v>
      </c>
      <c r="U1275" s="18" t="n">
        <f aca="false">IFERROR(INDEX(SEMANAS!$I$6:$I$71,MATCH($B1275,SEMANAS!$B$6:$B$71,0)),0)</f>
        <v>48.58</v>
      </c>
      <c r="V1275" s="18" t="n">
        <f aca="false">IFERROR(INDEX(SEMANAS!$J$6:$J$71,MATCH($B1275,SEMANAS!$B$6:$B$71,0)),0)</f>
        <v>38.864</v>
      </c>
      <c r="W1275" s="18" t="n">
        <f aca="false">MAX(0,$T1275-$V1275)</f>
        <v>0</v>
      </c>
      <c r="X1275" s="19" t="n">
        <f aca="false">IFERROR(INDEX(CADASTRO_PIVOS!$K$6:$K$41,MATCH($E1275,CADASTRO_PIVOS!$B$6:$B$41,0)),EFICIENCIA_PADRAO)</f>
        <v>0.85</v>
      </c>
      <c r="Y1275" s="18" t="n">
        <f aca="false">IF($X1275&lt;=0,0,$W1275/$X1275)</f>
        <v>0</v>
      </c>
      <c r="Z1275" s="16" t="n">
        <f aca="false">$Y1275*$H1275*MM_PARA_M3_HA</f>
        <v>0</v>
      </c>
      <c r="AA1275" s="18" t="n">
        <f aca="false">IFERROR(INDEX(CADASTRO_PIVOS!$I$6:$I$41,MATCH($E1275,CADASTRO_PIVOS!$B$6:$B$41,0)),0)</f>
        <v>1071</v>
      </c>
      <c r="AB1275" s="18" t="n">
        <f aca="false">IF($Z1275&lt;=0,0,$Z1275/$AA1275)</f>
        <v>0</v>
      </c>
      <c r="AC1275" s="16" t="n">
        <f aca="false">IFERROR(INDEX(SEMANAS!$K$6:$K$71,MATCH($B1275,SEMANAS!$B$6:$B$71,0)),0)</f>
        <v>147</v>
      </c>
      <c r="AD1275" s="19" t="n">
        <f aca="false">IF($AC1275&lt;=0,0,$AB1275/$AC1275)</f>
        <v>0</v>
      </c>
      <c r="AE1275" s="8" t="str">
        <f aca="false">IF($K1275="SEM CULTURA","SEM CULTURA",IF($AA1275&lt;=0,"DADO PENDENTE",IF($AD1275&gt;LIMITE_CRITICO,"INVIAVEL",IF($AD1275&gt;LIMITE_ATENCAO,"CRITICO",IF($AD1275&gt;LIMITE_CONFORTAVEL,"ATENCAO","OK")))))</f>
        <v>SEM CULTURA</v>
      </c>
      <c r="AF1275" s="8" t="str">
        <f aca="false">$B1275&amp;"|"&amp;TEXT($AD1275,"0.000000")</f>
        <v>16|0.000000</v>
      </c>
      <c r="AG1275" s="18" t="n">
        <f aca="false">IF($K1275="SEM CULTURA",0,$T1275*$H1275)</f>
        <v>0</v>
      </c>
      <c r="AH1275" s="18" t="n">
        <f aca="false">IF($K1275="SEM CULTURA",0,$V1275*$H1275)</f>
        <v>0</v>
      </c>
      <c r="AI1275" s="18" t="n">
        <f aca="false">IF($K1275="SEM CULTURA",0,$W1275*$H1275)</f>
        <v>0</v>
      </c>
      <c r="AJ1275" s="18" t="n">
        <f aca="false">IF($K1275="SEM CULTURA",0,$S1275*$H1275)</f>
        <v>0</v>
      </c>
      <c r="AK1275" s="8" t="str">
        <f aca="false">$E1275&amp;"|"&amp;TEXT($AD1275,"0.000000")</f>
        <v>PV 119|0.000000</v>
      </c>
    </row>
    <row r="1276" customFormat="false" ht="15" hidden="false" customHeight="false" outlineLevel="0" collapsed="false">
      <c r="B1276" s="16" t="n">
        <v>17</v>
      </c>
      <c r="C1276" s="17" t="n">
        <f aca="false">DATA_INICIO_SAFRA+($B1276-1)*DIAS_POR_SEMANA</f>
        <v>46377</v>
      </c>
      <c r="D1276" s="17" t="n">
        <f aca="false">$C1276+DIAS_POR_SEMANA-1</f>
        <v>46383</v>
      </c>
      <c r="E1276" s="15" t="s">
        <v>278</v>
      </c>
      <c r="F1276" s="8" t="str">
        <f aca="false">IFERROR(INDEX(CADASTRO_PIVOS!$C$6:$C$41,MATCH($E1276,CADASTRO_PIVOS!$B$6:$B$41,0)),"?")</f>
        <v>RM06</v>
      </c>
      <c r="G1276" s="8" t="str">
        <f aca="false">IFERROR(INDEX(CADASTRO_PIVOS!$D$6:$D$41,MATCH($E1276,CADASTRO_PIVOS!$B$6:$B$41,0)),"?")</f>
        <v>TR06</v>
      </c>
      <c r="H1276" s="20" t="n">
        <f aca="false">IFERROR(INDEX(CADASTRO_PIVOS!$E$6:$E$41,MATCH($E1276,CADASTRO_PIVOS!$B$6:$B$41,0)),0)</f>
        <v>149.94</v>
      </c>
      <c r="I1276" s="16" t="n">
        <f aca="false">IFERROR(SUMIFS(ROTACAO_RDM!$B$6:$B$71,ROTACAO_RDM!$D$6:$D$71,$E1276,ROTACAO_RDM!$I$6:$I$71,"&lt;="&amp;$C1276+INT(DIAS_POR_SEMANA/2),ROTACAO_RDM!$J$6:$J$71,"&gt;="&amp;$C1276+INT(DIAS_POR_SEMANA/2)),0)</f>
        <v>32</v>
      </c>
      <c r="J1276" s="16" t="n">
        <f aca="false">IFERROR(MATCH($I1276,ROTACAO_RDM!$B$6:$B$71,0),0)</f>
        <v>32</v>
      </c>
      <c r="K1276" s="8" t="str">
        <f aca="false">IF($J1276=0,"SEM CULTURA",INDEX(ROTACAO_RDM!$F$6:$F$71,$J1276))</f>
        <v>TABACO</v>
      </c>
      <c r="L1276" s="8" t="str">
        <f aca="false">IF($J1276=0,"",INDEX(ROTACAO_RDM!$G$6:$G$71,$J1276))</f>
        <v>PVH-2343</v>
      </c>
      <c r="M1276" s="17" t="n">
        <f aca="false">IF($J1276=0,"",INDEX(ROTACAO_RDM!$I$6:$I$71,$J1276))</f>
        <v>46380</v>
      </c>
      <c r="N1276" s="16" t="n">
        <f aca="false">IF($J1276=0,0,MAX(0,$C1276+INT(DIAS_POR_SEMANA/2)-INDEX(ROTACAO_RDM!$I$6:$I$71,$J1276)))</f>
        <v>0</v>
      </c>
      <c r="O1276" s="19" t="n">
        <f aca="false">IF($J1276=0,0,MIN(1,$N1276/MAX(1,INDEX(ROTACAO_RDM!$K$6:$K$71,$J1276))))</f>
        <v>0</v>
      </c>
      <c r="P1276" s="16" t="n">
        <f aca="false">IF($J1276=0,0,IFERROR(MATCH(INDEX(ROTACAO_RDM!$N$6:$N$71,$J1276),PARAMETROS_CULTURAS!$B$6:$B$28,0),0))</f>
        <v>9</v>
      </c>
      <c r="Q1276" s="8" t="str">
        <f aca="false">IF($P1276=0,"-",IF($O1276&lt;=INDEX(PARAMETROS_CULTURAS!$F$6:$F$28,$P1276),"INICIAL",IF($O1276&lt;=INDEX(PARAMETROS_CULTURAS!$F$6:$F$28,$P1276)+INDEX(PARAMETROS_CULTURAS!$G$6:$G$28,$P1276),"DESENVOLVIMENTO",IF($O1276&lt;=INDEX(PARAMETROS_CULTURAS!$F$6:$F$28,$P1276)+INDEX(PARAMETROS_CULTURAS!$G$6:$G$28,$P1276)+INDEX(PARAMETROS_CULTURAS!$H$6:$H$28,$P1276),"MEDIA","FINAL"))))</f>
        <v>INICIAL</v>
      </c>
      <c r="R1276" s="24" t="n">
        <f aca="false">IF($P1276=0,0,IF($O1276&lt;=INDEX(PARAMETROS_CULTURAS!$F$6:$F$28,$P1276),INDEX(PARAMETROS_CULTURAS!$K$6:$K$28,$P1276),IF($O1276&lt;=INDEX(PARAMETROS_CULTURAS!$F$6:$F$28,$P1276)+INDEX(PARAMETROS_CULTURAS!$G$6:$G$28,$P1276),INDEX(PARAMETROS_CULTURAS!$K$6:$K$28,$P1276)+(INDEX(PARAMETROS_CULTURAS!$L$6:$L$28,$P1276)-INDEX(PARAMETROS_CULTURAS!$K$6:$K$28,$P1276))*($O1276-INDEX(PARAMETROS_CULTURAS!$F$6:$F$28,$P1276))/MAX(INDEX(PARAMETROS_CULTURAS!$G$6:$G$28,$P1276),0.0001),IF($O1276&lt;=INDEX(PARAMETROS_CULTURAS!$F$6:$F$28,$P1276)+INDEX(PARAMETROS_CULTURAS!$G$6:$G$28,$P1276)+INDEX(PARAMETROS_CULTURAS!$H$6:$H$28,$P1276),INDEX(PARAMETROS_CULTURAS!$L$6:$L$28,$P1276),INDEX(PARAMETROS_CULTURAS!$L$6:$L$28,$P1276)+(INDEX(PARAMETROS_CULTURAS!$M$6:$M$28,$P1276)-INDEX(PARAMETROS_CULTURAS!$L$6:$L$28,$P1276))*($O1276-INDEX(PARAMETROS_CULTURAS!$F$6:$F$28,$P1276)-INDEX(PARAMETROS_CULTURAS!$G$6:$G$28,$P1276)-INDEX(PARAMETROS_CULTURAS!$H$6:$H$28,$P1276))/MAX(INDEX(PARAMETROS_CULTURAS!$I$6:$I$28,$P1276),0.0001)))))</f>
        <v>0.35</v>
      </c>
      <c r="S1276" s="18" t="n">
        <f aca="false">IFERROR(INDEX(SEMANAS!$H$6:$H$71,MATCH($B1276,SEMANAS!$B$6:$B$71,0)),0)</f>
        <v>32.9</v>
      </c>
      <c r="T1276" s="18" t="n">
        <f aca="false">$R1276*$S1276</f>
        <v>11.515</v>
      </c>
      <c r="U1276" s="18" t="n">
        <f aca="false">IFERROR(INDEX(SEMANAS!$I$6:$I$71,MATCH($B1276,SEMANAS!$B$6:$B$71,0)),0)</f>
        <v>48.58</v>
      </c>
      <c r="V1276" s="18" t="n">
        <f aca="false">IFERROR(INDEX(SEMANAS!$J$6:$J$71,MATCH($B1276,SEMANAS!$B$6:$B$71,0)),0)</f>
        <v>38.864</v>
      </c>
      <c r="W1276" s="18" t="n">
        <f aca="false">MAX(0,$T1276-$V1276)</f>
        <v>0</v>
      </c>
      <c r="X1276" s="19" t="n">
        <f aca="false">IFERROR(INDEX(CADASTRO_PIVOS!$K$6:$K$41,MATCH($E1276,CADASTRO_PIVOS!$B$6:$B$41,0)),EFICIENCIA_PADRAO)</f>
        <v>0.85</v>
      </c>
      <c r="Y1276" s="18" t="n">
        <f aca="false">IF($X1276&lt;=0,0,$W1276/$X1276)</f>
        <v>0</v>
      </c>
      <c r="Z1276" s="16" t="n">
        <f aca="false">$Y1276*$H1276*MM_PARA_M3_HA</f>
        <v>0</v>
      </c>
      <c r="AA1276" s="18" t="n">
        <f aca="false">IFERROR(INDEX(CADASTRO_PIVOS!$I$6:$I$41,MATCH($E1276,CADASTRO_PIVOS!$B$6:$B$41,0)),0)</f>
        <v>1071</v>
      </c>
      <c r="AB1276" s="18" t="n">
        <f aca="false">IF($Z1276&lt;=0,0,$Z1276/$AA1276)</f>
        <v>0</v>
      </c>
      <c r="AC1276" s="16" t="n">
        <f aca="false">IFERROR(INDEX(SEMANAS!$K$6:$K$71,MATCH($B1276,SEMANAS!$B$6:$B$71,0)),0)</f>
        <v>147</v>
      </c>
      <c r="AD1276" s="19" t="n">
        <f aca="false">IF($AC1276&lt;=0,0,$AB1276/$AC1276)</f>
        <v>0</v>
      </c>
      <c r="AE1276" s="8" t="str">
        <f aca="false">IF($K1276="SEM CULTURA","SEM CULTURA",IF($AA1276&lt;=0,"DADO PENDENTE",IF($AD1276&gt;LIMITE_CRITICO,"INVIAVEL",IF($AD1276&gt;LIMITE_ATENCAO,"CRITICO",IF($AD1276&gt;LIMITE_CONFORTAVEL,"ATENCAO","OK")))))</f>
        <v>OK</v>
      </c>
      <c r="AF1276" s="8" t="str">
        <f aca="false">$B1276&amp;"|"&amp;TEXT($AD1276,"0.000000")</f>
        <v>17|0.000000</v>
      </c>
      <c r="AG1276" s="18" t="n">
        <f aca="false">IF($K1276="SEM CULTURA",0,$T1276*$H1276)</f>
        <v>1726.5591</v>
      </c>
      <c r="AH1276" s="18" t="n">
        <f aca="false">IF($K1276="SEM CULTURA",0,$V1276*$H1276)</f>
        <v>5827.26816</v>
      </c>
      <c r="AI1276" s="18" t="n">
        <f aca="false">IF($K1276="SEM CULTURA",0,$W1276*$H1276)</f>
        <v>0</v>
      </c>
      <c r="AJ1276" s="18" t="n">
        <f aca="false">IF($K1276="SEM CULTURA",0,$S1276*$H1276)</f>
        <v>4933.026</v>
      </c>
      <c r="AK1276" s="8" t="str">
        <f aca="false">$E1276&amp;"|"&amp;TEXT($AD1276,"0.000000")</f>
        <v>PV 119|0.000000</v>
      </c>
    </row>
    <row r="1277" customFormat="false" ht="15" hidden="false" customHeight="false" outlineLevel="0" collapsed="false">
      <c r="B1277" s="16" t="n">
        <v>18</v>
      </c>
      <c r="C1277" s="17" t="n">
        <f aca="false">DATA_INICIO_SAFRA+($B1277-1)*DIAS_POR_SEMANA</f>
        <v>46384</v>
      </c>
      <c r="D1277" s="17" t="n">
        <f aca="false">$C1277+DIAS_POR_SEMANA-1</f>
        <v>46390</v>
      </c>
      <c r="E1277" s="15" t="s">
        <v>278</v>
      </c>
      <c r="F1277" s="8" t="str">
        <f aca="false">IFERROR(INDEX(CADASTRO_PIVOS!$C$6:$C$41,MATCH($E1277,CADASTRO_PIVOS!$B$6:$B$41,0)),"?")</f>
        <v>RM06</v>
      </c>
      <c r="G1277" s="8" t="str">
        <f aca="false">IFERROR(INDEX(CADASTRO_PIVOS!$D$6:$D$41,MATCH($E1277,CADASTRO_PIVOS!$B$6:$B$41,0)),"?")</f>
        <v>TR06</v>
      </c>
      <c r="H1277" s="20" t="n">
        <f aca="false">IFERROR(INDEX(CADASTRO_PIVOS!$E$6:$E$41,MATCH($E1277,CADASTRO_PIVOS!$B$6:$B$41,0)),0)</f>
        <v>149.94</v>
      </c>
      <c r="I1277" s="16" t="n">
        <f aca="false">IFERROR(SUMIFS(ROTACAO_RDM!$B$6:$B$71,ROTACAO_RDM!$D$6:$D$71,$E1277,ROTACAO_RDM!$I$6:$I$71,"&lt;="&amp;$C1277+INT(DIAS_POR_SEMANA/2),ROTACAO_RDM!$J$6:$J$71,"&gt;="&amp;$C1277+INT(DIAS_POR_SEMANA/2)),0)</f>
        <v>32</v>
      </c>
      <c r="J1277" s="16" t="n">
        <f aca="false">IFERROR(MATCH($I1277,ROTACAO_RDM!$B$6:$B$71,0),0)</f>
        <v>32</v>
      </c>
      <c r="K1277" s="8" t="str">
        <f aca="false">IF($J1277=0,"SEM CULTURA",INDEX(ROTACAO_RDM!$F$6:$F$71,$J1277))</f>
        <v>TABACO</v>
      </c>
      <c r="L1277" s="8" t="str">
        <f aca="false">IF($J1277=0,"",INDEX(ROTACAO_RDM!$G$6:$G$71,$J1277))</f>
        <v>PVH-2343</v>
      </c>
      <c r="M1277" s="17" t="n">
        <f aca="false">IF($J1277=0,"",INDEX(ROTACAO_RDM!$I$6:$I$71,$J1277))</f>
        <v>46380</v>
      </c>
      <c r="N1277" s="16" t="n">
        <f aca="false">IF($J1277=0,0,MAX(0,$C1277+INT(DIAS_POR_SEMANA/2)-INDEX(ROTACAO_RDM!$I$6:$I$71,$J1277)))</f>
        <v>7</v>
      </c>
      <c r="O1277" s="19" t="n">
        <f aca="false">IF($J1277=0,0,MIN(1,$N1277/MAX(1,INDEX(ROTACAO_RDM!$K$6:$K$71,$J1277))))</f>
        <v>0.04375</v>
      </c>
      <c r="P1277" s="16" t="n">
        <f aca="false">IF($J1277=0,0,IFERROR(MATCH(INDEX(ROTACAO_RDM!$N$6:$N$71,$J1277),PARAMETROS_CULTURAS!$B$6:$B$28,0),0))</f>
        <v>9</v>
      </c>
      <c r="Q1277" s="8" t="str">
        <f aca="false">IF($P1277=0,"-",IF($O1277&lt;=INDEX(PARAMETROS_CULTURAS!$F$6:$F$28,$P1277),"INICIAL",IF($O1277&lt;=INDEX(PARAMETROS_CULTURAS!$F$6:$F$28,$P1277)+INDEX(PARAMETROS_CULTURAS!$G$6:$G$28,$P1277),"DESENVOLVIMENTO",IF($O1277&lt;=INDEX(PARAMETROS_CULTURAS!$F$6:$F$28,$P1277)+INDEX(PARAMETROS_CULTURAS!$G$6:$G$28,$P1277)+INDEX(PARAMETROS_CULTURAS!$H$6:$H$28,$P1277),"MEDIA","FINAL"))))</f>
        <v>INICIAL</v>
      </c>
      <c r="R1277" s="24" t="n">
        <f aca="false">IF($P1277=0,0,IF($O1277&lt;=INDEX(PARAMETROS_CULTURAS!$F$6:$F$28,$P1277),INDEX(PARAMETROS_CULTURAS!$K$6:$K$28,$P1277),IF($O1277&lt;=INDEX(PARAMETROS_CULTURAS!$F$6:$F$28,$P1277)+INDEX(PARAMETROS_CULTURAS!$G$6:$G$28,$P1277),INDEX(PARAMETROS_CULTURAS!$K$6:$K$28,$P1277)+(INDEX(PARAMETROS_CULTURAS!$L$6:$L$28,$P1277)-INDEX(PARAMETROS_CULTURAS!$K$6:$K$28,$P1277))*($O1277-INDEX(PARAMETROS_CULTURAS!$F$6:$F$28,$P1277))/MAX(INDEX(PARAMETROS_CULTURAS!$G$6:$G$28,$P1277),0.0001),IF($O1277&lt;=INDEX(PARAMETROS_CULTURAS!$F$6:$F$28,$P1277)+INDEX(PARAMETROS_CULTURAS!$G$6:$G$28,$P1277)+INDEX(PARAMETROS_CULTURAS!$H$6:$H$28,$P1277),INDEX(PARAMETROS_CULTURAS!$L$6:$L$28,$P1277),INDEX(PARAMETROS_CULTURAS!$L$6:$L$28,$P1277)+(INDEX(PARAMETROS_CULTURAS!$M$6:$M$28,$P1277)-INDEX(PARAMETROS_CULTURAS!$L$6:$L$28,$P1277))*($O1277-INDEX(PARAMETROS_CULTURAS!$F$6:$F$28,$P1277)-INDEX(PARAMETROS_CULTURAS!$G$6:$G$28,$P1277)-INDEX(PARAMETROS_CULTURAS!$H$6:$H$28,$P1277))/MAX(INDEX(PARAMETROS_CULTURAS!$I$6:$I$28,$P1277),0.0001)))))</f>
        <v>0.35</v>
      </c>
      <c r="S1277" s="18" t="n">
        <f aca="false">IFERROR(INDEX(SEMANAS!$H$6:$H$71,MATCH($B1277,SEMANAS!$B$6:$B$71,0)),0)</f>
        <v>33.2</v>
      </c>
      <c r="T1277" s="18" t="n">
        <f aca="false">$R1277*$S1277</f>
        <v>11.62</v>
      </c>
      <c r="U1277" s="18" t="n">
        <f aca="false">IFERROR(INDEX(SEMANAS!$I$6:$I$71,MATCH($B1277,SEMANAS!$B$6:$B$71,0)),0)</f>
        <v>47.11</v>
      </c>
      <c r="V1277" s="18" t="n">
        <f aca="false">IFERROR(INDEX(SEMANAS!$J$6:$J$71,MATCH($B1277,SEMANAS!$B$6:$B$71,0)),0)</f>
        <v>37.688</v>
      </c>
      <c r="W1277" s="18" t="n">
        <f aca="false">MAX(0,$T1277-$V1277)</f>
        <v>0</v>
      </c>
      <c r="X1277" s="19" t="n">
        <f aca="false">IFERROR(INDEX(CADASTRO_PIVOS!$K$6:$K$41,MATCH($E1277,CADASTRO_PIVOS!$B$6:$B$41,0)),EFICIENCIA_PADRAO)</f>
        <v>0.85</v>
      </c>
      <c r="Y1277" s="18" t="n">
        <f aca="false">IF($X1277&lt;=0,0,$W1277/$X1277)</f>
        <v>0</v>
      </c>
      <c r="Z1277" s="16" t="n">
        <f aca="false">$Y1277*$H1277*MM_PARA_M3_HA</f>
        <v>0</v>
      </c>
      <c r="AA1277" s="18" t="n">
        <f aca="false">IFERROR(INDEX(CADASTRO_PIVOS!$I$6:$I$41,MATCH($E1277,CADASTRO_PIVOS!$B$6:$B$41,0)),0)</f>
        <v>1071</v>
      </c>
      <c r="AB1277" s="18" t="n">
        <f aca="false">IF($Z1277&lt;=0,0,$Z1277/$AA1277)</f>
        <v>0</v>
      </c>
      <c r="AC1277" s="16" t="n">
        <f aca="false">IFERROR(INDEX(SEMANAS!$K$6:$K$71,MATCH($B1277,SEMANAS!$B$6:$B$71,0)),0)</f>
        <v>147</v>
      </c>
      <c r="AD1277" s="19" t="n">
        <f aca="false">IF($AC1277&lt;=0,0,$AB1277/$AC1277)</f>
        <v>0</v>
      </c>
      <c r="AE1277" s="8" t="str">
        <f aca="false">IF($K1277="SEM CULTURA","SEM CULTURA",IF($AA1277&lt;=0,"DADO PENDENTE",IF($AD1277&gt;LIMITE_CRITICO,"INVIAVEL",IF($AD1277&gt;LIMITE_ATENCAO,"CRITICO",IF($AD1277&gt;LIMITE_CONFORTAVEL,"ATENCAO","OK")))))</f>
        <v>OK</v>
      </c>
      <c r="AF1277" s="8" t="str">
        <f aca="false">$B1277&amp;"|"&amp;TEXT($AD1277,"0.000000")</f>
        <v>18|0.000000</v>
      </c>
      <c r="AG1277" s="18" t="n">
        <f aca="false">IF($K1277="SEM CULTURA",0,$T1277*$H1277)</f>
        <v>1742.3028</v>
      </c>
      <c r="AH1277" s="18" t="n">
        <f aca="false">IF($K1277="SEM CULTURA",0,$V1277*$H1277)</f>
        <v>5650.93872</v>
      </c>
      <c r="AI1277" s="18" t="n">
        <f aca="false">IF($K1277="SEM CULTURA",0,$W1277*$H1277)</f>
        <v>0</v>
      </c>
      <c r="AJ1277" s="18" t="n">
        <f aca="false">IF($K1277="SEM CULTURA",0,$S1277*$H1277)</f>
        <v>4978.008</v>
      </c>
      <c r="AK1277" s="8" t="str">
        <f aca="false">$E1277&amp;"|"&amp;TEXT($AD1277,"0.000000")</f>
        <v>PV 119|0.000000</v>
      </c>
    </row>
    <row r="1278" customFormat="false" ht="15" hidden="false" customHeight="false" outlineLevel="0" collapsed="false">
      <c r="B1278" s="16" t="n">
        <v>19</v>
      </c>
      <c r="C1278" s="17" t="n">
        <f aca="false">DATA_INICIO_SAFRA+($B1278-1)*DIAS_POR_SEMANA</f>
        <v>46391</v>
      </c>
      <c r="D1278" s="17" t="n">
        <f aca="false">$C1278+DIAS_POR_SEMANA-1</f>
        <v>46397</v>
      </c>
      <c r="E1278" s="15" t="s">
        <v>278</v>
      </c>
      <c r="F1278" s="8" t="str">
        <f aca="false">IFERROR(INDEX(CADASTRO_PIVOS!$C$6:$C$41,MATCH($E1278,CADASTRO_PIVOS!$B$6:$B$41,0)),"?")</f>
        <v>RM06</v>
      </c>
      <c r="G1278" s="8" t="str">
        <f aca="false">IFERROR(INDEX(CADASTRO_PIVOS!$D$6:$D$41,MATCH($E1278,CADASTRO_PIVOS!$B$6:$B$41,0)),"?")</f>
        <v>TR06</v>
      </c>
      <c r="H1278" s="20" t="n">
        <f aca="false">IFERROR(INDEX(CADASTRO_PIVOS!$E$6:$E$41,MATCH($E1278,CADASTRO_PIVOS!$B$6:$B$41,0)),0)</f>
        <v>149.94</v>
      </c>
      <c r="I1278" s="16" t="n">
        <f aca="false">IFERROR(SUMIFS(ROTACAO_RDM!$B$6:$B$71,ROTACAO_RDM!$D$6:$D$71,$E1278,ROTACAO_RDM!$I$6:$I$71,"&lt;="&amp;$C1278+INT(DIAS_POR_SEMANA/2),ROTACAO_RDM!$J$6:$J$71,"&gt;="&amp;$C1278+INT(DIAS_POR_SEMANA/2)),0)</f>
        <v>32</v>
      </c>
      <c r="J1278" s="16" t="n">
        <f aca="false">IFERROR(MATCH($I1278,ROTACAO_RDM!$B$6:$B$71,0),0)</f>
        <v>32</v>
      </c>
      <c r="K1278" s="8" t="str">
        <f aca="false">IF($J1278=0,"SEM CULTURA",INDEX(ROTACAO_RDM!$F$6:$F$71,$J1278))</f>
        <v>TABACO</v>
      </c>
      <c r="L1278" s="8" t="str">
        <f aca="false">IF($J1278=0,"",INDEX(ROTACAO_RDM!$G$6:$G$71,$J1278))</f>
        <v>PVH-2343</v>
      </c>
      <c r="M1278" s="17" t="n">
        <f aca="false">IF($J1278=0,"",INDEX(ROTACAO_RDM!$I$6:$I$71,$J1278))</f>
        <v>46380</v>
      </c>
      <c r="N1278" s="16" t="n">
        <f aca="false">IF($J1278=0,0,MAX(0,$C1278+INT(DIAS_POR_SEMANA/2)-INDEX(ROTACAO_RDM!$I$6:$I$71,$J1278)))</f>
        <v>14</v>
      </c>
      <c r="O1278" s="19" t="n">
        <f aca="false">IF($J1278=0,0,MIN(1,$N1278/MAX(1,INDEX(ROTACAO_RDM!$K$6:$K$71,$J1278))))</f>
        <v>0.0875</v>
      </c>
      <c r="P1278" s="16" t="n">
        <f aca="false">IF($J1278=0,0,IFERROR(MATCH(INDEX(ROTACAO_RDM!$N$6:$N$71,$J1278),PARAMETROS_CULTURAS!$B$6:$B$28,0),0))</f>
        <v>9</v>
      </c>
      <c r="Q1278" s="8" t="str">
        <f aca="false">IF($P1278=0,"-",IF($O1278&lt;=INDEX(PARAMETROS_CULTURAS!$F$6:$F$28,$P1278),"INICIAL",IF($O1278&lt;=INDEX(PARAMETROS_CULTURAS!$F$6:$F$28,$P1278)+INDEX(PARAMETROS_CULTURAS!$G$6:$G$28,$P1278),"DESENVOLVIMENTO",IF($O1278&lt;=INDEX(PARAMETROS_CULTURAS!$F$6:$F$28,$P1278)+INDEX(PARAMETROS_CULTURAS!$G$6:$G$28,$P1278)+INDEX(PARAMETROS_CULTURAS!$H$6:$H$28,$P1278),"MEDIA","FINAL"))))</f>
        <v>INICIAL</v>
      </c>
      <c r="R1278" s="24" t="n">
        <f aca="false">IF($P1278=0,0,IF($O1278&lt;=INDEX(PARAMETROS_CULTURAS!$F$6:$F$28,$P1278),INDEX(PARAMETROS_CULTURAS!$K$6:$K$28,$P1278),IF($O1278&lt;=INDEX(PARAMETROS_CULTURAS!$F$6:$F$28,$P1278)+INDEX(PARAMETROS_CULTURAS!$G$6:$G$28,$P1278),INDEX(PARAMETROS_CULTURAS!$K$6:$K$28,$P1278)+(INDEX(PARAMETROS_CULTURAS!$L$6:$L$28,$P1278)-INDEX(PARAMETROS_CULTURAS!$K$6:$K$28,$P1278))*($O1278-INDEX(PARAMETROS_CULTURAS!$F$6:$F$28,$P1278))/MAX(INDEX(PARAMETROS_CULTURAS!$G$6:$G$28,$P1278),0.0001),IF($O1278&lt;=INDEX(PARAMETROS_CULTURAS!$F$6:$F$28,$P1278)+INDEX(PARAMETROS_CULTURAS!$G$6:$G$28,$P1278)+INDEX(PARAMETROS_CULTURAS!$H$6:$H$28,$P1278),INDEX(PARAMETROS_CULTURAS!$L$6:$L$28,$P1278),INDEX(PARAMETROS_CULTURAS!$L$6:$L$28,$P1278)+(INDEX(PARAMETROS_CULTURAS!$M$6:$M$28,$P1278)-INDEX(PARAMETROS_CULTURAS!$L$6:$L$28,$P1278))*($O1278-INDEX(PARAMETROS_CULTURAS!$F$6:$F$28,$P1278)-INDEX(PARAMETROS_CULTURAS!$G$6:$G$28,$P1278)-INDEX(PARAMETROS_CULTURAS!$H$6:$H$28,$P1278))/MAX(INDEX(PARAMETROS_CULTURAS!$I$6:$I$28,$P1278),0.0001)))))</f>
        <v>0.35</v>
      </c>
      <c r="S1278" s="18" t="n">
        <f aca="false">IFERROR(INDEX(SEMANAS!$H$6:$H$71,MATCH($B1278,SEMANAS!$B$6:$B$71,0)),0)</f>
        <v>33.6</v>
      </c>
      <c r="T1278" s="18" t="n">
        <f aca="false">$R1278*$S1278</f>
        <v>11.76</v>
      </c>
      <c r="U1278" s="18" t="n">
        <f aca="false">IFERROR(INDEX(SEMANAS!$I$6:$I$71,MATCH($B1278,SEMANAS!$B$6:$B$71,0)),0)</f>
        <v>45.15</v>
      </c>
      <c r="V1278" s="18" t="n">
        <f aca="false">IFERROR(INDEX(SEMANAS!$J$6:$J$71,MATCH($B1278,SEMANAS!$B$6:$B$71,0)),0)</f>
        <v>36.12</v>
      </c>
      <c r="W1278" s="18" t="n">
        <f aca="false">MAX(0,$T1278-$V1278)</f>
        <v>0</v>
      </c>
      <c r="X1278" s="19" t="n">
        <f aca="false">IFERROR(INDEX(CADASTRO_PIVOS!$K$6:$K$41,MATCH($E1278,CADASTRO_PIVOS!$B$6:$B$41,0)),EFICIENCIA_PADRAO)</f>
        <v>0.85</v>
      </c>
      <c r="Y1278" s="18" t="n">
        <f aca="false">IF($X1278&lt;=0,0,$W1278/$X1278)</f>
        <v>0</v>
      </c>
      <c r="Z1278" s="16" t="n">
        <f aca="false">$Y1278*$H1278*MM_PARA_M3_HA</f>
        <v>0</v>
      </c>
      <c r="AA1278" s="18" t="n">
        <f aca="false">IFERROR(INDEX(CADASTRO_PIVOS!$I$6:$I$41,MATCH($E1278,CADASTRO_PIVOS!$B$6:$B$41,0)),0)</f>
        <v>1071</v>
      </c>
      <c r="AB1278" s="18" t="n">
        <f aca="false">IF($Z1278&lt;=0,0,$Z1278/$AA1278)</f>
        <v>0</v>
      </c>
      <c r="AC1278" s="16" t="n">
        <f aca="false">IFERROR(INDEX(SEMANAS!$K$6:$K$71,MATCH($B1278,SEMANAS!$B$6:$B$71,0)),0)</f>
        <v>147</v>
      </c>
      <c r="AD1278" s="19" t="n">
        <f aca="false">IF($AC1278&lt;=0,0,$AB1278/$AC1278)</f>
        <v>0</v>
      </c>
      <c r="AE1278" s="8" t="str">
        <f aca="false">IF($K1278="SEM CULTURA","SEM CULTURA",IF($AA1278&lt;=0,"DADO PENDENTE",IF($AD1278&gt;LIMITE_CRITICO,"INVIAVEL",IF($AD1278&gt;LIMITE_ATENCAO,"CRITICO",IF($AD1278&gt;LIMITE_CONFORTAVEL,"ATENCAO","OK")))))</f>
        <v>OK</v>
      </c>
      <c r="AF1278" s="8" t="str">
        <f aca="false">$B1278&amp;"|"&amp;TEXT($AD1278,"0.000000")</f>
        <v>19|0.000000</v>
      </c>
      <c r="AG1278" s="18" t="n">
        <f aca="false">IF($K1278="SEM CULTURA",0,$T1278*$H1278)</f>
        <v>1763.2944</v>
      </c>
      <c r="AH1278" s="18" t="n">
        <f aca="false">IF($K1278="SEM CULTURA",0,$V1278*$H1278)</f>
        <v>5415.8328</v>
      </c>
      <c r="AI1278" s="18" t="n">
        <f aca="false">IF($K1278="SEM CULTURA",0,$W1278*$H1278)</f>
        <v>0</v>
      </c>
      <c r="AJ1278" s="18" t="n">
        <f aca="false">IF($K1278="SEM CULTURA",0,$S1278*$H1278)</f>
        <v>5037.984</v>
      </c>
      <c r="AK1278" s="8" t="str">
        <f aca="false">$E1278&amp;"|"&amp;TEXT($AD1278,"0.000000")</f>
        <v>PV 119|0.000000</v>
      </c>
    </row>
    <row r="1279" customFormat="false" ht="15" hidden="false" customHeight="false" outlineLevel="0" collapsed="false">
      <c r="B1279" s="16" t="n">
        <v>20</v>
      </c>
      <c r="C1279" s="17" t="n">
        <f aca="false">DATA_INICIO_SAFRA+($B1279-1)*DIAS_POR_SEMANA</f>
        <v>46398</v>
      </c>
      <c r="D1279" s="17" t="n">
        <f aca="false">$C1279+DIAS_POR_SEMANA-1</f>
        <v>46404</v>
      </c>
      <c r="E1279" s="15" t="s">
        <v>278</v>
      </c>
      <c r="F1279" s="8" t="str">
        <f aca="false">IFERROR(INDEX(CADASTRO_PIVOS!$C$6:$C$41,MATCH($E1279,CADASTRO_PIVOS!$B$6:$B$41,0)),"?")</f>
        <v>RM06</v>
      </c>
      <c r="G1279" s="8" t="str">
        <f aca="false">IFERROR(INDEX(CADASTRO_PIVOS!$D$6:$D$41,MATCH($E1279,CADASTRO_PIVOS!$B$6:$B$41,0)),"?")</f>
        <v>TR06</v>
      </c>
      <c r="H1279" s="20" t="n">
        <f aca="false">IFERROR(INDEX(CADASTRO_PIVOS!$E$6:$E$41,MATCH($E1279,CADASTRO_PIVOS!$B$6:$B$41,0)),0)</f>
        <v>149.94</v>
      </c>
      <c r="I1279" s="16" t="n">
        <f aca="false">IFERROR(SUMIFS(ROTACAO_RDM!$B$6:$B$71,ROTACAO_RDM!$D$6:$D$71,$E1279,ROTACAO_RDM!$I$6:$I$71,"&lt;="&amp;$C1279+INT(DIAS_POR_SEMANA/2),ROTACAO_RDM!$J$6:$J$71,"&gt;="&amp;$C1279+INT(DIAS_POR_SEMANA/2)),0)</f>
        <v>32</v>
      </c>
      <c r="J1279" s="16" t="n">
        <f aca="false">IFERROR(MATCH($I1279,ROTACAO_RDM!$B$6:$B$71,0),0)</f>
        <v>32</v>
      </c>
      <c r="K1279" s="8" t="str">
        <f aca="false">IF($J1279=0,"SEM CULTURA",INDEX(ROTACAO_RDM!$F$6:$F$71,$J1279))</f>
        <v>TABACO</v>
      </c>
      <c r="L1279" s="8" t="str">
        <f aca="false">IF($J1279=0,"",INDEX(ROTACAO_RDM!$G$6:$G$71,$J1279))</f>
        <v>PVH-2343</v>
      </c>
      <c r="M1279" s="17" t="n">
        <f aca="false">IF($J1279=0,"",INDEX(ROTACAO_RDM!$I$6:$I$71,$J1279))</f>
        <v>46380</v>
      </c>
      <c r="N1279" s="16" t="n">
        <f aca="false">IF($J1279=0,0,MAX(0,$C1279+INT(DIAS_POR_SEMANA/2)-INDEX(ROTACAO_RDM!$I$6:$I$71,$J1279)))</f>
        <v>21</v>
      </c>
      <c r="O1279" s="19" t="n">
        <f aca="false">IF($J1279=0,0,MIN(1,$N1279/MAX(1,INDEX(ROTACAO_RDM!$K$6:$K$71,$J1279))))</f>
        <v>0.13125</v>
      </c>
      <c r="P1279" s="16" t="n">
        <f aca="false">IF($J1279=0,0,IFERROR(MATCH(INDEX(ROTACAO_RDM!$N$6:$N$71,$J1279),PARAMETROS_CULTURAS!$B$6:$B$28,0),0))</f>
        <v>9</v>
      </c>
      <c r="Q1279" s="8" t="str">
        <f aca="false">IF($P1279=0,"-",IF($O1279&lt;=INDEX(PARAMETROS_CULTURAS!$F$6:$F$28,$P1279),"INICIAL",IF($O1279&lt;=INDEX(PARAMETROS_CULTURAS!$F$6:$F$28,$P1279)+INDEX(PARAMETROS_CULTURAS!$G$6:$G$28,$P1279),"DESENVOLVIMENTO",IF($O1279&lt;=INDEX(PARAMETROS_CULTURAS!$F$6:$F$28,$P1279)+INDEX(PARAMETROS_CULTURAS!$G$6:$G$28,$P1279)+INDEX(PARAMETROS_CULTURAS!$H$6:$H$28,$P1279),"MEDIA","FINAL"))))</f>
        <v>INICIAL</v>
      </c>
      <c r="R1279" s="24" t="n">
        <f aca="false">IF($P1279=0,0,IF($O1279&lt;=INDEX(PARAMETROS_CULTURAS!$F$6:$F$28,$P1279),INDEX(PARAMETROS_CULTURAS!$K$6:$K$28,$P1279),IF($O1279&lt;=INDEX(PARAMETROS_CULTURAS!$F$6:$F$28,$P1279)+INDEX(PARAMETROS_CULTURAS!$G$6:$G$28,$P1279),INDEX(PARAMETROS_CULTURAS!$K$6:$K$28,$P1279)+(INDEX(PARAMETROS_CULTURAS!$L$6:$L$28,$P1279)-INDEX(PARAMETROS_CULTURAS!$K$6:$K$28,$P1279))*($O1279-INDEX(PARAMETROS_CULTURAS!$F$6:$F$28,$P1279))/MAX(INDEX(PARAMETROS_CULTURAS!$G$6:$G$28,$P1279),0.0001),IF($O1279&lt;=INDEX(PARAMETROS_CULTURAS!$F$6:$F$28,$P1279)+INDEX(PARAMETROS_CULTURAS!$G$6:$G$28,$P1279)+INDEX(PARAMETROS_CULTURAS!$H$6:$H$28,$P1279),INDEX(PARAMETROS_CULTURAS!$L$6:$L$28,$P1279),INDEX(PARAMETROS_CULTURAS!$L$6:$L$28,$P1279)+(INDEX(PARAMETROS_CULTURAS!$M$6:$M$28,$P1279)-INDEX(PARAMETROS_CULTURAS!$L$6:$L$28,$P1279))*($O1279-INDEX(PARAMETROS_CULTURAS!$F$6:$F$28,$P1279)-INDEX(PARAMETROS_CULTURAS!$G$6:$G$28,$P1279)-INDEX(PARAMETROS_CULTURAS!$H$6:$H$28,$P1279))/MAX(INDEX(PARAMETROS_CULTURAS!$I$6:$I$28,$P1279),0.0001)))))</f>
        <v>0.35</v>
      </c>
      <c r="S1279" s="18" t="n">
        <f aca="false">IFERROR(INDEX(SEMANAS!$H$6:$H$71,MATCH($B1279,SEMANAS!$B$6:$B$71,0)),0)</f>
        <v>33.6</v>
      </c>
      <c r="T1279" s="18" t="n">
        <f aca="false">$R1279*$S1279</f>
        <v>11.76</v>
      </c>
      <c r="U1279" s="18" t="n">
        <f aca="false">IFERROR(INDEX(SEMANAS!$I$6:$I$71,MATCH($B1279,SEMANAS!$B$6:$B$71,0)),0)</f>
        <v>45.15</v>
      </c>
      <c r="V1279" s="18" t="n">
        <f aca="false">IFERROR(INDEX(SEMANAS!$J$6:$J$71,MATCH($B1279,SEMANAS!$B$6:$B$71,0)),0)</f>
        <v>36.12</v>
      </c>
      <c r="W1279" s="18" t="n">
        <f aca="false">MAX(0,$T1279-$V1279)</f>
        <v>0</v>
      </c>
      <c r="X1279" s="19" t="n">
        <f aca="false">IFERROR(INDEX(CADASTRO_PIVOS!$K$6:$K$41,MATCH($E1279,CADASTRO_PIVOS!$B$6:$B$41,0)),EFICIENCIA_PADRAO)</f>
        <v>0.85</v>
      </c>
      <c r="Y1279" s="18" t="n">
        <f aca="false">IF($X1279&lt;=0,0,$W1279/$X1279)</f>
        <v>0</v>
      </c>
      <c r="Z1279" s="16" t="n">
        <f aca="false">$Y1279*$H1279*MM_PARA_M3_HA</f>
        <v>0</v>
      </c>
      <c r="AA1279" s="18" t="n">
        <f aca="false">IFERROR(INDEX(CADASTRO_PIVOS!$I$6:$I$41,MATCH($E1279,CADASTRO_PIVOS!$B$6:$B$41,0)),0)</f>
        <v>1071</v>
      </c>
      <c r="AB1279" s="18" t="n">
        <f aca="false">IF($Z1279&lt;=0,0,$Z1279/$AA1279)</f>
        <v>0</v>
      </c>
      <c r="AC1279" s="16" t="n">
        <f aca="false">IFERROR(INDEX(SEMANAS!$K$6:$K$71,MATCH($B1279,SEMANAS!$B$6:$B$71,0)),0)</f>
        <v>147</v>
      </c>
      <c r="AD1279" s="19" t="n">
        <f aca="false">IF($AC1279&lt;=0,0,$AB1279/$AC1279)</f>
        <v>0</v>
      </c>
      <c r="AE1279" s="8" t="str">
        <f aca="false">IF($K1279="SEM CULTURA","SEM CULTURA",IF($AA1279&lt;=0,"DADO PENDENTE",IF($AD1279&gt;LIMITE_CRITICO,"INVIAVEL",IF($AD1279&gt;LIMITE_ATENCAO,"CRITICO",IF($AD1279&gt;LIMITE_CONFORTAVEL,"ATENCAO","OK")))))</f>
        <v>OK</v>
      </c>
      <c r="AF1279" s="8" t="str">
        <f aca="false">$B1279&amp;"|"&amp;TEXT($AD1279,"0.000000")</f>
        <v>20|0.000000</v>
      </c>
      <c r="AG1279" s="18" t="n">
        <f aca="false">IF($K1279="SEM CULTURA",0,$T1279*$H1279)</f>
        <v>1763.2944</v>
      </c>
      <c r="AH1279" s="18" t="n">
        <f aca="false">IF($K1279="SEM CULTURA",0,$V1279*$H1279)</f>
        <v>5415.8328</v>
      </c>
      <c r="AI1279" s="18" t="n">
        <f aca="false">IF($K1279="SEM CULTURA",0,$W1279*$H1279)</f>
        <v>0</v>
      </c>
      <c r="AJ1279" s="18" t="n">
        <f aca="false">IF($K1279="SEM CULTURA",0,$S1279*$H1279)</f>
        <v>5037.984</v>
      </c>
      <c r="AK1279" s="8" t="str">
        <f aca="false">$E1279&amp;"|"&amp;TEXT($AD1279,"0.000000")</f>
        <v>PV 119|0.000000</v>
      </c>
    </row>
    <row r="1280" customFormat="false" ht="15" hidden="false" customHeight="false" outlineLevel="0" collapsed="false">
      <c r="B1280" s="16" t="n">
        <v>21</v>
      </c>
      <c r="C1280" s="17" t="n">
        <f aca="false">DATA_INICIO_SAFRA+($B1280-1)*DIAS_POR_SEMANA</f>
        <v>46405</v>
      </c>
      <c r="D1280" s="17" t="n">
        <f aca="false">$C1280+DIAS_POR_SEMANA-1</f>
        <v>46411</v>
      </c>
      <c r="E1280" s="15" t="s">
        <v>278</v>
      </c>
      <c r="F1280" s="8" t="str">
        <f aca="false">IFERROR(INDEX(CADASTRO_PIVOS!$C$6:$C$41,MATCH($E1280,CADASTRO_PIVOS!$B$6:$B$41,0)),"?")</f>
        <v>RM06</v>
      </c>
      <c r="G1280" s="8" t="str">
        <f aca="false">IFERROR(INDEX(CADASTRO_PIVOS!$D$6:$D$41,MATCH($E1280,CADASTRO_PIVOS!$B$6:$B$41,0)),"?")</f>
        <v>TR06</v>
      </c>
      <c r="H1280" s="20" t="n">
        <f aca="false">IFERROR(INDEX(CADASTRO_PIVOS!$E$6:$E$41,MATCH($E1280,CADASTRO_PIVOS!$B$6:$B$41,0)),0)</f>
        <v>149.94</v>
      </c>
      <c r="I1280" s="16" t="n">
        <f aca="false">IFERROR(SUMIFS(ROTACAO_RDM!$B$6:$B$71,ROTACAO_RDM!$D$6:$D$71,$E1280,ROTACAO_RDM!$I$6:$I$71,"&lt;="&amp;$C1280+INT(DIAS_POR_SEMANA/2),ROTACAO_RDM!$J$6:$J$71,"&gt;="&amp;$C1280+INT(DIAS_POR_SEMANA/2)),0)</f>
        <v>32</v>
      </c>
      <c r="J1280" s="16" t="n">
        <f aca="false">IFERROR(MATCH($I1280,ROTACAO_RDM!$B$6:$B$71,0),0)</f>
        <v>32</v>
      </c>
      <c r="K1280" s="8" t="str">
        <f aca="false">IF($J1280=0,"SEM CULTURA",INDEX(ROTACAO_RDM!$F$6:$F$71,$J1280))</f>
        <v>TABACO</v>
      </c>
      <c r="L1280" s="8" t="str">
        <f aca="false">IF($J1280=0,"",INDEX(ROTACAO_RDM!$G$6:$G$71,$J1280))</f>
        <v>PVH-2343</v>
      </c>
      <c r="M1280" s="17" t="n">
        <f aca="false">IF($J1280=0,"",INDEX(ROTACAO_RDM!$I$6:$I$71,$J1280))</f>
        <v>46380</v>
      </c>
      <c r="N1280" s="16" t="n">
        <f aca="false">IF($J1280=0,0,MAX(0,$C1280+INT(DIAS_POR_SEMANA/2)-INDEX(ROTACAO_RDM!$I$6:$I$71,$J1280)))</f>
        <v>28</v>
      </c>
      <c r="O1280" s="19" t="n">
        <f aca="false">IF($J1280=0,0,MIN(1,$N1280/MAX(1,INDEX(ROTACAO_RDM!$K$6:$K$71,$J1280))))</f>
        <v>0.175</v>
      </c>
      <c r="P1280" s="16" t="n">
        <f aca="false">IF($J1280=0,0,IFERROR(MATCH(INDEX(ROTACAO_RDM!$N$6:$N$71,$J1280),PARAMETROS_CULTURAS!$B$6:$B$28,0),0))</f>
        <v>9</v>
      </c>
      <c r="Q1280" s="8" t="str">
        <f aca="false">IF($P1280=0,"-",IF($O1280&lt;=INDEX(PARAMETROS_CULTURAS!$F$6:$F$28,$P1280),"INICIAL",IF($O1280&lt;=INDEX(PARAMETROS_CULTURAS!$F$6:$F$28,$P1280)+INDEX(PARAMETROS_CULTURAS!$G$6:$G$28,$P1280),"DESENVOLVIMENTO",IF($O1280&lt;=INDEX(PARAMETROS_CULTURAS!$F$6:$F$28,$P1280)+INDEX(PARAMETROS_CULTURAS!$G$6:$G$28,$P1280)+INDEX(PARAMETROS_CULTURAS!$H$6:$H$28,$P1280),"MEDIA","FINAL"))))</f>
        <v>INICIAL</v>
      </c>
      <c r="R1280" s="24" t="n">
        <f aca="false">IF($P1280=0,0,IF($O1280&lt;=INDEX(PARAMETROS_CULTURAS!$F$6:$F$28,$P1280),INDEX(PARAMETROS_CULTURAS!$K$6:$K$28,$P1280),IF($O1280&lt;=INDEX(PARAMETROS_CULTURAS!$F$6:$F$28,$P1280)+INDEX(PARAMETROS_CULTURAS!$G$6:$G$28,$P1280),INDEX(PARAMETROS_CULTURAS!$K$6:$K$28,$P1280)+(INDEX(PARAMETROS_CULTURAS!$L$6:$L$28,$P1280)-INDEX(PARAMETROS_CULTURAS!$K$6:$K$28,$P1280))*($O1280-INDEX(PARAMETROS_CULTURAS!$F$6:$F$28,$P1280))/MAX(INDEX(PARAMETROS_CULTURAS!$G$6:$G$28,$P1280),0.0001),IF($O1280&lt;=INDEX(PARAMETROS_CULTURAS!$F$6:$F$28,$P1280)+INDEX(PARAMETROS_CULTURAS!$G$6:$G$28,$P1280)+INDEX(PARAMETROS_CULTURAS!$H$6:$H$28,$P1280),INDEX(PARAMETROS_CULTURAS!$L$6:$L$28,$P1280),INDEX(PARAMETROS_CULTURAS!$L$6:$L$28,$P1280)+(INDEX(PARAMETROS_CULTURAS!$M$6:$M$28,$P1280)-INDEX(PARAMETROS_CULTURAS!$L$6:$L$28,$P1280))*($O1280-INDEX(PARAMETROS_CULTURAS!$F$6:$F$28,$P1280)-INDEX(PARAMETROS_CULTURAS!$G$6:$G$28,$P1280)-INDEX(PARAMETROS_CULTURAS!$H$6:$H$28,$P1280))/MAX(INDEX(PARAMETROS_CULTURAS!$I$6:$I$28,$P1280),0.0001)))))</f>
        <v>0.35</v>
      </c>
      <c r="S1280" s="18" t="n">
        <f aca="false">IFERROR(INDEX(SEMANAS!$H$6:$H$71,MATCH($B1280,SEMANAS!$B$6:$B$71,0)),0)</f>
        <v>33.6</v>
      </c>
      <c r="T1280" s="18" t="n">
        <f aca="false">$R1280*$S1280</f>
        <v>11.76</v>
      </c>
      <c r="U1280" s="18" t="n">
        <f aca="false">IFERROR(INDEX(SEMANAS!$I$6:$I$71,MATCH($B1280,SEMANAS!$B$6:$B$71,0)),0)</f>
        <v>45.15</v>
      </c>
      <c r="V1280" s="18" t="n">
        <f aca="false">IFERROR(INDEX(SEMANAS!$J$6:$J$71,MATCH($B1280,SEMANAS!$B$6:$B$71,0)),0)</f>
        <v>36.12</v>
      </c>
      <c r="W1280" s="18" t="n">
        <f aca="false">MAX(0,$T1280-$V1280)</f>
        <v>0</v>
      </c>
      <c r="X1280" s="19" t="n">
        <f aca="false">IFERROR(INDEX(CADASTRO_PIVOS!$K$6:$K$41,MATCH($E1280,CADASTRO_PIVOS!$B$6:$B$41,0)),EFICIENCIA_PADRAO)</f>
        <v>0.85</v>
      </c>
      <c r="Y1280" s="18" t="n">
        <f aca="false">IF($X1280&lt;=0,0,$W1280/$X1280)</f>
        <v>0</v>
      </c>
      <c r="Z1280" s="16" t="n">
        <f aca="false">$Y1280*$H1280*MM_PARA_M3_HA</f>
        <v>0</v>
      </c>
      <c r="AA1280" s="18" t="n">
        <f aca="false">IFERROR(INDEX(CADASTRO_PIVOS!$I$6:$I$41,MATCH($E1280,CADASTRO_PIVOS!$B$6:$B$41,0)),0)</f>
        <v>1071</v>
      </c>
      <c r="AB1280" s="18" t="n">
        <f aca="false">IF($Z1280&lt;=0,0,$Z1280/$AA1280)</f>
        <v>0</v>
      </c>
      <c r="AC1280" s="16" t="n">
        <f aca="false">IFERROR(INDEX(SEMANAS!$K$6:$K$71,MATCH($B1280,SEMANAS!$B$6:$B$71,0)),0)</f>
        <v>147</v>
      </c>
      <c r="AD1280" s="19" t="n">
        <f aca="false">IF($AC1280&lt;=0,0,$AB1280/$AC1280)</f>
        <v>0</v>
      </c>
      <c r="AE1280" s="8" t="str">
        <f aca="false">IF($K1280="SEM CULTURA","SEM CULTURA",IF($AA1280&lt;=0,"DADO PENDENTE",IF($AD1280&gt;LIMITE_CRITICO,"INVIAVEL",IF($AD1280&gt;LIMITE_ATENCAO,"CRITICO",IF($AD1280&gt;LIMITE_CONFORTAVEL,"ATENCAO","OK")))))</f>
        <v>OK</v>
      </c>
      <c r="AF1280" s="8" t="str">
        <f aca="false">$B1280&amp;"|"&amp;TEXT($AD1280,"0.000000")</f>
        <v>21|0.000000</v>
      </c>
      <c r="AG1280" s="18" t="n">
        <f aca="false">IF($K1280="SEM CULTURA",0,$T1280*$H1280)</f>
        <v>1763.2944</v>
      </c>
      <c r="AH1280" s="18" t="n">
        <f aca="false">IF($K1280="SEM CULTURA",0,$V1280*$H1280)</f>
        <v>5415.8328</v>
      </c>
      <c r="AI1280" s="18" t="n">
        <f aca="false">IF($K1280="SEM CULTURA",0,$W1280*$H1280)</f>
        <v>0</v>
      </c>
      <c r="AJ1280" s="18" t="n">
        <f aca="false">IF($K1280="SEM CULTURA",0,$S1280*$H1280)</f>
        <v>5037.984</v>
      </c>
      <c r="AK1280" s="8" t="str">
        <f aca="false">$E1280&amp;"|"&amp;TEXT($AD1280,"0.000000")</f>
        <v>PV 119|0.000000</v>
      </c>
    </row>
    <row r="1281" customFormat="false" ht="15" hidden="false" customHeight="false" outlineLevel="0" collapsed="false">
      <c r="B1281" s="16" t="n">
        <v>22</v>
      </c>
      <c r="C1281" s="17" t="n">
        <f aca="false">DATA_INICIO_SAFRA+($B1281-1)*DIAS_POR_SEMANA</f>
        <v>46412</v>
      </c>
      <c r="D1281" s="17" t="n">
        <f aca="false">$C1281+DIAS_POR_SEMANA-1</f>
        <v>46418</v>
      </c>
      <c r="E1281" s="15" t="s">
        <v>278</v>
      </c>
      <c r="F1281" s="8" t="str">
        <f aca="false">IFERROR(INDEX(CADASTRO_PIVOS!$C$6:$C$41,MATCH($E1281,CADASTRO_PIVOS!$B$6:$B$41,0)),"?")</f>
        <v>RM06</v>
      </c>
      <c r="G1281" s="8" t="str">
        <f aca="false">IFERROR(INDEX(CADASTRO_PIVOS!$D$6:$D$41,MATCH($E1281,CADASTRO_PIVOS!$B$6:$B$41,0)),"?")</f>
        <v>TR06</v>
      </c>
      <c r="H1281" s="20" t="n">
        <f aca="false">IFERROR(INDEX(CADASTRO_PIVOS!$E$6:$E$41,MATCH($E1281,CADASTRO_PIVOS!$B$6:$B$41,0)),0)</f>
        <v>149.94</v>
      </c>
      <c r="I1281" s="16" t="n">
        <f aca="false">IFERROR(SUMIFS(ROTACAO_RDM!$B$6:$B$71,ROTACAO_RDM!$D$6:$D$71,$E1281,ROTACAO_RDM!$I$6:$I$71,"&lt;="&amp;$C1281+INT(DIAS_POR_SEMANA/2),ROTACAO_RDM!$J$6:$J$71,"&gt;="&amp;$C1281+INT(DIAS_POR_SEMANA/2)),0)</f>
        <v>32</v>
      </c>
      <c r="J1281" s="16" t="n">
        <f aca="false">IFERROR(MATCH($I1281,ROTACAO_RDM!$B$6:$B$71,0),0)</f>
        <v>32</v>
      </c>
      <c r="K1281" s="8" t="str">
        <f aca="false">IF($J1281=0,"SEM CULTURA",INDEX(ROTACAO_RDM!$F$6:$F$71,$J1281))</f>
        <v>TABACO</v>
      </c>
      <c r="L1281" s="8" t="str">
        <f aca="false">IF($J1281=0,"",INDEX(ROTACAO_RDM!$G$6:$G$71,$J1281))</f>
        <v>PVH-2343</v>
      </c>
      <c r="M1281" s="17" t="n">
        <f aca="false">IF($J1281=0,"",INDEX(ROTACAO_RDM!$I$6:$I$71,$J1281))</f>
        <v>46380</v>
      </c>
      <c r="N1281" s="16" t="n">
        <f aca="false">IF($J1281=0,0,MAX(0,$C1281+INT(DIAS_POR_SEMANA/2)-INDEX(ROTACAO_RDM!$I$6:$I$71,$J1281)))</f>
        <v>35</v>
      </c>
      <c r="O1281" s="19" t="n">
        <f aca="false">IF($J1281=0,0,MIN(1,$N1281/MAX(1,INDEX(ROTACAO_RDM!$K$6:$K$71,$J1281))))</f>
        <v>0.21875</v>
      </c>
      <c r="P1281" s="16" t="n">
        <f aca="false">IF($J1281=0,0,IFERROR(MATCH(INDEX(ROTACAO_RDM!$N$6:$N$71,$J1281),PARAMETROS_CULTURAS!$B$6:$B$28,0),0))</f>
        <v>9</v>
      </c>
      <c r="Q1281" s="8" t="str">
        <f aca="false">IF($P1281=0,"-",IF($O1281&lt;=INDEX(PARAMETROS_CULTURAS!$F$6:$F$28,$P1281),"INICIAL",IF($O1281&lt;=INDEX(PARAMETROS_CULTURAS!$F$6:$F$28,$P1281)+INDEX(PARAMETROS_CULTURAS!$G$6:$G$28,$P1281),"DESENVOLVIMENTO",IF($O1281&lt;=INDEX(PARAMETROS_CULTURAS!$F$6:$F$28,$P1281)+INDEX(PARAMETROS_CULTURAS!$G$6:$G$28,$P1281)+INDEX(PARAMETROS_CULTURAS!$H$6:$H$28,$P1281),"MEDIA","FINAL"))))</f>
        <v>DESENVOLVIMENTO</v>
      </c>
      <c r="R1281" s="24" t="n">
        <f aca="false">IF($P1281=0,0,IF($O1281&lt;=INDEX(PARAMETROS_CULTURAS!$F$6:$F$28,$P1281),INDEX(PARAMETROS_CULTURAS!$K$6:$K$28,$P1281),IF($O1281&lt;=INDEX(PARAMETROS_CULTURAS!$F$6:$F$28,$P1281)+INDEX(PARAMETROS_CULTURAS!$G$6:$G$28,$P1281),INDEX(PARAMETROS_CULTURAS!$K$6:$K$28,$P1281)+(INDEX(PARAMETROS_CULTURAS!$L$6:$L$28,$P1281)-INDEX(PARAMETROS_CULTURAS!$K$6:$K$28,$P1281))*($O1281-INDEX(PARAMETROS_CULTURAS!$F$6:$F$28,$P1281))/MAX(INDEX(PARAMETROS_CULTURAS!$G$6:$G$28,$P1281),0.0001),IF($O1281&lt;=INDEX(PARAMETROS_CULTURAS!$F$6:$F$28,$P1281)+INDEX(PARAMETROS_CULTURAS!$G$6:$G$28,$P1281)+INDEX(PARAMETROS_CULTURAS!$H$6:$H$28,$P1281),INDEX(PARAMETROS_CULTURAS!$L$6:$L$28,$P1281),INDEX(PARAMETROS_CULTURAS!$L$6:$L$28,$P1281)+(INDEX(PARAMETROS_CULTURAS!$M$6:$M$28,$P1281)-INDEX(PARAMETROS_CULTURAS!$L$6:$L$28,$P1281))*($O1281-INDEX(PARAMETROS_CULTURAS!$F$6:$F$28,$P1281)-INDEX(PARAMETROS_CULTURAS!$G$6:$G$28,$P1281)-INDEX(PARAMETROS_CULTURAS!$H$6:$H$28,$P1281))/MAX(INDEX(PARAMETROS_CULTURAS!$I$6:$I$28,$P1281),0.0001)))))</f>
        <v>0.457638888888889</v>
      </c>
      <c r="S1281" s="18" t="n">
        <f aca="false">IFERROR(INDEX(SEMANAS!$H$6:$H$71,MATCH($B1281,SEMANAS!$B$6:$B$71,0)),0)</f>
        <v>33.6</v>
      </c>
      <c r="T1281" s="18" t="n">
        <f aca="false">$R1281*$S1281</f>
        <v>15.3766666666667</v>
      </c>
      <c r="U1281" s="18" t="n">
        <f aca="false">IFERROR(INDEX(SEMANAS!$I$6:$I$71,MATCH($B1281,SEMANAS!$B$6:$B$71,0)),0)</f>
        <v>45.15</v>
      </c>
      <c r="V1281" s="18" t="n">
        <f aca="false">IFERROR(INDEX(SEMANAS!$J$6:$J$71,MATCH($B1281,SEMANAS!$B$6:$B$71,0)),0)</f>
        <v>36.12</v>
      </c>
      <c r="W1281" s="18" t="n">
        <f aca="false">MAX(0,$T1281-$V1281)</f>
        <v>0</v>
      </c>
      <c r="X1281" s="19" t="n">
        <f aca="false">IFERROR(INDEX(CADASTRO_PIVOS!$K$6:$K$41,MATCH($E1281,CADASTRO_PIVOS!$B$6:$B$41,0)),EFICIENCIA_PADRAO)</f>
        <v>0.85</v>
      </c>
      <c r="Y1281" s="18" t="n">
        <f aca="false">IF($X1281&lt;=0,0,$W1281/$X1281)</f>
        <v>0</v>
      </c>
      <c r="Z1281" s="16" t="n">
        <f aca="false">$Y1281*$H1281*MM_PARA_M3_HA</f>
        <v>0</v>
      </c>
      <c r="AA1281" s="18" t="n">
        <f aca="false">IFERROR(INDEX(CADASTRO_PIVOS!$I$6:$I$41,MATCH($E1281,CADASTRO_PIVOS!$B$6:$B$41,0)),0)</f>
        <v>1071</v>
      </c>
      <c r="AB1281" s="18" t="n">
        <f aca="false">IF($Z1281&lt;=0,0,$Z1281/$AA1281)</f>
        <v>0</v>
      </c>
      <c r="AC1281" s="16" t="n">
        <f aca="false">IFERROR(INDEX(SEMANAS!$K$6:$K$71,MATCH($B1281,SEMANAS!$B$6:$B$71,0)),0)</f>
        <v>147</v>
      </c>
      <c r="AD1281" s="19" t="n">
        <f aca="false">IF($AC1281&lt;=0,0,$AB1281/$AC1281)</f>
        <v>0</v>
      </c>
      <c r="AE1281" s="8" t="str">
        <f aca="false">IF($K1281="SEM CULTURA","SEM CULTURA",IF($AA1281&lt;=0,"DADO PENDENTE",IF($AD1281&gt;LIMITE_CRITICO,"INVIAVEL",IF($AD1281&gt;LIMITE_ATENCAO,"CRITICO",IF($AD1281&gt;LIMITE_CONFORTAVEL,"ATENCAO","OK")))))</f>
        <v>OK</v>
      </c>
      <c r="AF1281" s="8" t="str">
        <f aca="false">$B1281&amp;"|"&amp;TEXT($AD1281,"0.000000")</f>
        <v>22|0.000000</v>
      </c>
      <c r="AG1281" s="18" t="n">
        <f aca="false">IF($K1281="SEM CULTURA",0,$T1281*$H1281)</f>
        <v>2305.5774</v>
      </c>
      <c r="AH1281" s="18" t="n">
        <f aca="false">IF($K1281="SEM CULTURA",0,$V1281*$H1281)</f>
        <v>5415.8328</v>
      </c>
      <c r="AI1281" s="18" t="n">
        <f aca="false">IF($K1281="SEM CULTURA",0,$W1281*$H1281)</f>
        <v>0</v>
      </c>
      <c r="AJ1281" s="18" t="n">
        <f aca="false">IF($K1281="SEM CULTURA",0,$S1281*$H1281)</f>
        <v>5037.984</v>
      </c>
      <c r="AK1281" s="8" t="str">
        <f aca="false">$E1281&amp;"|"&amp;TEXT($AD1281,"0.000000")</f>
        <v>PV 119|0.000000</v>
      </c>
    </row>
    <row r="1282" customFormat="false" ht="15" hidden="false" customHeight="false" outlineLevel="0" collapsed="false">
      <c r="B1282" s="16" t="n">
        <v>23</v>
      </c>
      <c r="C1282" s="17" t="n">
        <f aca="false">DATA_INICIO_SAFRA+($B1282-1)*DIAS_POR_SEMANA</f>
        <v>46419</v>
      </c>
      <c r="D1282" s="17" t="n">
        <f aca="false">$C1282+DIAS_POR_SEMANA-1</f>
        <v>46425</v>
      </c>
      <c r="E1282" s="15" t="s">
        <v>278</v>
      </c>
      <c r="F1282" s="8" t="str">
        <f aca="false">IFERROR(INDEX(CADASTRO_PIVOS!$C$6:$C$41,MATCH($E1282,CADASTRO_PIVOS!$B$6:$B$41,0)),"?")</f>
        <v>RM06</v>
      </c>
      <c r="G1282" s="8" t="str">
        <f aca="false">IFERROR(INDEX(CADASTRO_PIVOS!$D$6:$D$41,MATCH($E1282,CADASTRO_PIVOS!$B$6:$B$41,0)),"?")</f>
        <v>TR06</v>
      </c>
      <c r="H1282" s="20" t="n">
        <f aca="false">IFERROR(INDEX(CADASTRO_PIVOS!$E$6:$E$41,MATCH($E1282,CADASTRO_PIVOS!$B$6:$B$41,0)),0)</f>
        <v>149.94</v>
      </c>
      <c r="I1282" s="16" t="n">
        <f aca="false">IFERROR(SUMIFS(ROTACAO_RDM!$B$6:$B$71,ROTACAO_RDM!$D$6:$D$71,$E1282,ROTACAO_RDM!$I$6:$I$71,"&lt;="&amp;$C1282+INT(DIAS_POR_SEMANA/2),ROTACAO_RDM!$J$6:$J$71,"&gt;="&amp;$C1282+INT(DIAS_POR_SEMANA/2)),0)</f>
        <v>32</v>
      </c>
      <c r="J1282" s="16" t="n">
        <f aca="false">IFERROR(MATCH($I1282,ROTACAO_RDM!$B$6:$B$71,0),0)</f>
        <v>32</v>
      </c>
      <c r="K1282" s="8" t="str">
        <f aca="false">IF($J1282=0,"SEM CULTURA",INDEX(ROTACAO_RDM!$F$6:$F$71,$J1282))</f>
        <v>TABACO</v>
      </c>
      <c r="L1282" s="8" t="str">
        <f aca="false">IF($J1282=0,"",INDEX(ROTACAO_RDM!$G$6:$G$71,$J1282))</f>
        <v>PVH-2343</v>
      </c>
      <c r="M1282" s="17" t="n">
        <f aca="false">IF($J1282=0,"",INDEX(ROTACAO_RDM!$I$6:$I$71,$J1282))</f>
        <v>46380</v>
      </c>
      <c r="N1282" s="16" t="n">
        <f aca="false">IF($J1282=0,0,MAX(0,$C1282+INT(DIAS_POR_SEMANA/2)-INDEX(ROTACAO_RDM!$I$6:$I$71,$J1282)))</f>
        <v>42</v>
      </c>
      <c r="O1282" s="19" t="n">
        <f aca="false">IF($J1282=0,0,MIN(1,$N1282/MAX(1,INDEX(ROTACAO_RDM!$K$6:$K$71,$J1282))))</f>
        <v>0.2625</v>
      </c>
      <c r="P1282" s="16" t="n">
        <f aca="false">IF($J1282=0,0,IFERROR(MATCH(INDEX(ROTACAO_RDM!$N$6:$N$71,$J1282),PARAMETROS_CULTURAS!$B$6:$B$28,0),0))</f>
        <v>9</v>
      </c>
      <c r="Q1282" s="8" t="str">
        <f aca="false">IF($P1282=0,"-",IF($O1282&lt;=INDEX(PARAMETROS_CULTURAS!$F$6:$F$28,$P1282),"INICIAL",IF($O1282&lt;=INDEX(PARAMETROS_CULTURAS!$F$6:$F$28,$P1282)+INDEX(PARAMETROS_CULTURAS!$G$6:$G$28,$P1282),"DESENVOLVIMENTO",IF($O1282&lt;=INDEX(PARAMETROS_CULTURAS!$F$6:$F$28,$P1282)+INDEX(PARAMETROS_CULTURAS!$G$6:$G$28,$P1282)+INDEX(PARAMETROS_CULTURAS!$H$6:$H$28,$P1282),"MEDIA","FINAL"))))</f>
        <v>DESENVOLVIMENTO</v>
      </c>
      <c r="R1282" s="24" t="n">
        <f aca="false">IF($P1282=0,0,IF($O1282&lt;=INDEX(PARAMETROS_CULTURAS!$F$6:$F$28,$P1282),INDEX(PARAMETROS_CULTURAS!$K$6:$K$28,$P1282),IF($O1282&lt;=INDEX(PARAMETROS_CULTURAS!$F$6:$F$28,$P1282)+INDEX(PARAMETROS_CULTURAS!$G$6:$G$28,$P1282),INDEX(PARAMETROS_CULTURAS!$K$6:$K$28,$P1282)+(INDEX(PARAMETROS_CULTURAS!$L$6:$L$28,$P1282)-INDEX(PARAMETROS_CULTURAS!$K$6:$K$28,$P1282))*($O1282-INDEX(PARAMETROS_CULTURAS!$F$6:$F$28,$P1282))/MAX(INDEX(PARAMETROS_CULTURAS!$G$6:$G$28,$P1282),0.0001),IF($O1282&lt;=INDEX(PARAMETROS_CULTURAS!$F$6:$F$28,$P1282)+INDEX(PARAMETROS_CULTURAS!$G$6:$G$28,$P1282)+INDEX(PARAMETROS_CULTURAS!$H$6:$H$28,$P1282),INDEX(PARAMETROS_CULTURAS!$L$6:$L$28,$P1282),INDEX(PARAMETROS_CULTURAS!$L$6:$L$28,$P1282)+(INDEX(PARAMETROS_CULTURAS!$M$6:$M$28,$P1282)-INDEX(PARAMETROS_CULTURAS!$L$6:$L$28,$P1282))*($O1282-INDEX(PARAMETROS_CULTURAS!$F$6:$F$28,$P1282)-INDEX(PARAMETROS_CULTURAS!$G$6:$G$28,$P1282)-INDEX(PARAMETROS_CULTURAS!$H$6:$H$28,$P1282))/MAX(INDEX(PARAMETROS_CULTURAS!$I$6:$I$28,$P1282),0.0001)))))</f>
        <v>0.579166666666667</v>
      </c>
      <c r="S1282" s="18" t="n">
        <f aca="false">IFERROR(INDEX(SEMANAS!$H$6:$H$71,MATCH($B1282,SEMANAS!$B$6:$B$71,0)),0)</f>
        <v>32.9</v>
      </c>
      <c r="T1282" s="18" t="n">
        <f aca="false">$R1282*$S1282</f>
        <v>19.0545833333333</v>
      </c>
      <c r="U1282" s="18" t="n">
        <f aca="false">IFERROR(INDEX(SEMANAS!$I$6:$I$71,MATCH($B1282,SEMANAS!$B$6:$B$71,0)),0)</f>
        <v>39.97</v>
      </c>
      <c r="V1282" s="18" t="n">
        <f aca="false">IFERROR(INDEX(SEMANAS!$J$6:$J$71,MATCH($B1282,SEMANAS!$B$6:$B$71,0)),0)</f>
        <v>31.976</v>
      </c>
      <c r="W1282" s="18" t="n">
        <f aca="false">MAX(0,$T1282-$V1282)</f>
        <v>0</v>
      </c>
      <c r="X1282" s="19" t="n">
        <f aca="false">IFERROR(INDEX(CADASTRO_PIVOS!$K$6:$K$41,MATCH($E1282,CADASTRO_PIVOS!$B$6:$B$41,0)),EFICIENCIA_PADRAO)</f>
        <v>0.85</v>
      </c>
      <c r="Y1282" s="18" t="n">
        <f aca="false">IF($X1282&lt;=0,0,$W1282/$X1282)</f>
        <v>0</v>
      </c>
      <c r="Z1282" s="16" t="n">
        <f aca="false">$Y1282*$H1282*MM_PARA_M3_HA</f>
        <v>0</v>
      </c>
      <c r="AA1282" s="18" t="n">
        <f aca="false">IFERROR(INDEX(CADASTRO_PIVOS!$I$6:$I$41,MATCH($E1282,CADASTRO_PIVOS!$B$6:$B$41,0)),0)</f>
        <v>1071</v>
      </c>
      <c r="AB1282" s="18" t="n">
        <f aca="false">IF($Z1282&lt;=0,0,$Z1282/$AA1282)</f>
        <v>0</v>
      </c>
      <c r="AC1282" s="16" t="n">
        <f aca="false">IFERROR(INDEX(SEMANAS!$K$6:$K$71,MATCH($B1282,SEMANAS!$B$6:$B$71,0)),0)</f>
        <v>147</v>
      </c>
      <c r="AD1282" s="19" t="n">
        <f aca="false">IF($AC1282&lt;=0,0,$AB1282/$AC1282)</f>
        <v>0</v>
      </c>
      <c r="AE1282" s="8" t="str">
        <f aca="false">IF($K1282="SEM CULTURA","SEM CULTURA",IF($AA1282&lt;=0,"DADO PENDENTE",IF($AD1282&gt;LIMITE_CRITICO,"INVIAVEL",IF($AD1282&gt;LIMITE_ATENCAO,"CRITICO",IF($AD1282&gt;LIMITE_CONFORTAVEL,"ATENCAO","OK")))))</f>
        <v>OK</v>
      </c>
      <c r="AF1282" s="8" t="str">
        <f aca="false">$B1282&amp;"|"&amp;TEXT($AD1282,"0.000000")</f>
        <v>23|0.000000</v>
      </c>
      <c r="AG1282" s="18" t="n">
        <f aca="false">IF($K1282="SEM CULTURA",0,$T1282*$H1282)</f>
        <v>2857.044225</v>
      </c>
      <c r="AH1282" s="18" t="n">
        <f aca="false">IF($K1282="SEM CULTURA",0,$V1282*$H1282)</f>
        <v>4794.48144</v>
      </c>
      <c r="AI1282" s="18" t="n">
        <f aca="false">IF($K1282="SEM CULTURA",0,$W1282*$H1282)</f>
        <v>0</v>
      </c>
      <c r="AJ1282" s="18" t="n">
        <f aca="false">IF($K1282="SEM CULTURA",0,$S1282*$H1282)</f>
        <v>4933.026</v>
      </c>
      <c r="AK1282" s="8" t="str">
        <f aca="false">$E1282&amp;"|"&amp;TEXT($AD1282,"0.000000")</f>
        <v>PV 119|0.000000</v>
      </c>
    </row>
    <row r="1283" customFormat="false" ht="15" hidden="false" customHeight="false" outlineLevel="0" collapsed="false">
      <c r="B1283" s="16" t="n">
        <v>24</v>
      </c>
      <c r="C1283" s="17" t="n">
        <f aca="false">DATA_INICIO_SAFRA+($B1283-1)*DIAS_POR_SEMANA</f>
        <v>46426</v>
      </c>
      <c r="D1283" s="17" t="n">
        <f aca="false">$C1283+DIAS_POR_SEMANA-1</f>
        <v>46432</v>
      </c>
      <c r="E1283" s="15" t="s">
        <v>278</v>
      </c>
      <c r="F1283" s="8" t="str">
        <f aca="false">IFERROR(INDEX(CADASTRO_PIVOS!$C$6:$C$41,MATCH($E1283,CADASTRO_PIVOS!$B$6:$B$41,0)),"?")</f>
        <v>RM06</v>
      </c>
      <c r="G1283" s="8" t="str">
        <f aca="false">IFERROR(INDEX(CADASTRO_PIVOS!$D$6:$D$41,MATCH($E1283,CADASTRO_PIVOS!$B$6:$B$41,0)),"?")</f>
        <v>TR06</v>
      </c>
      <c r="H1283" s="20" t="n">
        <f aca="false">IFERROR(INDEX(CADASTRO_PIVOS!$E$6:$E$41,MATCH($E1283,CADASTRO_PIVOS!$B$6:$B$41,0)),0)</f>
        <v>149.94</v>
      </c>
      <c r="I1283" s="16" t="n">
        <f aca="false">IFERROR(SUMIFS(ROTACAO_RDM!$B$6:$B$71,ROTACAO_RDM!$D$6:$D$71,$E1283,ROTACAO_RDM!$I$6:$I$71,"&lt;="&amp;$C1283+INT(DIAS_POR_SEMANA/2),ROTACAO_RDM!$J$6:$J$71,"&gt;="&amp;$C1283+INT(DIAS_POR_SEMANA/2)),0)</f>
        <v>32</v>
      </c>
      <c r="J1283" s="16" t="n">
        <f aca="false">IFERROR(MATCH($I1283,ROTACAO_RDM!$B$6:$B$71,0),0)</f>
        <v>32</v>
      </c>
      <c r="K1283" s="8" t="str">
        <f aca="false">IF($J1283=0,"SEM CULTURA",INDEX(ROTACAO_RDM!$F$6:$F$71,$J1283))</f>
        <v>TABACO</v>
      </c>
      <c r="L1283" s="8" t="str">
        <f aca="false">IF($J1283=0,"",INDEX(ROTACAO_RDM!$G$6:$G$71,$J1283))</f>
        <v>PVH-2343</v>
      </c>
      <c r="M1283" s="17" t="n">
        <f aca="false">IF($J1283=0,"",INDEX(ROTACAO_RDM!$I$6:$I$71,$J1283))</f>
        <v>46380</v>
      </c>
      <c r="N1283" s="16" t="n">
        <f aca="false">IF($J1283=0,0,MAX(0,$C1283+INT(DIAS_POR_SEMANA/2)-INDEX(ROTACAO_RDM!$I$6:$I$71,$J1283)))</f>
        <v>49</v>
      </c>
      <c r="O1283" s="19" t="n">
        <f aca="false">IF($J1283=0,0,MIN(1,$N1283/MAX(1,INDEX(ROTACAO_RDM!$K$6:$K$71,$J1283))))</f>
        <v>0.30625</v>
      </c>
      <c r="P1283" s="16" t="n">
        <f aca="false">IF($J1283=0,0,IFERROR(MATCH(INDEX(ROTACAO_RDM!$N$6:$N$71,$J1283),PARAMETROS_CULTURAS!$B$6:$B$28,0),0))</f>
        <v>9</v>
      </c>
      <c r="Q1283" s="8" t="str">
        <f aca="false">IF($P1283=0,"-",IF($O1283&lt;=INDEX(PARAMETROS_CULTURAS!$F$6:$F$28,$P1283),"INICIAL",IF($O1283&lt;=INDEX(PARAMETROS_CULTURAS!$F$6:$F$28,$P1283)+INDEX(PARAMETROS_CULTURAS!$G$6:$G$28,$P1283),"DESENVOLVIMENTO",IF($O1283&lt;=INDEX(PARAMETROS_CULTURAS!$F$6:$F$28,$P1283)+INDEX(PARAMETROS_CULTURAS!$G$6:$G$28,$P1283)+INDEX(PARAMETROS_CULTURAS!$H$6:$H$28,$P1283),"MEDIA","FINAL"))))</f>
        <v>DESENVOLVIMENTO</v>
      </c>
      <c r="R1283" s="24" t="n">
        <f aca="false">IF($P1283=0,0,IF($O1283&lt;=INDEX(PARAMETROS_CULTURAS!$F$6:$F$28,$P1283),INDEX(PARAMETROS_CULTURAS!$K$6:$K$28,$P1283),IF($O1283&lt;=INDEX(PARAMETROS_CULTURAS!$F$6:$F$28,$P1283)+INDEX(PARAMETROS_CULTURAS!$G$6:$G$28,$P1283),INDEX(PARAMETROS_CULTURAS!$K$6:$K$28,$P1283)+(INDEX(PARAMETROS_CULTURAS!$L$6:$L$28,$P1283)-INDEX(PARAMETROS_CULTURAS!$K$6:$K$28,$P1283))*($O1283-INDEX(PARAMETROS_CULTURAS!$F$6:$F$28,$P1283))/MAX(INDEX(PARAMETROS_CULTURAS!$G$6:$G$28,$P1283),0.0001),IF($O1283&lt;=INDEX(PARAMETROS_CULTURAS!$F$6:$F$28,$P1283)+INDEX(PARAMETROS_CULTURAS!$G$6:$G$28,$P1283)+INDEX(PARAMETROS_CULTURAS!$H$6:$H$28,$P1283),INDEX(PARAMETROS_CULTURAS!$L$6:$L$28,$P1283),INDEX(PARAMETROS_CULTURAS!$L$6:$L$28,$P1283)+(INDEX(PARAMETROS_CULTURAS!$M$6:$M$28,$P1283)-INDEX(PARAMETROS_CULTURAS!$L$6:$L$28,$P1283))*($O1283-INDEX(PARAMETROS_CULTURAS!$F$6:$F$28,$P1283)-INDEX(PARAMETROS_CULTURAS!$G$6:$G$28,$P1283)-INDEX(PARAMETROS_CULTURAS!$H$6:$H$28,$P1283))/MAX(INDEX(PARAMETROS_CULTURAS!$I$6:$I$28,$P1283),0.0001)))))</f>
        <v>0.700694444444445</v>
      </c>
      <c r="S1283" s="18" t="n">
        <f aca="false">IFERROR(INDEX(SEMANAS!$H$6:$H$71,MATCH($B1283,SEMANAS!$B$6:$B$71,0)),0)</f>
        <v>32.9</v>
      </c>
      <c r="T1283" s="18" t="n">
        <f aca="false">$R1283*$S1283</f>
        <v>23.0528472222222</v>
      </c>
      <c r="U1283" s="18" t="n">
        <f aca="false">IFERROR(INDEX(SEMANAS!$I$6:$I$71,MATCH($B1283,SEMANAS!$B$6:$B$71,0)),0)</f>
        <v>39.97</v>
      </c>
      <c r="V1283" s="18" t="n">
        <f aca="false">IFERROR(INDEX(SEMANAS!$J$6:$J$71,MATCH($B1283,SEMANAS!$B$6:$B$71,0)),0)</f>
        <v>31.976</v>
      </c>
      <c r="W1283" s="18" t="n">
        <f aca="false">MAX(0,$T1283-$V1283)</f>
        <v>0</v>
      </c>
      <c r="X1283" s="19" t="n">
        <f aca="false">IFERROR(INDEX(CADASTRO_PIVOS!$K$6:$K$41,MATCH($E1283,CADASTRO_PIVOS!$B$6:$B$41,0)),EFICIENCIA_PADRAO)</f>
        <v>0.85</v>
      </c>
      <c r="Y1283" s="18" t="n">
        <f aca="false">IF($X1283&lt;=0,0,$W1283/$X1283)</f>
        <v>0</v>
      </c>
      <c r="Z1283" s="16" t="n">
        <f aca="false">$Y1283*$H1283*MM_PARA_M3_HA</f>
        <v>0</v>
      </c>
      <c r="AA1283" s="18" t="n">
        <f aca="false">IFERROR(INDEX(CADASTRO_PIVOS!$I$6:$I$41,MATCH($E1283,CADASTRO_PIVOS!$B$6:$B$41,0)),0)</f>
        <v>1071</v>
      </c>
      <c r="AB1283" s="18" t="n">
        <f aca="false">IF($Z1283&lt;=0,0,$Z1283/$AA1283)</f>
        <v>0</v>
      </c>
      <c r="AC1283" s="16" t="n">
        <f aca="false">IFERROR(INDEX(SEMANAS!$K$6:$K$71,MATCH($B1283,SEMANAS!$B$6:$B$71,0)),0)</f>
        <v>147</v>
      </c>
      <c r="AD1283" s="19" t="n">
        <f aca="false">IF($AC1283&lt;=0,0,$AB1283/$AC1283)</f>
        <v>0</v>
      </c>
      <c r="AE1283" s="8" t="str">
        <f aca="false">IF($K1283="SEM CULTURA","SEM CULTURA",IF($AA1283&lt;=0,"DADO PENDENTE",IF($AD1283&gt;LIMITE_CRITICO,"INVIAVEL",IF($AD1283&gt;LIMITE_ATENCAO,"CRITICO",IF($AD1283&gt;LIMITE_CONFORTAVEL,"ATENCAO","OK")))))</f>
        <v>OK</v>
      </c>
      <c r="AF1283" s="8" t="str">
        <f aca="false">$B1283&amp;"|"&amp;TEXT($AD1283,"0.000000")</f>
        <v>24|0.000000</v>
      </c>
      <c r="AG1283" s="18" t="n">
        <f aca="false">IF($K1283="SEM CULTURA",0,$T1283*$H1283)</f>
        <v>3456.5439125</v>
      </c>
      <c r="AH1283" s="18" t="n">
        <f aca="false">IF($K1283="SEM CULTURA",0,$V1283*$H1283)</f>
        <v>4794.48144</v>
      </c>
      <c r="AI1283" s="18" t="n">
        <f aca="false">IF($K1283="SEM CULTURA",0,$W1283*$H1283)</f>
        <v>0</v>
      </c>
      <c r="AJ1283" s="18" t="n">
        <f aca="false">IF($K1283="SEM CULTURA",0,$S1283*$H1283)</f>
        <v>4933.026</v>
      </c>
      <c r="AK1283" s="8" t="str">
        <f aca="false">$E1283&amp;"|"&amp;TEXT($AD1283,"0.000000")</f>
        <v>PV 119|0.000000</v>
      </c>
    </row>
    <row r="1284" customFormat="false" ht="15" hidden="false" customHeight="false" outlineLevel="0" collapsed="false">
      <c r="B1284" s="16" t="n">
        <v>25</v>
      </c>
      <c r="C1284" s="17" t="n">
        <f aca="false">DATA_INICIO_SAFRA+($B1284-1)*DIAS_POR_SEMANA</f>
        <v>46433</v>
      </c>
      <c r="D1284" s="17" t="n">
        <f aca="false">$C1284+DIAS_POR_SEMANA-1</f>
        <v>46439</v>
      </c>
      <c r="E1284" s="15" t="s">
        <v>278</v>
      </c>
      <c r="F1284" s="8" t="str">
        <f aca="false">IFERROR(INDEX(CADASTRO_PIVOS!$C$6:$C$41,MATCH($E1284,CADASTRO_PIVOS!$B$6:$B$41,0)),"?")</f>
        <v>RM06</v>
      </c>
      <c r="G1284" s="8" t="str">
        <f aca="false">IFERROR(INDEX(CADASTRO_PIVOS!$D$6:$D$41,MATCH($E1284,CADASTRO_PIVOS!$B$6:$B$41,0)),"?")</f>
        <v>TR06</v>
      </c>
      <c r="H1284" s="20" t="n">
        <f aca="false">IFERROR(INDEX(CADASTRO_PIVOS!$E$6:$E$41,MATCH($E1284,CADASTRO_PIVOS!$B$6:$B$41,0)),0)</f>
        <v>149.94</v>
      </c>
      <c r="I1284" s="16" t="n">
        <f aca="false">IFERROR(SUMIFS(ROTACAO_RDM!$B$6:$B$71,ROTACAO_RDM!$D$6:$D$71,$E1284,ROTACAO_RDM!$I$6:$I$71,"&lt;="&amp;$C1284+INT(DIAS_POR_SEMANA/2),ROTACAO_RDM!$J$6:$J$71,"&gt;="&amp;$C1284+INT(DIAS_POR_SEMANA/2)),0)</f>
        <v>32</v>
      </c>
      <c r="J1284" s="16" t="n">
        <f aca="false">IFERROR(MATCH($I1284,ROTACAO_RDM!$B$6:$B$71,0),0)</f>
        <v>32</v>
      </c>
      <c r="K1284" s="8" t="str">
        <f aca="false">IF($J1284=0,"SEM CULTURA",INDEX(ROTACAO_RDM!$F$6:$F$71,$J1284))</f>
        <v>TABACO</v>
      </c>
      <c r="L1284" s="8" t="str">
        <f aca="false">IF($J1284=0,"",INDEX(ROTACAO_RDM!$G$6:$G$71,$J1284))</f>
        <v>PVH-2343</v>
      </c>
      <c r="M1284" s="17" t="n">
        <f aca="false">IF($J1284=0,"",INDEX(ROTACAO_RDM!$I$6:$I$71,$J1284))</f>
        <v>46380</v>
      </c>
      <c r="N1284" s="16" t="n">
        <f aca="false">IF($J1284=0,0,MAX(0,$C1284+INT(DIAS_POR_SEMANA/2)-INDEX(ROTACAO_RDM!$I$6:$I$71,$J1284)))</f>
        <v>56</v>
      </c>
      <c r="O1284" s="19" t="n">
        <f aca="false">IF($J1284=0,0,MIN(1,$N1284/MAX(1,INDEX(ROTACAO_RDM!$K$6:$K$71,$J1284))))</f>
        <v>0.35</v>
      </c>
      <c r="P1284" s="16" t="n">
        <f aca="false">IF($J1284=0,0,IFERROR(MATCH(INDEX(ROTACAO_RDM!$N$6:$N$71,$J1284),PARAMETROS_CULTURAS!$B$6:$B$28,0),0))</f>
        <v>9</v>
      </c>
      <c r="Q1284" s="8" t="str">
        <f aca="false">IF($P1284=0,"-",IF($O1284&lt;=INDEX(PARAMETROS_CULTURAS!$F$6:$F$28,$P1284),"INICIAL",IF($O1284&lt;=INDEX(PARAMETROS_CULTURAS!$F$6:$F$28,$P1284)+INDEX(PARAMETROS_CULTURAS!$G$6:$G$28,$P1284),"DESENVOLVIMENTO",IF($O1284&lt;=INDEX(PARAMETROS_CULTURAS!$F$6:$F$28,$P1284)+INDEX(PARAMETROS_CULTURAS!$G$6:$G$28,$P1284)+INDEX(PARAMETROS_CULTURAS!$H$6:$H$28,$P1284),"MEDIA","FINAL"))))</f>
        <v>DESENVOLVIMENTO</v>
      </c>
      <c r="R1284" s="24" t="n">
        <f aca="false">IF($P1284=0,0,IF($O1284&lt;=INDEX(PARAMETROS_CULTURAS!$F$6:$F$28,$P1284),INDEX(PARAMETROS_CULTURAS!$K$6:$K$28,$P1284),IF($O1284&lt;=INDEX(PARAMETROS_CULTURAS!$F$6:$F$28,$P1284)+INDEX(PARAMETROS_CULTURAS!$G$6:$G$28,$P1284),INDEX(PARAMETROS_CULTURAS!$K$6:$K$28,$P1284)+(INDEX(PARAMETROS_CULTURAS!$L$6:$L$28,$P1284)-INDEX(PARAMETROS_CULTURAS!$K$6:$K$28,$P1284))*($O1284-INDEX(PARAMETROS_CULTURAS!$F$6:$F$28,$P1284))/MAX(INDEX(PARAMETROS_CULTURAS!$G$6:$G$28,$P1284),0.0001),IF($O1284&lt;=INDEX(PARAMETROS_CULTURAS!$F$6:$F$28,$P1284)+INDEX(PARAMETROS_CULTURAS!$G$6:$G$28,$P1284)+INDEX(PARAMETROS_CULTURAS!$H$6:$H$28,$P1284),INDEX(PARAMETROS_CULTURAS!$L$6:$L$28,$P1284),INDEX(PARAMETROS_CULTURAS!$L$6:$L$28,$P1284)+(INDEX(PARAMETROS_CULTURAS!$M$6:$M$28,$P1284)-INDEX(PARAMETROS_CULTURAS!$L$6:$L$28,$P1284))*($O1284-INDEX(PARAMETROS_CULTURAS!$F$6:$F$28,$P1284)-INDEX(PARAMETROS_CULTURAS!$G$6:$G$28,$P1284)-INDEX(PARAMETROS_CULTURAS!$H$6:$H$28,$P1284))/MAX(INDEX(PARAMETROS_CULTURAS!$I$6:$I$28,$P1284),0.0001)))))</f>
        <v>0.822222222222222</v>
      </c>
      <c r="S1284" s="18" t="n">
        <f aca="false">IFERROR(INDEX(SEMANAS!$H$6:$H$71,MATCH($B1284,SEMANAS!$B$6:$B$71,0)),0)</f>
        <v>32.9</v>
      </c>
      <c r="T1284" s="18" t="n">
        <f aca="false">$R1284*$S1284</f>
        <v>27.0511111111111</v>
      </c>
      <c r="U1284" s="18" t="n">
        <f aca="false">IFERROR(INDEX(SEMANAS!$I$6:$I$71,MATCH($B1284,SEMANAS!$B$6:$B$71,0)),0)</f>
        <v>39.97</v>
      </c>
      <c r="V1284" s="18" t="n">
        <f aca="false">IFERROR(INDEX(SEMANAS!$J$6:$J$71,MATCH($B1284,SEMANAS!$B$6:$B$71,0)),0)</f>
        <v>31.976</v>
      </c>
      <c r="W1284" s="18" t="n">
        <f aca="false">MAX(0,$T1284-$V1284)</f>
        <v>0</v>
      </c>
      <c r="X1284" s="19" t="n">
        <f aca="false">IFERROR(INDEX(CADASTRO_PIVOS!$K$6:$K$41,MATCH($E1284,CADASTRO_PIVOS!$B$6:$B$41,0)),EFICIENCIA_PADRAO)</f>
        <v>0.85</v>
      </c>
      <c r="Y1284" s="18" t="n">
        <f aca="false">IF($X1284&lt;=0,0,$W1284/$X1284)</f>
        <v>0</v>
      </c>
      <c r="Z1284" s="16" t="n">
        <f aca="false">$Y1284*$H1284*MM_PARA_M3_HA</f>
        <v>0</v>
      </c>
      <c r="AA1284" s="18" t="n">
        <f aca="false">IFERROR(INDEX(CADASTRO_PIVOS!$I$6:$I$41,MATCH($E1284,CADASTRO_PIVOS!$B$6:$B$41,0)),0)</f>
        <v>1071</v>
      </c>
      <c r="AB1284" s="18" t="n">
        <f aca="false">IF($Z1284&lt;=0,0,$Z1284/$AA1284)</f>
        <v>0</v>
      </c>
      <c r="AC1284" s="16" t="n">
        <f aca="false">IFERROR(INDEX(SEMANAS!$K$6:$K$71,MATCH($B1284,SEMANAS!$B$6:$B$71,0)),0)</f>
        <v>147</v>
      </c>
      <c r="AD1284" s="19" t="n">
        <f aca="false">IF($AC1284&lt;=0,0,$AB1284/$AC1284)</f>
        <v>0</v>
      </c>
      <c r="AE1284" s="8" t="str">
        <f aca="false">IF($K1284="SEM CULTURA","SEM CULTURA",IF($AA1284&lt;=0,"DADO PENDENTE",IF($AD1284&gt;LIMITE_CRITICO,"INVIAVEL",IF($AD1284&gt;LIMITE_ATENCAO,"CRITICO",IF($AD1284&gt;LIMITE_CONFORTAVEL,"ATENCAO","OK")))))</f>
        <v>OK</v>
      </c>
      <c r="AF1284" s="8" t="str">
        <f aca="false">$B1284&amp;"|"&amp;TEXT($AD1284,"0.000000")</f>
        <v>25|0.000000</v>
      </c>
      <c r="AG1284" s="18" t="n">
        <f aca="false">IF($K1284="SEM CULTURA",0,$T1284*$H1284)</f>
        <v>4056.0436</v>
      </c>
      <c r="AH1284" s="18" t="n">
        <f aca="false">IF($K1284="SEM CULTURA",0,$V1284*$H1284)</f>
        <v>4794.48144</v>
      </c>
      <c r="AI1284" s="18" t="n">
        <f aca="false">IF($K1284="SEM CULTURA",0,$W1284*$H1284)</f>
        <v>0</v>
      </c>
      <c r="AJ1284" s="18" t="n">
        <f aca="false">IF($K1284="SEM CULTURA",0,$S1284*$H1284)</f>
        <v>4933.026</v>
      </c>
      <c r="AK1284" s="8" t="str">
        <f aca="false">$E1284&amp;"|"&amp;TEXT($AD1284,"0.000000")</f>
        <v>PV 119|0.000000</v>
      </c>
    </row>
    <row r="1285" customFormat="false" ht="15" hidden="false" customHeight="false" outlineLevel="0" collapsed="false">
      <c r="B1285" s="16" t="n">
        <v>26</v>
      </c>
      <c r="C1285" s="17" t="n">
        <f aca="false">DATA_INICIO_SAFRA+($B1285-1)*DIAS_POR_SEMANA</f>
        <v>46440</v>
      </c>
      <c r="D1285" s="17" t="n">
        <f aca="false">$C1285+DIAS_POR_SEMANA-1</f>
        <v>46446</v>
      </c>
      <c r="E1285" s="15" t="s">
        <v>278</v>
      </c>
      <c r="F1285" s="8" t="str">
        <f aca="false">IFERROR(INDEX(CADASTRO_PIVOS!$C$6:$C$41,MATCH($E1285,CADASTRO_PIVOS!$B$6:$B$41,0)),"?")</f>
        <v>RM06</v>
      </c>
      <c r="G1285" s="8" t="str">
        <f aca="false">IFERROR(INDEX(CADASTRO_PIVOS!$D$6:$D$41,MATCH($E1285,CADASTRO_PIVOS!$B$6:$B$41,0)),"?")</f>
        <v>TR06</v>
      </c>
      <c r="H1285" s="20" t="n">
        <f aca="false">IFERROR(INDEX(CADASTRO_PIVOS!$E$6:$E$41,MATCH($E1285,CADASTRO_PIVOS!$B$6:$B$41,0)),0)</f>
        <v>149.94</v>
      </c>
      <c r="I1285" s="16" t="n">
        <f aca="false">IFERROR(SUMIFS(ROTACAO_RDM!$B$6:$B$71,ROTACAO_RDM!$D$6:$D$71,$E1285,ROTACAO_RDM!$I$6:$I$71,"&lt;="&amp;$C1285+INT(DIAS_POR_SEMANA/2),ROTACAO_RDM!$J$6:$J$71,"&gt;="&amp;$C1285+INT(DIAS_POR_SEMANA/2)),0)</f>
        <v>32</v>
      </c>
      <c r="J1285" s="16" t="n">
        <f aca="false">IFERROR(MATCH($I1285,ROTACAO_RDM!$B$6:$B$71,0),0)</f>
        <v>32</v>
      </c>
      <c r="K1285" s="8" t="str">
        <f aca="false">IF($J1285=0,"SEM CULTURA",INDEX(ROTACAO_RDM!$F$6:$F$71,$J1285))</f>
        <v>TABACO</v>
      </c>
      <c r="L1285" s="8" t="str">
        <f aca="false">IF($J1285=0,"",INDEX(ROTACAO_RDM!$G$6:$G$71,$J1285))</f>
        <v>PVH-2343</v>
      </c>
      <c r="M1285" s="17" t="n">
        <f aca="false">IF($J1285=0,"",INDEX(ROTACAO_RDM!$I$6:$I$71,$J1285))</f>
        <v>46380</v>
      </c>
      <c r="N1285" s="16" t="n">
        <f aca="false">IF($J1285=0,0,MAX(0,$C1285+INT(DIAS_POR_SEMANA/2)-INDEX(ROTACAO_RDM!$I$6:$I$71,$J1285)))</f>
        <v>63</v>
      </c>
      <c r="O1285" s="19" t="n">
        <f aca="false">IF($J1285=0,0,MIN(1,$N1285/MAX(1,INDEX(ROTACAO_RDM!$K$6:$K$71,$J1285))))</f>
        <v>0.39375</v>
      </c>
      <c r="P1285" s="16" t="n">
        <f aca="false">IF($J1285=0,0,IFERROR(MATCH(INDEX(ROTACAO_RDM!$N$6:$N$71,$J1285),PARAMETROS_CULTURAS!$B$6:$B$28,0),0))</f>
        <v>9</v>
      </c>
      <c r="Q1285" s="8" t="str">
        <f aca="false">IF($P1285=0,"-",IF($O1285&lt;=INDEX(PARAMETROS_CULTURAS!$F$6:$F$28,$P1285),"INICIAL",IF($O1285&lt;=INDEX(PARAMETROS_CULTURAS!$F$6:$F$28,$P1285)+INDEX(PARAMETROS_CULTURAS!$G$6:$G$28,$P1285),"DESENVOLVIMENTO",IF($O1285&lt;=INDEX(PARAMETROS_CULTURAS!$F$6:$F$28,$P1285)+INDEX(PARAMETROS_CULTURAS!$G$6:$G$28,$P1285)+INDEX(PARAMETROS_CULTURAS!$H$6:$H$28,$P1285),"MEDIA","FINAL"))))</f>
        <v>DESENVOLVIMENTO</v>
      </c>
      <c r="R1285" s="24" t="n">
        <f aca="false">IF($P1285=0,0,IF($O1285&lt;=INDEX(PARAMETROS_CULTURAS!$F$6:$F$28,$P1285),INDEX(PARAMETROS_CULTURAS!$K$6:$K$28,$P1285),IF($O1285&lt;=INDEX(PARAMETROS_CULTURAS!$F$6:$F$28,$P1285)+INDEX(PARAMETROS_CULTURAS!$G$6:$G$28,$P1285),INDEX(PARAMETROS_CULTURAS!$K$6:$K$28,$P1285)+(INDEX(PARAMETROS_CULTURAS!$L$6:$L$28,$P1285)-INDEX(PARAMETROS_CULTURAS!$K$6:$K$28,$P1285))*($O1285-INDEX(PARAMETROS_CULTURAS!$F$6:$F$28,$P1285))/MAX(INDEX(PARAMETROS_CULTURAS!$G$6:$G$28,$P1285),0.0001),IF($O1285&lt;=INDEX(PARAMETROS_CULTURAS!$F$6:$F$28,$P1285)+INDEX(PARAMETROS_CULTURAS!$G$6:$G$28,$P1285)+INDEX(PARAMETROS_CULTURAS!$H$6:$H$28,$P1285),INDEX(PARAMETROS_CULTURAS!$L$6:$L$28,$P1285),INDEX(PARAMETROS_CULTURAS!$L$6:$L$28,$P1285)+(INDEX(PARAMETROS_CULTURAS!$M$6:$M$28,$P1285)-INDEX(PARAMETROS_CULTURAS!$L$6:$L$28,$P1285))*($O1285-INDEX(PARAMETROS_CULTURAS!$F$6:$F$28,$P1285)-INDEX(PARAMETROS_CULTURAS!$G$6:$G$28,$P1285)-INDEX(PARAMETROS_CULTURAS!$H$6:$H$28,$P1285))/MAX(INDEX(PARAMETROS_CULTURAS!$I$6:$I$28,$P1285),0.0001)))))</f>
        <v>0.94375</v>
      </c>
      <c r="S1285" s="18" t="n">
        <f aca="false">IFERROR(INDEX(SEMANAS!$H$6:$H$71,MATCH($B1285,SEMANAS!$B$6:$B$71,0)),0)</f>
        <v>32.9</v>
      </c>
      <c r="T1285" s="18" t="n">
        <f aca="false">$R1285*$S1285</f>
        <v>31.049375</v>
      </c>
      <c r="U1285" s="18" t="n">
        <f aca="false">IFERROR(INDEX(SEMANAS!$I$6:$I$71,MATCH($B1285,SEMANAS!$B$6:$B$71,0)),0)</f>
        <v>39.97</v>
      </c>
      <c r="V1285" s="18" t="n">
        <f aca="false">IFERROR(INDEX(SEMANAS!$J$6:$J$71,MATCH($B1285,SEMANAS!$B$6:$B$71,0)),0)</f>
        <v>31.976</v>
      </c>
      <c r="W1285" s="18" t="n">
        <f aca="false">MAX(0,$T1285-$V1285)</f>
        <v>0</v>
      </c>
      <c r="X1285" s="19" t="n">
        <f aca="false">IFERROR(INDEX(CADASTRO_PIVOS!$K$6:$K$41,MATCH($E1285,CADASTRO_PIVOS!$B$6:$B$41,0)),EFICIENCIA_PADRAO)</f>
        <v>0.85</v>
      </c>
      <c r="Y1285" s="18" t="n">
        <f aca="false">IF($X1285&lt;=0,0,$W1285/$X1285)</f>
        <v>0</v>
      </c>
      <c r="Z1285" s="16" t="n">
        <f aca="false">$Y1285*$H1285*MM_PARA_M3_HA</f>
        <v>0</v>
      </c>
      <c r="AA1285" s="18" t="n">
        <f aca="false">IFERROR(INDEX(CADASTRO_PIVOS!$I$6:$I$41,MATCH($E1285,CADASTRO_PIVOS!$B$6:$B$41,0)),0)</f>
        <v>1071</v>
      </c>
      <c r="AB1285" s="18" t="n">
        <f aca="false">IF($Z1285&lt;=0,0,$Z1285/$AA1285)</f>
        <v>0</v>
      </c>
      <c r="AC1285" s="16" t="n">
        <f aca="false">IFERROR(INDEX(SEMANAS!$K$6:$K$71,MATCH($B1285,SEMANAS!$B$6:$B$71,0)),0)</f>
        <v>147</v>
      </c>
      <c r="AD1285" s="19" t="n">
        <f aca="false">IF($AC1285&lt;=0,0,$AB1285/$AC1285)</f>
        <v>0</v>
      </c>
      <c r="AE1285" s="8" t="str">
        <f aca="false">IF($K1285="SEM CULTURA","SEM CULTURA",IF($AA1285&lt;=0,"DADO PENDENTE",IF($AD1285&gt;LIMITE_CRITICO,"INVIAVEL",IF($AD1285&gt;LIMITE_ATENCAO,"CRITICO",IF($AD1285&gt;LIMITE_CONFORTAVEL,"ATENCAO","OK")))))</f>
        <v>OK</v>
      </c>
      <c r="AF1285" s="8" t="str">
        <f aca="false">$B1285&amp;"|"&amp;TEXT($AD1285,"0.000000")</f>
        <v>26|0.000000</v>
      </c>
      <c r="AG1285" s="18" t="n">
        <f aca="false">IF($K1285="SEM CULTURA",0,$T1285*$H1285)</f>
        <v>4655.5432875</v>
      </c>
      <c r="AH1285" s="18" t="n">
        <f aca="false">IF($K1285="SEM CULTURA",0,$V1285*$H1285)</f>
        <v>4794.48144</v>
      </c>
      <c r="AI1285" s="18" t="n">
        <f aca="false">IF($K1285="SEM CULTURA",0,$W1285*$H1285)</f>
        <v>0</v>
      </c>
      <c r="AJ1285" s="18" t="n">
        <f aca="false">IF($K1285="SEM CULTURA",0,$S1285*$H1285)</f>
        <v>4933.026</v>
      </c>
      <c r="AK1285" s="8" t="str">
        <f aca="false">$E1285&amp;"|"&amp;TEXT($AD1285,"0.000000")</f>
        <v>PV 119|0.000000</v>
      </c>
    </row>
    <row r="1286" customFormat="false" ht="15" hidden="false" customHeight="false" outlineLevel="0" collapsed="false">
      <c r="B1286" s="16" t="n">
        <v>27</v>
      </c>
      <c r="C1286" s="17" t="n">
        <f aca="false">DATA_INICIO_SAFRA+($B1286-1)*DIAS_POR_SEMANA</f>
        <v>46447</v>
      </c>
      <c r="D1286" s="17" t="n">
        <f aca="false">$C1286+DIAS_POR_SEMANA-1</f>
        <v>46453</v>
      </c>
      <c r="E1286" s="15" t="s">
        <v>278</v>
      </c>
      <c r="F1286" s="8" t="str">
        <f aca="false">IFERROR(INDEX(CADASTRO_PIVOS!$C$6:$C$41,MATCH($E1286,CADASTRO_PIVOS!$B$6:$B$41,0)),"?")</f>
        <v>RM06</v>
      </c>
      <c r="G1286" s="8" t="str">
        <f aca="false">IFERROR(INDEX(CADASTRO_PIVOS!$D$6:$D$41,MATCH($E1286,CADASTRO_PIVOS!$B$6:$B$41,0)),"?")</f>
        <v>TR06</v>
      </c>
      <c r="H1286" s="20" t="n">
        <f aca="false">IFERROR(INDEX(CADASTRO_PIVOS!$E$6:$E$41,MATCH($E1286,CADASTRO_PIVOS!$B$6:$B$41,0)),0)</f>
        <v>149.94</v>
      </c>
      <c r="I1286" s="16" t="n">
        <f aca="false">IFERROR(SUMIFS(ROTACAO_RDM!$B$6:$B$71,ROTACAO_RDM!$D$6:$D$71,$E1286,ROTACAO_RDM!$I$6:$I$71,"&lt;="&amp;$C1286+INT(DIAS_POR_SEMANA/2),ROTACAO_RDM!$J$6:$J$71,"&gt;="&amp;$C1286+INT(DIAS_POR_SEMANA/2)),0)</f>
        <v>32</v>
      </c>
      <c r="J1286" s="16" t="n">
        <f aca="false">IFERROR(MATCH($I1286,ROTACAO_RDM!$B$6:$B$71,0),0)</f>
        <v>32</v>
      </c>
      <c r="K1286" s="8" t="str">
        <f aca="false">IF($J1286=0,"SEM CULTURA",INDEX(ROTACAO_RDM!$F$6:$F$71,$J1286))</f>
        <v>TABACO</v>
      </c>
      <c r="L1286" s="8" t="str">
        <f aca="false">IF($J1286=0,"",INDEX(ROTACAO_RDM!$G$6:$G$71,$J1286))</f>
        <v>PVH-2343</v>
      </c>
      <c r="M1286" s="17" t="n">
        <f aca="false">IF($J1286=0,"",INDEX(ROTACAO_RDM!$I$6:$I$71,$J1286))</f>
        <v>46380</v>
      </c>
      <c r="N1286" s="16" t="n">
        <f aca="false">IF($J1286=0,0,MAX(0,$C1286+INT(DIAS_POR_SEMANA/2)-INDEX(ROTACAO_RDM!$I$6:$I$71,$J1286)))</f>
        <v>70</v>
      </c>
      <c r="O1286" s="19" t="n">
        <f aca="false">IF($J1286=0,0,MIN(1,$N1286/MAX(1,INDEX(ROTACAO_RDM!$K$6:$K$71,$J1286))))</f>
        <v>0.4375</v>
      </c>
      <c r="P1286" s="16" t="n">
        <f aca="false">IF($J1286=0,0,IFERROR(MATCH(INDEX(ROTACAO_RDM!$N$6:$N$71,$J1286),PARAMETROS_CULTURAS!$B$6:$B$28,0),0))</f>
        <v>9</v>
      </c>
      <c r="Q1286" s="8" t="str">
        <f aca="false">IF($P1286=0,"-",IF($O1286&lt;=INDEX(PARAMETROS_CULTURAS!$F$6:$F$28,$P1286),"INICIAL",IF($O1286&lt;=INDEX(PARAMETROS_CULTURAS!$F$6:$F$28,$P1286)+INDEX(PARAMETROS_CULTURAS!$G$6:$G$28,$P1286),"DESENVOLVIMENTO",IF($O1286&lt;=INDEX(PARAMETROS_CULTURAS!$F$6:$F$28,$P1286)+INDEX(PARAMETROS_CULTURAS!$G$6:$G$28,$P1286)+INDEX(PARAMETROS_CULTURAS!$H$6:$H$28,$P1286),"MEDIA","FINAL"))))</f>
        <v>DESENVOLVIMENTO</v>
      </c>
      <c r="R1286" s="24" t="n">
        <f aca="false">IF($P1286=0,0,IF($O1286&lt;=INDEX(PARAMETROS_CULTURAS!$F$6:$F$28,$P1286),INDEX(PARAMETROS_CULTURAS!$K$6:$K$28,$P1286),IF($O1286&lt;=INDEX(PARAMETROS_CULTURAS!$F$6:$F$28,$P1286)+INDEX(PARAMETROS_CULTURAS!$G$6:$G$28,$P1286),INDEX(PARAMETROS_CULTURAS!$K$6:$K$28,$P1286)+(INDEX(PARAMETROS_CULTURAS!$L$6:$L$28,$P1286)-INDEX(PARAMETROS_CULTURAS!$K$6:$K$28,$P1286))*($O1286-INDEX(PARAMETROS_CULTURAS!$F$6:$F$28,$P1286))/MAX(INDEX(PARAMETROS_CULTURAS!$G$6:$G$28,$P1286),0.0001),IF($O1286&lt;=INDEX(PARAMETROS_CULTURAS!$F$6:$F$28,$P1286)+INDEX(PARAMETROS_CULTURAS!$G$6:$G$28,$P1286)+INDEX(PARAMETROS_CULTURAS!$H$6:$H$28,$P1286),INDEX(PARAMETROS_CULTURAS!$L$6:$L$28,$P1286),INDEX(PARAMETROS_CULTURAS!$L$6:$L$28,$P1286)+(INDEX(PARAMETROS_CULTURAS!$M$6:$M$28,$P1286)-INDEX(PARAMETROS_CULTURAS!$L$6:$L$28,$P1286))*($O1286-INDEX(PARAMETROS_CULTURAS!$F$6:$F$28,$P1286)-INDEX(PARAMETROS_CULTURAS!$G$6:$G$28,$P1286)-INDEX(PARAMETROS_CULTURAS!$H$6:$H$28,$P1286))/MAX(INDEX(PARAMETROS_CULTURAS!$I$6:$I$28,$P1286),0.0001)))))</f>
        <v>1.06527777777778</v>
      </c>
      <c r="S1286" s="18" t="n">
        <f aca="false">IFERROR(INDEX(SEMANAS!$H$6:$H$71,MATCH($B1286,SEMANAS!$B$6:$B$71,0)),0)</f>
        <v>32.2</v>
      </c>
      <c r="T1286" s="18" t="n">
        <f aca="false">$R1286*$S1286</f>
        <v>34.3019444444444</v>
      </c>
      <c r="U1286" s="18" t="n">
        <f aca="false">IFERROR(INDEX(SEMANAS!$I$6:$I$71,MATCH($B1286,SEMANAS!$B$6:$B$71,0)),0)</f>
        <v>37.24</v>
      </c>
      <c r="V1286" s="18" t="n">
        <f aca="false">IFERROR(INDEX(SEMANAS!$J$6:$J$71,MATCH($B1286,SEMANAS!$B$6:$B$71,0)),0)</f>
        <v>29.792</v>
      </c>
      <c r="W1286" s="18" t="n">
        <f aca="false">MAX(0,$T1286-$V1286)</f>
        <v>4.50994444444444</v>
      </c>
      <c r="X1286" s="19" t="n">
        <f aca="false">IFERROR(INDEX(CADASTRO_PIVOS!$K$6:$K$41,MATCH($E1286,CADASTRO_PIVOS!$B$6:$B$41,0)),EFICIENCIA_PADRAO)</f>
        <v>0.85</v>
      </c>
      <c r="Y1286" s="18" t="n">
        <f aca="false">IF($X1286&lt;=0,0,$W1286/$X1286)</f>
        <v>5.30581699346404</v>
      </c>
      <c r="Z1286" s="16" t="n">
        <f aca="false">$Y1286*$H1286*MM_PARA_M3_HA</f>
        <v>7955.54199999999</v>
      </c>
      <c r="AA1286" s="18" t="n">
        <f aca="false">IFERROR(INDEX(CADASTRO_PIVOS!$I$6:$I$41,MATCH($E1286,CADASTRO_PIVOS!$B$6:$B$41,0)),0)</f>
        <v>1071</v>
      </c>
      <c r="AB1286" s="18" t="n">
        <f aca="false">IF($Z1286&lt;=0,0,$Z1286/$AA1286)</f>
        <v>7.42814379084966</v>
      </c>
      <c r="AC1286" s="16" t="n">
        <f aca="false">IFERROR(INDEX(SEMANAS!$K$6:$K$71,MATCH($B1286,SEMANAS!$B$6:$B$71,0)),0)</f>
        <v>147</v>
      </c>
      <c r="AD1286" s="19" t="n">
        <f aca="false">IF($AC1286&lt;=0,0,$AB1286/$AC1286)</f>
        <v>0.0505315904139433</v>
      </c>
      <c r="AE1286" s="8" t="str">
        <f aca="false">IF($K1286="SEM CULTURA","SEM CULTURA",IF($AA1286&lt;=0,"DADO PENDENTE",IF($AD1286&gt;LIMITE_CRITICO,"INVIAVEL",IF($AD1286&gt;LIMITE_ATENCAO,"CRITICO",IF($AD1286&gt;LIMITE_CONFORTAVEL,"ATENCAO","OK")))))</f>
        <v>OK</v>
      </c>
      <c r="AF1286" s="8" t="str">
        <f aca="false">$B1286&amp;"|"&amp;TEXT($AD1286,"0.000000")</f>
        <v>27|0.050532</v>
      </c>
      <c r="AG1286" s="18" t="n">
        <f aca="false">IF($K1286="SEM CULTURA",0,$T1286*$H1286)</f>
        <v>5143.23355</v>
      </c>
      <c r="AH1286" s="18" t="n">
        <f aca="false">IF($K1286="SEM CULTURA",0,$V1286*$H1286)</f>
        <v>4467.01248</v>
      </c>
      <c r="AI1286" s="18" t="n">
        <f aca="false">IF($K1286="SEM CULTURA",0,$W1286*$H1286)</f>
        <v>676.221069999999</v>
      </c>
      <c r="AJ1286" s="18" t="n">
        <f aca="false">IF($K1286="SEM CULTURA",0,$S1286*$H1286)</f>
        <v>4828.068</v>
      </c>
      <c r="AK1286" s="8" t="str">
        <f aca="false">$E1286&amp;"|"&amp;TEXT($AD1286,"0.000000")</f>
        <v>PV 119|0.050532</v>
      </c>
    </row>
    <row r="1287" customFormat="false" ht="15" hidden="false" customHeight="false" outlineLevel="0" collapsed="false">
      <c r="B1287" s="16" t="n">
        <v>28</v>
      </c>
      <c r="C1287" s="17" t="n">
        <f aca="false">DATA_INICIO_SAFRA+($B1287-1)*DIAS_POR_SEMANA</f>
        <v>46454</v>
      </c>
      <c r="D1287" s="17" t="n">
        <f aca="false">$C1287+DIAS_POR_SEMANA-1</f>
        <v>46460</v>
      </c>
      <c r="E1287" s="15" t="s">
        <v>278</v>
      </c>
      <c r="F1287" s="8" t="str">
        <f aca="false">IFERROR(INDEX(CADASTRO_PIVOS!$C$6:$C$41,MATCH($E1287,CADASTRO_PIVOS!$B$6:$B$41,0)),"?")</f>
        <v>RM06</v>
      </c>
      <c r="G1287" s="8" t="str">
        <f aca="false">IFERROR(INDEX(CADASTRO_PIVOS!$D$6:$D$41,MATCH($E1287,CADASTRO_PIVOS!$B$6:$B$41,0)),"?")</f>
        <v>TR06</v>
      </c>
      <c r="H1287" s="20" t="n">
        <f aca="false">IFERROR(INDEX(CADASTRO_PIVOS!$E$6:$E$41,MATCH($E1287,CADASTRO_PIVOS!$B$6:$B$41,0)),0)</f>
        <v>149.94</v>
      </c>
      <c r="I1287" s="16" t="n">
        <f aca="false">IFERROR(SUMIFS(ROTACAO_RDM!$B$6:$B$71,ROTACAO_RDM!$D$6:$D$71,$E1287,ROTACAO_RDM!$I$6:$I$71,"&lt;="&amp;$C1287+INT(DIAS_POR_SEMANA/2),ROTACAO_RDM!$J$6:$J$71,"&gt;="&amp;$C1287+INT(DIAS_POR_SEMANA/2)),0)</f>
        <v>32</v>
      </c>
      <c r="J1287" s="16" t="n">
        <f aca="false">IFERROR(MATCH($I1287,ROTACAO_RDM!$B$6:$B$71,0),0)</f>
        <v>32</v>
      </c>
      <c r="K1287" s="8" t="str">
        <f aca="false">IF($J1287=0,"SEM CULTURA",INDEX(ROTACAO_RDM!$F$6:$F$71,$J1287))</f>
        <v>TABACO</v>
      </c>
      <c r="L1287" s="8" t="str">
        <f aca="false">IF($J1287=0,"",INDEX(ROTACAO_RDM!$G$6:$G$71,$J1287))</f>
        <v>PVH-2343</v>
      </c>
      <c r="M1287" s="17" t="n">
        <f aca="false">IF($J1287=0,"",INDEX(ROTACAO_RDM!$I$6:$I$71,$J1287))</f>
        <v>46380</v>
      </c>
      <c r="N1287" s="16" t="n">
        <f aca="false">IF($J1287=0,0,MAX(0,$C1287+INT(DIAS_POR_SEMANA/2)-INDEX(ROTACAO_RDM!$I$6:$I$71,$J1287)))</f>
        <v>77</v>
      </c>
      <c r="O1287" s="19" t="n">
        <f aca="false">IF($J1287=0,0,MIN(1,$N1287/MAX(1,INDEX(ROTACAO_RDM!$K$6:$K$71,$J1287))))</f>
        <v>0.48125</v>
      </c>
      <c r="P1287" s="16" t="n">
        <f aca="false">IF($J1287=0,0,IFERROR(MATCH(INDEX(ROTACAO_RDM!$N$6:$N$71,$J1287),PARAMETROS_CULTURAS!$B$6:$B$28,0),0))</f>
        <v>9</v>
      </c>
      <c r="Q1287" s="8" t="str">
        <f aca="false">IF($P1287=0,"-",IF($O1287&lt;=INDEX(PARAMETROS_CULTURAS!$F$6:$F$28,$P1287),"INICIAL",IF($O1287&lt;=INDEX(PARAMETROS_CULTURAS!$F$6:$F$28,$P1287)+INDEX(PARAMETROS_CULTURAS!$G$6:$G$28,$P1287),"DESENVOLVIMENTO",IF($O1287&lt;=INDEX(PARAMETROS_CULTURAS!$F$6:$F$28,$P1287)+INDEX(PARAMETROS_CULTURAS!$G$6:$G$28,$P1287)+INDEX(PARAMETROS_CULTURAS!$H$6:$H$28,$P1287),"MEDIA","FINAL"))))</f>
        <v>MEDIA</v>
      </c>
      <c r="R1287" s="24" t="n">
        <f aca="false">IF($P1287=0,0,IF($O1287&lt;=INDEX(PARAMETROS_CULTURAS!$F$6:$F$28,$P1287),INDEX(PARAMETROS_CULTURAS!$K$6:$K$28,$P1287),IF($O1287&lt;=INDEX(PARAMETROS_CULTURAS!$F$6:$F$28,$P1287)+INDEX(PARAMETROS_CULTURAS!$G$6:$G$28,$P1287),INDEX(PARAMETROS_CULTURAS!$K$6:$K$28,$P1287)+(INDEX(PARAMETROS_CULTURAS!$L$6:$L$28,$P1287)-INDEX(PARAMETROS_CULTURAS!$K$6:$K$28,$P1287))*($O1287-INDEX(PARAMETROS_CULTURAS!$F$6:$F$28,$P1287))/MAX(INDEX(PARAMETROS_CULTURAS!$G$6:$G$28,$P1287),0.0001),IF($O1287&lt;=INDEX(PARAMETROS_CULTURAS!$F$6:$F$28,$P1287)+INDEX(PARAMETROS_CULTURAS!$G$6:$G$28,$P1287)+INDEX(PARAMETROS_CULTURAS!$H$6:$H$28,$P1287),INDEX(PARAMETROS_CULTURAS!$L$6:$L$28,$P1287),INDEX(PARAMETROS_CULTURAS!$L$6:$L$28,$P1287)+(INDEX(PARAMETROS_CULTURAS!$M$6:$M$28,$P1287)-INDEX(PARAMETROS_CULTURAS!$L$6:$L$28,$P1287))*($O1287-INDEX(PARAMETROS_CULTURAS!$F$6:$F$28,$P1287)-INDEX(PARAMETROS_CULTURAS!$G$6:$G$28,$P1287)-INDEX(PARAMETROS_CULTURAS!$H$6:$H$28,$P1287))/MAX(INDEX(PARAMETROS_CULTURAS!$I$6:$I$28,$P1287),0.0001)))))</f>
        <v>1.1</v>
      </c>
      <c r="S1287" s="18" t="n">
        <f aca="false">IFERROR(INDEX(SEMANAS!$H$6:$H$71,MATCH($B1287,SEMANAS!$B$6:$B$71,0)),0)</f>
        <v>32.2</v>
      </c>
      <c r="T1287" s="18" t="n">
        <f aca="false">$R1287*$S1287</f>
        <v>35.42</v>
      </c>
      <c r="U1287" s="18" t="n">
        <f aca="false">IFERROR(INDEX(SEMANAS!$I$6:$I$71,MATCH($B1287,SEMANAS!$B$6:$B$71,0)),0)</f>
        <v>37.24</v>
      </c>
      <c r="V1287" s="18" t="n">
        <f aca="false">IFERROR(INDEX(SEMANAS!$J$6:$J$71,MATCH($B1287,SEMANAS!$B$6:$B$71,0)),0)</f>
        <v>29.792</v>
      </c>
      <c r="W1287" s="18" t="n">
        <f aca="false">MAX(0,$T1287-$V1287)</f>
        <v>5.628</v>
      </c>
      <c r="X1287" s="19" t="n">
        <f aca="false">IFERROR(INDEX(CADASTRO_PIVOS!$K$6:$K$41,MATCH($E1287,CADASTRO_PIVOS!$B$6:$B$41,0)),EFICIENCIA_PADRAO)</f>
        <v>0.85</v>
      </c>
      <c r="Y1287" s="18" t="n">
        <f aca="false">IF($X1287&lt;=0,0,$W1287/$X1287)</f>
        <v>6.62117647058824</v>
      </c>
      <c r="Z1287" s="16" t="n">
        <f aca="false">$Y1287*$H1287*MM_PARA_M3_HA</f>
        <v>9927.792</v>
      </c>
      <c r="AA1287" s="18" t="n">
        <f aca="false">IFERROR(INDEX(CADASTRO_PIVOS!$I$6:$I$41,MATCH($E1287,CADASTRO_PIVOS!$B$6:$B$41,0)),0)</f>
        <v>1071</v>
      </c>
      <c r="AB1287" s="18" t="n">
        <f aca="false">IF($Z1287&lt;=0,0,$Z1287/$AA1287)</f>
        <v>9.26964705882353</v>
      </c>
      <c r="AC1287" s="16" t="n">
        <f aca="false">IFERROR(INDEX(SEMANAS!$K$6:$K$71,MATCH($B1287,SEMANAS!$B$6:$B$71,0)),0)</f>
        <v>147</v>
      </c>
      <c r="AD1287" s="19" t="n">
        <f aca="false">IF($AC1287&lt;=0,0,$AB1287/$AC1287)</f>
        <v>0.0630588235294118</v>
      </c>
      <c r="AE1287" s="8" t="str">
        <f aca="false">IF($K1287="SEM CULTURA","SEM CULTURA",IF($AA1287&lt;=0,"DADO PENDENTE",IF($AD1287&gt;LIMITE_CRITICO,"INVIAVEL",IF($AD1287&gt;LIMITE_ATENCAO,"CRITICO",IF($AD1287&gt;LIMITE_CONFORTAVEL,"ATENCAO","OK")))))</f>
        <v>OK</v>
      </c>
      <c r="AF1287" s="8" t="str">
        <f aca="false">$B1287&amp;"|"&amp;TEXT($AD1287,"0.000000")</f>
        <v>28|0.063059</v>
      </c>
      <c r="AG1287" s="18" t="n">
        <f aca="false">IF($K1287="SEM CULTURA",0,$T1287*$H1287)</f>
        <v>5310.8748</v>
      </c>
      <c r="AH1287" s="18" t="n">
        <f aca="false">IF($K1287="SEM CULTURA",0,$V1287*$H1287)</f>
        <v>4467.01248</v>
      </c>
      <c r="AI1287" s="18" t="n">
        <f aca="false">IF($K1287="SEM CULTURA",0,$W1287*$H1287)</f>
        <v>843.86232</v>
      </c>
      <c r="AJ1287" s="18" t="n">
        <f aca="false">IF($K1287="SEM CULTURA",0,$S1287*$H1287)</f>
        <v>4828.068</v>
      </c>
      <c r="AK1287" s="8" t="str">
        <f aca="false">$E1287&amp;"|"&amp;TEXT($AD1287,"0.000000")</f>
        <v>PV 119|0.063059</v>
      </c>
    </row>
    <row r="1288" customFormat="false" ht="15" hidden="false" customHeight="false" outlineLevel="0" collapsed="false">
      <c r="B1288" s="16" t="n">
        <v>29</v>
      </c>
      <c r="C1288" s="17" t="n">
        <f aca="false">DATA_INICIO_SAFRA+($B1288-1)*DIAS_POR_SEMANA</f>
        <v>46461</v>
      </c>
      <c r="D1288" s="17" t="n">
        <f aca="false">$C1288+DIAS_POR_SEMANA-1</f>
        <v>46467</v>
      </c>
      <c r="E1288" s="15" t="s">
        <v>278</v>
      </c>
      <c r="F1288" s="8" t="str">
        <f aca="false">IFERROR(INDEX(CADASTRO_PIVOS!$C$6:$C$41,MATCH($E1288,CADASTRO_PIVOS!$B$6:$B$41,0)),"?")</f>
        <v>RM06</v>
      </c>
      <c r="G1288" s="8" t="str">
        <f aca="false">IFERROR(INDEX(CADASTRO_PIVOS!$D$6:$D$41,MATCH($E1288,CADASTRO_PIVOS!$B$6:$B$41,0)),"?")</f>
        <v>TR06</v>
      </c>
      <c r="H1288" s="20" t="n">
        <f aca="false">IFERROR(INDEX(CADASTRO_PIVOS!$E$6:$E$41,MATCH($E1288,CADASTRO_PIVOS!$B$6:$B$41,0)),0)</f>
        <v>149.94</v>
      </c>
      <c r="I1288" s="16" t="n">
        <f aca="false">IFERROR(SUMIFS(ROTACAO_RDM!$B$6:$B$71,ROTACAO_RDM!$D$6:$D$71,$E1288,ROTACAO_RDM!$I$6:$I$71,"&lt;="&amp;$C1288+INT(DIAS_POR_SEMANA/2),ROTACAO_RDM!$J$6:$J$71,"&gt;="&amp;$C1288+INT(DIAS_POR_SEMANA/2)),0)</f>
        <v>32</v>
      </c>
      <c r="J1288" s="16" t="n">
        <f aca="false">IFERROR(MATCH($I1288,ROTACAO_RDM!$B$6:$B$71,0),0)</f>
        <v>32</v>
      </c>
      <c r="K1288" s="8" t="str">
        <f aca="false">IF($J1288=0,"SEM CULTURA",INDEX(ROTACAO_RDM!$F$6:$F$71,$J1288))</f>
        <v>TABACO</v>
      </c>
      <c r="L1288" s="8" t="str">
        <f aca="false">IF($J1288=0,"",INDEX(ROTACAO_RDM!$G$6:$G$71,$J1288))</f>
        <v>PVH-2343</v>
      </c>
      <c r="M1288" s="17" t="n">
        <f aca="false">IF($J1288=0,"",INDEX(ROTACAO_RDM!$I$6:$I$71,$J1288))</f>
        <v>46380</v>
      </c>
      <c r="N1288" s="16" t="n">
        <f aca="false">IF($J1288=0,0,MAX(0,$C1288+INT(DIAS_POR_SEMANA/2)-INDEX(ROTACAO_RDM!$I$6:$I$71,$J1288)))</f>
        <v>84</v>
      </c>
      <c r="O1288" s="19" t="n">
        <f aca="false">IF($J1288=0,0,MIN(1,$N1288/MAX(1,INDEX(ROTACAO_RDM!$K$6:$K$71,$J1288))))</f>
        <v>0.525</v>
      </c>
      <c r="P1288" s="16" t="n">
        <f aca="false">IF($J1288=0,0,IFERROR(MATCH(INDEX(ROTACAO_RDM!$N$6:$N$71,$J1288),PARAMETROS_CULTURAS!$B$6:$B$28,0),0))</f>
        <v>9</v>
      </c>
      <c r="Q1288" s="8" t="str">
        <f aca="false">IF($P1288=0,"-",IF($O1288&lt;=INDEX(PARAMETROS_CULTURAS!$F$6:$F$28,$P1288),"INICIAL",IF($O1288&lt;=INDEX(PARAMETROS_CULTURAS!$F$6:$F$28,$P1288)+INDEX(PARAMETROS_CULTURAS!$G$6:$G$28,$P1288),"DESENVOLVIMENTO",IF($O1288&lt;=INDEX(PARAMETROS_CULTURAS!$F$6:$F$28,$P1288)+INDEX(PARAMETROS_CULTURAS!$G$6:$G$28,$P1288)+INDEX(PARAMETROS_CULTURAS!$H$6:$H$28,$P1288),"MEDIA","FINAL"))))</f>
        <v>MEDIA</v>
      </c>
      <c r="R1288" s="24" t="n">
        <f aca="false">IF($P1288=0,0,IF($O1288&lt;=INDEX(PARAMETROS_CULTURAS!$F$6:$F$28,$P1288),INDEX(PARAMETROS_CULTURAS!$K$6:$K$28,$P1288),IF($O1288&lt;=INDEX(PARAMETROS_CULTURAS!$F$6:$F$28,$P1288)+INDEX(PARAMETROS_CULTURAS!$G$6:$G$28,$P1288),INDEX(PARAMETROS_CULTURAS!$K$6:$K$28,$P1288)+(INDEX(PARAMETROS_CULTURAS!$L$6:$L$28,$P1288)-INDEX(PARAMETROS_CULTURAS!$K$6:$K$28,$P1288))*($O1288-INDEX(PARAMETROS_CULTURAS!$F$6:$F$28,$P1288))/MAX(INDEX(PARAMETROS_CULTURAS!$G$6:$G$28,$P1288),0.0001),IF($O1288&lt;=INDEX(PARAMETROS_CULTURAS!$F$6:$F$28,$P1288)+INDEX(PARAMETROS_CULTURAS!$G$6:$G$28,$P1288)+INDEX(PARAMETROS_CULTURAS!$H$6:$H$28,$P1288),INDEX(PARAMETROS_CULTURAS!$L$6:$L$28,$P1288),INDEX(PARAMETROS_CULTURAS!$L$6:$L$28,$P1288)+(INDEX(PARAMETROS_CULTURAS!$M$6:$M$28,$P1288)-INDEX(PARAMETROS_CULTURAS!$L$6:$L$28,$P1288))*($O1288-INDEX(PARAMETROS_CULTURAS!$F$6:$F$28,$P1288)-INDEX(PARAMETROS_CULTURAS!$G$6:$G$28,$P1288)-INDEX(PARAMETROS_CULTURAS!$H$6:$H$28,$P1288))/MAX(INDEX(PARAMETROS_CULTURAS!$I$6:$I$28,$P1288),0.0001)))))</f>
        <v>1.1</v>
      </c>
      <c r="S1288" s="18" t="n">
        <f aca="false">IFERROR(INDEX(SEMANAS!$H$6:$H$71,MATCH($B1288,SEMANAS!$B$6:$B$71,0)),0)</f>
        <v>32.2</v>
      </c>
      <c r="T1288" s="18" t="n">
        <f aca="false">$R1288*$S1288</f>
        <v>35.42</v>
      </c>
      <c r="U1288" s="18" t="n">
        <f aca="false">IFERROR(INDEX(SEMANAS!$I$6:$I$71,MATCH($B1288,SEMANAS!$B$6:$B$71,0)),0)</f>
        <v>37.24</v>
      </c>
      <c r="V1288" s="18" t="n">
        <f aca="false">IFERROR(INDEX(SEMANAS!$J$6:$J$71,MATCH($B1288,SEMANAS!$B$6:$B$71,0)),0)</f>
        <v>29.792</v>
      </c>
      <c r="W1288" s="18" t="n">
        <f aca="false">MAX(0,$T1288-$V1288)</f>
        <v>5.628</v>
      </c>
      <c r="X1288" s="19" t="n">
        <f aca="false">IFERROR(INDEX(CADASTRO_PIVOS!$K$6:$K$41,MATCH($E1288,CADASTRO_PIVOS!$B$6:$B$41,0)),EFICIENCIA_PADRAO)</f>
        <v>0.85</v>
      </c>
      <c r="Y1288" s="18" t="n">
        <f aca="false">IF($X1288&lt;=0,0,$W1288/$X1288)</f>
        <v>6.62117647058824</v>
      </c>
      <c r="Z1288" s="16" t="n">
        <f aca="false">$Y1288*$H1288*MM_PARA_M3_HA</f>
        <v>9927.792</v>
      </c>
      <c r="AA1288" s="18" t="n">
        <f aca="false">IFERROR(INDEX(CADASTRO_PIVOS!$I$6:$I$41,MATCH($E1288,CADASTRO_PIVOS!$B$6:$B$41,0)),0)</f>
        <v>1071</v>
      </c>
      <c r="AB1288" s="18" t="n">
        <f aca="false">IF($Z1288&lt;=0,0,$Z1288/$AA1288)</f>
        <v>9.26964705882353</v>
      </c>
      <c r="AC1288" s="16" t="n">
        <f aca="false">IFERROR(INDEX(SEMANAS!$K$6:$K$71,MATCH($B1288,SEMANAS!$B$6:$B$71,0)),0)</f>
        <v>147</v>
      </c>
      <c r="AD1288" s="19" t="n">
        <f aca="false">IF($AC1288&lt;=0,0,$AB1288/$AC1288)</f>
        <v>0.0630588235294118</v>
      </c>
      <c r="AE1288" s="8" t="str">
        <f aca="false">IF($K1288="SEM CULTURA","SEM CULTURA",IF($AA1288&lt;=0,"DADO PENDENTE",IF($AD1288&gt;LIMITE_CRITICO,"INVIAVEL",IF($AD1288&gt;LIMITE_ATENCAO,"CRITICO",IF($AD1288&gt;LIMITE_CONFORTAVEL,"ATENCAO","OK")))))</f>
        <v>OK</v>
      </c>
      <c r="AF1288" s="8" t="str">
        <f aca="false">$B1288&amp;"|"&amp;TEXT($AD1288,"0.000000")</f>
        <v>29|0.063059</v>
      </c>
      <c r="AG1288" s="18" t="n">
        <f aca="false">IF($K1288="SEM CULTURA",0,$T1288*$H1288)</f>
        <v>5310.8748</v>
      </c>
      <c r="AH1288" s="18" t="n">
        <f aca="false">IF($K1288="SEM CULTURA",0,$V1288*$H1288)</f>
        <v>4467.01248</v>
      </c>
      <c r="AI1288" s="18" t="n">
        <f aca="false">IF($K1288="SEM CULTURA",0,$W1288*$H1288)</f>
        <v>843.86232</v>
      </c>
      <c r="AJ1288" s="18" t="n">
        <f aca="false">IF($K1288="SEM CULTURA",0,$S1288*$H1288)</f>
        <v>4828.068</v>
      </c>
      <c r="AK1288" s="8" t="str">
        <f aca="false">$E1288&amp;"|"&amp;TEXT($AD1288,"0.000000")</f>
        <v>PV 119|0.063059</v>
      </c>
    </row>
    <row r="1289" customFormat="false" ht="15" hidden="false" customHeight="false" outlineLevel="0" collapsed="false">
      <c r="B1289" s="16" t="n">
        <v>30</v>
      </c>
      <c r="C1289" s="17" t="n">
        <f aca="false">DATA_INICIO_SAFRA+($B1289-1)*DIAS_POR_SEMANA</f>
        <v>46468</v>
      </c>
      <c r="D1289" s="17" t="n">
        <f aca="false">$C1289+DIAS_POR_SEMANA-1</f>
        <v>46474</v>
      </c>
      <c r="E1289" s="15" t="s">
        <v>278</v>
      </c>
      <c r="F1289" s="8" t="str">
        <f aca="false">IFERROR(INDEX(CADASTRO_PIVOS!$C$6:$C$41,MATCH($E1289,CADASTRO_PIVOS!$B$6:$B$41,0)),"?")</f>
        <v>RM06</v>
      </c>
      <c r="G1289" s="8" t="str">
        <f aca="false">IFERROR(INDEX(CADASTRO_PIVOS!$D$6:$D$41,MATCH($E1289,CADASTRO_PIVOS!$B$6:$B$41,0)),"?")</f>
        <v>TR06</v>
      </c>
      <c r="H1289" s="20" t="n">
        <f aca="false">IFERROR(INDEX(CADASTRO_PIVOS!$E$6:$E$41,MATCH($E1289,CADASTRO_PIVOS!$B$6:$B$41,0)),0)</f>
        <v>149.94</v>
      </c>
      <c r="I1289" s="16" t="n">
        <f aca="false">IFERROR(SUMIFS(ROTACAO_RDM!$B$6:$B$71,ROTACAO_RDM!$D$6:$D$71,$E1289,ROTACAO_RDM!$I$6:$I$71,"&lt;="&amp;$C1289+INT(DIAS_POR_SEMANA/2),ROTACAO_RDM!$J$6:$J$71,"&gt;="&amp;$C1289+INT(DIAS_POR_SEMANA/2)),0)</f>
        <v>32</v>
      </c>
      <c r="J1289" s="16" t="n">
        <f aca="false">IFERROR(MATCH($I1289,ROTACAO_RDM!$B$6:$B$71,0),0)</f>
        <v>32</v>
      </c>
      <c r="K1289" s="8" t="str">
        <f aca="false">IF($J1289=0,"SEM CULTURA",INDEX(ROTACAO_RDM!$F$6:$F$71,$J1289))</f>
        <v>TABACO</v>
      </c>
      <c r="L1289" s="8" t="str">
        <f aca="false">IF($J1289=0,"",INDEX(ROTACAO_RDM!$G$6:$G$71,$J1289))</f>
        <v>PVH-2343</v>
      </c>
      <c r="M1289" s="17" t="n">
        <f aca="false">IF($J1289=0,"",INDEX(ROTACAO_RDM!$I$6:$I$71,$J1289))</f>
        <v>46380</v>
      </c>
      <c r="N1289" s="16" t="n">
        <f aca="false">IF($J1289=0,0,MAX(0,$C1289+INT(DIAS_POR_SEMANA/2)-INDEX(ROTACAO_RDM!$I$6:$I$71,$J1289)))</f>
        <v>91</v>
      </c>
      <c r="O1289" s="19" t="n">
        <f aca="false">IF($J1289=0,0,MIN(1,$N1289/MAX(1,INDEX(ROTACAO_RDM!$K$6:$K$71,$J1289))))</f>
        <v>0.56875</v>
      </c>
      <c r="P1289" s="16" t="n">
        <f aca="false">IF($J1289=0,0,IFERROR(MATCH(INDEX(ROTACAO_RDM!$N$6:$N$71,$J1289),PARAMETROS_CULTURAS!$B$6:$B$28,0),0))</f>
        <v>9</v>
      </c>
      <c r="Q1289" s="8" t="str">
        <f aca="false">IF($P1289=0,"-",IF($O1289&lt;=INDEX(PARAMETROS_CULTURAS!$F$6:$F$28,$P1289),"INICIAL",IF($O1289&lt;=INDEX(PARAMETROS_CULTURAS!$F$6:$F$28,$P1289)+INDEX(PARAMETROS_CULTURAS!$G$6:$G$28,$P1289),"DESENVOLVIMENTO",IF($O1289&lt;=INDEX(PARAMETROS_CULTURAS!$F$6:$F$28,$P1289)+INDEX(PARAMETROS_CULTURAS!$G$6:$G$28,$P1289)+INDEX(PARAMETROS_CULTURAS!$H$6:$H$28,$P1289),"MEDIA","FINAL"))))</f>
        <v>MEDIA</v>
      </c>
      <c r="R1289" s="24" t="n">
        <f aca="false">IF($P1289=0,0,IF($O1289&lt;=INDEX(PARAMETROS_CULTURAS!$F$6:$F$28,$P1289),INDEX(PARAMETROS_CULTURAS!$K$6:$K$28,$P1289),IF($O1289&lt;=INDEX(PARAMETROS_CULTURAS!$F$6:$F$28,$P1289)+INDEX(PARAMETROS_CULTURAS!$G$6:$G$28,$P1289),INDEX(PARAMETROS_CULTURAS!$K$6:$K$28,$P1289)+(INDEX(PARAMETROS_CULTURAS!$L$6:$L$28,$P1289)-INDEX(PARAMETROS_CULTURAS!$K$6:$K$28,$P1289))*($O1289-INDEX(PARAMETROS_CULTURAS!$F$6:$F$28,$P1289))/MAX(INDEX(PARAMETROS_CULTURAS!$G$6:$G$28,$P1289),0.0001),IF($O1289&lt;=INDEX(PARAMETROS_CULTURAS!$F$6:$F$28,$P1289)+INDEX(PARAMETROS_CULTURAS!$G$6:$G$28,$P1289)+INDEX(PARAMETROS_CULTURAS!$H$6:$H$28,$P1289),INDEX(PARAMETROS_CULTURAS!$L$6:$L$28,$P1289),INDEX(PARAMETROS_CULTURAS!$L$6:$L$28,$P1289)+(INDEX(PARAMETROS_CULTURAS!$M$6:$M$28,$P1289)-INDEX(PARAMETROS_CULTURAS!$L$6:$L$28,$P1289))*($O1289-INDEX(PARAMETROS_CULTURAS!$F$6:$F$28,$P1289)-INDEX(PARAMETROS_CULTURAS!$G$6:$G$28,$P1289)-INDEX(PARAMETROS_CULTURAS!$H$6:$H$28,$P1289))/MAX(INDEX(PARAMETROS_CULTURAS!$I$6:$I$28,$P1289),0.0001)))))</f>
        <v>1.1</v>
      </c>
      <c r="S1289" s="18" t="n">
        <f aca="false">IFERROR(INDEX(SEMANAS!$H$6:$H$71,MATCH($B1289,SEMANAS!$B$6:$B$71,0)),0)</f>
        <v>32.2</v>
      </c>
      <c r="T1289" s="18" t="n">
        <f aca="false">$R1289*$S1289</f>
        <v>35.42</v>
      </c>
      <c r="U1289" s="18" t="n">
        <f aca="false">IFERROR(INDEX(SEMANAS!$I$6:$I$71,MATCH($B1289,SEMANAS!$B$6:$B$71,0)),0)</f>
        <v>37.24</v>
      </c>
      <c r="V1289" s="18" t="n">
        <f aca="false">IFERROR(INDEX(SEMANAS!$J$6:$J$71,MATCH($B1289,SEMANAS!$B$6:$B$71,0)),0)</f>
        <v>29.792</v>
      </c>
      <c r="W1289" s="18" t="n">
        <f aca="false">MAX(0,$T1289-$V1289)</f>
        <v>5.628</v>
      </c>
      <c r="X1289" s="19" t="n">
        <f aca="false">IFERROR(INDEX(CADASTRO_PIVOS!$K$6:$K$41,MATCH($E1289,CADASTRO_PIVOS!$B$6:$B$41,0)),EFICIENCIA_PADRAO)</f>
        <v>0.85</v>
      </c>
      <c r="Y1289" s="18" t="n">
        <f aca="false">IF($X1289&lt;=0,0,$W1289/$X1289)</f>
        <v>6.62117647058824</v>
      </c>
      <c r="Z1289" s="16" t="n">
        <f aca="false">$Y1289*$H1289*MM_PARA_M3_HA</f>
        <v>9927.792</v>
      </c>
      <c r="AA1289" s="18" t="n">
        <f aca="false">IFERROR(INDEX(CADASTRO_PIVOS!$I$6:$I$41,MATCH($E1289,CADASTRO_PIVOS!$B$6:$B$41,0)),0)</f>
        <v>1071</v>
      </c>
      <c r="AB1289" s="18" t="n">
        <f aca="false">IF($Z1289&lt;=0,0,$Z1289/$AA1289)</f>
        <v>9.26964705882353</v>
      </c>
      <c r="AC1289" s="16" t="n">
        <f aca="false">IFERROR(INDEX(SEMANAS!$K$6:$K$71,MATCH($B1289,SEMANAS!$B$6:$B$71,0)),0)</f>
        <v>147</v>
      </c>
      <c r="AD1289" s="19" t="n">
        <f aca="false">IF($AC1289&lt;=0,0,$AB1289/$AC1289)</f>
        <v>0.0630588235294118</v>
      </c>
      <c r="AE1289" s="8" t="str">
        <f aca="false">IF($K1289="SEM CULTURA","SEM CULTURA",IF($AA1289&lt;=0,"DADO PENDENTE",IF($AD1289&gt;LIMITE_CRITICO,"INVIAVEL",IF($AD1289&gt;LIMITE_ATENCAO,"CRITICO",IF($AD1289&gt;LIMITE_CONFORTAVEL,"ATENCAO","OK")))))</f>
        <v>OK</v>
      </c>
      <c r="AF1289" s="8" t="str">
        <f aca="false">$B1289&amp;"|"&amp;TEXT($AD1289,"0.000000")</f>
        <v>30|0.063059</v>
      </c>
      <c r="AG1289" s="18" t="n">
        <f aca="false">IF($K1289="SEM CULTURA",0,$T1289*$H1289)</f>
        <v>5310.8748</v>
      </c>
      <c r="AH1289" s="18" t="n">
        <f aca="false">IF($K1289="SEM CULTURA",0,$V1289*$H1289)</f>
        <v>4467.01248</v>
      </c>
      <c r="AI1289" s="18" t="n">
        <f aca="false">IF($K1289="SEM CULTURA",0,$W1289*$H1289)</f>
        <v>843.86232</v>
      </c>
      <c r="AJ1289" s="18" t="n">
        <f aca="false">IF($K1289="SEM CULTURA",0,$S1289*$H1289)</f>
        <v>4828.068</v>
      </c>
      <c r="AK1289" s="8" t="str">
        <f aca="false">$E1289&amp;"|"&amp;TEXT($AD1289,"0.000000")</f>
        <v>PV 119|0.063059</v>
      </c>
    </row>
    <row r="1290" customFormat="false" ht="15" hidden="false" customHeight="false" outlineLevel="0" collapsed="false">
      <c r="B1290" s="16" t="n">
        <v>31</v>
      </c>
      <c r="C1290" s="17" t="n">
        <f aca="false">DATA_INICIO_SAFRA+($B1290-1)*DIAS_POR_SEMANA</f>
        <v>46475</v>
      </c>
      <c r="D1290" s="17" t="n">
        <f aca="false">$C1290+DIAS_POR_SEMANA-1</f>
        <v>46481</v>
      </c>
      <c r="E1290" s="15" t="s">
        <v>278</v>
      </c>
      <c r="F1290" s="8" t="str">
        <f aca="false">IFERROR(INDEX(CADASTRO_PIVOS!$C$6:$C$41,MATCH($E1290,CADASTRO_PIVOS!$B$6:$B$41,0)),"?")</f>
        <v>RM06</v>
      </c>
      <c r="G1290" s="8" t="str">
        <f aca="false">IFERROR(INDEX(CADASTRO_PIVOS!$D$6:$D$41,MATCH($E1290,CADASTRO_PIVOS!$B$6:$B$41,0)),"?")</f>
        <v>TR06</v>
      </c>
      <c r="H1290" s="20" t="n">
        <f aca="false">IFERROR(INDEX(CADASTRO_PIVOS!$E$6:$E$41,MATCH($E1290,CADASTRO_PIVOS!$B$6:$B$41,0)),0)</f>
        <v>149.94</v>
      </c>
      <c r="I1290" s="16" t="n">
        <f aca="false">IFERROR(SUMIFS(ROTACAO_RDM!$B$6:$B$71,ROTACAO_RDM!$D$6:$D$71,$E1290,ROTACAO_RDM!$I$6:$I$71,"&lt;="&amp;$C1290+INT(DIAS_POR_SEMANA/2),ROTACAO_RDM!$J$6:$J$71,"&gt;="&amp;$C1290+INT(DIAS_POR_SEMANA/2)),0)</f>
        <v>32</v>
      </c>
      <c r="J1290" s="16" t="n">
        <f aca="false">IFERROR(MATCH($I1290,ROTACAO_RDM!$B$6:$B$71,0),0)</f>
        <v>32</v>
      </c>
      <c r="K1290" s="8" t="str">
        <f aca="false">IF($J1290=0,"SEM CULTURA",INDEX(ROTACAO_RDM!$F$6:$F$71,$J1290))</f>
        <v>TABACO</v>
      </c>
      <c r="L1290" s="8" t="str">
        <f aca="false">IF($J1290=0,"",INDEX(ROTACAO_RDM!$G$6:$G$71,$J1290))</f>
        <v>PVH-2343</v>
      </c>
      <c r="M1290" s="17" t="n">
        <f aca="false">IF($J1290=0,"",INDEX(ROTACAO_RDM!$I$6:$I$71,$J1290))</f>
        <v>46380</v>
      </c>
      <c r="N1290" s="16" t="n">
        <f aca="false">IF($J1290=0,0,MAX(0,$C1290+INT(DIAS_POR_SEMANA/2)-INDEX(ROTACAO_RDM!$I$6:$I$71,$J1290)))</f>
        <v>98</v>
      </c>
      <c r="O1290" s="19" t="n">
        <f aca="false">IF($J1290=0,0,MIN(1,$N1290/MAX(1,INDEX(ROTACAO_RDM!$K$6:$K$71,$J1290))))</f>
        <v>0.6125</v>
      </c>
      <c r="P1290" s="16" t="n">
        <f aca="false">IF($J1290=0,0,IFERROR(MATCH(INDEX(ROTACAO_RDM!$N$6:$N$71,$J1290),PARAMETROS_CULTURAS!$B$6:$B$28,0),0))</f>
        <v>9</v>
      </c>
      <c r="Q1290" s="8" t="str">
        <f aca="false">IF($P1290=0,"-",IF($O1290&lt;=INDEX(PARAMETROS_CULTURAS!$F$6:$F$28,$P1290),"INICIAL",IF($O1290&lt;=INDEX(PARAMETROS_CULTURAS!$F$6:$F$28,$P1290)+INDEX(PARAMETROS_CULTURAS!$G$6:$G$28,$P1290),"DESENVOLVIMENTO",IF($O1290&lt;=INDEX(PARAMETROS_CULTURAS!$F$6:$F$28,$P1290)+INDEX(PARAMETROS_CULTURAS!$G$6:$G$28,$P1290)+INDEX(PARAMETROS_CULTURAS!$H$6:$H$28,$P1290),"MEDIA","FINAL"))))</f>
        <v>MEDIA</v>
      </c>
      <c r="R1290" s="24" t="n">
        <f aca="false">IF($P1290=0,0,IF($O1290&lt;=INDEX(PARAMETROS_CULTURAS!$F$6:$F$28,$P1290),INDEX(PARAMETROS_CULTURAS!$K$6:$K$28,$P1290),IF($O1290&lt;=INDEX(PARAMETROS_CULTURAS!$F$6:$F$28,$P1290)+INDEX(PARAMETROS_CULTURAS!$G$6:$G$28,$P1290),INDEX(PARAMETROS_CULTURAS!$K$6:$K$28,$P1290)+(INDEX(PARAMETROS_CULTURAS!$L$6:$L$28,$P1290)-INDEX(PARAMETROS_CULTURAS!$K$6:$K$28,$P1290))*($O1290-INDEX(PARAMETROS_CULTURAS!$F$6:$F$28,$P1290))/MAX(INDEX(PARAMETROS_CULTURAS!$G$6:$G$28,$P1290),0.0001),IF($O1290&lt;=INDEX(PARAMETROS_CULTURAS!$F$6:$F$28,$P1290)+INDEX(PARAMETROS_CULTURAS!$G$6:$G$28,$P1290)+INDEX(PARAMETROS_CULTURAS!$H$6:$H$28,$P1290),INDEX(PARAMETROS_CULTURAS!$L$6:$L$28,$P1290),INDEX(PARAMETROS_CULTURAS!$L$6:$L$28,$P1290)+(INDEX(PARAMETROS_CULTURAS!$M$6:$M$28,$P1290)-INDEX(PARAMETROS_CULTURAS!$L$6:$L$28,$P1290))*($O1290-INDEX(PARAMETROS_CULTURAS!$F$6:$F$28,$P1290)-INDEX(PARAMETROS_CULTURAS!$G$6:$G$28,$P1290)-INDEX(PARAMETROS_CULTURAS!$H$6:$H$28,$P1290))/MAX(INDEX(PARAMETROS_CULTURAS!$I$6:$I$28,$P1290),0.0001)))))</f>
        <v>1.1</v>
      </c>
      <c r="S1290" s="18" t="n">
        <f aca="false">IFERROR(INDEX(SEMANAS!$H$6:$H$71,MATCH($B1290,SEMANAS!$B$6:$B$71,0)),0)</f>
        <v>31.8</v>
      </c>
      <c r="T1290" s="18" t="n">
        <f aca="false">$R1290*$S1290</f>
        <v>34.98</v>
      </c>
      <c r="U1290" s="18" t="n">
        <f aca="false">IFERROR(INDEX(SEMANAS!$I$6:$I$71,MATCH($B1290,SEMANAS!$B$6:$B$71,0)),0)</f>
        <v>25.28</v>
      </c>
      <c r="V1290" s="18" t="n">
        <f aca="false">IFERROR(INDEX(SEMANAS!$J$6:$J$71,MATCH($B1290,SEMANAS!$B$6:$B$71,0)),0)</f>
        <v>20.224</v>
      </c>
      <c r="W1290" s="18" t="n">
        <f aca="false">MAX(0,$T1290-$V1290)</f>
        <v>14.756</v>
      </c>
      <c r="X1290" s="19" t="n">
        <f aca="false">IFERROR(INDEX(CADASTRO_PIVOS!$K$6:$K$41,MATCH($E1290,CADASTRO_PIVOS!$B$6:$B$41,0)),EFICIENCIA_PADRAO)</f>
        <v>0.85</v>
      </c>
      <c r="Y1290" s="18" t="n">
        <f aca="false">IF($X1290&lt;=0,0,$W1290/$X1290)</f>
        <v>17.36</v>
      </c>
      <c r="Z1290" s="16" t="n">
        <f aca="false">$Y1290*$H1290*MM_PARA_M3_HA</f>
        <v>26029.584</v>
      </c>
      <c r="AA1290" s="18" t="n">
        <f aca="false">IFERROR(INDEX(CADASTRO_PIVOS!$I$6:$I$41,MATCH($E1290,CADASTRO_PIVOS!$B$6:$B$41,0)),0)</f>
        <v>1071</v>
      </c>
      <c r="AB1290" s="18" t="n">
        <f aca="false">IF($Z1290&lt;=0,0,$Z1290/$AA1290)</f>
        <v>24.304</v>
      </c>
      <c r="AC1290" s="16" t="n">
        <f aca="false">IFERROR(INDEX(SEMANAS!$K$6:$K$71,MATCH($B1290,SEMANAS!$B$6:$B$71,0)),0)</f>
        <v>147</v>
      </c>
      <c r="AD1290" s="19" t="n">
        <f aca="false">IF($AC1290&lt;=0,0,$AB1290/$AC1290)</f>
        <v>0.165333333333333</v>
      </c>
      <c r="AE1290" s="8" t="str">
        <f aca="false">IF($K1290="SEM CULTURA","SEM CULTURA",IF($AA1290&lt;=0,"DADO PENDENTE",IF($AD1290&gt;LIMITE_CRITICO,"INVIAVEL",IF($AD1290&gt;LIMITE_ATENCAO,"CRITICO",IF($AD1290&gt;LIMITE_CONFORTAVEL,"ATENCAO","OK")))))</f>
        <v>OK</v>
      </c>
      <c r="AF1290" s="8" t="str">
        <f aca="false">$B1290&amp;"|"&amp;TEXT($AD1290,"0.000000")</f>
        <v>31|0.165333</v>
      </c>
      <c r="AG1290" s="18" t="n">
        <f aca="false">IF($K1290="SEM CULTURA",0,$T1290*$H1290)</f>
        <v>5244.9012</v>
      </c>
      <c r="AH1290" s="18" t="n">
        <f aca="false">IF($K1290="SEM CULTURA",0,$V1290*$H1290)</f>
        <v>3032.38656</v>
      </c>
      <c r="AI1290" s="18" t="n">
        <f aca="false">IF($K1290="SEM CULTURA",0,$W1290*$H1290)</f>
        <v>2212.51464</v>
      </c>
      <c r="AJ1290" s="18" t="n">
        <f aca="false">IF($K1290="SEM CULTURA",0,$S1290*$H1290)</f>
        <v>4768.092</v>
      </c>
      <c r="AK1290" s="8" t="str">
        <f aca="false">$E1290&amp;"|"&amp;TEXT($AD1290,"0.000000")</f>
        <v>PV 119|0.165333</v>
      </c>
    </row>
    <row r="1291" customFormat="false" ht="15" hidden="false" customHeight="false" outlineLevel="0" collapsed="false">
      <c r="B1291" s="16" t="n">
        <v>32</v>
      </c>
      <c r="C1291" s="17" t="n">
        <f aca="false">DATA_INICIO_SAFRA+($B1291-1)*DIAS_POR_SEMANA</f>
        <v>46482</v>
      </c>
      <c r="D1291" s="17" t="n">
        <f aca="false">$C1291+DIAS_POR_SEMANA-1</f>
        <v>46488</v>
      </c>
      <c r="E1291" s="15" t="s">
        <v>278</v>
      </c>
      <c r="F1291" s="8" t="str">
        <f aca="false">IFERROR(INDEX(CADASTRO_PIVOS!$C$6:$C$41,MATCH($E1291,CADASTRO_PIVOS!$B$6:$B$41,0)),"?")</f>
        <v>RM06</v>
      </c>
      <c r="G1291" s="8" t="str">
        <f aca="false">IFERROR(INDEX(CADASTRO_PIVOS!$D$6:$D$41,MATCH($E1291,CADASTRO_PIVOS!$B$6:$B$41,0)),"?")</f>
        <v>TR06</v>
      </c>
      <c r="H1291" s="20" t="n">
        <f aca="false">IFERROR(INDEX(CADASTRO_PIVOS!$E$6:$E$41,MATCH($E1291,CADASTRO_PIVOS!$B$6:$B$41,0)),0)</f>
        <v>149.94</v>
      </c>
      <c r="I1291" s="16" t="n">
        <f aca="false">IFERROR(SUMIFS(ROTACAO_RDM!$B$6:$B$71,ROTACAO_RDM!$D$6:$D$71,$E1291,ROTACAO_RDM!$I$6:$I$71,"&lt;="&amp;$C1291+INT(DIAS_POR_SEMANA/2),ROTACAO_RDM!$J$6:$J$71,"&gt;="&amp;$C1291+INT(DIAS_POR_SEMANA/2)),0)</f>
        <v>32</v>
      </c>
      <c r="J1291" s="16" t="n">
        <f aca="false">IFERROR(MATCH($I1291,ROTACAO_RDM!$B$6:$B$71,0),0)</f>
        <v>32</v>
      </c>
      <c r="K1291" s="8" t="str">
        <f aca="false">IF($J1291=0,"SEM CULTURA",INDEX(ROTACAO_RDM!$F$6:$F$71,$J1291))</f>
        <v>TABACO</v>
      </c>
      <c r="L1291" s="8" t="str">
        <f aca="false">IF($J1291=0,"",INDEX(ROTACAO_RDM!$G$6:$G$71,$J1291))</f>
        <v>PVH-2343</v>
      </c>
      <c r="M1291" s="17" t="n">
        <f aca="false">IF($J1291=0,"",INDEX(ROTACAO_RDM!$I$6:$I$71,$J1291))</f>
        <v>46380</v>
      </c>
      <c r="N1291" s="16" t="n">
        <f aca="false">IF($J1291=0,0,MAX(0,$C1291+INT(DIAS_POR_SEMANA/2)-INDEX(ROTACAO_RDM!$I$6:$I$71,$J1291)))</f>
        <v>105</v>
      </c>
      <c r="O1291" s="19" t="n">
        <f aca="false">IF($J1291=0,0,MIN(1,$N1291/MAX(1,INDEX(ROTACAO_RDM!$K$6:$K$71,$J1291))))</f>
        <v>0.65625</v>
      </c>
      <c r="P1291" s="16" t="n">
        <f aca="false">IF($J1291=0,0,IFERROR(MATCH(INDEX(ROTACAO_RDM!$N$6:$N$71,$J1291),PARAMETROS_CULTURAS!$B$6:$B$28,0),0))</f>
        <v>9</v>
      </c>
      <c r="Q1291" s="8" t="str">
        <f aca="false">IF($P1291=0,"-",IF($O1291&lt;=INDEX(PARAMETROS_CULTURAS!$F$6:$F$28,$P1291),"INICIAL",IF($O1291&lt;=INDEX(PARAMETROS_CULTURAS!$F$6:$F$28,$P1291)+INDEX(PARAMETROS_CULTURAS!$G$6:$G$28,$P1291),"DESENVOLVIMENTO",IF($O1291&lt;=INDEX(PARAMETROS_CULTURAS!$F$6:$F$28,$P1291)+INDEX(PARAMETROS_CULTURAS!$G$6:$G$28,$P1291)+INDEX(PARAMETROS_CULTURAS!$H$6:$H$28,$P1291),"MEDIA","FINAL"))))</f>
        <v>MEDIA</v>
      </c>
      <c r="R1291" s="24" t="n">
        <f aca="false">IF($P1291=0,0,IF($O1291&lt;=INDEX(PARAMETROS_CULTURAS!$F$6:$F$28,$P1291),INDEX(PARAMETROS_CULTURAS!$K$6:$K$28,$P1291),IF($O1291&lt;=INDEX(PARAMETROS_CULTURAS!$F$6:$F$28,$P1291)+INDEX(PARAMETROS_CULTURAS!$G$6:$G$28,$P1291),INDEX(PARAMETROS_CULTURAS!$K$6:$K$28,$P1291)+(INDEX(PARAMETROS_CULTURAS!$L$6:$L$28,$P1291)-INDEX(PARAMETROS_CULTURAS!$K$6:$K$28,$P1291))*($O1291-INDEX(PARAMETROS_CULTURAS!$F$6:$F$28,$P1291))/MAX(INDEX(PARAMETROS_CULTURAS!$G$6:$G$28,$P1291),0.0001),IF($O1291&lt;=INDEX(PARAMETROS_CULTURAS!$F$6:$F$28,$P1291)+INDEX(PARAMETROS_CULTURAS!$G$6:$G$28,$P1291)+INDEX(PARAMETROS_CULTURAS!$H$6:$H$28,$P1291),INDEX(PARAMETROS_CULTURAS!$L$6:$L$28,$P1291),INDEX(PARAMETROS_CULTURAS!$L$6:$L$28,$P1291)+(INDEX(PARAMETROS_CULTURAS!$M$6:$M$28,$P1291)-INDEX(PARAMETROS_CULTURAS!$L$6:$L$28,$P1291))*($O1291-INDEX(PARAMETROS_CULTURAS!$F$6:$F$28,$P1291)-INDEX(PARAMETROS_CULTURAS!$G$6:$G$28,$P1291)-INDEX(PARAMETROS_CULTURAS!$H$6:$H$28,$P1291))/MAX(INDEX(PARAMETROS_CULTURAS!$I$6:$I$28,$P1291),0.0001)))))</f>
        <v>1.1</v>
      </c>
      <c r="S1291" s="18" t="n">
        <f aca="false">IFERROR(INDEX(SEMANAS!$H$6:$H$71,MATCH($B1291,SEMANAS!$B$6:$B$71,0)),0)</f>
        <v>31.5</v>
      </c>
      <c r="T1291" s="18" t="n">
        <f aca="false">$R1291*$S1291</f>
        <v>34.65</v>
      </c>
      <c r="U1291" s="18" t="n">
        <f aca="false">IFERROR(INDEX(SEMANAS!$I$6:$I$71,MATCH($B1291,SEMANAS!$B$6:$B$71,0)),0)</f>
        <v>16.31</v>
      </c>
      <c r="V1291" s="18" t="n">
        <f aca="false">IFERROR(INDEX(SEMANAS!$J$6:$J$71,MATCH($B1291,SEMANAS!$B$6:$B$71,0)),0)</f>
        <v>13.048</v>
      </c>
      <c r="W1291" s="18" t="n">
        <f aca="false">MAX(0,$T1291-$V1291)</f>
        <v>21.602</v>
      </c>
      <c r="X1291" s="19" t="n">
        <f aca="false">IFERROR(INDEX(CADASTRO_PIVOS!$K$6:$K$41,MATCH($E1291,CADASTRO_PIVOS!$B$6:$B$41,0)),EFICIENCIA_PADRAO)</f>
        <v>0.85</v>
      </c>
      <c r="Y1291" s="18" t="n">
        <f aca="false">IF($X1291&lt;=0,0,$W1291/$X1291)</f>
        <v>25.4141176470588</v>
      </c>
      <c r="Z1291" s="16" t="n">
        <f aca="false">$Y1291*$H1291*MM_PARA_M3_HA</f>
        <v>38105.928</v>
      </c>
      <c r="AA1291" s="18" t="n">
        <f aca="false">IFERROR(INDEX(CADASTRO_PIVOS!$I$6:$I$41,MATCH($E1291,CADASTRO_PIVOS!$B$6:$B$41,0)),0)</f>
        <v>1071</v>
      </c>
      <c r="AB1291" s="18" t="n">
        <f aca="false">IF($Z1291&lt;=0,0,$Z1291/$AA1291)</f>
        <v>35.5797647058824</v>
      </c>
      <c r="AC1291" s="16" t="n">
        <f aca="false">IFERROR(INDEX(SEMANAS!$K$6:$K$71,MATCH($B1291,SEMANAS!$B$6:$B$71,0)),0)</f>
        <v>147</v>
      </c>
      <c r="AD1291" s="19" t="n">
        <f aca="false">IF($AC1291&lt;=0,0,$AB1291/$AC1291)</f>
        <v>0.242039215686275</v>
      </c>
      <c r="AE1291" s="8" t="str">
        <f aca="false">IF($K1291="SEM CULTURA","SEM CULTURA",IF($AA1291&lt;=0,"DADO PENDENTE",IF($AD1291&gt;LIMITE_CRITICO,"INVIAVEL",IF($AD1291&gt;LIMITE_ATENCAO,"CRITICO",IF($AD1291&gt;LIMITE_CONFORTAVEL,"ATENCAO","OK")))))</f>
        <v>OK</v>
      </c>
      <c r="AF1291" s="8" t="str">
        <f aca="false">$B1291&amp;"|"&amp;TEXT($AD1291,"0.000000")</f>
        <v>32|0.242039</v>
      </c>
      <c r="AG1291" s="18" t="n">
        <f aca="false">IF($K1291="SEM CULTURA",0,$T1291*$H1291)</f>
        <v>5195.421</v>
      </c>
      <c r="AH1291" s="18" t="n">
        <f aca="false">IF($K1291="SEM CULTURA",0,$V1291*$H1291)</f>
        <v>1956.41712</v>
      </c>
      <c r="AI1291" s="18" t="n">
        <f aca="false">IF($K1291="SEM CULTURA",0,$W1291*$H1291)</f>
        <v>3239.00388</v>
      </c>
      <c r="AJ1291" s="18" t="n">
        <f aca="false">IF($K1291="SEM CULTURA",0,$S1291*$H1291)</f>
        <v>4723.11</v>
      </c>
      <c r="AK1291" s="8" t="str">
        <f aca="false">$E1291&amp;"|"&amp;TEXT($AD1291,"0.000000")</f>
        <v>PV 119|0.242039</v>
      </c>
    </row>
    <row r="1292" customFormat="false" ht="15" hidden="false" customHeight="false" outlineLevel="0" collapsed="false">
      <c r="B1292" s="16" t="n">
        <v>33</v>
      </c>
      <c r="C1292" s="17" t="n">
        <f aca="false">DATA_INICIO_SAFRA+($B1292-1)*DIAS_POR_SEMANA</f>
        <v>46489</v>
      </c>
      <c r="D1292" s="17" t="n">
        <f aca="false">$C1292+DIAS_POR_SEMANA-1</f>
        <v>46495</v>
      </c>
      <c r="E1292" s="15" t="s">
        <v>278</v>
      </c>
      <c r="F1292" s="8" t="str">
        <f aca="false">IFERROR(INDEX(CADASTRO_PIVOS!$C$6:$C$41,MATCH($E1292,CADASTRO_PIVOS!$B$6:$B$41,0)),"?")</f>
        <v>RM06</v>
      </c>
      <c r="G1292" s="8" t="str">
        <f aca="false">IFERROR(INDEX(CADASTRO_PIVOS!$D$6:$D$41,MATCH($E1292,CADASTRO_PIVOS!$B$6:$B$41,0)),"?")</f>
        <v>TR06</v>
      </c>
      <c r="H1292" s="20" t="n">
        <f aca="false">IFERROR(INDEX(CADASTRO_PIVOS!$E$6:$E$41,MATCH($E1292,CADASTRO_PIVOS!$B$6:$B$41,0)),0)</f>
        <v>149.94</v>
      </c>
      <c r="I1292" s="16" t="n">
        <f aca="false">IFERROR(SUMIFS(ROTACAO_RDM!$B$6:$B$71,ROTACAO_RDM!$D$6:$D$71,$E1292,ROTACAO_RDM!$I$6:$I$71,"&lt;="&amp;$C1292+INT(DIAS_POR_SEMANA/2),ROTACAO_RDM!$J$6:$J$71,"&gt;="&amp;$C1292+INT(DIAS_POR_SEMANA/2)),0)</f>
        <v>32</v>
      </c>
      <c r="J1292" s="16" t="n">
        <f aca="false">IFERROR(MATCH($I1292,ROTACAO_RDM!$B$6:$B$71,0),0)</f>
        <v>32</v>
      </c>
      <c r="K1292" s="8" t="str">
        <f aca="false">IF($J1292=0,"SEM CULTURA",INDEX(ROTACAO_RDM!$F$6:$F$71,$J1292))</f>
        <v>TABACO</v>
      </c>
      <c r="L1292" s="8" t="str">
        <f aca="false">IF($J1292=0,"",INDEX(ROTACAO_RDM!$G$6:$G$71,$J1292))</f>
        <v>PVH-2343</v>
      </c>
      <c r="M1292" s="17" t="n">
        <f aca="false">IF($J1292=0,"",INDEX(ROTACAO_RDM!$I$6:$I$71,$J1292))</f>
        <v>46380</v>
      </c>
      <c r="N1292" s="16" t="n">
        <f aca="false">IF($J1292=0,0,MAX(0,$C1292+INT(DIAS_POR_SEMANA/2)-INDEX(ROTACAO_RDM!$I$6:$I$71,$J1292)))</f>
        <v>112</v>
      </c>
      <c r="O1292" s="19" t="n">
        <f aca="false">IF($J1292=0,0,MIN(1,$N1292/MAX(1,INDEX(ROTACAO_RDM!$K$6:$K$71,$J1292))))</f>
        <v>0.7</v>
      </c>
      <c r="P1292" s="16" t="n">
        <f aca="false">IF($J1292=0,0,IFERROR(MATCH(INDEX(ROTACAO_RDM!$N$6:$N$71,$J1292),PARAMETROS_CULTURAS!$B$6:$B$28,0),0))</f>
        <v>9</v>
      </c>
      <c r="Q1292" s="8" t="str">
        <f aca="false">IF($P1292=0,"-",IF($O1292&lt;=INDEX(PARAMETROS_CULTURAS!$F$6:$F$28,$P1292),"INICIAL",IF($O1292&lt;=INDEX(PARAMETROS_CULTURAS!$F$6:$F$28,$P1292)+INDEX(PARAMETROS_CULTURAS!$G$6:$G$28,$P1292),"DESENVOLVIMENTO",IF($O1292&lt;=INDEX(PARAMETROS_CULTURAS!$F$6:$F$28,$P1292)+INDEX(PARAMETROS_CULTURAS!$G$6:$G$28,$P1292)+INDEX(PARAMETROS_CULTURAS!$H$6:$H$28,$P1292),"MEDIA","FINAL"))))</f>
        <v>MEDIA</v>
      </c>
      <c r="R1292" s="24" t="n">
        <f aca="false">IF($P1292=0,0,IF($O1292&lt;=INDEX(PARAMETROS_CULTURAS!$F$6:$F$28,$P1292),INDEX(PARAMETROS_CULTURAS!$K$6:$K$28,$P1292),IF($O1292&lt;=INDEX(PARAMETROS_CULTURAS!$F$6:$F$28,$P1292)+INDEX(PARAMETROS_CULTURAS!$G$6:$G$28,$P1292),INDEX(PARAMETROS_CULTURAS!$K$6:$K$28,$P1292)+(INDEX(PARAMETROS_CULTURAS!$L$6:$L$28,$P1292)-INDEX(PARAMETROS_CULTURAS!$K$6:$K$28,$P1292))*($O1292-INDEX(PARAMETROS_CULTURAS!$F$6:$F$28,$P1292))/MAX(INDEX(PARAMETROS_CULTURAS!$G$6:$G$28,$P1292),0.0001),IF($O1292&lt;=INDEX(PARAMETROS_CULTURAS!$F$6:$F$28,$P1292)+INDEX(PARAMETROS_CULTURAS!$G$6:$G$28,$P1292)+INDEX(PARAMETROS_CULTURAS!$H$6:$H$28,$P1292),INDEX(PARAMETROS_CULTURAS!$L$6:$L$28,$P1292),INDEX(PARAMETROS_CULTURAS!$L$6:$L$28,$P1292)+(INDEX(PARAMETROS_CULTURAS!$M$6:$M$28,$P1292)-INDEX(PARAMETROS_CULTURAS!$L$6:$L$28,$P1292))*($O1292-INDEX(PARAMETROS_CULTURAS!$F$6:$F$28,$P1292)-INDEX(PARAMETROS_CULTURAS!$G$6:$G$28,$P1292)-INDEX(PARAMETROS_CULTURAS!$H$6:$H$28,$P1292))/MAX(INDEX(PARAMETROS_CULTURAS!$I$6:$I$28,$P1292),0.0001)))))</f>
        <v>1.1</v>
      </c>
      <c r="S1292" s="18" t="n">
        <f aca="false">IFERROR(INDEX(SEMANAS!$H$6:$H$71,MATCH($B1292,SEMANAS!$B$6:$B$71,0)),0)</f>
        <v>31.5</v>
      </c>
      <c r="T1292" s="18" t="n">
        <f aca="false">$R1292*$S1292</f>
        <v>34.65</v>
      </c>
      <c r="U1292" s="18" t="n">
        <f aca="false">IFERROR(INDEX(SEMANAS!$I$6:$I$71,MATCH($B1292,SEMANAS!$B$6:$B$71,0)),0)</f>
        <v>16.31</v>
      </c>
      <c r="V1292" s="18" t="n">
        <f aca="false">IFERROR(INDEX(SEMANAS!$J$6:$J$71,MATCH($B1292,SEMANAS!$B$6:$B$71,0)),0)</f>
        <v>13.048</v>
      </c>
      <c r="W1292" s="18" t="n">
        <f aca="false">MAX(0,$T1292-$V1292)</f>
        <v>21.602</v>
      </c>
      <c r="X1292" s="19" t="n">
        <f aca="false">IFERROR(INDEX(CADASTRO_PIVOS!$K$6:$K$41,MATCH($E1292,CADASTRO_PIVOS!$B$6:$B$41,0)),EFICIENCIA_PADRAO)</f>
        <v>0.85</v>
      </c>
      <c r="Y1292" s="18" t="n">
        <f aca="false">IF($X1292&lt;=0,0,$W1292/$X1292)</f>
        <v>25.4141176470588</v>
      </c>
      <c r="Z1292" s="16" t="n">
        <f aca="false">$Y1292*$H1292*MM_PARA_M3_HA</f>
        <v>38105.928</v>
      </c>
      <c r="AA1292" s="18" t="n">
        <f aca="false">IFERROR(INDEX(CADASTRO_PIVOS!$I$6:$I$41,MATCH($E1292,CADASTRO_PIVOS!$B$6:$B$41,0)),0)</f>
        <v>1071</v>
      </c>
      <c r="AB1292" s="18" t="n">
        <f aca="false">IF($Z1292&lt;=0,0,$Z1292/$AA1292)</f>
        <v>35.5797647058824</v>
      </c>
      <c r="AC1292" s="16" t="n">
        <f aca="false">IFERROR(INDEX(SEMANAS!$K$6:$K$71,MATCH($B1292,SEMANAS!$B$6:$B$71,0)),0)</f>
        <v>147</v>
      </c>
      <c r="AD1292" s="19" t="n">
        <f aca="false">IF($AC1292&lt;=0,0,$AB1292/$AC1292)</f>
        <v>0.242039215686275</v>
      </c>
      <c r="AE1292" s="8" t="str">
        <f aca="false">IF($K1292="SEM CULTURA","SEM CULTURA",IF($AA1292&lt;=0,"DADO PENDENTE",IF($AD1292&gt;LIMITE_CRITICO,"INVIAVEL",IF($AD1292&gt;LIMITE_ATENCAO,"CRITICO",IF($AD1292&gt;LIMITE_CONFORTAVEL,"ATENCAO","OK")))))</f>
        <v>OK</v>
      </c>
      <c r="AF1292" s="8" t="str">
        <f aca="false">$B1292&amp;"|"&amp;TEXT($AD1292,"0.000000")</f>
        <v>33|0.242039</v>
      </c>
      <c r="AG1292" s="18" t="n">
        <f aca="false">IF($K1292="SEM CULTURA",0,$T1292*$H1292)</f>
        <v>5195.421</v>
      </c>
      <c r="AH1292" s="18" t="n">
        <f aca="false">IF($K1292="SEM CULTURA",0,$V1292*$H1292)</f>
        <v>1956.41712</v>
      </c>
      <c r="AI1292" s="18" t="n">
        <f aca="false">IF($K1292="SEM CULTURA",0,$W1292*$H1292)</f>
        <v>3239.00388</v>
      </c>
      <c r="AJ1292" s="18" t="n">
        <f aca="false">IF($K1292="SEM CULTURA",0,$S1292*$H1292)</f>
        <v>4723.11</v>
      </c>
      <c r="AK1292" s="8" t="str">
        <f aca="false">$E1292&amp;"|"&amp;TEXT($AD1292,"0.000000")</f>
        <v>PV 119|0.242039</v>
      </c>
    </row>
    <row r="1293" customFormat="false" ht="15" hidden="false" customHeight="false" outlineLevel="0" collapsed="false">
      <c r="B1293" s="16" t="n">
        <v>34</v>
      </c>
      <c r="C1293" s="17" t="n">
        <f aca="false">DATA_INICIO_SAFRA+($B1293-1)*DIAS_POR_SEMANA</f>
        <v>46496</v>
      </c>
      <c r="D1293" s="17" t="n">
        <f aca="false">$C1293+DIAS_POR_SEMANA-1</f>
        <v>46502</v>
      </c>
      <c r="E1293" s="15" t="s">
        <v>278</v>
      </c>
      <c r="F1293" s="8" t="str">
        <f aca="false">IFERROR(INDEX(CADASTRO_PIVOS!$C$6:$C$41,MATCH($E1293,CADASTRO_PIVOS!$B$6:$B$41,0)),"?")</f>
        <v>RM06</v>
      </c>
      <c r="G1293" s="8" t="str">
        <f aca="false">IFERROR(INDEX(CADASTRO_PIVOS!$D$6:$D$41,MATCH($E1293,CADASTRO_PIVOS!$B$6:$B$41,0)),"?")</f>
        <v>TR06</v>
      </c>
      <c r="H1293" s="20" t="n">
        <f aca="false">IFERROR(INDEX(CADASTRO_PIVOS!$E$6:$E$41,MATCH($E1293,CADASTRO_PIVOS!$B$6:$B$41,0)),0)</f>
        <v>149.94</v>
      </c>
      <c r="I1293" s="16" t="n">
        <f aca="false">IFERROR(SUMIFS(ROTACAO_RDM!$B$6:$B$71,ROTACAO_RDM!$D$6:$D$71,$E1293,ROTACAO_RDM!$I$6:$I$71,"&lt;="&amp;$C1293+INT(DIAS_POR_SEMANA/2),ROTACAO_RDM!$J$6:$J$71,"&gt;="&amp;$C1293+INT(DIAS_POR_SEMANA/2)),0)</f>
        <v>32</v>
      </c>
      <c r="J1293" s="16" t="n">
        <f aca="false">IFERROR(MATCH($I1293,ROTACAO_RDM!$B$6:$B$71,0),0)</f>
        <v>32</v>
      </c>
      <c r="K1293" s="8" t="str">
        <f aca="false">IF($J1293=0,"SEM CULTURA",INDEX(ROTACAO_RDM!$F$6:$F$71,$J1293))</f>
        <v>TABACO</v>
      </c>
      <c r="L1293" s="8" t="str">
        <f aca="false">IF($J1293=0,"",INDEX(ROTACAO_RDM!$G$6:$G$71,$J1293))</f>
        <v>PVH-2343</v>
      </c>
      <c r="M1293" s="17" t="n">
        <f aca="false">IF($J1293=0,"",INDEX(ROTACAO_RDM!$I$6:$I$71,$J1293))</f>
        <v>46380</v>
      </c>
      <c r="N1293" s="16" t="n">
        <f aca="false">IF($J1293=0,0,MAX(0,$C1293+INT(DIAS_POR_SEMANA/2)-INDEX(ROTACAO_RDM!$I$6:$I$71,$J1293)))</f>
        <v>119</v>
      </c>
      <c r="O1293" s="19" t="n">
        <f aca="false">IF($J1293=0,0,MIN(1,$N1293/MAX(1,INDEX(ROTACAO_RDM!$K$6:$K$71,$J1293))))</f>
        <v>0.74375</v>
      </c>
      <c r="P1293" s="16" t="n">
        <f aca="false">IF($J1293=0,0,IFERROR(MATCH(INDEX(ROTACAO_RDM!$N$6:$N$71,$J1293),PARAMETROS_CULTURAS!$B$6:$B$28,0),0))</f>
        <v>9</v>
      </c>
      <c r="Q1293" s="8" t="str">
        <f aca="false">IF($P1293=0,"-",IF($O1293&lt;=INDEX(PARAMETROS_CULTURAS!$F$6:$F$28,$P1293),"INICIAL",IF($O1293&lt;=INDEX(PARAMETROS_CULTURAS!$F$6:$F$28,$P1293)+INDEX(PARAMETROS_CULTURAS!$G$6:$G$28,$P1293),"DESENVOLVIMENTO",IF($O1293&lt;=INDEX(PARAMETROS_CULTURAS!$F$6:$F$28,$P1293)+INDEX(PARAMETROS_CULTURAS!$G$6:$G$28,$P1293)+INDEX(PARAMETROS_CULTURAS!$H$6:$H$28,$P1293),"MEDIA","FINAL"))))</f>
        <v>FINAL</v>
      </c>
      <c r="R1293" s="24" t="n">
        <f aca="false">IF($P1293=0,0,IF($O1293&lt;=INDEX(PARAMETROS_CULTURAS!$F$6:$F$28,$P1293),INDEX(PARAMETROS_CULTURAS!$K$6:$K$28,$P1293),IF($O1293&lt;=INDEX(PARAMETROS_CULTURAS!$F$6:$F$28,$P1293)+INDEX(PARAMETROS_CULTURAS!$G$6:$G$28,$P1293),INDEX(PARAMETROS_CULTURAS!$K$6:$K$28,$P1293)+(INDEX(PARAMETROS_CULTURAS!$L$6:$L$28,$P1293)-INDEX(PARAMETROS_CULTURAS!$K$6:$K$28,$P1293))*($O1293-INDEX(PARAMETROS_CULTURAS!$F$6:$F$28,$P1293))/MAX(INDEX(PARAMETROS_CULTURAS!$G$6:$G$28,$P1293),0.0001),IF($O1293&lt;=INDEX(PARAMETROS_CULTURAS!$F$6:$F$28,$P1293)+INDEX(PARAMETROS_CULTURAS!$G$6:$G$28,$P1293)+INDEX(PARAMETROS_CULTURAS!$H$6:$H$28,$P1293),INDEX(PARAMETROS_CULTURAS!$L$6:$L$28,$P1293),INDEX(PARAMETROS_CULTURAS!$L$6:$L$28,$P1293)+(INDEX(PARAMETROS_CULTURAS!$M$6:$M$28,$P1293)-INDEX(PARAMETROS_CULTURAS!$L$6:$L$28,$P1293))*($O1293-INDEX(PARAMETROS_CULTURAS!$F$6:$F$28,$P1293)-INDEX(PARAMETROS_CULTURAS!$G$6:$G$28,$P1293)-INDEX(PARAMETROS_CULTURAS!$H$6:$H$28,$P1293))/MAX(INDEX(PARAMETROS_CULTURAS!$I$6:$I$28,$P1293),0.0001)))))</f>
        <v>1.07455357142857</v>
      </c>
      <c r="S1293" s="18" t="n">
        <f aca="false">IFERROR(INDEX(SEMANAS!$H$6:$H$71,MATCH($B1293,SEMANAS!$B$6:$B$71,0)),0)</f>
        <v>31.5</v>
      </c>
      <c r="T1293" s="18" t="n">
        <f aca="false">$R1293*$S1293</f>
        <v>33.8484375</v>
      </c>
      <c r="U1293" s="18" t="n">
        <f aca="false">IFERROR(INDEX(SEMANAS!$I$6:$I$71,MATCH($B1293,SEMANAS!$B$6:$B$71,0)),0)</f>
        <v>16.31</v>
      </c>
      <c r="V1293" s="18" t="n">
        <f aca="false">IFERROR(INDEX(SEMANAS!$J$6:$J$71,MATCH($B1293,SEMANAS!$B$6:$B$71,0)),0)</f>
        <v>13.048</v>
      </c>
      <c r="W1293" s="18" t="n">
        <f aca="false">MAX(0,$T1293-$V1293)</f>
        <v>20.8004375</v>
      </c>
      <c r="X1293" s="19" t="n">
        <f aca="false">IFERROR(INDEX(CADASTRO_PIVOS!$K$6:$K$41,MATCH($E1293,CADASTRO_PIVOS!$B$6:$B$41,0)),EFICIENCIA_PADRAO)</f>
        <v>0.85</v>
      </c>
      <c r="Y1293" s="18" t="n">
        <f aca="false">IF($X1293&lt;=0,0,$W1293/$X1293)</f>
        <v>24.4711029411765</v>
      </c>
      <c r="Z1293" s="16" t="n">
        <f aca="false">$Y1293*$H1293*MM_PARA_M3_HA</f>
        <v>36691.97175</v>
      </c>
      <c r="AA1293" s="18" t="n">
        <f aca="false">IFERROR(INDEX(CADASTRO_PIVOS!$I$6:$I$41,MATCH($E1293,CADASTRO_PIVOS!$B$6:$B$41,0)),0)</f>
        <v>1071</v>
      </c>
      <c r="AB1293" s="18" t="n">
        <f aca="false">IF($Z1293&lt;=0,0,$Z1293/$AA1293)</f>
        <v>34.2595441176471</v>
      </c>
      <c r="AC1293" s="16" t="n">
        <f aca="false">IFERROR(INDEX(SEMANAS!$K$6:$K$71,MATCH($B1293,SEMANAS!$B$6:$B$71,0)),0)</f>
        <v>147</v>
      </c>
      <c r="AD1293" s="19" t="n">
        <f aca="false">IF($AC1293&lt;=0,0,$AB1293/$AC1293)</f>
        <v>0.2330581232493</v>
      </c>
      <c r="AE1293" s="8" t="str">
        <f aca="false">IF($K1293="SEM CULTURA","SEM CULTURA",IF($AA1293&lt;=0,"DADO PENDENTE",IF($AD1293&gt;LIMITE_CRITICO,"INVIAVEL",IF($AD1293&gt;LIMITE_ATENCAO,"CRITICO",IF($AD1293&gt;LIMITE_CONFORTAVEL,"ATENCAO","OK")))))</f>
        <v>OK</v>
      </c>
      <c r="AF1293" s="8" t="str">
        <f aca="false">$B1293&amp;"|"&amp;TEXT($AD1293,"0.000000")</f>
        <v>34|0.233058</v>
      </c>
      <c r="AG1293" s="18" t="n">
        <f aca="false">IF($K1293="SEM CULTURA",0,$T1293*$H1293)</f>
        <v>5075.23471875</v>
      </c>
      <c r="AH1293" s="18" t="n">
        <f aca="false">IF($K1293="SEM CULTURA",0,$V1293*$H1293)</f>
        <v>1956.41712</v>
      </c>
      <c r="AI1293" s="18" t="n">
        <f aca="false">IF($K1293="SEM CULTURA",0,$W1293*$H1293)</f>
        <v>3118.81759875</v>
      </c>
      <c r="AJ1293" s="18" t="n">
        <f aca="false">IF($K1293="SEM CULTURA",0,$S1293*$H1293)</f>
        <v>4723.11</v>
      </c>
      <c r="AK1293" s="8" t="str">
        <f aca="false">$E1293&amp;"|"&amp;TEXT($AD1293,"0.000000")</f>
        <v>PV 119|0.233058</v>
      </c>
    </row>
    <row r="1294" customFormat="false" ht="15" hidden="false" customHeight="false" outlineLevel="0" collapsed="false">
      <c r="B1294" s="16" t="n">
        <v>35</v>
      </c>
      <c r="C1294" s="17" t="n">
        <f aca="false">DATA_INICIO_SAFRA+($B1294-1)*DIAS_POR_SEMANA</f>
        <v>46503</v>
      </c>
      <c r="D1294" s="17" t="n">
        <f aca="false">$C1294+DIAS_POR_SEMANA-1</f>
        <v>46509</v>
      </c>
      <c r="E1294" s="15" t="s">
        <v>278</v>
      </c>
      <c r="F1294" s="8" t="str">
        <f aca="false">IFERROR(INDEX(CADASTRO_PIVOS!$C$6:$C$41,MATCH($E1294,CADASTRO_PIVOS!$B$6:$B$41,0)),"?")</f>
        <v>RM06</v>
      </c>
      <c r="G1294" s="8" t="str">
        <f aca="false">IFERROR(INDEX(CADASTRO_PIVOS!$D$6:$D$41,MATCH($E1294,CADASTRO_PIVOS!$B$6:$B$41,0)),"?")</f>
        <v>TR06</v>
      </c>
      <c r="H1294" s="20" t="n">
        <f aca="false">IFERROR(INDEX(CADASTRO_PIVOS!$E$6:$E$41,MATCH($E1294,CADASTRO_PIVOS!$B$6:$B$41,0)),0)</f>
        <v>149.94</v>
      </c>
      <c r="I1294" s="16" t="n">
        <f aca="false">IFERROR(SUMIFS(ROTACAO_RDM!$B$6:$B$71,ROTACAO_RDM!$D$6:$D$71,$E1294,ROTACAO_RDM!$I$6:$I$71,"&lt;="&amp;$C1294+INT(DIAS_POR_SEMANA/2),ROTACAO_RDM!$J$6:$J$71,"&gt;="&amp;$C1294+INT(DIAS_POR_SEMANA/2)),0)</f>
        <v>32</v>
      </c>
      <c r="J1294" s="16" t="n">
        <f aca="false">IFERROR(MATCH($I1294,ROTACAO_RDM!$B$6:$B$71,0),0)</f>
        <v>32</v>
      </c>
      <c r="K1294" s="8" t="str">
        <f aca="false">IF($J1294=0,"SEM CULTURA",INDEX(ROTACAO_RDM!$F$6:$F$71,$J1294))</f>
        <v>TABACO</v>
      </c>
      <c r="L1294" s="8" t="str">
        <f aca="false">IF($J1294=0,"",INDEX(ROTACAO_RDM!$G$6:$G$71,$J1294))</f>
        <v>PVH-2343</v>
      </c>
      <c r="M1294" s="17" t="n">
        <f aca="false">IF($J1294=0,"",INDEX(ROTACAO_RDM!$I$6:$I$71,$J1294))</f>
        <v>46380</v>
      </c>
      <c r="N1294" s="16" t="n">
        <f aca="false">IF($J1294=0,0,MAX(0,$C1294+INT(DIAS_POR_SEMANA/2)-INDEX(ROTACAO_RDM!$I$6:$I$71,$J1294)))</f>
        <v>126</v>
      </c>
      <c r="O1294" s="19" t="n">
        <f aca="false">IF($J1294=0,0,MIN(1,$N1294/MAX(1,INDEX(ROTACAO_RDM!$K$6:$K$71,$J1294))))</f>
        <v>0.7875</v>
      </c>
      <c r="P1294" s="16" t="n">
        <f aca="false">IF($J1294=0,0,IFERROR(MATCH(INDEX(ROTACAO_RDM!$N$6:$N$71,$J1294),PARAMETROS_CULTURAS!$B$6:$B$28,0),0))</f>
        <v>9</v>
      </c>
      <c r="Q1294" s="8" t="str">
        <f aca="false">IF($P1294=0,"-",IF($O1294&lt;=INDEX(PARAMETROS_CULTURAS!$F$6:$F$28,$P1294),"INICIAL",IF($O1294&lt;=INDEX(PARAMETROS_CULTURAS!$F$6:$F$28,$P1294)+INDEX(PARAMETROS_CULTURAS!$G$6:$G$28,$P1294),"DESENVOLVIMENTO",IF($O1294&lt;=INDEX(PARAMETROS_CULTURAS!$F$6:$F$28,$P1294)+INDEX(PARAMETROS_CULTURAS!$G$6:$G$28,$P1294)+INDEX(PARAMETROS_CULTURAS!$H$6:$H$28,$P1294),"MEDIA","FINAL"))))</f>
        <v>FINAL</v>
      </c>
      <c r="R1294" s="24" t="n">
        <f aca="false">IF($P1294=0,0,IF($O1294&lt;=INDEX(PARAMETROS_CULTURAS!$F$6:$F$28,$P1294),INDEX(PARAMETROS_CULTURAS!$K$6:$K$28,$P1294),IF($O1294&lt;=INDEX(PARAMETROS_CULTURAS!$F$6:$F$28,$P1294)+INDEX(PARAMETROS_CULTURAS!$G$6:$G$28,$P1294),INDEX(PARAMETROS_CULTURAS!$K$6:$K$28,$P1294)+(INDEX(PARAMETROS_CULTURAS!$L$6:$L$28,$P1294)-INDEX(PARAMETROS_CULTURAS!$K$6:$K$28,$P1294))*($O1294-INDEX(PARAMETROS_CULTURAS!$F$6:$F$28,$P1294))/MAX(INDEX(PARAMETROS_CULTURAS!$G$6:$G$28,$P1294),0.0001),IF($O1294&lt;=INDEX(PARAMETROS_CULTURAS!$F$6:$F$28,$P1294)+INDEX(PARAMETROS_CULTURAS!$G$6:$G$28,$P1294)+INDEX(PARAMETROS_CULTURAS!$H$6:$H$28,$P1294),INDEX(PARAMETROS_CULTURAS!$L$6:$L$28,$P1294),INDEX(PARAMETROS_CULTURAS!$L$6:$L$28,$P1294)+(INDEX(PARAMETROS_CULTURAS!$M$6:$M$28,$P1294)-INDEX(PARAMETROS_CULTURAS!$L$6:$L$28,$P1294))*($O1294-INDEX(PARAMETROS_CULTURAS!$F$6:$F$28,$P1294)-INDEX(PARAMETROS_CULTURAS!$G$6:$G$28,$P1294)-INDEX(PARAMETROS_CULTURAS!$H$6:$H$28,$P1294))/MAX(INDEX(PARAMETROS_CULTURAS!$I$6:$I$28,$P1294),0.0001)))))</f>
        <v>1.02767857142857</v>
      </c>
      <c r="S1294" s="18" t="n">
        <f aca="false">IFERROR(INDEX(SEMANAS!$H$6:$H$71,MATCH($B1294,SEMANAS!$B$6:$B$71,0)),0)</f>
        <v>30.9</v>
      </c>
      <c r="T1294" s="18" t="n">
        <f aca="false">$R1294*$S1294</f>
        <v>31.7552678571429</v>
      </c>
      <c r="U1294" s="18" t="n">
        <f aca="false">IFERROR(INDEX(SEMANAS!$I$6:$I$71,MATCH($B1294,SEMANAS!$B$6:$B$71,0)),0)</f>
        <v>12.61</v>
      </c>
      <c r="V1294" s="18" t="n">
        <f aca="false">IFERROR(INDEX(SEMANAS!$J$6:$J$71,MATCH($B1294,SEMANAS!$B$6:$B$71,0)),0)</f>
        <v>10.088</v>
      </c>
      <c r="W1294" s="18" t="n">
        <f aca="false">MAX(0,$T1294-$V1294)</f>
        <v>21.6672678571429</v>
      </c>
      <c r="X1294" s="19" t="n">
        <f aca="false">IFERROR(INDEX(CADASTRO_PIVOS!$K$6:$K$41,MATCH($E1294,CADASTRO_PIVOS!$B$6:$B$41,0)),EFICIENCIA_PADRAO)</f>
        <v>0.85</v>
      </c>
      <c r="Y1294" s="18" t="n">
        <f aca="false">IF($X1294&lt;=0,0,$W1294/$X1294)</f>
        <v>25.4909033613445</v>
      </c>
      <c r="Z1294" s="16" t="n">
        <f aca="false">$Y1294*$H1294*MM_PARA_M3_HA</f>
        <v>38221.0605</v>
      </c>
      <c r="AA1294" s="18" t="n">
        <f aca="false">IFERROR(INDEX(CADASTRO_PIVOS!$I$6:$I$41,MATCH($E1294,CADASTRO_PIVOS!$B$6:$B$41,0)),0)</f>
        <v>1071</v>
      </c>
      <c r="AB1294" s="18" t="n">
        <f aca="false">IF($Z1294&lt;=0,0,$Z1294/$AA1294)</f>
        <v>35.6872647058824</v>
      </c>
      <c r="AC1294" s="16" t="n">
        <f aca="false">IFERROR(INDEX(SEMANAS!$K$6:$K$71,MATCH($B1294,SEMANAS!$B$6:$B$71,0)),0)</f>
        <v>147</v>
      </c>
      <c r="AD1294" s="19" t="n">
        <f aca="false">IF($AC1294&lt;=0,0,$AB1294/$AC1294)</f>
        <v>0.242770508203281</v>
      </c>
      <c r="AE1294" s="8" t="str">
        <f aca="false">IF($K1294="SEM CULTURA","SEM CULTURA",IF($AA1294&lt;=0,"DADO PENDENTE",IF($AD1294&gt;LIMITE_CRITICO,"INVIAVEL",IF($AD1294&gt;LIMITE_ATENCAO,"CRITICO",IF($AD1294&gt;LIMITE_CONFORTAVEL,"ATENCAO","OK")))))</f>
        <v>OK</v>
      </c>
      <c r="AF1294" s="8" t="str">
        <f aca="false">$B1294&amp;"|"&amp;TEXT($AD1294,"0.000000")</f>
        <v>35|0.242771</v>
      </c>
      <c r="AG1294" s="18" t="n">
        <f aca="false">IF($K1294="SEM CULTURA",0,$T1294*$H1294)</f>
        <v>4761.3848625</v>
      </c>
      <c r="AH1294" s="18" t="n">
        <f aca="false">IF($K1294="SEM CULTURA",0,$V1294*$H1294)</f>
        <v>1512.59472</v>
      </c>
      <c r="AI1294" s="18" t="n">
        <f aca="false">IF($K1294="SEM CULTURA",0,$W1294*$H1294)</f>
        <v>3248.7901425</v>
      </c>
      <c r="AJ1294" s="18" t="n">
        <f aca="false">IF($K1294="SEM CULTURA",0,$S1294*$H1294)</f>
        <v>4633.146</v>
      </c>
      <c r="AK1294" s="8" t="str">
        <f aca="false">$E1294&amp;"|"&amp;TEXT($AD1294,"0.000000")</f>
        <v>PV 119|0.242771</v>
      </c>
    </row>
    <row r="1295" customFormat="false" ht="15" hidden="false" customHeight="false" outlineLevel="0" collapsed="false">
      <c r="B1295" s="16" t="n">
        <v>36</v>
      </c>
      <c r="C1295" s="17" t="n">
        <f aca="false">DATA_INICIO_SAFRA+($B1295-1)*DIAS_POR_SEMANA</f>
        <v>46510</v>
      </c>
      <c r="D1295" s="17" t="n">
        <f aca="false">$C1295+DIAS_POR_SEMANA-1</f>
        <v>46516</v>
      </c>
      <c r="E1295" s="15" t="s">
        <v>278</v>
      </c>
      <c r="F1295" s="8" t="str">
        <f aca="false">IFERROR(INDEX(CADASTRO_PIVOS!$C$6:$C$41,MATCH($E1295,CADASTRO_PIVOS!$B$6:$B$41,0)),"?")</f>
        <v>RM06</v>
      </c>
      <c r="G1295" s="8" t="str">
        <f aca="false">IFERROR(INDEX(CADASTRO_PIVOS!$D$6:$D$41,MATCH($E1295,CADASTRO_PIVOS!$B$6:$B$41,0)),"?")</f>
        <v>TR06</v>
      </c>
      <c r="H1295" s="20" t="n">
        <f aca="false">IFERROR(INDEX(CADASTRO_PIVOS!$E$6:$E$41,MATCH($E1295,CADASTRO_PIVOS!$B$6:$B$41,0)),0)</f>
        <v>149.94</v>
      </c>
      <c r="I1295" s="16" t="n">
        <f aca="false">IFERROR(SUMIFS(ROTACAO_RDM!$B$6:$B$71,ROTACAO_RDM!$D$6:$D$71,$E1295,ROTACAO_RDM!$I$6:$I$71,"&lt;="&amp;$C1295+INT(DIAS_POR_SEMANA/2),ROTACAO_RDM!$J$6:$J$71,"&gt;="&amp;$C1295+INT(DIAS_POR_SEMANA/2)),0)</f>
        <v>32</v>
      </c>
      <c r="J1295" s="16" t="n">
        <f aca="false">IFERROR(MATCH($I1295,ROTACAO_RDM!$B$6:$B$71,0),0)</f>
        <v>32</v>
      </c>
      <c r="K1295" s="8" t="str">
        <f aca="false">IF($J1295=0,"SEM CULTURA",INDEX(ROTACAO_RDM!$F$6:$F$71,$J1295))</f>
        <v>TABACO</v>
      </c>
      <c r="L1295" s="8" t="str">
        <f aca="false">IF($J1295=0,"",INDEX(ROTACAO_RDM!$G$6:$G$71,$J1295))</f>
        <v>PVH-2343</v>
      </c>
      <c r="M1295" s="17" t="n">
        <f aca="false">IF($J1295=0,"",INDEX(ROTACAO_RDM!$I$6:$I$71,$J1295))</f>
        <v>46380</v>
      </c>
      <c r="N1295" s="16" t="n">
        <f aca="false">IF($J1295=0,0,MAX(0,$C1295+INT(DIAS_POR_SEMANA/2)-INDEX(ROTACAO_RDM!$I$6:$I$71,$J1295)))</f>
        <v>133</v>
      </c>
      <c r="O1295" s="19" t="n">
        <f aca="false">IF($J1295=0,0,MIN(1,$N1295/MAX(1,INDEX(ROTACAO_RDM!$K$6:$K$71,$J1295))))</f>
        <v>0.83125</v>
      </c>
      <c r="P1295" s="16" t="n">
        <f aca="false">IF($J1295=0,0,IFERROR(MATCH(INDEX(ROTACAO_RDM!$N$6:$N$71,$J1295),PARAMETROS_CULTURAS!$B$6:$B$28,0),0))</f>
        <v>9</v>
      </c>
      <c r="Q1295" s="8" t="str">
        <f aca="false">IF($P1295=0,"-",IF($O1295&lt;=INDEX(PARAMETROS_CULTURAS!$F$6:$F$28,$P1295),"INICIAL",IF($O1295&lt;=INDEX(PARAMETROS_CULTURAS!$F$6:$F$28,$P1295)+INDEX(PARAMETROS_CULTURAS!$G$6:$G$28,$P1295),"DESENVOLVIMENTO",IF($O1295&lt;=INDEX(PARAMETROS_CULTURAS!$F$6:$F$28,$P1295)+INDEX(PARAMETROS_CULTURAS!$G$6:$G$28,$P1295)+INDEX(PARAMETROS_CULTURAS!$H$6:$H$28,$P1295),"MEDIA","FINAL"))))</f>
        <v>FINAL</v>
      </c>
      <c r="R1295" s="24" t="n">
        <f aca="false">IF($P1295=0,0,IF($O1295&lt;=INDEX(PARAMETROS_CULTURAS!$F$6:$F$28,$P1295),INDEX(PARAMETROS_CULTURAS!$K$6:$K$28,$P1295),IF($O1295&lt;=INDEX(PARAMETROS_CULTURAS!$F$6:$F$28,$P1295)+INDEX(PARAMETROS_CULTURAS!$G$6:$G$28,$P1295),INDEX(PARAMETROS_CULTURAS!$K$6:$K$28,$P1295)+(INDEX(PARAMETROS_CULTURAS!$L$6:$L$28,$P1295)-INDEX(PARAMETROS_CULTURAS!$K$6:$K$28,$P1295))*($O1295-INDEX(PARAMETROS_CULTURAS!$F$6:$F$28,$P1295))/MAX(INDEX(PARAMETROS_CULTURAS!$G$6:$G$28,$P1295),0.0001),IF($O1295&lt;=INDEX(PARAMETROS_CULTURAS!$F$6:$F$28,$P1295)+INDEX(PARAMETROS_CULTURAS!$G$6:$G$28,$P1295)+INDEX(PARAMETROS_CULTURAS!$H$6:$H$28,$P1295),INDEX(PARAMETROS_CULTURAS!$L$6:$L$28,$P1295),INDEX(PARAMETROS_CULTURAS!$L$6:$L$28,$P1295)+(INDEX(PARAMETROS_CULTURAS!$M$6:$M$28,$P1295)-INDEX(PARAMETROS_CULTURAS!$L$6:$L$28,$P1295))*($O1295-INDEX(PARAMETROS_CULTURAS!$F$6:$F$28,$P1295)-INDEX(PARAMETROS_CULTURAS!$G$6:$G$28,$P1295)-INDEX(PARAMETROS_CULTURAS!$H$6:$H$28,$P1295))/MAX(INDEX(PARAMETROS_CULTURAS!$I$6:$I$28,$P1295),0.0001)))))</f>
        <v>0.980803571428571</v>
      </c>
      <c r="S1295" s="18" t="n">
        <f aca="false">IFERROR(INDEX(SEMANAS!$H$6:$H$71,MATCH($B1295,SEMANAS!$B$6:$B$71,0)),0)</f>
        <v>29.4</v>
      </c>
      <c r="T1295" s="18" t="n">
        <f aca="false">$R1295*$S1295</f>
        <v>28.835625</v>
      </c>
      <c r="U1295" s="18" t="n">
        <f aca="false">IFERROR(INDEX(SEMANAS!$I$6:$I$71,MATCH($B1295,SEMANAS!$B$6:$B$71,0)),0)</f>
        <v>3.36</v>
      </c>
      <c r="V1295" s="18" t="n">
        <f aca="false">IFERROR(INDEX(SEMANAS!$J$6:$J$71,MATCH($B1295,SEMANAS!$B$6:$B$71,0)),0)</f>
        <v>2.688</v>
      </c>
      <c r="W1295" s="18" t="n">
        <f aca="false">MAX(0,$T1295-$V1295)</f>
        <v>26.147625</v>
      </c>
      <c r="X1295" s="19" t="n">
        <f aca="false">IFERROR(INDEX(CADASTRO_PIVOS!$K$6:$K$41,MATCH($E1295,CADASTRO_PIVOS!$B$6:$B$41,0)),EFICIENCIA_PADRAO)</f>
        <v>0.85</v>
      </c>
      <c r="Y1295" s="18" t="n">
        <f aca="false">IF($X1295&lt;=0,0,$W1295/$X1295)</f>
        <v>30.7619117647059</v>
      </c>
      <c r="Z1295" s="16" t="n">
        <f aca="false">$Y1295*$H1295*MM_PARA_M3_HA</f>
        <v>46124.4105</v>
      </c>
      <c r="AA1295" s="18" t="n">
        <f aca="false">IFERROR(INDEX(CADASTRO_PIVOS!$I$6:$I$41,MATCH($E1295,CADASTRO_PIVOS!$B$6:$B$41,0)),0)</f>
        <v>1071</v>
      </c>
      <c r="AB1295" s="18" t="n">
        <f aca="false">IF($Z1295&lt;=0,0,$Z1295/$AA1295)</f>
        <v>43.0666764705883</v>
      </c>
      <c r="AC1295" s="16" t="n">
        <f aca="false">IFERROR(INDEX(SEMANAS!$K$6:$K$71,MATCH($B1295,SEMANAS!$B$6:$B$71,0)),0)</f>
        <v>147</v>
      </c>
      <c r="AD1295" s="19" t="n">
        <f aca="false">IF($AC1295&lt;=0,0,$AB1295/$AC1295)</f>
        <v>0.292970588235294</v>
      </c>
      <c r="AE1295" s="8" t="str">
        <f aca="false">IF($K1295="SEM CULTURA","SEM CULTURA",IF($AA1295&lt;=0,"DADO PENDENTE",IF($AD1295&gt;LIMITE_CRITICO,"INVIAVEL",IF($AD1295&gt;LIMITE_ATENCAO,"CRITICO",IF($AD1295&gt;LIMITE_CONFORTAVEL,"ATENCAO","OK")))))</f>
        <v>OK</v>
      </c>
      <c r="AF1295" s="8" t="str">
        <f aca="false">$B1295&amp;"|"&amp;TEXT($AD1295,"0.000000")</f>
        <v>36|0.292971</v>
      </c>
      <c r="AG1295" s="18" t="n">
        <f aca="false">IF($K1295="SEM CULTURA",0,$T1295*$H1295)</f>
        <v>4323.6136125</v>
      </c>
      <c r="AH1295" s="18" t="n">
        <f aca="false">IF($K1295="SEM CULTURA",0,$V1295*$H1295)</f>
        <v>403.03872</v>
      </c>
      <c r="AI1295" s="18" t="n">
        <f aca="false">IF($K1295="SEM CULTURA",0,$W1295*$H1295)</f>
        <v>3920.5748925</v>
      </c>
      <c r="AJ1295" s="18" t="n">
        <f aca="false">IF($K1295="SEM CULTURA",0,$S1295*$H1295)</f>
        <v>4408.236</v>
      </c>
      <c r="AK1295" s="8" t="str">
        <f aca="false">$E1295&amp;"|"&amp;TEXT($AD1295,"0.000000")</f>
        <v>PV 119|0.292971</v>
      </c>
    </row>
    <row r="1296" customFormat="false" ht="15" hidden="false" customHeight="false" outlineLevel="0" collapsed="false">
      <c r="B1296" s="16" t="n">
        <v>37</v>
      </c>
      <c r="C1296" s="17" t="n">
        <f aca="false">DATA_INICIO_SAFRA+($B1296-1)*DIAS_POR_SEMANA</f>
        <v>46517</v>
      </c>
      <c r="D1296" s="17" t="n">
        <f aca="false">$C1296+DIAS_POR_SEMANA-1</f>
        <v>46523</v>
      </c>
      <c r="E1296" s="15" t="s">
        <v>278</v>
      </c>
      <c r="F1296" s="8" t="str">
        <f aca="false">IFERROR(INDEX(CADASTRO_PIVOS!$C$6:$C$41,MATCH($E1296,CADASTRO_PIVOS!$B$6:$B$41,0)),"?")</f>
        <v>RM06</v>
      </c>
      <c r="G1296" s="8" t="str">
        <f aca="false">IFERROR(INDEX(CADASTRO_PIVOS!$D$6:$D$41,MATCH($E1296,CADASTRO_PIVOS!$B$6:$B$41,0)),"?")</f>
        <v>TR06</v>
      </c>
      <c r="H1296" s="20" t="n">
        <f aca="false">IFERROR(INDEX(CADASTRO_PIVOS!$E$6:$E$41,MATCH($E1296,CADASTRO_PIVOS!$B$6:$B$41,0)),0)</f>
        <v>149.94</v>
      </c>
      <c r="I1296" s="16" t="n">
        <f aca="false">IFERROR(SUMIFS(ROTACAO_RDM!$B$6:$B$71,ROTACAO_RDM!$D$6:$D$71,$E1296,ROTACAO_RDM!$I$6:$I$71,"&lt;="&amp;$C1296+INT(DIAS_POR_SEMANA/2),ROTACAO_RDM!$J$6:$J$71,"&gt;="&amp;$C1296+INT(DIAS_POR_SEMANA/2)),0)</f>
        <v>32</v>
      </c>
      <c r="J1296" s="16" t="n">
        <f aca="false">IFERROR(MATCH($I1296,ROTACAO_RDM!$B$6:$B$71,0),0)</f>
        <v>32</v>
      </c>
      <c r="K1296" s="8" t="str">
        <f aca="false">IF($J1296=0,"SEM CULTURA",INDEX(ROTACAO_RDM!$F$6:$F$71,$J1296))</f>
        <v>TABACO</v>
      </c>
      <c r="L1296" s="8" t="str">
        <f aca="false">IF($J1296=0,"",INDEX(ROTACAO_RDM!$G$6:$G$71,$J1296))</f>
        <v>PVH-2343</v>
      </c>
      <c r="M1296" s="17" t="n">
        <f aca="false">IF($J1296=0,"",INDEX(ROTACAO_RDM!$I$6:$I$71,$J1296))</f>
        <v>46380</v>
      </c>
      <c r="N1296" s="16" t="n">
        <f aca="false">IF($J1296=0,0,MAX(0,$C1296+INT(DIAS_POR_SEMANA/2)-INDEX(ROTACAO_RDM!$I$6:$I$71,$J1296)))</f>
        <v>140</v>
      </c>
      <c r="O1296" s="19" t="n">
        <f aca="false">IF($J1296=0,0,MIN(1,$N1296/MAX(1,INDEX(ROTACAO_RDM!$K$6:$K$71,$J1296))))</f>
        <v>0.875</v>
      </c>
      <c r="P1296" s="16" t="n">
        <f aca="false">IF($J1296=0,0,IFERROR(MATCH(INDEX(ROTACAO_RDM!$N$6:$N$71,$J1296),PARAMETROS_CULTURAS!$B$6:$B$28,0),0))</f>
        <v>9</v>
      </c>
      <c r="Q1296" s="8" t="str">
        <f aca="false">IF($P1296=0,"-",IF($O1296&lt;=INDEX(PARAMETROS_CULTURAS!$F$6:$F$28,$P1296),"INICIAL",IF($O1296&lt;=INDEX(PARAMETROS_CULTURAS!$F$6:$F$28,$P1296)+INDEX(PARAMETROS_CULTURAS!$G$6:$G$28,$P1296),"DESENVOLVIMENTO",IF($O1296&lt;=INDEX(PARAMETROS_CULTURAS!$F$6:$F$28,$P1296)+INDEX(PARAMETROS_CULTURAS!$G$6:$G$28,$P1296)+INDEX(PARAMETROS_CULTURAS!$H$6:$H$28,$P1296),"MEDIA","FINAL"))))</f>
        <v>FINAL</v>
      </c>
      <c r="R1296" s="24" t="n">
        <f aca="false">IF($P1296=0,0,IF($O1296&lt;=INDEX(PARAMETROS_CULTURAS!$F$6:$F$28,$P1296),INDEX(PARAMETROS_CULTURAS!$K$6:$K$28,$P1296),IF($O1296&lt;=INDEX(PARAMETROS_CULTURAS!$F$6:$F$28,$P1296)+INDEX(PARAMETROS_CULTURAS!$G$6:$G$28,$P1296),INDEX(PARAMETROS_CULTURAS!$K$6:$K$28,$P1296)+(INDEX(PARAMETROS_CULTURAS!$L$6:$L$28,$P1296)-INDEX(PARAMETROS_CULTURAS!$K$6:$K$28,$P1296))*($O1296-INDEX(PARAMETROS_CULTURAS!$F$6:$F$28,$P1296))/MAX(INDEX(PARAMETROS_CULTURAS!$G$6:$G$28,$P1296),0.0001),IF($O1296&lt;=INDEX(PARAMETROS_CULTURAS!$F$6:$F$28,$P1296)+INDEX(PARAMETROS_CULTURAS!$G$6:$G$28,$P1296)+INDEX(PARAMETROS_CULTURAS!$H$6:$H$28,$P1296),INDEX(PARAMETROS_CULTURAS!$L$6:$L$28,$P1296),INDEX(PARAMETROS_CULTURAS!$L$6:$L$28,$P1296)+(INDEX(PARAMETROS_CULTURAS!$M$6:$M$28,$P1296)-INDEX(PARAMETROS_CULTURAS!$L$6:$L$28,$P1296))*($O1296-INDEX(PARAMETROS_CULTURAS!$F$6:$F$28,$P1296)-INDEX(PARAMETROS_CULTURAS!$G$6:$G$28,$P1296)-INDEX(PARAMETROS_CULTURAS!$H$6:$H$28,$P1296))/MAX(INDEX(PARAMETROS_CULTURAS!$I$6:$I$28,$P1296),0.0001)))))</f>
        <v>0.933928571428571</v>
      </c>
      <c r="S1296" s="18" t="n">
        <f aca="false">IFERROR(INDEX(SEMANAS!$H$6:$H$71,MATCH($B1296,SEMANAS!$B$6:$B$71,0)),0)</f>
        <v>29.4</v>
      </c>
      <c r="T1296" s="18" t="n">
        <f aca="false">$R1296*$S1296</f>
        <v>27.4575</v>
      </c>
      <c r="U1296" s="18" t="n">
        <f aca="false">IFERROR(INDEX(SEMANAS!$I$6:$I$71,MATCH($B1296,SEMANAS!$B$6:$B$71,0)),0)</f>
        <v>3.36</v>
      </c>
      <c r="V1296" s="18" t="n">
        <f aca="false">IFERROR(INDEX(SEMANAS!$J$6:$J$71,MATCH($B1296,SEMANAS!$B$6:$B$71,0)),0)</f>
        <v>2.688</v>
      </c>
      <c r="W1296" s="18" t="n">
        <f aca="false">MAX(0,$T1296-$V1296)</f>
        <v>24.7695</v>
      </c>
      <c r="X1296" s="19" t="n">
        <f aca="false">IFERROR(INDEX(CADASTRO_PIVOS!$K$6:$K$41,MATCH($E1296,CADASTRO_PIVOS!$B$6:$B$41,0)),EFICIENCIA_PADRAO)</f>
        <v>0.85</v>
      </c>
      <c r="Y1296" s="18" t="n">
        <f aca="false">IF($X1296&lt;=0,0,$W1296/$X1296)</f>
        <v>29.1405882352941</v>
      </c>
      <c r="Z1296" s="16" t="n">
        <f aca="false">$Y1296*$H1296*MM_PARA_M3_HA</f>
        <v>43693.398</v>
      </c>
      <c r="AA1296" s="18" t="n">
        <f aca="false">IFERROR(INDEX(CADASTRO_PIVOS!$I$6:$I$41,MATCH($E1296,CADASTRO_PIVOS!$B$6:$B$41,0)),0)</f>
        <v>1071</v>
      </c>
      <c r="AB1296" s="18" t="n">
        <f aca="false">IF($Z1296&lt;=0,0,$Z1296/$AA1296)</f>
        <v>40.7968235294118</v>
      </c>
      <c r="AC1296" s="16" t="n">
        <f aca="false">IFERROR(INDEX(SEMANAS!$K$6:$K$71,MATCH($B1296,SEMANAS!$B$6:$B$71,0)),0)</f>
        <v>147</v>
      </c>
      <c r="AD1296" s="19" t="n">
        <f aca="false">IF($AC1296&lt;=0,0,$AB1296/$AC1296)</f>
        <v>0.277529411764706</v>
      </c>
      <c r="AE1296" s="8" t="str">
        <f aca="false">IF($K1296="SEM CULTURA","SEM CULTURA",IF($AA1296&lt;=0,"DADO PENDENTE",IF($AD1296&gt;LIMITE_CRITICO,"INVIAVEL",IF($AD1296&gt;LIMITE_ATENCAO,"CRITICO",IF($AD1296&gt;LIMITE_CONFORTAVEL,"ATENCAO","OK")))))</f>
        <v>OK</v>
      </c>
      <c r="AF1296" s="8" t="str">
        <f aca="false">$B1296&amp;"|"&amp;TEXT($AD1296,"0.000000")</f>
        <v>37|0.277529</v>
      </c>
      <c r="AG1296" s="18" t="n">
        <f aca="false">IF($K1296="SEM CULTURA",0,$T1296*$H1296)</f>
        <v>4116.97755</v>
      </c>
      <c r="AH1296" s="18" t="n">
        <f aca="false">IF($K1296="SEM CULTURA",0,$V1296*$H1296)</f>
        <v>403.03872</v>
      </c>
      <c r="AI1296" s="18" t="n">
        <f aca="false">IF($K1296="SEM CULTURA",0,$W1296*$H1296)</f>
        <v>3713.93883</v>
      </c>
      <c r="AJ1296" s="18" t="n">
        <f aca="false">IF($K1296="SEM CULTURA",0,$S1296*$H1296)</f>
        <v>4408.236</v>
      </c>
      <c r="AK1296" s="8" t="str">
        <f aca="false">$E1296&amp;"|"&amp;TEXT($AD1296,"0.000000")</f>
        <v>PV 119|0.277529</v>
      </c>
    </row>
    <row r="1297" customFormat="false" ht="15" hidden="false" customHeight="false" outlineLevel="0" collapsed="false">
      <c r="B1297" s="16" t="n">
        <v>38</v>
      </c>
      <c r="C1297" s="17" t="n">
        <f aca="false">DATA_INICIO_SAFRA+($B1297-1)*DIAS_POR_SEMANA</f>
        <v>46524</v>
      </c>
      <c r="D1297" s="17" t="n">
        <f aca="false">$C1297+DIAS_POR_SEMANA-1</f>
        <v>46530</v>
      </c>
      <c r="E1297" s="15" t="s">
        <v>278</v>
      </c>
      <c r="F1297" s="8" t="str">
        <f aca="false">IFERROR(INDEX(CADASTRO_PIVOS!$C$6:$C$41,MATCH($E1297,CADASTRO_PIVOS!$B$6:$B$41,0)),"?")</f>
        <v>RM06</v>
      </c>
      <c r="G1297" s="8" t="str">
        <f aca="false">IFERROR(INDEX(CADASTRO_PIVOS!$D$6:$D$41,MATCH($E1297,CADASTRO_PIVOS!$B$6:$B$41,0)),"?")</f>
        <v>TR06</v>
      </c>
      <c r="H1297" s="20" t="n">
        <f aca="false">IFERROR(INDEX(CADASTRO_PIVOS!$E$6:$E$41,MATCH($E1297,CADASTRO_PIVOS!$B$6:$B$41,0)),0)</f>
        <v>149.94</v>
      </c>
      <c r="I1297" s="16" t="n">
        <f aca="false">IFERROR(SUMIFS(ROTACAO_RDM!$B$6:$B$71,ROTACAO_RDM!$D$6:$D$71,$E1297,ROTACAO_RDM!$I$6:$I$71,"&lt;="&amp;$C1297+INT(DIAS_POR_SEMANA/2),ROTACAO_RDM!$J$6:$J$71,"&gt;="&amp;$C1297+INT(DIAS_POR_SEMANA/2)),0)</f>
        <v>32</v>
      </c>
      <c r="J1297" s="16" t="n">
        <f aca="false">IFERROR(MATCH($I1297,ROTACAO_RDM!$B$6:$B$71,0),0)</f>
        <v>32</v>
      </c>
      <c r="K1297" s="8" t="str">
        <f aca="false">IF($J1297=0,"SEM CULTURA",INDEX(ROTACAO_RDM!$F$6:$F$71,$J1297))</f>
        <v>TABACO</v>
      </c>
      <c r="L1297" s="8" t="str">
        <f aca="false">IF($J1297=0,"",INDEX(ROTACAO_RDM!$G$6:$G$71,$J1297))</f>
        <v>PVH-2343</v>
      </c>
      <c r="M1297" s="17" t="n">
        <f aca="false">IF($J1297=0,"",INDEX(ROTACAO_RDM!$I$6:$I$71,$J1297))</f>
        <v>46380</v>
      </c>
      <c r="N1297" s="16" t="n">
        <f aca="false">IF($J1297=0,0,MAX(0,$C1297+INT(DIAS_POR_SEMANA/2)-INDEX(ROTACAO_RDM!$I$6:$I$71,$J1297)))</f>
        <v>147</v>
      </c>
      <c r="O1297" s="19" t="n">
        <f aca="false">IF($J1297=0,0,MIN(1,$N1297/MAX(1,INDEX(ROTACAO_RDM!$K$6:$K$71,$J1297))))</f>
        <v>0.91875</v>
      </c>
      <c r="P1297" s="16" t="n">
        <f aca="false">IF($J1297=0,0,IFERROR(MATCH(INDEX(ROTACAO_RDM!$N$6:$N$71,$J1297),PARAMETROS_CULTURAS!$B$6:$B$28,0),0))</f>
        <v>9</v>
      </c>
      <c r="Q1297" s="8" t="str">
        <f aca="false">IF($P1297=0,"-",IF($O1297&lt;=INDEX(PARAMETROS_CULTURAS!$F$6:$F$28,$P1297),"INICIAL",IF($O1297&lt;=INDEX(PARAMETROS_CULTURAS!$F$6:$F$28,$P1297)+INDEX(PARAMETROS_CULTURAS!$G$6:$G$28,$P1297),"DESENVOLVIMENTO",IF($O1297&lt;=INDEX(PARAMETROS_CULTURAS!$F$6:$F$28,$P1297)+INDEX(PARAMETROS_CULTURAS!$G$6:$G$28,$P1297)+INDEX(PARAMETROS_CULTURAS!$H$6:$H$28,$P1297),"MEDIA","FINAL"))))</f>
        <v>FINAL</v>
      </c>
      <c r="R1297" s="24" t="n">
        <f aca="false">IF($P1297=0,0,IF($O1297&lt;=INDEX(PARAMETROS_CULTURAS!$F$6:$F$28,$P1297),INDEX(PARAMETROS_CULTURAS!$K$6:$K$28,$P1297),IF($O1297&lt;=INDEX(PARAMETROS_CULTURAS!$F$6:$F$28,$P1297)+INDEX(PARAMETROS_CULTURAS!$G$6:$G$28,$P1297),INDEX(PARAMETROS_CULTURAS!$K$6:$K$28,$P1297)+(INDEX(PARAMETROS_CULTURAS!$L$6:$L$28,$P1297)-INDEX(PARAMETROS_CULTURAS!$K$6:$K$28,$P1297))*($O1297-INDEX(PARAMETROS_CULTURAS!$F$6:$F$28,$P1297))/MAX(INDEX(PARAMETROS_CULTURAS!$G$6:$G$28,$P1297),0.0001),IF($O1297&lt;=INDEX(PARAMETROS_CULTURAS!$F$6:$F$28,$P1297)+INDEX(PARAMETROS_CULTURAS!$G$6:$G$28,$P1297)+INDEX(PARAMETROS_CULTURAS!$H$6:$H$28,$P1297),INDEX(PARAMETROS_CULTURAS!$L$6:$L$28,$P1297),INDEX(PARAMETROS_CULTURAS!$L$6:$L$28,$P1297)+(INDEX(PARAMETROS_CULTURAS!$M$6:$M$28,$P1297)-INDEX(PARAMETROS_CULTURAS!$L$6:$L$28,$P1297))*($O1297-INDEX(PARAMETROS_CULTURAS!$F$6:$F$28,$P1297)-INDEX(PARAMETROS_CULTURAS!$G$6:$G$28,$P1297)-INDEX(PARAMETROS_CULTURAS!$H$6:$H$28,$P1297))/MAX(INDEX(PARAMETROS_CULTURAS!$I$6:$I$28,$P1297),0.0001)))))</f>
        <v>0.887053571428572</v>
      </c>
      <c r="S1297" s="18" t="n">
        <f aca="false">IFERROR(INDEX(SEMANAS!$H$6:$H$71,MATCH($B1297,SEMANAS!$B$6:$B$71,0)),0)</f>
        <v>29.4</v>
      </c>
      <c r="T1297" s="18" t="n">
        <f aca="false">$R1297*$S1297</f>
        <v>26.079375</v>
      </c>
      <c r="U1297" s="18" t="n">
        <f aca="false">IFERROR(INDEX(SEMANAS!$I$6:$I$71,MATCH($B1297,SEMANAS!$B$6:$B$71,0)),0)</f>
        <v>3.36</v>
      </c>
      <c r="V1297" s="18" t="n">
        <f aca="false">IFERROR(INDEX(SEMANAS!$J$6:$J$71,MATCH($B1297,SEMANAS!$B$6:$B$71,0)),0)</f>
        <v>2.688</v>
      </c>
      <c r="W1297" s="18" t="n">
        <f aca="false">MAX(0,$T1297-$V1297)</f>
        <v>23.391375</v>
      </c>
      <c r="X1297" s="19" t="n">
        <f aca="false">IFERROR(INDEX(CADASTRO_PIVOS!$K$6:$K$41,MATCH($E1297,CADASTRO_PIVOS!$B$6:$B$41,0)),EFICIENCIA_PADRAO)</f>
        <v>0.85</v>
      </c>
      <c r="Y1297" s="18" t="n">
        <f aca="false">IF($X1297&lt;=0,0,$W1297/$X1297)</f>
        <v>27.5192647058824</v>
      </c>
      <c r="Z1297" s="16" t="n">
        <f aca="false">$Y1297*$H1297*MM_PARA_M3_HA</f>
        <v>41262.3855</v>
      </c>
      <c r="AA1297" s="18" t="n">
        <f aca="false">IFERROR(INDEX(CADASTRO_PIVOS!$I$6:$I$41,MATCH($E1297,CADASTRO_PIVOS!$B$6:$B$41,0)),0)</f>
        <v>1071</v>
      </c>
      <c r="AB1297" s="18" t="n">
        <f aca="false">IF($Z1297&lt;=0,0,$Z1297/$AA1297)</f>
        <v>38.5269705882353</v>
      </c>
      <c r="AC1297" s="16" t="n">
        <f aca="false">IFERROR(INDEX(SEMANAS!$K$6:$K$71,MATCH($B1297,SEMANAS!$B$6:$B$71,0)),0)</f>
        <v>147</v>
      </c>
      <c r="AD1297" s="19" t="n">
        <f aca="false">IF($AC1297&lt;=0,0,$AB1297/$AC1297)</f>
        <v>0.262088235294118</v>
      </c>
      <c r="AE1297" s="8" t="str">
        <f aca="false">IF($K1297="SEM CULTURA","SEM CULTURA",IF($AA1297&lt;=0,"DADO PENDENTE",IF($AD1297&gt;LIMITE_CRITICO,"INVIAVEL",IF($AD1297&gt;LIMITE_ATENCAO,"CRITICO",IF($AD1297&gt;LIMITE_CONFORTAVEL,"ATENCAO","OK")))))</f>
        <v>OK</v>
      </c>
      <c r="AF1297" s="8" t="str">
        <f aca="false">$B1297&amp;"|"&amp;TEXT($AD1297,"0.000000")</f>
        <v>38|0.262088</v>
      </c>
      <c r="AG1297" s="18" t="n">
        <f aca="false">IF($K1297="SEM CULTURA",0,$T1297*$H1297)</f>
        <v>3910.3414875</v>
      </c>
      <c r="AH1297" s="18" t="n">
        <f aca="false">IF($K1297="SEM CULTURA",0,$V1297*$H1297)</f>
        <v>403.03872</v>
      </c>
      <c r="AI1297" s="18" t="n">
        <f aca="false">IF($K1297="SEM CULTURA",0,$W1297*$H1297)</f>
        <v>3507.3027675</v>
      </c>
      <c r="AJ1297" s="18" t="n">
        <f aca="false">IF($K1297="SEM CULTURA",0,$S1297*$H1297)</f>
        <v>4408.236</v>
      </c>
      <c r="AK1297" s="8" t="str">
        <f aca="false">$E1297&amp;"|"&amp;TEXT($AD1297,"0.000000")</f>
        <v>PV 119|0.262088</v>
      </c>
    </row>
    <row r="1298" customFormat="false" ht="15" hidden="false" customHeight="false" outlineLevel="0" collapsed="false">
      <c r="B1298" s="16" t="n">
        <v>39</v>
      </c>
      <c r="C1298" s="17" t="n">
        <f aca="false">DATA_INICIO_SAFRA+($B1298-1)*DIAS_POR_SEMANA</f>
        <v>46531</v>
      </c>
      <c r="D1298" s="17" t="n">
        <f aca="false">$C1298+DIAS_POR_SEMANA-1</f>
        <v>46537</v>
      </c>
      <c r="E1298" s="15" t="s">
        <v>278</v>
      </c>
      <c r="F1298" s="8" t="str">
        <f aca="false">IFERROR(INDEX(CADASTRO_PIVOS!$C$6:$C$41,MATCH($E1298,CADASTRO_PIVOS!$B$6:$B$41,0)),"?")</f>
        <v>RM06</v>
      </c>
      <c r="G1298" s="8" t="str">
        <f aca="false">IFERROR(INDEX(CADASTRO_PIVOS!$D$6:$D$41,MATCH($E1298,CADASTRO_PIVOS!$B$6:$B$41,0)),"?")</f>
        <v>TR06</v>
      </c>
      <c r="H1298" s="20" t="n">
        <f aca="false">IFERROR(INDEX(CADASTRO_PIVOS!$E$6:$E$41,MATCH($E1298,CADASTRO_PIVOS!$B$6:$B$41,0)),0)</f>
        <v>149.94</v>
      </c>
      <c r="I1298" s="16" t="n">
        <f aca="false">IFERROR(SUMIFS(ROTACAO_RDM!$B$6:$B$71,ROTACAO_RDM!$D$6:$D$71,$E1298,ROTACAO_RDM!$I$6:$I$71,"&lt;="&amp;$C1298+INT(DIAS_POR_SEMANA/2),ROTACAO_RDM!$J$6:$J$71,"&gt;="&amp;$C1298+INT(DIAS_POR_SEMANA/2)),0)</f>
        <v>32</v>
      </c>
      <c r="J1298" s="16" t="n">
        <f aca="false">IFERROR(MATCH($I1298,ROTACAO_RDM!$B$6:$B$71,0),0)</f>
        <v>32</v>
      </c>
      <c r="K1298" s="8" t="str">
        <f aca="false">IF($J1298=0,"SEM CULTURA",INDEX(ROTACAO_RDM!$F$6:$F$71,$J1298))</f>
        <v>TABACO</v>
      </c>
      <c r="L1298" s="8" t="str">
        <f aca="false">IF($J1298=0,"",INDEX(ROTACAO_RDM!$G$6:$G$71,$J1298))</f>
        <v>PVH-2343</v>
      </c>
      <c r="M1298" s="17" t="n">
        <f aca="false">IF($J1298=0,"",INDEX(ROTACAO_RDM!$I$6:$I$71,$J1298))</f>
        <v>46380</v>
      </c>
      <c r="N1298" s="16" t="n">
        <f aca="false">IF($J1298=0,0,MAX(0,$C1298+INT(DIAS_POR_SEMANA/2)-INDEX(ROTACAO_RDM!$I$6:$I$71,$J1298)))</f>
        <v>154</v>
      </c>
      <c r="O1298" s="19" t="n">
        <f aca="false">IF($J1298=0,0,MIN(1,$N1298/MAX(1,INDEX(ROTACAO_RDM!$K$6:$K$71,$J1298))))</f>
        <v>0.9625</v>
      </c>
      <c r="P1298" s="16" t="n">
        <f aca="false">IF($J1298=0,0,IFERROR(MATCH(INDEX(ROTACAO_RDM!$N$6:$N$71,$J1298),PARAMETROS_CULTURAS!$B$6:$B$28,0),0))</f>
        <v>9</v>
      </c>
      <c r="Q1298" s="8" t="str">
        <f aca="false">IF($P1298=0,"-",IF($O1298&lt;=INDEX(PARAMETROS_CULTURAS!$F$6:$F$28,$P1298),"INICIAL",IF($O1298&lt;=INDEX(PARAMETROS_CULTURAS!$F$6:$F$28,$P1298)+INDEX(PARAMETROS_CULTURAS!$G$6:$G$28,$P1298),"DESENVOLVIMENTO",IF($O1298&lt;=INDEX(PARAMETROS_CULTURAS!$F$6:$F$28,$P1298)+INDEX(PARAMETROS_CULTURAS!$G$6:$G$28,$P1298)+INDEX(PARAMETROS_CULTURAS!$H$6:$H$28,$P1298),"MEDIA","FINAL"))))</f>
        <v>FINAL</v>
      </c>
      <c r="R1298" s="24" t="n">
        <f aca="false">IF($P1298=0,0,IF($O1298&lt;=INDEX(PARAMETROS_CULTURAS!$F$6:$F$28,$P1298),INDEX(PARAMETROS_CULTURAS!$K$6:$K$28,$P1298),IF($O1298&lt;=INDEX(PARAMETROS_CULTURAS!$F$6:$F$28,$P1298)+INDEX(PARAMETROS_CULTURAS!$G$6:$G$28,$P1298),INDEX(PARAMETROS_CULTURAS!$K$6:$K$28,$P1298)+(INDEX(PARAMETROS_CULTURAS!$L$6:$L$28,$P1298)-INDEX(PARAMETROS_CULTURAS!$K$6:$K$28,$P1298))*($O1298-INDEX(PARAMETROS_CULTURAS!$F$6:$F$28,$P1298))/MAX(INDEX(PARAMETROS_CULTURAS!$G$6:$G$28,$P1298),0.0001),IF($O1298&lt;=INDEX(PARAMETROS_CULTURAS!$F$6:$F$28,$P1298)+INDEX(PARAMETROS_CULTURAS!$G$6:$G$28,$P1298)+INDEX(PARAMETROS_CULTURAS!$H$6:$H$28,$P1298),INDEX(PARAMETROS_CULTURAS!$L$6:$L$28,$P1298),INDEX(PARAMETROS_CULTURAS!$L$6:$L$28,$P1298)+(INDEX(PARAMETROS_CULTURAS!$M$6:$M$28,$P1298)-INDEX(PARAMETROS_CULTURAS!$L$6:$L$28,$P1298))*($O1298-INDEX(PARAMETROS_CULTURAS!$F$6:$F$28,$P1298)-INDEX(PARAMETROS_CULTURAS!$G$6:$G$28,$P1298)-INDEX(PARAMETROS_CULTURAS!$H$6:$H$28,$P1298))/MAX(INDEX(PARAMETROS_CULTURAS!$I$6:$I$28,$P1298),0.0001)))))</f>
        <v>0.840178571428572</v>
      </c>
      <c r="S1298" s="18" t="n">
        <f aca="false">IFERROR(INDEX(SEMANAS!$H$6:$H$71,MATCH($B1298,SEMANAS!$B$6:$B$71,0)),0)</f>
        <v>29.4</v>
      </c>
      <c r="T1298" s="18" t="n">
        <f aca="false">$R1298*$S1298</f>
        <v>24.70125</v>
      </c>
      <c r="U1298" s="18" t="n">
        <f aca="false">IFERROR(INDEX(SEMANAS!$I$6:$I$71,MATCH($B1298,SEMANAS!$B$6:$B$71,0)),0)</f>
        <v>3.36</v>
      </c>
      <c r="V1298" s="18" t="n">
        <f aca="false">IFERROR(INDEX(SEMANAS!$J$6:$J$71,MATCH($B1298,SEMANAS!$B$6:$B$71,0)),0)</f>
        <v>2.688</v>
      </c>
      <c r="W1298" s="18" t="n">
        <f aca="false">MAX(0,$T1298-$V1298)</f>
        <v>22.01325</v>
      </c>
      <c r="X1298" s="19" t="n">
        <f aca="false">IFERROR(INDEX(CADASTRO_PIVOS!$K$6:$K$41,MATCH($E1298,CADASTRO_PIVOS!$B$6:$B$41,0)),EFICIENCIA_PADRAO)</f>
        <v>0.85</v>
      </c>
      <c r="Y1298" s="18" t="n">
        <f aca="false">IF($X1298&lt;=0,0,$W1298/$X1298)</f>
        <v>25.8979411764706</v>
      </c>
      <c r="Z1298" s="16" t="n">
        <f aca="false">$Y1298*$H1298*MM_PARA_M3_HA</f>
        <v>38831.373</v>
      </c>
      <c r="AA1298" s="18" t="n">
        <f aca="false">IFERROR(INDEX(CADASTRO_PIVOS!$I$6:$I$41,MATCH($E1298,CADASTRO_PIVOS!$B$6:$B$41,0)),0)</f>
        <v>1071</v>
      </c>
      <c r="AB1298" s="18" t="n">
        <f aca="false">IF($Z1298&lt;=0,0,$Z1298/$AA1298)</f>
        <v>36.2571176470588</v>
      </c>
      <c r="AC1298" s="16" t="n">
        <f aca="false">IFERROR(INDEX(SEMANAS!$K$6:$K$71,MATCH($B1298,SEMANAS!$B$6:$B$71,0)),0)</f>
        <v>147</v>
      </c>
      <c r="AD1298" s="19" t="n">
        <f aca="false">IF($AC1298&lt;=0,0,$AB1298/$AC1298)</f>
        <v>0.24664705882353</v>
      </c>
      <c r="AE1298" s="8" t="str">
        <f aca="false">IF($K1298="SEM CULTURA","SEM CULTURA",IF($AA1298&lt;=0,"DADO PENDENTE",IF($AD1298&gt;LIMITE_CRITICO,"INVIAVEL",IF($AD1298&gt;LIMITE_ATENCAO,"CRITICO",IF($AD1298&gt;LIMITE_CONFORTAVEL,"ATENCAO","OK")))))</f>
        <v>OK</v>
      </c>
      <c r="AF1298" s="8" t="str">
        <f aca="false">$B1298&amp;"|"&amp;TEXT($AD1298,"0.000000")</f>
        <v>39|0.246647</v>
      </c>
      <c r="AG1298" s="18" t="n">
        <f aca="false">IF($K1298="SEM CULTURA",0,$T1298*$H1298)</f>
        <v>3703.705425</v>
      </c>
      <c r="AH1298" s="18" t="n">
        <f aca="false">IF($K1298="SEM CULTURA",0,$V1298*$H1298)</f>
        <v>403.03872</v>
      </c>
      <c r="AI1298" s="18" t="n">
        <f aca="false">IF($K1298="SEM CULTURA",0,$W1298*$H1298)</f>
        <v>3300.666705</v>
      </c>
      <c r="AJ1298" s="18" t="n">
        <f aca="false">IF($K1298="SEM CULTURA",0,$S1298*$H1298)</f>
        <v>4408.236</v>
      </c>
      <c r="AK1298" s="8" t="str">
        <f aca="false">$E1298&amp;"|"&amp;TEXT($AD1298,"0.000000")</f>
        <v>PV 119|0.246647</v>
      </c>
    </row>
    <row r="1299" customFormat="false" ht="15" hidden="false" customHeight="false" outlineLevel="0" collapsed="false">
      <c r="B1299" s="16" t="n">
        <v>40</v>
      </c>
      <c r="C1299" s="17" t="n">
        <f aca="false">DATA_INICIO_SAFRA+($B1299-1)*DIAS_POR_SEMANA</f>
        <v>46538</v>
      </c>
      <c r="D1299" s="17" t="n">
        <f aca="false">$C1299+DIAS_POR_SEMANA-1</f>
        <v>46544</v>
      </c>
      <c r="E1299" s="15" t="s">
        <v>278</v>
      </c>
      <c r="F1299" s="8" t="str">
        <f aca="false">IFERROR(INDEX(CADASTRO_PIVOS!$C$6:$C$41,MATCH($E1299,CADASTRO_PIVOS!$B$6:$B$41,0)),"?")</f>
        <v>RM06</v>
      </c>
      <c r="G1299" s="8" t="str">
        <f aca="false">IFERROR(INDEX(CADASTRO_PIVOS!$D$6:$D$41,MATCH($E1299,CADASTRO_PIVOS!$B$6:$B$41,0)),"?")</f>
        <v>TR06</v>
      </c>
      <c r="H1299" s="20" t="n">
        <f aca="false">IFERROR(INDEX(CADASTRO_PIVOS!$E$6:$E$41,MATCH($E1299,CADASTRO_PIVOS!$B$6:$B$41,0)),0)</f>
        <v>149.94</v>
      </c>
      <c r="I1299" s="16" t="n">
        <f aca="false">IFERROR(SUMIFS(ROTACAO_RDM!$B$6:$B$71,ROTACAO_RDM!$D$6:$D$71,$E1299,ROTACAO_RDM!$I$6:$I$71,"&lt;="&amp;$C1299+INT(DIAS_POR_SEMANA/2),ROTACAO_RDM!$J$6:$J$71,"&gt;="&amp;$C1299+INT(DIAS_POR_SEMANA/2)),0)</f>
        <v>0</v>
      </c>
      <c r="J1299" s="16" t="n">
        <f aca="false">IFERROR(MATCH($I1299,ROTACAO_RDM!$B$6:$B$71,0),0)</f>
        <v>0</v>
      </c>
      <c r="K1299" s="8" t="str">
        <f aca="false">IF($J1299=0,"SEM CULTURA",INDEX(ROTACAO_RDM!$F$6:$F$71,$J1299))</f>
        <v>SEM CULTURA</v>
      </c>
      <c r="L1299" s="8" t="str">
        <f aca="false">IF($J1299=0,"",INDEX(ROTACAO_RDM!$G$6:$G$71,$J1299))</f>
        <v/>
      </c>
      <c r="M1299" s="17" t="str">
        <f aca="false">IF($J1299=0,"",INDEX(ROTACAO_RDM!$I$6:$I$71,$J1299))</f>
        <v/>
      </c>
      <c r="N1299" s="16" t="n">
        <f aca="false">IF($J1299=0,0,MAX(0,$C1299+INT(DIAS_POR_SEMANA/2)-INDEX(ROTACAO_RDM!$I$6:$I$71,$J1299)))</f>
        <v>0</v>
      </c>
      <c r="O1299" s="19" t="n">
        <f aca="false">IF($J1299=0,0,MIN(1,$N1299/MAX(1,INDEX(ROTACAO_RDM!$K$6:$K$71,$J1299))))</f>
        <v>0</v>
      </c>
      <c r="P1299" s="16" t="n">
        <f aca="false">IF($J1299=0,0,IFERROR(MATCH(INDEX(ROTACAO_RDM!$N$6:$N$71,$J1299),PARAMETROS_CULTURAS!$B$6:$B$28,0),0))</f>
        <v>0</v>
      </c>
      <c r="Q1299" s="8" t="str">
        <f aca="false">IF($P1299=0,"-",IF($O1299&lt;=INDEX(PARAMETROS_CULTURAS!$F$6:$F$28,$P1299),"INICIAL",IF($O1299&lt;=INDEX(PARAMETROS_CULTURAS!$F$6:$F$28,$P1299)+INDEX(PARAMETROS_CULTURAS!$G$6:$G$28,$P1299),"DESENVOLVIMENTO",IF($O1299&lt;=INDEX(PARAMETROS_CULTURAS!$F$6:$F$28,$P1299)+INDEX(PARAMETROS_CULTURAS!$G$6:$G$28,$P1299)+INDEX(PARAMETROS_CULTURAS!$H$6:$H$28,$P1299),"MEDIA","FINAL"))))</f>
        <v>-</v>
      </c>
      <c r="R1299" s="24" t="n">
        <f aca="false">IF($P1299=0,0,IF($O1299&lt;=INDEX(PARAMETROS_CULTURAS!$F$6:$F$28,$P1299),INDEX(PARAMETROS_CULTURAS!$K$6:$K$28,$P1299),IF($O1299&lt;=INDEX(PARAMETROS_CULTURAS!$F$6:$F$28,$P1299)+INDEX(PARAMETROS_CULTURAS!$G$6:$G$28,$P1299),INDEX(PARAMETROS_CULTURAS!$K$6:$K$28,$P1299)+(INDEX(PARAMETROS_CULTURAS!$L$6:$L$28,$P1299)-INDEX(PARAMETROS_CULTURAS!$K$6:$K$28,$P1299))*($O1299-INDEX(PARAMETROS_CULTURAS!$F$6:$F$28,$P1299))/MAX(INDEX(PARAMETROS_CULTURAS!$G$6:$G$28,$P1299),0.0001),IF($O1299&lt;=INDEX(PARAMETROS_CULTURAS!$F$6:$F$28,$P1299)+INDEX(PARAMETROS_CULTURAS!$G$6:$G$28,$P1299)+INDEX(PARAMETROS_CULTURAS!$H$6:$H$28,$P1299),INDEX(PARAMETROS_CULTURAS!$L$6:$L$28,$P1299),INDEX(PARAMETROS_CULTURAS!$L$6:$L$28,$P1299)+(INDEX(PARAMETROS_CULTURAS!$M$6:$M$28,$P1299)-INDEX(PARAMETROS_CULTURAS!$L$6:$L$28,$P1299))*($O1299-INDEX(PARAMETROS_CULTURAS!$F$6:$F$28,$P1299)-INDEX(PARAMETROS_CULTURAS!$G$6:$G$28,$P1299)-INDEX(PARAMETROS_CULTURAS!$H$6:$H$28,$P1299))/MAX(INDEX(PARAMETROS_CULTURAS!$I$6:$I$28,$P1299),0.0001)))))</f>
        <v>0</v>
      </c>
      <c r="S1299" s="18" t="n">
        <f aca="false">IFERROR(INDEX(SEMANAS!$H$6:$H$71,MATCH($B1299,SEMANAS!$B$6:$B$71,0)),0)</f>
        <v>28.2</v>
      </c>
      <c r="T1299" s="18" t="n">
        <f aca="false">$R1299*$S1299</f>
        <v>0</v>
      </c>
      <c r="U1299" s="18" t="n">
        <f aca="false">IFERROR(INDEX(SEMANAS!$I$6:$I$71,MATCH($B1299,SEMANAS!$B$6:$B$71,0)),0)</f>
        <v>1.5</v>
      </c>
      <c r="V1299" s="18" t="n">
        <f aca="false">IFERROR(INDEX(SEMANAS!$J$6:$J$71,MATCH($B1299,SEMANAS!$B$6:$B$71,0)),0)</f>
        <v>1.2</v>
      </c>
      <c r="W1299" s="18" t="n">
        <f aca="false">MAX(0,$T1299-$V1299)</f>
        <v>0</v>
      </c>
      <c r="X1299" s="19" t="n">
        <f aca="false">IFERROR(INDEX(CADASTRO_PIVOS!$K$6:$K$41,MATCH($E1299,CADASTRO_PIVOS!$B$6:$B$41,0)),EFICIENCIA_PADRAO)</f>
        <v>0.85</v>
      </c>
      <c r="Y1299" s="18" t="n">
        <f aca="false">IF($X1299&lt;=0,0,$W1299/$X1299)</f>
        <v>0</v>
      </c>
      <c r="Z1299" s="16" t="n">
        <f aca="false">$Y1299*$H1299*MM_PARA_M3_HA</f>
        <v>0</v>
      </c>
      <c r="AA1299" s="18" t="n">
        <f aca="false">IFERROR(INDEX(CADASTRO_PIVOS!$I$6:$I$41,MATCH($E1299,CADASTRO_PIVOS!$B$6:$B$41,0)),0)</f>
        <v>1071</v>
      </c>
      <c r="AB1299" s="18" t="n">
        <f aca="false">IF($Z1299&lt;=0,0,$Z1299/$AA1299)</f>
        <v>0</v>
      </c>
      <c r="AC1299" s="16" t="n">
        <f aca="false">IFERROR(INDEX(SEMANAS!$K$6:$K$71,MATCH($B1299,SEMANAS!$B$6:$B$71,0)),0)</f>
        <v>147</v>
      </c>
      <c r="AD1299" s="19" t="n">
        <f aca="false">IF($AC1299&lt;=0,0,$AB1299/$AC1299)</f>
        <v>0</v>
      </c>
      <c r="AE1299" s="8" t="str">
        <f aca="false">IF($K1299="SEM CULTURA","SEM CULTURA",IF($AA1299&lt;=0,"DADO PENDENTE",IF($AD1299&gt;LIMITE_CRITICO,"INVIAVEL",IF($AD1299&gt;LIMITE_ATENCAO,"CRITICO",IF($AD1299&gt;LIMITE_CONFORTAVEL,"ATENCAO","OK")))))</f>
        <v>SEM CULTURA</v>
      </c>
      <c r="AF1299" s="8" t="str">
        <f aca="false">$B1299&amp;"|"&amp;TEXT($AD1299,"0.000000")</f>
        <v>40|0.000000</v>
      </c>
      <c r="AG1299" s="18" t="n">
        <f aca="false">IF($K1299="SEM CULTURA",0,$T1299*$H1299)</f>
        <v>0</v>
      </c>
      <c r="AH1299" s="18" t="n">
        <f aca="false">IF($K1299="SEM CULTURA",0,$V1299*$H1299)</f>
        <v>0</v>
      </c>
      <c r="AI1299" s="18" t="n">
        <f aca="false">IF($K1299="SEM CULTURA",0,$W1299*$H1299)</f>
        <v>0</v>
      </c>
      <c r="AJ1299" s="18" t="n">
        <f aca="false">IF($K1299="SEM CULTURA",0,$S1299*$H1299)</f>
        <v>0</v>
      </c>
      <c r="AK1299" s="8" t="str">
        <f aca="false">$E1299&amp;"|"&amp;TEXT($AD1299,"0.000000")</f>
        <v>PV 119|0.000000</v>
      </c>
    </row>
    <row r="1300" customFormat="false" ht="15" hidden="false" customHeight="false" outlineLevel="0" collapsed="false">
      <c r="B1300" s="16" t="n">
        <v>41</v>
      </c>
      <c r="C1300" s="17" t="n">
        <f aca="false">DATA_INICIO_SAFRA+($B1300-1)*DIAS_POR_SEMANA</f>
        <v>46545</v>
      </c>
      <c r="D1300" s="17" t="n">
        <f aca="false">$C1300+DIAS_POR_SEMANA-1</f>
        <v>46551</v>
      </c>
      <c r="E1300" s="15" t="s">
        <v>278</v>
      </c>
      <c r="F1300" s="8" t="str">
        <f aca="false">IFERROR(INDEX(CADASTRO_PIVOS!$C$6:$C$41,MATCH($E1300,CADASTRO_PIVOS!$B$6:$B$41,0)),"?")</f>
        <v>RM06</v>
      </c>
      <c r="G1300" s="8" t="str">
        <f aca="false">IFERROR(INDEX(CADASTRO_PIVOS!$D$6:$D$41,MATCH($E1300,CADASTRO_PIVOS!$B$6:$B$41,0)),"?")</f>
        <v>TR06</v>
      </c>
      <c r="H1300" s="20" t="n">
        <f aca="false">IFERROR(INDEX(CADASTRO_PIVOS!$E$6:$E$41,MATCH($E1300,CADASTRO_PIVOS!$B$6:$B$41,0)),0)</f>
        <v>149.94</v>
      </c>
      <c r="I1300" s="16" t="n">
        <f aca="false">IFERROR(SUMIFS(ROTACAO_RDM!$B$6:$B$71,ROTACAO_RDM!$D$6:$D$71,$E1300,ROTACAO_RDM!$I$6:$I$71,"&lt;="&amp;$C1300+INT(DIAS_POR_SEMANA/2),ROTACAO_RDM!$J$6:$J$71,"&gt;="&amp;$C1300+INT(DIAS_POR_SEMANA/2)),0)</f>
        <v>0</v>
      </c>
      <c r="J1300" s="16" t="n">
        <f aca="false">IFERROR(MATCH($I1300,ROTACAO_RDM!$B$6:$B$71,0),0)</f>
        <v>0</v>
      </c>
      <c r="K1300" s="8" t="str">
        <f aca="false">IF($J1300=0,"SEM CULTURA",INDEX(ROTACAO_RDM!$F$6:$F$71,$J1300))</f>
        <v>SEM CULTURA</v>
      </c>
      <c r="L1300" s="8" t="str">
        <f aca="false">IF($J1300=0,"",INDEX(ROTACAO_RDM!$G$6:$G$71,$J1300))</f>
        <v/>
      </c>
      <c r="M1300" s="17" t="str">
        <f aca="false">IF($J1300=0,"",INDEX(ROTACAO_RDM!$I$6:$I$71,$J1300))</f>
        <v/>
      </c>
      <c r="N1300" s="16" t="n">
        <f aca="false">IF($J1300=0,0,MAX(0,$C1300+INT(DIAS_POR_SEMANA/2)-INDEX(ROTACAO_RDM!$I$6:$I$71,$J1300)))</f>
        <v>0</v>
      </c>
      <c r="O1300" s="19" t="n">
        <f aca="false">IF($J1300=0,0,MIN(1,$N1300/MAX(1,INDEX(ROTACAO_RDM!$K$6:$K$71,$J1300))))</f>
        <v>0</v>
      </c>
      <c r="P1300" s="16" t="n">
        <f aca="false">IF($J1300=0,0,IFERROR(MATCH(INDEX(ROTACAO_RDM!$N$6:$N$71,$J1300),PARAMETROS_CULTURAS!$B$6:$B$28,0),0))</f>
        <v>0</v>
      </c>
      <c r="Q1300" s="8" t="str">
        <f aca="false">IF($P1300=0,"-",IF($O1300&lt;=INDEX(PARAMETROS_CULTURAS!$F$6:$F$28,$P1300),"INICIAL",IF($O1300&lt;=INDEX(PARAMETROS_CULTURAS!$F$6:$F$28,$P1300)+INDEX(PARAMETROS_CULTURAS!$G$6:$G$28,$P1300),"DESENVOLVIMENTO",IF($O1300&lt;=INDEX(PARAMETROS_CULTURAS!$F$6:$F$28,$P1300)+INDEX(PARAMETROS_CULTURAS!$G$6:$G$28,$P1300)+INDEX(PARAMETROS_CULTURAS!$H$6:$H$28,$P1300),"MEDIA","FINAL"))))</f>
        <v>-</v>
      </c>
      <c r="R1300" s="24" t="n">
        <f aca="false">IF($P1300=0,0,IF($O1300&lt;=INDEX(PARAMETROS_CULTURAS!$F$6:$F$28,$P1300),INDEX(PARAMETROS_CULTURAS!$K$6:$K$28,$P1300),IF($O1300&lt;=INDEX(PARAMETROS_CULTURAS!$F$6:$F$28,$P1300)+INDEX(PARAMETROS_CULTURAS!$G$6:$G$28,$P1300),INDEX(PARAMETROS_CULTURAS!$K$6:$K$28,$P1300)+(INDEX(PARAMETROS_CULTURAS!$L$6:$L$28,$P1300)-INDEX(PARAMETROS_CULTURAS!$K$6:$K$28,$P1300))*($O1300-INDEX(PARAMETROS_CULTURAS!$F$6:$F$28,$P1300))/MAX(INDEX(PARAMETROS_CULTURAS!$G$6:$G$28,$P1300),0.0001),IF($O1300&lt;=INDEX(PARAMETROS_CULTURAS!$F$6:$F$28,$P1300)+INDEX(PARAMETROS_CULTURAS!$G$6:$G$28,$P1300)+INDEX(PARAMETROS_CULTURAS!$H$6:$H$28,$P1300),INDEX(PARAMETROS_CULTURAS!$L$6:$L$28,$P1300),INDEX(PARAMETROS_CULTURAS!$L$6:$L$28,$P1300)+(INDEX(PARAMETROS_CULTURAS!$M$6:$M$28,$P1300)-INDEX(PARAMETROS_CULTURAS!$L$6:$L$28,$P1300))*($O1300-INDEX(PARAMETROS_CULTURAS!$F$6:$F$28,$P1300)-INDEX(PARAMETROS_CULTURAS!$G$6:$G$28,$P1300)-INDEX(PARAMETROS_CULTURAS!$H$6:$H$28,$P1300))/MAX(INDEX(PARAMETROS_CULTURAS!$I$6:$I$28,$P1300),0.0001)))))</f>
        <v>0</v>
      </c>
      <c r="S1300" s="18" t="n">
        <f aca="false">IFERROR(INDEX(SEMANAS!$H$6:$H$71,MATCH($B1300,SEMANAS!$B$6:$B$71,0)),0)</f>
        <v>28</v>
      </c>
      <c r="T1300" s="18" t="n">
        <f aca="false">$R1300*$S1300</f>
        <v>0</v>
      </c>
      <c r="U1300" s="18" t="n">
        <f aca="false">IFERROR(INDEX(SEMANAS!$I$6:$I$71,MATCH($B1300,SEMANAS!$B$6:$B$71,0)),0)</f>
        <v>1.19</v>
      </c>
      <c r="V1300" s="18" t="n">
        <f aca="false">IFERROR(INDEX(SEMANAS!$J$6:$J$71,MATCH($B1300,SEMANAS!$B$6:$B$71,0)),0)</f>
        <v>0.952</v>
      </c>
      <c r="W1300" s="18" t="n">
        <f aca="false">MAX(0,$T1300-$V1300)</f>
        <v>0</v>
      </c>
      <c r="X1300" s="19" t="n">
        <f aca="false">IFERROR(INDEX(CADASTRO_PIVOS!$K$6:$K$41,MATCH($E1300,CADASTRO_PIVOS!$B$6:$B$41,0)),EFICIENCIA_PADRAO)</f>
        <v>0.85</v>
      </c>
      <c r="Y1300" s="18" t="n">
        <f aca="false">IF($X1300&lt;=0,0,$W1300/$X1300)</f>
        <v>0</v>
      </c>
      <c r="Z1300" s="16" t="n">
        <f aca="false">$Y1300*$H1300*MM_PARA_M3_HA</f>
        <v>0</v>
      </c>
      <c r="AA1300" s="18" t="n">
        <f aca="false">IFERROR(INDEX(CADASTRO_PIVOS!$I$6:$I$41,MATCH($E1300,CADASTRO_PIVOS!$B$6:$B$41,0)),0)</f>
        <v>1071</v>
      </c>
      <c r="AB1300" s="18" t="n">
        <f aca="false">IF($Z1300&lt;=0,0,$Z1300/$AA1300)</f>
        <v>0</v>
      </c>
      <c r="AC1300" s="16" t="n">
        <f aca="false">IFERROR(INDEX(SEMANAS!$K$6:$K$71,MATCH($B1300,SEMANAS!$B$6:$B$71,0)),0)</f>
        <v>147</v>
      </c>
      <c r="AD1300" s="19" t="n">
        <f aca="false">IF($AC1300&lt;=0,0,$AB1300/$AC1300)</f>
        <v>0</v>
      </c>
      <c r="AE1300" s="8" t="str">
        <f aca="false">IF($K1300="SEM CULTURA","SEM CULTURA",IF($AA1300&lt;=0,"DADO PENDENTE",IF($AD1300&gt;LIMITE_CRITICO,"INVIAVEL",IF($AD1300&gt;LIMITE_ATENCAO,"CRITICO",IF($AD1300&gt;LIMITE_CONFORTAVEL,"ATENCAO","OK")))))</f>
        <v>SEM CULTURA</v>
      </c>
      <c r="AF1300" s="8" t="str">
        <f aca="false">$B1300&amp;"|"&amp;TEXT($AD1300,"0.000000")</f>
        <v>41|0.000000</v>
      </c>
      <c r="AG1300" s="18" t="n">
        <f aca="false">IF($K1300="SEM CULTURA",0,$T1300*$H1300)</f>
        <v>0</v>
      </c>
      <c r="AH1300" s="18" t="n">
        <f aca="false">IF($K1300="SEM CULTURA",0,$V1300*$H1300)</f>
        <v>0</v>
      </c>
      <c r="AI1300" s="18" t="n">
        <f aca="false">IF($K1300="SEM CULTURA",0,$W1300*$H1300)</f>
        <v>0</v>
      </c>
      <c r="AJ1300" s="18" t="n">
        <f aca="false">IF($K1300="SEM CULTURA",0,$S1300*$H1300)</f>
        <v>0</v>
      </c>
      <c r="AK1300" s="8" t="str">
        <f aca="false">$E1300&amp;"|"&amp;TEXT($AD1300,"0.000000")</f>
        <v>PV 119|0.000000</v>
      </c>
    </row>
    <row r="1301" customFormat="false" ht="15" hidden="false" customHeight="false" outlineLevel="0" collapsed="false">
      <c r="B1301" s="16" t="n">
        <v>42</v>
      </c>
      <c r="C1301" s="17" t="n">
        <f aca="false">DATA_INICIO_SAFRA+($B1301-1)*DIAS_POR_SEMANA</f>
        <v>46552</v>
      </c>
      <c r="D1301" s="17" t="n">
        <f aca="false">$C1301+DIAS_POR_SEMANA-1</f>
        <v>46558</v>
      </c>
      <c r="E1301" s="15" t="s">
        <v>278</v>
      </c>
      <c r="F1301" s="8" t="str">
        <f aca="false">IFERROR(INDEX(CADASTRO_PIVOS!$C$6:$C$41,MATCH($E1301,CADASTRO_PIVOS!$B$6:$B$41,0)),"?")</f>
        <v>RM06</v>
      </c>
      <c r="G1301" s="8" t="str">
        <f aca="false">IFERROR(INDEX(CADASTRO_PIVOS!$D$6:$D$41,MATCH($E1301,CADASTRO_PIVOS!$B$6:$B$41,0)),"?")</f>
        <v>TR06</v>
      </c>
      <c r="H1301" s="20" t="n">
        <f aca="false">IFERROR(INDEX(CADASTRO_PIVOS!$E$6:$E$41,MATCH($E1301,CADASTRO_PIVOS!$B$6:$B$41,0)),0)</f>
        <v>149.94</v>
      </c>
      <c r="I1301" s="16" t="n">
        <f aca="false">IFERROR(SUMIFS(ROTACAO_RDM!$B$6:$B$71,ROTACAO_RDM!$D$6:$D$71,$E1301,ROTACAO_RDM!$I$6:$I$71,"&lt;="&amp;$C1301+INT(DIAS_POR_SEMANA/2),ROTACAO_RDM!$J$6:$J$71,"&gt;="&amp;$C1301+INT(DIAS_POR_SEMANA/2)),0)</f>
        <v>33</v>
      </c>
      <c r="J1301" s="16" t="n">
        <f aca="false">IFERROR(MATCH($I1301,ROTACAO_RDM!$B$6:$B$71,0),0)</f>
        <v>33</v>
      </c>
      <c r="K1301" s="8" t="str">
        <f aca="false">IF($J1301=0,"SEM CULTURA",INDEX(ROTACAO_RDM!$F$6:$F$71,$J1301))</f>
        <v>MILHO_GRAO</v>
      </c>
      <c r="L1301" s="8" t="n">
        <f aca="false">IF($J1301=0,"",INDEX(ROTACAO_RDM!$G$6:$G$71,$J1301))</f>
        <v>0</v>
      </c>
      <c r="M1301" s="17" t="n">
        <f aca="false">IF($J1301=0,"",INDEX(ROTACAO_RDM!$I$6:$I$71,$J1301))</f>
        <v>46550</v>
      </c>
      <c r="N1301" s="16" t="n">
        <f aca="false">IF($J1301=0,0,MAX(0,$C1301+INT(DIAS_POR_SEMANA/2)-INDEX(ROTACAO_RDM!$I$6:$I$71,$J1301)))</f>
        <v>5</v>
      </c>
      <c r="O1301" s="19" t="n">
        <f aca="false">IF($J1301=0,0,MIN(1,$N1301/MAX(1,INDEX(ROTACAO_RDM!$K$6:$K$71,$J1301))))</f>
        <v>0.03125</v>
      </c>
      <c r="P1301" s="16" t="n">
        <f aca="false">IF($J1301=0,0,IFERROR(MATCH(INDEX(ROTACAO_RDM!$N$6:$N$71,$J1301),PARAMETROS_CULTURAS!$B$6:$B$28,0),0))</f>
        <v>8</v>
      </c>
      <c r="Q1301" s="8" t="str">
        <f aca="false">IF($P1301=0,"-",IF($O1301&lt;=INDEX(PARAMETROS_CULTURAS!$F$6:$F$28,$P1301),"INICIAL",IF($O1301&lt;=INDEX(PARAMETROS_CULTURAS!$F$6:$F$28,$P1301)+INDEX(PARAMETROS_CULTURAS!$G$6:$G$28,$P1301),"DESENVOLVIMENTO",IF($O1301&lt;=INDEX(PARAMETROS_CULTURAS!$F$6:$F$28,$P1301)+INDEX(PARAMETROS_CULTURAS!$G$6:$G$28,$P1301)+INDEX(PARAMETROS_CULTURAS!$H$6:$H$28,$P1301),"MEDIA","FINAL"))))</f>
        <v>INICIAL</v>
      </c>
      <c r="R1301" s="24" t="n">
        <f aca="false">IF($P1301=0,0,IF($O1301&lt;=INDEX(PARAMETROS_CULTURAS!$F$6:$F$28,$P1301),INDEX(PARAMETROS_CULTURAS!$K$6:$K$28,$P1301),IF($O1301&lt;=INDEX(PARAMETROS_CULTURAS!$F$6:$F$28,$P1301)+INDEX(PARAMETROS_CULTURAS!$G$6:$G$28,$P1301),INDEX(PARAMETROS_CULTURAS!$K$6:$K$28,$P1301)+(INDEX(PARAMETROS_CULTURAS!$L$6:$L$28,$P1301)-INDEX(PARAMETROS_CULTURAS!$K$6:$K$28,$P1301))*($O1301-INDEX(PARAMETROS_CULTURAS!$F$6:$F$28,$P1301))/MAX(INDEX(PARAMETROS_CULTURAS!$G$6:$G$28,$P1301),0.0001),IF($O1301&lt;=INDEX(PARAMETROS_CULTURAS!$F$6:$F$28,$P1301)+INDEX(PARAMETROS_CULTURAS!$G$6:$G$28,$P1301)+INDEX(PARAMETROS_CULTURAS!$H$6:$H$28,$P1301),INDEX(PARAMETROS_CULTURAS!$L$6:$L$28,$P1301),INDEX(PARAMETROS_CULTURAS!$L$6:$L$28,$P1301)+(INDEX(PARAMETROS_CULTURAS!$M$6:$M$28,$P1301)-INDEX(PARAMETROS_CULTURAS!$L$6:$L$28,$P1301))*($O1301-INDEX(PARAMETROS_CULTURAS!$F$6:$F$28,$P1301)-INDEX(PARAMETROS_CULTURAS!$G$6:$G$28,$P1301)-INDEX(PARAMETROS_CULTURAS!$H$6:$H$28,$P1301))/MAX(INDEX(PARAMETROS_CULTURAS!$I$6:$I$28,$P1301),0.0001)))))</f>
        <v>0.3</v>
      </c>
      <c r="S1301" s="18" t="n">
        <f aca="false">IFERROR(INDEX(SEMANAS!$H$6:$H$71,MATCH($B1301,SEMANAS!$B$6:$B$71,0)),0)</f>
        <v>28</v>
      </c>
      <c r="T1301" s="18" t="n">
        <f aca="false">$R1301*$S1301</f>
        <v>8.4</v>
      </c>
      <c r="U1301" s="18" t="n">
        <f aca="false">IFERROR(INDEX(SEMANAS!$I$6:$I$71,MATCH($B1301,SEMANAS!$B$6:$B$71,0)),0)</f>
        <v>1.19</v>
      </c>
      <c r="V1301" s="18" t="n">
        <f aca="false">IFERROR(INDEX(SEMANAS!$J$6:$J$71,MATCH($B1301,SEMANAS!$B$6:$B$71,0)),0)</f>
        <v>0.952</v>
      </c>
      <c r="W1301" s="18" t="n">
        <f aca="false">MAX(0,$T1301-$V1301)</f>
        <v>7.448</v>
      </c>
      <c r="X1301" s="19" t="n">
        <f aca="false">IFERROR(INDEX(CADASTRO_PIVOS!$K$6:$K$41,MATCH($E1301,CADASTRO_PIVOS!$B$6:$B$41,0)),EFICIENCIA_PADRAO)</f>
        <v>0.85</v>
      </c>
      <c r="Y1301" s="18" t="n">
        <f aca="false">IF($X1301&lt;=0,0,$W1301/$X1301)</f>
        <v>8.76235294117647</v>
      </c>
      <c r="Z1301" s="16" t="n">
        <f aca="false">$Y1301*$H1301*MM_PARA_M3_HA</f>
        <v>13138.272</v>
      </c>
      <c r="AA1301" s="18" t="n">
        <f aca="false">IFERROR(INDEX(CADASTRO_PIVOS!$I$6:$I$41,MATCH($E1301,CADASTRO_PIVOS!$B$6:$B$41,0)),0)</f>
        <v>1071</v>
      </c>
      <c r="AB1301" s="18" t="n">
        <f aca="false">IF($Z1301&lt;=0,0,$Z1301/$AA1301)</f>
        <v>12.2672941176471</v>
      </c>
      <c r="AC1301" s="16" t="n">
        <f aca="false">IFERROR(INDEX(SEMANAS!$K$6:$K$71,MATCH($B1301,SEMANAS!$B$6:$B$71,0)),0)</f>
        <v>147</v>
      </c>
      <c r="AD1301" s="19" t="n">
        <f aca="false">IF($AC1301&lt;=0,0,$AB1301/$AC1301)</f>
        <v>0.0834509803921569</v>
      </c>
      <c r="AE1301" s="8" t="str">
        <f aca="false">IF($K1301="SEM CULTURA","SEM CULTURA",IF($AA1301&lt;=0,"DADO PENDENTE",IF($AD1301&gt;LIMITE_CRITICO,"INVIAVEL",IF($AD1301&gt;LIMITE_ATENCAO,"CRITICO",IF($AD1301&gt;LIMITE_CONFORTAVEL,"ATENCAO","OK")))))</f>
        <v>OK</v>
      </c>
      <c r="AF1301" s="8" t="str">
        <f aca="false">$B1301&amp;"|"&amp;TEXT($AD1301,"0.000000")</f>
        <v>42|0.083451</v>
      </c>
      <c r="AG1301" s="18" t="n">
        <f aca="false">IF($K1301="SEM CULTURA",0,$T1301*$H1301)</f>
        <v>1259.496</v>
      </c>
      <c r="AH1301" s="18" t="n">
        <f aca="false">IF($K1301="SEM CULTURA",0,$V1301*$H1301)</f>
        <v>142.74288</v>
      </c>
      <c r="AI1301" s="18" t="n">
        <f aca="false">IF($K1301="SEM CULTURA",0,$W1301*$H1301)</f>
        <v>1116.75312</v>
      </c>
      <c r="AJ1301" s="18" t="n">
        <f aca="false">IF($K1301="SEM CULTURA",0,$S1301*$H1301)</f>
        <v>4198.32</v>
      </c>
      <c r="AK1301" s="8" t="str">
        <f aca="false">$E1301&amp;"|"&amp;TEXT($AD1301,"0.000000")</f>
        <v>PV 119|0.083451</v>
      </c>
    </row>
    <row r="1302" customFormat="false" ht="15" hidden="false" customHeight="false" outlineLevel="0" collapsed="false">
      <c r="B1302" s="16" t="n">
        <v>43</v>
      </c>
      <c r="C1302" s="17" t="n">
        <f aca="false">DATA_INICIO_SAFRA+($B1302-1)*DIAS_POR_SEMANA</f>
        <v>46559</v>
      </c>
      <c r="D1302" s="17" t="n">
        <f aca="false">$C1302+DIAS_POR_SEMANA-1</f>
        <v>46565</v>
      </c>
      <c r="E1302" s="15" t="s">
        <v>278</v>
      </c>
      <c r="F1302" s="8" t="str">
        <f aca="false">IFERROR(INDEX(CADASTRO_PIVOS!$C$6:$C$41,MATCH($E1302,CADASTRO_PIVOS!$B$6:$B$41,0)),"?")</f>
        <v>RM06</v>
      </c>
      <c r="G1302" s="8" t="str">
        <f aca="false">IFERROR(INDEX(CADASTRO_PIVOS!$D$6:$D$41,MATCH($E1302,CADASTRO_PIVOS!$B$6:$B$41,0)),"?")</f>
        <v>TR06</v>
      </c>
      <c r="H1302" s="20" t="n">
        <f aca="false">IFERROR(INDEX(CADASTRO_PIVOS!$E$6:$E$41,MATCH($E1302,CADASTRO_PIVOS!$B$6:$B$41,0)),0)</f>
        <v>149.94</v>
      </c>
      <c r="I1302" s="16" t="n">
        <f aca="false">IFERROR(SUMIFS(ROTACAO_RDM!$B$6:$B$71,ROTACAO_RDM!$D$6:$D$71,$E1302,ROTACAO_RDM!$I$6:$I$71,"&lt;="&amp;$C1302+INT(DIAS_POR_SEMANA/2),ROTACAO_RDM!$J$6:$J$71,"&gt;="&amp;$C1302+INT(DIAS_POR_SEMANA/2)),0)</f>
        <v>33</v>
      </c>
      <c r="J1302" s="16" t="n">
        <f aca="false">IFERROR(MATCH($I1302,ROTACAO_RDM!$B$6:$B$71,0),0)</f>
        <v>33</v>
      </c>
      <c r="K1302" s="8" t="str">
        <f aca="false">IF($J1302=0,"SEM CULTURA",INDEX(ROTACAO_RDM!$F$6:$F$71,$J1302))</f>
        <v>MILHO_GRAO</v>
      </c>
      <c r="L1302" s="8" t="n">
        <f aca="false">IF($J1302=0,"",INDEX(ROTACAO_RDM!$G$6:$G$71,$J1302))</f>
        <v>0</v>
      </c>
      <c r="M1302" s="17" t="n">
        <f aca="false">IF($J1302=0,"",INDEX(ROTACAO_RDM!$I$6:$I$71,$J1302))</f>
        <v>46550</v>
      </c>
      <c r="N1302" s="16" t="n">
        <f aca="false">IF($J1302=0,0,MAX(0,$C1302+INT(DIAS_POR_SEMANA/2)-INDEX(ROTACAO_RDM!$I$6:$I$71,$J1302)))</f>
        <v>12</v>
      </c>
      <c r="O1302" s="19" t="n">
        <f aca="false">IF($J1302=0,0,MIN(1,$N1302/MAX(1,INDEX(ROTACAO_RDM!$K$6:$K$71,$J1302))))</f>
        <v>0.075</v>
      </c>
      <c r="P1302" s="16" t="n">
        <f aca="false">IF($J1302=0,0,IFERROR(MATCH(INDEX(ROTACAO_RDM!$N$6:$N$71,$J1302),PARAMETROS_CULTURAS!$B$6:$B$28,0),0))</f>
        <v>8</v>
      </c>
      <c r="Q1302" s="8" t="str">
        <f aca="false">IF($P1302=0,"-",IF($O1302&lt;=INDEX(PARAMETROS_CULTURAS!$F$6:$F$28,$P1302),"INICIAL",IF($O1302&lt;=INDEX(PARAMETROS_CULTURAS!$F$6:$F$28,$P1302)+INDEX(PARAMETROS_CULTURAS!$G$6:$G$28,$P1302),"DESENVOLVIMENTO",IF($O1302&lt;=INDEX(PARAMETROS_CULTURAS!$F$6:$F$28,$P1302)+INDEX(PARAMETROS_CULTURAS!$G$6:$G$28,$P1302)+INDEX(PARAMETROS_CULTURAS!$H$6:$H$28,$P1302),"MEDIA","FINAL"))))</f>
        <v>INICIAL</v>
      </c>
      <c r="R1302" s="24" t="n">
        <f aca="false">IF($P1302=0,0,IF($O1302&lt;=INDEX(PARAMETROS_CULTURAS!$F$6:$F$28,$P1302),INDEX(PARAMETROS_CULTURAS!$K$6:$K$28,$P1302),IF($O1302&lt;=INDEX(PARAMETROS_CULTURAS!$F$6:$F$28,$P1302)+INDEX(PARAMETROS_CULTURAS!$G$6:$G$28,$P1302),INDEX(PARAMETROS_CULTURAS!$K$6:$K$28,$P1302)+(INDEX(PARAMETROS_CULTURAS!$L$6:$L$28,$P1302)-INDEX(PARAMETROS_CULTURAS!$K$6:$K$28,$P1302))*($O1302-INDEX(PARAMETROS_CULTURAS!$F$6:$F$28,$P1302))/MAX(INDEX(PARAMETROS_CULTURAS!$G$6:$G$28,$P1302),0.0001),IF($O1302&lt;=INDEX(PARAMETROS_CULTURAS!$F$6:$F$28,$P1302)+INDEX(PARAMETROS_CULTURAS!$G$6:$G$28,$P1302)+INDEX(PARAMETROS_CULTURAS!$H$6:$H$28,$P1302),INDEX(PARAMETROS_CULTURAS!$L$6:$L$28,$P1302),INDEX(PARAMETROS_CULTURAS!$L$6:$L$28,$P1302)+(INDEX(PARAMETROS_CULTURAS!$M$6:$M$28,$P1302)-INDEX(PARAMETROS_CULTURAS!$L$6:$L$28,$P1302))*($O1302-INDEX(PARAMETROS_CULTURAS!$F$6:$F$28,$P1302)-INDEX(PARAMETROS_CULTURAS!$G$6:$G$28,$P1302)-INDEX(PARAMETROS_CULTURAS!$H$6:$H$28,$P1302))/MAX(INDEX(PARAMETROS_CULTURAS!$I$6:$I$28,$P1302),0.0001)))))</f>
        <v>0.3</v>
      </c>
      <c r="S1302" s="18" t="n">
        <f aca="false">IFERROR(INDEX(SEMANAS!$H$6:$H$71,MATCH($B1302,SEMANAS!$B$6:$B$71,0)),0)</f>
        <v>28</v>
      </c>
      <c r="T1302" s="18" t="n">
        <f aca="false">$R1302*$S1302</f>
        <v>8.4</v>
      </c>
      <c r="U1302" s="18" t="n">
        <f aca="false">IFERROR(INDEX(SEMANAS!$I$6:$I$71,MATCH($B1302,SEMANAS!$B$6:$B$71,0)),0)</f>
        <v>1.19</v>
      </c>
      <c r="V1302" s="18" t="n">
        <f aca="false">IFERROR(INDEX(SEMANAS!$J$6:$J$71,MATCH($B1302,SEMANAS!$B$6:$B$71,0)),0)</f>
        <v>0.952</v>
      </c>
      <c r="W1302" s="18" t="n">
        <f aca="false">MAX(0,$T1302-$V1302)</f>
        <v>7.448</v>
      </c>
      <c r="X1302" s="19" t="n">
        <f aca="false">IFERROR(INDEX(CADASTRO_PIVOS!$K$6:$K$41,MATCH($E1302,CADASTRO_PIVOS!$B$6:$B$41,0)),EFICIENCIA_PADRAO)</f>
        <v>0.85</v>
      </c>
      <c r="Y1302" s="18" t="n">
        <f aca="false">IF($X1302&lt;=0,0,$W1302/$X1302)</f>
        <v>8.76235294117647</v>
      </c>
      <c r="Z1302" s="16" t="n">
        <f aca="false">$Y1302*$H1302*MM_PARA_M3_HA</f>
        <v>13138.272</v>
      </c>
      <c r="AA1302" s="18" t="n">
        <f aca="false">IFERROR(INDEX(CADASTRO_PIVOS!$I$6:$I$41,MATCH($E1302,CADASTRO_PIVOS!$B$6:$B$41,0)),0)</f>
        <v>1071</v>
      </c>
      <c r="AB1302" s="18" t="n">
        <f aca="false">IF($Z1302&lt;=0,0,$Z1302/$AA1302)</f>
        <v>12.2672941176471</v>
      </c>
      <c r="AC1302" s="16" t="n">
        <f aca="false">IFERROR(INDEX(SEMANAS!$K$6:$K$71,MATCH($B1302,SEMANAS!$B$6:$B$71,0)),0)</f>
        <v>147</v>
      </c>
      <c r="AD1302" s="19" t="n">
        <f aca="false">IF($AC1302&lt;=0,0,$AB1302/$AC1302)</f>
        <v>0.0834509803921569</v>
      </c>
      <c r="AE1302" s="8" t="str">
        <f aca="false">IF($K1302="SEM CULTURA","SEM CULTURA",IF($AA1302&lt;=0,"DADO PENDENTE",IF($AD1302&gt;LIMITE_CRITICO,"INVIAVEL",IF($AD1302&gt;LIMITE_ATENCAO,"CRITICO",IF($AD1302&gt;LIMITE_CONFORTAVEL,"ATENCAO","OK")))))</f>
        <v>OK</v>
      </c>
      <c r="AF1302" s="8" t="str">
        <f aca="false">$B1302&amp;"|"&amp;TEXT($AD1302,"0.000000")</f>
        <v>43|0.083451</v>
      </c>
      <c r="AG1302" s="18" t="n">
        <f aca="false">IF($K1302="SEM CULTURA",0,$T1302*$H1302)</f>
        <v>1259.496</v>
      </c>
      <c r="AH1302" s="18" t="n">
        <f aca="false">IF($K1302="SEM CULTURA",0,$V1302*$H1302)</f>
        <v>142.74288</v>
      </c>
      <c r="AI1302" s="18" t="n">
        <f aca="false">IF($K1302="SEM CULTURA",0,$W1302*$H1302)</f>
        <v>1116.75312</v>
      </c>
      <c r="AJ1302" s="18" t="n">
        <f aca="false">IF($K1302="SEM CULTURA",0,$S1302*$H1302)</f>
        <v>4198.32</v>
      </c>
      <c r="AK1302" s="8" t="str">
        <f aca="false">$E1302&amp;"|"&amp;TEXT($AD1302,"0.000000")</f>
        <v>PV 119|0.083451</v>
      </c>
    </row>
    <row r="1303" customFormat="false" ht="15" hidden="false" customHeight="false" outlineLevel="0" collapsed="false">
      <c r="B1303" s="16" t="n">
        <v>44</v>
      </c>
      <c r="C1303" s="17" t="n">
        <f aca="false">DATA_INICIO_SAFRA+($B1303-1)*DIAS_POR_SEMANA</f>
        <v>46566</v>
      </c>
      <c r="D1303" s="17" t="n">
        <f aca="false">$C1303+DIAS_POR_SEMANA-1</f>
        <v>46572</v>
      </c>
      <c r="E1303" s="15" t="s">
        <v>278</v>
      </c>
      <c r="F1303" s="8" t="str">
        <f aca="false">IFERROR(INDEX(CADASTRO_PIVOS!$C$6:$C$41,MATCH($E1303,CADASTRO_PIVOS!$B$6:$B$41,0)),"?")</f>
        <v>RM06</v>
      </c>
      <c r="G1303" s="8" t="str">
        <f aca="false">IFERROR(INDEX(CADASTRO_PIVOS!$D$6:$D$41,MATCH($E1303,CADASTRO_PIVOS!$B$6:$B$41,0)),"?")</f>
        <v>TR06</v>
      </c>
      <c r="H1303" s="20" t="n">
        <f aca="false">IFERROR(INDEX(CADASTRO_PIVOS!$E$6:$E$41,MATCH($E1303,CADASTRO_PIVOS!$B$6:$B$41,0)),0)</f>
        <v>149.94</v>
      </c>
      <c r="I1303" s="16" t="n">
        <f aca="false">IFERROR(SUMIFS(ROTACAO_RDM!$B$6:$B$71,ROTACAO_RDM!$D$6:$D$71,$E1303,ROTACAO_RDM!$I$6:$I$71,"&lt;="&amp;$C1303+INT(DIAS_POR_SEMANA/2),ROTACAO_RDM!$J$6:$J$71,"&gt;="&amp;$C1303+INT(DIAS_POR_SEMANA/2)),0)</f>
        <v>33</v>
      </c>
      <c r="J1303" s="16" t="n">
        <f aca="false">IFERROR(MATCH($I1303,ROTACAO_RDM!$B$6:$B$71,0),0)</f>
        <v>33</v>
      </c>
      <c r="K1303" s="8" t="str">
        <f aca="false">IF($J1303=0,"SEM CULTURA",INDEX(ROTACAO_RDM!$F$6:$F$71,$J1303))</f>
        <v>MILHO_GRAO</v>
      </c>
      <c r="L1303" s="8" t="n">
        <f aca="false">IF($J1303=0,"",INDEX(ROTACAO_RDM!$G$6:$G$71,$J1303))</f>
        <v>0</v>
      </c>
      <c r="M1303" s="17" t="n">
        <f aca="false">IF($J1303=0,"",INDEX(ROTACAO_RDM!$I$6:$I$71,$J1303))</f>
        <v>46550</v>
      </c>
      <c r="N1303" s="16" t="n">
        <f aca="false">IF($J1303=0,0,MAX(0,$C1303+INT(DIAS_POR_SEMANA/2)-INDEX(ROTACAO_RDM!$I$6:$I$71,$J1303)))</f>
        <v>19</v>
      </c>
      <c r="O1303" s="19" t="n">
        <f aca="false">IF($J1303=0,0,MIN(1,$N1303/MAX(1,INDEX(ROTACAO_RDM!$K$6:$K$71,$J1303))))</f>
        <v>0.11875</v>
      </c>
      <c r="P1303" s="16" t="n">
        <f aca="false">IF($J1303=0,0,IFERROR(MATCH(INDEX(ROTACAO_RDM!$N$6:$N$71,$J1303),PARAMETROS_CULTURAS!$B$6:$B$28,0),0))</f>
        <v>8</v>
      </c>
      <c r="Q1303" s="8" t="str">
        <f aca="false">IF($P1303=0,"-",IF($O1303&lt;=INDEX(PARAMETROS_CULTURAS!$F$6:$F$28,$P1303),"INICIAL",IF($O1303&lt;=INDEX(PARAMETROS_CULTURAS!$F$6:$F$28,$P1303)+INDEX(PARAMETROS_CULTURAS!$G$6:$G$28,$P1303),"DESENVOLVIMENTO",IF($O1303&lt;=INDEX(PARAMETROS_CULTURAS!$F$6:$F$28,$P1303)+INDEX(PARAMETROS_CULTURAS!$G$6:$G$28,$P1303)+INDEX(PARAMETROS_CULTURAS!$H$6:$H$28,$P1303),"MEDIA","FINAL"))))</f>
        <v>INICIAL</v>
      </c>
      <c r="R1303" s="24" t="n">
        <f aca="false">IF($P1303=0,0,IF($O1303&lt;=INDEX(PARAMETROS_CULTURAS!$F$6:$F$28,$P1303),INDEX(PARAMETROS_CULTURAS!$K$6:$K$28,$P1303),IF($O1303&lt;=INDEX(PARAMETROS_CULTURAS!$F$6:$F$28,$P1303)+INDEX(PARAMETROS_CULTURAS!$G$6:$G$28,$P1303),INDEX(PARAMETROS_CULTURAS!$K$6:$K$28,$P1303)+(INDEX(PARAMETROS_CULTURAS!$L$6:$L$28,$P1303)-INDEX(PARAMETROS_CULTURAS!$K$6:$K$28,$P1303))*($O1303-INDEX(PARAMETROS_CULTURAS!$F$6:$F$28,$P1303))/MAX(INDEX(PARAMETROS_CULTURAS!$G$6:$G$28,$P1303),0.0001),IF($O1303&lt;=INDEX(PARAMETROS_CULTURAS!$F$6:$F$28,$P1303)+INDEX(PARAMETROS_CULTURAS!$G$6:$G$28,$P1303)+INDEX(PARAMETROS_CULTURAS!$H$6:$H$28,$P1303),INDEX(PARAMETROS_CULTURAS!$L$6:$L$28,$P1303),INDEX(PARAMETROS_CULTURAS!$L$6:$L$28,$P1303)+(INDEX(PARAMETROS_CULTURAS!$M$6:$M$28,$P1303)-INDEX(PARAMETROS_CULTURAS!$L$6:$L$28,$P1303))*($O1303-INDEX(PARAMETROS_CULTURAS!$F$6:$F$28,$P1303)-INDEX(PARAMETROS_CULTURAS!$G$6:$G$28,$P1303)-INDEX(PARAMETROS_CULTURAS!$H$6:$H$28,$P1303))/MAX(INDEX(PARAMETROS_CULTURAS!$I$6:$I$28,$P1303),0.0001)))))</f>
        <v>0.3</v>
      </c>
      <c r="S1303" s="18" t="n">
        <f aca="false">IFERROR(INDEX(SEMANAS!$H$6:$H$71,MATCH($B1303,SEMANAS!$B$6:$B$71,0)),0)</f>
        <v>29.2</v>
      </c>
      <c r="T1303" s="18" t="n">
        <f aca="false">$R1303*$S1303</f>
        <v>8.76</v>
      </c>
      <c r="U1303" s="18" t="n">
        <f aca="false">IFERROR(INDEX(SEMANAS!$I$6:$I$71,MATCH($B1303,SEMANAS!$B$6:$B$71,0)),0)</f>
        <v>0.91</v>
      </c>
      <c r="V1303" s="18" t="n">
        <f aca="false">IFERROR(INDEX(SEMANAS!$J$6:$J$71,MATCH($B1303,SEMANAS!$B$6:$B$71,0)),0)</f>
        <v>0.728</v>
      </c>
      <c r="W1303" s="18" t="n">
        <f aca="false">MAX(0,$T1303-$V1303)</f>
        <v>8.032</v>
      </c>
      <c r="X1303" s="19" t="n">
        <f aca="false">IFERROR(INDEX(CADASTRO_PIVOS!$K$6:$K$41,MATCH($E1303,CADASTRO_PIVOS!$B$6:$B$41,0)),EFICIENCIA_PADRAO)</f>
        <v>0.85</v>
      </c>
      <c r="Y1303" s="18" t="n">
        <f aca="false">IF($X1303&lt;=0,0,$W1303/$X1303)</f>
        <v>9.44941176470588</v>
      </c>
      <c r="Z1303" s="16" t="n">
        <f aca="false">$Y1303*$H1303*MM_PARA_M3_HA</f>
        <v>14168.448</v>
      </c>
      <c r="AA1303" s="18" t="n">
        <f aca="false">IFERROR(INDEX(CADASTRO_PIVOS!$I$6:$I$41,MATCH($E1303,CADASTRO_PIVOS!$B$6:$B$41,0)),0)</f>
        <v>1071</v>
      </c>
      <c r="AB1303" s="18" t="n">
        <f aca="false">IF($Z1303&lt;=0,0,$Z1303/$AA1303)</f>
        <v>13.2291764705882</v>
      </c>
      <c r="AC1303" s="16" t="n">
        <f aca="false">IFERROR(INDEX(SEMANAS!$K$6:$K$71,MATCH($B1303,SEMANAS!$B$6:$B$71,0)),0)</f>
        <v>147</v>
      </c>
      <c r="AD1303" s="19" t="n">
        <f aca="false">IF($AC1303&lt;=0,0,$AB1303/$AC1303)</f>
        <v>0.0899943977591036</v>
      </c>
      <c r="AE1303" s="8" t="str">
        <f aca="false">IF($K1303="SEM CULTURA","SEM CULTURA",IF($AA1303&lt;=0,"DADO PENDENTE",IF($AD1303&gt;LIMITE_CRITICO,"INVIAVEL",IF($AD1303&gt;LIMITE_ATENCAO,"CRITICO",IF($AD1303&gt;LIMITE_CONFORTAVEL,"ATENCAO","OK")))))</f>
        <v>OK</v>
      </c>
      <c r="AF1303" s="8" t="str">
        <f aca="false">$B1303&amp;"|"&amp;TEXT($AD1303,"0.000000")</f>
        <v>44|0.089994</v>
      </c>
      <c r="AG1303" s="18" t="n">
        <f aca="false">IF($K1303="SEM CULTURA",0,$T1303*$H1303)</f>
        <v>1313.4744</v>
      </c>
      <c r="AH1303" s="18" t="n">
        <f aca="false">IF($K1303="SEM CULTURA",0,$V1303*$H1303)</f>
        <v>109.15632</v>
      </c>
      <c r="AI1303" s="18" t="n">
        <f aca="false">IF($K1303="SEM CULTURA",0,$W1303*$H1303)</f>
        <v>1204.31808</v>
      </c>
      <c r="AJ1303" s="18" t="n">
        <f aca="false">IF($K1303="SEM CULTURA",0,$S1303*$H1303)</f>
        <v>4378.248</v>
      </c>
      <c r="AK1303" s="8" t="str">
        <f aca="false">$E1303&amp;"|"&amp;TEXT($AD1303,"0.000000")</f>
        <v>PV 119|0.089994</v>
      </c>
    </row>
    <row r="1304" customFormat="false" ht="15" hidden="false" customHeight="false" outlineLevel="0" collapsed="false">
      <c r="B1304" s="16" t="n">
        <v>45</v>
      </c>
      <c r="C1304" s="17" t="n">
        <f aca="false">DATA_INICIO_SAFRA+($B1304-1)*DIAS_POR_SEMANA</f>
        <v>46573</v>
      </c>
      <c r="D1304" s="17" t="n">
        <f aca="false">$C1304+DIAS_POR_SEMANA-1</f>
        <v>46579</v>
      </c>
      <c r="E1304" s="15" t="s">
        <v>278</v>
      </c>
      <c r="F1304" s="8" t="str">
        <f aca="false">IFERROR(INDEX(CADASTRO_PIVOS!$C$6:$C$41,MATCH($E1304,CADASTRO_PIVOS!$B$6:$B$41,0)),"?")</f>
        <v>RM06</v>
      </c>
      <c r="G1304" s="8" t="str">
        <f aca="false">IFERROR(INDEX(CADASTRO_PIVOS!$D$6:$D$41,MATCH($E1304,CADASTRO_PIVOS!$B$6:$B$41,0)),"?")</f>
        <v>TR06</v>
      </c>
      <c r="H1304" s="20" t="n">
        <f aca="false">IFERROR(INDEX(CADASTRO_PIVOS!$E$6:$E$41,MATCH($E1304,CADASTRO_PIVOS!$B$6:$B$41,0)),0)</f>
        <v>149.94</v>
      </c>
      <c r="I1304" s="16" t="n">
        <f aca="false">IFERROR(SUMIFS(ROTACAO_RDM!$B$6:$B$71,ROTACAO_RDM!$D$6:$D$71,$E1304,ROTACAO_RDM!$I$6:$I$71,"&lt;="&amp;$C1304+INT(DIAS_POR_SEMANA/2),ROTACAO_RDM!$J$6:$J$71,"&gt;="&amp;$C1304+INT(DIAS_POR_SEMANA/2)),0)</f>
        <v>33</v>
      </c>
      <c r="J1304" s="16" t="n">
        <f aca="false">IFERROR(MATCH($I1304,ROTACAO_RDM!$B$6:$B$71,0),0)</f>
        <v>33</v>
      </c>
      <c r="K1304" s="8" t="str">
        <f aca="false">IF($J1304=0,"SEM CULTURA",INDEX(ROTACAO_RDM!$F$6:$F$71,$J1304))</f>
        <v>MILHO_GRAO</v>
      </c>
      <c r="L1304" s="8" t="n">
        <f aca="false">IF($J1304=0,"",INDEX(ROTACAO_RDM!$G$6:$G$71,$J1304))</f>
        <v>0</v>
      </c>
      <c r="M1304" s="17" t="n">
        <f aca="false">IF($J1304=0,"",INDEX(ROTACAO_RDM!$I$6:$I$71,$J1304))</f>
        <v>46550</v>
      </c>
      <c r="N1304" s="16" t="n">
        <f aca="false">IF($J1304=0,0,MAX(0,$C1304+INT(DIAS_POR_SEMANA/2)-INDEX(ROTACAO_RDM!$I$6:$I$71,$J1304)))</f>
        <v>26</v>
      </c>
      <c r="O1304" s="19" t="n">
        <f aca="false">IF($J1304=0,0,MIN(1,$N1304/MAX(1,INDEX(ROTACAO_RDM!$K$6:$K$71,$J1304))))</f>
        <v>0.1625</v>
      </c>
      <c r="P1304" s="16" t="n">
        <f aca="false">IF($J1304=0,0,IFERROR(MATCH(INDEX(ROTACAO_RDM!$N$6:$N$71,$J1304),PARAMETROS_CULTURAS!$B$6:$B$28,0),0))</f>
        <v>8</v>
      </c>
      <c r="Q1304" s="8" t="str">
        <f aca="false">IF($P1304=0,"-",IF($O1304&lt;=INDEX(PARAMETROS_CULTURAS!$F$6:$F$28,$P1304),"INICIAL",IF($O1304&lt;=INDEX(PARAMETROS_CULTURAS!$F$6:$F$28,$P1304)+INDEX(PARAMETROS_CULTURAS!$G$6:$G$28,$P1304),"DESENVOLVIMENTO",IF($O1304&lt;=INDEX(PARAMETROS_CULTURAS!$F$6:$F$28,$P1304)+INDEX(PARAMETROS_CULTURAS!$G$6:$G$28,$P1304)+INDEX(PARAMETROS_CULTURAS!$H$6:$H$28,$P1304),"MEDIA","FINAL"))))</f>
        <v>INICIAL</v>
      </c>
      <c r="R1304" s="24" t="n">
        <f aca="false">IF($P1304=0,0,IF($O1304&lt;=INDEX(PARAMETROS_CULTURAS!$F$6:$F$28,$P1304),INDEX(PARAMETROS_CULTURAS!$K$6:$K$28,$P1304),IF($O1304&lt;=INDEX(PARAMETROS_CULTURAS!$F$6:$F$28,$P1304)+INDEX(PARAMETROS_CULTURAS!$G$6:$G$28,$P1304),INDEX(PARAMETROS_CULTURAS!$K$6:$K$28,$P1304)+(INDEX(PARAMETROS_CULTURAS!$L$6:$L$28,$P1304)-INDEX(PARAMETROS_CULTURAS!$K$6:$K$28,$P1304))*($O1304-INDEX(PARAMETROS_CULTURAS!$F$6:$F$28,$P1304))/MAX(INDEX(PARAMETROS_CULTURAS!$G$6:$G$28,$P1304),0.0001),IF($O1304&lt;=INDEX(PARAMETROS_CULTURAS!$F$6:$F$28,$P1304)+INDEX(PARAMETROS_CULTURAS!$G$6:$G$28,$P1304)+INDEX(PARAMETROS_CULTURAS!$H$6:$H$28,$P1304),INDEX(PARAMETROS_CULTURAS!$L$6:$L$28,$P1304),INDEX(PARAMETROS_CULTURAS!$L$6:$L$28,$P1304)+(INDEX(PARAMETROS_CULTURAS!$M$6:$M$28,$P1304)-INDEX(PARAMETROS_CULTURAS!$L$6:$L$28,$P1304))*($O1304-INDEX(PARAMETROS_CULTURAS!$F$6:$F$28,$P1304)-INDEX(PARAMETROS_CULTURAS!$G$6:$G$28,$P1304)-INDEX(PARAMETROS_CULTURAS!$H$6:$H$28,$P1304))/MAX(INDEX(PARAMETROS_CULTURAS!$I$6:$I$28,$P1304),0.0001)))))</f>
        <v>0.3</v>
      </c>
      <c r="S1304" s="18" t="n">
        <f aca="false">IFERROR(INDEX(SEMANAS!$H$6:$H$71,MATCH($B1304,SEMANAS!$B$6:$B$71,0)),0)</f>
        <v>30.1</v>
      </c>
      <c r="T1304" s="18" t="n">
        <f aca="false">$R1304*$S1304</f>
        <v>9.03</v>
      </c>
      <c r="U1304" s="18" t="n">
        <f aca="false">IFERROR(INDEX(SEMANAS!$I$6:$I$71,MATCH($B1304,SEMANAS!$B$6:$B$71,0)),0)</f>
        <v>0.7</v>
      </c>
      <c r="V1304" s="18" t="n">
        <f aca="false">IFERROR(INDEX(SEMANAS!$J$6:$J$71,MATCH($B1304,SEMANAS!$B$6:$B$71,0)),0)</f>
        <v>0.56</v>
      </c>
      <c r="W1304" s="18" t="n">
        <f aca="false">MAX(0,$T1304-$V1304)</f>
        <v>8.47</v>
      </c>
      <c r="X1304" s="19" t="n">
        <f aca="false">IFERROR(INDEX(CADASTRO_PIVOS!$K$6:$K$41,MATCH($E1304,CADASTRO_PIVOS!$B$6:$B$41,0)),EFICIENCIA_PADRAO)</f>
        <v>0.85</v>
      </c>
      <c r="Y1304" s="18" t="n">
        <f aca="false">IF($X1304&lt;=0,0,$W1304/$X1304)</f>
        <v>9.96470588235294</v>
      </c>
      <c r="Z1304" s="16" t="n">
        <f aca="false">$Y1304*$H1304*MM_PARA_M3_HA</f>
        <v>14941.08</v>
      </c>
      <c r="AA1304" s="18" t="n">
        <f aca="false">IFERROR(INDEX(CADASTRO_PIVOS!$I$6:$I$41,MATCH($E1304,CADASTRO_PIVOS!$B$6:$B$41,0)),0)</f>
        <v>1071</v>
      </c>
      <c r="AB1304" s="18" t="n">
        <f aca="false">IF($Z1304&lt;=0,0,$Z1304/$AA1304)</f>
        <v>13.9505882352941</v>
      </c>
      <c r="AC1304" s="16" t="n">
        <f aca="false">IFERROR(INDEX(SEMANAS!$K$6:$K$71,MATCH($B1304,SEMANAS!$B$6:$B$71,0)),0)</f>
        <v>147</v>
      </c>
      <c r="AD1304" s="19" t="n">
        <f aca="false">IF($AC1304&lt;=0,0,$AB1304/$AC1304)</f>
        <v>0.0949019607843137</v>
      </c>
      <c r="AE1304" s="8" t="str">
        <f aca="false">IF($K1304="SEM CULTURA","SEM CULTURA",IF($AA1304&lt;=0,"DADO PENDENTE",IF($AD1304&gt;LIMITE_CRITICO,"INVIAVEL",IF($AD1304&gt;LIMITE_ATENCAO,"CRITICO",IF($AD1304&gt;LIMITE_CONFORTAVEL,"ATENCAO","OK")))))</f>
        <v>OK</v>
      </c>
      <c r="AF1304" s="8" t="str">
        <f aca="false">$B1304&amp;"|"&amp;TEXT($AD1304,"0.000000")</f>
        <v>45|0.094902</v>
      </c>
      <c r="AG1304" s="18" t="n">
        <f aca="false">IF($K1304="SEM CULTURA",0,$T1304*$H1304)</f>
        <v>1353.9582</v>
      </c>
      <c r="AH1304" s="18" t="n">
        <f aca="false">IF($K1304="SEM CULTURA",0,$V1304*$H1304)</f>
        <v>83.9664</v>
      </c>
      <c r="AI1304" s="18" t="n">
        <f aca="false">IF($K1304="SEM CULTURA",0,$W1304*$H1304)</f>
        <v>1269.9918</v>
      </c>
      <c r="AJ1304" s="18" t="n">
        <f aca="false">IF($K1304="SEM CULTURA",0,$S1304*$H1304)</f>
        <v>4513.194</v>
      </c>
      <c r="AK1304" s="8" t="str">
        <f aca="false">$E1304&amp;"|"&amp;TEXT($AD1304,"0.000000")</f>
        <v>PV 119|0.094902</v>
      </c>
    </row>
    <row r="1305" customFormat="false" ht="15" hidden="false" customHeight="false" outlineLevel="0" collapsed="false">
      <c r="B1305" s="16" t="n">
        <v>46</v>
      </c>
      <c r="C1305" s="17" t="n">
        <f aca="false">DATA_INICIO_SAFRA+($B1305-1)*DIAS_POR_SEMANA</f>
        <v>46580</v>
      </c>
      <c r="D1305" s="17" t="n">
        <f aca="false">$C1305+DIAS_POR_SEMANA-1</f>
        <v>46586</v>
      </c>
      <c r="E1305" s="15" t="s">
        <v>278</v>
      </c>
      <c r="F1305" s="8" t="str">
        <f aca="false">IFERROR(INDEX(CADASTRO_PIVOS!$C$6:$C$41,MATCH($E1305,CADASTRO_PIVOS!$B$6:$B$41,0)),"?")</f>
        <v>RM06</v>
      </c>
      <c r="G1305" s="8" t="str">
        <f aca="false">IFERROR(INDEX(CADASTRO_PIVOS!$D$6:$D$41,MATCH($E1305,CADASTRO_PIVOS!$B$6:$B$41,0)),"?")</f>
        <v>TR06</v>
      </c>
      <c r="H1305" s="20" t="n">
        <f aca="false">IFERROR(INDEX(CADASTRO_PIVOS!$E$6:$E$41,MATCH($E1305,CADASTRO_PIVOS!$B$6:$B$41,0)),0)</f>
        <v>149.94</v>
      </c>
      <c r="I1305" s="16" t="n">
        <f aca="false">IFERROR(SUMIFS(ROTACAO_RDM!$B$6:$B$71,ROTACAO_RDM!$D$6:$D$71,$E1305,ROTACAO_RDM!$I$6:$I$71,"&lt;="&amp;$C1305+INT(DIAS_POR_SEMANA/2),ROTACAO_RDM!$J$6:$J$71,"&gt;="&amp;$C1305+INT(DIAS_POR_SEMANA/2)),0)</f>
        <v>33</v>
      </c>
      <c r="J1305" s="16" t="n">
        <f aca="false">IFERROR(MATCH($I1305,ROTACAO_RDM!$B$6:$B$71,0),0)</f>
        <v>33</v>
      </c>
      <c r="K1305" s="8" t="str">
        <f aca="false">IF($J1305=0,"SEM CULTURA",INDEX(ROTACAO_RDM!$F$6:$F$71,$J1305))</f>
        <v>MILHO_GRAO</v>
      </c>
      <c r="L1305" s="8" t="n">
        <f aca="false">IF($J1305=0,"",INDEX(ROTACAO_RDM!$G$6:$G$71,$J1305))</f>
        <v>0</v>
      </c>
      <c r="M1305" s="17" t="n">
        <f aca="false">IF($J1305=0,"",INDEX(ROTACAO_RDM!$I$6:$I$71,$J1305))</f>
        <v>46550</v>
      </c>
      <c r="N1305" s="16" t="n">
        <f aca="false">IF($J1305=0,0,MAX(0,$C1305+INT(DIAS_POR_SEMANA/2)-INDEX(ROTACAO_RDM!$I$6:$I$71,$J1305)))</f>
        <v>33</v>
      </c>
      <c r="O1305" s="19" t="n">
        <f aca="false">IF($J1305=0,0,MIN(1,$N1305/MAX(1,INDEX(ROTACAO_RDM!$K$6:$K$71,$J1305))))</f>
        <v>0.20625</v>
      </c>
      <c r="P1305" s="16" t="n">
        <f aca="false">IF($J1305=0,0,IFERROR(MATCH(INDEX(ROTACAO_RDM!$N$6:$N$71,$J1305),PARAMETROS_CULTURAS!$B$6:$B$28,0),0))</f>
        <v>8</v>
      </c>
      <c r="Q1305" s="8" t="str">
        <f aca="false">IF($P1305=0,"-",IF($O1305&lt;=INDEX(PARAMETROS_CULTURAS!$F$6:$F$28,$P1305),"INICIAL",IF($O1305&lt;=INDEX(PARAMETROS_CULTURAS!$F$6:$F$28,$P1305)+INDEX(PARAMETROS_CULTURAS!$G$6:$G$28,$P1305),"DESENVOLVIMENTO",IF($O1305&lt;=INDEX(PARAMETROS_CULTURAS!$F$6:$F$28,$P1305)+INDEX(PARAMETROS_CULTURAS!$G$6:$G$28,$P1305)+INDEX(PARAMETROS_CULTURAS!$H$6:$H$28,$P1305),"MEDIA","FINAL"))))</f>
        <v>DESENVOLVIMENTO</v>
      </c>
      <c r="R1305" s="24" t="n">
        <f aca="false">IF($P1305=0,0,IF($O1305&lt;=INDEX(PARAMETROS_CULTURAS!$F$6:$F$28,$P1305),INDEX(PARAMETROS_CULTURAS!$K$6:$K$28,$P1305),IF($O1305&lt;=INDEX(PARAMETROS_CULTURAS!$F$6:$F$28,$P1305)+INDEX(PARAMETROS_CULTURAS!$G$6:$G$28,$P1305),INDEX(PARAMETROS_CULTURAS!$K$6:$K$28,$P1305)+(INDEX(PARAMETROS_CULTURAS!$L$6:$L$28,$P1305)-INDEX(PARAMETROS_CULTURAS!$K$6:$K$28,$P1305))*($O1305-INDEX(PARAMETROS_CULTURAS!$F$6:$F$28,$P1305))/MAX(INDEX(PARAMETROS_CULTURAS!$G$6:$G$28,$P1305),0.0001),IF($O1305&lt;=INDEX(PARAMETROS_CULTURAS!$F$6:$F$28,$P1305)+INDEX(PARAMETROS_CULTURAS!$G$6:$G$28,$P1305)+INDEX(PARAMETROS_CULTURAS!$H$6:$H$28,$P1305),INDEX(PARAMETROS_CULTURAS!$L$6:$L$28,$P1305),INDEX(PARAMETROS_CULTURAS!$L$6:$L$28,$P1305)+(INDEX(PARAMETROS_CULTURAS!$M$6:$M$28,$P1305)-INDEX(PARAMETROS_CULTURAS!$L$6:$L$28,$P1305))*($O1305-INDEX(PARAMETROS_CULTURAS!$F$6:$F$28,$P1305)-INDEX(PARAMETROS_CULTURAS!$G$6:$G$28,$P1305)-INDEX(PARAMETROS_CULTURAS!$H$6:$H$28,$P1305))/MAX(INDEX(PARAMETROS_CULTURAS!$I$6:$I$28,$P1305),0.0001)))))</f>
        <v>0.3585</v>
      </c>
      <c r="S1305" s="18" t="n">
        <f aca="false">IFERROR(INDEX(SEMANAS!$H$6:$H$71,MATCH($B1305,SEMANAS!$B$6:$B$71,0)),0)</f>
        <v>30.1</v>
      </c>
      <c r="T1305" s="18" t="n">
        <f aca="false">$R1305*$S1305</f>
        <v>10.79085</v>
      </c>
      <c r="U1305" s="18" t="n">
        <f aca="false">IFERROR(INDEX(SEMANAS!$I$6:$I$71,MATCH($B1305,SEMANAS!$B$6:$B$71,0)),0)</f>
        <v>0.7</v>
      </c>
      <c r="V1305" s="18" t="n">
        <f aca="false">IFERROR(INDEX(SEMANAS!$J$6:$J$71,MATCH($B1305,SEMANAS!$B$6:$B$71,0)),0)</f>
        <v>0.56</v>
      </c>
      <c r="W1305" s="18" t="n">
        <f aca="false">MAX(0,$T1305-$V1305)</f>
        <v>10.23085</v>
      </c>
      <c r="X1305" s="19" t="n">
        <f aca="false">IFERROR(INDEX(CADASTRO_PIVOS!$K$6:$K$41,MATCH($E1305,CADASTRO_PIVOS!$B$6:$B$41,0)),EFICIENCIA_PADRAO)</f>
        <v>0.85</v>
      </c>
      <c r="Y1305" s="18" t="n">
        <f aca="false">IF($X1305&lt;=0,0,$W1305/$X1305)</f>
        <v>12.0362941176471</v>
      </c>
      <c r="Z1305" s="16" t="n">
        <f aca="false">$Y1305*$H1305*MM_PARA_M3_HA</f>
        <v>18047.2194</v>
      </c>
      <c r="AA1305" s="18" t="n">
        <f aca="false">IFERROR(INDEX(CADASTRO_PIVOS!$I$6:$I$41,MATCH($E1305,CADASTRO_PIVOS!$B$6:$B$41,0)),0)</f>
        <v>1071</v>
      </c>
      <c r="AB1305" s="18" t="n">
        <f aca="false">IF($Z1305&lt;=0,0,$Z1305/$AA1305)</f>
        <v>16.8508117647059</v>
      </c>
      <c r="AC1305" s="16" t="n">
        <f aca="false">IFERROR(INDEX(SEMANAS!$K$6:$K$71,MATCH($B1305,SEMANAS!$B$6:$B$71,0)),0)</f>
        <v>147</v>
      </c>
      <c r="AD1305" s="19" t="n">
        <f aca="false">IF($AC1305&lt;=0,0,$AB1305/$AC1305)</f>
        <v>0.11463137254902</v>
      </c>
      <c r="AE1305" s="8" t="str">
        <f aca="false">IF($K1305="SEM CULTURA","SEM CULTURA",IF($AA1305&lt;=0,"DADO PENDENTE",IF($AD1305&gt;LIMITE_CRITICO,"INVIAVEL",IF($AD1305&gt;LIMITE_ATENCAO,"CRITICO",IF($AD1305&gt;LIMITE_CONFORTAVEL,"ATENCAO","OK")))))</f>
        <v>OK</v>
      </c>
      <c r="AF1305" s="8" t="str">
        <f aca="false">$B1305&amp;"|"&amp;TEXT($AD1305,"0.000000")</f>
        <v>46|0.114631</v>
      </c>
      <c r="AG1305" s="18" t="n">
        <f aca="false">IF($K1305="SEM CULTURA",0,$T1305*$H1305)</f>
        <v>1617.980049</v>
      </c>
      <c r="AH1305" s="18" t="n">
        <f aca="false">IF($K1305="SEM CULTURA",0,$V1305*$H1305)</f>
        <v>83.9664</v>
      </c>
      <c r="AI1305" s="18" t="n">
        <f aca="false">IF($K1305="SEM CULTURA",0,$W1305*$H1305)</f>
        <v>1534.013649</v>
      </c>
      <c r="AJ1305" s="18" t="n">
        <f aca="false">IF($K1305="SEM CULTURA",0,$S1305*$H1305)</f>
        <v>4513.194</v>
      </c>
      <c r="AK1305" s="8" t="str">
        <f aca="false">$E1305&amp;"|"&amp;TEXT($AD1305,"0.000000")</f>
        <v>PV 119|0.114631</v>
      </c>
    </row>
    <row r="1306" customFormat="false" ht="15" hidden="false" customHeight="false" outlineLevel="0" collapsed="false">
      <c r="B1306" s="16" t="n">
        <v>47</v>
      </c>
      <c r="C1306" s="17" t="n">
        <f aca="false">DATA_INICIO_SAFRA+($B1306-1)*DIAS_POR_SEMANA</f>
        <v>46587</v>
      </c>
      <c r="D1306" s="17" t="n">
        <f aca="false">$C1306+DIAS_POR_SEMANA-1</f>
        <v>46593</v>
      </c>
      <c r="E1306" s="15" t="s">
        <v>278</v>
      </c>
      <c r="F1306" s="8" t="str">
        <f aca="false">IFERROR(INDEX(CADASTRO_PIVOS!$C$6:$C$41,MATCH($E1306,CADASTRO_PIVOS!$B$6:$B$41,0)),"?")</f>
        <v>RM06</v>
      </c>
      <c r="G1306" s="8" t="str">
        <f aca="false">IFERROR(INDEX(CADASTRO_PIVOS!$D$6:$D$41,MATCH($E1306,CADASTRO_PIVOS!$B$6:$B$41,0)),"?")</f>
        <v>TR06</v>
      </c>
      <c r="H1306" s="20" t="n">
        <f aca="false">IFERROR(INDEX(CADASTRO_PIVOS!$E$6:$E$41,MATCH($E1306,CADASTRO_PIVOS!$B$6:$B$41,0)),0)</f>
        <v>149.94</v>
      </c>
      <c r="I1306" s="16" t="n">
        <f aca="false">IFERROR(SUMIFS(ROTACAO_RDM!$B$6:$B$71,ROTACAO_RDM!$D$6:$D$71,$E1306,ROTACAO_RDM!$I$6:$I$71,"&lt;="&amp;$C1306+INT(DIAS_POR_SEMANA/2),ROTACAO_RDM!$J$6:$J$71,"&gt;="&amp;$C1306+INT(DIAS_POR_SEMANA/2)),0)</f>
        <v>33</v>
      </c>
      <c r="J1306" s="16" t="n">
        <f aca="false">IFERROR(MATCH($I1306,ROTACAO_RDM!$B$6:$B$71,0),0)</f>
        <v>33</v>
      </c>
      <c r="K1306" s="8" t="str">
        <f aca="false">IF($J1306=0,"SEM CULTURA",INDEX(ROTACAO_RDM!$F$6:$F$71,$J1306))</f>
        <v>MILHO_GRAO</v>
      </c>
      <c r="L1306" s="8" t="n">
        <f aca="false">IF($J1306=0,"",INDEX(ROTACAO_RDM!$G$6:$G$71,$J1306))</f>
        <v>0</v>
      </c>
      <c r="M1306" s="17" t="n">
        <f aca="false">IF($J1306=0,"",INDEX(ROTACAO_RDM!$I$6:$I$71,$J1306))</f>
        <v>46550</v>
      </c>
      <c r="N1306" s="16" t="n">
        <f aca="false">IF($J1306=0,0,MAX(0,$C1306+INT(DIAS_POR_SEMANA/2)-INDEX(ROTACAO_RDM!$I$6:$I$71,$J1306)))</f>
        <v>40</v>
      </c>
      <c r="O1306" s="19" t="n">
        <f aca="false">IF($J1306=0,0,MIN(1,$N1306/MAX(1,INDEX(ROTACAO_RDM!$K$6:$K$71,$J1306))))</f>
        <v>0.25</v>
      </c>
      <c r="P1306" s="16" t="n">
        <f aca="false">IF($J1306=0,0,IFERROR(MATCH(INDEX(ROTACAO_RDM!$N$6:$N$71,$J1306),PARAMETROS_CULTURAS!$B$6:$B$28,0),0))</f>
        <v>8</v>
      </c>
      <c r="Q1306" s="8" t="str">
        <f aca="false">IF($P1306=0,"-",IF($O1306&lt;=INDEX(PARAMETROS_CULTURAS!$F$6:$F$28,$P1306),"INICIAL",IF($O1306&lt;=INDEX(PARAMETROS_CULTURAS!$F$6:$F$28,$P1306)+INDEX(PARAMETROS_CULTURAS!$G$6:$G$28,$P1306),"DESENVOLVIMENTO",IF($O1306&lt;=INDEX(PARAMETROS_CULTURAS!$F$6:$F$28,$P1306)+INDEX(PARAMETROS_CULTURAS!$G$6:$G$28,$P1306)+INDEX(PARAMETROS_CULTURAS!$H$6:$H$28,$P1306),"MEDIA","FINAL"))))</f>
        <v>DESENVOLVIMENTO</v>
      </c>
      <c r="R1306" s="24" t="n">
        <f aca="false">IF($P1306=0,0,IF($O1306&lt;=INDEX(PARAMETROS_CULTURAS!$F$6:$F$28,$P1306),INDEX(PARAMETROS_CULTURAS!$K$6:$K$28,$P1306),IF($O1306&lt;=INDEX(PARAMETROS_CULTURAS!$F$6:$F$28,$P1306)+INDEX(PARAMETROS_CULTURAS!$G$6:$G$28,$P1306),INDEX(PARAMETROS_CULTURAS!$K$6:$K$28,$P1306)+(INDEX(PARAMETROS_CULTURAS!$L$6:$L$28,$P1306)-INDEX(PARAMETROS_CULTURAS!$K$6:$K$28,$P1306))*($O1306-INDEX(PARAMETROS_CULTURAS!$F$6:$F$28,$P1306))/MAX(INDEX(PARAMETROS_CULTURAS!$G$6:$G$28,$P1306),0.0001),IF($O1306&lt;=INDEX(PARAMETROS_CULTURAS!$F$6:$F$28,$P1306)+INDEX(PARAMETROS_CULTURAS!$G$6:$G$28,$P1306)+INDEX(PARAMETROS_CULTURAS!$H$6:$H$28,$P1306),INDEX(PARAMETROS_CULTURAS!$L$6:$L$28,$P1306),INDEX(PARAMETROS_CULTURAS!$L$6:$L$28,$P1306)+(INDEX(PARAMETROS_CULTURAS!$M$6:$M$28,$P1306)-INDEX(PARAMETROS_CULTURAS!$L$6:$L$28,$P1306))*($O1306-INDEX(PARAMETROS_CULTURAS!$F$6:$F$28,$P1306)-INDEX(PARAMETROS_CULTURAS!$G$6:$G$28,$P1306)-INDEX(PARAMETROS_CULTURAS!$H$6:$H$28,$P1306))/MAX(INDEX(PARAMETROS_CULTURAS!$I$6:$I$28,$P1306),0.0001)))))</f>
        <v>0.516</v>
      </c>
      <c r="S1306" s="18" t="n">
        <f aca="false">IFERROR(INDEX(SEMANAS!$H$6:$H$71,MATCH($B1306,SEMANAS!$B$6:$B$71,0)),0)</f>
        <v>30.1</v>
      </c>
      <c r="T1306" s="18" t="n">
        <f aca="false">$R1306*$S1306</f>
        <v>15.5316</v>
      </c>
      <c r="U1306" s="18" t="n">
        <f aca="false">IFERROR(INDEX(SEMANAS!$I$6:$I$71,MATCH($B1306,SEMANAS!$B$6:$B$71,0)),0)</f>
        <v>0.7</v>
      </c>
      <c r="V1306" s="18" t="n">
        <f aca="false">IFERROR(INDEX(SEMANAS!$J$6:$J$71,MATCH($B1306,SEMANAS!$B$6:$B$71,0)),0)</f>
        <v>0.56</v>
      </c>
      <c r="W1306" s="18" t="n">
        <f aca="false">MAX(0,$T1306-$V1306)</f>
        <v>14.9716</v>
      </c>
      <c r="X1306" s="19" t="n">
        <f aca="false">IFERROR(INDEX(CADASTRO_PIVOS!$K$6:$K$41,MATCH($E1306,CADASTRO_PIVOS!$B$6:$B$41,0)),EFICIENCIA_PADRAO)</f>
        <v>0.85</v>
      </c>
      <c r="Y1306" s="18" t="n">
        <f aca="false">IF($X1306&lt;=0,0,$W1306/$X1306)</f>
        <v>17.6136470588235</v>
      </c>
      <c r="Z1306" s="16" t="n">
        <f aca="false">$Y1306*$H1306*MM_PARA_M3_HA</f>
        <v>26409.9024</v>
      </c>
      <c r="AA1306" s="18" t="n">
        <f aca="false">IFERROR(INDEX(CADASTRO_PIVOS!$I$6:$I$41,MATCH($E1306,CADASTRO_PIVOS!$B$6:$B$41,0)),0)</f>
        <v>1071</v>
      </c>
      <c r="AB1306" s="18" t="n">
        <f aca="false">IF($Z1306&lt;=0,0,$Z1306/$AA1306)</f>
        <v>24.6591058823529</v>
      </c>
      <c r="AC1306" s="16" t="n">
        <f aca="false">IFERROR(INDEX(SEMANAS!$K$6:$K$71,MATCH($B1306,SEMANAS!$B$6:$B$71,0)),0)</f>
        <v>147</v>
      </c>
      <c r="AD1306" s="19" t="n">
        <f aca="false">IF($AC1306&lt;=0,0,$AB1306/$AC1306)</f>
        <v>0.167749019607843</v>
      </c>
      <c r="AE1306" s="8" t="str">
        <f aca="false">IF($K1306="SEM CULTURA","SEM CULTURA",IF($AA1306&lt;=0,"DADO PENDENTE",IF($AD1306&gt;LIMITE_CRITICO,"INVIAVEL",IF($AD1306&gt;LIMITE_ATENCAO,"CRITICO",IF($AD1306&gt;LIMITE_CONFORTAVEL,"ATENCAO","OK")))))</f>
        <v>OK</v>
      </c>
      <c r="AF1306" s="8" t="str">
        <f aca="false">$B1306&amp;"|"&amp;TEXT($AD1306,"0.000000")</f>
        <v>47|0.167749</v>
      </c>
      <c r="AG1306" s="18" t="n">
        <f aca="false">IF($K1306="SEM CULTURA",0,$T1306*$H1306)</f>
        <v>2328.808104</v>
      </c>
      <c r="AH1306" s="18" t="n">
        <f aca="false">IF($K1306="SEM CULTURA",0,$V1306*$H1306)</f>
        <v>83.9664</v>
      </c>
      <c r="AI1306" s="18" t="n">
        <f aca="false">IF($K1306="SEM CULTURA",0,$W1306*$H1306)</f>
        <v>2244.841704</v>
      </c>
      <c r="AJ1306" s="18" t="n">
        <f aca="false">IF($K1306="SEM CULTURA",0,$S1306*$H1306)</f>
        <v>4513.194</v>
      </c>
      <c r="AK1306" s="8" t="str">
        <f aca="false">$E1306&amp;"|"&amp;TEXT($AD1306,"0.000000")</f>
        <v>PV 119|0.167749</v>
      </c>
    </row>
    <row r="1307" customFormat="false" ht="15" hidden="false" customHeight="false" outlineLevel="0" collapsed="false">
      <c r="B1307" s="16" t="n">
        <v>48</v>
      </c>
      <c r="C1307" s="17" t="n">
        <f aca="false">DATA_INICIO_SAFRA+($B1307-1)*DIAS_POR_SEMANA</f>
        <v>46594</v>
      </c>
      <c r="D1307" s="17" t="n">
        <f aca="false">$C1307+DIAS_POR_SEMANA-1</f>
        <v>46600</v>
      </c>
      <c r="E1307" s="15" t="s">
        <v>278</v>
      </c>
      <c r="F1307" s="8" t="str">
        <f aca="false">IFERROR(INDEX(CADASTRO_PIVOS!$C$6:$C$41,MATCH($E1307,CADASTRO_PIVOS!$B$6:$B$41,0)),"?")</f>
        <v>RM06</v>
      </c>
      <c r="G1307" s="8" t="str">
        <f aca="false">IFERROR(INDEX(CADASTRO_PIVOS!$D$6:$D$41,MATCH($E1307,CADASTRO_PIVOS!$B$6:$B$41,0)),"?")</f>
        <v>TR06</v>
      </c>
      <c r="H1307" s="20" t="n">
        <f aca="false">IFERROR(INDEX(CADASTRO_PIVOS!$E$6:$E$41,MATCH($E1307,CADASTRO_PIVOS!$B$6:$B$41,0)),0)</f>
        <v>149.94</v>
      </c>
      <c r="I1307" s="16" t="n">
        <f aca="false">IFERROR(SUMIFS(ROTACAO_RDM!$B$6:$B$71,ROTACAO_RDM!$D$6:$D$71,$E1307,ROTACAO_RDM!$I$6:$I$71,"&lt;="&amp;$C1307+INT(DIAS_POR_SEMANA/2),ROTACAO_RDM!$J$6:$J$71,"&gt;="&amp;$C1307+INT(DIAS_POR_SEMANA/2)),0)</f>
        <v>33</v>
      </c>
      <c r="J1307" s="16" t="n">
        <f aca="false">IFERROR(MATCH($I1307,ROTACAO_RDM!$B$6:$B$71,0),0)</f>
        <v>33</v>
      </c>
      <c r="K1307" s="8" t="str">
        <f aca="false">IF($J1307=0,"SEM CULTURA",INDEX(ROTACAO_RDM!$F$6:$F$71,$J1307))</f>
        <v>MILHO_GRAO</v>
      </c>
      <c r="L1307" s="8" t="n">
        <f aca="false">IF($J1307=0,"",INDEX(ROTACAO_RDM!$G$6:$G$71,$J1307))</f>
        <v>0</v>
      </c>
      <c r="M1307" s="17" t="n">
        <f aca="false">IF($J1307=0,"",INDEX(ROTACAO_RDM!$I$6:$I$71,$J1307))</f>
        <v>46550</v>
      </c>
      <c r="N1307" s="16" t="n">
        <f aca="false">IF($J1307=0,0,MAX(0,$C1307+INT(DIAS_POR_SEMANA/2)-INDEX(ROTACAO_RDM!$I$6:$I$71,$J1307)))</f>
        <v>47</v>
      </c>
      <c r="O1307" s="19" t="n">
        <f aca="false">IF($J1307=0,0,MIN(1,$N1307/MAX(1,INDEX(ROTACAO_RDM!$K$6:$K$71,$J1307))))</f>
        <v>0.29375</v>
      </c>
      <c r="P1307" s="16" t="n">
        <f aca="false">IF($J1307=0,0,IFERROR(MATCH(INDEX(ROTACAO_RDM!$N$6:$N$71,$J1307),PARAMETROS_CULTURAS!$B$6:$B$28,0),0))</f>
        <v>8</v>
      </c>
      <c r="Q1307" s="8" t="str">
        <f aca="false">IF($P1307=0,"-",IF($O1307&lt;=INDEX(PARAMETROS_CULTURAS!$F$6:$F$28,$P1307),"INICIAL",IF($O1307&lt;=INDEX(PARAMETROS_CULTURAS!$F$6:$F$28,$P1307)+INDEX(PARAMETROS_CULTURAS!$G$6:$G$28,$P1307),"DESENVOLVIMENTO",IF($O1307&lt;=INDEX(PARAMETROS_CULTURAS!$F$6:$F$28,$P1307)+INDEX(PARAMETROS_CULTURAS!$G$6:$G$28,$P1307)+INDEX(PARAMETROS_CULTURAS!$H$6:$H$28,$P1307),"MEDIA","FINAL"))))</f>
        <v>DESENVOLVIMENTO</v>
      </c>
      <c r="R1307" s="24" t="n">
        <f aca="false">IF($P1307=0,0,IF($O1307&lt;=INDEX(PARAMETROS_CULTURAS!$F$6:$F$28,$P1307),INDEX(PARAMETROS_CULTURAS!$K$6:$K$28,$P1307),IF($O1307&lt;=INDEX(PARAMETROS_CULTURAS!$F$6:$F$28,$P1307)+INDEX(PARAMETROS_CULTURAS!$G$6:$G$28,$P1307),INDEX(PARAMETROS_CULTURAS!$K$6:$K$28,$P1307)+(INDEX(PARAMETROS_CULTURAS!$L$6:$L$28,$P1307)-INDEX(PARAMETROS_CULTURAS!$K$6:$K$28,$P1307))*($O1307-INDEX(PARAMETROS_CULTURAS!$F$6:$F$28,$P1307))/MAX(INDEX(PARAMETROS_CULTURAS!$G$6:$G$28,$P1307),0.0001),IF($O1307&lt;=INDEX(PARAMETROS_CULTURAS!$F$6:$F$28,$P1307)+INDEX(PARAMETROS_CULTURAS!$G$6:$G$28,$P1307)+INDEX(PARAMETROS_CULTURAS!$H$6:$H$28,$P1307),INDEX(PARAMETROS_CULTURAS!$L$6:$L$28,$P1307),INDEX(PARAMETROS_CULTURAS!$L$6:$L$28,$P1307)+(INDEX(PARAMETROS_CULTURAS!$M$6:$M$28,$P1307)-INDEX(PARAMETROS_CULTURAS!$L$6:$L$28,$P1307))*($O1307-INDEX(PARAMETROS_CULTURAS!$F$6:$F$28,$P1307)-INDEX(PARAMETROS_CULTURAS!$G$6:$G$28,$P1307)-INDEX(PARAMETROS_CULTURAS!$H$6:$H$28,$P1307))/MAX(INDEX(PARAMETROS_CULTURAS!$I$6:$I$28,$P1307),0.0001)))))</f>
        <v>0.6735</v>
      </c>
      <c r="S1307" s="18" t="n">
        <f aca="false">IFERROR(INDEX(SEMANAS!$H$6:$H$71,MATCH($B1307,SEMANAS!$B$6:$B$71,0)),0)</f>
        <v>31</v>
      </c>
      <c r="T1307" s="18" t="n">
        <f aca="false">$R1307*$S1307</f>
        <v>20.8785</v>
      </c>
      <c r="U1307" s="18" t="n">
        <f aca="false">IFERROR(INDEX(SEMANAS!$I$6:$I$71,MATCH($B1307,SEMANAS!$B$6:$B$71,0)),0)</f>
        <v>0.76</v>
      </c>
      <c r="V1307" s="18" t="n">
        <f aca="false">IFERROR(INDEX(SEMANAS!$J$6:$J$71,MATCH($B1307,SEMANAS!$B$6:$B$71,0)),0)</f>
        <v>0.608</v>
      </c>
      <c r="W1307" s="18" t="n">
        <f aca="false">MAX(0,$T1307-$V1307)</f>
        <v>20.2705</v>
      </c>
      <c r="X1307" s="19" t="n">
        <f aca="false">IFERROR(INDEX(CADASTRO_PIVOS!$K$6:$K$41,MATCH($E1307,CADASTRO_PIVOS!$B$6:$B$41,0)),EFICIENCIA_PADRAO)</f>
        <v>0.85</v>
      </c>
      <c r="Y1307" s="18" t="n">
        <f aca="false">IF($X1307&lt;=0,0,$W1307/$X1307)</f>
        <v>23.8476470588235</v>
      </c>
      <c r="Z1307" s="16" t="n">
        <f aca="false">$Y1307*$H1307*MM_PARA_M3_HA</f>
        <v>35757.162</v>
      </c>
      <c r="AA1307" s="18" t="n">
        <f aca="false">IFERROR(INDEX(CADASTRO_PIVOS!$I$6:$I$41,MATCH($E1307,CADASTRO_PIVOS!$B$6:$B$41,0)),0)</f>
        <v>1071</v>
      </c>
      <c r="AB1307" s="18" t="n">
        <f aca="false">IF($Z1307&lt;=0,0,$Z1307/$AA1307)</f>
        <v>33.3867058823529</v>
      </c>
      <c r="AC1307" s="16" t="n">
        <f aca="false">IFERROR(INDEX(SEMANAS!$K$6:$K$71,MATCH($B1307,SEMANAS!$B$6:$B$71,0)),0)</f>
        <v>147</v>
      </c>
      <c r="AD1307" s="19" t="n">
        <f aca="false">IF($AC1307&lt;=0,0,$AB1307/$AC1307)</f>
        <v>0.227120448179272</v>
      </c>
      <c r="AE1307" s="8" t="str">
        <f aca="false">IF($K1307="SEM CULTURA","SEM CULTURA",IF($AA1307&lt;=0,"DADO PENDENTE",IF($AD1307&gt;LIMITE_CRITICO,"INVIAVEL",IF($AD1307&gt;LIMITE_ATENCAO,"CRITICO",IF($AD1307&gt;LIMITE_CONFORTAVEL,"ATENCAO","OK")))))</f>
        <v>OK</v>
      </c>
      <c r="AF1307" s="8" t="str">
        <f aca="false">$B1307&amp;"|"&amp;TEXT($AD1307,"0.000000")</f>
        <v>48|0.227120</v>
      </c>
      <c r="AG1307" s="18" t="n">
        <f aca="false">IF($K1307="SEM CULTURA",0,$T1307*$H1307)</f>
        <v>3130.52229</v>
      </c>
      <c r="AH1307" s="18" t="n">
        <f aca="false">IF($K1307="SEM CULTURA",0,$V1307*$H1307)</f>
        <v>91.16352</v>
      </c>
      <c r="AI1307" s="18" t="n">
        <f aca="false">IF($K1307="SEM CULTURA",0,$W1307*$H1307)</f>
        <v>3039.35877</v>
      </c>
      <c r="AJ1307" s="18" t="n">
        <f aca="false">IF($K1307="SEM CULTURA",0,$S1307*$H1307)</f>
        <v>4648.14</v>
      </c>
      <c r="AK1307" s="8" t="str">
        <f aca="false">$E1307&amp;"|"&amp;TEXT($AD1307,"0.000000")</f>
        <v>PV 119|0.227120</v>
      </c>
    </row>
    <row r="1308" customFormat="false" ht="15" hidden="false" customHeight="false" outlineLevel="0" collapsed="false">
      <c r="B1308" s="16" t="n">
        <v>49</v>
      </c>
      <c r="C1308" s="17" t="n">
        <f aca="false">DATA_INICIO_SAFRA+($B1308-1)*DIAS_POR_SEMANA</f>
        <v>46601</v>
      </c>
      <c r="D1308" s="17" t="n">
        <f aca="false">$C1308+DIAS_POR_SEMANA-1</f>
        <v>46607</v>
      </c>
      <c r="E1308" s="15" t="s">
        <v>278</v>
      </c>
      <c r="F1308" s="8" t="str">
        <f aca="false">IFERROR(INDEX(CADASTRO_PIVOS!$C$6:$C$41,MATCH($E1308,CADASTRO_PIVOS!$B$6:$B$41,0)),"?")</f>
        <v>RM06</v>
      </c>
      <c r="G1308" s="8" t="str">
        <f aca="false">IFERROR(INDEX(CADASTRO_PIVOS!$D$6:$D$41,MATCH($E1308,CADASTRO_PIVOS!$B$6:$B$41,0)),"?")</f>
        <v>TR06</v>
      </c>
      <c r="H1308" s="20" t="n">
        <f aca="false">IFERROR(INDEX(CADASTRO_PIVOS!$E$6:$E$41,MATCH($E1308,CADASTRO_PIVOS!$B$6:$B$41,0)),0)</f>
        <v>149.94</v>
      </c>
      <c r="I1308" s="16" t="n">
        <f aca="false">IFERROR(SUMIFS(ROTACAO_RDM!$B$6:$B$71,ROTACAO_RDM!$D$6:$D$71,$E1308,ROTACAO_RDM!$I$6:$I$71,"&lt;="&amp;$C1308+INT(DIAS_POR_SEMANA/2),ROTACAO_RDM!$J$6:$J$71,"&gt;="&amp;$C1308+INT(DIAS_POR_SEMANA/2)),0)</f>
        <v>33</v>
      </c>
      <c r="J1308" s="16" t="n">
        <f aca="false">IFERROR(MATCH($I1308,ROTACAO_RDM!$B$6:$B$71,0),0)</f>
        <v>33</v>
      </c>
      <c r="K1308" s="8" t="str">
        <f aca="false">IF($J1308=0,"SEM CULTURA",INDEX(ROTACAO_RDM!$F$6:$F$71,$J1308))</f>
        <v>MILHO_GRAO</v>
      </c>
      <c r="L1308" s="8" t="n">
        <f aca="false">IF($J1308=0,"",INDEX(ROTACAO_RDM!$G$6:$G$71,$J1308))</f>
        <v>0</v>
      </c>
      <c r="M1308" s="17" t="n">
        <f aca="false">IF($J1308=0,"",INDEX(ROTACAO_RDM!$I$6:$I$71,$J1308))</f>
        <v>46550</v>
      </c>
      <c r="N1308" s="16" t="n">
        <f aca="false">IF($J1308=0,0,MAX(0,$C1308+INT(DIAS_POR_SEMANA/2)-INDEX(ROTACAO_RDM!$I$6:$I$71,$J1308)))</f>
        <v>54</v>
      </c>
      <c r="O1308" s="19" t="n">
        <f aca="false">IF($J1308=0,0,MIN(1,$N1308/MAX(1,INDEX(ROTACAO_RDM!$K$6:$K$71,$J1308))))</f>
        <v>0.3375</v>
      </c>
      <c r="P1308" s="16" t="n">
        <f aca="false">IF($J1308=0,0,IFERROR(MATCH(INDEX(ROTACAO_RDM!$N$6:$N$71,$J1308),PARAMETROS_CULTURAS!$B$6:$B$28,0),0))</f>
        <v>8</v>
      </c>
      <c r="Q1308" s="8" t="str">
        <f aca="false">IF($P1308=0,"-",IF($O1308&lt;=INDEX(PARAMETROS_CULTURAS!$F$6:$F$28,$P1308),"INICIAL",IF($O1308&lt;=INDEX(PARAMETROS_CULTURAS!$F$6:$F$28,$P1308)+INDEX(PARAMETROS_CULTURAS!$G$6:$G$28,$P1308),"DESENVOLVIMENTO",IF($O1308&lt;=INDEX(PARAMETROS_CULTURAS!$F$6:$F$28,$P1308)+INDEX(PARAMETROS_CULTURAS!$G$6:$G$28,$P1308)+INDEX(PARAMETROS_CULTURAS!$H$6:$H$28,$P1308),"MEDIA","FINAL"))))</f>
        <v>DESENVOLVIMENTO</v>
      </c>
      <c r="R1308" s="24" t="n">
        <f aca="false">IF($P1308=0,0,IF($O1308&lt;=INDEX(PARAMETROS_CULTURAS!$F$6:$F$28,$P1308),INDEX(PARAMETROS_CULTURAS!$K$6:$K$28,$P1308),IF($O1308&lt;=INDEX(PARAMETROS_CULTURAS!$F$6:$F$28,$P1308)+INDEX(PARAMETROS_CULTURAS!$G$6:$G$28,$P1308),INDEX(PARAMETROS_CULTURAS!$K$6:$K$28,$P1308)+(INDEX(PARAMETROS_CULTURAS!$L$6:$L$28,$P1308)-INDEX(PARAMETROS_CULTURAS!$K$6:$K$28,$P1308))*($O1308-INDEX(PARAMETROS_CULTURAS!$F$6:$F$28,$P1308))/MAX(INDEX(PARAMETROS_CULTURAS!$G$6:$G$28,$P1308),0.0001),IF($O1308&lt;=INDEX(PARAMETROS_CULTURAS!$F$6:$F$28,$P1308)+INDEX(PARAMETROS_CULTURAS!$G$6:$G$28,$P1308)+INDEX(PARAMETROS_CULTURAS!$H$6:$H$28,$P1308),INDEX(PARAMETROS_CULTURAS!$L$6:$L$28,$P1308),INDEX(PARAMETROS_CULTURAS!$L$6:$L$28,$P1308)+(INDEX(PARAMETROS_CULTURAS!$M$6:$M$28,$P1308)-INDEX(PARAMETROS_CULTURAS!$L$6:$L$28,$P1308))*($O1308-INDEX(PARAMETROS_CULTURAS!$F$6:$F$28,$P1308)-INDEX(PARAMETROS_CULTURAS!$G$6:$G$28,$P1308)-INDEX(PARAMETROS_CULTURAS!$H$6:$H$28,$P1308))/MAX(INDEX(PARAMETROS_CULTURAS!$I$6:$I$28,$P1308),0.0001)))))</f>
        <v>0.831</v>
      </c>
      <c r="S1308" s="18" t="n">
        <f aca="false">IFERROR(INDEX(SEMANAS!$H$6:$H$71,MATCH($B1308,SEMANAS!$B$6:$B$71,0)),0)</f>
        <v>36.4</v>
      </c>
      <c r="T1308" s="18" t="n">
        <f aca="false">$R1308*$S1308</f>
        <v>30.2484</v>
      </c>
      <c r="U1308" s="18" t="n">
        <f aca="false">IFERROR(INDEX(SEMANAS!$I$6:$I$71,MATCH($B1308,SEMANAS!$B$6:$B$71,0)),0)</f>
        <v>1.12</v>
      </c>
      <c r="V1308" s="18" t="n">
        <f aca="false">IFERROR(INDEX(SEMANAS!$J$6:$J$71,MATCH($B1308,SEMANAS!$B$6:$B$71,0)),0)</f>
        <v>0.896</v>
      </c>
      <c r="W1308" s="18" t="n">
        <f aca="false">MAX(0,$T1308-$V1308)</f>
        <v>29.3524</v>
      </c>
      <c r="X1308" s="19" t="n">
        <f aca="false">IFERROR(INDEX(CADASTRO_PIVOS!$K$6:$K$41,MATCH($E1308,CADASTRO_PIVOS!$B$6:$B$41,0)),EFICIENCIA_PADRAO)</f>
        <v>0.85</v>
      </c>
      <c r="Y1308" s="18" t="n">
        <f aca="false">IF($X1308&lt;=0,0,$W1308/$X1308)</f>
        <v>34.5322352941176</v>
      </c>
      <c r="Z1308" s="16" t="n">
        <f aca="false">$Y1308*$H1308*MM_PARA_M3_HA</f>
        <v>51777.6336</v>
      </c>
      <c r="AA1308" s="18" t="n">
        <f aca="false">IFERROR(INDEX(CADASTRO_PIVOS!$I$6:$I$41,MATCH($E1308,CADASTRO_PIVOS!$B$6:$B$41,0)),0)</f>
        <v>1071</v>
      </c>
      <c r="AB1308" s="18" t="n">
        <f aca="false">IF($Z1308&lt;=0,0,$Z1308/$AA1308)</f>
        <v>48.3451294117647</v>
      </c>
      <c r="AC1308" s="16" t="n">
        <f aca="false">IFERROR(INDEX(SEMANAS!$K$6:$K$71,MATCH($B1308,SEMANAS!$B$6:$B$71,0)),0)</f>
        <v>147</v>
      </c>
      <c r="AD1308" s="19" t="n">
        <f aca="false">IF($AC1308&lt;=0,0,$AB1308/$AC1308)</f>
        <v>0.328878431372549</v>
      </c>
      <c r="AE1308" s="8" t="str">
        <f aca="false">IF($K1308="SEM CULTURA","SEM CULTURA",IF($AA1308&lt;=0,"DADO PENDENTE",IF($AD1308&gt;LIMITE_CRITICO,"INVIAVEL",IF($AD1308&gt;LIMITE_ATENCAO,"CRITICO",IF($AD1308&gt;LIMITE_CONFORTAVEL,"ATENCAO","OK")))))</f>
        <v>OK</v>
      </c>
      <c r="AF1308" s="8" t="str">
        <f aca="false">$B1308&amp;"|"&amp;TEXT($AD1308,"0.000000")</f>
        <v>49|0.328878</v>
      </c>
      <c r="AG1308" s="18" t="n">
        <f aca="false">IF($K1308="SEM CULTURA",0,$T1308*$H1308)</f>
        <v>4535.445096</v>
      </c>
      <c r="AH1308" s="18" t="n">
        <f aca="false">IF($K1308="SEM CULTURA",0,$V1308*$H1308)</f>
        <v>134.34624</v>
      </c>
      <c r="AI1308" s="18" t="n">
        <f aca="false">IF($K1308="SEM CULTURA",0,$W1308*$H1308)</f>
        <v>4401.098856</v>
      </c>
      <c r="AJ1308" s="18" t="n">
        <f aca="false">IF($K1308="SEM CULTURA",0,$S1308*$H1308)</f>
        <v>5457.816</v>
      </c>
      <c r="AK1308" s="8" t="str">
        <f aca="false">$E1308&amp;"|"&amp;TEXT($AD1308,"0.000000")</f>
        <v>PV 119|0.328878</v>
      </c>
    </row>
    <row r="1309" customFormat="false" ht="15" hidden="false" customHeight="false" outlineLevel="0" collapsed="false">
      <c r="B1309" s="16" t="n">
        <v>50</v>
      </c>
      <c r="C1309" s="17" t="n">
        <f aca="false">DATA_INICIO_SAFRA+($B1309-1)*DIAS_POR_SEMANA</f>
        <v>46608</v>
      </c>
      <c r="D1309" s="17" t="n">
        <f aca="false">$C1309+DIAS_POR_SEMANA-1</f>
        <v>46614</v>
      </c>
      <c r="E1309" s="15" t="s">
        <v>278</v>
      </c>
      <c r="F1309" s="8" t="str">
        <f aca="false">IFERROR(INDEX(CADASTRO_PIVOS!$C$6:$C$41,MATCH($E1309,CADASTRO_PIVOS!$B$6:$B$41,0)),"?")</f>
        <v>RM06</v>
      </c>
      <c r="G1309" s="8" t="str">
        <f aca="false">IFERROR(INDEX(CADASTRO_PIVOS!$D$6:$D$41,MATCH($E1309,CADASTRO_PIVOS!$B$6:$B$41,0)),"?")</f>
        <v>TR06</v>
      </c>
      <c r="H1309" s="20" t="n">
        <f aca="false">IFERROR(INDEX(CADASTRO_PIVOS!$E$6:$E$41,MATCH($E1309,CADASTRO_PIVOS!$B$6:$B$41,0)),0)</f>
        <v>149.94</v>
      </c>
      <c r="I1309" s="16" t="n">
        <f aca="false">IFERROR(SUMIFS(ROTACAO_RDM!$B$6:$B$71,ROTACAO_RDM!$D$6:$D$71,$E1309,ROTACAO_RDM!$I$6:$I$71,"&lt;="&amp;$C1309+INT(DIAS_POR_SEMANA/2),ROTACAO_RDM!$J$6:$J$71,"&gt;="&amp;$C1309+INT(DIAS_POR_SEMANA/2)),0)</f>
        <v>33</v>
      </c>
      <c r="J1309" s="16" t="n">
        <f aca="false">IFERROR(MATCH($I1309,ROTACAO_RDM!$B$6:$B$71,0),0)</f>
        <v>33</v>
      </c>
      <c r="K1309" s="8" t="str">
        <f aca="false">IF($J1309=0,"SEM CULTURA",INDEX(ROTACAO_RDM!$F$6:$F$71,$J1309))</f>
        <v>MILHO_GRAO</v>
      </c>
      <c r="L1309" s="8" t="n">
        <f aca="false">IF($J1309=0,"",INDEX(ROTACAO_RDM!$G$6:$G$71,$J1309))</f>
        <v>0</v>
      </c>
      <c r="M1309" s="17" t="n">
        <f aca="false">IF($J1309=0,"",INDEX(ROTACAO_RDM!$I$6:$I$71,$J1309))</f>
        <v>46550</v>
      </c>
      <c r="N1309" s="16" t="n">
        <f aca="false">IF($J1309=0,0,MAX(0,$C1309+INT(DIAS_POR_SEMANA/2)-INDEX(ROTACAO_RDM!$I$6:$I$71,$J1309)))</f>
        <v>61</v>
      </c>
      <c r="O1309" s="19" t="n">
        <f aca="false">IF($J1309=0,0,MIN(1,$N1309/MAX(1,INDEX(ROTACAO_RDM!$K$6:$K$71,$J1309))))</f>
        <v>0.38125</v>
      </c>
      <c r="P1309" s="16" t="n">
        <f aca="false">IF($J1309=0,0,IFERROR(MATCH(INDEX(ROTACAO_RDM!$N$6:$N$71,$J1309),PARAMETROS_CULTURAS!$B$6:$B$28,0),0))</f>
        <v>8</v>
      </c>
      <c r="Q1309" s="8" t="str">
        <f aca="false">IF($P1309=0,"-",IF($O1309&lt;=INDEX(PARAMETROS_CULTURAS!$F$6:$F$28,$P1309),"INICIAL",IF($O1309&lt;=INDEX(PARAMETROS_CULTURAS!$F$6:$F$28,$P1309)+INDEX(PARAMETROS_CULTURAS!$G$6:$G$28,$P1309),"DESENVOLVIMENTO",IF($O1309&lt;=INDEX(PARAMETROS_CULTURAS!$F$6:$F$28,$P1309)+INDEX(PARAMETROS_CULTURAS!$G$6:$G$28,$P1309)+INDEX(PARAMETROS_CULTURAS!$H$6:$H$28,$P1309),"MEDIA","FINAL"))))</f>
        <v>DESENVOLVIMENTO</v>
      </c>
      <c r="R1309" s="24" t="n">
        <f aca="false">IF($P1309=0,0,IF($O1309&lt;=INDEX(PARAMETROS_CULTURAS!$F$6:$F$28,$P1309),INDEX(PARAMETROS_CULTURAS!$K$6:$K$28,$P1309),IF($O1309&lt;=INDEX(PARAMETROS_CULTURAS!$F$6:$F$28,$P1309)+INDEX(PARAMETROS_CULTURAS!$G$6:$G$28,$P1309),INDEX(PARAMETROS_CULTURAS!$K$6:$K$28,$P1309)+(INDEX(PARAMETROS_CULTURAS!$L$6:$L$28,$P1309)-INDEX(PARAMETROS_CULTURAS!$K$6:$K$28,$P1309))*($O1309-INDEX(PARAMETROS_CULTURAS!$F$6:$F$28,$P1309))/MAX(INDEX(PARAMETROS_CULTURAS!$G$6:$G$28,$P1309),0.0001),IF($O1309&lt;=INDEX(PARAMETROS_CULTURAS!$F$6:$F$28,$P1309)+INDEX(PARAMETROS_CULTURAS!$G$6:$G$28,$P1309)+INDEX(PARAMETROS_CULTURAS!$H$6:$H$28,$P1309),INDEX(PARAMETROS_CULTURAS!$L$6:$L$28,$P1309),INDEX(PARAMETROS_CULTURAS!$L$6:$L$28,$P1309)+(INDEX(PARAMETROS_CULTURAS!$M$6:$M$28,$P1309)-INDEX(PARAMETROS_CULTURAS!$L$6:$L$28,$P1309))*($O1309-INDEX(PARAMETROS_CULTURAS!$F$6:$F$28,$P1309)-INDEX(PARAMETROS_CULTURAS!$G$6:$G$28,$P1309)-INDEX(PARAMETROS_CULTURAS!$H$6:$H$28,$P1309))/MAX(INDEX(PARAMETROS_CULTURAS!$I$6:$I$28,$P1309),0.0001)))))</f>
        <v>0.9885</v>
      </c>
      <c r="S1309" s="18" t="n">
        <f aca="false">IFERROR(INDEX(SEMANAS!$H$6:$H$71,MATCH($B1309,SEMANAS!$B$6:$B$71,0)),0)</f>
        <v>36.4</v>
      </c>
      <c r="T1309" s="18" t="n">
        <f aca="false">$R1309*$S1309</f>
        <v>35.9814</v>
      </c>
      <c r="U1309" s="18" t="n">
        <f aca="false">IFERROR(INDEX(SEMANAS!$I$6:$I$71,MATCH($B1309,SEMANAS!$B$6:$B$71,0)),0)</f>
        <v>1.12</v>
      </c>
      <c r="V1309" s="18" t="n">
        <f aca="false">IFERROR(INDEX(SEMANAS!$J$6:$J$71,MATCH($B1309,SEMANAS!$B$6:$B$71,0)),0)</f>
        <v>0.896</v>
      </c>
      <c r="W1309" s="18" t="n">
        <f aca="false">MAX(0,$T1309-$V1309)</f>
        <v>35.0854</v>
      </c>
      <c r="X1309" s="19" t="n">
        <f aca="false">IFERROR(INDEX(CADASTRO_PIVOS!$K$6:$K$41,MATCH($E1309,CADASTRO_PIVOS!$B$6:$B$41,0)),EFICIENCIA_PADRAO)</f>
        <v>0.85</v>
      </c>
      <c r="Y1309" s="18" t="n">
        <f aca="false">IF($X1309&lt;=0,0,$W1309/$X1309)</f>
        <v>41.2769411764706</v>
      </c>
      <c r="Z1309" s="16" t="n">
        <f aca="false">$Y1309*$H1309*MM_PARA_M3_HA</f>
        <v>61890.6456</v>
      </c>
      <c r="AA1309" s="18" t="n">
        <f aca="false">IFERROR(INDEX(CADASTRO_PIVOS!$I$6:$I$41,MATCH($E1309,CADASTRO_PIVOS!$B$6:$B$41,0)),0)</f>
        <v>1071</v>
      </c>
      <c r="AB1309" s="18" t="n">
        <f aca="false">IF($Z1309&lt;=0,0,$Z1309/$AA1309)</f>
        <v>57.7877176470588</v>
      </c>
      <c r="AC1309" s="16" t="n">
        <f aca="false">IFERROR(INDEX(SEMANAS!$K$6:$K$71,MATCH($B1309,SEMANAS!$B$6:$B$71,0)),0)</f>
        <v>147</v>
      </c>
      <c r="AD1309" s="19" t="n">
        <f aca="false">IF($AC1309&lt;=0,0,$AB1309/$AC1309)</f>
        <v>0.393113725490196</v>
      </c>
      <c r="AE1309" s="8" t="str">
        <f aca="false">IF($K1309="SEM CULTURA","SEM CULTURA",IF($AA1309&lt;=0,"DADO PENDENTE",IF($AD1309&gt;LIMITE_CRITICO,"INVIAVEL",IF($AD1309&gt;LIMITE_ATENCAO,"CRITICO",IF($AD1309&gt;LIMITE_CONFORTAVEL,"ATENCAO","OK")))))</f>
        <v>OK</v>
      </c>
      <c r="AF1309" s="8" t="str">
        <f aca="false">$B1309&amp;"|"&amp;TEXT($AD1309,"0.000000")</f>
        <v>50|0.393114</v>
      </c>
      <c r="AG1309" s="18" t="n">
        <f aca="false">IF($K1309="SEM CULTURA",0,$T1309*$H1309)</f>
        <v>5395.051116</v>
      </c>
      <c r="AH1309" s="18" t="n">
        <f aca="false">IF($K1309="SEM CULTURA",0,$V1309*$H1309)</f>
        <v>134.34624</v>
      </c>
      <c r="AI1309" s="18" t="n">
        <f aca="false">IF($K1309="SEM CULTURA",0,$W1309*$H1309)</f>
        <v>5260.704876</v>
      </c>
      <c r="AJ1309" s="18" t="n">
        <f aca="false">IF($K1309="SEM CULTURA",0,$S1309*$H1309)</f>
        <v>5457.816</v>
      </c>
      <c r="AK1309" s="8" t="str">
        <f aca="false">$E1309&amp;"|"&amp;TEXT($AD1309,"0.000000")</f>
        <v>PV 119|0.393114</v>
      </c>
    </row>
    <row r="1310" customFormat="false" ht="15" hidden="false" customHeight="false" outlineLevel="0" collapsed="false">
      <c r="B1310" s="16" t="n">
        <v>51</v>
      </c>
      <c r="C1310" s="17" t="n">
        <f aca="false">DATA_INICIO_SAFRA+($B1310-1)*DIAS_POR_SEMANA</f>
        <v>46615</v>
      </c>
      <c r="D1310" s="17" t="n">
        <f aca="false">$C1310+DIAS_POR_SEMANA-1</f>
        <v>46621</v>
      </c>
      <c r="E1310" s="15" t="s">
        <v>278</v>
      </c>
      <c r="F1310" s="8" t="str">
        <f aca="false">IFERROR(INDEX(CADASTRO_PIVOS!$C$6:$C$41,MATCH($E1310,CADASTRO_PIVOS!$B$6:$B$41,0)),"?")</f>
        <v>RM06</v>
      </c>
      <c r="G1310" s="8" t="str">
        <f aca="false">IFERROR(INDEX(CADASTRO_PIVOS!$D$6:$D$41,MATCH($E1310,CADASTRO_PIVOS!$B$6:$B$41,0)),"?")</f>
        <v>TR06</v>
      </c>
      <c r="H1310" s="20" t="n">
        <f aca="false">IFERROR(INDEX(CADASTRO_PIVOS!$E$6:$E$41,MATCH($E1310,CADASTRO_PIVOS!$B$6:$B$41,0)),0)</f>
        <v>149.94</v>
      </c>
      <c r="I1310" s="16" t="n">
        <f aca="false">IFERROR(SUMIFS(ROTACAO_RDM!$B$6:$B$71,ROTACAO_RDM!$D$6:$D$71,$E1310,ROTACAO_RDM!$I$6:$I$71,"&lt;="&amp;$C1310+INT(DIAS_POR_SEMANA/2),ROTACAO_RDM!$J$6:$J$71,"&gt;="&amp;$C1310+INT(DIAS_POR_SEMANA/2)),0)</f>
        <v>33</v>
      </c>
      <c r="J1310" s="16" t="n">
        <f aca="false">IFERROR(MATCH($I1310,ROTACAO_RDM!$B$6:$B$71,0),0)</f>
        <v>33</v>
      </c>
      <c r="K1310" s="8" t="str">
        <f aca="false">IF($J1310=0,"SEM CULTURA",INDEX(ROTACAO_RDM!$F$6:$F$71,$J1310))</f>
        <v>MILHO_GRAO</v>
      </c>
      <c r="L1310" s="8" t="n">
        <f aca="false">IF($J1310=0,"",INDEX(ROTACAO_RDM!$G$6:$G$71,$J1310))</f>
        <v>0</v>
      </c>
      <c r="M1310" s="17" t="n">
        <f aca="false">IF($J1310=0,"",INDEX(ROTACAO_RDM!$I$6:$I$71,$J1310))</f>
        <v>46550</v>
      </c>
      <c r="N1310" s="16" t="n">
        <f aca="false">IF($J1310=0,0,MAX(0,$C1310+INT(DIAS_POR_SEMANA/2)-INDEX(ROTACAO_RDM!$I$6:$I$71,$J1310)))</f>
        <v>68</v>
      </c>
      <c r="O1310" s="19" t="n">
        <f aca="false">IF($J1310=0,0,MIN(1,$N1310/MAX(1,INDEX(ROTACAO_RDM!$K$6:$K$71,$J1310))))</f>
        <v>0.425</v>
      </c>
      <c r="P1310" s="16" t="n">
        <f aca="false">IF($J1310=0,0,IFERROR(MATCH(INDEX(ROTACAO_RDM!$N$6:$N$71,$J1310),PARAMETROS_CULTURAS!$B$6:$B$28,0),0))</f>
        <v>8</v>
      </c>
      <c r="Q1310" s="8" t="str">
        <f aca="false">IF($P1310=0,"-",IF($O1310&lt;=INDEX(PARAMETROS_CULTURAS!$F$6:$F$28,$P1310),"INICIAL",IF($O1310&lt;=INDEX(PARAMETROS_CULTURAS!$F$6:$F$28,$P1310)+INDEX(PARAMETROS_CULTURAS!$G$6:$G$28,$P1310),"DESENVOLVIMENTO",IF($O1310&lt;=INDEX(PARAMETROS_CULTURAS!$F$6:$F$28,$P1310)+INDEX(PARAMETROS_CULTURAS!$G$6:$G$28,$P1310)+INDEX(PARAMETROS_CULTURAS!$H$6:$H$28,$P1310),"MEDIA","FINAL"))))</f>
        <v>DESENVOLVIMENTO</v>
      </c>
      <c r="R1310" s="24" t="n">
        <f aca="false">IF($P1310=0,0,IF($O1310&lt;=INDEX(PARAMETROS_CULTURAS!$F$6:$F$28,$P1310),INDEX(PARAMETROS_CULTURAS!$K$6:$K$28,$P1310),IF($O1310&lt;=INDEX(PARAMETROS_CULTURAS!$F$6:$F$28,$P1310)+INDEX(PARAMETROS_CULTURAS!$G$6:$G$28,$P1310),INDEX(PARAMETROS_CULTURAS!$K$6:$K$28,$P1310)+(INDEX(PARAMETROS_CULTURAS!$L$6:$L$28,$P1310)-INDEX(PARAMETROS_CULTURAS!$K$6:$K$28,$P1310))*($O1310-INDEX(PARAMETROS_CULTURAS!$F$6:$F$28,$P1310))/MAX(INDEX(PARAMETROS_CULTURAS!$G$6:$G$28,$P1310),0.0001),IF($O1310&lt;=INDEX(PARAMETROS_CULTURAS!$F$6:$F$28,$P1310)+INDEX(PARAMETROS_CULTURAS!$G$6:$G$28,$P1310)+INDEX(PARAMETROS_CULTURAS!$H$6:$H$28,$P1310),INDEX(PARAMETROS_CULTURAS!$L$6:$L$28,$P1310),INDEX(PARAMETROS_CULTURAS!$L$6:$L$28,$P1310)+(INDEX(PARAMETROS_CULTURAS!$M$6:$M$28,$P1310)-INDEX(PARAMETROS_CULTURAS!$L$6:$L$28,$P1310))*($O1310-INDEX(PARAMETROS_CULTURAS!$F$6:$F$28,$P1310)-INDEX(PARAMETROS_CULTURAS!$G$6:$G$28,$P1310)-INDEX(PARAMETROS_CULTURAS!$H$6:$H$28,$P1310))/MAX(INDEX(PARAMETROS_CULTURAS!$I$6:$I$28,$P1310),0.0001)))))</f>
        <v>1.146</v>
      </c>
      <c r="S1310" s="18" t="n">
        <f aca="false">IFERROR(INDEX(SEMANAS!$H$6:$H$71,MATCH($B1310,SEMANAS!$B$6:$B$71,0)),0)</f>
        <v>36.4</v>
      </c>
      <c r="T1310" s="18" t="n">
        <f aca="false">$R1310*$S1310</f>
        <v>41.7144</v>
      </c>
      <c r="U1310" s="18" t="n">
        <f aca="false">IFERROR(INDEX(SEMANAS!$I$6:$I$71,MATCH($B1310,SEMANAS!$B$6:$B$71,0)),0)</f>
        <v>1.12</v>
      </c>
      <c r="V1310" s="18" t="n">
        <f aca="false">IFERROR(INDEX(SEMANAS!$J$6:$J$71,MATCH($B1310,SEMANAS!$B$6:$B$71,0)),0)</f>
        <v>0.896</v>
      </c>
      <c r="W1310" s="18" t="n">
        <f aca="false">MAX(0,$T1310-$V1310)</f>
        <v>40.8184</v>
      </c>
      <c r="X1310" s="19" t="n">
        <f aca="false">IFERROR(INDEX(CADASTRO_PIVOS!$K$6:$K$41,MATCH($E1310,CADASTRO_PIVOS!$B$6:$B$41,0)),EFICIENCIA_PADRAO)</f>
        <v>0.85</v>
      </c>
      <c r="Y1310" s="18" t="n">
        <f aca="false">IF($X1310&lt;=0,0,$W1310/$X1310)</f>
        <v>48.0216470588235</v>
      </c>
      <c r="Z1310" s="16" t="n">
        <f aca="false">$Y1310*$H1310*MM_PARA_M3_HA</f>
        <v>72003.6576</v>
      </c>
      <c r="AA1310" s="18" t="n">
        <f aca="false">IFERROR(INDEX(CADASTRO_PIVOS!$I$6:$I$41,MATCH($E1310,CADASTRO_PIVOS!$B$6:$B$41,0)),0)</f>
        <v>1071</v>
      </c>
      <c r="AB1310" s="18" t="n">
        <f aca="false">IF($Z1310&lt;=0,0,$Z1310/$AA1310)</f>
        <v>67.2303058823529</v>
      </c>
      <c r="AC1310" s="16" t="n">
        <f aca="false">IFERROR(INDEX(SEMANAS!$K$6:$K$71,MATCH($B1310,SEMANAS!$B$6:$B$71,0)),0)</f>
        <v>147</v>
      </c>
      <c r="AD1310" s="19" t="n">
        <f aca="false">IF($AC1310&lt;=0,0,$AB1310/$AC1310)</f>
        <v>0.457349019607843</v>
      </c>
      <c r="AE1310" s="8" t="str">
        <f aca="false">IF($K1310="SEM CULTURA","SEM CULTURA",IF($AA1310&lt;=0,"DADO PENDENTE",IF($AD1310&gt;LIMITE_CRITICO,"INVIAVEL",IF($AD1310&gt;LIMITE_ATENCAO,"CRITICO",IF($AD1310&gt;LIMITE_CONFORTAVEL,"ATENCAO","OK")))))</f>
        <v>OK</v>
      </c>
      <c r="AF1310" s="8" t="str">
        <f aca="false">$B1310&amp;"|"&amp;TEXT($AD1310,"0.000000")</f>
        <v>51|0.457349</v>
      </c>
      <c r="AG1310" s="18" t="n">
        <f aca="false">IF($K1310="SEM CULTURA",0,$T1310*$H1310)</f>
        <v>6254.657136</v>
      </c>
      <c r="AH1310" s="18" t="n">
        <f aca="false">IF($K1310="SEM CULTURA",0,$V1310*$H1310)</f>
        <v>134.34624</v>
      </c>
      <c r="AI1310" s="18" t="n">
        <f aca="false">IF($K1310="SEM CULTURA",0,$W1310*$H1310)</f>
        <v>6120.310896</v>
      </c>
      <c r="AJ1310" s="18" t="n">
        <f aca="false">IF($K1310="SEM CULTURA",0,$S1310*$H1310)</f>
        <v>5457.816</v>
      </c>
      <c r="AK1310" s="8" t="str">
        <f aca="false">$E1310&amp;"|"&amp;TEXT($AD1310,"0.000000")</f>
        <v>PV 119|0.457349</v>
      </c>
    </row>
    <row r="1311" customFormat="false" ht="15" hidden="false" customHeight="false" outlineLevel="0" collapsed="false">
      <c r="B1311" s="16" t="n">
        <v>52</v>
      </c>
      <c r="C1311" s="17" t="n">
        <f aca="false">DATA_INICIO_SAFRA+($B1311-1)*DIAS_POR_SEMANA</f>
        <v>46622</v>
      </c>
      <c r="D1311" s="17" t="n">
        <f aca="false">$C1311+DIAS_POR_SEMANA-1</f>
        <v>46628</v>
      </c>
      <c r="E1311" s="15" t="s">
        <v>278</v>
      </c>
      <c r="F1311" s="8" t="str">
        <f aca="false">IFERROR(INDEX(CADASTRO_PIVOS!$C$6:$C$41,MATCH($E1311,CADASTRO_PIVOS!$B$6:$B$41,0)),"?")</f>
        <v>RM06</v>
      </c>
      <c r="G1311" s="8" t="str">
        <f aca="false">IFERROR(INDEX(CADASTRO_PIVOS!$D$6:$D$41,MATCH($E1311,CADASTRO_PIVOS!$B$6:$B$41,0)),"?")</f>
        <v>TR06</v>
      </c>
      <c r="H1311" s="20" t="n">
        <f aca="false">IFERROR(INDEX(CADASTRO_PIVOS!$E$6:$E$41,MATCH($E1311,CADASTRO_PIVOS!$B$6:$B$41,0)),0)</f>
        <v>149.94</v>
      </c>
      <c r="I1311" s="16" t="n">
        <f aca="false">IFERROR(SUMIFS(ROTACAO_RDM!$B$6:$B$71,ROTACAO_RDM!$D$6:$D$71,$E1311,ROTACAO_RDM!$I$6:$I$71,"&lt;="&amp;$C1311+INT(DIAS_POR_SEMANA/2),ROTACAO_RDM!$J$6:$J$71,"&gt;="&amp;$C1311+INT(DIAS_POR_SEMANA/2)),0)</f>
        <v>33</v>
      </c>
      <c r="J1311" s="16" t="n">
        <f aca="false">IFERROR(MATCH($I1311,ROTACAO_RDM!$B$6:$B$71,0),0)</f>
        <v>33</v>
      </c>
      <c r="K1311" s="8" t="str">
        <f aca="false">IF($J1311=0,"SEM CULTURA",INDEX(ROTACAO_RDM!$F$6:$F$71,$J1311))</f>
        <v>MILHO_GRAO</v>
      </c>
      <c r="L1311" s="8" t="n">
        <f aca="false">IF($J1311=0,"",INDEX(ROTACAO_RDM!$G$6:$G$71,$J1311))</f>
        <v>0</v>
      </c>
      <c r="M1311" s="17" t="n">
        <f aca="false">IF($J1311=0,"",INDEX(ROTACAO_RDM!$I$6:$I$71,$J1311))</f>
        <v>46550</v>
      </c>
      <c r="N1311" s="16" t="n">
        <f aca="false">IF($J1311=0,0,MAX(0,$C1311+INT(DIAS_POR_SEMANA/2)-INDEX(ROTACAO_RDM!$I$6:$I$71,$J1311)))</f>
        <v>75</v>
      </c>
      <c r="O1311" s="19" t="n">
        <f aca="false">IF($J1311=0,0,MIN(1,$N1311/MAX(1,INDEX(ROTACAO_RDM!$K$6:$K$71,$J1311))))</f>
        <v>0.46875</v>
      </c>
      <c r="P1311" s="16" t="n">
        <f aca="false">IF($J1311=0,0,IFERROR(MATCH(INDEX(ROTACAO_RDM!$N$6:$N$71,$J1311),PARAMETROS_CULTURAS!$B$6:$B$28,0),0))</f>
        <v>8</v>
      </c>
      <c r="Q1311" s="8" t="str">
        <f aca="false">IF($P1311=0,"-",IF($O1311&lt;=INDEX(PARAMETROS_CULTURAS!$F$6:$F$28,$P1311),"INICIAL",IF($O1311&lt;=INDEX(PARAMETROS_CULTURAS!$F$6:$F$28,$P1311)+INDEX(PARAMETROS_CULTURAS!$G$6:$G$28,$P1311),"DESENVOLVIMENTO",IF($O1311&lt;=INDEX(PARAMETROS_CULTURAS!$F$6:$F$28,$P1311)+INDEX(PARAMETROS_CULTURAS!$G$6:$G$28,$P1311)+INDEX(PARAMETROS_CULTURAS!$H$6:$H$28,$P1311),"MEDIA","FINAL"))))</f>
        <v>MEDIA</v>
      </c>
      <c r="R1311" s="24" t="n">
        <f aca="false">IF($P1311=0,0,IF($O1311&lt;=INDEX(PARAMETROS_CULTURAS!$F$6:$F$28,$P1311),INDEX(PARAMETROS_CULTURAS!$K$6:$K$28,$P1311),IF($O1311&lt;=INDEX(PARAMETROS_CULTURAS!$F$6:$F$28,$P1311)+INDEX(PARAMETROS_CULTURAS!$G$6:$G$28,$P1311),INDEX(PARAMETROS_CULTURAS!$K$6:$K$28,$P1311)+(INDEX(PARAMETROS_CULTURAS!$L$6:$L$28,$P1311)-INDEX(PARAMETROS_CULTURAS!$K$6:$K$28,$P1311))*($O1311-INDEX(PARAMETROS_CULTURAS!$F$6:$F$28,$P1311))/MAX(INDEX(PARAMETROS_CULTURAS!$G$6:$G$28,$P1311),0.0001),IF($O1311&lt;=INDEX(PARAMETROS_CULTURAS!$F$6:$F$28,$P1311)+INDEX(PARAMETROS_CULTURAS!$G$6:$G$28,$P1311)+INDEX(PARAMETROS_CULTURAS!$H$6:$H$28,$P1311),INDEX(PARAMETROS_CULTURAS!$L$6:$L$28,$P1311),INDEX(PARAMETROS_CULTURAS!$L$6:$L$28,$P1311)+(INDEX(PARAMETROS_CULTURAS!$M$6:$M$28,$P1311)-INDEX(PARAMETROS_CULTURAS!$L$6:$L$28,$P1311))*($O1311-INDEX(PARAMETROS_CULTURAS!$F$6:$F$28,$P1311)-INDEX(PARAMETROS_CULTURAS!$G$6:$G$28,$P1311)-INDEX(PARAMETROS_CULTURAS!$H$6:$H$28,$P1311))/MAX(INDEX(PARAMETROS_CULTURAS!$I$6:$I$28,$P1311),0.0001)))))</f>
        <v>1.2</v>
      </c>
      <c r="S1311" s="18" t="n">
        <f aca="false">IFERROR(INDEX(SEMANAS!$H$6:$H$71,MATCH($B1311,SEMANAS!$B$6:$B$71,0)),0)</f>
        <v>36.4</v>
      </c>
      <c r="T1311" s="18" t="n">
        <f aca="false">$R1311*$S1311</f>
        <v>43.68</v>
      </c>
      <c r="U1311" s="18" t="n">
        <f aca="false">IFERROR(INDEX(SEMANAS!$I$6:$I$71,MATCH($B1311,SEMANAS!$B$6:$B$71,0)),0)</f>
        <v>1.12</v>
      </c>
      <c r="V1311" s="18" t="n">
        <f aca="false">IFERROR(INDEX(SEMANAS!$J$6:$J$71,MATCH($B1311,SEMANAS!$B$6:$B$71,0)),0)</f>
        <v>0.896</v>
      </c>
      <c r="W1311" s="18" t="n">
        <f aca="false">MAX(0,$T1311-$V1311)</f>
        <v>42.784</v>
      </c>
      <c r="X1311" s="19" t="n">
        <f aca="false">IFERROR(INDEX(CADASTRO_PIVOS!$K$6:$K$41,MATCH($E1311,CADASTRO_PIVOS!$B$6:$B$41,0)),EFICIENCIA_PADRAO)</f>
        <v>0.85</v>
      </c>
      <c r="Y1311" s="18" t="n">
        <f aca="false">IF($X1311&lt;=0,0,$W1311/$X1311)</f>
        <v>50.3341176470588</v>
      </c>
      <c r="Z1311" s="16" t="n">
        <f aca="false">$Y1311*$H1311*MM_PARA_M3_HA</f>
        <v>75470.976</v>
      </c>
      <c r="AA1311" s="18" t="n">
        <f aca="false">IFERROR(INDEX(CADASTRO_PIVOS!$I$6:$I$41,MATCH($E1311,CADASTRO_PIVOS!$B$6:$B$41,0)),0)</f>
        <v>1071</v>
      </c>
      <c r="AB1311" s="18" t="n">
        <f aca="false">IF($Z1311&lt;=0,0,$Z1311/$AA1311)</f>
        <v>70.4677647058824</v>
      </c>
      <c r="AC1311" s="16" t="n">
        <f aca="false">IFERROR(INDEX(SEMANAS!$K$6:$K$71,MATCH($B1311,SEMANAS!$B$6:$B$71,0)),0)</f>
        <v>147</v>
      </c>
      <c r="AD1311" s="19" t="n">
        <f aca="false">IF($AC1311&lt;=0,0,$AB1311/$AC1311)</f>
        <v>0.479372549019608</v>
      </c>
      <c r="AE1311" s="8" t="str">
        <f aca="false">IF($K1311="SEM CULTURA","SEM CULTURA",IF($AA1311&lt;=0,"DADO PENDENTE",IF($AD1311&gt;LIMITE_CRITICO,"INVIAVEL",IF($AD1311&gt;LIMITE_ATENCAO,"CRITICO",IF($AD1311&gt;LIMITE_CONFORTAVEL,"ATENCAO","OK")))))</f>
        <v>OK</v>
      </c>
      <c r="AF1311" s="8" t="str">
        <f aca="false">$B1311&amp;"|"&amp;TEXT($AD1311,"0.000000")</f>
        <v>52|0.479373</v>
      </c>
      <c r="AG1311" s="18" t="n">
        <f aca="false">IF($K1311="SEM CULTURA",0,$T1311*$H1311)</f>
        <v>6549.3792</v>
      </c>
      <c r="AH1311" s="18" t="n">
        <f aca="false">IF($K1311="SEM CULTURA",0,$V1311*$H1311)</f>
        <v>134.34624</v>
      </c>
      <c r="AI1311" s="18" t="n">
        <f aca="false">IF($K1311="SEM CULTURA",0,$W1311*$H1311)</f>
        <v>6415.03296</v>
      </c>
      <c r="AJ1311" s="18" t="n">
        <f aca="false">IF($K1311="SEM CULTURA",0,$S1311*$H1311)</f>
        <v>5457.816</v>
      </c>
      <c r="AK1311" s="8" t="str">
        <f aca="false">$E1311&amp;"|"&amp;TEXT($AD1311,"0.000000")</f>
        <v>PV 119|0.479373</v>
      </c>
    </row>
    <row r="1312" customFormat="false" ht="15" hidden="false" customHeight="false" outlineLevel="0" collapsed="false">
      <c r="B1312" s="16" t="n">
        <v>53</v>
      </c>
      <c r="C1312" s="17" t="n">
        <f aca="false">DATA_INICIO_SAFRA+($B1312-1)*DIAS_POR_SEMANA</f>
        <v>46629</v>
      </c>
      <c r="D1312" s="17" t="n">
        <f aca="false">$C1312+DIAS_POR_SEMANA-1</f>
        <v>46635</v>
      </c>
      <c r="E1312" s="15" t="s">
        <v>278</v>
      </c>
      <c r="F1312" s="8" t="str">
        <f aca="false">IFERROR(INDEX(CADASTRO_PIVOS!$C$6:$C$41,MATCH($E1312,CADASTRO_PIVOS!$B$6:$B$41,0)),"?")</f>
        <v>RM06</v>
      </c>
      <c r="G1312" s="8" t="str">
        <f aca="false">IFERROR(INDEX(CADASTRO_PIVOS!$D$6:$D$41,MATCH($E1312,CADASTRO_PIVOS!$B$6:$B$41,0)),"?")</f>
        <v>TR06</v>
      </c>
      <c r="H1312" s="20" t="n">
        <f aca="false">IFERROR(INDEX(CADASTRO_PIVOS!$E$6:$E$41,MATCH($E1312,CADASTRO_PIVOS!$B$6:$B$41,0)),0)</f>
        <v>149.94</v>
      </c>
      <c r="I1312" s="16" t="n">
        <f aca="false">IFERROR(SUMIFS(ROTACAO_RDM!$B$6:$B$71,ROTACAO_RDM!$D$6:$D$71,$E1312,ROTACAO_RDM!$I$6:$I$71,"&lt;="&amp;$C1312+INT(DIAS_POR_SEMANA/2),ROTACAO_RDM!$J$6:$J$71,"&gt;="&amp;$C1312+INT(DIAS_POR_SEMANA/2)),0)</f>
        <v>33</v>
      </c>
      <c r="J1312" s="16" t="n">
        <f aca="false">IFERROR(MATCH($I1312,ROTACAO_RDM!$B$6:$B$71,0),0)</f>
        <v>33</v>
      </c>
      <c r="K1312" s="8" t="str">
        <f aca="false">IF($J1312=0,"SEM CULTURA",INDEX(ROTACAO_RDM!$F$6:$F$71,$J1312))</f>
        <v>MILHO_GRAO</v>
      </c>
      <c r="L1312" s="8" t="n">
        <f aca="false">IF($J1312=0,"",INDEX(ROTACAO_RDM!$G$6:$G$71,$J1312))</f>
        <v>0</v>
      </c>
      <c r="M1312" s="17" t="n">
        <f aca="false">IF($J1312=0,"",INDEX(ROTACAO_RDM!$I$6:$I$71,$J1312))</f>
        <v>46550</v>
      </c>
      <c r="N1312" s="16" t="n">
        <f aca="false">IF($J1312=0,0,MAX(0,$C1312+INT(DIAS_POR_SEMANA/2)-INDEX(ROTACAO_RDM!$I$6:$I$71,$J1312)))</f>
        <v>82</v>
      </c>
      <c r="O1312" s="19" t="n">
        <f aca="false">IF($J1312=0,0,MIN(1,$N1312/MAX(1,INDEX(ROTACAO_RDM!$K$6:$K$71,$J1312))))</f>
        <v>0.5125</v>
      </c>
      <c r="P1312" s="16" t="n">
        <f aca="false">IF($J1312=0,0,IFERROR(MATCH(INDEX(ROTACAO_RDM!$N$6:$N$71,$J1312),PARAMETROS_CULTURAS!$B$6:$B$28,0),0))</f>
        <v>8</v>
      </c>
      <c r="Q1312" s="8" t="str">
        <f aca="false">IF($P1312=0,"-",IF($O1312&lt;=INDEX(PARAMETROS_CULTURAS!$F$6:$F$28,$P1312),"INICIAL",IF($O1312&lt;=INDEX(PARAMETROS_CULTURAS!$F$6:$F$28,$P1312)+INDEX(PARAMETROS_CULTURAS!$G$6:$G$28,$P1312),"DESENVOLVIMENTO",IF($O1312&lt;=INDEX(PARAMETROS_CULTURAS!$F$6:$F$28,$P1312)+INDEX(PARAMETROS_CULTURAS!$G$6:$G$28,$P1312)+INDEX(PARAMETROS_CULTURAS!$H$6:$H$28,$P1312),"MEDIA","FINAL"))))</f>
        <v>MEDIA</v>
      </c>
      <c r="R1312" s="24" t="n">
        <f aca="false">IF($P1312=0,0,IF($O1312&lt;=INDEX(PARAMETROS_CULTURAS!$F$6:$F$28,$P1312),INDEX(PARAMETROS_CULTURAS!$K$6:$K$28,$P1312),IF($O1312&lt;=INDEX(PARAMETROS_CULTURAS!$F$6:$F$28,$P1312)+INDEX(PARAMETROS_CULTURAS!$G$6:$G$28,$P1312),INDEX(PARAMETROS_CULTURAS!$K$6:$K$28,$P1312)+(INDEX(PARAMETROS_CULTURAS!$L$6:$L$28,$P1312)-INDEX(PARAMETROS_CULTURAS!$K$6:$K$28,$P1312))*($O1312-INDEX(PARAMETROS_CULTURAS!$F$6:$F$28,$P1312))/MAX(INDEX(PARAMETROS_CULTURAS!$G$6:$G$28,$P1312),0.0001),IF($O1312&lt;=INDEX(PARAMETROS_CULTURAS!$F$6:$F$28,$P1312)+INDEX(PARAMETROS_CULTURAS!$G$6:$G$28,$P1312)+INDEX(PARAMETROS_CULTURAS!$H$6:$H$28,$P1312),INDEX(PARAMETROS_CULTURAS!$L$6:$L$28,$P1312),INDEX(PARAMETROS_CULTURAS!$L$6:$L$28,$P1312)+(INDEX(PARAMETROS_CULTURAS!$M$6:$M$28,$P1312)-INDEX(PARAMETROS_CULTURAS!$L$6:$L$28,$P1312))*($O1312-INDEX(PARAMETROS_CULTURAS!$F$6:$F$28,$P1312)-INDEX(PARAMETROS_CULTURAS!$G$6:$G$28,$P1312)-INDEX(PARAMETROS_CULTURAS!$H$6:$H$28,$P1312))/MAX(INDEX(PARAMETROS_CULTURAS!$I$6:$I$28,$P1312),0.0001)))))</f>
        <v>1.2</v>
      </c>
      <c r="S1312" s="18" t="n">
        <f aca="false">IFERROR(INDEX(SEMANAS!$H$6:$H$71,MATCH($B1312,SEMANAS!$B$6:$B$71,0)),0)</f>
        <v>39.4</v>
      </c>
      <c r="T1312" s="18" t="n">
        <f aca="false">$R1312*$S1312</f>
        <v>47.28</v>
      </c>
      <c r="U1312" s="18" t="n">
        <f aca="false">IFERROR(INDEX(SEMANAS!$I$6:$I$71,MATCH($B1312,SEMANAS!$B$6:$B$71,0)),0)</f>
        <v>5.32</v>
      </c>
      <c r="V1312" s="18" t="n">
        <f aca="false">IFERROR(INDEX(SEMANAS!$J$6:$J$71,MATCH($B1312,SEMANAS!$B$6:$B$71,0)),0)</f>
        <v>4.256</v>
      </c>
      <c r="W1312" s="18" t="n">
        <f aca="false">MAX(0,$T1312-$V1312)</f>
        <v>43.024</v>
      </c>
      <c r="X1312" s="19" t="n">
        <f aca="false">IFERROR(INDEX(CADASTRO_PIVOS!$K$6:$K$41,MATCH($E1312,CADASTRO_PIVOS!$B$6:$B$41,0)),EFICIENCIA_PADRAO)</f>
        <v>0.85</v>
      </c>
      <c r="Y1312" s="18" t="n">
        <f aca="false">IF($X1312&lt;=0,0,$W1312/$X1312)</f>
        <v>50.6164705882353</v>
      </c>
      <c r="Z1312" s="16" t="n">
        <f aca="false">$Y1312*$H1312*MM_PARA_M3_HA</f>
        <v>75894.336</v>
      </c>
      <c r="AA1312" s="18" t="n">
        <f aca="false">IFERROR(INDEX(CADASTRO_PIVOS!$I$6:$I$41,MATCH($E1312,CADASTRO_PIVOS!$B$6:$B$41,0)),0)</f>
        <v>1071</v>
      </c>
      <c r="AB1312" s="18" t="n">
        <f aca="false">IF($Z1312&lt;=0,0,$Z1312/$AA1312)</f>
        <v>70.8630588235294</v>
      </c>
      <c r="AC1312" s="16" t="n">
        <f aca="false">IFERROR(INDEX(SEMANAS!$K$6:$K$71,MATCH($B1312,SEMANAS!$B$6:$B$71,0)),0)</f>
        <v>147</v>
      </c>
      <c r="AD1312" s="19" t="n">
        <f aca="false">IF($AC1312&lt;=0,0,$AB1312/$AC1312)</f>
        <v>0.48206162464986</v>
      </c>
      <c r="AE1312" s="8" t="str">
        <f aca="false">IF($K1312="SEM CULTURA","SEM CULTURA",IF($AA1312&lt;=0,"DADO PENDENTE",IF($AD1312&gt;LIMITE_CRITICO,"INVIAVEL",IF($AD1312&gt;LIMITE_ATENCAO,"CRITICO",IF($AD1312&gt;LIMITE_CONFORTAVEL,"ATENCAO","OK")))))</f>
        <v>OK</v>
      </c>
      <c r="AF1312" s="8" t="str">
        <f aca="false">$B1312&amp;"|"&amp;TEXT($AD1312,"0.000000")</f>
        <v>53|0.482062</v>
      </c>
      <c r="AG1312" s="18" t="n">
        <f aca="false">IF($K1312="SEM CULTURA",0,$T1312*$H1312)</f>
        <v>7089.1632</v>
      </c>
      <c r="AH1312" s="18" t="n">
        <f aca="false">IF($K1312="SEM CULTURA",0,$V1312*$H1312)</f>
        <v>638.14464</v>
      </c>
      <c r="AI1312" s="18" t="n">
        <f aca="false">IF($K1312="SEM CULTURA",0,$W1312*$H1312)</f>
        <v>6451.01856</v>
      </c>
      <c r="AJ1312" s="18" t="n">
        <f aca="false">IF($K1312="SEM CULTURA",0,$S1312*$H1312)</f>
        <v>5907.636</v>
      </c>
      <c r="AK1312" s="8" t="str">
        <f aca="false">$E1312&amp;"|"&amp;TEXT($AD1312,"0.000000")</f>
        <v>PV 119|0.482062</v>
      </c>
    </row>
    <row r="1313" customFormat="false" ht="15" hidden="false" customHeight="false" outlineLevel="0" collapsed="false">
      <c r="B1313" s="16" t="n">
        <v>54</v>
      </c>
      <c r="C1313" s="17" t="n">
        <f aca="false">DATA_INICIO_SAFRA+($B1313-1)*DIAS_POR_SEMANA</f>
        <v>46636</v>
      </c>
      <c r="D1313" s="17" t="n">
        <f aca="false">$C1313+DIAS_POR_SEMANA-1</f>
        <v>46642</v>
      </c>
      <c r="E1313" s="15" t="s">
        <v>278</v>
      </c>
      <c r="F1313" s="8" t="str">
        <f aca="false">IFERROR(INDEX(CADASTRO_PIVOS!$C$6:$C$41,MATCH($E1313,CADASTRO_PIVOS!$B$6:$B$41,0)),"?")</f>
        <v>RM06</v>
      </c>
      <c r="G1313" s="8" t="str">
        <f aca="false">IFERROR(INDEX(CADASTRO_PIVOS!$D$6:$D$41,MATCH($E1313,CADASTRO_PIVOS!$B$6:$B$41,0)),"?")</f>
        <v>TR06</v>
      </c>
      <c r="H1313" s="20" t="n">
        <f aca="false">IFERROR(INDEX(CADASTRO_PIVOS!$E$6:$E$41,MATCH($E1313,CADASTRO_PIVOS!$B$6:$B$41,0)),0)</f>
        <v>149.94</v>
      </c>
      <c r="I1313" s="16" t="n">
        <f aca="false">IFERROR(SUMIFS(ROTACAO_RDM!$B$6:$B$71,ROTACAO_RDM!$D$6:$D$71,$E1313,ROTACAO_RDM!$I$6:$I$71,"&lt;="&amp;$C1313+INT(DIAS_POR_SEMANA/2),ROTACAO_RDM!$J$6:$J$71,"&gt;="&amp;$C1313+INT(DIAS_POR_SEMANA/2)),0)</f>
        <v>33</v>
      </c>
      <c r="J1313" s="16" t="n">
        <f aca="false">IFERROR(MATCH($I1313,ROTACAO_RDM!$B$6:$B$71,0),0)</f>
        <v>33</v>
      </c>
      <c r="K1313" s="8" t="str">
        <f aca="false">IF($J1313=0,"SEM CULTURA",INDEX(ROTACAO_RDM!$F$6:$F$71,$J1313))</f>
        <v>MILHO_GRAO</v>
      </c>
      <c r="L1313" s="8" t="n">
        <f aca="false">IF($J1313=0,"",INDEX(ROTACAO_RDM!$G$6:$G$71,$J1313))</f>
        <v>0</v>
      </c>
      <c r="M1313" s="17" t="n">
        <f aca="false">IF($J1313=0,"",INDEX(ROTACAO_RDM!$I$6:$I$71,$J1313))</f>
        <v>46550</v>
      </c>
      <c r="N1313" s="16" t="n">
        <f aca="false">IF($J1313=0,0,MAX(0,$C1313+INT(DIAS_POR_SEMANA/2)-INDEX(ROTACAO_RDM!$I$6:$I$71,$J1313)))</f>
        <v>89</v>
      </c>
      <c r="O1313" s="19" t="n">
        <f aca="false">IF($J1313=0,0,MIN(1,$N1313/MAX(1,INDEX(ROTACAO_RDM!$K$6:$K$71,$J1313))))</f>
        <v>0.55625</v>
      </c>
      <c r="P1313" s="16" t="n">
        <f aca="false">IF($J1313=0,0,IFERROR(MATCH(INDEX(ROTACAO_RDM!$N$6:$N$71,$J1313),PARAMETROS_CULTURAS!$B$6:$B$28,0),0))</f>
        <v>8</v>
      </c>
      <c r="Q1313" s="8" t="str">
        <f aca="false">IF($P1313=0,"-",IF($O1313&lt;=INDEX(PARAMETROS_CULTURAS!$F$6:$F$28,$P1313),"INICIAL",IF($O1313&lt;=INDEX(PARAMETROS_CULTURAS!$F$6:$F$28,$P1313)+INDEX(PARAMETROS_CULTURAS!$G$6:$G$28,$P1313),"DESENVOLVIMENTO",IF($O1313&lt;=INDEX(PARAMETROS_CULTURAS!$F$6:$F$28,$P1313)+INDEX(PARAMETROS_CULTURAS!$G$6:$G$28,$P1313)+INDEX(PARAMETROS_CULTURAS!$H$6:$H$28,$P1313),"MEDIA","FINAL"))))</f>
        <v>MEDIA</v>
      </c>
      <c r="R1313" s="24" t="n">
        <f aca="false">IF($P1313=0,0,IF($O1313&lt;=INDEX(PARAMETROS_CULTURAS!$F$6:$F$28,$P1313),INDEX(PARAMETROS_CULTURAS!$K$6:$K$28,$P1313),IF($O1313&lt;=INDEX(PARAMETROS_CULTURAS!$F$6:$F$28,$P1313)+INDEX(PARAMETROS_CULTURAS!$G$6:$G$28,$P1313),INDEX(PARAMETROS_CULTURAS!$K$6:$K$28,$P1313)+(INDEX(PARAMETROS_CULTURAS!$L$6:$L$28,$P1313)-INDEX(PARAMETROS_CULTURAS!$K$6:$K$28,$P1313))*($O1313-INDEX(PARAMETROS_CULTURAS!$F$6:$F$28,$P1313))/MAX(INDEX(PARAMETROS_CULTURAS!$G$6:$G$28,$P1313),0.0001),IF($O1313&lt;=INDEX(PARAMETROS_CULTURAS!$F$6:$F$28,$P1313)+INDEX(PARAMETROS_CULTURAS!$G$6:$G$28,$P1313)+INDEX(PARAMETROS_CULTURAS!$H$6:$H$28,$P1313),INDEX(PARAMETROS_CULTURAS!$L$6:$L$28,$P1313),INDEX(PARAMETROS_CULTURAS!$L$6:$L$28,$P1313)+(INDEX(PARAMETROS_CULTURAS!$M$6:$M$28,$P1313)-INDEX(PARAMETROS_CULTURAS!$L$6:$L$28,$P1313))*($O1313-INDEX(PARAMETROS_CULTURAS!$F$6:$F$28,$P1313)-INDEX(PARAMETROS_CULTURAS!$G$6:$G$28,$P1313)-INDEX(PARAMETROS_CULTURAS!$H$6:$H$28,$P1313))/MAX(INDEX(PARAMETROS_CULTURAS!$I$6:$I$28,$P1313),0.0001)))))</f>
        <v>1.2</v>
      </c>
      <c r="S1313" s="18" t="n">
        <f aca="false">IFERROR(INDEX(SEMANAS!$H$6:$H$71,MATCH($B1313,SEMANAS!$B$6:$B$71,0)),0)</f>
        <v>40.6</v>
      </c>
      <c r="T1313" s="18" t="n">
        <f aca="false">$R1313*$S1313</f>
        <v>48.72</v>
      </c>
      <c r="U1313" s="18" t="n">
        <f aca="false">IFERROR(INDEX(SEMANAS!$I$6:$I$71,MATCH($B1313,SEMANAS!$B$6:$B$71,0)),0)</f>
        <v>7</v>
      </c>
      <c r="V1313" s="18" t="n">
        <f aca="false">IFERROR(INDEX(SEMANAS!$J$6:$J$71,MATCH($B1313,SEMANAS!$B$6:$B$71,0)),0)</f>
        <v>5.6</v>
      </c>
      <c r="W1313" s="18" t="n">
        <f aca="false">MAX(0,$T1313-$V1313)</f>
        <v>43.12</v>
      </c>
      <c r="X1313" s="19" t="n">
        <f aca="false">IFERROR(INDEX(CADASTRO_PIVOS!$K$6:$K$41,MATCH($E1313,CADASTRO_PIVOS!$B$6:$B$41,0)),EFICIENCIA_PADRAO)</f>
        <v>0.85</v>
      </c>
      <c r="Y1313" s="18" t="n">
        <f aca="false">IF($X1313&lt;=0,0,$W1313/$X1313)</f>
        <v>50.7294117647059</v>
      </c>
      <c r="Z1313" s="16" t="n">
        <f aca="false">$Y1313*$H1313*MM_PARA_M3_HA</f>
        <v>76063.68</v>
      </c>
      <c r="AA1313" s="18" t="n">
        <f aca="false">IFERROR(INDEX(CADASTRO_PIVOS!$I$6:$I$41,MATCH($E1313,CADASTRO_PIVOS!$B$6:$B$41,0)),0)</f>
        <v>1071</v>
      </c>
      <c r="AB1313" s="18" t="n">
        <f aca="false">IF($Z1313&lt;=0,0,$Z1313/$AA1313)</f>
        <v>71.0211764705882</v>
      </c>
      <c r="AC1313" s="16" t="n">
        <f aca="false">IFERROR(INDEX(SEMANAS!$K$6:$K$71,MATCH($B1313,SEMANAS!$B$6:$B$71,0)),0)</f>
        <v>147</v>
      </c>
      <c r="AD1313" s="19" t="n">
        <f aca="false">IF($AC1313&lt;=0,0,$AB1313/$AC1313)</f>
        <v>0.483137254901961</v>
      </c>
      <c r="AE1313" s="8" t="str">
        <f aca="false">IF($K1313="SEM CULTURA","SEM CULTURA",IF($AA1313&lt;=0,"DADO PENDENTE",IF($AD1313&gt;LIMITE_CRITICO,"INVIAVEL",IF($AD1313&gt;LIMITE_ATENCAO,"CRITICO",IF($AD1313&gt;LIMITE_CONFORTAVEL,"ATENCAO","OK")))))</f>
        <v>OK</v>
      </c>
      <c r="AF1313" s="8" t="str">
        <f aca="false">$B1313&amp;"|"&amp;TEXT($AD1313,"0.000000")</f>
        <v>54|0.483137</v>
      </c>
      <c r="AG1313" s="18" t="n">
        <f aca="false">IF($K1313="SEM CULTURA",0,$T1313*$H1313)</f>
        <v>7305.0768</v>
      </c>
      <c r="AH1313" s="18" t="n">
        <f aca="false">IF($K1313="SEM CULTURA",0,$V1313*$H1313)</f>
        <v>839.664</v>
      </c>
      <c r="AI1313" s="18" t="n">
        <f aca="false">IF($K1313="SEM CULTURA",0,$W1313*$H1313)</f>
        <v>6465.4128</v>
      </c>
      <c r="AJ1313" s="18" t="n">
        <f aca="false">IF($K1313="SEM CULTURA",0,$S1313*$H1313)</f>
        <v>6087.564</v>
      </c>
      <c r="AK1313" s="8" t="str">
        <f aca="false">$E1313&amp;"|"&amp;TEXT($AD1313,"0.000000")</f>
        <v>PV 119|0.483137</v>
      </c>
    </row>
    <row r="1314" customFormat="false" ht="15" hidden="false" customHeight="false" outlineLevel="0" collapsed="false">
      <c r="B1314" s="16" t="n">
        <v>55</v>
      </c>
      <c r="C1314" s="17" t="n">
        <f aca="false">DATA_INICIO_SAFRA+($B1314-1)*DIAS_POR_SEMANA</f>
        <v>46643</v>
      </c>
      <c r="D1314" s="17" t="n">
        <f aca="false">$C1314+DIAS_POR_SEMANA-1</f>
        <v>46649</v>
      </c>
      <c r="E1314" s="15" t="s">
        <v>278</v>
      </c>
      <c r="F1314" s="8" t="str">
        <f aca="false">IFERROR(INDEX(CADASTRO_PIVOS!$C$6:$C$41,MATCH($E1314,CADASTRO_PIVOS!$B$6:$B$41,0)),"?")</f>
        <v>RM06</v>
      </c>
      <c r="G1314" s="8" t="str">
        <f aca="false">IFERROR(INDEX(CADASTRO_PIVOS!$D$6:$D$41,MATCH($E1314,CADASTRO_PIVOS!$B$6:$B$41,0)),"?")</f>
        <v>TR06</v>
      </c>
      <c r="H1314" s="20" t="n">
        <f aca="false">IFERROR(INDEX(CADASTRO_PIVOS!$E$6:$E$41,MATCH($E1314,CADASTRO_PIVOS!$B$6:$B$41,0)),0)</f>
        <v>149.94</v>
      </c>
      <c r="I1314" s="16" t="n">
        <f aca="false">IFERROR(SUMIFS(ROTACAO_RDM!$B$6:$B$71,ROTACAO_RDM!$D$6:$D$71,$E1314,ROTACAO_RDM!$I$6:$I$71,"&lt;="&amp;$C1314+INT(DIAS_POR_SEMANA/2),ROTACAO_RDM!$J$6:$J$71,"&gt;="&amp;$C1314+INT(DIAS_POR_SEMANA/2)),0)</f>
        <v>33</v>
      </c>
      <c r="J1314" s="16" t="n">
        <f aca="false">IFERROR(MATCH($I1314,ROTACAO_RDM!$B$6:$B$71,0),0)</f>
        <v>33</v>
      </c>
      <c r="K1314" s="8" t="str">
        <f aca="false">IF($J1314=0,"SEM CULTURA",INDEX(ROTACAO_RDM!$F$6:$F$71,$J1314))</f>
        <v>MILHO_GRAO</v>
      </c>
      <c r="L1314" s="8" t="n">
        <f aca="false">IF($J1314=0,"",INDEX(ROTACAO_RDM!$G$6:$G$71,$J1314))</f>
        <v>0</v>
      </c>
      <c r="M1314" s="17" t="n">
        <f aca="false">IF($J1314=0,"",INDEX(ROTACAO_RDM!$I$6:$I$71,$J1314))</f>
        <v>46550</v>
      </c>
      <c r="N1314" s="16" t="n">
        <f aca="false">IF($J1314=0,0,MAX(0,$C1314+INT(DIAS_POR_SEMANA/2)-INDEX(ROTACAO_RDM!$I$6:$I$71,$J1314)))</f>
        <v>96</v>
      </c>
      <c r="O1314" s="19" t="n">
        <f aca="false">IF($J1314=0,0,MIN(1,$N1314/MAX(1,INDEX(ROTACAO_RDM!$K$6:$K$71,$J1314))))</f>
        <v>0.6</v>
      </c>
      <c r="P1314" s="16" t="n">
        <f aca="false">IF($J1314=0,0,IFERROR(MATCH(INDEX(ROTACAO_RDM!$N$6:$N$71,$J1314),PARAMETROS_CULTURAS!$B$6:$B$28,0),0))</f>
        <v>8</v>
      </c>
      <c r="Q1314" s="8" t="str">
        <f aca="false">IF($P1314=0,"-",IF($O1314&lt;=INDEX(PARAMETROS_CULTURAS!$F$6:$F$28,$P1314),"INICIAL",IF($O1314&lt;=INDEX(PARAMETROS_CULTURAS!$F$6:$F$28,$P1314)+INDEX(PARAMETROS_CULTURAS!$G$6:$G$28,$P1314),"DESENVOLVIMENTO",IF($O1314&lt;=INDEX(PARAMETROS_CULTURAS!$F$6:$F$28,$P1314)+INDEX(PARAMETROS_CULTURAS!$G$6:$G$28,$P1314)+INDEX(PARAMETROS_CULTURAS!$H$6:$H$28,$P1314),"MEDIA","FINAL"))))</f>
        <v>MEDIA</v>
      </c>
      <c r="R1314" s="24" t="n">
        <f aca="false">IF($P1314=0,0,IF($O1314&lt;=INDEX(PARAMETROS_CULTURAS!$F$6:$F$28,$P1314),INDEX(PARAMETROS_CULTURAS!$K$6:$K$28,$P1314),IF($O1314&lt;=INDEX(PARAMETROS_CULTURAS!$F$6:$F$28,$P1314)+INDEX(PARAMETROS_CULTURAS!$G$6:$G$28,$P1314),INDEX(PARAMETROS_CULTURAS!$K$6:$K$28,$P1314)+(INDEX(PARAMETROS_CULTURAS!$L$6:$L$28,$P1314)-INDEX(PARAMETROS_CULTURAS!$K$6:$K$28,$P1314))*($O1314-INDEX(PARAMETROS_CULTURAS!$F$6:$F$28,$P1314))/MAX(INDEX(PARAMETROS_CULTURAS!$G$6:$G$28,$P1314),0.0001),IF($O1314&lt;=INDEX(PARAMETROS_CULTURAS!$F$6:$F$28,$P1314)+INDEX(PARAMETROS_CULTURAS!$G$6:$G$28,$P1314)+INDEX(PARAMETROS_CULTURAS!$H$6:$H$28,$P1314),INDEX(PARAMETROS_CULTURAS!$L$6:$L$28,$P1314),INDEX(PARAMETROS_CULTURAS!$L$6:$L$28,$P1314)+(INDEX(PARAMETROS_CULTURAS!$M$6:$M$28,$P1314)-INDEX(PARAMETROS_CULTURAS!$L$6:$L$28,$P1314))*($O1314-INDEX(PARAMETROS_CULTURAS!$F$6:$F$28,$P1314)-INDEX(PARAMETROS_CULTURAS!$G$6:$G$28,$P1314)-INDEX(PARAMETROS_CULTURAS!$H$6:$H$28,$P1314))/MAX(INDEX(PARAMETROS_CULTURAS!$I$6:$I$28,$P1314),0.0001)))))</f>
        <v>1.2</v>
      </c>
      <c r="S1314" s="18" t="n">
        <f aca="false">IFERROR(INDEX(SEMANAS!$H$6:$H$71,MATCH($B1314,SEMANAS!$B$6:$B$71,0)),0)</f>
        <v>40.6</v>
      </c>
      <c r="T1314" s="18" t="n">
        <f aca="false">$R1314*$S1314</f>
        <v>48.72</v>
      </c>
      <c r="U1314" s="18" t="n">
        <f aca="false">IFERROR(INDEX(SEMANAS!$I$6:$I$71,MATCH($B1314,SEMANAS!$B$6:$B$71,0)),0)</f>
        <v>7</v>
      </c>
      <c r="V1314" s="18" t="n">
        <f aca="false">IFERROR(INDEX(SEMANAS!$J$6:$J$71,MATCH($B1314,SEMANAS!$B$6:$B$71,0)),0)</f>
        <v>5.6</v>
      </c>
      <c r="W1314" s="18" t="n">
        <f aca="false">MAX(0,$T1314-$V1314)</f>
        <v>43.12</v>
      </c>
      <c r="X1314" s="19" t="n">
        <f aca="false">IFERROR(INDEX(CADASTRO_PIVOS!$K$6:$K$41,MATCH($E1314,CADASTRO_PIVOS!$B$6:$B$41,0)),EFICIENCIA_PADRAO)</f>
        <v>0.85</v>
      </c>
      <c r="Y1314" s="18" t="n">
        <f aca="false">IF($X1314&lt;=0,0,$W1314/$X1314)</f>
        <v>50.7294117647059</v>
      </c>
      <c r="Z1314" s="16" t="n">
        <f aca="false">$Y1314*$H1314*MM_PARA_M3_HA</f>
        <v>76063.68</v>
      </c>
      <c r="AA1314" s="18" t="n">
        <f aca="false">IFERROR(INDEX(CADASTRO_PIVOS!$I$6:$I$41,MATCH($E1314,CADASTRO_PIVOS!$B$6:$B$41,0)),0)</f>
        <v>1071</v>
      </c>
      <c r="AB1314" s="18" t="n">
        <f aca="false">IF($Z1314&lt;=0,0,$Z1314/$AA1314)</f>
        <v>71.0211764705882</v>
      </c>
      <c r="AC1314" s="16" t="n">
        <f aca="false">IFERROR(INDEX(SEMANAS!$K$6:$K$71,MATCH($B1314,SEMANAS!$B$6:$B$71,0)),0)</f>
        <v>147</v>
      </c>
      <c r="AD1314" s="19" t="n">
        <f aca="false">IF($AC1314&lt;=0,0,$AB1314/$AC1314)</f>
        <v>0.483137254901961</v>
      </c>
      <c r="AE1314" s="8" t="str">
        <f aca="false">IF($K1314="SEM CULTURA","SEM CULTURA",IF($AA1314&lt;=0,"DADO PENDENTE",IF($AD1314&gt;LIMITE_CRITICO,"INVIAVEL",IF($AD1314&gt;LIMITE_ATENCAO,"CRITICO",IF($AD1314&gt;LIMITE_CONFORTAVEL,"ATENCAO","OK")))))</f>
        <v>OK</v>
      </c>
      <c r="AF1314" s="8" t="str">
        <f aca="false">$B1314&amp;"|"&amp;TEXT($AD1314,"0.000000")</f>
        <v>55|0.483137</v>
      </c>
      <c r="AG1314" s="18" t="n">
        <f aca="false">IF($K1314="SEM CULTURA",0,$T1314*$H1314)</f>
        <v>7305.0768</v>
      </c>
      <c r="AH1314" s="18" t="n">
        <f aca="false">IF($K1314="SEM CULTURA",0,$V1314*$H1314)</f>
        <v>839.664</v>
      </c>
      <c r="AI1314" s="18" t="n">
        <f aca="false">IF($K1314="SEM CULTURA",0,$W1314*$H1314)</f>
        <v>6465.4128</v>
      </c>
      <c r="AJ1314" s="18" t="n">
        <f aca="false">IF($K1314="SEM CULTURA",0,$S1314*$H1314)</f>
        <v>6087.564</v>
      </c>
      <c r="AK1314" s="8" t="str">
        <f aca="false">$E1314&amp;"|"&amp;TEXT($AD1314,"0.000000")</f>
        <v>PV 119|0.483137</v>
      </c>
    </row>
    <row r="1315" customFormat="false" ht="15" hidden="false" customHeight="false" outlineLevel="0" collapsed="false">
      <c r="B1315" s="16" t="n">
        <v>56</v>
      </c>
      <c r="C1315" s="17" t="n">
        <f aca="false">DATA_INICIO_SAFRA+($B1315-1)*DIAS_POR_SEMANA</f>
        <v>46650</v>
      </c>
      <c r="D1315" s="17" t="n">
        <f aca="false">$C1315+DIAS_POR_SEMANA-1</f>
        <v>46656</v>
      </c>
      <c r="E1315" s="15" t="s">
        <v>278</v>
      </c>
      <c r="F1315" s="8" t="str">
        <f aca="false">IFERROR(INDEX(CADASTRO_PIVOS!$C$6:$C$41,MATCH($E1315,CADASTRO_PIVOS!$B$6:$B$41,0)),"?")</f>
        <v>RM06</v>
      </c>
      <c r="G1315" s="8" t="str">
        <f aca="false">IFERROR(INDEX(CADASTRO_PIVOS!$D$6:$D$41,MATCH($E1315,CADASTRO_PIVOS!$B$6:$B$41,0)),"?")</f>
        <v>TR06</v>
      </c>
      <c r="H1315" s="20" t="n">
        <f aca="false">IFERROR(INDEX(CADASTRO_PIVOS!$E$6:$E$41,MATCH($E1315,CADASTRO_PIVOS!$B$6:$B$41,0)),0)</f>
        <v>149.94</v>
      </c>
      <c r="I1315" s="16" t="n">
        <f aca="false">IFERROR(SUMIFS(ROTACAO_RDM!$B$6:$B$71,ROTACAO_RDM!$D$6:$D$71,$E1315,ROTACAO_RDM!$I$6:$I$71,"&lt;="&amp;$C1315+INT(DIAS_POR_SEMANA/2),ROTACAO_RDM!$J$6:$J$71,"&gt;="&amp;$C1315+INT(DIAS_POR_SEMANA/2)),0)</f>
        <v>33</v>
      </c>
      <c r="J1315" s="16" t="n">
        <f aca="false">IFERROR(MATCH($I1315,ROTACAO_RDM!$B$6:$B$71,0),0)</f>
        <v>33</v>
      </c>
      <c r="K1315" s="8" t="str">
        <f aca="false">IF($J1315=0,"SEM CULTURA",INDEX(ROTACAO_RDM!$F$6:$F$71,$J1315))</f>
        <v>MILHO_GRAO</v>
      </c>
      <c r="L1315" s="8" t="n">
        <f aca="false">IF($J1315=0,"",INDEX(ROTACAO_RDM!$G$6:$G$71,$J1315))</f>
        <v>0</v>
      </c>
      <c r="M1315" s="17" t="n">
        <f aca="false">IF($J1315=0,"",INDEX(ROTACAO_RDM!$I$6:$I$71,$J1315))</f>
        <v>46550</v>
      </c>
      <c r="N1315" s="16" t="n">
        <f aca="false">IF($J1315=0,0,MAX(0,$C1315+INT(DIAS_POR_SEMANA/2)-INDEX(ROTACAO_RDM!$I$6:$I$71,$J1315)))</f>
        <v>103</v>
      </c>
      <c r="O1315" s="19" t="n">
        <f aca="false">IF($J1315=0,0,MIN(1,$N1315/MAX(1,INDEX(ROTACAO_RDM!$K$6:$K$71,$J1315))))</f>
        <v>0.64375</v>
      </c>
      <c r="P1315" s="16" t="n">
        <f aca="false">IF($J1315=0,0,IFERROR(MATCH(INDEX(ROTACAO_RDM!$N$6:$N$71,$J1315),PARAMETROS_CULTURAS!$B$6:$B$28,0),0))</f>
        <v>8</v>
      </c>
      <c r="Q1315" s="8" t="str">
        <f aca="false">IF($P1315=0,"-",IF($O1315&lt;=INDEX(PARAMETROS_CULTURAS!$F$6:$F$28,$P1315),"INICIAL",IF($O1315&lt;=INDEX(PARAMETROS_CULTURAS!$F$6:$F$28,$P1315)+INDEX(PARAMETROS_CULTURAS!$G$6:$G$28,$P1315),"DESENVOLVIMENTO",IF($O1315&lt;=INDEX(PARAMETROS_CULTURAS!$F$6:$F$28,$P1315)+INDEX(PARAMETROS_CULTURAS!$G$6:$G$28,$P1315)+INDEX(PARAMETROS_CULTURAS!$H$6:$H$28,$P1315),"MEDIA","FINAL"))))</f>
        <v>MEDIA</v>
      </c>
      <c r="R1315" s="24" t="n">
        <f aca="false">IF($P1315=0,0,IF($O1315&lt;=INDEX(PARAMETROS_CULTURAS!$F$6:$F$28,$P1315),INDEX(PARAMETROS_CULTURAS!$K$6:$K$28,$P1315),IF($O1315&lt;=INDEX(PARAMETROS_CULTURAS!$F$6:$F$28,$P1315)+INDEX(PARAMETROS_CULTURAS!$G$6:$G$28,$P1315),INDEX(PARAMETROS_CULTURAS!$K$6:$K$28,$P1315)+(INDEX(PARAMETROS_CULTURAS!$L$6:$L$28,$P1315)-INDEX(PARAMETROS_CULTURAS!$K$6:$K$28,$P1315))*($O1315-INDEX(PARAMETROS_CULTURAS!$F$6:$F$28,$P1315))/MAX(INDEX(PARAMETROS_CULTURAS!$G$6:$G$28,$P1315),0.0001),IF($O1315&lt;=INDEX(PARAMETROS_CULTURAS!$F$6:$F$28,$P1315)+INDEX(PARAMETROS_CULTURAS!$G$6:$G$28,$P1315)+INDEX(PARAMETROS_CULTURAS!$H$6:$H$28,$P1315),INDEX(PARAMETROS_CULTURAS!$L$6:$L$28,$P1315),INDEX(PARAMETROS_CULTURAS!$L$6:$L$28,$P1315)+(INDEX(PARAMETROS_CULTURAS!$M$6:$M$28,$P1315)-INDEX(PARAMETROS_CULTURAS!$L$6:$L$28,$P1315))*($O1315-INDEX(PARAMETROS_CULTURAS!$F$6:$F$28,$P1315)-INDEX(PARAMETROS_CULTURAS!$G$6:$G$28,$P1315)-INDEX(PARAMETROS_CULTURAS!$H$6:$H$28,$P1315))/MAX(INDEX(PARAMETROS_CULTURAS!$I$6:$I$28,$P1315),0.0001)))))</f>
        <v>1.2</v>
      </c>
      <c r="S1315" s="18" t="n">
        <f aca="false">IFERROR(INDEX(SEMANAS!$H$6:$H$71,MATCH($B1315,SEMANAS!$B$6:$B$71,0)),0)</f>
        <v>40.6</v>
      </c>
      <c r="T1315" s="18" t="n">
        <f aca="false">$R1315*$S1315</f>
        <v>48.72</v>
      </c>
      <c r="U1315" s="18" t="n">
        <f aca="false">IFERROR(INDEX(SEMANAS!$I$6:$I$71,MATCH($B1315,SEMANAS!$B$6:$B$71,0)),0)</f>
        <v>7</v>
      </c>
      <c r="V1315" s="18" t="n">
        <f aca="false">IFERROR(INDEX(SEMANAS!$J$6:$J$71,MATCH($B1315,SEMANAS!$B$6:$B$71,0)),0)</f>
        <v>5.6</v>
      </c>
      <c r="W1315" s="18" t="n">
        <f aca="false">MAX(0,$T1315-$V1315)</f>
        <v>43.12</v>
      </c>
      <c r="X1315" s="19" t="n">
        <f aca="false">IFERROR(INDEX(CADASTRO_PIVOS!$K$6:$K$41,MATCH($E1315,CADASTRO_PIVOS!$B$6:$B$41,0)),EFICIENCIA_PADRAO)</f>
        <v>0.85</v>
      </c>
      <c r="Y1315" s="18" t="n">
        <f aca="false">IF($X1315&lt;=0,0,$W1315/$X1315)</f>
        <v>50.7294117647059</v>
      </c>
      <c r="Z1315" s="16" t="n">
        <f aca="false">$Y1315*$H1315*MM_PARA_M3_HA</f>
        <v>76063.68</v>
      </c>
      <c r="AA1315" s="18" t="n">
        <f aca="false">IFERROR(INDEX(CADASTRO_PIVOS!$I$6:$I$41,MATCH($E1315,CADASTRO_PIVOS!$B$6:$B$41,0)),0)</f>
        <v>1071</v>
      </c>
      <c r="AB1315" s="18" t="n">
        <f aca="false">IF($Z1315&lt;=0,0,$Z1315/$AA1315)</f>
        <v>71.0211764705882</v>
      </c>
      <c r="AC1315" s="16" t="n">
        <f aca="false">IFERROR(INDEX(SEMANAS!$K$6:$K$71,MATCH($B1315,SEMANAS!$B$6:$B$71,0)),0)</f>
        <v>147</v>
      </c>
      <c r="AD1315" s="19" t="n">
        <f aca="false">IF($AC1315&lt;=0,0,$AB1315/$AC1315)</f>
        <v>0.483137254901961</v>
      </c>
      <c r="AE1315" s="8" t="str">
        <f aca="false">IF($K1315="SEM CULTURA","SEM CULTURA",IF($AA1315&lt;=0,"DADO PENDENTE",IF($AD1315&gt;LIMITE_CRITICO,"INVIAVEL",IF($AD1315&gt;LIMITE_ATENCAO,"CRITICO",IF($AD1315&gt;LIMITE_CONFORTAVEL,"ATENCAO","OK")))))</f>
        <v>OK</v>
      </c>
      <c r="AF1315" s="8" t="str">
        <f aca="false">$B1315&amp;"|"&amp;TEXT($AD1315,"0.000000")</f>
        <v>56|0.483137</v>
      </c>
      <c r="AG1315" s="18" t="n">
        <f aca="false">IF($K1315="SEM CULTURA",0,$T1315*$H1315)</f>
        <v>7305.0768</v>
      </c>
      <c r="AH1315" s="18" t="n">
        <f aca="false">IF($K1315="SEM CULTURA",0,$V1315*$H1315)</f>
        <v>839.664</v>
      </c>
      <c r="AI1315" s="18" t="n">
        <f aca="false">IF($K1315="SEM CULTURA",0,$W1315*$H1315)</f>
        <v>6465.4128</v>
      </c>
      <c r="AJ1315" s="18" t="n">
        <f aca="false">IF($K1315="SEM CULTURA",0,$S1315*$H1315)</f>
        <v>6087.564</v>
      </c>
      <c r="AK1315" s="8" t="str">
        <f aca="false">$E1315&amp;"|"&amp;TEXT($AD1315,"0.000000")</f>
        <v>PV 119|0.483137</v>
      </c>
    </row>
    <row r="1316" customFormat="false" ht="15" hidden="false" customHeight="false" outlineLevel="0" collapsed="false">
      <c r="B1316" s="16" t="n">
        <v>57</v>
      </c>
      <c r="C1316" s="17" t="n">
        <f aca="false">DATA_INICIO_SAFRA+($B1316-1)*DIAS_POR_SEMANA</f>
        <v>46657</v>
      </c>
      <c r="D1316" s="17" t="n">
        <f aca="false">$C1316+DIAS_POR_SEMANA-1</f>
        <v>46663</v>
      </c>
      <c r="E1316" s="15" t="s">
        <v>278</v>
      </c>
      <c r="F1316" s="8" t="str">
        <f aca="false">IFERROR(INDEX(CADASTRO_PIVOS!$C$6:$C$41,MATCH($E1316,CADASTRO_PIVOS!$B$6:$B$41,0)),"?")</f>
        <v>RM06</v>
      </c>
      <c r="G1316" s="8" t="str">
        <f aca="false">IFERROR(INDEX(CADASTRO_PIVOS!$D$6:$D$41,MATCH($E1316,CADASTRO_PIVOS!$B$6:$B$41,0)),"?")</f>
        <v>TR06</v>
      </c>
      <c r="H1316" s="20" t="n">
        <f aca="false">IFERROR(INDEX(CADASTRO_PIVOS!$E$6:$E$41,MATCH($E1316,CADASTRO_PIVOS!$B$6:$B$41,0)),0)</f>
        <v>149.94</v>
      </c>
      <c r="I1316" s="16" t="n">
        <f aca="false">IFERROR(SUMIFS(ROTACAO_RDM!$B$6:$B$71,ROTACAO_RDM!$D$6:$D$71,$E1316,ROTACAO_RDM!$I$6:$I$71,"&lt;="&amp;$C1316+INT(DIAS_POR_SEMANA/2),ROTACAO_RDM!$J$6:$J$71,"&gt;="&amp;$C1316+INT(DIAS_POR_SEMANA/2)),0)</f>
        <v>33</v>
      </c>
      <c r="J1316" s="16" t="n">
        <f aca="false">IFERROR(MATCH($I1316,ROTACAO_RDM!$B$6:$B$71,0),0)</f>
        <v>33</v>
      </c>
      <c r="K1316" s="8" t="str">
        <f aca="false">IF($J1316=0,"SEM CULTURA",INDEX(ROTACAO_RDM!$F$6:$F$71,$J1316))</f>
        <v>MILHO_GRAO</v>
      </c>
      <c r="L1316" s="8" t="n">
        <f aca="false">IF($J1316=0,"",INDEX(ROTACAO_RDM!$G$6:$G$71,$J1316))</f>
        <v>0</v>
      </c>
      <c r="M1316" s="17" t="n">
        <f aca="false">IF($J1316=0,"",INDEX(ROTACAO_RDM!$I$6:$I$71,$J1316))</f>
        <v>46550</v>
      </c>
      <c r="N1316" s="16" t="n">
        <f aca="false">IF($J1316=0,0,MAX(0,$C1316+INT(DIAS_POR_SEMANA/2)-INDEX(ROTACAO_RDM!$I$6:$I$71,$J1316)))</f>
        <v>110</v>
      </c>
      <c r="O1316" s="19" t="n">
        <f aca="false">IF($J1316=0,0,MIN(1,$N1316/MAX(1,INDEX(ROTACAO_RDM!$K$6:$K$71,$J1316))))</f>
        <v>0.6875</v>
      </c>
      <c r="P1316" s="16" t="n">
        <f aca="false">IF($J1316=0,0,IFERROR(MATCH(INDEX(ROTACAO_RDM!$N$6:$N$71,$J1316),PARAMETROS_CULTURAS!$B$6:$B$28,0),0))</f>
        <v>8</v>
      </c>
      <c r="Q1316" s="8" t="str">
        <f aca="false">IF($P1316=0,"-",IF($O1316&lt;=INDEX(PARAMETROS_CULTURAS!$F$6:$F$28,$P1316),"INICIAL",IF($O1316&lt;=INDEX(PARAMETROS_CULTURAS!$F$6:$F$28,$P1316)+INDEX(PARAMETROS_CULTURAS!$G$6:$G$28,$P1316),"DESENVOLVIMENTO",IF($O1316&lt;=INDEX(PARAMETROS_CULTURAS!$F$6:$F$28,$P1316)+INDEX(PARAMETROS_CULTURAS!$G$6:$G$28,$P1316)+INDEX(PARAMETROS_CULTURAS!$H$6:$H$28,$P1316),"MEDIA","FINAL"))))</f>
        <v>MEDIA</v>
      </c>
      <c r="R1316" s="24" t="n">
        <f aca="false">IF($P1316=0,0,IF($O1316&lt;=INDEX(PARAMETROS_CULTURAS!$F$6:$F$28,$P1316),INDEX(PARAMETROS_CULTURAS!$K$6:$K$28,$P1316),IF($O1316&lt;=INDEX(PARAMETROS_CULTURAS!$F$6:$F$28,$P1316)+INDEX(PARAMETROS_CULTURAS!$G$6:$G$28,$P1316),INDEX(PARAMETROS_CULTURAS!$K$6:$K$28,$P1316)+(INDEX(PARAMETROS_CULTURAS!$L$6:$L$28,$P1316)-INDEX(PARAMETROS_CULTURAS!$K$6:$K$28,$P1316))*($O1316-INDEX(PARAMETROS_CULTURAS!$F$6:$F$28,$P1316))/MAX(INDEX(PARAMETROS_CULTURAS!$G$6:$G$28,$P1316),0.0001),IF($O1316&lt;=INDEX(PARAMETROS_CULTURAS!$F$6:$F$28,$P1316)+INDEX(PARAMETROS_CULTURAS!$G$6:$G$28,$P1316)+INDEX(PARAMETROS_CULTURAS!$H$6:$H$28,$P1316),INDEX(PARAMETROS_CULTURAS!$L$6:$L$28,$P1316),INDEX(PARAMETROS_CULTURAS!$L$6:$L$28,$P1316)+(INDEX(PARAMETROS_CULTURAS!$M$6:$M$28,$P1316)-INDEX(PARAMETROS_CULTURAS!$L$6:$L$28,$P1316))*($O1316-INDEX(PARAMETROS_CULTURAS!$F$6:$F$28,$P1316)-INDEX(PARAMETROS_CULTURAS!$G$6:$G$28,$P1316)-INDEX(PARAMETROS_CULTURAS!$H$6:$H$28,$P1316))/MAX(INDEX(PARAMETROS_CULTURAS!$I$6:$I$28,$P1316),0.0001)))))</f>
        <v>1.2</v>
      </c>
      <c r="S1316" s="18" t="n">
        <f aca="false">IFERROR(INDEX(SEMANAS!$H$6:$H$71,MATCH($B1316,SEMANAS!$B$6:$B$71,0)),0)</f>
        <v>40</v>
      </c>
      <c r="T1316" s="18" t="n">
        <f aca="false">$R1316*$S1316</f>
        <v>48</v>
      </c>
      <c r="U1316" s="18" t="n">
        <f aca="false">IFERROR(INDEX(SEMANAS!$I$6:$I$71,MATCH($B1316,SEMANAS!$B$6:$B$71,0)),0)</f>
        <v>15.61</v>
      </c>
      <c r="V1316" s="18" t="n">
        <f aca="false">IFERROR(INDEX(SEMANAS!$J$6:$J$71,MATCH($B1316,SEMANAS!$B$6:$B$71,0)),0)</f>
        <v>12.488</v>
      </c>
      <c r="W1316" s="18" t="n">
        <f aca="false">MAX(0,$T1316-$V1316)</f>
        <v>35.512</v>
      </c>
      <c r="X1316" s="19" t="n">
        <f aca="false">IFERROR(INDEX(CADASTRO_PIVOS!$K$6:$K$41,MATCH($E1316,CADASTRO_PIVOS!$B$6:$B$41,0)),EFICIENCIA_PADRAO)</f>
        <v>0.85</v>
      </c>
      <c r="Y1316" s="18" t="n">
        <f aca="false">IF($X1316&lt;=0,0,$W1316/$X1316)</f>
        <v>41.7788235294118</v>
      </c>
      <c r="Z1316" s="16" t="n">
        <f aca="false">$Y1316*$H1316*MM_PARA_M3_HA</f>
        <v>62643.168</v>
      </c>
      <c r="AA1316" s="18" t="n">
        <f aca="false">IFERROR(INDEX(CADASTRO_PIVOS!$I$6:$I$41,MATCH($E1316,CADASTRO_PIVOS!$B$6:$B$41,0)),0)</f>
        <v>1071</v>
      </c>
      <c r="AB1316" s="18" t="n">
        <f aca="false">IF($Z1316&lt;=0,0,$Z1316/$AA1316)</f>
        <v>58.4903529411765</v>
      </c>
      <c r="AC1316" s="16" t="n">
        <f aca="false">IFERROR(INDEX(SEMANAS!$K$6:$K$71,MATCH($B1316,SEMANAS!$B$6:$B$71,0)),0)</f>
        <v>147</v>
      </c>
      <c r="AD1316" s="19" t="n">
        <f aca="false">IF($AC1316&lt;=0,0,$AB1316/$AC1316)</f>
        <v>0.397893557422969</v>
      </c>
      <c r="AE1316" s="8" t="str">
        <f aca="false">IF($K1316="SEM CULTURA","SEM CULTURA",IF($AA1316&lt;=0,"DADO PENDENTE",IF($AD1316&gt;LIMITE_CRITICO,"INVIAVEL",IF($AD1316&gt;LIMITE_ATENCAO,"CRITICO",IF($AD1316&gt;LIMITE_CONFORTAVEL,"ATENCAO","OK")))))</f>
        <v>OK</v>
      </c>
      <c r="AF1316" s="8" t="str">
        <f aca="false">$B1316&amp;"|"&amp;TEXT($AD1316,"0.000000")</f>
        <v>57|0.397894</v>
      </c>
      <c r="AG1316" s="18" t="n">
        <f aca="false">IF($K1316="SEM CULTURA",0,$T1316*$H1316)</f>
        <v>7197.12</v>
      </c>
      <c r="AH1316" s="18" t="n">
        <f aca="false">IF($K1316="SEM CULTURA",0,$V1316*$H1316)</f>
        <v>1872.45072</v>
      </c>
      <c r="AI1316" s="18" t="n">
        <f aca="false">IF($K1316="SEM CULTURA",0,$W1316*$H1316)</f>
        <v>5324.66928</v>
      </c>
      <c r="AJ1316" s="18" t="n">
        <f aca="false">IF($K1316="SEM CULTURA",0,$S1316*$H1316)</f>
        <v>5997.6</v>
      </c>
      <c r="AK1316" s="8" t="str">
        <f aca="false">$E1316&amp;"|"&amp;TEXT($AD1316,"0.000000")</f>
        <v>PV 119|0.397894</v>
      </c>
    </row>
    <row r="1317" customFormat="false" ht="15" hidden="false" customHeight="false" outlineLevel="0" collapsed="false">
      <c r="B1317" s="16" t="n">
        <v>58</v>
      </c>
      <c r="C1317" s="17" t="n">
        <f aca="false">DATA_INICIO_SAFRA+($B1317-1)*DIAS_POR_SEMANA</f>
        <v>46664</v>
      </c>
      <c r="D1317" s="17" t="n">
        <f aca="false">$C1317+DIAS_POR_SEMANA-1</f>
        <v>46670</v>
      </c>
      <c r="E1317" s="15" t="s">
        <v>278</v>
      </c>
      <c r="F1317" s="8" t="str">
        <f aca="false">IFERROR(INDEX(CADASTRO_PIVOS!$C$6:$C$41,MATCH($E1317,CADASTRO_PIVOS!$B$6:$B$41,0)),"?")</f>
        <v>RM06</v>
      </c>
      <c r="G1317" s="8" t="str">
        <f aca="false">IFERROR(INDEX(CADASTRO_PIVOS!$D$6:$D$41,MATCH($E1317,CADASTRO_PIVOS!$B$6:$B$41,0)),"?")</f>
        <v>TR06</v>
      </c>
      <c r="H1317" s="20" t="n">
        <f aca="false">IFERROR(INDEX(CADASTRO_PIVOS!$E$6:$E$41,MATCH($E1317,CADASTRO_PIVOS!$B$6:$B$41,0)),0)</f>
        <v>149.94</v>
      </c>
      <c r="I1317" s="16" t="n">
        <f aca="false">IFERROR(SUMIFS(ROTACAO_RDM!$B$6:$B$71,ROTACAO_RDM!$D$6:$D$71,$E1317,ROTACAO_RDM!$I$6:$I$71,"&lt;="&amp;$C1317+INT(DIAS_POR_SEMANA/2),ROTACAO_RDM!$J$6:$J$71,"&gt;="&amp;$C1317+INT(DIAS_POR_SEMANA/2)),0)</f>
        <v>33</v>
      </c>
      <c r="J1317" s="16" t="n">
        <f aca="false">IFERROR(MATCH($I1317,ROTACAO_RDM!$B$6:$B$71,0),0)</f>
        <v>33</v>
      </c>
      <c r="K1317" s="8" t="str">
        <f aca="false">IF($J1317=0,"SEM CULTURA",INDEX(ROTACAO_RDM!$F$6:$F$71,$J1317))</f>
        <v>MILHO_GRAO</v>
      </c>
      <c r="L1317" s="8" t="n">
        <f aca="false">IF($J1317=0,"",INDEX(ROTACAO_RDM!$G$6:$G$71,$J1317))</f>
        <v>0</v>
      </c>
      <c r="M1317" s="17" t="n">
        <f aca="false">IF($J1317=0,"",INDEX(ROTACAO_RDM!$I$6:$I$71,$J1317))</f>
        <v>46550</v>
      </c>
      <c r="N1317" s="16" t="n">
        <f aca="false">IF($J1317=0,0,MAX(0,$C1317+INT(DIAS_POR_SEMANA/2)-INDEX(ROTACAO_RDM!$I$6:$I$71,$J1317)))</f>
        <v>117</v>
      </c>
      <c r="O1317" s="19" t="n">
        <f aca="false">IF($J1317=0,0,MIN(1,$N1317/MAX(1,INDEX(ROTACAO_RDM!$K$6:$K$71,$J1317))))</f>
        <v>0.73125</v>
      </c>
      <c r="P1317" s="16" t="n">
        <f aca="false">IF($J1317=0,0,IFERROR(MATCH(INDEX(ROTACAO_RDM!$N$6:$N$71,$J1317),PARAMETROS_CULTURAS!$B$6:$B$28,0),0))</f>
        <v>8</v>
      </c>
      <c r="Q1317" s="8" t="str">
        <f aca="false">IF($P1317=0,"-",IF($O1317&lt;=INDEX(PARAMETROS_CULTURAS!$F$6:$F$28,$P1317),"INICIAL",IF($O1317&lt;=INDEX(PARAMETROS_CULTURAS!$F$6:$F$28,$P1317)+INDEX(PARAMETROS_CULTURAS!$G$6:$G$28,$P1317),"DESENVOLVIMENTO",IF($O1317&lt;=INDEX(PARAMETROS_CULTURAS!$F$6:$F$28,$P1317)+INDEX(PARAMETROS_CULTURAS!$G$6:$G$28,$P1317)+INDEX(PARAMETROS_CULTURAS!$H$6:$H$28,$P1317),"MEDIA","FINAL"))))</f>
        <v>MEDIA</v>
      </c>
      <c r="R1317" s="24" t="n">
        <f aca="false">IF($P1317=0,0,IF($O1317&lt;=INDEX(PARAMETROS_CULTURAS!$F$6:$F$28,$P1317),INDEX(PARAMETROS_CULTURAS!$K$6:$K$28,$P1317),IF($O1317&lt;=INDEX(PARAMETROS_CULTURAS!$F$6:$F$28,$P1317)+INDEX(PARAMETROS_CULTURAS!$G$6:$G$28,$P1317),INDEX(PARAMETROS_CULTURAS!$K$6:$K$28,$P1317)+(INDEX(PARAMETROS_CULTURAS!$L$6:$L$28,$P1317)-INDEX(PARAMETROS_CULTURAS!$K$6:$K$28,$P1317))*($O1317-INDEX(PARAMETROS_CULTURAS!$F$6:$F$28,$P1317))/MAX(INDEX(PARAMETROS_CULTURAS!$G$6:$G$28,$P1317),0.0001),IF($O1317&lt;=INDEX(PARAMETROS_CULTURAS!$F$6:$F$28,$P1317)+INDEX(PARAMETROS_CULTURAS!$G$6:$G$28,$P1317)+INDEX(PARAMETROS_CULTURAS!$H$6:$H$28,$P1317),INDEX(PARAMETROS_CULTURAS!$L$6:$L$28,$P1317),INDEX(PARAMETROS_CULTURAS!$L$6:$L$28,$P1317)+(INDEX(PARAMETROS_CULTURAS!$M$6:$M$28,$P1317)-INDEX(PARAMETROS_CULTURAS!$L$6:$L$28,$P1317))*($O1317-INDEX(PARAMETROS_CULTURAS!$F$6:$F$28,$P1317)-INDEX(PARAMETROS_CULTURAS!$G$6:$G$28,$P1317)-INDEX(PARAMETROS_CULTURAS!$H$6:$H$28,$P1317))/MAX(INDEX(PARAMETROS_CULTURAS!$I$6:$I$28,$P1317),0.0001)))))</f>
        <v>1.2</v>
      </c>
      <c r="S1317" s="18" t="n">
        <f aca="false">IFERROR(INDEX(SEMANAS!$H$6:$H$71,MATCH($B1317,SEMANAS!$B$6:$B$71,0)),0)</f>
        <v>39.2</v>
      </c>
      <c r="T1317" s="18" t="n">
        <f aca="false">$R1317*$S1317</f>
        <v>47.04</v>
      </c>
      <c r="U1317" s="18" t="n">
        <f aca="false">IFERROR(INDEX(SEMANAS!$I$6:$I$71,MATCH($B1317,SEMANAS!$B$6:$B$71,0)),0)</f>
        <v>27.09</v>
      </c>
      <c r="V1317" s="18" t="n">
        <f aca="false">IFERROR(INDEX(SEMANAS!$J$6:$J$71,MATCH($B1317,SEMANAS!$B$6:$B$71,0)),0)</f>
        <v>21.672</v>
      </c>
      <c r="W1317" s="18" t="n">
        <f aca="false">MAX(0,$T1317-$V1317)</f>
        <v>25.368</v>
      </c>
      <c r="X1317" s="19" t="n">
        <f aca="false">IFERROR(INDEX(CADASTRO_PIVOS!$K$6:$K$41,MATCH($E1317,CADASTRO_PIVOS!$B$6:$B$41,0)),EFICIENCIA_PADRAO)</f>
        <v>0.85</v>
      </c>
      <c r="Y1317" s="18" t="n">
        <f aca="false">IF($X1317&lt;=0,0,$W1317/$X1317)</f>
        <v>29.8447058823529</v>
      </c>
      <c r="Z1317" s="16" t="n">
        <f aca="false">$Y1317*$H1317*MM_PARA_M3_HA</f>
        <v>44749.152</v>
      </c>
      <c r="AA1317" s="18" t="n">
        <f aca="false">IFERROR(INDEX(CADASTRO_PIVOS!$I$6:$I$41,MATCH($E1317,CADASTRO_PIVOS!$B$6:$B$41,0)),0)</f>
        <v>1071</v>
      </c>
      <c r="AB1317" s="18" t="n">
        <f aca="false">IF($Z1317&lt;=0,0,$Z1317/$AA1317)</f>
        <v>41.7825882352941</v>
      </c>
      <c r="AC1317" s="16" t="n">
        <f aca="false">IFERROR(INDEX(SEMANAS!$K$6:$K$71,MATCH($B1317,SEMANAS!$B$6:$B$71,0)),0)</f>
        <v>147</v>
      </c>
      <c r="AD1317" s="19" t="n">
        <f aca="false">IF($AC1317&lt;=0,0,$AB1317/$AC1317)</f>
        <v>0.284235294117647</v>
      </c>
      <c r="AE1317" s="8" t="str">
        <f aca="false">IF($K1317="SEM CULTURA","SEM CULTURA",IF($AA1317&lt;=0,"DADO PENDENTE",IF($AD1317&gt;LIMITE_CRITICO,"INVIAVEL",IF($AD1317&gt;LIMITE_ATENCAO,"CRITICO",IF($AD1317&gt;LIMITE_CONFORTAVEL,"ATENCAO","OK")))))</f>
        <v>OK</v>
      </c>
      <c r="AF1317" s="8" t="str">
        <f aca="false">$B1317&amp;"|"&amp;TEXT($AD1317,"0.000000")</f>
        <v>58|0.284235</v>
      </c>
      <c r="AG1317" s="18" t="n">
        <f aca="false">IF($K1317="SEM CULTURA",0,$T1317*$H1317)</f>
        <v>7053.1776</v>
      </c>
      <c r="AH1317" s="18" t="n">
        <f aca="false">IF($K1317="SEM CULTURA",0,$V1317*$H1317)</f>
        <v>3249.49968</v>
      </c>
      <c r="AI1317" s="18" t="n">
        <f aca="false">IF($K1317="SEM CULTURA",0,$W1317*$H1317)</f>
        <v>3803.67792</v>
      </c>
      <c r="AJ1317" s="18" t="n">
        <f aca="false">IF($K1317="SEM CULTURA",0,$S1317*$H1317)</f>
        <v>5877.648</v>
      </c>
      <c r="AK1317" s="8" t="str">
        <f aca="false">$E1317&amp;"|"&amp;TEXT($AD1317,"0.000000")</f>
        <v>PV 119|0.284235</v>
      </c>
    </row>
    <row r="1318" customFormat="false" ht="15" hidden="false" customHeight="false" outlineLevel="0" collapsed="false">
      <c r="B1318" s="16" t="n">
        <v>59</v>
      </c>
      <c r="C1318" s="17" t="n">
        <f aca="false">DATA_INICIO_SAFRA+($B1318-1)*DIAS_POR_SEMANA</f>
        <v>46671</v>
      </c>
      <c r="D1318" s="17" t="n">
        <f aca="false">$C1318+DIAS_POR_SEMANA-1</f>
        <v>46677</v>
      </c>
      <c r="E1318" s="15" t="s">
        <v>278</v>
      </c>
      <c r="F1318" s="8" t="str">
        <f aca="false">IFERROR(INDEX(CADASTRO_PIVOS!$C$6:$C$41,MATCH($E1318,CADASTRO_PIVOS!$B$6:$B$41,0)),"?")</f>
        <v>RM06</v>
      </c>
      <c r="G1318" s="8" t="str">
        <f aca="false">IFERROR(INDEX(CADASTRO_PIVOS!$D$6:$D$41,MATCH($E1318,CADASTRO_PIVOS!$B$6:$B$41,0)),"?")</f>
        <v>TR06</v>
      </c>
      <c r="H1318" s="20" t="n">
        <f aca="false">IFERROR(INDEX(CADASTRO_PIVOS!$E$6:$E$41,MATCH($E1318,CADASTRO_PIVOS!$B$6:$B$41,0)),0)</f>
        <v>149.94</v>
      </c>
      <c r="I1318" s="16" t="n">
        <f aca="false">IFERROR(SUMIFS(ROTACAO_RDM!$B$6:$B$71,ROTACAO_RDM!$D$6:$D$71,$E1318,ROTACAO_RDM!$I$6:$I$71,"&lt;="&amp;$C1318+INT(DIAS_POR_SEMANA/2),ROTACAO_RDM!$J$6:$J$71,"&gt;="&amp;$C1318+INT(DIAS_POR_SEMANA/2)),0)</f>
        <v>33</v>
      </c>
      <c r="J1318" s="16" t="n">
        <f aca="false">IFERROR(MATCH($I1318,ROTACAO_RDM!$B$6:$B$71,0),0)</f>
        <v>33</v>
      </c>
      <c r="K1318" s="8" t="str">
        <f aca="false">IF($J1318=0,"SEM CULTURA",INDEX(ROTACAO_RDM!$F$6:$F$71,$J1318))</f>
        <v>MILHO_GRAO</v>
      </c>
      <c r="L1318" s="8" t="n">
        <f aca="false">IF($J1318=0,"",INDEX(ROTACAO_RDM!$G$6:$G$71,$J1318))</f>
        <v>0</v>
      </c>
      <c r="M1318" s="17" t="n">
        <f aca="false">IF($J1318=0,"",INDEX(ROTACAO_RDM!$I$6:$I$71,$J1318))</f>
        <v>46550</v>
      </c>
      <c r="N1318" s="16" t="n">
        <f aca="false">IF($J1318=0,0,MAX(0,$C1318+INT(DIAS_POR_SEMANA/2)-INDEX(ROTACAO_RDM!$I$6:$I$71,$J1318)))</f>
        <v>124</v>
      </c>
      <c r="O1318" s="19" t="n">
        <f aca="false">IF($J1318=0,0,MIN(1,$N1318/MAX(1,INDEX(ROTACAO_RDM!$K$6:$K$71,$J1318))))</f>
        <v>0.775</v>
      </c>
      <c r="P1318" s="16" t="n">
        <f aca="false">IF($J1318=0,0,IFERROR(MATCH(INDEX(ROTACAO_RDM!$N$6:$N$71,$J1318),PARAMETROS_CULTURAS!$B$6:$B$28,0),0))</f>
        <v>8</v>
      </c>
      <c r="Q1318" s="8" t="str">
        <f aca="false">IF($P1318=0,"-",IF($O1318&lt;=INDEX(PARAMETROS_CULTURAS!$F$6:$F$28,$P1318),"INICIAL",IF($O1318&lt;=INDEX(PARAMETROS_CULTURAS!$F$6:$F$28,$P1318)+INDEX(PARAMETROS_CULTURAS!$G$6:$G$28,$P1318),"DESENVOLVIMENTO",IF($O1318&lt;=INDEX(PARAMETROS_CULTURAS!$F$6:$F$28,$P1318)+INDEX(PARAMETROS_CULTURAS!$G$6:$G$28,$P1318)+INDEX(PARAMETROS_CULTURAS!$H$6:$H$28,$P1318),"MEDIA","FINAL"))))</f>
        <v>FINAL</v>
      </c>
      <c r="R1318" s="24" t="n">
        <f aca="false">IF($P1318=0,0,IF($O1318&lt;=INDEX(PARAMETROS_CULTURAS!$F$6:$F$28,$P1318),INDEX(PARAMETROS_CULTURAS!$K$6:$K$28,$P1318),IF($O1318&lt;=INDEX(PARAMETROS_CULTURAS!$F$6:$F$28,$P1318)+INDEX(PARAMETROS_CULTURAS!$G$6:$G$28,$P1318),INDEX(PARAMETROS_CULTURAS!$K$6:$K$28,$P1318)+(INDEX(PARAMETROS_CULTURAS!$L$6:$L$28,$P1318)-INDEX(PARAMETROS_CULTURAS!$K$6:$K$28,$P1318))*($O1318-INDEX(PARAMETROS_CULTURAS!$F$6:$F$28,$P1318))/MAX(INDEX(PARAMETROS_CULTURAS!$G$6:$G$28,$P1318),0.0001),IF($O1318&lt;=INDEX(PARAMETROS_CULTURAS!$F$6:$F$28,$P1318)+INDEX(PARAMETROS_CULTURAS!$G$6:$G$28,$P1318)+INDEX(PARAMETROS_CULTURAS!$H$6:$H$28,$P1318),INDEX(PARAMETROS_CULTURAS!$L$6:$L$28,$P1318),INDEX(PARAMETROS_CULTURAS!$L$6:$L$28,$P1318)+(INDEX(PARAMETROS_CULTURAS!$M$6:$M$28,$P1318)-INDEX(PARAMETROS_CULTURAS!$L$6:$L$28,$P1318))*($O1318-INDEX(PARAMETROS_CULTURAS!$F$6:$F$28,$P1318)-INDEX(PARAMETROS_CULTURAS!$G$6:$G$28,$P1318)-INDEX(PARAMETROS_CULTURAS!$H$6:$H$28,$P1318))/MAX(INDEX(PARAMETROS_CULTURAS!$I$6:$I$28,$P1318),0.0001)))))</f>
        <v>1.14</v>
      </c>
      <c r="S1318" s="18" t="n">
        <f aca="false">IFERROR(INDEX(SEMANAS!$H$6:$H$71,MATCH($B1318,SEMANAS!$B$6:$B$71,0)),0)</f>
        <v>39.2</v>
      </c>
      <c r="T1318" s="18" t="n">
        <f aca="false">$R1318*$S1318</f>
        <v>44.688</v>
      </c>
      <c r="U1318" s="18" t="n">
        <f aca="false">IFERROR(INDEX(SEMANAS!$I$6:$I$71,MATCH($B1318,SEMANAS!$B$6:$B$71,0)),0)</f>
        <v>27.09</v>
      </c>
      <c r="V1318" s="18" t="n">
        <f aca="false">IFERROR(INDEX(SEMANAS!$J$6:$J$71,MATCH($B1318,SEMANAS!$B$6:$B$71,0)),0)</f>
        <v>21.672</v>
      </c>
      <c r="W1318" s="18" t="n">
        <f aca="false">MAX(0,$T1318-$V1318)</f>
        <v>23.016</v>
      </c>
      <c r="X1318" s="19" t="n">
        <f aca="false">IFERROR(INDEX(CADASTRO_PIVOS!$K$6:$K$41,MATCH($E1318,CADASTRO_PIVOS!$B$6:$B$41,0)),EFICIENCIA_PADRAO)</f>
        <v>0.85</v>
      </c>
      <c r="Y1318" s="18" t="n">
        <f aca="false">IF($X1318&lt;=0,0,$W1318/$X1318)</f>
        <v>27.0776470588235</v>
      </c>
      <c r="Z1318" s="16" t="n">
        <f aca="false">$Y1318*$H1318*MM_PARA_M3_HA</f>
        <v>40600.224</v>
      </c>
      <c r="AA1318" s="18" t="n">
        <f aca="false">IFERROR(INDEX(CADASTRO_PIVOS!$I$6:$I$41,MATCH($E1318,CADASTRO_PIVOS!$B$6:$B$41,0)),0)</f>
        <v>1071</v>
      </c>
      <c r="AB1318" s="18" t="n">
        <f aca="false">IF($Z1318&lt;=0,0,$Z1318/$AA1318)</f>
        <v>37.908705882353</v>
      </c>
      <c r="AC1318" s="16" t="n">
        <f aca="false">IFERROR(INDEX(SEMANAS!$K$6:$K$71,MATCH($B1318,SEMANAS!$B$6:$B$71,0)),0)</f>
        <v>147</v>
      </c>
      <c r="AD1318" s="19" t="n">
        <f aca="false">IF($AC1318&lt;=0,0,$AB1318/$AC1318)</f>
        <v>0.257882352941177</v>
      </c>
      <c r="AE1318" s="8" t="str">
        <f aca="false">IF($K1318="SEM CULTURA","SEM CULTURA",IF($AA1318&lt;=0,"DADO PENDENTE",IF($AD1318&gt;LIMITE_CRITICO,"INVIAVEL",IF($AD1318&gt;LIMITE_ATENCAO,"CRITICO",IF($AD1318&gt;LIMITE_CONFORTAVEL,"ATENCAO","OK")))))</f>
        <v>OK</v>
      </c>
      <c r="AF1318" s="8" t="str">
        <f aca="false">$B1318&amp;"|"&amp;TEXT($AD1318,"0.000000")</f>
        <v>59|0.257882</v>
      </c>
      <c r="AG1318" s="18" t="n">
        <f aca="false">IF($K1318="SEM CULTURA",0,$T1318*$H1318)</f>
        <v>6700.51872</v>
      </c>
      <c r="AH1318" s="18" t="n">
        <f aca="false">IF($K1318="SEM CULTURA",0,$V1318*$H1318)</f>
        <v>3249.49968</v>
      </c>
      <c r="AI1318" s="18" t="n">
        <f aca="false">IF($K1318="SEM CULTURA",0,$W1318*$H1318)</f>
        <v>3451.01904</v>
      </c>
      <c r="AJ1318" s="18" t="n">
        <f aca="false">IF($K1318="SEM CULTURA",0,$S1318*$H1318)</f>
        <v>5877.648</v>
      </c>
      <c r="AK1318" s="8" t="str">
        <f aca="false">$E1318&amp;"|"&amp;TEXT($AD1318,"0.000000")</f>
        <v>PV 119|0.257882</v>
      </c>
    </row>
    <row r="1319" customFormat="false" ht="15" hidden="false" customHeight="false" outlineLevel="0" collapsed="false">
      <c r="B1319" s="16" t="n">
        <v>60</v>
      </c>
      <c r="C1319" s="17" t="n">
        <f aca="false">DATA_INICIO_SAFRA+($B1319-1)*DIAS_POR_SEMANA</f>
        <v>46678</v>
      </c>
      <c r="D1319" s="17" t="n">
        <f aca="false">$C1319+DIAS_POR_SEMANA-1</f>
        <v>46684</v>
      </c>
      <c r="E1319" s="15" t="s">
        <v>278</v>
      </c>
      <c r="F1319" s="8" t="str">
        <f aca="false">IFERROR(INDEX(CADASTRO_PIVOS!$C$6:$C$41,MATCH($E1319,CADASTRO_PIVOS!$B$6:$B$41,0)),"?")</f>
        <v>RM06</v>
      </c>
      <c r="G1319" s="8" t="str">
        <f aca="false">IFERROR(INDEX(CADASTRO_PIVOS!$D$6:$D$41,MATCH($E1319,CADASTRO_PIVOS!$B$6:$B$41,0)),"?")</f>
        <v>TR06</v>
      </c>
      <c r="H1319" s="20" t="n">
        <f aca="false">IFERROR(INDEX(CADASTRO_PIVOS!$E$6:$E$41,MATCH($E1319,CADASTRO_PIVOS!$B$6:$B$41,0)),0)</f>
        <v>149.94</v>
      </c>
      <c r="I1319" s="16" t="n">
        <f aca="false">IFERROR(SUMIFS(ROTACAO_RDM!$B$6:$B$71,ROTACAO_RDM!$D$6:$D$71,$E1319,ROTACAO_RDM!$I$6:$I$71,"&lt;="&amp;$C1319+INT(DIAS_POR_SEMANA/2),ROTACAO_RDM!$J$6:$J$71,"&gt;="&amp;$C1319+INT(DIAS_POR_SEMANA/2)),0)</f>
        <v>33</v>
      </c>
      <c r="J1319" s="16" t="n">
        <f aca="false">IFERROR(MATCH($I1319,ROTACAO_RDM!$B$6:$B$71,0),0)</f>
        <v>33</v>
      </c>
      <c r="K1319" s="8" t="str">
        <f aca="false">IF($J1319=0,"SEM CULTURA",INDEX(ROTACAO_RDM!$F$6:$F$71,$J1319))</f>
        <v>MILHO_GRAO</v>
      </c>
      <c r="L1319" s="8" t="n">
        <f aca="false">IF($J1319=0,"",INDEX(ROTACAO_RDM!$G$6:$G$71,$J1319))</f>
        <v>0</v>
      </c>
      <c r="M1319" s="17" t="n">
        <f aca="false">IF($J1319=0,"",INDEX(ROTACAO_RDM!$I$6:$I$71,$J1319))</f>
        <v>46550</v>
      </c>
      <c r="N1319" s="16" t="n">
        <f aca="false">IF($J1319=0,0,MAX(0,$C1319+INT(DIAS_POR_SEMANA/2)-INDEX(ROTACAO_RDM!$I$6:$I$71,$J1319)))</f>
        <v>131</v>
      </c>
      <c r="O1319" s="19" t="n">
        <f aca="false">IF($J1319=0,0,MIN(1,$N1319/MAX(1,INDEX(ROTACAO_RDM!$K$6:$K$71,$J1319))))</f>
        <v>0.81875</v>
      </c>
      <c r="P1319" s="16" t="n">
        <f aca="false">IF($J1319=0,0,IFERROR(MATCH(INDEX(ROTACAO_RDM!$N$6:$N$71,$J1319),PARAMETROS_CULTURAS!$B$6:$B$28,0),0))</f>
        <v>8</v>
      </c>
      <c r="Q1319" s="8" t="str">
        <f aca="false">IF($P1319=0,"-",IF($O1319&lt;=INDEX(PARAMETROS_CULTURAS!$F$6:$F$28,$P1319),"INICIAL",IF($O1319&lt;=INDEX(PARAMETROS_CULTURAS!$F$6:$F$28,$P1319)+INDEX(PARAMETROS_CULTURAS!$G$6:$G$28,$P1319),"DESENVOLVIMENTO",IF($O1319&lt;=INDEX(PARAMETROS_CULTURAS!$F$6:$F$28,$P1319)+INDEX(PARAMETROS_CULTURAS!$G$6:$G$28,$P1319)+INDEX(PARAMETROS_CULTURAS!$H$6:$H$28,$P1319),"MEDIA","FINAL"))))</f>
        <v>FINAL</v>
      </c>
      <c r="R1319" s="24" t="n">
        <f aca="false">IF($P1319=0,0,IF($O1319&lt;=INDEX(PARAMETROS_CULTURAS!$F$6:$F$28,$P1319),INDEX(PARAMETROS_CULTURAS!$K$6:$K$28,$P1319),IF($O1319&lt;=INDEX(PARAMETROS_CULTURAS!$F$6:$F$28,$P1319)+INDEX(PARAMETROS_CULTURAS!$G$6:$G$28,$P1319),INDEX(PARAMETROS_CULTURAS!$K$6:$K$28,$P1319)+(INDEX(PARAMETROS_CULTURAS!$L$6:$L$28,$P1319)-INDEX(PARAMETROS_CULTURAS!$K$6:$K$28,$P1319))*($O1319-INDEX(PARAMETROS_CULTURAS!$F$6:$F$28,$P1319))/MAX(INDEX(PARAMETROS_CULTURAS!$G$6:$G$28,$P1319),0.0001),IF($O1319&lt;=INDEX(PARAMETROS_CULTURAS!$F$6:$F$28,$P1319)+INDEX(PARAMETROS_CULTURAS!$G$6:$G$28,$P1319)+INDEX(PARAMETROS_CULTURAS!$H$6:$H$28,$P1319),INDEX(PARAMETROS_CULTURAS!$L$6:$L$28,$P1319),INDEX(PARAMETROS_CULTURAS!$L$6:$L$28,$P1319)+(INDEX(PARAMETROS_CULTURAS!$M$6:$M$28,$P1319)-INDEX(PARAMETROS_CULTURAS!$L$6:$L$28,$P1319))*($O1319-INDEX(PARAMETROS_CULTURAS!$F$6:$F$28,$P1319)-INDEX(PARAMETROS_CULTURAS!$G$6:$G$28,$P1319)-INDEX(PARAMETROS_CULTURAS!$H$6:$H$28,$P1319))/MAX(INDEX(PARAMETROS_CULTURAS!$I$6:$I$28,$P1319),0.0001)))))</f>
        <v>1.035</v>
      </c>
      <c r="S1319" s="18" t="n">
        <f aca="false">IFERROR(INDEX(SEMANAS!$H$6:$H$71,MATCH($B1319,SEMANAS!$B$6:$B$71,0)),0)</f>
        <v>39.2</v>
      </c>
      <c r="T1319" s="18" t="n">
        <f aca="false">$R1319*$S1319</f>
        <v>40.572</v>
      </c>
      <c r="U1319" s="18" t="n">
        <f aca="false">IFERROR(INDEX(SEMANAS!$I$6:$I$71,MATCH($B1319,SEMANAS!$B$6:$B$71,0)),0)</f>
        <v>27.09</v>
      </c>
      <c r="V1319" s="18" t="n">
        <f aca="false">IFERROR(INDEX(SEMANAS!$J$6:$J$71,MATCH($B1319,SEMANAS!$B$6:$B$71,0)),0)</f>
        <v>21.672</v>
      </c>
      <c r="W1319" s="18" t="n">
        <f aca="false">MAX(0,$T1319-$V1319)</f>
        <v>18.9</v>
      </c>
      <c r="X1319" s="19" t="n">
        <f aca="false">IFERROR(INDEX(CADASTRO_PIVOS!$K$6:$K$41,MATCH($E1319,CADASTRO_PIVOS!$B$6:$B$41,0)),EFICIENCIA_PADRAO)</f>
        <v>0.85</v>
      </c>
      <c r="Y1319" s="18" t="n">
        <f aca="false">IF($X1319&lt;=0,0,$W1319/$X1319)</f>
        <v>22.2352941176471</v>
      </c>
      <c r="Z1319" s="16" t="n">
        <f aca="false">$Y1319*$H1319*MM_PARA_M3_HA</f>
        <v>33339.6</v>
      </c>
      <c r="AA1319" s="18" t="n">
        <f aca="false">IFERROR(INDEX(CADASTRO_PIVOS!$I$6:$I$41,MATCH($E1319,CADASTRO_PIVOS!$B$6:$B$41,0)),0)</f>
        <v>1071</v>
      </c>
      <c r="AB1319" s="18" t="n">
        <f aca="false">IF($Z1319&lt;=0,0,$Z1319/$AA1319)</f>
        <v>31.1294117647059</v>
      </c>
      <c r="AC1319" s="16" t="n">
        <f aca="false">IFERROR(INDEX(SEMANAS!$K$6:$K$71,MATCH($B1319,SEMANAS!$B$6:$B$71,0)),0)</f>
        <v>147</v>
      </c>
      <c r="AD1319" s="19" t="n">
        <f aca="false">IF($AC1319&lt;=0,0,$AB1319/$AC1319)</f>
        <v>0.211764705882353</v>
      </c>
      <c r="AE1319" s="8" t="str">
        <f aca="false">IF($K1319="SEM CULTURA","SEM CULTURA",IF($AA1319&lt;=0,"DADO PENDENTE",IF($AD1319&gt;LIMITE_CRITICO,"INVIAVEL",IF($AD1319&gt;LIMITE_ATENCAO,"CRITICO",IF($AD1319&gt;LIMITE_CONFORTAVEL,"ATENCAO","OK")))))</f>
        <v>OK</v>
      </c>
      <c r="AF1319" s="8" t="str">
        <f aca="false">$B1319&amp;"|"&amp;TEXT($AD1319,"0.000000")</f>
        <v>60|0.211765</v>
      </c>
      <c r="AG1319" s="18" t="n">
        <f aca="false">IF($K1319="SEM CULTURA",0,$T1319*$H1319)</f>
        <v>6083.36568</v>
      </c>
      <c r="AH1319" s="18" t="n">
        <f aca="false">IF($K1319="SEM CULTURA",0,$V1319*$H1319)</f>
        <v>3249.49968</v>
      </c>
      <c r="AI1319" s="18" t="n">
        <f aca="false">IF($K1319="SEM CULTURA",0,$W1319*$H1319)</f>
        <v>2833.866</v>
      </c>
      <c r="AJ1319" s="18" t="n">
        <f aca="false">IF($K1319="SEM CULTURA",0,$S1319*$H1319)</f>
        <v>5877.648</v>
      </c>
      <c r="AK1319" s="8" t="str">
        <f aca="false">$E1319&amp;"|"&amp;TEXT($AD1319,"0.000000")</f>
        <v>PV 119|0.211765</v>
      </c>
    </row>
    <row r="1320" customFormat="false" ht="15" hidden="false" customHeight="false" outlineLevel="0" collapsed="false">
      <c r="B1320" s="16" t="n">
        <v>61</v>
      </c>
      <c r="C1320" s="17" t="n">
        <f aca="false">DATA_INICIO_SAFRA+($B1320-1)*DIAS_POR_SEMANA</f>
        <v>46685</v>
      </c>
      <c r="D1320" s="17" t="n">
        <f aca="false">$C1320+DIAS_POR_SEMANA-1</f>
        <v>46691</v>
      </c>
      <c r="E1320" s="15" t="s">
        <v>278</v>
      </c>
      <c r="F1320" s="8" t="str">
        <f aca="false">IFERROR(INDEX(CADASTRO_PIVOS!$C$6:$C$41,MATCH($E1320,CADASTRO_PIVOS!$B$6:$B$41,0)),"?")</f>
        <v>RM06</v>
      </c>
      <c r="G1320" s="8" t="str">
        <f aca="false">IFERROR(INDEX(CADASTRO_PIVOS!$D$6:$D$41,MATCH($E1320,CADASTRO_PIVOS!$B$6:$B$41,0)),"?")</f>
        <v>TR06</v>
      </c>
      <c r="H1320" s="20" t="n">
        <f aca="false">IFERROR(INDEX(CADASTRO_PIVOS!$E$6:$E$41,MATCH($E1320,CADASTRO_PIVOS!$B$6:$B$41,0)),0)</f>
        <v>149.94</v>
      </c>
      <c r="I1320" s="16" t="n">
        <f aca="false">IFERROR(SUMIFS(ROTACAO_RDM!$B$6:$B$71,ROTACAO_RDM!$D$6:$D$71,$E1320,ROTACAO_RDM!$I$6:$I$71,"&lt;="&amp;$C1320+INT(DIAS_POR_SEMANA/2),ROTACAO_RDM!$J$6:$J$71,"&gt;="&amp;$C1320+INT(DIAS_POR_SEMANA/2)),0)</f>
        <v>33</v>
      </c>
      <c r="J1320" s="16" t="n">
        <f aca="false">IFERROR(MATCH($I1320,ROTACAO_RDM!$B$6:$B$71,0),0)</f>
        <v>33</v>
      </c>
      <c r="K1320" s="8" t="str">
        <f aca="false">IF($J1320=0,"SEM CULTURA",INDEX(ROTACAO_RDM!$F$6:$F$71,$J1320))</f>
        <v>MILHO_GRAO</v>
      </c>
      <c r="L1320" s="8" t="n">
        <f aca="false">IF($J1320=0,"",INDEX(ROTACAO_RDM!$G$6:$G$71,$J1320))</f>
        <v>0</v>
      </c>
      <c r="M1320" s="17" t="n">
        <f aca="false">IF($J1320=0,"",INDEX(ROTACAO_RDM!$I$6:$I$71,$J1320))</f>
        <v>46550</v>
      </c>
      <c r="N1320" s="16" t="n">
        <f aca="false">IF($J1320=0,0,MAX(0,$C1320+INT(DIAS_POR_SEMANA/2)-INDEX(ROTACAO_RDM!$I$6:$I$71,$J1320)))</f>
        <v>138</v>
      </c>
      <c r="O1320" s="19" t="n">
        <f aca="false">IF($J1320=0,0,MIN(1,$N1320/MAX(1,INDEX(ROTACAO_RDM!$K$6:$K$71,$J1320))))</f>
        <v>0.8625</v>
      </c>
      <c r="P1320" s="16" t="n">
        <f aca="false">IF($J1320=0,0,IFERROR(MATCH(INDEX(ROTACAO_RDM!$N$6:$N$71,$J1320),PARAMETROS_CULTURAS!$B$6:$B$28,0),0))</f>
        <v>8</v>
      </c>
      <c r="Q1320" s="8" t="str">
        <f aca="false">IF($P1320=0,"-",IF($O1320&lt;=INDEX(PARAMETROS_CULTURAS!$F$6:$F$28,$P1320),"INICIAL",IF($O1320&lt;=INDEX(PARAMETROS_CULTURAS!$F$6:$F$28,$P1320)+INDEX(PARAMETROS_CULTURAS!$G$6:$G$28,$P1320),"DESENVOLVIMENTO",IF($O1320&lt;=INDEX(PARAMETROS_CULTURAS!$F$6:$F$28,$P1320)+INDEX(PARAMETROS_CULTURAS!$G$6:$G$28,$P1320)+INDEX(PARAMETROS_CULTURAS!$H$6:$H$28,$P1320),"MEDIA","FINAL"))))</f>
        <v>FINAL</v>
      </c>
      <c r="R1320" s="24" t="n">
        <f aca="false">IF($P1320=0,0,IF($O1320&lt;=INDEX(PARAMETROS_CULTURAS!$F$6:$F$28,$P1320),INDEX(PARAMETROS_CULTURAS!$K$6:$K$28,$P1320),IF($O1320&lt;=INDEX(PARAMETROS_CULTURAS!$F$6:$F$28,$P1320)+INDEX(PARAMETROS_CULTURAS!$G$6:$G$28,$P1320),INDEX(PARAMETROS_CULTURAS!$K$6:$K$28,$P1320)+(INDEX(PARAMETROS_CULTURAS!$L$6:$L$28,$P1320)-INDEX(PARAMETROS_CULTURAS!$K$6:$K$28,$P1320))*($O1320-INDEX(PARAMETROS_CULTURAS!$F$6:$F$28,$P1320))/MAX(INDEX(PARAMETROS_CULTURAS!$G$6:$G$28,$P1320),0.0001),IF($O1320&lt;=INDEX(PARAMETROS_CULTURAS!$F$6:$F$28,$P1320)+INDEX(PARAMETROS_CULTURAS!$G$6:$G$28,$P1320)+INDEX(PARAMETROS_CULTURAS!$H$6:$H$28,$P1320),INDEX(PARAMETROS_CULTURAS!$L$6:$L$28,$P1320),INDEX(PARAMETROS_CULTURAS!$L$6:$L$28,$P1320)+(INDEX(PARAMETROS_CULTURAS!$M$6:$M$28,$P1320)-INDEX(PARAMETROS_CULTURAS!$L$6:$L$28,$P1320))*($O1320-INDEX(PARAMETROS_CULTURAS!$F$6:$F$28,$P1320)-INDEX(PARAMETROS_CULTURAS!$G$6:$G$28,$P1320)-INDEX(PARAMETROS_CULTURAS!$H$6:$H$28,$P1320))/MAX(INDEX(PARAMETROS_CULTURAS!$I$6:$I$28,$P1320),0.0001)))))</f>
        <v>0.93</v>
      </c>
      <c r="S1320" s="18" t="n">
        <f aca="false">IFERROR(INDEX(SEMANAS!$H$6:$H$71,MATCH($B1320,SEMANAS!$B$6:$B$71,0)),0)</f>
        <v>39.2</v>
      </c>
      <c r="T1320" s="18" t="n">
        <f aca="false">$R1320*$S1320</f>
        <v>36.456</v>
      </c>
      <c r="U1320" s="18" t="n">
        <f aca="false">IFERROR(INDEX(SEMANAS!$I$6:$I$71,MATCH($B1320,SEMANAS!$B$6:$B$71,0)),0)</f>
        <v>27.09</v>
      </c>
      <c r="V1320" s="18" t="n">
        <f aca="false">IFERROR(INDEX(SEMANAS!$J$6:$J$71,MATCH($B1320,SEMANAS!$B$6:$B$71,0)),0)</f>
        <v>21.672</v>
      </c>
      <c r="W1320" s="18" t="n">
        <f aca="false">MAX(0,$T1320-$V1320)</f>
        <v>14.784</v>
      </c>
      <c r="X1320" s="19" t="n">
        <f aca="false">IFERROR(INDEX(CADASTRO_PIVOS!$K$6:$K$41,MATCH($E1320,CADASTRO_PIVOS!$B$6:$B$41,0)),EFICIENCIA_PADRAO)</f>
        <v>0.85</v>
      </c>
      <c r="Y1320" s="18" t="n">
        <f aca="false">IF($X1320&lt;=0,0,$W1320/$X1320)</f>
        <v>17.3929411764706</v>
      </c>
      <c r="Z1320" s="16" t="n">
        <f aca="false">$Y1320*$H1320*MM_PARA_M3_HA</f>
        <v>26078.976</v>
      </c>
      <c r="AA1320" s="18" t="n">
        <f aca="false">IFERROR(INDEX(CADASTRO_PIVOS!$I$6:$I$41,MATCH($E1320,CADASTRO_PIVOS!$B$6:$B$41,0)),0)</f>
        <v>1071</v>
      </c>
      <c r="AB1320" s="18" t="n">
        <f aca="false">IF($Z1320&lt;=0,0,$Z1320/$AA1320)</f>
        <v>24.3501176470588</v>
      </c>
      <c r="AC1320" s="16" t="n">
        <f aca="false">IFERROR(INDEX(SEMANAS!$K$6:$K$71,MATCH($B1320,SEMANAS!$B$6:$B$71,0)),0)</f>
        <v>147</v>
      </c>
      <c r="AD1320" s="19" t="n">
        <f aca="false">IF($AC1320&lt;=0,0,$AB1320/$AC1320)</f>
        <v>0.165647058823529</v>
      </c>
      <c r="AE1320" s="8" t="str">
        <f aca="false">IF($K1320="SEM CULTURA","SEM CULTURA",IF($AA1320&lt;=0,"DADO PENDENTE",IF($AD1320&gt;LIMITE_CRITICO,"INVIAVEL",IF($AD1320&gt;LIMITE_ATENCAO,"CRITICO",IF($AD1320&gt;LIMITE_CONFORTAVEL,"ATENCAO","OK")))))</f>
        <v>OK</v>
      </c>
      <c r="AF1320" s="8" t="str">
        <f aca="false">$B1320&amp;"|"&amp;TEXT($AD1320,"0.000000")</f>
        <v>61|0.165647</v>
      </c>
      <c r="AG1320" s="18" t="n">
        <f aca="false">IF($K1320="SEM CULTURA",0,$T1320*$H1320)</f>
        <v>5466.21264</v>
      </c>
      <c r="AH1320" s="18" t="n">
        <f aca="false">IF($K1320="SEM CULTURA",0,$V1320*$H1320)</f>
        <v>3249.49968</v>
      </c>
      <c r="AI1320" s="18" t="n">
        <f aca="false">IF($K1320="SEM CULTURA",0,$W1320*$H1320)</f>
        <v>2216.71296</v>
      </c>
      <c r="AJ1320" s="18" t="n">
        <f aca="false">IF($K1320="SEM CULTURA",0,$S1320*$H1320)</f>
        <v>5877.648</v>
      </c>
      <c r="AK1320" s="8" t="str">
        <f aca="false">$E1320&amp;"|"&amp;TEXT($AD1320,"0.000000")</f>
        <v>PV 119|0.165647</v>
      </c>
    </row>
    <row r="1321" customFormat="false" ht="15" hidden="false" customHeight="false" outlineLevel="0" collapsed="false">
      <c r="B1321" s="16" t="n">
        <v>62</v>
      </c>
      <c r="C1321" s="17" t="n">
        <f aca="false">DATA_INICIO_SAFRA+($B1321-1)*DIAS_POR_SEMANA</f>
        <v>46692</v>
      </c>
      <c r="D1321" s="17" t="n">
        <f aca="false">$C1321+DIAS_POR_SEMANA-1</f>
        <v>46698</v>
      </c>
      <c r="E1321" s="15" t="s">
        <v>278</v>
      </c>
      <c r="F1321" s="8" t="str">
        <f aca="false">IFERROR(INDEX(CADASTRO_PIVOS!$C$6:$C$41,MATCH($E1321,CADASTRO_PIVOS!$B$6:$B$41,0)),"?")</f>
        <v>RM06</v>
      </c>
      <c r="G1321" s="8" t="str">
        <f aca="false">IFERROR(INDEX(CADASTRO_PIVOS!$D$6:$D$41,MATCH($E1321,CADASTRO_PIVOS!$B$6:$B$41,0)),"?")</f>
        <v>TR06</v>
      </c>
      <c r="H1321" s="20" t="n">
        <f aca="false">IFERROR(INDEX(CADASTRO_PIVOS!$E$6:$E$41,MATCH($E1321,CADASTRO_PIVOS!$B$6:$B$41,0)),0)</f>
        <v>149.94</v>
      </c>
      <c r="I1321" s="16" t="n">
        <f aca="false">IFERROR(SUMIFS(ROTACAO_RDM!$B$6:$B$71,ROTACAO_RDM!$D$6:$D$71,$E1321,ROTACAO_RDM!$I$6:$I$71,"&lt;="&amp;$C1321+INT(DIAS_POR_SEMANA/2),ROTACAO_RDM!$J$6:$J$71,"&gt;="&amp;$C1321+INT(DIAS_POR_SEMANA/2)),0)</f>
        <v>33</v>
      </c>
      <c r="J1321" s="16" t="n">
        <f aca="false">IFERROR(MATCH($I1321,ROTACAO_RDM!$B$6:$B$71,0),0)</f>
        <v>33</v>
      </c>
      <c r="K1321" s="8" t="str">
        <f aca="false">IF($J1321=0,"SEM CULTURA",INDEX(ROTACAO_RDM!$F$6:$F$71,$J1321))</f>
        <v>MILHO_GRAO</v>
      </c>
      <c r="L1321" s="8" t="n">
        <f aca="false">IF($J1321=0,"",INDEX(ROTACAO_RDM!$G$6:$G$71,$J1321))</f>
        <v>0</v>
      </c>
      <c r="M1321" s="17" t="n">
        <f aca="false">IF($J1321=0,"",INDEX(ROTACAO_RDM!$I$6:$I$71,$J1321))</f>
        <v>46550</v>
      </c>
      <c r="N1321" s="16" t="n">
        <f aca="false">IF($J1321=0,0,MAX(0,$C1321+INT(DIAS_POR_SEMANA/2)-INDEX(ROTACAO_RDM!$I$6:$I$71,$J1321)))</f>
        <v>145</v>
      </c>
      <c r="O1321" s="19" t="n">
        <f aca="false">IF($J1321=0,0,MIN(1,$N1321/MAX(1,INDEX(ROTACAO_RDM!$K$6:$K$71,$J1321))))</f>
        <v>0.90625</v>
      </c>
      <c r="P1321" s="16" t="n">
        <f aca="false">IF($J1321=0,0,IFERROR(MATCH(INDEX(ROTACAO_RDM!$N$6:$N$71,$J1321),PARAMETROS_CULTURAS!$B$6:$B$28,0),0))</f>
        <v>8</v>
      </c>
      <c r="Q1321" s="8" t="str">
        <f aca="false">IF($P1321=0,"-",IF($O1321&lt;=INDEX(PARAMETROS_CULTURAS!$F$6:$F$28,$P1321),"INICIAL",IF($O1321&lt;=INDEX(PARAMETROS_CULTURAS!$F$6:$F$28,$P1321)+INDEX(PARAMETROS_CULTURAS!$G$6:$G$28,$P1321),"DESENVOLVIMENTO",IF($O1321&lt;=INDEX(PARAMETROS_CULTURAS!$F$6:$F$28,$P1321)+INDEX(PARAMETROS_CULTURAS!$G$6:$G$28,$P1321)+INDEX(PARAMETROS_CULTURAS!$H$6:$H$28,$P1321),"MEDIA","FINAL"))))</f>
        <v>FINAL</v>
      </c>
      <c r="R1321" s="24" t="n">
        <f aca="false">IF($P1321=0,0,IF($O1321&lt;=INDEX(PARAMETROS_CULTURAS!$F$6:$F$28,$P1321),INDEX(PARAMETROS_CULTURAS!$K$6:$K$28,$P1321),IF($O1321&lt;=INDEX(PARAMETROS_CULTURAS!$F$6:$F$28,$P1321)+INDEX(PARAMETROS_CULTURAS!$G$6:$G$28,$P1321),INDEX(PARAMETROS_CULTURAS!$K$6:$K$28,$P1321)+(INDEX(PARAMETROS_CULTURAS!$L$6:$L$28,$P1321)-INDEX(PARAMETROS_CULTURAS!$K$6:$K$28,$P1321))*($O1321-INDEX(PARAMETROS_CULTURAS!$F$6:$F$28,$P1321))/MAX(INDEX(PARAMETROS_CULTURAS!$G$6:$G$28,$P1321),0.0001),IF($O1321&lt;=INDEX(PARAMETROS_CULTURAS!$F$6:$F$28,$P1321)+INDEX(PARAMETROS_CULTURAS!$G$6:$G$28,$P1321)+INDEX(PARAMETROS_CULTURAS!$H$6:$H$28,$P1321),INDEX(PARAMETROS_CULTURAS!$L$6:$L$28,$P1321),INDEX(PARAMETROS_CULTURAS!$L$6:$L$28,$P1321)+(INDEX(PARAMETROS_CULTURAS!$M$6:$M$28,$P1321)-INDEX(PARAMETROS_CULTURAS!$L$6:$L$28,$P1321))*($O1321-INDEX(PARAMETROS_CULTURAS!$F$6:$F$28,$P1321)-INDEX(PARAMETROS_CULTURAS!$G$6:$G$28,$P1321)-INDEX(PARAMETROS_CULTURAS!$H$6:$H$28,$P1321))/MAX(INDEX(PARAMETROS_CULTURAS!$I$6:$I$28,$P1321),0.0001)))))</f>
        <v>0.825</v>
      </c>
      <c r="S1321" s="18" t="n">
        <f aca="false">IFERROR(INDEX(SEMANAS!$H$6:$H$71,MATCH($B1321,SEMANAS!$B$6:$B$71,0)),0)</f>
        <v>34.3</v>
      </c>
      <c r="T1321" s="18" t="n">
        <f aca="false">$R1321*$S1321</f>
        <v>28.2975</v>
      </c>
      <c r="U1321" s="18" t="n">
        <f aca="false">IFERROR(INDEX(SEMANAS!$I$6:$I$71,MATCH($B1321,SEMANAS!$B$6:$B$71,0)),0)</f>
        <v>46.69</v>
      </c>
      <c r="V1321" s="18" t="n">
        <f aca="false">IFERROR(INDEX(SEMANAS!$J$6:$J$71,MATCH($B1321,SEMANAS!$B$6:$B$71,0)),0)</f>
        <v>37.352</v>
      </c>
      <c r="W1321" s="18" t="n">
        <f aca="false">MAX(0,$T1321-$V1321)</f>
        <v>0</v>
      </c>
      <c r="X1321" s="19" t="n">
        <f aca="false">IFERROR(INDEX(CADASTRO_PIVOS!$K$6:$K$41,MATCH($E1321,CADASTRO_PIVOS!$B$6:$B$41,0)),EFICIENCIA_PADRAO)</f>
        <v>0.85</v>
      </c>
      <c r="Y1321" s="18" t="n">
        <f aca="false">IF($X1321&lt;=0,0,$W1321/$X1321)</f>
        <v>0</v>
      </c>
      <c r="Z1321" s="16" t="n">
        <f aca="false">$Y1321*$H1321*MM_PARA_M3_HA</f>
        <v>0</v>
      </c>
      <c r="AA1321" s="18" t="n">
        <f aca="false">IFERROR(INDEX(CADASTRO_PIVOS!$I$6:$I$41,MATCH($E1321,CADASTRO_PIVOS!$B$6:$B$41,0)),0)</f>
        <v>1071</v>
      </c>
      <c r="AB1321" s="18" t="n">
        <f aca="false">IF($Z1321&lt;=0,0,$Z1321/$AA1321)</f>
        <v>0</v>
      </c>
      <c r="AC1321" s="16" t="n">
        <f aca="false">IFERROR(INDEX(SEMANAS!$K$6:$K$71,MATCH($B1321,SEMANAS!$B$6:$B$71,0)),0)</f>
        <v>147</v>
      </c>
      <c r="AD1321" s="19" t="n">
        <f aca="false">IF($AC1321&lt;=0,0,$AB1321/$AC1321)</f>
        <v>0</v>
      </c>
      <c r="AE1321" s="8" t="str">
        <f aca="false">IF($K1321="SEM CULTURA","SEM CULTURA",IF($AA1321&lt;=0,"DADO PENDENTE",IF($AD1321&gt;LIMITE_CRITICO,"INVIAVEL",IF($AD1321&gt;LIMITE_ATENCAO,"CRITICO",IF($AD1321&gt;LIMITE_CONFORTAVEL,"ATENCAO","OK")))))</f>
        <v>OK</v>
      </c>
      <c r="AF1321" s="8" t="str">
        <f aca="false">$B1321&amp;"|"&amp;TEXT($AD1321,"0.000000")</f>
        <v>62|0.000000</v>
      </c>
      <c r="AG1321" s="18" t="n">
        <f aca="false">IF($K1321="SEM CULTURA",0,$T1321*$H1321)</f>
        <v>4242.92715</v>
      </c>
      <c r="AH1321" s="18" t="n">
        <f aca="false">IF($K1321="SEM CULTURA",0,$V1321*$H1321)</f>
        <v>5600.55888</v>
      </c>
      <c r="AI1321" s="18" t="n">
        <f aca="false">IF($K1321="SEM CULTURA",0,$W1321*$H1321)</f>
        <v>0</v>
      </c>
      <c r="AJ1321" s="18" t="n">
        <f aca="false">IF($K1321="SEM CULTURA",0,$S1321*$H1321)</f>
        <v>5142.942</v>
      </c>
      <c r="AK1321" s="8" t="str">
        <f aca="false">$E1321&amp;"|"&amp;TEXT($AD1321,"0.000000")</f>
        <v>PV 119|0.000000</v>
      </c>
    </row>
    <row r="1322" customFormat="false" ht="15" hidden="false" customHeight="false" outlineLevel="0" collapsed="false">
      <c r="B1322" s="16" t="n">
        <v>63</v>
      </c>
      <c r="C1322" s="17" t="n">
        <f aca="false">DATA_INICIO_SAFRA+($B1322-1)*DIAS_POR_SEMANA</f>
        <v>46699</v>
      </c>
      <c r="D1322" s="17" t="n">
        <f aca="false">$C1322+DIAS_POR_SEMANA-1</f>
        <v>46705</v>
      </c>
      <c r="E1322" s="15" t="s">
        <v>278</v>
      </c>
      <c r="F1322" s="8" t="str">
        <f aca="false">IFERROR(INDEX(CADASTRO_PIVOS!$C$6:$C$41,MATCH($E1322,CADASTRO_PIVOS!$B$6:$B$41,0)),"?")</f>
        <v>RM06</v>
      </c>
      <c r="G1322" s="8" t="str">
        <f aca="false">IFERROR(INDEX(CADASTRO_PIVOS!$D$6:$D$41,MATCH($E1322,CADASTRO_PIVOS!$B$6:$B$41,0)),"?")</f>
        <v>TR06</v>
      </c>
      <c r="H1322" s="20" t="n">
        <f aca="false">IFERROR(INDEX(CADASTRO_PIVOS!$E$6:$E$41,MATCH($E1322,CADASTRO_PIVOS!$B$6:$B$41,0)),0)</f>
        <v>149.94</v>
      </c>
      <c r="I1322" s="16" t="n">
        <f aca="false">IFERROR(SUMIFS(ROTACAO_RDM!$B$6:$B$71,ROTACAO_RDM!$D$6:$D$71,$E1322,ROTACAO_RDM!$I$6:$I$71,"&lt;="&amp;$C1322+INT(DIAS_POR_SEMANA/2),ROTACAO_RDM!$J$6:$J$71,"&gt;="&amp;$C1322+INT(DIAS_POR_SEMANA/2)),0)</f>
        <v>33</v>
      </c>
      <c r="J1322" s="16" t="n">
        <f aca="false">IFERROR(MATCH($I1322,ROTACAO_RDM!$B$6:$B$71,0),0)</f>
        <v>33</v>
      </c>
      <c r="K1322" s="8" t="str">
        <f aca="false">IF($J1322=0,"SEM CULTURA",INDEX(ROTACAO_RDM!$F$6:$F$71,$J1322))</f>
        <v>MILHO_GRAO</v>
      </c>
      <c r="L1322" s="8" t="n">
        <f aca="false">IF($J1322=0,"",INDEX(ROTACAO_RDM!$G$6:$G$71,$J1322))</f>
        <v>0</v>
      </c>
      <c r="M1322" s="17" t="n">
        <f aca="false">IF($J1322=0,"",INDEX(ROTACAO_RDM!$I$6:$I$71,$J1322))</f>
        <v>46550</v>
      </c>
      <c r="N1322" s="16" t="n">
        <f aca="false">IF($J1322=0,0,MAX(0,$C1322+INT(DIAS_POR_SEMANA/2)-INDEX(ROTACAO_RDM!$I$6:$I$71,$J1322)))</f>
        <v>152</v>
      </c>
      <c r="O1322" s="19" t="n">
        <f aca="false">IF($J1322=0,0,MIN(1,$N1322/MAX(1,INDEX(ROTACAO_RDM!$K$6:$K$71,$J1322))))</f>
        <v>0.95</v>
      </c>
      <c r="P1322" s="16" t="n">
        <f aca="false">IF($J1322=0,0,IFERROR(MATCH(INDEX(ROTACAO_RDM!$N$6:$N$71,$J1322),PARAMETROS_CULTURAS!$B$6:$B$28,0),0))</f>
        <v>8</v>
      </c>
      <c r="Q1322" s="8" t="str">
        <f aca="false">IF($P1322=0,"-",IF($O1322&lt;=INDEX(PARAMETROS_CULTURAS!$F$6:$F$28,$P1322),"INICIAL",IF($O1322&lt;=INDEX(PARAMETROS_CULTURAS!$F$6:$F$28,$P1322)+INDEX(PARAMETROS_CULTURAS!$G$6:$G$28,$P1322),"DESENVOLVIMENTO",IF($O1322&lt;=INDEX(PARAMETROS_CULTURAS!$F$6:$F$28,$P1322)+INDEX(PARAMETROS_CULTURAS!$G$6:$G$28,$P1322)+INDEX(PARAMETROS_CULTURAS!$H$6:$H$28,$P1322),"MEDIA","FINAL"))))</f>
        <v>FINAL</v>
      </c>
      <c r="R1322" s="24" t="n">
        <f aca="false">IF($P1322=0,0,IF($O1322&lt;=INDEX(PARAMETROS_CULTURAS!$F$6:$F$28,$P1322),INDEX(PARAMETROS_CULTURAS!$K$6:$K$28,$P1322),IF($O1322&lt;=INDEX(PARAMETROS_CULTURAS!$F$6:$F$28,$P1322)+INDEX(PARAMETROS_CULTURAS!$G$6:$G$28,$P1322),INDEX(PARAMETROS_CULTURAS!$K$6:$K$28,$P1322)+(INDEX(PARAMETROS_CULTURAS!$L$6:$L$28,$P1322)-INDEX(PARAMETROS_CULTURAS!$K$6:$K$28,$P1322))*($O1322-INDEX(PARAMETROS_CULTURAS!$F$6:$F$28,$P1322))/MAX(INDEX(PARAMETROS_CULTURAS!$G$6:$G$28,$P1322),0.0001),IF($O1322&lt;=INDEX(PARAMETROS_CULTURAS!$F$6:$F$28,$P1322)+INDEX(PARAMETROS_CULTURAS!$G$6:$G$28,$P1322)+INDEX(PARAMETROS_CULTURAS!$H$6:$H$28,$P1322),INDEX(PARAMETROS_CULTURAS!$L$6:$L$28,$P1322),INDEX(PARAMETROS_CULTURAS!$L$6:$L$28,$P1322)+(INDEX(PARAMETROS_CULTURAS!$M$6:$M$28,$P1322)-INDEX(PARAMETROS_CULTURAS!$L$6:$L$28,$P1322))*($O1322-INDEX(PARAMETROS_CULTURAS!$F$6:$F$28,$P1322)-INDEX(PARAMETROS_CULTURAS!$G$6:$G$28,$P1322)-INDEX(PARAMETROS_CULTURAS!$H$6:$H$28,$P1322))/MAX(INDEX(PARAMETROS_CULTURAS!$I$6:$I$28,$P1322),0.0001)))))</f>
        <v>0.72</v>
      </c>
      <c r="S1322" s="18" t="n">
        <f aca="false">IFERROR(INDEX(SEMANAS!$H$6:$H$71,MATCH($B1322,SEMANAS!$B$6:$B$71,0)),0)</f>
        <v>34.3</v>
      </c>
      <c r="T1322" s="18" t="n">
        <f aca="false">$R1322*$S1322</f>
        <v>24.696</v>
      </c>
      <c r="U1322" s="18" t="n">
        <f aca="false">IFERROR(INDEX(SEMANAS!$I$6:$I$71,MATCH($B1322,SEMANAS!$B$6:$B$71,0)),0)</f>
        <v>46.69</v>
      </c>
      <c r="V1322" s="18" t="n">
        <f aca="false">IFERROR(INDEX(SEMANAS!$J$6:$J$71,MATCH($B1322,SEMANAS!$B$6:$B$71,0)),0)</f>
        <v>37.352</v>
      </c>
      <c r="W1322" s="18" t="n">
        <f aca="false">MAX(0,$T1322-$V1322)</f>
        <v>0</v>
      </c>
      <c r="X1322" s="19" t="n">
        <f aca="false">IFERROR(INDEX(CADASTRO_PIVOS!$K$6:$K$41,MATCH($E1322,CADASTRO_PIVOS!$B$6:$B$41,0)),EFICIENCIA_PADRAO)</f>
        <v>0.85</v>
      </c>
      <c r="Y1322" s="18" t="n">
        <f aca="false">IF($X1322&lt;=0,0,$W1322/$X1322)</f>
        <v>0</v>
      </c>
      <c r="Z1322" s="16" t="n">
        <f aca="false">$Y1322*$H1322*MM_PARA_M3_HA</f>
        <v>0</v>
      </c>
      <c r="AA1322" s="18" t="n">
        <f aca="false">IFERROR(INDEX(CADASTRO_PIVOS!$I$6:$I$41,MATCH($E1322,CADASTRO_PIVOS!$B$6:$B$41,0)),0)</f>
        <v>1071</v>
      </c>
      <c r="AB1322" s="18" t="n">
        <f aca="false">IF($Z1322&lt;=0,0,$Z1322/$AA1322)</f>
        <v>0</v>
      </c>
      <c r="AC1322" s="16" t="n">
        <f aca="false">IFERROR(INDEX(SEMANAS!$K$6:$K$71,MATCH($B1322,SEMANAS!$B$6:$B$71,0)),0)</f>
        <v>147</v>
      </c>
      <c r="AD1322" s="19" t="n">
        <f aca="false">IF($AC1322&lt;=0,0,$AB1322/$AC1322)</f>
        <v>0</v>
      </c>
      <c r="AE1322" s="8" t="str">
        <f aca="false">IF($K1322="SEM CULTURA","SEM CULTURA",IF($AA1322&lt;=0,"DADO PENDENTE",IF($AD1322&gt;LIMITE_CRITICO,"INVIAVEL",IF($AD1322&gt;LIMITE_ATENCAO,"CRITICO",IF($AD1322&gt;LIMITE_CONFORTAVEL,"ATENCAO","OK")))))</f>
        <v>OK</v>
      </c>
      <c r="AF1322" s="8" t="str">
        <f aca="false">$B1322&amp;"|"&amp;TEXT($AD1322,"0.000000")</f>
        <v>63|0.000000</v>
      </c>
      <c r="AG1322" s="18" t="n">
        <f aca="false">IF($K1322="SEM CULTURA",0,$T1322*$H1322)</f>
        <v>3702.91824</v>
      </c>
      <c r="AH1322" s="18" t="n">
        <f aca="false">IF($K1322="SEM CULTURA",0,$V1322*$H1322)</f>
        <v>5600.55888</v>
      </c>
      <c r="AI1322" s="18" t="n">
        <f aca="false">IF($K1322="SEM CULTURA",0,$W1322*$H1322)</f>
        <v>0</v>
      </c>
      <c r="AJ1322" s="18" t="n">
        <f aca="false">IF($K1322="SEM CULTURA",0,$S1322*$H1322)</f>
        <v>5142.942</v>
      </c>
      <c r="AK1322" s="8" t="str">
        <f aca="false">$E1322&amp;"|"&amp;TEXT($AD1322,"0.000000")</f>
        <v>PV 119|0.000000</v>
      </c>
    </row>
    <row r="1323" customFormat="false" ht="15" hidden="false" customHeight="false" outlineLevel="0" collapsed="false">
      <c r="B1323" s="16" t="n">
        <v>64</v>
      </c>
      <c r="C1323" s="17" t="n">
        <f aca="false">DATA_INICIO_SAFRA+($B1323-1)*DIAS_POR_SEMANA</f>
        <v>46706</v>
      </c>
      <c r="D1323" s="17" t="n">
        <f aca="false">$C1323+DIAS_POR_SEMANA-1</f>
        <v>46712</v>
      </c>
      <c r="E1323" s="15" t="s">
        <v>278</v>
      </c>
      <c r="F1323" s="8" t="str">
        <f aca="false">IFERROR(INDEX(CADASTRO_PIVOS!$C$6:$C$41,MATCH($E1323,CADASTRO_PIVOS!$B$6:$B$41,0)),"?")</f>
        <v>RM06</v>
      </c>
      <c r="G1323" s="8" t="str">
        <f aca="false">IFERROR(INDEX(CADASTRO_PIVOS!$D$6:$D$41,MATCH($E1323,CADASTRO_PIVOS!$B$6:$B$41,0)),"?")</f>
        <v>TR06</v>
      </c>
      <c r="H1323" s="20" t="n">
        <f aca="false">IFERROR(INDEX(CADASTRO_PIVOS!$E$6:$E$41,MATCH($E1323,CADASTRO_PIVOS!$B$6:$B$41,0)),0)</f>
        <v>149.94</v>
      </c>
      <c r="I1323" s="16" t="n">
        <f aca="false">IFERROR(SUMIFS(ROTACAO_RDM!$B$6:$B$71,ROTACAO_RDM!$D$6:$D$71,$E1323,ROTACAO_RDM!$I$6:$I$71,"&lt;="&amp;$C1323+INT(DIAS_POR_SEMANA/2),ROTACAO_RDM!$J$6:$J$71,"&gt;="&amp;$C1323+INT(DIAS_POR_SEMANA/2)),0)</f>
        <v>33</v>
      </c>
      <c r="J1323" s="16" t="n">
        <f aca="false">IFERROR(MATCH($I1323,ROTACAO_RDM!$B$6:$B$71,0),0)</f>
        <v>33</v>
      </c>
      <c r="K1323" s="8" t="str">
        <f aca="false">IF($J1323=0,"SEM CULTURA",INDEX(ROTACAO_RDM!$F$6:$F$71,$J1323))</f>
        <v>MILHO_GRAO</v>
      </c>
      <c r="L1323" s="8" t="n">
        <f aca="false">IF($J1323=0,"",INDEX(ROTACAO_RDM!$G$6:$G$71,$J1323))</f>
        <v>0</v>
      </c>
      <c r="M1323" s="17" t="n">
        <f aca="false">IF($J1323=0,"",INDEX(ROTACAO_RDM!$I$6:$I$71,$J1323))</f>
        <v>46550</v>
      </c>
      <c r="N1323" s="16" t="n">
        <f aca="false">IF($J1323=0,0,MAX(0,$C1323+INT(DIAS_POR_SEMANA/2)-INDEX(ROTACAO_RDM!$I$6:$I$71,$J1323)))</f>
        <v>159</v>
      </c>
      <c r="O1323" s="19" t="n">
        <f aca="false">IF($J1323=0,0,MIN(1,$N1323/MAX(1,INDEX(ROTACAO_RDM!$K$6:$K$71,$J1323))))</f>
        <v>0.99375</v>
      </c>
      <c r="P1323" s="16" t="n">
        <f aca="false">IF($J1323=0,0,IFERROR(MATCH(INDEX(ROTACAO_RDM!$N$6:$N$71,$J1323),PARAMETROS_CULTURAS!$B$6:$B$28,0),0))</f>
        <v>8</v>
      </c>
      <c r="Q1323" s="8" t="str">
        <f aca="false">IF($P1323=0,"-",IF($O1323&lt;=INDEX(PARAMETROS_CULTURAS!$F$6:$F$28,$P1323),"INICIAL",IF($O1323&lt;=INDEX(PARAMETROS_CULTURAS!$F$6:$F$28,$P1323)+INDEX(PARAMETROS_CULTURAS!$G$6:$G$28,$P1323),"DESENVOLVIMENTO",IF($O1323&lt;=INDEX(PARAMETROS_CULTURAS!$F$6:$F$28,$P1323)+INDEX(PARAMETROS_CULTURAS!$G$6:$G$28,$P1323)+INDEX(PARAMETROS_CULTURAS!$H$6:$H$28,$P1323),"MEDIA","FINAL"))))</f>
        <v>FINAL</v>
      </c>
      <c r="R1323" s="24" t="n">
        <f aca="false">IF($P1323=0,0,IF($O1323&lt;=INDEX(PARAMETROS_CULTURAS!$F$6:$F$28,$P1323),INDEX(PARAMETROS_CULTURAS!$K$6:$K$28,$P1323),IF($O1323&lt;=INDEX(PARAMETROS_CULTURAS!$F$6:$F$28,$P1323)+INDEX(PARAMETROS_CULTURAS!$G$6:$G$28,$P1323),INDEX(PARAMETROS_CULTURAS!$K$6:$K$28,$P1323)+(INDEX(PARAMETROS_CULTURAS!$L$6:$L$28,$P1323)-INDEX(PARAMETROS_CULTURAS!$K$6:$K$28,$P1323))*($O1323-INDEX(PARAMETROS_CULTURAS!$F$6:$F$28,$P1323))/MAX(INDEX(PARAMETROS_CULTURAS!$G$6:$G$28,$P1323),0.0001),IF($O1323&lt;=INDEX(PARAMETROS_CULTURAS!$F$6:$F$28,$P1323)+INDEX(PARAMETROS_CULTURAS!$G$6:$G$28,$P1323)+INDEX(PARAMETROS_CULTURAS!$H$6:$H$28,$P1323),INDEX(PARAMETROS_CULTURAS!$L$6:$L$28,$P1323),INDEX(PARAMETROS_CULTURAS!$L$6:$L$28,$P1323)+(INDEX(PARAMETROS_CULTURAS!$M$6:$M$28,$P1323)-INDEX(PARAMETROS_CULTURAS!$L$6:$L$28,$P1323))*($O1323-INDEX(PARAMETROS_CULTURAS!$F$6:$F$28,$P1323)-INDEX(PARAMETROS_CULTURAS!$G$6:$G$28,$P1323)-INDEX(PARAMETROS_CULTURAS!$H$6:$H$28,$P1323))/MAX(INDEX(PARAMETROS_CULTURAS!$I$6:$I$28,$P1323),0.0001)))))</f>
        <v>0.615</v>
      </c>
      <c r="S1323" s="18" t="n">
        <f aca="false">IFERROR(INDEX(SEMANAS!$H$6:$H$71,MATCH($B1323,SEMANAS!$B$6:$B$71,0)),0)</f>
        <v>34.3</v>
      </c>
      <c r="T1323" s="18" t="n">
        <f aca="false">$R1323*$S1323</f>
        <v>21.0945</v>
      </c>
      <c r="U1323" s="18" t="n">
        <f aca="false">IFERROR(INDEX(SEMANAS!$I$6:$I$71,MATCH($B1323,SEMANAS!$B$6:$B$71,0)),0)</f>
        <v>46.69</v>
      </c>
      <c r="V1323" s="18" t="n">
        <f aca="false">IFERROR(INDEX(SEMANAS!$J$6:$J$71,MATCH($B1323,SEMANAS!$B$6:$B$71,0)),0)</f>
        <v>37.352</v>
      </c>
      <c r="W1323" s="18" t="n">
        <f aca="false">MAX(0,$T1323-$V1323)</f>
        <v>0</v>
      </c>
      <c r="X1323" s="19" t="n">
        <f aca="false">IFERROR(INDEX(CADASTRO_PIVOS!$K$6:$K$41,MATCH($E1323,CADASTRO_PIVOS!$B$6:$B$41,0)),EFICIENCIA_PADRAO)</f>
        <v>0.85</v>
      </c>
      <c r="Y1323" s="18" t="n">
        <f aca="false">IF($X1323&lt;=0,0,$W1323/$X1323)</f>
        <v>0</v>
      </c>
      <c r="Z1323" s="16" t="n">
        <f aca="false">$Y1323*$H1323*MM_PARA_M3_HA</f>
        <v>0</v>
      </c>
      <c r="AA1323" s="18" t="n">
        <f aca="false">IFERROR(INDEX(CADASTRO_PIVOS!$I$6:$I$41,MATCH($E1323,CADASTRO_PIVOS!$B$6:$B$41,0)),0)</f>
        <v>1071</v>
      </c>
      <c r="AB1323" s="18" t="n">
        <f aca="false">IF($Z1323&lt;=0,0,$Z1323/$AA1323)</f>
        <v>0</v>
      </c>
      <c r="AC1323" s="16" t="n">
        <f aca="false">IFERROR(INDEX(SEMANAS!$K$6:$K$71,MATCH($B1323,SEMANAS!$B$6:$B$71,0)),0)</f>
        <v>147</v>
      </c>
      <c r="AD1323" s="19" t="n">
        <f aca="false">IF($AC1323&lt;=0,0,$AB1323/$AC1323)</f>
        <v>0</v>
      </c>
      <c r="AE1323" s="8" t="str">
        <f aca="false">IF($K1323="SEM CULTURA","SEM CULTURA",IF($AA1323&lt;=0,"DADO PENDENTE",IF($AD1323&gt;LIMITE_CRITICO,"INVIAVEL",IF($AD1323&gt;LIMITE_ATENCAO,"CRITICO",IF($AD1323&gt;LIMITE_CONFORTAVEL,"ATENCAO","OK")))))</f>
        <v>OK</v>
      </c>
      <c r="AF1323" s="8" t="str">
        <f aca="false">$B1323&amp;"|"&amp;TEXT($AD1323,"0.000000")</f>
        <v>64|0.000000</v>
      </c>
      <c r="AG1323" s="18" t="n">
        <f aca="false">IF($K1323="SEM CULTURA",0,$T1323*$H1323)</f>
        <v>3162.90933</v>
      </c>
      <c r="AH1323" s="18" t="n">
        <f aca="false">IF($K1323="SEM CULTURA",0,$V1323*$H1323)</f>
        <v>5600.55888</v>
      </c>
      <c r="AI1323" s="18" t="n">
        <f aca="false">IF($K1323="SEM CULTURA",0,$W1323*$H1323)</f>
        <v>0</v>
      </c>
      <c r="AJ1323" s="18" t="n">
        <f aca="false">IF($K1323="SEM CULTURA",0,$S1323*$H1323)</f>
        <v>5142.942</v>
      </c>
      <c r="AK1323" s="8" t="str">
        <f aca="false">$E1323&amp;"|"&amp;TEXT($AD1323,"0.000000")</f>
        <v>PV 119|0.000000</v>
      </c>
    </row>
    <row r="1324" customFormat="false" ht="15" hidden="false" customHeight="false" outlineLevel="0" collapsed="false">
      <c r="B1324" s="16" t="n">
        <v>65</v>
      </c>
      <c r="C1324" s="17" t="n">
        <f aca="false">DATA_INICIO_SAFRA+($B1324-1)*DIAS_POR_SEMANA</f>
        <v>46713</v>
      </c>
      <c r="D1324" s="17" t="n">
        <f aca="false">$C1324+DIAS_POR_SEMANA-1</f>
        <v>46719</v>
      </c>
      <c r="E1324" s="15" t="s">
        <v>278</v>
      </c>
      <c r="F1324" s="8" t="str">
        <f aca="false">IFERROR(INDEX(CADASTRO_PIVOS!$C$6:$C$41,MATCH($E1324,CADASTRO_PIVOS!$B$6:$B$41,0)),"?")</f>
        <v>RM06</v>
      </c>
      <c r="G1324" s="8" t="str">
        <f aca="false">IFERROR(INDEX(CADASTRO_PIVOS!$D$6:$D$41,MATCH($E1324,CADASTRO_PIVOS!$B$6:$B$41,0)),"?")</f>
        <v>TR06</v>
      </c>
      <c r="H1324" s="20" t="n">
        <f aca="false">IFERROR(INDEX(CADASTRO_PIVOS!$E$6:$E$41,MATCH($E1324,CADASTRO_PIVOS!$B$6:$B$41,0)),0)</f>
        <v>149.94</v>
      </c>
      <c r="I1324" s="16" t="n">
        <f aca="false">IFERROR(SUMIFS(ROTACAO_RDM!$B$6:$B$71,ROTACAO_RDM!$D$6:$D$71,$E1324,ROTACAO_RDM!$I$6:$I$71,"&lt;="&amp;$C1324+INT(DIAS_POR_SEMANA/2),ROTACAO_RDM!$J$6:$J$71,"&gt;="&amp;$C1324+INT(DIAS_POR_SEMANA/2)),0)</f>
        <v>0</v>
      </c>
      <c r="J1324" s="16" t="n">
        <f aca="false">IFERROR(MATCH($I1324,ROTACAO_RDM!$B$6:$B$71,0),0)</f>
        <v>0</v>
      </c>
      <c r="K1324" s="8" t="str">
        <f aca="false">IF($J1324=0,"SEM CULTURA",INDEX(ROTACAO_RDM!$F$6:$F$71,$J1324))</f>
        <v>SEM CULTURA</v>
      </c>
      <c r="L1324" s="8" t="str">
        <f aca="false">IF($J1324=0,"",INDEX(ROTACAO_RDM!$G$6:$G$71,$J1324))</f>
        <v/>
      </c>
      <c r="M1324" s="17" t="str">
        <f aca="false">IF($J1324=0,"",INDEX(ROTACAO_RDM!$I$6:$I$71,$J1324))</f>
        <v/>
      </c>
      <c r="N1324" s="16" t="n">
        <f aca="false">IF($J1324=0,0,MAX(0,$C1324+INT(DIAS_POR_SEMANA/2)-INDEX(ROTACAO_RDM!$I$6:$I$71,$J1324)))</f>
        <v>0</v>
      </c>
      <c r="O1324" s="19" t="n">
        <f aca="false">IF($J1324=0,0,MIN(1,$N1324/MAX(1,INDEX(ROTACAO_RDM!$K$6:$K$71,$J1324))))</f>
        <v>0</v>
      </c>
      <c r="P1324" s="16" t="n">
        <f aca="false">IF($J1324=0,0,IFERROR(MATCH(INDEX(ROTACAO_RDM!$N$6:$N$71,$J1324),PARAMETROS_CULTURAS!$B$6:$B$28,0),0))</f>
        <v>0</v>
      </c>
      <c r="Q1324" s="8" t="str">
        <f aca="false">IF($P1324=0,"-",IF($O1324&lt;=INDEX(PARAMETROS_CULTURAS!$F$6:$F$28,$P1324),"INICIAL",IF($O1324&lt;=INDEX(PARAMETROS_CULTURAS!$F$6:$F$28,$P1324)+INDEX(PARAMETROS_CULTURAS!$G$6:$G$28,$P1324),"DESENVOLVIMENTO",IF($O1324&lt;=INDEX(PARAMETROS_CULTURAS!$F$6:$F$28,$P1324)+INDEX(PARAMETROS_CULTURAS!$G$6:$G$28,$P1324)+INDEX(PARAMETROS_CULTURAS!$H$6:$H$28,$P1324),"MEDIA","FINAL"))))</f>
        <v>-</v>
      </c>
      <c r="R1324" s="24" t="n">
        <f aca="false">IF($P1324=0,0,IF($O1324&lt;=INDEX(PARAMETROS_CULTURAS!$F$6:$F$28,$P1324),INDEX(PARAMETROS_CULTURAS!$K$6:$K$28,$P1324),IF($O1324&lt;=INDEX(PARAMETROS_CULTURAS!$F$6:$F$28,$P1324)+INDEX(PARAMETROS_CULTURAS!$G$6:$G$28,$P1324),INDEX(PARAMETROS_CULTURAS!$K$6:$K$28,$P1324)+(INDEX(PARAMETROS_CULTURAS!$L$6:$L$28,$P1324)-INDEX(PARAMETROS_CULTURAS!$K$6:$K$28,$P1324))*($O1324-INDEX(PARAMETROS_CULTURAS!$F$6:$F$28,$P1324))/MAX(INDEX(PARAMETROS_CULTURAS!$G$6:$G$28,$P1324),0.0001),IF($O1324&lt;=INDEX(PARAMETROS_CULTURAS!$F$6:$F$28,$P1324)+INDEX(PARAMETROS_CULTURAS!$G$6:$G$28,$P1324)+INDEX(PARAMETROS_CULTURAS!$H$6:$H$28,$P1324),INDEX(PARAMETROS_CULTURAS!$L$6:$L$28,$P1324),INDEX(PARAMETROS_CULTURAS!$L$6:$L$28,$P1324)+(INDEX(PARAMETROS_CULTURAS!$M$6:$M$28,$P1324)-INDEX(PARAMETROS_CULTURAS!$L$6:$L$28,$P1324))*($O1324-INDEX(PARAMETROS_CULTURAS!$F$6:$F$28,$P1324)-INDEX(PARAMETROS_CULTURAS!$G$6:$G$28,$P1324)-INDEX(PARAMETROS_CULTURAS!$H$6:$H$28,$P1324))/MAX(INDEX(PARAMETROS_CULTURAS!$I$6:$I$28,$P1324),0.0001)))))</f>
        <v>0</v>
      </c>
      <c r="S1324" s="18" t="n">
        <f aca="false">IFERROR(INDEX(SEMANAS!$H$6:$H$71,MATCH($B1324,SEMANAS!$B$6:$B$71,0)),0)</f>
        <v>34.3</v>
      </c>
      <c r="T1324" s="18" t="n">
        <f aca="false">$R1324*$S1324</f>
        <v>0</v>
      </c>
      <c r="U1324" s="18" t="n">
        <f aca="false">IFERROR(INDEX(SEMANAS!$I$6:$I$71,MATCH($B1324,SEMANAS!$B$6:$B$71,0)),0)</f>
        <v>46.69</v>
      </c>
      <c r="V1324" s="18" t="n">
        <f aca="false">IFERROR(INDEX(SEMANAS!$J$6:$J$71,MATCH($B1324,SEMANAS!$B$6:$B$71,0)),0)</f>
        <v>37.352</v>
      </c>
      <c r="W1324" s="18" t="n">
        <f aca="false">MAX(0,$T1324-$V1324)</f>
        <v>0</v>
      </c>
      <c r="X1324" s="19" t="n">
        <f aca="false">IFERROR(INDEX(CADASTRO_PIVOS!$K$6:$K$41,MATCH($E1324,CADASTRO_PIVOS!$B$6:$B$41,0)),EFICIENCIA_PADRAO)</f>
        <v>0.85</v>
      </c>
      <c r="Y1324" s="18" t="n">
        <f aca="false">IF($X1324&lt;=0,0,$W1324/$X1324)</f>
        <v>0</v>
      </c>
      <c r="Z1324" s="16" t="n">
        <f aca="false">$Y1324*$H1324*MM_PARA_M3_HA</f>
        <v>0</v>
      </c>
      <c r="AA1324" s="18" t="n">
        <f aca="false">IFERROR(INDEX(CADASTRO_PIVOS!$I$6:$I$41,MATCH($E1324,CADASTRO_PIVOS!$B$6:$B$41,0)),0)</f>
        <v>1071</v>
      </c>
      <c r="AB1324" s="18" t="n">
        <f aca="false">IF($Z1324&lt;=0,0,$Z1324/$AA1324)</f>
        <v>0</v>
      </c>
      <c r="AC1324" s="16" t="n">
        <f aca="false">IFERROR(INDEX(SEMANAS!$K$6:$K$71,MATCH($B1324,SEMANAS!$B$6:$B$71,0)),0)</f>
        <v>147</v>
      </c>
      <c r="AD1324" s="19" t="n">
        <f aca="false">IF($AC1324&lt;=0,0,$AB1324/$AC1324)</f>
        <v>0</v>
      </c>
      <c r="AE1324" s="8" t="str">
        <f aca="false">IF($K1324="SEM CULTURA","SEM CULTURA",IF($AA1324&lt;=0,"DADO PENDENTE",IF($AD1324&gt;LIMITE_CRITICO,"INVIAVEL",IF($AD1324&gt;LIMITE_ATENCAO,"CRITICO",IF($AD1324&gt;LIMITE_CONFORTAVEL,"ATENCAO","OK")))))</f>
        <v>SEM CULTURA</v>
      </c>
      <c r="AF1324" s="8" t="str">
        <f aca="false">$B1324&amp;"|"&amp;TEXT($AD1324,"0.000000")</f>
        <v>65|0.000000</v>
      </c>
      <c r="AG1324" s="18" t="n">
        <f aca="false">IF($K1324="SEM CULTURA",0,$T1324*$H1324)</f>
        <v>0</v>
      </c>
      <c r="AH1324" s="18" t="n">
        <f aca="false">IF($K1324="SEM CULTURA",0,$V1324*$H1324)</f>
        <v>0</v>
      </c>
      <c r="AI1324" s="18" t="n">
        <f aca="false">IF($K1324="SEM CULTURA",0,$W1324*$H1324)</f>
        <v>0</v>
      </c>
      <c r="AJ1324" s="18" t="n">
        <f aca="false">IF($K1324="SEM CULTURA",0,$S1324*$H1324)</f>
        <v>0</v>
      </c>
      <c r="AK1324" s="8" t="str">
        <f aca="false">$E1324&amp;"|"&amp;TEXT($AD1324,"0.000000")</f>
        <v>PV 119|0.000000</v>
      </c>
    </row>
    <row r="1325" customFormat="false" ht="15" hidden="false" customHeight="false" outlineLevel="0" collapsed="false">
      <c r="B1325" s="16" t="n">
        <v>66</v>
      </c>
      <c r="C1325" s="17" t="n">
        <f aca="false">DATA_INICIO_SAFRA+($B1325-1)*DIAS_POR_SEMANA</f>
        <v>46720</v>
      </c>
      <c r="D1325" s="17" t="n">
        <f aca="false">$C1325+DIAS_POR_SEMANA-1</f>
        <v>46726</v>
      </c>
      <c r="E1325" s="15" t="s">
        <v>278</v>
      </c>
      <c r="F1325" s="8" t="str">
        <f aca="false">IFERROR(INDEX(CADASTRO_PIVOS!$C$6:$C$41,MATCH($E1325,CADASTRO_PIVOS!$B$6:$B$41,0)),"?")</f>
        <v>RM06</v>
      </c>
      <c r="G1325" s="8" t="str">
        <f aca="false">IFERROR(INDEX(CADASTRO_PIVOS!$D$6:$D$41,MATCH($E1325,CADASTRO_PIVOS!$B$6:$B$41,0)),"?")</f>
        <v>TR06</v>
      </c>
      <c r="H1325" s="20" t="n">
        <f aca="false">IFERROR(INDEX(CADASTRO_PIVOS!$E$6:$E$41,MATCH($E1325,CADASTRO_PIVOS!$B$6:$B$41,0)),0)</f>
        <v>149.94</v>
      </c>
      <c r="I1325" s="16" t="n">
        <f aca="false">IFERROR(SUMIFS(ROTACAO_RDM!$B$6:$B$71,ROTACAO_RDM!$D$6:$D$71,$E1325,ROTACAO_RDM!$I$6:$I$71,"&lt;="&amp;$C1325+INT(DIAS_POR_SEMANA/2),ROTACAO_RDM!$J$6:$J$71,"&gt;="&amp;$C1325+INT(DIAS_POR_SEMANA/2)),0)</f>
        <v>0</v>
      </c>
      <c r="J1325" s="16" t="n">
        <f aca="false">IFERROR(MATCH($I1325,ROTACAO_RDM!$B$6:$B$71,0),0)</f>
        <v>0</v>
      </c>
      <c r="K1325" s="8" t="str">
        <f aca="false">IF($J1325=0,"SEM CULTURA",INDEX(ROTACAO_RDM!$F$6:$F$71,$J1325))</f>
        <v>SEM CULTURA</v>
      </c>
      <c r="L1325" s="8" t="str">
        <f aca="false">IF($J1325=0,"",INDEX(ROTACAO_RDM!$G$6:$G$71,$J1325))</f>
        <v/>
      </c>
      <c r="M1325" s="17" t="str">
        <f aca="false">IF($J1325=0,"",INDEX(ROTACAO_RDM!$I$6:$I$71,$J1325))</f>
        <v/>
      </c>
      <c r="N1325" s="16" t="n">
        <f aca="false">IF($J1325=0,0,MAX(0,$C1325+INT(DIAS_POR_SEMANA/2)-INDEX(ROTACAO_RDM!$I$6:$I$71,$J1325)))</f>
        <v>0</v>
      </c>
      <c r="O1325" s="19" t="n">
        <f aca="false">IF($J1325=0,0,MIN(1,$N1325/MAX(1,INDEX(ROTACAO_RDM!$K$6:$K$71,$J1325))))</f>
        <v>0</v>
      </c>
      <c r="P1325" s="16" t="n">
        <f aca="false">IF($J1325=0,0,IFERROR(MATCH(INDEX(ROTACAO_RDM!$N$6:$N$71,$J1325),PARAMETROS_CULTURAS!$B$6:$B$28,0),0))</f>
        <v>0</v>
      </c>
      <c r="Q1325" s="8" t="str">
        <f aca="false">IF($P1325=0,"-",IF($O1325&lt;=INDEX(PARAMETROS_CULTURAS!$F$6:$F$28,$P1325),"INICIAL",IF($O1325&lt;=INDEX(PARAMETROS_CULTURAS!$F$6:$F$28,$P1325)+INDEX(PARAMETROS_CULTURAS!$G$6:$G$28,$P1325),"DESENVOLVIMENTO",IF($O1325&lt;=INDEX(PARAMETROS_CULTURAS!$F$6:$F$28,$P1325)+INDEX(PARAMETROS_CULTURAS!$G$6:$G$28,$P1325)+INDEX(PARAMETROS_CULTURAS!$H$6:$H$28,$P1325),"MEDIA","FINAL"))))</f>
        <v>-</v>
      </c>
      <c r="R1325" s="24" t="n">
        <f aca="false">IF($P1325=0,0,IF($O1325&lt;=INDEX(PARAMETROS_CULTURAS!$F$6:$F$28,$P1325),INDEX(PARAMETROS_CULTURAS!$K$6:$K$28,$P1325),IF($O1325&lt;=INDEX(PARAMETROS_CULTURAS!$F$6:$F$28,$P1325)+INDEX(PARAMETROS_CULTURAS!$G$6:$G$28,$P1325),INDEX(PARAMETROS_CULTURAS!$K$6:$K$28,$P1325)+(INDEX(PARAMETROS_CULTURAS!$L$6:$L$28,$P1325)-INDEX(PARAMETROS_CULTURAS!$K$6:$K$28,$P1325))*($O1325-INDEX(PARAMETROS_CULTURAS!$F$6:$F$28,$P1325))/MAX(INDEX(PARAMETROS_CULTURAS!$G$6:$G$28,$P1325),0.0001),IF($O1325&lt;=INDEX(PARAMETROS_CULTURAS!$F$6:$F$28,$P1325)+INDEX(PARAMETROS_CULTURAS!$G$6:$G$28,$P1325)+INDEX(PARAMETROS_CULTURAS!$H$6:$H$28,$P1325),INDEX(PARAMETROS_CULTURAS!$L$6:$L$28,$P1325),INDEX(PARAMETROS_CULTURAS!$L$6:$L$28,$P1325)+(INDEX(PARAMETROS_CULTURAS!$M$6:$M$28,$P1325)-INDEX(PARAMETROS_CULTURAS!$L$6:$L$28,$P1325))*($O1325-INDEX(PARAMETROS_CULTURAS!$F$6:$F$28,$P1325)-INDEX(PARAMETROS_CULTURAS!$G$6:$G$28,$P1325)-INDEX(PARAMETROS_CULTURAS!$H$6:$H$28,$P1325))/MAX(INDEX(PARAMETROS_CULTURAS!$I$6:$I$28,$P1325),0.0001)))))</f>
        <v>0</v>
      </c>
      <c r="S1325" s="18" t="n">
        <f aca="false">IFERROR(INDEX(SEMANAS!$H$6:$H$71,MATCH($B1325,SEMANAS!$B$6:$B$71,0)),0)</f>
        <v>33.3</v>
      </c>
      <c r="T1325" s="18" t="n">
        <f aca="false">$R1325*$S1325</f>
        <v>0</v>
      </c>
      <c r="U1325" s="18" t="n">
        <f aca="false">IFERROR(INDEX(SEMANAS!$I$6:$I$71,MATCH($B1325,SEMANAS!$B$6:$B$71,0)),0)</f>
        <v>48.04</v>
      </c>
      <c r="V1325" s="18" t="n">
        <f aca="false">IFERROR(INDEX(SEMANAS!$J$6:$J$71,MATCH($B1325,SEMANAS!$B$6:$B$71,0)),0)</f>
        <v>38.432</v>
      </c>
      <c r="W1325" s="18" t="n">
        <f aca="false">MAX(0,$T1325-$V1325)</f>
        <v>0</v>
      </c>
      <c r="X1325" s="19" t="n">
        <f aca="false">IFERROR(INDEX(CADASTRO_PIVOS!$K$6:$K$41,MATCH($E1325,CADASTRO_PIVOS!$B$6:$B$41,0)),EFICIENCIA_PADRAO)</f>
        <v>0.85</v>
      </c>
      <c r="Y1325" s="18" t="n">
        <f aca="false">IF($X1325&lt;=0,0,$W1325/$X1325)</f>
        <v>0</v>
      </c>
      <c r="Z1325" s="16" t="n">
        <f aca="false">$Y1325*$H1325*MM_PARA_M3_HA</f>
        <v>0</v>
      </c>
      <c r="AA1325" s="18" t="n">
        <f aca="false">IFERROR(INDEX(CADASTRO_PIVOS!$I$6:$I$41,MATCH($E1325,CADASTRO_PIVOS!$B$6:$B$41,0)),0)</f>
        <v>1071</v>
      </c>
      <c r="AB1325" s="18" t="n">
        <f aca="false">IF($Z1325&lt;=0,0,$Z1325/$AA1325)</f>
        <v>0</v>
      </c>
      <c r="AC1325" s="16" t="n">
        <f aca="false">IFERROR(INDEX(SEMANAS!$K$6:$K$71,MATCH($B1325,SEMANAS!$B$6:$B$71,0)),0)</f>
        <v>147</v>
      </c>
      <c r="AD1325" s="19" t="n">
        <f aca="false">IF($AC1325&lt;=0,0,$AB1325/$AC1325)</f>
        <v>0</v>
      </c>
      <c r="AE1325" s="8" t="str">
        <f aca="false">IF($K1325="SEM CULTURA","SEM CULTURA",IF($AA1325&lt;=0,"DADO PENDENTE",IF($AD1325&gt;LIMITE_CRITICO,"INVIAVEL",IF($AD1325&gt;LIMITE_ATENCAO,"CRITICO",IF($AD1325&gt;LIMITE_CONFORTAVEL,"ATENCAO","OK")))))</f>
        <v>SEM CULTURA</v>
      </c>
      <c r="AF1325" s="8" t="str">
        <f aca="false">$B1325&amp;"|"&amp;TEXT($AD1325,"0.000000")</f>
        <v>66|0.000000</v>
      </c>
      <c r="AG1325" s="18" t="n">
        <f aca="false">IF($K1325="SEM CULTURA",0,$T1325*$H1325)</f>
        <v>0</v>
      </c>
      <c r="AH1325" s="18" t="n">
        <f aca="false">IF($K1325="SEM CULTURA",0,$V1325*$H1325)</f>
        <v>0</v>
      </c>
      <c r="AI1325" s="18" t="n">
        <f aca="false">IF($K1325="SEM CULTURA",0,$W1325*$H1325)</f>
        <v>0</v>
      </c>
      <c r="AJ1325" s="18" t="n">
        <f aca="false">IF($K1325="SEM CULTURA",0,$S1325*$H1325)</f>
        <v>0</v>
      </c>
      <c r="AK1325" s="8" t="str">
        <f aca="false">$E1325&amp;"|"&amp;TEXT($AD1325,"0.000000")</f>
        <v>PV 119|0.000000</v>
      </c>
    </row>
    <row r="1326" customFormat="false" ht="15" hidden="false" customHeight="false" outlineLevel="0" collapsed="false">
      <c r="B1326" s="16" t="n">
        <v>1</v>
      </c>
      <c r="C1326" s="17" t="n">
        <f aca="false">DATA_INICIO_SAFRA+($B1326-1)*DIAS_POR_SEMANA</f>
        <v>46265</v>
      </c>
      <c r="D1326" s="17" t="n">
        <f aca="false">$C1326+DIAS_POR_SEMANA-1</f>
        <v>46271</v>
      </c>
      <c r="E1326" s="15" t="s">
        <v>279</v>
      </c>
      <c r="F1326" s="8" t="str">
        <f aca="false">IFERROR(INDEX(CADASTRO_PIVOS!$C$6:$C$41,MATCH($E1326,CADASTRO_PIVOS!$B$6:$B$41,0)),"?")</f>
        <v>RM06</v>
      </c>
      <c r="G1326" s="8" t="str">
        <f aca="false">IFERROR(INDEX(CADASTRO_PIVOS!$D$6:$D$41,MATCH($E1326,CADASTRO_PIVOS!$B$6:$B$41,0)),"?")</f>
        <v>TR06</v>
      </c>
      <c r="H1326" s="20" t="n">
        <f aca="false">IFERROR(INDEX(CADASTRO_PIVOS!$E$6:$E$41,MATCH($E1326,CADASTRO_PIVOS!$B$6:$B$41,0)),0)</f>
        <v>139.94</v>
      </c>
      <c r="I1326" s="16" t="n">
        <f aca="false">IFERROR(SUMIFS(ROTACAO_RDM!$B$6:$B$71,ROTACAO_RDM!$D$6:$D$71,$E1326,ROTACAO_RDM!$I$6:$I$71,"&lt;="&amp;$C1326+INT(DIAS_POR_SEMANA/2),ROTACAO_RDM!$J$6:$J$71,"&gt;="&amp;$C1326+INT(DIAS_POR_SEMANA/2)),0)</f>
        <v>0</v>
      </c>
      <c r="J1326" s="16" t="n">
        <f aca="false">IFERROR(MATCH($I1326,ROTACAO_RDM!$B$6:$B$71,0),0)</f>
        <v>0</v>
      </c>
      <c r="K1326" s="8" t="str">
        <f aca="false">IF($J1326=0,"SEM CULTURA",INDEX(ROTACAO_RDM!$F$6:$F$71,$J1326))</f>
        <v>SEM CULTURA</v>
      </c>
      <c r="L1326" s="8" t="str">
        <f aca="false">IF($J1326=0,"",INDEX(ROTACAO_RDM!$G$6:$G$71,$J1326))</f>
        <v/>
      </c>
      <c r="M1326" s="17" t="str">
        <f aca="false">IF($J1326=0,"",INDEX(ROTACAO_RDM!$I$6:$I$71,$J1326))</f>
        <v/>
      </c>
      <c r="N1326" s="16" t="n">
        <f aca="false">IF($J1326=0,0,MAX(0,$C1326+INT(DIAS_POR_SEMANA/2)-INDEX(ROTACAO_RDM!$I$6:$I$71,$J1326)))</f>
        <v>0</v>
      </c>
      <c r="O1326" s="19" t="n">
        <f aca="false">IF($J1326=0,0,MIN(1,$N1326/MAX(1,INDEX(ROTACAO_RDM!$K$6:$K$71,$J1326))))</f>
        <v>0</v>
      </c>
      <c r="P1326" s="16" t="n">
        <f aca="false">IF($J1326=0,0,IFERROR(MATCH(INDEX(ROTACAO_RDM!$N$6:$N$71,$J1326),PARAMETROS_CULTURAS!$B$6:$B$28,0),0))</f>
        <v>0</v>
      </c>
      <c r="Q1326" s="8" t="str">
        <f aca="false">IF($P1326=0,"-",IF($O1326&lt;=INDEX(PARAMETROS_CULTURAS!$F$6:$F$28,$P1326),"INICIAL",IF($O1326&lt;=INDEX(PARAMETROS_CULTURAS!$F$6:$F$28,$P1326)+INDEX(PARAMETROS_CULTURAS!$G$6:$G$28,$P1326),"DESENVOLVIMENTO",IF($O1326&lt;=INDEX(PARAMETROS_CULTURAS!$F$6:$F$28,$P1326)+INDEX(PARAMETROS_CULTURAS!$G$6:$G$28,$P1326)+INDEX(PARAMETROS_CULTURAS!$H$6:$H$28,$P1326),"MEDIA","FINAL"))))</f>
        <v>-</v>
      </c>
      <c r="R1326" s="24" t="n">
        <f aca="false">IF($P1326=0,0,IF($O1326&lt;=INDEX(PARAMETROS_CULTURAS!$F$6:$F$28,$P1326),INDEX(PARAMETROS_CULTURAS!$K$6:$K$28,$P1326),IF($O1326&lt;=INDEX(PARAMETROS_CULTURAS!$F$6:$F$28,$P1326)+INDEX(PARAMETROS_CULTURAS!$G$6:$G$28,$P1326),INDEX(PARAMETROS_CULTURAS!$K$6:$K$28,$P1326)+(INDEX(PARAMETROS_CULTURAS!$L$6:$L$28,$P1326)-INDEX(PARAMETROS_CULTURAS!$K$6:$K$28,$P1326))*($O1326-INDEX(PARAMETROS_CULTURAS!$F$6:$F$28,$P1326))/MAX(INDEX(PARAMETROS_CULTURAS!$G$6:$G$28,$P1326),0.0001),IF($O1326&lt;=INDEX(PARAMETROS_CULTURAS!$F$6:$F$28,$P1326)+INDEX(PARAMETROS_CULTURAS!$G$6:$G$28,$P1326)+INDEX(PARAMETROS_CULTURAS!$H$6:$H$28,$P1326),INDEX(PARAMETROS_CULTURAS!$L$6:$L$28,$P1326),INDEX(PARAMETROS_CULTURAS!$L$6:$L$28,$P1326)+(INDEX(PARAMETROS_CULTURAS!$M$6:$M$28,$P1326)-INDEX(PARAMETROS_CULTURAS!$L$6:$L$28,$P1326))*($O1326-INDEX(PARAMETROS_CULTURAS!$F$6:$F$28,$P1326)-INDEX(PARAMETROS_CULTURAS!$G$6:$G$28,$P1326)-INDEX(PARAMETROS_CULTURAS!$H$6:$H$28,$P1326))/MAX(INDEX(PARAMETROS_CULTURAS!$I$6:$I$28,$P1326),0.0001)))))</f>
        <v>0</v>
      </c>
      <c r="S1326" s="18" t="n">
        <f aca="false">IFERROR(INDEX(SEMANAS!$H$6:$H$71,MATCH($B1326,SEMANAS!$B$6:$B$71,0)),0)</f>
        <v>40</v>
      </c>
      <c r="T1326" s="18" t="n">
        <f aca="false">$R1326*$S1326</f>
        <v>0</v>
      </c>
      <c r="U1326" s="18" t="n">
        <f aca="false">IFERROR(INDEX(SEMANAS!$I$6:$I$71,MATCH($B1326,SEMANAS!$B$6:$B$71,0)),0)</f>
        <v>6.16</v>
      </c>
      <c r="V1326" s="18" t="n">
        <f aca="false">IFERROR(INDEX(SEMANAS!$J$6:$J$71,MATCH($B1326,SEMANAS!$B$6:$B$71,0)),0)</f>
        <v>4.928</v>
      </c>
      <c r="W1326" s="18" t="n">
        <f aca="false">MAX(0,$T1326-$V1326)</f>
        <v>0</v>
      </c>
      <c r="X1326" s="19" t="n">
        <f aca="false">IFERROR(INDEX(CADASTRO_PIVOS!$K$6:$K$41,MATCH($E1326,CADASTRO_PIVOS!$B$6:$B$41,0)),EFICIENCIA_PADRAO)</f>
        <v>0.85</v>
      </c>
      <c r="Y1326" s="18" t="n">
        <f aca="false">IF($X1326&lt;=0,0,$W1326/$X1326)</f>
        <v>0</v>
      </c>
      <c r="Z1326" s="16" t="n">
        <f aca="false">$Y1326*$H1326*MM_PARA_M3_HA</f>
        <v>0</v>
      </c>
      <c r="AA1326" s="18" t="n">
        <f aca="false">IFERROR(INDEX(CADASTRO_PIVOS!$I$6:$I$41,MATCH($E1326,CADASTRO_PIVOS!$B$6:$B$41,0)),0)</f>
        <v>932.933333333333</v>
      </c>
      <c r="AB1326" s="18" t="n">
        <f aca="false">IF($Z1326&lt;=0,0,$Z1326/$AA1326)</f>
        <v>0</v>
      </c>
      <c r="AC1326" s="16" t="n">
        <f aca="false">IFERROR(INDEX(SEMANAS!$K$6:$K$71,MATCH($B1326,SEMANAS!$B$6:$B$71,0)),0)</f>
        <v>147</v>
      </c>
      <c r="AD1326" s="19" t="n">
        <f aca="false">IF($AC1326&lt;=0,0,$AB1326/$AC1326)</f>
        <v>0</v>
      </c>
      <c r="AE1326" s="8" t="str">
        <f aca="false">IF($K1326="SEM CULTURA","SEM CULTURA",IF($AA1326&lt;=0,"DADO PENDENTE",IF($AD1326&gt;LIMITE_CRITICO,"INVIAVEL",IF($AD1326&gt;LIMITE_ATENCAO,"CRITICO",IF($AD1326&gt;LIMITE_CONFORTAVEL,"ATENCAO","OK")))))</f>
        <v>SEM CULTURA</v>
      </c>
      <c r="AF1326" s="8" t="str">
        <f aca="false">$B1326&amp;"|"&amp;TEXT($AD1326,"0.000000")</f>
        <v>1|0.000000</v>
      </c>
      <c r="AG1326" s="18" t="n">
        <f aca="false">IF($K1326="SEM CULTURA",0,$T1326*$H1326)</f>
        <v>0</v>
      </c>
      <c r="AH1326" s="18" t="n">
        <f aca="false">IF($K1326="SEM CULTURA",0,$V1326*$H1326)</f>
        <v>0</v>
      </c>
      <c r="AI1326" s="18" t="n">
        <f aca="false">IF($K1326="SEM CULTURA",0,$W1326*$H1326)</f>
        <v>0</v>
      </c>
      <c r="AJ1326" s="18" t="n">
        <f aca="false">IF($K1326="SEM CULTURA",0,$S1326*$H1326)</f>
        <v>0</v>
      </c>
      <c r="AK1326" s="8" t="str">
        <f aca="false">$E1326&amp;"|"&amp;TEXT($AD1326,"0.000000")</f>
        <v>PV 128|0.000000</v>
      </c>
    </row>
    <row r="1327" customFormat="false" ht="15" hidden="false" customHeight="false" outlineLevel="0" collapsed="false">
      <c r="B1327" s="16" t="n">
        <v>2</v>
      </c>
      <c r="C1327" s="17" t="n">
        <f aca="false">DATA_INICIO_SAFRA+($B1327-1)*DIAS_POR_SEMANA</f>
        <v>46272</v>
      </c>
      <c r="D1327" s="17" t="n">
        <f aca="false">$C1327+DIAS_POR_SEMANA-1</f>
        <v>46278</v>
      </c>
      <c r="E1327" s="15" t="s">
        <v>279</v>
      </c>
      <c r="F1327" s="8" t="str">
        <f aca="false">IFERROR(INDEX(CADASTRO_PIVOS!$C$6:$C$41,MATCH($E1327,CADASTRO_PIVOS!$B$6:$B$41,0)),"?")</f>
        <v>RM06</v>
      </c>
      <c r="G1327" s="8" t="str">
        <f aca="false">IFERROR(INDEX(CADASTRO_PIVOS!$D$6:$D$41,MATCH($E1327,CADASTRO_PIVOS!$B$6:$B$41,0)),"?")</f>
        <v>TR06</v>
      </c>
      <c r="H1327" s="20" t="n">
        <f aca="false">IFERROR(INDEX(CADASTRO_PIVOS!$E$6:$E$41,MATCH($E1327,CADASTRO_PIVOS!$B$6:$B$41,0)),0)</f>
        <v>139.94</v>
      </c>
      <c r="I1327" s="16" t="n">
        <f aca="false">IFERROR(SUMIFS(ROTACAO_RDM!$B$6:$B$71,ROTACAO_RDM!$D$6:$D$71,$E1327,ROTACAO_RDM!$I$6:$I$71,"&lt;="&amp;$C1327+INT(DIAS_POR_SEMANA/2),ROTACAO_RDM!$J$6:$J$71,"&gt;="&amp;$C1327+INT(DIAS_POR_SEMANA/2)),0)</f>
        <v>0</v>
      </c>
      <c r="J1327" s="16" t="n">
        <f aca="false">IFERROR(MATCH($I1327,ROTACAO_RDM!$B$6:$B$71,0),0)</f>
        <v>0</v>
      </c>
      <c r="K1327" s="8" t="str">
        <f aca="false">IF($J1327=0,"SEM CULTURA",INDEX(ROTACAO_RDM!$F$6:$F$71,$J1327))</f>
        <v>SEM CULTURA</v>
      </c>
      <c r="L1327" s="8" t="str">
        <f aca="false">IF($J1327=0,"",INDEX(ROTACAO_RDM!$G$6:$G$71,$J1327))</f>
        <v/>
      </c>
      <c r="M1327" s="17" t="str">
        <f aca="false">IF($J1327=0,"",INDEX(ROTACAO_RDM!$I$6:$I$71,$J1327))</f>
        <v/>
      </c>
      <c r="N1327" s="16" t="n">
        <f aca="false">IF($J1327=0,0,MAX(0,$C1327+INT(DIAS_POR_SEMANA/2)-INDEX(ROTACAO_RDM!$I$6:$I$71,$J1327)))</f>
        <v>0</v>
      </c>
      <c r="O1327" s="19" t="n">
        <f aca="false">IF($J1327=0,0,MIN(1,$N1327/MAX(1,INDEX(ROTACAO_RDM!$K$6:$K$71,$J1327))))</f>
        <v>0</v>
      </c>
      <c r="P1327" s="16" t="n">
        <f aca="false">IF($J1327=0,0,IFERROR(MATCH(INDEX(ROTACAO_RDM!$N$6:$N$71,$J1327),PARAMETROS_CULTURAS!$B$6:$B$28,0),0))</f>
        <v>0</v>
      </c>
      <c r="Q1327" s="8" t="str">
        <f aca="false">IF($P1327=0,"-",IF($O1327&lt;=INDEX(PARAMETROS_CULTURAS!$F$6:$F$28,$P1327),"INICIAL",IF($O1327&lt;=INDEX(PARAMETROS_CULTURAS!$F$6:$F$28,$P1327)+INDEX(PARAMETROS_CULTURAS!$G$6:$G$28,$P1327),"DESENVOLVIMENTO",IF($O1327&lt;=INDEX(PARAMETROS_CULTURAS!$F$6:$F$28,$P1327)+INDEX(PARAMETROS_CULTURAS!$G$6:$G$28,$P1327)+INDEX(PARAMETROS_CULTURAS!$H$6:$H$28,$P1327),"MEDIA","FINAL"))))</f>
        <v>-</v>
      </c>
      <c r="R1327" s="24" t="n">
        <f aca="false">IF($P1327=0,0,IF($O1327&lt;=INDEX(PARAMETROS_CULTURAS!$F$6:$F$28,$P1327),INDEX(PARAMETROS_CULTURAS!$K$6:$K$28,$P1327),IF($O1327&lt;=INDEX(PARAMETROS_CULTURAS!$F$6:$F$28,$P1327)+INDEX(PARAMETROS_CULTURAS!$G$6:$G$28,$P1327),INDEX(PARAMETROS_CULTURAS!$K$6:$K$28,$P1327)+(INDEX(PARAMETROS_CULTURAS!$L$6:$L$28,$P1327)-INDEX(PARAMETROS_CULTURAS!$K$6:$K$28,$P1327))*($O1327-INDEX(PARAMETROS_CULTURAS!$F$6:$F$28,$P1327))/MAX(INDEX(PARAMETROS_CULTURAS!$G$6:$G$28,$P1327),0.0001),IF($O1327&lt;=INDEX(PARAMETROS_CULTURAS!$F$6:$F$28,$P1327)+INDEX(PARAMETROS_CULTURAS!$G$6:$G$28,$P1327)+INDEX(PARAMETROS_CULTURAS!$H$6:$H$28,$P1327),INDEX(PARAMETROS_CULTURAS!$L$6:$L$28,$P1327),INDEX(PARAMETROS_CULTURAS!$L$6:$L$28,$P1327)+(INDEX(PARAMETROS_CULTURAS!$M$6:$M$28,$P1327)-INDEX(PARAMETROS_CULTURAS!$L$6:$L$28,$P1327))*($O1327-INDEX(PARAMETROS_CULTURAS!$F$6:$F$28,$P1327)-INDEX(PARAMETROS_CULTURAS!$G$6:$G$28,$P1327)-INDEX(PARAMETROS_CULTURAS!$H$6:$H$28,$P1327))/MAX(INDEX(PARAMETROS_CULTURAS!$I$6:$I$28,$P1327),0.0001)))))</f>
        <v>0</v>
      </c>
      <c r="S1327" s="18" t="n">
        <f aca="false">IFERROR(INDEX(SEMANAS!$H$6:$H$71,MATCH($B1327,SEMANAS!$B$6:$B$71,0)),0)</f>
        <v>40.6</v>
      </c>
      <c r="T1327" s="18" t="n">
        <f aca="false">$R1327*$S1327</f>
        <v>0</v>
      </c>
      <c r="U1327" s="18" t="n">
        <f aca="false">IFERROR(INDEX(SEMANAS!$I$6:$I$71,MATCH($B1327,SEMANAS!$B$6:$B$71,0)),0)</f>
        <v>7</v>
      </c>
      <c r="V1327" s="18" t="n">
        <f aca="false">IFERROR(INDEX(SEMANAS!$J$6:$J$71,MATCH($B1327,SEMANAS!$B$6:$B$71,0)),0)</f>
        <v>5.6</v>
      </c>
      <c r="W1327" s="18" t="n">
        <f aca="false">MAX(0,$T1327-$V1327)</f>
        <v>0</v>
      </c>
      <c r="X1327" s="19" t="n">
        <f aca="false">IFERROR(INDEX(CADASTRO_PIVOS!$K$6:$K$41,MATCH($E1327,CADASTRO_PIVOS!$B$6:$B$41,0)),EFICIENCIA_PADRAO)</f>
        <v>0.85</v>
      </c>
      <c r="Y1327" s="18" t="n">
        <f aca="false">IF($X1327&lt;=0,0,$W1327/$X1327)</f>
        <v>0</v>
      </c>
      <c r="Z1327" s="16" t="n">
        <f aca="false">$Y1327*$H1327*MM_PARA_M3_HA</f>
        <v>0</v>
      </c>
      <c r="AA1327" s="18" t="n">
        <f aca="false">IFERROR(INDEX(CADASTRO_PIVOS!$I$6:$I$41,MATCH($E1327,CADASTRO_PIVOS!$B$6:$B$41,0)),0)</f>
        <v>932.933333333333</v>
      </c>
      <c r="AB1327" s="18" t="n">
        <f aca="false">IF($Z1327&lt;=0,0,$Z1327/$AA1327)</f>
        <v>0</v>
      </c>
      <c r="AC1327" s="16" t="n">
        <f aca="false">IFERROR(INDEX(SEMANAS!$K$6:$K$71,MATCH($B1327,SEMANAS!$B$6:$B$71,0)),0)</f>
        <v>147</v>
      </c>
      <c r="AD1327" s="19" t="n">
        <f aca="false">IF($AC1327&lt;=0,0,$AB1327/$AC1327)</f>
        <v>0</v>
      </c>
      <c r="AE1327" s="8" t="str">
        <f aca="false">IF($K1327="SEM CULTURA","SEM CULTURA",IF($AA1327&lt;=0,"DADO PENDENTE",IF($AD1327&gt;LIMITE_CRITICO,"INVIAVEL",IF($AD1327&gt;LIMITE_ATENCAO,"CRITICO",IF($AD1327&gt;LIMITE_CONFORTAVEL,"ATENCAO","OK")))))</f>
        <v>SEM CULTURA</v>
      </c>
      <c r="AF1327" s="8" t="str">
        <f aca="false">$B1327&amp;"|"&amp;TEXT($AD1327,"0.000000")</f>
        <v>2|0.000000</v>
      </c>
      <c r="AG1327" s="18" t="n">
        <f aca="false">IF($K1327="SEM CULTURA",0,$T1327*$H1327)</f>
        <v>0</v>
      </c>
      <c r="AH1327" s="18" t="n">
        <f aca="false">IF($K1327="SEM CULTURA",0,$V1327*$H1327)</f>
        <v>0</v>
      </c>
      <c r="AI1327" s="18" t="n">
        <f aca="false">IF($K1327="SEM CULTURA",0,$W1327*$H1327)</f>
        <v>0</v>
      </c>
      <c r="AJ1327" s="18" t="n">
        <f aca="false">IF($K1327="SEM CULTURA",0,$S1327*$H1327)</f>
        <v>0</v>
      </c>
      <c r="AK1327" s="8" t="str">
        <f aca="false">$E1327&amp;"|"&amp;TEXT($AD1327,"0.000000")</f>
        <v>PV 128|0.000000</v>
      </c>
    </row>
    <row r="1328" customFormat="false" ht="15" hidden="false" customHeight="false" outlineLevel="0" collapsed="false">
      <c r="B1328" s="16" t="n">
        <v>3</v>
      </c>
      <c r="C1328" s="17" t="n">
        <f aca="false">DATA_INICIO_SAFRA+($B1328-1)*DIAS_POR_SEMANA</f>
        <v>46279</v>
      </c>
      <c r="D1328" s="17" t="n">
        <f aca="false">$C1328+DIAS_POR_SEMANA-1</f>
        <v>46285</v>
      </c>
      <c r="E1328" s="15" t="s">
        <v>279</v>
      </c>
      <c r="F1328" s="8" t="str">
        <f aca="false">IFERROR(INDEX(CADASTRO_PIVOS!$C$6:$C$41,MATCH($E1328,CADASTRO_PIVOS!$B$6:$B$41,0)),"?")</f>
        <v>RM06</v>
      </c>
      <c r="G1328" s="8" t="str">
        <f aca="false">IFERROR(INDEX(CADASTRO_PIVOS!$D$6:$D$41,MATCH($E1328,CADASTRO_PIVOS!$B$6:$B$41,0)),"?")</f>
        <v>TR06</v>
      </c>
      <c r="H1328" s="20" t="n">
        <f aca="false">IFERROR(INDEX(CADASTRO_PIVOS!$E$6:$E$41,MATCH($E1328,CADASTRO_PIVOS!$B$6:$B$41,0)),0)</f>
        <v>139.94</v>
      </c>
      <c r="I1328" s="16" t="n">
        <f aca="false">IFERROR(SUMIFS(ROTACAO_RDM!$B$6:$B$71,ROTACAO_RDM!$D$6:$D$71,$E1328,ROTACAO_RDM!$I$6:$I$71,"&lt;="&amp;$C1328+INT(DIAS_POR_SEMANA/2),ROTACAO_RDM!$J$6:$J$71,"&gt;="&amp;$C1328+INT(DIAS_POR_SEMANA/2)),0)</f>
        <v>0</v>
      </c>
      <c r="J1328" s="16" t="n">
        <f aca="false">IFERROR(MATCH($I1328,ROTACAO_RDM!$B$6:$B$71,0),0)</f>
        <v>0</v>
      </c>
      <c r="K1328" s="8" t="str">
        <f aca="false">IF($J1328=0,"SEM CULTURA",INDEX(ROTACAO_RDM!$F$6:$F$71,$J1328))</f>
        <v>SEM CULTURA</v>
      </c>
      <c r="L1328" s="8" t="str">
        <f aca="false">IF($J1328=0,"",INDEX(ROTACAO_RDM!$G$6:$G$71,$J1328))</f>
        <v/>
      </c>
      <c r="M1328" s="17" t="str">
        <f aca="false">IF($J1328=0,"",INDEX(ROTACAO_RDM!$I$6:$I$71,$J1328))</f>
        <v/>
      </c>
      <c r="N1328" s="16" t="n">
        <f aca="false">IF($J1328=0,0,MAX(0,$C1328+INT(DIAS_POR_SEMANA/2)-INDEX(ROTACAO_RDM!$I$6:$I$71,$J1328)))</f>
        <v>0</v>
      </c>
      <c r="O1328" s="19" t="n">
        <f aca="false">IF($J1328=0,0,MIN(1,$N1328/MAX(1,INDEX(ROTACAO_RDM!$K$6:$K$71,$J1328))))</f>
        <v>0</v>
      </c>
      <c r="P1328" s="16" t="n">
        <f aca="false">IF($J1328=0,0,IFERROR(MATCH(INDEX(ROTACAO_RDM!$N$6:$N$71,$J1328),PARAMETROS_CULTURAS!$B$6:$B$28,0),0))</f>
        <v>0</v>
      </c>
      <c r="Q1328" s="8" t="str">
        <f aca="false">IF($P1328=0,"-",IF($O1328&lt;=INDEX(PARAMETROS_CULTURAS!$F$6:$F$28,$P1328),"INICIAL",IF($O1328&lt;=INDEX(PARAMETROS_CULTURAS!$F$6:$F$28,$P1328)+INDEX(PARAMETROS_CULTURAS!$G$6:$G$28,$P1328),"DESENVOLVIMENTO",IF($O1328&lt;=INDEX(PARAMETROS_CULTURAS!$F$6:$F$28,$P1328)+INDEX(PARAMETROS_CULTURAS!$G$6:$G$28,$P1328)+INDEX(PARAMETROS_CULTURAS!$H$6:$H$28,$P1328),"MEDIA","FINAL"))))</f>
        <v>-</v>
      </c>
      <c r="R1328" s="24" t="n">
        <f aca="false">IF($P1328=0,0,IF($O1328&lt;=INDEX(PARAMETROS_CULTURAS!$F$6:$F$28,$P1328),INDEX(PARAMETROS_CULTURAS!$K$6:$K$28,$P1328),IF($O1328&lt;=INDEX(PARAMETROS_CULTURAS!$F$6:$F$28,$P1328)+INDEX(PARAMETROS_CULTURAS!$G$6:$G$28,$P1328),INDEX(PARAMETROS_CULTURAS!$K$6:$K$28,$P1328)+(INDEX(PARAMETROS_CULTURAS!$L$6:$L$28,$P1328)-INDEX(PARAMETROS_CULTURAS!$K$6:$K$28,$P1328))*($O1328-INDEX(PARAMETROS_CULTURAS!$F$6:$F$28,$P1328))/MAX(INDEX(PARAMETROS_CULTURAS!$G$6:$G$28,$P1328),0.0001),IF($O1328&lt;=INDEX(PARAMETROS_CULTURAS!$F$6:$F$28,$P1328)+INDEX(PARAMETROS_CULTURAS!$G$6:$G$28,$P1328)+INDEX(PARAMETROS_CULTURAS!$H$6:$H$28,$P1328),INDEX(PARAMETROS_CULTURAS!$L$6:$L$28,$P1328),INDEX(PARAMETROS_CULTURAS!$L$6:$L$28,$P1328)+(INDEX(PARAMETROS_CULTURAS!$M$6:$M$28,$P1328)-INDEX(PARAMETROS_CULTURAS!$L$6:$L$28,$P1328))*($O1328-INDEX(PARAMETROS_CULTURAS!$F$6:$F$28,$P1328)-INDEX(PARAMETROS_CULTURAS!$G$6:$G$28,$P1328)-INDEX(PARAMETROS_CULTURAS!$H$6:$H$28,$P1328))/MAX(INDEX(PARAMETROS_CULTURAS!$I$6:$I$28,$P1328),0.0001)))))</f>
        <v>0</v>
      </c>
      <c r="S1328" s="18" t="n">
        <f aca="false">IFERROR(INDEX(SEMANAS!$H$6:$H$71,MATCH($B1328,SEMANAS!$B$6:$B$71,0)),0)</f>
        <v>40.6</v>
      </c>
      <c r="T1328" s="18" t="n">
        <f aca="false">$R1328*$S1328</f>
        <v>0</v>
      </c>
      <c r="U1328" s="18" t="n">
        <f aca="false">IFERROR(INDEX(SEMANAS!$I$6:$I$71,MATCH($B1328,SEMANAS!$B$6:$B$71,0)),0)</f>
        <v>7</v>
      </c>
      <c r="V1328" s="18" t="n">
        <f aca="false">IFERROR(INDEX(SEMANAS!$J$6:$J$71,MATCH($B1328,SEMANAS!$B$6:$B$71,0)),0)</f>
        <v>5.6</v>
      </c>
      <c r="W1328" s="18" t="n">
        <f aca="false">MAX(0,$T1328-$V1328)</f>
        <v>0</v>
      </c>
      <c r="X1328" s="19" t="n">
        <f aca="false">IFERROR(INDEX(CADASTRO_PIVOS!$K$6:$K$41,MATCH($E1328,CADASTRO_PIVOS!$B$6:$B$41,0)),EFICIENCIA_PADRAO)</f>
        <v>0.85</v>
      </c>
      <c r="Y1328" s="18" t="n">
        <f aca="false">IF($X1328&lt;=0,0,$W1328/$X1328)</f>
        <v>0</v>
      </c>
      <c r="Z1328" s="16" t="n">
        <f aca="false">$Y1328*$H1328*MM_PARA_M3_HA</f>
        <v>0</v>
      </c>
      <c r="AA1328" s="18" t="n">
        <f aca="false">IFERROR(INDEX(CADASTRO_PIVOS!$I$6:$I$41,MATCH($E1328,CADASTRO_PIVOS!$B$6:$B$41,0)),0)</f>
        <v>932.933333333333</v>
      </c>
      <c r="AB1328" s="18" t="n">
        <f aca="false">IF($Z1328&lt;=0,0,$Z1328/$AA1328)</f>
        <v>0</v>
      </c>
      <c r="AC1328" s="16" t="n">
        <f aca="false">IFERROR(INDEX(SEMANAS!$K$6:$K$71,MATCH($B1328,SEMANAS!$B$6:$B$71,0)),0)</f>
        <v>147</v>
      </c>
      <c r="AD1328" s="19" t="n">
        <f aca="false">IF($AC1328&lt;=0,0,$AB1328/$AC1328)</f>
        <v>0</v>
      </c>
      <c r="AE1328" s="8" t="str">
        <f aca="false">IF($K1328="SEM CULTURA","SEM CULTURA",IF($AA1328&lt;=0,"DADO PENDENTE",IF($AD1328&gt;LIMITE_CRITICO,"INVIAVEL",IF($AD1328&gt;LIMITE_ATENCAO,"CRITICO",IF($AD1328&gt;LIMITE_CONFORTAVEL,"ATENCAO","OK")))))</f>
        <v>SEM CULTURA</v>
      </c>
      <c r="AF1328" s="8" t="str">
        <f aca="false">$B1328&amp;"|"&amp;TEXT($AD1328,"0.000000")</f>
        <v>3|0.000000</v>
      </c>
      <c r="AG1328" s="18" t="n">
        <f aca="false">IF($K1328="SEM CULTURA",0,$T1328*$H1328)</f>
        <v>0</v>
      </c>
      <c r="AH1328" s="18" t="n">
        <f aca="false">IF($K1328="SEM CULTURA",0,$V1328*$H1328)</f>
        <v>0</v>
      </c>
      <c r="AI1328" s="18" t="n">
        <f aca="false">IF($K1328="SEM CULTURA",0,$W1328*$H1328)</f>
        <v>0</v>
      </c>
      <c r="AJ1328" s="18" t="n">
        <f aca="false">IF($K1328="SEM CULTURA",0,$S1328*$H1328)</f>
        <v>0</v>
      </c>
      <c r="AK1328" s="8" t="str">
        <f aca="false">$E1328&amp;"|"&amp;TEXT($AD1328,"0.000000")</f>
        <v>PV 128|0.000000</v>
      </c>
    </row>
    <row r="1329" customFormat="false" ht="15" hidden="false" customHeight="false" outlineLevel="0" collapsed="false">
      <c r="B1329" s="16" t="n">
        <v>4</v>
      </c>
      <c r="C1329" s="17" t="n">
        <f aca="false">DATA_INICIO_SAFRA+($B1329-1)*DIAS_POR_SEMANA</f>
        <v>46286</v>
      </c>
      <c r="D1329" s="17" t="n">
        <f aca="false">$C1329+DIAS_POR_SEMANA-1</f>
        <v>46292</v>
      </c>
      <c r="E1329" s="15" t="s">
        <v>279</v>
      </c>
      <c r="F1329" s="8" t="str">
        <f aca="false">IFERROR(INDEX(CADASTRO_PIVOS!$C$6:$C$41,MATCH($E1329,CADASTRO_PIVOS!$B$6:$B$41,0)),"?")</f>
        <v>RM06</v>
      </c>
      <c r="G1329" s="8" t="str">
        <f aca="false">IFERROR(INDEX(CADASTRO_PIVOS!$D$6:$D$41,MATCH($E1329,CADASTRO_PIVOS!$B$6:$B$41,0)),"?")</f>
        <v>TR06</v>
      </c>
      <c r="H1329" s="20" t="n">
        <f aca="false">IFERROR(INDEX(CADASTRO_PIVOS!$E$6:$E$41,MATCH($E1329,CADASTRO_PIVOS!$B$6:$B$41,0)),0)</f>
        <v>139.94</v>
      </c>
      <c r="I1329" s="16" t="n">
        <f aca="false">IFERROR(SUMIFS(ROTACAO_RDM!$B$6:$B$71,ROTACAO_RDM!$D$6:$D$71,$E1329,ROTACAO_RDM!$I$6:$I$71,"&lt;="&amp;$C1329+INT(DIAS_POR_SEMANA/2),ROTACAO_RDM!$J$6:$J$71,"&gt;="&amp;$C1329+INT(DIAS_POR_SEMANA/2)),0)</f>
        <v>0</v>
      </c>
      <c r="J1329" s="16" t="n">
        <f aca="false">IFERROR(MATCH($I1329,ROTACAO_RDM!$B$6:$B$71,0),0)</f>
        <v>0</v>
      </c>
      <c r="K1329" s="8" t="str">
        <f aca="false">IF($J1329=0,"SEM CULTURA",INDEX(ROTACAO_RDM!$F$6:$F$71,$J1329))</f>
        <v>SEM CULTURA</v>
      </c>
      <c r="L1329" s="8" t="str">
        <f aca="false">IF($J1329=0,"",INDEX(ROTACAO_RDM!$G$6:$G$71,$J1329))</f>
        <v/>
      </c>
      <c r="M1329" s="17" t="str">
        <f aca="false">IF($J1329=0,"",INDEX(ROTACAO_RDM!$I$6:$I$71,$J1329))</f>
        <v/>
      </c>
      <c r="N1329" s="16" t="n">
        <f aca="false">IF($J1329=0,0,MAX(0,$C1329+INT(DIAS_POR_SEMANA/2)-INDEX(ROTACAO_RDM!$I$6:$I$71,$J1329)))</f>
        <v>0</v>
      </c>
      <c r="O1329" s="19" t="n">
        <f aca="false">IF($J1329=0,0,MIN(1,$N1329/MAX(1,INDEX(ROTACAO_RDM!$K$6:$K$71,$J1329))))</f>
        <v>0</v>
      </c>
      <c r="P1329" s="16" t="n">
        <f aca="false">IF($J1329=0,0,IFERROR(MATCH(INDEX(ROTACAO_RDM!$N$6:$N$71,$J1329),PARAMETROS_CULTURAS!$B$6:$B$28,0),0))</f>
        <v>0</v>
      </c>
      <c r="Q1329" s="8" t="str">
        <f aca="false">IF($P1329=0,"-",IF($O1329&lt;=INDEX(PARAMETROS_CULTURAS!$F$6:$F$28,$P1329),"INICIAL",IF($O1329&lt;=INDEX(PARAMETROS_CULTURAS!$F$6:$F$28,$P1329)+INDEX(PARAMETROS_CULTURAS!$G$6:$G$28,$P1329),"DESENVOLVIMENTO",IF($O1329&lt;=INDEX(PARAMETROS_CULTURAS!$F$6:$F$28,$P1329)+INDEX(PARAMETROS_CULTURAS!$G$6:$G$28,$P1329)+INDEX(PARAMETROS_CULTURAS!$H$6:$H$28,$P1329),"MEDIA","FINAL"))))</f>
        <v>-</v>
      </c>
      <c r="R1329" s="24" t="n">
        <f aca="false">IF($P1329=0,0,IF($O1329&lt;=INDEX(PARAMETROS_CULTURAS!$F$6:$F$28,$P1329),INDEX(PARAMETROS_CULTURAS!$K$6:$K$28,$P1329),IF($O1329&lt;=INDEX(PARAMETROS_CULTURAS!$F$6:$F$28,$P1329)+INDEX(PARAMETROS_CULTURAS!$G$6:$G$28,$P1329),INDEX(PARAMETROS_CULTURAS!$K$6:$K$28,$P1329)+(INDEX(PARAMETROS_CULTURAS!$L$6:$L$28,$P1329)-INDEX(PARAMETROS_CULTURAS!$K$6:$K$28,$P1329))*($O1329-INDEX(PARAMETROS_CULTURAS!$F$6:$F$28,$P1329))/MAX(INDEX(PARAMETROS_CULTURAS!$G$6:$G$28,$P1329),0.0001),IF($O1329&lt;=INDEX(PARAMETROS_CULTURAS!$F$6:$F$28,$P1329)+INDEX(PARAMETROS_CULTURAS!$G$6:$G$28,$P1329)+INDEX(PARAMETROS_CULTURAS!$H$6:$H$28,$P1329),INDEX(PARAMETROS_CULTURAS!$L$6:$L$28,$P1329),INDEX(PARAMETROS_CULTURAS!$L$6:$L$28,$P1329)+(INDEX(PARAMETROS_CULTURAS!$M$6:$M$28,$P1329)-INDEX(PARAMETROS_CULTURAS!$L$6:$L$28,$P1329))*($O1329-INDEX(PARAMETROS_CULTURAS!$F$6:$F$28,$P1329)-INDEX(PARAMETROS_CULTURAS!$G$6:$G$28,$P1329)-INDEX(PARAMETROS_CULTURAS!$H$6:$H$28,$P1329))/MAX(INDEX(PARAMETROS_CULTURAS!$I$6:$I$28,$P1329),0.0001)))))</f>
        <v>0</v>
      </c>
      <c r="S1329" s="18" t="n">
        <f aca="false">IFERROR(INDEX(SEMANAS!$H$6:$H$71,MATCH($B1329,SEMANAS!$B$6:$B$71,0)),0)</f>
        <v>40.6</v>
      </c>
      <c r="T1329" s="18" t="n">
        <f aca="false">$R1329*$S1329</f>
        <v>0</v>
      </c>
      <c r="U1329" s="18" t="n">
        <f aca="false">IFERROR(INDEX(SEMANAS!$I$6:$I$71,MATCH($B1329,SEMANAS!$B$6:$B$71,0)),0)</f>
        <v>7</v>
      </c>
      <c r="V1329" s="18" t="n">
        <f aca="false">IFERROR(INDEX(SEMANAS!$J$6:$J$71,MATCH($B1329,SEMANAS!$B$6:$B$71,0)),0)</f>
        <v>5.6</v>
      </c>
      <c r="W1329" s="18" t="n">
        <f aca="false">MAX(0,$T1329-$V1329)</f>
        <v>0</v>
      </c>
      <c r="X1329" s="19" t="n">
        <f aca="false">IFERROR(INDEX(CADASTRO_PIVOS!$K$6:$K$41,MATCH($E1329,CADASTRO_PIVOS!$B$6:$B$41,0)),EFICIENCIA_PADRAO)</f>
        <v>0.85</v>
      </c>
      <c r="Y1329" s="18" t="n">
        <f aca="false">IF($X1329&lt;=0,0,$W1329/$X1329)</f>
        <v>0</v>
      </c>
      <c r="Z1329" s="16" t="n">
        <f aca="false">$Y1329*$H1329*MM_PARA_M3_HA</f>
        <v>0</v>
      </c>
      <c r="AA1329" s="18" t="n">
        <f aca="false">IFERROR(INDEX(CADASTRO_PIVOS!$I$6:$I$41,MATCH($E1329,CADASTRO_PIVOS!$B$6:$B$41,0)),0)</f>
        <v>932.933333333333</v>
      </c>
      <c r="AB1329" s="18" t="n">
        <f aca="false">IF($Z1329&lt;=0,0,$Z1329/$AA1329)</f>
        <v>0</v>
      </c>
      <c r="AC1329" s="16" t="n">
        <f aca="false">IFERROR(INDEX(SEMANAS!$K$6:$K$71,MATCH($B1329,SEMANAS!$B$6:$B$71,0)),0)</f>
        <v>147</v>
      </c>
      <c r="AD1329" s="19" t="n">
        <f aca="false">IF($AC1329&lt;=0,0,$AB1329/$AC1329)</f>
        <v>0</v>
      </c>
      <c r="AE1329" s="8" t="str">
        <f aca="false">IF($K1329="SEM CULTURA","SEM CULTURA",IF($AA1329&lt;=0,"DADO PENDENTE",IF($AD1329&gt;LIMITE_CRITICO,"INVIAVEL",IF($AD1329&gt;LIMITE_ATENCAO,"CRITICO",IF($AD1329&gt;LIMITE_CONFORTAVEL,"ATENCAO","OK")))))</f>
        <v>SEM CULTURA</v>
      </c>
      <c r="AF1329" s="8" t="str">
        <f aca="false">$B1329&amp;"|"&amp;TEXT($AD1329,"0.000000")</f>
        <v>4|0.000000</v>
      </c>
      <c r="AG1329" s="18" t="n">
        <f aca="false">IF($K1329="SEM CULTURA",0,$T1329*$H1329)</f>
        <v>0</v>
      </c>
      <c r="AH1329" s="18" t="n">
        <f aca="false">IF($K1329="SEM CULTURA",0,$V1329*$H1329)</f>
        <v>0</v>
      </c>
      <c r="AI1329" s="18" t="n">
        <f aca="false">IF($K1329="SEM CULTURA",0,$W1329*$H1329)</f>
        <v>0</v>
      </c>
      <c r="AJ1329" s="18" t="n">
        <f aca="false">IF($K1329="SEM CULTURA",0,$S1329*$H1329)</f>
        <v>0</v>
      </c>
      <c r="AK1329" s="8" t="str">
        <f aca="false">$E1329&amp;"|"&amp;TEXT($AD1329,"0.000000")</f>
        <v>PV 128|0.000000</v>
      </c>
    </row>
    <row r="1330" customFormat="false" ht="15" hidden="false" customHeight="false" outlineLevel="0" collapsed="false">
      <c r="B1330" s="16" t="n">
        <v>5</v>
      </c>
      <c r="C1330" s="17" t="n">
        <f aca="false">DATA_INICIO_SAFRA+($B1330-1)*DIAS_POR_SEMANA</f>
        <v>46293</v>
      </c>
      <c r="D1330" s="17" t="n">
        <f aca="false">$C1330+DIAS_POR_SEMANA-1</f>
        <v>46299</v>
      </c>
      <c r="E1330" s="15" t="s">
        <v>279</v>
      </c>
      <c r="F1330" s="8" t="str">
        <f aca="false">IFERROR(INDEX(CADASTRO_PIVOS!$C$6:$C$41,MATCH($E1330,CADASTRO_PIVOS!$B$6:$B$41,0)),"?")</f>
        <v>RM06</v>
      </c>
      <c r="G1330" s="8" t="str">
        <f aca="false">IFERROR(INDEX(CADASTRO_PIVOS!$D$6:$D$41,MATCH($E1330,CADASTRO_PIVOS!$B$6:$B$41,0)),"?")</f>
        <v>TR06</v>
      </c>
      <c r="H1330" s="20" t="n">
        <f aca="false">IFERROR(INDEX(CADASTRO_PIVOS!$E$6:$E$41,MATCH($E1330,CADASTRO_PIVOS!$B$6:$B$41,0)),0)</f>
        <v>139.94</v>
      </c>
      <c r="I1330" s="16" t="n">
        <f aca="false">IFERROR(SUMIFS(ROTACAO_RDM!$B$6:$B$71,ROTACAO_RDM!$D$6:$D$71,$E1330,ROTACAO_RDM!$I$6:$I$71,"&lt;="&amp;$C1330+INT(DIAS_POR_SEMANA/2),ROTACAO_RDM!$J$6:$J$71,"&gt;="&amp;$C1330+INT(DIAS_POR_SEMANA/2)),0)</f>
        <v>0</v>
      </c>
      <c r="J1330" s="16" t="n">
        <f aca="false">IFERROR(MATCH($I1330,ROTACAO_RDM!$B$6:$B$71,0),0)</f>
        <v>0</v>
      </c>
      <c r="K1330" s="8" t="str">
        <f aca="false">IF($J1330=0,"SEM CULTURA",INDEX(ROTACAO_RDM!$F$6:$F$71,$J1330))</f>
        <v>SEM CULTURA</v>
      </c>
      <c r="L1330" s="8" t="str">
        <f aca="false">IF($J1330=0,"",INDEX(ROTACAO_RDM!$G$6:$G$71,$J1330))</f>
        <v/>
      </c>
      <c r="M1330" s="17" t="str">
        <f aca="false">IF($J1330=0,"",INDEX(ROTACAO_RDM!$I$6:$I$71,$J1330))</f>
        <v/>
      </c>
      <c r="N1330" s="16" t="n">
        <f aca="false">IF($J1330=0,0,MAX(0,$C1330+INT(DIAS_POR_SEMANA/2)-INDEX(ROTACAO_RDM!$I$6:$I$71,$J1330)))</f>
        <v>0</v>
      </c>
      <c r="O1330" s="19" t="n">
        <f aca="false">IF($J1330=0,0,MIN(1,$N1330/MAX(1,INDEX(ROTACAO_RDM!$K$6:$K$71,$J1330))))</f>
        <v>0</v>
      </c>
      <c r="P1330" s="16" t="n">
        <f aca="false">IF($J1330=0,0,IFERROR(MATCH(INDEX(ROTACAO_RDM!$N$6:$N$71,$J1330),PARAMETROS_CULTURAS!$B$6:$B$28,0),0))</f>
        <v>0</v>
      </c>
      <c r="Q1330" s="8" t="str">
        <f aca="false">IF($P1330=0,"-",IF($O1330&lt;=INDEX(PARAMETROS_CULTURAS!$F$6:$F$28,$P1330),"INICIAL",IF($O1330&lt;=INDEX(PARAMETROS_CULTURAS!$F$6:$F$28,$P1330)+INDEX(PARAMETROS_CULTURAS!$G$6:$G$28,$P1330),"DESENVOLVIMENTO",IF($O1330&lt;=INDEX(PARAMETROS_CULTURAS!$F$6:$F$28,$P1330)+INDEX(PARAMETROS_CULTURAS!$G$6:$G$28,$P1330)+INDEX(PARAMETROS_CULTURAS!$H$6:$H$28,$P1330),"MEDIA","FINAL"))))</f>
        <v>-</v>
      </c>
      <c r="R1330" s="24" t="n">
        <f aca="false">IF($P1330=0,0,IF($O1330&lt;=INDEX(PARAMETROS_CULTURAS!$F$6:$F$28,$P1330),INDEX(PARAMETROS_CULTURAS!$K$6:$K$28,$P1330),IF($O1330&lt;=INDEX(PARAMETROS_CULTURAS!$F$6:$F$28,$P1330)+INDEX(PARAMETROS_CULTURAS!$G$6:$G$28,$P1330),INDEX(PARAMETROS_CULTURAS!$K$6:$K$28,$P1330)+(INDEX(PARAMETROS_CULTURAS!$L$6:$L$28,$P1330)-INDEX(PARAMETROS_CULTURAS!$K$6:$K$28,$P1330))*($O1330-INDEX(PARAMETROS_CULTURAS!$F$6:$F$28,$P1330))/MAX(INDEX(PARAMETROS_CULTURAS!$G$6:$G$28,$P1330),0.0001),IF($O1330&lt;=INDEX(PARAMETROS_CULTURAS!$F$6:$F$28,$P1330)+INDEX(PARAMETROS_CULTURAS!$G$6:$G$28,$P1330)+INDEX(PARAMETROS_CULTURAS!$H$6:$H$28,$P1330),INDEX(PARAMETROS_CULTURAS!$L$6:$L$28,$P1330),INDEX(PARAMETROS_CULTURAS!$L$6:$L$28,$P1330)+(INDEX(PARAMETROS_CULTURAS!$M$6:$M$28,$P1330)-INDEX(PARAMETROS_CULTURAS!$L$6:$L$28,$P1330))*($O1330-INDEX(PARAMETROS_CULTURAS!$F$6:$F$28,$P1330)-INDEX(PARAMETROS_CULTURAS!$G$6:$G$28,$P1330)-INDEX(PARAMETROS_CULTURAS!$H$6:$H$28,$P1330))/MAX(INDEX(PARAMETROS_CULTURAS!$I$6:$I$28,$P1330),0.0001)))))</f>
        <v>0</v>
      </c>
      <c r="S1330" s="18" t="n">
        <f aca="false">IFERROR(INDEX(SEMANAS!$H$6:$H$71,MATCH($B1330,SEMANAS!$B$6:$B$71,0)),0)</f>
        <v>39.8</v>
      </c>
      <c r="T1330" s="18" t="n">
        <f aca="false">$R1330*$S1330</f>
        <v>0</v>
      </c>
      <c r="U1330" s="18" t="n">
        <f aca="false">IFERROR(INDEX(SEMANAS!$I$6:$I$71,MATCH($B1330,SEMANAS!$B$6:$B$71,0)),0)</f>
        <v>18.48</v>
      </c>
      <c r="V1330" s="18" t="n">
        <f aca="false">IFERROR(INDEX(SEMANAS!$J$6:$J$71,MATCH($B1330,SEMANAS!$B$6:$B$71,0)),0)</f>
        <v>14.784</v>
      </c>
      <c r="W1330" s="18" t="n">
        <f aca="false">MAX(0,$T1330-$V1330)</f>
        <v>0</v>
      </c>
      <c r="X1330" s="19" t="n">
        <f aca="false">IFERROR(INDEX(CADASTRO_PIVOS!$K$6:$K$41,MATCH($E1330,CADASTRO_PIVOS!$B$6:$B$41,0)),EFICIENCIA_PADRAO)</f>
        <v>0.85</v>
      </c>
      <c r="Y1330" s="18" t="n">
        <f aca="false">IF($X1330&lt;=0,0,$W1330/$X1330)</f>
        <v>0</v>
      </c>
      <c r="Z1330" s="16" t="n">
        <f aca="false">$Y1330*$H1330*MM_PARA_M3_HA</f>
        <v>0</v>
      </c>
      <c r="AA1330" s="18" t="n">
        <f aca="false">IFERROR(INDEX(CADASTRO_PIVOS!$I$6:$I$41,MATCH($E1330,CADASTRO_PIVOS!$B$6:$B$41,0)),0)</f>
        <v>932.933333333333</v>
      </c>
      <c r="AB1330" s="18" t="n">
        <f aca="false">IF($Z1330&lt;=0,0,$Z1330/$AA1330)</f>
        <v>0</v>
      </c>
      <c r="AC1330" s="16" t="n">
        <f aca="false">IFERROR(INDEX(SEMANAS!$K$6:$K$71,MATCH($B1330,SEMANAS!$B$6:$B$71,0)),0)</f>
        <v>147</v>
      </c>
      <c r="AD1330" s="19" t="n">
        <f aca="false">IF($AC1330&lt;=0,0,$AB1330/$AC1330)</f>
        <v>0</v>
      </c>
      <c r="AE1330" s="8" t="str">
        <f aca="false">IF($K1330="SEM CULTURA","SEM CULTURA",IF($AA1330&lt;=0,"DADO PENDENTE",IF($AD1330&gt;LIMITE_CRITICO,"INVIAVEL",IF($AD1330&gt;LIMITE_ATENCAO,"CRITICO",IF($AD1330&gt;LIMITE_CONFORTAVEL,"ATENCAO","OK")))))</f>
        <v>SEM CULTURA</v>
      </c>
      <c r="AF1330" s="8" t="str">
        <f aca="false">$B1330&amp;"|"&amp;TEXT($AD1330,"0.000000")</f>
        <v>5|0.000000</v>
      </c>
      <c r="AG1330" s="18" t="n">
        <f aca="false">IF($K1330="SEM CULTURA",0,$T1330*$H1330)</f>
        <v>0</v>
      </c>
      <c r="AH1330" s="18" t="n">
        <f aca="false">IF($K1330="SEM CULTURA",0,$V1330*$H1330)</f>
        <v>0</v>
      </c>
      <c r="AI1330" s="18" t="n">
        <f aca="false">IF($K1330="SEM CULTURA",0,$W1330*$H1330)</f>
        <v>0</v>
      </c>
      <c r="AJ1330" s="18" t="n">
        <f aca="false">IF($K1330="SEM CULTURA",0,$S1330*$H1330)</f>
        <v>0</v>
      </c>
      <c r="AK1330" s="8" t="str">
        <f aca="false">$E1330&amp;"|"&amp;TEXT($AD1330,"0.000000")</f>
        <v>PV 128|0.000000</v>
      </c>
    </row>
    <row r="1331" customFormat="false" ht="15" hidden="false" customHeight="false" outlineLevel="0" collapsed="false">
      <c r="B1331" s="16" t="n">
        <v>6</v>
      </c>
      <c r="C1331" s="17" t="n">
        <f aca="false">DATA_INICIO_SAFRA+($B1331-1)*DIAS_POR_SEMANA</f>
        <v>46300</v>
      </c>
      <c r="D1331" s="17" t="n">
        <f aca="false">$C1331+DIAS_POR_SEMANA-1</f>
        <v>46306</v>
      </c>
      <c r="E1331" s="15" t="s">
        <v>279</v>
      </c>
      <c r="F1331" s="8" t="str">
        <f aca="false">IFERROR(INDEX(CADASTRO_PIVOS!$C$6:$C$41,MATCH($E1331,CADASTRO_PIVOS!$B$6:$B$41,0)),"?")</f>
        <v>RM06</v>
      </c>
      <c r="G1331" s="8" t="str">
        <f aca="false">IFERROR(INDEX(CADASTRO_PIVOS!$D$6:$D$41,MATCH($E1331,CADASTRO_PIVOS!$B$6:$B$41,0)),"?")</f>
        <v>TR06</v>
      </c>
      <c r="H1331" s="20" t="n">
        <f aca="false">IFERROR(INDEX(CADASTRO_PIVOS!$E$6:$E$41,MATCH($E1331,CADASTRO_PIVOS!$B$6:$B$41,0)),0)</f>
        <v>139.94</v>
      </c>
      <c r="I1331" s="16" t="n">
        <f aca="false">IFERROR(SUMIFS(ROTACAO_RDM!$B$6:$B$71,ROTACAO_RDM!$D$6:$D$71,$E1331,ROTACAO_RDM!$I$6:$I$71,"&lt;="&amp;$C1331+INT(DIAS_POR_SEMANA/2),ROTACAO_RDM!$J$6:$J$71,"&gt;="&amp;$C1331+INT(DIAS_POR_SEMANA/2)),0)</f>
        <v>0</v>
      </c>
      <c r="J1331" s="16" t="n">
        <f aca="false">IFERROR(MATCH($I1331,ROTACAO_RDM!$B$6:$B$71,0),0)</f>
        <v>0</v>
      </c>
      <c r="K1331" s="8" t="str">
        <f aca="false">IF($J1331=0,"SEM CULTURA",INDEX(ROTACAO_RDM!$F$6:$F$71,$J1331))</f>
        <v>SEM CULTURA</v>
      </c>
      <c r="L1331" s="8" t="str">
        <f aca="false">IF($J1331=0,"",INDEX(ROTACAO_RDM!$G$6:$G$71,$J1331))</f>
        <v/>
      </c>
      <c r="M1331" s="17" t="str">
        <f aca="false">IF($J1331=0,"",INDEX(ROTACAO_RDM!$I$6:$I$71,$J1331))</f>
        <v/>
      </c>
      <c r="N1331" s="16" t="n">
        <f aca="false">IF($J1331=0,0,MAX(0,$C1331+INT(DIAS_POR_SEMANA/2)-INDEX(ROTACAO_RDM!$I$6:$I$71,$J1331)))</f>
        <v>0</v>
      </c>
      <c r="O1331" s="19" t="n">
        <f aca="false">IF($J1331=0,0,MIN(1,$N1331/MAX(1,INDEX(ROTACAO_RDM!$K$6:$K$71,$J1331))))</f>
        <v>0</v>
      </c>
      <c r="P1331" s="16" t="n">
        <f aca="false">IF($J1331=0,0,IFERROR(MATCH(INDEX(ROTACAO_RDM!$N$6:$N$71,$J1331),PARAMETROS_CULTURAS!$B$6:$B$28,0),0))</f>
        <v>0</v>
      </c>
      <c r="Q1331" s="8" t="str">
        <f aca="false">IF($P1331=0,"-",IF($O1331&lt;=INDEX(PARAMETROS_CULTURAS!$F$6:$F$28,$P1331),"INICIAL",IF($O1331&lt;=INDEX(PARAMETROS_CULTURAS!$F$6:$F$28,$P1331)+INDEX(PARAMETROS_CULTURAS!$G$6:$G$28,$P1331),"DESENVOLVIMENTO",IF($O1331&lt;=INDEX(PARAMETROS_CULTURAS!$F$6:$F$28,$P1331)+INDEX(PARAMETROS_CULTURAS!$G$6:$G$28,$P1331)+INDEX(PARAMETROS_CULTURAS!$H$6:$H$28,$P1331),"MEDIA","FINAL"))))</f>
        <v>-</v>
      </c>
      <c r="R1331" s="24" t="n">
        <f aca="false">IF($P1331=0,0,IF($O1331&lt;=INDEX(PARAMETROS_CULTURAS!$F$6:$F$28,$P1331),INDEX(PARAMETROS_CULTURAS!$K$6:$K$28,$P1331),IF($O1331&lt;=INDEX(PARAMETROS_CULTURAS!$F$6:$F$28,$P1331)+INDEX(PARAMETROS_CULTURAS!$G$6:$G$28,$P1331),INDEX(PARAMETROS_CULTURAS!$K$6:$K$28,$P1331)+(INDEX(PARAMETROS_CULTURAS!$L$6:$L$28,$P1331)-INDEX(PARAMETROS_CULTURAS!$K$6:$K$28,$P1331))*($O1331-INDEX(PARAMETROS_CULTURAS!$F$6:$F$28,$P1331))/MAX(INDEX(PARAMETROS_CULTURAS!$G$6:$G$28,$P1331),0.0001),IF($O1331&lt;=INDEX(PARAMETROS_CULTURAS!$F$6:$F$28,$P1331)+INDEX(PARAMETROS_CULTURAS!$G$6:$G$28,$P1331)+INDEX(PARAMETROS_CULTURAS!$H$6:$H$28,$P1331),INDEX(PARAMETROS_CULTURAS!$L$6:$L$28,$P1331),INDEX(PARAMETROS_CULTURAS!$L$6:$L$28,$P1331)+(INDEX(PARAMETROS_CULTURAS!$M$6:$M$28,$P1331)-INDEX(PARAMETROS_CULTURAS!$L$6:$L$28,$P1331))*($O1331-INDEX(PARAMETROS_CULTURAS!$F$6:$F$28,$P1331)-INDEX(PARAMETROS_CULTURAS!$G$6:$G$28,$P1331)-INDEX(PARAMETROS_CULTURAS!$H$6:$H$28,$P1331))/MAX(INDEX(PARAMETROS_CULTURAS!$I$6:$I$28,$P1331),0.0001)))))</f>
        <v>0</v>
      </c>
      <c r="S1331" s="18" t="n">
        <f aca="false">IFERROR(INDEX(SEMANAS!$H$6:$H$71,MATCH($B1331,SEMANAS!$B$6:$B$71,0)),0)</f>
        <v>39.2</v>
      </c>
      <c r="T1331" s="18" t="n">
        <f aca="false">$R1331*$S1331</f>
        <v>0</v>
      </c>
      <c r="U1331" s="18" t="n">
        <f aca="false">IFERROR(INDEX(SEMANAS!$I$6:$I$71,MATCH($B1331,SEMANAS!$B$6:$B$71,0)),0)</f>
        <v>27.09</v>
      </c>
      <c r="V1331" s="18" t="n">
        <f aca="false">IFERROR(INDEX(SEMANAS!$J$6:$J$71,MATCH($B1331,SEMANAS!$B$6:$B$71,0)),0)</f>
        <v>21.672</v>
      </c>
      <c r="W1331" s="18" t="n">
        <f aca="false">MAX(0,$T1331-$V1331)</f>
        <v>0</v>
      </c>
      <c r="X1331" s="19" t="n">
        <f aca="false">IFERROR(INDEX(CADASTRO_PIVOS!$K$6:$K$41,MATCH($E1331,CADASTRO_PIVOS!$B$6:$B$41,0)),EFICIENCIA_PADRAO)</f>
        <v>0.85</v>
      </c>
      <c r="Y1331" s="18" t="n">
        <f aca="false">IF($X1331&lt;=0,0,$W1331/$X1331)</f>
        <v>0</v>
      </c>
      <c r="Z1331" s="16" t="n">
        <f aca="false">$Y1331*$H1331*MM_PARA_M3_HA</f>
        <v>0</v>
      </c>
      <c r="AA1331" s="18" t="n">
        <f aca="false">IFERROR(INDEX(CADASTRO_PIVOS!$I$6:$I$41,MATCH($E1331,CADASTRO_PIVOS!$B$6:$B$41,0)),0)</f>
        <v>932.933333333333</v>
      </c>
      <c r="AB1331" s="18" t="n">
        <f aca="false">IF($Z1331&lt;=0,0,$Z1331/$AA1331)</f>
        <v>0</v>
      </c>
      <c r="AC1331" s="16" t="n">
        <f aca="false">IFERROR(INDEX(SEMANAS!$K$6:$K$71,MATCH($B1331,SEMANAS!$B$6:$B$71,0)),0)</f>
        <v>147</v>
      </c>
      <c r="AD1331" s="19" t="n">
        <f aca="false">IF($AC1331&lt;=0,0,$AB1331/$AC1331)</f>
        <v>0</v>
      </c>
      <c r="AE1331" s="8" t="str">
        <f aca="false">IF($K1331="SEM CULTURA","SEM CULTURA",IF($AA1331&lt;=0,"DADO PENDENTE",IF($AD1331&gt;LIMITE_CRITICO,"INVIAVEL",IF($AD1331&gt;LIMITE_ATENCAO,"CRITICO",IF($AD1331&gt;LIMITE_CONFORTAVEL,"ATENCAO","OK")))))</f>
        <v>SEM CULTURA</v>
      </c>
      <c r="AF1331" s="8" t="str">
        <f aca="false">$B1331&amp;"|"&amp;TEXT($AD1331,"0.000000")</f>
        <v>6|0.000000</v>
      </c>
      <c r="AG1331" s="18" t="n">
        <f aca="false">IF($K1331="SEM CULTURA",0,$T1331*$H1331)</f>
        <v>0</v>
      </c>
      <c r="AH1331" s="18" t="n">
        <f aca="false">IF($K1331="SEM CULTURA",0,$V1331*$H1331)</f>
        <v>0</v>
      </c>
      <c r="AI1331" s="18" t="n">
        <f aca="false">IF($K1331="SEM CULTURA",0,$W1331*$H1331)</f>
        <v>0</v>
      </c>
      <c r="AJ1331" s="18" t="n">
        <f aca="false">IF($K1331="SEM CULTURA",0,$S1331*$H1331)</f>
        <v>0</v>
      </c>
      <c r="AK1331" s="8" t="str">
        <f aca="false">$E1331&amp;"|"&amp;TEXT($AD1331,"0.000000")</f>
        <v>PV 128|0.000000</v>
      </c>
    </row>
    <row r="1332" customFormat="false" ht="15" hidden="false" customHeight="false" outlineLevel="0" collapsed="false">
      <c r="B1332" s="16" t="n">
        <v>7</v>
      </c>
      <c r="C1332" s="17" t="n">
        <f aca="false">DATA_INICIO_SAFRA+($B1332-1)*DIAS_POR_SEMANA</f>
        <v>46307</v>
      </c>
      <c r="D1332" s="17" t="n">
        <f aca="false">$C1332+DIAS_POR_SEMANA-1</f>
        <v>46313</v>
      </c>
      <c r="E1332" s="15" t="s">
        <v>279</v>
      </c>
      <c r="F1332" s="8" t="str">
        <f aca="false">IFERROR(INDEX(CADASTRO_PIVOS!$C$6:$C$41,MATCH($E1332,CADASTRO_PIVOS!$B$6:$B$41,0)),"?")</f>
        <v>RM06</v>
      </c>
      <c r="G1332" s="8" t="str">
        <f aca="false">IFERROR(INDEX(CADASTRO_PIVOS!$D$6:$D$41,MATCH($E1332,CADASTRO_PIVOS!$B$6:$B$41,0)),"?")</f>
        <v>TR06</v>
      </c>
      <c r="H1332" s="20" t="n">
        <f aca="false">IFERROR(INDEX(CADASTRO_PIVOS!$E$6:$E$41,MATCH($E1332,CADASTRO_PIVOS!$B$6:$B$41,0)),0)</f>
        <v>139.94</v>
      </c>
      <c r="I1332" s="16" t="n">
        <f aca="false">IFERROR(SUMIFS(ROTACAO_RDM!$B$6:$B$71,ROTACAO_RDM!$D$6:$D$71,$E1332,ROTACAO_RDM!$I$6:$I$71,"&lt;="&amp;$C1332+INT(DIAS_POR_SEMANA/2),ROTACAO_RDM!$J$6:$J$71,"&gt;="&amp;$C1332+INT(DIAS_POR_SEMANA/2)),0)</f>
        <v>0</v>
      </c>
      <c r="J1332" s="16" t="n">
        <f aca="false">IFERROR(MATCH($I1332,ROTACAO_RDM!$B$6:$B$71,0),0)</f>
        <v>0</v>
      </c>
      <c r="K1332" s="8" t="str">
        <f aca="false">IF($J1332=0,"SEM CULTURA",INDEX(ROTACAO_RDM!$F$6:$F$71,$J1332))</f>
        <v>SEM CULTURA</v>
      </c>
      <c r="L1332" s="8" t="str">
        <f aca="false">IF($J1332=0,"",INDEX(ROTACAO_RDM!$G$6:$G$71,$J1332))</f>
        <v/>
      </c>
      <c r="M1332" s="17" t="str">
        <f aca="false">IF($J1332=0,"",INDEX(ROTACAO_RDM!$I$6:$I$71,$J1332))</f>
        <v/>
      </c>
      <c r="N1332" s="16" t="n">
        <f aca="false">IF($J1332=0,0,MAX(0,$C1332+INT(DIAS_POR_SEMANA/2)-INDEX(ROTACAO_RDM!$I$6:$I$71,$J1332)))</f>
        <v>0</v>
      </c>
      <c r="O1332" s="19" t="n">
        <f aca="false">IF($J1332=0,0,MIN(1,$N1332/MAX(1,INDEX(ROTACAO_RDM!$K$6:$K$71,$J1332))))</f>
        <v>0</v>
      </c>
      <c r="P1332" s="16" t="n">
        <f aca="false">IF($J1332=0,0,IFERROR(MATCH(INDEX(ROTACAO_RDM!$N$6:$N$71,$J1332),PARAMETROS_CULTURAS!$B$6:$B$28,0),0))</f>
        <v>0</v>
      </c>
      <c r="Q1332" s="8" t="str">
        <f aca="false">IF($P1332=0,"-",IF($O1332&lt;=INDEX(PARAMETROS_CULTURAS!$F$6:$F$28,$P1332),"INICIAL",IF($O1332&lt;=INDEX(PARAMETROS_CULTURAS!$F$6:$F$28,$P1332)+INDEX(PARAMETROS_CULTURAS!$G$6:$G$28,$P1332),"DESENVOLVIMENTO",IF($O1332&lt;=INDEX(PARAMETROS_CULTURAS!$F$6:$F$28,$P1332)+INDEX(PARAMETROS_CULTURAS!$G$6:$G$28,$P1332)+INDEX(PARAMETROS_CULTURAS!$H$6:$H$28,$P1332),"MEDIA","FINAL"))))</f>
        <v>-</v>
      </c>
      <c r="R1332" s="24" t="n">
        <f aca="false">IF($P1332=0,0,IF($O1332&lt;=INDEX(PARAMETROS_CULTURAS!$F$6:$F$28,$P1332),INDEX(PARAMETROS_CULTURAS!$K$6:$K$28,$P1332),IF($O1332&lt;=INDEX(PARAMETROS_CULTURAS!$F$6:$F$28,$P1332)+INDEX(PARAMETROS_CULTURAS!$G$6:$G$28,$P1332),INDEX(PARAMETROS_CULTURAS!$K$6:$K$28,$P1332)+(INDEX(PARAMETROS_CULTURAS!$L$6:$L$28,$P1332)-INDEX(PARAMETROS_CULTURAS!$K$6:$K$28,$P1332))*($O1332-INDEX(PARAMETROS_CULTURAS!$F$6:$F$28,$P1332))/MAX(INDEX(PARAMETROS_CULTURAS!$G$6:$G$28,$P1332),0.0001),IF($O1332&lt;=INDEX(PARAMETROS_CULTURAS!$F$6:$F$28,$P1332)+INDEX(PARAMETROS_CULTURAS!$G$6:$G$28,$P1332)+INDEX(PARAMETROS_CULTURAS!$H$6:$H$28,$P1332),INDEX(PARAMETROS_CULTURAS!$L$6:$L$28,$P1332),INDEX(PARAMETROS_CULTURAS!$L$6:$L$28,$P1332)+(INDEX(PARAMETROS_CULTURAS!$M$6:$M$28,$P1332)-INDEX(PARAMETROS_CULTURAS!$L$6:$L$28,$P1332))*($O1332-INDEX(PARAMETROS_CULTURAS!$F$6:$F$28,$P1332)-INDEX(PARAMETROS_CULTURAS!$G$6:$G$28,$P1332)-INDEX(PARAMETROS_CULTURAS!$H$6:$H$28,$P1332))/MAX(INDEX(PARAMETROS_CULTURAS!$I$6:$I$28,$P1332),0.0001)))))</f>
        <v>0</v>
      </c>
      <c r="S1332" s="18" t="n">
        <f aca="false">IFERROR(INDEX(SEMANAS!$H$6:$H$71,MATCH($B1332,SEMANAS!$B$6:$B$71,0)),0)</f>
        <v>39.2</v>
      </c>
      <c r="T1332" s="18" t="n">
        <f aca="false">$R1332*$S1332</f>
        <v>0</v>
      </c>
      <c r="U1332" s="18" t="n">
        <f aca="false">IFERROR(INDEX(SEMANAS!$I$6:$I$71,MATCH($B1332,SEMANAS!$B$6:$B$71,0)),0)</f>
        <v>27.09</v>
      </c>
      <c r="V1332" s="18" t="n">
        <f aca="false">IFERROR(INDEX(SEMANAS!$J$6:$J$71,MATCH($B1332,SEMANAS!$B$6:$B$71,0)),0)</f>
        <v>21.672</v>
      </c>
      <c r="W1332" s="18" t="n">
        <f aca="false">MAX(0,$T1332-$V1332)</f>
        <v>0</v>
      </c>
      <c r="X1332" s="19" t="n">
        <f aca="false">IFERROR(INDEX(CADASTRO_PIVOS!$K$6:$K$41,MATCH($E1332,CADASTRO_PIVOS!$B$6:$B$41,0)),EFICIENCIA_PADRAO)</f>
        <v>0.85</v>
      </c>
      <c r="Y1332" s="18" t="n">
        <f aca="false">IF($X1332&lt;=0,0,$W1332/$X1332)</f>
        <v>0</v>
      </c>
      <c r="Z1332" s="16" t="n">
        <f aca="false">$Y1332*$H1332*MM_PARA_M3_HA</f>
        <v>0</v>
      </c>
      <c r="AA1332" s="18" t="n">
        <f aca="false">IFERROR(INDEX(CADASTRO_PIVOS!$I$6:$I$41,MATCH($E1332,CADASTRO_PIVOS!$B$6:$B$41,0)),0)</f>
        <v>932.933333333333</v>
      </c>
      <c r="AB1332" s="18" t="n">
        <f aca="false">IF($Z1332&lt;=0,0,$Z1332/$AA1332)</f>
        <v>0</v>
      </c>
      <c r="AC1332" s="16" t="n">
        <f aca="false">IFERROR(INDEX(SEMANAS!$K$6:$K$71,MATCH($B1332,SEMANAS!$B$6:$B$71,0)),0)</f>
        <v>147</v>
      </c>
      <c r="AD1332" s="19" t="n">
        <f aca="false">IF($AC1332&lt;=0,0,$AB1332/$AC1332)</f>
        <v>0</v>
      </c>
      <c r="AE1332" s="8" t="str">
        <f aca="false">IF($K1332="SEM CULTURA","SEM CULTURA",IF($AA1332&lt;=0,"DADO PENDENTE",IF($AD1332&gt;LIMITE_CRITICO,"INVIAVEL",IF($AD1332&gt;LIMITE_ATENCAO,"CRITICO",IF($AD1332&gt;LIMITE_CONFORTAVEL,"ATENCAO","OK")))))</f>
        <v>SEM CULTURA</v>
      </c>
      <c r="AF1332" s="8" t="str">
        <f aca="false">$B1332&amp;"|"&amp;TEXT($AD1332,"0.000000")</f>
        <v>7|0.000000</v>
      </c>
      <c r="AG1332" s="18" t="n">
        <f aca="false">IF($K1332="SEM CULTURA",0,$T1332*$H1332)</f>
        <v>0</v>
      </c>
      <c r="AH1332" s="18" t="n">
        <f aca="false">IF($K1332="SEM CULTURA",0,$V1332*$H1332)</f>
        <v>0</v>
      </c>
      <c r="AI1332" s="18" t="n">
        <f aca="false">IF($K1332="SEM CULTURA",0,$W1332*$H1332)</f>
        <v>0</v>
      </c>
      <c r="AJ1332" s="18" t="n">
        <f aca="false">IF($K1332="SEM CULTURA",0,$S1332*$H1332)</f>
        <v>0</v>
      </c>
      <c r="AK1332" s="8" t="str">
        <f aca="false">$E1332&amp;"|"&amp;TEXT($AD1332,"0.000000")</f>
        <v>PV 128|0.000000</v>
      </c>
    </row>
    <row r="1333" customFormat="false" ht="15" hidden="false" customHeight="false" outlineLevel="0" collapsed="false">
      <c r="B1333" s="16" t="n">
        <v>8</v>
      </c>
      <c r="C1333" s="17" t="n">
        <f aca="false">DATA_INICIO_SAFRA+($B1333-1)*DIAS_POR_SEMANA</f>
        <v>46314</v>
      </c>
      <c r="D1333" s="17" t="n">
        <f aca="false">$C1333+DIAS_POR_SEMANA-1</f>
        <v>46320</v>
      </c>
      <c r="E1333" s="15" t="s">
        <v>279</v>
      </c>
      <c r="F1333" s="8" t="str">
        <f aca="false">IFERROR(INDEX(CADASTRO_PIVOS!$C$6:$C$41,MATCH($E1333,CADASTRO_PIVOS!$B$6:$B$41,0)),"?")</f>
        <v>RM06</v>
      </c>
      <c r="G1333" s="8" t="str">
        <f aca="false">IFERROR(INDEX(CADASTRO_PIVOS!$D$6:$D$41,MATCH($E1333,CADASTRO_PIVOS!$B$6:$B$41,0)),"?")</f>
        <v>TR06</v>
      </c>
      <c r="H1333" s="20" t="n">
        <f aca="false">IFERROR(INDEX(CADASTRO_PIVOS!$E$6:$E$41,MATCH($E1333,CADASTRO_PIVOS!$B$6:$B$41,0)),0)</f>
        <v>139.94</v>
      </c>
      <c r="I1333" s="16" t="n">
        <f aca="false">IFERROR(SUMIFS(ROTACAO_RDM!$B$6:$B$71,ROTACAO_RDM!$D$6:$D$71,$E1333,ROTACAO_RDM!$I$6:$I$71,"&lt;="&amp;$C1333+INT(DIAS_POR_SEMANA/2),ROTACAO_RDM!$J$6:$J$71,"&gt;="&amp;$C1333+INT(DIAS_POR_SEMANA/2)),0)</f>
        <v>0</v>
      </c>
      <c r="J1333" s="16" t="n">
        <f aca="false">IFERROR(MATCH($I1333,ROTACAO_RDM!$B$6:$B$71,0),0)</f>
        <v>0</v>
      </c>
      <c r="K1333" s="8" t="str">
        <f aca="false">IF($J1333=0,"SEM CULTURA",INDEX(ROTACAO_RDM!$F$6:$F$71,$J1333))</f>
        <v>SEM CULTURA</v>
      </c>
      <c r="L1333" s="8" t="str">
        <f aca="false">IF($J1333=0,"",INDEX(ROTACAO_RDM!$G$6:$G$71,$J1333))</f>
        <v/>
      </c>
      <c r="M1333" s="17" t="str">
        <f aca="false">IF($J1333=0,"",INDEX(ROTACAO_RDM!$I$6:$I$71,$J1333))</f>
        <v/>
      </c>
      <c r="N1333" s="16" t="n">
        <f aca="false">IF($J1333=0,0,MAX(0,$C1333+INT(DIAS_POR_SEMANA/2)-INDEX(ROTACAO_RDM!$I$6:$I$71,$J1333)))</f>
        <v>0</v>
      </c>
      <c r="O1333" s="19" t="n">
        <f aca="false">IF($J1333=0,0,MIN(1,$N1333/MAX(1,INDEX(ROTACAO_RDM!$K$6:$K$71,$J1333))))</f>
        <v>0</v>
      </c>
      <c r="P1333" s="16" t="n">
        <f aca="false">IF($J1333=0,0,IFERROR(MATCH(INDEX(ROTACAO_RDM!$N$6:$N$71,$J1333),PARAMETROS_CULTURAS!$B$6:$B$28,0),0))</f>
        <v>0</v>
      </c>
      <c r="Q1333" s="8" t="str">
        <f aca="false">IF($P1333=0,"-",IF($O1333&lt;=INDEX(PARAMETROS_CULTURAS!$F$6:$F$28,$P1333),"INICIAL",IF($O1333&lt;=INDEX(PARAMETROS_CULTURAS!$F$6:$F$28,$P1333)+INDEX(PARAMETROS_CULTURAS!$G$6:$G$28,$P1333),"DESENVOLVIMENTO",IF($O1333&lt;=INDEX(PARAMETROS_CULTURAS!$F$6:$F$28,$P1333)+INDEX(PARAMETROS_CULTURAS!$G$6:$G$28,$P1333)+INDEX(PARAMETROS_CULTURAS!$H$6:$H$28,$P1333),"MEDIA","FINAL"))))</f>
        <v>-</v>
      </c>
      <c r="R1333" s="24" t="n">
        <f aca="false">IF($P1333=0,0,IF($O1333&lt;=INDEX(PARAMETROS_CULTURAS!$F$6:$F$28,$P1333),INDEX(PARAMETROS_CULTURAS!$K$6:$K$28,$P1333),IF($O1333&lt;=INDEX(PARAMETROS_CULTURAS!$F$6:$F$28,$P1333)+INDEX(PARAMETROS_CULTURAS!$G$6:$G$28,$P1333),INDEX(PARAMETROS_CULTURAS!$K$6:$K$28,$P1333)+(INDEX(PARAMETROS_CULTURAS!$L$6:$L$28,$P1333)-INDEX(PARAMETROS_CULTURAS!$K$6:$K$28,$P1333))*($O1333-INDEX(PARAMETROS_CULTURAS!$F$6:$F$28,$P1333))/MAX(INDEX(PARAMETROS_CULTURAS!$G$6:$G$28,$P1333),0.0001),IF($O1333&lt;=INDEX(PARAMETROS_CULTURAS!$F$6:$F$28,$P1333)+INDEX(PARAMETROS_CULTURAS!$G$6:$G$28,$P1333)+INDEX(PARAMETROS_CULTURAS!$H$6:$H$28,$P1333),INDEX(PARAMETROS_CULTURAS!$L$6:$L$28,$P1333),INDEX(PARAMETROS_CULTURAS!$L$6:$L$28,$P1333)+(INDEX(PARAMETROS_CULTURAS!$M$6:$M$28,$P1333)-INDEX(PARAMETROS_CULTURAS!$L$6:$L$28,$P1333))*($O1333-INDEX(PARAMETROS_CULTURAS!$F$6:$F$28,$P1333)-INDEX(PARAMETROS_CULTURAS!$G$6:$G$28,$P1333)-INDEX(PARAMETROS_CULTURAS!$H$6:$H$28,$P1333))/MAX(INDEX(PARAMETROS_CULTURAS!$I$6:$I$28,$P1333),0.0001)))))</f>
        <v>0</v>
      </c>
      <c r="S1333" s="18" t="n">
        <f aca="false">IFERROR(INDEX(SEMANAS!$H$6:$H$71,MATCH($B1333,SEMANAS!$B$6:$B$71,0)),0)</f>
        <v>39.2</v>
      </c>
      <c r="T1333" s="18" t="n">
        <f aca="false">$R1333*$S1333</f>
        <v>0</v>
      </c>
      <c r="U1333" s="18" t="n">
        <f aca="false">IFERROR(INDEX(SEMANAS!$I$6:$I$71,MATCH($B1333,SEMANAS!$B$6:$B$71,0)),0)</f>
        <v>27.09</v>
      </c>
      <c r="V1333" s="18" t="n">
        <f aca="false">IFERROR(INDEX(SEMANAS!$J$6:$J$71,MATCH($B1333,SEMANAS!$B$6:$B$71,0)),0)</f>
        <v>21.672</v>
      </c>
      <c r="W1333" s="18" t="n">
        <f aca="false">MAX(0,$T1333-$V1333)</f>
        <v>0</v>
      </c>
      <c r="X1333" s="19" t="n">
        <f aca="false">IFERROR(INDEX(CADASTRO_PIVOS!$K$6:$K$41,MATCH($E1333,CADASTRO_PIVOS!$B$6:$B$41,0)),EFICIENCIA_PADRAO)</f>
        <v>0.85</v>
      </c>
      <c r="Y1333" s="18" t="n">
        <f aca="false">IF($X1333&lt;=0,0,$W1333/$X1333)</f>
        <v>0</v>
      </c>
      <c r="Z1333" s="16" t="n">
        <f aca="false">$Y1333*$H1333*MM_PARA_M3_HA</f>
        <v>0</v>
      </c>
      <c r="AA1333" s="18" t="n">
        <f aca="false">IFERROR(INDEX(CADASTRO_PIVOS!$I$6:$I$41,MATCH($E1333,CADASTRO_PIVOS!$B$6:$B$41,0)),0)</f>
        <v>932.933333333333</v>
      </c>
      <c r="AB1333" s="18" t="n">
        <f aca="false">IF($Z1333&lt;=0,0,$Z1333/$AA1333)</f>
        <v>0</v>
      </c>
      <c r="AC1333" s="16" t="n">
        <f aca="false">IFERROR(INDEX(SEMANAS!$K$6:$K$71,MATCH($B1333,SEMANAS!$B$6:$B$71,0)),0)</f>
        <v>147</v>
      </c>
      <c r="AD1333" s="19" t="n">
        <f aca="false">IF($AC1333&lt;=0,0,$AB1333/$AC1333)</f>
        <v>0</v>
      </c>
      <c r="AE1333" s="8" t="str">
        <f aca="false">IF($K1333="SEM CULTURA","SEM CULTURA",IF($AA1333&lt;=0,"DADO PENDENTE",IF($AD1333&gt;LIMITE_CRITICO,"INVIAVEL",IF($AD1333&gt;LIMITE_ATENCAO,"CRITICO",IF($AD1333&gt;LIMITE_CONFORTAVEL,"ATENCAO","OK")))))</f>
        <v>SEM CULTURA</v>
      </c>
      <c r="AF1333" s="8" t="str">
        <f aca="false">$B1333&amp;"|"&amp;TEXT($AD1333,"0.000000")</f>
        <v>8|0.000000</v>
      </c>
      <c r="AG1333" s="18" t="n">
        <f aca="false">IF($K1333="SEM CULTURA",0,$T1333*$H1333)</f>
        <v>0</v>
      </c>
      <c r="AH1333" s="18" t="n">
        <f aca="false">IF($K1333="SEM CULTURA",0,$V1333*$H1333)</f>
        <v>0</v>
      </c>
      <c r="AI1333" s="18" t="n">
        <f aca="false">IF($K1333="SEM CULTURA",0,$W1333*$H1333)</f>
        <v>0</v>
      </c>
      <c r="AJ1333" s="18" t="n">
        <f aca="false">IF($K1333="SEM CULTURA",0,$S1333*$H1333)</f>
        <v>0</v>
      </c>
      <c r="AK1333" s="8" t="str">
        <f aca="false">$E1333&amp;"|"&amp;TEXT($AD1333,"0.000000")</f>
        <v>PV 128|0.000000</v>
      </c>
    </row>
    <row r="1334" customFormat="false" ht="15" hidden="false" customHeight="false" outlineLevel="0" collapsed="false">
      <c r="B1334" s="16" t="n">
        <v>9</v>
      </c>
      <c r="C1334" s="17" t="n">
        <f aca="false">DATA_INICIO_SAFRA+($B1334-1)*DIAS_POR_SEMANA</f>
        <v>46321</v>
      </c>
      <c r="D1334" s="17" t="n">
        <f aca="false">$C1334+DIAS_POR_SEMANA-1</f>
        <v>46327</v>
      </c>
      <c r="E1334" s="15" t="s">
        <v>279</v>
      </c>
      <c r="F1334" s="8" t="str">
        <f aca="false">IFERROR(INDEX(CADASTRO_PIVOS!$C$6:$C$41,MATCH($E1334,CADASTRO_PIVOS!$B$6:$B$41,0)),"?")</f>
        <v>RM06</v>
      </c>
      <c r="G1334" s="8" t="str">
        <f aca="false">IFERROR(INDEX(CADASTRO_PIVOS!$D$6:$D$41,MATCH($E1334,CADASTRO_PIVOS!$B$6:$B$41,0)),"?")</f>
        <v>TR06</v>
      </c>
      <c r="H1334" s="20" t="n">
        <f aca="false">IFERROR(INDEX(CADASTRO_PIVOS!$E$6:$E$41,MATCH($E1334,CADASTRO_PIVOS!$B$6:$B$41,0)),0)</f>
        <v>139.94</v>
      </c>
      <c r="I1334" s="16" t="n">
        <f aca="false">IFERROR(SUMIFS(ROTACAO_RDM!$B$6:$B$71,ROTACAO_RDM!$D$6:$D$71,$E1334,ROTACAO_RDM!$I$6:$I$71,"&lt;="&amp;$C1334+INT(DIAS_POR_SEMANA/2),ROTACAO_RDM!$J$6:$J$71,"&gt;="&amp;$C1334+INT(DIAS_POR_SEMANA/2)),0)</f>
        <v>0</v>
      </c>
      <c r="J1334" s="16" t="n">
        <f aca="false">IFERROR(MATCH($I1334,ROTACAO_RDM!$B$6:$B$71,0),0)</f>
        <v>0</v>
      </c>
      <c r="K1334" s="8" t="str">
        <f aca="false">IF($J1334=0,"SEM CULTURA",INDEX(ROTACAO_RDM!$F$6:$F$71,$J1334))</f>
        <v>SEM CULTURA</v>
      </c>
      <c r="L1334" s="8" t="str">
        <f aca="false">IF($J1334=0,"",INDEX(ROTACAO_RDM!$G$6:$G$71,$J1334))</f>
        <v/>
      </c>
      <c r="M1334" s="17" t="str">
        <f aca="false">IF($J1334=0,"",INDEX(ROTACAO_RDM!$I$6:$I$71,$J1334))</f>
        <v/>
      </c>
      <c r="N1334" s="16" t="n">
        <f aca="false">IF($J1334=0,0,MAX(0,$C1334+INT(DIAS_POR_SEMANA/2)-INDEX(ROTACAO_RDM!$I$6:$I$71,$J1334)))</f>
        <v>0</v>
      </c>
      <c r="O1334" s="19" t="n">
        <f aca="false">IF($J1334=0,0,MIN(1,$N1334/MAX(1,INDEX(ROTACAO_RDM!$K$6:$K$71,$J1334))))</f>
        <v>0</v>
      </c>
      <c r="P1334" s="16" t="n">
        <f aca="false">IF($J1334=0,0,IFERROR(MATCH(INDEX(ROTACAO_RDM!$N$6:$N$71,$J1334),PARAMETROS_CULTURAS!$B$6:$B$28,0),0))</f>
        <v>0</v>
      </c>
      <c r="Q1334" s="8" t="str">
        <f aca="false">IF($P1334=0,"-",IF($O1334&lt;=INDEX(PARAMETROS_CULTURAS!$F$6:$F$28,$P1334),"INICIAL",IF($O1334&lt;=INDEX(PARAMETROS_CULTURAS!$F$6:$F$28,$P1334)+INDEX(PARAMETROS_CULTURAS!$G$6:$G$28,$P1334),"DESENVOLVIMENTO",IF($O1334&lt;=INDEX(PARAMETROS_CULTURAS!$F$6:$F$28,$P1334)+INDEX(PARAMETROS_CULTURAS!$G$6:$G$28,$P1334)+INDEX(PARAMETROS_CULTURAS!$H$6:$H$28,$P1334),"MEDIA","FINAL"))))</f>
        <v>-</v>
      </c>
      <c r="R1334" s="24" t="n">
        <f aca="false">IF($P1334=0,0,IF($O1334&lt;=INDEX(PARAMETROS_CULTURAS!$F$6:$F$28,$P1334),INDEX(PARAMETROS_CULTURAS!$K$6:$K$28,$P1334),IF($O1334&lt;=INDEX(PARAMETROS_CULTURAS!$F$6:$F$28,$P1334)+INDEX(PARAMETROS_CULTURAS!$G$6:$G$28,$P1334),INDEX(PARAMETROS_CULTURAS!$K$6:$K$28,$P1334)+(INDEX(PARAMETROS_CULTURAS!$L$6:$L$28,$P1334)-INDEX(PARAMETROS_CULTURAS!$K$6:$K$28,$P1334))*($O1334-INDEX(PARAMETROS_CULTURAS!$F$6:$F$28,$P1334))/MAX(INDEX(PARAMETROS_CULTURAS!$G$6:$G$28,$P1334),0.0001),IF($O1334&lt;=INDEX(PARAMETROS_CULTURAS!$F$6:$F$28,$P1334)+INDEX(PARAMETROS_CULTURAS!$G$6:$G$28,$P1334)+INDEX(PARAMETROS_CULTURAS!$H$6:$H$28,$P1334),INDEX(PARAMETROS_CULTURAS!$L$6:$L$28,$P1334),INDEX(PARAMETROS_CULTURAS!$L$6:$L$28,$P1334)+(INDEX(PARAMETROS_CULTURAS!$M$6:$M$28,$P1334)-INDEX(PARAMETROS_CULTURAS!$L$6:$L$28,$P1334))*($O1334-INDEX(PARAMETROS_CULTURAS!$F$6:$F$28,$P1334)-INDEX(PARAMETROS_CULTURAS!$G$6:$G$28,$P1334)-INDEX(PARAMETROS_CULTURAS!$H$6:$H$28,$P1334))/MAX(INDEX(PARAMETROS_CULTURAS!$I$6:$I$28,$P1334),0.0001)))))</f>
        <v>0</v>
      </c>
      <c r="S1334" s="18" t="n">
        <f aca="false">IFERROR(INDEX(SEMANAS!$H$6:$H$71,MATCH($B1334,SEMANAS!$B$6:$B$71,0)),0)</f>
        <v>38.5</v>
      </c>
      <c r="T1334" s="18" t="n">
        <f aca="false">$R1334*$S1334</f>
        <v>0</v>
      </c>
      <c r="U1334" s="18" t="n">
        <f aca="false">IFERROR(INDEX(SEMANAS!$I$6:$I$71,MATCH($B1334,SEMANAS!$B$6:$B$71,0)),0)</f>
        <v>29.89</v>
      </c>
      <c r="V1334" s="18" t="n">
        <f aca="false">IFERROR(INDEX(SEMANAS!$J$6:$J$71,MATCH($B1334,SEMANAS!$B$6:$B$71,0)),0)</f>
        <v>23.912</v>
      </c>
      <c r="W1334" s="18" t="n">
        <f aca="false">MAX(0,$T1334-$V1334)</f>
        <v>0</v>
      </c>
      <c r="X1334" s="19" t="n">
        <f aca="false">IFERROR(INDEX(CADASTRO_PIVOS!$K$6:$K$41,MATCH($E1334,CADASTRO_PIVOS!$B$6:$B$41,0)),EFICIENCIA_PADRAO)</f>
        <v>0.85</v>
      </c>
      <c r="Y1334" s="18" t="n">
        <f aca="false">IF($X1334&lt;=0,0,$W1334/$X1334)</f>
        <v>0</v>
      </c>
      <c r="Z1334" s="16" t="n">
        <f aca="false">$Y1334*$H1334*MM_PARA_M3_HA</f>
        <v>0</v>
      </c>
      <c r="AA1334" s="18" t="n">
        <f aca="false">IFERROR(INDEX(CADASTRO_PIVOS!$I$6:$I$41,MATCH($E1334,CADASTRO_PIVOS!$B$6:$B$41,0)),0)</f>
        <v>932.933333333333</v>
      </c>
      <c r="AB1334" s="18" t="n">
        <f aca="false">IF($Z1334&lt;=0,0,$Z1334/$AA1334)</f>
        <v>0</v>
      </c>
      <c r="AC1334" s="16" t="n">
        <f aca="false">IFERROR(INDEX(SEMANAS!$K$6:$K$71,MATCH($B1334,SEMANAS!$B$6:$B$71,0)),0)</f>
        <v>147</v>
      </c>
      <c r="AD1334" s="19" t="n">
        <f aca="false">IF($AC1334&lt;=0,0,$AB1334/$AC1334)</f>
        <v>0</v>
      </c>
      <c r="AE1334" s="8" t="str">
        <f aca="false">IF($K1334="SEM CULTURA","SEM CULTURA",IF($AA1334&lt;=0,"DADO PENDENTE",IF($AD1334&gt;LIMITE_CRITICO,"INVIAVEL",IF($AD1334&gt;LIMITE_ATENCAO,"CRITICO",IF($AD1334&gt;LIMITE_CONFORTAVEL,"ATENCAO","OK")))))</f>
        <v>SEM CULTURA</v>
      </c>
      <c r="AF1334" s="8" t="str">
        <f aca="false">$B1334&amp;"|"&amp;TEXT($AD1334,"0.000000")</f>
        <v>9|0.000000</v>
      </c>
      <c r="AG1334" s="18" t="n">
        <f aca="false">IF($K1334="SEM CULTURA",0,$T1334*$H1334)</f>
        <v>0</v>
      </c>
      <c r="AH1334" s="18" t="n">
        <f aca="false">IF($K1334="SEM CULTURA",0,$V1334*$H1334)</f>
        <v>0</v>
      </c>
      <c r="AI1334" s="18" t="n">
        <f aca="false">IF($K1334="SEM CULTURA",0,$W1334*$H1334)</f>
        <v>0</v>
      </c>
      <c r="AJ1334" s="18" t="n">
        <f aca="false">IF($K1334="SEM CULTURA",0,$S1334*$H1334)</f>
        <v>0</v>
      </c>
      <c r="AK1334" s="8" t="str">
        <f aca="false">$E1334&amp;"|"&amp;TEXT($AD1334,"0.000000")</f>
        <v>PV 128|0.000000</v>
      </c>
    </row>
    <row r="1335" customFormat="false" ht="15" hidden="false" customHeight="false" outlineLevel="0" collapsed="false">
      <c r="B1335" s="16" t="n">
        <v>10</v>
      </c>
      <c r="C1335" s="17" t="n">
        <f aca="false">DATA_INICIO_SAFRA+($B1335-1)*DIAS_POR_SEMANA</f>
        <v>46328</v>
      </c>
      <c r="D1335" s="17" t="n">
        <f aca="false">$C1335+DIAS_POR_SEMANA-1</f>
        <v>46334</v>
      </c>
      <c r="E1335" s="15" t="s">
        <v>279</v>
      </c>
      <c r="F1335" s="8" t="str">
        <f aca="false">IFERROR(INDEX(CADASTRO_PIVOS!$C$6:$C$41,MATCH($E1335,CADASTRO_PIVOS!$B$6:$B$41,0)),"?")</f>
        <v>RM06</v>
      </c>
      <c r="G1335" s="8" t="str">
        <f aca="false">IFERROR(INDEX(CADASTRO_PIVOS!$D$6:$D$41,MATCH($E1335,CADASTRO_PIVOS!$B$6:$B$41,0)),"?")</f>
        <v>TR06</v>
      </c>
      <c r="H1335" s="20" t="n">
        <f aca="false">IFERROR(INDEX(CADASTRO_PIVOS!$E$6:$E$41,MATCH($E1335,CADASTRO_PIVOS!$B$6:$B$41,0)),0)</f>
        <v>139.94</v>
      </c>
      <c r="I1335" s="16" t="n">
        <f aca="false">IFERROR(SUMIFS(ROTACAO_RDM!$B$6:$B$71,ROTACAO_RDM!$D$6:$D$71,$E1335,ROTACAO_RDM!$I$6:$I$71,"&lt;="&amp;$C1335+INT(DIAS_POR_SEMANA/2),ROTACAO_RDM!$J$6:$J$71,"&gt;="&amp;$C1335+INT(DIAS_POR_SEMANA/2)),0)</f>
        <v>0</v>
      </c>
      <c r="J1335" s="16" t="n">
        <f aca="false">IFERROR(MATCH($I1335,ROTACAO_RDM!$B$6:$B$71,0),0)</f>
        <v>0</v>
      </c>
      <c r="K1335" s="8" t="str">
        <f aca="false">IF($J1335=0,"SEM CULTURA",INDEX(ROTACAO_RDM!$F$6:$F$71,$J1335))</f>
        <v>SEM CULTURA</v>
      </c>
      <c r="L1335" s="8" t="str">
        <f aca="false">IF($J1335=0,"",INDEX(ROTACAO_RDM!$G$6:$G$71,$J1335))</f>
        <v/>
      </c>
      <c r="M1335" s="17" t="str">
        <f aca="false">IF($J1335=0,"",INDEX(ROTACAO_RDM!$I$6:$I$71,$J1335))</f>
        <v/>
      </c>
      <c r="N1335" s="16" t="n">
        <f aca="false">IF($J1335=0,0,MAX(0,$C1335+INT(DIAS_POR_SEMANA/2)-INDEX(ROTACAO_RDM!$I$6:$I$71,$J1335)))</f>
        <v>0</v>
      </c>
      <c r="O1335" s="19" t="n">
        <f aca="false">IF($J1335=0,0,MIN(1,$N1335/MAX(1,INDEX(ROTACAO_RDM!$K$6:$K$71,$J1335))))</f>
        <v>0</v>
      </c>
      <c r="P1335" s="16" t="n">
        <f aca="false">IF($J1335=0,0,IFERROR(MATCH(INDEX(ROTACAO_RDM!$N$6:$N$71,$J1335),PARAMETROS_CULTURAS!$B$6:$B$28,0),0))</f>
        <v>0</v>
      </c>
      <c r="Q1335" s="8" t="str">
        <f aca="false">IF($P1335=0,"-",IF($O1335&lt;=INDEX(PARAMETROS_CULTURAS!$F$6:$F$28,$P1335),"INICIAL",IF($O1335&lt;=INDEX(PARAMETROS_CULTURAS!$F$6:$F$28,$P1335)+INDEX(PARAMETROS_CULTURAS!$G$6:$G$28,$P1335),"DESENVOLVIMENTO",IF($O1335&lt;=INDEX(PARAMETROS_CULTURAS!$F$6:$F$28,$P1335)+INDEX(PARAMETROS_CULTURAS!$G$6:$G$28,$P1335)+INDEX(PARAMETROS_CULTURAS!$H$6:$H$28,$P1335),"MEDIA","FINAL"))))</f>
        <v>-</v>
      </c>
      <c r="R1335" s="24" t="n">
        <f aca="false">IF($P1335=0,0,IF($O1335&lt;=INDEX(PARAMETROS_CULTURAS!$F$6:$F$28,$P1335),INDEX(PARAMETROS_CULTURAS!$K$6:$K$28,$P1335),IF($O1335&lt;=INDEX(PARAMETROS_CULTURAS!$F$6:$F$28,$P1335)+INDEX(PARAMETROS_CULTURAS!$G$6:$G$28,$P1335),INDEX(PARAMETROS_CULTURAS!$K$6:$K$28,$P1335)+(INDEX(PARAMETROS_CULTURAS!$L$6:$L$28,$P1335)-INDEX(PARAMETROS_CULTURAS!$K$6:$K$28,$P1335))*($O1335-INDEX(PARAMETROS_CULTURAS!$F$6:$F$28,$P1335))/MAX(INDEX(PARAMETROS_CULTURAS!$G$6:$G$28,$P1335),0.0001),IF($O1335&lt;=INDEX(PARAMETROS_CULTURAS!$F$6:$F$28,$P1335)+INDEX(PARAMETROS_CULTURAS!$G$6:$G$28,$P1335)+INDEX(PARAMETROS_CULTURAS!$H$6:$H$28,$P1335),INDEX(PARAMETROS_CULTURAS!$L$6:$L$28,$P1335),INDEX(PARAMETROS_CULTURAS!$L$6:$L$28,$P1335)+(INDEX(PARAMETROS_CULTURAS!$M$6:$M$28,$P1335)-INDEX(PARAMETROS_CULTURAS!$L$6:$L$28,$P1335))*($O1335-INDEX(PARAMETROS_CULTURAS!$F$6:$F$28,$P1335)-INDEX(PARAMETROS_CULTURAS!$G$6:$G$28,$P1335)-INDEX(PARAMETROS_CULTURAS!$H$6:$H$28,$P1335))/MAX(INDEX(PARAMETROS_CULTURAS!$I$6:$I$28,$P1335),0.0001)))))</f>
        <v>0</v>
      </c>
      <c r="S1335" s="18" t="n">
        <f aca="false">IFERROR(INDEX(SEMANAS!$H$6:$H$71,MATCH($B1335,SEMANAS!$B$6:$B$71,0)),0)</f>
        <v>34.3</v>
      </c>
      <c r="T1335" s="18" t="n">
        <f aca="false">$R1335*$S1335</f>
        <v>0</v>
      </c>
      <c r="U1335" s="18" t="n">
        <f aca="false">IFERROR(INDEX(SEMANAS!$I$6:$I$71,MATCH($B1335,SEMANAS!$B$6:$B$71,0)),0)</f>
        <v>46.69</v>
      </c>
      <c r="V1335" s="18" t="n">
        <f aca="false">IFERROR(INDEX(SEMANAS!$J$6:$J$71,MATCH($B1335,SEMANAS!$B$6:$B$71,0)),0)</f>
        <v>37.352</v>
      </c>
      <c r="W1335" s="18" t="n">
        <f aca="false">MAX(0,$T1335-$V1335)</f>
        <v>0</v>
      </c>
      <c r="X1335" s="19" t="n">
        <f aca="false">IFERROR(INDEX(CADASTRO_PIVOS!$K$6:$K$41,MATCH($E1335,CADASTRO_PIVOS!$B$6:$B$41,0)),EFICIENCIA_PADRAO)</f>
        <v>0.85</v>
      </c>
      <c r="Y1335" s="18" t="n">
        <f aca="false">IF($X1335&lt;=0,0,$W1335/$X1335)</f>
        <v>0</v>
      </c>
      <c r="Z1335" s="16" t="n">
        <f aca="false">$Y1335*$H1335*MM_PARA_M3_HA</f>
        <v>0</v>
      </c>
      <c r="AA1335" s="18" t="n">
        <f aca="false">IFERROR(INDEX(CADASTRO_PIVOS!$I$6:$I$41,MATCH($E1335,CADASTRO_PIVOS!$B$6:$B$41,0)),0)</f>
        <v>932.933333333333</v>
      </c>
      <c r="AB1335" s="18" t="n">
        <f aca="false">IF($Z1335&lt;=0,0,$Z1335/$AA1335)</f>
        <v>0</v>
      </c>
      <c r="AC1335" s="16" t="n">
        <f aca="false">IFERROR(INDEX(SEMANAS!$K$6:$K$71,MATCH($B1335,SEMANAS!$B$6:$B$71,0)),0)</f>
        <v>147</v>
      </c>
      <c r="AD1335" s="19" t="n">
        <f aca="false">IF($AC1335&lt;=0,0,$AB1335/$AC1335)</f>
        <v>0</v>
      </c>
      <c r="AE1335" s="8" t="str">
        <f aca="false">IF($K1335="SEM CULTURA","SEM CULTURA",IF($AA1335&lt;=0,"DADO PENDENTE",IF($AD1335&gt;LIMITE_CRITICO,"INVIAVEL",IF($AD1335&gt;LIMITE_ATENCAO,"CRITICO",IF($AD1335&gt;LIMITE_CONFORTAVEL,"ATENCAO","OK")))))</f>
        <v>SEM CULTURA</v>
      </c>
      <c r="AF1335" s="8" t="str">
        <f aca="false">$B1335&amp;"|"&amp;TEXT($AD1335,"0.000000")</f>
        <v>10|0.000000</v>
      </c>
      <c r="AG1335" s="18" t="n">
        <f aca="false">IF($K1335="SEM CULTURA",0,$T1335*$H1335)</f>
        <v>0</v>
      </c>
      <c r="AH1335" s="18" t="n">
        <f aca="false">IF($K1335="SEM CULTURA",0,$V1335*$H1335)</f>
        <v>0</v>
      </c>
      <c r="AI1335" s="18" t="n">
        <f aca="false">IF($K1335="SEM CULTURA",0,$W1335*$H1335)</f>
        <v>0</v>
      </c>
      <c r="AJ1335" s="18" t="n">
        <f aca="false">IF($K1335="SEM CULTURA",0,$S1335*$H1335)</f>
        <v>0</v>
      </c>
      <c r="AK1335" s="8" t="str">
        <f aca="false">$E1335&amp;"|"&amp;TEXT($AD1335,"0.000000")</f>
        <v>PV 128|0.000000</v>
      </c>
    </row>
    <row r="1336" customFormat="false" ht="15" hidden="false" customHeight="false" outlineLevel="0" collapsed="false">
      <c r="B1336" s="16" t="n">
        <v>11</v>
      </c>
      <c r="C1336" s="17" t="n">
        <f aca="false">DATA_INICIO_SAFRA+($B1336-1)*DIAS_POR_SEMANA</f>
        <v>46335</v>
      </c>
      <c r="D1336" s="17" t="n">
        <f aca="false">$C1336+DIAS_POR_SEMANA-1</f>
        <v>46341</v>
      </c>
      <c r="E1336" s="15" t="s">
        <v>279</v>
      </c>
      <c r="F1336" s="8" t="str">
        <f aca="false">IFERROR(INDEX(CADASTRO_PIVOS!$C$6:$C$41,MATCH($E1336,CADASTRO_PIVOS!$B$6:$B$41,0)),"?")</f>
        <v>RM06</v>
      </c>
      <c r="G1336" s="8" t="str">
        <f aca="false">IFERROR(INDEX(CADASTRO_PIVOS!$D$6:$D$41,MATCH($E1336,CADASTRO_PIVOS!$B$6:$B$41,0)),"?")</f>
        <v>TR06</v>
      </c>
      <c r="H1336" s="20" t="n">
        <f aca="false">IFERROR(INDEX(CADASTRO_PIVOS!$E$6:$E$41,MATCH($E1336,CADASTRO_PIVOS!$B$6:$B$41,0)),0)</f>
        <v>139.94</v>
      </c>
      <c r="I1336" s="16" t="n">
        <f aca="false">IFERROR(SUMIFS(ROTACAO_RDM!$B$6:$B$71,ROTACAO_RDM!$D$6:$D$71,$E1336,ROTACAO_RDM!$I$6:$I$71,"&lt;="&amp;$C1336+INT(DIAS_POR_SEMANA/2),ROTACAO_RDM!$J$6:$J$71,"&gt;="&amp;$C1336+INT(DIAS_POR_SEMANA/2)),0)</f>
        <v>0</v>
      </c>
      <c r="J1336" s="16" t="n">
        <f aca="false">IFERROR(MATCH($I1336,ROTACAO_RDM!$B$6:$B$71,0),0)</f>
        <v>0</v>
      </c>
      <c r="K1336" s="8" t="str">
        <f aca="false">IF($J1336=0,"SEM CULTURA",INDEX(ROTACAO_RDM!$F$6:$F$71,$J1336))</f>
        <v>SEM CULTURA</v>
      </c>
      <c r="L1336" s="8" t="str">
        <f aca="false">IF($J1336=0,"",INDEX(ROTACAO_RDM!$G$6:$G$71,$J1336))</f>
        <v/>
      </c>
      <c r="M1336" s="17" t="str">
        <f aca="false">IF($J1336=0,"",INDEX(ROTACAO_RDM!$I$6:$I$71,$J1336))</f>
        <v/>
      </c>
      <c r="N1336" s="16" t="n">
        <f aca="false">IF($J1336=0,0,MAX(0,$C1336+INT(DIAS_POR_SEMANA/2)-INDEX(ROTACAO_RDM!$I$6:$I$71,$J1336)))</f>
        <v>0</v>
      </c>
      <c r="O1336" s="19" t="n">
        <f aca="false">IF($J1336=0,0,MIN(1,$N1336/MAX(1,INDEX(ROTACAO_RDM!$K$6:$K$71,$J1336))))</f>
        <v>0</v>
      </c>
      <c r="P1336" s="16" t="n">
        <f aca="false">IF($J1336=0,0,IFERROR(MATCH(INDEX(ROTACAO_RDM!$N$6:$N$71,$J1336),PARAMETROS_CULTURAS!$B$6:$B$28,0),0))</f>
        <v>0</v>
      </c>
      <c r="Q1336" s="8" t="str">
        <f aca="false">IF($P1336=0,"-",IF($O1336&lt;=INDEX(PARAMETROS_CULTURAS!$F$6:$F$28,$P1336),"INICIAL",IF($O1336&lt;=INDEX(PARAMETROS_CULTURAS!$F$6:$F$28,$P1336)+INDEX(PARAMETROS_CULTURAS!$G$6:$G$28,$P1336),"DESENVOLVIMENTO",IF($O1336&lt;=INDEX(PARAMETROS_CULTURAS!$F$6:$F$28,$P1336)+INDEX(PARAMETROS_CULTURAS!$G$6:$G$28,$P1336)+INDEX(PARAMETROS_CULTURAS!$H$6:$H$28,$P1336),"MEDIA","FINAL"))))</f>
        <v>-</v>
      </c>
      <c r="R1336" s="24" t="n">
        <f aca="false">IF($P1336=0,0,IF($O1336&lt;=INDEX(PARAMETROS_CULTURAS!$F$6:$F$28,$P1336),INDEX(PARAMETROS_CULTURAS!$K$6:$K$28,$P1336),IF($O1336&lt;=INDEX(PARAMETROS_CULTURAS!$F$6:$F$28,$P1336)+INDEX(PARAMETROS_CULTURAS!$G$6:$G$28,$P1336),INDEX(PARAMETROS_CULTURAS!$K$6:$K$28,$P1336)+(INDEX(PARAMETROS_CULTURAS!$L$6:$L$28,$P1336)-INDEX(PARAMETROS_CULTURAS!$K$6:$K$28,$P1336))*($O1336-INDEX(PARAMETROS_CULTURAS!$F$6:$F$28,$P1336))/MAX(INDEX(PARAMETROS_CULTURAS!$G$6:$G$28,$P1336),0.0001),IF($O1336&lt;=INDEX(PARAMETROS_CULTURAS!$F$6:$F$28,$P1336)+INDEX(PARAMETROS_CULTURAS!$G$6:$G$28,$P1336)+INDEX(PARAMETROS_CULTURAS!$H$6:$H$28,$P1336),INDEX(PARAMETROS_CULTURAS!$L$6:$L$28,$P1336),INDEX(PARAMETROS_CULTURAS!$L$6:$L$28,$P1336)+(INDEX(PARAMETROS_CULTURAS!$M$6:$M$28,$P1336)-INDEX(PARAMETROS_CULTURAS!$L$6:$L$28,$P1336))*($O1336-INDEX(PARAMETROS_CULTURAS!$F$6:$F$28,$P1336)-INDEX(PARAMETROS_CULTURAS!$G$6:$G$28,$P1336)-INDEX(PARAMETROS_CULTURAS!$H$6:$H$28,$P1336))/MAX(INDEX(PARAMETROS_CULTURAS!$I$6:$I$28,$P1336),0.0001)))))</f>
        <v>0</v>
      </c>
      <c r="S1336" s="18" t="n">
        <f aca="false">IFERROR(INDEX(SEMANAS!$H$6:$H$71,MATCH($B1336,SEMANAS!$B$6:$B$71,0)),0)</f>
        <v>34.3</v>
      </c>
      <c r="T1336" s="18" t="n">
        <f aca="false">$R1336*$S1336</f>
        <v>0</v>
      </c>
      <c r="U1336" s="18" t="n">
        <f aca="false">IFERROR(INDEX(SEMANAS!$I$6:$I$71,MATCH($B1336,SEMANAS!$B$6:$B$71,0)),0)</f>
        <v>46.69</v>
      </c>
      <c r="V1336" s="18" t="n">
        <f aca="false">IFERROR(INDEX(SEMANAS!$J$6:$J$71,MATCH($B1336,SEMANAS!$B$6:$B$71,0)),0)</f>
        <v>37.352</v>
      </c>
      <c r="W1336" s="18" t="n">
        <f aca="false">MAX(0,$T1336-$V1336)</f>
        <v>0</v>
      </c>
      <c r="X1336" s="19" t="n">
        <f aca="false">IFERROR(INDEX(CADASTRO_PIVOS!$K$6:$K$41,MATCH($E1336,CADASTRO_PIVOS!$B$6:$B$41,0)),EFICIENCIA_PADRAO)</f>
        <v>0.85</v>
      </c>
      <c r="Y1336" s="18" t="n">
        <f aca="false">IF($X1336&lt;=0,0,$W1336/$X1336)</f>
        <v>0</v>
      </c>
      <c r="Z1336" s="16" t="n">
        <f aca="false">$Y1336*$H1336*MM_PARA_M3_HA</f>
        <v>0</v>
      </c>
      <c r="AA1336" s="18" t="n">
        <f aca="false">IFERROR(INDEX(CADASTRO_PIVOS!$I$6:$I$41,MATCH($E1336,CADASTRO_PIVOS!$B$6:$B$41,0)),0)</f>
        <v>932.933333333333</v>
      </c>
      <c r="AB1336" s="18" t="n">
        <f aca="false">IF($Z1336&lt;=0,0,$Z1336/$AA1336)</f>
        <v>0</v>
      </c>
      <c r="AC1336" s="16" t="n">
        <f aca="false">IFERROR(INDEX(SEMANAS!$K$6:$K$71,MATCH($B1336,SEMANAS!$B$6:$B$71,0)),0)</f>
        <v>147</v>
      </c>
      <c r="AD1336" s="19" t="n">
        <f aca="false">IF($AC1336&lt;=0,0,$AB1336/$AC1336)</f>
        <v>0</v>
      </c>
      <c r="AE1336" s="8" t="str">
        <f aca="false">IF($K1336="SEM CULTURA","SEM CULTURA",IF($AA1336&lt;=0,"DADO PENDENTE",IF($AD1336&gt;LIMITE_CRITICO,"INVIAVEL",IF($AD1336&gt;LIMITE_ATENCAO,"CRITICO",IF($AD1336&gt;LIMITE_CONFORTAVEL,"ATENCAO","OK")))))</f>
        <v>SEM CULTURA</v>
      </c>
      <c r="AF1336" s="8" t="str">
        <f aca="false">$B1336&amp;"|"&amp;TEXT($AD1336,"0.000000")</f>
        <v>11|0.000000</v>
      </c>
      <c r="AG1336" s="18" t="n">
        <f aca="false">IF($K1336="SEM CULTURA",0,$T1336*$H1336)</f>
        <v>0</v>
      </c>
      <c r="AH1336" s="18" t="n">
        <f aca="false">IF($K1336="SEM CULTURA",0,$V1336*$H1336)</f>
        <v>0</v>
      </c>
      <c r="AI1336" s="18" t="n">
        <f aca="false">IF($K1336="SEM CULTURA",0,$W1336*$H1336)</f>
        <v>0</v>
      </c>
      <c r="AJ1336" s="18" t="n">
        <f aca="false">IF($K1336="SEM CULTURA",0,$S1336*$H1336)</f>
        <v>0</v>
      </c>
      <c r="AK1336" s="8" t="str">
        <f aca="false">$E1336&amp;"|"&amp;TEXT($AD1336,"0.000000")</f>
        <v>PV 128|0.000000</v>
      </c>
    </row>
    <row r="1337" customFormat="false" ht="15" hidden="false" customHeight="false" outlineLevel="0" collapsed="false">
      <c r="B1337" s="16" t="n">
        <v>12</v>
      </c>
      <c r="C1337" s="17" t="n">
        <f aca="false">DATA_INICIO_SAFRA+($B1337-1)*DIAS_POR_SEMANA</f>
        <v>46342</v>
      </c>
      <c r="D1337" s="17" t="n">
        <f aca="false">$C1337+DIAS_POR_SEMANA-1</f>
        <v>46348</v>
      </c>
      <c r="E1337" s="15" t="s">
        <v>279</v>
      </c>
      <c r="F1337" s="8" t="str">
        <f aca="false">IFERROR(INDEX(CADASTRO_PIVOS!$C$6:$C$41,MATCH($E1337,CADASTRO_PIVOS!$B$6:$B$41,0)),"?")</f>
        <v>RM06</v>
      </c>
      <c r="G1337" s="8" t="str">
        <f aca="false">IFERROR(INDEX(CADASTRO_PIVOS!$D$6:$D$41,MATCH($E1337,CADASTRO_PIVOS!$B$6:$B$41,0)),"?")</f>
        <v>TR06</v>
      </c>
      <c r="H1337" s="20" t="n">
        <f aca="false">IFERROR(INDEX(CADASTRO_PIVOS!$E$6:$E$41,MATCH($E1337,CADASTRO_PIVOS!$B$6:$B$41,0)),0)</f>
        <v>139.94</v>
      </c>
      <c r="I1337" s="16" t="n">
        <f aca="false">IFERROR(SUMIFS(ROTACAO_RDM!$B$6:$B$71,ROTACAO_RDM!$D$6:$D$71,$E1337,ROTACAO_RDM!$I$6:$I$71,"&lt;="&amp;$C1337+INT(DIAS_POR_SEMANA/2),ROTACAO_RDM!$J$6:$J$71,"&gt;="&amp;$C1337+INT(DIAS_POR_SEMANA/2)),0)</f>
        <v>53</v>
      </c>
      <c r="J1337" s="16" t="n">
        <f aca="false">IFERROR(MATCH($I1337,ROTACAO_RDM!$B$6:$B$71,0),0)</f>
        <v>53</v>
      </c>
      <c r="K1337" s="8" t="str">
        <f aca="false">IF($J1337=0,"SEM CULTURA",INDEX(ROTACAO_RDM!$F$6:$F$71,$J1337))</f>
        <v>TABACO</v>
      </c>
      <c r="L1337" s="8" t="str">
        <f aca="false">IF($J1337=0,"",INDEX(ROTACAO_RDM!$G$6:$G$71,$J1337))</f>
        <v>PVH-2343</v>
      </c>
      <c r="M1337" s="17" t="n">
        <f aca="false">IF($J1337=0,"",INDEX(ROTACAO_RDM!$I$6:$I$71,$J1337))</f>
        <v>46345</v>
      </c>
      <c r="N1337" s="16" t="n">
        <f aca="false">IF($J1337=0,0,MAX(0,$C1337+INT(DIAS_POR_SEMANA/2)-INDEX(ROTACAO_RDM!$I$6:$I$71,$J1337)))</f>
        <v>0</v>
      </c>
      <c r="O1337" s="19" t="n">
        <f aca="false">IF($J1337=0,0,MIN(1,$N1337/MAX(1,INDEX(ROTACAO_RDM!$K$6:$K$71,$J1337))))</f>
        <v>0</v>
      </c>
      <c r="P1337" s="16" t="n">
        <f aca="false">IF($J1337=0,0,IFERROR(MATCH(INDEX(ROTACAO_RDM!$N$6:$N$71,$J1337),PARAMETROS_CULTURAS!$B$6:$B$28,0),0))</f>
        <v>9</v>
      </c>
      <c r="Q1337" s="8" t="str">
        <f aca="false">IF($P1337=0,"-",IF($O1337&lt;=INDEX(PARAMETROS_CULTURAS!$F$6:$F$28,$P1337),"INICIAL",IF($O1337&lt;=INDEX(PARAMETROS_CULTURAS!$F$6:$F$28,$P1337)+INDEX(PARAMETROS_CULTURAS!$G$6:$G$28,$P1337),"DESENVOLVIMENTO",IF($O1337&lt;=INDEX(PARAMETROS_CULTURAS!$F$6:$F$28,$P1337)+INDEX(PARAMETROS_CULTURAS!$G$6:$G$28,$P1337)+INDEX(PARAMETROS_CULTURAS!$H$6:$H$28,$P1337),"MEDIA","FINAL"))))</f>
        <v>INICIAL</v>
      </c>
      <c r="R1337" s="24" t="n">
        <f aca="false">IF($P1337=0,0,IF($O1337&lt;=INDEX(PARAMETROS_CULTURAS!$F$6:$F$28,$P1337),INDEX(PARAMETROS_CULTURAS!$K$6:$K$28,$P1337),IF($O1337&lt;=INDEX(PARAMETROS_CULTURAS!$F$6:$F$28,$P1337)+INDEX(PARAMETROS_CULTURAS!$G$6:$G$28,$P1337),INDEX(PARAMETROS_CULTURAS!$K$6:$K$28,$P1337)+(INDEX(PARAMETROS_CULTURAS!$L$6:$L$28,$P1337)-INDEX(PARAMETROS_CULTURAS!$K$6:$K$28,$P1337))*($O1337-INDEX(PARAMETROS_CULTURAS!$F$6:$F$28,$P1337))/MAX(INDEX(PARAMETROS_CULTURAS!$G$6:$G$28,$P1337),0.0001),IF($O1337&lt;=INDEX(PARAMETROS_CULTURAS!$F$6:$F$28,$P1337)+INDEX(PARAMETROS_CULTURAS!$G$6:$G$28,$P1337)+INDEX(PARAMETROS_CULTURAS!$H$6:$H$28,$P1337),INDEX(PARAMETROS_CULTURAS!$L$6:$L$28,$P1337),INDEX(PARAMETROS_CULTURAS!$L$6:$L$28,$P1337)+(INDEX(PARAMETROS_CULTURAS!$M$6:$M$28,$P1337)-INDEX(PARAMETROS_CULTURAS!$L$6:$L$28,$P1337))*($O1337-INDEX(PARAMETROS_CULTURAS!$F$6:$F$28,$P1337)-INDEX(PARAMETROS_CULTURAS!$G$6:$G$28,$P1337)-INDEX(PARAMETROS_CULTURAS!$H$6:$H$28,$P1337))/MAX(INDEX(PARAMETROS_CULTURAS!$I$6:$I$28,$P1337),0.0001)))))</f>
        <v>0.35</v>
      </c>
      <c r="S1337" s="18" t="n">
        <f aca="false">IFERROR(INDEX(SEMANAS!$H$6:$H$71,MATCH($B1337,SEMANAS!$B$6:$B$71,0)),0)</f>
        <v>34.3</v>
      </c>
      <c r="T1337" s="18" t="n">
        <f aca="false">$R1337*$S1337</f>
        <v>12.005</v>
      </c>
      <c r="U1337" s="18" t="n">
        <f aca="false">IFERROR(INDEX(SEMANAS!$I$6:$I$71,MATCH($B1337,SEMANAS!$B$6:$B$71,0)),0)</f>
        <v>46.69</v>
      </c>
      <c r="V1337" s="18" t="n">
        <f aca="false">IFERROR(INDEX(SEMANAS!$J$6:$J$71,MATCH($B1337,SEMANAS!$B$6:$B$71,0)),0)</f>
        <v>37.352</v>
      </c>
      <c r="W1337" s="18" t="n">
        <f aca="false">MAX(0,$T1337-$V1337)</f>
        <v>0</v>
      </c>
      <c r="X1337" s="19" t="n">
        <f aca="false">IFERROR(INDEX(CADASTRO_PIVOS!$K$6:$K$41,MATCH($E1337,CADASTRO_PIVOS!$B$6:$B$41,0)),EFICIENCIA_PADRAO)</f>
        <v>0.85</v>
      </c>
      <c r="Y1337" s="18" t="n">
        <f aca="false">IF($X1337&lt;=0,0,$W1337/$X1337)</f>
        <v>0</v>
      </c>
      <c r="Z1337" s="16" t="n">
        <f aca="false">$Y1337*$H1337*MM_PARA_M3_HA</f>
        <v>0</v>
      </c>
      <c r="AA1337" s="18" t="n">
        <f aca="false">IFERROR(INDEX(CADASTRO_PIVOS!$I$6:$I$41,MATCH($E1337,CADASTRO_PIVOS!$B$6:$B$41,0)),0)</f>
        <v>932.933333333333</v>
      </c>
      <c r="AB1337" s="18" t="n">
        <f aca="false">IF($Z1337&lt;=0,0,$Z1337/$AA1337)</f>
        <v>0</v>
      </c>
      <c r="AC1337" s="16" t="n">
        <f aca="false">IFERROR(INDEX(SEMANAS!$K$6:$K$71,MATCH($B1337,SEMANAS!$B$6:$B$71,0)),0)</f>
        <v>147</v>
      </c>
      <c r="AD1337" s="19" t="n">
        <f aca="false">IF($AC1337&lt;=0,0,$AB1337/$AC1337)</f>
        <v>0</v>
      </c>
      <c r="AE1337" s="8" t="str">
        <f aca="false">IF($K1337="SEM CULTURA","SEM CULTURA",IF($AA1337&lt;=0,"DADO PENDENTE",IF($AD1337&gt;LIMITE_CRITICO,"INVIAVEL",IF($AD1337&gt;LIMITE_ATENCAO,"CRITICO",IF($AD1337&gt;LIMITE_CONFORTAVEL,"ATENCAO","OK")))))</f>
        <v>OK</v>
      </c>
      <c r="AF1337" s="8" t="str">
        <f aca="false">$B1337&amp;"|"&amp;TEXT($AD1337,"0.000000")</f>
        <v>12|0.000000</v>
      </c>
      <c r="AG1337" s="18" t="n">
        <f aca="false">IF($K1337="SEM CULTURA",0,$T1337*$H1337)</f>
        <v>1679.9797</v>
      </c>
      <c r="AH1337" s="18" t="n">
        <f aca="false">IF($K1337="SEM CULTURA",0,$V1337*$H1337)</f>
        <v>5227.03888</v>
      </c>
      <c r="AI1337" s="18" t="n">
        <f aca="false">IF($K1337="SEM CULTURA",0,$W1337*$H1337)</f>
        <v>0</v>
      </c>
      <c r="AJ1337" s="18" t="n">
        <f aca="false">IF($K1337="SEM CULTURA",0,$S1337*$H1337)</f>
        <v>4799.942</v>
      </c>
      <c r="AK1337" s="8" t="str">
        <f aca="false">$E1337&amp;"|"&amp;TEXT($AD1337,"0.000000")</f>
        <v>PV 128|0.000000</v>
      </c>
    </row>
    <row r="1338" customFormat="false" ht="15" hidden="false" customHeight="false" outlineLevel="0" collapsed="false">
      <c r="B1338" s="16" t="n">
        <v>13</v>
      </c>
      <c r="C1338" s="17" t="n">
        <f aca="false">DATA_INICIO_SAFRA+($B1338-1)*DIAS_POR_SEMANA</f>
        <v>46349</v>
      </c>
      <c r="D1338" s="17" t="n">
        <f aca="false">$C1338+DIAS_POR_SEMANA-1</f>
        <v>46355</v>
      </c>
      <c r="E1338" s="15" t="s">
        <v>279</v>
      </c>
      <c r="F1338" s="8" t="str">
        <f aca="false">IFERROR(INDEX(CADASTRO_PIVOS!$C$6:$C$41,MATCH($E1338,CADASTRO_PIVOS!$B$6:$B$41,0)),"?")</f>
        <v>RM06</v>
      </c>
      <c r="G1338" s="8" t="str">
        <f aca="false">IFERROR(INDEX(CADASTRO_PIVOS!$D$6:$D$41,MATCH($E1338,CADASTRO_PIVOS!$B$6:$B$41,0)),"?")</f>
        <v>TR06</v>
      </c>
      <c r="H1338" s="20" t="n">
        <f aca="false">IFERROR(INDEX(CADASTRO_PIVOS!$E$6:$E$41,MATCH($E1338,CADASTRO_PIVOS!$B$6:$B$41,0)),0)</f>
        <v>139.94</v>
      </c>
      <c r="I1338" s="16" t="n">
        <f aca="false">IFERROR(SUMIFS(ROTACAO_RDM!$B$6:$B$71,ROTACAO_RDM!$D$6:$D$71,$E1338,ROTACAO_RDM!$I$6:$I$71,"&lt;="&amp;$C1338+INT(DIAS_POR_SEMANA/2),ROTACAO_RDM!$J$6:$J$71,"&gt;="&amp;$C1338+INT(DIAS_POR_SEMANA/2)),0)</f>
        <v>53</v>
      </c>
      <c r="J1338" s="16" t="n">
        <f aca="false">IFERROR(MATCH($I1338,ROTACAO_RDM!$B$6:$B$71,0),0)</f>
        <v>53</v>
      </c>
      <c r="K1338" s="8" t="str">
        <f aca="false">IF($J1338=0,"SEM CULTURA",INDEX(ROTACAO_RDM!$F$6:$F$71,$J1338))</f>
        <v>TABACO</v>
      </c>
      <c r="L1338" s="8" t="str">
        <f aca="false">IF($J1338=0,"",INDEX(ROTACAO_RDM!$G$6:$G$71,$J1338))</f>
        <v>PVH-2343</v>
      </c>
      <c r="M1338" s="17" t="n">
        <f aca="false">IF($J1338=0,"",INDEX(ROTACAO_RDM!$I$6:$I$71,$J1338))</f>
        <v>46345</v>
      </c>
      <c r="N1338" s="16" t="n">
        <f aca="false">IF($J1338=0,0,MAX(0,$C1338+INT(DIAS_POR_SEMANA/2)-INDEX(ROTACAO_RDM!$I$6:$I$71,$J1338)))</f>
        <v>7</v>
      </c>
      <c r="O1338" s="19" t="n">
        <f aca="false">IF($J1338=0,0,MIN(1,$N1338/MAX(1,INDEX(ROTACAO_RDM!$K$6:$K$71,$J1338))))</f>
        <v>0.04375</v>
      </c>
      <c r="P1338" s="16" t="n">
        <f aca="false">IF($J1338=0,0,IFERROR(MATCH(INDEX(ROTACAO_RDM!$N$6:$N$71,$J1338),PARAMETROS_CULTURAS!$B$6:$B$28,0),0))</f>
        <v>9</v>
      </c>
      <c r="Q1338" s="8" t="str">
        <f aca="false">IF($P1338=0,"-",IF($O1338&lt;=INDEX(PARAMETROS_CULTURAS!$F$6:$F$28,$P1338),"INICIAL",IF($O1338&lt;=INDEX(PARAMETROS_CULTURAS!$F$6:$F$28,$P1338)+INDEX(PARAMETROS_CULTURAS!$G$6:$G$28,$P1338),"DESENVOLVIMENTO",IF($O1338&lt;=INDEX(PARAMETROS_CULTURAS!$F$6:$F$28,$P1338)+INDEX(PARAMETROS_CULTURAS!$G$6:$G$28,$P1338)+INDEX(PARAMETROS_CULTURAS!$H$6:$H$28,$P1338),"MEDIA","FINAL"))))</f>
        <v>INICIAL</v>
      </c>
      <c r="R1338" s="24" t="n">
        <f aca="false">IF($P1338=0,0,IF($O1338&lt;=INDEX(PARAMETROS_CULTURAS!$F$6:$F$28,$P1338),INDEX(PARAMETROS_CULTURAS!$K$6:$K$28,$P1338),IF($O1338&lt;=INDEX(PARAMETROS_CULTURAS!$F$6:$F$28,$P1338)+INDEX(PARAMETROS_CULTURAS!$G$6:$G$28,$P1338),INDEX(PARAMETROS_CULTURAS!$K$6:$K$28,$P1338)+(INDEX(PARAMETROS_CULTURAS!$L$6:$L$28,$P1338)-INDEX(PARAMETROS_CULTURAS!$K$6:$K$28,$P1338))*($O1338-INDEX(PARAMETROS_CULTURAS!$F$6:$F$28,$P1338))/MAX(INDEX(PARAMETROS_CULTURAS!$G$6:$G$28,$P1338),0.0001),IF($O1338&lt;=INDEX(PARAMETROS_CULTURAS!$F$6:$F$28,$P1338)+INDEX(PARAMETROS_CULTURAS!$G$6:$G$28,$P1338)+INDEX(PARAMETROS_CULTURAS!$H$6:$H$28,$P1338),INDEX(PARAMETROS_CULTURAS!$L$6:$L$28,$P1338),INDEX(PARAMETROS_CULTURAS!$L$6:$L$28,$P1338)+(INDEX(PARAMETROS_CULTURAS!$M$6:$M$28,$P1338)-INDEX(PARAMETROS_CULTURAS!$L$6:$L$28,$P1338))*($O1338-INDEX(PARAMETROS_CULTURAS!$F$6:$F$28,$P1338)-INDEX(PARAMETROS_CULTURAS!$G$6:$G$28,$P1338)-INDEX(PARAMETROS_CULTURAS!$H$6:$H$28,$P1338))/MAX(INDEX(PARAMETROS_CULTURAS!$I$6:$I$28,$P1338),0.0001)))))</f>
        <v>0.35</v>
      </c>
      <c r="S1338" s="18" t="n">
        <f aca="false">IFERROR(INDEX(SEMANAS!$H$6:$H$71,MATCH($B1338,SEMANAS!$B$6:$B$71,0)),0)</f>
        <v>34.3</v>
      </c>
      <c r="T1338" s="18" t="n">
        <f aca="false">$R1338*$S1338</f>
        <v>12.005</v>
      </c>
      <c r="U1338" s="18" t="n">
        <f aca="false">IFERROR(INDEX(SEMANAS!$I$6:$I$71,MATCH($B1338,SEMANAS!$B$6:$B$71,0)),0)</f>
        <v>46.69</v>
      </c>
      <c r="V1338" s="18" t="n">
        <f aca="false">IFERROR(INDEX(SEMANAS!$J$6:$J$71,MATCH($B1338,SEMANAS!$B$6:$B$71,0)),0)</f>
        <v>37.352</v>
      </c>
      <c r="W1338" s="18" t="n">
        <f aca="false">MAX(0,$T1338-$V1338)</f>
        <v>0</v>
      </c>
      <c r="X1338" s="19" t="n">
        <f aca="false">IFERROR(INDEX(CADASTRO_PIVOS!$K$6:$K$41,MATCH($E1338,CADASTRO_PIVOS!$B$6:$B$41,0)),EFICIENCIA_PADRAO)</f>
        <v>0.85</v>
      </c>
      <c r="Y1338" s="18" t="n">
        <f aca="false">IF($X1338&lt;=0,0,$W1338/$X1338)</f>
        <v>0</v>
      </c>
      <c r="Z1338" s="16" t="n">
        <f aca="false">$Y1338*$H1338*MM_PARA_M3_HA</f>
        <v>0</v>
      </c>
      <c r="AA1338" s="18" t="n">
        <f aca="false">IFERROR(INDEX(CADASTRO_PIVOS!$I$6:$I$41,MATCH($E1338,CADASTRO_PIVOS!$B$6:$B$41,0)),0)</f>
        <v>932.933333333333</v>
      </c>
      <c r="AB1338" s="18" t="n">
        <f aca="false">IF($Z1338&lt;=0,0,$Z1338/$AA1338)</f>
        <v>0</v>
      </c>
      <c r="AC1338" s="16" t="n">
        <f aca="false">IFERROR(INDEX(SEMANAS!$K$6:$K$71,MATCH($B1338,SEMANAS!$B$6:$B$71,0)),0)</f>
        <v>147</v>
      </c>
      <c r="AD1338" s="19" t="n">
        <f aca="false">IF($AC1338&lt;=0,0,$AB1338/$AC1338)</f>
        <v>0</v>
      </c>
      <c r="AE1338" s="8" t="str">
        <f aca="false">IF($K1338="SEM CULTURA","SEM CULTURA",IF($AA1338&lt;=0,"DADO PENDENTE",IF($AD1338&gt;LIMITE_CRITICO,"INVIAVEL",IF($AD1338&gt;LIMITE_ATENCAO,"CRITICO",IF($AD1338&gt;LIMITE_CONFORTAVEL,"ATENCAO","OK")))))</f>
        <v>OK</v>
      </c>
      <c r="AF1338" s="8" t="str">
        <f aca="false">$B1338&amp;"|"&amp;TEXT($AD1338,"0.000000")</f>
        <v>13|0.000000</v>
      </c>
      <c r="AG1338" s="18" t="n">
        <f aca="false">IF($K1338="SEM CULTURA",0,$T1338*$H1338)</f>
        <v>1679.9797</v>
      </c>
      <c r="AH1338" s="18" t="n">
        <f aca="false">IF($K1338="SEM CULTURA",0,$V1338*$H1338)</f>
        <v>5227.03888</v>
      </c>
      <c r="AI1338" s="18" t="n">
        <f aca="false">IF($K1338="SEM CULTURA",0,$W1338*$H1338)</f>
        <v>0</v>
      </c>
      <c r="AJ1338" s="18" t="n">
        <f aca="false">IF($K1338="SEM CULTURA",0,$S1338*$H1338)</f>
        <v>4799.942</v>
      </c>
      <c r="AK1338" s="8" t="str">
        <f aca="false">$E1338&amp;"|"&amp;TEXT($AD1338,"0.000000")</f>
        <v>PV 128|0.000000</v>
      </c>
    </row>
    <row r="1339" customFormat="false" ht="15" hidden="false" customHeight="false" outlineLevel="0" collapsed="false">
      <c r="B1339" s="16" t="n">
        <v>14</v>
      </c>
      <c r="C1339" s="17" t="n">
        <f aca="false">DATA_INICIO_SAFRA+($B1339-1)*DIAS_POR_SEMANA</f>
        <v>46356</v>
      </c>
      <c r="D1339" s="17" t="n">
        <f aca="false">$C1339+DIAS_POR_SEMANA-1</f>
        <v>46362</v>
      </c>
      <c r="E1339" s="15" t="s">
        <v>279</v>
      </c>
      <c r="F1339" s="8" t="str">
        <f aca="false">IFERROR(INDEX(CADASTRO_PIVOS!$C$6:$C$41,MATCH($E1339,CADASTRO_PIVOS!$B$6:$B$41,0)),"?")</f>
        <v>RM06</v>
      </c>
      <c r="G1339" s="8" t="str">
        <f aca="false">IFERROR(INDEX(CADASTRO_PIVOS!$D$6:$D$41,MATCH($E1339,CADASTRO_PIVOS!$B$6:$B$41,0)),"?")</f>
        <v>TR06</v>
      </c>
      <c r="H1339" s="20" t="n">
        <f aca="false">IFERROR(INDEX(CADASTRO_PIVOS!$E$6:$E$41,MATCH($E1339,CADASTRO_PIVOS!$B$6:$B$41,0)),0)</f>
        <v>139.94</v>
      </c>
      <c r="I1339" s="16" t="n">
        <f aca="false">IFERROR(SUMIFS(ROTACAO_RDM!$B$6:$B$71,ROTACAO_RDM!$D$6:$D$71,$E1339,ROTACAO_RDM!$I$6:$I$71,"&lt;="&amp;$C1339+INT(DIAS_POR_SEMANA/2),ROTACAO_RDM!$J$6:$J$71,"&gt;="&amp;$C1339+INT(DIAS_POR_SEMANA/2)),0)</f>
        <v>53</v>
      </c>
      <c r="J1339" s="16" t="n">
        <f aca="false">IFERROR(MATCH($I1339,ROTACAO_RDM!$B$6:$B$71,0),0)</f>
        <v>53</v>
      </c>
      <c r="K1339" s="8" t="str">
        <f aca="false">IF($J1339=0,"SEM CULTURA",INDEX(ROTACAO_RDM!$F$6:$F$71,$J1339))</f>
        <v>TABACO</v>
      </c>
      <c r="L1339" s="8" t="str">
        <f aca="false">IF($J1339=0,"",INDEX(ROTACAO_RDM!$G$6:$G$71,$J1339))</f>
        <v>PVH-2343</v>
      </c>
      <c r="M1339" s="17" t="n">
        <f aca="false">IF($J1339=0,"",INDEX(ROTACAO_RDM!$I$6:$I$71,$J1339))</f>
        <v>46345</v>
      </c>
      <c r="N1339" s="16" t="n">
        <f aca="false">IF($J1339=0,0,MAX(0,$C1339+INT(DIAS_POR_SEMANA/2)-INDEX(ROTACAO_RDM!$I$6:$I$71,$J1339)))</f>
        <v>14</v>
      </c>
      <c r="O1339" s="19" t="n">
        <f aca="false">IF($J1339=0,0,MIN(1,$N1339/MAX(1,INDEX(ROTACAO_RDM!$K$6:$K$71,$J1339))))</f>
        <v>0.0875</v>
      </c>
      <c r="P1339" s="16" t="n">
        <f aca="false">IF($J1339=0,0,IFERROR(MATCH(INDEX(ROTACAO_RDM!$N$6:$N$71,$J1339),PARAMETROS_CULTURAS!$B$6:$B$28,0),0))</f>
        <v>9</v>
      </c>
      <c r="Q1339" s="8" t="str">
        <f aca="false">IF($P1339=0,"-",IF($O1339&lt;=INDEX(PARAMETROS_CULTURAS!$F$6:$F$28,$P1339),"INICIAL",IF($O1339&lt;=INDEX(PARAMETROS_CULTURAS!$F$6:$F$28,$P1339)+INDEX(PARAMETROS_CULTURAS!$G$6:$G$28,$P1339),"DESENVOLVIMENTO",IF($O1339&lt;=INDEX(PARAMETROS_CULTURAS!$F$6:$F$28,$P1339)+INDEX(PARAMETROS_CULTURAS!$G$6:$G$28,$P1339)+INDEX(PARAMETROS_CULTURAS!$H$6:$H$28,$P1339),"MEDIA","FINAL"))))</f>
        <v>INICIAL</v>
      </c>
      <c r="R1339" s="24" t="n">
        <f aca="false">IF($P1339=0,0,IF($O1339&lt;=INDEX(PARAMETROS_CULTURAS!$F$6:$F$28,$P1339),INDEX(PARAMETROS_CULTURAS!$K$6:$K$28,$P1339),IF($O1339&lt;=INDEX(PARAMETROS_CULTURAS!$F$6:$F$28,$P1339)+INDEX(PARAMETROS_CULTURAS!$G$6:$G$28,$P1339),INDEX(PARAMETROS_CULTURAS!$K$6:$K$28,$P1339)+(INDEX(PARAMETROS_CULTURAS!$L$6:$L$28,$P1339)-INDEX(PARAMETROS_CULTURAS!$K$6:$K$28,$P1339))*($O1339-INDEX(PARAMETROS_CULTURAS!$F$6:$F$28,$P1339))/MAX(INDEX(PARAMETROS_CULTURAS!$G$6:$G$28,$P1339),0.0001),IF($O1339&lt;=INDEX(PARAMETROS_CULTURAS!$F$6:$F$28,$P1339)+INDEX(PARAMETROS_CULTURAS!$G$6:$G$28,$P1339)+INDEX(PARAMETROS_CULTURAS!$H$6:$H$28,$P1339),INDEX(PARAMETROS_CULTURAS!$L$6:$L$28,$P1339),INDEX(PARAMETROS_CULTURAS!$L$6:$L$28,$P1339)+(INDEX(PARAMETROS_CULTURAS!$M$6:$M$28,$P1339)-INDEX(PARAMETROS_CULTURAS!$L$6:$L$28,$P1339))*($O1339-INDEX(PARAMETROS_CULTURAS!$F$6:$F$28,$P1339)-INDEX(PARAMETROS_CULTURAS!$G$6:$G$28,$P1339)-INDEX(PARAMETROS_CULTURAS!$H$6:$H$28,$P1339))/MAX(INDEX(PARAMETROS_CULTURAS!$I$6:$I$28,$P1339),0.0001)))))</f>
        <v>0.35</v>
      </c>
      <c r="S1339" s="18" t="n">
        <f aca="false">IFERROR(INDEX(SEMANAS!$H$6:$H$71,MATCH($B1339,SEMANAS!$B$6:$B$71,0)),0)</f>
        <v>33.1</v>
      </c>
      <c r="T1339" s="18" t="n">
        <f aca="false">$R1339*$S1339</f>
        <v>11.585</v>
      </c>
      <c r="U1339" s="18" t="n">
        <f aca="false">IFERROR(INDEX(SEMANAS!$I$6:$I$71,MATCH($B1339,SEMANAS!$B$6:$B$71,0)),0)</f>
        <v>48.31</v>
      </c>
      <c r="V1339" s="18" t="n">
        <f aca="false">IFERROR(INDEX(SEMANAS!$J$6:$J$71,MATCH($B1339,SEMANAS!$B$6:$B$71,0)),0)</f>
        <v>38.648</v>
      </c>
      <c r="W1339" s="18" t="n">
        <f aca="false">MAX(0,$T1339-$V1339)</f>
        <v>0</v>
      </c>
      <c r="X1339" s="19" t="n">
        <f aca="false">IFERROR(INDEX(CADASTRO_PIVOS!$K$6:$K$41,MATCH($E1339,CADASTRO_PIVOS!$B$6:$B$41,0)),EFICIENCIA_PADRAO)</f>
        <v>0.85</v>
      </c>
      <c r="Y1339" s="18" t="n">
        <f aca="false">IF($X1339&lt;=0,0,$W1339/$X1339)</f>
        <v>0</v>
      </c>
      <c r="Z1339" s="16" t="n">
        <f aca="false">$Y1339*$H1339*MM_PARA_M3_HA</f>
        <v>0</v>
      </c>
      <c r="AA1339" s="18" t="n">
        <f aca="false">IFERROR(INDEX(CADASTRO_PIVOS!$I$6:$I$41,MATCH($E1339,CADASTRO_PIVOS!$B$6:$B$41,0)),0)</f>
        <v>932.933333333333</v>
      </c>
      <c r="AB1339" s="18" t="n">
        <f aca="false">IF($Z1339&lt;=0,0,$Z1339/$AA1339)</f>
        <v>0</v>
      </c>
      <c r="AC1339" s="16" t="n">
        <f aca="false">IFERROR(INDEX(SEMANAS!$K$6:$K$71,MATCH($B1339,SEMANAS!$B$6:$B$71,0)),0)</f>
        <v>147</v>
      </c>
      <c r="AD1339" s="19" t="n">
        <f aca="false">IF($AC1339&lt;=0,0,$AB1339/$AC1339)</f>
        <v>0</v>
      </c>
      <c r="AE1339" s="8" t="str">
        <f aca="false">IF($K1339="SEM CULTURA","SEM CULTURA",IF($AA1339&lt;=0,"DADO PENDENTE",IF($AD1339&gt;LIMITE_CRITICO,"INVIAVEL",IF($AD1339&gt;LIMITE_ATENCAO,"CRITICO",IF($AD1339&gt;LIMITE_CONFORTAVEL,"ATENCAO","OK")))))</f>
        <v>OK</v>
      </c>
      <c r="AF1339" s="8" t="str">
        <f aca="false">$B1339&amp;"|"&amp;TEXT($AD1339,"0.000000")</f>
        <v>14|0.000000</v>
      </c>
      <c r="AG1339" s="18" t="n">
        <f aca="false">IF($K1339="SEM CULTURA",0,$T1339*$H1339)</f>
        <v>1621.2049</v>
      </c>
      <c r="AH1339" s="18" t="n">
        <f aca="false">IF($K1339="SEM CULTURA",0,$V1339*$H1339)</f>
        <v>5408.40112</v>
      </c>
      <c r="AI1339" s="18" t="n">
        <f aca="false">IF($K1339="SEM CULTURA",0,$W1339*$H1339)</f>
        <v>0</v>
      </c>
      <c r="AJ1339" s="18" t="n">
        <f aca="false">IF($K1339="SEM CULTURA",0,$S1339*$H1339)</f>
        <v>4632.014</v>
      </c>
      <c r="AK1339" s="8" t="str">
        <f aca="false">$E1339&amp;"|"&amp;TEXT($AD1339,"0.000000")</f>
        <v>PV 128|0.000000</v>
      </c>
    </row>
    <row r="1340" customFormat="false" ht="15" hidden="false" customHeight="false" outlineLevel="0" collapsed="false">
      <c r="B1340" s="16" t="n">
        <v>15</v>
      </c>
      <c r="C1340" s="17" t="n">
        <f aca="false">DATA_INICIO_SAFRA+($B1340-1)*DIAS_POR_SEMANA</f>
        <v>46363</v>
      </c>
      <c r="D1340" s="17" t="n">
        <f aca="false">$C1340+DIAS_POR_SEMANA-1</f>
        <v>46369</v>
      </c>
      <c r="E1340" s="15" t="s">
        <v>279</v>
      </c>
      <c r="F1340" s="8" t="str">
        <f aca="false">IFERROR(INDEX(CADASTRO_PIVOS!$C$6:$C$41,MATCH($E1340,CADASTRO_PIVOS!$B$6:$B$41,0)),"?")</f>
        <v>RM06</v>
      </c>
      <c r="G1340" s="8" t="str">
        <f aca="false">IFERROR(INDEX(CADASTRO_PIVOS!$D$6:$D$41,MATCH($E1340,CADASTRO_PIVOS!$B$6:$B$41,0)),"?")</f>
        <v>TR06</v>
      </c>
      <c r="H1340" s="20" t="n">
        <f aca="false">IFERROR(INDEX(CADASTRO_PIVOS!$E$6:$E$41,MATCH($E1340,CADASTRO_PIVOS!$B$6:$B$41,0)),0)</f>
        <v>139.94</v>
      </c>
      <c r="I1340" s="16" t="n">
        <f aca="false">IFERROR(SUMIFS(ROTACAO_RDM!$B$6:$B$71,ROTACAO_RDM!$D$6:$D$71,$E1340,ROTACAO_RDM!$I$6:$I$71,"&lt;="&amp;$C1340+INT(DIAS_POR_SEMANA/2),ROTACAO_RDM!$J$6:$J$71,"&gt;="&amp;$C1340+INT(DIAS_POR_SEMANA/2)),0)</f>
        <v>53</v>
      </c>
      <c r="J1340" s="16" t="n">
        <f aca="false">IFERROR(MATCH($I1340,ROTACAO_RDM!$B$6:$B$71,0),0)</f>
        <v>53</v>
      </c>
      <c r="K1340" s="8" t="str">
        <f aca="false">IF($J1340=0,"SEM CULTURA",INDEX(ROTACAO_RDM!$F$6:$F$71,$J1340))</f>
        <v>TABACO</v>
      </c>
      <c r="L1340" s="8" t="str">
        <f aca="false">IF($J1340=0,"",INDEX(ROTACAO_RDM!$G$6:$G$71,$J1340))</f>
        <v>PVH-2343</v>
      </c>
      <c r="M1340" s="17" t="n">
        <f aca="false">IF($J1340=0,"",INDEX(ROTACAO_RDM!$I$6:$I$71,$J1340))</f>
        <v>46345</v>
      </c>
      <c r="N1340" s="16" t="n">
        <f aca="false">IF($J1340=0,0,MAX(0,$C1340+INT(DIAS_POR_SEMANA/2)-INDEX(ROTACAO_RDM!$I$6:$I$71,$J1340)))</f>
        <v>21</v>
      </c>
      <c r="O1340" s="19" t="n">
        <f aca="false">IF($J1340=0,0,MIN(1,$N1340/MAX(1,INDEX(ROTACAO_RDM!$K$6:$K$71,$J1340))))</f>
        <v>0.13125</v>
      </c>
      <c r="P1340" s="16" t="n">
        <f aca="false">IF($J1340=0,0,IFERROR(MATCH(INDEX(ROTACAO_RDM!$N$6:$N$71,$J1340),PARAMETROS_CULTURAS!$B$6:$B$28,0),0))</f>
        <v>9</v>
      </c>
      <c r="Q1340" s="8" t="str">
        <f aca="false">IF($P1340=0,"-",IF($O1340&lt;=INDEX(PARAMETROS_CULTURAS!$F$6:$F$28,$P1340),"INICIAL",IF($O1340&lt;=INDEX(PARAMETROS_CULTURAS!$F$6:$F$28,$P1340)+INDEX(PARAMETROS_CULTURAS!$G$6:$G$28,$P1340),"DESENVOLVIMENTO",IF($O1340&lt;=INDEX(PARAMETROS_CULTURAS!$F$6:$F$28,$P1340)+INDEX(PARAMETROS_CULTURAS!$G$6:$G$28,$P1340)+INDEX(PARAMETROS_CULTURAS!$H$6:$H$28,$P1340),"MEDIA","FINAL"))))</f>
        <v>INICIAL</v>
      </c>
      <c r="R1340" s="24" t="n">
        <f aca="false">IF($P1340=0,0,IF($O1340&lt;=INDEX(PARAMETROS_CULTURAS!$F$6:$F$28,$P1340),INDEX(PARAMETROS_CULTURAS!$K$6:$K$28,$P1340),IF($O1340&lt;=INDEX(PARAMETROS_CULTURAS!$F$6:$F$28,$P1340)+INDEX(PARAMETROS_CULTURAS!$G$6:$G$28,$P1340),INDEX(PARAMETROS_CULTURAS!$K$6:$K$28,$P1340)+(INDEX(PARAMETROS_CULTURAS!$L$6:$L$28,$P1340)-INDEX(PARAMETROS_CULTURAS!$K$6:$K$28,$P1340))*($O1340-INDEX(PARAMETROS_CULTURAS!$F$6:$F$28,$P1340))/MAX(INDEX(PARAMETROS_CULTURAS!$G$6:$G$28,$P1340),0.0001),IF($O1340&lt;=INDEX(PARAMETROS_CULTURAS!$F$6:$F$28,$P1340)+INDEX(PARAMETROS_CULTURAS!$G$6:$G$28,$P1340)+INDEX(PARAMETROS_CULTURAS!$H$6:$H$28,$P1340),INDEX(PARAMETROS_CULTURAS!$L$6:$L$28,$P1340),INDEX(PARAMETROS_CULTURAS!$L$6:$L$28,$P1340)+(INDEX(PARAMETROS_CULTURAS!$M$6:$M$28,$P1340)-INDEX(PARAMETROS_CULTURAS!$L$6:$L$28,$P1340))*($O1340-INDEX(PARAMETROS_CULTURAS!$F$6:$F$28,$P1340)-INDEX(PARAMETROS_CULTURAS!$G$6:$G$28,$P1340)-INDEX(PARAMETROS_CULTURAS!$H$6:$H$28,$P1340))/MAX(INDEX(PARAMETROS_CULTURAS!$I$6:$I$28,$P1340),0.0001)))))</f>
        <v>0.35</v>
      </c>
      <c r="S1340" s="18" t="n">
        <f aca="false">IFERROR(INDEX(SEMANAS!$H$6:$H$71,MATCH($B1340,SEMANAS!$B$6:$B$71,0)),0)</f>
        <v>32.9</v>
      </c>
      <c r="T1340" s="18" t="n">
        <f aca="false">$R1340*$S1340</f>
        <v>11.515</v>
      </c>
      <c r="U1340" s="18" t="n">
        <f aca="false">IFERROR(INDEX(SEMANAS!$I$6:$I$71,MATCH($B1340,SEMANAS!$B$6:$B$71,0)),0)</f>
        <v>48.58</v>
      </c>
      <c r="V1340" s="18" t="n">
        <f aca="false">IFERROR(INDEX(SEMANAS!$J$6:$J$71,MATCH($B1340,SEMANAS!$B$6:$B$71,0)),0)</f>
        <v>38.864</v>
      </c>
      <c r="W1340" s="18" t="n">
        <f aca="false">MAX(0,$T1340-$V1340)</f>
        <v>0</v>
      </c>
      <c r="X1340" s="19" t="n">
        <f aca="false">IFERROR(INDEX(CADASTRO_PIVOS!$K$6:$K$41,MATCH($E1340,CADASTRO_PIVOS!$B$6:$B$41,0)),EFICIENCIA_PADRAO)</f>
        <v>0.85</v>
      </c>
      <c r="Y1340" s="18" t="n">
        <f aca="false">IF($X1340&lt;=0,0,$W1340/$X1340)</f>
        <v>0</v>
      </c>
      <c r="Z1340" s="16" t="n">
        <f aca="false">$Y1340*$H1340*MM_PARA_M3_HA</f>
        <v>0</v>
      </c>
      <c r="AA1340" s="18" t="n">
        <f aca="false">IFERROR(INDEX(CADASTRO_PIVOS!$I$6:$I$41,MATCH($E1340,CADASTRO_PIVOS!$B$6:$B$41,0)),0)</f>
        <v>932.933333333333</v>
      </c>
      <c r="AB1340" s="18" t="n">
        <f aca="false">IF($Z1340&lt;=0,0,$Z1340/$AA1340)</f>
        <v>0</v>
      </c>
      <c r="AC1340" s="16" t="n">
        <f aca="false">IFERROR(INDEX(SEMANAS!$K$6:$K$71,MATCH($B1340,SEMANAS!$B$6:$B$71,0)),0)</f>
        <v>147</v>
      </c>
      <c r="AD1340" s="19" t="n">
        <f aca="false">IF($AC1340&lt;=0,0,$AB1340/$AC1340)</f>
        <v>0</v>
      </c>
      <c r="AE1340" s="8" t="str">
        <f aca="false">IF($K1340="SEM CULTURA","SEM CULTURA",IF($AA1340&lt;=0,"DADO PENDENTE",IF($AD1340&gt;LIMITE_CRITICO,"INVIAVEL",IF($AD1340&gt;LIMITE_ATENCAO,"CRITICO",IF($AD1340&gt;LIMITE_CONFORTAVEL,"ATENCAO","OK")))))</f>
        <v>OK</v>
      </c>
      <c r="AF1340" s="8" t="str">
        <f aca="false">$B1340&amp;"|"&amp;TEXT($AD1340,"0.000000")</f>
        <v>15|0.000000</v>
      </c>
      <c r="AG1340" s="18" t="n">
        <f aca="false">IF($K1340="SEM CULTURA",0,$T1340*$H1340)</f>
        <v>1611.4091</v>
      </c>
      <c r="AH1340" s="18" t="n">
        <f aca="false">IF($K1340="SEM CULTURA",0,$V1340*$H1340)</f>
        <v>5438.62816</v>
      </c>
      <c r="AI1340" s="18" t="n">
        <f aca="false">IF($K1340="SEM CULTURA",0,$W1340*$H1340)</f>
        <v>0</v>
      </c>
      <c r="AJ1340" s="18" t="n">
        <f aca="false">IF($K1340="SEM CULTURA",0,$S1340*$H1340)</f>
        <v>4604.026</v>
      </c>
      <c r="AK1340" s="8" t="str">
        <f aca="false">$E1340&amp;"|"&amp;TEXT($AD1340,"0.000000")</f>
        <v>PV 128|0.000000</v>
      </c>
    </row>
    <row r="1341" customFormat="false" ht="15" hidden="false" customHeight="false" outlineLevel="0" collapsed="false">
      <c r="B1341" s="16" t="n">
        <v>16</v>
      </c>
      <c r="C1341" s="17" t="n">
        <f aca="false">DATA_INICIO_SAFRA+($B1341-1)*DIAS_POR_SEMANA</f>
        <v>46370</v>
      </c>
      <c r="D1341" s="17" t="n">
        <f aca="false">$C1341+DIAS_POR_SEMANA-1</f>
        <v>46376</v>
      </c>
      <c r="E1341" s="15" t="s">
        <v>279</v>
      </c>
      <c r="F1341" s="8" t="str">
        <f aca="false">IFERROR(INDEX(CADASTRO_PIVOS!$C$6:$C$41,MATCH($E1341,CADASTRO_PIVOS!$B$6:$B$41,0)),"?")</f>
        <v>RM06</v>
      </c>
      <c r="G1341" s="8" t="str">
        <f aca="false">IFERROR(INDEX(CADASTRO_PIVOS!$D$6:$D$41,MATCH($E1341,CADASTRO_PIVOS!$B$6:$B$41,0)),"?")</f>
        <v>TR06</v>
      </c>
      <c r="H1341" s="20" t="n">
        <f aca="false">IFERROR(INDEX(CADASTRO_PIVOS!$E$6:$E$41,MATCH($E1341,CADASTRO_PIVOS!$B$6:$B$41,0)),0)</f>
        <v>139.94</v>
      </c>
      <c r="I1341" s="16" t="n">
        <f aca="false">IFERROR(SUMIFS(ROTACAO_RDM!$B$6:$B$71,ROTACAO_RDM!$D$6:$D$71,$E1341,ROTACAO_RDM!$I$6:$I$71,"&lt;="&amp;$C1341+INT(DIAS_POR_SEMANA/2),ROTACAO_RDM!$J$6:$J$71,"&gt;="&amp;$C1341+INT(DIAS_POR_SEMANA/2)),0)</f>
        <v>53</v>
      </c>
      <c r="J1341" s="16" t="n">
        <f aca="false">IFERROR(MATCH($I1341,ROTACAO_RDM!$B$6:$B$71,0),0)</f>
        <v>53</v>
      </c>
      <c r="K1341" s="8" t="str">
        <f aca="false">IF($J1341=0,"SEM CULTURA",INDEX(ROTACAO_RDM!$F$6:$F$71,$J1341))</f>
        <v>TABACO</v>
      </c>
      <c r="L1341" s="8" t="str">
        <f aca="false">IF($J1341=0,"",INDEX(ROTACAO_RDM!$G$6:$G$71,$J1341))</f>
        <v>PVH-2343</v>
      </c>
      <c r="M1341" s="17" t="n">
        <f aca="false">IF($J1341=0,"",INDEX(ROTACAO_RDM!$I$6:$I$71,$J1341))</f>
        <v>46345</v>
      </c>
      <c r="N1341" s="16" t="n">
        <f aca="false">IF($J1341=0,0,MAX(0,$C1341+INT(DIAS_POR_SEMANA/2)-INDEX(ROTACAO_RDM!$I$6:$I$71,$J1341)))</f>
        <v>28</v>
      </c>
      <c r="O1341" s="19" t="n">
        <f aca="false">IF($J1341=0,0,MIN(1,$N1341/MAX(1,INDEX(ROTACAO_RDM!$K$6:$K$71,$J1341))))</f>
        <v>0.175</v>
      </c>
      <c r="P1341" s="16" t="n">
        <f aca="false">IF($J1341=0,0,IFERROR(MATCH(INDEX(ROTACAO_RDM!$N$6:$N$71,$J1341),PARAMETROS_CULTURAS!$B$6:$B$28,0),0))</f>
        <v>9</v>
      </c>
      <c r="Q1341" s="8" t="str">
        <f aca="false">IF($P1341=0,"-",IF($O1341&lt;=INDEX(PARAMETROS_CULTURAS!$F$6:$F$28,$P1341),"INICIAL",IF($O1341&lt;=INDEX(PARAMETROS_CULTURAS!$F$6:$F$28,$P1341)+INDEX(PARAMETROS_CULTURAS!$G$6:$G$28,$P1341),"DESENVOLVIMENTO",IF($O1341&lt;=INDEX(PARAMETROS_CULTURAS!$F$6:$F$28,$P1341)+INDEX(PARAMETROS_CULTURAS!$G$6:$G$28,$P1341)+INDEX(PARAMETROS_CULTURAS!$H$6:$H$28,$P1341),"MEDIA","FINAL"))))</f>
        <v>INICIAL</v>
      </c>
      <c r="R1341" s="24" t="n">
        <f aca="false">IF($P1341=0,0,IF($O1341&lt;=INDEX(PARAMETROS_CULTURAS!$F$6:$F$28,$P1341),INDEX(PARAMETROS_CULTURAS!$K$6:$K$28,$P1341),IF($O1341&lt;=INDEX(PARAMETROS_CULTURAS!$F$6:$F$28,$P1341)+INDEX(PARAMETROS_CULTURAS!$G$6:$G$28,$P1341),INDEX(PARAMETROS_CULTURAS!$K$6:$K$28,$P1341)+(INDEX(PARAMETROS_CULTURAS!$L$6:$L$28,$P1341)-INDEX(PARAMETROS_CULTURAS!$K$6:$K$28,$P1341))*($O1341-INDEX(PARAMETROS_CULTURAS!$F$6:$F$28,$P1341))/MAX(INDEX(PARAMETROS_CULTURAS!$G$6:$G$28,$P1341),0.0001),IF($O1341&lt;=INDEX(PARAMETROS_CULTURAS!$F$6:$F$28,$P1341)+INDEX(PARAMETROS_CULTURAS!$G$6:$G$28,$P1341)+INDEX(PARAMETROS_CULTURAS!$H$6:$H$28,$P1341),INDEX(PARAMETROS_CULTURAS!$L$6:$L$28,$P1341),INDEX(PARAMETROS_CULTURAS!$L$6:$L$28,$P1341)+(INDEX(PARAMETROS_CULTURAS!$M$6:$M$28,$P1341)-INDEX(PARAMETROS_CULTURAS!$L$6:$L$28,$P1341))*($O1341-INDEX(PARAMETROS_CULTURAS!$F$6:$F$28,$P1341)-INDEX(PARAMETROS_CULTURAS!$G$6:$G$28,$P1341)-INDEX(PARAMETROS_CULTURAS!$H$6:$H$28,$P1341))/MAX(INDEX(PARAMETROS_CULTURAS!$I$6:$I$28,$P1341),0.0001)))))</f>
        <v>0.35</v>
      </c>
      <c r="S1341" s="18" t="n">
        <f aca="false">IFERROR(INDEX(SEMANAS!$H$6:$H$71,MATCH($B1341,SEMANAS!$B$6:$B$71,0)),0)</f>
        <v>32.9</v>
      </c>
      <c r="T1341" s="18" t="n">
        <f aca="false">$R1341*$S1341</f>
        <v>11.515</v>
      </c>
      <c r="U1341" s="18" t="n">
        <f aca="false">IFERROR(INDEX(SEMANAS!$I$6:$I$71,MATCH($B1341,SEMANAS!$B$6:$B$71,0)),0)</f>
        <v>48.58</v>
      </c>
      <c r="V1341" s="18" t="n">
        <f aca="false">IFERROR(INDEX(SEMANAS!$J$6:$J$71,MATCH($B1341,SEMANAS!$B$6:$B$71,0)),0)</f>
        <v>38.864</v>
      </c>
      <c r="W1341" s="18" t="n">
        <f aca="false">MAX(0,$T1341-$V1341)</f>
        <v>0</v>
      </c>
      <c r="X1341" s="19" t="n">
        <f aca="false">IFERROR(INDEX(CADASTRO_PIVOS!$K$6:$K$41,MATCH($E1341,CADASTRO_PIVOS!$B$6:$B$41,0)),EFICIENCIA_PADRAO)</f>
        <v>0.85</v>
      </c>
      <c r="Y1341" s="18" t="n">
        <f aca="false">IF($X1341&lt;=0,0,$W1341/$X1341)</f>
        <v>0</v>
      </c>
      <c r="Z1341" s="16" t="n">
        <f aca="false">$Y1341*$H1341*MM_PARA_M3_HA</f>
        <v>0</v>
      </c>
      <c r="AA1341" s="18" t="n">
        <f aca="false">IFERROR(INDEX(CADASTRO_PIVOS!$I$6:$I$41,MATCH($E1341,CADASTRO_PIVOS!$B$6:$B$41,0)),0)</f>
        <v>932.933333333333</v>
      </c>
      <c r="AB1341" s="18" t="n">
        <f aca="false">IF($Z1341&lt;=0,0,$Z1341/$AA1341)</f>
        <v>0</v>
      </c>
      <c r="AC1341" s="16" t="n">
        <f aca="false">IFERROR(INDEX(SEMANAS!$K$6:$K$71,MATCH($B1341,SEMANAS!$B$6:$B$71,0)),0)</f>
        <v>147</v>
      </c>
      <c r="AD1341" s="19" t="n">
        <f aca="false">IF($AC1341&lt;=0,0,$AB1341/$AC1341)</f>
        <v>0</v>
      </c>
      <c r="AE1341" s="8" t="str">
        <f aca="false">IF($K1341="SEM CULTURA","SEM CULTURA",IF($AA1341&lt;=0,"DADO PENDENTE",IF($AD1341&gt;LIMITE_CRITICO,"INVIAVEL",IF($AD1341&gt;LIMITE_ATENCAO,"CRITICO",IF($AD1341&gt;LIMITE_CONFORTAVEL,"ATENCAO","OK")))))</f>
        <v>OK</v>
      </c>
      <c r="AF1341" s="8" t="str">
        <f aca="false">$B1341&amp;"|"&amp;TEXT($AD1341,"0.000000")</f>
        <v>16|0.000000</v>
      </c>
      <c r="AG1341" s="18" t="n">
        <f aca="false">IF($K1341="SEM CULTURA",0,$T1341*$H1341)</f>
        <v>1611.4091</v>
      </c>
      <c r="AH1341" s="18" t="n">
        <f aca="false">IF($K1341="SEM CULTURA",0,$V1341*$H1341)</f>
        <v>5438.62816</v>
      </c>
      <c r="AI1341" s="18" t="n">
        <f aca="false">IF($K1341="SEM CULTURA",0,$W1341*$H1341)</f>
        <v>0</v>
      </c>
      <c r="AJ1341" s="18" t="n">
        <f aca="false">IF($K1341="SEM CULTURA",0,$S1341*$H1341)</f>
        <v>4604.026</v>
      </c>
      <c r="AK1341" s="8" t="str">
        <f aca="false">$E1341&amp;"|"&amp;TEXT($AD1341,"0.000000")</f>
        <v>PV 128|0.000000</v>
      </c>
    </row>
    <row r="1342" customFormat="false" ht="15" hidden="false" customHeight="false" outlineLevel="0" collapsed="false">
      <c r="B1342" s="16" t="n">
        <v>17</v>
      </c>
      <c r="C1342" s="17" t="n">
        <f aca="false">DATA_INICIO_SAFRA+($B1342-1)*DIAS_POR_SEMANA</f>
        <v>46377</v>
      </c>
      <c r="D1342" s="17" t="n">
        <f aca="false">$C1342+DIAS_POR_SEMANA-1</f>
        <v>46383</v>
      </c>
      <c r="E1342" s="15" t="s">
        <v>279</v>
      </c>
      <c r="F1342" s="8" t="str">
        <f aca="false">IFERROR(INDEX(CADASTRO_PIVOS!$C$6:$C$41,MATCH($E1342,CADASTRO_PIVOS!$B$6:$B$41,0)),"?")</f>
        <v>RM06</v>
      </c>
      <c r="G1342" s="8" t="str">
        <f aca="false">IFERROR(INDEX(CADASTRO_PIVOS!$D$6:$D$41,MATCH($E1342,CADASTRO_PIVOS!$B$6:$B$41,0)),"?")</f>
        <v>TR06</v>
      </c>
      <c r="H1342" s="20" t="n">
        <f aca="false">IFERROR(INDEX(CADASTRO_PIVOS!$E$6:$E$41,MATCH($E1342,CADASTRO_PIVOS!$B$6:$B$41,0)),0)</f>
        <v>139.94</v>
      </c>
      <c r="I1342" s="16" t="n">
        <f aca="false">IFERROR(SUMIFS(ROTACAO_RDM!$B$6:$B$71,ROTACAO_RDM!$D$6:$D$71,$E1342,ROTACAO_RDM!$I$6:$I$71,"&lt;="&amp;$C1342+INT(DIAS_POR_SEMANA/2),ROTACAO_RDM!$J$6:$J$71,"&gt;="&amp;$C1342+INT(DIAS_POR_SEMANA/2)),0)</f>
        <v>53</v>
      </c>
      <c r="J1342" s="16" t="n">
        <f aca="false">IFERROR(MATCH($I1342,ROTACAO_RDM!$B$6:$B$71,0),0)</f>
        <v>53</v>
      </c>
      <c r="K1342" s="8" t="str">
        <f aca="false">IF($J1342=0,"SEM CULTURA",INDEX(ROTACAO_RDM!$F$6:$F$71,$J1342))</f>
        <v>TABACO</v>
      </c>
      <c r="L1342" s="8" t="str">
        <f aca="false">IF($J1342=0,"",INDEX(ROTACAO_RDM!$G$6:$G$71,$J1342))</f>
        <v>PVH-2343</v>
      </c>
      <c r="M1342" s="17" t="n">
        <f aca="false">IF($J1342=0,"",INDEX(ROTACAO_RDM!$I$6:$I$71,$J1342))</f>
        <v>46345</v>
      </c>
      <c r="N1342" s="16" t="n">
        <f aca="false">IF($J1342=0,0,MAX(0,$C1342+INT(DIAS_POR_SEMANA/2)-INDEX(ROTACAO_RDM!$I$6:$I$71,$J1342)))</f>
        <v>35</v>
      </c>
      <c r="O1342" s="19" t="n">
        <f aca="false">IF($J1342=0,0,MIN(1,$N1342/MAX(1,INDEX(ROTACAO_RDM!$K$6:$K$71,$J1342))))</f>
        <v>0.21875</v>
      </c>
      <c r="P1342" s="16" t="n">
        <f aca="false">IF($J1342=0,0,IFERROR(MATCH(INDEX(ROTACAO_RDM!$N$6:$N$71,$J1342),PARAMETROS_CULTURAS!$B$6:$B$28,0),0))</f>
        <v>9</v>
      </c>
      <c r="Q1342" s="8" t="str">
        <f aca="false">IF($P1342=0,"-",IF($O1342&lt;=INDEX(PARAMETROS_CULTURAS!$F$6:$F$28,$P1342),"INICIAL",IF($O1342&lt;=INDEX(PARAMETROS_CULTURAS!$F$6:$F$28,$P1342)+INDEX(PARAMETROS_CULTURAS!$G$6:$G$28,$P1342),"DESENVOLVIMENTO",IF($O1342&lt;=INDEX(PARAMETROS_CULTURAS!$F$6:$F$28,$P1342)+INDEX(PARAMETROS_CULTURAS!$G$6:$G$28,$P1342)+INDEX(PARAMETROS_CULTURAS!$H$6:$H$28,$P1342),"MEDIA","FINAL"))))</f>
        <v>DESENVOLVIMENTO</v>
      </c>
      <c r="R1342" s="24" t="n">
        <f aca="false">IF($P1342=0,0,IF($O1342&lt;=INDEX(PARAMETROS_CULTURAS!$F$6:$F$28,$P1342),INDEX(PARAMETROS_CULTURAS!$K$6:$K$28,$P1342),IF($O1342&lt;=INDEX(PARAMETROS_CULTURAS!$F$6:$F$28,$P1342)+INDEX(PARAMETROS_CULTURAS!$G$6:$G$28,$P1342),INDEX(PARAMETROS_CULTURAS!$K$6:$K$28,$P1342)+(INDEX(PARAMETROS_CULTURAS!$L$6:$L$28,$P1342)-INDEX(PARAMETROS_CULTURAS!$K$6:$K$28,$P1342))*($O1342-INDEX(PARAMETROS_CULTURAS!$F$6:$F$28,$P1342))/MAX(INDEX(PARAMETROS_CULTURAS!$G$6:$G$28,$P1342),0.0001),IF($O1342&lt;=INDEX(PARAMETROS_CULTURAS!$F$6:$F$28,$P1342)+INDEX(PARAMETROS_CULTURAS!$G$6:$G$28,$P1342)+INDEX(PARAMETROS_CULTURAS!$H$6:$H$28,$P1342),INDEX(PARAMETROS_CULTURAS!$L$6:$L$28,$P1342),INDEX(PARAMETROS_CULTURAS!$L$6:$L$28,$P1342)+(INDEX(PARAMETROS_CULTURAS!$M$6:$M$28,$P1342)-INDEX(PARAMETROS_CULTURAS!$L$6:$L$28,$P1342))*($O1342-INDEX(PARAMETROS_CULTURAS!$F$6:$F$28,$P1342)-INDEX(PARAMETROS_CULTURAS!$G$6:$G$28,$P1342)-INDEX(PARAMETROS_CULTURAS!$H$6:$H$28,$P1342))/MAX(INDEX(PARAMETROS_CULTURAS!$I$6:$I$28,$P1342),0.0001)))))</f>
        <v>0.457638888888889</v>
      </c>
      <c r="S1342" s="18" t="n">
        <f aca="false">IFERROR(INDEX(SEMANAS!$H$6:$H$71,MATCH($B1342,SEMANAS!$B$6:$B$71,0)),0)</f>
        <v>32.9</v>
      </c>
      <c r="T1342" s="18" t="n">
        <f aca="false">$R1342*$S1342</f>
        <v>15.0563194444444</v>
      </c>
      <c r="U1342" s="18" t="n">
        <f aca="false">IFERROR(INDEX(SEMANAS!$I$6:$I$71,MATCH($B1342,SEMANAS!$B$6:$B$71,0)),0)</f>
        <v>48.58</v>
      </c>
      <c r="V1342" s="18" t="n">
        <f aca="false">IFERROR(INDEX(SEMANAS!$J$6:$J$71,MATCH($B1342,SEMANAS!$B$6:$B$71,0)),0)</f>
        <v>38.864</v>
      </c>
      <c r="W1342" s="18" t="n">
        <f aca="false">MAX(0,$T1342-$V1342)</f>
        <v>0</v>
      </c>
      <c r="X1342" s="19" t="n">
        <f aca="false">IFERROR(INDEX(CADASTRO_PIVOS!$K$6:$K$41,MATCH($E1342,CADASTRO_PIVOS!$B$6:$B$41,0)),EFICIENCIA_PADRAO)</f>
        <v>0.85</v>
      </c>
      <c r="Y1342" s="18" t="n">
        <f aca="false">IF($X1342&lt;=0,0,$W1342/$X1342)</f>
        <v>0</v>
      </c>
      <c r="Z1342" s="16" t="n">
        <f aca="false">$Y1342*$H1342*MM_PARA_M3_HA</f>
        <v>0</v>
      </c>
      <c r="AA1342" s="18" t="n">
        <f aca="false">IFERROR(INDEX(CADASTRO_PIVOS!$I$6:$I$41,MATCH($E1342,CADASTRO_PIVOS!$B$6:$B$41,0)),0)</f>
        <v>932.933333333333</v>
      </c>
      <c r="AB1342" s="18" t="n">
        <f aca="false">IF($Z1342&lt;=0,0,$Z1342/$AA1342)</f>
        <v>0</v>
      </c>
      <c r="AC1342" s="16" t="n">
        <f aca="false">IFERROR(INDEX(SEMANAS!$K$6:$K$71,MATCH($B1342,SEMANAS!$B$6:$B$71,0)),0)</f>
        <v>147</v>
      </c>
      <c r="AD1342" s="19" t="n">
        <f aca="false">IF($AC1342&lt;=0,0,$AB1342/$AC1342)</f>
        <v>0</v>
      </c>
      <c r="AE1342" s="8" t="str">
        <f aca="false">IF($K1342="SEM CULTURA","SEM CULTURA",IF($AA1342&lt;=0,"DADO PENDENTE",IF($AD1342&gt;LIMITE_CRITICO,"INVIAVEL",IF($AD1342&gt;LIMITE_ATENCAO,"CRITICO",IF($AD1342&gt;LIMITE_CONFORTAVEL,"ATENCAO","OK")))))</f>
        <v>OK</v>
      </c>
      <c r="AF1342" s="8" t="str">
        <f aca="false">$B1342&amp;"|"&amp;TEXT($AD1342,"0.000000")</f>
        <v>17|0.000000</v>
      </c>
      <c r="AG1342" s="18" t="n">
        <f aca="false">IF($K1342="SEM CULTURA",0,$T1342*$H1342)</f>
        <v>2106.98134305556</v>
      </c>
      <c r="AH1342" s="18" t="n">
        <f aca="false">IF($K1342="SEM CULTURA",0,$V1342*$H1342)</f>
        <v>5438.62816</v>
      </c>
      <c r="AI1342" s="18" t="n">
        <f aca="false">IF($K1342="SEM CULTURA",0,$W1342*$H1342)</f>
        <v>0</v>
      </c>
      <c r="AJ1342" s="18" t="n">
        <f aca="false">IF($K1342="SEM CULTURA",0,$S1342*$H1342)</f>
        <v>4604.026</v>
      </c>
      <c r="AK1342" s="8" t="str">
        <f aca="false">$E1342&amp;"|"&amp;TEXT($AD1342,"0.000000")</f>
        <v>PV 128|0.000000</v>
      </c>
    </row>
    <row r="1343" customFormat="false" ht="15" hidden="false" customHeight="false" outlineLevel="0" collapsed="false">
      <c r="B1343" s="16" t="n">
        <v>18</v>
      </c>
      <c r="C1343" s="17" t="n">
        <f aca="false">DATA_INICIO_SAFRA+($B1343-1)*DIAS_POR_SEMANA</f>
        <v>46384</v>
      </c>
      <c r="D1343" s="17" t="n">
        <f aca="false">$C1343+DIAS_POR_SEMANA-1</f>
        <v>46390</v>
      </c>
      <c r="E1343" s="15" t="s">
        <v>279</v>
      </c>
      <c r="F1343" s="8" t="str">
        <f aca="false">IFERROR(INDEX(CADASTRO_PIVOS!$C$6:$C$41,MATCH($E1343,CADASTRO_PIVOS!$B$6:$B$41,0)),"?")</f>
        <v>RM06</v>
      </c>
      <c r="G1343" s="8" t="str">
        <f aca="false">IFERROR(INDEX(CADASTRO_PIVOS!$D$6:$D$41,MATCH($E1343,CADASTRO_PIVOS!$B$6:$B$41,0)),"?")</f>
        <v>TR06</v>
      </c>
      <c r="H1343" s="20" t="n">
        <f aca="false">IFERROR(INDEX(CADASTRO_PIVOS!$E$6:$E$41,MATCH($E1343,CADASTRO_PIVOS!$B$6:$B$41,0)),0)</f>
        <v>139.94</v>
      </c>
      <c r="I1343" s="16" t="n">
        <f aca="false">IFERROR(SUMIFS(ROTACAO_RDM!$B$6:$B$71,ROTACAO_RDM!$D$6:$D$71,$E1343,ROTACAO_RDM!$I$6:$I$71,"&lt;="&amp;$C1343+INT(DIAS_POR_SEMANA/2),ROTACAO_RDM!$J$6:$J$71,"&gt;="&amp;$C1343+INT(DIAS_POR_SEMANA/2)),0)</f>
        <v>53</v>
      </c>
      <c r="J1343" s="16" t="n">
        <f aca="false">IFERROR(MATCH($I1343,ROTACAO_RDM!$B$6:$B$71,0),0)</f>
        <v>53</v>
      </c>
      <c r="K1343" s="8" t="str">
        <f aca="false">IF($J1343=0,"SEM CULTURA",INDEX(ROTACAO_RDM!$F$6:$F$71,$J1343))</f>
        <v>TABACO</v>
      </c>
      <c r="L1343" s="8" t="str">
        <f aca="false">IF($J1343=0,"",INDEX(ROTACAO_RDM!$G$6:$G$71,$J1343))</f>
        <v>PVH-2343</v>
      </c>
      <c r="M1343" s="17" t="n">
        <f aca="false">IF($J1343=0,"",INDEX(ROTACAO_RDM!$I$6:$I$71,$J1343))</f>
        <v>46345</v>
      </c>
      <c r="N1343" s="16" t="n">
        <f aca="false">IF($J1343=0,0,MAX(0,$C1343+INT(DIAS_POR_SEMANA/2)-INDEX(ROTACAO_RDM!$I$6:$I$71,$J1343)))</f>
        <v>42</v>
      </c>
      <c r="O1343" s="19" t="n">
        <f aca="false">IF($J1343=0,0,MIN(1,$N1343/MAX(1,INDEX(ROTACAO_RDM!$K$6:$K$71,$J1343))))</f>
        <v>0.2625</v>
      </c>
      <c r="P1343" s="16" t="n">
        <f aca="false">IF($J1343=0,0,IFERROR(MATCH(INDEX(ROTACAO_RDM!$N$6:$N$71,$J1343),PARAMETROS_CULTURAS!$B$6:$B$28,0),0))</f>
        <v>9</v>
      </c>
      <c r="Q1343" s="8" t="str">
        <f aca="false">IF($P1343=0,"-",IF($O1343&lt;=INDEX(PARAMETROS_CULTURAS!$F$6:$F$28,$P1343),"INICIAL",IF($O1343&lt;=INDEX(PARAMETROS_CULTURAS!$F$6:$F$28,$P1343)+INDEX(PARAMETROS_CULTURAS!$G$6:$G$28,$P1343),"DESENVOLVIMENTO",IF($O1343&lt;=INDEX(PARAMETROS_CULTURAS!$F$6:$F$28,$P1343)+INDEX(PARAMETROS_CULTURAS!$G$6:$G$28,$P1343)+INDEX(PARAMETROS_CULTURAS!$H$6:$H$28,$P1343),"MEDIA","FINAL"))))</f>
        <v>DESENVOLVIMENTO</v>
      </c>
      <c r="R1343" s="24" t="n">
        <f aca="false">IF($P1343=0,0,IF($O1343&lt;=INDEX(PARAMETROS_CULTURAS!$F$6:$F$28,$P1343),INDEX(PARAMETROS_CULTURAS!$K$6:$K$28,$P1343),IF($O1343&lt;=INDEX(PARAMETROS_CULTURAS!$F$6:$F$28,$P1343)+INDEX(PARAMETROS_CULTURAS!$G$6:$G$28,$P1343),INDEX(PARAMETROS_CULTURAS!$K$6:$K$28,$P1343)+(INDEX(PARAMETROS_CULTURAS!$L$6:$L$28,$P1343)-INDEX(PARAMETROS_CULTURAS!$K$6:$K$28,$P1343))*($O1343-INDEX(PARAMETROS_CULTURAS!$F$6:$F$28,$P1343))/MAX(INDEX(PARAMETROS_CULTURAS!$G$6:$G$28,$P1343),0.0001),IF($O1343&lt;=INDEX(PARAMETROS_CULTURAS!$F$6:$F$28,$P1343)+INDEX(PARAMETROS_CULTURAS!$G$6:$G$28,$P1343)+INDEX(PARAMETROS_CULTURAS!$H$6:$H$28,$P1343),INDEX(PARAMETROS_CULTURAS!$L$6:$L$28,$P1343),INDEX(PARAMETROS_CULTURAS!$L$6:$L$28,$P1343)+(INDEX(PARAMETROS_CULTURAS!$M$6:$M$28,$P1343)-INDEX(PARAMETROS_CULTURAS!$L$6:$L$28,$P1343))*($O1343-INDEX(PARAMETROS_CULTURAS!$F$6:$F$28,$P1343)-INDEX(PARAMETROS_CULTURAS!$G$6:$G$28,$P1343)-INDEX(PARAMETROS_CULTURAS!$H$6:$H$28,$P1343))/MAX(INDEX(PARAMETROS_CULTURAS!$I$6:$I$28,$P1343),0.0001)))))</f>
        <v>0.579166666666667</v>
      </c>
      <c r="S1343" s="18" t="n">
        <f aca="false">IFERROR(INDEX(SEMANAS!$H$6:$H$71,MATCH($B1343,SEMANAS!$B$6:$B$71,0)),0)</f>
        <v>33.2</v>
      </c>
      <c r="T1343" s="18" t="n">
        <f aca="false">$R1343*$S1343</f>
        <v>19.2283333333333</v>
      </c>
      <c r="U1343" s="18" t="n">
        <f aca="false">IFERROR(INDEX(SEMANAS!$I$6:$I$71,MATCH($B1343,SEMANAS!$B$6:$B$71,0)),0)</f>
        <v>47.11</v>
      </c>
      <c r="V1343" s="18" t="n">
        <f aca="false">IFERROR(INDEX(SEMANAS!$J$6:$J$71,MATCH($B1343,SEMANAS!$B$6:$B$71,0)),0)</f>
        <v>37.688</v>
      </c>
      <c r="W1343" s="18" t="n">
        <f aca="false">MAX(0,$T1343-$V1343)</f>
        <v>0</v>
      </c>
      <c r="X1343" s="19" t="n">
        <f aca="false">IFERROR(INDEX(CADASTRO_PIVOS!$K$6:$K$41,MATCH($E1343,CADASTRO_PIVOS!$B$6:$B$41,0)),EFICIENCIA_PADRAO)</f>
        <v>0.85</v>
      </c>
      <c r="Y1343" s="18" t="n">
        <f aca="false">IF($X1343&lt;=0,0,$W1343/$X1343)</f>
        <v>0</v>
      </c>
      <c r="Z1343" s="16" t="n">
        <f aca="false">$Y1343*$H1343*MM_PARA_M3_HA</f>
        <v>0</v>
      </c>
      <c r="AA1343" s="18" t="n">
        <f aca="false">IFERROR(INDEX(CADASTRO_PIVOS!$I$6:$I$41,MATCH($E1343,CADASTRO_PIVOS!$B$6:$B$41,0)),0)</f>
        <v>932.933333333333</v>
      </c>
      <c r="AB1343" s="18" t="n">
        <f aca="false">IF($Z1343&lt;=0,0,$Z1343/$AA1343)</f>
        <v>0</v>
      </c>
      <c r="AC1343" s="16" t="n">
        <f aca="false">IFERROR(INDEX(SEMANAS!$K$6:$K$71,MATCH($B1343,SEMANAS!$B$6:$B$71,0)),0)</f>
        <v>147</v>
      </c>
      <c r="AD1343" s="19" t="n">
        <f aca="false">IF($AC1343&lt;=0,0,$AB1343/$AC1343)</f>
        <v>0</v>
      </c>
      <c r="AE1343" s="8" t="str">
        <f aca="false">IF($K1343="SEM CULTURA","SEM CULTURA",IF($AA1343&lt;=0,"DADO PENDENTE",IF($AD1343&gt;LIMITE_CRITICO,"INVIAVEL",IF($AD1343&gt;LIMITE_ATENCAO,"CRITICO",IF($AD1343&gt;LIMITE_CONFORTAVEL,"ATENCAO","OK")))))</f>
        <v>OK</v>
      </c>
      <c r="AF1343" s="8" t="str">
        <f aca="false">$B1343&amp;"|"&amp;TEXT($AD1343,"0.000000")</f>
        <v>18|0.000000</v>
      </c>
      <c r="AG1343" s="18" t="n">
        <f aca="false">IF($K1343="SEM CULTURA",0,$T1343*$H1343)</f>
        <v>2690.81296666667</v>
      </c>
      <c r="AH1343" s="18" t="n">
        <f aca="false">IF($K1343="SEM CULTURA",0,$V1343*$H1343)</f>
        <v>5274.05872</v>
      </c>
      <c r="AI1343" s="18" t="n">
        <f aca="false">IF($K1343="SEM CULTURA",0,$W1343*$H1343)</f>
        <v>0</v>
      </c>
      <c r="AJ1343" s="18" t="n">
        <f aca="false">IF($K1343="SEM CULTURA",0,$S1343*$H1343)</f>
        <v>4646.008</v>
      </c>
      <c r="AK1343" s="8" t="str">
        <f aca="false">$E1343&amp;"|"&amp;TEXT($AD1343,"0.000000")</f>
        <v>PV 128|0.000000</v>
      </c>
    </row>
    <row r="1344" customFormat="false" ht="15" hidden="false" customHeight="false" outlineLevel="0" collapsed="false">
      <c r="B1344" s="16" t="n">
        <v>19</v>
      </c>
      <c r="C1344" s="17" t="n">
        <f aca="false">DATA_INICIO_SAFRA+($B1344-1)*DIAS_POR_SEMANA</f>
        <v>46391</v>
      </c>
      <c r="D1344" s="17" t="n">
        <f aca="false">$C1344+DIAS_POR_SEMANA-1</f>
        <v>46397</v>
      </c>
      <c r="E1344" s="15" t="s">
        <v>279</v>
      </c>
      <c r="F1344" s="8" t="str">
        <f aca="false">IFERROR(INDEX(CADASTRO_PIVOS!$C$6:$C$41,MATCH($E1344,CADASTRO_PIVOS!$B$6:$B$41,0)),"?")</f>
        <v>RM06</v>
      </c>
      <c r="G1344" s="8" t="str">
        <f aca="false">IFERROR(INDEX(CADASTRO_PIVOS!$D$6:$D$41,MATCH($E1344,CADASTRO_PIVOS!$B$6:$B$41,0)),"?")</f>
        <v>TR06</v>
      </c>
      <c r="H1344" s="20" t="n">
        <f aca="false">IFERROR(INDEX(CADASTRO_PIVOS!$E$6:$E$41,MATCH($E1344,CADASTRO_PIVOS!$B$6:$B$41,0)),0)</f>
        <v>139.94</v>
      </c>
      <c r="I1344" s="16" t="n">
        <f aca="false">IFERROR(SUMIFS(ROTACAO_RDM!$B$6:$B$71,ROTACAO_RDM!$D$6:$D$71,$E1344,ROTACAO_RDM!$I$6:$I$71,"&lt;="&amp;$C1344+INT(DIAS_POR_SEMANA/2),ROTACAO_RDM!$J$6:$J$71,"&gt;="&amp;$C1344+INT(DIAS_POR_SEMANA/2)),0)</f>
        <v>53</v>
      </c>
      <c r="J1344" s="16" t="n">
        <f aca="false">IFERROR(MATCH($I1344,ROTACAO_RDM!$B$6:$B$71,0),0)</f>
        <v>53</v>
      </c>
      <c r="K1344" s="8" t="str">
        <f aca="false">IF($J1344=0,"SEM CULTURA",INDEX(ROTACAO_RDM!$F$6:$F$71,$J1344))</f>
        <v>TABACO</v>
      </c>
      <c r="L1344" s="8" t="str">
        <f aca="false">IF($J1344=0,"",INDEX(ROTACAO_RDM!$G$6:$G$71,$J1344))</f>
        <v>PVH-2343</v>
      </c>
      <c r="M1344" s="17" t="n">
        <f aca="false">IF($J1344=0,"",INDEX(ROTACAO_RDM!$I$6:$I$71,$J1344))</f>
        <v>46345</v>
      </c>
      <c r="N1344" s="16" t="n">
        <f aca="false">IF($J1344=0,0,MAX(0,$C1344+INT(DIAS_POR_SEMANA/2)-INDEX(ROTACAO_RDM!$I$6:$I$71,$J1344)))</f>
        <v>49</v>
      </c>
      <c r="O1344" s="19" t="n">
        <f aca="false">IF($J1344=0,0,MIN(1,$N1344/MAX(1,INDEX(ROTACAO_RDM!$K$6:$K$71,$J1344))))</f>
        <v>0.30625</v>
      </c>
      <c r="P1344" s="16" t="n">
        <f aca="false">IF($J1344=0,0,IFERROR(MATCH(INDEX(ROTACAO_RDM!$N$6:$N$71,$J1344),PARAMETROS_CULTURAS!$B$6:$B$28,0),0))</f>
        <v>9</v>
      </c>
      <c r="Q1344" s="8" t="str">
        <f aca="false">IF($P1344=0,"-",IF($O1344&lt;=INDEX(PARAMETROS_CULTURAS!$F$6:$F$28,$P1344),"INICIAL",IF($O1344&lt;=INDEX(PARAMETROS_CULTURAS!$F$6:$F$28,$P1344)+INDEX(PARAMETROS_CULTURAS!$G$6:$G$28,$P1344),"DESENVOLVIMENTO",IF($O1344&lt;=INDEX(PARAMETROS_CULTURAS!$F$6:$F$28,$P1344)+INDEX(PARAMETROS_CULTURAS!$G$6:$G$28,$P1344)+INDEX(PARAMETROS_CULTURAS!$H$6:$H$28,$P1344),"MEDIA","FINAL"))))</f>
        <v>DESENVOLVIMENTO</v>
      </c>
      <c r="R1344" s="24" t="n">
        <f aca="false">IF($P1344=0,0,IF($O1344&lt;=INDEX(PARAMETROS_CULTURAS!$F$6:$F$28,$P1344),INDEX(PARAMETROS_CULTURAS!$K$6:$K$28,$P1344),IF($O1344&lt;=INDEX(PARAMETROS_CULTURAS!$F$6:$F$28,$P1344)+INDEX(PARAMETROS_CULTURAS!$G$6:$G$28,$P1344),INDEX(PARAMETROS_CULTURAS!$K$6:$K$28,$P1344)+(INDEX(PARAMETROS_CULTURAS!$L$6:$L$28,$P1344)-INDEX(PARAMETROS_CULTURAS!$K$6:$K$28,$P1344))*($O1344-INDEX(PARAMETROS_CULTURAS!$F$6:$F$28,$P1344))/MAX(INDEX(PARAMETROS_CULTURAS!$G$6:$G$28,$P1344),0.0001),IF($O1344&lt;=INDEX(PARAMETROS_CULTURAS!$F$6:$F$28,$P1344)+INDEX(PARAMETROS_CULTURAS!$G$6:$G$28,$P1344)+INDEX(PARAMETROS_CULTURAS!$H$6:$H$28,$P1344),INDEX(PARAMETROS_CULTURAS!$L$6:$L$28,$P1344),INDEX(PARAMETROS_CULTURAS!$L$6:$L$28,$P1344)+(INDEX(PARAMETROS_CULTURAS!$M$6:$M$28,$P1344)-INDEX(PARAMETROS_CULTURAS!$L$6:$L$28,$P1344))*($O1344-INDEX(PARAMETROS_CULTURAS!$F$6:$F$28,$P1344)-INDEX(PARAMETROS_CULTURAS!$G$6:$G$28,$P1344)-INDEX(PARAMETROS_CULTURAS!$H$6:$H$28,$P1344))/MAX(INDEX(PARAMETROS_CULTURAS!$I$6:$I$28,$P1344),0.0001)))))</f>
        <v>0.700694444444445</v>
      </c>
      <c r="S1344" s="18" t="n">
        <f aca="false">IFERROR(INDEX(SEMANAS!$H$6:$H$71,MATCH($B1344,SEMANAS!$B$6:$B$71,0)),0)</f>
        <v>33.6</v>
      </c>
      <c r="T1344" s="18" t="n">
        <f aca="false">$R1344*$S1344</f>
        <v>23.5433333333333</v>
      </c>
      <c r="U1344" s="18" t="n">
        <f aca="false">IFERROR(INDEX(SEMANAS!$I$6:$I$71,MATCH($B1344,SEMANAS!$B$6:$B$71,0)),0)</f>
        <v>45.15</v>
      </c>
      <c r="V1344" s="18" t="n">
        <f aca="false">IFERROR(INDEX(SEMANAS!$J$6:$J$71,MATCH($B1344,SEMANAS!$B$6:$B$71,0)),0)</f>
        <v>36.12</v>
      </c>
      <c r="W1344" s="18" t="n">
        <f aca="false">MAX(0,$T1344-$V1344)</f>
        <v>0</v>
      </c>
      <c r="X1344" s="19" t="n">
        <f aca="false">IFERROR(INDEX(CADASTRO_PIVOS!$K$6:$K$41,MATCH($E1344,CADASTRO_PIVOS!$B$6:$B$41,0)),EFICIENCIA_PADRAO)</f>
        <v>0.85</v>
      </c>
      <c r="Y1344" s="18" t="n">
        <f aca="false">IF($X1344&lt;=0,0,$W1344/$X1344)</f>
        <v>0</v>
      </c>
      <c r="Z1344" s="16" t="n">
        <f aca="false">$Y1344*$H1344*MM_PARA_M3_HA</f>
        <v>0</v>
      </c>
      <c r="AA1344" s="18" t="n">
        <f aca="false">IFERROR(INDEX(CADASTRO_PIVOS!$I$6:$I$41,MATCH($E1344,CADASTRO_PIVOS!$B$6:$B$41,0)),0)</f>
        <v>932.933333333333</v>
      </c>
      <c r="AB1344" s="18" t="n">
        <f aca="false">IF($Z1344&lt;=0,0,$Z1344/$AA1344)</f>
        <v>0</v>
      </c>
      <c r="AC1344" s="16" t="n">
        <f aca="false">IFERROR(INDEX(SEMANAS!$K$6:$K$71,MATCH($B1344,SEMANAS!$B$6:$B$71,0)),0)</f>
        <v>147</v>
      </c>
      <c r="AD1344" s="19" t="n">
        <f aca="false">IF($AC1344&lt;=0,0,$AB1344/$AC1344)</f>
        <v>0</v>
      </c>
      <c r="AE1344" s="8" t="str">
        <f aca="false">IF($K1344="SEM CULTURA","SEM CULTURA",IF($AA1344&lt;=0,"DADO PENDENTE",IF($AD1344&gt;LIMITE_CRITICO,"INVIAVEL",IF($AD1344&gt;LIMITE_ATENCAO,"CRITICO",IF($AD1344&gt;LIMITE_CONFORTAVEL,"ATENCAO","OK")))))</f>
        <v>OK</v>
      </c>
      <c r="AF1344" s="8" t="str">
        <f aca="false">$B1344&amp;"|"&amp;TEXT($AD1344,"0.000000")</f>
        <v>19|0.000000</v>
      </c>
      <c r="AG1344" s="18" t="n">
        <f aca="false">IF($K1344="SEM CULTURA",0,$T1344*$H1344)</f>
        <v>3294.65406666667</v>
      </c>
      <c r="AH1344" s="18" t="n">
        <f aca="false">IF($K1344="SEM CULTURA",0,$V1344*$H1344)</f>
        <v>5054.6328</v>
      </c>
      <c r="AI1344" s="18" t="n">
        <f aca="false">IF($K1344="SEM CULTURA",0,$W1344*$H1344)</f>
        <v>0</v>
      </c>
      <c r="AJ1344" s="18" t="n">
        <f aca="false">IF($K1344="SEM CULTURA",0,$S1344*$H1344)</f>
        <v>4701.984</v>
      </c>
      <c r="AK1344" s="8" t="str">
        <f aca="false">$E1344&amp;"|"&amp;TEXT($AD1344,"0.000000")</f>
        <v>PV 128|0.000000</v>
      </c>
    </row>
    <row r="1345" customFormat="false" ht="15" hidden="false" customHeight="false" outlineLevel="0" collapsed="false">
      <c r="B1345" s="16" t="n">
        <v>20</v>
      </c>
      <c r="C1345" s="17" t="n">
        <f aca="false">DATA_INICIO_SAFRA+($B1345-1)*DIAS_POR_SEMANA</f>
        <v>46398</v>
      </c>
      <c r="D1345" s="17" t="n">
        <f aca="false">$C1345+DIAS_POR_SEMANA-1</f>
        <v>46404</v>
      </c>
      <c r="E1345" s="15" t="s">
        <v>279</v>
      </c>
      <c r="F1345" s="8" t="str">
        <f aca="false">IFERROR(INDEX(CADASTRO_PIVOS!$C$6:$C$41,MATCH($E1345,CADASTRO_PIVOS!$B$6:$B$41,0)),"?")</f>
        <v>RM06</v>
      </c>
      <c r="G1345" s="8" t="str">
        <f aca="false">IFERROR(INDEX(CADASTRO_PIVOS!$D$6:$D$41,MATCH($E1345,CADASTRO_PIVOS!$B$6:$B$41,0)),"?")</f>
        <v>TR06</v>
      </c>
      <c r="H1345" s="20" t="n">
        <f aca="false">IFERROR(INDEX(CADASTRO_PIVOS!$E$6:$E$41,MATCH($E1345,CADASTRO_PIVOS!$B$6:$B$41,0)),0)</f>
        <v>139.94</v>
      </c>
      <c r="I1345" s="16" t="n">
        <f aca="false">IFERROR(SUMIFS(ROTACAO_RDM!$B$6:$B$71,ROTACAO_RDM!$D$6:$D$71,$E1345,ROTACAO_RDM!$I$6:$I$71,"&lt;="&amp;$C1345+INT(DIAS_POR_SEMANA/2),ROTACAO_RDM!$J$6:$J$71,"&gt;="&amp;$C1345+INT(DIAS_POR_SEMANA/2)),0)</f>
        <v>53</v>
      </c>
      <c r="J1345" s="16" t="n">
        <f aca="false">IFERROR(MATCH($I1345,ROTACAO_RDM!$B$6:$B$71,0),0)</f>
        <v>53</v>
      </c>
      <c r="K1345" s="8" t="str">
        <f aca="false">IF($J1345=0,"SEM CULTURA",INDEX(ROTACAO_RDM!$F$6:$F$71,$J1345))</f>
        <v>TABACO</v>
      </c>
      <c r="L1345" s="8" t="str">
        <f aca="false">IF($J1345=0,"",INDEX(ROTACAO_RDM!$G$6:$G$71,$J1345))</f>
        <v>PVH-2343</v>
      </c>
      <c r="M1345" s="17" t="n">
        <f aca="false">IF($J1345=0,"",INDEX(ROTACAO_RDM!$I$6:$I$71,$J1345))</f>
        <v>46345</v>
      </c>
      <c r="N1345" s="16" t="n">
        <f aca="false">IF($J1345=0,0,MAX(0,$C1345+INT(DIAS_POR_SEMANA/2)-INDEX(ROTACAO_RDM!$I$6:$I$71,$J1345)))</f>
        <v>56</v>
      </c>
      <c r="O1345" s="19" t="n">
        <f aca="false">IF($J1345=0,0,MIN(1,$N1345/MAX(1,INDEX(ROTACAO_RDM!$K$6:$K$71,$J1345))))</f>
        <v>0.35</v>
      </c>
      <c r="P1345" s="16" t="n">
        <f aca="false">IF($J1345=0,0,IFERROR(MATCH(INDEX(ROTACAO_RDM!$N$6:$N$71,$J1345),PARAMETROS_CULTURAS!$B$6:$B$28,0),0))</f>
        <v>9</v>
      </c>
      <c r="Q1345" s="8" t="str">
        <f aca="false">IF($P1345=0,"-",IF($O1345&lt;=INDEX(PARAMETROS_CULTURAS!$F$6:$F$28,$P1345),"INICIAL",IF($O1345&lt;=INDEX(PARAMETROS_CULTURAS!$F$6:$F$28,$P1345)+INDEX(PARAMETROS_CULTURAS!$G$6:$G$28,$P1345),"DESENVOLVIMENTO",IF($O1345&lt;=INDEX(PARAMETROS_CULTURAS!$F$6:$F$28,$P1345)+INDEX(PARAMETROS_CULTURAS!$G$6:$G$28,$P1345)+INDEX(PARAMETROS_CULTURAS!$H$6:$H$28,$P1345),"MEDIA","FINAL"))))</f>
        <v>DESENVOLVIMENTO</v>
      </c>
      <c r="R1345" s="24" t="n">
        <f aca="false">IF($P1345=0,0,IF($O1345&lt;=INDEX(PARAMETROS_CULTURAS!$F$6:$F$28,$P1345),INDEX(PARAMETROS_CULTURAS!$K$6:$K$28,$P1345),IF($O1345&lt;=INDEX(PARAMETROS_CULTURAS!$F$6:$F$28,$P1345)+INDEX(PARAMETROS_CULTURAS!$G$6:$G$28,$P1345),INDEX(PARAMETROS_CULTURAS!$K$6:$K$28,$P1345)+(INDEX(PARAMETROS_CULTURAS!$L$6:$L$28,$P1345)-INDEX(PARAMETROS_CULTURAS!$K$6:$K$28,$P1345))*($O1345-INDEX(PARAMETROS_CULTURAS!$F$6:$F$28,$P1345))/MAX(INDEX(PARAMETROS_CULTURAS!$G$6:$G$28,$P1345),0.0001),IF($O1345&lt;=INDEX(PARAMETROS_CULTURAS!$F$6:$F$28,$P1345)+INDEX(PARAMETROS_CULTURAS!$G$6:$G$28,$P1345)+INDEX(PARAMETROS_CULTURAS!$H$6:$H$28,$P1345),INDEX(PARAMETROS_CULTURAS!$L$6:$L$28,$P1345),INDEX(PARAMETROS_CULTURAS!$L$6:$L$28,$P1345)+(INDEX(PARAMETROS_CULTURAS!$M$6:$M$28,$P1345)-INDEX(PARAMETROS_CULTURAS!$L$6:$L$28,$P1345))*($O1345-INDEX(PARAMETROS_CULTURAS!$F$6:$F$28,$P1345)-INDEX(PARAMETROS_CULTURAS!$G$6:$G$28,$P1345)-INDEX(PARAMETROS_CULTURAS!$H$6:$H$28,$P1345))/MAX(INDEX(PARAMETROS_CULTURAS!$I$6:$I$28,$P1345),0.0001)))))</f>
        <v>0.822222222222222</v>
      </c>
      <c r="S1345" s="18" t="n">
        <f aca="false">IFERROR(INDEX(SEMANAS!$H$6:$H$71,MATCH($B1345,SEMANAS!$B$6:$B$71,0)),0)</f>
        <v>33.6</v>
      </c>
      <c r="T1345" s="18" t="n">
        <f aca="false">$R1345*$S1345</f>
        <v>27.6266666666667</v>
      </c>
      <c r="U1345" s="18" t="n">
        <f aca="false">IFERROR(INDEX(SEMANAS!$I$6:$I$71,MATCH($B1345,SEMANAS!$B$6:$B$71,0)),0)</f>
        <v>45.15</v>
      </c>
      <c r="V1345" s="18" t="n">
        <f aca="false">IFERROR(INDEX(SEMANAS!$J$6:$J$71,MATCH($B1345,SEMANAS!$B$6:$B$71,0)),0)</f>
        <v>36.12</v>
      </c>
      <c r="W1345" s="18" t="n">
        <f aca="false">MAX(0,$T1345-$V1345)</f>
        <v>0</v>
      </c>
      <c r="X1345" s="19" t="n">
        <f aca="false">IFERROR(INDEX(CADASTRO_PIVOS!$K$6:$K$41,MATCH($E1345,CADASTRO_PIVOS!$B$6:$B$41,0)),EFICIENCIA_PADRAO)</f>
        <v>0.85</v>
      </c>
      <c r="Y1345" s="18" t="n">
        <f aca="false">IF($X1345&lt;=0,0,$W1345/$X1345)</f>
        <v>0</v>
      </c>
      <c r="Z1345" s="16" t="n">
        <f aca="false">$Y1345*$H1345*MM_PARA_M3_HA</f>
        <v>0</v>
      </c>
      <c r="AA1345" s="18" t="n">
        <f aca="false">IFERROR(INDEX(CADASTRO_PIVOS!$I$6:$I$41,MATCH($E1345,CADASTRO_PIVOS!$B$6:$B$41,0)),0)</f>
        <v>932.933333333333</v>
      </c>
      <c r="AB1345" s="18" t="n">
        <f aca="false">IF($Z1345&lt;=0,0,$Z1345/$AA1345)</f>
        <v>0</v>
      </c>
      <c r="AC1345" s="16" t="n">
        <f aca="false">IFERROR(INDEX(SEMANAS!$K$6:$K$71,MATCH($B1345,SEMANAS!$B$6:$B$71,0)),0)</f>
        <v>147</v>
      </c>
      <c r="AD1345" s="19" t="n">
        <f aca="false">IF($AC1345&lt;=0,0,$AB1345/$AC1345)</f>
        <v>0</v>
      </c>
      <c r="AE1345" s="8" t="str">
        <f aca="false">IF($K1345="SEM CULTURA","SEM CULTURA",IF($AA1345&lt;=0,"DADO PENDENTE",IF($AD1345&gt;LIMITE_CRITICO,"INVIAVEL",IF($AD1345&gt;LIMITE_ATENCAO,"CRITICO",IF($AD1345&gt;LIMITE_CONFORTAVEL,"ATENCAO","OK")))))</f>
        <v>OK</v>
      </c>
      <c r="AF1345" s="8" t="str">
        <f aca="false">$B1345&amp;"|"&amp;TEXT($AD1345,"0.000000")</f>
        <v>20|0.000000</v>
      </c>
      <c r="AG1345" s="18" t="n">
        <f aca="false">IF($K1345="SEM CULTURA",0,$T1345*$H1345)</f>
        <v>3866.07573333333</v>
      </c>
      <c r="AH1345" s="18" t="n">
        <f aca="false">IF($K1345="SEM CULTURA",0,$V1345*$H1345)</f>
        <v>5054.6328</v>
      </c>
      <c r="AI1345" s="18" t="n">
        <f aca="false">IF($K1345="SEM CULTURA",0,$W1345*$H1345)</f>
        <v>0</v>
      </c>
      <c r="AJ1345" s="18" t="n">
        <f aca="false">IF($K1345="SEM CULTURA",0,$S1345*$H1345)</f>
        <v>4701.984</v>
      </c>
      <c r="AK1345" s="8" t="str">
        <f aca="false">$E1345&amp;"|"&amp;TEXT($AD1345,"0.000000")</f>
        <v>PV 128|0.000000</v>
      </c>
    </row>
    <row r="1346" customFormat="false" ht="15" hidden="false" customHeight="false" outlineLevel="0" collapsed="false">
      <c r="B1346" s="16" t="n">
        <v>21</v>
      </c>
      <c r="C1346" s="17" t="n">
        <f aca="false">DATA_INICIO_SAFRA+($B1346-1)*DIAS_POR_SEMANA</f>
        <v>46405</v>
      </c>
      <c r="D1346" s="17" t="n">
        <f aca="false">$C1346+DIAS_POR_SEMANA-1</f>
        <v>46411</v>
      </c>
      <c r="E1346" s="15" t="s">
        <v>279</v>
      </c>
      <c r="F1346" s="8" t="str">
        <f aca="false">IFERROR(INDEX(CADASTRO_PIVOS!$C$6:$C$41,MATCH($E1346,CADASTRO_PIVOS!$B$6:$B$41,0)),"?")</f>
        <v>RM06</v>
      </c>
      <c r="G1346" s="8" t="str">
        <f aca="false">IFERROR(INDEX(CADASTRO_PIVOS!$D$6:$D$41,MATCH($E1346,CADASTRO_PIVOS!$B$6:$B$41,0)),"?")</f>
        <v>TR06</v>
      </c>
      <c r="H1346" s="20" t="n">
        <f aca="false">IFERROR(INDEX(CADASTRO_PIVOS!$E$6:$E$41,MATCH($E1346,CADASTRO_PIVOS!$B$6:$B$41,0)),0)</f>
        <v>139.94</v>
      </c>
      <c r="I1346" s="16" t="n">
        <f aca="false">IFERROR(SUMIFS(ROTACAO_RDM!$B$6:$B$71,ROTACAO_RDM!$D$6:$D$71,$E1346,ROTACAO_RDM!$I$6:$I$71,"&lt;="&amp;$C1346+INT(DIAS_POR_SEMANA/2),ROTACAO_RDM!$J$6:$J$71,"&gt;="&amp;$C1346+INT(DIAS_POR_SEMANA/2)),0)</f>
        <v>53</v>
      </c>
      <c r="J1346" s="16" t="n">
        <f aca="false">IFERROR(MATCH($I1346,ROTACAO_RDM!$B$6:$B$71,0),0)</f>
        <v>53</v>
      </c>
      <c r="K1346" s="8" t="str">
        <f aca="false">IF($J1346=0,"SEM CULTURA",INDEX(ROTACAO_RDM!$F$6:$F$71,$J1346))</f>
        <v>TABACO</v>
      </c>
      <c r="L1346" s="8" t="str">
        <f aca="false">IF($J1346=0,"",INDEX(ROTACAO_RDM!$G$6:$G$71,$J1346))</f>
        <v>PVH-2343</v>
      </c>
      <c r="M1346" s="17" t="n">
        <f aca="false">IF($J1346=0,"",INDEX(ROTACAO_RDM!$I$6:$I$71,$J1346))</f>
        <v>46345</v>
      </c>
      <c r="N1346" s="16" t="n">
        <f aca="false">IF($J1346=0,0,MAX(0,$C1346+INT(DIAS_POR_SEMANA/2)-INDEX(ROTACAO_RDM!$I$6:$I$71,$J1346)))</f>
        <v>63</v>
      </c>
      <c r="O1346" s="19" t="n">
        <f aca="false">IF($J1346=0,0,MIN(1,$N1346/MAX(1,INDEX(ROTACAO_RDM!$K$6:$K$71,$J1346))))</f>
        <v>0.39375</v>
      </c>
      <c r="P1346" s="16" t="n">
        <f aca="false">IF($J1346=0,0,IFERROR(MATCH(INDEX(ROTACAO_RDM!$N$6:$N$71,$J1346),PARAMETROS_CULTURAS!$B$6:$B$28,0),0))</f>
        <v>9</v>
      </c>
      <c r="Q1346" s="8" t="str">
        <f aca="false">IF($P1346=0,"-",IF($O1346&lt;=INDEX(PARAMETROS_CULTURAS!$F$6:$F$28,$P1346),"INICIAL",IF($O1346&lt;=INDEX(PARAMETROS_CULTURAS!$F$6:$F$28,$P1346)+INDEX(PARAMETROS_CULTURAS!$G$6:$G$28,$P1346),"DESENVOLVIMENTO",IF($O1346&lt;=INDEX(PARAMETROS_CULTURAS!$F$6:$F$28,$P1346)+INDEX(PARAMETROS_CULTURAS!$G$6:$G$28,$P1346)+INDEX(PARAMETROS_CULTURAS!$H$6:$H$28,$P1346),"MEDIA","FINAL"))))</f>
        <v>DESENVOLVIMENTO</v>
      </c>
      <c r="R1346" s="24" t="n">
        <f aca="false">IF($P1346=0,0,IF($O1346&lt;=INDEX(PARAMETROS_CULTURAS!$F$6:$F$28,$P1346),INDEX(PARAMETROS_CULTURAS!$K$6:$K$28,$P1346),IF($O1346&lt;=INDEX(PARAMETROS_CULTURAS!$F$6:$F$28,$P1346)+INDEX(PARAMETROS_CULTURAS!$G$6:$G$28,$P1346),INDEX(PARAMETROS_CULTURAS!$K$6:$K$28,$P1346)+(INDEX(PARAMETROS_CULTURAS!$L$6:$L$28,$P1346)-INDEX(PARAMETROS_CULTURAS!$K$6:$K$28,$P1346))*($O1346-INDEX(PARAMETROS_CULTURAS!$F$6:$F$28,$P1346))/MAX(INDEX(PARAMETROS_CULTURAS!$G$6:$G$28,$P1346),0.0001),IF($O1346&lt;=INDEX(PARAMETROS_CULTURAS!$F$6:$F$28,$P1346)+INDEX(PARAMETROS_CULTURAS!$G$6:$G$28,$P1346)+INDEX(PARAMETROS_CULTURAS!$H$6:$H$28,$P1346),INDEX(PARAMETROS_CULTURAS!$L$6:$L$28,$P1346),INDEX(PARAMETROS_CULTURAS!$L$6:$L$28,$P1346)+(INDEX(PARAMETROS_CULTURAS!$M$6:$M$28,$P1346)-INDEX(PARAMETROS_CULTURAS!$L$6:$L$28,$P1346))*($O1346-INDEX(PARAMETROS_CULTURAS!$F$6:$F$28,$P1346)-INDEX(PARAMETROS_CULTURAS!$G$6:$G$28,$P1346)-INDEX(PARAMETROS_CULTURAS!$H$6:$H$28,$P1346))/MAX(INDEX(PARAMETROS_CULTURAS!$I$6:$I$28,$P1346),0.0001)))))</f>
        <v>0.94375</v>
      </c>
      <c r="S1346" s="18" t="n">
        <f aca="false">IFERROR(INDEX(SEMANAS!$H$6:$H$71,MATCH($B1346,SEMANAS!$B$6:$B$71,0)),0)</f>
        <v>33.6</v>
      </c>
      <c r="T1346" s="18" t="n">
        <f aca="false">$R1346*$S1346</f>
        <v>31.71</v>
      </c>
      <c r="U1346" s="18" t="n">
        <f aca="false">IFERROR(INDEX(SEMANAS!$I$6:$I$71,MATCH($B1346,SEMANAS!$B$6:$B$71,0)),0)</f>
        <v>45.15</v>
      </c>
      <c r="V1346" s="18" t="n">
        <f aca="false">IFERROR(INDEX(SEMANAS!$J$6:$J$71,MATCH($B1346,SEMANAS!$B$6:$B$71,0)),0)</f>
        <v>36.12</v>
      </c>
      <c r="W1346" s="18" t="n">
        <f aca="false">MAX(0,$T1346-$V1346)</f>
        <v>0</v>
      </c>
      <c r="X1346" s="19" t="n">
        <f aca="false">IFERROR(INDEX(CADASTRO_PIVOS!$K$6:$K$41,MATCH($E1346,CADASTRO_PIVOS!$B$6:$B$41,0)),EFICIENCIA_PADRAO)</f>
        <v>0.85</v>
      </c>
      <c r="Y1346" s="18" t="n">
        <f aca="false">IF($X1346&lt;=0,0,$W1346/$X1346)</f>
        <v>0</v>
      </c>
      <c r="Z1346" s="16" t="n">
        <f aca="false">$Y1346*$H1346*MM_PARA_M3_HA</f>
        <v>0</v>
      </c>
      <c r="AA1346" s="18" t="n">
        <f aca="false">IFERROR(INDEX(CADASTRO_PIVOS!$I$6:$I$41,MATCH($E1346,CADASTRO_PIVOS!$B$6:$B$41,0)),0)</f>
        <v>932.933333333333</v>
      </c>
      <c r="AB1346" s="18" t="n">
        <f aca="false">IF($Z1346&lt;=0,0,$Z1346/$AA1346)</f>
        <v>0</v>
      </c>
      <c r="AC1346" s="16" t="n">
        <f aca="false">IFERROR(INDEX(SEMANAS!$K$6:$K$71,MATCH($B1346,SEMANAS!$B$6:$B$71,0)),0)</f>
        <v>147</v>
      </c>
      <c r="AD1346" s="19" t="n">
        <f aca="false">IF($AC1346&lt;=0,0,$AB1346/$AC1346)</f>
        <v>0</v>
      </c>
      <c r="AE1346" s="8" t="str">
        <f aca="false">IF($K1346="SEM CULTURA","SEM CULTURA",IF($AA1346&lt;=0,"DADO PENDENTE",IF($AD1346&gt;LIMITE_CRITICO,"INVIAVEL",IF($AD1346&gt;LIMITE_ATENCAO,"CRITICO",IF($AD1346&gt;LIMITE_CONFORTAVEL,"ATENCAO","OK")))))</f>
        <v>OK</v>
      </c>
      <c r="AF1346" s="8" t="str">
        <f aca="false">$B1346&amp;"|"&amp;TEXT($AD1346,"0.000000")</f>
        <v>21|0.000000</v>
      </c>
      <c r="AG1346" s="18" t="n">
        <f aca="false">IF($K1346="SEM CULTURA",0,$T1346*$H1346)</f>
        <v>4437.4974</v>
      </c>
      <c r="AH1346" s="18" t="n">
        <f aca="false">IF($K1346="SEM CULTURA",0,$V1346*$H1346)</f>
        <v>5054.6328</v>
      </c>
      <c r="AI1346" s="18" t="n">
        <f aca="false">IF($K1346="SEM CULTURA",0,$W1346*$H1346)</f>
        <v>0</v>
      </c>
      <c r="AJ1346" s="18" t="n">
        <f aca="false">IF($K1346="SEM CULTURA",0,$S1346*$H1346)</f>
        <v>4701.984</v>
      </c>
      <c r="AK1346" s="8" t="str">
        <f aca="false">$E1346&amp;"|"&amp;TEXT($AD1346,"0.000000")</f>
        <v>PV 128|0.000000</v>
      </c>
    </row>
    <row r="1347" customFormat="false" ht="15" hidden="false" customHeight="false" outlineLevel="0" collapsed="false">
      <c r="B1347" s="16" t="n">
        <v>22</v>
      </c>
      <c r="C1347" s="17" t="n">
        <f aca="false">DATA_INICIO_SAFRA+($B1347-1)*DIAS_POR_SEMANA</f>
        <v>46412</v>
      </c>
      <c r="D1347" s="17" t="n">
        <f aca="false">$C1347+DIAS_POR_SEMANA-1</f>
        <v>46418</v>
      </c>
      <c r="E1347" s="15" t="s">
        <v>279</v>
      </c>
      <c r="F1347" s="8" t="str">
        <f aca="false">IFERROR(INDEX(CADASTRO_PIVOS!$C$6:$C$41,MATCH($E1347,CADASTRO_PIVOS!$B$6:$B$41,0)),"?")</f>
        <v>RM06</v>
      </c>
      <c r="G1347" s="8" t="str">
        <f aca="false">IFERROR(INDEX(CADASTRO_PIVOS!$D$6:$D$41,MATCH($E1347,CADASTRO_PIVOS!$B$6:$B$41,0)),"?")</f>
        <v>TR06</v>
      </c>
      <c r="H1347" s="20" t="n">
        <f aca="false">IFERROR(INDEX(CADASTRO_PIVOS!$E$6:$E$41,MATCH($E1347,CADASTRO_PIVOS!$B$6:$B$41,0)),0)</f>
        <v>139.94</v>
      </c>
      <c r="I1347" s="16" t="n">
        <f aca="false">IFERROR(SUMIFS(ROTACAO_RDM!$B$6:$B$71,ROTACAO_RDM!$D$6:$D$71,$E1347,ROTACAO_RDM!$I$6:$I$71,"&lt;="&amp;$C1347+INT(DIAS_POR_SEMANA/2),ROTACAO_RDM!$J$6:$J$71,"&gt;="&amp;$C1347+INT(DIAS_POR_SEMANA/2)),0)</f>
        <v>53</v>
      </c>
      <c r="J1347" s="16" t="n">
        <f aca="false">IFERROR(MATCH($I1347,ROTACAO_RDM!$B$6:$B$71,0),0)</f>
        <v>53</v>
      </c>
      <c r="K1347" s="8" t="str">
        <f aca="false">IF($J1347=0,"SEM CULTURA",INDEX(ROTACAO_RDM!$F$6:$F$71,$J1347))</f>
        <v>TABACO</v>
      </c>
      <c r="L1347" s="8" t="str">
        <f aca="false">IF($J1347=0,"",INDEX(ROTACAO_RDM!$G$6:$G$71,$J1347))</f>
        <v>PVH-2343</v>
      </c>
      <c r="M1347" s="17" t="n">
        <f aca="false">IF($J1347=0,"",INDEX(ROTACAO_RDM!$I$6:$I$71,$J1347))</f>
        <v>46345</v>
      </c>
      <c r="N1347" s="16" t="n">
        <f aca="false">IF($J1347=0,0,MAX(0,$C1347+INT(DIAS_POR_SEMANA/2)-INDEX(ROTACAO_RDM!$I$6:$I$71,$J1347)))</f>
        <v>70</v>
      </c>
      <c r="O1347" s="19" t="n">
        <f aca="false">IF($J1347=0,0,MIN(1,$N1347/MAX(1,INDEX(ROTACAO_RDM!$K$6:$K$71,$J1347))))</f>
        <v>0.4375</v>
      </c>
      <c r="P1347" s="16" t="n">
        <f aca="false">IF($J1347=0,0,IFERROR(MATCH(INDEX(ROTACAO_RDM!$N$6:$N$71,$J1347),PARAMETROS_CULTURAS!$B$6:$B$28,0),0))</f>
        <v>9</v>
      </c>
      <c r="Q1347" s="8" t="str">
        <f aca="false">IF($P1347=0,"-",IF($O1347&lt;=INDEX(PARAMETROS_CULTURAS!$F$6:$F$28,$P1347),"INICIAL",IF($O1347&lt;=INDEX(PARAMETROS_CULTURAS!$F$6:$F$28,$P1347)+INDEX(PARAMETROS_CULTURAS!$G$6:$G$28,$P1347),"DESENVOLVIMENTO",IF($O1347&lt;=INDEX(PARAMETROS_CULTURAS!$F$6:$F$28,$P1347)+INDEX(PARAMETROS_CULTURAS!$G$6:$G$28,$P1347)+INDEX(PARAMETROS_CULTURAS!$H$6:$H$28,$P1347),"MEDIA","FINAL"))))</f>
        <v>DESENVOLVIMENTO</v>
      </c>
      <c r="R1347" s="24" t="n">
        <f aca="false">IF($P1347=0,0,IF($O1347&lt;=INDEX(PARAMETROS_CULTURAS!$F$6:$F$28,$P1347),INDEX(PARAMETROS_CULTURAS!$K$6:$K$28,$P1347),IF($O1347&lt;=INDEX(PARAMETROS_CULTURAS!$F$6:$F$28,$P1347)+INDEX(PARAMETROS_CULTURAS!$G$6:$G$28,$P1347),INDEX(PARAMETROS_CULTURAS!$K$6:$K$28,$P1347)+(INDEX(PARAMETROS_CULTURAS!$L$6:$L$28,$P1347)-INDEX(PARAMETROS_CULTURAS!$K$6:$K$28,$P1347))*($O1347-INDEX(PARAMETROS_CULTURAS!$F$6:$F$28,$P1347))/MAX(INDEX(PARAMETROS_CULTURAS!$G$6:$G$28,$P1347),0.0001),IF($O1347&lt;=INDEX(PARAMETROS_CULTURAS!$F$6:$F$28,$P1347)+INDEX(PARAMETROS_CULTURAS!$G$6:$G$28,$P1347)+INDEX(PARAMETROS_CULTURAS!$H$6:$H$28,$P1347),INDEX(PARAMETROS_CULTURAS!$L$6:$L$28,$P1347),INDEX(PARAMETROS_CULTURAS!$L$6:$L$28,$P1347)+(INDEX(PARAMETROS_CULTURAS!$M$6:$M$28,$P1347)-INDEX(PARAMETROS_CULTURAS!$L$6:$L$28,$P1347))*($O1347-INDEX(PARAMETROS_CULTURAS!$F$6:$F$28,$P1347)-INDEX(PARAMETROS_CULTURAS!$G$6:$G$28,$P1347)-INDEX(PARAMETROS_CULTURAS!$H$6:$H$28,$P1347))/MAX(INDEX(PARAMETROS_CULTURAS!$I$6:$I$28,$P1347),0.0001)))))</f>
        <v>1.06527777777778</v>
      </c>
      <c r="S1347" s="18" t="n">
        <f aca="false">IFERROR(INDEX(SEMANAS!$H$6:$H$71,MATCH($B1347,SEMANAS!$B$6:$B$71,0)),0)</f>
        <v>33.6</v>
      </c>
      <c r="T1347" s="18" t="n">
        <f aca="false">$R1347*$S1347</f>
        <v>35.7933333333333</v>
      </c>
      <c r="U1347" s="18" t="n">
        <f aca="false">IFERROR(INDEX(SEMANAS!$I$6:$I$71,MATCH($B1347,SEMANAS!$B$6:$B$71,0)),0)</f>
        <v>45.15</v>
      </c>
      <c r="V1347" s="18" t="n">
        <f aca="false">IFERROR(INDEX(SEMANAS!$J$6:$J$71,MATCH($B1347,SEMANAS!$B$6:$B$71,0)),0)</f>
        <v>36.12</v>
      </c>
      <c r="W1347" s="18" t="n">
        <f aca="false">MAX(0,$T1347-$V1347)</f>
        <v>0</v>
      </c>
      <c r="X1347" s="19" t="n">
        <f aca="false">IFERROR(INDEX(CADASTRO_PIVOS!$K$6:$K$41,MATCH($E1347,CADASTRO_PIVOS!$B$6:$B$41,0)),EFICIENCIA_PADRAO)</f>
        <v>0.85</v>
      </c>
      <c r="Y1347" s="18" t="n">
        <f aca="false">IF($X1347&lt;=0,0,$W1347/$X1347)</f>
        <v>0</v>
      </c>
      <c r="Z1347" s="16" t="n">
        <f aca="false">$Y1347*$H1347*MM_PARA_M3_HA</f>
        <v>0</v>
      </c>
      <c r="AA1347" s="18" t="n">
        <f aca="false">IFERROR(INDEX(CADASTRO_PIVOS!$I$6:$I$41,MATCH($E1347,CADASTRO_PIVOS!$B$6:$B$41,0)),0)</f>
        <v>932.933333333333</v>
      </c>
      <c r="AB1347" s="18" t="n">
        <f aca="false">IF($Z1347&lt;=0,0,$Z1347/$AA1347)</f>
        <v>0</v>
      </c>
      <c r="AC1347" s="16" t="n">
        <f aca="false">IFERROR(INDEX(SEMANAS!$K$6:$K$71,MATCH($B1347,SEMANAS!$B$6:$B$71,0)),0)</f>
        <v>147</v>
      </c>
      <c r="AD1347" s="19" t="n">
        <f aca="false">IF($AC1347&lt;=0,0,$AB1347/$AC1347)</f>
        <v>0</v>
      </c>
      <c r="AE1347" s="8" t="str">
        <f aca="false">IF($K1347="SEM CULTURA","SEM CULTURA",IF($AA1347&lt;=0,"DADO PENDENTE",IF($AD1347&gt;LIMITE_CRITICO,"INVIAVEL",IF($AD1347&gt;LIMITE_ATENCAO,"CRITICO",IF($AD1347&gt;LIMITE_CONFORTAVEL,"ATENCAO","OK")))))</f>
        <v>OK</v>
      </c>
      <c r="AF1347" s="8" t="str">
        <f aca="false">$B1347&amp;"|"&amp;TEXT($AD1347,"0.000000")</f>
        <v>22|0.000000</v>
      </c>
      <c r="AG1347" s="18" t="n">
        <f aca="false">IF($K1347="SEM CULTURA",0,$T1347*$H1347)</f>
        <v>5008.91906666667</v>
      </c>
      <c r="AH1347" s="18" t="n">
        <f aca="false">IF($K1347="SEM CULTURA",0,$V1347*$H1347)</f>
        <v>5054.6328</v>
      </c>
      <c r="AI1347" s="18" t="n">
        <f aca="false">IF($K1347="SEM CULTURA",0,$W1347*$H1347)</f>
        <v>0</v>
      </c>
      <c r="AJ1347" s="18" t="n">
        <f aca="false">IF($K1347="SEM CULTURA",0,$S1347*$H1347)</f>
        <v>4701.984</v>
      </c>
      <c r="AK1347" s="8" t="str">
        <f aca="false">$E1347&amp;"|"&amp;TEXT($AD1347,"0.000000")</f>
        <v>PV 128|0.000000</v>
      </c>
    </row>
    <row r="1348" customFormat="false" ht="15" hidden="false" customHeight="false" outlineLevel="0" collapsed="false">
      <c r="B1348" s="16" t="n">
        <v>23</v>
      </c>
      <c r="C1348" s="17" t="n">
        <f aca="false">DATA_INICIO_SAFRA+($B1348-1)*DIAS_POR_SEMANA</f>
        <v>46419</v>
      </c>
      <c r="D1348" s="17" t="n">
        <f aca="false">$C1348+DIAS_POR_SEMANA-1</f>
        <v>46425</v>
      </c>
      <c r="E1348" s="15" t="s">
        <v>279</v>
      </c>
      <c r="F1348" s="8" t="str">
        <f aca="false">IFERROR(INDEX(CADASTRO_PIVOS!$C$6:$C$41,MATCH($E1348,CADASTRO_PIVOS!$B$6:$B$41,0)),"?")</f>
        <v>RM06</v>
      </c>
      <c r="G1348" s="8" t="str">
        <f aca="false">IFERROR(INDEX(CADASTRO_PIVOS!$D$6:$D$41,MATCH($E1348,CADASTRO_PIVOS!$B$6:$B$41,0)),"?")</f>
        <v>TR06</v>
      </c>
      <c r="H1348" s="20" t="n">
        <f aca="false">IFERROR(INDEX(CADASTRO_PIVOS!$E$6:$E$41,MATCH($E1348,CADASTRO_PIVOS!$B$6:$B$41,0)),0)</f>
        <v>139.94</v>
      </c>
      <c r="I1348" s="16" t="n">
        <f aca="false">IFERROR(SUMIFS(ROTACAO_RDM!$B$6:$B$71,ROTACAO_RDM!$D$6:$D$71,$E1348,ROTACAO_RDM!$I$6:$I$71,"&lt;="&amp;$C1348+INT(DIAS_POR_SEMANA/2),ROTACAO_RDM!$J$6:$J$71,"&gt;="&amp;$C1348+INT(DIAS_POR_SEMANA/2)),0)</f>
        <v>53</v>
      </c>
      <c r="J1348" s="16" t="n">
        <f aca="false">IFERROR(MATCH($I1348,ROTACAO_RDM!$B$6:$B$71,0),0)</f>
        <v>53</v>
      </c>
      <c r="K1348" s="8" t="str">
        <f aca="false">IF($J1348=0,"SEM CULTURA",INDEX(ROTACAO_RDM!$F$6:$F$71,$J1348))</f>
        <v>TABACO</v>
      </c>
      <c r="L1348" s="8" t="str">
        <f aca="false">IF($J1348=0,"",INDEX(ROTACAO_RDM!$G$6:$G$71,$J1348))</f>
        <v>PVH-2343</v>
      </c>
      <c r="M1348" s="17" t="n">
        <f aca="false">IF($J1348=0,"",INDEX(ROTACAO_RDM!$I$6:$I$71,$J1348))</f>
        <v>46345</v>
      </c>
      <c r="N1348" s="16" t="n">
        <f aca="false">IF($J1348=0,0,MAX(0,$C1348+INT(DIAS_POR_SEMANA/2)-INDEX(ROTACAO_RDM!$I$6:$I$71,$J1348)))</f>
        <v>77</v>
      </c>
      <c r="O1348" s="19" t="n">
        <f aca="false">IF($J1348=0,0,MIN(1,$N1348/MAX(1,INDEX(ROTACAO_RDM!$K$6:$K$71,$J1348))))</f>
        <v>0.48125</v>
      </c>
      <c r="P1348" s="16" t="n">
        <f aca="false">IF($J1348=0,0,IFERROR(MATCH(INDEX(ROTACAO_RDM!$N$6:$N$71,$J1348),PARAMETROS_CULTURAS!$B$6:$B$28,0),0))</f>
        <v>9</v>
      </c>
      <c r="Q1348" s="8" t="str">
        <f aca="false">IF($P1348=0,"-",IF($O1348&lt;=INDEX(PARAMETROS_CULTURAS!$F$6:$F$28,$P1348),"INICIAL",IF($O1348&lt;=INDEX(PARAMETROS_CULTURAS!$F$6:$F$28,$P1348)+INDEX(PARAMETROS_CULTURAS!$G$6:$G$28,$P1348),"DESENVOLVIMENTO",IF($O1348&lt;=INDEX(PARAMETROS_CULTURAS!$F$6:$F$28,$P1348)+INDEX(PARAMETROS_CULTURAS!$G$6:$G$28,$P1348)+INDEX(PARAMETROS_CULTURAS!$H$6:$H$28,$P1348),"MEDIA","FINAL"))))</f>
        <v>MEDIA</v>
      </c>
      <c r="R1348" s="24" t="n">
        <f aca="false">IF($P1348=0,0,IF($O1348&lt;=INDEX(PARAMETROS_CULTURAS!$F$6:$F$28,$P1348),INDEX(PARAMETROS_CULTURAS!$K$6:$K$28,$P1348),IF($O1348&lt;=INDEX(PARAMETROS_CULTURAS!$F$6:$F$28,$P1348)+INDEX(PARAMETROS_CULTURAS!$G$6:$G$28,$P1348),INDEX(PARAMETROS_CULTURAS!$K$6:$K$28,$P1348)+(INDEX(PARAMETROS_CULTURAS!$L$6:$L$28,$P1348)-INDEX(PARAMETROS_CULTURAS!$K$6:$K$28,$P1348))*($O1348-INDEX(PARAMETROS_CULTURAS!$F$6:$F$28,$P1348))/MAX(INDEX(PARAMETROS_CULTURAS!$G$6:$G$28,$P1348),0.0001),IF($O1348&lt;=INDEX(PARAMETROS_CULTURAS!$F$6:$F$28,$P1348)+INDEX(PARAMETROS_CULTURAS!$G$6:$G$28,$P1348)+INDEX(PARAMETROS_CULTURAS!$H$6:$H$28,$P1348),INDEX(PARAMETROS_CULTURAS!$L$6:$L$28,$P1348),INDEX(PARAMETROS_CULTURAS!$L$6:$L$28,$P1348)+(INDEX(PARAMETROS_CULTURAS!$M$6:$M$28,$P1348)-INDEX(PARAMETROS_CULTURAS!$L$6:$L$28,$P1348))*($O1348-INDEX(PARAMETROS_CULTURAS!$F$6:$F$28,$P1348)-INDEX(PARAMETROS_CULTURAS!$G$6:$G$28,$P1348)-INDEX(PARAMETROS_CULTURAS!$H$6:$H$28,$P1348))/MAX(INDEX(PARAMETROS_CULTURAS!$I$6:$I$28,$P1348),0.0001)))))</f>
        <v>1.1</v>
      </c>
      <c r="S1348" s="18" t="n">
        <f aca="false">IFERROR(INDEX(SEMANAS!$H$6:$H$71,MATCH($B1348,SEMANAS!$B$6:$B$71,0)),0)</f>
        <v>32.9</v>
      </c>
      <c r="T1348" s="18" t="n">
        <f aca="false">$R1348*$S1348</f>
        <v>36.19</v>
      </c>
      <c r="U1348" s="18" t="n">
        <f aca="false">IFERROR(INDEX(SEMANAS!$I$6:$I$71,MATCH($B1348,SEMANAS!$B$6:$B$71,0)),0)</f>
        <v>39.97</v>
      </c>
      <c r="V1348" s="18" t="n">
        <f aca="false">IFERROR(INDEX(SEMANAS!$J$6:$J$71,MATCH($B1348,SEMANAS!$B$6:$B$71,0)),0)</f>
        <v>31.976</v>
      </c>
      <c r="W1348" s="18" t="n">
        <f aca="false">MAX(0,$T1348-$V1348)</f>
        <v>4.214</v>
      </c>
      <c r="X1348" s="19" t="n">
        <f aca="false">IFERROR(INDEX(CADASTRO_PIVOS!$K$6:$K$41,MATCH($E1348,CADASTRO_PIVOS!$B$6:$B$41,0)),EFICIENCIA_PADRAO)</f>
        <v>0.85</v>
      </c>
      <c r="Y1348" s="18" t="n">
        <f aca="false">IF($X1348&lt;=0,0,$W1348/$X1348)</f>
        <v>4.95764705882353</v>
      </c>
      <c r="Z1348" s="16" t="n">
        <f aca="false">$Y1348*$H1348*MM_PARA_M3_HA</f>
        <v>6937.73129411765</v>
      </c>
      <c r="AA1348" s="18" t="n">
        <f aca="false">IFERROR(INDEX(CADASTRO_PIVOS!$I$6:$I$41,MATCH($E1348,CADASTRO_PIVOS!$B$6:$B$41,0)),0)</f>
        <v>932.933333333333</v>
      </c>
      <c r="AB1348" s="18" t="n">
        <f aca="false">IF($Z1348&lt;=0,0,$Z1348/$AA1348)</f>
        <v>7.4364705882353</v>
      </c>
      <c r="AC1348" s="16" t="n">
        <f aca="false">IFERROR(INDEX(SEMANAS!$K$6:$K$71,MATCH($B1348,SEMANAS!$B$6:$B$71,0)),0)</f>
        <v>147</v>
      </c>
      <c r="AD1348" s="19" t="n">
        <f aca="false">IF($AC1348&lt;=0,0,$AB1348/$AC1348)</f>
        <v>0.0505882352941177</v>
      </c>
      <c r="AE1348" s="8" t="str">
        <f aca="false">IF($K1348="SEM CULTURA","SEM CULTURA",IF($AA1348&lt;=0,"DADO PENDENTE",IF($AD1348&gt;LIMITE_CRITICO,"INVIAVEL",IF($AD1348&gt;LIMITE_ATENCAO,"CRITICO",IF($AD1348&gt;LIMITE_CONFORTAVEL,"ATENCAO","OK")))))</f>
        <v>OK</v>
      </c>
      <c r="AF1348" s="8" t="str">
        <f aca="false">$B1348&amp;"|"&amp;TEXT($AD1348,"0.000000")</f>
        <v>23|0.050588</v>
      </c>
      <c r="AG1348" s="18" t="n">
        <f aca="false">IF($K1348="SEM CULTURA",0,$T1348*$H1348)</f>
        <v>5064.4286</v>
      </c>
      <c r="AH1348" s="18" t="n">
        <f aca="false">IF($K1348="SEM CULTURA",0,$V1348*$H1348)</f>
        <v>4474.72144</v>
      </c>
      <c r="AI1348" s="18" t="n">
        <f aca="false">IF($K1348="SEM CULTURA",0,$W1348*$H1348)</f>
        <v>589.70716</v>
      </c>
      <c r="AJ1348" s="18" t="n">
        <f aca="false">IF($K1348="SEM CULTURA",0,$S1348*$H1348)</f>
        <v>4604.026</v>
      </c>
      <c r="AK1348" s="8" t="str">
        <f aca="false">$E1348&amp;"|"&amp;TEXT($AD1348,"0.000000")</f>
        <v>PV 128|0.050588</v>
      </c>
    </row>
    <row r="1349" customFormat="false" ht="15" hidden="false" customHeight="false" outlineLevel="0" collapsed="false">
      <c r="B1349" s="16" t="n">
        <v>24</v>
      </c>
      <c r="C1349" s="17" t="n">
        <f aca="false">DATA_INICIO_SAFRA+($B1349-1)*DIAS_POR_SEMANA</f>
        <v>46426</v>
      </c>
      <c r="D1349" s="17" t="n">
        <f aca="false">$C1349+DIAS_POR_SEMANA-1</f>
        <v>46432</v>
      </c>
      <c r="E1349" s="15" t="s">
        <v>279</v>
      </c>
      <c r="F1349" s="8" t="str">
        <f aca="false">IFERROR(INDEX(CADASTRO_PIVOS!$C$6:$C$41,MATCH($E1349,CADASTRO_PIVOS!$B$6:$B$41,0)),"?")</f>
        <v>RM06</v>
      </c>
      <c r="G1349" s="8" t="str">
        <f aca="false">IFERROR(INDEX(CADASTRO_PIVOS!$D$6:$D$41,MATCH($E1349,CADASTRO_PIVOS!$B$6:$B$41,0)),"?")</f>
        <v>TR06</v>
      </c>
      <c r="H1349" s="20" t="n">
        <f aca="false">IFERROR(INDEX(CADASTRO_PIVOS!$E$6:$E$41,MATCH($E1349,CADASTRO_PIVOS!$B$6:$B$41,0)),0)</f>
        <v>139.94</v>
      </c>
      <c r="I1349" s="16" t="n">
        <f aca="false">IFERROR(SUMIFS(ROTACAO_RDM!$B$6:$B$71,ROTACAO_RDM!$D$6:$D$71,$E1349,ROTACAO_RDM!$I$6:$I$71,"&lt;="&amp;$C1349+INT(DIAS_POR_SEMANA/2),ROTACAO_RDM!$J$6:$J$71,"&gt;="&amp;$C1349+INT(DIAS_POR_SEMANA/2)),0)</f>
        <v>53</v>
      </c>
      <c r="J1349" s="16" t="n">
        <f aca="false">IFERROR(MATCH($I1349,ROTACAO_RDM!$B$6:$B$71,0),0)</f>
        <v>53</v>
      </c>
      <c r="K1349" s="8" t="str">
        <f aca="false">IF($J1349=0,"SEM CULTURA",INDEX(ROTACAO_RDM!$F$6:$F$71,$J1349))</f>
        <v>TABACO</v>
      </c>
      <c r="L1349" s="8" t="str">
        <f aca="false">IF($J1349=0,"",INDEX(ROTACAO_RDM!$G$6:$G$71,$J1349))</f>
        <v>PVH-2343</v>
      </c>
      <c r="M1349" s="17" t="n">
        <f aca="false">IF($J1349=0,"",INDEX(ROTACAO_RDM!$I$6:$I$71,$J1349))</f>
        <v>46345</v>
      </c>
      <c r="N1349" s="16" t="n">
        <f aca="false">IF($J1349=0,0,MAX(0,$C1349+INT(DIAS_POR_SEMANA/2)-INDEX(ROTACAO_RDM!$I$6:$I$71,$J1349)))</f>
        <v>84</v>
      </c>
      <c r="O1349" s="19" t="n">
        <f aca="false">IF($J1349=0,0,MIN(1,$N1349/MAX(1,INDEX(ROTACAO_RDM!$K$6:$K$71,$J1349))))</f>
        <v>0.525</v>
      </c>
      <c r="P1349" s="16" t="n">
        <f aca="false">IF($J1349=0,0,IFERROR(MATCH(INDEX(ROTACAO_RDM!$N$6:$N$71,$J1349),PARAMETROS_CULTURAS!$B$6:$B$28,0),0))</f>
        <v>9</v>
      </c>
      <c r="Q1349" s="8" t="str">
        <f aca="false">IF($P1349=0,"-",IF($O1349&lt;=INDEX(PARAMETROS_CULTURAS!$F$6:$F$28,$P1349),"INICIAL",IF($O1349&lt;=INDEX(PARAMETROS_CULTURAS!$F$6:$F$28,$P1349)+INDEX(PARAMETROS_CULTURAS!$G$6:$G$28,$P1349),"DESENVOLVIMENTO",IF($O1349&lt;=INDEX(PARAMETROS_CULTURAS!$F$6:$F$28,$P1349)+INDEX(PARAMETROS_CULTURAS!$G$6:$G$28,$P1349)+INDEX(PARAMETROS_CULTURAS!$H$6:$H$28,$P1349),"MEDIA","FINAL"))))</f>
        <v>MEDIA</v>
      </c>
      <c r="R1349" s="24" t="n">
        <f aca="false">IF($P1349=0,0,IF($O1349&lt;=INDEX(PARAMETROS_CULTURAS!$F$6:$F$28,$P1349),INDEX(PARAMETROS_CULTURAS!$K$6:$K$28,$P1349),IF($O1349&lt;=INDEX(PARAMETROS_CULTURAS!$F$6:$F$28,$P1349)+INDEX(PARAMETROS_CULTURAS!$G$6:$G$28,$P1349),INDEX(PARAMETROS_CULTURAS!$K$6:$K$28,$P1349)+(INDEX(PARAMETROS_CULTURAS!$L$6:$L$28,$P1349)-INDEX(PARAMETROS_CULTURAS!$K$6:$K$28,$P1349))*($O1349-INDEX(PARAMETROS_CULTURAS!$F$6:$F$28,$P1349))/MAX(INDEX(PARAMETROS_CULTURAS!$G$6:$G$28,$P1349),0.0001),IF($O1349&lt;=INDEX(PARAMETROS_CULTURAS!$F$6:$F$28,$P1349)+INDEX(PARAMETROS_CULTURAS!$G$6:$G$28,$P1349)+INDEX(PARAMETROS_CULTURAS!$H$6:$H$28,$P1349),INDEX(PARAMETROS_CULTURAS!$L$6:$L$28,$P1349),INDEX(PARAMETROS_CULTURAS!$L$6:$L$28,$P1349)+(INDEX(PARAMETROS_CULTURAS!$M$6:$M$28,$P1349)-INDEX(PARAMETROS_CULTURAS!$L$6:$L$28,$P1349))*($O1349-INDEX(PARAMETROS_CULTURAS!$F$6:$F$28,$P1349)-INDEX(PARAMETROS_CULTURAS!$G$6:$G$28,$P1349)-INDEX(PARAMETROS_CULTURAS!$H$6:$H$28,$P1349))/MAX(INDEX(PARAMETROS_CULTURAS!$I$6:$I$28,$P1349),0.0001)))))</f>
        <v>1.1</v>
      </c>
      <c r="S1349" s="18" t="n">
        <f aca="false">IFERROR(INDEX(SEMANAS!$H$6:$H$71,MATCH($B1349,SEMANAS!$B$6:$B$71,0)),0)</f>
        <v>32.9</v>
      </c>
      <c r="T1349" s="18" t="n">
        <f aca="false">$R1349*$S1349</f>
        <v>36.19</v>
      </c>
      <c r="U1349" s="18" t="n">
        <f aca="false">IFERROR(INDEX(SEMANAS!$I$6:$I$71,MATCH($B1349,SEMANAS!$B$6:$B$71,0)),0)</f>
        <v>39.97</v>
      </c>
      <c r="V1349" s="18" t="n">
        <f aca="false">IFERROR(INDEX(SEMANAS!$J$6:$J$71,MATCH($B1349,SEMANAS!$B$6:$B$71,0)),0)</f>
        <v>31.976</v>
      </c>
      <c r="W1349" s="18" t="n">
        <f aca="false">MAX(0,$T1349-$V1349)</f>
        <v>4.214</v>
      </c>
      <c r="X1349" s="19" t="n">
        <f aca="false">IFERROR(INDEX(CADASTRO_PIVOS!$K$6:$K$41,MATCH($E1349,CADASTRO_PIVOS!$B$6:$B$41,0)),EFICIENCIA_PADRAO)</f>
        <v>0.85</v>
      </c>
      <c r="Y1349" s="18" t="n">
        <f aca="false">IF($X1349&lt;=0,0,$W1349/$X1349)</f>
        <v>4.95764705882353</v>
      </c>
      <c r="Z1349" s="16" t="n">
        <f aca="false">$Y1349*$H1349*MM_PARA_M3_HA</f>
        <v>6937.73129411765</v>
      </c>
      <c r="AA1349" s="18" t="n">
        <f aca="false">IFERROR(INDEX(CADASTRO_PIVOS!$I$6:$I$41,MATCH($E1349,CADASTRO_PIVOS!$B$6:$B$41,0)),0)</f>
        <v>932.933333333333</v>
      </c>
      <c r="AB1349" s="18" t="n">
        <f aca="false">IF($Z1349&lt;=0,0,$Z1349/$AA1349)</f>
        <v>7.4364705882353</v>
      </c>
      <c r="AC1349" s="16" t="n">
        <f aca="false">IFERROR(INDEX(SEMANAS!$K$6:$K$71,MATCH($B1349,SEMANAS!$B$6:$B$71,0)),0)</f>
        <v>147</v>
      </c>
      <c r="AD1349" s="19" t="n">
        <f aca="false">IF($AC1349&lt;=0,0,$AB1349/$AC1349)</f>
        <v>0.0505882352941177</v>
      </c>
      <c r="AE1349" s="8" t="str">
        <f aca="false">IF($K1349="SEM CULTURA","SEM CULTURA",IF($AA1349&lt;=0,"DADO PENDENTE",IF($AD1349&gt;LIMITE_CRITICO,"INVIAVEL",IF($AD1349&gt;LIMITE_ATENCAO,"CRITICO",IF($AD1349&gt;LIMITE_CONFORTAVEL,"ATENCAO","OK")))))</f>
        <v>OK</v>
      </c>
      <c r="AF1349" s="8" t="str">
        <f aca="false">$B1349&amp;"|"&amp;TEXT($AD1349,"0.000000")</f>
        <v>24|0.050588</v>
      </c>
      <c r="AG1349" s="18" t="n">
        <f aca="false">IF($K1349="SEM CULTURA",0,$T1349*$H1349)</f>
        <v>5064.4286</v>
      </c>
      <c r="AH1349" s="18" t="n">
        <f aca="false">IF($K1349="SEM CULTURA",0,$V1349*$H1349)</f>
        <v>4474.72144</v>
      </c>
      <c r="AI1349" s="18" t="n">
        <f aca="false">IF($K1349="SEM CULTURA",0,$W1349*$H1349)</f>
        <v>589.70716</v>
      </c>
      <c r="AJ1349" s="18" t="n">
        <f aca="false">IF($K1349="SEM CULTURA",0,$S1349*$H1349)</f>
        <v>4604.026</v>
      </c>
      <c r="AK1349" s="8" t="str">
        <f aca="false">$E1349&amp;"|"&amp;TEXT($AD1349,"0.000000")</f>
        <v>PV 128|0.050588</v>
      </c>
    </row>
    <row r="1350" customFormat="false" ht="15" hidden="false" customHeight="false" outlineLevel="0" collapsed="false">
      <c r="B1350" s="16" t="n">
        <v>25</v>
      </c>
      <c r="C1350" s="17" t="n">
        <f aca="false">DATA_INICIO_SAFRA+($B1350-1)*DIAS_POR_SEMANA</f>
        <v>46433</v>
      </c>
      <c r="D1350" s="17" t="n">
        <f aca="false">$C1350+DIAS_POR_SEMANA-1</f>
        <v>46439</v>
      </c>
      <c r="E1350" s="15" t="s">
        <v>279</v>
      </c>
      <c r="F1350" s="8" t="str">
        <f aca="false">IFERROR(INDEX(CADASTRO_PIVOS!$C$6:$C$41,MATCH($E1350,CADASTRO_PIVOS!$B$6:$B$41,0)),"?")</f>
        <v>RM06</v>
      </c>
      <c r="G1350" s="8" t="str">
        <f aca="false">IFERROR(INDEX(CADASTRO_PIVOS!$D$6:$D$41,MATCH($E1350,CADASTRO_PIVOS!$B$6:$B$41,0)),"?")</f>
        <v>TR06</v>
      </c>
      <c r="H1350" s="20" t="n">
        <f aca="false">IFERROR(INDEX(CADASTRO_PIVOS!$E$6:$E$41,MATCH($E1350,CADASTRO_PIVOS!$B$6:$B$41,0)),0)</f>
        <v>139.94</v>
      </c>
      <c r="I1350" s="16" t="n">
        <f aca="false">IFERROR(SUMIFS(ROTACAO_RDM!$B$6:$B$71,ROTACAO_RDM!$D$6:$D$71,$E1350,ROTACAO_RDM!$I$6:$I$71,"&lt;="&amp;$C1350+INT(DIAS_POR_SEMANA/2),ROTACAO_RDM!$J$6:$J$71,"&gt;="&amp;$C1350+INT(DIAS_POR_SEMANA/2)),0)</f>
        <v>53</v>
      </c>
      <c r="J1350" s="16" t="n">
        <f aca="false">IFERROR(MATCH($I1350,ROTACAO_RDM!$B$6:$B$71,0),0)</f>
        <v>53</v>
      </c>
      <c r="K1350" s="8" t="str">
        <f aca="false">IF($J1350=0,"SEM CULTURA",INDEX(ROTACAO_RDM!$F$6:$F$71,$J1350))</f>
        <v>TABACO</v>
      </c>
      <c r="L1350" s="8" t="str">
        <f aca="false">IF($J1350=0,"",INDEX(ROTACAO_RDM!$G$6:$G$71,$J1350))</f>
        <v>PVH-2343</v>
      </c>
      <c r="M1350" s="17" t="n">
        <f aca="false">IF($J1350=0,"",INDEX(ROTACAO_RDM!$I$6:$I$71,$J1350))</f>
        <v>46345</v>
      </c>
      <c r="N1350" s="16" t="n">
        <f aca="false">IF($J1350=0,0,MAX(0,$C1350+INT(DIAS_POR_SEMANA/2)-INDEX(ROTACAO_RDM!$I$6:$I$71,$J1350)))</f>
        <v>91</v>
      </c>
      <c r="O1350" s="19" t="n">
        <f aca="false">IF($J1350=0,0,MIN(1,$N1350/MAX(1,INDEX(ROTACAO_RDM!$K$6:$K$71,$J1350))))</f>
        <v>0.56875</v>
      </c>
      <c r="P1350" s="16" t="n">
        <f aca="false">IF($J1350=0,0,IFERROR(MATCH(INDEX(ROTACAO_RDM!$N$6:$N$71,$J1350),PARAMETROS_CULTURAS!$B$6:$B$28,0),0))</f>
        <v>9</v>
      </c>
      <c r="Q1350" s="8" t="str">
        <f aca="false">IF($P1350=0,"-",IF($O1350&lt;=INDEX(PARAMETROS_CULTURAS!$F$6:$F$28,$P1350),"INICIAL",IF($O1350&lt;=INDEX(PARAMETROS_CULTURAS!$F$6:$F$28,$P1350)+INDEX(PARAMETROS_CULTURAS!$G$6:$G$28,$P1350),"DESENVOLVIMENTO",IF($O1350&lt;=INDEX(PARAMETROS_CULTURAS!$F$6:$F$28,$P1350)+INDEX(PARAMETROS_CULTURAS!$G$6:$G$28,$P1350)+INDEX(PARAMETROS_CULTURAS!$H$6:$H$28,$P1350),"MEDIA","FINAL"))))</f>
        <v>MEDIA</v>
      </c>
      <c r="R1350" s="24" t="n">
        <f aca="false">IF($P1350=0,0,IF($O1350&lt;=INDEX(PARAMETROS_CULTURAS!$F$6:$F$28,$P1350),INDEX(PARAMETROS_CULTURAS!$K$6:$K$28,$P1350),IF($O1350&lt;=INDEX(PARAMETROS_CULTURAS!$F$6:$F$28,$P1350)+INDEX(PARAMETROS_CULTURAS!$G$6:$G$28,$P1350),INDEX(PARAMETROS_CULTURAS!$K$6:$K$28,$P1350)+(INDEX(PARAMETROS_CULTURAS!$L$6:$L$28,$P1350)-INDEX(PARAMETROS_CULTURAS!$K$6:$K$28,$P1350))*($O1350-INDEX(PARAMETROS_CULTURAS!$F$6:$F$28,$P1350))/MAX(INDEX(PARAMETROS_CULTURAS!$G$6:$G$28,$P1350),0.0001),IF($O1350&lt;=INDEX(PARAMETROS_CULTURAS!$F$6:$F$28,$P1350)+INDEX(PARAMETROS_CULTURAS!$G$6:$G$28,$P1350)+INDEX(PARAMETROS_CULTURAS!$H$6:$H$28,$P1350),INDEX(PARAMETROS_CULTURAS!$L$6:$L$28,$P1350),INDEX(PARAMETROS_CULTURAS!$L$6:$L$28,$P1350)+(INDEX(PARAMETROS_CULTURAS!$M$6:$M$28,$P1350)-INDEX(PARAMETROS_CULTURAS!$L$6:$L$28,$P1350))*($O1350-INDEX(PARAMETROS_CULTURAS!$F$6:$F$28,$P1350)-INDEX(PARAMETROS_CULTURAS!$G$6:$G$28,$P1350)-INDEX(PARAMETROS_CULTURAS!$H$6:$H$28,$P1350))/MAX(INDEX(PARAMETROS_CULTURAS!$I$6:$I$28,$P1350),0.0001)))))</f>
        <v>1.1</v>
      </c>
      <c r="S1350" s="18" t="n">
        <f aca="false">IFERROR(INDEX(SEMANAS!$H$6:$H$71,MATCH($B1350,SEMANAS!$B$6:$B$71,0)),0)</f>
        <v>32.9</v>
      </c>
      <c r="T1350" s="18" t="n">
        <f aca="false">$R1350*$S1350</f>
        <v>36.19</v>
      </c>
      <c r="U1350" s="18" t="n">
        <f aca="false">IFERROR(INDEX(SEMANAS!$I$6:$I$71,MATCH($B1350,SEMANAS!$B$6:$B$71,0)),0)</f>
        <v>39.97</v>
      </c>
      <c r="V1350" s="18" t="n">
        <f aca="false">IFERROR(INDEX(SEMANAS!$J$6:$J$71,MATCH($B1350,SEMANAS!$B$6:$B$71,0)),0)</f>
        <v>31.976</v>
      </c>
      <c r="W1350" s="18" t="n">
        <f aca="false">MAX(0,$T1350-$V1350)</f>
        <v>4.214</v>
      </c>
      <c r="X1350" s="19" t="n">
        <f aca="false">IFERROR(INDEX(CADASTRO_PIVOS!$K$6:$K$41,MATCH($E1350,CADASTRO_PIVOS!$B$6:$B$41,0)),EFICIENCIA_PADRAO)</f>
        <v>0.85</v>
      </c>
      <c r="Y1350" s="18" t="n">
        <f aca="false">IF($X1350&lt;=0,0,$W1350/$X1350)</f>
        <v>4.95764705882353</v>
      </c>
      <c r="Z1350" s="16" t="n">
        <f aca="false">$Y1350*$H1350*MM_PARA_M3_HA</f>
        <v>6937.73129411765</v>
      </c>
      <c r="AA1350" s="18" t="n">
        <f aca="false">IFERROR(INDEX(CADASTRO_PIVOS!$I$6:$I$41,MATCH($E1350,CADASTRO_PIVOS!$B$6:$B$41,0)),0)</f>
        <v>932.933333333333</v>
      </c>
      <c r="AB1350" s="18" t="n">
        <f aca="false">IF($Z1350&lt;=0,0,$Z1350/$AA1350)</f>
        <v>7.4364705882353</v>
      </c>
      <c r="AC1350" s="16" t="n">
        <f aca="false">IFERROR(INDEX(SEMANAS!$K$6:$K$71,MATCH($B1350,SEMANAS!$B$6:$B$71,0)),0)</f>
        <v>147</v>
      </c>
      <c r="AD1350" s="19" t="n">
        <f aca="false">IF($AC1350&lt;=0,0,$AB1350/$AC1350)</f>
        <v>0.0505882352941177</v>
      </c>
      <c r="AE1350" s="8" t="str">
        <f aca="false">IF($K1350="SEM CULTURA","SEM CULTURA",IF($AA1350&lt;=0,"DADO PENDENTE",IF($AD1350&gt;LIMITE_CRITICO,"INVIAVEL",IF($AD1350&gt;LIMITE_ATENCAO,"CRITICO",IF($AD1350&gt;LIMITE_CONFORTAVEL,"ATENCAO","OK")))))</f>
        <v>OK</v>
      </c>
      <c r="AF1350" s="8" t="str">
        <f aca="false">$B1350&amp;"|"&amp;TEXT($AD1350,"0.000000")</f>
        <v>25|0.050588</v>
      </c>
      <c r="AG1350" s="18" t="n">
        <f aca="false">IF($K1350="SEM CULTURA",0,$T1350*$H1350)</f>
        <v>5064.4286</v>
      </c>
      <c r="AH1350" s="18" t="n">
        <f aca="false">IF($K1350="SEM CULTURA",0,$V1350*$H1350)</f>
        <v>4474.72144</v>
      </c>
      <c r="AI1350" s="18" t="n">
        <f aca="false">IF($K1350="SEM CULTURA",0,$W1350*$H1350)</f>
        <v>589.70716</v>
      </c>
      <c r="AJ1350" s="18" t="n">
        <f aca="false">IF($K1350="SEM CULTURA",0,$S1350*$H1350)</f>
        <v>4604.026</v>
      </c>
      <c r="AK1350" s="8" t="str">
        <f aca="false">$E1350&amp;"|"&amp;TEXT($AD1350,"0.000000")</f>
        <v>PV 128|0.050588</v>
      </c>
    </row>
    <row r="1351" customFormat="false" ht="15" hidden="false" customHeight="false" outlineLevel="0" collapsed="false">
      <c r="B1351" s="16" t="n">
        <v>26</v>
      </c>
      <c r="C1351" s="17" t="n">
        <f aca="false">DATA_INICIO_SAFRA+($B1351-1)*DIAS_POR_SEMANA</f>
        <v>46440</v>
      </c>
      <c r="D1351" s="17" t="n">
        <f aca="false">$C1351+DIAS_POR_SEMANA-1</f>
        <v>46446</v>
      </c>
      <c r="E1351" s="15" t="s">
        <v>279</v>
      </c>
      <c r="F1351" s="8" t="str">
        <f aca="false">IFERROR(INDEX(CADASTRO_PIVOS!$C$6:$C$41,MATCH($E1351,CADASTRO_PIVOS!$B$6:$B$41,0)),"?")</f>
        <v>RM06</v>
      </c>
      <c r="G1351" s="8" t="str">
        <f aca="false">IFERROR(INDEX(CADASTRO_PIVOS!$D$6:$D$41,MATCH($E1351,CADASTRO_PIVOS!$B$6:$B$41,0)),"?")</f>
        <v>TR06</v>
      </c>
      <c r="H1351" s="20" t="n">
        <f aca="false">IFERROR(INDEX(CADASTRO_PIVOS!$E$6:$E$41,MATCH($E1351,CADASTRO_PIVOS!$B$6:$B$41,0)),0)</f>
        <v>139.94</v>
      </c>
      <c r="I1351" s="16" t="n">
        <f aca="false">IFERROR(SUMIFS(ROTACAO_RDM!$B$6:$B$71,ROTACAO_RDM!$D$6:$D$71,$E1351,ROTACAO_RDM!$I$6:$I$71,"&lt;="&amp;$C1351+INT(DIAS_POR_SEMANA/2),ROTACAO_RDM!$J$6:$J$71,"&gt;="&amp;$C1351+INT(DIAS_POR_SEMANA/2)),0)</f>
        <v>53</v>
      </c>
      <c r="J1351" s="16" t="n">
        <f aca="false">IFERROR(MATCH($I1351,ROTACAO_RDM!$B$6:$B$71,0),0)</f>
        <v>53</v>
      </c>
      <c r="K1351" s="8" t="str">
        <f aca="false">IF($J1351=0,"SEM CULTURA",INDEX(ROTACAO_RDM!$F$6:$F$71,$J1351))</f>
        <v>TABACO</v>
      </c>
      <c r="L1351" s="8" t="str">
        <f aca="false">IF($J1351=0,"",INDEX(ROTACAO_RDM!$G$6:$G$71,$J1351))</f>
        <v>PVH-2343</v>
      </c>
      <c r="M1351" s="17" t="n">
        <f aca="false">IF($J1351=0,"",INDEX(ROTACAO_RDM!$I$6:$I$71,$J1351))</f>
        <v>46345</v>
      </c>
      <c r="N1351" s="16" t="n">
        <f aca="false">IF($J1351=0,0,MAX(0,$C1351+INT(DIAS_POR_SEMANA/2)-INDEX(ROTACAO_RDM!$I$6:$I$71,$J1351)))</f>
        <v>98</v>
      </c>
      <c r="O1351" s="19" t="n">
        <f aca="false">IF($J1351=0,0,MIN(1,$N1351/MAX(1,INDEX(ROTACAO_RDM!$K$6:$K$71,$J1351))))</f>
        <v>0.6125</v>
      </c>
      <c r="P1351" s="16" t="n">
        <f aca="false">IF($J1351=0,0,IFERROR(MATCH(INDEX(ROTACAO_RDM!$N$6:$N$71,$J1351),PARAMETROS_CULTURAS!$B$6:$B$28,0),0))</f>
        <v>9</v>
      </c>
      <c r="Q1351" s="8" t="str">
        <f aca="false">IF($P1351=0,"-",IF($O1351&lt;=INDEX(PARAMETROS_CULTURAS!$F$6:$F$28,$P1351),"INICIAL",IF($O1351&lt;=INDEX(PARAMETROS_CULTURAS!$F$6:$F$28,$P1351)+INDEX(PARAMETROS_CULTURAS!$G$6:$G$28,$P1351),"DESENVOLVIMENTO",IF($O1351&lt;=INDEX(PARAMETROS_CULTURAS!$F$6:$F$28,$P1351)+INDEX(PARAMETROS_CULTURAS!$G$6:$G$28,$P1351)+INDEX(PARAMETROS_CULTURAS!$H$6:$H$28,$P1351),"MEDIA","FINAL"))))</f>
        <v>MEDIA</v>
      </c>
      <c r="R1351" s="24" t="n">
        <f aca="false">IF($P1351=0,0,IF($O1351&lt;=INDEX(PARAMETROS_CULTURAS!$F$6:$F$28,$P1351),INDEX(PARAMETROS_CULTURAS!$K$6:$K$28,$P1351),IF($O1351&lt;=INDEX(PARAMETROS_CULTURAS!$F$6:$F$28,$P1351)+INDEX(PARAMETROS_CULTURAS!$G$6:$G$28,$P1351),INDEX(PARAMETROS_CULTURAS!$K$6:$K$28,$P1351)+(INDEX(PARAMETROS_CULTURAS!$L$6:$L$28,$P1351)-INDEX(PARAMETROS_CULTURAS!$K$6:$K$28,$P1351))*($O1351-INDEX(PARAMETROS_CULTURAS!$F$6:$F$28,$P1351))/MAX(INDEX(PARAMETROS_CULTURAS!$G$6:$G$28,$P1351),0.0001),IF($O1351&lt;=INDEX(PARAMETROS_CULTURAS!$F$6:$F$28,$P1351)+INDEX(PARAMETROS_CULTURAS!$G$6:$G$28,$P1351)+INDEX(PARAMETROS_CULTURAS!$H$6:$H$28,$P1351),INDEX(PARAMETROS_CULTURAS!$L$6:$L$28,$P1351),INDEX(PARAMETROS_CULTURAS!$L$6:$L$28,$P1351)+(INDEX(PARAMETROS_CULTURAS!$M$6:$M$28,$P1351)-INDEX(PARAMETROS_CULTURAS!$L$6:$L$28,$P1351))*($O1351-INDEX(PARAMETROS_CULTURAS!$F$6:$F$28,$P1351)-INDEX(PARAMETROS_CULTURAS!$G$6:$G$28,$P1351)-INDEX(PARAMETROS_CULTURAS!$H$6:$H$28,$P1351))/MAX(INDEX(PARAMETROS_CULTURAS!$I$6:$I$28,$P1351),0.0001)))))</f>
        <v>1.1</v>
      </c>
      <c r="S1351" s="18" t="n">
        <f aca="false">IFERROR(INDEX(SEMANAS!$H$6:$H$71,MATCH($B1351,SEMANAS!$B$6:$B$71,0)),0)</f>
        <v>32.9</v>
      </c>
      <c r="T1351" s="18" t="n">
        <f aca="false">$R1351*$S1351</f>
        <v>36.19</v>
      </c>
      <c r="U1351" s="18" t="n">
        <f aca="false">IFERROR(INDEX(SEMANAS!$I$6:$I$71,MATCH($B1351,SEMANAS!$B$6:$B$71,0)),0)</f>
        <v>39.97</v>
      </c>
      <c r="V1351" s="18" t="n">
        <f aca="false">IFERROR(INDEX(SEMANAS!$J$6:$J$71,MATCH($B1351,SEMANAS!$B$6:$B$71,0)),0)</f>
        <v>31.976</v>
      </c>
      <c r="W1351" s="18" t="n">
        <f aca="false">MAX(0,$T1351-$V1351)</f>
        <v>4.214</v>
      </c>
      <c r="X1351" s="19" t="n">
        <f aca="false">IFERROR(INDEX(CADASTRO_PIVOS!$K$6:$K$41,MATCH($E1351,CADASTRO_PIVOS!$B$6:$B$41,0)),EFICIENCIA_PADRAO)</f>
        <v>0.85</v>
      </c>
      <c r="Y1351" s="18" t="n">
        <f aca="false">IF($X1351&lt;=0,0,$W1351/$X1351)</f>
        <v>4.95764705882353</v>
      </c>
      <c r="Z1351" s="16" t="n">
        <f aca="false">$Y1351*$H1351*MM_PARA_M3_HA</f>
        <v>6937.73129411765</v>
      </c>
      <c r="AA1351" s="18" t="n">
        <f aca="false">IFERROR(INDEX(CADASTRO_PIVOS!$I$6:$I$41,MATCH($E1351,CADASTRO_PIVOS!$B$6:$B$41,0)),0)</f>
        <v>932.933333333333</v>
      </c>
      <c r="AB1351" s="18" t="n">
        <f aca="false">IF($Z1351&lt;=0,0,$Z1351/$AA1351)</f>
        <v>7.4364705882353</v>
      </c>
      <c r="AC1351" s="16" t="n">
        <f aca="false">IFERROR(INDEX(SEMANAS!$K$6:$K$71,MATCH($B1351,SEMANAS!$B$6:$B$71,0)),0)</f>
        <v>147</v>
      </c>
      <c r="AD1351" s="19" t="n">
        <f aca="false">IF($AC1351&lt;=0,0,$AB1351/$AC1351)</f>
        <v>0.0505882352941177</v>
      </c>
      <c r="AE1351" s="8" t="str">
        <f aca="false">IF($K1351="SEM CULTURA","SEM CULTURA",IF($AA1351&lt;=0,"DADO PENDENTE",IF($AD1351&gt;LIMITE_CRITICO,"INVIAVEL",IF($AD1351&gt;LIMITE_ATENCAO,"CRITICO",IF($AD1351&gt;LIMITE_CONFORTAVEL,"ATENCAO","OK")))))</f>
        <v>OK</v>
      </c>
      <c r="AF1351" s="8" t="str">
        <f aca="false">$B1351&amp;"|"&amp;TEXT($AD1351,"0.000000")</f>
        <v>26|0.050588</v>
      </c>
      <c r="AG1351" s="18" t="n">
        <f aca="false">IF($K1351="SEM CULTURA",0,$T1351*$H1351)</f>
        <v>5064.4286</v>
      </c>
      <c r="AH1351" s="18" t="n">
        <f aca="false">IF($K1351="SEM CULTURA",0,$V1351*$H1351)</f>
        <v>4474.72144</v>
      </c>
      <c r="AI1351" s="18" t="n">
        <f aca="false">IF($K1351="SEM CULTURA",0,$W1351*$H1351)</f>
        <v>589.70716</v>
      </c>
      <c r="AJ1351" s="18" t="n">
        <f aca="false">IF($K1351="SEM CULTURA",0,$S1351*$H1351)</f>
        <v>4604.026</v>
      </c>
      <c r="AK1351" s="8" t="str">
        <f aca="false">$E1351&amp;"|"&amp;TEXT($AD1351,"0.000000")</f>
        <v>PV 128|0.050588</v>
      </c>
    </row>
    <row r="1352" customFormat="false" ht="15" hidden="false" customHeight="false" outlineLevel="0" collapsed="false">
      <c r="B1352" s="16" t="n">
        <v>27</v>
      </c>
      <c r="C1352" s="17" t="n">
        <f aca="false">DATA_INICIO_SAFRA+($B1352-1)*DIAS_POR_SEMANA</f>
        <v>46447</v>
      </c>
      <c r="D1352" s="17" t="n">
        <f aca="false">$C1352+DIAS_POR_SEMANA-1</f>
        <v>46453</v>
      </c>
      <c r="E1352" s="15" t="s">
        <v>279</v>
      </c>
      <c r="F1352" s="8" t="str">
        <f aca="false">IFERROR(INDEX(CADASTRO_PIVOS!$C$6:$C$41,MATCH($E1352,CADASTRO_PIVOS!$B$6:$B$41,0)),"?")</f>
        <v>RM06</v>
      </c>
      <c r="G1352" s="8" t="str">
        <f aca="false">IFERROR(INDEX(CADASTRO_PIVOS!$D$6:$D$41,MATCH($E1352,CADASTRO_PIVOS!$B$6:$B$41,0)),"?")</f>
        <v>TR06</v>
      </c>
      <c r="H1352" s="20" t="n">
        <f aca="false">IFERROR(INDEX(CADASTRO_PIVOS!$E$6:$E$41,MATCH($E1352,CADASTRO_PIVOS!$B$6:$B$41,0)),0)</f>
        <v>139.94</v>
      </c>
      <c r="I1352" s="16" t="n">
        <f aca="false">IFERROR(SUMIFS(ROTACAO_RDM!$B$6:$B$71,ROTACAO_RDM!$D$6:$D$71,$E1352,ROTACAO_RDM!$I$6:$I$71,"&lt;="&amp;$C1352+INT(DIAS_POR_SEMANA/2),ROTACAO_RDM!$J$6:$J$71,"&gt;="&amp;$C1352+INT(DIAS_POR_SEMANA/2)),0)</f>
        <v>53</v>
      </c>
      <c r="J1352" s="16" t="n">
        <f aca="false">IFERROR(MATCH($I1352,ROTACAO_RDM!$B$6:$B$71,0),0)</f>
        <v>53</v>
      </c>
      <c r="K1352" s="8" t="str">
        <f aca="false">IF($J1352=0,"SEM CULTURA",INDEX(ROTACAO_RDM!$F$6:$F$71,$J1352))</f>
        <v>TABACO</v>
      </c>
      <c r="L1352" s="8" t="str">
        <f aca="false">IF($J1352=0,"",INDEX(ROTACAO_RDM!$G$6:$G$71,$J1352))</f>
        <v>PVH-2343</v>
      </c>
      <c r="M1352" s="17" t="n">
        <f aca="false">IF($J1352=0,"",INDEX(ROTACAO_RDM!$I$6:$I$71,$J1352))</f>
        <v>46345</v>
      </c>
      <c r="N1352" s="16" t="n">
        <f aca="false">IF($J1352=0,0,MAX(0,$C1352+INT(DIAS_POR_SEMANA/2)-INDEX(ROTACAO_RDM!$I$6:$I$71,$J1352)))</f>
        <v>105</v>
      </c>
      <c r="O1352" s="19" t="n">
        <f aca="false">IF($J1352=0,0,MIN(1,$N1352/MAX(1,INDEX(ROTACAO_RDM!$K$6:$K$71,$J1352))))</f>
        <v>0.65625</v>
      </c>
      <c r="P1352" s="16" t="n">
        <f aca="false">IF($J1352=0,0,IFERROR(MATCH(INDEX(ROTACAO_RDM!$N$6:$N$71,$J1352),PARAMETROS_CULTURAS!$B$6:$B$28,0),0))</f>
        <v>9</v>
      </c>
      <c r="Q1352" s="8" t="str">
        <f aca="false">IF($P1352=0,"-",IF($O1352&lt;=INDEX(PARAMETROS_CULTURAS!$F$6:$F$28,$P1352),"INICIAL",IF($O1352&lt;=INDEX(PARAMETROS_CULTURAS!$F$6:$F$28,$P1352)+INDEX(PARAMETROS_CULTURAS!$G$6:$G$28,$P1352),"DESENVOLVIMENTO",IF($O1352&lt;=INDEX(PARAMETROS_CULTURAS!$F$6:$F$28,$P1352)+INDEX(PARAMETROS_CULTURAS!$G$6:$G$28,$P1352)+INDEX(PARAMETROS_CULTURAS!$H$6:$H$28,$P1352),"MEDIA","FINAL"))))</f>
        <v>MEDIA</v>
      </c>
      <c r="R1352" s="24" t="n">
        <f aca="false">IF($P1352=0,0,IF($O1352&lt;=INDEX(PARAMETROS_CULTURAS!$F$6:$F$28,$P1352),INDEX(PARAMETROS_CULTURAS!$K$6:$K$28,$P1352),IF($O1352&lt;=INDEX(PARAMETROS_CULTURAS!$F$6:$F$28,$P1352)+INDEX(PARAMETROS_CULTURAS!$G$6:$G$28,$P1352),INDEX(PARAMETROS_CULTURAS!$K$6:$K$28,$P1352)+(INDEX(PARAMETROS_CULTURAS!$L$6:$L$28,$P1352)-INDEX(PARAMETROS_CULTURAS!$K$6:$K$28,$P1352))*($O1352-INDEX(PARAMETROS_CULTURAS!$F$6:$F$28,$P1352))/MAX(INDEX(PARAMETROS_CULTURAS!$G$6:$G$28,$P1352),0.0001),IF($O1352&lt;=INDEX(PARAMETROS_CULTURAS!$F$6:$F$28,$P1352)+INDEX(PARAMETROS_CULTURAS!$G$6:$G$28,$P1352)+INDEX(PARAMETROS_CULTURAS!$H$6:$H$28,$P1352),INDEX(PARAMETROS_CULTURAS!$L$6:$L$28,$P1352),INDEX(PARAMETROS_CULTURAS!$L$6:$L$28,$P1352)+(INDEX(PARAMETROS_CULTURAS!$M$6:$M$28,$P1352)-INDEX(PARAMETROS_CULTURAS!$L$6:$L$28,$P1352))*($O1352-INDEX(PARAMETROS_CULTURAS!$F$6:$F$28,$P1352)-INDEX(PARAMETROS_CULTURAS!$G$6:$G$28,$P1352)-INDEX(PARAMETROS_CULTURAS!$H$6:$H$28,$P1352))/MAX(INDEX(PARAMETROS_CULTURAS!$I$6:$I$28,$P1352),0.0001)))))</f>
        <v>1.1</v>
      </c>
      <c r="S1352" s="18" t="n">
        <f aca="false">IFERROR(INDEX(SEMANAS!$H$6:$H$71,MATCH($B1352,SEMANAS!$B$6:$B$71,0)),0)</f>
        <v>32.2</v>
      </c>
      <c r="T1352" s="18" t="n">
        <f aca="false">$R1352*$S1352</f>
        <v>35.42</v>
      </c>
      <c r="U1352" s="18" t="n">
        <f aca="false">IFERROR(INDEX(SEMANAS!$I$6:$I$71,MATCH($B1352,SEMANAS!$B$6:$B$71,0)),0)</f>
        <v>37.24</v>
      </c>
      <c r="V1352" s="18" t="n">
        <f aca="false">IFERROR(INDEX(SEMANAS!$J$6:$J$71,MATCH($B1352,SEMANAS!$B$6:$B$71,0)),0)</f>
        <v>29.792</v>
      </c>
      <c r="W1352" s="18" t="n">
        <f aca="false">MAX(0,$T1352-$V1352)</f>
        <v>5.628</v>
      </c>
      <c r="X1352" s="19" t="n">
        <f aca="false">IFERROR(INDEX(CADASTRO_PIVOS!$K$6:$K$41,MATCH($E1352,CADASTRO_PIVOS!$B$6:$B$41,0)),EFICIENCIA_PADRAO)</f>
        <v>0.85</v>
      </c>
      <c r="Y1352" s="18" t="n">
        <f aca="false">IF($X1352&lt;=0,0,$W1352/$X1352)</f>
        <v>6.62117647058824</v>
      </c>
      <c r="Z1352" s="16" t="n">
        <f aca="false">$Y1352*$H1352*MM_PARA_M3_HA</f>
        <v>9265.67435294118</v>
      </c>
      <c r="AA1352" s="18" t="n">
        <f aca="false">IFERROR(INDEX(CADASTRO_PIVOS!$I$6:$I$41,MATCH($E1352,CADASTRO_PIVOS!$B$6:$B$41,0)),0)</f>
        <v>932.933333333333</v>
      </c>
      <c r="AB1352" s="18" t="n">
        <f aca="false">IF($Z1352&lt;=0,0,$Z1352/$AA1352)</f>
        <v>9.93176470588235</v>
      </c>
      <c r="AC1352" s="16" t="n">
        <f aca="false">IFERROR(INDEX(SEMANAS!$K$6:$K$71,MATCH($B1352,SEMANAS!$B$6:$B$71,0)),0)</f>
        <v>147</v>
      </c>
      <c r="AD1352" s="19" t="n">
        <f aca="false">IF($AC1352&lt;=0,0,$AB1352/$AC1352)</f>
        <v>0.067563025210084</v>
      </c>
      <c r="AE1352" s="8" t="str">
        <f aca="false">IF($K1352="SEM CULTURA","SEM CULTURA",IF($AA1352&lt;=0,"DADO PENDENTE",IF($AD1352&gt;LIMITE_CRITICO,"INVIAVEL",IF($AD1352&gt;LIMITE_ATENCAO,"CRITICO",IF($AD1352&gt;LIMITE_CONFORTAVEL,"ATENCAO","OK")))))</f>
        <v>OK</v>
      </c>
      <c r="AF1352" s="8" t="str">
        <f aca="false">$B1352&amp;"|"&amp;TEXT($AD1352,"0.000000")</f>
        <v>27|0.067563</v>
      </c>
      <c r="AG1352" s="18" t="n">
        <f aca="false">IF($K1352="SEM CULTURA",0,$T1352*$H1352)</f>
        <v>4956.6748</v>
      </c>
      <c r="AH1352" s="18" t="n">
        <f aca="false">IF($K1352="SEM CULTURA",0,$V1352*$H1352)</f>
        <v>4169.09248</v>
      </c>
      <c r="AI1352" s="18" t="n">
        <f aca="false">IF($K1352="SEM CULTURA",0,$W1352*$H1352)</f>
        <v>787.58232</v>
      </c>
      <c r="AJ1352" s="18" t="n">
        <f aca="false">IF($K1352="SEM CULTURA",0,$S1352*$H1352)</f>
        <v>4506.068</v>
      </c>
      <c r="AK1352" s="8" t="str">
        <f aca="false">$E1352&amp;"|"&amp;TEXT($AD1352,"0.000000")</f>
        <v>PV 128|0.067563</v>
      </c>
    </row>
    <row r="1353" customFormat="false" ht="15" hidden="false" customHeight="false" outlineLevel="0" collapsed="false">
      <c r="B1353" s="16" t="n">
        <v>28</v>
      </c>
      <c r="C1353" s="17" t="n">
        <f aca="false">DATA_INICIO_SAFRA+($B1353-1)*DIAS_POR_SEMANA</f>
        <v>46454</v>
      </c>
      <c r="D1353" s="17" t="n">
        <f aca="false">$C1353+DIAS_POR_SEMANA-1</f>
        <v>46460</v>
      </c>
      <c r="E1353" s="15" t="s">
        <v>279</v>
      </c>
      <c r="F1353" s="8" t="str">
        <f aca="false">IFERROR(INDEX(CADASTRO_PIVOS!$C$6:$C$41,MATCH($E1353,CADASTRO_PIVOS!$B$6:$B$41,0)),"?")</f>
        <v>RM06</v>
      </c>
      <c r="G1353" s="8" t="str">
        <f aca="false">IFERROR(INDEX(CADASTRO_PIVOS!$D$6:$D$41,MATCH($E1353,CADASTRO_PIVOS!$B$6:$B$41,0)),"?")</f>
        <v>TR06</v>
      </c>
      <c r="H1353" s="20" t="n">
        <f aca="false">IFERROR(INDEX(CADASTRO_PIVOS!$E$6:$E$41,MATCH($E1353,CADASTRO_PIVOS!$B$6:$B$41,0)),0)</f>
        <v>139.94</v>
      </c>
      <c r="I1353" s="16" t="n">
        <f aca="false">IFERROR(SUMIFS(ROTACAO_RDM!$B$6:$B$71,ROTACAO_RDM!$D$6:$D$71,$E1353,ROTACAO_RDM!$I$6:$I$71,"&lt;="&amp;$C1353+INT(DIAS_POR_SEMANA/2),ROTACAO_RDM!$J$6:$J$71,"&gt;="&amp;$C1353+INT(DIAS_POR_SEMANA/2)),0)</f>
        <v>53</v>
      </c>
      <c r="J1353" s="16" t="n">
        <f aca="false">IFERROR(MATCH($I1353,ROTACAO_RDM!$B$6:$B$71,0),0)</f>
        <v>53</v>
      </c>
      <c r="K1353" s="8" t="str">
        <f aca="false">IF($J1353=0,"SEM CULTURA",INDEX(ROTACAO_RDM!$F$6:$F$71,$J1353))</f>
        <v>TABACO</v>
      </c>
      <c r="L1353" s="8" t="str">
        <f aca="false">IF($J1353=0,"",INDEX(ROTACAO_RDM!$G$6:$G$71,$J1353))</f>
        <v>PVH-2343</v>
      </c>
      <c r="M1353" s="17" t="n">
        <f aca="false">IF($J1353=0,"",INDEX(ROTACAO_RDM!$I$6:$I$71,$J1353))</f>
        <v>46345</v>
      </c>
      <c r="N1353" s="16" t="n">
        <f aca="false">IF($J1353=0,0,MAX(0,$C1353+INT(DIAS_POR_SEMANA/2)-INDEX(ROTACAO_RDM!$I$6:$I$71,$J1353)))</f>
        <v>112</v>
      </c>
      <c r="O1353" s="19" t="n">
        <f aca="false">IF($J1353=0,0,MIN(1,$N1353/MAX(1,INDEX(ROTACAO_RDM!$K$6:$K$71,$J1353))))</f>
        <v>0.7</v>
      </c>
      <c r="P1353" s="16" t="n">
        <f aca="false">IF($J1353=0,0,IFERROR(MATCH(INDEX(ROTACAO_RDM!$N$6:$N$71,$J1353),PARAMETROS_CULTURAS!$B$6:$B$28,0),0))</f>
        <v>9</v>
      </c>
      <c r="Q1353" s="8" t="str">
        <f aca="false">IF($P1353=0,"-",IF($O1353&lt;=INDEX(PARAMETROS_CULTURAS!$F$6:$F$28,$P1353),"INICIAL",IF($O1353&lt;=INDEX(PARAMETROS_CULTURAS!$F$6:$F$28,$P1353)+INDEX(PARAMETROS_CULTURAS!$G$6:$G$28,$P1353),"DESENVOLVIMENTO",IF($O1353&lt;=INDEX(PARAMETROS_CULTURAS!$F$6:$F$28,$P1353)+INDEX(PARAMETROS_CULTURAS!$G$6:$G$28,$P1353)+INDEX(PARAMETROS_CULTURAS!$H$6:$H$28,$P1353),"MEDIA","FINAL"))))</f>
        <v>MEDIA</v>
      </c>
      <c r="R1353" s="24" t="n">
        <f aca="false">IF($P1353=0,0,IF($O1353&lt;=INDEX(PARAMETROS_CULTURAS!$F$6:$F$28,$P1353),INDEX(PARAMETROS_CULTURAS!$K$6:$K$28,$P1353),IF($O1353&lt;=INDEX(PARAMETROS_CULTURAS!$F$6:$F$28,$P1353)+INDEX(PARAMETROS_CULTURAS!$G$6:$G$28,$P1353),INDEX(PARAMETROS_CULTURAS!$K$6:$K$28,$P1353)+(INDEX(PARAMETROS_CULTURAS!$L$6:$L$28,$P1353)-INDEX(PARAMETROS_CULTURAS!$K$6:$K$28,$P1353))*($O1353-INDEX(PARAMETROS_CULTURAS!$F$6:$F$28,$P1353))/MAX(INDEX(PARAMETROS_CULTURAS!$G$6:$G$28,$P1353),0.0001),IF($O1353&lt;=INDEX(PARAMETROS_CULTURAS!$F$6:$F$28,$P1353)+INDEX(PARAMETROS_CULTURAS!$G$6:$G$28,$P1353)+INDEX(PARAMETROS_CULTURAS!$H$6:$H$28,$P1353),INDEX(PARAMETROS_CULTURAS!$L$6:$L$28,$P1353),INDEX(PARAMETROS_CULTURAS!$L$6:$L$28,$P1353)+(INDEX(PARAMETROS_CULTURAS!$M$6:$M$28,$P1353)-INDEX(PARAMETROS_CULTURAS!$L$6:$L$28,$P1353))*($O1353-INDEX(PARAMETROS_CULTURAS!$F$6:$F$28,$P1353)-INDEX(PARAMETROS_CULTURAS!$G$6:$G$28,$P1353)-INDEX(PARAMETROS_CULTURAS!$H$6:$H$28,$P1353))/MAX(INDEX(PARAMETROS_CULTURAS!$I$6:$I$28,$P1353),0.0001)))))</f>
        <v>1.1</v>
      </c>
      <c r="S1353" s="18" t="n">
        <f aca="false">IFERROR(INDEX(SEMANAS!$H$6:$H$71,MATCH($B1353,SEMANAS!$B$6:$B$71,0)),0)</f>
        <v>32.2</v>
      </c>
      <c r="T1353" s="18" t="n">
        <f aca="false">$R1353*$S1353</f>
        <v>35.42</v>
      </c>
      <c r="U1353" s="18" t="n">
        <f aca="false">IFERROR(INDEX(SEMANAS!$I$6:$I$71,MATCH($B1353,SEMANAS!$B$6:$B$71,0)),0)</f>
        <v>37.24</v>
      </c>
      <c r="V1353" s="18" t="n">
        <f aca="false">IFERROR(INDEX(SEMANAS!$J$6:$J$71,MATCH($B1353,SEMANAS!$B$6:$B$71,0)),0)</f>
        <v>29.792</v>
      </c>
      <c r="W1353" s="18" t="n">
        <f aca="false">MAX(0,$T1353-$V1353)</f>
        <v>5.628</v>
      </c>
      <c r="X1353" s="19" t="n">
        <f aca="false">IFERROR(INDEX(CADASTRO_PIVOS!$K$6:$K$41,MATCH($E1353,CADASTRO_PIVOS!$B$6:$B$41,0)),EFICIENCIA_PADRAO)</f>
        <v>0.85</v>
      </c>
      <c r="Y1353" s="18" t="n">
        <f aca="false">IF($X1353&lt;=0,0,$W1353/$X1353)</f>
        <v>6.62117647058824</v>
      </c>
      <c r="Z1353" s="16" t="n">
        <f aca="false">$Y1353*$H1353*MM_PARA_M3_HA</f>
        <v>9265.67435294118</v>
      </c>
      <c r="AA1353" s="18" t="n">
        <f aca="false">IFERROR(INDEX(CADASTRO_PIVOS!$I$6:$I$41,MATCH($E1353,CADASTRO_PIVOS!$B$6:$B$41,0)),0)</f>
        <v>932.933333333333</v>
      </c>
      <c r="AB1353" s="18" t="n">
        <f aca="false">IF($Z1353&lt;=0,0,$Z1353/$AA1353)</f>
        <v>9.93176470588235</v>
      </c>
      <c r="AC1353" s="16" t="n">
        <f aca="false">IFERROR(INDEX(SEMANAS!$K$6:$K$71,MATCH($B1353,SEMANAS!$B$6:$B$71,0)),0)</f>
        <v>147</v>
      </c>
      <c r="AD1353" s="19" t="n">
        <f aca="false">IF($AC1353&lt;=0,0,$AB1353/$AC1353)</f>
        <v>0.067563025210084</v>
      </c>
      <c r="AE1353" s="8" t="str">
        <f aca="false">IF($K1353="SEM CULTURA","SEM CULTURA",IF($AA1353&lt;=0,"DADO PENDENTE",IF($AD1353&gt;LIMITE_CRITICO,"INVIAVEL",IF($AD1353&gt;LIMITE_ATENCAO,"CRITICO",IF($AD1353&gt;LIMITE_CONFORTAVEL,"ATENCAO","OK")))))</f>
        <v>OK</v>
      </c>
      <c r="AF1353" s="8" t="str">
        <f aca="false">$B1353&amp;"|"&amp;TEXT($AD1353,"0.000000")</f>
        <v>28|0.067563</v>
      </c>
      <c r="AG1353" s="18" t="n">
        <f aca="false">IF($K1353="SEM CULTURA",0,$T1353*$H1353)</f>
        <v>4956.6748</v>
      </c>
      <c r="AH1353" s="18" t="n">
        <f aca="false">IF($K1353="SEM CULTURA",0,$V1353*$H1353)</f>
        <v>4169.09248</v>
      </c>
      <c r="AI1353" s="18" t="n">
        <f aca="false">IF($K1353="SEM CULTURA",0,$W1353*$H1353)</f>
        <v>787.58232</v>
      </c>
      <c r="AJ1353" s="18" t="n">
        <f aca="false">IF($K1353="SEM CULTURA",0,$S1353*$H1353)</f>
        <v>4506.068</v>
      </c>
      <c r="AK1353" s="8" t="str">
        <f aca="false">$E1353&amp;"|"&amp;TEXT($AD1353,"0.000000")</f>
        <v>PV 128|0.067563</v>
      </c>
    </row>
    <row r="1354" customFormat="false" ht="15" hidden="false" customHeight="false" outlineLevel="0" collapsed="false">
      <c r="B1354" s="16" t="n">
        <v>29</v>
      </c>
      <c r="C1354" s="17" t="n">
        <f aca="false">DATA_INICIO_SAFRA+($B1354-1)*DIAS_POR_SEMANA</f>
        <v>46461</v>
      </c>
      <c r="D1354" s="17" t="n">
        <f aca="false">$C1354+DIAS_POR_SEMANA-1</f>
        <v>46467</v>
      </c>
      <c r="E1354" s="15" t="s">
        <v>279</v>
      </c>
      <c r="F1354" s="8" t="str">
        <f aca="false">IFERROR(INDEX(CADASTRO_PIVOS!$C$6:$C$41,MATCH($E1354,CADASTRO_PIVOS!$B$6:$B$41,0)),"?")</f>
        <v>RM06</v>
      </c>
      <c r="G1354" s="8" t="str">
        <f aca="false">IFERROR(INDEX(CADASTRO_PIVOS!$D$6:$D$41,MATCH($E1354,CADASTRO_PIVOS!$B$6:$B$41,0)),"?")</f>
        <v>TR06</v>
      </c>
      <c r="H1354" s="20" t="n">
        <f aca="false">IFERROR(INDEX(CADASTRO_PIVOS!$E$6:$E$41,MATCH($E1354,CADASTRO_PIVOS!$B$6:$B$41,0)),0)</f>
        <v>139.94</v>
      </c>
      <c r="I1354" s="16" t="n">
        <f aca="false">IFERROR(SUMIFS(ROTACAO_RDM!$B$6:$B$71,ROTACAO_RDM!$D$6:$D$71,$E1354,ROTACAO_RDM!$I$6:$I$71,"&lt;="&amp;$C1354+INT(DIAS_POR_SEMANA/2),ROTACAO_RDM!$J$6:$J$71,"&gt;="&amp;$C1354+INT(DIAS_POR_SEMANA/2)),0)</f>
        <v>53</v>
      </c>
      <c r="J1354" s="16" t="n">
        <f aca="false">IFERROR(MATCH($I1354,ROTACAO_RDM!$B$6:$B$71,0),0)</f>
        <v>53</v>
      </c>
      <c r="K1354" s="8" t="str">
        <f aca="false">IF($J1354=0,"SEM CULTURA",INDEX(ROTACAO_RDM!$F$6:$F$71,$J1354))</f>
        <v>TABACO</v>
      </c>
      <c r="L1354" s="8" t="str">
        <f aca="false">IF($J1354=0,"",INDEX(ROTACAO_RDM!$G$6:$G$71,$J1354))</f>
        <v>PVH-2343</v>
      </c>
      <c r="M1354" s="17" t="n">
        <f aca="false">IF($J1354=0,"",INDEX(ROTACAO_RDM!$I$6:$I$71,$J1354))</f>
        <v>46345</v>
      </c>
      <c r="N1354" s="16" t="n">
        <f aca="false">IF($J1354=0,0,MAX(0,$C1354+INT(DIAS_POR_SEMANA/2)-INDEX(ROTACAO_RDM!$I$6:$I$71,$J1354)))</f>
        <v>119</v>
      </c>
      <c r="O1354" s="19" t="n">
        <f aca="false">IF($J1354=0,0,MIN(1,$N1354/MAX(1,INDEX(ROTACAO_RDM!$K$6:$K$71,$J1354))))</f>
        <v>0.74375</v>
      </c>
      <c r="P1354" s="16" t="n">
        <f aca="false">IF($J1354=0,0,IFERROR(MATCH(INDEX(ROTACAO_RDM!$N$6:$N$71,$J1354),PARAMETROS_CULTURAS!$B$6:$B$28,0),0))</f>
        <v>9</v>
      </c>
      <c r="Q1354" s="8" t="str">
        <f aca="false">IF($P1354=0,"-",IF($O1354&lt;=INDEX(PARAMETROS_CULTURAS!$F$6:$F$28,$P1354),"INICIAL",IF($O1354&lt;=INDEX(PARAMETROS_CULTURAS!$F$6:$F$28,$P1354)+INDEX(PARAMETROS_CULTURAS!$G$6:$G$28,$P1354),"DESENVOLVIMENTO",IF($O1354&lt;=INDEX(PARAMETROS_CULTURAS!$F$6:$F$28,$P1354)+INDEX(PARAMETROS_CULTURAS!$G$6:$G$28,$P1354)+INDEX(PARAMETROS_CULTURAS!$H$6:$H$28,$P1354),"MEDIA","FINAL"))))</f>
        <v>FINAL</v>
      </c>
      <c r="R1354" s="24" t="n">
        <f aca="false">IF($P1354=0,0,IF($O1354&lt;=INDEX(PARAMETROS_CULTURAS!$F$6:$F$28,$P1354),INDEX(PARAMETROS_CULTURAS!$K$6:$K$28,$P1354),IF($O1354&lt;=INDEX(PARAMETROS_CULTURAS!$F$6:$F$28,$P1354)+INDEX(PARAMETROS_CULTURAS!$G$6:$G$28,$P1354),INDEX(PARAMETROS_CULTURAS!$K$6:$K$28,$P1354)+(INDEX(PARAMETROS_CULTURAS!$L$6:$L$28,$P1354)-INDEX(PARAMETROS_CULTURAS!$K$6:$K$28,$P1354))*($O1354-INDEX(PARAMETROS_CULTURAS!$F$6:$F$28,$P1354))/MAX(INDEX(PARAMETROS_CULTURAS!$G$6:$G$28,$P1354),0.0001),IF($O1354&lt;=INDEX(PARAMETROS_CULTURAS!$F$6:$F$28,$P1354)+INDEX(PARAMETROS_CULTURAS!$G$6:$G$28,$P1354)+INDEX(PARAMETROS_CULTURAS!$H$6:$H$28,$P1354),INDEX(PARAMETROS_CULTURAS!$L$6:$L$28,$P1354),INDEX(PARAMETROS_CULTURAS!$L$6:$L$28,$P1354)+(INDEX(PARAMETROS_CULTURAS!$M$6:$M$28,$P1354)-INDEX(PARAMETROS_CULTURAS!$L$6:$L$28,$P1354))*($O1354-INDEX(PARAMETROS_CULTURAS!$F$6:$F$28,$P1354)-INDEX(PARAMETROS_CULTURAS!$G$6:$G$28,$P1354)-INDEX(PARAMETROS_CULTURAS!$H$6:$H$28,$P1354))/MAX(INDEX(PARAMETROS_CULTURAS!$I$6:$I$28,$P1354),0.0001)))))</f>
        <v>1.07455357142857</v>
      </c>
      <c r="S1354" s="18" t="n">
        <f aca="false">IFERROR(INDEX(SEMANAS!$H$6:$H$71,MATCH($B1354,SEMANAS!$B$6:$B$71,0)),0)</f>
        <v>32.2</v>
      </c>
      <c r="T1354" s="18" t="n">
        <f aca="false">$R1354*$S1354</f>
        <v>34.600625</v>
      </c>
      <c r="U1354" s="18" t="n">
        <f aca="false">IFERROR(INDEX(SEMANAS!$I$6:$I$71,MATCH($B1354,SEMANAS!$B$6:$B$71,0)),0)</f>
        <v>37.24</v>
      </c>
      <c r="V1354" s="18" t="n">
        <f aca="false">IFERROR(INDEX(SEMANAS!$J$6:$J$71,MATCH($B1354,SEMANAS!$B$6:$B$71,0)),0)</f>
        <v>29.792</v>
      </c>
      <c r="W1354" s="18" t="n">
        <f aca="false">MAX(0,$T1354-$V1354)</f>
        <v>4.808625</v>
      </c>
      <c r="X1354" s="19" t="n">
        <f aca="false">IFERROR(INDEX(CADASTRO_PIVOS!$K$6:$K$41,MATCH($E1354,CADASTRO_PIVOS!$B$6:$B$41,0)),EFICIENCIA_PADRAO)</f>
        <v>0.85</v>
      </c>
      <c r="Y1354" s="18" t="n">
        <f aca="false">IF($X1354&lt;=0,0,$W1354/$X1354)</f>
        <v>5.65720588235294</v>
      </c>
      <c r="Z1354" s="16" t="n">
        <f aca="false">$Y1354*$H1354*MM_PARA_M3_HA</f>
        <v>7916.6939117647</v>
      </c>
      <c r="AA1354" s="18" t="n">
        <f aca="false">IFERROR(INDEX(CADASTRO_PIVOS!$I$6:$I$41,MATCH($E1354,CADASTRO_PIVOS!$B$6:$B$41,0)),0)</f>
        <v>932.933333333333</v>
      </c>
      <c r="AB1354" s="18" t="n">
        <f aca="false">IF($Z1354&lt;=0,0,$Z1354/$AA1354)</f>
        <v>8.48580882352941</v>
      </c>
      <c r="AC1354" s="16" t="n">
        <f aca="false">IFERROR(INDEX(SEMANAS!$K$6:$K$71,MATCH($B1354,SEMANAS!$B$6:$B$71,0)),0)</f>
        <v>147</v>
      </c>
      <c r="AD1354" s="19" t="n">
        <f aca="false">IF($AC1354&lt;=0,0,$AB1354/$AC1354)</f>
        <v>0.0577265906362545</v>
      </c>
      <c r="AE1354" s="8" t="str">
        <f aca="false">IF($K1354="SEM CULTURA","SEM CULTURA",IF($AA1354&lt;=0,"DADO PENDENTE",IF($AD1354&gt;LIMITE_CRITICO,"INVIAVEL",IF($AD1354&gt;LIMITE_ATENCAO,"CRITICO",IF($AD1354&gt;LIMITE_CONFORTAVEL,"ATENCAO","OK")))))</f>
        <v>OK</v>
      </c>
      <c r="AF1354" s="8" t="str">
        <f aca="false">$B1354&amp;"|"&amp;TEXT($AD1354,"0.000000")</f>
        <v>29|0.057727</v>
      </c>
      <c r="AG1354" s="18" t="n">
        <f aca="false">IF($K1354="SEM CULTURA",0,$T1354*$H1354)</f>
        <v>4842.0114625</v>
      </c>
      <c r="AH1354" s="18" t="n">
        <f aca="false">IF($K1354="SEM CULTURA",0,$V1354*$H1354)</f>
        <v>4169.09248</v>
      </c>
      <c r="AI1354" s="18" t="n">
        <f aca="false">IF($K1354="SEM CULTURA",0,$W1354*$H1354)</f>
        <v>672.9189825</v>
      </c>
      <c r="AJ1354" s="18" t="n">
        <f aca="false">IF($K1354="SEM CULTURA",0,$S1354*$H1354)</f>
        <v>4506.068</v>
      </c>
      <c r="AK1354" s="8" t="str">
        <f aca="false">$E1354&amp;"|"&amp;TEXT($AD1354,"0.000000")</f>
        <v>PV 128|0.057727</v>
      </c>
    </row>
    <row r="1355" customFormat="false" ht="15" hidden="false" customHeight="false" outlineLevel="0" collapsed="false">
      <c r="B1355" s="16" t="n">
        <v>30</v>
      </c>
      <c r="C1355" s="17" t="n">
        <f aca="false">DATA_INICIO_SAFRA+($B1355-1)*DIAS_POR_SEMANA</f>
        <v>46468</v>
      </c>
      <c r="D1355" s="17" t="n">
        <f aca="false">$C1355+DIAS_POR_SEMANA-1</f>
        <v>46474</v>
      </c>
      <c r="E1355" s="15" t="s">
        <v>279</v>
      </c>
      <c r="F1355" s="8" t="str">
        <f aca="false">IFERROR(INDEX(CADASTRO_PIVOS!$C$6:$C$41,MATCH($E1355,CADASTRO_PIVOS!$B$6:$B$41,0)),"?")</f>
        <v>RM06</v>
      </c>
      <c r="G1355" s="8" t="str">
        <f aca="false">IFERROR(INDEX(CADASTRO_PIVOS!$D$6:$D$41,MATCH($E1355,CADASTRO_PIVOS!$B$6:$B$41,0)),"?")</f>
        <v>TR06</v>
      </c>
      <c r="H1355" s="20" t="n">
        <f aca="false">IFERROR(INDEX(CADASTRO_PIVOS!$E$6:$E$41,MATCH($E1355,CADASTRO_PIVOS!$B$6:$B$41,0)),0)</f>
        <v>139.94</v>
      </c>
      <c r="I1355" s="16" t="n">
        <f aca="false">IFERROR(SUMIFS(ROTACAO_RDM!$B$6:$B$71,ROTACAO_RDM!$D$6:$D$71,$E1355,ROTACAO_RDM!$I$6:$I$71,"&lt;="&amp;$C1355+INT(DIAS_POR_SEMANA/2),ROTACAO_RDM!$J$6:$J$71,"&gt;="&amp;$C1355+INT(DIAS_POR_SEMANA/2)),0)</f>
        <v>53</v>
      </c>
      <c r="J1355" s="16" t="n">
        <f aca="false">IFERROR(MATCH($I1355,ROTACAO_RDM!$B$6:$B$71,0),0)</f>
        <v>53</v>
      </c>
      <c r="K1355" s="8" t="str">
        <f aca="false">IF($J1355=0,"SEM CULTURA",INDEX(ROTACAO_RDM!$F$6:$F$71,$J1355))</f>
        <v>TABACO</v>
      </c>
      <c r="L1355" s="8" t="str">
        <f aca="false">IF($J1355=0,"",INDEX(ROTACAO_RDM!$G$6:$G$71,$J1355))</f>
        <v>PVH-2343</v>
      </c>
      <c r="M1355" s="17" t="n">
        <f aca="false">IF($J1355=0,"",INDEX(ROTACAO_RDM!$I$6:$I$71,$J1355))</f>
        <v>46345</v>
      </c>
      <c r="N1355" s="16" t="n">
        <f aca="false">IF($J1355=0,0,MAX(0,$C1355+INT(DIAS_POR_SEMANA/2)-INDEX(ROTACAO_RDM!$I$6:$I$71,$J1355)))</f>
        <v>126</v>
      </c>
      <c r="O1355" s="19" t="n">
        <f aca="false">IF($J1355=0,0,MIN(1,$N1355/MAX(1,INDEX(ROTACAO_RDM!$K$6:$K$71,$J1355))))</f>
        <v>0.7875</v>
      </c>
      <c r="P1355" s="16" t="n">
        <f aca="false">IF($J1355=0,0,IFERROR(MATCH(INDEX(ROTACAO_RDM!$N$6:$N$71,$J1355),PARAMETROS_CULTURAS!$B$6:$B$28,0),0))</f>
        <v>9</v>
      </c>
      <c r="Q1355" s="8" t="str">
        <f aca="false">IF($P1355=0,"-",IF($O1355&lt;=INDEX(PARAMETROS_CULTURAS!$F$6:$F$28,$P1355),"INICIAL",IF($O1355&lt;=INDEX(PARAMETROS_CULTURAS!$F$6:$F$28,$P1355)+INDEX(PARAMETROS_CULTURAS!$G$6:$G$28,$P1355),"DESENVOLVIMENTO",IF($O1355&lt;=INDEX(PARAMETROS_CULTURAS!$F$6:$F$28,$P1355)+INDEX(PARAMETROS_CULTURAS!$G$6:$G$28,$P1355)+INDEX(PARAMETROS_CULTURAS!$H$6:$H$28,$P1355),"MEDIA","FINAL"))))</f>
        <v>FINAL</v>
      </c>
      <c r="R1355" s="24" t="n">
        <f aca="false">IF($P1355=0,0,IF($O1355&lt;=INDEX(PARAMETROS_CULTURAS!$F$6:$F$28,$P1355),INDEX(PARAMETROS_CULTURAS!$K$6:$K$28,$P1355),IF($O1355&lt;=INDEX(PARAMETROS_CULTURAS!$F$6:$F$28,$P1355)+INDEX(PARAMETROS_CULTURAS!$G$6:$G$28,$P1355),INDEX(PARAMETROS_CULTURAS!$K$6:$K$28,$P1355)+(INDEX(PARAMETROS_CULTURAS!$L$6:$L$28,$P1355)-INDEX(PARAMETROS_CULTURAS!$K$6:$K$28,$P1355))*($O1355-INDEX(PARAMETROS_CULTURAS!$F$6:$F$28,$P1355))/MAX(INDEX(PARAMETROS_CULTURAS!$G$6:$G$28,$P1355),0.0001),IF($O1355&lt;=INDEX(PARAMETROS_CULTURAS!$F$6:$F$28,$P1355)+INDEX(PARAMETROS_CULTURAS!$G$6:$G$28,$P1355)+INDEX(PARAMETROS_CULTURAS!$H$6:$H$28,$P1355),INDEX(PARAMETROS_CULTURAS!$L$6:$L$28,$P1355),INDEX(PARAMETROS_CULTURAS!$L$6:$L$28,$P1355)+(INDEX(PARAMETROS_CULTURAS!$M$6:$M$28,$P1355)-INDEX(PARAMETROS_CULTURAS!$L$6:$L$28,$P1355))*($O1355-INDEX(PARAMETROS_CULTURAS!$F$6:$F$28,$P1355)-INDEX(PARAMETROS_CULTURAS!$G$6:$G$28,$P1355)-INDEX(PARAMETROS_CULTURAS!$H$6:$H$28,$P1355))/MAX(INDEX(PARAMETROS_CULTURAS!$I$6:$I$28,$P1355),0.0001)))))</f>
        <v>1.02767857142857</v>
      </c>
      <c r="S1355" s="18" t="n">
        <f aca="false">IFERROR(INDEX(SEMANAS!$H$6:$H$71,MATCH($B1355,SEMANAS!$B$6:$B$71,0)),0)</f>
        <v>32.2</v>
      </c>
      <c r="T1355" s="18" t="n">
        <f aca="false">$R1355*$S1355</f>
        <v>33.09125</v>
      </c>
      <c r="U1355" s="18" t="n">
        <f aca="false">IFERROR(INDEX(SEMANAS!$I$6:$I$71,MATCH($B1355,SEMANAS!$B$6:$B$71,0)),0)</f>
        <v>37.24</v>
      </c>
      <c r="V1355" s="18" t="n">
        <f aca="false">IFERROR(INDEX(SEMANAS!$J$6:$J$71,MATCH($B1355,SEMANAS!$B$6:$B$71,0)),0)</f>
        <v>29.792</v>
      </c>
      <c r="W1355" s="18" t="n">
        <f aca="false">MAX(0,$T1355-$V1355)</f>
        <v>3.29925</v>
      </c>
      <c r="X1355" s="19" t="n">
        <f aca="false">IFERROR(INDEX(CADASTRO_PIVOS!$K$6:$K$41,MATCH($E1355,CADASTRO_PIVOS!$B$6:$B$41,0)),EFICIENCIA_PADRAO)</f>
        <v>0.85</v>
      </c>
      <c r="Y1355" s="18" t="n">
        <f aca="false">IF($X1355&lt;=0,0,$W1355/$X1355)</f>
        <v>3.8814705882353</v>
      </c>
      <c r="Z1355" s="16" t="n">
        <f aca="false">$Y1355*$H1355*MM_PARA_M3_HA</f>
        <v>5431.72994117647</v>
      </c>
      <c r="AA1355" s="18" t="n">
        <f aca="false">IFERROR(INDEX(CADASTRO_PIVOS!$I$6:$I$41,MATCH($E1355,CADASTRO_PIVOS!$B$6:$B$41,0)),0)</f>
        <v>932.933333333333</v>
      </c>
      <c r="AB1355" s="18" t="n">
        <f aca="false">IF($Z1355&lt;=0,0,$Z1355/$AA1355)</f>
        <v>5.82220588235294</v>
      </c>
      <c r="AC1355" s="16" t="n">
        <f aca="false">IFERROR(INDEX(SEMANAS!$K$6:$K$71,MATCH($B1355,SEMANAS!$B$6:$B$71,0)),0)</f>
        <v>147</v>
      </c>
      <c r="AD1355" s="19" t="n">
        <f aca="false">IF($AC1355&lt;=0,0,$AB1355/$AC1355)</f>
        <v>0.0396068427370949</v>
      </c>
      <c r="AE1355" s="8" t="str">
        <f aca="false">IF($K1355="SEM CULTURA","SEM CULTURA",IF($AA1355&lt;=0,"DADO PENDENTE",IF($AD1355&gt;LIMITE_CRITICO,"INVIAVEL",IF($AD1355&gt;LIMITE_ATENCAO,"CRITICO",IF($AD1355&gt;LIMITE_CONFORTAVEL,"ATENCAO","OK")))))</f>
        <v>OK</v>
      </c>
      <c r="AF1355" s="8" t="str">
        <f aca="false">$B1355&amp;"|"&amp;TEXT($AD1355,"0.000000")</f>
        <v>30|0.039607</v>
      </c>
      <c r="AG1355" s="18" t="n">
        <f aca="false">IF($K1355="SEM CULTURA",0,$T1355*$H1355)</f>
        <v>4630.789525</v>
      </c>
      <c r="AH1355" s="18" t="n">
        <f aca="false">IF($K1355="SEM CULTURA",0,$V1355*$H1355)</f>
        <v>4169.09248</v>
      </c>
      <c r="AI1355" s="18" t="n">
        <f aca="false">IF($K1355="SEM CULTURA",0,$W1355*$H1355)</f>
        <v>461.697045</v>
      </c>
      <c r="AJ1355" s="18" t="n">
        <f aca="false">IF($K1355="SEM CULTURA",0,$S1355*$H1355)</f>
        <v>4506.068</v>
      </c>
      <c r="AK1355" s="8" t="str">
        <f aca="false">$E1355&amp;"|"&amp;TEXT($AD1355,"0.000000")</f>
        <v>PV 128|0.039607</v>
      </c>
    </row>
    <row r="1356" customFormat="false" ht="15" hidden="false" customHeight="false" outlineLevel="0" collapsed="false">
      <c r="B1356" s="16" t="n">
        <v>31</v>
      </c>
      <c r="C1356" s="17" t="n">
        <f aca="false">DATA_INICIO_SAFRA+($B1356-1)*DIAS_POR_SEMANA</f>
        <v>46475</v>
      </c>
      <c r="D1356" s="17" t="n">
        <f aca="false">$C1356+DIAS_POR_SEMANA-1</f>
        <v>46481</v>
      </c>
      <c r="E1356" s="15" t="s">
        <v>279</v>
      </c>
      <c r="F1356" s="8" t="str">
        <f aca="false">IFERROR(INDEX(CADASTRO_PIVOS!$C$6:$C$41,MATCH($E1356,CADASTRO_PIVOS!$B$6:$B$41,0)),"?")</f>
        <v>RM06</v>
      </c>
      <c r="G1356" s="8" t="str">
        <f aca="false">IFERROR(INDEX(CADASTRO_PIVOS!$D$6:$D$41,MATCH($E1356,CADASTRO_PIVOS!$B$6:$B$41,0)),"?")</f>
        <v>TR06</v>
      </c>
      <c r="H1356" s="20" t="n">
        <f aca="false">IFERROR(INDEX(CADASTRO_PIVOS!$E$6:$E$41,MATCH($E1356,CADASTRO_PIVOS!$B$6:$B$41,0)),0)</f>
        <v>139.94</v>
      </c>
      <c r="I1356" s="16" t="n">
        <f aca="false">IFERROR(SUMIFS(ROTACAO_RDM!$B$6:$B$71,ROTACAO_RDM!$D$6:$D$71,$E1356,ROTACAO_RDM!$I$6:$I$71,"&lt;="&amp;$C1356+INT(DIAS_POR_SEMANA/2),ROTACAO_RDM!$J$6:$J$71,"&gt;="&amp;$C1356+INT(DIAS_POR_SEMANA/2)),0)</f>
        <v>53</v>
      </c>
      <c r="J1356" s="16" t="n">
        <f aca="false">IFERROR(MATCH($I1356,ROTACAO_RDM!$B$6:$B$71,0),0)</f>
        <v>53</v>
      </c>
      <c r="K1356" s="8" t="str">
        <f aca="false">IF($J1356=0,"SEM CULTURA",INDEX(ROTACAO_RDM!$F$6:$F$71,$J1356))</f>
        <v>TABACO</v>
      </c>
      <c r="L1356" s="8" t="str">
        <f aca="false">IF($J1356=0,"",INDEX(ROTACAO_RDM!$G$6:$G$71,$J1356))</f>
        <v>PVH-2343</v>
      </c>
      <c r="M1356" s="17" t="n">
        <f aca="false">IF($J1356=0,"",INDEX(ROTACAO_RDM!$I$6:$I$71,$J1356))</f>
        <v>46345</v>
      </c>
      <c r="N1356" s="16" t="n">
        <f aca="false">IF($J1356=0,0,MAX(0,$C1356+INT(DIAS_POR_SEMANA/2)-INDEX(ROTACAO_RDM!$I$6:$I$71,$J1356)))</f>
        <v>133</v>
      </c>
      <c r="O1356" s="19" t="n">
        <f aca="false">IF($J1356=0,0,MIN(1,$N1356/MAX(1,INDEX(ROTACAO_RDM!$K$6:$K$71,$J1356))))</f>
        <v>0.83125</v>
      </c>
      <c r="P1356" s="16" t="n">
        <f aca="false">IF($J1356=0,0,IFERROR(MATCH(INDEX(ROTACAO_RDM!$N$6:$N$71,$J1356),PARAMETROS_CULTURAS!$B$6:$B$28,0),0))</f>
        <v>9</v>
      </c>
      <c r="Q1356" s="8" t="str">
        <f aca="false">IF($P1356=0,"-",IF($O1356&lt;=INDEX(PARAMETROS_CULTURAS!$F$6:$F$28,$P1356),"INICIAL",IF($O1356&lt;=INDEX(PARAMETROS_CULTURAS!$F$6:$F$28,$P1356)+INDEX(PARAMETROS_CULTURAS!$G$6:$G$28,$P1356),"DESENVOLVIMENTO",IF($O1356&lt;=INDEX(PARAMETROS_CULTURAS!$F$6:$F$28,$P1356)+INDEX(PARAMETROS_CULTURAS!$G$6:$G$28,$P1356)+INDEX(PARAMETROS_CULTURAS!$H$6:$H$28,$P1356),"MEDIA","FINAL"))))</f>
        <v>FINAL</v>
      </c>
      <c r="R1356" s="24" t="n">
        <f aca="false">IF($P1356=0,0,IF($O1356&lt;=INDEX(PARAMETROS_CULTURAS!$F$6:$F$28,$P1356),INDEX(PARAMETROS_CULTURAS!$K$6:$K$28,$P1356),IF($O1356&lt;=INDEX(PARAMETROS_CULTURAS!$F$6:$F$28,$P1356)+INDEX(PARAMETROS_CULTURAS!$G$6:$G$28,$P1356),INDEX(PARAMETROS_CULTURAS!$K$6:$K$28,$P1356)+(INDEX(PARAMETROS_CULTURAS!$L$6:$L$28,$P1356)-INDEX(PARAMETROS_CULTURAS!$K$6:$K$28,$P1356))*($O1356-INDEX(PARAMETROS_CULTURAS!$F$6:$F$28,$P1356))/MAX(INDEX(PARAMETROS_CULTURAS!$G$6:$G$28,$P1356),0.0001),IF($O1356&lt;=INDEX(PARAMETROS_CULTURAS!$F$6:$F$28,$P1356)+INDEX(PARAMETROS_CULTURAS!$G$6:$G$28,$P1356)+INDEX(PARAMETROS_CULTURAS!$H$6:$H$28,$P1356),INDEX(PARAMETROS_CULTURAS!$L$6:$L$28,$P1356),INDEX(PARAMETROS_CULTURAS!$L$6:$L$28,$P1356)+(INDEX(PARAMETROS_CULTURAS!$M$6:$M$28,$P1356)-INDEX(PARAMETROS_CULTURAS!$L$6:$L$28,$P1356))*($O1356-INDEX(PARAMETROS_CULTURAS!$F$6:$F$28,$P1356)-INDEX(PARAMETROS_CULTURAS!$G$6:$G$28,$P1356)-INDEX(PARAMETROS_CULTURAS!$H$6:$H$28,$P1356))/MAX(INDEX(PARAMETROS_CULTURAS!$I$6:$I$28,$P1356),0.0001)))))</f>
        <v>0.980803571428571</v>
      </c>
      <c r="S1356" s="18" t="n">
        <f aca="false">IFERROR(INDEX(SEMANAS!$H$6:$H$71,MATCH($B1356,SEMANAS!$B$6:$B$71,0)),0)</f>
        <v>31.8</v>
      </c>
      <c r="T1356" s="18" t="n">
        <f aca="false">$R1356*$S1356</f>
        <v>31.1895535714286</v>
      </c>
      <c r="U1356" s="18" t="n">
        <f aca="false">IFERROR(INDEX(SEMANAS!$I$6:$I$71,MATCH($B1356,SEMANAS!$B$6:$B$71,0)),0)</f>
        <v>25.28</v>
      </c>
      <c r="V1356" s="18" t="n">
        <f aca="false">IFERROR(INDEX(SEMANAS!$J$6:$J$71,MATCH($B1356,SEMANAS!$B$6:$B$71,0)),0)</f>
        <v>20.224</v>
      </c>
      <c r="W1356" s="18" t="n">
        <f aca="false">MAX(0,$T1356-$V1356)</f>
        <v>10.9655535714286</v>
      </c>
      <c r="X1356" s="19" t="n">
        <f aca="false">IFERROR(INDEX(CADASTRO_PIVOS!$K$6:$K$41,MATCH($E1356,CADASTRO_PIVOS!$B$6:$B$41,0)),EFICIENCIA_PADRAO)</f>
        <v>0.85</v>
      </c>
      <c r="Y1356" s="18" t="n">
        <f aca="false">IF($X1356&lt;=0,0,$W1356/$X1356)</f>
        <v>12.9006512605042</v>
      </c>
      <c r="Z1356" s="16" t="n">
        <f aca="false">$Y1356*$H1356*MM_PARA_M3_HA</f>
        <v>18053.1713739496</v>
      </c>
      <c r="AA1356" s="18" t="n">
        <f aca="false">IFERROR(INDEX(CADASTRO_PIVOS!$I$6:$I$41,MATCH($E1356,CADASTRO_PIVOS!$B$6:$B$41,0)),0)</f>
        <v>932.933333333333</v>
      </c>
      <c r="AB1356" s="18" t="n">
        <f aca="false">IF($Z1356&lt;=0,0,$Z1356/$AA1356)</f>
        <v>19.3509768907563</v>
      </c>
      <c r="AC1356" s="16" t="n">
        <f aca="false">IFERROR(INDEX(SEMANAS!$K$6:$K$71,MATCH($B1356,SEMANAS!$B$6:$B$71,0)),0)</f>
        <v>147</v>
      </c>
      <c r="AD1356" s="19" t="n">
        <f aca="false">IF($AC1356&lt;=0,0,$AB1356/$AC1356)</f>
        <v>0.131639298576573</v>
      </c>
      <c r="AE1356" s="8" t="str">
        <f aca="false">IF($K1356="SEM CULTURA","SEM CULTURA",IF($AA1356&lt;=0,"DADO PENDENTE",IF($AD1356&gt;LIMITE_CRITICO,"INVIAVEL",IF($AD1356&gt;LIMITE_ATENCAO,"CRITICO",IF($AD1356&gt;LIMITE_CONFORTAVEL,"ATENCAO","OK")))))</f>
        <v>OK</v>
      </c>
      <c r="AF1356" s="8" t="str">
        <f aca="false">$B1356&amp;"|"&amp;TEXT($AD1356,"0.000000")</f>
        <v>31|0.131639</v>
      </c>
      <c r="AG1356" s="18" t="n">
        <f aca="false">IF($K1356="SEM CULTURA",0,$T1356*$H1356)</f>
        <v>4364.66612678571</v>
      </c>
      <c r="AH1356" s="18" t="n">
        <f aca="false">IF($K1356="SEM CULTURA",0,$V1356*$H1356)</f>
        <v>2830.14656</v>
      </c>
      <c r="AI1356" s="18" t="n">
        <f aca="false">IF($K1356="SEM CULTURA",0,$W1356*$H1356)</f>
        <v>1534.51956678571</v>
      </c>
      <c r="AJ1356" s="18" t="n">
        <f aca="false">IF($K1356="SEM CULTURA",0,$S1356*$H1356)</f>
        <v>4450.092</v>
      </c>
      <c r="AK1356" s="8" t="str">
        <f aca="false">$E1356&amp;"|"&amp;TEXT($AD1356,"0.000000")</f>
        <v>PV 128|0.131639</v>
      </c>
    </row>
    <row r="1357" customFormat="false" ht="15" hidden="false" customHeight="false" outlineLevel="0" collapsed="false">
      <c r="B1357" s="16" t="n">
        <v>32</v>
      </c>
      <c r="C1357" s="17" t="n">
        <f aca="false">DATA_INICIO_SAFRA+($B1357-1)*DIAS_POR_SEMANA</f>
        <v>46482</v>
      </c>
      <c r="D1357" s="17" t="n">
        <f aca="false">$C1357+DIAS_POR_SEMANA-1</f>
        <v>46488</v>
      </c>
      <c r="E1357" s="15" t="s">
        <v>279</v>
      </c>
      <c r="F1357" s="8" t="str">
        <f aca="false">IFERROR(INDEX(CADASTRO_PIVOS!$C$6:$C$41,MATCH($E1357,CADASTRO_PIVOS!$B$6:$B$41,0)),"?")</f>
        <v>RM06</v>
      </c>
      <c r="G1357" s="8" t="str">
        <f aca="false">IFERROR(INDEX(CADASTRO_PIVOS!$D$6:$D$41,MATCH($E1357,CADASTRO_PIVOS!$B$6:$B$41,0)),"?")</f>
        <v>TR06</v>
      </c>
      <c r="H1357" s="20" t="n">
        <f aca="false">IFERROR(INDEX(CADASTRO_PIVOS!$E$6:$E$41,MATCH($E1357,CADASTRO_PIVOS!$B$6:$B$41,0)),0)</f>
        <v>139.94</v>
      </c>
      <c r="I1357" s="16" t="n">
        <f aca="false">IFERROR(SUMIFS(ROTACAO_RDM!$B$6:$B$71,ROTACAO_RDM!$D$6:$D$71,$E1357,ROTACAO_RDM!$I$6:$I$71,"&lt;="&amp;$C1357+INT(DIAS_POR_SEMANA/2),ROTACAO_RDM!$J$6:$J$71,"&gt;="&amp;$C1357+INT(DIAS_POR_SEMANA/2)),0)</f>
        <v>53</v>
      </c>
      <c r="J1357" s="16" t="n">
        <f aca="false">IFERROR(MATCH($I1357,ROTACAO_RDM!$B$6:$B$71,0),0)</f>
        <v>53</v>
      </c>
      <c r="K1357" s="8" t="str">
        <f aca="false">IF($J1357=0,"SEM CULTURA",INDEX(ROTACAO_RDM!$F$6:$F$71,$J1357))</f>
        <v>TABACO</v>
      </c>
      <c r="L1357" s="8" t="str">
        <f aca="false">IF($J1357=0,"",INDEX(ROTACAO_RDM!$G$6:$G$71,$J1357))</f>
        <v>PVH-2343</v>
      </c>
      <c r="M1357" s="17" t="n">
        <f aca="false">IF($J1357=0,"",INDEX(ROTACAO_RDM!$I$6:$I$71,$J1357))</f>
        <v>46345</v>
      </c>
      <c r="N1357" s="16" t="n">
        <f aca="false">IF($J1357=0,0,MAX(0,$C1357+INT(DIAS_POR_SEMANA/2)-INDEX(ROTACAO_RDM!$I$6:$I$71,$J1357)))</f>
        <v>140</v>
      </c>
      <c r="O1357" s="19" t="n">
        <f aca="false">IF($J1357=0,0,MIN(1,$N1357/MAX(1,INDEX(ROTACAO_RDM!$K$6:$K$71,$J1357))))</f>
        <v>0.875</v>
      </c>
      <c r="P1357" s="16" t="n">
        <f aca="false">IF($J1357=0,0,IFERROR(MATCH(INDEX(ROTACAO_RDM!$N$6:$N$71,$J1357),PARAMETROS_CULTURAS!$B$6:$B$28,0),0))</f>
        <v>9</v>
      </c>
      <c r="Q1357" s="8" t="str">
        <f aca="false">IF($P1357=0,"-",IF($O1357&lt;=INDEX(PARAMETROS_CULTURAS!$F$6:$F$28,$P1357),"INICIAL",IF($O1357&lt;=INDEX(PARAMETROS_CULTURAS!$F$6:$F$28,$P1357)+INDEX(PARAMETROS_CULTURAS!$G$6:$G$28,$P1357),"DESENVOLVIMENTO",IF($O1357&lt;=INDEX(PARAMETROS_CULTURAS!$F$6:$F$28,$P1357)+INDEX(PARAMETROS_CULTURAS!$G$6:$G$28,$P1357)+INDEX(PARAMETROS_CULTURAS!$H$6:$H$28,$P1357),"MEDIA","FINAL"))))</f>
        <v>FINAL</v>
      </c>
      <c r="R1357" s="24" t="n">
        <f aca="false">IF($P1357=0,0,IF($O1357&lt;=INDEX(PARAMETROS_CULTURAS!$F$6:$F$28,$P1357),INDEX(PARAMETROS_CULTURAS!$K$6:$K$28,$P1357),IF($O1357&lt;=INDEX(PARAMETROS_CULTURAS!$F$6:$F$28,$P1357)+INDEX(PARAMETROS_CULTURAS!$G$6:$G$28,$P1357),INDEX(PARAMETROS_CULTURAS!$K$6:$K$28,$P1357)+(INDEX(PARAMETROS_CULTURAS!$L$6:$L$28,$P1357)-INDEX(PARAMETROS_CULTURAS!$K$6:$K$28,$P1357))*($O1357-INDEX(PARAMETROS_CULTURAS!$F$6:$F$28,$P1357))/MAX(INDEX(PARAMETROS_CULTURAS!$G$6:$G$28,$P1357),0.0001),IF($O1357&lt;=INDEX(PARAMETROS_CULTURAS!$F$6:$F$28,$P1357)+INDEX(PARAMETROS_CULTURAS!$G$6:$G$28,$P1357)+INDEX(PARAMETROS_CULTURAS!$H$6:$H$28,$P1357),INDEX(PARAMETROS_CULTURAS!$L$6:$L$28,$P1357),INDEX(PARAMETROS_CULTURAS!$L$6:$L$28,$P1357)+(INDEX(PARAMETROS_CULTURAS!$M$6:$M$28,$P1357)-INDEX(PARAMETROS_CULTURAS!$L$6:$L$28,$P1357))*($O1357-INDEX(PARAMETROS_CULTURAS!$F$6:$F$28,$P1357)-INDEX(PARAMETROS_CULTURAS!$G$6:$G$28,$P1357)-INDEX(PARAMETROS_CULTURAS!$H$6:$H$28,$P1357))/MAX(INDEX(PARAMETROS_CULTURAS!$I$6:$I$28,$P1357),0.0001)))))</f>
        <v>0.933928571428571</v>
      </c>
      <c r="S1357" s="18" t="n">
        <f aca="false">IFERROR(INDEX(SEMANAS!$H$6:$H$71,MATCH($B1357,SEMANAS!$B$6:$B$71,0)),0)</f>
        <v>31.5</v>
      </c>
      <c r="T1357" s="18" t="n">
        <f aca="false">$R1357*$S1357</f>
        <v>29.41875</v>
      </c>
      <c r="U1357" s="18" t="n">
        <f aca="false">IFERROR(INDEX(SEMANAS!$I$6:$I$71,MATCH($B1357,SEMANAS!$B$6:$B$71,0)),0)</f>
        <v>16.31</v>
      </c>
      <c r="V1357" s="18" t="n">
        <f aca="false">IFERROR(INDEX(SEMANAS!$J$6:$J$71,MATCH($B1357,SEMANAS!$B$6:$B$71,0)),0)</f>
        <v>13.048</v>
      </c>
      <c r="W1357" s="18" t="n">
        <f aca="false">MAX(0,$T1357-$V1357)</f>
        <v>16.37075</v>
      </c>
      <c r="X1357" s="19" t="n">
        <f aca="false">IFERROR(INDEX(CADASTRO_PIVOS!$K$6:$K$41,MATCH($E1357,CADASTRO_PIVOS!$B$6:$B$41,0)),EFICIENCIA_PADRAO)</f>
        <v>0.85</v>
      </c>
      <c r="Y1357" s="18" t="n">
        <f aca="false">IF($X1357&lt;=0,0,$W1357/$X1357)</f>
        <v>19.2597058823529</v>
      </c>
      <c r="Z1357" s="16" t="n">
        <f aca="false">$Y1357*$H1357*MM_PARA_M3_HA</f>
        <v>26952.0324117647</v>
      </c>
      <c r="AA1357" s="18" t="n">
        <f aca="false">IFERROR(INDEX(CADASTRO_PIVOS!$I$6:$I$41,MATCH($E1357,CADASTRO_PIVOS!$B$6:$B$41,0)),0)</f>
        <v>932.933333333333</v>
      </c>
      <c r="AB1357" s="18" t="n">
        <f aca="false">IF($Z1357&lt;=0,0,$Z1357/$AA1357)</f>
        <v>28.8895588235294</v>
      </c>
      <c r="AC1357" s="16" t="n">
        <f aca="false">IFERROR(INDEX(SEMANAS!$K$6:$K$71,MATCH($B1357,SEMANAS!$B$6:$B$71,0)),0)</f>
        <v>147</v>
      </c>
      <c r="AD1357" s="19" t="n">
        <f aca="false">IF($AC1357&lt;=0,0,$AB1357/$AC1357)</f>
        <v>0.196527611044418</v>
      </c>
      <c r="AE1357" s="8" t="str">
        <f aca="false">IF($K1357="SEM CULTURA","SEM CULTURA",IF($AA1357&lt;=0,"DADO PENDENTE",IF($AD1357&gt;LIMITE_CRITICO,"INVIAVEL",IF($AD1357&gt;LIMITE_ATENCAO,"CRITICO",IF($AD1357&gt;LIMITE_CONFORTAVEL,"ATENCAO","OK")))))</f>
        <v>OK</v>
      </c>
      <c r="AF1357" s="8" t="str">
        <f aca="false">$B1357&amp;"|"&amp;TEXT($AD1357,"0.000000")</f>
        <v>32|0.196528</v>
      </c>
      <c r="AG1357" s="18" t="n">
        <f aca="false">IF($K1357="SEM CULTURA",0,$T1357*$H1357)</f>
        <v>4116.859875</v>
      </c>
      <c r="AH1357" s="18" t="n">
        <f aca="false">IF($K1357="SEM CULTURA",0,$V1357*$H1357)</f>
        <v>1825.93712</v>
      </c>
      <c r="AI1357" s="18" t="n">
        <f aca="false">IF($K1357="SEM CULTURA",0,$W1357*$H1357)</f>
        <v>2290.922755</v>
      </c>
      <c r="AJ1357" s="18" t="n">
        <f aca="false">IF($K1357="SEM CULTURA",0,$S1357*$H1357)</f>
        <v>4408.11</v>
      </c>
      <c r="AK1357" s="8" t="str">
        <f aca="false">$E1357&amp;"|"&amp;TEXT($AD1357,"0.000000")</f>
        <v>PV 128|0.196528</v>
      </c>
    </row>
    <row r="1358" customFormat="false" ht="15" hidden="false" customHeight="false" outlineLevel="0" collapsed="false">
      <c r="B1358" s="16" t="n">
        <v>33</v>
      </c>
      <c r="C1358" s="17" t="n">
        <f aca="false">DATA_INICIO_SAFRA+($B1358-1)*DIAS_POR_SEMANA</f>
        <v>46489</v>
      </c>
      <c r="D1358" s="17" t="n">
        <f aca="false">$C1358+DIAS_POR_SEMANA-1</f>
        <v>46495</v>
      </c>
      <c r="E1358" s="15" t="s">
        <v>279</v>
      </c>
      <c r="F1358" s="8" t="str">
        <f aca="false">IFERROR(INDEX(CADASTRO_PIVOS!$C$6:$C$41,MATCH($E1358,CADASTRO_PIVOS!$B$6:$B$41,0)),"?")</f>
        <v>RM06</v>
      </c>
      <c r="G1358" s="8" t="str">
        <f aca="false">IFERROR(INDEX(CADASTRO_PIVOS!$D$6:$D$41,MATCH($E1358,CADASTRO_PIVOS!$B$6:$B$41,0)),"?")</f>
        <v>TR06</v>
      </c>
      <c r="H1358" s="20" t="n">
        <f aca="false">IFERROR(INDEX(CADASTRO_PIVOS!$E$6:$E$41,MATCH($E1358,CADASTRO_PIVOS!$B$6:$B$41,0)),0)</f>
        <v>139.94</v>
      </c>
      <c r="I1358" s="16" t="n">
        <f aca="false">IFERROR(SUMIFS(ROTACAO_RDM!$B$6:$B$71,ROTACAO_RDM!$D$6:$D$71,$E1358,ROTACAO_RDM!$I$6:$I$71,"&lt;="&amp;$C1358+INT(DIAS_POR_SEMANA/2),ROTACAO_RDM!$J$6:$J$71,"&gt;="&amp;$C1358+INT(DIAS_POR_SEMANA/2)),0)</f>
        <v>53</v>
      </c>
      <c r="J1358" s="16" t="n">
        <f aca="false">IFERROR(MATCH($I1358,ROTACAO_RDM!$B$6:$B$71,0),0)</f>
        <v>53</v>
      </c>
      <c r="K1358" s="8" t="str">
        <f aca="false">IF($J1358=0,"SEM CULTURA",INDEX(ROTACAO_RDM!$F$6:$F$71,$J1358))</f>
        <v>TABACO</v>
      </c>
      <c r="L1358" s="8" t="str">
        <f aca="false">IF($J1358=0,"",INDEX(ROTACAO_RDM!$G$6:$G$71,$J1358))</f>
        <v>PVH-2343</v>
      </c>
      <c r="M1358" s="17" t="n">
        <f aca="false">IF($J1358=0,"",INDEX(ROTACAO_RDM!$I$6:$I$71,$J1358))</f>
        <v>46345</v>
      </c>
      <c r="N1358" s="16" t="n">
        <f aca="false">IF($J1358=0,0,MAX(0,$C1358+INT(DIAS_POR_SEMANA/2)-INDEX(ROTACAO_RDM!$I$6:$I$71,$J1358)))</f>
        <v>147</v>
      </c>
      <c r="O1358" s="19" t="n">
        <f aca="false">IF($J1358=0,0,MIN(1,$N1358/MAX(1,INDEX(ROTACAO_RDM!$K$6:$K$71,$J1358))))</f>
        <v>0.91875</v>
      </c>
      <c r="P1358" s="16" t="n">
        <f aca="false">IF($J1358=0,0,IFERROR(MATCH(INDEX(ROTACAO_RDM!$N$6:$N$71,$J1358),PARAMETROS_CULTURAS!$B$6:$B$28,0),0))</f>
        <v>9</v>
      </c>
      <c r="Q1358" s="8" t="str">
        <f aca="false">IF($P1358=0,"-",IF($O1358&lt;=INDEX(PARAMETROS_CULTURAS!$F$6:$F$28,$P1358),"INICIAL",IF($O1358&lt;=INDEX(PARAMETROS_CULTURAS!$F$6:$F$28,$P1358)+INDEX(PARAMETROS_CULTURAS!$G$6:$G$28,$P1358),"DESENVOLVIMENTO",IF($O1358&lt;=INDEX(PARAMETROS_CULTURAS!$F$6:$F$28,$P1358)+INDEX(PARAMETROS_CULTURAS!$G$6:$G$28,$P1358)+INDEX(PARAMETROS_CULTURAS!$H$6:$H$28,$P1358),"MEDIA","FINAL"))))</f>
        <v>FINAL</v>
      </c>
      <c r="R1358" s="24" t="n">
        <f aca="false">IF($P1358=0,0,IF($O1358&lt;=INDEX(PARAMETROS_CULTURAS!$F$6:$F$28,$P1358),INDEX(PARAMETROS_CULTURAS!$K$6:$K$28,$P1358),IF($O1358&lt;=INDEX(PARAMETROS_CULTURAS!$F$6:$F$28,$P1358)+INDEX(PARAMETROS_CULTURAS!$G$6:$G$28,$P1358),INDEX(PARAMETROS_CULTURAS!$K$6:$K$28,$P1358)+(INDEX(PARAMETROS_CULTURAS!$L$6:$L$28,$P1358)-INDEX(PARAMETROS_CULTURAS!$K$6:$K$28,$P1358))*($O1358-INDEX(PARAMETROS_CULTURAS!$F$6:$F$28,$P1358))/MAX(INDEX(PARAMETROS_CULTURAS!$G$6:$G$28,$P1358),0.0001),IF($O1358&lt;=INDEX(PARAMETROS_CULTURAS!$F$6:$F$28,$P1358)+INDEX(PARAMETROS_CULTURAS!$G$6:$G$28,$P1358)+INDEX(PARAMETROS_CULTURAS!$H$6:$H$28,$P1358),INDEX(PARAMETROS_CULTURAS!$L$6:$L$28,$P1358),INDEX(PARAMETROS_CULTURAS!$L$6:$L$28,$P1358)+(INDEX(PARAMETROS_CULTURAS!$M$6:$M$28,$P1358)-INDEX(PARAMETROS_CULTURAS!$L$6:$L$28,$P1358))*($O1358-INDEX(PARAMETROS_CULTURAS!$F$6:$F$28,$P1358)-INDEX(PARAMETROS_CULTURAS!$G$6:$G$28,$P1358)-INDEX(PARAMETROS_CULTURAS!$H$6:$H$28,$P1358))/MAX(INDEX(PARAMETROS_CULTURAS!$I$6:$I$28,$P1358),0.0001)))))</f>
        <v>0.887053571428572</v>
      </c>
      <c r="S1358" s="18" t="n">
        <f aca="false">IFERROR(INDEX(SEMANAS!$H$6:$H$71,MATCH($B1358,SEMANAS!$B$6:$B$71,0)),0)</f>
        <v>31.5</v>
      </c>
      <c r="T1358" s="18" t="n">
        <f aca="false">$R1358*$S1358</f>
        <v>27.9421875</v>
      </c>
      <c r="U1358" s="18" t="n">
        <f aca="false">IFERROR(INDEX(SEMANAS!$I$6:$I$71,MATCH($B1358,SEMANAS!$B$6:$B$71,0)),0)</f>
        <v>16.31</v>
      </c>
      <c r="V1358" s="18" t="n">
        <f aca="false">IFERROR(INDEX(SEMANAS!$J$6:$J$71,MATCH($B1358,SEMANAS!$B$6:$B$71,0)),0)</f>
        <v>13.048</v>
      </c>
      <c r="W1358" s="18" t="n">
        <f aca="false">MAX(0,$T1358-$V1358)</f>
        <v>14.8941875</v>
      </c>
      <c r="X1358" s="19" t="n">
        <f aca="false">IFERROR(INDEX(CADASTRO_PIVOS!$K$6:$K$41,MATCH($E1358,CADASTRO_PIVOS!$B$6:$B$41,0)),EFICIENCIA_PADRAO)</f>
        <v>0.85</v>
      </c>
      <c r="Y1358" s="18" t="n">
        <f aca="false">IF($X1358&lt;=0,0,$W1358/$X1358)</f>
        <v>17.5225735294118</v>
      </c>
      <c r="Z1358" s="16" t="n">
        <f aca="false">$Y1358*$H1358*MM_PARA_M3_HA</f>
        <v>24521.0893970588</v>
      </c>
      <c r="AA1358" s="18" t="n">
        <f aca="false">IFERROR(INDEX(CADASTRO_PIVOS!$I$6:$I$41,MATCH($E1358,CADASTRO_PIVOS!$B$6:$B$41,0)),0)</f>
        <v>932.933333333333</v>
      </c>
      <c r="AB1358" s="18" t="n">
        <f aca="false">IF($Z1358&lt;=0,0,$Z1358/$AA1358)</f>
        <v>26.2838602941177</v>
      </c>
      <c r="AC1358" s="16" t="n">
        <f aca="false">IFERROR(INDEX(SEMANAS!$K$6:$K$71,MATCH($B1358,SEMANAS!$B$6:$B$71,0)),0)</f>
        <v>147</v>
      </c>
      <c r="AD1358" s="19" t="n">
        <f aca="false">IF($AC1358&lt;=0,0,$AB1358/$AC1358)</f>
        <v>0.178801770708283</v>
      </c>
      <c r="AE1358" s="8" t="str">
        <f aca="false">IF($K1358="SEM CULTURA","SEM CULTURA",IF($AA1358&lt;=0,"DADO PENDENTE",IF($AD1358&gt;LIMITE_CRITICO,"INVIAVEL",IF($AD1358&gt;LIMITE_ATENCAO,"CRITICO",IF($AD1358&gt;LIMITE_CONFORTAVEL,"ATENCAO","OK")))))</f>
        <v>OK</v>
      </c>
      <c r="AF1358" s="8" t="str">
        <f aca="false">$B1358&amp;"|"&amp;TEXT($AD1358,"0.000000")</f>
        <v>33|0.178802</v>
      </c>
      <c r="AG1358" s="18" t="n">
        <f aca="false">IF($K1358="SEM CULTURA",0,$T1358*$H1358)</f>
        <v>3910.22971875</v>
      </c>
      <c r="AH1358" s="18" t="n">
        <f aca="false">IF($K1358="SEM CULTURA",0,$V1358*$H1358)</f>
        <v>1825.93712</v>
      </c>
      <c r="AI1358" s="18" t="n">
        <f aca="false">IF($K1358="SEM CULTURA",0,$W1358*$H1358)</f>
        <v>2084.29259875</v>
      </c>
      <c r="AJ1358" s="18" t="n">
        <f aca="false">IF($K1358="SEM CULTURA",0,$S1358*$H1358)</f>
        <v>4408.11</v>
      </c>
      <c r="AK1358" s="8" t="str">
        <f aca="false">$E1358&amp;"|"&amp;TEXT($AD1358,"0.000000")</f>
        <v>PV 128|0.178802</v>
      </c>
    </row>
    <row r="1359" customFormat="false" ht="15" hidden="false" customHeight="false" outlineLevel="0" collapsed="false">
      <c r="B1359" s="16" t="n">
        <v>34</v>
      </c>
      <c r="C1359" s="17" t="n">
        <f aca="false">DATA_INICIO_SAFRA+($B1359-1)*DIAS_POR_SEMANA</f>
        <v>46496</v>
      </c>
      <c r="D1359" s="17" t="n">
        <f aca="false">$C1359+DIAS_POR_SEMANA-1</f>
        <v>46502</v>
      </c>
      <c r="E1359" s="15" t="s">
        <v>279</v>
      </c>
      <c r="F1359" s="8" t="str">
        <f aca="false">IFERROR(INDEX(CADASTRO_PIVOS!$C$6:$C$41,MATCH($E1359,CADASTRO_PIVOS!$B$6:$B$41,0)),"?")</f>
        <v>RM06</v>
      </c>
      <c r="G1359" s="8" t="str">
        <f aca="false">IFERROR(INDEX(CADASTRO_PIVOS!$D$6:$D$41,MATCH($E1359,CADASTRO_PIVOS!$B$6:$B$41,0)),"?")</f>
        <v>TR06</v>
      </c>
      <c r="H1359" s="20" t="n">
        <f aca="false">IFERROR(INDEX(CADASTRO_PIVOS!$E$6:$E$41,MATCH($E1359,CADASTRO_PIVOS!$B$6:$B$41,0)),0)</f>
        <v>139.94</v>
      </c>
      <c r="I1359" s="16" t="n">
        <f aca="false">IFERROR(SUMIFS(ROTACAO_RDM!$B$6:$B$71,ROTACAO_RDM!$D$6:$D$71,$E1359,ROTACAO_RDM!$I$6:$I$71,"&lt;="&amp;$C1359+INT(DIAS_POR_SEMANA/2),ROTACAO_RDM!$J$6:$J$71,"&gt;="&amp;$C1359+INT(DIAS_POR_SEMANA/2)),0)</f>
        <v>53</v>
      </c>
      <c r="J1359" s="16" t="n">
        <f aca="false">IFERROR(MATCH($I1359,ROTACAO_RDM!$B$6:$B$71,0),0)</f>
        <v>53</v>
      </c>
      <c r="K1359" s="8" t="str">
        <f aca="false">IF($J1359=0,"SEM CULTURA",INDEX(ROTACAO_RDM!$F$6:$F$71,$J1359))</f>
        <v>TABACO</v>
      </c>
      <c r="L1359" s="8" t="str">
        <f aca="false">IF($J1359=0,"",INDEX(ROTACAO_RDM!$G$6:$G$71,$J1359))</f>
        <v>PVH-2343</v>
      </c>
      <c r="M1359" s="17" t="n">
        <f aca="false">IF($J1359=0,"",INDEX(ROTACAO_RDM!$I$6:$I$71,$J1359))</f>
        <v>46345</v>
      </c>
      <c r="N1359" s="16" t="n">
        <f aca="false">IF($J1359=0,0,MAX(0,$C1359+INT(DIAS_POR_SEMANA/2)-INDEX(ROTACAO_RDM!$I$6:$I$71,$J1359)))</f>
        <v>154</v>
      </c>
      <c r="O1359" s="19" t="n">
        <f aca="false">IF($J1359=0,0,MIN(1,$N1359/MAX(1,INDEX(ROTACAO_RDM!$K$6:$K$71,$J1359))))</f>
        <v>0.9625</v>
      </c>
      <c r="P1359" s="16" t="n">
        <f aca="false">IF($J1359=0,0,IFERROR(MATCH(INDEX(ROTACAO_RDM!$N$6:$N$71,$J1359),PARAMETROS_CULTURAS!$B$6:$B$28,0),0))</f>
        <v>9</v>
      </c>
      <c r="Q1359" s="8" t="str">
        <f aca="false">IF($P1359=0,"-",IF($O1359&lt;=INDEX(PARAMETROS_CULTURAS!$F$6:$F$28,$P1359),"INICIAL",IF($O1359&lt;=INDEX(PARAMETROS_CULTURAS!$F$6:$F$28,$P1359)+INDEX(PARAMETROS_CULTURAS!$G$6:$G$28,$P1359),"DESENVOLVIMENTO",IF($O1359&lt;=INDEX(PARAMETROS_CULTURAS!$F$6:$F$28,$P1359)+INDEX(PARAMETROS_CULTURAS!$G$6:$G$28,$P1359)+INDEX(PARAMETROS_CULTURAS!$H$6:$H$28,$P1359),"MEDIA","FINAL"))))</f>
        <v>FINAL</v>
      </c>
      <c r="R1359" s="24" t="n">
        <f aca="false">IF($P1359=0,0,IF($O1359&lt;=INDEX(PARAMETROS_CULTURAS!$F$6:$F$28,$P1359),INDEX(PARAMETROS_CULTURAS!$K$6:$K$28,$P1359),IF($O1359&lt;=INDEX(PARAMETROS_CULTURAS!$F$6:$F$28,$P1359)+INDEX(PARAMETROS_CULTURAS!$G$6:$G$28,$P1359),INDEX(PARAMETROS_CULTURAS!$K$6:$K$28,$P1359)+(INDEX(PARAMETROS_CULTURAS!$L$6:$L$28,$P1359)-INDEX(PARAMETROS_CULTURAS!$K$6:$K$28,$P1359))*($O1359-INDEX(PARAMETROS_CULTURAS!$F$6:$F$28,$P1359))/MAX(INDEX(PARAMETROS_CULTURAS!$G$6:$G$28,$P1359),0.0001),IF($O1359&lt;=INDEX(PARAMETROS_CULTURAS!$F$6:$F$28,$P1359)+INDEX(PARAMETROS_CULTURAS!$G$6:$G$28,$P1359)+INDEX(PARAMETROS_CULTURAS!$H$6:$H$28,$P1359),INDEX(PARAMETROS_CULTURAS!$L$6:$L$28,$P1359),INDEX(PARAMETROS_CULTURAS!$L$6:$L$28,$P1359)+(INDEX(PARAMETROS_CULTURAS!$M$6:$M$28,$P1359)-INDEX(PARAMETROS_CULTURAS!$L$6:$L$28,$P1359))*($O1359-INDEX(PARAMETROS_CULTURAS!$F$6:$F$28,$P1359)-INDEX(PARAMETROS_CULTURAS!$G$6:$G$28,$P1359)-INDEX(PARAMETROS_CULTURAS!$H$6:$H$28,$P1359))/MAX(INDEX(PARAMETROS_CULTURAS!$I$6:$I$28,$P1359),0.0001)))))</f>
        <v>0.840178571428572</v>
      </c>
      <c r="S1359" s="18" t="n">
        <f aca="false">IFERROR(INDEX(SEMANAS!$H$6:$H$71,MATCH($B1359,SEMANAS!$B$6:$B$71,0)),0)</f>
        <v>31.5</v>
      </c>
      <c r="T1359" s="18" t="n">
        <f aca="false">$R1359*$S1359</f>
        <v>26.465625</v>
      </c>
      <c r="U1359" s="18" t="n">
        <f aca="false">IFERROR(INDEX(SEMANAS!$I$6:$I$71,MATCH($B1359,SEMANAS!$B$6:$B$71,0)),0)</f>
        <v>16.31</v>
      </c>
      <c r="V1359" s="18" t="n">
        <f aca="false">IFERROR(INDEX(SEMANAS!$J$6:$J$71,MATCH($B1359,SEMANAS!$B$6:$B$71,0)),0)</f>
        <v>13.048</v>
      </c>
      <c r="W1359" s="18" t="n">
        <f aca="false">MAX(0,$T1359-$V1359)</f>
        <v>13.417625</v>
      </c>
      <c r="X1359" s="19" t="n">
        <f aca="false">IFERROR(INDEX(CADASTRO_PIVOS!$K$6:$K$41,MATCH($E1359,CADASTRO_PIVOS!$B$6:$B$41,0)),EFICIENCIA_PADRAO)</f>
        <v>0.85</v>
      </c>
      <c r="Y1359" s="18" t="n">
        <f aca="false">IF($X1359&lt;=0,0,$W1359/$X1359)</f>
        <v>15.7854411764706</v>
      </c>
      <c r="Z1359" s="16" t="n">
        <f aca="false">$Y1359*$H1359*MM_PARA_M3_HA</f>
        <v>22090.1463823529</v>
      </c>
      <c r="AA1359" s="18" t="n">
        <f aca="false">IFERROR(INDEX(CADASTRO_PIVOS!$I$6:$I$41,MATCH($E1359,CADASTRO_PIVOS!$B$6:$B$41,0)),0)</f>
        <v>932.933333333333</v>
      </c>
      <c r="AB1359" s="18" t="n">
        <f aca="false">IF($Z1359&lt;=0,0,$Z1359/$AA1359)</f>
        <v>23.6781617647059</v>
      </c>
      <c r="AC1359" s="16" t="n">
        <f aca="false">IFERROR(INDEX(SEMANAS!$K$6:$K$71,MATCH($B1359,SEMANAS!$B$6:$B$71,0)),0)</f>
        <v>147</v>
      </c>
      <c r="AD1359" s="19" t="n">
        <f aca="false">IF($AC1359&lt;=0,0,$AB1359/$AC1359)</f>
        <v>0.161075930372149</v>
      </c>
      <c r="AE1359" s="8" t="str">
        <f aca="false">IF($K1359="SEM CULTURA","SEM CULTURA",IF($AA1359&lt;=0,"DADO PENDENTE",IF($AD1359&gt;LIMITE_CRITICO,"INVIAVEL",IF($AD1359&gt;LIMITE_ATENCAO,"CRITICO",IF($AD1359&gt;LIMITE_CONFORTAVEL,"ATENCAO","OK")))))</f>
        <v>OK</v>
      </c>
      <c r="AF1359" s="8" t="str">
        <f aca="false">$B1359&amp;"|"&amp;TEXT($AD1359,"0.000000")</f>
        <v>34|0.161076</v>
      </c>
      <c r="AG1359" s="18" t="n">
        <f aca="false">IF($K1359="SEM CULTURA",0,$T1359*$H1359)</f>
        <v>3703.5995625</v>
      </c>
      <c r="AH1359" s="18" t="n">
        <f aca="false">IF($K1359="SEM CULTURA",0,$V1359*$H1359)</f>
        <v>1825.93712</v>
      </c>
      <c r="AI1359" s="18" t="n">
        <f aca="false">IF($K1359="SEM CULTURA",0,$W1359*$H1359)</f>
        <v>1877.6624425</v>
      </c>
      <c r="AJ1359" s="18" t="n">
        <f aca="false">IF($K1359="SEM CULTURA",0,$S1359*$H1359)</f>
        <v>4408.11</v>
      </c>
      <c r="AK1359" s="8" t="str">
        <f aca="false">$E1359&amp;"|"&amp;TEXT($AD1359,"0.000000")</f>
        <v>PV 128|0.161076</v>
      </c>
    </row>
    <row r="1360" customFormat="false" ht="15" hidden="false" customHeight="false" outlineLevel="0" collapsed="false">
      <c r="B1360" s="16" t="n">
        <v>35</v>
      </c>
      <c r="C1360" s="17" t="n">
        <f aca="false">DATA_INICIO_SAFRA+($B1360-1)*DIAS_POR_SEMANA</f>
        <v>46503</v>
      </c>
      <c r="D1360" s="17" t="n">
        <f aca="false">$C1360+DIAS_POR_SEMANA-1</f>
        <v>46509</v>
      </c>
      <c r="E1360" s="15" t="s">
        <v>279</v>
      </c>
      <c r="F1360" s="8" t="str">
        <f aca="false">IFERROR(INDEX(CADASTRO_PIVOS!$C$6:$C$41,MATCH($E1360,CADASTRO_PIVOS!$B$6:$B$41,0)),"?")</f>
        <v>RM06</v>
      </c>
      <c r="G1360" s="8" t="str">
        <f aca="false">IFERROR(INDEX(CADASTRO_PIVOS!$D$6:$D$41,MATCH($E1360,CADASTRO_PIVOS!$B$6:$B$41,0)),"?")</f>
        <v>TR06</v>
      </c>
      <c r="H1360" s="20" t="n">
        <f aca="false">IFERROR(INDEX(CADASTRO_PIVOS!$E$6:$E$41,MATCH($E1360,CADASTRO_PIVOS!$B$6:$B$41,0)),0)</f>
        <v>139.94</v>
      </c>
      <c r="I1360" s="16" t="n">
        <f aca="false">IFERROR(SUMIFS(ROTACAO_RDM!$B$6:$B$71,ROTACAO_RDM!$D$6:$D$71,$E1360,ROTACAO_RDM!$I$6:$I$71,"&lt;="&amp;$C1360+INT(DIAS_POR_SEMANA/2),ROTACAO_RDM!$J$6:$J$71,"&gt;="&amp;$C1360+INT(DIAS_POR_SEMANA/2)),0)</f>
        <v>0</v>
      </c>
      <c r="J1360" s="16" t="n">
        <f aca="false">IFERROR(MATCH($I1360,ROTACAO_RDM!$B$6:$B$71,0),0)</f>
        <v>0</v>
      </c>
      <c r="K1360" s="8" t="str">
        <f aca="false">IF($J1360=0,"SEM CULTURA",INDEX(ROTACAO_RDM!$F$6:$F$71,$J1360))</f>
        <v>SEM CULTURA</v>
      </c>
      <c r="L1360" s="8" t="str">
        <f aca="false">IF($J1360=0,"",INDEX(ROTACAO_RDM!$G$6:$G$71,$J1360))</f>
        <v/>
      </c>
      <c r="M1360" s="17" t="str">
        <f aca="false">IF($J1360=0,"",INDEX(ROTACAO_RDM!$I$6:$I$71,$J1360))</f>
        <v/>
      </c>
      <c r="N1360" s="16" t="n">
        <f aca="false">IF($J1360=0,0,MAX(0,$C1360+INT(DIAS_POR_SEMANA/2)-INDEX(ROTACAO_RDM!$I$6:$I$71,$J1360)))</f>
        <v>0</v>
      </c>
      <c r="O1360" s="19" t="n">
        <f aca="false">IF($J1360=0,0,MIN(1,$N1360/MAX(1,INDEX(ROTACAO_RDM!$K$6:$K$71,$J1360))))</f>
        <v>0</v>
      </c>
      <c r="P1360" s="16" t="n">
        <f aca="false">IF($J1360=0,0,IFERROR(MATCH(INDEX(ROTACAO_RDM!$N$6:$N$71,$J1360),PARAMETROS_CULTURAS!$B$6:$B$28,0),0))</f>
        <v>0</v>
      </c>
      <c r="Q1360" s="8" t="str">
        <f aca="false">IF($P1360=0,"-",IF($O1360&lt;=INDEX(PARAMETROS_CULTURAS!$F$6:$F$28,$P1360),"INICIAL",IF($O1360&lt;=INDEX(PARAMETROS_CULTURAS!$F$6:$F$28,$P1360)+INDEX(PARAMETROS_CULTURAS!$G$6:$G$28,$P1360),"DESENVOLVIMENTO",IF($O1360&lt;=INDEX(PARAMETROS_CULTURAS!$F$6:$F$28,$P1360)+INDEX(PARAMETROS_CULTURAS!$G$6:$G$28,$P1360)+INDEX(PARAMETROS_CULTURAS!$H$6:$H$28,$P1360),"MEDIA","FINAL"))))</f>
        <v>-</v>
      </c>
      <c r="R1360" s="24" t="n">
        <f aca="false">IF($P1360=0,0,IF($O1360&lt;=INDEX(PARAMETROS_CULTURAS!$F$6:$F$28,$P1360),INDEX(PARAMETROS_CULTURAS!$K$6:$K$28,$P1360),IF($O1360&lt;=INDEX(PARAMETROS_CULTURAS!$F$6:$F$28,$P1360)+INDEX(PARAMETROS_CULTURAS!$G$6:$G$28,$P1360),INDEX(PARAMETROS_CULTURAS!$K$6:$K$28,$P1360)+(INDEX(PARAMETROS_CULTURAS!$L$6:$L$28,$P1360)-INDEX(PARAMETROS_CULTURAS!$K$6:$K$28,$P1360))*($O1360-INDEX(PARAMETROS_CULTURAS!$F$6:$F$28,$P1360))/MAX(INDEX(PARAMETROS_CULTURAS!$G$6:$G$28,$P1360),0.0001),IF($O1360&lt;=INDEX(PARAMETROS_CULTURAS!$F$6:$F$28,$P1360)+INDEX(PARAMETROS_CULTURAS!$G$6:$G$28,$P1360)+INDEX(PARAMETROS_CULTURAS!$H$6:$H$28,$P1360),INDEX(PARAMETROS_CULTURAS!$L$6:$L$28,$P1360),INDEX(PARAMETROS_CULTURAS!$L$6:$L$28,$P1360)+(INDEX(PARAMETROS_CULTURAS!$M$6:$M$28,$P1360)-INDEX(PARAMETROS_CULTURAS!$L$6:$L$28,$P1360))*($O1360-INDEX(PARAMETROS_CULTURAS!$F$6:$F$28,$P1360)-INDEX(PARAMETROS_CULTURAS!$G$6:$G$28,$P1360)-INDEX(PARAMETROS_CULTURAS!$H$6:$H$28,$P1360))/MAX(INDEX(PARAMETROS_CULTURAS!$I$6:$I$28,$P1360),0.0001)))))</f>
        <v>0</v>
      </c>
      <c r="S1360" s="18" t="n">
        <f aca="false">IFERROR(INDEX(SEMANAS!$H$6:$H$71,MATCH($B1360,SEMANAS!$B$6:$B$71,0)),0)</f>
        <v>30.9</v>
      </c>
      <c r="T1360" s="18" t="n">
        <f aca="false">$R1360*$S1360</f>
        <v>0</v>
      </c>
      <c r="U1360" s="18" t="n">
        <f aca="false">IFERROR(INDEX(SEMANAS!$I$6:$I$71,MATCH($B1360,SEMANAS!$B$6:$B$71,0)),0)</f>
        <v>12.61</v>
      </c>
      <c r="V1360" s="18" t="n">
        <f aca="false">IFERROR(INDEX(SEMANAS!$J$6:$J$71,MATCH($B1360,SEMANAS!$B$6:$B$71,0)),0)</f>
        <v>10.088</v>
      </c>
      <c r="W1360" s="18" t="n">
        <f aca="false">MAX(0,$T1360-$V1360)</f>
        <v>0</v>
      </c>
      <c r="X1360" s="19" t="n">
        <f aca="false">IFERROR(INDEX(CADASTRO_PIVOS!$K$6:$K$41,MATCH($E1360,CADASTRO_PIVOS!$B$6:$B$41,0)),EFICIENCIA_PADRAO)</f>
        <v>0.85</v>
      </c>
      <c r="Y1360" s="18" t="n">
        <f aca="false">IF($X1360&lt;=0,0,$W1360/$X1360)</f>
        <v>0</v>
      </c>
      <c r="Z1360" s="16" t="n">
        <f aca="false">$Y1360*$H1360*MM_PARA_M3_HA</f>
        <v>0</v>
      </c>
      <c r="AA1360" s="18" t="n">
        <f aca="false">IFERROR(INDEX(CADASTRO_PIVOS!$I$6:$I$41,MATCH($E1360,CADASTRO_PIVOS!$B$6:$B$41,0)),0)</f>
        <v>932.933333333333</v>
      </c>
      <c r="AB1360" s="18" t="n">
        <f aca="false">IF($Z1360&lt;=0,0,$Z1360/$AA1360)</f>
        <v>0</v>
      </c>
      <c r="AC1360" s="16" t="n">
        <f aca="false">IFERROR(INDEX(SEMANAS!$K$6:$K$71,MATCH($B1360,SEMANAS!$B$6:$B$71,0)),0)</f>
        <v>147</v>
      </c>
      <c r="AD1360" s="19" t="n">
        <f aca="false">IF($AC1360&lt;=0,0,$AB1360/$AC1360)</f>
        <v>0</v>
      </c>
      <c r="AE1360" s="8" t="str">
        <f aca="false">IF($K1360="SEM CULTURA","SEM CULTURA",IF($AA1360&lt;=0,"DADO PENDENTE",IF($AD1360&gt;LIMITE_CRITICO,"INVIAVEL",IF($AD1360&gt;LIMITE_ATENCAO,"CRITICO",IF($AD1360&gt;LIMITE_CONFORTAVEL,"ATENCAO","OK")))))</f>
        <v>SEM CULTURA</v>
      </c>
      <c r="AF1360" s="8" t="str">
        <f aca="false">$B1360&amp;"|"&amp;TEXT($AD1360,"0.000000")</f>
        <v>35|0.000000</v>
      </c>
      <c r="AG1360" s="18" t="n">
        <f aca="false">IF($K1360="SEM CULTURA",0,$T1360*$H1360)</f>
        <v>0</v>
      </c>
      <c r="AH1360" s="18" t="n">
        <f aca="false">IF($K1360="SEM CULTURA",0,$V1360*$H1360)</f>
        <v>0</v>
      </c>
      <c r="AI1360" s="18" t="n">
        <f aca="false">IF($K1360="SEM CULTURA",0,$W1360*$H1360)</f>
        <v>0</v>
      </c>
      <c r="AJ1360" s="18" t="n">
        <f aca="false">IF($K1360="SEM CULTURA",0,$S1360*$H1360)</f>
        <v>0</v>
      </c>
      <c r="AK1360" s="8" t="str">
        <f aca="false">$E1360&amp;"|"&amp;TEXT($AD1360,"0.000000")</f>
        <v>PV 128|0.000000</v>
      </c>
    </row>
    <row r="1361" customFormat="false" ht="15" hidden="false" customHeight="false" outlineLevel="0" collapsed="false">
      <c r="B1361" s="16" t="n">
        <v>36</v>
      </c>
      <c r="C1361" s="17" t="n">
        <f aca="false">DATA_INICIO_SAFRA+($B1361-1)*DIAS_POR_SEMANA</f>
        <v>46510</v>
      </c>
      <c r="D1361" s="17" t="n">
        <f aca="false">$C1361+DIAS_POR_SEMANA-1</f>
        <v>46516</v>
      </c>
      <c r="E1361" s="15" t="s">
        <v>279</v>
      </c>
      <c r="F1361" s="8" t="str">
        <f aca="false">IFERROR(INDEX(CADASTRO_PIVOS!$C$6:$C$41,MATCH($E1361,CADASTRO_PIVOS!$B$6:$B$41,0)),"?")</f>
        <v>RM06</v>
      </c>
      <c r="G1361" s="8" t="str">
        <f aca="false">IFERROR(INDEX(CADASTRO_PIVOS!$D$6:$D$41,MATCH($E1361,CADASTRO_PIVOS!$B$6:$B$41,0)),"?")</f>
        <v>TR06</v>
      </c>
      <c r="H1361" s="20" t="n">
        <f aca="false">IFERROR(INDEX(CADASTRO_PIVOS!$E$6:$E$41,MATCH($E1361,CADASTRO_PIVOS!$B$6:$B$41,0)),0)</f>
        <v>139.94</v>
      </c>
      <c r="I1361" s="16" t="n">
        <f aca="false">IFERROR(SUMIFS(ROTACAO_RDM!$B$6:$B$71,ROTACAO_RDM!$D$6:$D$71,$E1361,ROTACAO_RDM!$I$6:$I$71,"&lt;="&amp;$C1361+INT(DIAS_POR_SEMANA/2),ROTACAO_RDM!$J$6:$J$71,"&gt;="&amp;$C1361+INT(DIAS_POR_SEMANA/2)),0)</f>
        <v>0</v>
      </c>
      <c r="J1361" s="16" t="n">
        <f aca="false">IFERROR(MATCH($I1361,ROTACAO_RDM!$B$6:$B$71,0),0)</f>
        <v>0</v>
      </c>
      <c r="K1361" s="8" t="str">
        <f aca="false">IF($J1361=0,"SEM CULTURA",INDEX(ROTACAO_RDM!$F$6:$F$71,$J1361))</f>
        <v>SEM CULTURA</v>
      </c>
      <c r="L1361" s="8" t="str">
        <f aca="false">IF($J1361=0,"",INDEX(ROTACAO_RDM!$G$6:$G$71,$J1361))</f>
        <v/>
      </c>
      <c r="M1361" s="17" t="str">
        <f aca="false">IF($J1361=0,"",INDEX(ROTACAO_RDM!$I$6:$I$71,$J1361))</f>
        <v/>
      </c>
      <c r="N1361" s="16" t="n">
        <f aca="false">IF($J1361=0,0,MAX(0,$C1361+INT(DIAS_POR_SEMANA/2)-INDEX(ROTACAO_RDM!$I$6:$I$71,$J1361)))</f>
        <v>0</v>
      </c>
      <c r="O1361" s="19" t="n">
        <f aca="false">IF($J1361=0,0,MIN(1,$N1361/MAX(1,INDEX(ROTACAO_RDM!$K$6:$K$71,$J1361))))</f>
        <v>0</v>
      </c>
      <c r="P1361" s="16" t="n">
        <f aca="false">IF($J1361=0,0,IFERROR(MATCH(INDEX(ROTACAO_RDM!$N$6:$N$71,$J1361),PARAMETROS_CULTURAS!$B$6:$B$28,0),0))</f>
        <v>0</v>
      </c>
      <c r="Q1361" s="8" t="str">
        <f aca="false">IF($P1361=0,"-",IF($O1361&lt;=INDEX(PARAMETROS_CULTURAS!$F$6:$F$28,$P1361),"INICIAL",IF($O1361&lt;=INDEX(PARAMETROS_CULTURAS!$F$6:$F$28,$P1361)+INDEX(PARAMETROS_CULTURAS!$G$6:$G$28,$P1361),"DESENVOLVIMENTO",IF($O1361&lt;=INDEX(PARAMETROS_CULTURAS!$F$6:$F$28,$P1361)+INDEX(PARAMETROS_CULTURAS!$G$6:$G$28,$P1361)+INDEX(PARAMETROS_CULTURAS!$H$6:$H$28,$P1361),"MEDIA","FINAL"))))</f>
        <v>-</v>
      </c>
      <c r="R1361" s="24" t="n">
        <f aca="false">IF($P1361=0,0,IF($O1361&lt;=INDEX(PARAMETROS_CULTURAS!$F$6:$F$28,$P1361),INDEX(PARAMETROS_CULTURAS!$K$6:$K$28,$P1361),IF($O1361&lt;=INDEX(PARAMETROS_CULTURAS!$F$6:$F$28,$P1361)+INDEX(PARAMETROS_CULTURAS!$G$6:$G$28,$P1361),INDEX(PARAMETROS_CULTURAS!$K$6:$K$28,$P1361)+(INDEX(PARAMETROS_CULTURAS!$L$6:$L$28,$P1361)-INDEX(PARAMETROS_CULTURAS!$K$6:$K$28,$P1361))*($O1361-INDEX(PARAMETROS_CULTURAS!$F$6:$F$28,$P1361))/MAX(INDEX(PARAMETROS_CULTURAS!$G$6:$G$28,$P1361),0.0001),IF($O1361&lt;=INDEX(PARAMETROS_CULTURAS!$F$6:$F$28,$P1361)+INDEX(PARAMETROS_CULTURAS!$G$6:$G$28,$P1361)+INDEX(PARAMETROS_CULTURAS!$H$6:$H$28,$P1361),INDEX(PARAMETROS_CULTURAS!$L$6:$L$28,$P1361),INDEX(PARAMETROS_CULTURAS!$L$6:$L$28,$P1361)+(INDEX(PARAMETROS_CULTURAS!$M$6:$M$28,$P1361)-INDEX(PARAMETROS_CULTURAS!$L$6:$L$28,$P1361))*($O1361-INDEX(PARAMETROS_CULTURAS!$F$6:$F$28,$P1361)-INDEX(PARAMETROS_CULTURAS!$G$6:$G$28,$P1361)-INDEX(PARAMETROS_CULTURAS!$H$6:$H$28,$P1361))/MAX(INDEX(PARAMETROS_CULTURAS!$I$6:$I$28,$P1361),0.0001)))))</f>
        <v>0</v>
      </c>
      <c r="S1361" s="18" t="n">
        <f aca="false">IFERROR(INDEX(SEMANAS!$H$6:$H$71,MATCH($B1361,SEMANAS!$B$6:$B$71,0)),0)</f>
        <v>29.4</v>
      </c>
      <c r="T1361" s="18" t="n">
        <f aca="false">$R1361*$S1361</f>
        <v>0</v>
      </c>
      <c r="U1361" s="18" t="n">
        <f aca="false">IFERROR(INDEX(SEMANAS!$I$6:$I$71,MATCH($B1361,SEMANAS!$B$6:$B$71,0)),0)</f>
        <v>3.36</v>
      </c>
      <c r="V1361" s="18" t="n">
        <f aca="false">IFERROR(INDEX(SEMANAS!$J$6:$J$71,MATCH($B1361,SEMANAS!$B$6:$B$71,0)),0)</f>
        <v>2.688</v>
      </c>
      <c r="W1361" s="18" t="n">
        <f aca="false">MAX(0,$T1361-$V1361)</f>
        <v>0</v>
      </c>
      <c r="X1361" s="19" t="n">
        <f aca="false">IFERROR(INDEX(CADASTRO_PIVOS!$K$6:$K$41,MATCH($E1361,CADASTRO_PIVOS!$B$6:$B$41,0)),EFICIENCIA_PADRAO)</f>
        <v>0.85</v>
      </c>
      <c r="Y1361" s="18" t="n">
        <f aca="false">IF($X1361&lt;=0,0,$W1361/$X1361)</f>
        <v>0</v>
      </c>
      <c r="Z1361" s="16" t="n">
        <f aca="false">$Y1361*$H1361*MM_PARA_M3_HA</f>
        <v>0</v>
      </c>
      <c r="AA1361" s="18" t="n">
        <f aca="false">IFERROR(INDEX(CADASTRO_PIVOS!$I$6:$I$41,MATCH($E1361,CADASTRO_PIVOS!$B$6:$B$41,0)),0)</f>
        <v>932.933333333333</v>
      </c>
      <c r="AB1361" s="18" t="n">
        <f aca="false">IF($Z1361&lt;=0,0,$Z1361/$AA1361)</f>
        <v>0</v>
      </c>
      <c r="AC1361" s="16" t="n">
        <f aca="false">IFERROR(INDEX(SEMANAS!$K$6:$K$71,MATCH($B1361,SEMANAS!$B$6:$B$71,0)),0)</f>
        <v>147</v>
      </c>
      <c r="AD1361" s="19" t="n">
        <f aca="false">IF($AC1361&lt;=0,0,$AB1361/$AC1361)</f>
        <v>0</v>
      </c>
      <c r="AE1361" s="8" t="str">
        <f aca="false">IF($K1361="SEM CULTURA","SEM CULTURA",IF($AA1361&lt;=0,"DADO PENDENTE",IF($AD1361&gt;LIMITE_CRITICO,"INVIAVEL",IF($AD1361&gt;LIMITE_ATENCAO,"CRITICO",IF($AD1361&gt;LIMITE_CONFORTAVEL,"ATENCAO","OK")))))</f>
        <v>SEM CULTURA</v>
      </c>
      <c r="AF1361" s="8" t="str">
        <f aca="false">$B1361&amp;"|"&amp;TEXT($AD1361,"0.000000")</f>
        <v>36|0.000000</v>
      </c>
      <c r="AG1361" s="18" t="n">
        <f aca="false">IF($K1361="SEM CULTURA",0,$T1361*$H1361)</f>
        <v>0</v>
      </c>
      <c r="AH1361" s="18" t="n">
        <f aca="false">IF($K1361="SEM CULTURA",0,$V1361*$H1361)</f>
        <v>0</v>
      </c>
      <c r="AI1361" s="18" t="n">
        <f aca="false">IF($K1361="SEM CULTURA",0,$W1361*$H1361)</f>
        <v>0</v>
      </c>
      <c r="AJ1361" s="18" t="n">
        <f aca="false">IF($K1361="SEM CULTURA",0,$S1361*$H1361)</f>
        <v>0</v>
      </c>
      <c r="AK1361" s="8" t="str">
        <f aca="false">$E1361&amp;"|"&amp;TEXT($AD1361,"0.000000")</f>
        <v>PV 128|0.000000</v>
      </c>
    </row>
    <row r="1362" customFormat="false" ht="15" hidden="false" customHeight="false" outlineLevel="0" collapsed="false">
      <c r="B1362" s="16" t="n">
        <v>37</v>
      </c>
      <c r="C1362" s="17" t="n">
        <f aca="false">DATA_INICIO_SAFRA+($B1362-1)*DIAS_POR_SEMANA</f>
        <v>46517</v>
      </c>
      <c r="D1362" s="17" t="n">
        <f aca="false">$C1362+DIAS_POR_SEMANA-1</f>
        <v>46523</v>
      </c>
      <c r="E1362" s="15" t="s">
        <v>279</v>
      </c>
      <c r="F1362" s="8" t="str">
        <f aca="false">IFERROR(INDEX(CADASTRO_PIVOS!$C$6:$C$41,MATCH($E1362,CADASTRO_PIVOS!$B$6:$B$41,0)),"?")</f>
        <v>RM06</v>
      </c>
      <c r="G1362" s="8" t="str">
        <f aca="false">IFERROR(INDEX(CADASTRO_PIVOS!$D$6:$D$41,MATCH($E1362,CADASTRO_PIVOS!$B$6:$B$41,0)),"?")</f>
        <v>TR06</v>
      </c>
      <c r="H1362" s="20" t="n">
        <f aca="false">IFERROR(INDEX(CADASTRO_PIVOS!$E$6:$E$41,MATCH($E1362,CADASTRO_PIVOS!$B$6:$B$41,0)),0)</f>
        <v>139.94</v>
      </c>
      <c r="I1362" s="16" t="n">
        <f aca="false">IFERROR(SUMIFS(ROTACAO_RDM!$B$6:$B$71,ROTACAO_RDM!$D$6:$D$71,$E1362,ROTACAO_RDM!$I$6:$I$71,"&lt;="&amp;$C1362+INT(DIAS_POR_SEMANA/2),ROTACAO_RDM!$J$6:$J$71,"&gt;="&amp;$C1362+INT(DIAS_POR_SEMANA/2)),0)</f>
        <v>54</v>
      </c>
      <c r="J1362" s="16" t="n">
        <f aca="false">IFERROR(MATCH($I1362,ROTACAO_RDM!$B$6:$B$71,0),0)</f>
        <v>54</v>
      </c>
      <c r="K1362" s="8" t="str">
        <f aca="false">IF($J1362=0,"SEM CULTURA",INDEX(ROTACAO_RDM!$F$6:$F$71,$J1362))</f>
        <v>MILHO_GRAO</v>
      </c>
      <c r="L1362" s="8" t="n">
        <f aca="false">IF($J1362=0,"",INDEX(ROTACAO_RDM!$G$6:$G$71,$J1362))</f>
        <v>0</v>
      </c>
      <c r="M1362" s="17" t="n">
        <f aca="false">IF($J1362=0,"",INDEX(ROTACAO_RDM!$I$6:$I$71,$J1362))</f>
        <v>46515</v>
      </c>
      <c r="N1362" s="16" t="n">
        <f aca="false">IF($J1362=0,0,MAX(0,$C1362+INT(DIAS_POR_SEMANA/2)-INDEX(ROTACAO_RDM!$I$6:$I$71,$J1362)))</f>
        <v>5</v>
      </c>
      <c r="O1362" s="19" t="n">
        <f aca="false">IF($J1362=0,0,MIN(1,$N1362/MAX(1,INDEX(ROTACAO_RDM!$K$6:$K$71,$J1362))))</f>
        <v>0.03125</v>
      </c>
      <c r="P1362" s="16" t="n">
        <f aca="false">IF($J1362=0,0,IFERROR(MATCH(INDEX(ROTACAO_RDM!$N$6:$N$71,$J1362),PARAMETROS_CULTURAS!$B$6:$B$28,0),0))</f>
        <v>8</v>
      </c>
      <c r="Q1362" s="8" t="str">
        <f aca="false">IF($P1362=0,"-",IF($O1362&lt;=INDEX(PARAMETROS_CULTURAS!$F$6:$F$28,$P1362),"INICIAL",IF($O1362&lt;=INDEX(PARAMETROS_CULTURAS!$F$6:$F$28,$P1362)+INDEX(PARAMETROS_CULTURAS!$G$6:$G$28,$P1362),"DESENVOLVIMENTO",IF($O1362&lt;=INDEX(PARAMETROS_CULTURAS!$F$6:$F$28,$P1362)+INDEX(PARAMETROS_CULTURAS!$G$6:$G$28,$P1362)+INDEX(PARAMETROS_CULTURAS!$H$6:$H$28,$P1362),"MEDIA","FINAL"))))</f>
        <v>INICIAL</v>
      </c>
      <c r="R1362" s="24" t="n">
        <f aca="false">IF($P1362=0,0,IF($O1362&lt;=INDEX(PARAMETROS_CULTURAS!$F$6:$F$28,$P1362),INDEX(PARAMETROS_CULTURAS!$K$6:$K$28,$P1362),IF($O1362&lt;=INDEX(PARAMETROS_CULTURAS!$F$6:$F$28,$P1362)+INDEX(PARAMETROS_CULTURAS!$G$6:$G$28,$P1362),INDEX(PARAMETROS_CULTURAS!$K$6:$K$28,$P1362)+(INDEX(PARAMETROS_CULTURAS!$L$6:$L$28,$P1362)-INDEX(PARAMETROS_CULTURAS!$K$6:$K$28,$P1362))*($O1362-INDEX(PARAMETROS_CULTURAS!$F$6:$F$28,$P1362))/MAX(INDEX(PARAMETROS_CULTURAS!$G$6:$G$28,$P1362),0.0001),IF($O1362&lt;=INDEX(PARAMETROS_CULTURAS!$F$6:$F$28,$P1362)+INDEX(PARAMETROS_CULTURAS!$G$6:$G$28,$P1362)+INDEX(PARAMETROS_CULTURAS!$H$6:$H$28,$P1362),INDEX(PARAMETROS_CULTURAS!$L$6:$L$28,$P1362),INDEX(PARAMETROS_CULTURAS!$L$6:$L$28,$P1362)+(INDEX(PARAMETROS_CULTURAS!$M$6:$M$28,$P1362)-INDEX(PARAMETROS_CULTURAS!$L$6:$L$28,$P1362))*($O1362-INDEX(PARAMETROS_CULTURAS!$F$6:$F$28,$P1362)-INDEX(PARAMETROS_CULTURAS!$G$6:$G$28,$P1362)-INDEX(PARAMETROS_CULTURAS!$H$6:$H$28,$P1362))/MAX(INDEX(PARAMETROS_CULTURAS!$I$6:$I$28,$P1362),0.0001)))))</f>
        <v>0.3</v>
      </c>
      <c r="S1362" s="18" t="n">
        <f aca="false">IFERROR(INDEX(SEMANAS!$H$6:$H$71,MATCH($B1362,SEMANAS!$B$6:$B$71,0)),0)</f>
        <v>29.4</v>
      </c>
      <c r="T1362" s="18" t="n">
        <f aca="false">$R1362*$S1362</f>
        <v>8.82</v>
      </c>
      <c r="U1362" s="18" t="n">
        <f aca="false">IFERROR(INDEX(SEMANAS!$I$6:$I$71,MATCH($B1362,SEMANAS!$B$6:$B$71,0)),0)</f>
        <v>3.36</v>
      </c>
      <c r="V1362" s="18" t="n">
        <f aca="false">IFERROR(INDEX(SEMANAS!$J$6:$J$71,MATCH($B1362,SEMANAS!$B$6:$B$71,0)),0)</f>
        <v>2.688</v>
      </c>
      <c r="W1362" s="18" t="n">
        <f aca="false">MAX(0,$T1362-$V1362)</f>
        <v>6.132</v>
      </c>
      <c r="X1362" s="19" t="n">
        <f aca="false">IFERROR(INDEX(CADASTRO_PIVOS!$K$6:$K$41,MATCH($E1362,CADASTRO_PIVOS!$B$6:$B$41,0)),EFICIENCIA_PADRAO)</f>
        <v>0.85</v>
      </c>
      <c r="Y1362" s="18" t="n">
        <f aca="false">IF($X1362&lt;=0,0,$W1362/$X1362)</f>
        <v>7.21411764705882</v>
      </c>
      <c r="Z1362" s="16" t="n">
        <f aca="false">$Y1362*$H1362*MM_PARA_M3_HA</f>
        <v>10095.4362352941</v>
      </c>
      <c r="AA1362" s="18" t="n">
        <f aca="false">IFERROR(INDEX(CADASTRO_PIVOS!$I$6:$I$41,MATCH($E1362,CADASTRO_PIVOS!$B$6:$B$41,0)),0)</f>
        <v>932.933333333333</v>
      </c>
      <c r="AB1362" s="18" t="n">
        <f aca="false">IF($Z1362&lt;=0,0,$Z1362/$AA1362)</f>
        <v>10.8211764705882</v>
      </c>
      <c r="AC1362" s="16" t="n">
        <f aca="false">IFERROR(INDEX(SEMANAS!$K$6:$K$71,MATCH($B1362,SEMANAS!$B$6:$B$71,0)),0)</f>
        <v>147</v>
      </c>
      <c r="AD1362" s="19" t="n">
        <f aca="false">IF($AC1362&lt;=0,0,$AB1362/$AC1362)</f>
        <v>0.0736134453781513</v>
      </c>
      <c r="AE1362" s="8" t="str">
        <f aca="false">IF($K1362="SEM CULTURA","SEM CULTURA",IF($AA1362&lt;=0,"DADO PENDENTE",IF($AD1362&gt;LIMITE_CRITICO,"INVIAVEL",IF($AD1362&gt;LIMITE_ATENCAO,"CRITICO",IF($AD1362&gt;LIMITE_CONFORTAVEL,"ATENCAO","OK")))))</f>
        <v>OK</v>
      </c>
      <c r="AF1362" s="8" t="str">
        <f aca="false">$B1362&amp;"|"&amp;TEXT($AD1362,"0.000000")</f>
        <v>37|0.073613</v>
      </c>
      <c r="AG1362" s="18" t="n">
        <f aca="false">IF($K1362="SEM CULTURA",0,$T1362*$H1362)</f>
        <v>1234.2708</v>
      </c>
      <c r="AH1362" s="18" t="n">
        <f aca="false">IF($K1362="SEM CULTURA",0,$V1362*$H1362)</f>
        <v>376.15872</v>
      </c>
      <c r="AI1362" s="18" t="n">
        <f aca="false">IF($K1362="SEM CULTURA",0,$W1362*$H1362)</f>
        <v>858.11208</v>
      </c>
      <c r="AJ1362" s="18" t="n">
        <f aca="false">IF($K1362="SEM CULTURA",0,$S1362*$H1362)</f>
        <v>4114.236</v>
      </c>
      <c r="AK1362" s="8" t="str">
        <f aca="false">$E1362&amp;"|"&amp;TEXT($AD1362,"0.000000")</f>
        <v>PV 128|0.073613</v>
      </c>
    </row>
    <row r="1363" customFormat="false" ht="15" hidden="false" customHeight="false" outlineLevel="0" collapsed="false">
      <c r="B1363" s="16" t="n">
        <v>38</v>
      </c>
      <c r="C1363" s="17" t="n">
        <f aca="false">DATA_INICIO_SAFRA+($B1363-1)*DIAS_POR_SEMANA</f>
        <v>46524</v>
      </c>
      <c r="D1363" s="17" t="n">
        <f aca="false">$C1363+DIAS_POR_SEMANA-1</f>
        <v>46530</v>
      </c>
      <c r="E1363" s="15" t="s">
        <v>279</v>
      </c>
      <c r="F1363" s="8" t="str">
        <f aca="false">IFERROR(INDEX(CADASTRO_PIVOS!$C$6:$C$41,MATCH($E1363,CADASTRO_PIVOS!$B$6:$B$41,0)),"?")</f>
        <v>RM06</v>
      </c>
      <c r="G1363" s="8" t="str">
        <f aca="false">IFERROR(INDEX(CADASTRO_PIVOS!$D$6:$D$41,MATCH($E1363,CADASTRO_PIVOS!$B$6:$B$41,0)),"?")</f>
        <v>TR06</v>
      </c>
      <c r="H1363" s="20" t="n">
        <f aca="false">IFERROR(INDEX(CADASTRO_PIVOS!$E$6:$E$41,MATCH($E1363,CADASTRO_PIVOS!$B$6:$B$41,0)),0)</f>
        <v>139.94</v>
      </c>
      <c r="I1363" s="16" t="n">
        <f aca="false">IFERROR(SUMIFS(ROTACAO_RDM!$B$6:$B$71,ROTACAO_RDM!$D$6:$D$71,$E1363,ROTACAO_RDM!$I$6:$I$71,"&lt;="&amp;$C1363+INT(DIAS_POR_SEMANA/2),ROTACAO_RDM!$J$6:$J$71,"&gt;="&amp;$C1363+INT(DIAS_POR_SEMANA/2)),0)</f>
        <v>54</v>
      </c>
      <c r="J1363" s="16" t="n">
        <f aca="false">IFERROR(MATCH($I1363,ROTACAO_RDM!$B$6:$B$71,0),0)</f>
        <v>54</v>
      </c>
      <c r="K1363" s="8" t="str">
        <f aca="false">IF($J1363=0,"SEM CULTURA",INDEX(ROTACAO_RDM!$F$6:$F$71,$J1363))</f>
        <v>MILHO_GRAO</v>
      </c>
      <c r="L1363" s="8" t="n">
        <f aca="false">IF($J1363=0,"",INDEX(ROTACAO_RDM!$G$6:$G$71,$J1363))</f>
        <v>0</v>
      </c>
      <c r="M1363" s="17" t="n">
        <f aca="false">IF($J1363=0,"",INDEX(ROTACAO_RDM!$I$6:$I$71,$J1363))</f>
        <v>46515</v>
      </c>
      <c r="N1363" s="16" t="n">
        <f aca="false">IF($J1363=0,0,MAX(0,$C1363+INT(DIAS_POR_SEMANA/2)-INDEX(ROTACAO_RDM!$I$6:$I$71,$J1363)))</f>
        <v>12</v>
      </c>
      <c r="O1363" s="19" t="n">
        <f aca="false">IF($J1363=0,0,MIN(1,$N1363/MAX(1,INDEX(ROTACAO_RDM!$K$6:$K$71,$J1363))))</f>
        <v>0.075</v>
      </c>
      <c r="P1363" s="16" t="n">
        <f aca="false">IF($J1363=0,0,IFERROR(MATCH(INDEX(ROTACAO_RDM!$N$6:$N$71,$J1363),PARAMETROS_CULTURAS!$B$6:$B$28,0),0))</f>
        <v>8</v>
      </c>
      <c r="Q1363" s="8" t="str">
        <f aca="false">IF($P1363=0,"-",IF($O1363&lt;=INDEX(PARAMETROS_CULTURAS!$F$6:$F$28,$P1363),"INICIAL",IF($O1363&lt;=INDEX(PARAMETROS_CULTURAS!$F$6:$F$28,$P1363)+INDEX(PARAMETROS_CULTURAS!$G$6:$G$28,$P1363),"DESENVOLVIMENTO",IF($O1363&lt;=INDEX(PARAMETROS_CULTURAS!$F$6:$F$28,$P1363)+INDEX(PARAMETROS_CULTURAS!$G$6:$G$28,$P1363)+INDEX(PARAMETROS_CULTURAS!$H$6:$H$28,$P1363),"MEDIA","FINAL"))))</f>
        <v>INICIAL</v>
      </c>
      <c r="R1363" s="24" t="n">
        <f aca="false">IF($P1363=0,0,IF($O1363&lt;=INDEX(PARAMETROS_CULTURAS!$F$6:$F$28,$P1363),INDEX(PARAMETROS_CULTURAS!$K$6:$K$28,$P1363),IF($O1363&lt;=INDEX(PARAMETROS_CULTURAS!$F$6:$F$28,$P1363)+INDEX(PARAMETROS_CULTURAS!$G$6:$G$28,$P1363),INDEX(PARAMETROS_CULTURAS!$K$6:$K$28,$P1363)+(INDEX(PARAMETROS_CULTURAS!$L$6:$L$28,$P1363)-INDEX(PARAMETROS_CULTURAS!$K$6:$K$28,$P1363))*($O1363-INDEX(PARAMETROS_CULTURAS!$F$6:$F$28,$P1363))/MAX(INDEX(PARAMETROS_CULTURAS!$G$6:$G$28,$P1363),0.0001),IF($O1363&lt;=INDEX(PARAMETROS_CULTURAS!$F$6:$F$28,$P1363)+INDEX(PARAMETROS_CULTURAS!$G$6:$G$28,$P1363)+INDEX(PARAMETROS_CULTURAS!$H$6:$H$28,$P1363),INDEX(PARAMETROS_CULTURAS!$L$6:$L$28,$P1363),INDEX(PARAMETROS_CULTURAS!$L$6:$L$28,$P1363)+(INDEX(PARAMETROS_CULTURAS!$M$6:$M$28,$P1363)-INDEX(PARAMETROS_CULTURAS!$L$6:$L$28,$P1363))*($O1363-INDEX(PARAMETROS_CULTURAS!$F$6:$F$28,$P1363)-INDEX(PARAMETROS_CULTURAS!$G$6:$G$28,$P1363)-INDEX(PARAMETROS_CULTURAS!$H$6:$H$28,$P1363))/MAX(INDEX(PARAMETROS_CULTURAS!$I$6:$I$28,$P1363),0.0001)))))</f>
        <v>0.3</v>
      </c>
      <c r="S1363" s="18" t="n">
        <f aca="false">IFERROR(INDEX(SEMANAS!$H$6:$H$71,MATCH($B1363,SEMANAS!$B$6:$B$71,0)),0)</f>
        <v>29.4</v>
      </c>
      <c r="T1363" s="18" t="n">
        <f aca="false">$R1363*$S1363</f>
        <v>8.82</v>
      </c>
      <c r="U1363" s="18" t="n">
        <f aca="false">IFERROR(INDEX(SEMANAS!$I$6:$I$71,MATCH($B1363,SEMANAS!$B$6:$B$71,0)),0)</f>
        <v>3.36</v>
      </c>
      <c r="V1363" s="18" t="n">
        <f aca="false">IFERROR(INDEX(SEMANAS!$J$6:$J$71,MATCH($B1363,SEMANAS!$B$6:$B$71,0)),0)</f>
        <v>2.688</v>
      </c>
      <c r="W1363" s="18" t="n">
        <f aca="false">MAX(0,$T1363-$V1363)</f>
        <v>6.132</v>
      </c>
      <c r="X1363" s="19" t="n">
        <f aca="false">IFERROR(INDEX(CADASTRO_PIVOS!$K$6:$K$41,MATCH($E1363,CADASTRO_PIVOS!$B$6:$B$41,0)),EFICIENCIA_PADRAO)</f>
        <v>0.85</v>
      </c>
      <c r="Y1363" s="18" t="n">
        <f aca="false">IF($X1363&lt;=0,0,$W1363/$X1363)</f>
        <v>7.21411764705882</v>
      </c>
      <c r="Z1363" s="16" t="n">
        <f aca="false">$Y1363*$H1363*MM_PARA_M3_HA</f>
        <v>10095.4362352941</v>
      </c>
      <c r="AA1363" s="18" t="n">
        <f aca="false">IFERROR(INDEX(CADASTRO_PIVOS!$I$6:$I$41,MATCH($E1363,CADASTRO_PIVOS!$B$6:$B$41,0)),0)</f>
        <v>932.933333333333</v>
      </c>
      <c r="AB1363" s="18" t="n">
        <f aca="false">IF($Z1363&lt;=0,0,$Z1363/$AA1363)</f>
        <v>10.8211764705882</v>
      </c>
      <c r="AC1363" s="16" t="n">
        <f aca="false">IFERROR(INDEX(SEMANAS!$K$6:$K$71,MATCH($B1363,SEMANAS!$B$6:$B$71,0)),0)</f>
        <v>147</v>
      </c>
      <c r="AD1363" s="19" t="n">
        <f aca="false">IF($AC1363&lt;=0,0,$AB1363/$AC1363)</f>
        <v>0.0736134453781513</v>
      </c>
      <c r="AE1363" s="8" t="str">
        <f aca="false">IF($K1363="SEM CULTURA","SEM CULTURA",IF($AA1363&lt;=0,"DADO PENDENTE",IF($AD1363&gt;LIMITE_CRITICO,"INVIAVEL",IF($AD1363&gt;LIMITE_ATENCAO,"CRITICO",IF($AD1363&gt;LIMITE_CONFORTAVEL,"ATENCAO","OK")))))</f>
        <v>OK</v>
      </c>
      <c r="AF1363" s="8" t="str">
        <f aca="false">$B1363&amp;"|"&amp;TEXT($AD1363,"0.000000")</f>
        <v>38|0.073613</v>
      </c>
      <c r="AG1363" s="18" t="n">
        <f aca="false">IF($K1363="SEM CULTURA",0,$T1363*$H1363)</f>
        <v>1234.2708</v>
      </c>
      <c r="AH1363" s="18" t="n">
        <f aca="false">IF($K1363="SEM CULTURA",0,$V1363*$H1363)</f>
        <v>376.15872</v>
      </c>
      <c r="AI1363" s="18" t="n">
        <f aca="false">IF($K1363="SEM CULTURA",0,$W1363*$H1363)</f>
        <v>858.11208</v>
      </c>
      <c r="AJ1363" s="18" t="n">
        <f aca="false">IF($K1363="SEM CULTURA",0,$S1363*$H1363)</f>
        <v>4114.236</v>
      </c>
      <c r="AK1363" s="8" t="str">
        <f aca="false">$E1363&amp;"|"&amp;TEXT($AD1363,"0.000000")</f>
        <v>PV 128|0.073613</v>
      </c>
    </row>
    <row r="1364" customFormat="false" ht="15" hidden="false" customHeight="false" outlineLevel="0" collapsed="false">
      <c r="B1364" s="16" t="n">
        <v>39</v>
      </c>
      <c r="C1364" s="17" t="n">
        <f aca="false">DATA_INICIO_SAFRA+($B1364-1)*DIAS_POR_SEMANA</f>
        <v>46531</v>
      </c>
      <c r="D1364" s="17" t="n">
        <f aca="false">$C1364+DIAS_POR_SEMANA-1</f>
        <v>46537</v>
      </c>
      <c r="E1364" s="15" t="s">
        <v>279</v>
      </c>
      <c r="F1364" s="8" t="str">
        <f aca="false">IFERROR(INDEX(CADASTRO_PIVOS!$C$6:$C$41,MATCH($E1364,CADASTRO_PIVOS!$B$6:$B$41,0)),"?")</f>
        <v>RM06</v>
      </c>
      <c r="G1364" s="8" t="str">
        <f aca="false">IFERROR(INDEX(CADASTRO_PIVOS!$D$6:$D$41,MATCH($E1364,CADASTRO_PIVOS!$B$6:$B$41,0)),"?")</f>
        <v>TR06</v>
      </c>
      <c r="H1364" s="20" t="n">
        <f aca="false">IFERROR(INDEX(CADASTRO_PIVOS!$E$6:$E$41,MATCH($E1364,CADASTRO_PIVOS!$B$6:$B$41,0)),0)</f>
        <v>139.94</v>
      </c>
      <c r="I1364" s="16" t="n">
        <f aca="false">IFERROR(SUMIFS(ROTACAO_RDM!$B$6:$B$71,ROTACAO_RDM!$D$6:$D$71,$E1364,ROTACAO_RDM!$I$6:$I$71,"&lt;="&amp;$C1364+INT(DIAS_POR_SEMANA/2),ROTACAO_RDM!$J$6:$J$71,"&gt;="&amp;$C1364+INT(DIAS_POR_SEMANA/2)),0)</f>
        <v>54</v>
      </c>
      <c r="J1364" s="16" t="n">
        <f aca="false">IFERROR(MATCH($I1364,ROTACAO_RDM!$B$6:$B$71,0),0)</f>
        <v>54</v>
      </c>
      <c r="K1364" s="8" t="str">
        <f aca="false">IF($J1364=0,"SEM CULTURA",INDEX(ROTACAO_RDM!$F$6:$F$71,$J1364))</f>
        <v>MILHO_GRAO</v>
      </c>
      <c r="L1364" s="8" t="n">
        <f aca="false">IF($J1364=0,"",INDEX(ROTACAO_RDM!$G$6:$G$71,$J1364))</f>
        <v>0</v>
      </c>
      <c r="M1364" s="17" t="n">
        <f aca="false">IF($J1364=0,"",INDEX(ROTACAO_RDM!$I$6:$I$71,$J1364))</f>
        <v>46515</v>
      </c>
      <c r="N1364" s="16" t="n">
        <f aca="false">IF($J1364=0,0,MAX(0,$C1364+INT(DIAS_POR_SEMANA/2)-INDEX(ROTACAO_RDM!$I$6:$I$71,$J1364)))</f>
        <v>19</v>
      </c>
      <c r="O1364" s="19" t="n">
        <f aca="false">IF($J1364=0,0,MIN(1,$N1364/MAX(1,INDEX(ROTACAO_RDM!$K$6:$K$71,$J1364))))</f>
        <v>0.11875</v>
      </c>
      <c r="P1364" s="16" t="n">
        <f aca="false">IF($J1364=0,0,IFERROR(MATCH(INDEX(ROTACAO_RDM!$N$6:$N$71,$J1364),PARAMETROS_CULTURAS!$B$6:$B$28,0),0))</f>
        <v>8</v>
      </c>
      <c r="Q1364" s="8" t="str">
        <f aca="false">IF($P1364=0,"-",IF($O1364&lt;=INDEX(PARAMETROS_CULTURAS!$F$6:$F$28,$P1364),"INICIAL",IF($O1364&lt;=INDEX(PARAMETROS_CULTURAS!$F$6:$F$28,$P1364)+INDEX(PARAMETROS_CULTURAS!$G$6:$G$28,$P1364),"DESENVOLVIMENTO",IF($O1364&lt;=INDEX(PARAMETROS_CULTURAS!$F$6:$F$28,$P1364)+INDEX(PARAMETROS_CULTURAS!$G$6:$G$28,$P1364)+INDEX(PARAMETROS_CULTURAS!$H$6:$H$28,$P1364),"MEDIA","FINAL"))))</f>
        <v>INICIAL</v>
      </c>
      <c r="R1364" s="24" t="n">
        <f aca="false">IF($P1364=0,0,IF($O1364&lt;=INDEX(PARAMETROS_CULTURAS!$F$6:$F$28,$P1364),INDEX(PARAMETROS_CULTURAS!$K$6:$K$28,$P1364),IF($O1364&lt;=INDEX(PARAMETROS_CULTURAS!$F$6:$F$28,$P1364)+INDEX(PARAMETROS_CULTURAS!$G$6:$G$28,$P1364),INDEX(PARAMETROS_CULTURAS!$K$6:$K$28,$P1364)+(INDEX(PARAMETROS_CULTURAS!$L$6:$L$28,$P1364)-INDEX(PARAMETROS_CULTURAS!$K$6:$K$28,$P1364))*($O1364-INDEX(PARAMETROS_CULTURAS!$F$6:$F$28,$P1364))/MAX(INDEX(PARAMETROS_CULTURAS!$G$6:$G$28,$P1364),0.0001),IF($O1364&lt;=INDEX(PARAMETROS_CULTURAS!$F$6:$F$28,$P1364)+INDEX(PARAMETROS_CULTURAS!$G$6:$G$28,$P1364)+INDEX(PARAMETROS_CULTURAS!$H$6:$H$28,$P1364),INDEX(PARAMETROS_CULTURAS!$L$6:$L$28,$P1364),INDEX(PARAMETROS_CULTURAS!$L$6:$L$28,$P1364)+(INDEX(PARAMETROS_CULTURAS!$M$6:$M$28,$P1364)-INDEX(PARAMETROS_CULTURAS!$L$6:$L$28,$P1364))*($O1364-INDEX(PARAMETROS_CULTURAS!$F$6:$F$28,$P1364)-INDEX(PARAMETROS_CULTURAS!$G$6:$G$28,$P1364)-INDEX(PARAMETROS_CULTURAS!$H$6:$H$28,$P1364))/MAX(INDEX(PARAMETROS_CULTURAS!$I$6:$I$28,$P1364),0.0001)))))</f>
        <v>0.3</v>
      </c>
      <c r="S1364" s="18" t="n">
        <f aca="false">IFERROR(INDEX(SEMANAS!$H$6:$H$71,MATCH($B1364,SEMANAS!$B$6:$B$71,0)),0)</f>
        <v>29.4</v>
      </c>
      <c r="T1364" s="18" t="n">
        <f aca="false">$R1364*$S1364</f>
        <v>8.82</v>
      </c>
      <c r="U1364" s="18" t="n">
        <f aca="false">IFERROR(INDEX(SEMANAS!$I$6:$I$71,MATCH($B1364,SEMANAS!$B$6:$B$71,0)),0)</f>
        <v>3.36</v>
      </c>
      <c r="V1364" s="18" t="n">
        <f aca="false">IFERROR(INDEX(SEMANAS!$J$6:$J$71,MATCH($B1364,SEMANAS!$B$6:$B$71,0)),0)</f>
        <v>2.688</v>
      </c>
      <c r="W1364" s="18" t="n">
        <f aca="false">MAX(0,$T1364-$V1364)</f>
        <v>6.132</v>
      </c>
      <c r="X1364" s="19" t="n">
        <f aca="false">IFERROR(INDEX(CADASTRO_PIVOS!$K$6:$K$41,MATCH($E1364,CADASTRO_PIVOS!$B$6:$B$41,0)),EFICIENCIA_PADRAO)</f>
        <v>0.85</v>
      </c>
      <c r="Y1364" s="18" t="n">
        <f aca="false">IF($X1364&lt;=0,0,$W1364/$X1364)</f>
        <v>7.21411764705882</v>
      </c>
      <c r="Z1364" s="16" t="n">
        <f aca="false">$Y1364*$H1364*MM_PARA_M3_HA</f>
        <v>10095.4362352941</v>
      </c>
      <c r="AA1364" s="18" t="n">
        <f aca="false">IFERROR(INDEX(CADASTRO_PIVOS!$I$6:$I$41,MATCH($E1364,CADASTRO_PIVOS!$B$6:$B$41,0)),0)</f>
        <v>932.933333333333</v>
      </c>
      <c r="AB1364" s="18" t="n">
        <f aca="false">IF($Z1364&lt;=0,0,$Z1364/$AA1364)</f>
        <v>10.8211764705882</v>
      </c>
      <c r="AC1364" s="16" t="n">
        <f aca="false">IFERROR(INDEX(SEMANAS!$K$6:$K$71,MATCH($B1364,SEMANAS!$B$6:$B$71,0)),0)</f>
        <v>147</v>
      </c>
      <c r="AD1364" s="19" t="n">
        <f aca="false">IF($AC1364&lt;=0,0,$AB1364/$AC1364)</f>
        <v>0.0736134453781513</v>
      </c>
      <c r="AE1364" s="8" t="str">
        <f aca="false">IF($K1364="SEM CULTURA","SEM CULTURA",IF($AA1364&lt;=0,"DADO PENDENTE",IF($AD1364&gt;LIMITE_CRITICO,"INVIAVEL",IF($AD1364&gt;LIMITE_ATENCAO,"CRITICO",IF($AD1364&gt;LIMITE_CONFORTAVEL,"ATENCAO","OK")))))</f>
        <v>OK</v>
      </c>
      <c r="AF1364" s="8" t="str">
        <f aca="false">$B1364&amp;"|"&amp;TEXT($AD1364,"0.000000")</f>
        <v>39|0.073613</v>
      </c>
      <c r="AG1364" s="18" t="n">
        <f aca="false">IF($K1364="SEM CULTURA",0,$T1364*$H1364)</f>
        <v>1234.2708</v>
      </c>
      <c r="AH1364" s="18" t="n">
        <f aca="false">IF($K1364="SEM CULTURA",0,$V1364*$H1364)</f>
        <v>376.15872</v>
      </c>
      <c r="AI1364" s="18" t="n">
        <f aca="false">IF($K1364="SEM CULTURA",0,$W1364*$H1364)</f>
        <v>858.11208</v>
      </c>
      <c r="AJ1364" s="18" t="n">
        <f aca="false">IF($K1364="SEM CULTURA",0,$S1364*$H1364)</f>
        <v>4114.236</v>
      </c>
      <c r="AK1364" s="8" t="str">
        <f aca="false">$E1364&amp;"|"&amp;TEXT($AD1364,"0.000000")</f>
        <v>PV 128|0.073613</v>
      </c>
    </row>
    <row r="1365" customFormat="false" ht="15" hidden="false" customHeight="false" outlineLevel="0" collapsed="false">
      <c r="B1365" s="16" t="n">
        <v>40</v>
      </c>
      <c r="C1365" s="17" t="n">
        <f aca="false">DATA_INICIO_SAFRA+($B1365-1)*DIAS_POR_SEMANA</f>
        <v>46538</v>
      </c>
      <c r="D1365" s="17" t="n">
        <f aca="false">$C1365+DIAS_POR_SEMANA-1</f>
        <v>46544</v>
      </c>
      <c r="E1365" s="15" t="s">
        <v>279</v>
      </c>
      <c r="F1365" s="8" t="str">
        <f aca="false">IFERROR(INDEX(CADASTRO_PIVOS!$C$6:$C$41,MATCH($E1365,CADASTRO_PIVOS!$B$6:$B$41,0)),"?")</f>
        <v>RM06</v>
      </c>
      <c r="G1365" s="8" t="str">
        <f aca="false">IFERROR(INDEX(CADASTRO_PIVOS!$D$6:$D$41,MATCH($E1365,CADASTRO_PIVOS!$B$6:$B$41,0)),"?")</f>
        <v>TR06</v>
      </c>
      <c r="H1365" s="20" t="n">
        <f aca="false">IFERROR(INDEX(CADASTRO_PIVOS!$E$6:$E$41,MATCH($E1365,CADASTRO_PIVOS!$B$6:$B$41,0)),0)</f>
        <v>139.94</v>
      </c>
      <c r="I1365" s="16" t="n">
        <f aca="false">IFERROR(SUMIFS(ROTACAO_RDM!$B$6:$B$71,ROTACAO_RDM!$D$6:$D$71,$E1365,ROTACAO_RDM!$I$6:$I$71,"&lt;="&amp;$C1365+INT(DIAS_POR_SEMANA/2),ROTACAO_RDM!$J$6:$J$71,"&gt;="&amp;$C1365+INT(DIAS_POR_SEMANA/2)),0)</f>
        <v>54</v>
      </c>
      <c r="J1365" s="16" t="n">
        <f aca="false">IFERROR(MATCH($I1365,ROTACAO_RDM!$B$6:$B$71,0),0)</f>
        <v>54</v>
      </c>
      <c r="K1365" s="8" t="str">
        <f aca="false">IF($J1365=0,"SEM CULTURA",INDEX(ROTACAO_RDM!$F$6:$F$71,$J1365))</f>
        <v>MILHO_GRAO</v>
      </c>
      <c r="L1365" s="8" t="n">
        <f aca="false">IF($J1365=0,"",INDEX(ROTACAO_RDM!$G$6:$G$71,$J1365))</f>
        <v>0</v>
      </c>
      <c r="M1365" s="17" t="n">
        <f aca="false">IF($J1365=0,"",INDEX(ROTACAO_RDM!$I$6:$I$71,$J1365))</f>
        <v>46515</v>
      </c>
      <c r="N1365" s="16" t="n">
        <f aca="false">IF($J1365=0,0,MAX(0,$C1365+INT(DIAS_POR_SEMANA/2)-INDEX(ROTACAO_RDM!$I$6:$I$71,$J1365)))</f>
        <v>26</v>
      </c>
      <c r="O1365" s="19" t="n">
        <f aca="false">IF($J1365=0,0,MIN(1,$N1365/MAX(1,INDEX(ROTACAO_RDM!$K$6:$K$71,$J1365))))</f>
        <v>0.1625</v>
      </c>
      <c r="P1365" s="16" t="n">
        <f aca="false">IF($J1365=0,0,IFERROR(MATCH(INDEX(ROTACAO_RDM!$N$6:$N$71,$J1365),PARAMETROS_CULTURAS!$B$6:$B$28,0),0))</f>
        <v>8</v>
      </c>
      <c r="Q1365" s="8" t="str">
        <f aca="false">IF($P1365=0,"-",IF($O1365&lt;=INDEX(PARAMETROS_CULTURAS!$F$6:$F$28,$P1365),"INICIAL",IF($O1365&lt;=INDEX(PARAMETROS_CULTURAS!$F$6:$F$28,$P1365)+INDEX(PARAMETROS_CULTURAS!$G$6:$G$28,$P1365),"DESENVOLVIMENTO",IF($O1365&lt;=INDEX(PARAMETROS_CULTURAS!$F$6:$F$28,$P1365)+INDEX(PARAMETROS_CULTURAS!$G$6:$G$28,$P1365)+INDEX(PARAMETROS_CULTURAS!$H$6:$H$28,$P1365),"MEDIA","FINAL"))))</f>
        <v>INICIAL</v>
      </c>
      <c r="R1365" s="24" t="n">
        <f aca="false">IF($P1365=0,0,IF($O1365&lt;=INDEX(PARAMETROS_CULTURAS!$F$6:$F$28,$P1365),INDEX(PARAMETROS_CULTURAS!$K$6:$K$28,$P1365),IF($O1365&lt;=INDEX(PARAMETROS_CULTURAS!$F$6:$F$28,$P1365)+INDEX(PARAMETROS_CULTURAS!$G$6:$G$28,$P1365),INDEX(PARAMETROS_CULTURAS!$K$6:$K$28,$P1365)+(INDEX(PARAMETROS_CULTURAS!$L$6:$L$28,$P1365)-INDEX(PARAMETROS_CULTURAS!$K$6:$K$28,$P1365))*($O1365-INDEX(PARAMETROS_CULTURAS!$F$6:$F$28,$P1365))/MAX(INDEX(PARAMETROS_CULTURAS!$G$6:$G$28,$P1365),0.0001),IF($O1365&lt;=INDEX(PARAMETROS_CULTURAS!$F$6:$F$28,$P1365)+INDEX(PARAMETROS_CULTURAS!$G$6:$G$28,$P1365)+INDEX(PARAMETROS_CULTURAS!$H$6:$H$28,$P1365),INDEX(PARAMETROS_CULTURAS!$L$6:$L$28,$P1365),INDEX(PARAMETROS_CULTURAS!$L$6:$L$28,$P1365)+(INDEX(PARAMETROS_CULTURAS!$M$6:$M$28,$P1365)-INDEX(PARAMETROS_CULTURAS!$L$6:$L$28,$P1365))*($O1365-INDEX(PARAMETROS_CULTURAS!$F$6:$F$28,$P1365)-INDEX(PARAMETROS_CULTURAS!$G$6:$G$28,$P1365)-INDEX(PARAMETROS_CULTURAS!$H$6:$H$28,$P1365))/MAX(INDEX(PARAMETROS_CULTURAS!$I$6:$I$28,$P1365),0.0001)))))</f>
        <v>0.3</v>
      </c>
      <c r="S1365" s="18" t="n">
        <f aca="false">IFERROR(INDEX(SEMANAS!$H$6:$H$71,MATCH($B1365,SEMANAS!$B$6:$B$71,0)),0)</f>
        <v>28.2</v>
      </c>
      <c r="T1365" s="18" t="n">
        <f aca="false">$R1365*$S1365</f>
        <v>8.46</v>
      </c>
      <c r="U1365" s="18" t="n">
        <f aca="false">IFERROR(INDEX(SEMANAS!$I$6:$I$71,MATCH($B1365,SEMANAS!$B$6:$B$71,0)),0)</f>
        <v>1.5</v>
      </c>
      <c r="V1365" s="18" t="n">
        <f aca="false">IFERROR(INDEX(SEMANAS!$J$6:$J$71,MATCH($B1365,SEMANAS!$B$6:$B$71,0)),0)</f>
        <v>1.2</v>
      </c>
      <c r="W1365" s="18" t="n">
        <f aca="false">MAX(0,$T1365-$V1365)</f>
        <v>7.26</v>
      </c>
      <c r="X1365" s="19" t="n">
        <f aca="false">IFERROR(INDEX(CADASTRO_PIVOS!$K$6:$K$41,MATCH($E1365,CADASTRO_PIVOS!$B$6:$B$41,0)),EFICIENCIA_PADRAO)</f>
        <v>0.85</v>
      </c>
      <c r="Y1365" s="18" t="n">
        <f aca="false">IF($X1365&lt;=0,0,$W1365/$X1365)</f>
        <v>8.54117647058823</v>
      </c>
      <c r="Z1365" s="16" t="n">
        <f aca="false">$Y1365*$H1365*MM_PARA_M3_HA</f>
        <v>11952.5223529412</v>
      </c>
      <c r="AA1365" s="18" t="n">
        <f aca="false">IFERROR(INDEX(CADASTRO_PIVOS!$I$6:$I$41,MATCH($E1365,CADASTRO_PIVOS!$B$6:$B$41,0)),0)</f>
        <v>932.933333333333</v>
      </c>
      <c r="AB1365" s="18" t="n">
        <f aca="false">IF($Z1365&lt;=0,0,$Z1365/$AA1365)</f>
        <v>12.8117647058824</v>
      </c>
      <c r="AC1365" s="16" t="n">
        <f aca="false">IFERROR(INDEX(SEMANAS!$K$6:$K$71,MATCH($B1365,SEMANAS!$B$6:$B$71,0)),0)</f>
        <v>147</v>
      </c>
      <c r="AD1365" s="19" t="n">
        <f aca="false">IF($AC1365&lt;=0,0,$AB1365/$AC1365)</f>
        <v>0.0871548619447779</v>
      </c>
      <c r="AE1365" s="8" t="str">
        <f aca="false">IF($K1365="SEM CULTURA","SEM CULTURA",IF($AA1365&lt;=0,"DADO PENDENTE",IF($AD1365&gt;LIMITE_CRITICO,"INVIAVEL",IF($AD1365&gt;LIMITE_ATENCAO,"CRITICO",IF($AD1365&gt;LIMITE_CONFORTAVEL,"ATENCAO","OK")))))</f>
        <v>OK</v>
      </c>
      <c r="AF1365" s="8" t="str">
        <f aca="false">$B1365&amp;"|"&amp;TEXT($AD1365,"0.000000")</f>
        <v>40|0.087155</v>
      </c>
      <c r="AG1365" s="18" t="n">
        <f aca="false">IF($K1365="SEM CULTURA",0,$T1365*$H1365)</f>
        <v>1183.8924</v>
      </c>
      <c r="AH1365" s="18" t="n">
        <f aca="false">IF($K1365="SEM CULTURA",0,$V1365*$H1365)</f>
        <v>167.928</v>
      </c>
      <c r="AI1365" s="18" t="n">
        <f aca="false">IF($K1365="SEM CULTURA",0,$W1365*$H1365)</f>
        <v>1015.9644</v>
      </c>
      <c r="AJ1365" s="18" t="n">
        <f aca="false">IF($K1365="SEM CULTURA",0,$S1365*$H1365)</f>
        <v>3946.308</v>
      </c>
      <c r="AK1365" s="8" t="str">
        <f aca="false">$E1365&amp;"|"&amp;TEXT($AD1365,"0.000000")</f>
        <v>PV 128|0.087155</v>
      </c>
    </row>
    <row r="1366" customFormat="false" ht="15" hidden="false" customHeight="false" outlineLevel="0" collapsed="false">
      <c r="B1366" s="16" t="n">
        <v>41</v>
      </c>
      <c r="C1366" s="17" t="n">
        <f aca="false">DATA_INICIO_SAFRA+($B1366-1)*DIAS_POR_SEMANA</f>
        <v>46545</v>
      </c>
      <c r="D1366" s="17" t="n">
        <f aca="false">$C1366+DIAS_POR_SEMANA-1</f>
        <v>46551</v>
      </c>
      <c r="E1366" s="15" t="s">
        <v>279</v>
      </c>
      <c r="F1366" s="8" t="str">
        <f aca="false">IFERROR(INDEX(CADASTRO_PIVOS!$C$6:$C$41,MATCH($E1366,CADASTRO_PIVOS!$B$6:$B$41,0)),"?")</f>
        <v>RM06</v>
      </c>
      <c r="G1366" s="8" t="str">
        <f aca="false">IFERROR(INDEX(CADASTRO_PIVOS!$D$6:$D$41,MATCH($E1366,CADASTRO_PIVOS!$B$6:$B$41,0)),"?")</f>
        <v>TR06</v>
      </c>
      <c r="H1366" s="20" t="n">
        <f aca="false">IFERROR(INDEX(CADASTRO_PIVOS!$E$6:$E$41,MATCH($E1366,CADASTRO_PIVOS!$B$6:$B$41,0)),0)</f>
        <v>139.94</v>
      </c>
      <c r="I1366" s="16" t="n">
        <f aca="false">IFERROR(SUMIFS(ROTACAO_RDM!$B$6:$B$71,ROTACAO_RDM!$D$6:$D$71,$E1366,ROTACAO_RDM!$I$6:$I$71,"&lt;="&amp;$C1366+INT(DIAS_POR_SEMANA/2),ROTACAO_RDM!$J$6:$J$71,"&gt;="&amp;$C1366+INT(DIAS_POR_SEMANA/2)),0)</f>
        <v>54</v>
      </c>
      <c r="J1366" s="16" t="n">
        <f aca="false">IFERROR(MATCH($I1366,ROTACAO_RDM!$B$6:$B$71,0),0)</f>
        <v>54</v>
      </c>
      <c r="K1366" s="8" t="str">
        <f aca="false">IF($J1366=0,"SEM CULTURA",INDEX(ROTACAO_RDM!$F$6:$F$71,$J1366))</f>
        <v>MILHO_GRAO</v>
      </c>
      <c r="L1366" s="8" t="n">
        <f aca="false">IF($J1366=0,"",INDEX(ROTACAO_RDM!$G$6:$G$71,$J1366))</f>
        <v>0</v>
      </c>
      <c r="M1366" s="17" t="n">
        <f aca="false">IF($J1366=0,"",INDEX(ROTACAO_RDM!$I$6:$I$71,$J1366))</f>
        <v>46515</v>
      </c>
      <c r="N1366" s="16" t="n">
        <f aca="false">IF($J1366=0,0,MAX(0,$C1366+INT(DIAS_POR_SEMANA/2)-INDEX(ROTACAO_RDM!$I$6:$I$71,$J1366)))</f>
        <v>33</v>
      </c>
      <c r="O1366" s="19" t="n">
        <f aca="false">IF($J1366=0,0,MIN(1,$N1366/MAX(1,INDEX(ROTACAO_RDM!$K$6:$K$71,$J1366))))</f>
        <v>0.20625</v>
      </c>
      <c r="P1366" s="16" t="n">
        <f aca="false">IF($J1366=0,0,IFERROR(MATCH(INDEX(ROTACAO_RDM!$N$6:$N$71,$J1366),PARAMETROS_CULTURAS!$B$6:$B$28,0),0))</f>
        <v>8</v>
      </c>
      <c r="Q1366" s="8" t="str">
        <f aca="false">IF($P1366=0,"-",IF($O1366&lt;=INDEX(PARAMETROS_CULTURAS!$F$6:$F$28,$P1366),"INICIAL",IF($O1366&lt;=INDEX(PARAMETROS_CULTURAS!$F$6:$F$28,$P1366)+INDEX(PARAMETROS_CULTURAS!$G$6:$G$28,$P1366),"DESENVOLVIMENTO",IF($O1366&lt;=INDEX(PARAMETROS_CULTURAS!$F$6:$F$28,$P1366)+INDEX(PARAMETROS_CULTURAS!$G$6:$G$28,$P1366)+INDEX(PARAMETROS_CULTURAS!$H$6:$H$28,$P1366),"MEDIA","FINAL"))))</f>
        <v>DESENVOLVIMENTO</v>
      </c>
      <c r="R1366" s="24" t="n">
        <f aca="false">IF($P1366=0,0,IF($O1366&lt;=INDEX(PARAMETROS_CULTURAS!$F$6:$F$28,$P1366),INDEX(PARAMETROS_CULTURAS!$K$6:$K$28,$P1366),IF($O1366&lt;=INDEX(PARAMETROS_CULTURAS!$F$6:$F$28,$P1366)+INDEX(PARAMETROS_CULTURAS!$G$6:$G$28,$P1366),INDEX(PARAMETROS_CULTURAS!$K$6:$K$28,$P1366)+(INDEX(PARAMETROS_CULTURAS!$L$6:$L$28,$P1366)-INDEX(PARAMETROS_CULTURAS!$K$6:$K$28,$P1366))*($O1366-INDEX(PARAMETROS_CULTURAS!$F$6:$F$28,$P1366))/MAX(INDEX(PARAMETROS_CULTURAS!$G$6:$G$28,$P1366),0.0001),IF($O1366&lt;=INDEX(PARAMETROS_CULTURAS!$F$6:$F$28,$P1366)+INDEX(PARAMETROS_CULTURAS!$G$6:$G$28,$P1366)+INDEX(PARAMETROS_CULTURAS!$H$6:$H$28,$P1366),INDEX(PARAMETROS_CULTURAS!$L$6:$L$28,$P1366),INDEX(PARAMETROS_CULTURAS!$L$6:$L$28,$P1366)+(INDEX(PARAMETROS_CULTURAS!$M$6:$M$28,$P1366)-INDEX(PARAMETROS_CULTURAS!$L$6:$L$28,$P1366))*($O1366-INDEX(PARAMETROS_CULTURAS!$F$6:$F$28,$P1366)-INDEX(PARAMETROS_CULTURAS!$G$6:$G$28,$P1366)-INDEX(PARAMETROS_CULTURAS!$H$6:$H$28,$P1366))/MAX(INDEX(PARAMETROS_CULTURAS!$I$6:$I$28,$P1366),0.0001)))))</f>
        <v>0.3585</v>
      </c>
      <c r="S1366" s="18" t="n">
        <f aca="false">IFERROR(INDEX(SEMANAS!$H$6:$H$71,MATCH($B1366,SEMANAS!$B$6:$B$71,0)),0)</f>
        <v>28</v>
      </c>
      <c r="T1366" s="18" t="n">
        <f aca="false">$R1366*$S1366</f>
        <v>10.038</v>
      </c>
      <c r="U1366" s="18" t="n">
        <f aca="false">IFERROR(INDEX(SEMANAS!$I$6:$I$71,MATCH($B1366,SEMANAS!$B$6:$B$71,0)),0)</f>
        <v>1.19</v>
      </c>
      <c r="V1366" s="18" t="n">
        <f aca="false">IFERROR(INDEX(SEMANAS!$J$6:$J$71,MATCH($B1366,SEMANAS!$B$6:$B$71,0)),0)</f>
        <v>0.952</v>
      </c>
      <c r="W1366" s="18" t="n">
        <f aca="false">MAX(0,$T1366-$V1366)</f>
        <v>9.086</v>
      </c>
      <c r="X1366" s="19" t="n">
        <f aca="false">IFERROR(INDEX(CADASTRO_PIVOS!$K$6:$K$41,MATCH($E1366,CADASTRO_PIVOS!$B$6:$B$41,0)),EFICIENCIA_PADRAO)</f>
        <v>0.85</v>
      </c>
      <c r="Y1366" s="18" t="n">
        <f aca="false">IF($X1366&lt;=0,0,$W1366/$X1366)</f>
        <v>10.6894117647059</v>
      </c>
      <c r="Z1366" s="16" t="n">
        <f aca="false">$Y1366*$H1366*MM_PARA_M3_HA</f>
        <v>14958.7628235294</v>
      </c>
      <c r="AA1366" s="18" t="n">
        <f aca="false">IFERROR(INDEX(CADASTRO_PIVOS!$I$6:$I$41,MATCH($E1366,CADASTRO_PIVOS!$B$6:$B$41,0)),0)</f>
        <v>932.933333333333</v>
      </c>
      <c r="AB1366" s="18" t="n">
        <f aca="false">IF($Z1366&lt;=0,0,$Z1366/$AA1366)</f>
        <v>16.0341176470588</v>
      </c>
      <c r="AC1366" s="16" t="n">
        <f aca="false">IFERROR(INDEX(SEMANAS!$K$6:$K$71,MATCH($B1366,SEMANAS!$B$6:$B$71,0)),0)</f>
        <v>147</v>
      </c>
      <c r="AD1366" s="19" t="n">
        <f aca="false">IF($AC1366&lt;=0,0,$AB1366/$AC1366)</f>
        <v>0.109075630252101</v>
      </c>
      <c r="AE1366" s="8" t="str">
        <f aca="false">IF($K1366="SEM CULTURA","SEM CULTURA",IF($AA1366&lt;=0,"DADO PENDENTE",IF($AD1366&gt;LIMITE_CRITICO,"INVIAVEL",IF($AD1366&gt;LIMITE_ATENCAO,"CRITICO",IF($AD1366&gt;LIMITE_CONFORTAVEL,"ATENCAO","OK")))))</f>
        <v>OK</v>
      </c>
      <c r="AF1366" s="8" t="str">
        <f aca="false">$B1366&amp;"|"&amp;TEXT($AD1366,"0.000000")</f>
        <v>41|0.109076</v>
      </c>
      <c r="AG1366" s="18" t="n">
        <f aca="false">IF($K1366="SEM CULTURA",0,$T1366*$H1366)</f>
        <v>1404.71772</v>
      </c>
      <c r="AH1366" s="18" t="n">
        <f aca="false">IF($K1366="SEM CULTURA",0,$V1366*$H1366)</f>
        <v>133.22288</v>
      </c>
      <c r="AI1366" s="18" t="n">
        <f aca="false">IF($K1366="SEM CULTURA",0,$W1366*$H1366)</f>
        <v>1271.49484</v>
      </c>
      <c r="AJ1366" s="18" t="n">
        <f aca="false">IF($K1366="SEM CULTURA",0,$S1366*$H1366)</f>
        <v>3918.32</v>
      </c>
      <c r="AK1366" s="8" t="str">
        <f aca="false">$E1366&amp;"|"&amp;TEXT($AD1366,"0.000000")</f>
        <v>PV 128|0.109076</v>
      </c>
    </row>
    <row r="1367" customFormat="false" ht="15" hidden="false" customHeight="false" outlineLevel="0" collapsed="false">
      <c r="B1367" s="16" t="n">
        <v>42</v>
      </c>
      <c r="C1367" s="17" t="n">
        <f aca="false">DATA_INICIO_SAFRA+($B1367-1)*DIAS_POR_SEMANA</f>
        <v>46552</v>
      </c>
      <c r="D1367" s="17" t="n">
        <f aca="false">$C1367+DIAS_POR_SEMANA-1</f>
        <v>46558</v>
      </c>
      <c r="E1367" s="15" t="s">
        <v>279</v>
      </c>
      <c r="F1367" s="8" t="str">
        <f aca="false">IFERROR(INDEX(CADASTRO_PIVOS!$C$6:$C$41,MATCH($E1367,CADASTRO_PIVOS!$B$6:$B$41,0)),"?")</f>
        <v>RM06</v>
      </c>
      <c r="G1367" s="8" t="str">
        <f aca="false">IFERROR(INDEX(CADASTRO_PIVOS!$D$6:$D$41,MATCH($E1367,CADASTRO_PIVOS!$B$6:$B$41,0)),"?")</f>
        <v>TR06</v>
      </c>
      <c r="H1367" s="20" t="n">
        <f aca="false">IFERROR(INDEX(CADASTRO_PIVOS!$E$6:$E$41,MATCH($E1367,CADASTRO_PIVOS!$B$6:$B$41,0)),0)</f>
        <v>139.94</v>
      </c>
      <c r="I1367" s="16" t="n">
        <f aca="false">IFERROR(SUMIFS(ROTACAO_RDM!$B$6:$B$71,ROTACAO_RDM!$D$6:$D$71,$E1367,ROTACAO_RDM!$I$6:$I$71,"&lt;="&amp;$C1367+INT(DIAS_POR_SEMANA/2),ROTACAO_RDM!$J$6:$J$71,"&gt;="&amp;$C1367+INT(DIAS_POR_SEMANA/2)),0)</f>
        <v>54</v>
      </c>
      <c r="J1367" s="16" t="n">
        <f aca="false">IFERROR(MATCH($I1367,ROTACAO_RDM!$B$6:$B$71,0),0)</f>
        <v>54</v>
      </c>
      <c r="K1367" s="8" t="str">
        <f aca="false">IF($J1367=0,"SEM CULTURA",INDEX(ROTACAO_RDM!$F$6:$F$71,$J1367))</f>
        <v>MILHO_GRAO</v>
      </c>
      <c r="L1367" s="8" t="n">
        <f aca="false">IF($J1367=0,"",INDEX(ROTACAO_RDM!$G$6:$G$71,$J1367))</f>
        <v>0</v>
      </c>
      <c r="M1367" s="17" t="n">
        <f aca="false">IF($J1367=0,"",INDEX(ROTACAO_RDM!$I$6:$I$71,$J1367))</f>
        <v>46515</v>
      </c>
      <c r="N1367" s="16" t="n">
        <f aca="false">IF($J1367=0,0,MAX(0,$C1367+INT(DIAS_POR_SEMANA/2)-INDEX(ROTACAO_RDM!$I$6:$I$71,$J1367)))</f>
        <v>40</v>
      </c>
      <c r="O1367" s="19" t="n">
        <f aca="false">IF($J1367=0,0,MIN(1,$N1367/MAX(1,INDEX(ROTACAO_RDM!$K$6:$K$71,$J1367))))</f>
        <v>0.25</v>
      </c>
      <c r="P1367" s="16" t="n">
        <f aca="false">IF($J1367=0,0,IFERROR(MATCH(INDEX(ROTACAO_RDM!$N$6:$N$71,$J1367),PARAMETROS_CULTURAS!$B$6:$B$28,0),0))</f>
        <v>8</v>
      </c>
      <c r="Q1367" s="8" t="str">
        <f aca="false">IF($P1367=0,"-",IF($O1367&lt;=INDEX(PARAMETROS_CULTURAS!$F$6:$F$28,$P1367),"INICIAL",IF($O1367&lt;=INDEX(PARAMETROS_CULTURAS!$F$6:$F$28,$P1367)+INDEX(PARAMETROS_CULTURAS!$G$6:$G$28,$P1367),"DESENVOLVIMENTO",IF($O1367&lt;=INDEX(PARAMETROS_CULTURAS!$F$6:$F$28,$P1367)+INDEX(PARAMETROS_CULTURAS!$G$6:$G$28,$P1367)+INDEX(PARAMETROS_CULTURAS!$H$6:$H$28,$P1367),"MEDIA","FINAL"))))</f>
        <v>DESENVOLVIMENTO</v>
      </c>
      <c r="R1367" s="24" t="n">
        <f aca="false">IF($P1367=0,0,IF($O1367&lt;=INDEX(PARAMETROS_CULTURAS!$F$6:$F$28,$P1367),INDEX(PARAMETROS_CULTURAS!$K$6:$K$28,$P1367),IF($O1367&lt;=INDEX(PARAMETROS_CULTURAS!$F$6:$F$28,$P1367)+INDEX(PARAMETROS_CULTURAS!$G$6:$G$28,$P1367),INDEX(PARAMETROS_CULTURAS!$K$6:$K$28,$P1367)+(INDEX(PARAMETROS_CULTURAS!$L$6:$L$28,$P1367)-INDEX(PARAMETROS_CULTURAS!$K$6:$K$28,$P1367))*($O1367-INDEX(PARAMETROS_CULTURAS!$F$6:$F$28,$P1367))/MAX(INDEX(PARAMETROS_CULTURAS!$G$6:$G$28,$P1367),0.0001),IF($O1367&lt;=INDEX(PARAMETROS_CULTURAS!$F$6:$F$28,$P1367)+INDEX(PARAMETROS_CULTURAS!$G$6:$G$28,$P1367)+INDEX(PARAMETROS_CULTURAS!$H$6:$H$28,$P1367),INDEX(PARAMETROS_CULTURAS!$L$6:$L$28,$P1367),INDEX(PARAMETROS_CULTURAS!$L$6:$L$28,$P1367)+(INDEX(PARAMETROS_CULTURAS!$M$6:$M$28,$P1367)-INDEX(PARAMETROS_CULTURAS!$L$6:$L$28,$P1367))*($O1367-INDEX(PARAMETROS_CULTURAS!$F$6:$F$28,$P1367)-INDEX(PARAMETROS_CULTURAS!$G$6:$G$28,$P1367)-INDEX(PARAMETROS_CULTURAS!$H$6:$H$28,$P1367))/MAX(INDEX(PARAMETROS_CULTURAS!$I$6:$I$28,$P1367),0.0001)))))</f>
        <v>0.516</v>
      </c>
      <c r="S1367" s="18" t="n">
        <f aca="false">IFERROR(INDEX(SEMANAS!$H$6:$H$71,MATCH($B1367,SEMANAS!$B$6:$B$71,0)),0)</f>
        <v>28</v>
      </c>
      <c r="T1367" s="18" t="n">
        <f aca="false">$R1367*$S1367</f>
        <v>14.448</v>
      </c>
      <c r="U1367" s="18" t="n">
        <f aca="false">IFERROR(INDEX(SEMANAS!$I$6:$I$71,MATCH($B1367,SEMANAS!$B$6:$B$71,0)),0)</f>
        <v>1.19</v>
      </c>
      <c r="V1367" s="18" t="n">
        <f aca="false">IFERROR(INDEX(SEMANAS!$J$6:$J$71,MATCH($B1367,SEMANAS!$B$6:$B$71,0)),0)</f>
        <v>0.952</v>
      </c>
      <c r="W1367" s="18" t="n">
        <f aca="false">MAX(0,$T1367-$V1367)</f>
        <v>13.496</v>
      </c>
      <c r="X1367" s="19" t="n">
        <f aca="false">IFERROR(INDEX(CADASTRO_PIVOS!$K$6:$K$41,MATCH($E1367,CADASTRO_PIVOS!$B$6:$B$41,0)),EFICIENCIA_PADRAO)</f>
        <v>0.85</v>
      </c>
      <c r="Y1367" s="18" t="n">
        <f aca="false">IF($X1367&lt;=0,0,$W1367/$X1367)</f>
        <v>15.8776470588235</v>
      </c>
      <c r="Z1367" s="16" t="n">
        <f aca="false">$Y1367*$H1367*MM_PARA_M3_HA</f>
        <v>22219.1792941176</v>
      </c>
      <c r="AA1367" s="18" t="n">
        <f aca="false">IFERROR(INDEX(CADASTRO_PIVOS!$I$6:$I$41,MATCH($E1367,CADASTRO_PIVOS!$B$6:$B$41,0)),0)</f>
        <v>932.933333333333</v>
      </c>
      <c r="AB1367" s="18" t="n">
        <f aca="false">IF($Z1367&lt;=0,0,$Z1367/$AA1367)</f>
        <v>23.8164705882353</v>
      </c>
      <c r="AC1367" s="16" t="n">
        <f aca="false">IFERROR(INDEX(SEMANAS!$K$6:$K$71,MATCH($B1367,SEMANAS!$B$6:$B$71,0)),0)</f>
        <v>147</v>
      </c>
      <c r="AD1367" s="19" t="n">
        <f aca="false">IF($AC1367&lt;=0,0,$AB1367/$AC1367)</f>
        <v>0.162016806722689</v>
      </c>
      <c r="AE1367" s="8" t="str">
        <f aca="false">IF($K1367="SEM CULTURA","SEM CULTURA",IF($AA1367&lt;=0,"DADO PENDENTE",IF($AD1367&gt;LIMITE_CRITICO,"INVIAVEL",IF($AD1367&gt;LIMITE_ATENCAO,"CRITICO",IF($AD1367&gt;LIMITE_CONFORTAVEL,"ATENCAO","OK")))))</f>
        <v>OK</v>
      </c>
      <c r="AF1367" s="8" t="str">
        <f aca="false">$B1367&amp;"|"&amp;TEXT($AD1367,"0.000000")</f>
        <v>42|0.162017</v>
      </c>
      <c r="AG1367" s="18" t="n">
        <f aca="false">IF($K1367="SEM CULTURA",0,$T1367*$H1367)</f>
        <v>2021.85312</v>
      </c>
      <c r="AH1367" s="18" t="n">
        <f aca="false">IF($K1367="SEM CULTURA",0,$V1367*$H1367)</f>
        <v>133.22288</v>
      </c>
      <c r="AI1367" s="18" t="n">
        <f aca="false">IF($K1367="SEM CULTURA",0,$W1367*$H1367)</f>
        <v>1888.63024</v>
      </c>
      <c r="AJ1367" s="18" t="n">
        <f aca="false">IF($K1367="SEM CULTURA",0,$S1367*$H1367)</f>
        <v>3918.32</v>
      </c>
      <c r="AK1367" s="8" t="str">
        <f aca="false">$E1367&amp;"|"&amp;TEXT($AD1367,"0.000000")</f>
        <v>PV 128|0.162017</v>
      </c>
    </row>
    <row r="1368" customFormat="false" ht="15" hidden="false" customHeight="false" outlineLevel="0" collapsed="false">
      <c r="B1368" s="16" t="n">
        <v>43</v>
      </c>
      <c r="C1368" s="17" t="n">
        <f aca="false">DATA_INICIO_SAFRA+($B1368-1)*DIAS_POR_SEMANA</f>
        <v>46559</v>
      </c>
      <c r="D1368" s="17" t="n">
        <f aca="false">$C1368+DIAS_POR_SEMANA-1</f>
        <v>46565</v>
      </c>
      <c r="E1368" s="15" t="s">
        <v>279</v>
      </c>
      <c r="F1368" s="8" t="str">
        <f aca="false">IFERROR(INDEX(CADASTRO_PIVOS!$C$6:$C$41,MATCH($E1368,CADASTRO_PIVOS!$B$6:$B$41,0)),"?")</f>
        <v>RM06</v>
      </c>
      <c r="G1368" s="8" t="str">
        <f aca="false">IFERROR(INDEX(CADASTRO_PIVOS!$D$6:$D$41,MATCH($E1368,CADASTRO_PIVOS!$B$6:$B$41,0)),"?")</f>
        <v>TR06</v>
      </c>
      <c r="H1368" s="20" t="n">
        <f aca="false">IFERROR(INDEX(CADASTRO_PIVOS!$E$6:$E$41,MATCH($E1368,CADASTRO_PIVOS!$B$6:$B$41,0)),0)</f>
        <v>139.94</v>
      </c>
      <c r="I1368" s="16" t="n">
        <f aca="false">IFERROR(SUMIFS(ROTACAO_RDM!$B$6:$B$71,ROTACAO_RDM!$D$6:$D$71,$E1368,ROTACAO_RDM!$I$6:$I$71,"&lt;="&amp;$C1368+INT(DIAS_POR_SEMANA/2),ROTACAO_RDM!$J$6:$J$71,"&gt;="&amp;$C1368+INT(DIAS_POR_SEMANA/2)),0)</f>
        <v>54</v>
      </c>
      <c r="J1368" s="16" t="n">
        <f aca="false">IFERROR(MATCH($I1368,ROTACAO_RDM!$B$6:$B$71,0),0)</f>
        <v>54</v>
      </c>
      <c r="K1368" s="8" t="str">
        <f aca="false">IF($J1368=0,"SEM CULTURA",INDEX(ROTACAO_RDM!$F$6:$F$71,$J1368))</f>
        <v>MILHO_GRAO</v>
      </c>
      <c r="L1368" s="8" t="n">
        <f aca="false">IF($J1368=0,"",INDEX(ROTACAO_RDM!$G$6:$G$71,$J1368))</f>
        <v>0</v>
      </c>
      <c r="M1368" s="17" t="n">
        <f aca="false">IF($J1368=0,"",INDEX(ROTACAO_RDM!$I$6:$I$71,$J1368))</f>
        <v>46515</v>
      </c>
      <c r="N1368" s="16" t="n">
        <f aca="false">IF($J1368=0,0,MAX(0,$C1368+INT(DIAS_POR_SEMANA/2)-INDEX(ROTACAO_RDM!$I$6:$I$71,$J1368)))</f>
        <v>47</v>
      </c>
      <c r="O1368" s="19" t="n">
        <f aca="false">IF($J1368=0,0,MIN(1,$N1368/MAX(1,INDEX(ROTACAO_RDM!$K$6:$K$71,$J1368))))</f>
        <v>0.29375</v>
      </c>
      <c r="P1368" s="16" t="n">
        <f aca="false">IF($J1368=0,0,IFERROR(MATCH(INDEX(ROTACAO_RDM!$N$6:$N$71,$J1368),PARAMETROS_CULTURAS!$B$6:$B$28,0),0))</f>
        <v>8</v>
      </c>
      <c r="Q1368" s="8" t="str">
        <f aca="false">IF($P1368=0,"-",IF($O1368&lt;=INDEX(PARAMETROS_CULTURAS!$F$6:$F$28,$P1368),"INICIAL",IF($O1368&lt;=INDEX(PARAMETROS_CULTURAS!$F$6:$F$28,$P1368)+INDEX(PARAMETROS_CULTURAS!$G$6:$G$28,$P1368),"DESENVOLVIMENTO",IF($O1368&lt;=INDEX(PARAMETROS_CULTURAS!$F$6:$F$28,$P1368)+INDEX(PARAMETROS_CULTURAS!$G$6:$G$28,$P1368)+INDEX(PARAMETROS_CULTURAS!$H$6:$H$28,$P1368),"MEDIA","FINAL"))))</f>
        <v>DESENVOLVIMENTO</v>
      </c>
      <c r="R1368" s="24" t="n">
        <f aca="false">IF($P1368=0,0,IF($O1368&lt;=INDEX(PARAMETROS_CULTURAS!$F$6:$F$28,$P1368),INDEX(PARAMETROS_CULTURAS!$K$6:$K$28,$P1368),IF($O1368&lt;=INDEX(PARAMETROS_CULTURAS!$F$6:$F$28,$P1368)+INDEX(PARAMETROS_CULTURAS!$G$6:$G$28,$P1368),INDEX(PARAMETROS_CULTURAS!$K$6:$K$28,$P1368)+(INDEX(PARAMETROS_CULTURAS!$L$6:$L$28,$P1368)-INDEX(PARAMETROS_CULTURAS!$K$6:$K$28,$P1368))*($O1368-INDEX(PARAMETROS_CULTURAS!$F$6:$F$28,$P1368))/MAX(INDEX(PARAMETROS_CULTURAS!$G$6:$G$28,$P1368),0.0001),IF($O1368&lt;=INDEX(PARAMETROS_CULTURAS!$F$6:$F$28,$P1368)+INDEX(PARAMETROS_CULTURAS!$G$6:$G$28,$P1368)+INDEX(PARAMETROS_CULTURAS!$H$6:$H$28,$P1368),INDEX(PARAMETROS_CULTURAS!$L$6:$L$28,$P1368),INDEX(PARAMETROS_CULTURAS!$L$6:$L$28,$P1368)+(INDEX(PARAMETROS_CULTURAS!$M$6:$M$28,$P1368)-INDEX(PARAMETROS_CULTURAS!$L$6:$L$28,$P1368))*($O1368-INDEX(PARAMETROS_CULTURAS!$F$6:$F$28,$P1368)-INDEX(PARAMETROS_CULTURAS!$G$6:$G$28,$P1368)-INDEX(PARAMETROS_CULTURAS!$H$6:$H$28,$P1368))/MAX(INDEX(PARAMETROS_CULTURAS!$I$6:$I$28,$P1368),0.0001)))))</f>
        <v>0.6735</v>
      </c>
      <c r="S1368" s="18" t="n">
        <f aca="false">IFERROR(INDEX(SEMANAS!$H$6:$H$71,MATCH($B1368,SEMANAS!$B$6:$B$71,0)),0)</f>
        <v>28</v>
      </c>
      <c r="T1368" s="18" t="n">
        <f aca="false">$R1368*$S1368</f>
        <v>18.858</v>
      </c>
      <c r="U1368" s="18" t="n">
        <f aca="false">IFERROR(INDEX(SEMANAS!$I$6:$I$71,MATCH($B1368,SEMANAS!$B$6:$B$71,0)),0)</f>
        <v>1.19</v>
      </c>
      <c r="V1368" s="18" t="n">
        <f aca="false">IFERROR(INDEX(SEMANAS!$J$6:$J$71,MATCH($B1368,SEMANAS!$B$6:$B$71,0)),0)</f>
        <v>0.952</v>
      </c>
      <c r="W1368" s="18" t="n">
        <f aca="false">MAX(0,$T1368-$V1368)</f>
        <v>17.906</v>
      </c>
      <c r="X1368" s="19" t="n">
        <f aca="false">IFERROR(INDEX(CADASTRO_PIVOS!$K$6:$K$41,MATCH($E1368,CADASTRO_PIVOS!$B$6:$B$41,0)),EFICIENCIA_PADRAO)</f>
        <v>0.85</v>
      </c>
      <c r="Y1368" s="18" t="n">
        <f aca="false">IF($X1368&lt;=0,0,$W1368/$X1368)</f>
        <v>21.0658823529412</v>
      </c>
      <c r="Z1368" s="16" t="n">
        <f aca="false">$Y1368*$H1368*MM_PARA_M3_HA</f>
        <v>29479.5957647059</v>
      </c>
      <c r="AA1368" s="18" t="n">
        <f aca="false">IFERROR(INDEX(CADASTRO_PIVOS!$I$6:$I$41,MATCH($E1368,CADASTRO_PIVOS!$B$6:$B$41,0)),0)</f>
        <v>932.933333333333</v>
      </c>
      <c r="AB1368" s="18" t="n">
        <f aca="false">IF($Z1368&lt;=0,0,$Z1368/$AA1368)</f>
        <v>31.5988235294118</v>
      </c>
      <c r="AC1368" s="16" t="n">
        <f aca="false">IFERROR(INDEX(SEMANAS!$K$6:$K$71,MATCH($B1368,SEMANAS!$B$6:$B$71,0)),0)</f>
        <v>147</v>
      </c>
      <c r="AD1368" s="19" t="n">
        <f aca="false">IF($AC1368&lt;=0,0,$AB1368/$AC1368)</f>
        <v>0.214957983193277</v>
      </c>
      <c r="AE1368" s="8" t="str">
        <f aca="false">IF($K1368="SEM CULTURA","SEM CULTURA",IF($AA1368&lt;=0,"DADO PENDENTE",IF($AD1368&gt;LIMITE_CRITICO,"INVIAVEL",IF($AD1368&gt;LIMITE_ATENCAO,"CRITICO",IF($AD1368&gt;LIMITE_CONFORTAVEL,"ATENCAO","OK")))))</f>
        <v>OK</v>
      </c>
      <c r="AF1368" s="8" t="str">
        <f aca="false">$B1368&amp;"|"&amp;TEXT($AD1368,"0.000000")</f>
        <v>43|0.214958</v>
      </c>
      <c r="AG1368" s="18" t="n">
        <f aca="false">IF($K1368="SEM CULTURA",0,$T1368*$H1368)</f>
        <v>2638.98852</v>
      </c>
      <c r="AH1368" s="18" t="n">
        <f aca="false">IF($K1368="SEM CULTURA",0,$V1368*$H1368)</f>
        <v>133.22288</v>
      </c>
      <c r="AI1368" s="18" t="n">
        <f aca="false">IF($K1368="SEM CULTURA",0,$W1368*$H1368)</f>
        <v>2505.76564</v>
      </c>
      <c r="AJ1368" s="18" t="n">
        <f aca="false">IF($K1368="SEM CULTURA",0,$S1368*$H1368)</f>
        <v>3918.32</v>
      </c>
      <c r="AK1368" s="8" t="str">
        <f aca="false">$E1368&amp;"|"&amp;TEXT($AD1368,"0.000000")</f>
        <v>PV 128|0.214958</v>
      </c>
    </row>
    <row r="1369" customFormat="false" ht="15" hidden="false" customHeight="false" outlineLevel="0" collapsed="false">
      <c r="B1369" s="16" t="n">
        <v>44</v>
      </c>
      <c r="C1369" s="17" t="n">
        <f aca="false">DATA_INICIO_SAFRA+($B1369-1)*DIAS_POR_SEMANA</f>
        <v>46566</v>
      </c>
      <c r="D1369" s="17" t="n">
        <f aca="false">$C1369+DIAS_POR_SEMANA-1</f>
        <v>46572</v>
      </c>
      <c r="E1369" s="15" t="s">
        <v>279</v>
      </c>
      <c r="F1369" s="8" t="str">
        <f aca="false">IFERROR(INDEX(CADASTRO_PIVOS!$C$6:$C$41,MATCH($E1369,CADASTRO_PIVOS!$B$6:$B$41,0)),"?")</f>
        <v>RM06</v>
      </c>
      <c r="G1369" s="8" t="str">
        <f aca="false">IFERROR(INDEX(CADASTRO_PIVOS!$D$6:$D$41,MATCH($E1369,CADASTRO_PIVOS!$B$6:$B$41,0)),"?")</f>
        <v>TR06</v>
      </c>
      <c r="H1369" s="20" t="n">
        <f aca="false">IFERROR(INDEX(CADASTRO_PIVOS!$E$6:$E$41,MATCH($E1369,CADASTRO_PIVOS!$B$6:$B$41,0)),0)</f>
        <v>139.94</v>
      </c>
      <c r="I1369" s="16" t="n">
        <f aca="false">IFERROR(SUMIFS(ROTACAO_RDM!$B$6:$B$71,ROTACAO_RDM!$D$6:$D$71,$E1369,ROTACAO_RDM!$I$6:$I$71,"&lt;="&amp;$C1369+INT(DIAS_POR_SEMANA/2),ROTACAO_RDM!$J$6:$J$71,"&gt;="&amp;$C1369+INT(DIAS_POR_SEMANA/2)),0)</f>
        <v>54</v>
      </c>
      <c r="J1369" s="16" t="n">
        <f aca="false">IFERROR(MATCH($I1369,ROTACAO_RDM!$B$6:$B$71,0),0)</f>
        <v>54</v>
      </c>
      <c r="K1369" s="8" t="str">
        <f aca="false">IF($J1369=0,"SEM CULTURA",INDEX(ROTACAO_RDM!$F$6:$F$71,$J1369))</f>
        <v>MILHO_GRAO</v>
      </c>
      <c r="L1369" s="8" t="n">
        <f aca="false">IF($J1369=0,"",INDEX(ROTACAO_RDM!$G$6:$G$71,$J1369))</f>
        <v>0</v>
      </c>
      <c r="M1369" s="17" t="n">
        <f aca="false">IF($J1369=0,"",INDEX(ROTACAO_RDM!$I$6:$I$71,$J1369))</f>
        <v>46515</v>
      </c>
      <c r="N1369" s="16" t="n">
        <f aca="false">IF($J1369=0,0,MAX(0,$C1369+INT(DIAS_POR_SEMANA/2)-INDEX(ROTACAO_RDM!$I$6:$I$71,$J1369)))</f>
        <v>54</v>
      </c>
      <c r="O1369" s="19" t="n">
        <f aca="false">IF($J1369=0,0,MIN(1,$N1369/MAX(1,INDEX(ROTACAO_RDM!$K$6:$K$71,$J1369))))</f>
        <v>0.3375</v>
      </c>
      <c r="P1369" s="16" t="n">
        <f aca="false">IF($J1369=0,0,IFERROR(MATCH(INDEX(ROTACAO_RDM!$N$6:$N$71,$J1369),PARAMETROS_CULTURAS!$B$6:$B$28,0),0))</f>
        <v>8</v>
      </c>
      <c r="Q1369" s="8" t="str">
        <f aca="false">IF($P1369=0,"-",IF($O1369&lt;=INDEX(PARAMETROS_CULTURAS!$F$6:$F$28,$P1369),"INICIAL",IF($O1369&lt;=INDEX(PARAMETROS_CULTURAS!$F$6:$F$28,$P1369)+INDEX(PARAMETROS_CULTURAS!$G$6:$G$28,$P1369),"DESENVOLVIMENTO",IF($O1369&lt;=INDEX(PARAMETROS_CULTURAS!$F$6:$F$28,$P1369)+INDEX(PARAMETROS_CULTURAS!$G$6:$G$28,$P1369)+INDEX(PARAMETROS_CULTURAS!$H$6:$H$28,$P1369),"MEDIA","FINAL"))))</f>
        <v>DESENVOLVIMENTO</v>
      </c>
      <c r="R1369" s="24" t="n">
        <f aca="false">IF($P1369=0,0,IF($O1369&lt;=INDEX(PARAMETROS_CULTURAS!$F$6:$F$28,$P1369),INDEX(PARAMETROS_CULTURAS!$K$6:$K$28,$P1369),IF($O1369&lt;=INDEX(PARAMETROS_CULTURAS!$F$6:$F$28,$P1369)+INDEX(PARAMETROS_CULTURAS!$G$6:$G$28,$P1369),INDEX(PARAMETROS_CULTURAS!$K$6:$K$28,$P1369)+(INDEX(PARAMETROS_CULTURAS!$L$6:$L$28,$P1369)-INDEX(PARAMETROS_CULTURAS!$K$6:$K$28,$P1369))*($O1369-INDEX(PARAMETROS_CULTURAS!$F$6:$F$28,$P1369))/MAX(INDEX(PARAMETROS_CULTURAS!$G$6:$G$28,$P1369),0.0001),IF($O1369&lt;=INDEX(PARAMETROS_CULTURAS!$F$6:$F$28,$P1369)+INDEX(PARAMETROS_CULTURAS!$G$6:$G$28,$P1369)+INDEX(PARAMETROS_CULTURAS!$H$6:$H$28,$P1369),INDEX(PARAMETROS_CULTURAS!$L$6:$L$28,$P1369),INDEX(PARAMETROS_CULTURAS!$L$6:$L$28,$P1369)+(INDEX(PARAMETROS_CULTURAS!$M$6:$M$28,$P1369)-INDEX(PARAMETROS_CULTURAS!$L$6:$L$28,$P1369))*($O1369-INDEX(PARAMETROS_CULTURAS!$F$6:$F$28,$P1369)-INDEX(PARAMETROS_CULTURAS!$G$6:$G$28,$P1369)-INDEX(PARAMETROS_CULTURAS!$H$6:$H$28,$P1369))/MAX(INDEX(PARAMETROS_CULTURAS!$I$6:$I$28,$P1369),0.0001)))))</f>
        <v>0.831</v>
      </c>
      <c r="S1369" s="18" t="n">
        <f aca="false">IFERROR(INDEX(SEMANAS!$H$6:$H$71,MATCH($B1369,SEMANAS!$B$6:$B$71,0)),0)</f>
        <v>29.2</v>
      </c>
      <c r="T1369" s="18" t="n">
        <f aca="false">$R1369*$S1369</f>
        <v>24.2652</v>
      </c>
      <c r="U1369" s="18" t="n">
        <f aca="false">IFERROR(INDEX(SEMANAS!$I$6:$I$71,MATCH($B1369,SEMANAS!$B$6:$B$71,0)),0)</f>
        <v>0.91</v>
      </c>
      <c r="V1369" s="18" t="n">
        <f aca="false">IFERROR(INDEX(SEMANAS!$J$6:$J$71,MATCH($B1369,SEMANAS!$B$6:$B$71,0)),0)</f>
        <v>0.728</v>
      </c>
      <c r="W1369" s="18" t="n">
        <f aca="false">MAX(0,$T1369-$V1369)</f>
        <v>23.5372</v>
      </c>
      <c r="X1369" s="19" t="n">
        <f aca="false">IFERROR(INDEX(CADASTRO_PIVOS!$K$6:$K$41,MATCH($E1369,CADASTRO_PIVOS!$B$6:$B$41,0)),EFICIENCIA_PADRAO)</f>
        <v>0.85</v>
      </c>
      <c r="Y1369" s="18" t="n">
        <f aca="false">IF($X1369&lt;=0,0,$W1369/$X1369)</f>
        <v>27.6908235294118</v>
      </c>
      <c r="Z1369" s="16" t="n">
        <f aca="false">$Y1369*$H1369*MM_PARA_M3_HA</f>
        <v>38750.5384470588</v>
      </c>
      <c r="AA1369" s="18" t="n">
        <f aca="false">IFERROR(INDEX(CADASTRO_PIVOS!$I$6:$I$41,MATCH($E1369,CADASTRO_PIVOS!$B$6:$B$41,0)),0)</f>
        <v>932.933333333333</v>
      </c>
      <c r="AB1369" s="18" t="n">
        <f aca="false">IF($Z1369&lt;=0,0,$Z1369/$AA1369)</f>
        <v>41.5362352941176</v>
      </c>
      <c r="AC1369" s="16" t="n">
        <f aca="false">IFERROR(INDEX(SEMANAS!$K$6:$K$71,MATCH($B1369,SEMANAS!$B$6:$B$71,0)),0)</f>
        <v>147</v>
      </c>
      <c r="AD1369" s="19" t="n">
        <f aca="false">IF($AC1369&lt;=0,0,$AB1369/$AC1369)</f>
        <v>0.282559423769508</v>
      </c>
      <c r="AE1369" s="8" t="str">
        <f aca="false">IF($K1369="SEM CULTURA","SEM CULTURA",IF($AA1369&lt;=0,"DADO PENDENTE",IF($AD1369&gt;LIMITE_CRITICO,"INVIAVEL",IF($AD1369&gt;LIMITE_ATENCAO,"CRITICO",IF($AD1369&gt;LIMITE_CONFORTAVEL,"ATENCAO","OK")))))</f>
        <v>OK</v>
      </c>
      <c r="AF1369" s="8" t="str">
        <f aca="false">$B1369&amp;"|"&amp;TEXT($AD1369,"0.000000")</f>
        <v>44|0.282559</v>
      </c>
      <c r="AG1369" s="18" t="n">
        <f aca="false">IF($K1369="SEM CULTURA",0,$T1369*$H1369)</f>
        <v>3395.672088</v>
      </c>
      <c r="AH1369" s="18" t="n">
        <f aca="false">IF($K1369="SEM CULTURA",0,$V1369*$H1369)</f>
        <v>101.87632</v>
      </c>
      <c r="AI1369" s="18" t="n">
        <f aca="false">IF($K1369="SEM CULTURA",0,$W1369*$H1369)</f>
        <v>3293.795768</v>
      </c>
      <c r="AJ1369" s="18" t="n">
        <f aca="false">IF($K1369="SEM CULTURA",0,$S1369*$H1369)</f>
        <v>4086.248</v>
      </c>
      <c r="AK1369" s="8" t="str">
        <f aca="false">$E1369&amp;"|"&amp;TEXT($AD1369,"0.000000")</f>
        <v>PV 128|0.282559</v>
      </c>
    </row>
    <row r="1370" customFormat="false" ht="15" hidden="false" customHeight="false" outlineLevel="0" collapsed="false">
      <c r="B1370" s="16" t="n">
        <v>45</v>
      </c>
      <c r="C1370" s="17" t="n">
        <f aca="false">DATA_INICIO_SAFRA+($B1370-1)*DIAS_POR_SEMANA</f>
        <v>46573</v>
      </c>
      <c r="D1370" s="17" t="n">
        <f aca="false">$C1370+DIAS_POR_SEMANA-1</f>
        <v>46579</v>
      </c>
      <c r="E1370" s="15" t="s">
        <v>279</v>
      </c>
      <c r="F1370" s="8" t="str">
        <f aca="false">IFERROR(INDEX(CADASTRO_PIVOS!$C$6:$C$41,MATCH($E1370,CADASTRO_PIVOS!$B$6:$B$41,0)),"?")</f>
        <v>RM06</v>
      </c>
      <c r="G1370" s="8" t="str">
        <f aca="false">IFERROR(INDEX(CADASTRO_PIVOS!$D$6:$D$41,MATCH($E1370,CADASTRO_PIVOS!$B$6:$B$41,0)),"?")</f>
        <v>TR06</v>
      </c>
      <c r="H1370" s="20" t="n">
        <f aca="false">IFERROR(INDEX(CADASTRO_PIVOS!$E$6:$E$41,MATCH($E1370,CADASTRO_PIVOS!$B$6:$B$41,0)),0)</f>
        <v>139.94</v>
      </c>
      <c r="I1370" s="16" t="n">
        <f aca="false">IFERROR(SUMIFS(ROTACAO_RDM!$B$6:$B$71,ROTACAO_RDM!$D$6:$D$71,$E1370,ROTACAO_RDM!$I$6:$I$71,"&lt;="&amp;$C1370+INT(DIAS_POR_SEMANA/2),ROTACAO_RDM!$J$6:$J$71,"&gt;="&amp;$C1370+INT(DIAS_POR_SEMANA/2)),0)</f>
        <v>54</v>
      </c>
      <c r="J1370" s="16" t="n">
        <f aca="false">IFERROR(MATCH($I1370,ROTACAO_RDM!$B$6:$B$71,0),0)</f>
        <v>54</v>
      </c>
      <c r="K1370" s="8" t="str">
        <f aca="false">IF($J1370=0,"SEM CULTURA",INDEX(ROTACAO_RDM!$F$6:$F$71,$J1370))</f>
        <v>MILHO_GRAO</v>
      </c>
      <c r="L1370" s="8" t="n">
        <f aca="false">IF($J1370=0,"",INDEX(ROTACAO_RDM!$G$6:$G$71,$J1370))</f>
        <v>0</v>
      </c>
      <c r="M1370" s="17" t="n">
        <f aca="false">IF($J1370=0,"",INDEX(ROTACAO_RDM!$I$6:$I$71,$J1370))</f>
        <v>46515</v>
      </c>
      <c r="N1370" s="16" t="n">
        <f aca="false">IF($J1370=0,0,MAX(0,$C1370+INT(DIAS_POR_SEMANA/2)-INDEX(ROTACAO_RDM!$I$6:$I$71,$J1370)))</f>
        <v>61</v>
      </c>
      <c r="O1370" s="19" t="n">
        <f aca="false">IF($J1370=0,0,MIN(1,$N1370/MAX(1,INDEX(ROTACAO_RDM!$K$6:$K$71,$J1370))))</f>
        <v>0.38125</v>
      </c>
      <c r="P1370" s="16" t="n">
        <f aca="false">IF($J1370=0,0,IFERROR(MATCH(INDEX(ROTACAO_RDM!$N$6:$N$71,$J1370),PARAMETROS_CULTURAS!$B$6:$B$28,0),0))</f>
        <v>8</v>
      </c>
      <c r="Q1370" s="8" t="str">
        <f aca="false">IF($P1370=0,"-",IF($O1370&lt;=INDEX(PARAMETROS_CULTURAS!$F$6:$F$28,$P1370),"INICIAL",IF($O1370&lt;=INDEX(PARAMETROS_CULTURAS!$F$6:$F$28,$P1370)+INDEX(PARAMETROS_CULTURAS!$G$6:$G$28,$P1370),"DESENVOLVIMENTO",IF($O1370&lt;=INDEX(PARAMETROS_CULTURAS!$F$6:$F$28,$P1370)+INDEX(PARAMETROS_CULTURAS!$G$6:$G$28,$P1370)+INDEX(PARAMETROS_CULTURAS!$H$6:$H$28,$P1370),"MEDIA","FINAL"))))</f>
        <v>DESENVOLVIMENTO</v>
      </c>
      <c r="R1370" s="24" t="n">
        <f aca="false">IF($P1370=0,0,IF($O1370&lt;=INDEX(PARAMETROS_CULTURAS!$F$6:$F$28,$P1370),INDEX(PARAMETROS_CULTURAS!$K$6:$K$28,$P1370),IF($O1370&lt;=INDEX(PARAMETROS_CULTURAS!$F$6:$F$28,$P1370)+INDEX(PARAMETROS_CULTURAS!$G$6:$G$28,$P1370),INDEX(PARAMETROS_CULTURAS!$K$6:$K$28,$P1370)+(INDEX(PARAMETROS_CULTURAS!$L$6:$L$28,$P1370)-INDEX(PARAMETROS_CULTURAS!$K$6:$K$28,$P1370))*($O1370-INDEX(PARAMETROS_CULTURAS!$F$6:$F$28,$P1370))/MAX(INDEX(PARAMETROS_CULTURAS!$G$6:$G$28,$P1370),0.0001),IF($O1370&lt;=INDEX(PARAMETROS_CULTURAS!$F$6:$F$28,$P1370)+INDEX(PARAMETROS_CULTURAS!$G$6:$G$28,$P1370)+INDEX(PARAMETROS_CULTURAS!$H$6:$H$28,$P1370),INDEX(PARAMETROS_CULTURAS!$L$6:$L$28,$P1370),INDEX(PARAMETROS_CULTURAS!$L$6:$L$28,$P1370)+(INDEX(PARAMETROS_CULTURAS!$M$6:$M$28,$P1370)-INDEX(PARAMETROS_CULTURAS!$L$6:$L$28,$P1370))*($O1370-INDEX(PARAMETROS_CULTURAS!$F$6:$F$28,$P1370)-INDEX(PARAMETROS_CULTURAS!$G$6:$G$28,$P1370)-INDEX(PARAMETROS_CULTURAS!$H$6:$H$28,$P1370))/MAX(INDEX(PARAMETROS_CULTURAS!$I$6:$I$28,$P1370),0.0001)))))</f>
        <v>0.9885</v>
      </c>
      <c r="S1370" s="18" t="n">
        <f aca="false">IFERROR(INDEX(SEMANAS!$H$6:$H$71,MATCH($B1370,SEMANAS!$B$6:$B$71,0)),0)</f>
        <v>30.1</v>
      </c>
      <c r="T1370" s="18" t="n">
        <f aca="false">$R1370*$S1370</f>
        <v>29.75385</v>
      </c>
      <c r="U1370" s="18" t="n">
        <f aca="false">IFERROR(INDEX(SEMANAS!$I$6:$I$71,MATCH($B1370,SEMANAS!$B$6:$B$71,0)),0)</f>
        <v>0.7</v>
      </c>
      <c r="V1370" s="18" t="n">
        <f aca="false">IFERROR(INDEX(SEMANAS!$J$6:$J$71,MATCH($B1370,SEMANAS!$B$6:$B$71,0)),0)</f>
        <v>0.56</v>
      </c>
      <c r="W1370" s="18" t="n">
        <f aca="false">MAX(0,$T1370-$V1370)</f>
        <v>29.19385</v>
      </c>
      <c r="X1370" s="19" t="n">
        <f aca="false">IFERROR(INDEX(CADASTRO_PIVOS!$K$6:$K$41,MATCH($E1370,CADASTRO_PIVOS!$B$6:$B$41,0)),EFICIENCIA_PADRAO)</f>
        <v>0.85</v>
      </c>
      <c r="Y1370" s="18" t="n">
        <f aca="false">IF($X1370&lt;=0,0,$W1370/$X1370)</f>
        <v>34.3457058823529</v>
      </c>
      <c r="Z1370" s="16" t="n">
        <f aca="false">$Y1370*$H1370*MM_PARA_M3_HA</f>
        <v>48063.3808117647</v>
      </c>
      <c r="AA1370" s="18" t="n">
        <f aca="false">IFERROR(INDEX(CADASTRO_PIVOS!$I$6:$I$41,MATCH($E1370,CADASTRO_PIVOS!$B$6:$B$41,0)),0)</f>
        <v>932.933333333333</v>
      </c>
      <c r="AB1370" s="18" t="n">
        <f aca="false">IF($Z1370&lt;=0,0,$Z1370/$AA1370)</f>
        <v>51.5185588235294</v>
      </c>
      <c r="AC1370" s="16" t="n">
        <f aca="false">IFERROR(INDEX(SEMANAS!$K$6:$K$71,MATCH($B1370,SEMANAS!$B$6:$B$71,0)),0)</f>
        <v>147</v>
      </c>
      <c r="AD1370" s="19" t="n">
        <f aca="false">IF($AC1370&lt;=0,0,$AB1370/$AC1370)</f>
        <v>0.350466386554622</v>
      </c>
      <c r="AE1370" s="8" t="str">
        <f aca="false">IF($K1370="SEM CULTURA","SEM CULTURA",IF($AA1370&lt;=0,"DADO PENDENTE",IF($AD1370&gt;LIMITE_CRITICO,"INVIAVEL",IF($AD1370&gt;LIMITE_ATENCAO,"CRITICO",IF($AD1370&gt;LIMITE_CONFORTAVEL,"ATENCAO","OK")))))</f>
        <v>OK</v>
      </c>
      <c r="AF1370" s="8" t="str">
        <f aca="false">$B1370&amp;"|"&amp;TEXT($AD1370,"0.000000")</f>
        <v>45|0.350466</v>
      </c>
      <c r="AG1370" s="18" t="n">
        <f aca="false">IF($K1370="SEM CULTURA",0,$T1370*$H1370)</f>
        <v>4163.753769</v>
      </c>
      <c r="AH1370" s="18" t="n">
        <f aca="false">IF($K1370="SEM CULTURA",0,$V1370*$H1370)</f>
        <v>78.3664</v>
      </c>
      <c r="AI1370" s="18" t="n">
        <f aca="false">IF($K1370="SEM CULTURA",0,$W1370*$H1370)</f>
        <v>4085.387369</v>
      </c>
      <c r="AJ1370" s="18" t="n">
        <f aca="false">IF($K1370="SEM CULTURA",0,$S1370*$H1370)</f>
        <v>4212.194</v>
      </c>
      <c r="AK1370" s="8" t="str">
        <f aca="false">$E1370&amp;"|"&amp;TEXT($AD1370,"0.000000")</f>
        <v>PV 128|0.350466</v>
      </c>
    </row>
    <row r="1371" customFormat="false" ht="15" hidden="false" customHeight="false" outlineLevel="0" collapsed="false">
      <c r="B1371" s="16" t="n">
        <v>46</v>
      </c>
      <c r="C1371" s="17" t="n">
        <f aca="false">DATA_INICIO_SAFRA+($B1371-1)*DIAS_POR_SEMANA</f>
        <v>46580</v>
      </c>
      <c r="D1371" s="17" t="n">
        <f aca="false">$C1371+DIAS_POR_SEMANA-1</f>
        <v>46586</v>
      </c>
      <c r="E1371" s="15" t="s">
        <v>279</v>
      </c>
      <c r="F1371" s="8" t="str">
        <f aca="false">IFERROR(INDEX(CADASTRO_PIVOS!$C$6:$C$41,MATCH($E1371,CADASTRO_PIVOS!$B$6:$B$41,0)),"?")</f>
        <v>RM06</v>
      </c>
      <c r="G1371" s="8" t="str">
        <f aca="false">IFERROR(INDEX(CADASTRO_PIVOS!$D$6:$D$41,MATCH($E1371,CADASTRO_PIVOS!$B$6:$B$41,0)),"?")</f>
        <v>TR06</v>
      </c>
      <c r="H1371" s="20" t="n">
        <f aca="false">IFERROR(INDEX(CADASTRO_PIVOS!$E$6:$E$41,MATCH($E1371,CADASTRO_PIVOS!$B$6:$B$41,0)),0)</f>
        <v>139.94</v>
      </c>
      <c r="I1371" s="16" t="n">
        <f aca="false">IFERROR(SUMIFS(ROTACAO_RDM!$B$6:$B$71,ROTACAO_RDM!$D$6:$D$71,$E1371,ROTACAO_RDM!$I$6:$I$71,"&lt;="&amp;$C1371+INT(DIAS_POR_SEMANA/2),ROTACAO_RDM!$J$6:$J$71,"&gt;="&amp;$C1371+INT(DIAS_POR_SEMANA/2)),0)</f>
        <v>54</v>
      </c>
      <c r="J1371" s="16" t="n">
        <f aca="false">IFERROR(MATCH($I1371,ROTACAO_RDM!$B$6:$B$71,0),0)</f>
        <v>54</v>
      </c>
      <c r="K1371" s="8" t="str">
        <f aca="false">IF($J1371=0,"SEM CULTURA",INDEX(ROTACAO_RDM!$F$6:$F$71,$J1371))</f>
        <v>MILHO_GRAO</v>
      </c>
      <c r="L1371" s="8" t="n">
        <f aca="false">IF($J1371=0,"",INDEX(ROTACAO_RDM!$G$6:$G$71,$J1371))</f>
        <v>0</v>
      </c>
      <c r="M1371" s="17" t="n">
        <f aca="false">IF($J1371=0,"",INDEX(ROTACAO_RDM!$I$6:$I$71,$J1371))</f>
        <v>46515</v>
      </c>
      <c r="N1371" s="16" t="n">
        <f aca="false">IF($J1371=0,0,MAX(0,$C1371+INT(DIAS_POR_SEMANA/2)-INDEX(ROTACAO_RDM!$I$6:$I$71,$J1371)))</f>
        <v>68</v>
      </c>
      <c r="O1371" s="19" t="n">
        <f aca="false">IF($J1371=0,0,MIN(1,$N1371/MAX(1,INDEX(ROTACAO_RDM!$K$6:$K$71,$J1371))))</f>
        <v>0.425</v>
      </c>
      <c r="P1371" s="16" t="n">
        <f aca="false">IF($J1371=0,0,IFERROR(MATCH(INDEX(ROTACAO_RDM!$N$6:$N$71,$J1371),PARAMETROS_CULTURAS!$B$6:$B$28,0),0))</f>
        <v>8</v>
      </c>
      <c r="Q1371" s="8" t="str">
        <f aca="false">IF($P1371=0,"-",IF($O1371&lt;=INDEX(PARAMETROS_CULTURAS!$F$6:$F$28,$P1371),"INICIAL",IF($O1371&lt;=INDEX(PARAMETROS_CULTURAS!$F$6:$F$28,$P1371)+INDEX(PARAMETROS_CULTURAS!$G$6:$G$28,$P1371),"DESENVOLVIMENTO",IF($O1371&lt;=INDEX(PARAMETROS_CULTURAS!$F$6:$F$28,$P1371)+INDEX(PARAMETROS_CULTURAS!$G$6:$G$28,$P1371)+INDEX(PARAMETROS_CULTURAS!$H$6:$H$28,$P1371),"MEDIA","FINAL"))))</f>
        <v>DESENVOLVIMENTO</v>
      </c>
      <c r="R1371" s="24" t="n">
        <f aca="false">IF($P1371=0,0,IF($O1371&lt;=INDEX(PARAMETROS_CULTURAS!$F$6:$F$28,$P1371),INDEX(PARAMETROS_CULTURAS!$K$6:$K$28,$P1371),IF($O1371&lt;=INDEX(PARAMETROS_CULTURAS!$F$6:$F$28,$P1371)+INDEX(PARAMETROS_CULTURAS!$G$6:$G$28,$P1371),INDEX(PARAMETROS_CULTURAS!$K$6:$K$28,$P1371)+(INDEX(PARAMETROS_CULTURAS!$L$6:$L$28,$P1371)-INDEX(PARAMETROS_CULTURAS!$K$6:$K$28,$P1371))*($O1371-INDEX(PARAMETROS_CULTURAS!$F$6:$F$28,$P1371))/MAX(INDEX(PARAMETROS_CULTURAS!$G$6:$G$28,$P1371),0.0001),IF($O1371&lt;=INDEX(PARAMETROS_CULTURAS!$F$6:$F$28,$P1371)+INDEX(PARAMETROS_CULTURAS!$G$6:$G$28,$P1371)+INDEX(PARAMETROS_CULTURAS!$H$6:$H$28,$P1371),INDEX(PARAMETROS_CULTURAS!$L$6:$L$28,$P1371),INDEX(PARAMETROS_CULTURAS!$L$6:$L$28,$P1371)+(INDEX(PARAMETROS_CULTURAS!$M$6:$M$28,$P1371)-INDEX(PARAMETROS_CULTURAS!$L$6:$L$28,$P1371))*($O1371-INDEX(PARAMETROS_CULTURAS!$F$6:$F$28,$P1371)-INDEX(PARAMETROS_CULTURAS!$G$6:$G$28,$P1371)-INDEX(PARAMETROS_CULTURAS!$H$6:$H$28,$P1371))/MAX(INDEX(PARAMETROS_CULTURAS!$I$6:$I$28,$P1371),0.0001)))))</f>
        <v>1.146</v>
      </c>
      <c r="S1371" s="18" t="n">
        <f aca="false">IFERROR(INDEX(SEMANAS!$H$6:$H$71,MATCH($B1371,SEMANAS!$B$6:$B$71,0)),0)</f>
        <v>30.1</v>
      </c>
      <c r="T1371" s="18" t="n">
        <f aca="false">$R1371*$S1371</f>
        <v>34.4946</v>
      </c>
      <c r="U1371" s="18" t="n">
        <f aca="false">IFERROR(INDEX(SEMANAS!$I$6:$I$71,MATCH($B1371,SEMANAS!$B$6:$B$71,0)),0)</f>
        <v>0.7</v>
      </c>
      <c r="V1371" s="18" t="n">
        <f aca="false">IFERROR(INDEX(SEMANAS!$J$6:$J$71,MATCH($B1371,SEMANAS!$B$6:$B$71,0)),0)</f>
        <v>0.56</v>
      </c>
      <c r="W1371" s="18" t="n">
        <f aca="false">MAX(0,$T1371-$V1371)</f>
        <v>33.9346</v>
      </c>
      <c r="X1371" s="19" t="n">
        <f aca="false">IFERROR(INDEX(CADASTRO_PIVOS!$K$6:$K$41,MATCH($E1371,CADASTRO_PIVOS!$B$6:$B$41,0)),EFICIENCIA_PADRAO)</f>
        <v>0.85</v>
      </c>
      <c r="Y1371" s="18" t="n">
        <f aca="false">IF($X1371&lt;=0,0,$W1371/$X1371)</f>
        <v>39.9230588235294</v>
      </c>
      <c r="Z1371" s="16" t="n">
        <f aca="false">$Y1371*$H1371*MM_PARA_M3_HA</f>
        <v>55868.328517647</v>
      </c>
      <c r="AA1371" s="18" t="n">
        <f aca="false">IFERROR(INDEX(CADASTRO_PIVOS!$I$6:$I$41,MATCH($E1371,CADASTRO_PIVOS!$B$6:$B$41,0)),0)</f>
        <v>932.933333333333</v>
      </c>
      <c r="AB1371" s="18" t="n">
        <f aca="false">IF($Z1371&lt;=0,0,$Z1371/$AA1371)</f>
        <v>59.8845882352941</v>
      </c>
      <c r="AC1371" s="16" t="n">
        <f aca="false">IFERROR(INDEX(SEMANAS!$K$6:$K$71,MATCH($B1371,SEMANAS!$B$6:$B$71,0)),0)</f>
        <v>147</v>
      </c>
      <c r="AD1371" s="19" t="n">
        <f aca="false">IF($AC1371&lt;=0,0,$AB1371/$AC1371)</f>
        <v>0.407378151260504</v>
      </c>
      <c r="AE1371" s="8" t="str">
        <f aca="false">IF($K1371="SEM CULTURA","SEM CULTURA",IF($AA1371&lt;=0,"DADO PENDENTE",IF($AD1371&gt;LIMITE_CRITICO,"INVIAVEL",IF($AD1371&gt;LIMITE_ATENCAO,"CRITICO",IF($AD1371&gt;LIMITE_CONFORTAVEL,"ATENCAO","OK")))))</f>
        <v>OK</v>
      </c>
      <c r="AF1371" s="8" t="str">
        <f aca="false">$B1371&amp;"|"&amp;TEXT($AD1371,"0.000000")</f>
        <v>46|0.407378</v>
      </c>
      <c r="AG1371" s="18" t="n">
        <f aca="false">IF($K1371="SEM CULTURA",0,$T1371*$H1371)</f>
        <v>4827.174324</v>
      </c>
      <c r="AH1371" s="18" t="n">
        <f aca="false">IF($K1371="SEM CULTURA",0,$V1371*$H1371)</f>
        <v>78.3664</v>
      </c>
      <c r="AI1371" s="18" t="n">
        <f aca="false">IF($K1371="SEM CULTURA",0,$W1371*$H1371)</f>
        <v>4748.807924</v>
      </c>
      <c r="AJ1371" s="18" t="n">
        <f aca="false">IF($K1371="SEM CULTURA",0,$S1371*$H1371)</f>
        <v>4212.194</v>
      </c>
      <c r="AK1371" s="8" t="str">
        <f aca="false">$E1371&amp;"|"&amp;TEXT($AD1371,"0.000000")</f>
        <v>PV 128|0.407378</v>
      </c>
    </row>
    <row r="1372" customFormat="false" ht="15" hidden="false" customHeight="false" outlineLevel="0" collapsed="false">
      <c r="B1372" s="16" t="n">
        <v>47</v>
      </c>
      <c r="C1372" s="17" t="n">
        <f aca="false">DATA_INICIO_SAFRA+($B1372-1)*DIAS_POR_SEMANA</f>
        <v>46587</v>
      </c>
      <c r="D1372" s="17" t="n">
        <f aca="false">$C1372+DIAS_POR_SEMANA-1</f>
        <v>46593</v>
      </c>
      <c r="E1372" s="15" t="s">
        <v>279</v>
      </c>
      <c r="F1372" s="8" t="str">
        <f aca="false">IFERROR(INDEX(CADASTRO_PIVOS!$C$6:$C$41,MATCH($E1372,CADASTRO_PIVOS!$B$6:$B$41,0)),"?")</f>
        <v>RM06</v>
      </c>
      <c r="G1372" s="8" t="str">
        <f aca="false">IFERROR(INDEX(CADASTRO_PIVOS!$D$6:$D$41,MATCH($E1372,CADASTRO_PIVOS!$B$6:$B$41,0)),"?")</f>
        <v>TR06</v>
      </c>
      <c r="H1372" s="20" t="n">
        <f aca="false">IFERROR(INDEX(CADASTRO_PIVOS!$E$6:$E$41,MATCH($E1372,CADASTRO_PIVOS!$B$6:$B$41,0)),0)</f>
        <v>139.94</v>
      </c>
      <c r="I1372" s="16" t="n">
        <f aca="false">IFERROR(SUMIFS(ROTACAO_RDM!$B$6:$B$71,ROTACAO_RDM!$D$6:$D$71,$E1372,ROTACAO_RDM!$I$6:$I$71,"&lt;="&amp;$C1372+INT(DIAS_POR_SEMANA/2),ROTACAO_RDM!$J$6:$J$71,"&gt;="&amp;$C1372+INT(DIAS_POR_SEMANA/2)),0)</f>
        <v>54</v>
      </c>
      <c r="J1372" s="16" t="n">
        <f aca="false">IFERROR(MATCH($I1372,ROTACAO_RDM!$B$6:$B$71,0),0)</f>
        <v>54</v>
      </c>
      <c r="K1372" s="8" t="str">
        <f aca="false">IF($J1372=0,"SEM CULTURA",INDEX(ROTACAO_RDM!$F$6:$F$71,$J1372))</f>
        <v>MILHO_GRAO</v>
      </c>
      <c r="L1372" s="8" t="n">
        <f aca="false">IF($J1372=0,"",INDEX(ROTACAO_RDM!$G$6:$G$71,$J1372))</f>
        <v>0</v>
      </c>
      <c r="M1372" s="17" t="n">
        <f aca="false">IF($J1372=0,"",INDEX(ROTACAO_RDM!$I$6:$I$71,$J1372))</f>
        <v>46515</v>
      </c>
      <c r="N1372" s="16" t="n">
        <f aca="false">IF($J1372=0,0,MAX(0,$C1372+INT(DIAS_POR_SEMANA/2)-INDEX(ROTACAO_RDM!$I$6:$I$71,$J1372)))</f>
        <v>75</v>
      </c>
      <c r="O1372" s="19" t="n">
        <f aca="false">IF($J1372=0,0,MIN(1,$N1372/MAX(1,INDEX(ROTACAO_RDM!$K$6:$K$71,$J1372))))</f>
        <v>0.46875</v>
      </c>
      <c r="P1372" s="16" t="n">
        <f aca="false">IF($J1372=0,0,IFERROR(MATCH(INDEX(ROTACAO_RDM!$N$6:$N$71,$J1372),PARAMETROS_CULTURAS!$B$6:$B$28,0),0))</f>
        <v>8</v>
      </c>
      <c r="Q1372" s="8" t="str">
        <f aca="false">IF($P1372=0,"-",IF($O1372&lt;=INDEX(PARAMETROS_CULTURAS!$F$6:$F$28,$P1372),"INICIAL",IF($O1372&lt;=INDEX(PARAMETROS_CULTURAS!$F$6:$F$28,$P1372)+INDEX(PARAMETROS_CULTURAS!$G$6:$G$28,$P1372),"DESENVOLVIMENTO",IF($O1372&lt;=INDEX(PARAMETROS_CULTURAS!$F$6:$F$28,$P1372)+INDEX(PARAMETROS_CULTURAS!$G$6:$G$28,$P1372)+INDEX(PARAMETROS_CULTURAS!$H$6:$H$28,$P1372),"MEDIA","FINAL"))))</f>
        <v>MEDIA</v>
      </c>
      <c r="R1372" s="24" t="n">
        <f aca="false">IF($P1372=0,0,IF($O1372&lt;=INDEX(PARAMETROS_CULTURAS!$F$6:$F$28,$P1372),INDEX(PARAMETROS_CULTURAS!$K$6:$K$28,$P1372),IF($O1372&lt;=INDEX(PARAMETROS_CULTURAS!$F$6:$F$28,$P1372)+INDEX(PARAMETROS_CULTURAS!$G$6:$G$28,$P1372),INDEX(PARAMETROS_CULTURAS!$K$6:$K$28,$P1372)+(INDEX(PARAMETROS_CULTURAS!$L$6:$L$28,$P1372)-INDEX(PARAMETROS_CULTURAS!$K$6:$K$28,$P1372))*($O1372-INDEX(PARAMETROS_CULTURAS!$F$6:$F$28,$P1372))/MAX(INDEX(PARAMETROS_CULTURAS!$G$6:$G$28,$P1372),0.0001),IF($O1372&lt;=INDEX(PARAMETROS_CULTURAS!$F$6:$F$28,$P1372)+INDEX(PARAMETROS_CULTURAS!$G$6:$G$28,$P1372)+INDEX(PARAMETROS_CULTURAS!$H$6:$H$28,$P1372),INDEX(PARAMETROS_CULTURAS!$L$6:$L$28,$P1372),INDEX(PARAMETROS_CULTURAS!$L$6:$L$28,$P1372)+(INDEX(PARAMETROS_CULTURAS!$M$6:$M$28,$P1372)-INDEX(PARAMETROS_CULTURAS!$L$6:$L$28,$P1372))*($O1372-INDEX(PARAMETROS_CULTURAS!$F$6:$F$28,$P1372)-INDEX(PARAMETROS_CULTURAS!$G$6:$G$28,$P1372)-INDEX(PARAMETROS_CULTURAS!$H$6:$H$28,$P1372))/MAX(INDEX(PARAMETROS_CULTURAS!$I$6:$I$28,$P1372),0.0001)))))</f>
        <v>1.2</v>
      </c>
      <c r="S1372" s="18" t="n">
        <f aca="false">IFERROR(INDEX(SEMANAS!$H$6:$H$71,MATCH($B1372,SEMANAS!$B$6:$B$71,0)),0)</f>
        <v>30.1</v>
      </c>
      <c r="T1372" s="18" t="n">
        <f aca="false">$R1372*$S1372</f>
        <v>36.12</v>
      </c>
      <c r="U1372" s="18" t="n">
        <f aca="false">IFERROR(INDEX(SEMANAS!$I$6:$I$71,MATCH($B1372,SEMANAS!$B$6:$B$71,0)),0)</f>
        <v>0.7</v>
      </c>
      <c r="V1372" s="18" t="n">
        <f aca="false">IFERROR(INDEX(SEMANAS!$J$6:$J$71,MATCH($B1372,SEMANAS!$B$6:$B$71,0)),0)</f>
        <v>0.56</v>
      </c>
      <c r="W1372" s="18" t="n">
        <f aca="false">MAX(0,$T1372-$V1372)</f>
        <v>35.56</v>
      </c>
      <c r="X1372" s="19" t="n">
        <f aca="false">IFERROR(INDEX(CADASTRO_PIVOS!$K$6:$K$41,MATCH($E1372,CADASTRO_PIVOS!$B$6:$B$41,0)),EFICIENCIA_PADRAO)</f>
        <v>0.85</v>
      </c>
      <c r="Y1372" s="18" t="n">
        <f aca="false">IF($X1372&lt;=0,0,$W1372/$X1372)</f>
        <v>41.8352941176471</v>
      </c>
      <c r="Z1372" s="16" t="n">
        <f aca="false">$Y1372*$H1372*MM_PARA_M3_HA</f>
        <v>58544.3105882353</v>
      </c>
      <c r="AA1372" s="18" t="n">
        <f aca="false">IFERROR(INDEX(CADASTRO_PIVOS!$I$6:$I$41,MATCH($E1372,CADASTRO_PIVOS!$B$6:$B$41,0)),0)</f>
        <v>932.933333333333</v>
      </c>
      <c r="AB1372" s="18" t="n">
        <f aca="false">IF($Z1372&lt;=0,0,$Z1372/$AA1372)</f>
        <v>62.7529411764706</v>
      </c>
      <c r="AC1372" s="16" t="n">
        <f aca="false">IFERROR(INDEX(SEMANAS!$K$6:$K$71,MATCH($B1372,SEMANAS!$B$6:$B$71,0)),0)</f>
        <v>147</v>
      </c>
      <c r="AD1372" s="19" t="n">
        <f aca="false">IF($AC1372&lt;=0,0,$AB1372/$AC1372)</f>
        <v>0.426890756302521</v>
      </c>
      <c r="AE1372" s="8" t="str">
        <f aca="false">IF($K1372="SEM CULTURA","SEM CULTURA",IF($AA1372&lt;=0,"DADO PENDENTE",IF($AD1372&gt;LIMITE_CRITICO,"INVIAVEL",IF($AD1372&gt;LIMITE_ATENCAO,"CRITICO",IF($AD1372&gt;LIMITE_CONFORTAVEL,"ATENCAO","OK")))))</f>
        <v>OK</v>
      </c>
      <c r="AF1372" s="8" t="str">
        <f aca="false">$B1372&amp;"|"&amp;TEXT($AD1372,"0.000000")</f>
        <v>47|0.426891</v>
      </c>
      <c r="AG1372" s="18" t="n">
        <f aca="false">IF($K1372="SEM CULTURA",0,$T1372*$H1372)</f>
        <v>5054.6328</v>
      </c>
      <c r="AH1372" s="18" t="n">
        <f aca="false">IF($K1372="SEM CULTURA",0,$V1372*$H1372)</f>
        <v>78.3664</v>
      </c>
      <c r="AI1372" s="18" t="n">
        <f aca="false">IF($K1372="SEM CULTURA",0,$W1372*$H1372)</f>
        <v>4976.2664</v>
      </c>
      <c r="AJ1372" s="18" t="n">
        <f aca="false">IF($K1372="SEM CULTURA",0,$S1372*$H1372)</f>
        <v>4212.194</v>
      </c>
      <c r="AK1372" s="8" t="str">
        <f aca="false">$E1372&amp;"|"&amp;TEXT($AD1372,"0.000000")</f>
        <v>PV 128|0.426891</v>
      </c>
    </row>
    <row r="1373" customFormat="false" ht="15" hidden="false" customHeight="false" outlineLevel="0" collapsed="false">
      <c r="B1373" s="16" t="n">
        <v>48</v>
      </c>
      <c r="C1373" s="17" t="n">
        <f aca="false">DATA_INICIO_SAFRA+($B1373-1)*DIAS_POR_SEMANA</f>
        <v>46594</v>
      </c>
      <c r="D1373" s="17" t="n">
        <f aca="false">$C1373+DIAS_POR_SEMANA-1</f>
        <v>46600</v>
      </c>
      <c r="E1373" s="15" t="s">
        <v>279</v>
      </c>
      <c r="F1373" s="8" t="str">
        <f aca="false">IFERROR(INDEX(CADASTRO_PIVOS!$C$6:$C$41,MATCH($E1373,CADASTRO_PIVOS!$B$6:$B$41,0)),"?")</f>
        <v>RM06</v>
      </c>
      <c r="G1373" s="8" t="str">
        <f aca="false">IFERROR(INDEX(CADASTRO_PIVOS!$D$6:$D$41,MATCH($E1373,CADASTRO_PIVOS!$B$6:$B$41,0)),"?")</f>
        <v>TR06</v>
      </c>
      <c r="H1373" s="20" t="n">
        <f aca="false">IFERROR(INDEX(CADASTRO_PIVOS!$E$6:$E$41,MATCH($E1373,CADASTRO_PIVOS!$B$6:$B$41,0)),0)</f>
        <v>139.94</v>
      </c>
      <c r="I1373" s="16" t="n">
        <f aca="false">IFERROR(SUMIFS(ROTACAO_RDM!$B$6:$B$71,ROTACAO_RDM!$D$6:$D$71,$E1373,ROTACAO_RDM!$I$6:$I$71,"&lt;="&amp;$C1373+INT(DIAS_POR_SEMANA/2),ROTACAO_RDM!$J$6:$J$71,"&gt;="&amp;$C1373+INT(DIAS_POR_SEMANA/2)),0)</f>
        <v>54</v>
      </c>
      <c r="J1373" s="16" t="n">
        <f aca="false">IFERROR(MATCH($I1373,ROTACAO_RDM!$B$6:$B$71,0),0)</f>
        <v>54</v>
      </c>
      <c r="K1373" s="8" t="str">
        <f aca="false">IF($J1373=0,"SEM CULTURA",INDEX(ROTACAO_RDM!$F$6:$F$71,$J1373))</f>
        <v>MILHO_GRAO</v>
      </c>
      <c r="L1373" s="8" t="n">
        <f aca="false">IF($J1373=0,"",INDEX(ROTACAO_RDM!$G$6:$G$71,$J1373))</f>
        <v>0</v>
      </c>
      <c r="M1373" s="17" t="n">
        <f aca="false">IF($J1373=0,"",INDEX(ROTACAO_RDM!$I$6:$I$71,$J1373))</f>
        <v>46515</v>
      </c>
      <c r="N1373" s="16" t="n">
        <f aca="false">IF($J1373=0,0,MAX(0,$C1373+INT(DIAS_POR_SEMANA/2)-INDEX(ROTACAO_RDM!$I$6:$I$71,$J1373)))</f>
        <v>82</v>
      </c>
      <c r="O1373" s="19" t="n">
        <f aca="false">IF($J1373=0,0,MIN(1,$N1373/MAX(1,INDEX(ROTACAO_RDM!$K$6:$K$71,$J1373))))</f>
        <v>0.5125</v>
      </c>
      <c r="P1373" s="16" t="n">
        <f aca="false">IF($J1373=0,0,IFERROR(MATCH(INDEX(ROTACAO_RDM!$N$6:$N$71,$J1373),PARAMETROS_CULTURAS!$B$6:$B$28,0),0))</f>
        <v>8</v>
      </c>
      <c r="Q1373" s="8" t="str">
        <f aca="false">IF($P1373=0,"-",IF($O1373&lt;=INDEX(PARAMETROS_CULTURAS!$F$6:$F$28,$P1373),"INICIAL",IF($O1373&lt;=INDEX(PARAMETROS_CULTURAS!$F$6:$F$28,$P1373)+INDEX(PARAMETROS_CULTURAS!$G$6:$G$28,$P1373),"DESENVOLVIMENTO",IF($O1373&lt;=INDEX(PARAMETROS_CULTURAS!$F$6:$F$28,$P1373)+INDEX(PARAMETROS_CULTURAS!$G$6:$G$28,$P1373)+INDEX(PARAMETROS_CULTURAS!$H$6:$H$28,$P1373),"MEDIA","FINAL"))))</f>
        <v>MEDIA</v>
      </c>
      <c r="R1373" s="24" t="n">
        <f aca="false">IF($P1373=0,0,IF($O1373&lt;=INDEX(PARAMETROS_CULTURAS!$F$6:$F$28,$P1373),INDEX(PARAMETROS_CULTURAS!$K$6:$K$28,$P1373),IF($O1373&lt;=INDEX(PARAMETROS_CULTURAS!$F$6:$F$28,$P1373)+INDEX(PARAMETROS_CULTURAS!$G$6:$G$28,$P1373),INDEX(PARAMETROS_CULTURAS!$K$6:$K$28,$P1373)+(INDEX(PARAMETROS_CULTURAS!$L$6:$L$28,$P1373)-INDEX(PARAMETROS_CULTURAS!$K$6:$K$28,$P1373))*($O1373-INDEX(PARAMETROS_CULTURAS!$F$6:$F$28,$P1373))/MAX(INDEX(PARAMETROS_CULTURAS!$G$6:$G$28,$P1373),0.0001),IF($O1373&lt;=INDEX(PARAMETROS_CULTURAS!$F$6:$F$28,$P1373)+INDEX(PARAMETROS_CULTURAS!$G$6:$G$28,$P1373)+INDEX(PARAMETROS_CULTURAS!$H$6:$H$28,$P1373),INDEX(PARAMETROS_CULTURAS!$L$6:$L$28,$P1373),INDEX(PARAMETROS_CULTURAS!$L$6:$L$28,$P1373)+(INDEX(PARAMETROS_CULTURAS!$M$6:$M$28,$P1373)-INDEX(PARAMETROS_CULTURAS!$L$6:$L$28,$P1373))*($O1373-INDEX(PARAMETROS_CULTURAS!$F$6:$F$28,$P1373)-INDEX(PARAMETROS_CULTURAS!$G$6:$G$28,$P1373)-INDEX(PARAMETROS_CULTURAS!$H$6:$H$28,$P1373))/MAX(INDEX(PARAMETROS_CULTURAS!$I$6:$I$28,$P1373),0.0001)))))</f>
        <v>1.2</v>
      </c>
      <c r="S1373" s="18" t="n">
        <f aca="false">IFERROR(INDEX(SEMANAS!$H$6:$H$71,MATCH($B1373,SEMANAS!$B$6:$B$71,0)),0)</f>
        <v>31</v>
      </c>
      <c r="T1373" s="18" t="n">
        <f aca="false">$R1373*$S1373</f>
        <v>37.2</v>
      </c>
      <c r="U1373" s="18" t="n">
        <f aca="false">IFERROR(INDEX(SEMANAS!$I$6:$I$71,MATCH($B1373,SEMANAS!$B$6:$B$71,0)),0)</f>
        <v>0.76</v>
      </c>
      <c r="V1373" s="18" t="n">
        <f aca="false">IFERROR(INDEX(SEMANAS!$J$6:$J$71,MATCH($B1373,SEMANAS!$B$6:$B$71,0)),0)</f>
        <v>0.608</v>
      </c>
      <c r="W1373" s="18" t="n">
        <f aca="false">MAX(0,$T1373-$V1373)</f>
        <v>36.592</v>
      </c>
      <c r="X1373" s="19" t="n">
        <f aca="false">IFERROR(INDEX(CADASTRO_PIVOS!$K$6:$K$41,MATCH($E1373,CADASTRO_PIVOS!$B$6:$B$41,0)),EFICIENCIA_PADRAO)</f>
        <v>0.85</v>
      </c>
      <c r="Y1373" s="18" t="n">
        <f aca="false">IF($X1373&lt;=0,0,$W1373/$X1373)</f>
        <v>43.0494117647059</v>
      </c>
      <c r="Z1373" s="16" t="n">
        <f aca="false">$Y1373*$H1373*MM_PARA_M3_HA</f>
        <v>60243.3468235294</v>
      </c>
      <c r="AA1373" s="18" t="n">
        <f aca="false">IFERROR(INDEX(CADASTRO_PIVOS!$I$6:$I$41,MATCH($E1373,CADASTRO_PIVOS!$B$6:$B$41,0)),0)</f>
        <v>932.933333333333</v>
      </c>
      <c r="AB1373" s="18" t="n">
        <f aca="false">IF($Z1373&lt;=0,0,$Z1373/$AA1373)</f>
        <v>64.5741176470588</v>
      </c>
      <c r="AC1373" s="16" t="n">
        <f aca="false">IFERROR(INDEX(SEMANAS!$K$6:$K$71,MATCH($B1373,SEMANAS!$B$6:$B$71,0)),0)</f>
        <v>147</v>
      </c>
      <c r="AD1373" s="19" t="n">
        <f aca="false">IF($AC1373&lt;=0,0,$AB1373/$AC1373)</f>
        <v>0.439279711884754</v>
      </c>
      <c r="AE1373" s="8" t="str">
        <f aca="false">IF($K1373="SEM CULTURA","SEM CULTURA",IF($AA1373&lt;=0,"DADO PENDENTE",IF($AD1373&gt;LIMITE_CRITICO,"INVIAVEL",IF($AD1373&gt;LIMITE_ATENCAO,"CRITICO",IF($AD1373&gt;LIMITE_CONFORTAVEL,"ATENCAO","OK")))))</f>
        <v>OK</v>
      </c>
      <c r="AF1373" s="8" t="str">
        <f aca="false">$B1373&amp;"|"&amp;TEXT($AD1373,"0.000000")</f>
        <v>48|0.439280</v>
      </c>
      <c r="AG1373" s="18" t="n">
        <f aca="false">IF($K1373="SEM CULTURA",0,$T1373*$H1373)</f>
        <v>5205.768</v>
      </c>
      <c r="AH1373" s="18" t="n">
        <f aca="false">IF($K1373="SEM CULTURA",0,$V1373*$H1373)</f>
        <v>85.08352</v>
      </c>
      <c r="AI1373" s="18" t="n">
        <f aca="false">IF($K1373="SEM CULTURA",0,$W1373*$H1373)</f>
        <v>5120.68448</v>
      </c>
      <c r="AJ1373" s="18" t="n">
        <f aca="false">IF($K1373="SEM CULTURA",0,$S1373*$H1373)</f>
        <v>4338.14</v>
      </c>
      <c r="AK1373" s="8" t="str">
        <f aca="false">$E1373&amp;"|"&amp;TEXT($AD1373,"0.000000")</f>
        <v>PV 128|0.439280</v>
      </c>
    </row>
    <row r="1374" customFormat="false" ht="15" hidden="false" customHeight="false" outlineLevel="0" collapsed="false">
      <c r="B1374" s="16" t="n">
        <v>49</v>
      </c>
      <c r="C1374" s="17" t="n">
        <f aca="false">DATA_INICIO_SAFRA+($B1374-1)*DIAS_POR_SEMANA</f>
        <v>46601</v>
      </c>
      <c r="D1374" s="17" t="n">
        <f aca="false">$C1374+DIAS_POR_SEMANA-1</f>
        <v>46607</v>
      </c>
      <c r="E1374" s="15" t="s">
        <v>279</v>
      </c>
      <c r="F1374" s="8" t="str">
        <f aca="false">IFERROR(INDEX(CADASTRO_PIVOS!$C$6:$C$41,MATCH($E1374,CADASTRO_PIVOS!$B$6:$B$41,0)),"?")</f>
        <v>RM06</v>
      </c>
      <c r="G1374" s="8" t="str">
        <f aca="false">IFERROR(INDEX(CADASTRO_PIVOS!$D$6:$D$41,MATCH($E1374,CADASTRO_PIVOS!$B$6:$B$41,0)),"?")</f>
        <v>TR06</v>
      </c>
      <c r="H1374" s="20" t="n">
        <f aca="false">IFERROR(INDEX(CADASTRO_PIVOS!$E$6:$E$41,MATCH($E1374,CADASTRO_PIVOS!$B$6:$B$41,0)),0)</f>
        <v>139.94</v>
      </c>
      <c r="I1374" s="16" t="n">
        <f aca="false">IFERROR(SUMIFS(ROTACAO_RDM!$B$6:$B$71,ROTACAO_RDM!$D$6:$D$71,$E1374,ROTACAO_RDM!$I$6:$I$71,"&lt;="&amp;$C1374+INT(DIAS_POR_SEMANA/2),ROTACAO_RDM!$J$6:$J$71,"&gt;="&amp;$C1374+INT(DIAS_POR_SEMANA/2)),0)</f>
        <v>54</v>
      </c>
      <c r="J1374" s="16" t="n">
        <f aca="false">IFERROR(MATCH($I1374,ROTACAO_RDM!$B$6:$B$71,0),0)</f>
        <v>54</v>
      </c>
      <c r="K1374" s="8" t="str">
        <f aca="false">IF($J1374=0,"SEM CULTURA",INDEX(ROTACAO_RDM!$F$6:$F$71,$J1374))</f>
        <v>MILHO_GRAO</v>
      </c>
      <c r="L1374" s="8" t="n">
        <f aca="false">IF($J1374=0,"",INDEX(ROTACAO_RDM!$G$6:$G$71,$J1374))</f>
        <v>0</v>
      </c>
      <c r="M1374" s="17" t="n">
        <f aca="false">IF($J1374=0,"",INDEX(ROTACAO_RDM!$I$6:$I$71,$J1374))</f>
        <v>46515</v>
      </c>
      <c r="N1374" s="16" t="n">
        <f aca="false">IF($J1374=0,0,MAX(0,$C1374+INT(DIAS_POR_SEMANA/2)-INDEX(ROTACAO_RDM!$I$6:$I$71,$J1374)))</f>
        <v>89</v>
      </c>
      <c r="O1374" s="19" t="n">
        <f aca="false">IF($J1374=0,0,MIN(1,$N1374/MAX(1,INDEX(ROTACAO_RDM!$K$6:$K$71,$J1374))))</f>
        <v>0.55625</v>
      </c>
      <c r="P1374" s="16" t="n">
        <f aca="false">IF($J1374=0,0,IFERROR(MATCH(INDEX(ROTACAO_RDM!$N$6:$N$71,$J1374),PARAMETROS_CULTURAS!$B$6:$B$28,0),0))</f>
        <v>8</v>
      </c>
      <c r="Q1374" s="8" t="str">
        <f aca="false">IF($P1374=0,"-",IF($O1374&lt;=INDEX(PARAMETROS_CULTURAS!$F$6:$F$28,$P1374),"INICIAL",IF($O1374&lt;=INDEX(PARAMETROS_CULTURAS!$F$6:$F$28,$P1374)+INDEX(PARAMETROS_CULTURAS!$G$6:$G$28,$P1374),"DESENVOLVIMENTO",IF($O1374&lt;=INDEX(PARAMETROS_CULTURAS!$F$6:$F$28,$P1374)+INDEX(PARAMETROS_CULTURAS!$G$6:$G$28,$P1374)+INDEX(PARAMETROS_CULTURAS!$H$6:$H$28,$P1374),"MEDIA","FINAL"))))</f>
        <v>MEDIA</v>
      </c>
      <c r="R1374" s="24" t="n">
        <f aca="false">IF($P1374=0,0,IF($O1374&lt;=INDEX(PARAMETROS_CULTURAS!$F$6:$F$28,$P1374),INDEX(PARAMETROS_CULTURAS!$K$6:$K$28,$P1374),IF($O1374&lt;=INDEX(PARAMETROS_CULTURAS!$F$6:$F$28,$P1374)+INDEX(PARAMETROS_CULTURAS!$G$6:$G$28,$P1374),INDEX(PARAMETROS_CULTURAS!$K$6:$K$28,$P1374)+(INDEX(PARAMETROS_CULTURAS!$L$6:$L$28,$P1374)-INDEX(PARAMETROS_CULTURAS!$K$6:$K$28,$P1374))*($O1374-INDEX(PARAMETROS_CULTURAS!$F$6:$F$28,$P1374))/MAX(INDEX(PARAMETROS_CULTURAS!$G$6:$G$28,$P1374),0.0001),IF($O1374&lt;=INDEX(PARAMETROS_CULTURAS!$F$6:$F$28,$P1374)+INDEX(PARAMETROS_CULTURAS!$G$6:$G$28,$P1374)+INDEX(PARAMETROS_CULTURAS!$H$6:$H$28,$P1374),INDEX(PARAMETROS_CULTURAS!$L$6:$L$28,$P1374),INDEX(PARAMETROS_CULTURAS!$L$6:$L$28,$P1374)+(INDEX(PARAMETROS_CULTURAS!$M$6:$M$28,$P1374)-INDEX(PARAMETROS_CULTURAS!$L$6:$L$28,$P1374))*($O1374-INDEX(PARAMETROS_CULTURAS!$F$6:$F$28,$P1374)-INDEX(PARAMETROS_CULTURAS!$G$6:$G$28,$P1374)-INDEX(PARAMETROS_CULTURAS!$H$6:$H$28,$P1374))/MAX(INDEX(PARAMETROS_CULTURAS!$I$6:$I$28,$P1374),0.0001)))))</f>
        <v>1.2</v>
      </c>
      <c r="S1374" s="18" t="n">
        <f aca="false">IFERROR(INDEX(SEMANAS!$H$6:$H$71,MATCH($B1374,SEMANAS!$B$6:$B$71,0)),0)</f>
        <v>36.4</v>
      </c>
      <c r="T1374" s="18" t="n">
        <f aca="false">$R1374*$S1374</f>
        <v>43.68</v>
      </c>
      <c r="U1374" s="18" t="n">
        <f aca="false">IFERROR(INDEX(SEMANAS!$I$6:$I$71,MATCH($B1374,SEMANAS!$B$6:$B$71,0)),0)</f>
        <v>1.12</v>
      </c>
      <c r="V1374" s="18" t="n">
        <f aca="false">IFERROR(INDEX(SEMANAS!$J$6:$J$71,MATCH($B1374,SEMANAS!$B$6:$B$71,0)),0)</f>
        <v>0.896</v>
      </c>
      <c r="W1374" s="18" t="n">
        <f aca="false">MAX(0,$T1374-$V1374)</f>
        <v>42.784</v>
      </c>
      <c r="X1374" s="19" t="n">
        <f aca="false">IFERROR(INDEX(CADASTRO_PIVOS!$K$6:$K$41,MATCH($E1374,CADASTRO_PIVOS!$B$6:$B$41,0)),EFICIENCIA_PADRAO)</f>
        <v>0.85</v>
      </c>
      <c r="Y1374" s="18" t="n">
        <f aca="false">IF($X1374&lt;=0,0,$W1374/$X1374)</f>
        <v>50.3341176470588</v>
      </c>
      <c r="Z1374" s="16" t="n">
        <f aca="false">$Y1374*$H1374*MM_PARA_M3_HA</f>
        <v>70437.5642352941</v>
      </c>
      <c r="AA1374" s="18" t="n">
        <f aca="false">IFERROR(INDEX(CADASTRO_PIVOS!$I$6:$I$41,MATCH($E1374,CADASTRO_PIVOS!$B$6:$B$41,0)),0)</f>
        <v>932.933333333333</v>
      </c>
      <c r="AB1374" s="18" t="n">
        <f aca="false">IF($Z1374&lt;=0,0,$Z1374/$AA1374)</f>
        <v>75.5011764705883</v>
      </c>
      <c r="AC1374" s="16" t="n">
        <f aca="false">IFERROR(INDEX(SEMANAS!$K$6:$K$71,MATCH($B1374,SEMANAS!$B$6:$B$71,0)),0)</f>
        <v>147</v>
      </c>
      <c r="AD1374" s="19" t="n">
        <f aca="false">IF($AC1374&lt;=0,0,$AB1374/$AC1374)</f>
        <v>0.513613445378151</v>
      </c>
      <c r="AE1374" s="8" t="str">
        <f aca="false">IF($K1374="SEM CULTURA","SEM CULTURA",IF($AA1374&lt;=0,"DADO PENDENTE",IF($AD1374&gt;LIMITE_CRITICO,"INVIAVEL",IF($AD1374&gt;LIMITE_ATENCAO,"CRITICO",IF($AD1374&gt;LIMITE_CONFORTAVEL,"ATENCAO","OK")))))</f>
        <v>OK</v>
      </c>
      <c r="AF1374" s="8" t="str">
        <f aca="false">$B1374&amp;"|"&amp;TEXT($AD1374,"0.000000")</f>
        <v>49|0.513613</v>
      </c>
      <c r="AG1374" s="18" t="n">
        <f aca="false">IF($K1374="SEM CULTURA",0,$T1374*$H1374)</f>
        <v>6112.5792</v>
      </c>
      <c r="AH1374" s="18" t="n">
        <f aca="false">IF($K1374="SEM CULTURA",0,$V1374*$H1374)</f>
        <v>125.38624</v>
      </c>
      <c r="AI1374" s="18" t="n">
        <f aca="false">IF($K1374="SEM CULTURA",0,$W1374*$H1374)</f>
        <v>5987.19296</v>
      </c>
      <c r="AJ1374" s="18" t="n">
        <f aca="false">IF($K1374="SEM CULTURA",0,$S1374*$H1374)</f>
        <v>5093.816</v>
      </c>
      <c r="AK1374" s="8" t="str">
        <f aca="false">$E1374&amp;"|"&amp;TEXT($AD1374,"0.000000")</f>
        <v>PV 128|0.513613</v>
      </c>
    </row>
    <row r="1375" customFormat="false" ht="15" hidden="false" customHeight="false" outlineLevel="0" collapsed="false">
      <c r="B1375" s="16" t="n">
        <v>50</v>
      </c>
      <c r="C1375" s="17" t="n">
        <f aca="false">DATA_INICIO_SAFRA+($B1375-1)*DIAS_POR_SEMANA</f>
        <v>46608</v>
      </c>
      <c r="D1375" s="17" t="n">
        <f aca="false">$C1375+DIAS_POR_SEMANA-1</f>
        <v>46614</v>
      </c>
      <c r="E1375" s="15" t="s">
        <v>279</v>
      </c>
      <c r="F1375" s="8" t="str">
        <f aca="false">IFERROR(INDEX(CADASTRO_PIVOS!$C$6:$C$41,MATCH($E1375,CADASTRO_PIVOS!$B$6:$B$41,0)),"?")</f>
        <v>RM06</v>
      </c>
      <c r="G1375" s="8" t="str">
        <f aca="false">IFERROR(INDEX(CADASTRO_PIVOS!$D$6:$D$41,MATCH($E1375,CADASTRO_PIVOS!$B$6:$B$41,0)),"?")</f>
        <v>TR06</v>
      </c>
      <c r="H1375" s="20" t="n">
        <f aca="false">IFERROR(INDEX(CADASTRO_PIVOS!$E$6:$E$41,MATCH($E1375,CADASTRO_PIVOS!$B$6:$B$41,0)),0)</f>
        <v>139.94</v>
      </c>
      <c r="I1375" s="16" t="n">
        <f aca="false">IFERROR(SUMIFS(ROTACAO_RDM!$B$6:$B$71,ROTACAO_RDM!$D$6:$D$71,$E1375,ROTACAO_RDM!$I$6:$I$71,"&lt;="&amp;$C1375+INT(DIAS_POR_SEMANA/2),ROTACAO_RDM!$J$6:$J$71,"&gt;="&amp;$C1375+INT(DIAS_POR_SEMANA/2)),0)</f>
        <v>54</v>
      </c>
      <c r="J1375" s="16" t="n">
        <f aca="false">IFERROR(MATCH($I1375,ROTACAO_RDM!$B$6:$B$71,0),0)</f>
        <v>54</v>
      </c>
      <c r="K1375" s="8" t="str">
        <f aca="false">IF($J1375=0,"SEM CULTURA",INDEX(ROTACAO_RDM!$F$6:$F$71,$J1375))</f>
        <v>MILHO_GRAO</v>
      </c>
      <c r="L1375" s="8" t="n">
        <f aca="false">IF($J1375=0,"",INDEX(ROTACAO_RDM!$G$6:$G$71,$J1375))</f>
        <v>0</v>
      </c>
      <c r="M1375" s="17" t="n">
        <f aca="false">IF($J1375=0,"",INDEX(ROTACAO_RDM!$I$6:$I$71,$J1375))</f>
        <v>46515</v>
      </c>
      <c r="N1375" s="16" t="n">
        <f aca="false">IF($J1375=0,0,MAX(0,$C1375+INT(DIAS_POR_SEMANA/2)-INDEX(ROTACAO_RDM!$I$6:$I$71,$J1375)))</f>
        <v>96</v>
      </c>
      <c r="O1375" s="19" t="n">
        <f aca="false">IF($J1375=0,0,MIN(1,$N1375/MAX(1,INDEX(ROTACAO_RDM!$K$6:$K$71,$J1375))))</f>
        <v>0.6</v>
      </c>
      <c r="P1375" s="16" t="n">
        <f aca="false">IF($J1375=0,0,IFERROR(MATCH(INDEX(ROTACAO_RDM!$N$6:$N$71,$J1375),PARAMETROS_CULTURAS!$B$6:$B$28,0),0))</f>
        <v>8</v>
      </c>
      <c r="Q1375" s="8" t="str">
        <f aca="false">IF($P1375=0,"-",IF($O1375&lt;=INDEX(PARAMETROS_CULTURAS!$F$6:$F$28,$P1375),"INICIAL",IF($O1375&lt;=INDEX(PARAMETROS_CULTURAS!$F$6:$F$28,$P1375)+INDEX(PARAMETROS_CULTURAS!$G$6:$G$28,$P1375),"DESENVOLVIMENTO",IF($O1375&lt;=INDEX(PARAMETROS_CULTURAS!$F$6:$F$28,$P1375)+INDEX(PARAMETROS_CULTURAS!$G$6:$G$28,$P1375)+INDEX(PARAMETROS_CULTURAS!$H$6:$H$28,$P1375),"MEDIA","FINAL"))))</f>
        <v>MEDIA</v>
      </c>
      <c r="R1375" s="24" t="n">
        <f aca="false">IF($P1375=0,0,IF($O1375&lt;=INDEX(PARAMETROS_CULTURAS!$F$6:$F$28,$P1375),INDEX(PARAMETROS_CULTURAS!$K$6:$K$28,$P1375),IF($O1375&lt;=INDEX(PARAMETROS_CULTURAS!$F$6:$F$28,$P1375)+INDEX(PARAMETROS_CULTURAS!$G$6:$G$28,$P1375),INDEX(PARAMETROS_CULTURAS!$K$6:$K$28,$P1375)+(INDEX(PARAMETROS_CULTURAS!$L$6:$L$28,$P1375)-INDEX(PARAMETROS_CULTURAS!$K$6:$K$28,$P1375))*($O1375-INDEX(PARAMETROS_CULTURAS!$F$6:$F$28,$P1375))/MAX(INDEX(PARAMETROS_CULTURAS!$G$6:$G$28,$P1375),0.0001),IF($O1375&lt;=INDEX(PARAMETROS_CULTURAS!$F$6:$F$28,$P1375)+INDEX(PARAMETROS_CULTURAS!$G$6:$G$28,$P1375)+INDEX(PARAMETROS_CULTURAS!$H$6:$H$28,$P1375),INDEX(PARAMETROS_CULTURAS!$L$6:$L$28,$P1375),INDEX(PARAMETROS_CULTURAS!$L$6:$L$28,$P1375)+(INDEX(PARAMETROS_CULTURAS!$M$6:$M$28,$P1375)-INDEX(PARAMETROS_CULTURAS!$L$6:$L$28,$P1375))*($O1375-INDEX(PARAMETROS_CULTURAS!$F$6:$F$28,$P1375)-INDEX(PARAMETROS_CULTURAS!$G$6:$G$28,$P1375)-INDEX(PARAMETROS_CULTURAS!$H$6:$H$28,$P1375))/MAX(INDEX(PARAMETROS_CULTURAS!$I$6:$I$28,$P1375),0.0001)))))</f>
        <v>1.2</v>
      </c>
      <c r="S1375" s="18" t="n">
        <f aca="false">IFERROR(INDEX(SEMANAS!$H$6:$H$71,MATCH($B1375,SEMANAS!$B$6:$B$71,0)),0)</f>
        <v>36.4</v>
      </c>
      <c r="T1375" s="18" t="n">
        <f aca="false">$R1375*$S1375</f>
        <v>43.68</v>
      </c>
      <c r="U1375" s="18" t="n">
        <f aca="false">IFERROR(INDEX(SEMANAS!$I$6:$I$71,MATCH($B1375,SEMANAS!$B$6:$B$71,0)),0)</f>
        <v>1.12</v>
      </c>
      <c r="V1375" s="18" t="n">
        <f aca="false">IFERROR(INDEX(SEMANAS!$J$6:$J$71,MATCH($B1375,SEMANAS!$B$6:$B$71,0)),0)</f>
        <v>0.896</v>
      </c>
      <c r="W1375" s="18" t="n">
        <f aca="false">MAX(0,$T1375-$V1375)</f>
        <v>42.784</v>
      </c>
      <c r="X1375" s="19" t="n">
        <f aca="false">IFERROR(INDEX(CADASTRO_PIVOS!$K$6:$K$41,MATCH($E1375,CADASTRO_PIVOS!$B$6:$B$41,0)),EFICIENCIA_PADRAO)</f>
        <v>0.85</v>
      </c>
      <c r="Y1375" s="18" t="n">
        <f aca="false">IF($X1375&lt;=0,0,$W1375/$X1375)</f>
        <v>50.3341176470588</v>
      </c>
      <c r="Z1375" s="16" t="n">
        <f aca="false">$Y1375*$H1375*MM_PARA_M3_HA</f>
        <v>70437.5642352941</v>
      </c>
      <c r="AA1375" s="18" t="n">
        <f aca="false">IFERROR(INDEX(CADASTRO_PIVOS!$I$6:$I$41,MATCH($E1375,CADASTRO_PIVOS!$B$6:$B$41,0)),0)</f>
        <v>932.933333333333</v>
      </c>
      <c r="AB1375" s="18" t="n">
        <f aca="false">IF($Z1375&lt;=0,0,$Z1375/$AA1375)</f>
        <v>75.5011764705883</v>
      </c>
      <c r="AC1375" s="16" t="n">
        <f aca="false">IFERROR(INDEX(SEMANAS!$K$6:$K$71,MATCH($B1375,SEMANAS!$B$6:$B$71,0)),0)</f>
        <v>147</v>
      </c>
      <c r="AD1375" s="19" t="n">
        <f aca="false">IF($AC1375&lt;=0,0,$AB1375/$AC1375)</f>
        <v>0.513613445378151</v>
      </c>
      <c r="AE1375" s="8" t="str">
        <f aca="false">IF($K1375="SEM CULTURA","SEM CULTURA",IF($AA1375&lt;=0,"DADO PENDENTE",IF($AD1375&gt;LIMITE_CRITICO,"INVIAVEL",IF($AD1375&gt;LIMITE_ATENCAO,"CRITICO",IF($AD1375&gt;LIMITE_CONFORTAVEL,"ATENCAO","OK")))))</f>
        <v>OK</v>
      </c>
      <c r="AF1375" s="8" t="str">
        <f aca="false">$B1375&amp;"|"&amp;TEXT($AD1375,"0.000000")</f>
        <v>50|0.513613</v>
      </c>
      <c r="AG1375" s="18" t="n">
        <f aca="false">IF($K1375="SEM CULTURA",0,$T1375*$H1375)</f>
        <v>6112.5792</v>
      </c>
      <c r="AH1375" s="18" t="n">
        <f aca="false">IF($K1375="SEM CULTURA",0,$V1375*$H1375)</f>
        <v>125.38624</v>
      </c>
      <c r="AI1375" s="18" t="n">
        <f aca="false">IF($K1375="SEM CULTURA",0,$W1375*$H1375)</f>
        <v>5987.19296</v>
      </c>
      <c r="AJ1375" s="18" t="n">
        <f aca="false">IF($K1375="SEM CULTURA",0,$S1375*$H1375)</f>
        <v>5093.816</v>
      </c>
      <c r="AK1375" s="8" t="str">
        <f aca="false">$E1375&amp;"|"&amp;TEXT($AD1375,"0.000000")</f>
        <v>PV 128|0.513613</v>
      </c>
    </row>
    <row r="1376" customFormat="false" ht="15" hidden="false" customHeight="false" outlineLevel="0" collapsed="false">
      <c r="B1376" s="16" t="n">
        <v>51</v>
      </c>
      <c r="C1376" s="17" t="n">
        <f aca="false">DATA_INICIO_SAFRA+($B1376-1)*DIAS_POR_SEMANA</f>
        <v>46615</v>
      </c>
      <c r="D1376" s="17" t="n">
        <f aca="false">$C1376+DIAS_POR_SEMANA-1</f>
        <v>46621</v>
      </c>
      <c r="E1376" s="15" t="s">
        <v>279</v>
      </c>
      <c r="F1376" s="8" t="str">
        <f aca="false">IFERROR(INDEX(CADASTRO_PIVOS!$C$6:$C$41,MATCH($E1376,CADASTRO_PIVOS!$B$6:$B$41,0)),"?")</f>
        <v>RM06</v>
      </c>
      <c r="G1376" s="8" t="str">
        <f aca="false">IFERROR(INDEX(CADASTRO_PIVOS!$D$6:$D$41,MATCH($E1376,CADASTRO_PIVOS!$B$6:$B$41,0)),"?")</f>
        <v>TR06</v>
      </c>
      <c r="H1376" s="20" t="n">
        <f aca="false">IFERROR(INDEX(CADASTRO_PIVOS!$E$6:$E$41,MATCH($E1376,CADASTRO_PIVOS!$B$6:$B$41,0)),0)</f>
        <v>139.94</v>
      </c>
      <c r="I1376" s="16" t="n">
        <f aca="false">IFERROR(SUMIFS(ROTACAO_RDM!$B$6:$B$71,ROTACAO_RDM!$D$6:$D$71,$E1376,ROTACAO_RDM!$I$6:$I$71,"&lt;="&amp;$C1376+INT(DIAS_POR_SEMANA/2),ROTACAO_RDM!$J$6:$J$71,"&gt;="&amp;$C1376+INT(DIAS_POR_SEMANA/2)),0)</f>
        <v>54</v>
      </c>
      <c r="J1376" s="16" t="n">
        <f aca="false">IFERROR(MATCH($I1376,ROTACAO_RDM!$B$6:$B$71,0),0)</f>
        <v>54</v>
      </c>
      <c r="K1376" s="8" t="str">
        <f aca="false">IF($J1376=0,"SEM CULTURA",INDEX(ROTACAO_RDM!$F$6:$F$71,$J1376))</f>
        <v>MILHO_GRAO</v>
      </c>
      <c r="L1376" s="8" t="n">
        <f aca="false">IF($J1376=0,"",INDEX(ROTACAO_RDM!$G$6:$G$71,$J1376))</f>
        <v>0</v>
      </c>
      <c r="M1376" s="17" t="n">
        <f aca="false">IF($J1376=0,"",INDEX(ROTACAO_RDM!$I$6:$I$71,$J1376))</f>
        <v>46515</v>
      </c>
      <c r="N1376" s="16" t="n">
        <f aca="false">IF($J1376=0,0,MAX(0,$C1376+INT(DIAS_POR_SEMANA/2)-INDEX(ROTACAO_RDM!$I$6:$I$71,$J1376)))</f>
        <v>103</v>
      </c>
      <c r="O1376" s="19" t="n">
        <f aca="false">IF($J1376=0,0,MIN(1,$N1376/MAX(1,INDEX(ROTACAO_RDM!$K$6:$K$71,$J1376))))</f>
        <v>0.64375</v>
      </c>
      <c r="P1376" s="16" t="n">
        <f aca="false">IF($J1376=0,0,IFERROR(MATCH(INDEX(ROTACAO_RDM!$N$6:$N$71,$J1376),PARAMETROS_CULTURAS!$B$6:$B$28,0),0))</f>
        <v>8</v>
      </c>
      <c r="Q1376" s="8" t="str">
        <f aca="false">IF($P1376=0,"-",IF($O1376&lt;=INDEX(PARAMETROS_CULTURAS!$F$6:$F$28,$P1376),"INICIAL",IF($O1376&lt;=INDEX(PARAMETROS_CULTURAS!$F$6:$F$28,$P1376)+INDEX(PARAMETROS_CULTURAS!$G$6:$G$28,$P1376),"DESENVOLVIMENTO",IF($O1376&lt;=INDEX(PARAMETROS_CULTURAS!$F$6:$F$28,$P1376)+INDEX(PARAMETROS_CULTURAS!$G$6:$G$28,$P1376)+INDEX(PARAMETROS_CULTURAS!$H$6:$H$28,$P1376),"MEDIA","FINAL"))))</f>
        <v>MEDIA</v>
      </c>
      <c r="R1376" s="24" t="n">
        <f aca="false">IF($P1376=0,0,IF($O1376&lt;=INDEX(PARAMETROS_CULTURAS!$F$6:$F$28,$P1376),INDEX(PARAMETROS_CULTURAS!$K$6:$K$28,$P1376),IF($O1376&lt;=INDEX(PARAMETROS_CULTURAS!$F$6:$F$28,$P1376)+INDEX(PARAMETROS_CULTURAS!$G$6:$G$28,$P1376),INDEX(PARAMETROS_CULTURAS!$K$6:$K$28,$P1376)+(INDEX(PARAMETROS_CULTURAS!$L$6:$L$28,$P1376)-INDEX(PARAMETROS_CULTURAS!$K$6:$K$28,$P1376))*($O1376-INDEX(PARAMETROS_CULTURAS!$F$6:$F$28,$P1376))/MAX(INDEX(PARAMETROS_CULTURAS!$G$6:$G$28,$P1376),0.0001),IF($O1376&lt;=INDEX(PARAMETROS_CULTURAS!$F$6:$F$28,$P1376)+INDEX(PARAMETROS_CULTURAS!$G$6:$G$28,$P1376)+INDEX(PARAMETROS_CULTURAS!$H$6:$H$28,$P1376),INDEX(PARAMETROS_CULTURAS!$L$6:$L$28,$P1376),INDEX(PARAMETROS_CULTURAS!$L$6:$L$28,$P1376)+(INDEX(PARAMETROS_CULTURAS!$M$6:$M$28,$P1376)-INDEX(PARAMETROS_CULTURAS!$L$6:$L$28,$P1376))*($O1376-INDEX(PARAMETROS_CULTURAS!$F$6:$F$28,$P1376)-INDEX(PARAMETROS_CULTURAS!$G$6:$G$28,$P1376)-INDEX(PARAMETROS_CULTURAS!$H$6:$H$28,$P1376))/MAX(INDEX(PARAMETROS_CULTURAS!$I$6:$I$28,$P1376),0.0001)))))</f>
        <v>1.2</v>
      </c>
      <c r="S1376" s="18" t="n">
        <f aca="false">IFERROR(INDEX(SEMANAS!$H$6:$H$71,MATCH($B1376,SEMANAS!$B$6:$B$71,0)),0)</f>
        <v>36.4</v>
      </c>
      <c r="T1376" s="18" t="n">
        <f aca="false">$R1376*$S1376</f>
        <v>43.68</v>
      </c>
      <c r="U1376" s="18" t="n">
        <f aca="false">IFERROR(INDEX(SEMANAS!$I$6:$I$71,MATCH($B1376,SEMANAS!$B$6:$B$71,0)),0)</f>
        <v>1.12</v>
      </c>
      <c r="V1376" s="18" t="n">
        <f aca="false">IFERROR(INDEX(SEMANAS!$J$6:$J$71,MATCH($B1376,SEMANAS!$B$6:$B$71,0)),0)</f>
        <v>0.896</v>
      </c>
      <c r="W1376" s="18" t="n">
        <f aca="false">MAX(0,$T1376-$V1376)</f>
        <v>42.784</v>
      </c>
      <c r="X1376" s="19" t="n">
        <f aca="false">IFERROR(INDEX(CADASTRO_PIVOS!$K$6:$K$41,MATCH($E1376,CADASTRO_PIVOS!$B$6:$B$41,0)),EFICIENCIA_PADRAO)</f>
        <v>0.85</v>
      </c>
      <c r="Y1376" s="18" t="n">
        <f aca="false">IF($X1376&lt;=0,0,$W1376/$X1376)</f>
        <v>50.3341176470588</v>
      </c>
      <c r="Z1376" s="16" t="n">
        <f aca="false">$Y1376*$H1376*MM_PARA_M3_HA</f>
        <v>70437.5642352941</v>
      </c>
      <c r="AA1376" s="18" t="n">
        <f aca="false">IFERROR(INDEX(CADASTRO_PIVOS!$I$6:$I$41,MATCH($E1376,CADASTRO_PIVOS!$B$6:$B$41,0)),0)</f>
        <v>932.933333333333</v>
      </c>
      <c r="AB1376" s="18" t="n">
        <f aca="false">IF($Z1376&lt;=0,0,$Z1376/$AA1376)</f>
        <v>75.5011764705883</v>
      </c>
      <c r="AC1376" s="16" t="n">
        <f aca="false">IFERROR(INDEX(SEMANAS!$K$6:$K$71,MATCH($B1376,SEMANAS!$B$6:$B$71,0)),0)</f>
        <v>147</v>
      </c>
      <c r="AD1376" s="19" t="n">
        <f aca="false">IF($AC1376&lt;=0,0,$AB1376/$AC1376)</f>
        <v>0.513613445378151</v>
      </c>
      <c r="AE1376" s="8" t="str">
        <f aca="false">IF($K1376="SEM CULTURA","SEM CULTURA",IF($AA1376&lt;=0,"DADO PENDENTE",IF($AD1376&gt;LIMITE_CRITICO,"INVIAVEL",IF($AD1376&gt;LIMITE_ATENCAO,"CRITICO",IF($AD1376&gt;LIMITE_CONFORTAVEL,"ATENCAO","OK")))))</f>
        <v>OK</v>
      </c>
      <c r="AF1376" s="8" t="str">
        <f aca="false">$B1376&amp;"|"&amp;TEXT($AD1376,"0.000000")</f>
        <v>51|0.513613</v>
      </c>
      <c r="AG1376" s="18" t="n">
        <f aca="false">IF($K1376="SEM CULTURA",0,$T1376*$H1376)</f>
        <v>6112.5792</v>
      </c>
      <c r="AH1376" s="18" t="n">
        <f aca="false">IF($K1376="SEM CULTURA",0,$V1376*$H1376)</f>
        <v>125.38624</v>
      </c>
      <c r="AI1376" s="18" t="n">
        <f aca="false">IF($K1376="SEM CULTURA",0,$W1376*$H1376)</f>
        <v>5987.19296</v>
      </c>
      <c r="AJ1376" s="18" t="n">
        <f aca="false">IF($K1376="SEM CULTURA",0,$S1376*$H1376)</f>
        <v>5093.816</v>
      </c>
      <c r="AK1376" s="8" t="str">
        <f aca="false">$E1376&amp;"|"&amp;TEXT($AD1376,"0.000000")</f>
        <v>PV 128|0.513613</v>
      </c>
    </row>
    <row r="1377" customFormat="false" ht="15" hidden="false" customHeight="false" outlineLevel="0" collapsed="false">
      <c r="B1377" s="16" t="n">
        <v>52</v>
      </c>
      <c r="C1377" s="17" t="n">
        <f aca="false">DATA_INICIO_SAFRA+($B1377-1)*DIAS_POR_SEMANA</f>
        <v>46622</v>
      </c>
      <c r="D1377" s="17" t="n">
        <f aca="false">$C1377+DIAS_POR_SEMANA-1</f>
        <v>46628</v>
      </c>
      <c r="E1377" s="15" t="s">
        <v>279</v>
      </c>
      <c r="F1377" s="8" t="str">
        <f aca="false">IFERROR(INDEX(CADASTRO_PIVOS!$C$6:$C$41,MATCH($E1377,CADASTRO_PIVOS!$B$6:$B$41,0)),"?")</f>
        <v>RM06</v>
      </c>
      <c r="G1377" s="8" t="str">
        <f aca="false">IFERROR(INDEX(CADASTRO_PIVOS!$D$6:$D$41,MATCH($E1377,CADASTRO_PIVOS!$B$6:$B$41,0)),"?")</f>
        <v>TR06</v>
      </c>
      <c r="H1377" s="20" t="n">
        <f aca="false">IFERROR(INDEX(CADASTRO_PIVOS!$E$6:$E$41,MATCH($E1377,CADASTRO_PIVOS!$B$6:$B$41,0)),0)</f>
        <v>139.94</v>
      </c>
      <c r="I1377" s="16" t="n">
        <f aca="false">IFERROR(SUMIFS(ROTACAO_RDM!$B$6:$B$71,ROTACAO_RDM!$D$6:$D$71,$E1377,ROTACAO_RDM!$I$6:$I$71,"&lt;="&amp;$C1377+INT(DIAS_POR_SEMANA/2),ROTACAO_RDM!$J$6:$J$71,"&gt;="&amp;$C1377+INT(DIAS_POR_SEMANA/2)),0)</f>
        <v>54</v>
      </c>
      <c r="J1377" s="16" t="n">
        <f aca="false">IFERROR(MATCH($I1377,ROTACAO_RDM!$B$6:$B$71,0),0)</f>
        <v>54</v>
      </c>
      <c r="K1377" s="8" t="str">
        <f aca="false">IF($J1377=0,"SEM CULTURA",INDEX(ROTACAO_RDM!$F$6:$F$71,$J1377))</f>
        <v>MILHO_GRAO</v>
      </c>
      <c r="L1377" s="8" t="n">
        <f aca="false">IF($J1377=0,"",INDEX(ROTACAO_RDM!$G$6:$G$71,$J1377))</f>
        <v>0</v>
      </c>
      <c r="M1377" s="17" t="n">
        <f aca="false">IF($J1377=0,"",INDEX(ROTACAO_RDM!$I$6:$I$71,$J1377))</f>
        <v>46515</v>
      </c>
      <c r="N1377" s="16" t="n">
        <f aca="false">IF($J1377=0,0,MAX(0,$C1377+INT(DIAS_POR_SEMANA/2)-INDEX(ROTACAO_RDM!$I$6:$I$71,$J1377)))</f>
        <v>110</v>
      </c>
      <c r="O1377" s="19" t="n">
        <f aca="false">IF($J1377=0,0,MIN(1,$N1377/MAX(1,INDEX(ROTACAO_RDM!$K$6:$K$71,$J1377))))</f>
        <v>0.6875</v>
      </c>
      <c r="P1377" s="16" t="n">
        <f aca="false">IF($J1377=0,0,IFERROR(MATCH(INDEX(ROTACAO_RDM!$N$6:$N$71,$J1377),PARAMETROS_CULTURAS!$B$6:$B$28,0),0))</f>
        <v>8</v>
      </c>
      <c r="Q1377" s="8" t="str">
        <f aca="false">IF($P1377=0,"-",IF($O1377&lt;=INDEX(PARAMETROS_CULTURAS!$F$6:$F$28,$P1377),"INICIAL",IF($O1377&lt;=INDEX(PARAMETROS_CULTURAS!$F$6:$F$28,$P1377)+INDEX(PARAMETROS_CULTURAS!$G$6:$G$28,$P1377),"DESENVOLVIMENTO",IF($O1377&lt;=INDEX(PARAMETROS_CULTURAS!$F$6:$F$28,$P1377)+INDEX(PARAMETROS_CULTURAS!$G$6:$G$28,$P1377)+INDEX(PARAMETROS_CULTURAS!$H$6:$H$28,$P1377),"MEDIA","FINAL"))))</f>
        <v>MEDIA</v>
      </c>
      <c r="R1377" s="24" t="n">
        <f aca="false">IF($P1377=0,0,IF($O1377&lt;=INDEX(PARAMETROS_CULTURAS!$F$6:$F$28,$P1377),INDEX(PARAMETROS_CULTURAS!$K$6:$K$28,$P1377),IF($O1377&lt;=INDEX(PARAMETROS_CULTURAS!$F$6:$F$28,$P1377)+INDEX(PARAMETROS_CULTURAS!$G$6:$G$28,$P1377),INDEX(PARAMETROS_CULTURAS!$K$6:$K$28,$P1377)+(INDEX(PARAMETROS_CULTURAS!$L$6:$L$28,$P1377)-INDEX(PARAMETROS_CULTURAS!$K$6:$K$28,$P1377))*($O1377-INDEX(PARAMETROS_CULTURAS!$F$6:$F$28,$P1377))/MAX(INDEX(PARAMETROS_CULTURAS!$G$6:$G$28,$P1377),0.0001),IF($O1377&lt;=INDEX(PARAMETROS_CULTURAS!$F$6:$F$28,$P1377)+INDEX(PARAMETROS_CULTURAS!$G$6:$G$28,$P1377)+INDEX(PARAMETROS_CULTURAS!$H$6:$H$28,$P1377),INDEX(PARAMETROS_CULTURAS!$L$6:$L$28,$P1377),INDEX(PARAMETROS_CULTURAS!$L$6:$L$28,$P1377)+(INDEX(PARAMETROS_CULTURAS!$M$6:$M$28,$P1377)-INDEX(PARAMETROS_CULTURAS!$L$6:$L$28,$P1377))*($O1377-INDEX(PARAMETROS_CULTURAS!$F$6:$F$28,$P1377)-INDEX(PARAMETROS_CULTURAS!$G$6:$G$28,$P1377)-INDEX(PARAMETROS_CULTURAS!$H$6:$H$28,$P1377))/MAX(INDEX(PARAMETROS_CULTURAS!$I$6:$I$28,$P1377),0.0001)))))</f>
        <v>1.2</v>
      </c>
      <c r="S1377" s="18" t="n">
        <f aca="false">IFERROR(INDEX(SEMANAS!$H$6:$H$71,MATCH($B1377,SEMANAS!$B$6:$B$71,0)),0)</f>
        <v>36.4</v>
      </c>
      <c r="T1377" s="18" t="n">
        <f aca="false">$R1377*$S1377</f>
        <v>43.68</v>
      </c>
      <c r="U1377" s="18" t="n">
        <f aca="false">IFERROR(INDEX(SEMANAS!$I$6:$I$71,MATCH($B1377,SEMANAS!$B$6:$B$71,0)),0)</f>
        <v>1.12</v>
      </c>
      <c r="V1377" s="18" t="n">
        <f aca="false">IFERROR(INDEX(SEMANAS!$J$6:$J$71,MATCH($B1377,SEMANAS!$B$6:$B$71,0)),0)</f>
        <v>0.896</v>
      </c>
      <c r="W1377" s="18" t="n">
        <f aca="false">MAX(0,$T1377-$V1377)</f>
        <v>42.784</v>
      </c>
      <c r="X1377" s="19" t="n">
        <f aca="false">IFERROR(INDEX(CADASTRO_PIVOS!$K$6:$K$41,MATCH($E1377,CADASTRO_PIVOS!$B$6:$B$41,0)),EFICIENCIA_PADRAO)</f>
        <v>0.85</v>
      </c>
      <c r="Y1377" s="18" t="n">
        <f aca="false">IF($X1377&lt;=0,0,$W1377/$X1377)</f>
        <v>50.3341176470588</v>
      </c>
      <c r="Z1377" s="16" t="n">
        <f aca="false">$Y1377*$H1377*MM_PARA_M3_HA</f>
        <v>70437.5642352941</v>
      </c>
      <c r="AA1377" s="18" t="n">
        <f aca="false">IFERROR(INDEX(CADASTRO_PIVOS!$I$6:$I$41,MATCH($E1377,CADASTRO_PIVOS!$B$6:$B$41,0)),0)</f>
        <v>932.933333333333</v>
      </c>
      <c r="AB1377" s="18" t="n">
        <f aca="false">IF($Z1377&lt;=0,0,$Z1377/$AA1377)</f>
        <v>75.5011764705883</v>
      </c>
      <c r="AC1377" s="16" t="n">
        <f aca="false">IFERROR(INDEX(SEMANAS!$K$6:$K$71,MATCH($B1377,SEMANAS!$B$6:$B$71,0)),0)</f>
        <v>147</v>
      </c>
      <c r="AD1377" s="19" t="n">
        <f aca="false">IF($AC1377&lt;=0,0,$AB1377/$AC1377)</f>
        <v>0.513613445378151</v>
      </c>
      <c r="AE1377" s="8" t="str">
        <f aca="false">IF($K1377="SEM CULTURA","SEM CULTURA",IF($AA1377&lt;=0,"DADO PENDENTE",IF($AD1377&gt;LIMITE_CRITICO,"INVIAVEL",IF($AD1377&gt;LIMITE_ATENCAO,"CRITICO",IF($AD1377&gt;LIMITE_CONFORTAVEL,"ATENCAO","OK")))))</f>
        <v>OK</v>
      </c>
      <c r="AF1377" s="8" t="str">
        <f aca="false">$B1377&amp;"|"&amp;TEXT($AD1377,"0.000000")</f>
        <v>52|0.513613</v>
      </c>
      <c r="AG1377" s="18" t="n">
        <f aca="false">IF($K1377="SEM CULTURA",0,$T1377*$H1377)</f>
        <v>6112.5792</v>
      </c>
      <c r="AH1377" s="18" t="n">
        <f aca="false">IF($K1377="SEM CULTURA",0,$V1377*$H1377)</f>
        <v>125.38624</v>
      </c>
      <c r="AI1377" s="18" t="n">
        <f aca="false">IF($K1377="SEM CULTURA",0,$W1377*$H1377)</f>
        <v>5987.19296</v>
      </c>
      <c r="AJ1377" s="18" t="n">
        <f aca="false">IF($K1377="SEM CULTURA",0,$S1377*$H1377)</f>
        <v>5093.816</v>
      </c>
      <c r="AK1377" s="8" t="str">
        <f aca="false">$E1377&amp;"|"&amp;TEXT($AD1377,"0.000000")</f>
        <v>PV 128|0.513613</v>
      </c>
    </row>
    <row r="1378" customFormat="false" ht="15" hidden="false" customHeight="false" outlineLevel="0" collapsed="false">
      <c r="B1378" s="16" t="n">
        <v>53</v>
      </c>
      <c r="C1378" s="17" t="n">
        <f aca="false">DATA_INICIO_SAFRA+($B1378-1)*DIAS_POR_SEMANA</f>
        <v>46629</v>
      </c>
      <c r="D1378" s="17" t="n">
        <f aca="false">$C1378+DIAS_POR_SEMANA-1</f>
        <v>46635</v>
      </c>
      <c r="E1378" s="15" t="s">
        <v>279</v>
      </c>
      <c r="F1378" s="8" t="str">
        <f aca="false">IFERROR(INDEX(CADASTRO_PIVOS!$C$6:$C$41,MATCH($E1378,CADASTRO_PIVOS!$B$6:$B$41,0)),"?")</f>
        <v>RM06</v>
      </c>
      <c r="G1378" s="8" t="str">
        <f aca="false">IFERROR(INDEX(CADASTRO_PIVOS!$D$6:$D$41,MATCH($E1378,CADASTRO_PIVOS!$B$6:$B$41,0)),"?")</f>
        <v>TR06</v>
      </c>
      <c r="H1378" s="20" t="n">
        <f aca="false">IFERROR(INDEX(CADASTRO_PIVOS!$E$6:$E$41,MATCH($E1378,CADASTRO_PIVOS!$B$6:$B$41,0)),0)</f>
        <v>139.94</v>
      </c>
      <c r="I1378" s="16" t="n">
        <f aca="false">IFERROR(SUMIFS(ROTACAO_RDM!$B$6:$B$71,ROTACAO_RDM!$D$6:$D$71,$E1378,ROTACAO_RDM!$I$6:$I$71,"&lt;="&amp;$C1378+INT(DIAS_POR_SEMANA/2),ROTACAO_RDM!$J$6:$J$71,"&gt;="&amp;$C1378+INT(DIAS_POR_SEMANA/2)),0)</f>
        <v>54</v>
      </c>
      <c r="J1378" s="16" t="n">
        <f aca="false">IFERROR(MATCH($I1378,ROTACAO_RDM!$B$6:$B$71,0),0)</f>
        <v>54</v>
      </c>
      <c r="K1378" s="8" t="str">
        <f aca="false">IF($J1378=0,"SEM CULTURA",INDEX(ROTACAO_RDM!$F$6:$F$71,$J1378))</f>
        <v>MILHO_GRAO</v>
      </c>
      <c r="L1378" s="8" t="n">
        <f aca="false">IF($J1378=0,"",INDEX(ROTACAO_RDM!$G$6:$G$71,$J1378))</f>
        <v>0</v>
      </c>
      <c r="M1378" s="17" t="n">
        <f aca="false">IF($J1378=0,"",INDEX(ROTACAO_RDM!$I$6:$I$71,$J1378))</f>
        <v>46515</v>
      </c>
      <c r="N1378" s="16" t="n">
        <f aca="false">IF($J1378=0,0,MAX(0,$C1378+INT(DIAS_POR_SEMANA/2)-INDEX(ROTACAO_RDM!$I$6:$I$71,$J1378)))</f>
        <v>117</v>
      </c>
      <c r="O1378" s="19" t="n">
        <f aca="false">IF($J1378=0,0,MIN(1,$N1378/MAX(1,INDEX(ROTACAO_RDM!$K$6:$K$71,$J1378))))</f>
        <v>0.73125</v>
      </c>
      <c r="P1378" s="16" t="n">
        <f aca="false">IF($J1378=0,0,IFERROR(MATCH(INDEX(ROTACAO_RDM!$N$6:$N$71,$J1378),PARAMETROS_CULTURAS!$B$6:$B$28,0),0))</f>
        <v>8</v>
      </c>
      <c r="Q1378" s="8" t="str">
        <f aca="false">IF($P1378=0,"-",IF($O1378&lt;=INDEX(PARAMETROS_CULTURAS!$F$6:$F$28,$P1378),"INICIAL",IF($O1378&lt;=INDEX(PARAMETROS_CULTURAS!$F$6:$F$28,$P1378)+INDEX(PARAMETROS_CULTURAS!$G$6:$G$28,$P1378),"DESENVOLVIMENTO",IF($O1378&lt;=INDEX(PARAMETROS_CULTURAS!$F$6:$F$28,$P1378)+INDEX(PARAMETROS_CULTURAS!$G$6:$G$28,$P1378)+INDEX(PARAMETROS_CULTURAS!$H$6:$H$28,$P1378),"MEDIA","FINAL"))))</f>
        <v>MEDIA</v>
      </c>
      <c r="R1378" s="24" t="n">
        <f aca="false">IF($P1378=0,0,IF($O1378&lt;=INDEX(PARAMETROS_CULTURAS!$F$6:$F$28,$P1378),INDEX(PARAMETROS_CULTURAS!$K$6:$K$28,$P1378),IF($O1378&lt;=INDEX(PARAMETROS_CULTURAS!$F$6:$F$28,$P1378)+INDEX(PARAMETROS_CULTURAS!$G$6:$G$28,$P1378),INDEX(PARAMETROS_CULTURAS!$K$6:$K$28,$P1378)+(INDEX(PARAMETROS_CULTURAS!$L$6:$L$28,$P1378)-INDEX(PARAMETROS_CULTURAS!$K$6:$K$28,$P1378))*($O1378-INDEX(PARAMETROS_CULTURAS!$F$6:$F$28,$P1378))/MAX(INDEX(PARAMETROS_CULTURAS!$G$6:$G$28,$P1378),0.0001),IF($O1378&lt;=INDEX(PARAMETROS_CULTURAS!$F$6:$F$28,$P1378)+INDEX(PARAMETROS_CULTURAS!$G$6:$G$28,$P1378)+INDEX(PARAMETROS_CULTURAS!$H$6:$H$28,$P1378),INDEX(PARAMETROS_CULTURAS!$L$6:$L$28,$P1378),INDEX(PARAMETROS_CULTURAS!$L$6:$L$28,$P1378)+(INDEX(PARAMETROS_CULTURAS!$M$6:$M$28,$P1378)-INDEX(PARAMETROS_CULTURAS!$L$6:$L$28,$P1378))*($O1378-INDEX(PARAMETROS_CULTURAS!$F$6:$F$28,$P1378)-INDEX(PARAMETROS_CULTURAS!$G$6:$G$28,$P1378)-INDEX(PARAMETROS_CULTURAS!$H$6:$H$28,$P1378))/MAX(INDEX(PARAMETROS_CULTURAS!$I$6:$I$28,$P1378),0.0001)))))</f>
        <v>1.2</v>
      </c>
      <c r="S1378" s="18" t="n">
        <f aca="false">IFERROR(INDEX(SEMANAS!$H$6:$H$71,MATCH($B1378,SEMANAS!$B$6:$B$71,0)),0)</f>
        <v>39.4</v>
      </c>
      <c r="T1378" s="18" t="n">
        <f aca="false">$R1378*$S1378</f>
        <v>47.28</v>
      </c>
      <c r="U1378" s="18" t="n">
        <f aca="false">IFERROR(INDEX(SEMANAS!$I$6:$I$71,MATCH($B1378,SEMANAS!$B$6:$B$71,0)),0)</f>
        <v>5.32</v>
      </c>
      <c r="V1378" s="18" t="n">
        <f aca="false">IFERROR(INDEX(SEMANAS!$J$6:$J$71,MATCH($B1378,SEMANAS!$B$6:$B$71,0)),0)</f>
        <v>4.256</v>
      </c>
      <c r="W1378" s="18" t="n">
        <f aca="false">MAX(0,$T1378-$V1378)</f>
        <v>43.024</v>
      </c>
      <c r="X1378" s="19" t="n">
        <f aca="false">IFERROR(INDEX(CADASTRO_PIVOS!$K$6:$K$41,MATCH($E1378,CADASTRO_PIVOS!$B$6:$B$41,0)),EFICIENCIA_PADRAO)</f>
        <v>0.85</v>
      </c>
      <c r="Y1378" s="18" t="n">
        <f aca="false">IF($X1378&lt;=0,0,$W1378/$X1378)</f>
        <v>50.6164705882353</v>
      </c>
      <c r="Z1378" s="16" t="n">
        <f aca="false">$Y1378*$H1378*MM_PARA_M3_HA</f>
        <v>70832.6889411765</v>
      </c>
      <c r="AA1378" s="18" t="n">
        <f aca="false">IFERROR(INDEX(CADASTRO_PIVOS!$I$6:$I$41,MATCH($E1378,CADASTRO_PIVOS!$B$6:$B$41,0)),0)</f>
        <v>932.933333333333</v>
      </c>
      <c r="AB1378" s="18" t="n">
        <f aca="false">IF($Z1378&lt;=0,0,$Z1378/$AA1378)</f>
        <v>75.9247058823529</v>
      </c>
      <c r="AC1378" s="16" t="n">
        <f aca="false">IFERROR(INDEX(SEMANAS!$K$6:$K$71,MATCH($B1378,SEMANAS!$B$6:$B$71,0)),0)</f>
        <v>147</v>
      </c>
      <c r="AD1378" s="19" t="n">
        <f aca="false">IF($AC1378&lt;=0,0,$AB1378/$AC1378)</f>
        <v>0.516494597839136</v>
      </c>
      <c r="AE1378" s="8" t="str">
        <f aca="false">IF($K1378="SEM CULTURA","SEM CULTURA",IF($AA1378&lt;=0,"DADO PENDENTE",IF($AD1378&gt;LIMITE_CRITICO,"INVIAVEL",IF($AD1378&gt;LIMITE_ATENCAO,"CRITICO",IF($AD1378&gt;LIMITE_CONFORTAVEL,"ATENCAO","OK")))))</f>
        <v>OK</v>
      </c>
      <c r="AF1378" s="8" t="str">
        <f aca="false">$B1378&amp;"|"&amp;TEXT($AD1378,"0.000000")</f>
        <v>53|0.516495</v>
      </c>
      <c r="AG1378" s="18" t="n">
        <f aca="false">IF($K1378="SEM CULTURA",0,$T1378*$H1378)</f>
        <v>6616.3632</v>
      </c>
      <c r="AH1378" s="18" t="n">
        <f aca="false">IF($K1378="SEM CULTURA",0,$V1378*$H1378)</f>
        <v>595.58464</v>
      </c>
      <c r="AI1378" s="18" t="n">
        <f aca="false">IF($K1378="SEM CULTURA",0,$W1378*$H1378)</f>
        <v>6020.77856</v>
      </c>
      <c r="AJ1378" s="18" t="n">
        <f aca="false">IF($K1378="SEM CULTURA",0,$S1378*$H1378)</f>
        <v>5513.636</v>
      </c>
      <c r="AK1378" s="8" t="str">
        <f aca="false">$E1378&amp;"|"&amp;TEXT($AD1378,"0.000000")</f>
        <v>PV 128|0.516495</v>
      </c>
    </row>
    <row r="1379" customFormat="false" ht="15" hidden="false" customHeight="false" outlineLevel="0" collapsed="false">
      <c r="B1379" s="16" t="n">
        <v>54</v>
      </c>
      <c r="C1379" s="17" t="n">
        <f aca="false">DATA_INICIO_SAFRA+($B1379-1)*DIAS_POR_SEMANA</f>
        <v>46636</v>
      </c>
      <c r="D1379" s="17" t="n">
        <f aca="false">$C1379+DIAS_POR_SEMANA-1</f>
        <v>46642</v>
      </c>
      <c r="E1379" s="15" t="s">
        <v>279</v>
      </c>
      <c r="F1379" s="8" t="str">
        <f aca="false">IFERROR(INDEX(CADASTRO_PIVOS!$C$6:$C$41,MATCH($E1379,CADASTRO_PIVOS!$B$6:$B$41,0)),"?")</f>
        <v>RM06</v>
      </c>
      <c r="G1379" s="8" t="str">
        <f aca="false">IFERROR(INDEX(CADASTRO_PIVOS!$D$6:$D$41,MATCH($E1379,CADASTRO_PIVOS!$B$6:$B$41,0)),"?")</f>
        <v>TR06</v>
      </c>
      <c r="H1379" s="20" t="n">
        <f aca="false">IFERROR(INDEX(CADASTRO_PIVOS!$E$6:$E$41,MATCH($E1379,CADASTRO_PIVOS!$B$6:$B$41,0)),0)</f>
        <v>139.94</v>
      </c>
      <c r="I1379" s="16" t="n">
        <f aca="false">IFERROR(SUMIFS(ROTACAO_RDM!$B$6:$B$71,ROTACAO_RDM!$D$6:$D$71,$E1379,ROTACAO_RDM!$I$6:$I$71,"&lt;="&amp;$C1379+INT(DIAS_POR_SEMANA/2),ROTACAO_RDM!$J$6:$J$71,"&gt;="&amp;$C1379+INT(DIAS_POR_SEMANA/2)),0)</f>
        <v>54</v>
      </c>
      <c r="J1379" s="16" t="n">
        <f aca="false">IFERROR(MATCH($I1379,ROTACAO_RDM!$B$6:$B$71,0),0)</f>
        <v>54</v>
      </c>
      <c r="K1379" s="8" t="str">
        <f aca="false">IF($J1379=0,"SEM CULTURA",INDEX(ROTACAO_RDM!$F$6:$F$71,$J1379))</f>
        <v>MILHO_GRAO</v>
      </c>
      <c r="L1379" s="8" t="n">
        <f aca="false">IF($J1379=0,"",INDEX(ROTACAO_RDM!$G$6:$G$71,$J1379))</f>
        <v>0</v>
      </c>
      <c r="M1379" s="17" t="n">
        <f aca="false">IF($J1379=0,"",INDEX(ROTACAO_RDM!$I$6:$I$71,$J1379))</f>
        <v>46515</v>
      </c>
      <c r="N1379" s="16" t="n">
        <f aca="false">IF($J1379=0,0,MAX(0,$C1379+INT(DIAS_POR_SEMANA/2)-INDEX(ROTACAO_RDM!$I$6:$I$71,$J1379)))</f>
        <v>124</v>
      </c>
      <c r="O1379" s="19" t="n">
        <f aca="false">IF($J1379=0,0,MIN(1,$N1379/MAX(1,INDEX(ROTACAO_RDM!$K$6:$K$71,$J1379))))</f>
        <v>0.775</v>
      </c>
      <c r="P1379" s="16" t="n">
        <f aca="false">IF($J1379=0,0,IFERROR(MATCH(INDEX(ROTACAO_RDM!$N$6:$N$71,$J1379),PARAMETROS_CULTURAS!$B$6:$B$28,0),0))</f>
        <v>8</v>
      </c>
      <c r="Q1379" s="8" t="str">
        <f aca="false">IF($P1379=0,"-",IF($O1379&lt;=INDEX(PARAMETROS_CULTURAS!$F$6:$F$28,$P1379),"INICIAL",IF($O1379&lt;=INDEX(PARAMETROS_CULTURAS!$F$6:$F$28,$P1379)+INDEX(PARAMETROS_CULTURAS!$G$6:$G$28,$P1379),"DESENVOLVIMENTO",IF($O1379&lt;=INDEX(PARAMETROS_CULTURAS!$F$6:$F$28,$P1379)+INDEX(PARAMETROS_CULTURAS!$G$6:$G$28,$P1379)+INDEX(PARAMETROS_CULTURAS!$H$6:$H$28,$P1379),"MEDIA","FINAL"))))</f>
        <v>FINAL</v>
      </c>
      <c r="R1379" s="24" t="n">
        <f aca="false">IF($P1379=0,0,IF($O1379&lt;=INDEX(PARAMETROS_CULTURAS!$F$6:$F$28,$P1379),INDEX(PARAMETROS_CULTURAS!$K$6:$K$28,$P1379),IF($O1379&lt;=INDEX(PARAMETROS_CULTURAS!$F$6:$F$28,$P1379)+INDEX(PARAMETROS_CULTURAS!$G$6:$G$28,$P1379),INDEX(PARAMETROS_CULTURAS!$K$6:$K$28,$P1379)+(INDEX(PARAMETROS_CULTURAS!$L$6:$L$28,$P1379)-INDEX(PARAMETROS_CULTURAS!$K$6:$K$28,$P1379))*($O1379-INDEX(PARAMETROS_CULTURAS!$F$6:$F$28,$P1379))/MAX(INDEX(PARAMETROS_CULTURAS!$G$6:$G$28,$P1379),0.0001),IF($O1379&lt;=INDEX(PARAMETROS_CULTURAS!$F$6:$F$28,$P1379)+INDEX(PARAMETROS_CULTURAS!$G$6:$G$28,$P1379)+INDEX(PARAMETROS_CULTURAS!$H$6:$H$28,$P1379),INDEX(PARAMETROS_CULTURAS!$L$6:$L$28,$P1379),INDEX(PARAMETROS_CULTURAS!$L$6:$L$28,$P1379)+(INDEX(PARAMETROS_CULTURAS!$M$6:$M$28,$P1379)-INDEX(PARAMETROS_CULTURAS!$L$6:$L$28,$P1379))*($O1379-INDEX(PARAMETROS_CULTURAS!$F$6:$F$28,$P1379)-INDEX(PARAMETROS_CULTURAS!$G$6:$G$28,$P1379)-INDEX(PARAMETROS_CULTURAS!$H$6:$H$28,$P1379))/MAX(INDEX(PARAMETROS_CULTURAS!$I$6:$I$28,$P1379),0.0001)))))</f>
        <v>1.14</v>
      </c>
      <c r="S1379" s="18" t="n">
        <f aca="false">IFERROR(INDEX(SEMANAS!$H$6:$H$71,MATCH($B1379,SEMANAS!$B$6:$B$71,0)),0)</f>
        <v>40.6</v>
      </c>
      <c r="T1379" s="18" t="n">
        <f aca="false">$R1379*$S1379</f>
        <v>46.284</v>
      </c>
      <c r="U1379" s="18" t="n">
        <f aca="false">IFERROR(INDEX(SEMANAS!$I$6:$I$71,MATCH($B1379,SEMANAS!$B$6:$B$71,0)),0)</f>
        <v>7</v>
      </c>
      <c r="V1379" s="18" t="n">
        <f aca="false">IFERROR(INDEX(SEMANAS!$J$6:$J$71,MATCH($B1379,SEMANAS!$B$6:$B$71,0)),0)</f>
        <v>5.6</v>
      </c>
      <c r="W1379" s="18" t="n">
        <f aca="false">MAX(0,$T1379-$V1379)</f>
        <v>40.684</v>
      </c>
      <c r="X1379" s="19" t="n">
        <f aca="false">IFERROR(INDEX(CADASTRO_PIVOS!$K$6:$K$41,MATCH($E1379,CADASTRO_PIVOS!$B$6:$B$41,0)),EFICIENCIA_PADRAO)</f>
        <v>0.85</v>
      </c>
      <c r="Y1379" s="18" t="n">
        <f aca="false">IF($X1379&lt;=0,0,$W1379/$X1379)</f>
        <v>47.8635294117647</v>
      </c>
      <c r="Z1379" s="16" t="n">
        <f aca="false">$Y1379*$H1379*MM_PARA_M3_HA</f>
        <v>66980.2230588235</v>
      </c>
      <c r="AA1379" s="18" t="n">
        <f aca="false">IFERROR(INDEX(CADASTRO_PIVOS!$I$6:$I$41,MATCH($E1379,CADASTRO_PIVOS!$B$6:$B$41,0)),0)</f>
        <v>932.933333333333</v>
      </c>
      <c r="AB1379" s="18" t="n">
        <f aca="false">IF($Z1379&lt;=0,0,$Z1379/$AA1379)</f>
        <v>71.7952941176471</v>
      </c>
      <c r="AC1379" s="16" t="n">
        <f aca="false">IFERROR(INDEX(SEMANAS!$K$6:$K$71,MATCH($B1379,SEMANAS!$B$6:$B$71,0)),0)</f>
        <v>147</v>
      </c>
      <c r="AD1379" s="19" t="n">
        <f aca="false">IF($AC1379&lt;=0,0,$AB1379/$AC1379)</f>
        <v>0.488403361344538</v>
      </c>
      <c r="AE1379" s="8" t="str">
        <f aca="false">IF($K1379="SEM CULTURA","SEM CULTURA",IF($AA1379&lt;=0,"DADO PENDENTE",IF($AD1379&gt;LIMITE_CRITICO,"INVIAVEL",IF($AD1379&gt;LIMITE_ATENCAO,"CRITICO",IF($AD1379&gt;LIMITE_CONFORTAVEL,"ATENCAO","OK")))))</f>
        <v>OK</v>
      </c>
      <c r="AF1379" s="8" t="str">
        <f aca="false">$B1379&amp;"|"&amp;TEXT($AD1379,"0.000000")</f>
        <v>54|0.488403</v>
      </c>
      <c r="AG1379" s="18" t="n">
        <f aca="false">IF($K1379="SEM CULTURA",0,$T1379*$H1379)</f>
        <v>6476.98296</v>
      </c>
      <c r="AH1379" s="18" t="n">
        <f aca="false">IF($K1379="SEM CULTURA",0,$V1379*$H1379)</f>
        <v>783.664</v>
      </c>
      <c r="AI1379" s="18" t="n">
        <f aca="false">IF($K1379="SEM CULTURA",0,$W1379*$H1379)</f>
        <v>5693.31896</v>
      </c>
      <c r="AJ1379" s="18" t="n">
        <f aca="false">IF($K1379="SEM CULTURA",0,$S1379*$H1379)</f>
        <v>5681.564</v>
      </c>
      <c r="AK1379" s="8" t="str">
        <f aca="false">$E1379&amp;"|"&amp;TEXT($AD1379,"0.000000")</f>
        <v>PV 128|0.488403</v>
      </c>
    </row>
    <row r="1380" customFormat="false" ht="15" hidden="false" customHeight="false" outlineLevel="0" collapsed="false">
      <c r="B1380" s="16" t="n">
        <v>55</v>
      </c>
      <c r="C1380" s="17" t="n">
        <f aca="false">DATA_INICIO_SAFRA+($B1380-1)*DIAS_POR_SEMANA</f>
        <v>46643</v>
      </c>
      <c r="D1380" s="17" t="n">
        <f aca="false">$C1380+DIAS_POR_SEMANA-1</f>
        <v>46649</v>
      </c>
      <c r="E1380" s="15" t="s">
        <v>279</v>
      </c>
      <c r="F1380" s="8" t="str">
        <f aca="false">IFERROR(INDEX(CADASTRO_PIVOS!$C$6:$C$41,MATCH($E1380,CADASTRO_PIVOS!$B$6:$B$41,0)),"?")</f>
        <v>RM06</v>
      </c>
      <c r="G1380" s="8" t="str">
        <f aca="false">IFERROR(INDEX(CADASTRO_PIVOS!$D$6:$D$41,MATCH($E1380,CADASTRO_PIVOS!$B$6:$B$41,0)),"?")</f>
        <v>TR06</v>
      </c>
      <c r="H1380" s="20" t="n">
        <f aca="false">IFERROR(INDEX(CADASTRO_PIVOS!$E$6:$E$41,MATCH($E1380,CADASTRO_PIVOS!$B$6:$B$41,0)),0)</f>
        <v>139.94</v>
      </c>
      <c r="I1380" s="16" t="n">
        <f aca="false">IFERROR(SUMIFS(ROTACAO_RDM!$B$6:$B$71,ROTACAO_RDM!$D$6:$D$71,$E1380,ROTACAO_RDM!$I$6:$I$71,"&lt;="&amp;$C1380+INT(DIAS_POR_SEMANA/2),ROTACAO_RDM!$J$6:$J$71,"&gt;="&amp;$C1380+INT(DIAS_POR_SEMANA/2)),0)</f>
        <v>54</v>
      </c>
      <c r="J1380" s="16" t="n">
        <f aca="false">IFERROR(MATCH($I1380,ROTACAO_RDM!$B$6:$B$71,0),0)</f>
        <v>54</v>
      </c>
      <c r="K1380" s="8" t="str">
        <f aca="false">IF($J1380=0,"SEM CULTURA",INDEX(ROTACAO_RDM!$F$6:$F$71,$J1380))</f>
        <v>MILHO_GRAO</v>
      </c>
      <c r="L1380" s="8" t="n">
        <f aca="false">IF($J1380=0,"",INDEX(ROTACAO_RDM!$G$6:$G$71,$J1380))</f>
        <v>0</v>
      </c>
      <c r="M1380" s="17" t="n">
        <f aca="false">IF($J1380=0,"",INDEX(ROTACAO_RDM!$I$6:$I$71,$J1380))</f>
        <v>46515</v>
      </c>
      <c r="N1380" s="16" t="n">
        <f aca="false">IF($J1380=0,0,MAX(0,$C1380+INT(DIAS_POR_SEMANA/2)-INDEX(ROTACAO_RDM!$I$6:$I$71,$J1380)))</f>
        <v>131</v>
      </c>
      <c r="O1380" s="19" t="n">
        <f aca="false">IF($J1380=0,0,MIN(1,$N1380/MAX(1,INDEX(ROTACAO_RDM!$K$6:$K$71,$J1380))))</f>
        <v>0.81875</v>
      </c>
      <c r="P1380" s="16" t="n">
        <f aca="false">IF($J1380=0,0,IFERROR(MATCH(INDEX(ROTACAO_RDM!$N$6:$N$71,$J1380),PARAMETROS_CULTURAS!$B$6:$B$28,0),0))</f>
        <v>8</v>
      </c>
      <c r="Q1380" s="8" t="str">
        <f aca="false">IF($P1380=0,"-",IF($O1380&lt;=INDEX(PARAMETROS_CULTURAS!$F$6:$F$28,$P1380),"INICIAL",IF($O1380&lt;=INDEX(PARAMETROS_CULTURAS!$F$6:$F$28,$P1380)+INDEX(PARAMETROS_CULTURAS!$G$6:$G$28,$P1380),"DESENVOLVIMENTO",IF($O1380&lt;=INDEX(PARAMETROS_CULTURAS!$F$6:$F$28,$P1380)+INDEX(PARAMETROS_CULTURAS!$G$6:$G$28,$P1380)+INDEX(PARAMETROS_CULTURAS!$H$6:$H$28,$P1380),"MEDIA","FINAL"))))</f>
        <v>FINAL</v>
      </c>
      <c r="R1380" s="24" t="n">
        <f aca="false">IF($P1380=0,0,IF($O1380&lt;=INDEX(PARAMETROS_CULTURAS!$F$6:$F$28,$P1380),INDEX(PARAMETROS_CULTURAS!$K$6:$K$28,$P1380),IF($O1380&lt;=INDEX(PARAMETROS_CULTURAS!$F$6:$F$28,$P1380)+INDEX(PARAMETROS_CULTURAS!$G$6:$G$28,$P1380),INDEX(PARAMETROS_CULTURAS!$K$6:$K$28,$P1380)+(INDEX(PARAMETROS_CULTURAS!$L$6:$L$28,$P1380)-INDEX(PARAMETROS_CULTURAS!$K$6:$K$28,$P1380))*($O1380-INDEX(PARAMETROS_CULTURAS!$F$6:$F$28,$P1380))/MAX(INDEX(PARAMETROS_CULTURAS!$G$6:$G$28,$P1380),0.0001),IF($O1380&lt;=INDEX(PARAMETROS_CULTURAS!$F$6:$F$28,$P1380)+INDEX(PARAMETROS_CULTURAS!$G$6:$G$28,$P1380)+INDEX(PARAMETROS_CULTURAS!$H$6:$H$28,$P1380),INDEX(PARAMETROS_CULTURAS!$L$6:$L$28,$P1380),INDEX(PARAMETROS_CULTURAS!$L$6:$L$28,$P1380)+(INDEX(PARAMETROS_CULTURAS!$M$6:$M$28,$P1380)-INDEX(PARAMETROS_CULTURAS!$L$6:$L$28,$P1380))*($O1380-INDEX(PARAMETROS_CULTURAS!$F$6:$F$28,$P1380)-INDEX(PARAMETROS_CULTURAS!$G$6:$G$28,$P1380)-INDEX(PARAMETROS_CULTURAS!$H$6:$H$28,$P1380))/MAX(INDEX(PARAMETROS_CULTURAS!$I$6:$I$28,$P1380),0.0001)))))</f>
        <v>1.035</v>
      </c>
      <c r="S1380" s="18" t="n">
        <f aca="false">IFERROR(INDEX(SEMANAS!$H$6:$H$71,MATCH($B1380,SEMANAS!$B$6:$B$71,0)),0)</f>
        <v>40.6</v>
      </c>
      <c r="T1380" s="18" t="n">
        <f aca="false">$R1380*$S1380</f>
        <v>42.021</v>
      </c>
      <c r="U1380" s="18" t="n">
        <f aca="false">IFERROR(INDEX(SEMANAS!$I$6:$I$71,MATCH($B1380,SEMANAS!$B$6:$B$71,0)),0)</f>
        <v>7</v>
      </c>
      <c r="V1380" s="18" t="n">
        <f aca="false">IFERROR(INDEX(SEMANAS!$J$6:$J$71,MATCH($B1380,SEMANAS!$B$6:$B$71,0)),0)</f>
        <v>5.6</v>
      </c>
      <c r="W1380" s="18" t="n">
        <f aca="false">MAX(0,$T1380-$V1380)</f>
        <v>36.421</v>
      </c>
      <c r="X1380" s="19" t="n">
        <f aca="false">IFERROR(INDEX(CADASTRO_PIVOS!$K$6:$K$41,MATCH($E1380,CADASTRO_PIVOS!$B$6:$B$41,0)),EFICIENCIA_PADRAO)</f>
        <v>0.85</v>
      </c>
      <c r="Y1380" s="18" t="n">
        <f aca="false">IF($X1380&lt;=0,0,$W1380/$X1380)</f>
        <v>42.8482352941177</v>
      </c>
      <c r="Z1380" s="16" t="n">
        <f aca="false">$Y1380*$H1380*MM_PARA_M3_HA</f>
        <v>59961.8204705882</v>
      </c>
      <c r="AA1380" s="18" t="n">
        <f aca="false">IFERROR(INDEX(CADASTRO_PIVOS!$I$6:$I$41,MATCH($E1380,CADASTRO_PIVOS!$B$6:$B$41,0)),0)</f>
        <v>932.933333333333</v>
      </c>
      <c r="AB1380" s="18" t="n">
        <f aca="false">IF($Z1380&lt;=0,0,$Z1380/$AA1380)</f>
        <v>64.2723529411765</v>
      </c>
      <c r="AC1380" s="16" t="n">
        <f aca="false">IFERROR(INDEX(SEMANAS!$K$6:$K$71,MATCH($B1380,SEMANAS!$B$6:$B$71,0)),0)</f>
        <v>147</v>
      </c>
      <c r="AD1380" s="19" t="n">
        <f aca="false">IF($AC1380&lt;=0,0,$AB1380/$AC1380)</f>
        <v>0.437226890756303</v>
      </c>
      <c r="AE1380" s="8" t="str">
        <f aca="false">IF($K1380="SEM CULTURA","SEM CULTURA",IF($AA1380&lt;=0,"DADO PENDENTE",IF($AD1380&gt;LIMITE_CRITICO,"INVIAVEL",IF($AD1380&gt;LIMITE_ATENCAO,"CRITICO",IF($AD1380&gt;LIMITE_CONFORTAVEL,"ATENCAO","OK")))))</f>
        <v>OK</v>
      </c>
      <c r="AF1380" s="8" t="str">
        <f aca="false">$B1380&amp;"|"&amp;TEXT($AD1380,"0.000000")</f>
        <v>55|0.437227</v>
      </c>
      <c r="AG1380" s="18" t="n">
        <f aca="false">IF($K1380="SEM CULTURA",0,$T1380*$H1380)</f>
        <v>5880.41874</v>
      </c>
      <c r="AH1380" s="18" t="n">
        <f aca="false">IF($K1380="SEM CULTURA",0,$V1380*$H1380)</f>
        <v>783.664</v>
      </c>
      <c r="AI1380" s="18" t="n">
        <f aca="false">IF($K1380="SEM CULTURA",0,$W1380*$H1380)</f>
        <v>5096.75474</v>
      </c>
      <c r="AJ1380" s="18" t="n">
        <f aca="false">IF($K1380="SEM CULTURA",0,$S1380*$H1380)</f>
        <v>5681.564</v>
      </c>
      <c r="AK1380" s="8" t="str">
        <f aca="false">$E1380&amp;"|"&amp;TEXT($AD1380,"0.000000")</f>
        <v>PV 128|0.437227</v>
      </c>
    </row>
    <row r="1381" customFormat="false" ht="15" hidden="false" customHeight="false" outlineLevel="0" collapsed="false">
      <c r="B1381" s="16" t="n">
        <v>56</v>
      </c>
      <c r="C1381" s="17" t="n">
        <f aca="false">DATA_INICIO_SAFRA+($B1381-1)*DIAS_POR_SEMANA</f>
        <v>46650</v>
      </c>
      <c r="D1381" s="17" t="n">
        <f aca="false">$C1381+DIAS_POR_SEMANA-1</f>
        <v>46656</v>
      </c>
      <c r="E1381" s="15" t="s">
        <v>279</v>
      </c>
      <c r="F1381" s="8" t="str">
        <f aca="false">IFERROR(INDEX(CADASTRO_PIVOS!$C$6:$C$41,MATCH($E1381,CADASTRO_PIVOS!$B$6:$B$41,0)),"?")</f>
        <v>RM06</v>
      </c>
      <c r="G1381" s="8" t="str">
        <f aca="false">IFERROR(INDEX(CADASTRO_PIVOS!$D$6:$D$41,MATCH($E1381,CADASTRO_PIVOS!$B$6:$B$41,0)),"?")</f>
        <v>TR06</v>
      </c>
      <c r="H1381" s="20" t="n">
        <f aca="false">IFERROR(INDEX(CADASTRO_PIVOS!$E$6:$E$41,MATCH($E1381,CADASTRO_PIVOS!$B$6:$B$41,0)),0)</f>
        <v>139.94</v>
      </c>
      <c r="I1381" s="16" t="n">
        <f aca="false">IFERROR(SUMIFS(ROTACAO_RDM!$B$6:$B$71,ROTACAO_RDM!$D$6:$D$71,$E1381,ROTACAO_RDM!$I$6:$I$71,"&lt;="&amp;$C1381+INT(DIAS_POR_SEMANA/2),ROTACAO_RDM!$J$6:$J$71,"&gt;="&amp;$C1381+INT(DIAS_POR_SEMANA/2)),0)</f>
        <v>54</v>
      </c>
      <c r="J1381" s="16" t="n">
        <f aca="false">IFERROR(MATCH($I1381,ROTACAO_RDM!$B$6:$B$71,0),0)</f>
        <v>54</v>
      </c>
      <c r="K1381" s="8" t="str">
        <f aca="false">IF($J1381=0,"SEM CULTURA",INDEX(ROTACAO_RDM!$F$6:$F$71,$J1381))</f>
        <v>MILHO_GRAO</v>
      </c>
      <c r="L1381" s="8" t="n">
        <f aca="false">IF($J1381=0,"",INDEX(ROTACAO_RDM!$G$6:$G$71,$J1381))</f>
        <v>0</v>
      </c>
      <c r="M1381" s="17" t="n">
        <f aca="false">IF($J1381=0,"",INDEX(ROTACAO_RDM!$I$6:$I$71,$J1381))</f>
        <v>46515</v>
      </c>
      <c r="N1381" s="16" t="n">
        <f aca="false">IF($J1381=0,0,MAX(0,$C1381+INT(DIAS_POR_SEMANA/2)-INDEX(ROTACAO_RDM!$I$6:$I$71,$J1381)))</f>
        <v>138</v>
      </c>
      <c r="O1381" s="19" t="n">
        <f aca="false">IF($J1381=0,0,MIN(1,$N1381/MAX(1,INDEX(ROTACAO_RDM!$K$6:$K$71,$J1381))))</f>
        <v>0.8625</v>
      </c>
      <c r="P1381" s="16" t="n">
        <f aca="false">IF($J1381=0,0,IFERROR(MATCH(INDEX(ROTACAO_RDM!$N$6:$N$71,$J1381),PARAMETROS_CULTURAS!$B$6:$B$28,0),0))</f>
        <v>8</v>
      </c>
      <c r="Q1381" s="8" t="str">
        <f aca="false">IF($P1381=0,"-",IF($O1381&lt;=INDEX(PARAMETROS_CULTURAS!$F$6:$F$28,$P1381),"INICIAL",IF($O1381&lt;=INDEX(PARAMETROS_CULTURAS!$F$6:$F$28,$P1381)+INDEX(PARAMETROS_CULTURAS!$G$6:$G$28,$P1381),"DESENVOLVIMENTO",IF($O1381&lt;=INDEX(PARAMETROS_CULTURAS!$F$6:$F$28,$P1381)+INDEX(PARAMETROS_CULTURAS!$G$6:$G$28,$P1381)+INDEX(PARAMETROS_CULTURAS!$H$6:$H$28,$P1381),"MEDIA","FINAL"))))</f>
        <v>FINAL</v>
      </c>
      <c r="R1381" s="24" t="n">
        <f aca="false">IF($P1381=0,0,IF($O1381&lt;=INDEX(PARAMETROS_CULTURAS!$F$6:$F$28,$P1381),INDEX(PARAMETROS_CULTURAS!$K$6:$K$28,$P1381),IF($O1381&lt;=INDEX(PARAMETROS_CULTURAS!$F$6:$F$28,$P1381)+INDEX(PARAMETROS_CULTURAS!$G$6:$G$28,$P1381),INDEX(PARAMETROS_CULTURAS!$K$6:$K$28,$P1381)+(INDEX(PARAMETROS_CULTURAS!$L$6:$L$28,$P1381)-INDEX(PARAMETROS_CULTURAS!$K$6:$K$28,$P1381))*($O1381-INDEX(PARAMETROS_CULTURAS!$F$6:$F$28,$P1381))/MAX(INDEX(PARAMETROS_CULTURAS!$G$6:$G$28,$P1381),0.0001),IF($O1381&lt;=INDEX(PARAMETROS_CULTURAS!$F$6:$F$28,$P1381)+INDEX(PARAMETROS_CULTURAS!$G$6:$G$28,$P1381)+INDEX(PARAMETROS_CULTURAS!$H$6:$H$28,$P1381),INDEX(PARAMETROS_CULTURAS!$L$6:$L$28,$P1381),INDEX(PARAMETROS_CULTURAS!$L$6:$L$28,$P1381)+(INDEX(PARAMETROS_CULTURAS!$M$6:$M$28,$P1381)-INDEX(PARAMETROS_CULTURAS!$L$6:$L$28,$P1381))*($O1381-INDEX(PARAMETROS_CULTURAS!$F$6:$F$28,$P1381)-INDEX(PARAMETROS_CULTURAS!$G$6:$G$28,$P1381)-INDEX(PARAMETROS_CULTURAS!$H$6:$H$28,$P1381))/MAX(INDEX(PARAMETROS_CULTURAS!$I$6:$I$28,$P1381),0.0001)))))</f>
        <v>0.93</v>
      </c>
      <c r="S1381" s="18" t="n">
        <f aca="false">IFERROR(INDEX(SEMANAS!$H$6:$H$71,MATCH($B1381,SEMANAS!$B$6:$B$71,0)),0)</f>
        <v>40.6</v>
      </c>
      <c r="T1381" s="18" t="n">
        <f aca="false">$R1381*$S1381</f>
        <v>37.758</v>
      </c>
      <c r="U1381" s="18" t="n">
        <f aca="false">IFERROR(INDEX(SEMANAS!$I$6:$I$71,MATCH($B1381,SEMANAS!$B$6:$B$71,0)),0)</f>
        <v>7</v>
      </c>
      <c r="V1381" s="18" t="n">
        <f aca="false">IFERROR(INDEX(SEMANAS!$J$6:$J$71,MATCH($B1381,SEMANAS!$B$6:$B$71,0)),0)</f>
        <v>5.6</v>
      </c>
      <c r="W1381" s="18" t="n">
        <f aca="false">MAX(0,$T1381-$V1381)</f>
        <v>32.158</v>
      </c>
      <c r="X1381" s="19" t="n">
        <f aca="false">IFERROR(INDEX(CADASTRO_PIVOS!$K$6:$K$41,MATCH($E1381,CADASTRO_PIVOS!$B$6:$B$41,0)),EFICIENCIA_PADRAO)</f>
        <v>0.85</v>
      </c>
      <c r="Y1381" s="18" t="n">
        <f aca="false">IF($X1381&lt;=0,0,$W1381/$X1381)</f>
        <v>37.8329411764706</v>
      </c>
      <c r="Z1381" s="16" t="n">
        <f aca="false">$Y1381*$H1381*MM_PARA_M3_HA</f>
        <v>52943.4178823529</v>
      </c>
      <c r="AA1381" s="18" t="n">
        <f aca="false">IFERROR(INDEX(CADASTRO_PIVOS!$I$6:$I$41,MATCH($E1381,CADASTRO_PIVOS!$B$6:$B$41,0)),0)</f>
        <v>932.933333333333</v>
      </c>
      <c r="AB1381" s="18" t="n">
        <f aca="false">IF($Z1381&lt;=0,0,$Z1381/$AA1381)</f>
        <v>56.7494117647059</v>
      </c>
      <c r="AC1381" s="16" t="n">
        <f aca="false">IFERROR(INDEX(SEMANAS!$K$6:$K$71,MATCH($B1381,SEMANAS!$B$6:$B$71,0)),0)</f>
        <v>147</v>
      </c>
      <c r="AD1381" s="19" t="n">
        <f aca="false">IF($AC1381&lt;=0,0,$AB1381/$AC1381)</f>
        <v>0.386050420168067</v>
      </c>
      <c r="AE1381" s="8" t="str">
        <f aca="false">IF($K1381="SEM CULTURA","SEM CULTURA",IF($AA1381&lt;=0,"DADO PENDENTE",IF($AD1381&gt;LIMITE_CRITICO,"INVIAVEL",IF($AD1381&gt;LIMITE_ATENCAO,"CRITICO",IF($AD1381&gt;LIMITE_CONFORTAVEL,"ATENCAO","OK")))))</f>
        <v>OK</v>
      </c>
      <c r="AF1381" s="8" t="str">
        <f aca="false">$B1381&amp;"|"&amp;TEXT($AD1381,"0.000000")</f>
        <v>56|0.386050</v>
      </c>
      <c r="AG1381" s="18" t="n">
        <f aca="false">IF($K1381="SEM CULTURA",0,$T1381*$H1381)</f>
        <v>5283.85452</v>
      </c>
      <c r="AH1381" s="18" t="n">
        <f aca="false">IF($K1381="SEM CULTURA",0,$V1381*$H1381)</f>
        <v>783.664</v>
      </c>
      <c r="AI1381" s="18" t="n">
        <f aca="false">IF($K1381="SEM CULTURA",0,$W1381*$H1381)</f>
        <v>4500.19052</v>
      </c>
      <c r="AJ1381" s="18" t="n">
        <f aca="false">IF($K1381="SEM CULTURA",0,$S1381*$H1381)</f>
        <v>5681.564</v>
      </c>
      <c r="AK1381" s="8" t="str">
        <f aca="false">$E1381&amp;"|"&amp;TEXT($AD1381,"0.000000")</f>
        <v>PV 128|0.386050</v>
      </c>
    </row>
    <row r="1382" customFormat="false" ht="15" hidden="false" customHeight="false" outlineLevel="0" collapsed="false">
      <c r="B1382" s="16" t="n">
        <v>57</v>
      </c>
      <c r="C1382" s="17" t="n">
        <f aca="false">DATA_INICIO_SAFRA+($B1382-1)*DIAS_POR_SEMANA</f>
        <v>46657</v>
      </c>
      <c r="D1382" s="17" t="n">
        <f aca="false">$C1382+DIAS_POR_SEMANA-1</f>
        <v>46663</v>
      </c>
      <c r="E1382" s="15" t="s">
        <v>279</v>
      </c>
      <c r="F1382" s="8" t="str">
        <f aca="false">IFERROR(INDEX(CADASTRO_PIVOS!$C$6:$C$41,MATCH($E1382,CADASTRO_PIVOS!$B$6:$B$41,0)),"?")</f>
        <v>RM06</v>
      </c>
      <c r="G1382" s="8" t="str">
        <f aca="false">IFERROR(INDEX(CADASTRO_PIVOS!$D$6:$D$41,MATCH($E1382,CADASTRO_PIVOS!$B$6:$B$41,0)),"?")</f>
        <v>TR06</v>
      </c>
      <c r="H1382" s="20" t="n">
        <f aca="false">IFERROR(INDEX(CADASTRO_PIVOS!$E$6:$E$41,MATCH($E1382,CADASTRO_PIVOS!$B$6:$B$41,0)),0)</f>
        <v>139.94</v>
      </c>
      <c r="I1382" s="16" t="n">
        <f aca="false">IFERROR(SUMIFS(ROTACAO_RDM!$B$6:$B$71,ROTACAO_RDM!$D$6:$D$71,$E1382,ROTACAO_RDM!$I$6:$I$71,"&lt;="&amp;$C1382+INT(DIAS_POR_SEMANA/2),ROTACAO_RDM!$J$6:$J$71,"&gt;="&amp;$C1382+INT(DIAS_POR_SEMANA/2)),0)</f>
        <v>54</v>
      </c>
      <c r="J1382" s="16" t="n">
        <f aca="false">IFERROR(MATCH($I1382,ROTACAO_RDM!$B$6:$B$71,0),0)</f>
        <v>54</v>
      </c>
      <c r="K1382" s="8" t="str">
        <f aca="false">IF($J1382=0,"SEM CULTURA",INDEX(ROTACAO_RDM!$F$6:$F$71,$J1382))</f>
        <v>MILHO_GRAO</v>
      </c>
      <c r="L1382" s="8" t="n">
        <f aca="false">IF($J1382=0,"",INDEX(ROTACAO_RDM!$G$6:$G$71,$J1382))</f>
        <v>0</v>
      </c>
      <c r="M1382" s="17" t="n">
        <f aca="false">IF($J1382=0,"",INDEX(ROTACAO_RDM!$I$6:$I$71,$J1382))</f>
        <v>46515</v>
      </c>
      <c r="N1382" s="16" t="n">
        <f aca="false">IF($J1382=0,0,MAX(0,$C1382+INT(DIAS_POR_SEMANA/2)-INDEX(ROTACAO_RDM!$I$6:$I$71,$J1382)))</f>
        <v>145</v>
      </c>
      <c r="O1382" s="19" t="n">
        <f aca="false">IF($J1382=0,0,MIN(1,$N1382/MAX(1,INDEX(ROTACAO_RDM!$K$6:$K$71,$J1382))))</f>
        <v>0.90625</v>
      </c>
      <c r="P1382" s="16" t="n">
        <f aca="false">IF($J1382=0,0,IFERROR(MATCH(INDEX(ROTACAO_RDM!$N$6:$N$71,$J1382),PARAMETROS_CULTURAS!$B$6:$B$28,0),0))</f>
        <v>8</v>
      </c>
      <c r="Q1382" s="8" t="str">
        <f aca="false">IF($P1382=0,"-",IF($O1382&lt;=INDEX(PARAMETROS_CULTURAS!$F$6:$F$28,$P1382),"INICIAL",IF($O1382&lt;=INDEX(PARAMETROS_CULTURAS!$F$6:$F$28,$P1382)+INDEX(PARAMETROS_CULTURAS!$G$6:$G$28,$P1382),"DESENVOLVIMENTO",IF($O1382&lt;=INDEX(PARAMETROS_CULTURAS!$F$6:$F$28,$P1382)+INDEX(PARAMETROS_CULTURAS!$G$6:$G$28,$P1382)+INDEX(PARAMETROS_CULTURAS!$H$6:$H$28,$P1382),"MEDIA","FINAL"))))</f>
        <v>FINAL</v>
      </c>
      <c r="R1382" s="24" t="n">
        <f aca="false">IF($P1382=0,0,IF($O1382&lt;=INDEX(PARAMETROS_CULTURAS!$F$6:$F$28,$P1382),INDEX(PARAMETROS_CULTURAS!$K$6:$K$28,$P1382),IF($O1382&lt;=INDEX(PARAMETROS_CULTURAS!$F$6:$F$28,$P1382)+INDEX(PARAMETROS_CULTURAS!$G$6:$G$28,$P1382),INDEX(PARAMETROS_CULTURAS!$K$6:$K$28,$P1382)+(INDEX(PARAMETROS_CULTURAS!$L$6:$L$28,$P1382)-INDEX(PARAMETROS_CULTURAS!$K$6:$K$28,$P1382))*($O1382-INDEX(PARAMETROS_CULTURAS!$F$6:$F$28,$P1382))/MAX(INDEX(PARAMETROS_CULTURAS!$G$6:$G$28,$P1382),0.0001),IF($O1382&lt;=INDEX(PARAMETROS_CULTURAS!$F$6:$F$28,$P1382)+INDEX(PARAMETROS_CULTURAS!$G$6:$G$28,$P1382)+INDEX(PARAMETROS_CULTURAS!$H$6:$H$28,$P1382),INDEX(PARAMETROS_CULTURAS!$L$6:$L$28,$P1382),INDEX(PARAMETROS_CULTURAS!$L$6:$L$28,$P1382)+(INDEX(PARAMETROS_CULTURAS!$M$6:$M$28,$P1382)-INDEX(PARAMETROS_CULTURAS!$L$6:$L$28,$P1382))*($O1382-INDEX(PARAMETROS_CULTURAS!$F$6:$F$28,$P1382)-INDEX(PARAMETROS_CULTURAS!$G$6:$G$28,$P1382)-INDEX(PARAMETROS_CULTURAS!$H$6:$H$28,$P1382))/MAX(INDEX(PARAMETROS_CULTURAS!$I$6:$I$28,$P1382),0.0001)))))</f>
        <v>0.825</v>
      </c>
      <c r="S1382" s="18" t="n">
        <f aca="false">IFERROR(INDEX(SEMANAS!$H$6:$H$71,MATCH($B1382,SEMANAS!$B$6:$B$71,0)),0)</f>
        <v>40</v>
      </c>
      <c r="T1382" s="18" t="n">
        <f aca="false">$R1382*$S1382</f>
        <v>33</v>
      </c>
      <c r="U1382" s="18" t="n">
        <f aca="false">IFERROR(INDEX(SEMANAS!$I$6:$I$71,MATCH($B1382,SEMANAS!$B$6:$B$71,0)),0)</f>
        <v>15.61</v>
      </c>
      <c r="V1382" s="18" t="n">
        <f aca="false">IFERROR(INDEX(SEMANAS!$J$6:$J$71,MATCH($B1382,SEMANAS!$B$6:$B$71,0)),0)</f>
        <v>12.488</v>
      </c>
      <c r="W1382" s="18" t="n">
        <f aca="false">MAX(0,$T1382-$V1382)</f>
        <v>20.512</v>
      </c>
      <c r="X1382" s="19" t="n">
        <f aca="false">IFERROR(INDEX(CADASTRO_PIVOS!$K$6:$K$41,MATCH($E1382,CADASTRO_PIVOS!$B$6:$B$41,0)),EFICIENCIA_PADRAO)</f>
        <v>0.85</v>
      </c>
      <c r="Y1382" s="18" t="n">
        <f aca="false">IF($X1382&lt;=0,0,$W1382/$X1382)</f>
        <v>24.1317647058823</v>
      </c>
      <c r="Z1382" s="16" t="n">
        <f aca="false">$Y1382*$H1382*MM_PARA_M3_HA</f>
        <v>33769.9915294118</v>
      </c>
      <c r="AA1382" s="18" t="n">
        <f aca="false">IFERROR(INDEX(CADASTRO_PIVOS!$I$6:$I$41,MATCH($E1382,CADASTRO_PIVOS!$B$6:$B$41,0)),0)</f>
        <v>932.933333333333</v>
      </c>
      <c r="AB1382" s="18" t="n">
        <f aca="false">IF($Z1382&lt;=0,0,$Z1382/$AA1382)</f>
        <v>36.1976470588235</v>
      </c>
      <c r="AC1382" s="16" t="n">
        <f aca="false">IFERROR(INDEX(SEMANAS!$K$6:$K$71,MATCH($B1382,SEMANAS!$B$6:$B$71,0)),0)</f>
        <v>147</v>
      </c>
      <c r="AD1382" s="19" t="n">
        <f aca="false">IF($AC1382&lt;=0,0,$AB1382/$AC1382)</f>
        <v>0.246242496998799</v>
      </c>
      <c r="AE1382" s="8" t="str">
        <f aca="false">IF($K1382="SEM CULTURA","SEM CULTURA",IF($AA1382&lt;=0,"DADO PENDENTE",IF($AD1382&gt;LIMITE_CRITICO,"INVIAVEL",IF($AD1382&gt;LIMITE_ATENCAO,"CRITICO",IF($AD1382&gt;LIMITE_CONFORTAVEL,"ATENCAO","OK")))))</f>
        <v>OK</v>
      </c>
      <c r="AF1382" s="8" t="str">
        <f aca="false">$B1382&amp;"|"&amp;TEXT($AD1382,"0.000000")</f>
        <v>57|0.246242</v>
      </c>
      <c r="AG1382" s="18" t="n">
        <f aca="false">IF($K1382="SEM CULTURA",0,$T1382*$H1382)</f>
        <v>4618.02</v>
      </c>
      <c r="AH1382" s="18" t="n">
        <f aca="false">IF($K1382="SEM CULTURA",0,$V1382*$H1382)</f>
        <v>1747.57072</v>
      </c>
      <c r="AI1382" s="18" t="n">
        <f aca="false">IF($K1382="SEM CULTURA",0,$W1382*$H1382)</f>
        <v>2870.44928</v>
      </c>
      <c r="AJ1382" s="18" t="n">
        <f aca="false">IF($K1382="SEM CULTURA",0,$S1382*$H1382)</f>
        <v>5597.6</v>
      </c>
      <c r="AK1382" s="8" t="str">
        <f aca="false">$E1382&amp;"|"&amp;TEXT($AD1382,"0.000000")</f>
        <v>PV 128|0.246242</v>
      </c>
    </row>
    <row r="1383" customFormat="false" ht="15" hidden="false" customHeight="false" outlineLevel="0" collapsed="false">
      <c r="B1383" s="16" t="n">
        <v>58</v>
      </c>
      <c r="C1383" s="17" t="n">
        <f aca="false">DATA_INICIO_SAFRA+($B1383-1)*DIAS_POR_SEMANA</f>
        <v>46664</v>
      </c>
      <c r="D1383" s="17" t="n">
        <f aca="false">$C1383+DIAS_POR_SEMANA-1</f>
        <v>46670</v>
      </c>
      <c r="E1383" s="15" t="s">
        <v>279</v>
      </c>
      <c r="F1383" s="8" t="str">
        <f aca="false">IFERROR(INDEX(CADASTRO_PIVOS!$C$6:$C$41,MATCH($E1383,CADASTRO_PIVOS!$B$6:$B$41,0)),"?")</f>
        <v>RM06</v>
      </c>
      <c r="G1383" s="8" t="str">
        <f aca="false">IFERROR(INDEX(CADASTRO_PIVOS!$D$6:$D$41,MATCH($E1383,CADASTRO_PIVOS!$B$6:$B$41,0)),"?")</f>
        <v>TR06</v>
      </c>
      <c r="H1383" s="20" t="n">
        <f aca="false">IFERROR(INDEX(CADASTRO_PIVOS!$E$6:$E$41,MATCH($E1383,CADASTRO_PIVOS!$B$6:$B$41,0)),0)</f>
        <v>139.94</v>
      </c>
      <c r="I1383" s="16" t="n">
        <f aca="false">IFERROR(SUMIFS(ROTACAO_RDM!$B$6:$B$71,ROTACAO_RDM!$D$6:$D$71,$E1383,ROTACAO_RDM!$I$6:$I$71,"&lt;="&amp;$C1383+INT(DIAS_POR_SEMANA/2),ROTACAO_RDM!$J$6:$J$71,"&gt;="&amp;$C1383+INT(DIAS_POR_SEMANA/2)),0)</f>
        <v>54</v>
      </c>
      <c r="J1383" s="16" t="n">
        <f aca="false">IFERROR(MATCH($I1383,ROTACAO_RDM!$B$6:$B$71,0),0)</f>
        <v>54</v>
      </c>
      <c r="K1383" s="8" t="str">
        <f aca="false">IF($J1383=0,"SEM CULTURA",INDEX(ROTACAO_RDM!$F$6:$F$71,$J1383))</f>
        <v>MILHO_GRAO</v>
      </c>
      <c r="L1383" s="8" t="n">
        <f aca="false">IF($J1383=0,"",INDEX(ROTACAO_RDM!$G$6:$G$71,$J1383))</f>
        <v>0</v>
      </c>
      <c r="M1383" s="17" t="n">
        <f aca="false">IF($J1383=0,"",INDEX(ROTACAO_RDM!$I$6:$I$71,$J1383))</f>
        <v>46515</v>
      </c>
      <c r="N1383" s="16" t="n">
        <f aca="false">IF($J1383=0,0,MAX(0,$C1383+INT(DIAS_POR_SEMANA/2)-INDEX(ROTACAO_RDM!$I$6:$I$71,$J1383)))</f>
        <v>152</v>
      </c>
      <c r="O1383" s="19" t="n">
        <f aca="false">IF($J1383=0,0,MIN(1,$N1383/MAX(1,INDEX(ROTACAO_RDM!$K$6:$K$71,$J1383))))</f>
        <v>0.95</v>
      </c>
      <c r="P1383" s="16" t="n">
        <f aca="false">IF($J1383=0,0,IFERROR(MATCH(INDEX(ROTACAO_RDM!$N$6:$N$71,$J1383),PARAMETROS_CULTURAS!$B$6:$B$28,0),0))</f>
        <v>8</v>
      </c>
      <c r="Q1383" s="8" t="str">
        <f aca="false">IF($P1383=0,"-",IF($O1383&lt;=INDEX(PARAMETROS_CULTURAS!$F$6:$F$28,$P1383),"INICIAL",IF($O1383&lt;=INDEX(PARAMETROS_CULTURAS!$F$6:$F$28,$P1383)+INDEX(PARAMETROS_CULTURAS!$G$6:$G$28,$P1383),"DESENVOLVIMENTO",IF($O1383&lt;=INDEX(PARAMETROS_CULTURAS!$F$6:$F$28,$P1383)+INDEX(PARAMETROS_CULTURAS!$G$6:$G$28,$P1383)+INDEX(PARAMETROS_CULTURAS!$H$6:$H$28,$P1383),"MEDIA","FINAL"))))</f>
        <v>FINAL</v>
      </c>
      <c r="R1383" s="24" t="n">
        <f aca="false">IF($P1383=0,0,IF($O1383&lt;=INDEX(PARAMETROS_CULTURAS!$F$6:$F$28,$P1383),INDEX(PARAMETROS_CULTURAS!$K$6:$K$28,$P1383),IF($O1383&lt;=INDEX(PARAMETROS_CULTURAS!$F$6:$F$28,$P1383)+INDEX(PARAMETROS_CULTURAS!$G$6:$G$28,$P1383),INDEX(PARAMETROS_CULTURAS!$K$6:$K$28,$P1383)+(INDEX(PARAMETROS_CULTURAS!$L$6:$L$28,$P1383)-INDEX(PARAMETROS_CULTURAS!$K$6:$K$28,$P1383))*($O1383-INDEX(PARAMETROS_CULTURAS!$F$6:$F$28,$P1383))/MAX(INDEX(PARAMETROS_CULTURAS!$G$6:$G$28,$P1383),0.0001),IF($O1383&lt;=INDEX(PARAMETROS_CULTURAS!$F$6:$F$28,$P1383)+INDEX(PARAMETROS_CULTURAS!$G$6:$G$28,$P1383)+INDEX(PARAMETROS_CULTURAS!$H$6:$H$28,$P1383),INDEX(PARAMETROS_CULTURAS!$L$6:$L$28,$P1383),INDEX(PARAMETROS_CULTURAS!$L$6:$L$28,$P1383)+(INDEX(PARAMETROS_CULTURAS!$M$6:$M$28,$P1383)-INDEX(PARAMETROS_CULTURAS!$L$6:$L$28,$P1383))*($O1383-INDEX(PARAMETROS_CULTURAS!$F$6:$F$28,$P1383)-INDEX(PARAMETROS_CULTURAS!$G$6:$G$28,$P1383)-INDEX(PARAMETROS_CULTURAS!$H$6:$H$28,$P1383))/MAX(INDEX(PARAMETROS_CULTURAS!$I$6:$I$28,$P1383),0.0001)))))</f>
        <v>0.72</v>
      </c>
      <c r="S1383" s="18" t="n">
        <f aca="false">IFERROR(INDEX(SEMANAS!$H$6:$H$71,MATCH($B1383,SEMANAS!$B$6:$B$71,0)),0)</f>
        <v>39.2</v>
      </c>
      <c r="T1383" s="18" t="n">
        <f aca="false">$R1383*$S1383</f>
        <v>28.224</v>
      </c>
      <c r="U1383" s="18" t="n">
        <f aca="false">IFERROR(INDEX(SEMANAS!$I$6:$I$71,MATCH($B1383,SEMANAS!$B$6:$B$71,0)),0)</f>
        <v>27.09</v>
      </c>
      <c r="V1383" s="18" t="n">
        <f aca="false">IFERROR(INDEX(SEMANAS!$J$6:$J$71,MATCH($B1383,SEMANAS!$B$6:$B$71,0)),0)</f>
        <v>21.672</v>
      </c>
      <c r="W1383" s="18" t="n">
        <f aca="false">MAX(0,$T1383-$V1383)</f>
        <v>6.552</v>
      </c>
      <c r="X1383" s="19" t="n">
        <f aca="false">IFERROR(INDEX(CADASTRO_PIVOS!$K$6:$K$41,MATCH($E1383,CADASTRO_PIVOS!$B$6:$B$41,0)),EFICIENCIA_PADRAO)</f>
        <v>0.85</v>
      </c>
      <c r="Y1383" s="18" t="n">
        <f aca="false">IF($X1383&lt;=0,0,$W1383/$X1383)</f>
        <v>7.70823529411764</v>
      </c>
      <c r="Z1383" s="16" t="n">
        <f aca="false">$Y1383*$H1383*MM_PARA_M3_HA</f>
        <v>10786.9044705882</v>
      </c>
      <c r="AA1383" s="18" t="n">
        <f aca="false">IFERROR(INDEX(CADASTRO_PIVOS!$I$6:$I$41,MATCH($E1383,CADASTRO_PIVOS!$B$6:$B$41,0)),0)</f>
        <v>932.933333333333</v>
      </c>
      <c r="AB1383" s="18" t="n">
        <f aca="false">IF($Z1383&lt;=0,0,$Z1383/$AA1383)</f>
        <v>11.5623529411765</v>
      </c>
      <c r="AC1383" s="16" t="n">
        <f aca="false">IFERROR(INDEX(SEMANAS!$K$6:$K$71,MATCH($B1383,SEMANAS!$B$6:$B$71,0)),0)</f>
        <v>147</v>
      </c>
      <c r="AD1383" s="19" t="n">
        <f aca="false">IF($AC1383&lt;=0,0,$AB1383/$AC1383)</f>
        <v>0.0786554621848739</v>
      </c>
      <c r="AE1383" s="8" t="str">
        <f aca="false">IF($K1383="SEM CULTURA","SEM CULTURA",IF($AA1383&lt;=0,"DADO PENDENTE",IF($AD1383&gt;LIMITE_CRITICO,"INVIAVEL",IF($AD1383&gt;LIMITE_ATENCAO,"CRITICO",IF($AD1383&gt;LIMITE_CONFORTAVEL,"ATENCAO","OK")))))</f>
        <v>OK</v>
      </c>
      <c r="AF1383" s="8" t="str">
        <f aca="false">$B1383&amp;"|"&amp;TEXT($AD1383,"0.000000")</f>
        <v>58|0.078655</v>
      </c>
      <c r="AG1383" s="18" t="n">
        <f aca="false">IF($K1383="SEM CULTURA",0,$T1383*$H1383)</f>
        <v>3949.66656</v>
      </c>
      <c r="AH1383" s="18" t="n">
        <f aca="false">IF($K1383="SEM CULTURA",0,$V1383*$H1383)</f>
        <v>3032.77968</v>
      </c>
      <c r="AI1383" s="18" t="n">
        <f aca="false">IF($K1383="SEM CULTURA",0,$W1383*$H1383)</f>
        <v>916.88688</v>
      </c>
      <c r="AJ1383" s="18" t="n">
        <f aca="false">IF($K1383="SEM CULTURA",0,$S1383*$H1383)</f>
        <v>5485.648</v>
      </c>
      <c r="AK1383" s="8" t="str">
        <f aca="false">$E1383&amp;"|"&amp;TEXT($AD1383,"0.000000")</f>
        <v>PV 128|0.078655</v>
      </c>
    </row>
    <row r="1384" customFormat="false" ht="15" hidden="false" customHeight="false" outlineLevel="0" collapsed="false">
      <c r="B1384" s="16" t="n">
        <v>59</v>
      </c>
      <c r="C1384" s="17" t="n">
        <f aca="false">DATA_INICIO_SAFRA+($B1384-1)*DIAS_POR_SEMANA</f>
        <v>46671</v>
      </c>
      <c r="D1384" s="17" t="n">
        <f aca="false">$C1384+DIAS_POR_SEMANA-1</f>
        <v>46677</v>
      </c>
      <c r="E1384" s="15" t="s">
        <v>279</v>
      </c>
      <c r="F1384" s="8" t="str">
        <f aca="false">IFERROR(INDEX(CADASTRO_PIVOS!$C$6:$C$41,MATCH($E1384,CADASTRO_PIVOS!$B$6:$B$41,0)),"?")</f>
        <v>RM06</v>
      </c>
      <c r="G1384" s="8" t="str">
        <f aca="false">IFERROR(INDEX(CADASTRO_PIVOS!$D$6:$D$41,MATCH($E1384,CADASTRO_PIVOS!$B$6:$B$41,0)),"?")</f>
        <v>TR06</v>
      </c>
      <c r="H1384" s="20" t="n">
        <f aca="false">IFERROR(INDEX(CADASTRO_PIVOS!$E$6:$E$41,MATCH($E1384,CADASTRO_PIVOS!$B$6:$B$41,0)),0)</f>
        <v>139.94</v>
      </c>
      <c r="I1384" s="16" t="n">
        <f aca="false">IFERROR(SUMIFS(ROTACAO_RDM!$B$6:$B$71,ROTACAO_RDM!$D$6:$D$71,$E1384,ROTACAO_RDM!$I$6:$I$71,"&lt;="&amp;$C1384+INT(DIAS_POR_SEMANA/2),ROTACAO_RDM!$J$6:$J$71,"&gt;="&amp;$C1384+INT(DIAS_POR_SEMANA/2)),0)</f>
        <v>54</v>
      </c>
      <c r="J1384" s="16" t="n">
        <f aca="false">IFERROR(MATCH($I1384,ROTACAO_RDM!$B$6:$B$71,0),0)</f>
        <v>54</v>
      </c>
      <c r="K1384" s="8" t="str">
        <f aca="false">IF($J1384=0,"SEM CULTURA",INDEX(ROTACAO_RDM!$F$6:$F$71,$J1384))</f>
        <v>MILHO_GRAO</v>
      </c>
      <c r="L1384" s="8" t="n">
        <f aca="false">IF($J1384=0,"",INDEX(ROTACAO_RDM!$G$6:$G$71,$J1384))</f>
        <v>0</v>
      </c>
      <c r="M1384" s="17" t="n">
        <f aca="false">IF($J1384=0,"",INDEX(ROTACAO_RDM!$I$6:$I$71,$J1384))</f>
        <v>46515</v>
      </c>
      <c r="N1384" s="16" t="n">
        <f aca="false">IF($J1384=0,0,MAX(0,$C1384+INT(DIAS_POR_SEMANA/2)-INDEX(ROTACAO_RDM!$I$6:$I$71,$J1384)))</f>
        <v>159</v>
      </c>
      <c r="O1384" s="19" t="n">
        <f aca="false">IF($J1384=0,0,MIN(1,$N1384/MAX(1,INDEX(ROTACAO_RDM!$K$6:$K$71,$J1384))))</f>
        <v>0.99375</v>
      </c>
      <c r="P1384" s="16" t="n">
        <f aca="false">IF($J1384=0,0,IFERROR(MATCH(INDEX(ROTACAO_RDM!$N$6:$N$71,$J1384),PARAMETROS_CULTURAS!$B$6:$B$28,0),0))</f>
        <v>8</v>
      </c>
      <c r="Q1384" s="8" t="str">
        <f aca="false">IF($P1384=0,"-",IF($O1384&lt;=INDEX(PARAMETROS_CULTURAS!$F$6:$F$28,$P1384),"INICIAL",IF($O1384&lt;=INDEX(PARAMETROS_CULTURAS!$F$6:$F$28,$P1384)+INDEX(PARAMETROS_CULTURAS!$G$6:$G$28,$P1384),"DESENVOLVIMENTO",IF($O1384&lt;=INDEX(PARAMETROS_CULTURAS!$F$6:$F$28,$P1384)+INDEX(PARAMETROS_CULTURAS!$G$6:$G$28,$P1384)+INDEX(PARAMETROS_CULTURAS!$H$6:$H$28,$P1384),"MEDIA","FINAL"))))</f>
        <v>FINAL</v>
      </c>
      <c r="R1384" s="24" t="n">
        <f aca="false">IF($P1384=0,0,IF($O1384&lt;=INDEX(PARAMETROS_CULTURAS!$F$6:$F$28,$P1384),INDEX(PARAMETROS_CULTURAS!$K$6:$K$28,$P1384),IF($O1384&lt;=INDEX(PARAMETROS_CULTURAS!$F$6:$F$28,$P1384)+INDEX(PARAMETROS_CULTURAS!$G$6:$G$28,$P1384),INDEX(PARAMETROS_CULTURAS!$K$6:$K$28,$P1384)+(INDEX(PARAMETROS_CULTURAS!$L$6:$L$28,$P1384)-INDEX(PARAMETROS_CULTURAS!$K$6:$K$28,$P1384))*($O1384-INDEX(PARAMETROS_CULTURAS!$F$6:$F$28,$P1384))/MAX(INDEX(PARAMETROS_CULTURAS!$G$6:$G$28,$P1384),0.0001),IF($O1384&lt;=INDEX(PARAMETROS_CULTURAS!$F$6:$F$28,$P1384)+INDEX(PARAMETROS_CULTURAS!$G$6:$G$28,$P1384)+INDEX(PARAMETROS_CULTURAS!$H$6:$H$28,$P1384),INDEX(PARAMETROS_CULTURAS!$L$6:$L$28,$P1384),INDEX(PARAMETROS_CULTURAS!$L$6:$L$28,$P1384)+(INDEX(PARAMETROS_CULTURAS!$M$6:$M$28,$P1384)-INDEX(PARAMETROS_CULTURAS!$L$6:$L$28,$P1384))*($O1384-INDEX(PARAMETROS_CULTURAS!$F$6:$F$28,$P1384)-INDEX(PARAMETROS_CULTURAS!$G$6:$G$28,$P1384)-INDEX(PARAMETROS_CULTURAS!$H$6:$H$28,$P1384))/MAX(INDEX(PARAMETROS_CULTURAS!$I$6:$I$28,$P1384),0.0001)))))</f>
        <v>0.615</v>
      </c>
      <c r="S1384" s="18" t="n">
        <f aca="false">IFERROR(INDEX(SEMANAS!$H$6:$H$71,MATCH($B1384,SEMANAS!$B$6:$B$71,0)),0)</f>
        <v>39.2</v>
      </c>
      <c r="T1384" s="18" t="n">
        <f aca="false">$R1384*$S1384</f>
        <v>24.108</v>
      </c>
      <c r="U1384" s="18" t="n">
        <f aca="false">IFERROR(INDEX(SEMANAS!$I$6:$I$71,MATCH($B1384,SEMANAS!$B$6:$B$71,0)),0)</f>
        <v>27.09</v>
      </c>
      <c r="V1384" s="18" t="n">
        <f aca="false">IFERROR(INDEX(SEMANAS!$J$6:$J$71,MATCH($B1384,SEMANAS!$B$6:$B$71,0)),0)</f>
        <v>21.672</v>
      </c>
      <c r="W1384" s="18" t="n">
        <f aca="false">MAX(0,$T1384-$V1384)</f>
        <v>2.436</v>
      </c>
      <c r="X1384" s="19" t="n">
        <f aca="false">IFERROR(INDEX(CADASTRO_PIVOS!$K$6:$K$41,MATCH($E1384,CADASTRO_PIVOS!$B$6:$B$41,0)),EFICIENCIA_PADRAO)</f>
        <v>0.85</v>
      </c>
      <c r="Y1384" s="18" t="n">
        <f aca="false">IF($X1384&lt;=0,0,$W1384/$X1384)</f>
        <v>2.86588235294118</v>
      </c>
      <c r="Z1384" s="16" t="n">
        <f aca="false">$Y1384*$H1384*MM_PARA_M3_HA</f>
        <v>4010.51576470588</v>
      </c>
      <c r="AA1384" s="18" t="n">
        <f aca="false">IFERROR(INDEX(CADASTRO_PIVOS!$I$6:$I$41,MATCH($E1384,CADASTRO_PIVOS!$B$6:$B$41,0)),0)</f>
        <v>932.933333333333</v>
      </c>
      <c r="AB1384" s="18" t="n">
        <f aca="false">IF($Z1384&lt;=0,0,$Z1384/$AA1384)</f>
        <v>4.29882352941177</v>
      </c>
      <c r="AC1384" s="16" t="n">
        <f aca="false">IFERROR(INDEX(SEMANAS!$K$6:$K$71,MATCH($B1384,SEMANAS!$B$6:$B$71,0)),0)</f>
        <v>147</v>
      </c>
      <c r="AD1384" s="19" t="n">
        <f aca="false">IF($AC1384&lt;=0,0,$AB1384/$AC1384)</f>
        <v>0.0292436974789916</v>
      </c>
      <c r="AE1384" s="8" t="str">
        <f aca="false">IF($K1384="SEM CULTURA","SEM CULTURA",IF($AA1384&lt;=0,"DADO PENDENTE",IF($AD1384&gt;LIMITE_CRITICO,"INVIAVEL",IF($AD1384&gt;LIMITE_ATENCAO,"CRITICO",IF($AD1384&gt;LIMITE_CONFORTAVEL,"ATENCAO","OK")))))</f>
        <v>OK</v>
      </c>
      <c r="AF1384" s="8" t="str">
        <f aca="false">$B1384&amp;"|"&amp;TEXT($AD1384,"0.000000")</f>
        <v>59|0.029244</v>
      </c>
      <c r="AG1384" s="18" t="n">
        <f aca="false">IF($K1384="SEM CULTURA",0,$T1384*$H1384)</f>
        <v>3373.67352</v>
      </c>
      <c r="AH1384" s="18" t="n">
        <f aca="false">IF($K1384="SEM CULTURA",0,$V1384*$H1384)</f>
        <v>3032.77968</v>
      </c>
      <c r="AI1384" s="18" t="n">
        <f aca="false">IF($K1384="SEM CULTURA",0,$W1384*$H1384)</f>
        <v>340.89384</v>
      </c>
      <c r="AJ1384" s="18" t="n">
        <f aca="false">IF($K1384="SEM CULTURA",0,$S1384*$H1384)</f>
        <v>5485.648</v>
      </c>
      <c r="AK1384" s="8" t="str">
        <f aca="false">$E1384&amp;"|"&amp;TEXT($AD1384,"0.000000")</f>
        <v>PV 128|0.029244</v>
      </c>
    </row>
    <row r="1385" customFormat="false" ht="15" hidden="false" customHeight="false" outlineLevel="0" collapsed="false">
      <c r="B1385" s="16" t="n">
        <v>60</v>
      </c>
      <c r="C1385" s="17" t="n">
        <f aca="false">DATA_INICIO_SAFRA+($B1385-1)*DIAS_POR_SEMANA</f>
        <v>46678</v>
      </c>
      <c r="D1385" s="17" t="n">
        <f aca="false">$C1385+DIAS_POR_SEMANA-1</f>
        <v>46684</v>
      </c>
      <c r="E1385" s="15" t="s">
        <v>279</v>
      </c>
      <c r="F1385" s="8" t="str">
        <f aca="false">IFERROR(INDEX(CADASTRO_PIVOS!$C$6:$C$41,MATCH($E1385,CADASTRO_PIVOS!$B$6:$B$41,0)),"?")</f>
        <v>RM06</v>
      </c>
      <c r="G1385" s="8" t="str">
        <f aca="false">IFERROR(INDEX(CADASTRO_PIVOS!$D$6:$D$41,MATCH($E1385,CADASTRO_PIVOS!$B$6:$B$41,0)),"?")</f>
        <v>TR06</v>
      </c>
      <c r="H1385" s="20" t="n">
        <f aca="false">IFERROR(INDEX(CADASTRO_PIVOS!$E$6:$E$41,MATCH($E1385,CADASTRO_PIVOS!$B$6:$B$41,0)),0)</f>
        <v>139.94</v>
      </c>
      <c r="I1385" s="16" t="n">
        <f aca="false">IFERROR(SUMIFS(ROTACAO_RDM!$B$6:$B$71,ROTACAO_RDM!$D$6:$D$71,$E1385,ROTACAO_RDM!$I$6:$I$71,"&lt;="&amp;$C1385+INT(DIAS_POR_SEMANA/2),ROTACAO_RDM!$J$6:$J$71,"&gt;="&amp;$C1385+INT(DIAS_POR_SEMANA/2)),0)</f>
        <v>0</v>
      </c>
      <c r="J1385" s="16" t="n">
        <f aca="false">IFERROR(MATCH($I1385,ROTACAO_RDM!$B$6:$B$71,0),0)</f>
        <v>0</v>
      </c>
      <c r="K1385" s="8" t="str">
        <f aca="false">IF($J1385=0,"SEM CULTURA",INDEX(ROTACAO_RDM!$F$6:$F$71,$J1385))</f>
        <v>SEM CULTURA</v>
      </c>
      <c r="L1385" s="8" t="str">
        <f aca="false">IF($J1385=0,"",INDEX(ROTACAO_RDM!$G$6:$G$71,$J1385))</f>
        <v/>
      </c>
      <c r="M1385" s="17" t="str">
        <f aca="false">IF($J1385=0,"",INDEX(ROTACAO_RDM!$I$6:$I$71,$J1385))</f>
        <v/>
      </c>
      <c r="N1385" s="16" t="n">
        <f aca="false">IF($J1385=0,0,MAX(0,$C1385+INT(DIAS_POR_SEMANA/2)-INDEX(ROTACAO_RDM!$I$6:$I$71,$J1385)))</f>
        <v>0</v>
      </c>
      <c r="O1385" s="19" t="n">
        <f aca="false">IF($J1385=0,0,MIN(1,$N1385/MAX(1,INDEX(ROTACAO_RDM!$K$6:$K$71,$J1385))))</f>
        <v>0</v>
      </c>
      <c r="P1385" s="16" t="n">
        <f aca="false">IF($J1385=0,0,IFERROR(MATCH(INDEX(ROTACAO_RDM!$N$6:$N$71,$J1385),PARAMETROS_CULTURAS!$B$6:$B$28,0),0))</f>
        <v>0</v>
      </c>
      <c r="Q1385" s="8" t="str">
        <f aca="false">IF($P1385=0,"-",IF($O1385&lt;=INDEX(PARAMETROS_CULTURAS!$F$6:$F$28,$P1385),"INICIAL",IF($O1385&lt;=INDEX(PARAMETROS_CULTURAS!$F$6:$F$28,$P1385)+INDEX(PARAMETROS_CULTURAS!$G$6:$G$28,$P1385),"DESENVOLVIMENTO",IF($O1385&lt;=INDEX(PARAMETROS_CULTURAS!$F$6:$F$28,$P1385)+INDEX(PARAMETROS_CULTURAS!$G$6:$G$28,$P1385)+INDEX(PARAMETROS_CULTURAS!$H$6:$H$28,$P1385),"MEDIA","FINAL"))))</f>
        <v>-</v>
      </c>
      <c r="R1385" s="24" t="n">
        <f aca="false">IF($P1385=0,0,IF($O1385&lt;=INDEX(PARAMETROS_CULTURAS!$F$6:$F$28,$P1385),INDEX(PARAMETROS_CULTURAS!$K$6:$K$28,$P1385),IF($O1385&lt;=INDEX(PARAMETROS_CULTURAS!$F$6:$F$28,$P1385)+INDEX(PARAMETROS_CULTURAS!$G$6:$G$28,$P1385),INDEX(PARAMETROS_CULTURAS!$K$6:$K$28,$P1385)+(INDEX(PARAMETROS_CULTURAS!$L$6:$L$28,$P1385)-INDEX(PARAMETROS_CULTURAS!$K$6:$K$28,$P1385))*($O1385-INDEX(PARAMETROS_CULTURAS!$F$6:$F$28,$P1385))/MAX(INDEX(PARAMETROS_CULTURAS!$G$6:$G$28,$P1385),0.0001),IF($O1385&lt;=INDEX(PARAMETROS_CULTURAS!$F$6:$F$28,$P1385)+INDEX(PARAMETROS_CULTURAS!$G$6:$G$28,$P1385)+INDEX(PARAMETROS_CULTURAS!$H$6:$H$28,$P1385),INDEX(PARAMETROS_CULTURAS!$L$6:$L$28,$P1385),INDEX(PARAMETROS_CULTURAS!$L$6:$L$28,$P1385)+(INDEX(PARAMETROS_CULTURAS!$M$6:$M$28,$P1385)-INDEX(PARAMETROS_CULTURAS!$L$6:$L$28,$P1385))*($O1385-INDEX(PARAMETROS_CULTURAS!$F$6:$F$28,$P1385)-INDEX(PARAMETROS_CULTURAS!$G$6:$G$28,$P1385)-INDEX(PARAMETROS_CULTURAS!$H$6:$H$28,$P1385))/MAX(INDEX(PARAMETROS_CULTURAS!$I$6:$I$28,$P1385),0.0001)))))</f>
        <v>0</v>
      </c>
      <c r="S1385" s="18" t="n">
        <f aca="false">IFERROR(INDEX(SEMANAS!$H$6:$H$71,MATCH($B1385,SEMANAS!$B$6:$B$71,0)),0)</f>
        <v>39.2</v>
      </c>
      <c r="T1385" s="18" t="n">
        <f aca="false">$R1385*$S1385</f>
        <v>0</v>
      </c>
      <c r="U1385" s="18" t="n">
        <f aca="false">IFERROR(INDEX(SEMANAS!$I$6:$I$71,MATCH($B1385,SEMANAS!$B$6:$B$71,0)),0)</f>
        <v>27.09</v>
      </c>
      <c r="V1385" s="18" t="n">
        <f aca="false">IFERROR(INDEX(SEMANAS!$J$6:$J$71,MATCH($B1385,SEMANAS!$B$6:$B$71,0)),0)</f>
        <v>21.672</v>
      </c>
      <c r="W1385" s="18" t="n">
        <f aca="false">MAX(0,$T1385-$V1385)</f>
        <v>0</v>
      </c>
      <c r="X1385" s="19" t="n">
        <f aca="false">IFERROR(INDEX(CADASTRO_PIVOS!$K$6:$K$41,MATCH($E1385,CADASTRO_PIVOS!$B$6:$B$41,0)),EFICIENCIA_PADRAO)</f>
        <v>0.85</v>
      </c>
      <c r="Y1385" s="18" t="n">
        <f aca="false">IF($X1385&lt;=0,0,$W1385/$X1385)</f>
        <v>0</v>
      </c>
      <c r="Z1385" s="16" t="n">
        <f aca="false">$Y1385*$H1385*MM_PARA_M3_HA</f>
        <v>0</v>
      </c>
      <c r="AA1385" s="18" t="n">
        <f aca="false">IFERROR(INDEX(CADASTRO_PIVOS!$I$6:$I$41,MATCH($E1385,CADASTRO_PIVOS!$B$6:$B$41,0)),0)</f>
        <v>932.933333333333</v>
      </c>
      <c r="AB1385" s="18" t="n">
        <f aca="false">IF($Z1385&lt;=0,0,$Z1385/$AA1385)</f>
        <v>0</v>
      </c>
      <c r="AC1385" s="16" t="n">
        <f aca="false">IFERROR(INDEX(SEMANAS!$K$6:$K$71,MATCH($B1385,SEMANAS!$B$6:$B$71,0)),0)</f>
        <v>147</v>
      </c>
      <c r="AD1385" s="19" t="n">
        <f aca="false">IF($AC1385&lt;=0,0,$AB1385/$AC1385)</f>
        <v>0</v>
      </c>
      <c r="AE1385" s="8" t="str">
        <f aca="false">IF($K1385="SEM CULTURA","SEM CULTURA",IF($AA1385&lt;=0,"DADO PENDENTE",IF($AD1385&gt;LIMITE_CRITICO,"INVIAVEL",IF($AD1385&gt;LIMITE_ATENCAO,"CRITICO",IF($AD1385&gt;LIMITE_CONFORTAVEL,"ATENCAO","OK")))))</f>
        <v>SEM CULTURA</v>
      </c>
      <c r="AF1385" s="8" t="str">
        <f aca="false">$B1385&amp;"|"&amp;TEXT($AD1385,"0.000000")</f>
        <v>60|0.000000</v>
      </c>
      <c r="AG1385" s="18" t="n">
        <f aca="false">IF($K1385="SEM CULTURA",0,$T1385*$H1385)</f>
        <v>0</v>
      </c>
      <c r="AH1385" s="18" t="n">
        <f aca="false">IF($K1385="SEM CULTURA",0,$V1385*$H1385)</f>
        <v>0</v>
      </c>
      <c r="AI1385" s="18" t="n">
        <f aca="false">IF($K1385="SEM CULTURA",0,$W1385*$H1385)</f>
        <v>0</v>
      </c>
      <c r="AJ1385" s="18" t="n">
        <f aca="false">IF($K1385="SEM CULTURA",0,$S1385*$H1385)</f>
        <v>0</v>
      </c>
      <c r="AK1385" s="8" t="str">
        <f aca="false">$E1385&amp;"|"&amp;TEXT($AD1385,"0.000000")</f>
        <v>PV 128|0.000000</v>
      </c>
    </row>
    <row r="1386" customFormat="false" ht="15" hidden="false" customHeight="false" outlineLevel="0" collapsed="false">
      <c r="B1386" s="16" t="n">
        <v>61</v>
      </c>
      <c r="C1386" s="17" t="n">
        <f aca="false">DATA_INICIO_SAFRA+($B1386-1)*DIAS_POR_SEMANA</f>
        <v>46685</v>
      </c>
      <c r="D1386" s="17" t="n">
        <f aca="false">$C1386+DIAS_POR_SEMANA-1</f>
        <v>46691</v>
      </c>
      <c r="E1386" s="15" t="s">
        <v>279</v>
      </c>
      <c r="F1386" s="8" t="str">
        <f aca="false">IFERROR(INDEX(CADASTRO_PIVOS!$C$6:$C$41,MATCH($E1386,CADASTRO_PIVOS!$B$6:$B$41,0)),"?")</f>
        <v>RM06</v>
      </c>
      <c r="G1386" s="8" t="str">
        <f aca="false">IFERROR(INDEX(CADASTRO_PIVOS!$D$6:$D$41,MATCH($E1386,CADASTRO_PIVOS!$B$6:$B$41,0)),"?")</f>
        <v>TR06</v>
      </c>
      <c r="H1386" s="20" t="n">
        <f aca="false">IFERROR(INDEX(CADASTRO_PIVOS!$E$6:$E$41,MATCH($E1386,CADASTRO_PIVOS!$B$6:$B$41,0)),0)</f>
        <v>139.94</v>
      </c>
      <c r="I1386" s="16" t="n">
        <f aca="false">IFERROR(SUMIFS(ROTACAO_RDM!$B$6:$B$71,ROTACAO_RDM!$D$6:$D$71,$E1386,ROTACAO_RDM!$I$6:$I$71,"&lt;="&amp;$C1386+INT(DIAS_POR_SEMANA/2),ROTACAO_RDM!$J$6:$J$71,"&gt;="&amp;$C1386+INT(DIAS_POR_SEMANA/2)),0)</f>
        <v>0</v>
      </c>
      <c r="J1386" s="16" t="n">
        <f aca="false">IFERROR(MATCH($I1386,ROTACAO_RDM!$B$6:$B$71,0),0)</f>
        <v>0</v>
      </c>
      <c r="K1386" s="8" t="str">
        <f aca="false">IF($J1386=0,"SEM CULTURA",INDEX(ROTACAO_RDM!$F$6:$F$71,$J1386))</f>
        <v>SEM CULTURA</v>
      </c>
      <c r="L1386" s="8" t="str">
        <f aca="false">IF($J1386=0,"",INDEX(ROTACAO_RDM!$G$6:$G$71,$J1386))</f>
        <v/>
      </c>
      <c r="M1386" s="17" t="str">
        <f aca="false">IF($J1386=0,"",INDEX(ROTACAO_RDM!$I$6:$I$71,$J1386))</f>
        <v/>
      </c>
      <c r="N1386" s="16" t="n">
        <f aca="false">IF($J1386=0,0,MAX(0,$C1386+INT(DIAS_POR_SEMANA/2)-INDEX(ROTACAO_RDM!$I$6:$I$71,$J1386)))</f>
        <v>0</v>
      </c>
      <c r="O1386" s="19" t="n">
        <f aca="false">IF($J1386=0,0,MIN(1,$N1386/MAX(1,INDEX(ROTACAO_RDM!$K$6:$K$71,$J1386))))</f>
        <v>0</v>
      </c>
      <c r="P1386" s="16" t="n">
        <f aca="false">IF($J1386=0,0,IFERROR(MATCH(INDEX(ROTACAO_RDM!$N$6:$N$71,$J1386),PARAMETROS_CULTURAS!$B$6:$B$28,0),0))</f>
        <v>0</v>
      </c>
      <c r="Q1386" s="8" t="str">
        <f aca="false">IF($P1386=0,"-",IF($O1386&lt;=INDEX(PARAMETROS_CULTURAS!$F$6:$F$28,$P1386),"INICIAL",IF($O1386&lt;=INDEX(PARAMETROS_CULTURAS!$F$6:$F$28,$P1386)+INDEX(PARAMETROS_CULTURAS!$G$6:$G$28,$P1386),"DESENVOLVIMENTO",IF($O1386&lt;=INDEX(PARAMETROS_CULTURAS!$F$6:$F$28,$P1386)+INDEX(PARAMETROS_CULTURAS!$G$6:$G$28,$P1386)+INDEX(PARAMETROS_CULTURAS!$H$6:$H$28,$P1386),"MEDIA","FINAL"))))</f>
        <v>-</v>
      </c>
      <c r="R1386" s="24" t="n">
        <f aca="false">IF($P1386=0,0,IF($O1386&lt;=INDEX(PARAMETROS_CULTURAS!$F$6:$F$28,$P1386),INDEX(PARAMETROS_CULTURAS!$K$6:$K$28,$P1386),IF($O1386&lt;=INDEX(PARAMETROS_CULTURAS!$F$6:$F$28,$P1386)+INDEX(PARAMETROS_CULTURAS!$G$6:$G$28,$P1386),INDEX(PARAMETROS_CULTURAS!$K$6:$K$28,$P1386)+(INDEX(PARAMETROS_CULTURAS!$L$6:$L$28,$P1386)-INDEX(PARAMETROS_CULTURAS!$K$6:$K$28,$P1386))*($O1386-INDEX(PARAMETROS_CULTURAS!$F$6:$F$28,$P1386))/MAX(INDEX(PARAMETROS_CULTURAS!$G$6:$G$28,$P1386),0.0001),IF($O1386&lt;=INDEX(PARAMETROS_CULTURAS!$F$6:$F$28,$P1386)+INDEX(PARAMETROS_CULTURAS!$G$6:$G$28,$P1386)+INDEX(PARAMETROS_CULTURAS!$H$6:$H$28,$P1386),INDEX(PARAMETROS_CULTURAS!$L$6:$L$28,$P1386),INDEX(PARAMETROS_CULTURAS!$L$6:$L$28,$P1386)+(INDEX(PARAMETROS_CULTURAS!$M$6:$M$28,$P1386)-INDEX(PARAMETROS_CULTURAS!$L$6:$L$28,$P1386))*($O1386-INDEX(PARAMETROS_CULTURAS!$F$6:$F$28,$P1386)-INDEX(PARAMETROS_CULTURAS!$G$6:$G$28,$P1386)-INDEX(PARAMETROS_CULTURAS!$H$6:$H$28,$P1386))/MAX(INDEX(PARAMETROS_CULTURAS!$I$6:$I$28,$P1386),0.0001)))))</f>
        <v>0</v>
      </c>
      <c r="S1386" s="18" t="n">
        <f aca="false">IFERROR(INDEX(SEMANAS!$H$6:$H$71,MATCH($B1386,SEMANAS!$B$6:$B$71,0)),0)</f>
        <v>39.2</v>
      </c>
      <c r="T1386" s="18" t="n">
        <f aca="false">$R1386*$S1386</f>
        <v>0</v>
      </c>
      <c r="U1386" s="18" t="n">
        <f aca="false">IFERROR(INDEX(SEMANAS!$I$6:$I$71,MATCH($B1386,SEMANAS!$B$6:$B$71,0)),0)</f>
        <v>27.09</v>
      </c>
      <c r="V1386" s="18" t="n">
        <f aca="false">IFERROR(INDEX(SEMANAS!$J$6:$J$71,MATCH($B1386,SEMANAS!$B$6:$B$71,0)),0)</f>
        <v>21.672</v>
      </c>
      <c r="W1386" s="18" t="n">
        <f aca="false">MAX(0,$T1386-$V1386)</f>
        <v>0</v>
      </c>
      <c r="X1386" s="19" t="n">
        <f aca="false">IFERROR(INDEX(CADASTRO_PIVOS!$K$6:$K$41,MATCH($E1386,CADASTRO_PIVOS!$B$6:$B$41,0)),EFICIENCIA_PADRAO)</f>
        <v>0.85</v>
      </c>
      <c r="Y1386" s="18" t="n">
        <f aca="false">IF($X1386&lt;=0,0,$W1386/$X1386)</f>
        <v>0</v>
      </c>
      <c r="Z1386" s="16" t="n">
        <f aca="false">$Y1386*$H1386*MM_PARA_M3_HA</f>
        <v>0</v>
      </c>
      <c r="AA1386" s="18" t="n">
        <f aca="false">IFERROR(INDEX(CADASTRO_PIVOS!$I$6:$I$41,MATCH($E1386,CADASTRO_PIVOS!$B$6:$B$41,0)),0)</f>
        <v>932.933333333333</v>
      </c>
      <c r="AB1386" s="18" t="n">
        <f aca="false">IF($Z1386&lt;=0,0,$Z1386/$AA1386)</f>
        <v>0</v>
      </c>
      <c r="AC1386" s="16" t="n">
        <f aca="false">IFERROR(INDEX(SEMANAS!$K$6:$K$71,MATCH($B1386,SEMANAS!$B$6:$B$71,0)),0)</f>
        <v>147</v>
      </c>
      <c r="AD1386" s="19" t="n">
        <f aca="false">IF($AC1386&lt;=0,0,$AB1386/$AC1386)</f>
        <v>0</v>
      </c>
      <c r="AE1386" s="8" t="str">
        <f aca="false">IF($K1386="SEM CULTURA","SEM CULTURA",IF($AA1386&lt;=0,"DADO PENDENTE",IF($AD1386&gt;LIMITE_CRITICO,"INVIAVEL",IF($AD1386&gt;LIMITE_ATENCAO,"CRITICO",IF($AD1386&gt;LIMITE_CONFORTAVEL,"ATENCAO","OK")))))</f>
        <v>SEM CULTURA</v>
      </c>
      <c r="AF1386" s="8" t="str">
        <f aca="false">$B1386&amp;"|"&amp;TEXT($AD1386,"0.000000")</f>
        <v>61|0.000000</v>
      </c>
      <c r="AG1386" s="18" t="n">
        <f aca="false">IF($K1386="SEM CULTURA",0,$T1386*$H1386)</f>
        <v>0</v>
      </c>
      <c r="AH1386" s="18" t="n">
        <f aca="false">IF($K1386="SEM CULTURA",0,$V1386*$H1386)</f>
        <v>0</v>
      </c>
      <c r="AI1386" s="18" t="n">
        <f aca="false">IF($K1386="SEM CULTURA",0,$W1386*$H1386)</f>
        <v>0</v>
      </c>
      <c r="AJ1386" s="18" t="n">
        <f aca="false">IF($K1386="SEM CULTURA",0,$S1386*$H1386)</f>
        <v>0</v>
      </c>
      <c r="AK1386" s="8" t="str">
        <f aca="false">$E1386&amp;"|"&amp;TEXT($AD1386,"0.000000")</f>
        <v>PV 128|0.000000</v>
      </c>
    </row>
    <row r="1387" customFormat="false" ht="15" hidden="false" customHeight="false" outlineLevel="0" collapsed="false">
      <c r="B1387" s="16" t="n">
        <v>62</v>
      </c>
      <c r="C1387" s="17" t="n">
        <f aca="false">DATA_INICIO_SAFRA+($B1387-1)*DIAS_POR_SEMANA</f>
        <v>46692</v>
      </c>
      <c r="D1387" s="17" t="n">
        <f aca="false">$C1387+DIAS_POR_SEMANA-1</f>
        <v>46698</v>
      </c>
      <c r="E1387" s="15" t="s">
        <v>279</v>
      </c>
      <c r="F1387" s="8" t="str">
        <f aca="false">IFERROR(INDEX(CADASTRO_PIVOS!$C$6:$C$41,MATCH($E1387,CADASTRO_PIVOS!$B$6:$B$41,0)),"?")</f>
        <v>RM06</v>
      </c>
      <c r="G1387" s="8" t="str">
        <f aca="false">IFERROR(INDEX(CADASTRO_PIVOS!$D$6:$D$41,MATCH($E1387,CADASTRO_PIVOS!$B$6:$B$41,0)),"?")</f>
        <v>TR06</v>
      </c>
      <c r="H1387" s="20" t="n">
        <f aca="false">IFERROR(INDEX(CADASTRO_PIVOS!$E$6:$E$41,MATCH($E1387,CADASTRO_PIVOS!$B$6:$B$41,0)),0)</f>
        <v>139.94</v>
      </c>
      <c r="I1387" s="16" t="n">
        <f aca="false">IFERROR(SUMIFS(ROTACAO_RDM!$B$6:$B$71,ROTACAO_RDM!$D$6:$D$71,$E1387,ROTACAO_RDM!$I$6:$I$71,"&lt;="&amp;$C1387+INT(DIAS_POR_SEMANA/2),ROTACAO_RDM!$J$6:$J$71,"&gt;="&amp;$C1387+INT(DIAS_POR_SEMANA/2)),0)</f>
        <v>0</v>
      </c>
      <c r="J1387" s="16" t="n">
        <f aca="false">IFERROR(MATCH($I1387,ROTACAO_RDM!$B$6:$B$71,0),0)</f>
        <v>0</v>
      </c>
      <c r="K1387" s="8" t="str">
        <f aca="false">IF($J1387=0,"SEM CULTURA",INDEX(ROTACAO_RDM!$F$6:$F$71,$J1387))</f>
        <v>SEM CULTURA</v>
      </c>
      <c r="L1387" s="8" t="str">
        <f aca="false">IF($J1387=0,"",INDEX(ROTACAO_RDM!$G$6:$G$71,$J1387))</f>
        <v/>
      </c>
      <c r="M1387" s="17" t="str">
        <f aca="false">IF($J1387=0,"",INDEX(ROTACAO_RDM!$I$6:$I$71,$J1387))</f>
        <v/>
      </c>
      <c r="N1387" s="16" t="n">
        <f aca="false">IF($J1387=0,0,MAX(0,$C1387+INT(DIAS_POR_SEMANA/2)-INDEX(ROTACAO_RDM!$I$6:$I$71,$J1387)))</f>
        <v>0</v>
      </c>
      <c r="O1387" s="19" t="n">
        <f aca="false">IF($J1387=0,0,MIN(1,$N1387/MAX(1,INDEX(ROTACAO_RDM!$K$6:$K$71,$J1387))))</f>
        <v>0</v>
      </c>
      <c r="P1387" s="16" t="n">
        <f aca="false">IF($J1387=0,0,IFERROR(MATCH(INDEX(ROTACAO_RDM!$N$6:$N$71,$J1387),PARAMETROS_CULTURAS!$B$6:$B$28,0),0))</f>
        <v>0</v>
      </c>
      <c r="Q1387" s="8" t="str">
        <f aca="false">IF($P1387=0,"-",IF($O1387&lt;=INDEX(PARAMETROS_CULTURAS!$F$6:$F$28,$P1387),"INICIAL",IF($O1387&lt;=INDEX(PARAMETROS_CULTURAS!$F$6:$F$28,$P1387)+INDEX(PARAMETROS_CULTURAS!$G$6:$G$28,$P1387),"DESENVOLVIMENTO",IF($O1387&lt;=INDEX(PARAMETROS_CULTURAS!$F$6:$F$28,$P1387)+INDEX(PARAMETROS_CULTURAS!$G$6:$G$28,$P1387)+INDEX(PARAMETROS_CULTURAS!$H$6:$H$28,$P1387),"MEDIA","FINAL"))))</f>
        <v>-</v>
      </c>
      <c r="R1387" s="24" t="n">
        <f aca="false">IF($P1387=0,0,IF($O1387&lt;=INDEX(PARAMETROS_CULTURAS!$F$6:$F$28,$P1387),INDEX(PARAMETROS_CULTURAS!$K$6:$K$28,$P1387),IF($O1387&lt;=INDEX(PARAMETROS_CULTURAS!$F$6:$F$28,$P1387)+INDEX(PARAMETROS_CULTURAS!$G$6:$G$28,$P1387),INDEX(PARAMETROS_CULTURAS!$K$6:$K$28,$P1387)+(INDEX(PARAMETROS_CULTURAS!$L$6:$L$28,$P1387)-INDEX(PARAMETROS_CULTURAS!$K$6:$K$28,$P1387))*($O1387-INDEX(PARAMETROS_CULTURAS!$F$6:$F$28,$P1387))/MAX(INDEX(PARAMETROS_CULTURAS!$G$6:$G$28,$P1387),0.0001),IF($O1387&lt;=INDEX(PARAMETROS_CULTURAS!$F$6:$F$28,$P1387)+INDEX(PARAMETROS_CULTURAS!$G$6:$G$28,$P1387)+INDEX(PARAMETROS_CULTURAS!$H$6:$H$28,$P1387),INDEX(PARAMETROS_CULTURAS!$L$6:$L$28,$P1387),INDEX(PARAMETROS_CULTURAS!$L$6:$L$28,$P1387)+(INDEX(PARAMETROS_CULTURAS!$M$6:$M$28,$P1387)-INDEX(PARAMETROS_CULTURAS!$L$6:$L$28,$P1387))*($O1387-INDEX(PARAMETROS_CULTURAS!$F$6:$F$28,$P1387)-INDEX(PARAMETROS_CULTURAS!$G$6:$G$28,$P1387)-INDEX(PARAMETROS_CULTURAS!$H$6:$H$28,$P1387))/MAX(INDEX(PARAMETROS_CULTURAS!$I$6:$I$28,$P1387),0.0001)))))</f>
        <v>0</v>
      </c>
      <c r="S1387" s="18" t="n">
        <f aca="false">IFERROR(INDEX(SEMANAS!$H$6:$H$71,MATCH($B1387,SEMANAS!$B$6:$B$71,0)),0)</f>
        <v>34.3</v>
      </c>
      <c r="T1387" s="18" t="n">
        <f aca="false">$R1387*$S1387</f>
        <v>0</v>
      </c>
      <c r="U1387" s="18" t="n">
        <f aca="false">IFERROR(INDEX(SEMANAS!$I$6:$I$71,MATCH($B1387,SEMANAS!$B$6:$B$71,0)),0)</f>
        <v>46.69</v>
      </c>
      <c r="V1387" s="18" t="n">
        <f aca="false">IFERROR(INDEX(SEMANAS!$J$6:$J$71,MATCH($B1387,SEMANAS!$B$6:$B$71,0)),0)</f>
        <v>37.352</v>
      </c>
      <c r="W1387" s="18" t="n">
        <f aca="false">MAX(0,$T1387-$V1387)</f>
        <v>0</v>
      </c>
      <c r="X1387" s="19" t="n">
        <f aca="false">IFERROR(INDEX(CADASTRO_PIVOS!$K$6:$K$41,MATCH($E1387,CADASTRO_PIVOS!$B$6:$B$41,0)),EFICIENCIA_PADRAO)</f>
        <v>0.85</v>
      </c>
      <c r="Y1387" s="18" t="n">
        <f aca="false">IF($X1387&lt;=0,0,$W1387/$X1387)</f>
        <v>0</v>
      </c>
      <c r="Z1387" s="16" t="n">
        <f aca="false">$Y1387*$H1387*MM_PARA_M3_HA</f>
        <v>0</v>
      </c>
      <c r="AA1387" s="18" t="n">
        <f aca="false">IFERROR(INDEX(CADASTRO_PIVOS!$I$6:$I$41,MATCH($E1387,CADASTRO_PIVOS!$B$6:$B$41,0)),0)</f>
        <v>932.933333333333</v>
      </c>
      <c r="AB1387" s="18" t="n">
        <f aca="false">IF($Z1387&lt;=0,0,$Z1387/$AA1387)</f>
        <v>0</v>
      </c>
      <c r="AC1387" s="16" t="n">
        <f aca="false">IFERROR(INDEX(SEMANAS!$K$6:$K$71,MATCH($B1387,SEMANAS!$B$6:$B$71,0)),0)</f>
        <v>147</v>
      </c>
      <c r="AD1387" s="19" t="n">
        <f aca="false">IF($AC1387&lt;=0,0,$AB1387/$AC1387)</f>
        <v>0</v>
      </c>
      <c r="AE1387" s="8" t="str">
        <f aca="false">IF($K1387="SEM CULTURA","SEM CULTURA",IF($AA1387&lt;=0,"DADO PENDENTE",IF($AD1387&gt;LIMITE_CRITICO,"INVIAVEL",IF($AD1387&gt;LIMITE_ATENCAO,"CRITICO",IF($AD1387&gt;LIMITE_CONFORTAVEL,"ATENCAO","OK")))))</f>
        <v>SEM CULTURA</v>
      </c>
      <c r="AF1387" s="8" t="str">
        <f aca="false">$B1387&amp;"|"&amp;TEXT($AD1387,"0.000000")</f>
        <v>62|0.000000</v>
      </c>
      <c r="AG1387" s="18" t="n">
        <f aca="false">IF($K1387="SEM CULTURA",0,$T1387*$H1387)</f>
        <v>0</v>
      </c>
      <c r="AH1387" s="18" t="n">
        <f aca="false">IF($K1387="SEM CULTURA",0,$V1387*$H1387)</f>
        <v>0</v>
      </c>
      <c r="AI1387" s="18" t="n">
        <f aca="false">IF($K1387="SEM CULTURA",0,$W1387*$H1387)</f>
        <v>0</v>
      </c>
      <c r="AJ1387" s="18" t="n">
        <f aca="false">IF($K1387="SEM CULTURA",0,$S1387*$H1387)</f>
        <v>0</v>
      </c>
      <c r="AK1387" s="8" t="str">
        <f aca="false">$E1387&amp;"|"&amp;TEXT($AD1387,"0.000000")</f>
        <v>PV 128|0.000000</v>
      </c>
    </row>
    <row r="1388" customFormat="false" ht="15" hidden="false" customHeight="false" outlineLevel="0" collapsed="false">
      <c r="B1388" s="16" t="n">
        <v>63</v>
      </c>
      <c r="C1388" s="17" t="n">
        <f aca="false">DATA_INICIO_SAFRA+($B1388-1)*DIAS_POR_SEMANA</f>
        <v>46699</v>
      </c>
      <c r="D1388" s="17" t="n">
        <f aca="false">$C1388+DIAS_POR_SEMANA-1</f>
        <v>46705</v>
      </c>
      <c r="E1388" s="15" t="s">
        <v>279</v>
      </c>
      <c r="F1388" s="8" t="str">
        <f aca="false">IFERROR(INDEX(CADASTRO_PIVOS!$C$6:$C$41,MATCH($E1388,CADASTRO_PIVOS!$B$6:$B$41,0)),"?")</f>
        <v>RM06</v>
      </c>
      <c r="G1388" s="8" t="str">
        <f aca="false">IFERROR(INDEX(CADASTRO_PIVOS!$D$6:$D$41,MATCH($E1388,CADASTRO_PIVOS!$B$6:$B$41,0)),"?")</f>
        <v>TR06</v>
      </c>
      <c r="H1388" s="20" t="n">
        <f aca="false">IFERROR(INDEX(CADASTRO_PIVOS!$E$6:$E$41,MATCH($E1388,CADASTRO_PIVOS!$B$6:$B$41,0)),0)</f>
        <v>139.94</v>
      </c>
      <c r="I1388" s="16" t="n">
        <f aca="false">IFERROR(SUMIFS(ROTACAO_RDM!$B$6:$B$71,ROTACAO_RDM!$D$6:$D$71,$E1388,ROTACAO_RDM!$I$6:$I$71,"&lt;="&amp;$C1388+INT(DIAS_POR_SEMANA/2),ROTACAO_RDM!$J$6:$J$71,"&gt;="&amp;$C1388+INT(DIAS_POR_SEMANA/2)),0)</f>
        <v>0</v>
      </c>
      <c r="J1388" s="16" t="n">
        <f aca="false">IFERROR(MATCH($I1388,ROTACAO_RDM!$B$6:$B$71,0),0)</f>
        <v>0</v>
      </c>
      <c r="K1388" s="8" t="str">
        <f aca="false">IF($J1388=0,"SEM CULTURA",INDEX(ROTACAO_RDM!$F$6:$F$71,$J1388))</f>
        <v>SEM CULTURA</v>
      </c>
      <c r="L1388" s="8" t="str">
        <f aca="false">IF($J1388=0,"",INDEX(ROTACAO_RDM!$G$6:$G$71,$J1388))</f>
        <v/>
      </c>
      <c r="M1388" s="17" t="str">
        <f aca="false">IF($J1388=0,"",INDEX(ROTACAO_RDM!$I$6:$I$71,$J1388))</f>
        <v/>
      </c>
      <c r="N1388" s="16" t="n">
        <f aca="false">IF($J1388=0,0,MAX(0,$C1388+INT(DIAS_POR_SEMANA/2)-INDEX(ROTACAO_RDM!$I$6:$I$71,$J1388)))</f>
        <v>0</v>
      </c>
      <c r="O1388" s="19" t="n">
        <f aca="false">IF($J1388=0,0,MIN(1,$N1388/MAX(1,INDEX(ROTACAO_RDM!$K$6:$K$71,$J1388))))</f>
        <v>0</v>
      </c>
      <c r="P1388" s="16" t="n">
        <f aca="false">IF($J1388=0,0,IFERROR(MATCH(INDEX(ROTACAO_RDM!$N$6:$N$71,$J1388),PARAMETROS_CULTURAS!$B$6:$B$28,0),0))</f>
        <v>0</v>
      </c>
      <c r="Q1388" s="8" t="str">
        <f aca="false">IF($P1388=0,"-",IF($O1388&lt;=INDEX(PARAMETROS_CULTURAS!$F$6:$F$28,$P1388),"INICIAL",IF($O1388&lt;=INDEX(PARAMETROS_CULTURAS!$F$6:$F$28,$P1388)+INDEX(PARAMETROS_CULTURAS!$G$6:$G$28,$P1388),"DESENVOLVIMENTO",IF($O1388&lt;=INDEX(PARAMETROS_CULTURAS!$F$6:$F$28,$P1388)+INDEX(PARAMETROS_CULTURAS!$G$6:$G$28,$P1388)+INDEX(PARAMETROS_CULTURAS!$H$6:$H$28,$P1388),"MEDIA","FINAL"))))</f>
        <v>-</v>
      </c>
      <c r="R1388" s="24" t="n">
        <f aca="false">IF($P1388=0,0,IF($O1388&lt;=INDEX(PARAMETROS_CULTURAS!$F$6:$F$28,$P1388),INDEX(PARAMETROS_CULTURAS!$K$6:$K$28,$P1388),IF($O1388&lt;=INDEX(PARAMETROS_CULTURAS!$F$6:$F$28,$P1388)+INDEX(PARAMETROS_CULTURAS!$G$6:$G$28,$P1388),INDEX(PARAMETROS_CULTURAS!$K$6:$K$28,$P1388)+(INDEX(PARAMETROS_CULTURAS!$L$6:$L$28,$P1388)-INDEX(PARAMETROS_CULTURAS!$K$6:$K$28,$P1388))*($O1388-INDEX(PARAMETROS_CULTURAS!$F$6:$F$28,$P1388))/MAX(INDEX(PARAMETROS_CULTURAS!$G$6:$G$28,$P1388),0.0001),IF($O1388&lt;=INDEX(PARAMETROS_CULTURAS!$F$6:$F$28,$P1388)+INDEX(PARAMETROS_CULTURAS!$G$6:$G$28,$P1388)+INDEX(PARAMETROS_CULTURAS!$H$6:$H$28,$P1388),INDEX(PARAMETROS_CULTURAS!$L$6:$L$28,$P1388),INDEX(PARAMETROS_CULTURAS!$L$6:$L$28,$P1388)+(INDEX(PARAMETROS_CULTURAS!$M$6:$M$28,$P1388)-INDEX(PARAMETROS_CULTURAS!$L$6:$L$28,$P1388))*($O1388-INDEX(PARAMETROS_CULTURAS!$F$6:$F$28,$P1388)-INDEX(PARAMETROS_CULTURAS!$G$6:$G$28,$P1388)-INDEX(PARAMETROS_CULTURAS!$H$6:$H$28,$P1388))/MAX(INDEX(PARAMETROS_CULTURAS!$I$6:$I$28,$P1388),0.0001)))))</f>
        <v>0</v>
      </c>
      <c r="S1388" s="18" t="n">
        <f aca="false">IFERROR(INDEX(SEMANAS!$H$6:$H$71,MATCH($B1388,SEMANAS!$B$6:$B$71,0)),0)</f>
        <v>34.3</v>
      </c>
      <c r="T1388" s="18" t="n">
        <f aca="false">$R1388*$S1388</f>
        <v>0</v>
      </c>
      <c r="U1388" s="18" t="n">
        <f aca="false">IFERROR(INDEX(SEMANAS!$I$6:$I$71,MATCH($B1388,SEMANAS!$B$6:$B$71,0)),0)</f>
        <v>46.69</v>
      </c>
      <c r="V1388" s="18" t="n">
        <f aca="false">IFERROR(INDEX(SEMANAS!$J$6:$J$71,MATCH($B1388,SEMANAS!$B$6:$B$71,0)),0)</f>
        <v>37.352</v>
      </c>
      <c r="W1388" s="18" t="n">
        <f aca="false">MAX(0,$T1388-$V1388)</f>
        <v>0</v>
      </c>
      <c r="X1388" s="19" t="n">
        <f aca="false">IFERROR(INDEX(CADASTRO_PIVOS!$K$6:$K$41,MATCH($E1388,CADASTRO_PIVOS!$B$6:$B$41,0)),EFICIENCIA_PADRAO)</f>
        <v>0.85</v>
      </c>
      <c r="Y1388" s="18" t="n">
        <f aca="false">IF($X1388&lt;=0,0,$W1388/$X1388)</f>
        <v>0</v>
      </c>
      <c r="Z1388" s="16" t="n">
        <f aca="false">$Y1388*$H1388*MM_PARA_M3_HA</f>
        <v>0</v>
      </c>
      <c r="AA1388" s="18" t="n">
        <f aca="false">IFERROR(INDEX(CADASTRO_PIVOS!$I$6:$I$41,MATCH($E1388,CADASTRO_PIVOS!$B$6:$B$41,0)),0)</f>
        <v>932.933333333333</v>
      </c>
      <c r="AB1388" s="18" t="n">
        <f aca="false">IF($Z1388&lt;=0,0,$Z1388/$AA1388)</f>
        <v>0</v>
      </c>
      <c r="AC1388" s="16" t="n">
        <f aca="false">IFERROR(INDEX(SEMANAS!$K$6:$K$71,MATCH($B1388,SEMANAS!$B$6:$B$71,0)),0)</f>
        <v>147</v>
      </c>
      <c r="AD1388" s="19" t="n">
        <f aca="false">IF($AC1388&lt;=0,0,$AB1388/$AC1388)</f>
        <v>0</v>
      </c>
      <c r="AE1388" s="8" t="str">
        <f aca="false">IF($K1388="SEM CULTURA","SEM CULTURA",IF($AA1388&lt;=0,"DADO PENDENTE",IF($AD1388&gt;LIMITE_CRITICO,"INVIAVEL",IF($AD1388&gt;LIMITE_ATENCAO,"CRITICO",IF($AD1388&gt;LIMITE_CONFORTAVEL,"ATENCAO","OK")))))</f>
        <v>SEM CULTURA</v>
      </c>
      <c r="AF1388" s="8" t="str">
        <f aca="false">$B1388&amp;"|"&amp;TEXT($AD1388,"0.000000")</f>
        <v>63|0.000000</v>
      </c>
      <c r="AG1388" s="18" t="n">
        <f aca="false">IF($K1388="SEM CULTURA",0,$T1388*$H1388)</f>
        <v>0</v>
      </c>
      <c r="AH1388" s="18" t="n">
        <f aca="false">IF($K1388="SEM CULTURA",0,$V1388*$H1388)</f>
        <v>0</v>
      </c>
      <c r="AI1388" s="18" t="n">
        <f aca="false">IF($K1388="SEM CULTURA",0,$W1388*$H1388)</f>
        <v>0</v>
      </c>
      <c r="AJ1388" s="18" t="n">
        <f aca="false">IF($K1388="SEM CULTURA",0,$S1388*$H1388)</f>
        <v>0</v>
      </c>
      <c r="AK1388" s="8" t="str">
        <f aca="false">$E1388&amp;"|"&amp;TEXT($AD1388,"0.000000")</f>
        <v>PV 128|0.000000</v>
      </c>
    </row>
    <row r="1389" customFormat="false" ht="15" hidden="false" customHeight="false" outlineLevel="0" collapsed="false">
      <c r="B1389" s="16" t="n">
        <v>64</v>
      </c>
      <c r="C1389" s="17" t="n">
        <f aca="false">DATA_INICIO_SAFRA+($B1389-1)*DIAS_POR_SEMANA</f>
        <v>46706</v>
      </c>
      <c r="D1389" s="17" t="n">
        <f aca="false">$C1389+DIAS_POR_SEMANA-1</f>
        <v>46712</v>
      </c>
      <c r="E1389" s="15" t="s">
        <v>279</v>
      </c>
      <c r="F1389" s="8" t="str">
        <f aca="false">IFERROR(INDEX(CADASTRO_PIVOS!$C$6:$C$41,MATCH($E1389,CADASTRO_PIVOS!$B$6:$B$41,0)),"?")</f>
        <v>RM06</v>
      </c>
      <c r="G1389" s="8" t="str">
        <f aca="false">IFERROR(INDEX(CADASTRO_PIVOS!$D$6:$D$41,MATCH($E1389,CADASTRO_PIVOS!$B$6:$B$41,0)),"?")</f>
        <v>TR06</v>
      </c>
      <c r="H1389" s="20" t="n">
        <f aca="false">IFERROR(INDEX(CADASTRO_PIVOS!$E$6:$E$41,MATCH($E1389,CADASTRO_PIVOS!$B$6:$B$41,0)),0)</f>
        <v>139.94</v>
      </c>
      <c r="I1389" s="16" t="n">
        <f aca="false">IFERROR(SUMIFS(ROTACAO_RDM!$B$6:$B$71,ROTACAO_RDM!$D$6:$D$71,$E1389,ROTACAO_RDM!$I$6:$I$71,"&lt;="&amp;$C1389+INT(DIAS_POR_SEMANA/2),ROTACAO_RDM!$J$6:$J$71,"&gt;="&amp;$C1389+INT(DIAS_POR_SEMANA/2)),0)</f>
        <v>0</v>
      </c>
      <c r="J1389" s="16" t="n">
        <f aca="false">IFERROR(MATCH($I1389,ROTACAO_RDM!$B$6:$B$71,0),0)</f>
        <v>0</v>
      </c>
      <c r="K1389" s="8" t="str">
        <f aca="false">IF($J1389=0,"SEM CULTURA",INDEX(ROTACAO_RDM!$F$6:$F$71,$J1389))</f>
        <v>SEM CULTURA</v>
      </c>
      <c r="L1389" s="8" t="str">
        <f aca="false">IF($J1389=0,"",INDEX(ROTACAO_RDM!$G$6:$G$71,$J1389))</f>
        <v/>
      </c>
      <c r="M1389" s="17" t="str">
        <f aca="false">IF($J1389=0,"",INDEX(ROTACAO_RDM!$I$6:$I$71,$J1389))</f>
        <v/>
      </c>
      <c r="N1389" s="16" t="n">
        <f aca="false">IF($J1389=0,0,MAX(0,$C1389+INT(DIAS_POR_SEMANA/2)-INDEX(ROTACAO_RDM!$I$6:$I$71,$J1389)))</f>
        <v>0</v>
      </c>
      <c r="O1389" s="19" t="n">
        <f aca="false">IF($J1389=0,0,MIN(1,$N1389/MAX(1,INDEX(ROTACAO_RDM!$K$6:$K$71,$J1389))))</f>
        <v>0</v>
      </c>
      <c r="P1389" s="16" t="n">
        <f aca="false">IF($J1389=0,0,IFERROR(MATCH(INDEX(ROTACAO_RDM!$N$6:$N$71,$J1389),PARAMETROS_CULTURAS!$B$6:$B$28,0),0))</f>
        <v>0</v>
      </c>
      <c r="Q1389" s="8" t="str">
        <f aca="false">IF($P1389=0,"-",IF($O1389&lt;=INDEX(PARAMETROS_CULTURAS!$F$6:$F$28,$P1389),"INICIAL",IF($O1389&lt;=INDEX(PARAMETROS_CULTURAS!$F$6:$F$28,$P1389)+INDEX(PARAMETROS_CULTURAS!$G$6:$G$28,$P1389),"DESENVOLVIMENTO",IF($O1389&lt;=INDEX(PARAMETROS_CULTURAS!$F$6:$F$28,$P1389)+INDEX(PARAMETROS_CULTURAS!$G$6:$G$28,$P1389)+INDEX(PARAMETROS_CULTURAS!$H$6:$H$28,$P1389),"MEDIA","FINAL"))))</f>
        <v>-</v>
      </c>
      <c r="R1389" s="24" t="n">
        <f aca="false">IF($P1389=0,0,IF($O1389&lt;=INDEX(PARAMETROS_CULTURAS!$F$6:$F$28,$P1389),INDEX(PARAMETROS_CULTURAS!$K$6:$K$28,$P1389),IF($O1389&lt;=INDEX(PARAMETROS_CULTURAS!$F$6:$F$28,$P1389)+INDEX(PARAMETROS_CULTURAS!$G$6:$G$28,$P1389),INDEX(PARAMETROS_CULTURAS!$K$6:$K$28,$P1389)+(INDEX(PARAMETROS_CULTURAS!$L$6:$L$28,$P1389)-INDEX(PARAMETROS_CULTURAS!$K$6:$K$28,$P1389))*($O1389-INDEX(PARAMETROS_CULTURAS!$F$6:$F$28,$P1389))/MAX(INDEX(PARAMETROS_CULTURAS!$G$6:$G$28,$P1389),0.0001),IF($O1389&lt;=INDEX(PARAMETROS_CULTURAS!$F$6:$F$28,$P1389)+INDEX(PARAMETROS_CULTURAS!$G$6:$G$28,$P1389)+INDEX(PARAMETROS_CULTURAS!$H$6:$H$28,$P1389),INDEX(PARAMETROS_CULTURAS!$L$6:$L$28,$P1389),INDEX(PARAMETROS_CULTURAS!$L$6:$L$28,$P1389)+(INDEX(PARAMETROS_CULTURAS!$M$6:$M$28,$P1389)-INDEX(PARAMETROS_CULTURAS!$L$6:$L$28,$P1389))*($O1389-INDEX(PARAMETROS_CULTURAS!$F$6:$F$28,$P1389)-INDEX(PARAMETROS_CULTURAS!$G$6:$G$28,$P1389)-INDEX(PARAMETROS_CULTURAS!$H$6:$H$28,$P1389))/MAX(INDEX(PARAMETROS_CULTURAS!$I$6:$I$28,$P1389),0.0001)))))</f>
        <v>0</v>
      </c>
      <c r="S1389" s="18" t="n">
        <f aca="false">IFERROR(INDEX(SEMANAS!$H$6:$H$71,MATCH($B1389,SEMANAS!$B$6:$B$71,0)),0)</f>
        <v>34.3</v>
      </c>
      <c r="T1389" s="18" t="n">
        <f aca="false">$R1389*$S1389</f>
        <v>0</v>
      </c>
      <c r="U1389" s="18" t="n">
        <f aca="false">IFERROR(INDEX(SEMANAS!$I$6:$I$71,MATCH($B1389,SEMANAS!$B$6:$B$71,0)),0)</f>
        <v>46.69</v>
      </c>
      <c r="V1389" s="18" t="n">
        <f aca="false">IFERROR(INDEX(SEMANAS!$J$6:$J$71,MATCH($B1389,SEMANAS!$B$6:$B$71,0)),0)</f>
        <v>37.352</v>
      </c>
      <c r="W1389" s="18" t="n">
        <f aca="false">MAX(0,$T1389-$V1389)</f>
        <v>0</v>
      </c>
      <c r="X1389" s="19" t="n">
        <f aca="false">IFERROR(INDEX(CADASTRO_PIVOS!$K$6:$K$41,MATCH($E1389,CADASTRO_PIVOS!$B$6:$B$41,0)),EFICIENCIA_PADRAO)</f>
        <v>0.85</v>
      </c>
      <c r="Y1389" s="18" t="n">
        <f aca="false">IF($X1389&lt;=0,0,$W1389/$X1389)</f>
        <v>0</v>
      </c>
      <c r="Z1389" s="16" t="n">
        <f aca="false">$Y1389*$H1389*MM_PARA_M3_HA</f>
        <v>0</v>
      </c>
      <c r="AA1389" s="18" t="n">
        <f aca="false">IFERROR(INDEX(CADASTRO_PIVOS!$I$6:$I$41,MATCH($E1389,CADASTRO_PIVOS!$B$6:$B$41,0)),0)</f>
        <v>932.933333333333</v>
      </c>
      <c r="AB1389" s="18" t="n">
        <f aca="false">IF($Z1389&lt;=0,0,$Z1389/$AA1389)</f>
        <v>0</v>
      </c>
      <c r="AC1389" s="16" t="n">
        <f aca="false">IFERROR(INDEX(SEMANAS!$K$6:$K$71,MATCH($B1389,SEMANAS!$B$6:$B$71,0)),0)</f>
        <v>147</v>
      </c>
      <c r="AD1389" s="19" t="n">
        <f aca="false">IF($AC1389&lt;=0,0,$AB1389/$AC1389)</f>
        <v>0</v>
      </c>
      <c r="AE1389" s="8" t="str">
        <f aca="false">IF($K1389="SEM CULTURA","SEM CULTURA",IF($AA1389&lt;=0,"DADO PENDENTE",IF($AD1389&gt;LIMITE_CRITICO,"INVIAVEL",IF($AD1389&gt;LIMITE_ATENCAO,"CRITICO",IF($AD1389&gt;LIMITE_CONFORTAVEL,"ATENCAO","OK")))))</f>
        <v>SEM CULTURA</v>
      </c>
      <c r="AF1389" s="8" t="str">
        <f aca="false">$B1389&amp;"|"&amp;TEXT($AD1389,"0.000000")</f>
        <v>64|0.000000</v>
      </c>
      <c r="AG1389" s="18" t="n">
        <f aca="false">IF($K1389="SEM CULTURA",0,$T1389*$H1389)</f>
        <v>0</v>
      </c>
      <c r="AH1389" s="18" t="n">
        <f aca="false">IF($K1389="SEM CULTURA",0,$V1389*$H1389)</f>
        <v>0</v>
      </c>
      <c r="AI1389" s="18" t="n">
        <f aca="false">IF($K1389="SEM CULTURA",0,$W1389*$H1389)</f>
        <v>0</v>
      </c>
      <c r="AJ1389" s="18" t="n">
        <f aca="false">IF($K1389="SEM CULTURA",0,$S1389*$H1389)</f>
        <v>0</v>
      </c>
      <c r="AK1389" s="8" t="str">
        <f aca="false">$E1389&amp;"|"&amp;TEXT($AD1389,"0.000000")</f>
        <v>PV 128|0.000000</v>
      </c>
    </row>
    <row r="1390" customFormat="false" ht="15" hidden="false" customHeight="false" outlineLevel="0" collapsed="false">
      <c r="B1390" s="16" t="n">
        <v>65</v>
      </c>
      <c r="C1390" s="17" t="n">
        <f aca="false">DATA_INICIO_SAFRA+($B1390-1)*DIAS_POR_SEMANA</f>
        <v>46713</v>
      </c>
      <c r="D1390" s="17" t="n">
        <f aca="false">$C1390+DIAS_POR_SEMANA-1</f>
        <v>46719</v>
      </c>
      <c r="E1390" s="15" t="s">
        <v>279</v>
      </c>
      <c r="F1390" s="8" t="str">
        <f aca="false">IFERROR(INDEX(CADASTRO_PIVOS!$C$6:$C$41,MATCH($E1390,CADASTRO_PIVOS!$B$6:$B$41,0)),"?")</f>
        <v>RM06</v>
      </c>
      <c r="G1390" s="8" t="str">
        <f aca="false">IFERROR(INDEX(CADASTRO_PIVOS!$D$6:$D$41,MATCH($E1390,CADASTRO_PIVOS!$B$6:$B$41,0)),"?")</f>
        <v>TR06</v>
      </c>
      <c r="H1390" s="20" t="n">
        <f aca="false">IFERROR(INDEX(CADASTRO_PIVOS!$E$6:$E$41,MATCH($E1390,CADASTRO_PIVOS!$B$6:$B$41,0)),0)</f>
        <v>139.94</v>
      </c>
      <c r="I1390" s="16" t="n">
        <f aca="false">IFERROR(SUMIFS(ROTACAO_RDM!$B$6:$B$71,ROTACAO_RDM!$D$6:$D$71,$E1390,ROTACAO_RDM!$I$6:$I$71,"&lt;="&amp;$C1390+INT(DIAS_POR_SEMANA/2),ROTACAO_RDM!$J$6:$J$71,"&gt;="&amp;$C1390+INT(DIAS_POR_SEMANA/2)),0)</f>
        <v>0</v>
      </c>
      <c r="J1390" s="16" t="n">
        <f aca="false">IFERROR(MATCH($I1390,ROTACAO_RDM!$B$6:$B$71,0),0)</f>
        <v>0</v>
      </c>
      <c r="K1390" s="8" t="str">
        <f aca="false">IF($J1390=0,"SEM CULTURA",INDEX(ROTACAO_RDM!$F$6:$F$71,$J1390))</f>
        <v>SEM CULTURA</v>
      </c>
      <c r="L1390" s="8" t="str">
        <f aca="false">IF($J1390=0,"",INDEX(ROTACAO_RDM!$G$6:$G$71,$J1390))</f>
        <v/>
      </c>
      <c r="M1390" s="17" t="str">
        <f aca="false">IF($J1390=0,"",INDEX(ROTACAO_RDM!$I$6:$I$71,$J1390))</f>
        <v/>
      </c>
      <c r="N1390" s="16" t="n">
        <f aca="false">IF($J1390=0,0,MAX(0,$C1390+INT(DIAS_POR_SEMANA/2)-INDEX(ROTACAO_RDM!$I$6:$I$71,$J1390)))</f>
        <v>0</v>
      </c>
      <c r="O1390" s="19" t="n">
        <f aca="false">IF($J1390=0,0,MIN(1,$N1390/MAX(1,INDEX(ROTACAO_RDM!$K$6:$K$71,$J1390))))</f>
        <v>0</v>
      </c>
      <c r="P1390" s="16" t="n">
        <f aca="false">IF($J1390=0,0,IFERROR(MATCH(INDEX(ROTACAO_RDM!$N$6:$N$71,$J1390),PARAMETROS_CULTURAS!$B$6:$B$28,0),0))</f>
        <v>0</v>
      </c>
      <c r="Q1390" s="8" t="str">
        <f aca="false">IF($P1390=0,"-",IF($O1390&lt;=INDEX(PARAMETROS_CULTURAS!$F$6:$F$28,$P1390),"INICIAL",IF($O1390&lt;=INDEX(PARAMETROS_CULTURAS!$F$6:$F$28,$P1390)+INDEX(PARAMETROS_CULTURAS!$G$6:$G$28,$P1390),"DESENVOLVIMENTO",IF($O1390&lt;=INDEX(PARAMETROS_CULTURAS!$F$6:$F$28,$P1390)+INDEX(PARAMETROS_CULTURAS!$G$6:$G$28,$P1390)+INDEX(PARAMETROS_CULTURAS!$H$6:$H$28,$P1390),"MEDIA","FINAL"))))</f>
        <v>-</v>
      </c>
      <c r="R1390" s="24" t="n">
        <f aca="false">IF($P1390=0,0,IF($O1390&lt;=INDEX(PARAMETROS_CULTURAS!$F$6:$F$28,$P1390),INDEX(PARAMETROS_CULTURAS!$K$6:$K$28,$P1390),IF($O1390&lt;=INDEX(PARAMETROS_CULTURAS!$F$6:$F$28,$P1390)+INDEX(PARAMETROS_CULTURAS!$G$6:$G$28,$P1390),INDEX(PARAMETROS_CULTURAS!$K$6:$K$28,$P1390)+(INDEX(PARAMETROS_CULTURAS!$L$6:$L$28,$P1390)-INDEX(PARAMETROS_CULTURAS!$K$6:$K$28,$P1390))*($O1390-INDEX(PARAMETROS_CULTURAS!$F$6:$F$28,$P1390))/MAX(INDEX(PARAMETROS_CULTURAS!$G$6:$G$28,$P1390),0.0001),IF($O1390&lt;=INDEX(PARAMETROS_CULTURAS!$F$6:$F$28,$P1390)+INDEX(PARAMETROS_CULTURAS!$G$6:$G$28,$P1390)+INDEX(PARAMETROS_CULTURAS!$H$6:$H$28,$P1390),INDEX(PARAMETROS_CULTURAS!$L$6:$L$28,$P1390),INDEX(PARAMETROS_CULTURAS!$L$6:$L$28,$P1390)+(INDEX(PARAMETROS_CULTURAS!$M$6:$M$28,$P1390)-INDEX(PARAMETROS_CULTURAS!$L$6:$L$28,$P1390))*($O1390-INDEX(PARAMETROS_CULTURAS!$F$6:$F$28,$P1390)-INDEX(PARAMETROS_CULTURAS!$G$6:$G$28,$P1390)-INDEX(PARAMETROS_CULTURAS!$H$6:$H$28,$P1390))/MAX(INDEX(PARAMETROS_CULTURAS!$I$6:$I$28,$P1390),0.0001)))))</f>
        <v>0</v>
      </c>
      <c r="S1390" s="18" t="n">
        <f aca="false">IFERROR(INDEX(SEMANAS!$H$6:$H$71,MATCH($B1390,SEMANAS!$B$6:$B$71,0)),0)</f>
        <v>34.3</v>
      </c>
      <c r="T1390" s="18" t="n">
        <f aca="false">$R1390*$S1390</f>
        <v>0</v>
      </c>
      <c r="U1390" s="18" t="n">
        <f aca="false">IFERROR(INDEX(SEMANAS!$I$6:$I$71,MATCH($B1390,SEMANAS!$B$6:$B$71,0)),0)</f>
        <v>46.69</v>
      </c>
      <c r="V1390" s="18" t="n">
        <f aca="false">IFERROR(INDEX(SEMANAS!$J$6:$J$71,MATCH($B1390,SEMANAS!$B$6:$B$71,0)),0)</f>
        <v>37.352</v>
      </c>
      <c r="W1390" s="18" t="n">
        <f aca="false">MAX(0,$T1390-$V1390)</f>
        <v>0</v>
      </c>
      <c r="X1390" s="19" t="n">
        <f aca="false">IFERROR(INDEX(CADASTRO_PIVOS!$K$6:$K$41,MATCH($E1390,CADASTRO_PIVOS!$B$6:$B$41,0)),EFICIENCIA_PADRAO)</f>
        <v>0.85</v>
      </c>
      <c r="Y1390" s="18" t="n">
        <f aca="false">IF($X1390&lt;=0,0,$W1390/$X1390)</f>
        <v>0</v>
      </c>
      <c r="Z1390" s="16" t="n">
        <f aca="false">$Y1390*$H1390*MM_PARA_M3_HA</f>
        <v>0</v>
      </c>
      <c r="AA1390" s="18" t="n">
        <f aca="false">IFERROR(INDEX(CADASTRO_PIVOS!$I$6:$I$41,MATCH($E1390,CADASTRO_PIVOS!$B$6:$B$41,0)),0)</f>
        <v>932.933333333333</v>
      </c>
      <c r="AB1390" s="18" t="n">
        <f aca="false">IF($Z1390&lt;=0,0,$Z1390/$AA1390)</f>
        <v>0</v>
      </c>
      <c r="AC1390" s="16" t="n">
        <f aca="false">IFERROR(INDEX(SEMANAS!$K$6:$K$71,MATCH($B1390,SEMANAS!$B$6:$B$71,0)),0)</f>
        <v>147</v>
      </c>
      <c r="AD1390" s="19" t="n">
        <f aca="false">IF($AC1390&lt;=0,0,$AB1390/$AC1390)</f>
        <v>0</v>
      </c>
      <c r="AE1390" s="8" t="str">
        <f aca="false">IF($K1390="SEM CULTURA","SEM CULTURA",IF($AA1390&lt;=0,"DADO PENDENTE",IF($AD1390&gt;LIMITE_CRITICO,"INVIAVEL",IF($AD1390&gt;LIMITE_ATENCAO,"CRITICO",IF($AD1390&gt;LIMITE_CONFORTAVEL,"ATENCAO","OK")))))</f>
        <v>SEM CULTURA</v>
      </c>
      <c r="AF1390" s="8" t="str">
        <f aca="false">$B1390&amp;"|"&amp;TEXT($AD1390,"0.000000")</f>
        <v>65|0.000000</v>
      </c>
      <c r="AG1390" s="18" t="n">
        <f aca="false">IF($K1390="SEM CULTURA",0,$T1390*$H1390)</f>
        <v>0</v>
      </c>
      <c r="AH1390" s="18" t="n">
        <f aca="false">IF($K1390="SEM CULTURA",0,$V1390*$H1390)</f>
        <v>0</v>
      </c>
      <c r="AI1390" s="18" t="n">
        <f aca="false">IF($K1390="SEM CULTURA",0,$W1390*$H1390)</f>
        <v>0</v>
      </c>
      <c r="AJ1390" s="18" t="n">
        <f aca="false">IF($K1390="SEM CULTURA",0,$S1390*$H1390)</f>
        <v>0</v>
      </c>
      <c r="AK1390" s="8" t="str">
        <f aca="false">$E1390&amp;"|"&amp;TEXT($AD1390,"0.000000")</f>
        <v>PV 128|0.000000</v>
      </c>
    </row>
    <row r="1391" customFormat="false" ht="15" hidden="false" customHeight="false" outlineLevel="0" collapsed="false">
      <c r="B1391" s="16" t="n">
        <v>66</v>
      </c>
      <c r="C1391" s="17" t="n">
        <f aca="false">DATA_INICIO_SAFRA+($B1391-1)*DIAS_POR_SEMANA</f>
        <v>46720</v>
      </c>
      <c r="D1391" s="17" t="n">
        <f aca="false">$C1391+DIAS_POR_SEMANA-1</f>
        <v>46726</v>
      </c>
      <c r="E1391" s="15" t="s">
        <v>279</v>
      </c>
      <c r="F1391" s="8" t="str">
        <f aca="false">IFERROR(INDEX(CADASTRO_PIVOS!$C$6:$C$41,MATCH($E1391,CADASTRO_PIVOS!$B$6:$B$41,0)),"?")</f>
        <v>RM06</v>
      </c>
      <c r="G1391" s="8" t="str">
        <f aca="false">IFERROR(INDEX(CADASTRO_PIVOS!$D$6:$D$41,MATCH($E1391,CADASTRO_PIVOS!$B$6:$B$41,0)),"?")</f>
        <v>TR06</v>
      </c>
      <c r="H1391" s="20" t="n">
        <f aca="false">IFERROR(INDEX(CADASTRO_PIVOS!$E$6:$E$41,MATCH($E1391,CADASTRO_PIVOS!$B$6:$B$41,0)),0)</f>
        <v>139.94</v>
      </c>
      <c r="I1391" s="16" t="n">
        <f aca="false">IFERROR(SUMIFS(ROTACAO_RDM!$B$6:$B$71,ROTACAO_RDM!$D$6:$D$71,$E1391,ROTACAO_RDM!$I$6:$I$71,"&lt;="&amp;$C1391+INT(DIAS_POR_SEMANA/2),ROTACAO_RDM!$J$6:$J$71,"&gt;="&amp;$C1391+INT(DIAS_POR_SEMANA/2)),0)</f>
        <v>0</v>
      </c>
      <c r="J1391" s="16" t="n">
        <f aca="false">IFERROR(MATCH($I1391,ROTACAO_RDM!$B$6:$B$71,0),0)</f>
        <v>0</v>
      </c>
      <c r="K1391" s="8" t="str">
        <f aca="false">IF($J1391=0,"SEM CULTURA",INDEX(ROTACAO_RDM!$F$6:$F$71,$J1391))</f>
        <v>SEM CULTURA</v>
      </c>
      <c r="L1391" s="8" t="str">
        <f aca="false">IF($J1391=0,"",INDEX(ROTACAO_RDM!$G$6:$G$71,$J1391))</f>
        <v/>
      </c>
      <c r="M1391" s="17" t="str">
        <f aca="false">IF($J1391=0,"",INDEX(ROTACAO_RDM!$I$6:$I$71,$J1391))</f>
        <v/>
      </c>
      <c r="N1391" s="16" t="n">
        <f aca="false">IF($J1391=0,0,MAX(0,$C1391+INT(DIAS_POR_SEMANA/2)-INDEX(ROTACAO_RDM!$I$6:$I$71,$J1391)))</f>
        <v>0</v>
      </c>
      <c r="O1391" s="19" t="n">
        <f aca="false">IF($J1391=0,0,MIN(1,$N1391/MAX(1,INDEX(ROTACAO_RDM!$K$6:$K$71,$J1391))))</f>
        <v>0</v>
      </c>
      <c r="P1391" s="16" t="n">
        <f aca="false">IF($J1391=0,0,IFERROR(MATCH(INDEX(ROTACAO_RDM!$N$6:$N$71,$J1391),PARAMETROS_CULTURAS!$B$6:$B$28,0),0))</f>
        <v>0</v>
      </c>
      <c r="Q1391" s="8" t="str">
        <f aca="false">IF($P1391=0,"-",IF($O1391&lt;=INDEX(PARAMETROS_CULTURAS!$F$6:$F$28,$P1391),"INICIAL",IF($O1391&lt;=INDEX(PARAMETROS_CULTURAS!$F$6:$F$28,$P1391)+INDEX(PARAMETROS_CULTURAS!$G$6:$G$28,$P1391),"DESENVOLVIMENTO",IF($O1391&lt;=INDEX(PARAMETROS_CULTURAS!$F$6:$F$28,$P1391)+INDEX(PARAMETROS_CULTURAS!$G$6:$G$28,$P1391)+INDEX(PARAMETROS_CULTURAS!$H$6:$H$28,$P1391),"MEDIA","FINAL"))))</f>
        <v>-</v>
      </c>
      <c r="R1391" s="24" t="n">
        <f aca="false">IF($P1391=0,0,IF($O1391&lt;=INDEX(PARAMETROS_CULTURAS!$F$6:$F$28,$P1391),INDEX(PARAMETROS_CULTURAS!$K$6:$K$28,$P1391),IF($O1391&lt;=INDEX(PARAMETROS_CULTURAS!$F$6:$F$28,$P1391)+INDEX(PARAMETROS_CULTURAS!$G$6:$G$28,$P1391),INDEX(PARAMETROS_CULTURAS!$K$6:$K$28,$P1391)+(INDEX(PARAMETROS_CULTURAS!$L$6:$L$28,$P1391)-INDEX(PARAMETROS_CULTURAS!$K$6:$K$28,$P1391))*($O1391-INDEX(PARAMETROS_CULTURAS!$F$6:$F$28,$P1391))/MAX(INDEX(PARAMETROS_CULTURAS!$G$6:$G$28,$P1391),0.0001),IF($O1391&lt;=INDEX(PARAMETROS_CULTURAS!$F$6:$F$28,$P1391)+INDEX(PARAMETROS_CULTURAS!$G$6:$G$28,$P1391)+INDEX(PARAMETROS_CULTURAS!$H$6:$H$28,$P1391),INDEX(PARAMETROS_CULTURAS!$L$6:$L$28,$P1391),INDEX(PARAMETROS_CULTURAS!$L$6:$L$28,$P1391)+(INDEX(PARAMETROS_CULTURAS!$M$6:$M$28,$P1391)-INDEX(PARAMETROS_CULTURAS!$L$6:$L$28,$P1391))*($O1391-INDEX(PARAMETROS_CULTURAS!$F$6:$F$28,$P1391)-INDEX(PARAMETROS_CULTURAS!$G$6:$G$28,$P1391)-INDEX(PARAMETROS_CULTURAS!$H$6:$H$28,$P1391))/MAX(INDEX(PARAMETROS_CULTURAS!$I$6:$I$28,$P1391),0.0001)))))</f>
        <v>0</v>
      </c>
      <c r="S1391" s="18" t="n">
        <f aca="false">IFERROR(INDEX(SEMANAS!$H$6:$H$71,MATCH($B1391,SEMANAS!$B$6:$B$71,0)),0)</f>
        <v>33.3</v>
      </c>
      <c r="T1391" s="18" t="n">
        <f aca="false">$R1391*$S1391</f>
        <v>0</v>
      </c>
      <c r="U1391" s="18" t="n">
        <f aca="false">IFERROR(INDEX(SEMANAS!$I$6:$I$71,MATCH($B1391,SEMANAS!$B$6:$B$71,0)),0)</f>
        <v>48.04</v>
      </c>
      <c r="V1391" s="18" t="n">
        <f aca="false">IFERROR(INDEX(SEMANAS!$J$6:$J$71,MATCH($B1391,SEMANAS!$B$6:$B$71,0)),0)</f>
        <v>38.432</v>
      </c>
      <c r="W1391" s="18" t="n">
        <f aca="false">MAX(0,$T1391-$V1391)</f>
        <v>0</v>
      </c>
      <c r="X1391" s="19" t="n">
        <f aca="false">IFERROR(INDEX(CADASTRO_PIVOS!$K$6:$K$41,MATCH($E1391,CADASTRO_PIVOS!$B$6:$B$41,0)),EFICIENCIA_PADRAO)</f>
        <v>0.85</v>
      </c>
      <c r="Y1391" s="18" t="n">
        <f aca="false">IF($X1391&lt;=0,0,$W1391/$X1391)</f>
        <v>0</v>
      </c>
      <c r="Z1391" s="16" t="n">
        <f aca="false">$Y1391*$H1391*MM_PARA_M3_HA</f>
        <v>0</v>
      </c>
      <c r="AA1391" s="18" t="n">
        <f aca="false">IFERROR(INDEX(CADASTRO_PIVOS!$I$6:$I$41,MATCH($E1391,CADASTRO_PIVOS!$B$6:$B$41,0)),0)</f>
        <v>932.933333333333</v>
      </c>
      <c r="AB1391" s="18" t="n">
        <f aca="false">IF($Z1391&lt;=0,0,$Z1391/$AA1391)</f>
        <v>0</v>
      </c>
      <c r="AC1391" s="16" t="n">
        <f aca="false">IFERROR(INDEX(SEMANAS!$K$6:$K$71,MATCH($B1391,SEMANAS!$B$6:$B$71,0)),0)</f>
        <v>147</v>
      </c>
      <c r="AD1391" s="19" t="n">
        <f aca="false">IF($AC1391&lt;=0,0,$AB1391/$AC1391)</f>
        <v>0</v>
      </c>
      <c r="AE1391" s="8" t="str">
        <f aca="false">IF($K1391="SEM CULTURA","SEM CULTURA",IF($AA1391&lt;=0,"DADO PENDENTE",IF($AD1391&gt;LIMITE_CRITICO,"INVIAVEL",IF($AD1391&gt;LIMITE_ATENCAO,"CRITICO",IF($AD1391&gt;LIMITE_CONFORTAVEL,"ATENCAO","OK")))))</f>
        <v>SEM CULTURA</v>
      </c>
      <c r="AF1391" s="8" t="str">
        <f aca="false">$B1391&amp;"|"&amp;TEXT($AD1391,"0.000000")</f>
        <v>66|0.000000</v>
      </c>
      <c r="AG1391" s="18" t="n">
        <f aca="false">IF($K1391="SEM CULTURA",0,$T1391*$H1391)</f>
        <v>0</v>
      </c>
      <c r="AH1391" s="18" t="n">
        <f aca="false">IF($K1391="SEM CULTURA",0,$V1391*$H1391)</f>
        <v>0</v>
      </c>
      <c r="AI1391" s="18" t="n">
        <f aca="false">IF($K1391="SEM CULTURA",0,$W1391*$H1391)</f>
        <v>0</v>
      </c>
      <c r="AJ1391" s="18" t="n">
        <f aca="false">IF($K1391="SEM CULTURA",0,$S1391*$H1391)</f>
        <v>0</v>
      </c>
      <c r="AK1391" s="8" t="str">
        <f aca="false">$E1391&amp;"|"&amp;TEXT($AD1391,"0.000000")</f>
        <v>PV 128|0.000000</v>
      </c>
    </row>
    <row r="1392" customFormat="false" ht="15" hidden="false" customHeight="false" outlineLevel="0" collapsed="false">
      <c r="B1392" s="16" t="n">
        <v>1</v>
      </c>
      <c r="C1392" s="17" t="n">
        <f aca="false">DATA_INICIO_SAFRA+($B1392-1)*DIAS_POR_SEMANA</f>
        <v>46265</v>
      </c>
      <c r="D1392" s="17" t="n">
        <f aca="false">$C1392+DIAS_POR_SEMANA-1</f>
        <v>46271</v>
      </c>
      <c r="E1392" s="15" t="s">
        <v>280</v>
      </c>
      <c r="F1392" s="8" t="str">
        <f aca="false">IFERROR(INDEX(CADASTRO_PIVOS!$C$6:$C$41,MATCH($E1392,CADASTRO_PIVOS!$B$6:$B$41,0)),"?")</f>
        <v>RM06</v>
      </c>
      <c r="G1392" s="8" t="str">
        <f aca="false">IFERROR(INDEX(CADASTRO_PIVOS!$D$6:$D$41,MATCH($E1392,CADASTRO_PIVOS!$B$6:$B$41,0)),"?")</f>
        <v>TR06</v>
      </c>
      <c r="H1392" s="20" t="n">
        <f aca="false">IFERROR(INDEX(CADASTRO_PIVOS!$E$6:$E$41,MATCH($E1392,CADASTRO_PIVOS!$B$6:$B$41,0)),0)</f>
        <v>99.48</v>
      </c>
      <c r="I1392" s="16" t="n">
        <f aca="false">IFERROR(SUMIFS(ROTACAO_RDM!$B$6:$B$71,ROTACAO_RDM!$D$6:$D$71,$E1392,ROTACAO_RDM!$I$6:$I$71,"&lt;="&amp;$C1392+INT(DIAS_POR_SEMANA/2),ROTACAO_RDM!$J$6:$J$71,"&gt;="&amp;$C1392+INT(DIAS_POR_SEMANA/2)),0)</f>
        <v>0</v>
      </c>
      <c r="J1392" s="16" t="n">
        <f aca="false">IFERROR(MATCH($I1392,ROTACAO_RDM!$B$6:$B$71,0),0)</f>
        <v>0</v>
      </c>
      <c r="K1392" s="8" t="str">
        <f aca="false">IF($J1392=0,"SEM CULTURA",INDEX(ROTACAO_RDM!$F$6:$F$71,$J1392))</f>
        <v>SEM CULTURA</v>
      </c>
      <c r="L1392" s="8" t="str">
        <f aca="false">IF($J1392=0,"",INDEX(ROTACAO_RDM!$G$6:$G$71,$J1392))</f>
        <v/>
      </c>
      <c r="M1392" s="17" t="str">
        <f aca="false">IF($J1392=0,"",INDEX(ROTACAO_RDM!$I$6:$I$71,$J1392))</f>
        <v/>
      </c>
      <c r="N1392" s="16" t="n">
        <f aca="false">IF($J1392=0,0,MAX(0,$C1392+INT(DIAS_POR_SEMANA/2)-INDEX(ROTACAO_RDM!$I$6:$I$71,$J1392)))</f>
        <v>0</v>
      </c>
      <c r="O1392" s="19" t="n">
        <f aca="false">IF($J1392=0,0,MIN(1,$N1392/MAX(1,INDEX(ROTACAO_RDM!$K$6:$K$71,$J1392))))</f>
        <v>0</v>
      </c>
      <c r="P1392" s="16" t="n">
        <f aca="false">IF($J1392=0,0,IFERROR(MATCH(INDEX(ROTACAO_RDM!$N$6:$N$71,$J1392),PARAMETROS_CULTURAS!$B$6:$B$28,0),0))</f>
        <v>0</v>
      </c>
      <c r="Q1392" s="8" t="str">
        <f aca="false">IF($P1392=0,"-",IF($O1392&lt;=INDEX(PARAMETROS_CULTURAS!$F$6:$F$28,$P1392),"INICIAL",IF($O1392&lt;=INDEX(PARAMETROS_CULTURAS!$F$6:$F$28,$P1392)+INDEX(PARAMETROS_CULTURAS!$G$6:$G$28,$P1392),"DESENVOLVIMENTO",IF($O1392&lt;=INDEX(PARAMETROS_CULTURAS!$F$6:$F$28,$P1392)+INDEX(PARAMETROS_CULTURAS!$G$6:$G$28,$P1392)+INDEX(PARAMETROS_CULTURAS!$H$6:$H$28,$P1392),"MEDIA","FINAL"))))</f>
        <v>-</v>
      </c>
      <c r="R1392" s="24" t="n">
        <f aca="false">IF($P1392=0,0,IF($O1392&lt;=INDEX(PARAMETROS_CULTURAS!$F$6:$F$28,$P1392),INDEX(PARAMETROS_CULTURAS!$K$6:$K$28,$P1392),IF($O1392&lt;=INDEX(PARAMETROS_CULTURAS!$F$6:$F$28,$P1392)+INDEX(PARAMETROS_CULTURAS!$G$6:$G$28,$P1392),INDEX(PARAMETROS_CULTURAS!$K$6:$K$28,$P1392)+(INDEX(PARAMETROS_CULTURAS!$L$6:$L$28,$P1392)-INDEX(PARAMETROS_CULTURAS!$K$6:$K$28,$P1392))*($O1392-INDEX(PARAMETROS_CULTURAS!$F$6:$F$28,$P1392))/MAX(INDEX(PARAMETROS_CULTURAS!$G$6:$G$28,$P1392),0.0001),IF($O1392&lt;=INDEX(PARAMETROS_CULTURAS!$F$6:$F$28,$P1392)+INDEX(PARAMETROS_CULTURAS!$G$6:$G$28,$P1392)+INDEX(PARAMETROS_CULTURAS!$H$6:$H$28,$P1392),INDEX(PARAMETROS_CULTURAS!$L$6:$L$28,$P1392),INDEX(PARAMETROS_CULTURAS!$L$6:$L$28,$P1392)+(INDEX(PARAMETROS_CULTURAS!$M$6:$M$28,$P1392)-INDEX(PARAMETROS_CULTURAS!$L$6:$L$28,$P1392))*($O1392-INDEX(PARAMETROS_CULTURAS!$F$6:$F$28,$P1392)-INDEX(PARAMETROS_CULTURAS!$G$6:$G$28,$P1392)-INDEX(PARAMETROS_CULTURAS!$H$6:$H$28,$P1392))/MAX(INDEX(PARAMETROS_CULTURAS!$I$6:$I$28,$P1392),0.0001)))))</f>
        <v>0</v>
      </c>
      <c r="S1392" s="18" t="n">
        <f aca="false">IFERROR(INDEX(SEMANAS!$H$6:$H$71,MATCH($B1392,SEMANAS!$B$6:$B$71,0)),0)</f>
        <v>40</v>
      </c>
      <c r="T1392" s="18" t="n">
        <f aca="false">$R1392*$S1392</f>
        <v>0</v>
      </c>
      <c r="U1392" s="18" t="n">
        <f aca="false">IFERROR(INDEX(SEMANAS!$I$6:$I$71,MATCH($B1392,SEMANAS!$B$6:$B$71,0)),0)</f>
        <v>6.16</v>
      </c>
      <c r="V1392" s="18" t="n">
        <f aca="false">IFERROR(INDEX(SEMANAS!$J$6:$J$71,MATCH($B1392,SEMANAS!$B$6:$B$71,0)),0)</f>
        <v>4.928</v>
      </c>
      <c r="W1392" s="18" t="n">
        <f aca="false">MAX(0,$T1392-$V1392)</f>
        <v>0</v>
      </c>
      <c r="X1392" s="19" t="n">
        <f aca="false">IFERROR(INDEX(CADASTRO_PIVOS!$K$6:$K$41,MATCH($E1392,CADASTRO_PIVOS!$B$6:$B$41,0)),EFICIENCIA_PADRAO)</f>
        <v>0.85</v>
      </c>
      <c r="Y1392" s="18" t="n">
        <f aca="false">IF($X1392&lt;=0,0,$W1392/$X1392)</f>
        <v>0</v>
      </c>
      <c r="Z1392" s="16" t="n">
        <f aca="false">$Y1392*$H1392*MM_PARA_M3_HA</f>
        <v>0</v>
      </c>
      <c r="AA1392" s="18" t="n">
        <f aca="false">IFERROR(INDEX(CADASTRO_PIVOS!$I$6:$I$41,MATCH($E1392,CADASTRO_PIVOS!$B$6:$B$41,0)),0)</f>
        <v>710.571428571429</v>
      </c>
      <c r="AB1392" s="18" t="n">
        <f aca="false">IF($Z1392&lt;=0,0,$Z1392/$AA1392)</f>
        <v>0</v>
      </c>
      <c r="AC1392" s="16" t="n">
        <f aca="false">IFERROR(INDEX(SEMANAS!$K$6:$K$71,MATCH($B1392,SEMANAS!$B$6:$B$71,0)),0)</f>
        <v>147</v>
      </c>
      <c r="AD1392" s="19" t="n">
        <f aca="false">IF($AC1392&lt;=0,0,$AB1392/$AC1392)</f>
        <v>0</v>
      </c>
      <c r="AE1392" s="8" t="str">
        <f aca="false">IF($K1392="SEM CULTURA","SEM CULTURA",IF($AA1392&lt;=0,"DADO PENDENTE",IF($AD1392&gt;LIMITE_CRITICO,"INVIAVEL",IF($AD1392&gt;LIMITE_ATENCAO,"CRITICO",IF($AD1392&gt;LIMITE_CONFORTAVEL,"ATENCAO","OK")))))</f>
        <v>SEM CULTURA</v>
      </c>
      <c r="AF1392" s="8" t="str">
        <f aca="false">$B1392&amp;"|"&amp;TEXT($AD1392,"0.000000")</f>
        <v>1|0.000000</v>
      </c>
      <c r="AG1392" s="18" t="n">
        <f aca="false">IF($K1392="SEM CULTURA",0,$T1392*$H1392)</f>
        <v>0</v>
      </c>
      <c r="AH1392" s="18" t="n">
        <f aca="false">IF($K1392="SEM CULTURA",0,$V1392*$H1392)</f>
        <v>0</v>
      </c>
      <c r="AI1392" s="18" t="n">
        <f aca="false">IF($K1392="SEM CULTURA",0,$W1392*$H1392)</f>
        <v>0</v>
      </c>
      <c r="AJ1392" s="18" t="n">
        <f aca="false">IF($K1392="SEM CULTURA",0,$S1392*$H1392)</f>
        <v>0</v>
      </c>
      <c r="AK1392" s="8" t="str">
        <f aca="false">$E1392&amp;"|"&amp;TEXT($AD1392,"0.000000")</f>
        <v>PV 129|0.000000</v>
      </c>
    </row>
    <row r="1393" customFormat="false" ht="15" hidden="false" customHeight="false" outlineLevel="0" collapsed="false">
      <c r="B1393" s="16" t="n">
        <v>2</v>
      </c>
      <c r="C1393" s="17" t="n">
        <f aca="false">DATA_INICIO_SAFRA+($B1393-1)*DIAS_POR_SEMANA</f>
        <v>46272</v>
      </c>
      <c r="D1393" s="17" t="n">
        <f aca="false">$C1393+DIAS_POR_SEMANA-1</f>
        <v>46278</v>
      </c>
      <c r="E1393" s="15" t="s">
        <v>280</v>
      </c>
      <c r="F1393" s="8" t="str">
        <f aca="false">IFERROR(INDEX(CADASTRO_PIVOS!$C$6:$C$41,MATCH($E1393,CADASTRO_PIVOS!$B$6:$B$41,0)),"?")</f>
        <v>RM06</v>
      </c>
      <c r="G1393" s="8" t="str">
        <f aca="false">IFERROR(INDEX(CADASTRO_PIVOS!$D$6:$D$41,MATCH($E1393,CADASTRO_PIVOS!$B$6:$B$41,0)),"?")</f>
        <v>TR06</v>
      </c>
      <c r="H1393" s="20" t="n">
        <f aca="false">IFERROR(INDEX(CADASTRO_PIVOS!$E$6:$E$41,MATCH($E1393,CADASTRO_PIVOS!$B$6:$B$41,0)),0)</f>
        <v>99.48</v>
      </c>
      <c r="I1393" s="16" t="n">
        <f aca="false">IFERROR(SUMIFS(ROTACAO_RDM!$B$6:$B$71,ROTACAO_RDM!$D$6:$D$71,$E1393,ROTACAO_RDM!$I$6:$I$71,"&lt;="&amp;$C1393+INT(DIAS_POR_SEMANA/2),ROTACAO_RDM!$J$6:$J$71,"&gt;="&amp;$C1393+INT(DIAS_POR_SEMANA/2)),0)</f>
        <v>0</v>
      </c>
      <c r="J1393" s="16" t="n">
        <f aca="false">IFERROR(MATCH($I1393,ROTACAO_RDM!$B$6:$B$71,0),0)</f>
        <v>0</v>
      </c>
      <c r="K1393" s="8" t="str">
        <f aca="false">IF($J1393=0,"SEM CULTURA",INDEX(ROTACAO_RDM!$F$6:$F$71,$J1393))</f>
        <v>SEM CULTURA</v>
      </c>
      <c r="L1393" s="8" t="str">
        <f aca="false">IF($J1393=0,"",INDEX(ROTACAO_RDM!$G$6:$G$71,$J1393))</f>
        <v/>
      </c>
      <c r="M1393" s="17" t="str">
        <f aca="false">IF($J1393=0,"",INDEX(ROTACAO_RDM!$I$6:$I$71,$J1393))</f>
        <v/>
      </c>
      <c r="N1393" s="16" t="n">
        <f aca="false">IF($J1393=0,0,MAX(0,$C1393+INT(DIAS_POR_SEMANA/2)-INDEX(ROTACAO_RDM!$I$6:$I$71,$J1393)))</f>
        <v>0</v>
      </c>
      <c r="O1393" s="19" t="n">
        <f aca="false">IF($J1393=0,0,MIN(1,$N1393/MAX(1,INDEX(ROTACAO_RDM!$K$6:$K$71,$J1393))))</f>
        <v>0</v>
      </c>
      <c r="P1393" s="16" t="n">
        <f aca="false">IF($J1393=0,0,IFERROR(MATCH(INDEX(ROTACAO_RDM!$N$6:$N$71,$J1393),PARAMETROS_CULTURAS!$B$6:$B$28,0),0))</f>
        <v>0</v>
      </c>
      <c r="Q1393" s="8" t="str">
        <f aca="false">IF($P1393=0,"-",IF($O1393&lt;=INDEX(PARAMETROS_CULTURAS!$F$6:$F$28,$P1393),"INICIAL",IF($O1393&lt;=INDEX(PARAMETROS_CULTURAS!$F$6:$F$28,$P1393)+INDEX(PARAMETROS_CULTURAS!$G$6:$G$28,$P1393),"DESENVOLVIMENTO",IF($O1393&lt;=INDEX(PARAMETROS_CULTURAS!$F$6:$F$28,$P1393)+INDEX(PARAMETROS_CULTURAS!$G$6:$G$28,$P1393)+INDEX(PARAMETROS_CULTURAS!$H$6:$H$28,$P1393),"MEDIA","FINAL"))))</f>
        <v>-</v>
      </c>
      <c r="R1393" s="24" t="n">
        <f aca="false">IF($P1393=0,0,IF($O1393&lt;=INDEX(PARAMETROS_CULTURAS!$F$6:$F$28,$P1393),INDEX(PARAMETROS_CULTURAS!$K$6:$K$28,$P1393),IF($O1393&lt;=INDEX(PARAMETROS_CULTURAS!$F$6:$F$28,$P1393)+INDEX(PARAMETROS_CULTURAS!$G$6:$G$28,$P1393),INDEX(PARAMETROS_CULTURAS!$K$6:$K$28,$P1393)+(INDEX(PARAMETROS_CULTURAS!$L$6:$L$28,$P1393)-INDEX(PARAMETROS_CULTURAS!$K$6:$K$28,$P1393))*($O1393-INDEX(PARAMETROS_CULTURAS!$F$6:$F$28,$P1393))/MAX(INDEX(PARAMETROS_CULTURAS!$G$6:$G$28,$P1393),0.0001),IF($O1393&lt;=INDEX(PARAMETROS_CULTURAS!$F$6:$F$28,$P1393)+INDEX(PARAMETROS_CULTURAS!$G$6:$G$28,$P1393)+INDEX(PARAMETROS_CULTURAS!$H$6:$H$28,$P1393),INDEX(PARAMETROS_CULTURAS!$L$6:$L$28,$P1393),INDEX(PARAMETROS_CULTURAS!$L$6:$L$28,$P1393)+(INDEX(PARAMETROS_CULTURAS!$M$6:$M$28,$P1393)-INDEX(PARAMETROS_CULTURAS!$L$6:$L$28,$P1393))*($O1393-INDEX(PARAMETROS_CULTURAS!$F$6:$F$28,$P1393)-INDEX(PARAMETROS_CULTURAS!$G$6:$G$28,$P1393)-INDEX(PARAMETROS_CULTURAS!$H$6:$H$28,$P1393))/MAX(INDEX(PARAMETROS_CULTURAS!$I$6:$I$28,$P1393),0.0001)))))</f>
        <v>0</v>
      </c>
      <c r="S1393" s="18" t="n">
        <f aca="false">IFERROR(INDEX(SEMANAS!$H$6:$H$71,MATCH($B1393,SEMANAS!$B$6:$B$71,0)),0)</f>
        <v>40.6</v>
      </c>
      <c r="T1393" s="18" t="n">
        <f aca="false">$R1393*$S1393</f>
        <v>0</v>
      </c>
      <c r="U1393" s="18" t="n">
        <f aca="false">IFERROR(INDEX(SEMANAS!$I$6:$I$71,MATCH($B1393,SEMANAS!$B$6:$B$71,0)),0)</f>
        <v>7</v>
      </c>
      <c r="V1393" s="18" t="n">
        <f aca="false">IFERROR(INDEX(SEMANAS!$J$6:$J$71,MATCH($B1393,SEMANAS!$B$6:$B$71,0)),0)</f>
        <v>5.6</v>
      </c>
      <c r="W1393" s="18" t="n">
        <f aca="false">MAX(0,$T1393-$V1393)</f>
        <v>0</v>
      </c>
      <c r="X1393" s="19" t="n">
        <f aca="false">IFERROR(INDEX(CADASTRO_PIVOS!$K$6:$K$41,MATCH($E1393,CADASTRO_PIVOS!$B$6:$B$41,0)),EFICIENCIA_PADRAO)</f>
        <v>0.85</v>
      </c>
      <c r="Y1393" s="18" t="n">
        <f aca="false">IF($X1393&lt;=0,0,$W1393/$X1393)</f>
        <v>0</v>
      </c>
      <c r="Z1393" s="16" t="n">
        <f aca="false">$Y1393*$H1393*MM_PARA_M3_HA</f>
        <v>0</v>
      </c>
      <c r="AA1393" s="18" t="n">
        <f aca="false">IFERROR(INDEX(CADASTRO_PIVOS!$I$6:$I$41,MATCH($E1393,CADASTRO_PIVOS!$B$6:$B$41,0)),0)</f>
        <v>710.571428571429</v>
      </c>
      <c r="AB1393" s="18" t="n">
        <f aca="false">IF($Z1393&lt;=0,0,$Z1393/$AA1393)</f>
        <v>0</v>
      </c>
      <c r="AC1393" s="16" t="n">
        <f aca="false">IFERROR(INDEX(SEMANAS!$K$6:$K$71,MATCH($B1393,SEMANAS!$B$6:$B$71,0)),0)</f>
        <v>147</v>
      </c>
      <c r="AD1393" s="19" t="n">
        <f aca="false">IF($AC1393&lt;=0,0,$AB1393/$AC1393)</f>
        <v>0</v>
      </c>
      <c r="AE1393" s="8" t="str">
        <f aca="false">IF($K1393="SEM CULTURA","SEM CULTURA",IF($AA1393&lt;=0,"DADO PENDENTE",IF($AD1393&gt;LIMITE_CRITICO,"INVIAVEL",IF($AD1393&gt;LIMITE_ATENCAO,"CRITICO",IF($AD1393&gt;LIMITE_CONFORTAVEL,"ATENCAO","OK")))))</f>
        <v>SEM CULTURA</v>
      </c>
      <c r="AF1393" s="8" t="str">
        <f aca="false">$B1393&amp;"|"&amp;TEXT($AD1393,"0.000000")</f>
        <v>2|0.000000</v>
      </c>
      <c r="AG1393" s="18" t="n">
        <f aca="false">IF($K1393="SEM CULTURA",0,$T1393*$H1393)</f>
        <v>0</v>
      </c>
      <c r="AH1393" s="18" t="n">
        <f aca="false">IF($K1393="SEM CULTURA",0,$V1393*$H1393)</f>
        <v>0</v>
      </c>
      <c r="AI1393" s="18" t="n">
        <f aca="false">IF($K1393="SEM CULTURA",0,$W1393*$H1393)</f>
        <v>0</v>
      </c>
      <c r="AJ1393" s="18" t="n">
        <f aca="false">IF($K1393="SEM CULTURA",0,$S1393*$H1393)</f>
        <v>0</v>
      </c>
      <c r="AK1393" s="8" t="str">
        <f aca="false">$E1393&amp;"|"&amp;TEXT($AD1393,"0.000000")</f>
        <v>PV 129|0.000000</v>
      </c>
    </row>
    <row r="1394" customFormat="false" ht="15" hidden="false" customHeight="false" outlineLevel="0" collapsed="false">
      <c r="B1394" s="16" t="n">
        <v>3</v>
      </c>
      <c r="C1394" s="17" t="n">
        <f aca="false">DATA_INICIO_SAFRA+($B1394-1)*DIAS_POR_SEMANA</f>
        <v>46279</v>
      </c>
      <c r="D1394" s="17" t="n">
        <f aca="false">$C1394+DIAS_POR_SEMANA-1</f>
        <v>46285</v>
      </c>
      <c r="E1394" s="15" t="s">
        <v>280</v>
      </c>
      <c r="F1394" s="8" t="str">
        <f aca="false">IFERROR(INDEX(CADASTRO_PIVOS!$C$6:$C$41,MATCH($E1394,CADASTRO_PIVOS!$B$6:$B$41,0)),"?")</f>
        <v>RM06</v>
      </c>
      <c r="G1394" s="8" t="str">
        <f aca="false">IFERROR(INDEX(CADASTRO_PIVOS!$D$6:$D$41,MATCH($E1394,CADASTRO_PIVOS!$B$6:$B$41,0)),"?")</f>
        <v>TR06</v>
      </c>
      <c r="H1394" s="20" t="n">
        <f aca="false">IFERROR(INDEX(CADASTRO_PIVOS!$E$6:$E$41,MATCH($E1394,CADASTRO_PIVOS!$B$6:$B$41,0)),0)</f>
        <v>99.48</v>
      </c>
      <c r="I1394" s="16" t="n">
        <f aca="false">IFERROR(SUMIFS(ROTACAO_RDM!$B$6:$B$71,ROTACAO_RDM!$D$6:$D$71,$E1394,ROTACAO_RDM!$I$6:$I$71,"&lt;="&amp;$C1394+INT(DIAS_POR_SEMANA/2),ROTACAO_RDM!$J$6:$J$71,"&gt;="&amp;$C1394+INT(DIAS_POR_SEMANA/2)),0)</f>
        <v>0</v>
      </c>
      <c r="J1394" s="16" t="n">
        <f aca="false">IFERROR(MATCH($I1394,ROTACAO_RDM!$B$6:$B$71,0),0)</f>
        <v>0</v>
      </c>
      <c r="K1394" s="8" t="str">
        <f aca="false">IF($J1394=0,"SEM CULTURA",INDEX(ROTACAO_RDM!$F$6:$F$71,$J1394))</f>
        <v>SEM CULTURA</v>
      </c>
      <c r="L1394" s="8" t="str">
        <f aca="false">IF($J1394=0,"",INDEX(ROTACAO_RDM!$G$6:$G$71,$J1394))</f>
        <v/>
      </c>
      <c r="M1394" s="17" t="str">
        <f aca="false">IF($J1394=0,"",INDEX(ROTACAO_RDM!$I$6:$I$71,$J1394))</f>
        <v/>
      </c>
      <c r="N1394" s="16" t="n">
        <f aca="false">IF($J1394=0,0,MAX(0,$C1394+INT(DIAS_POR_SEMANA/2)-INDEX(ROTACAO_RDM!$I$6:$I$71,$J1394)))</f>
        <v>0</v>
      </c>
      <c r="O1394" s="19" t="n">
        <f aca="false">IF($J1394=0,0,MIN(1,$N1394/MAX(1,INDEX(ROTACAO_RDM!$K$6:$K$71,$J1394))))</f>
        <v>0</v>
      </c>
      <c r="P1394" s="16" t="n">
        <f aca="false">IF($J1394=0,0,IFERROR(MATCH(INDEX(ROTACAO_RDM!$N$6:$N$71,$J1394),PARAMETROS_CULTURAS!$B$6:$B$28,0),0))</f>
        <v>0</v>
      </c>
      <c r="Q1394" s="8" t="str">
        <f aca="false">IF($P1394=0,"-",IF($O1394&lt;=INDEX(PARAMETROS_CULTURAS!$F$6:$F$28,$P1394),"INICIAL",IF($O1394&lt;=INDEX(PARAMETROS_CULTURAS!$F$6:$F$28,$P1394)+INDEX(PARAMETROS_CULTURAS!$G$6:$G$28,$P1394),"DESENVOLVIMENTO",IF($O1394&lt;=INDEX(PARAMETROS_CULTURAS!$F$6:$F$28,$P1394)+INDEX(PARAMETROS_CULTURAS!$G$6:$G$28,$P1394)+INDEX(PARAMETROS_CULTURAS!$H$6:$H$28,$P1394),"MEDIA","FINAL"))))</f>
        <v>-</v>
      </c>
      <c r="R1394" s="24" t="n">
        <f aca="false">IF($P1394=0,0,IF($O1394&lt;=INDEX(PARAMETROS_CULTURAS!$F$6:$F$28,$P1394),INDEX(PARAMETROS_CULTURAS!$K$6:$K$28,$P1394),IF($O1394&lt;=INDEX(PARAMETROS_CULTURAS!$F$6:$F$28,$P1394)+INDEX(PARAMETROS_CULTURAS!$G$6:$G$28,$P1394),INDEX(PARAMETROS_CULTURAS!$K$6:$K$28,$P1394)+(INDEX(PARAMETROS_CULTURAS!$L$6:$L$28,$P1394)-INDEX(PARAMETROS_CULTURAS!$K$6:$K$28,$P1394))*($O1394-INDEX(PARAMETROS_CULTURAS!$F$6:$F$28,$P1394))/MAX(INDEX(PARAMETROS_CULTURAS!$G$6:$G$28,$P1394),0.0001),IF($O1394&lt;=INDEX(PARAMETROS_CULTURAS!$F$6:$F$28,$P1394)+INDEX(PARAMETROS_CULTURAS!$G$6:$G$28,$P1394)+INDEX(PARAMETROS_CULTURAS!$H$6:$H$28,$P1394),INDEX(PARAMETROS_CULTURAS!$L$6:$L$28,$P1394),INDEX(PARAMETROS_CULTURAS!$L$6:$L$28,$P1394)+(INDEX(PARAMETROS_CULTURAS!$M$6:$M$28,$P1394)-INDEX(PARAMETROS_CULTURAS!$L$6:$L$28,$P1394))*($O1394-INDEX(PARAMETROS_CULTURAS!$F$6:$F$28,$P1394)-INDEX(PARAMETROS_CULTURAS!$G$6:$G$28,$P1394)-INDEX(PARAMETROS_CULTURAS!$H$6:$H$28,$P1394))/MAX(INDEX(PARAMETROS_CULTURAS!$I$6:$I$28,$P1394),0.0001)))))</f>
        <v>0</v>
      </c>
      <c r="S1394" s="18" t="n">
        <f aca="false">IFERROR(INDEX(SEMANAS!$H$6:$H$71,MATCH($B1394,SEMANAS!$B$6:$B$71,0)),0)</f>
        <v>40.6</v>
      </c>
      <c r="T1394" s="18" t="n">
        <f aca="false">$R1394*$S1394</f>
        <v>0</v>
      </c>
      <c r="U1394" s="18" t="n">
        <f aca="false">IFERROR(INDEX(SEMANAS!$I$6:$I$71,MATCH($B1394,SEMANAS!$B$6:$B$71,0)),0)</f>
        <v>7</v>
      </c>
      <c r="V1394" s="18" t="n">
        <f aca="false">IFERROR(INDEX(SEMANAS!$J$6:$J$71,MATCH($B1394,SEMANAS!$B$6:$B$71,0)),0)</f>
        <v>5.6</v>
      </c>
      <c r="W1394" s="18" t="n">
        <f aca="false">MAX(0,$T1394-$V1394)</f>
        <v>0</v>
      </c>
      <c r="X1394" s="19" t="n">
        <f aca="false">IFERROR(INDEX(CADASTRO_PIVOS!$K$6:$K$41,MATCH($E1394,CADASTRO_PIVOS!$B$6:$B$41,0)),EFICIENCIA_PADRAO)</f>
        <v>0.85</v>
      </c>
      <c r="Y1394" s="18" t="n">
        <f aca="false">IF($X1394&lt;=0,0,$W1394/$X1394)</f>
        <v>0</v>
      </c>
      <c r="Z1394" s="16" t="n">
        <f aca="false">$Y1394*$H1394*MM_PARA_M3_HA</f>
        <v>0</v>
      </c>
      <c r="AA1394" s="18" t="n">
        <f aca="false">IFERROR(INDEX(CADASTRO_PIVOS!$I$6:$I$41,MATCH($E1394,CADASTRO_PIVOS!$B$6:$B$41,0)),0)</f>
        <v>710.571428571429</v>
      </c>
      <c r="AB1394" s="18" t="n">
        <f aca="false">IF($Z1394&lt;=0,0,$Z1394/$AA1394)</f>
        <v>0</v>
      </c>
      <c r="AC1394" s="16" t="n">
        <f aca="false">IFERROR(INDEX(SEMANAS!$K$6:$K$71,MATCH($B1394,SEMANAS!$B$6:$B$71,0)),0)</f>
        <v>147</v>
      </c>
      <c r="AD1394" s="19" t="n">
        <f aca="false">IF($AC1394&lt;=0,0,$AB1394/$AC1394)</f>
        <v>0</v>
      </c>
      <c r="AE1394" s="8" t="str">
        <f aca="false">IF($K1394="SEM CULTURA","SEM CULTURA",IF($AA1394&lt;=0,"DADO PENDENTE",IF($AD1394&gt;LIMITE_CRITICO,"INVIAVEL",IF($AD1394&gt;LIMITE_ATENCAO,"CRITICO",IF($AD1394&gt;LIMITE_CONFORTAVEL,"ATENCAO","OK")))))</f>
        <v>SEM CULTURA</v>
      </c>
      <c r="AF1394" s="8" t="str">
        <f aca="false">$B1394&amp;"|"&amp;TEXT($AD1394,"0.000000")</f>
        <v>3|0.000000</v>
      </c>
      <c r="AG1394" s="18" t="n">
        <f aca="false">IF($K1394="SEM CULTURA",0,$T1394*$H1394)</f>
        <v>0</v>
      </c>
      <c r="AH1394" s="18" t="n">
        <f aca="false">IF($K1394="SEM CULTURA",0,$V1394*$H1394)</f>
        <v>0</v>
      </c>
      <c r="AI1394" s="18" t="n">
        <f aca="false">IF($K1394="SEM CULTURA",0,$W1394*$H1394)</f>
        <v>0</v>
      </c>
      <c r="AJ1394" s="18" t="n">
        <f aca="false">IF($K1394="SEM CULTURA",0,$S1394*$H1394)</f>
        <v>0</v>
      </c>
      <c r="AK1394" s="8" t="str">
        <f aca="false">$E1394&amp;"|"&amp;TEXT($AD1394,"0.000000")</f>
        <v>PV 129|0.000000</v>
      </c>
    </row>
    <row r="1395" customFormat="false" ht="15" hidden="false" customHeight="false" outlineLevel="0" collapsed="false">
      <c r="B1395" s="16" t="n">
        <v>4</v>
      </c>
      <c r="C1395" s="17" t="n">
        <f aca="false">DATA_INICIO_SAFRA+($B1395-1)*DIAS_POR_SEMANA</f>
        <v>46286</v>
      </c>
      <c r="D1395" s="17" t="n">
        <f aca="false">$C1395+DIAS_POR_SEMANA-1</f>
        <v>46292</v>
      </c>
      <c r="E1395" s="15" t="s">
        <v>280</v>
      </c>
      <c r="F1395" s="8" t="str">
        <f aca="false">IFERROR(INDEX(CADASTRO_PIVOS!$C$6:$C$41,MATCH($E1395,CADASTRO_PIVOS!$B$6:$B$41,0)),"?")</f>
        <v>RM06</v>
      </c>
      <c r="G1395" s="8" t="str">
        <f aca="false">IFERROR(INDEX(CADASTRO_PIVOS!$D$6:$D$41,MATCH($E1395,CADASTRO_PIVOS!$B$6:$B$41,0)),"?")</f>
        <v>TR06</v>
      </c>
      <c r="H1395" s="20" t="n">
        <f aca="false">IFERROR(INDEX(CADASTRO_PIVOS!$E$6:$E$41,MATCH($E1395,CADASTRO_PIVOS!$B$6:$B$41,0)),0)</f>
        <v>99.48</v>
      </c>
      <c r="I1395" s="16" t="n">
        <f aca="false">IFERROR(SUMIFS(ROTACAO_RDM!$B$6:$B$71,ROTACAO_RDM!$D$6:$D$71,$E1395,ROTACAO_RDM!$I$6:$I$71,"&lt;="&amp;$C1395+INT(DIAS_POR_SEMANA/2),ROTACAO_RDM!$J$6:$J$71,"&gt;="&amp;$C1395+INT(DIAS_POR_SEMANA/2)),0)</f>
        <v>0</v>
      </c>
      <c r="J1395" s="16" t="n">
        <f aca="false">IFERROR(MATCH($I1395,ROTACAO_RDM!$B$6:$B$71,0),0)</f>
        <v>0</v>
      </c>
      <c r="K1395" s="8" t="str">
        <f aca="false">IF($J1395=0,"SEM CULTURA",INDEX(ROTACAO_RDM!$F$6:$F$71,$J1395))</f>
        <v>SEM CULTURA</v>
      </c>
      <c r="L1395" s="8" t="str">
        <f aca="false">IF($J1395=0,"",INDEX(ROTACAO_RDM!$G$6:$G$71,$J1395))</f>
        <v/>
      </c>
      <c r="M1395" s="17" t="str">
        <f aca="false">IF($J1395=0,"",INDEX(ROTACAO_RDM!$I$6:$I$71,$J1395))</f>
        <v/>
      </c>
      <c r="N1395" s="16" t="n">
        <f aca="false">IF($J1395=0,0,MAX(0,$C1395+INT(DIAS_POR_SEMANA/2)-INDEX(ROTACAO_RDM!$I$6:$I$71,$J1395)))</f>
        <v>0</v>
      </c>
      <c r="O1395" s="19" t="n">
        <f aca="false">IF($J1395=0,0,MIN(1,$N1395/MAX(1,INDEX(ROTACAO_RDM!$K$6:$K$71,$J1395))))</f>
        <v>0</v>
      </c>
      <c r="P1395" s="16" t="n">
        <f aca="false">IF($J1395=0,0,IFERROR(MATCH(INDEX(ROTACAO_RDM!$N$6:$N$71,$J1395),PARAMETROS_CULTURAS!$B$6:$B$28,0),0))</f>
        <v>0</v>
      </c>
      <c r="Q1395" s="8" t="str">
        <f aca="false">IF($P1395=0,"-",IF($O1395&lt;=INDEX(PARAMETROS_CULTURAS!$F$6:$F$28,$P1395),"INICIAL",IF($O1395&lt;=INDEX(PARAMETROS_CULTURAS!$F$6:$F$28,$P1395)+INDEX(PARAMETROS_CULTURAS!$G$6:$G$28,$P1395),"DESENVOLVIMENTO",IF($O1395&lt;=INDEX(PARAMETROS_CULTURAS!$F$6:$F$28,$P1395)+INDEX(PARAMETROS_CULTURAS!$G$6:$G$28,$P1395)+INDEX(PARAMETROS_CULTURAS!$H$6:$H$28,$P1395),"MEDIA","FINAL"))))</f>
        <v>-</v>
      </c>
      <c r="R1395" s="24" t="n">
        <f aca="false">IF($P1395=0,0,IF($O1395&lt;=INDEX(PARAMETROS_CULTURAS!$F$6:$F$28,$P1395),INDEX(PARAMETROS_CULTURAS!$K$6:$K$28,$P1395),IF($O1395&lt;=INDEX(PARAMETROS_CULTURAS!$F$6:$F$28,$P1395)+INDEX(PARAMETROS_CULTURAS!$G$6:$G$28,$P1395),INDEX(PARAMETROS_CULTURAS!$K$6:$K$28,$P1395)+(INDEX(PARAMETROS_CULTURAS!$L$6:$L$28,$P1395)-INDEX(PARAMETROS_CULTURAS!$K$6:$K$28,$P1395))*($O1395-INDEX(PARAMETROS_CULTURAS!$F$6:$F$28,$P1395))/MAX(INDEX(PARAMETROS_CULTURAS!$G$6:$G$28,$P1395),0.0001),IF($O1395&lt;=INDEX(PARAMETROS_CULTURAS!$F$6:$F$28,$P1395)+INDEX(PARAMETROS_CULTURAS!$G$6:$G$28,$P1395)+INDEX(PARAMETROS_CULTURAS!$H$6:$H$28,$P1395),INDEX(PARAMETROS_CULTURAS!$L$6:$L$28,$P1395),INDEX(PARAMETROS_CULTURAS!$L$6:$L$28,$P1395)+(INDEX(PARAMETROS_CULTURAS!$M$6:$M$28,$P1395)-INDEX(PARAMETROS_CULTURAS!$L$6:$L$28,$P1395))*($O1395-INDEX(PARAMETROS_CULTURAS!$F$6:$F$28,$P1395)-INDEX(PARAMETROS_CULTURAS!$G$6:$G$28,$P1395)-INDEX(PARAMETROS_CULTURAS!$H$6:$H$28,$P1395))/MAX(INDEX(PARAMETROS_CULTURAS!$I$6:$I$28,$P1395),0.0001)))))</f>
        <v>0</v>
      </c>
      <c r="S1395" s="18" t="n">
        <f aca="false">IFERROR(INDEX(SEMANAS!$H$6:$H$71,MATCH($B1395,SEMANAS!$B$6:$B$71,0)),0)</f>
        <v>40.6</v>
      </c>
      <c r="T1395" s="18" t="n">
        <f aca="false">$R1395*$S1395</f>
        <v>0</v>
      </c>
      <c r="U1395" s="18" t="n">
        <f aca="false">IFERROR(INDEX(SEMANAS!$I$6:$I$71,MATCH($B1395,SEMANAS!$B$6:$B$71,0)),0)</f>
        <v>7</v>
      </c>
      <c r="V1395" s="18" t="n">
        <f aca="false">IFERROR(INDEX(SEMANAS!$J$6:$J$71,MATCH($B1395,SEMANAS!$B$6:$B$71,0)),0)</f>
        <v>5.6</v>
      </c>
      <c r="W1395" s="18" t="n">
        <f aca="false">MAX(0,$T1395-$V1395)</f>
        <v>0</v>
      </c>
      <c r="X1395" s="19" t="n">
        <f aca="false">IFERROR(INDEX(CADASTRO_PIVOS!$K$6:$K$41,MATCH($E1395,CADASTRO_PIVOS!$B$6:$B$41,0)),EFICIENCIA_PADRAO)</f>
        <v>0.85</v>
      </c>
      <c r="Y1395" s="18" t="n">
        <f aca="false">IF($X1395&lt;=0,0,$W1395/$X1395)</f>
        <v>0</v>
      </c>
      <c r="Z1395" s="16" t="n">
        <f aca="false">$Y1395*$H1395*MM_PARA_M3_HA</f>
        <v>0</v>
      </c>
      <c r="AA1395" s="18" t="n">
        <f aca="false">IFERROR(INDEX(CADASTRO_PIVOS!$I$6:$I$41,MATCH($E1395,CADASTRO_PIVOS!$B$6:$B$41,0)),0)</f>
        <v>710.571428571429</v>
      </c>
      <c r="AB1395" s="18" t="n">
        <f aca="false">IF($Z1395&lt;=0,0,$Z1395/$AA1395)</f>
        <v>0</v>
      </c>
      <c r="AC1395" s="16" t="n">
        <f aca="false">IFERROR(INDEX(SEMANAS!$K$6:$K$71,MATCH($B1395,SEMANAS!$B$6:$B$71,0)),0)</f>
        <v>147</v>
      </c>
      <c r="AD1395" s="19" t="n">
        <f aca="false">IF($AC1395&lt;=0,0,$AB1395/$AC1395)</f>
        <v>0</v>
      </c>
      <c r="AE1395" s="8" t="str">
        <f aca="false">IF($K1395="SEM CULTURA","SEM CULTURA",IF($AA1395&lt;=0,"DADO PENDENTE",IF($AD1395&gt;LIMITE_CRITICO,"INVIAVEL",IF($AD1395&gt;LIMITE_ATENCAO,"CRITICO",IF($AD1395&gt;LIMITE_CONFORTAVEL,"ATENCAO","OK")))))</f>
        <v>SEM CULTURA</v>
      </c>
      <c r="AF1395" s="8" t="str">
        <f aca="false">$B1395&amp;"|"&amp;TEXT($AD1395,"0.000000")</f>
        <v>4|0.000000</v>
      </c>
      <c r="AG1395" s="18" t="n">
        <f aca="false">IF($K1395="SEM CULTURA",0,$T1395*$H1395)</f>
        <v>0</v>
      </c>
      <c r="AH1395" s="18" t="n">
        <f aca="false">IF($K1395="SEM CULTURA",0,$V1395*$H1395)</f>
        <v>0</v>
      </c>
      <c r="AI1395" s="18" t="n">
        <f aca="false">IF($K1395="SEM CULTURA",0,$W1395*$H1395)</f>
        <v>0</v>
      </c>
      <c r="AJ1395" s="18" t="n">
        <f aca="false">IF($K1395="SEM CULTURA",0,$S1395*$H1395)</f>
        <v>0</v>
      </c>
      <c r="AK1395" s="8" t="str">
        <f aca="false">$E1395&amp;"|"&amp;TEXT($AD1395,"0.000000")</f>
        <v>PV 129|0.000000</v>
      </c>
    </row>
    <row r="1396" customFormat="false" ht="15" hidden="false" customHeight="false" outlineLevel="0" collapsed="false">
      <c r="B1396" s="16" t="n">
        <v>5</v>
      </c>
      <c r="C1396" s="17" t="n">
        <f aca="false">DATA_INICIO_SAFRA+($B1396-1)*DIAS_POR_SEMANA</f>
        <v>46293</v>
      </c>
      <c r="D1396" s="17" t="n">
        <f aca="false">$C1396+DIAS_POR_SEMANA-1</f>
        <v>46299</v>
      </c>
      <c r="E1396" s="15" t="s">
        <v>280</v>
      </c>
      <c r="F1396" s="8" t="str">
        <f aca="false">IFERROR(INDEX(CADASTRO_PIVOS!$C$6:$C$41,MATCH($E1396,CADASTRO_PIVOS!$B$6:$B$41,0)),"?")</f>
        <v>RM06</v>
      </c>
      <c r="G1396" s="8" t="str">
        <f aca="false">IFERROR(INDEX(CADASTRO_PIVOS!$D$6:$D$41,MATCH($E1396,CADASTRO_PIVOS!$B$6:$B$41,0)),"?")</f>
        <v>TR06</v>
      </c>
      <c r="H1396" s="20" t="n">
        <f aca="false">IFERROR(INDEX(CADASTRO_PIVOS!$E$6:$E$41,MATCH($E1396,CADASTRO_PIVOS!$B$6:$B$41,0)),0)</f>
        <v>99.48</v>
      </c>
      <c r="I1396" s="16" t="n">
        <f aca="false">IFERROR(SUMIFS(ROTACAO_RDM!$B$6:$B$71,ROTACAO_RDM!$D$6:$D$71,$E1396,ROTACAO_RDM!$I$6:$I$71,"&lt;="&amp;$C1396+INT(DIAS_POR_SEMANA/2),ROTACAO_RDM!$J$6:$J$71,"&gt;="&amp;$C1396+INT(DIAS_POR_SEMANA/2)),0)</f>
        <v>0</v>
      </c>
      <c r="J1396" s="16" t="n">
        <f aca="false">IFERROR(MATCH($I1396,ROTACAO_RDM!$B$6:$B$71,0),0)</f>
        <v>0</v>
      </c>
      <c r="K1396" s="8" t="str">
        <f aca="false">IF($J1396=0,"SEM CULTURA",INDEX(ROTACAO_RDM!$F$6:$F$71,$J1396))</f>
        <v>SEM CULTURA</v>
      </c>
      <c r="L1396" s="8" t="str">
        <f aca="false">IF($J1396=0,"",INDEX(ROTACAO_RDM!$G$6:$G$71,$J1396))</f>
        <v/>
      </c>
      <c r="M1396" s="17" t="str">
        <f aca="false">IF($J1396=0,"",INDEX(ROTACAO_RDM!$I$6:$I$71,$J1396))</f>
        <v/>
      </c>
      <c r="N1396" s="16" t="n">
        <f aca="false">IF($J1396=0,0,MAX(0,$C1396+INT(DIAS_POR_SEMANA/2)-INDEX(ROTACAO_RDM!$I$6:$I$71,$J1396)))</f>
        <v>0</v>
      </c>
      <c r="O1396" s="19" t="n">
        <f aca="false">IF($J1396=0,0,MIN(1,$N1396/MAX(1,INDEX(ROTACAO_RDM!$K$6:$K$71,$J1396))))</f>
        <v>0</v>
      </c>
      <c r="P1396" s="16" t="n">
        <f aca="false">IF($J1396=0,0,IFERROR(MATCH(INDEX(ROTACAO_RDM!$N$6:$N$71,$J1396),PARAMETROS_CULTURAS!$B$6:$B$28,0),0))</f>
        <v>0</v>
      </c>
      <c r="Q1396" s="8" t="str">
        <f aca="false">IF($P1396=0,"-",IF($O1396&lt;=INDEX(PARAMETROS_CULTURAS!$F$6:$F$28,$P1396),"INICIAL",IF($O1396&lt;=INDEX(PARAMETROS_CULTURAS!$F$6:$F$28,$P1396)+INDEX(PARAMETROS_CULTURAS!$G$6:$G$28,$P1396),"DESENVOLVIMENTO",IF($O1396&lt;=INDEX(PARAMETROS_CULTURAS!$F$6:$F$28,$P1396)+INDEX(PARAMETROS_CULTURAS!$G$6:$G$28,$P1396)+INDEX(PARAMETROS_CULTURAS!$H$6:$H$28,$P1396),"MEDIA","FINAL"))))</f>
        <v>-</v>
      </c>
      <c r="R1396" s="24" t="n">
        <f aca="false">IF($P1396=0,0,IF($O1396&lt;=INDEX(PARAMETROS_CULTURAS!$F$6:$F$28,$P1396),INDEX(PARAMETROS_CULTURAS!$K$6:$K$28,$P1396),IF($O1396&lt;=INDEX(PARAMETROS_CULTURAS!$F$6:$F$28,$P1396)+INDEX(PARAMETROS_CULTURAS!$G$6:$G$28,$P1396),INDEX(PARAMETROS_CULTURAS!$K$6:$K$28,$P1396)+(INDEX(PARAMETROS_CULTURAS!$L$6:$L$28,$P1396)-INDEX(PARAMETROS_CULTURAS!$K$6:$K$28,$P1396))*($O1396-INDEX(PARAMETROS_CULTURAS!$F$6:$F$28,$P1396))/MAX(INDEX(PARAMETROS_CULTURAS!$G$6:$G$28,$P1396),0.0001),IF($O1396&lt;=INDEX(PARAMETROS_CULTURAS!$F$6:$F$28,$P1396)+INDEX(PARAMETROS_CULTURAS!$G$6:$G$28,$P1396)+INDEX(PARAMETROS_CULTURAS!$H$6:$H$28,$P1396),INDEX(PARAMETROS_CULTURAS!$L$6:$L$28,$P1396),INDEX(PARAMETROS_CULTURAS!$L$6:$L$28,$P1396)+(INDEX(PARAMETROS_CULTURAS!$M$6:$M$28,$P1396)-INDEX(PARAMETROS_CULTURAS!$L$6:$L$28,$P1396))*($O1396-INDEX(PARAMETROS_CULTURAS!$F$6:$F$28,$P1396)-INDEX(PARAMETROS_CULTURAS!$G$6:$G$28,$P1396)-INDEX(PARAMETROS_CULTURAS!$H$6:$H$28,$P1396))/MAX(INDEX(PARAMETROS_CULTURAS!$I$6:$I$28,$P1396),0.0001)))))</f>
        <v>0</v>
      </c>
      <c r="S1396" s="18" t="n">
        <f aca="false">IFERROR(INDEX(SEMANAS!$H$6:$H$71,MATCH($B1396,SEMANAS!$B$6:$B$71,0)),0)</f>
        <v>39.8</v>
      </c>
      <c r="T1396" s="18" t="n">
        <f aca="false">$R1396*$S1396</f>
        <v>0</v>
      </c>
      <c r="U1396" s="18" t="n">
        <f aca="false">IFERROR(INDEX(SEMANAS!$I$6:$I$71,MATCH($B1396,SEMANAS!$B$6:$B$71,0)),0)</f>
        <v>18.48</v>
      </c>
      <c r="V1396" s="18" t="n">
        <f aca="false">IFERROR(INDEX(SEMANAS!$J$6:$J$71,MATCH($B1396,SEMANAS!$B$6:$B$71,0)),0)</f>
        <v>14.784</v>
      </c>
      <c r="W1396" s="18" t="n">
        <f aca="false">MAX(0,$T1396-$V1396)</f>
        <v>0</v>
      </c>
      <c r="X1396" s="19" t="n">
        <f aca="false">IFERROR(INDEX(CADASTRO_PIVOS!$K$6:$K$41,MATCH($E1396,CADASTRO_PIVOS!$B$6:$B$41,0)),EFICIENCIA_PADRAO)</f>
        <v>0.85</v>
      </c>
      <c r="Y1396" s="18" t="n">
        <f aca="false">IF($X1396&lt;=0,0,$W1396/$X1396)</f>
        <v>0</v>
      </c>
      <c r="Z1396" s="16" t="n">
        <f aca="false">$Y1396*$H1396*MM_PARA_M3_HA</f>
        <v>0</v>
      </c>
      <c r="AA1396" s="18" t="n">
        <f aca="false">IFERROR(INDEX(CADASTRO_PIVOS!$I$6:$I$41,MATCH($E1396,CADASTRO_PIVOS!$B$6:$B$41,0)),0)</f>
        <v>710.571428571429</v>
      </c>
      <c r="AB1396" s="18" t="n">
        <f aca="false">IF($Z1396&lt;=0,0,$Z1396/$AA1396)</f>
        <v>0</v>
      </c>
      <c r="AC1396" s="16" t="n">
        <f aca="false">IFERROR(INDEX(SEMANAS!$K$6:$K$71,MATCH($B1396,SEMANAS!$B$6:$B$71,0)),0)</f>
        <v>147</v>
      </c>
      <c r="AD1396" s="19" t="n">
        <f aca="false">IF($AC1396&lt;=0,0,$AB1396/$AC1396)</f>
        <v>0</v>
      </c>
      <c r="AE1396" s="8" t="str">
        <f aca="false">IF($K1396="SEM CULTURA","SEM CULTURA",IF($AA1396&lt;=0,"DADO PENDENTE",IF($AD1396&gt;LIMITE_CRITICO,"INVIAVEL",IF($AD1396&gt;LIMITE_ATENCAO,"CRITICO",IF($AD1396&gt;LIMITE_CONFORTAVEL,"ATENCAO","OK")))))</f>
        <v>SEM CULTURA</v>
      </c>
      <c r="AF1396" s="8" t="str">
        <f aca="false">$B1396&amp;"|"&amp;TEXT($AD1396,"0.000000")</f>
        <v>5|0.000000</v>
      </c>
      <c r="AG1396" s="18" t="n">
        <f aca="false">IF($K1396="SEM CULTURA",0,$T1396*$H1396)</f>
        <v>0</v>
      </c>
      <c r="AH1396" s="18" t="n">
        <f aca="false">IF($K1396="SEM CULTURA",0,$V1396*$H1396)</f>
        <v>0</v>
      </c>
      <c r="AI1396" s="18" t="n">
        <f aca="false">IF($K1396="SEM CULTURA",0,$W1396*$H1396)</f>
        <v>0</v>
      </c>
      <c r="AJ1396" s="18" t="n">
        <f aca="false">IF($K1396="SEM CULTURA",0,$S1396*$H1396)</f>
        <v>0</v>
      </c>
      <c r="AK1396" s="8" t="str">
        <f aca="false">$E1396&amp;"|"&amp;TEXT($AD1396,"0.000000")</f>
        <v>PV 129|0.000000</v>
      </c>
    </row>
    <row r="1397" customFormat="false" ht="15" hidden="false" customHeight="false" outlineLevel="0" collapsed="false">
      <c r="B1397" s="16" t="n">
        <v>6</v>
      </c>
      <c r="C1397" s="17" t="n">
        <f aca="false">DATA_INICIO_SAFRA+($B1397-1)*DIAS_POR_SEMANA</f>
        <v>46300</v>
      </c>
      <c r="D1397" s="17" t="n">
        <f aca="false">$C1397+DIAS_POR_SEMANA-1</f>
        <v>46306</v>
      </c>
      <c r="E1397" s="15" t="s">
        <v>280</v>
      </c>
      <c r="F1397" s="8" t="str">
        <f aca="false">IFERROR(INDEX(CADASTRO_PIVOS!$C$6:$C$41,MATCH($E1397,CADASTRO_PIVOS!$B$6:$B$41,0)),"?")</f>
        <v>RM06</v>
      </c>
      <c r="G1397" s="8" t="str">
        <f aca="false">IFERROR(INDEX(CADASTRO_PIVOS!$D$6:$D$41,MATCH($E1397,CADASTRO_PIVOS!$B$6:$B$41,0)),"?")</f>
        <v>TR06</v>
      </c>
      <c r="H1397" s="20" t="n">
        <f aca="false">IFERROR(INDEX(CADASTRO_PIVOS!$E$6:$E$41,MATCH($E1397,CADASTRO_PIVOS!$B$6:$B$41,0)),0)</f>
        <v>99.48</v>
      </c>
      <c r="I1397" s="16" t="n">
        <f aca="false">IFERROR(SUMIFS(ROTACAO_RDM!$B$6:$B$71,ROTACAO_RDM!$D$6:$D$71,$E1397,ROTACAO_RDM!$I$6:$I$71,"&lt;="&amp;$C1397+INT(DIAS_POR_SEMANA/2),ROTACAO_RDM!$J$6:$J$71,"&gt;="&amp;$C1397+INT(DIAS_POR_SEMANA/2)),0)</f>
        <v>0</v>
      </c>
      <c r="J1397" s="16" t="n">
        <f aca="false">IFERROR(MATCH($I1397,ROTACAO_RDM!$B$6:$B$71,0),0)</f>
        <v>0</v>
      </c>
      <c r="K1397" s="8" t="str">
        <f aca="false">IF($J1397=0,"SEM CULTURA",INDEX(ROTACAO_RDM!$F$6:$F$71,$J1397))</f>
        <v>SEM CULTURA</v>
      </c>
      <c r="L1397" s="8" t="str">
        <f aca="false">IF($J1397=0,"",INDEX(ROTACAO_RDM!$G$6:$G$71,$J1397))</f>
        <v/>
      </c>
      <c r="M1397" s="17" t="str">
        <f aca="false">IF($J1397=0,"",INDEX(ROTACAO_RDM!$I$6:$I$71,$J1397))</f>
        <v/>
      </c>
      <c r="N1397" s="16" t="n">
        <f aca="false">IF($J1397=0,0,MAX(0,$C1397+INT(DIAS_POR_SEMANA/2)-INDEX(ROTACAO_RDM!$I$6:$I$71,$J1397)))</f>
        <v>0</v>
      </c>
      <c r="O1397" s="19" t="n">
        <f aca="false">IF($J1397=0,0,MIN(1,$N1397/MAX(1,INDEX(ROTACAO_RDM!$K$6:$K$71,$J1397))))</f>
        <v>0</v>
      </c>
      <c r="P1397" s="16" t="n">
        <f aca="false">IF($J1397=0,0,IFERROR(MATCH(INDEX(ROTACAO_RDM!$N$6:$N$71,$J1397),PARAMETROS_CULTURAS!$B$6:$B$28,0),0))</f>
        <v>0</v>
      </c>
      <c r="Q1397" s="8" t="str">
        <f aca="false">IF($P1397=0,"-",IF($O1397&lt;=INDEX(PARAMETROS_CULTURAS!$F$6:$F$28,$P1397),"INICIAL",IF($O1397&lt;=INDEX(PARAMETROS_CULTURAS!$F$6:$F$28,$P1397)+INDEX(PARAMETROS_CULTURAS!$G$6:$G$28,$P1397),"DESENVOLVIMENTO",IF($O1397&lt;=INDEX(PARAMETROS_CULTURAS!$F$6:$F$28,$P1397)+INDEX(PARAMETROS_CULTURAS!$G$6:$G$28,$P1397)+INDEX(PARAMETROS_CULTURAS!$H$6:$H$28,$P1397),"MEDIA","FINAL"))))</f>
        <v>-</v>
      </c>
      <c r="R1397" s="24" t="n">
        <f aca="false">IF($P1397=0,0,IF($O1397&lt;=INDEX(PARAMETROS_CULTURAS!$F$6:$F$28,$P1397),INDEX(PARAMETROS_CULTURAS!$K$6:$K$28,$P1397),IF($O1397&lt;=INDEX(PARAMETROS_CULTURAS!$F$6:$F$28,$P1397)+INDEX(PARAMETROS_CULTURAS!$G$6:$G$28,$P1397),INDEX(PARAMETROS_CULTURAS!$K$6:$K$28,$P1397)+(INDEX(PARAMETROS_CULTURAS!$L$6:$L$28,$P1397)-INDEX(PARAMETROS_CULTURAS!$K$6:$K$28,$P1397))*($O1397-INDEX(PARAMETROS_CULTURAS!$F$6:$F$28,$P1397))/MAX(INDEX(PARAMETROS_CULTURAS!$G$6:$G$28,$P1397),0.0001),IF($O1397&lt;=INDEX(PARAMETROS_CULTURAS!$F$6:$F$28,$P1397)+INDEX(PARAMETROS_CULTURAS!$G$6:$G$28,$P1397)+INDEX(PARAMETROS_CULTURAS!$H$6:$H$28,$P1397),INDEX(PARAMETROS_CULTURAS!$L$6:$L$28,$P1397),INDEX(PARAMETROS_CULTURAS!$L$6:$L$28,$P1397)+(INDEX(PARAMETROS_CULTURAS!$M$6:$M$28,$P1397)-INDEX(PARAMETROS_CULTURAS!$L$6:$L$28,$P1397))*($O1397-INDEX(PARAMETROS_CULTURAS!$F$6:$F$28,$P1397)-INDEX(PARAMETROS_CULTURAS!$G$6:$G$28,$P1397)-INDEX(PARAMETROS_CULTURAS!$H$6:$H$28,$P1397))/MAX(INDEX(PARAMETROS_CULTURAS!$I$6:$I$28,$P1397),0.0001)))))</f>
        <v>0</v>
      </c>
      <c r="S1397" s="18" t="n">
        <f aca="false">IFERROR(INDEX(SEMANAS!$H$6:$H$71,MATCH($B1397,SEMANAS!$B$6:$B$71,0)),0)</f>
        <v>39.2</v>
      </c>
      <c r="T1397" s="18" t="n">
        <f aca="false">$R1397*$S1397</f>
        <v>0</v>
      </c>
      <c r="U1397" s="18" t="n">
        <f aca="false">IFERROR(INDEX(SEMANAS!$I$6:$I$71,MATCH($B1397,SEMANAS!$B$6:$B$71,0)),0)</f>
        <v>27.09</v>
      </c>
      <c r="V1397" s="18" t="n">
        <f aca="false">IFERROR(INDEX(SEMANAS!$J$6:$J$71,MATCH($B1397,SEMANAS!$B$6:$B$71,0)),0)</f>
        <v>21.672</v>
      </c>
      <c r="W1397" s="18" t="n">
        <f aca="false">MAX(0,$T1397-$V1397)</f>
        <v>0</v>
      </c>
      <c r="X1397" s="19" t="n">
        <f aca="false">IFERROR(INDEX(CADASTRO_PIVOS!$K$6:$K$41,MATCH($E1397,CADASTRO_PIVOS!$B$6:$B$41,0)),EFICIENCIA_PADRAO)</f>
        <v>0.85</v>
      </c>
      <c r="Y1397" s="18" t="n">
        <f aca="false">IF($X1397&lt;=0,0,$W1397/$X1397)</f>
        <v>0</v>
      </c>
      <c r="Z1397" s="16" t="n">
        <f aca="false">$Y1397*$H1397*MM_PARA_M3_HA</f>
        <v>0</v>
      </c>
      <c r="AA1397" s="18" t="n">
        <f aca="false">IFERROR(INDEX(CADASTRO_PIVOS!$I$6:$I$41,MATCH($E1397,CADASTRO_PIVOS!$B$6:$B$41,0)),0)</f>
        <v>710.571428571429</v>
      </c>
      <c r="AB1397" s="18" t="n">
        <f aca="false">IF($Z1397&lt;=0,0,$Z1397/$AA1397)</f>
        <v>0</v>
      </c>
      <c r="AC1397" s="16" t="n">
        <f aca="false">IFERROR(INDEX(SEMANAS!$K$6:$K$71,MATCH($B1397,SEMANAS!$B$6:$B$71,0)),0)</f>
        <v>147</v>
      </c>
      <c r="AD1397" s="19" t="n">
        <f aca="false">IF($AC1397&lt;=0,0,$AB1397/$AC1397)</f>
        <v>0</v>
      </c>
      <c r="AE1397" s="8" t="str">
        <f aca="false">IF($K1397="SEM CULTURA","SEM CULTURA",IF($AA1397&lt;=0,"DADO PENDENTE",IF($AD1397&gt;LIMITE_CRITICO,"INVIAVEL",IF($AD1397&gt;LIMITE_ATENCAO,"CRITICO",IF($AD1397&gt;LIMITE_CONFORTAVEL,"ATENCAO","OK")))))</f>
        <v>SEM CULTURA</v>
      </c>
      <c r="AF1397" s="8" t="str">
        <f aca="false">$B1397&amp;"|"&amp;TEXT($AD1397,"0.000000")</f>
        <v>6|0.000000</v>
      </c>
      <c r="AG1397" s="18" t="n">
        <f aca="false">IF($K1397="SEM CULTURA",0,$T1397*$H1397)</f>
        <v>0</v>
      </c>
      <c r="AH1397" s="18" t="n">
        <f aca="false">IF($K1397="SEM CULTURA",0,$V1397*$H1397)</f>
        <v>0</v>
      </c>
      <c r="AI1397" s="18" t="n">
        <f aca="false">IF($K1397="SEM CULTURA",0,$W1397*$H1397)</f>
        <v>0</v>
      </c>
      <c r="AJ1397" s="18" t="n">
        <f aca="false">IF($K1397="SEM CULTURA",0,$S1397*$H1397)</f>
        <v>0</v>
      </c>
      <c r="AK1397" s="8" t="str">
        <f aca="false">$E1397&amp;"|"&amp;TEXT($AD1397,"0.000000")</f>
        <v>PV 129|0.000000</v>
      </c>
    </row>
    <row r="1398" customFormat="false" ht="15" hidden="false" customHeight="false" outlineLevel="0" collapsed="false">
      <c r="B1398" s="16" t="n">
        <v>7</v>
      </c>
      <c r="C1398" s="17" t="n">
        <f aca="false">DATA_INICIO_SAFRA+($B1398-1)*DIAS_POR_SEMANA</f>
        <v>46307</v>
      </c>
      <c r="D1398" s="17" t="n">
        <f aca="false">$C1398+DIAS_POR_SEMANA-1</f>
        <v>46313</v>
      </c>
      <c r="E1398" s="15" t="s">
        <v>280</v>
      </c>
      <c r="F1398" s="8" t="str">
        <f aca="false">IFERROR(INDEX(CADASTRO_PIVOS!$C$6:$C$41,MATCH($E1398,CADASTRO_PIVOS!$B$6:$B$41,0)),"?")</f>
        <v>RM06</v>
      </c>
      <c r="G1398" s="8" t="str">
        <f aca="false">IFERROR(INDEX(CADASTRO_PIVOS!$D$6:$D$41,MATCH($E1398,CADASTRO_PIVOS!$B$6:$B$41,0)),"?")</f>
        <v>TR06</v>
      </c>
      <c r="H1398" s="20" t="n">
        <f aca="false">IFERROR(INDEX(CADASTRO_PIVOS!$E$6:$E$41,MATCH($E1398,CADASTRO_PIVOS!$B$6:$B$41,0)),0)</f>
        <v>99.48</v>
      </c>
      <c r="I1398" s="16" t="n">
        <f aca="false">IFERROR(SUMIFS(ROTACAO_RDM!$B$6:$B$71,ROTACAO_RDM!$D$6:$D$71,$E1398,ROTACAO_RDM!$I$6:$I$71,"&lt;="&amp;$C1398+INT(DIAS_POR_SEMANA/2),ROTACAO_RDM!$J$6:$J$71,"&gt;="&amp;$C1398+INT(DIAS_POR_SEMANA/2)),0)</f>
        <v>55</v>
      </c>
      <c r="J1398" s="16" t="n">
        <f aca="false">IFERROR(MATCH($I1398,ROTACAO_RDM!$B$6:$B$71,0),0)</f>
        <v>55</v>
      </c>
      <c r="K1398" s="8" t="str">
        <f aca="false">IF($J1398=0,"SEM CULTURA",INDEX(ROTACAO_RDM!$F$6:$F$71,$J1398))</f>
        <v>SOJA</v>
      </c>
      <c r="L1398" s="8" t="str">
        <f aca="false">IF($J1398=0,"",INDEX(ROTACAO_RDM!$G$6:$G$71,$J1398))</f>
        <v>NEO 761 I2X</v>
      </c>
      <c r="M1398" s="17" t="n">
        <f aca="false">IF($J1398=0,"",INDEX(ROTACAO_RDM!$I$6:$I$71,$J1398))</f>
        <v>46308</v>
      </c>
      <c r="N1398" s="16" t="n">
        <f aca="false">IF($J1398=0,0,MAX(0,$C1398+INT(DIAS_POR_SEMANA/2)-INDEX(ROTACAO_RDM!$I$6:$I$71,$J1398)))</f>
        <v>2</v>
      </c>
      <c r="O1398" s="19" t="n">
        <f aca="false">IF($J1398=0,0,MIN(1,$N1398/MAX(1,INDEX(ROTACAO_RDM!$K$6:$K$71,$J1398))))</f>
        <v>0.0172413793103448</v>
      </c>
      <c r="P1398" s="16" t="n">
        <f aca="false">IF($J1398=0,0,IFERROR(MATCH(INDEX(ROTACAO_RDM!$N$6:$N$71,$J1398),PARAMETROS_CULTURAS!$B$6:$B$28,0),0))</f>
        <v>2</v>
      </c>
      <c r="Q1398" s="8" t="str">
        <f aca="false">IF($P1398=0,"-",IF($O1398&lt;=INDEX(PARAMETROS_CULTURAS!$F$6:$F$28,$P1398),"INICIAL",IF($O1398&lt;=INDEX(PARAMETROS_CULTURAS!$F$6:$F$28,$P1398)+INDEX(PARAMETROS_CULTURAS!$G$6:$G$28,$P1398),"DESENVOLVIMENTO",IF($O1398&lt;=INDEX(PARAMETROS_CULTURAS!$F$6:$F$28,$P1398)+INDEX(PARAMETROS_CULTURAS!$G$6:$G$28,$P1398)+INDEX(PARAMETROS_CULTURAS!$H$6:$H$28,$P1398),"MEDIA","FINAL"))))</f>
        <v>INICIAL</v>
      </c>
      <c r="R1398" s="24" t="n">
        <f aca="false">IF($P1398=0,0,IF($O1398&lt;=INDEX(PARAMETROS_CULTURAS!$F$6:$F$28,$P1398),INDEX(PARAMETROS_CULTURAS!$K$6:$K$28,$P1398),IF($O1398&lt;=INDEX(PARAMETROS_CULTURAS!$F$6:$F$28,$P1398)+INDEX(PARAMETROS_CULTURAS!$G$6:$G$28,$P1398),INDEX(PARAMETROS_CULTURAS!$K$6:$K$28,$P1398)+(INDEX(PARAMETROS_CULTURAS!$L$6:$L$28,$P1398)-INDEX(PARAMETROS_CULTURAS!$K$6:$K$28,$P1398))*($O1398-INDEX(PARAMETROS_CULTURAS!$F$6:$F$28,$P1398))/MAX(INDEX(PARAMETROS_CULTURAS!$G$6:$G$28,$P1398),0.0001),IF($O1398&lt;=INDEX(PARAMETROS_CULTURAS!$F$6:$F$28,$P1398)+INDEX(PARAMETROS_CULTURAS!$G$6:$G$28,$P1398)+INDEX(PARAMETROS_CULTURAS!$H$6:$H$28,$P1398),INDEX(PARAMETROS_CULTURAS!$L$6:$L$28,$P1398),INDEX(PARAMETROS_CULTURAS!$L$6:$L$28,$P1398)+(INDEX(PARAMETROS_CULTURAS!$M$6:$M$28,$P1398)-INDEX(PARAMETROS_CULTURAS!$L$6:$L$28,$P1398))*($O1398-INDEX(PARAMETROS_CULTURAS!$F$6:$F$28,$P1398)-INDEX(PARAMETROS_CULTURAS!$G$6:$G$28,$P1398)-INDEX(PARAMETROS_CULTURAS!$H$6:$H$28,$P1398))/MAX(INDEX(PARAMETROS_CULTURAS!$I$6:$I$28,$P1398),0.0001)))))</f>
        <v>0.4</v>
      </c>
      <c r="S1398" s="18" t="n">
        <f aca="false">IFERROR(INDEX(SEMANAS!$H$6:$H$71,MATCH($B1398,SEMANAS!$B$6:$B$71,0)),0)</f>
        <v>39.2</v>
      </c>
      <c r="T1398" s="18" t="n">
        <f aca="false">$R1398*$S1398</f>
        <v>15.68</v>
      </c>
      <c r="U1398" s="18" t="n">
        <f aca="false">IFERROR(INDEX(SEMANAS!$I$6:$I$71,MATCH($B1398,SEMANAS!$B$6:$B$71,0)),0)</f>
        <v>27.09</v>
      </c>
      <c r="V1398" s="18" t="n">
        <f aca="false">IFERROR(INDEX(SEMANAS!$J$6:$J$71,MATCH($B1398,SEMANAS!$B$6:$B$71,0)),0)</f>
        <v>21.672</v>
      </c>
      <c r="W1398" s="18" t="n">
        <f aca="false">MAX(0,$T1398-$V1398)</f>
        <v>0</v>
      </c>
      <c r="X1398" s="19" t="n">
        <f aca="false">IFERROR(INDEX(CADASTRO_PIVOS!$K$6:$K$41,MATCH($E1398,CADASTRO_PIVOS!$B$6:$B$41,0)),EFICIENCIA_PADRAO)</f>
        <v>0.85</v>
      </c>
      <c r="Y1398" s="18" t="n">
        <f aca="false">IF($X1398&lt;=0,0,$W1398/$X1398)</f>
        <v>0</v>
      </c>
      <c r="Z1398" s="16" t="n">
        <f aca="false">$Y1398*$H1398*MM_PARA_M3_HA</f>
        <v>0</v>
      </c>
      <c r="AA1398" s="18" t="n">
        <f aca="false">IFERROR(INDEX(CADASTRO_PIVOS!$I$6:$I$41,MATCH($E1398,CADASTRO_PIVOS!$B$6:$B$41,0)),0)</f>
        <v>710.571428571429</v>
      </c>
      <c r="AB1398" s="18" t="n">
        <f aca="false">IF($Z1398&lt;=0,0,$Z1398/$AA1398)</f>
        <v>0</v>
      </c>
      <c r="AC1398" s="16" t="n">
        <f aca="false">IFERROR(INDEX(SEMANAS!$K$6:$K$71,MATCH($B1398,SEMANAS!$B$6:$B$71,0)),0)</f>
        <v>147</v>
      </c>
      <c r="AD1398" s="19" t="n">
        <f aca="false">IF($AC1398&lt;=0,0,$AB1398/$AC1398)</f>
        <v>0</v>
      </c>
      <c r="AE1398" s="8" t="str">
        <f aca="false">IF($K1398="SEM CULTURA","SEM CULTURA",IF($AA1398&lt;=0,"DADO PENDENTE",IF($AD1398&gt;LIMITE_CRITICO,"INVIAVEL",IF($AD1398&gt;LIMITE_ATENCAO,"CRITICO",IF($AD1398&gt;LIMITE_CONFORTAVEL,"ATENCAO","OK")))))</f>
        <v>OK</v>
      </c>
      <c r="AF1398" s="8" t="str">
        <f aca="false">$B1398&amp;"|"&amp;TEXT($AD1398,"0.000000")</f>
        <v>7|0.000000</v>
      </c>
      <c r="AG1398" s="18" t="n">
        <f aca="false">IF($K1398="SEM CULTURA",0,$T1398*$H1398)</f>
        <v>1559.8464</v>
      </c>
      <c r="AH1398" s="18" t="n">
        <f aca="false">IF($K1398="SEM CULTURA",0,$V1398*$H1398)</f>
        <v>2155.93056</v>
      </c>
      <c r="AI1398" s="18" t="n">
        <f aca="false">IF($K1398="SEM CULTURA",0,$W1398*$H1398)</f>
        <v>0</v>
      </c>
      <c r="AJ1398" s="18" t="n">
        <f aca="false">IF($K1398="SEM CULTURA",0,$S1398*$H1398)</f>
        <v>3899.616</v>
      </c>
      <c r="AK1398" s="8" t="str">
        <f aca="false">$E1398&amp;"|"&amp;TEXT($AD1398,"0.000000")</f>
        <v>PV 129|0.000000</v>
      </c>
    </row>
    <row r="1399" customFormat="false" ht="15" hidden="false" customHeight="false" outlineLevel="0" collapsed="false">
      <c r="B1399" s="16" t="n">
        <v>8</v>
      </c>
      <c r="C1399" s="17" t="n">
        <f aca="false">DATA_INICIO_SAFRA+($B1399-1)*DIAS_POR_SEMANA</f>
        <v>46314</v>
      </c>
      <c r="D1399" s="17" t="n">
        <f aca="false">$C1399+DIAS_POR_SEMANA-1</f>
        <v>46320</v>
      </c>
      <c r="E1399" s="15" t="s">
        <v>280</v>
      </c>
      <c r="F1399" s="8" t="str">
        <f aca="false">IFERROR(INDEX(CADASTRO_PIVOS!$C$6:$C$41,MATCH($E1399,CADASTRO_PIVOS!$B$6:$B$41,0)),"?")</f>
        <v>RM06</v>
      </c>
      <c r="G1399" s="8" t="str">
        <f aca="false">IFERROR(INDEX(CADASTRO_PIVOS!$D$6:$D$41,MATCH($E1399,CADASTRO_PIVOS!$B$6:$B$41,0)),"?")</f>
        <v>TR06</v>
      </c>
      <c r="H1399" s="20" t="n">
        <f aca="false">IFERROR(INDEX(CADASTRO_PIVOS!$E$6:$E$41,MATCH($E1399,CADASTRO_PIVOS!$B$6:$B$41,0)),0)</f>
        <v>99.48</v>
      </c>
      <c r="I1399" s="16" t="n">
        <f aca="false">IFERROR(SUMIFS(ROTACAO_RDM!$B$6:$B$71,ROTACAO_RDM!$D$6:$D$71,$E1399,ROTACAO_RDM!$I$6:$I$71,"&lt;="&amp;$C1399+INT(DIAS_POR_SEMANA/2),ROTACAO_RDM!$J$6:$J$71,"&gt;="&amp;$C1399+INT(DIAS_POR_SEMANA/2)),0)</f>
        <v>55</v>
      </c>
      <c r="J1399" s="16" t="n">
        <f aca="false">IFERROR(MATCH($I1399,ROTACAO_RDM!$B$6:$B$71,0),0)</f>
        <v>55</v>
      </c>
      <c r="K1399" s="8" t="str">
        <f aca="false">IF($J1399=0,"SEM CULTURA",INDEX(ROTACAO_RDM!$F$6:$F$71,$J1399))</f>
        <v>SOJA</v>
      </c>
      <c r="L1399" s="8" t="str">
        <f aca="false">IF($J1399=0,"",INDEX(ROTACAO_RDM!$G$6:$G$71,$J1399))</f>
        <v>NEO 761 I2X</v>
      </c>
      <c r="M1399" s="17" t="n">
        <f aca="false">IF($J1399=0,"",INDEX(ROTACAO_RDM!$I$6:$I$71,$J1399))</f>
        <v>46308</v>
      </c>
      <c r="N1399" s="16" t="n">
        <f aca="false">IF($J1399=0,0,MAX(0,$C1399+INT(DIAS_POR_SEMANA/2)-INDEX(ROTACAO_RDM!$I$6:$I$71,$J1399)))</f>
        <v>9</v>
      </c>
      <c r="O1399" s="19" t="n">
        <f aca="false">IF($J1399=0,0,MIN(1,$N1399/MAX(1,INDEX(ROTACAO_RDM!$K$6:$K$71,$J1399))))</f>
        <v>0.0775862068965517</v>
      </c>
      <c r="P1399" s="16" t="n">
        <f aca="false">IF($J1399=0,0,IFERROR(MATCH(INDEX(ROTACAO_RDM!$N$6:$N$71,$J1399),PARAMETROS_CULTURAS!$B$6:$B$28,0),0))</f>
        <v>2</v>
      </c>
      <c r="Q1399" s="8" t="str">
        <f aca="false">IF($P1399=0,"-",IF($O1399&lt;=INDEX(PARAMETROS_CULTURAS!$F$6:$F$28,$P1399),"INICIAL",IF($O1399&lt;=INDEX(PARAMETROS_CULTURAS!$F$6:$F$28,$P1399)+INDEX(PARAMETROS_CULTURAS!$G$6:$G$28,$P1399),"DESENVOLVIMENTO",IF($O1399&lt;=INDEX(PARAMETROS_CULTURAS!$F$6:$F$28,$P1399)+INDEX(PARAMETROS_CULTURAS!$G$6:$G$28,$P1399)+INDEX(PARAMETROS_CULTURAS!$H$6:$H$28,$P1399),"MEDIA","FINAL"))))</f>
        <v>INICIAL</v>
      </c>
      <c r="R1399" s="24" t="n">
        <f aca="false">IF($P1399=0,0,IF($O1399&lt;=INDEX(PARAMETROS_CULTURAS!$F$6:$F$28,$P1399),INDEX(PARAMETROS_CULTURAS!$K$6:$K$28,$P1399),IF($O1399&lt;=INDEX(PARAMETROS_CULTURAS!$F$6:$F$28,$P1399)+INDEX(PARAMETROS_CULTURAS!$G$6:$G$28,$P1399),INDEX(PARAMETROS_CULTURAS!$K$6:$K$28,$P1399)+(INDEX(PARAMETROS_CULTURAS!$L$6:$L$28,$P1399)-INDEX(PARAMETROS_CULTURAS!$K$6:$K$28,$P1399))*($O1399-INDEX(PARAMETROS_CULTURAS!$F$6:$F$28,$P1399))/MAX(INDEX(PARAMETROS_CULTURAS!$G$6:$G$28,$P1399),0.0001),IF($O1399&lt;=INDEX(PARAMETROS_CULTURAS!$F$6:$F$28,$P1399)+INDEX(PARAMETROS_CULTURAS!$G$6:$G$28,$P1399)+INDEX(PARAMETROS_CULTURAS!$H$6:$H$28,$P1399),INDEX(PARAMETROS_CULTURAS!$L$6:$L$28,$P1399),INDEX(PARAMETROS_CULTURAS!$L$6:$L$28,$P1399)+(INDEX(PARAMETROS_CULTURAS!$M$6:$M$28,$P1399)-INDEX(PARAMETROS_CULTURAS!$L$6:$L$28,$P1399))*($O1399-INDEX(PARAMETROS_CULTURAS!$F$6:$F$28,$P1399)-INDEX(PARAMETROS_CULTURAS!$G$6:$G$28,$P1399)-INDEX(PARAMETROS_CULTURAS!$H$6:$H$28,$P1399))/MAX(INDEX(PARAMETROS_CULTURAS!$I$6:$I$28,$P1399),0.0001)))))</f>
        <v>0.4</v>
      </c>
      <c r="S1399" s="18" t="n">
        <f aca="false">IFERROR(INDEX(SEMANAS!$H$6:$H$71,MATCH($B1399,SEMANAS!$B$6:$B$71,0)),0)</f>
        <v>39.2</v>
      </c>
      <c r="T1399" s="18" t="n">
        <f aca="false">$R1399*$S1399</f>
        <v>15.68</v>
      </c>
      <c r="U1399" s="18" t="n">
        <f aca="false">IFERROR(INDEX(SEMANAS!$I$6:$I$71,MATCH($B1399,SEMANAS!$B$6:$B$71,0)),0)</f>
        <v>27.09</v>
      </c>
      <c r="V1399" s="18" t="n">
        <f aca="false">IFERROR(INDEX(SEMANAS!$J$6:$J$71,MATCH($B1399,SEMANAS!$B$6:$B$71,0)),0)</f>
        <v>21.672</v>
      </c>
      <c r="W1399" s="18" t="n">
        <f aca="false">MAX(0,$T1399-$V1399)</f>
        <v>0</v>
      </c>
      <c r="X1399" s="19" t="n">
        <f aca="false">IFERROR(INDEX(CADASTRO_PIVOS!$K$6:$K$41,MATCH($E1399,CADASTRO_PIVOS!$B$6:$B$41,0)),EFICIENCIA_PADRAO)</f>
        <v>0.85</v>
      </c>
      <c r="Y1399" s="18" t="n">
        <f aca="false">IF($X1399&lt;=0,0,$W1399/$X1399)</f>
        <v>0</v>
      </c>
      <c r="Z1399" s="16" t="n">
        <f aca="false">$Y1399*$H1399*MM_PARA_M3_HA</f>
        <v>0</v>
      </c>
      <c r="AA1399" s="18" t="n">
        <f aca="false">IFERROR(INDEX(CADASTRO_PIVOS!$I$6:$I$41,MATCH($E1399,CADASTRO_PIVOS!$B$6:$B$41,0)),0)</f>
        <v>710.571428571429</v>
      </c>
      <c r="AB1399" s="18" t="n">
        <f aca="false">IF($Z1399&lt;=0,0,$Z1399/$AA1399)</f>
        <v>0</v>
      </c>
      <c r="AC1399" s="16" t="n">
        <f aca="false">IFERROR(INDEX(SEMANAS!$K$6:$K$71,MATCH($B1399,SEMANAS!$B$6:$B$71,0)),0)</f>
        <v>147</v>
      </c>
      <c r="AD1399" s="19" t="n">
        <f aca="false">IF($AC1399&lt;=0,0,$AB1399/$AC1399)</f>
        <v>0</v>
      </c>
      <c r="AE1399" s="8" t="str">
        <f aca="false">IF($K1399="SEM CULTURA","SEM CULTURA",IF($AA1399&lt;=0,"DADO PENDENTE",IF($AD1399&gt;LIMITE_CRITICO,"INVIAVEL",IF($AD1399&gt;LIMITE_ATENCAO,"CRITICO",IF($AD1399&gt;LIMITE_CONFORTAVEL,"ATENCAO","OK")))))</f>
        <v>OK</v>
      </c>
      <c r="AF1399" s="8" t="str">
        <f aca="false">$B1399&amp;"|"&amp;TEXT($AD1399,"0.000000")</f>
        <v>8|0.000000</v>
      </c>
      <c r="AG1399" s="18" t="n">
        <f aca="false">IF($K1399="SEM CULTURA",0,$T1399*$H1399)</f>
        <v>1559.8464</v>
      </c>
      <c r="AH1399" s="18" t="n">
        <f aca="false">IF($K1399="SEM CULTURA",0,$V1399*$H1399)</f>
        <v>2155.93056</v>
      </c>
      <c r="AI1399" s="18" t="n">
        <f aca="false">IF($K1399="SEM CULTURA",0,$W1399*$H1399)</f>
        <v>0</v>
      </c>
      <c r="AJ1399" s="18" t="n">
        <f aca="false">IF($K1399="SEM CULTURA",0,$S1399*$H1399)</f>
        <v>3899.616</v>
      </c>
      <c r="AK1399" s="8" t="str">
        <f aca="false">$E1399&amp;"|"&amp;TEXT($AD1399,"0.000000")</f>
        <v>PV 129|0.000000</v>
      </c>
    </row>
    <row r="1400" customFormat="false" ht="15" hidden="false" customHeight="false" outlineLevel="0" collapsed="false">
      <c r="B1400" s="16" t="n">
        <v>9</v>
      </c>
      <c r="C1400" s="17" t="n">
        <f aca="false">DATA_INICIO_SAFRA+($B1400-1)*DIAS_POR_SEMANA</f>
        <v>46321</v>
      </c>
      <c r="D1400" s="17" t="n">
        <f aca="false">$C1400+DIAS_POR_SEMANA-1</f>
        <v>46327</v>
      </c>
      <c r="E1400" s="15" t="s">
        <v>280</v>
      </c>
      <c r="F1400" s="8" t="str">
        <f aca="false">IFERROR(INDEX(CADASTRO_PIVOS!$C$6:$C$41,MATCH($E1400,CADASTRO_PIVOS!$B$6:$B$41,0)),"?")</f>
        <v>RM06</v>
      </c>
      <c r="G1400" s="8" t="str">
        <f aca="false">IFERROR(INDEX(CADASTRO_PIVOS!$D$6:$D$41,MATCH($E1400,CADASTRO_PIVOS!$B$6:$B$41,0)),"?")</f>
        <v>TR06</v>
      </c>
      <c r="H1400" s="20" t="n">
        <f aca="false">IFERROR(INDEX(CADASTRO_PIVOS!$E$6:$E$41,MATCH($E1400,CADASTRO_PIVOS!$B$6:$B$41,0)),0)</f>
        <v>99.48</v>
      </c>
      <c r="I1400" s="16" t="n">
        <f aca="false">IFERROR(SUMIFS(ROTACAO_RDM!$B$6:$B$71,ROTACAO_RDM!$D$6:$D$71,$E1400,ROTACAO_RDM!$I$6:$I$71,"&lt;="&amp;$C1400+INT(DIAS_POR_SEMANA/2),ROTACAO_RDM!$J$6:$J$71,"&gt;="&amp;$C1400+INT(DIAS_POR_SEMANA/2)),0)</f>
        <v>55</v>
      </c>
      <c r="J1400" s="16" t="n">
        <f aca="false">IFERROR(MATCH($I1400,ROTACAO_RDM!$B$6:$B$71,0),0)</f>
        <v>55</v>
      </c>
      <c r="K1400" s="8" t="str">
        <f aca="false">IF($J1400=0,"SEM CULTURA",INDEX(ROTACAO_RDM!$F$6:$F$71,$J1400))</f>
        <v>SOJA</v>
      </c>
      <c r="L1400" s="8" t="str">
        <f aca="false">IF($J1400=0,"",INDEX(ROTACAO_RDM!$G$6:$G$71,$J1400))</f>
        <v>NEO 761 I2X</v>
      </c>
      <c r="M1400" s="17" t="n">
        <f aca="false">IF($J1400=0,"",INDEX(ROTACAO_RDM!$I$6:$I$71,$J1400))</f>
        <v>46308</v>
      </c>
      <c r="N1400" s="16" t="n">
        <f aca="false">IF($J1400=0,0,MAX(0,$C1400+INT(DIAS_POR_SEMANA/2)-INDEX(ROTACAO_RDM!$I$6:$I$71,$J1400)))</f>
        <v>16</v>
      </c>
      <c r="O1400" s="19" t="n">
        <f aca="false">IF($J1400=0,0,MIN(1,$N1400/MAX(1,INDEX(ROTACAO_RDM!$K$6:$K$71,$J1400))))</f>
        <v>0.137931034482759</v>
      </c>
      <c r="P1400" s="16" t="n">
        <f aca="false">IF($J1400=0,0,IFERROR(MATCH(INDEX(ROTACAO_RDM!$N$6:$N$71,$J1400),PARAMETROS_CULTURAS!$B$6:$B$28,0),0))</f>
        <v>2</v>
      </c>
      <c r="Q1400" s="8" t="str">
        <f aca="false">IF($P1400=0,"-",IF($O1400&lt;=INDEX(PARAMETROS_CULTURAS!$F$6:$F$28,$P1400),"INICIAL",IF($O1400&lt;=INDEX(PARAMETROS_CULTURAS!$F$6:$F$28,$P1400)+INDEX(PARAMETROS_CULTURAS!$G$6:$G$28,$P1400),"DESENVOLVIMENTO",IF($O1400&lt;=INDEX(PARAMETROS_CULTURAS!$F$6:$F$28,$P1400)+INDEX(PARAMETROS_CULTURAS!$G$6:$G$28,$P1400)+INDEX(PARAMETROS_CULTURAS!$H$6:$H$28,$P1400),"MEDIA","FINAL"))))</f>
        <v>INICIAL</v>
      </c>
      <c r="R1400" s="24" t="n">
        <f aca="false">IF($P1400=0,0,IF($O1400&lt;=INDEX(PARAMETROS_CULTURAS!$F$6:$F$28,$P1400),INDEX(PARAMETROS_CULTURAS!$K$6:$K$28,$P1400),IF($O1400&lt;=INDEX(PARAMETROS_CULTURAS!$F$6:$F$28,$P1400)+INDEX(PARAMETROS_CULTURAS!$G$6:$G$28,$P1400),INDEX(PARAMETROS_CULTURAS!$K$6:$K$28,$P1400)+(INDEX(PARAMETROS_CULTURAS!$L$6:$L$28,$P1400)-INDEX(PARAMETROS_CULTURAS!$K$6:$K$28,$P1400))*($O1400-INDEX(PARAMETROS_CULTURAS!$F$6:$F$28,$P1400))/MAX(INDEX(PARAMETROS_CULTURAS!$G$6:$G$28,$P1400),0.0001),IF($O1400&lt;=INDEX(PARAMETROS_CULTURAS!$F$6:$F$28,$P1400)+INDEX(PARAMETROS_CULTURAS!$G$6:$G$28,$P1400)+INDEX(PARAMETROS_CULTURAS!$H$6:$H$28,$P1400),INDEX(PARAMETROS_CULTURAS!$L$6:$L$28,$P1400),INDEX(PARAMETROS_CULTURAS!$L$6:$L$28,$P1400)+(INDEX(PARAMETROS_CULTURAS!$M$6:$M$28,$P1400)-INDEX(PARAMETROS_CULTURAS!$L$6:$L$28,$P1400))*($O1400-INDEX(PARAMETROS_CULTURAS!$F$6:$F$28,$P1400)-INDEX(PARAMETROS_CULTURAS!$G$6:$G$28,$P1400)-INDEX(PARAMETROS_CULTURAS!$H$6:$H$28,$P1400))/MAX(INDEX(PARAMETROS_CULTURAS!$I$6:$I$28,$P1400),0.0001)))))</f>
        <v>0.4</v>
      </c>
      <c r="S1400" s="18" t="n">
        <f aca="false">IFERROR(INDEX(SEMANAS!$H$6:$H$71,MATCH($B1400,SEMANAS!$B$6:$B$71,0)),0)</f>
        <v>38.5</v>
      </c>
      <c r="T1400" s="18" t="n">
        <f aca="false">$R1400*$S1400</f>
        <v>15.4</v>
      </c>
      <c r="U1400" s="18" t="n">
        <f aca="false">IFERROR(INDEX(SEMANAS!$I$6:$I$71,MATCH($B1400,SEMANAS!$B$6:$B$71,0)),0)</f>
        <v>29.89</v>
      </c>
      <c r="V1400" s="18" t="n">
        <f aca="false">IFERROR(INDEX(SEMANAS!$J$6:$J$71,MATCH($B1400,SEMANAS!$B$6:$B$71,0)),0)</f>
        <v>23.912</v>
      </c>
      <c r="W1400" s="18" t="n">
        <f aca="false">MAX(0,$T1400-$V1400)</f>
        <v>0</v>
      </c>
      <c r="X1400" s="19" t="n">
        <f aca="false">IFERROR(INDEX(CADASTRO_PIVOS!$K$6:$K$41,MATCH($E1400,CADASTRO_PIVOS!$B$6:$B$41,0)),EFICIENCIA_PADRAO)</f>
        <v>0.85</v>
      </c>
      <c r="Y1400" s="18" t="n">
        <f aca="false">IF($X1400&lt;=0,0,$W1400/$X1400)</f>
        <v>0</v>
      </c>
      <c r="Z1400" s="16" t="n">
        <f aca="false">$Y1400*$H1400*MM_PARA_M3_HA</f>
        <v>0</v>
      </c>
      <c r="AA1400" s="18" t="n">
        <f aca="false">IFERROR(INDEX(CADASTRO_PIVOS!$I$6:$I$41,MATCH($E1400,CADASTRO_PIVOS!$B$6:$B$41,0)),0)</f>
        <v>710.571428571429</v>
      </c>
      <c r="AB1400" s="18" t="n">
        <f aca="false">IF($Z1400&lt;=0,0,$Z1400/$AA1400)</f>
        <v>0</v>
      </c>
      <c r="AC1400" s="16" t="n">
        <f aca="false">IFERROR(INDEX(SEMANAS!$K$6:$K$71,MATCH($B1400,SEMANAS!$B$6:$B$71,0)),0)</f>
        <v>147</v>
      </c>
      <c r="AD1400" s="19" t="n">
        <f aca="false">IF($AC1400&lt;=0,0,$AB1400/$AC1400)</f>
        <v>0</v>
      </c>
      <c r="AE1400" s="8" t="str">
        <f aca="false">IF($K1400="SEM CULTURA","SEM CULTURA",IF($AA1400&lt;=0,"DADO PENDENTE",IF($AD1400&gt;LIMITE_CRITICO,"INVIAVEL",IF($AD1400&gt;LIMITE_ATENCAO,"CRITICO",IF($AD1400&gt;LIMITE_CONFORTAVEL,"ATENCAO","OK")))))</f>
        <v>OK</v>
      </c>
      <c r="AF1400" s="8" t="str">
        <f aca="false">$B1400&amp;"|"&amp;TEXT($AD1400,"0.000000")</f>
        <v>9|0.000000</v>
      </c>
      <c r="AG1400" s="18" t="n">
        <f aca="false">IF($K1400="SEM CULTURA",0,$T1400*$H1400)</f>
        <v>1531.992</v>
      </c>
      <c r="AH1400" s="18" t="n">
        <f aca="false">IF($K1400="SEM CULTURA",0,$V1400*$H1400)</f>
        <v>2378.76576</v>
      </c>
      <c r="AI1400" s="18" t="n">
        <f aca="false">IF($K1400="SEM CULTURA",0,$W1400*$H1400)</f>
        <v>0</v>
      </c>
      <c r="AJ1400" s="18" t="n">
        <f aca="false">IF($K1400="SEM CULTURA",0,$S1400*$H1400)</f>
        <v>3829.98</v>
      </c>
      <c r="AK1400" s="8" t="str">
        <f aca="false">$E1400&amp;"|"&amp;TEXT($AD1400,"0.000000")</f>
        <v>PV 129|0.000000</v>
      </c>
    </row>
    <row r="1401" customFormat="false" ht="15" hidden="false" customHeight="false" outlineLevel="0" collapsed="false">
      <c r="B1401" s="16" t="n">
        <v>10</v>
      </c>
      <c r="C1401" s="17" t="n">
        <f aca="false">DATA_INICIO_SAFRA+($B1401-1)*DIAS_POR_SEMANA</f>
        <v>46328</v>
      </c>
      <c r="D1401" s="17" t="n">
        <f aca="false">$C1401+DIAS_POR_SEMANA-1</f>
        <v>46334</v>
      </c>
      <c r="E1401" s="15" t="s">
        <v>280</v>
      </c>
      <c r="F1401" s="8" t="str">
        <f aca="false">IFERROR(INDEX(CADASTRO_PIVOS!$C$6:$C$41,MATCH($E1401,CADASTRO_PIVOS!$B$6:$B$41,0)),"?")</f>
        <v>RM06</v>
      </c>
      <c r="G1401" s="8" t="str">
        <f aca="false">IFERROR(INDEX(CADASTRO_PIVOS!$D$6:$D$41,MATCH($E1401,CADASTRO_PIVOS!$B$6:$B$41,0)),"?")</f>
        <v>TR06</v>
      </c>
      <c r="H1401" s="20" t="n">
        <f aca="false">IFERROR(INDEX(CADASTRO_PIVOS!$E$6:$E$41,MATCH($E1401,CADASTRO_PIVOS!$B$6:$B$41,0)),0)</f>
        <v>99.48</v>
      </c>
      <c r="I1401" s="16" t="n">
        <f aca="false">IFERROR(SUMIFS(ROTACAO_RDM!$B$6:$B$71,ROTACAO_RDM!$D$6:$D$71,$E1401,ROTACAO_RDM!$I$6:$I$71,"&lt;="&amp;$C1401+INT(DIAS_POR_SEMANA/2),ROTACAO_RDM!$J$6:$J$71,"&gt;="&amp;$C1401+INT(DIAS_POR_SEMANA/2)),0)</f>
        <v>55</v>
      </c>
      <c r="J1401" s="16" t="n">
        <f aca="false">IFERROR(MATCH($I1401,ROTACAO_RDM!$B$6:$B$71,0),0)</f>
        <v>55</v>
      </c>
      <c r="K1401" s="8" t="str">
        <f aca="false">IF($J1401=0,"SEM CULTURA",INDEX(ROTACAO_RDM!$F$6:$F$71,$J1401))</f>
        <v>SOJA</v>
      </c>
      <c r="L1401" s="8" t="str">
        <f aca="false">IF($J1401=0,"",INDEX(ROTACAO_RDM!$G$6:$G$71,$J1401))</f>
        <v>NEO 761 I2X</v>
      </c>
      <c r="M1401" s="17" t="n">
        <f aca="false">IF($J1401=0,"",INDEX(ROTACAO_RDM!$I$6:$I$71,$J1401))</f>
        <v>46308</v>
      </c>
      <c r="N1401" s="16" t="n">
        <f aca="false">IF($J1401=0,0,MAX(0,$C1401+INT(DIAS_POR_SEMANA/2)-INDEX(ROTACAO_RDM!$I$6:$I$71,$J1401)))</f>
        <v>23</v>
      </c>
      <c r="O1401" s="19" t="n">
        <f aca="false">IF($J1401=0,0,MIN(1,$N1401/MAX(1,INDEX(ROTACAO_RDM!$K$6:$K$71,$J1401))))</f>
        <v>0.198275862068966</v>
      </c>
      <c r="P1401" s="16" t="n">
        <f aca="false">IF($J1401=0,0,IFERROR(MATCH(INDEX(ROTACAO_RDM!$N$6:$N$71,$J1401),PARAMETROS_CULTURAS!$B$6:$B$28,0),0))</f>
        <v>2</v>
      </c>
      <c r="Q1401" s="8" t="str">
        <f aca="false">IF($P1401=0,"-",IF($O1401&lt;=INDEX(PARAMETROS_CULTURAS!$F$6:$F$28,$P1401),"INICIAL",IF($O1401&lt;=INDEX(PARAMETROS_CULTURAS!$F$6:$F$28,$P1401)+INDEX(PARAMETROS_CULTURAS!$G$6:$G$28,$P1401),"DESENVOLVIMENTO",IF($O1401&lt;=INDEX(PARAMETROS_CULTURAS!$F$6:$F$28,$P1401)+INDEX(PARAMETROS_CULTURAS!$G$6:$G$28,$P1401)+INDEX(PARAMETROS_CULTURAS!$H$6:$H$28,$P1401),"MEDIA","FINAL"))))</f>
        <v>DESENVOLVIMENTO</v>
      </c>
      <c r="R1401" s="24" t="n">
        <f aca="false">IF($P1401=0,0,IF($O1401&lt;=INDEX(PARAMETROS_CULTURAS!$F$6:$F$28,$P1401),INDEX(PARAMETROS_CULTURAS!$K$6:$K$28,$P1401),IF($O1401&lt;=INDEX(PARAMETROS_CULTURAS!$F$6:$F$28,$P1401)+INDEX(PARAMETROS_CULTURAS!$G$6:$G$28,$P1401),INDEX(PARAMETROS_CULTURAS!$K$6:$K$28,$P1401)+(INDEX(PARAMETROS_CULTURAS!$L$6:$L$28,$P1401)-INDEX(PARAMETROS_CULTURAS!$K$6:$K$28,$P1401))*($O1401-INDEX(PARAMETROS_CULTURAS!$F$6:$F$28,$P1401))/MAX(INDEX(PARAMETROS_CULTURAS!$G$6:$G$28,$P1401),0.0001),IF($O1401&lt;=INDEX(PARAMETROS_CULTURAS!$F$6:$F$28,$P1401)+INDEX(PARAMETROS_CULTURAS!$G$6:$G$28,$P1401)+INDEX(PARAMETROS_CULTURAS!$H$6:$H$28,$P1401),INDEX(PARAMETROS_CULTURAS!$L$6:$L$28,$P1401),INDEX(PARAMETROS_CULTURAS!$L$6:$L$28,$P1401)+(INDEX(PARAMETROS_CULTURAS!$M$6:$M$28,$P1401)-INDEX(PARAMETROS_CULTURAS!$L$6:$L$28,$P1401))*($O1401-INDEX(PARAMETROS_CULTURAS!$F$6:$F$28,$P1401)-INDEX(PARAMETROS_CULTURAS!$G$6:$G$28,$P1401)-INDEX(PARAMETROS_CULTURAS!$H$6:$H$28,$P1401))/MAX(INDEX(PARAMETROS_CULTURAS!$I$6:$I$28,$P1401),0.0001)))))</f>
        <v>0.524812593703149</v>
      </c>
      <c r="S1401" s="18" t="n">
        <f aca="false">IFERROR(INDEX(SEMANAS!$H$6:$H$71,MATCH($B1401,SEMANAS!$B$6:$B$71,0)),0)</f>
        <v>34.3</v>
      </c>
      <c r="T1401" s="18" t="n">
        <f aca="false">$R1401*$S1401</f>
        <v>18.001071964018</v>
      </c>
      <c r="U1401" s="18" t="n">
        <f aca="false">IFERROR(INDEX(SEMANAS!$I$6:$I$71,MATCH($B1401,SEMANAS!$B$6:$B$71,0)),0)</f>
        <v>46.69</v>
      </c>
      <c r="V1401" s="18" t="n">
        <f aca="false">IFERROR(INDEX(SEMANAS!$J$6:$J$71,MATCH($B1401,SEMANAS!$B$6:$B$71,0)),0)</f>
        <v>37.352</v>
      </c>
      <c r="W1401" s="18" t="n">
        <f aca="false">MAX(0,$T1401-$V1401)</f>
        <v>0</v>
      </c>
      <c r="X1401" s="19" t="n">
        <f aca="false">IFERROR(INDEX(CADASTRO_PIVOS!$K$6:$K$41,MATCH($E1401,CADASTRO_PIVOS!$B$6:$B$41,0)),EFICIENCIA_PADRAO)</f>
        <v>0.85</v>
      </c>
      <c r="Y1401" s="18" t="n">
        <f aca="false">IF($X1401&lt;=0,0,$W1401/$X1401)</f>
        <v>0</v>
      </c>
      <c r="Z1401" s="16" t="n">
        <f aca="false">$Y1401*$H1401*MM_PARA_M3_HA</f>
        <v>0</v>
      </c>
      <c r="AA1401" s="18" t="n">
        <f aca="false">IFERROR(INDEX(CADASTRO_PIVOS!$I$6:$I$41,MATCH($E1401,CADASTRO_PIVOS!$B$6:$B$41,0)),0)</f>
        <v>710.571428571429</v>
      </c>
      <c r="AB1401" s="18" t="n">
        <f aca="false">IF($Z1401&lt;=0,0,$Z1401/$AA1401)</f>
        <v>0</v>
      </c>
      <c r="AC1401" s="16" t="n">
        <f aca="false">IFERROR(INDEX(SEMANAS!$K$6:$K$71,MATCH($B1401,SEMANAS!$B$6:$B$71,0)),0)</f>
        <v>147</v>
      </c>
      <c r="AD1401" s="19" t="n">
        <f aca="false">IF($AC1401&lt;=0,0,$AB1401/$AC1401)</f>
        <v>0</v>
      </c>
      <c r="AE1401" s="8" t="str">
        <f aca="false">IF($K1401="SEM CULTURA","SEM CULTURA",IF($AA1401&lt;=0,"DADO PENDENTE",IF($AD1401&gt;LIMITE_CRITICO,"INVIAVEL",IF($AD1401&gt;LIMITE_ATENCAO,"CRITICO",IF($AD1401&gt;LIMITE_CONFORTAVEL,"ATENCAO","OK")))))</f>
        <v>OK</v>
      </c>
      <c r="AF1401" s="8" t="str">
        <f aca="false">$B1401&amp;"|"&amp;TEXT($AD1401,"0.000000")</f>
        <v>10|0.000000</v>
      </c>
      <c r="AG1401" s="18" t="n">
        <f aca="false">IF($K1401="SEM CULTURA",0,$T1401*$H1401)</f>
        <v>1790.74663898051</v>
      </c>
      <c r="AH1401" s="18" t="n">
        <f aca="false">IF($K1401="SEM CULTURA",0,$V1401*$H1401)</f>
        <v>3715.77696</v>
      </c>
      <c r="AI1401" s="18" t="n">
        <f aca="false">IF($K1401="SEM CULTURA",0,$W1401*$H1401)</f>
        <v>0</v>
      </c>
      <c r="AJ1401" s="18" t="n">
        <f aca="false">IF($K1401="SEM CULTURA",0,$S1401*$H1401)</f>
        <v>3412.164</v>
      </c>
      <c r="AK1401" s="8" t="str">
        <f aca="false">$E1401&amp;"|"&amp;TEXT($AD1401,"0.000000")</f>
        <v>PV 129|0.000000</v>
      </c>
    </row>
    <row r="1402" customFormat="false" ht="15" hidden="false" customHeight="false" outlineLevel="0" collapsed="false">
      <c r="B1402" s="16" t="n">
        <v>11</v>
      </c>
      <c r="C1402" s="17" t="n">
        <f aca="false">DATA_INICIO_SAFRA+($B1402-1)*DIAS_POR_SEMANA</f>
        <v>46335</v>
      </c>
      <c r="D1402" s="17" t="n">
        <f aca="false">$C1402+DIAS_POR_SEMANA-1</f>
        <v>46341</v>
      </c>
      <c r="E1402" s="15" t="s">
        <v>280</v>
      </c>
      <c r="F1402" s="8" t="str">
        <f aca="false">IFERROR(INDEX(CADASTRO_PIVOS!$C$6:$C$41,MATCH($E1402,CADASTRO_PIVOS!$B$6:$B$41,0)),"?")</f>
        <v>RM06</v>
      </c>
      <c r="G1402" s="8" t="str">
        <f aca="false">IFERROR(INDEX(CADASTRO_PIVOS!$D$6:$D$41,MATCH($E1402,CADASTRO_PIVOS!$B$6:$B$41,0)),"?")</f>
        <v>TR06</v>
      </c>
      <c r="H1402" s="20" t="n">
        <f aca="false">IFERROR(INDEX(CADASTRO_PIVOS!$E$6:$E$41,MATCH($E1402,CADASTRO_PIVOS!$B$6:$B$41,0)),0)</f>
        <v>99.48</v>
      </c>
      <c r="I1402" s="16" t="n">
        <f aca="false">IFERROR(SUMIFS(ROTACAO_RDM!$B$6:$B$71,ROTACAO_RDM!$D$6:$D$71,$E1402,ROTACAO_RDM!$I$6:$I$71,"&lt;="&amp;$C1402+INT(DIAS_POR_SEMANA/2),ROTACAO_RDM!$J$6:$J$71,"&gt;="&amp;$C1402+INT(DIAS_POR_SEMANA/2)),0)</f>
        <v>55</v>
      </c>
      <c r="J1402" s="16" t="n">
        <f aca="false">IFERROR(MATCH($I1402,ROTACAO_RDM!$B$6:$B$71,0),0)</f>
        <v>55</v>
      </c>
      <c r="K1402" s="8" t="str">
        <f aca="false">IF($J1402=0,"SEM CULTURA",INDEX(ROTACAO_RDM!$F$6:$F$71,$J1402))</f>
        <v>SOJA</v>
      </c>
      <c r="L1402" s="8" t="str">
        <f aca="false">IF($J1402=0,"",INDEX(ROTACAO_RDM!$G$6:$G$71,$J1402))</f>
        <v>NEO 761 I2X</v>
      </c>
      <c r="M1402" s="17" t="n">
        <f aca="false">IF($J1402=0,"",INDEX(ROTACAO_RDM!$I$6:$I$71,$J1402))</f>
        <v>46308</v>
      </c>
      <c r="N1402" s="16" t="n">
        <f aca="false">IF($J1402=0,0,MAX(0,$C1402+INT(DIAS_POR_SEMANA/2)-INDEX(ROTACAO_RDM!$I$6:$I$71,$J1402)))</f>
        <v>30</v>
      </c>
      <c r="O1402" s="19" t="n">
        <f aca="false">IF($J1402=0,0,MIN(1,$N1402/MAX(1,INDEX(ROTACAO_RDM!$K$6:$K$71,$J1402))))</f>
        <v>0.258620689655172</v>
      </c>
      <c r="P1402" s="16" t="n">
        <f aca="false">IF($J1402=0,0,IFERROR(MATCH(INDEX(ROTACAO_RDM!$N$6:$N$71,$J1402),PARAMETROS_CULTURAS!$B$6:$B$28,0),0))</f>
        <v>2</v>
      </c>
      <c r="Q1402" s="8" t="str">
        <f aca="false">IF($P1402=0,"-",IF($O1402&lt;=INDEX(PARAMETROS_CULTURAS!$F$6:$F$28,$P1402),"INICIAL",IF($O1402&lt;=INDEX(PARAMETROS_CULTURAS!$F$6:$F$28,$P1402)+INDEX(PARAMETROS_CULTURAS!$G$6:$G$28,$P1402),"DESENVOLVIMENTO",IF($O1402&lt;=INDEX(PARAMETROS_CULTURAS!$F$6:$F$28,$P1402)+INDEX(PARAMETROS_CULTURAS!$G$6:$G$28,$P1402)+INDEX(PARAMETROS_CULTURAS!$H$6:$H$28,$P1402),"MEDIA","FINAL"))))</f>
        <v>DESENVOLVIMENTO</v>
      </c>
      <c r="R1402" s="24" t="n">
        <f aca="false">IF($P1402=0,0,IF($O1402&lt;=INDEX(PARAMETROS_CULTURAS!$F$6:$F$28,$P1402),INDEX(PARAMETROS_CULTURAS!$K$6:$K$28,$P1402),IF($O1402&lt;=INDEX(PARAMETROS_CULTURAS!$F$6:$F$28,$P1402)+INDEX(PARAMETROS_CULTURAS!$G$6:$G$28,$P1402),INDEX(PARAMETROS_CULTURAS!$K$6:$K$28,$P1402)+(INDEX(PARAMETROS_CULTURAS!$L$6:$L$28,$P1402)-INDEX(PARAMETROS_CULTURAS!$K$6:$K$28,$P1402))*($O1402-INDEX(PARAMETROS_CULTURAS!$F$6:$F$28,$P1402))/MAX(INDEX(PARAMETROS_CULTURAS!$G$6:$G$28,$P1402),0.0001),IF($O1402&lt;=INDEX(PARAMETROS_CULTURAS!$F$6:$F$28,$P1402)+INDEX(PARAMETROS_CULTURAS!$G$6:$G$28,$P1402)+INDEX(PARAMETROS_CULTURAS!$H$6:$H$28,$P1402),INDEX(PARAMETROS_CULTURAS!$L$6:$L$28,$P1402),INDEX(PARAMETROS_CULTURAS!$L$6:$L$28,$P1402)+(INDEX(PARAMETROS_CULTURAS!$M$6:$M$28,$P1402)-INDEX(PARAMETROS_CULTURAS!$L$6:$L$28,$P1402))*($O1402-INDEX(PARAMETROS_CULTURAS!$F$6:$F$28,$P1402)-INDEX(PARAMETROS_CULTURAS!$G$6:$G$28,$P1402)-INDEX(PARAMETROS_CULTURAS!$H$6:$H$28,$P1402))/MAX(INDEX(PARAMETROS_CULTURAS!$I$6:$I$28,$P1402),0.0001)))))</f>
        <v>0.721589205397301</v>
      </c>
      <c r="S1402" s="18" t="n">
        <f aca="false">IFERROR(INDEX(SEMANAS!$H$6:$H$71,MATCH($B1402,SEMANAS!$B$6:$B$71,0)),0)</f>
        <v>34.3</v>
      </c>
      <c r="T1402" s="18" t="n">
        <f aca="false">$R1402*$S1402</f>
        <v>24.7505097451274</v>
      </c>
      <c r="U1402" s="18" t="n">
        <f aca="false">IFERROR(INDEX(SEMANAS!$I$6:$I$71,MATCH($B1402,SEMANAS!$B$6:$B$71,0)),0)</f>
        <v>46.69</v>
      </c>
      <c r="V1402" s="18" t="n">
        <f aca="false">IFERROR(INDEX(SEMANAS!$J$6:$J$71,MATCH($B1402,SEMANAS!$B$6:$B$71,0)),0)</f>
        <v>37.352</v>
      </c>
      <c r="W1402" s="18" t="n">
        <f aca="false">MAX(0,$T1402-$V1402)</f>
        <v>0</v>
      </c>
      <c r="X1402" s="19" t="n">
        <f aca="false">IFERROR(INDEX(CADASTRO_PIVOS!$K$6:$K$41,MATCH($E1402,CADASTRO_PIVOS!$B$6:$B$41,0)),EFICIENCIA_PADRAO)</f>
        <v>0.85</v>
      </c>
      <c r="Y1402" s="18" t="n">
        <f aca="false">IF($X1402&lt;=0,0,$W1402/$X1402)</f>
        <v>0</v>
      </c>
      <c r="Z1402" s="16" t="n">
        <f aca="false">$Y1402*$H1402*MM_PARA_M3_HA</f>
        <v>0</v>
      </c>
      <c r="AA1402" s="18" t="n">
        <f aca="false">IFERROR(INDEX(CADASTRO_PIVOS!$I$6:$I$41,MATCH($E1402,CADASTRO_PIVOS!$B$6:$B$41,0)),0)</f>
        <v>710.571428571429</v>
      </c>
      <c r="AB1402" s="18" t="n">
        <f aca="false">IF($Z1402&lt;=0,0,$Z1402/$AA1402)</f>
        <v>0</v>
      </c>
      <c r="AC1402" s="16" t="n">
        <f aca="false">IFERROR(INDEX(SEMANAS!$K$6:$K$71,MATCH($B1402,SEMANAS!$B$6:$B$71,0)),0)</f>
        <v>147</v>
      </c>
      <c r="AD1402" s="19" t="n">
        <f aca="false">IF($AC1402&lt;=0,0,$AB1402/$AC1402)</f>
        <v>0</v>
      </c>
      <c r="AE1402" s="8" t="str">
        <f aca="false">IF($K1402="SEM CULTURA","SEM CULTURA",IF($AA1402&lt;=0,"DADO PENDENTE",IF($AD1402&gt;LIMITE_CRITICO,"INVIAVEL",IF($AD1402&gt;LIMITE_ATENCAO,"CRITICO",IF($AD1402&gt;LIMITE_CONFORTAVEL,"ATENCAO","OK")))))</f>
        <v>OK</v>
      </c>
      <c r="AF1402" s="8" t="str">
        <f aca="false">$B1402&amp;"|"&amp;TEXT($AD1402,"0.000000")</f>
        <v>11|0.000000</v>
      </c>
      <c r="AG1402" s="18" t="n">
        <f aca="false">IF($K1402="SEM CULTURA",0,$T1402*$H1402)</f>
        <v>2462.18070944528</v>
      </c>
      <c r="AH1402" s="18" t="n">
        <f aca="false">IF($K1402="SEM CULTURA",0,$V1402*$H1402)</f>
        <v>3715.77696</v>
      </c>
      <c r="AI1402" s="18" t="n">
        <f aca="false">IF($K1402="SEM CULTURA",0,$W1402*$H1402)</f>
        <v>0</v>
      </c>
      <c r="AJ1402" s="18" t="n">
        <f aca="false">IF($K1402="SEM CULTURA",0,$S1402*$H1402)</f>
        <v>3412.164</v>
      </c>
      <c r="AK1402" s="8" t="str">
        <f aca="false">$E1402&amp;"|"&amp;TEXT($AD1402,"0.000000")</f>
        <v>PV 129|0.000000</v>
      </c>
    </row>
    <row r="1403" customFormat="false" ht="15" hidden="false" customHeight="false" outlineLevel="0" collapsed="false">
      <c r="B1403" s="16" t="n">
        <v>12</v>
      </c>
      <c r="C1403" s="17" t="n">
        <f aca="false">DATA_INICIO_SAFRA+($B1403-1)*DIAS_POR_SEMANA</f>
        <v>46342</v>
      </c>
      <c r="D1403" s="17" t="n">
        <f aca="false">$C1403+DIAS_POR_SEMANA-1</f>
        <v>46348</v>
      </c>
      <c r="E1403" s="15" t="s">
        <v>280</v>
      </c>
      <c r="F1403" s="8" t="str">
        <f aca="false">IFERROR(INDEX(CADASTRO_PIVOS!$C$6:$C$41,MATCH($E1403,CADASTRO_PIVOS!$B$6:$B$41,0)),"?")</f>
        <v>RM06</v>
      </c>
      <c r="G1403" s="8" t="str">
        <f aca="false">IFERROR(INDEX(CADASTRO_PIVOS!$D$6:$D$41,MATCH($E1403,CADASTRO_PIVOS!$B$6:$B$41,0)),"?")</f>
        <v>TR06</v>
      </c>
      <c r="H1403" s="20" t="n">
        <f aca="false">IFERROR(INDEX(CADASTRO_PIVOS!$E$6:$E$41,MATCH($E1403,CADASTRO_PIVOS!$B$6:$B$41,0)),0)</f>
        <v>99.48</v>
      </c>
      <c r="I1403" s="16" t="n">
        <f aca="false">IFERROR(SUMIFS(ROTACAO_RDM!$B$6:$B$71,ROTACAO_RDM!$D$6:$D$71,$E1403,ROTACAO_RDM!$I$6:$I$71,"&lt;="&amp;$C1403+INT(DIAS_POR_SEMANA/2),ROTACAO_RDM!$J$6:$J$71,"&gt;="&amp;$C1403+INT(DIAS_POR_SEMANA/2)),0)</f>
        <v>55</v>
      </c>
      <c r="J1403" s="16" t="n">
        <f aca="false">IFERROR(MATCH($I1403,ROTACAO_RDM!$B$6:$B$71,0),0)</f>
        <v>55</v>
      </c>
      <c r="K1403" s="8" t="str">
        <f aca="false">IF($J1403=0,"SEM CULTURA",INDEX(ROTACAO_RDM!$F$6:$F$71,$J1403))</f>
        <v>SOJA</v>
      </c>
      <c r="L1403" s="8" t="str">
        <f aca="false">IF($J1403=0,"",INDEX(ROTACAO_RDM!$G$6:$G$71,$J1403))</f>
        <v>NEO 761 I2X</v>
      </c>
      <c r="M1403" s="17" t="n">
        <f aca="false">IF($J1403=0,"",INDEX(ROTACAO_RDM!$I$6:$I$71,$J1403))</f>
        <v>46308</v>
      </c>
      <c r="N1403" s="16" t="n">
        <f aca="false">IF($J1403=0,0,MAX(0,$C1403+INT(DIAS_POR_SEMANA/2)-INDEX(ROTACAO_RDM!$I$6:$I$71,$J1403)))</f>
        <v>37</v>
      </c>
      <c r="O1403" s="19" t="n">
        <f aca="false">IF($J1403=0,0,MIN(1,$N1403/MAX(1,INDEX(ROTACAO_RDM!$K$6:$K$71,$J1403))))</f>
        <v>0.318965517241379</v>
      </c>
      <c r="P1403" s="16" t="n">
        <f aca="false">IF($J1403=0,0,IFERROR(MATCH(INDEX(ROTACAO_RDM!$N$6:$N$71,$J1403),PARAMETROS_CULTURAS!$B$6:$B$28,0),0))</f>
        <v>2</v>
      </c>
      <c r="Q1403" s="8" t="str">
        <f aca="false">IF($P1403=0,"-",IF($O1403&lt;=INDEX(PARAMETROS_CULTURAS!$F$6:$F$28,$P1403),"INICIAL",IF($O1403&lt;=INDEX(PARAMETROS_CULTURAS!$F$6:$F$28,$P1403)+INDEX(PARAMETROS_CULTURAS!$G$6:$G$28,$P1403),"DESENVOLVIMENTO",IF($O1403&lt;=INDEX(PARAMETROS_CULTURAS!$F$6:$F$28,$P1403)+INDEX(PARAMETROS_CULTURAS!$G$6:$G$28,$P1403)+INDEX(PARAMETROS_CULTURAS!$H$6:$H$28,$P1403),"MEDIA","FINAL"))))</f>
        <v>DESENVOLVIMENTO</v>
      </c>
      <c r="R1403" s="24" t="n">
        <f aca="false">IF($P1403=0,0,IF($O1403&lt;=INDEX(PARAMETROS_CULTURAS!$F$6:$F$28,$P1403),INDEX(PARAMETROS_CULTURAS!$K$6:$K$28,$P1403),IF($O1403&lt;=INDEX(PARAMETROS_CULTURAS!$F$6:$F$28,$P1403)+INDEX(PARAMETROS_CULTURAS!$G$6:$G$28,$P1403),INDEX(PARAMETROS_CULTURAS!$K$6:$K$28,$P1403)+(INDEX(PARAMETROS_CULTURAS!$L$6:$L$28,$P1403)-INDEX(PARAMETROS_CULTURAS!$K$6:$K$28,$P1403))*($O1403-INDEX(PARAMETROS_CULTURAS!$F$6:$F$28,$P1403))/MAX(INDEX(PARAMETROS_CULTURAS!$G$6:$G$28,$P1403),0.0001),IF($O1403&lt;=INDEX(PARAMETROS_CULTURAS!$F$6:$F$28,$P1403)+INDEX(PARAMETROS_CULTURAS!$G$6:$G$28,$P1403)+INDEX(PARAMETROS_CULTURAS!$H$6:$H$28,$P1403),INDEX(PARAMETROS_CULTURAS!$L$6:$L$28,$P1403),INDEX(PARAMETROS_CULTURAS!$L$6:$L$28,$P1403)+(INDEX(PARAMETROS_CULTURAS!$M$6:$M$28,$P1403)-INDEX(PARAMETROS_CULTURAS!$L$6:$L$28,$P1403))*($O1403-INDEX(PARAMETROS_CULTURAS!$F$6:$F$28,$P1403)-INDEX(PARAMETROS_CULTURAS!$G$6:$G$28,$P1403)-INDEX(PARAMETROS_CULTURAS!$H$6:$H$28,$P1403))/MAX(INDEX(PARAMETROS_CULTURAS!$I$6:$I$28,$P1403),0.0001)))))</f>
        <v>0.918365817091454</v>
      </c>
      <c r="S1403" s="18" t="n">
        <f aca="false">IFERROR(INDEX(SEMANAS!$H$6:$H$71,MATCH($B1403,SEMANAS!$B$6:$B$71,0)),0)</f>
        <v>34.3</v>
      </c>
      <c r="T1403" s="18" t="n">
        <f aca="false">$R1403*$S1403</f>
        <v>31.4999475262369</v>
      </c>
      <c r="U1403" s="18" t="n">
        <f aca="false">IFERROR(INDEX(SEMANAS!$I$6:$I$71,MATCH($B1403,SEMANAS!$B$6:$B$71,0)),0)</f>
        <v>46.69</v>
      </c>
      <c r="V1403" s="18" t="n">
        <f aca="false">IFERROR(INDEX(SEMANAS!$J$6:$J$71,MATCH($B1403,SEMANAS!$B$6:$B$71,0)),0)</f>
        <v>37.352</v>
      </c>
      <c r="W1403" s="18" t="n">
        <f aca="false">MAX(0,$T1403-$V1403)</f>
        <v>0</v>
      </c>
      <c r="X1403" s="19" t="n">
        <f aca="false">IFERROR(INDEX(CADASTRO_PIVOS!$K$6:$K$41,MATCH($E1403,CADASTRO_PIVOS!$B$6:$B$41,0)),EFICIENCIA_PADRAO)</f>
        <v>0.85</v>
      </c>
      <c r="Y1403" s="18" t="n">
        <f aca="false">IF($X1403&lt;=0,0,$W1403/$X1403)</f>
        <v>0</v>
      </c>
      <c r="Z1403" s="16" t="n">
        <f aca="false">$Y1403*$H1403*MM_PARA_M3_HA</f>
        <v>0</v>
      </c>
      <c r="AA1403" s="18" t="n">
        <f aca="false">IFERROR(INDEX(CADASTRO_PIVOS!$I$6:$I$41,MATCH($E1403,CADASTRO_PIVOS!$B$6:$B$41,0)),0)</f>
        <v>710.571428571429</v>
      </c>
      <c r="AB1403" s="18" t="n">
        <f aca="false">IF($Z1403&lt;=0,0,$Z1403/$AA1403)</f>
        <v>0</v>
      </c>
      <c r="AC1403" s="16" t="n">
        <f aca="false">IFERROR(INDEX(SEMANAS!$K$6:$K$71,MATCH($B1403,SEMANAS!$B$6:$B$71,0)),0)</f>
        <v>147</v>
      </c>
      <c r="AD1403" s="19" t="n">
        <f aca="false">IF($AC1403&lt;=0,0,$AB1403/$AC1403)</f>
        <v>0</v>
      </c>
      <c r="AE1403" s="8" t="str">
        <f aca="false">IF($K1403="SEM CULTURA","SEM CULTURA",IF($AA1403&lt;=0,"DADO PENDENTE",IF($AD1403&gt;LIMITE_CRITICO,"INVIAVEL",IF($AD1403&gt;LIMITE_ATENCAO,"CRITICO",IF($AD1403&gt;LIMITE_CONFORTAVEL,"ATENCAO","OK")))))</f>
        <v>OK</v>
      </c>
      <c r="AF1403" s="8" t="str">
        <f aca="false">$B1403&amp;"|"&amp;TEXT($AD1403,"0.000000")</f>
        <v>12|0.000000</v>
      </c>
      <c r="AG1403" s="18" t="n">
        <f aca="false">IF($K1403="SEM CULTURA",0,$T1403*$H1403)</f>
        <v>3133.61477991005</v>
      </c>
      <c r="AH1403" s="18" t="n">
        <f aca="false">IF($K1403="SEM CULTURA",0,$V1403*$H1403)</f>
        <v>3715.77696</v>
      </c>
      <c r="AI1403" s="18" t="n">
        <f aca="false">IF($K1403="SEM CULTURA",0,$W1403*$H1403)</f>
        <v>0</v>
      </c>
      <c r="AJ1403" s="18" t="n">
        <f aca="false">IF($K1403="SEM CULTURA",0,$S1403*$H1403)</f>
        <v>3412.164</v>
      </c>
      <c r="AK1403" s="8" t="str">
        <f aca="false">$E1403&amp;"|"&amp;TEXT($AD1403,"0.000000")</f>
        <v>PV 129|0.000000</v>
      </c>
    </row>
    <row r="1404" customFormat="false" ht="15" hidden="false" customHeight="false" outlineLevel="0" collapsed="false">
      <c r="B1404" s="16" t="n">
        <v>13</v>
      </c>
      <c r="C1404" s="17" t="n">
        <f aca="false">DATA_INICIO_SAFRA+($B1404-1)*DIAS_POR_SEMANA</f>
        <v>46349</v>
      </c>
      <c r="D1404" s="17" t="n">
        <f aca="false">$C1404+DIAS_POR_SEMANA-1</f>
        <v>46355</v>
      </c>
      <c r="E1404" s="15" t="s">
        <v>280</v>
      </c>
      <c r="F1404" s="8" t="str">
        <f aca="false">IFERROR(INDEX(CADASTRO_PIVOS!$C$6:$C$41,MATCH($E1404,CADASTRO_PIVOS!$B$6:$B$41,0)),"?")</f>
        <v>RM06</v>
      </c>
      <c r="G1404" s="8" t="str">
        <f aca="false">IFERROR(INDEX(CADASTRO_PIVOS!$D$6:$D$41,MATCH($E1404,CADASTRO_PIVOS!$B$6:$B$41,0)),"?")</f>
        <v>TR06</v>
      </c>
      <c r="H1404" s="20" t="n">
        <f aca="false">IFERROR(INDEX(CADASTRO_PIVOS!$E$6:$E$41,MATCH($E1404,CADASTRO_PIVOS!$B$6:$B$41,0)),0)</f>
        <v>99.48</v>
      </c>
      <c r="I1404" s="16" t="n">
        <f aca="false">IFERROR(SUMIFS(ROTACAO_RDM!$B$6:$B$71,ROTACAO_RDM!$D$6:$D$71,$E1404,ROTACAO_RDM!$I$6:$I$71,"&lt;="&amp;$C1404+INT(DIAS_POR_SEMANA/2),ROTACAO_RDM!$J$6:$J$71,"&gt;="&amp;$C1404+INT(DIAS_POR_SEMANA/2)),0)</f>
        <v>55</v>
      </c>
      <c r="J1404" s="16" t="n">
        <f aca="false">IFERROR(MATCH($I1404,ROTACAO_RDM!$B$6:$B$71,0),0)</f>
        <v>55</v>
      </c>
      <c r="K1404" s="8" t="str">
        <f aca="false">IF($J1404=0,"SEM CULTURA",INDEX(ROTACAO_RDM!$F$6:$F$71,$J1404))</f>
        <v>SOJA</v>
      </c>
      <c r="L1404" s="8" t="str">
        <f aca="false">IF($J1404=0,"",INDEX(ROTACAO_RDM!$G$6:$G$71,$J1404))</f>
        <v>NEO 761 I2X</v>
      </c>
      <c r="M1404" s="17" t="n">
        <f aca="false">IF($J1404=0,"",INDEX(ROTACAO_RDM!$I$6:$I$71,$J1404))</f>
        <v>46308</v>
      </c>
      <c r="N1404" s="16" t="n">
        <f aca="false">IF($J1404=0,0,MAX(0,$C1404+INT(DIAS_POR_SEMANA/2)-INDEX(ROTACAO_RDM!$I$6:$I$71,$J1404)))</f>
        <v>44</v>
      </c>
      <c r="O1404" s="19" t="n">
        <f aca="false">IF($J1404=0,0,MIN(1,$N1404/MAX(1,INDEX(ROTACAO_RDM!$K$6:$K$71,$J1404))))</f>
        <v>0.379310344827586</v>
      </c>
      <c r="P1404" s="16" t="n">
        <f aca="false">IF($J1404=0,0,IFERROR(MATCH(INDEX(ROTACAO_RDM!$N$6:$N$71,$J1404),PARAMETROS_CULTURAS!$B$6:$B$28,0),0))</f>
        <v>2</v>
      </c>
      <c r="Q1404" s="8" t="str">
        <f aca="false">IF($P1404=0,"-",IF($O1404&lt;=INDEX(PARAMETROS_CULTURAS!$F$6:$F$28,$P1404),"INICIAL",IF($O1404&lt;=INDEX(PARAMETROS_CULTURAS!$F$6:$F$28,$P1404)+INDEX(PARAMETROS_CULTURAS!$G$6:$G$28,$P1404),"DESENVOLVIMENTO",IF($O1404&lt;=INDEX(PARAMETROS_CULTURAS!$F$6:$F$28,$P1404)+INDEX(PARAMETROS_CULTURAS!$G$6:$G$28,$P1404)+INDEX(PARAMETROS_CULTURAS!$H$6:$H$28,$P1404),"MEDIA","FINAL"))))</f>
        <v>DESENVOLVIMENTO</v>
      </c>
      <c r="R1404" s="24" t="n">
        <f aca="false">IF($P1404=0,0,IF($O1404&lt;=INDEX(PARAMETROS_CULTURAS!$F$6:$F$28,$P1404),INDEX(PARAMETROS_CULTURAS!$K$6:$K$28,$P1404),IF($O1404&lt;=INDEX(PARAMETROS_CULTURAS!$F$6:$F$28,$P1404)+INDEX(PARAMETROS_CULTURAS!$G$6:$G$28,$P1404),INDEX(PARAMETROS_CULTURAS!$K$6:$K$28,$P1404)+(INDEX(PARAMETROS_CULTURAS!$L$6:$L$28,$P1404)-INDEX(PARAMETROS_CULTURAS!$K$6:$K$28,$P1404))*($O1404-INDEX(PARAMETROS_CULTURAS!$F$6:$F$28,$P1404))/MAX(INDEX(PARAMETROS_CULTURAS!$G$6:$G$28,$P1404),0.0001),IF($O1404&lt;=INDEX(PARAMETROS_CULTURAS!$F$6:$F$28,$P1404)+INDEX(PARAMETROS_CULTURAS!$G$6:$G$28,$P1404)+INDEX(PARAMETROS_CULTURAS!$H$6:$H$28,$P1404),INDEX(PARAMETROS_CULTURAS!$L$6:$L$28,$P1404),INDEX(PARAMETROS_CULTURAS!$L$6:$L$28,$P1404)+(INDEX(PARAMETROS_CULTURAS!$M$6:$M$28,$P1404)-INDEX(PARAMETROS_CULTURAS!$L$6:$L$28,$P1404))*($O1404-INDEX(PARAMETROS_CULTURAS!$F$6:$F$28,$P1404)-INDEX(PARAMETROS_CULTURAS!$G$6:$G$28,$P1404)-INDEX(PARAMETROS_CULTURAS!$H$6:$H$28,$P1404))/MAX(INDEX(PARAMETROS_CULTURAS!$I$6:$I$28,$P1404),0.0001)))))</f>
        <v>1.11514242878561</v>
      </c>
      <c r="S1404" s="18" t="n">
        <f aca="false">IFERROR(INDEX(SEMANAS!$H$6:$H$71,MATCH($B1404,SEMANAS!$B$6:$B$71,0)),0)</f>
        <v>34.3</v>
      </c>
      <c r="T1404" s="18" t="n">
        <f aca="false">$R1404*$S1404</f>
        <v>38.2493853073463</v>
      </c>
      <c r="U1404" s="18" t="n">
        <f aca="false">IFERROR(INDEX(SEMANAS!$I$6:$I$71,MATCH($B1404,SEMANAS!$B$6:$B$71,0)),0)</f>
        <v>46.69</v>
      </c>
      <c r="V1404" s="18" t="n">
        <f aca="false">IFERROR(INDEX(SEMANAS!$J$6:$J$71,MATCH($B1404,SEMANAS!$B$6:$B$71,0)),0)</f>
        <v>37.352</v>
      </c>
      <c r="W1404" s="18" t="n">
        <f aca="false">MAX(0,$T1404-$V1404)</f>
        <v>0.897385307346326</v>
      </c>
      <c r="X1404" s="19" t="n">
        <f aca="false">IFERROR(INDEX(CADASTRO_PIVOS!$K$6:$K$41,MATCH($E1404,CADASTRO_PIVOS!$B$6:$B$41,0)),EFICIENCIA_PADRAO)</f>
        <v>0.85</v>
      </c>
      <c r="Y1404" s="18" t="n">
        <f aca="false">IF($X1404&lt;=0,0,$W1404/$X1404)</f>
        <v>1.05574742040744</v>
      </c>
      <c r="Z1404" s="16" t="n">
        <f aca="false">$Y1404*$H1404*MM_PARA_M3_HA</f>
        <v>1050.25753382132</v>
      </c>
      <c r="AA1404" s="18" t="n">
        <f aca="false">IFERROR(INDEX(CADASTRO_PIVOS!$I$6:$I$41,MATCH($E1404,CADASTRO_PIVOS!$B$6:$B$41,0)),0)</f>
        <v>710.571428571429</v>
      </c>
      <c r="AB1404" s="18" t="n">
        <f aca="false">IF($Z1404&lt;=0,0,$Z1404/$AA1404)</f>
        <v>1.47804638857042</v>
      </c>
      <c r="AC1404" s="16" t="n">
        <f aca="false">IFERROR(INDEX(SEMANAS!$K$6:$K$71,MATCH($B1404,SEMANAS!$B$6:$B$71,0)),0)</f>
        <v>147</v>
      </c>
      <c r="AD1404" s="19" t="n">
        <f aca="false">IF($AC1404&lt;=0,0,$AB1404/$AC1404)</f>
        <v>0.0100547373372137</v>
      </c>
      <c r="AE1404" s="8" t="str">
        <f aca="false">IF($K1404="SEM CULTURA","SEM CULTURA",IF($AA1404&lt;=0,"DADO PENDENTE",IF($AD1404&gt;LIMITE_CRITICO,"INVIAVEL",IF($AD1404&gt;LIMITE_ATENCAO,"CRITICO",IF($AD1404&gt;LIMITE_CONFORTAVEL,"ATENCAO","OK")))))</f>
        <v>OK</v>
      </c>
      <c r="AF1404" s="8" t="str">
        <f aca="false">$B1404&amp;"|"&amp;TEXT($AD1404,"0.000000")</f>
        <v>13|0.010055</v>
      </c>
      <c r="AG1404" s="18" t="n">
        <f aca="false">IF($K1404="SEM CULTURA",0,$T1404*$H1404)</f>
        <v>3805.04885037481</v>
      </c>
      <c r="AH1404" s="18" t="n">
        <f aca="false">IF($K1404="SEM CULTURA",0,$V1404*$H1404)</f>
        <v>3715.77696</v>
      </c>
      <c r="AI1404" s="18" t="n">
        <f aca="false">IF($K1404="SEM CULTURA",0,$W1404*$H1404)</f>
        <v>89.2718903748125</v>
      </c>
      <c r="AJ1404" s="18" t="n">
        <f aca="false">IF($K1404="SEM CULTURA",0,$S1404*$H1404)</f>
        <v>3412.164</v>
      </c>
      <c r="AK1404" s="8" t="str">
        <f aca="false">$E1404&amp;"|"&amp;TEXT($AD1404,"0.000000")</f>
        <v>PV 129|0.010055</v>
      </c>
    </row>
    <row r="1405" customFormat="false" ht="15" hidden="false" customHeight="false" outlineLevel="0" collapsed="false">
      <c r="B1405" s="16" t="n">
        <v>14</v>
      </c>
      <c r="C1405" s="17" t="n">
        <f aca="false">DATA_INICIO_SAFRA+($B1405-1)*DIAS_POR_SEMANA</f>
        <v>46356</v>
      </c>
      <c r="D1405" s="17" t="n">
        <f aca="false">$C1405+DIAS_POR_SEMANA-1</f>
        <v>46362</v>
      </c>
      <c r="E1405" s="15" t="s">
        <v>280</v>
      </c>
      <c r="F1405" s="8" t="str">
        <f aca="false">IFERROR(INDEX(CADASTRO_PIVOS!$C$6:$C$41,MATCH($E1405,CADASTRO_PIVOS!$B$6:$B$41,0)),"?")</f>
        <v>RM06</v>
      </c>
      <c r="G1405" s="8" t="str">
        <f aca="false">IFERROR(INDEX(CADASTRO_PIVOS!$D$6:$D$41,MATCH($E1405,CADASTRO_PIVOS!$B$6:$B$41,0)),"?")</f>
        <v>TR06</v>
      </c>
      <c r="H1405" s="20" t="n">
        <f aca="false">IFERROR(INDEX(CADASTRO_PIVOS!$E$6:$E$41,MATCH($E1405,CADASTRO_PIVOS!$B$6:$B$41,0)),0)</f>
        <v>99.48</v>
      </c>
      <c r="I1405" s="16" t="n">
        <f aca="false">IFERROR(SUMIFS(ROTACAO_RDM!$B$6:$B$71,ROTACAO_RDM!$D$6:$D$71,$E1405,ROTACAO_RDM!$I$6:$I$71,"&lt;="&amp;$C1405+INT(DIAS_POR_SEMANA/2),ROTACAO_RDM!$J$6:$J$71,"&gt;="&amp;$C1405+INT(DIAS_POR_SEMANA/2)),0)</f>
        <v>55</v>
      </c>
      <c r="J1405" s="16" t="n">
        <f aca="false">IFERROR(MATCH($I1405,ROTACAO_RDM!$B$6:$B$71,0),0)</f>
        <v>55</v>
      </c>
      <c r="K1405" s="8" t="str">
        <f aca="false">IF($J1405=0,"SEM CULTURA",INDEX(ROTACAO_RDM!$F$6:$F$71,$J1405))</f>
        <v>SOJA</v>
      </c>
      <c r="L1405" s="8" t="str">
        <f aca="false">IF($J1405=0,"",INDEX(ROTACAO_RDM!$G$6:$G$71,$J1405))</f>
        <v>NEO 761 I2X</v>
      </c>
      <c r="M1405" s="17" t="n">
        <f aca="false">IF($J1405=0,"",INDEX(ROTACAO_RDM!$I$6:$I$71,$J1405))</f>
        <v>46308</v>
      </c>
      <c r="N1405" s="16" t="n">
        <f aca="false">IF($J1405=0,0,MAX(0,$C1405+INT(DIAS_POR_SEMANA/2)-INDEX(ROTACAO_RDM!$I$6:$I$71,$J1405)))</f>
        <v>51</v>
      </c>
      <c r="O1405" s="19" t="n">
        <f aca="false">IF($J1405=0,0,MIN(1,$N1405/MAX(1,INDEX(ROTACAO_RDM!$K$6:$K$71,$J1405))))</f>
        <v>0.439655172413793</v>
      </c>
      <c r="P1405" s="16" t="n">
        <f aca="false">IF($J1405=0,0,IFERROR(MATCH(INDEX(ROTACAO_RDM!$N$6:$N$71,$J1405),PARAMETROS_CULTURAS!$B$6:$B$28,0),0))</f>
        <v>2</v>
      </c>
      <c r="Q1405" s="8" t="str">
        <f aca="false">IF($P1405=0,"-",IF($O1405&lt;=INDEX(PARAMETROS_CULTURAS!$F$6:$F$28,$P1405),"INICIAL",IF($O1405&lt;=INDEX(PARAMETROS_CULTURAS!$F$6:$F$28,$P1405)+INDEX(PARAMETROS_CULTURAS!$G$6:$G$28,$P1405),"DESENVOLVIMENTO",IF($O1405&lt;=INDEX(PARAMETROS_CULTURAS!$F$6:$F$28,$P1405)+INDEX(PARAMETROS_CULTURAS!$G$6:$G$28,$P1405)+INDEX(PARAMETROS_CULTURAS!$H$6:$H$28,$P1405),"MEDIA","FINAL"))))</f>
        <v>MEDIA</v>
      </c>
      <c r="R1405" s="24" t="n">
        <f aca="false">IF($P1405=0,0,IF($O1405&lt;=INDEX(PARAMETROS_CULTURAS!$F$6:$F$28,$P1405),INDEX(PARAMETROS_CULTURAS!$K$6:$K$28,$P1405),IF($O1405&lt;=INDEX(PARAMETROS_CULTURAS!$F$6:$F$28,$P1405)+INDEX(PARAMETROS_CULTURAS!$G$6:$G$28,$P1405),INDEX(PARAMETROS_CULTURAS!$K$6:$K$28,$P1405)+(INDEX(PARAMETROS_CULTURAS!$L$6:$L$28,$P1405)-INDEX(PARAMETROS_CULTURAS!$K$6:$K$28,$P1405))*($O1405-INDEX(PARAMETROS_CULTURAS!$F$6:$F$28,$P1405))/MAX(INDEX(PARAMETROS_CULTURAS!$G$6:$G$28,$P1405),0.0001),IF($O1405&lt;=INDEX(PARAMETROS_CULTURAS!$F$6:$F$28,$P1405)+INDEX(PARAMETROS_CULTURAS!$G$6:$G$28,$P1405)+INDEX(PARAMETROS_CULTURAS!$H$6:$H$28,$P1405),INDEX(PARAMETROS_CULTURAS!$L$6:$L$28,$P1405),INDEX(PARAMETROS_CULTURAS!$L$6:$L$28,$P1405)+(INDEX(PARAMETROS_CULTURAS!$M$6:$M$28,$P1405)-INDEX(PARAMETROS_CULTURAS!$L$6:$L$28,$P1405))*($O1405-INDEX(PARAMETROS_CULTURAS!$F$6:$F$28,$P1405)-INDEX(PARAMETROS_CULTURAS!$G$6:$G$28,$P1405)-INDEX(PARAMETROS_CULTURAS!$H$6:$H$28,$P1405))/MAX(INDEX(PARAMETROS_CULTURAS!$I$6:$I$28,$P1405),0.0001)))))</f>
        <v>1.15</v>
      </c>
      <c r="S1405" s="18" t="n">
        <f aca="false">IFERROR(INDEX(SEMANAS!$H$6:$H$71,MATCH($B1405,SEMANAS!$B$6:$B$71,0)),0)</f>
        <v>33.1</v>
      </c>
      <c r="T1405" s="18" t="n">
        <f aca="false">$R1405*$S1405</f>
        <v>38.065</v>
      </c>
      <c r="U1405" s="18" t="n">
        <f aca="false">IFERROR(INDEX(SEMANAS!$I$6:$I$71,MATCH($B1405,SEMANAS!$B$6:$B$71,0)),0)</f>
        <v>48.31</v>
      </c>
      <c r="V1405" s="18" t="n">
        <f aca="false">IFERROR(INDEX(SEMANAS!$J$6:$J$71,MATCH($B1405,SEMANAS!$B$6:$B$71,0)),0)</f>
        <v>38.648</v>
      </c>
      <c r="W1405" s="18" t="n">
        <f aca="false">MAX(0,$T1405-$V1405)</f>
        <v>0</v>
      </c>
      <c r="X1405" s="19" t="n">
        <f aca="false">IFERROR(INDEX(CADASTRO_PIVOS!$K$6:$K$41,MATCH($E1405,CADASTRO_PIVOS!$B$6:$B$41,0)),EFICIENCIA_PADRAO)</f>
        <v>0.85</v>
      </c>
      <c r="Y1405" s="18" t="n">
        <f aca="false">IF($X1405&lt;=0,0,$W1405/$X1405)</f>
        <v>0</v>
      </c>
      <c r="Z1405" s="16" t="n">
        <f aca="false">$Y1405*$H1405*MM_PARA_M3_HA</f>
        <v>0</v>
      </c>
      <c r="AA1405" s="18" t="n">
        <f aca="false">IFERROR(INDEX(CADASTRO_PIVOS!$I$6:$I$41,MATCH($E1405,CADASTRO_PIVOS!$B$6:$B$41,0)),0)</f>
        <v>710.571428571429</v>
      </c>
      <c r="AB1405" s="18" t="n">
        <f aca="false">IF($Z1405&lt;=0,0,$Z1405/$AA1405)</f>
        <v>0</v>
      </c>
      <c r="AC1405" s="16" t="n">
        <f aca="false">IFERROR(INDEX(SEMANAS!$K$6:$K$71,MATCH($B1405,SEMANAS!$B$6:$B$71,0)),0)</f>
        <v>147</v>
      </c>
      <c r="AD1405" s="19" t="n">
        <f aca="false">IF($AC1405&lt;=0,0,$AB1405/$AC1405)</f>
        <v>0</v>
      </c>
      <c r="AE1405" s="8" t="str">
        <f aca="false">IF($K1405="SEM CULTURA","SEM CULTURA",IF($AA1405&lt;=0,"DADO PENDENTE",IF($AD1405&gt;LIMITE_CRITICO,"INVIAVEL",IF($AD1405&gt;LIMITE_ATENCAO,"CRITICO",IF($AD1405&gt;LIMITE_CONFORTAVEL,"ATENCAO","OK")))))</f>
        <v>OK</v>
      </c>
      <c r="AF1405" s="8" t="str">
        <f aca="false">$B1405&amp;"|"&amp;TEXT($AD1405,"0.000000")</f>
        <v>14|0.000000</v>
      </c>
      <c r="AG1405" s="18" t="n">
        <f aca="false">IF($K1405="SEM CULTURA",0,$T1405*$H1405)</f>
        <v>3786.7062</v>
      </c>
      <c r="AH1405" s="18" t="n">
        <f aca="false">IF($K1405="SEM CULTURA",0,$V1405*$H1405)</f>
        <v>3844.70304</v>
      </c>
      <c r="AI1405" s="18" t="n">
        <f aca="false">IF($K1405="SEM CULTURA",0,$W1405*$H1405)</f>
        <v>0</v>
      </c>
      <c r="AJ1405" s="18" t="n">
        <f aca="false">IF($K1405="SEM CULTURA",0,$S1405*$H1405)</f>
        <v>3292.788</v>
      </c>
      <c r="AK1405" s="8" t="str">
        <f aca="false">$E1405&amp;"|"&amp;TEXT($AD1405,"0.000000")</f>
        <v>PV 129|0.000000</v>
      </c>
    </row>
    <row r="1406" customFormat="false" ht="15" hidden="false" customHeight="false" outlineLevel="0" collapsed="false">
      <c r="B1406" s="16" t="n">
        <v>15</v>
      </c>
      <c r="C1406" s="17" t="n">
        <f aca="false">DATA_INICIO_SAFRA+($B1406-1)*DIAS_POR_SEMANA</f>
        <v>46363</v>
      </c>
      <c r="D1406" s="17" t="n">
        <f aca="false">$C1406+DIAS_POR_SEMANA-1</f>
        <v>46369</v>
      </c>
      <c r="E1406" s="15" t="s">
        <v>280</v>
      </c>
      <c r="F1406" s="8" t="str">
        <f aca="false">IFERROR(INDEX(CADASTRO_PIVOS!$C$6:$C$41,MATCH($E1406,CADASTRO_PIVOS!$B$6:$B$41,0)),"?")</f>
        <v>RM06</v>
      </c>
      <c r="G1406" s="8" t="str">
        <f aca="false">IFERROR(INDEX(CADASTRO_PIVOS!$D$6:$D$41,MATCH($E1406,CADASTRO_PIVOS!$B$6:$B$41,0)),"?")</f>
        <v>TR06</v>
      </c>
      <c r="H1406" s="20" t="n">
        <f aca="false">IFERROR(INDEX(CADASTRO_PIVOS!$E$6:$E$41,MATCH($E1406,CADASTRO_PIVOS!$B$6:$B$41,0)),0)</f>
        <v>99.48</v>
      </c>
      <c r="I1406" s="16" t="n">
        <f aca="false">IFERROR(SUMIFS(ROTACAO_RDM!$B$6:$B$71,ROTACAO_RDM!$D$6:$D$71,$E1406,ROTACAO_RDM!$I$6:$I$71,"&lt;="&amp;$C1406+INT(DIAS_POR_SEMANA/2),ROTACAO_RDM!$J$6:$J$71,"&gt;="&amp;$C1406+INT(DIAS_POR_SEMANA/2)),0)</f>
        <v>55</v>
      </c>
      <c r="J1406" s="16" t="n">
        <f aca="false">IFERROR(MATCH($I1406,ROTACAO_RDM!$B$6:$B$71,0),0)</f>
        <v>55</v>
      </c>
      <c r="K1406" s="8" t="str">
        <f aca="false">IF($J1406=0,"SEM CULTURA",INDEX(ROTACAO_RDM!$F$6:$F$71,$J1406))</f>
        <v>SOJA</v>
      </c>
      <c r="L1406" s="8" t="str">
        <f aca="false">IF($J1406=0,"",INDEX(ROTACAO_RDM!$G$6:$G$71,$J1406))</f>
        <v>NEO 761 I2X</v>
      </c>
      <c r="M1406" s="17" t="n">
        <f aca="false">IF($J1406=0,"",INDEX(ROTACAO_RDM!$I$6:$I$71,$J1406))</f>
        <v>46308</v>
      </c>
      <c r="N1406" s="16" t="n">
        <f aca="false">IF($J1406=0,0,MAX(0,$C1406+INT(DIAS_POR_SEMANA/2)-INDEX(ROTACAO_RDM!$I$6:$I$71,$J1406)))</f>
        <v>58</v>
      </c>
      <c r="O1406" s="19" t="n">
        <f aca="false">IF($J1406=0,0,MIN(1,$N1406/MAX(1,INDEX(ROTACAO_RDM!$K$6:$K$71,$J1406))))</f>
        <v>0.5</v>
      </c>
      <c r="P1406" s="16" t="n">
        <f aca="false">IF($J1406=0,0,IFERROR(MATCH(INDEX(ROTACAO_RDM!$N$6:$N$71,$J1406),PARAMETROS_CULTURAS!$B$6:$B$28,0),0))</f>
        <v>2</v>
      </c>
      <c r="Q1406" s="8" t="str">
        <f aca="false">IF($P1406=0,"-",IF($O1406&lt;=INDEX(PARAMETROS_CULTURAS!$F$6:$F$28,$P1406),"INICIAL",IF($O1406&lt;=INDEX(PARAMETROS_CULTURAS!$F$6:$F$28,$P1406)+INDEX(PARAMETROS_CULTURAS!$G$6:$G$28,$P1406),"DESENVOLVIMENTO",IF($O1406&lt;=INDEX(PARAMETROS_CULTURAS!$F$6:$F$28,$P1406)+INDEX(PARAMETROS_CULTURAS!$G$6:$G$28,$P1406)+INDEX(PARAMETROS_CULTURAS!$H$6:$H$28,$P1406),"MEDIA","FINAL"))))</f>
        <v>MEDIA</v>
      </c>
      <c r="R1406" s="24" t="n">
        <f aca="false">IF($P1406=0,0,IF($O1406&lt;=INDEX(PARAMETROS_CULTURAS!$F$6:$F$28,$P1406),INDEX(PARAMETROS_CULTURAS!$K$6:$K$28,$P1406),IF($O1406&lt;=INDEX(PARAMETROS_CULTURAS!$F$6:$F$28,$P1406)+INDEX(PARAMETROS_CULTURAS!$G$6:$G$28,$P1406),INDEX(PARAMETROS_CULTURAS!$K$6:$K$28,$P1406)+(INDEX(PARAMETROS_CULTURAS!$L$6:$L$28,$P1406)-INDEX(PARAMETROS_CULTURAS!$K$6:$K$28,$P1406))*($O1406-INDEX(PARAMETROS_CULTURAS!$F$6:$F$28,$P1406))/MAX(INDEX(PARAMETROS_CULTURAS!$G$6:$G$28,$P1406),0.0001),IF($O1406&lt;=INDEX(PARAMETROS_CULTURAS!$F$6:$F$28,$P1406)+INDEX(PARAMETROS_CULTURAS!$G$6:$G$28,$P1406)+INDEX(PARAMETROS_CULTURAS!$H$6:$H$28,$P1406),INDEX(PARAMETROS_CULTURAS!$L$6:$L$28,$P1406),INDEX(PARAMETROS_CULTURAS!$L$6:$L$28,$P1406)+(INDEX(PARAMETROS_CULTURAS!$M$6:$M$28,$P1406)-INDEX(PARAMETROS_CULTURAS!$L$6:$L$28,$P1406))*($O1406-INDEX(PARAMETROS_CULTURAS!$F$6:$F$28,$P1406)-INDEX(PARAMETROS_CULTURAS!$G$6:$G$28,$P1406)-INDEX(PARAMETROS_CULTURAS!$H$6:$H$28,$P1406))/MAX(INDEX(PARAMETROS_CULTURAS!$I$6:$I$28,$P1406),0.0001)))))</f>
        <v>1.15</v>
      </c>
      <c r="S1406" s="18" t="n">
        <f aca="false">IFERROR(INDEX(SEMANAS!$H$6:$H$71,MATCH($B1406,SEMANAS!$B$6:$B$71,0)),0)</f>
        <v>32.9</v>
      </c>
      <c r="T1406" s="18" t="n">
        <f aca="false">$R1406*$S1406</f>
        <v>37.835</v>
      </c>
      <c r="U1406" s="18" t="n">
        <f aca="false">IFERROR(INDEX(SEMANAS!$I$6:$I$71,MATCH($B1406,SEMANAS!$B$6:$B$71,0)),0)</f>
        <v>48.58</v>
      </c>
      <c r="V1406" s="18" t="n">
        <f aca="false">IFERROR(INDEX(SEMANAS!$J$6:$J$71,MATCH($B1406,SEMANAS!$B$6:$B$71,0)),0)</f>
        <v>38.864</v>
      </c>
      <c r="W1406" s="18" t="n">
        <f aca="false">MAX(0,$T1406-$V1406)</f>
        <v>0</v>
      </c>
      <c r="X1406" s="19" t="n">
        <f aca="false">IFERROR(INDEX(CADASTRO_PIVOS!$K$6:$K$41,MATCH($E1406,CADASTRO_PIVOS!$B$6:$B$41,0)),EFICIENCIA_PADRAO)</f>
        <v>0.85</v>
      </c>
      <c r="Y1406" s="18" t="n">
        <f aca="false">IF($X1406&lt;=0,0,$W1406/$X1406)</f>
        <v>0</v>
      </c>
      <c r="Z1406" s="16" t="n">
        <f aca="false">$Y1406*$H1406*MM_PARA_M3_HA</f>
        <v>0</v>
      </c>
      <c r="AA1406" s="18" t="n">
        <f aca="false">IFERROR(INDEX(CADASTRO_PIVOS!$I$6:$I$41,MATCH($E1406,CADASTRO_PIVOS!$B$6:$B$41,0)),0)</f>
        <v>710.571428571429</v>
      </c>
      <c r="AB1406" s="18" t="n">
        <f aca="false">IF($Z1406&lt;=0,0,$Z1406/$AA1406)</f>
        <v>0</v>
      </c>
      <c r="AC1406" s="16" t="n">
        <f aca="false">IFERROR(INDEX(SEMANAS!$K$6:$K$71,MATCH($B1406,SEMANAS!$B$6:$B$71,0)),0)</f>
        <v>147</v>
      </c>
      <c r="AD1406" s="19" t="n">
        <f aca="false">IF($AC1406&lt;=0,0,$AB1406/$AC1406)</f>
        <v>0</v>
      </c>
      <c r="AE1406" s="8" t="str">
        <f aca="false">IF($K1406="SEM CULTURA","SEM CULTURA",IF($AA1406&lt;=0,"DADO PENDENTE",IF($AD1406&gt;LIMITE_CRITICO,"INVIAVEL",IF($AD1406&gt;LIMITE_ATENCAO,"CRITICO",IF($AD1406&gt;LIMITE_CONFORTAVEL,"ATENCAO","OK")))))</f>
        <v>OK</v>
      </c>
      <c r="AF1406" s="8" t="str">
        <f aca="false">$B1406&amp;"|"&amp;TEXT($AD1406,"0.000000")</f>
        <v>15|0.000000</v>
      </c>
      <c r="AG1406" s="18" t="n">
        <f aca="false">IF($K1406="SEM CULTURA",0,$T1406*$H1406)</f>
        <v>3763.8258</v>
      </c>
      <c r="AH1406" s="18" t="n">
        <f aca="false">IF($K1406="SEM CULTURA",0,$V1406*$H1406)</f>
        <v>3866.19072</v>
      </c>
      <c r="AI1406" s="18" t="n">
        <f aca="false">IF($K1406="SEM CULTURA",0,$W1406*$H1406)</f>
        <v>0</v>
      </c>
      <c r="AJ1406" s="18" t="n">
        <f aca="false">IF($K1406="SEM CULTURA",0,$S1406*$H1406)</f>
        <v>3272.892</v>
      </c>
      <c r="AK1406" s="8" t="str">
        <f aca="false">$E1406&amp;"|"&amp;TEXT($AD1406,"0.000000")</f>
        <v>PV 129|0.000000</v>
      </c>
    </row>
    <row r="1407" customFormat="false" ht="15" hidden="false" customHeight="false" outlineLevel="0" collapsed="false">
      <c r="B1407" s="16" t="n">
        <v>16</v>
      </c>
      <c r="C1407" s="17" t="n">
        <f aca="false">DATA_INICIO_SAFRA+($B1407-1)*DIAS_POR_SEMANA</f>
        <v>46370</v>
      </c>
      <c r="D1407" s="17" t="n">
        <f aca="false">$C1407+DIAS_POR_SEMANA-1</f>
        <v>46376</v>
      </c>
      <c r="E1407" s="15" t="s">
        <v>280</v>
      </c>
      <c r="F1407" s="8" t="str">
        <f aca="false">IFERROR(INDEX(CADASTRO_PIVOS!$C$6:$C$41,MATCH($E1407,CADASTRO_PIVOS!$B$6:$B$41,0)),"?")</f>
        <v>RM06</v>
      </c>
      <c r="G1407" s="8" t="str">
        <f aca="false">IFERROR(INDEX(CADASTRO_PIVOS!$D$6:$D$41,MATCH($E1407,CADASTRO_PIVOS!$B$6:$B$41,0)),"?")</f>
        <v>TR06</v>
      </c>
      <c r="H1407" s="20" t="n">
        <f aca="false">IFERROR(INDEX(CADASTRO_PIVOS!$E$6:$E$41,MATCH($E1407,CADASTRO_PIVOS!$B$6:$B$41,0)),0)</f>
        <v>99.48</v>
      </c>
      <c r="I1407" s="16" t="n">
        <f aca="false">IFERROR(SUMIFS(ROTACAO_RDM!$B$6:$B$71,ROTACAO_RDM!$D$6:$D$71,$E1407,ROTACAO_RDM!$I$6:$I$71,"&lt;="&amp;$C1407+INT(DIAS_POR_SEMANA/2),ROTACAO_RDM!$J$6:$J$71,"&gt;="&amp;$C1407+INT(DIAS_POR_SEMANA/2)),0)</f>
        <v>55</v>
      </c>
      <c r="J1407" s="16" t="n">
        <f aca="false">IFERROR(MATCH($I1407,ROTACAO_RDM!$B$6:$B$71,0),0)</f>
        <v>55</v>
      </c>
      <c r="K1407" s="8" t="str">
        <f aca="false">IF($J1407=0,"SEM CULTURA",INDEX(ROTACAO_RDM!$F$6:$F$71,$J1407))</f>
        <v>SOJA</v>
      </c>
      <c r="L1407" s="8" t="str">
        <f aca="false">IF($J1407=0,"",INDEX(ROTACAO_RDM!$G$6:$G$71,$J1407))</f>
        <v>NEO 761 I2X</v>
      </c>
      <c r="M1407" s="17" t="n">
        <f aca="false">IF($J1407=0,"",INDEX(ROTACAO_RDM!$I$6:$I$71,$J1407))</f>
        <v>46308</v>
      </c>
      <c r="N1407" s="16" t="n">
        <f aca="false">IF($J1407=0,0,MAX(0,$C1407+INT(DIAS_POR_SEMANA/2)-INDEX(ROTACAO_RDM!$I$6:$I$71,$J1407)))</f>
        <v>65</v>
      </c>
      <c r="O1407" s="19" t="n">
        <f aca="false">IF($J1407=0,0,MIN(1,$N1407/MAX(1,INDEX(ROTACAO_RDM!$K$6:$K$71,$J1407))))</f>
        <v>0.560344827586207</v>
      </c>
      <c r="P1407" s="16" t="n">
        <f aca="false">IF($J1407=0,0,IFERROR(MATCH(INDEX(ROTACAO_RDM!$N$6:$N$71,$J1407),PARAMETROS_CULTURAS!$B$6:$B$28,0),0))</f>
        <v>2</v>
      </c>
      <c r="Q1407" s="8" t="str">
        <f aca="false">IF($P1407=0,"-",IF($O1407&lt;=INDEX(PARAMETROS_CULTURAS!$F$6:$F$28,$P1407),"INICIAL",IF($O1407&lt;=INDEX(PARAMETROS_CULTURAS!$F$6:$F$28,$P1407)+INDEX(PARAMETROS_CULTURAS!$G$6:$G$28,$P1407),"DESENVOLVIMENTO",IF($O1407&lt;=INDEX(PARAMETROS_CULTURAS!$F$6:$F$28,$P1407)+INDEX(PARAMETROS_CULTURAS!$G$6:$G$28,$P1407)+INDEX(PARAMETROS_CULTURAS!$H$6:$H$28,$P1407),"MEDIA","FINAL"))))</f>
        <v>MEDIA</v>
      </c>
      <c r="R1407" s="24" t="n">
        <f aca="false">IF($P1407=0,0,IF($O1407&lt;=INDEX(PARAMETROS_CULTURAS!$F$6:$F$28,$P1407),INDEX(PARAMETROS_CULTURAS!$K$6:$K$28,$P1407),IF($O1407&lt;=INDEX(PARAMETROS_CULTURAS!$F$6:$F$28,$P1407)+INDEX(PARAMETROS_CULTURAS!$G$6:$G$28,$P1407),INDEX(PARAMETROS_CULTURAS!$K$6:$K$28,$P1407)+(INDEX(PARAMETROS_CULTURAS!$L$6:$L$28,$P1407)-INDEX(PARAMETROS_CULTURAS!$K$6:$K$28,$P1407))*($O1407-INDEX(PARAMETROS_CULTURAS!$F$6:$F$28,$P1407))/MAX(INDEX(PARAMETROS_CULTURAS!$G$6:$G$28,$P1407),0.0001),IF($O1407&lt;=INDEX(PARAMETROS_CULTURAS!$F$6:$F$28,$P1407)+INDEX(PARAMETROS_CULTURAS!$G$6:$G$28,$P1407)+INDEX(PARAMETROS_CULTURAS!$H$6:$H$28,$P1407),INDEX(PARAMETROS_CULTURAS!$L$6:$L$28,$P1407),INDEX(PARAMETROS_CULTURAS!$L$6:$L$28,$P1407)+(INDEX(PARAMETROS_CULTURAS!$M$6:$M$28,$P1407)-INDEX(PARAMETROS_CULTURAS!$L$6:$L$28,$P1407))*($O1407-INDEX(PARAMETROS_CULTURAS!$F$6:$F$28,$P1407)-INDEX(PARAMETROS_CULTURAS!$G$6:$G$28,$P1407)-INDEX(PARAMETROS_CULTURAS!$H$6:$H$28,$P1407))/MAX(INDEX(PARAMETROS_CULTURAS!$I$6:$I$28,$P1407),0.0001)))))</f>
        <v>1.15</v>
      </c>
      <c r="S1407" s="18" t="n">
        <f aca="false">IFERROR(INDEX(SEMANAS!$H$6:$H$71,MATCH($B1407,SEMANAS!$B$6:$B$71,0)),0)</f>
        <v>32.9</v>
      </c>
      <c r="T1407" s="18" t="n">
        <f aca="false">$R1407*$S1407</f>
        <v>37.835</v>
      </c>
      <c r="U1407" s="18" t="n">
        <f aca="false">IFERROR(INDEX(SEMANAS!$I$6:$I$71,MATCH($B1407,SEMANAS!$B$6:$B$71,0)),0)</f>
        <v>48.58</v>
      </c>
      <c r="V1407" s="18" t="n">
        <f aca="false">IFERROR(INDEX(SEMANAS!$J$6:$J$71,MATCH($B1407,SEMANAS!$B$6:$B$71,0)),0)</f>
        <v>38.864</v>
      </c>
      <c r="W1407" s="18" t="n">
        <f aca="false">MAX(0,$T1407-$V1407)</f>
        <v>0</v>
      </c>
      <c r="X1407" s="19" t="n">
        <f aca="false">IFERROR(INDEX(CADASTRO_PIVOS!$K$6:$K$41,MATCH($E1407,CADASTRO_PIVOS!$B$6:$B$41,0)),EFICIENCIA_PADRAO)</f>
        <v>0.85</v>
      </c>
      <c r="Y1407" s="18" t="n">
        <f aca="false">IF($X1407&lt;=0,0,$W1407/$X1407)</f>
        <v>0</v>
      </c>
      <c r="Z1407" s="16" t="n">
        <f aca="false">$Y1407*$H1407*MM_PARA_M3_HA</f>
        <v>0</v>
      </c>
      <c r="AA1407" s="18" t="n">
        <f aca="false">IFERROR(INDEX(CADASTRO_PIVOS!$I$6:$I$41,MATCH($E1407,CADASTRO_PIVOS!$B$6:$B$41,0)),0)</f>
        <v>710.571428571429</v>
      </c>
      <c r="AB1407" s="18" t="n">
        <f aca="false">IF($Z1407&lt;=0,0,$Z1407/$AA1407)</f>
        <v>0</v>
      </c>
      <c r="AC1407" s="16" t="n">
        <f aca="false">IFERROR(INDEX(SEMANAS!$K$6:$K$71,MATCH($B1407,SEMANAS!$B$6:$B$71,0)),0)</f>
        <v>147</v>
      </c>
      <c r="AD1407" s="19" t="n">
        <f aca="false">IF($AC1407&lt;=0,0,$AB1407/$AC1407)</f>
        <v>0</v>
      </c>
      <c r="AE1407" s="8" t="str">
        <f aca="false">IF($K1407="SEM CULTURA","SEM CULTURA",IF($AA1407&lt;=0,"DADO PENDENTE",IF($AD1407&gt;LIMITE_CRITICO,"INVIAVEL",IF($AD1407&gt;LIMITE_ATENCAO,"CRITICO",IF($AD1407&gt;LIMITE_CONFORTAVEL,"ATENCAO","OK")))))</f>
        <v>OK</v>
      </c>
      <c r="AF1407" s="8" t="str">
        <f aca="false">$B1407&amp;"|"&amp;TEXT($AD1407,"0.000000")</f>
        <v>16|0.000000</v>
      </c>
      <c r="AG1407" s="18" t="n">
        <f aca="false">IF($K1407="SEM CULTURA",0,$T1407*$H1407)</f>
        <v>3763.8258</v>
      </c>
      <c r="AH1407" s="18" t="n">
        <f aca="false">IF($K1407="SEM CULTURA",0,$V1407*$H1407)</f>
        <v>3866.19072</v>
      </c>
      <c r="AI1407" s="18" t="n">
        <f aca="false">IF($K1407="SEM CULTURA",0,$W1407*$H1407)</f>
        <v>0</v>
      </c>
      <c r="AJ1407" s="18" t="n">
        <f aca="false">IF($K1407="SEM CULTURA",0,$S1407*$H1407)</f>
        <v>3272.892</v>
      </c>
      <c r="AK1407" s="8" t="str">
        <f aca="false">$E1407&amp;"|"&amp;TEXT($AD1407,"0.000000")</f>
        <v>PV 129|0.000000</v>
      </c>
    </row>
    <row r="1408" customFormat="false" ht="15" hidden="false" customHeight="false" outlineLevel="0" collapsed="false">
      <c r="B1408" s="16" t="n">
        <v>17</v>
      </c>
      <c r="C1408" s="17" t="n">
        <f aca="false">DATA_INICIO_SAFRA+($B1408-1)*DIAS_POR_SEMANA</f>
        <v>46377</v>
      </c>
      <c r="D1408" s="17" t="n">
        <f aca="false">$C1408+DIAS_POR_SEMANA-1</f>
        <v>46383</v>
      </c>
      <c r="E1408" s="15" t="s">
        <v>280</v>
      </c>
      <c r="F1408" s="8" t="str">
        <f aca="false">IFERROR(INDEX(CADASTRO_PIVOS!$C$6:$C$41,MATCH($E1408,CADASTRO_PIVOS!$B$6:$B$41,0)),"?")</f>
        <v>RM06</v>
      </c>
      <c r="G1408" s="8" t="str">
        <f aca="false">IFERROR(INDEX(CADASTRO_PIVOS!$D$6:$D$41,MATCH($E1408,CADASTRO_PIVOS!$B$6:$B$41,0)),"?")</f>
        <v>TR06</v>
      </c>
      <c r="H1408" s="20" t="n">
        <f aca="false">IFERROR(INDEX(CADASTRO_PIVOS!$E$6:$E$41,MATCH($E1408,CADASTRO_PIVOS!$B$6:$B$41,0)),0)</f>
        <v>99.48</v>
      </c>
      <c r="I1408" s="16" t="n">
        <f aca="false">IFERROR(SUMIFS(ROTACAO_RDM!$B$6:$B$71,ROTACAO_RDM!$D$6:$D$71,$E1408,ROTACAO_RDM!$I$6:$I$71,"&lt;="&amp;$C1408+INT(DIAS_POR_SEMANA/2),ROTACAO_RDM!$J$6:$J$71,"&gt;="&amp;$C1408+INT(DIAS_POR_SEMANA/2)),0)</f>
        <v>55</v>
      </c>
      <c r="J1408" s="16" t="n">
        <f aca="false">IFERROR(MATCH($I1408,ROTACAO_RDM!$B$6:$B$71,0),0)</f>
        <v>55</v>
      </c>
      <c r="K1408" s="8" t="str">
        <f aca="false">IF($J1408=0,"SEM CULTURA",INDEX(ROTACAO_RDM!$F$6:$F$71,$J1408))</f>
        <v>SOJA</v>
      </c>
      <c r="L1408" s="8" t="str">
        <f aca="false">IF($J1408=0,"",INDEX(ROTACAO_RDM!$G$6:$G$71,$J1408))</f>
        <v>NEO 761 I2X</v>
      </c>
      <c r="M1408" s="17" t="n">
        <f aca="false">IF($J1408=0,"",INDEX(ROTACAO_RDM!$I$6:$I$71,$J1408))</f>
        <v>46308</v>
      </c>
      <c r="N1408" s="16" t="n">
        <f aca="false">IF($J1408=0,0,MAX(0,$C1408+INT(DIAS_POR_SEMANA/2)-INDEX(ROTACAO_RDM!$I$6:$I$71,$J1408)))</f>
        <v>72</v>
      </c>
      <c r="O1408" s="19" t="n">
        <f aca="false">IF($J1408=0,0,MIN(1,$N1408/MAX(1,INDEX(ROTACAO_RDM!$K$6:$K$71,$J1408))))</f>
        <v>0.620689655172414</v>
      </c>
      <c r="P1408" s="16" t="n">
        <f aca="false">IF($J1408=0,0,IFERROR(MATCH(INDEX(ROTACAO_RDM!$N$6:$N$71,$J1408),PARAMETROS_CULTURAS!$B$6:$B$28,0),0))</f>
        <v>2</v>
      </c>
      <c r="Q1408" s="8" t="str">
        <f aca="false">IF($P1408=0,"-",IF($O1408&lt;=INDEX(PARAMETROS_CULTURAS!$F$6:$F$28,$P1408),"INICIAL",IF($O1408&lt;=INDEX(PARAMETROS_CULTURAS!$F$6:$F$28,$P1408)+INDEX(PARAMETROS_CULTURAS!$G$6:$G$28,$P1408),"DESENVOLVIMENTO",IF($O1408&lt;=INDEX(PARAMETROS_CULTURAS!$F$6:$F$28,$P1408)+INDEX(PARAMETROS_CULTURAS!$G$6:$G$28,$P1408)+INDEX(PARAMETROS_CULTURAS!$H$6:$H$28,$P1408),"MEDIA","FINAL"))))</f>
        <v>MEDIA</v>
      </c>
      <c r="R1408" s="24" t="n">
        <f aca="false">IF($P1408=0,0,IF($O1408&lt;=INDEX(PARAMETROS_CULTURAS!$F$6:$F$28,$P1408),INDEX(PARAMETROS_CULTURAS!$K$6:$K$28,$P1408),IF($O1408&lt;=INDEX(PARAMETROS_CULTURAS!$F$6:$F$28,$P1408)+INDEX(PARAMETROS_CULTURAS!$G$6:$G$28,$P1408),INDEX(PARAMETROS_CULTURAS!$K$6:$K$28,$P1408)+(INDEX(PARAMETROS_CULTURAS!$L$6:$L$28,$P1408)-INDEX(PARAMETROS_CULTURAS!$K$6:$K$28,$P1408))*($O1408-INDEX(PARAMETROS_CULTURAS!$F$6:$F$28,$P1408))/MAX(INDEX(PARAMETROS_CULTURAS!$G$6:$G$28,$P1408),0.0001),IF($O1408&lt;=INDEX(PARAMETROS_CULTURAS!$F$6:$F$28,$P1408)+INDEX(PARAMETROS_CULTURAS!$G$6:$G$28,$P1408)+INDEX(PARAMETROS_CULTURAS!$H$6:$H$28,$P1408),INDEX(PARAMETROS_CULTURAS!$L$6:$L$28,$P1408),INDEX(PARAMETROS_CULTURAS!$L$6:$L$28,$P1408)+(INDEX(PARAMETROS_CULTURAS!$M$6:$M$28,$P1408)-INDEX(PARAMETROS_CULTURAS!$L$6:$L$28,$P1408))*($O1408-INDEX(PARAMETROS_CULTURAS!$F$6:$F$28,$P1408)-INDEX(PARAMETROS_CULTURAS!$G$6:$G$28,$P1408)-INDEX(PARAMETROS_CULTURAS!$H$6:$H$28,$P1408))/MAX(INDEX(PARAMETROS_CULTURAS!$I$6:$I$28,$P1408),0.0001)))))</f>
        <v>1.15</v>
      </c>
      <c r="S1408" s="18" t="n">
        <f aca="false">IFERROR(INDEX(SEMANAS!$H$6:$H$71,MATCH($B1408,SEMANAS!$B$6:$B$71,0)),0)</f>
        <v>32.9</v>
      </c>
      <c r="T1408" s="18" t="n">
        <f aca="false">$R1408*$S1408</f>
        <v>37.835</v>
      </c>
      <c r="U1408" s="18" t="n">
        <f aca="false">IFERROR(INDEX(SEMANAS!$I$6:$I$71,MATCH($B1408,SEMANAS!$B$6:$B$71,0)),0)</f>
        <v>48.58</v>
      </c>
      <c r="V1408" s="18" t="n">
        <f aca="false">IFERROR(INDEX(SEMANAS!$J$6:$J$71,MATCH($B1408,SEMANAS!$B$6:$B$71,0)),0)</f>
        <v>38.864</v>
      </c>
      <c r="W1408" s="18" t="n">
        <f aca="false">MAX(0,$T1408-$V1408)</f>
        <v>0</v>
      </c>
      <c r="X1408" s="19" t="n">
        <f aca="false">IFERROR(INDEX(CADASTRO_PIVOS!$K$6:$K$41,MATCH($E1408,CADASTRO_PIVOS!$B$6:$B$41,0)),EFICIENCIA_PADRAO)</f>
        <v>0.85</v>
      </c>
      <c r="Y1408" s="18" t="n">
        <f aca="false">IF($X1408&lt;=0,0,$W1408/$X1408)</f>
        <v>0</v>
      </c>
      <c r="Z1408" s="16" t="n">
        <f aca="false">$Y1408*$H1408*MM_PARA_M3_HA</f>
        <v>0</v>
      </c>
      <c r="AA1408" s="18" t="n">
        <f aca="false">IFERROR(INDEX(CADASTRO_PIVOS!$I$6:$I$41,MATCH($E1408,CADASTRO_PIVOS!$B$6:$B$41,0)),0)</f>
        <v>710.571428571429</v>
      </c>
      <c r="AB1408" s="18" t="n">
        <f aca="false">IF($Z1408&lt;=0,0,$Z1408/$AA1408)</f>
        <v>0</v>
      </c>
      <c r="AC1408" s="16" t="n">
        <f aca="false">IFERROR(INDEX(SEMANAS!$K$6:$K$71,MATCH($B1408,SEMANAS!$B$6:$B$71,0)),0)</f>
        <v>147</v>
      </c>
      <c r="AD1408" s="19" t="n">
        <f aca="false">IF($AC1408&lt;=0,0,$AB1408/$AC1408)</f>
        <v>0</v>
      </c>
      <c r="AE1408" s="8" t="str">
        <f aca="false">IF($K1408="SEM CULTURA","SEM CULTURA",IF($AA1408&lt;=0,"DADO PENDENTE",IF($AD1408&gt;LIMITE_CRITICO,"INVIAVEL",IF($AD1408&gt;LIMITE_ATENCAO,"CRITICO",IF($AD1408&gt;LIMITE_CONFORTAVEL,"ATENCAO","OK")))))</f>
        <v>OK</v>
      </c>
      <c r="AF1408" s="8" t="str">
        <f aca="false">$B1408&amp;"|"&amp;TEXT($AD1408,"0.000000")</f>
        <v>17|0.000000</v>
      </c>
      <c r="AG1408" s="18" t="n">
        <f aca="false">IF($K1408="SEM CULTURA",0,$T1408*$H1408)</f>
        <v>3763.8258</v>
      </c>
      <c r="AH1408" s="18" t="n">
        <f aca="false">IF($K1408="SEM CULTURA",0,$V1408*$H1408)</f>
        <v>3866.19072</v>
      </c>
      <c r="AI1408" s="18" t="n">
        <f aca="false">IF($K1408="SEM CULTURA",0,$W1408*$H1408)</f>
        <v>0</v>
      </c>
      <c r="AJ1408" s="18" t="n">
        <f aca="false">IF($K1408="SEM CULTURA",0,$S1408*$H1408)</f>
        <v>3272.892</v>
      </c>
      <c r="AK1408" s="8" t="str">
        <f aca="false">$E1408&amp;"|"&amp;TEXT($AD1408,"0.000000")</f>
        <v>PV 129|0.000000</v>
      </c>
    </row>
    <row r="1409" customFormat="false" ht="15" hidden="false" customHeight="false" outlineLevel="0" collapsed="false">
      <c r="B1409" s="16" t="n">
        <v>18</v>
      </c>
      <c r="C1409" s="17" t="n">
        <f aca="false">DATA_INICIO_SAFRA+($B1409-1)*DIAS_POR_SEMANA</f>
        <v>46384</v>
      </c>
      <c r="D1409" s="17" t="n">
        <f aca="false">$C1409+DIAS_POR_SEMANA-1</f>
        <v>46390</v>
      </c>
      <c r="E1409" s="15" t="s">
        <v>280</v>
      </c>
      <c r="F1409" s="8" t="str">
        <f aca="false">IFERROR(INDEX(CADASTRO_PIVOS!$C$6:$C$41,MATCH($E1409,CADASTRO_PIVOS!$B$6:$B$41,0)),"?")</f>
        <v>RM06</v>
      </c>
      <c r="G1409" s="8" t="str">
        <f aca="false">IFERROR(INDEX(CADASTRO_PIVOS!$D$6:$D$41,MATCH($E1409,CADASTRO_PIVOS!$B$6:$B$41,0)),"?")</f>
        <v>TR06</v>
      </c>
      <c r="H1409" s="20" t="n">
        <f aca="false">IFERROR(INDEX(CADASTRO_PIVOS!$E$6:$E$41,MATCH($E1409,CADASTRO_PIVOS!$B$6:$B$41,0)),0)</f>
        <v>99.48</v>
      </c>
      <c r="I1409" s="16" t="n">
        <f aca="false">IFERROR(SUMIFS(ROTACAO_RDM!$B$6:$B$71,ROTACAO_RDM!$D$6:$D$71,$E1409,ROTACAO_RDM!$I$6:$I$71,"&lt;="&amp;$C1409+INT(DIAS_POR_SEMANA/2),ROTACAO_RDM!$J$6:$J$71,"&gt;="&amp;$C1409+INT(DIAS_POR_SEMANA/2)),0)</f>
        <v>55</v>
      </c>
      <c r="J1409" s="16" t="n">
        <f aca="false">IFERROR(MATCH($I1409,ROTACAO_RDM!$B$6:$B$71,0),0)</f>
        <v>55</v>
      </c>
      <c r="K1409" s="8" t="str">
        <f aca="false">IF($J1409=0,"SEM CULTURA",INDEX(ROTACAO_RDM!$F$6:$F$71,$J1409))</f>
        <v>SOJA</v>
      </c>
      <c r="L1409" s="8" t="str">
        <f aca="false">IF($J1409=0,"",INDEX(ROTACAO_RDM!$G$6:$G$71,$J1409))</f>
        <v>NEO 761 I2X</v>
      </c>
      <c r="M1409" s="17" t="n">
        <f aca="false">IF($J1409=0,"",INDEX(ROTACAO_RDM!$I$6:$I$71,$J1409))</f>
        <v>46308</v>
      </c>
      <c r="N1409" s="16" t="n">
        <f aca="false">IF($J1409=0,0,MAX(0,$C1409+INT(DIAS_POR_SEMANA/2)-INDEX(ROTACAO_RDM!$I$6:$I$71,$J1409)))</f>
        <v>79</v>
      </c>
      <c r="O1409" s="19" t="n">
        <f aca="false">IF($J1409=0,0,MIN(1,$N1409/MAX(1,INDEX(ROTACAO_RDM!$K$6:$K$71,$J1409))))</f>
        <v>0.681034482758621</v>
      </c>
      <c r="P1409" s="16" t="n">
        <f aca="false">IF($J1409=0,0,IFERROR(MATCH(INDEX(ROTACAO_RDM!$N$6:$N$71,$J1409),PARAMETROS_CULTURAS!$B$6:$B$28,0),0))</f>
        <v>2</v>
      </c>
      <c r="Q1409" s="8" t="str">
        <f aca="false">IF($P1409=0,"-",IF($O1409&lt;=INDEX(PARAMETROS_CULTURAS!$F$6:$F$28,$P1409),"INICIAL",IF($O1409&lt;=INDEX(PARAMETROS_CULTURAS!$F$6:$F$28,$P1409)+INDEX(PARAMETROS_CULTURAS!$G$6:$G$28,$P1409),"DESENVOLVIMENTO",IF($O1409&lt;=INDEX(PARAMETROS_CULTURAS!$F$6:$F$28,$P1409)+INDEX(PARAMETROS_CULTURAS!$G$6:$G$28,$P1409)+INDEX(PARAMETROS_CULTURAS!$H$6:$H$28,$P1409),"MEDIA","FINAL"))))</f>
        <v>MEDIA</v>
      </c>
      <c r="R1409" s="24" t="n">
        <f aca="false">IF($P1409=0,0,IF($O1409&lt;=INDEX(PARAMETROS_CULTURAS!$F$6:$F$28,$P1409),INDEX(PARAMETROS_CULTURAS!$K$6:$K$28,$P1409),IF($O1409&lt;=INDEX(PARAMETROS_CULTURAS!$F$6:$F$28,$P1409)+INDEX(PARAMETROS_CULTURAS!$G$6:$G$28,$P1409),INDEX(PARAMETROS_CULTURAS!$K$6:$K$28,$P1409)+(INDEX(PARAMETROS_CULTURAS!$L$6:$L$28,$P1409)-INDEX(PARAMETROS_CULTURAS!$K$6:$K$28,$P1409))*($O1409-INDEX(PARAMETROS_CULTURAS!$F$6:$F$28,$P1409))/MAX(INDEX(PARAMETROS_CULTURAS!$G$6:$G$28,$P1409),0.0001),IF($O1409&lt;=INDEX(PARAMETROS_CULTURAS!$F$6:$F$28,$P1409)+INDEX(PARAMETROS_CULTURAS!$G$6:$G$28,$P1409)+INDEX(PARAMETROS_CULTURAS!$H$6:$H$28,$P1409),INDEX(PARAMETROS_CULTURAS!$L$6:$L$28,$P1409),INDEX(PARAMETROS_CULTURAS!$L$6:$L$28,$P1409)+(INDEX(PARAMETROS_CULTURAS!$M$6:$M$28,$P1409)-INDEX(PARAMETROS_CULTURAS!$L$6:$L$28,$P1409))*($O1409-INDEX(PARAMETROS_CULTURAS!$F$6:$F$28,$P1409)-INDEX(PARAMETROS_CULTURAS!$G$6:$G$28,$P1409)-INDEX(PARAMETROS_CULTURAS!$H$6:$H$28,$P1409))/MAX(INDEX(PARAMETROS_CULTURAS!$I$6:$I$28,$P1409),0.0001)))))</f>
        <v>1.15</v>
      </c>
      <c r="S1409" s="18" t="n">
        <f aca="false">IFERROR(INDEX(SEMANAS!$H$6:$H$71,MATCH($B1409,SEMANAS!$B$6:$B$71,0)),0)</f>
        <v>33.2</v>
      </c>
      <c r="T1409" s="18" t="n">
        <f aca="false">$R1409*$S1409</f>
        <v>38.18</v>
      </c>
      <c r="U1409" s="18" t="n">
        <f aca="false">IFERROR(INDEX(SEMANAS!$I$6:$I$71,MATCH($B1409,SEMANAS!$B$6:$B$71,0)),0)</f>
        <v>47.11</v>
      </c>
      <c r="V1409" s="18" t="n">
        <f aca="false">IFERROR(INDEX(SEMANAS!$J$6:$J$71,MATCH($B1409,SEMANAS!$B$6:$B$71,0)),0)</f>
        <v>37.688</v>
      </c>
      <c r="W1409" s="18" t="n">
        <f aca="false">MAX(0,$T1409-$V1409)</f>
        <v>0.491999999999997</v>
      </c>
      <c r="X1409" s="19" t="n">
        <f aca="false">IFERROR(INDEX(CADASTRO_PIVOS!$K$6:$K$41,MATCH($E1409,CADASTRO_PIVOS!$B$6:$B$41,0)),EFICIENCIA_PADRAO)</f>
        <v>0.85</v>
      </c>
      <c r="Y1409" s="18" t="n">
        <f aca="false">IF($X1409&lt;=0,0,$W1409/$X1409)</f>
        <v>0.578823529411762</v>
      </c>
      <c r="Z1409" s="16" t="n">
        <f aca="false">$Y1409*$H1409*MM_PARA_M3_HA</f>
        <v>575.813647058821</v>
      </c>
      <c r="AA1409" s="18" t="n">
        <f aca="false">IFERROR(INDEX(CADASTRO_PIVOS!$I$6:$I$41,MATCH($E1409,CADASTRO_PIVOS!$B$6:$B$41,0)),0)</f>
        <v>710.571428571429</v>
      </c>
      <c r="AB1409" s="18" t="n">
        <f aca="false">IF($Z1409&lt;=0,0,$Z1409/$AA1409)</f>
        <v>0.810352941176466</v>
      </c>
      <c r="AC1409" s="16" t="n">
        <f aca="false">IFERROR(INDEX(SEMANAS!$K$6:$K$71,MATCH($B1409,SEMANAS!$B$6:$B$71,0)),0)</f>
        <v>147</v>
      </c>
      <c r="AD1409" s="19" t="n">
        <f aca="false">IF($AC1409&lt;=0,0,$AB1409/$AC1409)</f>
        <v>0.00551260504201678</v>
      </c>
      <c r="AE1409" s="8" t="str">
        <f aca="false">IF($K1409="SEM CULTURA","SEM CULTURA",IF($AA1409&lt;=0,"DADO PENDENTE",IF($AD1409&gt;LIMITE_CRITICO,"INVIAVEL",IF($AD1409&gt;LIMITE_ATENCAO,"CRITICO",IF($AD1409&gt;LIMITE_CONFORTAVEL,"ATENCAO","OK")))))</f>
        <v>OK</v>
      </c>
      <c r="AF1409" s="8" t="str">
        <f aca="false">$B1409&amp;"|"&amp;TEXT($AD1409,"0.000000")</f>
        <v>18|0.005513</v>
      </c>
      <c r="AG1409" s="18" t="n">
        <f aca="false">IF($K1409="SEM CULTURA",0,$T1409*$H1409)</f>
        <v>3798.1464</v>
      </c>
      <c r="AH1409" s="18" t="n">
        <f aca="false">IF($K1409="SEM CULTURA",0,$V1409*$H1409)</f>
        <v>3749.20224</v>
      </c>
      <c r="AI1409" s="18" t="n">
        <f aca="false">IF($K1409="SEM CULTURA",0,$W1409*$H1409)</f>
        <v>48.9441599999997</v>
      </c>
      <c r="AJ1409" s="18" t="n">
        <f aca="false">IF($K1409="SEM CULTURA",0,$S1409*$H1409)</f>
        <v>3302.736</v>
      </c>
      <c r="AK1409" s="8" t="str">
        <f aca="false">$E1409&amp;"|"&amp;TEXT($AD1409,"0.000000")</f>
        <v>PV 129|0.005513</v>
      </c>
    </row>
    <row r="1410" customFormat="false" ht="15" hidden="false" customHeight="false" outlineLevel="0" collapsed="false">
      <c r="B1410" s="16" t="n">
        <v>19</v>
      </c>
      <c r="C1410" s="17" t="n">
        <f aca="false">DATA_INICIO_SAFRA+($B1410-1)*DIAS_POR_SEMANA</f>
        <v>46391</v>
      </c>
      <c r="D1410" s="17" t="n">
        <f aca="false">$C1410+DIAS_POR_SEMANA-1</f>
        <v>46397</v>
      </c>
      <c r="E1410" s="15" t="s">
        <v>280</v>
      </c>
      <c r="F1410" s="8" t="str">
        <f aca="false">IFERROR(INDEX(CADASTRO_PIVOS!$C$6:$C$41,MATCH($E1410,CADASTRO_PIVOS!$B$6:$B$41,0)),"?")</f>
        <v>RM06</v>
      </c>
      <c r="G1410" s="8" t="str">
        <f aca="false">IFERROR(INDEX(CADASTRO_PIVOS!$D$6:$D$41,MATCH($E1410,CADASTRO_PIVOS!$B$6:$B$41,0)),"?")</f>
        <v>TR06</v>
      </c>
      <c r="H1410" s="20" t="n">
        <f aca="false">IFERROR(INDEX(CADASTRO_PIVOS!$E$6:$E$41,MATCH($E1410,CADASTRO_PIVOS!$B$6:$B$41,0)),0)</f>
        <v>99.48</v>
      </c>
      <c r="I1410" s="16" t="n">
        <f aca="false">IFERROR(SUMIFS(ROTACAO_RDM!$B$6:$B$71,ROTACAO_RDM!$D$6:$D$71,$E1410,ROTACAO_RDM!$I$6:$I$71,"&lt;="&amp;$C1410+INT(DIAS_POR_SEMANA/2),ROTACAO_RDM!$J$6:$J$71,"&gt;="&amp;$C1410+INT(DIAS_POR_SEMANA/2)),0)</f>
        <v>55</v>
      </c>
      <c r="J1410" s="16" t="n">
        <f aca="false">IFERROR(MATCH($I1410,ROTACAO_RDM!$B$6:$B$71,0),0)</f>
        <v>55</v>
      </c>
      <c r="K1410" s="8" t="str">
        <f aca="false">IF($J1410=0,"SEM CULTURA",INDEX(ROTACAO_RDM!$F$6:$F$71,$J1410))</f>
        <v>SOJA</v>
      </c>
      <c r="L1410" s="8" t="str">
        <f aca="false">IF($J1410=0,"",INDEX(ROTACAO_RDM!$G$6:$G$71,$J1410))</f>
        <v>NEO 761 I2X</v>
      </c>
      <c r="M1410" s="17" t="n">
        <f aca="false">IF($J1410=0,"",INDEX(ROTACAO_RDM!$I$6:$I$71,$J1410))</f>
        <v>46308</v>
      </c>
      <c r="N1410" s="16" t="n">
        <f aca="false">IF($J1410=0,0,MAX(0,$C1410+INT(DIAS_POR_SEMANA/2)-INDEX(ROTACAO_RDM!$I$6:$I$71,$J1410)))</f>
        <v>86</v>
      </c>
      <c r="O1410" s="19" t="n">
        <f aca="false">IF($J1410=0,0,MIN(1,$N1410/MAX(1,INDEX(ROTACAO_RDM!$K$6:$K$71,$J1410))))</f>
        <v>0.741379310344828</v>
      </c>
      <c r="P1410" s="16" t="n">
        <f aca="false">IF($J1410=0,0,IFERROR(MATCH(INDEX(ROTACAO_RDM!$N$6:$N$71,$J1410),PARAMETROS_CULTURAS!$B$6:$B$28,0),0))</f>
        <v>2</v>
      </c>
      <c r="Q1410" s="8" t="str">
        <f aca="false">IF($P1410=0,"-",IF($O1410&lt;=INDEX(PARAMETROS_CULTURAS!$F$6:$F$28,$P1410),"INICIAL",IF($O1410&lt;=INDEX(PARAMETROS_CULTURAS!$F$6:$F$28,$P1410)+INDEX(PARAMETROS_CULTURAS!$G$6:$G$28,$P1410),"DESENVOLVIMENTO",IF($O1410&lt;=INDEX(PARAMETROS_CULTURAS!$F$6:$F$28,$P1410)+INDEX(PARAMETROS_CULTURAS!$G$6:$G$28,$P1410)+INDEX(PARAMETROS_CULTURAS!$H$6:$H$28,$P1410),"MEDIA","FINAL"))))</f>
        <v>MEDIA</v>
      </c>
      <c r="R1410" s="24" t="n">
        <f aca="false">IF($P1410=0,0,IF($O1410&lt;=INDEX(PARAMETROS_CULTURAS!$F$6:$F$28,$P1410),INDEX(PARAMETROS_CULTURAS!$K$6:$K$28,$P1410),IF($O1410&lt;=INDEX(PARAMETROS_CULTURAS!$F$6:$F$28,$P1410)+INDEX(PARAMETROS_CULTURAS!$G$6:$G$28,$P1410),INDEX(PARAMETROS_CULTURAS!$K$6:$K$28,$P1410)+(INDEX(PARAMETROS_CULTURAS!$L$6:$L$28,$P1410)-INDEX(PARAMETROS_CULTURAS!$K$6:$K$28,$P1410))*($O1410-INDEX(PARAMETROS_CULTURAS!$F$6:$F$28,$P1410))/MAX(INDEX(PARAMETROS_CULTURAS!$G$6:$G$28,$P1410),0.0001),IF($O1410&lt;=INDEX(PARAMETROS_CULTURAS!$F$6:$F$28,$P1410)+INDEX(PARAMETROS_CULTURAS!$G$6:$G$28,$P1410)+INDEX(PARAMETROS_CULTURAS!$H$6:$H$28,$P1410),INDEX(PARAMETROS_CULTURAS!$L$6:$L$28,$P1410),INDEX(PARAMETROS_CULTURAS!$L$6:$L$28,$P1410)+(INDEX(PARAMETROS_CULTURAS!$M$6:$M$28,$P1410)-INDEX(PARAMETROS_CULTURAS!$L$6:$L$28,$P1410))*($O1410-INDEX(PARAMETROS_CULTURAS!$F$6:$F$28,$P1410)-INDEX(PARAMETROS_CULTURAS!$G$6:$G$28,$P1410)-INDEX(PARAMETROS_CULTURAS!$H$6:$H$28,$P1410))/MAX(INDEX(PARAMETROS_CULTURAS!$I$6:$I$28,$P1410),0.0001)))))</f>
        <v>1.15</v>
      </c>
      <c r="S1410" s="18" t="n">
        <f aca="false">IFERROR(INDEX(SEMANAS!$H$6:$H$71,MATCH($B1410,SEMANAS!$B$6:$B$71,0)),0)</f>
        <v>33.6</v>
      </c>
      <c r="T1410" s="18" t="n">
        <f aca="false">$R1410*$S1410</f>
        <v>38.64</v>
      </c>
      <c r="U1410" s="18" t="n">
        <f aca="false">IFERROR(INDEX(SEMANAS!$I$6:$I$71,MATCH($B1410,SEMANAS!$B$6:$B$71,0)),0)</f>
        <v>45.15</v>
      </c>
      <c r="V1410" s="18" t="n">
        <f aca="false">IFERROR(INDEX(SEMANAS!$J$6:$J$71,MATCH($B1410,SEMANAS!$B$6:$B$71,0)),0)</f>
        <v>36.12</v>
      </c>
      <c r="W1410" s="18" t="n">
        <f aca="false">MAX(0,$T1410-$V1410)</f>
        <v>2.52</v>
      </c>
      <c r="X1410" s="19" t="n">
        <f aca="false">IFERROR(INDEX(CADASTRO_PIVOS!$K$6:$K$41,MATCH($E1410,CADASTRO_PIVOS!$B$6:$B$41,0)),EFICIENCIA_PADRAO)</f>
        <v>0.85</v>
      </c>
      <c r="Y1410" s="18" t="n">
        <f aca="false">IF($X1410&lt;=0,0,$W1410/$X1410)</f>
        <v>2.96470588235294</v>
      </c>
      <c r="Z1410" s="16" t="n">
        <f aca="false">$Y1410*$H1410*MM_PARA_M3_HA</f>
        <v>2949.2894117647</v>
      </c>
      <c r="AA1410" s="18" t="n">
        <f aca="false">IFERROR(INDEX(CADASTRO_PIVOS!$I$6:$I$41,MATCH($E1410,CADASTRO_PIVOS!$B$6:$B$41,0)),0)</f>
        <v>710.571428571429</v>
      </c>
      <c r="AB1410" s="18" t="n">
        <f aca="false">IF($Z1410&lt;=0,0,$Z1410/$AA1410)</f>
        <v>4.15058823529411</v>
      </c>
      <c r="AC1410" s="16" t="n">
        <f aca="false">IFERROR(INDEX(SEMANAS!$K$6:$K$71,MATCH($B1410,SEMANAS!$B$6:$B$71,0)),0)</f>
        <v>147</v>
      </c>
      <c r="AD1410" s="19" t="n">
        <f aca="false">IF($AC1410&lt;=0,0,$AB1410/$AC1410)</f>
        <v>0.028235294117647</v>
      </c>
      <c r="AE1410" s="8" t="str">
        <f aca="false">IF($K1410="SEM CULTURA","SEM CULTURA",IF($AA1410&lt;=0,"DADO PENDENTE",IF($AD1410&gt;LIMITE_CRITICO,"INVIAVEL",IF($AD1410&gt;LIMITE_ATENCAO,"CRITICO",IF($AD1410&gt;LIMITE_CONFORTAVEL,"ATENCAO","OK")))))</f>
        <v>OK</v>
      </c>
      <c r="AF1410" s="8" t="str">
        <f aca="false">$B1410&amp;"|"&amp;TEXT($AD1410,"0.000000")</f>
        <v>19|0.028235</v>
      </c>
      <c r="AG1410" s="18" t="n">
        <f aca="false">IF($K1410="SEM CULTURA",0,$T1410*$H1410)</f>
        <v>3843.9072</v>
      </c>
      <c r="AH1410" s="18" t="n">
        <f aca="false">IF($K1410="SEM CULTURA",0,$V1410*$H1410)</f>
        <v>3593.2176</v>
      </c>
      <c r="AI1410" s="18" t="n">
        <f aca="false">IF($K1410="SEM CULTURA",0,$W1410*$H1410)</f>
        <v>250.6896</v>
      </c>
      <c r="AJ1410" s="18" t="n">
        <f aca="false">IF($K1410="SEM CULTURA",0,$S1410*$H1410)</f>
        <v>3342.528</v>
      </c>
      <c r="AK1410" s="8" t="str">
        <f aca="false">$E1410&amp;"|"&amp;TEXT($AD1410,"0.000000")</f>
        <v>PV 129|0.028235</v>
      </c>
    </row>
    <row r="1411" customFormat="false" ht="15" hidden="false" customHeight="false" outlineLevel="0" collapsed="false">
      <c r="B1411" s="16" t="n">
        <v>20</v>
      </c>
      <c r="C1411" s="17" t="n">
        <f aca="false">DATA_INICIO_SAFRA+($B1411-1)*DIAS_POR_SEMANA</f>
        <v>46398</v>
      </c>
      <c r="D1411" s="17" t="n">
        <f aca="false">$C1411+DIAS_POR_SEMANA-1</f>
        <v>46404</v>
      </c>
      <c r="E1411" s="15" t="s">
        <v>280</v>
      </c>
      <c r="F1411" s="8" t="str">
        <f aca="false">IFERROR(INDEX(CADASTRO_PIVOS!$C$6:$C$41,MATCH($E1411,CADASTRO_PIVOS!$B$6:$B$41,0)),"?")</f>
        <v>RM06</v>
      </c>
      <c r="G1411" s="8" t="str">
        <f aca="false">IFERROR(INDEX(CADASTRO_PIVOS!$D$6:$D$41,MATCH($E1411,CADASTRO_PIVOS!$B$6:$B$41,0)),"?")</f>
        <v>TR06</v>
      </c>
      <c r="H1411" s="20" t="n">
        <f aca="false">IFERROR(INDEX(CADASTRO_PIVOS!$E$6:$E$41,MATCH($E1411,CADASTRO_PIVOS!$B$6:$B$41,0)),0)</f>
        <v>99.48</v>
      </c>
      <c r="I1411" s="16" t="n">
        <f aca="false">IFERROR(SUMIFS(ROTACAO_RDM!$B$6:$B$71,ROTACAO_RDM!$D$6:$D$71,$E1411,ROTACAO_RDM!$I$6:$I$71,"&lt;="&amp;$C1411+INT(DIAS_POR_SEMANA/2),ROTACAO_RDM!$J$6:$J$71,"&gt;="&amp;$C1411+INT(DIAS_POR_SEMANA/2)),0)</f>
        <v>55</v>
      </c>
      <c r="J1411" s="16" t="n">
        <f aca="false">IFERROR(MATCH($I1411,ROTACAO_RDM!$B$6:$B$71,0),0)</f>
        <v>55</v>
      </c>
      <c r="K1411" s="8" t="str">
        <f aca="false">IF($J1411=0,"SEM CULTURA",INDEX(ROTACAO_RDM!$F$6:$F$71,$J1411))</f>
        <v>SOJA</v>
      </c>
      <c r="L1411" s="8" t="str">
        <f aca="false">IF($J1411=0,"",INDEX(ROTACAO_RDM!$G$6:$G$71,$J1411))</f>
        <v>NEO 761 I2X</v>
      </c>
      <c r="M1411" s="17" t="n">
        <f aca="false">IF($J1411=0,"",INDEX(ROTACAO_RDM!$I$6:$I$71,$J1411))</f>
        <v>46308</v>
      </c>
      <c r="N1411" s="16" t="n">
        <f aca="false">IF($J1411=0,0,MAX(0,$C1411+INT(DIAS_POR_SEMANA/2)-INDEX(ROTACAO_RDM!$I$6:$I$71,$J1411)))</f>
        <v>93</v>
      </c>
      <c r="O1411" s="19" t="n">
        <f aca="false">IF($J1411=0,0,MIN(1,$N1411/MAX(1,INDEX(ROTACAO_RDM!$K$6:$K$71,$J1411))))</f>
        <v>0.801724137931035</v>
      </c>
      <c r="P1411" s="16" t="n">
        <f aca="false">IF($J1411=0,0,IFERROR(MATCH(INDEX(ROTACAO_RDM!$N$6:$N$71,$J1411),PARAMETROS_CULTURAS!$B$6:$B$28,0),0))</f>
        <v>2</v>
      </c>
      <c r="Q1411" s="8" t="str">
        <f aca="false">IF($P1411=0,"-",IF($O1411&lt;=INDEX(PARAMETROS_CULTURAS!$F$6:$F$28,$P1411),"INICIAL",IF($O1411&lt;=INDEX(PARAMETROS_CULTURAS!$F$6:$F$28,$P1411)+INDEX(PARAMETROS_CULTURAS!$G$6:$G$28,$P1411),"DESENVOLVIMENTO",IF($O1411&lt;=INDEX(PARAMETROS_CULTURAS!$F$6:$F$28,$P1411)+INDEX(PARAMETROS_CULTURAS!$G$6:$G$28,$P1411)+INDEX(PARAMETROS_CULTURAS!$H$6:$H$28,$P1411),"MEDIA","FINAL"))))</f>
        <v>MEDIA</v>
      </c>
      <c r="R1411" s="24" t="n">
        <f aca="false">IF($P1411=0,0,IF($O1411&lt;=INDEX(PARAMETROS_CULTURAS!$F$6:$F$28,$P1411),INDEX(PARAMETROS_CULTURAS!$K$6:$K$28,$P1411),IF($O1411&lt;=INDEX(PARAMETROS_CULTURAS!$F$6:$F$28,$P1411)+INDEX(PARAMETROS_CULTURAS!$G$6:$G$28,$P1411),INDEX(PARAMETROS_CULTURAS!$K$6:$K$28,$P1411)+(INDEX(PARAMETROS_CULTURAS!$L$6:$L$28,$P1411)-INDEX(PARAMETROS_CULTURAS!$K$6:$K$28,$P1411))*($O1411-INDEX(PARAMETROS_CULTURAS!$F$6:$F$28,$P1411))/MAX(INDEX(PARAMETROS_CULTURAS!$G$6:$G$28,$P1411),0.0001),IF($O1411&lt;=INDEX(PARAMETROS_CULTURAS!$F$6:$F$28,$P1411)+INDEX(PARAMETROS_CULTURAS!$G$6:$G$28,$P1411)+INDEX(PARAMETROS_CULTURAS!$H$6:$H$28,$P1411),INDEX(PARAMETROS_CULTURAS!$L$6:$L$28,$P1411),INDEX(PARAMETROS_CULTURAS!$L$6:$L$28,$P1411)+(INDEX(PARAMETROS_CULTURAS!$M$6:$M$28,$P1411)-INDEX(PARAMETROS_CULTURAS!$L$6:$L$28,$P1411))*($O1411-INDEX(PARAMETROS_CULTURAS!$F$6:$F$28,$P1411)-INDEX(PARAMETROS_CULTURAS!$G$6:$G$28,$P1411)-INDEX(PARAMETROS_CULTURAS!$H$6:$H$28,$P1411))/MAX(INDEX(PARAMETROS_CULTURAS!$I$6:$I$28,$P1411),0.0001)))))</f>
        <v>1.15</v>
      </c>
      <c r="S1411" s="18" t="n">
        <f aca="false">IFERROR(INDEX(SEMANAS!$H$6:$H$71,MATCH($B1411,SEMANAS!$B$6:$B$71,0)),0)</f>
        <v>33.6</v>
      </c>
      <c r="T1411" s="18" t="n">
        <f aca="false">$R1411*$S1411</f>
        <v>38.64</v>
      </c>
      <c r="U1411" s="18" t="n">
        <f aca="false">IFERROR(INDEX(SEMANAS!$I$6:$I$71,MATCH($B1411,SEMANAS!$B$6:$B$71,0)),0)</f>
        <v>45.15</v>
      </c>
      <c r="V1411" s="18" t="n">
        <f aca="false">IFERROR(INDEX(SEMANAS!$J$6:$J$71,MATCH($B1411,SEMANAS!$B$6:$B$71,0)),0)</f>
        <v>36.12</v>
      </c>
      <c r="W1411" s="18" t="n">
        <f aca="false">MAX(0,$T1411-$V1411)</f>
        <v>2.52</v>
      </c>
      <c r="X1411" s="19" t="n">
        <f aca="false">IFERROR(INDEX(CADASTRO_PIVOS!$K$6:$K$41,MATCH($E1411,CADASTRO_PIVOS!$B$6:$B$41,0)),EFICIENCIA_PADRAO)</f>
        <v>0.85</v>
      </c>
      <c r="Y1411" s="18" t="n">
        <f aca="false">IF($X1411&lt;=0,0,$W1411/$X1411)</f>
        <v>2.96470588235294</v>
      </c>
      <c r="Z1411" s="16" t="n">
        <f aca="false">$Y1411*$H1411*MM_PARA_M3_HA</f>
        <v>2949.2894117647</v>
      </c>
      <c r="AA1411" s="18" t="n">
        <f aca="false">IFERROR(INDEX(CADASTRO_PIVOS!$I$6:$I$41,MATCH($E1411,CADASTRO_PIVOS!$B$6:$B$41,0)),0)</f>
        <v>710.571428571429</v>
      </c>
      <c r="AB1411" s="18" t="n">
        <f aca="false">IF($Z1411&lt;=0,0,$Z1411/$AA1411)</f>
        <v>4.15058823529411</v>
      </c>
      <c r="AC1411" s="16" t="n">
        <f aca="false">IFERROR(INDEX(SEMANAS!$K$6:$K$71,MATCH($B1411,SEMANAS!$B$6:$B$71,0)),0)</f>
        <v>147</v>
      </c>
      <c r="AD1411" s="19" t="n">
        <f aca="false">IF($AC1411&lt;=0,0,$AB1411/$AC1411)</f>
        <v>0.028235294117647</v>
      </c>
      <c r="AE1411" s="8" t="str">
        <f aca="false">IF($K1411="SEM CULTURA","SEM CULTURA",IF($AA1411&lt;=0,"DADO PENDENTE",IF($AD1411&gt;LIMITE_CRITICO,"INVIAVEL",IF($AD1411&gt;LIMITE_ATENCAO,"CRITICO",IF($AD1411&gt;LIMITE_CONFORTAVEL,"ATENCAO","OK")))))</f>
        <v>OK</v>
      </c>
      <c r="AF1411" s="8" t="str">
        <f aca="false">$B1411&amp;"|"&amp;TEXT($AD1411,"0.000000")</f>
        <v>20|0.028235</v>
      </c>
      <c r="AG1411" s="18" t="n">
        <f aca="false">IF($K1411="SEM CULTURA",0,$T1411*$H1411)</f>
        <v>3843.9072</v>
      </c>
      <c r="AH1411" s="18" t="n">
        <f aca="false">IF($K1411="SEM CULTURA",0,$V1411*$H1411)</f>
        <v>3593.2176</v>
      </c>
      <c r="AI1411" s="18" t="n">
        <f aca="false">IF($K1411="SEM CULTURA",0,$W1411*$H1411)</f>
        <v>250.6896</v>
      </c>
      <c r="AJ1411" s="18" t="n">
        <f aca="false">IF($K1411="SEM CULTURA",0,$S1411*$H1411)</f>
        <v>3342.528</v>
      </c>
      <c r="AK1411" s="8" t="str">
        <f aca="false">$E1411&amp;"|"&amp;TEXT($AD1411,"0.000000")</f>
        <v>PV 129|0.028235</v>
      </c>
    </row>
    <row r="1412" customFormat="false" ht="15" hidden="false" customHeight="false" outlineLevel="0" collapsed="false">
      <c r="B1412" s="16" t="n">
        <v>21</v>
      </c>
      <c r="C1412" s="17" t="n">
        <f aca="false">DATA_INICIO_SAFRA+($B1412-1)*DIAS_POR_SEMANA</f>
        <v>46405</v>
      </c>
      <c r="D1412" s="17" t="n">
        <f aca="false">$C1412+DIAS_POR_SEMANA-1</f>
        <v>46411</v>
      </c>
      <c r="E1412" s="15" t="s">
        <v>280</v>
      </c>
      <c r="F1412" s="8" t="str">
        <f aca="false">IFERROR(INDEX(CADASTRO_PIVOS!$C$6:$C$41,MATCH($E1412,CADASTRO_PIVOS!$B$6:$B$41,0)),"?")</f>
        <v>RM06</v>
      </c>
      <c r="G1412" s="8" t="str">
        <f aca="false">IFERROR(INDEX(CADASTRO_PIVOS!$D$6:$D$41,MATCH($E1412,CADASTRO_PIVOS!$B$6:$B$41,0)),"?")</f>
        <v>TR06</v>
      </c>
      <c r="H1412" s="20" t="n">
        <f aca="false">IFERROR(INDEX(CADASTRO_PIVOS!$E$6:$E$41,MATCH($E1412,CADASTRO_PIVOS!$B$6:$B$41,0)),0)</f>
        <v>99.48</v>
      </c>
      <c r="I1412" s="16" t="n">
        <f aca="false">IFERROR(SUMIFS(ROTACAO_RDM!$B$6:$B$71,ROTACAO_RDM!$D$6:$D$71,$E1412,ROTACAO_RDM!$I$6:$I$71,"&lt;="&amp;$C1412+INT(DIAS_POR_SEMANA/2),ROTACAO_RDM!$J$6:$J$71,"&gt;="&amp;$C1412+INT(DIAS_POR_SEMANA/2)),0)</f>
        <v>55</v>
      </c>
      <c r="J1412" s="16" t="n">
        <f aca="false">IFERROR(MATCH($I1412,ROTACAO_RDM!$B$6:$B$71,0),0)</f>
        <v>55</v>
      </c>
      <c r="K1412" s="8" t="str">
        <f aca="false">IF($J1412=0,"SEM CULTURA",INDEX(ROTACAO_RDM!$F$6:$F$71,$J1412))</f>
        <v>SOJA</v>
      </c>
      <c r="L1412" s="8" t="str">
        <f aca="false">IF($J1412=0,"",INDEX(ROTACAO_RDM!$G$6:$G$71,$J1412))</f>
        <v>NEO 761 I2X</v>
      </c>
      <c r="M1412" s="17" t="n">
        <f aca="false">IF($J1412=0,"",INDEX(ROTACAO_RDM!$I$6:$I$71,$J1412))</f>
        <v>46308</v>
      </c>
      <c r="N1412" s="16" t="n">
        <f aca="false">IF($J1412=0,0,MAX(0,$C1412+INT(DIAS_POR_SEMANA/2)-INDEX(ROTACAO_RDM!$I$6:$I$71,$J1412)))</f>
        <v>100</v>
      </c>
      <c r="O1412" s="19" t="n">
        <f aca="false">IF($J1412=0,0,MIN(1,$N1412/MAX(1,INDEX(ROTACAO_RDM!$K$6:$K$71,$J1412))))</f>
        <v>0.862068965517241</v>
      </c>
      <c r="P1412" s="16" t="n">
        <f aca="false">IF($J1412=0,0,IFERROR(MATCH(INDEX(ROTACAO_RDM!$N$6:$N$71,$J1412),PARAMETROS_CULTURAS!$B$6:$B$28,0),0))</f>
        <v>2</v>
      </c>
      <c r="Q1412" s="8" t="str">
        <f aca="false">IF($P1412=0,"-",IF($O1412&lt;=INDEX(PARAMETROS_CULTURAS!$F$6:$F$28,$P1412),"INICIAL",IF($O1412&lt;=INDEX(PARAMETROS_CULTURAS!$F$6:$F$28,$P1412)+INDEX(PARAMETROS_CULTURAS!$G$6:$G$28,$P1412),"DESENVOLVIMENTO",IF($O1412&lt;=INDEX(PARAMETROS_CULTURAS!$F$6:$F$28,$P1412)+INDEX(PARAMETROS_CULTURAS!$G$6:$G$28,$P1412)+INDEX(PARAMETROS_CULTURAS!$H$6:$H$28,$P1412),"MEDIA","FINAL"))))</f>
        <v>FINAL</v>
      </c>
      <c r="R1412" s="24" t="n">
        <f aca="false">IF($P1412=0,0,IF($O1412&lt;=INDEX(PARAMETROS_CULTURAS!$F$6:$F$28,$P1412),INDEX(PARAMETROS_CULTURAS!$K$6:$K$28,$P1412),IF($O1412&lt;=INDEX(PARAMETROS_CULTURAS!$F$6:$F$28,$P1412)+INDEX(PARAMETROS_CULTURAS!$G$6:$G$28,$P1412),INDEX(PARAMETROS_CULTURAS!$K$6:$K$28,$P1412)+(INDEX(PARAMETROS_CULTURAS!$L$6:$L$28,$P1412)-INDEX(PARAMETROS_CULTURAS!$K$6:$K$28,$P1412))*($O1412-INDEX(PARAMETROS_CULTURAS!$F$6:$F$28,$P1412))/MAX(INDEX(PARAMETROS_CULTURAS!$G$6:$G$28,$P1412),0.0001),IF($O1412&lt;=INDEX(PARAMETROS_CULTURAS!$F$6:$F$28,$P1412)+INDEX(PARAMETROS_CULTURAS!$G$6:$G$28,$P1412)+INDEX(PARAMETROS_CULTURAS!$H$6:$H$28,$P1412),INDEX(PARAMETROS_CULTURAS!$L$6:$L$28,$P1412),INDEX(PARAMETROS_CULTURAS!$L$6:$L$28,$P1412)+(INDEX(PARAMETROS_CULTURAS!$M$6:$M$28,$P1412)-INDEX(PARAMETROS_CULTURAS!$L$6:$L$28,$P1412))*($O1412-INDEX(PARAMETROS_CULTURAS!$F$6:$F$28,$P1412)-INDEX(PARAMETROS_CULTURAS!$G$6:$G$28,$P1412)-INDEX(PARAMETROS_CULTURAS!$H$6:$H$28,$P1412))/MAX(INDEX(PARAMETROS_CULTURAS!$I$6:$I$28,$P1412),0.0001)))))</f>
        <v>0.971869328493648</v>
      </c>
      <c r="S1412" s="18" t="n">
        <f aca="false">IFERROR(INDEX(SEMANAS!$H$6:$H$71,MATCH($B1412,SEMANAS!$B$6:$B$71,0)),0)</f>
        <v>33.6</v>
      </c>
      <c r="T1412" s="18" t="n">
        <f aca="false">$R1412*$S1412</f>
        <v>32.6548094373866</v>
      </c>
      <c r="U1412" s="18" t="n">
        <f aca="false">IFERROR(INDEX(SEMANAS!$I$6:$I$71,MATCH($B1412,SEMANAS!$B$6:$B$71,0)),0)</f>
        <v>45.15</v>
      </c>
      <c r="V1412" s="18" t="n">
        <f aca="false">IFERROR(INDEX(SEMANAS!$J$6:$J$71,MATCH($B1412,SEMANAS!$B$6:$B$71,0)),0)</f>
        <v>36.12</v>
      </c>
      <c r="W1412" s="18" t="n">
        <f aca="false">MAX(0,$T1412-$V1412)</f>
        <v>0</v>
      </c>
      <c r="X1412" s="19" t="n">
        <f aca="false">IFERROR(INDEX(CADASTRO_PIVOS!$K$6:$K$41,MATCH($E1412,CADASTRO_PIVOS!$B$6:$B$41,0)),EFICIENCIA_PADRAO)</f>
        <v>0.85</v>
      </c>
      <c r="Y1412" s="18" t="n">
        <f aca="false">IF($X1412&lt;=0,0,$W1412/$X1412)</f>
        <v>0</v>
      </c>
      <c r="Z1412" s="16" t="n">
        <f aca="false">$Y1412*$H1412*MM_PARA_M3_HA</f>
        <v>0</v>
      </c>
      <c r="AA1412" s="18" t="n">
        <f aca="false">IFERROR(INDEX(CADASTRO_PIVOS!$I$6:$I$41,MATCH($E1412,CADASTRO_PIVOS!$B$6:$B$41,0)),0)</f>
        <v>710.571428571429</v>
      </c>
      <c r="AB1412" s="18" t="n">
        <f aca="false">IF($Z1412&lt;=0,0,$Z1412/$AA1412)</f>
        <v>0</v>
      </c>
      <c r="AC1412" s="16" t="n">
        <f aca="false">IFERROR(INDEX(SEMANAS!$K$6:$K$71,MATCH($B1412,SEMANAS!$B$6:$B$71,0)),0)</f>
        <v>147</v>
      </c>
      <c r="AD1412" s="19" t="n">
        <f aca="false">IF($AC1412&lt;=0,0,$AB1412/$AC1412)</f>
        <v>0</v>
      </c>
      <c r="AE1412" s="8" t="str">
        <f aca="false">IF($K1412="SEM CULTURA","SEM CULTURA",IF($AA1412&lt;=0,"DADO PENDENTE",IF($AD1412&gt;LIMITE_CRITICO,"INVIAVEL",IF($AD1412&gt;LIMITE_ATENCAO,"CRITICO",IF($AD1412&gt;LIMITE_CONFORTAVEL,"ATENCAO","OK")))))</f>
        <v>OK</v>
      </c>
      <c r="AF1412" s="8" t="str">
        <f aca="false">$B1412&amp;"|"&amp;TEXT($AD1412,"0.000000")</f>
        <v>21|0.000000</v>
      </c>
      <c r="AG1412" s="18" t="n">
        <f aca="false">IF($K1412="SEM CULTURA",0,$T1412*$H1412)</f>
        <v>3248.50044283122</v>
      </c>
      <c r="AH1412" s="18" t="n">
        <f aca="false">IF($K1412="SEM CULTURA",0,$V1412*$H1412)</f>
        <v>3593.2176</v>
      </c>
      <c r="AI1412" s="18" t="n">
        <f aca="false">IF($K1412="SEM CULTURA",0,$W1412*$H1412)</f>
        <v>0</v>
      </c>
      <c r="AJ1412" s="18" t="n">
        <f aca="false">IF($K1412="SEM CULTURA",0,$S1412*$H1412)</f>
        <v>3342.528</v>
      </c>
      <c r="AK1412" s="8" t="str">
        <f aca="false">$E1412&amp;"|"&amp;TEXT($AD1412,"0.000000")</f>
        <v>PV 129|0.000000</v>
      </c>
    </row>
    <row r="1413" customFormat="false" ht="15" hidden="false" customHeight="false" outlineLevel="0" collapsed="false">
      <c r="B1413" s="16" t="n">
        <v>22</v>
      </c>
      <c r="C1413" s="17" t="n">
        <f aca="false">DATA_INICIO_SAFRA+($B1413-1)*DIAS_POR_SEMANA</f>
        <v>46412</v>
      </c>
      <c r="D1413" s="17" t="n">
        <f aca="false">$C1413+DIAS_POR_SEMANA-1</f>
        <v>46418</v>
      </c>
      <c r="E1413" s="15" t="s">
        <v>280</v>
      </c>
      <c r="F1413" s="8" t="str">
        <f aca="false">IFERROR(INDEX(CADASTRO_PIVOS!$C$6:$C$41,MATCH($E1413,CADASTRO_PIVOS!$B$6:$B$41,0)),"?")</f>
        <v>RM06</v>
      </c>
      <c r="G1413" s="8" t="str">
        <f aca="false">IFERROR(INDEX(CADASTRO_PIVOS!$D$6:$D$41,MATCH($E1413,CADASTRO_PIVOS!$B$6:$B$41,0)),"?")</f>
        <v>TR06</v>
      </c>
      <c r="H1413" s="20" t="n">
        <f aca="false">IFERROR(INDEX(CADASTRO_PIVOS!$E$6:$E$41,MATCH($E1413,CADASTRO_PIVOS!$B$6:$B$41,0)),0)</f>
        <v>99.48</v>
      </c>
      <c r="I1413" s="16" t="n">
        <f aca="false">IFERROR(SUMIFS(ROTACAO_RDM!$B$6:$B$71,ROTACAO_RDM!$D$6:$D$71,$E1413,ROTACAO_RDM!$I$6:$I$71,"&lt;="&amp;$C1413+INT(DIAS_POR_SEMANA/2),ROTACAO_RDM!$J$6:$J$71,"&gt;="&amp;$C1413+INT(DIAS_POR_SEMANA/2)),0)</f>
        <v>55</v>
      </c>
      <c r="J1413" s="16" t="n">
        <f aca="false">IFERROR(MATCH($I1413,ROTACAO_RDM!$B$6:$B$71,0),0)</f>
        <v>55</v>
      </c>
      <c r="K1413" s="8" t="str">
        <f aca="false">IF($J1413=0,"SEM CULTURA",INDEX(ROTACAO_RDM!$F$6:$F$71,$J1413))</f>
        <v>SOJA</v>
      </c>
      <c r="L1413" s="8" t="str">
        <f aca="false">IF($J1413=0,"",INDEX(ROTACAO_RDM!$G$6:$G$71,$J1413))</f>
        <v>NEO 761 I2X</v>
      </c>
      <c r="M1413" s="17" t="n">
        <f aca="false">IF($J1413=0,"",INDEX(ROTACAO_RDM!$I$6:$I$71,$J1413))</f>
        <v>46308</v>
      </c>
      <c r="N1413" s="16" t="n">
        <f aca="false">IF($J1413=0,0,MAX(0,$C1413+INT(DIAS_POR_SEMANA/2)-INDEX(ROTACAO_RDM!$I$6:$I$71,$J1413)))</f>
        <v>107</v>
      </c>
      <c r="O1413" s="19" t="n">
        <f aca="false">IF($J1413=0,0,MIN(1,$N1413/MAX(1,INDEX(ROTACAO_RDM!$K$6:$K$71,$J1413))))</f>
        <v>0.922413793103448</v>
      </c>
      <c r="P1413" s="16" t="n">
        <f aca="false">IF($J1413=0,0,IFERROR(MATCH(INDEX(ROTACAO_RDM!$N$6:$N$71,$J1413),PARAMETROS_CULTURAS!$B$6:$B$28,0),0))</f>
        <v>2</v>
      </c>
      <c r="Q1413" s="8" t="str">
        <f aca="false">IF($P1413=0,"-",IF($O1413&lt;=INDEX(PARAMETROS_CULTURAS!$F$6:$F$28,$P1413),"INICIAL",IF($O1413&lt;=INDEX(PARAMETROS_CULTURAS!$F$6:$F$28,$P1413)+INDEX(PARAMETROS_CULTURAS!$G$6:$G$28,$P1413),"DESENVOLVIMENTO",IF($O1413&lt;=INDEX(PARAMETROS_CULTURAS!$F$6:$F$28,$P1413)+INDEX(PARAMETROS_CULTURAS!$G$6:$G$28,$P1413)+INDEX(PARAMETROS_CULTURAS!$H$6:$H$28,$P1413),"MEDIA","FINAL"))))</f>
        <v>FINAL</v>
      </c>
      <c r="R1413" s="24" t="n">
        <f aca="false">IF($P1413=0,0,IF($O1413&lt;=INDEX(PARAMETROS_CULTURAS!$F$6:$F$28,$P1413),INDEX(PARAMETROS_CULTURAS!$K$6:$K$28,$P1413),IF($O1413&lt;=INDEX(PARAMETROS_CULTURAS!$F$6:$F$28,$P1413)+INDEX(PARAMETROS_CULTURAS!$G$6:$G$28,$P1413),INDEX(PARAMETROS_CULTURAS!$K$6:$K$28,$P1413)+(INDEX(PARAMETROS_CULTURAS!$L$6:$L$28,$P1413)-INDEX(PARAMETROS_CULTURAS!$K$6:$K$28,$P1413))*($O1413-INDEX(PARAMETROS_CULTURAS!$F$6:$F$28,$P1413))/MAX(INDEX(PARAMETROS_CULTURAS!$G$6:$G$28,$P1413),0.0001),IF($O1413&lt;=INDEX(PARAMETROS_CULTURAS!$F$6:$F$28,$P1413)+INDEX(PARAMETROS_CULTURAS!$G$6:$G$28,$P1413)+INDEX(PARAMETROS_CULTURAS!$H$6:$H$28,$P1413),INDEX(PARAMETROS_CULTURAS!$L$6:$L$28,$P1413),INDEX(PARAMETROS_CULTURAS!$L$6:$L$28,$P1413)+(INDEX(PARAMETROS_CULTURAS!$M$6:$M$28,$P1413)-INDEX(PARAMETROS_CULTURAS!$L$6:$L$28,$P1413))*($O1413-INDEX(PARAMETROS_CULTURAS!$F$6:$F$28,$P1413)-INDEX(PARAMETROS_CULTURAS!$G$6:$G$28,$P1413)-INDEX(PARAMETROS_CULTURAS!$H$6:$H$28,$P1413))/MAX(INDEX(PARAMETROS_CULTURAS!$I$6:$I$28,$P1413),0.0001)))))</f>
        <v>0.765426497277677</v>
      </c>
      <c r="S1413" s="18" t="n">
        <f aca="false">IFERROR(INDEX(SEMANAS!$H$6:$H$71,MATCH($B1413,SEMANAS!$B$6:$B$71,0)),0)</f>
        <v>33.6</v>
      </c>
      <c r="T1413" s="18" t="n">
        <f aca="false">$R1413*$S1413</f>
        <v>25.7183303085299</v>
      </c>
      <c r="U1413" s="18" t="n">
        <f aca="false">IFERROR(INDEX(SEMANAS!$I$6:$I$71,MATCH($B1413,SEMANAS!$B$6:$B$71,0)),0)</f>
        <v>45.15</v>
      </c>
      <c r="V1413" s="18" t="n">
        <f aca="false">IFERROR(INDEX(SEMANAS!$J$6:$J$71,MATCH($B1413,SEMANAS!$B$6:$B$71,0)),0)</f>
        <v>36.12</v>
      </c>
      <c r="W1413" s="18" t="n">
        <f aca="false">MAX(0,$T1413-$V1413)</f>
        <v>0</v>
      </c>
      <c r="X1413" s="19" t="n">
        <f aca="false">IFERROR(INDEX(CADASTRO_PIVOS!$K$6:$K$41,MATCH($E1413,CADASTRO_PIVOS!$B$6:$B$41,0)),EFICIENCIA_PADRAO)</f>
        <v>0.85</v>
      </c>
      <c r="Y1413" s="18" t="n">
        <f aca="false">IF($X1413&lt;=0,0,$W1413/$X1413)</f>
        <v>0</v>
      </c>
      <c r="Z1413" s="16" t="n">
        <f aca="false">$Y1413*$H1413*MM_PARA_M3_HA</f>
        <v>0</v>
      </c>
      <c r="AA1413" s="18" t="n">
        <f aca="false">IFERROR(INDEX(CADASTRO_PIVOS!$I$6:$I$41,MATCH($E1413,CADASTRO_PIVOS!$B$6:$B$41,0)),0)</f>
        <v>710.571428571429</v>
      </c>
      <c r="AB1413" s="18" t="n">
        <f aca="false">IF($Z1413&lt;=0,0,$Z1413/$AA1413)</f>
        <v>0</v>
      </c>
      <c r="AC1413" s="16" t="n">
        <f aca="false">IFERROR(INDEX(SEMANAS!$K$6:$K$71,MATCH($B1413,SEMANAS!$B$6:$B$71,0)),0)</f>
        <v>147</v>
      </c>
      <c r="AD1413" s="19" t="n">
        <f aca="false">IF($AC1413&lt;=0,0,$AB1413/$AC1413)</f>
        <v>0</v>
      </c>
      <c r="AE1413" s="8" t="str">
        <f aca="false">IF($K1413="SEM CULTURA","SEM CULTURA",IF($AA1413&lt;=0,"DADO PENDENTE",IF($AD1413&gt;LIMITE_CRITICO,"INVIAVEL",IF($AD1413&gt;LIMITE_ATENCAO,"CRITICO",IF($AD1413&gt;LIMITE_CONFORTAVEL,"ATENCAO","OK")))))</f>
        <v>OK</v>
      </c>
      <c r="AF1413" s="8" t="str">
        <f aca="false">$B1413&amp;"|"&amp;TEXT($AD1413,"0.000000")</f>
        <v>22|0.000000</v>
      </c>
      <c r="AG1413" s="18" t="n">
        <f aca="false">IF($K1413="SEM CULTURA",0,$T1413*$H1413)</f>
        <v>2558.45949909256</v>
      </c>
      <c r="AH1413" s="18" t="n">
        <f aca="false">IF($K1413="SEM CULTURA",0,$V1413*$H1413)</f>
        <v>3593.2176</v>
      </c>
      <c r="AI1413" s="18" t="n">
        <f aca="false">IF($K1413="SEM CULTURA",0,$W1413*$H1413)</f>
        <v>0</v>
      </c>
      <c r="AJ1413" s="18" t="n">
        <f aca="false">IF($K1413="SEM CULTURA",0,$S1413*$H1413)</f>
        <v>3342.528</v>
      </c>
      <c r="AK1413" s="8" t="str">
        <f aca="false">$E1413&amp;"|"&amp;TEXT($AD1413,"0.000000")</f>
        <v>PV 129|0.000000</v>
      </c>
    </row>
    <row r="1414" customFormat="false" ht="15" hidden="false" customHeight="false" outlineLevel="0" collapsed="false">
      <c r="B1414" s="16" t="n">
        <v>23</v>
      </c>
      <c r="C1414" s="17" t="n">
        <f aca="false">DATA_INICIO_SAFRA+($B1414-1)*DIAS_POR_SEMANA</f>
        <v>46419</v>
      </c>
      <c r="D1414" s="17" t="n">
        <f aca="false">$C1414+DIAS_POR_SEMANA-1</f>
        <v>46425</v>
      </c>
      <c r="E1414" s="15" t="s">
        <v>280</v>
      </c>
      <c r="F1414" s="8" t="str">
        <f aca="false">IFERROR(INDEX(CADASTRO_PIVOS!$C$6:$C$41,MATCH($E1414,CADASTRO_PIVOS!$B$6:$B$41,0)),"?")</f>
        <v>RM06</v>
      </c>
      <c r="G1414" s="8" t="str">
        <f aca="false">IFERROR(INDEX(CADASTRO_PIVOS!$D$6:$D$41,MATCH($E1414,CADASTRO_PIVOS!$B$6:$B$41,0)),"?")</f>
        <v>TR06</v>
      </c>
      <c r="H1414" s="20" t="n">
        <f aca="false">IFERROR(INDEX(CADASTRO_PIVOS!$E$6:$E$41,MATCH($E1414,CADASTRO_PIVOS!$B$6:$B$41,0)),0)</f>
        <v>99.48</v>
      </c>
      <c r="I1414" s="16" t="n">
        <f aca="false">IFERROR(SUMIFS(ROTACAO_RDM!$B$6:$B$71,ROTACAO_RDM!$D$6:$D$71,$E1414,ROTACAO_RDM!$I$6:$I$71,"&lt;="&amp;$C1414+INT(DIAS_POR_SEMANA/2),ROTACAO_RDM!$J$6:$J$71,"&gt;="&amp;$C1414+INT(DIAS_POR_SEMANA/2)),0)</f>
        <v>55</v>
      </c>
      <c r="J1414" s="16" t="n">
        <f aca="false">IFERROR(MATCH($I1414,ROTACAO_RDM!$B$6:$B$71,0),0)</f>
        <v>55</v>
      </c>
      <c r="K1414" s="8" t="str">
        <f aca="false">IF($J1414=0,"SEM CULTURA",INDEX(ROTACAO_RDM!$F$6:$F$71,$J1414))</f>
        <v>SOJA</v>
      </c>
      <c r="L1414" s="8" t="str">
        <f aca="false">IF($J1414=0,"",INDEX(ROTACAO_RDM!$G$6:$G$71,$J1414))</f>
        <v>NEO 761 I2X</v>
      </c>
      <c r="M1414" s="17" t="n">
        <f aca="false">IF($J1414=0,"",INDEX(ROTACAO_RDM!$I$6:$I$71,$J1414))</f>
        <v>46308</v>
      </c>
      <c r="N1414" s="16" t="n">
        <f aca="false">IF($J1414=0,0,MAX(0,$C1414+INT(DIAS_POR_SEMANA/2)-INDEX(ROTACAO_RDM!$I$6:$I$71,$J1414)))</f>
        <v>114</v>
      </c>
      <c r="O1414" s="19" t="n">
        <f aca="false">IF($J1414=0,0,MIN(1,$N1414/MAX(1,INDEX(ROTACAO_RDM!$K$6:$K$71,$J1414))))</f>
        <v>0.982758620689655</v>
      </c>
      <c r="P1414" s="16" t="n">
        <f aca="false">IF($J1414=0,0,IFERROR(MATCH(INDEX(ROTACAO_RDM!$N$6:$N$71,$J1414),PARAMETROS_CULTURAS!$B$6:$B$28,0),0))</f>
        <v>2</v>
      </c>
      <c r="Q1414" s="8" t="str">
        <f aca="false">IF($P1414=0,"-",IF($O1414&lt;=INDEX(PARAMETROS_CULTURAS!$F$6:$F$28,$P1414),"INICIAL",IF($O1414&lt;=INDEX(PARAMETROS_CULTURAS!$F$6:$F$28,$P1414)+INDEX(PARAMETROS_CULTURAS!$G$6:$G$28,$P1414),"DESENVOLVIMENTO",IF($O1414&lt;=INDEX(PARAMETROS_CULTURAS!$F$6:$F$28,$P1414)+INDEX(PARAMETROS_CULTURAS!$G$6:$G$28,$P1414)+INDEX(PARAMETROS_CULTURAS!$H$6:$H$28,$P1414),"MEDIA","FINAL"))))</f>
        <v>FINAL</v>
      </c>
      <c r="R1414" s="24" t="n">
        <f aca="false">IF($P1414=0,0,IF($O1414&lt;=INDEX(PARAMETROS_CULTURAS!$F$6:$F$28,$P1414),INDEX(PARAMETROS_CULTURAS!$K$6:$K$28,$P1414),IF($O1414&lt;=INDEX(PARAMETROS_CULTURAS!$F$6:$F$28,$P1414)+INDEX(PARAMETROS_CULTURAS!$G$6:$G$28,$P1414),INDEX(PARAMETROS_CULTURAS!$K$6:$K$28,$P1414)+(INDEX(PARAMETROS_CULTURAS!$L$6:$L$28,$P1414)-INDEX(PARAMETROS_CULTURAS!$K$6:$K$28,$P1414))*($O1414-INDEX(PARAMETROS_CULTURAS!$F$6:$F$28,$P1414))/MAX(INDEX(PARAMETROS_CULTURAS!$G$6:$G$28,$P1414),0.0001),IF($O1414&lt;=INDEX(PARAMETROS_CULTURAS!$F$6:$F$28,$P1414)+INDEX(PARAMETROS_CULTURAS!$G$6:$G$28,$P1414)+INDEX(PARAMETROS_CULTURAS!$H$6:$H$28,$P1414),INDEX(PARAMETROS_CULTURAS!$L$6:$L$28,$P1414),INDEX(PARAMETROS_CULTURAS!$L$6:$L$28,$P1414)+(INDEX(PARAMETROS_CULTURAS!$M$6:$M$28,$P1414)-INDEX(PARAMETROS_CULTURAS!$L$6:$L$28,$P1414))*($O1414-INDEX(PARAMETROS_CULTURAS!$F$6:$F$28,$P1414)-INDEX(PARAMETROS_CULTURAS!$G$6:$G$28,$P1414)-INDEX(PARAMETROS_CULTURAS!$H$6:$H$28,$P1414))/MAX(INDEX(PARAMETROS_CULTURAS!$I$6:$I$28,$P1414),0.0001)))))</f>
        <v>0.558983666061706</v>
      </c>
      <c r="S1414" s="18" t="n">
        <f aca="false">IFERROR(INDEX(SEMANAS!$H$6:$H$71,MATCH($B1414,SEMANAS!$B$6:$B$71,0)),0)</f>
        <v>32.9</v>
      </c>
      <c r="T1414" s="18" t="n">
        <f aca="false">$R1414*$S1414</f>
        <v>18.3905626134301</v>
      </c>
      <c r="U1414" s="18" t="n">
        <f aca="false">IFERROR(INDEX(SEMANAS!$I$6:$I$71,MATCH($B1414,SEMANAS!$B$6:$B$71,0)),0)</f>
        <v>39.97</v>
      </c>
      <c r="V1414" s="18" t="n">
        <f aca="false">IFERROR(INDEX(SEMANAS!$J$6:$J$71,MATCH($B1414,SEMANAS!$B$6:$B$71,0)),0)</f>
        <v>31.976</v>
      </c>
      <c r="W1414" s="18" t="n">
        <f aca="false">MAX(0,$T1414-$V1414)</f>
        <v>0</v>
      </c>
      <c r="X1414" s="19" t="n">
        <f aca="false">IFERROR(INDEX(CADASTRO_PIVOS!$K$6:$K$41,MATCH($E1414,CADASTRO_PIVOS!$B$6:$B$41,0)),EFICIENCIA_PADRAO)</f>
        <v>0.85</v>
      </c>
      <c r="Y1414" s="18" t="n">
        <f aca="false">IF($X1414&lt;=0,0,$W1414/$X1414)</f>
        <v>0</v>
      </c>
      <c r="Z1414" s="16" t="n">
        <f aca="false">$Y1414*$H1414*MM_PARA_M3_HA</f>
        <v>0</v>
      </c>
      <c r="AA1414" s="18" t="n">
        <f aca="false">IFERROR(INDEX(CADASTRO_PIVOS!$I$6:$I$41,MATCH($E1414,CADASTRO_PIVOS!$B$6:$B$41,0)),0)</f>
        <v>710.571428571429</v>
      </c>
      <c r="AB1414" s="18" t="n">
        <f aca="false">IF($Z1414&lt;=0,0,$Z1414/$AA1414)</f>
        <v>0</v>
      </c>
      <c r="AC1414" s="16" t="n">
        <f aca="false">IFERROR(INDEX(SEMANAS!$K$6:$K$71,MATCH($B1414,SEMANAS!$B$6:$B$71,0)),0)</f>
        <v>147</v>
      </c>
      <c r="AD1414" s="19" t="n">
        <f aca="false">IF($AC1414&lt;=0,0,$AB1414/$AC1414)</f>
        <v>0</v>
      </c>
      <c r="AE1414" s="8" t="str">
        <f aca="false">IF($K1414="SEM CULTURA","SEM CULTURA",IF($AA1414&lt;=0,"DADO PENDENTE",IF($AD1414&gt;LIMITE_CRITICO,"INVIAVEL",IF($AD1414&gt;LIMITE_ATENCAO,"CRITICO",IF($AD1414&gt;LIMITE_CONFORTAVEL,"ATENCAO","OK")))))</f>
        <v>OK</v>
      </c>
      <c r="AF1414" s="8" t="str">
        <f aca="false">$B1414&amp;"|"&amp;TEXT($AD1414,"0.000000")</f>
        <v>23|0.000000</v>
      </c>
      <c r="AG1414" s="18" t="n">
        <f aca="false">IF($K1414="SEM CULTURA",0,$T1414*$H1414)</f>
        <v>1829.49316878403</v>
      </c>
      <c r="AH1414" s="18" t="n">
        <f aca="false">IF($K1414="SEM CULTURA",0,$V1414*$H1414)</f>
        <v>3180.97248</v>
      </c>
      <c r="AI1414" s="18" t="n">
        <f aca="false">IF($K1414="SEM CULTURA",0,$W1414*$H1414)</f>
        <v>0</v>
      </c>
      <c r="AJ1414" s="18" t="n">
        <f aca="false">IF($K1414="SEM CULTURA",0,$S1414*$H1414)</f>
        <v>3272.892</v>
      </c>
      <c r="AK1414" s="8" t="str">
        <f aca="false">$E1414&amp;"|"&amp;TEXT($AD1414,"0.000000")</f>
        <v>PV 129|0.000000</v>
      </c>
    </row>
    <row r="1415" customFormat="false" ht="15" hidden="false" customHeight="false" outlineLevel="0" collapsed="false">
      <c r="B1415" s="16" t="n">
        <v>24</v>
      </c>
      <c r="C1415" s="17" t="n">
        <f aca="false">DATA_INICIO_SAFRA+($B1415-1)*DIAS_POR_SEMANA</f>
        <v>46426</v>
      </c>
      <c r="D1415" s="17" t="n">
        <f aca="false">$C1415+DIAS_POR_SEMANA-1</f>
        <v>46432</v>
      </c>
      <c r="E1415" s="15" t="s">
        <v>280</v>
      </c>
      <c r="F1415" s="8" t="str">
        <f aca="false">IFERROR(INDEX(CADASTRO_PIVOS!$C$6:$C$41,MATCH($E1415,CADASTRO_PIVOS!$B$6:$B$41,0)),"?")</f>
        <v>RM06</v>
      </c>
      <c r="G1415" s="8" t="str">
        <f aca="false">IFERROR(INDEX(CADASTRO_PIVOS!$D$6:$D$41,MATCH($E1415,CADASTRO_PIVOS!$B$6:$B$41,0)),"?")</f>
        <v>TR06</v>
      </c>
      <c r="H1415" s="20" t="n">
        <f aca="false">IFERROR(INDEX(CADASTRO_PIVOS!$E$6:$E$41,MATCH($E1415,CADASTRO_PIVOS!$B$6:$B$41,0)),0)</f>
        <v>99.48</v>
      </c>
      <c r="I1415" s="16" t="n">
        <f aca="false">IFERROR(SUMIFS(ROTACAO_RDM!$B$6:$B$71,ROTACAO_RDM!$D$6:$D$71,$E1415,ROTACAO_RDM!$I$6:$I$71,"&lt;="&amp;$C1415+INT(DIAS_POR_SEMANA/2),ROTACAO_RDM!$J$6:$J$71,"&gt;="&amp;$C1415+INT(DIAS_POR_SEMANA/2)),0)</f>
        <v>56</v>
      </c>
      <c r="J1415" s="16" t="n">
        <f aca="false">IFERROR(MATCH($I1415,ROTACAO_RDM!$B$6:$B$71,0),0)</f>
        <v>56</v>
      </c>
      <c r="K1415" s="8" t="str">
        <f aca="false">IF($J1415=0,"SEM CULTURA",INDEX(ROTACAO_RDM!$F$6:$F$71,$J1415))</f>
        <v>ALGODAO</v>
      </c>
      <c r="L1415" s="8" t="str">
        <f aca="false">IF($J1415=0,"",INDEX(ROTACAO_RDM!$G$6:$G$71,$J1415))</f>
        <v>DP 2111 B3RF</v>
      </c>
      <c r="M1415" s="17" t="n">
        <f aca="false">IF($J1415=0,"",INDEX(ROTACAO_RDM!$I$6:$I$71,$J1415))</f>
        <v>46426</v>
      </c>
      <c r="N1415" s="16" t="n">
        <f aca="false">IF($J1415=0,0,MAX(0,$C1415+INT(DIAS_POR_SEMANA/2)-INDEX(ROTACAO_RDM!$I$6:$I$71,$J1415)))</f>
        <v>3</v>
      </c>
      <c r="O1415" s="19" t="n">
        <f aca="false">IF($J1415=0,0,MIN(1,$N1415/MAX(1,INDEX(ROTACAO_RDM!$K$6:$K$71,$J1415))))</f>
        <v>0.0166666666666667</v>
      </c>
      <c r="P1415" s="16" t="n">
        <f aca="false">IF($J1415=0,0,IFERROR(MATCH(INDEX(ROTACAO_RDM!$N$6:$N$71,$J1415),PARAMETROS_CULTURAS!$B$6:$B$28,0),0))</f>
        <v>4</v>
      </c>
      <c r="Q1415" s="8" t="str">
        <f aca="false">IF($P1415=0,"-",IF($O1415&lt;=INDEX(PARAMETROS_CULTURAS!$F$6:$F$28,$P1415),"INICIAL",IF($O1415&lt;=INDEX(PARAMETROS_CULTURAS!$F$6:$F$28,$P1415)+INDEX(PARAMETROS_CULTURAS!$G$6:$G$28,$P1415),"DESENVOLVIMENTO",IF($O1415&lt;=INDEX(PARAMETROS_CULTURAS!$F$6:$F$28,$P1415)+INDEX(PARAMETROS_CULTURAS!$G$6:$G$28,$P1415)+INDEX(PARAMETROS_CULTURAS!$H$6:$H$28,$P1415),"MEDIA","FINAL"))))</f>
        <v>INICIAL</v>
      </c>
      <c r="R1415" s="24" t="n">
        <f aca="false">IF($P1415=0,0,IF($O1415&lt;=INDEX(PARAMETROS_CULTURAS!$F$6:$F$28,$P1415),INDEX(PARAMETROS_CULTURAS!$K$6:$K$28,$P1415),IF($O1415&lt;=INDEX(PARAMETROS_CULTURAS!$F$6:$F$28,$P1415)+INDEX(PARAMETROS_CULTURAS!$G$6:$G$28,$P1415),INDEX(PARAMETROS_CULTURAS!$K$6:$K$28,$P1415)+(INDEX(PARAMETROS_CULTURAS!$L$6:$L$28,$P1415)-INDEX(PARAMETROS_CULTURAS!$K$6:$K$28,$P1415))*($O1415-INDEX(PARAMETROS_CULTURAS!$F$6:$F$28,$P1415))/MAX(INDEX(PARAMETROS_CULTURAS!$G$6:$G$28,$P1415),0.0001),IF($O1415&lt;=INDEX(PARAMETROS_CULTURAS!$F$6:$F$28,$P1415)+INDEX(PARAMETROS_CULTURAS!$G$6:$G$28,$P1415)+INDEX(PARAMETROS_CULTURAS!$H$6:$H$28,$P1415),INDEX(PARAMETROS_CULTURAS!$L$6:$L$28,$P1415),INDEX(PARAMETROS_CULTURAS!$L$6:$L$28,$P1415)+(INDEX(PARAMETROS_CULTURAS!$M$6:$M$28,$P1415)-INDEX(PARAMETROS_CULTURAS!$L$6:$L$28,$P1415))*($O1415-INDEX(PARAMETROS_CULTURAS!$F$6:$F$28,$P1415)-INDEX(PARAMETROS_CULTURAS!$G$6:$G$28,$P1415)-INDEX(PARAMETROS_CULTURAS!$H$6:$H$28,$P1415))/MAX(INDEX(PARAMETROS_CULTURAS!$I$6:$I$28,$P1415),0.0001)))))</f>
        <v>0.35</v>
      </c>
      <c r="S1415" s="18" t="n">
        <f aca="false">IFERROR(INDEX(SEMANAS!$H$6:$H$71,MATCH($B1415,SEMANAS!$B$6:$B$71,0)),0)</f>
        <v>32.9</v>
      </c>
      <c r="T1415" s="18" t="n">
        <f aca="false">$R1415*$S1415</f>
        <v>11.515</v>
      </c>
      <c r="U1415" s="18" t="n">
        <f aca="false">IFERROR(INDEX(SEMANAS!$I$6:$I$71,MATCH($B1415,SEMANAS!$B$6:$B$71,0)),0)</f>
        <v>39.97</v>
      </c>
      <c r="V1415" s="18" t="n">
        <f aca="false">IFERROR(INDEX(SEMANAS!$J$6:$J$71,MATCH($B1415,SEMANAS!$B$6:$B$71,0)),0)</f>
        <v>31.976</v>
      </c>
      <c r="W1415" s="18" t="n">
        <f aca="false">MAX(0,$T1415-$V1415)</f>
        <v>0</v>
      </c>
      <c r="X1415" s="19" t="n">
        <f aca="false">IFERROR(INDEX(CADASTRO_PIVOS!$K$6:$K$41,MATCH($E1415,CADASTRO_PIVOS!$B$6:$B$41,0)),EFICIENCIA_PADRAO)</f>
        <v>0.85</v>
      </c>
      <c r="Y1415" s="18" t="n">
        <f aca="false">IF($X1415&lt;=0,0,$W1415/$X1415)</f>
        <v>0</v>
      </c>
      <c r="Z1415" s="16" t="n">
        <f aca="false">$Y1415*$H1415*MM_PARA_M3_HA</f>
        <v>0</v>
      </c>
      <c r="AA1415" s="18" t="n">
        <f aca="false">IFERROR(INDEX(CADASTRO_PIVOS!$I$6:$I$41,MATCH($E1415,CADASTRO_PIVOS!$B$6:$B$41,0)),0)</f>
        <v>710.571428571429</v>
      </c>
      <c r="AB1415" s="18" t="n">
        <f aca="false">IF($Z1415&lt;=0,0,$Z1415/$AA1415)</f>
        <v>0</v>
      </c>
      <c r="AC1415" s="16" t="n">
        <f aca="false">IFERROR(INDEX(SEMANAS!$K$6:$K$71,MATCH($B1415,SEMANAS!$B$6:$B$71,0)),0)</f>
        <v>147</v>
      </c>
      <c r="AD1415" s="19" t="n">
        <f aca="false">IF($AC1415&lt;=0,0,$AB1415/$AC1415)</f>
        <v>0</v>
      </c>
      <c r="AE1415" s="8" t="str">
        <f aca="false">IF($K1415="SEM CULTURA","SEM CULTURA",IF($AA1415&lt;=0,"DADO PENDENTE",IF($AD1415&gt;LIMITE_CRITICO,"INVIAVEL",IF($AD1415&gt;LIMITE_ATENCAO,"CRITICO",IF($AD1415&gt;LIMITE_CONFORTAVEL,"ATENCAO","OK")))))</f>
        <v>OK</v>
      </c>
      <c r="AF1415" s="8" t="str">
        <f aca="false">$B1415&amp;"|"&amp;TEXT($AD1415,"0.000000")</f>
        <v>24|0.000000</v>
      </c>
      <c r="AG1415" s="18" t="n">
        <f aca="false">IF($K1415="SEM CULTURA",0,$T1415*$H1415)</f>
        <v>1145.5122</v>
      </c>
      <c r="AH1415" s="18" t="n">
        <f aca="false">IF($K1415="SEM CULTURA",0,$V1415*$H1415)</f>
        <v>3180.97248</v>
      </c>
      <c r="AI1415" s="18" t="n">
        <f aca="false">IF($K1415="SEM CULTURA",0,$W1415*$H1415)</f>
        <v>0</v>
      </c>
      <c r="AJ1415" s="18" t="n">
        <f aca="false">IF($K1415="SEM CULTURA",0,$S1415*$H1415)</f>
        <v>3272.892</v>
      </c>
      <c r="AK1415" s="8" t="str">
        <f aca="false">$E1415&amp;"|"&amp;TEXT($AD1415,"0.000000")</f>
        <v>PV 129|0.000000</v>
      </c>
    </row>
    <row r="1416" customFormat="false" ht="15" hidden="false" customHeight="false" outlineLevel="0" collapsed="false">
      <c r="B1416" s="16" t="n">
        <v>25</v>
      </c>
      <c r="C1416" s="17" t="n">
        <f aca="false">DATA_INICIO_SAFRA+($B1416-1)*DIAS_POR_SEMANA</f>
        <v>46433</v>
      </c>
      <c r="D1416" s="17" t="n">
        <f aca="false">$C1416+DIAS_POR_SEMANA-1</f>
        <v>46439</v>
      </c>
      <c r="E1416" s="15" t="s">
        <v>280</v>
      </c>
      <c r="F1416" s="8" t="str">
        <f aca="false">IFERROR(INDEX(CADASTRO_PIVOS!$C$6:$C$41,MATCH($E1416,CADASTRO_PIVOS!$B$6:$B$41,0)),"?")</f>
        <v>RM06</v>
      </c>
      <c r="G1416" s="8" t="str">
        <f aca="false">IFERROR(INDEX(CADASTRO_PIVOS!$D$6:$D$41,MATCH($E1416,CADASTRO_PIVOS!$B$6:$B$41,0)),"?")</f>
        <v>TR06</v>
      </c>
      <c r="H1416" s="20" t="n">
        <f aca="false">IFERROR(INDEX(CADASTRO_PIVOS!$E$6:$E$41,MATCH($E1416,CADASTRO_PIVOS!$B$6:$B$41,0)),0)</f>
        <v>99.48</v>
      </c>
      <c r="I1416" s="16" t="n">
        <f aca="false">IFERROR(SUMIFS(ROTACAO_RDM!$B$6:$B$71,ROTACAO_RDM!$D$6:$D$71,$E1416,ROTACAO_RDM!$I$6:$I$71,"&lt;="&amp;$C1416+INT(DIAS_POR_SEMANA/2),ROTACAO_RDM!$J$6:$J$71,"&gt;="&amp;$C1416+INT(DIAS_POR_SEMANA/2)),0)</f>
        <v>56</v>
      </c>
      <c r="J1416" s="16" t="n">
        <f aca="false">IFERROR(MATCH($I1416,ROTACAO_RDM!$B$6:$B$71,0),0)</f>
        <v>56</v>
      </c>
      <c r="K1416" s="8" t="str">
        <f aca="false">IF($J1416=0,"SEM CULTURA",INDEX(ROTACAO_RDM!$F$6:$F$71,$J1416))</f>
        <v>ALGODAO</v>
      </c>
      <c r="L1416" s="8" t="str">
        <f aca="false">IF($J1416=0,"",INDEX(ROTACAO_RDM!$G$6:$G$71,$J1416))</f>
        <v>DP 2111 B3RF</v>
      </c>
      <c r="M1416" s="17" t="n">
        <f aca="false">IF($J1416=0,"",INDEX(ROTACAO_RDM!$I$6:$I$71,$J1416))</f>
        <v>46426</v>
      </c>
      <c r="N1416" s="16" t="n">
        <f aca="false">IF($J1416=0,0,MAX(0,$C1416+INT(DIAS_POR_SEMANA/2)-INDEX(ROTACAO_RDM!$I$6:$I$71,$J1416)))</f>
        <v>10</v>
      </c>
      <c r="O1416" s="19" t="n">
        <f aca="false">IF($J1416=0,0,MIN(1,$N1416/MAX(1,INDEX(ROTACAO_RDM!$K$6:$K$71,$J1416))))</f>
        <v>0.0555555555555556</v>
      </c>
      <c r="P1416" s="16" t="n">
        <f aca="false">IF($J1416=0,0,IFERROR(MATCH(INDEX(ROTACAO_RDM!$N$6:$N$71,$J1416),PARAMETROS_CULTURAS!$B$6:$B$28,0),0))</f>
        <v>4</v>
      </c>
      <c r="Q1416" s="8" t="str">
        <f aca="false">IF($P1416=0,"-",IF($O1416&lt;=INDEX(PARAMETROS_CULTURAS!$F$6:$F$28,$P1416),"INICIAL",IF($O1416&lt;=INDEX(PARAMETROS_CULTURAS!$F$6:$F$28,$P1416)+INDEX(PARAMETROS_CULTURAS!$G$6:$G$28,$P1416),"DESENVOLVIMENTO",IF($O1416&lt;=INDEX(PARAMETROS_CULTURAS!$F$6:$F$28,$P1416)+INDEX(PARAMETROS_CULTURAS!$G$6:$G$28,$P1416)+INDEX(PARAMETROS_CULTURAS!$H$6:$H$28,$P1416),"MEDIA","FINAL"))))</f>
        <v>INICIAL</v>
      </c>
      <c r="R1416" s="24" t="n">
        <f aca="false">IF($P1416=0,0,IF($O1416&lt;=INDEX(PARAMETROS_CULTURAS!$F$6:$F$28,$P1416),INDEX(PARAMETROS_CULTURAS!$K$6:$K$28,$P1416),IF($O1416&lt;=INDEX(PARAMETROS_CULTURAS!$F$6:$F$28,$P1416)+INDEX(PARAMETROS_CULTURAS!$G$6:$G$28,$P1416),INDEX(PARAMETROS_CULTURAS!$K$6:$K$28,$P1416)+(INDEX(PARAMETROS_CULTURAS!$L$6:$L$28,$P1416)-INDEX(PARAMETROS_CULTURAS!$K$6:$K$28,$P1416))*($O1416-INDEX(PARAMETROS_CULTURAS!$F$6:$F$28,$P1416))/MAX(INDEX(PARAMETROS_CULTURAS!$G$6:$G$28,$P1416),0.0001),IF($O1416&lt;=INDEX(PARAMETROS_CULTURAS!$F$6:$F$28,$P1416)+INDEX(PARAMETROS_CULTURAS!$G$6:$G$28,$P1416)+INDEX(PARAMETROS_CULTURAS!$H$6:$H$28,$P1416),INDEX(PARAMETROS_CULTURAS!$L$6:$L$28,$P1416),INDEX(PARAMETROS_CULTURAS!$L$6:$L$28,$P1416)+(INDEX(PARAMETROS_CULTURAS!$M$6:$M$28,$P1416)-INDEX(PARAMETROS_CULTURAS!$L$6:$L$28,$P1416))*($O1416-INDEX(PARAMETROS_CULTURAS!$F$6:$F$28,$P1416)-INDEX(PARAMETROS_CULTURAS!$G$6:$G$28,$P1416)-INDEX(PARAMETROS_CULTURAS!$H$6:$H$28,$P1416))/MAX(INDEX(PARAMETROS_CULTURAS!$I$6:$I$28,$P1416),0.0001)))))</f>
        <v>0.35</v>
      </c>
      <c r="S1416" s="18" t="n">
        <f aca="false">IFERROR(INDEX(SEMANAS!$H$6:$H$71,MATCH($B1416,SEMANAS!$B$6:$B$71,0)),0)</f>
        <v>32.9</v>
      </c>
      <c r="T1416" s="18" t="n">
        <f aca="false">$R1416*$S1416</f>
        <v>11.515</v>
      </c>
      <c r="U1416" s="18" t="n">
        <f aca="false">IFERROR(INDEX(SEMANAS!$I$6:$I$71,MATCH($B1416,SEMANAS!$B$6:$B$71,0)),0)</f>
        <v>39.97</v>
      </c>
      <c r="V1416" s="18" t="n">
        <f aca="false">IFERROR(INDEX(SEMANAS!$J$6:$J$71,MATCH($B1416,SEMANAS!$B$6:$B$71,0)),0)</f>
        <v>31.976</v>
      </c>
      <c r="W1416" s="18" t="n">
        <f aca="false">MAX(0,$T1416-$V1416)</f>
        <v>0</v>
      </c>
      <c r="X1416" s="19" t="n">
        <f aca="false">IFERROR(INDEX(CADASTRO_PIVOS!$K$6:$K$41,MATCH($E1416,CADASTRO_PIVOS!$B$6:$B$41,0)),EFICIENCIA_PADRAO)</f>
        <v>0.85</v>
      </c>
      <c r="Y1416" s="18" t="n">
        <f aca="false">IF($X1416&lt;=0,0,$W1416/$X1416)</f>
        <v>0</v>
      </c>
      <c r="Z1416" s="16" t="n">
        <f aca="false">$Y1416*$H1416*MM_PARA_M3_HA</f>
        <v>0</v>
      </c>
      <c r="AA1416" s="18" t="n">
        <f aca="false">IFERROR(INDEX(CADASTRO_PIVOS!$I$6:$I$41,MATCH($E1416,CADASTRO_PIVOS!$B$6:$B$41,0)),0)</f>
        <v>710.571428571429</v>
      </c>
      <c r="AB1416" s="18" t="n">
        <f aca="false">IF($Z1416&lt;=0,0,$Z1416/$AA1416)</f>
        <v>0</v>
      </c>
      <c r="AC1416" s="16" t="n">
        <f aca="false">IFERROR(INDEX(SEMANAS!$K$6:$K$71,MATCH($B1416,SEMANAS!$B$6:$B$71,0)),0)</f>
        <v>147</v>
      </c>
      <c r="AD1416" s="19" t="n">
        <f aca="false">IF($AC1416&lt;=0,0,$AB1416/$AC1416)</f>
        <v>0</v>
      </c>
      <c r="AE1416" s="8" t="str">
        <f aca="false">IF($K1416="SEM CULTURA","SEM CULTURA",IF($AA1416&lt;=0,"DADO PENDENTE",IF($AD1416&gt;LIMITE_CRITICO,"INVIAVEL",IF($AD1416&gt;LIMITE_ATENCAO,"CRITICO",IF($AD1416&gt;LIMITE_CONFORTAVEL,"ATENCAO","OK")))))</f>
        <v>OK</v>
      </c>
      <c r="AF1416" s="8" t="str">
        <f aca="false">$B1416&amp;"|"&amp;TEXT($AD1416,"0.000000")</f>
        <v>25|0.000000</v>
      </c>
      <c r="AG1416" s="18" t="n">
        <f aca="false">IF($K1416="SEM CULTURA",0,$T1416*$H1416)</f>
        <v>1145.5122</v>
      </c>
      <c r="AH1416" s="18" t="n">
        <f aca="false">IF($K1416="SEM CULTURA",0,$V1416*$H1416)</f>
        <v>3180.97248</v>
      </c>
      <c r="AI1416" s="18" t="n">
        <f aca="false">IF($K1416="SEM CULTURA",0,$W1416*$H1416)</f>
        <v>0</v>
      </c>
      <c r="AJ1416" s="18" t="n">
        <f aca="false">IF($K1416="SEM CULTURA",0,$S1416*$H1416)</f>
        <v>3272.892</v>
      </c>
      <c r="AK1416" s="8" t="str">
        <f aca="false">$E1416&amp;"|"&amp;TEXT($AD1416,"0.000000")</f>
        <v>PV 129|0.000000</v>
      </c>
    </row>
    <row r="1417" customFormat="false" ht="15" hidden="false" customHeight="false" outlineLevel="0" collapsed="false">
      <c r="B1417" s="16" t="n">
        <v>26</v>
      </c>
      <c r="C1417" s="17" t="n">
        <f aca="false">DATA_INICIO_SAFRA+($B1417-1)*DIAS_POR_SEMANA</f>
        <v>46440</v>
      </c>
      <c r="D1417" s="17" t="n">
        <f aca="false">$C1417+DIAS_POR_SEMANA-1</f>
        <v>46446</v>
      </c>
      <c r="E1417" s="15" t="s">
        <v>280</v>
      </c>
      <c r="F1417" s="8" t="str">
        <f aca="false">IFERROR(INDEX(CADASTRO_PIVOS!$C$6:$C$41,MATCH($E1417,CADASTRO_PIVOS!$B$6:$B$41,0)),"?")</f>
        <v>RM06</v>
      </c>
      <c r="G1417" s="8" t="str">
        <f aca="false">IFERROR(INDEX(CADASTRO_PIVOS!$D$6:$D$41,MATCH($E1417,CADASTRO_PIVOS!$B$6:$B$41,0)),"?")</f>
        <v>TR06</v>
      </c>
      <c r="H1417" s="20" t="n">
        <f aca="false">IFERROR(INDEX(CADASTRO_PIVOS!$E$6:$E$41,MATCH($E1417,CADASTRO_PIVOS!$B$6:$B$41,0)),0)</f>
        <v>99.48</v>
      </c>
      <c r="I1417" s="16" t="n">
        <f aca="false">IFERROR(SUMIFS(ROTACAO_RDM!$B$6:$B$71,ROTACAO_RDM!$D$6:$D$71,$E1417,ROTACAO_RDM!$I$6:$I$71,"&lt;="&amp;$C1417+INT(DIAS_POR_SEMANA/2),ROTACAO_RDM!$J$6:$J$71,"&gt;="&amp;$C1417+INT(DIAS_POR_SEMANA/2)),0)</f>
        <v>56</v>
      </c>
      <c r="J1417" s="16" t="n">
        <f aca="false">IFERROR(MATCH($I1417,ROTACAO_RDM!$B$6:$B$71,0),0)</f>
        <v>56</v>
      </c>
      <c r="K1417" s="8" t="str">
        <f aca="false">IF($J1417=0,"SEM CULTURA",INDEX(ROTACAO_RDM!$F$6:$F$71,$J1417))</f>
        <v>ALGODAO</v>
      </c>
      <c r="L1417" s="8" t="str">
        <f aca="false">IF($J1417=0,"",INDEX(ROTACAO_RDM!$G$6:$G$71,$J1417))</f>
        <v>DP 2111 B3RF</v>
      </c>
      <c r="M1417" s="17" t="n">
        <f aca="false">IF($J1417=0,"",INDEX(ROTACAO_RDM!$I$6:$I$71,$J1417))</f>
        <v>46426</v>
      </c>
      <c r="N1417" s="16" t="n">
        <f aca="false">IF($J1417=0,0,MAX(0,$C1417+INT(DIAS_POR_SEMANA/2)-INDEX(ROTACAO_RDM!$I$6:$I$71,$J1417)))</f>
        <v>17</v>
      </c>
      <c r="O1417" s="19" t="n">
        <f aca="false">IF($J1417=0,0,MIN(1,$N1417/MAX(1,INDEX(ROTACAO_RDM!$K$6:$K$71,$J1417))))</f>
        <v>0.0944444444444444</v>
      </c>
      <c r="P1417" s="16" t="n">
        <f aca="false">IF($J1417=0,0,IFERROR(MATCH(INDEX(ROTACAO_RDM!$N$6:$N$71,$J1417),PARAMETROS_CULTURAS!$B$6:$B$28,0),0))</f>
        <v>4</v>
      </c>
      <c r="Q1417" s="8" t="str">
        <f aca="false">IF($P1417=0,"-",IF($O1417&lt;=INDEX(PARAMETROS_CULTURAS!$F$6:$F$28,$P1417),"INICIAL",IF($O1417&lt;=INDEX(PARAMETROS_CULTURAS!$F$6:$F$28,$P1417)+INDEX(PARAMETROS_CULTURAS!$G$6:$G$28,$P1417),"DESENVOLVIMENTO",IF($O1417&lt;=INDEX(PARAMETROS_CULTURAS!$F$6:$F$28,$P1417)+INDEX(PARAMETROS_CULTURAS!$G$6:$G$28,$P1417)+INDEX(PARAMETROS_CULTURAS!$H$6:$H$28,$P1417),"MEDIA","FINAL"))))</f>
        <v>INICIAL</v>
      </c>
      <c r="R1417" s="24" t="n">
        <f aca="false">IF($P1417=0,0,IF($O1417&lt;=INDEX(PARAMETROS_CULTURAS!$F$6:$F$28,$P1417),INDEX(PARAMETROS_CULTURAS!$K$6:$K$28,$P1417),IF($O1417&lt;=INDEX(PARAMETROS_CULTURAS!$F$6:$F$28,$P1417)+INDEX(PARAMETROS_CULTURAS!$G$6:$G$28,$P1417),INDEX(PARAMETROS_CULTURAS!$K$6:$K$28,$P1417)+(INDEX(PARAMETROS_CULTURAS!$L$6:$L$28,$P1417)-INDEX(PARAMETROS_CULTURAS!$K$6:$K$28,$P1417))*($O1417-INDEX(PARAMETROS_CULTURAS!$F$6:$F$28,$P1417))/MAX(INDEX(PARAMETROS_CULTURAS!$G$6:$G$28,$P1417),0.0001),IF($O1417&lt;=INDEX(PARAMETROS_CULTURAS!$F$6:$F$28,$P1417)+INDEX(PARAMETROS_CULTURAS!$G$6:$G$28,$P1417)+INDEX(PARAMETROS_CULTURAS!$H$6:$H$28,$P1417),INDEX(PARAMETROS_CULTURAS!$L$6:$L$28,$P1417),INDEX(PARAMETROS_CULTURAS!$L$6:$L$28,$P1417)+(INDEX(PARAMETROS_CULTURAS!$M$6:$M$28,$P1417)-INDEX(PARAMETROS_CULTURAS!$L$6:$L$28,$P1417))*($O1417-INDEX(PARAMETROS_CULTURAS!$F$6:$F$28,$P1417)-INDEX(PARAMETROS_CULTURAS!$G$6:$G$28,$P1417)-INDEX(PARAMETROS_CULTURAS!$H$6:$H$28,$P1417))/MAX(INDEX(PARAMETROS_CULTURAS!$I$6:$I$28,$P1417),0.0001)))))</f>
        <v>0.35</v>
      </c>
      <c r="S1417" s="18" t="n">
        <f aca="false">IFERROR(INDEX(SEMANAS!$H$6:$H$71,MATCH($B1417,SEMANAS!$B$6:$B$71,0)),0)</f>
        <v>32.9</v>
      </c>
      <c r="T1417" s="18" t="n">
        <f aca="false">$R1417*$S1417</f>
        <v>11.515</v>
      </c>
      <c r="U1417" s="18" t="n">
        <f aca="false">IFERROR(INDEX(SEMANAS!$I$6:$I$71,MATCH($B1417,SEMANAS!$B$6:$B$71,0)),0)</f>
        <v>39.97</v>
      </c>
      <c r="V1417" s="18" t="n">
        <f aca="false">IFERROR(INDEX(SEMANAS!$J$6:$J$71,MATCH($B1417,SEMANAS!$B$6:$B$71,0)),0)</f>
        <v>31.976</v>
      </c>
      <c r="W1417" s="18" t="n">
        <f aca="false">MAX(0,$T1417-$V1417)</f>
        <v>0</v>
      </c>
      <c r="X1417" s="19" t="n">
        <f aca="false">IFERROR(INDEX(CADASTRO_PIVOS!$K$6:$K$41,MATCH($E1417,CADASTRO_PIVOS!$B$6:$B$41,0)),EFICIENCIA_PADRAO)</f>
        <v>0.85</v>
      </c>
      <c r="Y1417" s="18" t="n">
        <f aca="false">IF($X1417&lt;=0,0,$W1417/$X1417)</f>
        <v>0</v>
      </c>
      <c r="Z1417" s="16" t="n">
        <f aca="false">$Y1417*$H1417*MM_PARA_M3_HA</f>
        <v>0</v>
      </c>
      <c r="AA1417" s="18" t="n">
        <f aca="false">IFERROR(INDEX(CADASTRO_PIVOS!$I$6:$I$41,MATCH($E1417,CADASTRO_PIVOS!$B$6:$B$41,0)),0)</f>
        <v>710.571428571429</v>
      </c>
      <c r="AB1417" s="18" t="n">
        <f aca="false">IF($Z1417&lt;=0,0,$Z1417/$AA1417)</f>
        <v>0</v>
      </c>
      <c r="AC1417" s="16" t="n">
        <f aca="false">IFERROR(INDEX(SEMANAS!$K$6:$K$71,MATCH($B1417,SEMANAS!$B$6:$B$71,0)),0)</f>
        <v>147</v>
      </c>
      <c r="AD1417" s="19" t="n">
        <f aca="false">IF($AC1417&lt;=0,0,$AB1417/$AC1417)</f>
        <v>0</v>
      </c>
      <c r="AE1417" s="8" t="str">
        <f aca="false">IF($K1417="SEM CULTURA","SEM CULTURA",IF($AA1417&lt;=0,"DADO PENDENTE",IF($AD1417&gt;LIMITE_CRITICO,"INVIAVEL",IF($AD1417&gt;LIMITE_ATENCAO,"CRITICO",IF($AD1417&gt;LIMITE_CONFORTAVEL,"ATENCAO","OK")))))</f>
        <v>OK</v>
      </c>
      <c r="AF1417" s="8" t="str">
        <f aca="false">$B1417&amp;"|"&amp;TEXT($AD1417,"0.000000")</f>
        <v>26|0.000000</v>
      </c>
      <c r="AG1417" s="18" t="n">
        <f aca="false">IF($K1417="SEM CULTURA",0,$T1417*$H1417)</f>
        <v>1145.5122</v>
      </c>
      <c r="AH1417" s="18" t="n">
        <f aca="false">IF($K1417="SEM CULTURA",0,$V1417*$H1417)</f>
        <v>3180.97248</v>
      </c>
      <c r="AI1417" s="18" t="n">
        <f aca="false">IF($K1417="SEM CULTURA",0,$W1417*$H1417)</f>
        <v>0</v>
      </c>
      <c r="AJ1417" s="18" t="n">
        <f aca="false">IF($K1417="SEM CULTURA",0,$S1417*$H1417)</f>
        <v>3272.892</v>
      </c>
      <c r="AK1417" s="8" t="str">
        <f aca="false">$E1417&amp;"|"&amp;TEXT($AD1417,"0.000000")</f>
        <v>PV 129|0.000000</v>
      </c>
    </row>
    <row r="1418" customFormat="false" ht="15" hidden="false" customHeight="false" outlineLevel="0" collapsed="false">
      <c r="B1418" s="16" t="n">
        <v>27</v>
      </c>
      <c r="C1418" s="17" t="n">
        <f aca="false">DATA_INICIO_SAFRA+($B1418-1)*DIAS_POR_SEMANA</f>
        <v>46447</v>
      </c>
      <c r="D1418" s="17" t="n">
        <f aca="false">$C1418+DIAS_POR_SEMANA-1</f>
        <v>46453</v>
      </c>
      <c r="E1418" s="15" t="s">
        <v>280</v>
      </c>
      <c r="F1418" s="8" t="str">
        <f aca="false">IFERROR(INDEX(CADASTRO_PIVOS!$C$6:$C$41,MATCH($E1418,CADASTRO_PIVOS!$B$6:$B$41,0)),"?")</f>
        <v>RM06</v>
      </c>
      <c r="G1418" s="8" t="str">
        <f aca="false">IFERROR(INDEX(CADASTRO_PIVOS!$D$6:$D$41,MATCH($E1418,CADASTRO_PIVOS!$B$6:$B$41,0)),"?")</f>
        <v>TR06</v>
      </c>
      <c r="H1418" s="20" t="n">
        <f aca="false">IFERROR(INDEX(CADASTRO_PIVOS!$E$6:$E$41,MATCH($E1418,CADASTRO_PIVOS!$B$6:$B$41,0)),0)</f>
        <v>99.48</v>
      </c>
      <c r="I1418" s="16" t="n">
        <f aca="false">IFERROR(SUMIFS(ROTACAO_RDM!$B$6:$B$71,ROTACAO_RDM!$D$6:$D$71,$E1418,ROTACAO_RDM!$I$6:$I$71,"&lt;="&amp;$C1418+INT(DIAS_POR_SEMANA/2),ROTACAO_RDM!$J$6:$J$71,"&gt;="&amp;$C1418+INT(DIAS_POR_SEMANA/2)),0)</f>
        <v>56</v>
      </c>
      <c r="J1418" s="16" t="n">
        <f aca="false">IFERROR(MATCH($I1418,ROTACAO_RDM!$B$6:$B$71,0),0)</f>
        <v>56</v>
      </c>
      <c r="K1418" s="8" t="str">
        <f aca="false">IF($J1418=0,"SEM CULTURA",INDEX(ROTACAO_RDM!$F$6:$F$71,$J1418))</f>
        <v>ALGODAO</v>
      </c>
      <c r="L1418" s="8" t="str">
        <f aca="false">IF($J1418=0,"",INDEX(ROTACAO_RDM!$G$6:$G$71,$J1418))</f>
        <v>DP 2111 B3RF</v>
      </c>
      <c r="M1418" s="17" t="n">
        <f aca="false">IF($J1418=0,"",INDEX(ROTACAO_RDM!$I$6:$I$71,$J1418))</f>
        <v>46426</v>
      </c>
      <c r="N1418" s="16" t="n">
        <f aca="false">IF($J1418=0,0,MAX(0,$C1418+INT(DIAS_POR_SEMANA/2)-INDEX(ROTACAO_RDM!$I$6:$I$71,$J1418)))</f>
        <v>24</v>
      </c>
      <c r="O1418" s="19" t="n">
        <f aca="false">IF($J1418=0,0,MIN(1,$N1418/MAX(1,INDEX(ROTACAO_RDM!$K$6:$K$71,$J1418))))</f>
        <v>0.133333333333333</v>
      </c>
      <c r="P1418" s="16" t="n">
        <f aca="false">IF($J1418=0,0,IFERROR(MATCH(INDEX(ROTACAO_RDM!$N$6:$N$71,$J1418),PARAMETROS_CULTURAS!$B$6:$B$28,0),0))</f>
        <v>4</v>
      </c>
      <c r="Q1418" s="8" t="str">
        <f aca="false">IF($P1418=0,"-",IF($O1418&lt;=INDEX(PARAMETROS_CULTURAS!$F$6:$F$28,$P1418),"INICIAL",IF($O1418&lt;=INDEX(PARAMETROS_CULTURAS!$F$6:$F$28,$P1418)+INDEX(PARAMETROS_CULTURAS!$G$6:$G$28,$P1418),"DESENVOLVIMENTO",IF($O1418&lt;=INDEX(PARAMETROS_CULTURAS!$F$6:$F$28,$P1418)+INDEX(PARAMETROS_CULTURAS!$G$6:$G$28,$P1418)+INDEX(PARAMETROS_CULTURAS!$H$6:$H$28,$P1418),"MEDIA","FINAL"))))</f>
        <v>INICIAL</v>
      </c>
      <c r="R1418" s="24" t="n">
        <f aca="false">IF($P1418=0,0,IF($O1418&lt;=INDEX(PARAMETROS_CULTURAS!$F$6:$F$28,$P1418),INDEX(PARAMETROS_CULTURAS!$K$6:$K$28,$P1418),IF($O1418&lt;=INDEX(PARAMETROS_CULTURAS!$F$6:$F$28,$P1418)+INDEX(PARAMETROS_CULTURAS!$G$6:$G$28,$P1418),INDEX(PARAMETROS_CULTURAS!$K$6:$K$28,$P1418)+(INDEX(PARAMETROS_CULTURAS!$L$6:$L$28,$P1418)-INDEX(PARAMETROS_CULTURAS!$K$6:$K$28,$P1418))*($O1418-INDEX(PARAMETROS_CULTURAS!$F$6:$F$28,$P1418))/MAX(INDEX(PARAMETROS_CULTURAS!$G$6:$G$28,$P1418),0.0001),IF($O1418&lt;=INDEX(PARAMETROS_CULTURAS!$F$6:$F$28,$P1418)+INDEX(PARAMETROS_CULTURAS!$G$6:$G$28,$P1418)+INDEX(PARAMETROS_CULTURAS!$H$6:$H$28,$P1418),INDEX(PARAMETROS_CULTURAS!$L$6:$L$28,$P1418),INDEX(PARAMETROS_CULTURAS!$L$6:$L$28,$P1418)+(INDEX(PARAMETROS_CULTURAS!$M$6:$M$28,$P1418)-INDEX(PARAMETROS_CULTURAS!$L$6:$L$28,$P1418))*($O1418-INDEX(PARAMETROS_CULTURAS!$F$6:$F$28,$P1418)-INDEX(PARAMETROS_CULTURAS!$G$6:$G$28,$P1418)-INDEX(PARAMETROS_CULTURAS!$H$6:$H$28,$P1418))/MAX(INDEX(PARAMETROS_CULTURAS!$I$6:$I$28,$P1418),0.0001)))))</f>
        <v>0.35</v>
      </c>
      <c r="S1418" s="18" t="n">
        <f aca="false">IFERROR(INDEX(SEMANAS!$H$6:$H$71,MATCH($B1418,SEMANAS!$B$6:$B$71,0)),0)</f>
        <v>32.2</v>
      </c>
      <c r="T1418" s="18" t="n">
        <f aca="false">$R1418*$S1418</f>
        <v>11.27</v>
      </c>
      <c r="U1418" s="18" t="n">
        <f aca="false">IFERROR(INDEX(SEMANAS!$I$6:$I$71,MATCH($B1418,SEMANAS!$B$6:$B$71,0)),0)</f>
        <v>37.24</v>
      </c>
      <c r="V1418" s="18" t="n">
        <f aca="false">IFERROR(INDEX(SEMANAS!$J$6:$J$71,MATCH($B1418,SEMANAS!$B$6:$B$71,0)),0)</f>
        <v>29.792</v>
      </c>
      <c r="W1418" s="18" t="n">
        <f aca="false">MAX(0,$T1418-$V1418)</f>
        <v>0</v>
      </c>
      <c r="X1418" s="19" t="n">
        <f aca="false">IFERROR(INDEX(CADASTRO_PIVOS!$K$6:$K$41,MATCH($E1418,CADASTRO_PIVOS!$B$6:$B$41,0)),EFICIENCIA_PADRAO)</f>
        <v>0.85</v>
      </c>
      <c r="Y1418" s="18" t="n">
        <f aca="false">IF($X1418&lt;=0,0,$W1418/$X1418)</f>
        <v>0</v>
      </c>
      <c r="Z1418" s="16" t="n">
        <f aca="false">$Y1418*$H1418*MM_PARA_M3_HA</f>
        <v>0</v>
      </c>
      <c r="AA1418" s="18" t="n">
        <f aca="false">IFERROR(INDEX(CADASTRO_PIVOS!$I$6:$I$41,MATCH($E1418,CADASTRO_PIVOS!$B$6:$B$41,0)),0)</f>
        <v>710.571428571429</v>
      </c>
      <c r="AB1418" s="18" t="n">
        <f aca="false">IF($Z1418&lt;=0,0,$Z1418/$AA1418)</f>
        <v>0</v>
      </c>
      <c r="AC1418" s="16" t="n">
        <f aca="false">IFERROR(INDEX(SEMANAS!$K$6:$K$71,MATCH($B1418,SEMANAS!$B$6:$B$71,0)),0)</f>
        <v>147</v>
      </c>
      <c r="AD1418" s="19" t="n">
        <f aca="false">IF($AC1418&lt;=0,0,$AB1418/$AC1418)</f>
        <v>0</v>
      </c>
      <c r="AE1418" s="8" t="str">
        <f aca="false">IF($K1418="SEM CULTURA","SEM CULTURA",IF($AA1418&lt;=0,"DADO PENDENTE",IF($AD1418&gt;LIMITE_CRITICO,"INVIAVEL",IF($AD1418&gt;LIMITE_ATENCAO,"CRITICO",IF($AD1418&gt;LIMITE_CONFORTAVEL,"ATENCAO","OK")))))</f>
        <v>OK</v>
      </c>
      <c r="AF1418" s="8" t="str">
        <f aca="false">$B1418&amp;"|"&amp;TEXT($AD1418,"0.000000")</f>
        <v>27|0.000000</v>
      </c>
      <c r="AG1418" s="18" t="n">
        <f aca="false">IF($K1418="SEM CULTURA",0,$T1418*$H1418)</f>
        <v>1121.1396</v>
      </c>
      <c r="AH1418" s="18" t="n">
        <f aca="false">IF($K1418="SEM CULTURA",0,$V1418*$H1418)</f>
        <v>2963.70816</v>
      </c>
      <c r="AI1418" s="18" t="n">
        <f aca="false">IF($K1418="SEM CULTURA",0,$W1418*$H1418)</f>
        <v>0</v>
      </c>
      <c r="AJ1418" s="18" t="n">
        <f aca="false">IF($K1418="SEM CULTURA",0,$S1418*$H1418)</f>
        <v>3203.256</v>
      </c>
      <c r="AK1418" s="8" t="str">
        <f aca="false">$E1418&amp;"|"&amp;TEXT($AD1418,"0.000000")</f>
        <v>PV 129|0.000000</v>
      </c>
    </row>
    <row r="1419" customFormat="false" ht="15" hidden="false" customHeight="false" outlineLevel="0" collapsed="false">
      <c r="B1419" s="16" t="n">
        <v>28</v>
      </c>
      <c r="C1419" s="17" t="n">
        <f aca="false">DATA_INICIO_SAFRA+($B1419-1)*DIAS_POR_SEMANA</f>
        <v>46454</v>
      </c>
      <c r="D1419" s="17" t="n">
        <f aca="false">$C1419+DIAS_POR_SEMANA-1</f>
        <v>46460</v>
      </c>
      <c r="E1419" s="15" t="s">
        <v>280</v>
      </c>
      <c r="F1419" s="8" t="str">
        <f aca="false">IFERROR(INDEX(CADASTRO_PIVOS!$C$6:$C$41,MATCH($E1419,CADASTRO_PIVOS!$B$6:$B$41,0)),"?")</f>
        <v>RM06</v>
      </c>
      <c r="G1419" s="8" t="str">
        <f aca="false">IFERROR(INDEX(CADASTRO_PIVOS!$D$6:$D$41,MATCH($E1419,CADASTRO_PIVOS!$B$6:$B$41,0)),"?")</f>
        <v>TR06</v>
      </c>
      <c r="H1419" s="20" t="n">
        <f aca="false">IFERROR(INDEX(CADASTRO_PIVOS!$E$6:$E$41,MATCH($E1419,CADASTRO_PIVOS!$B$6:$B$41,0)),0)</f>
        <v>99.48</v>
      </c>
      <c r="I1419" s="16" t="n">
        <f aca="false">IFERROR(SUMIFS(ROTACAO_RDM!$B$6:$B$71,ROTACAO_RDM!$D$6:$D$71,$E1419,ROTACAO_RDM!$I$6:$I$71,"&lt;="&amp;$C1419+INT(DIAS_POR_SEMANA/2),ROTACAO_RDM!$J$6:$J$71,"&gt;="&amp;$C1419+INT(DIAS_POR_SEMANA/2)),0)</f>
        <v>56</v>
      </c>
      <c r="J1419" s="16" t="n">
        <f aca="false">IFERROR(MATCH($I1419,ROTACAO_RDM!$B$6:$B$71,0),0)</f>
        <v>56</v>
      </c>
      <c r="K1419" s="8" t="str">
        <f aca="false">IF($J1419=0,"SEM CULTURA",INDEX(ROTACAO_RDM!$F$6:$F$71,$J1419))</f>
        <v>ALGODAO</v>
      </c>
      <c r="L1419" s="8" t="str">
        <f aca="false">IF($J1419=0,"",INDEX(ROTACAO_RDM!$G$6:$G$71,$J1419))</f>
        <v>DP 2111 B3RF</v>
      </c>
      <c r="M1419" s="17" t="n">
        <f aca="false">IF($J1419=0,"",INDEX(ROTACAO_RDM!$I$6:$I$71,$J1419))</f>
        <v>46426</v>
      </c>
      <c r="N1419" s="16" t="n">
        <f aca="false">IF($J1419=0,0,MAX(0,$C1419+INT(DIAS_POR_SEMANA/2)-INDEX(ROTACAO_RDM!$I$6:$I$71,$J1419)))</f>
        <v>31</v>
      </c>
      <c r="O1419" s="19" t="n">
        <f aca="false">IF($J1419=0,0,MIN(1,$N1419/MAX(1,INDEX(ROTACAO_RDM!$K$6:$K$71,$J1419))))</f>
        <v>0.172222222222222</v>
      </c>
      <c r="P1419" s="16" t="n">
        <f aca="false">IF($J1419=0,0,IFERROR(MATCH(INDEX(ROTACAO_RDM!$N$6:$N$71,$J1419),PARAMETROS_CULTURAS!$B$6:$B$28,0),0))</f>
        <v>4</v>
      </c>
      <c r="Q1419" s="8" t="str">
        <f aca="false">IF($P1419=0,"-",IF($O1419&lt;=INDEX(PARAMETROS_CULTURAS!$F$6:$F$28,$P1419),"INICIAL",IF($O1419&lt;=INDEX(PARAMETROS_CULTURAS!$F$6:$F$28,$P1419)+INDEX(PARAMETROS_CULTURAS!$G$6:$G$28,$P1419),"DESENVOLVIMENTO",IF($O1419&lt;=INDEX(PARAMETROS_CULTURAS!$F$6:$F$28,$P1419)+INDEX(PARAMETROS_CULTURAS!$G$6:$G$28,$P1419)+INDEX(PARAMETROS_CULTURAS!$H$6:$H$28,$P1419),"MEDIA","FINAL"))))</f>
        <v>DESENVOLVIMENTO</v>
      </c>
      <c r="R1419" s="24" t="n">
        <f aca="false">IF($P1419=0,0,IF($O1419&lt;=INDEX(PARAMETROS_CULTURAS!$F$6:$F$28,$P1419),INDEX(PARAMETROS_CULTURAS!$K$6:$K$28,$P1419),IF($O1419&lt;=INDEX(PARAMETROS_CULTURAS!$F$6:$F$28,$P1419)+INDEX(PARAMETROS_CULTURAS!$G$6:$G$28,$P1419),INDEX(PARAMETROS_CULTURAS!$K$6:$K$28,$P1419)+(INDEX(PARAMETROS_CULTURAS!$L$6:$L$28,$P1419)-INDEX(PARAMETROS_CULTURAS!$K$6:$K$28,$P1419))*($O1419-INDEX(PARAMETROS_CULTURAS!$F$6:$F$28,$P1419))/MAX(INDEX(PARAMETROS_CULTURAS!$G$6:$G$28,$P1419),0.0001),IF($O1419&lt;=INDEX(PARAMETROS_CULTURAS!$F$6:$F$28,$P1419)+INDEX(PARAMETROS_CULTURAS!$G$6:$G$28,$P1419)+INDEX(PARAMETROS_CULTURAS!$H$6:$H$28,$P1419),INDEX(PARAMETROS_CULTURAS!$L$6:$L$28,$P1419),INDEX(PARAMETROS_CULTURAS!$L$6:$L$28,$P1419)+(INDEX(PARAMETROS_CULTURAS!$M$6:$M$28,$P1419)-INDEX(PARAMETROS_CULTURAS!$L$6:$L$28,$P1419))*($O1419-INDEX(PARAMETROS_CULTURAS!$F$6:$F$28,$P1419)-INDEX(PARAMETROS_CULTURAS!$G$6:$G$28,$P1419)-INDEX(PARAMETROS_CULTURAS!$H$6:$H$28,$P1419))/MAX(INDEX(PARAMETROS_CULTURAS!$I$6:$I$28,$P1419),0.0001)))))</f>
        <v>0.356584362139918</v>
      </c>
      <c r="S1419" s="18" t="n">
        <f aca="false">IFERROR(INDEX(SEMANAS!$H$6:$H$71,MATCH($B1419,SEMANAS!$B$6:$B$71,0)),0)</f>
        <v>32.2</v>
      </c>
      <c r="T1419" s="18" t="n">
        <f aca="false">$R1419*$S1419</f>
        <v>11.4820164609053</v>
      </c>
      <c r="U1419" s="18" t="n">
        <f aca="false">IFERROR(INDEX(SEMANAS!$I$6:$I$71,MATCH($B1419,SEMANAS!$B$6:$B$71,0)),0)</f>
        <v>37.24</v>
      </c>
      <c r="V1419" s="18" t="n">
        <f aca="false">IFERROR(INDEX(SEMANAS!$J$6:$J$71,MATCH($B1419,SEMANAS!$B$6:$B$71,0)),0)</f>
        <v>29.792</v>
      </c>
      <c r="W1419" s="18" t="n">
        <f aca="false">MAX(0,$T1419-$V1419)</f>
        <v>0</v>
      </c>
      <c r="X1419" s="19" t="n">
        <f aca="false">IFERROR(INDEX(CADASTRO_PIVOS!$K$6:$K$41,MATCH($E1419,CADASTRO_PIVOS!$B$6:$B$41,0)),EFICIENCIA_PADRAO)</f>
        <v>0.85</v>
      </c>
      <c r="Y1419" s="18" t="n">
        <f aca="false">IF($X1419&lt;=0,0,$W1419/$X1419)</f>
        <v>0</v>
      </c>
      <c r="Z1419" s="16" t="n">
        <f aca="false">$Y1419*$H1419*MM_PARA_M3_HA</f>
        <v>0</v>
      </c>
      <c r="AA1419" s="18" t="n">
        <f aca="false">IFERROR(INDEX(CADASTRO_PIVOS!$I$6:$I$41,MATCH($E1419,CADASTRO_PIVOS!$B$6:$B$41,0)),0)</f>
        <v>710.571428571429</v>
      </c>
      <c r="AB1419" s="18" t="n">
        <f aca="false">IF($Z1419&lt;=0,0,$Z1419/$AA1419)</f>
        <v>0</v>
      </c>
      <c r="AC1419" s="16" t="n">
        <f aca="false">IFERROR(INDEX(SEMANAS!$K$6:$K$71,MATCH($B1419,SEMANAS!$B$6:$B$71,0)),0)</f>
        <v>147</v>
      </c>
      <c r="AD1419" s="19" t="n">
        <f aca="false">IF($AC1419&lt;=0,0,$AB1419/$AC1419)</f>
        <v>0</v>
      </c>
      <c r="AE1419" s="8" t="str">
        <f aca="false">IF($K1419="SEM CULTURA","SEM CULTURA",IF($AA1419&lt;=0,"DADO PENDENTE",IF($AD1419&gt;LIMITE_CRITICO,"INVIAVEL",IF($AD1419&gt;LIMITE_ATENCAO,"CRITICO",IF($AD1419&gt;LIMITE_CONFORTAVEL,"ATENCAO","OK")))))</f>
        <v>OK</v>
      </c>
      <c r="AF1419" s="8" t="str">
        <f aca="false">$B1419&amp;"|"&amp;TEXT($AD1419,"0.000000")</f>
        <v>28|0.000000</v>
      </c>
      <c r="AG1419" s="18" t="n">
        <f aca="false">IF($K1419="SEM CULTURA",0,$T1419*$H1419)</f>
        <v>1142.23099753086</v>
      </c>
      <c r="AH1419" s="18" t="n">
        <f aca="false">IF($K1419="SEM CULTURA",0,$V1419*$H1419)</f>
        <v>2963.70816</v>
      </c>
      <c r="AI1419" s="18" t="n">
        <f aca="false">IF($K1419="SEM CULTURA",0,$W1419*$H1419)</f>
        <v>0</v>
      </c>
      <c r="AJ1419" s="18" t="n">
        <f aca="false">IF($K1419="SEM CULTURA",0,$S1419*$H1419)</f>
        <v>3203.256</v>
      </c>
      <c r="AK1419" s="8" t="str">
        <f aca="false">$E1419&amp;"|"&amp;TEXT($AD1419,"0.000000")</f>
        <v>PV 129|0.000000</v>
      </c>
    </row>
    <row r="1420" customFormat="false" ht="15" hidden="false" customHeight="false" outlineLevel="0" collapsed="false">
      <c r="B1420" s="16" t="n">
        <v>29</v>
      </c>
      <c r="C1420" s="17" t="n">
        <f aca="false">DATA_INICIO_SAFRA+($B1420-1)*DIAS_POR_SEMANA</f>
        <v>46461</v>
      </c>
      <c r="D1420" s="17" t="n">
        <f aca="false">$C1420+DIAS_POR_SEMANA-1</f>
        <v>46467</v>
      </c>
      <c r="E1420" s="15" t="s">
        <v>280</v>
      </c>
      <c r="F1420" s="8" t="str">
        <f aca="false">IFERROR(INDEX(CADASTRO_PIVOS!$C$6:$C$41,MATCH($E1420,CADASTRO_PIVOS!$B$6:$B$41,0)),"?")</f>
        <v>RM06</v>
      </c>
      <c r="G1420" s="8" t="str">
        <f aca="false">IFERROR(INDEX(CADASTRO_PIVOS!$D$6:$D$41,MATCH($E1420,CADASTRO_PIVOS!$B$6:$B$41,0)),"?")</f>
        <v>TR06</v>
      </c>
      <c r="H1420" s="20" t="n">
        <f aca="false">IFERROR(INDEX(CADASTRO_PIVOS!$E$6:$E$41,MATCH($E1420,CADASTRO_PIVOS!$B$6:$B$41,0)),0)</f>
        <v>99.48</v>
      </c>
      <c r="I1420" s="16" t="n">
        <f aca="false">IFERROR(SUMIFS(ROTACAO_RDM!$B$6:$B$71,ROTACAO_RDM!$D$6:$D$71,$E1420,ROTACAO_RDM!$I$6:$I$71,"&lt;="&amp;$C1420+INT(DIAS_POR_SEMANA/2),ROTACAO_RDM!$J$6:$J$71,"&gt;="&amp;$C1420+INT(DIAS_POR_SEMANA/2)),0)</f>
        <v>56</v>
      </c>
      <c r="J1420" s="16" t="n">
        <f aca="false">IFERROR(MATCH($I1420,ROTACAO_RDM!$B$6:$B$71,0),0)</f>
        <v>56</v>
      </c>
      <c r="K1420" s="8" t="str">
        <f aca="false">IF($J1420=0,"SEM CULTURA",INDEX(ROTACAO_RDM!$F$6:$F$71,$J1420))</f>
        <v>ALGODAO</v>
      </c>
      <c r="L1420" s="8" t="str">
        <f aca="false">IF($J1420=0,"",INDEX(ROTACAO_RDM!$G$6:$G$71,$J1420))</f>
        <v>DP 2111 B3RF</v>
      </c>
      <c r="M1420" s="17" t="n">
        <f aca="false">IF($J1420=0,"",INDEX(ROTACAO_RDM!$I$6:$I$71,$J1420))</f>
        <v>46426</v>
      </c>
      <c r="N1420" s="16" t="n">
        <f aca="false">IF($J1420=0,0,MAX(0,$C1420+INT(DIAS_POR_SEMANA/2)-INDEX(ROTACAO_RDM!$I$6:$I$71,$J1420)))</f>
        <v>38</v>
      </c>
      <c r="O1420" s="19" t="n">
        <f aca="false">IF($J1420=0,0,MIN(1,$N1420/MAX(1,INDEX(ROTACAO_RDM!$K$6:$K$71,$J1420))))</f>
        <v>0.211111111111111</v>
      </c>
      <c r="P1420" s="16" t="n">
        <f aca="false">IF($J1420=0,0,IFERROR(MATCH(INDEX(ROTACAO_RDM!$N$6:$N$71,$J1420),PARAMETROS_CULTURAS!$B$6:$B$28,0),0))</f>
        <v>4</v>
      </c>
      <c r="Q1420" s="8" t="str">
        <f aca="false">IF($P1420=0,"-",IF($O1420&lt;=INDEX(PARAMETROS_CULTURAS!$F$6:$F$28,$P1420),"INICIAL",IF($O1420&lt;=INDEX(PARAMETROS_CULTURAS!$F$6:$F$28,$P1420)+INDEX(PARAMETROS_CULTURAS!$G$6:$G$28,$P1420),"DESENVOLVIMENTO",IF($O1420&lt;=INDEX(PARAMETROS_CULTURAS!$F$6:$F$28,$P1420)+INDEX(PARAMETROS_CULTURAS!$G$6:$G$28,$P1420)+INDEX(PARAMETROS_CULTURAS!$H$6:$H$28,$P1420),"MEDIA","FINAL"))))</f>
        <v>DESENVOLVIMENTO</v>
      </c>
      <c r="R1420" s="24" t="n">
        <f aca="false">IF($P1420=0,0,IF($O1420&lt;=INDEX(PARAMETROS_CULTURAS!$F$6:$F$28,$P1420),INDEX(PARAMETROS_CULTURAS!$K$6:$K$28,$P1420),IF($O1420&lt;=INDEX(PARAMETROS_CULTURAS!$F$6:$F$28,$P1420)+INDEX(PARAMETROS_CULTURAS!$G$6:$G$28,$P1420),INDEX(PARAMETROS_CULTURAS!$K$6:$K$28,$P1420)+(INDEX(PARAMETROS_CULTURAS!$L$6:$L$28,$P1420)-INDEX(PARAMETROS_CULTURAS!$K$6:$K$28,$P1420))*($O1420-INDEX(PARAMETROS_CULTURAS!$F$6:$F$28,$P1420))/MAX(INDEX(PARAMETROS_CULTURAS!$G$6:$G$28,$P1420),0.0001),IF($O1420&lt;=INDEX(PARAMETROS_CULTURAS!$F$6:$F$28,$P1420)+INDEX(PARAMETROS_CULTURAS!$G$6:$G$28,$P1420)+INDEX(PARAMETROS_CULTURAS!$H$6:$H$28,$P1420),INDEX(PARAMETROS_CULTURAS!$L$6:$L$28,$P1420),INDEX(PARAMETROS_CULTURAS!$L$6:$L$28,$P1420)+(INDEX(PARAMETROS_CULTURAS!$M$6:$M$28,$P1420)-INDEX(PARAMETROS_CULTURAS!$L$6:$L$28,$P1420))*($O1420-INDEX(PARAMETROS_CULTURAS!$F$6:$F$28,$P1420)-INDEX(PARAMETROS_CULTURAS!$G$6:$G$28,$P1420)-INDEX(PARAMETROS_CULTURAS!$H$6:$H$28,$P1420))/MAX(INDEX(PARAMETROS_CULTURAS!$I$6:$I$28,$P1420),0.0001)))))</f>
        <v>0.471810699588477</v>
      </c>
      <c r="S1420" s="18" t="n">
        <f aca="false">IFERROR(INDEX(SEMANAS!$H$6:$H$71,MATCH($B1420,SEMANAS!$B$6:$B$71,0)),0)</f>
        <v>32.2</v>
      </c>
      <c r="T1420" s="18" t="n">
        <f aca="false">$R1420*$S1420</f>
        <v>15.192304526749</v>
      </c>
      <c r="U1420" s="18" t="n">
        <f aca="false">IFERROR(INDEX(SEMANAS!$I$6:$I$71,MATCH($B1420,SEMANAS!$B$6:$B$71,0)),0)</f>
        <v>37.24</v>
      </c>
      <c r="V1420" s="18" t="n">
        <f aca="false">IFERROR(INDEX(SEMANAS!$J$6:$J$71,MATCH($B1420,SEMANAS!$B$6:$B$71,0)),0)</f>
        <v>29.792</v>
      </c>
      <c r="W1420" s="18" t="n">
        <f aca="false">MAX(0,$T1420-$V1420)</f>
        <v>0</v>
      </c>
      <c r="X1420" s="19" t="n">
        <f aca="false">IFERROR(INDEX(CADASTRO_PIVOS!$K$6:$K$41,MATCH($E1420,CADASTRO_PIVOS!$B$6:$B$41,0)),EFICIENCIA_PADRAO)</f>
        <v>0.85</v>
      </c>
      <c r="Y1420" s="18" t="n">
        <f aca="false">IF($X1420&lt;=0,0,$W1420/$X1420)</f>
        <v>0</v>
      </c>
      <c r="Z1420" s="16" t="n">
        <f aca="false">$Y1420*$H1420*MM_PARA_M3_HA</f>
        <v>0</v>
      </c>
      <c r="AA1420" s="18" t="n">
        <f aca="false">IFERROR(INDEX(CADASTRO_PIVOS!$I$6:$I$41,MATCH($E1420,CADASTRO_PIVOS!$B$6:$B$41,0)),0)</f>
        <v>710.571428571429</v>
      </c>
      <c r="AB1420" s="18" t="n">
        <f aca="false">IF($Z1420&lt;=0,0,$Z1420/$AA1420)</f>
        <v>0</v>
      </c>
      <c r="AC1420" s="16" t="n">
        <f aca="false">IFERROR(INDEX(SEMANAS!$K$6:$K$71,MATCH($B1420,SEMANAS!$B$6:$B$71,0)),0)</f>
        <v>147</v>
      </c>
      <c r="AD1420" s="19" t="n">
        <f aca="false">IF($AC1420&lt;=0,0,$AB1420/$AC1420)</f>
        <v>0</v>
      </c>
      <c r="AE1420" s="8" t="str">
        <f aca="false">IF($K1420="SEM CULTURA","SEM CULTURA",IF($AA1420&lt;=0,"DADO PENDENTE",IF($AD1420&gt;LIMITE_CRITICO,"INVIAVEL",IF($AD1420&gt;LIMITE_ATENCAO,"CRITICO",IF($AD1420&gt;LIMITE_CONFORTAVEL,"ATENCAO","OK")))))</f>
        <v>OK</v>
      </c>
      <c r="AF1420" s="8" t="str">
        <f aca="false">$B1420&amp;"|"&amp;TEXT($AD1420,"0.000000")</f>
        <v>29|0.000000</v>
      </c>
      <c r="AG1420" s="18" t="n">
        <f aca="false">IF($K1420="SEM CULTURA",0,$T1420*$H1420)</f>
        <v>1511.33045432099</v>
      </c>
      <c r="AH1420" s="18" t="n">
        <f aca="false">IF($K1420="SEM CULTURA",0,$V1420*$H1420)</f>
        <v>2963.70816</v>
      </c>
      <c r="AI1420" s="18" t="n">
        <f aca="false">IF($K1420="SEM CULTURA",0,$W1420*$H1420)</f>
        <v>0</v>
      </c>
      <c r="AJ1420" s="18" t="n">
        <f aca="false">IF($K1420="SEM CULTURA",0,$S1420*$H1420)</f>
        <v>3203.256</v>
      </c>
      <c r="AK1420" s="8" t="str">
        <f aca="false">$E1420&amp;"|"&amp;TEXT($AD1420,"0.000000")</f>
        <v>PV 129|0.000000</v>
      </c>
    </row>
    <row r="1421" customFormat="false" ht="15" hidden="false" customHeight="false" outlineLevel="0" collapsed="false">
      <c r="B1421" s="16" t="n">
        <v>30</v>
      </c>
      <c r="C1421" s="17" t="n">
        <f aca="false">DATA_INICIO_SAFRA+($B1421-1)*DIAS_POR_SEMANA</f>
        <v>46468</v>
      </c>
      <c r="D1421" s="17" t="n">
        <f aca="false">$C1421+DIAS_POR_SEMANA-1</f>
        <v>46474</v>
      </c>
      <c r="E1421" s="15" t="s">
        <v>280</v>
      </c>
      <c r="F1421" s="8" t="str">
        <f aca="false">IFERROR(INDEX(CADASTRO_PIVOS!$C$6:$C$41,MATCH($E1421,CADASTRO_PIVOS!$B$6:$B$41,0)),"?")</f>
        <v>RM06</v>
      </c>
      <c r="G1421" s="8" t="str">
        <f aca="false">IFERROR(INDEX(CADASTRO_PIVOS!$D$6:$D$41,MATCH($E1421,CADASTRO_PIVOS!$B$6:$B$41,0)),"?")</f>
        <v>TR06</v>
      </c>
      <c r="H1421" s="20" t="n">
        <f aca="false">IFERROR(INDEX(CADASTRO_PIVOS!$E$6:$E$41,MATCH($E1421,CADASTRO_PIVOS!$B$6:$B$41,0)),0)</f>
        <v>99.48</v>
      </c>
      <c r="I1421" s="16" t="n">
        <f aca="false">IFERROR(SUMIFS(ROTACAO_RDM!$B$6:$B$71,ROTACAO_RDM!$D$6:$D$71,$E1421,ROTACAO_RDM!$I$6:$I$71,"&lt;="&amp;$C1421+INT(DIAS_POR_SEMANA/2),ROTACAO_RDM!$J$6:$J$71,"&gt;="&amp;$C1421+INT(DIAS_POR_SEMANA/2)),0)</f>
        <v>56</v>
      </c>
      <c r="J1421" s="16" t="n">
        <f aca="false">IFERROR(MATCH($I1421,ROTACAO_RDM!$B$6:$B$71,0),0)</f>
        <v>56</v>
      </c>
      <c r="K1421" s="8" t="str">
        <f aca="false">IF($J1421=0,"SEM CULTURA",INDEX(ROTACAO_RDM!$F$6:$F$71,$J1421))</f>
        <v>ALGODAO</v>
      </c>
      <c r="L1421" s="8" t="str">
        <f aca="false">IF($J1421=0,"",INDEX(ROTACAO_RDM!$G$6:$G$71,$J1421))</f>
        <v>DP 2111 B3RF</v>
      </c>
      <c r="M1421" s="17" t="n">
        <f aca="false">IF($J1421=0,"",INDEX(ROTACAO_RDM!$I$6:$I$71,$J1421))</f>
        <v>46426</v>
      </c>
      <c r="N1421" s="16" t="n">
        <f aca="false">IF($J1421=0,0,MAX(0,$C1421+INT(DIAS_POR_SEMANA/2)-INDEX(ROTACAO_RDM!$I$6:$I$71,$J1421)))</f>
        <v>45</v>
      </c>
      <c r="O1421" s="19" t="n">
        <f aca="false">IF($J1421=0,0,MIN(1,$N1421/MAX(1,INDEX(ROTACAO_RDM!$K$6:$K$71,$J1421))))</f>
        <v>0.25</v>
      </c>
      <c r="P1421" s="16" t="n">
        <f aca="false">IF($J1421=0,0,IFERROR(MATCH(INDEX(ROTACAO_RDM!$N$6:$N$71,$J1421),PARAMETROS_CULTURAS!$B$6:$B$28,0),0))</f>
        <v>4</v>
      </c>
      <c r="Q1421" s="8" t="str">
        <f aca="false">IF($P1421=0,"-",IF($O1421&lt;=INDEX(PARAMETROS_CULTURAS!$F$6:$F$28,$P1421),"INICIAL",IF($O1421&lt;=INDEX(PARAMETROS_CULTURAS!$F$6:$F$28,$P1421)+INDEX(PARAMETROS_CULTURAS!$G$6:$G$28,$P1421),"DESENVOLVIMENTO",IF($O1421&lt;=INDEX(PARAMETROS_CULTURAS!$F$6:$F$28,$P1421)+INDEX(PARAMETROS_CULTURAS!$G$6:$G$28,$P1421)+INDEX(PARAMETROS_CULTURAS!$H$6:$H$28,$P1421),"MEDIA","FINAL"))))</f>
        <v>DESENVOLVIMENTO</v>
      </c>
      <c r="R1421" s="24" t="n">
        <f aca="false">IF($P1421=0,0,IF($O1421&lt;=INDEX(PARAMETROS_CULTURAS!$F$6:$F$28,$P1421),INDEX(PARAMETROS_CULTURAS!$K$6:$K$28,$P1421),IF($O1421&lt;=INDEX(PARAMETROS_CULTURAS!$F$6:$F$28,$P1421)+INDEX(PARAMETROS_CULTURAS!$G$6:$G$28,$P1421),INDEX(PARAMETROS_CULTURAS!$K$6:$K$28,$P1421)+(INDEX(PARAMETROS_CULTURAS!$L$6:$L$28,$P1421)-INDEX(PARAMETROS_CULTURAS!$K$6:$K$28,$P1421))*($O1421-INDEX(PARAMETROS_CULTURAS!$F$6:$F$28,$P1421))/MAX(INDEX(PARAMETROS_CULTURAS!$G$6:$G$28,$P1421),0.0001),IF($O1421&lt;=INDEX(PARAMETROS_CULTURAS!$F$6:$F$28,$P1421)+INDEX(PARAMETROS_CULTURAS!$G$6:$G$28,$P1421)+INDEX(PARAMETROS_CULTURAS!$H$6:$H$28,$P1421),INDEX(PARAMETROS_CULTURAS!$L$6:$L$28,$P1421),INDEX(PARAMETROS_CULTURAS!$L$6:$L$28,$P1421)+(INDEX(PARAMETROS_CULTURAS!$M$6:$M$28,$P1421)-INDEX(PARAMETROS_CULTURAS!$L$6:$L$28,$P1421))*($O1421-INDEX(PARAMETROS_CULTURAS!$F$6:$F$28,$P1421)-INDEX(PARAMETROS_CULTURAS!$G$6:$G$28,$P1421)-INDEX(PARAMETROS_CULTURAS!$H$6:$H$28,$P1421))/MAX(INDEX(PARAMETROS_CULTURAS!$I$6:$I$28,$P1421),0.0001)))))</f>
        <v>0.587037037037037</v>
      </c>
      <c r="S1421" s="18" t="n">
        <f aca="false">IFERROR(INDEX(SEMANAS!$H$6:$H$71,MATCH($B1421,SEMANAS!$B$6:$B$71,0)),0)</f>
        <v>32.2</v>
      </c>
      <c r="T1421" s="18" t="n">
        <f aca="false">$R1421*$S1421</f>
        <v>18.9025925925926</v>
      </c>
      <c r="U1421" s="18" t="n">
        <f aca="false">IFERROR(INDEX(SEMANAS!$I$6:$I$71,MATCH($B1421,SEMANAS!$B$6:$B$71,0)),0)</f>
        <v>37.24</v>
      </c>
      <c r="V1421" s="18" t="n">
        <f aca="false">IFERROR(INDEX(SEMANAS!$J$6:$J$71,MATCH($B1421,SEMANAS!$B$6:$B$71,0)),0)</f>
        <v>29.792</v>
      </c>
      <c r="W1421" s="18" t="n">
        <f aca="false">MAX(0,$T1421-$V1421)</f>
        <v>0</v>
      </c>
      <c r="X1421" s="19" t="n">
        <f aca="false">IFERROR(INDEX(CADASTRO_PIVOS!$K$6:$K$41,MATCH($E1421,CADASTRO_PIVOS!$B$6:$B$41,0)),EFICIENCIA_PADRAO)</f>
        <v>0.85</v>
      </c>
      <c r="Y1421" s="18" t="n">
        <f aca="false">IF($X1421&lt;=0,0,$W1421/$X1421)</f>
        <v>0</v>
      </c>
      <c r="Z1421" s="16" t="n">
        <f aca="false">$Y1421*$H1421*MM_PARA_M3_HA</f>
        <v>0</v>
      </c>
      <c r="AA1421" s="18" t="n">
        <f aca="false">IFERROR(INDEX(CADASTRO_PIVOS!$I$6:$I$41,MATCH($E1421,CADASTRO_PIVOS!$B$6:$B$41,0)),0)</f>
        <v>710.571428571429</v>
      </c>
      <c r="AB1421" s="18" t="n">
        <f aca="false">IF($Z1421&lt;=0,0,$Z1421/$AA1421)</f>
        <v>0</v>
      </c>
      <c r="AC1421" s="16" t="n">
        <f aca="false">IFERROR(INDEX(SEMANAS!$K$6:$K$71,MATCH($B1421,SEMANAS!$B$6:$B$71,0)),0)</f>
        <v>147</v>
      </c>
      <c r="AD1421" s="19" t="n">
        <f aca="false">IF($AC1421&lt;=0,0,$AB1421/$AC1421)</f>
        <v>0</v>
      </c>
      <c r="AE1421" s="8" t="str">
        <f aca="false">IF($K1421="SEM CULTURA","SEM CULTURA",IF($AA1421&lt;=0,"DADO PENDENTE",IF($AD1421&gt;LIMITE_CRITICO,"INVIAVEL",IF($AD1421&gt;LIMITE_ATENCAO,"CRITICO",IF($AD1421&gt;LIMITE_CONFORTAVEL,"ATENCAO","OK")))))</f>
        <v>OK</v>
      </c>
      <c r="AF1421" s="8" t="str">
        <f aca="false">$B1421&amp;"|"&amp;TEXT($AD1421,"0.000000")</f>
        <v>30|0.000000</v>
      </c>
      <c r="AG1421" s="18" t="n">
        <f aca="false">IF($K1421="SEM CULTURA",0,$T1421*$H1421)</f>
        <v>1880.42991111111</v>
      </c>
      <c r="AH1421" s="18" t="n">
        <f aca="false">IF($K1421="SEM CULTURA",0,$V1421*$H1421)</f>
        <v>2963.70816</v>
      </c>
      <c r="AI1421" s="18" t="n">
        <f aca="false">IF($K1421="SEM CULTURA",0,$W1421*$H1421)</f>
        <v>0</v>
      </c>
      <c r="AJ1421" s="18" t="n">
        <f aca="false">IF($K1421="SEM CULTURA",0,$S1421*$H1421)</f>
        <v>3203.256</v>
      </c>
      <c r="AK1421" s="8" t="str">
        <f aca="false">$E1421&amp;"|"&amp;TEXT($AD1421,"0.000000")</f>
        <v>PV 129|0.000000</v>
      </c>
    </row>
    <row r="1422" customFormat="false" ht="15" hidden="false" customHeight="false" outlineLevel="0" collapsed="false">
      <c r="B1422" s="16" t="n">
        <v>31</v>
      </c>
      <c r="C1422" s="17" t="n">
        <f aca="false">DATA_INICIO_SAFRA+($B1422-1)*DIAS_POR_SEMANA</f>
        <v>46475</v>
      </c>
      <c r="D1422" s="17" t="n">
        <f aca="false">$C1422+DIAS_POR_SEMANA-1</f>
        <v>46481</v>
      </c>
      <c r="E1422" s="15" t="s">
        <v>280</v>
      </c>
      <c r="F1422" s="8" t="str">
        <f aca="false">IFERROR(INDEX(CADASTRO_PIVOS!$C$6:$C$41,MATCH($E1422,CADASTRO_PIVOS!$B$6:$B$41,0)),"?")</f>
        <v>RM06</v>
      </c>
      <c r="G1422" s="8" t="str">
        <f aca="false">IFERROR(INDEX(CADASTRO_PIVOS!$D$6:$D$41,MATCH($E1422,CADASTRO_PIVOS!$B$6:$B$41,0)),"?")</f>
        <v>TR06</v>
      </c>
      <c r="H1422" s="20" t="n">
        <f aca="false">IFERROR(INDEX(CADASTRO_PIVOS!$E$6:$E$41,MATCH($E1422,CADASTRO_PIVOS!$B$6:$B$41,0)),0)</f>
        <v>99.48</v>
      </c>
      <c r="I1422" s="16" t="n">
        <f aca="false">IFERROR(SUMIFS(ROTACAO_RDM!$B$6:$B$71,ROTACAO_RDM!$D$6:$D$71,$E1422,ROTACAO_RDM!$I$6:$I$71,"&lt;="&amp;$C1422+INT(DIAS_POR_SEMANA/2),ROTACAO_RDM!$J$6:$J$71,"&gt;="&amp;$C1422+INT(DIAS_POR_SEMANA/2)),0)</f>
        <v>56</v>
      </c>
      <c r="J1422" s="16" t="n">
        <f aca="false">IFERROR(MATCH($I1422,ROTACAO_RDM!$B$6:$B$71,0),0)</f>
        <v>56</v>
      </c>
      <c r="K1422" s="8" t="str">
        <f aca="false">IF($J1422=0,"SEM CULTURA",INDEX(ROTACAO_RDM!$F$6:$F$71,$J1422))</f>
        <v>ALGODAO</v>
      </c>
      <c r="L1422" s="8" t="str">
        <f aca="false">IF($J1422=0,"",INDEX(ROTACAO_RDM!$G$6:$G$71,$J1422))</f>
        <v>DP 2111 B3RF</v>
      </c>
      <c r="M1422" s="17" t="n">
        <f aca="false">IF($J1422=0,"",INDEX(ROTACAO_RDM!$I$6:$I$71,$J1422))</f>
        <v>46426</v>
      </c>
      <c r="N1422" s="16" t="n">
        <f aca="false">IF($J1422=0,0,MAX(0,$C1422+INT(DIAS_POR_SEMANA/2)-INDEX(ROTACAO_RDM!$I$6:$I$71,$J1422)))</f>
        <v>52</v>
      </c>
      <c r="O1422" s="19" t="n">
        <f aca="false">IF($J1422=0,0,MIN(1,$N1422/MAX(1,INDEX(ROTACAO_RDM!$K$6:$K$71,$J1422))))</f>
        <v>0.288888888888889</v>
      </c>
      <c r="P1422" s="16" t="n">
        <f aca="false">IF($J1422=0,0,IFERROR(MATCH(INDEX(ROTACAO_RDM!$N$6:$N$71,$J1422),PARAMETROS_CULTURAS!$B$6:$B$28,0),0))</f>
        <v>4</v>
      </c>
      <c r="Q1422" s="8" t="str">
        <f aca="false">IF($P1422=0,"-",IF($O1422&lt;=INDEX(PARAMETROS_CULTURAS!$F$6:$F$28,$P1422),"INICIAL",IF($O1422&lt;=INDEX(PARAMETROS_CULTURAS!$F$6:$F$28,$P1422)+INDEX(PARAMETROS_CULTURAS!$G$6:$G$28,$P1422),"DESENVOLVIMENTO",IF($O1422&lt;=INDEX(PARAMETROS_CULTURAS!$F$6:$F$28,$P1422)+INDEX(PARAMETROS_CULTURAS!$G$6:$G$28,$P1422)+INDEX(PARAMETROS_CULTURAS!$H$6:$H$28,$P1422),"MEDIA","FINAL"))))</f>
        <v>DESENVOLVIMENTO</v>
      </c>
      <c r="R1422" s="24" t="n">
        <f aca="false">IF($P1422=0,0,IF($O1422&lt;=INDEX(PARAMETROS_CULTURAS!$F$6:$F$28,$P1422),INDEX(PARAMETROS_CULTURAS!$K$6:$K$28,$P1422),IF($O1422&lt;=INDEX(PARAMETROS_CULTURAS!$F$6:$F$28,$P1422)+INDEX(PARAMETROS_CULTURAS!$G$6:$G$28,$P1422),INDEX(PARAMETROS_CULTURAS!$K$6:$K$28,$P1422)+(INDEX(PARAMETROS_CULTURAS!$L$6:$L$28,$P1422)-INDEX(PARAMETROS_CULTURAS!$K$6:$K$28,$P1422))*($O1422-INDEX(PARAMETROS_CULTURAS!$F$6:$F$28,$P1422))/MAX(INDEX(PARAMETROS_CULTURAS!$G$6:$G$28,$P1422),0.0001),IF($O1422&lt;=INDEX(PARAMETROS_CULTURAS!$F$6:$F$28,$P1422)+INDEX(PARAMETROS_CULTURAS!$G$6:$G$28,$P1422)+INDEX(PARAMETROS_CULTURAS!$H$6:$H$28,$P1422),INDEX(PARAMETROS_CULTURAS!$L$6:$L$28,$P1422),INDEX(PARAMETROS_CULTURAS!$L$6:$L$28,$P1422)+(INDEX(PARAMETROS_CULTURAS!$M$6:$M$28,$P1422)-INDEX(PARAMETROS_CULTURAS!$L$6:$L$28,$P1422))*($O1422-INDEX(PARAMETROS_CULTURAS!$F$6:$F$28,$P1422)-INDEX(PARAMETROS_CULTURAS!$G$6:$G$28,$P1422)-INDEX(PARAMETROS_CULTURAS!$H$6:$H$28,$P1422))/MAX(INDEX(PARAMETROS_CULTURAS!$I$6:$I$28,$P1422),0.0001)))))</f>
        <v>0.702263374485597</v>
      </c>
      <c r="S1422" s="18" t="n">
        <f aca="false">IFERROR(INDEX(SEMANAS!$H$6:$H$71,MATCH($B1422,SEMANAS!$B$6:$B$71,0)),0)</f>
        <v>31.8</v>
      </c>
      <c r="T1422" s="18" t="n">
        <f aca="false">$R1422*$S1422</f>
        <v>22.331975308642</v>
      </c>
      <c r="U1422" s="18" t="n">
        <f aca="false">IFERROR(INDEX(SEMANAS!$I$6:$I$71,MATCH($B1422,SEMANAS!$B$6:$B$71,0)),0)</f>
        <v>25.28</v>
      </c>
      <c r="V1422" s="18" t="n">
        <f aca="false">IFERROR(INDEX(SEMANAS!$J$6:$J$71,MATCH($B1422,SEMANAS!$B$6:$B$71,0)),0)</f>
        <v>20.224</v>
      </c>
      <c r="W1422" s="18" t="n">
        <f aca="false">MAX(0,$T1422-$V1422)</f>
        <v>2.10797530864197</v>
      </c>
      <c r="X1422" s="19" t="n">
        <f aca="false">IFERROR(INDEX(CADASTRO_PIVOS!$K$6:$K$41,MATCH($E1422,CADASTRO_PIVOS!$B$6:$B$41,0)),EFICIENCIA_PADRAO)</f>
        <v>0.85</v>
      </c>
      <c r="Y1422" s="18" t="n">
        <f aca="false">IF($X1422&lt;=0,0,$W1422/$X1422)</f>
        <v>2.47997095134349</v>
      </c>
      <c r="Z1422" s="16" t="n">
        <f aca="false">$Y1422*$H1422*MM_PARA_M3_HA</f>
        <v>2467.07510239651</v>
      </c>
      <c r="AA1422" s="18" t="n">
        <f aca="false">IFERROR(INDEX(CADASTRO_PIVOS!$I$6:$I$41,MATCH($E1422,CADASTRO_PIVOS!$B$6:$B$41,0)),0)</f>
        <v>710.571428571429</v>
      </c>
      <c r="AB1422" s="18" t="n">
        <f aca="false">IF($Z1422&lt;=0,0,$Z1422/$AA1422)</f>
        <v>3.47195933188089</v>
      </c>
      <c r="AC1422" s="16" t="n">
        <f aca="false">IFERROR(INDEX(SEMANAS!$K$6:$K$71,MATCH($B1422,SEMANAS!$B$6:$B$71,0)),0)</f>
        <v>147</v>
      </c>
      <c r="AD1422" s="19" t="n">
        <f aca="false">IF($AC1422&lt;=0,0,$AB1422/$AC1422)</f>
        <v>0.0236187709651761</v>
      </c>
      <c r="AE1422" s="8" t="str">
        <f aca="false">IF($K1422="SEM CULTURA","SEM CULTURA",IF($AA1422&lt;=0,"DADO PENDENTE",IF($AD1422&gt;LIMITE_CRITICO,"INVIAVEL",IF($AD1422&gt;LIMITE_ATENCAO,"CRITICO",IF($AD1422&gt;LIMITE_CONFORTAVEL,"ATENCAO","OK")))))</f>
        <v>OK</v>
      </c>
      <c r="AF1422" s="8" t="str">
        <f aca="false">$B1422&amp;"|"&amp;TEXT($AD1422,"0.000000")</f>
        <v>31|0.023619</v>
      </c>
      <c r="AG1422" s="18" t="n">
        <f aca="false">IF($K1422="SEM CULTURA",0,$T1422*$H1422)</f>
        <v>2221.5849037037</v>
      </c>
      <c r="AH1422" s="18" t="n">
        <f aca="false">IF($K1422="SEM CULTURA",0,$V1422*$H1422)</f>
        <v>2011.88352</v>
      </c>
      <c r="AI1422" s="18" t="n">
        <f aca="false">IF($K1422="SEM CULTURA",0,$W1422*$H1422)</f>
        <v>209.701383703703</v>
      </c>
      <c r="AJ1422" s="18" t="n">
        <f aca="false">IF($K1422="SEM CULTURA",0,$S1422*$H1422)</f>
        <v>3163.464</v>
      </c>
      <c r="AK1422" s="8" t="str">
        <f aca="false">$E1422&amp;"|"&amp;TEXT($AD1422,"0.000000")</f>
        <v>PV 129|0.023619</v>
      </c>
    </row>
    <row r="1423" customFormat="false" ht="15" hidden="false" customHeight="false" outlineLevel="0" collapsed="false">
      <c r="B1423" s="16" t="n">
        <v>32</v>
      </c>
      <c r="C1423" s="17" t="n">
        <f aca="false">DATA_INICIO_SAFRA+($B1423-1)*DIAS_POR_SEMANA</f>
        <v>46482</v>
      </c>
      <c r="D1423" s="17" t="n">
        <f aca="false">$C1423+DIAS_POR_SEMANA-1</f>
        <v>46488</v>
      </c>
      <c r="E1423" s="15" t="s">
        <v>280</v>
      </c>
      <c r="F1423" s="8" t="str">
        <f aca="false">IFERROR(INDEX(CADASTRO_PIVOS!$C$6:$C$41,MATCH($E1423,CADASTRO_PIVOS!$B$6:$B$41,0)),"?")</f>
        <v>RM06</v>
      </c>
      <c r="G1423" s="8" t="str">
        <f aca="false">IFERROR(INDEX(CADASTRO_PIVOS!$D$6:$D$41,MATCH($E1423,CADASTRO_PIVOS!$B$6:$B$41,0)),"?")</f>
        <v>TR06</v>
      </c>
      <c r="H1423" s="20" t="n">
        <f aca="false">IFERROR(INDEX(CADASTRO_PIVOS!$E$6:$E$41,MATCH($E1423,CADASTRO_PIVOS!$B$6:$B$41,0)),0)</f>
        <v>99.48</v>
      </c>
      <c r="I1423" s="16" t="n">
        <f aca="false">IFERROR(SUMIFS(ROTACAO_RDM!$B$6:$B$71,ROTACAO_RDM!$D$6:$D$71,$E1423,ROTACAO_RDM!$I$6:$I$71,"&lt;="&amp;$C1423+INT(DIAS_POR_SEMANA/2),ROTACAO_RDM!$J$6:$J$71,"&gt;="&amp;$C1423+INT(DIAS_POR_SEMANA/2)),0)</f>
        <v>56</v>
      </c>
      <c r="J1423" s="16" t="n">
        <f aca="false">IFERROR(MATCH($I1423,ROTACAO_RDM!$B$6:$B$71,0),0)</f>
        <v>56</v>
      </c>
      <c r="K1423" s="8" t="str">
        <f aca="false">IF($J1423=0,"SEM CULTURA",INDEX(ROTACAO_RDM!$F$6:$F$71,$J1423))</f>
        <v>ALGODAO</v>
      </c>
      <c r="L1423" s="8" t="str">
        <f aca="false">IF($J1423=0,"",INDEX(ROTACAO_RDM!$G$6:$G$71,$J1423))</f>
        <v>DP 2111 B3RF</v>
      </c>
      <c r="M1423" s="17" t="n">
        <f aca="false">IF($J1423=0,"",INDEX(ROTACAO_RDM!$I$6:$I$71,$J1423))</f>
        <v>46426</v>
      </c>
      <c r="N1423" s="16" t="n">
        <f aca="false">IF($J1423=0,0,MAX(0,$C1423+INT(DIAS_POR_SEMANA/2)-INDEX(ROTACAO_RDM!$I$6:$I$71,$J1423)))</f>
        <v>59</v>
      </c>
      <c r="O1423" s="19" t="n">
        <f aca="false">IF($J1423=0,0,MIN(1,$N1423/MAX(1,INDEX(ROTACAO_RDM!$K$6:$K$71,$J1423))))</f>
        <v>0.327777777777778</v>
      </c>
      <c r="P1423" s="16" t="n">
        <f aca="false">IF($J1423=0,0,IFERROR(MATCH(INDEX(ROTACAO_RDM!$N$6:$N$71,$J1423),PARAMETROS_CULTURAS!$B$6:$B$28,0),0))</f>
        <v>4</v>
      </c>
      <c r="Q1423" s="8" t="str">
        <f aca="false">IF($P1423=0,"-",IF($O1423&lt;=INDEX(PARAMETROS_CULTURAS!$F$6:$F$28,$P1423),"INICIAL",IF($O1423&lt;=INDEX(PARAMETROS_CULTURAS!$F$6:$F$28,$P1423)+INDEX(PARAMETROS_CULTURAS!$G$6:$G$28,$P1423),"DESENVOLVIMENTO",IF($O1423&lt;=INDEX(PARAMETROS_CULTURAS!$F$6:$F$28,$P1423)+INDEX(PARAMETROS_CULTURAS!$G$6:$G$28,$P1423)+INDEX(PARAMETROS_CULTURAS!$H$6:$H$28,$P1423),"MEDIA","FINAL"))))</f>
        <v>DESENVOLVIMENTO</v>
      </c>
      <c r="R1423" s="24" t="n">
        <f aca="false">IF($P1423=0,0,IF($O1423&lt;=INDEX(PARAMETROS_CULTURAS!$F$6:$F$28,$P1423),INDEX(PARAMETROS_CULTURAS!$K$6:$K$28,$P1423),IF($O1423&lt;=INDEX(PARAMETROS_CULTURAS!$F$6:$F$28,$P1423)+INDEX(PARAMETROS_CULTURAS!$G$6:$G$28,$P1423),INDEX(PARAMETROS_CULTURAS!$K$6:$K$28,$P1423)+(INDEX(PARAMETROS_CULTURAS!$L$6:$L$28,$P1423)-INDEX(PARAMETROS_CULTURAS!$K$6:$K$28,$P1423))*($O1423-INDEX(PARAMETROS_CULTURAS!$F$6:$F$28,$P1423))/MAX(INDEX(PARAMETROS_CULTURAS!$G$6:$G$28,$P1423),0.0001),IF($O1423&lt;=INDEX(PARAMETROS_CULTURAS!$F$6:$F$28,$P1423)+INDEX(PARAMETROS_CULTURAS!$G$6:$G$28,$P1423)+INDEX(PARAMETROS_CULTURAS!$H$6:$H$28,$P1423),INDEX(PARAMETROS_CULTURAS!$L$6:$L$28,$P1423),INDEX(PARAMETROS_CULTURAS!$L$6:$L$28,$P1423)+(INDEX(PARAMETROS_CULTURAS!$M$6:$M$28,$P1423)-INDEX(PARAMETROS_CULTURAS!$L$6:$L$28,$P1423))*($O1423-INDEX(PARAMETROS_CULTURAS!$F$6:$F$28,$P1423)-INDEX(PARAMETROS_CULTURAS!$G$6:$G$28,$P1423)-INDEX(PARAMETROS_CULTURAS!$H$6:$H$28,$P1423))/MAX(INDEX(PARAMETROS_CULTURAS!$I$6:$I$28,$P1423),0.0001)))))</f>
        <v>0.817489711934156</v>
      </c>
      <c r="S1423" s="18" t="n">
        <f aca="false">IFERROR(INDEX(SEMANAS!$H$6:$H$71,MATCH($B1423,SEMANAS!$B$6:$B$71,0)),0)</f>
        <v>31.5</v>
      </c>
      <c r="T1423" s="18" t="n">
        <f aca="false">$R1423*$S1423</f>
        <v>25.7509259259259</v>
      </c>
      <c r="U1423" s="18" t="n">
        <f aca="false">IFERROR(INDEX(SEMANAS!$I$6:$I$71,MATCH($B1423,SEMANAS!$B$6:$B$71,0)),0)</f>
        <v>16.31</v>
      </c>
      <c r="V1423" s="18" t="n">
        <f aca="false">IFERROR(INDEX(SEMANAS!$J$6:$J$71,MATCH($B1423,SEMANAS!$B$6:$B$71,0)),0)</f>
        <v>13.048</v>
      </c>
      <c r="W1423" s="18" t="n">
        <f aca="false">MAX(0,$T1423-$V1423)</f>
        <v>12.7029259259259</v>
      </c>
      <c r="X1423" s="19" t="n">
        <f aca="false">IFERROR(INDEX(CADASTRO_PIVOS!$K$6:$K$41,MATCH($E1423,CADASTRO_PIVOS!$B$6:$B$41,0)),EFICIENCIA_PADRAO)</f>
        <v>0.85</v>
      </c>
      <c r="Y1423" s="18" t="n">
        <f aca="false">IF($X1423&lt;=0,0,$W1423/$X1423)</f>
        <v>14.9446187363834</v>
      </c>
      <c r="Z1423" s="16" t="n">
        <f aca="false">$Y1423*$H1423*MM_PARA_M3_HA</f>
        <v>14866.9067189542</v>
      </c>
      <c r="AA1423" s="18" t="n">
        <f aca="false">IFERROR(INDEX(CADASTRO_PIVOS!$I$6:$I$41,MATCH($E1423,CADASTRO_PIVOS!$B$6:$B$41,0)),0)</f>
        <v>710.571428571429</v>
      </c>
      <c r="AB1423" s="18" t="n">
        <f aca="false">IF($Z1423&lt;=0,0,$Z1423/$AA1423)</f>
        <v>20.9224662309368</v>
      </c>
      <c r="AC1423" s="16" t="n">
        <f aca="false">IFERROR(INDEX(SEMANAS!$K$6:$K$71,MATCH($B1423,SEMANAS!$B$6:$B$71,0)),0)</f>
        <v>147</v>
      </c>
      <c r="AD1423" s="19" t="n">
        <f aca="false">IF($AC1423&lt;=0,0,$AB1423/$AC1423)</f>
        <v>0.142329702251271</v>
      </c>
      <c r="AE1423" s="8" t="str">
        <f aca="false">IF($K1423="SEM CULTURA","SEM CULTURA",IF($AA1423&lt;=0,"DADO PENDENTE",IF($AD1423&gt;LIMITE_CRITICO,"INVIAVEL",IF($AD1423&gt;LIMITE_ATENCAO,"CRITICO",IF($AD1423&gt;LIMITE_CONFORTAVEL,"ATENCAO","OK")))))</f>
        <v>OK</v>
      </c>
      <c r="AF1423" s="8" t="str">
        <f aca="false">$B1423&amp;"|"&amp;TEXT($AD1423,"0.000000")</f>
        <v>32|0.142330</v>
      </c>
      <c r="AG1423" s="18" t="n">
        <f aca="false">IF($K1423="SEM CULTURA",0,$T1423*$H1423)</f>
        <v>2561.70211111111</v>
      </c>
      <c r="AH1423" s="18" t="n">
        <f aca="false">IF($K1423="SEM CULTURA",0,$V1423*$H1423)</f>
        <v>1298.01504</v>
      </c>
      <c r="AI1423" s="18" t="n">
        <f aca="false">IF($K1423="SEM CULTURA",0,$W1423*$H1423)</f>
        <v>1263.68707111111</v>
      </c>
      <c r="AJ1423" s="18" t="n">
        <f aca="false">IF($K1423="SEM CULTURA",0,$S1423*$H1423)</f>
        <v>3133.62</v>
      </c>
      <c r="AK1423" s="8" t="str">
        <f aca="false">$E1423&amp;"|"&amp;TEXT($AD1423,"0.000000")</f>
        <v>PV 129|0.142330</v>
      </c>
    </row>
    <row r="1424" customFormat="false" ht="15" hidden="false" customHeight="false" outlineLevel="0" collapsed="false">
      <c r="B1424" s="16" t="n">
        <v>33</v>
      </c>
      <c r="C1424" s="17" t="n">
        <f aca="false">DATA_INICIO_SAFRA+($B1424-1)*DIAS_POR_SEMANA</f>
        <v>46489</v>
      </c>
      <c r="D1424" s="17" t="n">
        <f aca="false">$C1424+DIAS_POR_SEMANA-1</f>
        <v>46495</v>
      </c>
      <c r="E1424" s="15" t="s">
        <v>280</v>
      </c>
      <c r="F1424" s="8" t="str">
        <f aca="false">IFERROR(INDEX(CADASTRO_PIVOS!$C$6:$C$41,MATCH($E1424,CADASTRO_PIVOS!$B$6:$B$41,0)),"?")</f>
        <v>RM06</v>
      </c>
      <c r="G1424" s="8" t="str">
        <f aca="false">IFERROR(INDEX(CADASTRO_PIVOS!$D$6:$D$41,MATCH($E1424,CADASTRO_PIVOS!$B$6:$B$41,0)),"?")</f>
        <v>TR06</v>
      </c>
      <c r="H1424" s="20" t="n">
        <f aca="false">IFERROR(INDEX(CADASTRO_PIVOS!$E$6:$E$41,MATCH($E1424,CADASTRO_PIVOS!$B$6:$B$41,0)),0)</f>
        <v>99.48</v>
      </c>
      <c r="I1424" s="16" t="n">
        <f aca="false">IFERROR(SUMIFS(ROTACAO_RDM!$B$6:$B$71,ROTACAO_RDM!$D$6:$D$71,$E1424,ROTACAO_RDM!$I$6:$I$71,"&lt;="&amp;$C1424+INT(DIAS_POR_SEMANA/2),ROTACAO_RDM!$J$6:$J$71,"&gt;="&amp;$C1424+INT(DIAS_POR_SEMANA/2)),0)</f>
        <v>56</v>
      </c>
      <c r="J1424" s="16" t="n">
        <f aca="false">IFERROR(MATCH($I1424,ROTACAO_RDM!$B$6:$B$71,0),0)</f>
        <v>56</v>
      </c>
      <c r="K1424" s="8" t="str">
        <f aca="false">IF($J1424=0,"SEM CULTURA",INDEX(ROTACAO_RDM!$F$6:$F$71,$J1424))</f>
        <v>ALGODAO</v>
      </c>
      <c r="L1424" s="8" t="str">
        <f aca="false">IF($J1424=0,"",INDEX(ROTACAO_RDM!$G$6:$G$71,$J1424))</f>
        <v>DP 2111 B3RF</v>
      </c>
      <c r="M1424" s="17" t="n">
        <f aca="false">IF($J1424=0,"",INDEX(ROTACAO_RDM!$I$6:$I$71,$J1424))</f>
        <v>46426</v>
      </c>
      <c r="N1424" s="16" t="n">
        <f aca="false">IF($J1424=0,0,MAX(0,$C1424+INT(DIAS_POR_SEMANA/2)-INDEX(ROTACAO_RDM!$I$6:$I$71,$J1424)))</f>
        <v>66</v>
      </c>
      <c r="O1424" s="19" t="n">
        <f aca="false">IF($J1424=0,0,MIN(1,$N1424/MAX(1,INDEX(ROTACAO_RDM!$K$6:$K$71,$J1424))))</f>
        <v>0.366666666666667</v>
      </c>
      <c r="P1424" s="16" t="n">
        <f aca="false">IF($J1424=0,0,IFERROR(MATCH(INDEX(ROTACAO_RDM!$N$6:$N$71,$J1424),PARAMETROS_CULTURAS!$B$6:$B$28,0),0))</f>
        <v>4</v>
      </c>
      <c r="Q1424" s="8" t="str">
        <f aca="false">IF($P1424=0,"-",IF($O1424&lt;=INDEX(PARAMETROS_CULTURAS!$F$6:$F$28,$P1424),"INICIAL",IF($O1424&lt;=INDEX(PARAMETROS_CULTURAS!$F$6:$F$28,$P1424)+INDEX(PARAMETROS_CULTURAS!$G$6:$G$28,$P1424),"DESENVOLVIMENTO",IF($O1424&lt;=INDEX(PARAMETROS_CULTURAS!$F$6:$F$28,$P1424)+INDEX(PARAMETROS_CULTURAS!$G$6:$G$28,$P1424)+INDEX(PARAMETROS_CULTURAS!$H$6:$H$28,$P1424),"MEDIA","FINAL"))))</f>
        <v>DESENVOLVIMENTO</v>
      </c>
      <c r="R1424" s="24" t="n">
        <f aca="false">IF($P1424=0,0,IF($O1424&lt;=INDEX(PARAMETROS_CULTURAS!$F$6:$F$28,$P1424),INDEX(PARAMETROS_CULTURAS!$K$6:$K$28,$P1424),IF($O1424&lt;=INDEX(PARAMETROS_CULTURAS!$F$6:$F$28,$P1424)+INDEX(PARAMETROS_CULTURAS!$G$6:$G$28,$P1424),INDEX(PARAMETROS_CULTURAS!$K$6:$K$28,$P1424)+(INDEX(PARAMETROS_CULTURAS!$L$6:$L$28,$P1424)-INDEX(PARAMETROS_CULTURAS!$K$6:$K$28,$P1424))*($O1424-INDEX(PARAMETROS_CULTURAS!$F$6:$F$28,$P1424))/MAX(INDEX(PARAMETROS_CULTURAS!$G$6:$G$28,$P1424),0.0001),IF($O1424&lt;=INDEX(PARAMETROS_CULTURAS!$F$6:$F$28,$P1424)+INDEX(PARAMETROS_CULTURAS!$G$6:$G$28,$P1424)+INDEX(PARAMETROS_CULTURAS!$H$6:$H$28,$P1424),INDEX(PARAMETROS_CULTURAS!$L$6:$L$28,$P1424),INDEX(PARAMETROS_CULTURAS!$L$6:$L$28,$P1424)+(INDEX(PARAMETROS_CULTURAS!$M$6:$M$28,$P1424)-INDEX(PARAMETROS_CULTURAS!$L$6:$L$28,$P1424))*($O1424-INDEX(PARAMETROS_CULTURAS!$F$6:$F$28,$P1424)-INDEX(PARAMETROS_CULTURAS!$G$6:$G$28,$P1424)-INDEX(PARAMETROS_CULTURAS!$H$6:$H$28,$P1424))/MAX(INDEX(PARAMETROS_CULTURAS!$I$6:$I$28,$P1424),0.0001)))))</f>
        <v>0.932716049382716</v>
      </c>
      <c r="S1424" s="18" t="n">
        <f aca="false">IFERROR(INDEX(SEMANAS!$H$6:$H$71,MATCH($B1424,SEMANAS!$B$6:$B$71,0)),0)</f>
        <v>31.5</v>
      </c>
      <c r="T1424" s="18" t="n">
        <f aca="false">$R1424*$S1424</f>
        <v>29.3805555555556</v>
      </c>
      <c r="U1424" s="18" t="n">
        <f aca="false">IFERROR(INDEX(SEMANAS!$I$6:$I$71,MATCH($B1424,SEMANAS!$B$6:$B$71,0)),0)</f>
        <v>16.31</v>
      </c>
      <c r="V1424" s="18" t="n">
        <f aca="false">IFERROR(INDEX(SEMANAS!$J$6:$J$71,MATCH($B1424,SEMANAS!$B$6:$B$71,0)),0)</f>
        <v>13.048</v>
      </c>
      <c r="W1424" s="18" t="n">
        <f aca="false">MAX(0,$T1424-$V1424)</f>
        <v>16.3325555555556</v>
      </c>
      <c r="X1424" s="19" t="n">
        <f aca="false">IFERROR(INDEX(CADASTRO_PIVOS!$K$6:$K$41,MATCH($E1424,CADASTRO_PIVOS!$B$6:$B$41,0)),EFICIENCIA_PADRAO)</f>
        <v>0.85</v>
      </c>
      <c r="Y1424" s="18" t="n">
        <f aca="false">IF($X1424&lt;=0,0,$W1424/$X1424)</f>
        <v>19.2147712418301</v>
      </c>
      <c r="Z1424" s="16" t="n">
        <f aca="false">$Y1424*$H1424*MM_PARA_M3_HA</f>
        <v>19114.8544313725</v>
      </c>
      <c r="AA1424" s="18" t="n">
        <f aca="false">IFERROR(INDEX(CADASTRO_PIVOS!$I$6:$I$41,MATCH($E1424,CADASTRO_PIVOS!$B$6:$B$41,0)),0)</f>
        <v>710.571428571429</v>
      </c>
      <c r="AB1424" s="18" t="n">
        <f aca="false">IF($Z1424&lt;=0,0,$Z1424/$AA1424)</f>
        <v>26.9006797385621</v>
      </c>
      <c r="AC1424" s="16" t="n">
        <f aca="false">IFERROR(INDEX(SEMANAS!$K$6:$K$71,MATCH($B1424,SEMANAS!$B$6:$B$71,0)),0)</f>
        <v>147</v>
      </c>
      <c r="AD1424" s="19" t="n">
        <f aca="false">IF($AC1424&lt;=0,0,$AB1424/$AC1424)</f>
        <v>0.182997821350763</v>
      </c>
      <c r="AE1424" s="8" t="str">
        <f aca="false">IF($K1424="SEM CULTURA","SEM CULTURA",IF($AA1424&lt;=0,"DADO PENDENTE",IF($AD1424&gt;LIMITE_CRITICO,"INVIAVEL",IF($AD1424&gt;LIMITE_ATENCAO,"CRITICO",IF($AD1424&gt;LIMITE_CONFORTAVEL,"ATENCAO","OK")))))</f>
        <v>OK</v>
      </c>
      <c r="AF1424" s="8" t="str">
        <f aca="false">$B1424&amp;"|"&amp;TEXT($AD1424,"0.000000")</f>
        <v>33|0.182998</v>
      </c>
      <c r="AG1424" s="18" t="n">
        <f aca="false">IF($K1424="SEM CULTURA",0,$T1424*$H1424)</f>
        <v>2922.77766666667</v>
      </c>
      <c r="AH1424" s="18" t="n">
        <f aca="false">IF($K1424="SEM CULTURA",0,$V1424*$H1424)</f>
        <v>1298.01504</v>
      </c>
      <c r="AI1424" s="18" t="n">
        <f aca="false">IF($K1424="SEM CULTURA",0,$W1424*$H1424)</f>
        <v>1624.76262666667</v>
      </c>
      <c r="AJ1424" s="18" t="n">
        <f aca="false">IF($K1424="SEM CULTURA",0,$S1424*$H1424)</f>
        <v>3133.62</v>
      </c>
      <c r="AK1424" s="8" t="str">
        <f aca="false">$E1424&amp;"|"&amp;TEXT($AD1424,"0.000000")</f>
        <v>PV 129|0.182998</v>
      </c>
    </row>
    <row r="1425" customFormat="false" ht="15" hidden="false" customHeight="false" outlineLevel="0" collapsed="false">
      <c r="B1425" s="16" t="n">
        <v>34</v>
      </c>
      <c r="C1425" s="17" t="n">
        <f aca="false">DATA_INICIO_SAFRA+($B1425-1)*DIAS_POR_SEMANA</f>
        <v>46496</v>
      </c>
      <c r="D1425" s="17" t="n">
        <f aca="false">$C1425+DIAS_POR_SEMANA-1</f>
        <v>46502</v>
      </c>
      <c r="E1425" s="15" t="s">
        <v>280</v>
      </c>
      <c r="F1425" s="8" t="str">
        <f aca="false">IFERROR(INDEX(CADASTRO_PIVOS!$C$6:$C$41,MATCH($E1425,CADASTRO_PIVOS!$B$6:$B$41,0)),"?")</f>
        <v>RM06</v>
      </c>
      <c r="G1425" s="8" t="str">
        <f aca="false">IFERROR(INDEX(CADASTRO_PIVOS!$D$6:$D$41,MATCH($E1425,CADASTRO_PIVOS!$B$6:$B$41,0)),"?")</f>
        <v>TR06</v>
      </c>
      <c r="H1425" s="20" t="n">
        <f aca="false">IFERROR(INDEX(CADASTRO_PIVOS!$E$6:$E$41,MATCH($E1425,CADASTRO_PIVOS!$B$6:$B$41,0)),0)</f>
        <v>99.48</v>
      </c>
      <c r="I1425" s="16" t="n">
        <f aca="false">IFERROR(SUMIFS(ROTACAO_RDM!$B$6:$B$71,ROTACAO_RDM!$D$6:$D$71,$E1425,ROTACAO_RDM!$I$6:$I$71,"&lt;="&amp;$C1425+INT(DIAS_POR_SEMANA/2),ROTACAO_RDM!$J$6:$J$71,"&gt;="&amp;$C1425+INT(DIAS_POR_SEMANA/2)),0)</f>
        <v>56</v>
      </c>
      <c r="J1425" s="16" t="n">
        <f aca="false">IFERROR(MATCH($I1425,ROTACAO_RDM!$B$6:$B$71,0),0)</f>
        <v>56</v>
      </c>
      <c r="K1425" s="8" t="str">
        <f aca="false">IF($J1425=0,"SEM CULTURA",INDEX(ROTACAO_RDM!$F$6:$F$71,$J1425))</f>
        <v>ALGODAO</v>
      </c>
      <c r="L1425" s="8" t="str">
        <f aca="false">IF($J1425=0,"",INDEX(ROTACAO_RDM!$G$6:$G$71,$J1425))</f>
        <v>DP 2111 B3RF</v>
      </c>
      <c r="M1425" s="17" t="n">
        <f aca="false">IF($J1425=0,"",INDEX(ROTACAO_RDM!$I$6:$I$71,$J1425))</f>
        <v>46426</v>
      </c>
      <c r="N1425" s="16" t="n">
        <f aca="false">IF($J1425=0,0,MAX(0,$C1425+INT(DIAS_POR_SEMANA/2)-INDEX(ROTACAO_RDM!$I$6:$I$71,$J1425)))</f>
        <v>73</v>
      </c>
      <c r="O1425" s="19" t="n">
        <f aca="false">IF($J1425=0,0,MIN(1,$N1425/MAX(1,INDEX(ROTACAO_RDM!$K$6:$K$71,$J1425))))</f>
        <v>0.405555555555556</v>
      </c>
      <c r="P1425" s="16" t="n">
        <f aca="false">IF($J1425=0,0,IFERROR(MATCH(INDEX(ROTACAO_RDM!$N$6:$N$71,$J1425),PARAMETROS_CULTURAS!$B$6:$B$28,0),0))</f>
        <v>4</v>
      </c>
      <c r="Q1425" s="8" t="str">
        <f aca="false">IF($P1425=0,"-",IF($O1425&lt;=INDEX(PARAMETROS_CULTURAS!$F$6:$F$28,$P1425),"INICIAL",IF($O1425&lt;=INDEX(PARAMETROS_CULTURAS!$F$6:$F$28,$P1425)+INDEX(PARAMETROS_CULTURAS!$G$6:$G$28,$P1425),"DESENVOLVIMENTO",IF($O1425&lt;=INDEX(PARAMETROS_CULTURAS!$F$6:$F$28,$P1425)+INDEX(PARAMETROS_CULTURAS!$G$6:$G$28,$P1425)+INDEX(PARAMETROS_CULTURAS!$H$6:$H$28,$P1425),"MEDIA","FINAL"))))</f>
        <v>DESENVOLVIMENTO</v>
      </c>
      <c r="R1425" s="24" t="n">
        <f aca="false">IF($P1425=0,0,IF($O1425&lt;=INDEX(PARAMETROS_CULTURAS!$F$6:$F$28,$P1425),INDEX(PARAMETROS_CULTURAS!$K$6:$K$28,$P1425),IF($O1425&lt;=INDEX(PARAMETROS_CULTURAS!$F$6:$F$28,$P1425)+INDEX(PARAMETROS_CULTURAS!$G$6:$G$28,$P1425),INDEX(PARAMETROS_CULTURAS!$K$6:$K$28,$P1425)+(INDEX(PARAMETROS_CULTURAS!$L$6:$L$28,$P1425)-INDEX(PARAMETROS_CULTURAS!$K$6:$K$28,$P1425))*($O1425-INDEX(PARAMETROS_CULTURAS!$F$6:$F$28,$P1425))/MAX(INDEX(PARAMETROS_CULTURAS!$G$6:$G$28,$P1425),0.0001),IF($O1425&lt;=INDEX(PARAMETROS_CULTURAS!$F$6:$F$28,$P1425)+INDEX(PARAMETROS_CULTURAS!$G$6:$G$28,$P1425)+INDEX(PARAMETROS_CULTURAS!$H$6:$H$28,$P1425),INDEX(PARAMETROS_CULTURAS!$L$6:$L$28,$P1425),INDEX(PARAMETROS_CULTURAS!$L$6:$L$28,$P1425)+(INDEX(PARAMETROS_CULTURAS!$M$6:$M$28,$P1425)-INDEX(PARAMETROS_CULTURAS!$L$6:$L$28,$P1425))*($O1425-INDEX(PARAMETROS_CULTURAS!$F$6:$F$28,$P1425)-INDEX(PARAMETROS_CULTURAS!$G$6:$G$28,$P1425)-INDEX(PARAMETROS_CULTURAS!$H$6:$H$28,$P1425))/MAX(INDEX(PARAMETROS_CULTURAS!$I$6:$I$28,$P1425),0.0001)))))</f>
        <v>1.04794238683128</v>
      </c>
      <c r="S1425" s="18" t="n">
        <f aca="false">IFERROR(INDEX(SEMANAS!$H$6:$H$71,MATCH($B1425,SEMANAS!$B$6:$B$71,0)),0)</f>
        <v>31.5</v>
      </c>
      <c r="T1425" s="18" t="n">
        <f aca="false">$R1425*$S1425</f>
        <v>33.0101851851852</v>
      </c>
      <c r="U1425" s="18" t="n">
        <f aca="false">IFERROR(INDEX(SEMANAS!$I$6:$I$71,MATCH($B1425,SEMANAS!$B$6:$B$71,0)),0)</f>
        <v>16.31</v>
      </c>
      <c r="V1425" s="18" t="n">
        <f aca="false">IFERROR(INDEX(SEMANAS!$J$6:$J$71,MATCH($B1425,SEMANAS!$B$6:$B$71,0)),0)</f>
        <v>13.048</v>
      </c>
      <c r="W1425" s="18" t="n">
        <f aca="false">MAX(0,$T1425-$V1425)</f>
        <v>19.9621851851852</v>
      </c>
      <c r="X1425" s="19" t="n">
        <f aca="false">IFERROR(INDEX(CADASTRO_PIVOS!$K$6:$K$41,MATCH($E1425,CADASTRO_PIVOS!$B$6:$B$41,0)),EFICIENCIA_PADRAO)</f>
        <v>0.85</v>
      </c>
      <c r="Y1425" s="18" t="n">
        <f aca="false">IF($X1425&lt;=0,0,$W1425/$X1425)</f>
        <v>23.4849237472767</v>
      </c>
      <c r="Z1425" s="16" t="n">
        <f aca="false">$Y1425*$H1425*MM_PARA_M3_HA</f>
        <v>23362.8021437908</v>
      </c>
      <c r="AA1425" s="18" t="n">
        <f aca="false">IFERROR(INDEX(CADASTRO_PIVOS!$I$6:$I$41,MATCH($E1425,CADASTRO_PIVOS!$B$6:$B$41,0)),0)</f>
        <v>710.571428571429</v>
      </c>
      <c r="AB1425" s="18" t="n">
        <f aca="false">IF($Z1425&lt;=0,0,$Z1425/$AA1425)</f>
        <v>32.8788932461873</v>
      </c>
      <c r="AC1425" s="16" t="n">
        <f aca="false">IFERROR(INDEX(SEMANAS!$K$6:$K$71,MATCH($B1425,SEMANAS!$B$6:$B$71,0)),0)</f>
        <v>147</v>
      </c>
      <c r="AD1425" s="19" t="n">
        <f aca="false">IF($AC1425&lt;=0,0,$AB1425/$AC1425)</f>
        <v>0.223665940450254</v>
      </c>
      <c r="AE1425" s="8" t="str">
        <f aca="false">IF($K1425="SEM CULTURA","SEM CULTURA",IF($AA1425&lt;=0,"DADO PENDENTE",IF($AD1425&gt;LIMITE_CRITICO,"INVIAVEL",IF($AD1425&gt;LIMITE_ATENCAO,"CRITICO",IF($AD1425&gt;LIMITE_CONFORTAVEL,"ATENCAO","OK")))))</f>
        <v>OK</v>
      </c>
      <c r="AF1425" s="8" t="str">
        <f aca="false">$B1425&amp;"|"&amp;TEXT($AD1425,"0.000000")</f>
        <v>34|0.223666</v>
      </c>
      <c r="AG1425" s="18" t="n">
        <f aca="false">IF($K1425="SEM CULTURA",0,$T1425*$H1425)</f>
        <v>3283.85322222222</v>
      </c>
      <c r="AH1425" s="18" t="n">
        <f aca="false">IF($K1425="SEM CULTURA",0,$V1425*$H1425)</f>
        <v>1298.01504</v>
      </c>
      <c r="AI1425" s="18" t="n">
        <f aca="false">IF($K1425="SEM CULTURA",0,$W1425*$H1425)</f>
        <v>1985.83818222222</v>
      </c>
      <c r="AJ1425" s="18" t="n">
        <f aca="false">IF($K1425="SEM CULTURA",0,$S1425*$H1425)</f>
        <v>3133.62</v>
      </c>
      <c r="AK1425" s="8" t="str">
        <f aca="false">$E1425&amp;"|"&amp;TEXT($AD1425,"0.000000")</f>
        <v>PV 129|0.223666</v>
      </c>
    </row>
    <row r="1426" customFormat="false" ht="15" hidden="false" customHeight="false" outlineLevel="0" collapsed="false">
      <c r="B1426" s="16" t="n">
        <v>35</v>
      </c>
      <c r="C1426" s="17" t="n">
        <f aca="false">DATA_INICIO_SAFRA+($B1426-1)*DIAS_POR_SEMANA</f>
        <v>46503</v>
      </c>
      <c r="D1426" s="17" t="n">
        <f aca="false">$C1426+DIAS_POR_SEMANA-1</f>
        <v>46509</v>
      </c>
      <c r="E1426" s="15" t="s">
        <v>280</v>
      </c>
      <c r="F1426" s="8" t="str">
        <f aca="false">IFERROR(INDEX(CADASTRO_PIVOS!$C$6:$C$41,MATCH($E1426,CADASTRO_PIVOS!$B$6:$B$41,0)),"?")</f>
        <v>RM06</v>
      </c>
      <c r="G1426" s="8" t="str">
        <f aca="false">IFERROR(INDEX(CADASTRO_PIVOS!$D$6:$D$41,MATCH($E1426,CADASTRO_PIVOS!$B$6:$B$41,0)),"?")</f>
        <v>TR06</v>
      </c>
      <c r="H1426" s="20" t="n">
        <f aca="false">IFERROR(INDEX(CADASTRO_PIVOS!$E$6:$E$41,MATCH($E1426,CADASTRO_PIVOS!$B$6:$B$41,0)),0)</f>
        <v>99.48</v>
      </c>
      <c r="I1426" s="16" t="n">
        <f aca="false">IFERROR(SUMIFS(ROTACAO_RDM!$B$6:$B$71,ROTACAO_RDM!$D$6:$D$71,$E1426,ROTACAO_RDM!$I$6:$I$71,"&lt;="&amp;$C1426+INT(DIAS_POR_SEMANA/2),ROTACAO_RDM!$J$6:$J$71,"&gt;="&amp;$C1426+INT(DIAS_POR_SEMANA/2)),0)</f>
        <v>56</v>
      </c>
      <c r="J1426" s="16" t="n">
        <f aca="false">IFERROR(MATCH($I1426,ROTACAO_RDM!$B$6:$B$71,0),0)</f>
        <v>56</v>
      </c>
      <c r="K1426" s="8" t="str">
        <f aca="false">IF($J1426=0,"SEM CULTURA",INDEX(ROTACAO_RDM!$F$6:$F$71,$J1426))</f>
        <v>ALGODAO</v>
      </c>
      <c r="L1426" s="8" t="str">
        <f aca="false">IF($J1426=0,"",INDEX(ROTACAO_RDM!$G$6:$G$71,$J1426))</f>
        <v>DP 2111 B3RF</v>
      </c>
      <c r="M1426" s="17" t="n">
        <f aca="false">IF($J1426=0,"",INDEX(ROTACAO_RDM!$I$6:$I$71,$J1426))</f>
        <v>46426</v>
      </c>
      <c r="N1426" s="16" t="n">
        <f aca="false">IF($J1426=0,0,MAX(0,$C1426+INT(DIAS_POR_SEMANA/2)-INDEX(ROTACAO_RDM!$I$6:$I$71,$J1426)))</f>
        <v>80</v>
      </c>
      <c r="O1426" s="19" t="n">
        <f aca="false">IF($J1426=0,0,MIN(1,$N1426/MAX(1,INDEX(ROTACAO_RDM!$K$6:$K$71,$J1426))))</f>
        <v>0.444444444444444</v>
      </c>
      <c r="P1426" s="16" t="n">
        <f aca="false">IF($J1426=0,0,IFERROR(MATCH(INDEX(ROTACAO_RDM!$N$6:$N$71,$J1426),PARAMETROS_CULTURAS!$B$6:$B$28,0),0))</f>
        <v>4</v>
      </c>
      <c r="Q1426" s="8" t="str">
        <f aca="false">IF($P1426=0,"-",IF($O1426&lt;=INDEX(PARAMETROS_CULTURAS!$F$6:$F$28,$P1426),"INICIAL",IF($O1426&lt;=INDEX(PARAMETROS_CULTURAS!$F$6:$F$28,$P1426)+INDEX(PARAMETROS_CULTURAS!$G$6:$G$28,$P1426),"DESENVOLVIMENTO",IF($O1426&lt;=INDEX(PARAMETROS_CULTURAS!$F$6:$F$28,$P1426)+INDEX(PARAMETROS_CULTURAS!$G$6:$G$28,$P1426)+INDEX(PARAMETROS_CULTURAS!$H$6:$H$28,$P1426),"MEDIA","FINAL"))))</f>
        <v>MEDIA</v>
      </c>
      <c r="R1426" s="24" t="n">
        <f aca="false">IF($P1426=0,0,IF($O1426&lt;=INDEX(PARAMETROS_CULTURAS!$F$6:$F$28,$P1426),INDEX(PARAMETROS_CULTURAS!$K$6:$K$28,$P1426),IF($O1426&lt;=INDEX(PARAMETROS_CULTURAS!$F$6:$F$28,$P1426)+INDEX(PARAMETROS_CULTURAS!$G$6:$G$28,$P1426),INDEX(PARAMETROS_CULTURAS!$K$6:$K$28,$P1426)+(INDEX(PARAMETROS_CULTURAS!$L$6:$L$28,$P1426)-INDEX(PARAMETROS_CULTURAS!$K$6:$K$28,$P1426))*($O1426-INDEX(PARAMETROS_CULTURAS!$F$6:$F$28,$P1426))/MAX(INDEX(PARAMETROS_CULTURAS!$G$6:$G$28,$P1426),0.0001),IF($O1426&lt;=INDEX(PARAMETROS_CULTURAS!$F$6:$F$28,$P1426)+INDEX(PARAMETROS_CULTURAS!$G$6:$G$28,$P1426)+INDEX(PARAMETROS_CULTURAS!$H$6:$H$28,$P1426),INDEX(PARAMETROS_CULTURAS!$L$6:$L$28,$P1426),INDEX(PARAMETROS_CULTURAS!$L$6:$L$28,$P1426)+(INDEX(PARAMETROS_CULTURAS!$M$6:$M$28,$P1426)-INDEX(PARAMETROS_CULTURAS!$L$6:$L$28,$P1426))*($O1426-INDEX(PARAMETROS_CULTURAS!$F$6:$F$28,$P1426)-INDEX(PARAMETROS_CULTURAS!$G$6:$G$28,$P1426)-INDEX(PARAMETROS_CULTURAS!$H$6:$H$28,$P1426))/MAX(INDEX(PARAMETROS_CULTURAS!$I$6:$I$28,$P1426),0.0001)))))</f>
        <v>1.15</v>
      </c>
      <c r="S1426" s="18" t="n">
        <f aca="false">IFERROR(INDEX(SEMANAS!$H$6:$H$71,MATCH($B1426,SEMANAS!$B$6:$B$71,0)),0)</f>
        <v>30.9</v>
      </c>
      <c r="T1426" s="18" t="n">
        <f aca="false">$R1426*$S1426</f>
        <v>35.535</v>
      </c>
      <c r="U1426" s="18" t="n">
        <f aca="false">IFERROR(INDEX(SEMANAS!$I$6:$I$71,MATCH($B1426,SEMANAS!$B$6:$B$71,0)),0)</f>
        <v>12.61</v>
      </c>
      <c r="V1426" s="18" t="n">
        <f aca="false">IFERROR(INDEX(SEMANAS!$J$6:$J$71,MATCH($B1426,SEMANAS!$B$6:$B$71,0)),0)</f>
        <v>10.088</v>
      </c>
      <c r="W1426" s="18" t="n">
        <f aca="false">MAX(0,$T1426-$V1426)</f>
        <v>25.447</v>
      </c>
      <c r="X1426" s="19" t="n">
        <f aca="false">IFERROR(INDEX(CADASTRO_PIVOS!$K$6:$K$41,MATCH($E1426,CADASTRO_PIVOS!$B$6:$B$41,0)),EFICIENCIA_PADRAO)</f>
        <v>0.85</v>
      </c>
      <c r="Y1426" s="18" t="n">
        <f aca="false">IF($X1426&lt;=0,0,$W1426/$X1426)</f>
        <v>29.9376470588235</v>
      </c>
      <c r="Z1426" s="16" t="n">
        <f aca="false">$Y1426*$H1426*MM_PARA_M3_HA</f>
        <v>29781.9712941176</v>
      </c>
      <c r="AA1426" s="18" t="n">
        <f aca="false">IFERROR(INDEX(CADASTRO_PIVOS!$I$6:$I$41,MATCH($E1426,CADASTRO_PIVOS!$B$6:$B$41,0)),0)</f>
        <v>710.571428571429</v>
      </c>
      <c r="AB1426" s="18" t="n">
        <f aca="false">IF($Z1426&lt;=0,0,$Z1426/$AA1426)</f>
        <v>41.9127058823529</v>
      </c>
      <c r="AC1426" s="16" t="n">
        <f aca="false">IFERROR(INDEX(SEMANAS!$K$6:$K$71,MATCH($B1426,SEMANAS!$B$6:$B$71,0)),0)</f>
        <v>147</v>
      </c>
      <c r="AD1426" s="19" t="n">
        <f aca="false">IF($AC1426&lt;=0,0,$AB1426/$AC1426)</f>
        <v>0.285120448179272</v>
      </c>
      <c r="AE1426" s="8" t="str">
        <f aca="false">IF($K1426="SEM CULTURA","SEM CULTURA",IF($AA1426&lt;=0,"DADO PENDENTE",IF($AD1426&gt;LIMITE_CRITICO,"INVIAVEL",IF($AD1426&gt;LIMITE_ATENCAO,"CRITICO",IF($AD1426&gt;LIMITE_CONFORTAVEL,"ATENCAO","OK")))))</f>
        <v>OK</v>
      </c>
      <c r="AF1426" s="8" t="str">
        <f aca="false">$B1426&amp;"|"&amp;TEXT($AD1426,"0.000000")</f>
        <v>35|0.285120</v>
      </c>
      <c r="AG1426" s="18" t="n">
        <f aca="false">IF($K1426="SEM CULTURA",0,$T1426*$H1426)</f>
        <v>3535.0218</v>
      </c>
      <c r="AH1426" s="18" t="n">
        <f aca="false">IF($K1426="SEM CULTURA",0,$V1426*$H1426)</f>
        <v>1003.55424</v>
      </c>
      <c r="AI1426" s="18" t="n">
        <f aca="false">IF($K1426="SEM CULTURA",0,$W1426*$H1426)</f>
        <v>2531.46756</v>
      </c>
      <c r="AJ1426" s="18" t="n">
        <f aca="false">IF($K1426="SEM CULTURA",0,$S1426*$H1426)</f>
        <v>3073.932</v>
      </c>
      <c r="AK1426" s="8" t="str">
        <f aca="false">$E1426&amp;"|"&amp;TEXT($AD1426,"0.000000")</f>
        <v>PV 129|0.285120</v>
      </c>
    </row>
    <row r="1427" customFormat="false" ht="15" hidden="false" customHeight="false" outlineLevel="0" collapsed="false">
      <c r="B1427" s="16" t="n">
        <v>36</v>
      </c>
      <c r="C1427" s="17" t="n">
        <f aca="false">DATA_INICIO_SAFRA+($B1427-1)*DIAS_POR_SEMANA</f>
        <v>46510</v>
      </c>
      <c r="D1427" s="17" t="n">
        <f aca="false">$C1427+DIAS_POR_SEMANA-1</f>
        <v>46516</v>
      </c>
      <c r="E1427" s="15" t="s">
        <v>280</v>
      </c>
      <c r="F1427" s="8" t="str">
        <f aca="false">IFERROR(INDEX(CADASTRO_PIVOS!$C$6:$C$41,MATCH($E1427,CADASTRO_PIVOS!$B$6:$B$41,0)),"?")</f>
        <v>RM06</v>
      </c>
      <c r="G1427" s="8" t="str">
        <f aca="false">IFERROR(INDEX(CADASTRO_PIVOS!$D$6:$D$41,MATCH($E1427,CADASTRO_PIVOS!$B$6:$B$41,0)),"?")</f>
        <v>TR06</v>
      </c>
      <c r="H1427" s="20" t="n">
        <f aca="false">IFERROR(INDEX(CADASTRO_PIVOS!$E$6:$E$41,MATCH($E1427,CADASTRO_PIVOS!$B$6:$B$41,0)),0)</f>
        <v>99.48</v>
      </c>
      <c r="I1427" s="16" t="n">
        <f aca="false">IFERROR(SUMIFS(ROTACAO_RDM!$B$6:$B$71,ROTACAO_RDM!$D$6:$D$71,$E1427,ROTACAO_RDM!$I$6:$I$71,"&lt;="&amp;$C1427+INT(DIAS_POR_SEMANA/2),ROTACAO_RDM!$J$6:$J$71,"&gt;="&amp;$C1427+INT(DIAS_POR_SEMANA/2)),0)</f>
        <v>56</v>
      </c>
      <c r="J1427" s="16" t="n">
        <f aca="false">IFERROR(MATCH($I1427,ROTACAO_RDM!$B$6:$B$71,0),0)</f>
        <v>56</v>
      </c>
      <c r="K1427" s="8" t="str">
        <f aca="false">IF($J1427=0,"SEM CULTURA",INDEX(ROTACAO_RDM!$F$6:$F$71,$J1427))</f>
        <v>ALGODAO</v>
      </c>
      <c r="L1427" s="8" t="str">
        <f aca="false">IF($J1427=0,"",INDEX(ROTACAO_RDM!$G$6:$G$71,$J1427))</f>
        <v>DP 2111 B3RF</v>
      </c>
      <c r="M1427" s="17" t="n">
        <f aca="false">IF($J1427=0,"",INDEX(ROTACAO_RDM!$I$6:$I$71,$J1427))</f>
        <v>46426</v>
      </c>
      <c r="N1427" s="16" t="n">
        <f aca="false">IF($J1427=0,0,MAX(0,$C1427+INT(DIAS_POR_SEMANA/2)-INDEX(ROTACAO_RDM!$I$6:$I$71,$J1427)))</f>
        <v>87</v>
      </c>
      <c r="O1427" s="19" t="n">
        <f aca="false">IF($J1427=0,0,MIN(1,$N1427/MAX(1,INDEX(ROTACAO_RDM!$K$6:$K$71,$J1427))))</f>
        <v>0.483333333333333</v>
      </c>
      <c r="P1427" s="16" t="n">
        <f aca="false">IF($J1427=0,0,IFERROR(MATCH(INDEX(ROTACAO_RDM!$N$6:$N$71,$J1427),PARAMETROS_CULTURAS!$B$6:$B$28,0),0))</f>
        <v>4</v>
      </c>
      <c r="Q1427" s="8" t="str">
        <f aca="false">IF($P1427=0,"-",IF($O1427&lt;=INDEX(PARAMETROS_CULTURAS!$F$6:$F$28,$P1427),"INICIAL",IF($O1427&lt;=INDEX(PARAMETROS_CULTURAS!$F$6:$F$28,$P1427)+INDEX(PARAMETROS_CULTURAS!$G$6:$G$28,$P1427),"DESENVOLVIMENTO",IF($O1427&lt;=INDEX(PARAMETROS_CULTURAS!$F$6:$F$28,$P1427)+INDEX(PARAMETROS_CULTURAS!$G$6:$G$28,$P1427)+INDEX(PARAMETROS_CULTURAS!$H$6:$H$28,$P1427),"MEDIA","FINAL"))))</f>
        <v>MEDIA</v>
      </c>
      <c r="R1427" s="24" t="n">
        <f aca="false">IF($P1427=0,0,IF($O1427&lt;=INDEX(PARAMETROS_CULTURAS!$F$6:$F$28,$P1427),INDEX(PARAMETROS_CULTURAS!$K$6:$K$28,$P1427),IF($O1427&lt;=INDEX(PARAMETROS_CULTURAS!$F$6:$F$28,$P1427)+INDEX(PARAMETROS_CULTURAS!$G$6:$G$28,$P1427),INDEX(PARAMETROS_CULTURAS!$K$6:$K$28,$P1427)+(INDEX(PARAMETROS_CULTURAS!$L$6:$L$28,$P1427)-INDEX(PARAMETROS_CULTURAS!$K$6:$K$28,$P1427))*($O1427-INDEX(PARAMETROS_CULTURAS!$F$6:$F$28,$P1427))/MAX(INDEX(PARAMETROS_CULTURAS!$G$6:$G$28,$P1427),0.0001),IF($O1427&lt;=INDEX(PARAMETROS_CULTURAS!$F$6:$F$28,$P1427)+INDEX(PARAMETROS_CULTURAS!$G$6:$G$28,$P1427)+INDEX(PARAMETROS_CULTURAS!$H$6:$H$28,$P1427),INDEX(PARAMETROS_CULTURAS!$L$6:$L$28,$P1427),INDEX(PARAMETROS_CULTURAS!$L$6:$L$28,$P1427)+(INDEX(PARAMETROS_CULTURAS!$M$6:$M$28,$P1427)-INDEX(PARAMETROS_CULTURAS!$L$6:$L$28,$P1427))*($O1427-INDEX(PARAMETROS_CULTURAS!$F$6:$F$28,$P1427)-INDEX(PARAMETROS_CULTURAS!$G$6:$G$28,$P1427)-INDEX(PARAMETROS_CULTURAS!$H$6:$H$28,$P1427))/MAX(INDEX(PARAMETROS_CULTURAS!$I$6:$I$28,$P1427),0.0001)))))</f>
        <v>1.15</v>
      </c>
      <c r="S1427" s="18" t="n">
        <f aca="false">IFERROR(INDEX(SEMANAS!$H$6:$H$71,MATCH($B1427,SEMANAS!$B$6:$B$71,0)),0)</f>
        <v>29.4</v>
      </c>
      <c r="T1427" s="18" t="n">
        <f aca="false">$R1427*$S1427</f>
        <v>33.81</v>
      </c>
      <c r="U1427" s="18" t="n">
        <f aca="false">IFERROR(INDEX(SEMANAS!$I$6:$I$71,MATCH($B1427,SEMANAS!$B$6:$B$71,0)),0)</f>
        <v>3.36</v>
      </c>
      <c r="V1427" s="18" t="n">
        <f aca="false">IFERROR(INDEX(SEMANAS!$J$6:$J$71,MATCH($B1427,SEMANAS!$B$6:$B$71,0)),0)</f>
        <v>2.688</v>
      </c>
      <c r="W1427" s="18" t="n">
        <f aca="false">MAX(0,$T1427-$V1427)</f>
        <v>31.122</v>
      </c>
      <c r="X1427" s="19" t="n">
        <f aca="false">IFERROR(INDEX(CADASTRO_PIVOS!$K$6:$K$41,MATCH($E1427,CADASTRO_PIVOS!$B$6:$B$41,0)),EFICIENCIA_PADRAO)</f>
        <v>0.85</v>
      </c>
      <c r="Y1427" s="18" t="n">
        <f aca="false">IF($X1427&lt;=0,0,$W1427/$X1427)</f>
        <v>36.6141176470588</v>
      </c>
      <c r="Z1427" s="16" t="n">
        <f aca="false">$Y1427*$H1427*MM_PARA_M3_HA</f>
        <v>36423.7242352941</v>
      </c>
      <c r="AA1427" s="18" t="n">
        <f aca="false">IFERROR(INDEX(CADASTRO_PIVOS!$I$6:$I$41,MATCH($E1427,CADASTRO_PIVOS!$B$6:$B$41,0)),0)</f>
        <v>710.571428571429</v>
      </c>
      <c r="AB1427" s="18" t="n">
        <f aca="false">IF($Z1427&lt;=0,0,$Z1427/$AA1427)</f>
        <v>51.2597647058824</v>
      </c>
      <c r="AC1427" s="16" t="n">
        <f aca="false">IFERROR(INDEX(SEMANAS!$K$6:$K$71,MATCH($B1427,SEMANAS!$B$6:$B$71,0)),0)</f>
        <v>147</v>
      </c>
      <c r="AD1427" s="19" t="n">
        <f aca="false">IF($AC1427&lt;=0,0,$AB1427/$AC1427)</f>
        <v>0.348705882352941</v>
      </c>
      <c r="AE1427" s="8" t="str">
        <f aca="false">IF($K1427="SEM CULTURA","SEM CULTURA",IF($AA1427&lt;=0,"DADO PENDENTE",IF($AD1427&gt;LIMITE_CRITICO,"INVIAVEL",IF($AD1427&gt;LIMITE_ATENCAO,"CRITICO",IF($AD1427&gt;LIMITE_CONFORTAVEL,"ATENCAO","OK")))))</f>
        <v>OK</v>
      </c>
      <c r="AF1427" s="8" t="str">
        <f aca="false">$B1427&amp;"|"&amp;TEXT($AD1427,"0.000000")</f>
        <v>36|0.348706</v>
      </c>
      <c r="AG1427" s="18" t="n">
        <f aca="false">IF($K1427="SEM CULTURA",0,$T1427*$H1427)</f>
        <v>3363.4188</v>
      </c>
      <c r="AH1427" s="18" t="n">
        <f aca="false">IF($K1427="SEM CULTURA",0,$V1427*$H1427)</f>
        <v>267.40224</v>
      </c>
      <c r="AI1427" s="18" t="n">
        <f aca="false">IF($K1427="SEM CULTURA",0,$W1427*$H1427)</f>
        <v>3096.01656</v>
      </c>
      <c r="AJ1427" s="18" t="n">
        <f aca="false">IF($K1427="SEM CULTURA",0,$S1427*$H1427)</f>
        <v>2924.712</v>
      </c>
      <c r="AK1427" s="8" t="str">
        <f aca="false">$E1427&amp;"|"&amp;TEXT($AD1427,"0.000000")</f>
        <v>PV 129|0.348706</v>
      </c>
    </row>
    <row r="1428" customFormat="false" ht="15" hidden="false" customHeight="false" outlineLevel="0" collapsed="false">
      <c r="B1428" s="16" t="n">
        <v>37</v>
      </c>
      <c r="C1428" s="17" t="n">
        <f aca="false">DATA_INICIO_SAFRA+($B1428-1)*DIAS_POR_SEMANA</f>
        <v>46517</v>
      </c>
      <c r="D1428" s="17" t="n">
        <f aca="false">$C1428+DIAS_POR_SEMANA-1</f>
        <v>46523</v>
      </c>
      <c r="E1428" s="15" t="s">
        <v>280</v>
      </c>
      <c r="F1428" s="8" t="str">
        <f aca="false">IFERROR(INDEX(CADASTRO_PIVOS!$C$6:$C$41,MATCH($E1428,CADASTRO_PIVOS!$B$6:$B$41,0)),"?")</f>
        <v>RM06</v>
      </c>
      <c r="G1428" s="8" t="str">
        <f aca="false">IFERROR(INDEX(CADASTRO_PIVOS!$D$6:$D$41,MATCH($E1428,CADASTRO_PIVOS!$B$6:$B$41,0)),"?")</f>
        <v>TR06</v>
      </c>
      <c r="H1428" s="20" t="n">
        <f aca="false">IFERROR(INDEX(CADASTRO_PIVOS!$E$6:$E$41,MATCH($E1428,CADASTRO_PIVOS!$B$6:$B$41,0)),0)</f>
        <v>99.48</v>
      </c>
      <c r="I1428" s="16" t="n">
        <f aca="false">IFERROR(SUMIFS(ROTACAO_RDM!$B$6:$B$71,ROTACAO_RDM!$D$6:$D$71,$E1428,ROTACAO_RDM!$I$6:$I$71,"&lt;="&amp;$C1428+INT(DIAS_POR_SEMANA/2),ROTACAO_RDM!$J$6:$J$71,"&gt;="&amp;$C1428+INT(DIAS_POR_SEMANA/2)),0)</f>
        <v>56</v>
      </c>
      <c r="J1428" s="16" t="n">
        <f aca="false">IFERROR(MATCH($I1428,ROTACAO_RDM!$B$6:$B$71,0),0)</f>
        <v>56</v>
      </c>
      <c r="K1428" s="8" t="str">
        <f aca="false">IF($J1428=0,"SEM CULTURA",INDEX(ROTACAO_RDM!$F$6:$F$71,$J1428))</f>
        <v>ALGODAO</v>
      </c>
      <c r="L1428" s="8" t="str">
        <f aca="false">IF($J1428=0,"",INDEX(ROTACAO_RDM!$G$6:$G$71,$J1428))</f>
        <v>DP 2111 B3RF</v>
      </c>
      <c r="M1428" s="17" t="n">
        <f aca="false">IF($J1428=0,"",INDEX(ROTACAO_RDM!$I$6:$I$71,$J1428))</f>
        <v>46426</v>
      </c>
      <c r="N1428" s="16" t="n">
        <f aca="false">IF($J1428=0,0,MAX(0,$C1428+INT(DIAS_POR_SEMANA/2)-INDEX(ROTACAO_RDM!$I$6:$I$71,$J1428)))</f>
        <v>94</v>
      </c>
      <c r="O1428" s="19" t="n">
        <f aca="false">IF($J1428=0,0,MIN(1,$N1428/MAX(1,INDEX(ROTACAO_RDM!$K$6:$K$71,$J1428))))</f>
        <v>0.522222222222222</v>
      </c>
      <c r="P1428" s="16" t="n">
        <f aca="false">IF($J1428=0,0,IFERROR(MATCH(INDEX(ROTACAO_RDM!$N$6:$N$71,$J1428),PARAMETROS_CULTURAS!$B$6:$B$28,0),0))</f>
        <v>4</v>
      </c>
      <c r="Q1428" s="8" t="str">
        <f aca="false">IF($P1428=0,"-",IF($O1428&lt;=INDEX(PARAMETROS_CULTURAS!$F$6:$F$28,$P1428),"INICIAL",IF($O1428&lt;=INDEX(PARAMETROS_CULTURAS!$F$6:$F$28,$P1428)+INDEX(PARAMETROS_CULTURAS!$G$6:$G$28,$P1428),"DESENVOLVIMENTO",IF($O1428&lt;=INDEX(PARAMETROS_CULTURAS!$F$6:$F$28,$P1428)+INDEX(PARAMETROS_CULTURAS!$G$6:$G$28,$P1428)+INDEX(PARAMETROS_CULTURAS!$H$6:$H$28,$P1428),"MEDIA","FINAL"))))</f>
        <v>MEDIA</v>
      </c>
      <c r="R1428" s="24" t="n">
        <f aca="false">IF($P1428=0,0,IF($O1428&lt;=INDEX(PARAMETROS_CULTURAS!$F$6:$F$28,$P1428),INDEX(PARAMETROS_CULTURAS!$K$6:$K$28,$P1428),IF($O1428&lt;=INDEX(PARAMETROS_CULTURAS!$F$6:$F$28,$P1428)+INDEX(PARAMETROS_CULTURAS!$G$6:$G$28,$P1428),INDEX(PARAMETROS_CULTURAS!$K$6:$K$28,$P1428)+(INDEX(PARAMETROS_CULTURAS!$L$6:$L$28,$P1428)-INDEX(PARAMETROS_CULTURAS!$K$6:$K$28,$P1428))*($O1428-INDEX(PARAMETROS_CULTURAS!$F$6:$F$28,$P1428))/MAX(INDEX(PARAMETROS_CULTURAS!$G$6:$G$28,$P1428),0.0001),IF($O1428&lt;=INDEX(PARAMETROS_CULTURAS!$F$6:$F$28,$P1428)+INDEX(PARAMETROS_CULTURAS!$G$6:$G$28,$P1428)+INDEX(PARAMETROS_CULTURAS!$H$6:$H$28,$P1428),INDEX(PARAMETROS_CULTURAS!$L$6:$L$28,$P1428),INDEX(PARAMETROS_CULTURAS!$L$6:$L$28,$P1428)+(INDEX(PARAMETROS_CULTURAS!$M$6:$M$28,$P1428)-INDEX(PARAMETROS_CULTURAS!$L$6:$L$28,$P1428))*($O1428-INDEX(PARAMETROS_CULTURAS!$F$6:$F$28,$P1428)-INDEX(PARAMETROS_CULTURAS!$G$6:$G$28,$P1428)-INDEX(PARAMETROS_CULTURAS!$H$6:$H$28,$P1428))/MAX(INDEX(PARAMETROS_CULTURAS!$I$6:$I$28,$P1428),0.0001)))))</f>
        <v>1.15</v>
      </c>
      <c r="S1428" s="18" t="n">
        <f aca="false">IFERROR(INDEX(SEMANAS!$H$6:$H$71,MATCH($B1428,SEMANAS!$B$6:$B$71,0)),0)</f>
        <v>29.4</v>
      </c>
      <c r="T1428" s="18" t="n">
        <f aca="false">$R1428*$S1428</f>
        <v>33.81</v>
      </c>
      <c r="U1428" s="18" t="n">
        <f aca="false">IFERROR(INDEX(SEMANAS!$I$6:$I$71,MATCH($B1428,SEMANAS!$B$6:$B$71,0)),0)</f>
        <v>3.36</v>
      </c>
      <c r="V1428" s="18" t="n">
        <f aca="false">IFERROR(INDEX(SEMANAS!$J$6:$J$71,MATCH($B1428,SEMANAS!$B$6:$B$71,0)),0)</f>
        <v>2.688</v>
      </c>
      <c r="W1428" s="18" t="n">
        <f aca="false">MAX(0,$T1428-$V1428)</f>
        <v>31.122</v>
      </c>
      <c r="X1428" s="19" t="n">
        <f aca="false">IFERROR(INDEX(CADASTRO_PIVOS!$K$6:$K$41,MATCH($E1428,CADASTRO_PIVOS!$B$6:$B$41,0)),EFICIENCIA_PADRAO)</f>
        <v>0.85</v>
      </c>
      <c r="Y1428" s="18" t="n">
        <f aca="false">IF($X1428&lt;=0,0,$W1428/$X1428)</f>
        <v>36.6141176470588</v>
      </c>
      <c r="Z1428" s="16" t="n">
        <f aca="false">$Y1428*$H1428*MM_PARA_M3_HA</f>
        <v>36423.7242352941</v>
      </c>
      <c r="AA1428" s="18" t="n">
        <f aca="false">IFERROR(INDEX(CADASTRO_PIVOS!$I$6:$I$41,MATCH($E1428,CADASTRO_PIVOS!$B$6:$B$41,0)),0)</f>
        <v>710.571428571429</v>
      </c>
      <c r="AB1428" s="18" t="n">
        <f aca="false">IF($Z1428&lt;=0,0,$Z1428/$AA1428)</f>
        <v>51.2597647058824</v>
      </c>
      <c r="AC1428" s="16" t="n">
        <f aca="false">IFERROR(INDEX(SEMANAS!$K$6:$K$71,MATCH($B1428,SEMANAS!$B$6:$B$71,0)),0)</f>
        <v>147</v>
      </c>
      <c r="AD1428" s="19" t="n">
        <f aca="false">IF($AC1428&lt;=0,0,$AB1428/$AC1428)</f>
        <v>0.348705882352941</v>
      </c>
      <c r="AE1428" s="8" t="str">
        <f aca="false">IF($K1428="SEM CULTURA","SEM CULTURA",IF($AA1428&lt;=0,"DADO PENDENTE",IF($AD1428&gt;LIMITE_CRITICO,"INVIAVEL",IF($AD1428&gt;LIMITE_ATENCAO,"CRITICO",IF($AD1428&gt;LIMITE_CONFORTAVEL,"ATENCAO","OK")))))</f>
        <v>OK</v>
      </c>
      <c r="AF1428" s="8" t="str">
        <f aca="false">$B1428&amp;"|"&amp;TEXT($AD1428,"0.000000")</f>
        <v>37|0.348706</v>
      </c>
      <c r="AG1428" s="18" t="n">
        <f aca="false">IF($K1428="SEM CULTURA",0,$T1428*$H1428)</f>
        <v>3363.4188</v>
      </c>
      <c r="AH1428" s="18" t="n">
        <f aca="false">IF($K1428="SEM CULTURA",0,$V1428*$H1428)</f>
        <v>267.40224</v>
      </c>
      <c r="AI1428" s="18" t="n">
        <f aca="false">IF($K1428="SEM CULTURA",0,$W1428*$H1428)</f>
        <v>3096.01656</v>
      </c>
      <c r="AJ1428" s="18" t="n">
        <f aca="false">IF($K1428="SEM CULTURA",0,$S1428*$H1428)</f>
        <v>2924.712</v>
      </c>
      <c r="AK1428" s="8" t="str">
        <f aca="false">$E1428&amp;"|"&amp;TEXT($AD1428,"0.000000")</f>
        <v>PV 129|0.348706</v>
      </c>
    </row>
    <row r="1429" customFormat="false" ht="15" hidden="false" customHeight="false" outlineLevel="0" collapsed="false">
      <c r="B1429" s="16" t="n">
        <v>38</v>
      </c>
      <c r="C1429" s="17" t="n">
        <f aca="false">DATA_INICIO_SAFRA+($B1429-1)*DIAS_POR_SEMANA</f>
        <v>46524</v>
      </c>
      <c r="D1429" s="17" t="n">
        <f aca="false">$C1429+DIAS_POR_SEMANA-1</f>
        <v>46530</v>
      </c>
      <c r="E1429" s="15" t="s">
        <v>280</v>
      </c>
      <c r="F1429" s="8" t="str">
        <f aca="false">IFERROR(INDEX(CADASTRO_PIVOS!$C$6:$C$41,MATCH($E1429,CADASTRO_PIVOS!$B$6:$B$41,0)),"?")</f>
        <v>RM06</v>
      </c>
      <c r="G1429" s="8" t="str">
        <f aca="false">IFERROR(INDEX(CADASTRO_PIVOS!$D$6:$D$41,MATCH($E1429,CADASTRO_PIVOS!$B$6:$B$41,0)),"?")</f>
        <v>TR06</v>
      </c>
      <c r="H1429" s="20" t="n">
        <f aca="false">IFERROR(INDEX(CADASTRO_PIVOS!$E$6:$E$41,MATCH($E1429,CADASTRO_PIVOS!$B$6:$B$41,0)),0)</f>
        <v>99.48</v>
      </c>
      <c r="I1429" s="16" t="n">
        <f aca="false">IFERROR(SUMIFS(ROTACAO_RDM!$B$6:$B$71,ROTACAO_RDM!$D$6:$D$71,$E1429,ROTACAO_RDM!$I$6:$I$71,"&lt;="&amp;$C1429+INT(DIAS_POR_SEMANA/2),ROTACAO_RDM!$J$6:$J$71,"&gt;="&amp;$C1429+INT(DIAS_POR_SEMANA/2)),0)</f>
        <v>56</v>
      </c>
      <c r="J1429" s="16" t="n">
        <f aca="false">IFERROR(MATCH($I1429,ROTACAO_RDM!$B$6:$B$71,0),0)</f>
        <v>56</v>
      </c>
      <c r="K1429" s="8" t="str">
        <f aca="false">IF($J1429=0,"SEM CULTURA",INDEX(ROTACAO_RDM!$F$6:$F$71,$J1429))</f>
        <v>ALGODAO</v>
      </c>
      <c r="L1429" s="8" t="str">
        <f aca="false">IF($J1429=0,"",INDEX(ROTACAO_RDM!$G$6:$G$71,$J1429))</f>
        <v>DP 2111 B3RF</v>
      </c>
      <c r="M1429" s="17" t="n">
        <f aca="false">IF($J1429=0,"",INDEX(ROTACAO_RDM!$I$6:$I$71,$J1429))</f>
        <v>46426</v>
      </c>
      <c r="N1429" s="16" t="n">
        <f aca="false">IF($J1429=0,0,MAX(0,$C1429+INT(DIAS_POR_SEMANA/2)-INDEX(ROTACAO_RDM!$I$6:$I$71,$J1429)))</f>
        <v>101</v>
      </c>
      <c r="O1429" s="19" t="n">
        <f aca="false">IF($J1429=0,0,MIN(1,$N1429/MAX(1,INDEX(ROTACAO_RDM!$K$6:$K$71,$J1429))))</f>
        <v>0.561111111111111</v>
      </c>
      <c r="P1429" s="16" t="n">
        <f aca="false">IF($J1429=0,0,IFERROR(MATCH(INDEX(ROTACAO_RDM!$N$6:$N$71,$J1429),PARAMETROS_CULTURAS!$B$6:$B$28,0),0))</f>
        <v>4</v>
      </c>
      <c r="Q1429" s="8" t="str">
        <f aca="false">IF($P1429=0,"-",IF($O1429&lt;=INDEX(PARAMETROS_CULTURAS!$F$6:$F$28,$P1429),"INICIAL",IF($O1429&lt;=INDEX(PARAMETROS_CULTURAS!$F$6:$F$28,$P1429)+INDEX(PARAMETROS_CULTURAS!$G$6:$G$28,$P1429),"DESENVOLVIMENTO",IF($O1429&lt;=INDEX(PARAMETROS_CULTURAS!$F$6:$F$28,$P1429)+INDEX(PARAMETROS_CULTURAS!$G$6:$G$28,$P1429)+INDEX(PARAMETROS_CULTURAS!$H$6:$H$28,$P1429),"MEDIA","FINAL"))))</f>
        <v>MEDIA</v>
      </c>
      <c r="R1429" s="24" t="n">
        <f aca="false">IF($P1429=0,0,IF($O1429&lt;=INDEX(PARAMETROS_CULTURAS!$F$6:$F$28,$P1429),INDEX(PARAMETROS_CULTURAS!$K$6:$K$28,$P1429),IF($O1429&lt;=INDEX(PARAMETROS_CULTURAS!$F$6:$F$28,$P1429)+INDEX(PARAMETROS_CULTURAS!$G$6:$G$28,$P1429),INDEX(PARAMETROS_CULTURAS!$K$6:$K$28,$P1429)+(INDEX(PARAMETROS_CULTURAS!$L$6:$L$28,$P1429)-INDEX(PARAMETROS_CULTURAS!$K$6:$K$28,$P1429))*($O1429-INDEX(PARAMETROS_CULTURAS!$F$6:$F$28,$P1429))/MAX(INDEX(PARAMETROS_CULTURAS!$G$6:$G$28,$P1429),0.0001),IF($O1429&lt;=INDEX(PARAMETROS_CULTURAS!$F$6:$F$28,$P1429)+INDEX(PARAMETROS_CULTURAS!$G$6:$G$28,$P1429)+INDEX(PARAMETROS_CULTURAS!$H$6:$H$28,$P1429),INDEX(PARAMETROS_CULTURAS!$L$6:$L$28,$P1429),INDEX(PARAMETROS_CULTURAS!$L$6:$L$28,$P1429)+(INDEX(PARAMETROS_CULTURAS!$M$6:$M$28,$P1429)-INDEX(PARAMETROS_CULTURAS!$L$6:$L$28,$P1429))*($O1429-INDEX(PARAMETROS_CULTURAS!$F$6:$F$28,$P1429)-INDEX(PARAMETROS_CULTURAS!$G$6:$G$28,$P1429)-INDEX(PARAMETROS_CULTURAS!$H$6:$H$28,$P1429))/MAX(INDEX(PARAMETROS_CULTURAS!$I$6:$I$28,$P1429),0.0001)))))</f>
        <v>1.15</v>
      </c>
      <c r="S1429" s="18" t="n">
        <f aca="false">IFERROR(INDEX(SEMANAS!$H$6:$H$71,MATCH($B1429,SEMANAS!$B$6:$B$71,0)),0)</f>
        <v>29.4</v>
      </c>
      <c r="T1429" s="18" t="n">
        <f aca="false">$R1429*$S1429</f>
        <v>33.81</v>
      </c>
      <c r="U1429" s="18" t="n">
        <f aca="false">IFERROR(INDEX(SEMANAS!$I$6:$I$71,MATCH($B1429,SEMANAS!$B$6:$B$71,0)),0)</f>
        <v>3.36</v>
      </c>
      <c r="V1429" s="18" t="n">
        <f aca="false">IFERROR(INDEX(SEMANAS!$J$6:$J$71,MATCH($B1429,SEMANAS!$B$6:$B$71,0)),0)</f>
        <v>2.688</v>
      </c>
      <c r="W1429" s="18" t="n">
        <f aca="false">MAX(0,$T1429-$V1429)</f>
        <v>31.122</v>
      </c>
      <c r="X1429" s="19" t="n">
        <f aca="false">IFERROR(INDEX(CADASTRO_PIVOS!$K$6:$K$41,MATCH($E1429,CADASTRO_PIVOS!$B$6:$B$41,0)),EFICIENCIA_PADRAO)</f>
        <v>0.85</v>
      </c>
      <c r="Y1429" s="18" t="n">
        <f aca="false">IF($X1429&lt;=0,0,$W1429/$X1429)</f>
        <v>36.6141176470588</v>
      </c>
      <c r="Z1429" s="16" t="n">
        <f aca="false">$Y1429*$H1429*MM_PARA_M3_HA</f>
        <v>36423.7242352941</v>
      </c>
      <c r="AA1429" s="18" t="n">
        <f aca="false">IFERROR(INDEX(CADASTRO_PIVOS!$I$6:$I$41,MATCH($E1429,CADASTRO_PIVOS!$B$6:$B$41,0)),0)</f>
        <v>710.571428571429</v>
      </c>
      <c r="AB1429" s="18" t="n">
        <f aca="false">IF($Z1429&lt;=0,0,$Z1429/$AA1429)</f>
        <v>51.2597647058824</v>
      </c>
      <c r="AC1429" s="16" t="n">
        <f aca="false">IFERROR(INDEX(SEMANAS!$K$6:$K$71,MATCH($B1429,SEMANAS!$B$6:$B$71,0)),0)</f>
        <v>147</v>
      </c>
      <c r="AD1429" s="19" t="n">
        <f aca="false">IF($AC1429&lt;=0,0,$AB1429/$AC1429)</f>
        <v>0.348705882352941</v>
      </c>
      <c r="AE1429" s="8" t="str">
        <f aca="false">IF($K1429="SEM CULTURA","SEM CULTURA",IF($AA1429&lt;=0,"DADO PENDENTE",IF($AD1429&gt;LIMITE_CRITICO,"INVIAVEL",IF($AD1429&gt;LIMITE_ATENCAO,"CRITICO",IF($AD1429&gt;LIMITE_CONFORTAVEL,"ATENCAO","OK")))))</f>
        <v>OK</v>
      </c>
      <c r="AF1429" s="8" t="str">
        <f aca="false">$B1429&amp;"|"&amp;TEXT($AD1429,"0.000000")</f>
        <v>38|0.348706</v>
      </c>
      <c r="AG1429" s="18" t="n">
        <f aca="false">IF($K1429="SEM CULTURA",0,$T1429*$H1429)</f>
        <v>3363.4188</v>
      </c>
      <c r="AH1429" s="18" t="n">
        <f aca="false">IF($K1429="SEM CULTURA",0,$V1429*$H1429)</f>
        <v>267.40224</v>
      </c>
      <c r="AI1429" s="18" t="n">
        <f aca="false">IF($K1429="SEM CULTURA",0,$W1429*$H1429)</f>
        <v>3096.01656</v>
      </c>
      <c r="AJ1429" s="18" t="n">
        <f aca="false">IF($K1429="SEM CULTURA",0,$S1429*$H1429)</f>
        <v>2924.712</v>
      </c>
      <c r="AK1429" s="8" t="str">
        <f aca="false">$E1429&amp;"|"&amp;TEXT($AD1429,"0.000000")</f>
        <v>PV 129|0.348706</v>
      </c>
    </row>
    <row r="1430" customFormat="false" ht="15" hidden="false" customHeight="false" outlineLevel="0" collapsed="false">
      <c r="B1430" s="16" t="n">
        <v>39</v>
      </c>
      <c r="C1430" s="17" t="n">
        <f aca="false">DATA_INICIO_SAFRA+($B1430-1)*DIAS_POR_SEMANA</f>
        <v>46531</v>
      </c>
      <c r="D1430" s="17" t="n">
        <f aca="false">$C1430+DIAS_POR_SEMANA-1</f>
        <v>46537</v>
      </c>
      <c r="E1430" s="15" t="s">
        <v>280</v>
      </c>
      <c r="F1430" s="8" t="str">
        <f aca="false">IFERROR(INDEX(CADASTRO_PIVOS!$C$6:$C$41,MATCH($E1430,CADASTRO_PIVOS!$B$6:$B$41,0)),"?")</f>
        <v>RM06</v>
      </c>
      <c r="G1430" s="8" t="str">
        <f aca="false">IFERROR(INDEX(CADASTRO_PIVOS!$D$6:$D$41,MATCH($E1430,CADASTRO_PIVOS!$B$6:$B$41,0)),"?")</f>
        <v>TR06</v>
      </c>
      <c r="H1430" s="20" t="n">
        <f aca="false">IFERROR(INDEX(CADASTRO_PIVOS!$E$6:$E$41,MATCH($E1430,CADASTRO_PIVOS!$B$6:$B$41,0)),0)</f>
        <v>99.48</v>
      </c>
      <c r="I1430" s="16" t="n">
        <f aca="false">IFERROR(SUMIFS(ROTACAO_RDM!$B$6:$B$71,ROTACAO_RDM!$D$6:$D$71,$E1430,ROTACAO_RDM!$I$6:$I$71,"&lt;="&amp;$C1430+INT(DIAS_POR_SEMANA/2),ROTACAO_RDM!$J$6:$J$71,"&gt;="&amp;$C1430+INT(DIAS_POR_SEMANA/2)),0)</f>
        <v>56</v>
      </c>
      <c r="J1430" s="16" t="n">
        <f aca="false">IFERROR(MATCH($I1430,ROTACAO_RDM!$B$6:$B$71,0),0)</f>
        <v>56</v>
      </c>
      <c r="K1430" s="8" t="str">
        <f aca="false">IF($J1430=0,"SEM CULTURA",INDEX(ROTACAO_RDM!$F$6:$F$71,$J1430))</f>
        <v>ALGODAO</v>
      </c>
      <c r="L1430" s="8" t="str">
        <f aca="false">IF($J1430=0,"",INDEX(ROTACAO_RDM!$G$6:$G$71,$J1430))</f>
        <v>DP 2111 B3RF</v>
      </c>
      <c r="M1430" s="17" t="n">
        <f aca="false">IF($J1430=0,"",INDEX(ROTACAO_RDM!$I$6:$I$71,$J1430))</f>
        <v>46426</v>
      </c>
      <c r="N1430" s="16" t="n">
        <f aca="false">IF($J1430=0,0,MAX(0,$C1430+INT(DIAS_POR_SEMANA/2)-INDEX(ROTACAO_RDM!$I$6:$I$71,$J1430)))</f>
        <v>108</v>
      </c>
      <c r="O1430" s="19" t="n">
        <f aca="false">IF($J1430=0,0,MIN(1,$N1430/MAX(1,INDEX(ROTACAO_RDM!$K$6:$K$71,$J1430))))</f>
        <v>0.6</v>
      </c>
      <c r="P1430" s="16" t="n">
        <f aca="false">IF($J1430=0,0,IFERROR(MATCH(INDEX(ROTACAO_RDM!$N$6:$N$71,$J1430),PARAMETROS_CULTURAS!$B$6:$B$28,0),0))</f>
        <v>4</v>
      </c>
      <c r="Q1430" s="8" t="str">
        <f aca="false">IF($P1430=0,"-",IF($O1430&lt;=INDEX(PARAMETROS_CULTURAS!$F$6:$F$28,$P1430),"INICIAL",IF($O1430&lt;=INDEX(PARAMETROS_CULTURAS!$F$6:$F$28,$P1430)+INDEX(PARAMETROS_CULTURAS!$G$6:$G$28,$P1430),"DESENVOLVIMENTO",IF($O1430&lt;=INDEX(PARAMETROS_CULTURAS!$F$6:$F$28,$P1430)+INDEX(PARAMETROS_CULTURAS!$G$6:$G$28,$P1430)+INDEX(PARAMETROS_CULTURAS!$H$6:$H$28,$P1430),"MEDIA","FINAL"))))</f>
        <v>MEDIA</v>
      </c>
      <c r="R1430" s="24" t="n">
        <f aca="false">IF($P1430=0,0,IF($O1430&lt;=INDEX(PARAMETROS_CULTURAS!$F$6:$F$28,$P1430),INDEX(PARAMETROS_CULTURAS!$K$6:$K$28,$P1430),IF($O1430&lt;=INDEX(PARAMETROS_CULTURAS!$F$6:$F$28,$P1430)+INDEX(PARAMETROS_CULTURAS!$G$6:$G$28,$P1430),INDEX(PARAMETROS_CULTURAS!$K$6:$K$28,$P1430)+(INDEX(PARAMETROS_CULTURAS!$L$6:$L$28,$P1430)-INDEX(PARAMETROS_CULTURAS!$K$6:$K$28,$P1430))*($O1430-INDEX(PARAMETROS_CULTURAS!$F$6:$F$28,$P1430))/MAX(INDEX(PARAMETROS_CULTURAS!$G$6:$G$28,$P1430),0.0001),IF($O1430&lt;=INDEX(PARAMETROS_CULTURAS!$F$6:$F$28,$P1430)+INDEX(PARAMETROS_CULTURAS!$G$6:$G$28,$P1430)+INDEX(PARAMETROS_CULTURAS!$H$6:$H$28,$P1430),INDEX(PARAMETROS_CULTURAS!$L$6:$L$28,$P1430),INDEX(PARAMETROS_CULTURAS!$L$6:$L$28,$P1430)+(INDEX(PARAMETROS_CULTURAS!$M$6:$M$28,$P1430)-INDEX(PARAMETROS_CULTURAS!$L$6:$L$28,$P1430))*($O1430-INDEX(PARAMETROS_CULTURAS!$F$6:$F$28,$P1430)-INDEX(PARAMETROS_CULTURAS!$G$6:$G$28,$P1430)-INDEX(PARAMETROS_CULTURAS!$H$6:$H$28,$P1430))/MAX(INDEX(PARAMETROS_CULTURAS!$I$6:$I$28,$P1430),0.0001)))))</f>
        <v>1.15</v>
      </c>
      <c r="S1430" s="18" t="n">
        <f aca="false">IFERROR(INDEX(SEMANAS!$H$6:$H$71,MATCH($B1430,SEMANAS!$B$6:$B$71,0)),0)</f>
        <v>29.4</v>
      </c>
      <c r="T1430" s="18" t="n">
        <f aca="false">$R1430*$S1430</f>
        <v>33.81</v>
      </c>
      <c r="U1430" s="18" t="n">
        <f aca="false">IFERROR(INDEX(SEMANAS!$I$6:$I$71,MATCH($B1430,SEMANAS!$B$6:$B$71,0)),0)</f>
        <v>3.36</v>
      </c>
      <c r="V1430" s="18" t="n">
        <f aca="false">IFERROR(INDEX(SEMANAS!$J$6:$J$71,MATCH($B1430,SEMANAS!$B$6:$B$71,0)),0)</f>
        <v>2.688</v>
      </c>
      <c r="W1430" s="18" t="n">
        <f aca="false">MAX(0,$T1430-$V1430)</f>
        <v>31.122</v>
      </c>
      <c r="X1430" s="19" t="n">
        <f aca="false">IFERROR(INDEX(CADASTRO_PIVOS!$K$6:$K$41,MATCH($E1430,CADASTRO_PIVOS!$B$6:$B$41,0)),EFICIENCIA_PADRAO)</f>
        <v>0.85</v>
      </c>
      <c r="Y1430" s="18" t="n">
        <f aca="false">IF($X1430&lt;=0,0,$W1430/$X1430)</f>
        <v>36.6141176470588</v>
      </c>
      <c r="Z1430" s="16" t="n">
        <f aca="false">$Y1430*$H1430*MM_PARA_M3_HA</f>
        <v>36423.7242352941</v>
      </c>
      <c r="AA1430" s="18" t="n">
        <f aca="false">IFERROR(INDEX(CADASTRO_PIVOS!$I$6:$I$41,MATCH($E1430,CADASTRO_PIVOS!$B$6:$B$41,0)),0)</f>
        <v>710.571428571429</v>
      </c>
      <c r="AB1430" s="18" t="n">
        <f aca="false">IF($Z1430&lt;=0,0,$Z1430/$AA1430)</f>
        <v>51.2597647058824</v>
      </c>
      <c r="AC1430" s="16" t="n">
        <f aca="false">IFERROR(INDEX(SEMANAS!$K$6:$K$71,MATCH($B1430,SEMANAS!$B$6:$B$71,0)),0)</f>
        <v>147</v>
      </c>
      <c r="AD1430" s="19" t="n">
        <f aca="false">IF($AC1430&lt;=0,0,$AB1430/$AC1430)</f>
        <v>0.348705882352941</v>
      </c>
      <c r="AE1430" s="8" t="str">
        <f aca="false">IF($K1430="SEM CULTURA","SEM CULTURA",IF($AA1430&lt;=0,"DADO PENDENTE",IF($AD1430&gt;LIMITE_CRITICO,"INVIAVEL",IF($AD1430&gt;LIMITE_ATENCAO,"CRITICO",IF($AD1430&gt;LIMITE_CONFORTAVEL,"ATENCAO","OK")))))</f>
        <v>OK</v>
      </c>
      <c r="AF1430" s="8" t="str">
        <f aca="false">$B1430&amp;"|"&amp;TEXT($AD1430,"0.000000")</f>
        <v>39|0.348706</v>
      </c>
      <c r="AG1430" s="18" t="n">
        <f aca="false">IF($K1430="SEM CULTURA",0,$T1430*$H1430)</f>
        <v>3363.4188</v>
      </c>
      <c r="AH1430" s="18" t="n">
        <f aca="false">IF($K1430="SEM CULTURA",0,$V1430*$H1430)</f>
        <v>267.40224</v>
      </c>
      <c r="AI1430" s="18" t="n">
        <f aca="false">IF($K1430="SEM CULTURA",0,$W1430*$H1430)</f>
        <v>3096.01656</v>
      </c>
      <c r="AJ1430" s="18" t="n">
        <f aca="false">IF($K1430="SEM CULTURA",0,$S1430*$H1430)</f>
        <v>2924.712</v>
      </c>
      <c r="AK1430" s="8" t="str">
        <f aca="false">$E1430&amp;"|"&amp;TEXT($AD1430,"0.000000")</f>
        <v>PV 129|0.348706</v>
      </c>
    </row>
    <row r="1431" customFormat="false" ht="15" hidden="false" customHeight="false" outlineLevel="0" collapsed="false">
      <c r="B1431" s="16" t="n">
        <v>40</v>
      </c>
      <c r="C1431" s="17" t="n">
        <f aca="false">DATA_INICIO_SAFRA+($B1431-1)*DIAS_POR_SEMANA</f>
        <v>46538</v>
      </c>
      <c r="D1431" s="17" t="n">
        <f aca="false">$C1431+DIAS_POR_SEMANA-1</f>
        <v>46544</v>
      </c>
      <c r="E1431" s="15" t="s">
        <v>280</v>
      </c>
      <c r="F1431" s="8" t="str">
        <f aca="false">IFERROR(INDEX(CADASTRO_PIVOS!$C$6:$C$41,MATCH($E1431,CADASTRO_PIVOS!$B$6:$B$41,0)),"?")</f>
        <v>RM06</v>
      </c>
      <c r="G1431" s="8" t="str">
        <f aca="false">IFERROR(INDEX(CADASTRO_PIVOS!$D$6:$D$41,MATCH($E1431,CADASTRO_PIVOS!$B$6:$B$41,0)),"?")</f>
        <v>TR06</v>
      </c>
      <c r="H1431" s="20" t="n">
        <f aca="false">IFERROR(INDEX(CADASTRO_PIVOS!$E$6:$E$41,MATCH($E1431,CADASTRO_PIVOS!$B$6:$B$41,0)),0)</f>
        <v>99.48</v>
      </c>
      <c r="I1431" s="16" t="n">
        <f aca="false">IFERROR(SUMIFS(ROTACAO_RDM!$B$6:$B$71,ROTACAO_RDM!$D$6:$D$71,$E1431,ROTACAO_RDM!$I$6:$I$71,"&lt;="&amp;$C1431+INT(DIAS_POR_SEMANA/2),ROTACAO_RDM!$J$6:$J$71,"&gt;="&amp;$C1431+INT(DIAS_POR_SEMANA/2)),0)</f>
        <v>56</v>
      </c>
      <c r="J1431" s="16" t="n">
        <f aca="false">IFERROR(MATCH($I1431,ROTACAO_RDM!$B$6:$B$71,0),0)</f>
        <v>56</v>
      </c>
      <c r="K1431" s="8" t="str">
        <f aca="false">IF($J1431=0,"SEM CULTURA",INDEX(ROTACAO_RDM!$F$6:$F$71,$J1431))</f>
        <v>ALGODAO</v>
      </c>
      <c r="L1431" s="8" t="str">
        <f aca="false">IF($J1431=0,"",INDEX(ROTACAO_RDM!$G$6:$G$71,$J1431))</f>
        <v>DP 2111 B3RF</v>
      </c>
      <c r="M1431" s="17" t="n">
        <f aca="false">IF($J1431=0,"",INDEX(ROTACAO_RDM!$I$6:$I$71,$J1431))</f>
        <v>46426</v>
      </c>
      <c r="N1431" s="16" t="n">
        <f aca="false">IF($J1431=0,0,MAX(0,$C1431+INT(DIAS_POR_SEMANA/2)-INDEX(ROTACAO_RDM!$I$6:$I$71,$J1431)))</f>
        <v>115</v>
      </c>
      <c r="O1431" s="19" t="n">
        <f aca="false">IF($J1431=0,0,MIN(1,$N1431/MAX(1,INDEX(ROTACAO_RDM!$K$6:$K$71,$J1431))))</f>
        <v>0.638888888888889</v>
      </c>
      <c r="P1431" s="16" t="n">
        <f aca="false">IF($J1431=0,0,IFERROR(MATCH(INDEX(ROTACAO_RDM!$N$6:$N$71,$J1431),PARAMETROS_CULTURAS!$B$6:$B$28,0),0))</f>
        <v>4</v>
      </c>
      <c r="Q1431" s="8" t="str">
        <f aca="false">IF($P1431=0,"-",IF($O1431&lt;=INDEX(PARAMETROS_CULTURAS!$F$6:$F$28,$P1431),"INICIAL",IF($O1431&lt;=INDEX(PARAMETROS_CULTURAS!$F$6:$F$28,$P1431)+INDEX(PARAMETROS_CULTURAS!$G$6:$G$28,$P1431),"DESENVOLVIMENTO",IF($O1431&lt;=INDEX(PARAMETROS_CULTURAS!$F$6:$F$28,$P1431)+INDEX(PARAMETROS_CULTURAS!$G$6:$G$28,$P1431)+INDEX(PARAMETROS_CULTURAS!$H$6:$H$28,$P1431),"MEDIA","FINAL"))))</f>
        <v>MEDIA</v>
      </c>
      <c r="R1431" s="24" t="n">
        <f aca="false">IF($P1431=0,0,IF($O1431&lt;=INDEX(PARAMETROS_CULTURAS!$F$6:$F$28,$P1431),INDEX(PARAMETROS_CULTURAS!$K$6:$K$28,$P1431),IF($O1431&lt;=INDEX(PARAMETROS_CULTURAS!$F$6:$F$28,$P1431)+INDEX(PARAMETROS_CULTURAS!$G$6:$G$28,$P1431),INDEX(PARAMETROS_CULTURAS!$K$6:$K$28,$P1431)+(INDEX(PARAMETROS_CULTURAS!$L$6:$L$28,$P1431)-INDEX(PARAMETROS_CULTURAS!$K$6:$K$28,$P1431))*($O1431-INDEX(PARAMETROS_CULTURAS!$F$6:$F$28,$P1431))/MAX(INDEX(PARAMETROS_CULTURAS!$G$6:$G$28,$P1431),0.0001),IF($O1431&lt;=INDEX(PARAMETROS_CULTURAS!$F$6:$F$28,$P1431)+INDEX(PARAMETROS_CULTURAS!$G$6:$G$28,$P1431)+INDEX(PARAMETROS_CULTURAS!$H$6:$H$28,$P1431),INDEX(PARAMETROS_CULTURAS!$L$6:$L$28,$P1431),INDEX(PARAMETROS_CULTURAS!$L$6:$L$28,$P1431)+(INDEX(PARAMETROS_CULTURAS!$M$6:$M$28,$P1431)-INDEX(PARAMETROS_CULTURAS!$L$6:$L$28,$P1431))*($O1431-INDEX(PARAMETROS_CULTURAS!$F$6:$F$28,$P1431)-INDEX(PARAMETROS_CULTURAS!$G$6:$G$28,$P1431)-INDEX(PARAMETROS_CULTURAS!$H$6:$H$28,$P1431))/MAX(INDEX(PARAMETROS_CULTURAS!$I$6:$I$28,$P1431),0.0001)))))</f>
        <v>1.15</v>
      </c>
      <c r="S1431" s="18" t="n">
        <f aca="false">IFERROR(INDEX(SEMANAS!$H$6:$H$71,MATCH($B1431,SEMANAS!$B$6:$B$71,0)),0)</f>
        <v>28.2</v>
      </c>
      <c r="T1431" s="18" t="n">
        <f aca="false">$R1431*$S1431</f>
        <v>32.43</v>
      </c>
      <c r="U1431" s="18" t="n">
        <f aca="false">IFERROR(INDEX(SEMANAS!$I$6:$I$71,MATCH($B1431,SEMANAS!$B$6:$B$71,0)),0)</f>
        <v>1.5</v>
      </c>
      <c r="V1431" s="18" t="n">
        <f aca="false">IFERROR(INDEX(SEMANAS!$J$6:$J$71,MATCH($B1431,SEMANAS!$B$6:$B$71,0)),0)</f>
        <v>1.2</v>
      </c>
      <c r="W1431" s="18" t="n">
        <f aca="false">MAX(0,$T1431-$V1431)</f>
        <v>31.23</v>
      </c>
      <c r="X1431" s="19" t="n">
        <f aca="false">IFERROR(INDEX(CADASTRO_PIVOS!$K$6:$K$41,MATCH($E1431,CADASTRO_PIVOS!$B$6:$B$41,0)),EFICIENCIA_PADRAO)</f>
        <v>0.85</v>
      </c>
      <c r="Y1431" s="18" t="n">
        <f aca="false">IF($X1431&lt;=0,0,$W1431/$X1431)</f>
        <v>36.7411764705882</v>
      </c>
      <c r="Z1431" s="16" t="n">
        <f aca="false">$Y1431*$H1431*MM_PARA_M3_HA</f>
        <v>36550.1223529412</v>
      </c>
      <c r="AA1431" s="18" t="n">
        <f aca="false">IFERROR(INDEX(CADASTRO_PIVOS!$I$6:$I$41,MATCH($E1431,CADASTRO_PIVOS!$B$6:$B$41,0)),0)</f>
        <v>710.571428571429</v>
      </c>
      <c r="AB1431" s="18" t="n">
        <f aca="false">IF($Z1431&lt;=0,0,$Z1431/$AA1431)</f>
        <v>51.4376470588235</v>
      </c>
      <c r="AC1431" s="16" t="n">
        <f aca="false">IFERROR(INDEX(SEMANAS!$K$6:$K$71,MATCH($B1431,SEMANAS!$B$6:$B$71,0)),0)</f>
        <v>147</v>
      </c>
      <c r="AD1431" s="19" t="n">
        <f aca="false">IF($AC1431&lt;=0,0,$AB1431/$AC1431)</f>
        <v>0.349915966386555</v>
      </c>
      <c r="AE1431" s="8" t="str">
        <f aca="false">IF($K1431="SEM CULTURA","SEM CULTURA",IF($AA1431&lt;=0,"DADO PENDENTE",IF($AD1431&gt;LIMITE_CRITICO,"INVIAVEL",IF($AD1431&gt;LIMITE_ATENCAO,"CRITICO",IF($AD1431&gt;LIMITE_CONFORTAVEL,"ATENCAO","OK")))))</f>
        <v>OK</v>
      </c>
      <c r="AF1431" s="8" t="str">
        <f aca="false">$B1431&amp;"|"&amp;TEXT($AD1431,"0.000000")</f>
        <v>40|0.349916</v>
      </c>
      <c r="AG1431" s="18" t="n">
        <f aca="false">IF($K1431="SEM CULTURA",0,$T1431*$H1431)</f>
        <v>3226.1364</v>
      </c>
      <c r="AH1431" s="18" t="n">
        <f aca="false">IF($K1431="SEM CULTURA",0,$V1431*$H1431)</f>
        <v>119.376</v>
      </c>
      <c r="AI1431" s="18" t="n">
        <f aca="false">IF($K1431="SEM CULTURA",0,$W1431*$H1431)</f>
        <v>3106.7604</v>
      </c>
      <c r="AJ1431" s="18" t="n">
        <f aca="false">IF($K1431="SEM CULTURA",0,$S1431*$H1431)</f>
        <v>2805.336</v>
      </c>
      <c r="AK1431" s="8" t="str">
        <f aca="false">$E1431&amp;"|"&amp;TEXT($AD1431,"0.000000")</f>
        <v>PV 129|0.349916</v>
      </c>
    </row>
    <row r="1432" customFormat="false" ht="15" hidden="false" customHeight="false" outlineLevel="0" collapsed="false">
      <c r="B1432" s="16" t="n">
        <v>41</v>
      </c>
      <c r="C1432" s="17" t="n">
        <f aca="false">DATA_INICIO_SAFRA+($B1432-1)*DIAS_POR_SEMANA</f>
        <v>46545</v>
      </c>
      <c r="D1432" s="17" t="n">
        <f aca="false">$C1432+DIAS_POR_SEMANA-1</f>
        <v>46551</v>
      </c>
      <c r="E1432" s="15" t="s">
        <v>280</v>
      </c>
      <c r="F1432" s="8" t="str">
        <f aca="false">IFERROR(INDEX(CADASTRO_PIVOS!$C$6:$C$41,MATCH($E1432,CADASTRO_PIVOS!$B$6:$B$41,0)),"?")</f>
        <v>RM06</v>
      </c>
      <c r="G1432" s="8" t="str">
        <f aca="false">IFERROR(INDEX(CADASTRO_PIVOS!$D$6:$D$41,MATCH($E1432,CADASTRO_PIVOS!$B$6:$B$41,0)),"?")</f>
        <v>TR06</v>
      </c>
      <c r="H1432" s="20" t="n">
        <f aca="false">IFERROR(INDEX(CADASTRO_PIVOS!$E$6:$E$41,MATCH($E1432,CADASTRO_PIVOS!$B$6:$B$41,0)),0)</f>
        <v>99.48</v>
      </c>
      <c r="I1432" s="16" t="n">
        <f aca="false">IFERROR(SUMIFS(ROTACAO_RDM!$B$6:$B$71,ROTACAO_RDM!$D$6:$D$71,$E1432,ROTACAO_RDM!$I$6:$I$71,"&lt;="&amp;$C1432+INT(DIAS_POR_SEMANA/2),ROTACAO_RDM!$J$6:$J$71,"&gt;="&amp;$C1432+INT(DIAS_POR_SEMANA/2)),0)</f>
        <v>56</v>
      </c>
      <c r="J1432" s="16" t="n">
        <f aca="false">IFERROR(MATCH($I1432,ROTACAO_RDM!$B$6:$B$71,0),0)</f>
        <v>56</v>
      </c>
      <c r="K1432" s="8" t="str">
        <f aca="false">IF($J1432=0,"SEM CULTURA",INDEX(ROTACAO_RDM!$F$6:$F$71,$J1432))</f>
        <v>ALGODAO</v>
      </c>
      <c r="L1432" s="8" t="str">
        <f aca="false">IF($J1432=0,"",INDEX(ROTACAO_RDM!$G$6:$G$71,$J1432))</f>
        <v>DP 2111 B3RF</v>
      </c>
      <c r="M1432" s="17" t="n">
        <f aca="false">IF($J1432=0,"",INDEX(ROTACAO_RDM!$I$6:$I$71,$J1432))</f>
        <v>46426</v>
      </c>
      <c r="N1432" s="16" t="n">
        <f aca="false">IF($J1432=0,0,MAX(0,$C1432+INT(DIAS_POR_SEMANA/2)-INDEX(ROTACAO_RDM!$I$6:$I$71,$J1432)))</f>
        <v>122</v>
      </c>
      <c r="O1432" s="19" t="n">
        <f aca="false">IF($J1432=0,0,MIN(1,$N1432/MAX(1,INDEX(ROTACAO_RDM!$K$6:$K$71,$J1432))))</f>
        <v>0.677777777777778</v>
      </c>
      <c r="P1432" s="16" t="n">
        <f aca="false">IF($J1432=0,0,IFERROR(MATCH(INDEX(ROTACAO_RDM!$N$6:$N$71,$J1432),PARAMETROS_CULTURAS!$B$6:$B$28,0),0))</f>
        <v>4</v>
      </c>
      <c r="Q1432" s="8" t="str">
        <f aca="false">IF($P1432=0,"-",IF($O1432&lt;=INDEX(PARAMETROS_CULTURAS!$F$6:$F$28,$P1432),"INICIAL",IF($O1432&lt;=INDEX(PARAMETROS_CULTURAS!$F$6:$F$28,$P1432)+INDEX(PARAMETROS_CULTURAS!$G$6:$G$28,$P1432),"DESENVOLVIMENTO",IF($O1432&lt;=INDEX(PARAMETROS_CULTURAS!$F$6:$F$28,$P1432)+INDEX(PARAMETROS_CULTURAS!$G$6:$G$28,$P1432)+INDEX(PARAMETROS_CULTURAS!$H$6:$H$28,$P1432),"MEDIA","FINAL"))))</f>
        <v>MEDIA</v>
      </c>
      <c r="R1432" s="24" t="n">
        <f aca="false">IF($P1432=0,0,IF($O1432&lt;=INDEX(PARAMETROS_CULTURAS!$F$6:$F$28,$P1432),INDEX(PARAMETROS_CULTURAS!$K$6:$K$28,$P1432),IF($O1432&lt;=INDEX(PARAMETROS_CULTURAS!$F$6:$F$28,$P1432)+INDEX(PARAMETROS_CULTURAS!$G$6:$G$28,$P1432),INDEX(PARAMETROS_CULTURAS!$K$6:$K$28,$P1432)+(INDEX(PARAMETROS_CULTURAS!$L$6:$L$28,$P1432)-INDEX(PARAMETROS_CULTURAS!$K$6:$K$28,$P1432))*($O1432-INDEX(PARAMETROS_CULTURAS!$F$6:$F$28,$P1432))/MAX(INDEX(PARAMETROS_CULTURAS!$G$6:$G$28,$P1432),0.0001),IF($O1432&lt;=INDEX(PARAMETROS_CULTURAS!$F$6:$F$28,$P1432)+INDEX(PARAMETROS_CULTURAS!$G$6:$G$28,$P1432)+INDEX(PARAMETROS_CULTURAS!$H$6:$H$28,$P1432),INDEX(PARAMETROS_CULTURAS!$L$6:$L$28,$P1432),INDEX(PARAMETROS_CULTURAS!$L$6:$L$28,$P1432)+(INDEX(PARAMETROS_CULTURAS!$M$6:$M$28,$P1432)-INDEX(PARAMETROS_CULTURAS!$L$6:$L$28,$P1432))*($O1432-INDEX(PARAMETROS_CULTURAS!$F$6:$F$28,$P1432)-INDEX(PARAMETROS_CULTURAS!$G$6:$G$28,$P1432)-INDEX(PARAMETROS_CULTURAS!$H$6:$H$28,$P1432))/MAX(INDEX(PARAMETROS_CULTURAS!$I$6:$I$28,$P1432),0.0001)))))</f>
        <v>1.15</v>
      </c>
      <c r="S1432" s="18" t="n">
        <f aca="false">IFERROR(INDEX(SEMANAS!$H$6:$H$71,MATCH($B1432,SEMANAS!$B$6:$B$71,0)),0)</f>
        <v>28</v>
      </c>
      <c r="T1432" s="18" t="n">
        <f aca="false">$R1432*$S1432</f>
        <v>32.2</v>
      </c>
      <c r="U1432" s="18" t="n">
        <f aca="false">IFERROR(INDEX(SEMANAS!$I$6:$I$71,MATCH($B1432,SEMANAS!$B$6:$B$71,0)),0)</f>
        <v>1.19</v>
      </c>
      <c r="V1432" s="18" t="n">
        <f aca="false">IFERROR(INDEX(SEMANAS!$J$6:$J$71,MATCH($B1432,SEMANAS!$B$6:$B$71,0)),0)</f>
        <v>0.952</v>
      </c>
      <c r="W1432" s="18" t="n">
        <f aca="false">MAX(0,$T1432-$V1432)</f>
        <v>31.248</v>
      </c>
      <c r="X1432" s="19" t="n">
        <f aca="false">IFERROR(INDEX(CADASTRO_PIVOS!$K$6:$K$41,MATCH($E1432,CADASTRO_PIVOS!$B$6:$B$41,0)),EFICIENCIA_PADRAO)</f>
        <v>0.85</v>
      </c>
      <c r="Y1432" s="18" t="n">
        <f aca="false">IF($X1432&lt;=0,0,$W1432/$X1432)</f>
        <v>36.7623529411765</v>
      </c>
      <c r="Z1432" s="16" t="n">
        <f aca="false">$Y1432*$H1432*MM_PARA_M3_HA</f>
        <v>36571.1887058824</v>
      </c>
      <c r="AA1432" s="18" t="n">
        <f aca="false">IFERROR(INDEX(CADASTRO_PIVOS!$I$6:$I$41,MATCH($E1432,CADASTRO_PIVOS!$B$6:$B$41,0)),0)</f>
        <v>710.571428571429</v>
      </c>
      <c r="AB1432" s="18" t="n">
        <f aca="false">IF($Z1432&lt;=0,0,$Z1432/$AA1432)</f>
        <v>51.4672941176471</v>
      </c>
      <c r="AC1432" s="16" t="n">
        <f aca="false">IFERROR(INDEX(SEMANAS!$K$6:$K$71,MATCH($B1432,SEMANAS!$B$6:$B$71,0)),0)</f>
        <v>147</v>
      </c>
      <c r="AD1432" s="19" t="n">
        <f aca="false">IF($AC1432&lt;=0,0,$AB1432/$AC1432)</f>
        <v>0.350117647058824</v>
      </c>
      <c r="AE1432" s="8" t="str">
        <f aca="false">IF($K1432="SEM CULTURA","SEM CULTURA",IF($AA1432&lt;=0,"DADO PENDENTE",IF($AD1432&gt;LIMITE_CRITICO,"INVIAVEL",IF($AD1432&gt;LIMITE_ATENCAO,"CRITICO",IF($AD1432&gt;LIMITE_CONFORTAVEL,"ATENCAO","OK")))))</f>
        <v>OK</v>
      </c>
      <c r="AF1432" s="8" t="str">
        <f aca="false">$B1432&amp;"|"&amp;TEXT($AD1432,"0.000000")</f>
        <v>41|0.350118</v>
      </c>
      <c r="AG1432" s="18" t="n">
        <f aca="false">IF($K1432="SEM CULTURA",0,$T1432*$H1432)</f>
        <v>3203.256</v>
      </c>
      <c r="AH1432" s="18" t="n">
        <f aca="false">IF($K1432="SEM CULTURA",0,$V1432*$H1432)</f>
        <v>94.70496</v>
      </c>
      <c r="AI1432" s="18" t="n">
        <f aca="false">IF($K1432="SEM CULTURA",0,$W1432*$H1432)</f>
        <v>3108.55104</v>
      </c>
      <c r="AJ1432" s="18" t="n">
        <f aca="false">IF($K1432="SEM CULTURA",0,$S1432*$H1432)</f>
        <v>2785.44</v>
      </c>
      <c r="AK1432" s="8" t="str">
        <f aca="false">$E1432&amp;"|"&amp;TEXT($AD1432,"0.000000")</f>
        <v>PV 129|0.350118</v>
      </c>
    </row>
    <row r="1433" customFormat="false" ht="15" hidden="false" customHeight="false" outlineLevel="0" collapsed="false">
      <c r="B1433" s="16" t="n">
        <v>42</v>
      </c>
      <c r="C1433" s="17" t="n">
        <f aca="false">DATA_INICIO_SAFRA+($B1433-1)*DIAS_POR_SEMANA</f>
        <v>46552</v>
      </c>
      <c r="D1433" s="17" t="n">
        <f aca="false">$C1433+DIAS_POR_SEMANA-1</f>
        <v>46558</v>
      </c>
      <c r="E1433" s="15" t="s">
        <v>280</v>
      </c>
      <c r="F1433" s="8" t="str">
        <f aca="false">IFERROR(INDEX(CADASTRO_PIVOS!$C$6:$C$41,MATCH($E1433,CADASTRO_PIVOS!$B$6:$B$41,0)),"?")</f>
        <v>RM06</v>
      </c>
      <c r="G1433" s="8" t="str">
        <f aca="false">IFERROR(INDEX(CADASTRO_PIVOS!$D$6:$D$41,MATCH($E1433,CADASTRO_PIVOS!$B$6:$B$41,0)),"?")</f>
        <v>TR06</v>
      </c>
      <c r="H1433" s="20" t="n">
        <f aca="false">IFERROR(INDEX(CADASTRO_PIVOS!$E$6:$E$41,MATCH($E1433,CADASTRO_PIVOS!$B$6:$B$41,0)),0)</f>
        <v>99.48</v>
      </c>
      <c r="I1433" s="16" t="n">
        <f aca="false">IFERROR(SUMIFS(ROTACAO_RDM!$B$6:$B$71,ROTACAO_RDM!$D$6:$D$71,$E1433,ROTACAO_RDM!$I$6:$I$71,"&lt;="&amp;$C1433+INT(DIAS_POR_SEMANA/2),ROTACAO_RDM!$J$6:$J$71,"&gt;="&amp;$C1433+INT(DIAS_POR_SEMANA/2)),0)</f>
        <v>56</v>
      </c>
      <c r="J1433" s="16" t="n">
        <f aca="false">IFERROR(MATCH($I1433,ROTACAO_RDM!$B$6:$B$71,0),0)</f>
        <v>56</v>
      </c>
      <c r="K1433" s="8" t="str">
        <f aca="false">IF($J1433=0,"SEM CULTURA",INDEX(ROTACAO_RDM!$F$6:$F$71,$J1433))</f>
        <v>ALGODAO</v>
      </c>
      <c r="L1433" s="8" t="str">
        <f aca="false">IF($J1433=0,"",INDEX(ROTACAO_RDM!$G$6:$G$71,$J1433))</f>
        <v>DP 2111 B3RF</v>
      </c>
      <c r="M1433" s="17" t="n">
        <f aca="false">IF($J1433=0,"",INDEX(ROTACAO_RDM!$I$6:$I$71,$J1433))</f>
        <v>46426</v>
      </c>
      <c r="N1433" s="16" t="n">
        <f aca="false">IF($J1433=0,0,MAX(0,$C1433+INT(DIAS_POR_SEMANA/2)-INDEX(ROTACAO_RDM!$I$6:$I$71,$J1433)))</f>
        <v>129</v>
      </c>
      <c r="O1433" s="19" t="n">
        <f aca="false">IF($J1433=0,0,MIN(1,$N1433/MAX(1,INDEX(ROTACAO_RDM!$K$6:$K$71,$J1433))))</f>
        <v>0.716666666666667</v>
      </c>
      <c r="P1433" s="16" t="n">
        <f aca="false">IF($J1433=0,0,IFERROR(MATCH(INDEX(ROTACAO_RDM!$N$6:$N$71,$J1433),PARAMETROS_CULTURAS!$B$6:$B$28,0),0))</f>
        <v>4</v>
      </c>
      <c r="Q1433" s="8" t="str">
        <f aca="false">IF($P1433=0,"-",IF($O1433&lt;=INDEX(PARAMETROS_CULTURAS!$F$6:$F$28,$P1433),"INICIAL",IF($O1433&lt;=INDEX(PARAMETROS_CULTURAS!$F$6:$F$28,$P1433)+INDEX(PARAMETROS_CULTURAS!$G$6:$G$28,$P1433),"DESENVOLVIMENTO",IF($O1433&lt;=INDEX(PARAMETROS_CULTURAS!$F$6:$F$28,$P1433)+INDEX(PARAMETROS_CULTURAS!$G$6:$G$28,$P1433)+INDEX(PARAMETROS_CULTURAS!$H$6:$H$28,$P1433),"MEDIA","FINAL"))))</f>
        <v>MEDIA</v>
      </c>
      <c r="R1433" s="24" t="n">
        <f aca="false">IF($P1433=0,0,IF($O1433&lt;=INDEX(PARAMETROS_CULTURAS!$F$6:$F$28,$P1433),INDEX(PARAMETROS_CULTURAS!$K$6:$K$28,$P1433),IF($O1433&lt;=INDEX(PARAMETROS_CULTURAS!$F$6:$F$28,$P1433)+INDEX(PARAMETROS_CULTURAS!$G$6:$G$28,$P1433),INDEX(PARAMETROS_CULTURAS!$K$6:$K$28,$P1433)+(INDEX(PARAMETROS_CULTURAS!$L$6:$L$28,$P1433)-INDEX(PARAMETROS_CULTURAS!$K$6:$K$28,$P1433))*($O1433-INDEX(PARAMETROS_CULTURAS!$F$6:$F$28,$P1433))/MAX(INDEX(PARAMETROS_CULTURAS!$G$6:$G$28,$P1433),0.0001),IF($O1433&lt;=INDEX(PARAMETROS_CULTURAS!$F$6:$F$28,$P1433)+INDEX(PARAMETROS_CULTURAS!$G$6:$G$28,$P1433)+INDEX(PARAMETROS_CULTURAS!$H$6:$H$28,$P1433),INDEX(PARAMETROS_CULTURAS!$L$6:$L$28,$P1433),INDEX(PARAMETROS_CULTURAS!$L$6:$L$28,$P1433)+(INDEX(PARAMETROS_CULTURAS!$M$6:$M$28,$P1433)-INDEX(PARAMETROS_CULTURAS!$L$6:$L$28,$P1433))*($O1433-INDEX(PARAMETROS_CULTURAS!$F$6:$F$28,$P1433)-INDEX(PARAMETROS_CULTURAS!$G$6:$G$28,$P1433)-INDEX(PARAMETROS_CULTURAS!$H$6:$H$28,$P1433))/MAX(INDEX(PARAMETROS_CULTURAS!$I$6:$I$28,$P1433),0.0001)))))</f>
        <v>1.15</v>
      </c>
      <c r="S1433" s="18" t="n">
        <f aca="false">IFERROR(INDEX(SEMANAS!$H$6:$H$71,MATCH($B1433,SEMANAS!$B$6:$B$71,0)),0)</f>
        <v>28</v>
      </c>
      <c r="T1433" s="18" t="n">
        <f aca="false">$R1433*$S1433</f>
        <v>32.2</v>
      </c>
      <c r="U1433" s="18" t="n">
        <f aca="false">IFERROR(INDEX(SEMANAS!$I$6:$I$71,MATCH($B1433,SEMANAS!$B$6:$B$71,0)),0)</f>
        <v>1.19</v>
      </c>
      <c r="V1433" s="18" t="n">
        <f aca="false">IFERROR(INDEX(SEMANAS!$J$6:$J$71,MATCH($B1433,SEMANAS!$B$6:$B$71,0)),0)</f>
        <v>0.952</v>
      </c>
      <c r="W1433" s="18" t="n">
        <f aca="false">MAX(0,$T1433-$V1433)</f>
        <v>31.248</v>
      </c>
      <c r="X1433" s="19" t="n">
        <f aca="false">IFERROR(INDEX(CADASTRO_PIVOS!$K$6:$K$41,MATCH($E1433,CADASTRO_PIVOS!$B$6:$B$41,0)),EFICIENCIA_PADRAO)</f>
        <v>0.85</v>
      </c>
      <c r="Y1433" s="18" t="n">
        <f aca="false">IF($X1433&lt;=0,0,$W1433/$X1433)</f>
        <v>36.7623529411765</v>
      </c>
      <c r="Z1433" s="16" t="n">
        <f aca="false">$Y1433*$H1433*MM_PARA_M3_HA</f>
        <v>36571.1887058824</v>
      </c>
      <c r="AA1433" s="18" t="n">
        <f aca="false">IFERROR(INDEX(CADASTRO_PIVOS!$I$6:$I$41,MATCH($E1433,CADASTRO_PIVOS!$B$6:$B$41,0)),0)</f>
        <v>710.571428571429</v>
      </c>
      <c r="AB1433" s="18" t="n">
        <f aca="false">IF($Z1433&lt;=0,0,$Z1433/$AA1433)</f>
        <v>51.4672941176471</v>
      </c>
      <c r="AC1433" s="16" t="n">
        <f aca="false">IFERROR(INDEX(SEMANAS!$K$6:$K$71,MATCH($B1433,SEMANAS!$B$6:$B$71,0)),0)</f>
        <v>147</v>
      </c>
      <c r="AD1433" s="19" t="n">
        <f aca="false">IF($AC1433&lt;=0,0,$AB1433/$AC1433)</f>
        <v>0.350117647058824</v>
      </c>
      <c r="AE1433" s="8" t="str">
        <f aca="false">IF($K1433="SEM CULTURA","SEM CULTURA",IF($AA1433&lt;=0,"DADO PENDENTE",IF($AD1433&gt;LIMITE_CRITICO,"INVIAVEL",IF($AD1433&gt;LIMITE_ATENCAO,"CRITICO",IF($AD1433&gt;LIMITE_CONFORTAVEL,"ATENCAO","OK")))))</f>
        <v>OK</v>
      </c>
      <c r="AF1433" s="8" t="str">
        <f aca="false">$B1433&amp;"|"&amp;TEXT($AD1433,"0.000000")</f>
        <v>42|0.350118</v>
      </c>
      <c r="AG1433" s="18" t="n">
        <f aca="false">IF($K1433="SEM CULTURA",0,$T1433*$H1433)</f>
        <v>3203.256</v>
      </c>
      <c r="AH1433" s="18" t="n">
        <f aca="false">IF($K1433="SEM CULTURA",0,$V1433*$H1433)</f>
        <v>94.70496</v>
      </c>
      <c r="AI1433" s="18" t="n">
        <f aca="false">IF($K1433="SEM CULTURA",0,$W1433*$H1433)</f>
        <v>3108.55104</v>
      </c>
      <c r="AJ1433" s="18" t="n">
        <f aca="false">IF($K1433="SEM CULTURA",0,$S1433*$H1433)</f>
        <v>2785.44</v>
      </c>
      <c r="AK1433" s="8" t="str">
        <f aca="false">$E1433&amp;"|"&amp;TEXT($AD1433,"0.000000")</f>
        <v>PV 129|0.350118</v>
      </c>
    </row>
    <row r="1434" customFormat="false" ht="15" hidden="false" customHeight="false" outlineLevel="0" collapsed="false">
      <c r="B1434" s="16" t="n">
        <v>43</v>
      </c>
      <c r="C1434" s="17" t="n">
        <f aca="false">DATA_INICIO_SAFRA+($B1434-1)*DIAS_POR_SEMANA</f>
        <v>46559</v>
      </c>
      <c r="D1434" s="17" t="n">
        <f aca="false">$C1434+DIAS_POR_SEMANA-1</f>
        <v>46565</v>
      </c>
      <c r="E1434" s="15" t="s">
        <v>280</v>
      </c>
      <c r="F1434" s="8" t="str">
        <f aca="false">IFERROR(INDEX(CADASTRO_PIVOS!$C$6:$C$41,MATCH($E1434,CADASTRO_PIVOS!$B$6:$B$41,0)),"?")</f>
        <v>RM06</v>
      </c>
      <c r="G1434" s="8" t="str">
        <f aca="false">IFERROR(INDEX(CADASTRO_PIVOS!$D$6:$D$41,MATCH($E1434,CADASTRO_PIVOS!$B$6:$B$41,0)),"?")</f>
        <v>TR06</v>
      </c>
      <c r="H1434" s="20" t="n">
        <f aca="false">IFERROR(INDEX(CADASTRO_PIVOS!$E$6:$E$41,MATCH($E1434,CADASTRO_PIVOS!$B$6:$B$41,0)),0)</f>
        <v>99.48</v>
      </c>
      <c r="I1434" s="16" t="n">
        <f aca="false">IFERROR(SUMIFS(ROTACAO_RDM!$B$6:$B$71,ROTACAO_RDM!$D$6:$D$71,$E1434,ROTACAO_RDM!$I$6:$I$71,"&lt;="&amp;$C1434+INT(DIAS_POR_SEMANA/2),ROTACAO_RDM!$J$6:$J$71,"&gt;="&amp;$C1434+INT(DIAS_POR_SEMANA/2)),0)</f>
        <v>56</v>
      </c>
      <c r="J1434" s="16" t="n">
        <f aca="false">IFERROR(MATCH($I1434,ROTACAO_RDM!$B$6:$B$71,0),0)</f>
        <v>56</v>
      </c>
      <c r="K1434" s="8" t="str">
        <f aca="false">IF($J1434=0,"SEM CULTURA",INDEX(ROTACAO_RDM!$F$6:$F$71,$J1434))</f>
        <v>ALGODAO</v>
      </c>
      <c r="L1434" s="8" t="str">
        <f aca="false">IF($J1434=0,"",INDEX(ROTACAO_RDM!$G$6:$G$71,$J1434))</f>
        <v>DP 2111 B3RF</v>
      </c>
      <c r="M1434" s="17" t="n">
        <f aca="false">IF($J1434=0,"",INDEX(ROTACAO_RDM!$I$6:$I$71,$J1434))</f>
        <v>46426</v>
      </c>
      <c r="N1434" s="16" t="n">
        <f aca="false">IF($J1434=0,0,MAX(0,$C1434+INT(DIAS_POR_SEMANA/2)-INDEX(ROTACAO_RDM!$I$6:$I$71,$J1434)))</f>
        <v>136</v>
      </c>
      <c r="O1434" s="19" t="n">
        <f aca="false">IF($J1434=0,0,MIN(1,$N1434/MAX(1,INDEX(ROTACAO_RDM!$K$6:$K$71,$J1434))))</f>
        <v>0.755555555555556</v>
      </c>
      <c r="P1434" s="16" t="n">
        <f aca="false">IF($J1434=0,0,IFERROR(MATCH(INDEX(ROTACAO_RDM!$N$6:$N$71,$J1434),PARAMETROS_CULTURAS!$B$6:$B$28,0),0))</f>
        <v>4</v>
      </c>
      <c r="Q1434" s="8" t="str">
        <f aca="false">IF($P1434=0,"-",IF($O1434&lt;=INDEX(PARAMETROS_CULTURAS!$F$6:$F$28,$P1434),"INICIAL",IF($O1434&lt;=INDEX(PARAMETROS_CULTURAS!$F$6:$F$28,$P1434)+INDEX(PARAMETROS_CULTURAS!$G$6:$G$28,$P1434),"DESENVOLVIMENTO",IF($O1434&lt;=INDEX(PARAMETROS_CULTURAS!$F$6:$F$28,$P1434)+INDEX(PARAMETROS_CULTURAS!$G$6:$G$28,$P1434)+INDEX(PARAMETROS_CULTURAS!$H$6:$H$28,$P1434),"MEDIA","FINAL"))))</f>
        <v>FINAL</v>
      </c>
      <c r="R1434" s="24" t="n">
        <f aca="false">IF($P1434=0,0,IF($O1434&lt;=INDEX(PARAMETROS_CULTURAS!$F$6:$F$28,$P1434),INDEX(PARAMETROS_CULTURAS!$K$6:$K$28,$P1434),IF($O1434&lt;=INDEX(PARAMETROS_CULTURAS!$F$6:$F$28,$P1434)+INDEX(PARAMETROS_CULTURAS!$G$6:$G$28,$P1434),INDEX(PARAMETROS_CULTURAS!$K$6:$K$28,$P1434)+(INDEX(PARAMETROS_CULTURAS!$L$6:$L$28,$P1434)-INDEX(PARAMETROS_CULTURAS!$K$6:$K$28,$P1434))*($O1434-INDEX(PARAMETROS_CULTURAS!$F$6:$F$28,$P1434))/MAX(INDEX(PARAMETROS_CULTURAS!$G$6:$G$28,$P1434),0.0001),IF($O1434&lt;=INDEX(PARAMETROS_CULTURAS!$F$6:$F$28,$P1434)+INDEX(PARAMETROS_CULTURAS!$G$6:$G$28,$P1434)+INDEX(PARAMETROS_CULTURAS!$H$6:$H$28,$P1434),INDEX(PARAMETROS_CULTURAS!$L$6:$L$28,$P1434),INDEX(PARAMETROS_CULTURAS!$L$6:$L$28,$P1434)+(INDEX(PARAMETROS_CULTURAS!$M$6:$M$28,$P1434)-INDEX(PARAMETROS_CULTURAS!$L$6:$L$28,$P1434))*($O1434-INDEX(PARAMETROS_CULTURAS!$F$6:$F$28,$P1434)-INDEX(PARAMETROS_CULTURAS!$G$6:$G$28,$P1434)-INDEX(PARAMETROS_CULTURAS!$H$6:$H$28,$P1434))/MAX(INDEX(PARAMETROS_CULTURAS!$I$6:$I$28,$P1434),0.0001)))))</f>
        <v>1.13777777777778</v>
      </c>
      <c r="S1434" s="18" t="n">
        <f aca="false">IFERROR(INDEX(SEMANAS!$H$6:$H$71,MATCH($B1434,SEMANAS!$B$6:$B$71,0)),0)</f>
        <v>28</v>
      </c>
      <c r="T1434" s="18" t="n">
        <f aca="false">$R1434*$S1434</f>
        <v>31.8577777777778</v>
      </c>
      <c r="U1434" s="18" t="n">
        <f aca="false">IFERROR(INDEX(SEMANAS!$I$6:$I$71,MATCH($B1434,SEMANAS!$B$6:$B$71,0)),0)</f>
        <v>1.19</v>
      </c>
      <c r="V1434" s="18" t="n">
        <f aca="false">IFERROR(INDEX(SEMANAS!$J$6:$J$71,MATCH($B1434,SEMANAS!$B$6:$B$71,0)),0)</f>
        <v>0.952</v>
      </c>
      <c r="W1434" s="18" t="n">
        <f aca="false">MAX(0,$T1434-$V1434)</f>
        <v>30.9057777777778</v>
      </c>
      <c r="X1434" s="19" t="n">
        <f aca="false">IFERROR(INDEX(CADASTRO_PIVOS!$K$6:$K$41,MATCH($E1434,CADASTRO_PIVOS!$B$6:$B$41,0)),EFICIENCIA_PADRAO)</f>
        <v>0.85</v>
      </c>
      <c r="Y1434" s="18" t="n">
        <f aca="false">IF($X1434&lt;=0,0,$W1434/$X1434)</f>
        <v>36.3597385620915</v>
      </c>
      <c r="Z1434" s="16" t="n">
        <f aca="false">$Y1434*$H1434*MM_PARA_M3_HA</f>
        <v>36170.6679215686</v>
      </c>
      <c r="AA1434" s="18" t="n">
        <f aca="false">IFERROR(INDEX(CADASTRO_PIVOS!$I$6:$I$41,MATCH($E1434,CADASTRO_PIVOS!$B$6:$B$41,0)),0)</f>
        <v>710.571428571429</v>
      </c>
      <c r="AB1434" s="18" t="n">
        <f aca="false">IF($Z1434&lt;=0,0,$Z1434/$AA1434)</f>
        <v>50.9036339869281</v>
      </c>
      <c r="AC1434" s="16" t="n">
        <f aca="false">IFERROR(INDEX(SEMANAS!$K$6:$K$71,MATCH($B1434,SEMANAS!$B$6:$B$71,0)),0)</f>
        <v>147</v>
      </c>
      <c r="AD1434" s="19" t="n">
        <f aca="false">IF($AC1434&lt;=0,0,$AB1434/$AC1434)</f>
        <v>0.346283224400871</v>
      </c>
      <c r="AE1434" s="8" t="str">
        <f aca="false">IF($K1434="SEM CULTURA","SEM CULTURA",IF($AA1434&lt;=0,"DADO PENDENTE",IF($AD1434&gt;LIMITE_CRITICO,"INVIAVEL",IF($AD1434&gt;LIMITE_ATENCAO,"CRITICO",IF($AD1434&gt;LIMITE_CONFORTAVEL,"ATENCAO","OK")))))</f>
        <v>OK</v>
      </c>
      <c r="AF1434" s="8" t="str">
        <f aca="false">$B1434&amp;"|"&amp;TEXT($AD1434,"0.000000")</f>
        <v>43|0.346283</v>
      </c>
      <c r="AG1434" s="18" t="n">
        <f aca="false">IF($K1434="SEM CULTURA",0,$T1434*$H1434)</f>
        <v>3169.21173333333</v>
      </c>
      <c r="AH1434" s="18" t="n">
        <f aca="false">IF($K1434="SEM CULTURA",0,$V1434*$H1434)</f>
        <v>94.70496</v>
      </c>
      <c r="AI1434" s="18" t="n">
        <f aca="false">IF($K1434="SEM CULTURA",0,$W1434*$H1434)</f>
        <v>3074.50677333333</v>
      </c>
      <c r="AJ1434" s="18" t="n">
        <f aca="false">IF($K1434="SEM CULTURA",0,$S1434*$H1434)</f>
        <v>2785.44</v>
      </c>
      <c r="AK1434" s="8" t="str">
        <f aca="false">$E1434&amp;"|"&amp;TEXT($AD1434,"0.000000")</f>
        <v>PV 129|0.346283</v>
      </c>
    </row>
    <row r="1435" customFormat="false" ht="15" hidden="false" customHeight="false" outlineLevel="0" collapsed="false">
      <c r="B1435" s="16" t="n">
        <v>44</v>
      </c>
      <c r="C1435" s="17" t="n">
        <f aca="false">DATA_INICIO_SAFRA+($B1435-1)*DIAS_POR_SEMANA</f>
        <v>46566</v>
      </c>
      <c r="D1435" s="17" t="n">
        <f aca="false">$C1435+DIAS_POR_SEMANA-1</f>
        <v>46572</v>
      </c>
      <c r="E1435" s="15" t="s">
        <v>280</v>
      </c>
      <c r="F1435" s="8" t="str">
        <f aca="false">IFERROR(INDEX(CADASTRO_PIVOS!$C$6:$C$41,MATCH($E1435,CADASTRO_PIVOS!$B$6:$B$41,0)),"?")</f>
        <v>RM06</v>
      </c>
      <c r="G1435" s="8" t="str">
        <f aca="false">IFERROR(INDEX(CADASTRO_PIVOS!$D$6:$D$41,MATCH($E1435,CADASTRO_PIVOS!$B$6:$B$41,0)),"?")</f>
        <v>TR06</v>
      </c>
      <c r="H1435" s="20" t="n">
        <f aca="false">IFERROR(INDEX(CADASTRO_PIVOS!$E$6:$E$41,MATCH($E1435,CADASTRO_PIVOS!$B$6:$B$41,0)),0)</f>
        <v>99.48</v>
      </c>
      <c r="I1435" s="16" t="n">
        <f aca="false">IFERROR(SUMIFS(ROTACAO_RDM!$B$6:$B$71,ROTACAO_RDM!$D$6:$D$71,$E1435,ROTACAO_RDM!$I$6:$I$71,"&lt;="&amp;$C1435+INT(DIAS_POR_SEMANA/2),ROTACAO_RDM!$J$6:$J$71,"&gt;="&amp;$C1435+INT(DIAS_POR_SEMANA/2)),0)</f>
        <v>56</v>
      </c>
      <c r="J1435" s="16" t="n">
        <f aca="false">IFERROR(MATCH($I1435,ROTACAO_RDM!$B$6:$B$71,0),0)</f>
        <v>56</v>
      </c>
      <c r="K1435" s="8" t="str">
        <f aca="false">IF($J1435=0,"SEM CULTURA",INDEX(ROTACAO_RDM!$F$6:$F$71,$J1435))</f>
        <v>ALGODAO</v>
      </c>
      <c r="L1435" s="8" t="str">
        <f aca="false">IF($J1435=0,"",INDEX(ROTACAO_RDM!$G$6:$G$71,$J1435))</f>
        <v>DP 2111 B3RF</v>
      </c>
      <c r="M1435" s="17" t="n">
        <f aca="false">IF($J1435=0,"",INDEX(ROTACAO_RDM!$I$6:$I$71,$J1435))</f>
        <v>46426</v>
      </c>
      <c r="N1435" s="16" t="n">
        <f aca="false">IF($J1435=0,0,MAX(0,$C1435+INT(DIAS_POR_SEMANA/2)-INDEX(ROTACAO_RDM!$I$6:$I$71,$J1435)))</f>
        <v>143</v>
      </c>
      <c r="O1435" s="19" t="n">
        <f aca="false">IF($J1435=0,0,MIN(1,$N1435/MAX(1,INDEX(ROTACAO_RDM!$K$6:$K$71,$J1435))))</f>
        <v>0.794444444444444</v>
      </c>
      <c r="P1435" s="16" t="n">
        <f aca="false">IF($J1435=0,0,IFERROR(MATCH(INDEX(ROTACAO_RDM!$N$6:$N$71,$J1435),PARAMETROS_CULTURAS!$B$6:$B$28,0),0))</f>
        <v>4</v>
      </c>
      <c r="Q1435" s="8" t="str">
        <f aca="false">IF($P1435=0,"-",IF($O1435&lt;=INDEX(PARAMETROS_CULTURAS!$F$6:$F$28,$P1435),"INICIAL",IF($O1435&lt;=INDEX(PARAMETROS_CULTURAS!$F$6:$F$28,$P1435)+INDEX(PARAMETROS_CULTURAS!$G$6:$G$28,$P1435),"DESENVOLVIMENTO",IF($O1435&lt;=INDEX(PARAMETROS_CULTURAS!$F$6:$F$28,$P1435)+INDEX(PARAMETROS_CULTURAS!$G$6:$G$28,$P1435)+INDEX(PARAMETROS_CULTURAS!$H$6:$H$28,$P1435),"MEDIA","FINAL"))))</f>
        <v>FINAL</v>
      </c>
      <c r="R1435" s="24" t="n">
        <f aca="false">IF($P1435=0,0,IF($O1435&lt;=INDEX(PARAMETROS_CULTURAS!$F$6:$F$28,$P1435),INDEX(PARAMETROS_CULTURAS!$K$6:$K$28,$P1435),IF($O1435&lt;=INDEX(PARAMETROS_CULTURAS!$F$6:$F$28,$P1435)+INDEX(PARAMETROS_CULTURAS!$G$6:$G$28,$P1435),INDEX(PARAMETROS_CULTURAS!$K$6:$K$28,$P1435)+(INDEX(PARAMETROS_CULTURAS!$L$6:$L$28,$P1435)-INDEX(PARAMETROS_CULTURAS!$K$6:$K$28,$P1435))*($O1435-INDEX(PARAMETROS_CULTURAS!$F$6:$F$28,$P1435))/MAX(INDEX(PARAMETROS_CULTURAS!$G$6:$G$28,$P1435),0.0001),IF($O1435&lt;=INDEX(PARAMETROS_CULTURAS!$F$6:$F$28,$P1435)+INDEX(PARAMETROS_CULTURAS!$G$6:$G$28,$P1435)+INDEX(PARAMETROS_CULTURAS!$H$6:$H$28,$P1435),INDEX(PARAMETROS_CULTURAS!$L$6:$L$28,$P1435),INDEX(PARAMETROS_CULTURAS!$L$6:$L$28,$P1435)+(INDEX(PARAMETROS_CULTURAS!$M$6:$M$28,$P1435)-INDEX(PARAMETROS_CULTURAS!$L$6:$L$28,$P1435))*($O1435-INDEX(PARAMETROS_CULTURAS!$F$6:$F$28,$P1435)-INDEX(PARAMETROS_CULTURAS!$G$6:$G$28,$P1435)-INDEX(PARAMETROS_CULTURAS!$H$6:$H$28,$P1435))/MAX(INDEX(PARAMETROS_CULTURAS!$I$6:$I$28,$P1435),0.0001)))))</f>
        <v>1.05222222222222</v>
      </c>
      <c r="S1435" s="18" t="n">
        <f aca="false">IFERROR(INDEX(SEMANAS!$H$6:$H$71,MATCH($B1435,SEMANAS!$B$6:$B$71,0)),0)</f>
        <v>29.2</v>
      </c>
      <c r="T1435" s="18" t="n">
        <f aca="false">$R1435*$S1435</f>
        <v>30.7248888888889</v>
      </c>
      <c r="U1435" s="18" t="n">
        <f aca="false">IFERROR(INDEX(SEMANAS!$I$6:$I$71,MATCH($B1435,SEMANAS!$B$6:$B$71,0)),0)</f>
        <v>0.91</v>
      </c>
      <c r="V1435" s="18" t="n">
        <f aca="false">IFERROR(INDEX(SEMANAS!$J$6:$J$71,MATCH($B1435,SEMANAS!$B$6:$B$71,0)),0)</f>
        <v>0.728</v>
      </c>
      <c r="W1435" s="18" t="n">
        <f aca="false">MAX(0,$T1435-$V1435)</f>
        <v>29.9968888888889</v>
      </c>
      <c r="X1435" s="19" t="n">
        <f aca="false">IFERROR(INDEX(CADASTRO_PIVOS!$K$6:$K$41,MATCH($E1435,CADASTRO_PIVOS!$B$6:$B$41,0)),EFICIENCIA_PADRAO)</f>
        <v>0.85</v>
      </c>
      <c r="Y1435" s="18" t="n">
        <f aca="false">IF($X1435&lt;=0,0,$W1435/$X1435)</f>
        <v>35.2904575163399</v>
      </c>
      <c r="Z1435" s="16" t="n">
        <f aca="false">$Y1435*$H1435*MM_PARA_M3_HA</f>
        <v>35106.9471372549</v>
      </c>
      <c r="AA1435" s="18" t="n">
        <f aca="false">IFERROR(INDEX(CADASTRO_PIVOS!$I$6:$I$41,MATCH($E1435,CADASTRO_PIVOS!$B$6:$B$41,0)),0)</f>
        <v>710.571428571429</v>
      </c>
      <c r="AB1435" s="18" t="n">
        <f aca="false">IF($Z1435&lt;=0,0,$Z1435/$AA1435)</f>
        <v>49.4066405228758</v>
      </c>
      <c r="AC1435" s="16" t="n">
        <f aca="false">IFERROR(INDEX(SEMANAS!$K$6:$K$71,MATCH($B1435,SEMANAS!$B$6:$B$71,0)),0)</f>
        <v>147</v>
      </c>
      <c r="AD1435" s="19" t="n">
        <f aca="false">IF($AC1435&lt;=0,0,$AB1435/$AC1435)</f>
        <v>0.336099595393713</v>
      </c>
      <c r="AE1435" s="8" t="str">
        <f aca="false">IF($K1435="SEM CULTURA","SEM CULTURA",IF($AA1435&lt;=0,"DADO PENDENTE",IF($AD1435&gt;LIMITE_CRITICO,"INVIAVEL",IF($AD1435&gt;LIMITE_ATENCAO,"CRITICO",IF($AD1435&gt;LIMITE_CONFORTAVEL,"ATENCAO","OK")))))</f>
        <v>OK</v>
      </c>
      <c r="AF1435" s="8" t="str">
        <f aca="false">$B1435&amp;"|"&amp;TEXT($AD1435,"0.000000")</f>
        <v>44|0.336100</v>
      </c>
      <c r="AG1435" s="18" t="n">
        <f aca="false">IF($K1435="SEM CULTURA",0,$T1435*$H1435)</f>
        <v>3056.51194666667</v>
      </c>
      <c r="AH1435" s="18" t="n">
        <f aca="false">IF($K1435="SEM CULTURA",0,$V1435*$H1435)</f>
        <v>72.42144</v>
      </c>
      <c r="AI1435" s="18" t="n">
        <f aca="false">IF($K1435="SEM CULTURA",0,$W1435*$H1435)</f>
        <v>2984.09050666667</v>
      </c>
      <c r="AJ1435" s="18" t="n">
        <f aca="false">IF($K1435="SEM CULTURA",0,$S1435*$H1435)</f>
        <v>2904.816</v>
      </c>
      <c r="AK1435" s="8" t="str">
        <f aca="false">$E1435&amp;"|"&amp;TEXT($AD1435,"0.000000")</f>
        <v>PV 129|0.336100</v>
      </c>
    </row>
    <row r="1436" customFormat="false" ht="15" hidden="false" customHeight="false" outlineLevel="0" collapsed="false">
      <c r="B1436" s="16" t="n">
        <v>45</v>
      </c>
      <c r="C1436" s="17" t="n">
        <f aca="false">DATA_INICIO_SAFRA+($B1436-1)*DIAS_POR_SEMANA</f>
        <v>46573</v>
      </c>
      <c r="D1436" s="17" t="n">
        <f aca="false">$C1436+DIAS_POR_SEMANA-1</f>
        <v>46579</v>
      </c>
      <c r="E1436" s="15" t="s">
        <v>280</v>
      </c>
      <c r="F1436" s="8" t="str">
        <f aca="false">IFERROR(INDEX(CADASTRO_PIVOS!$C$6:$C$41,MATCH($E1436,CADASTRO_PIVOS!$B$6:$B$41,0)),"?")</f>
        <v>RM06</v>
      </c>
      <c r="G1436" s="8" t="str">
        <f aca="false">IFERROR(INDEX(CADASTRO_PIVOS!$D$6:$D$41,MATCH($E1436,CADASTRO_PIVOS!$B$6:$B$41,0)),"?")</f>
        <v>TR06</v>
      </c>
      <c r="H1436" s="20" t="n">
        <f aca="false">IFERROR(INDEX(CADASTRO_PIVOS!$E$6:$E$41,MATCH($E1436,CADASTRO_PIVOS!$B$6:$B$41,0)),0)</f>
        <v>99.48</v>
      </c>
      <c r="I1436" s="16" t="n">
        <f aca="false">IFERROR(SUMIFS(ROTACAO_RDM!$B$6:$B$71,ROTACAO_RDM!$D$6:$D$71,$E1436,ROTACAO_RDM!$I$6:$I$71,"&lt;="&amp;$C1436+INT(DIAS_POR_SEMANA/2),ROTACAO_RDM!$J$6:$J$71,"&gt;="&amp;$C1436+INT(DIAS_POR_SEMANA/2)),0)</f>
        <v>56</v>
      </c>
      <c r="J1436" s="16" t="n">
        <f aca="false">IFERROR(MATCH($I1436,ROTACAO_RDM!$B$6:$B$71,0),0)</f>
        <v>56</v>
      </c>
      <c r="K1436" s="8" t="str">
        <f aca="false">IF($J1436=0,"SEM CULTURA",INDEX(ROTACAO_RDM!$F$6:$F$71,$J1436))</f>
        <v>ALGODAO</v>
      </c>
      <c r="L1436" s="8" t="str">
        <f aca="false">IF($J1436=0,"",INDEX(ROTACAO_RDM!$G$6:$G$71,$J1436))</f>
        <v>DP 2111 B3RF</v>
      </c>
      <c r="M1436" s="17" t="n">
        <f aca="false">IF($J1436=0,"",INDEX(ROTACAO_RDM!$I$6:$I$71,$J1436))</f>
        <v>46426</v>
      </c>
      <c r="N1436" s="16" t="n">
        <f aca="false">IF($J1436=0,0,MAX(0,$C1436+INT(DIAS_POR_SEMANA/2)-INDEX(ROTACAO_RDM!$I$6:$I$71,$J1436)))</f>
        <v>150</v>
      </c>
      <c r="O1436" s="19" t="n">
        <f aca="false">IF($J1436=0,0,MIN(1,$N1436/MAX(1,INDEX(ROTACAO_RDM!$K$6:$K$71,$J1436))))</f>
        <v>0.833333333333333</v>
      </c>
      <c r="P1436" s="16" t="n">
        <f aca="false">IF($J1436=0,0,IFERROR(MATCH(INDEX(ROTACAO_RDM!$N$6:$N$71,$J1436),PARAMETROS_CULTURAS!$B$6:$B$28,0),0))</f>
        <v>4</v>
      </c>
      <c r="Q1436" s="8" t="str">
        <f aca="false">IF($P1436=0,"-",IF($O1436&lt;=INDEX(PARAMETROS_CULTURAS!$F$6:$F$28,$P1436),"INICIAL",IF($O1436&lt;=INDEX(PARAMETROS_CULTURAS!$F$6:$F$28,$P1436)+INDEX(PARAMETROS_CULTURAS!$G$6:$G$28,$P1436),"DESENVOLVIMENTO",IF($O1436&lt;=INDEX(PARAMETROS_CULTURAS!$F$6:$F$28,$P1436)+INDEX(PARAMETROS_CULTURAS!$G$6:$G$28,$P1436)+INDEX(PARAMETROS_CULTURAS!$H$6:$H$28,$P1436),"MEDIA","FINAL"))))</f>
        <v>FINAL</v>
      </c>
      <c r="R1436" s="24" t="n">
        <f aca="false">IF($P1436=0,0,IF($O1436&lt;=INDEX(PARAMETROS_CULTURAS!$F$6:$F$28,$P1436),INDEX(PARAMETROS_CULTURAS!$K$6:$K$28,$P1436),IF($O1436&lt;=INDEX(PARAMETROS_CULTURAS!$F$6:$F$28,$P1436)+INDEX(PARAMETROS_CULTURAS!$G$6:$G$28,$P1436),INDEX(PARAMETROS_CULTURAS!$K$6:$K$28,$P1436)+(INDEX(PARAMETROS_CULTURAS!$L$6:$L$28,$P1436)-INDEX(PARAMETROS_CULTURAS!$K$6:$K$28,$P1436))*($O1436-INDEX(PARAMETROS_CULTURAS!$F$6:$F$28,$P1436))/MAX(INDEX(PARAMETROS_CULTURAS!$G$6:$G$28,$P1436),0.0001),IF($O1436&lt;=INDEX(PARAMETROS_CULTURAS!$F$6:$F$28,$P1436)+INDEX(PARAMETROS_CULTURAS!$G$6:$G$28,$P1436)+INDEX(PARAMETROS_CULTURAS!$H$6:$H$28,$P1436),INDEX(PARAMETROS_CULTURAS!$L$6:$L$28,$P1436),INDEX(PARAMETROS_CULTURAS!$L$6:$L$28,$P1436)+(INDEX(PARAMETROS_CULTURAS!$M$6:$M$28,$P1436)-INDEX(PARAMETROS_CULTURAS!$L$6:$L$28,$P1436))*($O1436-INDEX(PARAMETROS_CULTURAS!$F$6:$F$28,$P1436)-INDEX(PARAMETROS_CULTURAS!$G$6:$G$28,$P1436)-INDEX(PARAMETROS_CULTURAS!$H$6:$H$28,$P1436))/MAX(INDEX(PARAMETROS_CULTURAS!$I$6:$I$28,$P1436),0.0001)))))</f>
        <v>0.966666666666667</v>
      </c>
      <c r="S1436" s="18" t="n">
        <f aca="false">IFERROR(INDEX(SEMANAS!$H$6:$H$71,MATCH($B1436,SEMANAS!$B$6:$B$71,0)),0)</f>
        <v>30.1</v>
      </c>
      <c r="T1436" s="18" t="n">
        <f aca="false">$R1436*$S1436</f>
        <v>29.0966666666667</v>
      </c>
      <c r="U1436" s="18" t="n">
        <f aca="false">IFERROR(INDEX(SEMANAS!$I$6:$I$71,MATCH($B1436,SEMANAS!$B$6:$B$71,0)),0)</f>
        <v>0.7</v>
      </c>
      <c r="V1436" s="18" t="n">
        <f aca="false">IFERROR(INDEX(SEMANAS!$J$6:$J$71,MATCH($B1436,SEMANAS!$B$6:$B$71,0)),0)</f>
        <v>0.56</v>
      </c>
      <c r="W1436" s="18" t="n">
        <f aca="false">MAX(0,$T1436-$V1436)</f>
        <v>28.5366666666667</v>
      </c>
      <c r="X1436" s="19" t="n">
        <f aca="false">IFERROR(INDEX(CADASTRO_PIVOS!$K$6:$K$41,MATCH($E1436,CADASTRO_PIVOS!$B$6:$B$41,0)),EFICIENCIA_PADRAO)</f>
        <v>0.85</v>
      </c>
      <c r="Y1436" s="18" t="n">
        <f aca="false">IF($X1436&lt;=0,0,$W1436/$X1436)</f>
        <v>33.5725490196078</v>
      </c>
      <c r="Z1436" s="16" t="n">
        <f aca="false">$Y1436*$H1436*MM_PARA_M3_HA</f>
        <v>33397.9717647059</v>
      </c>
      <c r="AA1436" s="18" t="n">
        <f aca="false">IFERROR(INDEX(CADASTRO_PIVOS!$I$6:$I$41,MATCH($E1436,CADASTRO_PIVOS!$B$6:$B$41,0)),0)</f>
        <v>710.571428571429</v>
      </c>
      <c r="AB1436" s="18" t="n">
        <f aca="false">IF($Z1436&lt;=0,0,$Z1436/$AA1436)</f>
        <v>47.001568627451</v>
      </c>
      <c r="AC1436" s="16" t="n">
        <f aca="false">IFERROR(INDEX(SEMANAS!$K$6:$K$71,MATCH($B1436,SEMANAS!$B$6:$B$71,0)),0)</f>
        <v>147</v>
      </c>
      <c r="AD1436" s="19" t="n">
        <f aca="false">IF($AC1436&lt;=0,0,$AB1436/$AC1436)</f>
        <v>0.319738562091503</v>
      </c>
      <c r="AE1436" s="8" t="str">
        <f aca="false">IF($K1436="SEM CULTURA","SEM CULTURA",IF($AA1436&lt;=0,"DADO PENDENTE",IF($AD1436&gt;LIMITE_CRITICO,"INVIAVEL",IF($AD1436&gt;LIMITE_ATENCAO,"CRITICO",IF($AD1436&gt;LIMITE_CONFORTAVEL,"ATENCAO","OK")))))</f>
        <v>OK</v>
      </c>
      <c r="AF1436" s="8" t="str">
        <f aca="false">$B1436&amp;"|"&amp;TEXT($AD1436,"0.000000")</f>
        <v>45|0.319739</v>
      </c>
      <c r="AG1436" s="18" t="n">
        <f aca="false">IF($K1436="SEM CULTURA",0,$T1436*$H1436)</f>
        <v>2894.5364</v>
      </c>
      <c r="AH1436" s="18" t="n">
        <f aca="false">IF($K1436="SEM CULTURA",0,$V1436*$H1436)</f>
        <v>55.7088</v>
      </c>
      <c r="AI1436" s="18" t="n">
        <f aca="false">IF($K1436="SEM CULTURA",0,$W1436*$H1436)</f>
        <v>2838.8276</v>
      </c>
      <c r="AJ1436" s="18" t="n">
        <f aca="false">IF($K1436="SEM CULTURA",0,$S1436*$H1436)</f>
        <v>2994.348</v>
      </c>
      <c r="AK1436" s="8" t="str">
        <f aca="false">$E1436&amp;"|"&amp;TEXT($AD1436,"0.000000")</f>
        <v>PV 129|0.319739</v>
      </c>
    </row>
    <row r="1437" customFormat="false" ht="15" hidden="false" customHeight="false" outlineLevel="0" collapsed="false">
      <c r="B1437" s="16" t="n">
        <v>46</v>
      </c>
      <c r="C1437" s="17" t="n">
        <f aca="false">DATA_INICIO_SAFRA+($B1437-1)*DIAS_POR_SEMANA</f>
        <v>46580</v>
      </c>
      <c r="D1437" s="17" t="n">
        <f aca="false">$C1437+DIAS_POR_SEMANA-1</f>
        <v>46586</v>
      </c>
      <c r="E1437" s="15" t="s">
        <v>280</v>
      </c>
      <c r="F1437" s="8" t="str">
        <f aca="false">IFERROR(INDEX(CADASTRO_PIVOS!$C$6:$C$41,MATCH($E1437,CADASTRO_PIVOS!$B$6:$B$41,0)),"?")</f>
        <v>RM06</v>
      </c>
      <c r="G1437" s="8" t="str">
        <f aca="false">IFERROR(INDEX(CADASTRO_PIVOS!$D$6:$D$41,MATCH($E1437,CADASTRO_PIVOS!$B$6:$B$41,0)),"?")</f>
        <v>TR06</v>
      </c>
      <c r="H1437" s="20" t="n">
        <f aca="false">IFERROR(INDEX(CADASTRO_PIVOS!$E$6:$E$41,MATCH($E1437,CADASTRO_PIVOS!$B$6:$B$41,0)),0)</f>
        <v>99.48</v>
      </c>
      <c r="I1437" s="16" t="n">
        <f aca="false">IFERROR(SUMIFS(ROTACAO_RDM!$B$6:$B$71,ROTACAO_RDM!$D$6:$D$71,$E1437,ROTACAO_RDM!$I$6:$I$71,"&lt;="&amp;$C1437+INT(DIAS_POR_SEMANA/2),ROTACAO_RDM!$J$6:$J$71,"&gt;="&amp;$C1437+INT(DIAS_POR_SEMANA/2)),0)</f>
        <v>56</v>
      </c>
      <c r="J1437" s="16" t="n">
        <f aca="false">IFERROR(MATCH($I1437,ROTACAO_RDM!$B$6:$B$71,0),0)</f>
        <v>56</v>
      </c>
      <c r="K1437" s="8" t="str">
        <f aca="false">IF($J1437=0,"SEM CULTURA",INDEX(ROTACAO_RDM!$F$6:$F$71,$J1437))</f>
        <v>ALGODAO</v>
      </c>
      <c r="L1437" s="8" t="str">
        <f aca="false">IF($J1437=0,"",INDEX(ROTACAO_RDM!$G$6:$G$71,$J1437))</f>
        <v>DP 2111 B3RF</v>
      </c>
      <c r="M1437" s="17" t="n">
        <f aca="false">IF($J1437=0,"",INDEX(ROTACAO_RDM!$I$6:$I$71,$J1437))</f>
        <v>46426</v>
      </c>
      <c r="N1437" s="16" t="n">
        <f aca="false">IF($J1437=0,0,MAX(0,$C1437+INT(DIAS_POR_SEMANA/2)-INDEX(ROTACAO_RDM!$I$6:$I$71,$J1437)))</f>
        <v>157</v>
      </c>
      <c r="O1437" s="19" t="n">
        <f aca="false">IF($J1437=0,0,MIN(1,$N1437/MAX(1,INDEX(ROTACAO_RDM!$K$6:$K$71,$J1437))))</f>
        <v>0.872222222222222</v>
      </c>
      <c r="P1437" s="16" t="n">
        <f aca="false">IF($J1437=0,0,IFERROR(MATCH(INDEX(ROTACAO_RDM!$N$6:$N$71,$J1437),PARAMETROS_CULTURAS!$B$6:$B$28,0),0))</f>
        <v>4</v>
      </c>
      <c r="Q1437" s="8" t="str">
        <f aca="false">IF($P1437=0,"-",IF($O1437&lt;=INDEX(PARAMETROS_CULTURAS!$F$6:$F$28,$P1437),"INICIAL",IF($O1437&lt;=INDEX(PARAMETROS_CULTURAS!$F$6:$F$28,$P1437)+INDEX(PARAMETROS_CULTURAS!$G$6:$G$28,$P1437),"DESENVOLVIMENTO",IF($O1437&lt;=INDEX(PARAMETROS_CULTURAS!$F$6:$F$28,$P1437)+INDEX(PARAMETROS_CULTURAS!$G$6:$G$28,$P1437)+INDEX(PARAMETROS_CULTURAS!$H$6:$H$28,$P1437),"MEDIA","FINAL"))))</f>
        <v>FINAL</v>
      </c>
      <c r="R1437" s="24" t="n">
        <f aca="false">IF($P1437=0,0,IF($O1437&lt;=INDEX(PARAMETROS_CULTURAS!$F$6:$F$28,$P1437),INDEX(PARAMETROS_CULTURAS!$K$6:$K$28,$P1437),IF($O1437&lt;=INDEX(PARAMETROS_CULTURAS!$F$6:$F$28,$P1437)+INDEX(PARAMETROS_CULTURAS!$G$6:$G$28,$P1437),INDEX(PARAMETROS_CULTURAS!$K$6:$K$28,$P1437)+(INDEX(PARAMETROS_CULTURAS!$L$6:$L$28,$P1437)-INDEX(PARAMETROS_CULTURAS!$K$6:$K$28,$P1437))*($O1437-INDEX(PARAMETROS_CULTURAS!$F$6:$F$28,$P1437))/MAX(INDEX(PARAMETROS_CULTURAS!$G$6:$G$28,$P1437),0.0001),IF($O1437&lt;=INDEX(PARAMETROS_CULTURAS!$F$6:$F$28,$P1437)+INDEX(PARAMETROS_CULTURAS!$G$6:$G$28,$P1437)+INDEX(PARAMETROS_CULTURAS!$H$6:$H$28,$P1437),INDEX(PARAMETROS_CULTURAS!$L$6:$L$28,$P1437),INDEX(PARAMETROS_CULTURAS!$L$6:$L$28,$P1437)+(INDEX(PARAMETROS_CULTURAS!$M$6:$M$28,$P1437)-INDEX(PARAMETROS_CULTURAS!$L$6:$L$28,$P1437))*($O1437-INDEX(PARAMETROS_CULTURAS!$F$6:$F$28,$P1437)-INDEX(PARAMETROS_CULTURAS!$G$6:$G$28,$P1437)-INDEX(PARAMETROS_CULTURAS!$H$6:$H$28,$P1437))/MAX(INDEX(PARAMETROS_CULTURAS!$I$6:$I$28,$P1437),0.0001)))))</f>
        <v>0.881111111111111</v>
      </c>
      <c r="S1437" s="18" t="n">
        <f aca="false">IFERROR(INDEX(SEMANAS!$H$6:$H$71,MATCH($B1437,SEMANAS!$B$6:$B$71,0)),0)</f>
        <v>30.1</v>
      </c>
      <c r="T1437" s="18" t="n">
        <f aca="false">$R1437*$S1437</f>
        <v>26.5214444444444</v>
      </c>
      <c r="U1437" s="18" t="n">
        <f aca="false">IFERROR(INDEX(SEMANAS!$I$6:$I$71,MATCH($B1437,SEMANAS!$B$6:$B$71,0)),0)</f>
        <v>0.7</v>
      </c>
      <c r="V1437" s="18" t="n">
        <f aca="false">IFERROR(INDEX(SEMANAS!$J$6:$J$71,MATCH($B1437,SEMANAS!$B$6:$B$71,0)),0)</f>
        <v>0.56</v>
      </c>
      <c r="W1437" s="18" t="n">
        <f aca="false">MAX(0,$T1437-$V1437)</f>
        <v>25.9614444444444</v>
      </c>
      <c r="X1437" s="19" t="n">
        <f aca="false">IFERROR(INDEX(CADASTRO_PIVOS!$K$6:$K$41,MATCH($E1437,CADASTRO_PIVOS!$B$6:$B$41,0)),EFICIENCIA_PADRAO)</f>
        <v>0.85</v>
      </c>
      <c r="Y1437" s="18" t="n">
        <f aca="false">IF($X1437&lt;=0,0,$W1437/$X1437)</f>
        <v>30.5428758169935</v>
      </c>
      <c r="Z1437" s="16" t="n">
        <f aca="false">$Y1437*$H1437*MM_PARA_M3_HA</f>
        <v>30384.0528627451</v>
      </c>
      <c r="AA1437" s="18" t="n">
        <f aca="false">IFERROR(INDEX(CADASTRO_PIVOS!$I$6:$I$41,MATCH($E1437,CADASTRO_PIVOS!$B$6:$B$41,0)),0)</f>
        <v>710.571428571429</v>
      </c>
      <c r="AB1437" s="18" t="n">
        <f aca="false">IF($Z1437&lt;=0,0,$Z1437/$AA1437)</f>
        <v>42.7600261437909</v>
      </c>
      <c r="AC1437" s="16" t="n">
        <f aca="false">IFERROR(INDEX(SEMANAS!$K$6:$K$71,MATCH($B1437,SEMANAS!$B$6:$B$71,0)),0)</f>
        <v>147</v>
      </c>
      <c r="AD1437" s="19" t="n">
        <f aca="false">IF($AC1437&lt;=0,0,$AB1437/$AC1437)</f>
        <v>0.290884531590414</v>
      </c>
      <c r="AE1437" s="8" t="str">
        <f aca="false">IF($K1437="SEM CULTURA","SEM CULTURA",IF($AA1437&lt;=0,"DADO PENDENTE",IF($AD1437&gt;LIMITE_CRITICO,"INVIAVEL",IF($AD1437&gt;LIMITE_ATENCAO,"CRITICO",IF($AD1437&gt;LIMITE_CONFORTAVEL,"ATENCAO","OK")))))</f>
        <v>OK</v>
      </c>
      <c r="AF1437" s="8" t="str">
        <f aca="false">$B1437&amp;"|"&amp;TEXT($AD1437,"0.000000")</f>
        <v>46|0.290885</v>
      </c>
      <c r="AG1437" s="18" t="n">
        <f aca="false">IF($K1437="SEM CULTURA",0,$T1437*$H1437)</f>
        <v>2638.35329333333</v>
      </c>
      <c r="AH1437" s="18" t="n">
        <f aca="false">IF($K1437="SEM CULTURA",0,$V1437*$H1437)</f>
        <v>55.7088</v>
      </c>
      <c r="AI1437" s="18" t="n">
        <f aca="false">IF($K1437="SEM CULTURA",0,$W1437*$H1437)</f>
        <v>2582.64449333333</v>
      </c>
      <c r="AJ1437" s="18" t="n">
        <f aca="false">IF($K1437="SEM CULTURA",0,$S1437*$H1437)</f>
        <v>2994.348</v>
      </c>
      <c r="AK1437" s="8" t="str">
        <f aca="false">$E1437&amp;"|"&amp;TEXT($AD1437,"0.000000")</f>
        <v>PV 129|0.290885</v>
      </c>
    </row>
    <row r="1438" customFormat="false" ht="15" hidden="false" customHeight="false" outlineLevel="0" collapsed="false">
      <c r="B1438" s="16" t="n">
        <v>47</v>
      </c>
      <c r="C1438" s="17" t="n">
        <f aca="false">DATA_INICIO_SAFRA+($B1438-1)*DIAS_POR_SEMANA</f>
        <v>46587</v>
      </c>
      <c r="D1438" s="17" t="n">
        <f aca="false">$C1438+DIAS_POR_SEMANA-1</f>
        <v>46593</v>
      </c>
      <c r="E1438" s="15" t="s">
        <v>280</v>
      </c>
      <c r="F1438" s="8" t="str">
        <f aca="false">IFERROR(INDEX(CADASTRO_PIVOS!$C$6:$C$41,MATCH($E1438,CADASTRO_PIVOS!$B$6:$B$41,0)),"?")</f>
        <v>RM06</v>
      </c>
      <c r="G1438" s="8" t="str">
        <f aca="false">IFERROR(INDEX(CADASTRO_PIVOS!$D$6:$D$41,MATCH($E1438,CADASTRO_PIVOS!$B$6:$B$41,0)),"?")</f>
        <v>TR06</v>
      </c>
      <c r="H1438" s="20" t="n">
        <f aca="false">IFERROR(INDEX(CADASTRO_PIVOS!$E$6:$E$41,MATCH($E1438,CADASTRO_PIVOS!$B$6:$B$41,0)),0)</f>
        <v>99.48</v>
      </c>
      <c r="I1438" s="16" t="n">
        <f aca="false">IFERROR(SUMIFS(ROTACAO_RDM!$B$6:$B$71,ROTACAO_RDM!$D$6:$D$71,$E1438,ROTACAO_RDM!$I$6:$I$71,"&lt;="&amp;$C1438+INT(DIAS_POR_SEMANA/2),ROTACAO_RDM!$J$6:$J$71,"&gt;="&amp;$C1438+INT(DIAS_POR_SEMANA/2)),0)</f>
        <v>56</v>
      </c>
      <c r="J1438" s="16" t="n">
        <f aca="false">IFERROR(MATCH($I1438,ROTACAO_RDM!$B$6:$B$71,0),0)</f>
        <v>56</v>
      </c>
      <c r="K1438" s="8" t="str">
        <f aca="false">IF($J1438=0,"SEM CULTURA",INDEX(ROTACAO_RDM!$F$6:$F$71,$J1438))</f>
        <v>ALGODAO</v>
      </c>
      <c r="L1438" s="8" t="str">
        <f aca="false">IF($J1438=0,"",INDEX(ROTACAO_RDM!$G$6:$G$71,$J1438))</f>
        <v>DP 2111 B3RF</v>
      </c>
      <c r="M1438" s="17" t="n">
        <f aca="false">IF($J1438=0,"",INDEX(ROTACAO_RDM!$I$6:$I$71,$J1438))</f>
        <v>46426</v>
      </c>
      <c r="N1438" s="16" t="n">
        <f aca="false">IF($J1438=0,0,MAX(0,$C1438+INT(DIAS_POR_SEMANA/2)-INDEX(ROTACAO_RDM!$I$6:$I$71,$J1438)))</f>
        <v>164</v>
      </c>
      <c r="O1438" s="19" t="n">
        <f aca="false">IF($J1438=0,0,MIN(1,$N1438/MAX(1,INDEX(ROTACAO_RDM!$K$6:$K$71,$J1438))))</f>
        <v>0.911111111111111</v>
      </c>
      <c r="P1438" s="16" t="n">
        <f aca="false">IF($J1438=0,0,IFERROR(MATCH(INDEX(ROTACAO_RDM!$N$6:$N$71,$J1438),PARAMETROS_CULTURAS!$B$6:$B$28,0),0))</f>
        <v>4</v>
      </c>
      <c r="Q1438" s="8" t="str">
        <f aca="false">IF($P1438=0,"-",IF($O1438&lt;=INDEX(PARAMETROS_CULTURAS!$F$6:$F$28,$P1438),"INICIAL",IF($O1438&lt;=INDEX(PARAMETROS_CULTURAS!$F$6:$F$28,$P1438)+INDEX(PARAMETROS_CULTURAS!$G$6:$G$28,$P1438),"DESENVOLVIMENTO",IF($O1438&lt;=INDEX(PARAMETROS_CULTURAS!$F$6:$F$28,$P1438)+INDEX(PARAMETROS_CULTURAS!$G$6:$G$28,$P1438)+INDEX(PARAMETROS_CULTURAS!$H$6:$H$28,$P1438),"MEDIA","FINAL"))))</f>
        <v>FINAL</v>
      </c>
      <c r="R1438" s="24" t="n">
        <f aca="false">IF($P1438=0,0,IF($O1438&lt;=INDEX(PARAMETROS_CULTURAS!$F$6:$F$28,$P1438),INDEX(PARAMETROS_CULTURAS!$K$6:$K$28,$P1438),IF($O1438&lt;=INDEX(PARAMETROS_CULTURAS!$F$6:$F$28,$P1438)+INDEX(PARAMETROS_CULTURAS!$G$6:$G$28,$P1438),INDEX(PARAMETROS_CULTURAS!$K$6:$K$28,$P1438)+(INDEX(PARAMETROS_CULTURAS!$L$6:$L$28,$P1438)-INDEX(PARAMETROS_CULTURAS!$K$6:$K$28,$P1438))*($O1438-INDEX(PARAMETROS_CULTURAS!$F$6:$F$28,$P1438))/MAX(INDEX(PARAMETROS_CULTURAS!$G$6:$G$28,$P1438),0.0001),IF($O1438&lt;=INDEX(PARAMETROS_CULTURAS!$F$6:$F$28,$P1438)+INDEX(PARAMETROS_CULTURAS!$G$6:$G$28,$P1438)+INDEX(PARAMETROS_CULTURAS!$H$6:$H$28,$P1438),INDEX(PARAMETROS_CULTURAS!$L$6:$L$28,$P1438),INDEX(PARAMETROS_CULTURAS!$L$6:$L$28,$P1438)+(INDEX(PARAMETROS_CULTURAS!$M$6:$M$28,$P1438)-INDEX(PARAMETROS_CULTURAS!$L$6:$L$28,$P1438))*($O1438-INDEX(PARAMETROS_CULTURAS!$F$6:$F$28,$P1438)-INDEX(PARAMETROS_CULTURAS!$G$6:$G$28,$P1438)-INDEX(PARAMETROS_CULTURAS!$H$6:$H$28,$P1438))/MAX(INDEX(PARAMETROS_CULTURAS!$I$6:$I$28,$P1438),0.0001)))))</f>
        <v>0.795555555555556</v>
      </c>
      <c r="S1438" s="18" t="n">
        <f aca="false">IFERROR(INDEX(SEMANAS!$H$6:$H$71,MATCH($B1438,SEMANAS!$B$6:$B$71,0)),0)</f>
        <v>30.1</v>
      </c>
      <c r="T1438" s="18" t="n">
        <f aca="false">$R1438*$S1438</f>
        <v>23.9462222222222</v>
      </c>
      <c r="U1438" s="18" t="n">
        <f aca="false">IFERROR(INDEX(SEMANAS!$I$6:$I$71,MATCH($B1438,SEMANAS!$B$6:$B$71,0)),0)</f>
        <v>0.7</v>
      </c>
      <c r="V1438" s="18" t="n">
        <f aca="false">IFERROR(INDEX(SEMANAS!$J$6:$J$71,MATCH($B1438,SEMANAS!$B$6:$B$71,0)),0)</f>
        <v>0.56</v>
      </c>
      <c r="W1438" s="18" t="n">
        <f aca="false">MAX(0,$T1438-$V1438)</f>
        <v>23.3862222222222</v>
      </c>
      <c r="X1438" s="19" t="n">
        <f aca="false">IFERROR(INDEX(CADASTRO_PIVOS!$K$6:$K$41,MATCH($E1438,CADASTRO_PIVOS!$B$6:$B$41,0)),EFICIENCIA_PADRAO)</f>
        <v>0.85</v>
      </c>
      <c r="Y1438" s="18" t="n">
        <f aca="false">IF($X1438&lt;=0,0,$W1438/$X1438)</f>
        <v>27.5132026143791</v>
      </c>
      <c r="Z1438" s="16" t="n">
        <f aca="false">$Y1438*$H1438*MM_PARA_M3_HA</f>
        <v>27370.1339607843</v>
      </c>
      <c r="AA1438" s="18" t="n">
        <f aca="false">IFERROR(INDEX(CADASTRO_PIVOS!$I$6:$I$41,MATCH($E1438,CADASTRO_PIVOS!$B$6:$B$41,0)),0)</f>
        <v>710.571428571429</v>
      </c>
      <c r="AB1438" s="18" t="n">
        <f aca="false">IF($Z1438&lt;=0,0,$Z1438/$AA1438)</f>
        <v>38.5184836601307</v>
      </c>
      <c r="AC1438" s="16" t="n">
        <f aca="false">IFERROR(INDEX(SEMANAS!$K$6:$K$71,MATCH($B1438,SEMANAS!$B$6:$B$71,0)),0)</f>
        <v>147</v>
      </c>
      <c r="AD1438" s="19" t="n">
        <f aca="false">IF($AC1438&lt;=0,0,$AB1438/$AC1438)</f>
        <v>0.262030501089325</v>
      </c>
      <c r="AE1438" s="8" t="str">
        <f aca="false">IF($K1438="SEM CULTURA","SEM CULTURA",IF($AA1438&lt;=0,"DADO PENDENTE",IF($AD1438&gt;LIMITE_CRITICO,"INVIAVEL",IF($AD1438&gt;LIMITE_ATENCAO,"CRITICO",IF($AD1438&gt;LIMITE_CONFORTAVEL,"ATENCAO","OK")))))</f>
        <v>OK</v>
      </c>
      <c r="AF1438" s="8" t="str">
        <f aca="false">$B1438&amp;"|"&amp;TEXT($AD1438,"0.000000")</f>
        <v>47|0.262031</v>
      </c>
      <c r="AG1438" s="18" t="n">
        <f aca="false">IF($K1438="SEM CULTURA",0,$T1438*$H1438)</f>
        <v>2382.17018666667</v>
      </c>
      <c r="AH1438" s="18" t="n">
        <f aca="false">IF($K1438="SEM CULTURA",0,$V1438*$H1438)</f>
        <v>55.7088</v>
      </c>
      <c r="AI1438" s="18" t="n">
        <f aca="false">IF($K1438="SEM CULTURA",0,$W1438*$H1438)</f>
        <v>2326.46138666667</v>
      </c>
      <c r="AJ1438" s="18" t="n">
        <f aca="false">IF($K1438="SEM CULTURA",0,$S1438*$H1438)</f>
        <v>2994.348</v>
      </c>
      <c r="AK1438" s="8" t="str">
        <f aca="false">$E1438&amp;"|"&amp;TEXT($AD1438,"0.000000")</f>
        <v>PV 129|0.262031</v>
      </c>
    </row>
    <row r="1439" customFormat="false" ht="15" hidden="false" customHeight="false" outlineLevel="0" collapsed="false">
      <c r="B1439" s="16" t="n">
        <v>48</v>
      </c>
      <c r="C1439" s="17" t="n">
        <f aca="false">DATA_INICIO_SAFRA+($B1439-1)*DIAS_POR_SEMANA</f>
        <v>46594</v>
      </c>
      <c r="D1439" s="17" t="n">
        <f aca="false">$C1439+DIAS_POR_SEMANA-1</f>
        <v>46600</v>
      </c>
      <c r="E1439" s="15" t="s">
        <v>280</v>
      </c>
      <c r="F1439" s="8" t="str">
        <f aca="false">IFERROR(INDEX(CADASTRO_PIVOS!$C$6:$C$41,MATCH($E1439,CADASTRO_PIVOS!$B$6:$B$41,0)),"?")</f>
        <v>RM06</v>
      </c>
      <c r="G1439" s="8" t="str">
        <f aca="false">IFERROR(INDEX(CADASTRO_PIVOS!$D$6:$D$41,MATCH($E1439,CADASTRO_PIVOS!$B$6:$B$41,0)),"?")</f>
        <v>TR06</v>
      </c>
      <c r="H1439" s="20" t="n">
        <f aca="false">IFERROR(INDEX(CADASTRO_PIVOS!$E$6:$E$41,MATCH($E1439,CADASTRO_PIVOS!$B$6:$B$41,0)),0)</f>
        <v>99.48</v>
      </c>
      <c r="I1439" s="16" t="n">
        <f aca="false">IFERROR(SUMIFS(ROTACAO_RDM!$B$6:$B$71,ROTACAO_RDM!$D$6:$D$71,$E1439,ROTACAO_RDM!$I$6:$I$71,"&lt;="&amp;$C1439+INT(DIAS_POR_SEMANA/2),ROTACAO_RDM!$J$6:$J$71,"&gt;="&amp;$C1439+INT(DIAS_POR_SEMANA/2)),0)</f>
        <v>56</v>
      </c>
      <c r="J1439" s="16" t="n">
        <f aca="false">IFERROR(MATCH($I1439,ROTACAO_RDM!$B$6:$B$71,0),0)</f>
        <v>56</v>
      </c>
      <c r="K1439" s="8" t="str">
        <f aca="false">IF($J1439=0,"SEM CULTURA",INDEX(ROTACAO_RDM!$F$6:$F$71,$J1439))</f>
        <v>ALGODAO</v>
      </c>
      <c r="L1439" s="8" t="str">
        <f aca="false">IF($J1439=0,"",INDEX(ROTACAO_RDM!$G$6:$G$71,$J1439))</f>
        <v>DP 2111 B3RF</v>
      </c>
      <c r="M1439" s="17" t="n">
        <f aca="false">IF($J1439=0,"",INDEX(ROTACAO_RDM!$I$6:$I$71,$J1439))</f>
        <v>46426</v>
      </c>
      <c r="N1439" s="16" t="n">
        <f aca="false">IF($J1439=0,0,MAX(0,$C1439+INT(DIAS_POR_SEMANA/2)-INDEX(ROTACAO_RDM!$I$6:$I$71,$J1439)))</f>
        <v>171</v>
      </c>
      <c r="O1439" s="19" t="n">
        <f aca="false">IF($J1439=0,0,MIN(1,$N1439/MAX(1,INDEX(ROTACAO_RDM!$K$6:$K$71,$J1439))))</f>
        <v>0.95</v>
      </c>
      <c r="P1439" s="16" t="n">
        <f aca="false">IF($J1439=0,0,IFERROR(MATCH(INDEX(ROTACAO_RDM!$N$6:$N$71,$J1439),PARAMETROS_CULTURAS!$B$6:$B$28,0),0))</f>
        <v>4</v>
      </c>
      <c r="Q1439" s="8" t="str">
        <f aca="false">IF($P1439=0,"-",IF($O1439&lt;=INDEX(PARAMETROS_CULTURAS!$F$6:$F$28,$P1439),"INICIAL",IF($O1439&lt;=INDEX(PARAMETROS_CULTURAS!$F$6:$F$28,$P1439)+INDEX(PARAMETROS_CULTURAS!$G$6:$G$28,$P1439),"DESENVOLVIMENTO",IF($O1439&lt;=INDEX(PARAMETROS_CULTURAS!$F$6:$F$28,$P1439)+INDEX(PARAMETROS_CULTURAS!$G$6:$G$28,$P1439)+INDEX(PARAMETROS_CULTURAS!$H$6:$H$28,$P1439),"MEDIA","FINAL"))))</f>
        <v>FINAL</v>
      </c>
      <c r="R1439" s="24" t="n">
        <f aca="false">IF($P1439=0,0,IF($O1439&lt;=INDEX(PARAMETROS_CULTURAS!$F$6:$F$28,$P1439),INDEX(PARAMETROS_CULTURAS!$K$6:$K$28,$P1439),IF($O1439&lt;=INDEX(PARAMETROS_CULTURAS!$F$6:$F$28,$P1439)+INDEX(PARAMETROS_CULTURAS!$G$6:$G$28,$P1439),INDEX(PARAMETROS_CULTURAS!$K$6:$K$28,$P1439)+(INDEX(PARAMETROS_CULTURAS!$L$6:$L$28,$P1439)-INDEX(PARAMETROS_CULTURAS!$K$6:$K$28,$P1439))*($O1439-INDEX(PARAMETROS_CULTURAS!$F$6:$F$28,$P1439))/MAX(INDEX(PARAMETROS_CULTURAS!$G$6:$G$28,$P1439),0.0001),IF($O1439&lt;=INDEX(PARAMETROS_CULTURAS!$F$6:$F$28,$P1439)+INDEX(PARAMETROS_CULTURAS!$G$6:$G$28,$P1439)+INDEX(PARAMETROS_CULTURAS!$H$6:$H$28,$P1439),INDEX(PARAMETROS_CULTURAS!$L$6:$L$28,$P1439),INDEX(PARAMETROS_CULTURAS!$L$6:$L$28,$P1439)+(INDEX(PARAMETROS_CULTURAS!$M$6:$M$28,$P1439)-INDEX(PARAMETROS_CULTURAS!$L$6:$L$28,$P1439))*($O1439-INDEX(PARAMETROS_CULTURAS!$F$6:$F$28,$P1439)-INDEX(PARAMETROS_CULTURAS!$G$6:$G$28,$P1439)-INDEX(PARAMETROS_CULTURAS!$H$6:$H$28,$P1439))/MAX(INDEX(PARAMETROS_CULTURAS!$I$6:$I$28,$P1439),0.0001)))))</f>
        <v>0.71</v>
      </c>
      <c r="S1439" s="18" t="n">
        <f aca="false">IFERROR(INDEX(SEMANAS!$H$6:$H$71,MATCH($B1439,SEMANAS!$B$6:$B$71,0)),0)</f>
        <v>31</v>
      </c>
      <c r="T1439" s="18" t="n">
        <f aca="false">$R1439*$S1439</f>
        <v>22.01</v>
      </c>
      <c r="U1439" s="18" t="n">
        <f aca="false">IFERROR(INDEX(SEMANAS!$I$6:$I$71,MATCH($B1439,SEMANAS!$B$6:$B$71,0)),0)</f>
        <v>0.76</v>
      </c>
      <c r="V1439" s="18" t="n">
        <f aca="false">IFERROR(INDEX(SEMANAS!$J$6:$J$71,MATCH($B1439,SEMANAS!$B$6:$B$71,0)),0)</f>
        <v>0.608</v>
      </c>
      <c r="W1439" s="18" t="n">
        <f aca="false">MAX(0,$T1439-$V1439)</f>
        <v>21.402</v>
      </c>
      <c r="X1439" s="19" t="n">
        <f aca="false">IFERROR(INDEX(CADASTRO_PIVOS!$K$6:$K$41,MATCH($E1439,CADASTRO_PIVOS!$B$6:$B$41,0)),EFICIENCIA_PADRAO)</f>
        <v>0.85</v>
      </c>
      <c r="Y1439" s="18" t="n">
        <f aca="false">IF($X1439&lt;=0,0,$W1439/$X1439)</f>
        <v>25.1788235294118</v>
      </c>
      <c r="Z1439" s="16" t="n">
        <f aca="false">$Y1439*$H1439*MM_PARA_M3_HA</f>
        <v>25047.8936470588</v>
      </c>
      <c r="AA1439" s="18" t="n">
        <f aca="false">IFERROR(INDEX(CADASTRO_PIVOS!$I$6:$I$41,MATCH($E1439,CADASTRO_PIVOS!$B$6:$B$41,0)),0)</f>
        <v>710.571428571429</v>
      </c>
      <c r="AB1439" s="18" t="n">
        <f aca="false">IF($Z1439&lt;=0,0,$Z1439/$AA1439)</f>
        <v>35.2503529411765</v>
      </c>
      <c r="AC1439" s="16" t="n">
        <f aca="false">IFERROR(INDEX(SEMANAS!$K$6:$K$71,MATCH($B1439,SEMANAS!$B$6:$B$71,0)),0)</f>
        <v>147</v>
      </c>
      <c r="AD1439" s="19" t="n">
        <f aca="false">IF($AC1439&lt;=0,0,$AB1439/$AC1439)</f>
        <v>0.239798319327731</v>
      </c>
      <c r="AE1439" s="8" t="str">
        <f aca="false">IF($K1439="SEM CULTURA","SEM CULTURA",IF($AA1439&lt;=0,"DADO PENDENTE",IF($AD1439&gt;LIMITE_CRITICO,"INVIAVEL",IF($AD1439&gt;LIMITE_ATENCAO,"CRITICO",IF($AD1439&gt;LIMITE_CONFORTAVEL,"ATENCAO","OK")))))</f>
        <v>OK</v>
      </c>
      <c r="AF1439" s="8" t="str">
        <f aca="false">$B1439&amp;"|"&amp;TEXT($AD1439,"0.000000")</f>
        <v>48|0.239798</v>
      </c>
      <c r="AG1439" s="18" t="n">
        <f aca="false">IF($K1439="SEM CULTURA",0,$T1439*$H1439)</f>
        <v>2189.5548</v>
      </c>
      <c r="AH1439" s="18" t="n">
        <f aca="false">IF($K1439="SEM CULTURA",0,$V1439*$H1439)</f>
        <v>60.48384</v>
      </c>
      <c r="AI1439" s="18" t="n">
        <f aca="false">IF($K1439="SEM CULTURA",0,$W1439*$H1439)</f>
        <v>2129.07096</v>
      </c>
      <c r="AJ1439" s="18" t="n">
        <f aca="false">IF($K1439="SEM CULTURA",0,$S1439*$H1439)</f>
        <v>3083.88</v>
      </c>
      <c r="AK1439" s="8" t="str">
        <f aca="false">$E1439&amp;"|"&amp;TEXT($AD1439,"0.000000")</f>
        <v>PV 129|0.239798</v>
      </c>
    </row>
    <row r="1440" customFormat="false" ht="15" hidden="false" customHeight="false" outlineLevel="0" collapsed="false">
      <c r="B1440" s="16" t="n">
        <v>49</v>
      </c>
      <c r="C1440" s="17" t="n">
        <f aca="false">DATA_INICIO_SAFRA+($B1440-1)*DIAS_POR_SEMANA</f>
        <v>46601</v>
      </c>
      <c r="D1440" s="17" t="n">
        <f aca="false">$C1440+DIAS_POR_SEMANA-1</f>
        <v>46607</v>
      </c>
      <c r="E1440" s="15" t="s">
        <v>280</v>
      </c>
      <c r="F1440" s="8" t="str">
        <f aca="false">IFERROR(INDEX(CADASTRO_PIVOS!$C$6:$C$41,MATCH($E1440,CADASTRO_PIVOS!$B$6:$B$41,0)),"?")</f>
        <v>RM06</v>
      </c>
      <c r="G1440" s="8" t="str">
        <f aca="false">IFERROR(INDEX(CADASTRO_PIVOS!$D$6:$D$41,MATCH($E1440,CADASTRO_PIVOS!$B$6:$B$41,0)),"?")</f>
        <v>TR06</v>
      </c>
      <c r="H1440" s="20" t="n">
        <f aca="false">IFERROR(INDEX(CADASTRO_PIVOS!$E$6:$E$41,MATCH($E1440,CADASTRO_PIVOS!$B$6:$B$41,0)),0)</f>
        <v>99.48</v>
      </c>
      <c r="I1440" s="16" t="n">
        <f aca="false">IFERROR(SUMIFS(ROTACAO_RDM!$B$6:$B$71,ROTACAO_RDM!$D$6:$D$71,$E1440,ROTACAO_RDM!$I$6:$I$71,"&lt;="&amp;$C1440+INT(DIAS_POR_SEMANA/2),ROTACAO_RDM!$J$6:$J$71,"&gt;="&amp;$C1440+INT(DIAS_POR_SEMANA/2)),0)</f>
        <v>56</v>
      </c>
      <c r="J1440" s="16" t="n">
        <f aca="false">IFERROR(MATCH($I1440,ROTACAO_RDM!$B$6:$B$71,0),0)</f>
        <v>56</v>
      </c>
      <c r="K1440" s="8" t="str">
        <f aca="false">IF($J1440=0,"SEM CULTURA",INDEX(ROTACAO_RDM!$F$6:$F$71,$J1440))</f>
        <v>ALGODAO</v>
      </c>
      <c r="L1440" s="8" t="str">
        <f aca="false">IF($J1440=0,"",INDEX(ROTACAO_RDM!$G$6:$G$71,$J1440))</f>
        <v>DP 2111 B3RF</v>
      </c>
      <c r="M1440" s="17" t="n">
        <f aca="false">IF($J1440=0,"",INDEX(ROTACAO_RDM!$I$6:$I$71,$J1440))</f>
        <v>46426</v>
      </c>
      <c r="N1440" s="16" t="n">
        <f aca="false">IF($J1440=0,0,MAX(0,$C1440+INT(DIAS_POR_SEMANA/2)-INDEX(ROTACAO_RDM!$I$6:$I$71,$J1440)))</f>
        <v>178</v>
      </c>
      <c r="O1440" s="19" t="n">
        <f aca="false">IF($J1440=0,0,MIN(1,$N1440/MAX(1,INDEX(ROTACAO_RDM!$K$6:$K$71,$J1440))))</f>
        <v>0.988888888888889</v>
      </c>
      <c r="P1440" s="16" t="n">
        <f aca="false">IF($J1440=0,0,IFERROR(MATCH(INDEX(ROTACAO_RDM!$N$6:$N$71,$J1440),PARAMETROS_CULTURAS!$B$6:$B$28,0),0))</f>
        <v>4</v>
      </c>
      <c r="Q1440" s="8" t="str">
        <f aca="false">IF($P1440=0,"-",IF($O1440&lt;=INDEX(PARAMETROS_CULTURAS!$F$6:$F$28,$P1440),"INICIAL",IF($O1440&lt;=INDEX(PARAMETROS_CULTURAS!$F$6:$F$28,$P1440)+INDEX(PARAMETROS_CULTURAS!$G$6:$G$28,$P1440),"DESENVOLVIMENTO",IF($O1440&lt;=INDEX(PARAMETROS_CULTURAS!$F$6:$F$28,$P1440)+INDEX(PARAMETROS_CULTURAS!$G$6:$G$28,$P1440)+INDEX(PARAMETROS_CULTURAS!$H$6:$H$28,$P1440),"MEDIA","FINAL"))))</f>
        <v>FINAL</v>
      </c>
      <c r="R1440" s="24" t="n">
        <f aca="false">IF($P1440=0,0,IF($O1440&lt;=INDEX(PARAMETROS_CULTURAS!$F$6:$F$28,$P1440),INDEX(PARAMETROS_CULTURAS!$K$6:$K$28,$P1440),IF($O1440&lt;=INDEX(PARAMETROS_CULTURAS!$F$6:$F$28,$P1440)+INDEX(PARAMETROS_CULTURAS!$G$6:$G$28,$P1440),INDEX(PARAMETROS_CULTURAS!$K$6:$K$28,$P1440)+(INDEX(PARAMETROS_CULTURAS!$L$6:$L$28,$P1440)-INDEX(PARAMETROS_CULTURAS!$K$6:$K$28,$P1440))*($O1440-INDEX(PARAMETROS_CULTURAS!$F$6:$F$28,$P1440))/MAX(INDEX(PARAMETROS_CULTURAS!$G$6:$G$28,$P1440),0.0001),IF($O1440&lt;=INDEX(PARAMETROS_CULTURAS!$F$6:$F$28,$P1440)+INDEX(PARAMETROS_CULTURAS!$G$6:$G$28,$P1440)+INDEX(PARAMETROS_CULTURAS!$H$6:$H$28,$P1440),INDEX(PARAMETROS_CULTURAS!$L$6:$L$28,$P1440),INDEX(PARAMETROS_CULTURAS!$L$6:$L$28,$P1440)+(INDEX(PARAMETROS_CULTURAS!$M$6:$M$28,$P1440)-INDEX(PARAMETROS_CULTURAS!$L$6:$L$28,$P1440))*($O1440-INDEX(PARAMETROS_CULTURAS!$F$6:$F$28,$P1440)-INDEX(PARAMETROS_CULTURAS!$G$6:$G$28,$P1440)-INDEX(PARAMETROS_CULTURAS!$H$6:$H$28,$P1440))/MAX(INDEX(PARAMETROS_CULTURAS!$I$6:$I$28,$P1440),0.0001)))))</f>
        <v>0.624444444444445</v>
      </c>
      <c r="S1440" s="18" t="n">
        <f aca="false">IFERROR(INDEX(SEMANAS!$H$6:$H$71,MATCH($B1440,SEMANAS!$B$6:$B$71,0)),0)</f>
        <v>36.4</v>
      </c>
      <c r="T1440" s="18" t="n">
        <f aca="false">$R1440*$S1440</f>
        <v>22.7297777777778</v>
      </c>
      <c r="U1440" s="18" t="n">
        <f aca="false">IFERROR(INDEX(SEMANAS!$I$6:$I$71,MATCH($B1440,SEMANAS!$B$6:$B$71,0)),0)</f>
        <v>1.12</v>
      </c>
      <c r="V1440" s="18" t="n">
        <f aca="false">IFERROR(INDEX(SEMANAS!$J$6:$J$71,MATCH($B1440,SEMANAS!$B$6:$B$71,0)),0)</f>
        <v>0.896</v>
      </c>
      <c r="W1440" s="18" t="n">
        <f aca="false">MAX(0,$T1440-$V1440)</f>
        <v>21.8337777777778</v>
      </c>
      <c r="X1440" s="19" t="n">
        <f aca="false">IFERROR(INDEX(CADASTRO_PIVOS!$K$6:$K$41,MATCH($E1440,CADASTRO_PIVOS!$B$6:$B$41,0)),EFICIENCIA_PADRAO)</f>
        <v>0.85</v>
      </c>
      <c r="Y1440" s="18" t="n">
        <f aca="false">IF($X1440&lt;=0,0,$W1440/$X1440)</f>
        <v>25.6867973856209</v>
      </c>
      <c r="Z1440" s="16" t="n">
        <f aca="false">$Y1440*$H1440*MM_PARA_M3_HA</f>
        <v>25553.2260392157</v>
      </c>
      <c r="AA1440" s="18" t="n">
        <f aca="false">IFERROR(INDEX(CADASTRO_PIVOS!$I$6:$I$41,MATCH($E1440,CADASTRO_PIVOS!$B$6:$B$41,0)),0)</f>
        <v>710.571428571429</v>
      </c>
      <c r="AB1440" s="18" t="n">
        <f aca="false">IF($Z1440&lt;=0,0,$Z1440/$AA1440)</f>
        <v>35.9615163398693</v>
      </c>
      <c r="AC1440" s="16" t="n">
        <f aca="false">IFERROR(INDEX(SEMANAS!$K$6:$K$71,MATCH($B1440,SEMANAS!$B$6:$B$71,0)),0)</f>
        <v>147</v>
      </c>
      <c r="AD1440" s="19" t="n">
        <f aca="false">IF($AC1440&lt;=0,0,$AB1440/$AC1440)</f>
        <v>0.244636165577342</v>
      </c>
      <c r="AE1440" s="8" t="str">
        <f aca="false">IF($K1440="SEM CULTURA","SEM CULTURA",IF($AA1440&lt;=0,"DADO PENDENTE",IF($AD1440&gt;LIMITE_CRITICO,"INVIAVEL",IF($AD1440&gt;LIMITE_ATENCAO,"CRITICO",IF($AD1440&gt;LIMITE_CONFORTAVEL,"ATENCAO","OK")))))</f>
        <v>OK</v>
      </c>
      <c r="AF1440" s="8" t="str">
        <f aca="false">$B1440&amp;"|"&amp;TEXT($AD1440,"0.000000")</f>
        <v>49|0.244636</v>
      </c>
      <c r="AG1440" s="18" t="n">
        <f aca="false">IF($K1440="SEM CULTURA",0,$T1440*$H1440)</f>
        <v>2261.15829333333</v>
      </c>
      <c r="AH1440" s="18" t="n">
        <f aca="false">IF($K1440="SEM CULTURA",0,$V1440*$H1440)</f>
        <v>89.13408</v>
      </c>
      <c r="AI1440" s="18" t="n">
        <f aca="false">IF($K1440="SEM CULTURA",0,$W1440*$H1440)</f>
        <v>2172.02421333333</v>
      </c>
      <c r="AJ1440" s="18" t="n">
        <f aca="false">IF($K1440="SEM CULTURA",0,$S1440*$H1440)</f>
        <v>3621.072</v>
      </c>
      <c r="AK1440" s="8" t="str">
        <f aca="false">$E1440&amp;"|"&amp;TEXT($AD1440,"0.000000")</f>
        <v>PV 129|0.244636</v>
      </c>
    </row>
    <row r="1441" customFormat="false" ht="15" hidden="false" customHeight="false" outlineLevel="0" collapsed="false">
      <c r="B1441" s="16" t="n">
        <v>50</v>
      </c>
      <c r="C1441" s="17" t="n">
        <f aca="false">DATA_INICIO_SAFRA+($B1441-1)*DIAS_POR_SEMANA</f>
        <v>46608</v>
      </c>
      <c r="D1441" s="17" t="n">
        <f aca="false">$C1441+DIAS_POR_SEMANA-1</f>
        <v>46614</v>
      </c>
      <c r="E1441" s="15" t="s">
        <v>280</v>
      </c>
      <c r="F1441" s="8" t="str">
        <f aca="false">IFERROR(INDEX(CADASTRO_PIVOS!$C$6:$C$41,MATCH($E1441,CADASTRO_PIVOS!$B$6:$B$41,0)),"?")</f>
        <v>RM06</v>
      </c>
      <c r="G1441" s="8" t="str">
        <f aca="false">IFERROR(INDEX(CADASTRO_PIVOS!$D$6:$D$41,MATCH($E1441,CADASTRO_PIVOS!$B$6:$B$41,0)),"?")</f>
        <v>TR06</v>
      </c>
      <c r="H1441" s="20" t="n">
        <f aca="false">IFERROR(INDEX(CADASTRO_PIVOS!$E$6:$E$41,MATCH($E1441,CADASTRO_PIVOS!$B$6:$B$41,0)),0)</f>
        <v>99.48</v>
      </c>
      <c r="I1441" s="16" t="n">
        <f aca="false">IFERROR(SUMIFS(ROTACAO_RDM!$B$6:$B$71,ROTACAO_RDM!$D$6:$D$71,$E1441,ROTACAO_RDM!$I$6:$I$71,"&lt;="&amp;$C1441+INT(DIAS_POR_SEMANA/2),ROTACAO_RDM!$J$6:$J$71,"&gt;="&amp;$C1441+INT(DIAS_POR_SEMANA/2)),0)</f>
        <v>0</v>
      </c>
      <c r="J1441" s="16" t="n">
        <f aca="false">IFERROR(MATCH($I1441,ROTACAO_RDM!$B$6:$B$71,0),0)</f>
        <v>0</v>
      </c>
      <c r="K1441" s="8" t="str">
        <f aca="false">IF($J1441=0,"SEM CULTURA",INDEX(ROTACAO_RDM!$F$6:$F$71,$J1441))</f>
        <v>SEM CULTURA</v>
      </c>
      <c r="L1441" s="8" t="str">
        <f aca="false">IF($J1441=0,"",INDEX(ROTACAO_RDM!$G$6:$G$71,$J1441))</f>
        <v/>
      </c>
      <c r="M1441" s="17" t="str">
        <f aca="false">IF($J1441=0,"",INDEX(ROTACAO_RDM!$I$6:$I$71,$J1441))</f>
        <v/>
      </c>
      <c r="N1441" s="16" t="n">
        <f aca="false">IF($J1441=0,0,MAX(0,$C1441+INT(DIAS_POR_SEMANA/2)-INDEX(ROTACAO_RDM!$I$6:$I$71,$J1441)))</f>
        <v>0</v>
      </c>
      <c r="O1441" s="19" t="n">
        <f aca="false">IF($J1441=0,0,MIN(1,$N1441/MAX(1,INDEX(ROTACAO_RDM!$K$6:$K$71,$J1441))))</f>
        <v>0</v>
      </c>
      <c r="P1441" s="16" t="n">
        <f aca="false">IF($J1441=0,0,IFERROR(MATCH(INDEX(ROTACAO_RDM!$N$6:$N$71,$J1441),PARAMETROS_CULTURAS!$B$6:$B$28,0),0))</f>
        <v>0</v>
      </c>
      <c r="Q1441" s="8" t="str">
        <f aca="false">IF($P1441=0,"-",IF($O1441&lt;=INDEX(PARAMETROS_CULTURAS!$F$6:$F$28,$P1441),"INICIAL",IF($O1441&lt;=INDEX(PARAMETROS_CULTURAS!$F$6:$F$28,$P1441)+INDEX(PARAMETROS_CULTURAS!$G$6:$G$28,$P1441),"DESENVOLVIMENTO",IF($O1441&lt;=INDEX(PARAMETROS_CULTURAS!$F$6:$F$28,$P1441)+INDEX(PARAMETROS_CULTURAS!$G$6:$G$28,$P1441)+INDEX(PARAMETROS_CULTURAS!$H$6:$H$28,$P1441),"MEDIA","FINAL"))))</f>
        <v>-</v>
      </c>
      <c r="R1441" s="24" t="n">
        <f aca="false">IF($P1441=0,0,IF($O1441&lt;=INDEX(PARAMETROS_CULTURAS!$F$6:$F$28,$P1441),INDEX(PARAMETROS_CULTURAS!$K$6:$K$28,$P1441),IF($O1441&lt;=INDEX(PARAMETROS_CULTURAS!$F$6:$F$28,$P1441)+INDEX(PARAMETROS_CULTURAS!$G$6:$G$28,$P1441),INDEX(PARAMETROS_CULTURAS!$K$6:$K$28,$P1441)+(INDEX(PARAMETROS_CULTURAS!$L$6:$L$28,$P1441)-INDEX(PARAMETROS_CULTURAS!$K$6:$K$28,$P1441))*($O1441-INDEX(PARAMETROS_CULTURAS!$F$6:$F$28,$P1441))/MAX(INDEX(PARAMETROS_CULTURAS!$G$6:$G$28,$P1441),0.0001),IF($O1441&lt;=INDEX(PARAMETROS_CULTURAS!$F$6:$F$28,$P1441)+INDEX(PARAMETROS_CULTURAS!$G$6:$G$28,$P1441)+INDEX(PARAMETROS_CULTURAS!$H$6:$H$28,$P1441),INDEX(PARAMETROS_CULTURAS!$L$6:$L$28,$P1441),INDEX(PARAMETROS_CULTURAS!$L$6:$L$28,$P1441)+(INDEX(PARAMETROS_CULTURAS!$M$6:$M$28,$P1441)-INDEX(PARAMETROS_CULTURAS!$L$6:$L$28,$P1441))*($O1441-INDEX(PARAMETROS_CULTURAS!$F$6:$F$28,$P1441)-INDEX(PARAMETROS_CULTURAS!$G$6:$G$28,$P1441)-INDEX(PARAMETROS_CULTURAS!$H$6:$H$28,$P1441))/MAX(INDEX(PARAMETROS_CULTURAS!$I$6:$I$28,$P1441),0.0001)))))</f>
        <v>0</v>
      </c>
      <c r="S1441" s="18" t="n">
        <f aca="false">IFERROR(INDEX(SEMANAS!$H$6:$H$71,MATCH($B1441,SEMANAS!$B$6:$B$71,0)),0)</f>
        <v>36.4</v>
      </c>
      <c r="T1441" s="18" t="n">
        <f aca="false">$R1441*$S1441</f>
        <v>0</v>
      </c>
      <c r="U1441" s="18" t="n">
        <f aca="false">IFERROR(INDEX(SEMANAS!$I$6:$I$71,MATCH($B1441,SEMANAS!$B$6:$B$71,0)),0)</f>
        <v>1.12</v>
      </c>
      <c r="V1441" s="18" t="n">
        <f aca="false">IFERROR(INDEX(SEMANAS!$J$6:$J$71,MATCH($B1441,SEMANAS!$B$6:$B$71,0)),0)</f>
        <v>0.896</v>
      </c>
      <c r="W1441" s="18" t="n">
        <f aca="false">MAX(0,$T1441-$V1441)</f>
        <v>0</v>
      </c>
      <c r="X1441" s="19" t="n">
        <f aca="false">IFERROR(INDEX(CADASTRO_PIVOS!$K$6:$K$41,MATCH($E1441,CADASTRO_PIVOS!$B$6:$B$41,0)),EFICIENCIA_PADRAO)</f>
        <v>0.85</v>
      </c>
      <c r="Y1441" s="18" t="n">
        <f aca="false">IF($X1441&lt;=0,0,$W1441/$X1441)</f>
        <v>0</v>
      </c>
      <c r="Z1441" s="16" t="n">
        <f aca="false">$Y1441*$H1441*MM_PARA_M3_HA</f>
        <v>0</v>
      </c>
      <c r="AA1441" s="18" t="n">
        <f aca="false">IFERROR(INDEX(CADASTRO_PIVOS!$I$6:$I$41,MATCH($E1441,CADASTRO_PIVOS!$B$6:$B$41,0)),0)</f>
        <v>710.571428571429</v>
      </c>
      <c r="AB1441" s="18" t="n">
        <f aca="false">IF($Z1441&lt;=0,0,$Z1441/$AA1441)</f>
        <v>0</v>
      </c>
      <c r="AC1441" s="16" t="n">
        <f aca="false">IFERROR(INDEX(SEMANAS!$K$6:$K$71,MATCH($B1441,SEMANAS!$B$6:$B$71,0)),0)</f>
        <v>147</v>
      </c>
      <c r="AD1441" s="19" t="n">
        <f aca="false">IF($AC1441&lt;=0,0,$AB1441/$AC1441)</f>
        <v>0</v>
      </c>
      <c r="AE1441" s="8" t="str">
        <f aca="false">IF($K1441="SEM CULTURA","SEM CULTURA",IF($AA1441&lt;=0,"DADO PENDENTE",IF($AD1441&gt;LIMITE_CRITICO,"INVIAVEL",IF($AD1441&gt;LIMITE_ATENCAO,"CRITICO",IF($AD1441&gt;LIMITE_CONFORTAVEL,"ATENCAO","OK")))))</f>
        <v>SEM CULTURA</v>
      </c>
      <c r="AF1441" s="8" t="str">
        <f aca="false">$B1441&amp;"|"&amp;TEXT($AD1441,"0.000000")</f>
        <v>50|0.000000</v>
      </c>
      <c r="AG1441" s="18" t="n">
        <f aca="false">IF($K1441="SEM CULTURA",0,$T1441*$H1441)</f>
        <v>0</v>
      </c>
      <c r="AH1441" s="18" t="n">
        <f aca="false">IF($K1441="SEM CULTURA",0,$V1441*$H1441)</f>
        <v>0</v>
      </c>
      <c r="AI1441" s="18" t="n">
        <f aca="false">IF($K1441="SEM CULTURA",0,$W1441*$H1441)</f>
        <v>0</v>
      </c>
      <c r="AJ1441" s="18" t="n">
        <f aca="false">IF($K1441="SEM CULTURA",0,$S1441*$H1441)</f>
        <v>0</v>
      </c>
      <c r="AK1441" s="8" t="str">
        <f aca="false">$E1441&amp;"|"&amp;TEXT($AD1441,"0.000000")</f>
        <v>PV 129|0.000000</v>
      </c>
    </row>
    <row r="1442" customFormat="false" ht="15" hidden="false" customHeight="false" outlineLevel="0" collapsed="false">
      <c r="B1442" s="16" t="n">
        <v>51</v>
      </c>
      <c r="C1442" s="17" t="n">
        <f aca="false">DATA_INICIO_SAFRA+($B1442-1)*DIAS_POR_SEMANA</f>
        <v>46615</v>
      </c>
      <c r="D1442" s="17" t="n">
        <f aca="false">$C1442+DIAS_POR_SEMANA-1</f>
        <v>46621</v>
      </c>
      <c r="E1442" s="15" t="s">
        <v>280</v>
      </c>
      <c r="F1442" s="8" t="str">
        <f aca="false">IFERROR(INDEX(CADASTRO_PIVOS!$C$6:$C$41,MATCH($E1442,CADASTRO_PIVOS!$B$6:$B$41,0)),"?")</f>
        <v>RM06</v>
      </c>
      <c r="G1442" s="8" t="str">
        <f aca="false">IFERROR(INDEX(CADASTRO_PIVOS!$D$6:$D$41,MATCH($E1442,CADASTRO_PIVOS!$B$6:$B$41,0)),"?")</f>
        <v>TR06</v>
      </c>
      <c r="H1442" s="20" t="n">
        <f aca="false">IFERROR(INDEX(CADASTRO_PIVOS!$E$6:$E$41,MATCH($E1442,CADASTRO_PIVOS!$B$6:$B$41,0)),0)</f>
        <v>99.48</v>
      </c>
      <c r="I1442" s="16" t="n">
        <f aca="false">IFERROR(SUMIFS(ROTACAO_RDM!$B$6:$B$71,ROTACAO_RDM!$D$6:$D$71,$E1442,ROTACAO_RDM!$I$6:$I$71,"&lt;="&amp;$C1442+INT(DIAS_POR_SEMANA/2),ROTACAO_RDM!$J$6:$J$71,"&gt;="&amp;$C1442+INT(DIAS_POR_SEMANA/2)),0)</f>
        <v>0</v>
      </c>
      <c r="J1442" s="16" t="n">
        <f aca="false">IFERROR(MATCH($I1442,ROTACAO_RDM!$B$6:$B$71,0),0)</f>
        <v>0</v>
      </c>
      <c r="K1442" s="8" t="str">
        <f aca="false">IF($J1442=0,"SEM CULTURA",INDEX(ROTACAO_RDM!$F$6:$F$71,$J1442))</f>
        <v>SEM CULTURA</v>
      </c>
      <c r="L1442" s="8" t="str">
        <f aca="false">IF($J1442=0,"",INDEX(ROTACAO_RDM!$G$6:$G$71,$J1442))</f>
        <v/>
      </c>
      <c r="M1442" s="17" t="str">
        <f aca="false">IF($J1442=0,"",INDEX(ROTACAO_RDM!$I$6:$I$71,$J1442))</f>
        <v/>
      </c>
      <c r="N1442" s="16" t="n">
        <f aca="false">IF($J1442=0,0,MAX(0,$C1442+INT(DIAS_POR_SEMANA/2)-INDEX(ROTACAO_RDM!$I$6:$I$71,$J1442)))</f>
        <v>0</v>
      </c>
      <c r="O1442" s="19" t="n">
        <f aca="false">IF($J1442=0,0,MIN(1,$N1442/MAX(1,INDEX(ROTACAO_RDM!$K$6:$K$71,$J1442))))</f>
        <v>0</v>
      </c>
      <c r="P1442" s="16" t="n">
        <f aca="false">IF($J1442=0,0,IFERROR(MATCH(INDEX(ROTACAO_RDM!$N$6:$N$71,$J1442),PARAMETROS_CULTURAS!$B$6:$B$28,0),0))</f>
        <v>0</v>
      </c>
      <c r="Q1442" s="8" t="str">
        <f aca="false">IF($P1442=0,"-",IF($O1442&lt;=INDEX(PARAMETROS_CULTURAS!$F$6:$F$28,$P1442),"INICIAL",IF($O1442&lt;=INDEX(PARAMETROS_CULTURAS!$F$6:$F$28,$P1442)+INDEX(PARAMETROS_CULTURAS!$G$6:$G$28,$P1442),"DESENVOLVIMENTO",IF($O1442&lt;=INDEX(PARAMETROS_CULTURAS!$F$6:$F$28,$P1442)+INDEX(PARAMETROS_CULTURAS!$G$6:$G$28,$P1442)+INDEX(PARAMETROS_CULTURAS!$H$6:$H$28,$P1442),"MEDIA","FINAL"))))</f>
        <v>-</v>
      </c>
      <c r="R1442" s="24" t="n">
        <f aca="false">IF($P1442=0,0,IF($O1442&lt;=INDEX(PARAMETROS_CULTURAS!$F$6:$F$28,$P1442),INDEX(PARAMETROS_CULTURAS!$K$6:$K$28,$P1442),IF($O1442&lt;=INDEX(PARAMETROS_CULTURAS!$F$6:$F$28,$P1442)+INDEX(PARAMETROS_CULTURAS!$G$6:$G$28,$P1442),INDEX(PARAMETROS_CULTURAS!$K$6:$K$28,$P1442)+(INDEX(PARAMETROS_CULTURAS!$L$6:$L$28,$P1442)-INDEX(PARAMETROS_CULTURAS!$K$6:$K$28,$P1442))*($O1442-INDEX(PARAMETROS_CULTURAS!$F$6:$F$28,$P1442))/MAX(INDEX(PARAMETROS_CULTURAS!$G$6:$G$28,$P1442),0.0001),IF($O1442&lt;=INDEX(PARAMETROS_CULTURAS!$F$6:$F$28,$P1442)+INDEX(PARAMETROS_CULTURAS!$G$6:$G$28,$P1442)+INDEX(PARAMETROS_CULTURAS!$H$6:$H$28,$P1442),INDEX(PARAMETROS_CULTURAS!$L$6:$L$28,$P1442),INDEX(PARAMETROS_CULTURAS!$L$6:$L$28,$P1442)+(INDEX(PARAMETROS_CULTURAS!$M$6:$M$28,$P1442)-INDEX(PARAMETROS_CULTURAS!$L$6:$L$28,$P1442))*($O1442-INDEX(PARAMETROS_CULTURAS!$F$6:$F$28,$P1442)-INDEX(PARAMETROS_CULTURAS!$G$6:$G$28,$P1442)-INDEX(PARAMETROS_CULTURAS!$H$6:$H$28,$P1442))/MAX(INDEX(PARAMETROS_CULTURAS!$I$6:$I$28,$P1442),0.0001)))))</f>
        <v>0</v>
      </c>
      <c r="S1442" s="18" t="n">
        <f aca="false">IFERROR(INDEX(SEMANAS!$H$6:$H$71,MATCH($B1442,SEMANAS!$B$6:$B$71,0)),0)</f>
        <v>36.4</v>
      </c>
      <c r="T1442" s="18" t="n">
        <f aca="false">$R1442*$S1442</f>
        <v>0</v>
      </c>
      <c r="U1442" s="18" t="n">
        <f aca="false">IFERROR(INDEX(SEMANAS!$I$6:$I$71,MATCH($B1442,SEMANAS!$B$6:$B$71,0)),0)</f>
        <v>1.12</v>
      </c>
      <c r="V1442" s="18" t="n">
        <f aca="false">IFERROR(INDEX(SEMANAS!$J$6:$J$71,MATCH($B1442,SEMANAS!$B$6:$B$71,0)),0)</f>
        <v>0.896</v>
      </c>
      <c r="W1442" s="18" t="n">
        <f aca="false">MAX(0,$T1442-$V1442)</f>
        <v>0</v>
      </c>
      <c r="X1442" s="19" t="n">
        <f aca="false">IFERROR(INDEX(CADASTRO_PIVOS!$K$6:$K$41,MATCH($E1442,CADASTRO_PIVOS!$B$6:$B$41,0)),EFICIENCIA_PADRAO)</f>
        <v>0.85</v>
      </c>
      <c r="Y1442" s="18" t="n">
        <f aca="false">IF($X1442&lt;=0,0,$W1442/$X1442)</f>
        <v>0</v>
      </c>
      <c r="Z1442" s="16" t="n">
        <f aca="false">$Y1442*$H1442*MM_PARA_M3_HA</f>
        <v>0</v>
      </c>
      <c r="AA1442" s="18" t="n">
        <f aca="false">IFERROR(INDEX(CADASTRO_PIVOS!$I$6:$I$41,MATCH($E1442,CADASTRO_PIVOS!$B$6:$B$41,0)),0)</f>
        <v>710.571428571429</v>
      </c>
      <c r="AB1442" s="18" t="n">
        <f aca="false">IF($Z1442&lt;=0,0,$Z1442/$AA1442)</f>
        <v>0</v>
      </c>
      <c r="AC1442" s="16" t="n">
        <f aca="false">IFERROR(INDEX(SEMANAS!$K$6:$K$71,MATCH($B1442,SEMANAS!$B$6:$B$71,0)),0)</f>
        <v>147</v>
      </c>
      <c r="AD1442" s="19" t="n">
        <f aca="false">IF($AC1442&lt;=0,0,$AB1442/$AC1442)</f>
        <v>0</v>
      </c>
      <c r="AE1442" s="8" t="str">
        <f aca="false">IF($K1442="SEM CULTURA","SEM CULTURA",IF($AA1442&lt;=0,"DADO PENDENTE",IF($AD1442&gt;LIMITE_CRITICO,"INVIAVEL",IF($AD1442&gt;LIMITE_ATENCAO,"CRITICO",IF($AD1442&gt;LIMITE_CONFORTAVEL,"ATENCAO","OK")))))</f>
        <v>SEM CULTURA</v>
      </c>
      <c r="AF1442" s="8" t="str">
        <f aca="false">$B1442&amp;"|"&amp;TEXT($AD1442,"0.000000")</f>
        <v>51|0.000000</v>
      </c>
      <c r="AG1442" s="18" t="n">
        <f aca="false">IF($K1442="SEM CULTURA",0,$T1442*$H1442)</f>
        <v>0</v>
      </c>
      <c r="AH1442" s="18" t="n">
        <f aca="false">IF($K1442="SEM CULTURA",0,$V1442*$H1442)</f>
        <v>0</v>
      </c>
      <c r="AI1442" s="18" t="n">
        <f aca="false">IF($K1442="SEM CULTURA",0,$W1442*$H1442)</f>
        <v>0</v>
      </c>
      <c r="AJ1442" s="18" t="n">
        <f aca="false">IF($K1442="SEM CULTURA",0,$S1442*$H1442)</f>
        <v>0</v>
      </c>
      <c r="AK1442" s="8" t="str">
        <f aca="false">$E1442&amp;"|"&amp;TEXT($AD1442,"0.000000")</f>
        <v>PV 129|0.000000</v>
      </c>
    </row>
    <row r="1443" customFormat="false" ht="15" hidden="false" customHeight="false" outlineLevel="0" collapsed="false">
      <c r="B1443" s="16" t="n">
        <v>52</v>
      </c>
      <c r="C1443" s="17" t="n">
        <f aca="false">DATA_INICIO_SAFRA+($B1443-1)*DIAS_POR_SEMANA</f>
        <v>46622</v>
      </c>
      <c r="D1443" s="17" t="n">
        <f aca="false">$C1443+DIAS_POR_SEMANA-1</f>
        <v>46628</v>
      </c>
      <c r="E1443" s="15" t="s">
        <v>280</v>
      </c>
      <c r="F1443" s="8" t="str">
        <f aca="false">IFERROR(INDEX(CADASTRO_PIVOS!$C$6:$C$41,MATCH($E1443,CADASTRO_PIVOS!$B$6:$B$41,0)),"?")</f>
        <v>RM06</v>
      </c>
      <c r="G1443" s="8" t="str">
        <f aca="false">IFERROR(INDEX(CADASTRO_PIVOS!$D$6:$D$41,MATCH($E1443,CADASTRO_PIVOS!$B$6:$B$41,0)),"?")</f>
        <v>TR06</v>
      </c>
      <c r="H1443" s="20" t="n">
        <f aca="false">IFERROR(INDEX(CADASTRO_PIVOS!$E$6:$E$41,MATCH($E1443,CADASTRO_PIVOS!$B$6:$B$41,0)),0)</f>
        <v>99.48</v>
      </c>
      <c r="I1443" s="16" t="n">
        <f aca="false">IFERROR(SUMIFS(ROTACAO_RDM!$B$6:$B$71,ROTACAO_RDM!$D$6:$D$71,$E1443,ROTACAO_RDM!$I$6:$I$71,"&lt;="&amp;$C1443+INT(DIAS_POR_SEMANA/2),ROTACAO_RDM!$J$6:$J$71,"&gt;="&amp;$C1443+INT(DIAS_POR_SEMANA/2)),0)</f>
        <v>0</v>
      </c>
      <c r="J1443" s="16" t="n">
        <f aca="false">IFERROR(MATCH($I1443,ROTACAO_RDM!$B$6:$B$71,0),0)</f>
        <v>0</v>
      </c>
      <c r="K1443" s="8" t="str">
        <f aca="false">IF($J1443=0,"SEM CULTURA",INDEX(ROTACAO_RDM!$F$6:$F$71,$J1443))</f>
        <v>SEM CULTURA</v>
      </c>
      <c r="L1443" s="8" t="str">
        <f aca="false">IF($J1443=0,"",INDEX(ROTACAO_RDM!$G$6:$G$71,$J1443))</f>
        <v/>
      </c>
      <c r="M1443" s="17" t="str">
        <f aca="false">IF($J1443=0,"",INDEX(ROTACAO_RDM!$I$6:$I$71,$J1443))</f>
        <v/>
      </c>
      <c r="N1443" s="16" t="n">
        <f aca="false">IF($J1443=0,0,MAX(0,$C1443+INT(DIAS_POR_SEMANA/2)-INDEX(ROTACAO_RDM!$I$6:$I$71,$J1443)))</f>
        <v>0</v>
      </c>
      <c r="O1443" s="19" t="n">
        <f aca="false">IF($J1443=0,0,MIN(1,$N1443/MAX(1,INDEX(ROTACAO_RDM!$K$6:$K$71,$J1443))))</f>
        <v>0</v>
      </c>
      <c r="P1443" s="16" t="n">
        <f aca="false">IF($J1443=0,0,IFERROR(MATCH(INDEX(ROTACAO_RDM!$N$6:$N$71,$J1443),PARAMETROS_CULTURAS!$B$6:$B$28,0),0))</f>
        <v>0</v>
      </c>
      <c r="Q1443" s="8" t="str">
        <f aca="false">IF($P1443=0,"-",IF($O1443&lt;=INDEX(PARAMETROS_CULTURAS!$F$6:$F$28,$P1443),"INICIAL",IF($O1443&lt;=INDEX(PARAMETROS_CULTURAS!$F$6:$F$28,$P1443)+INDEX(PARAMETROS_CULTURAS!$G$6:$G$28,$P1443),"DESENVOLVIMENTO",IF($O1443&lt;=INDEX(PARAMETROS_CULTURAS!$F$6:$F$28,$P1443)+INDEX(PARAMETROS_CULTURAS!$G$6:$G$28,$P1443)+INDEX(PARAMETROS_CULTURAS!$H$6:$H$28,$P1443),"MEDIA","FINAL"))))</f>
        <v>-</v>
      </c>
      <c r="R1443" s="24" t="n">
        <f aca="false">IF($P1443=0,0,IF($O1443&lt;=INDEX(PARAMETROS_CULTURAS!$F$6:$F$28,$P1443),INDEX(PARAMETROS_CULTURAS!$K$6:$K$28,$P1443),IF($O1443&lt;=INDEX(PARAMETROS_CULTURAS!$F$6:$F$28,$P1443)+INDEX(PARAMETROS_CULTURAS!$G$6:$G$28,$P1443),INDEX(PARAMETROS_CULTURAS!$K$6:$K$28,$P1443)+(INDEX(PARAMETROS_CULTURAS!$L$6:$L$28,$P1443)-INDEX(PARAMETROS_CULTURAS!$K$6:$K$28,$P1443))*($O1443-INDEX(PARAMETROS_CULTURAS!$F$6:$F$28,$P1443))/MAX(INDEX(PARAMETROS_CULTURAS!$G$6:$G$28,$P1443),0.0001),IF($O1443&lt;=INDEX(PARAMETROS_CULTURAS!$F$6:$F$28,$P1443)+INDEX(PARAMETROS_CULTURAS!$G$6:$G$28,$P1443)+INDEX(PARAMETROS_CULTURAS!$H$6:$H$28,$P1443),INDEX(PARAMETROS_CULTURAS!$L$6:$L$28,$P1443),INDEX(PARAMETROS_CULTURAS!$L$6:$L$28,$P1443)+(INDEX(PARAMETROS_CULTURAS!$M$6:$M$28,$P1443)-INDEX(PARAMETROS_CULTURAS!$L$6:$L$28,$P1443))*($O1443-INDEX(PARAMETROS_CULTURAS!$F$6:$F$28,$P1443)-INDEX(PARAMETROS_CULTURAS!$G$6:$G$28,$P1443)-INDEX(PARAMETROS_CULTURAS!$H$6:$H$28,$P1443))/MAX(INDEX(PARAMETROS_CULTURAS!$I$6:$I$28,$P1443),0.0001)))))</f>
        <v>0</v>
      </c>
      <c r="S1443" s="18" t="n">
        <f aca="false">IFERROR(INDEX(SEMANAS!$H$6:$H$71,MATCH($B1443,SEMANAS!$B$6:$B$71,0)),0)</f>
        <v>36.4</v>
      </c>
      <c r="T1443" s="18" t="n">
        <f aca="false">$R1443*$S1443</f>
        <v>0</v>
      </c>
      <c r="U1443" s="18" t="n">
        <f aca="false">IFERROR(INDEX(SEMANAS!$I$6:$I$71,MATCH($B1443,SEMANAS!$B$6:$B$71,0)),0)</f>
        <v>1.12</v>
      </c>
      <c r="V1443" s="18" t="n">
        <f aca="false">IFERROR(INDEX(SEMANAS!$J$6:$J$71,MATCH($B1443,SEMANAS!$B$6:$B$71,0)),0)</f>
        <v>0.896</v>
      </c>
      <c r="W1443" s="18" t="n">
        <f aca="false">MAX(0,$T1443-$V1443)</f>
        <v>0</v>
      </c>
      <c r="X1443" s="19" t="n">
        <f aca="false">IFERROR(INDEX(CADASTRO_PIVOS!$K$6:$K$41,MATCH($E1443,CADASTRO_PIVOS!$B$6:$B$41,0)),EFICIENCIA_PADRAO)</f>
        <v>0.85</v>
      </c>
      <c r="Y1443" s="18" t="n">
        <f aca="false">IF($X1443&lt;=0,0,$W1443/$X1443)</f>
        <v>0</v>
      </c>
      <c r="Z1443" s="16" t="n">
        <f aca="false">$Y1443*$H1443*MM_PARA_M3_HA</f>
        <v>0</v>
      </c>
      <c r="AA1443" s="18" t="n">
        <f aca="false">IFERROR(INDEX(CADASTRO_PIVOS!$I$6:$I$41,MATCH($E1443,CADASTRO_PIVOS!$B$6:$B$41,0)),0)</f>
        <v>710.571428571429</v>
      </c>
      <c r="AB1443" s="18" t="n">
        <f aca="false">IF($Z1443&lt;=0,0,$Z1443/$AA1443)</f>
        <v>0</v>
      </c>
      <c r="AC1443" s="16" t="n">
        <f aca="false">IFERROR(INDEX(SEMANAS!$K$6:$K$71,MATCH($B1443,SEMANAS!$B$6:$B$71,0)),0)</f>
        <v>147</v>
      </c>
      <c r="AD1443" s="19" t="n">
        <f aca="false">IF($AC1443&lt;=0,0,$AB1443/$AC1443)</f>
        <v>0</v>
      </c>
      <c r="AE1443" s="8" t="str">
        <f aca="false">IF($K1443="SEM CULTURA","SEM CULTURA",IF($AA1443&lt;=0,"DADO PENDENTE",IF($AD1443&gt;LIMITE_CRITICO,"INVIAVEL",IF($AD1443&gt;LIMITE_ATENCAO,"CRITICO",IF($AD1443&gt;LIMITE_CONFORTAVEL,"ATENCAO","OK")))))</f>
        <v>SEM CULTURA</v>
      </c>
      <c r="AF1443" s="8" t="str">
        <f aca="false">$B1443&amp;"|"&amp;TEXT($AD1443,"0.000000")</f>
        <v>52|0.000000</v>
      </c>
      <c r="AG1443" s="18" t="n">
        <f aca="false">IF($K1443="SEM CULTURA",0,$T1443*$H1443)</f>
        <v>0</v>
      </c>
      <c r="AH1443" s="18" t="n">
        <f aca="false">IF($K1443="SEM CULTURA",0,$V1443*$H1443)</f>
        <v>0</v>
      </c>
      <c r="AI1443" s="18" t="n">
        <f aca="false">IF($K1443="SEM CULTURA",0,$W1443*$H1443)</f>
        <v>0</v>
      </c>
      <c r="AJ1443" s="18" t="n">
        <f aca="false">IF($K1443="SEM CULTURA",0,$S1443*$H1443)</f>
        <v>0</v>
      </c>
      <c r="AK1443" s="8" t="str">
        <f aca="false">$E1443&amp;"|"&amp;TEXT($AD1443,"0.000000")</f>
        <v>PV 129|0.000000</v>
      </c>
    </row>
    <row r="1444" customFormat="false" ht="15" hidden="false" customHeight="false" outlineLevel="0" collapsed="false">
      <c r="B1444" s="16" t="n">
        <v>53</v>
      </c>
      <c r="C1444" s="17" t="n">
        <f aca="false">DATA_INICIO_SAFRA+($B1444-1)*DIAS_POR_SEMANA</f>
        <v>46629</v>
      </c>
      <c r="D1444" s="17" t="n">
        <f aca="false">$C1444+DIAS_POR_SEMANA-1</f>
        <v>46635</v>
      </c>
      <c r="E1444" s="15" t="s">
        <v>280</v>
      </c>
      <c r="F1444" s="8" t="str">
        <f aca="false">IFERROR(INDEX(CADASTRO_PIVOS!$C$6:$C$41,MATCH($E1444,CADASTRO_PIVOS!$B$6:$B$41,0)),"?")</f>
        <v>RM06</v>
      </c>
      <c r="G1444" s="8" t="str">
        <f aca="false">IFERROR(INDEX(CADASTRO_PIVOS!$D$6:$D$41,MATCH($E1444,CADASTRO_PIVOS!$B$6:$B$41,0)),"?")</f>
        <v>TR06</v>
      </c>
      <c r="H1444" s="20" t="n">
        <f aca="false">IFERROR(INDEX(CADASTRO_PIVOS!$E$6:$E$41,MATCH($E1444,CADASTRO_PIVOS!$B$6:$B$41,0)),0)</f>
        <v>99.48</v>
      </c>
      <c r="I1444" s="16" t="n">
        <f aca="false">IFERROR(SUMIFS(ROTACAO_RDM!$B$6:$B$71,ROTACAO_RDM!$D$6:$D$71,$E1444,ROTACAO_RDM!$I$6:$I$71,"&lt;="&amp;$C1444+INT(DIAS_POR_SEMANA/2),ROTACAO_RDM!$J$6:$J$71,"&gt;="&amp;$C1444+INT(DIAS_POR_SEMANA/2)),0)</f>
        <v>0</v>
      </c>
      <c r="J1444" s="16" t="n">
        <f aca="false">IFERROR(MATCH($I1444,ROTACAO_RDM!$B$6:$B$71,0),0)</f>
        <v>0</v>
      </c>
      <c r="K1444" s="8" t="str">
        <f aca="false">IF($J1444=0,"SEM CULTURA",INDEX(ROTACAO_RDM!$F$6:$F$71,$J1444))</f>
        <v>SEM CULTURA</v>
      </c>
      <c r="L1444" s="8" t="str">
        <f aca="false">IF($J1444=0,"",INDEX(ROTACAO_RDM!$G$6:$G$71,$J1444))</f>
        <v/>
      </c>
      <c r="M1444" s="17" t="str">
        <f aca="false">IF($J1444=0,"",INDEX(ROTACAO_RDM!$I$6:$I$71,$J1444))</f>
        <v/>
      </c>
      <c r="N1444" s="16" t="n">
        <f aca="false">IF($J1444=0,0,MAX(0,$C1444+INT(DIAS_POR_SEMANA/2)-INDEX(ROTACAO_RDM!$I$6:$I$71,$J1444)))</f>
        <v>0</v>
      </c>
      <c r="O1444" s="19" t="n">
        <f aca="false">IF($J1444=0,0,MIN(1,$N1444/MAX(1,INDEX(ROTACAO_RDM!$K$6:$K$71,$J1444))))</f>
        <v>0</v>
      </c>
      <c r="P1444" s="16" t="n">
        <f aca="false">IF($J1444=0,0,IFERROR(MATCH(INDEX(ROTACAO_RDM!$N$6:$N$71,$J1444),PARAMETROS_CULTURAS!$B$6:$B$28,0),0))</f>
        <v>0</v>
      </c>
      <c r="Q1444" s="8" t="str">
        <f aca="false">IF($P1444=0,"-",IF($O1444&lt;=INDEX(PARAMETROS_CULTURAS!$F$6:$F$28,$P1444),"INICIAL",IF($O1444&lt;=INDEX(PARAMETROS_CULTURAS!$F$6:$F$28,$P1444)+INDEX(PARAMETROS_CULTURAS!$G$6:$G$28,$P1444),"DESENVOLVIMENTO",IF($O1444&lt;=INDEX(PARAMETROS_CULTURAS!$F$6:$F$28,$P1444)+INDEX(PARAMETROS_CULTURAS!$G$6:$G$28,$P1444)+INDEX(PARAMETROS_CULTURAS!$H$6:$H$28,$P1444),"MEDIA","FINAL"))))</f>
        <v>-</v>
      </c>
      <c r="R1444" s="24" t="n">
        <f aca="false">IF($P1444=0,0,IF($O1444&lt;=INDEX(PARAMETROS_CULTURAS!$F$6:$F$28,$P1444),INDEX(PARAMETROS_CULTURAS!$K$6:$K$28,$P1444),IF($O1444&lt;=INDEX(PARAMETROS_CULTURAS!$F$6:$F$28,$P1444)+INDEX(PARAMETROS_CULTURAS!$G$6:$G$28,$P1444),INDEX(PARAMETROS_CULTURAS!$K$6:$K$28,$P1444)+(INDEX(PARAMETROS_CULTURAS!$L$6:$L$28,$P1444)-INDEX(PARAMETROS_CULTURAS!$K$6:$K$28,$P1444))*($O1444-INDEX(PARAMETROS_CULTURAS!$F$6:$F$28,$P1444))/MAX(INDEX(PARAMETROS_CULTURAS!$G$6:$G$28,$P1444),0.0001),IF($O1444&lt;=INDEX(PARAMETROS_CULTURAS!$F$6:$F$28,$P1444)+INDEX(PARAMETROS_CULTURAS!$G$6:$G$28,$P1444)+INDEX(PARAMETROS_CULTURAS!$H$6:$H$28,$P1444),INDEX(PARAMETROS_CULTURAS!$L$6:$L$28,$P1444),INDEX(PARAMETROS_CULTURAS!$L$6:$L$28,$P1444)+(INDEX(PARAMETROS_CULTURAS!$M$6:$M$28,$P1444)-INDEX(PARAMETROS_CULTURAS!$L$6:$L$28,$P1444))*($O1444-INDEX(PARAMETROS_CULTURAS!$F$6:$F$28,$P1444)-INDEX(PARAMETROS_CULTURAS!$G$6:$G$28,$P1444)-INDEX(PARAMETROS_CULTURAS!$H$6:$H$28,$P1444))/MAX(INDEX(PARAMETROS_CULTURAS!$I$6:$I$28,$P1444),0.0001)))))</f>
        <v>0</v>
      </c>
      <c r="S1444" s="18" t="n">
        <f aca="false">IFERROR(INDEX(SEMANAS!$H$6:$H$71,MATCH($B1444,SEMANAS!$B$6:$B$71,0)),0)</f>
        <v>39.4</v>
      </c>
      <c r="T1444" s="18" t="n">
        <f aca="false">$R1444*$S1444</f>
        <v>0</v>
      </c>
      <c r="U1444" s="18" t="n">
        <f aca="false">IFERROR(INDEX(SEMANAS!$I$6:$I$71,MATCH($B1444,SEMANAS!$B$6:$B$71,0)),0)</f>
        <v>5.32</v>
      </c>
      <c r="V1444" s="18" t="n">
        <f aca="false">IFERROR(INDEX(SEMANAS!$J$6:$J$71,MATCH($B1444,SEMANAS!$B$6:$B$71,0)),0)</f>
        <v>4.256</v>
      </c>
      <c r="W1444" s="18" t="n">
        <f aca="false">MAX(0,$T1444-$V1444)</f>
        <v>0</v>
      </c>
      <c r="X1444" s="19" t="n">
        <f aca="false">IFERROR(INDEX(CADASTRO_PIVOS!$K$6:$K$41,MATCH($E1444,CADASTRO_PIVOS!$B$6:$B$41,0)),EFICIENCIA_PADRAO)</f>
        <v>0.85</v>
      </c>
      <c r="Y1444" s="18" t="n">
        <f aca="false">IF($X1444&lt;=0,0,$W1444/$X1444)</f>
        <v>0</v>
      </c>
      <c r="Z1444" s="16" t="n">
        <f aca="false">$Y1444*$H1444*MM_PARA_M3_HA</f>
        <v>0</v>
      </c>
      <c r="AA1444" s="18" t="n">
        <f aca="false">IFERROR(INDEX(CADASTRO_PIVOS!$I$6:$I$41,MATCH($E1444,CADASTRO_PIVOS!$B$6:$B$41,0)),0)</f>
        <v>710.571428571429</v>
      </c>
      <c r="AB1444" s="18" t="n">
        <f aca="false">IF($Z1444&lt;=0,0,$Z1444/$AA1444)</f>
        <v>0</v>
      </c>
      <c r="AC1444" s="16" t="n">
        <f aca="false">IFERROR(INDEX(SEMANAS!$K$6:$K$71,MATCH($B1444,SEMANAS!$B$6:$B$71,0)),0)</f>
        <v>147</v>
      </c>
      <c r="AD1444" s="19" t="n">
        <f aca="false">IF($AC1444&lt;=0,0,$AB1444/$AC1444)</f>
        <v>0</v>
      </c>
      <c r="AE1444" s="8" t="str">
        <f aca="false">IF($K1444="SEM CULTURA","SEM CULTURA",IF($AA1444&lt;=0,"DADO PENDENTE",IF($AD1444&gt;LIMITE_CRITICO,"INVIAVEL",IF($AD1444&gt;LIMITE_ATENCAO,"CRITICO",IF($AD1444&gt;LIMITE_CONFORTAVEL,"ATENCAO","OK")))))</f>
        <v>SEM CULTURA</v>
      </c>
      <c r="AF1444" s="8" t="str">
        <f aca="false">$B1444&amp;"|"&amp;TEXT($AD1444,"0.000000")</f>
        <v>53|0.000000</v>
      </c>
      <c r="AG1444" s="18" t="n">
        <f aca="false">IF($K1444="SEM CULTURA",0,$T1444*$H1444)</f>
        <v>0</v>
      </c>
      <c r="AH1444" s="18" t="n">
        <f aca="false">IF($K1444="SEM CULTURA",0,$V1444*$H1444)</f>
        <v>0</v>
      </c>
      <c r="AI1444" s="18" t="n">
        <f aca="false">IF($K1444="SEM CULTURA",0,$W1444*$H1444)</f>
        <v>0</v>
      </c>
      <c r="AJ1444" s="18" t="n">
        <f aca="false">IF($K1444="SEM CULTURA",0,$S1444*$H1444)</f>
        <v>0</v>
      </c>
      <c r="AK1444" s="8" t="str">
        <f aca="false">$E1444&amp;"|"&amp;TEXT($AD1444,"0.000000")</f>
        <v>PV 129|0.000000</v>
      </c>
    </row>
    <row r="1445" customFormat="false" ht="15" hidden="false" customHeight="false" outlineLevel="0" collapsed="false">
      <c r="B1445" s="16" t="n">
        <v>54</v>
      </c>
      <c r="C1445" s="17" t="n">
        <f aca="false">DATA_INICIO_SAFRA+($B1445-1)*DIAS_POR_SEMANA</f>
        <v>46636</v>
      </c>
      <c r="D1445" s="17" t="n">
        <f aca="false">$C1445+DIAS_POR_SEMANA-1</f>
        <v>46642</v>
      </c>
      <c r="E1445" s="15" t="s">
        <v>280</v>
      </c>
      <c r="F1445" s="8" t="str">
        <f aca="false">IFERROR(INDEX(CADASTRO_PIVOS!$C$6:$C$41,MATCH($E1445,CADASTRO_PIVOS!$B$6:$B$41,0)),"?")</f>
        <v>RM06</v>
      </c>
      <c r="G1445" s="8" t="str">
        <f aca="false">IFERROR(INDEX(CADASTRO_PIVOS!$D$6:$D$41,MATCH($E1445,CADASTRO_PIVOS!$B$6:$B$41,0)),"?")</f>
        <v>TR06</v>
      </c>
      <c r="H1445" s="20" t="n">
        <f aca="false">IFERROR(INDEX(CADASTRO_PIVOS!$E$6:$E$41,MATCH($E1445,CADASTRO_PIVOS!$B$6:$B$41,0)),0)</f>
        <v>99.48</v>
      </c>
      <c r="I1445" s="16" t="n">
        <f aca="false">IFERROR(SUMIFS(ROTACAO_RDM!$B$6:$B$71,ROTACAO_RDM!$D$6:$D$71,$E1445,ROTACAO_RDM!$I$6:$I$71,"&lt;="&amp;$C1445+INT(DIAS_POR_SEMANA/2),ROTACAO_RDM!$J$6:$J$71,"&gt;="&amp;$C1445+INT(DIAS_POR_SEMANA/2)),0)</f>
        <v>0</v>
      </c>
      <c r="J1445" s="16" t="n">
        <f aca="false">IFERROR(MATCH($I1445,ROTACAO_RDM!$B$6:$B$71,0),0)</f>
        <v>0</v>
      </c>
      <c r="K1445" s="8" t="str">
        <f aca="false">IF($J1445=0,"SEM CULTURA",INDEX(ROTACAO_RDM!$F$6:$F$71,$J1445))</f>
        <v>SEM CULTURA</v>
      </c>
      <c r="L1445" s="8" t="str">
        <f aca="false">IF($J1445=0,"",INDEX(ROTACAO_RDM!$G$6:$G$71,$J1445))</f>
        <v/>
      </c>
      <c r="M1445" s="17" t="str">
        <f aca="false">IF($J1445=0,"",INDEX(ROTACAO_RDM!$I$6:$I$71,$J1445))</f>
        <v/>
      </c>
      <c r="N1445" s="16" t="n">
        <f aca="false">IF($J1445=0,0,MAX(0,$C1445+INT(DIAS_POR_SEMANA/2)-INDEX(ROTACAO_RDM!$I$6:$I$71,$J1445)))</f>
        <v>0</v>
      </c>
      <c r="O1445" s="19" t="n">
        <f aca="false">IF($J1445=0,0,MIN(1,$N1445/MAX(1,INDEX(ROTACAO_RDM!$K$6:$K$71,$J1445))))</f>
        <v>0</v>
      </c>
      <c r="P1445" s="16" t="n">
        <f aca="false">IF($J1445=0,0,IFERROR(MATCH(INDEX(ROTACAO_RDM!$N$6:$N$71,$J1445),PARAMETROS_CULTURAS!$B$6:$B$28,0),0))</f>
        <v>0</v>
      </c>
      <c r="Q1445" s="8" t="str">
        <f aca="false">IF($P1445=0,"-",IF($O1445&lt;=INDEX(PARAMETROS_CULTURAS!$F$6:$F$28,$P1445),"INICIAL",IF($O1445&lt;=INDEX(PARAMETROS_CULTURAS!$F$6:$F$28,$P1445)+INDEX(PARAMETROS_CULTURAS!$G$6:$G$28,$P1445),"DESENVOLVIMENTO",IF($O1445&lt;=INDEX(PARAMETROS_CULTURAS!$F$6:$F$28,$P1445)+INDEX(PARAMETROS_CULTURAS!$G$6:$G$28,$P1445)+INDEX(PARAMETROS_CULTURAS!$H$6:$H$28,$P1445),"MEDIA","FINAL"))))</f>
        <v>-</v>
      </c>
      <c r="R1445" s="24" t="n">
        <f aca="false">IF($P1445=0,0,IF($O1445&lt;=INDEX(PARAMETROS_CULTURAS!$F$6:$F$28,$P1445),INDEX(PARAMETROS_CULTURAS!$K$6:$K$28,$P1445),IF($O1445&lt;=INDEX(PARAMETROS_CULTURAS!$F$6:$F$28,$P1445)+INDEX(PARAMETROS_CULTURAS!$G$6:$G$28,$P1445),INDEX(PARAMETROS_CULTURAS!$K$6:$K$28,$P1445)+(INDEX(PARAMETROS_CULTURAS!$L$6:$L$28,$P1445)-INDEX(PARAMETROS_CULTURAS!$K$6:$K$28,$P1445))*($O1445-INDEX(PARAMETROS_CULTURAS!$F$6:$F$28,$P1445))/MAX(INDEX(PARAMETROS_CULTURAS!$G$6:$G$28,$P1445),0.0001),IF($O1445&lt;=INDEX(PARAMETROS_CULTURAS!$F$6:$F$28,$P1445)+INDEX(PARAMETROS_CULTURAS!$G$6:$G$28,$P1445)+INDEX(PARAMETROS_CULTURAS!$H$6:$H$28,$P1445),INDEX(PARAMETROS_CULTURAS!$L$6:$L$28,$P1445),INDEX(PARAMETROS_CULTURAS!$L$6:$L$28,$P1445)+(INDEX(PARAMETROS_CULTURAS!$M$6:$M$28,$P1445)-INDEX(PARAMETROS_CULTURAS!$L$6:$L$28,$P1445))*($O1445-INDEX(PARAMETROS_CULTURAS!$F$6:$F$28,$P1445)-INDEX(PARAMETROS_CULTURAS!$G$6:$G$28,$P1445)-INDEX(PARAMETROS_CULTURAS!$H$6:$H$28,$P1445))/MAX(INDEX(PARAMETROS_CULTURAS!$I$6:$I$28,$P1445),0.0001)))))</f>
        <v>0</v>
      </c>
      <c r="S1445" s="18" t="n">
        <f aca="false">IFERROR(INDEX(SEMANAS!$H$6:$H$71,MATCH($B1445,SEMANAS!$B$6:$B$71,0)),0)</f>
        <v>40.6</v>
      </c>
      <c r="T1445" s="18" t="n">
        <f aca="false">$R1445*$S1445</f>
        <v>0</v>
      </c>
      <c r="U1445" s="18" t="n">
        <f aca="false">IFERROR(INDEX(SEMANAS!$I$6:$I$71,MATCH($B1445,SEMANAS!$B$6:$B$71,0)),0)</f>
        <v>7</v>
      </c>
      <c r="V1445" s="18" t="n">
        <f aca="false">IFERROR(INDEX(SEMANAS!$J$6:$J$71,MATCH($B1445,SEMANAS!$B$6:$B$71,0)),0)</f>
        <v>5.6</v>
      </c>
      <c r="W1445" s="18" t="n">
        <f aca="false">MAX(0,$T1445-$V1445)</f>
        <v>0</v>
      </c>
      <c r="X1445" s="19" t="n">
        <f aca="false">IFERROR(INDEX(CADASTRO_PIVOS!$K$6:$K$41,MATCH($E1445,CADASTRO_PIVOS!$B$6:$B$41,0)),EFICIENCIA_PADRAO)</f>
        <v>0.85</v>
      </c>
      <c r="Y1445" s="18" t="n">
        <f aca="false">IF($X1445&lt;=0,0,$W1445/$X1445)</f>
        <v>0</v>
      </c>
      <c r="Z1445" s="16" t="n">
        <f aca="false">$Y1445*$H1445*MM_PARA_M3_HA</f>
        <v>0</v>
      </c>
      <c r="AA1445" s="18" t="n">
        <f aca="false">IFERROR(INDEX(CADASTRO_PIVOS!$I$6:$I$41,MATCH($E1445,CADASTRO_PIVOS!$B$6:$B$41,0)),0)</f>
        <v>710.571428571429</v>
      </c>
      <c r="AB1445" s="18" t="n">
        <f aca="false">IF($Z1445&lt;=0,0,$Z1445/$AA1445)</f>
        <v>0</v>
      </c>
      <c r="AC1445" s="16" t="n">
        <f aca="false">IFERROR(INDEX(SEMANAS!$K$6:$K$71,MATCH($B1445,SEMANAS!$B$6:$B$71,0)),0)</f>
        <v>147</v>
      </c>
      <c r="AD1445" s="19" t="n">
        <f aca="false">IF($AC1445&lt;=0,0,$AB1445/$AC1445)</f>
        <v>0</v>
      </c>
      <c r="AE1445" s="8" t="str">
        <f aca="false">IF($K1445="SEM CULTURA","SEM CULTURA",IF($AA1445&lt;=0,"DADO PENDENTE",IF($AD1445&gt;LIMITE_CRITICO,"INVIAVEL",IF($AD1445&gt;LIMITE_ATENCAO,"CRITICO",IF($AD1445&gt;LIMITE_CONFORTAVEL,"ATENCAO","OK")))))</f>
        <v>SEM CULTURA</v>
      </c>
      <c r="AF1445" s="8" t="str">
        <f aca="false">$B1445&amp;"|"&amp;TEXT($AD1445,"0.000000")</f>
        <v>54|0.000000</v>
      </c>
      <c r="AG1445" s="18" t="n">
        <f aca="false">IF($K1445="SEM CULTURA",0,$T1445*$H1445)</f>
        <v>0</v>
      </c>
      <c r="AH1445" s="18" t="n">
        <f aca="false">IF($K1445="SEM CULTURA",0,$V1445*$H1445)</f>
        <v>0</v>
      </c>
      <c r="AI1445" s="18" t="n">
        <f aca="false">IF($K1445="SEM CULTURA",0,$W1445*$H1445)</f>
        <v>0</v>
      </c>
      <c r="AJ1445" s="18" t="n">
        <f aca="false">IF($K1445="SEM CULTURA",0,$S1445*$H1445)</f>
        <v>0</v>
      </c>
      <c r="AK1445" s="8" t="str">
        <f aca="false">$E1445&amp;"|"&amp;TEXT($AD1445,"0.000000")</f>
        <v>PV 129|0.000000</v>
      </c>
    </row>
    <row r="1446" customFormat="false" ht="15" hidden="false" customHeight="false" outlineLevel="0" collapsed="false">
      <c r="B1446" s="16" t="n">
        <v>55</v>
      </c>
      <c r="C1446" s="17" t="n">
        <f aca="false">DATA_INICIO_SAFRA+($B1446-1)*DIAS_POR_SEMANA</f>
        <v>46643</v>
      </c>
      <c r="D1446" s="17" t="n">
        <f aca="false">$C1446+DIAS_POR_SEMANA-1</f>
        <v>46649</v>
      </c>
      <c r="E1446" s="15" t="s">
        <v>280</v>
      </c>
      <c r="F1446" s="8" t="str">
        <f aca="false">IFERROR(INDEX(CADASTRO_PIVOS!$C$6:$C$41,MATCH($E1446,CADASTRO_PIVOS!$B$6:$B$41,0)),"?")</f>
        <v>RM06</v>
      </c>
      <c r="G1446" s="8" t="str">
        <f aca="false">IFERROR(INDEX(CADASTRO_PIVOS!$D$6:$D$41,MATCH($E1446,CADASTRO_PIVOS!$B$6:$B$41,0)),"?")</f>
        <v>TR06</v>
      </c>
      <c r="H1446" s="20" t="n">
        <f aca="false">IFERROR(INDEX(CADASTRO_PIVOS!$E$6:$E$41,MATCH($E1446,CADASTRO_PIVOS!$B$6:$B$41,0)),0)</f>
        <v>99.48</v>
      </c>
      <c r="I1446" s="16" t="n">
        <f aca="false">IFERROR(SUMIFS(ROTACAO_RDM!$B$6:$B$71,ROTACAO_RDM!$D$6:$D$71,$E1446,ROTACAO_RDM!$I$6:$I$71,"&lt;="&amp;$C1446+INT(DIAS_POR_SEMANA/2),ROTACAO_RDM!$J$6:$J$71,"&gt;="&amp;$C1446+INT(DIAS_POR_SEMANA/2)),0)</f>
        <v>0</v>
      </c>
      <c r="J1446" s="16" t="n">
        <f aca="false">IFERROR(MATCH($I1446,ROTACAO_RDM!$B$6:$B$71,0),0)</f>
        <v>0</v>
      </c>
      <c r="K1446" s="8" t="str">
        <f aca="false">IF($J1446=0,"SEM CULTURA",INDEX(ROTACAO_RDM!$F$6:$F$71,$J1446))</f>
        <v>SEM CULTURA</v>
      </c>
      <c r="L1446" s="8" t="str">
        <f aca="false">IF($J1446=0,"",INDEX(ROTACAO_RDM!$G$6:$G$71,$J1446))</f>
        <v/>
      </c>
      <c r="M1446" s="17" t="str">
        <f aca="false">IF($J1446=0,"",INDEX(ROTACAO_RDM!$I$6:$I$71,$J1446))</f>
        <v/>
      </c>
      <c r="N1446" s="16" t="n">
        <f aca="false">IF($J1446=0,0,MAX(0,$C1446+INT(DIAS_POR_SEMANA/2)-INDEX(ROTACAO_RDM!$I$6:$I$71,$J1446)))</f>
        <v>0</v>
      </c>
      <c r="O1446" s="19" t="n">
        <f aca="false">IF($J1446=0,0,MIN(1,$N1446/MAX(1,INDEX(ROTACAO_RDM!$K$6:$K$71,$J1446))))</f>
        <v>0</v>
      </c>
      <c r="P1446" s="16" t="n">
        <f aca="false">IF($J1446=0,0,IFERROR(MATCH(INDEX(ROTACAO_RDM!$N$6:$N$71,$J1446),PARAMETROS_CULTURAS!$B$6:$B$28,0),0))</f>
        <v>0</v>
      </c>
      <c r="Q1446" s="8" t="str">
        <f aca="false">IF($P1446=0,"-",IF($O1446&lt;=INDEX(PARAMETROS_CULTURAS!$F$6:$F$28,$P1446),"INICIAL",IF($O1446&lt;=INDEX(PARAMETROS_CULTURAS!$F$6:$F$28,$P1446)+INDEX(PARAMETROS_CULTURAS!$G$6:$G$28,$P1446),"DESENVOLVIMENTO",IF($O1446&lt;=INDEX(PARAMETROS_CULTURAS!$F$6:$F$28,$P1446)+INDEX(PARAMETROS_CULTURAS!$G$6:$G$28,$P1446)+INDEX(PARAMETROS_CULTURAS!$H$6:$H$28,$P1446),"MEDIA","FINAL"))))</f>
        <v>-</v>
      </c>
      <c r="R1446" s="24" t="n">
        <f aca="false">IF($P1446=0,0,IF($O1446&lt;=INDEX(PARAMETROS_CULTURAS!$F$6:$F$28,$P1446),INDEX(PARAMETROS_CULTURAS!$K$6:$K$28,$P1446),IF($O1446&lt;=INDEX(PARAMETROS_CULTURAS!$F$6:$F$28,$P1446)+INDEX(PARAMETROS_CULTURAS!$G$6:$G$28,$P1446),INDEX(PARAMETROS_CULTURAS!$K$6:$K$28,$P1446)+(INDEX(PARAMETROS_CULTURAS!$L$6:$L$28,$P1446)-INDEX(PARAMETROS_CULTURAS!$K$6:$K$28,$P1446))*($O1446-INDEX(PARAMETROS_CULTURAS!$F$6:$F$28,$P1446))/MAX(INDEX(PARAMETROS_CULTURAS!$G$6:$G$28,$P1446),0.0001),IF($O1446&lt;=INDEX(PARAMETROS_CULTURAS!$F$6:$F$28,$P1446)+INDEX(PARAMETROS_CULTURAS!$G$6:$G$28,$P1446)+INDEX(PARAMETROS_CULTURAS!$H$6:$H$28,$P1446),INDEX(PARAMETROS_CULTURAS!$L$6:$L$28,$P1446),INDEX(PARAMETROS_CULTURAS!$L$6:$L$28,$P1446)+(INDEX(PARAMETROS_CULTURAS!$M$6:$M$28,$P1446)-INDEX(PARAMETROS_CULTURAS!$L$6:$L$28,$P1446))*($O1446-INDEX(PARAMETROS_CULTURAS!$F$6:$F$28,$P1446)-INDEX(PARAMETROS_CULTURAS!$G$6:$G$28,$P1446)-INDEX(PARAMETROS_CULTURAS!$H$6:$H$28,$P1446))/MAX(INDEX(PARAMETROS_CULTURAS!$I$6:$I$28,$P1446),0.0001)))))</f>
        <v>0</v>
      </c>
      <c r="S1446" s="18" t="n">
        <f aca="false">IFERROR(INDEX(SEMANAS!$H$6:$H$71,MATCH($B1446,SEMANAS!$B$6:$B$71,0)),0)</f>
        <v>40.6</v>
      </c>
      <c r="T1446" s="18" t="n">
        <f aca="false">$R1446*$S1446</f>
        <v>0</v>
      </c>
      <c r="U1446" s="18" t="n">
        <f aca="false">IFERROR(INDEX(SEMANAS!$I$6:$I$71,MATCH($B1446,SEMANAS!$B$6:$B$71,0)),0)</f>
        <v>7</v>
      </c>
      <c r="V1446" s="18" t="n">
        <f aca="false">IFERROR(INDEX(SEMANAS!$J$6:$J$71,MATCH($B1446,SEMANAS!$B$6:$B$71,0)),0)</f>
        <v>5.6</v>
      </c>
      <c r="W1446" s="18" t="n">
        <f aca="false">MAX(0,$T1446-$V1446)</f>
        <v>0</v>
      </c>
      <c r="X1446" s="19" t="n">
        <f aca="false">IFERROR(INDEX(CADASTRO_PIVOS!$K$6:$K$41,MATCH($E1446,CADASTRO_PIVOS!$B$6:$B$41,0)),EFICIENCIA_PADRAO)</f>
        <v>0.85</v>
      </c>
      <c r="Y1446" s="18" t="n">
        <f aca="false">IF($X1446&lt;=0,0,$W1446/$X1446)</f>
        <v>0</v>
      </c>
      <c r="Z1446" s="16" t="n">
        <f aca="false">$Y1446*$H1446*MM_PARA_M3_HA</f>
        <v>0</v>
      </c>
      <c r="AA1446" s="18" t="n">
        <f aca="false">IFERROR(INDEX(CADASTRO_PIVOS!$I$6:$I$41,MATCH($E1446,CADASTRO_PIVOS!$B$6:$B$41,0)),0)</f>
        <v>710.571428571429</v>
      </c>
      <c r="AB1446" s="18" t="n">
        <f aca="false">IF($Z1446&lt;=0,0,$Z1446/$AA1446)</f>
        <v>0</v>
      </c>
      <c r="AC1446" s="16" t="n">
        <f aca="false">IFERROR(INDEX(SEMANAS!$K$6:$K$71,MATCH($B1446,SEMANAS!$B$6:$B$71,0)),0)</f>
        <v>147</v>
      </c>
      <c r="AD1446" s="19" t="n">
        <f aca="false">IF($AC1446&lt;=0,0,$AB1446/$AC1446)</f>
        <v>0</v>
      </c>
      <c r="AE1446" s="8" t="str">
        <f aca="false">IF($K1446="SEM CULTURA","SEM CULTURA",IF($AA1446&lt;=0,"DADO PENDENTE",IF($AD1446&gt;LIMITE_CRITICO,"INVIAVEL",IF($AD1446&gt;LIMITE_ATENCAO,"CRITICO",IF($AD1446&gt;LIMITE_CONFORTAVEL,"ATENCAO","OK")))))</f>
        <v>SEM CULTURA</v>
      </c>
      <c r="AF1446" s="8" t="str">
        <f aca="false">$B1446&amp;"|"&amp;TEXT($AD1446,"0.000000")</f>
        <v>55|0.000000</v>
      </c>
      <c r="AG1446" s="18" t="n">
        <f aca="false">IF($K1446="SEM CULTURA",0,$T1446*$H1446)</f>
        <v>0</v>
      </c>
      <c r="AH1446" s="18" t="n">
        <f aca="false">IF($K1446="SEM CULTURA",0,$V1446*$H1446)</f>
        <v>0</v>
      </c>
      <c r="AI1446" s="18" t="n">
        <f aca="false">IF($K1446="SEM CULTURA",0,$W1446*$H1446)</f>
        <v>0</v>
      </c>
      <c r="AJ1446" s="18" t="n">
        <f aca="false">IF($K1446="SEM CULTURA",0,$S1446*$H1446)</f>
        <v>0</v>
      </c>
      <c r="AK1446" s="8" t="str">
        <f aca="false">$E1446&amp;"|"&amp;TEXT($AD1446,"0.000000")</f>
        <v>PV 129|0.000000</v>
      </c>
    </row>
    <row r="1447" customFormat="false" ht="15" hidden="false" customHeight="false" outlineLevel="0" collapsed="false">
      <c r="B1447" s="16" t="n">
        <v>56</v>
      </c>
      <c r="C1447" s="17" t="n">
        <f aca="false">DATA_INICIO_SAFRA+($B1447-1)*DIAS_POR_SEMANA</f>
        <v>46650</v>
      </c>
      <c r="D1447" s="17" t="n">
        <f aca="false">$C1447+DIAS_POR_SEMANA-1</f>
        <v>46656</v>
      </c>
      <c r="E1447" s="15" t="s">
        <v>280</v>
      </c>
      <c r="F1447" s="8" t="str">
        <f aca="false">IFERROR(INDEX(CADASTRO_PIVOS!$C$6:$C$41,MATCH($E1447,CADASTRO_PIVOS!$B$6:$B$41,0)),"?")</f>
        <v>RM06</v>
      </c>
      <c r="G1447" s="8" t="str">
        <f aca="false">IFERROR(INDEX(CADASTRO_PIVOS!$D$6:$D$41,MATCH($E1447,CADASTRO_PIVOS!$B$6:$B$41,0)),"?")</f>
        <v>TR06</v>
      </c>
      <c r="H1447" s="20" t="n">
        <f aca="false">IFERROR(INDEX(CADASTRO_PIVOS!$E$6:$E$41,MATCH($E1447,CADASTRO_PIVOS!$B$6:$B$41,0)),0)</f>
        <v>99.48</v>
      </c>
      <c r="I1447" s="16" t="n">
        <f aca="false">IFERROR(SUMIFS(ROTACAO_RDM!$B$6:$B$71,ROTACAO_RDM!$D$6:$D$71,$E1447,ROTACAO_RDM!$I$6:$I$71,"&lt;="&amp;$C1447+INT(DIAS_POR_SEMANA/2),ROTACAO_RDM!$J$6:$J$71,"&gt;="&amp;$C1447+INT(DIAS_POR_SEMANA/2)),0)</f>
        <v>0</v>
      </c>
      <c r="J1447" s="16" t="n">
        <f aca="false">IFERROR(MATCH($I1447,ROTACAO_RDM!$B$6:$B$71,0),0)</f>
        <v>0</v>
      </c>
      <c r="K1447" s="8" t="str">
        <f aca="false">IF($J1447=0,"SEM CULTURA",INDEX(ROTACAO_RDM!$F$6:$F$71,$J1447))</f>
        <v>SEM CULTURA</v>
      </c>
      <c r="L1447" s="8" t="str">
        <f aca="false">IF($J1447=0,"",INDEX(ROTACAO_RDM!$G$6:$G$71,$J1447))</f>
        <v/>
      </c>
      <c r="M1447" s="17" t="str">
        <f aca="false">IF($J1447=0,"",INDEX(ROTACAO_RDM!$I$6:$I$71,$J1447))</f>
        <v/>
      </c>
      <c r="N1447" s="16" t="n">
        <f aca="false">IF($J1447=0,0,MAX(0,$C1447+INT(DIAS_POR_SEMANA/2)-INDEX(ROTACAO_RDM!$I$6:$I$71,$J1447)))</f>
        <v>0</v>
      </c>
      <c r="O1447" s="19" t="n">
        <f aca="false">IF($J1447=0,0,MIN(1,$N1447/MAX(1,INDEX(ROTACAO_RDM!$K$6:$K$71,$J1447))))</f>
        <v>0</v>
      </c>
      <c r="P1447" s="16" t="n">
        <f aca="false">IF($J1447=0,0,IFERROR(MATCH(INDEX(ROTACAO_RDM!$N$6:$N$71,$J1447),PARAMETROS_CULTURAS!$B$6:$B$28,0),0))</f>
        <v>0</v>
      </c>
      <c r="Q1447" s="8" t="str">
        <f aca="false">IF($P1447=0,"-",IF($O1447&lt;=INDEX(PARAMETROS_CULTURAS!$F$6:$F$28,$P1447),"INICIAL",IF($O1447&lt;=INDEX(PARAMETROS_CULTURAS!$F$6:$F$28,$P1447)+INDEX(PARAMETROS_CULTURAS!$G$6:$G$28,$P1447),"DESENVOLVIMENTO",IF($O1447&lt;=INDEX(PARAMETROS_CULTURAS!$F$6:$F$28,$P1447)+INDEX(PARAMETROS_CULTURAS!$G$6:$G$28,$P1447)+INDEX(PARAMETROS_CULTURAS!$H$6:$H$28,$P1447),"MEDIA","FINAL"))))</f>
        <v>-</v>
      </c>
      <c r="R1447" s="24" t="n">
        <f aca="false">IF($P1447=0,0,IF($O1447&lt;=INDEX(PARAMETROS_CULTURAS!$F$6:$F$28,$P1447),INDEX(PARAMETROS_CULTURAS!$K$6:$K$28,$P1447),IF($O1447&lt;=INDEX(PARAMETROS_CULTURAS!$F$6:$F$28,$P1447)+INDEX(PARAMETROS_CULTURAS!$G$6:$G$28,$P1447),INDEX(PARAMETROS_CULTURAS!$K$6:$K$28,$P1447)+(INDEX(PARAMETROS_CULTURAS!$L$6:$L$28,$P1447)-INDEX(PARAMETROS_CULTURAS!$K$6:$K$28,$P1447))*($O1447-INDEX(PARAMETROS_CULTURAS!$F$6:$F$28,$P1447))/MAX(INDEX(PARAMETROS_CULTURAS!$G$6:$G$28,$P1447),0.0001),IF($O1447&lt;=INDEX(PARAMETROS_CULTURAS!$F$6:$F$28,$P1447)+INDEX(PARAMETROS_CULTURAS!$G$6:$G$28,$P1447)+INDEX(PARAMETROS_CULTURAS!$H$6:$H$28,$P1447),INDEX(PARAMETROS_CULTURAS!$L$6:$L$28,$P1447),INDEX(PARAMETROS_CULTURAS!$L$6:$L$28,$P1447)+(INDEX(PARAMETROS_CULTURAS!$M$6:$M$28,$P1447)-INDEX(PARAMETROS_CULTURAS!$L$6:$L$28,$P1447))*($O1447-INDEX(PARAMETROS_CULTURAS!$F$6:$F$28,$P1447)-INDEX(PARAMETROS_CULTURAS!$G$6:$G$28,$P1447)-INDEX(PARAMETROS_CULTURAS!$H$6:$H$28,$P1447))/MAX(INDEX(PARAMETROS_CULTURAS!$I$6:$I$28,$P1447),0.0001)))))</f>
        <v>0</v>
      </c>
      <c r="S1447" s="18" t="n">
        <f aca="false">IFERROR(INDEX(SEMANAS!$H$6:$H$71,MATCH($B1447,SEMANAS!$B$6:$B$71,0)),0)</f>
        <v>40.6</v>
      </c>
      <c r="T1447" s="18" t="n">
        <f aca="false">$R1447*$S1447</f>
        <v>0</v>
      </c>
      <c r="U1447" s="18" t="n">
        <f aca="false">IFERROR(INDEX(SEMANAS!$I$6:$I$71,MATCH($B1447,SEMANAS!$B$6:$B$71,0)),0)</f>
        <v>7</v>
      </c>
      <c r="V1447" s="18" t="n">
        <f aca="false">IFERROR(INDEX(SEMANAS!$J$6:$J$71,MATCH($B1447,SEMANAS!$B$6:$B$71,0)),0)</f>
        <v>5.6</v>
      </c>
      <c r="W1447" s="18" t="n">
        <f aca="false">MAX(0,$T1447-$V1447)</f>
        <v>0</v>
      </c>
      <c r="X1447" s="19" t="n">
        <f aca="false">IFERROR(INDEX(CADASTRO_PIVOS!$K$6:$K$41,MATCH($E1447,CADASTRO_PIVOS!$B$6:$B$41,0)),EFICIENCIA_PADRAO)</f>
        <v>0.85</v>
      </c>
      <c r="Y1447" s="18" t="n">
        <f aca="false">IF($X1447&lt;=0,0,$W1447/$X1447)</f>
        <v>0</v>
      </c>
      <c r="Z1447" s="16" t="n">
        <f aca="false">$Y1447*$H1447*MM_PARA_M3_HA</f>
        <v>0</v>
      </c>
      <c r="AA1447" s="18" t="n">
        <f aca="false">IFERROR(INDEX(CADASTRO_PIVOS!$I$6:$I$41,MATCH($E1447,CADASTRO_PIVOS!$B$6:$B$41,0)),0)</f>
        <v>710.571428571429</v>
      </c>
      <c r="AB1447" s="18" t="n">
        <f aca="false">IF($Z1447&lt;=0,0,$Z1447/$AA1447)</f>
        <v>0</v>
      </c>
      <c r="AC1447" s="16" t="n">
        <f aca="false">IFERROR(INDEX(SEMANAS!$K$6:$K$71,MATCH($B1447,SEMANAS!$B$6:$B$71,0)),0)</f>
        <v>147</v>
      </c>
      <c r="AD1447" s="19" t="n">
        <f aca="false">IF($AC1447&lt;=0,0,$AB1447/$AC1447)</f>
        <v>0</v>
      </c>
      <c r="AE1447" s="8" t="str">
        <f aca="false">IF($K1447="SEM CULTURA","SEM CULTURA",IF($AA1447&lt;=0,"DADO PENDENTE",IF($AD1447&gt;LIMITE_CRITICO,"INVIAVEL",IF($AD1447&gt;LIMITE_ATENCAO,"CRITICO",IF($AD1447&gt;LIMITE_CONFORTAVEL,"ATENCAO","OK")))))</f>
        <v>SEM CULTURA</v>
      </c>
      <c r="AF1447" s="8" t="str">
        <f aca="false">$B1447&amp;"|"&amp;TEXT($AD1447,"0.000000")</f>
        <v>56|0.000000</v>
      </c>
      <c r="AG1447" s="18" t="n">
        <f aca="false">IF($K1447="SEM CULTURA",0,$T1447*$H1447)</f>
        <v>0</v>
      </c>
      <c r="AH1447" s="18" t="n">
        <f aca="false">IF($K1447="SEM CULTURA",0,$V1447*$H1447)</f>
        <v>0</v>
      </c>
      <c r="AI1447" s="18" t="n">
        <f aca="false">IF($K1447="SEM CULTURA",0,$W1447*$H1447)</f>
        <v>0</v>
      </c>
      <c r="AJ1447" s="18" t="n">
        <f aca="false">IF($K1447="SEM CULTURA",0,$S1447*$H1447)</f>
        <v>0</v>
      </c>
      <c r="AK1447" s="8" t="str">
        <f aca="false">$E1447&amp;"|"&amp;TEXT($AD1447,"0.000000")</f>
        <v>PV 129|0.000000</v>
      </c>
    </row>
    <row r="1448" customFormat="false" ht="15" hidden="false" customHeight="false" outlineLevel="0" collapsed="false">
      <c r="B1448" s="16" t="n">
        <v>57</v>
      </c>
      <c r="C1448" s="17" t="n">
        <f aca="false">DATA_INICIO_SAFRA+($B1448-1)*DIAS_POR_SEMANA</f>
        <v>46657</v>
      </c>
      <c r="D1448" s="17" t="n">
        <f aca="false">$C1448+DIAS_POR_SEMANA-1</f>
        <v>46663</v>
      </c>
      <c r="E1448" s="15" t="s">
        <v>280</v>
      </c>
      <c r="F1448" s="8" t="str">
        <f aca="false">IFERROR(INDEX(CADASTRO_PIVOS!$C$6:$C$41,MATCH($E1448,CADASTRO_PIVOS!$B$6:$B$41,0)),"?")</f>
        <v>RM06</v>
      </c>
      <c r="G1448" s="8" t="str">
        <f aca="false">IFERROR(INDEX(CADASTRO_PIVOS!$D$6:$D$41,MATCH($E1448,CADASTRO_PIVOS!$B$6:$B$41,0)),"?")</f>
        <v>TR06</v>
      </c>
      <c r="H1448" s="20" t="n">
        <f aca="false">IFERROR(INDEX(CADASTRO_PIVOS!$E$6:$E$41,MATCH($E1448,CADASTRO_PIVOS!$B$6:$B$41,0)),0)</f>
        <v>99.48</v>
      </c>
      <c r="I1448" s="16" t="n">
        <f aca="false">IFERROR(SUMIFS(ROTACAO_RDM!$B$6:$B$71,ROTACAO_RDM!$D$6:$D$71,$E1448,ROTACAO_RDM!$I$6:$I$71,"&lt;="&amp;$C1448+INT(DIAS_POR_SEMANA/2),ROTACAO_RDM!$J$6:$J$71,"&gt;="&amp;$C1448+INT(DIAS_POR_SEMANA/2)),0)</f>
        <v>0</v>
      </c>
      <c r="J1448" s="16" t="n">
        <f aca="false">IFERROR(MATCH($I1448,ROTACAO_RDM!$B$6:$B$71,0),0)</f>
        <v>0</v>
      </c>
      <c r="K1448" s="8" t="str">
        <f aca="false">IF($J1448=0,"SEM CULTURA",INDEX(ROTACAO_RDM!$F$6:$F$71,$J1448))</f>
        <v>SEM CULTURA</v>
      </c>
      <c r="L1448" s="8" t="str">
        <f aca="false">IF($J1448=0,"",INDEX(ROTACAO_RDM!$G$6:$G$71,$J1448))</f>
        <v/>
      </c>
      <c r="M1448" s="17" t="str">
        <f aca="false">IF($J1448=0,"",INDEX(ROTACAO_RDM!$I$6:$I$71,$J1448))</f>
        <v/>
      </c>
      <c r="N1448" s="16" t="n">
        <f aca="false">IF($J1448=0,0,MAX(0,$C1448+INT(DIAS_POR_SEMANA/2)-INDEX(ROTACAO_RDM!$I$6:$I$71,$J1448)))</f>
        <v>0</v>
      </c>
      <c r="O1448" s="19" t="n">
        <f aca="false">IF($J1448=0,0,MIN(1,$N1448/MAX(1,INDEX(ROTACAO_RDM!$K$6:$K$71,$J1448))))</f>
        <v>0</v>
      </c>
      <c r="P1448" s="16" t="n">
        <f aca="false">IF($J1448=0,0,IFERROR(MATCH(INDEX(ROTACAO_RDM!$N$6:$N$71,$J1448),PARAMETROS_CULTURAS!$B$6:$B$28,0),0))</f>
        <v>0</v>
      </c>
      <c r="Q1448" s="8" t="str">
        <f aca="false">IF($P1448=0,"-",IF($O1448&lt;=INDEX(PARAMETROS_CULTURAS!$F$6:$F$28,$P1448),"INICIAL",IF($O1448&lt;=INDEX(PARAMETROS_CULTURAS!$F$6:$F$28,$P1448)+INDEX(PARAMETROS_CULTURAS!$G$6:$G$28,$P1448),"DESENVOLVIMENTO",IF($O1448&lt;=INDEX(PARAMETROS_CULTURAS!$F$6:$F$28,$P1448)+INDEX(PARAMETROS_CULTURAS!$G$6:$G$28,$P1448)+INDEX(PARAMETROS_CULTURAS!$H$6:$H$28,$P1448),"MEDIA","FINAL"))))</f>
        <v>-</v>
      </c>
      <c r="R1448" s="24" t="n">
        <f aca="false">IF($P1448=0,0,IF($O1448&lt;=INDEX(PARAMETROS_CULTURAS!$F$6:$F$28,$P1448),INDEX(PARAMETROS_CULTURAS!$K$6:$K$28,$P1448),IF($O1448&lt;=INDEX(PARAMETROS_CULTURAS!$F$6:$F$28,$P1448)+INDEX(PARAMETROS_CULTURAS!$G$6:$G$28,$P1448),INDEX(PARAMETROS_CULTURAS!$K$6:$K$28,$P1448)+(INDEX(PARAMETROS_CULTURAS!$L$6:$L$28,$P1448)-INDEX(PARAMETROS_CULTURAS!$K$6:$K$28,$P1448))*($O1448-INDEX(PARAMETROS_CULTURAS!$F$6:$F$28,$P1448))/MAX(INDEX(PARAMETROS_CULTURAS!$G$6:$G$28,$P1448),0.0001),IF($O1448&lt;=INDEX(PARAMETROS_CULTURAS!$F$6:$F$28,$P1448)+INDEX(PARAMETROS_CULTURAS!$G$6:$G$28,$P1448)+INDEX(PARAMETROS_CULTURAS!$H$6:$H$28,$P1448),INDEX(PARAMETROS_CULTURAS!$L$6:$L$28,$P1448),INDEX(PARAMETROS_CULTURAS!$L$6:$L$28,$P1448)+(INDEX(PARAMETROS_CULTURAS!$M$6:$M$28,$P1448)-INDEX(PARAMETROS_CULTURAS!$L$6:$L$28,$P1448))*($O1448-INDEX(PARAMETROS_CULTURAS!$F$6:$F$28,$P1448)-INDEX(PARAMETROS_CULTURAS!$G$6:$G$28,$P1448)-INDEX(PARAMETROS_CULTURAS!$H$6:$H$28,$P1448))/MAX(INDEX(PARAMETROS_CULTURAS!$I$6:$I$28,$P1448),0.0001)))))</f>
        <v>0</v>
      </c>
      <c r="S1448" s="18" t="n">
        <f aca="false">IFERROR(INDEX(SEMANAS!$H$6:$H$71,MATCH($B1448,SEMANAS!$B$6:$B$71,0)),0)</f>
        <v>40</v>
      </c>
      <c r="T1448" s="18" t="n">
        <f aca="false">$R1448*$S1448</f>
        <v>0</v>
      </c>
      <c r="U1448" s="18" t="n">
        <f aca="false">IFERROR(INDEX(SEMANAS!$I$6:$I$71,MATCH($B1448,SEMANAS!$B$6:$B$71,0)),0)</f>
        <v>15.61</v>
      </c>
      <c r="V1448" s="18" t="n">
        <f aca="false">IFERROR(INDEX(SEMANAS!$J$6:$J$71,MATCH($B1448,SEMANAS!$B$6:$B$71,0)),0)</f>
        <v>12.488</v>
      </c>
      <c r="W1448" s="18" t="n">
        <f aca="false">MAX(0,$T1448-$V1448)</f>
        <v>0</v>
      </c>
      <c r="X1448" s="19" t="n">
        <f aca="false">IFERROR(INDEX(CADASTRO_PIVOS!$K$6:$K$41,MATCH($E1448,CADASTRO_PIVOS!$B$6:$B$41,0)),EFICIENCIA_PADRAO)</f>
        <v>0.85</v>
      </c>
      <c r="Y1448" s="18" t="n">
        <f aca="false">IF($X1448&lt;=0,0,$W1448/$X1448)</f>
        <v>0</v>
      </c>
      <c r="Z1448" s="16" t="n">
        <f aca="false">$Y1448*$H1448*MM_PARA_M3_HA</f>
        <v>0</v>
      </c>
      <c r="AA1448" s="18" t="n">
        <f aca="false">IFERROR(INDEX(CADASTRO_PIVOS!$I$6:$I$41,MATCH($E1448,CADASTRO_PIVOS!$B$6:$B$41,0)),0)</f>
        <v>710.571428571429</v>
      </c>
      <c r="AB1448" s="18" t="n">
        <f aca="false">IF($Z1448&lt;=0,0,$Z1448/$AA1448)</f>
        <v>0</v>
      </c>
      <c r="AC1448" s="16" t="n">
        <f aca="false">IFERROR(INDEX(SEMANAS!$K$6:$K$71,MATCH($B1448,SEMANAS!$B$6:$B$71,0)),0)</f>
        <v>147</v>
      </c>
      <c r="AD1448" s="19" t="n">
        <f aca="false">IF($AC1448&lt;=0,0,$AB1448/$AC1448)</f>
        <v>0</v>
      </c>
      <c r="AE1448" s="8" t="str">
        <f aca="false">IF($K1448="SEM CULTURA","SEM CULTURA",IF($AA1448&lt;=0,"DADO PENDENTE",IF($AD1448&gt;LIMITE_CRITICO,"INVIAVEL",IF($AD1448&gt;LIMITE_ATENCAO,"CRITICO",IF($AD1448&gt;LIMITE_CONFORTAVEL,"ATENCAO","OK")))))</f>
        <v>SEM CULTURA</v>
      </c>
      <c r="AF1448" s="8" t="str">
        <f aca="false">$B1448&amp;"|"&amp;TEXT($AD1448,"0.000000")</f>
        <v>57|0.000000</v>
      </c>
      <c r="AG1448" s="18" t="n">
        <f aca="false">IF($K1448="SEM CULTURA",0,$T1448*$H1448)</f>
        <v>0</v>
      </c>
      <c r="AH1448" s="18" t="n">
        <f aca="false">IF($K1448="SEM CULTURA",0,$V1448*$H1448)</f>
        <v>0</v>
      </c>
      <c r="AI1448" s="18" t="n">
        <f aca="false">IF($K1448="SEM CULTURA",0,$W1448*$H1448)</f>
        <v>0</v>
      </c>
      <c r="AJ1448" s="18" t="n">
        <f aca="false">IF($K1448="SEM CULTURA",0,$S1448*$H1448)</f>
        <v>0</v>
      </c>
      <c r="AK1448" s="8" t="str">
        <f aca="false">$E1448&amp;"|"&amp;TEXT($AD1448,"0.000000")</f>
        <v>PV 129|0.000000</v>
      </c>
    </row>
    <row r="1449" customFormat="false" ht="15" hidden="false" customHeight="false" outlineLevel="0" collapsed="false">
      <c r="B1449" s="16" t="n">
        <v>58</v>
      </c>
      <c r="C1449" s="17" t="n">
        <f aca="false">DATA_INICIO_SAFRA+($B1449-1)*DIAS_POR_SEMANA</f>
        <v>46664</v>
      </c>
      <c r="D1449" s="17" t="n">
        <f aca="false">$C1449+DIAS_POR_SEMANA-1</f>
        <v>46670</v>
      </c>
      <c r="E1449" s="15" t="s">
        <v>280</v>
      </c>
      <c r="F1449" s="8" t="str">
        <f aca="false">IFERROR(INDEX(CADASTRO_PIVOS!$C$6:$C$41,MATCH($E1449,CADASTRO_PIVOS!$B$6:$B$41,0)),"?")</f>
        <v>RM06</v>
      </c>
      <c r="G1449" s="8" t="str">
        <f aca="false">IFERROR(INDEX(CADASTRO_PIVOS!$D$6:$D$41,MATCH($E1449,CADASTRO_PIVOS!$B$6:$B$41,0)),"?")</f>
        <v>TR06</v>
      </c>
      <c r="H1449" s="20" t="n">
        <f aca="false">IFERROR(INDEX(CADASTRO_PIVOS!$E$6:$E$41,MATCH($E1449,CADASTRO_PIVOS!$B$6:$B$41,0)),0)</f>
        <v>99.48</v>
      </c>
      <c r="I1449" s="16" t="n">
        <f aca="false">IFERROR(SUMIFS(ROTACAO_RDM!$B$6:$B$71,ROTACAO_RDM!$D$6:$D$71,$E1449,ROTACAO_RDM!$I$6:$I$71,"&lt;="&amp;$C1449+INT(DIAS_POR_SEMANA/2),ROTACAO_RDM!$J$6:$J$71,"&gt;="&amp;$C1449+INT(DIAS_POR_SEMANA/2)),0)</f>
        <v>0</v>
      </c>
      <c r="J1449" s="16" t="n">
        <f aca="false">IFERROR(MATCH($I1449,ROTACAO_RDM!$B$6:$B$71,0),0)</f>
        <v>0</v>
      </c>
      <c r="K1449" s="8" t="str">
        <f aca="false">IF($J1449=0,"SEM CULTURA",INDEX(ROTACAO_RDM!$F$6:$F$71,$J1449))</f>
        <v>SEM CULTURA</v>
      </c>
      <c r="L1449" s="8" t="str">
        <f aca="false">IF($J1449=0,"",INDEX(ROTACAO_RDM!$G$6:$G$71,$J1449))</f>
        <v/>
      </c>
      <c r="M1449" s="17" t="str">
        <f aca="false">IF($J1449=0,"",INDEX(ROTACAO_RDM!$I$6:$I$71,$J1449))</f>
        <v/>
      </c>
      <c r="N1449" s="16" t="n">
        <f aca="false">IF($J1449=0,0,MAX(0,$C1449+INT(DIAS_POR_SEMANA/2)-INDEX(ROTACAO_RDM!$I$6:$I$71,$J1449)))</f>
        <v>0</v>
      </c>
      <c r="O1449" s="19" t="n">
        <f aca="false">IF($J1449=0,0,MIN(1,$N1449/MAX(1,INDEX(ROTACAO_RDM!$K$6:$K$71,$J1449))))</f>
        <v>0</v>
      </c>
      <c r="P1449" s="16" t="n">
        <f aca="false">IF($J1449=0,0,IFERROR(MATCH(INDEX(ROTACAO_RDM!$N$6:$N$71,$J1449),PARAMETROS_CULTURAS!$B$6:$B$28,0),0))</f>
        <v>0</v>
      </c>
      <c r="Q1449" s="8" t="str">
        <f aca="false">IF($P1449=0,"-",IF($O1449&lt;=INDEX(PARAMETROS_CULTURAS!$F$6:$F$28,$P1449),"INICIAL",IF($O1449&lt;=INDEX(PARAMETROS_CULTURAS!$F$6:$F$28,$P1449)+INDEX(PARAMETROS_CULTURAS!$G$6:$G$28,$P1449),"DESENVOLVIMENTO",IF($O1449&lt;=INDEX(PARAMETROS_CULTURAS!$F$6:$F$28,$P1449)+INDEX(PARAMETROS_CULTURAS!$G$6:$G$28,$P1449)+INDEX(PARAMETROS_CULTURAS!$H$6:$H$28,$P1449),"MEDIA","FINAL"))))</f>
        <v>-</v>
      </c>
      <c r="R1449" s="24" t="n">
        <f aca="false">IF($P1449=0,0,IF($O1449&lt;=INDEX(PARAMETROS_CULTURAS!$F$6:$F$28,$P1449),INDEX(PARAMETROS_CULTURAS!$K$6:$K$28,$P1449),IF($O1449&lt;=INDEX(PARAMETROS_CULTURAS!$F$6:$F$28,$P1449)+INDEX(PARAMETROS_CULTURAS!$G$6:$G$28,$P1449),INDEX(PARAMETROS_CULTURAS!$K$6:$K$28,$P1449)+(INDEX(PARAMETROS_CULTURAS!$L$6:$L$28,$P1449)-INDEX(PARAMETROS_CULTURAS!$K$6:$K$28,$P1449))*($O1449-INDEX(PARAMETROS_CULTURAS!$F$6:$F$28,$P1449))/MAX(INDEX(PARAMETROS_CULTURAS!$G$6:$G$28,$P1449),0.0001),IF($O1449&lt;=INDEX(PARAMETROS_CULTURAS!$F$6:$F$28,$P1449)+INDEX(PARAMETROS_CULTURAS!$G$6:$G$28,$P1449)+INDEX(PARAMETROS_CULTURAS!$H$6:$H$28,$P1449),INDEX(PARAMETROS_CULTURAS!$L$6:$L$28,$P1449),INDEX(PARAMETROS_CULTURAS!$L$6:$L$28,$P1449)+(INDEX(PARAMETROS_CULTURAS!$M$6:$M$28,$P1449)-INDEX(PARAMETROS_CULTURAS!$L$6:$L$28,$P1449))*($O1449-INDEX(PARAMETROS_CULTURAS!$F$6:$F$28,$P1449)-INDEX(PARAMETROS_CULTURAS!$G$6:$G$28,$P1449)-INDEX(PARAMETROS_CULTURAS!$H$6:$H$28,$P1449))/MAX(INDEX(PARAMETROS_CULTURAS!$I$6:$I$28,$P1449),0.0001)))))</f>
        <v>0</v>
      </c>
      <c r="S1449" s="18" t="n">
        <f aca="false">IFERROR(INDEX(SEMANAS!$H$6:$H$71,MATCH($B1449,SEMANAS!$B$6:$B$71,0)),0)</f>
        <v>39.2</v>
      </c>
      <c r="T1449" s="18" t="n">
        <f aca="false">$R1449*$S1449</f>
        <v>0</v>
      </c>
      <c r="U1449" s="18" t="n">
        <f aca="false">IFERROR(INDEX(SEMANAS!$I$6:$I$71,MATCH($B1449,SEMANAS!$B$6:$B$71,0)),0)</f>
        <v>27.09</v>
      </c>
      <c r="V1449" s="18" t="n">
        <f aca="false">IFERROR(INDEX(SEMANAS!$J$6:$J$71,MATCH($B1449,SEMANAS!$B$6:$B$71,0)),0)</f>
        <v>21.672</v>
      </c>
      <c r="W1449" s="18" t="n">
        <f aca="false">MAX(0,$T1449-$V1449)</f>
        <v>0</v>
      </c>
      <c r="X1449" s="19" t="n">
        <f aca="false">IFERROR(INDEX(CADASTRO_PIVOS!$K$6:$K$41,MATCH($E1449,CADASTRO_PIVOS!$B$6:$B$41,0)),EFICIENCIA_PADRAO)</f>
        <v>0.85</v>
      </c>
      <c r="Y1449" s="18" t="n">
        <f aca="false">IF($X1449&lt;=0,0,$W1449/$X1449)</f>
        <v>0</v>
      </c>
      <c r="Z1449" s="16" t="n">
        <f aca="false">$Y1449*$H1449*MM_PARA_M3_HA</f>
        <v>0</v>
      </c>
      <c r="AA1449" s="18" t="n">
        <f aca="false">IFERROR(INDEX(CADASTRO_PIVOS!$I$6:$I$41,MATCH($E1449,CADASTRO_PIVOS!$B$6:$B$41,0)),0)</f>
        <v>710.571428571429</v>
      </c>
      <c r="AB1449" s="18" t="n">
        <f aca="false">IF($Z1449&lt;=0,0,$Z1449/$AA1449)</f>
        <v>0</v>
      </c>
      <c r="AC1449" s="16" t="n">
        <f aca="false">IFERROR(INDEX(SEMANAS!$K$6:$K$71,MATCH($B1449,SEMANAS!$B$6:$B$71,0)),0)</f>
        <v>147</v>
      </c>
      <c r="AD1449" s="19" t="n">
        <f aca="false">IF($AC1449&lt;=0,0,$AB1449/$AC1449)</f>
        <v>0</v>
      </c>
      <c r="AE1449" s="8" t="str">
        <f aca="false">IF($K1449="SEM CULTURA","SEM CULTURA",IF($AA1449&lt;=0,"DADO PENDENTE",IF($AD1449&gt;LIMITE_CRITICO,"INVIAVEL",IF($AD1449&gt;LIMITE_ATENCAO,"CRITICO",IF($AD1449&gt;LIMITE_CONFORTAVEL,"ATENCAO","OK")))))</f>
        <v>SEM CULTURA</v>
      </c>
      <c r="AF1449" s="8" t="str">
        <f aca="false">$B1449&amp;"|"&amp;TEXT($AD1449,"0.000000")</f>
        <v>58|0.000000</v>
      </c>
      <c r="AG1449" s="18" t="n">
        <f aca="false">IF($K1449="SEM CULTURA",0,$T1449*$H1449)</f>
        <v>0</v>
      </c>
      <c r="AH1449" s="18" t="n">
        <f aca="false">IF($K1449="SEM CULTURA",0,$V1449*$H1449)</f>
        <v>0</v>
      </c>
      <c r="AI1449" s="18" t="n">
        <f aca="false">IF($K1449="SEM CULTURA",0,$W1449*$H1449)</f>
        <v>0</v>
      </c>
      <c r="AJ1449" s="18" t="n">
        <f aca="false">IF($K1449="SEM CULTURA",0,$S1449*$H1449)</f>
        <v>0</v>
      </c>
      <c r="AK1449" s="8" t="str">
        <f aca="false">$E1449&amp;"|"&amp;TEXT($AD1449,"0.000000")</f>
        <v>PV 129|0.000000</v>
      </c>
    </row>
    <row r="1450" customFormat="false" ht="15" hidden="false" customHeight="false" outlineLevel="0" collapsed="false">
      <c r="B1450" s="16" t="n">
        <v>59</v>
      </c>
      <c r="C1450" s="17" t="n">
        <f aca="false">DATA_INICIO_SAFRA+($B1450-1)*DIAS_POR_SEMANA</f>
        <v>46671</v>
      </c>
      <c r="D1450" s="17" t="n">
        <f aca="false">$C1450+DIAS_POR_SEMANA-1</f>
        <v>46677</v>
      </c>
      <c r="E1450" s="15" t="s">
        <v>280</v>
      </c>
      <c r="F1450" s="8" t="str">
        <f aca="false">IFERROR(INDEX(CADASTRO_PIVOS!$C$6:$C$41,MATCH($E1450,CADASTRO_PIVOS!$B$6:$B$41,0)),"?")</f>
        <v>RM06</v>
      </c>
      <c r="G1450" s="8" t="str">
        <f aca="false">IFERROR(INDEX(CADASTRO_PIVOS!$D$6:$D$41,MATCH($E1450,CADASTRO_PIVOS!$B$6:$B$41,0)),"?")</f>
        <v>TR06</v>
      </c>
      <c r="H1450" s="20" t="n">
        <f aca="false">IFERROR(INDEX(CADASTRO_PIVOS!$E$6:$E$41,MATCH($E1450,CADASTRO_PIVOS!$B$6:$B$41,0)),0)</f>
        <v>99.48</v>
      </c>
      <c r="I1450" s="16" t="n">
        <f aca="false">IFERROR(SUMIFS(ROTACAO_RDM!$B$6:$B$71,ROTACAO_RDM!$D$6:$D$71,$E1450,ROTACAO_RDM!$I$6:$I$71,"&lt;="&amp;$C1450+INT(DIAS_POR_SEMANA/2),ROTACAO_RDM!$J$6:$J$71,"&gt;="&amp;$C1450+INT(DIAS_POR_SEMANA/2)),0)</f>
        <v>0</v>
      </c>
      <c r="J1450" s="16" t="n">
        <f aca="false">IFERROR(MATCH($I1450,ROTACAO_RDM!$B$6:$B$71,0),0)</f>
        <v>0</v>
      </c>
      <c r="K1450" s="8" t="str">
        <f aca="false">IF($J1450=0,"SEM CULTURA",INDEX(ROTACAO_RDM!$F$6:$F$71,$J1450))</f>
        <v>SEM CULTURA</v>
      </c>
      <c r="L1450" s="8" t="str">
        <f aca="false">IF($J1450=0,"",INDEX(ROTACAO_RDM!$G$6:$G$71,$J1450))</f>
        <v/>
      </c>
      <c r="M1450" s="17" t="str">
        <f aca="false">IF($J1450=0,"",INDEX(ROTACAO_RDM!$I$6:$I$71,$J1450))</f>
        <v/>
      </c>
      <c r="N1450" s="16" t="n">
        <f aca="false">IF($J1450=0,0,MAX(0,$C1450+INT(DIAS_POR_SEMANA/2)-INDEX(ROTACAO_RDM!$I$6:$I$71,$J1450)))</f>
        <v>0</v>
      </c>
      <c r="O1450" s="19" t="n">
        <f aca="false">IF($J1450=0,0,MIN(1,$N1450/MAX(1,INDEX(ROTACAO_RDM!$K$6:$K$71,$J1450))))</f>
        <v>0</v>
      </c>
      <c r="P1450" s="16" t="n">
        <f aca="false">IF($J1450=0,0,IFERROR(MATCH(INDEX(ROTACAO_RDM!$N$6:$N$71,$J1450),PARAMETROS_CULTURAS!$B$6:$B$28,0),0))</f>
        <v>0</v>
      </c>
      <c r="Q1450" s="8" t="str">
        <f aca="false">IF($P1450=0,"-",IF($O1450&lt;=INDEX(PARAMETROS_CULTURAS!$F$6:$F$28,$P1450),"INICIAL",IF($O1450&lt;=INDEX(PARAMETROS_CULTURAS!$F$6:$F$28,$P1450)+INDEX(PARAMETROS_CULTURAS!$G$6:$G$28,$P1450),"DESENVOLVIMENTO",IF($O1450&lt;=INDEX(PARAMETROS_CULTURAS!$F$6:$F$28,$P1450)+INDEX(PARAMETROS_CULTURAS!$G$6:$G$28,$P1450)+INDEX(PARAMETROS_CULTURAS!$H$6:$H$28,$P1450),"MEDIA","FINAL"))))</f>
        <v>-</v>
      </c>
      <c r="R1450" s="24" t="n">
        <f aca="false">IF($P1450=0,0,IF($O1450&lt;=INDEX(PARAMETROS_CULTURAS!$F$6:$F$28,$P1450),INDEX(PARAMETROS_CULTURAS!$K$6:$K$28,$P1450),IF($O1450&lt;=INDEX(PARAMETROS_CULTURAS!$F$6:$F$28,$P1450)+INDEX(PARAMETROS_CULTURAS!$G$6:$G$28,$P1450),INDEX(PARAMETROS_CULTURAS!$K$6:$K$28,$P1450)+(INDEX(PARAMETROS_CULTURAS!$L$6:$L$28,$P1450)-INDEX(PARAMETROS_CULTURAS!$K$6:$K$28,$P1450))*($O1450-INDEX(PARAMETROS_CULTURAS!$F$6:$F$28,$P1450))/MAX(INDEX(PARAMETROS_CULTURAS!$G$6:$G$28,$P1450),0.0001),IF($O1450&lt;=INDEX(PARAMETROS_CULTURAS!$F$6:$F$28,$P1450)+INDEX(PARAMETROS_CULTURAS!$G$6:$G$28,$P1450)+INDEX(PARAMETROS_CULTURAS!$H$6:$H$28,$P1450),INDEX(PARAMETROS_CULTURAS!$L$6:$L$28,$P1450),INDEX(PARAMETROS_CULTURAS!$L$6:$L$28,$P1450)+(INDEX(PARAMETROS_CULTURAS!$M$6:$M$28,$P1450)-INDEX(PARAMETROS_CULTURAS!$L$6:$L$28,$P1450))*($O1450-INDEX(PARAMETROS_CULTURAS!$F$6:$F$28,$P1450)-INDEX(PARAMETROS_CULTURAS!$G$6:$G$28,$P1450)-INDEX(PARAMETROS_CULTURAS!$H$6:$H$28,$P1450))/MAX(INDEX(PARAMETROS_CULTURAS!$I$6:$I$28,$P1450),0.0001)))))</f>
        <v>0</v>
      </c>
      <c r="S1450" s="18" t="n">
        <f aca="false">IFERROR(INDEX(SEMANAS!$H$6:$H$71,MATCH($B1450,SEMANAS!$B$6:$B$71,0)),0)</f>
        <v>39.2</v>
      </c>
      <c r="T1450" s="18" t="n">
        <f aca="false">$R1450*$S1450</f>
        <v>0</v>
      </c>
      <c r="U1450" s="18" t="n">
        <f aca="false">IFERROR(INDEX(SEMANAS!$I$6:$I$71,MATCH($B1450,SEMANAS!$B$6:$B$71,0)),0)</f>
        <v>27.09</v>
      </c>
      <c r="V1450" s="18" t="n">
        <f aca="false">IFERROR(INDEX(SEMANAS!$J$6:$J$71,MATCH($B1450,SEMANAS!$B$6:$B$71,0)),0)</f>
        <v>21.672</v>
      </c>
      <c r="W1450" s="18" t="n">
        <f aca="false">MAX(0,$T1450-$V1450)</f>
        <v>0</v>
      </c>
      <c r="X1450" s="19" t="n">
        <f aca="false">IFERROR(INDEX(CADASTRO_PIVOS!$K$6:$K$41,MATCH($E1450,CADASTRO_PIVOS!$B$6:$B$41,0)),EFICIENCIA_PADRAO)</f>
        <v>0.85</v>
      </c>
      <c r="Y1450" s="18" t="n">
        <f aca="false">IF($X1450&lt;=0,0,$W1450/$X1450)</f>
        <v>0</v>
      </c>
      <c r="Z1450" s="16" t="n">
        <f aca="false">$Y1450*$H1450*MM_PARA_M3_HA</f>
        <v>0</v>
      </c>
      <c r="AA1450" s="18" t="n">
        <f aca="false">IFERROR(INDEX(CADASTRO_PIVOS!$I$6:$I$41,MATCH($E1450,CADASTRO_PIVOS!$B$6:$B$41,0)),0)</f>
        <v>710.571428571429</v>
      </c>
      <c r="AB1450" s="18" t="n">
        <f aca="false">IF($Z1450&lt;=0,0,$Z1450/$AA1450)</f>
        <v>0</v>
      </c>
      <c r="AC1450" s="16" t="n">
        <f aca="false">IFERROR(INDEX(SEMANAS!$K$6:$K$71,MATCH($B1450,SEMANAS!$B$6:$B$71,0)),0)</f>
        <v>147</v>
      </c>
      <c r="AD1450" s="19" t="n">
        <f aca="false">IF($AC1450&lt;=0,0,$AB1450/$AC1450)</f>
        <v>0</v>
      </c>
      <c r="AE1450" s="8" t="str">
        <f aca="false">IF($K1450="SEM CULTURA","SEM CULTURA",IF($AA1450&lt;=0,"DADO PENDENTE",IF($AD1450&gt;LIMITE_CRITICO,"INVIAVEL",IF($AD1450&gt;LIMITE_ATENCAO,"CRITICO",IF($AD1450&gt;LIMITE_CONFORTAVEL,"ATENCAO","OK")))))</f>
        <v>SEM CULTURA</v>
      </c>
      <c r="AF1450" s="8" t="str">
        <f aca="false">$B1450&amp;"|"&amp;TEXT($AD1450,"0.000000")</f>
        <v>59|0.000000</v>
      </c>
      <c r="AG1450" s="18" t="n">
        <f aca="false">IF($K1450="SEM CULTURA",0,$T1450*$H1450)</f>
        <v>0</v>
      </c>
      <c r="AH1450" s="18" t="n">
        <f aca="false">IF($K1450="SEM CULTURA",0,$V1450*$H1450)</f>
        <v>0</v>
      </c>
      <c r="AI1450" s="18" t="n">
        <f aca="false">IF($K1450="SEM CULTURA",0,$W1450*$H1450)</f>
        <v>0</v>
      </c>
      <c r="AJ1450" s="18" t="n">
        <f aca="false">IF($K1450="SEM CULTURA",0,$S1450*$H1450)</f>
        <v>0</v>
      </c>
      <c r="AK1450" s="8" t="str">
        <f aca="false">$E1450&amp;"|"&amp;TEXT($AD1450,"0.000000")</f>
        <v>PV 129|0.000000</v>
      </c>
    </row>
    <row r="1451" customFormat="false" ht="15" hidden="false" customHeight="false" outlineLevel="0" collapsed="false">
      <c r="B1451" s="16" t="n">
        <v>60</v>
      </c>
      <c r="C1451" s="17" t="n">
        <f aca="false">DATA_INICIO_SAFRA+($B1451-1)*DIAS_POR_SEMANA</f>
        <v>46678</v>
      </c>
      <c r="D1451" s="17" t="n">
        <f aca="false">$C1451+DIAS_POR_SEMANA-1</f>
        <v>46684</v>
      </c>
      <c r="E1451" s="15" t="s">
        <v>280</v>
      </c>
      <c r="F1451" s="8" t="str">
        <f aca="false">IFERROR(INDEX(CADASTRO_PIVOS!$C$6:$C$41,MATCH($E1451,CADASTRO_PIVOS!$B$6:$B$41,0)),"?")</f>
        <v>RM06</v>
      </c>
      <c r="G1451" s="8" t="str">
        <f aca="false">IFERROR(INDEX(CADASTRO_PIVOS!$D$6:$D$41,MATCH($E1451,CADASTRO_PIVOS!$B$6:$B$41,0)),"?")</f>
        <v>TR06</v>
      </c>
      <c r="H1451" s="20" t="n">
        <f aca="false">IFERROR(INDEX(CADASTRO_PIVOS!$E$6:$E$41,MATCH($E1451,CADASTRO_PIVOS!$B$6:$B$41,0)),0)</f>
        <v>99.48</v>
      </c>
      <c r="I1451" s="16" t="n">
        <f aca="false">IFERROR(SUMIFS(ROTACAO_RDM!$B$6:$B$71,ROTACAO_RDM!$D$6:$D$71,$E1451,ROTACAO_RDM!$I$6:$I$71,"&lt;="&amp;$C1451+INT(DIAS_POR_SEMANA/2),ROTACAO_RDM!$J$6:$J$71,"&gt;="&amp;$C1451+INT(DIAS_POR_SEMANA/2)),0)</f>
        <v>0</v>
      </c>
      <c r="J1451" s="16" t="n">
        <f aca="false">IFERROR(MATCH($I1451,ROTACAO_RDM!$B$6:$B$71,0),0)</f>
        <v>0</v>
      </c>
      <c r="K1451" s="8" t="str">
        <f aca="false">IF($J1451=0,"SEM CULTURA",INDEX(ROTACAO_RDM!$F$6:$F$71,$J1451))</f>
        <v>SEM CULTURA</v>
      </c>
      <c r="L1451" s="8" t="str">
        <f aca="false">IF($J1451=0,"",INDEX(ROTACAO_RDM!$G$6:$G$71,$J1451))</f>
        <v/>
      </c>
      <c r="M1451" s="17" t="str">
        <f aca="false">IF($J1451=0,"",INDEX(ROTACAO_RDM!$I$6:$I$71,$J1451))</f>
        <v/>
      </c>
      <c r="N1451" s="16" t="n">
        <f aca="false">IF($J1451=0,0,MAX(0,$C1451+INT(DIAS_POR_SEMANA/2)-INDEX(ROTACAO_RDM!$I$6:$I$71,$J1451)))</f>
        <v>0</v>
      </c>
      <c r="O1451" s="19" t="n">
        <f aca="false">IF($J1451=0,0,MIN(1,$N1451/MAX(1,INDEX(ROTACAO_RDM!$K$6:$K$71,$J1451))))</f>
        <v>0</v>
      </c>
      <c r="P1451" s="16" t="n">
        <f aca="false">IF($J1451=0,0,IFERROR(MATCH(INDEX(ROTACAO_RDM!$N$6:$N$71,$J1451),PARAMETROS_CULTURAS!$B$6:$B$28,0),0))</f>
        <v>0</v>
      </c>
      <c r="Q1451" s="8" t="str">
        <f aca="false">IF($P1451=0,"-",IF($O1451&lt;=INDEX(PARAMETROS_CULTURAS!$F$6:$F$28,$P1451),"INICIAL",IF($O1451&lt;=INDEX(PARAMETROS_CULTURAS!$F$6:$F$28,$P1451)+INDEX(PARAMETROS_CULTURAS!$G$6:$G$28,$P1451),"DESENVOLVIMENTO",IF($O1451&lt;=INDEX(PARAMETROS_CULTURAS!$F$6:$F$28,$P1451)+INDEX(PARAMETROS_CULTURAS!$G$6:$G$28,$P1451)+INDEX(PARAMETROS_CULTURAS!$H$6:$H$28,$P1451),"MEDIA","FINAL"))))</f>
        <v>-</v>
      </c>
      <c r="R1451" s="24" t="n">
        <f aca="false">IF($P1451=0,0,IF($O1451&lt;=INDEX(PARAMETROS_CULTURAS!$F$6:$F$28,$P1451),INDEX(PARAMETROS_CULTURAS!$K$6:$K$28,$P1451),IF($O1451&lt;=INDEX(PARAMETROS_CULTURAS!$F$6:$F$28,$P1451)+INDEX(PARAMETROS_CULTURAS!$G$6:$G$28,$P1451),INDEX(PARAMETROS_CULTURAS!$K$6:$K$28,$P1451)+(INDEX(PARAMETROS_CULTURAS!$L$6:$L$28,$P1451)-INDEX(PARAMETROS_CULTURAS!$K$6:$K$28,$P1451))*($O1451-INDEX(PARAMETROS_CULTURAS!$F$6:$F$28,$P1451))/MAX(INDEX(PARAMETROS_CULTURAS!$G$6:$G$28,$P1451),0.0001),IF($O1451&lt;=INDEX(PARAMETROS_CULTURAS!$F$6:$F$28,$P1451)+INDEX(PARAMETROS_CULTURAS!$G$6:$G$28,$P1451)+INDEX(PARAMETROS_CULTURAS!$H$6:$H$28,$P1451),INDEX(PARAMETROS_CULTURAS!$L$6:$L$28,$P1451),INDEX(PARAMETROS_CULTURAS!$L$6:$L$28,$P1451)+(INDEX(PARAMETROS_CULTURAS!$M$6:$M$28,$P1451)-INDEX(PARAMETROS_CULTURAS!$L$6:$L$28,$P1451))*($O1451-INDEX(PARAMETROS_CULTURAS!$F$6:$F$28,$P1451)-INDEX(PARAMETROS_CULTURAS!$G$6:$G$28,$P1451)-INDEX(PARAMETROS_CULTURAS!$H$6:$H$28,$P1451))/MAX(INDEX(PARAMETROS_CULTURAS!$I$6:$I$28,$P1451),0.0001)))))</f>
        <v>0</v>
      </c>
      <c r="S1451" s="18" t="n">
        <f aca="false">IFERROR(INDEX(SEMANAS!$H$6:$H$71,MATCH($B1451,SEMANAS!$B$6:$B$71,0)),0)</f>
        <v>39.2</v>
      </c>
      <c r="T1451" s="18" t="n">
        <f aca="false">$R1451*$S1451</f>
        <v>0</v>
      </c>
      <c r="U1451" s="18" t="n">
        <f aca="false">IFERROR(INDEX(SEMANAS!$I$6:$I$71,MATCH($B1451,SEMANAS!$B$6:$B$71,0)),0)</f>
        <v>27.09</v>
      </c>
      <c r="V1451" s="18" t="n">
        <f aca="false">IFERROR(INDEX(SEMANAS!$J$6:$J$71,MATCH($B1451,SEMANAS!$B$6:$B$71,0)),0)</f>
        <v>21.672</v>
      </c>
      <c r="W1451" s="18" t="n">
        <f aca="false">MAX(0,$T1451-$V1451)</f>
        <v>0</v>
      </c>
      <c r="X1451" s="19" t="n">
        <f aca="false">IFERROR(INDEX(CADASTRO_PIVOS!$K$6:$K$41,MATCH($E1451,CADASTRO_PIVOS!$B$6:$B$41,0)),EFICIENCIA_PADRAO)</f>
        <v>0.85</v>
      </c>
      <c r="Y1451" s="18" t="n">
        <f aca="false">IF($X1451&lt;=0,0,$W1451/$X1451)</f>
        <v>0</v>
      </c>
      <c r="Z1451" s="16" t="n">
        <f aca="false">$Y1451*$H1451*MM_PARA_M3_HA</f>
        <v>0</v>
      </c>
      <c r="AA1451" s="18" t="n">
        <f aca="false">IFERROR(INDEX(CADASTRO_PIVOS!$I$6:$I$41,MATCH($E1451,CADASTRO_PIVOS!$B$6:$B$41,0)),0)</f>
        <v>710.571428571429</v>
      </c>
      <c r="AB1451" s="18" t="n">
        <f aca="false">IF($Z1451&lt;=0,0,$Z1451/$AA1451)</f>
        <v>0</v>
      </c>
      <c r="AC1451" s="16" t="n">
        <f aca="false">IFERROR(INDEX(SEMANAS!$K$6:$K$71,MATCH($B1451,SEMANAS!$B$6:$B$71,0)),0)</f>
        <v>147</v>
      </c>
      <c r="AD1451" s="19" t="n">
        <f aca="false">IF($AC1451&lt;=0,0,$AB1451/$AC1451)</f>
        <v>0</v>
      </c>
      <c r="AE1451" s="8" t="str">
        <f aca="false">IF($K1451="SEM CULTURA","SEM CULTURA",IF($AA1451&lt;=0,"DADO PENDENTE",IF($AD1451&gt;LIMITE_CRITICO,"INVIAVEL",IF($AD1451&gt;LIMITE_ATENCAO,"CRITICO",IF($AD1451&gt;LIMITE_CONFORTAVEL,"ATENCAO","OK")))))</f>
        <v>SEM CULTURA</v>
      </c>
      <c r="AF1451" s="8" t="str">
        <f aca="false">$B1451&amp;"|"&amp;TEXT($AD1451,"0.000000")</f>
        <v>60|0.000000</v>
      </c>
      <c r="AG1451" s="18" t="n">
        <f aca="false">IF($K1451="SEM CULTURA",0,$T1451*$H1451)</f>
        <v>0</v>
      </c>
      <c r="AH1451" s="18" t="n">
        <f aca="false">IF($K1451="SEM CULTURA",0,$V1451*$H1451)</f>
        <v>0</v>
      </c>
      <c r="AI1451" s="18" t="n">
        <f aca="false">IF($K1451="SEM CULTURA",0,$W1451*$H1451)</f>
        <v>0</v>
      </c>
      <c r="AJ1451" s="18" t="n">
        <f aca="false">IF($K1451="SEM CULTURA",0,$S1451*$H1451)</f>
        <v>0</v>
      </c>
      <c r="AK1451" s="8" t="str">
        <f aca="false">$E1451&amp;"|"&amp;TEXT($AD1451,"0.000000")</f>
        <v>PV 129|0.000000</v>
      </c>
    </row>
    <row r="1452" customFormat="false" ht="15" hidden="false" customHeight="false" outlineLevel="0" collapsed="false">
      <c r="B1452" s="16" t="n">
        <v>61</v>
      </c>
      <c r="C1452" s="17" t="n">
        <f aca="false">DATA_INICIO_SAFRA+($B1452-1)*DIAS_POR_SEMANA</f>
        <v>46685</v>
      </c>
      <c r="D1452" s="17" t="n">
        <f aca="false">$C1452+DIAS_POR_SEMANA-1</f>
        <v>46691</v>
      </c>
      <c r="E1452" s="15" t="s">
        <v>280</v>
      </c>
      <c r="F1452" s="8" t="str">
        <f aca="false">IFERROR(INDEX(CADASTRO_PIVOS!$C$6:$C$41,MATCH($E1452,CADASTRO_PIVOS!$B$6:$B$41,0)),"?")</f>
        <v>RM06</v>
      </c>
      <c r="G1452" s="8" t="str">
        <f aca="false">IFERROR(INDEX(CADASTRO_PIVOS!$D$6:$D$41,MATCH($E1452,CADASTRO_PIVOS!$B$6:$B$41,0)),"?")</f>
        <v>TR06</v>
      </c>
      <c r="H1452" s="20" t="n">
        <f aca="false">IFERROR(INDEX(CADASTRO_PIVOS!$E$6:$E$41,MATCH($E1452,CADASTRO_PIVOS!$B$6:$B$41,0)),0)</f>
        <v>99.48</v>
      </c>
      <c r="I1452" s="16" t="n">
        <f aca="false">IFERROR(SUMIFS(ROTACAO_RDM!$B$6:$B$71,ROTACAO_RDM!$D$6:$D$71,$E1452,ROTACAO_RDM!$I$6:$I$71,"&lt;="&amp;$C1452+INT(DIAS_POR_SEMANA/2),ROTACAO_RDM!$J$6:$J$71,"&gt;="&amp;$C1452+INT(DIAS_POR_SEMANA/2)),0)</f>
        <v>0</v>
      </c>
      <c r="J1452" s="16" t="n">
        <f aca="false">IFERROR(MATCH($I1452,ROTACAO_RDM!$B$6:$B$71,0),0)</f>
        <v>0</v>
      </c>
      <c r="K1452" s="8" t="str">
        <f aca="false">IF($J1452=0,"SEM CULTURA",INDEX(ROTACAO_RDM!$F$6:$F$71,$J1452))</f>
        <v>SEM CULTURA</v>
      </c>
      <c r="L1452" s="8" t="str">
        <f aca="false">IF($J1452=0,"",INDEX(ROTACAO_RDM!$G$6:$G$71,$J1452))</f>
        <v/>
      </c>
      <c r="M1452" s="17" t="str">
        <f aca="false">IF($J1452=0,"",INDEX(ROTACAO_RDM!$I$6:$I$71,$J1452))</f>
        <v/>
      </c>
      <c r="N1452" s="16" t="n">
        <f aca="false">IF($J1452=0,0,MAX(0,$C1452+INT(DIAS_POR_SEMANA/2)-INDEX(ROTACAO_RDM!$I$6:$I$71,$J1452)))</f>
        <v>0</v>
      </c>
      <c r="O1452" s="19" t="n">
        <f aca="false">IF($J1452=0,0,MIN(1,$N1452/MAX(1,INDEX(ROTACAO_RDM!$K$6:$K$71,$J1452))))</f>
        <v>0</v>
      </c>
      <c r="P1452" s="16" t="n">
        <f aca="false">IF($J1452=0,0,IFERROR(MATCH(INDEX(ROTACAO_RDM!$N$6:$N$71,$J1452),PARAMETROS_CULTURAS!$B$6:$B$28,0),0))</f>
        <v>0</v>
      </c>
      <c r="Q1452" s="8" t="str">
        <f aca="false">IF($P1452=0,"-",IF($O1452&lt;=INDEX(PARAMETROS_CULTURAS!$F$6:$F$28,$P1452),"INICIAL",IF($O1452&lt;=INDEX(PARAMETROS_CULTURAS!$F$6:$F$28,$P1452)+INDEX(PARAMETROS_CULTURAS!$G$6:$G$28,$P1452),"DESENVOLVIMENTO",IF($O1452&lt;=INDEX(PARAMETROS_CULTURAS!$F$6:$F$28,$P1452)+INDEX(PARAMETROS_CULTURAS!$G$6:$G$28,$P1452)+INDEX(PARAMETROS_CULTURAS!$H$6:$H$28,$P1452),"MEDIA","FINAL"))))</f>
        <v>-</v>
      </c>
      <c r="R1452" s="24" t="n">
        <f aca="false">IF($P1452=0,0,IF($O1452&lt;=INDEX(PARAMETROS_CULTURAS!$F$6:$F$28,$P1452),INDEX(PARAMETROS_CULTURAS!$K$6:$K$28,$P1452),IF($O1452&lt;=INDEX(PARAMETROS_CULTURAS!$F$6:$F$28,$P1452)+INDEX(PARAMETROS_CULTURAS!$G$6:$G$28,$P1452),INDEX(PARAMETROS_CULTURAS!$K$6:$K$28,$P1452)+(INDEX(PARAMETROS_CULTURAS!$L$6:$L$28,$P1452)-INDEX(PARAMETROS_CULTURAS!$K$6:$K$28,$P1452))*($O1452-INDEX(PARAMETROS_CULTURAS!$F$6:$F$28,$P1452))/MAX(INDEX(PARAMETROS_CULTURAS!$G$6:$G$28,$P1452),0.0001),IF($O1452&lt;=INDEX(PARAMETROS_CULTURAS!$F$6:$F$28,$P1452)+INDEX(PARAMETROS_CULTURAS!$G$6:$G$28,$P1452)+INDEX(PARAMETROS_CULTURAS!$H$6:$H$28,$P1452),INDEX(PARAMETROS_CULTURAS!$L$6:$L$28,$P1452),INDEX(PARAMETROS_CULTURAS!$L$6:$L$28,$P1452)+(INDEX(PARAMETROS_CULTURAS!$M$6:$M$28,$P1452)-INDEX(PARAMETROS_CULTURAS!$L$6:$L$28,$P1452))*($O1452-INDEX(PARAMETROS_CULTURAS!$F$6:$F$28,$P1452)-INDEX(PARAMETROS_CULTURAS!$G$6:$G$28,$P1452)-INDEX(PARAMETROS_CULTURAS!$H$6:$H$28,$P1452))/MAX(INDEX(PARAMETROS_CULTURAS!$I$6:$I$28,$P1452),0.0001)))))</f>
        <v>0</v>
      </c>
      <c r="S1452" s="18" t="n">
        <f aca="false">IFERROR(INDEX(SEMANAS!$H$6:$H$71,MATCH($B1452,SEMANAS!$B$6:$B$71,0)),0)</f>
        <v>39.2</v>
      </c>
      <c r="T1452" s="18" t="n">
        <f aca="false">$R1452*$S1452</f>
        <v>0</v>
      </c>
      <c r="U1452" s="18" t="n">
        <f aca="false">IFERROR(INDEX(SEMANAS!$I$6:$I$71,MATCH($B1452,SEMANAS!$B$6:$B$71,0)),0)</f>
        <v>27.09</v>
      </c>
      <c r="V1452" s="18" t="n">
        <f aca="false">IFERROR(INDEX(SEMANAS!$J$6:$J$71,MATCH($B1452,SEMANAS!$B$6:$B$71,0)),0)</f>
        <v>21.672</v>
      </c>
      <c r="W1452" s="18" t="n">
        <f aca="false">MAX(0,$T1452-$V1452)</f>
        <v>0</v>
      </c>
      <c r="X1452" s="19" t="n">
        <f aca="false">IFERROR(INDEX(CADASTRO_PIVOS!$K$6:$K$41,MATCH($E1452,CADASTRO_PIVOS!$B$6:$B$41,0)),EFICIENCIA_PADRAO)</f>
        <v>0.85</v>
      </c>
      <c r="Y1452" s="18" t="n">
        <f aca="false">IF($X1452&lt;=0,0,$W1452/$X1452)</f>
        <v>0</v>
      </c>
      <c r="Z1452" s="16" t="n">
        <f aca="false">$Y1452*$H1452*MM_PARA_M3_HA</f>
        <v>0</v>
      </c>
      <c r="AA1452" s="18" t="n">
        <f aca="false">IFERROR(INDEX(CADASTRO_PIVOS!$I$6:$I$41,MATCH($E1452,CADASTRO_PIVOS!$B$6:$B$41,0)),0)</f>
        <v>710.571428571429</v>
      </c>
      <c r="AB1452" s="18" t="n">
        <f aca="false">IF($Z1452&lt;=0,0,$Z1452/$AA1452)</f>
        <v>0</v>
      </c>
      <c r="AC1452" s="16" t="n">
        <f aca="false">IFERROR(INDEX(SEMANAS!$K$6:$K$71,MATCH($B1452,SEMANAS!$B$6:$B$71,0)),0)</f>
        <v>147</v>
      </c>
      <c r="AD1452" s="19" t="n">
        <f aca="false">IF($AC1452&lt;=0,0,$AB1452/$AC1452)</f>
        <v>0</v>
      </c>
      <c r="AE1452" s="8" t="str">
        <f aca="false">IF($K1452="SEM CULTURA","SEM CULTURA",IF($AA1452&lt;=0,"DADO PENDENTE",IF($AD1452&gt;LIMITE_CRITICO,"INVIAVEL",IF($AD1452&gt;LIMITE_ATENCAO,"CRITICO",IF($AD1452&gt;LIMITE_CONFORTAVEL,"ATENCAO","OK")))))</f>
        <v>SEM CULTURA</v>
      </c>
      <c r="AF1452" s="8" t="str">
        <f aca="false">$B1452&amp;"|"&amp;TEXT($AD1452,"0.000000")</f>
        <v>61|0.000000</v>
      </c>
      <c r="AG1452" s="18" t="n">
        <f aca="false">IF($K1452="SEM CULTURA",0,$T1452*$H1452)</f>
        <v>0</v>
      </c>
      <c r="AH1452" s="18" t="n">
        <f aca="false">IF($K1452="SEM CULTURA",0,$V1452*$H1452)</f>
        <v>0</v>
      </c>
      <c r="AI1452" s="18" t="n">
        <f aca="false">IF($K1452="SEM CULTURA",0,$W1452*$H1452)</f>
        <v>0</v>
      </c>
      <c r="AJ1452" s="18" t="n">
        <f aca="false">IF($K1452="SEM CULTURA",0,$S1452*$H1452)</f>
        <v>0</v>
      </c>
      <c r="AK1452" s="8" t="str">
        <f aca="false">$E1452&amp;"|"&amp;TEXT($AD1452,"0.000000")</f>
        <v>PV 129|0.000000</v>
      </c>
    </row>
    <row r="1453" customFormat="false" ht="15" hidden="false" customHeight="false" outlineLevel="0" collapsed="false">
      <c r="B1453" s="16" t="n">
        <v>62</v>
      </c>
      <c r="C1453" s="17" t="n">
        <f aca="false">DATA_INICIO_SAFRA+($B1453-1)*DIAS_POR_SEMANA</f>
        <v>46692</v>
      </c>
      <c r="D1453" s="17" t="n">
        <f aca="false">$C1453+DIAS_POR_SEMANA-1</f>
        <v>46698</v>
      </c>
      <c r="E1453" s="15" t="s">
        <v>280</v>
      </c>
      <c r="F1453" s="8" t="str">
        <f aca="false">IFERROR(INDEX(CADASTRO_PIVOS!$C$6:$C$41,MATCH($E1453,CADASTRO_PIVOS!$B$6:$B$41,0)),"?")</f>
        <v>RM06</v>
      </c>
      <c r="G1453" s="8" t="str">
        <f aca="false">IFERROR(INDEX(CADASTRO_PIVOS!$D$6:$D$41,MATCH($E1453,CADASTRO_PIVOS!$B$6:$B$41,0)),"?")</f>
        <v>TR06</v>
      </c>
      <c r="H1453" s="20" t="n">
        <f aca="false">IFERROR(INDEX(CADASTRO_PIVOS!$E$6:$E$41,MATCH($E1453,CADASTRO_PIVOS!$B$6:$B$41,0)),0)</f>
        <v>99.48</v>
      </c>
      <c r="I1453" s="16" t="n">
        <f aca="false">IFERROR(SUMIFS(ROTACAO_RDM!$B$6:$B$71,ROTACAO_RDM!$D$6:$D$71,$E1453,ROTACAO_RDM!$I$6:$I$71,"&lt;="&amp;$C1453+INT(DIAS_POR_SEMANA/2),ROTACAO_RDM!$J$6:$J$71,"&gt;="&amp;$C1453+INT(DIAS_POR_SEMANA/2)),0)</f>
        <v>0</v>
      </c>
      <c r="J1453" s="16" t="n">
        <f aca="false">IFERROR(MATCH($I1453,ROTACAO_RDM!$B$6:$B$71,0),0)</f>
        <v>0</v>
      </c>
      <c r="K1453" s="8" t="str">
        <f aca="false">IF($J1453=0,"SEM CULTURA",INDEX(ROTACAO_RDM!$F$6:$F$71,$J1453))</f>
        <v>SEM CULTURA</v>
      </c>
      <c r="L1453" s="8" t="str">
        <f aca="false">IF($J1453=0,"",INDEX(ROTACAO_RDM!$G$6:$G$71,$J1453))</f>
        <v/>
      </c>
      <c r="M1453" s="17" t="str">
        <f aca="false">IF($J1453=0,"",INDEX(ROTACAO_RDM!$I$6:$I$71,$J1453))</f>
        <v/>
      </c>
      <c r="N1453" s="16" t="n">
        <f aca="false">IF($J1453=0,0,MAX(0,$C1453+INT(DIAS_POR_SEMANA/2)-INDEX(ROTACAO_RDM!$I$6:$I$71,$J1453)))</f>
        <v>0</v>
      </c>
      <c r="O1453" s="19" t="n">
        <f aca="false">IF($J1453=0,0,MIN(1,$N1453/MAX(1,INDEX(ROTACAO_RDM!$K$6:$K$71,$J1453))))</f>
        <v>0</v>
      </c>
      <c r="P1453" s="16" t="n">
        <f aca="false">IF($J1453=0,0,IFERROR(MATCH(INDEX(ROTACAO_RDM!$N$6:$N$71,$J1453),PARAMETROS_CULTURAS!$B$6:$B$28,0),0))</f>
        <v>0</v>
      </c>
      <c r="Q1453" s="8" t="str">
        <f aca="false">IF($P1453=0,"-",IF($O1453&lt;=INDEX(PARAMETROS_CULTURAS!$F$6:$F$28,$P1453),"INICIAL",IF($O1453&lt;=INDEX(PARAMETROS_CULTURAS!$F$6:$F$28,$P1453)+INDEX(PARAMETROS_CULTURAS!$G$6:$G$28,$P1453),"DESENVOLVIMENTO",IF($O1453&lt;=INDEX(PARAMETROS_CULTURAS!$F$6:$F$28,$P1453)+INDEX(PARAMETROS_CULTURAS!$G$6:$G$28,$P1453)+INDEX(PARAMETROS_CULTURAS!$H$6:$H$28,$P1453),"MEDIA","FINAL"))))</f>
        <v>-</v>
      </c>
      <c r="R1453" s="24" t="n">
        <f aca="false">IF($P1453=0,0,IF($O1453&lt;=INDEX(PARAMETROS_CULTURAS!$F$6:$F$28,$P1453),INDEX(PARAMETROS_CULTURAS!$K$6:$K$28,$P1453),IF($O1453&lt;=INDEX(PARAMETROS_CULTURAS!$F$6:$F$28,$P1453)+INDEX(PARAMETROS_CULTURAS!$G$6:$G$28,$P1453),INDEX(PARAMETROS_CULTURAS!$K$6:$K$28,$P1453)+(INDEX(PARAMETROS_CULTURAS!$L$6:$L$28,$P1453)-INDEX(PARAMETROS_CULTURAS!$K$6:$K$28,$P1453))*($O1453-INDEX(PARAMETROS_CULTURAS!$F$6:$F$28,$P1453))/MAX(INDEX(PARAMETROS_CULTURAS!$G$6:$G$28,$P1453),0.0001),IF($O1453&lt;=INDEX(PARAMETROS_CULTURAS!$F$6:$F$28,$P1453)+INDEX(PARAMETROS_CULTURAS!$G$6:$G$28,$P1453)+INDEX(PARAMETROS_CULTURAS!$H$6:$H$28,$P1453),INDEX(PARAMETROS_CULTURAS!$L$6:$L$28,$P1453),INDEX(PARAMETROS_CULTURAS!$L$6:$L$28,$P1453)+(INDEX(PARAMETROS_CULTURAS!$M$6:$M$28,$P1453)-INDEX(PARAMETROS_CULTURAS!$L$6:$L$28,$P1453))*($O1453-INDEX(PARAMETROS_CULTURAS!$F$6:$F$28,$P1453)-INDEX(PARAMETROS_CULTURAS!$G$6:$G$28,$P1453)-INDEX(PARAMETROS_CULTURAS!$H$6:$H$28,$P1453))/MAX(INDEX(PARAMETROS_CULTURAS!$I$6:$I$28,$P1453),0.0001)))))</f>
        <v>0</v>
      </c>
      <c r="S1453" s="18" t="n">
        <f aca="false">IFERROR(INDEX(SEMANAS!$H$6:$H$71,MATCH($B1453,SEMANAS!$B$6:$B$71,0)),0)</f>
        <v>34.3</v>
      </c>
      <c r="T1453" s="18" t="n">
        <f aca="false">$R1453*$S1453</f>
        <v>0</v>
      </c>
      <c r="U1453" s="18" t="n">
        <f aca="false">IFERROR(INDEX(SEMANAS!$I$6:$I$71,MATCH($B1453,SEMANAS!$B$6:$B$71,0)),0)</f>
        <v>46.69</v>
      </c>
      <c r="V1453" s="18" t="n">
        <f aca="false">IFERROR(INDEX(SEMANAS!$J$6:$J$71,MATCH($B1453,SEMANAS!$B$6:$B$71,0)),0)</f>
        <v>37.352</v>
      </c>
      <c r="W1453" s="18" t="n">
        <f aca="false">MAX(0,$T1453-$V1453)</f>
        <v>0</v>
      </c>
      <c r="X1453" s="19" t="n">
        <f aca="false">IFERROR(INDEX(CADASTRO_PIVOS!$K$6:$K$41,MATCH($E1453,CADASTRO_PIVOS!$B$6:$B$41,0)),EFICIENCIA_PADRAO)</f>
        <v>0.85</v>
      </c>
      <c r="Y1453" s="18" t="n">
        <f aca="false">IF($X1453&lt;=0,0,$W1453/$X1453)</f>
        <v>0</v>
      </c>
      <c r="Z1453" s="16" t="n">
        <f aca="false">$Y1453*$H1453*MM_PARA_M3_HA</f>
        <v>0</v>
      </c>
      <c r="AA1453" s="18" t="n">
        <f aca="false">IFERROR(INDEX(CADASTRO_PIVOS!$I$6:$I$41,MATCH($E1453,CADASTRO_PIVOS!$B$6:$B$41,0)),0)</f>
        <v>710.571428571429</v>
      </c>
      <c r="AB1453" s="18" t="n">
        <f aca="false">IF($Z1453&lt;=0,0,$Z1453/$AA1453)</f>
        <v>0</v>
      </c>
      <c r="AC1453" s="16" t="n">
        <f aca="false">IFERROR(INDEX(SEMANAS!$K$6:$K$71,MATCH($B1453,SEMANAS!$B$6:$B$71,0)),0)</f>
        <v>147</v>
      </c>
      <c r="AD1453" s="19" t="n">
        <f aca="false">IF($AC1453&lt;=0,0,$AB1453/$AC1453)</f>
        <v>0</v>
      </c>
      <c r="AE1453" s="8" t="str">
        <f aca="false">IF($K1453="SEM CULTURA","SEM CULTURA",IF($AA1453&lt;=0,"DADO PENDENTE",IF($AD1453&gt;LIMITE_CRITICO,"INVIAVEL",IF($AD1453&gt;LIMITE_ATENCAO,"CRITICO",IF($AD1453&gt;LIMITE_CONFORTAVEL,"ATENCAO","OK")))))</f>
        <v>SEM CULTURA</v>
      </c>
      <c r="AF1453" s="8" t="str">
        <f aca="false">$B1453&amp;"|"&amp;TEXT($AD1453,"0.000000")</f>
        <v>62|0.000000</v>
      </c>
      <c r="AG1453" s="18" t="n">
        <f aca="false">IF($K1453="SEM CULTURA",0,$T1453*$H1453)</f>
        <v>0</v>
      </c>
      <c r="AH1453" s="18" t="n">
        <f aca="false">IF($K1453="SEM CULTURA",0,$V1453*$H1453)</f>
        <v>0</v>
      </c>
      <c r="AI1453" s="18" t="n">
        <f aca="false">IF($K1453="SEM CULTURA",0,$W1453*$H1453)</f>
        <v>0</v>
      </c>
      <c r="AJ1453" s="18" t="n">
        <f aca="false">IF($K1453="SEM CULTURA",0,$S1453*$H1453)</f>
        <v>0</v>
      </c>
      <c r="AK1453" s="8" t="str">
        <f aca="false">$E1453&amp;"|"&amp;TEXT($AD1453,"0.000000")</f>
        <v>PV 129|0.000000</v>
      </c>
    </row>
    <row r="1454" customFormat="false" ht="15" hidden="false" customHeight="false" outlineLevel="0" collapsed="false">
      <c r="B1454" s="16" t="n">
        <v>63</v>
      </c>
      <c r="C1454" s="17" t="n">
        <f aca="false">DATA_INICIO_SAFRA+($B1454-1)*DIAS_POR_SEMANA</f>
        <v>46699</v>
      </c>
      <c r="D1454" s="17" t="n">
        <f aca="false">$C1454+DIAS_POR_SEMANA-1</f>
        <v>46705</v>
      </c>
      <c r="E1454" s="15" t="s">
        <v>280</v>
      </c>
      <c r="F1454" s="8" t="str">
        <f aca="false">IFERROR(INDEX(CADASTRO_PIVOS!$C$6:$C$41,MATCH($E1454,CADASTRO_PIVOS!$B$6:$B$41,0)),"?")</f>
        <v>RM06</v>
      </c>
      <c r="G1454" s="8" t="str">
        <f aca="false">IFERROR(INDEX(CADASTRO_PIVOS!$D$6:$D$41,MATCH($E1454,CADASTRO_PIVOS!$B$6:$B$41,0)),"?")</f>
        <v>TR06</v>
      </c>
      <c r="H1454" s="20" t="n">
        <f aca="false">IFERROR(INDEX(CADASTRO_PIVOS!$E$6:$E$41,MATCH($E1454,CADASTRO_PIVOS!$B$6:$B$41,0)),0)</f>
        <v>99.48</v>
      </c>
      <c r="I1454" s="16" t="n">
        <f aca="false">IFERROR(SUMIFS(ROTACAO_RDM!$B$6:$B$71,ROTACAO_RDM!$D$6:$D$71,$E1454,ROTACAO_RDM!$I$6:$I$71,"&lt;="&amp;$C1454+INT(DIAS_POR_SEMANA/2),ROTACAO_RDM!$J$6:$J$71,"&gt;="&amp;$C1454+INT(DIAS_POR_SEMANA/2)),0)</f>
        <v>0</v>
      </c>
      <c r="J1454" s="16" t="n">
        <f aca="false">IFERROR(MATCH($I1454,ROTACAO_RDM!$B$6:$B$71,0),0)</f>
        <v>0</v>
      </c>
      <c r="K1454" s="8" t="str">
        <f aca="false">IF($J1454=0,"SEM CULTURA",INDEX(ROTACAO_RDM!$F$6:$F$71,$J1454))</f>
        <v>SEM CULTURA</v>
      </c>
      <c r="L1454" s="8" t="str">
        <f aca="false">IF($J1454=0,"",INDEX(ROTACAO_RDM!$G$6:$G$71,$J1454))</f>
        <v/>
      </c>
      <c r="M1454" s="17" t="str">
        <f aca="false">IF($J1454=0,"",INDEX(ROTACAO_RDM!$I$6:$I$71,$J1454))</f>
        <v/>
      </c>
      <c r="N1454" s="16" t="n">
        <f aca="false">IF($J1454=0,0,MAX(0,$C1454+INT(DIAS_POR_SEMANA/2)-INDEX(ROTACAO_RDM!$I$6:$I$71,$J1454)))</f>
        <v>0</v>
      </c>
      <c r="O1454" s="19" t="n">
        <f aca="false">IF($J1454=0,0,MIN(1,$N1454/MAX(1,INDEX(ROTACAO_RDM!$K$6:$K$71,$J1454))))</f>
        <v>0</v>
      </c>
      <c r="P1454" s="16" t="n">
        <f aca="false">IF($J1454=0,0,IFERROR(MATCH(INDEX(ROTACAO_RDM!$N$6:$N$71,$J1454),PARAMETROS_CULTURAS!$B$6:$B$28,0),0))</f>
        <v>0</v>
      </c>
      <c r="Q1454" s="8" t="str">
        <f aca="false">IF($P1454=0,"-",IF($O1454&lt;=INDEX(PARAMETROS_CULTURAS!$F$6:$F$28,$P1454),"INICIAL",IF($O1454&lt;=INDEX(PARAMETROS_CULTURAS!$F$6:$F$28,$P1454)+INDEX(PARAMETROS_CULTURAS!$G$6:$G$28,$P1454),"DESENVOLVIMENTO",IF($O1454&lt;=INDEX(PARAMETROS_CULTURAS!$F$6:$F$28,$P1454)+INDEX(PARAMETROS_CULTURAS!$G$6:$G$28,$P1454)+INDEX(PARAMETROS_CULTURAS!$H$6:$H$28,$P1454),"MEDIA","FINAL"))))</f>
        <v>-</v>
      </c>
      <c r="R1454" s="24" t="n">
        <f aca="false">IF($P1454=0,0,IF($O1454&lt;=INDEX(PARAMETROS_CULTURAS!$F$6:$F$28,$P1454),INDEX(PARAMETROS_CULTURAS!$K$6:$K$28,$P1454),IF($O1454&lt;=INDEX(PARAMETROS_CULTURAS!$F$6:$F$28,$P1454)+INDEX(PARAMETROS_CULTURAS!$G$6:$G$28,$P1454),INDEX(PARAMETROS_CULTURAS!$K$6:$K$28,$P1454)+(INDEX(PARAMETROS_CULTURAS!$L$6:$L$28,$P1454)-INDEX(PARAMETROS_CULTURAS!$K$6:$K$28,$P1454))*($O1454-INDEX(PARAMETROS_CULTURAS!$F$6:$F$28,$P1454))/MAX(INDEX(PARAMETROS_CULTURAS!$G$6:$G$28,$P1454),0.0001),IF($O1454&lt;=INDEX(PARAMETROS_CULTURAS!$F$6:$F$28,$P1454)+INDEX(PARAMETROS_CULTURAS!$G$6:$G$28,$P1454)+INDEX(PARAMETROS_CULTURAS!$H$6:$H$28,$P1454),INDEX(PARAMETROS_CULTURAS!$L$6:$L$28,$P1454),INDEX(PARAMETROS_CULTURAS!$L$6:$L$28,$P1454)+(INDEX(PARAMETROS_CULTURAS!$M$6:$M$28,$P1454)-INDEX(PARAMETROS_CULTURAS!$L$6:$L$28,$P1454))*($O1454-INDEX(PARAMETROS_CULTURAS!$F$6:$F$28,$P1454)-INDEX(PARAMETROS_CULTURAS!$G$6:$G$28,$P1454)-INDEX(PARAMETROS_CULTURAS!$H$6:$H$28,$P1454))/MAX(INDEX(PARAMETROS_CULTURAS!$I$6:$I$28,$P1454),0.0001)))))</f>
        <v>0</v>
      </c>
      <c r="S1454" s="18" t="n">
        <f aca="false">IFERROR(INDEX(SEMANAS!$H$6:$H$71,MATCH($B1454,SEMANAS!$B$6:$B$71,0)),0)</f>
        <v>34.3</v>
      </c>
      <c r="T1454" s="18" t="n">
        <f aca="false">$R1454*$S1454</f>
        <v>0</v>
      </c>
      <c r="U1454" s="18" t="n">
        <f aca="false">IFERROR(INDEX(SEMANAS!$I$6:$I$71,MATCH($B1454,SEMANAS!$B$6:$B$71,0)),0)</f>
        <v>46.69</v>
      </c>
      <c r="V1454" s="18" t="n">
        <f aca="false">IFERROR(INDEX(SEMANAS!$J$6:$J$71,MATCH($B1454,SEMANAS!$B$6:$B$71,0)),0)</f>
        <v>37.352</v>
      </c>
      <c r="W1454" s="18" t="n">
        <f aca="false">MAX(0,$T1454-$V1454)</f>
        <v>0</v>
      </c>
      <c r="X1454" s="19" t="n">
        <f aca="false">IFERROR(INDEX(CADASTRO_PIVOS!$K$6:$K$41,MATCH($E1454,CADASTRO_PIVOS!$B$6:$B$41,0)),EFICIENCIA_PADRAO)</f>
        <v>0.85</v>
      </c>
      <c r="Y1454" s="18" t="n">
        <f aca="false">IF($X1454&lt;=0,0,$W1454/$X1454)</f>
        <v>0</v>
      </c>
      <c r="Z1454" s="16" t="n">
        <f aca="false">$Y1454*$H1454*MM_PARA_M3_HA</f>
        <v>0</v>
      </c>
      <c r="AA1454" s="18" t="n">
        <f aca="false">IFERROR(INDEX(CADASTRO_PIVOS!$I$6:$I$41,MATCH($E1454,CADASTRO_PIVOS!$B$6:$B$41,0)),0)</f>
        <v>710.571428571429</v>
      </c>
      <c r="AB1454" s="18" t="n">
        <f aca="false">IF($Z1454&lt;=0,0,$Z1454/$AA1454)</f>
        <v>0</v>
      </c>
      <c r="AC1454" s="16" t="n">
        <f aca="false">IFERROR(INDEX(SEMANAS!$K$6:$K$71,MATCH($B1454,SEMANAS!$B$6:$B$71,0)),0)</f>
        <v>147</v>
      </c>
      <c r="AD1454" s="19" t="n">
        <f aca="false">IF($AC1454&lt;=0,0,$AB1454/$AC1454)</f>
        <v>0</v>
      </c>
      <c r="AE1454" s="8" t="str">
        <f aca="false">IF($K1454="SEM CULTURA","SEM CULTURA",IF($AA1454&lt;=0,"DADO PENDENTE",IF($AD1454&gt;LIMITE_CRITICO,"INVIAVEL",IF($AD1454&gt;LIMITE_ATENCAO,"CRITICO",IF($AD1454&gt;LIMITE_CONFORTAVEL,"ATENCAO","OK")))))</f>
        <v>SEM CULTURA</v>
      </c>
      <c r="AF1454" s="8" t="str">
        <f aca="false">$B1454&amp;"|"&amp;TEXT($AD1454,"0.000000")</f>
        <v>63|0.000000</v>
      </c>
      <c r="AG1454" s="18" t="n">
        <f aca="false">IF($K1454="SEM CULTURA",0,$T1454*$H1454)</f>
        <v>0</v>
      </c>
      <c r="AH1454" s="18" t="n">
        <f aca="false">IF($K1454="SEM CULTURA",0,$V1454*$H1454)</f>
        <v>0</v>
      </c>
      <c r="AI1454" s="18" t="n">
        <f aca="false">IF($K1454="SEM CULTURA",0,$W1454*$H1454)</f>
        <v>0</v>
      </c>
      <c r="AJ1454" s="18" t="n">
        <f aca="false">IF($K1454="SEM CULTURA",0,$S1454*$H1454)</f>
        <v>0</v>
      </c>
      <c r="AK1454" s="8" t="str">
        <f aca="false">$E1454&amp;"|"&amp;TEXT($AD1454,"0.000000")</f>
        <v>PV 129|0.000000</v>
      </c>
    </row>
    <row r="1455" customFormat="false" ht="15" hidden="false" customHeight="false" outlineLevel="0" collapsed="false">
      <c r="B1455" s="16" t="n">
        <v>64</v>
      </c>
      <c r="C1455" s="17" t="n">
        <f aca="false">DATA_INICIO_SAFRA+($B1455-1)*DIAS_POR_SEMANA</f>
        <v>46706</v>
      </c>
      <c r="D1455" s="17" t="n">
        <f aca="false">$C1455+DIAS_POR_SEMANA-1</f>
        <v>46712</v>
      </c>
      <c r="E1455" s="15" t="s">
        <v>280</v>
      </c>
      <c r="F1455" s="8" t="str">
        <f aca="false">IFERROR(INDEX(CADASTRO_PIVOS!$C$6:$C$41,MATCH($E1455,CADASTRO_PIVOS!$B$6:$B$41,0)),"?")</f>
        <v>RM06</v>
      </c>
      <c r="G1455" s="8" t="str">
        <f aca="false">IFERROR(INDEX(CADASTRO_PIVOS!$D$6:$D$41,MATCH($E1455,CADASTRO_PIVOS!$B$6:$B$41,0)),"?")</f>
        <v>TR06</v>
      </c>
      <c r="H1455" s="20" t="n">
        <f aca="false">IFERROR(INDEX(CADASTRO_PIVOS!$E$6:$E$41,MATCH($E1455,CADASTRO_PIVOS!$B$6:$B$41,0)),0)</f>
        <v>99.48</v>
      </c>
      <c r="I1455" s="16" t="n">
        <f aca="false">IFERROR(SUMIFS(ROTACAO_RDM!$B$6:$B$71,ROTACAO_RDM!$D$6:$D$71,$E1455,ROTACAO_RDM!$I$6:$I$71,"&lt;="&amp;$C1455+INT(DIAS_POR_SEMANA/2),ROTACAO_RDM!$J$6:$J$71,"&gt;="&amp;$C1455+INT(DIAS_POR_SEMANA/2)),0)</f>
        <v>0</v>
      </c>
      <c r="J1455" s="16" t="n">
        <f aca="false">IFERROR(MATCH($I1455,ROTACAO_RDM!$B$6:$B$71,0),0)</f>
        <v>0</v>
      </c>
      <c r="K1455" s="8" t="str">
        <f aca="false">IF($J1455=0,"SEM CULTURA",INDEX(ROTACAO_RDM!$F$6:$F$71,$J1455))</f>
        <v>SEM CULTURA</v>
      </c>
      <c r="L1455" s="8" t="str">
        <f aca="false">IF($J1455=0,"",INDEX(ROTACAO_RDM!$G$6:$G$71,$J1455))</f>
        <v/>
      </c>
      <c r="M1455" s="17" t="str">
        <f aca="false">IF($J1455=0,"",INDEX(ROTACAO_RDM!$I$6:$I$71,$J1455))</f>
        <v/>
      </c>
      <c r="N1455" s="16" t="n">
        <f aca="false">IF($J1455=0,0,MAX(0,$C1455+INT(DIAS_POR_SEMANA/2)-INDEX(ROTACAO_RDM!$I$6:$I$71,$J1455)))</f>
        <v>0</v>
      </c>
      <c r="O1455" s="19" t="n">
        <f aca="false">IF($J1455=0,0,MIN(1,$N1455/MAX(1,INDEX(ROTACAO_RDM!$K$6:$K$71,$J1455))))</f>
        <v>0</v>
      </c>
      <c r="P1455" s="16" t="n">
        <f aca="false">IF($J1455=0,0,IFERROR(MATCH(INDEX(ROTACAO_RDM!$N$6:$N$71,$J1455),PARAMETROS_CULTURAS!$B$6:$B$28,0),0))</f>
        <v>0</v>
      </c>
      <c r="Q1455" s="8" t="str">
        <f aca="false">IF($P1455=0,"-",IF($O1455&lt;=INDEX(PARAMETROS_CULTURAS!$F$6:$F$28,$P1455),"INICIAL",IF($O1455&lt;=INDEX(PARAMETROS_CULTURAS!$F$6:$F$28,$P1455)+INDEX(PARAMETROS_CULTURAS!$G$6:$G$28,$P1455),"DESENVOLVIMENTO",IF($O1455&lt;=INDEX(PARAMETROS_CULTURAS!$F$6:$F$28,$P1455)+INDEX(PARAMETROS_CULTURAS!$G$6:$G$28,$P1455)+INDEX(PARAMETROS_CULTURAS!$H$6:$H$28,$P1455),"MEDIA","FINAL"))))</f>
        <v>-</v>
      </c>
      <c r="R1455" s="24" t="n">
        <f aca="false">IF($P1455=0,0,IF($O1455&lt;=INDEX(PARAMETROS_CULTURAS!$F$6:$F$28,$P1455),INDEX(PARAMETROS_CULTURAS!$K$6:$K$28,$P1455),IF($O1455&lt;=INDEX(PARAMETROS_CULTURAS!$F$6:$F$28,$P1455)+INDEX(PARAMETROS_CULTURAS!$G$6:$G$28,$P1455),INDEX(PARAMETROS_CULTURAS!$K$6:$K$28,$P1455)+(INDEX(PARAMETROS_CULTURAS!$L$6:$L$28,$P1455)-INDEX(PARAMETROS_CULTURAS!$K$6:$K$28,$P1455))*($O1455-INDEX(PARAMETROS_CULTURAS!$F$6:$F$28,$P1455))/MAX(INDEX(PARAMETROS_CULTURAS!$G$6:$G$28,$P1455),0.0001),IF($O1455&lt;=INDEX(PARAMETROS_CULTURAS!$F$6:$F$28,$P1455)+INDEX(PARAMETROS_CULTURAS!$G$6:$G$28,$P1455)+INDEX(PARAMETROS_CULTURAS!$H$6:$H$28,$P1455),INDEX(PARAMETROS_CULTURAS!$L$6:$L$28,$P1455),INDEX(PARAMETROS_CULTURAS!$L$6:$L$28,$P1455)+(INDEX(PARAMETROS_CULTURAS!$M$6:$M$28,$P1455)-INDEX(PARAMETROS_CULTURAS!$L$6:$L$28,$P1455))*($O1455-INDEX(PARAMETROS_CULTURAS!$F$6:$F$28,$P1455)-INDEX(PARAMETROS_CULTURAS!$G$6:$G$28,$P1455)-INDEX(PARAMETROS_CULTURAS!$H$6:$H$28,$P1455))/MAX(INDEX(PARAMETROS_CULTURAS!$I$6:$I$28,$P1455),0.0001)))))</f>
        <v>0</v>
      </c>
      <c r="S1455" s="18" t="n">
        <f aca="false">IFERROR(INDEX(SEMANAS!$H$6:$H$71,MATCH($B1455,SEMANAS!$B$6:$B$71,0)),0)</f>
        <v>34.3</v>
      </c>
      <c r="T1455" s="18" t="n">
        <f aca="false">$R1455*$S1455</f>
        <v>0</v>
      </c>
      <c r="U1455" s="18" t="n">
        <f aca="false">IFERROR(INDEX(SEMANAS!$I$6:$I$71,MATCH($B1455,SEMANAS!$B$6:$B$71,0)),0)</f>
        <v>46.69</v>
      </c>
      <c r="V1455" s="18" t="n">
        <f aca="false">IFERROR(INDEX(SEMANAS!$J$6:$J$71,MATCH($B1455,SEMANAS!$B$6:$B$71,0)),0)</f>
        <v>37.352</v>
      </c>
      <c r="W1455" s="18" t="n">
        <f aca="false">MAX(0,$T1455-$V1455)</f>
        <v>0</v>
      </c>
      <c r="X1455" s="19" t="n">
        <f aca="false">IFERROR(INDEX(CADASTRO_PIVOS!$K$6:$K$41,MATCH($E1455,CADASTRO_PIVOS!$B$6:$B$41,0)),EFICIENCIA_PADRAO)</f>
        <v>0.85</v>
      </c>
      <c r="Y1455" s="18" t="n">
        <f aca="false">IF($X1455&lt;=0,0,$W1455/$X1455)</f>
        <v>0</v>
      </c>
      <c r="Z1455" s="16" t="n">
        <f aca="false">$Y1455*$H1455*MM_PARA_M3_HA</f>
        <v>0</v>
      </c>
      <c r="AA1455" s="18" t="n">
        <f aca="false">IFERROR(INDEX(CADASTRO_PIVOS!$I$6:$I$41,MATCH($E1455,CADASTRO_PIVOS!$B$6:$B$41,0)),0)</f>
        <v>710.571428571429</v>
      </c>
      <c r="AB1455" s="18" t="n">
        <f aca="false">IF($Z1455&lt;=0,0,$Z1455/$AA1455)</f>
        <v>0</v>
      </c>
      <c r="AC1455" s="16" t="n">
        <f aca="false">IFERROR(INDEX(SEMANAS!$K$6:$K$71,MATCH($B1455,SEMANAS!$B$6:$B$71,0)),0)</f>
        <v>147</v>
      </c>
      <c r="AD1455" s="19" t="n">
        <f aca="false">IF($AC1455&lt;=0,0,$AB1455/$AC1455)</f>
        <v>0</v>
      </c>
      <c r="AE1455" s="8" t="str">
        <f aca="false">IF($K1455="SEM CULTURA","SEM CULTURA",IF($AA1455&lt;=0,"DADO PENDENTE",IF($AD1455&gt;LIMITE_CRITICO,"INVIAVEL",IF($AD1455&gt;LIMITE_ATENCAO,"CRITICO",IF($AD1455&gt;LIMITE_CONFORTAVEL,"ATENCAO","OK")))))</f>
        <v>SEM CULTURA</v>
      </c>
      <c r="AF1455" s="8" t="str">
        <f aca="false">$B1455&amp;"|"&amp;TEXT($AD1455,"0.000000")</f>
        <v>64|0.000000</v>
      </c>
      <c r="AG1455" s="18" t="n">
        <f aca="false">IF($K1455="SEM CULTURA",0,$T1455*$H1455)</f>
        <v>0</v>
      </c>
      <c r="AH1455" s="18" t="n">
        <f aca="false">IF($K1455="SEM CULTURA",0,$V1455*$H1455)</f>
        <v>0</v>
      </c>
      <c r="AI1455" s="18" t="n">
        <f aca="false">IF($K1455="SEM CULTURA",0,$W1455*$H1455)</f>
        <v>0</v>
      </c>
      <c r="AJ1455" s="18" t="n">
        <f aca="false">IF($K1455="SEM CULTURA",0,$S1455*$H1455)</f>
        <v>0</v>
      </c>
      <c r="AK1455" s="8" t="str">
        <f aca="false">$E1455&amp;"|"&amp;TEXT($AD1455,"0.000000")</f>
        <v>PV 129|0.000000</v>
      </c>
    </row>
    <row r="1456" customFormat="false" ht="15" hidden="false" customHeight="false" outlineLevel="0" collapsed="false">
      <c r="B1456" s="16" t="n">
        <v>65</v>
      </c>
      <c r="C1456" s="17" t="n">
        <f aca="false">DATA_INICIO_SAFRA+($B1456-1)*DIAS_POR_SEMANA</f>
        <v>46713</v>
      </c>
      <c r="D1456" s="17" t="n">
        <f aca="false">$C1456+DIAS_POR_SEMANA-1</f>
        <v>46719</v>
      </c>
      <c r="E1456" s="15" t="s">
        <v>280</v>
      </c>
      <c r="F1456" s="8" t="str">
        <f aca="false">IFERROR(INDEX(CADASTRO_PIVOS!$C$6:$C$41,MATCH($E1456,CADASTRO_PIVOS!$B$6:$B$41,0)),"?")</f>
        <v>RM06</v>
      </c>
      <c r="G1456" s="8" t="str">
        <f aca="false">IFERROR(INDEX(CADASTRO_PIVOS!$D$6:$D$41,MATCH($E1456,CADASTRO_PIVOS!$B$6:$B$41,0)),"?")</f>
        <v>TR06</v>
      </c>
      <c r="H1456" s="20" t="n">
        <f aca="false">IFERROR(INDEX(CADASTRO_PIVOS!$E$6:$E$41,MATCH($E1456,CADASTRO_PIVOS!$B$6:$B$41,0)),0)</f>
        <v>99.48</v>
      </c>
      <c r="I1456" s="16" t="n">
        <f aca="false">IFERROR(SUMIFS(ROTACAO_RDM!$B$6:$B$71,ROTACAO_RDM!$D$6:$D$71,$E1456,ROTACAO_RDM!$I$6:$I$71,"&lt;="&amp;$C1456+INT(DIAS_POR_SEMANA/2),ROTACAO_RDM!$J$6:$J$71,"&gt;="&amp;$C1456+INT(DIAS_POR_SEMANA/2)),0)</f>
        <v>0</v>
      </c>
      <c r="J1456" s="16" t="n">
        <f aca="false">IFERROR(MATCH($I1456,ROTACAO_RDM!$B$6:$B$71,0),0)</f>
        <v>0</v>
      </c>
      <c r="K1456" s="8" t="str">
        <f aca="false">IF($J1456=0,"SEM CULTURA",INDEX(ROTACAO_RDM!$F$6:$F$71,$J1456))</f>
        <v>SEM CULTURA</v>
      </c>
      <c r="L1456" s="8" t="str">
        <f aca="false">IF($J1456=0,"",INDEX(ROTACAO_RDM!$G$6:$G$71,$J1456))</f>
        <v/>
      </c>
      <c r="M1456" s="17" t="str">
        <f aca="false">IF($J1456=0,"",INDEX(ROTACAO_RDM!$I$6:$I$71,$J1456))</f>
        <v/>
      </c>
      <c r="N1456" s="16" t="n">
        <f aca="false">IF($J1456=0,0,MAX(0,$C1456+INT(DIAS_POR_SEMANA/2)-INDEX(ROTACAO_RDM!$I$6:$I$71,$J1456)))</f>
        <v>0</v>
      </c>
      <c r="O1456" s="19" t="n">
        <f aca="false">IF($J1456=0,0,MIN(1,$N1456/MAX(1,INDEX(ROTACAO_RDM!$K$6:$K$71,$J1456))))</f>
        <v>0</v>
      </c>
      <c r="P1456" s="16" t="n">
        <f aca="false">IF($J1456=0,0,IFERROR(MATCH(INDEX(ROTACAO_RDM!$N$6:$N$71,$J1456),PARAMETROS_CULTURAS!$B$6:$B$28,0),0))</f>
        <v>0</v>
      </c>
      <c r="Q1456" s="8" t="str">
        <f aca="false">IF($P1456=0,"-",IF($O1456&lt;=INDEX(PARAMETROS_CULTURAS!$F$6:$F$28,$P1456),"INICIAL",IF($O1456&lt;=INDEX(PARAMETROS_CULTURAS!$F$6:$F$28,$P1456)+INDEX(PARAMETROS_CULTURAS!$G$6:$G$28,$P1456),"DESENVOLVIMENTO",IF($O1456&lt;=INDEX(PARAMETROS_CULTURAS!$F$6:$F$28,$P1456)+INDEX(PARAMETROS_CULTURAS!$G$6:$G$28,$P1456)+INDEX(PARAMETROS_CULTURAS!$H$6:$H$28,$P1456),"MEDIA","FINAL"))))</f>
        <v>-</v>
      </c>
      <c r="R1456" s="24" t="n">
        <f aca="false">IF($P1456=0,0,IF($O1456&lt;=INDEX(PARAMETROS_CULTURAS!$F$6:$F$28,$P1456),INDEX(PARAMETROS_CULTURAS!$K$6:$K$28,$P1456),IF($O1456&lt;=INDEX(PARAMETROS_CULTURAS!$F$6:$F$28,$P1456)+INDEX(PARAMETROS_CULTURAS!$G$6:$G$28,$P1456),INDEX(PARAMETROS_CULTURAS!$K$6:$K$28,$P1456)+(INDEX(PARAMETROS_CULTURAS!$L$6:$L$28,$P1456)-INDEX(PARAMETROS_CULTURAS!$K$6:$K$28,$P1456))*($O1456-INDEX(PARAMETROS_CULTURAS!$F$6:$F$28,$P1456))/MAX(INDEX(PARAMETROS_CULTURAS!$G$6:$G$28,$P1456),0.0001),IF($O1456&lt;=INDEX(PARAMETROS_CULTURAS!$F$6:$F$28,$P1456)+INDEX(PARAMETROS_CULTURAS!$G$6:$G$28,$P1456)+INDEX(PARAMETROS_CULTURAS!$H$6:$H$28,$P1456),INDEX(PARAMETROS_CULTURAS!$L$6:$L$28,$P1456),INDEX(PARAMETROS_CULTURAS!$L$6:$L$28,$P1456)+(INDEX(PARAMETROS_CULTURAS!$M$6:$M$28,$P1456)-INDEX(PARAMETROS_CULTURAS!$L$6:$L$28,$P1456))*($O1456-INDEX(PARAMETROS_CULTURAS!$F$6:$F$28,$P1456)-INDEX(PARAMETROS_CULTURAS!$G$6:$G$28,$P1456)-INDEX(PARAMETROS_CULTURAS!$H$6:$H$28,$P1456))/MAX(INDEX(PARAMETROS_CULTURAS!$I$6:$I$28,$P1456),0.0001)))))</f>
        <v>0</v>
      </c>
      <c r="S1456" s="18" t="n">
        <f aca="false">IFERROR(INDEX(SEMANAS!$H$6:$H$71,MATCH($B1456,SEMANAS!$B$6:$B$71,0)),0)</f>
        <v>34.3</v>
      </c>
      <c r="T1456" s="18" t="n">
        <f aca="false">$R1456*$S1456</f>
        <v>0</v>
      </c>
      <c r="U1456" s="18" t="n">
        <f aca="false">IFERROR(INDEX(SEMANAS!$I$6:$I$71,MATCH($B1456,SEMANAS!$B$6:$B$71,0)),0)</f>
        <v>46.69</v>
      </c>
      <c r="V1456" s="18" t="n">
        <f aca="false">IFERROR(INDEX(SEMANAS!$J$6:$J$71,MATCH($B1456,SEMANAS!$B$6:$B$71,0)),0)</f>
        <v>37.352</v>
      </c>
      <c r="W1456" s="18" t="n">
        <f aca="false">MAX(0,$T1456-$V1456)</f>
        <v>0</v>
      </c>
      <c r="X1456" s="19" t="n">
        <f aca="false">IFERROR(INDEX(CADASTRO_PIVOS!$K$6:$K$41,MATCH($E1456,CADASTRO_PIVOS!$B$6:$B$41,0)),EFICIENCIA_PADRAO)</f>
        <v>0.85</v>
      </c>
      <c r="Y1456" s="18" t="n">
        <f aca="false">IF($X1456&lt;=0,0,$W1456/$X1456)</f>
        <v>0</v>
      </c>
      <c r="Z1456" s="16" t="n">
        <f aca="false">$Y1456*$H1456*MM_PARA_M3_HA</f>
        <v>0</v>
      </c>
      <c r="AA1456" s="18" t="n">
        <f aca="false">IFERROR(INDEX(CADASTRO_PIVOS!$I$6:$I$41,MATCH($E1456,CADASTRO_PIVOS!$B$6:$B$41,0)),0)</f>
        <v>710.571428571429</v>
      </c>
      <c r="AB1456" s="18" t="n">
        <f aca="false">IF($Z1456&lt;=0,0,$Z1456/$AA1456)</f>
        <v>0</v>
      </c>
      <c r="AC1456" s="16" t="n">
        <f aca="false">IFERROR(INDEX(SEMANAS!$K$6:$K$71,MATCH($B1456,SEMANAS!$B$6:$B$71,0)),0)</f>
        <v>147</v>
      </c>
      <c r="AD1456" s="19" t="n">
        <f aca="false">IF($AC1456&lt;=0,0,$AB1456/$AC1456)</f>
        <v>0</v>
      </c>
      <c r="AE1456" s="8" t="str">
        <f aca="false">IF($K1456="SEM CULTURA","SEM CULTURA",IF($AA1456&lt;=0,"DADO PENDENTE",IF($AD1456&gt;LIMITE_CRITICO,"INVIAVEL",IF($AD1456&gt;LIMITE_ATENCAO,"CRITICO",IF($AD1456&gt;LIMITE_CONFORTAVEL,"ATENCAO","OK")))))</f>
        <v>SEM CULTURA</v>
      </c>
      <c r="AF1456" s="8" t="str">
        <f aca="false">$B1456&amp;"|"&amp;TEXT($AD1456,"0.000000")</f>
        <v>65|0.000000</v>
      </c>
      <c r="AG1456" s="18" t="n">
        <f aca="false">IF($K1456="SEM CULTURA",0,$T1456*$H1456)</f>
        <v>0</v>
      </c>
      <c r="AH1456" s="18" t="n">
        <f aca="false">IF($K1456="SEM CULTURA",0,$V1456*$H1456)</f>
        <v>0</v>
      </c>
      <c r="AI1456" s="18" t="n">
        <f aca="false">IF($K1456="SEM CULTURA",0,$W1456*$H1456)</f>
        <v>0</v>
      </c>
      <c r="AJ1456" s="18" t="n">
        <f aca="false">IF($K1456="SEM CULTURA",0,$S1456*$H1456)</f>
        <v>0</v>
      </c>
      <c r="AK1456" s="8" t="str">
        <f aca="false">$E1456&amp;"|"&amp;TEXT($AD1456,"0.000000")</f>
        <v>PV 129|0.000000</v>
      </c>
    </row>
    <row r="1457" customFormat="false" ht="15" hidden="false" customHeight="false" outlineLevel="0" collapsed="false">
      <c r="B1457" s="16" t="n">
        <v>66</v>
      </c>
      <c r="C1457" s="17" t="n">
        <f aca="false">DATA_INICIO_SAFRA+($B1457-1)*DIAS_POR_SEMANA</f>
        <v>46720</v>
      </c>
      <c r="D1457" s="17" t="n">
        <f aca="false">$C1457+DIAS_POR_SEMANA-1</f>
        <v>46726</v>
      </c>
      <c r="E1457" s="15" t="s">
        <v>280</v>
      </c>
      <c r="F1457" s="8" t="str">
        <f aca="false">IFERROR(INDEX(CADASTRO_PIVOS!$C$6:$C$41,MATCH($E1457,CADASTRO_PIVOS!$B$6:$B$41,0)),"?")</f>
        <v>RM06</v>
      </c>
      <c r="G1457" s="8" t="str">
        <f aca="false">IFERROR(INDEX(CADASTRO_PIVOS!$D$6:$D$41,MATCH($E1457,CADASTRO_PIVOS!$B$6:$B$41,0)),"?")</f>
        <v>TR06</v>
      </c>
      <c r="H1457" s="20" t="n">
        <f aca="false">IFERROR(INDEX(CADASTRO_PIVOS!$E$6:$E$41,MATCH($E1457,CADASTRO_PIVOS!$B$6:$B$41,0)),0)</f>
        <v>99.48</v>
      </c>
      <c r="I1457" s="16" t="n">
        <f aca="false">IFERROR(SUMIFS(ROTACAO_RDM!$B$6:$B$71,ROTACAO_RDM!$D$6:$D$71,$E1457,ROTACAO_RDM!$I$6:$I$71,"&lt;="&amp;$C1457+INT(DIAS_POR_SEMANA/2),ROTACAO_RDM!$J$6:$J$71,"&gt;="&amp;$C1457+INT(DIAS_POR_SEMANA/2)),0)</f>
        <v>0</v>
      </c>
      <c r="J1457" s="16" t="n">
        <f aca="false">IFERROR(MATCH($I1457,ROTACAO_RDM!$B$6:$B$71,0),0)</f>
        <v>0</v>
      </c>
      <c r="K1457" s="8" t="str">
        <f aca="false">IF($J1457=0,"SEM CULTURA",INDEX(ROTACAO_RDM!$F$6:$F$71,$J1457))</f>
        <v>SEM CULTURA</v>
      </c>
      <c r="L1457" s="8" t="str">
        <f aca="false">IF($J1457=0,"",INDEX(ROTACAO_RDM!$G$6:$G$71,$J1457))</f>
        <v/>
      </c>
      <c r="M1457" s="17" t="str">
        <f aca="false">IF($J1457=0,"",INDEX(ROTACAO_RDM!$I$6:$I$71,$J1457))</f>
        <v/>
      </c>
      <c r="N1457" s="16" t="n">
        <f aca="false">IF($J1457=0,0,MAX(0,$C1457+INT(DIAS_POR_SEMANA/2)-INDEX(ROTACAO_RDM!$I$6:$I$71,$J1457)))</f>
        <v>0</v>
      </c>
      <c r="O1457" s="19" t="n">
        <f aca="false">IF($J1457=0,0,MIN(1,$N1457/MAX(1,INDEX(ROTACAO_RDM!$K$6:$K$71,$J1457))))</f>
        <v>0</v>
      </c>
      <c r="P1457" s="16" t="n">
        <f aca="false">IF($J1457=0,0,IFERROR(MATCH(INDEX(ROTACAO_RDM!$N$6:$N$71,$J1457),PARAMETROS_CULTURAS!$B$6:$B$28,0),0))</f>
        <v>0</v>
      </c>
      <c r="Q1457" s="8" t="str">
        <f aca="false">IF($P1457=0,"-",IF($O1457&lt;=INDEX(PARAMETROS_CULTURAS!$F$6:$F$28,$P1457),"INICIAL",IF($O1457&lt;=INDEX(PARAMETROS_CULTURAS!$F$6:$F$28,$P1457)+INDEX(PARAMETROS_CULTURAS!$G$6:$G$28,$P1457),"DESENVOLVIMENTO",IF($O1457&lt;=INDEX(PARAMETROS_CULTURAS!$F$6:$F$28,$P1457)+INDEX(PARAMETROS_CULTURAS!$G$6:$G$28,$P1457)+INDEX(PARAMETROS_CULTURAS!$H$6:$H$28,$P1457),"MEDIA","FINAL"))))</f>
        <v>-</v>
      </c>
      <c r="R1457" s="24" t="n">
        <f aca="false">IF($P1457=0,0,IF($O1457&lt;=INDEX(PARAMETROS_CULTURAS!$F$6:$F$28,$P1457),INDEX(PARAMETROS_CULTURAS!$K$6:$K$28,$P1457),IF($O1457&lt;=INDEX(PARAMETROS_CULTURAS!$F$6:$F$28,$P1457)+INDEX(PARAMETROS_CULTURAS!$G$6:$G$28,$P1457),INDEX(PARAMETROS_CULTURAS!$K$6:$K$28,$P1457)+(INDEX(PARAMETROS_CULTURAS!$L$6:$L$28,$P1457)-INDEX(PARAMETROS_CULTURAS!$K$6:$K$28,$P1457))*($O1457-INDEX(PARAMETROS_CULTURAS!$F$6:$F$28,$P1457))/MAX(INDEX(PARAMETROS_CULTURAS!$G$6:$G$28,$P1457),0.0001),IF($O1457&lt;=INDEX(PARAMETROS_CULTURAS!$F$6:$F$28,$P1457)+INDEX(PARAMETROS_CULTURAS!$G$6:$G$28,$P1457)+INDEX(PARAMETROS_CULTURAS!$H$6:$H$28,$P1457),INDEX(PARAMETROS_CULTURAS!$L$6:$L$28,$P1457),INDEX(PARAMETROS_CULTURAS!$L$6:$L$28,$P1457)+(INDEX(PARAMETROS_CULTURAS!$M$6:$M$28,$P1457)-INDEX(PARAMETROS_CULTURAS!$L$6:$L$28,$P1457))*($O1457-INDEX(PARAMETROS_CULTURAS!$F$6:$F$28,$P1457)-INDEX(PARAMETROS_CULTURAS!$G$6:$G$28,$P1457)-INDEX(PARAMETROS_CULTURAS!$H$6:$H$28,$P1457))/MAX(INDEX(PARAMETROS_CULTURAS!$I$6:$I$28,$P1457),0.0001)))))</f>
        <v>0</v>
      </c>
      <c r="S1457" s="18" t="n">
        <f aca="false">IFERROR(INDEX(SEMANAS!$H$6:$H$71,MATCH($B1457,SEMANAS!$B$6:$B$71,0)),0)</f>
        <v>33.3</v>
      </c>
      <c r="T1457" s="18" t="n">
        <f aca="false">$R1457*$S1457</f>
        <v>0</v>
      </c>
      <c r="U1457" s="18" t="n">
        <f aca="false">IFERROR(INDEX(SEMANAS!$I$6:$I$71,MATCH($B1457,SEMANAS!$B$6:$B$71,0)),0)</f>
        <v>48.04</v>
      </c>
      <c r="V1457" s="18" t="n">
        <f aca="false">IFERROR(INDEX(SEMANAS!$J$6:$J$71,MATCH($B1457,SEMANAS!$B$6:$B$71,0)),0)</f>
        <v>38.432</v>
      </c>
      <c r="W1457" s="18" t="n">
        <f aca="false">MAX(0,$T1457-$V1457)</f>
        <v>0</v>
      </c>
      <c r="X1457" s="19" t="n">
        <f aca="false">IFERROR(INDEX(CADASTRO_PIVOS!$K$6:$K$41,MATCH($E1457,CADASTRO_PIVOS!$B$6:$B$41,0)),EFICIENCIA_PADRAO)</f>
        <v>0.85</v>
      </c>
      <c r="Y1457" s="18" t="n">
        <f aca="false">IF($X1457&lt;=0,0,$W1457/$X1457)</f>
        <v>0</v>
      </c>
      <c r="Z1457" s="16" t="n">
        <f aca="false">$Y1457*$H1457*MM_PARA_M3_HA</f>
        <v>0</v>
      </c>
      <c r="AA1457" s="18" t="n">
        <f aca="false">IFERROR(INDEX(CADASTRO_PIVOS!$I$6:$I$41,MATCH($E1457,CADASTRO_PIVOS!$B$6:$B$41,0)),0)</f>
        <v>710.571428571429</v>
      </c>
      <c r="AB1457" s="18" t="n">
        <f aca="false">IF($Z1457&lt;=0,0,$Z1457/$AA1457)</f>
        <v>0</v>
      </c>
      <c r="AC1457" s="16" t="n">
        <f aca="false">IFERROR(INDEX(SEMANAS!$K$6:$K$71,MATCH($B1457,SEMANAS!$B$6:$B$71,0)),0)</f>
        <v>147</v>
      </c>
      <c r="AD1457" s="19" t="n">
        <f aca="false">IF($AC1457&lt;=0,0,$AB1457/$AC1457)</f>
        <v>0</v>
      </c>
      <c r="AE1457" s="8" t="str">
        <f aca="false">IF($K1457="SEM CULTURA","SEM CULTURA",IF($AA1457&lt;=0,"DADO PENDENTE",IF($AD1457&gt;LIMITE_CRITICO,"INVIAVEL",IF($AD1457&gt;LIMITE_ATENCAO,"CRITICO",IF($AD1457&gt;LIMITE_CONFORTAVEL,"ATENCAO","OK")))))</f>
        <v>SEM CULTURA</v>
      </c>
      <c r="AF1457" s="8" t="str">
        <f aca="false">$B1457&amp;"|"&amp;TEXT($AD1457,"0.000000")</f>
        <v>66|0.000000</v>
      </c>
      <c r="AG1457" s="18" t="n">
        <f aca="false">IF($K1457="SEM CULTURA",0,$T1457*$H1457)</f>
        <v>0</v>
      </c>
      <c r="AH1457" s="18" t="n">
        <f aca="false">IF($K1457="SEM CULTURA",0,$V1457*$H1457)</f>
        <v>0</v>
      </c>
      <c r="AI1457" s="18" t="n">
        <f aca="false">IF($K1457="SEM CULTURA",0,$W1457*$H1457)</f>
        <v>0</v>
      </c>
      <c r="AJ1457" s="18" t="n">
        <f aca="false">IF($K1457="SEM CULTURA",0,$S1457*$H1457)</f>
        <v>0</v>
      </c>
      <c r="AK1457" s="8" t="str">
        <f aca="false">$E1457&amp;"|"&amp;TEXT($AD1457,"0.000000")</f>
        <v>PV 129|0.000000</v>
      </c>
    </row>
    <row r="1458" customFormat="false" ht="15" hidden="false" customHeight="false" outlineLevel="0" collapsed="false">
      <c r="B1458" s="16" t="n">
        <v>1</v>
      </c>
      <c r="C1458" s="17" t="n">
        <f aca="false">DATA_INICIO_SAFRA+($B1458-1)*DIAS_POR_SEMANA</f>
        <v>46265</v>
      </c>
      <c r="D1458" s="17" t="n">
        <f aca="false">$C1458+DIAS_POR_SEMANA-1</f>
        <v>46271</v>
      </c>
      <c r="E1458" s="15" t="s">
        <v>281</v>
      </c>
      <c r="F1458" s="8" t="str">
        <f aca="false">IFERROR(INDEX(CADASTRO_PIVOS!$C$6:$C$41,MATCH($E1458,CADASTRO_PIVOS!$B$6:$B$41,0)),"?")</f>
        <v>RM06</v>
      </c>
      <c r="G1458" s="8" t="str">
        <f aca="false">IFERROR(INDEX(CADASTRO_PIVOS!$D$6:$D$41,MATCH($E1458,CADASTRO_PIVOS!$B$6:$B$41,0)),"?")</f>
        <v>TR06</v>
      </c>
      <c r="H1458" s="20" t="n">
        <f aca="false">IFERROR(INDEX(CADASTRO_PIVOS!$E$6:$E$41,MATCH($E1458,CADASTRO_PIVOS!$B$6:$B$41,0)),0)</f>
        <v>149.94</v>
      </c>
      <c r="I1458" s="16" t="n">
        <f aca="false">IFERROR(SUMIFS(ROTACAO_RDM!$B$6:$B$71,ROTACAO_RDM!$D$6:$D$71,$E1458,ROTACAO_RDM!$I$6:$I$71,"&lt;="&amp;$C1458+INT(DIAS_POR_SEMANA/2),ROTACAO_RDM!$J$6:$J$71,"&gt;="&amp;$C1458+INT(DIAS_POR_SEMANA/2)),0)</f>
        <v>57</v>
      </c>
      <c r="J1458" s="16" t="n">
        <f aca="false">IFERROR(MATCH($I1458,ROTACAO_RDM!$B$6:$B$71,0),0)</f>
        <v>57</v>
      </c>
      <c r="K1458" s="8" t="str">
        <f aca="false">IF($J1458=0,"SEM CULTURA",INDEX(ROTACAO_RDM!$F$6:$F$71,$J1458))</f>
        <v>MILHO_SEMENTE</v>
      </c>
      <c r="L1458" s="8" t="str">
        <f aca="false">IF($J1458=0,"",INDEX(ROTACAO_RDM!$G$6:$G$71,$J1458))</f>
        <v>Syngenta</v>
      </c>
      <c r="M1458" s="17" t="n">
        <f aca="false">IF($J1458=0,"",INDEX(ROTACAO_RDM!$I$6:$I$71,$J1458))</f>
        <v>46164</v>
      </c>
      <c r="N1458" s="16" t="n">
        <f aca="false">IF($J1458=0,0,MAX(0,$C1458+INT(DIAS_POR_SEMANA/2)-INDEX(ROTACAO_RDM!$I$6:$I$71,$J1458)))</f>
        <v>104</v>
      </c>
      <c r="O1458" s="19" t="n">
        <f aca="false">IF($J1458=0,0,MIN(1,$N1458/MAX(1,INDEX(ROTACAO_RDM!$K$6:$K$71,$J1458))))</f>
        <v>0.65</v>
      </c>
      <c r="P1458" s="16" t="n">
        <f aca="false">IF($J1458=0,0,IFERROR(MATCH(INDEX(ROTACAO_RDM!$N$6:$N$71,$J1458),PARAMETROS_CULTURAS!$B$6:$B$28,0),0))</f>
        <v>7</v>
      </c>
      <c r="Q1458" s="8" t="str">
        <f aca="false">IF($P1458=0,"-",IF($O1458&lt;=INDEX(PARAMETROS_CULTURAS!$F$6:$F$28,$P1458),"INICIAL",IF($O1458&lt;=INDEX(PARAMETROS_CULTURAS!$F$6:$F$28,$P1458)+INDEX(PARAMETROS_CULTURAS!$G$6:$G$28,$P1458),"DESENVOLVIMENTO",IF($O1458&lt;=INDEX(PARAMETROS_CULTURAS!$F$6:$F$28,$P1458)+INDEX(PARAMETROS_CULTURAS!$G$6:$G$28,$P1458)+INDEX(PARAMETROS_CULTURAS!$H$6:$H$28,$P1458),"MEDIA","FINAL"))))</f>
        <v>MEDIA</v>
      </c>
      <c r="R1458" s="24" t="n">
        <f aca="false">IF($P1458=0,0,IF($O1458&lt;=INDEX(PARAMETROS_CULTURAS!$F$6:$F$28,$P1458),INDEX(PARAMETROS_CULTURAS!$K$6:$K$28,$P1458),IF($O1458&lt;=INDEX(PARAMETROS_CULTURAS!$F$6:$F$28,$P1458)+INDEX(PARAMETROS_CULTURAS!$G$6:$G$28,$P1458),INDEX(PARAMETROS_CULTURAS!$K$6:$K$28,$P1458)+(INDEX(PARAMETROS_CULTURAS!$L$6:$L$28,$P1458)-INDEX(PARAMETROS_CULTURAS!$K$6:$K$28,$P1458))*($O1458-INDEX(PARAMETROS_CULTURAS!$F$6:$F$28,$P1458))/MAX(INDEX(PARAMETROS_CULTURAS!$G$6:$G$28,$P1458),0.0001),IF($O1458&lt;=INDEX(PARAMETROS_CULTURAS!$F$6:$F$28,$P1458)+INDEX(PARAMETROS_CULTURAS!$G$6:$G$28,$P1458)+INDEX(PARAMETROS_CULTURAS!$H$6:$H$28,$P1458),INDEX(PARAMETROS_CULTURAS!$L$6:$L$28,$P1458),INDEX(PARAMETROS_CULTURAS!$L$6:$L$28,$P1458)+(INDEX(PARAMETROS_CULTURAS!$M$6:$M$28,$P1458)-INDEX(PARAMETROS_CULTURAS!$L$6:$L$28,$P1458))*($O1458-INDEX(PARAMETROS_CULTURAS!$F$6:$F$28,$P1458)-INDEX(PARAMETROS_CULTURAS!$G$6:$G$28,$P1458)-INDEX(PARAMETROS_CULTURAS!$H$6:$H$28,$P1458))/MAX(INDEX(PARAMETROS_CULTURAS!$I$6:$I$28,$P1458),0.0001)))))</f>
        <v>1.15</v>
      </c>
      <c r="S1458" s="18" t="n">
        <f aca="false">IFERROR(INDEX(SEMANAS!$H$6:$H$71,MATCH($B1458,SEMANAS!$B$6:$B$71,0)),0)</f>
        <v>40</v>
      </c>
      <c r="T1458" s="18" t="n">
        <f aca="false">$R1458*$S1458</f>
        <v>46</v>
      </c>
      <c r="U1458" s="18" t="n">
        <f aca="false">IFERROR(INDEX(SEMANAS!$I$6:$I$71,MATCH($B1458,SEMANAS!$B$6:$B$71,0)),0)</f>
        <v>6.16</v>
      </c>
      <c r="V1458" s="18" t="n">
        <f aca="false">IFERROR(INDEX(SEMANAS!$J$6:$J$71,MATCH($B1458,SEMANAS!$B$6:$B$71,0)),0)</f>
        <v>4.928</v>
      </c>
      <c r="W1458" s="18" t="n">
        <f aca="false">MAX(0,$T1458-$V1458)</f>
        <v>41.072</v>
      </c>
      <c r="X1458" s="19" t="n">
        <f aca="false">IFERROR(INDEX(CADASTRO_PIVOS!$K$6:$K$41,MATCH($E1458,CADASTRO_PIVOS!$B$6:$B$41,0)),EFICIENCIA_PADRAO)</f>
        <v>0.85</v>
      </c>
      <c r="Y1458" s="18" t="n">
        <f aca="false">IF($X1458&lt;=0,0,$W1458/$X1458)</f>
        <v>48.32</v>
      </c>
      <c r="Z1458" s="16" t="n">
        <f aca="false">$Y1458*$H1458*MM_PARA_M3_HA</f>
        <v>72451.008</v>
      </c>
      <c r="AA1458" s="18" t="n">
        <f aca="false">IFERROR(INDEX(CADASTRO_PIVOS!$I$6:$I$41,MATCH($E1458,CADASTRO_PIVOS!$B$6:$B$41,0)),0)</f>
        <v>1071</v>
      </c>
      <c r="AB1458" s="18" t="n">
        <f aca="false">IF($Z1458&lt;=0,0,$Z1458/$AA1458)</f>
        <v>67.648</v>
      </c>
      <c r="AC1458" s="16" t="n">
        <f aca="false">IFERROR(INDEX(SEMANAS!$K$6:$K$71,MATCH($B1458,SEMANAS!$B$6:$B$71,0)),0)</f>
        <v>147</v>
      </c>
      <c r="AD1458" s="19" t="n">
        <f aca="false">IF($AC1458&lt;=0,0,$AB1458/$AC1458)</f>
        <v>0.460190476190476</v>
      </c>
      <c r="AE1458" s="8" t="str">
        <f aca="false">IF($K1458="SEM CULTURA","SEM CULTURA",IF($AA1458&lt;=0,"DADO PENDENTE",IF($AD1458&gt;LIMITE_CRITICO,"INVIAVEL",IF($AD1458&gt;LIMITE_ATENCAO,"CRITICO",IF($AD1458&gt;LIMITE_CONFORTAVEL,"ATENCAO","OK")))))</f>
        <v>OK</v>
      </c>
      <c r="AF1458" s="8" t="str">
        <f aca="false">$B1458&amp;"|"&amp;TEXT($AD1458,"0.000000")</f>
        <v>1|0.460190</v>
      </c>
      <c r="AG1458" s="18" t="n">
        <f aca="false">IF($K1458="SEM CULTURA",0,$T1458*$H1458)</f>
        <v>6897.24</v>
      </c>
      <c r="AH1458" s="18" t="n">
        <f aca="false">IF($K1458="SEM CULTURA",0,$V1458*$H1458)</f>
        <v>738.90432</v>
      </c>
      <c r="AI1458" s="18" t="n">
        <f aca="false">IF($K1458="SEM CULTURA",0,$W1458*$H1458)</f>
        <v>6158.33568</v>
      </c>
      <c r="AJ1458" s="18" t="n">
        <f aca="false">IF($K1458="SEM CULTURA",0,$S1458*$H1458)</f>
        <v>5997.6</v>
      </c>
      <c r="AK1458" s="8" t="str">
        <f aca="false">$E1458&amp;"|"&amp;TEXT($AD1458,"0.000000")</f>
        <v>PV 130|0.460190</v>
      </c>
    </row>
    <row r="1459" customFormat="false" ht="15" hidden="false" customHeight="false" outlineLevel="0" collapsed="false">
      <c r="B1459" s="16" t="n">
        <v>2</v>
      </c>
      <c r="C1459" s="17" t="n">
        <f aca="false">DATA_INICIO_SAFRA+($B1459-1)*DIAS_POR_SEMANA</f>
        <v>46272</v>
      </c>
      <c r="D1459" s="17" t="n">
        <f aca="false">$C1459+DIAS_POR_SEMANA-1</f>
        <v>46278</v>
      </c>
      <c r="E1459" s="15" t="s">
        <v>281</v>
      </c>
      <c r="F1459" s="8" t="str">
        <f aca="false">IFERROR(INDEX(CADASTRO_PIVOS!$C$6:$C$41,MATCH($E1459,CADASTRO_PIVOS!$B$6:$B$41,0)),"?")</f>
        <v>RM06</v>
      </c>
      <c r="G1459" s="8" t="str">
        <f aca="false">IFERROR(INDEX(CADASTRO_PIVOS!$D$6:$D$41,MATCH($E1459,CADASTRO_PIVOS!$B$6:$B$41,0)),"?")</f>
        <v>TR06</v>
      </c>
      <c r="H1459" s="20" t="n">
        <f aca="false">IFERROR(INDEX(CADASTRO_PIVOS!$E$6:$E$41,MATCH($E1459,CADASTRO_PIVOS!$B$6:$B$41,0)),0)</f>
        <v>149.94</v>
      </c>
      <c r="I1459" s="16" t="n">
        <f aca="false">IFERROR(SUMIFS(ROTACAO_RDM!$B$6:$B$71,ROTACAO_RDM!$D$6:$D$71,$E1459,ROTACAO_RDM!$I$6:$I$71,"&lt;="&amp;$C1459+INT(DIAS_POR_SEMANA/2),ROTACAO_RDM!$J$6:$J$71,"&gt;="&amp;$C1459+INT(DIAS_POR_SEMANA/2)),0)</f>
        <v>57</v>
      </c>
      <c r="J1459" s="16" t="n">
        <f aca="false">IFERROR(MATCH($I1459,ROTACAO_RDM!$B$6:$B$71,0),0)</f>
        <v>57</v>
      </c>
      <c r="K1459" s="8" t="str">
        <f aca="false">IF($J1459=0,"SEM CULTURA",INDEX(ROTACAO_RDM!$F$6:$F$71,$J1459))</f>
        <v>MILHO_SEMENTE</v>
      </c>
      <c r="L1459" s="8" t="str">
        <f aca="false">IF($J1459=0,"",INDEX(ROTACAO_RDM!$G$6:$G$71,$J1459))</f>
        <v>Syngenta</v>
      </c>
      <c r="M1459" s="17" t="n">
        <f aca="false">IF($J1459=0,"",INDEX(ROTACAO_RDM!$I$6:$I$71,$J1459))</f>
        <v>46164</v>
      </c>
      <c r="N1459" s="16" t="n">
        <f aca="false">IF($J1459=0,0,MAX(0,$C1459+INT(DIAS_POR_SEMANA/2)-INDEX(ROTACAO_RDM!$I$6:$I$71,$J1459)))</f>
        <v>111</v>
      </c>
      <c r="O1459" s="19" t="n">
        <f aca="false">IF($J1459=0,0,MIN(1,$N1459/MAX(1,INDEX(ROTACAO_RDM!$K$6:$K$71,$J1459))))</f>
        <v>0.69375</v>
      </c>
      <c r="P1459" s="16" t="n">
        <f aca="false">IF($J1459=0,0,IFERROR(MATCH(INDEX(ROTACAO_RDM!$N$6:$N$71,$J1459),PARAMETROS_CULTURAS!$B$6:$B$28,0),0))</f>
        <v>7</v>
      </c>
      <c r="Q1459" s="8" t="str">
        <f aca="false">IF($P1459=0,"-",IF($O1459&lt;=INDEX(PARAMETROS_CULTURAS!$F$6:$F$28,$P1459),"INICIAL",IF($O1459&lt;=INDEX(PARAMETROS_CULTURAS!$F$6:$F$28,$P1459)+INDEX(PARAMETROS_CULTURAS!$G$6:$G$28,$P1459),"DESENVOLVIMENTO",IF($O1459&lt;=INDEX(PARAMETROS_CULTURAS!$F$6:$F$28,$P1459)+INDEX(PARAMETROS_CULTURAS!$G$6:$G$28,$P1459)+INDEX(PARAMETROS_CULTURAS!$H$6:$H$28,$P1459),"MEDIA","FINAL"))))</f>
        <v>MEDIA</v>
      </c>
      <c r="R1459" s="24" t="n">
        <f aca="false">IF($P1459=0,0,IF($O1459&lt;=INDEX(PARAMETROS_CULTURAS!$F$6:$F$28,$P1459),INDEX(PARAMETROS_CULTURAS!$K$6:$K$28,$P1459),IF($O1459&lt;=INDEX(PARAMETROS_CULTURAS!$F$6:$F$28,$P1459)+INDEX(PARAMETROS_CULTURAS!$G$6:$G$28,$P1459),INDEX(PARAMETROS_CULTURAS!$K$6:$K$28,$P1459)+(INDEX(PARAMETROS_CULTURAS!$L$6:$L$28,$P1459)-INDEX(PARAMETROS_CULTURAS!$K$6:$K$28,$P1459))*($O1459-INDEX(PARAMETROS_CULTURAS!$F$6:$F$28,$P1459))/MAX(INDEX(PARAMETROS_CULTURAS!$G$6:$G$28,$P1459),0.0001),IF($O1459&lt;=INDEX(PARAMETROS_CULTURAS!$F$6:$F$28,$P1459)+INDEX(PARAMETROS_CULTURAS!$G$6:$G$28,$P1459)+INDEX(PARAMETROS_CULTURAS!$H$6:$H$28,$P1459),INDEX(PARAMETROS_CULTURAS!$L$6:$L$28,$P1459),INDEX(PARAMETROS_CULTURAS!$L$6:$L$28,$P1459)+(INDEX(PARAMETROS_CULTURAS!$M$6:$M$28,$P1459)-INDEX(PARAMETROS_CULTURAS!$L$6:$L$28,$P1459))*($O1459-INDEX(PARAMETROS_CULTURAS!$F$6:$F$28,$P1459)-INDEX(PARAMETROS_CULTURAS!$G$6:$G$28,$P1459)-INDEX(PARAMETROS_CULTURAS!$H$6:$H$28,$P1459))/MAX(INDEX(PARAMETROS_CULTURAS!$I$6:$I$28,$P1459),0.0001)))))</f>
        <v>1.15</v>
      </c>
      <c r="S1459" s="18" t="n">
        <f aca="false">IFERROR(INDEX(SEMANAS!$H$6:$H$71,MATCH($B1459,SEMANAS!$B$6:$B$71,0)),0)</f>
        <v>40.6</v>
      </c>
      <c r="T1459" s="18" t="n">
        <f aca="false">$R1459*$S1459</f>
        <v>46.69</v>
      </c>
      <c r="U1459" s="18" t="n">
        <f aca="false">IFERROR(INDEX(SEMANAS!$I$6:$I$71,MATCH($B1459,SEMANAS!$B$6:$B$71,0)),0)</f>
        <v>7</v>
      </c>
      <c r="V1459" s="18" t="n">
        <f aca="false">IFERROR(INDEX(SEMANAS!$J$6:$J$71,MATCH($B1459,SEMANAS!$B$6:$B$71,0)),0)</f>
        <v>5.6</v>
      </c>
      <c r="W1459" s="18" t="n">
        <f aca="false">MAX(0,$T1459-$V1459)</f>
        <v>41.09</v>
      </c>
      <c r="X1459" s="19" t="n">
        <f aca="false">IFERROR(INDEX(CADASTRO_PIVOS!$K$6:$K$41,MATCH($E1459,CADASTRO_PIVOS!$B$6:$B$41,0)),EFICIENCIA_PADRAO)</f>
        <v>0.85</v>
      </c>
      <c r="Y1459" s="18" t="n">
        <f aca="false">IF($X1459&lt;=0,0,$W1459/$X1459)</f>
        <v>48.3411764705882</v>
      </c>
      <c r="Z1459" s="16" t="n">
        <f aca="false">$Y1459*$H1459*MM_PARA_M3_HA</f>
        <v>72482.76</v>
      </c>
      <c r="AA1459" s="18" t="n">
        <f aca="false">IFERROR(INDEX(CADASTRO_PIVOS!$I$6:$I$41,MATCH($E1459,CADASTRO_PIVOS!$B$6:$B$41,0)),0)</f>
        <v>1071</v>
      </c>
      <c r="AB1459" s="18" t="n">
        <f aca="false">IF($Z1459&lt;=0,0,$Z1459/$AA1459)</f>
        <v>67.6776470588235</v>
      </c>
      <c r="AC1459" s="16" t="n">
        <f aca="false">IFERROR(INDEX(SEMANAS!$K$6:$K$71,MATCH($B1459,SEMANAS!$B$6:$B$71,0)),0)</f>
        <v>147</v>
      </c>
      <c r="AD1459" s="19" t="n">
        <f aca="false">IF($AC1459&lt;=0,0,$AB1459/$AC1459)</f>
        <v>0.460392156862745</v>
      </c>
      <c r="AE1459" s="8" t="str">
        <f aca="false">IF($K1459="SEM CULTURA","SEM CULTURA",IF($AA1459&lt;=0,"DADO PENDENTE",IF($AD1459&gt;LIMITE_CRITICO,"INVIAVEL",IF($AD1459&gt;LIMITE_ATENCAO,"CRITICO",IF($AD1459&gt;LIMITE_CONFORTAVEL,"ATENCAO","OK")))))</f>
        <v>OK</v>
      </c>
      <c r="AF1459" s="8" t="str">
        <f aca="false">$B1459&amp;"|"&amp;TEXT($AD1459,"0.000000")</f>
        <v>2|0.460392</v>
      </c>
      <c r="AG1459" s="18" t="n">
        <f aca="false">IF($K1459="SEM CULTURA",0,$T1459*$H1459)</f>
        <v>7000.6986</v>
      </c>
      <c r="AH1459" s="18" t="n">
        <f aca="false">IF($K1459="SEM CULTURA",0,$V1459*$H1459)</f>
        <v>839.664</v>
      </c>
      <c r="AI1459" s="18" t="n">
        <f aca="false">IF($K1459="SEM CULTURA",0,$W1459*$H1459)</f>
        <v>6161.0346</v>
      </c>
      <c r="AJ1459" s="18" t="n">
        <f aca="false">IF($K1459="SEM CULTURA",0,$S1459*$H1459)</f>
        <v>6087.564</v>
      </c>
      <c r="AK1459" s="8" t="str">
        <f aca="false">$E1459&amp;"|"&amp;TEXT($AD1459,"0.000000")</f>
        <v>PV 130|0.460392</v>
      </c>
    </row>
    <row r="1460" customFormat="false" ht="15" hidden="false" customHeight="false" outlineLevel="0" collapsed="false">
      <c r="B1460" s="16" t="n">
        <v>3</v>
      </c>
      <c r="C1460" s="17" t="n">
        <f aca="false">DATA_INICIO_SAFRA+($B1460-1)*DIAS_POR_SEMANA</f>
        <v>46279</v>
      </c>
      <c r="D1460" s="17" t="n">
        <f aca="false">$C1460+DIAS_POR_SEMANA-1</f>
        <v>46285</v>
      </c>
      <c r="E1460" s="15" t="s">
        <v>281</v>
      </c>
      <c r="F1460" s="8" t="str">
        <f aca="false">IFERROR(INDEX(CADASTRO_PIVOS!$C$6:$C$41,MATCH($E1460,CADASTRO_PIVOS!$B$6:$B$41,0)),"?")</f>
        <v>RM06</v>
      </c>
      <c r="G1460" s="8" t="str">
        <f aca="false">IFERROR(INDEX(CADASTRO_PIVOS!$D$6:$D$41,MATCH($E1460,CADASTRO_PIVOS!$B$6:$B$41,0)),"?")</f>
        <v>TR06</v>
      </c>
      <c r="H1460" s="20" t="n">
        <f aca="false">IFERROR(INDEX(CADASTRO_PIVOS!$E$6:$E$41,MATCH($E1460,CADASTRO_PIVOS!$B$6:$B$41,0)),0)</f>
        <v>149.94</v>
      </c>
      <c r="I1460" s="16" t="n">
        <f aca="false">IFERROR(SUMIFS(ROTACAO_RDM!$B$6:$B$71,ROTACAO_RDM!$D$6:$D$71,$E1460,ROTACAO_RDM!$I$6:$I$71,"&lt;="&amp;$C1460+INT(DIAS_POR_SEMANA/2),ROTACAO_RDM!$J$6:$J$71,"&gt;="&amp;$C1460+INT(DIAS_POR_SEMANA/2)),0)</f>
        <v>57</v>
      </c>
      <c r="J1460" s="16" t="n">
        <f aca="false">IFERROR(MATCH($I1460,ROTACAO_RDM!$B$6:$B$71,0),0)</f>
        <v>57</v>
      </c>
      <c r="K1460" s="8" t="str">
        <f aca="false">IF($J1460=0,"SEM CULTURA",INDEX(ROTACAO_RDM!$F$6:$F$71,$J1460))</f>
        <v>MILHO_SEMENTE</v>
      </c>
      <c r="L1460" s="8" t="str">
        <f aca="false">IF($J1460=0,"",INDEX(ROTACAO_RDM!$G$6:$G$71,$J1460))</f>
        <v>Syngenta</v>
      </c>
      <c r="M1460" s="17" t="n">
        <f aca="false">IF($J1460=0,"",INDEX(ROTACAO_RDM!$I$6:$I$71,$J1460))</f>
        <v>46164</v>
      </c>
      <c r="N1460" s="16" t="n">
        <f aca="false">IF($J1460=0,0,MAX(0,$C1460+INT(DIAS_POR_SEMANA/2)-INDEX(ROTACAO_RDM!$I$6:$I$71,$J1460)))</f>
        <v>118</v>
      </c>
      <c r="O1460" s="19" t="n">
        <f aca="false">IF($J1460=0,0,MIN(1,$N1460/MAX(1,INDEX(ROTACAO_RDM!$K$6:$K$71,$J1460))))</f>
        <v>0.7375</v>
      </c>
      <c r="P1460" s="16" t="n">
        <f aca="false">IF($J1460=0,0,IFERROR(MATCH(INDEX(ROTACAO_RDM!$N$6:$N$71,$J1460),PARAMETROS_CULTURAS!$B$6:$B$28,0),0))</f>
        <v>7</v>
      </c>
      <c r="Q1460" s="8" t="str">
        <f aca="false">IF($P1460=0,"-",IF($O1460&lt;=INDEX(PARAMETROS_CULTURAS!$F$6:$F$28,$P1460),"INICIAL",IF($O1460&lt;=INDEX(PARAMETROS_CULTURAS!$F$6:$F$28,$P1460)+INDEX(PARAMETROS_CULTURAS!$G$6:$G$28,$P1460),"DESENVOLVIMENTO",IF($O1460&lt;=INDEX(PARAMETROS_CULTURAS!$F$6:$F$28,$P1460)+INDEX(PARAMETROS_CULTURAS!$G$6:$G$28,$P1460)+INDEX(PARAMETROS_CULTURAS!$H$6:$H$28,$P1460),"MEDIA","FINAL"))))</f>
        <v>MEDIA</v>
      </c>
      <c r="R1460" s="24" t="n">
        <f aca="false">IF($P1460=0,0,IF($O1460&lt;=INDEX(PARAMETROS_CULTURAS!$F$6:$F$28,$P1460),INDEX(PARAMETROS_CULTURAS!$K$6:$K$28,$P1460),IF($O1460&lt;=INDEX(PARAMETROS_CULTURAS!$F$6:$F$28,$P1460)+INDEX(PARAMETROS_CULTURAS!$G$6:$G$28,$P1460),INDEX(PARAMETROS_CULTURAS!$K$6:$K$28,$P1460)+(INDEX(PARAMETROS_CULTURAS!$L$6:$L$28,$P1460)-INDEX(PARAMETROS_CULTURAS!$K$6:$K$28,$P1460))*($O1460-INDEX(PARAMETROS_CULTURAS!$F$6:$F$28,$P1460))/MAX(INDEX(PARAMETROS_CULTURAS!$G$6:$G$28,$P1460),0.0001),IF($O1460&lt;=INDEX(PARAMETROS_CULTURAS!$F$6:$F$28,$P1460)+INDEX(PARAMETROS_CULTURAS!$G$6:$G$28,$P1460)+INDEX(PARAMETROS_CULTURAS!$H$6:$H$28,$P1460),INDEX(PARAMETROS_CULTURAS!$L$6:$L$28,$P1460),INDEX(PARAMETROS_CULTURAS!$L$6:$L$28,$P1460)+(INDEX(PARAMETROS_CULTURAS!$M$6:$M$28,$P1460)-INDEX(PARAMETROS_CULTURAS!$L$6:$L$28,$P1460))*($O1460-INDEX(PARAMETROS_CULTURAS!$F$6:$F$28,$P1460)-INDEX(PARAMETROS_CULTURAS!$G$6:$G$28,$P1460)-INDEX(PARAMETROS_CULTURAS!$H$6:$H$28,$P1460))/MAX(INDEX(PARAMETROS_CULTURAS!$I$6:$I$28,$P1460),0.0001)))))</f>
        <v>1.15</v>
      </c>
      <c r="S1460" s="18" t="n">
        <f aca="false">IFERROR(INDEX(SEMANAS!$H$6:$H$71,MATCH($B1460,SEMANAS!$B$6:$B$71,0)),0)</f>
        <v>40.6</v>
      </c>
      <c r="T1460" s="18" t="n">
        <f aca="false">$R1460*$S1460</f>
        <v>46.69</v>
      </c>
      <c r="U1460" s="18" t="n">
        <f aca="false">IFERROR(INDEX(SEMANAS!$I$6:$I$71,MATCH($B1460,SEMANAS!$B$6:$B$71,0)),0)</f>
        <v>7</v>
      </c>
      <c r="V1460" s="18" t="n">
        <f aca="false">IFERROR(INDEX(SEMANAS!$J$6:$J$71,MATCH($B1460,SEMANAS!$B$6:$B$71,0)),0)</f>
        <v>5.6</v>
      </c>
      <c r="W1460" s="18" t="n">
        <f aca="false">MAX(0,$T1460-$V1460)</f>
        <v>41.09</v>
      </c>
      <c r="X1460" s="19" t="n">
        <f aca="false">IFERROR(INDEX(CADASTRO_PIVOS!$K$6:$K$41,MATCH($E1460,CADASTRO_PIVOS!$B$6:$B$41,0)),EFICIENCIA_PADRAO)</f>
        <v>0.85</v>
      </c>
      <c r="Y1460" s="18" t="n">
        <f aca="false">IF($X1460&lt;=0,0,$W1460/$X1460)</f>
        <v>48.3411764705882</v>
      </c>
      <c r="Z1460" s="16" t="n">
        <f aca="false">$Y1460*$H1460*MM_PARA_M3_HA</f>
        <v>72482.76</v>
      </c>
      <c r="AA1460" s="18" t="n">
        <f aca="false">IFERROR(INDEX(CADASTRO_PIVOS!$I$6:$I$41,MATCH($E1460,CADASTRO_PIVOS!$B$6:$B$41,0)),0)</f>
        <v>1071</v>
      </c>
      <c r="AB1460" s="18" t="n">
        <f aca="false">IF($Z1460&lt;=0,0,$Z1460/$AA1460)</f>
        <v>67.6776470588235</v>
      </c>
      <c r="AC1460" s="16" t="n">
        <f aca="false">IFERROR(INDEX(SEMANAS!$K$6:$K$71,MATCH($B1460,SEMANAS!$B$6:$B$71,0)),0)</f>
        <v>147</v>
      </c>
      <c r="AD1460" s="19" t="n">
        <f aca="false">IF($AC1460&lt;=0,0,$AB1460/$AC1460)</f>
        <v>0.460392156862745</v>
      </c>
      <c r="AE1460" s="8" t="str">
        <f aca="false">IF($K1460="SEM CULTURA","SEM CULTURA",IF($AA1460&lt;=0,"DADO PENDENTE",IF($AD1460&gt;LIMITE_CRITICO,"INVIAVEL",IF($AD1460&gt;LIMITE_ATENCAO,"CRITICO",IF($AD1460&gt;LIMITE_CONFORTAVEL,"ATENCAO","OK")))))</f>
        <v>OK</v>
      </c>
      <c r="AF1460" s="8" t="str">
        <f aca="false">$B1460&amp;"|"&amp;TEXT($AD1460,"0.000000")</f>
        <v>3|0.460392</v>
      </c>
      <c r="AG1460" s="18" t="n">
        <f aca="false">IF($K1460="SEM CULTURA",0,$T1460*$H1460)</f>
        <v>7000.6986</v>
      </c>
      <c r="AH1460" s="18" t="n">
        <f aca="false">IF($K1460="SEM CULTURA",0,$V1460*$H1460)</f>
        <v>839.664</v>
      </c>
      <c r="AI1460" s="18" t="n">
        <f aca="false">IF($K1460="SEM CULTURA",0,$W1460*$H1460)</f>
        <v>6161.0346</v>
      </c>
      <c r="AJ1460" s="18" t="n">
        <f aca="false">IF($K1460="SEM CULTURA",0,$S1460*$H1460)</f>
        <v>6087.564</v>
      </c>
      <c r="AK1460" s="8" t="str">
        <f aca="false">$E1460&amp;"|"&amp;TEXT($AD1460,"0.000000")</f>
        <v>PV 130|0.460392</v>
      </c>
    </row>
    <row r="1461" customFormat="false" ht="15" hidden="false" customHeight="false" outlineLevel="0" collapsed="false">
      <c r="B1461" s="16" t="n">
        <v>4</v>
      </c>
      <c r="C1461" s="17" t="n">
        <f aca="false">DATA_INICIO_SAFRA+($B1461-1)*DIAS_POR_SEMANA</f>
        <v>46286</v>
      </c>
      <c r="D1461" s="17" t="n">
        <f aca="false">$C1461+DIAS_POR_SEMANA-1</f>
        <v>46292</v>
      </c>
      <c r="E1461" s="15" t="s">
        <v>281</v>
      </c>
      <c r="F1461" s="8" t="str">
        <f aca="false">IFERROR(INDEX(CADASTRO_PIVOS!$C$6:$C$41,MATCH($E1461,CADASTRO_PIVOS!$B$6:$B$41,0)),"?")</f>
        <v>RM06</v>
      </c>
      <c r="G1461" s="8" t="str">
        <f aca="false">IFERROR(INDEX(CADASTRO_PIVOS!$D$6:$D$41,MATCH($E1461,CADASTRO_PIVOS!$B$6:$B$41,0)),"?")</f>
        <v>TR06</v>
      </c>
      <c r="H1461" s="20" t="n">
        <f aca="false">IFERROR(INDEX(CADASTRO_PIVOS!$E$6:$E$41,MATCH($E1461,CADASTRO_PIVOS!$B$6:$B$41,0)),0)</f>
        <v>149.94</v>
      </c>
      <c r="I1461" s="16" t="n">
        <f aca="false">IFERROR(SUMIFS(ROTACAO_RDM!$B$6:$B$71,ROTACAO_RDM!$D$6:$D$71,$E1461,ROTACAO_RDM!$I$6:$I$71,"&lt;="&amp;$C1461+INT(DIAS_POR_SEMANA/2),ROTACAO_RDM!$J$6:$J$71,"&gt;="&amp;$C1461+INT(DIAS_POR_SEMANA/2)),0)</f>
        <v>57</v>
      </c>
      <c r="J1461" s="16" t="n">
        <f aca="false">IFERROR(MATCH($I1461,ROTACAO_RDM!$B$6:$B$71,0),0)</f>
        <v>57</v>
      </c>
      <c r="K1461" s="8" t="str">
        <f aca="false">IF($J1461=0,"SEM CULTURA",INDEX(ROTACAO_RDM!$F$6:$F$71,$J1461))</f>
        <v>MILHO_SEMENTE</v>
      </c>
      <c r="L1461" s="8" t="str">
        <f aca="false">IF($J1461=0,"",INDEX(ROTACAO_RDM!$G$6:$G$71,$J1461))</f>
        <v>Syngenta</v>
      </c>
      <c r="M1461" s="17" t="n">
        <f aca="false">IF($J1461=0,"",INDEX(ROTACAO_RDM!$I$6:$I$71,$J1461))</f>
        <v>46164</v>
      </c>
      <c r="N1461" s="16" t="n">
        <f aca="false">IF($J1461=0,0,MAX(0,$C1461+INT(DIAS_POR_SEMANA/2)-INDEX(ROTACAO_RDM!$I$6:$I$71,$J1461)))</f>
        <v>125</v>
      </c>
      <c r="O1461" s="19" t="n">
        <f aca="false">IF($J1461=0,0,MIN(1,$N1461/MAX(1,INDEX(ROTACAO_RDM!$K$6:$K$71,$J1461))))</f>
        <v>0.78125</v>
      </c>
      <c r="P1461" s="16" t="n">
        <f aca="false">IF($J1461=0,0,IFERROR(MATCH(INDEX(ROTACAO_RDM!$N$6:$N$71,$J1461),PARAMETROS_CULTURAS!$B$6:$B$28,0),0))</f>
        <v>7</v>
      </c>
      <c r="Q1461" s="8" t="str">
        <f aca="false">IF($P1461=0,"-",IF($O1461&lt;=INDEX(PARAMETROS_CULTURAS!$F$6:$F$28,$P1461),"INICIAL",IF($O1461&lt;=INDEX(PARAMETROS_CULTURAS!$F$6:$F$28,$P1461)+INDEX(PARAMETROS_CULTURAS!$G$6:$G$28,$P1461),"DESENVOLVIMENTO",IF($O1461&lt;=INDEX(PARAMETROS_CULTURAS!$F$6:$F$28,$P1461)+INDEX(PARAMETROS_CULTURAS!$G$6:$G$28,$P1461)+INDEX(PARAMETROS_CULTURAS!$H$6:$H$28,$P1461),"MEDIA","FINAL"))))</f>
        <v>FINAL</v>
      </c>
      <c r="R1461" s="24" t="n">
        <f aca="false">IF($P1461=0,0,IF($O1461&lt;=INDEX(PARAMETROS_CULTURAS!$F$6:$F$28,$P1461),INDEX(PARAMETROS_CULTURAS!$K$6:$K$28,$P1461),IF($O1461&lt;=INDEX(PARAMETROS_CULTURAS!$F$6:$F$28,$P1461)+INDEX(PARAMETROS_CULTURAS!$G$6:$G$28,$P1461),INDEX(PARAMETROS_CULTURAS!$K$6:$K$28,$P1461)+(INDEX(PARAMETROS_CULTURAS!$L$6:$L$28,$P1461)-INDEX(PARAMETROS_CULTURAS!$K$6:$K$28,$P1461))*($O1461-INDEX(PARAMETROS_CULTURAS!$F$6:$F$28,$P1461))/MAX(INDEX(PARAMETROS_CULTURAS!$G$6:$G$28,$P1461),0.0001),IF($O1461&lt;=INDEX(PARAMETROS_CULTURAS!$F$6:$F$28,$P1461)+INDEX(PARAMETROS_CULTURAS!$G$6:$G$28,$P1461)+INDEX(PARAMETROS_CULTURAS!$H$6:$H$28,$P1461),INDEX(PARAMETROS_CULTURAS!$L$6:$L$28,$P1461),INDEX(PARAMETROS_CULTURAS!$L$6:$L$28,$P1461)+(INDEX(PARAMETROS_CULTURAS!$M$6:$M$28,$P1461)-INDEX(PARAMETROS_CULTURAS!$L$6:$L$28,$P1461))*($O1461-INDEX(PARAMETROS_CULTURAS!$F$6:$F$28,$P1461)-INDEX(PARAMETROS_CULTURAS!$G$6:$G$28,$P1461)-INDEX(PARAMETROS_CULTURAS!$H$6:$H$28,$P1461))/MAX(INDEX(PARAMETROS_CULTURAS!$I$6:$I$28,$P1461),0.0001)))))</f>
        <v>1.08125</v>
      </c>
      <c r="S1461" s="18" t="n">
        <f aca="false">IFERROR(INDEX(SEMANAS!$H$6:$H$71,MATCH($B1461,SEMANAS!$B$6:$B$71,0)),0)</f>
        <v>40.6</v>
      </c>
      <c r="T1461" s="18" t="n">
        <f aca="false">$R1461*$S1461</f>
        <v>43.89875</v>
      </c>
      <c r="U1461" s="18" t="n">
        <f aca="false">IFERROR(INDEX(SEMANAS!$I$6:$I$71,MATCH($B1461,SEMANAS!$B$6:$B$71,0)),0)</f>
        <v>7</v>
      </c>
      <c r="V1461" s="18" t="n">
        <f aca="false">IFERROR(INDEX(SEMANAS!$J$6:$J$71,MATCH($B1461,SEMANAS!$B$6:$B$71,0)),0)</f>
        <v>5.6</v>
      </c>
      <c r="W1461" s="18" t="n">
        <f aca="false">MAX(0,$T1461-$V1461)</f>
        <v>38.29875</v>
      </c>
      <c r="X1461" s="19" t="n">
        <f aca="false">IFERROR(INDEX(CADASTRO_PIVOS!$K$6:$K$41,MATCH($E1461,CADASTRO_PIVOS!$B$6:$B$41,0)),EFICIENCIA_PADRAO)</f>
        <v>0.85</v>
      </c>
      <c r="Y1461" s="18" t="n">
        <f aca="false">IF($X1461&lt;=0,0,$W1461/$X1461)</f>
        <v>45.0573529411765</v>
      </c>
      <c r="Z1461" s="16" t="n">
        <f aca="false">$Y1461*$H1461*MM_PARA_M3_HA</f>
        <v>67558.995</v>
      </c>
      <c r="AA1461" s="18" t="n">
        <f aca="false">IFERROR(INDEX(CADASTRO_PIVOS!$I$6:$I$41,MATCH($E1461,CADASTRO_PIVOS!$B$6:$B$41,0)),0)</f>
        <v>1071</v>
      </c>
      <c r="AB1461" s="18" t="n">
        <f aca="false">IF($Z1461&lt;=0,0,$Z1461/$AA1461)</f>
        <v>63.080294117647</v>
      </c>
      <c r="AC1461" s="16" t="n">
        <f aca="false">IFERROR(INDEX(SEMANAS!$K$6:$K$71,MATCH($B1461,SEMANAS!$B$6:$B$71,0)),0)</f>
        <v>147</v>
      </c>
      <c r="AD1461" s="19" t="n">
        <f aca="false">IF($AC1461&lt;=0,0,$AB1461/$AC1461)</f>
        <v>0.429117647058823</v>
      </c>
      <c r="AE1461" s="8" t="str">
        <f aca="false">IF($K1461="SEM CULTURA","SEM CULTURA",IF($AA1461&lt;=0,"DADO PENDENTE",IF($AD1461&gt;LIMITE_CRITICO,"INVIAVEL",IF($AD1461&gt;LIMITE_ATENCAO,"CRITICO",IF($AD1461&gt;LIMITE_CONFORTAVEL,"ATENCAO","OK")))))</f>
        <v>OK</v>
      </c>
      <c r="AF1461" s="8" t="str">
        <f aca="false">$B1461&amp;"|"&amp;TEXT($AD1461,"0.000000")</f>
        <v>4|0.429118</v>
      </c>
      <c r="AG1461" s="18" t="n">
        <f aca="false">IF($K1461="SEM CULTURA",0,$T1461*$H1461)</f>
        <v>6582.178575</v>
      </c>
      <c r="AH1461" s="18" t="n">
        <f aca="false">IF($K1461="SEM CULTURA",0,$V1461*$H1461)</f>
        <v>839.664</v>
      </c>
      <c r="AI1461" s="18" t="n">
        <f aca="false">IF($K1461="SEM CULTURA",0,$W1461*$H1461)</f>
        <v>5742.514575</v>
      </c>
      <c r="AJ1461" s="18" t="n">
        <f aca="false">IF($K1461="SEM CULTURA",0,$S1461*$H1461)</f>
        <v>6087.564</v>
      </c>
      <c r="AK1461" s="8" t="str">
        <f aca="false">$E1461&amp;"|"&amp;TEXT($AD1461,"0.000000")</f>
        <v>PV 130|0.429118</v>
      </c>
    </row>
    <row r="1462" customFormat="false" ht="15" hidden="false" customHeight="false" outlineLevel="0" collapsed="false">
      <c r="B1462" s="16" t="n">
        <v>5</v>
      </c>
      <c r="C1462" s="17" t="n">
        <f aca="false">DATA_INICIO_SAFRA+($B1462-1)*DIAS_POR_SEMANA</f>
        <v>46293</v>
      </c>
      <c r="D1462" s="17" t="n">
        <f aca="false">$C1462+DIAS_POR_SEMANA-1</f>
        <v>46299</v>
      </c>
      <c r="E1462" s="15" t="s">
        <v>281</v>
      </c>
      <c r="F1462" s="8" t="str">
        <f aca="false">IFERROR(INDEX(CADASTRO_PIVOS!$C$6:$C$41,MATCH($E1462,CADASTRO_PIVOS!$B$6:$B$41,0)),"?")</f>
        <v>RM06</v>
      </c>
      <c r="G1462" s="8" t="str">
        <f aca="false">IFERROR(INDEX(CADASTRO_PIVOS!$D$6:$D$41,MATCH($E1462,CADASTRO_PIVOS!$B$6:$B$41,0)),"?")</f>
        <v>TR06</v>
      </c>
      <c r="H1462" s="20" t="n">
        <f aca="false">IFERROR(INDEX(CADASTRO_PIVOS!$E$6:$E$41,MATCH($E1462,CADASTRO_PIVOS!$B$6:$B$41,0)),0)</f>
        <v>149.94</v>
      </c>
      <c r="I1462" s="16" t="n">
        <f aca="false">IFERROR(SUMIFS(ROTACAO_RDM!$B$6:$B$71,ROTACAO_RDM!$D$6:$D$71,$E1462,ROTACAO_RDM!$I$6:$I$71,"&lt;="&amp;$C1462+INT(DIAS_POR_SEMANA/2),ROTACAO_RDM!$J$6:$J$71,"&gt;="&amp;$C1462+INT(DIAS_POR_SEMANA/2)),0)</f>
        <v>57</v>
      </c>
      <c r="J1462" s="16" t="n">
        <f aca="false">IFERROR(MATCH($I1462,ROTACAO_RDM!$B$6:$B$71,0),0)</f>
        <v>57</v>
      </c>
      <c r="K1462" s="8" t="str">
        <f aca="false">IF($J1462=0,"SEM CULTURA",INDEX(ROTACAO_RDM!$F$6:$F$71,$J1462))</f>
        <v>MILHO_SEMENTE</v>
      </c>
      <c r="L1462" s="8" t="str">
        <f aca="false">IF($J1462=0,"",INDEX(ROTACAO_RDM!$G$6:$G$71,$J1462))</f>
        <v>Syngenta</v>
      </c>
      <c r="M1462" s="17" t="n">
        <f aca="false">IF($J1462=0,"",INDEX(ROTACAO_RDM!$I$6:$I$71,$J1462))</f>
        <v>46164</v>
      </c>
      <c r="N1462" s="16" t="n">
        <f aca="false">IF($J1462=0,0,MAX(0,$C1462+INT(DIAS_POR_SEMANA/2)-INDEX(ROTACAO_RDM!$I$6:$I$71,$J1462)))</f>
        <v>132</v>
      </c>
      <c r="O1462" s="19" t="n">
        <f aca="false">IF($J1462=0,0,MIN(1,$N1462/MAX(1,INDEX(ROTACAO_RDM!$K$6:$K$71,$J1462))))</f>
        <v>0.825</v>
      </c>
      <c r="P1462" s="16" t="n">
        <f aca="false">IF($J1462=0,0,IFERROR(MATCH(INDEX(ROTACAO_RDM!$N$6:$N$71,$J1462),PARAMETROS_CULTURAS!$B$6:$B$28,0),0))</f>
        <v>7</v>
      </c>
      <c r="Q1462" s="8" t="str">
        <f aca="false">IF($P1462=0,"-",IF($O1462&lt;=INDEX(PARAMETROS_CULTURAS!$F$6:$F$28,$P1462),"INICIAL",IF($O1462&lt;=INDEX(PARAMETROS_CULTURAS!$F$6:$F$28,$P1462)+INDEX(PARAMETROS_CULTURAS!$G$6:$G$28,$P1462),"DESENVOLVIMENTO",IF($O1462&lt;=INDEX(PARAMETROS_CULTURAS!$F$6:$F$28,$P1462)+INDEX(PARAMETROS_CULTURAS!$G$6:$G$28,$P1462)+INDEX(PARAMETROS_CULTURAS!$H$6:$H$28,$P1462),"MEDIA","FINAL"))))</f>
        <v>FINAL</v>
      </c>
      <c r="R1462" s="24" t="n">
        <f aca="false">IF($P1462=0,0,IF($O1462&lt;=INDEX(PARAMETROS_CULTURAS!$F$6:$F$28,$P1462),INDEX(PARAMETROS_CULTURAS!$K$6:$K$28,$P1462),IF($O1462&lt;=INDEX(PARAMETROS_CULTURAS!$F$6:$F$28,$P1462)+INDEX(PARAMETROS_CULTURAS!$G$6:$G$28,$P1462),INDEX(PARAMETROS_CULTURAS!$K$6:$K$28,$P1462)+(INDEX(PARAMETROS_CULTURAS!$L$6:$L$28,$P1462)-INDEX(PARAMETROS_CULTURAS!$K$6:$K$28,$P1462))*($O1462-INDEX(PARAMETROS_CULTURAS!$F$6:$F$28,$P1462))/MAX(INDEX(PARAMETROS_CULTURAS!$G$6:$G$28,$P1462),0.0001),IF($O1462&lt;=INDEX(PARAMETROS_CULTURAS!$F$6:$F$28,$P1462)+INDEX(PARAMETROS_CULTURAS!$G$6:$G$28,$P1462)+INDEX(PARAMETROS_CULTURAS!$H$6:$H$28,$P1462),INDEX(PARAMETROS_CULTURAS!$L$6:$L$28,$P1462),INDEX(PARAMETROS_CULTURAS!$L$6:$L$28,$P1462)+(INDEX(PARAMETROS_CULTURAS!$M$6:$M$28,$P1462)-INDEX(PARAMETROS_CULTURAS!$L$6:$L$28,$P1462))*($O1462-INDEX(PARAMETROS_CULTURAS!$F$6:$F$28,$P1462)-INDEX(PARAMETROS_CULTURAS!$G$6:$G$28,$P1462)-INDEX(PARAMETROS_CULTURAS!$H$6:$H$28,$P1462))/MAX(INDEX(PARAMETROS_CULTURAS!$I$6:$I$28,$P1462),0.0001)))))</f>
        <v>0.985</v>
      </c>
      <c r="S1462" s="18" t="n">
        <f aca="false">IFERROR(INDEX(SEMANAS!$H$6:$H$71,MATCH($B1462,SEMANAS!$B$6:$B$71,0)),0)</f>
        <v>39.8</v>
      </c>
      <c r="T1462" s="18" t="n">
        <f aca="false">$R1462*$S1462</f>
        <v>39.203</v>
      </c>
      <c r="U1462" s="18" t="n">
        <f aca="false">IFERROR(INDEX(SEMANAS!$I$6:$I$71,MATCH($B1462,SEMANAS!$B$6:$B$71,0)),0)</f>
        <v>18.48</v>
      </c>
      <c r="V1462" s="18" t="n">
        <f aca="false">IFERROR(INDEX(SEMANAS!$J$6:$J$71,MATCH($B1462,SEMANAS!$B$6:$B$71,0)),0)</f>
        <v>14.784</v>
      </c>
      <c r="W1462" s="18" t="n">
        <f aca="false">MAX(0,$T1462-$V1462)</f>
        <v>24.419</v>
      </c>
      <c r="X1462" s="19" t="n">
        <f aca="false">IFERROR(INDEX(CADASTRO_PIVOS!$K$6:$K$41,MATCH($E1462,CADASTRO_PIVOS!$B$6:$B$41,0)),EFICIENCIA_PADRAO)</f>
        <v>0.85</v>
      </c>
      <c r="Y1462" s="18" t="n">
        <f aca="false">IF($X1462&lt;=0,0,$W1462/$X1462)</f>
        <v>28.7282352941176</v>
      </c>
      <c r="Z1462" s="16" t="n">
        <f aca="false">$Y1462*$H1462*MM_PARA_M3_HA</f>
        <v>43075.116</v>
      </c>
      <c r="AA1462" s="18" t="n">
        <f aca="false">IFERROR(INDEX(CADASTRO_PIVOS!$I$6:$I$41,MATCH($E1462,CADASTRO_PIVOS!$B$6:$B$41,0)),0)</f>
        <v>1071</v>
      </c>
      <c r="AB1462" s="18" t="n">
        <f aca="false">IF($Z1462&lt;=0,0,$Z1462/$AA1462)</f>
        <v>40.2195294117647</v>
      </c>
      <c r="AC1462" s="16" t="n">
        <f aca="false">IFERROR(INDEX(SEMANAS!$K$6:$K$71,MATCH($B1462,SEMANAS!$B$6:$B$71,0)),0)</f>
        <v>147</v>
      </c>
      <c r="AD1462" s="19" t="n">
        <f aca="false">IF($AC1462&lt;=0,0,$AB1462/$AC1462)</f>
        <v>0.273602240896358</v>
      </c>
      <c r="AE1462" s="8" t="str">
        <f aca="false">IF($K1462="SEM CULTURA","SEM CULTURA",IF($AA1462&lt;=0,"DADO PENDENTE",IF($AD1462&gt;LIMITE_CRITICO,"INVIAVEL",IF($AD1462&gt;LIMITE_ATENCAO,"CRITICO",IF($AD1462&gt;LIMITE_CONFORTAVEL,"ATENCAO","OK")))))</f>
        <v>OK</v>
      </c>
      <c r="AF1462" s="8" t="str">
        <f aca="false">$B1462&amp;"|"&amp;TEXT($AD1462,"0.000000")</f>
        <v>5|0.273602</v>
      </c>
      <c r="AG1462" s="18" t="n">
        <f aca="false">IF($K1462="SEM CULTURA",0,$T1462*$H1462)</f>
        <v>5878.09782</v>
      </c>
      <c r="AH1462" s="18" t="n">
        <f aca="false">IF($K1462="SEM CULTURA",0,$V1462*$H1462)</f>
        <v>2216.71296</v>
      </c>
      <c r="AI1462" s="18" t="n">
        <f aca="false">IF($K1462="SEM CULTURA",0,$W1462*$H1462)</f>
        <v>3661.38486</v>
      </c>
      <c r="AJ1462" s="18" t="n">
        <f aca="false">IF($K1462="SEM CULTURA",0,$S1462*$H1462)</f>
        <v>5967.612</v>
      </c>
      <c r="AK1462" s="8" t="str">
        <f aca="false">$E1462&amp;"|"&amp;TEXT($AD1462,"0.000000")</f>
        <v>PV 130|0.273602</v>
      </c>
    </row>
    <row r="1463" customFormat="false" ht="15" hidden="false" customHeight="false" outlineLevel="0" collapsed="false">
      <c r="B1463" s="16" t="n">
        <v>6</v>
      </c>
      <c r="C1463" s="17" t="n">
        <f aca="false">DATA_INICIO_SAFRA+($B1463-1)*DIAS_POR_SEMANA</f>
        <v>46300</v>
      </c>
      <c r="D1463" s="17" t="n">
        <f aca="false">$C1463+DIAS_POR_SEMANA-1</f>
        <v>46306</v>
      </c>
      <c r="E1463" s="15" t="s">
        <v>281</v>
      </c>
      <c r="F1463" s="8" t="str">
        <f aca="false">IFERROR(INDEX(CADASTRO_PIVOS!$C$6:$C$41,MATCH($E1463,CADASTRO_PIVOS!$B$6:$B$41,0)),"?")</f>
        <v>RM06</v>
      </c>
      <c r="G1463" s="8" t="str">
        <f aca="false">IFERROR(INDEX(CADASTRO_PIVOS!$D$6:$D$41,MATCH($E1463,CADASTRO_PIVOS!$B$6:$B$41,0)),"?")</f>
        <v>TR06</v>
      </c>
      <c r="H1463" s="20" t="n">
        <f aca="false">IFERROR(INDEX(CADASTRO_PIVOS!$E$6:$E$41,MATCH($E1463,CADASTRO_PIVOS!$B$6:$B$41,0)),0)</f>
        <v>149.94</v>
      </c>
      <c r="I1463" s="16" t="n">
        <f aca="false">IFERROR(SUMIFS(ROTACAO_RDM!$B$6:$B$71,ROTACAO_RDM!$D$6:$D$71,$E1463,ROTACAO_RDM!$I$6:$I$71,"&lt;="&amp;$C1463+INT(DIAS_POR_SEMANA/2),ROTACAO_RDM!$J$6:$J$71,"&gt;="&amp;$C1463+INT(DIAS_POR_SEMANA/2)),0)</f>
        <v>57</v>
      </c>
      <c r="J1463" s="16" t="n">
        <f aca="false">IFERROR(MATCH($I1463,ROTACAO_RDM!$B$6:$B$71,0),0)</f>
        <v>57</v>
      </c>
      <c r="K1463" s="8" t="str">
        <f aca="false">IF($J1463=0,"SEM CULTURA",INDEX(ROTACAO_RDM!$F$6:$F$71,$J1463))</f>
        <v>MILHO_SEMENTE</v>
      </c>
      <c r="L1463" s="8" t="str">
        <f aca="false">IF($J1463=0,"",INDEX(ROTACAO_RDM!$G$6:$G$71,$J1463))</f>
        <v>Syngenta</v>
      </c>
      <c r="M1463" s="17" t="n">
        <f aca="false">IF($J1463=0,"",INDEX(ROTACAO_RDM!$I$6:$I$71,$J1463))</f>
        <v>46164</v>
      </c>
      <c r="N1463" s="16" t="n">
        <f aca="false">IF($J1463=0,0,MAX(0,$C1463+INT(DIAS_POR_SEMANA/2)-INDEX(ROTACAO_RDM!$I$6:$I$71,$J1463)))</f>
        <v>139</v>
      </c>
      <c r="O1463" s="19" t="n">
        <f aca="false">IF($J1463=0,0,MIN(1,$N1463/MAX(1,INDEX(ROTACAO_RDM!$K$6:$K$71,$J1463))))</f>
        <v>0.86875</v>
      </c>
      <c r="P1463" s="16" t="n">
        <f aca="false">IF($J1463=0,0,IFERROR(MATCH(INDEX(ROTACAO_RDM!$N$6:$N$71,$J1463),PARAMETROS_CULTURAS!$B$6:$B$28,0),0))</f>
        <v>7</v>
      </c>
      <c r="Q1463" s="8" t="str">
        <f aca="false">IF($P1463=0,"-",IF($O1463&lt;=INDEX(PARAMETROS_CULTURAS!$F$6:$F$28,$P1463),"INICIAL",IF($O1463&lt;=INDEX(PARAMETROS_CULTURAS!$F$6:$F$28,$P1463)+INDEX(PARAMETROS_CULTURAS!$G$6:$G$28,$P1463),"DESENVOLVIMENTO",IF($O1463&lt;=INDEX(PARAMETROS_CULTURAS!$F$6:$F$28,$P1463)+INDEX(PARAMETROS_CULTURAS!$G$6:$G$28,$P1463)+INDEX(PARAMETROS_CULTURAS!$H$6:$H$28,$P1463),"MEDIA","FINAL"))))</f>
        <v>FINAL</v>
      </c>
      <c r="R1463" s="24" t="n">
        <f aca="false">IF($P1463=0,0,IF($O1463&lt;=INDEX(PARAMETROS_CULTURAS!$F$6:$F$28,$P1463),INDEX(PARAMETROS_CULTURAS!$K$6:$K$28,$P1463),IF($O1463&lt;=INDEX(PARAMETROS_CULTURAS!$F$6:$F$28,$P1463)+INDEX(PARAMETROS_CULTURAS!$G$6:$G$28,$P1463),INDEX(PARAMETROS_CULTURAS!$K$6:$K$28,$P1463)+(INDEX(PARAMETROS_CULTURAS!$L$6:$L$28,$P1463)-INDEX(PARAMETROS_CULTURAS!$K$6:$K$28,$P1463))*($O1463-INDEX(PARAMETROS_CULTURAS!$F$6:$F$28,$P1463))/MAX(INDEX(PARAMETROS_CULTURAS!$G$6:$G$28,$P1463),0.0001),IF($O1463&lt;=INDEX(PARAMETROS_CULTURAS!$F$6:$F$28,$P1463)+INDEX(PARAMETROS_CULTURAS!$G$6:$G$28,$P1463)+INDEX(PARAMETROS_CULTURAS!$H$6:$H$28,$P1463),INDEX(PARAMETROS_CULTURAS!$L$6:$L$28,$P1463),INDEX(PARAMETROS_CULTURAS!$L$6:$L$28,$P1463)+(INDEX(PARAMETROS_CULTURAS!$M$6:$M$28,$P1463)-INDEX(PARAMETROS_CULTURAS!$L$6:$L$28,$P1463))*($O1463-INDEX(PARAMETROS_CULTURAS!$F$6:$F$28,$P1463)-INDEX(PARAMETROS_CULTURAS!$G$6:$G$28,$P1463)-INDEX(PARAMETROS_CULTURAS!$H$6:$H$28,$P1463))/MAX(INDEX(PARAMETROS_CULTURAS!$I$6:$I$28,$P1463),0.0001)))))</f>
        <v>0.88875</v>
      </c>
      <c r="S1463" s="18" t="n">
        <f aca="false">IFERROR(INDEX(SEMANAS!$H$6:$H$71,MATCH($B1463,SEMANAS!$B$6:$B$71,0)),0)</f>
        <v>39.2</v>
      </c>
      <c r="T1463" s="18" t="n">
        <f aca="false">$R1463*$S1463</f>
        <v>34.839</v>
      </c>
      <c r="U1463" s="18" t="n">
        <f aca="false">IFERROR(INDEX(SEMANAS!$I$6:$I$71,MATCH($B1463,SEMANAS!$B$6:$B$71,0)),0)</f>
        <v>27.09</v>
      </c>
      <c r="V1463" s="18" t="n">
        <f aca="false">IFERROR(INDEX(SEMANAS!$J$6:$J$71,MATCH($B1463,SEMANAS!$B$6:$B$71,0)),0)</f>
        <v>21.672</v>
      </c>
      <c r="W1463" s="18" t="n">
        <f aca="false">MAX(0,$T1463-$V1463)</f>
        <v>13.167</v>
      </c>
      <c r="X1463" s="19" t="n">
        <f aca="false">IFERROR(INDEX(CADASTRO_PIVOS!$K$6:$K$41,MATCH($E1463,CADASTRO_PIVOS!$B$6:$B$41,0)),EFICIENCIA_PADRAO)</f>
        <v>0.85</v>
      </c>
      <c r="Y1463" s="18" t="n">
        <f aca="false">IF($X1463&lt;=0,0,$W1463/$X1463)</f>
        <v>15.4905882352941</v>
      </c>
      <c r="Z1463" s="16" t="n">
        <f aca="false">$Y1463*$H1463*MM_PARA_M3_HA</f>
        <v>23226.588</v>
      </c>
      <c r="AA1463" s="18" t="n">
        <f aca="false">IFERROR(INDEX(CADASTRO_PIVOS!$I$6:$I$41,MATCH($E1463,CADASTRO_PIVOS!$B$6:$B$41,0)),0)</f>
        <v>1071</v>
      </c>
      <c r="AB1463" s="18" t="n">
        <f aca="false">IF($Z1463&lt;=0,0,$Z1463/$AA1463)</f>
        <v>21.6868235294118</v>
      </c>
      <c r="AC1463" s="16" t="n">
        <f aca="false">IFERROR(INDEX(SEMANAS!$K$6:$K$71,MATCH($B1463,SEMANAS!$B$6:$B$71,0)),0)</f>
        <v>147</v>
      </c>
      <c r="AD1463" s="19" t="n">
        <f aca="false">IF($AC1463&lt;=0,0,$AB1463/$AC1463)</f>
        <v>0.147529411764706</v>
      </c>
      <c r="AE1463" s="8" t="str">
        <f aca="false">IF($K1463="SEM CULTURA","SEM CULTURA",IF($AA1463&lt;=0,"DADO PENDENTE",IF($AD1463&gt;LIMITE_CRITICO,"INVIAVEL",IF($AD1463&gt;LIMITE_ATENCAO,"CRITICO",IF($AD1463&gt;LIMITE_CONFORTAVEL,"ATENCAO","OK")))))</f>
        <v>OK</v>
      </c>
      <c r="AF1463" s="8" t="str">
        <f aca="false">$B1463&amp;"|"&amp;TEXT($AD1463,"0.000000")</f>
        <v>6|0.147529</v>
      </c>
      <c r="AG1463" s="18" t="n">
        <f aca="false">IF($K1463="SEM CULTURA",0,$T1463*$H1463)</f>
        <v>5223.75966</v>
      </c>
      <c r="AH1463" s="18" t="n">
        <f aca="false">IF($K1463="SEM CULTURA",0,$V1463*$H1463)</f>
        <v>3249.49968</v>
      </c>
      <c r="AI1463" s="18" t="n">
        <f aca="false">IF($K1463="SEM CULTURA",0,$W1463*$H1463)</f>
        <v>1974.25998</v>
      </c>
      <c r="AJ1463" s="18" t="n">
        <f aca="false">IF($K1463="SEM CULTURA",0,$S1463*$H1463)</f>
        <v>5877.648</v>
      </c>
      <c r="AK1463" s="8" t="str">
        <f aca="false">$E1463&amp;"|"&amp;TEXT($AD1463,"0.000000")</f>
        <v>PV 130|0.147529</v>
      </c>
    </row>
    <row r="1464" customFormat="false" ht="15" hidden="false" customHeight="false" outlineLevel="0" collapsed="false">
      <c r="B1464" s="16" t="n">
        <v>7</v>
      </c>
      <c r="C1464" s="17" t="n">
        <f aca="false">DATA_INICIO_SAFRA+($B1464-1)*DIAS_POR_SEMANA</f>
        <v>46307</v>
      </c>
      <c r="D1464" s="17" t="n">
        <f aca="false">$C1464+DIAS_POR_SEMANA-1</f>
        <v>46313</v>
      </c>
      <c r="E1464" s="15" t="s">
        <v>281</v>
      </c>
      <c r="F1464" s="8" t="str">
        <f aca="false">IFERROR(INDEX(CADASTRO_PIVOS!$C$6:$C$41,MATCH($E1464,CADASTRO_PIVOS!$B$6:$B$41,0)),"?")</f>
        <v>RM06</v>
      </c>
      <c r="G1464" s="8" t="str">
        <f aca="false">IFERROR(INDEX(CADASTRO_PIVOS!$D$6:$D$41,MATCH($E1464,CADASTRO_PIVOS!$B$6:$B$41,0)),"?")</f>
        <v>TR06</v>
      </c>
      <c r="H1464" s="20" t="n">
        <f aca="false">IFERROR(INDEX(CADASTRO_PIVOS!$E$6:$E$41,MATCH($E1464,CADASTRO_PIVOS!$B$6:$B$41,0)),0)</f>
        <v>149.94</v>
      </c>
      <c r="I1464" s="16" t="n">
        <f aca="false">IFERROR(SUMIFS(ROTACAO_RDM!$B$6:$B$71,ROTACAO_RDM!$D$6:$D$71,$E1464,ROTACAO_RDM!$I$6:$I$71,"&lt;="&amp;$C1464+INT(DIAS_POR_SEMANA/2),ROTACAO_RDM!$J$6:$J$71,"&gt;="&amp;$C1464+INT(DIAS_POR_SEMANA/2)),0)</f>
        <v>57</v>
      </c>
      <c r="J1464" s="16" t="n">
        <f aca="false">IFERROR(MATCH($I1464,ROTACAO_RDM!$B$6:$B$71,0),0)</f>
        <v>57</v>
      </c>
      <c r="K1464" s="8" t="str">
        <f aca="false">IF($J1464=0,"SEM CULTURA",INDEX(ROTACAO_RDM!$F$6:$F$71,$J1464))</f>
        <v>MILHO_SEMENTE</v>
      </c>
      <c r="L1464" s="8" t="str">
        <f aca="false">IF($J1464=0,"",INDEX(ROTACAO_RDM!$G$6:$G$71,$J1464))</f>
        <v>Syngenta</v>
      </c>
      <c r="M1464" s="17" t="n">
        <f aca="false">IF($J1464=0,"",INDEX(ROTACAO_RDM!$I$6:$I$71,$J1464))</f>
        <v>46164</v>
      </c>
      <c r="N1464" s="16" t="n">
        <f aca="false">IF($J1464=0,0,MAX(0,$C1464+INT(DIAS_POR_SEMANA/2)-INDEX(ROTACAO_RDM!$I$6:$I$71,$J1464)))</f>
        <v>146</v>
      </c>
      <c r="O1464" s="19" t="n">
        <f aca="false">IF($J1464=0,0,MIN(1,$N1464/MAX(1,INDEX(ROTACAO_RDM!$K$6:$K$71,$J1464))))</f>
        <v>0.9125</v>
      </c>
      <c r="P1464" s="16" t="n">
        <f aca="false">IF($J1464=0,0,IFERROR(MATCH(INDEX(ROTACAO_RDM!$N$6:$N$71,$J1464),PARAMETROS_CULTURAS!$B$6:$B$28,0),0))</f>
        <v>7</v>
      </c>
      <c r="Q1464" s="8" t="str">
        <f aca="false">IF($P1464=0,"-",IF($O1464&lt;=INDEX(PARAMETROS_CULTURAS!$F$6:$F$28,$P1464),"INICIAL",IF($O1464&lt;=INDEX(PARAMETROS_CULTURAS!$F$6:$F$28,$P1464)+INDEX(PARAMETROS_CULTURAS!$G$6:$G$28,$P1464),"DESENVOLVIMENTO",IF($O1464&lt;=INDEX(PARAMETROS_CULTURAS!$F$6:$F$28,$P1464)+INDEX(PARAMETROS_CULTURAS!$G$6:$G$28,$P1464)+INDEX(PARAMETROS_CULTURAS!$H$6:$H$28,$P1464),"MEDIA","FINAL"))))</f>
        <v>FINAL</v>
      </c>
      <c r="R1464" s="24" t="n">
        <f aca="false">IF($P1464=0,0,IF($O1464&lt;=INDEX(PARAMETROS_CULTURAS!$F$6:$F$28,$P1464),INDEX(PARAMETROS_CULTURAS!$K$6:$K$28,$P1464),IF($O1464&lt;=INDEX(PARAMETROS_CULTURAS!$F$6:$F$28,$P1464)+INDEX(PARAMETROS_CULTURAS!$G$6:$G$28,$P1464),INDEX(PARAMETROS_CULTURAS!$K$6:$K$28,$P1464)+(INDEX(PARAMETROS_CULTURAS!$L$6:$L$28,$P1464)-INDEX(PARAMETROS_CULTURAS!$K$6:$K$28,$P1464))*($O1464-INDEX(PARAMETROS_CULTURAS!$F$6:$F$28,$P1464))/MAX(INDEX(PARAMETROS_CULTURAS!$G$6:$G$28,$P1464),0.0001),IF($O1464&lt;=INDEX(PARAMETROS_CULTURAS!$F$6:$F$28,$P1464)+INDEX(PARAMETROS_CULTURAS!$G$6:$G$28,$P1464)+INDEX(PARAMETROS_CULTURAS!$H$6:$H$28,$P1464),INDEX(PARAMETROS_CULTURAS!$L$6:$L$28,$P1464),INDEX(PARAMETROS_CULTURAS!$L$6:$L$28,$P1464)+(INDEX(PARAMETROS_CULTURAS!$M$6:$M$28,$P1464)-INDEX(PARAMETROS_CULTURAS!$L$6:$L$28,$P1464))*($O1464-INDEX(PARAMETROS_CULTURAS!$F$6:$F$28,$P1464)-INDEX(PARAMETROS_CULTURAS!$G$6:$G$28,$P1464)-INDEX(PARAMETROS_CULTURAS!$H$6:$H$28,$P1464))/MAX(INDEX(PARAMETROS_CULTURAS!$I$6:$I$28,$P1464),0.0001)))))</f>
        <v>0.7925</v>
      </c>
      <c r="S1464" s="18" t="n">
        <f aca="false">IFERROR(INDEX(SEMANAS!$H$6:$H$71,MATCH($B1464,SEMANAS!$B$6:$B$71,0)),0)</f>
        <v>39.2</v>
      </c>
      <c r="T1464" s="18" t="n">
        <f aca="false">$R1464*$S1464</f>
        <v>31.066</v>
      </c>
      <c r="U1464" s="18" t="n">
        <f aca="false">IFERROR(INDEX(SEMANAS!$I$6:$I$71,MATCH($B1464,SEMANAS!$B$6:$B$71,0)),0)</f>
        <v>27.09</v>
      </c>
      <c r="V1464" s="18" t="n">
        <f aca="false">IFERROR(INDEX(SEMANAS!$J$6:$J$71,MATCH($B1464,SEMANAS!$B$6:$B$71,0)),0)</f>
        <v>21.672</v>
      </c>
      <c r="W1464" s="18" t="n">
        <f aca="false">MAX(0,$T1464-$V1464)</f>
        <v>9.39400000000001</v>
      </c>
      <c r="X1464" s="19" t="n">
        <f aca="false">IFERROR(INDEX(CADASTRO_PIVOS!$K$6:$K$41,MATCH($E1464,CADASTRO_PIVOS!$B$6:$B$41,0)),EFICIENCIA_PADRAO)</f>
        <v>0.85</v>
      </c>
      <c r="Y1464" s="18" t="n">
        <f aca="false">IF($X1464&lt;=0,0,$W1464/$X1464)</f>
        <v>11.0517647058824</v>
      </c>
      <c r="Z1464" s="16" t="n">
        <f aca="false">$Y1464*$H1464*MM_PARA_M3_HA</f>
        <v>16571.016</v>
      </c>
      <c r="AA1464" s="18" t="n">
        <f aca="false">IFERROR(INDEX(CADASTRO_PIVOS!$I$6:$I$41,MATCH($E1464,CADASTRO_PIVOS!$B$6:$B$41,0)),0)</f>
        <v>1071</v>
      </c>
      <c r="AB1464" s="18" t="n">
        <f aca="false">IF($Z1464&lt;=0,0,$Z1464/$AA1464)</f>
        <v>15.4724705882353</v>
      </c>
      <c r="AC1464" s="16" t="n">
        <f aca="false">IFERROR(INDEX(SEMANAS!$K$6:$K$71,MATCH($B1464,SEMANAS!$B$6:$B$71,0)),0)</f>
        <v>147</v>
      </c>
      <c r="AD1464" s="19" t="n">
        <f aca="false">IF($AC1464&lt;=0,0,$AB1464/$AC1464)</f>
        <v>0.105254901960784</v>
      </c>
      <c r="AE1464" s="8" t="str">
        <f aca="false">IF($K1464="SEM CULTURA","SEM CULTURA",IF($AA1464&lt;=0,"DADO PENDENTE",IF($AD1464&gt;LIMITE_CRITICO,"INVIAVEL",IF($AD1464&gt;LIMITE_ATENCAO,"CRITICO",IF($AD1464&gt;LIMITE_CONFORTAVEL,"ATENCAO","OK")))))</f>
        <v>OK</v>
      </c>
      <c r="AF1464" s="8" t="str">
        <f aca="false">$B1464&amp;"|"&amp;TEXT($AD1464,"0.000000")</f>
        <v>7|0.105255</v>
      </c>
      <c r="AG1464" s="18" t="n">
        <f aca="false">IF($K1464="SEM CULTURA",0,$T1464*$H1464)</f>
        <v>4658.03604</v>
      </c>
      <c r="AH1464" s="18" t="n">
        <f aca="false">IF($K1464="SEM CULTURA",0,$V1464*$H1464)</f>
        <v>3249.49968</v>
      </c>
      <c r="AI1464" s="18" t="n">
        <f aca="false">IF($K1464="SEM CULTURA",0,$W1464*$H1464)</f>
        <v>1408.53636</v>
      </c>
      <c r="AJ1464" s="18" t="n">
        <f aca="false">IF($K1464="SEM CULTURA",0,$S1464*$H1464)</f>
        <v>5877.648</v>
      </c>
      <c r="AK1464" s="8" t="str">
        <f aca="false">$E1464&amp;"|"&amp;TEXT($AD1464,"0.000000")</f>
        <v>PV 130|0.105255</v>
      </c>
    </row>
    <row r="1465" customFormat="false" ht="15" hidden="false" customHeight="false" outlineLevel="0" collapsed="false">
      <c r="B1465" s="16" t="n">
        <v>8</v>
      </c>
      <c r="C1465" s="17" t="n">
        <f aca="false">DATA_INICIO_SAFRA+($B1465-1)*DIAS_POR_SEMANA</f>
        <v>46314</v>
      </c>
      <c r="D1465" s="17" t="n">
        <f aca="false">$C1465+DIAS_POR_SEMANA-1</f>
        <v>46320</v>
      </c>
      <c r="E1465" s="15" t="s">
        <v>281</v>
      </c>
      <c r="F1465" s="8" t="str">
        <f aca="false">IFERROR(INDEX(CADASTRO_PIVOS!$C$6:$C$41,MATCH($E1465,CADASTRO_PIVOS!$B$6:$B$41,0)),"?")</f>
        <v>RM06</v>
      </c>
      <c r="G1465" s="8" t="str">
        <f aca="false">IFERROR(INDEX(CADASTRO_PIVOS!$D$6:$D$41,MATCH($E1465,CADASTRO_PIVOS!$B$6:$B$41,0)),"?")</f>
        <v>TR06</v>
      </c>
      <c r="H1465" s="20" t="n">
        <f aca="false">IFERROR(INDEX(CADASTRO_PIVOS!$E$6:$E$41,MATCH($E1465,CADASTRO_PIVOS!$B$6:$B$41,0)),0)</f>
        <v>149.94</v>
      </c>
      <c r="I1465" s="16" t="n">
        <f aca="false">IFERROR(SUMIFS(ROTACAO_RDM!$B$6:$B$71,ROTACAO_RDM!$D$6:$D$71,$E1465,ROTACAO_RDM!$I$6:$I$71,"&lt;="&amp;$C1465+INT(DIAS_POR_SEMANA/2),ROTACAO_RDM!$J$6:$J$71,"&gt;="&amp;$C1465+INT(DIAS_POR_SEMANA/2)),0)</f>
        <v>57</v>
      </c>
      <c r="J1465" s="16" t="n">
        <f aca="false">IFERROR(MATCH($I1465,ROTACAO_RDM!$B$6:$B$71,0),0)</f>
        <v>57</v>
      </c>
      <c r="K1465" s="8" t="str">
        <f aca="false">IF($J1465=0,"SEM CULTURA",INDEX(ROTACAO_RDM!$F$6:$F$71,$J1465))</f>
        <v>MILHO_SEMENTE</v>
      </c>
      <c r="L1465" s="8" t="str">
        <f aca="false">IF($J1465=0,"",INDEX(ROTACAO_RDM!$G$6:$G$71,$J1465))</f>
        <v>Syngenta</v>
      </c>
      <c r="M1465" s="17" t="n">
        <f aca="false">IF($J1465=0,"",INDEX(ROTACAO_RDM!$I$6:$I$71,$J1465))</f>
        <v>46164</v>
      </c>
      <c r="N1465" s="16" t="n">
        <f aca="false">IF($J1465=0,0,MAX(0,$C1465+INT(DIAS_POR_SEMANA/2)-INDEX(ROTACAO_RDM!$I$6:$I$71,$J1465)))</f>
        <v>153</v>
      </c>
      <c r="O1465" s="19" t="n">
        <f aca="false">IF($J1465=0,0,MIN(1,$N1465/MAX(1,INDEX(ROTACAO_RDM!$K$6:$K$71,$J1465))))</f>
        <v>0.95625</v>
      </c>
      <c r="P1465" s="16" t="n">
        <f aca="false">IF($J1465=0,0,IFERROR(MATCH(INDEX(ROTACAO_RDM!$N$6:$N$71,$J1465),PARAMETROS_CULTURAS!$B$6:$B$28,0),0))</f>
        <v>7</v>
      </c>
      <c r="Q1465" s="8" t="str">
        <f aca="false">IF($P1465=0,"-",IF($O1465&lt;=INDEX(PARAMETROS_CULTURAS!$F$6:$F$28,$P1465),"INICIAL",IF($O1465&lt;=INDEX(PARAMETROS_CULTURAS!$F$6:$F$28,$P1465)+INDEX(PARAMETROS_CULTURAS!$G$6:$G$28,$P1465),"DESENVOLVIMENTO",IF($O1465&lt;=INDEX(PARAMETROS_CULTURAS!$F$6:$F$28,$P1465)+INDEX(PARAMETROS_CULTURAS!$G$6:$G$28,$P1465)+INDEX(PARAMETROS_CULTURAS!$H$6:$H$28,$P1465),"MEDIA","FINAL"))))</f>
        <v>FINAL</v>
      </c>
      <c r="R1465" s="24" t="n">
        <f aca="false">IF($P1465=0,0,IF($O1465&lt;=INDEX(PARAMETROS_CULTURAS!$F$6:$F$28,$P1465),INDEX(PARAMETROS_CULTURAS!$K$6:$K$28,$P1465),IF($O1465&lt;=INDEX(PARAMETROS_CULTURAS!$F$6:$F$28,$P1465)+INDEX(PARAMETROS_CULTURAS!$G$6:$G$28,$P1465),INDEX(PARAMETROS_CULTURAS!$K$6:$K$28,$P1465)+(INDEX(PARAMETROS_CULTURAS!$L$6:$L$28,$P1465)-INDEX(PARAMETROS_CULTURAS!$K$6:$K$28,$P1465))*($O1465-INDEX(PARAMETROS_CULTURAS!$F$6:$F$28,$P1465))/MAX(INDEX(PARAMETROS_CULTURAS!$G$6:$G$28,$P1465),0.0001),IF($O1465&lt;=INDEX(PARAMETROS_CULTURAS!$F$6:$F$28,$P1465)+INDEX(PARAMETROS_CULTURAS!$G$6:$G$28,$P1465)+INDEX(PARAMETROS_CULTURAS!$H$6:$H$28,$P1465),INDEX(PARAMETROS_CULTURAS!$L$6:$L$28,$P1465),INDEX(PARAMETROS_CULTURAS!$L$6:$L$28,$P1465)+(INDEX(PARAMETROS_CULTURAS!$M$6:$M$28,$P1465)-INDEX(PARAMETROS_CULTURAS!$L$6:$L$28,$P1465))*($O1465-INDEX(PARAMETROS_CULTURAS!$F$6:$F$28,$P1465)-INDEX(PARAMETROS_CULTURAS!$G$6:$G$28,$P1465)-INDEX(PARAMETROS_CULTURAS!$H$6:$H$28,$P1465))/MAX(INDEX(PARAMETROS_CULTURAS!$I$6:$I$28,$P1465),0.0001)))))</f>
        <v>0.69625</v>
      </c>
      <c r="S1465" s="18" t="n">
        <f aca="false">IFERROR(INDEX(SEMANAS!$H$6:$H$71,MATCH($B1465,SEMANAS!$B$6:$B$71,0)),0)</f>
        <v>39.2</v>
      </c>
      <c r="T1465" s="18" t="n">
        <f aca="false">$R1465*$S1465</f>
        <v>27.293</v>
      </c>
      <c r="U1465" s="18" t="n">
        <f aca="false">IFERROR(INDEX(SEMANAS!$I$6:$I$71,MATCH($B1465,SEMANAS!$B$6:$B$71,0)),0)</f>
        <v>27.09</v>
      </c>
      <c r="V1465" s="18" t="n">
        <f aca="false">IFERROR(INDEX(SEMANAS!$J$6:$J$71,MATCH($B1465,SEMANAS!$B$6:$B$71,0)),0)</f>
        <v>21.672</v>
      </c>
      <c r="W1465" s="18" t="n">
        <f aca="false">MAX(0,$T1465-$V1465)</f>
        <v>5.62099999999999</v>
      </c>
      <c r="X1465" s="19" t="n">
        <f aca="false">IFERROR(INDEX(CADASTRO_PIVOS!$K$6:$K$41,MATCH($E1465,CADASTRO_PIVOS!$B$6:$B$41,0)),EFICIENCIA_PADRAO)</f>
        <v>0.85</v>
      </c>
      <c r="Y1465" s="18" t="n">
        <f aca="false">IF($X1465&lt;=0,0,$W1465/$X1465)</f>
        <v>6.61294117647057</v>
      </c>
      <c r="Z1465" s="16" t="n">
        <f aca="false">$Y1465*$H1465*MM_PARA_M3_HA</f>
        <v>9915.44399999998</v>
      </c>
      <c r="AA1465" s="18" t="n">
        <f aca="false">IFERROR(INDEX(CADASTRO_PIVOS!$I$6:$I$41,MATCH($E1465,CADASTRO_PIVOS!$B$6:$B$41,0)),0)</f>
        <v>1071</v>
      </c>
      <c r="AB1465" s="18" t="n">
        <f aca="false">IF($Z1465&lt;=0,0,$Z1465/$AA1465)</f>
        <v>9.25811764705881</v>
      </c>
      <c r="AC1465" s="16" t="n">
        <f aca="false">IFERROR(INDEX(SEMANAS!$K$6:$K$71,MATCH($B1465,SEMANAS!$B$6:$B$71,0)),0)</f>
        <v>147</v>
      </c>
      <c r="AD1465" s="19" t="n">
        <f aca="false">IF($AC1465&lt;=0,0,$AB1465/$AC1465)</f>
        <v>0.0629803921568626</v>
      </c>
      <c r="AE1465" s="8" t="str">
        <f aca="false">IF($K1465="SEM CULTURA","SEM CULTURA",IF($AA1465&lt;=0,"DADO PENDENTE",IF($AD1465&gt;LIMITE_CRITICO,"INVIAVEL",IF($AD1465&gt;LIMITE_ATENCAO,"CRITICO",IF($AD1465&gt;LIMITE_CONFORTAVEL,"ATENCAO","OK")))))</f>
        <v>OK</v>
      </c>
      <c r="AF1465" s="8" t="str">
        <f aca="false">$B1465&amp;"|"&amp;TEXT($AD1465,"0.000000")</f>
        <v>8|0.062980</v>
      </c>
      <c r="AG1465" s="18" t="n">
        <f aca="false">IF($K1465="SEM CULTURA",0,$T1465*$H1465)</f>
        <v>4092.31242</v>
      </c>
      <c r="AH1465" s="18" t="n">
        <f aca="false">IF($K1465="SEM CULTURA",0,$V1465*$H1465)</f>
        <v>3249.49968</v>
      </c>
      <c r="AI1465" s="18" t="n">
        <f aca="false">IF($K1465="SEM CULTURA",0,$W1465*$H1465)</f>
        <v>842.812739999998</v>
      </c>
      <c r="AJ1465" s="18" t="n">
        <f aca="false">IF($K1465="SEM CULTURA",0,$S1465*$H1465)</f>
        <v>5877.648</v>
      </c>
      <c r="AK1465" s="8" t="str">
        <f aca="false">$E1465&amp;"|"&amp;TEXT($AD1465,"0.000000")</f>
        <v>PV 130|0.062980</v>
      </c>
    </row>
    <row r="1466" customFormat="false" ht="15" hidden="false" customHeight="false" outlineLevel="0" collapsed="false">
      <c r="B1466" s="16" t="n">
        <v>9</v>
      </c>
      <c r="C1466" s="17" t="n">
        <f aca="false">DATA_INICIO_SAFRA+($B1466-1)*DIAS_POR_SEMANA</f>
        <v>46321</v>
      </c>
      <c r="D1466" s="17" t="n">
        <f aca="false">$C1466+DIAS_POR_SEMANA-1</f>
        <v>46327</v>
      </c>
      <c r="E1466" s="15" t="s">
        <v>281</v>
      </c>
      <c r="F1466" s="8" t="str">
        <f aca="false">IFERROR(INDEX(CADASTRO_PIVOS!$C$6:$C$41,MATCH($E1466,CADASTRO_PIVOS!$B$6:$B$41,0)),"?")</f>
        <v>RM06</v>
      </c>
      <c r="G1466" s="8" t="str">
        <f aca="false">IFERROR(INDEX(CADASTRO_PIVOS!$D$6:$D$41,MATCH($E1466,CADASTRO_PIVOS!$B$6:$B$41,0)),"?")</f>
        <v>TR06</v>
      </c>
      <c r="H1466" s="20" t="n">
        <f aca="false">IFERROR(INDEX(CADASTRO_PIVOS!$E$6:$E$41,MATCH($E1466,CADASTRO_PIVOS!$B$6:$B$41,0)),0)</f>
        <v>149.94</v>
      </c>
      <c r="I1466" s="16" t="n">
        <f aca="false">IFERROR(SUMIFS(ROTACAO_RDM!$B$6:$B$71,ROTACAO_RDM!$D$6:$D$71,$E1466,ROTACAO_RDM!$I$6:$I$71,"&lt;="&amp;$C1466+INT(DIAS_POR_SEMANA/2),ROTACAO_RDM!$J$6:$J$71,"&gt;="&amp;$C1466+INT(DIAS_POR_SEMANA/2)),0)</f>
        <v>57</v>
      </c>
      <c r="J1466" s="16" t="n">
        <f aca="false">IFERROR(MATCH($I1466,ROTACAO_RDM!$B$6:$B$71,0),0)</f>
        <v>57</v>
      </c>
      <c r="K1466" s="8" t="str">
        <f aca="false">IF($J1466=0,"SEM CULTURA",INDEX(ROTACAO_RDM!$F$6:$F$71,$J1466))</f>
        <v>MILHO_SEMENTE</v>
      </c>
      <c r="L1466" s="8" t="str">
        <f aca="false">IF($J1466=0,"",INDEX(ROTACAO_RDM!$G$6:$G$71,$J1466))</f>
        <v>Syngenta</v>
      </c>
      <c r="M1466" s="17" t="n">
        <f aca="false">IF($J1466=0,"",INDEX(ROTACAO_RDM!$I$6:$I$71,$J1466))</f>
        <v>46164</v>
      </c>
      <c r="N1466" s="16" t="n">
        <f aca="false">IF($J1466=0,0,MAX(0,$C1466+INT(DIAS_POR_SEMANA/2)-INDEX(ROTACAO_RDM!$I$6:$I$71,$J1466)))</f>
        <v>160</v>
      </c>
      <c r="O1466" s="19" t="n">
        <f aca="false">IF($J1466=0,0,MIN(1,$N1466/MAX(1,INDEX(ROTACAO_RDM!$K$6:$K$71,$J1466))))</f>
        <v>1</v>
      </c>
      <c r="P1466" s="16" t="n">
        <f aca="false">IF($J1466=0,0,IFERROR(MATCH(INDEX(ROTACAO_RDM!$N$6:$N$71,$J1466),PARAMETROS_CULTURAS!$B$6:$B$28,0),0))</f>
        <v>7</v>
      </c>
      <c r="Q1466" s="8" t="str">
        <f aca="false">IF($P1466=0,"-",IF($O1466&lt;=INDEX(PARAMETROS_CULTURAS!$F$6:$F$28,$P1466),"INICIAL",IF($O1466&lt;=INDEX(PARAMETROS_CULTURAS!$F$6:$F$28,$P1466)+INDEX(PARAMETROS_CULTURAS!$G$6:$G$28,$P1466),"DESENVOLVIMENTO",IF($O1466&lt;=INDEX(PARAMETROS_CULTURAS!$F$6:$F$28,$P1466)+INDEX(PARAMETROS_CULTURAS!$G$6:$G$28,$P1466)+INDEX(PARAMETROS_CULTURAS!$H$6:$H$28,$P1466),"MEDIA","FINAL"))))</f>
        <v>FINAL</v>
      </c>
      <c r="R1466" s="24" t="n">
        <f aca="false">IF($P1466=0,0,IF($O1466&lt;=INDEX(PARAMETROS_CULTURAS!$F$6:$F$28,$P1466),INDEX(PARAMETROS_CULTURAS!$K$6:$K$28,$P1466),IF($O1466&lt;=INDEX(PARAMETROS_CULTURAS!$F$6:$F$28,$P1466)+INDEX(PARAMETROS_CULTURAS!$G$6:$G$28,$P1466),INDEX(PARAMETROS_CULTURAS!$K$6:$K$28,$P1466)+(INDEX(PARAMETROS_CULTURAS!$L$6:$L$28,$P1466)-INDEX(PARAMETROS_CULTURAS!$K$6:$K$28,$P1466))*($O1466-INDEX(PARAMETROS_CULTURAS!$F$6:$F$28,$P1466))/MAX(INDEX(PARAMETROS_CULTURAS!$G$6:$G$28,$P1466),0.0001),IF($O1466&lt;=INDEX(PARAMETROS_CULTURAS!$F$6:$F$28,$P1466)+INDEX(PARAMETROS_CULTURAS!$G$6:$G$28,$P1466)+INDEX(PARAMETROS_CULTURAS!$H$6:$H$28,$P1466),INDEX(PARAMETROS_CULTURAS!$L$6:$L$28,$P1466),INDEX(PARAMETROS_CULTURAS!$L$6:$L$28,$P1466)+(INDEX(PARAMETROS_CULTURAS!$M$6:$M$28,$P1466)-INDEX(PARAMETROS_CULTURAS!$L$6:$L$28,$P1466))*($O1466-INDEX(PARAMETROS_CULTURAS!$F$6:$F$28,$P1466)-INDEX(PARAMETROS_CULTURAS!$G$6:$G$28,$P1466)-INDEX(PARAMETROS_CULTURAS!$H$6:$H$28,$P1466))/MAX(INDEX(PARAMETROS_CULTURAS!$I$6:$I$28,$P1466),0.0001)))))</f>
        <v>0.6</v>
      </c>
      <c r="S1466" s="18" t="n">
        <f aca="false">IFERROR(INDEX(SEMANAS!$H$6:$H$71,MATCH($B1466,SEMANAS!$B$6:$B$71,0)),0)</f>
        <v>38.5</v>
      </c>
      <c r="T1466" s="18" t="n">
        <f aca="false">$R1466*$S1466</f>
        <v>23.1</v>
      </c>
      <c r="U1466" s="18" t="n">
        <f aca="false">IFERROR(INDEX(SEMANAS!$I$6:$I$71,MATCH($B1466,SEMANAS!$B$6:$B$71,0)),0)</f>
        <v>29.89</v>
      </c>
      <c r="V1466" s="18" t="n">
        <f aca="false">IFERROR(INDEX(SEMANAS!$J$6:$J$71,MATCH($B1466,SEMANAS!$B$6:$B$71,0)),0)</f>
        <v>23.912</v>
      </c>
      <c r="W1466" s="18" t="n">
        <f aca="false">MAX(0,$T1466-$V1466)</f>
        <v>0</v>
      </c>
      <c r="X1466" s="19" t="n">
        <f aca="false">IFERROR(INDEX(CADASTRO_PIVOS!$K$6:$K$41,MATCH($E1466,CADASTRO_PIVOS!$B$6:$B$41,0)),EFICIENCIA_PADRAO)</f>
        <v>0.85</v>
      </c>
      <c r="Y1466" s="18" t="n">
        <f aca="false">IF($X1466&lt;=0,0,$W1466/$X1466)</f>
        <v>0</v>
      </c>
      <c r="Z1466" s="16" t="n">
        <f aca="false">$Y1466*$H1466*MM_PARA_M3_HA</f>
        <v>0</v>
      </c>
      <c r="AA1466" s="18" t="n">
        <f aca="false">IFERROR(INDEX(CADASTRO_PIVOS!$I$6:$I$41,MATCH($E1466,CADASTRO_PIVOS!$B$6:$B$41,0)),0)</f>
        <v>1071</v>
      </c>
      <c r="AB1466" s="18" t="n">
        <f aca="false">IF($Z1466&lt;=0,0,$Z1466/$AA1466)</f>
        <v>0</v>
      </c>
      <c r="AC1466" s="16" t="n">
        <f aca="false">IFERROR(INDEX(SEMANAS!$K$6:$K$71,MATCH($B1466,SEMANAS!$B$6:$B$71,0)),0)</f>
        <v>147</v>
      </c>
      <c r="AD1466" s="19" t="n">
        <f aca="false">IF($AC1466&lt;=0,0,$AB1466/$AC1466)</f>
        <v>0</v>
      </c>
      <c r="AE1466" s="8" t="str">
        <f aca="false">IF($K1466="SEM CULTURA","SEM CULTURA",IF($AA1466&lt;=0,"DADO PENDENTE",IF($AD1466&gt;LIMITE_CRITICO,"INVIAVEL",IF($AD1466&gt;LIMITE_ATENCAO,"CRITICO",IF($AD1466&gt;LIMITE_CONFORTAVEL,"ATENCAO","OK")))))</f>
        <v>OK</v>
      </c>
      <c r="AF1466" s="8" t="str">
        <f aca="false">$B1466&amp;"|"&amp;TEXT($AD1466,"0.000000")</f>
        <v>9|0.000000</v>
      </c>
      <c r="AG1466" s="18" t="n">
        <f aca="false">IF($K1466="SEM CULTURA",0,$T1466*$H1466)</f>
        <v>3463.614</v>
      </c>
      <c r="AH1466" s="18" t="n">
        <f aca="false">IF($K1466="SEM CULTURA",0,$V1466*$H1466)</f>
        <v>3585.36528</v>
      </c>
      <c r="AI1466" s="18" t="n">
        <f aca="false">IF($K1466="SEM CULTURA",0,$W1466*$H1466)</f>
        <v>0</v>
      </c>
      <c r="AJ1466" s="18" t="n">
        <f aca="false">IF($K1466="SEM CULTURA",0,$S1466*$H1466)</f>
        <v>5772.69</v>
      </c>
      <c r="AK1466" s="8" t="str">
        <f aca="false">$E1466&amp;"|"&amp;TEXT($AD1466,"0.000000")</f>
        <v>PV 130|0.000000</v>
      </c>
    </row>
    <row r="1467" customFormat="false" ht="15" hidden="false" customHeight="false" outlineLevel="0" collapsed="false">
      <c r="B1467" s="16" t="n">
        <v>10</v>
      </c>
      <c r="C1467" s="17" t="n">
        <f aca="false">DATA_INICIO_SAFRA+($B1467-1)*DIAS_POR_SEMANA</f>
        <v>46328</v>
      </c>
      <c r="D1467" s="17" t="n">
        <f aca="false">$C1467+DIAS_POR_SEMANA-1</f>
        <v>46334</v>
      </c>
      <c r="E1467" s="15" t="s">
        <v>281</v>
      </c>
      <c r="F1467" s="8" t="str">
        <f aca="false">IFERROR(INDEX(CADASTRO_PIVOS!$C$6:$C$41,MATCH($E1467,CADASTRO_PIVOS!$B$6:$B$41,0)),"?")</f>
        <v>RM06</v>
      </c>
      <c r="G1467" s="8" t="str">
        <f aca="false">IFERROR(INDEX(CADASTRO_PIVOS!$D$6:$D$41,MATCH($E1467,CADASTRO_PIVOS!$B$6:$B$41,0)),"?")</f>
        <v>TR06</v>
      </c>
      <c r="H1467" s="20" t="n">
        <f aca="false">IFERROR(INDEX(CADASTRO_PIVOS!$E$6:$E$41,MATCH($E1467,CADASTRO_PIVOS!$B$6:$B$41,0)),0)</f>
        <v>149.94</v>
      </c>
      <c r="I1467" s="16" t="n">
        <f aca="false">IFERROR(SUMIFS(ROTACAO_RDM!$B$6:$B$71,ROTACAO_RDM!$D$6:$D$71,$E1467,ROTACAO_RDM!$I$6:$I$71,"&lt;="&amp;$C1467+INT(DIAS_POR_SEMANA/2),ROTACAO_RDM!$J$6:$J$71,"&gt;="&amp;$C1467+INT(DIAS_POR_SEMANA/2)),0)</f>
        <v>0</v>
      </c>
      <c r="J1467" s="16" t="n">
        <f aca="false">IFERROR(MATCH($I1467,ROTACAO_RDM!$B$6:$B$71,0),0)</f>
        <v>0</v>
      </c>
      <c r="K1467" s="8" t="str">
        <f aca="false">IF($J1467=0,"SEM CULTURA",INDEX(ROTACAO_RDM!$F$6:$F$71,$J1467))</f>
        <v>SEM CULTURA</v>
      </c>
      <c r="L1467" s="8" t="str">
        <f aca="false">IF($J1467=0,"",INDEX(ROTACAO_RDM!$G$6:$G$71,$J1467))</f>
        <v/>
      </c>
      <c r="M1467" s="17" t="str">
        <f aca="false">IF($J1467=0,"",INDEX(ROTACAO_RDM!$I$6:$I$71,$J1467))</f>
        <v/>
      </c>
      <c r="N1467" s="16" t="n">
        <f aca="false">IF($J1467=0,0,MAX(0,$C1467+INT(DIAS_POR_SEMANA/2)-INDEX(ROTACAO_RDM!$I$6:$I$71,$J1467)))</f>
        <v>0</v>
      </c>
      <c r="O1467" s="19" t="n">
        <f aca="false">IF($J1467=0,0,MIN(1,$N1467/MAX(1,INDEX(ROTACAO_RDM!$K$6:$K$71,$J1467))))</f>
        <v>0</v>
      </c>
      <c r="P1467" s="16" t="n">
        <f aca="false">IF($J1467=0,0,IFERROR(MATCH(INDEX(ROTACAO_RDM!$N$6:$N$71,$J1467),PARAMETROS_CULTURAS!$B$6:$B$28,0),0))</f>
        <v>0</v>
      </c>
      <c r="Q1467" s="8" t="str">
        <f aca="false">IF($P1467=0,"-",IF($O1467&lt;=INDEX(PARAMETROS_CULTURAS!$F$6:$F$28,$P1467),"INICIAL",IF($O1467&lt;=INDEX(PARAMETROS_CULTURAS!$F$6:$F$28,$P1467)+INDEX(PARAMETROS_CULTURAS!$G$6:$G$28,$P1467),"DESENVOLVIMENTO",IF($O1467&lt;=INDEX(PARAMETROS_CULTURAS!$F$6:$F$28,$P1467)+INDEX(PARAMETROS_CULTURAS!$G$6:$G$28,$P1467)+INDEX(PARAMETROS_CULTURAS!$H$6:$H$28,$P1467),"MEDIA","FINAL"))))</f>
        <v>-</v>
      </c>
      <c r="R1467" s="24" t="n">
        <f aca="false">IF($P1467=0,0,IF($O1467&lt;=INDEX(PARAMETROS_CULTURAS!$F$6:$F$28,$P1467),INDEX(PARAMETROS_CULTURAS!$K$6:$K$28,$P1467),IF($O1467&lt;=INDEX(PARAMETROS_CULTURAS!$F$6:$F$28,$P1467)+INDEX(PARAMETROS_CULTURAS!$G$6:$G$28,$P1467),INDEX(PARAMETROS_CULTURAS!$K$6:$K$28,$P1467)+(INDEX(PARAMETROS_CULTURAS!$L$6:$L$28,$P1467)-INDEX(PARAMETROS_CULTURAS!$K$6:$K$28,$P1467))*($O1467-INDEX(PARAMETROS_CULTURAS!$F$6:$F$28,$P1467))/MAX(INDEX(PARAMETROS_CULTURAS!$G$6:$G$28,$P1467),0.0001),IF($O1467&lt;=INDEX(PARAMETROS_CULTURAS!$F$6:$F$28,$P1467)+INDEX(PARAMETROS_CULTURAS!$G$6:$G$28,$P1467)+INDEX(PARAMETROS_CULTURAS!$H$6:$H$28,$P1467),INDEX(PARAMETROS_CULTURAS!$L$6:$L$28,$P1467),INDEX(PARAMETROS_CULTURAS!$L$6:$L$28,$P1467)+(INDEX(PARAMETROS_CULTURAS!$M$6:$M$28,$P1467)-INDEX(PARAMETROS_CULTURAS!$L$6:$L$28,$P1467))*($O1467-INDEX(PARAMETROS_CULTURAS!$F$6:$F$28,$P1467)-INDEX(PARAMETROS_CULTURAS!$G$6:$G$28,$P1467)-INDEX(PARAMETROS_CULTURAS!$H$6:$H$28,$P1467))/MAX(INDEX(PARAMETROS_CULTURAS!$I$6:$I$28,$P1467),0.0001)))))</f>
        <v>0</v>
      </c>
      <c r="S1467" s="18" t="n">
        <f aca="false">IFERROR(INDEX(SEMANAS!$H$6:$H$71,MATCH($B1467,SEMANAS!$B$6:$B$71,0)),0)</f>
        <v>34.3</v>
      </c>
      <c r="T1467" s="18" t="n">
        <f aca="false">$R1467*$S1467</f>
        <v>0</v>
      </c>
      <c r="U1467" s="18" t="n">
        <f aca="false">IFERROR(INDEX(SEMANAS!$I$6:$I$71,MATCH($B1467,SEMANAS!$B$6:$B$71,0)),0)</f>
        <v>46.69</v>
      </c>
      <c r="V1467" s="18" t="n">
        <f aca="false">IFERROR(INDEX(SEMANAS!$J$6:$J$71,MATCH($B1467,SEMANAS!$B$6:$B$71,0)),0)</f>
        <v>37.352</v>
      </c>
      <c r="W1467" s="18" t="n">
        <f aca="false">MAX(0,$T1467-$V1467)</f>
        <v>0</v>
      </c>
      <c r="X1467" s="19" t="n">
        <f aca="false">IFERROR(INDEX(CADASTRO_PIVOS!$K$6:$K$41,MATCH($E1467,CADASTRO_PIVOS!$B$6:$B$41,0)),EFICIENCIA_PADRAO)</f>
        <v>0.85</v>
      </c>
      <c r="Y1467" s="18" t="n">
        <f aca="false">IF($X1467&lt;=0,0,$W1467/$X1467)</f>
        <v>0</v>
      </c>
      <c r="Z1467" s="16" t="n">
        <f aca="false">$Y1467*$H1467*MM_PARA_M3_HA</f>
        <v>0</v>
      </c>
      <c r="AA1467" s="18" t="n">
        <f aca="false">IFERROR(INDEX(CADASTRO_PIVOS!$I$6:$I$41,MATCH($E1467,CADASTRO_PIVOS!$B$6:$B$41,0)),0)</f>
        <v>1071</v>
      </c>
      <c r="AB1467" s="18" t="n">
        <f aca="false">IF($Z1467&lt;=0,0,$Z1467/$AA1467)</f>
        <v>0</v>
      </c>
      <c r="AC1467" s="16" t="n">
        <f aca="false">IFERROR(INDEX(SEMANAS!$K$6:$K$71,MATCH($B1467,SEMANAS!$B$6:$B$71,0)),0)</f>
        <v>147</v>
      </c>
      <c r="AD1467" s="19" t="n">
        <f aca="false">IF($AC1467&lt;=0,0,$AB1467/$AC1467)</f>
        <v>0</v>
      </c>
      <c r="AE1467" s="8" t="str">
        <f aca="false">IF($K1467="SEM CULTURA","SEM CULTURA",IF($AA1467&lt;=0,"DADO PENDENTE",IF($AD1467&gt;LIMITE_CRITICO,"INVIAVEL",IF($AD1467&gt;LIMITE_ATENCAO,"CRITICO",IF($AD1467&gt;LIMITE_CONFORTAVEL,"ATENCAO","OK")))))</f>
        <v>SEM CULTURA</v>
      </c>
      <c r="AF1467" s="8" t="str">
        <f aca="false">$B1467&amp;"|"&amp;TEXT($AD1467,"0.000000")</f>
        <v>10|0.000000</v>
      </c>
      <c r="AG1467" s="18" t="n">
        <f aca="false">IF($K1467="SEM CULTURA",0,$T1467*$H1467)</f>
        <v>0</v>
      </c>
      <c r="AH1467" s="18" t="n">
        <f aca="false">IF($K1467="SEM CULTURA",0,$V1467*$H1467)</f>
        <v>0</v>
      </c>
      <c r="AI1467" s="18" t="n">
        <f aca="false">IF($K1467="SEM CULTURA",0,$W1467*$H1467)</f>
        <v>0</v>
      </c>
      <c r="AJ1467" s="18" t="n">
        <f aca="false">IF($K1467="SEM CULTURA",0,$S1467*$H1467)</f>
        <v>0</v>
      </c>
      <c r="AK1467" s="8" t="str">
        <f aca="false">$E1467&amp;"|"&amp;TEXT($AD1467,"0.000000")</f>
        <v>PV 130|0.000000</v>
      </c>
    </row>
    <row r="1468" customFormat="false" ht="15" hidden="false" customHeight="false" outlineLevel="0" collapsed="false">
      <c r="B1468" s="16" t="n">
        <v>11</v>
      </c>
      <c r="C1468" s="17" t="n">
        <f aca="false">DATA_INICIO_SAFRA+($B1468-1)*DIAS_POR_SEMANA</f>
        <v>46335</v>
      </c>
      <c r="D1468" s="17" t="n">
        <f aca="false">$C1468+DIAS_POR_SEMANA-1</f>
        <v>46341</v>
      </c>
      <c r="E1468" s="15" t="s">
        <v>281</v>
      </c>
      <c r="F1468" s="8" t="str">
        <f aca="false">IFERROR(INDEX(CADASTRO_PIVOS!$C$6:$C$41,MATCH($E1468,CADASTRO_PIVOS!$B$6:$B$41,0)),"?")</f>
        <v>RM06</v>
      </c>
      <c r="G1468" s="8" t="str">
        <f aca="false">IFERROR(INDEX(CADASTRO_PIVOS!$D$6:$D$41,MATCH($E1468,CADASTRO_PIVOS!$B$6:$B$41,0)),"?")</f>
        <v>TR06</v>
      </c>
      <c r="H1468" s="20" t="n">
        <f aca="false">IFERROR(INDEX(CADASTRO_PIVOS!$E$6:$E$41,MATCH($E1468,CADASTRO_PIVOS!$B$6:$B$41,0)),0)</f>
        <v>149.94</v>
      </c>
      <c r="I1468" s="16" t="n">
        <f aca="false">IFERROR(SUMIFS(ROTACAO_RDM!$B$6:$B$71,ROTACAO_RDM!$D$6:$D$71,$E1468,ROTACAO_RDM!$I$6:$I$71,"&lt;="&amp;$C1468+INT(DIAS_POR_SEMANA/2),ROTACAO_RDM!$J$6:$J$71,"&gt;="&amp;$C1468+INT(DIAS_POR_SEMANA/2)),0)</f>
        <v>0</v>
      </c>
      <c r="J1468" s="16" t="n">
        <f aca="false">IFERROR(MATCH($I1468,ROTACAO_RDM!$B$6:$B$71,0),0)</f>
        <v>0</v>
      </c>
      <c r="K1468" s="8" t="str">
        <f aca="false">IF($J1468=0,"SEM CULTURA",INDEX(ROTACAO_RDM!$F$6:$F$71,$J1468))</f>
        <v>SEM CULTURA</v>
      </c>
      <c r="L1468" s="8" t="str">
        <f aca="false">IF($J1468=0,"",INDEX(ROTACAO_RDM!$G$6:$G$71,$J1468))</f>
        <v/>
      </c>
      <c r="M1468" s="17" t="str">
        <f aca="false">IF($J1468=0,"",INDEX(ROTACAO_RDM!$I$6:$I$71,$J1468))</f>
        <v/>
      </c>
      <c r="N1468" s="16" t="n">
        <f aca="false">IF($J1468=0,0,MAX(0,$C1468+INT(DIAS_POR_SEMANA/2)-INDEX(ROTACAO_RDM!$I$6:$I$71,$J1468)))</f>
        <v>0</v>
      </c>
      <c r="O1468" s="19" t="n">
        <f aca="false">IF($J1468=0,0,MIN(1,$N1468/MAX(1,INDEX(ROTACAO_RDM!$K$6:$K$71,$J1468))))</f>
        <v>0</v>
      </c>
      <c r="P1468" s="16" t="n">
        <f aca="false">IF($J1468=0,0,IFERROR(MATCH(INDEX(ROTACAO_RDM!$N$6:$N$71,$J1468),PARAMETROS_CULTURAS!$B$6:$B$28,0),0))</f>
        <v>0</v>
      </c>
      <c r="Q1468" s="8" t="str">
        <f aca="false">IF($P1468=0,"-",IF($O1468&lt;=INDEX(PARAMETROS_CULTURAS!$F$6:$F$28,$P1468),"INICIAL",IF($O1468&lt;=INDEX(PARAMETROS_CULTURAS!$F$6:$F$28,$P1468)+INDEX(PARAMETROS_CULTURAS!$G$6:$G$28,$P1468),"DESENVOLVIMENTO",IF($O1468&lt;=INDEX(PARAMETROS_CULTURAS!$F$6:$F$28,$P1468)+INDEX(PARAMETROS_CULTURAS!$G$6:$G$28,$P1468)+INDEX(PARAMETROS_CULTURAS!$H$6:$H$28,$P1468),"MEDIA","FINAL"))))</f>
        <v>-</v>
      </c>
      <c r="R1468" s="24" t="n">
        <f aca="false">IF($P1468=0,0,IF($O1468&lt;=INDEX(PARAMETROS_CULTURAS!$F$6:$F$28,$P1468),INDEX(PARAMETROS_CULTURAS!$K$6:$K$28,$P1468),IF($O1468&lt;=INDEX(PARAMETROS_CULTURAS!$F$6:$F$28,$P1468)+INDEX(PARAMETROS_CULTURAS!$G$6:$G$28,$P1468),INDEX(PARAMETROS_CULTURAS!$K$6:$K$28,$P1468)+(INDEX(PARAMETROS_CULTURAS!$L$6:$L$28,$P1468)-INDEX(PARAMETROS_CULTURAS!$K$6:$K$28,$P1468))*($O1468-INDEX(PARAMETROS_CULTURAS!$F$6:$F$28,$P1468))/MAX(INDEX(PARAMETROS_CULTURAS!$G$6:$G$28,$P1468),0.0001),IF($O1468&lt;=INDEX(PARAMETROS_CULTURAS!$F$6:$F$28,$P1468)+INDEX(PARAMETROS_CULTURAS!$G$6:$G$28,$P1468)+INDEX(PARAMETROS_CULTURAS!$H$6:$H$28,$P1468),INDEX(PARAMETROS_CULTURAS!$L$6:$L$28,$P1468),INDEX(PARAMETROS_CULTURAS!$L$6:$L$28,$P1468)+(INDEX(PARAMETROS_CULTURAS!$M$6:$M$28,$P1468)-INDEX(PARAMETROS_CULTURAS!$L$6:$L$28,$P1468))*($O1468-INDEX(PARAMETROS_CULTURAS!$F$6:$F$28,$P1468)-INDEX(PARAMETROS_CULTURAS!$G$6:$G$28,$P1468)-INDEX(PARAMETROS_CULTURAS!$H$6:$H$28,$P1468))/MAX(INDEX(PARAMETROS_CULTURAS!$I$6:$I$28,$P1468),0.0001)))))</f>
        <v>0</v>
      </c>
      <c r="S1468" s="18" t="n">
        <f aca="false">IFERROR(INDEX(SEMANAS!$H$6:$H$71,MATCH($B1468,SEMANAS!$B$6:$B$71,0)),0)</f>
        <v>34.3</v>
      </c>
      <c r="T1468" s="18" t="n">
        <f aca="false">$R1468*$S1468</f>
        <v>0</v>
      </c>
      <c r="U1468" s="18" t="n">
        <f aca="false">IFERROR(INDEX(SEMANAS!$I$6:$I$71,MATCH($B1468,SEMANAS!$B$6:$B$71,0)),0)</f>
        <v>46.69</v>
      </c>
      <c r="V1468" s="18" t="n">
        <f aca="false">IFERROR(INDEX(SEMANAS!$J$6:$J$71,MATCH($B1468,SEMANAS!$B$6:$B$71,0)),0)</f>
        <v>37.352</v>
      </c>
      <c r="W1468" s="18" t="n">
        <f aca="false">MAX(0,$T1468-$V1468)</f>
        <v>0</v>
      </c>
      <c r="X1468" s="19" t="n">
        <f aca="false">IFERROR(INDEX(CADASTRO_PIVOS!$K$6:$K$41,MATCH($E1468,CADASTRO_PIVOS!$B$6:$B$41,0)),EFICIENCIA_PADRAO)</f>
        <v>0.85</v>
      </c>
      <c r="Y1468" s="18" t="n">
        <f aca="false">IF($X1468&lt;=0,0,$W1468/$X1468)</f>
        <v>0</v>
      </c>
      <c r="Z1468" s="16" t="n">
        <f aca="false">$Y1468*$H1468*MM_PARA_M3_HA</f>
        <v>0</v>
      </c>
      <c r="AA1468" s="18" t="n">
        <f aca="false">IFERROR(INDEX(CADASTRO_PIVOS!$I$6:$I$41,MATCH($E1468,CADASTRO_PIVOS!$B$6:$B$41,0)),0)</f>
        <v>1071</v>
      </c>
      <c r="AB1468" s="18" t="n">
        <f aca="false">IF($Z1468&lt;=0,0,$Z1468/$AA1468)</f>
        <v>0</v>
      </c>
      <c r="AC1468" s="16" t="n">
        <f aca="false">IFERROR(INDEX(SEMANAS!$K$6:$K$71,MATCH($B1468,SEMANAS!$B$6:$B$71,0)),0)</f>
        <v>147</v>
      </c>
      <c r="AD1468" s="19" t="n">
        <f aca="false">IF($AC1468&lt;=0,0,$AB1468/$AC1468)</f>
        <v>0</v>
      </c>
      <c r="AE1468" s="8" t="str">
        <f aca="false">IF($K1468="SEM CULTURA","SEM CULTURA",IF($AA1468&lt;=0,"DADO PENDENTE",IF($AD1468&gt;LIMITE_CRITICO,"INVIAVEL",IF($AD1468&gt;LIMITE_ATENCAO,"CRITICO",IF($AD1468&gt;LIMITE_CONFORTAVEL,"ATENCAO","OK")))))</f>
        <v>SEM CULTURA</v>
      </c>
      <c r="AF1468" s="8" t="str">
        <f aca="false">$B1468&amp;"|"&amp;TEXT($AD1468,"0.000000")</f>
        <v>11|0.000000</v>
      </c>
      <c r="AG1468" s="18" t="n">
        <f aca="false">IF($K1468="SEM CULTURA",0,$T1468*$H1468)</f>
        <v>0</v>
      </c>
      <c r="AH1468" s="18" t="n">
        <f aca="false">IF($K1468="SEM CULTURA",0,$V1468*$H1468)</f>
        <v>0</v>
      </c>
      <c r="AI1468" s="18" t="n">
        <f aca="false">IF($K1468="SEM CULTURA",0,$W1468*$H1468)</f>
        <v>0</v>
      </c>
      <c r="AJ1468" s="18" t="n">
        <f aca="false">IF($K1468="SEM CULTURA",0,$S1468*$H1468)</f>
        <v>0</v>
      </c>
      <c r="AK1468" s="8" t="str">
        <f aca="false">$E1468&amp;"|"&amp;TEXT($AD1468,"0.000000")</f>
        <v>PV 130|0.000000</v>
      </c>
    </row>
    <row r="1469" customFormat="false" ht="15" hidden="false" customHeight="false" outlineLevel="0" collapsed="false">
      <c r="B1469" s="16" t="n">
        <v>12</v>
      </c>
      <c r="C1469" s="17" t="n">
        <f aca="false">DATA_INICIO_SAFRA+($B1469-1)*DIAS_POR_SEMANA</f>
        <v>46342</v>
      </c>
      <c r="D1469" s="17" t="n">
        <f aca="false">$C1469+DIAS_POR_SEMANA-1</f>
        <v>46348</v>
      </c>
      <c r="E1469" s="15" t="s">
        <v>281</v>
      </c>
      <c r="F1469" s="8" t="str">
        <f aca="false">IFERROR(INDEX(CADASTRO_PIVOS!$C$6:$C$41,MATCH($E1469,CADASTRO_PIVOS!$B$6:$B$41,0)),"?")</f>
        <v>RM06</v>
      </c>
      <c r="G1469" s="8" t="str">
        <f aca="false">IFERROR(INDEX(CADASTRO_PIVOS!$D$6:$D$41,MATCH($E1469,CADASTRO_PIVOS!$B$6:$B$41,0)),"?")</f>
        <v>TR06</v>
      </c>
      <c r="H1469" s="20" t="n">
        <f aca="false">IFERROR(INDEX(CADASTRO_PIVOS!$E$6:$E$41,MATCH($E1469,CADASTRO_PIVOS!$B$6:$B$41,0)),0)</f>
        <v>149.94</v>
      </c>
      <c r="I1469" s="16" t="n">
        <f aca="false">IFERROR(SUMIFS(ROTACAO_RDM!$B$6:$B$71,ROTACAO_RDM!$D$6:$D$71,$E1469,ROTACAO_RDM!$I$6:$I$71,"&lt;="&amp;$C1469+INT(DIAS_POR_SEMANA/2),ROTACAO_RDM!$J$6:$J$71,"&gt;="&amp;$C1469+INT(DIAS_POR_SEMANA/2)),0)</f>
        <v>0</v>
      </c>
      <c r="J1469" s="16" t="n">
        <f aca="false">IFERROR(MATCH($I1469,ROTACAO_RDM!$B$6:$B$71,0),0)</f>
        <v>0</v>
      </c>
      <c r="K1469" s="8" t="str">
        <f aca="false">IF($J1469=0,"SEM CULTURA",INDEX(ROTACAO_RDM!$F$6:$F$71,$J1469))</f>
        <v>SEM CULTURA</v>
      </c>
      <c r="L1469" s="8" t="str">
        <f aca="false">IF($J1469=0,"",INDEX(ROTACAO_RDM!$G$6:$G$71,$J1469))</f>
        <v/>
      </c>
      <c r="M1469" s="17" t="str">
        <f aca="false">IF($J1469=0,"",INDEX(ROTACAO_RDM!$I$6:$I$71,$J1469))</f>
        <v/>
      </c>
      <c r="N1469" s="16" t="n">
        <f aca="false">IF($J1469=0,0,MAX(0,$C1469+INT(DIAS_POR_SEMANA/2)-INDEX(ROTACAO_RDM!$I$6:$I$71,$J1469)))</f>
        <v>0</v>
      </c>
      <c r="O1469" s="19" t="n">
        <f aca="false">IF($J1469=0,0,MIN(1,$N1469/MAX(1,INDEX(ROTACAO_RDM!$K$6:$K$71,$J1469))))</f>
        <v>0</v>
      </c>
      <c r="P1469" s="16" t="n">
        <f aca="false">IF($J1469=0,0,IFERROR(MATCH(INDEX(ROTACAO_RDM!$N$6:$N$71,$J1469),PARAMETROS_CULTURAS!$B$6:$B$28,0),0))</f>
        <v>0</v>
      </c>
      <c r="Q1469" s="8" t="str">
        <f aca="false">IF($P1469=0,"-",IF($O1469&lt;=INDEX(PARAMETROS_CULTURAS!$F$6:$F$28,$P1469),"INICIAL",IF($O1469&lt;=INDEX(PARAMETROS_CULTURAS!$F$6:$F$28,$P1469)+INDEX(PARAMETROS_CULTURAS!$G$6:$G$28,$P1469),"DESENVOLVIMENTO",IF($O1469&lt;=INDEX(PARAMETROS_CULTURAS!$F$6:$F$28,$P1469)+INDEX(PARAMETROS_CULTURAS!$G$6:$G$28,$P1469)+INDEX(PARAMETROS_CULTURAS!$H$6:$H$28,$P1469),"MEDIA","FINAL"))))</f>
        <v>-</v>
      </c>
      <c r="R1469" s="24" t="n">
        <f aca="false">IF($P1469=0,0,IF($O1469&lt;=INDEX(PARAMETROS_CULTURAS!$F$6:$F$28,$P1469),INDEX(PARAMETROS_CULTURAS!$K$6:$K$28,$P1469),IF($O1469&lt;=INDEX(PARAMETROS_CULTURAS!$F$6:$F$28,$P1469)+INDEX(PARAMETROS_CULTURAS!$G$6:$G$28,$P1469),INDEX(PARAMETROS_CULTURAS!$K$6:$K$28,$P1469)+(INDEX(PARAMETROS_CULTURAS!$L$6:$L$28,$P1469)-INDEX(PARAMETROS_CULTURAS!$K$6:$K$28,$P1469))*($O1469-INDEX(PARAMETROS_CULTURAS!$F$6:$F$28,$P1469))/MAX(INDEX(PARAMETROS_CULTURAS!$G$6:$G$28,$P1469),0.0001),IF($O1469&lt;=INDEX(PARAMETROS_CULTURAS!$F$6:$F$28,$P1469)+INDEX(PARAMETROS_CULTURAS!$G$6:$G$28,$P1469)+INDEX(PARAMETROS_CULTURAS!$H$6:$H$28,$P1469),INDEX(PARAMETROS_CULTURAS!$L$6:$L$28,$P1469),INDEX(PARAMETROS_CULTURAS!$L$6:$L$28,$P1469)+(INDEX(PARAMETROS_CULTURAS!$M$6:$M$28,$P1469)-INDEX(PARAMETROS_CULTURAS!$L$6:$L$28,$P1469))*($O1469-INDEX(PARAMETROS_CULTURAS!$F$6:$F$28,$P1469)-INDEX(PARAMETROS_CULTURAS!$G$6:$G$28,$P1469)-INDEX(PARAMETROS_CULTURAS!$H$6:$H$28,$P1469))/MAX(INDEX(PARAMETROS_CULTURAS!$I$6:$I$28,$P1469),0.0001)))))</f>
        <v>0</v>
      </c>
      <c r="S1469" s="18" t="n">
        <f aca="false">IFERROR(INDEX(SEMANAS!$H$6:$H$71,MATCH($B1469,SEMANAS!$B$6:$B$71,0)),0)</f>
        <v>34.3</v>
      </c>
      <c r="T1469" s="18" t="n">
        <f aca="false">$R1469*$S1469</f>
        <v>0</v>
      </c>
      <c r="U1469" s="18" t="n">
        <f aca="false">IFERROR(INDEX(SEMANAS!$I$6:$I$71,MATCH($B1469,SEMANAS!$B$6:$B$71,0)),0)</f>
        <v>46.69</v>
      </c>
      <c r="V1469" s="18" t="n">
        <f aca="false">IFERROR(INDEX(SEMANAS!$J$6:$J$71,MATCH($B1469,SEMANAS!$B$6:$B$71,0)),0)</f>
        <v>37.352</v>
      </c>
      <c r="W1469" s="18" t="n">
        <f aca="false">MAX(0,$T1469-$V1469)</f>
        <v>0</v>
      </c>
      <c r="X1469" s="19" t="n">
        <f aca="false">IFERROR(INDEX(CADASTRO_PIVOS!$K$6:$K$41,MATCH($E1469,CADASTRO_PIVOS!$B$6:$B$41,0)),EFICIENCIA_PADRAO)</f>
        <v>0.85</v>
      </c>
      <c r="Y1469" s="18" t="n">
        <f aca="false">IF($X1469&lt;=0,0,$W1469/$X1469)</f>
        <v>0</v>
      </c>
      <c r="Z1469" s="16" t="n">
        <f aca="false">$Y1469*$H1469*MM_PARA_M3_HA</f>
        <v>0</v>
      </c>
      <c r="AA1469" s="18" t="n">
        <f aca="false">IFERROR(INDEX(CADASTRO_PIVOS!$I$6:$I$41,MATCH($E1469,CADASTRO_PIVOS!$B$6:$B$41,0)),0)</f>
        <v>1071</v>
      </c>
      <c r="AB1469" s="18" t="n">
        <f aca="false">IF($Z1469&lt;=0,0,$Z1469/$AA1469)</f>
        <v>0</v>
      </c>
      <c r="AC1469" s="16" t="n">
        <f aca="false">IFERROR(INDEX(SEMANAS!$K$6:$K$71,MATCH($B1469,SEMANAS!$B$6:$B$71,0)),0)</f>
        <v>147</v>
      </c>
      <c r="AD1469" s="19" t="n">
        <f aca="false">IF($AC1469&lt;=0,0,$AB1469/$AC1469)</f>
        <v>0</v>
      </c>
      <c r="AE1469" s="8" t="str">
        <f aca="false">IF($K1469="SEM CULTURA","SEM CULTURA",IF($AA1469&lt;=0,"DADO PENDENTE",IF($AD1469&gt;LIMITE_CRITICO,"INVIAVEL",IF($AD1469&gt;LIMITE_ATENCAO,"CRITICO",IF($AD1469&gt;LIMITE_CONFORTAVEL,"ATENCAO","OK")))))</f>
        <v>SEM CULTURA</v>
      </c>
      <c r="AF1469" s="8" t="str">
        <f aca="false">$B1469&amp;"|"&amp;TEXT($AD1469,"0.000000")</f>
        <v>12|0.000000</v>
      </c>
      <c r="AG1469" s="18" t="n">
        <f aca="false">IF($K1469="SEM CULTURA",0,$T1469*$H1469)</f>
        <v>0</v>
      </c>
      <c r="AH1469" s="18" t="n">
        <f aca="false">IF($K1469="SEM CULTURA",0,$V1469*$H1469)</f>
        <v>0</v>
      </c>
      <c r="AI1469" s="18" t="n">
        <f aca="false">IF($K1469="SEM CULTURA",0,$W1469*$H1469)</f>
        <v>0</v>
      </c>
      <c r="AJ1469" s="18" t="n">
        <f aca="false">IF($K1469="SEM CULTURA",0,$S1469*$H1469)</f>
        <v>0</v>
      </c>
      <c r="AK1469" s="8" t="str">
        <f aca="false">$E1469&amp;"|"&amp;TEXT($AD1469,"0.000000")</f>
        <v>PV 130|0.000000</v>
      </c>
    </row>
    <row r="1470" customFormat="false" ht="15" hidden="false" customHeight="false" outlineLevel="0" collapsed="false">
      <c r="B1470" s="16" t="n">
        <v>13</v>
      </c>
      <c r="C1470" s="17" t="n">
        <f aca="false">DATA_INICIO_SAFRA+($B1470-1)*DIAS_POR_SEMANA</f>
        <v>46349</v>
      </c>
      <c r="D1470" s="17" t="n">
        <f aca="false">$C1470+DIAS_POR_SEMANA-1</f>
        <v>46355</v>
      </c>
      <c r="E1470" s="15" t="s">
        <v>281</v>
      </c>
      <c r="F1470" s="8" t="str">
        <f aca="false">IFERROR(INDEX(CADASTRO_PIVOS!$C$6:$C$41,MATCH($E1470,CADASTRO_PIVOS!$B$6:$B$41,0)),"?")</f>
        <v>RM06</v>
      </c>
      <c r="G1470" s="8" t="str">
        <f aca="false">IFERROR(INDEX(CADASTRO_PIVOS!$D$6:$D$41,MATCH($E1470,CADASTRO_PIVOS!$B$6:$B$41,0)),"?")</f>
        <v>TR06</v>
      </c>
      <c r="H1470" s="20" t="n">
        <f aca="false">IFERROR(INDEX(CADASTRO_PIVOS!$E$6:$E$41,MATCH($E1470,CADASTRO_PIVOS!$B$6:$B$41,0)),0)</f>
        <v>149.94</v>
      </c>
      <c r="I1470" s="16" t="n">
        <f aca="false">IFERROR(SUMIFS(ROTACAO_RDM!$B$6:$B$71,ROTACAO_RDM!$D$6:$D$71,$E1470,ROTACAO_RDM!$I$6:$I$71,"&lt;="&amp;$C1470+INT(DIAS_POR_SEMANA/2),ROTACAO_RDM!$J$6:$J$71,"&gt;="&amp;$C1470+INT(DIAS_POR_SEMANA/2)),0)</f>
        <v>0</v>
      </c>
      <c r="J1470" s="16" t="n">
        <f aca="false">IFERROR(MATCH($I1470,ROTACAO_RDM!$B$6:$B$71,0),0)</f>
        <v>0</v>
      </c>
      <c r="K1470" s="8" t="str">
        <f aca="false">IF($J1470=0,"SEM CULTURA",INDEX(ROTACAO_RDM!$F$6:$F$71,$J1470))</f>
        <v>SEM CULTURA</v>
      </c>
      <c r="L1470" s="8" t="str">
        <f aca="false">IF($J1470=0,"",INDEX(ROTACAO_RDM!$G$6:$G$71,$J1470))</f>
        <v/>
      </c>
      <c r="M1470" s="17" t="str">
        <f aca="false">IF($J1470=0,"",INDEX(ROTACAO_RDM!$I$6:$I$71,$J1470))</f>
        <v/>
      </c>
      <c r="N1470" s="16" t="n">
        <f aca="false">IF($J1470=0,0,MAX(0,$C1470+INT(DIAS_POR_SEMANA/2)-INDEX(ROTACAO_RDM!$I$6:$I$71,$J1470)))</f>
        <v>0</v>
      </c>
      <c r="O1470" s="19" t="n">
        <f aca="false">IF($J1470=0,0,MIN(1,$N1470/MAX(1,INDEX(ROTACAO_RDM!$K$6:$K$71,$J1470))))</f>
        <v>0</v>
      </c>
      <c r="P1470" s="16" t="n">
        <f aca="false">IF($J1470=0,0,IFERROR(MATCH(INDEX(ROTACAO_RDM!$N$6:$N$71,$J1470),PARAMETROS_CULTURAS!$B$6:$B$28,0),0))</f>
        <v>0</v>
      </c>
      <c r="Q1470" s="8" t="str">
        <f aca="false">IF($P1470=0,"-",IF($O1470&lt;=INDEX(PARAMETROS_CULTURAS!$F$6:$F$28,$P1470),"INICIAL",IF($O1470&lt;=INDEX(PARAMETROS_CULTURAS!$F$6:$F$28,$P1470)+INDEX(PARAMETROS_CULTURAS!$G$6:$G$28,$P1470),"DESENVOLVIMENTO",IF($O1470&lt;=INDEX(PARAMETROS_CULTURAS!$F$6:$F$28,$P1470)+INDEX(PARAMETROS_CULTURAS!$G$6:$G$28,$P1470)+INDEX(PARAMETROS_CULTURAS!$H$6:$H$28,$P1470),"MEDIA","FINAL"))))</f>
        <v>-</v>
      </c>
      <c r="R1470" s="24" t="n">
        <f aca="false">IF($P1470=0,0,IF($O1470&lt;=INDEX(PARAMETROS_CULTURAS!$F$6:$F$28,$P1470),INDEX(PARAMETROS_CULTURAS!$K$6:$K$28,$P1470),IF($O1470&lt;=INDEX(PARAMETROS_CULTURAS!$F$6:$F$28,$P1470)+INDEX(PARAMETROS_CULTURAS!$G$6:$G$28,$P1470),INDEX(PARAMETROS_CULTURAS!$K$6:$K$28,$P1470)+(INDEX(PARAMETROS_CULTURAS!$L$6:$L$28,$P1470)-INDEX(PARAMETROS_CULTURAS!$K$6:$K$28,$P1470))*($O1470-INDEX(PARAMETROS_CULTURAS!$F$6:$F$28,$P1470))/MAX(INDEX(PARAMETROS_CULTURAS!$G$6:$G$28,$P1470),0.0001),IF($O1470&lt;=INDEX(PARAMETROS_CULTURAS!$F$6:$F$28,$P1470)+INDEX(PARAMETROS_CULTURAS!$G$6:$G$28,$P1470)+INDEX(PARAMETROS_CULTURAS!$H$6:$H$28,$P1470),INDEX(PARAMETROS_CULTURAS!$L$6:$L$28,$P1470),INDEX(PARAMETROS_CULTURAS!$L$6:$L$28,$P1470)+(INDEX(PARAMETROS_CULTURAS!$M$6:$M$28,$P1470)-INDEX(PARAMETROS_CULTURAS!$L$6:$L$28,$P1470))*($O1470-INDEX(PARAMETROS_CULTURAS!$F$6:$F$28,$P1470)-INDEX(PARAMETROS_CULTURAS!$G$6:$G$28,$P1470)-INDEX(PARAMETROS_CULTURAS!$H$6:$H$28,$P1470))/MAX(INDEX(PARAMETROS_CULTURAS!$I$6:$I$28,$P1470),0.0001)))))</f>
        <v>0</v>
      </c>
      <c r="S1470" s="18" t="n">
        <f aca="false">IFERROR(INDEX(SEMANAS!$H$6:$H$71,MATCH($B1470,SEMANAS!$B$6:$B$71,0)),0)</f>
        <v>34.3</v>
      </c>
      <c r="T1470" s="18" t="n">
        <f aca="false">$R1470*$S1470</f>
        <v>0</v>
      </c>
      <c r="U1470" s="18" t="n">
        <f aca="false">IFERROR(INDEX(SEMANAS!$I$6:$I$71,MATCH($B1470,SEMANAS!$B$6:$B$71,0)),0)</f>
        <v>46.69</v>
      </c>
      <c r="V1470" s="18" t="n">
        <f aca="false">IFERROR(INDEX(SEMANAS!$J$6:$J$71,MATCH($B1470,SEMANAS!$B$6:$B$71,0)),0)</f>
        <v>37.352</v>
      </c>
      <c r="W1470" s="18" t="n">
        <f aca="false">MAX(0,$T1470-$V1470)</f>
        <v>0</v>
      </c>
      <c r="X1470" s="19" t="n">
        <f aca="false">IFERROR(INDEX(CADASTRO_PIVOS!$K$6:$K$41,MATCH($E1470,CADASTRO_PIVOS!$B$6:$B$41,0)),EFICIENCIA_PADRAO)</f>
        <v>0.85</v>
      </c>
      <c r="Y1470" s="18" t="n">
        <f aca="false">IF($X1470&lt;=0,0,$W1470/$X1470)</f>
        <v>0</v>
      </c>
      <c r="Z1470" s="16" t="n">
        <f aca="false">$Y1470*$H1470*MM_PARA_M3_HA</f>
        <v>0</v>
      </c>
      <c r="AA1470" s="18" t="n">
        <f aca="false">IFERROR(INDEX(CADASTRO_PIVOS!$I$6:$I$41,MATCH($E1470,CADASTRO_PIVOS!$B$6:$B$41,0)),0)</f>
        <v>1071</v>
      </c>
      <c r="AB1470" s="18" t="n">
        <f aca="false">IF($Z1470&lt;=0,0,$Z1470/$AA1470)</f>
        <v>0</v>
      </c>
      <c r="AC1470" s="16" t="n">
        <f aca="false">IFERROR(INDEX(SEMANAS!$K$6:$K$71,MATCH($B1470,SEMANAS!$B$6:$B$71,0)),0)</f>
        <v>147</v>
      </c>
      <c r="AD1470" s="19" t="n">
        <f aca="false">IF($AC1470&lt;=0,0,$AB1470/$AC1470)</f>
        <v>0</v>
      </c>
      <c r="AE1470" s="8" t="str">
        <f aca="false">IF($K1470="SEM CULTURA","SEM CULTURA",IF($AA1470&lt;=0,"DADO PENDENTE",IF($AD1470&gt;LIMITE_CRITICO,"INVIAVEL",IF($AD1470&gt;LIMITE_ATENCAO,"CRITICO",IF($AD1470&gt;LIMITE_CONFORTAVEL,"ATENCAO","OK")))))</f>
        <v>SEM CULTURA</v>
      </c>
      <c r="AF1470" s="8" t="str">
        <f aca="false">$B1470&amp;"|"&amp;TEXT($AD1470,"0.000000")</f>
        <v>13|0.000000</v>
      </c>
      <c r="AG1470" s="18" t="n">
        <f aca="false">IF($K1470="SEM CULTURA",0,$T1470*$H1470)</f>
        <v>0</v>
      </c>
      <c r="AH1470" s="18" t="n">
        <f aca="false">IF($K1470="SEM CULTURA",0,$V1470*$H1470)</f>
        <v>0</v>
      </c>
      <c r="AI1470" s="18" t="n">
        <f aca="false">IF($K1470="SEM CULTURA",0,$W1470*$H1470)</f>
        <v>0</v>
      </c>
      <c r="AJ1470" s="18" t="n">
        <f aca="false">IF($K1470="SEM CULTURA",0,$S1470*$H1470)</f>
        <v>0</v>
      </c>
      <c r="AK1470" s="8" t="str">
        <f aca="false">$E1470&amp;"|"&amp;TEXT($AD1470,"0.000000")</f>
        <v>PV 130|0.000000</v>
      </c>
    </row>
    <row r="1471" customFormat="false" ht="15" hidden="false" customHeight="false" outlineLevel="0" collapsed="false">
      <c r="B1471" s="16" t="n">
        <v>14</v>
      </c>
      <c r="C1471" s="17" t="n">
        <f aca="false">DATA_INICIO_SAFRA+($B1471-1)*DIAS_POR_SEMANA</f>
        <v>46356</v>
      </c>
      <c r="D1471" s="17" t="n">
        <f aca="false">$C1471+DIAS_POR_SEMANA-1</f>
        <v>46362</v>
      </c>
      <c r="E1471" s="15" t="s">
        <v>281</v>
      </c>
      <c r="F1471" s="8" t="str">
        <f aca="false">IFERROR(INDEX(CADASTRO_PIVOS!$C$6:$C$41,MATCH($E1471,CADASTRO_PIVOS!$B$6:$B$41,0)),"?")</f>
        <v>RM06</v>
      </c>
      <c r="G1471" s="8" t="str">
        <f aca="false">IFERROR(INDEX(CADASTRO_PIVOS!$D$6:$D$41,MATCH($E1471,CADASTRO_PIVOS!$B$6:$B$41,0)),"?")</f>
        <v>TR06</v>
      </c>
      <c r="H1471" s="20" t="n">
        <f aca="false">IFERROR(INDEX(CADASTRO_PIVOS!$E$6:$E$41,MATCH($E1471,CADASTRO_PIVOS!$B$6:$B$41,0)),0)</f>
        <v>149.94</v>
      </c>
      <c r="I1471" s="16" t="n">
        <f aca="false">IFERROR(SUMIFS(ROTACAO_RDM!$B$6:$B$71,ROTACAO_RDM!$D$6:$D$71,$E1471,ROTACAO_RDM!$I$6:$I$71,"&lt;="&amp;$C1471+INT(DIAS_POR_SEMANA/2),ROTACAO_RDM!$J$6:$J$71,"&gt;="&amp;$C1471+INT(DIAS_POR_SEMANA/2)),0)</f>
        <v>58</v>
      </c>
      <c r="J1471" s="16" t="n">
        <f aca="false">IFERROR(MATCH($I1471,ROTACAO_RDM!$B$6:$B$71,0),0)</f>
        <v>58</v>
      </c>
      <c r="K1471" s="8" t="str">
        <f aca="false">IF($J1471=0,"SEM CULTURA",INDEX(ROTACAO_RDM!$F$6:$F$71,$J1471))</f>
        <v>ALGODAO</v>
      </c>
      <c r="L1471" s="8" t="str">
        <f aca="false">IF($J1471=0,"",INDEX(ROTACAO_RDM!$G$6:$G$71,$J1471))</f>
        <v>IMA 3764 B2RF</v>
      </c>
      <c r="M1471" s="17" t="n">
        <f aca="false">IF($J1471=0,"",INDEX(ROTACAO_RDM!$I$6:$I$71,$J1471))</f>
        <v>46358</v>
      </c>
      <c r="N1471" s="16" t="n">
        <f aca="false">IF($J1471=0,0,MAX(0,$C1471+INT(DIAS_POR_SEMANA/2)-INDEX(ROTACAO_RDM!$I$6:$I$71,$J1471)))</f>
        <v>1</v>
      </c>
      <c r="O1471" s="19" t="n">
        <f aca="false">IF($J1471=0,0,MIN(1,$N1471/MAX(1,INDEX(ROTACAO_RDM!$K$6:$K$71,$J1471))))</f>
        <v>0.00476190476190476</v>
      </c>
      <c r="P1471" s="16" t="n">
        <f aca="false">IF($J1471=0,0,IFERROR(MATCH(INDEX(ROTACAO_RDM!$N$6:$N$71,$J1471),PARAMETROS_CULTURAS!$B$6:$B$28,0),0))</f>
        <v>6</v>
      </c>
      <c r="Q1471" s="8" t="str">
        <f aca="false">IF($P1471=0,"-",IF($O1471&lt;=INDEX(PARAMETROS_CULTURAS!$F$6:$F$28,$P1471),"INICIAL",IF($O1471&lt;=INDEX(PARAMETROS_CULTURAS!$F$6:$F$28,$P1471)+INDEX(PARAMETROS_CULTURAS!$G$6:$G$28,$P1471),"DESENVOLVIMENTO",IF($O1471&lt;=INDEX(PARAMETROS_CULTURAS!$F$6:$F$28,$P1471)+INDEX(PARAMETROS_CULTURAS!$G$6:$G$28,$P1471)+INDEX(PARAMETROS_CULTURAS!$H$6:$H$28,$P1471),"MEDIA","FINAL"))))</f>
        <v>INICIAL</v>
      </c>
      <c r="R1471" s="24" t="n">
        <f aca="false">IF($P1471=0,0,IF($O1471&lt;=INDEX(PARAMETROS_CULTURAS!$F$6:$F$28,$P1471),INDEX(PARAMETROS_CULTURAS!$K$6:$K$28,$P1471),IF($O1471&lt;=INDEX(PARAMETROS_CULTURAS!$F$6:$F$28,$P1471)+INDEX(PARAMETROS_CULTURAS!$G$6:$G$28,$P1471),INDEX(PARAMETROS_CULTURAS!$K$6:$K$28,$P1471)+(INDEX(PARAMETROS_CULTURAS!$L$6:$L$28,$P1471)-INDEX(PARAMETROS_CULTURAS!$K$6:$K$28,$P1471))*($O1471-INDEX(PARAMETROS_CULTURAS!$F$6:$F$28,$P1471))/MAX(INDEX(PARAMETROS_CULTURAS!$G$6:$G$28,$P1471),0.0001),IF($O1471&lt;=INDEX(PARAMETROS_CULTURAS!$F$6:$F$28,$P1471)+INDEX(PARAMETROS_CULTURAS!$G$6:$G$28,$P1471)+INDEX(PARAMETROS_CULTURAS!$H$6:$H$28,$P1471),INDEX(PARAMETROS_CULTURAS!$L$6:$L$28,$P1471),INDEX(PARAMETROS_CULTURAS!$L$6:$L$28,$P1471)+(INDEX(PARAMETROS_CULTURAS!$M$6:$M$28,$P1471)-INDEX(PARAMETROS_CULTURAS!$L$6:$L$28,$P1471))*($O1471-INDEX(PARAMETROS_CULTURAS!$F$6:$F$28,$P1471)-INDEX(PARAMETROS_CULTURAS!$G$6:$G$28,$P1471)-INDEX(PARAMETROS_CULTURAS!$H$6:$H$28,$P1471))/MAX(INDEX(PARAMETROS_CULTURAS!$I$6:$I$28,$P1471),0.0001)))))</f>
        <v>0.35</v>
      </c>
      <c r="S1471" s="18" t="n">
        <f aca="false">IFERROR(INDEX(SEMANAS!$H$6:$H$71,MATCH($B1471,SEMANAS!$B$6:$B$71,0)),0)</f>
        <v>33.1</v>
      </c>
      <c r="T1471" s="18" t="n">
        <f aca="false">$R1471*$S1471</f>
        <v>11.585</v>
      </c>
      <c r="U1471" s="18" t="n">
        <f aca="false">IFERROR(INDEX(SEMANAS!$I$6:$I$71,MATCH($B1471,SEMANAS!$B$6:$B$71,0)),0)</f>
        <v>48.31</v>
      </c>
      <c r="V1471" s="18" t="n">
        <f aca="false">IFERROR(INDEX(SEMANAS!$J$6:$J$71,MATCH($B1471,SEMANAS!$B$6:$B$71,0)),0)</f>
        <v>38.648</v>
      </c>
      <c r="W1471" s="18" t="n">
        <f aca="false">MAX(0,$T1471-$V1471)</f>
        <v>0</v>
      </c>
      <c r="X1471" s="19" t="n">
        <f aca="false">IFERROR(INDEX(CADASTRO_PIVOS!$K$6:$K$41,MATCH($E1471,CADASTRO_PIVOS!$B$6:$B$41,0)),EFICIENCIA_PADRAO)</f>
        <v>0.85</v>
      </c>
      <c r="Y1471" s="18" t="n">
        <f aca="false">IF($X1471&lt;=0,0,$W1471/$X1471)</f>
        <v>0</v>
      </c>
      <c r="Z1471" s="16" t="n">
        <f aca="false">$Y1471*$H1471*MM_PARA_M3_HA</f>
        <v>0</v>
      </c>
      <c r="AA1471" s="18" t="n">
        <f aca="false">IFERROR(INDEX(CADASTRO_PIVOS!$I$6:$I$41,MATCH($E1471,CADASTRO_PIVOS!$B$6:$B$41,0)),0)</f>
        <v>1071</v>
      </c>
      <c r="AB1471" s="18" t="n">
        <f aca="false">IF($Z1471&lt;=0,0,$Z1471/$AA1471)</f>
        <v>0</v>
      </c>
      <c r="AC1471" s="16" t="n">
        <f aca="false">IFERROR(INDEX(SEMANAS!$K$6:$K$71,MATCH($B1471,SEMANAS!$B$6:$B$71,0)),0)</f>
        <v>147</v>
      </c>
      <c r="AD1471" s="19" t="n">
        <f aca="false">IF($AC1471&lt;=0,0,$AB1471/$AC1471)</f>
        <v>0</v>
      </c>
      <c r="AE1471" s="8" t="str">
        <f aca="false">IF($K1471="SEM CULTURA","SEM CULTURA",IF($AA1471&lt;=0,"DADO PENDENTE",IF($AD1471&gt;LIMITE_CRITICO,"INVIAVEL",IF($AD1471&gt;LIMITE_ATENCAO,"CRITICO",IF($AD1471&gt;LIMITE_CONFORTAVEL,"ATENCAO","OK")))))</f>
        <v>OK</v>
      </c>
      <c r="AF1471" s="8" t="str">
        <f aca="false">$B1471&amp;"|"&amp;TEXT($AD1471,"0.000000")</f>
        <v>14|0.000000</v>
      </c>
      <c r="AG1471" s="18" t="n">
        <f aca="false">IF($K1471="SEM CULTURA",0,$T1471*$H1471)</f>
        <v>1737.0549</v>
      </c>
      <c r="AH1471" s="18" t="n">
        <f aca="false">IF($K1471="SEM CULTURA",0,$V1471*$H1471)</f>
        <v>5794.88112</v>
      </c>
      <c r="AI1471" s="18" t="n">
        <f aca="false">IF($K1471="SEM CULTURA",0,$W1471*$H1471)</f>
        <v>0</v>
      </c>
      <c r="AJ1471" s="18" t="n">
        <f aca="false">IF($K1471="SEM CULTURA",0,$S1471*$H1471)</f>
        <v>4963.014</v>
      </c>
      <c r="AK1471" s="8" t="str">
        <f aca="false">$E1471&amp;"|"&amp;TEXT($AD1471,"0.000000")</f>
        <v>PV 130|0.000000</v>
      </c>
    </row>
    <row r="1472" customFormat="false" ht="15" hidden="false" customHeight="false" outlineLevel="0" collapsed="false">
      <c r="B1472" s="16" t="n">
        <v>15</v>
      </c>
      <c r="C1472" s="17" t="n">
        <f aca="false">DATA_INICIO_SAFRA+($B1472-1)*DIAS_POR_SEMANA</f>
        <v>46363</v>
      </c>
      <c r="D1472" s="17" t="n">
        <f aca="false">$C1472+DIAS_POR_SEMANA-1</f>
        <v>46369</v>
      </c>
      <c r="E1472" s="15" t="s">
        <v>281</v>
      </c>
      <c r="F1472" s="8" t="str">
        <f aca="false">IFERROR(INDEX(CADASTRO_PIVOS!$C$6:$C$41,MATCH($E1472,CADASTRO_PIVOS!$B$6:$B$41,0)),"?")</f>
        <v>RM06</v>
      </c>
      <c r="G1472" s="8" t="str">
        <f aca="false">IFERROR(INDEX(CADASTRO_PIVOS!$D$6:$D$41,MATCH($E1472,CADASTRO_PIVOS!$B$6:$B$41,0)),"?")</f>
        <v>TR06</v>
      </c>
      <c r="H1472" s="20" t="n">
        <f aca="false">IFERROR(INDEX(CADASTRO_PIVOS!$E$6:$E$41,MATCH($E1472,CADASTRO_PIVOS!$B$6:$B$41,0)),0)</f>
        <v>149.94</v>
      </c>
      <c r="I1472" s="16" t="n">
        <f aca="false">IFERROR(SUMIFS(ROTACAO_RDM!$B$6:$B$71,ROTACAO_RDM!$D$6:$D$71,$E1472,ROTACAO_RDM!$I$6:$I$71,"&lt;="&amp;$C1472+INT(DIAS_POR_SEMANA/2),ROTACAO_RDM!$J$6:$J$71,"&gt;="&amp;$C1472+INT(DIAS_POR_SEMANA/2)),0)</f>
        <v>58</v>
      </c>
      <c r="J1472" s="16" t="n">
        <f aca="false">IFERROR(MATCH($I1472,ROTACAO_RDM!$B$6:$B$71,0),0)</f>
        <v>58</v>
      </c>
      <c r="K1472" s="8" t="str">
        <f aca="false">IF($J1472=0,"SEM CULTURA",INDEX(ROTACAO_RDM!$F$6:$F$71,$J1472))</f>
        <v>ALGODAO</v>
      </c>
      <c r="L1472" s="8" t="str">
        <f aca="false">IF($J1472=0,"",INDEX(ROTACAO_RDM!$G$6:$G$71,$J1472))</f>
        <v>IMA 3764 B2RF</v>
      </c>
      <c r="M1472" s="17" t="n">
        <f aca="false">IF($J1472=0,"",INDEX(ROTACAO_RDM!$I$6:$I$71,$J1472))</f>
        <v>46358</v>
      </c>
      <c r="N1472" s="16" t="n">
        <f aca="false">IF($J1472=0,0,MAX(0,$C1472+INT(DIAS_POR_SEMANA/2)-INDEX(ROTACAO_RDM!$I$6:$I$71,$J1472)))</f>
        <v>8</v>
      </c>
      <c r="O1472" s="19" t="n">
        <f aca="false">IF($J1472=0,0,MIN(1,$N1472/MAX(1,INDEX(ROTACAO_RDM!$K$6:$K$71,$J1472))))</f>
        <v>0.0380952380952381</v>
      </c>
      <c r="P1472" s="16" t="n">
        <f aca="false">IF($J1472=0,0,IFERROR(MATCH(INDEX(ROTACAO_RDM!$N$6:$N$71,$J1472),PARAMETROS_CULTURAS!$B$6:$B$28,0),0))</f>
        <v>6</v>
      </c>
      <c r="Q1472" s="8" t="str">
        <f aca="false">IF($P1472=0,"-",IF($O1472&lt;=INDEX(PARAMETROS_CULTURAS!$F$6:$F$28,$P1472),"INICIAL",IF($O1472&lt;=INDEX(PARAMETROS_CULTURAS!$F$6:$F$28,$P1472)+INDEX(PARAMETROS_CULTURAS!$G$6:$G$28,$P1472),"DESENVOLVIMENTO",IF($O1472&lt;=INDEX(PARAMETROS_CULTURAS!$F$6:$F$28,$P1472)+INDEX(PARAMETROS_CULTURAS!$G$6:$G$28,$P1472)+INDEX(PARAMETROS_CULTURAS!$H$6:$H$28,$P1472),"MEDIA","FINAL"))))</f>
        <v>INICIAL</v>
      </c>
      <c r="R1472" s="24" t="n">
        <f aca="false">IF($P1472=0,0,IF($O1472&lt;=INDEX(PARAMETROS_CULTURAS!$F$6:$F$28,$P1472),INDEX(PARAMETROS_CULTURAS!$K$6:$K$28,$P1472),IF($O1472&lt;=INDEX(PARAMETROS_CULTURAS!$F$6:$F$28,$P1472)+INDEX(PARAMETROS_CULTURAS!$G$6:$G$28,$P1472),INDEX(PARAMETROS_CULTURAS!$K$6:$K$28,$P1472)+(INDEX(PARAMETROS_CULTURAS!$L$6:$L$28,$P1472)-INDEX(PARAMETROS_CULTURAS!$K$6:$K$28,$P1472))*($O1472-INDEX(PARAMETROS_CULTURAS!$F$6:$F$28,$P1472))/MAX(INDEX(PARAMETROS_CULTURAS!$G$6:$G$28,$P1472),0.0001),IF($O1472&lt;=INDEX(PARAMETROS_CULTURAS!$F$6:$F$28,$P1472)+INDEX(PARAMETROS_CULTURAS!$G$6:$G$28,$P1472)+INDEX(PARAMETROS_CULTURAS!$H$6:$H$28,$P1472),INDEX(PARAMETROS_CULTURAS!$L$6:$L$28,$P1472),INDEX(PARAMETROS_CULTURAS!$L$6:$L$28,$P1472)+(INDEX(PARAMETROS_CULTURAS!$M$6:$M$28,$P1472)-INDEX(PARAMETROS_CULTURAS!$L$6:$L$28,$P1472))*($O1472-INDEX(PARAMETROS_CULTURAS!$F$6:$F$28,$P1472)-INDEX(PARAMETROS_CULTURAS!$G$6:$G$28,$P1472)-INDEX(PARAMETROS_CULTURAS!$H$6:$H$28,$P1472))/MAX(INDEX(PARAMETROS_CULTURAS!$I$6:$I$28,$P1472),0.0001)))))</f>
        <v>0.35</v>
      </c>
      <c r="S1472" s="18" t="n">
        <f aca="false">IFERROR(INDEX(SEMANAS!$H$6:$H$71,MATCH($B1472,SEMANAS!$B$6:$B$71,0)),0)</f>
        <v>32.9</v>
      </c>
      <c r="T1472" s="18" t="n">
        <f aca="false">$R1472*$S1472</f>
        <v>11.515</v>
      </c>
      <c r="U1472" s="18" t="n">
        <f aca="false">IFERROR(INDEX(SEMANAS!$I$6:$I$71,MATCH($B1472,SEMANAS!$B$6:$B$71,0)),0)</f>
        <v>48.58</v>
      </c>
      <c r="V1472" s="18" t="n">
        <f aca="false">IFERROR(INDEX(SEMANAS!$J$6:$J$71,MATCH($B1472,SEMANAS!$B$6:$B$71,0)),0)</f>
        <v>38.864</v>
      </c>
      <c r="W1472" s="18" t="n">
        <f aca="false">MAX(0,$T1472-$V1472)</f>
        <v>0</v>
      </c>
      <c r="X1472" s="19" t="n">
        <f aca="false">IFERROR(INDEX(CADASTRO_PIVOS!$K$6:$K$41,MATCH($E1472,CADASTRO_PIVOS!$B$6:$B$41,0)),EFICIENCIA_PADRAO)</f>
        <v>0.85</v>
      </c>
      <c r="Y1472" s="18" t="n">
        <f aca="false">IF($X1472&lt;=0,0,$W1472/$X1472)</f>
        <v>0</v>
      </c>
      <c r="Z1472" s="16" t="n">
        <f aca="false">$Y1472*$H1472*MM_PARA_M3_HA</f>
        <v>0</v>
      </c>
      <c r="AA1472" s="18" t="n">
        <f aca="false">IFERROR(INDEX(CADASTRO_PIVOS!$I$6:$I$41,MATCH($E1472,CADASTRO_PIVOS!$B$6:$B$41,0)),0)</f>
        <v>1071</v>
      </c>
      <c r="AB1472" s="18" t="n">
        <f aca="false">IF($Z1472&lt;=0,0,$Z1472/$AA1472)</f>
        <v>0</v>
      </c>
      <c r="AC1472" s="16" t="n">
        <f aca="false">IFERROR(INDEX(SEMANAS!$K$6:$K$71,MATCH($B1472,SEMANAS!$B$6:$B$71,0)),0)</f>
        <v>147</v>
      </c>
      <c r="AD1472" s="19" t="n">
        <f aca="false">IF($AC1472&lt;=0,0,$AB1472/$AC1472)</f>
        <v>0</v>
      </c>
      <c r="AE1472" s="8" t="str">
        <f aca="false">IF($K1472="SEM CULTURA","SEM CULTURA",IF($AA1472&lt;=0,"DADO PENDENTE",IF($AD1472&gt;LIMITE_CRITICO,"INVIAVEL",IF($AD1472&gt;LIMITE_ATENCAO,"CRITICO",IF($AD1472&gt;LIMITE_CONFORTAVEL,"ATENCAO","OK")))))</f>
        <v>OK</v>
      </c>
      <c r="AF1472" s="8" t="str">
        <f aca="false">$B1472&amp;"|"&amp;TEXT($AD1472,"0.000000")</f>
        <v>15|0.000000</v>
      </c>
      <c r="AG1472" s="18" t="n">
        <f aca="false">IF($K1472="SEM CULTURA",0,$T1472*$H1472)</f>
        <v>1726.5591</v>
      </c>
      <c r="AH1472" s="18" t="n">
        <f aca="false">IF($K1472="SEM CULTURA",0,$V1472*$H1472)</f>
        <v>5827.26816</v>
      </c>
      <c r="AI1472" s="18" t="n">
        <f aca="false">IF($K1472="SEM CULTURA",0,$W1472*$H1472)</f>
        <v>0</v>
      </c>
      <c r="AJ1472" s="18" t="n">
        <f aca="false">IF($K1472="SEM CULTURA",0,$S1472*$H1472)</f>
        <v>4933.026</v>
      </c>
      <c r="AK1472" s="8" t="str">
        <f aca="false">$E1472&amp;"|"&amp;TEXT($AD1472,"0.000000")</f>
        <v>PV 130|0.000000</v>
      </c>
    </row>
    <row r="1473" customFormat="false" ht="15" hidden="false" customHeight="false" outlineLevel="0" collapsed="false">
      <c r="B1473" s="16" t="n">
        <v>16</v>
      </c>
      <c r="C1473" s="17" t="n">
        <f aca="false">DATA_INICIO_SAFRA+($B1473-1)*DIAS_POR_SEMANA</f>
        <v>46370</v>
      </c>
      <c r="D1473" s="17" t="n">
        <f aca="false">$C1473+DIAS_POR_SEMANA-1</f>
        <v>46376</v>
      </c>
      <c r="E1473" s="15" t="s">
        <v>281</v>
      </c>
      <c r="F1473" s="8" t="str">
        <f aca="false">IFERROR(INDEX(CADASTRO_PIVOS!$C$6:$C$41,MATCH($E1473,CADASTRO_PIVOS!$B$6:$B$41,0)),"?")</f>
        <v>RM06</v>
      </c>
      <c r="G1473" s="8" t="str">
        <f aca="false">IFERROR(INDEX(CADASTRO_PIVOS!$D$6:$D$41,MATCH($E1473,CADASTRO_PIVOS!$B$6:$B$41,0)),"?")</f>
        <v>TR06</v>
      </c>
      <c r="H1473" s="20" t="n">
        <f aca="false">IFERROR(INDEX(CADASTRO_PIVOS!$E$6:$E$41,MATCH($E1473,CADASTRO_PIVOS!$B$6:$B$41,0)),0)</f>
        <v>149.94</v>
      </c>
      <c r="I1473" s="16" t="n">
        <f aca="false">IFERROR(SUMIFS(ROTACAO_RDM!$B$6:$B$71,ROTACAO_RDM!$D$6:$D$71,$E1473,ROTACAO_RDM!$I$6:$I$71,"&lt;="&amp;$C1473+INT(DIAS_POR_SEMANA/2),ROTACAO_RDM!$J$6:$J$71,"&gt;="&amp;$C1473+INT(DIAS_POR_SEMANA/2)),0)</f>
        <v>58</v>
      </c>
      <c r="J1473" s="16" t="n">
        <f aca="false">IFERROR(MATCH($I1473,ROTACAO_RDM!$B$6:$B$71,0),0)</f>
        <v>58</v>
      </c>
      <c r="K1473" s="8" t="str">
        <f aca="false">IF($J1473=0,"SEM CULTURA",INDEX(ROTACAO_RDM!$F$6:$F$71,$J1473))</f>
        <v>ALGODAO</v>
      </c>
      <c r="L1473" s="8" t="str">
        <f aca="false">IF($J1473=0,"",INDEX(ROTACAO_RDM!$G$6:$G$71,$J1473))</f>
        <v>IMA 3764 B2RF</v>
      </c>
      <c r="M1473" s="17" t="n">
        <f aca="false">IF($J1473=0,"",INDEX(ROTACAO_RDM!$I$6:$I$71,$J1473))</f>
        <v>46358</v>
      </c>
      <c r="N1473" s="16" t="n">
        <f aca="false">IF($J1473=0,0,MAX(0,$C1473+INT(DIAS_POR_SEMANA/2)-INDEX(ROTACAO_RDM!$I$6:$I$71,$J1473)))</f>
        <v>15</v>
      </c>
      <c r="O1473" s="19" t="n">
        <f aca="false">IF($J1473=0,0,MIN(1,$N1473/MAX(1,INDEX(ROTACAO_RDM!$K$6:$K$71,$J1473))))</f>
        <v>0.0714285714285714</v>
      </c>
      <c r="P1473" s="16" t="n">
        <f aca="false">IF($J1473=0,0,IFERROR(MATCH(INDEX(ROTACAO_RDM!$N$6:$N$71,$J1473),PARAMETROS_CULTURAS!$B$6:$B$28,0),0))</f>
        <v>6</v>
      </c>
      <c r="Q1473" s="8" t="str">
        <f aca="false">IF($P1473=0,"-",IF($O1473&lt;=INDEX(PARAMETROS_CULTURAS!$F$6:$F$28,$P1473),"INICIAL",IF($O1473&lt;=INDEX(PARAMETROS_CULTURAS!$F$6:$F$28,$P1473)+INDEX(PARAMETROS_CULTURAS!$G$6:$G$28,$P1473),"DESENVOLVIMENTO",IF($O1473&lt;=INDEX(PARAMETROS_CULTURAS!$F$6:$F$28,$P1473)+INDEX(PARAMETROS_CULTURAS!$G$6:$G$28,$P1473)+INDEX(PARAMETROS_CULTURAS!$H$6:$H$28,$P1473),"MEDIA","FINAL"))))</f>
        <v>INICIAL</v>
      </c>
      <c r="R1473" s="24" t="n">
        <f aca="false">IF($P1473=0,0,IF($O1473&lt;=INDEX(PARAMETROS_CULTURAS!$F$6:$F$28,$P1473),INDEX(PARAMETROS_CULTURAS!$K$6:$K$28,$P1473),IF($O1473&lt;=INDEX(PARAMETROS_CULTURAS!$F$6:$F$28,$P1473)+INDEX(PARAMETROS_CULTURAS!$G$6:$G$28,$P1473),INDEX(PARAMETROS_CULTURAS!$K$6:$K$28,$P1473)+(INDEX(PARAMETROS_CULTURAS!$L$6:$L$28,$P1473)-INDEX(PARAMETROS_CULTURAS!$K$6:$K$28,$P1473))*($O1473-INDEX(PARAMETROS_CULTURAS!$F$6:$F$28,$P1473))/MAX(INDEX(PARAMETROS_CULTURAS!$G$6:$G$28,$P1473),0.0001),IF($O1473&lt;=INDEX(PARAMETROS_CULTURAS!$F$6:$F$28,$P1473)+INDEX(PARAMETROS_CULTURAS!$G$6:$G$28,$P1473)+INDEX(PARAMETROS_CULTURAS!$H$6:$H$28,$P1473),INDEX(PARAMETROS_CULTURAS!$L$6:$L$28,$P1473),INDEX(PARAMETROS_CULTURAS!$L$6:$L$28,$P1473)+(INDEX(PARAMETROS_CULTURAS!$M$6:$M$28,$P1473)-INDEX(PARAMETROS_CULTURAS!$L$6:$L$28,$P1473))*($O1473-INDEX(PARAMETROS_CULTURAS!$F$6:$F$28,$P1473)-INDEX(PARAMETROS_CULTURAS!$G$6:$G$28,$P1473)-INDEX(PARAMETROS_CULTURAS!$H$6:$H$28,$P1473))/MAX(INDEX(PARAMETROS_CULTURAS!$I$6:$I$28,$P1473),0.0001)))))</f>
        <v>0.35</v>
      </c>
      <c r="S1473" s="18" t="n">
        <f aca="false">IFERROR(INDEX(SEMANAS!$H$6:$H$71,MATCH($B1473,SEMANAS!$B$6:$B$71,0)),0)</f>
        <v>32.9</v>
      </c>
      <c r="T1473" s="18" t="n">
        <f aca="false">$R1473*$S1473</f>
        <v>11.515</v>
      </c>
      <c r="U1473" s="18" t="n">
        <f aca="false">IFERROR(INDEX(SEMANAS!$I$6:$I$71,MATCH($B1473,SEMANAS!$B$6:$B$71,0)),0)</f>
        <v>48.58</v>
      </c>
      <c r="V1473" s="18" t="n">
        <f aca="false">IFERROR(INDEX(SEMANAS!$J$6:$J$71,MATCH($B1473,SEMANAS!$B$6:$B$71,0)),0)</f>
        <v>38.864</v>
      </c>
      <c r="W1473" s="18" t="n">
        <f aca="false">MAX(0,$T1473-$V1473)</f>
        <v>0</v>
      </c>
      <c r="X1473" s="19" t="n">
        <f aca="false">IFERROR(INDEX(CADASTRO_PIVOS!$K$6:$K$41,MATCH($E1473,CADASTRO_PIVOS!$B$6:$B$41,0)),EFICIENCIA_PADRAO)</f>
        <v>0.85</v>
      </c>
      <c r="Y1473" s="18" t="n">
        <f aca="false">IF($X1473&lt;=0,0,$W1473/$X1473)</f>
        <v>0</v>
      </c>
      <c r="Z1473" s="16" t="n">
        <f aca="false">$Y1473*$H1473*MM_PARA_M3_HA</f>
        <v>0</v>
      </c>
      <c r="AA1473" s="18" t="n">
        <f aca="false">IFERROR(INDEX(CADASTRO_PIVOS!$I$6:$I$41,MATCH($E1473,CADASTRO_PIVOS!$B$6:$B$41,0)),0)</f>
        <v>1071</v>
      </c>
      <c r="AB1473" s="18" t="n">
        <f aca="false">IF($Z1473&lt;=0,0,$Z1473/$AA1473)</f>
        <v>0</v>
      </c>
      <c r="AC1473" s="16" t="n">
        <f aca="false">IFERROR(INDEX(SEMANAS!$K$6:$K$71,MATCH($B1473,SEMANAS!$B$6:$B$71,0)),0)</f>
        <v>147</v>
      </c>
      <c r="AD1473" s="19" t="n">
        <f aca="false">IF($AC1473&lt;=0,0,$AB1473/$AC1473)</f>
        <v>0</v>
      </c>
      <c r="AE1473" s="8" t="str">
        <f aca="false">IF($K1473="SEM CULTURA","SEM CULTURA",IF($AA1473&lt;=0,"DADO PENDENTE",IF($AD1473&gt;LIMITE_CRITICO,"INVIAVEL",IF($AD1473&gt;LIMITE_ATENCAO,"CRITICO",IF($AD1473&gt;LIMITE_CONFORTAVEL,"ATENCAO","OK")))))</f>
        <v>OK</v>
      </c>
      <c r="AF1473" s="8" t="str">
        <f aca="false">$B1473&amp;"|"&amp;TEXT($AD1473,"0.000000")</f>
        <v>16|0.000000</v>
      </c>
      <c r="AG1473" s="18" t="n">
        <f aca="false">IF($K1473="SEM CULTURA",0,$T1473*$H1473)</f>
        <v>1726.5591</v>
      </c>
      <c r="AH1473" s="18" t="n">
        <f aca="false">IF($K1473="SEM CULTURA",0,$V1473*$H1473)</f>
        <v>5827.26816</v>
      </c>
      <c r="AI1473" s="18" t="n">
        <f aca="false">IF($K1473="SEM CULTURA",0,$W1473*$H1473)</f>
        <v>0</v>
      </c>
      <c r="AJ1473" s="18" t="n">
        <f aca="false">IF($K1473="SEM CULTURA",0,$S1473*$H1473)</f>
        <v>4933.026</v>
      </c>
      <c r="AK1473" s="8" t="str">
        <f aca="false">$E1473&amp;"|"&amp;TEXT($AD1473,"0.000000")</f>
        <v>PV 130|0.000000</v>
      </c>
    </row>
    <row r="1474" customFormat="false" ht="15" hidden="false" customHeight="false" outlineLevel="0" collapsed="false">
      <c r="B1474" s="16" t="n">
        <v>17</v>
      </c>
      <c r="C1474" s="17" t="n">
        <f aca="false">DATA_INICIO_SAFRA+($B1474-1)*DIAS_POR_SEMANA</f>
        <v>46377</v>
      </c>
      <c r="D1474" s="17" t="n">
        <f aca="false">$C1474+DIAS_POR_SEMANA-1</f>
        <v>46383</v>
      </c>
      <c r="E1474" s="15" t="s">
        <v>281</v>
      </c>
      <c r="F1474" s="8" t="str">
        <f aca="false">IFERROR(INDEX(CADASTRO_PIVOS!$C$6:$C$41,MATCH($E1474,CADASTRO_PIVOS!$B$6:$B$41,0)),"?")</f>
        <v>RM06</v>
      </c>
      <c r="G1474" s="8" t="str">
        <f aca="false">IFERROR(INDEX(CADASTRO_PIVOS!$D$6:$D$41,MATCH($E1474,CADASTRO_PIVOS!$B$6:$B$41,0)),"?")</f>
        <v>TR06</v>
      </c>
      <c r="H1474" s="20" t="n">
        <f aca="false">IFERROR(INDEX(CADASTRO_PIVOS!$E$6:$E$41,MATCH($E1474,CADASTRO_PIVOS!$B$6:$B$41,0)),0)</f>
        <v>149.94</v>
      </c>
      <c r="I1474" s="16" t="n">
        <f aca="false">IFERROR(SUMIFS(ROTACAO_RDM!$B$6:$B$71,ROTACAO_RDM!$D$6:$D$71,$E1474,ROTACAO_RDM!$I$6:$I$71,"&lt;="&amp;$C1474+INT(DIAS_POR_SEMANA/2),ROTACAO_RDM!$J$6:$J$71,"&gt;="&amp;$C1474+INT(DIAS_POR_SEMANA/2)),0)</f>
        <v>58</v>
      </c>
      <c r="J1474" s="16" t="n">
        <f aca="false">IFERROR(MATCH($I1474,ROTACAO_RDM!$B$6:$B$71,0),0)</f>
        <v>58</v>
      </c>
      <c r="K1474" s="8" t="str">
        <f aca="false">IF($J1474=0,"SEM CULTURA",INDEX(ROTACAO_RDM!$F$6:$F$71,$J1474))</f>
        <v>ALGODAO</v>
      </c>
      <c r="L1474" s="8" t="str">
        <f aca="false">IF($J1474=0,"",INDEX(ROTACAO_RDM!$G$6:$G$71,$J1474))</f>
        <v>IMA 3764 B2RF</v>
      </c>
      <c r="M1474" s="17" t="n">
        <f aca="false">IF($J1474=0,"",INDEX(ROTACAO_RDM!$I$6:$I$71,$J1474))</f>
        <v>46358</v>
      </c>
      <c r="N1474" s="16" t="n">
        <f aca="false">IF($J1474=0,0,MAX(0,$C1474+INT(DIAS_POR_SEMANA/2)-INDEX(ROTACAO_RDM!$I$6:$I$71,$J1474)))</f>
        <v>22</v>
      </c>
      <c r="O1474" s="19" t="n">
        <f aca="false">IF($J1474=0,0,MIN(1,$N1474/MAX(1,INDEX(ROTACAO_RDM!$K$6:$K$71,$J1474))))</f>
        <v>0.104761904761905</v>
      </c>
      <c r="P1474" s="16" t="n">
        <f aca="false">IF($J1474=0,0,IFERROR(MATCH(INDEX(ROTACAO_RDM!$N$6:$N$71,$J1474),PARAMETROS_CULTURAS!$B$6:$B$28,0),0))</f>
        <v>6</v>
      </c>
      <c r="Q1474" s="8" t="str">
        <f aca="false">IF($P1474=0,"-",IF($O1474&lt;=INDEX(PARAMETROS_CULTURAS!$F$6:$F$28,$P1474),"INICIAL",IF($O1474&lt;=INDEX(PARAMETROS_CULTURAS!$F$6:$F$28,$P1474)+INDEX(PARAMETROS_CULTURAS!$G$6:$G$28,$P1474),"DESENVOLVIMENTO",IF($O1474&lt;=INDEX(PARAMETROS_CULTURAS!$F$6:$F$28,$P1474)+INDEX(PARAMETROS_CULTURAS!$G$6:$G$28,$P1474)+INDEX(PARAMETROS_CULTURAS!$H$6:$H$28,$P1474),"MEDIA","FINAL"))))</f>
        <v>INICIAL</v>
      </c>
      <c r="R1474" s="24" t="n">
        <f aca="false">IF($P1474=0,0,IF($O1474&lt;=INDEX(PARAMETROS_CULTURAS!$F$6:$F$28,$P1474),INDEX(PARAMETROS_CULTURAS!$K$6:$K$28,$P1474),IF($O1474&lt;=INDEX(PARAMETROS_CULTURAS!$F$6:$F$28,$P1474)+INDEX(PARAMETROS_CULTURAS!$G$6:$G$28,$P1474),INDEX(PARAMETROS_CULTURAS!$K$6:$K$28,$P1474)+(INDEX(PARAMETROS_CULTURAS!$L$6:$L$28,$P1474)-INDEX(PARAMETROS_CULTURAS!$K$6:$K$28,$P1474))*($O1474-INDEX(PARAMETROS_CULTURAS!$F$6:$F$28,$P1474))/MAX(INDEX(PARAMETROS_CULTURAS!$G$6:$G$28,$P1474),0.0001),IF($O1474&lt;=INDEX(PARAMETROS_CULTURAS!$F$6:$F$28,$P1474)+INDEX(PARAMETROS_CULTURAS!$G$6:$G$28,$P1474)+INDEX(PARAMETROS_CULTURAS!$H$6:$H$28,$P1474),INDEX(PARAMETROS_CULTURAS!$L$6:$L$28,$P1474),INDEX(PARAMETROS_CULTURAS!$L$6:$L$28,$P1474)+(INDEX(PARAMETROS_CULTURAS!$M$6:$M$28,$P1474)-INDEX(PARAMETROS_CULTURAS!$L$6:$L$28,$P1474))*($O1474-INDEX(PARAMETROS_CULTURAS!$F$6:$F$28,$P1474)-INDEX(PARAMETROS_CULTURAS!$G$6:$G$28,$P1474)-INDEX(PARAMETROS_CULTURAS!$H$6:$H$28,$P1474))/MAX(INDEX(PARAMETROS_CULTURAS!$I$6:$I$28,$P1474),0.0001)))))</f>
        <v>0.35</v>
      </c>
      <c r="S1474" s="18" t="n">
        <f aca="false">IFERROR(INDEX(SEMANAS!$H$6:$H$71,MATCH($B1474,SEMANAS!$B$6:$B$71,0)),0)</f>
        <v>32.9</v>
      </c>
      <c r="T1474" s="18" t="n">
        <f aca="false">$R1474*$S1474</f>
        <v>11.515</v>
      </c>
      <c r="U1474" s="18" t="n">
        <f aca="false">IFERROR(INDEX(SEMANAS!$I$6:$I$71,MATCH($B1474,SEMANAS!$B$6:$B$71,0)),0)</f>
        <v>48.58</v>
      </c>
      <c r="V1474" s="18" t="n">
        <f aca="false">IFERROR(INDEX(SEMANAS!$J$6:$J$71,MATCH($B1474,SEMANAS!$B$6:$B$71,0)),0)</f>
        <v>38.864</v>
      </c>
      <c r="W1474" s="18" t="n">
        <f aca="false">MAX(0,$T1474-$V1474)</f>
        <v>0</v>
      </c>
      <c r="X1474" s="19" t="n">
        <f aca="false">IFERROR(INDEX(CADASTRO_PIVOS!$K$6:$K$41,MATCH($E1474,CADASTRO_PIVOS!$B$6:$B$41,0)),EFICIENCIA_PADRAO)</f>
        <v>0.85</v>
      </c>
      <c r="Y1474" s="18" t="n">
        <f aca="false">IF($X1474&lt;=0,0,$W1474/$X1474)</f>
        <v>0</v>
      </c>
      <c r="Z1474" s="16" t="n">
        <f aca="false">$Y1474*$H1474*MM_PARA_M3_HA</f>
        <v>0</v>
      </c>
      <c r="AA1474" s="18" t="n">
        <f aca="false">IFERROR(INDEX(CADASTRO_PIVOS!$I$6:$I$41,MATCH($E1474,CADASTRO_PIVOS!$B$6:$B$41,0)),0)</f>
        <v>1071</v>
      </c>
      <c r="AB1474" s="18" t="n">
        <f aca="false">IF($Z1474&lt;=0,0,$Z1474/$AA1474)</f>
        <v>0</v>
      </c>
      <c r="AC1474" s="16" t="n">
        <f aca="false">IFERROR(INDEX(SEMANAS!$K$6:$K$71,MATCH($B1474,SEMANAS!$B$6:$B$71,0)),0)</f>
        <v>147</v>
      </c>
      <c r="AD1474" s="19" t="n">
        <f aca="false">IF($AC1474&lt;=0,0,$AB1474/$AC1474)</f>
        <v>0</v>
      </c>
      <c r="AE1474" s="8" t="str">
        <f aca="false">IF($K1474="SEM CULTURA","SEM CULTURA",IF($AA1474&lt;=0,"DADO PENDENTE",IF($AD1474&gt;LIMITE_CRITICO,"INVIAVEL",IF($AD1474&gt;LIMITE_ATENCAO,"CRITICO",IF($AD1474&gt;LIMITE_CONFORTAVEL,"ATENCAO","OK")))))</f>
        <v>OK</v>
      </c>
      <c r="AF1474" s="8" t="str">
        <f aca="false">$B1474&amp;"|"&amp;TEXT($AD1474,"0.000000")</f>
        <v>17|0.000000</v>
      </c>
      <c r="AG1474" s="18" t="n">
        <f aca="false">IF($K1474="SEM CULTURA",0,$T1474*$H1474)</f>
        <v>1726.5591</v>
      </c>
      <c r="AH1474" s="18" t="n">
        <f aca="false">IF($K1474="SEM CULTURA",0,$V1474*$H1474)</f>
        <v>5827.26816</v>
      </c>
      <c r="AI1474" s="18" t="n">
        <f aca="false">IF($K1474="SEM CULTURA",0,$W1474*$H1474)</f>
        <v>0</v>
      </c>
      <c r="AJ1474" s="18" t="n">
        <f aca="false">IF($K1474="SEM CULTURA",0,$S1474*$H1474)</f>
        <v>4933.026</v>
      </c>
      <c r="AK1474" s="8" t="str">
        <f aca="false">$E1474&amp;"|"&amp;TEXT($AD1474,"0.000000")</f>
        <v>PV 130|0.000000</v>
      </c>
    </row>
    <row r="1475" customFormat="false" ht="15" hidden="false" customHeight="false" outlineLevel="0" collapsed="false">
      <c r="B1475" s="16" t="n">
        <v>18</v>
      </c>
      <c r="C1475" s="17" t="n">
        <f aca="false">DATA_INICIO_SAFRA+($B1475-1)*DIAS_POR_SEMANA</f>
        <v>46384</v>
      </c>
      <c r="D1475" s="17" t="n">
        <f aca="false">$C1475+DIAS_POR_SEMANA-1</f>
        <v>46390</v>
      </c>
      <c r="E1475" s="15" t="s">
        <v>281</v>
      </c>
      <c r="F1475" s="8" t="str">
        <f aca="false">IFERROR(INDEX(CADASTRO_PIVOS!$C$6:$C$41,MATCH($E1475,CADASTRO_PIVOS!$B$6:$B$41,0)),"?")</f>
        <v>RM06</v>
      </c>
      <c r="G1475" s="8" t="str">
        <f aca="false">IFERROR(INDEX(CADASTRO_PIVOS!$D$6:$D$41,MATCH($E1475,CADASTRO_PIVOS!$B$6:$B$41,0)),"?")</f>
        <v>TR06</v>
      </c>
      <c r="H1475" s="20" t="n">
        <f aca="false">IFERROR(INDEX(CADASTRO_PIVOS!$E$6:$E$41,MATCH($E1475,CADASTRO_PIVOS!$B$6:$B$41,0)),0)</f>
        <v>149.94</v>
      </c>
      <c r="I1475" s="16" t="n">
        <f aca="false">IFERROR(SUMIFS(ROTACAO_RDM!$B$6:$B$71,ROTACAO_RDM!$D$6:$D$71,$E1475,ROTACAO_RDM!$I$6:$I$71,"&lt;="&amp;$C1475+INT(DIAS_POR_SEMANA/2),ROTACAO_RDM!$J$6:$J$71,"&gt;="&amp;$C1475+INT(DIAS_POR_SEMANA/2)),0)</f>
        <v>58</v>
      </c>
      <c r="J1475" s="16" t="n">
        <f aca="false">IFERROR(MATCH($I1475,ROTACAO_RDM!$B$6:$B$71,0),0)</f>
        <v>58</v>
      </c>
      <c r="K1475" s="8" t="str">
        <f aca="false">IF($J1475=0,"SEM CULTURA",INDEX(ROTACAO_RDM!$F$6:$F$71,$J1475))</f>
        <v>ALGODAO</v>
      </c>
      <c r="L1475" s="8" t="str">
        <f aca="false">IF($J1475=0,"",INDEX(ROTACAO_RDM!$G$6:$G$71,$J1475))</f>
        <v>IMA 3764 B2RF</v>
      </c>
      <c r="M1475" s="17" t="n">
        <f aca="false">IF($J1475=0,"",INDEX(ROTACAO_RDM!$I$6:$I$71,$J1475))</f>
        <v>46358</v>
      </c>
      <c r="N1475" s="16" t="n">
        <f aca="false">IF($J1475=0,0,MAX(0,$C1475+INT(DIAS_POR_SEMANA/2)-INDEX(ROTACAO_RDM!$I$6:$I$71,$J1475)))</f>
        <v>29</v>
      </c>
      <c r="O1475" s="19" t="n">
        <f aca="false">IF($J1475=0,0,MIN(1,$N1475/MAX(1,INDEX(ROTACAO_RDM!$K$6:$K$71,$J1475))))</f>
        <v>0.138095238095238</v>
      </c>
      <c r="P1475" s="16" t="n">
        <f aca="false">IF($J1475=0,0,IFERROR(MATCH(INDEX(ROTACAO_RDM!$N$6:$N$71,$J1475),PARAMETROS_CULTURAS!$B$6:$B$28,0),0))</f>
        <v>6</v>
      </c>
      <c r="Q1475" s="8" t="str">
        <f aca="false">IF($P1475=0,"-",IF($O1475&lt;=INDEX(PARAMETROS_CULTURAS!$F$6:$F$28,$P1475),"INICIAL",IF($O1475&lt;=INDEX(PARAMETROS_CULTURAS!$F$6:$F$28,$P1475)+INDEX(PARAMETROS_CULTURAS!$G$6:$G$28,$P1475),"DESENVOLVIMENTO",IF($O1475&lt;=INDEX(PARAMETROS_CULTURAS!$F$6:$F$28,$P1475)+INDEX(PARAMETROS_CULTURAS!$G$6:$G$28,$P1475)+INDEX(PARAMETROS_CULTURAS!$H$6:$H$28,$P1475),"MEDIA","FINAL"))))</f>
        <v>INICIAL</v>
      </c>
      <c r="R1475" s="24" t="n">
        <f aca="false">IF($P1475=0,0,IF($O1475&lt;=INDEX(PARAMETROS_CULTURAS!$F$6:$F$28,$P1475),INDEX(PARAMETROS_CULTURAS!$K$6:$K$28,$P1475),IF($O1475&lt;=INDEX(PARAMETROS_CULTURAS!$F$6:$F$28,$P1475)+INDEX(PARAMETROS_CULTURAS!$G$6:$G$28,$P1475),INDEX(PARAMETROS_CULTURAS!$K$6:$K$28,$P1475)+(INDEX(PARAMETROS_CULTURAS!$L$6:$L$28,$P1475)-INDEX(PARAMETROS_CULTURAS!$K$6:$K$28,$P1475))*($O1475-INDEX(PARAMETROS_CULTURAS!$F$6:$F$28,$P1475))/MAX(INDEX(PARAMETROS_CULTURAS!$G$6:$G$28,$P1475),0.0001),IF($O1475&lt;=INDEX(PARAMETROS_CULTURAS!$F$6:$F$28,$P1475)+INDEX(PARAMETROS_CULTURAS!$G$6:$G$28,$P1475)+INDEX(PARAMETROS_CULTURAS!$H$6:$H$28,$P1475),INDEX(PARAMETROS_CULTURAS!$L$6:$L$28,$P1475),INDEX(PARAMETROS_CULTURAS!$L$6:$L$28,$P1475)+(INDEX(PARAMETROS_CULTURAS!$M$6:$M$28,$P1475)-INDEX(PARAMETROS_CULTURAS!$L$6:$L$28,$P1475))*($O1475-INDEX(PARAMETROS_CULTURAS!$F$6:$F$28,$P1475)-INDEX(PARAMETROS_CULTURAS!$G$6:$G$28,$P1475)-INDEX(PARAMETROS_CULTURAS!$H$6:$H$28,$P1475))/MAX(INDEX(PARAMETROS_CULTURAS!$I$6:$I$28,$P1475),0.0001)))))</f>
        <v>0.35</v>
      </c>
      <c r="S1475" s="18" t="n">
        <f aca="false">IFERROR(INDEX(SEMANAS!$H$6:$H$71,MATCH($B1475,SEMANAS!$B$6:$B$71,0)),0)</f>
        <v>33.2</v>
      </c>
      <c r="T1475" s="18" t="n">
        <f aca="false">$R1475*$S1475</f>
        <v>11.62</v>
      </c>
      <c r="U1475" s="18" t="n">
        <f aca="false">IFERROR(INDEX(SEMANAS!$I$6:$I$71,MATCH($B1475,SEMANAS!$B$6:$B$71,0)),0)</f>
        <v>47.11</v>
      </c>
      <c r="V1475" s="18" t="n">
        <f aca="false">IFERROR(INDEX(SEMANAS!$J$6:$J$71,MATCH($B1475,SEMANAS!$B$6:$B$71,0)),0)</f>
        <v>37.688</v>
      </c>
      <c r="W1475" s="18" t="n">
        <f aca="false">MAX(0,$T1475-$V1475)</f>
        <v>0</v>
      </c>
      <c r="X1475" s="19" t="n">
        <f aca="false">IFERROR(INDEX(CADASTRO_PIVOS!$K$6:$K$41,MATCH($E1475,CADASTRO_PIVOS!$B$6:$B$41,0)),EFICIENCIA_PADRAO)</f>
        <v>0.85</v>
      </c>
      <c r="Y1475" s="18" t="n">
        <f aca="false">IF($X1475&lt;=0,0,$W1475/$X1475)</f>
        <v>0</v>
      </c>
      <c r="Z1475" s="16" t="n">
        <f aca="false">$Y1475*$H1475*MM_PARA_M3_HA</f>
        <v>0</v>
      </c>
      <c r="AA1475" s="18" t="n">
        <f aca="false">IFERROR(INDEX(CADASTRO_PIVOS!$I$6:$I$41,MATCH($E1475,CADASTRO_PIVOS!$B$6:$B$41,0)),0)</f>
        <v>1071</v>
      </c>
      <c r="AB1475" s="18" t="n">
        <f aca="false">IF($Z1475&lt;=0,0,$Z1475/$AA1475)</f>
        <v>0</v>
      </c>
      <c r="AC1475" s="16" t="n">
        <f aca="false">IFERROR(INDEX(SEMANAS!$K$6:$K$71,MATCH($B1475,SEMANAS!$B$6:$B$71,0)),0)</f>
        <v>147</v>
      </c>
      <c r="AD1475" s="19" t="n">
        <f aca="false">IF($AC1475&lt;=0,0,$AB1475/$AC1475)</f>
        <v>0</v>
      </c>
      <c r="AE1475" s="8" t="str">
        <f aca="false">IF($K1475="SEM CULTURA","SEM CULTURA",IF($AA1475&lt;=0,"DADO PENDENTE",IF($AD1475&gt;LIMITE_CRITICO,"INVIAVEL",IF($AD1475&gt;LIMITE_ATENCAO,"CRITICO",IF($AD1475&gt;LIMITE_CONFORTAVEL,"ATENCAO","OK")))))</f>
        <v>OK</v>
      </c>
      <c r="AF1475" s="8" t="str">
        <f aca="false">$B1475&amp;"|"&amp;TEXT($AD1475,"0.000000")</f>
        <v>18|0.000000</v>
      </c>
      <c r="AG1475" s="18" t="n">
        <f aca="false">IF($K1475="SEM CULTURA",0,$T1475*$H1475)</f>
        <v>1742.3028</v>
      </c>
      <c r="AH1475" s="18" t="n">
        <f aca="false">IF($K1475="SEM CULTURA",0,$V1475*$H1475)</f>
        <v>5650.93872</v>
      </c>
      <c r="AI1475" s="18" t="n">
        <f aca="false">IF($K1475="SEM CULTURA",0,$W1475*$H1475)</f>
        <v>0</v>
      </c>
      <c r="AJ1475" s="18" t="n">
        <f aca="false">IF($K1475="SEM CULTURA",0,$S1475*$H1475)</f>
        <v>4978.008</v>
      </c>
      <c r="AK1475" s="8" t="str">
        <f aca="false">$E1475&amp;"|"&amp;TEXT($AD1475,"0.000000")</f>
        <v>PV 130|0.000000</v>
      </c>
    </row>
    <row r="1476" customFormat="false" ht="15" hidden="false" customHeight="false" outlineLevel="0" collapsed="false">
      <c r="B1476" s="16" t="n">
        <v>19</v>
      </c>
      <c r="C1476" s="17" t="n">
        <f aca="false">DATA_INICIO_SAFRA+($B1476-1)*DIAS_POR_SEMANA</f>
        <v>46391</v>
      </c>
      <c r="D1476" s="17" t="n">
        <f aca="false">$C1476+DIAS_POR_SEMANA-1</f>
        <v>46397</v>
      </c>
      <c r="E1476" s="15" t="s">
        <v>281</v>
      </c>
      <c r="F1476" s="8" t="str">
        <f aca="false">IFERROR(INDEX(CADASTRO_PIVOS!$C$6:$C$41,MATCH($E1476,CADASTRO_PIVOS!$B$6:$B$41,0)),"?")</f>
        <v>RM06</v>
      </c>
      <c r="G1476" s="8" t="str">
        <f aca="false">IFERROR(INDEX(CADASTRO_PIVOS!$D$6:$D$41,MATCH($E1476,CADASTRO_PIVOS!$B$6:$B$41,0)),"?")</f>
        <v>TR06</v>
      </c>
      <c r="H1476" s="20" t="n">
        <f aca="false">IFERROR(INDEX(CADASTRO_PIVOS!$E$6:$E$41,MATCH($E1476,CADASTRO_PIVOS!$B$6:$B$41,0)),0)</f>
        <v>149.94</v>
      </c>
      <c r="I1476" s="16" t="n">
        <f aca="false">IFERROR(SUMIFS(ROTACAO_RDM!$B$6:$B$71,ROTACAO_RDM!$D$6:$D$71,$E1476,ROTACAO_RDM!$I$6:$I$71,"&lt;="&amp;$C1476+INT(DIAS_POR_SEMANA/2),ROTACAO_RDM!$J$6:$J$71,"&gt;="&amp;$C1476+INT(DIAS_POR_SEMANA/2)),0)</f>
        <v>58</v>
      </c>
      <c r="J1476" s="16" t="n">
        <f aca="false">IFERROR(MATCH($I1476,ROTACAO_RDM!$B$6:$B$71,0),0)</f>
        <v>58</v>
      </c>
      <c r="K1476" s="8" t="str">
        <f aca="false">IF($J1476=0,"SEM CULTURA",INDEX(ROTACAO_RDM!$F$6:$F$71,$J1476))</f>
        <v>ALGODAO</v>
      </c>
      <c r="L1476" s="8" t="str">
        <f aca="false">IF($J1476=0,"",INDEX(ROTACAO_RDM!$G$6:$G$71,$J1476))</f>
        <v>IMA 3764 B2RF</v>
      </c>
      <c r="M1476" s="17" t="n">
        <f aca="false">IF($J1476=0,"",INDEX(ROTACAO_RDM!$I$6:$I$71,$J1476))</f>
        <v>46358</v>
      </c>
      <c r="N1476" s="16" t="n">
        <f aca="false">IF($J1476=0,0,MAX(0,$C1476+INT(DIAS_POR_SEMANA/2)-INDEX(ROTACAO_RDM!$I$6:$I$71,$J1476)))</f>
        <v>36</v>
      </c>
      <c r="O1476" s="19" t="n">
        <f aca="false">IF($J1476=0,0,MIN(1,$N1476/MAX(1,INDEX(ROTACAO_RDM!$K$6:$K$71,$J1476))))</f>
        <v>0.171428571428571</v>
      </c>
      <c r="P1476" s="16" t="n">
        <f aca="false">IF($J1476=0,0,IFERROR(MATCH(INDEX(ROTACAO_RDM!$N$6:$N$71,$J1476),PARAMETROS_CULTURAS!$B$6:$B$28,0),0))</f>
        <v>6</v>
      </c>
      <c r="Q1476" s="8" t="str">
        <f aca="false">IF($P1476=0,"-",IF($O1476&lt;=INDEX(PARAMETROS_CULTURAS!$F$6:$F$28,$P1476),"INICIAL",IF($O1476&lt;=INDEX(PARAMETROS_CULTURAS!$F$6:$F$28,$P1476)+INDEX(PARAMETROS_CULTURAS!$G$6:$G$28,$P1476),"DESENVOLVIMENTO",IF($O1476&lt;=INDEX(PARAMETROS_CULTURAS!$F$6:$F$28,$P1476)+INDEX(PARAMETROS_CULTURAS!$G$6:$G$28,$P1476)+INDEX(PARAMETROS_CULTURAS!$H$6:$H$28,$P1476),"MEDIA","FINAL"))))</f>
        <v>DESENVOLVIMENTO</v>
      </c>
      <c r="R1476" s="24" t="n">
        <f aca="false">IF($P1476=0,0,IF($O1476&lt;=INDEX(PARAMETROS_CULTURAS!$F$6:$F$28,$P1476),INDEX(PARAMETROS_CULTURAS!$K$6:$K$28,$P1476),IF($O1476&lt;=INDEX(PARAMETROS_CULTURAS!$F$6:$F$28,$P1476)+INDEX(PARAMETROS_CULTURAS!$G$6:$G$28,$P1476),INDEX(PARAMETROS_CULTURAS!$K$6:$K$28,$P1476)+(INDEX(PARAMETROS_CULTURAS!$L$6:$L$28,$P1476)-INDEX(PARAMETROS_CULTURAS!$K$6:$K$28,$P1476))*($O1476-INDEX(PARAMETROS_CULTURAS!$F$6:$F$28,$P1476))/MAX(INDEX(PARAMETROS_CULTURAS!$G$6:$G$28,$P1476),0.0001),IF($O1476&lt;=INDEX(PARAMETROS_CULTURAS!$F$6:$F$28,$P1476)+INDEX(PARAMETROS_CULTURAS!$G$6:$G$28,$P1476)+INDEX(PARAMETROS_CULTURAS!$H$6:$H$28,$P1476),INDEX(PARAMETROS_CULTURAS!$L$6:$L$28,$P1476),INDEX(PARAMETROS_CULTURAS!$L$6:$L$28,$P1476)+(INDEX(PARAMETROS_CULTURAS!$M$6:$M$28,$P1476)-INDEX(PARAMETROS_CULTURAS!$L$6:$L$28,$P1476))*($O1476-INDEX(PARAMETROS_CULTURAS!$F$6:$F$28,$P1476)-INDEX(PARAMETROS_CULTURAS!$G$6:$G$28,$P1476)-INDEX(PARAMETROS_CULTURAS!$H$6:$H$28,$P1476))/MAX(INDEX(PARAMETROS_CULTURAS!$I$6:$I$28,$P1476),0.0001)))))</f>
        <v>0.454761904761905</v>
      </c>
      <c r="S1476" s="18" t="n">
        <f aca="false">IFERROR(INDEX(SEMANAS!$H$6:$H$71,MATCH($B1476,SEMANAS!$B$6:$B$71,0)),0)</f>
        <v>33.6</v>
      </c>
      <c r="T1476" s="18" t="n">
        <f aca="false">$R1476*$S1476</f>
        <v>15.28</v>
      </c>
      <c r="U1476" s="18" t="n">
        <f aca="false">IFERROR(INDEX(SEMANAS!$I$6:$I$71,MATCH($B1476,SEMANAS!$B$6:$B$71,0)),0)</f>
        <v>45.15</v>
      </c>
      <c r="V1476" s="18" t="n">
        <f aca="false">IFERROR(INDEX(SEMANAS!$J$6:$J$71,MATCH($B1476,SEMANAS!$B$6:$B$71,0)),0)</f>
        <v>36.12</v>
      </c>
      <c r="W1476" s="18" t="n">
        <f aca="false">MAX(0,$T1476-$V1476)</f>
        <v>0</v>
      </c>
      <c r="X1476" s="19" t="n">
        <f aca="false">IFERROR(INDEX(CADASTRO_PIVOS!$K$6:$K$41,MATCH($E1476,CADASTRO_PIVOS!$B$6:$B$41,0)),EFICIENCIA_PADRAO)</f>
        <v>0.85</v>
      </c>
      <c r="Y1476" s="18" t="n">
        <f aca="false">IF($X1476&lt;=0,0,$W1476/$X1476)</f>
        <v>0</v>
      </c>
      <c r="Z1476" s="16" t="n">
        <f aca="false">$Y1476*$H1476*MM_PARA_M3_HA</f>
        <v>0</v>
      </c>
      <c r="AA1476" s="18" t="n">
        <f aca="false">IFERROR(INDEX(CADASTRO_PIVOS!$I$6:$I$41,MATCH($E1476,CADASTRO_PIVOS!$B$6:$B$41,0)),0)</f>
        <v>1071</v>
      </c>
      <c r="AB1476" s="18" t="n">
        <f aca="false">IF($Z1476&lt;=0,0,$Z1476/$AA1476)</f>
        <v>0</v>
      </c>
      <c r="AC1476" s="16" t="n">
        <f aca="false">IFERROR(INDEX(SEMANAS!$K$6:$K$71,MATCH($B1476,SEMANAS!$B$6:$B$71,0)),0)</f>
        <v>147</v>
      </c>
      <c r="AD1476" s="19" t="n">
        <f aca="false">IF($AC1476&lt;=0,0,$AB1476/$AC1476)</f>
        <v>0</v>
      </c>
      <c r="AE1476" s="8" t="str">
        <f aca="false">IF($K1476="SEM CULTURA","SEM CULTURA",IF($AA1476&lt;=0,"DADO PENDENTE",IF($AD1476&gt;LIMITE_CRITICO,"INVIAVEL",IF($AD1476&gt;LIMITE_ATENCAO,"CRITICO",IF($AD1476&gt;LIMITE_CONFORTAVEL,"ATENCAO","OK")))))</f>
        <v>OK</v>
      </c>
      <c r="AF1476" s="8" t="str">
        <f aca="false">$B1476&amp;"|"&amp;TEXT($AD1476,"0.000000")</f>
        <v>19|0.000000</v>
      </c>
      <c r="AG1476" s="18" t="n">
        <f aca="false">IF($K1476="SEM CULTURA",0,$T1476*$H1476)</f>
        <v>2291.0832</v>
      </c>
      <c r="AH1476" s="18" t="n">
        <f aca="false">IF($K1476="SEM CULTURA",0,$V1476*$H1476)</f>
        <v>5415.8328</v>
      </c>
      <c r="AI1476" s="18" t="n">
        <f aca="false">IF($K1476="SEM CULTURA",0,$W1476*$H1476)</f>
        <v>0</v>
      </c>
      <c r="AJ1476" s="18" t="n">
        <f aca="false">IF($K1476="SEM CULTURA",0,$S1476*$H1476)</f>
        <v>5037.984</v>
      </c>
      <c r="AK1476" s="8" t="str">
        <f aca="false">$E1476&amp;"|"&amp;TEXT($AD1476,"0.000000")</f>
        <v>PV 130|0.000000</v>
      </c>
    </row>
    <row r="1477" customFormat="false" ht="15" hidden="false" customHeight="false" outlineLevel="0" collapsed="false">
      <c r="B1477" s="16" t="n">
        <v>20</v>
      </c>
      <c r="C1477" s="17" t="n">
        <f aca="false">DATA_INICIO_SAFRA+($B1477-1)*DIAS_POR_SEMANA</f>
        <v>46398</v>
      </c>
      <c r="D1477" s="17" t="n">
        <f aca="false">$C1477+DIAS_POR_SEMANA-1</f>
        <v>46404</v>
      </c>
      <c r="E1477" s="15" t="s">
        <v>281</v>
      </c>
      <c r="F1477" s="8" t="str">
        <f aca="false">IFERROR(INDEX(CADASTRO_PIVOS!$C$6:$C$41,MATCH($E1477,CADASTRO_PIVOS!$B$6:$B$41,0)),"?")</f>
        <v>RM06</v>
      </c>
      <c r="G1477" s="8" t="str">
        <f aca="false">IFERROR(INDEX(CADASTRO_PIVOS!$D$6:$D$41,MATCH($E1477,CADASTRO_PIVOS!$B$6:$B$41,0)),"?")</f>
        <v>TR06</v>
      </c>
      <c r="H1477" s="20" t="n">
        <f aca="false">IFERROR(INDEX(CADASTRO_PIVOS!$E$6:$E$41,MATCH($E1477,CADASTRO_PIVOS!$B$6:$B$41,0)),0)</f>
        <v>149.94</v>
      </c>
      <c r="I1477" s="16" t="n">
        <f aca="false">IFERROR(SUMIFS(ROTACAO_RDM!$B$6:$B$71,ROTACAO_RDM!$D$6:$D$71,$E1477,ROTACAO_RDM!$I$6:$I$71,"&lt;="&amp;$C1477+INT(DIAS_POR_SEMANA/2),ROTACAO_RDM!$J$6:$J$71,"&gt;="&amp;$C1477+INT(DIAS_POR_SEMANA/2)),0)</f>
        <v>58</v>
      </c>
      <c r="J1477" s="16" t="n">
        <f aca="false">IFERROR(MATCH($I1477,ROTACAO_RDM!$B$6:$B$71,0),0)</f>
        <v>58</v>
      </c>
      <c r="K1477" s="8" t="str">
        <f aca="false">IF($J1477=0,"SEM CULTURA",INDEX(ROTACAO_RDM!$F$6:$F$71,$J1477))</f>
        <v>ALGODAO</v>
      </c>
      <c r="L1477" s="8" t="str">
        <f aca="false">IF($J1477=0,"",INDEX(ROTACAO_RDM!$G$6:$G$71,$J1477))</f>
        <v>IMA 3764 B2RF</v>
      </c>
      <c r="M1477" s="17" t="n">
        <f aca="false">IF($J1477=0,"",INDEX(ROTACAO_RDM!$I$6:$I$71,$J1477))</f>
        <v>46358</v>
      </c>
      <c r="N1477" s="16" t="n">
        <f aca="false">IF($J1477=0,0,MAX(0,$C1477+INT(DIAS_POR_SEMANA/2)-INDEX(ROTACAO_RDM!$I$6:$I$71,$J1477)))</f>
        <v>43</v>
      </c>
      <c r="O1477" s="19" t="n">
        <f aca="false">IF($J1477=0,0,MIN(1,$N1477/MAX(1,INDEX(ROTACAO_RDM!$K$6:$K$71,$J1477))))</f>
        <v>0.204761904761905</v>
      </c>
      <c r="P1477" s="16" t="n">
        <f aca="false">IF($J1477=0,0,IFERROR(MATCH(INDEX(ROTACAO_RDM!$N$6:$N$71,$J1477),PARAMETROS_CULTURAS!$B$6:$B$28,0),0))</f>
        <v>6</v>
      </c>
      <c r="Q1477" s="8" t="str">
        <f aca="false">IF($P1477=0,"-",IF($O1477&lt;=INDEX(PARAMETROS_CULTURAS!$F$6:$F$28,$P1477),"INICIAL",IF($O1477&lt;=INDEX(PARAMETROS_CULTURAS!$F$6:$F$28,$P1477)+INDEX(PARAMETROS_CULTURAS!$G$6:$G$28,$P1477),"DESENVOLVIMENTO",IF($O1477&lt;=INDEX(PARAMETROS_CULTURAS!$F$6:$F$28,$P1477)+INDEX(PARAMETROS_CULTURAS!$G$6:$G$28,$P1477)+INDEX(PARAMETROS_CULTURAS!$H$6:$H$28,$P1477),"MEDIA","FINAL"))))</f>
        <v>DESENVOLVIMENTO</v>
      </c>
      <c r="R1477" s="24" t="n">
        <f aca="false">IF($P1477=0,0,IF($O1477&lt;=INDEX(PARAMETROS_CULTURAS!$F$6:$F$28,$P1477),INDEX(PARAMETROS_CULTURAS!$K$6:$K$28,$P1477),IF($O1477&lt;=INDEX(PARAMETROS_CULTURAS!$F$6:$F$28,$P1477)+INDEX(PARAMETROS_CULTURAS!$G$6:$G$28,$P1477),INDEX(PARAMETROS_CULTURAS!$K$6:$K$28,$P1477)+(INDEX(PARAMETROS_CULTURAS!$L$6:$L$28,$P1477)-INDEX(PARAMETROS_CULTURAS!$K$6:$K$28,$P1477))*($O1477-INDEX(PARAMETROS_CULTURAS!$F$6:$F$28,$P1477))/MAX(INDEX(PARAMETROS_CULTURAS!$G$6:$G$28,$P1477),0.0001),IF($O1477&lt;=INDEX(PARAMETROS_CULTURAS!$F$6:$F$28,$P1477)+INDEX(PARAMETROS_CULTURAS!$G$6:$G$28,$P1477)+INDEX(PARAMETROS_CULTURAS!$H$6:$H$28,$P1477),INDEX(PARAMETROS_CULTURAS!$L$6:$L$28,$P1477),INDEX(PARAMETROS_CULTURAS!$L$6:$L$28,$P1477)+(INDEX(PARAMETROS_CULTURAS!$M$6:$M$28,$P1477)-INDEX(PARAMETROS_CULTURAS!$L$6:$L$28,$P1477))*($O1477-INDEX(PARAMETROS_CULTURAS!$F$6:$F$28,$P1477)-INDEX(PARAMETROS_CULTURAS!$G$6:$G$28,$P1477)-INDEX(PARAMETROS_CULTURAS!$H$6:$H$28,$P1477))/MAX(INDEX(PARAMETROS_CULTURAS!$I$6:$I$28,$P1477),0.0001)))))</f>
        <v>0.565873015873016</v>
      </c>
      <c r="S1477" s="18" t="n">
        <f aca="false">IFERROR(INDEX(SEMANAS!$H$6:$H$71,MATCH($B1477,SEMANAS!$B$6:$B$71,0)),0)</f>
        <v>33.6</v>
      </c>
      <c r="T1477" s="18" t="n">
        <f aca="false">$R1477*$S1477</f>
        <v>19.0133333333333</v>
      </c>
      <c r="U1477" s="18" t="n">
        <f aca="false">IFERROR(INDEX(SEMANAS!$I$6:$I$71,MATCH($B1477,SEMANAS!$B$6:$B$71,0)),0)</f>
        <v>45.15</v>
      </c>
      <c r="V1477" s="18" t="n">
        <f aca="false">IFERROR(INDEX(SEMANAS!$J$6:$J$71,MATCH($B1477,SEMANAS!$B$6:$B$71,0)),0)</f>
        <v>36.12</v>
      </c>
      <c r="W1477" s="18" t="n">
        <f aca="false">MAX(0,$T1477-$V1477)</f>
        <v>0</v>
      </c>
      <c r="X1477" s="19" t="n">
        <f aca="false">IFERROR(INDEX(CADASTRO_PIVOS!$K$6:$K$41,MATCH($E1477,CADASTRO_PIVOS!$B$6:$B$41,0)),EFICIENCIA_PADRAO)</f>
        <v>0.85</v>
      </c>
      <c r="Y1477" s="18" t="n">
        <f aca="false">IF($X1477&lt;=0,0,$W1477/$X1477)</f>
        <v>0</v>
      </c>
      <c r="Z1477" s="16" t="n">
        <f aca="false">$Y1477*$H1477*MM_PARA_M3_HA</f>
        <v>0</v>
      </c>
      <c r="AA1477" s="18" t="n">
        <f aca="false">IFERROR(INDEX(CADASTRO_PIVOS!$I$6:$I$41,MATCH($E1477,CADASTRO_PIVOS!$B$6:$B$41,0)),0)</f>
        <v>1071</v>
      </c>
      <c r="AB1477" s="18" t="n">
        <f aca="false">IF($Z1477&lt;=0,0,$Z1477/$AA1477)</f>
        <v>0</v>
      </c>
      <c r="AC1477" s="16" t="n">
        <f aca="false">IFERROR(INDEX(SEMANAS!$K$6:$K$71,MATCH($B1477,SEMANAS!$B$6:$B$71,0)),0)</f>
        <v>147</v>
      </c>
      <c r="AD1477" s="19" t="n">
        <f aca="false">IF($AC1477&lt;=0,0,$AB1477/$AC1477)</f>
        <v>0</v>
      </c>
      <c r="AE1477" s="8" t="str">
        <f aca="false">IF($K1477="SEM CULTURA","SEM CULTURA",IF($AA1477&lt;=0,"DADO PENDENTE",IF($AD1477&gt;LIMITE_CRITICO,"INVIAVEL",IF($AD1477&gt;LIMITE_ATENCAO,"CRITICO",IF($AD1477&gt;LIMITE_CONFORTAVEL,"ATENCAO","OK")))))</f>
        <v>OK</v>
      </c>
      <c r="AF1477" s="8" t="str">
        <f aca="false">$B1477&amp;"|"&amp;TEXT($AD1477,"0.000000")</f>
        <v>20|0.000000</v>
      </c>
      <c r="AG1477" s="18" t="n">
        <f aca="false">IF($K1477="SEM CULTURA",0,$T1477*$H1477)</f>
        <v>2850.8592</v>
      </c>
      <c r="AH1477" s="18" t="n">
        <f aca="false">IF($K1477="SEM CULTURA",0,$V1477*$H1477)</f>
        <v>5415.8328</v>
      </c>
      <c r="AI1477" s="18" t="n">
        <f aca="false">IF($K1477="SEM CULTURA",0,$W1477*$H1477)</f>
        <v>0</v>
      </c>
      <c r="AJ1477" s="18" t="n">
        <f aca="false">IF($K1477="SEM CULTURA",0,$S1477*$H1477)</f>
        <v>5037.984</v>
      </c>
      <c r="AK1477" s="8" t="str">
        <f aca="false">$E1477&amp;"|"&amp;TEXT($AD1477,"0.000000")</f>
        <v>PV 130|0.000000</v>
      </c>
    </row>
    <row r="1478" customFormat="false" ht="15" hidden="false" customHeight="false" outlineLevel="0" collapsed="false">
      <c r="B1478" s="16" t="n">
        <v>21</v>
      </c>
      <c r="C1478" s="17" t="n">
        <f aca="false">DATA_INICIO_SAFRA+($B1478-1)*DIAS_POR_SEMANA</f>
        <v>46405</v>
      </c>
      <c r="D1478" s="17" t="n">
        <f aca="false">$C1478+DIAS_POR_SEMANA-1</f>
        <v>46411</v>
      </c>
      <c r="E1478" s="15" t="s">
        <v>281</v>
      </c>
      <c r="F1478" s="8" t="str">
        <f aca="false">IFERROR(INDEX(CADASTRO_PIVOS!$C$6:$C$41,MATCH($E1478,CADASTRO_PIVOS!$B$6:$B$41,0)),"?")</f>
        <v>RM06</v>
      </c>
      <c r="G1478" s="8" t="str">
        <f aca="false">IFERROR(INDEX(CADASTRO_PIVOS!$D$6:$D$41,MATCH($E1478,CADASTRO_PIVOS!$B$6:$B$41,0)),"?")</f>
        <v>TR06</v>
      </c>
      <c r="H1478" s="20" t="n">
        <f aca="false">IFERROR(INDEX(CADASTRO_PIVOS!$E$6:$E$41,MATCH($E1478,CADASTRO_PIVOS!$B$6:$B$41,0)),0)</f>
        <v>149.94</v>
      </c>
      <c r="I1478" s="16" t="n">
        <f aca="false">IFERROR(SUMIFS(ROTACAO_RDM!$B$6:$B$71,ROTACAO_RDM!$D$6:$D$71,$E1478,ROTACAO_RDM!$I$6:$I$71,"&lt;="&amp;$C1478+INT(DIAS_POR_SEMANA/2),ROTACAO_RDM!$J$6:$J$71,"&gt;="&amp;$C1478+INT(DIAS_POR_SEMANA/2)),0)</f>
        <v>58</v>
      </c>
      <c r="J1478" s="16" t="n">
        <f aca="false">IFERROR(MATCH($I1478,ROTACAO_RDM!$B$6:$B$71,0),0)</f>
        <v>58</v>
      </c>
      <c r="K1478" s="8" t="str">
        <f aca="false">IF($J1478=0,"SEM CULTURA",INDEX(ROTACAO_RDM!$F$6:$F$71,$J1478))</f>
        <v>ALGODAO</v>
      </c>
      <c r="L1478" s="8" t="str">
        <f aca="false">IF($J1478=0,"",INDEX(ROTACAO_RDM!$G$6:$G$71,$J1478))</f>
        <v>IMA 3764 B2RF</v>
      </c>
      <c r="M1478" s="17" t="n">
        <f aca="false">IF($J1478=0,"",INDEX(ROTACAO_RDM!$I$6:$I$71,$J1478))</f>
        <v>46358</v>
      </c>
      <c r="N1478" s="16" t="n">
        <f aca="false">IF($J1478=0,0,MAX(0,$C1478+INT(DIAS_POR_SEMANA/2)-INDEX(ROTACAO_RDM!$I$6:$I$71,$J1478)))</f>
        <v>50</v>
      </c>
      <c r="O1478" s="19" t="n">
        <f aca="false">IF($J1478=0,0,MIN(1,$N1478/MAX(1,INDEX(ROTACAO_RDM!$K$6:$K$71,$J1478))))</f>
        <v>0.238095238095238</v>
      </c>
      <c r="P1478" s="16" t="n">
        <f aca="false">IF($J1478=0,0,IFERROR(MATCH(INDEX(ROTACAO_RDM!$N$6:$N$71,$J1478),PARAMETROS_CULTURAS!$B$6:$B$28,0),0))</f>
        <v>6</v>
      </c>
      <c r="Q1478" s="8" t="str">
        <f aca="false">IF($P1478=0,"-",IF($O1478&lt;=INDEX(PARAMETROS_CULTURAS!$F$6:$F$28,$P1478),"INICIAL",IF($O1478&lt;=INDEX(PARAMETROS_CULTURAS!$F$6:$F$28,$P1478)+INDEX(PARAMETROS_CULTURAS!$G$6:$G$28,$P1478),"DESENVOLVIMENTO",IF($O1478&lt;=INDEX(PARAMETROS_CULTURAS!$F$6:$F$28,$P1478)+INDEX(PARAMETROS_CULTURAS!$G$6:$G$28,$P1478)+INDEX(PARAMETROS_CULTURAS!$H$6:$H$28,$P1478),"MEDIA","FINAL"))))</f>
        <v>DESENVOLVIMENTO</v>
      </c>
      <c r="R1478" s="24" t="n">
        <f aca="false">IF($P1478=0,0,IF($O1478&lt;=INDEX(PARAMETROS_CULTURAS!$F$6:$F$28,$P1478),INDEX(PARAMETROS_CULTURAS!$K$6:$K$28,$P1478),IF($O1478&lt;=INDEX(PARAMETROS_CULTURAS!$F$6:$F$28,$P1478)+INDEX(PARAMETROS_CULTURAS!$G$6:$G$28,$P1478),INDEX(PARAMETROS_CULTURAS!$K$6:$K$28,$P1478)+(INDEX(PARAMETROS_CULTURAS!$L$6:$L$28,$P1478)-INDEX(PARAMETROS_CULTURAS!$K$6:$K$28,$P1478))*($O1478-INDEX(PARAMETROS_CULTURAS!$F$6:$F$28,$P1478))/MAX(INDEX(PARAMETROS_CULTURAS!$G$6:$G$28,$P1478),0.0001),IF($O1478&lt;=INDEX(PARAMETROS_CULTURAS!$F$6:$F$28,$P1478)+INDEX(PARAMETROS_CULTURAS!$G$6:$G$28,$P1478)+INDEX(PARAMETROS_CULTURAS!$H$6:$H$28,$P1478),INDEX(PARAMETROS_CULTURAS!$L$6:$L$28,$P1478),INDEX(PARAMETROS_CULTURAS!$L$6:$L$28,$P1478)+(INDEX(PARAMETROS_CULTURAS!$M$6:$M$28,$P1478)-INDEX(PARAMETROS_CULTURAS!$L$6:$L$28,$P1478))*($O1478-INDEX(PARAMETROS_CULTURAS!$F$6:$F$28,$P1478)-INDEX(PARAMETROS_CULTURAS!$G$6:$G$28,$P1478)-INDEX(PARAMETROS_CULTURAS!$H$6:$H$28,$P1478))/MAX(INDEX(PARAMETROS_CULTURAS!$I$6:$I$28,$P1478),0.0001)))))</f>
        <v>0.676984126984127</v>
      </c>
      <c r="S1478" s="18" t="n">
        <f aca="false">IFERROR(INDEX(SEMANAS!$H$6:$H$71,MATCH($B1478,SEMANAS!$B$6:$B$71,0)),0)</f>
        <v>33.6</v>
      </c>
      <c r="T1478" s="18" t="n">
        <f aca="false">$R1478*$S1478</f>
        <v>22.7466666666667</v>
      </c>
      <c r="U1478" s="18" t="n">
        <f aca="false">IFERROR(INDEX(SEMANAS!$I$6:$I$71,MATCH($B1478,SEMANAS!$B$6:$B$71,0)),0)</f>
        <v>45.15</v>
      </c>
      <c r="V1478" s="18" t="n">
        <f aca="false">IFERROR(INDEX(SEMANAS!$J$6:$J$71,MATCH($B1478,SEMANAS!$B$6:$B$71,0)),0)</f>
        <v>36.12</v>
      </c>
      <c r="W1478" s="18" t="n">
        <f aca="false">MAX(0,$T1478-$V1478)</f>
        <v>0</v>
      </c>
      <c r="X1478" s="19" t="n">
        <f aca="false">IFERROR(INDEX(CADASTRO_PIVOS!$K$6:$K$41,MATCH($E1478,CADASTRO_PIVOS!$B$6:$B$41,0)),EFICIENCIA_PADRAO)</f>
        <v>0.85</v>
      </c>
      <c r="Y1478" s="18" t="n">
        <f aca="false">IF($X1478&lt;=0,0,$W1478/$X1478)</f>
        <v>0</v>
      </c>
      <c r="Z1478" s="16" t="n">
        <f aca="false">$Y1478*$H1478*MM_PARA_M3_HA</f>
        <v>0</v>
      </c>
      <c r="AA1478" s="18" t="n">
        <f aca="false">IFERROR(INDEX(CADASTRO_PIVOS!$I$6:$I$41,MATCH($E1478,CADASTRO_PIVOS!$B$6:$B$41,0)),0)</f>
        <v>1071</v>
      </c>
      <c r="AB1478" s="18" t="n">
        <f aca="false">IF($Z1478&lt;=0,0,$Z1478/$AA1478)</f>
        <v>0</v>
      </c>
      <c r="AC1478" s="16" t="n">
        <f aca="false">IFERROR(INDEX(SEMANAS!$K$6:$K$71,MATCH($B1478,SEMANAS!$B$6:$B$71,0)),0)</f>
        <v>147</v>
      </c>
      <c r="AD1478" s="19" t="n">
        <f aca="false">IF($AC1478&lt;=0,0,$AB1478/$AC1478)</f>
        <v>0</v>
      </c>
      <c r="AE1478" s="8" t="str">
        <f aca="false">IF($K1478="SEM CULTURA","SEM CULTURA",IF($AA1478&lt;=0,"DADO PENDENTE",IF($AD1478&gt;LIMITE_CRITICO,"INVIAVEL",IF($AD1478&gt;LIMITE_ATENCAO,"CRITICO",IF($AD1478&gt;LIMITE_CONFORTAVEL,"ATENCAO","OK")))))</f>
        <v>OK</v>
      </c>
      <c r="AF1478" s="8" t="str">
        <f aca="false">$B1478&amp;"|"&amp;TEXT($AD1478,"0.000000")</f>
        <v>21|0.000000</v>
      </c>
      <c r="AG1478" s="18" t="n">
        <f aca="false">IF($K1478="SEM CULTURA",0,$T1478*$H1478)</f>
        <v>3410.6352</v>
      </c>
      <c r="AH1478" s="18" t="n">
        <f aca="false">IF($K1478="SEM CULTURA",0,$V1478*$H1478)</f>
        <v>5415.8328</v>
      </c>
      <c r="AI1478" s="18" t="n">
        <f aca="false">IF($K1478="SEM CULTURA",0,$W1478*$H1478)</f>
        <v>0</v>
      </c>
      <c r="AJ1478" s="18" t="n">
        <f aca="false">IF($K1478="SEM CULTURA",0,$S1478*$H1478)</f>
        <v>5037.984</v>
      </c>
      <c r="AK1478" s="8" t="str">
        <f aca="false">$E1478&amp;"|"&amp;TEXT($AD1478,"0.000000")</f>
        <v>PV 130|0.000000</v>
      </c>
    </row>
    <row r="1479" customFormat="false" ht="15" hidden="false" customHeight="false" outlineLevel="0" collapsed="false">
      <c r="B1479" s="16" t="n">
        <v>22</v>
      </c>
      <c r="C1479" s="17" t="n">
        <f aca="false">DATA_INICIO_SAFRA+($B1479-1)*DIAS_POR_SEMANA</f>
        <v>46412</v>
      </c>
      <c r="D1479" s="17" t="n">
        <f aca="false">$C1479+DIAS_POR_SEMANA-1</f>
        <v>46418</v>
      </c>
      <c r="E1479" s="15" t="s">
        <v>281</v>
      </c>
      <c r="F1479" s="8" t="str">
        <f aca="false">IFERROR(INDEX(CADASTRO_PIVOS!$C$6:$C$41,MATCH($E1479,CADASTRO_PIVOS!$B$6:$B$41,0)),"?")</f>
        <v>RM06</v>
      </c>
      <c r="G1479" s="8" t="str">
        <f aca="false">IFERROR(INDEX(CADASTRO_PIVOS!$D$6:$D$41,MATCH($E1479,CADASTRO_PIVOS!$B$6:$B$41,0)),"?")</f>
        <v>TR06</v>
      </c>
      <c r="H1479" s="20" t="n">
        <f aca="false">IFERROR(INDEX(CADASTRO_PIVOS!$E$6:$E$41,MATCH($E1479,CADASTRO_PIVOS!$B$6:$B$41,0)),0)</f>
        <v>149.94</v>
      </c>
      <c r="I1479" s="16" t="n">
        <f aca="false">IFERROR(SUMIFS(ROTACAO_RDM!$B$6:$B$71,ROTACAO_RDM!$D$6:$D$71,$E1479,ROTACAO_RDM!$I$6:$I$71,"&lt;="&amp;$C1479+INT(DIAS_POR_SEMANA/2),ROTACAO_RDM!$J$6:$J$71,"&gt;="&amp;$C1479+INT(DIAS_POR_SEMANA/2)),0)</f>
        <v>58</v>
      </c>
      <c r="J1479" s="16" t="n">
        <f aca="false">IFERROR(MATCH($I1479,ROTACAO_RDM!$B$6:$B$71,0),0)</f>
        <v>58</v>
      </c>
      <c r="K1479" s="8" t="str">
        <f aca="false">IF($J1479=0,"SEM CULTURA",INDEX(ROTACAO_RDM!$F$6:$F$71,$J1479))</f>
        <v>ALGODAO</v>
      </c>
      <c r="L1479" s="8" t="str">
        <f aca="false">IF($J1479=0,"",INDEX(ROTACAO_RDM!$G$6:$G$71,$J1479))</f>
        <v>IMA 3764 B2RF</v>
      </c>
      <c r="M1479" s="17" t="n">
        <f aca="false">IF($J1479=0,"",INDEX(ROTACAO_RDM!$I$6:$I$71,$J1479))</f>
        <v>46358</v>
      </c>
      <c r="N1479" s="16" t="n">
        <f aca="false">IF($J1479=0,0,MAX(0,$C1479+INT(DIAS_POR_SEMANA/2)-INDEX(ROTACAO_RDM!$I$6:$I$71,$J1479)))</f>
        <v>57</v>
      </c>
      <c r="O1479" s="19" t="n">
        <f aca="false">IF($J1479=0,0,MIN(1,$N1479/MAX(1,INDEX(ROTACAO_RDM!$K$6:$K$71,$J1479))))</f>
        <v>0.271428571428571</v>
      </c>
      <c r="P1479" s="16" t="n">
        <f aca="false">IF($J1479=0,0,IFERROR(MATCH(INDEX(ROTACAO_RDM!$N$6:$N$71,$J1479),PARAMETROS_CULTURAS!$B$6:$B$28,0),0))</f>
        <v>6</v>
      </c>
      <c r="Q1479" s="8" t="str">
        <f aca="false">IF($P1479=0,"-",IF($O1479&lt;=INDEX(PARAMETROS_CULTURAS!$F$6:$F$28,$P1479),"INICIAL",IF($O1479&lt;=INDEX(PARAMETROS_CULTURAS!$F$6:$F$28,$P1479)+INDEX(PARAMETROS_CULTURAS!$G$6:$G$28,$P1479),"DESENVOLVIMENTO",IF($O1479&lt;=INDEX(PARAMETROS_CULTURAS!$F$6:$F$28,$P1479)+INDEX(PARAMETROS_CULTURAS!$G$6:$G$28,$P1479)+INDEX(PARAMETROS_CULTURAS!$H$6:$H$28,$P1479),"MEDIA","FINAL"))))</f>
        <v>DESENVOLVIMENTO</v>
      </c>
      <c r="R1479" s="24" t="n">
        <f aca="false">IF($P1479=0,0,IF($O1479&lt;=INDEX(PARAMETROS_CULTURAS!$F$6:$F$28,$P1479),INDEX(PARAMETROS_CULTURAS!$K$6:$K$28,$P1479),IF($O1479&lt;=INDEX(PARAMETROS_CULTURAS!$F$6:$F$28,$P1479)+INDEX(PARAMETROS_CULTURAS!$G$6:$G$28,$P1479),INDEX(PARAMETROS_CULTURAS!$K$6:$K$28,$P1479)+(INDEX(PARAMETROS_CULTURAS!$L$6:$L$28,$P1479)-INDEX(PARAMETROS_CULTURAS!$K$6:$K$28,$P1479))*($O1479-INDEX(PARAMETROS_CULTURAS!$F$6:$F$28,$P1479))/MAX(INDEX(PARAMETROS_CULTURAS!$G$6:$G$28,$P1479),0.0001),IF($O1479&lt;=INDEX(PARAMETROS_CULTURAS!$F$6:$F$28,$P1479)+INDEX(PARAMETROS_CULTURAS!$G$6:$G$28,$P1479)+INDEX(PARAMETROS_CULTURAS!$H$6:$H$28,$P1479),INDEX(PARAMETROS_CULTURAS!$L$6:$L$28,$P1479),INDEX(PARAMETROS_CULTURAS!$L$6:$L$28,$P1479)+(INDEX(PARAMETROS_CULTURAS!$M$6:$M$28,$P1479)-INDEX(PARAMETROS_CULTURAS!$L$6:$L$28,$P1479))*($O1479-INDEX(PARAMETROS_CULTURAS!$F$6:$F$28,$P1479)-INDEX(PARAMETROS_CULTURAS!$G$6:$G$28,$P1479)-INDEX(PARAMETROS_CULTURAS!$H$6:$H$28,$P1479))/MAX(INDEX(PARAMETROS_CULTURAS!$I$6:$I$28,$P1479),0.0001)))))</f>
        <v>0.788095238095238</v>
      </c>
      <c r="S1479" s="18" t="n">
        <f aca="false">IFERROR(INDEX(SEMANAS!$H$6:$H$71,MATCH($B1479,SEMANAS!$B$6:$B$71,0)),0)</f>
        <v>33.6</v>
      </c>
      <c r="T1479" s="18" t="n">
        <f aca="false">$R1479*$S1479</f>
        <v>26.48</v>
      </c>
      <c r="U1479" s="18" t="n">
        <f aca="false">IFERROR(INDEX(SEMANAS!$I$6:$I$71,MATCH($B1479,SEMANAS!$B$6:$B$71,0)),0)</f>
        <v>45.15</v>
      </c>
      <c r="V1479" s="18" t="n">
        <f aca="false">IFERROR(INDEX(SEMANAS!$J$6:$J$71,MATCH($B1479,SEMANAS!$B$6:$B$71,0)),0)</f>
        <v>36.12</v>
      </c>
      <c r="W1479" s="18" t="n">
        <f aca="false">MAX(0,$T1479-$V1479)</f>
        <v>0</v>
      </c>
      <c r="X1479" s="19" t="n">
        <f aca="false">IFERROR(INDEX(CADASTRO_PIVOS!$K$6:$K$41,MATCH($E1479,CADASTRO_PIVOS!$B$6:$B$41,0)),EFICIENCIA_PADRAO)</f>
        <v>0.85</v>
      </c>
      <c r="Y1479" s="18" t="n">
        <f aca="false">IF($X1479&lt;=0,0,$W1479/$X1479)</f>
        <v>0</v>
      </c>
      <c r="Z1479" s="16" t="n">
        <f aca="false">$Y1479*$H1479*MM_PARA_M3_HA</f>
        <v>0</v>
      </c>
      <c r="AA1479" s="18" t="n">
        <f aca="false">IFERROR(INDEX(CADASTRO_PIVOS!$I$6:$I$41,MATCH($E1479,CADASTRO_PIVOS!$B$6:$B$41,0)),0)</f>
        <v>1071</v>
      </c>
      <c r="AB1479" s="18" t="n">
        <f aca="false">IF($Z1479&lt;=0,0,$Z1479/$AA1479)</f>
        <v>0</v>
      </c>
      <c r="AC1479" s="16" t="n">
        <f aca="false">IFERROR(INDEX(SEMANAS!$K$6:$K$71,MATCH($B1479,SEMANAS!$B$6:$B$71,0)),0)</f>
        <v>147</v>
      </c>
      <c r="AD1479" s="19" t="n">
        <f aca="false">IF($AC1479&lt;=0,0,$AB1479/$AC1479)</f>
        <v>0</v>
      </c>
      <c r="AE1479" s="8" t="str">
        <f aca="false">IF($K1479="SEM CULTURA","SEM CULTURA",IF($AA1479&lt;=0,"DADO PENDENTE",IF($AD1479&gt;LIMITE_CRITICO,"INVIAVEL",IF($AD1479&gt;LIMITE_ATENCAO,"CRITICO",IF($AD1479&gt;LIMITE_CONFORTAVEL,"ATENCAO","OK")))))</f>
        <v>OK</v>
      </c>
      <c r="AF1479" s="8" t="str">
        <f aca="false">$B1479&amp;"|"&amp;TEXT($AD1479,"0.000000")</f>
        <v>22|0.000000</v>
      </c>
      <c r="AG1479" s="18" t="n">
        <f aca="false">IF($K1479="SEM CULTURA",0,$T1479*$H1479)</f>
        <v>3970.4112</v>
      </c>
      <c r="AH1479" s="18" t="n">
        <f aca="false">IF($K1479="SEM CULTURA",0,$V1479*$H1479)</f>
        <v>5415.8328</v>
      </c>
      <c r="AI1479" s="18" t="n">
        <f aca="false">IF($K1479="SEM CULTURA",0,$W1479*$H1479)</f>
        <v>0</v>
      </c>
      <c r="AJ1479" s="18" t="n">
        <f aca="false">IF($K1479="SEM CULTURA",0,$S1479*$H1479)</f>
        <v>5037.984</v>
      </c>
      <c r="AK1479" s="8" t="str">
        <f aca="false">$E1479&amp;"|"&amp;TEXT($AD1479,"0.000000")</f>
        <v>PV 130|0.000000</v>
      </c>
    </row>
    <row r="1480" customFormat="false" ht="15" hidden="false" customHeight="false" outlineLevel="0" collapsed="false">
      <c r="B1480" s="16" t="n">
        <v>23</v>
      </c>
      <c r="C1480" s="17" t="n">
        <f aca="false">DATA_INICIO_SAFRA+($B1480-1)*DIAS_POR_SEMANA</f>
        <v>46419</v>
      </c>
      <c r="D1480" s="17" t="n">
        <f aca="false">$C1480+DIAS_POR_SEMANA-1</f>
        <v>46425</v>
      </c>
      <c r="E1480" s="15" t="s">
        <v>281</v>
      </c>
      <c r="F1480" s="8" t="str">
        <f aca="false">IFERROR(INDEX(CADASTRO_PIVOS!$C$6:$C$41,MATCH($E1480,CADASTRO_PIVOS!$B$6:$B$41,0)),"?")</f>
        <v>RM06</v>
      </c>
      <c r="G1480" s="8" t="str">
        <f aca="false">IFERROR(INDEX(CADASTRO_PIVOS!$D$6:$D$41,MATCH($E1480,CADASTRO_PIVOS!$B$6:$B$41,0)),"?")</f>
        <v>TR06</v>
      </c>
      <c r="H1480" s="20" t="n">
        <f aca="false">IFERROR(INDEX(CADASTRO_PIVOS!$E$6:$E$41,MATCH($E1480,CADASTRO_PIVOS!$B$6:$B$41,0)),0)</f>
        <v>149.94</v>
      </c>
      <c r="I1480" s="16" t="n">
        <f aca="false">IFERROR(SUMIFS(ROTACAO_RDM!$B$6:$B$71,ROTACAO_RDM!$D$6:$D$71,$E1480,ROTACAO_RDM!$I$6:$I$71,"&lt;="&amp;$C1480+INT(DIAS_POR_SEMANA/2),ROTACAO_RDM!$J$6:$J$71,"&gt;="&amp;$C1480+INT(DIAS_POR_SEMANA/2)),0)</f>
        <v>58</v>
      </c>
      <c r="J1480" s="16" t="n">
        <f aca="false">IFERROR(MATCH($I1480,ROTACAO_RDM!$B$6:$B$71,0),0)</f>
        <v>58</v>
      </c>
      <c r="K1480" s="8" t="str">
        <f aca="false">IF($J1480=0,"SEM CULTURA",INDEX(ROTACAO_RDM!$F$6:$F$71,$J1480))</f>
        <v>ALGODAO</v>
      </c>
      <c r="L1480" s="8" t="str">
        <f aca="false">IF($J1480=0,"",INDEX(ROTACAO_RDM!$G$6:$G$71,$J1480))</f>
        <v>IMA 3764 B2RF</v>
      </c>
      <c r="M1480" s="17" t="n">
        <f aca="false">IF($J1480=0,"",INDEX(ROTACAO_RDM!$I$6:$I$71,$J1480))</f>
        <v>46358</v>
      </c>
      <c r="N1480" s="16" t="n">
        <f aca="false">IF($J1480=0,0,MAX(0,$C1480+INT(DIAS_POR_SEMANA/2)-INDEX(ROTACAO_RDM!$I$6:$I$71,$J1480)))</f>
        <v>64</v>
      </c>
      <c r="O1480" s="19" t="n">
        <f aca="false">IF($J1480=0,0,MIN(1,$N1480/MAX(1,INDEX(ROTACAO_RDM!$K$6:$K$71,$J1480))))</f>
        <v>0.304761904761905</v>
      </c>
      <c r="P1480" s="16" t="n">
        <f aca="false">IF($J1480=0,0,IFERROR(MATCH(INDEX(ROTACAO_RDM!$N$6:$N$71,$J1480),PARAMETROS_CULTURAS!$B$6:$B$28,0),0))</f>
        <v>6</v>
      </c>
      <c r="Q1480" s="8" t="str">
        <f aca="false">IF($P1480=0,"-",IF($O1480&lt;=INDEX(PARAMETROS_CULTURAS!$F$6:$F$28,$P1480),"INICIAL",IF($O1480&lt;=INDEX(PARAMETROS_CULTURAS!$F$6:$F$28,$P1480)+INDEX(PARAMETROS_CULTURAS!$G$6:$G$28,$P1480),"DESENVOLVIMENTO",IF($O1480&lt;=INDEX(PARAMETROS_CULTURAS!$F$6:$F$28,$P1480)+INDEX(PARAMETROS_CULTURAS!$G$6:$G$28,$P1480)+INDEX(PARAMETROS_CULTURAS!$H$6:$H$28,$P1480),"MEDIA","FINAL"))))</f>
        <v>DESENVOLVIMENTO</v>
      </c>
      <c r="R1480" s="24" t="n">
        <f aca="false">IF($P1480=0,0,IF($O1480&lt;=INDEX(PARAMETROS_CULTURAS!$F$6:$F$28,$P1480),INDEX(PARAMETROS_CULTURAS!$K$6:$K$28,$P1480),IF($O1480&lt;=INDEX(PARAMETROS_CULTURAS!$F$6:$F$28,$P1480)+INDEX(PARAMETROS_CULTURAS!$G$6:$G$28,$P1480),INDEX(PARAMETROS_CULTURAS!$K$6:$K$28,$P1480)+(INDEX(PARAMETROS_CULTURAS!$L$6:$L$28,$P1480)-INDEX(PARAMETROS_CULTURAS!$K$6:$K$28,$P1480))*($O1480-INDEX(PARAMETROS_CULTURAS!$F$6:$F$28,$P1480))/MAX(INDEX(PARAMETROS_CULTURAS!$G$6:$G$28,$P1480),0.0001),IF($O1480&lt;=INDEX(PARAMETROS_CULTURAS!$F$6:$F$28,$P1480)+INDEX(PARAMETROS_CULTURAS!$G$6:$G$28,$P1480)+INDEX(PARAMETROS_CULTURAS!$H$6:$H$28,$P1480),INDEX(PARAMETROS_CULTURAS!$L$6:$L$28,$P1480),INDEX(PARAMETROS_CULTURAS!$L$6:$L$28,$P1480)+(INDEX(PARAMETROS_CULTURAS!$M$6:$M$28,$P1480)-INDEX(PARAMETROS_CULTURAS!$L$6:$L$28,$P1480))*($O1480-INDEX(PARAMETROS_CULTURAS!$F$6:$F$28,$P1480)-INDEX(PARAMETROS_CULTURAS!$G$6:$G$28,$P1480)-INDEX(PARAMETROS_CULTURAS!$H$6:$H$28,$P1480))/MAX(INDEX(PARAMETROS_CULTURAS!$I$6:$I$28,$P1480),0.0001)))))</f>
        <v>0.899206349206349</v>
      </c>
      <c r="S1480" s="18" t="n">
        <f aca="false">IFERROR(INDEX(SEMANAS!$H$6:$H$71,MATCH($B1480,SEMANAS!$B$6:$B$71,0)),0)</f>
        <v>32.9</v>
      </c>
      <c r="T1480" s="18" t="n">
        <f aca="false">$R1480*$S1480</f>
        <v>29.5838888888889</v>
      </c>
      <c r="U1480" s="18" t="n">
        <f aca="false">IFERROR(INDEX(SEMANAS!$I$6:$I$71,MATCH($B1480,SEMANAS!$B$6:$B$71,0)),0)</f>
        <v>39.97</v>
      </c>
      <c r="V1480" s="18" t="n">
        <f aca="false">IFERROR(INDEX(SEMANAS!$J$6:$J$71,MATCH($B1480,SEMANAS!$B$6:$B$71,0)),0)</f>
        <v>31.976</v>
      </c>
      <c r="W1480" s="18" t="n">
        <f aca="false">MAX(0,$T1480-$V1480)</f>
        <v>0</v>
      </c>
      <c r="X1480" s="19" t="n">
        <f aca="false">IFERROR(INDEX(CADASTRO_PIVOS!$K$6:$K$41,MATCH($E1480,CADASTRO_PIVOS!$B$6:$B$41,0)),EFICIENCIA_PADRAO)</f>
        <v>0.85</v>
      </c>
      <c r="Y1480" s="18" t="n">
        <f aca="false">IF($X1480&lt;=0,0,$W1480/$X1480)</f>
        <v>0</v>
      </c>
      <c r="Z1480" s="16" t="n">
        <f aca="false">$Y1480*$H1480*MM_PARA_M3_HA</f>
        <v>0</v>
      </c>
      <c r="AA1480" s="18" t="n">
        <f aca="false">IFERROR(INDEX(CADASTRO_PIVOS!$I$6:$I$41,MATCH($E1480,CADASTRO_PIVOS!$B$6:$B$41,0)),0)</f>
        <v>1071</v>
      </c>
      <c r="AB1480" s="18" t="n">
        <f aca="false">IF($Z1480&lt;=0,0,$Z1480/$AA1480)</f>
        <v>0</v>
      </c>
      <c r="AC1480" s="16" t="n">
        <f aca="false">IFERROR(INDEX(SEMANAS!$K$6:$K$71,MATCH($B1480,SEMANAS!$B$6:$B$71,0)),0)</f>
        <v>147</v>
      </c>
      <c r="AD1480" s="19" t="n">
        <f aca="false">IF($AC1480&lt;=0,0,$AB1480/$AC1480)</f>
        <v>0</v>
      </c>
      <c r="AE1480" s="8" t="str">
        <f aca="false">IF($K1480="SEM CULTURA","SEM CULTURA",IF($AA1480&lt;=0,"DADO PENDENTE",IF($AD1480&gt;LIMITE_CRITICO,"INVIAVEL",IF($AD1480&gt;LIMITE_ATENCAO,"CRITICO",IF($AD1480&gt;LIMITE_CONFORTAVEL,"ATENCAO","OK")))))</f>
        <v>OK</v>
      </c>
      <c r="AF1480" s="8" t="str">
        <f aca="false">$B1480&amp;"|"&amp;TEXT($AD1480,"0.000000")</f>
        <v>23|0.000000</v>
      </c>
      <c r="AG1480" s="18" t="n">
        <f aca="false">IF($K1480="SEM CULTURA",0,$T1480*$H1480)</f>
        <v>4435.8083</v>
      </c>
      <c r="AH1480" s="18" t="n">
        <f aca="false">IF($K1480="SEM CULTURA",0,$V1480*$H1480)</f>
        <v>4794.48144</v>
      </c>
      <c r="AI1480" s="18" t="n">
        <f aca="false">IF($K1480="SEM CULTURA",0,$W1480*$H1480)</f>
        <v>0</v>
      </c>
      <c r="AJ1480" s="18" t="n">
        <f aca="false">IF($K1480="SEM CULTURA",0,$S1480*$H1480)</f>
        <v>4933.026</v>
      </c>
      <c r="AK1480" s="8" t="str">
        <f aca="false">$E1480&amp;"|"&amp;TEXT($AD1480,"0.000000")</f>
        <v>PV 130|0.000000</v>
      </c>
    </row>
    <row r="1481" customFormat="false" ht="15" hidden="false" customHeight="false" outlineLevel="0" collapsed="false">
      <c r="B1481" s="16" t="n">
        <v>24</v>
      </c>
      <c r="C1481" s="17" t="n">
        <f aca="false">DATA_INICIO_SAFRA+($B1481-1)*DIAS_POR_SEMANA</f>
        <v>46426</v>
      </c>
      <c r="D1481" s="17" t="n">
        <f aca="false">$C1481+DIAS_POR_SEMANA-1</f>
        <v>46432</v>
      </c>
      <c r="E1481" s="15" t="s">
        <v>281</v>
      </c>
      <c r="F1481" s="8" t="str">
        <f aca="false">IFERROR(INDEX(CADASTRO_PIVOS!$C$6:$C$41,MATCH($E1481,CADASTRO_PIVOS!$B$6:$B$41,0)),"?")</f>
        <v>RM06</v>
      </c>
      <c r="G1481" s="8" t="str">
        <f aca="false">IFERROR(INDEX(CADASTRO_PIVOS!$D$6:$D$41,MATCH($E1481,CADASTRO_PIVOS!$B$6:$B$41,0)),"?")</f>
        <v>TR06</v>
      </c>
      <c r="H1481" s="20" t="n">
        <f aca="false">IFERROR(INDEX(CADASTRO_PIVOS!$E$6:$E$41,MATCH($E1481,CADASTRO_PIVOS!$B$6:$B$41,0)),0)</f>
        <v>149.94</v>
      </c>
      <c r="I1481" s="16" t="n">
        <f aca="false">IFERROR(SUMIFS(ROTACAO_RDM!$B$6:$B$71,ROTACAO_RDM!$D$6:$D$71,$E1481,ROTACAO_RDM!$I$6:$I$71,"&lt;="&amp;$C1481+INT(DIAS_POR_SEMANA/2),ROTACAO_RDM!$J$6:$J$71,"&gt;="&amp;$C1481+INT(DIAS_POR_SEMANA/2)),0)</f>
        <v>58</v>
      </c>
      <c r="J1481" s="16" t="n">
        <f aca="false">IFERROR(MATCH($I1481,ROTACAO_RDM!$B$6:$B$71,0),0)</f>
        <v>58</v>
      </c>
      <c r="K1481" s="8" t="str">
        <f aca="false">IF($J1481=0,"SEM CULTURA",INDEX(ROTACAO_RDM!$F$6:$F$71,$J1481))</f>
        <v>ALGODAO</v>
      </c>
      <c r="L1481" s="8" t="str">
        <f aca="false">IF($J1481=0,"",INDEX(ROTACAO_RDM!$G$6:$G$71,$J1481))</f>
        <v>IMA 3764 B2RF</v>
      </c>
      <c r="M1481" s="17" t="n">
        <f aca="false">IF($J1481=0,"",INDEX(ROTACAO_RDM!$I$6:$I$71,$J1481))</f>
        <v>46358</v>
      </c>
      <c r="N1481" s="16" t="n">
        <f aca="false">IF($J1481=0,0,MAX(0,$C1481+INT(DIAS_POR_SEMANA/2)-INDEX(ROTACAO_RDM!$I$6:$I$71,$J1481)))</f>
        <v>71</v>
      </c>
      <c r="O1481" s="19" t="n">
        <f aca="false">IF($J1481=0,0,MIN(1,$N1481/MAX(1,INDEX(ROTACAO_RDM!$K$6:$K$71,$J1481))))</f>
        <v>0.338095238095238</v>
      </c>
      <c r="P1481" s="16" t="n">
        <f aca="false">IF($J1481=0,0,IFERROR(MATCH(INDEX(ROTACAO_RDM!$N$6:$N$71,$J1481),PARAMETROS_CULTURAS!$B$6:$B$28,0),0))</f>
        <v>6</v>
      </c>
      <c r="Q1481" s="8" t="str">
        <f aca="false">IF($P1481=0,"-",IF($O1481&lt;=INDEX(PARAMETROS_CULTURAS!$F$6:$F$28,$P1481),"INICIAL",IF($O1481&lt;=INDEX(PARAMETROS_CULTURAS!$F$6:$F$28,$P1481)+INDEX(PARAMETROS_CULTURAS!$G$6:$G$28,$P1481),"DESENVOLVIMENTO",IF($O1481&lt;=INDEX(PARAMETROS_CULTURAS!$F$6:$F$28,$P1481)+INDEX(PARAMETROS_CULTURAS!$G$6:$G$28,$P1481)+INDEX(PARAMETROS_CULTURAS!$H$6:$H$28,$P1481),"MEDIA","FINAL"))))</f>
        <v>DESENVOLVIMENTO</v>
      </c>
      <c r="R1481" s="24" t="n">
        <f aca="false">IF($P1481=0,0,IF($O1481&lt;=INDEX(PARAMETROS_CULTURAS!$F$6:$F$28,$P1481),INDEX(PARAMETROS_CULTURAS!$K$6:$K$28,$P1481),IF($O1481&lt;=INDEX(PARAMETROS_CULTURAS!$F$6:$F$28,$P1481)+INDEX(PARAMETROS_CULTURAS!$G$6:$G$28,$P1481),INDEX(PARAMETROS_CULTURAS!$K$6:$K$28,$P1481)+(INDEX(PARAMETROS_CULTURAS!$L$6:$L$28,$P1481)-INDEX(PARAMETROS_CULTURAS!$K$6:$K$28,$P1481))*($O1481-INDEX(PARAMETROS_CULTURAS!$F$6:$F$28,$P1481))/MAX(INDEX(PARAMETROS_CULTURAS!$G$6:$G$28,$P1481),0.0001),IF($O1481&lt;=INDEX(PARAMETROS_CULTURAS!$F$6:$F$28,$P1481)+INDEX(PARAMETROS_CULTURAS!$G$6:$G$28,$P1481)+INDEX(PARAMETROS_CULTURAS!$H$6:$H$28,$P1481),INDEX(PARAMETROS_CULTURAS!$L$6:$L$28,$P1481),INDEX(PARAMETROS_CULTURAS!$L$6:$L$28,$P1481)+(INDEX(PARAMETROS_CULTURAS!$M$6:$M$28,$P1481)-INDEX(PARAMETROS_CULTURAS!$L$6:$L$28,$P1481))*($O1481-INDEX(PARAMETROS_CULTURAS!$F$6:$F$28,$P1481)-INDEX(PARAMETROS_CULTURAS!$G$6:$G$28,$P1481)-INDEX(PARAMETROS_CULTURAS!$H$6:$H$28,$P1481))/MAX(INDEX(PARAMETROS_CULTURAS!$I$6:$I$28,$P1481),0.0001)))))</f>
        <v>1.01031746031746</v>
      </c>
      <c r="S1481" s="18" t="n">
        <f aca="false">IFERROR(INDEX(SEMANAS!$H$6:$H$71,MATCH($B1481,SEMANAS!$B$6:$B$71,0)),0)</f>
        <v>32.9</v>
      </c>
      <c r="T1481" s="18" t="n">
        <f aca="false">$R1481*$S1481</f>
        <v>33.2394444444444</v>
      </c>
      <c r="U1481" s="18" t="n">
        <f aca="false">IFERROR(INDEX(SEMANAS!$I$6:$I$71,MATCH($B1481,SEMANAS!$B$6:$B$71,0)),0)</f>
        <v>39.97</v>
      </c>
      <c r="V1481" s="18" t="n">
        <f aca="false">IFERROR(INDEX(SEMANAS!$J$6:$J$71,MATCH($B1481,SEMANAS!$B$6:$B$71,0)),0)</f>
        <v>31.976</v>
      </c>
      <c r="W1481" s="18" t="n">
        <f aca="false">MAX(0,$T1481-$V1481)</f>
        <v>1.26344444444444</v>
      </c>
      <c r="X1481" s="19" t="n">
        <f aca="false">IFERROR(INDEX(CADASTRO_PIVOS!$K$6:$K$41,MATCH($E1481,CADASTRO_PIVOS!$B$6:$B$41,0)),EFICIENCIA_PADRAO)</f>
        <v>0.85</v>
      </c>
      <c r="Y1481" s="18" t="n">
        <f aca="false">IF($X1481&lt;=0,0,$W1481/$X1481)</f>
        <v>1.48640522875817</v>
      </c>
      <c r="Z1481" s="16" t="n">
        <f aca="false">$Y1481*$H1481*MM_PARA_M3_HA</f>
        <v>2228.716</v>
      </c>
      <c r="AA1481" s="18" t="n">
        <f aca="false">IFERROR(INDEX(CADASTRO_PIVOS!$I$6:$I$41,MATCH($E1481,CADASTRO_PIVOS!$B$6:$B$41,0)),0)</f>
        <v>1071</v>
      </c>
      <c r="AB1481" s="18" t="n">
        <f aca="false">IF($Z1481&lt;=0,0,$Z1481/$AA1481)</f>
        <v>2.08096732026143</v>
      </c>
      <c r="AC1481" s="16" t="n">
        <f aca="false">IFERROR(INDEX(SEMANAS!$K$6:$K$71,MATCH($B1481,SEMANAS!$B$6:$B$71,0)),0)</f>
        <v>147</v>
      </c>
      <c r="AD1481" s="19" t="n">
        <f aca="false">IF($AC1481&lt;=0,0,$AB1481/$AC1481)</f>
        <v>0.0141562402738873</v>
      </c>
      <c r="AE1481" s="8" t="str">
        <f aca="false">IF($K1481="SEM CULTURA","SEM CULTURA",IF($AA1481&lt;=0,"DADO PENDENTE",IF($AD1481&gt;LIMITE_CRITICO,"INVIAVEL",IF($AD1481&gt;LIMITE_ATENCAO,"CRITICO",IF($AD1481&gt;LIMITE_CONFORTAVEL,"ATENCAO","OK")))))</f>
        <v>OK</v>
      </c>
      <c r="AF1481" s="8" t="str">
        <f aca="false">$B1481&amp;"|"&amp;TEXT($AD1481,"0.000000")</f>
        <v>24|0.014156</v>
      </c>
      <c r="AG1481" s="18" t="n">
        <f aca="false">IF($K1481="SEM CULTURA",0,$T1481*$H1481)</f>
        <v>4983.9223</v>
      </c>
      <c r="AH1481" s="18" t="n">
        <f aca="false">IF($K1481="SEM CULTURA",0,$V1481*$H1481)</f>
        <v>4794.48144</v>
      </c>
      <c r="AI1481" s="18" t="n">
        <f aca="false">IF($K1481="SEM CULTURA",0,$W1481*$H1481)</f>
        <v>189.44086</v>
      </c>
      <c r="AJ1481" s="18" t="n">
        <f aca="false">IF($K1481="SEM CULTURA",0,$S1481*$H1481)</f>
        <v>4933.026</v>
      </c>
      <c r="AK1481" s="8" t="str">
        <f aca="false">$E1481&amp;"|"&amp;TEXT($AD1481,"0.000000")</f>
        <v>PV 130|0.014156</v>
      </c>
    </row>
    <row r="1482" customFormat="false" ht="15" hidden="false" customHeight="false" outlineLevel="0" collapsed="false">
      <c r="B1482" s="16" t="n">
        <v>25</v>
      </c>
      <c r="C1482" s="17" t="n">
        <f aca="false">DATA_INICIO_SAFRA+($B1482-1)*DIAS_POR_SEMANA</f>
        <v>46433</v>
      </c>
      <c r="D1482" s="17" t="n">
        <f aca="false">$C1482+DIAS_POR_SEMANA-1</f>
        <v>46439</v>
      </c>
      <c r="E1482" s="15" t="s">
        <v>281</v>
      </c>
      <c r="F1482" s="8" t="str">
        <f aca="false">IFERROR(INDEX(CADASTRO_PIVOS!$C$6:$C$41,MATCH($E1482,CADASTRO_PIVOS!$B$6:$B$41,0)),"?")</f>
        <v>RM06</v>
      </c>
      <c r="G1482" s="8" t="str">
        <f aca="false">IFERROR(INDEX(CADASTRO_PIVOS!$D$6:$D$41,MATCH($E1482,CADASTRO_PIVOS!$B$6:$B$41,0)),"?")</f>
        <v>TR06</v>
      </c>
      <c r="H1482" s="20" t="n">
        <f aca="false">IFERROR(INDEX(CADASTRO_PIVOS!$E$6:$E$41,MATCH($E1482,CADASTRO_PIVOS!$B$6:$B$41,0)),0)</f>
        <v>149.94</v>
      </c>
      <c r="I1482" s="16" t="n">
        <f aca="false">IFERROR(SUMIFS(ROTACAO_RDM!$B$6:$B$71,ROTACAO_RDM!$D$6:$D$71,$E1482,ROTACAO_RDM!$I$6:$I$71,"&lt;="&amp;$C1482+INT(DIAS_POR_SEMANA/2),ROTACAO_RDM!$J$6:$J$71,"&gt;="&amp;$C1482+INT(DIAS_POR_SEMANA/2)),0)</f>
        <v>58</v>
      </c>
      <c r="J1482" s="16" t="n">
        <f aca="false">IFERROR(MATCH($I1482,ROTACAO_RDM!$B$6:$B$71,0),0)</f>
        <v>58</v>
      </c>
      <c r="K1482" s="8" t="str">
        <f aca="false">IF($J1482=0,"SEM CULTURA",INDEX(ROTACAO_RDM!$F$6:$F$71,$J1482))</f>
        <v>ALGODAO</v>
      </c>
      <c r="L1482" s="8" t="str">
        <f aca="false">IF($J1482=0,"",INDEX(ROTACAO_RDM!$G$6:$G$71,$J1482))</f>
        <v>IMA 3764 B2RF</v>
      </c>
      <c r="M1482" s="17" t="n">
        <f aca="false">IF($J1482=0,"",INDEX(ROTACAO_RDM!$I$6:$I$71,$J1482))</f>
        <v>46358</v>
      </c>
      <c r="N1482" s="16" t="n">
        <f aca="false">IF($J1482=0,0,MAX(0,$C1482+INT(DIAS_POR_SEMANA/2)-INDEX(ROTACAO_RDM!$I$6:$I$71,$J1482)))</f>
        <v>78</v>
      </c>
      <c r="O1482" s="19" t="n">
        <f aca="false">IF($J1482=0,0,MIN(1,$N1482/MAX(1,INDEX(ROTACAO_RDM!$K$6:$K$71,$J1482))))</f>
        <v>0.371428571428571</v>
      </c>
      <c r="P1482" s="16" t="n">
        <f aca="false">IF($J1482=0,0,IFERROR(MATCH(INDEX(ROTACAO_RDM!$N$6:$N$71,$J1482),PARAMETROS_CULTURAS!$B$6:$B$28,0),0))</f>
        <v>6</v>
      </c>
      <c r="Q1482" s="8" t="str">
        <f aca="false">IF($P1482=0,"-",IF($O1482&lt;=INDEX(PARAMETROS_CULTURAS!$F$6:$F$28,$P1482),"INICIAL",IF($O1482&lt;=INDEX(PARAMETROS_CULTURAS!$F$6:$F$28,$P1482)+INDEX(PARAMETROS_CULTURAS!$G$6:$G$28,$P1482),"DESENVOLVIMENTO",IF($O1482&lt;=INDEX(PARAMETROS_CULTURAS!$F$6:$F$28,$P1482)+INDEX(PARAMETROS_CULTURAS!$G$6:$G$28,$P1482)+INDEX(PARAMETROS_CULTURAS!$H$6:$H$28,$P1482),"MEDIA","FINAL"))))</f>
        <v>DESENVOLVIMENTO</v>
      </c>
      <c r="R1482" s="24" t="n">
        <f aca="false">IF($P1482=0,0,IF($O1482&lt;=INDEX(PARAMETROS_CULTURAS!$F$6:$F$28,$P1482),INDEX(PARAMETROS_CULTURAS!$K$6:$K$28,$P1482),IF($O1482&lt;=INDEX(PARAMETROS_CULTURAS!$F$6:$F$28,$P1482)+INDEX(PARAMETROS_CULTURAS!$G$6:$G$28,$P1482),INDEX(PARAMETROS_CULTURAS!$K$6:$K$28,$P1482)+(INDEX(PARAMETROS_CULTURAS!$L$6:$L$28,$P1482)-INDEX(PARAMETROS_CULTURAS!$K$6:$K$28,$P1482))*($O1482-INDEX(PARAMETROS_CULTURAS!$F$6:$F$28,$P1482))/MAX(INDEX(PARAMETROS_CULTURAS!$G$6:$G$28,$P1482),0.0001),IF($O1482&lt;=INDEX(PARAMETROS_CULTURAS!$F$6:$F$28,$P1482)+INDEX(PARAMETROS_CULTURAS!$G$6:$G$28,$P1482)+INDEX(PARAMETROS_CULTURAS!$H$6:$H$28,$P1482),INDEX(PARAMETROS_CULTURAS!$L$6:$L$28,$P1482),INDEX(PARAMETROS_CULTURAS!$L$6:$L$28,$P1482)+(INDEX(PARAMETROS_CULTURAS!$M$6:$M$28,$P1482)-INDEX(PARAMETROS_CULTURAS!$L$6:$L$28,$P1482))*($O1482-INDEX(PARAMETROS_CULTURAS!$F$6:$F$28,$P1482)-INDEX(PARAMETROS_CULTURAS!$G$6:$G$28,$P1482)-INDEX(PARAMETROS_CULTURAS!$H$6:$H$28,$P1482))/MAX(INDEX(PARAMETROS_CULTURAS!$I$6:$I$28,$P1482),0.0001)))))</f>
        <v>1.12142857142857</v>
      </c>
      <c r="S1482" s="18" t="n">
        <f aca="false">IFERROR(INDEX(SEMANAS!$H$6:$H$71,MATCH($B1482,SEMANAS!$B$6:$B$71,0)),0)</f>
        <v>32.9</v>
      </c>
      <c r="T1482" s="18" t="n">
        <f aca="false">$R1482*$S1482</f>
        <v>36.895</v>
      </c>
      <c r="U1482" s="18" t="n">
        <f aca="false">IFERROR(INDEX(SEMANAS!$I$6:$I$71,MATCH($B1482,SEMANAS!$B$6:$B$71,0)),0)</f>
        <v>39.97</v>
      </c>
      <c r="V1482" s="18" t="n">
        <f aca="false">IFERROR(INDEX(SEMANAS!$J$6:$J$71,MATCH($B1482,SEMANAS!$B$6:$B$71,0)),0)</f>
        <v>31.976</v>
      </c>
      <c r="W1482" s="18" t="n">
        <f aca="false">MAX(0,$T1482-$V1482)</f>
        <v>4.91899999999999</v>
      </c>
      <c r="X1482" s="19" t="n">
        <f aca="false">IFERROR(INDEX(CADASTRO_PIVOS!$K$6:$K$41,MATCH($E1482,CADASTRO_PIVOS!$B$6:$B$41,0)),EFICIENCIA_PADRAO)</f>
        <v>0.85</v>
      </c>
      <c r="Y1482" s="18" t="n">
        <f aca="false">IF($X1482&lt;=0,0,$W1482/$X1482)</f>
        <v>5.7870588235294</v>
      </c>
      <c r="Z1482" s="16" t="n">
        <f aca="false">$Y1482*$H1482*MM_PARA_M3_HA</f>
        <v>8677.11599999999</v>
      </c>
      <c r="AA1482" s="18" t="n">
        <f aca="false">IFERROR(INDEX(CADASTRO_PIVOS!$I$6:$I$41,MATCH($E1482,CADASTRO_PIVOS!$B$6:$B$41,0)),0)</f>
        <v>1071</v>
      </c>
      <c r="AB1482" s="18" t="n">
        <f aca="false">IF($Z1482&lt;=0,0,$Z1482/$AA1482)</f>
        <v>8.10188235294117</v>
      </c>
      <c r="AC1482" s="16" t="n">
        <f aca="false">IFERROR(INDEX(SEMANAS!$K$6:$K$71,MATCH($B1482,SEMANAS!$B$6:$B$71,0)),0)</f>
        <v>147</v>
      </c>
      <c r="AD1482" s="19" t="n">
        <f aca="false">IF($AC1482&lt;=0,0,$AB1482/$AC1482)</f>
        <v>0.0551148459383753</v>
      </c>
      <c r="AE1482" s="8" t="str">
        <f aca="false">IF($K1482="SEM CULTURA","SEM CULTURA",IF($AA1482&lt;=0,"DADO PENDENTE",IF($AD1482&gt;LIMITE_CRITICO,"INVIAVEL",IF($AD1482&gt;LIMITE_ATENCAO,"CRITICO",IF($AD1482&gt;LIMITE_CONFORTAVEL,"ATENCAO","OK")))))</f>
        <v>OK</v>
      </c>
      <c r="AF1482" s="8" t="str">
        <f aca="false">$B1482&amp;"|"&amp;TEXT($AD1482,"0.000000")</f>
        <v>25|0.055115</v>
      </c>
      <c r="AG1482" s="18" t="n">
        <f aca="false">IF($K1482="SEM CULTURA",0,$T1482*$H1482)</f>
        <v>5532.0363</v>
      </c>
      <c r="AH1482" s="18" t="n">
        <f aca="false">IF($K1482="SEM CULTURA",0,$V1482*$H1482)</f>
        <v>4794.48144</v>
      </c>
      <c r="AI1482" s="18" t="n">
        <f aca="false">IF($K1482="SEM CULTURA",0,$W1482*$H1482)</f>
        <v>737.554859999999</v>
      </c>
      <c r="AJ1482" s="18" t="n">
        <f aca="false">IF($K1482="SEM CULTURA",0,$S1482*$H1482)</f>
        <v>4933.026</v>
      </c>
      <c r="AK1482" s="8" t="str">
        <f aca="false">$E1482&amp;"|"&amp;TEXT($AD1482,"0.000000")</f>
        <v>PV 130|0.055115</v>
      </c>
    </row>
    <row r="1483" customFormat="false" ht="15" hidden="false" customHeight="false" outlineLevel="0" collapsed="false">
      <c r="B1483" s="16" t="n">
        <v>26</v>
      </c>
      <c r="C1483" s="17" t="n">
        <f aca="false">DATA_INICIO_SAFRA+($B1483-1)*DIAS_POR_SEMANA</f>
        <v>46440</v>
      </c>
      <c r="D1483" s="17" t="n">
        <f aca="false">$C1483+DIAS_POR_SEMANA-1</f>
        <v>46446</v>
      </c>
      <c r="E1483" s="15" t="s">
        <v>281</v>
      </c>
      <c r="F1483" s="8" t="str">
        <f aca="false">IFERROR(INDEX(CADASTRO_PIVOS!$C$6:$C$41,MATCH($E1483,CADASTRO_PIVOS!$B$6:$B$41,0)),"?")</f>
        <v>RM06</v>
      </c>
      <c r="G1483" s="8" t="str">
        <f aca="false">IFERROR(INDEX(CADASTRO_PIVOS!$D$6:$D$41,MATCH($E1483,CADASTRO_PIVOS!$B$6:$B$41,0)),"?")</f>
        <v>TR06</v>
      </c>
      <c r="H1483" s="20" t="n">
        <f aca="false">IFERROR(INDEX(CADASTRO_PIVOS!$E$6:$E$41,MATCH($E1483,CADASTRO_PIVOS!$B$6:$B$41,0)),0)</f>
        <v>149.94</v>
      </c>
      <c r="I1483" s="16" t="n">
        <f aca="false">IFERROR(SUMIFS(ROTACAO_RDM!$B$6:$B$71,ROTACAO_RDM!$D$6:$D$71,$E1483,ROTACAO_RDM!$I$6:$I$71,"&lt;="&amp;$C1483+INT(DIAS_POR_SEMANA/2),ROTACAO_RDM!$J$6:$J$71,"&gt;="&amp;$C1483+INT(DIAS_POR_SEMANA/2)),0)</f>
        <v>58</v>
      </c>
      <c r="J1483" s="16" t="n">
        <f aca="false">IFERROR(MATCH($I1483,ROTACAO_RDM!$B$6:$B$71,0),0)</f>
        <v>58</v>
      </c>
      <c r="K1483" s="8" t="str">
        <f aca="false">IF($J1483=0,"SEM CULTURA",INDEX(ROTACAO_RDM!$F$6:$F$71,$J1483))</f>
        <v>ALGODAO</v>
      </c>
      <c r="L1483" s="8" t="str">
        <f aca="false">IF($J1483=0,"",INDEX(ROTACAO_RDM!$G$6:$G$71,$J1483))</f>
        <v>IMA 3764 B2RF</v>
      </c>
      <c r="M1483" s="17" t="n">
        <f aca="false">IF($J1483=0,"",INDEX(ROTACAO_RDM!$I$6:$I$71,$J1483))</f>
        <v>46358</v>
      </c>
      <c r="N1483" s="16" t="n">
        <f aca="false">IF($J1483=0,0,MAX(0,$C1483+INT(DIAS_POR_SEMANA/2)-INDEX(ROTACAO_RDM!$I$6:$I$71,$J1483)))</f>
        <v>85</v>
      </c>
      <c r="O1483" s="19" t="n">
        <f aca="false">IF($J1483=0,0,MIN(1,$N1483/MAX(1,INDEX(ROTACAO_RDM!$K$6:$K$71,$J1483))))</f>
        <v>0.404761904761905</v>
      </c>
      <c r="P1483" s="16" t="n">
        <f aca="false">IF($J1483=0,0,IFERROR(MATCH(INDEX(ROTACAO_RDM!$N$6:$N$71,$J1483),PARAMETROS_CULTURAS!$B$6:$B$28,0),0))</f>
        <v>6</v>
      </c>
      <c r="Q1483" s="8" t="str">
        <f aca="false">IF($P1483=0,"-",IF($O1483&lt;=INDEX(PARAMETROS_CULTURAS!$F$6:$F$28,$P1483),"INICIAL",IF($O1483&lt;=INDEX(PARAMETROS_CULTURAS!$F$6:$F$28,$P1483)+INDEX(PARAMETROS_CULTURAS!$G$6:$G$28,$P1483),"DESENVOLVIMENTO",IF($O1483&lt;=INDEX(PARAMETROS_CULTURAS!$F$6:$F$28,$P1483)+INDEX(PARAMETROS_CULTURAS!$G$6:$G$28,$P1483)+INDEX(PARAMETROS_CULTURAS!$H$6:$H$28,$P1483),"MEDIA","FINAL"))))</f>
        <v>MEDIA</v>
      </c>
      <c r="R1483" s="24" t="n">
        <f aca="false">IF($P1483=0,0,IF($O1483&lt;=INDEX(PARAMETROS_CULTURAS!$F$6:$F$28,$P1483),INDEX(PARAMETROS_CULTURAS!$K$6:$K$28,$P1483),IF($O1483&lt;=INDEX(PARAMETROS_CULTURAS!$F$6:$F$28,$P1483)+INDEX(PARAMETROS_CULTURAS!$G$6:$G$28,$P1483),INDEX(PARAMETROS_CULTURAS!$K$6:$K$28,$P1483)+(INDEX(PARAMETROS_CULTURAS!$L$6:$L$28,$P1483)-INDEX(PARAMETROS_CULTURAS!$K$6:$K$28,$P1483))*($O1483-INDEX(PARAMETROS_CULTURAS!$F$6:$F$28,$P1483))/MAX(INDEX(PARAMETROS_CULTURAS!$G$6:$G$28,$P1483),0.0001),IF($O1483&lt;=INDEX(PARAMETROS_CULTURAS!$F$6:$F$28,$P1483)+INDEX(PARAMETROS_CULTURAS!$G$6:$G$28,$P1483)+INDEX(PARAMETROS_CULTURAS!$H$6:$H$28,$P1483),INDEX(PARAMETROS_CULTURAS!$L$6:$L$28,$P1483),INDEX(PARAMETROS_CULTURAS!$L$6:$L$28,$P1483)+(INDEX(PARAMETROS_CULTURAS!$M$6:$M$28,$P1483)-INDEX(PARAMETROS_CULTURAS!$L$6:$L$28,$P1483))*($O1483-INDEX(PARAMETROS_CULTURAS!$F$6:$F$28,$P1483)-INDEX(PARAMETROS_CULTURAS!$G$6:$G$28,$P1483)-INDEX(PARAMETROS_CULTURAS!$H$6:$H$28,$P1483))/MAX(INDEX(PARAMETROS_CULTURAS!$I$6:$I$28,$P1483),0.0001)))))</f>
        <v>1.15</v>
      </c>
      <c r="S1483" s="18" t="n">
        <f aca="false">IFERROR(INDEX(SEMANAS!$H$6:$H$71,MATCH($B1483,SEMANAS!$B$6:$B$71,0)),0)</f>
        <v>32.9</v>
      </c>
      <c r="T1483" s="18" t="n">
        <f aca="false">$R1483*$S1483</f>
        <v>37.835</v>
      </c>
      <c r="U1483" s="18" t="n">
        <f aca="false">IFERROR(INDEX(SEMANAS!$I$6:$I$71,MATCH($B1483,SEMANAS!$B$6:$B$71,0)),0)</f>
        <v>39.97</v>
      </c>
      <c r="V1483" s="18" t="n">
        <f aca="false">IFERROR(INDEX(SEMANAS!$J$6:$J$71,MATCH($B1483,SEMANAS!$B$6:$B$71,0)),0)</f>
        <v>31.976</v>
      </c>
      <c r="W1483" s="18" t="n">
        <f aca="false">MAX(0,$T1483-$V1483)</f>
        <v>5.85899999999999</v>
      </c>
      <c r="X1483" s="19" t="n">
        <f aca="false">IFERROR(INDEX(CADASTRO_PIVOS!$K$6:$K$41,MATCH($E1483,CADASTRO_PIVOS!$B$6:$B$41,0)),EFICIENCIA_PADRAO)</f>
        <v>0.85</v>
      </c>
      <c r="Y1483" s="18" t="n">
        <f aca="false">IF($X1483&lt;=0,0,$W1483/$X1483)</f>
        <v>6.89294117647058</v>
      </c>
      <c r="Z1483" s="16" t="n">
        <f aca="false">$Y1483*$H1483*MM_PARA_M3_HA</f>
        <v>10335.276</v>
      </c>
      <c r="AA1483" s="18" t="n">
        <f aca="false">IFERROR(INDEX(CADASTRO_PIVOS!$I$6:$I$41,MATCH($E1483,CADASTRO_PIVOS!$B$6:$B$41,0)),0)</f>
        <v>1071</v>
      </c>
      <c r="AB1483" s="18" t="n">
        <f aca="false">IF($Z1483&lt;=0,0,$Z1483/$AA1483)</f>
        <v>9.65011764705881</v>
      </c>
      <c r="AC1483" s="16" t="n">
        <f aca="false">IFERROR(INDEX(SEMANAS!$K$6:$K$71,MATCH($B1483,SEMANAS!$B$6:$B$71,0)),0)</f>
        <v>147</v>
      </c>
      <c r="AD1483" s="19" t="n">
        <f aca="false">IF($AC1483&lt;=0,0,$AB1483/$AC1483)</f>
        <v>0.0656470588235293</v>
      </c>
      <c r="AE1483" s="8" t="str">
        <f aca="false">IF($K1483="SEM CULTURA","SEM CULTURA",IF($AA1483&lt;=0,"DADO PENDENTE",IF($AD1483&gt;LIMITE_CRITICO,"INVIAVEL",IF($AD1483&gt;LIMITE_ATENCAO,"CRITICO",IF($AD1483&gt;LIMITE_CONFORTAVEL,"ATENCAO","OK")))))</f>
        <v>OK</v>
      </c>
      <c r="AF1483" s="8" t="str">
        <f aca="false">$B1483&amp;"|"&amp;TEXT($AD1483,"0.000000")</f>
        <v>26|0.065647</v>
      </c>
      <c r="AG1483" s="18" t="n">
        <f aca="false">IF($K1483="SEM CULTURA",0,$T1483*$H1483)</f>
        <v>5672.9799</v>
      </c>
      <c r="AH1483" s="18" t="n">
        <f aca="false">IF($K1483="SEM CULTURA",0,$V1483*$H1483)</f>
        <v>4794.48144</v>
      </c>
      <c r="AI1483" s="18" t="n">
        <f aca="false">IF($K1483="SEM CULTURA",0,$W1483*$H1483)</f>
        <v>878.498459999999</v>
      </c>
      <c r="AJ1483" s="18" t="n">
        <f aca="false">IF($K1483="SEM CULTURA",0,$S1483*$H1483)</f>
        <v>4933.026</v>
      </c>
      <c r="AK1483" s="8" t="str">
        <f aca="false">$E1483&amp;"|"&amp;TEXT($AD1483,"0.000000")</f>
        <v>PV 130|0.065647</v>
      </c>
    </row>
    <row r="1484" customFormat="false" ht="15" hidden="false" customHeight="false" outlineLevel="0" collapsed="false">
      <c r="B1484" s="16" t="n">
        <v>27</v>
      </c>
      <c r="C1484" s="17" t="n">
        <f aca="false">DATA_INICIO_SAFRA+($B1484-1)*DIAS_POR_SEMANA</f>
        <v>46447</v>
      </c>
      <c r="D1484" s="17" t="n">
        <f aca="false">$C1484+DIAS_POR_SEMANA-1</f>
        <v>46453</v>
      </c>
      <c r="E1484" s="15" t="s">
        <v>281</v>
      </c>
      <c r="F1484" s="8" t="str">
        <f aca="false">IFERROR(INDEX(CADASTRO_PIVOS!$C$6:$C$41,MATCH($E1484,CADASTRO_PIVOS!$B$6:$B$41,0)),"?")</f>
        <v>RM06</v>
      </c>
      <c r="G1484" s="8" t="str">
        <f aca="false">IFERROR(INDEX(CADASTRO_PIVOS!$D$6:$D$41,MATCH($E1484,CADASTRO_PIVOS!$B$6:$B$41,0)),"?")</f>
        <v>TR06</v>
      </c>
      <c r="H1484" s="20" t="n">
        <f aca="false">IFERROR(INDEX(CADASTRO_PIVOS!$E$6:$E$41,MATCH($E1484,CADASTRO_PIVOS!$B$6:$B$41,0)),0)</f>
        <v>149.94</v>
      </c>
      <c r="I1484" s="16" t="n">
        <f aca="false">IFERROR(SUMIFS(ROTACAO_RDM!$B$6:$B$71,ROTACAO_RDM!$D$6:$D$71,$E1484,ROTACAO_RDM!$I$6:$I$71,"&lt;="&amp;$C1484+INT(DIAS_POR_SEMANA/2),ROTACAO_RDM!$J$6:$J$71,"&gt;="&amp;$C1484+INT(DIAS_POR_SEMANA/2)),0)</f>
        <v>58</v>
      </c>
      <c r="J1484" s="16" t="n">
        <f aca="false">IFERROR(MATCH($I1484,ROTACAO_RDM!$B$6:$B$71,0),0)</f>
        <v>58</v>
      </c>
      <c r="K1484" s="8" t="str">
        <f aca="false">IF($J1484=0,"SEM CULTURA",INDEX(ROTACAO_RDM!$F$6:$F$71,$J1484))</f>
        <v>ALGODAO</v>
      </c>
      <c r="L1484" s="8" t="str">
        <f aca="false">IF($J1484=0,"",INDEX(ROTACAO_RDM!$G$6:$G$71,$J1484))</f>
        <v>IMA 3764 B2RF</v>
      </c>
      <c r="M1484" s="17" t="n">
        <f aca="false">IF($J1484=0,"",INDEX(ROTACAO_RDM!$I$6:$I$71,$J1484))</f>
        <v>46358</v>
      </c>
      <c r="N1484" s="16" t="n">
        <f aca="false">IF($J1484=0,0,MAX(0,$C1484+INT(DIAS_POR_SEMANA/2)-INDEX(ROTACAO_RDM!$I$6:$I$71,$J1484)))</f>
        <v>92</v>
      </c>
      <c r="O1484" s="19" t="n">
        <f aca="false">IF($J1484=0,0,MIN(1,$N1484/MAX(1,INDEX(ROTACAO_RDM!$K$6:$K$71,$J1484))))</f>
        <v>0.438095238095238</v>
      </c>
      <c r="P1484" s="16" t="n">
        <f aca="false">IF($J1484=0,0,IFERROR(MATCH(INDEX(ROTACAO_RDM!$N$6:$N$71,$J1484),PARAMETROS_CULTURAS!$B$6:$B$28,0),0))</f>
        <v>6</v>
      </c>
      <c r="Q1484" s="8" t="str">
        <f aca="false">IF($P1484=0,"-",IF($O1484&lt;=INDEX(PARAMETROS_CULTURAS!$F$6:$F$28,$P1484),"INICIAL",IF($O1484&lt;=INDEX(PARAMETROS_CULTURAS!$F$6:$F$28,$P1484)+INDEX(PARAMETROS_CULTURAS!$G$6:$G$28,$P1484),"DESENVOLVIMENTO",IF($O1484&lt;=INDEX(PARAMETROS_CULTURAS!$F$6:$F$28,$P1484)+INDEX(PARAMETROS_CULTURAS!$G$6:$G$28,$P1484)+INDEX(PARAMETROS_CULTURAS!$H$6:$H$28,$P1484),"MEDIA","FINAL"))))</f>
        <v>MEDIA</v>
      </c>
      <c r="R1484" s="24" t="n">
        <f aca="false">IF($P1484=0,0,IF($O1484&lt;=INDEX(PARAMETROS_CULTURAS!$F$6:$F$28,$P1484),INDEX(PARAMETROS_CULTURAS!$K$6:$K$28,$P1484),IF($O1484&lt;=INDEX(PARAMETROS_CULTURAS!$F$6:$F$28,$P1484)+INDEX(PARAMETROS_CULTURAS!$G$6:$G$28,$P1484),INDEX(PARAMETROS_CULTURAS!$K$6:$K$28,$P1484)+(INDEX(PARAMETROS_CULTURAS!$L$6:$L$28,$P1484)-INDEX(PARAMETROS_CULTURAS!$K$6:$K$28,$P1484))*($O1484-INDEX(PARAMETROS_CULTURAS!$F$6:$F$28,$P1484))/MAX(INDEX(PARAMETROS_CULTURAS!$G$6:$G$28,$P1484),0.0001),IF($O1484&lt;=INDEX(PARAMETROS_CULTURAS!$F$6:$F$28,$P1484)+INDEX(PARAMETROS_CULTURAS!$G$6:$G$28,$P1484)+INDEX(PARAMETROS_CULTURAS!$H$6:$H$28,$P1484),INDEX(PARAMETROS_CULTURAS!$L$6:$L$28,$P1484),INDEX(PARAMETROS_CULTURAS!$L$6:$L$28,$P1484)+(INDEX(PARAMETROS_CULTURAS!$M$6:$M$28,$P1484)-INDEX(PARAMETROS_CULTURAS!$L$6:$L$28,$P1484))*($O1484-INDEX(PARAMETROS_CULTURAS!$F$6:$F$28,$P1484)-INDEX(PARAMETROS_CULTURAS!$G$6:$G$28,$P1484)-INDEX(PARAMETROS_CULTURAS!$H$6:$H$28,$P1484))/MAX(INDEX(PARAMETROS_CULTURAS!$I$6:$I$28,$P1484),0.0001)))))</f>
        <v>1.15</v>
      </c>
      <c r="S1484" s="18" t="n">
        <f aca="false">IFERROR(INDEX(SEMANAS!$H$6:$H$71,MATCH($B1484,SEMANAS!$B$6:$B$71,0)),0)</f>
        <v>32.2</v>
      </c>
      <c r="T1484" s="18" t="n">
        <f aca="false">$R1484*$S1484</f>
        <v>37.03</v>
      </c>
      <c r="U1484" s="18" t="n">
        <f aca="false">IFERROR(INDEX(SEMANAS!$I$6:$I$71,MATCH($B1484,SEMANAS!$B$6:$B$71,0)),0)</f>
        <v>37.24</v>
      </c>
      <c r="V1484" s="18" t="n">
        <f aca="false">IFERROR(INDEX(SEMANAS!$J$6:$J$71,MATCH($B1484,SEMANAS!$B$6:$B$71,0)),0)</f>
        <v>29.792</v>
      </c>
      <c r="W1484" s="18" t="n">
        <f aca="false">MAX(0,$T1484-$V1484)</f>
        <v>7.23799999999999</v>
      </c>
      <c r="X1484" s="19" t="n">
        <f aca="false">IFERROR(INDEX(CADASTRO_PIVOS!$K$6:$K$41,MATCH($E1484,CADASTRO_PIVOS!$B$6:$B$41,0)),EFICIENCIA_PADRAO)</f>
        <v>0.85</v>
      </c>
      <c r="Y1484" s="18" t="n">
        <f aca="false">IF($X1484&lt;=0,0,$W1484/$X1484)</f>
        <v>8.51529411764705</v>
      </c>
      <c r="Z1484" s="16" t="n">
        <f aca="false">$Y1484*$H1484*MM_PARA_M3_HA</f>
        <v>12767.832</v>
      </c>
      <c r="AA1484" s="18" t="n">
        <f aca="false">IFERROR(INDEX(CADASTRO_PIVOS!$I$6:$I$41,MATCH($E1484,CADASTRO_PIVOS!$B$6:$B$41,0)),0)</f>
        <v>1071</v>
      </c>
      <c r="AB1484" s="18" t="n">
        <f aca="false">IF($Z1484&lt;=0,0,$Z1484/$AA1484)</f>
        <v>11.9214117647059</v>
      </c>
      <c r="AC1484" s="16" t="n">
        <f aca="false">IFERROR(INDEX(SEMANAS!$K$6:$K$71,MATCH($B1484,SEMANAS!$B$6:$B$71,0)),0)</f>
        <v>147</v>
      </c>
      <c r="AD1484" s="19" t="n">
        <f aca="false">IF($AC1484&lt;=0,0,$AB1484/$AC1484)</f>
        <v>0.0810980392156862</v>
      </c>
      <c r="AE1484" s="8" t="str">
        <f aca="false">IF($K1484="SEM CULTURA","SEM CULTURA",IF($AA1484&lt;=0,"DADO PENDENTE",IF($AD1484&gt;LIMITE_CRITICO,"INVIAVEL",IF($AD1484&gt;LIMITE_ATENCAO,"CRITICO",IF($AD1484&gt;LIMITE_CONFORTAVEL,"ATENCAO","OK")))))</f>
        <v>OK</v>
      </c>
      <c r="AF1484" s="8" t="str">
        <f aca="false">$B1484&amp;"|"&amp;TEXT($AD1484,"0.000000")</f>
        <v>27|0.081098</v>
      </c>
      <c r="AG1484" s="18" t="n">
        <f aca="false">IF($K1484="SEM CULTURA",0,$T1484*$H1484)</f>
        <v>5552.2782</v>
      </c>
      <c r="AH1484" s="18" t="n">
        <f aca="false">IF($K1484="SEM CULTURA",0,$V1484*$H1484)</f>
        <v>4467.01248</v>
      </c>
      <c r="AI1484" s="18" t="n">
        <f aca="false">IF($K1484="SEM CULTURA",0,$W1484*$H1484)</f>
        <v>1085.26572</v>
      </c>
      <c r="AJ1484" s="18" t="n">
        <f aca="false">IF($K1484="SEM CULTURA",0,$S1484*$H1484)</f>
        <v>4828.068</v>
      </c>
      <c r="AK1484" s="8" t="str">
        <f aca="false">$E1484&amp;"|"&amp;TEXT($AD1484,"0.000000")</f>
        <v>PV 130|0.081098</v>
      </c>
    </row>
    <row r="1485" customFormat="false" ht="15" hidden="false" customHeight="false" outlineLevel="0" collapsed="false">
      <c r="B1485" s="16" t="n">
        <v>28</v>
      </c>
      <c r="C1485" s="17" t="n">
        <f aca="false">DATA_INICIO_SAFRA+($B1485-1)*DIAS_POR_SEMANA</f>
        <v>46454</v>
      </c>
      <c r="D1485" s="17" t="n">
        <f aca="false">$C1485+DIAS_POR_SEMANA-1</f>
        <v>46460</v>
      </c>
      <c r="E1485" s="15" t="s">
        <v>281</v>
      </c>
      <c r="F1485" s="8" t="str">
        <f aca="false">IFERROR(INDEX(CADASTRO_PIVOS!$C$6:$C$41,MATCH($E1485,CADASTRO_PIVOS!$B$6:$B$41,0)),"?")</f>
        <v>RM06</v>
      </c>
      <c r="G1485" s="8" t="str">
        <f aca="false">IFERROR(INDEX(CADASTRO_PIVOS!$D$6:$D$41,MATCH($E1485,CADASTRO_PIVOS!$B$6:$B$41,0)),"?")</f>
        <v>TR06</v>
      </c>
      <c r="H1485" s="20" t="n">
        <f aca="false">IFERROR(INDEX(CADASTRO_PIVOS!$E$6:$E$41,MATCH($E1485,CADASTRO_PIVOS!$B$6:$B$41,0)),0)</f>
        <v>149.94</v>
      </c>
      <c r="I1485" s="16" t="n">
        <f aca="false">IFERROR(SUMIFS(ROTACAO_RDM!$B$6:$B$71,ROTACAO_RDM!$D$6:$D$71,$E1485,ROTACAO_RDM!$I$6:$I$71,"&lt;="&amp;$C1485+INT(DIAS_POR_SEMANA/2),ROTACAO_RDM!$J$6:$J$71,"&gt;="&amp;$C1485+INT(DIAS_POR_SEMANA/2)),0)</f>
        <v>58</v>
      </c>
      <c r="J1485" s="16" t="n">
        <f aca="false">IFERROR(MATCH($I1485,ROTACAO_RDM!$B$6:$B$71,0),0)</f>
        <v>58</v>
      </c>
      <c r="K1485" s="8" t="str">
        <f aca="false">IF($J1485=0,"SEM CULTURA",INDEX(ROTACAO_RDM!$F$6:$F$71,$J1485))</f>
        <v>ALGODAO</v>
      </c>
      <c r="L1485" s="8" t="str">
        <f aca="false">IF($J1485=0,"",INDEX(ROTACAO_RDM!$G$6:$G$71,$J1485))</f>
        <v>IMA 3764 B2RF</v>
      </c>
      <c r="M1485" s="17" t="n">
        <f aca="false">IF($J1485=0,"",INDEX(ROTACAO_RDM!$I$6:$I$71,$J1485))</f>
        <v>46358</v>
      </c>
      <c r="N1485" s="16" t="n">
        <f aca="false">IF($J1485=0,0,MAX(0,$C1485+INT(DIAS_POR_SEMANA/2)-INDEX(ROTACAO_RDM!$I$6:$I$71,$J1485)))</f>
        <v>99</v>
      </c>
      <c r="O1485" s="19" t="n">
        <f aca="false">IF($J1485=0,0,MIN(1,$N1485/MAX(1,INDEX(ROTACAO_RDM!$K$6:$K$71,$J1485))))</f>
        <v>0.471428571428571</v>
      </c>
      <c r="P1485" s="16" t="n">
        <f aca="false">IF($J1485=0,0,IFERROR(MATCH(INDEX(ROTACAO_RDM!$N$6:$N$71,$J1485),PARAMETROS_CULTURAS!$B$6:$B$28,0),0))</f>
        <v>6</v>
      </c>
      <c r="Q1485" s="8" t="str">
        <f aca="false">IF($P1485=0,"-",IF($O1485&lt;=INDEX(PARAMETROS_CULTURAS!$F$6:$F$28,$P1485),"INICIAL",IF($O1485&lt;=INDEX(PARAMETROS_CULTURAS!$F$6:$F$28,$P1485)+INDEX(PARAMETROS_CULTURAS!$G$6:$G$28,$P1485),"DESENVOLVIMENTO",IF($O1485&lt;=INDEX(PARAMETROS_CULTURAS!$F$6:$F$28,$P1485)+INDEX(PARAMETROS_CULTURAS!$G$6:$G$28,$P1485)+INDEX(PARAMETROS_CULTURAS!$H$6:$H$28,$P1485),"MEDIA","FINAL"))))</f>
        <v>MEDIA</v>
      </c>
      <c r="R1485" s="24" t="n">
        <f aca="false">IF($P1485=0,0,IF($O1485&lt;=INDEX(PARAMETROS_CULTURAS!$F$6:$F$28,$P1485),INDEX(PARAMETROS_CULTURAS!$K$6:$K$28,$P1485),IF($O1485&lt;=INDEX(PARAMETROS_CULTURAS!$F$6:$F$28,$P1485)+INDEX(PARAMETROS_CULTURAS!$G$6:$G$28,$P1485),INDEX(PARAMETROS_CULTURAS!$K$6:$K$28,$P1485)+(INDEX(PARAMETROS_CULTURAS!$L$6:$L$28,$P1485)-INDEX(PARAMETROS_CULTURAS!$K$6:$K$28,$P1485))*($O1485-INDEX(PARAMETROS_CULTURAS!$F$6:$F$28,$P1485))/MAX(INDEX(PARAMETROS_CULTURAS!$G$6:$G$28,$P1485),0.0001),IF($O1485&lt;=INDEX(PARAMETROS_CULTURAS!$F$6:$F$28,$P1485)+INDEX(PARAMETROS_CULTURAS!$G$6:$G$28,$P1485)+INDEX(PARAMETROS_CULTURAS!$H$6:$H$28,$P1485),INDEX(PARAMETROS_CULTURAS!$L$6:$L$28,$P1485),INDEX(PARAMETROS_CULTURAS!$L$6:$L$28,$P1485)+(INDEX(PARAMETROS_CULTURAS!$M$6:$M$28,$P1485)-INDEX(PARAMETROS_CULTURAS!$L$6:$L$28,$P1485))*($O1485-INDEX(PARAMETROS_CULTURAS!$F$6:$F$28,$P1485)-INDEX(PARAMETROS_CULTURAS!$G$6:$G$28,$P1485)-INDEX(PARAMETROS_CULTURAS!$H$6:$H$28,$P1485))/MAX(INDEX(PARAMETROS_CULTURAS!$I$6:$I$28,$P1485),0.0001)))))</f>
        <v>1.15</v>
      </c>
      <c r="S1485" s="18" t="n">
        <f aca="false">IFERROR(INDEX(SEMANAS!$H$6:$H$71,MATCH($B1485,SEMANAS!$B$6:$B$71,0)),0)</f>
        <v>32.2</v>
      </c>
      <c r="T1485" s="18" t="n">
        <f aca="false">$R1485*$S1485</f>
        <v>37.03</v>
      </c>
      <c r="U1485" s="18" t="n">
        <f aca="false">IFERROR(INDEX(SEMANAS!$I$6:$I$71,MATCH($B1485,SEMANAS!$B$6:$B$71,0)),0)</f>
        <v>37.24</v>
      </c>
      <c r="V1485" s="18" t="n">
        <f aca="false">IFERROR(INDEX(SEMANAS!$J$6:$J$71,MATCH($B1485,SEMANAS!$B$6:$B$71,0)),0)</f>
        <v>29.792</v>
      </c>
      <c r="W1485" s="18" t="n">
        <f aca="false">MAX(0,$T1485-$V1485)</f>
        <v>7.23799999999999</v>
      </c>
      <c r="X1485" s="19" t="n">
        <f aca="false">IFERROR(INDEX(CADASTRO_PIVOS!$K$6:$K$41,MATCH($E1485,CADASTRO_PIVOS!$B$6:$B$41,0)),EFICIENCIA_PADRAO)</f>
        <v>0.85</v>
      </c>
      <c r="Y1485" s="18" t="n">
        <f aca="false">IF($X1485&lt;=0,0,$W1485/$X1485)</f>
        <v>8.51529411764705</v>
      </c>
      <c r="Z1485" s="16" t="n">
        <f aca="false">$Y1485*$H1485*MM_PARA_M3_HA</f>
        <v>12767.832</v>
      </c>
      <c r="AA1485" s="18" t="n">
        <f aca="false">IFERROR(INDEX(CADASTRO_PIVOS!$I$6:$I$41,MATCH($E1485,CADASTRO_PIVOS!$B$6:$B$41,0)),0)</f>
        <v>1071</v>
      </c>
      <c r="AB1485" s="18" t="n">
        <f aca="false">IF($Z1485&lt;=0,0,$Z1485/$AA1485)</f>
        <v>11.9214117647059</v>
      </c>
      <c r="AC1485" s="16" t="n">
        <f aca="false">IFERROR(INDEX(SEMANAS!$K$6:$K$71,MATCH($B1485,SEMANAS!$B$6:$B$71,0)),0)</f>
        <v>147</v>
      </c>
      <c r="AD1485" s="19" t="n">
        <f aca="false">IF($AC1485&lt;=0,0,$AB1485/$AC1485)</f>
        <v>0.0810980392156862</v>
      </c>
      <c r="AE1485" s="8" t="str">
        <f aca="false">IF($K1485="SEM CULTURA","SEM CULTURA",IF($AA1485&lt;=0,"DADO PENDENTE",IF($AD1485&gt;LIMITE_CRITICO,"INVIAVEL",IF($AD1485&gt;LIMITE_ATENCAO,"CRITICO",IF($AD1485&gt;LIMITE_CONFORTAVEL,"ATENCAO","OK")))))</f>
        <v>OK</v>
      </c>
      <c r="AF1485" s="8" t="str">
        <f aca="false">$B1485&amp;"|"&amp;TEXT($AD1485,"0.000000")</f>
        <v>28|0.081098</v>
      </c>
      <c r="AG1485" s="18" t="n">
        <f aca="false">IF($K1485="SEM CULTURA",0,$T1485*$H1485)</f>
        <v>5552.2782</v>
      </c>
      <c r="AH1485" s="18" t="n">
        <f aca="false">IF($K1485="SEM CULTURA",0,$V1485*$H1485)</f>
        <v>4467.01248</v>
      </c>
      <c r="AI1485" s="18" t="n">
        <f aca="false">IF($K1485="SEM CULTURA",0,$W1485*$H1485)</f>
        <v>1085.26572</v>
      </c>
      <c r="AJ1485" s="18" t="n">
        <f aca="false">IF($K1485="SEM CULTURA",0,$S1485*$H1485)</f>
        <v>4828.068</v>
      </c>
      <c r="AK1485" s="8" t="str">
        <f aca="false">$E1485&amp;"|"&amp;TEXT($AD1485,"0.000000")</f>
        <v>PV 130|0.081098</v>
      </c>
    </row>
    <row r="1486" customFormat="false" ht="15" hidden="false" customHeight="false" outlineLevel="0" collapsed="false">
      <c r="B1486" s="16" t="n">
        <v>29</v>
      </c>
      <c r="C1486" s="17" t="n">
        <f aca="false">DATA_INICIO_SAFRA+($B1486-1)*DIAS_POR_SEMANA</f>
        <v>46461</v>
      </c>
      <c r="D1486" s="17" t="n">
        <f aca="false">$C1486+DIAS_POR_SEMANA-1</f>
        <v>46467</v>
      </c>
      <c r="E1486" s="15" t="s">
        <v>281</v>
      </c>
      <c r="F1486" s="8" t="str">
        <f aca="false">IFERROR(INDEX(CADASTRO_PIVOS!$C$6:$C$41,MATCH($E1486,CADASTRO_PIVOS!$B$6:$B$41,0)),"?")</f>
        <v>RM06</v>
      </c>
      <c r="G1486" s="8" t="str">
        <f aca="false">IFERROR(INDEX(CADASTRO_PIVOS!$D$6:$D$41,MATCH($E1486,CADASTRO_PIVOS!$B$6:$B$41,0)),"?")</f>
        <v>TR06</v>
      </c>
      <c r="H1486" s="20" t="n">
        <f aca="false">IFERROR(INDEX(CADASTRO_PIVOS!$E$6:$E$41,MATCH($E1486,CADASTRO_PIVOS!$B$6:$B$41,0)),0)</f>
        <v>149.94</v>
      </c>
      <c r="I1486" s="16" t="n">
        <f aca="false">IFERROR(SUMIFS(ROTACAO_RDM!$B$6:$B$71,ROTACAO_RDM!$D$6:$D$71,$E1486,ROTACAO_RDM!$I$6:$I$71,"&lt;="&amp;$C1486+INT(DIAS_POR_SEMANA/2),ROTACAO_RDM!$J$6:$J$71,"&gt;="&amp;$C1486+INT(DIAS_POR_SEMANA/2)),0)</f>
        <v>58</v>
      </c>
      <c r="J1486" s="16" t="n">
        <f aca="false">IFERROR(MATCH($I1486,ROTACAO_RDM!$B$6:$B$71,0),0)</f>
        <v>58</v>
      </c>
      <c r="K1486" s="8" t="str">
        <f aca="false">IF($J1486=0,"SEM CULTURA",INDEX(ROTACAO_RDM!$F$6:$F$71,$J1486))</f>
        <v>ALGODAO</v>
      </c>
      <c r="L1486" s="8" t="str">
        <f aca="false">IF($J1486=0,"",INDEX(ROTACAO_RDM!$G$6:$G$71,$J1486))</f>
        <v>IMA 3764 B2RF</v>
      </c>
      <c r="M1486" s="17" t="n">
        <f aca="false">IF($J1486=0,"",INDEX(ROTACAO_RDM!$I$6:$I$71,$J1486))</f>
        <v>46358</v>
      </c>
      <c r="N1486" s="16" t="n">
        <f aca="false">IF($J1486=0,0,MAX(0,$C1486+INT(DIAS_POR_SEMANA/2)-INDEX(ROTACAO_RDM!$I$6:$I$71,$J1486)))</f>
        <v>106</v>
      </c>
      <c r="O1486" s="19" t="n">
        <f aca="false">IF($J1486=0,0,MIN(1,$N1486/MAX(1,INDEX(ROTACAO_RDM!$K$6:$K$71,$J1486))))</f>
        <v>0.504761904761905</v>
      </c>
      <c r="P1486" s="16" t="n">
        <f aca="false">IF($J1486=0,0,IFERROR(MATCH(INDEX(ROTACAO_RDM!$N$6:$N$71,$J1486),PARAMETROS_CULTURAS!$B$6:$B$28,0),0))</f>
        <v>6</v>
      </c>
      <c r="Q1486" s="8" t="str">
        <f aca="false">IF($P1486=0,"-",IF($O1486&lt;=INDEX(PARAMETROS_CULTURAS!$F$6:$F$28,$P1486),"INICIAL",IF($O1486&lt;=INDEX(PARAMETROS_CULTURAS!$F$6:$F$28,$P1486)+INDEX(PARAMETROS_CULTURAS!$G$6:$G$28,$P1486),"DESENVOLVIMENTO",IF($O1486&lt;=INDEX(PARAMETROS_CULTURAS!$F$6:$F$28,$P1486)+INDEX(PARAMETROS_CULTURAS!$G$6:$G$28,$P1486)+INDEX(PARAMETROS_CULTURAS!$H$6:$H$28,$P1486),"MEDIA","FINAL"))))</f>
        <v>MEDIA</v>
      </c>
      <c r="R1486" s="24" t="n">
        <f aca="false">IF($P1486=0,0,IF($O1486&lt;=INDEX(PARAMETROS_CULTURAS!$F$6:$F$28,$P1486),INDEX(PARAMETROS_CULTURAS!$K$6:$K$28,$P1486),IF($O1486&lt;=INDEX(PARAMETROS_CULTURAS!$F$6:$F$28,$P1486)+INDEX(PARAMETROS_CULTURAS!$G$6:$G$28,$P1486),INDEX(PARAMETROS_CULTURAS!$K$6:$K$28,$P1486)+(INDEX(PARAMETROS_CULTURAS!$L$6:$L$28,$P1486)-INDEX(PARAMETROS_CULTURAS!$K$6:$K$28,$P1486))*($O1486-INDEX(PARAMETROS_CULTURAS!$F$6:$F$28,$P1486))/MAX(INDEX(PARAMETROS_CULTURAS!$G$6:$G$28,$P1486),0.0001),IF($O1486&lt;=INDEX(PARAMETROS_CULTURAS!$F$6:$F$28,$P1486)+INDEX(PARAMETROS_CULTURAS!$G$6:$G$28,$P1486)+INDEX(PARAMETROS_CULTURAS!$H$6:$H$28,$P1486),INDEX(PARAMETROS_CULTURAS!$L$6:$L$28,$P1486),INDEX(PARAMETROS_CULTURAS!$L$6:$L$28,$P1486)+(INDEX(PARAMETROS_CULTURAS!$M$6:$M$28,$P1486)-INDEX(PARAMETROS_CULTURAS!$L$6:$L$28,$P1486))*($O1486-INDEX(PARAMETROS_CULTURAS!$F$6:$F$28,$P1486)-INDEX(PARAMETROS_CULTURAS!$G$6:$G$28,$P1486)-INDEX(PARAMETROS_CULTURAS!$H$6:$H$28,$P1486))/MAX(INDEX(PARAMETROS_CULTURAS!$I$6:$I$28,$P1486),0.0001)))))</f>
        <v>1.15</v>
      </c>
      <c r="S1486" s="18" t="n">
        <f aca="false">IFERROR(INDEX(SEMANAS!$H$6:$H$71,MATCH($B1486,SEMANAS!$B$6:$B$71,0)),0)</f>
        <v>32.2</v>
      </c>
      <c r="T1486" s="18" t="n">
        <f aca="false">$R1486*$S1486</f>
        <v>37.03</v>
      </c>
      <c r="U1486" s="18" t="n">
        <f aca="false">IFERROR(INDEX(SEMANAS!$I$6:$I$71,MATCH($B1486,SEMANAS!$B$6:$B$71,0)),0)</f>
        <v>37.24</v>
      </c>
      <c r="V1486" s="18" t="n">
        <f aca="false">IFERROR(INDEX(SEMANAS!$J$6:$J$71,MATCH($B1486,SEMANAS!$B$6:$B$71,0)),0)</f>
        <v>29.792</v>
      </c>
      <c r="W1486" s="18" t="n">
        <f aca="false">MAX(0,$T1486-$V1486)</f>
        <v>7.23799999999999</v>
      </c>
      <c r="X1486" s="19" t="n">
        <f aca="false">IFERROR(INDEX(CADASTRO_PIVOS!$K$6:$K$41,MATCH($E1486,CADASTRO_PIVOS!$B$6:$B$41,0)),EFICIENCIA_PADRAO)</f>
        <v>0.85</v>
      </c>
      <c r="Y1486" s="18" t="n">
        <f aca="false">IF($X1486&lt;=0,0,$W1486/$X1486)</f>
        <v>8.51529411764705</v>
      </c>
      <c r="Z1486" s="16" t="n">
        <f aca="false">$Y1486*$H1486*MM_PARA_M3_HA</f>
        <v>12767.832</v>
      </c>
      <c r="AA1486" s="18" t="n">
        <f aca="false">IFERROR(INDEX(CADASTRO_PIVOS!$I$6:$I$41,MATCH($E1486,CADASTRO_PIVOS!$B$6:$B$41,0)),0)</f>
        <v>1071</v>
      </c>
      <c r="AB1486" s="18" t="n">
        <f aca="false">IF($Z1486&lt;=0,0,$Z1486/$AA1486)</f>
        <v>11.9214117647059</v>
      </c>
      <c r="AC1486" s="16" t="n">
        <f aca="false">IFERROR(INDEX(SEMANAS!$K$6:$K$71,MATCH($B1486,SEMANAS!$B$6:$B$71,0)),0)</f>
        <v>147</v>
      </c>
      <c r="AD1486" s="19" t="n">
        <f aca="false">IF($AC1486&lt;=0,0,$AB1486/$AC1486)</f>
        <v>0.0810980392156862</v>
      </c>
      <c r="AE1486" s="8" t="str">
        <f aca="false">IF($K1486="SEM CULTURA","SEM CULTURA",IF($AA1486&lt;=0,"DADO PENDENTE",IF($AD1486&gt;LIMITE_CRITICO,"INVIAVEL",IF($AD1486&gt;LIMITE_ATENCAO,"CRITICO",IF($AD1486&gt;LIMITE_CONFORTAVEL,"ATENCAO","OK")))))</f>
        <v>OK</v>
      </c>
      <c r="AF1486" s="8" t="str">
        <f aca="false">$B1486&amp;"|"&amp;TEXT($AD1486,"0.000000")</f>
        <v>29|0.081098</v>
      </c>
      <c r="AG1486" s="18" t="n">
        <f aca="false">IF($K1486="SEM CULTURA",0,$T1486*$H1486)</f>
        <v>5552.2782</v>
      </c>
      <c r="AH1486" s="18" t="n">
        <f aca="false">IF($K1486="SEM CULTURA",0,$V1486*$H1486)</f>
        <v>4467.01248</v>
      </c>
      <c r="AI1486" s="18" t="n">
        <f aca="false">IF($K1486="SEM CULTURA",0,$W1486*$H1486)</f>
        <v>1085.26572</v>
      </c>
      <c r="AJ1486" s="18" t="n">
        <f aca="false">IF($K1486="SEM CULTURA",0,$S1486*$H1486)</f>
        <v>4828.068</v>
      </c>
      <c r="AK1486" s="8" t="str">
        <f aca="false">$E1486&amp;"|"&amp;TEXT($AD1486,"0.000000")</f>
        <v>PV 130|0.081098</v>
      </c>
    </row>
    <row r="1487" customFormat="false" ht="15" hidden="false" customHeight="false" outlineLevel="0" collapsed="false">
      <c r="B1487" s="16" t="n">
        <v>30</v>
      </c>
      <c r="C1487" s="17" t="n">
        <f aca="false">DATA_INICIO_SAFRA+($B1487-1)*DIAS_POR_SEMANA</f>
        <v>46468</v>
      </c>
      <c r="D1487" s="17" t="n">
        <f aca="false">$C1487+DIAS_POR_SEMANA-1</f>
        <v>46474</v>
      </c>
      <c r="E1487" s="15" t="s">
        <v>281</v>
      </c>
      <c r="F1487" s="8" t="str">
        <f aca="false">IFERROR(INDEX(CADASTRO_PIVOS!$C$6:$C$41,MATCH($E1487,CADASTRO_PIVOS!$B$6:$B$41,0)),"?")</f>
        <v>RM06</v>
      </c>
      <c r="G1487" s="8" t="str">
        <f aca="false">IFERROR(INDEX(CADASTRO_PIVOS!$D$6:$D$41,MATCH($E1487,CADASTRO_PIVOS!$B$6:$B$41,0)),"?")</f>
        <v>TR06</v>
      </c>
      <c r="H1487" s="20" t="n">
        <f aca="false">IFERROR(INDEX(CADASTRO_PIVOS!$E$6:$E$41,MATCH($E1487,CADASTRO_PIVOS!$B$6:$B$41,0)),0)</f>
        <v>149.94</v>
      </c>
      <c r="I1487" s="16" t="n">
        <f aca="false">IFERROR(SUMIFS(ROTACAO_RDM!$B$6:$B$71,ROTACAO_RDM!$D$6:$D$71,$E1487,ROTACAO_RDM!$I$6:$I$71,"&lt;="&amp;$C1487+INT(DIAS_POR_SEMANA/2),ROTACAO_RDM!$J$6:$J$71,"&gt;="&amp;$C1487+INT(DIAS_POR_SEMANA/2)),0)</f>
        <v>58</v>
      </c>
      <c r="J1487" s="16" t="n">
        <f aca="false">IFERROR(MATCH($I1487,ROTACAO_RDM!$B$6:$B$71,0),0)</f>
        <v>58</v>
      </c>
      <c r="K1487" s="8" t="str">
        <f aca="false">IF($J1487=0,"SEM CULTURA",INDEX(ROTACAO_RDM!$F$6:$F$71,$J1487))</f>
        <v>ALGODAO</v>
      </c>
      <c r="L1487" s="8" t="str">
        <f aca="false">IF($J1487=0,"",INDEX(ROTACAO_RDM!$G$6:$G$71,$J1487))</f>
        <v>IMA 3764 B2RF</v>
      </c>
      <c r="M1487" s="17" t="n">
        <f aca="false">IF($J1487=0,"",INDEX(ROTACAO_RDM!$I$6:$I$71,$J1487))</f>
        <v>46358</v>
      </c>
      <c r="N1487" s="16" t="n">
        <f aca="false">IF($J1487=0,0,MAX(0,$C1487+INT(DIAS_POR_SEMANA/2)-INDEX(ROTACAO_RDM!$I$6:$I$71,$J1487)))</f>
        <v>113</v>
      </c>
      <c r="O1487" s="19" t="n">
        <f aca="false">IF($J1487=0,0,MIN(1,$N1487/MAX(1,INDEX(ROTACAO_RDM!$K$6:$K$71,$J1487))))</f>
        <v>0.538095238095238</v>
      </c>
      <c r="P1487" s="16" t="n">
        <f aca="false">IF($J1487=0,0,IFERROR(MATCH(INDEX(ROTACAO_RDM!$N$6:$N$71,$J1487),PARAMETROS_CULTURAS!$B$6:$B$28,0),0))</f>
        <v>6</v>
      </c>
      <c r="Q1487" s="8" t="str">
        <f aca="false">IF($P1487=0,"-",IF($O1487&lt;=INDEX(PARAMETROS_CULTURAS!$F$6:$F$28,$P1487),"INICIAL",IF($O1487&lt;=INDEX(PARAMETROS_CULTURAS!$F$6:$F$28,$P1487)+INDEX(PARAMETROS_CULTURAS!$G$6:$G$28,$P1487),"DESENVOLVIMENTO",IF($O1487&lt;=INDEX(PARAMETROS_CULTURAS!$F$6:$F$28,$P1487)+INDEX(PARAMETROS_CULTURAS!$G$6:$G$28,$P1487)+INDEX(PARAMETROS_CULTURAS!$H$6:$H$28,$P1487),"MEDIA","FINAL"))))</f>
        <v>MEDIA</v>
      </c>
      <c r="R1487" s="24" t="n">
        <f aca="false">IF($P1487=0,0,IF($O1487&lt;=INDEX(PARAMETROS_CULTURAS!$F$6:$F$28,$P1487),INDEX(PARAMETROS_CULTURAS!$K$6:$K$28,$P1487),IF($O1487&lt;=INDEX(PARAMETROS_CULTURAS!$F$6:$F$28,$P1487)+INDEX(PARAMETROS_CULTURAS!$G$6:$G$28,$P1487),INDEX(PARAMETROS_CULTURAS!$K$6:$K$28,$P1487)+(INDEX(PARAMETROS_CULTURAS!$L$6:$L$28,$P1487)-INDEX(PARAMETROS_CULTURAS!$K$6:$K$28,$P1487))*($O1487-INDEX(PARAMETROS_CULTURAS!$F$6:$F$28,$P1487))/MAX(INDEX(PARAMETROS_CULTURAS!$G$6:$G$28,$P1487),0.0001),IF($O1487&lt;=INDEX(PARAMETROS_CULTURAS!$F$6:$F$28,$P1487)+INDEX(PARAMETROS_CULTURAS!$G$6:$G$28,$P1487)+INDEX(PARAMETROS_CULTURAS!$H$6:$H$28,$P1487),INDEX(PARAMETROS_CULTURAS!$L$6:$L$28,$P1487),INDEX(PARAMETROS_CULTURAS!$L$6:$L$28,$P1487)+(INDEX(PARAMETROS_CULTURAS!$M$6:$M$28,$P1487)-INDEX(PARAMETROS_CULTURAS!$L$6:$L$28,$P1487))*($O1487-INDEX(PARAMETROS_CULTURAS!$F$6:$F$28,$P1487)-INDEX(PARAMETROS_CULTURAS!$G$6:$G$28,$P1487)-INDEX(PARAMETROS_CULTURAS!$H$6:$H$28,$P1487))/MAX(INDEX(PARAMETROS_CULTURAS!$I$6:$I$28,$P1487),0.0001)))))</f>
        <v>1.15</v>
      </c>
      <c r="S1487" s="18" t="n">
        <f aca="false">IFERROR(INDEX(SEMANAS!$H$6:$H$71,MATCH($B1487,SEMANAS!$B$6:$B$71,0)),0)</f>
        <v>32.2</v>
      </c>
      <c r="T1487" s="18" t="n">
        <f aca="false">$R1487*$S1487</f>
        <v>37.03</v>
      </c>
      <c r="U1487" s="18" t="n">
        <f aca="false">IFERROR(INDEX(SEMANAS!$I$6:$I$71,MATCH($B1487,SEMANAS!$B$6:$B$71,0)),0)</f>
        <v>37.24</v>
      </c>
      <c r="V1487" s="18" t="n">
        <f aca="false">IFERROR(INDEX(SEMANAS!$J$6:$J$71,MATCH($B1487,SEMANAS!$B$6:$B$71,0)),0)</f>
        <v>29.792</v>
      </c>
      <c r="W1487" s="18" t="n">
        <f aca="false">MAX(0,$T1487-$V1487)</f>
        <v>7.23799999999999</v>
      </c>
      <c r="X1487" s="19" t="n">
        <f aca="false">IFERROR(INDEX(CADASTRO_PIVOS!$K$6:$K$41,MATCH($E1487,CADASTRO_PIVOS!$B$6:$B$41,0)),EFICIENCIA_PADRAO)</f>
        <v>0.85</v>
      </c>
      <c r="Y1487" s="18" t="n">
        <f aca="false">IF($X1487&lt;=0,0,$W1487/$X1487)</f>
        <v>8.51529411764705</v>
      </c>
      <c r="Z1487" s="16" t="n">
        <f aca="false">$Y1487*$H1487*MM_PARA_M3_HA</f>
        <v>12767.832</v>
      </c>
      <c r="AA1487" s="18" t="n">
        <f aca="false">IFERROR(INDEX(CADASTRO_PIVOS!$I$6:$I$41,MATCH($E1487,CADASTRO_PIVOS!$B$6:$B$41,0)),0)</f>
        <v>1071</v>
      </c>
      <c r="AB1487" s="18" t="n">
        <f aca="false">IF($Z1487&lt;=0,0,$Z1487/$AA1487)</f>
        <v>11.9214117647059</v>
      </c>
      <c r="AC1487" s="16" t="n">
        <f aca="false">IFERROR(INDEX(SEMANAS!$K$6:$K$71,MATCH($B1487,SEMANAS!$B$6:$B$71,0)),0)</f>
        <v>147</v>
      </c>
      <c r="AD1487" s="19" t="n">
        <f aca="false">IF($AC1487&lt;=0,0,$AB1487/$AC1487)</f>
        <v>0.0810980392156862</v>
      </c>
      <c r="AE1487" s="8" t="str">
        <f aca="false">IF($K1487="SEM CULTURA","SEM CULTURA",IF($AA1487&lt;=0,"DADO PENDENTE",IF($AD1487&gt;LIMITE_CRITICO,"INVIAVEL",IF($AD1487&gt;LIMITE_ATENCAO,"CRITICO",IF($AD1487&gt;LIMITE_CONFORTAVEL,"ATENCAO","OK")))))</f>
        <v>OK</v>
      </c>
      <c r="AF1487" s="8" t="str">
        <f aca="false">$B1487&amp;"|"&amp;TEXT($AD1487,"0.000000")</f>
        <v>30|0.081098</v>
      </c>
      <c r="AG1487" s="18" t="n">
        <f aca="false">IF($K1487="SEM CULTURA",0,$T1487*$H1487)</f>
        <v>5552.2782</v>
      </c>
      <c r="AH1487" s="18" t="n">
        <f aca="false">IF($K1487="SEM CULTURA",0,$V1487*$H1487)</f>
        <v>4467.01248</v>
      </c>
      <c r="AI1487" s="18" t="n">
        <f aca="false">IF($K1487="SEM CULTURA",0,$W1487*$H1487)</f>
        <v>1085.26572</v>
      </c>
      <c r="AJ1487" s="18" t="n">
        <f aca="false">IF($K1487="SEM CULTURA",0,$S1487*$H1487)</f>
        <v>4828.068</v>
      </c>
      <c r="AK1487" s="8" t="str">
        <f aca="false">$E1487&amp;"|"&amp;TEXT($AD1487,"0.000000")</f>
        <v>PV 130|0.081098</v>
      </c>
    </row>
    <row r="1488" customFormat="false" ht="15" hidden="false" customHeight="false" outlineLevel="0" collapsed="false">
      <c r="B1488" s="16" t="n">
        <v>31</v>
      </c>
      <c r="C1488" s="17" t="n">
        <f aca="false">DATA_INICIO_SAFRA+($B1488-1)*DIAS_POR_SEMANA</f>
        <v>46475</v>
      </c>
      <c r="D1488" s="17" t="n">
        <f aca="false">$C1488+DIAS_POR_SEMANA-1</f>
        <v>46481</v>
      </c>
      <c r="E1488" s="15" t="s">
        <v>281</v>
      </c>
      <c r="F1488" s="8" t="str">
        <f aca="false">IFERROR(INDEX(CADASTRO_PIVOS!$C$6:$C$41,MATCH($E1488,CADASTRO_PIVOS!$B$6:$B$41,0)),"?")</f>
        <v>RM06</v>
      </c>
      <c r="G1488" s="8" t="str">
        <f aca="false">IFERROR(INDEX(CADASTRO_PIVOS!$D$6:$D$41,MATCH($E1488,CADASTRO_PIVOS!$B$6:$B$41,0)),"?")</f>
        <v>TR06</v>
      </c>
      <c r="H1488" s="20" t="n">
        <f aca="false">IFERROR(INDEX(CADASTRO_PIVOS!$E$6:$E$41,MATCH($E1488,CADASTRO_PIVOS!$B$6:$B$41,0)),0)</f>
        <v>149.94</v>
      </c>
      <c r="I1488" s="16" t="n">
        <f aca="false">IFERROR(SUMIFS(ROTACAO_RDM!$B$6:$B$71,ROTACAO_RDM!$D$6:$D$71,$E1488,ROTACAO_RDM!$I$6:$I$71,"&lt;="&amp;$C1488+INT(DIAS_POR_SEMANA/2),ROTACAO_RDM!$J$6:$J$71,"&gt;="&amp;$C1488+INT(DIAS_POR_SEMANA/2)),0)</f>
        <v>58</v>
      </c>
      <c r="J1488" s="16" t="n">
        <f aca="false">IFERROR(MATCH($I1488,ROTACAO_RDM!$B$6:$B$71,0),0)</f>
        <v>58</v>
      </c>
      <c r="K1488" s="8" t="str">
        <f aca="false">IF($J1488=0,"SEM CULTURA",INDEX(ROTACAO_RDM!$F$6:$F$71,$J1488))</f>
        <v>ALGODAO</v>
      </c>
      <c r="L1488" s="8" t="str">
        <f aca="false">IF($J1488=0,"",INDEX(ROTACAO_RDM!$G$6:$G$71,$J1488))</f>
        <v>IMA 3764 B2RF</v>
      </c>
      <c r="M1488" s="17" t="n">
        <f aca="false">IF($J1488=0,"",INDEX(ROTACAO_RDM!$I$6:$I$71,$J1488))</f>
        <v>46358</v>
      </c>
      <c r="N1488" s="16" t="n">
        <f aca="false">IF($J1488=0,0,MAX(0,$C1488+INT(DIAS_POR_SEMANA/2)-INDEX(ROTACAO_RDM!$I$6:$I$71,$J1488)))</f>
        <v>120</v>
      </c>
      <c r="O1488" s="19" t="n">
        <f aca="false">IF($J1488=0,0,MIN(1,$N1488/MAX(1,INDEX(ROTACAO_RDM!$K$6:$K$71,$J1488))))</f>
        <v>0.571428571428571</v>
      </c>
      <c r="P1488" s="16" t="n">
        <f aca="false">IF($J1488=0,0,IFERROR(MATCH(INDEX(ROTACAO_RDM!$N$6:$N$71,$J1488),PARAMETROS_CULTURAS!$B$6:$B$28,0),0))</f>
        <v>6</v>
      </c>
      <c r="Q1488" s="8" t="str">
        <f aca="false">IF($P1488=0,"-",IF($O1488&lt;=INDEX(PARAMETROS_CULTURAS!$F$6:$F$28,$P1488),"INICIAL",IF($O1488&lt;=INDEX(PARAMETROS_CULTURAS!$F$6:$F$28,$P1488)+INDEX(PARAMETROS_CULTURAS!$G$6:$G$28,$P1488),"DESENVOLVIMENTO",IF($O1488&lt;=INDEX(PARAMETROS_CULTURAS!$F$6:$F$28,$P1488)+INDEX(PARAMETROS_CULTURAS!$G$6:$G$28,$P1488)+INDEX(PARAMETROS_CULTURAS!$H$6:$H$28,$P1488),"MEDIA","FINAL"))))</f>
        <v>MEDIA</v>
      </c>
      <c r="R1488" s="24" t="n">
        <f aca="false">IF($P1488=0,0,IF($O1488&lt;=INDEX(PARAMETROS_CULTURAS!$F$6:$F$28,$P1488),INDEX(PARAMETROS_CULTURAS!$K$6:$K$28,$P1488),IF($O1488&lt;=INDEX(PARAMETROS_CULTURAS!$F$6:$F$28,$P1488)+INDEX(PARAMETROS_CULTURAS!$G$6:$G$28,$P1488),INDEX(PARAMETROS_CULTURAS!$K$6:$K$28,$P1488)+(INDEX(PARAMETROS_CULTURAS!$L$6:$L$28,$P1488)-INDEX(PARAMETROS_CULTURAS!$K$6:$K$28,$P1488))*($O1488-INDEX(PARAMETROS_CULTURAS!$F$6:$F$28,$P1488))/MAX(INDEX(PARAMETROS_CULTURAS!$G$6:$G$28,$P1488),0.0001),IF($O1488&lt;=INDEX(PARAMETROS_CULTURAS!$F$6:$F$28,$P1488)+INDEX(PARAMETROS_CULTURAS!$G$6:$G$28,$P1488)+INDEX(PARAMETROS_CULTURAS!$H$6:$H$28,$P1488),INDEX(PARAMETROS_CULTURAS!$L$6:$L$28,$P1488),INDEX(PARAMETROS_CULTURAS!$L$6:$L$28,$P1488)+(INDEX(PARAMETROS_CULTURAS!$M$6:$M$28,$P1488)-INDEX(PARAMETROS_CULTURAS!$L$6:$L$28,$P1488))*($O1488-INDEX(PARAMETROS_CULTURAS!$F$6:$F$28,$P1488)-INDEX(PARAMETROS_CULTURAS!$G$6:$G$28,$P1488)-INDEX(PARAMETROS_CULTURAS!$H$6:$H$28,$P1488))/MAX(INDEX(PARAMETROS_CULTURAS!$I$6:$I$28,$P1488),0.0001)))))</f>
        <v>1.15</v>
      </c>
      <c r="S1488" s="18" t="n">
        <f aca="false">IFERROR(INDEX(SEMANAS!$H$6:$H$71,MATCH($B1488,SEMANAS!$B$6:$B$71,0)),0)</f>
        <v>31.8</v>
      </c>
      <c r="T1488" s="18" t="n">
        <f aca="false">$R1488*$S1488</f>
        <v>36.57</v>
      </c>
      <c r="U1488" s="18" t="n">
        <f aca="false">IFERROR(INDEX(SEMANAS!$I$6:$I$71,MATCH($B1488,SEMANAS!$B$6:$B$71,0)),0)</f>
        <v>25.28</v>
      </c>
      <c r="V1488" s="18" t="n">
        <f aca="false">IFERROR(INDEX(SEMANAS!$J$6:$J$71,MATCH($B1488,SEMANAS!$B$6:$B$71,0)),0)</f>
        <v>20.224</v>
      </c>
      <c r="W1488" s="18" t="n">
        <f aca="false">MAX(0,$T1488-$V1488)</f>
        <v>16.346</v>
      </c>
      <c r="X1488" s="19" t="n">
        <f aca="false">IFERROR(INDEX(CADASTRO_PIVOS!$K$6:$K$41,MATCH($E1488,CADASTRO_PIVOS!$B$6:$B$41,0)),EFICIENCIA_PADRAO)</f>
        <v>0.85</v>
      </c>
      <c r="Y1488" s="18" t="n">
        <f aca="false">IF($X1488&lt;=0,0,$W1488/$X1488)</f>
        <v>19.2305882352941</v>
      </c>
      <c r="Z1488" s="16" t="n">
        <f aca="false">$Y1488*$H1488*MM_PARA_M3_HA</f>
        <v>28834.344</v>
      </c>
      <c r="AA1488" s="18" t="n">
        <f aca="false">IFERROR(INDEX(CADASTRO_PIVOS!$I$6:$I$41,MATCH($E1488,CADASTRO_PIVOS!$B$6:$B$41,0)),0)</f>
        <v>1071</v>
      </c>
      <c r="AB1488" s="18" t="n">
        <f aca="false">IF($Z1488&lt;=0,0,$Z1488/$AA1488)</f>
        <v>26.9228235294118</v>
      </c>
      <c r="AC1488" s="16" t="n">
        <f aca="false">IFERROR(INDEX(SEMANAS!$K$6:$K$71,MATCH($B1488,SEMANAS!$B$6:$B$71,0)),0)</f>
        <v>147</v>
      </c>
      <c r="AD1488" s="19" t="n">
        <f aca="false">IF($AC1488&lt;=0,0,$AB1488/$AC1488)</f>
        <v>0.183148459383753</v>
      </c>
      <c r="AE1488" s="8" t="str">
        <f aca="false">IF($K1488="SEM CULTURA","SEM CULTURA",IF($AA1488&lt;=0,"DADO PENDENTE",IF($AD1488&gt;LIMITE_CRITICO,"INVIAVEL",IF($AD1488&gt;LIMITE_ATENCAO,"CRITICO",IF($AD1488&gt;LIMITE_CONFORTAVEL,"ATENCAO","OK")))))</f>
        <v>OK</v>
      </c>
      <c r="AF1488" s="8" t="str">
        <f aca="false">$B1488&amp;"|"&amp;TEXT($AD1488,"0.000000")</f>
        <v>31|0.183148</v>
      </c>
      <c r="AG1488" s="18" t="n">
        <f aca="false">IF($K1488="SEM CULTURA",0,$T1488*$H1488)</f>
        <v>5483.3058</v>
      </c>
      <c r="AH1488" s="18" t="n">
        <f aca="false">IF($K1488="SEM CULTURA",0,$V1488*$H1488)</f>
        <v>3032.38656</v>
      </c>
      <c r="AI1488" s="18" t="n">
        <f aca="false">IF($K1488="SEM CULTURA",0,$W1488*$H1488)</f>
        <v>2450.91924</v>
      </c>
      <c r="AJ1488" s="18" t="n">
        <f aca="false">IF($K1488="SEM CULTURA",0,$S1488*$H1488)</f>
        <v>4768.092</v>
      </c>
      <c r="AK1488" s="8" t="str">
        <f aca="false">$E1488&amp;"|"&amp;TEXT($AD1488,"0.000000")</f>
        <v>PV 130|0.183148</v>
      </c>
    </row>
    <row r="1489" customFormat="false" ht="15" hidden="false" customHeight="false" outlineLevel="0" collapsed="false">
      <c r="B1489" s="16" t="n">
        <v>32</v>
      </c>
      <c r="C1489" s="17" t="n">
        <f aca="false">DATA_INICIO_SAFRA+($B1489-1)*DIAS_POR_SEMANA</f>
        <v>46482</v>
      </c>
      <c r="D1489" s="17" t="n">
        <f aca="false">$C1489+DIAS_POR_SEMANA-1</f>
        <v>46488</v>
      </c>
      <c r="E1489" s="15" t="s">
        <v>281</v>
      </c>
      <c r="F1489" s="8" t="str">
        <f aca="false">IFERROR(INDEX(CADASTRO_PIVOS!$C$6:$C$41,MATCH($E1489,CADASTRO_PIVOS!$B$6:$B$41,0)),"?")</f>
        <v>RM06</v>
      </c>
      <c r="G1489" s="8" t="str">
        <f aca="false">IFERROR(INDEX(CADASTRO_PIVOS!$D$6:$D$41,MATCH($E1489,CADASTRO_PIVOS!$B$6:$B$41,0)),"?")</f>
        <v>TR06</v>
      </c>
      <c r="H1489" s="20" t="n">
        <f aca="false">IFERROR(INDEX(CADASTRO_PIVOS!$E$6:$E$41,MATCH($E1489,CADASTRO_PIVOS!$B$6:$B$41,0)),0)</f>
        <v>149.94</v>
      </c>
      <c r="I1489" s="16" t="n">
        <f aca="false">IFERROR(SUMIFS(ROTACAO_RDM!$B$6:$B$71,ROTACAO_RDM!$D$6:$D$71,$E1489,ROTACAO_RDM!$I$6:$I$71,"&lt;="&amp;$C1489+INT(DIAS_POR_SEMANA/2),ROTACAO_RDM!$J$6:$J$71,"&gt;="&amp;$C1489+INT(DIAS_POR_SEMANA/2)),0)</f>
        <v>58</v>
      </c>
      <c r="J1489" s="16" t="n">
        <f aca="false">IFERROR(MATCH($I1489,ROTACAO_RDM!$B$6:$B$71,0),0)</f>
        <v>58</v>
      </c>
      <c r="K1489" s="8" t="str">
        <f aca="false">IF($J1489=0,"SEM CULTURA",INDEX(ROTACAO_RDM!$F$6:$F$71,$J1489))</f>
        <v>ALGODAO</v>
      </c>
      <c r="L1489" s="8" t="str">
        <f aca="false">IF($J1489=0,"",INDEX(ROTACAO_RDM!$G$6:$G$71,$J1489))</f>
        <v>IMA 3764 B2RF</v>
      </c>
      <c r="M1489" s="17" t="n">
        <f aca="false">IF($J1489=0,"",INDEX(ROTACAO_RDM!$I$6:$I$71,$J1489))</f>
        <v>46358</v>
      </c>
      <c r="N1489" s="16" t="n">
        <f aca="false">IF($J1489=0,0,MAX(0,$C1489+INT(DIAS_POR_SEMANA/2)-INDEX(ROTACAO_RDM!$I$6:$I$71,$J1489)))</f>
        <v>127</v>
      </c>
      <c r="O1489" s="19" t="n">
        <f aca="false">IF($J1489=0,0,MIN(1,$N1489/MAX(1,INDEX(ROTACAO_RDM!$K$6:$K$71,$J1489))))</f>
        <v>0.604761904761905</v>
      </c>
      <c r="P1489" s="16" t="n">
        <f aca="false">IF($J1489=0,0,IFERROR(MATCH(INDEX(ROTACAO_RDM!$N$6:$N$71,$J1489),PARAMETROS_CULTURAS!$B$6:$B$28,0),0))</f>
        <v>6</v>
      </c>
      <c r="Q1489" s="8" t="str">
        <f aca="false">IF($P1489=0,"-",IF($O1489&lt;=INDEX(PARAMETROS_CULTURAS!$F$6:$F$28,$P1489),"INICIAL",IF($O1489&lt;=INDEX(PARAMETROS_CULTURAS!$F$6:$F$28,$P1489)+INDEX(PARAMETROS_CULTURAS!$G$6:$G$28,$P1489),"DESENVOLVIMENTO",IF($O1489&lt;=INDEX(PARAMETROS_CULTURAS!$F$6:$F$28,$P1489)+INDEX(PARAMETROS_CULTURAS!$G$6:$G$28,$P1489)+INDEX(PARAMETROS_CULTURAS!$H$6:$H$28,$P1489),"MEDIA","FINAL"))))</f>
        <v>MEDIA</v>
      </c>
      <c r="R1489" s="24" t="n">
        <f aca="false">IF($P1489=0,0,IF($O1489&lt;=INDEX(PARAMETROS_CULTURAS!$F$6:$F$28,$P1489),INDEX(PARAMETROS_CULTURAS!$K$6:$K$28,$P1489),IF($O1489&lt;=INDEX(PARAMETROS_CULTURAS!$F$6:$F$28,$P1489)+INDEX(PARAMETROS_CULTURAS!$G$6:$G$28,$P1489),INDEX(PARAMETROS_CULTURAS!$K$6:$K$28,$P1489)+(INDEX(PARAMETROS_CULTURAS!$L$6:$L$28,$P1489)-INDEX(PARAMETROS_CULTURAS!$K$6:$K$28,$P1489))*($O1489-INDEX(PARAMETROS_CULTURAS!$F$6:$F$28,$P1489))/MAX(INDEX(PARAMETROS_CULTURAS!$G$6:$G$28,$P1489),0.0001),IF($O1489&lt;=INDEX(PARAMETROS_CULTURAS!$F$6:$F$28,$P1489)+INDEX(PARAMETROS_CULTURAS!$G$6:$G$28,$P1489)+INDEX(PARAMETROS_CULTURAS!$H$6:$H$28,$P1489),INDEX(PARAMETROS_CULTURAS!$L$6:$L$28,$P1489),INDEX(PARAMETROS_CULTURAS!$L$6:$L$28,$P1489)+(INDEX(PARAMETROS_CULTURAS!$M$6:$M$28,$P1489)-INDEX(PARAMETROS_CULTURAS!$L$6:$L$28,$P1489))*($O1489-INDEX(PARAMETROS_CULTURAS!$F$6:$F$28,$P1489)-INDEX(PARAMETROS_CULTURAS!$G$6:$G$28,$P1489)-INDEX(PARAMETROS_CULTURAS!$H$6:$H$28,$P1489))/MAX(INDEX(PARAMETROS_CULTURAS!$I$6:$I$28,$P1489),0.0001)))))</f>
        <v>1.15</v>
      </c>
      <c r="S1489" s="18" t="n">
        <f aca="false">IFERROR(INDEX(SEMANAS!$H$6:$H$71,MATCH($B1489,SEMANAS!$B$6:$B$71,0)),0)</f>
        <v>31.5</v>
      </c>
      <c r="T1489" s="18" t="n">
        <f aca="false">$R1489*$S1489</f>
        <v>36.225</v>
      </c>
      <c r="U1489" s="18" t="n">
        <f aca="false">IFERROR(INDEX(SEMANAS!$I$6:$I$71,MATCH($B1489,SEMANAS!$B$6:$B$71,0)),0)</f>
        <v>16.31</v>
      </c>
      <c r="V1489" s="18" t="n">
        <f aca="false">IFERROR(INDEX(SEMANAS!$J$6:$J$71,MATCH($B1489,SEMANAS!$B$6:$B$71,0)),0)</f>
        <v>13.048</v>
      </c>
      <c r="W1489" s="18" t="n">
        <f aca="false">MAX(0,$T1489-$V1489)</f>
        <v>23.177</v>
      </c>
      <c r="X1489" s="19" t="n">
        <f aca="false">IFERROR(INDEX(CADASTRO_PIVOS!$K$6:$K$41,MATCH($E1489,CADASTRO_PIVOS!$B$6:$B$41,0)),EFICIENCIA_PADRAO)</f>
        <v>0.85</v>
      </c>
      <c r="Y1489" s="18" t="n">
        <f aca="false">IF($X1489&lt;=0,0,$W1489/$X1489)</f>
        <v>27.2670588235294</v>
      </c>
      <c r="Z1489" s="16" t="n">
        <f aca="false">$Y1489*$H1489*MM_PARA_M3_HA</f>
        <v>40884.228</v>
      </c>
      <c r="AA1489" s="18" t="n">
        <f aca="false">IFERROR(INDEX(CADASTRO_PIVOS!$I$6:$I$41,MATCH($E1489,CADASTRO_PIVOS!$B$6:$B$41,0)),0)</f>
        <v>1071</v>
      </c>
      <c r="AB1489" s="18" t="n">
        <f aca="false">IF($Z1489&lt;=0,0,$Z1489/$AA1489)</f>
        <v>38.1738823529412</v>
      </c>
      <c r="AC1489" s="16" t="n">
        <f aca="false">IFERROR(INDEX(SEMANAS!$K$6:$K$71,MATCH($B1489,SEMANAS!$B$6:$B$71,0)),0)</f>
        <v>147</v>
      </c>
      <c r="AD1489" s="19" t="n">
        <f aca="false">IF($AC1489&lt;=0,0,$AB1489/$AC1489)</f>
        <v>0.259686274509804</v>
      </c>
      <c r="AE1489" s="8" t="str">
        <f aca="false">IF($K1489="SEM CULTURA","SEM CULTURA",IF($AA1489&lt;=0,"DADO PENDENTE",IF($AD1489&gt;LIMITE_CRITICO,"INVIAVEL",IF($AD1489&gt;LIMITE_ATENCAO,"CRITICO",IF($AD1489&gt;LIMITE_CONFORTAVEL,"ATENCAO","OK")))))</f>
        <v>OK</v>
      </c>
      <c r="AF1489" s="8" t="str">
        <f aca="false">$B1489&amp;"|"&amp;TEXT($AD1489,"0.000000")</f>
        <v>32|0.259686</v>
      </c>
      <c r="AG1489" s="18" t="n">
        <f aca="false">IF($K1489="SEM CULTURA",0,$T1489*$H1489)</f>
        <v>5431.5765</v>
      </c>
      <c r="AH1489" s="18" t="n">
        <f aca="false">IF($K1489="SEM CULTURA",0,$V1489*$H1489)</f>
        <v>1956.41712</v>
      </c>
      <c r="AI1489" s="18" t="n">
        <f aca="false">IF($K1489="SEM CULTURA",0,$W1489*$H1489)</f>
        <v>3475.15938</v>
      </c>
      <c r="AJ1489" s="18" t="n">
        <f aca="false">IF($K1489="SEM CULTURA",0,$S1489*$H1489)</f>
        <v>4723.11</v>
      </c>
      <c r="AK1489" s="8" t="str">
        <f aca="false">$E1489&amp;"|"&amp;TEXT($AD1489,"0.000000")</f>
        <v>PV 130|0.259686</v>
      </c>
    </row>
    <row r="1490" customFormat="false" ht="15" hidden="false" customHeight="false" outlineLevel="0" collapsed="false">
      <c r="B1490" s="16" t="n">
        <v>33</v>
      </c>
      <c r="C1490" s="17" t="n">
        <f aca="false">DATA_INICIO_SAFRA+($B1490-1)*DIAS_POR_SEMANA</f>
        <v>46489</v>
      </c>
      <c r="D1490" s="17" t="n">
        <f aca="false">$C1490+DIAS_POR_SEMANA-1</f>
        <v>46495</v>
      </c>
      <c r="E1490" s="15" t="s">
        <v>281</v>
      </c>
      <c r="F1490" s="8" t="str">
        <f aca="false">IFERROR(INDEX(CADASTRO_PIVOS!$C$6:$C$41,MATCH($E1490,CADASTRO_PIVOS!$B$6:$B$41,0)),"?")</f>
        <v>RM06</v>
      </c>
      <c r="G1490" s="8" t="str">
        <f aca="false">IFERROR(INDEX(CADASTRO_PIVOS!$D$6:$D$41,MATCH($E1490,CADASTRO_PIVOS!$B$6:$B$41,0)),"?")</f>
        <v>TR06</v>
      </c>
      <c r="H1490" s="20" t="n">
        <f aca="false">IFERROR(INDEX(CADASTRO_PIVOS!$E$6:$E$41,MATCH($E1490,CADASTRO_PIVOS!$B$6:$B$41,0)),0)</f>
        <v>149.94</v>
      </c>
      <c r="I1490" s="16" t="n">
        <f aca="false">IFERROR(SUMIFS(ROTACAO_RDM!$B$6:$B$71,ROTACAO_RDM!$D$6:$D$71,$E1490,ROTACAO_RDM!$I$6:$I$71,"&lt;="&amp;$C1490+INT(DIAS_POR_SEMANA/2),ROTACAO_RDM!$J$6:$J$71,"&gt;="&amp;$C1490+INT(DIAS_POR_SEMANA/2)),0)</f>
        <v>58</v>
      </c>
      <c r="J1490" s="16" t="n">
        <f aca="false">IFERROR(MATCH($I1490,ROTACAO_RDM!$B$6:$B$71,0),0)</f>
        <v>58</v>
      </c>
      <c r="K1490" s="8" t="str">
        <f aca="false">IF($J1490=0,"SEM CULTURA",INDEX(ROTACAO_RDM!$F$6:$F$71,$J1490))</f>
        <v>ALGODAO</v>
      </c>
      <c r="L1490" s="8" t="str">
        <f aca="false">IF($J1490=0,"",INDEX(ROTACAO_RDM!$G$6:$G$71,$J1490))</f>
        <v>IMA 3764 B2RF</v>
      </c>
      <c r="M1490" s="17" t="n">
        <f aca="false">IF($J1490=0,"",INDEX(ROTACAO_RDM!$I$6:$I$71,$J1490))</f>
        <v>46358</v>
      </c>
      <c r="N1490" s="16" t="n">
        <f aca="false">IF($J1490=0,0,MAX(0,$C1490+INT(DIAS_POR_SEMANA/2)-INDEX(ROTACAO_RDM!$I$6:$I$71,$J1490)))</f>
        <v>134</v>
      </c>
      <c r="O1490" s="19" t="n">
        <f aca="false">IF($J1490=0,0,MIN(1,$N1490/MAX(1,INDEX(ROTACAO_RDM!$K$6:$K$71,$J1490))))</f>
        <v>0.638095238095238</v>
      </c>
      <c r="P1490" s="16" t="n">
        <f aca="false">IF($J1490=0,0,IFERROR(MATCH(INDEX(ROTACAO_RDM!$N$6:$N$71,$J1490),PARAMETROS_CULTURAS!$B$6:$B$28,0),0))</f>
        <v>6</v>
      </c>
      <c r="Q1490" s="8" t="str">
        <f aca="false">IF($P1490=0,"-",IF($O1490&lt;=INDEX(PARAMETROS_CULTURAS!$F$6:$F$28,$P1490),"INICIAL",IF($O1490&lt;=INDEX(PARAMETROS_CULTURAS!$F$6:$F$28,$P1490)+INDEX(PARAMETROS_CULTURAS!$G$6:$G$28,$P1490),"DESENVOLVIMENTO",IF($O1490&lt;=INDEX(PARAMETROS_CULTURAS!$F$6:$F$28,$P1490)+INDEX(PARAMETROS_CULTURAS!$G$6:$G$28,$P1490)+INDEX(PARAMETROS_CULTURAS!$H$6:$H$28,$P1490),"MEDIA","FINAL"))))</f>
        <v>MEDIA</v>
      </c>
      <c r="R1490" s="24" t="n">
        <f aca="false">IF($P1490=0,0,IF($O1490&lt;=INDEX(PARAMETROS_CULTURAS!$F$6:$F$28,$P1490),INDEX(PARAMETROS_CULTURAS!$K$6:$K$28,$P1490),IF($O1490&lt;=INDEX(PARAMETROS_CULTURAS!$F$6:$F$28,$P1490)+INDEX(PARAMETROS_CULTURAS!$G$6:$G$28,$P1490),INDEX(PARAMETROS_CULTURAS!$K$6:$K$28,$P1490)+(INDEX(PARAMETROS_CULTURAS!$L$6:$L$28,$P1490)-INDEX(PARAMETROS_CULTURAS!$K$6:$K$28,$P1490))*($O1490-INDEX(PARAMETROS_CULTURAS!$F$6:$F$28,$P1490))/MAX(INDEX(PARAMETROS_CULTURAS!$G$6:$G$28,$P1490),0.0001),IF($O1490&lt;=INDEX(PARAMETROS_CULTURAS!$F$6:$F$28,$P1490)+INDEX(PARAMETROS_CULTURAS!$G$6:$G$28,$P1490)+INDEX(PARAMETROS_CULTURAS!$H$6:$H$28,$P1490),INDEX(PARAMETROS_CULTURAS!$L$6:$L$28,$P1490),INDEX(PARAMETROS_CULTURAS!$L$6:$L$28,$P1490)+(INDEX(PARAMETROS_CULTURAS!$M$6:$M$28,$P1490)-INDEX(PARAMETROS_CULTURAS!$L$6:$L$28,$P1490))*($O1490-INDEX(PARAMETROS_CULTURAS!$F$6:$F$28,$P1490)-INDEX(PARAMETROS_CULTURAS!$G$6:$G$28,$P1490)-INDEX(PARAMETROS_CULTURAS!$H$6:$H$28,$P1490))/MAX(INDEX(PARAMETROS_CULTURAS!$I$6:$I$28,$P1490),0.0001)))))</f>
        <v>1.15</v>
      </c>
      <c r="S1490" s="18" t="n">
        <f aca="false">IFERROR(INDEX(SEMANAS!$H$6:$H$71,MATCH($B1490,SEMANAS!$B$6:$B$71,0)),0)</f>
        <v>31.5</v>
      </c>
      <c r="T1490" s="18" t="n">
        <f aca="false">$R1490*$S1490</f>
        <v>36.225</v>
      </c>
      <c r="U1490" s="18" t="n">
        <f aca="false">IFERROR(INDEX(SEMANAS!$I$6:$I$71,MATCH($B1490,SEMANAS!$B$6:$B$71,0)),0)</f>
        <v>16.31</v>
      </c>
      <c r="V1490" s="18" t="n">
        <f aca="false">IFERROR(INDEX(SEMANAS!$J$6:$J$71,MATCH($B1490,SEMANAS!$B$6:$B$71,0)),0)</f>
        <v>13.048</v>
      </c>
      <c r="W1490" s="18" t="n">
        <f aca="false">MAX(0,$T1490-$V1490)</f>
        <v>23.177</v>
      </c>
      <c r="X1490" s="19" t="n">
        <f aca="false">IFERROR(INDEX(CADASTRO_PIVOS!$K$6:$K$41,MATCH($E1490,CADASTRO_PIVOS!$B$6:$B$41,0)),EFICIENCIA_PADRAO)</f>
        <v>0.85</v>
      </c>
      <c r="Y1490" s="18" t="n">
        <f aca="false">IF($X1490&lt;=0,0,$W1490/$X1490)</f>
        <v>27.2670588235294</v>
      </c>
      <c r="Z1490" s="16" t="n">
        <f aca="false">$Y1490*$H1490*MM_PARA_M3_HA</f>
        <v>40884.228</v>
      </c>
      <c r="AA1490" s="18" t="n">
        <f aca="false">IFERROR(INDEX(CADASTRO_PIVOS!$I$6:$I$41,MATCH($E1490,CADASTRO_PIVOS!$B$6:$B$41,0)),0)</f>
        <v>1071</v>
      </c>
      <c r="AB1490" s="18" t="n">
        <f aca="false">IF($Z1490&lt;=0,0,$Z1490/$AA1490)</f>
        <v>38.1738823529412</v>
      </c>
      <c r="AC1490" s="16" t="n">
        <f aca="false">IFERROR(INDEX(SEMANAS!$K$6:$K$71,MATCH($B1490,SEMANAS!$B$6:$B$71,0)),0)</f>
        <v>147</v>
      </c>
      <c r="AD1490" s="19" t="n">
        <f aca="false">IF($AC1490&lt;=0,0,$AB1490/$AC1490)</f>
        <v>0.259686274509804</v>
      </c>
      <c r="AE1490" s="8" t="str">
        <f aca="false">IF($K1490="SEM CULTURA","SEM CULTURA",IF($AA1490&lt;=0,"DADO PENDENTE",IF($AD1490&gt;LIMITE_CRITICO,"INVIAVEL",IF($AD1490&gt;LIMITE_ATENCAO,"CRITICO",IF($AD1490&gt;LIMITE_CONFORTAVEL,"ATENCAO","OK")))))</f>
        <v>OK</v>
      </c>
      <c r="AF1490" s="8" t="str">
        <f aca="false">$B1490&amp;"|"&amp;TEXT($AD1490,"0.000000")</f>
        <v>33|0.259686</v>
      </c>
      <c r="AG1490" s="18" t="n">
        <f aca="false">IF($K1490="SEM CULTURA",0,$T1490*$H1490)</f>
        <v>5431.5765</v>
      </c>
      <c r="AH1490" s="18" t="n">
        <f aca="false">IF($K1490="SEM CULTURA",0,$V1490*$H1490)</f>
        <v>1956.41712</v>
      </c>
      <c r="AI1490" s="18" t="n">
        <f aca="false">IF($K1490="SEM CULTURA",0,$W1490*$H1490)</f>
        <v>3475.15938</v>
      </c>
      <c r="AJ1490" s="18" t="n">
        <f aca="false">IF($K1490="SEM CULTURA",0,$S1490*$H1490)</f>
        <v>4723.11</v>
      </c>
      <c r="AK1490" s="8" t="str">
        <f aca="false">$E1490&amp;"|"&amp;TEXT($AD1490,"0.000000")</f>
        <v>PV 130|0.259686</v>
      </c>
    </row>
    <row r="1491" customFormat="false" ht="15" hidden="false" customHeight="false" outlineLevel="0" collapsed="false">
      <c r="B1491" s="16" t="n">
        <v>34</v>
      </c>
      <c r="C1491" s="17" t="n">
        <f aca="false">DATA_INICIO_SAFRA+($B1491-1)*DIAS_POR_SEMANA</f>
        <v>46496</v>
      </c>
      <c r="D1491" s="17" t="n">
        <f aca="false">$C1491+DIAS_POR_SEMANA-1</f>
        <v>46502</v>
      </c>
      <c r="E1491" s="15" t="s">
        <v>281</v>
      </c>
      <c r="F1491" s="8" t="str">
        <f aca="false">IFERROR(INDEX(CADASTRO_PIVOS!$C$6:$C$41,MATCH($E1491,CADASTRO_PIVOS!$B$6:$B$41,0)),"?")</f>
        <v>RM06</v>
      </c>
      <c r="G1491" s="8" t="str">
        <f aca="false">IFERROR(INDEX(CADASTRO_PIVOS!$D$6:$D$41,MATCH($E1491,CADASTRO_PIVOS!$B$6:$B$41,0)),"?")</f>
        <v>TR06</v>
      </c>
      <c r="H1491" s="20" t="n">
        <f aca="false">IFERROR(INDEX(CADASTRO_PIVOS!$E$6:$E$41,MATCH($E1491,CADASTRO_PIVOS!$B$6:$B$41,0)),0)</f>
        <v>149.94</v>
      </c>
      <c r="I1491" s="16" t="n">
        <f aca="false">IFERROR(SUMIFS(ROTACAO_RDM!$B$6:$B$71,ROTACAO_RDM!$D$6:$D$71,$E1491,ROTACAO_RDM!$I$6:$I$71,"&lt;="&amp;$C1491+INT(DIAS_POR_SEMANA/2),ROTACAO_RDM!$J$6:$J$71,"&gt;="&amp;$C1491+INT(DIAS_POR_SEMANA/2)),0)</f>
        <v>58</v>
      </c>
      <c r="J1491" s="16" t="n">
        <f aca="false">IFERROR(MATCH($I1491,ROTACAO_RDM!$B$6:$B$71,0),0)</f>
        <v>58</v>
      </c>
      <c r="K1491" s="8" t="str">
        <f aca="false">IF($J1491=0,"SEM CULTURA",INDEX(ROTACAO_RDM!$F$6:$F$71,$J1491))</f>
        <v>ALGODAO</v>
      </c>
      <c r="L1491" s="8" t="str">
        <f aca="false">IF($J1491=0,"",INDEX(ROTACAO_RDM!$G$6:$G$71,$J1491))</f>
        <v>IMA 3764 B2RF</v>
      </c>
      <c r="M1491" s="17" t="n">
        <f aca="false">IF($J1491=0,"",INDEX(ROTACAO_RDM!$I$6:$I$71,$J1491))</f>
        <v>46358</v>
      </c>
      <c r="N1491" s="16" t="n">
        <f aca="false">IF($J1491=0,0,MAX(0,$C1491+INT(DIAS_POR_SEMANA/2)-INDEX(ROTACAO_RDM!$I$6:$I$71,$J1491)))</f>
        <v>141</v>
      </c>
      <c r="O1491" s="19" t="n">
        <f aca="false">IF($J1491=0,0,MIN(1,$N1491/MAX(1,INDEX(ROTACAO_RDM!$K$6:$K$71,$J1491))))</f>
        <v>0.671428571428571</v>
      </c>
      <c r="P1491" s="16" t="n">
        <f aca="false">IF($J1491=0,0,IFERROR(MATCH(INDEX(ROTACAO_RDM!$N$6:$N$71,$J1491),PARAMETROS_CULTURAS!$B$6:$B$28,0),0))</f>
        <v>6</v>
      </c>
      <c r="Q1491" s="8" t="str">
        <f aca="false">IF($P1491=0,"-",IF($O1491&lt;=INDEX(PARAMETROS_CULTURAS!$F$6:$F$28,$P1491),"INICIAL",IF($O1491&lt;=INDEX(PARAMETROS_CULTURAS!$F$6:$F$28,$P1491)+INDEX(PARAMETROS_CULTURAS!$G$6:$G$28,$P1491),"DESENVOLVIMENTO",IF($O1491&lt;=INDEX(PARAMETROS_CULTURAS!$F$6:$F$28,$P1491)+INDEX(PARAMETROS_CULTURAS!$G$6:$G$28,$P1491)+INDEX(PARAMETROS_CULTURAS!$H$6:$H$28,$P1491),"MEDIA","FINAL"))))</f>
        <v>MEDIA</v>
      </c>
      <c r="R1491" s="24" t="n">
        <f aca="false">IF($P1491=0,0,IF($O1491&lt;=INDEX(PARAMETROS_CULTURAS!$F$6:$F$28,$P1491),INDEX(PARAMETROS_CULTURAS!$K$6:$K$28,$P1491),IF($O1491&lt;=INDEX(PARAMETROS_CULTURAS!$F$6:$F$28,$P1491)+INDEX(PARAMETROS_CULTURAS!$G$6:$G$28,$P1491),INDEX(PARAMETROS_CULTURAS!$K$6:$K$28,$P1491)+(INDEX(PARAMETROS_CULTURAS!$L$6:$L$28,$P1491)-INDEX(PARAMETROS_CULTURAS!$K$6:$K$28,$P1491))*($O1491-INDEX(PARAMETROS_CULTURAS!$F$6:$F$28,$P1491))/MAX(INDEX(PARAMETROS_CULTURAS!$G$6:$G$28,$P1491),0.0001),IF($O1491&lt;=INDEX(PARAMETROS_CULTURAS!$F$6:$F$28,$P1491)+INDEX(PARAMETROS_CULTURAS!$G$6:$G$28,$P1491)+INDEX(PARAMETROS_CULTURAS!$H$6:$H$28,$P1491),INDEX(PARAMETROS_CULTURAS!$L$6:$L$28,$P1491),INDEX(PARAMETROS_CULTURAS!$L$6:$L$28,$P1491)+(INDEX(PARAMETROS_CULTURAS!$M$6:$M$28,$P1491)-INDEX(PARAMETROS_CULTURAS!$L$6:$L$28,$P1491))*($O1491-INDEX(PARAMETROS_CULTURAS!$F$6:$F$28,$P1491)-INDEX(PARAMETROS_CULTURAS!$G$6:$G$28,$P1491)-INDEX(PARAMETROS_CULTURAS!$H$6:$H$28,$P1491))/MAX(INDEX(PARAMETROS_CULTURAS!$I$6:$I$28,$P1491),0.0001)))))</f>
        <v>1.15</v>
      </c>
      <c r="S1491" s="18" t="n">
        <f aca="false">IFERROR(INDEX(SEMANAS!$H$6:$H$71,MATCH($B1491,SEMANAS!$B$6:$B$71,0)),0)</f>
        <v>31.5</v>
      </c>
      <c r="T1491" s="18" t="n">
        <f aca="false">$R1491*$S1491</f>
        <v>36.225</v>
      </c>
      <c r="U1491" s="18" t="n">
        <f aca="false">IFERROR(INDEX(SEMANAS!$I$6:$I$71,MATCH($B1491,SEMANAS!$B$6:$B$71,0)),0)</f>
        <v>16.31</v>
      </c>
      <c r="V1491" s="18" t="n">
        <f aca="false">IFERROR(INDEX(SEMANAS!$J$6:$J$71,MATCH($B1491,SEMANAS!$B$6:$B$71,0)),0)</f>
        <v>13.048</v>
      </c>
      <c r="W1491" s="18" t="n">
        <f aca="false">MAX(0,$T1491-$V1491)</f>
        <v>23.177</v>
      </c>
      <c r="X1491" s="19" t="n">
        <f aca="false">IFERROR(INDEX(CADASTRO_PIVOS!$K$6:$K$41,MATCH($E1491,CADASTRO_PIVOS!$B$6:$B$41,0)),EFICIENCIA_PADRAO)</f>
        <v>0.85</v>
      </c>
      <c r="Y1491" s="18" t="n">
        <f aca="false">IF($X1491&lt;=0,0,$W1491/$X1491)</f>
        <v>27.2670588235294</v>
      </c>
      <c r="Z1491" s="16" t="n">
        <f aca="false">$Y1491*$H1491*MM_PARA_M3_HA</f>
        <v>40884.228</v>
      </c>
      <c r="AA1491" s="18" t="n">
        <f aca="false">IFERROR(INDEX(CADASTRO_PIVOS!$I$6:$I$41,MATCH($E1491,CADASTRO_PIVOS!$B$6:$B$41,0)),0)</f>
        <v>1071</v>
      </c>
      <c r="AB1491" s="18" t="n">
        <f aca="false">IF($Z1491&lt;=0,0,$Z1491/$AA1491)</f>
        <v>38.1738823529412</v>
      </c>
      <c r="AC1491" s="16" t="n">
        <f aca="false">IFERROR(INDEX(SEMANAS!$K$6:$K$71,MATCH($B1491,SEMANAS!$B$6:$B$71,0)),0)</f>
        <v>147</v>
      </c>
      <c r="AD1491" s="19" t="n">
        <f aca="false">IF($AC1491&lt;=0,0,$AB1491/$AC1491)</f>
        <v>0.259686274509804</v>
      </c>
      <c r="AE1491" s="8" t="str">
        <f aca="false">IF($K1491="SEM CULTURA","SEM CULTURA",IF($AA1491&lt;=0,"DADO PENDENTE",IF($AD1491&gt;LIMITE_CRITICO,"INVIAVEL",IF($AD1491&gt;LIMITE_ATENCAO,"CRITICO",IF($AD1491&gt;LIMITE_CONFORTAVEL,"ATENCAO","OK")))))</f>
        <v>OK</v>
      </c>
      <c r="AF1491" s="8" t="str">
        <f aca="false">$B1491&amp;"|"&amp;TEXT($AD1491,"0.000000")</f>
        <v>34|0.259686</v>
      </c>
      <c r="AG1491" s="18" t="n">
        <f aca="false">IF($K1491="SEM CULTURA",0,$T1491*$H1491)</f>
        <v>5431.5765</v>
      </c>
      <c r="AH1491" s="18" t="n">
        <f aca="false">IF($K1491="SEM CULTURA",0,$V1491*$H1491)</f>
        <v>1956.41712</v>
      </c>
      <c r="AI1491" s="18" t="n">
        <f aca="false">IF($K1491="SEM CULTURA",0,$W1491*$H1491)</f>
        <v>3475.15938</v>
      </c>
      <c r="AJ1491" s="18" t="n">
        <f aca="false">IF($K1491="SEM CULTURA",0,$S1491*$H1491)</f>
        <v>4723.11</v>
      </c>
      <c r="AK1491" s="8" t="str">
        <f aca="false">$E1491&amp;"|"&amp;TEXT($AD1491,"0.000000")</f>
        <v>PV 130|0.259686</v>
      </c>
    </row>
    <row r="1492" customFormat="false" ht="15" hidden="false" customHeight="false" outlineLevel="0" collapsed="false">
      <c r="B1492" s="16" t="n">
        <v>35</v>
      </c>
      <c r="C1492" s="17" t="n">
        <f aca="false">DATA_INICIO_SAFRA+($B1492-1)*DIAS_POR_SEMANA</f>
        <v>46503</v>
      </c>
      <c r="D1492" s="17" t="n">
        <f aca="false">$C1492+DIAS_POR_SEMANA-1</f>
        <v>46509</v>
      </c>
      <c r="E1492" s="15" t="s">
        <v>281</v>
      </c>
      <c r="F1492" s="8" t="str">
        <f aca="false">IFERROR(INDEX(CADASTRO_PIVOS!$C$6:$C$41,MATCH($E1492,CADASTRO_PIVOS!$B$6:$B$41,0)),"?")</f>
        <v>RM06</v>
      </c>
      <c r="G1492" s="8" t="str">
        <f aca="false">IFERROR(INDEX(CADASTRO_PIVOS!$D$6:$D$41,MATCH($E1492,CADASTRO_PIVOS!$B$6:$B$41,0)),"?")</f>
        <v>TR06</v>
      </c>
      <c r="H1492" s="20" t="n">
        <f aca="false">IFERROR(INDEX(CADASTRO_PIVOS!$E$6:$E$41,MATCH($E1492,CADASTRO_PIVOS!$B$6:$B$41,0)),0)</f>
        <v>149.94</v>
      </c>
      <c r="I1492" s="16" t="n">
        <f aca="false">IFERROR(SUMIFS(ROTACAO_RDM!$B$6:$B$71,ROTACAO_RDM!$D$6:$D$71,$E1492,ROTACAO_RDM!$I$6:$I$71,"&lt;="&amp;$C1492+INT(DIAS_POR_SEMANA/2),ROTACAO_RDM!$J$6:$J$71,"&gt;="&amp;$C1492+INT(DIAS_POR_SEMANA/2)),0)</f>
        <v>58</v>
      </c>
      <c r="J1492" s="16" t="n">
        <f aca="false">IFERROR(MATCH($I1492,ROTACAO_RDM!$B$6:$B$71,0),0)</f>
        <v>58</v>
      </c>
      <c r="K1492" s="8" t="str">
        <f aca="false">IF($J1492=0,"SEM CULTURA",INDEX(ROTACAO_RDM!$F$6:$F$71,$J1492))</f>
        <v>ALGODAO</v>
      </c>
      <c r="L1492" s="8" t="str">
        <f aca="false">IF($J1492=0,"",INDEX(ROTACAO_RDM!$G$6:$G$71,$J1492))</f>
        <v>IMA 3764 B2RF</v>
      </c>
      <c r="M1492" s="17" t="n">
        <f aca="false">IF($J1492=0,"",INDEX(ROTACAO_RDM!$I$6:$I$71,$J1492))</f>
        <v>46358</v>
      </c>
      <c r="N1492" s="16" t="n">
        <f aca="false">IF($J1492=0,0,MAX(0,$C1492+INT(DIAS_POR_SEMANA/2)-INDEX(ROTACAO_RDM!$I$6:$I$71,$J1492)))</f>
        <v>148</v>
      </c>
      <c r="O1492" s="19" t="n">
        <f aca="false">IF($J1492=0,0,MIN(1,$N1492/MAX(1,INDEX(ROTACAO_RDM!$K$6:$K$71,$J1492))))</f>
        <v>0.704761904761905</v>
      </c>
      <c r="P1492" s="16" t="n">
        <f aca="false">IF($J1492=0,0,IFERROR(MATCH(INDEX(ROTACAO_RDM!$N$6:$N$71,$J1492),PARAMETROS_CULTURAS!$B$6:$B$28,0),0))</f>
        <v>6</v>
      </c>
      <c r="Q1492" s="8" t="str">
        <f aca="false">IF($P1492=0,"-",IF($O1492&lt;=INDEX(PARAMETROS_CULTURAS!$F$6:$F$28,$P1492),"INICIAL",IF($O1492&lt;=INDEX(PARAMETROS_CULTURAS!$F$6:$F$28,$P1492)+INDEX(PARAMETROS_CULTURAS!$G$6:$G$28,$P1492),"DESENVOLVIMENTO",IF($O1492&lt;=INDEX(PARAMETROS_CULTURAS!$F$6:$F$28,$P1492)+INDEX(PARAMETROS_CULTURAS!$G$6:$G$28,$P1492)+INDEX(PARAMETROS_CULTURAS!$H$6:$H$28,$P1492),"MEDIA","FINAL"))))</f>
        <v>MEDIA</v>
      </c>
      <c r="R1492" s="24" t="n">
        <f aca="false">IF($P1492=0,0,IF($O1492&lt;=INDEX(PARAMETROS_CULTURAS!$F$6:$F$28,$P1492),INDEX(PARAMETROS_CULTURAS!$K$6:$K$28,$P1492),IF($O1492&lt;=INDEX(PARAMETROS_CULTURAS!$F$6:$F$28,$P1492)+INDEX(PARAMETROS_CULTURAS!$G$6:$G$28,$P1492),INDEX(PARAMETROS_CULTURAS!$K$6:$K$28,$P1492)+(INDEX(PARAMETROS_CULTURAS!$L$6:$L$28,$P1492)-INDEX(PARAMETROS_CULTURAS!$K$6:$K$28,$P1492))*($O1492-INDEX(PARAMETROS_CULTURAS!$F$6:$F$28,$P1492))/MAX(INDEX(PARAMETROS_CULTURAS!$G$6:$G$28,$P1492),0.0001),IF($O1492&lt;=INDEX(PARAMETROS_CULTURAS!$F$6:$F$28,$P1492)+INDEX(PARAMETROS_CULTURAS!$G$6:$G$28,$P1492)+INDEX(PARAMETROS_CULTURAS!$H$6:$H$28,$P1492),INDEX(PARAMETROS_CULTURAS!$L$6:$L$28,$P1492),INDEX(PARAMETROS_CULTURAS!$L$6:$L$28,$P1492)+(INDEX(PARAMETROS_CULTURAS!$M$6:$M$28,$P1492)-INDEX(PARAMETROS_CULTURAS!$L$6:$L$28,$P1492))*($O1492-INDEX(PARAMETROS_CULTURAS!$F$6:$F$28,$P1492)-INDEX(PARAMETROS_CULTURAS!$G$6:$G$28,$P1492)-INDEX(PARAMETROS_CULTURAS!$H$6:$H$28,$P1492))/MAX(INDEX(PARAMETROS_CULTURAS!$I$6:$I$28,$P1492),0.0001)))))</f>
        <v>1.15</v>
      </c>
      <c r="S1492" s="18" t="n">
        <f aca="false">IFERROR(INDEX(SEMANAS!$H$6:$H$71,MATCH($B1492,SEMANAS!$B$6:$B$71,0)),0)</f>
        <v>30.9</v>
      </c>
      <c r="T1492" s="18" t="n">
        <f aca="false">$R1492*$S1492</f>
        <v>35.535</v>
      </c>
      <c r="U1492" s="18" t="n">
        <f aca="false">IFERROR(INDEX(SEMANAS!$I$6:$I$71,MATCH($B1492,SEMANAS!$B$6:$B$71,0)),0)</f>
        <v>12.61</v>
      </c>
      <c r="V1492" s="18" t="n">
        <f aca="false">IFERROR(INDEX(SEMANAS!$J$6:$J$71,MATCH($B1492,SEMANAS!$B$6:$B$71,0)),0)</f>
        <v>10.088</v>
      </c>
      <c r="W1492" s="18" t="n">
        <f aca="false">MAX(0,$T1492-$V1492)</f>
        <v>25.447</v>
      </c>
      <c r="X1492" s="19" t="n">
        <f aca="false">IFERROR(INDEX(CADASTRO_PIVOS!$K$6:$K$41,MATCH($E1492,CADASTRO_PIVOS!$B$6:$B$41,0)),EFICIENCIA_PADRAO)</f>
        <v>0.85</v>
      </c>
      <c r="Y1492" s="18" t="n">
        <f aca="false">IF($X1492&lt;=0,0,$W1492/$X1492)</f>
        <v>29.9376470588235</v>
      </c>
      <c r="Z1492" s="16" t="n">
        <f aca="false">$Y1492*$H1492*MM_PARA_M3_HA</f>
        <v>44888.508</v>
      </c>
      <c r="AA1492" s="18" t="n">
        <f aca="false">IFERROR(INDEX(CADASTRO_PIVOS!$I$6:$I$41,MATCH($E1492,CADASTRO_PIVOS!$B$6:$B$41,0)),0)</f>
        <v>1071</v>
      </c>
      <c r="AB1492" s="18" t="n">
        <f aca="false">IF($Z1492&lt;=0,0,$Z1492/$AA1492)</f>
        <v>41.9127058823529</v>
      </c>
      <c r="AC1492" s="16" t="n">
        <f aca="false">IFERROR(INDEX(SEMANAS!$K$6:$K$71,MATCH($B1492,SEMANAS!$B$6:$B$71,0)),0)</f>
        <v>147</v>
      </c>
      <c r="AD1492" s="19" t="n">
        <f aca="false">IF($AC1492&lt;=0,0,$AB1492/$AC1492)</f>
        <v>0.285120448179272</v>
      </c>
      <c r="AE1492" s="8" t="str">
        <f aca="false">IF($K1492="SEM CULTURA","SEM CULTURA",IF($AA1492&lt;=0,"DADO PENDENTE",IF($AD1492&gt;LIMITE_CRITICO,"INVIAVEL",IF($AD1492&gt;LIMITE_ATENCAO,"CRITICO",IF($AD1492&gt;LIMITE_CONFORTAVEL,"ATENCAO","OK")))))</f>
        <v>OK</v>
      </c>
      <c r="AF1492" s="8" t="str">
        <f aca="false">$B1492&amp;"|"&amp;TEXT($AD1492,"0.000000")</f>
        <v>35|0.285120</v>
      </c>
      <c r="AG1492" s="18" t="n">
        <f aca="false">IF($K1492="SEM CULTURA",0,$T1492*$H1492)</f>
        <v>5328.1179</v>
      </c>
      <c r="AH1492" s="18" t="n">
        <f aca="false">IF($K1492="SEM CULTURA",0,$V1492*$H1492)</f>
        <v>1512.59472</v>
      </c>
      <c r="AI1492" s="18" t="n">
        <f aca="false">IF($K1492="SEM CULTURA",0,$W1492*$H1492)</f>
        <v>3815.52318</v>
      </c>
      <c r="AJ1492" s="18" t="n">
        <f aca="false">IF($K1492="SEM CULTURA",0,$S1492*$H1492)</f>
        <v>4633.146</v>
      </c>
      <c r="AK1492" s="8" t="str">
        <f aca="false">$E1492&amp;"|"&amp;TEXT($AD1492,"0.000000")</f>
        <v>PV 130|0.285120</v>
      </c>
    </row>
    <row r="1493" customFormat="false" ht="15" hidden="false" customHeight="false" outlineLevel="0" collapsed="false">
      <c r="B1493" s="16" t="n">
        <v>36</v>
      </c>
      <c r="C1493" s="17" t="n">
        <f aca="false">DATA_INICIO_SAFRA+($B1493-1)*DIAS_POR_SEMANA</f>
        <v>46510</v>
      </c>
      <c r="D1493" s="17" t="n">
        <f aca="false">$C1493+DIAS_POR_SEMANA-1</f>
        <v>46516</v>
      </c>
      <c r="E1493" s="15" t="s">
        <v>281</v>
      </c>
      <c r="F1493" s="8" t="str">
        <f aca="false">IFERROR(INDEX(CADASTRO_PIVOS!$C$6:$C$41,MATCH($E1493,CADASTRO_PIVOS!$B$6:$B$41,0)),"?")</f>
        <v>RM06</v>
      </c>
      <c r="G1493" s="8" t="str">
        <f aca="false">IFERROR(INDEX(CADASTRO_PIVOS!$D$6:$D$41,MATCH($E1493,CADASTRO_PIVOS!$B$6:$B$41,0)),"?")</f>
        <v>TR06</v>
      </c>
      <c r="H1493" s="20" t="n">
        <f aca="false">IFERROR(INDEX(CADASTRO_PIVOS!$E$6:$E$41,MATCH($E1493,CADASTRO_PIVOS!$B$6:$B$41,0)),0)</f>
        <v>149.94</v>
      </c>
      <c r="I1493" s="16" t="n">
        <f aca="false">IFERROR(SUMIFS(ROTACAO_RDM!$B$6:$B$71,ROTACAO_RDM!$D$6:$D$71,$E1493,ROTACAO_RDM!$I$6:$I$71,"&lt;="&amp;$C1493+INT(DIAS_POR_SEMANA/2),ROTACAO_RDM!$J$6:$J$71,"&gt;="&amp;$C1493+INT(DIAS_POR_SEMANA/2)),0)</f>
        <v>58</v>
      </c>
      <c r="J1493" s="16" t="n">
        <f aca="false">IFERROR(MATCH($I1493,ROTACAO_RDM!$B$6:$B$71,0),0)</f>
        <v>58</v>
      </c>
      <c r="K1493" s="8" t="str">
        <f aca="false">IF($J1493=0,"SEM CULTURA",INDEX(ROTACAO_RDM!$F$6:$F$71,$J1493))</f>
        <v>ALGODAO</v>
      </c>
      <c r="L1493" s="8" t="str">
        <f aca="false">IF($J1493=0,"",INDEX(ROTACAO_RDM!$G$6:$G$71,$J1493))</f>
        <v>IMA 3764 B2RF</v>
      </c>
      <c r="M1493" s="17" t="n">
        <f aca="false">IF($J1493=0,"",INDEX(ROTACAO_RDM!$I$6:$I$71,$J1493))</f>
        <v>46358</v>
      </c>
      <c r="N1493" s="16" t="n">
        <f aca="false">IF($J1493=0,0,MAX(0,$C1493+INT(DIAS_POR_SEMANA/2)-INDEX(ROTACAO_RDM!$I$6:$I$71,$J1493)))</f>
        <v>155</v>
      </c>
      <c r="O1493" s="19" t="n">
        <f aca="false">IF($J1493=0,0,MIN(1,$N1493/MAX(1,INDEX(ROTACAO_RDM!$K$6:$K$71,$J1493))))</f>
        <v>0.738095238095238</v>
      </c>
      <c r="P1493" s="16" t="n">
        <f aca="false">IF($J1493=0,0,IFERROR(MATCH(INDEX(ROTACAO_RDM!$N$6:$N$71,$J1493),PARAMETROS_CULTURAS!$B$6:$B$28,0),0))</f>
        <v>6</v>
      </c>
      <c r="Q1493" s="8" t="str">
        <f aca="false">IF($P1493=0,"-",IF($O1493&lt;=INDEX(PARAMETROS_CULTURAS!$F$6:$F$28,$P1493),"INICIAL",IF($O1493&lt;=INDEX(PARAMETROS_CULTURAS!$F$6:$F$28,$P1493)+INDEX(PARAMETROS_CULTURAS!$G$6:$G$28,$P1493),"DESENVOLVIMENTO",IF($O1493&lt;=INDEX(PARAMETROS_CULTURAS!$F$6:$F$28,$P1493)+INDEX(PARAMETROS_CULTURAS!$G$6:$G$28,$P1493)+INDEX(PARAMETROS_CULTURAS!$H$6:$H$28,$P1493),"MEDIA","FINAL"))))</f>
        <v>FINAL</v>
      </c>
      <c r="R1493" s="24" t="n">
        <f aca="false">IF($P1493=0,0,IF($O1493&lt;=INDEX(PARAMETROS_CULTURAS!$F$6:$F$28,$P1493),INDEX(PARAMETROS_CULTURAS!$K$6:$K$28,$P1493),IF($O1493&lt;=INDEX(PARAMETROS_CULTURAS!$F$6:$F$28,$P1493)+INDEX(PARAMETROS_CULTURAS!$G$6:$G$28,$P1493),INDEX(PARAMETROS_CULTURAS!$K$6:$K$28,$P1493)+(INDEX(PARAMETROS_CULTURAS!$L$6:$L$28,$P1493)-INDEX(PARAMETROS_CULTURAS!$K$6:$K$28,$P1493))*($O1493-INDEX(PARAMETROS_CULTURAS!$F$6:$F$28,$P1493))/MAX(INDEX(PARAMETROS_CULTURAS!$G$6:$G$28,$P1493),0.0001),IF($O1493&lt;=INDEX(PARAMETROS_CULTURAS!$F$6:$F$28,$P1493)+INDEX(PARAMETROS_CULTURAS!$G$6:$G$28,$P1493)+INDEX(PARAMETROS_CULTURAS!$H$6:$H$28,$P1493),INDEX(PARAMETROS_CULTURAS!$L$6:$L$28,$P1493),INDEX(PARAMETROS_CULTURAS!$L$6:$L$28,$P1493)+(INDEX(PARAMETROS_CULTURAS!$M$6:$M$28,$P1493)-INDEX(PARAMETROS_CULTURAS!$L$6:$L$28,$P1493))*($O1493-INDEX(PARAMETROS_CULTURAS!$F$6:$F$28,$P1493)-INDEX(PARAMETROS_CULTURAS!$G$6:$G$28,$P1493)-INDEX(PARAMETROS_CULTURAS!$H$6:$H$28,$P1493))/MAX(INDEX(PARAMETROS_CULTURAS!$I$6:$I$28,$P1493),0.0001)))))</f>
        <v>1.09671592775041</v>
      </c>
      <c r="S1493" s="18" t="n">
        <f aca="false">IFERROR(INDEX(SEMANAS!$H$6:$H$71,MATCH($B1493,SEMANAS!$B$6:$B$71,0)),0)</f>
        <v>29.4</v>
      </c>
      <c r="T1493" s="18" t="n">
        <f aca="false">$R1493*$S1493</f>
        <v>32.2434482758621</v>
      </c>
      <c r="U1493" s="18" t="n">
        <f aca="false">IFERROR(INDEX(SEMANAS!$I$6:$I$71,MATCH($B1493,SEMANAS!$B$6:$B$71,0)),0)</f>
        <v>3.36</v>
      </c>
      <c r="V1493" s="18" t="n">
        <f aca="false">IFERROR(INDEX(SEMANAS!$J$6:$J$71,MATCH($B1493,SEMANAS!$B$6:$B$71,0)),0)</f>
        <v>2.688</v>
      </c>
      <c r="W1493" s="18" t="n">
        <f aca="false">MAX(0,$T1493-$V1493)</f>
        <v>29.5554482758621</v>
      </c>
      <c r="X1493" s="19" t="n">
        <f aca="false">IFERROR(INDEX(CADASTRO_PIVOS!$K$6:$K$41,MATCH($E1493,CADASTRO_PIVOS!$B$6:$B$41,0)),EFICIENCIA_PADRAO)</f>
        <v>0.85</v>
      </c>
      <c r="Y1493" s="18" t="n">
        <f aca="false">IF($X1493&lt;=0,0,$W1493/$X1493)</f>
        <v>34.7711156186613</v>
      </c>
      <c r="Z1493" s="16" t="n">
        <f aca="false">$Y1493*$H1493*MM_PARA_M3_HA</f>
        <v>52135.8107586207</v>
      </c>
      <c r="AA1493" s="18" t="n">
        <f aca="false">IFERROR(INDEX(CADASTRO_PIVOS!$I$6:$I$41,MATCH($E1493,CADASTRO_PIVOS!$B$6:$B$41,0)),0)</f>
        <v>1071</v>
      </c>
      <c r="AB1493" s="18" t="n">
        <f aca="false">IF($Z1493&lt;=0,0,$Z1493/$AA1493)</f>
        <v>48.6795618661258</v>
      </c>
      <c r="AC1493" s="16" t="n">
        <f aca="false">IFERROR(INDEX(SEMANAS!$K$6:$K$71,MATCH($B1493,SEMANAS!$B$6:$B$71,0)),0)</f>
        <v>147</v>
      </c>
      <c r="AD1493" s="19" t="n">
        <f aca="false">IF($AC1493&lt;=0,0,$AB1493/$AC1493)</f>
        <v>0.331153482082488</v>
      </c>
      <c r="AE1493" s="8" t="str">
        <f aca="false">IF($K1493="SEM CULTURA","SEM CULTURA",IF($AA1493&lt;=0,"DADO PENDENTE",IF($AD1493&gt;LIMITE_CRITICO,"INVIAVEL",IF($AD1493&gt;LIMITE_ATENCAO,"CRITICO",IF($AD1493&gt;LIMITE_CONFORTAVEL,"ATENCAO","OK")))))</f>
        <v>OK</v>
      </c>
      <c r="AF1493" s="8" t="str">
        <f aca="false">$B1493&amp;"|"&amp;TEXT($AD1493,"0.000000")</f>
        <v>36|0.331153</v>
      </c>
      <c r="AG1493" s="18" t="n">
        <f aca="false">IF($K1493="SEM CULTURA",0,$T1493*$H1493)</f>
        <v>4834.58263448276</v>
      </c>
      <c r="AH1493" s="18" t="n">
        <f aca="false">IF($K1493="SEM CULTURA",0,$V1493*$H1493)</f>
        <v>403.03872</v>
      </c>
      <c r="AI1493" s="18" t="n">
        <f aca="false">IF($K1493="SEM CULTURA",0,$W1493*$H1493)</f>
        <v>4431.54391448276</v>
      </c>
      <c r="AJ1493" s="18" t="n">
        <f aca="false">IF($K1493="SEM CULTURA",0,$S1493*$H1493)</f>
        <v>4408.236</v>
      </c>
      <c r="AK1493" s="8" t="str">
        <f aca="false">$E1493&amp;"|"&amp;TEXT($AD1493,"0.000000")</f>
        <v>PV 130|0.331153</v>
      </c>
    </row>
    <row r="1494" customFormat="false" ht="15" hidden="false" customHeight="false" outlineLevel="0" collapsed="false">
      <c r="B1494" s="16" t="n">
        <v>37</v>
      </c>
      <c r="C1494" s="17" t="n">
        <f aca="false">DATA_INICIO_SAFRA+($B1494-1)*DIAS_POR_SEMANA</f>
        <v>46517</v>
      </c>
      <c r="D1494" s="17" t="n">
        <f aca="false">$C1494+DIAS_POR_SEMANA-1</f>
        <v>46523</v>
      </c>
      <c r="E1494" s="15" t="s">
        <v>281</v>
      </c>
      <c r="F1494" s="8" t="str">
        <f aca="false">IFERROR(INDEX(CADASTRO_PIVOS!$C$6:$C$41,MATCH($E1494,CADASTRO_PIVOS!$B$6:$B$41,0)),"?")</f>
        <v>RM06</v>
      </c>
      <c r="G1494" s="8" t="str">
        <f aca="false">IFERROR(INDEX(CADASTRO_PIVOS!$D$6:$D$41,MATCH($E1494,CADASTRO_PIVOS!$B$6:$B$41,0)),"?")</f>
        <v>TR06</v>
      </c>
      <c r="H1494" s="20" t="n">
        <f aca="false">IFERROR(INDEX(CADASTRO_PIVOS!$E$6:$E$41,MATCH($E1494,CADASTRO_PIVOS!$B$6:$B$41,0)),0)</f>
        <v>149.94</v>
      </c>
      <c r="I1494" s="16" t="n">
        <f aca="false">IFERROR(SUMIFS(ROTACAO_RDM!$B$6:$B$71,ROTACAO_RDM!$D$6:$D$71,$E1494,ROTACAO_RDM!$I$6:$I$71,"&lt;="&amp;$C1494+INT(DIAS_POR_SEMANA/2),ROTACAO_RDM!$J$6:$J$71,"&gt;="&amp;$C1494+INT(DIAS_POR_SEMANA/2)),0)</f>
        <v>58</v>
      </c>
      <c r="J1494" s="16" t="n">
        <f aca="false">IFERROR(MATCH($I1494,ROTACAO_RDM!$B$6:$B$71,0),0)</f>
        <v>58</v>
      </c>
      <c r="K1494" s="8" t="str">
        <f aca="false">IF($J1494=0,"SEM CULTURA",INDEX(ROTACAO_RDM!$F$6:$F$71,$J1494))</f>
        <v>ALGODAO</v>
      </c>
      <c r="L1494" s="8" t="str">
        <f aca="false">IF($J1494=0,"",INDEX(ROTACAO_RDM!$G$6:$G$71,$J1494))</f>
        <v>IMA 3764 B2RF</v>
      </c>
      <c r="M1494" s="17" t="n">
        <f aca="false">IF($J1494=0,"",INDEX(ROTACAO_RDM!$I$6:$I$71,$J1494))</f>
        <v>46358</v>
      </c>
      <c r="N1494" s="16" t="n">
        <f aca="false">IF($J1494=0,0,MAX(0,$C1494+INT(DIAS_POR_SEMANA/2)-INDEX(ROTACAO_RDM!$I$6:$I$71,$J1494)))</f>
        <v>162</v>
      </c>
      <c r="O1494" s="19" t="n">
        <f aca="false">IF($J1494=0,0,MIN(1,$N1494/MAX(1,INDEX(ROTACAO_RDM!$K$6:$K$71,$J1494))))</f>
        <v>0.771428571428572</v>
      </c>
      <c r="P1494" s="16" t="n">
        <f aca="false">IF($J1494=0,0,IFERROR(MATCH(INDEX(ROTACAO_RDM!$N$6:$N$71,$J1494),PARAMETROS_CULTURAS!$B$6:$B$28,0),0))</f>
        <v>6</v>
      </c>
      <c r="Q1494" s="8" t="str">
        <f aca="false">IF($P1494=0,"-",IF($O1494&lt;=INDEX(PARAMETROS_CULTURAS!$F$6:$F$28,$P1494),"INICIAL",IF($O1494&lt;=INDEX(PARAMETROS_CULTURAS!$F$6:$F$28,$P1494)+INDEX(PARAMETROS_CULTURAS!$G$6:$G$28,$P1494),"DESENVOLVIMENTO",IF($O1494&lt;=INDEX(PARAMETROS_CULTURAS!$F$6:$F$28,$P1494)+INDEX(PARAMETROS_CULTURAS!$G$6:$G$28,$P1494)+INDEX(PARAMETROS_CULTURAS!$H$6:$H$28,$P1494),"MEDIA","FINAL"))))</f>
        <v>FINAL</v>
      </c>
      <c r="R1494" s="24" t="n">
        <f aca="false">IF($P1494=0,0,IF($O1494&lt;=INDEX(PARAMETROS_CULTURAS!$F$6:$F$28,$P1494),INDEX(PARAMETROS_CULTURAS!$K$6:$K$28,$P1494),IF($O1494&lt;=INDEX(PARAMETROS_CULTURAS!$F$6:$F$28,$P1494)+INDEX(PARAMETROS_CULTURAS!$G$6:$G$28,$P1494),INDEX(PARAMETROS_CULTURAS!$K$6:$K$28,$P1494)+(INDEX(PARAMETROS_CULTURAS!$L$6:$L$28,$P1494)-INDEX(PARAMETROS_CULTURAS!$K$6:$K$28,$P1494))*($O1494-INDEX(PARAMETROS_CULTURAS!$F$6:$F$28,$P1494))/MAX(INDEX(PARAMETROS_CULTURAS!$G$6:$G$28,$P1494),0.0001),IF($O1494&lt;=INDEX(PARAMETROS_CULTURAS!$F$6:$F$28,$P1494)+INDEX(PARAMETROS_CULTURAS!$G$6:$G$28,$P1494)+INDEX(PARAMETROS_CULTURAS!$H$6:$H$28,$P1494),INDEX(PARAMETROS_CULTURAS!$L$6:$L$28,$P1494),INDEX(PARAMETROS_CULTURAS!$L$6:$L$28,$P1494)+(INDEX(PARAMETROS_CULTURAS!$M$6:$M$28,$P1494)-INDEX(PARAMETROS_CULTURAS!$L$6:$L$28,$P1494))*($O1494-INDEX(PARAMETROS_CULTURAS!$F$6:$F$28,$P1494)-INDEX(PARAMETROS_CULTURAS!$G$6:$G$28,$P1494)-INDEX(PARAMETROS_CULTURAS!$H$6:$H$28,$P1494))/MAX(INDEX(PARAMETROS_CULTURAS!$I$6:$I$28,$P1494),0.0001)))))</f>
        <v>1.03349753694581</v>
      </c>
      <c r="S1494" s="18" t="n">
        <f aca="false">IFERROR(INDEX(SEMANAS!$H$6:$H$71,MATCH($B1494,SEMANAS!$B$6:$B$71,0)),0)</f>
        <v>29.4</v>
      </c>
      <c r="T1494" s="18" t="n">
        <f aca="false">$R1494*$S1494</f>
        <v>30.3848275862069</v>
      </c>
      <c r="U1494" s="18" t="n">
        <f aca="false">IFERROR(INDEX(SEMANAS!$I$6:$I$71,MATCH($B1494,SEMANAS!$B$6:$B$71,0)),0)</f>
        <v>3.36</v>
      </c>
      <c r="V1494" s="18" t="n">
        <f aca="false">IFERROR(INDEX(SEMANAS!$J$6:$J$71,MATCH($B1494,SEMANAS!$B$6:$B$71,0)),0)</f>
        <v>2.688</v>
      </c>
      <c r="W1494" s="18" t="n">
        <f aca="false">MAX(0,$T1494-$V1494)</f>
        <v>27.6968275862069</v>
      </c>
      <c r="X1494" s="19" t="n">
        <f aca="false">IFERROR(INDEX(CADASTRO_PIVOS!$K$6:$K$41,MATCH($E1494,CADASTRO_PIVOS!$B$6:$B$41,0)),EFICIENCIA_PADRAO)</f>
        <v>0.85</v>
      </c>
      <c r="Y1494" s="18" t="n">
        <f aca="false">IF($X1494&lt;=0,0,$W1494/$X1494)</f>
        <v>32.5845030425964</v>
      </c>
      <c r="Z1494" s="16" t="n">
        <f aca="false">$Y1494*$H1494*MM_PARA_M3_HA</f>
        <v>48857.203862069</v>
      </c>
      <c r="AA1494" s="18" t="n">
        <f aca="false">IFERROR(INDEX(CADASTRO_PIVOS!$I$6:$I$41,MATCH($E1494,CADASTRO_PIVOS!$B$6:$B$41,0)),0)</f>
        <v>1071</v>
      </c>
      <c r="AB1494" s="18" t="n">
        <f aca="false">IF($Z1494&lt;=0,0,$Z1494/$AA1494)</f>
        <v>45.6183042596349</v>
      </c>
      <c r="AC1494" s="16" t="n">
        <f aca="false">IFERROR(INDEX(SEMANAS!$K$6:$K$71,MATCH($B1494,SEMANAS!$B$6:$B$71,0)),0)</f>
        <v>147</v>
      </c>
      <c r="AD1494" s="19" t="n">
        <f aca="false">IF($AC1494&lt;=0,0,$AB1494/$AC1494)</f>
        <v>0.31032860040568</v>
      </c>
      <c r="AE1494" s="8" t="str">
        <f aca="false">IF($K1494="SEM CULTURA","SEM CULTURA",IF($AA1494&lt;=0,"DADO PENDENTE",IF($AD1494&gt;LIMITE_CRITICO,"INVIAVEL",IF($AD1494&gt;LIMITE_ATENCAO,"CRITICO",IF($AD1494&gt;LIMITE_CONFORTAVEL,"ATENCAO","OK")))))</f>
        <v>OK</v>
      </c>
      <c r="AF1494" s="8" t="str">
        <f aca="false">$B1494&amp;"|"&amp;TEXT($AD1494,"0.000000")</f>
        <v>37|0.310329</v>
      </c>
      <c r="AG1494" s="18" t="n">
        <f aca="false">IF($K1494="SEM CULTURA",0,$T1494*$H1494)</f>
        <v>4555.90104827586</v>
      </c>
      <c r="AH1494" s="18" t="n">
        <f aca="false">IF($K1494="SEM CULTURA",0,$V1494*$H1494)</f>
        <v>403.03872</v>
      </c>
      <c r="AI1494" s="18" t="n">
        <f aca="false">IF($K1494="SEM CULTURA",0,$W1494*$H1494)</f>
        <v>4152.86232827586</v>
      </c>
      <c r="AJ1494" s="18" t="n">
        <f aca="false">IF($K1494="SEM CULTURA",0,$S1494*$H1494)</f>
        <v>4408.236</v>
      </c>
      <c r="AK1494" s="8" t="str">
        <f aca="false">$E1494&amp;"|"&amp;TEXT($AD1494,"0.000000")</f>
        <v>PV 130|0.310329</v>
      </c>
    </row>
    <row r="1495" customFormat="false" ht="15" hidden="false" customHeight="false" outlineLevel="0" collapsed="false">
      <c r="B1495" s="16" t="n">
        <v>38</v>
      </c>
      <c r="C1495" s="17" t="n">
        <f aca="false">DATA_INICIO_SAFRA+($B1495-1)*DIAS_POR_SEMANA</f>
        <v>46524</v>
      </c>
      <c r="D1495" s="17" t="n">
        <f aca="false">$C1495+DIAS_POR_SEMANA-1</f>
        <v>46530</v>
      </c>
      <c r="E1495" s="15" t="s">
        <v>281</v>
      </c>
      <c r="F1495" s="8" t="str">
        <f aca="false">IFERROR(INDEX(CADASTRO_PIVOS!$C$6:$C$41,MATCH($E1495,CADASTRO_PIVOS!$B$6:$B$41,0)),"?")</f>
        <v>RM06</v>
      </c>
      <c r="G1495" s="8" t="str">
        <f aca="false">IFERROR(INDEX(CADASTRO_PIVOS!$D$6:$D$41,MATCH($E1495,CADASTRO_PIVOS!$B$6:$B$41,0)),"?")</f>
        <v>TR06</v>
      </c>
      <c r="H1495" s="20" t="n">
        <f aca="false">IFERROR(INDEX(CADASTRO_PIVOS!$E$6:$E$41,MATCH($E1495,CADASTRO_PIVOS!$B$6:$B$41,0)),0)</f>
        <v>149.94</v>
      </c>
      <c r="I1495" s="16" t="n">
        <f aca="false">IFERROR(SUMIFS(ROTACAO_RDM!$B$6:$B$71,ROTACAO_RDM!$D$6:$D$71,$E1495,ROTACAO_RDM!$I$6:$I$71,"&lt;="&amp;$C1495+INT(DIAS_POR_SEMANA/2),ROTACAO_RDM!$J$6:$J$71,"&gt;="&amp;$C1495+INT(DIAS_POR_SEMANA/2)),0)</f>
        <v>58</v>
      </c>
      <c r="J1495" s="16" t="n">
        <f aca="false">IFERROR(MATCH($I1495,ROTACAO_RDM!$B$6:$B$71,0),0)</f>
        <v>58</v>
      </c>
      <c r="K1495" s="8" t="str">
        <f aca="false">IF($J1495=0,"SEM CULTURA",INDEX(ROTACAO_RDM!$F$6:$F$71,$J1495))</f>
        <v>ALGODAO</v>
      </c>
      <c r="L1495" s="8" t="str">
        <f aca="false">IF($J1495=0,"",INDEX(ROTACAO_RDM!$G$6:$G$71,$J1495))</f>
        <v>IMA 3764 B2RF</v>
      </c>
      <c r="M1495" s="17" t="n">
        <f aca="false">IF($J1495=0,"",INDEX(ROTACAO_RDM!$I$6:$I$71,$J1495))</f>
        <v>46358</v>
      </c>
      <c r="N1495" s="16" t="n">
        <f aca="false">IF($J1495=0,0,MAX(0,$C1495+INT(DIAS_POR_SEMANA/2)-INDEX(ROTACAO_RDM!$I$6:$I$71,$J1495)))</f>
        <v>169</v>
      </c>
      <c r="O1495" s="19" t="n">
        <f aca="false">IF($J1495=0,0,MIN(1,$N1495/MAX(1,INDEX(ROTACAO_RDM!$K$6:$K$71,$J1495))))</f>
        <v>0.804761904761905</v>
      </c>
      <c r="P1495" s="16" t="n">
        <f aca="false">IF($J1495=0,0,IFERROR(MATCH(INDEX(ROTACAO_RDM!$N$6:$N$71,$J1495),PARAMETROS_CULTURAS!$B$6:$B$28,0),0))</f>
        <v>6</v>
      </c>
      <c r="Q1495" s="8" t="str">
        <f aca="false">IF($P1495=0,"-",IF($O1495&lt;=INDEX(PARAMETROS_CULTURAS!$F$6:$F$28,$P1495),"INICIAL",IF($O1495&lt;=INDEX(PARAMETROS_CULTURAS!$F$6:$F$28,$P1495)+INDEX(PARAMETROS_CULTURAS!$G$6:$G$28,$P1495),"DESENVOLVIMENTO",IF($O1495&lt;=INDEX(PARAMETROS_CULTURAS!$F$6:$F$28,$P1495)+INDEX(PARAMETROS_CULTURAS!$G$6:$G$28,$P1495)+INDEX(PARAMETROS_CULTURAS!$H$6:$H$28,$P1495),"MEDIA","FINAL"))))</f>
        <v>FINAL</v>
      </c>
      <c r="R1495" s="24" t="n">
        <f aca="false">IF($P1495=0,0,IF($O1495&lt;=INDEX(PARAMETROS_CULTURAS!$F$6:$F$28,$P1495),INDEX(PARAMETROS_CULTURAS!$K$6:$K$28,$P1495),IF($O1495&lt;=INDEX(PARAMETROS_CULTURAS!$F$6:$F$28,$P1495)+INDEX(PARAMETROS_CULTURAS!$G$6:$G$28,$P1495),INDEX(PARAMETROS_CULTURAS!$K$6:$K$28,$P1495)+(INDEX(PARAMETROS_CULTURAS!$L$6:$L$28,$P1495)-INDEX(PARAMETROS_CULTURAS!$K$6:$K$28,$P1495))*($O1495-INDEX(PARAMETROS_CULTURAS!$F$6:$F$28,$P1495))/MAX(INDEX(PARAMETROS_CULTURAS!$G$6:$G$28,$P1495),0.0001),IF($O1495&lt;=INDEX(PARAMETROS_CULTURAS!$F$6:$F$28,$P1495)+INDEX(PARAMETROS_CULTURAS!$G$6:$G$28,$P1495)+INDEX(PARAMETROS_CULTURAS!$H$6:$H$28,$P1495),INDEX(PARAMETROS_CULTURAS!$L$6:$L$28,$P1495),INDEX(PARAMETROS_CULTURAS!$L$6:$L$28,$P1495)+(INDEX(PARAMETROS_CULTURAS!$M$6:$M$28,$P1495)-INDEX(PARAMETROS_CULTURAS!$L$6:$L$28,$P1495))*($O1495-INDEX(PARAMETROS_CULTURAS!$F$6:$F$28,$P1495)-INDEX(PARAMETROS_CULTURAS!$G$6:$G$28,$P1495)-INDEX(PARAMETROS_CULTURAS!$H$6:$H$28,$P1495))/MAX(INDEX(PARAMETROS_CULTURAS!$I$6:$I$28,$P1495),0.0001)))))</f>
        <v>0.970279146141215</v>
      </c>
      <c r="S1495" s="18" t="n">
        <f aca="false">IFERROR(INDEX(SEMANAS!$H$6:$H$71,MATCH($B1495,SEMANAS!$B$6:$B$71,0)),0)</f>
        <v>29.4</v>
      </c>
      <c r="T1495" s="18" t="n">
        <f aca="false">$R1495*$S1495</f>
        <v>28.5262068965517</v>
      </c>
      <c r="U1495" s="18" t="n">
        <f aca="false">IFERROR(INDEX(SEMANAS!$I$6:$I$71,MATCH($B1495,SEMANAS!$B$6:$B$71,0)),0)</f>
        <v>3.36</v>
      </c>
      <c r="V1495" s="18" t="n">
        <f aca="false">IFERROR(INDEX(SEMANAS!$J$6:$J$71,MATCH($B1495,SEMANAS!$B$6:$B$71,0)),0)</f>
        <v>2.688</v>
      </c>
      <c r="W1495" s="18" t="n">
        <f aca="false">MAX(0,$T1495-$V1495)</f>
        <v>25.8382068965517</v>
      </c>
      <c r="X1495" s="19" t="n">
        <f aca="false">IFERROR(INDEX(CADASTRO_PIVOS!$K$6:$K$41,MATCH($E1495,CADASTRO_PIVOS!$B$6:$B$41,0)),EFICIENCIA_PADRAO)</f>
        <v>0.85</v>
      </c>
      <c r="Y1495" s="18" t="n">
        <f aca="false">IF($X1495&lt;=0,0,$W1495/$X1495)</f>
        <v>30.3978904665314</v>
      </c>
      <c r="Z1495" s="16" t="n">
        <f aca="false">$Y1495*$H1495*MM_PARA_M3_HA</f>
        <v>45578.5969655172</v>
      </c>
      <c r="AA1495" s="18" t="n">
        <f aca="false">IFERROR(INDEX(CADASTRO_PIVOS!$I$6:$I$41,MATCH($E1495,CADASTRO_PIVOS!$B$6:$B$41,0)),0)</f>
        <v>1071</v>
      </c>
      <c r="AB1495" s="18" t="n">
        <f aca="false">IF($Z1495&lt;=0,0,$Z1495/$AA1495)</f>
        <v>42.557046653144</v>
      </c>
      <c r="AC1495" s="16" t="n">
        <f aca="false">IFERROR(INDEX(SEMANAS!$K$6:$K$71,MATCH($B1495,SEMANAS!$B$6:$B$71,0)),0)</f>
        <v>147</v>
      </c>
      <c r="AD1495" s="19" t="n">
        <f aca="false">IF($AC1495&lt;=0,0,$AB1495/$AC1495)</f>
        <v>0.289503718728871</v>
      </c>
      <c r="AE1495" s="8" t="str">
        <f aca="false">IF($K1495="SEM CULTURA","SEM CULTURA",IF($AA1495&lt;=0,"DADO PENDENTE",IF($AD1495&gt;LIMITE_CRITICO,"INVIAVEL",IF($AD1495&gt;LIMITE_ATENCAO,"CRITICO",IF($AD1495&gt;LIMITE_CONFORTAVEL,"ATENCAO","OK")))))</f>
        <v>OK</v>
      </c>
      <c r="AF1495" s="8" t="str">
        <f aca="false">$B1495&amp;"|"&amp;TEXT($AD1495,"0.000000")</f>
        <v>38|0.289504</v>
      </c>
      <c r="AG1495" s="18" t="n">
        <f aca="false">IF($K1495="SEM CULTURA",0,$T1495*$H1495)</f>
        <v>4277.21946206897</v>
      </c>
      <c r="AH1495" s="18" t="n">
        <f aca="false">IF($K1495="SEM CULTURA",0,$V1495*$H1495)</f>
        <v>403.03872</v>
      </c>
      <c r="AI1495" s="18" t="n">
        <f aca="false">IF($K1495="SEM CULTURA",0,$W1495*$H1495)</f>
        <v>3874.18074206897</v>
      </c>
      <c r="AJ1495" s="18" t="n">
        <f aca="false">IF($K1495="SEM CULTURA",0,$S1495*$H1495)</f>
        <v>4408.236</v>
      </c>
      <c r="AK1495" s="8" t="str">
        <f aca="false">$E1495&amp;"|"&amp;TEXT($AD1495,"0.000000")</f>
        <v>PV 130|0.289504</v>
      </c>
    </row>
    <row r="1496" customFormat="false" ht="15" hidden="false" customHeight="false" outlineLevel="0" collapsed="false">
      <c r="B1496" s="16" t="n">
        <v>39</v>
      </c>
      <c r="C1496" s="17" t="n">
        <f aca="false">DATA_INICIO_SAFRA+($B1496-1)*DIAS_POR_SEMANA</f>
        <v>46531</v>
      </c>
      <c r="D1496" s="17" t="n">
        <f aca="false">$C1496+DIAS_POR_SEMANA-1</f>
        <v>46537</v>
      </c>
      <c r="E1496" s="15" t="s">
        <v>281</v>
      </c>
      <c r="F1496" s="8" t="str">
        <f aca="false">IFERROR(INDEX(CADASTRO_PIVOS!$C$6:$C$41,MATCH($E1496,CADASTRO_PIVOS!$B$6:$B$41,0)),"?")</f>
        <v>RM06</v>
      </c>
      <c r="G1496" s="8" t="str">
        <f aca="false">IFERROR(INDEX(CADASTRO_PIVOS!$D$6:$D$41,MATCH($E1496,CADASTRO_PIVOS!$B$6:$B$41,0)),"?")</f>
        <v>TR06</v>
      </c>
      <c r="H1496" s="20" t="n">
        <f aca="false">IFERROR(INDEX(CADASTRO_PIVOS!$E$6:$E$41,MATCH($E1496,CADASTRO_PIVOS!$B$6:$B$41,0)),0)</f>
        <v>149.94</v>
      </c>
      <c r="I1496" s="16" t="n">
        <f aca="false">IFERROR(SUMIFS(ROTACAO_RDM!$B$6:$B$71,ROTACAO_RDM!$D$6:$D$71,$E1496,ROTACAO_RDM!$I$6:$I$71,"&lt;="&amp;$C1496+INT(DIAS_POR_SEMANA/2),ROTACAO_RDM!$J$6:$J$71,"&gt;="&amp;$C1496+INT(DIAS_POR_SEMANA/2)),0)</f>
        <v>58</v>
      </c>
      <c r="J1496" s="16" t="n">
        <f aca="false">IFERROR(MATCH($I1496,ROTACAO_RDM!$B$6:$B$71,0),0)</f>
        <v>58</v>
      </c>
      <c r="K1496" s="8" t="str">
        <f aca="false">IF($J1496=0,"SEM CULTURA",INDEX(ROTACAO_RDM!$F$6:$F$71,$J1496))</f>
        <v>ALGODAO</v>
      </c>
      <c r="L1496" s="8" t="str">
        <f aca="false">IF($J1496=0,"",INDEX(ROTACAO_RDM!$G$6:$G$71,$J1496))</f>
        <v>IMA 3764 B2RF</v>
      </c>
      <c r="M1496" s="17" t="n">
        <f aca="false">IF($J1496=0,"",INDEX(ROTACAO_RDM!$I$6:$I$71,$J1496))</f>
        <v>46358</v>
      </c>
      <c r="N1496" s="16" t="n">
        <f aca="false">IF($J1496=0,0,MAX(0,$C1496+INT(DIAS_POR_SEMANA/2)-INDEX(ROTACAO_RDM!$I$6:$I$71,$J1496)))</f>
        <v>176</v>
      </c>
      <c r="O1496" s="19" t="n">
        <f aca="false">IF($J1496=0,0,MIN(1,$N1496/MAX(1,INDEX(ROTACAO_RDM!$K$6:$K$71,$J1496))))</f>
        <v>0.838095238095238</v>
      </c>
      <c r="P1496" s="16" t="n">
        <f aca="false">IF($J1496=0,0,IFERROR(MATCH(INDEX(ROTACAO_RDM!$N$6:$N$71,$J1496),PARAMETROS_CULTURAS!$B$6:$B$28,0),0))</f>
        <v>6</v>
      </c>
      <c r="Q1496" s="8" t="str">
        <f aca="false">IF($P1496=0,"-",IF($O1496&lt;=INDEX(PARAMETROS_CULTURAS!$F$6:$F$28,$P1496),"INICIAL",IF($O1496&lt;=INDEX(PARAMETROS_CULTURAS!$F$6:$F$28,$P1496)+INDEX(PARAMETROS_CULTURAS!$G$6:$G$28,$P1496),"DESENVOLVIMENTO",IF($O1496&lt;=INDEX(PARAMETROS_CULTURAS!$F$6:$F$28,$P1496)+INDEX(PARAMETROS_CULTURAS!$G$6:$G$28,$P1496)+INDEX(PARAMETROS_CULTURAS!$H$6:$H$28,$P1496),"MEDIA","FINAL"))))</f>
        <v>FINAL</v>
      </c>
      <c r="R1496" s="24" t="n">
        <f aca="false">IF($P1496=0,0,IF($O1496&lt;=INDEX(PARAMETROS_CULTURAS!$F$6:$F$28,$P1496),INDEX(PARAMETROS_CULTURAS!$K$6:$K$28,$P1496),IF($O1496&lt;=INDEX(PARAMETROS_CULTURAS!$F$6:$F$28,$P1496)+INDEX(PARAMETROS_CULTURAS!$G$6:$G$28,$P1496),INDEX(PARAMETROS_CULTURAS!$K$6:$K$28,$P1496)+(INDEX(PARAMETROS_CULTURAS!$L$6:$L$28,$P1496)-INDEX(PARAMETROS_CULTURAS!$K$6:$K$28,$P1496))*($O1496-INDEX(PARAMETROS_CULTURAS!$F$6:$F$28,$P1496))/MAX(INDEX(PARAMETROS_CULTURAS!$G$6:$G$28,$P1496),0.0001),IF($O1496&lt;=INDEX(PARAMETROS_CULTURAS!$F$6:$F$28,$P1496)+INDEX(PARAMETROS_CULTURAS!$G$6:$G$28,$P1496)+INDEX(PARAMETROS_CULTURAS!$H$6:$H$28,$P1496),INDEX(PARAMETROS_CULTURAS!$L$6:$L$28,$P1496),INDEX(PARAMETROS_CULTURAS!$L$6:$L$28,$P1496)+(INDEX(PARAMETROS_CULTURAS!$M$6:$M$28,$P1496)-INDEX(PARAMETROS_CULTURAS!$L$6:$L$28,$P1496))*($O1496-INDEX(PARAMETROS_CULTURAS!$F$6:$F$28,$P1496)-INDEX(PARAMETROS_CULTURAS!$G$6:$G$28,$P1496)-INDEX(PARAMETROS_CULTURAS!$H$6:$H$28,$P1496))/MAX(INDEX(PARAMETROS_CULTURAS!$I$6:$I$28,$P1496),0.0001)))))</f>
        <v>0.907060755336617</v>
      </c>
      <c r="S1496" s="18" t="n">
        <f aca="false">IFERROR(INDEX(SEMANAS!$H$6:$H$71,MATCH($B1496,SEMANAS!$B$6:$B$71,0)),0)</f>
        <v>29.4</v>
      </c>
      <c r="T1496" s="18" t="n">
        <f aca="false">$R1496*$S1496</f>
        <v>26.6675862068966</v>
      </c>
      <c r="U1496" s="18" t="n">
        <f aca="false">IFERROR(INDEX(SEMANAS!$I$6:$I$71,MATCH($B1496,SEMANAS!$B$6:$B$71,0)),0)</f>
        <v>3.36</v>
      </c>
      <c r="V1496" s="18" t="n">
        <f aca="false">IFERROR(INDEX(SEMANAS!$J$6:$J$71,MATCH($B1496,SEMANAS!$B$6:$B$71,0)),0)</f>
        <v>2.688</v>
      </c>
      <c r="W1496" s="18" t="n">
        <f aca="false">MAX(0,$T1496-$V1496)</f>
        <v>23.9795862068966</v>
      </c>
      <c r="X1496" s="19" t="n">
        <f aca="false">IFERROR(INDEX(CADASTRO_PIVOS!$K$6:$K$41,MATCH($E1496,CADASTRO_PIVOS!$B$6:$B$41,0)),EFICIENCIA_PADRAO)</f>
        <v>0.85</v>
      </c>
      <c r="Y1496" s="18" t="n">
        <f aca="false">IF($X1496&lt;=0,0,$W1496/$X1496)</f>
        <v>28.2112778904665</v>
      </c>
      <c r="Z1496" s="16" t="n">
        <f aca="false">$Y1496*$H1496*MM_PARA_M3_HA</f>
        <v>42299.9900689655</v>
      </c>
      <c r="AA1496" s="18" t="n">
        <f aca="false">IFERROR(INDEX(CADASTRO_PIVOS!$I$6:$I$41,MATCH($E1496,CADASTRO_PIVOS!$B$6:$B$41,0)),0)</f>
        <v>1071</v>
      </c>
      <c r="AB1496" s="18" t="n">
        <f aca="false">IF($Z1496&lt;=0,0,$Z1496/$AA1496)</f>
        <v>39.4957890466531</v>
      </c>
      <c r="AC1496" s="16" t="n">
        <f aca="false">IFERROR(INDEX(SEMANAS!$K$6:$K$71,MATCH($B1496,SEMANAS!$B$6:$B$71,0)),0)</f>
        <v>147</v>
      </c>
      <c r="AD1496" s="19" t="n">
        <f aca="false">IF($AC1496&lt;=0,0,$AB1496/$AC1496)</f>
        <v>0.268678837052062</v>
      </c>
      <c r="AE1496" s="8" t="str">
        <f aca="false">IF($K1496="SEM CULTURA","SEM CULTURA",IF($AA1496&lt;=0,"DADO PENDENTE",IF($AD1496&gt;LIMITE_CRITICO,"INVIAVEL",IF($AD1496&gt;LIMITE_ATENCAO,"CRITICO",IF($AD1496&gt;LIMITE_CONFORTAVEL,"ATENCAO","OK")))))</f>
        <v>OK</v>
      </c>
      <c r="AF1496" s="8" t="str">
        <f aca="false">$B1496&amp;"|"&amp;TEXT($AD1496,"0.000000")</f>
        <v>39|0.268679</v>
      </c>
      <c r="AG1496" s="18" t="n">
        <f aca="false">IF($K1496="SEM CULTURA",0,$T1496*$H1496)</f>
        <v>3998.53787586207</v>
      </c>
      <c r="AH1496" s="18" t="n">
        <f aca="false">IF($K1496="SEM CULTURA",0,$V1496*$H1496)</f>
        <v>403.03872</v>
      </c>
      <c r="AI1496" s="18" t="n">
        <f aca="false">IF($K1496="SEM CULTURA",0,$W1496*$H1496)</f>
        <v>3595.49915586207</v>
      </c>
      <c r="AJ1496" s="18" t="n">
        <f aca="false">IF($K1496="SEM CULTURA",0,$S1496*$H1496)</f>
        <v>4408.236</v>
      </c>
      <c r="AK1496" s="8" t="str">
        <f aca="false">$E1496&amp;"|"&amp;TEXT($AD1496,"0.000000")</f>
        <v>PV 130|0.268679</v>
      </c>
    </row>
    <row r="1497" customFormat="false" ht="15" hidden="false" customHeight="false" outlineLevel="0" collapsed="false">
      <c r="B1497" s="16" t="n">
        <v>40</v>
      </c>
      <c r="C1497" s="17" t="n">
        <f aca="false">DATA_INICIO_SAFRA+($B1497-1)*DIAS_POR_SEMANA</f>
        <v>46538</v>
      </c>
      <c r="D1497" s="17" t="n">
        <f aca="false">$C1497+DIAS_POR_SEMANA-1</f>
        <v>46544</v>
      </c>
      <c r="E1497" s="15" t="s">
        <v>281</v>
      </c>
      <c r="F1497" s="8" t="str">
        <f aca="false">IFERROR(INDEX(CADASTRO_PIVOS!$C$6:$C$41,MATCH($E1497,CADASTRO_PIVOS!$B$6:$B$41,0)),"?")</f>
        <v>RM06</v>
      </c>
      <c r="G1497" s="8" t="str">
        <f aca="false">IFERROR(INDEX(CADASTRO_PIVOS!$D$6:$D$41,MATCH($E1497,CADASTRO_PIVOS!$B$6:$B$41,0)),"?")</f>
        <v>TR06</v>
      </c>
      <c r="H1497" s="20" t="n">
        <f aca="false">IFERROR(INDEX(CADASTRO_PIVOS!$E$6:$E$41,MATCH($E1497,CADASTRO_PIVOS!$B$6:$B$41,0)),0)</f>
        <v>149.94</v>
      </c>
      <c r="I1497" s="16" t="n">
        <f aca="false">IFERROR(SUMIFS(ROTACAO_RDM!$B$6:$B$71,ROTACAO_RDM!$D$6:$D$71,$E1497,ROTACAO_RDM!$I$6:$I$71,"&lt;="&amp;$C1497+INT(DIAS_POR_SEMANA/2),ROTACAO_RDM!$J$6:$J$71,"&gt;="&amp;$C1497+INT(DIAS_POR_SEMANA/2)),0)</f>
        <v>58</v>
      </c>
      <c r="J1497" s="16" t="n">
        <f aca="false">IFERROR(MATCH($I1497,ROTACAO_RDM!$B$6:$B$71,0),0)</f>
        <v>58</v>
      </c>
      <c r="K1497" s="8" t="str">
        <f aca="false">IF($J1497=0,"SEM CULTURA",INDEX(ROTACAO_RDM!$F$6:$F$71,$J1497))</f>
        <v>ALGODAO</v>
      </c>
      <c r="L1497" s="8" t="str">
        <f aca="false">IF($J1497=0,"",INDEX(ROTACAO_RDM!$G$6:$G$71,$J1497))</f>
        <v>IMA 3764 B2RF</v>
      </c>
      <c r="M1497" s="17" t="n">
        <f aca="false">IF($J1497=0,"",INDEX(ROTACAO_RDM!$I$6:$I$71,$J1497))</f>
        <v>46358</v>
      </c>
      <c r="N1497" s="16" t="n">
        <f aca="false">IF($J1497=0,0,MAX(0,$C1497+INT(DIAS_POR_SEMANA/2)-INDEX(ROTACAO_RDM!$I$6:$I$71,$J1497)))</f>
        <v>183</v>
      </c>
      <c r="O1497" s="19" t="n">
        <f aca="false">IF($J1497=0,0,MIN(1,$N1497/MAX(1,INDEX(ROTACAO_RDM!$K$6:$K$71,$J1497))))</f>
        <v>0.871428571428571</v>
      </c>
      <c r="P1497" s="16" t="n">
        <f aca="false">IF($J1497=0,0,IFERROR(MATCH(INDEX(ROTACAO_RDM!$N$6:$N$71,$J1497),PARAMETROS_CULTURAS!$B$6:$B$28,0),0))</f>
        <v>6</v>
      </c>
      <c r="Q1497" s="8" t="str">
        <f aca="false">IF($P1497=0,"-",IF($O1497&lt;=INDEX(PARAMETROS_CULTURAS!$F$6:$F$28,$P1497),"INICIAL",IF($O1497&lt;=INDEX(PARAMETROS_CULTURAS!$F$6:$F$28,$P1497)+INDEX(PARAMETROS_CULTURAS!$G$6:$G$28,$P1497),"DESENVOLVIMENTO",IF($O1497&lt;=INDEX(PARAMETROS_CULTURAS!$F$6:$F$28,$P1497)+INDEX(PARAMETROS_CULTURAS!$G$6:$G$28,$P1497)+INDEX(PARAMETROS_CULTURAS!$H$6:$H$28,$P1497),"MEDIA","FINAL"))))</f>
        <v>FINAL</v>
      </c>
      <c r="R1497" s="24" t="n">
        <f aca="false">IF($P1497=0,0,IF($O1497&lt;=INDEX(PARAMETROS_CULTURAS!$F$6:$F$28,$P1497),INDEX(PARAMETROS_CULTURAS!$K$6:$K$28,$P1497),IF($O1497&lt;=INDEX(PARAMETROS_CULTURAS!$F$6:$F$28,$P1497)+INDEX(PARAMETROS_CULTURAS!$G$6:$G$28,$P1497),INDEX(PARAMETROS_CULTURAS!$K$6:$K$28,$P1497)+(INDEX(PARAMETROS_CULTURAS!$L$6:$L$28,$P1497)-INDEX(PARAMETROS_CULTURAS!$K$6:$K$28,$P1497))*($O1497-INDEX(PARAMETROS_CULTURAS!$F$6:$F$28,$P1497))/MAX(INDEX(PARAMETROS_CULTURAS!$G$6:$G$28,$P1497),0.0001),IF($O1497&lt;=INDEX(PARAMETROS_CULTURAS!$F$6:$F$28,$P1497)+INDEX(PARAMETROS_CULTURAS!$G$6:$G$28,$P1497)+INDEX(PARAMETROS_CULTURAS!$H$6:$H$28,$P1497),INDEX(PARAMETROS_CULTURAS!$L$6:$L$28,$P1497),INDEX(PARAMETROS_CULTURAS!$L$6:$L$28,$P1497)+(INDEX(PARAMETROS_CULTURAS!$M$6:$M$28,$P1497)-INDEX(PARAMETROS_CULTURAS!$L$6:$L$28,$P1497))*($O1497-INDEX(PARAMETROS_CULTURAS!$F$6:$F$28,$P1497)-INDEX(PARAMETROS_CULTURAS!$G$6:$G$28,$P1497)-INDEX(PARAMETROS_CULTURAS!$H$6:$H$28,$P1497))/MAX(INDEX(PARAMETROS_CULTURAS!$I$6:$I$28,$P1497),0.0001)))))</f>
        <v>0.84384236453202</v>
      </c>
      <c r="S1497" s="18" t="n">
        <f aca="false">IFERROR(INDEX(SEMANAS!$H$6:$H$71,MATCH($B1497,SEMANAS!$B$6:$B$71,0)),0)</f>
        <v>28.2</v>
      </c>
      <c r="T1497" s="18" t="n">
        <f aca="false">$R1497*$S1497</f>
        <v>23.796354679803</v>
      </c>
      <c r="U1497" s="18" t="n">
        <f aca="false">IFERROR(INDEX(SEMANAS!$I$6:$I$71,MATCH($B1497,SEMANAS!$B$6:$B$71,0)),0)</f>
        <v>1.5</v>
      </c>
      <c r="V1497" s="18" t="n">
        <f aca="false">IFERROR(INDEX(SEMANAS!$J$6:$J$71,MATCH($B1497,SEMANAS!$B$6:$B$71,0)),0)</f>
        <v>1.2</v>
      </c>
      <c r="W1497" s="18" t="n">
        <f aca="false">MAX(0,$T1497-$V1497)</f>
        <v>22.596354679803</v>
      </c>
      <c r="X1497" s="19" t="n">
        <f aca="false">IFERROR(INDEX(CADASTRO_PIVOS!$K$6:$K$41,MATCH($E1497,CADASTRO_PIVOS!$B$6:$B$41,0)),EFICIENCIA_PADRAO)</f>
        <v>0.85</v>
      </c>
      <c r="Y1497" s="18" t="n">
        <f aca="false">IF($X1497&lt;=0,0,$W1497/$X1497)</f>
        <v>26.5839466821211</v>
      </c>
      <c r="Z1497" s="16" t="n">
        <f aca="false">$Y1497*$H1497*MM_PARA_M3_HA</f>
        <v>39859.9696551724</v>
      </c>
      <c r="AA1497" s="18" t="n">
        <f aca="false">IFERROR(INDEX(CADASTRO_PIVOS!$I$6:$I$41,MATCH($E1497,CADASTRO_PIVOS!$B$6:$B$41,0)),0)</f>
        <v>1071</v>
      </c>
      <c r="AB1497" s="18" t="n">
        <f aca="false">IF($Z1497&lt;=0,0,$Z1497/$AA1497)</f>
        <v>37.2175253549696</v>
      </c>
      <c r="AC1497" s="16" t="n">
        <f aca="false">IFERROR(INDEX(SEMANAS!$K$6:$K$71,MATCH($B1497,SEMANAS!$B$6:$B$71,0)),0)</f>
        <v>147</v>
      </c>
      <c r="AD1497" s="19" t="n">
        <f aca="false">IF($AC1497&lt;=0,0,$AB1497/$AC1497)</f>
        <v>0.25318044459163</v>
      </c>
      <c r="AE1497" s="8" t="str">
        <f aca="false">IF($K1497="SEM CULTURA","SEM CULTURA",IF($AA1497&lt;=0,"DADO PENDENTE",IF($AD1497&gt;LIMITE_CRITICO,"INVIAVEL",IF($AD1497&gt;LIMITE_ATENCAO,"CRITICO",IF($AD1497&gt;LIMITE_CONFORTAVEL,"ATENCAO","OK")))))</f>
        <v>OK</v>
      </c>
      <c r="AF1497" s="8" t="str">
        <f aca="false">$B1497&amp;"|"&amp;TEXT($AD1497,"0.000000")</f>
        <v>40|0.253180</v>
      </c>
      <c r="AG1497" s="18" t="n">
        <f aca="false">IF($K1497="SEM CULTURA",0,$T1497*$H1497)</f>
        <v>3568.02542068965</v>
      </c>
      <c r="AH1497" s="18" t="n">
        <f aca="false">IF($K1497="SEM CULTURA",0,$V1497*$H1497)</f>
        <v>179.928</v>
      </c>
      <c r="AI1497" s="18" t="n">
        <f aca="false">IF($K1497="SEM CULTURA",0,$W1497*$H1497)</f>
        <v>3388.09742068966</v>
      </c>
      <c r="AJ1497" s="18" t="n">
        <f aca="false">IF($K1497="SEM CULTURA",0,$S1497*$H1497)</f>
        <v>4228.308</v>
      </c>
      <c r="AK1497" s="8" t="str">
        <f aca="false">$E1497&amp;"|"&amp;TEXT($AD1497,"0.000000")</f>
        <v>PV 130|0.253180</v>
      </c>
    </row>
    <row r="1498" customFormat="false" ht="15" hidden="false" customHeight="false" outlineLevel="0" collapsed="false">
      <c r="B1498" s="16" t="n">
        <v>41</v>
      </c>
      <c r="C1498" s="17" t="n">
        <f aca="false">DATA_INICIO_SAFRA+($B1498-1)*DIAS_POR_SEMANA</f>
        <v>46545</v>
      </c>
      <c r="D1498" s="17" t="n">
        <f aca="false">$C1498+DIAS_POR_SEMANA-1</f>
        <v>46551</v>
      </c>
      <c r="E1498" s="15" t="s">
        <v>281</v>
      </c>
      <c r="F1498" s="8" t="str">
        <f aca="false">IFERROR(INDEX(CADASTRO_PIVOS!$C$6:$C$41,MATCH($E1498,CADASTRO_PIVOS!$B$6:$B$41,0)),"?")</f>
        <v>RM06</v>
      </c>
      <c r="G1498" s="8" t="str">
        <f aca="false">IFERROR(INDEX(CADASTRO_PIVOS!$D$6:$D$41,MATCH($E1498,CADASTRO_PIVOS!$B$6:$B$41,0)),"?")</f>
        <v>TR06</v>
      </c>
      <c r="H1498" s="20" t="n">
        <f aca="false">IFERROR(INDEX(CADASTRO_PIVOS!$E$6:$E$41,MATCH($E1498,CADASTRO_PIVOS!$B$6:$B$41,0)),0)</f>
        <v>149.94</v>
      </c>
      <c r="I1498" s="16" t="n">
        <f aca="false">IFERROR(SUMIFS(ROTACAO_RDM!$B$6:$B$71,ROTACAO_RDM!$D$6:$D$71,$E1498,ROTACAO_RDM!$I$6:$I$71,"&lt;="&amp;$C1498+INT(DIAS_POR_SEMANA/2),ROTACAO_RDM!$J$6:$J$71,"&gt;="&amp;$C1498+INT(DIAS_POR_SEMANA/2)),0)</f>
        <v>58</v>
      </c>
      <c r="J1498" s="16" t="n">
        <f aca="false">IFERROR(MATCH($I1498,ROTACAO_RDM!$B$6:$B$71,0),0)</f>
        <v>58</v>
      </c>
      <c r="K1498" s="8" t="str">
        <f aca="false">IF($J1498=0,"SEM CULTURA",INDEX(ROTACAO_RDM!$F$6:$F$71,$J1498))</f>
        <v>ALGODAO</v>
      </c>
      <c r="L1498" s="8" t="str">
        <f aca="false">IF($J1498=0,"",INDEX(ROTACAO_RDM!$G$6:$G$71,$J1498))</f>
        <v>IMA 3764 B2RF</v>
      </c>
      <c r="M1498" s="17" t="n">
        <f aca="false">IF($J1498=0,"",INDEX(ROTACAO_RDM!$I$6:$I$71,$J1498))</f>
        <v>46358</v>
      </c>
      <c r="N1498" s="16" t="n">
        <f aca="false">IF($J1498=0,0,MAX(0,$C1498+INT(DIAS_POR_SEMANA/2)-INDEX(ROTACAO_RDM!$I$6:$I$71,$J1498)))</f>
        <v>190</v>
      </c>
      <c r="O1498" s="19" t="n">
        <f aca="false">IF($J1498=0,0,MIN(1,$N1498/MAX(1,INDEX(ROTACAO_RDM!$K$6:$K$71,$J1498))))</f>
        <v>0.904761904761905</v>
      </c>
      <c r="P1498" s="16" t="n">
        <f aca="false">IF($J1498=0,0,IFERROR(MATCH(INDEX(ROTACAO_RDM!$N$6:$N$71,$J1498),PARAMETROS_CULTURAS!$B$6:$B$28,0),0))</f>
        <v>6</v>
      </c>
      <c r="Q1498" s="8" t="str">
        <f aca="false">IF($P1498=0,"-",IF($O1498&lt;=INDEX(PARAMETROS_CULTURAS!$F$6:$F$28,$P1498),"INICIAL",IF($O1498&lt;=INDEX(PARAMETROS_CULTURAS!$F$6:$F$28,$P1498)+INDEX(PARAMETROS_CULTURAS!$G$6:$G$28,$P1498),"DESENVOLVIMENTO",IF($O1498&lt;=INDEX(PARAMETROS_CULTURAS!$F$6:$F$28,$P1498)+INDEX(PARAMETROS_CULTURAS!$G$6:$G$28,$P1498)+INDEX(PARAMETROS_CULTURAS!$H$6:$H$28,$P1498),"MEDIA","FINAL"))))</f>
        <v>FINAL</v>
      </c>
      <c r="R1498" s="24" t="n">
        <f aca="false">IF($P1498=0,0,IF($O1498&lt;=INDEX(PARAMETROS_CULTURAS!$F$6:$F$28,$P1498),INDEX(PARAMETROS_CULTURAS!$K$6:$K$28,$P1498),IF($O1498&lt;=INDEX(PARAMETROS_CULTURAS!$F$6:$F$28,$P1498)+INDEX(PARAMETROS_CULTURAS!$G$6:$G$28,$P1498),INDEX(PARAMETROS_CULTURAS!$K$6:$K$28,$P1498)+(INDEX(PARAMETROS_CULTURAS!$L$6:$L$28,$P1498)-INDEX(PARAMETROS_CULTURAS!$K$6:$K$28,$P1498))*($O1498-INDEX(PARAMETROS_CULTURAS!$F$6:$F$28,$P1498))/MAX(INDEX(PARAMETROS_CULTURAS!$G$6:$G$28,$P1498),0.0001),IF($O1498&lt;=INDEX(PARAMETROS_CULTURAS!$F$6:$F$28,$P1498)+INDEX(PARAMETROS_CULTURAS!$G$6:$G$28,$P1498)+INDEX(PARAMETROS_CULTURAS!$H$6:$H$28,$P1498),INDEX(PARAMETROS_CULTURAS!$L$6:$L$28,$P1498),INDEX(PARAMETROS_CULTURAS!$L$6:$L$28,$P1498)+(INDEX(PARAMETROS_CULTURAS!$M$6:$M$28,$P1498)-INDEX(PARAMETROS_CULTURAS!$L$6:$L$28,$P1498))*($O1498-INDEX(PARAMETROS_CULTURAS!$F$6:$F$28,$P1498)-INDEX(PARAMETROS_CULTURAS!$G$6:$G$28,$P1498)-INDEX(PARAMETROS_CULTURAS!$H$6:$H$28,$P1498))/MAX(INDEX(PARAMETROS_CULTURAS!$I$6:$I$28,$P1498),0.0001)))))</f>
        <v>0.780623973727422</v>
      </c>
      <c r="S1498" s="18" t="n">
        <f aca="false">IFERROR(INDEX(SEMANAS!$H$6:$H$71,MATCH($B1498,SEMANAS!$B$6:$B$71,0)),0)</f>
        <v>28</v>
      </c>
      <c r="T1498" s="18" t="n">
        <f aca="false">$R1498*$S1498</f>
        <v>21.8574712643678</v>
      </c>
      <c r="U1498" s="18" t="n">
        <f aca="false">IFERROR(INDEX(SEMANAS!$I$6:$I$71,MATCH($B1498,SEMANAS!$B$6:$B$71,0)),0)</f>
        <v>1.19</v>
      </c>
      <c r="V1498" s="18" t="n">
        <f aca="false">IFERROR(INDEX(SEMANAS!$J$6:$J$71,MATCH($B1498,SEMANAS!$B$6:$B$71,0)),0)</f>
        <v>0.952</v>
      </c>
      <c r="W1498" s="18" t="n">
        <f aca="false">MAX(0,$T1498-$V1498)</f>
        <v>20.9054712643678</v>
      </c>
      <c r="X1498" s="19" t="n">
        <f aca="false">IFERROR(INDEX(CADASTRO_PIVOS!$K$6:$K$41,MATCH($E1498,CADASTRO_PIVOS!$B$6:$B$41,0)),EFICIENCIA_PADRAO)</f>
        <v>0.85</v>
      </c>
      <c r="Y1498" s="18" t="n">
        <f aca="false">IF($X1498&lt;=0,0,$W1498/$X1498)</f>
        <v>24.5946720757268</v>
      </c>
      <c r="Z1498" s="16" t="n">
        <f aca="false">$Y1498*$H1498*MM_PARA_M3_HA</f>
        <v>36877.2513103448</v>
      </c>
      <c r="AA1498" s="18" t="n">
        <f aca="false">IFERROR(INDEX(CADASTRO_PIVOS!$I$6:$I$41,MATCH($E1498,CADASTRO_PIVOS!$B$6:$B$41,0)),0)</f>
        <v>1071</v>
      </c>
      <c r="AB1498" s="18" t="n">
        <f aca="false">IF($Z1498&lt;=0,0,$Z1498/$AA1498)</f>
        <v>34.4325409060176</v>
      </c>
      <c r="AC1498" s="16" t="n">
        <f aca="false">IFERROR(INDEX(SEMANAS!$K$6:$K$71,MATCH($B1498,SEMANAS!$B$6:$B$71,0)),0)</f>
        <v>147</v>
      </c>
      <c r="AD1498" s="19" t="n">
        <f aca="false">IF($AC1498&lt;=0,0,$AB1498/$AC1498)</f>
        <v>0.234234972149779</v>
      </c>
      <c r="AE1498" s="8" t="str">
        <f aca="false">IF($K1498="SEM CULTURA","SEM CULTURA",IF($AA1498&lt;=0,"DADO PENDENTE",IF($AD1498&gt;LIMITE_CRITICO,"INVIAVEL",IF($AD1498&gt;LIMITE_ATENCAO,"CRITICO",IF($AD1498&gt;LIMITE_CONFORTAVEL,"ATENCAO","OK")))))</f>
        <v>OK</v>
      </c>
      <c r="AF1498" s="8" t="str">
        <f aca="false">$B1498&amp;"|"&amp;TEXT($AD1498,"0.000000")</f>
        <v>41|0.234235</v>
      </c>
      <c r="AG1498" s="18" t="n">
        <f aca="false">IF($K1498="SEM CULTURA",0,$T1498*$H1498)</f>
        <v>3277.30924137931</v>
      </c>
      <c r="AH1498" s="18" t="n">
        <f aca="false">IF($K1498="SEM CULTURA",0,$V1498*$H1498)</f>
        <v>142.74288</v>
      </c>
      <c r="AI1498" s="18" t="n">
        <f aca="false">IF($K1498="SEM CULTURA",0,$W1498*$H1498)</f>
        <v>3134.56636137931</v>
      </c>
      <c r="AJ1498" s="18" t="n">
        <f aca="false">IF($K1498="SEM CULTURA",0,$S1498*$H1498)</f>
        <v>4198.32</v>
      </c>
      <c r="AK1498" s="8" t="str">
        <f aca="false">$E1498&amp;"|"&amp;TEXT($AD1498,"0.000000")</f>
        <v>PV 130|0.234235</v>
      </c>
    </row>
    <row r="1499" customFormat="false" ht="15" hidden="false" customHeight="false" outlineLevel="0" collapsed="false">
      <c r="B1499" s="16" t="n">
        <v>42</v>
      </c>
      <c r="C1499" s="17" t="n">
        <f aca="false">DATA_INICIO_SAFRA+($B1499-1)*DIAS_POR_SEMANA</f>
        <v>46552</v>
      </c>
      <c r="D1499" s="17" t="n">
        <f aca="false">$C1499+DIAS_POR_SEMANA-1</f>
        <v>46558</v>
      </c>
      <c r="E1499" s="15" t="s">
        <v>281</v>
      </c>
      <c r="F1499" s="8" t="str">
        <f aca="false">IFERROR(INDEX(CADASTRO_PIVOS!$C$6:$C$41,MATCH($E1499,CADASTRO_PIVOS!$B$6:$B$41,0)),"?")</f>
        <v>RM06</v>
      </c>
      <c r="G1499" s="8" t="str">
        <f aca="false">IFERROR(INDEX(CADASTRO_PIVOS!$D$6:$D$41,MATCH($E1499,CADASTRO_PIVOS!$B$6:$B$41,0)),"?")</f>
        <v>TR06</v>
      </c>
      <c r="H1499" s="20" t="n">
        <f aca="false">IFERROR(INDEX(CADASTRO_PIVOS!$E$6:$E$41,MATCH($E1499,CADASTRO_PIVOS!$B$6:$B$41,0)),0)</f>
        <v>149.94</v>
      </c>
      <c r="I1499" s="16" t="n">
        <f aca="false">IFERROR(SUMIFS(ROTACAO_RDM!$B$6:$B$71,ROTACAO_RDM!$D$6:$D$71,$E1499,ROTACAO_RDM!$I$6:$I$71,"&lt;="&amp;$C1499+INT(DIAS_POR_SEMANA/2),ROTACAO_RDM!$J$6:$J$71,"&gt;="&amp;$C1499+INT(DIAS_POR_SEMANA/2)),0)</f>
        <v>58</v>
      </c>
      <c r="J1499" s="16" t="n">
        <f aca="false">IFERROR(MATCH($I1499,ROTACAO_RDM!$B$6:$B$71,0),0)</f>
        <v>58</v>
      </c>
      <c r="K1499" s="8" t="str">
        <f aca="false">IF($J1499=0,"SEM CULTURA",INDEX(ROTACAO_RDM!$F$6:$F$71,$J1499))</f>
        <v>ALGODAO</v>
      </c>
      <c r="L1499" s="8" t="str">
        <f aca="false">IF($J1499=0,"",INDEX(ROTACAO_RDM!$G$6:$G$71,$J1499))</f>
        <v>IMA 3764 B2RF</v>
      </c>
      <c r="M1499" s="17" t="n">
        <f aca="false">IF($J1499=0,"",INDEX(ROTACAO_RDM!$I$6:$I$71,$J1499))</f>
        <v>46358</v>
      </c>
      <c r="N1499" s="16" t="n">
        <f aca="false">IF($J1499=0,0,MAX(0,$C1499+INT(DIAS_POR_SEMANA/2)-INDEX(ROTACAO_RDM!$I$6:$I$71,$J1499)))</f>
        <v>197</v>
      </c>
      <c r="O1499" s="19" t="n">
        <f aca="false">IF($J1499=0,0,MIN(1,$N1499/MAX(1,INDEX(ROTACAO_RDM!$K$6:$K$71,$J1499))))</f>
        <v>0.938095238095238</v>
      </c>
      <c r="P1499" s="16" t="n">
        <f aca="false">IF($J1499=0,0,IFERROR(MATCH(INDEX(ROTACAO_RDM!$N$6:$N$71,$J1499),PARAMETROS_CULTURAS!$B$6:$B$28,0),0))</f>
        <v>6</v>
      </c>
      <c r="Q1499" s="8" t="str">
        <f aca="false">IF($P1499=0,"-",IF($O1499&lt;=INDEX(PARAMETROS_CULTURAS!$F$6:$F$28,$P1499),"INICIAL",IF($O1499&lt;=INDEX(PARAMETROS_CULTURAS!$F$6:$F$28,$P1499)+INDEX(PARAMETROS_CULTURAS!$G$6:$G$28,$P1499),"DESENVOLVIMENTO",IF($O1499&lt;=INDEX(PARAMETROS_CULTURAS!$F$6:$F$28,$P1499)+INDEX(PARAMETROS_CULTURAS!$G$6:$G$28,$P1499)+INDEX(PARAMETROS_CULTURAS!$H$6:$H$28,$P1499),"MEDIA","FINAL"))))</f>
        <v>FINAL</v>
      </c>
      <c r="R1499" s="24" t="n">
        <f aca="false">IF($P1499=0,0,IF($O1499&lt;=INDEX(PARAMETROS_CULTURAS!$F$6:$F$28,$P1499),INDEX(PARAMETROS_CULTURAS!$K$6:$K$28,$P1499),IF($O1499&lt;=INDEX(PARAMETROS_CULTURAS!$F$6:$F$28,$P1499)+INDEX(PARAMETROS_CULTURAS!$G$6:$G$28,$P1499),INDEX(PARAMETROS_CULTURAS!$K$6:$K$28,$P1499)+(INDEX(PARAMETROS_CULTURAS!$L$6:$L$28,$P1499)-INDEX(PARAMETROS_CULTURAS!$K$6:$K$28,$P1499))*($O1499-INDEX(PARAMETROS_CULTURAS!$F$6:$F$28,$P1499))/MAX(INDEX(PARAMETROS_CULTURAS!$G$6:$G$28,$P1499),0.0001),IF($O1499&lt;=INDEX(PARAMETROS_CULTURAS!$F$6:$F$28,$P1499)+INDEX(PARAMETROS_CULTURAS!$G$6:$G$28,$P1499)+INDEX(PARAMETROS_CULTURAS!$H$6:$H$28,$P1499),INDEX(PARAMETROS_CULTURAS!$L$6:$L$28,$P1499),INDEX(PARAMETROS_CULTURAS!$L$6:$L$28,$P1499)+(INDEX(PARAMETROS_CULTURAS!$M$6:$M$28,$P1499)-INDEX(PARAMETROS_CULTURAS!$L$6:$L$28,$P1499))*($O1499-INDEX(PARAMETROS_CULTURAS!$F$6:$F$28,$P1499)-INDEX(PARAMETROS_CULTURAS!$G$6:$G$28,$P1499)-INDEX(PARAMETROS_CULTURAS!$H$6:$H$28,$P1499))/MAX(INDEX(PARAMETROS_CULTURAS!$I$6:$I$28,$P1499),0.0001)))))</f>
        <v>0.717405582922824</v>
      </c>
      <c r="S1499" s="18" t="n">
        <f aca="false">IFERROR(INDEX(SEMANAS!$H$6:$H$71,MATCH($B1499,SEMANAS!$B$6:$B$71,0)),0)</f>
        <v>28</v>
      </c>
      <c r="T1499" s="18" t="n">
        <f aca="false">$R1499*$S1499</f>
        <v>20.0873563218391</v>
      </c>
      <c r="U1499" s="18" t="n">
        <f aca="false">IFERROR(INDEX(SEMANAS!$I$6:$I$71,MATCH($B1499,SEMANAS!$B$6:$B$71,0)),0)</f>
        <v>1.19</v>
      </c>
      <c r="V1499" s="18" t="n">
        <f aca="false">IFERROR(INDEX(SEMANAS!$J$6:$J$71,MATCH($B1499,SEMANAS!$B$6:$B$71,0)),0)</f>
        <v>0.952</v>
      </c>
      <c r="W1499" s="18" t="n">
        <f aca="false">MAX(0,$T1499-$V1499)</f>
        <v>19.1353563218391</v>
      </c>
      <c r="X1499" s="19" t="n">
        <f aca="false">IFERROR(INDEX(CADASTRO_PIVOS!$K$6:$K$41,MATCH($E1499,CADASTRO_PIVOS!$B$6:$B$41,0)),EFICIENCIA_PADRAO)</f>
        <v>0.85</v>
      </c>
      <c r="Y1499" s="18" t="n">
        <f aca="false">IF($X1499&lt;=0,0,$W1499/$X1499)</f>
        <v>22.512183908046</v>
      </c>
      <c r="Z1499" s="16" t="n">
        <f aca="false">$Y1499*$H1499*MM_PARA_M3_HA</f>
        <v>33754.7685517241</v>
      </c>
      <c r="AA1499" s="18" t="n">
        <f aca="false">IFERROR(INDEX(CADASTRO_PIVOS!$I$6:$I$41,MATCH($E1499,CADASTRO_PIVOS!$B$6:$B$41,0)),0)</f>
        <v>1071</v>
      </c>
      <c r="AB1499" s="18" t="n">
        <f aca="false">IF($Z1499&lt;=0,0,$Z1499/$AA1499)</f>
        <v>31.5170574712644</v>
      </c>
      <c r="AC1499" s="16" t="n">
        <f aca="false">IFERROR(INDEX(SEMANAS!$K$6:$K$71,MATCH($B1499,SEMANAS!$B$6:$B$71,0)),0)</f>
        <v>147</v>
      </c>
      <c r="AD1499" s="19" t="n">
        <f aca="false">IF($AC1499&lt;=0,0,$AB1499/$AC1499)</f>
        <v>0.2144017515052</v>
      </c>
      <c r="AE1499" s="8" t="str">
        <f aca="false">IF($K1499="SEM CULTURA","SEM CULTURA",IF($AA1499&lt;=0,"DADO PENDENTE",IF($AD1499&gt;LIMITE_CRITICO,"INVIAVEL",IF($AD1499&gt;LIMITE_ATENCAO,"CRITICO",IF($AD1499&gt;LIMITE_CONFORTAVEL,"ATENCAO","OK")))))</f>
        <v>OK</v>
      </c>
      <c r="AF1499" s="8" t="str">
        <f aca="false">$B1499&amp;"|"&amp;TEXT($AD1499,"0.000000")</f>
        <v>42|0.214402</v>
      </c>
      <c r="AG1499" s="18" t="n">
        <f aca="false">IF($K1499="SEM CULTURA",0,$T1499*$H1499)</f>
        <v>3011.89820689655</v>
      </c>
      <c r="AH1499" s="18" t="n">
        <f aca="false">IF($K1499="SEM CULTURA",0,$V1499*$H1499)</f>
        <v>142.74288</v>
      </c>
      <c r="AI1499" s="18" t="n">
        <f aca="false">IF($K1499="SEM CULTURA",0,$W1499*$H1499)</f>
        <v>2869.15532689655</v>
      </c>
      <c r="AJ1499" s="18" t="n">
        <f aca="false">IF($K1499="SEM CULTURA",0,$S1499*$H1499)</f>
        <v>4198.32</v>
      </c>
      <c r="AK1499" s="8" t="str">
        <f aca="false">$E1499&amp;"|"&amp;TEXT($AD1499,"0.000000")</f>
        <v>PV 130|0.214402</v>
      </c>
    </row>
    <row r="1500" customFormat="false" ht="15" hidden="false" customHeight="false" outlineLevel="0" collapsed="false">
      <c r="B1500" s="16" t="n">
        <v>43</v>
      </c>
      <c r="C1500" s="17" t="n">
        <f aca="false">DATA_INICIO_SAFRA+($B1500-1)*DIAS_POR_SEMANA</f>
        <v>46559</v>
      </c>
      <c r="D1500" s="17" t="n">
        <f aca="false">$C1500+DIAS_POR_SEMANA-1</f>
        <v>46565</v>
      </c>
      <c r="E1500" s="15" t="s">
        <v>281</v>
      </c>
      <c r="F1500" s="8" t="str">
        <f aca="false">IFERROR(INDEX(CADASTRO_PIVOS!$C$6:$C$41,MATCH($E1500,CADASTRO_PIVOS!$B$6:$B$41,0)),"?")</f>
        <v>RM06</v>
      </c>
      <c r="G1500" s="8" t="str">
        <f aca="false">IFERROR(INDEX(CADASTRO_PIVOS!$D$6:$D$41,MATCH($E1500,CADASTRO_PIVOS!$B$6:$B$41,0)),"?")</f>
        <v>TR06</v>
      </c>
      <c r="H1500" s="20" t="n">
        <f aca="false">IFERROR(INDEX(CADASTRO_PIVOS!$E$6:$E$41,MATCH($E1500,CADASTRO_PIVOS!$B$6:$B$41,0)),0)</f>
        <v>149.94</v>
      </c>
      <c r="I1500" s="16" t="n">
        <f aca="false">IFERROR(SUMIFS(ROTACAO_RDM!$B$6:$B$71,ROTACAO_RDM!$D$6:$D$71,$E1500,ROTACAO_RDM!$I$6:$I$71,"&lt;="&amp;$C1500+INT(DIAS_POR_SEMANA/2),ROTACAO_RDM!$J$6:$J$71,"&gt;="&amp;$C1500+INT(DIAS_POR_SEMANA/2)),0)</f>
        <v>58</v>
      </c>
      <c r="J1500" s="16" t="n">
        <f aca="false">IFERROR(MATCH($I1500,ROTACAO_RDM!$B$6:$B$71,0),0)</f>
        <v>58</v>
      </c>
      <c r="K1500" s="8" t="str">
        <f aca="false">IF($J1500=0,"SEM CULTURA",INDEX(ROTACAO_RDM!$F$6:$F$71,$J1500))</f>
        <v>ALGODAO</v>
      </c>
      <c r="L1500" s="8" t="str">
        <f aca="false">IF($J1500=0,"",INDEX(ROTACAO_RDM!$G$6:$G$71,$J1500))</f>
        <v>IMA 3764 B2RF</v>
      </c>
      <c r="M1500" s="17" t="n">
        <f aca="false">IF($J1500=0,"",INDEX(ROTACAO_RDM!$I$6:$I$71,$J1500))</f>
        <v>46358</v>
      </c>
      <c r="N1500" s="16" t="n">
        <f aca="false">IF($J1500=0,0,MAX(0,$C1500+INT(DIAS_POR_SEMANA/2)-INDEX(ROTACAO_RDM!$I$6:$I$71,$J1500)))</f>
        <v>204</v>
      </c>
      <c r="O1500" s="19" t="n">
        <f aca="false">IF($J1500=0,0,MIN(1,$N1500/MAX(1,INDEX(ROTACAO_RDM!$K$6:$K$71,$J1500))))</f>
        <v>0.971428571428571</v>
      </c>
      <c r="P1500" s="16" t="n">
        <f aca="false">IF($J1500=0,0,IFERROR(MATCH(INDEX(ROTACAO_RDM!$N$6:$N$71,$J1500),PARAMETROS_CULTURAS!$B$6:$B$28,0),0))</f>
        <v>6</v>
      </c>
      <c r="Q1500" s="8" t="str">
        <f aca="false">IF($P1500=0,"-",IF($O1500&lt;=INDEX(PARAMETROS_CULTURAS!$F$6:$F$28,$P1500),"INICIAL",IF($O1500&lt;=INDEX(PARAMETROS_CULTURAS!$F$6:$F$28,$P1500)+INDEX(PARAMETROS_CULTURAS!$G$6:$G$28,$P1500),"DESENVOLVIMENTO",IF($O1500&lt;=INDEX(PARAMETROS_CULTURAS!$F$6:$F$28,$P1500)+INDEX(PARAMETROS_CULTURAS!$G$6:$G$28,$P1500)+INDEX(PARAMETROS_CULTURAS!$H$6:$H$28,$P1500),"MEDIA","FINAL"))))</f>
        <v>FINAL</v>
      </c>
      <c r="R1500" s="24" t="n">
        <f aca="false">IF($P1500=0,0,IF($O1500&lt;=INDEX(PARAMETROS_CULTURAS!$F$6:$F$28,$P1500),INDEX(PARAMETROS_CULTURAS!$K$6:$K$28,$P1500),IF($O1500&lt;=INDEX(PARAMETROS_CULTURAS!$F$6:$F$28,$P1500)+INDEX(PARAMETROS_CULTURAS!$G$6:$G$28,$P1500),INDEX(PARAMETROS_CULTURAS!$K$6:$K$28,$P1500)+(INDEX(PARAMETROS_CULTURAS!$L$6:$L$28,$P1500)-INDEX(PARAMETROS_CULTURAS!$K$6:$K$28,$P1500))*($O1500-INDEX(PARAMETROS_CULTURAS!$F$6:$F$28,$P1500))/MAX(INDEX(PARAMETROS_CULTURAS!$G$6:$G$28,$P1500),0.0001),IF($O1500&lt;=INDEX(PARAMETROS_CULTURAS!$F$6:$F$28,$P1500)+INDEX(PARAMETROS_CULTURAS!$G$6:$G$28,$P1500)+INDEX(PARAMETROS_CULTURAS!$H$6:$H$28,$P1500),INDEX(PARAMETROS_CULTURAS!$L$6:$L$28,$P1500),INDEX(PARAMETROS_CULTURAS!$L$6:$L$28,$P1500)+(INDEX(PARAMETROS_CULTURAS!$M$6:$M$28,$P1500)-INDEX(PARAMETROS_CULTURAS!$L$6:$L$28,$P1500))*($O1500-INDEX(PARAMETROS_CULTURAS!$F$6:$F$28,$P1500)-INDEX(PARAMETROS_CULTURAS!$G$6:$G$28,$P1500)-INDEX(PARAMETROS_CULTURAS!$H$6:$H$28,$P1500))/MAX(INDEX(PARAMETROS_CULTURAS!$I$6:$I$28,$P1500),0.0001)))))</f>
        <v>0.654187192118227</v>
      </c>
      <c r="S1500" s="18" t="n">
        <f aca="false">IFERROR(INDEX(SEMANAS!$H$6:$H$71,MATCH($B1500,SEMANAS!$B$6:$B$71,0)),0)</f>
        <v>28</v>
      </c>
      <c r="T1500" s="18" t="n">
        <f aca="false">$R1500*$S1500</f>
        <v>18.3172413793103</v>
      </c>
      <c r="U1500" s="18" t="n">
        <f aca="false">IFERROR(INDEX(SEMANAS!$I$6:$I$71,MATCH($B1500,SEMANAS!$B$6:$B$71,0)),0)</f>
        <v>1.19</v>
      </c>
      <c r="V1500" s="18" t="n">
        <f aca="false">IFERROR(INDEX(SEMANAS!$J$6:$J$71,MATCH($B1500,SEMANAS!$B$6:$B$71,0)),0)</f>
        <v>0.952</v>
      </c>
      <c r="W1500" s="18" t="n">
        <f aca="false">MAX(0,$T1500-$V1500)</f>
        <v>17.3652413793103</v>
      </c>
      <c r="X1500" s="19" t="n">
        <f aca="false">IFERROR(INDEX(CADASTRO_PIVOS!$K$6:$K$41,MATCH($E1500,CADASTRO_PIVOS!$B$6:$B$41,0)),EFICIENCIA_PADRAO)</f>
        <v>0.85</v>
      </c>
      <c r="Y1500" s="18" t="n">
        <f aca="false">IF($X1500&lt;=0,0,$W1500/$X1500)</f>
        <v>20.4296957403651</v>
      </c>
      <c r="Z1500" s="16" t="n">
        <f aca="false">$Y1500*$H1500*MM_PARA_M3_HA</f>
        <v>30632.2857931034</v>
      </c>
      <c r="AA1500" s="18" t="n">
        <f aca="false">IFERROR(INDEX(CADASTRO_PIVOS!$I$6:$I$41,MATCH($E1500,CADASTRO_PIVOS!$B$6:$B$41,0)),0)</f>
        <v>1071</v>
      </c>
      <c r="AB1500" s="18" t="n">
        <f aca="false">IF($Z1500&lt;=0,0,$Z1500/$AA1500)</f>
        <v>28.6015740365112</v>
      </c>
      <c r="AC1500" s="16" t="n">
        <f aca="false">IFERROR(INDEX(SEMANAS!$K$6:$K$71,MATCH($B1500,SEMANAS!$B$6:$B$71,0)),0)</f>
        <v>147</v>
      </c>
      <c r="AD1500" s="19" t="n">
        <f aca="false">IF($AC1500&lt;=0,0,$AB1500/$AC1500)</f>
        <v>0.19456853086062</v>
      </c>
      <c r="AE1500" s="8" t="str">
        <f aca="false">IF($K1500="SEM CULTURA","SEM CULTURA",IF($AA1500&lt;=0,"DADO PENDENTE",IF($AD1500&gt;LIMITE_CRITICO,"INVIAVEL",IF($AD1500&gt;LIMITE_ATENCAO,"CRITICO",IF($AD1500&gt;LIMITE_CONFORTAVEL,"ATENCAO","OK")))))</f>
        <v>OK</v>
      </c>
      <c r="AF1500" s="8" t="str">
        <f aca="false">$B1500&amp;"|"&amp;TEXT($AD1500,"0.000000")</f>
        <v>43|0.194569</v>
      </c>
      <c r="AG1500" s="18" t="n">
        <f aca="false">IF($K1500="SEM CULTURA",0,$T1500*$H1500)</f>
        <v>2746.48717241379</v>
      </c>
      <c r="AH1500" s="18" t="n">
        <f aca="false">IF($K1500="SEM CULTURA",0,$V1500*$H1500)</f>
        <v>142.74288</v>
      </c>
      <c r="AI1500" s="18" t="n">
        <f aca="false">IF($K1500="SEM CULTURA",0,$W1500*$H1500)</f>
        <v>2603.74429241379</v>
      </c>
      <c r="AJ1500" s="18" t="n">
        <f aca="false">IF($K1500="SEM CULTURA",0,$S1500*$H1500)</f>
        <v>4198.32</v>
      </c>
      <c r="AK1500" s="8" t="str">
        <f aca="false">$E1500&amp;"|"&amp;TEXT($AD1500,"0.000000")</f>
        <v>PV 130|0.194569</v>
      </c>
    </row>
    <row r="1501" customFormat="false" ht="15" hidden="false" customHeight="false" outlineLevel="0" collapsed="false">
      <c r="B1501" s="16" t="n">
        <v>44</v>
      </c>
      <c r="C1501" s="17" t="n">
        <f aca="false">DATA_INICIO_SAFRA+($B1501-1)*DIAS_POR_SEMANA</f>
        <v>46566</v>
      </c>
      <c r="D1501" s="17" t="n">
        <f aca="false">$C1501+DIAS_POR_SEMANA-1</f>
        <v>46572</v>
      </c>
      <c r="E1501" s="15" t="s">
        <v>281</v>
      </c>
      <c r="F1501" s="8" t="str">
        <f aca="false">IFERROR(INDEX(CADASTRO_PIVOS!$C$6:$C$41,MATCH($E1501,CADASTRO_PIVOS!$B$6:$B$41,0)),"?")</f>
        <v>RM06</v>
      </c>
      <c r="G1501" s="8" t="str">
        <f aca="false">IFERROR(INDEX(CADASTRO_PIVOS!$D$6:$D$41,MATCH($E1501,CADASTRO_PIVOS!$B$6:$B$41,0)),"?")</f>
        <v>TR06</v>
      </c>
      <c r="H1501" s="20" t="n">
        <f aca="false">IFERROR(INDEX(CADASTRO_PIVOS!$E$6:$E$41,MATCH($E1501,CADASTRO_PIVOS!$B$6:$B$41,0)),0)</f>
        <v>149.94</v>
      </c>
      <c r="I1501" s="16" t="n">
        <f aca="false">IFERROR(SUMIFS(ROTACAO_RDM!$B$6:$B$71,ROTACAO_RDM!$D$6:$D$71,$E1501,ROTACAO_RDM!$I$6:$I$71,"&lt;="&amp;$C1501+INT(DIAS_POR_SEMANA/2),ROTACAO_RDM!$J$6:$J$71,"&gt;="&amp;$C1501+INT(DIAS_POR_SEMANA/2)),0)</f>
        <v>0</v>
      </c>
      <c r="J1501" s="16" t="n">
        <f aca="false">IFERROR(MATCH($I1501,ROTACAO_RDM!$B$6:$B$71,0),0)</f>
        <v>0</v>
      </c>
      <c r="K1501" s="8" t="str">
        <f aca="false">IF($J1501=0,"SEM CULTURA",INDEX(ROTACAO_RDM!$F$6:$F$71,$J1501))</f>
        <v>SEM CULTURA</v>
      </c>
      <c r="L1501" s="8" t="str">
        <f aca="false">IF($J1501=0,"",INDEX(ROTACAO_RDM!$G$6:$G$71,$J1501))</f>
        <v/>
      </c>
      <c r="M1501" s="17" t="str">
        <f aca="false">IF($J1501=0,"",INDEX(ROTACAO_RDM!$I$6:$I$71,$J1501))</f>
        <v/>
      </c>
      <c r="N1501" s="16" t="n">
        <f aca="false">IF($J1501=0,0,MAX(0,$C1501+INT(DIAS_POR_SEMANA/2)-INDEX(ROTACAO_RDM!$I$6:$I$71,$J1501)))</f>
        <v>0</v>
      </c>
      <c r="O1501" s="19" t="n">
        <f aca="false">IF($J1501=0,0,MIN(1,$N1501/MAX(1,INDEX(ROTACAO_RDM!$K$6:$K$71,$J1501))))</f>
        <v>0</v>
      </c>
      <c r="P1501" s="16" t="n">
        <f aca="false">IF($J1501=0,0,IFERROR(MATCH(INDEX(ROTACAO_RDM!$N$6:$N$71,$J1501),PARAMETROS_CULTURAS!$B$6:$B$28,0),0))</f>
        <v>0</v>
      </c>
      <c r="Q1501" s="8" t="str">
        <f aca="false">IF($P1501=0,"-",IF($O1501&lt;=INDEX(PARAMETROS_CULTURAS!$F$6:$F$28,$P1501),"INICIAL",IF($O1501&lt;=INDEX(PARAMETROS_CULTURAS!$F$6:$F$28,$P1501)+INDEX(PARAMETROS_CULTURAS!$G$6:$G$28,$P1501),"DESENVOLVIMENTO",IF($O1501&lt;=INDEX(PARAMETROS_CULTURAS!$F$6:$F$28,$P1501)+INDEX(PARAMETROS_CULTURAS!$G$6:$G$28,$P1501)+INDEX(PARAMETROS_CULTURAS!$H$6:$H$28,$P1501),"MEDIA","FINAL"))))</f>
        <v>-</v>
      </c>
      <c r="R1501" s="24" t="n">
        <f aca="false">IF($P1501=0,0,IF($O1501&lt;=INDEX(PARAMETROS_CULTURAS!$F$6:$F$28,$P1501),INDEX(PARAMETROS_CULTURAS!$K$6:$K$28,$P1501),IF($O1501&lt;=INDEX(PARAMETROS_CULTURAS!$F$6:$F$28,$P1501)+INDEX(PARAMETROS_CULTURAS!$G$6:$G$28,$P1501),INDEX(PARAMETROS_CULTURAS!$K$6:$K$28,$P1501)+(INDEX(PARAMETROS_CULTURAS!$L$6:$L$28,$P1501)-INDEX(PARAMETROS_CULTURAS!$K$6:$K$28,$P1501))*($O1501-INDEX(PARAMETROS_CULTURAS!$F$6:$F$28,$P1501))/MAX(INDEX(PARAMETROS_CULTURAS!$G$6:$G$28,$P1501),0.0001),IF($O1501&lt;=INDEX(PARAMETROS_CULTURAS!$F$6:$F$28,$P1501)+INDEX(PARAMETROS_CULTURAS!$G$6:$G$28,$P1501)+INDEX(PARAMETROS_CULTURAS!$H$6:$H$28,$P1501),INDEX(PARAMETROS_CULTURAS!$L$6:$L$28,$P1501),INDEX(PARAMETROS_CULTURAS!$L$6:$L$28,$P1501)+(INDEX(PARAMETROS_CULTURAS!$M$6:$M$28,$P1501)-INDEX(PARAMETROS_CULTURAS!$L$6:$L$28,$P1501))*($O1501-INDEX(PARAMETROS_CULTURAS!$F$6:$F$28,$P1501)-INDEX(PARAMETROS_CULTURAS!$G$6:$G$28,$P1501)-INDEX(PARAMETROS_CULTURAS!$H$6:$H$28,$P1501))/MAX(INDEX(PARAMETROS_CULTURAS!$I$6:$I$28,$P1501),0.0001)))))</f>
        <v>0</v>
      </c>
      <c r="S1501" s="18" t="n">
        <f aca="false">IFERROR(INDEX(SEMANAS!$H$6:$H$71,MATCH($B1501,SEMANAS!$B$6:$B$71,0)),0)</f>
        <v>29.2</v>
      </c>
      <c r="T1501" s="18" t="n">
        <f aca="false">$R1501*$S1501</f>
        <v>0</v>
      </c>
      <c r="U1501" s="18" t="n">
        <f aca="false">IFERROR(INDEX(SEMANAS!$I$6:$I$71,MATCH($B1501,SEMANAS!$B$6:$B$71,0)),0)</f>
        <v>0.91</v>
      </c>
      <c r="V1501" s="18" t="n">
        <f aca="false">IFERROR(INDEX(SEMANAS!$J$6:$J$71,MATCH($B1501,SEMANAS!$B$6:$B$71,0)),0)</f>
        <v>0.728</v>
      </c>
      <c r="W1501" s="18" t="n">
        <f aca="false">MAX(0,$T1501-$V1501)</f>
        <v>0</v>
      </c>
      <c r="X1501" s="19" t="n">
        <f aca="false">IFERROR(INDEX(CADASTRO_PIVOS!$K$6:$K$41,MATCH($E1501,CADASTRO_PIVOS!$B$6:$B$41,0)),EFICIENCIA_PADRAO)</f>
        <v>0.85</v>
      </c>
      <c r="Y1501" s="18" t="n">
        <f aca="false">IF($X1501&lt;=0,0,$W1501/$X1501)</f>
        <v>0</v>
      </c>
      <c r="Z1501" s="16" t="n">
        <f aca="false">$Y1501*$H1501*MM_PARA_M3_HA</f>
        <v>0</v>
      </c>
      <c r="AA1501" s="18" t="n">
        <f aca="false">IFERROR(INDEX(CADASTRO_PIVOS!$I$6:$I$41,MATCH($E1501,CADASTRO_PIVOS!$B$6:$B$41,0)),0)</f>
        <v>1071</v>
      </c>
      <c r="AB1501" s="18" t="n">
        <f aca="false">IF($Z1501&lt;=0,0,$Z1501/$AA1501)</f>
        <v>0</v>
      </c>
      <c r="AC1501" s="16" t="n">
        <f aca="false">IFERROR(INDEX(SEMANAS!$K$6:$K$71,MATCH($B1501,SEMANAS!$B$6:$B$71,0)),0)</f>
        <v>147</v>
      </c>
      <c r="AD1501" s="19" t="n">
        <f aca="false">IF($AC1501&lt;=0,0,$AB1501/$AC1501)</f>
        <v>0</v>
      </c>
      <c r="AE1501" s="8" t="str">
        <f aca="false">IF($K1501="SEM CULTURA","SEM CULTURA",IF($AA1501&lt;=0,"DADO PENDENTE",IF($AD1501&gt;LIMITE_CRITICO,"INVIAVEL",IF($AD1501&gt;LIMITE_ATENCAO,"CRITICO",IF($AD1501&gt;LIMITE_CONFORTAVEL,"ATENCAO","OK")))))</f>
        <v>SEM CULTURA</v>
      </c>
      <c r="AF1501" s="8" t="str">
        <f aca="false">$B1501&amp;"|"&amp;TEXT($AD1501,"0.000000")</f>
        <v>44|0.000000</v>
      </c>
      <c r="AG1501" s="18" t="n">
        <f aca="false">IF($K1501="SEM CULTURA",0,$T1501*$H1501)</f>
        <v>0</v>
      </c>
      <c r="AH1501" s="18" t="n">
        <f aca="false">IF($K1501="SEM CULTURA",0,$V1501*$H1501)</f>
        <v>0</v>
      </c>
      <c r="AI1501" s="18" t="n">
        <f aca="false">IF($K1501="SEM CULTURA",0,$W1501*$H1501)</f>
        <v>0</v>
      </c>
      <c r="AJ1501" s="18" t="n">
        <f aca="false">IF($K1501="SEM CULTURA",0,$S1501*$H1501)</f>
        <v>0</v>
      </c>
      <c r="AK1501" s="8" t="str">
        <f aca="false">$E1501&amp;"|"&amp;TEXT($AD1501,"0.000000")</f>
        <v>PV 130|0.000000</v>
      </c>
    </row>
    <row r="1502" customFormat="false" ht="15" hidden="false" customHeight="false" outlineLevel="0" collapsed="false">
      <c r="B1502" s="16" t="n">
        <v>45</v>
      </c>
      <c r="C1502" s="17" t="n">
        <f aca="false">DATA_INICIO_SAFRA+($B1502-1)*DIAS_POR_SEMANA</f>
        <v>46573</v>
      </c>
      <c r="D1502" s="17" t="n">
        <f aca="false">$C1502+DIAS_POR_SEMANA-1</f>
        <v>46579</v>
      </c>
      <c r="E1502" s="15" t="s">
        <v>281</v>
      </c>
      <c r="F1502" s="8" t="str">
        <f aca="false">IFERROR(INDEX(CADASTRO_PIVOS!$C$6:$C$41,MATCH($E1502,CADASTRO_PIVOS!$B$6:$B$41,0)),"?")</f>
        <v>RM06</v>
      </c>
      <c r="G1502" s="8" t="str">
        <f aca="false">IFERROR(INDEX(CADASTRO_PIVOS!$D$6:$D$41,MATCH($E1502,CADASTRO_PIVOS!$B$6:$B$41,0)),"?")</f>
        <v>TR06</v>
      </c>
      <c r="H1502" s="20" t="n">
        <f aca="false">IFERROR(INDEX(CADASTRO_PIVOS!$E$6:$E$41,MATCH($E1502,CADASTRO_PIVOS!$B$6:$B$41,0)),0)</f>
        <v>149.94</v>
      </c>
      <c r="I1502" s="16" t="n">
        <f aca="false">IFERROR(SUMIFS(ROTACAO_RDM!$B$6:$B$71,ROTACAO_RDM!$D$6:$D$71,$E1502,ROTACAO_RDM!$I$6:$I$71,"&lt;="&amp;$C1502+INT(DIAS_POR_SEMANA/2),ROTACAO_RDM!$J$6:$J$71,"&gt;="&amp;$C1502+INT(DIAS_POR_SEMANA/2)),0)</f>
        <v>0</v>
      </c>
      <c r="J1502" s="16" t="n">
        <f aca="false">IFERROR(MATCH($I1502,ROTACAO_RDM!$B$6:$B$71,0),0)</f>
        <v>0</v>
      </c>
      <c r="K1502" s="8" t="str">
        <f aca="false">IF($J1502=0,"SEM CULTURA",INDEX(ROTACAO_RDM!$F$6:$F$71,$J1502))</f>
        <v>SEM CULTURA</v>
      </c>
      <c r="L1502" s="8" t="str">
        <f aca="false">IF($J1502=0,"",INDEX(ROTACAO_RDM!$G$6:$G$71,$J1502))</f>
        <v/>
      </c>
      <c r="M1502" s="17" t="str">
        <f aca="false">IF($J1502=0,"",INDEX(ROTACAO_RDM!$I$6:$I$71,$J1502))</f>
        <v/>
      </c>
      <c r="N1502" s="16" t="n">
        <f aca="false">IF($J1502=0,0,MAX(0,$C1502+INT(DIAS_POR_SEMANA/2)-INDEX(ROTACAO_RDM!$I$6:$I$71,$J1502)))</f>
        <v>0</v>
      </c>
      <c r="O1502" s="19" t="n">
        <f aca="false">IF($J1502=0,0,MIN(1,$N1502/MAX(1,INDEX(ROTACAO_RDM!$K$6:$K$71,$J1502))))</f>
        <v>0</v>
      </c>
      <c r="P1502" s="16" t="n">
        <f aca="false">IF($J1502=0,0,IFERROR(MATCH(INDEX(ROTACAO_RDM!$N$6:$N$71,$J1502),PARAMETROS_CULTURAS!$B$6:$B$28,0),0))</f>
        <v>0</v>
      </c>
      <c r="Q1502" s="8" t="str">
        <f aca="false">IF($P1502=0,"-",IF($O1502&lt;=INDEX(PARAMETROS_CULTURAS!$F$6:$F$28,$P1502),"INICIAL",IF($O1502&lt;=INDEX(PARAMETROS_CULTURAS!$F$6:$F$28,$P1502)+INDEX(PARAMETROS_CULTURAS!$G$6:$G$28,$P1502),"DESENVOLVIMENTO",IF($O1502&lt;=INDEX(PARAMETROS_CULTURAS!$F$6:$F$28,$P1502)+INDEX(PARAMETROS_CULTURAS!$G$6:$G$28,$P1502)+INDEX(PARAMETROS_CULTURAS!$H$6:$H$28,$P1502),"MEDIA","FINAL"))))</f>
        <v>-</v>
      </c>
      <c r="R1502" s="24" t="n">
        <f aca="false">IF($P1502=0,0,IF($O1502&lt;=INDEX(PARAMETROS_CULTURAS!$F$6:$F$28,$P1502),INDEX(PARAMETROS_CULTURAS!$K$6:$K$28,$P1502),IF($O1502&lt;=INDEX(PARAMETROS_CULTURAS!$F$6:$F$28,$P1502)+INDEX(PARAMETROS_CULTURAS!$G$6:$G$28,$P1502),INDEX(PARAMETROS_CULTURAS!$K$6:$K$28,$P1502)+(INDEX(PARAMETROS_CULTURAS!$L$6:$L$28,$P1502)-INDEX(PARAMETROS_CULTURAS!$K$6:$K$28,$P1502))*($O1502-INDEX(PARAMETROS_CULTURAS!$F$6:$F$28,$P1502))/MAX(INDEX(PARAMETROS_CULTURAS!$G$6:$G$28,$P1502),0.0001),IF($O1502&lt;=INDEX(PARAMETROS_CULTURAS!$F$6:$F$28,$P1502)+INDEX(PARAMETROS_CULTURAS!$G$6:$G$28,$P1502)+INDEX(PARAMETROS_CULTURAS!$H$6:$H$28,$P1502),INDEX(PARAMETROS_CULTURAS!$L$6:$L$28,$P1502),INDEX(PARAMETROS_CULTURAS!$L$6:$L$28,$P1502)+(INDEX(PARAMETROS_CULTURAS!$M$6:$M$28,$P1502)-INDEX(PARAMETROS_CULTURAS!$L$6:$L$28,$P1502))*($O1502-INDEX(PARAMETROS_CULTURAS!$F$6:$F$28,$P1502)-INDEX(PARAMETROS_CULTURAS!$G$6:$G$28,$P1502)-INDEX(PARAMETROS_CULTURAS!$H$6:$H$28,$P1502))/MAX(INDEX(PARAMETROS_CULTURAS!$I$6:$I$28,$P1502),0.0001)))))</f>
        <v>0</v>
      </c>
      <c r="S1502" s="18" t="n">
        <f aca="false">IFERROR(INDEX(SEMANAS!$H$6:$H$71,MATCH($B1502,SEMANAS!$B$6:$B$71,0)),0)</f>
        <v>30.1</v>
      </c>
      <c r="T1502" s="18" t="n">
        <f aca="false">$R1502*$S1502</f>
        <v>0</v>
      </c>
      <c r="U1502" s="18" t="n">
        <f aca="false">IFERROR(INDEX(SEMANAS!$I$6:$I$71,MATCH($B1502,SEMANAS!$B$6:$B$71,0)),0)</f>
        <v>0.7</v>
      </c>
      <c r="V1502" s="18" t="n">
        <f aca="false">IFERROR(INDEX(SEMANAS!$J$6:$J$71,MATCH($B1502,SEMANAS!$B$6:$B$71,0)),0)</f>
        <v>0.56</v>
      </c>
      <c r="W1502" s="18" t="n">
        <f aca="false">MAX(0,$T1502-$V1502)</f>
        <v>0</v>
      </c>
      <c r="X1502" s="19" t="n">
        <f aca="false">IFERROR(INDEX(CADASTRO_PIVOS!$K$6:$K$41,MATCH($E1502,CADASTRO_PIVOS!$B$6:$B$41,0)),EFICIENCIA_PADRAO)</f>
        <v>0.85</v>
      </c>
      <c r="Y1502" s="18" t="n">
        <f aca="false">IF($X1502&lt;=0,0,$W1502/$X1502)</f>
        <v>0</v>
      </c>
      <c r="Z1502" s="16" t="n">
        <f aca="false">$Y1502*$H1502*MM_PARA_M3_HA</f>
        <v>0</v>
      </c>
      <c r="AA1502" s="18" t="n">
        <f aca="false">IFERROR(INDEX(CADASTRO_PIVOS!$I$6:$I$41,MATCH($E1502,CADASTRO_PIVOS!$B$6:$B$41,0)),0)</f>
        <v>1071</v>
      </c>
      <c r="AB1502" s="18" t="n">
        <f aca="false">IF($Z1502&lt;=0,0,$Z1502/$AA1502)</f>
        <v>0</v>
      </c>
      <c r="AC1502" s="16" t="n">
        <f aca="false">IFERROR(INDEX(SEMANAS!$K$6:$K$71,MATCH($B1502,SEMANAS!$B$6:$B$71,0)),0)</f>
        <v>147</v>
      </c>
      <c r="AD1502" s="19" t="n">
        <f aca="false">IF($AC1502&lt;=0,0,$AB1502/$AC1502)</f>
        <v>0</v>
      </c>
      <c r="AE1502" s="8" t="str">
        <f aca="false">IF($K1502="SEM CULTURA","SEM CULTURA",IF($AA1502&lt;=0,"DADO PENDENTE",IF($AD1502&gt;LIMITE_CRITICO,"INVIAVEL",IF($AD1502&gt;LIMITE_ATENCAO,"CRITICO",IF($AD1502&gt;LIMITE_CONFORTAVEL,"ATENCAO","OK")))))</f>
        <v>SEM CULTURA</v>
      </c>
      <c r="AF1502" s="8" t="str">
        <f aca="false">$B1502&amp;"|"&amp;TEXT($AD1502,"0.000000")</f>
        <v>45|0.000000</v>
      </c>
      <c r="AG1502" s="18" t="n">
        <f aca="false">IF($K1502="SEM CULTURA",0,$T1502*$H1502)</f>
        <v>0</v>
      </c>
      <c r="AH1502" s="18" t="n">
        <f aca="false">IF($K1502="SEM CULTURA",0,$V1502*$H1502)</f>
        <v>0</v>
      </c>
      <c r="AI1502" s="18" t="n">
        <f aca="false">IF($K1502="SEM CULTURA",0,$W1502*$H1502)</f>
        <v>0</v>
      </c>
      <c r="AJ1502" s="18" t="n">
        <f aca="false">IF($K1502="SEM CULTURA",0,$S1502*$H1502)</f>
        <v>0</v>
      </c>
      <c r="AK1502" s="8" t="str">
        <f aca="false">$E1502&amp;"|"&amp;TEXT($AD1502,"0.000000")</f>
        <v>PV 130|0.000000</v>
      </c>
    </row>
    <row r="1503" customFormat="false" ht="15" hidden="false" customHeight="false" outlineLevel="0" collapsed="false">
      <c r="B1503" s="16" t="n">
        <v>46</v>
      </c>
      <c r="C1503" s="17" t="n">
        <f aca="false">DATA_INICIO_SAFRA+($B1503-1)*DIAS_POR_SEMANA</f>
        <v>46580</v>
      </c>
      <c r="D1503" s="17" t="n">
        <f aca="false">$C1503+DIAS_POR_SEMANA-1</f>
        <v>46586</v>
      </c>
      <c r="E1503" s="15" t="s">
        <v>281</v>
      </c>
      <c r="F1503" s="8" t="str">
        <f aca="false">IFERROR(INDEX(CADASTRO_PIVOS!$C$6:$C$41,MATCH($E1503,CADASTRO_PIVOS!$B$6:$B$41,0)),"?")</f>
        <v>RM06</v>
      </c>
      <c r="G1503" s="8" t="str">
        <f aca="false">IFERROR(INDEX(CADASTRO_PIVOS!$D$6:$D$41,MATCH($E1503,CADASTRO_PIVOS!$B$6:$B$41,0)),"?")</f>
        <v>TR06</v>
      </c>
      <c r="H1503" s="20" t="n">
        <f aca="false">IFERROR(INDEX(CADASTRO_PIVOS!$E$6:$E$41,MATCH($E1503,CADASTRO_PIVOS!$B$6:$B$41,0)),0)</f>
        <v>149.94</v>
      </c>
      <c r="I1503" s="16" t="n">
        <f aca="false">IFERROR(SUMIFS(ROTACAO_RDM!$B$6:$B$71,ROTACAO_RDM!$D$6:$D$71,$E1503,ROTACAO_RDM!$I$6:$I$71,"&lt;="&amp;$C1503+INT(DIAS_POR_SEMANA/2),ROTACAO_RDM!$J$6:$J$71,"&gt;="&amp;$C1503+INT(DIAS_POR_SEMANA/2)),0)</f>
        <v>0</v>
      </c>
      <c r="J1503" s="16" t="n">
        <f aca="false">IFERROR(MATCH($I1503,ROTACAO_RDM!$B$6:$B$71,0),0)</f>
        <v>0</v>
      </c>
      <c r="K1503" s="8" t="str">
        <f aca="false">IF($J1503=0,"SEM CULTURA",INDEX(ROTACAO_RDM!$F$6:$F$71,$J1503))</f>
        <v>SEM CULTURA</v>
      </c>
      <c r="L1503" s="8" t="str">
        <f aca="false">IF($J1503=0,"",INDEX(ROTACAO_RDM!$G$6:$G$71,$J1503))</f>
        <v/>
      </c>
      <c r="M1503" s="17" t="str">
        <f aca="false">IF($J1503=0,"",INDEX(ROTACAO_RDM!$I$6:$I$71,$J1503))</f>
        <v/>
      </c>
      <c r="N1503" s="16" t="n">
        <f aca="false">IF($J1503=0,0,MAX(0,$C1503+INT(DIAS_POR_SEMANA/2)-INDEX(ROTACAO_RDM!$I$6:$I$71,$J1503)))</f>
        <v>0</v>
      </c>
      <c r="O1503" s="19" t="n">
        <f aca="false">IF($J1503=0,0,MIN(1,$N1503/MAX(1,INDEX(ROTACAO_RDM!$K$6:$K$71,$J1503))))</f>
        <v>0</v>
      </c>
      <c r="P1503" s="16" t="n">
        <f aca="false">IF($J1503=0,0,IFERROR(MATCH(INDEX(ROTACAO_RDM!$N$6:$N$71,$J1503),PARAMETROS_CULTURAS!$B$6:$B$28,0),0))</f>
        <v>0</v>
      </c>
      <c r="Q1503" s="8" t="str">
        <f aca="false">IF($P1503=0,"-",IF($O1503&lt;=INDEX(PARAMETROS_CULTURAS!$F$6:$F$28,$P1503),"INICIAL",IF($O1503&lt;=INDEX(PARAMETROS_CULTURAS!$F$6:$F$28,$P1503)+INDEX(PARAMETROS_CULTURAS!$G$6:$G$28,$P1503),"DESENVOLVIMENTO",IF($O1503&lt;=INDEX(PARAMETROS_CULTURAS!$F$6:$F$28,$P1503)+INDEX(PARAMETROS_CULTURAS!$G$6:$G$28,$P1503)+INDEX(PARAMETROS_CULTURAS!$H$6:$H$28,$P1503),"MEDIA","FINAL"))))</f>
        <v>-</v>
      </c>
      <c r="R1503" s="24" t="n">
        <f aca="false">IF($P1503=0,0,IF($O1503&lt;=INDEX(PARAMETROS_CULTURAS!$F$6:$F$28,$P1503),INDEX(PARAMETROS_CULTURAS!$K$6:$K$28,$P1503),IF($O1503&lt;=INDEX(PARAMETROS_CULTURAS!$F$6:$F$28,$P1503)+INDEX(PARAMETROS_CULTURAS!$G$6:$G$28,$P1503),INDEX(PARAMETROS_CULTURAS!$K$6:$K$28,$P1503)+(INDEX(PARAMETROS_CULTURAS!$L$6:$L$28,$P1503)-INDEX(PARAMETROS_CULTURAS!$K$6:$K$28,$P1503))*($O1503-INDEX(PARAMETROS_CULTURAS!$F$6:$F$28,$P1503))/MAX(INDEX(PARAMETROS_CULTURAS!$G$6:$G$28,$P1503),0.0001),IF($O1503&lt;=INDEX(PARAMETROS_CULTURAS!$F$6:$F$28,$P1503)+INDEX(PARAMETROS_CULTURAS!$G$6:$G$28,$P1503)+INDEX(PARAMETROS_CULTURAS!$H$6:$H$28,$P1503),INDEX(PARAMETROS_CULTURAS!$L$6:$L$28,$P1503),INDEX(PARAMETROS_CULTURAS!$L$6:$L$28,$P1503)+(INDEX(PARAMETROS_CULTURAS!$M$6:$M$28,$P1503)-INDEX(PARAMETROS_CULTURAS!$L$6:$L$28,$P1503))*($O1503-INDEX(PARAMETROS_CULTURAS!$F$6:$F$28,$P1503)-INDEX(PARAMETROS_CULTURAS!$G$6:$G$28,$P1503)-INDEX(PARAMETROS_CULTURAS!$H$6:$H$28,$P1503))/MAX(INDEX(PARAMETROS_CULTURAS!$I$6:$I$28,$P1503),0.0001)))))</f>
        <v>0</v>
      </c>
      <c r="S1503" s="18" t="n">
        <f aca="false">IFERROR(INDEX(SEMANAS!$H$6:$H$71,MATCH($B1503,SEMANAS!$B$6:$B$71,0)),0)</f>
        <v>30.1</v>
      </c>
      <c r="T1503" s="18" t="n">
        <f aca="false">$R1503*$S1503</f>
        <v>0</v>
      </c>
      <c r="U1503" s="18" t="n">
        <f aca="false">IFERROR(INDEX(SEMANAS!$I$6:$I$71,MATCH($B1503,SEMANAS!$B$6:$B$71,0)),0)</f>
        <v>0.7</v>
      </c>
      <c r="V1503" s="18" t="n">
        <f aca="false">IFERROR(INDEX(SEMANAS!$J$6:$J$71,MATCH($B1503,SEMANAS!$B$6:$B$71,0)),0)</f>
        <v>0.56</v>
      </c>
      <c r="W1503" s="18" t="n">
        <f aca="false">MAX(0,$T1503-$V1503)</f>
        <v>0</v>
      </c>
      <c r="X1503" s="19" t="n">
        <f aca="false">IFERROR(INDEX(CADASTRO_PIVOS!$K$6:$K$41,MATCH($E1503,CADASTRO_PIVOS!$B$6:$B$41,0)),EFICIENCIA_PADRAO)</f>
        <v>0.85</v>
      </c>
      <c r="Y1503" s="18" t="n">
        <f aca="false">IF($X1503&lt;=0,0,$W1503/$X1503)</f>
        <v>0</v>
      </c>
      <c r="Z1503" s="16" t="n">
        <f aca="false">$Y1503*$H1503*MM_PARA_M3_HA</f>
        <v>0</v>
      </c>
      <c r="AA1503" s="18" t="n">
        <f aca="false">IFERROR(INDEX(CADASTRO_PIVOS!$I$6:$I$41,MATCH($E1503,CADASTRO_PIVOS!$B$6:$B$41,0)),0)</f>
        <v>1071</v>
      </c>
      <c r="AB1503" s="18" t="n">
        <f aca="false">IF($Z1503&lt;=0,0,$Z1503/$AA1503)</f>
        <v>0</v>
      </c>
      <c r="AC1503" s="16" t="n">
        <f aca="false">IFERROR(INDEX(SEMANAS!$K$6:$K$71,MATCH($B1503,SEMANAS!$B$6:$B$71,0)),0)</f>
        <v>147</v>
      </c>
      <c r="AD1503" s="19" t="n">
        <f aca="false">IF($AC1503&lt;=0,0,$AB1503/$AC1503)</f>
        <v>0</v>
      </c>
      <c r="AE1503" s="8" t="str">
        <f aca="false">IF($K1503="SEM CULTURA","SEM CULTURA",IF($AA1503&lt;=0,"DADO PENDENTE",IF($AD1503&gt;LIMITE_CRITICO,"INVIAVEL",IF($AD1503&gt;LIMITE_ATENCAO,"CRITICO",IF($AD1503&gt;LIMITE_CONFORTAVEL,"ATENCAO","OK")))))</f>
        <v>SEM CULTURA</v>
      </c>
      <c r="AF1503" s="8" t="str">
        <f aca="false">$B1503&amp;"|"&amp;TEXT($AD1503,"0.000000")</f>
        <v>46|0.000000</v>
      </c>
      <c r="AG1503" s="18" t="n">
        <f aca="false">IF($K1503="SEM CULTURA",0,$T1503*$H1503)</f>
        <v>0</v>
      </c>
      <c r="AH1503" s="18" t="n">
        <f aca="false">IF($K1503="SEM CULTURA",0,$V1503*$H1503)</f>
        <v>0</v>
      </c>
      <c r="AI1503" s="18" t="n">
        <f aca="false">IF($K1503="SEM CULTURA",0,$W1503*$H1503)</f>
        <v>0</v>
      </c>
      <c r="AJ1503" s="18" t="n">
        <f aca="false">IF($K1503="SEM CULTURA",0,$S1503*$H1503)</f>
        <v>0</v>
      </c>
      <c r="AK1503" s="8" t="str">
        <f aca="false">$E1503&amp;"|"&amp;TEXT($AD1503,"0.000000")</f>
        <v>PV 130|0.000000</v>
      </c>
    </row>
    <row r="1504" customFormat="false" ht="15" hidden="false" customHeight="false" outlineLevel="0" collapsed="false">
      <c r="B1504" s="16" t="n">
        <v>47</v>
      </c>
      <c r="C1504" s="17" t="n">
        <f aca="false">DATA_INICIO_SAFRA+($B1504-1)*DIAS_POR_SEMANA</f>
        <v>46587</v>
      </c>
      <c r="D1504" s="17" t="n">
        <f aca="false">$C1504+DIAS_POR_SEMANA-1</f>
        <v>46593</v>
      </c>
      <c r="E1504" s="15" t="s">
        <v>281</v>
      </c>
      <c r="F1504" s="8" t="str">
        <f aca="false">IFERROR(INDEX(CADASTRO_PIVOS!$C$6:$C$41,MATCH($E1504,CADASTRO_PIVOS!$B$6:$B$41,0)),"?")</f>
        <v>RM06</v>
      </c>
      <c r="G1504" s="8" t="str">
        <f aca="false">IFERROR(INDEX(CADASTRO_PIVOS!$D$6:$D$41,MATCH($E1504,CADASTRO_PIVOS!$B$6:$B$41,0)),"?")</f>
        <v>TR06</v>
      </c>
      <c r="H1504" s="20" t="n">
        <f aca="false">IFERROR(INDEX(CADASTRO_PIVOS!$E$6:$E$41,MATCH($E1504,CADASTRO_PIVOS!$B$6:$B$41,0)),0)</f>
        <v>149.94</v>
      </c>
      <c r="I1504" s="16" t="n">
        <f aca="false">IFERROR(SUMIFS(ROTACAO_RDM!$B$6:$B$71,ROTACAO_RDM!$D$6:$D$71,$E1504,ROTACAO_RDM!$I$6:$I$71,"&lt;="&amp;$C1504+INT(DIAS_POR_SEMANA/2),ROTACAO_RDM!$J$6:$J$71,"&gt;="&amp;$C1504+INT(DIAS_POR_SEMANA/2)),0)</f>
        <v>0</v>
      </c>
      <c r="J1504" s="16" t="n">
        <f aca="false">IFERROR(MATCH($I1504,ROTACAO_RDM!$B$6:$B$71,0),0)</f>
        <v>0</v>
      </c>
      <c r="K1504" s="8" t="str">
        <f aca="false">IF($J1504=0,"SEM CULTURA",INDEX(ROTACAO_RDM!$F$6:$F$71,$J1504))</f>
        <v>SEM CULTURA</v>
      </c>
      <c r="L1504" s="8" t="str">
        <f aca="false">IF($J1504=0,"",INDEX(ROTACAO_RDM!$G$6:$G$71,$J1504))</f>
        <v/>
      </c>
      <c r="M1504" s="17" t="str">
        <f aca="false">IF($J1504=0,"",INDEX(ROTACAO_RDM!$I$6:$I$71,$J1504))</f>
        <v/>
      </c>
      <c r="N1504" s="16" t="n">
        <f aca="false">IF($J1504=0,0,MAX(0,$C1504+INT(DIAS_POR_SEMANA/2)-INDEX(ROTACAO_RDM!$I$6:$I$71,$J1504)))</f>
        <v>0</v>
      </c>
      <c r="O1504" s="19" t="n">
        <f aca="false">IF($J1504=0,0,MIN(1,$N1504/MAX(1,INDEX(ROTACAO_RDM!$K$6:$K$71,$J1504))))</f>
        <v>0</v>
      </c>
      <c r="P1504" s="16" t="n">
        <f aca="false">IF($J1504=0,0,IFERROR(MATCH(INDEX(ROTACAO_RDM!$N$6:$N$71,$J1504),PARAMETROS_CULTURAS!$B$6:$B$28,0),0))</f>
        <v>0</v>
      </c>
      <c r="Q1504" s="8" t="str">
        <f aca="false">IF($P1504=0,"-",IF($O1504&lt;=INDEX(PARAMETROS_CULTURAS!$F$6:$F$28,$P1504),"INICIAL",IF($O1504&lt;=INDEX(PARAMETROS_CULTURAS!$F$6:$F$28,$P1504)+INDEX(PARAMETROS_CULTURAS!$G$6:$G$28,$P1504),"DESENVOLVIMENTO",IF($O1504&lt;=INDEX(PARAMETROS_CULTURAS!$F$6:$F$28,$P1504)+INDEX(PARAMETROS_CULTURAS!$G$6:$G$28,$P1504)+INDEX(PARAMETROS_CULTURAS!$H$6:$H$28,$P1504),"MEDIA","FINAL"))))</f>
        <v>-</v>
      </c>
      <c r="R1504" s="24" t="n">
        <f aca="false">IF($P1504=0,0,IF($O1504&lt;=INDEX(PARAMETROS_CULTURAS!$F$6:$F$28,$P1504),INDEX(PARAMETROS_CULTURAS!$K$6:$K$28,$P1504),IF($O1504&lt;=INDEX(PARAMETROS_CULTURAS!$F$6:$F$28,$P1504)+INDEX(PARAMETROS_CULTURAS!$G$6:$G$28,$P1504),INDEX(PARAMETROS_CULTURAS!$K$6:$K$28,$P1504)+(INDEX(PARAMETROS_CULTURAS!$L$6:$L$28,$P1504)-INDEX(PARAMETROS_CULTURAS!$K$6:$K$28,$P1504))*($O1504-INDEX(PARAMETROS_CULTURAS!$F$6:$F$28,$P1504))/MAX(INDEX(PARAMETROS_CULTURAS!$G$6:$G$28,$P1504),0.0001),IF($O1504&lt;=INDEX(PARAMETROS_CULTURAS!$F$6:$F$28,$P1504)+INDEX(PARAMETROS_CULTURAS!$G$6:$G$28,$P1504)+INDEX(PARAMETROS_CULTURAS!$H$6:$H$28,$P1504),INDEX(PARAMETROS_CULTURAS!$L$6:$L$28,$P1504),INDEX(PARAMETROS_CULTURAS!$L$6:$L$28,$P1504)+(INDEX(PARAMETROS_CULTURAS!$M$6:$M$28,$P1504)-INDEX(PARAMETROS_CULTURAS!$L$6:$L$28,$P1504))*($O1504-INDEX(PARAMETROS_CULTURAS!$F$6:$F$28,$P1504)-INDEX(PARAMETROS_CULTURAS!$G$6:$G$28,$P1504)-INDEX(PARAMETROS_CULTURAS!$H$6:$H$28,$P1504))/MAX(INDEX(PARAMETROS_CULTURAS!$I$6:$I$28,$P1504),0.0001)))))</f>
        <v>0</v>
      </c>
      <c r="S1504" s="18" t="n">
        <f aca="false">IFERROR(INDEX(SEMANAS!$H$6:$H$71,MATCH($B1504,SEMANAS!$B$6:$B$71,0)),0)</f>
        <v>30.1</v>
      </c>
      <c r="T1504" s="18" t="n">
        <f aca="false">$R1504*$S1504</f>
        <v>0</v>
      </c>
      <c r="U1504" s="18" t="n">
        <f aca="false">IFERROR(INDEX(SEMANAS!$I$6:$I$71,MATCH($B1504,SEMANAS!$B$6:$B$71,0)),0)</f>
        <v>0.7</v>
      </c>
      <c r="V1504" s="18" t="n">
        <f aca="false">IFERROR(INDEX(SEMANAS!$J$6:$J$71,MATCH($B1504,SEMANAS!$B$6:$B$71,0)),0)</f>
        <v>0.56</v>
      </c>
      <c r="W1504" s="18" t="n">
        <f aca="false">MAX(0,$T1504-$V1504)</f>
        <v>0</v>
      </c>
      <c r="X1504" s="19" t="n">
        <f aca="false">IFERROR(INDEX(CADASTRO_PIVOS!$K$6:$K$41,MATCH($E1504,CADASTRO_PIVOS!$B$6:$B$41,0)),EFICIENCIA_PADRAO)</f>
        <v>0.85</v>
      </c>
      <c r="Y1504" s="18" t="n">
        <f aca="false">IF($X1504&lt;=0,0,$W1504/$X1504)</f>
        <v>0</v>
      </c>
      <c r="Z1504" s="16" t="n">
        <f aca="false">$Y1504*$H1504*MM_PARA_M3_HA</f>
        <v>0</v>
      </c>
      <c r="AA1504" s="18" t="n">
        <f aca="false">IFERROR(INDEX(CADASTRO_PIVOS!$I$6:$I$41,MATCH($E1504,CADASTRO_PIVOS!$B$6:$B$41,0)),0)</f>
        <v>1071</v>
      </c>
      <c r="AB1504" s="18" t="n">
        <f aca="false">IF($Z1504&lt;=0,0,$Z1504/$AA1504)</f>
        <v>0</v>
      </c>
      <c r="AC1504" s="16" t="n">
        <f aca="false">IFERROR(INDEX(SEMANAS!$K$6:$K$71,MATCH($B1504,SEMANAS!$B$6:$B$71,0)),0)</f>
        <v>147</v>
      </c>
      <c r="AD1504" s="19" t="n">
        <f aca="false">IF($AC1504&lt;=0,0,$AB1504/$AC1504)</f>
        <v>0</v>
      </c>
      <c r="AE1504" s="8" t="str">
        <f aca="false">IF($K1504="SEM CULTURA","SEM CULTURA",IF($AA1504&lt;=0,"DADO PENDENTE",IF($AD1504&gt;LIMITE_CRITICO,"INVIAVEL",IF($AD1504&gt;LIMITE_ATENCAO,"CRITICO",IF($AD1504&gt;LIMITE_CONFORTAVEL,"ATENCAO","OK")))))</f>
        <v>SEM CULTURA</v>
      </c>
      <c r="AF1504" s="8" t="str">
        <f aca="false">$B1504&amp;"|"&amp;TEXT($AD1504,"0.000000")</f>
        <v>47|0.000000</v>
      </c>
      <c r="AG1504" s="18" t="n">
        <f aca="false">IF($K1504="SEM CULTURA",0,$T1504*$H1504)</f>
        <v>0</v>
      </c>
      <c r="AH1504" s="18" t="n">
        <f aca="false">IF($K1504="SEM CULTURA",0,$V1504*$H1504)</f>
        <v>0</v>
      </c>
      <c r="AI1504" s="18" t="n">
        <f aca="false">IF($K1504="SEM CULTURA",0,$W1504*$H1504)</f>
        <v>0</v>
      </c>
      <c r="AJ1504" s="18" t="n">
        <f aca="false">IF($K1504="SEM CULTURA",0,$S1504*$H1504)</f>
        <v>0</v>
      </c>
      <c r="AK1504" s="8" t="str">
        <f aca="false">$E1504&amp;"|"&amp;TEXT($AD1504,"0.000000")</f>
        <v>PV 130|0.000000</v>
      </c>
    </row>
    <row r="1505" customFormat="false" ht="15" hidden="false" customHeight="false" outlineLevel="0" collapsed="false">
      <c r="B1505" s="16" t="n">
        <v>48</v>
      </c>
      <c r="C1505" s="17" t="n">
        <f aca="false">DATA_INICIO_SAFRA+($B1505-1)*DIAS_POR_SEMANA</f>
        <v>46594</v>
      </c>
      <c r="D1505" s="17" t="n">
        <f aca="false">$C1505+DIAS_POR_SEMANA-1</f>
        <v>46600</v>
      </c>
      <c r="E1505" s="15" t="s">
        <v>281</v>
      </c>
      <c r="F1505" s="8" t="str">
        <f aca="false">IFERROR(INDEX(CADASTRO_PIVOS!$C$6:$C$41,MATCH($E1505,CADASTRO_PIVOS!$B$6:$B$41,0)),"?")</f>
        <v>RM06</v>
      </c>
      <c r="G1505" s="8" t="str">
        <f aca="false">IFERROR(INDEX(CADASTRO_PIVOS!$D$6:$D$41,MATCH($E1505,CADASTRO_PIVOS!$B$6:$B$41,0)),"?")</f>
        <v>TR06</v>
      </c>
      <c r="H1505" s="20" t="n">
        <f aca="false">IFERROR(INDEX(CADASTRO_PIVOS!$E$6:$E$41,MATCH($E1505,CADASTRO_PIVOS!$B$6:$B$41,0)),0)</f>
        <v>149.94</v>
      </c>
      <c r="I1505" s="16" t="n">
        <f aca="false">IFERROR(SUMIFS(ROTACAO_RDM!$B$6:$B$71,ROTACAO_RDM!$D$6:$D$71,$E1505,ROTACAO_RDM!$I$6:$I$71,"&lt;="&amp;$C1505+INT(DIAS_POR_SEMANA/2),ROTACAO_RDM!$J$6:$J$71,"&gt;="&amp;$C1505+INT(DIAS_POR_SEMANA/2)),0)</f>
        <v>0</v>
      </c>
      <c r="J1505" s="16" t="n">
        <f aca="false">IFERROR(MATCH($I1505,ROTACAO_RDM!$B$6:$B$71,0),0)</f>
        <v>0</v>
      </c>
      <c r="K1505" s="8" t="str">
        <f aca="false">IF($J1505=0,"SEM CULTURA",INDEX(ROTACAO_RDM!$F$6:$F$71,$J1505))</f>
        <v>SEM CULTURA</v>
      </c>
      <c r="L1505" s="8" t="str">
        <f aca="false">IF($J1505=0,"",INDEX(ROTACAO_RDM!$G$6:$G$71,$J1505))</f>
        <v/>
      </c>
      <c r="M1505" s="17" t="str">
        <f aca="false">IF($J1505=0,"",INDEX(ROTACAO_RDM!$I$6:$I$71,$J1505))</f>
        <v/>
      </c>
      <c r="N1505" s="16" t="n">
        <f aca="false">IF($J1505=0,0,MAX(0,$C1505+INT(DIAS_POR_SEMANA/2)-INDEX(ROTACAO_RDM!$I$6:$I$71,$J1505)))</f>
        <v>0</v>
      </c>
      <c r="O1505" s="19" t="n">
        <f aca="false">IF($J1505=0,0,MIN(1,$N1505/MAX(1,INDEX(ROTACAO_RDM!$K$6:$K$71,$J1505))))</f>
        <v>0</v>
      </c>
      <c r="P1505" s="16" t="n">
        <f aca="false">IF($J1505=0,0,IFERROR(MATCH(INDEX(ROTACAO_RDM!$N$6:$N$71,$J1505),PARAMETROS_CULTURAS!$B$6:$B$28,0),0))</f>
        <v>0</v>
      </c>
      <c r="Q1505" s="8" t="str">
        <f aca="false">IF($P1505=0,"-",IF($O1505&lt;=INDEX(PARAMETROS_CULTURAS!$F$6:$F$28,$P1505),"INICIAL",IF($O1505&lt;=INDEX(PARAMETROS_CULTURAS!$F$6:$F$28,$P1505)+INDEX(PARAMETROS_CULTURAS!$G$6:$G$28,$P1505),"DESENVOLVIMENTO",IF($O1505&lt;=INDEX(PARAMETROS_CULTURAS!$F$6:$F$28,$P1505)+INDEX(PARAMETROS_CULTURAS!$G$6:$G$28,$P1505)+INDEX(PARAMETROS_CULTURAS!$H$6:$H$28,$P1505),"MEDIA","FINAL"))))</f>
        <v>-</v>
      </c>
      <c r="R1505" s="24" t="n">
        <f aca="false">IF($P1505=0,0,IF($O1505&lt;=INDEX(PARAMETROS_CULTURAS!$F$6:$F$28,$P1505),INDEX(PARAMETROS_CULTURAS!$K$6:$K$28,$P1505),IF($O1505&lt;=INDEX(PARAMETROS_CULTURAS!$F$6:$F$28,$P1505)+INDEX(PARAMETROS_CULTURAS!$G$6:$G$28,$P1505),INDEX(PARAMETROS_CULTURAS!$K$6:$K$28,$P1505)+(INDEX(PARAMETROS_CULTURAS!$L$6:$L$28,$P1505)-INDEX(PARAMETROS_CULTURAS!$K$6:$K$28,$P1505))*($O1505-INDEX(PARAMETROS_CULTURAS!$F$6:$F$28,$P1505))/MAX(INDEX(PARAMETROS_CULTURAS!$G$6:$G$28,$P1505),0.0001),IF($O1505&lt;=INDEX(PARAMETROS_CULTURAS!$F$6:$F$28,$P1505)+INDEX(PARAMETROS_CULTURAS!$G$6:$G$28,$P1505)+INDEX(PARAMETROS_CULTURAS!$H$6:$H$28,$P1505),INDEX(PARAMETROS_CULTURAS!$L$6:$L$28,$P1505),INDEX(PARAMETROS_CULTURAS!$L$6:$L$28,$P1505)+(INDEX(PARAMETROS_CULTURAS!$M$6:$M$28,$P1505)-INDEX(PARAMETROS_CULTURAS!$L$6:$L$28,$P1505))*($O1505-INDEX(PARAMETROS_CULTURAS!$F$6:$F$28,$P1505)-INDEX(PARAMETROS_CULTURAS!$G$6:$G$28,$P1505)-INDEX(PARAMETROS_CULTURAS!$H$6:$H$28,$P1505))/MAX(INDEX(PARAMETROS_CULTURAS!$I$6:$I$28,$P1505),0.0001)))))</f>
        <v>0</v>
      </c>
      <c r="S1505" s="18" t="n">
        <f aca="false">IFERROR(INDEX(SEMANAS!$H$6:$H$71,MATCH($B1505,SEMANAS!$B$6:$B$71,0)),0)</f>
        <v>31</v>
      </c>
      <c r="T1505" s="18" t="n">
        <f aca="false">$R1505*$S1505</f>
        <v>0</v>
      </c>
      <c r="U1505" s="18" t="n">
        <f aca="false">IFERROR(INDEX(SEMANAS!$I$6:$I$71,MATCH($B1505,SEMANAS!$B$6:$B$71,0)),0)</f>
        <v>0.76</v>
      </c>
      <c r="V1505" s="18" t="n">
        <f aca="false">IFERROR(INDEX(SEMANAS!$J$6:$J$71,MATCH($B1505,SEMANAS!$B$6:$B$71,0)),0)</f>
        <v>0.608</v>
      </c>
      <c r="W1505" s="18" t="n">
        <f aca="false">MAX(0,$T1505-$V1505)</f>
        <v>0</v>
      </c>
      <c r="X1505" s="19" t="n">
        <f aca="false">IFERROR(INDEX(CADASTRO_PIVOS!$K$6:$K$41,MATCH($E1505,CADASTRO_PIVOS!$B$6:$B$41,0)),EFICIENCIA_PADRAO)</f>
        <v>0.85</v>
      </c>
      <c r="Y1505" s="18" t="n">
        <f aca="false">IF($X1505&lt;=0,0,$W1505/$X1505)</f>
        <v>0</v>
      </c>
      <c r="Z1505" s="16" t="n">
        <f aca="false">$Y1505*$H1505*MM_PARA_M3_HA</f>
        <v>0</v>
      </c>
      <c r="AA1505" s="18" t="n">
        <f aca="false">IFERROR(INDEX(CADASTRO_PIVOS!$I$6:$I$41,MATCH($E1505,CADASTRO_PIVOS!$B$6:$B$41,0)),0)</f>
        <v>1071</v>
      </c>
      <c r="AB1505" s="18" t="n">
        <f aca="false">IF($Z1505&lt;=0,0,$Z1505/$AA1505)</f>
        <v>0</v>
      </c>
      <c r="AC1505" s="16" t="n">
        <f aca="false">IFERROR(INDEX(SEMANAS!$K$6:$K$71,MATCH($B1505,SEMANAS!$B$6:$B$71,0)),0)</f>
        <v>147</v>
      </c>
      <c r="AD1505" s="19" t="n">
        <f aca="false">IF($AC1505&lt;=0,0,$AB1505/$AC1505)</f>
        <v>0</v>
      </c>
      <c r="AE1505" s="8" t="str">
        <f aca="false">IF($K1505="SEM CULTURA","SEM CULTURA",IF($AA1505&lt;=0,"DADO PENDENTE",IF($AD1505&gt;LIMITE_CRITICO,"INVIAVEL",IF($AD1505&gt;LIMITE_ATENCAO,"CRITICO",IF($AD1505&gt;LIMITE_CONFORTAVEL,"ATENCAO","OK")))))</f>
        <v>SEM CULTURA</v>
      </c>
      <c r="AF1505" s="8" t="str">
        <f aca="false">$B1505&amp;"|"&amp;TEXT($AD1505,"0.000000")</f>
        <v>48|0.000000</v>
      </c>
      <c r="AG1505" s="18" t="n">
        <f aca="false">IF($K1505="SEM CULTURA",0,$T1505*$H1505)</f>
        <v>0</v>
      </c>
      <c r="AH1505" s="18" t="n">
        <f aca="false">IF($K1505="SEM CULTURA",0,$V1505*$H1505)</f>
        <v>0</v>
      </c>
      <c r="AI1505" s="18" t="n">
        <f aca="false">IF($K1505="SEM CULTURA",0,$W1505*$H1505)</f>
        <v>0</v>
      </c>
      <c r="AJ1505" s="18" t="n">
        <f aca="false">IF($K1505="SEM CULTURA",0,$S1505*$H1505)</f>
        <v>0</v>
      </c>
      <c r="AK1505" s="8" t="str">
        <f aca="false">$E1505&amp;"|"&amp;TEXT($AD1505,"0.000000")</f>
        <v>PV 130|0.000000</v>
      </c>
    </row>
    <row r="1506" customFormat="false" ht="15" hidden="false" customHeight="false" outlineLevel="0" collapsed="false">
      <c r="B1506" s="16" t="n">
        <v>49</v>
      </c>
      <c r="C1506" s="17" t="n">
        <f aca="false">DATA_INICIO_SAFRA+($B1506-1)*DIAS_POR_SEMANA</f>
        <v>46601</v>
      </c>
      <c r="D1506" s="17" t="n">
        <f aca="false">$C1506+DIAS_POR_SEMANA-1</f>
        <v>46607</v>
      </c>
      <c r="E1506" s="15" t="s">
        <v>281</v>
      </c>
      <c r="F1506" s="8" t="str">
        <f aca="false">IFERROR(INDEX(CADASTRO_PIVOS!$C$6:$C$41,MATCH($E1506,CADASTRO_PIVOS!$B$6:$B$41,0)),"?")</f>
        <v>RM06</v>
      </c>
      <c r="G1506" s="8" t="str">
        <f aca="false">IFERROR(INDEX(CADASTRO_PIVOS!$D$6:$D$41,MATCH($E1506,CADASTRO_PIVOS!$B$6:$B$41,0)),"?")</f>
        <v>TR06</v>
      </c>
      <c r="H1506" s="20" t="n">
        <f aca="false">IFERROR(INDEX(CADASTRO_PIVOS!$E$6:$E$41,MATCH($E1506,CADASTRO_PIVOS!$B$6:$B$41,0)),0)</f>
        <v>149.94</v>
      </c>
      <c r="I1506" s="16" t="n">
        <f aca="false">IFERROR(SUMIFS(ROTACAO_RDM!$B$6:$B$71,ROTACAO_RDM!$D$6:$D$71,$E1506,ROTACAO_RDM!$I$6:$I$71,"&lt;="&amp;$C1506+INT(DIAS_POR_SEMANA/2),ROTACAO_RDM!$J$6:$J$71,"&gt;="&amp;$C1506+INT(DIAS_POR_SEMANA/2)),0)</f>
        <v>0</v>
      </c>
      <c r="J1506" s="16" t="n">
        <f aca="false">IFERROR(MATCH($I1506,ROTACAO_RDM!$B$6:$B$71,0),0)</f>
        <v>0</v>
      </c>
      <c r="K1506" s="8" t="str">
        <f aca="false">IF($J1506=0,"SEM CULTURA",INDEX(ROTACAO_RDM!$F$6:$F$71,$J1506))</f>
        <v>SEM CULTURA</v>
      </c>
      <c r="L1506" s="8" t="str">
        <f aca="false">IF($J1506=0,"",INDEX(ROTACAO_RDM!$G$6:$G$71,$J1506))</f>
        <v/>
      </c>
      <c r="M1506" s="17" t="str">
        <f aca="false">IF($J1506=0,"",INDEX(ROTACAO_RDM!$I$6:$I$71,$J1506))</f>
        <v/>
      </c>
      <c r="N1506" s="16" t="n">
        <f aca="false">IF($J1506=0,0,MAX(0,$C1506+INT(DIAS_POR_SEMANA/2)-INDEX(ROTACAO_RDM!$I$6:$I$71,$J1506)))</f>
        <v>0</v>
      </c>
      <c r="O1506" s="19" t="n">
        <f aca="false">IF($J1506=0,0,MIN(1,$N1506/MAX(1,INDEX(ROTACAO_RDM!$K$6:$K$71,$J1506))))</f>
        <v>0</v>
      </c>
      <c r="P1506" s="16" t="n">
        <f aca="false">IF($J1506=0,0,IFERROR(MATCH(INDEX(ROTACAO_RDM!$N$6:$N$71,$J1506),PARAMETROS_CULTURAS!$B$6:$B$28,0),0))</f>
        <v>0</v>
      </c>
      <c r="Q1506" s="8" t="str">
        <f aca="false">IF($P1506=0,"-",IF($O1506&lt;=INDEX(PARAMETROS_CULTURAS!$F$6:$F$28,$P1506),"INICIAL",IF($O1506&lt;=INDEX(PARAMETROS_CULTURAS!$F$6:$F$28,$P1506)+INDEX(PARAMETROS_CULTURAS!$G$6:$G$28,$P1506),"DESENVOLVIMENTO",IF($O1506&lt;=INDEX(PARAMETROS_CULTURAS!$F$6:$F$28,$P1506)+INDEX(PARAMETROS_CULTURAS!$G$6:$G$28,$P1506)+INDEX(PARAMETROS_CULTURAS!$H$6:$H$28,$P1506),"MEDIA","FINAL"))))</f>
        <v>-</v>
      </c>
      <c r="R1506" s="24" t="n">
        <f aca="false">IF($P1506=0,0,IF($O1506&lt;=INDEX(PARAMETROS_CULTURAS!$F$6:$F$28,$P1506),INDEX(PARAMETROS_CULTURAS!$K$6:$K$28,$P1506),IF($O1506&lt;=INDEX(PARAMETROS_CULTURAS!$F$6:$F$28,$P1506)+INDEX(PARAMETROS_CULTURAS!$G$6:$G$28,$P1506),INDEX(PARAMETROS_CULTURAS!$K$6:$K$28,$P1506)+(INDEX(PARAMETROS_CULTURAS!$L$6:$L$28,$P1506)-INDEX(PARAMETROS_CULTURAS!$K$6:$K$28,$P1506))*($O1506-INDEX(PARAMETROS_CULTURAS!$F$6:$F$28,$P1506))/MAX(INDEX(PARAMETROS_CULTURAS!$G$6:$G$28,$P1506),0.0001),IF($O1506&lt;=INDEX(PARAMETROS_CULTURAS!$F$6:$F$28,$P1506)+INDEX(PARAMETROS_CULTURAS!$G$6:$G$28,$P1506)+INDEX(PARAMETROS_CULTURAS!$H$6:$H$28,$P1506),INDEX(PARAMETROS_CULTURAS!$L$6:$L$28,$P1506),INDEX(PARAMETROS_CULTURAS!$L$6:$L$28,$P1506)+(INDEX(PARAMETROS_CULTURAS!$M$6:$M$28,$P1506)-INDEX(PARAMETROS_CULTURAS!$L$6:$L$28,$P1506))*($O1506-INDEX(PARAMETROS_CULTURAS!$F$6:$F$28,$P1506)-INDEX(PARAMETROS_CULTURAS!$G$6:$G$28,$P1506)-INDEX(PARAMETROS_CULTURAS!$H$6:$H$28,$P1506))/MAX(INDEX(PARAMETROS_CULTURAS!$I$6:$I$28,$P1506),0.0001)))))</f>
        <v>0</v>
      </c>
      <c r="S1506" s="18" t="n">
        <f aca="false">IFERROR(INDEX(SEMANAS!$H$6:$H$71,MATCH($B1506,SEMANAS!$B$6:$B$71,0)),0)</f>
        <v>36.4</v>
      </c>
      <c r="T1506" s="18" t="n">
        <f aca="false">$R1506*$S1506</f>
        <v>0</v>
      </c>
      <c r="U1506" s="18" t="n">
        <f aca="false">IFERROR(INDEX(SEMANAS!$I$6:$I$71,MATCH($B1506,SEMANAS!$B$6:$B$71,0)),0)</f>
        <v>1.12</v>
      </c>
      <c r="V1506" s="18" t="n">
        <f aca="false">IFERROR(INDEX(SEMANAS!$J$6:$J$71,MATCH($B1506,SEMANAS!$B$6:$B$71,0)),0)</f>
        <v>0.896</v>
      </c>
      <c r="W1506" s="18" t="n">
        <f aca="false">MAX(0,$T1506-$V1506)</f>
        <v>0</v>
      </c>
      <c r="X1506" s="19" t="n">
        <f aca="false">IFERROR(INDEX(CADASTRO_PIVOS!$K$6:$K$41,MATCH($E1506,CADASTRO_PIVOS!$B$6:$B$41,0)),EFICIENCIA_PADRAO)</f>
        <v>0.85</v>
      </c>
      <c r="Y1506" s="18" t="n">
        <f aca="false">IF($X1506&lt;=0,0,$W1506/$X1506)</f>
        <v>0</v>
      </c>
      <c r="Z1506" s="16" t="n">
        <f aca="false">$Y1506*$H1506*MM_PARA_M3_HA</f>
        <v>0</v>
      </c>
      <c r="AA1506" s="18" t="n">
        <f aca="false">IFERROR(INDEX(CADASTRO_PIVOS!$I$6:$I$41,MATCH($E1506,CADASTRO_PIVOS!$B$6:$B$41,0)),0)</f>
        <v>1071</v>
      </c>
      <c r="AB1506" s="18" t="n">
        <f aca="false">IF($Z1506&lt;=0,0,$Z1506/$AA1506)</f>
        <v>0</v>
      </c>
      <c r="AC1506" s="16" t="n">
        <f aca="false">IFERROR(INDEX(SEMANAS!$K$6:$K$71,MATCH($B1506,SEMANAS!$B$6:$B$71,0)),0)</f>
        <v>147</v>
      </c>
      <c r="AD1506" s="19" t="n">
        <f aca="false">IF($AC1506&lt;=0,0,$AB1506/$AC1506)</f>
        <v>0</v>
      </c>
      <c r="AE1506" s="8" t="str">
        <f aca="false">IF($K1506="SEM CULTURA","SEM CULTURA",IF($AA1506&lt;=0,"DADO PENDENTE",IF($AD1506&gt;LIMITE_CRITICO,"INVIAVEL",IF($AD1506&gt;LIMITE_ATENCAO,"CRITICO",IF($AD1506&gt;LIMITE_CONFORTAVEL,"ATENCAO","OK")))))</f>
        <v>SEM CULTURA</v>
      </c>
      <c r="AF1506" s="8" t="str">
        <f aca="false">$B1506&amp;"|"&amp;TEXT($AD1506,"0.000000")</f>
        <v>49|0.000000</v>
      </c>
      <c r="AG1506" s="18" t="n">
        <f aca="false">IF($K1506="SEM CULTURA",0,$T1506*$H1506)</f>
        <v>0</v>
      </c>
      <c r="AH1506" s="18" t="n">
        <f aca="false">IF($K1506="SEM CULTURA",0,$V1506*$H1506)</f>
        <v>0</v>
      </c>
      <c r="AI1506" s="18" t="n">
        <f aca="false">IF($K1506="SEM CULTURA",0,$W1506*$H1506)</f>
        <v>0</v>
      </c>
      <c r="AJ1506" s="18" t="n">
        <f aca="false">IF($K1506="SEM CULTURA",0,$S1506*$H1506)</f>
        <v>0</v>
      </c>
      <c r="AK1506" s="8" t="str">
        <f aca="false">$E1506&amp;"|"&amp;TEXT($AD1506,"0.000000")</f>
        <v>PV 130|0.000000</v>
      </c>
    </row>
    <row r="1507" customFormat="false" ht="15" hidden="false" customHeight="false" outlineLevel="0" collapsed="false">
      <c r="B1507" s="16" t="n">
        <v>50</v>
      </c>
      <c r="C1507" s="17" t="n">
        <f aca="false">DATA_INICIO_SAFRA+($B1507-1)*DIAS_POR_SEMANA</f>
        <v>46608</v>
      </c>
      <c r="D1507" s="17" t="n">
        <f aca="false">$C1507+DIAS_POR_SEMANA-1</f>
        <v>46614</v>
      </c>
      <c r="E1507" s="15" t="s">
        <v>281</v>
      </c>
      <c r="F1507" s="8" t="str">
        <f aca="false">IFERROR(INDEX(CADASTRO_PIVOS!$C$6:$C$41,MATCH($E1507,CADASTRO_PIVOS!$B$6:$B$41,0)),"?")</f>
        <v>RM06</v>
      </c>
      <c r="G1507" s="8" t="str">
        <f aca="false">IFERROR(INDEX(CADASTRO_PIVOS!$D$6:$D$41,MATCH($E1507,CADASTRO_PIVOS!$B$6:$B$41,0)),"?")</f>
        <v>TR06</v>
      </c>
      <c r="H1507" s="20" t="n">
        <f aca="false">IFERROR(INDEX(CADASTRO_PIVOS!$E$6:$E$41,MATCH($E1507,CADASTRO_PIVOS!$B$6:$B$41,0)),0)</f>
        <v>149.94</v>
      </c>
      <c r="I1507" s="16" t="n">
        <f aca="false">IFERROR(SUMIFS(ROTACAO_RDM!$B$6:$B$71,ROTACAO_RDM!$D$6:$D$71,$E1507,ROTACAO_RDM!$I$6:$I$71,"&lt;="&amp;$C1507+INT(DIAS_POR_SEMANA/2),ROTACAO_RDM!$J$6:$J$71,"&gt;="&amp;$C1507+INT(DIAS_POR_SEMANA/2)),0)</f>
        <v>0</v>
      </c>
      <c r="J1507" s="16" t="n">
        <f aca="false">IFERROR(MATCH($I1507,ROTACAO_RDM!$B$6:$B$71,0),0)</f>
        <v>0</v>
      </c>
      <c r="K1507" s="8" t="str">
        <f aca="false">IF($J1507=0,"SEM CULTURA",INDEX(ROTACAO_RDM!$F$6:$F$71,$J1507))</f>
        <v>SEM CULTURA</v>
      </c>
      <c r="L1507" s="8" t="str">
        <f aca="false">IF($J1507=0,"",INDEX(ROTACAO_RDM!$G$6:$G$71,$J1507))</f>
        <v/>
      </c>
      <c r="M1507" s="17" t="str">
        <f aca="false">IF($J1507=0,"",INDEX(ROTACAO_RDM!$I$6:$I$71,$J1507))</f>
        <v/>
      </c>
      <c r="N1507" s="16" t="n">
        <f aca="false">IF($J1507=0,0,MAX(0,$C1507+INT(DIAS_POR_SEMANA/2)-INDEX(ROTACAO_RDM!$I$6:$I$71,$J1507)))</f>
        <v>0</v>
      </c>
      <c r="O1507" s="19" t="n">
        <f aca="false">IF($J1507=0,0,MIN(1,$N1507/MAX(1,INDEX(ROTACAO_RDM!$K$6:$K$71,$J1507))))</f>
        <v>0</v>
      </c>
      <c r="P1507" s="16" t="n">
        <f aca="false">IF($J1507=0,0,IFERROR(MATCH(INDEX(ROTACAO_RDM!$N$6:$N$71,$J1507),PARAMETROS_CULTURAS!$B$6:$B$28,0),0))</f>
        <v>0</v>
      </c>
      <c r="Q1507" s="8" t="str">
        <f aca="false">IF($P1507=0,"-",IF($O1507&lt;=INDEX(PARAMETROS_CULTURAS!$F$6:$F$28,$P1507),"INICIAL",IF($O1507&lt;=INDEX(PARAMETROS_CULTURAS!$F$6:$F$28,$P1507)+INDEX(PARAMETROS_CULTURAS!$G$6:$G$28,$P1507),"DESENVOLVIMENTO",IF($O1507&lt;=INDEX(PARAMETROS_CULTURAS!$F$6:$F$28,$P1507)+INDEX(PARAMETROS_CULTURAS!$G$6:$G$28,$P1507)+INDEX(PARAMETROS_CULTURAS!$H$6:$H$28,$P1507),"MEDIA","FINAL"))))</f>
        <v>-</v>
      </c>
      <c r="R1507" s="24" t="n">
        <f aca="false">IF($P1507=0,0,IF($O1507&lt;=INDEX(PARAMETROS_CULTURAS!$F$6:$F$28,$P1507),INDEX(PARAMETROS_CULTURAS!$K$6:$K$28,$P1507),IF($O1507&lt;=INDEX(PARAMETROS_CULTURAS!$F$6:$F$28,$P1507)+INDEX(PARAMETROS_CULTURAS!$G$6:$G$28,$P1507),INDEX(PARAMETROS_CULTURAS!$K$6:$K$28,$P1507)+(INDEX(PARAMETROS_CULTURAS!$L$6:$L$28,$P1507)-INDEX(PARAMETROS_CULTURAS!$K$6:$K$28,$P1507))*($O1507-INDEX(PARAMETROS_CULTURAS!$F$6:$F$28,$P1507))/MAX(INDEX(PARAMETROS_CULTURAS!$G$6:$G$28,$P1507),0.0001),IF($O1507&lt;=INDEX(PARAMETROS_CULTURAS!$F$6:$F$28,$P1507)+INDEX(PARAMETROS_CULTURAS!$G$6:$G$28,$P1507)+INDEX(PARAMETROS_CULTURAS!$H$6:$H$28,$P1507),INDEX(PARAMETROS_CULTURAS!$L$6:$L$28,$P1507),INDEX(PARAMETROS_CULTURAS!$L$6:$L$28,$P1507)+(INDEX(PARAMETROS_CULTURAS!$M$6:$M$28,$P1507)-INDEX(PARAMETROS_CULTURAS!$L$6:$L$28,$P1507))*($O1507-INDEX(PARAMETROS_CULTURAS!$F$6:$F$28,$P1507)-INDEX(PARAMETROS_CULTURAS!$G$6:$G$28,$P1507)-INDEX(PARAMETROS_CULTURAS!$H$6:$H$28,$P1507))/MAX(INDEX(PARAMETROS_CULTURAS!$I$6:$I$28,$P1507),0.0001)))))</f>
        <v>0</v>
      </c>
      <c r="S1507" s="18" t="n">
        <f aca="false">IFERROR(INDEX(SEMANAS!$H$6:$H$71,MATCH($B1507,SEMANAS!$B$6:$B$71,0)),0)</f>
        <v>36.4</v>
      </c>
      <c r="T1507" s="18" t="n">
        <f aca="false">$R1507*$S1507</f>
        <v>0</v>
      </c>
      <c r="U1507" s="18" t="n">
        <f aca="false">IFERROR(INDEX(SEMANAS!$I$6:$I$71,MATCH($B1507,SEMANAS!$B$6:$B$71,0)),0)</f>
        <v>1.12</v>
      </c>
      <c r="V1507" s="18" t="n">
        <f aca="false">IFERROR(INDEX(SEMANAS!$J$6:$J$71,MATCH($B1507,SEMANAS!$B$6:$B$71,0)),0)</f>
        <v>0.896</v>
      </c>
      <c r="W1507" s="18" t="n">
        <f aca="false">MAX(0,$T1507-$V1507)</f>
        <v>0</v>
      </c>
      <c r="X1507" s="19" t="n">
        <f aca="false">IFERROR(INDEX(CADASTRO_PIVOS!$K$6:$K$41,MATCH($E1507,CADASTRO_PIVOS!$B$6:$B$41,0)),EFICIENCIA_PADRAO)</f>
        <v>0.85</v>
      </c>
      <c r="Y1507" s="18" t="n">
        <f aca="false">IF($X1507&lt;=0,0,$W1507/$X1507)</f>
        <v>0</v>
      </c>
      <c r="Z1507" s="16" t="n">
        <f aca="false">$Y1507*$H1507*MM_PARA_M3_HA</f>
        <v>0</v>
      </c>
      <c r="AA1507" s="18" t="n">
        <f aca="false">IFERROR(INDEX(CADASTRO_PIVOS!$I$6:$I$41,MATCH($E1507,CADASTRO_PIVOS!$B$6:$B$41,0)),0)</f>
        <v>1071</v>
      </c>
      <c r="AB1507" s="18" t="n">
        <f aca="false">IF($Z1507&lt;=0,0,$Z1507/$AA1507)</f>
        <v>0</v>
      </c>
      <c r="AC1507" s="16" t="n">
        <f aca="false">IFERROR(INDEX(SEMANAS!$K$6:$K$71,MATCH($B1507,SEMANAS!$B$6:$B$71,0)),0)</f>
        <v>147</v>
      </c>
      <c r="AD1507" s="19" t="n">
        <f aca="false">IF($AC1507&lt;=0,0,$AB1507/$AC1507)</f>
        <v>0</v>
      </c>
      <c r="AE1507" s="8" t="str">
        <f aca="false">IF($K1507="SEM CULTURA","SEM CULTURA",IF($AA1507&lt;=0,"DADO PENDENTE",IF($AD1507&gt;LIMITE_CRITICO,"INVIAVEL",IF($AD1507&gt;LIMITE_ATENCAO,"CRITICO",IF($AD1507&gt;LIMITE_CONFORTAVEL,"ATENCAO","OK")))))</f>
        <v>SEM CULTURA</v>
      </c>
      <c r="AF1507" s="8" t="str">
        <f aca="false">$B1507&amp;"|"&amp;TEXT($AD1507,"0.000000")</f>
        <v>50|0.000000</v>
      </c>
      <c r="AG1507" s="18" t="n">
        <f aca="false">IF($K1507="SEM CULTURA",0,$T1507*$H1507)</f>
        <v>0</v>
      </c>
      <c r="AH1507" s="18" t="n">
        <f aca="false">IF($K1507="SEM CULTURA",0,$V1507*$H1507)</f>
        <v>0</v>
      </c>
      <c r="AI1507" s="18" t="n">
        <f aca="false">IF($K1507="SEM CULTURA",0,$W1507*$H1507)</f>
        <v>0</v>
      </c>
      <c r="AJ1507" s="18" t="n">
        <f aca="false">IF($K1507="SEM CULTURA",0,$S1507*$H1507)</f>
        <v>0</v>
      </c>
      <c r="AK1507" s="8" t="str">
        <f aca="false">$E1507&amp;"|"&amp;TEXT($AD1507,"0.000000")</f>
        <v>PV 130|0.000000</v>
      </c>
    </row>
    <row r="1508" customFormat="false" ht="15" hidden="false" customHeight="false" outlineLevel="0" collapsed="false">
      <c r="B1508" s="16" t="n">
        <v>51</v>
      </c>
      <c r="C1508" s="17" t="n">
        <f aca="false">DATA_INICIO_SAFRA+($B1508-1)*DIAS_POR_SEMANA</f>
        <v>46615</v>
      </c>
      <c r="D1508" s="17" t="n">
        <f aca="false">$C1508+DIAS_POR_SEMANA-1</f>
        <v>46621</v>
      </c>
      <c r="E1508" s="15" t="s">
        <v>281</v>
      </c>
      <c r="F1508" s="8" t="str">
        <f aca="false">IFERROR(INDEX(CADASTRO_PIVOS!$C$6:$C$41,MATCH($E1508,CADASTRO_PIVOS!$B$6:$B$41,0)),"?")</f>
        <v>RM06</v>
      </c>
      <c r="G1508" s="8" t="str">
        <f aca="false">IFERROR(INDEX(CADASTRO_PIVOS!$D$6:$D$41,MATCH($E1508,CADASTRO_PIVOS!$B$6:$B$41,0)),"?")</f>
        <v>TR06</v>
      </c>
      <c r="H1508" s="20" t="n">
        <f aca="false">IFERROR(INDEX(CADASTRO_PIVOS!$E$6:$E$41,MATCH($E1508,CADASTRO_PIVOS!$B$6:$B$41,0)),0)</f>
        <v>149.94</v>
      </c>
      <c r="I1508" s="16" t="n">
        <f aca="false">IFERROR(SUMIFS(ROTACAO_RDM!$B$6:$B$71,ROTACAO_RDM!$D$6:$D$71,$E1508,ROTACAO_RDM!$I$6:$I$71,"&lt;="&amp;$C1508+INT(DIAS_POR_SEMANA/2),ROTACAO_RDM!$J$6:$J$71,"&gt;="&amp;$C1508+INT(DIAS_POR_SEMANA/2)),0)</f>
        <v>0</v>
      </c>
      <c r="J1508" s="16" t="n">
        <f aca="false">IFERROR(MATCH($I1508,ROTACAO_RDM!$B$6:$B$71,0),0)</f>
        <v>0</v>
      </c>
      <c r="K1508" s="8" t="str">
        <f aca="false">IF($J1508=0,"SEM CULTURA",INDEX(ROTACAO_RDM!$F$6:$F$71,$J1508))</f>
        <v>SEM CULTURA</v>
      </c>
      <c r="L1508" s="8" t="str">
        <f aca="false">IF($J1508=0,"",INDEX(ROTACAO_RDM!$G$6:$G$71,$J1508))</f>
        <v/>
      </c>
      <c r="M1508" s="17" t="str">
        <f aca="false">IF($J1508=0,"",INDEX(ROTACAO_RDM!$I$6:$I$71,$J1508))</f>
        <v/>
      </c>
      <c r="N1508" s="16" t="n">
        <f aca="false">IF($J1508=0,0,MAX(0,$C1508+INT(DIAS_POR_SEMANA/2)-INDEX(ROTACAO_RDM!$I$6:$I$71,$J1508)))</f>
        <v>0</v>
      </c>
      <c r="O1508" s="19" t="n">
        <f aca="false">IF($J1508=0,0,MIN(1,$N1508/MAX(1,INDEX(ROTACAO_RDM!$K$6:$K$71,$J1508))))</f>
        <v>0</v>
      </c>
      <c r="P1508" s="16" t="n">
        <f aca="false">IF($J1508=0,0,IFERROR(MATCH(INDEX(ROTACAO_RDM!$N$6:$N$71,$J1508),PARAMETROS_CULTURAS!$B$6:$B$28,0),0))</f>
        <v>0</v>
      </c>
      <c r="Q1508" s="8" t="str">
        <f aca="false">IF($P1508=0,"-",IF($O1508&lt;=INDEX(PARAMETROS_CULTURAS!$F$6:$F$28,$P1508),"INICIAL",IF($O1508&lt;=INDEX(PARAMETROS_CULTURAS!$F$6:$F$28,$P1508)+INDEX(PARAMETROS_CULTURAS!$G$6:$G$28,$P1508),"DESENVOLVIMENTO",IF($O1508&lt;=INDEX(PARAMETROS_CULTURAS!$F$6:$F$28,$P1508)+INDEX(PARAMETROS_CULTURAS!$G$6:$G$28,$P1508)+INDEX(PARAMETROS_CULTURAS!$H$6:$H$28,$P1508),"MEDIA","FINAL"))))</f>
        <v>-</v>
      </c>
      <c r="R1508" s="24" t="n">
        <f aca="false">IF($P1508=0,0,IF($O1508&lt;=INDEX(PARAMETROS_CULTURAS!$F$6:$F$28,$P1508),INDEX(PARAMETROS_CULTURAS!$K$6:$K$28,$P1508),IF($O1508&lt;=INDEX(PARAMETROS_CULTURAS!$F$6:$F$28,$P1508)+INDEX(PARAMETROS_CULTURAS!$G$6:$G$28,$P1508),INDEX(PARAMETROS_CULTURAS!$K$6:$K$28,$P1508)+(INDEX(PARAMETROS_CULTURAS!$L$6:$L$28,$P1508)-INDEX(PARAMETROS_CULTURAS!$K$6:$K$28,$P1508))*($O1508-INDEX(PARAMETROS_CULTURAS!$F$6:$F$28,$P1508))/MAX(INDEX(PARAMETROS_CULTURAS!$G$6:$G$28,$P1508),0.0001),IF($O1508&lt;=INDEX(PARAMETROS_CULTURAS!$F$6:$F$28,$P1508)+INDEX(PARAMETROS_CULTURAS!$G$6:$G$28,$P1508)+INDEX(PARAMETROS_CULTURAS!$H$6:$H$28,$P1508),INDEX(PARAMETROS_CULTURAS!$L$6:$L$28,$P1508),INDEX(PARAMETROS_CULTURAS!$L$6:$L$28,$P1508)+(INDEX(PARAMETROS_CULTURAS!$M$6:$M$28,$P1508)-INDEX(PARAMETROS_CULTURAS!$L$6:$L$28,$P1508))*($O1508-INDEX(PARAMETROS_CULTURAS!$F$6:$F$28,$P1508)-INDEX(PARAMETROS_CULTURAS!$G$6:$G$28,$P1508)-INDEX(PARAMETROS_CULTURAS!$H$6:$H$28,$P1508))/MAX(INDEX(PARAMETROS_CULTURAS!$I$6:$I$28,$P1508),0.0001)))))</f>
        <v>0</v>
      </c>
      <c r="S1508" s="18" t="n">
        <f aca="false">IFERROR(INDEX(SEMANAS!$H$6:$H$71,MATCH($B1508,SEMANAS!$B$6:$B$71,0)),0)</f>
        <v>36.4</v>
      </c>
      <c r="T1508" s="18" t="n">
        <f aca="false">$R1508*$S1508</f>
        <v>0</v>
      </c>
      <c r="U1508" s="18" t="n">
        <f aca="false">IFERROR(INDEX(SEMANAS!$I$6:$I$71,MATCH($B1508,SEMANAS!$B$6:$B$71,0)),0)</f>
        <v>1.12</v>
      </c>
      <c r="V1508" s="18" t="n">
        <f aca="false">IFERROR(INDEX(SEMANAS!$J$6:$J$71,MATCH($B1508,SEMANAS!$B$6:$B$71,0)),0)</f>
        <v>0.896</v>
      </c>
      <c r="W1508" s="18" t="n">
        <f aca="false">MAX(0,$T1508-$V1508)</f>
        <v>0</v>
      </c>
      <c r="X1508" s="19" t="n">
        <f aca="false">IFERROR(INDEX(CADASTRO_PIVOS!$K$6:$K$41,MATCH($E1508,CADASTRO_PIVOS!$B$6:$B$41,0)),EFICIENCIA_PADRAO)</f>
        <v>0.85</v>
      </c>
      <c r="Y1508" s="18" t="n">
        <f aca="false">IF($X1508&lt;=0,0,$W1508/$X1508)</f>
        <v>0</v>
      </c>
      <c r="Z1508" s="16" t="n">
        <f aca="false">$Y1508*$H1508*MM_PARA_M3_HA</f>
        <v>0</v>
      </c>
      <c r="AA1508" s="18" t="n">
        <f aca="false">IFERROR(INDEX(CADASTRO_PIVOS!$I$6:$I$41,MATCH($E1508,CADASTRO_PIVOS!$B$6:$B$41,0)),0)</f>
        <v>1071</v>
      </c>
      <c r="AB1508" s="18" t="n">
        <f aca="false">IF($Z1508&lt;=0,0,$Z1508/$AA1508)</f>
        <v>0</v>
      </c>
      <c r="AC1508" s="16" t="n">
        <f aca="false">IFERROR(INDEX(SEMANAS!$K$6:$K$71,MATCH($B1508,SEMANAS!$B$6:$B$71,0)),0)</f>
        <v>147</v>
      </c>
      <c r="AD1508" s="19" t="n">
        <f aca="false">IF($AC1508&lt;=0,0,$AB1508/$AC1508)</f>
        <v>0</v>
      </c>
      <c r="AE1508" s="8" t="str">
        <f aca="false">IF($K1508="SEM CULTURA","SEM CULTURA",IF($AA1508&lt;=0,"DADO PENDENTE",IF($AD1508&gt;LIMITE_CRITICO,"INVIAVEL",IF($AD1508&gt;LIMITE_ATENCAO,"CRITICO",IF($AD1508&gt;LIMITE_CONFORTAVEL,"ATENCAO","OK")))))</f>
        <v>SEM CULTURA</v>
      </c>
      <c r="AF1508" s="8" t="str">
        <f aca="false">$B1508&amp;"|"&amp;TEXT($AD1508,"0.000000")</f>
        <v>51|0.000000</v>
      </c>
      <c r="AG1508" s="18" t="n">
        <f aca="false">IF($K1508="SEM CULTURA",0,$T1508*$H1508)</f>
        <v>0</v>
      </c>
      <c r="AH1508" s="18" t="n">
        <f aca="false">IF($K1508="SEM CULTURA",0,$V1508*$H1508)</f>
        <v>0</v>
      </c>
      <c r="AI1508" s="18" t="n">
        <f aca="false">IF($K1508="SEM CULTURA",0,$W1508*$H1508)</f>
        <v>0</v>
      </c>
      <c r="AJ1508" s="18" t="n">
        <f aca="false">IF($K1508="SEM CULTURA",0,$S1508*$H1508)</f>
        <v>0</v>
      </c>
      <c r="AK1508" s="8" t="str">
        <f aca="false">$E1508&amp;"|"&amp;TEXT($AD1508,"0.000000")</f>
        <v>PV 130|0.000000</v>
      </c>
    </row>
    <row r="1509" customFormat="false" ht="15" hidden="false" customHeight="false" outlineLevel="0" collapsed="false">
      <c r="B1509" s="16" t="n">
        <v>52</v>
      </c>
      <c r="C1509" s="17" t="n">
        <f aca="false">DATA_INICIO_SAFRA+($B1509-1)*DIAS_POR_SEMANA</f>
        <v>46622</v>
      </c>
      <c r="D1509" s="17" t="n">
        <f aca="false">$C1509+DIAS_POR_SEMANA-1</f>
        <v>46628</v>
      </c>
      <c r="E1509" s="15" t="s">
        <v>281</v>
      </c>
      <c r="F1509" s="8" t="str">
        <f aca="false">IFERROR(INDEX(CADASTRO_PIVOS!$C$6:$C$41,MATCH($E1509,CADASTRO_PIVOS!$B$6:$B$41,0)),"?")</f>
        <v>RM06</v>
      </c>
      <c r="G1509" s="8" t="str">
        <f aca="false">IFERROR(INDEX(CADASTRO_PIVOS!$D$6:$D$41,MATCH($E1509,CADASTRO_PIVOS!$B$6:$B$41,0)),"?")</f>
        <v>TR06</v>
      </c>
      <c r="H1509" s="20" t="n">
        <f aca="false">IFERROR(INDEX(CADASTRO_PIVOS!$E$6:$E$41,MATCH($E1509,CADASTRO_PIVOS!$B$6:$B$41,0)),0)</f>
        <v>149.94</v>
      </c>
      <c r="I1509" s="16" t="n">
        <f aca="false">IFERROR(SUMIFS(ROTACAO_RDM!$B$6:$B$71,ROTACAO_RDM!$D$6:$D$71,$E1509,ROTACAO_RDM!$I$6:$I$71,"&lt;="&amp;$C1509+INT(DIAS_POR_SEMANA/2),ROTACAO_RDM!$J$6:$J$71,"&gt;="&amp;$C1509+INT(DIAS_POR_SEMANA/2)),0)</f>
        <v>0</v>
      </c>
      <c r="J1509" s="16" t="n">
        <f aca="false">IFERROR(MATCH($I1509,ROTACAO_RDM!$B$6:$B$71,0),0)</f>
        <v>0</v>
      </c>
      <c r="K1509" s="8" t="str">
        <f aca="false">IF($J1509=0,"SEM CULTURA",INDEX(ROTACAO_RDM!$F$6:$F$71,$J1509))</f>
        <v>SEM CULTURA</v>
      </c>
      <c r="L1509" s="8" t="str">
        <f aca="false">IF($J1509=0,"",INDEX(ROTACAO_RDM!$G$6:$G$71,$J1509))</f>
        <v/>
      </c>
      <c r="M1509" s="17" t="str">
        <f aca="false">IF($J1509=0,"",INDEX(ROTACAO_RDM!$I$6:$I$71,$J1509))</f>
        <v/>
      </c>
      <c r="N1509" s="16" t="n">
        <f aca="false">IF($J1509=0,0,MAX(0,$C1509+INT(DIAS_POR_SEMANA/2)-INDEX(ROTACAO_RDM!$I$6:$I$71,$J1509)))</f>
        <v>0</v>
      </c>
      <c r="O1509" s="19" t="n">
        <f aca="false">IF($J1509=0,0,MIN(1,$N1509/MAX(1,INDEX(ROTACAO_RDM!$K$6:$K$71,$J1509))))</f>
        <v>0</v>
      </c>
      <c r="P1509" s="16" t="n">
        <f aca="false">IF($J1509=0,0,IFERROR(MATCH(INDEX(ROTACAO_RDM!$N$6:$N$71,$J1509),PARAMETROS_CULTURAS!$B$6:$B$28,0),0))</f>
        <v>0</v>
      </c>
      <c r="Q1509" s="8" t="str">
        <f aca="false">IF($P1509=0,"-",IF($O1509&lt;=INDEX(PARAMETROS_CULTURAS!$F$6:$F$28,$P1509),"INICIAL",IF($O1509&lt;=INDEX(PARAMETROS_CULTURAS!$F$6:$F$28,$P1509)+INDEX(PARAMETROS_CULTURAS!$G$6:$G$28,$P1509),"DESENVOLVIMENTO",IF($O1509&lt;=INDEX(PARAMETROS_CULTURAS!$F$6:$F$28,$P1509)+INDEX(PARAMETROS_CULTURAS!$G$6:$G$28,$P1509)+INDEX(PARAMETROS_CULTURAS!$H$6:$H$28,$P1509),"MEDIA","FINAL"))))</f>
        <v>-</v>
      </c>
      <c r="R1509" s="24" t="n">
        <f aca="false">IF($P1509=0,0,IF($O1509&lt;=INDEX(PARAMETROS_CULTURAS!$F$6:$F$28,$P1509),INDEX(PARAMETROS_CULTURAS!$K$6:$K$28,$P1509),IF($O1509&lt;=INDEX(PARAMETROS_CULTURAS!$F$6:$F$28,$P1509)+INDEX(PARAMETROS_CULTURAS!$G$6:$G$28,$P1509),INDEX(PARAMETROS_CULTURAS!$K$6:$K$28,$P1509)+(INDEX(PARAMETROS_CULTURAS!$L$6:$L$28,$P1509)-INDEX(PARAMETROS_CULTURAS!$K$6:$K$28,$P1509))*($O1509-INDEX(PARAMETROS_CULTURAS!$F$6:$F$28,$P1509))/MAX(INDEX(PARAMETROS_CULTURAS!$G$6:$G$28,$P1509),0.0001),IF($O1509&lt;=INDEX(PARAMETROS_CULTURAS!$F$6:$F$28,$P1509)+INDEX(PARAMETROS_CULTURAS!$G$6:$G$28,$P1509)+INDEX(PARAMETROS_CULTURAS!$H$6:$H$28,$P1509),INDEX(PARAMETROS_CULTURAS!$L$6:$L$28,$P1509),INDEX(PARAMETROS_CULTURAS!$L$6:$L$28,$P1509)+(INDEX(PARAMETROS_CULTURAS!$M$6:$M$28,$P1509)-INDEX(PARAMETROS_CULTURAS!$L$6:$L$28,$P1509))*($O1509-INDEX(PARAMETROS_CULTURAS!$F$6:$F$28,$P1509)-INDEX(PARAMETROS_CULTURAS!$G$6:$G$28,$P1509)-INDEX(PARAMETROS_CULTURAS!$H$6:$H$28,$P1509))/MAX(INDEX(PARAMETROS_CULTURAS!$I$6:$I$28,$P1509),0.0001)))))</f>
        <v>0</v>
      </c>
      <c r="S1509" s="18" t="n">
        <f aca="false">IFERROR(INDEX(SEMANAS!$H$6:$H$71,MATCH($B1509,SEMANAS!$B$6:$B$71,0)),0)</f>
        <v>36.4</v>
      </c>
      <c r="T1509" s="18" t="n">
        <f aca="false">$R1509*$S1509</f>
        <v>0</v>
      </c>
      <c r="U1509" s="18" t="n">
        <f aca="false">IFERROR(INDEX(SEMANAS!$I$6:$I$71,MATCH($B1509,SEMANAS!$B$6:$B$71,0)),0)</f>
        <v>1.12</v>
      </c>
      <c r="V1509" s="18" t="n">
        <f aca="false">IFERROR(INDEX(SEMANAS!$J$6:$J$71,MATCH($B1509,SEMANAS!$B$6:$B$71,0)),0)</f>
        <v>0.896</v>
      </c>
      <c r="W1509" s="18" t="n">
        <f aca="false">MAX(0,$T1509-$V1509)</f>
        <v>0</v>
      </c>
      <c r="X1509" s="19" t="n">
        <f aca="false">IFERROR(INDEX(CADASTRO_PIVOS!$K$6:$K$41,MATCH($E1509,CADASTRO_PIVOS!$B$6:$B$41,0)),EFICIENCIA_PADRAO)</f>
        <v>0.85</v>
      </c>
      <c r="Y1509" s="18" t="n">
        <f aca="false">IF($X1509&lt;=0,0,$W1509/$X1509)</f>
        <v>0</v>
      </c>
      <c r="Z1509" s="16" t="n">
        <f aca="false">$Y1509*$H1509*MM_PARA_M3_HA</f>
        <v>0</v>
      </c>
      <c r="AA1509" s="18" t="n">
        <f aca="false">IFERROR(INDEX(CADASTRO_PIVOS!$I$6:$I$41,MATCH($E1509,CADASTRO_PIVOS!$B$6:$B$41,0)),0)</f>
        <v>1071</v>
      </c>
      <c r="AB1509" s="18" t="n">
        <f aca="false">IF($Z1509&lt;=0,0,$Z1509/$AA1509)</f>
        <v>0</v>
      </c>
      <c r="AC1509" s="16" t="n">
        <f aca="false">IFERROR(INDEX(SEMANAS!$K$6:$K$71,MATCH($B1509,SEMANAS!$B$6:$B$71,0)),0)</f>
        <v>147</v>
      </c>
      <c r="AD1509" s="19" t="n">
        <f aca="false">IF($AC1509&lt;=0,0,$AB1509/$AC1509)</f>
        <v>0</v>
      </c>
      <c r="AE1509" s="8" t="str">
        <f aca="false">IF($K1509="SEM CULTURA","SEM CULTURA",IF($AA1509&lt;=0,"DADO PENDENTE",IF($AD1509&gt;LIMITE_CRITICO,"INVIAVEL",IF($AD1509&gt;LIMITE_ATENCAO,"CRITICO",IF($AD1509&gt;LIMITE_CONFORTAVEL,"ATENCAO","OK")))))</f>
        <v>SEM CULTURA</v>
      </c>
      <c r="AF1509" s="8" t="str">
        <f aca="false">$B1509&amp;"|"&amp;TEXT($AD1509,"0.000000")</f>
        <v>52|0.000000</v>
      </c>
      <c r="AG1509" s="18" t="n">
        <f aca="false">IF($K1509="SEM CULTURA",0,$T1509*$H1509)</f>
        <v>0</v>
      </c>
      <c r="AH1509" s="18" t="n">
        <f aca="false">IF($K1509="SEM CULTURA",0,$V1509*$H1509)</f>
        <v>0</v>
      </c>
      <c r="AI1509" s="18" t="n">
        <f aca="false">IF($K1509="SEM CULTURA",0,$W1509*$H1509)</f>
        <v>0</v>
      </c>
      <c r="AJ1509" s="18" t="n">
        <f aca="false">IF($K1509="SEM CULTURA",0,$S1509*$H1509)</f>
        <v>0</v>
      </c>
      <c r="AK1509" s="8" t="str">
        <f aca="false">$E1509&amp;"|"&amp;TEXT($AD1509,"0.000000")</f>
        <v>PV 130|0.000000</v>
      </c>
    </row>
    <row r="1510" customFormat="false" ht="15" hidden="false" customHeight="false" outlineLevel="0" collapsed="false">
      <c r="B1510" s="16" t="n">
        <v>53</v>
      </c>
      <c r="C1510" s="17" t="n">
        <f aca="false">DATA_INICIO_SAFRA+($B1510-1)*DIAS_POR_SEMANA</f>
        <v>46629</v>
      </c>
      <c r="D1510" s="17" t="n">
        <f aca="false">$C1510+DIAS_POR_SEMANA-1</f>
        <v>46635</v>
      </c>
      <c r="E1510" s="15" t="s">
        <v>281</v>
      </c>
      <c r="F1510" s="8" t="str">
        <f aca="false">IFERROR(INDEX(CADASTRO_PIVOS!$C$6:$C$41,MATCH($E1510,CADASTRO_PIVOS!$B$6:$B$41,0)),"?")</f>
        <v>RM06</v>
      </c>
      <c r="G1510" s="8" t="str">
        <f aca="false">IFERROR(INDEX(CADASTRO_PIVOS!$D$6:$D$41,MATCH($E1510,CADASTRO_PIVOS!$B$6:$B$41,0)),"?")</f>
        <v>TR06</v>
      </c>
      <c r="H1510" s="20" t="n">
        <f aca="false">IFERROR(INDEX(CADASTRO_PIVOS!$E$6:$E$41,MATCH($E1510,CADASTRO_PIVOS!$B$6:$B$41,0)),0)</f>
        <v>149.94</v>
      </c>
      <c r="I1510" s="16" t="n">
        <f aca="false">IFERROR(SUMIFS(ROTACAO_RDM!$B$6:$B$71,ROTACAO_RDM!$D$6:$D$71,$E1510,ROTACAO_RDM!$I$6:$I$71,"&lt;="&amp;$C1510+INT(DIAS_POR_SEMANA/2),ROTACAO_RDM!$J$6:$J$71,"&gt;="&amp;$C1510+INT(DIAS_POR_SEMANA/2)),0)</f>
        <v>0</v>
      </c>
      <c r="J1510" s="16" t="n">
        <f aca="false">IFERROR(MATCH($I1510,ROTACAO_RDM!$B$6:$B$71,0),0)</f>
        <v>0</v>
      </c>
      <c r="K1510" s="8" t="str">
        <f aca="false">IF($J1510=0,"SEM CULTURA",INDEX(ROTACAO_RDM!$F$6:$F$71,$J1510))</f>
        <v>SEM CULTURA</v>
      </c>
      <c r="L1510" s="8" t="str">
        <f aca="false">IF($J1510=0,"",INDEX(ROTACAO_RDM!$G$6:$G$71,$J1510))</f>
        <v/>
      </c>
      <c r="M1510" s="17" t="str">
        <f aca="false">IF($J1510=0,"",INDEX(ROTACAO_RDM!$I$6:$I$71,$J1510))</f>
        <v/>
      </c>
      <c r="N1510" s="16" t="n">
        <f aca="false">IF($J1510=0,0,MAX(0,$C1510+INT(DIAS_POR_SEMANA/2)-INDEX(ROTACAO_RDM!$I$6:$I$71,$J1510)))</f>
        <v>0</v>
      </c>
      <c r="O1510" s="19" t="n">
        <f aca="false">IF($J1510=0,0,MIN(1,$N1510/MAX(1,INDEX(ROTACAO_RDM!$K$6:$K$71,$J1510))))</f>
        <v>0</v>
      </c>
      <c r="P1510" s="16" t="n">
        <f aca="false">IF($J1510=0,0,IFERROR(MATCH(INDEX(ROTACAO_RDM!$N$6:$N$71,$J1510),PARAMETROS_CULTURAS!$B$6:$B$28,0),0))</f>
        <v>0</v>
      </c>
      <c r="Q1510" s="8" t="str">
        <f aca="false">IF($P1510=0,"-",IF($O1510&lt;=INDEX(PARAMETROS_CULTURAS!$F$6:$F$28,$P1510),"INICIAL",IF($O1510&lt;=INDEX(PARAMETROS_CULTURAS!$F$6:$F$28,$P1510)+INDEX(PARAMETROS_CULTURAS!$G$6:$G$28,$P1510),"DESENVOLVIMENTO",IF($O1510&lt;=INDEX(PARAMETROS_CULTURAS!$F$6:$F$28,$P1510)+INDEX(PARAMETROS_CULTURAS!$G$6:$G$28,$P1510)+INDEX(PARAMETROS_CULTURAS!$H$6:$H$28,$P1510),"MEDIA","FINAL"))))</f>
        <v>-</v>
      </c>
      <c r="R1510" s="24" t="n">
        <f aca="false">IF($P1510=0,0,IF($O1510&lt;=INDEX(PARAMETROS_CULTURAS!$F$6:$F$28,$P1510),INDEX(PARAMETROS_CULTURAS!$K$6:$K$28,$P1510),IF($O1510&lt;=INDEX(PARAMETROS_CULTURAS!$F$6:$F$28,$P1510)+INDEX(PARAMETROS_CULTURAS!$G$6:$G$28,$P1510),INDEX(PARAMETROS_CULTURAS!$K$6:$K$28,$P1510)+(INDEX(PARAMETROS_CULTURAS!$L$6:$L$28,$P1510)-INDEX(PARAMETROS_CULTURAS!$K$6:$K$28,$P1510))*($O1510-INDEX(PARAMETROS_CULTURAS!$F$6:$F$28,$P1510))/MAX(INDEX(PARAMETROS_CULTURAS!$G$6:$G$28,$P1510),0.0001),IF($O1510&lt;=INDEX(PARAMETROS_CULTURAS!$F$6:$F$28,$P1510)+INDEX(PARAMETROS_CULTURAS!$G$6:$G$28,$P1510)+INDEX(PARAMETROS_CULTURAS!$H$6:$H$28,$P1510),INDEX(PARAMETROS_CULTURAS!$L$6:$L$28,$P1510),INDEX(PARAMETROS_CULTURAS!$L$6:$L$28,$P1510)+(INDEX(PARAMETROS_CULTURAS!$M$6:$M$28,$P1510)-INDEX(PARAMETROS_CULTURAS!$L$6:$L$28,$P1510))*($O1510-INDEX(PARAMETROS_CULTURAS!$F$6:$F$28,$P1510)-INDEX(PARAMETROS_CULTURAS!$G$6:$G$28,$P1510)-INDEX(PARAMETROS_CULTURAS!$H$6:$H$28,$P1510))/MAX(INDEX(PARAMETROS_CULTURAS!$I$6:$I$28,$P1510),0.0001)))))</f>
        <v>0</v>
      </c>
      <c r="S1510" s="18" t="n">
        <f aca="false">IFERROR(INDEX(SEMANAS!$H$6:$H$71,MATCH($B1510,SEMANAS!$B$6:$B$71,0)),0)</f>
        <v>39.4</v>
      </c>
      <c r="T1510" s="18" t="n">
        <f aca="false">$R1510*$S1510</f>
        <v>0</v>
      </c>
      <c r="U1510" s="18" t="n">
        <f aca="false">IFERROR(INDEX(SEMANAS!$I$6:$I$71,MATCH($B1510,SEMANAS!$B$6:$B$71,0)),0)</f>
        <v>5.32</v>
      </c>
      <c r="V1510" s="18" t="n">
        <f aca="false">IFERROR(INDEX(SEMANAS!$J$6:$J$71,MATCH($B1510,SEMANAS!$B$6:$B$71,0)),0)</f>
        <v>4.256</v>
      </c>
      <c r="W1510" s="18" t="n">
        <f aca="false">MAX(0,$T1510-$V1510)</f>
        <v>0</v>
      </c>
      <c r="X1510" s="19" t="n">
        <f aca="false">IFERROR(INDEX(CADASTRO_PIVOS!$K$6:$K$41,MATCH($E1510,CADASTRO_PIVOS!$B$6:$B$41,0)),EFICIENCIA_PADRAO)</f>
        <v>0.85</v>
      </c>
      <c r="Y1510" s="18" t="n">
        <f aca="false">IF($X1510&lt;=0,0,$W1510/$X1510)</f>
        <v>0</v>
      </c>
      <c r="Z1510" s="16" t="n">
        <f aca="false">$Y1510*$H1510*MM_PARA_M3_HA</f>
        <v>0</v>
      </c>
      <c r="AA1510" s="18" t="n">
        <f aca="false">IFERROR(INDEX(CADASTRO_PIVOS!$I$6:$I$41,MATCH($E1510,CADASTRO_PIVOS!$B$6:$B$41,0)),0)</f>
        <v>1071</v>
      </c>
      <c r="AB1510" s="18" t="n">
        <f aca="false">IF($Z1510&lt;=0,0,$Z1510/$AA1510)</f>
        <v>0</v>
      </c>
      <c r="AC1510" s="16" t="n">
        <f aca="false">IFERROR(INDEX(SEMANAS!$K$6:$K$71,MATCH($B1510,SEMANAS!$B$6:$B$71,0)),0)</f>
        <v>147</v>
      </c>
      <c r="AD1510" s="19" t="n">
        <f aca="false">IF($AC1510&lt;=0,0,$AB1510/$AC1510)</f>
        <v>0</v>
      </c>
      <c r="AE1510" s="8" t="str">
        <f aca="false">IF($K1510="SEM CULTURA","SEM CULTURA",IF($AA1510&lt;=0,"DADO PENDENTE",IF($AD1510&gt;LIMITE_CRITICO,"INVIAVEL",IF($AD1510&gt;LIMITE_ATENCAO,"CRITICO",IF($AD1510&gt;LIMITE_CONFORTAVEL,"ATENCAO","OK")))))</f>
        <v>SEM CULTURA</v>
      </c>
      <c r="AF1510" s="8" t="str">
        <f aca="false">$B1510&amp;"|"&amp;TEXT($AD1510,"0.000000")</f>
        <v>53|0.000000</v>
      </c>
      <c r="AG1510" s="18" t="n">
        <f aca="false">IF($K1510="SEM CULTURA",0,$T1510*$H1510)</f>
        <v>0</v>
      </c>
      <c r="AH1510" s="18" t="n">
        <f aca="false">IF($K1510="SEM CULTURA",0,$V1510*$H1510)</f>
        <v>0</v>
      </c>
      <c r="AI1510" s="18" t="n">
        <f aca="false">IF($K1510="SEM CULTURA",0,$W1510*$H1510)</f>
        <v>0</v>
      </c>
      <c r="AJ1510" s="18" t="n">
        <f aca="false">IF($K1510="SEM CULTURA",0,$S1510*$H1510)</f>
        <v>0</v>
      </c>
      <c r="AK1510" s="8" t="str">
        <f aca="false">$E1510&amp;"|"&amp;TEXT($AD1510,"0.000000")</f>
        <v>PV 130|0.000000</v>
      </c>
    </row>
    <row r="1511" customFormat="false" ht="15" hidden="false" customHeight="false" outlineLevel="0" collapsed="false">
      <c r="B1511" s="16" t="n">
        <v>54</v>
      </c>
      <c r="C1511" s="17" t="n">
        <f aca="false">DATA_INICIO_SAFRA+($B1511-1)*DIAS_POR_SEMANA</f>
        <v>46636</v>
      </c>
      <c r="D1511" s="17" t="n">
        <f aca="false">$C1511+DIAS_POR_SEMANA-1</f>
        <v>46642</v>
      </c>
      <c r="E1511" s="15" t="s">
        <v>281</v>
      </c>
      <c r="F1511" s="8" t="str">
        <f aca="false">IFERROR(INDEX(CADASTRO_PIVOS!$C$6:$C$41,MATCH($E1511,CADASTRO_PIVOS!$B$6:$B$41,0)),"?")</f>
        <v>RM06</v>
      </c>
      <c r="G1511" s="8" t="str">
        <f aca="false">IFERROR(INDEX(CADASTRO_PIVOS!$D$6:$D$41,MATCH($E1511,CADASTRO_PIVOS!$B$6:$B$41,0)),"?")</f>
        <v>TR06</v>
      </c>
      <c r="H1511" s="20" t="n">
        <f aca="false">IFERROR(INDEX(CADASTRO_PIVOS!$E$6:$E$41,MATCH($E1511,CADASTRO_PIVOS!$B$6:$B$41,0)),0)</f>
        <v>149.94</v>
      </c>
      <c r="I1511" s="16" t="n">
        <f aca="false">IFERROR(SUMIFS(ROTACAO_RDM!$B$6:$B$71,ROTACAO_RDM!$D$6:$D$71,$E1511,ROTACAO_RDM!$I$6:$I$71,"&lt;="&amp;$C1511+INT(DIAS_POR_SEMANA/2),ROTACAO_RDM!$J$6:$J$71,"&gt;="&amp;$C1511+INT(DIAS_POR_SEMANA/2)),0)</f>
        <v>0</v>
      </c>
      <c r="J1511" s="16" t="n">
        <f aca="false">IFERROR(MATCH($I1511,ROTACAO_RDM!$B$6:$B$71,0),0)</f>
        <v>0</v>
      </c>
      <c r="K1511" s="8" t="str">
        <f aca="false">IF($J1511=0,"SEM CULTURA",INDEX(ROTACAO_RDM!$F$6:$F$71,$J1511))</f>
        <v>SEM CULTURA</v>
      </c>
      <c r="L1511" s="8" t="str">
        <f aca="false">IF($J1511=0,"",INDEX(ROTACAO_RDM!$G$6:$G$71,$J1511))</f>
        <v/>
      </c>
      <c r="M1511" s="17" t="str">
        <f aca="false">IF($J1511=0,"",INDEX(ROTACAO_RDM!$I$6:$I$71,$J1511))</f>
        <v/>
      </c>
      <c r="N1511" s="16" t="n">
        <f aca="false">IF($J1511=0,0,MAX(0,$C1511+INT(DIAS_POR_SEMANA/2)-INDEX(ROTACAO_RDM!$I$6:$I$71,$J1511)))</f>
        <v>0</v>
      </c>
      <c r="O1511" s="19" t="n">
        <f aca="false">IF($J1511=0,0,MIN(1,$N1511/MAX(1,INDEX(ROTACAO_RDM!$K$6:$K$71,$J1511))))</f>
        <v>0</v>
      </c>
      <c r="P1511" s="16" t="n">
        <f aca="false">IF($J1511=0,0,IFERROR(MATCH(INDEX(ROTACAO_RDM!$N$6:$N$71,$J1511),PARAMETROS_CULTURAS!$B$6:$B$28,0),0))</f>
        <v>0</v>
      </c>
      <c r="Q1511" s="8" t="str">
        <f aca="false">IF($P1511=0,"-",IF($O1511&lt;=INDEX(PARAMETROS_CULTURAS!$F$6:$F$28,$P1511),"INICIAL",IF($O1511&lt;=INDEX(PARAMETROS_CULTURAS!$F$6:$F$28,$P1511)+INDEX(PARAMETROS_CULTURAS!$G$6:$G$28,$P1511),"DESENVOLVIMENTO",IF($O1511&lt;=INDEX(PARAMETROS_CULTURAS!$F$6:$F$28,$P1511)+INDEX(PARAMETROS_CULTURAS!$G$6:$G$28,$P1511)+INDEX(PARAMETROS_CULTURAS!$H$6:$H$28,$P1511),"MEDIA","FINAL"))))</f>
        <v>-</v>
      </c>
      <c r="R1511" s="24" t="n">
        <f aca="false">IF($P1511=0,0,IF($O1511&lt;=INDEX(PARAMETROS_CULTURAS!$F$6:$F$28,$P1511),INDEX(PARAMETROS_CULTURAS!$K$6:$K$28,$P1511),IF($O1511&lt;=INDEX(PARAMETROS_CULTURAS!$F$6:$F$28,$P1511)+INDEX(PARAMETROS_CULTURAS!$G$6:$G$28,$P1511),INDEX(PARAMETROS_CULTURAS!$K$6:$K$28,$P1511)+(INDEX(PARAMETROS_CULTURAS!$L$6:$L$28,$P1511)-INDEX(PARAMETROS_CULTURAS!$K$6:$K$28,$P1511))*($O1511-INDEX(PARAMETROS_CULTURAS!$F$6:$F$28,$P1511))/MAX(INDEX(PARAMETROS_CULTURAS!$G$6:$G$28,$P1511),0.0001),IF($O1511&lt;=INDEX(PARAMETROS_CULTURAS!$F$6:$F$28,$P1511)+INDEX(PARAMETROS_CULTURAS!$G$6:$G$28,$P1511)+INDEX(PARAMETROS_CULTURAS!$H$6:$H$28,$P1511),INDEX(PARAMETROS_CULTURAS!$L$6:$L$28,$P1511),INDEX(PARAMETROS_CULTURAS!$L$6:$L$28,$P1511)+(INDEX(PARAMETROS_CULTURAS!$M$6:$M$28,$P1511)-INDEX(PARAMETROS_CULTURAS!$L$6:$L$28,$P1511))*($O1511-INDEX(PARAMETROS_CULTURAS!$F$6:$F$28,$P1511)-INDEX(PARAMETROS_CULTURAS!$G$6:$G$28,$P1511)-INDEX(PARAMETROS_CULTURAS!$H$6:$H$28,$P1511))/MAX(INDEX(PARAMETROS_CULTURAS!$I$6:$I$28,$P1511),0.0001)))))</f>
        <v>0</v>
      </c>
      <c r="S1511" s="18" t="n">
        <f aca="false">IFERROR(INDEX(SEMANAS!$H$6:$H$71,MATCH($B1511,SEMANAS!$B$6:$B$71,0)),0)</f>
        <v>40.6</v>
      </c>
      <c r="T1511" s="18" t="n">
        <f aca="false">$R1511*$S1511</f>
        <v>0</v>
      </c>
      <c r="U1511" s="18" t="n">
        <f aca="false">IFERROR(INDEX(SEMANAS!$I$6:$I$71,MATCH($B1511,SEMANAS!$B$6:$B$71,0)),0)</f>
        <v>7</v>
      </c>
      <c r="V1511" s="18" t="n">
        <f aca="false">IFERROR(INDEX(SEMANAS!$J$6:$J$71,MATCH($B1511,SEMANAS!$B$6:$B$71,0)),0)</f>
        <v>5.6</v>
      </c>
      <c r="W1511" s="18" t="n">
        <f aca="false">MAX(0,$T1511-$V1511)</f>
        <v>0</v>
      </c>
      <c r="X1511" s="19" t="n">
        <f aca="false">IFERROR(INDEX(CADASTRO_PIVOS!$K$6:$K$41,MATCH($E1511,CADASTRO_PIVOS!$B$6:$B$41,0)),EFICIENCIA_PADRAO)</f>
        <v>0.85</v>
      </c>
      <c r="Y1511" s="18" t="n">
        <f aca="false">IF($X1511&lt;=0,0,$W1511/$X1511)</f>
        <v>0</v>
      </c>
      <c r="Z1511" s="16" t="n">
        <f aca="false">$Y1511*$H1511*MM_PARA_M3_HA</f>
        <v>0</v>
      </c>
      <c r="AA1511" s="18" t="n">
        <f aca="false">IFERROR(INDEX(CADASTRO_PIVOS!$I$6:$I$41,MATCH($E1511,CADASTRO_PIVOS!$B$6:$B$41,0)),0)</f>
        <v>1071</v>
      </c>
      <c r="AB1511" s="18" t="n">
        <f aca="false">IF($Z1511&lt;=0,0,$Z1511/$AA1511)</f>
        <v>0</v>
      </c>
      <c r="AC1511" s="16" t="n">
        <f aca="false">IFERROR(INDEX(SEMANAS!$K$6:$K$71,MATCH($B1511,SEMANAS!$B$6:$B$71,0)),0)</f>
        <v>147</v>
      </c>
      <c r="AD1511" s="19" t="n">
        <f aca="false">IF($AC1511&lt;=0,0,$AB1511/$AC1511)</f>
        <v>0</v>
      </c>
      <c r="AE1511" s="8" t="str">
        <f aca="false">IF($K1511="SEM CULTURA","SEM CULTURA",IF($AA1511&lt;=0,"DADO PENDENTE",IF($AD1511&gt;LIMITE_CRITICO,"INVIAVEL",IF($AD1511&gt;LIMITE_ATENCAO,"CRITICO",IF($AD1511&gt;LIMITE_CONFORTAVEL,"ATENCAO","OK")))))</f>
        <v>SEM CULTURA</v>
      </c>
      <c r="AF1511" s="8" t="str">
        <f aca="false">$B1511&amp;"|"&amp;TEXT($AD1511,"0.000000")</f>
        <v>54|0.000000</v>
      </c>
      <c r="AG1511" s="18" t="n">
        <f aca="false">IF($K1511="SEM CULTURA",0,$T1511*$H1511)</f>
        <v>0</v>
      </c>
      <c r="AH1511" s="18" t="n">
        <f aca="false">IF($K1511="SEM CULTURA",0,$V1511*$H1511)</f>
        <v>0</v>
      </c>
      <c r="AI1511" s="18" t="n">
        <f aca="false">IF($K1511="SEM CULTURA",0,$W1511*$H1511)</f>
        <v>0</v>
      </c>
      <c r="AJ1511" s="18" t="n">
        <f aca="false">IF($K1511="SEM CULTURA",0,$S1511*$H1511)</f>
        <v>0</v>
      </c>
      <c r="AK1511" s="8" t="str">
        <f aca="false">$E1511&amp;"|"&amp;TEXT($AD1511,"0.000000")</f>
        <v>PV 130|0.000000</v>
      </c>
    </row>
    <row r="1512" customFormat="false" ht="15" hidden="false" customHeight="false" outlineLevel="0" collapsed="false">
      <c r="B1512" s="16" t="n">
        <v>55</v>
      </c>
      <c r="C1512" s="17" t="n">
        <f aca="false">DATA_INICIO_SAFRA+($B1512-1)*DIAS_POR_SEMANA</f>
        <v>46643</v>
      </c>
      <c r="D1512" s="17" t="n">
        <f aca="false">$C1512+DIAS_POR_SEMANA-1</f>
        <v>46649</v>
      </c>
      <c r="E1512" s="15" t="s">
        <v>281</v>
      </c>
      <c r="F1512" s="8" t="str">
        <f aca="false">IFERROR(INDEX(CADASTRO_PIVOS!$C$6:$C$41,MATCH($E1512,CADASTRO_PIVOS!$B$6:$B$41,0)),"?")</f>
        <v>RM06</v>
      </c>
      <c r="G1512" s="8" t="str">
        <f aca="false">IFERROR(INDEX(CADASTRO_PIVOS!$D$6:$D$41,MATCH($E1512,CADASTRO_PIVOS!$B$6:$B$41,0)),"?")</f>
        <v>TR06</v>
      </c>
      <c r="H1512" s="20" t="n">
        <f aca="false">IFERROR(INDEX(CADASTRO_PIVOS!$E$6:$E$41,MATCH($E1512,CADASTRO_PIVOS!$B$6:$B$41,0)),0)</f>
        <v>149.94</v>
      </c>
      <c r="I1512" s="16" t="n">
        <f aca="false">IFERROR(SUMIFS(ROTACAO_RDM!$B$6:$B$71,ROTACAO_RDM!$D$6:$D$71,$E1512,ROTACAO_RDM!$I$6:$I$71,"&lt;="&amp;$C1512+INT(DIAS_POR_SEMANA/2),ROTACAO_RDM!$J$6:$J$71,"&gt;="&amp;$C1512+INT(DIAS_POR_SEMANA/2)),0)</f>
        <v>0</v>
      </c>
      <c r="J1512" s="16" t="n">
        <f aca="false">IFERROR(MATCH($I1512,ROTACAO_RDM!$B$6:$B$71,0),0)</f>
        <v>0</v>
      </c>
      <c r="K1512" s="8" t="str">
        <f aca="false">IF($J1512=0,"SEM CULTURA",INDEX(ROTACAO_RDM!$F$6:$F$71,$J1512))</f>
        <v>SEM CULTURA</v>
      </c>
      <c r="L1512" s="8" t="str">
        <f aca="false">IF($J1512=0,"",INDEX(ROTACAO_RDM!$G$6:$G$71,$J1512))</f>
        <v/>
      </c>
      <c r="M1512" s="17" t="str">
        <f aca="false">IF($J1512=0,"",INDEX(ROTACAO_RDM!$I$6:$I$71,$J1512))</f>
        <v/>
      </c>
      <c r="N1512" s="16" t="n">
        <f aca="false">IF($J1512=0,0,MAX(0,$C1512+INT(DIAS_POR_SEMANA/2)-INDEX(ROTACAO_RDM!$I$6:$I$71,$J1512)))</f>
        <v>0</v>
      </c>
      <c r="O1512" s="19" t="n">
        <f aca="false">IF($J1512=0,0,MIN(1,$N1512/MAX(1,INDEX(ROTACAO_RDM!$K$6:$K$71,$J1512))))</f>
        <v>0</v>
      </c>
      <c r="P1512" s="16" t="n">
        <f aca="false">IF($J1512=0,0,IFERROR(MATCH(INDEX(ROTACAO_RDM!$N$6:$N$71,$J1512),PARAMETROS_CULTURAS!$B$6:$B$28,0),0))</f>
        <v>0</v>
      </c>
      <c r="Q1512" s="8" t="str">
        <f aca="false">IF($P1512=0,"-",IF($O1512&lt;=INDEX(PARAMETROS_CULTURAS!$F$6:$F$28,$P1512),"INICIAL",IF($O1512&lt;=INDEX(PARAMETROS_CULTURAS!$F$6:$F$28,$P1512)+INDEX(PARAMETROS_CULTURAS!$G$6:$G$28,$P1512),"DESENVOLVIMENTO",IF($O1512&lt;=INDEX(PARAMETROS_CULTURAS!$F$6:$F$28,$P1512)+INDEX(PARAMETROS_CULTURAS!$G$6:$G$28,$P1512)+INDEX(PARAMETROS_CULTURAS!$H$6:$H$28,$P1512),"MEDIA","FINAL"))))</f>
        <v>-</v>
      </c>
      <c r="R1512" s="24" t="n">
        <f aca="false">IF($P1512=0,0,IF($O1512&lt;=INDEX(PARAMETROS_CULTURAS!$F$6:$F$28,$P1512),INDEX(PARAMETROS_CULTURAS!$K$6:$K$28,$P1512),IF($O1512&lt;=INDEX(PARAMETROS_CULTURAS!$F$6:$F$28,$P1512)+INDEX(PARAMETROS_CULTURAS!$G$6:$G$28,$P1512),INDEX(PARAMETROS_CULTURAS!$K$6:$K$28,$P1512)+(INDEX(PARAMETROS_CULTURAS!$L$6:$L$28,$P1512)-INDEX(PARAMETROS_CULTURAS!$K$6:$K$28,$P1512))*($O1512-INDEX(PARAMETROS_CULTURAS!$F$6:$F$28,$P1512))/MAX(INDEX(PARAMETROS_CULTURAS!$G$6:$G$28,$P1512),0.0001),IF($O1512&lt;=INDEX(PARAMETROS_CULTURAS!$F$6:$F$28,$P1512)+INDEX(PARAMETROS_CULTURAS!$G$6:$G$28,$P1512)+INDEX(PARAMETROS_CULTURAS!$H$6:$H$28,$P1512),INDEX(PARAMETROS_CULTURAS!$L$6:$L$28,$P1512),INDEX(PARAMETROS_CULTURAS!$L$6:$L$28,$P1512)+(INDEX(PARAMETROS_CULTURAS!$M$6:$M$28,$P1512)-INDEX(PARAMETROS_CULTURAS!$L$6:$L$28,$P1512))*($O1512-INDEX(PARAMETROS_CULTURAS!$F$6:$F$28,$P1512)-INDEX(PARAMETROS_CULTURAS!$G$6:$G$28,$P1512)-INDEX(PARAMETROS_CULTURAS!$H$6:$H$28,$P1512))/MAX(INDEX(PARAMETROS_CULTURAS!$I$6:$I$28,$P1512),0.0001)))))</f>
        <v>0</v>
      </c>
      <c r="S1512" s="18" t="n">
        <f aca="false">IFERROR(INDEX(SEMANAS!$H$6:$H$71,MATCH($B1512,SEMANAS!$B$6:$B$71,0)),0)</f>
        <v>40.6</v>
      </c>
      <c r="T1512" s="18" t="n">
        <f aca="false">$R1512*$S1512</f>
        <v>0</v>
      </c>
      <c r="U1512" s="18" t="n">
        <f aca="false">IFERROR(INDEX(SEMANAS!$I$6:$I$71,MATCH($B1512,SEMANAS!$B$6:$B$71,0)),0)</f>
        <v>7</v>
      </c>
      <c r="V1512" s="18" t="n">
        <f aca="false">IFERROR(INDEX(SEMANAS!$J$6:$J$71,MATCH($B1512,SEMANAS!$B$6:$B$71,0)),0)</f>
        <v>5.6</v>
      </c>
      <c r="W1512" s="18" t="n">
        <f aca="false">MAX(0,$T1512-$V1512)</f>
        <v>0</v>
      </c>
      <c r="X1512" s="19" t="n">
        <f aca="false">IFERROR(INDEX(CADASTRO_PIVOS!$K$6:$K$41,MATCH($E1512,CADASTRO_PIVOS!$B$6:$B$41,0)),EFICIENCIA_PADRAO)</f>
        <v>0.85</v>
      </c>
      <c r="Y1512" s="18" t="n">
        <f aca="false">IF($X1512&lt;=0,0,$W1512/$X1512)</f>
        <v>0</v>
      </c>
      <c r="Z1512" s="16" t="n">
        <f aca="false">$Y1512*$H1512*MM_PARA_M3_HA</f>
        <v>0</v>
      </c>
      <c r="AA1512" s="18" t="n">
        <f aca="false">IFERROR(INDEX(CADASTRO_PIVOS!$I$6:$I$41,MATCH($E1512,CADASTRO_PIVOS!$B$6:$B$41,0)),0)</f>
        <v>1071</v>
      </c>
      <c r="AB1512" s="18" t="n">
        <f aca="false">IF($Z1512&lt;=0,0,$Z1512/$AA1512)</f>
        <v>0</v>
      </c>
      <c r="AC1512" s="16" t="n">
        <f aca="false">IFERROR(INDEX(SEMANAS!$K$6:$K$71,MATCH($B1512,SEMANAS!$B$6:$B$71,0)),0)</f>
        <v>147</v>
      </c>
      <c r="AD1512" s="19" t="n">
        <f aca="false">IF($AC1512&lt;=0,0,$AB1512/$AC1512)</f>
        <v>0</v>
      </c>
      <c r="AE1512" s="8" t="str">
        <f aca="false">IF($K1512="SEM CULTURA","SEM CULTURA",IF($AA1512&lt;=0,"DADO PENDENTE",IF($AD1512&gt;LIMITE_CRITICO,"INVIAVEL",IF($AD1512&gt;LIMITE_ATENCAO,"CRITICO",IF($AD1512&gt;LIMITE_CONFORTAVEL,"ATENCAO","OK")))))</f>
        <v>SEM CULTURA</v>
      </c>
      <c r="AF1512" s="8" t="str">
        <f aca="false">$B1512&amp;"|"&amp;TEXT($AD1512,"0.000000")</f>
        <v>55|0.000000</v>
      </c>
      <c r="AG1512" s="18" t="n">
        <f aca="false">IF($K1512="SEM CULTURA",0,$T1512*$H1512)</f>
        <v>0</v>
      </c>
      <c r="AH1512" s="18" t="n">
        <f aca="false">IF($K1512="SEM CULTURA",0,$V1512*$H1512)</f>
        <v>0</v>
      </c>
      <c r="AI1512" s="18" t="n">
        <f aca="false">IF($K1512="SEM CULTURA",0,$W1512*$H1512)</f>
        <v>0</v>
      </c>
      <c r="AJ1512" s="18" t="n">
        <f aca="false">IF($K1512="SEM CULTURA",0,$S1512*$H1512)</f>
        <v>0</v>
      </c>
      <c r="AK1512" s="8" t="str">
        <f aca="false">$E1512&amp;"|"&amp;TEXT($AD1512,"0.000000")</f>
        <v>PV 130|0.000000</v>
      </c>
    </row>
    <row r="1513" customFormat="false" ht="15" hidden="false" customHeight="false" outlineLevel="0" collapsed="false">
      <c r="B1513" s="16" t="n">
        <v>56</v>
      </c>
      <c r="C1513" s="17" t="n">
        <f aca="false">DATA_INICIO_SAFRA+($B1513-1)*DIAS_POR_SEMANA</f>
        <v>46650</v>
      </c>
      <c r="D1513" s="17" t="n">
        <f aca="false">$C1513+DIAS_POR_SEMANA-1</f>
        <v>46656</v>
      </c>
      <c r="E1513" s="15" t="s">
        <v>281</v>
      </c>
      <c r="F1513" s="8" t="str">
        <f aca="false">IFERROR(INDEX(CADASTRO_PIVOS!$C$6:$C$41,MATCH($E1513,CADASTRO_PIVOS!$B$6:$B$41,0)),"?")</f>
        <v>RM06</v>
      </c>
      <c r="G1513" s="8" t="str">
        <f aca="false">IFERROR(INDEX(CADASTRO_PIVOS!$D$6:$D$41,MATCH($E1513,CADASTRO_PIVOS!$B$6:$B$41,0)),"?")</f>
        <v>TR06</v>
      </c>
      <c r="H1513" s="20" t="n">
        <f aca="false">IFERROR(INDEX(CADASTRO_PIVOS!$E$6:$E$41,MATCH($E1513,CADASTRO_PIVOS!$B$6:$B$41,0)),0)</f>
        <v>149.94</v>
      </c>
      <c r="I1513" s="16" t="n">
        <f aca="false">IFERROR(SUMIFS(ROTACAO_RDM!$B$6:$B$71,ROTACAO_RDM!$D$6:$D$71,$E1513,ROTACAO_RDM!$I$6:$I$71,"&lt;="&amp;$C1513+INT(DIAS_POR_SEMANA/2),ROTACAO_RDM!$J$6:$J$71,"&gt;="&amp;$C1513+INT(DIAS_POR_SEMANA/2)),0)</f>
        <v>0</v>
      </c>
      <c r="J1513" s="16" t="n">
        <f aca="false">IFERROR(MATCH($I1513,ROTACAO_RDM!$B$6:$B$71,0),0)</f>
        <v>0</v>
      </c>
      <c r="K1513" s="8" t="str">
        <f aca="false">IF($J1513=0,"SEM CULTURA",INDEX(ROTACAO_RDM!$F$6:$F$71,$J1513))</f>
        <v>SEM CULTURA</v>
      </c>
      <c r="L1513" s="8" t="str">
        <f aca="false">IF($J1513=0,"",INDEX(ROTACAO_RDM!$G$6:$G$71,$J1513))</f>
        <v/>
      </c>
      <c r="M1513" s="17" t="str">
        <f aca="false">IF($J1513=0,"",INDEX(ROTACAO_RDM!$I$6:$I$71,$J1513))</f>
        <v/>
      </c>
      <c r="N1513" s="16" t="n">
        <f aca="false">IF($J1513=0,0,MAX(0,$C1513+INT(DIAS_POR_SEMANA/2)-INDEX(ROTACAO_RDM!$I$6:$I$71,$J1513)))</f>
        <v>0</v>
      </c>
      <c r="O1513" s="19" t="n">
        <f aca="false">IF($J1513=0,0,MIN(1,$N1513/MAX(1,INDEX(ROTACAO_RDM!$K$6:$K$71,$J1513))))</f>
        <v>0</v>
      </c>
      <c r="P1513" s="16" t="n">
        <f aca="false">IF($J1513=0,0,IFERROR(MATCH(INDEX(ROTACAO_RDM!$N$6:$N$71,$J1513),PARAMETROS_CULTURAS!$B$6:$B$28,0),0))</f>
        <v>0</v>
      </c>
      <c r="Q1513" s="8" t="str">
        <f aca="false">IF($P1513=0,"-",IF($O1513&lt;=INDEX(PARAMETROS_CULTURAS!$F$6:$F$28,$P1513),"INICIAL",IF($O1513&lt;=INDEX(PARAMETROS_CULTURAS!$F$6:$F$28,$P1513)+INDEX(PARAMETROS_CULTURAS!$G$6:$G$28,$P1513),"DESENVOLVIMENTO",IF($O1513&lt;=INDEX(PARAMETROS_CULTURAS!$F$6:$F$28,$P1513)+INDEX(PARAMETROS_CULTURAS!$G$6:$G$28,$P1513)+INDEX(PARAMETROS_CULTURAS!$H$6:$H$28,$P1513),"MEDIA","FINAL"))))</f>
        <v>-</v>
      </c>
      <c r="R1513" s="24" t="n">
        <f aca="false">IF($P1513=0,0,IF($O1513&lt;=INDEX(PARAMETROS_CULTURAS!$F$6:$F$28,$P1513),INDEX(PARAMETROS_CULTURAS!$K$6:$K$28,$P1513),IF($O1513&lt;=INDEX(PARAMETROS_CULTURAS!$F$6:$F$28,$P1513)+INDEX(PARAMETROS_CULTURAS!$G$6:$G$28,$P1513),INDEX(PARAMETROS_CULTURAS!$K$6:$K$28,$P1513)+(INDEX(PARAMETROS_CULTURAS!$L$6:$L$28,$P1513)-INDEX(PARAMETROS_CULTURAS!$K$6:$K$28,$P1513))*($O1513-INDEX(PARAMETROS_CULTURAS!$F$6:$F$28,$P1513))/MAX(INDEX(PARAMETROS_CULTURAS!$G$6:$G$28,$P1513),0.0001),IF($O1513&lt;=INDEX(PARAMETROS_CULTURAS!$F$6:$F$28,$P1513)+INDEX(PARAMETROS_CULTURAS!$G$6:$G$28,$P1513)+INDEX(PARAMETROS_CULTURAS!$H$6:$H$28,$P1513),INDEX(PARAMETROS_CULTURAS!$L$6:$L$28,$P1513),INDEX(PARAMETROS_CULTURAS!$L$6:$L$28,$P1513)+(INDEX(PARAMETROS_CULTURAS!$M$6:$M$28,$P1513)-INDEX(PARAMETROS_CULTURAS!$L$6:$L$28,$P1513))*($O1513-INDEX(PARAMETROS_CULTURAS!$F$6:$F$28,$P1513)-INDEX(PARAMETROS_CULTURAS!$G$6:$G$28,$P1513)-INDEX(PARAMETROS_CULTURAS!$H$6:$H$28,$P1513))/MAX(INDEX(PARAMETROS_CULTURAS!$I$6:$I$28,$P1513),0.0001)))))</f>
        <v>0</v>
      </c>
      <c r="S1513" s="18" t="n">
        <f aca="false">IFERROR(INDEX(SEMANAS!$H$6:$H$71,MATCH($B1513,SEMANAS!$B$6:$B$71,0)),0)</f>
        <v>40.6</v>
      </c>
      <c r="T1513" s="18" t="n">
        <f aca="false">$R1513*$S1513</f>
        <v>0</v>
      </c>
      <c r="U1513" s="18" t="n">
        <f aca="false">IFERROR(INDEX(SEMANAS!$I$6:$I$71,MATCH($B1513,SEMANAS!$B$6:$B$71,0)),0)</f>
        <v>7</v>
      </c>
      <c r="V1513" s="18" t="n">
        <f aca="false">IFERROR(INDEX(SEMANAS!$J$6:$J$71,MATCH($B1513,SEMANAS!$B$6:$B$71,0)),0)</f>
        <v>5.6</v>
      </c>
      <c r="W1513" s="18" t="n">
        <f aca="false">MAX(0,$T1513-$V1513)</f>
        <v>0</v>
      </c>
      <c r="X1513" s="19" t="n">
        <f aca="false">IFERROR(INDEX(CADASTRO_PIVOS!$K$6:$K$41,MATCH($E1513,CADASTRO_PIVOS!$B$6:$B$41,0)),EFICIENCIA_PADRAO)</f>
        <v>0.85</v>
      </c>
      <c r="Y1513" s="18" t="n">
        <f aca="false">IF($X1513&lt;=0,0,$W1513/$X1513)</f>
        <v>0</v>
      </c>
      <c r="Z1513" s="16" t="n">
        <f aca="false">$Y1513*$H1513*MM_PARA_M3_HA</f>
        <v>0</v>
      </c>
      <c r="AA1513" s="18" t="n">
        <f aca="false">IFERROR(INDEX(CADASTRO_PIVOS!$I$6:$I$41,MATCH($E1513,CADASTRO_PIVOS!$B$6:$B$41,0)),0)</f>
        <v>1071</v>
      </c>
      <c r="AB1513" s="18" t="n">
        <f aca="false">IF($Z1513&lt;=0,0,$Z1513/$AA1513)</f>
        <v>0</v>
      </c>
      <c r="AC1513" s="16" t="n">
        <f aca="false">IFERROR(INDEX(SEMANAS!$K$6:$K$71,MATCH($B1513,SEMANAS!$B$6:$B$71,0)),0)</f>
        <v>147</v>
      </c>
      <c r="AD1513" s="19" t="n">
        <f aca="false">IF($AC1513&lt;=0,0,$AB1513/$AC1513)</f>
        <v>0</v>
      </c>
      <c r="AE1513" s="8" t="str">
        <f aca="false">IF($K1513="SEM CULTURA","SEM CULTURA",IF($AA1513&lt;=0,"DADO PENDENTE",IF($AD1513&gt;LIMITE_CRITICO,"INVIAVEL",IF($AD1513&gt;LIMITE_ATENCAO,"CRITICO",IF($AD1513&gt;LIMITE_CONFORTAVEL,"ATENCAO","OK")))))</f>
        <v>SEM CULTURA</v>
      </c>
      <c r="AF1513" s="8" t="str">
        <f aca="false">$B1513&amp;"|"&amp;TEXT($AD1513,"0.000000")</f>
        <v>56|0.000000</v>
      </c>
      <c r="AG1513" s="18" t="n">
        <f aca="false">IF($K1513="SEM CULTURA",0,$T1513*$H1513)</f>
        <v>0</v>
      </c>
      <c r="AH1513" s="18" t="n">
        <f aca="false">IF($K1513="SEM CULTURA",0,$V1513*$H1513)</f>
        <v>0</v>
      </c>
      <c r="AI1513" s="18" t="n">
        <f aca="false">IF($K1513="SEM CULTURA",0,$W1513*$H1513)</f>
        <v>0</v>
      </c>
      <c r="AJ1513" s="18" t="n">
        <f aca="false">IF($K1513="SEM CULTURA",0,$S1513*$H1513)</f>
        <v>0</v>
      </c>
      <c r="AK1513" s="8" t="str">
        <f aca="false">$E1513&amp;"|"&amp;TEXT($AD1513,"0.000000")</f>
        <v>PV 130|0.000000</v>
      </c>
    </row>
    <row r="1514" customFormat="false" ht="15" hidden="false" customHeight="false" outlineLevel="0" collapsed="false">
      <c r="B1514" s="16" t="n">
        <v>57</v>
      </c>
      <c r="C1514" s="17" t="n">
        <f aca="false">DATA_INICIO_SAFRA+($B1514-1)*DIAS_POR_SEMANA</f>
        <v>46657</v>
      </c>
      <c r="D1514" s="17" t="n">
        <f aca="false">$C1514+DIAS_POR_SEMANA-1</f>
        <v>46663</v>
      </c>
      <c r="E1514" s="15" t="s">
        <v>281</v>
      </c>
      <c r="F1514" s="8" t="str">
        <f aca="false">IFERROR(INDEX(CADASTRO_PIVOS!$C$6:$C$41,MATCH($E1514,CADASTRO_PIVOS!$B$6:$B$41,0)),"?")</f>
        <v>RM06</v>
      </c>
      <c r="G1514" s="8" t="str">
        <f aca="false">IFERROR(INDEX(CADASTRO_PIVOS!$D$6:$D$41,MATCH($E1514,CADASTRO_PIVOS!$B$6:$B$41,0)),"?")</f>
        <v>TR06</v>
      </c>
      <c r="H1514" s="20" t="n">
        <f aca="false">IFERROR(INDEX(CADASTRO_PIVOS!$E$6:$E$41,MATCH($E1514,CADASTRO_PIVOS!$B$6:$B$41,0)),0)</f>
        <v>149.94</v>
      </c>
      <c r="I1514" s="16" t="n">
        <f aca="false">IFERROR(SUMIFS(ROTACAO_RDM!$B$6:$B$71,ROTACAO_RDM!$D$6:$D$71,$E1514,ROTACAO_RDM!$I$6:$I$71,"&lt;="&amp;$C1514+INT(DIAS_POR_SEMANA/2),ROTACAO_RDM!$J$6:$J$71,"&gt;="&amp;$C1514+INT(DIAS_POR_SEMANA/2)),0)</f>
        <v>0</v>
      </c>
      <c r="J1514" s="16" t="n">
        <f aca="false">IFERROR(MATCH($I1514,ROTACAO_RDM!$B$6:$B$71,0),0)</f>
        <v>0</v>
      </c>
      <c r="K1514" s="8" t="str">
        <f aca="false">IF($J1514=0,"SEM CULTURA",INDEX(ROTACAO_RDM!$F$6:$F$71,$J1514))</f>
        <v>SEM CULTURA</v>
      </c>
      <c r="L1514" s="8" t="str">
        <f aca="false">IF($J1514=0,"",INDEX(ROTACAO_RDM!$G$6:$G$71,$J1514))</f>
        <v/>
      </c>
      <c r="M1514" s="17" t="str">
        <f aca="false">IF($J1514=0,"",INDEX(ROTACAO_RDM!$I$6:$I$71,$J1514))</f>
        <v/>
      </c>
      <c r="N1514" s="16" t="n">
        <f aca="false">IF($J1514=0,0,MAX(0,$C1514+INT(DIAS_POR_SEMANA/2)-INDEX(ROTACAO_RDM!$I$6:$I$71,$J1514)))</f>
        <v>0</v>
      </c>
      <c r="O1514" s="19" t="n">
        <f aca="false">IF($J1514=0,0,MIN(1,$N1514/MAX(1,INDEX(ROTACAO_RDM!$K$6:$K$71,$J1514))))</f>
        <v>0</v>
      </c>
      <c r="P1514" s="16" t="n">
        <f aca="false">IF($J1514=0,0,IFERROR(MATCH(INDEX(ROTACAO_RDM!$N$6:$N$71,$J1514),PARAMETROS_CULTURAS!$B$6:$B$28,0),0))</f>
        <v>0</v>
      </c>
      <c r="Q1514" s="8" t="str">
        <f aca="false">IF($P1514=0,"-",IF($O1514&lt;=INDEX(PARAMETROS_CULTURAS!$F$6:$F$28,$P1514),"INICIAL",IF($O1514&lt;=INDEX(PARAMETROS_CULTURAS!$F$6:$F$28,$P1514)+INDEX(PARAMETROS_CULTURAS!$G$6:$G$28,$P1514),"DESENVOLVIMENTO",IF($O1514&lt;=INDEX(PARAMETROS_CULTURAS!$F$6:$F$28,$P1514)+INDEX(PARAMETROS_CULTURAS!$G$6:$G$28,$P1514)+INDEX(PARAMETROS_CULTURAS!$H$6:$H$28,$P1514),"MEDIA","FINAL"))))</f>
        <v>-</v>
      </c>
      <c r="R1514" s="24" t="n">
        <f aca="false">IF($P1514=0,0,IF($O1514&lt;=INDEX(PARAMETROS_CULTURAS!$F$6:$F$28,$P1514),INDEX(PARAMETROS_CULTURAS!$K$6:$K$28,$P1514),IF($O1514&lt;=INDEX(PARAMETROS_CULTURAS!$F$6:$F$28,$P1514)+INDEX(PARAMETROS_CULTURAS!$G$6:$G$28,$P1514),INDEX(PARAMETROS_CULTURAS!$K$6:$K$28,$P1514)+(INDEX(PARAMETROS_CULTURAS!$L$6:$L$28,$P1514)-INDEX(PARAMETROS_CULTURAS!$K$6:$K$28,$P1514))*($O1514-INDEX(PARAMETROS_CULTURAS!$F$6:$F$28,$P1514))/MAX(INDEX(PARAMETROS_CULTURAS!$G$6:$G$28,$P1514),0.0001),IF($O1514&lt;=INDEX(PARAMETROS_CULTURAS!$F$6:$F$28,$P1514)+INDEX(PARAMETROS_CULTURAS!$G$6:$G$28,$P1514)+INDEX(PARAMETROS_CULTURAS!$H$6:$H$28,$P1514),INDEX(PARAMETROS_CULTURAS!$L$6:$L$28,$P1514),INDEX(PARAMETROS_CULTURAS!$L$6:$L$28,$P1514)+(INDEX(PARAMETROS_CULTURAS!$M$6:$M$28,$P1514)-INDEX(PARAMETROS_CULTURAS!$L$6:$L$28,$P1514))*($O1514-INDEX(PARAMETROS_CULTURAS!$F$6:$F$28,$P1514)-INDEX(PARAMETROS_CULTURAS!$G$6:$G$28,$P1514)-INDEX(PARAMETROS_CULTURAS!$H$6:$H$28,$P1514))/MAX(INDEX(PARAMETROS_CULTURAS!$I$6:$I$28,$P1514),0.0001)))))</f>
        <v>0</v>
      </c>
      <c r="S1514" s="18" t="n">
        <f aca="false">IFERROR(INDEX(SEMANAS!$H$6:$H$71,MATCH($B1514,SEMANAS!$B$6:$B$71,0)),0)</f>
        <v>40</v>
      </c>
      <c r="T1514" s="18" t="n">
        <f aca="false">$R1514*$S1514</f>
        <v>0</v>
      </c>
      <c r="U1514" s="18" t="n">
        <f aca="false">IFERROR(INDEX(SEMANAS!$I$6:$I$71,MATCH($B1514,SEMANAS!$B$6:$B$71,0)),0)</f>
        <v>15.61</v>
      </c>
      <c r="V1514" s="18" t="n">
        <f aca="false">IFERROR(INDEX(SEMANAS!$J$6:$J$71,MATCH($B1514,SEMANAS!$B$6:$B$71,0)),0)</f>
        <v>12.488</v>
      </c>
      <c r="W1514" s="18" t="n">
        <f aca="false">MAX(0,$T1514-$V1514)</f>
        <v>0</v>
      </c>
      <c r="X1514" s="19" t="n">
        <f aca="false">IFERROR(INDEX(CADASTRO_PIVOS!$K$6:$K$41,MATCH($E1514,CADASTRO_PIVOS!$B$6:$B$41,0)),EFICIENCIA_PADRAO)</f>
        <v>0.85</v>
      </c>
      <c r="Y1514" s="18" t="n">
        <f aca="false">IF($X1514&lt;=0,0,$W1514/$X1514)</f>
        <v>0</v>
      </c>
      <c r="Z1514" s="16" t="n">
        <f aca="false">$Y1514*$H1514*MM_PARA_M3_HA</f>
        <v>0</v>
      </c>
      <c r="AA1514" s="18" t="n">
        <f aca="false">IFERROR(INDEX(CADASTRO_PIVOS!$I$6:$I$41,MATCH($E1514,CADASTRO_PIVOS!$B$6:$B$41,0)),0)</f>
        <v>1071</v>
      </c>
      <c r="AB1514" s="18" t="n">
        <f aca="false">IF($Z1514&lt;=0,0,$Z1514/$AA1514)</f>
        <v>0</v>
      </c>
      <c r="AC1514" s="16" t="n">
        <f aca="false">IFERROR(INDEX(SEMANAS!$K$6:$K$71,MATCH($B1514,SEMANAS!$B$6:$B$71,0)),0)</f>
        <v>147</v>
      </c>
      <c r="AD1514" s="19" t="n">
        <f aca="false">IF($AC1514&lt;=0,0,$AB1514/$AC1514)</f>
        <v>0</v>
      </c>
      <c r="AE1514" s="8" t="str">
        <f aca="false">IF($K1514="SEM CULTURA","SEM CULTURA",IF($AA1514&lt;=0,"DADO PENDENTE",IF($AD1514&gt;LIMITE_CRITICO,"INVIAVEL",IF($AD1514&gt;LIMITE_ATENCAO,"CRITICO",IF($AD1514&gt;LIMITE_CONFORTAVEL,"ATENCAO","OK")))))</f>
        <v>SEM CULTURA</v>
      </c>
      <c r="AF1514" s="8" t="str">
        <f aca="false">$B1514&amp;"|"&amp;TEXT($AD1514,"0.000000")</f>
        <v>57|0.000000</v>
      </c>
      <c r="AG1514" s="18" t="n">
        <f aca="false">IF($K1514="SEM CULTURA",0,$T1514*$H1514)</f>
        <v>0</v>
      </c>
      <c r="AH1514" s="18" t="n">
        <f aca="false">IF($K1514="SEM CULTURA",0,$V1514*$H1514)</f>
        <v>0</v>
      </c>
      <c r="AI1514" s="18" t="n">
        <f aca="false">IF($K1514="SEM CULTURA",0,$W1514*$H1514)</f>
        <v>0</v>
      </c>
      <c r="AJ1514" s="18" t="n">
        <f aca="false">IF($K1514="SEM CULTURA",0,$S1514*$H1514)</f>
        <v>0</v>
      </c>
      <c r="AK1514" s="8" t="str">
        <f aca="false">$E1514&amp;"|"&amp;TEXT($AD1514,"0.000000")</f>
        <v>PV 130|0.000000</v>
      </c>
    </row>
    <row r="1515" customFormat="false" ht="15" hidden="false" customHeight="false" outlineLevel="0" collapsed="false">
      <c r="B1515" s="16" t="n">
        <v>58</v>
      </c>
      <c r="C1515" s="17" t="n">
        <f aca="false">DATA_INICIO_SAFRA+($B1515-1)*DIAS_POR_SEMANA</f>
        <v>46664</v>
      </c>
      <c r="D1515" s="17" t="n">
        <f aca="false">$C1515+DIAS_POR_SEMANA-1</f>
        <v>46670</v>
      </c>
      <c r="E1515" s="15" t="s">
        <v>281</v>
      </c>
      <c r="F1515" s="8" t="str">
        <f aca="false">IFERROR(INDEX(CADASTRO_PIVOS!$C$6:$C$41,MATCH($E1515,CADASTRO_PIVOS!$B$6:$B$41,0)),"?")</f>
        <v>RM06</v>
      </c>
      <c r="G1515" s="8" t="str">
        <f aca="false">IFERROR(INDEX(CADASTRO_PIVOS!$D$6:$D$41,MATCH($E1515,CADASTRO_PIVOS!$B$6:$B$41,0)),"?")</f>
        <v>TR06</v>
      </c>
      <c r="H1515" s="20" t="n">
        <f aca="false">IFERROR(INDEX(CADASTRO_PIVOS!$E$6:$E$41,MATCH($E1515,CADASTRO_PIVOS!$B$6:$B$41,0)),0)</f>
        <v>149.94</v>
      </c>
      <c r="I1515" s="16" t="n">
        <f aca="false">IFERROR(SUMIFS(ROTACAO_RDM!$B$6:$B$71,ROTACAO_RDM!$D$6:$D$71,$E1515,ROTACAO_RDM!$I$6:$I$71,"&lt;="&amp;$C1515+INT(DIAS_POR_SEMANA/2),ROTACAO_RDM!$J$6:$J$71,"&gt;="&amp;$C1515+INT(DIAS_POR_SEMANA/2)),0)</f>
        <v>0</v>
      </c>
      <c r="J1515" s="16" t="n">
        <f aca="false">IFERROR(MATCH($I1515,ROTACAO_RDM!$B$6:$B$71,0),0)</f>
        <v>0</v>
      </c>
      <c r="K1515" s="8" t="str">
        <f aca="false">IF($J1515=0,"SEM CULTURA",INDEX(ROTACAO_RDM!$F$6:$F$71,$J1515))</f>
        <v>SEM CULTURA</v>
      </c>
      <c r="L1515" s="8" t="str">
        <f aca="false">IF($J1515=0,"",INDEX(ROTACAO_RDM!$G$6:$G$71,$J1515))</f>
        <v/>
      </c>
      <c r="M1515" s="17" t="str">
        <f aca="false">IF($J1515=0,"",INDEX(ROTACAO_RDM!$I$6:$I$71,$J1515))</f>
        <v/>
      </c>
      <c r="N1515" s="16" t="n">
        <f aca="false">IF($J1515=0,0,MAX(0,$C1515+INT(DIAS_POR_SEMANA/2)-INDEX(ROTACAO_RDM!$I$6:$I$71,$J1515)))</f>
        <v>0</v>
      </c>
      <c r="O1515" s="19" t="n">
        <f aca="false">IF($J1515=0,0,MIN(1,$N1515/MAX(1,INDEX(ROTACAO_RDM!$K$6:$K$71,$J1515))))</f>
        <v>0</v>
      </c>
      <c r="P1515" s="16" t="n">
        <f aca="false">IF($J1515=0,0,IFERROR(MATCH(INDEX(ROTACAO_RDM!$N$6:$N$71,$J1515),PARAMETROS_CULTURAS!$B$6:$B$28,0),0))</f>
        <v>0</v>
      </c>
      <c r="Q1515" s="8" t="str">
        <f aca="false">IF($P1515=0,"-",IF($O1515&lt;=INDEX(PARAMETROS_CULTURAS!$F$6:$F$28,$P1515),"INICIAL",IF($O1515&lt;=INDEX(PARAMETROS_CULTURAS!$F$6:$F$28,$P1515)+INDEX(PARAMETROS_CULTURAS!$G$6:$G$28,$P1515),"DESENVOLVIMENTO",IF($O1515&lt;=INDEX(PARAMETROS_CULTURAS!$F$6:$F$28,$P1515)+INDEX(PARAMETROS_CULTURAS!$G$6:$G$28,$P1515)+INDEX(PARAMETROS_CULTURAS!$H$6:$H$28,$P1515),"MEDIA","FINAL"))))</f>
        <v>-</v>
      </c>
      <c r="R1515" s="24" t="n">
        <f aca="false">IF($P1515=0,0,IF($O1515&lt;=INDEX(PARAMETROS_CULTURAS!$F$6:$F$28,$P1515),INDEX(PARAMETROS_CULTURAS!$K$6:$K$28,$P1515),IF($O1515&lt;=INDEX(PARAMETROS_CULTURAS!$F$6:$F$28,$P1515)+INDEX(PARAMETROS_CULTURAS!$G$6:$G$28,$P1515),INDEX(PARAMETROS_CULTURAS!$K$6:$K$28,$P1515)+(INDEX(PARAMETROS_CULTURAS!$L$6:$L$28,$P1515)-INDEX(PARAMETROS_CULTURAS!$K$6:$K$28,$P1515))*($O1515-INDEX(PARAMETROS_CULTURAS!$F$6:$F$28,$P1515))/MAX(INDEX(PARAMETROS_CULTURAS!$G$6:$G$28,$P1515),0.0001),IF($O1515&lt;=INDEX(PARAMETROS_CULTURAS!$F$6:$F$28,$P1515)+INDEX(PARAMETROS_CULTURAS!$G$6:$G$28,$P1515)+INDEX(PARAMETROS_CULTURAS!$H$6:$H$28,$P1515),INDEX(PARAMETROS_CULTURAS!$L$6:$L$28,$P1515),INDEX(PARAMETROS_CULTURAS!$L$6:$L$28,$P1515)+(INDEX(PARAMETROS_CULTURAS!$M$6:$M$28,$P1515)-INDEX(PARAMETROS_CULTURAS!$L$6:$L$28,$P1515))*($O1515-INDEX(PARAMETROS_CULTURAS!$F$6:$F$28,$P1515)-INDEX(PARAMETROS_CULTURAS!$G$6:$G$28,$P1515)-INDEX(PARAMETROS_CULTURAS!$H$6:$H$28,$P1515))/MAX(INDEX(PARAMETROS_CULTURAS!$I$6:$I$28,$P1515),0.0001)))))</f>
        <v>0</v>
      </c>
      <c r="S1515" s="18" t="n">
        <f aca="false">IFERROR(INDEX(SEMANAS!$H$6:$H$71,MATCH($B1515,SEMANAS!$B$6:$B$71,0)),0)</f>
        <v>39.2</v>
      </c>
      <c r="T1515" s="18" t="n">
        <f aca="false">$R1515*$S1515</f>
        <v>0</v>
      </c>
      <c r="U1515" s="18" t="n">
        <f aca="false">IFERROR(INDEX(SEMANAS!$I$6:$I$71,MATCH($B1515,SEMANAS!$B$6:$B$71,0)),0)</f>
        <v>27.09</v>
      </c>
      <c r="V1515" s="18" t="n">
        <f aca="false">IFERROR(INDEX(SEMANAS!$J$6:$J$71,MATCH($B1515,SEMANAS!$B$6:$B$71,0)),0)</f>
        <v>21.672</v>
      </c>
      <c r="W1515" s="18" t="n">
        <f aca="false">MAX(0,$T1515-$V1515)</f>
        <v>0</v>
      </c>
      <c r="X1515" s="19" t="n">
        <f aca="false">IFERROR(INDEX(CADASTRO_PIVOS!$K$6:$K$41,MATCH($E1515,CADASTRO_PIVOS!$B$6:$B$41,0)),EFICIENCIA_PADRAO)</f>
        <v>0.85</v>
      </c>
      <c r="Y1515" s="18" t="n">
        <f aca="false">IF($X1515&lt;=0,0,$W1515/$X1515)</f>
        <v>0</v>
      </c>
      <c r="Z1515" s="16" t="n">
        <f aca="false">$Y1515*$H1515*MM_PARA_M3_HA</f>
        <v>0</v>
      </c>
      <c r="AA1515" s="18" t="n">
        <f aca="false">IFERROR(INDEX(CADASTRO_PIVOS!$I$6:$I$41,MATCH($E1515,CADASTRO_PIVOS!$B$6:$B$41,0)),0)</f>
        <v>1071</v>
      </c>
      <c r="AB1515" s="18" t="n">
        <f aca="false">IF($Z1515&lt;=0,0,$Z1515/$AA1515)</f>
        <v>0</v>
      </c>
      <c r="AC1515" s="16" t="n">
        <f aca="false">IFERROR(INDEX(SEMANAS!$K$6:$K$71,MATCH($B1515,SEMANAS!$B$6:$B$71,0)),0)</f>
        <v>147</v>
      </c>
      <c r="AD1515" s="19" t="n">
        <f aca="false">IF($AC1515&lt;=0,0,$AB1515/$AC1515)</f>
        <v>0</v>
      </c>
      <c r="AE1515" s="8" t="str">
        <f aca="false">IF($K1515="SEM CULTURA","SEM CULTURA",IF($AA1515&lt;=0,"DADO PENDENTE",IF($AD1515&gt;LIMITE_CRITICO,"INVIAVEL",IF($AD1515&gt;LIMITE_ATENCAO,"CRITICO",IF($AD1515&gt;LIMITE_CONFORTAVEL,"ATENCAO","OK")))))</f>
        <v>SEM CULTURA</v>
      </c>
      <c r="AF1515" s="8" t="str">
        <f aca="false">$B1515&amp;"|"&amp;TEXT($AD1515,"0.000000")</f>
        <v>58|0.000000</v>
      </c>
      <c r="AG1515" s="18" t="n">
        <f aca="false">IF($K1515="SEM CULTURA",0,$T1515*$H1515)</f>
        <v>0</v>
      </c>
      <c r="AH1515" s="18" t="n">
        <f aca="false">IF($K1515="SEM CULTURA",0,$V1515*$H1515)</f>
        <v>0</v>
      </c>
      <c r="AI1515" s="18" t="n">
        <f aca="false">IF($K1515="SEM CULTURA",0,$W1515*$H1515)</f>
        <v>0</v>
      </c>
      <c r="AJ1515" s="18" t="n">
        <f aca="false">IF($K1515="SEM CULTURA",0,$S1515*$H1515)</f>
        <v>0</v>
      </c>
      <c r="AK1515" s="8" t="str">
        <f aca="false">$E1515&amp;"|"&amp;TEXT($AD1515,"0.000000")</f>
        <v>PV 130|0.000000</v>
      </c>
    </row>
    <row r="1516" customFormat="false" ht="15" hidden="false" customHeight="false" outlineLevel="0" collapsed="false">
      <c r="B1516" s="16" t="n">
        <v>59</v>
      </c>
      <c r="C1516" s="17" t="n">
        <f aca="false">DATA_INICIO_SAFRA+($B1516-1)*DIAS_POR_SEMANA</f>
        <v>46671</v>
      </c>
      <c r="D1516" s="17" t="n">
        <f aca="false">$C1516+DIAS_POR_SEMANA-1</f>
        <v>46677</v>
      </c>
      <c r="E1516" s="15" t="s">
        <v>281</v>
      </c>
      <c r="F1516" s="8" t="str">
        <f aca="false">IFERROR(INDEX(CADASTRO_PIVOS!$C$6:$C$41,MATCH($E1516,CADASTRO_PIVOS!$B$6:$B$41,0)),"?")</f>
        <v>RM06</v>
      </c>
      <c r="G1516" s="8" t="str">
        <f aca="false">IFERROR(INDEX(CADASTRO_PIVOS!$D$6:$D$41,MATCH($E1516,CADASTRO_PIVOS!$B$6:$B$41,0)),"?")</f>
        <v>TR06</v>
      </c>
      <c r="H1516" s="20" t="n">
        <f aca="false">IFERROR(INDEX(CADASTRO_PIVOS!$E$6:$E$41,MATCH($E1516,CADASTRO_PIVOS!$B$6:$B$41,0)),0)</f>
        <v>149.94</v>
      </c>
      <c r="I1516" s="16" t="n">
        <f aca="false">IFERROR(SUMIFS(ROTACAO_RDM!$B$6:$B$71,ROTACAO_RDM!$D$6:$D$71,$E1516,ROTACAO_RDM!$I$6:$I$71,"&lt;="&amp;$C1516+INT(DIAS_POR_SEMANA/2),ROTACAO_RDM!$J$6:$J$71,"&gt;="&amp;$C1516+INT(DIAS_POR_SEMANA/2)),0)</f>
        <v>0</v>
      </c>
      <c r="J1516" s="16" t="n">
        <f aca="false">IFERROR(MATCH($I1516,ROTACAO_RDM!$B$6:$B$71,0),0)</f>
        <v>0</v>
      </c>
      <c r="K1516" s="8" t="str">
        <f aca="false">IF($J1516=0,"SEM CULTURA",INDEX(ROTACAO_RDM!$F$6:$F$71,$J1516))</f>
        <v>SEM CULTURA</v>
      </c>
      <c r="L1516" s="8" t="str">
        <f aca="false">IF($J1516=0,"",INDEX(ROTACAO_RDM!$G$6:$G$71,$J1516))</f>
        <v/>
      </c>
      <c r="M1516" s="17" t="str">
        <f aca="false">IF($J1516=0,"",INDEX(ROTACAO_RDM!$I$6:$I$71,$J1516))</f>
        <v/>
      </c>
      <c r="N1516" s="16" t="n">
        <f aca="false">IF($J1516=0,0,MAX(0,$C1516+INT(DIAS_POR_SEMANA/2)-INDEX(ROTACAO_RDM!$I$6:$I$71,$J1516)))</f>
        <v>0</v>
      </c>
      <c r="O1516" s="19" t="n">
        <f aca="false">IF($J1516=0,0,MIN(1,$N1516/MAX(1,INDEX(ROTACAO_RDM!$K$6:$K$71,$J1516))))</f>
        <v>0</v>
      </c>
      <c r="P1516" s="16" t="n">
        <f aca="false">IF($J1516=0,0,IFERROR(MATCH(INDEX(ROTACAO_RDM!$N$6:$N$71,$J1516),PARAMETROS_CULTURAS!$B$6:$B$28,0),0))</f>
        <v>0</v>
      </c>
      <c r="Q1516" s="8" t="str">
        <f aca="false">IF($P1516=0,"-",IF($O1516&lt;=INDEX(PARAMETROS_CULTURAS!$F$6:$F$28,$P1516),"INICIAL",IF($O1516&lt;=INDEX(PARAMETROS_CULTURAS!$F$6:$F$28,$P1516)+INDEX(PARAMETROS_CULTURAS!$G$6:$G$28,$P1516),"DESENVOLVIMENTO",IF($O1516&lt;=INDEX(PARAMETROS_CULTURAS!$F$6:$F$28,$P1516)+INDEX(PARAMETROS_CULTURAS!$G$6:$G$28,$P1516)+INDEX(PARAMETROS_CULTURAS!$H$6:$H$28,$P1516),"MEDIA","FINAL"))))</f>
        <v>-</v>
      </c>
      <c r="R1516" s="24" t="n">
        <f aca="false">IF($P1516=0,0,IF($O1516&lt;=INDEX(PARAMETROS_CULTURAS!$F$6:$F$28,$P1516),INDEX(PARAMETROS_CULTURAS!$K$6:$K$28,$P1516),IF($O1516&lt;=INDEX(PARAMETROS_CULTURAS!$F$6:$F$28,$P1516)+INDEX(PARAMETROS_CULTURAS!$G$6:$G$28,$P1516),INDEX(PARAMETROS_CULTURAS!$K$6:$K$28,$P1516)+(INDEX(PARAMETROS_CULTURAS!$L$6:$L$28,$P1516)-INDEX(PARAMETROS_CULTURAS!$K$6:$K$28,$P1516))*($O1516-INDEX(PARAMETROS_CULTURAS!$F$6:$F$28,$P1516))/MAX(INDEX(PARAMETROS_CULTURAS!$G$6:$G$28,$P1516),0.0001),IF($O1516&lt;=INDEX(PARAMETROS_CULTURAS!$F$6:$F$28,$P1516)+INDEX(PARAMETROS_CULTURAS!$G$6:$G$28,$P1516)+INDEX(PARAMETROS_CULTURAS!$H$6:$H$28,$P1516),INDEX(PARAMETROS_CULTURAS!$L$6:$L$28,$P1516),INDEX(PARAMETROS_CULTURAS!$L$6:$L$28,$P1516)+(INDEX(PARAMETROS_CULTURAS!$M$6:$M$28,$P1516)-INDEX(PARAMETROS_CULTURAS!$L$6:$L$28,$P1516))*($O1516-INDEX(PARAMETROS_CULTURAS!$F$6:$F$28,$P1516)-INDEX(PARAMETROS_CULTURAS!$G$6:$G$28,$P1516)-INDEX(PARAMETROS_CULTURAS!$H$6:$H$28,$P1516))/MAX(INDEX(PARAMETROS_CULTURAS!$I$6:$I$28,$P1516),0.0001)))))</f>
        <v>0</v>
      </c>
      <c r="S1516" s="18" t="n">
        <f aca="false">IFERROR(INDEX(SEMANAS!$H$6:$H$71,MATCH($B1516,SEMANAS!$B$6:$B$71,0)),0)</f>
        <v>39.2</v>
      </c>
      <c r="T1516" s="18" t="n">
        <f aca="false">$R1516*$S1516</f>
        <v>0</v>
      </c>
      <c r="U1516" s="18" t="n">
        <f aca="false">IFERROR(INDEX(SEMANAS!$I$6:$I$71,MATCH($B1516,SEMANAS!$B$6:$B$71,0)),0)</f>
        <v>27.09</v>
      </c>
      <c r="V1516" s="18" t="n">
        <f aca="false">IFERROR(INDEX(SEMANAS!$J$6:$J$71,MATCH($B1516,SEMANAS!$B$6:$B$71,0)),0)</f>
        <v>21.672</v>
      </c>
      <c r="W1516" s="18" t="n">
        <f aca="false">MAX(0,$T1516-$V1516)</f>
        <v>0</v>
      </c>
      <c r="X1516" s="19" t="n">
        <f aca="false">IFERROR(INDEX(CADASTRO_PIVOS!$K$6:$K$41,MATCH($E1516,CADASTRO_PIVOS!$B$6:$B$41,0)),EFICIENCIA_PADRAO)</f>
        <v>0.85</v>
      </c>
      <c r="Y1516" s="18" t="n">
        <f aca="false">IF($X1516&lt;=0,0,$W1516/$X1516)</f>
        <v>0</v>
      </c>
      <c r="Z1516" s="16" t="n">
        <f aca="false">$Y1516*$H1516*MM_PARA_M3_HA</f>
        <v>0</v>
      </c>
      <c r="AA1516" s="18" t="n">
        <f aca="false">IFERROR(INDEX(CADASTRO_PIVOS!$I$6:$I$41,MATCH($E1516,CADASTRO_PIVOS!$B$6:$B$41,0)),0)</f>
        <v>1071</v>
      </c>
      <c r="AB1516" s="18" t="n">
        <f aca="false">IF($Z1516&lt;=0,0,$Z1516/$AA1516)</f>
        <v>0</v>
      </c>
      <c r="AC1516" s="16" t="n">
        <f aca="false">IFERROR(INDEX(SEMANAS!$K$6:$K$71,MATCH($B1516,SEMANAS!$B$6:$B$71,0)),0)</f>
        <v>147</v>
      </c>
      <c r="AD1516" s="19" t="n">
        <f aca="false">IF($AC1516&lt;=0,0,$AB1516/$AC1516)</f>
        <v>0</v>
      </c>
      <c r="AE1516" s="8" t="str">
        <f aca="false">IF($K1516="SEM CULTURA","SEM CULTURA",IF($AA1516&lt;=0,"DADO PENDENTE",IF($AD1516&gt;LIMITE_CRITICO,"INVIAVEL",IF($AD1516&gt;LIMITE_ATENCAO,"CRITICO",IF($AD1516&gt;LIMITE_CONFORTAVEL,"ATENCAO","OK")))))</f>
        <v>SEM CULTURA</v>
      </c>
      <c r="AF1516" s="8" t="str">
        <f aca="false">$B1516&amp;"|"&amp;TEXT($AD1516,"0.000000")</f>
        <v>59|0.000000</v>
      </c>
      <c r="AG1516" s="18" t="n">
        <f aca="false">IF($K1516="SEM CULTURA",0,$T1516*$H1516)</f>
        <v>0</v>
      </c>
      <c r="AH1516" s="18" t="n">
        <f aca="false">IF($K1516="SEM CULTURA",0,$V1516*$H1516)</f>
        <v>0</v>
      </c>
      <c r="AI1516" s="18" t="n">
        <f aca="false">IF($K1516="SEM CULTURA",0,$W1516*$H1516)</f>
        <v>0</v>
      </c>
      <c r="AJ1516" s="18" t="n">
        <f aca="false">IF($K1516="SEM CULTURA",0,$S1516*$H1516)</f>
        <v>0</v>
      </c>
      <c r="AK1516" s="8" t="str">
        <f aca="false">$E1516&amp;"|"&amp;TEXT($AD1516,"0.000000")</f>
        <v>PV 130|0.000000</v>
      </c>
    </row>
    <row r="1517" customFormat="false" ht="15" hidden="false" customHeight="false" outlineLevel="0" collapsed="false">
      <c r="B1517" s="16" t="n">
        <v>60</v>
      </c>
      <c r="C1517" s="17" t="n">
        <f aca="false">DATA_INICIO_SAFRA+($B1517-1)*DIAS_POR_SEMANA</f>
        <v>46678</v>
      </c>
      <c r="D1517" s="17" t="n">
        <f aca="false">$C1517+DIAS_POR_SEMANA-1</f>
        <v>46684</v>
      </c>
      <c r="E1517" s="15" t="s">
        <v>281</v>
      </c>
      <c r="F1517" s="8" t="str">
        <f aca="false">IFERROR(INDEX(CADASTRO_PIVOS!$C$6:$C$41,MATCH($E1517,CADASTRO_PIVOS!$B$6:$B$41,0)),"?")</f>
        <v>RM06</v>
      </c>
      <c r="G1517" s="8" t="str">
        <f aca="false">IFERROR(INDEX(CADASTRO_PIVOS!$D$6:$D$41,MATCH($E1517,CADASTRO_PIVOS!$B$6:$B$41,0)),"?")</f>
        <v>TR06</v>
      </c>
      <c r="H1517" s="20" t="n">
        <f aca="false">IFERROR(INDEX(CADASTRO_PIVOS!$E$6:$E$41,MATCH($E1517,CADASTRO_PIVOS!$B$6:$B$41,0)),0)</f>
        <v>149.94</v>
      </c>
      <c r="I1517" s="16" t="n">
        <f aca="false">IFERROR(SUMIFS(ROTACAO_RDM!$B$6:$B$71,ROTACAO_RDM!$D$6:$D$71,$E1517,ROTACAO_RDM!$I$6:$I$71,"&lt;="&amp;$C1517+INT(DIAS_POR_SEMANA/2),ROTACAO_RDM!$J$6:$J$71,"&gt;="&amp;$C1517+INT(DIAS_POR_SEMANA/2)),0)</f>
        <v>0</v>
      </c>
      <c r="J1517" s="16" t="n">
        <f aca="false">IFERROR(MATCH($I1517,ROTACAO_RDM!$B$6:$B$71,0),0)</f>
        <v>0</v>
      </c>
      <c r="K1517" s="8" t="str">
        <f aca="false">IF($J1517=0,"SEM CULTURA",INDEX(ROTACAO_RDM!$F$6:$F$71,$J1517))</f>
        <v>SEM CULTURA</v>
      </c>
      <c r="L1517" s="8" t="str">
        <f aca="false">IF($J1517=0,"",INDEX(ROTACAO_RDM!$G$6:$G$71,$J1517))</f>
        <v/>
      </c>
      <c r="M1517" s="17" t="str">
        <f aca="false">IF($J1517=0,"",INDEX(ROTACAO_RDM!$I$6:$I$71,$J1517))</f>
        <v/>
      </c>
      <c r="N1517" s="16" t="n">
        <f aca="false">IF($J1517=0,0,MAX(0,$C1517+INT(DIAS_POR_SEMANA/2)-INDEX(ROTACAO_RDM!$I$6:$I$71,$J1517)))</f>
        <v>0</v>
      </c>
      <c r="O1517" s="19" t="n">
        <f aca="false">IF($J1517=0,0,MIN(1,$N1517/MAX(1,INDEX(ROTACAO_RDM!$K$6:$K$71,$J1517))))</f>
        <v>0</v>
      </c>
      <c r="P1517" s="16" t="n">
        <f aca="false">IF($J1517=0,0,IFERROR(MATCH(INDEX(ROTACAO_RDM!$N$6:$N$71,$J1517),PARAMETROS_CULTURAS!$B$6:$B$28,0),0))</f>
        <v>0</v>
      </c>
      <c r="Q1517" s="8" t="str">
        <f aca="false">IF($P1517=0,"-",IF($O1517&lt;=INDEX(PARAMETROS_CULTURAS!$F$6:$F$28,$P1517),"INICIAL",IF($O1517&lt;=INDEX(PARAMETROS_CULTURAS!$F$6:$F$28,$P1517)+INDEX(PARAMETROS_CULTURAS!$G$6:$G$28,$P1517),"DESENVOLVIMENTO",IF($O1517&lt;=INDEX(PARAMETROS_CULTURAS!$F$6:$F$28,$P1517)+INDEX(PARAMETROS_CULTURAS!$G$6:$G$28,$P1517)+INDEX(PARAMETROS_CULTURAS!$H$6:$H$28,$P1517),"MEDIA","FINAL"))))</f>
        <v>-</v>
      </c>
      <c r="R1517" s="24" t="n">
        <f aca="false">IF($P1517=0,0,IF($O1517&lt;=INDEX(PARAMETROS_CULTURAS!$F$6:$F$28,$P1517),INDEX(PARAMETROS_CULTURAS!$K$6:$K$28,$P1517),IF($O1517&lt;=INDEX(PARAMETROS_CULTURAS!$F$6:$F$28,$P1517)+INDEX(PARAMETROS_CULTURAS!$G$6:$G$28,$P1517),INDEX(PARAMETROS_CULTURAS!$K$6:$K$28,$P1517)+(INDEX(PARAMETROS_CULTURAS!$L$6:$L$28,$P1517)-INDEX(PARAMETROS_CULTURAS!$K$6:$K$28,$P1517))*($O1517-INDEX(PARAMETROS_CULTURAS!$F$6:$F$28,$P1517))/MAX(INDEX(PARAMETROS_CULTURAS!$G$6:$G$28,$P1517),0.0001),IF($O1517&lt;=INDEX(PARAMETROS_CULTURAS!$F$6:$F$28,$P1517)+INDEX(PARAMETROS_CULTURAS!$G$6:$G$28,$P1517)+INDEX(PARAMETROS_CULTURAS!$H$6:$H$28,$P1517),INDEX(PARAMETROS_CULTURAS!$L$6:$L$28,$P1517),INDEX(PARAMETROS_CULTURAS!$L$6:$L$28,$P1517)+(INDEX(PARAMETROS_CULTURAS!$M$6:$M$28,$P1517)-INDEX(PARAMETROS_CULTURAS!$L$6:$L$28,$P1517))*($O1517-INDEX(PARAMETROS_CULTURAS!$F$6:$F$28,$P1517)-INDEX(PARAMETROS_CULTURAS!$G$6:$G$28,$P1517)-INDEX(PARAMETROS_CULTURAS!$H$6:$H$28,$P1517))/MAX(INDEX(PARAMETROS_CULTURAS!$I$6:$I$28,$P1517),0.0001)))))</f>
        <v>0</v>
      </c>
      <c r="S1517" s="18" t="n">
        <f aca="false">IFERROR(INDEX(SEMANAS!$H$6:$H$71,MATCH($B1517,SEMANAS!$B$6:$B$71,0)),0)</f>
        <v>39.2</v>
      </c>
      <c r="T1517" s="18" t="n">
        <f aca="false">$R1517*$S1517</f>
        <v>0</v>
      </c>
      <c r="U1517" s="18" t="n">
        <f aca="false">IFERROR(INDEX(SEMANAS!$I$6:$I$71,MATCH($B1517,SEMANAS!$B$6:$B$71,0)),0)</f>
        <v>27.09</v>
      </c>
      <c r="V1517" s="18" t="n">
        <f aca="false">IFERROR(INDEX(SEMANAS!$J$6:$J$71,MATCH($B1517,SEMANAS!$B$6:$B$71,0)),0)</f>
        <v>21.672</v>
      </c>
      <c r="W1517" s="18" t="n">
        <f aca="false">MAX(0,$T1517-$V1517)</f>
        <v>0</v>
      </c>
      <c r="X1517" s="19" t="n">
        <f aca="false">IFERROR(INDEX(CADASTRO_PIVOS!$K$6:$K$41,MATCH($E1517,CADASTRO_PIVOS!$B$6:$B$41,0)),EFICIENCIA_PADRAO)</f>
        <v>0.85</v>
      </c>
      <c r="Y1517" s="18" t="n">
        <f aca="false">IF($X1517&lt;=0,0,$W1517/$X1517)</f>
        <v>0</v>
      </c>
      <c r="Z1517" s="16" t="n">
        <f aca="false">$Y1517*$H1517*MM_PARA_M3_HA</f>
        <v>0</v>
      </c>
      <c r="AA1517" s="18" t="n">
        <f aca="false">IFERROR(INDEX(CADASTRO_PIVOS!$I$6:$I$41,MATCH($E1517,CADASTRO_PIVOS!$B$6:$B$41,0)),0)</f>
        <v>1071</v>
      </c>
      <c r="AB1517" s="18" t="n">
        <f aca="false">IF($Z1517&lt;=0,0,$Z1517/$AA1517)</f>
        <v>0</v>
      </c>
      <c r="AC1517" s="16" t="n">
        <f aca="false">IFERROR(INDEX(SEMANAS!$K$6:$K$71,MATCH($B1517,SEMANAS!$B$6:$B$71,0)),0)</f>
        <v>147</v>
      </c>
      <c r="AD1517" s="19" t="n">
        <f aca="false">IF($AC1517&lt;=0,0,$AB1517/$AC1517)</f>
        <v>0</v>
      </c>
      <c r="AE1517" s="8" t="str">
        <f aca="false">IF($K1517="SEM CULTURA","SEM CULTURA",IF($AA1517&lt;=0,"DADO PENDENTE",IF($AD1517&gt;LIMITE_CRITICO,"INVIAVEL",IF($AD1517&gt;LIMITE_ATENCAO,"CRITICO",IF($AD1517&gt;LIMITE_CONFORTAVEL,"ATENCAO","OK")))))</f>
        <v>SEM CULTURA</v>
      </c>
      <c r="AF1517" s="8" t="str">
        <f aca="false">$B1517&amp;"|"&amp;TEXT($AD1517,"0.000000")</f>
        <v>60|0.000000</v>
      </c>
      <c r="AG1517" s="18" t="n">
        <f aca="false">IF($K1517="SEM CULTURA",0,$T1517*$H1517)</f>
        <v>0</v>
      </c>
      <c r="AH1517" s="18" t="n">
        <f aca="false">IF($K1517="SEM CULTURA",0,$V1517*$H1517)</f>
        <v>0</v>
      </c>
      <c r="AI1517" s="18" t="n">
        <f aca="false">IF($K1517="SEM CULTURA",0,$W1517*$H1517)</f>
        <v>0</v>
      </c>
      <c r="AJ1517" s="18" t="n">
        <f aca="false">IF($K1517="SEM CULTURA",0,$S1517*$H1517)</f>
        <v>0</v>
      </c>
      <c r="AK1517" s="8" t="str">
        <f aca="false">$E1517&amp;"|"&amp;TEXT($AD1517,"0.000000")</f>
        <v>PV 130|0.000000</v>
      </c>
    </row>
    <row r="1518" customFormat="false" ht="15" hidden="false" customHeight="false" outlineLevel="0" collapsed="false">
      <c r="B1518" s="16" t="n">
        <v>61</v>
      </c>
      <c r="C1518" s="17" t="n">
        <f aca="false">DATA_INICIO_SAFRA+($B1518-1)*DIAS_POR_SEMANA</f>
        <v>46685</v>
      </c>
      <c r="D1518" s="17" t="n">
        <f aca="false">$C1518+DIAS_POR_SEMANA-1</f>
        <v>46691</v>
      </c>
      <c r="E1518" s="15" t="s">
        <v>281</v>
      </c>
      <c r="F1518" s="8" t="str">
        <f aca="false">IFERROR(INDEX(CADASTRO_PIVOS!$C$6:$C$41,MATCH($E1518,CADASTRO_PIVOS!$B$6:$B$41,0)),"?")</f>
        <v>RM06</v>
      </c>
      <c r="G1518" s="8" t="str">
        <f aca="false">IFERROR(INDEX(CADASTRO_PIVOS!$D$6:$D$41,MATCH($E1518,CADASTRO_PIVOS!$B$6:$B$41,0)),"?")</f>
        <v>TR06</v>
      </c>
      <c r="H1518" s="20" t="n">
        <f aca="false">IFERROR(INDEX(CADASTRO_PIVOS!$E$6:$E$41,MATCH($E1518,CADASTRO_PIVOS!$B$6:$B$41,0)),0)</f>
        <v>149.94</v>
      </c>
      <c r="I1518" s="16" t="n">
        <f aca="false">IFERROR(SUMIFS(ROTACAO_RDM!$B$6:$B$71,ROTACAO_RDM!$D$6:$D$71,$E1518,ROTACAO_RDM!$I$6:$I$71,"&lt;="&amp;$C1518+INT(DIAS_POR_SEMANA/2),ROTACAO_RDM!$J$6:$J$71,"&gt;="&amp;$C1518+INT(DIAS_POR_SEMANA/2)),0)</f>
        <v>0</v>
      </c>
      <c r="J1518" s="16" t="n">
        <f aca="false">IFERROR(MATCH($I1518,ROTACAO_RDM!$B$6:$B$71,0),0)</f>
        <v>0</v>
      </c>
      <c r="K1518" s="8" t="str">
        <f aca="false">IF($J1518=0,"SEM CULTURA",INDEX(ROTACAO_RDM!$F$6:$F$71,$J1518))</f>
        <v>SEM CULTURA</v>
      </c>
      <c r="L1518" s="8" t="str">
        <f aca="false">IF($J1518=0,"",INDEX(ROTACAO_RDM!$G$6:$G$71,$J1518))</f>
        <v/>
      </c>
      <c r="M1518" s="17" t="str">
        <f aca="false">IF($J1518=0,"",INDEX(ROTACAO_RDM!$I$6:$I$71,$J1518))</f>
        <v/>
      </c>
      <c r="N1518" s="16" t="n">
        <f aca="false">IF($J1518=0,0,MAX(0,$C1518+INT(DIAS_POR_SEMANA/2)-INDEX(ROTACAO_RDM!$I$6:$I$71,$J1518)))</f>
        <v>0</v>
      </c>
      <c r="O1518" s="19" t="n">
        <f aca="false">IF($J1518=0,0,MIN(1,$N1518/MAX(1,INDEX(ROTACAO_RDM!$K$6:$K$71,$J1518))))</f>
        <v>0</v>
      </c>
      <c r="P1518" s="16" t="n">
        <f aca="false">IF($J1518=0,0,IFERROR(MATCH(INDEX(ROTACAO_RDM!$N$6:$N$71,$J1518),PARAMETROS_CULTURAS!$B$6:$B$28,0),0))</f>
        <v>0</v>
      </c>
      <c r="Q1518" s="8" t="str">
        <f aca="false">IF($P1518=0,"-",IF($O1518&lt;=INDEX(PARAMETROS_CULTURAS!$F$6:$F$28,$P1518),"INICIAL",IF($O1518&lt;=INDEX(PARAMETROS_CULTURAS!$F$6:$F$28,$P1518)+INDEX(PARAMETROS_CULTURAS!$G$6:$G$28,$P1518),"DESENVOLVIMENTO",IF($O1518&lt;=INDEX(PARAMETROS_CULTURAS!$F$6:$F$28,$P1518)+INDEX(PARAMETROS_CULTURAS!$G$6:$G$28,$P1518)+INDEX(PARAMETROS_CULTURAS!$H$6:$H$28,$P1518),"MEDIA","FINAL"))))</f>
        <v>-</v>
      </c>
      <c r="R1518" s="24" t="n">
        <f aca="false">IF($P1518=0,0,IF($O1518&lt;=INDEX(PARAMETROS_CULTURAS!$F$6:$F$28,$P1518),INDEX(PARAMETROS_CULTURAS!$K$6:$K$28,$P1518),IF($O1518&lt;=INDEX(PARAMETROS_CULTURAS!$F$6:$F$28,$P1518)+INDEX(PARAMETROS_CULTURAS!$G$6:$G$28,$P1518),INDEX(PARAMETROS_CULTURAS!$K$6:$K$28,$P1518)+(INDEX(PARAMETROS_CULTURAS!$L$6:$L$28,$P1518)-INDEX(PARAMETROS_CULTURAS!$K$6:$K$28,$P1518))*($O1518-INDEX(PARAMETROS_CULTURAS!$F$6:$F$28,$P1518))/MAX(INDEX(PARAMETROS_CULTURAS!$G$6:$G$28,$P1518),0.0001),IF($O1518&lt;=INDEX(PARAMETROS_CULTURAS!$F$6:$F$28,$P1518)+INDEX(PARAMETROS_CULTURAS!$G$6:$G$28,$P1518)+INDEX(PARAMETROS_CULTURAS!$H$6:$H$28,$P1518),INDEX(PARAMETROS_CULTURAS!$L$6:$L$28,$P1518),INDEX(PARAMETROS_CULTURAS!$L$6:$L$28,$P1518)+(INDEX(PARAMETROS_CULTURAS!$M$6:$M$28,$P1518)-INDEX(PARAMETROS_CULTURAS!$L$6:$L$28,$P1518))*($O1518-INDEX(PARAMETROS_CULTURAS!$F$6:$F$28,$P1518)-INDEX(PARAMETROS_CULTURAS!$G$6:$G$28,$P1518)-INDEX(PARAMETROS_CULTURAS!$H$6:$H$28,$P1518))/MAX(INDEX(PARAMETROS_CULTURAS!$I$6:$I$28,$P1518),0.0001)))))</f>
        <v>0</v>
      </c>
      <c r="S1518" s="18" t="n">
        <f aca="false">IFERROR(INDEX(SEMANAS!$H$6:$H$71,MATCH($B1518,SEMANAS!$B$6:$B$71,0)),0)</f>
        <v>39.2</v>
      </c>
      <c r="T1518" s="18" t="n">
        <f aca="false">$R1518*$S1518</f>
        <v>0</v>
      </c>
      <c r="U1518" s="18" t="n">
        <f aca="false">IFERROR(INDEX(SEMANAS!$I$6:$I$71,MATCH($B1518,SEMANAS!$B$6:$B$71,0)),0)</f>
        <v>27.09</v>
      </c>
      <c r="V1518" s="18" t="n">
        <f aca="false">IFERROR(INDEX(SEMANAS!$J$6:$J$71,MATCH($B1518,SEMANAS!$B$6:$B$71,0)),0)</f>
        <v>21.672</v>
      </c>
      <c r="W1518" s="18" t="n">
        <f aca="false">MAX(0,$T1518-$V1518)</f>
        <v>0</v>
      </c>
      <c r="X1518" s="19" t="n">
        <f aca="false">IFERROR(INDEX(CADASTRO_PIVOS!$K$6:$K$41,MATCH($E1518,CADASTRO_PIVOS!$B$6:$B$41,0)),EFICIENCIA_PADRAO)</f>
        <v>0.85</v>
      </c>
      <c r="Y1518" s="18" t="n">
        <f aca="false">IF($X1518&lt;=0,0,$W1518/$X1518)</f>
        <v>0</v>
      </c>
      <c r="Z1518" s="16" t="n">
        <f aca="false">$Y1518*$H1518*MM_PARA_M3_HA</f>
        <v>0</v>
      </c>
      <c r="AA1518" s="18" t="n">
        <f aca="false">IFERROR(INDEX(CADASTRO_PIVOS!$I$6:$I$41,MATCH($E1518,CADASTRO_PIVOS!$B$6:$B$41,0)),0)</f>
        <v>1071</v>
      </c>
      <c r="AB1518" s="18" t="n">
        <f aca="false">IF($Z1518&lt;=0,0,$Z1518/$AA1518)</f>
        <v>0</v>
      </c>
      <c r="AC1518" s="16" t="n">
        <f aca="false">IFERROR(INDEX(SEMANAS!$K$6:$K$71,MATCH($B1518,SEMANAS!$B$6:$B$71,0)),0)</f>
        <v>147</v>
      </c>
      <c r="AD1518" s="19" t="n">
        <f aca="false">IF($AC1518&lt;=0,0,$AB1518/$AC1518)</f>
        <v>0</v>
      </c>
      <c r="AE1518" s="8" t="str">
        <f aca="false">IF($K1518="SEM CULTURA","SEM CULTURA",IF($AA1518&lt;=0,"DADO PENDENTE",IF($AD1518&gt;LIMITE_CRITICO,"INVIAVEL",IF($AD1518&gt;LIMITE_ATENCAO,"CRITICO",IF($AD1518&gt;LIMITE_CONFORTAVEL,"ATENCAO","OK")))))</f>
        <v>SEM CULTURA</v>
      </c>
      <c r="AF1518" s="8" t="str">
        <f aca="false">$B1518&amp;"|"&amp;TEXT($AD1518,"0.000000")</f>
        <v>61|0.000000</v>
      </c>
      <c r="AG1518" s="18" t="n">
        <f aca="false">IF($K1518="SEM CULTURA",0,$T1518*$H1518)</f>
        <v>0</v>
      </c>
      <c r="AH1518" s="18" t="n">
        <f aca="false">IF($K1518="SEM CULTURA",0,$V1518*$H1518)</f>
        <v>0</v>
      </c>
      <c r="AI1518" s="18" t="n">
        <f aca="false">IF($K1518="SEM CULTURA",0,$W1518*$H1518)</f>
        <v>0</v>
      </c>
      <c r="AJ1518" s="18" t="n">
        <f aca="false">IF($K1518="SEM CULTURA",0,$S1518*$H1518)</f>
        <v>0</v>
      </c>
      <c r="AK1518" s="8" t="str">
        <f aca="false">$E1518&amp;"|"&amp;TEXT($AD1518,"0.000000")</f>
        <v>PV 130|0.000000</v>
      </c>
    </row>
    <row r="1519" customFormat="false" ht="15" hidden="false" customHeight="false" outlineLevel="0" collapsed="false">
      <c r="B1519" s="16" t="n">
        <v>62</v>
      </c>
      <c r="C1519" s="17" t="n">
        <f aca="false">DATA_INICIO_SAFRA+($B1519-1)*DIAS_POR_SEMANA</f>
        <v>46692</v>
      </c>
      <c r="D1519" s="17" t="n">
        <f aca="false">$C1519+DIAS_POR_SEMANA-1</f>
        <v>46698</v>
      </c>
      <c r="E1519" s="15" t="s">
        <v>281</v>
      </c>
      <c r="F1519" s="8" t="str">
        <f aca="false">IFERROR(INDEX(CADASTRO_PIVOS!$C$6:$C$41,MATCH($E1519,CADASTRO_PIVOS!$B$6:$B$41,0)),"?")</f>
        <v>RM06</v>
      </c>
      <c r="G1519" s="8" t="str">
        <f aca="false">IFERROR(INDEX(CADASTRO_PIVOS!$D$6:$D$41,MATCH($E1519,CADASTRO_PIVOS!$B$6:$B$41,0)),"?")</f>
        <v>TR06</v>
      </c>
      <c r="H1519" s="20" t="n">
        <f aca="false">IFERROR(INDEX(CADASTRO_PIVOS!$E$6:$E$41,MATCH($E1519,CADASTRO_PIVOS!$B$6:$B$41,0)),0)</f>
        <v>149.94</v>
      </c>
      <c r="I1519" s="16" t="n">
        <f aca="false">IFERROR(SUMIFS(ROTACAO_RDM!$B$6:$B$71,ROTACAO_RDM!$D$6:$D$71,$E1519,ROTACAO_RDM!$I$6:$I$71,"&lt;="&amp;$C1519+INT(DIAS_POR_SEMANA/2),ROTACAO_RDM!$J$6:$J$71,"&gt;="&amp;$C1519+INT(DIAS_POR_SEMANA/2)),0)</f>
        <v>0</v>
      </c>
      <c r="J1519" s="16" t="n">
        <f aca="false">IFERROR(MATCH($I1519,ROTACAO_RDM!$B$6:$B$71,0),0)</f>
        <v>0</v>
      </c>
      <c r="K1519" s="8" t="str">
        <f aca="false">IF($J1519=0,"SEM CULTURA",INDEX(ROTACAO_RDM!$F$6:$F$71,$J1519))</f>
        <v>SEM CULTURA</v>
      </c>
      <c r="L1519" s="8" t="str">
        <f aca="false">IF($J1519=0,"",INDEX(ROTACAO_RDM!$G$6:$G$71,$J1519))</f>
        <v/>
      </c>
      <c r="M1519" s="17" t="str">
        <f aca="false">IF($J1519=0,"",INDEX(ROTACAO_RDM!$I$6:$I$71,$J1519))</f>
        <v/>
      </c>
      <c r="N1519" s="16" t="n">
        <f aca="false">IF($J1519=0,0,MAX(0,$C1519+INT(DIAS_POR_SEMANA/2)-INDEX(ROTACAO_RDM!$I$6:$I$71,$J1519)))</f>
        <v>0</v>
      </c>
      <c r="O1519" s="19" t="n">
        <f aca="false">IF($J1519=0,0,MIN(1,$N1519/MAX(1,INDEX(ROTACAO_RDM!$K$6:$K$71,$J1519))))</f>
        <v>0</v>
      </c>
      <c r="P1519" s="16" t="n">
        <f aca="false">IF($J1519=0,0,IFERROR(MATCH(INDEX(ROTACAO_RDM!$N$6:$N$71,$J1519),PARAMETROS_CULTURAS!$B$6:$B$28,0),0))</f>
        <v>0</v>
      </c>
      <c r="Q1519" s="8" t="str">
        <f aca="false">IF($P1519=0,"-",IF($O1519&lt;=INDEX(PARAMETROS_CULTURAS!$F$6:$F$28,$P1519),"INICIAL",IF($O1519&lt;=INDEX(PARAMETROS_CULTURAS!$F$6:$F$28,$P1519)+INDEX(PARAMETROS_CULTURAS!$G$6:$G$28,$P1519),"DESENVOLVIMENTO",IF($O1519&lt;=INDEX(PARAMETROS_CULTURAS!$F$6:$F$28,$P1519)+INDEX(PARAMETROS_CULTURAS!$G$6:$G$28,$P1519)+INDEX(PARAMETROS_CULTURAS!$H$6:$H$28,$P1519),"MEDIA","FINAL"))))</f>
        <v>-</v>
      </c>
      <c r="R1519" s="24" t="n">
        <f aca="false">IF($P1519=0,0,IF($O1519&lt;=INDEX(PARAMETROS_CULTURAS!$F$6:$F$28,$P1519),INDEX(PARAMETROS_CULTURAS!$K$6:$K$28,$P1519),IF($O1519&lt;=INDEX(PARAMETROS_CULTURAS!$F$6:$F$28,$P1519)+INDEX(PARAMETROS_CULTURAS!$G$6:$G$28,$P1519),INDEX(PARAMETROS_CULTURAS!$K$6:$K$28,$P1519)+(INDEX(PARAMETROS_CULTURAS!$L$6:$L$28,$P1519)-INDEX(PARAMETROS_CULTURAS!$K$6:$K$28,$P1519))*($O1519-INDEX(PARAMETROS_CULTURAS!$F$6:$F$28,$P1519))/MAX(INDEX(PARAMETROS_CULTURAS!$G$6:$G$28,$P1519),0.0001),IF($O1519&lt;=INDEX(PARAMETROS_CULTURAS!$F$6:$F$28,$P1519)+INDEX(PARAMETROS_CULTURAS!$G$6:$G$28,$P1519)+INDEX(PARAMETROS_CULTURAS!$H$6:$H$28,$P1519),INDEX(PARAMETROS_CULTURAS!$L$6:$L$28,$P1519),INDEX(PARAMETROS_CULTURAS!$L$6:$L$28,$P1519)+(INDEX(PARAMETROS_CULTURAS!$M$6:$M$28,$P1519)-INDEX(PARAMETROS_CULTURAS!$L$6:$L$28,$P1519))*($O1519-INDEX(PARAMETROS_CULTURAS!$F$6:$F$28,$P1519)-INDEX(PARAMETROS_CULTURAS!$G$6:$G$28,$P1519)-INDEX(PARAMETROS_CULTURAS!$H$6:$H$28,$P1519))/MAX(INDEX(PARAMETROS_CULTURAS!$I$6:$I$28,$P1519),0.0001)))))</f>
        <v>0</v>
      </c>
      <c r="S1519" s="18" t="n">
        <f aca="false">IFERROR(INDEX(SEMANAS!$H$6:$H$71,MATCH($B1519,SEMANAS!$B$6:$B$71,0)),0)</f>
        <v>34.3</v>
      </c>
      <c r="T1519" s="18" t="n">
        <f aca="false">$R1519*$S1519</f>
        <v>0</v>
      </c>
      <c r="U1519" s="18" t="n">
        <f aca="false">IFERROR(INDEX(SEMANAS!$I$6:$I$71,MATCH($B1519,SEMANAS!$B$6:$B$71,0)),0)</f>
        <v>46.69</v>
      </c>
      <c r="V1519" s="18" t="n">
        <f aca="false">IFERROR(INDEX(SEMANAS!$J$6:$J$71,MATCH($B1519,SEMANAS!$B$6:$B$71,0)),0)</f>
        <v>37.352</v>
      </c>
      <c r="W1519" s="18" t="n">
        <f aca="false">MAX(0,$T1519-$V1519)</f>
        <v>0</v>
      </c>
      <c r="X1519" s="19" t="n">
        <f aca="false">IFERROR(INDEX(CADASTRO_PIVOS!$K$6:$K$41,MATCH($E1519,CADASTRO_PIVOS!$B$6:$B$41,0)),EFICIENCIA_PADRAO)</f>
        <v>0.85</v>
      </c>
      <c r="Y1519" s="18" t="n">
        <f aca="false">IF($X1519&lt;=0,0,$W1519/$X1519)</f>
        <v>0</v>
      </c>
      <c r="Z1519" s="16" t="n">
        <f aca="false">$Y1519*$H1519*MM_PARA_M3_HA</f>
        <v>0</v>
      </c>
      <c r="AA1519" s="18" t="n">
        <f aca="false">IFERROR(INDEX(CADASTRO_PIVOS!$I$6:$I$41,MATCH($E1519,CADASTRO_PIVOS!$B$6:$B$41,0)),0)</f>
        <v>1071</v>
      </c>
      <c r="AB1519" s="18" t="n">
        <f aca="false">IF($Z1519&lt;=0,0,$Z1519/$AA1519)</f>
        <v>0</v>
      </c>
      <c r="AC1519" s="16" t="n">
        <f aca="false">IFERROR(INDEX(SEMANAS!$K$6:$K$71,MATCH($B1519,SEMANAS!$B$6:$B$71,0)),0)</f>
        <v>147</v>
      </c>
      <c r="AD1519" s="19" t="n">
        <f aca="false">IF($AC1519&lt;=0,0,$AB1519/$AC1519)</f>
        <v>0</v>
      </c>
      <c r="AE1519" s="8" t="str">
        <f aca="false">IF($K1519="SEM CULTURA","SEM CULTURA",IF($AA1519&lt;=0,"DADO PENDENTE",IF($AD1519&gt;LIMITE_CRITICO,"INVIAVEL",IF($AD1519&gt;LIMITE_ATENCAO,"CRITICO",IF($AD1519&gt;LIMITE_CONFORTAVEL,"ATENCAO","OK")))))</f>
        <v>SEM CULTURA</v>
      </c>
      <c r="AF1519" s="8" t="str">
        <f aca="false">$B1519&amp;"|"&amp;TEXT($AD1519,"0.000000")</f>
        <v>62|0.000000</v>
      </c>
      <c r="AG1519" s="18" t="n">
        <f aca="false">IF($K1519="SEM CULTURA",0,$T1519*$H1519)</f>
        <v>0</v>
      </c>
      <c r="AH1519" s="18" t="n">
        <f aca="false">IF($K1519="SEM CULTURA",0,$V1519*$H1519)</f>
        <v>0</v>
      </c>
      <c r="AI1519" s="18" t="n">
        <f aca="false">IF($K1519="SEM CULTURA",0,$W1519*$H1519)</f>
        <v>0</v>
      </c>
      <c r="AJ1519" s="18" t="n">
        <f aca="false">IF($K1519="SEM CULTURA",0,$S1519*$H1519)</f>
        <v>0</v>
      </c>
      <c r="AK1519" s="8" t="str">
        <f aca="false">$E1519&amp;"|"&amp;TEXT($AD1519,"0.000000")</f>
        <v>PV 130|0.000000</v>
      </c>
    </row>
    <row r="1520" customFormat="false" ht="15" hidden="false" customHeight="false" outlineLevel="0" collapsed="false">
      <c r="B1520" s="16" t="n">
        <v>63</v>
      </c>
      <c r="C1520" s="17" t="n">
        <f aca="false">DATA_INICIO_SAFRA+($B1520-1)*DIAS_POR_SEMANA</f>
        <v>46699</v>
      </c>
      <c r="D1520" s="17" t="n">
        <f aca="false">$C1520+DIAS_POR_SEMANA-1</f>
        <v>46705</v>
      </c>
      <c r="E1520" s="15" t="s">
        <v>281</v>
      </c>
      <c r="F1520" s="8" t="str">
        <f aca="false">IFERROR(INDEX(CADASTRO_PIVOS!$C$6:$C$41,MATCH($E1520,CADASTRO_PIVOS!$B$6:$B$41,0)),"?")</f>
        <v>RM06</v>
      </c>
      <c r="G1520" s="8" t="str">
        <f aca="false">IFERROR(INDEX(CADASTRO_PIVOS!$D$6:$D$41,MATCH($E1520,CADASTRO_PIVOS!$B$6:$B$41,0)),"?")</f>
        <v>TR06</v>
      </c>
      <c r="H1520" s="20" t="n">
        <f aca="false">IFERROR(INDEX(CADASTRO_PIVOS!$E$6:$E$41,MATCH($E1520,CADASTRO_PIVOS!$B$6:$B$41,0)),0)</f>
        <v>149.94</v>
      </c>
      <c r="I1520" s="16" t="n">
        <f aca="false">IFERROR(SUMIFS(ROTACAO_RDM!$B$6:$B$71,ROTACAO_RDM!$D$6:$D$71,$E1520,ROTACAO_RDM!$I$6:$I$71,"&lt;="&amp;$C1520+INT(DIAS_POR_SEMANA/2),ROTACAO_RDM!$J$6:$J$71,"&gt;="&amp;$C1520+INT(DIAS_POR_SEMANA/2)),0)</f>
        <v>0</v>
      </c>
      <c r="J1520" s="16" t="n">
        <f aca="false">IFERROR(MATCH($I1520,ROTACAO_RDM!$B$6:$B$71,0),0)</f>
        <v>0</v>
      </c>
      <c r="K1520" s="8" t="str">
        <f aca="false">IF($J1520=0,"SEM CULTURA",INDEX(ROTACAO_RDM!$F$6:$F$71,$J1520))</f>
        <v>SEM CULTURA</v>
      </c>
      <c r="L1520" s="8" t="str">
        <f aca="false">IF($J1520=0,"",INDEX(ROTACAO_RDM!$G$6:$G$71,$J1520))</f>
        <v/>
      </c>
      <c r="M1520" s="17" t="str">
        <f aca="false">IF($J1520=0,"",INDEX(ROTACAO_RDM!$I$6:$I$71,$J1520))</f>
        <v/>
      </c>
      <c r="N1520" s="16" t="n">
        <f aca="false">IF($J1520=0,0,MAX(0,$C1520+INT(DIAS_POR_SEMANA/2)-INDEX(ROTACAO_RDM!$I$6:$I$71,$J1520)))</f>
        <v>0</v>
      </c>
      <c r="O1520" s="19" t="n">
        <f aca="false">IF($J1520=0,0,MIN(1,$N1520/MAX(1,INDEX(ROTACAO_RDM!$K$6:$K$71,$J1520))))</f>
        <v>0</v>
      </c>
      <c r="P1520" s="16" t="n">
        <f aca="false">IF($J1520=0,0,IFERROR(MATCH(INDEX(ROTACAO_RDM!$N$6:$N$71,$J1520),PARAMETROS_CULTURAS!$B$6:$B$28,0),0))</f>
        <v>0</v>
      </c>
      <c r="Q1520" s="8" t="str">
        <f aca="false">IF($P1520=0,"-",IF($O1520&lt;=INDEX(PARAMETROS_CULTURAS!$F$6:$F$28,$P1520),"INICIAL",IF($O1520&lt;=INDEX(PARAMETROS_CULTURAS!$F$6:$F$28,$P1520)+INDEX(PARAMETROS_CULTURAS!$G$6:$G$28,$P1520),"DESENVOLVIMENTO",IF($O1520&lt;=INDEX(PARAMETROS_CULTURAS!$F$6:$F$28,$P1520)+INDEX(PARAMETROS_CULTURAS!$G$6:$G$28,$P1520)+INDEX(PARAMETROS_CULTURAS!$H$6:$H$28,$P1520),"MEDIA","FINAL"))))</f>
        <v>-</v>
      </c>
      <c r="R1520" s="24" t="n">
        <f aca="false">IF($P1520=0,0,IF($O1520&lt;=INDEX(PARAMETROS_CULTURAS!$F$6:$F$28,$P1520),INDEX(PARAMETROS_CULTURAS!$K$6:$K$28,$P1520),IF($O1520&lt;=INDEX(PARAMETROS_CULTURAS!$F$6:$F$28,$P1520)+INDEX(PARAMETROS_CULTURAS!$G$6:$G$28,$P1520),INDEX(PARAMETROS_CULTURAS!$K$6:$K$28,$P1520)+(INDEX(PARAMETROS_CULTURAS!$L$6:$L$28,$P1520)-INDEX(PARAMETROS_CULTURAS!$K$6:$K$28,$P1520))*($O1520-INDEX(PARAMETROS_CULTURAS!$F$6:$F$28,$P1520))/MAX(INDEX(PARAMETROS_CULTURAS!$G$6:$G$28,$P1520),0.0001),IF($O1520&lt;=INDEX(PARAMETROS_CULTURAS!$F$6:$F$28,$P1520)+INDEX(PARAMETROS_CULTURAS!$G$6:$G$28,$P1520)+INDEX(PARAMETROS_CULTURAS!$H$6:$H$28,$P1520),INDEX(PARAMETROS_CULTURAS!$L$6:$L$28,$P1520),INDEX(PARAMETROS_CULTURAS!$L$6:$L$28,$P1520)+(INDEX(PARAMETROS_CULTURAS!$M$6:$M$28,$P1520)-INDEX(PARAMETROS_CULTURAS!$L$6:$L$28,$P1520))*($O1520-INDEX(PARAMETROS_CULTURAS!$F$6:$F$28,$P1520)-INDEX(PARAMETROS_CULTURAS!$G$6:$G$28,$P1520)-INDEX(PARAMETROS_CULTURAS!$H$6:$H$28,$P1520))/MAX(INDEX(PARAMETROS_CULTURAS!$I$6:$I$28,$P1520),0.0001)))))</f>
        <v>0</v>
      </c>
      <c r="S1520" s="18" t="n">
        <f aca="false">IFERROR(INDEX(SEMANAS!$H$6:$H$71,MATCH($B1520,SEMANAS!$B$6:$B$71,0)),0)</f>
        <v>34.3</v>
      </c>
      <c r="T1520" s="18" t="n">
        <f aca="false">$R1520*$S1520</f>
        <v>0</v>
      </c>
      <c r="U1520" s="18" t="n">
        <f aca="false">IFERROR(INDEX(SEMANAS!$I$6:$I$71,MATCH($B1520,SEMANAS!$B$6:$B$71,0)),0)</f>
        <v>46.69</v>
      </c>
      <c r="V1520" s="18" t="n">
        <f aca="false">IFERROR(INDEX(SEMANAS!$J$6:$J$71,MATCH($B1520,SEMANAS!$B$6:$B$71,0)),0)</f>
        <v>37.352</v>
      </c>
      <c r="W1520" s="18" t="n">
        <f aca="false">MAX(0,$T1520-$V1520)</f>
        <v>0</v>
      </c>
      <c r="X1520" s="19" t="n">
        <f aca="false">IFERROR(INDEX(CADASTRO_PIVOS!$K$6:$K$41,MATCH($E1520,CADASTRO_PIVOS!$B$6:$B$41,0)),EFICIENCIA_PADRAO)</f>
        <v>0.85</v>
      </c>
      <c r="Y1520" s="18" t="n">
        <f aca="false">IF($X1520&lt;=0,0,$W1520/$X1520)</f>
        <v>0</v>
      </c>
      <c r="Z1520" s="16" t="n">
        <f aca="false">$Y1520*$H1520*MM_PARA_M3_HA</f>
        <v>0</v>
      </c>
      <c r="AA1520" s="18" t="n">
        <f aca="false">IFERROR(INDEX(CADASTRO_PIVOS!$I$6:$I$41,MATCH($E1520,CADASTRO_PIVOS!$B$6:$B$41,0)),0)</f>
        <v>1071</v>
      </c>
      <c r="AB1520" s="18" t="n">
        <f aca="false">IF($Z1520&lt;=0,0,$Z1520/$AA1520)</f>
        <v>0</v>
      </c>
      <c r="AC1520" s="16" t="n">
        <f aca="false">IFERROR(INDEX(SEMANAS!$K$6:$K$71,MATCH($B1520,SEMANAS!$B$6:$B$71,0)),0)</f>
        <v>147</v>
      </c>
      <c r="AD1520" s="19" t="n">
        <f aca="false">IF($AC1520&lt;=0,0,$AB1520/$AC1520)</f>
        <v>0</v>
      </c>
      <c r="AE1520" s="8" t="str">
        <f aca="false">IF($K1520="SEM CULTURA","SEM CULTURA",IF($AA1520&lt;=0,"DADO PENDENTE",IF($AD1520&gt;LIMITE_CRITICO,"INVIAVEL",IF($AD1520&gt;LIMITE_ATENCAO,"CRITICO",IF($AD1520&gt;LIMITE_CONFORTAVEL,"ATENCAO","OK")))))</f>
        <v>SEM CULTURA</v>
      </c>
      <c r="AF1520" s="8" t="str">
        <f aca="false">$B1520&amp;"|"&amp;TEXT($AD1520,"0.000000")</f>
        <v>63|0.000000</v>
      </c>
      <c r="AG1520" s="18" t="n">
        <f aca="false">IF($K1520="SEM CULTURA",0,$T1520*$H1520)</f>
        <v>0</v>
      </c>
      <c r="AH1520" s="18" t="n">
        <f aca="false">IF($K1520="SEM CULTURA",0,$V1520*$H1520)</f>
        <v>0</v>
      </c>
      <c r="AI1520" s="18" t="n">
        <f aca="false">IF($K1520="SEM CULTURA",0,$W1520*$H1520)</f>
        <v>0</v>
      </c>
      <c r="AJ1520" s="18" t="n">
        <f aca="false">IF($K1520="SEM CULTURA",0,$S1520*$H1520)</f>
        <v>0</v>
      </c>
      <c r="AK1520" s="8" t="str">
        <f aca="false">$E1520&amp;"|"&amp;TEXT($AD1520,"0.000000")</f>
        <v>PV 130|0.000000</v>
      </c>
    </row>
    <row r="1521" customFormat="false" ht="15" hidden="false" customHeight="false" outlineLevel="0" collapsed="false">
      <c r="B1521" s="16" t="n">
        <v>64</v>
      </c>
      <c r="C1521" s="17" t="n">
        <f aca="false">DATA_INICIO_SAFRA+($B1521-1)*DIAS_POR_SEMANA</f>
        <v>46706</v>
      </c>
      <c r="D1521" s="17" t="n">
        <f aca="false">$C1521+DIAS_POR_SEMANA-1</f>
        <v>46712</v>
      </c>
      <c r="E1521" s="15" t="s">
        <v>281</v>
      </c>
      <c r="F1521" s="8" t="str">
        <f aca="false">IFERROR(INDEX(CADASTRO_PIVOS!$C$6:$C$41,MATCH($E1521,CADASTRO_PIVOS!$B$6:$B$41,0)),"?")</f>
        <v>RM06</v>
      </c>
      <c r="G1521" s="8" t="str">
        <f aca="false">IFERROR(INDEX(CADASTRO_PIVOS!$D$6:$D$41,MATCH($E1521,CADASTRO_PIVOS!$B$6:$B$41,0)),"?")</f>
        <v>TR06</v>
      </c>
      <c r="H1521" s="20" t="n">
        <f aca="false">IFERROR(INDEX(CADASTRO_PIVOS!$E$6:$E$41,MATCH($E1521,CADASTRO_PIVOS!$B$6:$B$41,0)),0)</f>
        <v>149.94</v>
      </c>
      <c r="I1521" s="16" t="n">
        <f aca="false">IFERROR(SUMIFS(ROTACAO_RDM!$B$6:$B$71,ROTACAO_RDM!$D$6:$D$71,$E1521,ROTACAO_RDM!$I$6:$I$71,"&lt;="&amp;$C1521+INT(DIAS_POR_SEMANA/2),ROTACAO_RDM!$J$6:$J$71,"&gt;="&amp;$C1521+INT(DIAS_POR_SEMANA/2)),0)</f>
        <v>0</v>
      </c>
      <c r="J1521" s="16" t="n">
        <f aca="false">IFERROR(MATCH($I1521,ROTACAO_RDM!$B$6:$B$71,0),0)</f>
        <v>0</v>
      </c>
      <c r="K1521" s="8" t="str">
        <f aca="false">IF($J1521=0,"SEM CULTURA",INDEX(ROTACAO_RDM!$F$6:$F$71,$J1521))</f>
        <v>SEM CULTURA</v>
      </c>
      <c r="L1521" s="8" t="str">
        <f aca="false">IF($J1521=0,"",INDEX(ROTACAO_RDM!$G$6:$G$71,$J1521))</f>
        <v/>
      </c>
      <c r="M1521" s="17" t="str">
        <f aca="false">IF($J1521=0,"",INDEX(ROTACAO_RDM!$I$6:$I$71,$J1521))</f>
        <v/>
      </c>
      <c r="N1521" s="16" t="n">
        <f aca="false">IF($J1521=0,0,MAX(0,$C1521+INT(DIAS_POR_SEMANA/2)-INDEX(ROTACAO_RDM!$I$6:$I$71,$J1521)))</f>
        <v>0</v>
      </c>
      <c r="O1521" s="19" t="n">
        <f aca="false">IF($J1521=0,0,MIN(1,$N1521/MAX(1,INDEX(ROTACAO_RDM!$K$6:$K$71,$J1521))))</f>
        <v>0</v>
      </c>
      <c r="P1521" s="16" t="n">
        <f aca="false">IF($J1521=0,0,IFERROR(MATCH(INDEX(ROTACAO_RDM!$N$6:$N$71,$J1521),PARAMETROS_CULTURAS!$B$6:$B$28,0),0))</f>
        <v>0</v>
      </c>
      <c r="Q1521" s="8" t="str">
        <f aca="false">IF($P1521=0,"-",IF($O1521&lt;=INDEX(PARAMETROS_CULTURAS!$F$6:$F$28,$P1521),"INICIAL",IF($O1521&lt;=INDEX(PARAMETROS_CULTURAS!$F$6:$F$28,$P1521)+INDEX(PARAMETROS_CULTURAS!$G$6:$G$28,$P1521),"DESENVOLVIMENTO",IF($O1521&lt;=INDEX(PARAMETROS_CULTURAS!$F$6:$F$28,$P1521)+INDEX(PARAMETROS_CULTURAS!$G$6:$G$28,$P1521)+INDEX(PARAMETROS_CULTURAS!$H$6:$H$28,$P1521),"MEDIA","FINAL"))))</f>
        <v>-</v>
      </c>
      <c r="R1521" s="24" t="n">
        <f aca="false">IF($P1521=0,0,IF($O1521&lt;=INDEX(PARAMETROS_CULTURAS!$F$6:$F$28,$P1521),INDEX(PARAMETROS_CULTURAS!$K$6:$K$28,$P1521),IF($O1521&lt;=INDEX(PARAMETROS_CULTURAS!$F$6:$F$28,$P1521)+INDEX(PARAMETROS_CULTURAS!$G$6:$G$28,$P1521),INDEX(PARAMETROS_CULTURAS!$K$6:$K$28,$P1521)+(INDEX(PARAMETROS_CULTURAS!$L$6:$L$28,$P1521)-INDEX(PARAMETROS_CULTURAS!$K$6:$K$28,$P1521))*($O1521-INDEX(PARAMETROS_CULTURAS!$F$6:$F$28,$P1521))/MAX(INDEX(PARAMETROS_CULTURAS!$G$6:$G$28,$P1521),0.0001),IF($O1521&lt;=INDEX(PARAMETROS_CULTURAS!$F$6:$F$28,$P1521)+INDEX(PARAMETROS_CULTURAS!$G$6:$G$28,$P1521)+INDEX(PARAMETROS_CULTURAS!$H$6:$H$28,$P1521),INDEX(PARAMETROS_CULTURAS!$L$6:$L$28,$P1521),INDEX(PARAMETROS_CULTURAS!$L$6:$L$28,$P1521)+(INDEX(PARAMETROS_CULTURAS!$M$6:$M$28,$P1521)-INDEX(PARAMETROS_CULTURAS!$L$6:$L$28,$P1521))*($O1521-INDEX(PARAMETROS_CULTURAS!$F$6:$F$28,$P1521)-INDEX(PARAMETROS_CULTURAS!$G$6:$G$28,$P1521)-INDEX(PARAMETROS_CULTURAS!$H$6:$H$28,$P1521))/MAX(INDEX(PARAMETROS_CULTURAS!$I$6:$I$28,$P1521),0.0001)))))</f>
        <v>0</v>
      </c>
      <c r="S1521" s="18" t="n">
        <f aca="false">IFERROR(INDEX(SEMANAS!$H$6:$H$71,MATCH($B1521,SEMANAS!$B$6:$B$71,0)),0)</f>
        <v>34.3</v>
      </c>
      <c r="T1521" s="18" t="n">
        <f aca="false">$R1521*$S1521</f>
        <v>0</v>
      </c>
      <c r="U1521" s="18" t="n">
        <f aca="false">IFERROR(INDEX(SEMANAS!$I$6:$I$71,MATCH($B1521,SEMANAS!$B$6:$B$71,0)),0)</f>
        <v>46.69</v>
      </c>
      <c r="V1521" s="18" t="n">
        <f aca="false">IFERROR(INDEX(SEMANAS!$J$6:$J$71,MATCH($B1521,SEMANAS!$B$6:$B$71,0)),0)</f>
        <v>37.352</v>
      </c>
      <c r="W1521" s="18" t="n">
        <f aca="false">MAX(0,$T1521-$V1521)</f>
        <v>0</v>
      </c>
      <c r="X1521" s="19" t="n">
        <f aca="false">IFERROR(INDEX(CADASTRO_PIVOS!$K$6:$K$41,MATCH($E1521,CADASTRO_PIVOS!$B$6:$B$41,0)),EFICIENCIA_PADRAO)</f>
        <v>0.85</v>
      </c>
      <c r="Y1521" s="18" t="n">
        <f aca="false">IF($X1521&lt;=0,0,$W1521/$X1521)</f>
        <v>0</v>
      </c>
      <c r="Z1521" s="16" t="n">
        <f aca="false">$Y1521*$H1521*MM_PARA_M3_HA</f>
        <v>0</v>
      </c>
      <c r="AA1521" s="18" t="n">
        <f aca="false">IFERROR(INDEX(CADASTRO_PIVOS!$I$6:$I$41,MATCH($E1521,CADASTRO_PIVOS!$B$6:$B$41,0)),0)</f>
        <v>1071</v>
      </c>
      <c r="AB1521" s="18" t="n">
        <f aca="false">IF($Z1521&lt;=0,0,$Z1521/$AA1521)</f>
        <v>0</v>
      </c>
      <c r="AC1521" s="16" t="n">
        <f aca="false">IFERROR(INDEX(SEMANAS!$K$6:$K$71,MATCH($B1521,SEMANAS!$B$6:$B$71,0)),0)</f>
        <v>147</v>
      </c>
      <c r="AD1521" s="19" t="n">
        <f aca="false">IF($AC1521&lt;=0,0,$AB1521/$AC1521)</f>
        <v>0</v>
      </c>
      <c r="AE1521" s="8" t="str">
        <f aca="false">IF($K1521="SEM CULTURA","SEM CULTURA",IF($AA1521&lt;=0,"DADO PENDENTE",IF($AD1521&gt;LIMITE_CRITICO,"INVIAVEL",IF($AD1521&gt;LIMITE_ATENCAO,"CRITICO",IF($AD1521&gt;LIMITE_CONFORTAVEL,"ATENCAO","OK")))))</f>
        <v>SEM CULTURA</v>
      </c>
      <c r="AF1521" s="8" t="str">
        <f aca="false">$B1521&amp;"|"&amp;TEXT($AD1521,"0.000000")</f>
        <v>64|0.000000</v>
      </c>
      <c r="AG1521" s="18" t="n">
        <f aca="false">IF($K1521="SEM CULTURA",0,$T1521*$H1521)</f>
        <v>0</v>
      </c>
      <c r="AH1521" s="18" t="n">
        <f aca="false">IF($K1521="SEM CULTURA",0,$V1521*$H1521)</f>
        <v>0</v>
      </c>
      <c r="AI1521" s="18" t="n">
        <f aca="false">IF($K1521="SEM CULTURA",0,$W1521*$H1521)</f>
        <v>0</v>
      </c>
      <c r="AJ1521" s="18" t="n">
        <f aca="false">IF($K1521="SEM CULTURA",0,$S1521*$H1521)</f>
        <v>0</v>
      </c>
      <c r="AK1521" s="8" t="str">
        <f aca="false">$E1521&amp;"|"&amp;TEXT($AD1521,"0.000000")</f>
        <v>PV 130|0.000000</v>
      </c>
    </row>
    <row r="1522" customFormat="false" ht="15" hidden="false" customHeight="false" outlineLevel="0" collapsed="false">
      <c r="B1522" s="16" t="n">
        <v>65</v>
      </c>
      <c r="C1522" s="17" t="n">
        <f aca="false">DATA_INICIO_SAFRA+($B1522-1)*DIAS_POR_SEMANA</f>
        <v>46713</v>
      </c>
      <c r="D1522" s="17" t="n">
        <f aca="false">$C1522+DIAS_POR_SEMANA-1</f>
        <v>46719</v>
      </c>
      <c r="E1522" s="15" t="s">
        <v>281</v>
      </c>
      <c r="F1522" s="8" t="str">
        <f aca="false">IFERROR(INDEX(CADASTRO_PIVOS!$C$6:$C$41,MATCH($E1522,CADASTRO_PIVOS!$B$6:$B$41,0)),"?")</f>
        <v>RM06</v>
      </c>
      <c r="G1522" s="8" t="str">
        <f aca="false">IFERROR(INDEX(CADASTRO_PIVOS!$D$6:$D$41,MATCH($E1522,CADASTRO_PIVOS!$B$6:$B$41,0)),"?")</f>
        <v>TR06</v>
      </c>
      <c r="H1522" s="20" t="n">
        <f aca="false">IFERROR(INDEX(CADASTRO_PIVOS!$E$6:$E$41,MATCH($E1522,CADASTRO_PIVOS!$B$6:$B$41,0)),0)</f>
        <v>149.94</v>
      </c>
      <c r="I1522" s="16" t="n">
        <f aca="false">IFERROR(SUMIFS(ROTACAO_RDM!$B$6:$B$71,ROTACAO_RDM!$D$6:$D$71,$E1522,ROTACAO_RDM!$I$6:$I$71,"&lt;="&amp;$C1522+INT(DIAS_POR_SEMANA/2),ROTACAO_RDM!$J$6:$J$71,"&gt;="&amp;$C1522+INT(DIAS_POR_SEMANA/2)),0)</f>
        <v>0</v>
      </c>
      <c r="J1522" s="16" t="n">
        <f aca="false">IFERROR(MATCH($I1522,ROTACAO_RDM!$B$6:$B$71,0),0)</f>
        <v>0</v>
      </c>
      <c r="K1522" s="8" t="str">
        <f aca="false">IF($J1522=0,"SEM CULTURA",INDEX(ROTACAO_RDM!$F$6:$F$71,$J1522))</f>
        <v>SEM CULTURA</v>
      </c>
      <c r="L1522" s="8" t="str">
        <f aca="false">IF($J1522=0,"",INDEX(ROTACAO_RDM!$G$6:$G$71,$J1522))</f>
        <v/>
      </c>
      <c r="M1522" s="17" t="str">
        <f aca="false">IF($J1522=0,"",INDEX(ROTACAO_RDM!$I$6:$I$71,$J1522))</f>
        <v/>
      </c>
      <c r="N1522" s="16" t="n">
        <f aca="false">IF($J1522=0,0,MAX(0,$C1522+INT(DIAS_POR_SEMANA/2)-INDEX(ROTACAO_RDM!$I$6:$I$71,$J1522)))</f>
        <v>0</v>
      </c>
      <c r="O1522" s="19" t="n">
        <f aca="false">IF($J1522=0,0,MIN(1,$N1522/MAX(1,INDEX(ROTACAO_RDM!$K$6:$K$71,$J1522))))</f>
        <v>0</v>
      </c>
      <c r="P1522" s="16" t="n">
        <f aca="false">IF($J1522=0,0,IFERROR(MATCH(INDEX(ROTACAO_RDM!$N$6:$N$71,$J1522),PARAMETROS_CULTURAS!$B$6:$B$28,0),0))</f>
        <v>0</v>
      </c>
      <c r="Q1522" s="8" t="str">
        <f aca="false">IF($P1522=0,"-",IF($O1522&lt;=INDEX(PARAMETROS_CULTURAS!$F$6:$F$28,$P1522),"INICIAL",IF($O1522&lt;=INDEX(PARAMETROS_CULTURAS!$F$6:$F$28,$P1522)+INDEX(PARAMETROS_CULTURAS!$G$6:$G$28,$P1522),"DESENVOLVIMENTO",IF($O1522&lt;=INDEX(PARAMETROS_CULTURAS!$F$6:$F$28,$P1522)+INDEX(PARAMETROS_CULTURAS!$G$6:$G$28,$P1522)+INDEX(PARAMETROS_CULTURAS!$H$6:$H$28,$P1522),"MEDIA","FINAL"))))</f>
        <v>-</v>
      </c>
      <c r="R1522" s="24" t="n">
        <f aca="false">IF($P1522=0,0,IF($O1522&lt;=INDEX(PARAMETROS_CULTURAS!$F$6:$F$28,$P1522),INDEX(PARAMETROS_CULTURAS!$K$6:$K$28,$P1522),IF($O1522&lt;=INDEX(PARAMETROS_CULTURAS!$F$6:$F$28,$P1522)+INDEX(PARAMETROS_CULTURAS!$G$6:$G$28,$P1522),INDEX(PARAMETROS_CULTURAS!$K$6:$K$28,$P1522)+(INDEX(PARAMETROS_CULTURAS!$L$6:$L$28,$P1522)-INDEX(PARAMETROS_CULTURAS!$K$6:$K$28,$P1522))*($O1522-INDEX(PARAMETROS_CULTURAS!$F$6:$F$28,$P1522))/MAX(INDEX(PARAMETROS_CULTURAS!$G$6:$G$28,$P1522),0.0001),IF($O1522&lt;=INDEX(PARAMETROS_CULTURAS!$F$6:$F$28,$P1522)+INDEX(PARAMETROS_CULTURAS!$G$6:$G$28,$P1522)+INDEX(PARAMETROS_CULTURAS!$H$6:$H$28,$P1522),INDEX(PARAMETROS_CULTURAS!$L$6:$L$28,$P1522),INDEX(PARAMETROS_CULTURAS!$L$6:$L$28,$P1522)+(INDEX(PARAMETROS_CULTURAS!$M$6:$M$28,$P1522)-INDEX(PARAMETROS_CULTURAS!$L$6:$L$28,$P1522))*($O1522-INDEX(PARAMETROS_CULTURAS!$F$6:$F$28,$P1522)-INDEX(PARAMETROS_CULTURAS!$G$6:$G$28,$P1522)-INDEX(PARAMETROS_CULTURAS!$H$6:$H$28,$P1522))/MAX(INDEX(PARAMETROS_CULTURAS!$I$6:$I$28,$P1522),0.0001)))))</f>
        <v>0</v>
      </c>
      <c r="S1522" s="18" t="n">
        <f aca="false">IFERROR(INDEX(SEMANAS!$H$6:$H$71,MATCH($B1522,SEMANAS!$B$6:$B$71,0)),0)</f>
        <v>34.3</v>
      </c>
      <c r="T1522" s="18" t="n">
        <f aca="false">$R1522*$S1522</f>
        <v>0</v>
      </c>
      <c r="U1522" s="18" t="n">
        <f aca="false">IFERROR(INDEX(SEMANAS!$I$6:$I$71,MATCH($B1522,SEMANAS!$B$6:$B$71,0)),0)</f>
        <v>46.69</v>
      </c>
      <c r="V1522" s="18" t="n">
        <f aca="false">IFERROR(INDEX(SEMANAS!$J$6:$J$71,MATCH($B1522,SEMANAS!$B$6:$B$71,0)),0)</f>
        <v>37.352</v>
      </c>
      <c r="W1522" s="18" t="n">
        <f aca="false">MAX(0,$T1522-$V1522)</f>
        <v>0</v>
      </c>
      <c r="X1522" s="19" t="n">
        <f aca="false">IFERROR(INDEX(CADASTRO_PIVOS!$K$6:$K$41,MATCH($E1522,CADASTRO_PIVOS!$B$6:$B$41,0)),EFICIENCIA_PADRAO)</f>
        <v>0.85</v>
      </c>
      <c r="Y1522" s="18" t="n">
        <f aca="false">IF($X1522&lt;=0,0,$W1522/$X1522)</f>
        <v>0</v>
      </c>
      <c r="Z1522" s="16" t="n">
        <f aca="false">$Y1522*$H1522*MM_PARA_M3_HA</f>
        <v>0</v>
      </c>
      <c r="AA1522" s="18" t="n">
        <f aca="false">IFERROR(INDEX(CADASTRO_PIVOS!$I$6:$I$41,MATCH($E1522,CADASTRO_PIVOS!$B$6:$B$41,0)),0)</f>
        <v>1071</v>
      </c>
      <c r="AB1522" s="18" t="n">
        <f aca="false">IF($Z1522&lt;=0,0,$Z1522/$AA1522)</f>
        <v>0</v>
      </c>
      <c r="AC1522" s="16" t="n">
        <f aca="false">IFERROR(INDEX(SEMANAS!$K$6:$K$71,MATCH($B1522,SEMANAS!$B$6:$B$71,0)),0)</f>
        <v>147</v>
      </c>
      <c r="AD1522" s="19" t="n">
        <f aca="false">IF($AC1522&lt;=0,0,$AB1522/$AC1522)</f>
        <v>0</v>
      </c>
      <c r="AE1522" s="8" t="str">
        <f aca="false">IF($K1522="SEM CULTURA","SEM CULTURA",IF($AA1522&lt;=0,"DADO PENDENTE",IF($AD1522&gt;LIMITE_CRITICO,"INVIAVEL",IF($AD1522&gt;LIMITE_ATENCAO,"CRITICO",IF($AD1522&gt;LIMITE_CONFORTAVEL,"ATENCAO","OK")))))</f>
        <v>SEM CULTURA</v>
      </c>
      <c r="AF1522" s="8" t="str">
        <f aca="false">$B1522&amp;"|"&amp;TEXT($AD1522,"0.000000")</f>
        <v>65|0.000000</v>
      </c>
      <c r="AG1522" s="18" t="n">
        <f aca="false">IF($K1522="SEM CULTURA",0,$T1522*$H1522)</f>
        <v>0</v>
      </c>
      <c r="AH1522" s="18" t="n">
        <f aca="false">IF($K1522="SEM CULTURA",0,$V1522*$H1522)</f>
        <v>0</v>
      </c>
      <c r="AI1522" s="18" t="n">
        <f aca="false">IF($K1522="SEM CULTURA",0,$W1522*$H1522)</f>
        <v>0</v>
      </c>
      <c r="AJ1522" s="18" t="n">
        <f aca="false">IF($K1522="SEM CULTURA",0,$S1522*$H1522)</f>
        <v>0</v>
      </c>
      <c r="AK1522" s="8" t="str">
        <f aca="false">$E1522&amp;"|"&amp;TEXT($AD1522,"0.000000")</f>
        <v>PV 130|0.000000</v>
      </c>
    </row>
    <row r="1523" customFormat="false" ht="15" hidden="false" customHeight="false" outlineLevel="0" collapsed="false">
      <c r="B1523" s="16" t="n">
        <v>66</v>
      </c>
      <c r="C1523" s="17" t="n">
        <f aca="false">DATA_INICIO_SAFRA+($B1523-1)*DIAS_POR_SEMANA</f>
        <v>46720</v>
      </c>
      <c r="D1523" s="17" t="n">
        <f aca="false">$C1523+DIAS_POR_SEMANA-1</f>
        <v>46726</v>
      </c>
      <c r="E1523" s="15" t="s">
        <v>281</v>
      </c>
      <c r="F1523" s="8" t="str">
        <f aca="false">IFERROR(INDEX(CADASTRO_PIVOS!$C$6:$C$41,MATCH($E1523,CADASTRO_PIVOS!$B$6:$B$41,0)),"?")</f>
        <v>RM06</v>
      </c>
      <c r="G1523" s="8" t="str">
        <f aca="false">IFERROR(INDEX(CADASTRO_PIVOS!$D$6:$D$41,MATCH($E1523,CADASTRO_PIVOS!$B$6:$B$41,0)),"?")</f>
        <v>TR06</v>
      </c>
      <c r="H1523" s="20" t="n">
        <f aca="false">IFERROR(INDEX(CADASTRO_PIVOS!$E$6:$E$41,MATCH($E1523,CADASTRO_PIVOS!$B$6:$B$41,0)),0)</f>
        <v>149.94</v>
      </c>
      <c r="I1523" s="16" t="n">
        <f aca="false">IFERROR(SUMIFS(ROTACAO_RDM!$B$6:$B$71,ROTACAO_RDM!$D$6:$D$71,$E1523,ROTACAO_RDM!$I$6:$I$71,"&lt;="&amp;$C1523+INT(DIAS_POR_SEMANA/2),ROTACAO_RDM!$J$6:$J$71,"&gt;="&amp;$C1523+INT(DIAS_POR_SEMANA/2)),0)</f>
        <v>0</v>
      </c>
      <c r="J1523" s="16" t="n">
        <f aca="false">IFERROR(MATCH($I1523,ROTACAO_RDM!$B$6:$B$71,0),0)</f>
        <v>0</v>
      </c>
      <c r="K1523" s="8" t="str">
        <f aca="false">IF($J1523=0,"SEM CULTURA",INDEX(ROTACAO_RDM!$F$6:$F$71,$J1523))</f>
        <v>SEM CULTURA</v>
      </c>
      <c r="L1523" s="8" t="str">
        <f aca="false">IF($J1523=0,"",INDEX(ROTACAO_RDM!$G$6:$G$71,$J1523))</f>
        <v/>
      </c>
      <c r="M1523" s="17" t="str">
        <f aca="false">IF($J1523=0,"",INDEX(ROTACAO_RDM!$I$6:$I$71,$J1523))</f>
        <v/>
      </c>
      <c r="N1523" s="16" t="n">
        <f aca="false">IF($J1523=0,0,MAX(0,$C1523+INT(DIAS_POR_SEMANA/2)-INDEX(ROTACAO_RDM!$I$6:$I$71,$J1523)))</f>
        <v>0</v>
      </c>
      <c r="O1523" s="19" t="n">
        <f aca="false">IF($J1523=0,0,MIN(1,$N1523/MAX(1,INDEX(ROTACAO_RDM!$K$6:$K$71,$J1523))))</f>
        <v>0</v>
      </c>
      <c r="P1523" s="16" t="n">
        <f aca="false">IF($J1523=0,0,IFERROR(MATCH(INDEX(ROTACAO_RDM!$N$6:$N$71,$J1523),PARAMETROS_CULTURAS!$B$6:$B$28,0),0))</f>
        <v>0</v>
      </c>
      <c r="Q1523" s="8" t="str">
        <f aca="false">IF($P1523=0,"-",IF($O1523&lt;=INDEX(PARAMETROS_CULTURAS!$F$6:$F$28,$P1523),"INICIAL",IF($O1523&lt;=INDEX(PARAMETROS_CULTURAS!$F$6:$F$28,$P1523)+INDEX(PARAMETROS_CULTURAS!$G$6:$G$28,$P1523),"DESENVOLVIMENTO",IF($O1523&lt;=INDEX(PARAMETROS_CULTURAS!$F$6:$F$28,$P1523)+INDEX(PARAMETROS_CULTURAS!$G$6:$G$28,$P1523)+INDEX(PARAMETROS_CULTURAS!$H$6:$H$28,$P1523),"MEDIA","FINAL"))))</f>
        <v>-</v>
      </c>
      <c r="R1523" s="24" t="n">
        <f aca="false">IF($P1523=0,0,IF($O1523&lt;=INDEX(PARAMETROS_CULTURAS!$F$6:$F$28,$P1523),INDEX(PARAMETROS_CULTURAS!$K$6:$K$28,$P1523),IF($O1523&lt;=INDEX(PARAMETROS_CULTURAS!$F$6:$F$28,$P1523)+INDEX(PARAMETROS_CULTURAS!$G$6:$G$28,$P1523),INDEX(PARAMETROS_CULTURAS!$K$6:$K$28,$P1523)+(INDEX(PARAMETROS_CULTURAS!$L$6:$L$28,$P1523)-INDEX(PARAMETROS_CULTURAS!$K$6:$K$28,$P1523))*($O1523-INDEX(PARAMETROS_CULTURAS!$F$6:$F$28,$P1523))/MAX(INDEX(PARAMETROS_CULTURAS!$G$6:$G$28,$P1523),0.0001),IF($O1523&lt;=INDEX(PARAMETROS_CULTURAS!$F$6:$F$28,$P1523)+INDEX(PARAMETROS_CULTURAS!$G$6:$G$28,$P1523)+INDEX(PARAMETROS_CULTURAS!$H$6:$H$28,$P1523),INDEX(PARAMETROS_CULTURAS!$L$6:$L$28,$P1523),INDEX(PARAMETROS_CULTURAS!$L$6:$L$28,$P1523)+(INDEX(PARAMETROS_CULTURAS!$M$6:$M$28,$P1523)-INDEX(PARAMETROS_CULTURAS!$L$6:$L$28,$P1523))*($O1523-INDEX(PARAMETROS_CULTURAS!$F$6:$F$28,$P1523)-INDEX(PARAMETROS_CULTURAS!$G$6:$G$28,$P1523)-INDEX(PARAMETROS_CULTURAS!$H$6:$H$28,$P1523))/MAX(INDEX(PARAMETROS_CULTURAS!$I$6:$I$28,$P1523),0.0001)))))</f>
        <v>0</v>
      </c>
      <c r="S1523" s="18" t="n">
        <f aca="false">IFERROR(INDEX(SEMANAS!$H$6:$H$71,MATCH($B1523,SEMANAS!$B$6:$B$71,0)),0)</f>
        <v>33.3</v>
      </c>
      <c r="T1523" s="18" t="n">
        <f aca="false">$R1523*$S1523</f>
        <v>0</v>
      </c>
      <c r="U1523" s="18" t="n">
        <f aca="false">IFERROR(INDEX(SEMANAS!$I$6:$I$71,MATCH($B1523,SEMANAS!$B$6:$B$71,0)),0)</f>
        <v>48.04</v>
      </c>
      <c r="V1523" s="18" t="n">
        <f aca="false">IFERROR(INDEX(SEMANAS!$J$6:$J$71,MATCH($B1523,SEMANAS!$B$6:$B$71,0)),0)</f>
        <v>38.432</v>
      </c>
      <c r="W1523" s="18" t="n">
        <f aca="false">MAX(0,$T1523-$V1523)</f>
        <v>0</v>
      </c>
      <c r="X1523" s="19" t="n">
        <f aca="false">IFERROR(INDEX(CADASTRO_PIVOS!$K$6:$K$41,MATCH($E1523,CADASTRO_PIVOS!$B$6:$B$41,0)),EFICIENCIA_PADRAO)</f>
        <v>0.85</v>
      </c>
      <c r="Y1523" s="18" t="n">
        <f aca="false">IF($X1523&lt;=0,0,$W1523/$X1523)</f>
        <v>0</v>
      </c>
      <c r="Z1523" s="16" t="n">
        <f aca="false">$Y1523*$H1523*MM_PARA_M3_HA</f>
        <v>0</v>
      </c>
      <c r="AA1523" s="18" t="n">
        <f aca="false">IFERROR(INDEX(CADASTRO_PIVOS!$I$6:$I$41,MATCH($E1523,CADASTRO_PIVOS!$B$6:$B$41,0)),0)</f>
        <v>1071</v>
      </c>
      <c r="AB1523" s="18" t="n">
        <f aca="false">IF($Z1523&lt;=0,0,$Z1523/$AA1523)</f>
        <v>0</v>
      </c>
      <c r="AC1523" s="16" t="n">
        <f aca="false">IFERROR(INDEX(SEMANAS!$K$6:$K$71,MATCH($B1523,SEMANAS!$B$6:$B$71,0)),0)</f>
        <v>147</v>
      </c>
      <c r="AD1523" s="19" t="n">
        <f aca="false">IF($AC1523&lt;=0,0,$AB1523/$AC1523)</f>
        <v>0</v>
      </c>
      <c r="AE1523" s="8" t="str">
        <f aca="false">IF($K1523="SEM CULTURA","SEM CULTURA",IF($AA1523&lt;=0,"DADO PENDENTE",IF($AD1523&gt;LIMITE_CRITICO,"INVIAVEL",IF($AD1523&gt;LIMITE_ATENCAO,"CRITICO",IF($AD1523&gt;LIMITE_CONFORTAVEL,"ATENCAO","OK")))))</f>
        <v>SEM CULTURA</v>
      </c>
      <c r="AF1523" s="8" t="str">
        <f aca="false">$B1523&amp;"|"&amp;TEXT($AD1523,"0.000000")</f>
        <v>66|0.000000</v>
      </c>
      <c r="AG1523" s="18" t="n">
        <f aca="false">IF($K1523="SEM CULTURA",0,$T1523*$H1523)</f>
        <v>0</v>
      </c>
      <c r="AH1523" s="18" t="n">
        <f aca="false">IF($K1523="SEM CULTURA",0,$V1523*$H1523)</f>
        <v>0</v>
      </c>
      <c r="AI1523" s="18" t="n">
        <f aca="false">IF($K1523="SEM CULTURA",0,$W1523*$H1523)</f>
        <v>0</v>
      </c>
      <c r="AJ1523" s="18" t="n">
        <f aca="false">IF($K1523="SEM CULTURA",0,$S1523*$H1523)</f>
        <v>0</v>
      </c>
      <c r="AK1523" s="8" t="str">
        <f aca="false">$E1523&amp;"|"&amp;TEXT($AD1523,"0.000000")</f>
        <v>PV 130|0.000000</v>
      </c>
    </row>
    <row r="1524" customFormat="false" ht="15" hidden="false" customHeight="false" outlineLevel="0" collapsed="false">
      <c r="B1524" s="16" t="n">
        <v>1</v>
      </c>
      <c r="C1524" s="17" t="n">
        <f aca="false">DATA_INICIO_SAFRA+($B1524-1)*DIAS_POR_SEMANA</f>
        <v>46265</v>
      </c>
      <c r="D1524" s="17" t="n">
        <f aca="false">$C1524+DIAS_POR_SEMANA-1</f>
        <v>46271</v>
      </c>
      <c r="E1524" s="15" t="s">
        <v>282</v>
      </c>
      <c r="F1524" s="8" t="str">
        <f aca="false">IFERROR(INDEX(CADASTRO_PIVOS!$C$6:$C$41,MATCH($E1524,CADASTRO_PIVOS!$B$6:$B$41,0)),"?")</f>
        <v>RM07</v>
      </c>
      <c r="G1524" s="8" t="str">
        <f aca="false">IFERROR(INDEX(CADASTRO_PIVOS!$D$6:$D$41,MATCH($E1524,CADASTRO_PIVOS!$B$6:$B$41,0)),"?")</f>
        <v>TR07</v>
      </c>
      <c r="H1524" s="20" t="n">
        <f aca="false">IFERROR(INDEX(CADASTRO_PIVOS!$E$6:$E$41,MATCH($E1524,CADASTRO_PIVOS!$B$6:$B$41,0)),0)</f>
        <v>145.67</v>
      </c>
      <c r="I1524" s="16" t="n">
        <f aca="false">IFERROR(SUMIFS(ROTACAO_RDM!$B$6:$B$71,ROTACAO_RDM!$D$6:$D$71,$E1524,ROTACAO_RDM!$I$6:$I$71,"&lt;="&amp;$C1524+INT(DIAS_POR_SEMANA/2),ROTACAO_RDM!$J$6:$J$71,"&gt;="&amp;$C1524+INT(DIAS_POR_SEMANA/2)),0)</f>
        <v>0</v>
      </c>
      <c r="J1524" s="16" t="n">
        <f aca="false">IFERROR(MATCH($I1524,ROTACAO_RDM!$B$6:$B$71,0),0)</f>
        <v>0</v>
      </c>
      <c r="K1524" s="8" t="str">
        <f aca="false">IF($J1524=0,"SEM CULTURA",INDEX(ROTACAO_RDM!$F$6:$F$71,$J1524))</f>
        <v>SEM CULTURA</v>
      </c>
      <c r="L1524" s="8" t="str">
        <f aca="false">IF($J1524=0,"",INDEX(ROTACAO_RDM!$G$6:$G$71,$J1524))</f>
        <v/>
      </c>
      <c r="M1524" s="17" t="str">
        <f aca="false">IF($J1524=0,"",INDEX(ROTACAO_RDM!$I$6:$I$71,$J1524))</f>
        <v/>
      </c>
      <c r="N1524" s="16" t="n">
        <f aca="false">IF($J1524=0,0,MAX(0,$C1524+INT(DIAS_POR_SEMANA/2)-INDEX(ROTACAO_RDM!$I$6:$I$71,$J1524)))</f>
        <v>0</v>
      </c>
      <c r="O1524" s="19" t="n">
        <f aca="false">IF($J1524=0,0,MIN(1,$N1524/MAX(1,INDEX(ROTACAO_RDM!$K$6:$K$71,$J1524))))</f>
        <v>0</v>
      </c>
      <c r="P1524" s="16" t="n">
        <f aca="false">IF($J1524=0,0,IFERROR(MATCH(INDEX(ROTACAO_RDM!$N$6:$N$71,$J1524),PARAMETROS_CULTURAS!$B$6:$B$28,0),0))</f>
        <v>0</v>
      </c>
      <c r="Q1524" s="8" t="str">
        <f aca="false">IF($P1524=0,"-",IF($O1524&lt;=INDEX(PARAMETROS_CULTURAS!$F$6:$F$28,$P1524),"INICIAL",IF($O1524&lt;=INDEX(PARAMETROS_CULTURAS!$F$6:$F$28,$P1524)+INDEX(PARAMETROS_CULTURAS!$G$6:$G$28,$P1524),"DESENVOLVIMENTO",IF($O1524&lt;=INDEX(PARAMETROS_CULTURAS!$F$6:$F$28,$P1524)+INDEX(PARAMETROS_CULTURAS!$G$6:$G$28,$P1524)+INDEX(PARAMETROS_CULTURAS!$H$6:$H$28,$P1524),"MEDIA","FINAL"))))</f>
        <v>-</v>
      </c>
      <c r="R1524" s="24" t="n">
        <f aca="false">IF($P1524=0,0,IF($O1524&lt;=INDEX(PARAMETROS_CULTURAS!$F$6:$F$28,$P1524),INDEX(PARAMETROS_CULTURAS!$K$6:$K$28,$P1524),IF($O1524&lt;=INDEX(PARAMETROS_CULTURAS!$F$6:$F$28,$P1524)+INDEX(PARAMETROS_CULTURAS!$G$6:$G$28,$P1524),INDEX(PARAMETROS_CULTURAS!$K$6:$K$28,$P1524)+(INDEX(PARAMETROS_CULTURAS!$L$6:$L$28,$P1524)-INDEX(PARAMETROS_CULTURAS!$K$6:$K$28,$P1524))*($O1524-INDEX(PARAMETROS_CULTURAS!$F$6:$F$28,$P1524))/MAX(INDEX(PARAMETROS_CULTURAS!$G$6:$G$28,$P1524),0.0001),IF($O1524&lt;=INDEX(PARAMETROS_CULTURAS!$F$6:$F$28,$P1524)+INDEX(PARAMETROS_CULTURAS!$G$6:$G$28,$P1524)+INDEX(PARAMETROS_CULTURAS!$H$6:$H$28,$P1524),INDEX(PARAMETROS_CULTURAS!$L$6:$L$28,$P1524),INDEX(PARAMETROS_CULTURAS!$L$6:$L$28,$P1524)+(INDEX(PARAMETROS_CULTURAS!$M$6:$M$28,$P1524)-INDEX(PARAMETROS_CULTURAS!$L$6:$L$28,$P1524))*($O1524-INDEX(PARAMETROS_CULTURAS!$F$6:$F$28,$P1524)-INDEX(PARAMETROS_CULTURAS!$G$6:$G$28,$P1524)-INDEX(PARAMETROS_CULTURAS!$H$6:$H$28,$P1524))/MAX(INDEX(PARAMETROS_CULTURAS!$I$6:$I$28,$P1524),0.0001)))))</f>
        <v>0</v>
      </c>
      <c r="S1524" s="18" t="n">
        <f aca="false">IFERROR(INDEX(SEMANAS!$H$6:$H$71,MATCH($B1524,SEMANAS!$B$6:$B$71,0)),0)</f>
        <v>40</v>
      </c>
      <c r="T1524" s="18" t="n">
        <f aca="false">$R1524*$S1524</f>
        <v>0</v>
      </c>
      <c r="U1524" s="18" t="n">
        <f aca="false">IFERROR(INDEX(SEMANAS!$I$6:$I$71,MATCH($B1524,SEMANAS!$B$6:$B$71,0)),0)</f>
        <v>6.16</v>
      </c>
      <c r="V1524" s="18" t="n">
        <f aca="false">IFERROR(INDEX(SEMANAS!$J$6:$J$71,MATCH($B1524,SEMANAS!$B$6:$B$71,0)),0)</f>
        <v>4.928</v>
      </c>
      <c r="W1524" s="18" t="n">
        <f aca="false">MAX(0,$T1524-$V1524)</f>
        <v>0</v>
      </c>
      <c r="X1524" s="19" t="n">
        <f aca="false">IFERROR(INDEX(CADASTRO_PIVOS!$K$6:$K$41,MATCH($E1524,CADASTRO_PIVOS!$B$6:$B$41,0)),EFICIENCIA_PADRAO)</f>
        <v>0.85</v>
      </c>
      <c r="Y1524" s="18" t="n">
        <f aca="false">IF($X1524&lt;=0,0,$W1524/$X1524)</f>
        <v>0</v>
      </c>
      <c r="Z1524" s="16" t="n">
        <f aca="false">$Y1524*$H1524*MM_PARA_M3_HA</f>
        <v>0</v>
      </c>
      <c r="AA1524" s="18" t="n">
        <f aca="false">IFERROR(INDEX(CADASTRO_PIVOS!$I$6:$I$41,MATCH($E1524,CADASTRO_PIVOS!$B$6:$B$41,0)),0)</f>
        <v>971.133333333333</v>
      </c>
      <c r="AB1524" s="18" t="n">
        <f aca="false">IF($Z1524&lt;=0,0,$Z1524/$AA1524)</f>
        <v>0</v>
      </c>
      <c r="AC1524" s="16" t="n">
        <f aca="false">IFERROR(INDEX(SEMANAS!$K$6:$K$71,MATCH($B1524,SEMANAS!$B$6:$B$71,0)),0)</f>
        <v>147</v>
      </c>
      <c r="AD1524" s="19" t="n">
        <f aca="false">IF($AC1524&lt;=0,0,$AB1524/$AC1524)</f>
        <v>0</v>
      </c>
      <c r="AE1524" s="8" t="str">
        <f aca="false">IF($K1524="SEM CULTURA","SEM CULTURA",IF($AA1524&lt;=0,"DADO PENDENTE",IF($AD1524&gt;LIMITE_CRITICO,"INVIAVEL",IF($AD1524&gt;LIMITE_ATENCAO,"CRITICO",IF($AD1524&gt;LIMITE_CONFORTAVEL,"ATENCAO","OK")))))</f>
        <v>SEM CULTURA</v>
      </c>
      <c r="AF1524" s="8" t="str">
        <f aca="false">$B1524&amp;"|"&amp;TEXT($AD1524,"0.000000")</f>
        <v>1|0.000000</v>
      </c>
      <c r="AG1524" s="18" t="n">
        <f aca="false">IF($K1524="SEM CULTURA",0,$T1524*$H1524)</f>
        <v>0</v>
      </c>
      <c r="AH1524" s="18" t="n">
        <f aca="false">IF($K1524="SEM CULTURA",0,$V1524*$H1524)</f>
        <v>0</v>
      </c>
      <c r="AI1524" s="18" t="n">
        <f aca="false">IF($K1524="SEM CULTURA",0,$W1524*$H1524)</f>
        <v>0</v>
      </c>
      <c r="AJ1524" s="18" t="n">
        <f aca="false">IF($K1524="SEM CULTURA",0,$S1524*$H1524)</f>
        <v>0</v>
      </c>
      <c r="AK1524" s="8" t="str">
        <f aca="false">$E1524&amp;"|"&amp;TEXT($AD1524,"0.000000")</f>
        <v>PV 120|0.000000</v>
      </c>
    </row>
    <row r="1525" customFormat="false" ht="15" hidden="false" customHeight="false" outlineLevel="0" collapsed="false">
      <c r="B1525" s="16" t="n">
        <v>2</v>
      </c>
      <c r="C1525" s="17" t="n">
        <f aca="false">DATA_INICIO_SAFRA+($B1525-1)*DIAS_POR_SEMANA</f>
        <v>46272</v>
      </c>
      <c r="D1525" s="17" t="n">
        <f aca="false">$C1525+DIAS_POR_SEMANA-1</f>
        <v>46278</v>
      </c>
      <c r="E1525" s="15" t="s">
        <v>282</v>
      </c>
      <c r="F1525" s="8" t="str">
        <f aca="false">IFERROR(INDEX(CADASTRO_PIVOS!$C$6:$C$41,MATCH($E1525,CADASTRO_PIVOS!$B$6:$B$41,0)),"?")</f>
        <v>RM07</v>
      </c>
      <c r="G1525" s="8" t="str">
        <f aca="false">IFERROR(INDEX(CADASTRO_PIVOS!$D$6:$D$41,MATCH($E1525,CADASTRO_PIVOS!$B$6:$B$41,0)),"?")</f>
        <v>TR07</v>
      </c>
      <c r="H1525" s="20" t="n">
        <f aca="false">IFERROR(INDEX(CADASTRO_PIVOS!$E$6:$E$41,MATCH($E1525,CADASTRO_PIVOS!$B$6:$B$41,0)),0)</f>
        <v>145.67</v>
      </c>
      <c r="I1525" s="16" t="n">
        <f aca="false">IFERROR(SUMIFS(ROTACAO_RDM!$B$6:$B$71,ROTACAO_RDM!$D$6:$D$71,$E1525,ROTACAO_RDM!$I$6:$I$71,"&lt;="&amp;$C1525+INT(DIAS_POR_SEMANA/2),ROTACAO_RDM!$J$6:$J$71,"&gt;="&amp;$C1525+INT(DIAS_POR_SEMANA/2)),0)</f>
        <v>0</v>
      </c>
      <c r="J1525" s="16" t="n">
        <f aca="false">IFERROR(MATCH($I1525,ROTACAO_RDM!$B$6:$B$71,0),0)</f>
        <v>0</v>
      </c>
      <c r="K1525" s="8" t="str">
        <f aca="false">IF($J1525=0,"SEM CULTURA",INDEX(ROTACAO_RDM!$F$6:$F$71,$J1525))</f>
        <v>SEM CULTURA</v>
      </c>
      <c r="L1525" s="8" t="str">
        <f aca="false">IF($J1525=0,"",INDEX(ROTACAO_RDM!$G$6:$G$71,$J1525))</f>
        <v/>
      </c>
      <c r="M1525" s="17" t="str">
        <f aca="false">IF($J1525=0,"",INDEX(ROTACAO_RDM!$I$6:$I$71,$J1525))</f>
        <v/>
      </c>
      <c r="N1525" s="16" t="n">
        <f aca="false">IF($J1525=0,0,MAX(0,$C1525+INT(DIAS_POR_SEMANA/2)-INDEX(ROTACAO_RDM!$I$6:$I$71,$J1525)))</f>
        <v>0</v>
      </c>
      <c r="O1525" s="19" t="n">
        <f aca="false">IF($J1525=0,0,MIN(1,$N1525/MAX(1,INDEX(ROTACAO_RDM!$K$6:$K$71,$J1525))))</f>
        <v>0</v>
      </c>
      <c r="P1525" s="16" t="n">
        <f aca="false">IF($J1525=0,0,IFERROR(MATCH(INDEX(ROTACAO_RDM!$N$6:$N$71,$J1525),PARAMETROS_CULTURAS!$B$6:$B$28,0),0))</f>
        <v>0</v>
      </c>
      <c r="Q1525" s="8" t="str">
        <f aca="false">IF($P1525=0,"-",IF($O1525&lt;=INDEX(PARAMETROS_CULTURAS!$F$6:$F$28,$P1525),"INICIAL",IF($O1525&lt;=INDEX(PARAMETROS_CULTURAS!$F$6:$F$28,$P1525)+INDEX(PARAMETROS_CULTURAS!$G$6:$G$28,$P1525),"DESENVOLVIMENTO",IF($O1525&lt;=INDEX(PARAMETROS_CULTURAS!$F$6:$F$28,$P1525)+INDEX(PARAMETROS_CULTURAS!$G$6:$G$28,$P1525)+INDEX(PARAMETROS_CULTURAS!$H$6:$H$28,$P1525),"MEDIA","FINAL"))))</f>
        <v>-</v>
      </c>
      <c r="R1525" s="24" t="n">
        <f aca="false">IF($P1525=0,0,IF($O1525&lt;=INDEX(PARAMETROS_CULTURAS!$F$6:$F$28,$P1525),INDEX(PARAMETROS_CULTURAS!$K$6:$K$28,$P1525),IF($O1525&lt;=INDEX(PARAMETROS_CULTURAS!$F$6:$F$28,$P1525)+INDEX(PARAMETROS_CULTURAS!$G$6:$G$28,$P1525),INDEX(PARAMETROS_CULTURAS!$K$6:$K$28,$P1525)+(INDEX(PARAMETROS_CULTURAS!$L$6:$L$28,$P1525)-INDEX(PARAMETROS_CULTURAS!$K$6:$K$28,$P1525))*($O1525-INDEX(PARAMETROS_CULTURAS!$F$6:$F$28,$P1525))/MAX(INDEX(PARAMETROS_CULTURAS!$G$6:$G$28,$P1525),0.0001),IF($O1525&lt;=INDEX(PARAMETROS_CULTURAS!$F$6:$F$28,$P1525)+INDEX(PARAMETROS_CULTURAS!$G$6:$G$28,$P1525)+INDEX(PARAMETROS_CULTURAS!$H$6:$H$28,$P1525),INDEX(PARAMETROS_CULTURAS!$L$6:$L$28,$P1525),INDEX(PARAMETROS_CULTURAS!$L$6:$L$28,$P1525)+(INDEX(PARAMETROS_CULTURAS!$M$6:$M$28,$P1525)-INDEX(PARAMETROS_CULTURAS!$L$6:$L$28,$P1525))*($O1525-INDEX(PARAMETROS_CULTURAS!$F$6:$F$28,$P1525)-INDEX(PARAMETROS_CULTURAS!$G$6:$G$28,$P1525)-INDEX(PARAMETROS_CULTURAS!$H$6:$H$28,$P1525))/MAX(INDEX(PARAMETROS_CULTURAS!$I$6:$I$28,$P1525),0.0001)))))</f>
        <v>0</v>
      </c>
      <c r="S1525" s="18" t="n">
        <f aca="false">IFERROR(INDEX(SEMANAS!$H$6:$H$71,MATCH($B1525,SEMANAS!$B$6:$B$71,0)),0)</f>
        <v>40.6</v>
      </c>
      <c r="T1525" s="18" t="n">
        <f aca="false">$R1525*$S1525</f>
        <v>0</v>
      </c>
      <c r="U1525" s="18" t="n">
        <f aca="false">IFERROR(INDEX(SEMANAS!$I$6:$I$71,MATCH($B1525,SEMANAS!$B$6:$B$71,0)),0)</f>
        <v>7</v>
      </c>
      <c r="V1525" s="18" t="n">
        <f aca="false">IFERROR(INDEX(SEMANAS!$J$6:$J$71,MATCH($B1525,SEMANAS!$B$6:$B$71,0)),0)</f>
        <v>5.6</v>
      </c>
      <c r="W1525" s="18" t="n">
        <f aca="false">MAX(0,$T1525-$V1525)</f>
        <v>0</v>
      </c>
      <c r="X1525" s="19" t="n">
        <f aca="false">IFERROR(INDEX(CADASTRO_PIVOS!$K$6:$K$41,MATCH($E1525,CADASTRO_PIVOS!$B$6:$B$41,0)),EFICIENCIA_PADRAO)</f>
        <v>0.85</v>
      </c>
      <c r="Y1525" s="18" t="n">
        <f aca="false">IF($X1525&lt;=0,0,$W1525/$X1525)</f>
        <v>0</v>
      </c>
      <c r="Z1525" s="16" t="n">
        <f aca="false">$Y1525*$H1525*MM_PARA_M3_HA</f>
        <v>0</v>
      </c>
      <c r="AA1525" s="18" t="n">
        <f aca="false">IFERROR(INDEX(CADASTRO_PIVOS!$I$6:$I$41,MATCH($E1525,CADASTRO_PIVOS!$B$6:$B$41,0)),0)</f>
        <v>971.133333333333</v>
      </c>
      <c r="AB1525" s="18" t="n">
        <f aca="false">IF($Z1525&lt;=0,0,$Z1525/$AA1525)</f>
        <v>0</v>
      </c>
      <c r="AC1525" s="16" t="n">
        <f aca="false">IFERROR(INDEX(SEMANAS!$K$6:$K$71,MATCH($B1525,SEMANAS!$B$6:$B$71,0)),0)</f>
        <v>147</v>
      </c>
      <c r="AD1525" s="19" t="n">
        <f aca="false">IF($AC1525&lt;=0,0,$AB1525/$AC1525)</f>
        <v>0</v>
      </c>
      <c r="AE1525" s="8" t="str">
        <f aca="false">IF($K1525="SEM CULTURA","SEM CULTURA",IF($AA1525&lt;=0,"DADO PENDENTE",IF($AD1525&gt;LIMITE_CRITICO,"INVIAVEL",IF($AD1525&gt;LIMITE_ATENCAO,"CRITICO",IF($AD1525&gt;LIMITE_CONFORTAVEL,"ATENCAO","OK")))))</f>
        <v>SEM CULTURA</v>
      </c>
      <c r="AF1525" s="8" t="str">
        <f aca="false">$B1525&amp;"|"&amp;TEXT($AD1525,"0.000000")</f>
        <v>2|0.000000</v>
      </c>
      <c r="AG1525" s="18" t="n">
        <f aca="false">IF($K1525="SEM CULTURA",0,$T1525*$H1525)</f>
        <v>0</v>
      </c>
      <c r="AH1525" s="18" t="n">
        <f aca="false">IF($K1525="SEM CULTURA",0,$V1525*$H1525)</f>
        <v>0</v>
      </c>
      <c r="AI1525" s="18" t="n">
        <f aca="false">IF($K1525="SEM CULTURA",0,$W1525*$H1525)</f>
        <v>0</v>
      </c>
      <c r="AJ1525" s="18" t="n">
        <f aca="false">IF($K1525="SEM CULTURA",0,$S1525*$H1525)</f>
        <v>0</v>
      </c>
      <c r="AK1525" s="8" t="str">
        <f aca="false">$E1525&amp;"|"&amp;TEXT($AD1525,"0.000000")</f>
        <v>PV 120|0.000000</v>
      </c>
    </row>
    <row r="1526" customFormat="false" ht="15" hidden="false" customHeight="false" outlineLevel="0" collapsed="false">
      <c r="B1526" s="16" t="n">
        <v>3</v>
      </c>
      <c r="C1526" s="17" t="n">
        <f aca="false">DATA_INICIO_SAFRA+($B1526-1)*DIAS_POR_SEMANA</f>
        <v>46279</v>
      </c>
      <c r="D1526" s="17" t="n">
        <f aca="false">$C1526+DIAS_POR_SEMANA-1</f>
        <v>46285</v>
      </c>
      <c r="E1526" s="15" t="s">
        <v>282</v>
      </c>
      <c r="F1526" s="8" t="str">
        <f aca="false">IFERROR(INDEX(CADASTRO_PIVOS!$C$6:$C$41,MATCH($E1526,CADASTRO_PIVOS!$B$6:$B$41,0)),"?")</f>
        <v>RM07</v>
      </c>
      <c r="G1526" s="8" t="str">
        <f aca="false">IFERROR(INDEX(CADASTRO_PIVOS!$D$6:$D$41,MATCH($E1526,CADASTRO_PIVOS!$B$6:$B$41,0)),"?")</f>
        <v>TR07</v>
      </c>
      <c r="H1526" s="20" t="n">
        <f aca="false">IFERROR(INDEX(CADASTRO_PIVOS!$E$6:$E$41,MATCH($E1526,CADASTRO_PIVOS!$B$6:$B$41,0)),0)</f>
        <v>145.67</v>
      </c>
      <c r="I1526" s="16" t="n">
        <f aca="false">IFERROR(SUMIFS(ROTACAO_RDM!$B$6:$B$71,ROTACAO_RDM!$D$6:$D$71,$E1526,ROTACAO_RDM!$I$6:$I$71,"&lt;="&amp;$C1526+INT(DIAS_POR_SEMANA/2),ROTACAO_RDM!$J$6:$J$71,"&gt;="&amp;$C1526+INT(DIAS_POR_SEMANA/2)),0)</f>
        <v>0</v>
      </c>
      <c r="J1526" s="16" t="n">
        <f aca="false">IFERROR(MATCH($I1526,ROTACAO_RDM!$B$6:$B$71,0),0)</f>
        <v>0</v>
      </c>
      <c r="K1526" s="8" t="str">
        <f aca="false">IF($J1526=0,"SEM CULTURA",INDEX(ROTACAO_RDM!$F$6:$F$71,$J1526))</f>
        <v>SEM CULTURA</v>
      </c>
      <c r="L1526" s="8" t="str">
        <f aca="false">IF($J1526=0,"",INDEX(ROTACAO_RDM!$G$6:$G$71,$J1526))</f>
        <v/>
      </c>
      <c r="M1526" s="17" t="str">
        <f aca="false">IF($J1526=0,"",INDEX(ROTACAO_RDM!$I$6:$I$71,$J1526))</f>
        <v/>
      </c>
      <c r="N1526" s="16" t="n">
        <f aca="false">IF($J1526=0,0,MAX(0,$C1526+INT(DIAS_POR_SEMANA/2)-INDEX(ROTACAO_RDM!$I$6:$I$71,$J1526)))</f>
        <v>0</v>
      </c>
      <c r="O1526" s="19" t="n">
        <f aca="false">IF($J1526=0,0,MIN(1,$N1526/MAX(1,INDEX(ROTACAO_RDM!$K$6:$K$71,$J1526))))</f>
        <v>0</v>
      </c>
      <c r="P1526" s="16" t="n">
        <f aca="false">IF($J1526=0,0,IFERROR(MATCH(INDEX(ROTACAO_RDM!$N$6:$N$71,$J1526),PARAMETROS_CULTURAS!$B$6:$B$28,0),0))</f>
        <v>0</v>
      </c>
      <c r="Q1526" s="8" t="str">
        <f aca="false">IF($P1526=0,"-",IF($O1526&lt;=INDEX(PARAMETROS_CULTURAS!$F$6:$F$28,$P1526),"INICIAL",IF($O1526&lt;=INDEX(PARAMETROS_CULTURAS!$F$6:$F$28,$P1526)+INDEX(PARAMETROS_CULTURAS!$G$6:$G$28,$P1526),"DESENVOLVIMENTO",IF($O1526&lt;=INDEX(PARAMETROS_CULTURAS!$F$6:$F$28,$P1526)+INDEX(PARAMETROS_CULTURAS!$G$6:$G$28,$P1526)+INDEX(PARAMETROS_CULTURAS!$H$6:$H$28,$P1526),"MEDIA","FINAL"))))</f>
        <v>-</v>
      </c>
      <c r="R1526" s="24" t="n">
        <f aca="false">IF($P1526=0,0,IF($O1526&lt;=INDEX(PARAMETROS_CULTURAS!$F$6:$F$28,$P1526),INDEX(PARAMETROS_CULTURAS!$K$6:$K$28,$P1526),IF($O1526&lt;=INDEX(PARAMETROS_CULTURAS!$F$6:$F$28,$P1526)+INDEX(PARAMETROS_CULTURAS!$G$6:$G$28,$P1526),INDEX(PARAMETROS_CULTURAS!$K$6:$K$28,$P1526)+(INDEX(PARAMETROS_CULTURAS!$L$6:$L$28,$P1526)-INDEX(PARAMETROS_CULTURAS!$K$6:$K$28,$P1526))*($O1526-INDEX(PARAMETROS_CULTURAS!$F$6:$F$28,$P1526))/MAX(INDEX(PARAMETROS_CULTURAS!$G$6:$G$28,$P1526),0.0001),IF($O1526&lt;=INDEX(PARAMETROS_CULTURAS!$F$6:$F$28,$P1526)+INDEX(PARAMETROS_CULTURAS!$G$6:$G$28,$P1526)+INDEX(PARAMETROS_CULTURAS!$H$6:$H$28,$P1526),INDEX(PARAMETROS_CULTURAS!$L$6:$L$28,$P1526),INDEX(PARAMETROS_CULTURAS!$L$6:$L$28,$P1526)+(INDEX(PARAMETROS_CULTURAS!$M$6:$M$28,$P1526)-INDEX(PARAMETROS_CULTURAS!$L$6:$L$28,$P1526))*($O1526-INDEX(PARAMETROS_CULTURAS!$F$6:$F$28,$P1526)-INDEX(PARAMETROS_CULTURAS!$G$6:$G$28,$P1526)-INDEX(PARAMETROS_CULTURAS!$H$6:$H$28,$P1526))/MAX(INDEX(PARAMETROS_CULTURAS!$I$6:$I$28,$P1526),0.0001)))))</f>
        <v>0</v>
      </c>
      <c r="S1526" s="18" t="n">
        <f aca="false">IFERROR(INDEX(SEMANAS!$H$6:$H$71,MATCH($B1526,SEMANAS!$B$6:$B$71,0)),0)</f>
        <v>40.6</v>
      </c>
      <c r="T1526" s="18" t="n">
        <f aca="false">$R1526*$S1526</f>
        <v>0</v>
      </c>
      <c r="U1526" s="18" t="n">
        <f aca="false">IFERROR(INDEX(SEMANAS!$I$6:$I$71,MATCH($B1526,SEMANAS!$B$6:$B$71,0)),0)</f>
        <v>7</v>
      </c>
      <c r="V1526" s="18" t="n">
        <f aca="false">IFERROR(INDEX(SEMANAS!$J$6:$J$71,MATCH($B1526,SEMANAS!$B$6:$B$71,0)),0)</f>
        <v>5.6</v>
      </c>
      <c r="W1526" s="18" t="n">
        <f aca="false">MAX(0,$T1526-$V1526)</f>
        <v>0</v>
      </c>
      <c r="X1526" s="19" t="n">
        <f aca="false">IFERROR(INDEX(CADASTRO_PIVOS!$K$6:$K$41,MATCH($E1526,CADASTRO_PIVOS!$B$6:$B$41,0)),EFICIENCIA_PADRAO)</f>
        <v>0.85</v>
      </c>
      <c r="Y1526" s="18" t="n">
        <f aca="false">IF($X1526&lt;=0,0,$W1526/$X1526)</f>
        <v>0</v>
      </c>
      <c r="Z1526" s="16" t="n">
        <f aca="false">$Y1526*$H1526*MM_PARA_M3_HA</f>
        <v>0</v>
      </c>
      <c r="AA1526" s="18" t="n">
        <f aca="false">IFERROR(INDEX(CADASTRO_PIVOS!$I$6:$I$41,MATCH($E1526,CADASTRO_PIVOS!$B$6:$B$41,0)),0)</f>
        <v>971.133333333333</v>
      </c>
      <c r="AB1526" s="18" t="n">
        <f aca="false">IF($Z1526&lt;=0,0,$Z1526/$AA1526)</f>
        <v>0</v>
      </c>
      <c r="AC1526" s="16" t="n">
        <f aca="false">IFERROR(INDEX(SEMANAS!$K$6:$K$71,MATCH($B1526,SEMANAS!$B$6:$B$71,0)),0)</f>
        <v>147</v>
      </c>
      <c r="AD1526" s="19" t="n">
        <f aca="false">IF($AC1526&lt;=0,0,$AB1526/$AC1526)</f>
        <v>0</v>
      </c>
      <c r="AE1526" s="8" t="str">
        <f aca="false">IF($K1526="SEM CULTURA","SEM CULTURA",IF($AA1526&lt;=0,"DADO PENDENTE",IF($AD1526&gt;LIMITE_CRITICO,"INVIAVEL",IF($AD1526&gt;LIMITE_ATENCAO,"CRITICO",IF($AD1526&gt;LIMITE_CONFORTAVEL,"ATENCAO","OK")))))</f>
        <v>SEM CULTURA</v>
      </c>
      <c r="AF1526" s="8" t="str">
        <f aca="false">$B1526&amp;"|"&amp;TEXT($AD1526,"0.000000")</f>
        <v>3|0.000000</v>
      </c>
      <c r="AG1526" s="18" t="n">
        <f aca="false">IF($K1526="SEM CULTURA",0,$T1526*$H1526)</f>
        <v>0</v>
      </c>
      <c r="AH1526" s="18" t="n">
        <f aca="false">IF($K1526="SEM CULTURA",0,$V1526*$H1526)</f>
        <v>0</v>
      </c>
      <c r="AI1526" s="18" t="n">
        <f aca="false">IF($K1526="SEM CULTURA",0,$W1526*$H1526)</f>
        <v>0</v>
      </c>
      <c r="AJ1526" s="18" t="n">
        <f aca="false">IF($K1526="SEM CULTURA",0,$S1526*$H1526)</f>
        <v>0</v>
      </c>
      <c r="AK1526" s="8" t="str">
        <f aca="false">$E1526&amp;"|"&amp;TEXT($AD1526,"0.000000")</f>
        <v>PV 120|0.000000</v>
      </c>
    </row>
    <row r="1527" customFormat="false" ht="15" hidden="false" customHeight="false" outlineLevel="0" collapsed="false">
      <c r="B1527" s="16" t="n">
        <v>4</v>
      </c>
      <c r="C1527" s="17" t="n">
        <f aca="false">DATA_INICIO_SAFRA+($B1527-1)*DIAS_POR_SEMANA</f>
        <v>46286</v>
      </c>
      <c r="D1527" s="17" t="n">
        <f aca="false">$C1527+DIAS_POR_SEMANA-1</f>
        <v>46292</v>
      </c>
      <c r="E1527" s="15" t="s">
        <v>282</v>
      </c>
      <c r="F1527" s="8" t="str">
        <f aca="false">IFERROR(INDEX(CADASTRO_PIVOS!$C$6:$C$41,MATCH($E1527,CADASTRO_PIVOS!$B$6:$B$41,0)),"?")</f>
        <v>RM07</v>
      </c>
      <c r="G1527" s="8" t="str">
        <f aca="false">IFERROR(INDEX(CADASTRO_PIVOS!$D$6:$D$41,MATCH($E1527,CADASTRO_PIVOS!$B$6:$B$41,0)),"?")</f>
        <v>TR07</v>
      </c>
      <c r="H1527" s="20" t="n">
        <f aca="false">IFERROR(INDEX(CADASTRO_PIVOS!$E$6:$E$41,MATCH($E1527,CADASTRO_PIVOS!$B$6:$B$41,0)),0)</f>
        <v>145.67</v>
      </c>
      <c r="I1527" s="16" t="n">
        <f aca="false">IFERROR(SUMIFS(ROTACAO_RDM!$B$6:$B$71,ROTACAO_RDM!$D$6:$D$71,$E1527,ROTACAO_RDM!$I$6:$I$71,"&lt;="&amp;$C1527+INT(DIAS_POR_SEMANA/2),ROTACAO_RDM!$J$6:$J$71,"&gt;="&amp;$C1527+INT(DIAS_POR_SEMANA/2)),0)</f>
        <v>0</v>
      </c>
      <c r="J1527" s="16" t="n">
        <f aca="false">IFERROR(MATCH($I1527,ROTACAO_RDM!$B$6:$B$71,0),0)</f>
        <v>0</v>
      </c>
      <c r="K1527" s="8" t="str">
        <f aca="false">IF($J1527=0,"SEM CULTURA",INDEX(ROTACAO_RDM!$F$6:$F$71,$J1527))</f>
        <v>SEM CULTURA</v>
      </c>
      <c r="L1527" s="8" t="str">
        <f aca="false">IF($J1527=0,"",INDEX(ROTACAO_RDM!$G$6:$G$71,$J1527))</f>
        <v/>
      </c>
      <c r="M1527" s="17" t="str">
        <f aca="false">IF($J1527=0,"",INDEX(ROTACAO_RDM!$I$6:$I$71,$J1527))</f>
        <v/>
      </c>
      <c r="N1527" s="16" t="n">
        <f aca="false">IF($J1527=0,0,MAX(0,$C1527+INT(DIAS_POR_SEMANA/2)-INDEX(ROTACAO_RDM!$I$6:$I$71,$J1527)))</f>
        <v>0</v>
      </c>
      <c r="O1527" s="19" t="n">
        <f aca="false">IF($J1527=0,0,MIN(1,$N1527/MAX(1,INDEX(ROTACAO_RDM!$K$6:$K$71,$J1527))))</f>
        <v>0</v>
      </c>
      <c r="P1527" s="16" t="n">
        <f aca="false">IF($J1527=0,0,IFERROR(MATCH(INDEX(ROTACAO_RDM!$N$6:$N$71,$J1527),PARAMETROS_CULTURAS!$B$6:$B$28,0),0))</f>
        <v>0</v>
      </c>
      <c r="Q1527" s="8" t="str">
        <f aca="false">IF($P1527=0,"-",IF($O1527&lt;=INDEX(PARAMETROS_CULTURAS!$F$6:$F$28,$P1527),"INICIAL",IF($O1527&lt;=INDEX(PARAMETROS_CULTURAS!$F$6:$F$28,$P1527)+INDEX(PARAMETROS_CULTURAS!$G$6:$G$28,$P1527),"DESENVOLVIMENTO",IF($O1527&lt;=INDEX(PARAMETROS_CULTURAS!$F$6:$F$28,$P1527)+INDEX(PARAMETROS_CULTURAS!$G$6:$G$28,$P1527)+INDEX(PARAMETROS_CULTURAS!$H$6:$H$28,$P1527),"MEDIA","FINAL"))))</f>
        <v>-</v>
      </c>
      <c r="R1527" s="24" t="n">
        <f aca="false">IF($P1527=0,0,IF($O1527&lt;=INDEX(PARAMETROS_CULTURAS!$F$6:$F$28,$P1527),INDEX(PARAMETROS_CULTURAS!$K$6:$K$28,$P1527),IF($O1527&lt;=INDEX(PARAMETROS_CULTURAS!$F$6:$F$28,$P1527)+INDEX(PARAMETROS_CULTURAS!$G$6:$G$28,$P1527),INDEX(PARAMETROS_CULTURAS!$K$6:$K$28,$P1527)+(INDEX(PARAMETROS_CULTURAS!$L$6:$L$28,$P1527)-INDEX(PARAMETROS_CULTURAS!$K$6:$K$28,$P1527))*($O1527-INDEX(PARAMETROS_CULTURAS!$F$6:$F$28,$P1527))/MAX(INDEX(PARAMETROS_CULTURAS!$G$6:$G$28,$P1527),0.0001),IF($O1527&lt;=INDEX(PARAMETROS_CULTURAS!$F$6:$F$28,$P1527)+INDEX(PARAMETROS_CULTURAS!$G$6:$G$28,$P1527)+INDEX(PARAMETROS_CULTURAS!$H$6:$H$28,$P1527),INDEX(PARAMETROS_CULTURAS!$L$6:$L$28,$P1527),INDEX(PARAMETROS_CULTURAS!$L$6:$L$28,$P1527)+(INDEX(PARAMETROS_CULTURAS!$M$6:$M$28,$P1527)-INDEX(PARAMETROS_CULTURAS!$L$6:$L$28,$P1527))*($O1527-INDEX(PARAMETROS_CULTURAS!$F$6:$F$28,$P1527)-INDEX(PARAMETROS_CULTURAS!$G$6:$G$28,$P1527)-INDEX(PARAMETROS_CULTURAS!$H$6:$H$28,$P1527))/MAX(INDEX(PARAMETROS_CULTURAS!$I$6:$I$28,$P1527),0.0001)))))</f>
        <v>0</v>
      </c>
      <c r="S1527" s="18" t="n">
        <f aca="false">IFERROR(INDEX(SEMANAS!$H$6:$H$71,MATCH($B1527,SEMANAS!$B$6:$B$71,0)),0)</f>
        <v>40.6</v>
      </c>
      <c r="T1527" s="18" t="n">
        <f aca="false">$R1527*$S1527</f>
        <v>0</v>
      </c>
      <c r="U1527" s="18" t="n">
        <f aca="false">IFERROR(INDEX(SEMANAS!$I$6:$I$71,MATCH($B1527,SEMANAS!$B$6:$B$71,0)),0)</f>
        <v>7</v>
      </c>
      <c r="V1527" s="18" t="n">
        <f aca="false">IFERROR(INDEX(SEMANAS!$J$6:$J$71,MATCH($B1527,SEMANAS!$B$6:$B$71,0)),0)</f>
        <v>5.6</v>
      </c>
      <c r="W1527" s="18" t="n">
        <f aca="false">MAX(0,$T1527-$V1527)</f>
        <v>0</v>
      </c>
      <c r="X1527" s="19" t="n">
        <f aca="false">IFERROR(INDEX(CADASTRO_PIVOS!$K$6:$K$41,MATCH($E1527,CADASTRO_PIVOS!$B$6:$B$41,0)),EFICIENCIA_PADRAO)</f>
        <v>0.85</v>
      </c>
      <c r="Y1527" s="18" t="n">
        <f aca="false">IF($X1527&lt;=0,0,$W1527/$X1527)</f>
        <v>0</v>
      </c>
      <c r="Z1527" s="16" t="n">
        <f aca="false">$Y1527*$H1527*MM_PARA_M3_HA</f>
        <v>0</v>
      </c>
      <c r="AA1527" s="18" t="n">
        <f aca="false">IFERROR(INDEX(CADASTRO_PIVOS!$I$6:$I$41,MATCH($E1527,CADASTRO_PIVOS!$B$6:$B$41,0)),0)</f>
        <v>971.133333333333</v>
      </c>
      <c r="AB1527" s="18" t="n">
        <f aca="false">IF($Z1527&lt;=0,0,$Z1527/$AA1527)</f>
        <v>0</v>
      </c>
      <c r="AC1527" s="16" t="n">
        <f aca="false">IFERROR(INDEX(SEMANAS!$K$6:$K$71,MATCH($B1527,SEMANAS!$B$6:$B$71,0)),0)</f>
        <v>147</v>
      </c>
      <c r="AD1527" s="19" t="n">
        <f aca="false">IF($AC1527&lt;=0,0,$AB1527/$AC1527)</f>
        <v>0</v>
      </c>
      <c r="AE1527" s="8" t="str">
        <f aca="false">IF($K1527="SEM CULTURA","SEM CULTURA",IF($AA1527&lt;=0,"DADO PENDENTE",IF($AD1527&gt;LIMITE_CRITICO,"INVIAVEL",IF($AD1527&gt;LIMITE_ATENCAO,"CRITICO",IF($AD1527&gt;LIMITE_CONFORTAVEL,"ATENCAO","OK")))))</f>
        <v>SEM CULTURA</v>
      </c>
      <c r="AF1527" s="8" t="str">
        <f aca="false">$B1527&amp;"|"&amp;TEXT($AD1527,"0.000000")</f>
        <v>4|0.000000</v>
      </c>
      <c r="AG1527" s="18" t="n">
        <f aca="false">IF($K1527="SEM CULTURA",0,$T1527*$H1527)</f>
        <v>0</v>
      </c>
      <c r="AH1527" s="18" t="n">
        <f aca="false">IF($K1527="SEM CULTURA",0,$V1527*$H1527)</f>
        <v>0</v>
      </c>
      <c r="AI1527" s="18" t="n">
        <f aca="false">IF($K1527="SEM CULTURA",0,$W1527*$H1527)</f>
        <v>0</v>
      </c>
      <c r="AJ1527" s="18" t="n">
        <f aca="false">IF($K1527="SEM CULTURA",0,$S1527*$H1527)</f>
        <v>0</v>
      </c>
      <c r="AK1527" s="8" t="str">
        <f aca="false">$E1527&amp;"|"&amp;TEXT($AD1527,"0.000000")</f>
        <v>PV 120|0.000000</v>
      </c>
    </row>
    <row r="1528" customFormat="false" ht="15" hidden="false" customHeight="false" outlineLevel="0" collapsed="false">
      <c r="B1528" s="16" t="n">
        <v>5</v>
      </c>
      <c r="C1528" s="17" t="n">
        <f aca="false">DATA_INICIO_SAFRA+($B1528-1)*DIAS_POR_SEMANA</f>
        <v>46293</v>
      </c>
      <c r="D1528" s="17" t="n">
        <f aca="false">$C1528+DIAS_POR_SEMANA-1</f>
        <v>46299</v>
      </c>
      <c r="E1528" s="15" t="s">
        <v>282</v>
      </c>
      <c r="F1528" s="8" t="str">
        <f aca="false">IFERROR(INDEX(CADASTRO_PIVOS!$C$6:$C$41,MATCH($E1528,CADASTRO_PIVOS!$B$6:$B$41,0)),"?")</f>
        <v>RM07</v>
      </c>
      <c r="G1528" s="8" t="str">
        <f aca="false">IFERROR(INDEX(CADASTRO_PIVOS!$D$6:$D$41,MATCH($E1528,CADASTRO_PIVOS!$B$6:$B$41,0)),"?")</f>
        <v>TR07</v>
      </c>
      <c r="H1528" s="20" t="n">
        <f aca="false">IFERROR(INDEX(CADASTRO_PIVOS!$E$6:$E$41,MATCH($E1528,CADASTRO_PIVOS!$B$6:$B$41,0)),0)</f>
        <v>145.67</v>
      </c>
      <c r="I1528" s="16" t="n">
        <f aca="false">IFERROR(SUMIFS(ROTACAO_RDM!$B$6:$B$71,ROTACAO_RDM!$D$6:$D$71,$E1528,ROTACAO_RDM!$I$6:$I$71,"&lt;="&amp;$C1528+INT(DIAS_POR_SEMANA/2),ROTACAO_RDM!$J$6:$J$71,"&gt;="&amp;$C1528+INT(DIAS_POR_SEMANA/2)),0)</f>
        <v>0</v>
      </c>
      <c r="J1528" s="16" t="n">
        <f aca="false">IFERROR(MATCH($I1528,ROTACAO_RDM!$B$6:$B$71,0),0)</f>
        <v>0</v>
      </c>
      <c r="K1528" s="8" t="str">
        <f aca="false">IF($J1528=0,"SEM CULTURA",INDEX(ROTACAO_RDM!$F$6:$F$71,$J1528))</f>
        <v>SEM CULTURA</v>
      </c>
      <c r="L1528" s="8" t="str">
        <f aca="false">IF($J1528=0,"",INDEX(ROTACAO_RDM!$G$6:$G$71,$J1528))</f>
        <v/>
      </c>
      <c r="M1528" s="17" t="str">
        <f aca="false">IF($J1528=0,"",INDEX(ROTACAO_RDM!$I$6:$I$71,$J1528))</f>
        <v/>
      </c>
      <c r="N1528" s="16" t="n">
        <f aca="false">IF($J1528=0,0,MAX(0,$C1528+INT(DIAS_POR_SEMANA/2)-INDEX(ROTACAO_RDM!$I$6:$I$71,$J1528)))</f>
        <v>0</v>
      </c>
      <c r="O1528" s="19" t="n">
        <f aca="false">IF($J1528=0,0,MIN(1,$N1528/MAX(1,INDEX(ROTACAO_RDM!$K$6:$K$71,$J1528))))</f>
        <v>0</v>
      </c>
      <c r="P1528" s="16" t="n">
        <f aca="false">IF($J1528=0,0,IFERROR(MATCH(INDEX(ROTACAO_RDM!$N$6:$N$71,$J1528),PARAMETROS_CULTURAS!$B$6:$B$28,0),0))</f>
        <v>0</v>
      </c>
      <c r="Q1528" s="8" t="str">
        <f aca="false">IF($P1528=0,"-",IF($O1528&lt;=INDEX(PARAMETROS_CULTURAS!$F$6:$F$28,$P1528),"INICIAL",IF($O1528&lt;=INDEX(PARAMETROS_CULTURAS!$F$6:$F$28,$P1528)+INDEX(PARAMETROS_CULTURAS!$G$6:$G$28,$P1528),"DESENVOLVIMENTO",IF($O1528&lt;=INDEX(PARAMETROS_CULTURAS!$F$6:$F$28,$P1528)+INDEX(PARAMETROS_CULTURAS!$G$6:$G$28,$P1528)+INDEX(PARAMETROS_CULTURAS!$H$6:$H$28,$P1528),"MEDIA","FINAL"))))</f>
        <v>-</v>
      </c>
      <c r="R1528" s="24" t="n">
        <f aca="false">IF($P1528=0,0,IF($O1528&lt;=INDEX(PARAMETROS_CULTURAS!$F$6:$F$28,$P1528),INDEX(PARAMETROS_CULTURAS!$K$6:$K$28,$P1528),IF($O1528&lt;=INDEX(PARAMETROS_CULTURAS!$F$6:$F$28,$P1528)+INDEX(PARAMETROS_CULTURAS!$G$6:$G$28,$P1528),INDEX(PARAMETROS_CULTURAS!$K$6:$K$28,$P1528)+(INDEX(PARAMETROS_CULTURAS!$L$6:$L$28,$P1528)-INDEX(PARAMETROS_CULTURAS!$K$6:$K$28,$P1528))*($O1528-INDEX(PARAMETROS_CULTURAS!$F$6:$F$28,$P1528))/MAX(INDEX(PARAMETROS_CULTURAS!$G$6:$G$28,$P1528),0.0001),IF($O1528&lt;=INDEX(PARAMETROS_CULTURAS!$F$6:$F$28,$P1528)+INDEX(PARAMETROS_CULTURAS!$G$6:$G$28,$P1528)+INDEX(PARAMETROS_CULTURAS!$H$6:$H$28,$P1528),INDEX(PARAMETROS_CULTURAS!$L$6:$L$28,$P1528),INDEX(PARAMETROS_CULTURAS!$L$6:$L$28,$P1528)+(INDEX(PARAMETROS_CULTURAS!$M$6:$M$28,$P1528)-INDEX(PARAMETROS_CULTURAS!$L$6:$L$28,$P1528))*($O1528-INDEX(PARAMETROS_CULTURAS!$F$6:$F$28,$P1528)-INDEX(PARAMETROS_CULTURAS!$G$6:$G$28,$P1528)-INDEX(PARAMETROS_CULTURAS!$H$6:$H$28,$P1528))/MAX(INDEX(PARAMETROS_CULTURAS!$I$6:$I$28,$P1528),0.0001)))))</f>
        <v>0</v>
      </c>
      <c r="S1528" s="18" t="n">
        <f aca="false">IFERROR(INDEX(SEMANAS!$H$6:$H$71,MATCH($B1528,SEMANAS!$B$6:$B$71,0)),0)</f>
        <v>39.8</v>
      </c>
      <c r="T1528" s="18" t="n">
        <f aca="false">$R1528*$S1528</f>
        <v>0</v>
      </c>
      <c r="U1528" s="18" t="n">
        <f aca="false">IFERROR(INDEX(SEMANAS!$I$6:$I$71,MATCH($B1528,SEMANAS!$B$6:$B$71,0)),0)</f>
        <v>18.48</v>
      </c>
      <c r="V1528" s="18" t="n">
        <f aca="false">IFERROR(INDEX(SEMANAS!$J$6:$J$71,MATCH($B1528,SEMANAS!$B$6:$B$71,0)),0)</f>
        <v>14.784</v>
      </c>
      <c r="W1528" s="18" t="n">
        <f aca="false">MAX(0,$T1528-$V1528)</f>
        <v>0</v>
      </c>
      <c r="X1528" s="19" t="n">
        <f aca="false">IFERROR(INDEX(CADASTRO_PIVOS!$K$6:$K$41,MATCH($E1528,CADASTRO_PIVOS!$B$6:$B$41,0)),EFICIENCIA_PADRAO)</f>
        <v>0.85</v>
      </c>
      <c r="Y1528" s="18" t="n">
        <f aca="false">IF($X1528&lt;=0,0,$W1528/$X1528)</f>
        <v>0</v>
      </c>
      <c r="Z1528" s="16" t="n">
        <f aca="false">$Y1528*$H1528*MM_PARA_M3_HA</f>
        <v>0</v>
      </c>
      <c r="AA1528" s="18" t="n">
        <f aca="false">IFERROR(INDEX(CADASTRO_PIVOS!$I$6:$I$41,MATCH($E1528,CADASTRO_PIVOS!$B$6:$B$41,0)),0)</f>
        <v>971.133333333333</v>
      </c>
      <c r="AB1528" s="18" t="n">
        <f aca="false">IF($Z1528&lt;=0,0,$Z1528/$AA1528)</f>
        <v>0</v>
      </c>
      <c r="AC1528" s="16" t="n">
        <f aca="false">IFERROR(INDEX(SEMANAS!$K$6:$K$71,MATCH($B1528,SEMANAS!$B$6:$B$71,0)),0)</f>
        <v>147</v>
      </c>
      <c r="AD1528" s="19" t="n">
        <f aca="false">IF($AC1528&lt;=0,0,$AB1528/$AC1528)</f>
        <v>0</v>
      </c>
      <c r="AE1528" s="8" t="str">
        <f aca="false">IF($K1528="SEM CULTURA","SEM CULTURA",IF($AA1528&lt;=0,"DADO PENDENTE",IF($AD1528&gt;LIMITE_CRITICO,"INVIAVEL",IF($AD1528&gt;LIMITE_ATENCAO,"CRITICO",IF($AD1528&gt;LIMITE_CONFORTAVEL,"ATENCAO","OK")))))</f>
        <v>SEM CULTURA</v>
      </c>
      <c r="AF1528" s="8" t="str">
        <f aca="false">$B1528&amp;"|"&amp;TEXT($AD1528,"0.000000")</f>
        <v>5|0.000000</v>
      </c>
      <c r="AG1528" s="18" t="n">
        <f aca="false">IF($K1528="SEM CULTURA",0,$T1528*$H1528)</f>
        <v>0</v>
      </c>
      <c r="AH1528" s="18" t="n">
        <f aca="false">IF($K1528="SEM CULTURA",0,$V1528*$H1528)</f>
        <v>0</v>
      </c>
      <c r="AI1528" s="18" t="n">
        <f aca="false">IF($K1528="SEM CULTURA",0,$W1528*$H1528)</f>
        <v>0</v>
      </c>
      <c r="AJ1528" s="18" t="n">
        <f aca="false">IF($K1528="SEM CULTURA",0,$S1528*$H1528)</f>
        <v>0</v>
      </c>
      <c r="AK1528" s="8" t="str">
        <f aca="false">$E1528&amp;"|"&amp;TEXT($AD1528,"0.000000")</f>
        <v>PV 120|0.000000</v>
      </c>
    </row>
    <row r="1529" customFormat="false" ht="15" hidden="false" customHeight="false" outlineLevel="0" collapsed="false">
      <c r="B1529" s="16" t="n">
        <v>6</v>
      </c>
      <c r="C1529" s="17" t="n">
        <f aca="false">DATA_INICIO_SAFRA+($B1529-1)*DIAS_POR_SEMANA</f>
        <v>46300</v>
      </c>
      <c r="D1529" s="17" t="n">
        <f aca="false">$C1529+DIAS_POR_SEMANA-1</f>
        <v>46306</v>
      </c>
      <c r="E1529" s="15" t="s">
        <v>282</v>
      </c>
      <c r="F1529" s="8" t="str">
        <f aca="false">IFERROR(INDEX(CADASTRO_PIVOS!$C$6:$C$41,MATCH($E1529,CADASTRO_PIVOS!$B$6:$B$41,0)),"?")</f>
        <v>RM07</v>
      </c>
      <c r="G1529" s="8" t="str">
        <f aca="false">IFERROR(INDEX(CADASTRO_PIVOS!$D$6:$D$41,MATCH($E1529,CADASTRO_PIVOS!$B$6:$B$41,0)),"?")</f>
        <v>TR07</v>
      </c>
      <c r="H1529" s="20" t="n">
        <f aca="false">IFERROR(INDEX(CADASTRO_PIVOS!$E$6:$E$41,MATCH($E1529,CADASTRO_PIVOS!$B$6:$B$41,0)),0)</f>
        <v>145.67</v>
      </c>
      <c r="I1529" s="16" t="n">
        <f aca="false">IFERROR(SUMIFS(ROTACAO_RDM!$B$6:$B$71,ROTACAO_RDM!$D$6:$D$71,$E1529,ROTACAO_RDM!$I$6:$I$71,"&lt;="&amp;$C1529+INT(DIAS_POR_SEMANA/2),ROTACAO_RDM!$J$6:$J$71,"&gt;="&amp;$C1529+INT(DIAS_POR_SEMANA/2)),0)</f>
        <v>0</v>
      </c>
      <c r="J1529" s="16" t="n">
        <f aca="false">IFERROR(MATCH($I1529,ROTACAO_RDM!$B$6:$B$71,0),0)</f>
        <v>0</v>
      </c>
      <c r="K1529" s="8" t="str">
        <f aca="false">IF($J1529=0,"SEM CULTURA",INDEX(ROTACAO_RDM!$F$6:$F$71,$J1529))</f>
        <v>SEM CULTURA</v>
      </c>
      <c r="L1529" s="8" t="str">
        <f aca="false">IF($J1529=0,"",INDEX(ROTACAO_RDM!$G$6:$G$71,$J1529))</f>
        <v/>
      </c>
      <c r="M1529" s="17" t="str">
        <f aca="false">IF($J1529=0,"",INDEX(ROTACAO_RDM!$I$6:$I$71,$J1529))</f>
        <v/>
      </c>
      <c r="N1529" s="16" t="n">
        <f aca="false">IF($J1529=0,0,MAX(0,$C1529+INT(DIAS_POR_SEMANA/2)-INDEX(ROTACAO_RDM!$I$6:$I$71,$J1529)))</f>
        <v>0</v>
      </c>
      <c r="O1529" s="19" t="n">
        <f aca="false">IF($J1529=0,0,MIN(1,$N1529/MAX(1,INDEX(ROTACAO_RDM!$K$6:$K$71,$J1529))))</f>
        <v>0</v>
      </c>
      <c r="P1529" s="16" t="n">
        <f aca="false">IF($J1529=0,0,IFERROR(MATCH(INDEX(ROTACAO_RDM!$N$6:$N$71,$J1529),PARAMETROS_CULTURAS!$B$6:$B$28,0),0))</f>
        <v>0</v>
      </c>
      <c r="Q1529" s="8" t="str">
        <f aca="false">IF($P1529=0,"-",IF($O1529&lt;=INDEX(PARAMETROS_CULTURAS!$F$6:$F$28,$P1529),"INICIAL",IF($O1529&lt;=INDEX(PARAMETROS_CULTURAS!$F$6:$F$28,$P1529)+INDEX(PARAMETROS_CULTURAS!$G$6:$G$28,$P1529),"DESENVOLVIMENTO",IF($O1529&lt;=INDEX(PARAMETROS_CULTURAS!$F$6:$F$28,$P1529)+INDEX(PARAMETROS_CULTURAS!$G$6:$G$28,$P1529)+INDEX(PARAMETROS_CULTURAS!$H$6:$H$28,$P1529),"MEDIA","FINAL"))))</f>
        <v>-</v>
      </c>
      <c r="R1529" s="24" t="n">
        <f aca="false">IF($P1529=0,0,IF($O1529&lt;=INDEX(PARAMETROS_CULTURAS!$F$6:$F$28,$P1529),INDEX(PARAMETROS_CULTURAS!$K$6:$K$28,$P1529),IF($O1529&lt;=INDEX(PARAMETROS_CULTURAS!$F$6:$F$28,$P1529)+INDEX(PARAMETROS_CULTURAS!$G$6:$G$28,$P1529),INDEX(PARAMETROS_CULTURAS!$K$6:$K$28,$P1529)+(INDEX(PARAMETROS_CULTURAS!$L$6:$L$28,$P1529)-INDEX(PARAMETROS_CULTURAS!$K$6:$K$28,$P1529))*($O1529-INDEX(PARAMETROS_CULTURAS!$F$6:$F$28,$P1529))/MAX(INDEX(PARAMETROS_CULTURAS!$G$6:$G$28,$P1529),0.0001),IF($O1529&lt;=INDEX(PARAMETROS_CULTURAS!$F$6:$F$28,$P1529)+INDEX(PARAMETROS_CULTURAS!$G$6:$G$28,$P1529)+INDEX(PARAMETROS_CULTURAS!$H$6:$H$28,$P1529),INDEX(PARAMETROS_CULTURAS!$L$6:$L$28,$P1529),INDEX(PARAMETROS_CULTURAS!$L$6:$L$28,$P1529)+(INDEX(PARAMETROS_CULTURAS!$M$6:$M$28,$P1529)-INDEX(PARAMETROS_CULTURAS!$L$6:$L$28,$P1529))*($O1529-INDEX(PARAMETROS_CULTURAS!$F$6:$F$28,$P1529)-INDEX(PARAMETROS_CULTURAS!$G$6:$G$28,$P1529)-INDEX(PARAMETROS_CULTURAS!$H$6:$H$28,$P1529))/MAX(INDEX(PARAMETROS_CULTURAS!$I$6:$I$28,$P1529),0.0001)))))</f>
        <v>0</v>
      </c>
      <c r="S1529" s="18" t="n">
        <f aca="false">IFERROR(INDEX(SEMANAS!$H$6:$H$71,MATCH($B1529,SEMANAS!$B$6:$B$71,0)),0)</f>
        <v>39.2</v>
      </c>
      <c r="T1529" s="18" t="n">
        <f aca="false">$R1529*$S1529</f>
        <v>0</v>
      </c>
      <c r="U1529" s="18" t="n">
        <f aca="false">IFERROR(INDEX(SEMANAS!$I$6:$I$71,MATCH($B1529,SEMANAS!$B$6:$B$71,0)),0)</f>
        <v>27.09</v>
      </c>
      <c r="V1529" s="18" t="n">
        <f aca="false">IFERROR(INDEX(SEMANAS!$J$6:$J$71,MATCH($B1529,SEMANAS!$B$6:$B$71,0)),0)</f>
        <v>21.672</v>
      </c>
      <c r="W1529" s="18" t="n">
        <f aca="false">MAX(0,$T1529-$V1529)</f>
        <v>0</v>
      </c>
      <c r="X1529" s="19" t="n">
        <f aca="false">IFERROR(INDEX(CADASTRO_PIVOS!$K$6:$K$41,MATCH($E1529,CADASTRO_PIVOS!$B$6:$B$41,0)),EFICIENCIA_PADRAO)</f>
        <v>0.85</v>
      </c>
      <c r="Y1529" s="18" t="n">
        <f aca="false">IF($X1529&lt;=0,0,$W1529/$X1529)</f>
        <v>0</v>
      </c>
      <c r="Z1529" s="16" t="n">
        <f aca="false">$Y1529*$H1529*MM_PARA_M3_HA</f>
        <v>0</v>
      </c>
      <c r="AA1529" s="18" t="n">
        <f aca="false">IFERROR(INDEX(CADASTRO_PIVOS!$I$6:$I$41,MATCH($E1529,CADASTRO_PIVOS!$B$6:$B$41,0)),0)</f>
        <v>971.133333333333</v>
      </c>
      <c r="AB1529" s="18" t="n">
        <f aca="false">IF($Z1529&lt;=0,0,$Z1529/$AA1529)</f>
        <v>0</v>
      </c>
      <c r="AC1529" s="16" t="n">
        <f aca="false">IFERROR(INDEX(SEMANAS!$K$6:$K$71,MATCH($B1529,SEMANAS!$B$6:$B$71,0)),0)</f>
        <v>147</v>
      </c>
      <c r="AD1529" s="19" t="n">
        <f aca="false">IF($AC1529&lt;=0,0,$AB1529/$AC1529)</f>
        <v>0</v>
      </c>
      <c r="AE1529" s="8" t="str">
        <f aca="false">IF($K1529="SEM CULTURA","SEM CULTURA",IF($AA1529&lt;=0,"DADO PENDENTE",IF($AD1529&gt;LIMITE_CRITICO,"INVIAVEL",IF($AD1529&gt;LIMITE_ATENCAO,"CRITICO",IF($AD1529&gt;LIMITE_CONFORTAVEL,"ATENCAO","OK")))))</f>
        <v>SEM CULTURA</v>
      </c>
      <c r="AF1529" s="8" t="str">
        <f aca="false">$B1529&amp;"|"&amp;TEXT($AD1529,"0.000000")</f>
        <v>6|0.000000</v>
      </c>
      <c r="AG1529" s="18" t="n">
        <f aca="false">IF($K1529="SEM CULTURA",0,$T1529*$H1529)</f>
        <v>0</v>
      </c>
      <c r="AH1529" s="18" t="n">
        <f aca="false">IF($K1529="SEM CULTURA",0,$V1529*$H1529)</f>
        <v>0</v>
      </c>
      <c r="AI1529" s="18" t="n">
        <f aca="false">IF($K1529="SEM CULTURA",0,$W1529*$H1529)</f>
        <v>0</v>
      </c>
      <c r="AJ1529" s="18" t="n">
        <f aca="false">IF($K1529="SEM CULTURA",0,$S1529*$H1529)</f>
        <v>0</v>
      </c>
      <c r="AK1529" s="8" t="str">
        <f aca="false">$E1529&amp;"|"&amp;TEXT($AD1529,"0.000000")</f>
        <v>PV 120|0.000000</v>
      </c>
    </row>
    <row r="1530" customFormat="false" ht="15" hidden="false" customHeight="false" outlineLevel="0" collapsed="false">
      <c r="B1530" s="16" t="n">
        <v>7</v>
      </c>
      <c r="C1530" s="17" t="n">
        <f aca="false">DATA_INICIO_SAFRA+($B1530-1)*DIAS_POR_SEMANA</f>
        <v>46307</v>
      </c>
      <c r="D1530" s="17" t="n">
        <f aca="false">$C1530+DIAS_POR_SEMANA-1</f>
        <v>46313</v>
      </c>
      <c r="E1530" s="15" t="s">
        <v>282</v>
      </c>
      <c r="F1530" s="8" t="str">
        <f aca="false">IFERROR(INDEX(CADASTRO_PIVOS!$C$6:$C$41,MATCH($E1530,CADASTRO_PIVOS!$B$6:$B$41,0)),"?")</f>
        <v>RM07</v>
      </c>
      <c r="G1530" s="8" t="str">
        <f aca="false">IFERROR(INDEX(CADASTRO_PIVOS!$D$6:$D$41,MATCH($E1530,CADASTRO_PIVOS!$B$6:$B$41,0)),"?")</f>
        <v>TR07</v>
      </c>
      <c r="H1530" s="20" t="n">
        <f aca="false">IFERROR(INDEX(CADASTRO_PIVOS!$E$6:$E$41,MATCH($E1530,CADASTRO_PIVOS!$B$6:$B$41,0)),0)</f>
        <v>145.67</v>
      </c>
      <c r="I1530" s="16" t="n">
        <f aca="false">IFERROR(SUMIFS(ROTACAO_RDM!$B$6:$B$71,ROTACAO_RDM!$D$6:$D$71,$E1530,ROTACAO_RDM!$I$6:$I$71,"&lt;="&amp;$C1530+INT(DIAS_POR_SEMANA/2),ROTACAO_RDM!$J$6:$J$71,"&gt;="&amp;$C1530+INT(DIAS_POR_SEMANA/2)),0)</f>
        <v>0</v>
      </c>
      <c r="J1530" s="16" t="n">
        <f aca="false">IFERROR(MATCH($I1530,ROTACAO_RDM!$B$6:$B$71,0),0)</f>
        <v>0</v>
      </c>
      <c r="K1530" s="8" t="str">
        <f aca="false">IF($J1530=0,"SEM CULTURA",INDEX(ROTACAO_RDM!$F$6:$F$71,$J1530))</f>
        <v>SEM CULTURA</v>
      </c>
      <c r="L1530" s="8" t="str">
        <f aca="false">IF($J1530=0,"",INDEX(ROTACAO_RDM!$G$6:$G$71,$J1530))</f>
        <v/>
      </c>
      <c r="M1530" s="17" t="str">
        <f aca="false">IF($J1530=0,"",INDEX(ROTACAO_RDM!$I$6:$I$71,$J1530))</f>
        <v/>
      </c>
      <c r="N1530" s="16" t="n">
        <f aca="false">IF($J1530=0,0,MAX(0,$C1530+INT(DIAS_POR_SEMANA/2)-INDEX(ROTACAO_RDM!$I$6:$I$71,$J1530)))</f>
        <v>0</v>
      </c>
      <c r="O1530" s="19" t="n">
        <f aca="false">IF($J1530=0,0,MIN(1,$N1530/MAX(1,INDEX(ROTACAO_RDM!$K$6:$K$71,$J1530))))</f>
        <v>0</v>
      </c>
      <c r="P1530" s="16" t="n">
        <f aca="false">IF($J1530=0,0,IFERROR(MATCH(INDEX(ROTACAO_RDM!$N$6:$N$71,$J1530),PARAMETROS_CULTURAS!$B$6:$B$28,0),0))</f>
        <v>0</v>
      </c>
      <c r="Q1530" s="8" t="str">
        <f aca="false">IF($P1530=0,"-",IF($O1530&lt;=INDEX(PARAMETROS_CULTURAS!$F$6:$F$28,$P1530),"INICIAL",IF($O1530&lt;=INDEX(PARAMETROS_CULTURAS!$F$6:$F$28,$P1530)+INDEX(PARAMETROS_CULTURAS!$G$6:$G$28,$P1530),"DESENVOLVIMENTO",IF($O1530&lt;=INDEX(PARAMETROS_CULTURAS!$F$6:$F$28,$P1530)+INDEX(PARAMETROS_CULTURAS!$G$6:$G$28,$P1530)+INDEX(PARAMETROS_CULTURAS!$H$6:$H$28,$P1530),"MEDIA","FINAL"))))</f>
        <v>-</v>
      </c>
      <c r="R1530" s="24" t="n">
        <f aca="false">IF($P1530=0,0,IF($O1530&lt;=INDEX(PARAMETROS_CULTURAS!$F$6:$F$28,$P1530),INDEX(PARAMETROS_CULTURAS!$K$6:$K$28,$P1530),IF($O1530&lt;=INDEX(PARAMETROS_CULTURAS!$F$6:$F$28,$P1530)+INDEX(PARAMETROS_CULTURAS!$G$6:$G$28,$P1530),INDEX(PARAMETROS_CULTURAS!$K$6:$K$28,$P1530)+(INDEX(PARAMETROS_CULTURAS!$L$6:$L$28,$P1530)-INDEX(PARAMETROS_CULTURAS!$K$6:$K$28,$P1530))*($O1530-INDEX(PARAMETROS_CULTURAS!$F$6:$F$28,$P1530))/MAX(INDEX(PARAMETROS_CULTURAS!$G$6:$G$28,$P1530),0.0001),IF($O1530&lt;=INDEX(PARAMETROS_CULTURAS!$F$6:$F$28,$P1530)+INDEX(PARAMETROS_CULTURAS!$G$6:$G$28,$P1530)+INDEX(PARAMETROS_CULTURAS!$H$6:$H$28,$P1530),INDEX(PARAMETROS_CULTURAS!$L$6:$L$28,$P1530),INDEX(PARAMETROS_CULTURAS!$L$6:$L$28,$P1530)+(INDEX(PARAMETROS_CULTURAS!$M$6:$M$28,$P1530)-INDEX(PARAMETROS_CULTURAS!$L$6:$L$28,$P1530))*($O1530-INDEX(PARAMETROS_CULTURAS!$F$6:$F$28,$P1530)-INDEX(PARAMETROS_CULTURAS!$G$6:$G$28,$P1530)-INDEX(PARAMETROS_CULTURAS!$H$6:$H$28,$P1530))/MAX(INDEX(PARAMETROS_CULTURAS!$I$6:$I$28,$P1530),0.0001)))))</f>
        <v>0</v>
      </c>
      <c r="S1530" s="18" t="n">
        <f aca="false">IFERROR(INDEX(SEMANAS!$H$6:$H$71,MATCH($B1530,SEMANAS!$B$6:$B$71,0)),0)</f>
        <v>39.2</v>
      </c>
      <c r="T1530" s="18" t="n">
        <f aca="false">$R1530*$S1530</f>
        <v>0</v>
      </c>
      <c r="U1530" s="18" t="n">
        <f aca="false">IFERROR(INDEX(SEMANAS!$I$6:$I$71,MATCH($B1530,SEMANAS!$B$6:$B$71,0)),0)</f>
        <v>27.09</v>
      </c>
      <c r="V1530" s="18" t="n">
        <f aca="false">IFERROR(INDEX(SEMANAS!$J$6:$J$71,MATCH($B1530,SEMANAS!$B$6:$B$71,0)),0)</f>
        <v>21.672</v>
      </c>
      <c r="W1530" s="18" t="n">
        <f aca="false">MAX(0,$T1530-$V1530)</f>
        <v>0</v>
      </c>
      <c r="X1530" s="19" t="n">
        <f aca="false">IFERROR(INDEX(CADASTRO_PIVOS!$K$6:$K$41,MATCH($E1530,CADASTRO_PIVOS!$B$6:$B$41,0)),EFICIENCIA_PADRAO)</f>
        <v>0.85</v>
      </c>
      <c r="Y1530" s="18" t="n">
        <f aca="false">IF($X1530&lt;=0,0,$W1530/$X1530)</f>
        <v>0</v>
      </c>
      <c r="Z1530" s="16" t="n">
        <f aca="false">$Y1530*$H1530*MM_PARA_M3_HA</f>
        <v>0</v>
      </c>
      <c r="AA1530" s="18" t="n">
        <f aca="false">IFERROR(INDEX(CADASTRO_PIVOS!$I$6:$I$41,MATCH($E1530,CADASTRO_PIVOS!$B$6:$B$41,0)),0)</f>
        <v>971.133333333333</v>
      </c>
      <c r="AB1530" s="18" t="n">
        <f aca="false">IF($Z1530&lt;=0,0,$Z1530/$AA1530)</f>
        <v>0</v>
      </c>
      <c r="AC1530" s="16" t="n">
        <f aca="false">IFERROR(INDEX(SEMANAS!$K$6:$K$71,MATCH($B1530,SEMANAS!$B$6:$B$71,0)),0)</f>
        <v>147</v>
      </c>
      <c r="AD1530" s="19" t="n">
        <f aca="false">IF($AC1530&lt;=0,0,$AB1530/$AC1530)</f>
        <v>0</v>
      </c>
      <c r="AE1530" s="8" t="str">
        <f aca="false">IF($K1530="SEM CULTURA","SEM CULTURA",IF($AA1530&lt;=0,"DADO PENDENTE",IF($AD1530&gt;LIMITE_CRITICO,"INVIAVEL",IF($AD1530&gt;LIMITE_ATENCAO,"CRITICO",IF($AD1530&gt;LIMITE_CONFORTAVEL,"ATENCAO","OK")))))</f>
        <v>SEM CULTURA</v>
      </c>
      <c r="AF1530" s="8" t="str">
        <f aca="false">$B1530&amp;"|"&amp;TEXT($AD1530,"0.000000")</f>
        <v>7|0.000000</v>
      </c>
      <c r="AG1530" s="18" t="n">
        <f aca="false">IF($K1530="SEM CULTURA",0,$T1530*$H1530)</f>
        <v>0</v>
      </c>
      <c r="AH1530" s="18" t="n">
        <f aca="false">IF($K1530="SEM CULTURA",0,$V1530*$H1530)</f>
        <v>0</v>
      </c>
      <c r="AI1530" s="18" t="n">
        <f aca="false">IF($K1530="SEM CULTURA",0,$W1530*$H1530)</f>
        <v>0</v>
      </c>
      <c r="AJ1530" s="18" t="n">
        <f aca="false">IF($K1530="SEM CULTURA",0,$S1530*$H1530)</f>
        <v>0</v>
      </c>
      <c r="AK1530" s="8" t="str">
        <f aca="false">$E1530&amp;"|"&amp;TEXT($AD1530,"0.000000")</f>
        <v>PV 120|0.000000</v>
      </c>
    </row>
    <row r="1531" customFormat="false" ht="15" hidden="false" customHeight="false" outlineLevel="0" collapsed="false">
      <c r="B1531" s="16" t="n">
        <v>8</v>
      </c>
      <c r="C1531" s="17" t="n">
        <f aca="false">DATA_INICIO_SAFRA+($B1531-1)*DIAS_POR_SEMANA</f>
        <v>46314</v>
      </c>
      <c r="D1531" s="17" t="n">
        <f aca="false">$C1531+DIAS_POR_SEMANA-1</f>
        <v>46320</v>
      </c>
      <c r="E1531" s="15" t="s">
        <v>282</v>
      </c>
      <c r="F1531" s="8" t="str">
        <f aca="false">IFERROR(INDEX(CADASTRO_PIVOS!$C$6:$C$41,MATCH($E1531,CADASTRO_PIVOS!$B$6:$B$41,0)),"?")</f>
        <v>RM07</v>
      </c>
      <c r="G1531" s="8" t="str">
        <f aca="false">IFERROR(INDEX(CADASTRO_PIVOS!$D$6:$D$41,MATCH($E1531,CADASTRO_PIVOS!$B$6:$B$41,0)),"?")</f>
        <v>TR07</v>
      </c>
      <c r="H1531" s="20" t="n">
        <f aca="false">IFERROR(INDEX(CADASTRO_PIVOS!$E$6:$E$41,MATCH($E1531,CADASTRO_PIVOS!$B$6:$B$41,0)),0)</f>
        <v>145.67</v>
      </c>
      <c r="I1531" s="16" t="n">
        <f aca="false">IFERROR(SUMIFS(ROTACAO_RDM!$B$6:$B$71,ROTACAO_RDM!$D$6:$D$71,$E1531,ROTACAO_RDM!$I$6:$I$71,"&lt;="&amp;$C1531+INT(DIAS_POR_SEMANA/2),ROTACAO_RDM!$J$6:$J$71,"&gt;="&amp;$C1531+INT(DIAS_POR_SEMANA/2)),0)</f>
        <v>0</v>
      </c>
      <c r="J1531" s="16" t="n">
        <f aca="false">IFERROR(MATCH($I1531,ROTACAO_RDM!$B$6:$B$71,0),0)</f>
        <v>0</v>
      </c>
      <c r="K1531" s="8" t="str">
        <f aca="false">IF($J1531=0,"SEM CULTURA",INDEX(ROTACAO_RDM!$F$6:$F$71,$J1531))</f>
        <v>SEM CULTURA</v>
      </c>
      <c r="L1531" s="8" t="str">
        <f aca="false">IF($J1531=0,"",INDEX(ROTACAO_RDM!$G$6:$G$71,$J1531))</f>
        <v/>
      </c>
      <c r="M1531" s="17" t="str">
        <f aca="false">IF($J1531=0,"",INDEX(ROTACAO_RDM!$I$6:$I$71,$J1531))</f>
        <v/>
      </c>
      <c r="N1531" s="16" t="n">
        <f aca="false">IF($J1531=0,0,MAX(0,$C1531+INT(DIAS_POR_SEMANA/2)-INDEX(ROTACAO_RDM!$I$6:$I$71,$J1531)))</f>
        <v>0</v>
      </c>
      <c r="O1531" s="19" t="n">
        <f aca="false">IF($J1531=0,0,MIN(1,$N1531/MAX(1,INDEX(ROTACAO_RDM!$K$6:$K$71,$J1531))))</f>
        <v>0</v>
      </c>
      <c r="P1531" s="16" t="n">
        <f aca="false">IF($J1531=0,0,IFERROR(MATCH(INDEX(ROTACAO_RDM!$N$6:$N$71,$J1531),PARAMETROS_CULTURAS!$B$6:$B$28,0),0))</f>
        <v>0</v>
      </c>
      <c r="Q1531" s="8" t="str">
        <f aca="false">IF($P1531=0,"-",IF($O1531&lt;=INDEX(PARAMETROS_CULTURAS!$F$6:$F$28,$P1531),"INICIAL",IF($O1531&lt;=INDEX(PARAMETROS_CULTURAS!$F$6:$F$28,$P1531)+INDEX(PARAMETROS_CULTURAS!$G$6:$G$28,$P1531),"DESENVOLVIMENTO",IF($O1531&lt;=INDEX(PARAMETROS_CULTURAS!$F$6:$F$28,$P1531)+INDEX(PARAMETROS_CULTURAS!$G$6:$G$28,$P1531)+INDEX(PARAMETROS_CULTURAS!$H$6:$H$28,$P1531),"MEDIA","FINAL"))))</f>
        <v>-</v>
      </c>
      <c r="R1531" s="24" t="n">
        <f aca="false">IF($P1531=0,0,IF($O1531&lt;=INDEX(PARAMETROS_CULTURAS!$F$6:$F$28,$P1531),INDEX(PARAMETROS_CULTURAS!$K$6:$K$28,$P1531),IF($O1531&lt;=INDEX(PARAMETROS_CULTURAS!$F$6:$F$28,$P1531)+INDEX(PARAMETROS_CULTURAS!$G$6:$G$28,$P1531),INDEX(PARAMETROS_CULTURAS!$K$6:$K$28,$P1531)+(INDEX(PARAMETROS_CULTURAS!$L$6:$L$28,$P1531)-INDEX(PARAMETROS_CULTURAS!$K$6:$K$28,$P1531))*($O1531-INDEX(PARAMETROS_CULTURAS!$F$6:$F$28,$P1531))/MAX(INDEX(PARAMETROS_CULTURAS!$G$6:$G$28,$P1531),0.0001),IF($O1531&lt;=INDEX(PARAMETROS_CULTURAS!$F$6:$F$28,$P1531)+INDEX(PARAMETROS_CULTURAS!$G$6:$G$28,$P1531)+INDEX(PARAMETROS_CULTURAS!$H$6:$H$28,$P1531),INDEX(PARAMETROS_CULTURAS!$L$6:$L$28,$P1531),INDEX(PARAMETROS_CULTURAS!$L$6:$L$28,$P1531)+(INDEX(PARAMETROS_CULTURAS!$M$6:$M$28,$P1531)-INDEX(PARAMETROS_CULTURAS!$L$6:$L$28,$P1531))*($O1531-INDEX(PARAMETROS_CULTURAS!$F$6:$F$28,$P1531)-INDEX(PARAMETROS_CULTURAS!$G$6:$G$28,$P1531)-INDEX(PARAMETROS_CULTURAS!$H$6:$H$28,$P1531))/MAX(INDEX(PARAMETROS_CULTURAS!$I$6:$I$28,$P1531),0.0001)))))</f>
        <v>0</v>
      </c>
      <c r="S1531" s="18" t="n">
        <f aca="false">IFERROR(INDEX(SEMANAS!$H$6:$H$71,MATCH($B1531,SEMANAS!$B$6:$B$71,0)),0)</f>
        <v>39.2</v>
      </c>
      <c r="T1531" s="18" t="n">
        <f aca="false">$R1531*$S1531</f>
        <v>0</v>
      </c>
      <c r="U1531" s="18" t="n">
        <f aca="false">IFERROR(INDEX(SEMANAS!$I$6:$I$71,MATCH($B1531,SEMANAS!$B$6:$B$71,0)),0)</f>
        <v>27.09</v>
      </c>
      <c r="V1531" s="18" t="n">
        <f aca="false">IFERROR(INDEX(SEMANAS!$J$6:$J$71,MATCH($B1531,SEMANAS!$B$6:$B$71,0)),0)</f>
        <v>21.672</v>
      </c>
      <c r="W1531" s="18" t="n">
        <f aca="false">MAX(0,$T1531-$V1531)</f>
        <v>0</v>
      </c>
      <c r="X1531" s="19" t="n">
        <f aca="false">IFERROR(INDEX(CADASTRO_PIVOS!$K$6:$K$41,MATCH($E1531,CADASTRO_PIVOS!$B$6:$B$41,0)),EFICIENCIA_PADRAO)</f>
        <v>0.85</v>
      </c>
      <c r="Y1531" s="18" t="n">
        <f aca="false">IF($X1531&lt;=0,0,$W1531/$X1531)</f>
        <v>0</v>
      </c>
      <c r="Z1531" s="16" t="n">
        <f aca="false">$Y1531*$H1531*MM_PARA_M3_HA</f>
        <v>0</v>
      </c>
      <c r="AA1531" s="18" t="n">
        <f aca="false">IFERROR(INDEX(CADASTRO_PIVOS!$I$6:$I$41,MATCH($E1531,CADASTRO_PIVOS!$B$6:$B$41,0)),0)</f>
        <v>971.133333333333</v>
      </c>
      <c r="AB1531" s="18" t="n">
        <f aca="false">IF($Z1531&lt;=0,0,$Z1531/$AA1531)</f>
        <v>0</v>
      </c>
      <c r="AC1531" s="16" t="n">
        <f aca="false">IFERROR(INDEX(SEMANAS!$K$6:$K$71,MATCH($B1531,SEMANAS!$B$6:$B$71,0)),0)</f>
        <v>147</v>
      </c>
      <c r="AD1531" s="19" t="n">
        <f aca="false">IF($AC1531&lt;=0,0,$AB1531/$AC1531)</f>
        <v>0</v>
      </c>
      <c r="AE1531" s="8" t="str">
        <f aca="false">IF($K1531="SEM CULTURA","SEM CULTURA",IF($AA1531&lt;=0,"DADO PENDENTE",IF($AD1531&gt;LIMITE_CRITICO,"INVIAVEL",IF($AD1531&gt;LIMITE_ATENCAO,"CRITICO",IF($AD1531&gt;LIMITE_CONFORTAVEL,"ATENCAO","OK")))))</f>
        <v>SEM CULTURA</v>
      </c>
      <c r="AF1531" s="8" t="str">
        <f aca="false">$B1531&amp;"|"&amp;TEXT($AD1531,"0.000000")</f>
        <v>8|0.000000</v>
      </c>
      <c r="AG1531" s="18" t="n">
        <f aca="false">IF($K1531="SEM CULTURA",0,$T1531*$H1531)</f>
        <v>0</v>
      </c>
      <c r="AH1531" s="18" t="n">
        <f aca="false">IF($K1531="SEM CULTURA",0,$V1531*$H1531)</f>
        <v>0</v>
      </c>
      <c r="AI1531" s="18" t="n">
        <f aca="false">IF($K1531="SEM CULTURA",0,$W1531*$H1531)</f>
        <v>0</v>
      </c>
      <c r="AJ1531" s="18" t="n">
        <f aca="false">IF($K1531="SEM CULTURA",0,$S1531*$H1531)</f>
        <v>0</v>
      </c>
      <c r="AK1531" s="8" t="str">
        <f aca="false">$E1531&amp;"|"&amp;TEXT($AD1531,"0.000000")</f>
        <v>PV 120|0.000000</v>
      </c>
    </row>
    <row r="1532" customFormat="false" ht="15" hidden="false" customHeight="false" outlineLevel="0" collapsed="false">
      <c r="B1532" s="16" t="n">
        <v>9</v>
      </c>
      <c r="C1532" s="17" t="n">
        <f aca="false">DATA_INICIO_SAFRA+($B1532-1)*DIAS_POR_SEMANA</f>
        <v>46321</v>
      </c>
      <c r="D1532" s="17" t="n">
        <f aca="false">$C1532+DIAS_POR_SEMANA-1</f>
        <v>46327</v>
      </c>
      <c r="E1532" s="15" t="s">
        <v>282</v>
      </c>
      <c r="F1532" s="8" t="str">
        <f aca="false">IFERROR(INDEX(CADASTRO_PIVOS!$C$6:$C$41,MATCH($E1532,CADASTRO_PIVOS!$B$6:$B$41,0)),"?")</f>
        <v>RM07</v>
      </c>
      <c r="G1532" s="8" t="str">
        <f aca="false">IFERROR(INDEX(CADASTRO_PIVOS!$D$6:$D$41,MATCH($E1532,CADASTRO_PIVOS!$B$6:$B$41,0)),"?")</f>
        <v>TR07</v>
      </c>
      <c r="H1532" s="20" t="n">
        <f aca="false">IFERROR(INDEX(CADASTRO_PIVOS!$E$6:$E$41,MATCH($E1532,CADASTRO_PIVOS!$B$6:$B$41,0)),0)</f>
        <v>145.67</v>
      </c>
      <c r="I1532" s="16" t="n">
        <f aca="false">IFERROR(SUMIFS(ROTACAO_RDM!$B$6:$B$71,ROTACAO_RDM!$D$6:$D$71,$E1532,ROTACAO_RDM!$I$6:$I$71,"&lt;="&amp;$C1532+INT(DIAS_POR_SEMANA/2),ROTACAO_RDM!$J$6:$J$71,"&gt;="&amp;$C1532+INT(DIAS_POR_SEMANA/2)),0)</f>
        <v>0</v>
      </c>
      <c r="J1532" s="16" t="n">
        <f aca="false">IFERROR(MATCH($I1532,ROTACAO_RDM!$B$6:$B$71,0),0)</f>
        <v>0</v>
      </c>
      <c r="K1532" s="8" t="str">
        <f aca="false">IF($J1532=0,"SEM CULTURA",INDEX(ROTACAO_RDM!$F$6:$F$71,$J1532))</f>
        <v>SEM CULTURA</v>
      </c>
      <c r="L1532" s="8" t="str">
        <f aca="false">IF($J1532=0,"",INDEX(ROTACAO_RDM!$G$6:$G$71,$J1532))</f>
        <v/>
      </c>
      <c r="M1532" s="17" t="str">
        <f aca="false">IF($J1532=0,"",INDEX(ROTACAO_RDM!$I$6:$I$71,$J1532))</f>
        <v/>
      </c>
      <c r="N1532" s="16" t="n">
        <f aca="false">IF($J1532=0,0,MAX(0,$C1532+INT(DIAS_POR_SEMANA/2)-INDEX(ROTACAO_RDM!$I$6:$I$71,$J1532)))</f>
        <v>0</v>
      </c>
      <c r="O1532" s="19" t="n">
        <f aca="false">IF($J1532=0,0,MIN(1,$N1532/MAX(1,INDEX(ROTACAO_RDM!$K$6:$K$71,$J1532))))</f>
        <v>0</v>
      </c>
      <c r="P1532" s="16" t="n">
        <f aca="false">IF($J1532=0,0,IFERROR(MATCH(INDEX(ROTACAO_RDM!$N$6:$N$71,$J1532),PARAMETROS_CULTURAS!$B$6:$B$28,0),0))</f>
        <v>0</v>
      </c>
      <c r="Q1532" s="8" t="str">
        <f aca="false">IF($P1532=0,"-",IF($O1532&lt;=INDEX(PARAMETROS_CULTURAS!$F$6:$F$28,$P1532),"INICIAL",IF($O1532&lt;=INDEX(PARAMETROS_CULTURAS!$F$6:$F$28,$P1532)+INDEX(PARAMETROS_CULTURAS!$G$6:$G$28,$P1532),"DESENVOLVIMENTO",IF($O1532&lt;=INDEX(PARAMETROS_CULTURAS!$F$6:$F$28,$P1532)+INDEX(PARAMETROS_CULTURAS!$G$6:$G$28,$P1532)+INDEX(PARAMETROS_CULTURAS!$H$6:$H$28,$P1532),"MEDIA","FINAL"))))</f>
        <v>-</v>
      </c>
      <c r="R1532" s="24" t="n">
        <f aca="false">IF($P1532=0,0,IF($O1532&lt;=INDEX(PARAMETROS_CULTURAS!$F$6:$F$28,$P1532),INDEX(PARAMETROS_CULTURAS!$K$6:$K$28,$P1532),IF($O1532&lt;=INDEX(PARAMETROS_CULTURAS!$F$6:$F$28,$P1532)+INDEX(PARAMETROS_CULTURAS!$G$6:$G$28,$P1532),INDEX(PARAMETROS_CULTURAS!$K$6:$K$28,$P1532)+(INDEX(PARAMETROS_CULTURAS!$L$6:$L$28,$P1532)-INDEX(PARAMETROS_CULTURAS!$K$6:$K$28,$P1532))*($O1532-INDEX(PARAMETROS_CULTURAS!$F$6:$F$28,$P1532))/MAX(INDEX(PARAMETROS_CULTURAS!$G$6:$G$28,$P1532),0.0001),IF($O1532&lt;=INDEX(PARAMETROS_CULTURAS!$F$6:$F$28,$P1532)+INDEX(PARAMETROS_CULTURAS!$G$6:$G$28,$P1532)+INDEX(PARAMETROS_CULTURAS!$H$6:$H$28,$P1532),INDEX(PARAMETROS_CULTURAS!$L$6:$L$28,$P1532),INDEX(PARAMETROS_CULTURAS!$L$6:$L$28,$P1532)+(INDEX(PARAMETROS_CULTURAS!$M$6:$M$28,$P1532)-INDEX(PARAMETROS_CULTURAS!$L$6:$L$28,$P1532))*($O1532-INDEX(PARAMETROS_CULTURAS!$F$6:$F$28,$P1532)-INDEX(PARAMETROS_CULTURAS!$G$6:$G$28,$P1532)-INDEX(PARAMETROS_CULTURAS!$H$6:$H$28,$P1532))/MAX(INDEX(PARAMETROS_CULTURAS!$I$6:$I$28,$P1532),0.0001)))))</f>
        <v>0</v>
      </c>
      <c r="S1532" s="18" t="n">
        <f aca="false">IFERROR(INDEX(SEMANAS!$H$6:$H$71,MATCH($B1532,SEMANAS!$B$6:$B$71,0)),0)</f>
        <v>38.5</v>
      </c>
      <c r="T1532" s="18" t="n">
        <f aca="false">$R1532*$S1532</f>
        <v>0</v>
      </c>
      <c r="U1532" s="18" t="n">
        <f aca="false">IFERROR(INDEX(SEMANAS!$I$6:$I$71,MATCH($B1532,SEMANAS!$B$6:$B$71,0)),0)</f>
        <v>29.89</v>
      </c>
      <c r="V1532" s="18" t="n">
        <f aca="false">IFERROR(INDEX(SEMANAS!$J$6:$J$71,MATCH($B1532,SEMANAS!$B$6:$B$71,0)),0)</f>
        <v>23.912</v>
      </c>
      <c r="W1532" s="18" t="n">
        <f aca="false">MAX(0,$T1532-$V1532)</f>
        <v>0</v>
      </c>
      <c r="X1532" s="19" t="n">
        <f aca="false">IFERROR(INDEX(CADASTRO_PIVOS!$K$6:$K$41,MATCH($E1532,CADASTRO_PIVOS!$B$6:$B$41,0)),EFICIENCIA_PADRAO)</f>
        <v>0.85</v>
      </c>
      <c r="Y1532" s="18" t="n">
        <f aca="false">IF($X1532&lt;=0,0,$W1532/$X1532)</f>
        <v>0</v>
      </c>
      <c r="Z1532" s="16" t="n">
        <f aca="false">$Y1532*$H1532*MM_PARA_M3_HA</f>
        <v>0</v>
      </c>
      <c r="AA1532" s="18" t="n">
        <f aca="false">IFERROR(INDEX(CADASTRO_PIVOS!$I$6:$I$41,MATCH($E1532,CADASTRO_PIVOS!$B$6:$B$41,0)),0)</f>
        <v>971.133333333333</v>
      </c>
      <c r="AB1532" s="18" t="n">
        <f aca="false">IF($Z1532&lt;=0,0,$Z1532/$AA1532)</f>
        <v>0</v>
      </c>
      <c r="AC1532" s="16" t="n">
        <f aca="false">IFERROR(INDEX(SEMANAS!$K$6:$K$71,MATCH($B1532,SEMANAS!$B$6:$B$71,0)),0)</f>
        <v>147</v>
      </c>
      <c r="AD1532" s="19" t="n">
        <f aca="false">IF($AC1532&lt;=0,0,$AB1532/$AC1532)</f>
        <v>0</v>
      </c>
      <c r="AE1532" s="8" t="str">
        <f aca="false">IF($K1532="SEM CULTURA","SEM CULTURA",IF($AA1532&lt;=0,"DADO PENDENTE",IF($AD1532&gt;LIMITE_CRITICO,"INVIAVEL",IF($AD1532&gt;LIMITE_ATENCAO,"CRITICO",IF($AD1532&gt;LIMITE_CONFORTAVEL,"ATENCAO","OK")))))</f>
        <v>SEM CULTURA</v>
      </c>
      <c r="AF1532" s="8" t="str">
        <f aca="false">$B1532&amp;"|"&amp;TEXT($AD1532,"0.000000")</f>
        <v>9|0.000000</v>
      </c>
      <c r="AG1532" s="18" t="n">
        <f aca="false">IF($K1532="SEM CULTURA",0,$T1532*$H1532)</f>
        <v>0</v>
      </c>
      <c r="AH1532" s="18" t="n">
        <f aca="false">IF($K1532="SEM CULTURA",0,$V1532*$H1532)</f>
        <v>0</v>
      </c>
      <c r="AI1532" s="18" t="n">
        <f aca="false">IF($K1532="SEM CULTURA",0,$W1532*$H1532)</f>
        <v>0</v>
      </c>
      <c r="AJ1532" s="18" t="n">
        <f aca="false">IF($K1532="SEM CULTURA",0,$S1532*$H1532)</f>
        <v>0</v>
      </c>
      <c r="AK1532" s="8" t="str">
        <f aca="false">$E1532&amp;"|"&amp;TEXT($AD1532,"0.000000")</f>
        <v>PV 120|0.000000</v>
      </c>
    </row>
    <row r="1533" customFormat="false" ht="15" hidden="false" customHeight="false" outlineLevel="0" collapsed="false">
      <c r="B1533" s="16" t="n">
        <v>10</v>
      </c>
      <c r="C1533" s="17" t="n">
        <f aca="false">DATA_INICIO_SAFRA+($B1533-1)*DIAS_POR_SEMANA</f>
        <v>46328</v>
      </c>
      <c r="D1533" s="17" t="n">
        <f aca="false">$C1533+DIAS_POR_SEMANA-1</f>
        <v>46334</v>
      </c>
      <c r="E1533" s="15" t="s">
        <v>282</v>
      </c>
      <c r="F1533" s="8" t="str">
        <f aca="false">IFERROR(INDEX(CADASTRO_PIVOS!$C$6:$C$41,MATCH($E1533,CADASTRO_PIVOS!$B$6:$B$41,0)),"?")</f>
        <v>RM07</v>
      </c>
      <c r="G1533" s="8" t="str">
        <f aca="false">IFERROR(INDEX(CADASTRO_PIVOS!$D$6:$D$41,MATCH($E1533,CADASTRO_PIVOS!$B$6:$B$41,0)),"?")</f>
        <v>TR07</v>
      </c>
      <c r="H1533" s="20" t="n">
        <f aca="false">IFERROR(INDEX(CADASTRO_PIVOS!$E$6:$E$41,MATCH($E1533,CADASTRO_PIVOS!$B$6:$B$41,0)),0)</f>
        <v>145.67</v>
      </c>
      <c r="I1533" s="16" t="n">
        <f aca="false">IFERROR(SUMIFS(ROTACAO_RDM!$B$6:$B$71,ROTACAO_RDM!$D$6:$D$71,$E1533,ROTACAO_RDM!$I$6:$I$71,"&lt;="&amp;$C1533+INT(DIAS_POR_SEMANA/2),ROTACAO_RDM!$J$6:$J$71,"&gt;="&amp;$C1533+INT(DIAS_POR_SEMANA/2)),0)</f>
        <v>0</v>
      </c>
      <c r="J1533" s="16" t="n">
        <f aca="false">IFERROR(MATCH($I1533,ROTACAO_RDM!$B$6:$B$71,0),0)</f>
        <v>0</v>
      </c>
      <c r="K1533" s="8" t="str">
        <f aca="false">IF($J1533=0,"SEM CULTURA",INDEX(ROTACAO_RDM!$F$6:$F$71,$J1533))</f>
        <v>SEM CULTURA</v>
      </c>
      <c r="L1533" s="8" t="str">
        <f aca="false">IF($J1533=0,"",INDEX(ROTACAO_RDM!$G$6:$G$71,$J1533))</f>
        <v/>
      </c>
      <c r="M1533" s="17" t="str">
        <f aca="false">IF($J1533=0,"",INDEX(ROTACAO_RDM!$I$6:$I$71,$J1533))</f>
        <v/>
      </c>
      <c r="N1533" s="16" t="n">
        <f aca="false">IF($J1533=0,0,MAX(0,$C1533+INT(DIAS_POR_SEMANA/2)-INDEX(ROTACAO_RDM!$I$6:$I$71,$J1533)))</f>
        <v>0</v>
      </c>
      <c r="O1533" s="19" t="n">
        <f aca="false">IF($J1533=0,0,MIN(1,$N1533/MAX(1,INDEX(ROTACAO_RDM!$K$6:$K$71,$J1533))))</f>
        <v>0</v>
      </c>
      <c r="P1533" s="16" t="n">
        <f aca="false">IF($J1533=0,0,IFERROR(MATCH(INDEX(ROTACAO_RDM!$N$6:$N$71,$J1533),PARAMETROS_CULTURAS!$B$6:$B$28,0),0))</f>
        <v>0</v>
      </c>
      <c r="Q1533" s="8" t="str">
        <f aca="false">IF($P1533=0,"-",IF($O1533&lt;=INDEX(PARAMETROS_CULTURAS!$F$6:$F$28,$P1533),"INICIAL",IF($O1533&lt;=INDEX(PARAMETROS_CULTURAS!$F$6:$F$28,$P1533)+INDEX(PARAMETROS_CULTURAS!$G$6:$G$28,$P1533),"DESENVOLVIMENTO",IF($O1533&lt;=INDEX(PARAMETROS_CULTURAS!$F$6:$F$28,$P1533)+INDEX(PARAMETROS_CULTURAS!$G$6:$G$28,$P1533)+INDEX(PARAMETROS_CULTURAS!$H$6:$H$28,$P1533),"MEDIA","FINAL"))))</f>
        <v>-</v>
      </c>
      <c r="R1533" s="24" t="n">
        <f aca="false">IF($P1533=0,0,IF($O1533&lt;=INDEX(PARAMETROS_CULTURAS!$F$6:$F$28,$P1533),INDEX(PARAMETROS_CULTURAS!$K$6:$K$28,$P1533),IF($O1533&lt;=INDEX(PARAMETROS_CULTURAS!$F$6:$F$28,$P1533)+INDEX(PARAMETROS_CULTURAS!$G$6:$G$28,$P1533),INDEX(PARAMETROS_CULTURAS!$K$6:$K$28,$P1533)+(INDEX(PARAMETROS_CULTURAS!$L$6:$L$28,$P1533)-INDEX(PARAMETROS_CULTURAS!$K$6:$K$28,$P1533))*($O1533-INDEX(PARAMETROS_CULTURAS!$F$6:$F$28,$P1533))/MAX(INDEX(PARAMETROS_CULTURAS!$G$6:$G$28,$P1533),0.0001),IF($O1533&lt;=INDEX(PARAMETROS_CULTURAS!$F$6:$F$28,$P1533)+INDEX(PARAMETROS_CULTURAS!$G$6:$G$28,$P1533)+INDEX(PARAMETROS_CULTURAS!$H$6:$H$28,$P1533),INDEX(PARAMETROS_CULTURAS!$L$6:$L$28,$P1533),INDEX(PARAMETROS_CULTURAS!$L$6:$L$28,$P1533)+(INDEX(PARAMETROS_CULTURAS!$M$6:$M$28,$P1533)-INDEX(PARAMETROS_CULTURAS!$L$6:$L$28,$P1533))*($O1533-INDEX(PARAMETROS_CULTURAS!$F$6:$F$28,$P1533)-INDEX(PARAMETROS_CULTURAS!$G$6:$G$28,$P1533)-INDEX(PARAMETROS_CULTURAS!$H$6:$H$28,$P1533))/MAX(INDEX(PARAMETROS_CULTURAS!$I$6:$I$28,$P1533),0.0001)))))</f>
        <v>0</v>
      </c>
      <c r="S1533" s="18" t="n">
        <f aca="false">IFERROR(INDEX(SEMANAS!$H$6:$H$71,MATCH($B1533,SEMANAS!$B$6:$B$71,0)),0)</f>
        <v>34.3</v>
      </c>
      <c r="T1533" s="18" t="n">
        <f aca="false">$R1533*$S1533</f>
        <v>0</v>
      </c>
      <c r="U1533" s="18" t="n">
        <f aca="false">IFERROR(INDEX(SEMANAS!$I$6:$I$71,MATCH($B1533,SEMANAS!$B$6:$B$71,0)),0)</f>
        <v>46.69</v>
      </c>
      <c r="V1533" s="18" t="n">
        <f aca="false">IFERROR(INDEX(SEMANAS!$J$6:$J$71,MATCH($B1533,SEMANAS!$B$6:$B$71,0)),0)</f>
        <v>37.352</v>
      </c>
      <c r="W1533" s="18" t="n">
        <f aca="false">MAX(0,$T1533-$V1533)</f>
        <v>0</v>
      </c>
      <c r="X1533" s="19" t="n">
        <f aca="false">IFERROR(INDEX(CADASTRO_PIVOS!$K$6:$K$41,MATCH($E1533,CADASTRO_PIVOS!$B$6:$B$41,0)),EFICIENCIA_PADRAO)</f>
        <v>0.85</v>
      </c>
      <c r="Y1533" s="18" t="n">
        <f aca="false">IF($X1533&lt;=0,0,$W1533/$X1533)</f>
        <v>0</v>
      </c>
      <c r="Z1533" s="16" t="n">
        <f aca="false">$Y1533*$H1533*MM_PARA_M3_HA</f>
        <v>0</v>
      </c>
      <c r="AA1533" s="18" t="n">
        <f aca="false">IFERROR(INDEX(CADASTRO_PIVOS!$I$6:$I$41,MATCH($E1533,CADASTRO_PIVOS!$B$6:$B$41,0)),0)</f>
        <v>971.133333333333</v>
      </c>
      <c r="AB1533" s="18" t="n">
        <f aca="false">IF($Z1533&lt;=0,0,$Z1533/$AA1533)</f>
        <v>0</v>
      </c>
      <c r="AC1533" s="16" t="n">
        <f aca="false">IFERROR(INDEX(SEMANAS!$K$6:$K$71,MATCH($B1533,SEMANAS!$B$6:$B$71,0)),0)</f>
        <v>147</v>
      </c>
      <c r="AD1533" s="19" t="n">
        <f aca="false">IF($AC1533&lt;=0,0,$AB1533/$AC1533)</f>
        <v>0</v>
      </c>
      <c r="AE1533" s="8" t="str">
        <f aca="false">IF($K1533="SEM CULTURA","SEM CULTURA",IF($AA1533&lt;=0,"DADO PENDENTE",IF($AD1533&gt;LIMITE_CRITICO,"INVIAVEL",IF($AD1533&gt;LIMITE_ATENCAO,"CRITICO",IF($AD1533&gt;LIMITE_CONFORTAVEL,"ATENCAO","OK")))))</f>
        <v>SEM CULTURA</v>
      </c>
      <c r="AF1533" s="8" t="str">
        <f aca="false">$B1533&amp;"|"&amp;TEXT($AD1533,"0.000000")</f>
        <v>10|0.000000</v>
      </c>
      <c r="AG1533" s="18" t="n">
        <f aca="false">IF($K1533="SEM CULTURA",0,$T1533*$H1533)</f>
        <v>0</v>
      </c>
      <c r="AH1533" s="18" t="n">
        <f aca="false">IF($K1533="SEM CULTURA",0,$V1533*$H1533)</f>
        <v>0</v>
      </c>
      <c r="AI1533" s="18" t="n">
        <f aca="false">IF($K1533="SEM CULTURA",0,$W1533*$H1533)</f>
        <v>0</v>
      </c>
      <c r="AJ1533" s="18" t="n">
        <f aca="false">IF($K1533="SEM CULTURA",0,$S1533*$H1533)</f>
        <v>0</v>
      </c>
      <c r="AK1533" s="8" t="str">
        <f aca="false">$E1533&amp;"|"&amp;TEXT($AD1533,"0.000000")</f>
        <v>PV 120|0.000000</v>
      </c>
    </row>
    <row r="1534" customFormat="false" ht="15" hidden="false" customHeight="false" outlineLevel="0" collapsed="false">
      <c r="B1534" s="16" t="n">
        <v>11</v>
      </c>
      <c r="C1534" s="17" t="n">
        <f aca="false">DATA_INICIO_SAFRA+($B1534-1)*DIAS_POR_SEMANA</f>
        <v>46335</v>
      </c>
      <c r="D1534" s="17" t="n">
        <f aca="false">$C1534+DIAS_POR_SEMANA-1</f>
        <v>46341</v>
      </c>
      <c r="E1534" s="15" t="s">
        <v>282</v>
      </c>
      <c r="F1534" s="8" t="str">
        <f aca="false">IFERROR(INDEX(CADASTRO_PIVOS!$C$6:$C$41,MATCH($E1534,CADASTRO_PIVOS!$B$6:$B$41,0)),"?")</f>
        <v>RM07</v>
      </c>
      <c r="G1534" s="8" t="str">
        <f aca="false">IFERROR(INDEX(CADASTRO_PIVOS!$D$6:$D$41,MATCH($E1534,CADASTRO_PIVOS!$B$6:$B$41,0)),"?")</f>
        <v>TR07</v>
      </c>
      <c r="H1534" s="20" t="n">
        <f aca="false">IFERROR(INDEX(CADASTRO_PIVOS!$E$6:$E$41,MATCH($E1534,CADASTRO_PIVOS!$B$6:$B$41,0)),0)</f>
        <v>145.67</v>
      </c>
      <c r="I1534" s="16" t="n">
        <f aca="false">IFERROR(SUMIFS(ROTACAO_RDM!$B$6:$B$71,ROTACAO_RDM!$D$6:$D$71,$E1534,ROTACAO_RDM!$I$6:$I$71,"&lt;="&amp;$C1534+INT(DIAS_POR_SEMANA/2),ROTACAO_RDM!$J$6:$J$71,"&gt;="&amp;$C1534+INT(DIAS_POR_SEMANA/2)),0)</f>
        <v>0</v>
      </c>
      <c r="J1534" s="16" t="n">
        <f aca="false">IFERROR(MATCH($I1534,ROTACAO_RDM!$B$6:$B$71,0),0)</f>
        <v>0</v>
      </c>
      <c r="K1534" s="8" t="str">
        <f aca="false">IF($J1534=0,"SEM CULTURA",INDEX(ROTACAO_RDM!$F$6:$F$71,$J1534))</f>
        <v>SEM CULTURA</v>
      </c>
      <c r="L1534" s="8" t="str">
        <f aca="false">IF($J1534=0,"",INDEX(ROTACAO_RDM!$G$6:$G$71,$J1534))</f>
        <v/>
      </c>
      <c r="M1534" s="17" t="str">
        <f aca="false">IF($J1534=0,"",INDEX(ROTACAO_RDM!$I$6:$I$71,$J1534))</f>
        <v/>
      </c>
      <c r="N1534" s="16" t="n">
        <f aca="false">IF($J1534=0,0,MAX(0,$C1534+INT(DIAS_POR_SEMANA/2)-INDEX(ROTACAO_RDM!$I$6:$I$71,$J1534)))</f>
        <v>0</v>
      </c>
      <c r="O1534" s="19" t="n">
        <f aca="false">IF($J1534=0,0,MIN(1,$N1534/MAX(1,INDEX(ROTACAO_RDM!$K$6:$K$71,$J1534))))</f>
        <v>0</v>
      </c>
      <c r="P1534" s="16" t="n">
        <f aca="false">IF($J1534=0,0,IFERROR(MATCH(INDEX(ROTACAO_RDM!$N$6:$N$71,$J1534),PARAMETROS_CULTURAS!$B$6:$B$28,0),0))</f>
        <v>0</v>
      </c>
      <c r="Q1534" s="8" t="str">
        <f aca="false">IF($P1534=0,"-",IF($O1534&lt;=INDEX(PARAMETROS_CULTURAS!$F$6:$F$28,$P1534),"INICIAL",IF($O1534&lt;=INDEX(PARAMETROS_CULTURAS!$F$6:$F$28,$P1534)+INDEX(PARAMETROS_CULTURAS!$G$6:$G$28,$P1534),"DESENVOLVIMENTO",IF($O1534&lt;=INDEX(PARAMETROS_CULTURAS!$F$6:$F$28,$P1534)+INDEX(PARAMETROS_CULTURAS!$G$6:$G$28,$P1534)+INDEX(PARAMETROS_CULTURAS!$H$6:$H$28,$P1534),"MEDIA","FINAL"))))</f>
        <v>-</v>
      </c>
      <c r="R1534" s="24" t="n">
        <f aca="false">IF($P1534=0,0,IF($O1534&lt;=INDEX(PARAMETROS_CULTURAS!$F$6:$F$28,$P1534),INDEX(PARAMETROS_CULTURAS!$K$6:$K$28,$P1534),IF($O1534&lt;=INDEX(PARAMETROS_CULTURAS!$F$6:$F$28,$P1534)+INDEX(PARAMETROS_CULTURAS!$G$6:$G$28,$P1534),INDEX(PARAMETROS_CULTURAS!$K$6:$K$28,$P1534)+(INDEX(PARAMETROS_CULTURAS!$L$6:$L$28,$P1534)-INDEX(PARAMETROS_CULTURAS!$K$6:$K$28,$P1534))*($O1534-INDEX(PARAMETROS_CULTURAS!$F$6:$F$28,$P1534))/MAX(INDEX(PARAMETROS_CULTURAS!$G$6:$G$28,$P1534),0.0001),IF($O1534&lt;=INDEX(PARAMETROS_CULTURAS!$F$6:$F$28,$P1534)+INDEX(PARAMETROS_CULTURAS!$G$6:$G$28,$P1534)+INDEX(PARAMETROS_CULTURAS!$H$6:$H$28,$P1534),INDEX(PARAMETROS_CULTURAS!$L$6:$L$28,$P1534),INDEX(PARAMETROS_CULTURAS!$L$6:$L$28,$P1534)+(INDEX(PARAMETROS_CULTURAS!$M$6:$M$28,$P1534)-INDEX(PARAMETROS_CULTURAS!$L$6:$L$28,$P1534))*($O1534-INDEX(PARAMETROS_CULTURAS!$F$6:$F$28,$P1534)-INDEX(PARAMETROS_CULTURAS!$G$6:$G$28,$P1534)-INDEX(PARAMETROS_CULTURAS!$H$6:$H$28,$P1534))/MAX(INDEX(PARAMETROS_CULTURAS!$I$6:$I$28,$P1534),0.0001)))))</f>
        <v>0</v>
      </c>
      <c r="S1534" s="18" t="n">
        <f aca="false">IFERROR(INDEX(SEMANAS!$H$6:$H$71,MATCH($B1534,SEMANAS!$B$6:$B$71,0)),0)</f>
        <v>34.3</v>
      </c>
      <c r="T1534" s="18" t="n">
        <f aca="false">$R1534*$S1534</f>
        <v>0</v>
      </c>
      <c r="U1534" s="18" t="n">
        <f aca="false">IFERROR(INDEX(SEMANAS!$I$6:$I$71,MATCH($B1534,SEMANAS!$B$6:$B$71,0)),0)</f>
        <v>46.69</v>
      </c>
      <c r="V1534" s="18" t="n">
        <f aca="false">IFERROR(INDEX(SEMANAS!$J$6:$J$71,MATCH($B1534,SEMANAS!$B$6:$B$71,0)),0)</f>
        <v>37.352</v>
      </c>
      <c r="W1534" s="18" t="n">
        <f aca="false">MAX(0,$T1534-$V1534)</f>
        <v>0</v>
      </c>
      <c r="X1534" s="19" t="n">
        <f aca="false">IFERROR(INDEX(CADASTRO_PIVOS!$K$6:$K$41,MATCH($E1534,CADASTRO_PIVOS!$B$6:$B$41,0)),EFICIENCIA_PADRAO)</f>
        <v>0.85</v>
      </c>
      <c r="Y1534" s="18" t="n">
        <f aca="false">IF($X1534&lt;=0,0,$W1534/$X1534)</f>
        <v>0</v>
      </c>
      <c r="Z1534" s="16" t="n">
        <f aca="false">$Y1534*$H1534*MM_PARA_M3_HA</f>
        <v>0</v>
      </c>
      <c r="AA1534" s="18" t="n">
        <f aca="false">IFERROR(INDEX(CADASTRO_PIVOS!$I$6:$I$41,MATCH($E1534,CADASTRO_PIVOS!$B$6:$B$41,0)),0)</f>
        <v>971.133333333333</v>
      </c>
      <c r="AB1534" s="18" t="n">
        <f aca="false">IF($Z1534&lt;=0,0,$Z1534/$AA1534)</f>
        <v>0</v>
      </c>
      <c r="AC1534" s="16" t="n">
        <f aca="false">IFERROR(INDEX(SEMANAS!$K$6:$K$71,MATCH($B1534,SEMANAS!$B$6:$B$71,0)),0)</f>
        <v>147</v>
      </c>
      <c r="AD1534" s="19" t="n">
        <f aca="false">IF($AC1534&lt;=0,0,$AB1534/$AC1534)</f>
        <v>0</v>
      </c>
      <c r="AE1534" s="8" t="str">
        <f aca="false">IF($K1534="SEM CULTURA","SEM CULTURA",IF($AA1534&lt;=0,"DADO PENDENTE",IF($AD1534&gt;LIMITE_CRITICO,"INVIAVEL",IF($AD1534&gt;LIMITE_ATENCAO,"CRITICO",IF($AD1534&gt;LIMITE_CONFORTAVEL,"ATENCAO","OK")))))</f>
        <v>SEM CULTURA</v>
      </c>
      <c r="AF1534" s="8" t="str">
        <f aca="false">$B1534&amp;"|"&amp;TEXT($AD1534,"0.000000")</f>
        <v>11|0.000000</v>
      </c>
      <c r="AG1534" s="18" t="n">
        <f aca="false">IF($K1534="SEM CULTURA",0,$T1534*$H1534)</f>
        <v>0</v>
      </c>
      <c r="AH1534" s="18" t="n">
        <f aca="false">IF($K1534="SEM CULTURA",0,$V1534*$H1534)</f>
        <v>0</v>
      </c>
      <c r="AI1534" s="18" t="n">
        <f aca="false">IF($K1534="SEM CULTURA",0,$W1534*$H1534)</f>
        <v>0</v>
      </c>
      <c r="AJ1534" s="18" t="n">
        <f aca="false">IF($K1534="SEM CULTURA",0,$S1534*$H1534)</f>
        <v>0</v>
      </c>
      <c r="AK1534" s="8" t="str">
        <f aca="false">$E1534&amp;"|"&amp;TEXT($AD1534,"0.000000")</f>
        <v>PV 120|0.000000</v>
      </c>
    </row>
    <row r="1535" customFormat="false" ht="15" hidden="false" customHeight="false" outlineLevel="0" collapsed="false">
      <c r="B1535" s="16" t="n">
        <v>12</v>
      </c>
      <c r="C1535" s="17" t="n">
        <f aca="false">DATA_INICIO_SAFRA+($B1535-1)*DIAS_POR_SEMANA</f>
        <v>46342</v>
      </c>
      <c r="D1535" s="17" t="n">
        <f aca="false">$C1535+DIAS_POR_SEMANA-1</f>
        <v>46348</v>
      </c>
      <c r="E1535" s="15" t="s">
        <v>282</v>
      </c>
      <c r="F1535" s="8" t="str">
        <f aca="false">IFERROR(INDEX(CADASTRO_PIVOS!$C$6:$C$41,MATCH($E1535,CADASTRO_PIVOS!$B$6:$B$41,0)),"?")</f>
        <v>RM07</v>
      </c>
      <c r="G1535" s="8" t="str">
        <f aca="false">IFERROR(INDEX(CADASTRO_PIVOS!$D$6:$D$41,MATCH($E1535,CADASTRO_PIVOS!$B$6:$B$41,0)),"?")</f>
        <v>TR07</v>
      </c>
      <c r="H1535" s="20" t="n">
        <f aca="false">IFERROR(INDEX(CADASTRO_PIVOS!$E$6:$E$41,MATCH($E1535,CADASTRO_PIVOS!$B$6:$B$41,0)),0)</f>
        <v>145.67</v>
      </c>
      <c r="I1535" s="16" t="n">
        <f aca="false">IFERROR(SUMIFS(ROTACAO_RDM!$B$6:$B$71,ROTACAO_RDM!$D$6:$D$71,$E1535,ROTACAO_RDM!$I$6:$I$71,"&lt;="&amp;$C1535+INT(DIAS_POR_SEMANA/2),ROTACAO_RDM!$J$6:$J$71,"&gt;="&amp;$C1535+INT(DIAS_POR_SEMANA/2)),0)</f>
        <v>0</v>
      </c>
      <c r="J1535" s="16" t="n">
        <f aca="false">IFERROR(MATCH($I1535,ROTACAO_RDM!$B$6:$B$71,0),0)</f>
        <v>0</v>
      </c>
      <c r="K1535" s="8" t="str">
        <f aca="false">IF($J1535=0,"SEM CULTURA",INDEX(ROTACAO_RDM!$F$6:$F$71,$J1535))</f>
        <v>SEM CULTURA</v>
      </c>
      <c r="L1535" s="8" t="str">
        <f aca="false">IF($J1535=0,"",INDEX(ROTACAO_RDM!$G$6:$G$71,$J1535))</f>
        <v/>
      </c>
      <c r="M1535" s="17" t="str">
        <f aca="false">IF($J1535=0,"",INDEX(ROTACAO_RDM!$I$6:$I$71,$J1535))</f>
        <v/>
      </c>
      <c r="N1535" s="16" t="n">
        <f aca="false">IF($J1535=0,0,MAX(0,$C1535+INT(DIAS_POR_SEMANA/2)-INDEX(ROTACAO_RDM!$I$6:$I$71,$J1535)))</f>
        <v>0</v>
      </c>
      <c r="O1535" s="19" t="n">
        <f aca="false">IF($J1535=0,0,MIN(1,$N1535/MAX(1,INDEX(ROTACAO_RDM!$K$6:$K$71,$J1535))))</f>
        <v>0</v>
      </c>
      <c r="P1535" s="16" t="n">
        <f aca="false">IF($J1535=0,0,IFERROR(MATCH(INDEX(ROTACAO_RDM!$N$6:$N$71,$J1535),PARAMETROS_CULTURAS!$B$6:$B$28,0),0))</f>
        <v>0</v>
      </c>
      <c r="Q1535" s="8" t="str">
        <f aca="false">IF($P1535=0,"-",IF($O1535&lt;=INDEX(PARAMETROS_CULTURAS!$F$6:$F$28,$P1535),"INICIAL",IF($O1535&lt;=INDEX(PARAMETROS_CULTURAS!$F$6:$F$28,$P1535)+INDEX(PARAMETROS_CULTURAS!$G$6:$G$28,$P1535),"DESENVOLVIMENTO",IF($O1535&lt;=INDEX(PARAMETROS_CULTURAS!$F$6:$F$28,$P1535)+INDEX(PARAMETROS_CULTURAS!$G$6:$G$28,$P1535)+INDEX(PARAMETROS_CULTURAS!$H$6:$H$28,$P1535),"MEDIA","FINAL"))))</f>
        <v>-</v>
      </c>
      <c r="R1535" s="24" t="n">
        <f aca="false">IF($P1535=0,0,IF($O1535&lt;=INDEX(PARAMETROS_CULTURAS!$F$6:$F$28,$P1535),INDEX(PARAMETROS_CULTURAS!$K$6:$K$28,$P1535),IF($O1535&lt;=INDEX(PARAMETROS_CULTURAS!$F$6:$F$28,$P1535)+INDEX(PARAMETROS_CULTURAS!$G$6:$G$28,$P1535),INDEX(PARAMETROS_CULTURAS!$K$6:$K$28,$P1535)+(INDEX(PARAMETROS_CULTURAS!$L$6:$L$28,$P1535)-INDEX(PARAMETROS_CULTURAS!$K$6:$K$28,$P1535))*($O1535-INDEX(PARAMETROS_CULTURAS!$F$6:$F$28,$P1535))/MAX(INDEX(PARAMETROS_CULTURAS!$G$6:$G$28,$P1535),0.0001),IF($O1535&lt;=INDEX(PARAMETROS_CULTURAS!$F$6:$F$28,$P1535)+INDEX(PARAMETROS_CULTURAS!$G$6:$G$28,$P1535)+INDEX(PARAMETROS_CULTURAS!$H$6:$H$28,$P1535),INDEX(PARAMETROS_CULTURAS!$L$6:$L$28,$P1535),INDEX(PARAMETROS_CULTURAS!$L$6:$L$28,$P1535)+(INDEX(PARAMETROS_CULTURAS!$M$6:$M$28,$P1535)-INDEX(PARAMETROS_CULTURAS!$L$6:$L$28,$P1535))*($O1535-INDEX(PARAMETROS_CULTURAS!$F$6:$F$28,$P1535)-INDEX(PARAMETROS_CULTURAS!$G$6:$G$28,$P1535)-INDEX(PARAMETROS_CULTURAS!$H$6:$H$28,$P1535))/MAX(INDEX(PARAMETROS_CULTURAS!$I$6:$I$28,$P1535),0.0001)))))</f>
        <v>0</v>
      </c>
      <c r="S1535" s="18" t="n">
        <f aca="false">IFERROR(INDEX(SEMANAS!$H$6:$H$71,MATCH($B1535,SEMANAS!$B$6:$B$71,0)),0)</f>
        <v>34.3</v>
      </c>
      <c r="T1535" s="18" t="n">
        <f aca="false">$R1535*$S1535</f>
        <v>0</v>
      </c>
      <c r="U1535" s="18" t="n">
        <f aca="false">IFERROR(INDEX(SEMANAS!$I$6:$I$71,MATCH($B1535,SEMANAS!$B$6:$B$71,0)),0)</f>
        <v>46.69</v>
      </c>
      <c r="V1535" s="18" t="n">
        <f aca="false">IFERROR(INDEX(SEMANAS!$J$6:$J$71,MATCH($B1535,SEMANAS!$B$6:$B$71,0)),0)</f>
        <v>37.352</v>
      </c>
      <c r="W1535" s="18" t="n">
        <f aca="false">MAX(0,$T1535-$V1535)</f>
        <v>0</v>
      </c>
      <c r="X1535" s="19" t="n">
        <f aca="false">IFERROR(INDEX(CADASTRO_PIVOS!$K$6:$K$41,MATCH($E1535,CADASTRO_PIVOS!$B$6:$B$41,0)),EFICIENCIA_PADRAO)</f>
        <v>0.85</v>
      </c>
      <c r="Y1535" s="18" t="n">
        <f aca="false">IF($X1535&lt;=0,0,$W1535/$X1535)</f>
        <v>0</v>
      </c>
      <c r="Z1535" s="16" t="n">
        <f aca="false">$Y1535*$H1535*MM_PARA_M3_HA</f>
        <v>0</v>
      </c>
      <c r="AA1535" s="18" t="n">
        <f aca="false">IFERROR(INDEX(CADASTRO_PIVOS!$I$6:$I$41,MATCH($E1535,CADASTRO_PIVOS!$B$6:$B$41,0)),0)</f>
        <v>971.133333333333</v>
      </c>
      <c r="AB1535" s="18" t="n">
        <f aca="false">IF($Z1535&lt;=0,0,$Z1535/$AA1535)</f>
        <v>0</v>
      </c>
      <c r="AC1535" s="16" t="n">
        <f aca="false">IFERROR(INDEX(SEMANAS!$K$6:$K$71,MATCH($B1535,SEMANAS!$B$6:$B$71,0)),0)</f>
        <v>147</v>
      </c>
      <c r="AD1535" s="19" t="n">
        <f aca="false">IF($AC1535&lt;=0,0,$AB1535/$AC1535)</f>
        <v>0</v>
      </c>
      <c r="AE1535" s="8" t="str">
        <f aca="false">IF($K1535="SEM CULTURA","SEM CULTURA",IF($AA1535&lt;=0,"DADO PENDENTE",IF($AD1535&gt;LIMITE_CRITICO,"INVIAVEL",IF($AD1535&gt;LIMITE_ATENCAO,"CRITICO",IF($AD1535&gt;LIMITE_CONFORTAVEL,"ATENCAO","OK")))))</f>
        <v>SEM CULTURA</v>
      </c>
      <c r="AF1535" s="8" t="str">
        <f aca="false">$B1535&amp;"|"&amp;TEXT($AD1535,"0.000000")</f>
        <v>12|0.000000</v>
      </c>
      <c r="AG1535" s="18" t="n">
        <f aca="false">IF($K1535="SEM CULTURA",0,$T1535*$H1535)</f>
        <v>0</v>
      </c>
      <c r="AH1535" s="18" t="n">
        <f aca="false">IF($K1535="SEM CULTURA",0,$V1535*$H1535)</f>
        <v>0</v>
      </c>
      <c r="AI1535" s="18" t="n">
        <f aca="false">IF($K1535="SEM CULTURA",0,$W1535*$H1535)</f>
        <v>0</v>
      </c>
      <c r="AJ1535" s="18" t="n">
        <f aca="false">IF($K1535="SEM CULTURA",0,$S1535*$H1535)</f>
        <v>0</v>
      </c>
      <c r="AK1535" s="8" t="str">
        <f aca="false">$E1535&amp;"|"&amp;TEXT($AD1535,"0.000000")</f>
        <v>PV 120|0.000000</v>
      </c>
    </row>
    <row r="1536" customFormat="false" ht="15" hidden="false" customHeight="false" outlineLevel="0" collapsed="false">
      <c r="B1536" s="16" t="n">
        <v>13</v>
      </c>
      <c r="C1536" s="17" t="n">
        <f aca="false">DATA_INICIO_SAFRA+($B1536-1)*DIAS_POR_SEMANA</f>
        <v>46349</v>
      </c>
      <c r="D1536" s="17" t="n">
        <f aca="false">$C1536+DIAS_POR_SEMANA-1</f>
        <v>46355</v>
      </c>
      <c r="E1536" s="15" t="s">
        <v>282</v>
      </c>
      <c r="F1536" s="8" t="str">
        <f aca="false">IFERROR(INDEX(CADASTRO_PIVOS!$C$6:$C$41,MATCH($E1536,CADASTRO_PIVOS!$B$6:$B$41,0)),"?")</f>
        <v>RM07</v>
      </c>
      <c r="G1536" s="8" t="str">
        <f aca="false">IFERROR(INDEX(CADASTRO_PIVOS!$D$6:$D$41,MATCH($E1536,CADASTRO_PIVOS!$B$6:$B$41,0)),"?")</f>
        <v>TR07</v>
      </c>
      <c r="H1536" s="20" t="n">
        <f aca="false">IFERROR(INDEX(CADASTRO_PIVOS!$E$6:$E$41,MATCH($E1536,CADASTRO_PIVOS!$B$6:$B$41,0)),0)</f>
        <v>145.67</v>
      </c>
      <c r="I1536" s="16" t="n">
        <f aca="false">IFERROR(SUMIFS(ROTACAO_RDM!$B$6:$B$71,ROTACAO_RDM!$D$6:$D$71,$E1536,ROTACAO_RDM!$I$6:$I$71,"&lt;="&amp;$C1536+INT(DIAS_POR_SEMANA/2),ROTACAO_RDM!$J$6:$J$71,"&gt;="&amp;$C1536+INT(DIAS_POR_SEMANA/2)),0)</f>
        <v>0</v>
      </c>
      <c r="J1536" s="16" t="n">
        <f aca="false">IFERROR(MATCH($I1536,ROTACAO_RDM!$B$6:$B$71,0),0)</f>
        <v>0</v>
      </c>
      <c r="K1536" s="8" t="str">
        <f aca="false">IF($J1536=0,"SEM CULTURA",INDEX(ROTACAO_RDM!$F$6:$F$71,$J1536))</f>
        <v>SEM CULTURA</v>
      </c>
      <c r="L1536" s="8" t="str">
        <f aca="false">IF($J1536=0,"",INDEX(ROTACAO_RDM!$G$6:$G$71,$J1536))</f>
        <v/>
      </c>
      <c r="M1536" s="17" t="str">
        <f aca="false">IF($J1536=0,"",INDEX(ROTACAO_RDM!$I$6:$I$71,$J1536))</f>
        <v/>
      </c>
      <c r="N1536" s="16" t="n">
        <f aca="false">IF($J1536=0,0,MAX(0,$C1536+INT(DIAS_POR_SEMANA/2)-INDEX(ROTACAO_RDM!$I$6:$I$71,$J1536)))</f>
        <v>0</v>
      </c>
      <c r="O1536" s="19" t="n">
        <f aca="false">IF($J1536=0,0,MIN(1,$N1536/MAX(1,INDEX(ROTACAO_RDM!$K$6:$K$71,$J1536))))</f>
        <v>0</v>
      </c>
      <c r="P1536" s="16" t="n">
        <f aca="false">IF($J1536=0,0,IFERROR(MATCH(INDEX(ROTACAO_RDM!$N$6:$N$71,$J1536),PARAMETROS_CULTURAS!$B$6:$B$28,0),0))</f>
        <v>0</v>
      </c>
      <c r="Q1536" s="8" t="str">
        <f aca="false">IF($P1536=0,"-",IF($O1536&lt;=INDEX(PARAMETROS_CULTURAS!$F$6:$F$28,$P1536),"INICIAL",IF($O1536&lt;=INDEX(PARAMETROS_CULTURAS!$F$6:$F$28,$P1536)+INDEX(PARAMETROS_CULTURAS!$G$6:$G$28,$P1536),"DESENVOLVIMENTO",IF($O1536&lt;=INDEX(PARAMETROS_CULTURAS!$F$6:$F$28,$P1536)+INDEX(PARAMETROS_CULTURAS!$G$6:$G$28,$P1536)+INDEX(PARAMETROS_CULTURAS!$H$6:$H$28,$P1536),"MEDIA","FINAL"))))</f>
        <v>-</v>
      </c>
      <c r="R1536" s="24" t="n">
        <f aca="false">IF($P1536=0,0,IF($O1536&lt;=INDEX(PARAMETROS_CULTURAS!$F$6:$F$28,$P1536),INDEX(PARAMETROS_CULTURAS!$K$6:$K$28,$P1536),IF($O1536&lt;=INDEX(PARAMETROS_CULTURAS!$F$6:$F$28,$P1536)+INDEX(PARAMETROS_CULTURAS!$G$6:$G$28,$P1536),INDEX(PARAMETROS_CULTURAS!$K$6:$K$28,$P1536)+(INDEX(PARAMETROS_CULTURAS!$L$6:$L$28,$P1536)-INDEX(PARAMETROS_CULTURAS!$K$6:$K$28,$P1536))*($O1536-INDEX(PARAMETROS_CULTURAS!$F$6:$F$28,$P1536))/MAX(INDEX(PARAMETROS_CULTURAS!$G$6:$G$28,$P1536),0.0001),IF($O1536&lt;=INDEX(PARAMETROS_CULTURAS!$F$6:$F$28,$P1536)+INDEX(PARAMETROS_CULTURAS!$G$6:$G$28,$P1536)+INDEX(PARAMETROS_CULTURAS!$H$6:$H$28,$P1536),INDEX(PARAMETROS_CULTURAS!$L$6:$L$28,$P1536),INDEX(PARAMETROS_CULTURAS!$L$6:$L$28,$P1536)+(INDEX(PARAMETROS_CULTURAS!$M$6:$M$28,$P1536)-INDEX(PARAMETROS_CULTURAS!$L$6:$L$28,$P1536))*($O1536-INDEX(PARAMETROS_CULTURAS!$F$6:$F$28,$P1536)-INDEX(PARAMETROS_CULTURAS!$G$6:$G$28,$P1536)-INDEX(PARAMETROS_CULTURAS!$H$6:$H$28,$P1536))/MAX(INDEX(PARAMETROS_CULTURAS!$I$6:$I$28,$P1536),0.0001)))))</f>
        <v>0</v>
      </c>
      <c r="S1536" s="18" t="n">
        <f aca="false">IFERROR(INDEX(SEMANAS!$H$6:$H$71,MATCH($B1536,SEMANAS!$B$6:$B$71,0)),0)</f>
        <v>34.3</v>
      </c>
      <c r="T1536" s="18" t="n">
        <f aca="false">$R1536*$S1536</f>
        <v>0</v>
      </c>
      <c r="U1536" s="18" t="n">
        <f aca="false">IFERROR(INDEX(SEMANAS!$I$6:$I$71,MATCH($B1536,SEMANAS!$B$6:$B$71,0)),0)</f>
        <v>46.69</v>
      </c>
      <c r="V1536" s="18" t="n">
        <f aca="false">IFERROR(INDEX(SEMANAS!$J$6:$J$71,MATCH($B1536,SEMANAS!$B$6:$B$71,0)),0)</f>
        <v>37.352</v>
      </c>
      <c r="W1536" s="18" t="n">
        <f aca="false">MAX(0,$T1536-$V1536)</f>
        <v>0</v>
      </c>
      <c r="X1536" s="19" t="n">
        <f aca="false">IFERROR(INDEX(CADASTRO_PIVOS!$K$6:$K$41,MATCH($E1536,CADASTRO_PIVOS!$B$6:$B$41,0)),EFICIENCIA_PADRAO)</f>
        <v>0.85</v>
      </c>
      <c r="Y1536" s="18" t="n">
        <f aca="false">IF($X1536&lt;=0,0,$W1536/$X1536)</f>
        <v>0</v>
      </c>
      <c r="Z1536" s="16" t="n">
        <f aca="false">$Y1536*$H1536*MM_PARA_M3_HA</f>
        <v>0</v>
      </c>
      <c r="AA1536" s="18" t="n">
        <f aca="false">IFERROR(INDEX(CADASTRO_PIVOS!$I$6:$I$41,MATCH($E1536,CADASTRO_PIVOS!$B$6:$B$41,0)),0)</f>
        <v>971.133333333333</v>
      </c>
      <c r="AB1536" s="18" t="n">
        <f aca="false">IF($Z1536&lt;=0,0,$Z1536/$AA1536)</f>
        <v>0</v>
      </c>
      <c r="AC1536" s="16" t="n">
        <f aca="false">IFERROR(INDEX(SEMANAS!$K$6:$K$71,MATCH($B1536,SEMANAS!$B$6:$B$71,0)),0)</f>
        <v>147</v>
      </c>
      <c r="AD1536" s="19" t="n">
        <f aca="false">IF($AC1536&lt;=0,0,$AB1536/$AC1536)</f>
        <v>0</v>
      </c>
      <c r="AE1536" s="8" t="str">
        <f aca="false">IF($K1536="SEM CULTURA","SEM CULTURA",IF($AA1536&lt;=0,"DADO PENDENTE",IF($AD1536&gt;LIMITE_CRITICO,"INVIAVEL",IF($AD1536&gt;LIMITE_ATENCAO,"CRITICO",IF($AD1536&gt;LIMITE_CONFORTAVEL,"ATENCAO","OK")))))</f>
        <v>SEM CULTURA</v>
      </c>
      <c r="AF1536" s="8" t="str">
        <f aca="false">$B1536&amp;"|"&amp;TEXT($AD1536,"0.000000")</f>
        <v>13|0.000000</v>
      </c>
      <c r="AG1536" s="18" t="n">
        <f aca="false">IF($K1536="SEM CULTURA",0,$T1536*$H1536)</f>
        <v>0</v>
      </c>
      <c r="AH1536" s="18" t="n">
        <f aca="false">IF($K1536="SEM CULTURA",0,$V1536*$H1536)</f>
        <v>0</v>
      </c>
      <c r="AI1536" s="18" t="n">
        <f aca="false">IF($K1536="SEM CULTURA",0,$W1536*$H1536)</f>
        <v>0</v>
      </c>
      <c r="AJ1536" s="18" t="n">
        <f aca="false">IF($K1536="SEM CULTURA",0,$S1536*$H1536)</f>
        <v>0</v>
      </c>
      <c r="AK1536" s="8" t="str">
        <f aca="false">$E1536&amp;"|"&amp;TEXT($AD1536,"0.000000")</f>
        <v>PV 120|0.000000</v>
      </c>
    </row>
    <row r="1537" customFormat="false" ht="15" hidden="false" customHeight="false" outlineLevel="0" collapsed="false">
      <c r="B1537" s="16" t="n">
        <v>14</v>
      </c>
      <c r="C1537" s="17" t="n">
        <f aca="false">DATA_INICIO_SAFRA+($B1537-1)*DIAS_POR_SEMANA</f>
        <v>46356</v>
      </c>
      <c r="D1537" s="17" t="n">
        <f aca="false">$C1537+DIAS_POR_SEMANA-1</f>
        <v>46362</v>
      </c>
      <c r="E1537" s="15" t="s">
        <v>282</v>
      </c>
      <c r="F1537" s="8" t="str">
        <f aca="false">IFERROR(INDEX(CADASTRO_PIVOS!$C$6:$C$41,MATCH($E1537,CADASTRO_PIVOS!$B$6:$B$41,0)),"?")</f>
        <v>RM07</v>
      </c>
      <c r="G1537" s="8" t="str">
        <f aca="false">IFERROR(INDEX(CADASTRO_PIVOS!$D$6:$D$41,MATCH($E1537,CADASTRO_PIVOS!$B$6:$B$41,0)),"?")</f>
        <v>TR07</v>
      </c>
      <c r="H1537" s="20" t="n">
        <f aca="false">IFERROR(INDEX(CADASTRO_PIVOS!$E$6:$E$41,MATCH($E1537,CADASTRO_PIVOS!$B$6:$B$41,0)),0)</f>
        <v>145.67</v>
      </c>
      <c r="I1537" s="16" t="n">
        <f aca="false">IFERROR(SUMIFS(ROTACAO_RDM!$B$6:$B$71,ROTACAO_RDM!$D$6:$D$71,$E1537,ROTACAO_RDM!$I$6:$I$71,"&lt;="&amp;$C1537+INT(DIAS_POR_SEMANA/2),ROTACAO_RDM!$J$6:$J$71,"&gt;="&amp;$C1537+INT(DIAS_POR_SEMANA/2)),0)</f>
        <v>0</v>
      </c>
      <c r="J1537" s="16" t="n">
        <f aca="false">IFERROR(MATCH($I1537,ROTACAO_RDM!$B$6:$B$71,0),0)</f>
        <v>0</v>
      </c>
      <c r="K1537" s="8" t="str">
        <f aca="false">IF($J1537=0,"SEM CULTURA",INDEX(ROTACAO_RDM!$F$6:$F$71,$J1537))</f>
        <v>SEM CULTURA</v>
      </c>
      <c r="L1537" s="8" t="str">
        <f aca="false">IF($J1537=0,"",INDEX(ROTACAO_RDM!$G$6:$G$71,$J1537))</f>
        <v/>
      </c>
      <c r="M1537" s="17" t="str">
        <f aca="false">IF($J1537=0,"",INDEX(ROTACAO_RDM!$I$6:$I$71,$J1537))</f>
        <v/>
      </c>
      <c r="N1537" s="16" t="n">
        <f aca="false">IF($J1537=0,0,MAX(0,$C1537+INT(DIAS_POR_SEMANA/2)-INDEX(ROTACAO_RDM!$I$6:$I$71,$J1537)))</f>
        <v>0</v>
      </c>
      <c r="O1537" s="19" t="n">
        <f aca="false">IF($J1537=0,0,MIN(1,$N1537/MAX(1,INDEX(ROTACAO_RDM!$K$6:$K$71,$J1537))))</f>
        <v>0</v>
      </c>
      <c r="P1537" s="16" t="n">
        <f aca="false">IF($J1537=0,0,IFERROR(MATCH(INDEX(ROTACAO_RDM!$N$6:$N$71,$J1537),PARAMETROS_CULTURAS!$B$6:$B$28,0),0))</f>
        <v>0</v>
      </c>
      <c r="Q1537" s="8" t="str">
        <f aca="false">IF($P1537=0,"-",IF($O1537&lt;=INDEX(PARAMETROS_CULTURAS!$F$6:$F$28,$P1537),"INICIAL",IF($O1537&lt;=INDEX(PARAMETROS_CULTURAS!$F$6:$F$28,$P1537)+INDEX(PARAMETROS_CULTURAS!$G$6:$G$28,$P1537),"DESENVOLVIMENTO",IF($O1537&lt;=INDEX(PARAMETROS_CULTURAS!$F$6:$F$28,$P1537)+INDEX(PARAMETROS_CULTURAS!$G$6:$G$28,$P1537)+INDEX(PARAMETROS_CULTURAS!$H$6:$H$28,$P1537),"MEDIA","FINAL"))))</f>
        <v>-</v>
      </c>
      <c r="R1537" s="24" t="n">
        <f aca="false">IF($P1537=0,0,IF($O1537&lt;=INDEX(PARAMETROS_CULTURAS!$F$6:$F$28,$P1537),INDEX(PARAMETROS_CULTURAS!$K$6:$K$28,$P1537),IF($O1537&lt;=INDEX(PARAMETROS_CULTURAS!$F$6:$F$28,$P1537)+INDEX(PARAMETROS_CULTURAS!$G$6:$G$28,$P1537),INDEX(PARAMETROS_CULTURAS!$K$6:$K$28,$P1537)+(INDEX(PARAMETROS_CULTURAS!$L$6:$L$28,$P1537)-INDEX(PARAMETROS_CULTURAS!$K$6:$K$28,$P1537))*($O1537-INDEX(PARAMETROS_CULTURAS!$F$6:$F$28,$P1537))/MAX(INDEX(PARAMETROS_CULTURAS!$G$6:$G$28,$P1537),0.0001),IF($O1537&lt;=INDEX(PARAMETROS_CULTURAS!$F$6:$F$28,$P1537)+INDEX(PARAMETROS_CULTURAS!$G$6:$G$28,$P1537)+INDEX(PARAMETROS_CULTURAS!$H$6:$H$28,$P1537),INDEX(PARAMETROS_CULTURAS!$L$6:$L$28,$P1537),INDEX(PARAMETROS_CULTURAS!$L$6:$L$28,$P1537)+(INDEX(PARAMETROS_CULTURAS!$M$6:$M$28,$P1537)-INDEX(PARAMETROS_CULTURAS!$L$6:$L$28,$P1537))*($O1537-INDEX(PARAMETROS_CULTURAS!$F$6:$F$28,$P1537)-INDEX(PARAMETROS_CULTURAS!$G$6:$G$28,$P1537)-INDEX(PARAMETROS_CULTURAS!$H$6:$H$28,$P1537))/MAX(INDEX(PARAMETROS_CULTURAS!$I$6:$I$28,$P1537),0.0001)))))</f>
        <v>0</v>
      </c>
      <c r="S1537" s="18" t="n">
        <f aca="false">IFERROR(INDEX(SEMANAS!$H$6:$H$71,MATCH($B1537,SEMANAS!$B$6:$B$71,0)),0)</f>
        <v>33.1</v>
      </c>
      <c r="T1537" s="18" t="n">
        <f aca="false">$R1537*$S1537</f>
        <v>0</v>
      </c>
      <c r="U1537" s="18" t="n">
        <f aca="false">IFERROR(INDEX(SEMANAS!$I$6:$I$71,MATCH($B1537,SEMANAS!$B$6:$B$71,0)),0)</f>
        <v>48.31</v>
      </c>
      <c r="V1537" s="18" t="n">
        <f aca="false">IFERROR(INDEX(SEMANAS!$J$6:$J$71,MATCH($B1537,SEMANAS!$B$6:$B$71,0)),0)</f>
        <v>38.648</v>
      </c>
      <c r="W1537" s="18" t="n">
        <f aca="false">MAX(0,$T1537-$V1537)</f>
        <v>0</v>
      </c>
      <c r="X1537" s="19" t="n">
        <f aca="false">IFERROR(INDEX(CADASTRO_PIVOS!$K$6:$K$41,MATCH($E1537,CADASTRO_PIVOS!$B$6:$B$41,0)),EFICIENCIA_PADRAO)</f>
        <v>0.85</v>
      </c>
      <c r="Y1537" s="18" t="n">
        <f aca="false">IF($X1537&lt;=0,0,$W1537/$X1537)</f>
        <v>0</v>
      </c>
      <c r="Z1537" s="16" t="n">
        <f aca="false">$Y1537*$H1537*MM_PARA_M3_HA</f>
        <v>0</v>
      </c>
      <c r="AA1537" s="18" t="n">
        <f aca="false">IFERROR(INDEX(CADASTRO_PIVOS!$I$6:$I$41,MATCH($E1537,CADASTRO_PIVOS!$B$6:$B$41,0)),0)</f>
        <v>971.133333333333</v>
      </c>
      <c r="AB1537" s="18" t="n">
        <f aca="false">IF($Z1537&lt;=0,0,$Z1537/$AA1537)</f>
        <v>0</v>
      </c>
      <c r="AC1537" s="16" t="n">
        <f aca="false">IFERROR(INDEX(SEMANAS!$K$6:$K$71,MATCH($B1537,SEMANAS!$B$6:$B$71,0)),0)</f>
        <v>147</v>
      </c>
      <c r="AD1537" s="19" t="n">
        <f aca="false">IF($AC1537&lt;=0,0,$AB1537/$AC1537)</f>
        <v>0</v>
      </c>
      <c r="AE1537" s="8" t="str">
        <f aca="false">IF($K1537="SEM CULTURA","SEM CULTURA",IF($AA1537&lt;=0,"DADO PENDENTE",IF($AD1537&gt;LIMITE_CRITICO,"INVIAVEL",IF($AD1537&gt;LIMITE_ATENCAO,"CRITICO",IF($AD1537&gt;LIMITE_CONFORTAVEL,"ATENCAO","OK")))))</f>
        <v>SEM CULTURA</v>
      </c>
      <c r="AF1537" s="8" t="str">
        <f aca="false">$B1537&amp;"|"&amp;TEXT($AD1537,"0.000000")</f>
        <v>14|0.000000</v>
      </c>
      <c r="AG1537" s="18" t="n">
        <f aca="false">IF($K1537="SEM CULTURA",0,$T1537*$H1537)</f>
        <v>0</v>
      </c>
      <c r="AH1537" s="18" t="n">
        <f aca="false">IF($K1537="SEM CULTURA",0,$V1537*$H1537)</f>
        <v>0</v>
      </c>
      <c r="AI1537" s="18" t="n">
        <f aca="false">IF($K1537="SEM CULTURA",0,$W1537*$H1537)</f>
        <v>0</v>
      </c>
      <c r="AJ1537" s="18" t="n">
        <f aca="false">IF($K1537="SEM CULTURA",0,$S1537*$H1537)</f>
        <v>0</v>
      </c>
      <c r="AK1537" s="8" t="str">
        <f aca="false">$E1537&amp;"|"&amp;TEXT($AD1537,"0.000000")</f>
        <v>PV 120|0.000000</v>
      </c>
    </row>
    <row r="1538" customFormat="false" ht="15" hidden="false" customHeight="false" outlineLevel="0" collapsed="false">
      <c r="B1538" s="16" t="n">
        <v>15</v>
      </c>
      <c r="C1538" s="17" t="n">
        <f aca="false">DATA_INICIO_SAFRA+($B1538-1)*DIAS_POR_SEMANA</f>
        <v>46363</v>
      </c>
      <c r="D1538" s="17" t="n">
        <f aca="false">$C1538+DIAS_POR_SEMANA-1</f>
        <v>46369</v>
      </c>
      <c r="E1538" s="15" t="s">
        <v>282</v>
      </c>
      <c r="F1538" s="8" t="str">
        <f aca="false">IFERROR(INDEX(CADASTRO_PIVOS!$C$6:$C$41,MATCH($E1538,CADASTRO_PIVOS!$B$6:$B$41,0)),"?")</f>
        <v>RM07</v>
      </c>
      <c r="G1538" s="8" t="str">
        <f aca="false">IFERROR(INDEX(CADASTRO_PIVOS!$D$6:$D$41,MATCH($E1538,CADASTRO_PIVOS!$B$6:$B$41,0)),"?")</f>
        <v>TR07</v>
      </c>
      <c r="H1538" s="20" t="n">
        <f aca="false">IFERROR(INDEX(CADASTRO_PIVOS!$E$6:$E$41,MATCH($E1538,CADASTRO_PIVOS!$B$6:$B$41,0)),0)</f>
        <v>145.67</v>
      </c>
      <c r="I1538" s="16" t="n">
        <f aca="false">IFERROR(SUMIFS(ROTACAO_RDM!$B$6:$B$71,ROTACAO_RDM!$D$6:$D$71,$E1538,ROTACAO_RDM!$I$6:$I$71,"&lt;="&amp;$C1538+INT(DIAS_POR_SEMANA/2),ROTACAO_RDM!$J$6:$J$71,"&gt;="&amp;$C1538+INT(DIAS_POR_SEMANA/2)),0)</f>
        <v>0</v>
      </c>
      <c r="J1538" s="16" t="n">
        <f aca="false">IFERROR(MATCH($I1538,ROTACAO_RDM!$B$6:$B$71,0),0)</f>
        <v>0</v>
      </c>
      <c r="K1538" s="8" t="str">
        <f aca="false">IF($J1538=0,"SEM CULTURA",INDEX(ROTACAO_RDM!$F$6:$F$71,$J1538))</f>
        <v>SEM CULTURA</v>
      </c>
      <c r="L1538" s="8" t="str">
        <f aca="false">IF($J1538=0,"",INDEX(ROTACAO_RDM!$G$6:$G$71,$J1538))</f>
        <v/>
      </c>
      <c r="M1538" s="17" t="str">
        <f aca="false">IF($J1538=0,"",INDEX(ROTACAO_RDM!$I$6:$I$71,$J1538))</f>
        <v/>
      </c>
      <c r="N1538" s="16" t="n">
        <f aca="false">IF($J1538=0,0,MAX(0,$C1538+INT(DIAS_POR_SEMANA/2)-INDEX(ROTACAO_RDM!$I$6:$I$71,$J1538)))</f>
        <v>0</v>
      </c>
      <c r="O1538" s="19" t="n">
        <f aca="false">IF($J1538=0,0,MIN(1,$N1538/MAX(1,INDEX(ROTACAO_RDM!$K$6:$K$71,$J1538))))</f>
        <v>0</v>
      </c>
      <c r="P1538" s="16" t="n">
        <f aca="false">IF($J1538=0,0,IFERROR(MATCH(INDEX(ROTACAO_RDM!$N$6:$N$71,$J1538),PARAMETROS_CULTURAS!$B$6:$B$28,0),0))</f>
        <v>0</v>
      </c>
      <c r="Q1538" s="8" t="str">
        <f aca="false">IF($P1538=0,"-",IF($O1538&lt;=INDEX(PARAMETROS_CULTURAS!$F$6:$F$28,$P1538),"INICIAL",IF($O1538&lt;=INDEX(PARAMETROS_CULTURAS!$F$6:$F$28,$P1538)+INDEX(PARAMETROS_CULTURAS!$G$6:$G$28,$P1538),"DESENVOLVIMENTO",IF($O1538&lt;=INDEX(PARAMETROS_CULTURAS!$F$6:$F$28,$P1538)+INDEX(PARAMETROS_CULTURAS!$G$6:$G$28,$P1538)+INDEX(PARAMETROS_CULTURAS!$H$6:$H$28,$P1538),"MEDIA","FINAL"))))</f>
        <v>-</v>
      </c>
      <c r="R1538" s="24" t="n">
        <f aca="false">IF($P1538=0,0,IF($O1538&lt;=INDEX(PARAMETROS_CULTURAS!$F$6:$F$28,$P1538),INDEX(PARAMETROS_CULTURAS!$K$6:$K$28,$P1538),IF($O1538&lt;=INDEX(PARAMETROS_CULTURAS!$F$6:$F$28,$P1538)+INDEX(PARAMETROS_CULTURAS!$G$6:$G$28,$P1538),INDEX(PARAMETROS_CULTURAS!$K$6:$K$28,$P1538)+(INDEX(PARAMETROS_CULTURAS!$L$6:$L$28,$P1538)-INDEX(PARAMETROS_CULTURAS!$K$6:$K$28,$P1538))*($O1538-INDEX(PARAMETROS_CULTURAS!$F$6:$F$28,$P1538))/MAX(INDEX(PARAMETROS_CULTURAS!$G$6:$G$28,$P1538),0.0001),IF($O1538&lt;=INDEX(PARAMETROS_CULTURAS!$F$6:$F$28,$P1538)+INDEX(PARAMETROS_CULTURAS!$G$6:$G$28,$P1538)+INDEX(PARAMETROS_CULTURAS!$H$6:$H$28,$P1538),INDEX(PARAMETROS_CULTURAS!$L$6:$L$28,$P1538),INDEX(PARAMETROS_CULTURAS!$L$6:$L$28,$P1538)+(INDEX(PARAMETROS_CULTURAS!$M$6:$M$28,$P1538)-INDEX(PARAMETROS_CULTURAS!$L$6:$L$28,$P1538))*($O1538-INDEX(PARAMETROS_CULTURAS!$F$6:$F$28,$P1538)-INDEX(PARAMETROS_CULTURAS!$G$6:$G$28,$P1538)-INDEX(PARAMETROS_CULTURAS!$H$6:$H$28,$P1538))/MAX(INDEX(PARAMETROS_CULTURAS!$I$6:$I$28,$P1538),0.0001)))))</f>
        <v>0</v>
      </c>
      <c r="S1538" s="18" t="n">
        <f aca="false">IFERROR(INDEX(SEMANAS!$H$6:$H$71,MATCH($B1538,SEMANAS!$B$6:$B$71,0)),0)</f>
        <v>32.9</v>
      </c>
      <c r="T1538" s="18" t="n">
        <f aca="false">$R1538*$S1538</f>
        <v>0</v>
      </c>
      <c r="U1538" s="18" t="n">
        <f aca="false">IFERROR(INDEX(SEMANAS!$I$6:$I$71,MATCH($B1538,SEMANAS!$B$6:$B$71,0)),0)</f>
        <v>48.58</v>
      </c>
      <c r="V1538" s="18" t="n">
        <f aca="false">IFERROR(INDEX(SEMANAS!$J$6:$J$71,MATCH($B1538,SEMANAS!$B$6:$B$71,0)),0)</f>
        <v>38.864</v>
      </c>
      <c r="W1538" s="18" t="n">
        <f aca="false">MAX(0,$T1538-$V1538)</f>
        <v>0</v>
      </c>
      <c r="X1538" s="19" t="n">
        <f aca="false">IFERROR(INDEX(CADASTRO_PIVOS!$K$6:$K$41,MATCH($E1538,CADASTRO_PIVOS!$B$6:$B$41,0)),EFICIENCIA_PADRAO)</f>
        <v>0.85</v>
      </c>
      <c r="Y1538" s="18" t="n">
        <f aca="false">IF($X1538&lt;=0,0,$W1538/$X1538)</f>
        <v>0</v>
      </c>
      <c r="Z1538" s="16" t="n">
        <f aca="false">$Y1538*$H1538*MM_PARA_M3_HA</f>
        <v>0</v>
      </c>
      <c r="AA1538" s="18" t="n">
        <f aca="false">IFERROR(INDEX(CADASTRO_PIVOS!$I$6:$I$41,MATCH($E1538,CADASTRO_PIVOS!$B$6:$B$41,0)),0)</f>
        <v>971.133333333333</v>
      </c>
      <c r="AB1538" s="18" t="n">
        <f aca="false">IF($Z1538&lt;=0,0,$Z1538/$AA1538)</f>
        <v>0</v>
      </c>
      <c r="AC1538" s="16" t="n">
        <f aca="false">IFERROR(INDEX(SEMANAS!$K$6:$K$71,MATCH($B1538,SEMANAS!$B$6:$B$71,0)),0)</f>
        <v>147</v>
      </c>
      <c r="AD1538" s="19" t="n">
        <f aca="false">IF($AC1538&lt;=0,0,$AB1538/$AC1538)</f>
        <v>0</v>
      </c>
      <c r="AE1538" s="8" t="str">
        <f aca="false">IF($K1538="SEM CULTURA","SEM CULTURA",IF($AA1538&lt;=0,"DADO PENDENTE",IF($AD1538&gt;LIMITE_CRITICO,"INVIAVEL",IF($AD1538&gt;LIMITE_ATENCAO,"CRITICO",IF($AD1538&gt;LIMITE_CONFORTAVEL,"ATENCAO","OK")))))</f>
        <v>SEM CULTURA</v>
      </c>
      <c r="AF1538" s="8" t="str">
        <f aca="false">$B1538&amp;"|"&amp;TEXT($AD1538,"0.000000")</f>
        <v>15|0.000000</v>
      </c>
      <c r="AG1538" s="18" t="n">
        <f aca="false">IF($K1538="SEM CULTURA",0,$T1538*$H1538)</f>
        <v>0</v>
      </c>
      <c r="AH1538" s="18" t="n">
        <f aca="false">IF($K1538="SEM CULTURA",0,$V1538*$H1538)</f>
        <v>0</v>
      </c>
      <c r="AI1538" s="18" t="n">
        <f aca="false">IF($K1538="SEM CULTURA",0,$W1538*$H1538)</f>
        <v>0</v>
      </c>
      <c r="AJ1538" s="18" t="n">
        <f aca="false">IF($K1538="SEM CULTURA",0,$S1538*$H1538)</f>
        <v>0</v>
      </c>
      <c r="AK1538" s="8" t="str">
        <f aca="false">$E1538&amp;"|"&amp;TEXT($AD1538,"0.000000")</f>
        <v>PV 120|0.000000</v>
      </c>
    </row>
    <row r="1539" customFormat="false" ht="15" hidden="false" customHeight="false" outlineLevel="0" collapsed="false">
      <c r="B1539" s="16" t="n">
        <v>16</v>
      </c>
      <c r="C1539" s="17" t="n">
        <f aca="false">DATA_INICIO_SAFRA+($B1539-1)*DIAS_POR_SEMANA</f>
        <v>46370</v>
      </c>
      <c r="D1539" s="17" t="n">
        <f aca="false">$C1539+DIAS_POR_SEMANA-1</f>
        <v>46376</v>
      </c>
      <c r="E1539" s="15" t="s">
        <v>282</v>
      </c>
      <c r="F1539" s="8" t="str">
        <f aca="false">IFERROR(INDEX(CADASTRO_PIVOS!$C$6:$C$41,MATCH($E1539,CADASTRO_PIVOS!$B$6:$B$41,0)),"?")</f>
        <v>RM07</v>
      </c>
      <c r="G1539" s="8" t="str">
        <f aca="false">IFERROR(INDEX(CADASTRO_PIVOS!$D$6:$D$41,MATCH($E1539,CADASTRO_PIVOS!$B$6:$B$41,0)),"?")</f>
        <v>TR07</v>
      </c>
      <c r="H1539" s="20" t="n">
        <f aca="false">IFERROR(INDEX(CADASTRO_PIVOS!$E$6:$E$41,MATCH($E1539,CADASTRO_PIVOS!$B$6:$B$41,0)),0)</f>
        <v>145.67</v>
      </c>
      <c r="I1539" s="16" t="n">
        <f aca="false">IFERROR(SUMIFS(ROTACAO_RDM!$B$6:$B$71,ROTACAO_RDM!$D$6:$D$71,$E1539,ROTACAO_RDM!$I$6:$I$71,"&lt;="&amp;$C1539+INT(DIAS_POR_SEMANA/2),ROTACAO_RDM!$J$6:$J$71,"&gt;="&amp;$C1539+INT(DIAS_POR_SEMANA/2)),0)</f>
        <v>0</v>
      </c>
      <c r="J1539" s="16" t="n">
        <f aca="false">IFERROR(MATCH($I1539,ROTACAO_RDM!$B$6:$B$71,0),0)</f>
        <v>0</v>
      </c>
      <c r="K1539" s="8" t="str">
        <f aca="false">IF($J1539=0,"SEM CULTURA",INDEX(ROTACAO_RDM!$F$6:$F$71,$J1539))</f>
        <v>SEM CULTURA</v>
      </c>
      <c r="L1539" s="8" t="str">
        <f aca="false">IF($J1539=0,"",INDEX(ROTACAO_RDM!$G$6:$G$71,$J1539))</f>
        <v/>
      </c>
      <c r="M1539" s="17" t="str">
        <f aca="false">IF($J1539=0,"",INDEX(ROTACAO_RDM!$I$6:$I$71,$J1539))</f>
        <v/>
      </c>
      <c r="N1539" s="16" t="n">
        <f aca="false">IF($J1539=0,0,MAX(0,$C1539+INT(DIAS_POR_SEMANA/2)-INDEX(ROTACAO_RDM!$I$6:$I$71,$J1539)))</f>
        <v>0</v>
      </c>
      <c r="O1539" s="19" t="n">
        <f aca="false">IF($J1539=0,0,MIN(1,$N1539/MAX(1,INDEX(ROTACAO_RDM!$K$6:$K$71,$J1539))))</f>
        <v>0</v>
      </c>
      <c r="P1539" s="16" t="n">
        <f aca="false">IF($J1539=0,0,IFERROR(MATCH(INDEX(ROTACAO_RDM!$N$6:$N$71,$J1539),PARAMETROS_CULTURAS!$B$6:$B$28,0),0))</f>
        <v>0</v>
      </c>
      <c r="Q1539" s="8" t="str">
        <f aca="false">IF($P1539=0,"-",IF($O1539&lt;=INDEX(PARAMETROS_CULTURAS!$F$6:$F$28,$P1539),"INICIAL",IF($O1539&lt;=INDEX(PARAMETROS_CULTURAS!$F$6:$F$28,$P1539)+INDEX(PARAMETROS_CULTURAS!$G$6:$G$28,$P1539),"DESENVOLVIMENTO",IF($O1539&lt;=INDEX(PARAMETROS_CULTURAS!$F$6:$F$28,$P1539)+INDEX(PARAMETROS_CULTURAS!$G$6:$G$28,$P1539)+INDEX(PARAMETROS_CULTURAS!$H$6:$H$28,$P1539),"MEDIA","FINAL"))))</f>
        <v>-</v>
      </c>
      <c r="R1539" s="24" t="n">
        <f aca="false">IF($P1539=0,0,IF($O1539&lt;=INDEX(PARAMETROS_CULTURAS!$F$6:$F$28,$P1539),INDEX(PARAMETROS_CULTURAS!$K$6:$K$28,$P1539),IF($O1539&lt;=INDEX(PARAMETROS_CULTURAS!$F$6:$F$28,$P1539)+INDEX(PARAMETROS_CULTURAS!$G$6:$G$28,$P1539),INDEX(PARAMETROS_CULTURAS!$K$6:$K$28,$P1539)+(INDEX(PARAMETROS_CULTURAS!$L$6:$L$28,$P1539)-INDEX(PARAMETROS_CULTURAS!$K$6:$K$28,$P1539))*($O1539-INDEX(PARAMETROS_CULTURAS!$F$6:$F$28,$P1539))/MAX(INDEX(PARAMETROS_CULTURAS!$G$6:$G$28,$P1539),0.0001),IF($O1539&lt;=INDEX(PARAMETROS_CULTURAS!$F$6:$F$28,$P1539)+INDEX(PARAMETROS_CULTURAS!$G$6:$G$28,$P1539)+INDEX(PARAMETROS_CULTURAS!$H$6:$H$28,$P1539),INDEX(PARAMETROS_CULTURAS!$L$6:$L$28,$P1539),INDEX(PARAMETROS_CULTURAS!$L$6:$L$28,$P1539)+(INDEX(PARAMETROS_CULTURAS!$M$6:$M$28,$P1539)-INDEX(PARAMETROS_CULTURAS!$L$6:$L$28,$P1539))*($O1539-INDEX(PARAMETROS_CULTURAS!$F$6:$F$28,$P1539)-INDEX(PARAMETROS_CULTURAS!$G$6:$G$28,$P1539)-INDEX(PARAMETROS_CULTURAS!$H$6:$H$28,$P1539))/MAX(INDEX(PARAMETROS_CULTURAS!$I$6:$I$28,$P1539),0.0001)))))</f>
        <v>0</v>
      </c>
      <c r="S1539" s="18" t="n">
        <f aca="false">IFERROR(INDEX(SEMANAS!$H$6:$H$71,MATCH($B1539,SEMANAS!$B$6:$B$71,0)),0)</f>
        <v>32.9</v>
      </c>
      <c r="T1539" s="18" t="n">
        <f aca="false">$R1539*$S1539</f>
        <v>0</v>
      </c>
      <c r="U1539" s="18" t="n">
        <f aca="false">IFERROR(INDEX(SEMANAS!$I$6:$I$71,MATCH($B1539,SEMANAS!$B$6:$B$71,0)),0)</f>
        <v>48.58</v>
      </c>
      <c r="V1539" s="18" t="n">
        <f aca="false">IFERROR(INDEX(SEMANAS!$J$6:$J$71,MATCH($B1539,SEMANAS!$B$6:$B$71,0)),0)</f>
        <v>38.864</v>
      </c>
      <c r="W1539" s="18" t="n">
        <f aca="false">MAX(0,$T1539-$V1539)</f>
        <v>0</v>
      </c>
      <c r="X1539" s="19" t="n">
        <f aca="false">IFERROR(INDEX(CADASTRO_PIVOS!$K$6:$K$41,MATCH($E1539,CADASTRO_PIVOS!$B$6:$B$41,0)),EFICIENCIA_PADRAO)</f>
        <v>0.85</v>
      </c>
      <c r="Y1539" s="18" t="n">
        <f aca="false">IF($X1539&lt;=0,0,$W1539/$X1539)</f>
        <v>0</v>
      </c>
      <c r="Z1539" s="16" t="n">
        <f aca="false">$Y1539*$H1539*MM_PARA_M3_HA</f>
        <v>0</v>
      </c>
      <c r="AA1539" s="18" t="n">
        <f aca="false">IFERROR(INDEX(CADASTRO_PIVOS!$I$6:$I$41,MATCH($E1539,CADASTRO_PIVOS!$B$6:$B$41,0)),0)</f>
        <v>971.133333333333</v>
      </c>
      <c r="AB1539" s="18" t="n">
        <f aca="false">IF($Z1539&lt;=0,0,$Z1539/$AA1539)</f>
        <v>0</v>
      </c>
      <c r="AC1539" s="16" t="n">
        <f aca="false">IFERROR(INDEX(SEMANAS!$K$6:$K$71,MATCH($B1539,SEMANAS!$B$6:$B$71,0)),0)</f>
        <v>147</v>
      </c>
      <c r="AD1539" s="19" t="n">
        <f aca="false">IF($AC1539&lt;=0,0,$AB1539/$AC1539)</f>
        <v>0</v>
      </c>
      <c r="AE1539" s="8" t="str">
        <f aca="false">IF($K1539="SEM CULTURA","SEM CULTURA",IF($AA1539&lt;=0,"DADO PENDENTE",IF($AD1539&gt;LIMITE_CRITICO,"INVIAVEL",IF($AD1539&gt;LIMITE_ATENCAO,"CRITICO",IF($AD1539&gt;LIMITE_CONFORTAVEL,"ATENCAO","OK")))))</f>
        <v>SEM CULTURA</v>
      </c>
      <c r="AF1539" s="8" t="str">
        <f aca="false">$B1539&amp;"|"&amp;TEXT($AD1539,"0.000000")</f>
        <v>16|0.000000</v>
      </c>
      <c r="AG1539" s="18" t="n">
        <f aca="false">IF($K1539="SEM CULTURA",0,$T1539*$H1539)</f>
        <v>0</v>
      </c>
      <c r="AH1539" s="18" t="n">
        <f aca="false">IF($K1539="SEM CULTURA",0,$V1539*$H1539)</f>
        <v>0</v>
      </c>
      <c r="AI1539" s="18" t="n">
        <f aca="false">IF($K1539="SEM CULTURA",0,$W1539*$H1539)</f>
        <v>0</v>
      </c>
      <c r="AJ1539" s="18" t="n">
        <f aca="false">IF($K1539="SEM CULTURA",0,$S1539*$H1539)</f>
        <v>0</v>
      </c>
      <c r="AK1539" s="8" t="str">
        <f aca="false">$E1539&amp;"|"&amp;TEXT($AD1539,"0.000000")</f>
        <v>PV 120|0.000000</v>
      </c>
    </row>
    <row r="1540" customFormat="false" ht="15" hidden="false" customHeight="false" outlineLevel="0" collapsed="false">
      <c r="B1540" s="16" t="n">
        <v>17</v>
      </c>
      <c r="C1540" s="17" t="n">
        <f aca="false">DATA_INICIO_SAFRA+($B1540-1)*DIAS_POR_SEMANA</f>
        <v>46377</v>
      </c>
      <c r="D1540" s="17" t="n">
        <f aca="false">$C1540+DIAS_POR_SEMANA-1</f>
        <v>46383</v>
      </c>
      <c r="E1540" s="15" t="s">
        <v>282</v>
      </c>
      <c r="F1540" s="8" t="str">
        <f aca="false">IFERROR(INDEX(CADASTRO_PIVOS!$C$6:$C$41,MATCH($E1540,CADASTRO_PIVOS!$B$6:$B$41,0)),"?")</f>
        <v>RM07</v>
      </c>
      <c r="G1540" s="8" t="str">
        <f aca="false">IFERROR(INDEX(CADASTRO_PIVOS!$D$6:$D$41,MATCH($E1540,CADASTRO_PIVOS!$B$6:$B$41,0)),"?")</f>
        <v>TR07</v>
      </c>
      <c r="H1540" s="20" t="n">
        <f aca="false">IFERROR(INDEX(CADASTRO_PIVOS!$E$6:$E$41,MATCH($E1540,CADASTRO_PIVOS!$B$6:$B$41,0)),0)</f>
        <v>145.67</v>
      </c>
      <c r="I1540" s="16" t="n">
        <f aca="false">IFERROR(SUMIFS(ROTACAO_RDM!$B$6:$B$71,ROTACAO_RDM!$D$6:$D$71,$E1540,ROTACAO_RDM!$I$6:$I$71,"&lt;="&amp;$C1540+INT(DIAS_POR_SEMANA/2),ROTACAO_RDM!$J$6:$J$71,"&gt;="&amp;$C1540+INT(DIAS_POR_SEMANA/2)),0)</f>
        <v>0</v>
      </c>
      <c r="J1540" s="16" t="n">
        <f aca="false">IFERROR(MATCH($I1540,ROTACAO_RDM!$B$6:$B$71,0),0)</f>
        <v>0</v>
      </c>
      <c r="K1540" s="8" t="str">
        <f aca="false">IF($J1540=0,"SEM CULTURA",INDEX(ROTACAO_RDM!$F$6:$F$71,$J1540))</f>
        <v>SEM CULTURA</v>
      </c>
      <c r="L1540" s="8" t="str">
        <f aca="false">IF($J1540=0,"",INDEX(ROTACAO_RDM!$G$6:$G$71,$J1540))</f>
        <v/>
      </c>
      <c r="M1540" s="17" t="str">
        <f aca="false">IF($J1540=0,"",INDEX(ROTACAO_RDM!$I$6:$I$71,$J1540))</f>
        <v/>
      </c>
      <c r="N1540" s="16" t="n">
        <f aca="false">IF($J1540=0,0,MAX(0,$C1540+INT(DIAS_POR_SEMANA/2)-INDEX(ROTACAO_RDM!$I$6:$I$71,$J1540)))</f>
        <v>0</v>
      </c>
      <c r="O1540" s="19" t="n">
        <f aca="false">IF($J1540=0,0,MIN(1,$N1540/MAX(1,INDEX(ROTACAO_RDM!$K$6:$K$71,$J1540))))</f>
        <v>0</v>
      </c>
      <c r="P1540" s="16" t="n">
        <f aca="false">IF($J1540=0,0,IFERROR(MATCH(INDEX(ROTACAO_RDM!$N$6:$N$71,$J1540),PARAMETROS_CULTURAS!$B$6:$B$28,0),0))</f>
        <v>0</v>
      </c>
      <c r="Q1540" s="8" t="str">
        <f aca="false">IF($P1540=0,"-",IF($O1540&lt;=INDEX(PARAMETROS_CULTURAS!$F$6:$F$28,$P1540),"INICIAL",IF($O1540&lt;=INDEX(PARAMETROS_CULTURAS!$F$6:$F$28,$P1540)+INDEX(PARAMETROS_CULTURAS!$G$6:$G$28,$P1540),"DESENVOLVIMENTO",IF($O1540&lt;=INDEX(PARAMETROS_CULTURAS!$F$6:$F$28,$P1540)+INDEX(PARAMETROS_CULTURAS!$G$6:$G$28,$P1540)+INDEX(PARAMETROS_CULTURAS!$H$6:$H$28,$P1540),"MEDIA","FINAL"))))</f>
        <v>-</v>
      </c>
      <c r="R1540" s="24" t="n">
        <f aca="false">IF($P1540=0,0,IF($O1540&lt;=INDEX(PARAMETROS_CULTURAS!$F$6:$F$28,$P1540),INDEX(PARAMETROS_CULTURAS!$K$6:$K$28,$P1540),IF($O1540&lt;=INDEX(PARAMETROS_CULTURAS!$F$6:$F$28,$P1540)+INDEX(PARAMETROS_CULTURAS!$G$6:$G$28,$P1540),INDEX(PARAMETROS_CULTURAS!$K$6:$K$28,$P1540)+(INDEX(PARAMETROS_CULTURAS!$L$6:$L$28,$P1540)-INDEX(PARAMETROS_CULTURAS!$K$6:$K$28,$P1540))*($O1540-INDEX(PARAMETROS_CULTURAS!$F$6:$F$28,$P1540))/MAX(INDEX(PARAMETROS_CULTURAS!$G$6:$G$28,$P1540),0.0001),IF($O1540&lt;=INDEX(PARAMETROS_CULTURAS!$F$6:$F$28,$P1540)+INDEX(PARAMETROS_CULTURAS!$G$6:$G$28,$P1540)+INDEX(PARAMETROS_CULTURAS!$H$6:$H$28,$P1540),INDEX(PARAMETROS_CULTURAS!$L$6:$L$28,$P1540),INDEX(PARAMETROS_CULTURAS!$L$6:$L$28,$P1540)+(INDEX(PARAMETROS_CULTURAS!$M$6:$M$28,$P1540)-INDEX(PARAMETROS_CULTURAS!$L$6:$L$28,$P1540))*($O1540-INDEX(PARAMETROS_CULTURAS!$F$6:$F$28,$P1540)-INDEX(PARAMETROS_CULTURAS!$G$6:$G$28,$P1540)-INDEX(PARAMETROS_CULTURAS!$H$6:$H$28,$P1540))/MAX(INDEX(PARAMETROS_CULTURAS!$I$6:$I$28,$P1540),0.0001)))))</f>
        <v>0</v>
      </c>
      <c r="S1540" s="18" t="n">
        <f aca="false">IFERROR(INDEX(SEMANAS!$H$6:$H$71,MATCH($B1540,SEMANAS!$B$6:$B$71,0)),0)</f>
        <v>32.9</v>
      </c>
      <c r="T1540" s="18" t="n">
        <f aca="false">$R1540*$S1540</f>
        <v>0</v>
      </c>
      <c r="U1540" s="18" t="n">
        <f aca="false">IFERROR(INDEX(SEMANAS!$I$6:$I$71,MATCH($B1540,SEMANAS!$B$6:$B$71,0)),0)</f>
        <v>48.58</v>
      </c>
      <c r="V1540" s="18" t="n">
        <f aca="false">IFERROR(INDEX(SEMANAS!$J$6:$J$71,MATCH($B1540,SEMANAS!$B$6:$B$71,0)),0)</f>
        <v>38.864</v>
      </c>
      <c r="W1540" s="18" t="n">
        <f aca="false">MAX(0,$T1540-$V1540)</f>
        <v>0</v>
      </c>
      <c r="X1540" s="19" t="n">
        <f aca="false">IFERROR(INDEX(CADASTRO_PIVOS!$K$6:$K$41,MATCH($E1540,CADASTRO_PIVOS!$B$6:$B$41,0)),EFICIENCIA_PADRAO)</f>
        <v>0.85</v>
      </c>
      <c r="Y1540" s="18" t="n">
        <f aca="false">IF($X1540&lt;=0,0,$W1540/$X1540)</f>
        <v>0</v>
      </c>
      <c r="Z1540" s="16" t="n">
        <f aca="false">$Y1540*$H1540*MM_PARA_M3_HA</f>
        <v>0</v>
      </c>
      <c r="AA1540" s="18" t="n">
        <f aca="false">IFERROR(INDEX(CADASTRO_PIVOS!$I$6:$I$41,MATCH($E1540,CADASTRO_PIVOS!$B$6:$B$41,0)),0)</f>
        <v>971.133333333333</v>
      </c>
      <c r="AB1540" s="18" t="n">
        <f aca="false">IF($Z1540&lt;=0,0,$Z1540/$AA1540)</f>
        <v>0</v>
      </c>
      <c r="AC1540" s="16" t="n">
        <f aca="false">IFERROR(INDEX(SEMANAS!$K$6:$K$71,MATCH($B1540,SEMANAS!$B$6:$B$71,0)),0)</f>
        <v>147</v>
      </c>
      <c r="AD1540" s="19" t="n">
        <f aca="false">IF($AC1540&lt;=0,0,$AB1540/$AC1540)</f>
        <v>0</v>
      </c>
      <c r="AE1540" s="8" t="str">
        <f aca="false">IF($K1540="SEM CULTURA","SEM CULTURA",IF($AA1540&lt;=0,"DADO PENDENTE",IF($AD1540&gt;LIMITE_CRITICO,"INVIAVEL",IF($AD1540&gt;LIMITE_ATENCAO,"CRITICO",IF($AD1540&gt;LIMITE_CONFORTAVEL,"ATENCAO","OK")))))</f>
        <v>SEM CULTURA</v>
      </c>
      <c r="AF1540" s="8" t="str">
        <f aca="false">$B1540&amp;"|"&amp;TEXT($AD1540,"0.000000")</f>
        <v>17|0.000000</v>
      </c>
      <c r="AG1540" s="18" t="n">
        <f aca="false">IF($K1540="SEM CULTURA",0,$T1540*$H1540)</f>
        <v>0</v>
      </c>
      <c r="AH1540" s="18" t="n">
        <f aca="false">IF($K1540="SEM CULTURA",0,$V1540*$H1540)</f>
        <v>0</v>
      </c>
      <c r="AI1540" s="18" t="n">
        <f aca="false">IF($K1540="SEM CULTURA",0,$W1540*$H1540)</f>
        <v>0</v>
      </c>
      <c r="AJ1540" s="18" t="n">
        <f aca="false">IF($K1540="SEM CULTURA",0,$S1540*$H1540)</f>
        <v>0</v>
      </c>
      <c r="AK1540" s="8" t="str">
        <f aca="false">$E1540&amp;"|"&amp;TEXT($AD1540,"0.000000")</f>
        <v>PV 120|0.000000</v>
      </c>
    </row>
    <row r="1541" customFormat="false" ht="15" hidden="false" customHeight="false" outlineLevel="0" collapsed="false">
      <c r="B1541" s="16" t="n">
        <v>18</v>
      </c>
      <c r="C1541" s="17" t="n">
        <f aca="false">DATA_INICIO_SAFRA+($B1541-1)*DIAS_POR_SEMANA</f>
        <v>46384</v>
      </c>
      <c r="D1541" s="17" t="n">
        <f aca="false">$C1541+DIAS_POR_SEMANA-1</f>
        <v>46390</v>
      </c>
      <c r="E1541" s="15" t="s">
        <v>282</v>
      </c>
      <c r="F1541" s="8" t="str">
        <f aca="false">IFERROR(INDEX(CADASTRO_PIVOS!$C$6:$C$41,MATCH($E1541,CADASTRO_PIVOS!$B$6:$B$41,0)),"?")</f>
        <v>RM07</v>
      </c>
      <c r="G1541" s="8" t="str">
        <f aca="false">IFERROR(INDEX(CADASTRO_PIVOS!$D$6:$D$41,MATCH($E1541,CADASTRO_PIVOS!$B$6:$B$41,0)),"?")</f>
        <v>TR07</v>
      </c>
      <c r="H1541" s="20" t="n">
        <f aca="false">IFERROR(INDEX(CADASTRO_PIVOS!$E$6:$E$41,MATCH($E1541,CADASTRO_PIVOS!$B$6:$B$41,0)),0)</f>
        <v>145.67</v>
      </c>
      <c r="I1541" s="16" t="n">
        <f aca="false">IFERROR(SUMIFS(ROTACAO_RDM!$B$6:$B$71,ROTACAO_RDM!$D$6:$D$71,$E1541,ROTACAO_RDM!$I$6:$I$71,"&lt;="&amp;$C1541+INT(DIAS_POR_SEMANA/2),ROTACAO_RDM!$J$6:$J$71,"&gt;="&amp;$C1541+INT(DIAS_POR_SEMANA/2)),0)</f>
        <v>0</v>
      </c>
      <c r="J1541" s="16" t="n">
        <f aca="false">IFERROR(MATCH($I1541,ROTACAO_RDM!$B$6:$B$71,0),0)</f>
        <v>0</v>
      </c>
      <c r="K1541" s="8" t="str">
        <f aca="false">IF($J1541=0,"SEM CULTURA",INDEX(ROTACAO_RDM!$F$6:$F$71,$J1541))</f>
        <v>SEM CULTURA</v>
      </c>
      <c r="L1541" s="8" t="str">
        <f aca="false">IF($J1541=0,"",INDEX(ROTACAO_RDM!$G$6:$G$71,$J1541))</f>
        <v/>
      </c>
      <c r="M1541" s="17" t="str">
        <f aca="false">IF($J1541=0,"",INDEX(ROTACAO_RDM!$I$6:$I$71,$J1541))</f>
        <v/>
      </c>
      <c r="N1541" s="16" t="n">
        <f aca="false">IF($J1541=0,0,MAX(0,$C1541+INT(DIAS_POR_SEMANA/2)-INDEX(ROTACAO_RDM!$I$6:$I$71,$J1541)))</f>
        <v>0</v>
      </c>
      <c r="O1541" s="19" t="n">
        <f aca="false">IF($J1541=0,0,MIN(1,$N1541/MAX(1,INDEX(ROTACAO_RDM!$K$6:$K$71,$J1541))))</f>
        <v>0</v>
      </c>
      <c r="P1541" s="16" t="n">
        <f aca="false">IF($J1541=0,0,IFERROR(MATCH(INDEX(ROTACAO_RDM!$N$6:$N$71,$J1541),PARAMETROS_CULTURAS!$B$6:$B$28,0),0))</f>
        <v>0</v>
      </c>
      <c r="Q1541" s="8" t="str">
        <f aca="false">IF($P1541=0,"-",IF($O1541&lt;=INDEX(PARAMETROS_CULTURAS!$F$6:$F$28,$P1541),"INICIAL",IF($O1541&lt;=INDEX(PARAMETROS_CULTURAS!$F$6:$F$28,$P1541)+INDEX(PARAMETROS_CULTURAS!$G$6:$G$28,$P1541),"DESENVOLVIMENTO",IF($O1541&lt;=INDEX(PARAMETROS_CULTURAS!$F$6:$F$28,$P1541)+INDEX(PARAMETROS_CULTURAS!$G$6:$G$28,$P1541)+INDEX(PARAMETROS_CULTURAS!$H$6:$H$28,$P1541),"MEDIA","FINAL"))))</f>
        <v>-</v>
      </c>
      <c r="R1541" s="24" t="n">
        <f aca="false">IF($P1541=0,0,IF($O1541&lt;=INDEX(PARAMETROS_CULTURAS!$F$6:$F$28,$P1541),INDEX(PARAMETROS_CULTURAS!$K$6:$K$28,$P1541),IF($O1541&lt;=INDEX(PARAMETROS_CULTURAS!$F$6:$F$28,$P1541)+INDEX(PARAMETROS_CULTURAS!$G$6:$G$28,$P1541),INDEX(PARAMETROS_CULTURAS!$K$6:$K$28,$P1541)+(INDEX(PARAMETROS_CULTURAS!$L$6:$L$28,$P1541)-INDEX(PARAMETROS_CULTURAS!$K$6:$K$28,$P1541))*($O1541-INDEX(PARAMETROS_CULTURAS!$F$6:$F$28,$P1541))/MAX(INDEX(PARAMETROS_CULTURAS!$G$6:$G$28,$P1541),0.0001),IF($O1541&lt;=INDEX(PARAMETROS_CULTURAS!$F$6:$F$28,$P1541)+INDEX(PARAMETROS_CULTURAS!$G$6:$G$28,$P1541)+INDEX(PARAMETROS_CULTURAS!$H$6:$H$28,$P1541),INDEX(PARAMETROS_CULTURAS!$L$6:$L$28,$P1541),INDEX(PARAMETROS_CULTURAS!$L$6:$L$28,$P1541)+(INDEX(PARAMETROS_CULTURAS!$M$6:$M$28,$P1541)-INDEX(PARAMETROS_CULTURAS!$L$6:$L$28,$P1541))*($O1541-INDEX(PARAMETROS_CULTURAS!$F$6:$F$28,$P1541)-INDEX(PARAMETROS_CULTURAS!$G$6:$G$28,$P1541)-INDEX(PARAMETROS_CULTURAS!$H$6:$H$28,$P1541))/MAX(INDEX(PARAMETROS_CULTURAS!$I$6:$I$28,$P1541),0.0001)))))</f>
        <v>0</v>
      </c>
      <c r="S1541" s="18" t="n">
        <f aca="false">IFERROR(INDEX(SEMANAS!$H$6:$H$71,MATCH($B1541,SEMANAS!$B$6:$B$71,0)),0)</f>
        <v>33.2</v>
      </c>
      <c r="T1541" s="18" t="n">
        <f aca="false">$R1541*$S1541</f>
        <v>0</v>
      </c>
      <c r="U1541" s="18" t="n">
        <f aca="false">IFERROR(INDEX(SEMANAS!$I$6:$I$71,MATCH($B1541,SEMANAS!$B$6:$B$71,0)),0)</f>
        <v>47.11</v>
      </c>
      <c r="V1541" s="18" t="n">
        <f aca="false">IFERROR(INDEX(SEMANAS!$J$6:$J$71,MATCH($B1541,SEMANAS!$B$6:$B$71,0)),0)</f>
        <v>37.688</v>
      </c>
      <c r="W1541" s="18" t="n">
        <f aca="false">MAX(0,$T1541-$V1541)</f>
        <v>0</v>
      </c>
      <c r="X1541" s="19" t="n">
        <f aca="false">IFERROR(INDEX(CADASTRO_PIVOS!$K$6:$K$41,MATCH($E1541,CADASTRO_PIVOS!$B$6:$B$41,0)),EFICIENCIA_PADRAO)</f>
        <v>0.85</v>
      </c>
      <c r="Y1541" s="18" t="n">
        <f aca="false">IF($X1541&lt;=0,0,$W1541/$X1541)</f>
        <v>0</v>
      </c>
      <c r="Z1541" s="16" t="n">
        <f aca="false">$Y1541*$H1541*MM_PARA_M3_HA</f>
        <v>0</v>
      </c>
      <c r="AA1541" s="18" t="n">
        <f aca="false">IFERROR(INDEX(CADASTRO_PIVOS!$I$6:$I$41,MATCH($E1541,CADASTRO_PIVOS!$B$6:$B$41,0)),0)</f>
        <v>971.133333333333</v>
      </c>
      <c r="AB1541" s="18" t="n">
        <f aca="false">IF($Z1541&lt;=0,0,$Z1541/$AA1541)</f>
        <v>0</v>
      </c>
      <c r="AC1541" s="16" t="n">
        <f aca="false">IFERROR(INDEX(SEMANAS!$K$6:$K$71,MATCH($B1541,SEMANAS!$B$6:$B$71,0)),0)</f>
        <v>147</v>
      </c>
      <c r="AD1541" s="19" t="n">
        <f aca="false">IF($AC1541&lt;=0,0,$AB1541/$AC1541)</f>
        <v>0</v>
      </c>
      <c r="AE1541" s="8" t="str">
        <f aca="false">IF($K1541="SEM CULTURA","SEM CULTURA",IF($AA1541&lt;=0,"DADO PENDENTE",IF($AD1541&gt;LIMITE_CRITICO,"INVIAVEL",IF($AD1541&gt;LIMITE_ATENCAO,"CRITICO",IF($AD1541&gt;LIMITE_CONFORTAVEL,"ATENCAO","OK")))))</f>
        <v>SEM CULTURA</v>
      </c>
      <c r="AF1541" s="8" t="str">
        <f aca="false">$B1541&amp;"|"&amp;TEXT($AD1541,"0.000000")</f>
        <v>18|0.000000</v>
      </c>
      <c r="AG1541" s="18" t="n">
        <f aca="false">IF($K1541="SEM CULTURA",0,$T1541*$H1541)</f>
        <v>0</v>
      </c>
      <c r="AH1541" s="18" t="n">
        <f aca="false">IF($K1541="SEM CULTURA",0,$V1541*$H1541)</f>
        <v>0</v>
      </c>
      <c r="AI1541" s="18" t="n">
        <f aca="false">IF($K1541="SEM CULTURA",0,$W1541*$H1541)</f>
        <v>0</v>
      </c>
      <c r="AJ1541" s="18" t="n">
        <f aca="false">IF($K1541="SEM CULTURA",0,$S1541*$H1541)</f>
        <v>0</v>
      </c>
      <c r="AK1541" s="8" t="str">
        <f aca="false">$E1541&amp;"|"&amp;TEXT($AD1541,"0.000000")</f>
        <v>PV 120|0.000000</v>
      </c>
    </row>
    <row r="1542" customFormat="false" ht="15" hidden="false" customHeight="false" outlineLevel="0" collapsed="false">
      <c r="B1542" s="16" t="n">
        <v>19</v>
      </c>
      <c r="C1542" s="17" t="n">
        <f aca="false">DATA_INICIO_SAFRA+($B1542-1)*DIAS_POR_SEMANA</f>
        <v>46391</v>
      </c>
      <c r="D1542" s="17" t="n">
        <f aca="false">$C1542+DIAS_POR_SEMANA-1</f>
        <v>46397</v>
      </c>
      <c r="E1542" s="15" t="s">
        <v>282</v>
      </c>
      <c r="F1542" s="8" t="str">
        <f aca="false">IFERROR(INDEX(CADASTRO_PIVOS!$C$6:$C$41,MATCH($E1542,CADASTRO_PIVOS!$B$6:$B$41,0)),"?")</f>
        <v>RM07</v>
      </c>
      <c r="G1542" s="8" t="str">
        <f aca="false">IFERROR(INDEX(CADASTRO_PIVOS!$D$6:$D$41,MATCH($E1542,CADASTRO_PIVOS!$B$6:$B$41,0)),"?")</f>
        <v>TR07</v>
      </c>
      <c r="H1542" s="20" t="n">
        <f aca="false">IFERROR(INDEX(CADASTRO_PIVOS!$E$6:$E$41,MATCH($E1542,CADASTRO_PIVOS!$B$6:$B$41,0)),0)</f>
        <v>145.67</v>
      </c>
      <c r="I1542" s="16" t="n">
        <f aca="false">IFERROR(SUMIFS(ROTACAO_RDM!$B$6:$B$71,ROTACAO_RDM!$D$6:$D$71,$E1542,ROTACAO_RDM!$I$6:$I$71,"&lt;="&amp;$C1542+INT(DIAS_POR_SEMANA/2),ROTACAO_RDM!$J$6:$J$71,"&gt;="&amp;$C1542+INT(DIAS_POR_SEMANA/2)),0)</f>
        <v>0</v>
      </c>
      <c r="J1542" s="16" t="n">
        <f aca="false">IFERROR(MATCH($I1542,ROTACAO_RDM!$B$6:$B$71,0),0)</f>
        <v>0</v>
      </c>
      <c r="K1542" s="8" t="str">
        <f aca="false">IF($J1542=0,"SEM CULTURA",INDEX(ROTACAO_RDM!$F$6:$F$71,$J1542))</f>
        <v>SEM CULTURA</v>
      </c>
      <c r="L1542" s="8" t="str">
        <f aca="false">IF($J1542=0,"",INDEX(ROTACAO_RDM!$G$6:$G$71,$J1542))</f>
        <v/>
      </c>
      <c r="M1542" s="17" t="str">
        <f aca="false">IF($J1542=0,"",INDEX(ROTACAO_RDM!$I$6:$I$71,$J1542))</f>
        <v/>
      </c>
      <c r="N1542" s="16" t="n">
        <f aca="false">IF($J1542=0,0,MAX(0,$C1542+INT(DIAS_POR_SEMANA/2)-INDEX(ROTACAO_RDM!$I$6:$I$71,$J1542)))</f>
        <v>0</v>
      </c>
      <c r="O1542" s="19" t="n">
        <f aca="false">IF($J1542=0,0,MIN(1,$N1542/MAX(1,INDEX(ROTACAO_RDM!$K$6:$K$71,$J1542))))</f>
        <v>0</v>
      </c>
      <c r="P1542" s="16" t="n">
        <f aca="false">IF($J1542=0,0,IFERROR(MATCH(INDEX(ROTACAO_RDM!$N$6:$N$71,$J1542),PARAMETROS_CULTURAS!$B$6:$B$28,0),0))</f>
        <v>0</v>
      </c>
      <c r="Q1542" s="8" t="str">
        <f aca="false">IF($P1542=0,"-",IF($O1542&lt;=INDEX(PARAMETROS_CULTURAS!$F$6:$F$28,$P1542),"INICIAL",IF($O1542&lt;=INDEX(PARAMETROS_CULTURAS!$F$6:$F$28,$P1542)+INDEX(PARAMETROS_CULTURAS!$G$6:$G$28,$P1542),"DESENVOLVIMENTO",IF($O1542&lt;=INDEX(PARAMETROS_CULTURAS!$F$6:$F$28,$P1542)+INDEX(PARAMETROS_CULTURAS!$G$6:$G$28,$P1542)+INDEX(PARAMETROS_CULTURAS!$H$6:$H$28,$P1542),"MEDIA","FINAL"))))</f>
        <v>-</v>
      </c>
      <c r="R1542" s="24" t="n">
        <f aca="false">IF($P1542=0,0,IF($O1542&lt;=INDEX(PARAMETROS_CULTURAS!$F$6:$F$28,$P1542),INDEX(PARAMETROS_CULTURAS!$K$6:$K$28,$P1542),IF($O1542&lt;=INDEX(PARAMETROS_CULTURAS!$F$6:$F$28,$P1542)+INDEX(PARAMETROS_CULTURAS!$G$6:$G$28,$P1542),INDEX(PARAMETROS_CULTURAS!$K$6:$K$28,$P1542)+(INDEX(PARAMETROS_CULTURAS!$L$6:$L$28,$P1542)-INDEX(PARAMETROS_CULTURAS!$K$6:$K$28,$P1542))*($O1542-INDEX(PARAMETROS_CULTURAS!$F$6:$F$28,$P1542))/MAX(INDEX(PARAMETROS_CULTURAS!$G$6:$G$28,$P1542),0.0001),IF($O1542&lt;=INDEX(PARAMETROS_CULTURAS!$F$6:$F$28,$P1542)+INDEX(PARAMETROS_CULTURAS!$G$6:$G$28,$P1542)+INDEX(PARAMETROS_CULTURAS!$H$6:$H$28,$P1542),INDEX(PARAMETROS_CULTURAS!$L$6:$L$28,$P1542),INDEX(PARAMETROS_CULTURAS!$L$6:$L$28,$P1542)+(INDEX(PARAMETROS_CULTURAS!$M$6:$M$28,$P1542)-INDEX(PARAMETROS_CULTURAS!$L$6:$L$28,$P1542))*($O1542-INDEX(PARAMETROS_CULTURAS!$F$6:$F$28,$P1542)-INDEX(PARAMETROS_CULTURAS!$G$6:$G$28,$P1542)-INDEX(PARAMETROS_CULTURAS!$H$6:$H$28,$P1542))/MAX(INDEX(PARAMETROS_CULTURAS!$I$6:$I$28,$P1542),0.0001)))))</f>
        <v>0</v>
      </c>
      <c r="S1542" s="18" t="n">
        <f aca="false">IFERROR(INDEX(SEMANAS!$H$6:$H$71,MATCH($B1542,SEMANAS!$B$6:$B$71,0)),0)</f>
        <v>33.6</v>
      </c>
      <c r="T1542" s="18" t="n">
        <f aca="false">$R1542*$S1542</f>
        <v>0</v>
      </c>
      <c r="U1542" s="18" t="n">
        <f aca="false">IFERROR(INDEX(SEMANAS!$I$6:$I$71,MATCH($B1542,SEMANAS!$B$6:$B$71,0)),0)</f>
        <v>45.15</v>
      </c>
      <c r="V1542" s="18" t="n">
        <f aca="false">IFERROR(INDEX(SEMANAS!$J$6:$J$71,MATCH($B1542,SEMANAS!$B$6:$B$71,0)),0)</f>
        <v>36.12</v>
      </c>
      <c r="W1542" s="18" t="n">
        <f aca="false">MAX(0,$T1542-$V1542)</f>
        <v>0</v>
      </c>
      <c r="X1542" s="19" t="n">
        <f aca="false">IFERROR(INDEX(CADASTRO_PIVOS!$K$6:$K$41,MATCH($E1542,CADASTRO_PIVOS!$B$6:$B$41,0)),EFICIENCIA_PADRAO)</f>
        <v>0.85</v>
      </c>
      <c r="Y1542" s="18" t="n">
        <f aca="false">IF($X1542&lt;=0,0,$W1542/$X1542)</f>
        <v>0</v>
      </c>
      <c r="Z1542" s="16" t="n">
        <f aca="false">$Y1542*$H1542*MM_PARA_M3_HA</f>
        <v>0</v>
      </c>
      <c r="AA1542" s="18" t="n">
        <f aca="false">IFERROR(INDEX(CADASTRO_PIVOS!$I$6:$I$41,MATCH($E1542,CADASTRO_PIVOS!$B$6:$B$41,0)),0)</f>
        <v>971.133333333333</v>
      </c>
      <c r="AB1542" s="18" t="n">
        <f aca="false">IF($Z1542&lt;=0,0,$Z1542/$AA1542)</f>
        <v>0</v>
      </c>
      <c r="AC1542" s="16" t="n">
        <f aca="false">IFERROR(INDEX(SEMANAS!$K$6:$K$71,MATCH($B1542,SEMANAS!$B$6:$B$71,0)),0)</f>
        <v>147</v>
      </c>
      <c r="AD1542" s="19" t="n">
        <f aca="false">IF($AC1542&lt;=0,0,$AB1542/$AC1542)</f>
        <v>0</v>
      </c>
      <c r="AE1542" s="8" t="str">
        <f aca="false">IF($K1542="SEM CULTURA","SEM CULTURA",IF($AA1542&lt;=0,"DADO PENDENTE",IF($AD1542&gt;LIMITE_CRITICO,"INVIAVEL",IF($AD1542&gt;LIMITE_ATENCAO,"CRITICO",IF($AD1542&gt;LIMITE_CONFORTAVEL,"ATENCAO","OK")))))</f>
        <v>SEM CULTURA</v>
      </c>
      <c r="AF1542" s="8" t="str">
        <f aca="false">$B1542&amp;"|"&amp;TEXT($AD1542,"0.000000")</f>
        <v>19|0.000000</v>
      </c>
      <c r="AG1542" s="18" t="n">
        <f aca="false">IF($K1542="SEM CULTURA",0,$T1542*$H1542)</f>
        <v>0</v>
      </c>
      <c r="AH1542" s="18" t="n">
        <f aca="false">IF($K1542="SEM CULTURA",0,$V1542*$H1542)</f>
        <v>0</v>
      </c>
      <c r="AI1542" s="18" t="n">
        <f aca="false">IF($K1542="SEM CULTURA",0,$W1542*$H1542)</f>
        <v>0</v>
      </c>
      <c r="AJ1542" s="18" t="n">
        <f aca="false">IF($K1542="SEM CULTURA",0,$S1542*$H1542)</f>
        <v>0</v>
      </c>
      <c r="AK1542" s="8" t="str">
        <f aca="false">$E1542&amp;"|"&amp;TEXT($AD1542,"0.000000")</f>
        <v>PV 120|0.000000</v>
      </c>
    </row>
    <row r="1543" customFormat="false" ht="15" hidden="false" customHeight="false" outlineLevel="0" collapsed="false">
      <c r="B1543" s="16" t="n">
        <v>20</v>
      </c>
      <c r="C1543" s="17" t="n">
        <f aca="false">DATA_INICIO_SAFRA+($B1543-1)*DIAS_POR_SEMANA</f>
        <v>46398</v>
      </c>
      <c r="D1543" s="17" t="n">
        <f aca="false">$C1543+DIAS_POR_SEMANA-1</f>
        <v>46404</v>
      </c>
      <c r="E1543" s="15" t="s">
        <v>282</v>
      </c>
      <c r="F1543" s="8" t="str">
        <f aca="false">IFERROR(INDEX(CADASTRO_PIVOS!$C$6:$C$41,MATCH($E1543,CADASTRO_PIVOS!$B$6:$B$41,0)),"?")</f>
        <v>RM07</v>
      </c>
      <c r="G1543" s="8" t="str">
        <f aca="false">IFERROR(INDEX(CADASTRO_PIVOS!$D$6:$D$41,MATCH($E1543,CADASTRO_PIVOS!$B$6:$B$41,0)),"?")</f>
        <v>TR07</v>
      </c>
      <c r="H1543" s="20" t="n">
        <f aca="false">IFERROR(INDEX(CADASTRO_PIVOS!$E$6:$E$41,MATCH($E1543,CADASTRO_PIVOS!$B$6:$B$41,0)),0)</f>
        <v>145.67</v>
      </c>
      <c r="I1543" s="16" t="n">
        <f aca="false">IFERROR(SUMIFS(ROTACAO_RDM!$B$6:$B$71,ROTACAO_RDM!$D$6:$D$71,$E1543,ROTACAO_RDM!$I$6:$I$71,"&lt;="&amp;$C1543+INT(DIAS_POR_SEMANA/2),ROTACAO_RDM!$J$6:$J$71,"&gt;="&amp;$C1543+INT(DIAS_POR_SEMANA/2)),0)</f>
        <v>34</v>
      </c>
      <c r="J1543" s="16" t="n">
        <f aca="false">IFERROR(MATCH($I1543,ROTACAO_RDM!$B$6:$B$71,0),0)</f>
        <v>34</v>
      </c>
      <c r="K1543" s="8" t="str">
        <f aca="false">IF($J1543=0,"SEM CULTURA",INDEX(ROTACAO_RDM!$F$6:$F$71,$J1543))</f>
        <v>TABACO</v>
      </c>
      <c r="L1543" s="8" t="str">
        <f aca="false">IF($J1543=0,"",INDEX(ROTACAO_RDM!$G$6:$G$71,$J1543))</f>
        <v>PVH-2343</v>
      </c>
      <c r="M1543" s="17" t="n">
        <f aca="false">IF($J1543=0,"",INDEX(ROTACAO_RDM!$I$6:$I$71,$J1543))</f>
        <v>46399</v>
      </c>
      <c r="N1543" s="16" t="n">
        <f aca="false">IF($J1543=0,0,MAX(0,$C1543+INT(DIAS_POR_SEMANA/2)-INDEX(ROTACAO_RDM!$I$6:$I$71,$J1543)))</f>
        <v>2</v>
      </c>
      <c r="O1543" s="19" t="n">
        <f aca="false">IF($J1543=0,0,MIN(1,$N1543/MAX(1,INDEX(ROTACAO_RDM!$K$6:$K$71,$J1543))))</f>
        <v>0.0125</v>
      </c>
      <c r="P1543" s="16" t="n">
        <f aca="false">IF($J1543=0,0,IFERROR(MATCH(INDEX(ROTACAO_RDM!$N$6:$N$71,$J1543),PARAMETROS_CULTURAS!$B$6:$B$28,0),0))</f>
        <v>9</v>
      </c>
      <c r="Q1543" s="8" t="str">
        <f aca="false">IF($P1543=0,"-",IF($O1543&lt;=INDEX(PARAMETROS_CULTURAS!$F$6:$F$28,$P1543),"INICIAL",IF($O1543&lt;=INDEX(PARAMETROS_CULTURAS!$F$6:$F$28,$P1543)+INDEX(PARAMETROS_CULTURAS!$G$6:$G$28,$P1543),"DESENVOLVIMENTO",IF($O1543&lt;=INDEX(PARAMETROS_CULTURAS!$F$6:$F$28,$P1543)+INDEX(PARAMETROS_CULTURAS!$G$6:$G$28,$P1543)+INDEX(PARAMETROS_CULTURAS!$H$6:$H$28,$P1543),"MEDIA","FINAL"))))</f>
        <v>INICIAL</v>
      </c>
      <c r="R1543" s="24" t="n">
        <f aca="false">IF($P1543=0,0,IF($O1543&lt;=INDEX(PARAMETROS_CULTURAS!$F$6:$F$28,$P1543),INDEX(PARAMETROS_CULTURAS!$K$6:$K$28,$P1543),IF($O1543&lt;=INDEX(PARAMETROS_CULTURAS!$F$6:$F$28,$P1543)+INDEX(PARAMETROS_CULTURAS!$G$6:$G$28,$P1543),INDEX(PARAMETROS_CULTURAS!$K$6:$K$28,$P1543)+(INDEX(PARAMETROS_CULTURAS!$L$6:$L$28,$P1543)-INDEX(PARAMETROS_CULTURAS!$K$6:$K$28,$P1543))*($O1543-INDEX(PARAMETROS_CULTURAS!$F$6:$F$28,$P1543))/MAX(INDEX(PARAMETROS_CULTURAS!$G$6:$G$28,$P1543),0.0001),IF($O1543&lt;=INDEX(PARAMETROS_CULTURAS!$F$6:$F$28,$P1543)+INDEX(PARAMETROS_CULTURAS!$G$6:$G$28,$P1543)+INDEX(PARAMETROS_CULTURAS!$H$6:$H$28,$P1543),INDEX(PARAMETROS_CULTURAS!$L$6:$L$28,$P1543),INDEX(PARAMETROS_CULTURAS!$L$6:$L$28,$P1543)+(INDEX(PARAMETROS_CULTURAS!$M$6:$M$28,$P1543)-INDEX(PARAMETROS_CULTURAS!$L$6:$L$28,$P1543))*($O1543-INDEX(PARAMETROS_CULTURAS!$F$6:$F$28,$P1543)-INDEX(PARAMETROS_CULTURAS!$G$6:$G$28,$P1543)-INDEX(PARAMETROS_CULTURAS!$H$6:$H$28,$P1543))/MAX(INDEX(PARAMETROS_CULTURAS!$I$6:$I$28,$P1543),0.0001)))))</f>
        <v>0.35</v>
      </c>
      <c r="S1543" s="18" t="n">
        <f aca="false">IFERROR(INDEX(SEMANAS!$H$6:$H$71,MATCH($B1543,SEMANAS!$B$6:$B$71,0)),0)</f>
        <v>33.6</v>
      </c>
      <c r="T1543" s="18" t="n">
        <f aca="false">$R1543*$S1543</f>
        <v>11.76</v>
      </c>
      <c r="U1543" s="18" t="n">
        <f aca="false">IFERROR(INDEX(SEMANAS!$I$6:$I$71,MATCH($B1543,SEMANAS!$B$6:$B$71,0)),0)</f>
        <v>45.15</v>
      </c>
      <c r="V1543" s="18" t="n">
        <f aca="false">IFERROR(INDEX(SEMANAS!$J$6:$J$71,MATCH($B1543,SEMANAS!$B$6:$B$71,0)),0)</f>
        <v>36.12</v>
      </c>
      <c r="W1543" s="18" t="n">
        <f aca="false">MAX(0,$T1543-$V1543)</f>
        <v>0</v>
      </c>
      <c r="X1543" s="19" t="n">
        <f aca="false">IFERROR(INDEX(CADASTRO_PIVOS!$K$6:$K$41,MATCH($E1543,CADASTRO_PIVOS!$B$6:$B$41,0)),EFICIENCIA_PADRAO)</f>
        <v>0.85</v>
      </c>
      <c r="Y1543" s="18" t="n">
        <f aca="false">IF($X1543&lt;=0,0,$W1543/$X1543)</f>
        <v>0</v>
      </c>
      <c r="Z1543" s="16" t="n">
        <f aca="false">$Y1543*$H1543*MM_PARA_M3_HA</f>
        <v>0</v>
      </c>
      <c r="AA1543" s="18" t="n">
        <f aca="false">IFERROR(INDEX(CADASTRO_PIVOS!$I$6:$I$41,MATCH($E1543,CADASTRO_PIVOS!$B$6:$B$41,0)),0)</f>
        <v>971.133333333333</v>
      </c>
      <c r="AB1543" s="18" t="n">
        <f aca="false">IF($Z1543&lt;=0,0,$Z1543/$AA1543)</f>
        <v>0</v>
      </c>
      <c r="AC1543" s="16" t="n">
        <f aca="false">IFERROR(INDEX(SEMANAS!$K$6:$K$71,MATCH($B1543,SEMANAS!$B$6:$B$71,0)),0)</f>
        <v>147</v>
      </c>
      <c r="AD1543" s="19" t="n">
        <f aca="false">IF($AC1543&lt;=0,0,$AB1543/$AC1543)</f>
        <v>0</v>
      </c>
      <c r="AE1543" s="8" t="str">
        <f aca="false">IF($K1543="SEM CULTURA","SEM CULTURA",IF($AA1543&lt;=0,"DADO PENDENTE",IF($AD1543&gt;LIMITE_CRITICO,"INVIAVEL",IF($AD1543&gt;LIMITE_ATENCAO,"CRITICO",IF($AD1543&gt;LIMITE_CONFORTAVEL,"ATENCAO","OK")))))</f>
        <v>OK</v>
      </c>
      <c r="AF1543" s="8" t="str">
        <f aca="false">$B1543&amp;"|"&amp;TEXT($AD1543,"0.000000")</f>
        <v>20|0.000000</v>
      </c>
      <c r="AG1543" s="18" t="n">
        <f aca="false">IF($K1543="SEM CULTURA",0,$T1543*$H1543)</f>
        <v>1713.0792</v>
      </c>
      <c r="AH1543" s="18" t="n">
        <f aca="false">IF($K1543="SEM CULTURA",0,$V1543*$H1543)</f>
        <v>5261.6004</v>
      </c>
      <c r="AI1543" s="18" t="n">
        <f aca="false">IF($K1543="SEM CULTURA",0,$W1543*$H1543)</f>
        <v>0</v>
      </c>
      <c r="AJ1543" s="18" t="n">
        <f aca="false">IF($K1543="SEM CULTURA",0,$S1543*$H1543)</f>
        <v>4894.512</v>
      </c>
      <c r="AK1543" s="8" t="str">
        <f aca="false">$E1543&amp;"|"&amp;TEXT($AD1543,"0.000000")</f>
        <v>PV 120|0.000000</v>
      </c>
    </row>
    <row r="1544" customFormat="false" ht="15" hidden="false" customHeight="false" outlineLevel="0" collapsed="false">
      <c r="B1544" s="16" t="n">
        <v>21</v>
      </c>
      <c r="C1544" s="17" t="n">
        <f aca="false">DATA_INICIO_SAFRA+($B1544-1)*DIAS_POR_SEMANA</f>
        <v>46405</v>
      </c>
      <c r="D1544" s="17" t="n">
        <f aca="false">$C1544+DIAS_POR_SEMANA-1</f>
        <v>46411</v>
      </c>
      <c r="E1544" s="15" t="s">
        <v>282</v>
      </c>
      <c r="F1544" s="8" t="str">
        <f aca="false">IFERROR(INDEX(CADASTRO_PIVOS!$C$6:$C$41,MATCH($E1544,CADASTRO_PIVOS!$B$6:$B$41,0)),"?")</f>
        <v>RM07</v>
      </c>
      <c r="G1544" s="8" t="str">
        <f aca="false">IFERROR(INDEX(CADASTRO_PIVOS!$D$6:$D$41,MATCH($E1544,CADASTRO_PIVOS!$B$6:$B$41,0)),"?")</f>
        <v>TR07</v>
      </c>
      <c r="H1544" s="20" t="n">
        <f aca="false">IFERROR(INDEX(CADASTRO_PIVOS!$E$6:$E$41,MATCH($E1544,CADASTRO_PIVOS!$B$6:$B$41,0)),0)</f>
        <v>145.67</v>
      </c>
      <c r="I1544" s="16" t="n">
        <f aca="false">IFERROR(SUMIFS(ROTACAO_RDM!$B$6:$B$71,ROTACAO_RDM!$D$6:$D$71,$E1544,ROTACAO_RDM!$I$6:$I$71,"&lt;="&amp;$C1544+INT(DIAS_POR_SEMANA/2),ROTACAO_RDM!$J$6:$J$71,"&gt;="&amp;$C1544+INT(DIAS_POR_SEMANA/2)),0)</f>
        <v>34</v>
      </c>
      <c r="J1544" s="16" t="n">
        <f aca="false">IFERROR(MATCH($I1544,ROTACAO_RDM!$B$6:$B$71,0),0)</f>
        <v>34</v>
      </c>
      <c r="K1544" s="8" t="str">
        <f aca="false">IF($J1544=0,"SEM CULTURA",INDEX(ROTACAO_RDM!$F$6:$F$71,$J1544))</f>
        <v>TABACO</v>
      </c>
      <c r="L1544" s="8" t="str">
        <f aca="false">IF($J1544=0,"",INDEX(ROTACAO_RDM!$G$6:$G$71,$J1544))</f>
        <v>PVH-2343</v>
      </c>
      <c r="M1544" s="17" t="n">
        <f aca="false">IF($J1544=0,"",INDEX(ROTACAO_RDM!$I$6:$I$71,$J1544))</f>
        <v>46399</v>
      </c>
      <c r="N1544" s="16" t="n">
        <f aca="false">IF($J1544=0,0,MAX(0,$C1544+INT(DIAS_POR_SEMANA/2)-INDEX(ROTACAO_RDM!$I$6:$I$71,$J1544)))</f>
        <v>9</v>
      </c>
      <c r="O1544" s="19" t="n">
        <f aca="false">IF($J1544=0,0,MIN(1,$N1544/MAX(1,INDEX(ROTACAO_RDM!$K$6:$K$71,$J1544))))</f>
        <v>0.05625</v>
      </c>
      <c r="P1544" s="16" t="n">
        <f aca="false">IF($J1544=0,0,IFERROR(MATCH(INDEX(ROTACAO_RDM!$N$6:$N$71,$J1544),PARAMETROS_CULTURAS!$B$6:$B$28,0),0))</f>
        <v>9</v>
      </c>
      <c r="Q1544" s="8" t="str">
        <f aca="false">IF($P1544=0,"-",IF($O1544&lt;=INDEX(PARAMETROS_CULTURAS!$F$6:$F$28,$P1544),"INICIAL",IF($O1544&lt;=INDEX(PARAMETROS_CULTURAS!$F$6:$F$28,$P1544)+INDEX(PARAMETROS_CULTURAS!$G$6:$G$28,$P1544),"DESENVOLVIMENTO",IF($O1544&lt;=INDEX(PARAMETROS_CULTURAS!$F$6:$F$28,$P1544)+INDEX(PARAMETROS_CULTURAS!$G$6:$G$28,$P1544)+INDEX(PARAMETROS_CULTURAS!$H$6:$H$28,$P1544),"MEDIA","FINAL"))))</f>
        <v>INICIAL</v>
      </c>
      <c r="R1544" s="24" t="n">
        <f aca="false">IF($P1544=0,0,IF($O1544&lt;=INDEX(PARAMETROS_CULTURAS!$F$6:$F$28,$P1544),INDEX(PARAMETROS_CULTURAS!$K$6:$K$28,$P1544),IF($O1544&lt;=INDEX(PARAMETROS_CULTURAS!$F$6:$F$28,$P1544)+INDEX(PARAMETROS_CULTURAS!$G$6:$G$28,$P1544),INDEX(PARAMETROS_CULTURAS!$K$6:$K$28,$P1544)+(INDEX(PARAMETROS_CULTURAS!$L$6:$L$28,$P1544)-INDEX(PARAMETROS_CULTURAS!$K$6:$K$28,$P1544))*($O1544-INDEX(PARAMETROS_CULTURAS!$F$6:$F$28,$P1544))/MAX(INDEX(PARAMETROS_CULTURAS!$G$6:$G$28,$P1544),0.0001),IF($O1544&lt;=INDEX(PARAMETROS_CULTURAS!$F$6:$F$28,$P1544)+INDEX(PARAMETROS_CULTURAS!$G$6:$G$28,$P1544)+INDEX(PARAMETROS_CULTURAS!$H$6:$H$28,$P1544),INDEX(PARAMETROS_CULTURAS!$L$6:$L$28,$P1544),INDEX(PARAMETROS_CULTURAS!$L$6:$L$28,$P1544)+(INDEX(PARAMETROS_CULTURAS!$M$6:$M$28,$P1544)-INDEX(PARAMETROS_CULTURAS!$L$6:$L$28,$P1544))*($O1544-INDEX(PARAMETROS_CULTURAS!$F$6:$F$28,$P1544)-INDEX(PARAMETROS_CULTURAS!$G$6:$G$28,$P1544)-INDEX(PARAMETROS_CULTURAS!$H$6:$H$28,$P1544))/MAX(INDEX(PARAMETROS_CULTURAS!$I$6:$I$28,$P1544),0.0001)))))</f>
        <v>0.35</v>
      </c>
      <c r="S1544" s="18" t="n">
        <f aca="false">IFERROR(INDEX(SEMANAS!$H$6:$H$71,MATCH($B1544,SEMANAS!$B$6:$B$71,0)),0)</f>
        <v>33.6</v>
      </c>
      <c r="T1544" s="18" t="n">
        <f aca="false">$R1544*$S1544</f>
        <v>11.76</v>
      </c>
      <c r="U1544" s="18" t="n">
        <f aca="false">IFERROR(INDEX(SEMANAS!$I$6:$I$71,MATCH($B1544,SEMANAS!$B$6:$B$71,0)),0)</f>
        <v>45.15</v>
      </c>
      <c r="V1544" s="18" t="n">
        <f aca="false">IFERROR(INDEX(SEMANAS!$J$6:$J$71,MATCH($B1544,SEMANAS!$B$6:$B$71,0)),0)</f>
        <v>36.12</v>
      </c>
      <c r="W1544" s="18" t="n">
        <f aca="false">MAX(0,$T1544-$V1544)</f>
        <v>0</v>
      </c>
      <c r="X1544" s="19" t="n">
        <f aca="false">IFERROR(INDEX(CADASTRO_PIVOS!$K$6:$K$41,MATCH($E1544,CADASTRO_PIVOS!$B$6:$B$41,0)),EFICIENCIA_PADRAO)</f>
        <v>0.85</v>
      </c>
      <c r="Y1544" s="18" t="n">
        <f aca="false">IF($X1544&lt;=0,0,$W1544/$X1544)</f>
        <v>0</v>
      </c>
      <c r="Z1544" s="16" t="n">
        <f aca="false">$Y1544*$H1544*MM_PARA_M3_HA</f>
        <v>0</v>
      </c>
      <c r="AA1544" s="18" t="n">
        <f aca="false">IFERROR(INDEX(CADASTRO_PIVOS!$I$6:$I$41,MATCH($E1544,CADASTRO_PIVOS!$B$6:$B$41,0)),0)</f>
        <v>971.133333333333</v>
      </c>
      <c r="AB1544" s="18" t="n">
        <f aca="false">IF($Z1544&lt;=0,0,$Z1544/$AA1544)</f>
        <v>0</v>
      </c>
      <c r="AC1544" s="16" t="n">
        <f aca="false">IFERROR(INDEX(SEMANAS!$K$6:$K$71,MATCH($B1544,SEMANAS!$B$6:$B$71,0)),0)</f>
        <v>147</v>
      </c>
      <c r="AD1544" s="19" t="n">
        <f aca="false">IF($AC1544&lt;=0,0,$AB1544/$AC1544)</f>
        <v>0</v>
      </c>
      <c r="AE1544" s="8" t="str">
        <f aca="false">IF($K1544="SEM CULTURA","SEM CULTURA",IF($AA1544&lt;=0,"DADO PENDENTE",IF($AD1544&gt;LIMITE_CRITICO,"INVIAVEL",IF($AD1544&gt;LIMITE_ATENCAO,"CRITICO",IF($AD1544&gt;LIMITE_CONFORTAVEL,"ATENCAO","OK")))))</f>
        <v>OK</v>
      </c>
      <c r="AF1544" s="8" t="str">
        <f aca="false">$B1544&amp;"|"&amp;TEXT($AD1544,"0.000000")</f>
        <v>21|0.000000</v>
      </c>
      <c r="AG1544" s="18" t="n">
        <f aca="false">IF($K1544="SEM CULTURA",0,$T1544*$H1544)</f>
        <v>1713.0792</v>
      </c>
      <c r="AH1544" s="18" t="n">
        <f aca="false">IF($K1544="SEM CULTURA",0,$V1544*$H1544)</f>
        <v>5261.6004</v>
      </c>
      <c r="AI1544" s="18" t="n">
        <f aca="false">IF($K1544="SEM CULTURA",0,$W1544*$H1544)</f>
        <v>0</v>
      </c>
      <c r="AJ1544" s="18" t="n">
        <f aca="false">IF($K1544="SEM CULTURA",0,$S1544*$H1544)</f>
        <v>4894.512</v>
      </c>
      <c r="AK1544" s="8" t="str">
        <f aca="false">$E1544&amp;"|"&amp;TEXT($AD1544,"0.000000")</f>
        <v>PV 120|0.000000</v>
      </c>
    </row>
    <row r="1545" customFormat="false" ht="15" hidden="false" customHeight="false" outlineLevel="0" collapsed="false">
      <c r="B1545" s="16" t="n">
        <v>22</v>
      </c>
      <c r="C1545" s="17" t="n">
        <f aca="false">DATA_INICIO_SAFRA+($B1545-1)*DIAS_POR_SEMANA</f>
        <v>46412</v>
      </c>
      <c r="D1545" s="17" t="n">
        <f aca="false">$C1545+DIAS_POR_SEMANA-1</f>
        <v>46418</v>
      </c>
      <c r="E1545" s="15" t="s">
        <v>282</v>
      </c>
      <c r="F1545" s="8" t="str">
        <f aca="false">IFERROR(INDEX(CADASTRO_PIVOS!$C$6:$C$41,MATCH($E1545,CADASTRO_PIVOS!$B$6:$B$41,0)),"?")</f>
        <v>RM07</v>
      </c>
      <c r="G1545" s="8" t="str">
        <f aca="false">IFERROR(INDEX(CADASTRO_PIVOS!$D$6:$D$41,MATCH($E1545,CADASTRO_PIVOS!$B$6:$B$41,0)),"?")</f>
        <v>TR07</v>
      </c>
      <c r="H1545" s="20" t="n">
        <f aca="false">IFERROR(INDEX(CADASTRO_PIVOS!$E$6:$E$41,MATCH($E1545,CADASTRO_PIVOS!$B$6:$B$41,0)),0)</f>
        <v>145.67</v>
      </c>
      <c r="I1545" s="16" t="n">
        <f aca="false">IFERROR(SUMIFS(ROTACAO_RDM!$B$6:$B$71,ROTACAO_RDM!$D$6:$D$71,$E1545,ROTACAO_RDM!$I$6:$I$71,"&lt;="&amp;$C1545+INT(DIAS_POR_SEMANA/2),ROTACAO_RDM!$J$6:$J$71,"&gt;="&amp;$C1545+INT(DIAS_POR_SEMANA/2)),0)</f>
        <v>34</v>
      </c>
      <c r="J1545" s="16" t="n">
        <f aca="false">IFERROR(MATCH($I1545,ROTACAO_RDM!$B$6:$B$71,0),0)</f>
        <v>34</v>
      </c>
      <c r="K1545" s="8" t="str">
        <f aca="false">IF($J1545=0,"SEM CULTURA",INDEX(ROTACAO_RDM!$F$6:$F$71,$J1545))</f>
        <v>TABACO</v>
      </c>
      <c r="L1545" s="8" t="str">
        <f aca="false">IF($J1545=0,"",INDEX(ROTACAO_RDM!$G$6:$G$71,$J1545))</f>
        <v>PVH-2343</v>
      </c>
      <c r="M1545" s="17" t="n">
        <f aca="false">IF($J1545=0,"",INDEX(ROTACAO_RDM!$I$6:$I$71,$J1545))</f>
        <v>46399</v>
      </c>
      <c r="N1545" s="16" t="n">
        <f aca="false">IF($J1545=0,0,MAX(0,$C1545+INT(DIAS_POR_SEMANA/2)-INDEX(ROTACAO_RDM!$I$6:$I$71,$J1545)))</f>
        <v>16</v>
      </c>
      <c r="O1545" s="19" t="n">
        <f aca="false">IF($J1545=0,0,MIN(1,$N1545/MAX(1,INDEX(ROTACAO_RDM!$K$6:$K$71,$J1545))))</f>
        <v>0.1</v>
      </c>
      <c r="P1545" s="16" t="n">
        <f aca="false">IF($J1545=0,0,IFERROR(MATCH(INDEX(ROTACAO_RDM!$N$6:$N$71,$J1545),PARAMETROS_CULTURAS!$B$6:$B$28,0),0))</f>
        <v>9</v>
      </c>
      <c r="Q1545" s="8" t="str">
        <f aca="false">IF($P1545=0,"-",IF($O1545&lt;=INDEX(PARAMETROS_CULTURAS!$F$6:$F$28,$P1545),"INICIAL",IF($O1545&lt;=INDEX(PARAMETROS_CULTURAS!$F$6:$F$28,$P1545)+INDEX(PARAMETROS_CULTURAS!$G$6:$G$28,$P1545),"DESENVOLVIMENTO",IF($O1545&lt;=INDEX(PARAMETROS_CULTURAS!$F$6:$F$28,$P1545)+INDEX(PARAMETROS_CULTURAS!$G$6:$G$28,$P1545)+INDEX(PARAMETROS_CULTURAS!$H$6:$H$28,$P1545),"MEDIA","FINAL"))))</f>
        <v>INICIAL</v>
      </c>
      <c r="R1545" s="24" t="n">
        <f aca="false">IF($P1545=0,0,IF($O1545&lt;=INDEX(PARAMETROS_CULTURAS!$F$6:$F$28,$P1545),INDEX(PARAMETROS_CULTURAS!$K$6:$K$28,$P1545),IF($O1545&lt;=INDEX(PARAMETROS_CULTURAS!$F$6:$F$28,$P1545)+INDEX(PARAMETROS_CULTURAS!$G$6:$G$28,$P1545),INDEX(PARAMETROS_CULTURAS!$K$6:$K$28,$P1545)+(INDEX(PARAMETROS_CULTURAS!$L$6:$L$28,$P1545)-INDEX(PARAMETROS_CULTURAS!$K$6:$K$28,$P1545))*($O1545-INDEX(PARAMETROS_CULTURAS!$F$6:$F$28,$P1545))/MAX(INDEX(PARAMETROS_CULTURAS!$G$6:$G$28,$P1545),0.0001),IF($O1545&lt;=INDEX(PARAMETROS_CULTURAS!$F$6:$F$28,$P1545)+INDEX(PARAMETROS_CULTURAS!$G$6:$G$28,$P1545)+INDEX(PARAMETROS_CULTURAS!$H$6:$H$28,$P1545),INDEX(PARAMETROS_CULTURAS!$L$6:$L$28,$P1545),INDEX(PARAMETROS_CULTURAS!$L$6:$L$28,$P1545)+(INDEX(PARAMETROS_CULTURAS!$M$6:$M$28,$P1545)-INDEX(PARAMETROS_CULTURAS!$L$6:$L$28,$P1545))*($O1545-INDEX(PARAMETROS_CULTURAS!$F$6:$F$28,$P1545)-INDEX(PARAMETROS_CULTURAS!$G$6:$G$28,$P1545)-INDEX(PARAMETROS_CULTURAS!$H$6:$H$28,$P1545))/MAX(INDEX(PARAMETROS_CULTURAS!$I$6:$I$28,$P1545),0.0001)))))</f>
        <v>0.35</v>
      </c>
      <c r="S1545" s="18" t="n">
        <f aca="false">IFERROR(INDEX(SEMANAS!$H$6:$H$71,MATCH($B1545,SEMANAS!$B$6:$B$71,0)),0)</f>
        <v>33.6</v>
      </c>
      <c r="T1545" s="18" t="n">
        <f aca="false">$R1545*$S1545</f>
        <v>11.76</v>
      </c>
      <c r="U1545" s="18" t="n">
        <f aca="false">IFERROR(INDEX(SEMANAS!$I$6:$I$71,MATCH($B1545,SEMANAS!$B$6:$B$71,0)),0)</f>
        <v>45.15</v>
      </c>
      <c r="V1545" s="18" t="n">
        <f aca="false">IFERROR(INDEX(SEMANAS!$J$6:$J$71,MATCH($B1545,SEMANAS!$B$6:$B$71,0)),0)</f>
        <v>36.12</v>
      </c>
      <c r="W1545" s="18" t="n">
        <f aca="false">MAX(0,$T1545-$V1545)</f>
        <v>0</v>
      </c>
      <c r="X1545" s="19" t="n">
        <f aca="false">IFERROR(INDEX(CADASTRO_PIVOS!$K$6:$K$41,MATCH($E1545,CADASTRO_PIVOS!$B$6:$B$41,0)),EFICIENCIA_PADRAO)</f>
        <v>0.85</v>
      </c>
      <c r="Y1545" s="18" t="n">
        <f aca="false">IF($X1545&lt;=0,0,$W1545/$X1545)</f>
        <v>0</v>
      </c>
      <c r="Z1545" s="16" t="n">
        <f aca="false">$Y1545*$H1545*MM_PARA_M3_HA</f>
        <v>0</v>
      </c>
      <c r="AA1545" s="18" t="n">
        <f aca="false">IFERROR(INDEX(CADASTRO_PIVOS!$I$6:$I$41,MATCH($E1545,CADASTRO_PIVOS!$B$6:$B$41,0)),0)</f>
        <v>971.133333333333</v>
      </c>
      <c r="AB1545" s="18" t="n">
        <f aca="false">IF($Z1545&lt;=0,0,$Z1545/$AA1545)</f>
        <v>0</v>
      </c>
      <c r="AC1545" s="16" t="n">
        <f aca="false">IFERROR(INDEX(SEMANAS!$K$6:$K$71,MATCH($B1545,SEMANAS!$B$6:$B$71,0)),0)</f>
        <v>147</v>
      </c>
      <c r="AD1545" s="19" t="n">
        <f aca="false">IF($AC1545&lt;=0,0,$AB1545/$AC1545)</f>
        <v>0</v>
      </c>
      <c r="AE1545" s="8" t="str">
        <f aca="false">IF($K1545="SEM CULTURA","SEM CULTURA",IF($AA1545&lt;=0,"DADO PENDENTE",IF($AD1545&gt;LIMITE_CRITICO,"INVIAVEL",IF($AD1545&gt;LIMITE_ATENCAO,"CRITICO",IF($AD1545&gt;LIMITE_CONFORTAVEL,"ATENCAO","OK")))))</f>
        <v>OK</v>
      </c>
      <c r="AF1545" s="8" t="str">
        <f aca="false">$B1545&amp;"|"&amp;TEXT($AD1545,"0.000000")</f>
        <v>22|0.000000</v>
      </c>
      <c r="AG1545" s="18" t="n">
        <f aca="false">IF($K1545="SEM CULTURA",0,$T1545*$H1545)</f>
        <v>1713.0792</v>
      </c>
      <c r="AH1545" s="18" t="n">
        <f aca="false">IF($K1545="SEM CULTURA",0,$V1545*$H1545)</f>
        <v>5261.6004</v>
      </c>
      <c r="AI1545" s="18" t="n">
        <f aca="false">IF($K1545="SEM CULTURA",0,$W1545*$H1545)</f>
        <v>0</v>
      </c>
      <c r="AJ1545" s="18" t="n">
        <f aca="false">IF($K1545="SEM CULTURA",0,$S1545*$H1545)</f>
        <v>4894.512</v>
      </c>
      <c r="AK1545" s="8" t="str">
        <f aca="false">$E1545&amp;"|"&amp;TEXT($AD1545,"0.000000")</f>
        <v>PV 120|0.000000</v>
      </c>
    </row>
    <row r="1546" customFormat="false" ht="15" hidden="false" customHeight="false" outlineLevel="0" collapsed="false">
      <c r="B1546" s="16" t="n">
        <v>23</v>
      </c>
      <c r="C1546" s="17" t="n">
        <f aca="false">DATA_INICIO_SAFRA+($B1546-1)*DIAS_POR_SEMANA</f>
        <v>46419</v>
      </c>
      <c r="D1546" s="17" t="n">
        <f aca="false">$C1546+DIAS_POR_SEMANA-1</f>
        <v>46425</v>
      </c>
      <c r="E1546" s="15" t="s">
        <v>282</v>
      </c>
      <c r="F1546" s="8" t="str">
        <f aca="false">IFERROR(INDEX(CADASTRO_PIVOS!$C$6:$C$41,MATCH($E1546,CADASTRO_PIVOS!$B$6:$B$41,0)),"?")</f>
        <v>RM07</v>
      </c>
      <c r="G1546" s="8" t="str">
        <f aca="false">IFERROR(INDEX(CADASTRO_PIVOS!$D$6:$D$41,MATCH($E1546,CADASTRO_PIVOS!$B$6:$B$41,0)),"?")</f>
        <v>TR07</v>
      </c>
      <c r="H1546" s="20" t="n">
        <f aca="false">IFERROR(INDEX(CADASTRO_PIVOS!$E$6:$E$41,MATCH($E1546,CADASTRO_PIVOS!$B$6:$B$41,0)),0)</f>
        <v>145.67</v>
      </c>
      <c r="I1546" s="16" t="n">
        <f aca="false">IFERROR(SUMIFS(ROTACAO_RDM!$B$6:$B$71,ROTACAO_RDM!$D$6:$D$71,$E1546,ROTACAO_RDM!$I$6:$I$71,"&lt;="&amp;$C1546+INT(DIAS_POR_SEMANA/2),ROTACAO_RDM!$J$6:$J$71,"&gt;="&amp;$C1546+INT(DIAS_POR_SEMANA/2)),0)</f>
        <v>34</v>
      </c>
      <c r="J1546" s="16" t="n">
        <f aca="false">IFERROR(MATCH($I1546,ROTACAO_RDM!$B$6:$B$71,0),0)</f>
        <v>34</v>
      </c>
      <c r="K1546" s="8" t="str">
        <f aca="false">IF($J1546=0,"SEM CULTURA",INDEX(ROTACAO_RDM!$F$6:$F$71,$J1546))</f>
        <v>TABACO</v>
      </c>
      <c r="L1546" s="8" t="str">
        <f aca="false">IF($J1546=0,"",INDEX(ROTACAO_RDM!$G$6:$G$71,$J1546))</f>
        <v>PVH-2343</v>
      </c>
      <c r="M1546" s="17" t="n">
        <f aca="false">IF($J1546=0,"",INDEX(ROTACAO_RDM!$I$6:$I$71,$J1546))</f>
        <v>46399</v>
      </c>
      <c r="N1546" s="16" t="n">
        <f aca="false">IF($J1546=0,0,MAX(0,$C1546+INT(DIAS_POR_SEMANA/2)-INDEX(ROTACAO_RDM!$I$6:$I$71,$J1546)))</f>
        <v>23</v>
      </c>
      <c r="O1546" s="19" t="n">
        <f aca="false">IF($J1546=0,0,MIN(1,$N1546/MAX(1,INDEX(ROTACAO_RDM!$K$6:$K$71,$J1546))))</f>
        <v>0.14375</v>
      </c>
      <c r="P1546" s="16" t="n">
        <f aca="false">IF($J1546=0,0,IFERROR(MATCH(INDEX(ROTACAO_RDM!$N$6:$N$71,$J1546),PARAMETROS_CULTURAS!$B$6:$B$28,0),0))</f>
        <v>9</v>
      </c>
      <c r="Q1546" s="8" t="str">
        <f aca="false">IF($P1546=0,"-",IF($O1546&lt;=INDEX(PARAMETROS_CULTURAS!$F$6:$F$28,$P1546),"INICIAL",IF($O1546&lt;=INDEX(PARAMETROS_CULTURAS!$F$6:$F$28,$P1546)+INDEX(PARAMETROS_CULTURAS!$G$6:$G$28,$P1546),"DESENVOLVIMENTO",IF($O1546&lt;=INDEX(PARAMETROS_CULTURAS!$F$6:$F$28,$P1546)+INDEX(PARAMETROS_CULTURAS!$G$6:$G$28,$P1546)+INDEX(PARAMETROS_CULTURAS!$H$6:$H$28,$P1546),"MEDIA","FINAL"))))</f>
        <v>INICIAL</v>
      </c>
      <c r="R1546" s="24" t="n">
        <f aca="false">IF($P1546=0,0,IF($O1546&lt;=INDEX(PARAMETROS_CULTURAS!$F$6:$F$28,$P1546),INDEX(PARAMETROS_CULTURAS!$K$6:$K$28,$P1546),IF($O1546&lt;=INDEX(PARAMETROS_CULTURAS!$F$6:$F$28,$P1546)+INDEX(PARAMETROS_CULTURAS!$G$6:$G$28,$P1546),INDEX(PARAMETROS_CULTURAS!$K$6:$K$28,$P1546)+(INDEX(PARAMETROS_CULTURAS!$L$6:$L$28,$P1546)-INDEX(PARAMETROS_CULTURAS!$K$6:$K$28,$P1546))*($O1546-INDEX(PARAMETROS_CULTURAS!$F$6:$F$28,$P1546))/MAX(INDEX(PARAMETROS_CULTURAS!$G$6:$G$28,$P1546),0.0001),IF($O1546&lt;=INDEX(PARAMETROS_CULTURAS!$F$6:$F$28,$P1546)+INDEX(PARAMETROS_CULTURAS!$G$6:$G$28,$P1546)+INDEX(PARAMETROS_CULTURAS!$H$6:$H$28,$P1546),INDEX(PARAMETROS_CULTURAS!$L$6:$L$28,$P1546),INDEX(PARAMETROS_CULTURAS!$L$6:$L$28,$P1546)+(INDEX(PARAMETROS_CULTURAS!$M$6:$M$28,$P1546)-INDEX(PARAMETROS_CULTURAS!$L$6:$L$28,$P1546))*($O1546-INDEX(PARAMETROS_CULTURAS!$F$6:$F$28,$P1546)-INDEX(PARAMETROS_CULTURAS!$G$6:$G$28,$P1546)-INDEX(PARAMETROS_CULTURAS!$H$6:$H$28,$P1546))/MAX(INDEX(PARAMETROS_CULTURAS!$I$6:$I$28,$P1546),0.0001)))))</f>
        <v>0.35</v>
      </c>
      <c r="S1546" s="18" t="n">
        <f aca="false">IFERROR(INDEX(SEMANAS!$H$6:$H$71,MATCH($B1546,SEMANAS!$B$6:$B$71,0)),0)</f>
        <v>32.9</v>
      </c>
      <c r="T1546" s="18" t="n">
        <f aca="false">$R1546*$S1546</f>
        <v>11.515</v>
      </c>
      <c r="U1546" s="18" t="n">
        <f aca="false">IFERROR(INDEX(SEMANAS!$I$6:$I$71,MATCH($B1546,SEMANAS!$B$6:$B$71,0)),0)</f>
        <v>39.97</v>
      </c>
      <c r="V1546" s="18" t="n">
        <f aca="false">IFERROR(INDEX(SEMANAS!$J$6:$J$71,MATCH($B1546,SEMANAS!$B$6:$B$71,0)),0)</f>
        <v>31.976</v>
      </c>
      <c r="W1546" s="18" t="n">
        <f aca="false">MAX(0,$T1546-$V1546)</f>
        <v>0</v>
      </c>
      <c r="X1546" s="19" t="n">
        <f aca="false">IFERROR(INDEX(CADASTRO_PIVOS!$K$6:$K$41,MATCH($E1546,CADASTRO_PIVOS!$B$6:$B$41,0)),EFICIENCIA_PADRAO)</f>
        <v>0.85</v>
      </c>
      <c r="Y1546" s="18" t="n">
        <f aca="false">IF($X1546&lt;=0,0,$W1546/$X1546)</f>
        <v>0</v>
      </c>
      <c r="Z1546" s="16" t="n">
        <f aca="false">$Y1546*$H1546*MM_PARA_M3_HA</f>
        <v>0</v>
      </c>
      <c r="AA1546" s="18" t="n">
        <f aca="false">IFERROR(INDEX(CADASTRO_PIVOS!$I$6:$I$41,MATCH($E1546,CADASTRO_PIVOS!$B$6:$B$41,0)),0)</f>
        <v>971.133333333333</v>
      </c>
      <c r="AB1546" s="18" t="n">
        <f aca="false">IF($Z1546&lt;=0,0,$Z1546/$AA1546)</f>
        <v>0</v>
      </c>
      <c r="AC1546" s="16" t="n">
        <f aca="false">IFERROR(INDEX(SEMANAS!$K$6:$K$71,MATCH($B1546,SEMANAS!$B$6:$B$71,0)),0)</f>
        <v>147</v>
      </c>
      <c r="AD1546" s="19" t="n">
        <f aca="false">IF($AC1546&lt;=0,0,$AB1546/$AC1546)</f>
        <v>0</v>
      </c>
      <c r="AE1546" s="8" t="str">
        <f aca="false">IF($K1546="SEM CULTURA","SEM CULTURA",IF($AA1546&lt;=0,"DADO PENDENTE",IF($AD1546&gt;LIMITE_CRITICO,"INVIAVEL",IF($AD1546&gt;LIMITE_ATENCAO,"CRITICO",IF($AD1546&gt;LIMITE_CONFORTAVEL,"ATENCAO","OK")))))</f>
        <v>OK</v>
      </c>
      <c r="AF1546" s="8" t="str">
        <f aca="false">$B1546&amp;"|"&amp;TEXT($AD1546,"0.000000")</f>
        <v>23|0.000000</v>
      </c>
      <c r="AG1546" s="18" t="n">
        <f aca="false">IF($K1546="SEM CULTURA",0,$T1546*$H1546)</f>
        <v>1677.39005</v>
      </c>
      <c r="AH1546" s="18" t="n">
        <f aca="false">IF($K1546="SEM CULTURA",0,$V1546*$H1546)</f>
        <v>4657.94392</v>
      </c>
      <c r="AI1546" s="18" t="n">
        <f aca="false">IF($K1546="SEM CULTURA",0,$W1546*$H1546)</f>
        <v>0</v>
      </c>
      <c r="AJ1546" s="18" t="n">
        <f aca="false">IF($K1546="SEM CULTURA",0,$S1546*$H1546)</f>
        <v>4792.543</v>
      </c>
      <c r="AK1546" s="8" t="str">
        <f aca="false">$E1546&amp;"|"&amp;TEXT($AD1546,"0.000000")</f>
        <v>PV 120|0.000000</v>
      </c>
    </row>
    <row r="1547" customFormat="false" ht="15" hidden="false" customHeight="false" outlineLevel="0" collapsed="false">
      <c r="B1547" s="16" t="n">
        <v>24</v>
      </c>
      <c r="C1547" s="17" t="n">
        <f aca="false">DATA_INICIO_SAFRA+($B1547-1)*DIAS_POR_SEMANA</f>
        <v>46426</v>
      </c>
      <c r="D1547" s="17" t="n">
        <f aca="false">$C1547+DIAS_POR_SEMANA-1</f>
        <v>46432</v>
      </c>
      <c r="E1547" s="15" t="s">
        <v>282</v>
      </c>
      <c r="F1547" s="8" t="str">
        <f aca="false">IFERROR(INDEX(CADASTRO_PIVOS!$C$6:$C$41,MATCH($E1547,CADASTRO_PIVOS!$B$6:$B$41,0)),"?")</f>
        <v>RM07</v>
      </c>
      <c r="G1547" s="8" t="str">
        <f aca="false">IFERROR(INDEX(CADASTRO_PIVOS!$D$6:$D$41,MATCH($E1547,CADASTRO_PIVOS!$B$6:$B$41,0)),"?")</f>
        <v>TR07</v>
      </c>
      <c r="H1547" s="20" t="n">
        <f aca="false">IFERROR(INDEX(CADASTRO_PIVOS!$E$6:$E$41,MATCH($E1547,CADASTRO_PIVOS!$B$6:$B$41,0)),0)</f>
        <v>145.67</v>
      </c>
      <c r="I1547" s="16" t="n">
        <f aca="false">IFERROR(SUMIFS(ROTACAO_RDM!$B$6:$B$71,ROTACAO_RDM!$D$6:$D$71,$E1547,ROTACAO_RDM!$I$6:$I$71,"&lt;="&amp;$C1547+INT(DIAS_POR_SEMANA/2),ROTACAO_RDM!$J$6:$J$71,"&gt;="&amp;$C1547+INT(DIAS_POR_SEMANA/2)),0)</f>
        <v>34</v>
      </c>
      <c r="J1547" s="16" t="n">
        <f aca="false">IFERROR(MATCH($I1547,ROTACAO_RDM!$B$6:$B$71,0),0)</f>
        <v>34</v>
      </c>
      <c r="K1547" s="8" t="str">
        <f aca="false">IF($J1547=0,"SEM CULTURA",INDEX(ROTACAO_RDM!$F$6:$F$71,$J1547))</f>
        <v>TABACO</v>
      </c>
      <c r="L1547" s="8" t="str">
        <f aca="false">IF($J1547=0,"",INDEX(ROTACAO_RDM!$G$6:$G$71,$J1547))</f>
        <v>PVH-2343</v>
      </c>
      <c r="M1547" s="17" t="n">
        <f aca="false">IF($J1547=0,"",INDEX(ROTACAO_RDM!$I$6:$I$71,$J1547))</f>
        <v>46399</v>
      </c>
      <c r="N1547" s="16" t="n">
        <f aca="false">IF($J1547=0,0,MAX(0,$C1547+INT(DIAS_POR_SEMANA/2)-INDEX(ROTACAO_RDM!$I$6:$I$71,$J1547)))</f>
        <v>30</v>
      </c>
      <c r="O1547" s="19" t="n">
        <f aca="false">IF($J1547=0,0,MIN(1,$N1547/MAX(1,INDEX(ROTACAO_RDM!$K$6:$K$71,$J1547))))</f>
        <v>0.1875</v>
      </c>
      <c r="P1547" s="16" t="n">
        <f aca="false">IF($J1547=0,0,IFERROR(MATCH(INDEX(ROTACAO_RDM!$N$6:$N$71,$J1547),PARAMETROS_CULTURAS!$B$6:$B$28,0),0))</f>
        <v>9</v>
      </c>
      <c r="Q1547" s="8" t="str">
        <f aca="false">IF($P1547=0,"-",IF($O1547&lt;=INDEX(PARAMETROS_CULTURAS!$F$6:$F$28,$P1547),"INICIAL",IF($O1547&lt;=INDEX(PARAMETROS_CULTURAS!$F$6:$F$28,$P1547)+INDEX(PARAMETROS_CULTURAS!$G$6:$G$28,$P1547),"DESENVOLVIMENTO",IF($O1547&lt;=INDEX(PARAMETROS_CULTURAS!$F$6:$F$28,$P1547)+INDEX(PARAMETROS_CULTURAS!$G$6:$G$28,$P1547)+INDEX(PARAMETROS_CULTURAS!$H$6:$H$28,$P1547),"MEDIA","FINAL"))))</f>
        <v>DESENVOLVIMENTO</v>
      </c>
      <c r="R1547" s="24" t="n">
        <f aca="false">IF($P1547=0,0,IF($O1547&lt;=INDEX(PARAMETROS_CULTURAS!$F$6:$F$28,$P1547),INDEX(PARAMETROS_CULTURAS!$K$6:$K$28,$P1547),IF($O1547&lt;=INDEX(PARAMETROS_CULTURAS!$F$6:$F$28,$P1547)+INDEX(PARAMETROS_CULTURAS!$G$6:$G$28,$P1547),INDEX(PARAMETROS_CULTURAS!$K$6:$K$28,$P1547)+(INDEX(PARAMETROS_CULTURAS!$L$6:$L$28,$P1547)-INDEX(PARAMETROS_CULTURAS!$K$6:$K$28,$P1547))*($O1547-INDEX(PARAMETROS_CULTURAS!$F$6:$F$28,$P1547))/MAX(INDEX(PARAMETROS_CULTURAS!$G$6:$G$28,$P1547),0.0001),IF($O1547&lt;=INDEX(PARAMETROS_CULTURAS!$F$6:$F$28,$P1547)+INDEX(PARAMETROS_CULTURAS!$G$6:$G$28,$P1547)+INDEX(PARAMETROS_CULTURAS!$H$6:$H$28,$P1547),INDEX(PARAMETROS_CULTURAS!$L$6:$L$28,$P1547),INDEX(PARAMETROS_CULTURAS!$L$6:$L$28,$P1547)+(INDEX(PARAMETROS_CULTURAS!$M$6:$M$28,$P1547)-INDEX(PARAMETROS_CULTURAS!$L$6:$L$28,$P1547))*($O1547-INDEX(PARAMETROS_CULTURAS!$F$6:$F$28,$P1547)-INDEX(PARAMETROS_CULTURAS!$G$6:$G$28,$P1547)-INDEX(PARAMETROS_CULTURAS!$H$6:$H$28,$P1547))/MAX(INDEX(PARAMETROS_CULTURAS!$I$6:$I$28,$P1547),0.0001)))))</f>
        <v>0.370833333333333</v>
      </c>
      <c r="S1547" s="18" t="n">
        <f aca="false">IFERROR(INDEX(SEMANAS!$H$6:$H$71,MATCH($B1547,SEMANAS!$B$6:$B$71,0)),0)</f>
        <v>32.9</v>
      </c>
      <c r="T1547" s="18" t="n">
        <f aca="false">$R1547*$S1547</f>
        <v>12.2004166666667</v>
      </c>
      <c r="U1547" s="18" t="n">
        <f aca="false">IFERROR(INDEX(SEMANAS!$I$6:$I$71,MATCH($B1547,SEMANAS!$B$6:$B$71,0)),0)</f>
        <v>39.97</v>
      </c>
      <c r="V1547" s="18" t="n">
        <f aca="false">IFERROR(INDEX(SEMANAS!$J$6:$J$71,MATCH($B1547,SEMANAS!$B$6:$B$71,0)),0)</f>
        <v>31.976</v>
      </c>
      <c r="W1547" s="18" t="n">
        <f aca="false">MAX(0,$T1547-$V1547)</f>
        <v>0</v>
      </c>
      <c r="X1547" s="19" t="n">
        <f aca="false">IFERROR(INDEX(CADASTRO_PIVOS!$K$6:$K$41,MATCH($E1547,CADASTRO_PIVOS!$B$6:$B$41,0)),EFICIENCIA_PADRAO)</f>
        <v>0.85</v>
      </c>
      <c r="Y1547" s="18" t="n">
        <f aca="false">IF($X1547&lt;=0,0,$W1547/$X1547)</f>
        <v>0</v>
      </c>
      <c r="Z1547" s="16" t="n">
        <f aca="false">$Y1547*$H1547*MM_PARA_M3_HA</f>
        <v>0</v>
      </c>
      <c r="AA1547" s="18" t="n">
        <f aca="false">IFERROR(INDEX(CADASTRO_PIVOS!$I$6:$I$41,MATCH($E1547,CADASTRO_PIVOS!$B$6:$B$41,0)),0)</f>
        <v>971.133333333333</v>
      </c>
      <c r="AB1547" s="18" t="n">
        <f aca="false">IF($Z1547&lt;=0,0,$Z1547/$AA1547)</f>
        <v>0</v>
      </c>
      <c r="AC1547" s="16" t="n">
        <f aca="false">IFERROR(INDEX(SEMANAS!$K$6:$K$71,MATCH($B1547,SEMANAS!$B$6:$B$71,0)),0)</f>
        <v>147</v>
      </c>
      <c r="AD1547" s="19" t="n">
        <f aca="false">IF($AC1547&lt;=0,0,$AB1547/$AC1547)</f>
        <v>0</v>
      </c>
      <c r="AE1547" s="8" t="str">
        <f aca="false">IF($K1547="SEM CULTURA","SEM CULTURA",IF($AA1547&lt;=0,"DADO PENDENTE",IF($AD1547&gt;LIMITE_CRITICO,"INVIAVEL",IF($AD1547&gt;LIMITE_ATENCAO,"CRITICO",IF($AD1547&gt;LIMITE_CONFORTAVEL,"ATENCAO","OK")))))</f>
        <v>OK</v>
      </c>
      <c r="AF1547" s="8" t="str">
        <f aca="false">$B1547&amp;"|"&amp;TEXT($AD1547,"0.000000")</f>
        <v>24|0.000000</v>
      </c>
      <c r="AG1547" s="18" t="n">
        <f aca="false">IF($K1547="SEM CULTURA",0,$T1547*$H1547)</f>
        <v>1777.23469583333</v>
      </c>
      <c r="AH1547" s="18" t="n">
        <f aca="false">IF($K1547="SEM CULTURA",0,$V1547*$H1547)</f>
        <v>4657.94392</v>
      </c>
      <c r="AI1547" s="18" t="n">
        <f aca="false">IF($K1547="SEM CULTURA",0,$W1547*$H1547)</f>
        <v>0</v>
      </c>
      <c r="AJ1547" s="18" t="n">
        <f aca="false">IF($K1547="SEM CULTURA",0,$S1547*$H1547)</f>
        <v>4792.543</v>
      </c>
      <c r="AK1547" s="8" t="str">
        <f aca="false">$E1547&amp;"|"&amp;TEXT($AD1547,"0.000000")</f>
        <v>PV 120|0.000000</v>
      </c>
    </row>
    <row r="1548" customFormat="false" ht="15" hidden="false" customHeight="false" outlineLevel="0" collapsed="false">
      <c r="B1548" s="16" t="n">
        <v>25</v>
      </c>
      <c r="C1548" s="17" t="n">
        <f aca="false">DATA_INICIO_SAFRA+($B1548-1)*DIAS_POR_SEMANA</f>
        <v>46433</v>
      </c>
      <c r="D1548" s="17" t="n">
        <f aca="false">$C1548+DIAS_POR_SEMANA-1</f>
        <v>46439</v>
      </c>
      <c r="E1548" s="15" t="s">
        <v>282</v>
      </c>
      <c r="F1548" s="8" t="str">
        <f aca="false">IFERROR(INDEX(CADASTRO_PIVOS!$C$6:$C$41,MATCH($E1548,CADASTRO_PIVOS!$B$6:$B$41,0)),"?")</f>
        <v>RM07</v>
      </c>
      <c r="G1548" s="8" t="str">
        <f aca="false">IFERROR(INDEX(CADASTRO_PIVOS!$D$6:$D$41,MATCH($E1548,CADASTRO_PIVOS!$B$6:$B$41,0)),"?")</f>
        <v>TR07</v>
      </c>
      <c r="H1548" s="20" t="n">
        <f aca="false">IFERROR(INDEX(CADASTRO_PIVOS!$E$6:$E$41,MATCH($E1548,CADASTRO_PIVOS!$B$6:$B$41,0)),0)</f>
        <v>145.67</v>
      </c>
      <c r="I1548" s="16" t="n">
        <f aca="false">IFERROR(SUMIFS(ROTACAO_RDM!$B$6:$B$71,ROTACAO_RDM!$D$6:$D$71,$E1548,ROTACAO_RDM!$I$6:$I$71,"&lt;="&amp;$C1548+INT(DIAS_POR_SEMANA/2),ROTACAO_RDM!$J$6:$J$71,"&gt;="&amp;$C1548+INT(DIAS_POR_SEMANA/2)),0)</f>
        <v>34</v>
      </c>
      <c r="J1548" s="16" t="n">
        <f aca="false">IFERROR(MATCH($I1548,ROTACAO_RDM!$B$6:$B$71,0),0)</f>
        <v>34</v>
      </c>
      <c r="K1548" s="8" t="str">
        <f aca="false">IF($J1548=0,"SEM CULTURA",INDEX(ROTACAO_RDM!$F$6:$F$71,$J1548))</f>
        <v>TABACO</v>
      </c>
      <c r="L1548" s="8" t="str">
        <f aca="false">IF($J1548=0,"",INDEX(ROTACAO_RDM!$G$6:$G$71,$J1548))</f>
        <v>PVH-2343</v>
      </c>
      <c r="M1548" s="17" t="n">
        <f aca="false">IF($J1548=0,"",INDEX(ROTACAO_RDM!$I$6:$I$71,$J1548))</f>
        <v>46399</v>
      </c>
      <c r="N1548" s="16" t="n">
        <f aca="false">IF($J1548=0,0,MAX(0,$C1548+INT(DIAS_POR_SEMANA/2)-INDEX(ROTACAO_RDM!$I$6:$I$71,$J1548)))</f>
        <v>37</v>
      </c>
      <c r="O1548" s="19" t="n">
        <f aca="false">IF($J1548=0,0,MIN(1,$N1548/MAX(1,INDEX(ROTACAO_RDM!$K$6:$K$71,$J1548))))</f>
        <v>0.23125</v>
      </c>
      <c r="P1548" s="16" t="n">
        <f aca="false">IF($J1548=0,0,IFERROR(MATCH(INDEX(ROTACAO_RDM!$N$6:$N$71,$J1548),PARAMETROS_CULTURAS!$B$6:$B$28,0),0))</f>
        <v>9</v>
      </c>
      <c r="Q1548" s="8" t="str">
        <f aca="false">IF($P1548=0,"-",IF($O1548&lt;=INDEX(PARAMETROS_CULTURAS!$F$6:$F$28,$P1548),"INICIAL",IF($O1548&lt;=INDEX(PARAMETROS_CULTURAS!$F$6:$F$28,$P1548)+INDEX(PARAMETROS_CULTURAS!$G$6:$G$28,$P1548),"DESENVOLVIMENTO",IF($O1548&lt;=INDEX(PARAMETROS_CULTURAS!$F$6:$F$28,$P1548)+INDEX(PARAMETROS_CULTURAS!$G$6:$G$28,$P1548)+INDEX(PARAMETROS_CULTURAS!$H$6:$H$28,$P1548),"MEDIA","FINAL"))))</f>
        <v>DESENVOLVIMENTO</v>
      </c>
      <c r="R1548" s="24" t="n">
        <f aca="false">IF($P1548=0,0,IF($O1548&lt;=INDEX(PARAMETROS_CULTURAS!$F$6:$F$28,$P1548),INDEX(PARAMETROS_CULTURAS!$K$6:$K$28,$P1548),IF($O1548&lt;=INDEX(PARAMETROS_CULTURAS!$F$6:$F$28,$P1548)+INDEX(PARAMETROS_CULTURAS!$G$6:$G$28,$P1548),INDEX(PARAMETROS_CULTURAS!$K$6:$K$28,$P1548)+(INDEX(PARAMETROS_CULTURAS!$L$6:$L$28,$P1548)-INDEX(PARAMETROS_CULTURAS!$K$6:$K$28,$P1548))*($O1548-INDEX(PARAMETROS_CULTURAS!$F$6:$F$28,$P1548))/MAX(INDEX(PARAMETROS_CULTURAS!$G$6:$G$28,$P1548),0.0001),IF($O1548&lt;=INDEX(PARAMETROS_CULTURAS!$F$6:$F$28,$P1548)+INDEX(PARAMETROS_CULTURAS!$G$6:$G$28,$P1548)+INDEX(PARAMETROS_CULTURAS!$H$6:$H$28,$P1548),INDEX(PARAMETROS_CULTURAS!$L$6:$L$28,$P1548),INDEX(PARAMETROS_CULTURAS!$L$6:$L$28,$P1548)+(INDEX(PARAMETROS_CULTURAS!$M$6:$M$28,$P1548)-INDEX(PARAMETROS_CULTURAS!$L$6:$L$28,$P1548))*($O1548-INDEX(PARAMETROS_CULTURAS!$F$6:$F$28,$P1548)-INDEX(PARAMETROS_CULTURAS!$G$6:$G$28,$P1548)-INDEX(PARAMETROS_CULTURAS!$H$6:$H$28,$P1548))/MAX(INDEX(PARAMETROS_CULTURAS!$I$6:$I$28,$P1548),0.0001)))))</f>
        <v>0.492361111111111</v>
      </c>
      <c r="S1548" s="18" t="n">
        <f aca="false">IFERROR(INDEX(SEMANAS!$H$6:$H$71,MATCH($B1548,SEMANAS!$B$6:$B$71,0)),0)</f>
        <v>32.9</v>
      </c>
      <c r="T1548" s="18" t="n">
        <f aca="false">$R1548*$S1548</f>
        <v>16.1986805555556</v>
      </c>
      <c r="U1548" s="18" t="n">
        <f aca="false">IFERROR(INDEX(SEMANAS!$I$6:$I$71,MATCH($B1548,SEMANAS!$B$6:$B$71,0)),0)</f>
        <v>39.97</v>
      </c>
      <c r="V1548" s="18" t="n">
        <f aca="false">IFERROR(INDEX(SEMANAS!$J$6:$J$71,MATCH($B1548,SEMANAS!$B$6:$B$71,0)),0)</f>
        <v>31.976</v>
      </c>
      <c r="W1548" s="18" t="n">
        <f aca="false">MAX(0,$T1548-$V1548)</f>
        <v>0</v>
      </c>
      <c r="X1548" s="19" t="n">
        <f aca="false">IFERROR(INDEX(CADASTRO_PIVOS!$K$6:$K$41,MATCH($E1548,CADASTRO_PIVOS!$B$6:$B$41,0)),EFICIENCIA_PADRAO)</f>
        <v>0.85</v>
      </c>
      <c r="Y1548" s="18" t="n">
        <f aca="false">IF($X1548&lt;=0,0,$W1548/$X1548)</f>
        <v>0</v>
      </c>
      <c r="Z1548" s="16" t="n">
        <f aca="false">$Y1548*$H1548*MM_PARA_M3_HA</f>
        <v>0</v>
      </c>
      <c r="AA1548" s="18" t="n">
        <f aca="false">IFERROR(INDEX(CADASTRO_PIVOS!$I$6:$I$41,MATCH($E1548,CADASTRO_PIVOS!$B$6:$B$41,0)),0)</f>
        <v>971.133333333333</v>
      </c>
      <c r="AB1548" s="18" t="n">
        <f aca="false">IF($Z1548&lt;=0,0,$Z1548/$AA1548)</f>
        <v>0</v>
      </c>
      <c r="AC1548" s="16" t="n">
        <f aca="false">IFERROR(INDEX(SEMANAS!$K$6:$K$71,MATCH($B1548,SEMANAS!$B$6:$B$71,0)),0)</f>
        <v>147</v>
      </c>
      <c r="AD1548" s="19" t="n">
        <f aca="false">IF($AC1548&lt;=0,0,$AB1548/$AC1548)</f>
        <v>0</v>
      </c>
      <c r="AE1548" s="8" t="str">
        <f aca="false">IF($K1548="SEM CULTURA","SEM CULTURA",IF($AA1548&lt;=0,"DADO PENDENTE",IF($AD1548&gt;LIMITE_CRITICO,"INVIAVEL",IF($AD1548&gt;LIMITE_ATENCAO,"CRITICO",IF($AD1548&gt;LIMITE_CONFORTAVEL,"ATENCAO","OK")))))</f>
        <v>OK</v>
      </c>
      <c r="AF1548" s="8" t="str">
        <f aca="false">$B1548&amp;"|"&amp;TEXT($AD1548,"0.000000")</f>
        <v>25|0.000000</v>
      </c>
      <c r="AG1548" s="18" t="n">
        <f aca="false">IF($K1548="SEM CULTURA",0,$T1548*$H1548)</f>
        <v>2359.66179652778</v>
      </c>
      <c r="AH1548" s="18" t="n">
        <f aca="false">IF($K1548="SEM CULTURA",0,$V1548*$H1548)</f>
        <v>4657.94392</v>
      </c>
      <c r="AI1548" s="18" t="n">
        <f aca="false">IF($K1548="SEM CULTURA",0,$W1548*$H1548)</f>
        <v>0</v>
      </c>
      <c r="AJ1548" s="18" t="n">
        <f aca="false">IF($K1548="SEM CULTURA",0,$S1548*$H1548)</f>
        <v>4792.543</v>
      </c>
      <c r="AK1548" s="8" t="str">
        <f aca="false">$E1548&amp;"|"&amp;TEXT($AD1548,"0.000000")</f>
        <v>PV 120|0.000000</v>
      </c>
    </row>
    <row r="1549" customFormat="false" ht="15" hidden="false" customHeight="false" outlineLevel="0" collapsed="false">
      <c r="B1549" s="16" t="n">
        <v>26</v>
      </c>
      <c r="C1549" s="17" t="n">
        <f aca="false">DATA_INICIO_SAFRA+($B1549-1)*DIAS_POR_SEMANA</f>
        <v>46440</v>
      </c>
      <c r="D1549" s="17" t="n">
        <f aca="false">$C1549+DIAS_POR_SEMANA-1</f>
        <v>46446</v>
      </c>
      <c r="E1549" s="15" t="s">
        <v>282</v>
      </c>
      <c r="F1549" s="8" t="str">
        <f aca="false">IFERROR(INDEX(CADASTRO_PIVOS!$C$6:$C$41,MATCH($E1549,CADASTRO_PIVOS!$B$6:$B$41,0)),"?")</f>
        <v>RM07</v>
      </c>
      <c r="G1549" s="8" t="str">
        <f aca="false">IFERROR(INDEX(CADASTRO_PIVOS!$D$6:$D$41,MATCH($E1549,CADASTRO_PIVOS!$B$6:$B$41,0)),"?")</f>
        <v>TR07</v>
      </c>
      <c r="H1549" s="20" t="n">
        <f aca="false">IFERROR(INDEX(CADASTRO_PIVOS!$E$6:$E$41,MATCH($E1549,CADASTRO_PIVOS!$B$6:$B$41,0)),0)</f>
        <v>145.67</v>
      </c>
      <c r="I1549" s="16" t="n">
        <f aca="false">IFERROR(SUMIFS(ROTACAO_RDM!$B$6:$B$71,ROTACAO_RDM!$D$6:$D$71,$E1549,ROTACAO_RDM!$I$6:$I$71,"&lt;="&amp;$C1549+INT(DIAS_POR_SEMANA/2),ROTACAO_RDM!$J$6:$J$71,"&gt;="&amp;$C1549+INT(DIAS_POR_SEMANA/2)),0)</f>
        <v>34</v>
      </c>
      <c r="J1549" s="16" t="n">
        <f aca="false">IFERROR(MATCH($I1549,ROTACAO_RDM!$B$6:$B$71,0),0)</f>
        <v>34</v>
      </c>
      <c r="K1549" s="8" t="str">
        <f aca="false">IF($J1549=0,"SEM CULTURA",INDEX(ROTACAO_RDM!$F$6:$F$71,$J1549))</f>
        <v>TABACO</v>
      </c>
      <c r="L1549" s="8" t="str">
        <f aca="false">IF($J1549=0,"",INDEX(ROTACAO_RDM!$G$6:$G$71,$J1549))</f>
        <v>PVH-2343</v>
      </c>
      <c r="M1549" s="17" t="n">
        <f aca="false">IF($J1549=0,"",INDEX(ROTACAO_RDM!$I$6:$I$71,$J1549))</f>
        <v>46399</v>
      </c>
      <c r="N1549" s="16" t="n">
        <f aca="false">IF($J1549=0,0,MAX(0,$C1549+INT(DIAS_POR_SEMANA/2)-INDEX(ROTACAO_RDM!$I$6:$I$71,$J1549)))</f>
        <v>44</v>
      </c>
      <c r="O1549" s="19" t="n">
        <f aca="false">IF($J1549=0,0,MIN(1,$N1549/MAX(1,INDEX(ROTACAO_RDM!$K$6:$K$71,$J1549))))</f>
        <v>0.275</v>
      </c>
      <c r="P1549" s="16" t="n">
        <f aca="false">IF($J1549=0,0,IFERROR(MATCH(INDEX(ROTACAO_RDM!$N$6:$N$71,$J1549),PARAMETROS_CULTURAS!$B$6:$B$28,0),0))</f>
        <v>9</v>
      </c>
      <c r="Q1549" s="8" t="str">
        <f aca="false">IF($P1549=0,"-",IF($O1549&lt;=INDEX(PARAMETROS_CULTURAS!$F$6:$F$28,$P1549),"INICIAL",IF($O1549&lt;=INDEX(PARAMETROS_CULTURAS!$F$6:$F$28,$P1549)+INDEX(PARAMETROS_CULTURAS!$G$6:$G$28,$P1549),"DESENVOLVIMENTO",IF($O1549&lt;=INDEX(PARAMETROS_CULTURAS!$F$6:$F$28,$P1549)+INDEX(PARAMETROS_CULTURAS!$G$6:$G$28,$P1549)+INDEX(PARAMETROS_CULTURAS!$H$6:$H$28,$P1549),"MEDIA","FINAL"))))</f>
        <v>DESENVOLVIMENTO</v>
      </c>
      <c r="R1549" s="24" t="n">
        <f aca="false">IF($P1549=0,0,IF($O1549&lt;=INDEX(PARAMETROS_CULTURAS!$F$6:$F$28,$P1549),INDEX(PARAMETROS_CULTURAS!$K$6:$K$28,$P1549),IF($O1549&lt;=INDEX(PARAMETROS_CULTURAS!$F$6:$F$28,$P1549)+INDEX(PARAMETROS_CULTURAS!$G$6:$G$28,$P1549),INDEX(PARAMETROS_CULTURAS!$K$6:$K$28,$P1549)+(INDEX(PARAMETROS_CULTURAS!$L$6:$L$28,$P1549)-INDEX(PARAMETROS_CULTURAS!$K$6:$K$28,$P1549))*($O1549-INDEX(PARAMETROS_CULTURAS!$F$6:$F$28,$P1549))/MAX(INDEX(PARAMETROS_CULTURAS!$G$6:$G$28,$P1549),0.0001),IF($O1549&lt;=INDEX(PARAMETROS_CULTURAS!$F$6:$F$28,$P1549)+INDEX(PARAMETROS_CULTURAS!$G$6:$G$28,$P1549)+INDEX(PARAMETROS_CULTURAS!$H$6:$H$28,$P1549),INDEX(PARAMETROS_CULTURAS!$L$6:$L$28,$P1549),INDEX(PARAMETROS_CULTURAS!$L$6:$L$28,$P1549)+(INDEX(PARAMETROS_CULTURAS!$M$6:$M$28,$P1549)-INDEX(PARAMETROS_CULTURAS!$L$6:$L$28,$P1549))*($O1549-INDEX(PARAMETROS_CULTURAS!$F$6:$F$28,$P1549)-INDEX(PARAMETROS_CULTURAS!$G$6:$G$28,$P1549)-INDEX(PARAMETROS_CULTURAS!$H$6:$H$28,$P1549))/MAX(INDEX(PARAMETROS_CULTURAS!$I$6:$I$28,$P1549),0.0001)))))</f>
        <v>0.613888888888889</v>
      </c>
      <c r="S1549" s="18" t="n">
        <f aca="false">IFERROR(INDEX(SEMANAS!$H$6:$H$71,MATCH($B1549,SEMANAS!$B$6:$B$71,0)),0)</f>
        <v>32.9</v>
      </c>
      <c r="T1549" s="18" t="n">
        <f aca="false">$R1549*$S1549</f>
        <v>20.1969444444444</v>
      </c>
      <c r="U1549" s="18" t="n">
        <f aca="false">IFERROR(INDEX(SEMANAS!$I$6:$I$71,MATCH($B1549,SEMANAS!$B$6:$B$71,0)),0)</f>
        <v>39.97</v>
      </c>
      <c r="V1549" s="18" t="n">
        <f aca="false">IFERROR(INDEX(SEMANAS!$J$6:$J$71,MATCH($B1549,SEMANAS!$B$6:$B$71,0)),0)</f>
        <v>31.976</v>
      </c>
      <c r="W1549" s="18" t="n">
        <f aca="false">MAX(0,$T1549-$V1549)</f>
        <v>0</v>
      </c>
      <c r="X1549" s="19" t="n">
        <f aca="false">IFERROR(INDEX(CADASTRO_PIVOS!$K$6:$K$41,MATCH($E1549,CADASTRO_PIVOS!$B$6:$B$41,0)),EFICIENCIA_PADRAO)</f>
        <v>0.85</v>
      </c>
      <c r="Y1549" s="18" t="n">
        <f aca="false">IF($X1549&lt;=0,0,$W1549/$X1549)</f>
        <v>0</v>
      </c>
      <c r="Z1549" s="16" t="n">
        <f aca="false">$Y1549*$H1549*MM_PARA_M3_HA</f>
        <v>0</v>
      </c>
      <c r="AA1549" s="18" t="n">
        <f aca="false">IFERROR(INDEX(CADASTRO_PIVOS!$I$6:$I$41,MATCH($E1549,CADASTRO_PIVOS!$B$6:$B$41,0)),0)</f>
        <v>971.133333333333</v>
      </c>
      <c r="AB1549" s="18" t="n">
        <f aca="false">IF($Z1549&lt;=0,0,$Z1549/$AA1549)</f>
        <v>0</v>
      </c>
      <c r="AC1549" s="16" t="n">
        <f aca="false">IFERROR(INDEX(SEMANAS!$K$6:$K$71,MATCH($B1549,SEMANAS!$B$6:$B$71,0)),0)</f>
        <v>147</v>
      </c>
      <c r="AD1549" s="19" t="n">
        <f aca="false">IF($AC1549&lt;=0,0,$AB1549/$AC1549)</f>
        <v>0</v>
      </c>
      <c r="AE1549" s="8" t="str">
        <f aca="false">IF($K1549="SEM CULTURA","SEM CULTURA",IF($AA1549&lt;=0,"DADO PENDENTE",IF($AD1549&gt;LIMITE_CRITICO,"INVIAVEL",IF($AD1549&gt;LIMITE_ATENCAO,"CRITICO",IF($AD1549&gt;LIMITE_CONFORTAVEL,"ATENCAO","OK")))))</f>
        <v>OK</v>
      </c>
      <c r="AF1549" s="8" t="str">
        <f aca="false">$B1549&amp;"|"&amp;TEXT($AD1549,"0.000000")</f>
        <v>26|0.000000</v>
      </c>
      <c r="AG1549" s="18" t="n">
        <f aca="false">IF($K1549="SEM CULTURA",0,$T1549*$H1549)</f>
        <v>2942.08889722222</v>
      </c>
      <c r="AH1549" s="18" t="n">
        <f aca="false">IF($K1549="SEM CULTURA",0,$V1549*$H1549)</f>
        <v>4657.94392</v>
      </c>
      <c r="AI1549" s="18" t="n">
        <f aca="false">IF($K1549="SEM CULTURA",0,$W1549*$H1549)</f>
        <v>0</v>
      </c>
      <c r="AJ1549" s="18" t="n">
        <f aca="false">IF($K1549="SEM CULTURA",0,$S1549*$H1549)</f>
        <v>4792.543</v>
      </c>
      <c r="AK1549" s="8" t="str">
        <f aca="false">$E1549&amp;"|"&amp;TEXT($AD1549,"0.000000")</f>
        <v>PV 120|0.000000</v>
      </c>
    </row>
    <row r="1550" customFormat="false" ht="15" hidden="false" customHeight="false" outlineLevel="0" collapsed="false">
      <c r="B1550" s="16" t="n">
        <v>27</v>
      </c>
      <c r="C1550" s="17" t="n">
        <f aca="false">DATA_INICIO_SAFRA+($B1550-1)*DIAS_POR_SEMANA</f>
        <v>46447</v>
      </c>
      <c r="D1550" s="17" t="n">
        <f aca="false">$C1550+DIAS_POR_SEMANA-1</f>
        <v>46453</v>
      </c>
      <c r="E1550" s="15" t="s">
        <v>282</v>
      </c>
      <c r="F1550" s="8" t="str">
        <f aca="false">IFERROR(INDEX(CADASTRO_PIVOS!$C$6:$C$41,MATCH($E1550,CADASTRO_PIVOS!$B$6:$B$41,0)),"?")</f>
        <v>RM07</v>
      </c>
      <c r="G1550" s="8" t="str">
        <f aca="false">IFERROR(INDEX(CADASTRO_PIVOS!$D$6:$D$41,MATCH($E1550,CADASTRO_PIVOS!$B$6:$B$41,0)),"?")</f>
        <v>TR07</v>
      </c>
      <c r="H1550" s="20" t="n">
        <f aca="false">IFERROR(INDEX(CADASTRO_PIVOS!$E$6:$E$41,MATCH($E1550,CADASTRO_PIVOS!$B$6:$B$41,0)),0)</f>
        <v>145.67</v>
      </c>
      <c r="I1550" s="16" t="n">
        <f aca="false">IFERROR(SUMIFS(ROTACAO_RDM!$B$6:$B$71,ROTACAO_RDM!$D$6:$D$71,$E1550,ROTACAO_RDM!$I$6:$I$71,"&lt;="&amp;$C1550+INT(DIAS_POR_SEMANA/2),ROTACAO_RDM!$J$6:$J$71,"&gt;="&amp;$C1550+INT(DIAS_POR_SEMANA/2)),0)</f>
        <v>34</v>
      </c>
      <c r="J1550" s="16" t="n">
        <f aca="false">IFERROR(MATCH($I1550,ROTACAO_RDM!$B$6:$B$71,0),0)</f>
        <v>34</v>
      </c>
      <c r="K1550" s="8" t="str">
        <f aca="false">IF($J1550=0,"SEM CULTURA",INDEX(ROTACAO_RDM!$F$6:$F$71,$J1550))</f>
        <v>TABACO</v>
      </c>
      <c r="L1550" s="8" t="str">
        <f aca="false">IF($J1550=0,"",INDEX(ROTACAO_RDM!$G$6:$G$71,$J1550))</f>
        <v>PVH-2343</v>
      </c>
      <c r="M1550" s="17" t="n">
        <f aca="false">IF($J1550=0,"",INDEX(ROTACAO_RDM!$I$6:$I$71,$J1550))</f>
        <v>46399</v>
      </c>
      <c r="N1550" s="16" t="n">
        <f aca="false">IF($J1550=0,0,MAX(0,$C1550+INT(DIAS_POR_SEMANA/2)-INDEX(ROTACAO_RDM!$I$6:$I$71,$J1550)))</f>
        <v>51</v>
      </c>
      <c r="O1550" s="19" t="n">
        <f aca="false">IF($J1550=0,0,MIN(1,$N1550/MAX(1,INDEX(ROTACAO_RDM!$K$6:$K$71,$J1550))))</f>
        <v>0.31875</v>
      </c>
      <c r="P1550" s="16" t="n">
        <f aca="false">IF($J1550=0,0,IFERROR(MATCH(INDEX(ROTACAO_RDM!$N$6:$N$71,$J1550),PARAMETROS_CULTURAS!$B$6:$B$28,0),0))</f>
        <v>9</v>
      </c>
      <c r="Q1550" s="8" t="str">
        <f aca="false">IF($P1550=0,"-",IF($O1550&lt;=INDEX(PARAMETROS_CULTURAS!$F$6:$F$28,$P1550),"INICIAL",IF($O1550&lt;=INDEX(PARAMETROS_CULTURAS!$F$6:$F$28,$P1550)+INDEX(PARAMETROS_CULTURAS!$G$6:$G$28,$P1550),"DESENVOLVIMENTO",IF($O1550&lt;=INDEX(PARAMETROS_CULTURAS!$F$6:$F$28,$P1550)+INDEX(PARAMETROS_CULTURAS!$G$6:$G$28,$P1550)+INDEX(PARAMETROS_CULTURAS!$H$6:$H$28,$P1550),"MEDIA","FINAL"))))</f>
        <v>DESENVOLVIMENTO</v>
      </c>
      <c r="R1550" s="24" t="n">
        <f aca="false">IF($P1550=0,0,IF($O1550&lt;=INDEX(PARAMETROS_CULTURAS!$F$6:$F$28,$P1550),INDEX(PARAMETROS_CULTURAS!$K$6:$K$28,$P1550),IF($O1550&lt;=INDEX(PARAMETROS_CULTURAS!$F$6:$F$28,$P1550)+INDEX(PARAMETROS_CULTURAS!$G$6:$G$28,$P1550),INDEX(PARAMETROS_CULTURAS!$K$6:$K$28,$P1550)+(INDEX(PARAMETROS_CULTURAS!$L$6:$L$28,$P1550)-INDEX(PARAMETROS_CULTURAS!$K$6:$K$28,$P1550))*($O1550-INDEX(PARAMETROS_CULTURAS!$F$6:$F$28,$P1550))/MAX(INDEX(PARAMETROS_CULTURAS!$G$6:$G$28,$P1550),0.0001),IF($O1550&lt;=INDEX(PARAMETROS_CULTURAS!$F$6:$F$28,$P1550)+INDEX(PARAMETROS_CULTURAS!$G$6:$G$28,$P1550)+INDEX(PARAMETROS_CULTURAS!$H$6:$H$28,$P1550),INDEX(PARAMETROS_CULTURAS!$L$6:$L$28,$P1550),INDEX(PARAMETROS_CULTURAS!$L$6:$L$28,$P1550)+(INDEX(PARAMETROS_CULTURAS!$M$6:$M$28,$P1550)-INDEX(PARAMETROS_CULTURAS!$L$6:$L$28,$P1550))*($O1550-INDEX(PARAMETROS_CULTURAS!$F$6:$F$28,$P1550)-INDEX(PARAMETROS_CULTURAS!$G$6:$G$28,$P1550)-INDEX(PARAMETROS_CULTURAS!$H$6:$H$28,$P1550))/MAX(INDEX(PARAMETROS_CULTURAS!$I$6:$I$28,$P1550),0.0001)))))</f>
        <v>0.735416666666667</v>
      </c>
      <c r="S1550" s="18" t="n">
        <f aca="false">IFERROR(INDEX(SEMANAS!$H$6:$H$71,MATCH($B1550,SEMANAS!$B$6:$B$71,0)),0)</f>
        <v>32.2</v>
      </c>
      <c r="T1550" s="18" t="n">
        <f aca="false">$R1550*$S1550</f>
        <v>23.6804166666667</v>
      </c>
      <c r="U1550" s="18" t="n">
        <f aca="false">IFERROR(INDEX(SEMANAS!$I$6:$I$71,MATCH($B1550,SEMANAS!$B$6:$B$71,0)),0)</f>
        <v>37.24</v>
      </c>
      <c r="V1550" s="18" t="n">
        <f aca="false">IFERROR(INDEX(SEMANAS!$J$6:$J$71,MATCH($B1550,SEMANAS!$B$6:$B$71,0)),0)</f>
        <v>29.792</v>
      </c>
      <c r="W1550" s="18" t="n">
        <f aca="false">MAX(0,$T1550-$V1550)</f>
        <v>0</v>
      </c>
      <c r="X1550" s="19" t="n">
        <f aca="false">IFERROR(INDEX(CADASTRO_PIVOS!$K$6:$K$41,MATCH($E1550,CADASTRO_PIVOS!$B$6:$B$41,0)),EFICIENCIA_PADRAO)</f>
        <v>0.85</v>
      </c>
      <c r="Y1550" s="18" t="n">
        <f aca="false">IF($X1550&lt;=0,0,$W1550/$X1550)</f>
        <v>0</v>
      </c>
      <c r="Z1550" s="16" t="n">
        <f aca="false">$Y1550*$H1550*MM_PARA_M3_HA</f>
        <v>0</v>
      </c>
      <c r="AA1550" s="18" t="n">
        <f aca="false">IFERROR(INDEX(CADASTRO_PIVOS!$I$6:$I$41,MATCH($E1550,CADASTRO_PIVOS!$B$6:$B$41,0)),0)</f>
        <v>971.133333333333</v>
      </c>
      <c r="AB1550" s="18" t="n">
        <f aca="false">IF($Z1550&lt;=0,0,$Z1550/$AA1550)</f>
        <v>0</v>
      </c>
      <c r="AC1550" s="16" t="n">
        <f aca="false">IFERROR(INDEX(SEMANAS!$K$6:$K$71,MATCH($B1550,SEMANAS!$B$6:$B$71,0)),0)</f>
        <v>147</v>
      </c>
      <c r="AD1550" s="19" t="n">
        <f aca="false">IF($AC1550&lt;=0,0,$AB1550/$AC1550)</f>
        <v>0</v>
      </c>
      <c r="AE1550" s="8" t="str">
        <f aca="false">IF($K1550="SEM CULTURA","SEM CULTURA",IF($AA1550&lt;=0,"DADO PENDENTE",IF($AD1550&gt;LIMITE_CRITICO,"INVIAVEL",IF($AD1550&gt;LIMITE_ATENCAO,"CRITICO",IF($AD1550&gt;LIMITE_CONFORTAVEL,"ATENCAO","OK")))))</f>
        <v>OK</v>
      </c>
      <c r="AF1550" s="8" t="str">
        <f aca="false">$B1550&amp;"|"&amp;TEXT($AD1550,"0.000000")</f>
        <v>27|0.000000</v>
      </c>
      <c r="AG1550" s="18" t="n">
        <f aca="false">IF($K1550="SEM CULTURA",0,$T1550*$H1550)</f>
        <v>3449.52629583333</v>
      </c>
      <c r="AH1550" s="18" t="n">
        <f aca="false">IF($K1550="SEM CULTURA",0,$V1550*$H1550)</f>
        <v>4339.80064</v>
      </c>
      <c r="AI1550" s="18" t="n">
        <f aca="false">IF($K1550="SEM CULTURA",0,$W1550*$H1550)</f>
        <v>0</v>
      </c>
      <c r="AJ1550" s="18" t="n">
        <f aca="false">IF($K1550="SEM CULTURA",0,$S1550*$H1550)</f>
        <v>4690.574</v>
      </c>
      <c r="AK1550" s="8" t="str">
        <f aca="false">$E1550&amp;"|"&amp;TEXT($AD1550,"0.000000")</f>
        <v>PV 120|0.000000</v>
      </c>
    </row>
    <row r="1551" customFormat="false" ht="15" hidden="false" customHeight="false" outlineLevel="0" collapsed="false">
      <c r="B1551" s="16" t="n">
        <v>28</v>
      </c>
      <c r="C1551" s="17" t="n">
        <f aca="false">DATA_INICIO_SAFRA+($B1551-1)*DIAS_POR_SEMANA</f>
        <v>46454</v>
      </c>
      <c r="D1551" s="17" t="n">
        <f aca="false">$C1551+DIAS_POR_SEMANA-1</f>
        <v>46460</v>
      </c>
      <c r="E1551" s="15" t="s">
        <v>282</v>
      </c>
      <c r="F1551" s="8" t="str">
        <f aca="false">IFERROR(INDEX(CADASTRO_PIVOS!$C$6:$C$41,MATCH($E1551,CADASTRO_PIVOS!$B$6:$B$41,0)),"?")</f>
        <v>RM07</v>
      </c>
      <c r="G1551" s="8" t="str">
        <f aca="false">IFERROR(INDEX(CADASTRO_PIVOS!$D$6:$D$41,MATCH($E1551,CADASTRO_PIVOS!$B$6:$B$41,0)),"?")</f>
        <v>TR07</v>
      </c>
      <c r="H1551" s="20" t="n">
        <f aca="false">IFERROR(INDEX(CADASTRO_PIVOS!$E$6:$E$41,MATCH($E1551,CADASTRO_PIVOS!$B$6:$B$41,0)),0)</f>
        <v>145.67</v>
      </c>
      <c r="I1551" s="16" t="n">
        <f aca="false">IFERROR(SUMIFS(ROTACAO_RDM!$B$6:$B$71,ROTACAO_RDM!$D$6:$D$71,$E1551,ROTACAO_RDM!$I$6:$I$71,"&lt;="&amp;$C1551+INT(DIAS_POR_SEMANA/2),ROTACAO_RDM!$J$6:$J$71,"&gt;="&amp;$C1551+INT(DIAS_POR_SEMANA/2)),0)</f>
        <v>34</v>
      </c>
      <c r="J1551" s="16" t="n">
        <f aca="false">IFERROR(MATCH($I1551,ROTACAO_RDM!$B$6:$B$71,0),0)</f>
        <v>34</v>
      </c>
      <c r="K1551" s="8" t="str">
        <f aca="false">IF($J1551=0,"SEM CULTURA",INDEX(ROTACAO_RDM!$F$6:$F$71,$J1551))</f>
        <v>TABACO</v>
      </c>
      <c r="L1551" s="8" t="str">
        <f aca="false">IF($J1551=0,"",INDEX(ROTACAO_RDM!$G$6:$G$71,$J1551))</f>
        <v>PVH-2343</v>
      </c>
      <c r="M1551" s="17" t="n">
        <f aca="false">IF($J1551=0,"",INDEX(ROTACAO_RDM!$I$6:$I$71,$J1551))</f>
        <v>46399</v>
      </c>
      <c r="N1551" s="16" t="n">
        <f aca="false">IF($J1551=0,0,MAX(0,$C1551+INT(DIAS_POR_SEMANA/2)-INDEX(ROTACAO_RDM!$I$6:$I$71,$J1551)))</f>
        <v>58</v>
      </c>
      <c r="O1551" s="19" t="n">
        <f aca="false">IF($J1551=0,0,MIN(1,$N1551/MAX(1,INDEX(ROTACAO_RDM!$K$6:$K$71,$J1551))))</f>
        <v>0.3625</v>
      </c>
      <c r="P1551" s="16" t="n">
        <f aca="false">IF($J1551=0,0,IFERROR(MATCH(INDEX(ROTACAO_RDM!$N$6:$N$71,$J1551),PARAMETROS_CULTURAS!$B$6:$B$28,0),0))</f>
        <v>9</v>
      </c>
      <c r="Q1551" s="8" t="str">
        <f aca="false">IF($P1551=0,"-",IF($O1551&lt;=INDEX(PARAMETROS_CULTURAS!$F$6:$F$28,$P1551),"INICIAL",IF($O1551&lt;=INDEX(PARAMETROS_CULTURAS!$F$6:$F$28,$P1551)+INDEX(PARAMETROS_CULTURAS!$G$6:$G$28,$P1551),"DESENVOLVIMENTO",IF($O1551&lt;=INDEX(PARAMETROS_CULTURAS!$F$6:$F$28,$P1551)+INDEX(PARAMETROS_CULTURAS!$G$6:$G$28,$P1551)+INDEX(PARAMETROS_CULTURAS!$H$6:$H$28,$P1551),"MEDIA","FINAL"))))</f>
        <v>DESENVOLVIMENTO</v>
      </c>
      <c r="R1551" s="24" t="n">
        <f aca="false">IF($P1551=0,0,IF($O1551&lt;=INDEX(PARAMETROS_CULTURAS!$F$6:$F$28,$P1551),INDEX(PARAMETROS_CULTURAS!$K$6:$K$28,$P1551),IF($O1551&lt;=INDEX(PARAMETROS_CULTURAS!$F$6:$F$28,$P1551)+INDEX(PARAMETROS_CULTURAS!$G$6:$G$28,$P1551),INDEX(PARAMETROS_CULTURAS!$K$6:$K$28,$P1551)+(INDEX(PARAMETROS_CULTURAS!$L$6:$L$28,$P1551)-INDEX(PARAMETROS_CULTURAS!$K$6:$K$28,$P1551))*($O1551-INDEX(PARAMETROS_CULTURAS!$F$6:$F$28,$P1551))/MAX(INDEX(PARAMETROS_CULTURAS!$G$6:$G$28,$P1551),0.0001),IF($O1551&lt;=INDEX(PARAMETROS_CULTURAS!$F$6:$F$28,$P1551)+INDEX(PARAMETROS_CULTURAS!$G$6:$G$28,$P1551)+INDEX(PARAMETROS_CULTURAS!$H$6:$H$28,$P1551),INDEX(PARAMETROS_CULTURAS!$L$6:$L$28,$P1551),INDEX(PARAMETROS_CULTURAS!$L$6:$L$28,$P1551)+(INDEX(PARAMETROS_CULTURAS!$M$6:$M$28,$P1551)-INDEX(PARAMETROS_CULTURAS!$L$6:$L$28,$P1551))*($O1551-INDEX(PARAMETROS_CULTURAS!$F$6:$F$28,$P1551)-INDEX(PARAMETROS_CULTURAS!$G$6:$G$28,$P1551)-INDEX(PARAMETROS_CULTURAS!$H$6:$H$28,$P1551))/MAX(INDEX(PARAMETROS_CULTURAS!$I$6:$I$28,$P1551),0.0001)))))</f>
        <v>0.856944444444445</v>
      </c>
      <c r="S1551" s="18" t="n">
        <f aca="false">IFERROR(INDEX(SEMANAS!$H$6:$H$71,MATCH($B1551,SEMANAS!$B$6:$B$71,0)),0)</f>
        <v>32.2</v>
      </c>
      <c r="T1551" s="18" t="n">
        <f aca="false">$R1551*$S1551</f>
        <v>27.5936111111111</v>
      </c>
      <c r="U1551" s="18" t="n">
        <f aca="false">IFERROR(INDEX(SEMANAS!$I$6:$I$71,MATCH($B1551,SEMANAS!$B$6:$B$71,0)),0)</f>
        <v>37.24</v>
      </c>
      <c r="V1551" s="18" t="n">
        <f aca="false">IFERROR(INDEX(SEMANAS!$J$6:$J$71,MATCH($B1551,SEMANAS!$B$6:$B$71,0)),0)</f>
        <v>29.792</v>
      </c>
      <c r="W1551" s="18" t="n">
        <f aca="false">MAX(0,$T1551-$V1551)</f>
        <v>0</v>
      </c>
      <c r="X1551" s="19" t="n">
        <f aca="false">IFERROR(INDEX(CADASTRO_PIVOS!$K$6:$K$41,MATCH($E1551,CADASTRO_PIVOS!$B$6:$B$41,0)),EFICIENCIA_PADRAO)</f>
        <v>0.85</v>
      </c>
      <c r="Y1551" s="18" t="n">
        <f aca="false">IF($X1551&lt;=0,0,$W1551/$X1551)</f>
        <v>0</v>
      </c>
      <c r="Z1551" s="16" t="n">
        <f aca="false">$Y1551*$H1551*MM_PARA_M3_HA</f>
        <v>0</v>
      </c>
      <c r="AA1551" s="18" t="n">
        <f aca="false">IFERROR(INDEX(CADASTRO_PIVOS!$I$6:$I$41,MATCH($E1551,CADASTRO_PIVOS!$B$6:$B$41,0)),0)</f>
        <v>971.133333333333</v>
      </c>
      <c r="AB1551" s="18" t="n">
        <f aca="false">IF($Z1551&lt;=0,0,$Z1551/$AA1551)</f>
        <v>0</v>
      </c>
      <c r="AC1551" s="16" t="n">
        <f aca="false">IFERROR(INDEX(SEMANAS!$K$6:$K$71,MATCH($B1551,SEMANAS!$B$6:$B$71,0)),0)</f>
        <v>147</v>
      </c>
      <c r="AD1551" s="19" t="n">
        <f aca="false">IF($AC1551&lt;=0,0,$AB1551/$AC1551)</f>
        <v>0</v>
      </c>
      <c r="AE1551" s="8" t="str">
        <f aca="false">IF($K1551="SEM CULTURA","SEM CULTURA",IF($AA1551&lt;=0,"DADO PENDENTE",IF($AD1551&gt;LIMITE_CRITICO,"INVIAVEL",IF($AD1551&gt;LIMITE_ATENCAO,"CRITICO",IF($AD1551&gt;LIMITE_CONFORTAVEL,"ATENCAO","OK")))))</f>
        <v>OK</v>
      </c>
      <c r="AF1551" s="8" t="str">
        <f aca="false">$B1551&amp;"|"&amp;TEXT($AD1551,"0.000000")</f>
        <v>28|0.000000</v>
      </c>
      <c r="AG1551" s="18" t="n">
        <f aca="false">IF($K1551="SEM CULTURA",0,$T1551*$H1551)</f>
        <v>4019.56133055556</v>
      </c>
      <c r="AH1551" s="18" t="n">
        <f aca="false">IF($K1551="SEM CULTURA",0,$V1551*$H1551)</f>
        <v>4339.80064</v>
      </c>
      <c r="AI1551" s="18" t="n">
        <f aca="false">IF($K1551="SEM CULTURA",0,$W1551*$H1551)</f>
        <v>0</v>
      </c>
      <c r="AJ1551" s="18" t="n">
        <f aca="false">IF($K1551="SEM CULTURA",0,$S1551*$H1551)</f>
        <v>4690.574</v>
      </c>
      <c r="AK1551" s="8" t="str">
        <f aca="false">$E1551&amp;"|"&amp;TEXT($AD1551,"0.000000")</f>
        <v>PV 120|0.000000</v>
      </c>
    </row>
    <row r="1552" customFormat="false" ht="15" hidden="false" customHeight="false" outlineLevel="0" collapsed="false">
      <c r="B1552" s="16" t="n">
        <v>29</v>
      </c>
      <c r="C1552" s="17" t="n">
        <f aca="false">DATA_INICIO_SAFRA+($B1552-1)*DIAS_POR_SEMANA</f>
        <v>46461</v>
      </c>
      <c r="D1552" s="17" t="n">
        <f aca="false">$C1552+DIAS_POR_SEMANA-1</f>
        <v>46467</v>
      </c>
      <c r="E1552" s="15" t="s">
        <v>282</v>
      </c>
      <c r="F1552" s="8" t="str">
        <f aca="false">IFERROR(INDEX(CADASTRO_PIVOS!$C$6:$C$41,MATCH($E1552,CADASTRO_PIVOS!$B$6:$B$41,0)),"?")</f>
        <v>RM07</v>
      </c>
      <c r="G1552" s="8" t="str">
        <f aca="false">IFERROR(INDEX(CADASTRO_PIVOS!$D$6:$D$41,MATCH($E1552,CADASTRO_PIVOS!$B$6:$B$41,0)),"?")</f>
        <v>TR07</v>
      </c>
      <c r="H1552" s="20" t="n">
        <f aca="false">IFERROR(INDEX(CADASTRO_PIVOS!$E$6:$E$41,MATCH($E1552,CADASTRO_PIVOS!$B$6:$B$41,0)),0)</f>
        <v>145.67</v>
      </c>
      <c r="I1552" s="16" t="n">
        <f aca="false">IFERROR(SUMIFS(ROTACAO_RDM!$B$6:$B$71,ROTACAO_RDM!$D$6:$D$71,$E1552,ROTACAO_RDM!$I$6:$I$71,"&lt;="&amp;$C1552+INT(DIAS_POR_SEMANA/2),ROTACAO_RDM!$J$6:$J$71,"&gt;="&amp;$C1552+INT(DIAS_POR_SEMANA/2)),0)</f>
        <v>34</v>
      </c>
      <c r="J1552" s="16" t="n">
        <f aca="false">IFERROR(MATCH($I1552,ROTACAO_RDM!$B$6:$B$71,0),0)</f>
        <v>34</v>
      </c>
      <c r="K1552" s="8" t="str">
        <f aca="false">IF($J1552=0,"SEM CULTURA",INDEX(ROTACAO_RDM!$F$6:$F$71,$J1552))</f>
        <v>TABACO</v>
      </c>
      <c r="L1552" s="8" t="str">
        <f aca="false">IF($J1552=0,"",INDEX(ROTACAO_RDM!$G$6:$G$71,$J1552))</f>
        <v>PVH-2343</v>
      </c>
      <c r="M1552" s="17" t="n">
        <f aca="false">IF($J1552=0,"",INDEX(ROTACAO_RDM!$I$6:$I$71,$J1552))</f>
        <v>46399</v>
      </c>
      <c r="N1552" s="16" t="n">
        <f aca="false">IF($J1552=0,0,MAX(0,$C1552+INT(DIAS_POR_SEMANA/2)-INDEX(ROTACAO_RDM!$I$6:$I$71,$J1552)))</f>
        <v>65</v>
      </c>
      <c r="O1552" s="19" t="n">
        <f aca="false">IF($J1552=0,0,MIN(1,$N1552/MAX(1,INDEX(ROTACAO_RDM!$K$6:$K$71,$J1552))))</f>
        <v>0.40625</v>
      </c>
      <c r="P1552" s="16" t="n">
        <f aca="false">IF($J1552=0,0,IFERROR(MATCH(INDEX(ROTACAO_RDM!$N$6:$N$71,$J1552),PARAMETROS_CULTURAS!$B$6:$B$28,0),0))</f>
        <v>9</v>
      </c>
      <c r="Q1552" s="8" t="str">
        <f aca="false">IF($P1552=0,"-",IF($O1552&lt;=INDEX(PARAMETROS_CULTURAS!$F$6:$F$28,$P1552),"INICIAL",IF($O1552&lt;=INDEX(PARAMETROS_CULTURAS!$F$6:$F$28,$P1552)+INDEX(PARAMETROS_CULTURAS!$G$6:$G$28,$P1552),"DESENVOLVIMENTO",IF($O1552&lt;=INDEX(PARAMETROS_CULTURAS!$F$6:$F$28,$P1552)+INDEX(PARAMETROS_CULTURAS!$G$6:$G$28,$P1552)+INDEX(PARAMETROS_CULTURAS!$H$6:$H$28,$P1552),"MEDIA","FINAL"))))</f>
        <v>DESENVOLVIMENTO</v>
      </c>
      <c r="R1552" s="24" t="n">
        <f aca="false">IF($P1552=0,0,IF($O1552&lt;=INDEX(PARAMETROS_CULTURAS!$F$6:$F$28,$P1552),INDEX(PARAMETROS_CULTURAS!$K$6:$K$28,$P1552),IF($O1552&lt;=INDEX(PARAMETROS_CULTURAS!$F$6:$F$28,$P1552)+INDEX(PARAMETROS_CULTURAS!$G$6:$G$28,$P1552),INDEX(PARAMETROS_CULTURAS!$K$6:$K$28,$P1552)+(INDEX(PARAMETROS_CULTURAS!$L$6:$L$28,$P1552)-INDEX(PARAMETROS_CULTURAS!$K$6:$K$28,$P1552))*($O1552-INDEX(PARAMETROS_CULTURAS!$F$6:$F$28,$P1552))/MAX(INDEX(PARAMETROS_CULTURAS!$G$6:$G$28,$P1552),0.0001),IF($O1552&lt;=INDEX(PARAMETROS_CULTURAS!$F$6:$F$28,$P1552)+INDEX(PARAMETROS_CULTURAS!$G$6:$G$28,$P1552)+INDEX(PARAMETROS_CULTURAS!$H$6:$H$28,$P1552),INDEX(PARAMETROS_CULTURAS!$L$6:$L$28,$P1552),INDEX(PARAMETROS_CULTURAS!$L$6:$L$28,$P1552)+(INDEX(PARAMETROS_CULTURAS!$M$6:$M$28,$P1552)-INDEX(PARAMETROS_CULTURAS!$L$6:$L$28,$P1552))*($O1552-INDEX(PARAMETROS_CULTURAS!$F$6:$F$28,$P1552)-INDEX(PARAMETROS_CULTURAS!$G$6:$G$28,$P1552)-INDEX(PARAMETROS_CULTURAS!$H$6:$H$28,$P1552))/MAX(INDEX(PARAMETROS_CULTURAS!$I$6:$I$28,$P1552),0.0001)))))</f>
        <v>0.978472222222222</v>
      </c>
      <c r="S1552" s="18" t="n">
        <f aca="false">IFERROR(INDEX(SEMANAS!$H$6:$H$71,MATCH($B1552,SEMANAS!$B$6:$B$71,0)),0)</f>
        <v>32.2</v>
      </c>
      <c r="T1552" s="18" t="n">
        <f aca="false">$R1552*$S1552</f>
        <v>31.5068055555556</v>
      </c>
      <c r="U1552" s="18" t="n">
        <f aca="false">IFERROR(INDEX(SEMANAS!$I$6:$I$71,MATCH($B1552,SEMANAS!$B$6:$B$71,0)),0)</f>
        <v>37.24</v>
      </c>
      <c r="V1552" s="18" t="n">
        <f aca="false">IFERROR(INDEX(SEMANAS!$J$6:$J$71,MATCH($B1552,SEMANAS!$B$6:$B$71,0)),0)</f>
        <v>29.792</v>
      </c>
      <c r="W1552" s="18" t="n">
        <f aca="false">MAX(0,$T1552-$V1552)</f>
        <v>1.71480555555555</v>
      </c>
      <c r="X1552" s="19" t="n">
        <f aca="false">IFERROR(INDEX(CADASTRO_PIVOS!$K$6:$K$41,MATCH($E1552,CADASTRO_PIVOS!$B$6:$B$41,0)),EFICIENCIA_PADRAO)</f>
        <v>0.85</v>
      </c>
      <c r="Y1552" s="18" t="n">
        <f aca="false">IF($X1552&lt;=0,0,$W1552/$X1552)</f>
        <v>2.01741830065359</v>
      </c>
      <c r="Z1552" s="16" t="n">
        <f aca="false">$Y1552*$H1552*MM_PARA_M3_HA</f>
        <v>2938.77323856208</v>
      </c>
      <c r="AA1552" s="18" t="n">
        <f aca="false">IFERROR(INDEX(CADASTRO_PIVOS!$I$6:$I$41,MATCH($E1552,CADASTRO_PIVOS!$B$6:$B$41,0)),0)</f>
        <v>971.133333333333</v>
      </c>
      <c r="AB1552" s="18" t="n">
        <f aca="false">IF($Z1552&lt;=0,0,$Z1552/$AA1552)</f>
        <v>3.02612745098038</v>
      </c>
      <c r="AC1552" s="16" t="n">
        <f aca="false">IFERROR(INDEX(SEMANAS!$K$6:$K$71,MATCH($B1552,SEMANAS!$B$6:$B$71,0)),0)</f>
        <v>147</v>
      </c>
      <c r="AD1552" s="19" t="n">
        <f aca="false">IF($AC1552&lt;=0,0,$AB1552/$AC1552)</f>
        <v>0.0205859010270774</v>
      </c>
      <c r="AE1552" s="8" t="str">
        <f aca="false">IF($K1552="SEM CULTURA","SEM CULTURA",IF($AA1552&lt;=0,"DADO PENDENTE",IF($AD1552&gt;LIMITE_CRITICO,"INVIAVEL",IF($AD1552&gt;LIMITE_ATENCAO,"CRITICO",IF($AD1552&gt;LIMITE_CONFORTAVEL,"ATENCAO","OK")))))</f>
        <v>OK</v>
      </c>
      <c r="AF1552" s="8" t="str">
        <f aca="false">$B1552&amp;"|"&amp;TEXT($AD1552,"0.000000")</f>
        <v>29|0.020586</v>
      </c>
      <c r="AG1552" s="18" t="n">
        <f aca="false">IF($K1552="SEM CULTURA",0,$T1552*$H1552)</f>
        <v>4589.59636527778</v>
      </c>
      <c r="AH1552" s="18" t="n">
        <f aca="false">IF($K1552="SEM CULTURA",0,$V1552*$H1552)</f>
        <v>4339.80064</v>
      </c>
      <c r="AI1552" s="18" t="n">
        <f aca="false">IF($K1552="SEM CULTURA",0,$W1552*$H1552)</f>
        <v>249.795725277777</v>
      </c>
      <c r="AJ1552" s="18" t="n">
        <f aca="false">IF($K1552="SEM CULTURA",0,$S1552*$H1552)</f>
        <v>4690.574</v>
      </c>
      <c r="AK1552" s="8" t="str">
        <f aca="false">$E1552&amp;"|"&amp;TEXT($AD1552,"0.000000")</f>
        <v>PV 120|0.020586</v>
      </c>
    </row>
    <row r="1553" customFormat="false" ht="15" hidden="false" customHeight="false" outlineLevel="0" collapsed="false">
      <c r="B1553" s="16" t="n">
        <v>30</v>
      </c>
      <c r="C1553" s="17" t="n">
        <f aca="false">DATA_INICIO_SAFRA+($B1553-1)*DIAS_POR_SEMANA</f>
        <v>46468</v>
      </c>
      <c r="D1553" s="17" t="n">
        <f aca="false">$C1553+DIAS_POR_SEMANA-1</f>
        <v>46474</v>
      </c>
      <c r="E1553" s="15" t="s">
        <v>282</v>
      </c>
      <c r="F1553" s="8" t="str">
        <f aca="false">IFERROR(INDEX(CADASTRO_PIVOS!$C$6:$C$41,MATCH($E1553,CADASTRO_PIVOS!$B$6:$B$41,0)),"?")</f>
        <v>RM07</v>
      </c>
      <c r="G1553" s="8" t="str">
        <f aca="false">IFERROR(INDEX(CADASTRO_PIVOS!$D$6:$D$41,MATCH($E1553,CADASTRO_PIVOS!$B$6:$B$41,0)),"?")</f>
        <v>TR07</v>
      </c>
      <c r="H1553" s="20" t="n">
        <f aca="false">IFERROR(INDEX(CADASTRO_PIVOS!$E$6:$E$41,MATCH($E1553,CADASTRO_PIVOS!$B$6:$B$41,0)),0)</f>
        <v>145.67</v>
      </c>
      <c r="I1553" s="16" t="n">
        <f aca="false">IFERROR(SUMIFS(ROTACAO_RDM!$B$6:$B$71,ROTACAO_RDM!$D$6:$D$71,$E1553,ROTACAO_RDM!$I$6:$I$71,"&lt;="&amp;$C1553+INT(DIAS_POR_SEMANA/2),ROTACAO_RDM!$J$6:$J$71,"&gt;="&amp;$C1553+INT(DIAS_POR_SEMANA/2)),0)</f>
        <v>34</v>
      </c>
      <c r="J1553" s="16" t="n">
        <f aca="false">IFERROR(MATCH($I1553,ROTACAO_RDM!$B$6:$B$71,0),0)</f>
        <v>34</v>
      </c>
      <c r="K1553" s="8" t="str">
        <f aca="false">IF($J1553=0,"SEM CULTURA",INDEX(ROTACAO_RDM!$F$6:$F$71,$J1553))</f>
        <v>TABACO</v>
      </c>
      <c r="L1553" s="8" t="str">
        <f aca="false">IF($J1553=0,"",INDEX(ROTACAO_RDM!$G$6:$G$71,$J1553))</f>
        <v>PVH-2343</v>
      </c>
      <c r="M1553" s="17" t="n">
        <f aca="false">IF($J1553=0,"",INDEX(ROTACAO_RDM!$I$6:$I$71,$J1553))</f>
        <v>46399</v>
      </c>
      <c r="N1553" s="16" t="n">
        <f aca="false">IF($J1553=0,0,MAX(0,$C1553+INT(DIAS_POR_SEMANA/2)-INDEX(ROTACAO_RDM!$I$6:$I$71,$J1553)))</f>
        <v>72</v>
      </c>
      <c r="O1553" s="19" t="n">
        <f aca="false">IF($J1553=0,0,MIN(1,$N1553/MAX(1,INDEX(ROTACAO_RDM!$K$6:$K$71,$J1553))))</f>
        <v>0.45</v>
      </c>
      <c r="P1553" s="16" t="n">
        <f aca="false">IF($J1553=0,0,IFERROR(MATCH(INDEX(ROTACAO_RDM!$N$6:$N$71,$J1553),PARAMETROS_CULTURAS!$B$6:$B$28,0),0))</f>
        <v>9</v>
      </c>
      <c r="Q1553" s="8" t="str">
        <f aca="false">IF($P1553=0,"-",IF($O1553&lt;=INDEX(PARAMETROS_CULTURAS!$F$6:$F$28,$P1553),"INICIAL",IF($O1553&lt;=INDEX(PARAMETROS_CULTURAS!$F$6:$F$28,$P1553)+INDEX(PARAMETROS_CULTURAS!$G$6:$G$28,$P1553),"DESENVOLVIMENTO",IF($O1553&lt;=INDEX(PARAMETROS_CULTURAS!$F$6:$F$28,$P1553)+INDEX(PARAMETROS_CULTURAS!$G$6:$G$28,$P1553)+INDEX(PARAMETROS_CULTURAS!$H$6:$H$28,$P1553),"MEDIA","FINAL"))))</f>
        <v>DESENVOLVIMENTO</v>
      </c>
      <c r="R1553" s="24" t="n">
        <f aca="false">IF($P1553=0,0,IF($O1553&lt;=INDEX(PARAMETROS_CULTURAS!$F$6:$F$28,$P1553),INDEX(PARAMETROS_CULTURAS!$K$6:$K$28,$P1553),IF($O1553&lt;=INDEX(PARAMETROS_CULTURAS!$F$6:$F$28,$P1553)+INDEX(PARAMETROS_CULTURAS!$G$6:$G$28,$P1553),INDEX(PARAMETROS_CULTURAS!$K$6:$K$28,$P1553)+(INDEX(PARAMETROS_CULTURAS!$L$6:$L$28,$P1553)-INDEX(PARAMETROS_CULTURAS!$K$6:$K$28,$P1553))*($O1553-INDEX(PARAMETROS_CULTURAS!$F$6:$F$28,$P1553))/MAX(INDEX(PARAMETROS_CULTURAS!$G$6:$G$28,$P1553),0.0001),IF($O1553&lt;=INDEX(PARAMETROS_CULTURAS!$F$6:$F$28,$P1553)+INDEX(PARAMETROS_CULTURAS!$G$6:$G$28,$P1553)+INDEX(PARAMETROS_CULTURAS!$H$6:$H$28,$P1553),INDEX(PARAMETROS_CULTURAS!$L$6:$L$28,$P1553),INDEX(PARAMETROS_CULTURAS!$L$6:$L$28,$P1553)+(INDEX(PARAMETROS_CULTURAS!$M$6:$M$28,$P1553)-INDEX(PARAMETROS_CULTURAS!$L$6:$L$28,$P1553))*($O1553-INDEX(PARAMETROS_CULTURAS!$F$6:$F$28,$P1553)-INDEX(PARAMETROS_CULTURAS!$G$6:$G$28,$P1553)-INDEX(PARAMETROS_CULTURAS!$H$6:$H$28,$P1553))/MAX(INDEX(PARAMETROS_CULTURAS!$I$6:$I$28,$P1553),0.0001)))))</f>
        <v>1.1</v>
      </c>
      <c r="S1553" s="18" t="n">
        <f aca="false">IFERROR(INDEX(SEMANAS!$H$6:$H$71,MATCH($B1553,SEMANAS!$B$6:$B$71,0)),0)</f>
        <v>32.2</v>
      </c>
      <c r="T1553" s="18" t="n">
        <f aca="false">$R1553*$S1553</f>
        <v>35.42</v>
      </c>
      <c r="U1553" s="18" t="n">
        <f aca="false">IFERROR(INDEX(SEMANAS!$I$6:$I$71,MATCH($B1553,SEMANAS!$B$6:$B$71,0)),0)</f>
        <v>37.24</v>
      </c>
      <c r="V1553" s="18" t="n">
        <f aca="false">IFERROR(INDEX(SEMANAS!$J$6:$J$71,MATCH($B1553,SEMANAS!$B$6:$B$71,0)),0)</f>
        <v>29.792</v>
      </c>
      <c r="W1553" s="18" t="n">
        <f aca="false">MAX(0,$T1553-$V1553)</f>
        <v>5.628</v>
      </c>
      <c r="X1553" s="19" t="n">
        <f aca="false">IFERROR(INDEX(CADASTRO_PIVOS!$K$6:$K$41,MATCH($E1553,CADASTRO_PIVOS!$B$6:$B$41,0)),EFICIENCIA_PADRAO)</f>
        <v>0.85</v>
      </c>
      <c r="Y1553" s="18" t="n">
        <f aca="false">IF($X1553&lt;=0,0,$W1553/$X1553)</f>
        <v>6.62117647058824</v>
      </c>
      <c r="Z1553" s="16" t="n">
        <f aca="false">$Y1553*$H1553*MM_PARA_M3_HA</f>
        <v>9645.06776470588</v>
      </c>
      <c r="AA1553" s="18" t="n">
        <f aca="false">IFERROR(INDEX(CADASTRO_PIVOS!$I$6:$I$41,MATCH($E1553,CADASTRO_PIVOS!$B$6:$B$41,0)),0)</f>
        <v>971.133333333333</v>
      </c>
      <c r="AB1553" s="18" t="n">
        <f aca="false">IF($Z1553&lt;=0,0,$Z1553/$AA1553)</f>
        <v>9.93176470588235</v>
      </c>
      <c r="AC1553" s="16" t="n">
        <f aca="false">IFERROR(INDEX(SEMANAS!$K$6:$K$71,MATCH($B1553,SEMANAS!$B$6:$B$71,0)),0)</f>
        <v>147</v>
      </c>
      <c r="AD1553" s="19" t="n">
        <f aca="false">IF($AC1553&lt;=0,0,$AB1553/$AC1553)</f>
        <v>0.067563025210084</v>
      </c>
      <c r="AE1553" s="8" t="str">
        <f aca="false">IF($K1553="SEM CULTURA","SEM CULTURA",IF($AA1553&lt;=0,"DADO PENDENTE",IF($AD1553&gt;LIMITE_CRITICO,"INVIAVEL",IF($AD1553&gt;LIMITE_ATENCAO,"CRITICO",IF($AD1553&gt;LIMITE_CONFORTAVEL,"ATENCAO","OK")))))</f>
        <v>OK</v>
      </c>
      <c r="AF1553" s="8" t="str">
        <f aca="false">$B1553&amp;"|"&amp;TEXT($AD1553,"0.000000")</f>
        <v>30|0.067563</v>
      </c>
      <c r="AG1553" s="18" t="n">
        <f aca="false">IF($K1553="SEM CULTURA",0,$T1553*$H1553)</f>
        <v>5159.6314</v>
      </c>
      <c r="AH1553" s="18" t="n">
        <f aca="false">IF($K1553="SEM CULTURA",0,$V1553*$H1553)</f>
        <v>4339.80064</v>
      </c>
      <c r="AI1553" s="18" t="n">
        <f aca="false">IF($K1553="SEM CULTURA",0,$W1553*$H1553)</f>
        <v>819.83076</v>
      </c>
      <c r="AJ1553" s="18" t="n">
        <f aca="false">IF($K1553="SEM CULTURA",0,$S1553*$H1553)</f>
        <v>4690.574</v>
      </c>
      <c r="AK1553" s="8" t="str">
        <f aca="false">$E1553&amp;"|"&amp;TEXT($AD1553,"0.000000")</f>
        <v>PV 120|0.067563</v>
      </c>
    </row>
    <row r="1554" customFormat="false" ht="15" hidden="false" customHeight="false" outlineLevel="0" collapsed="false">
      <c r="B1554" s="16" t="n">
        <v>31</v>
      </c>
      <c r="C1554" s="17" t="n">
        <f aca="false">DATA_INICIO_SAFRA+($B1554-1)*DIAS_POR_SEMANA</f>
        <v>46475</v>
      </c>
      <c r="D1554" s="17" t="n">
        <f aca="false">$C1554+DIAS_POR_SEMANA-1</f>
        <v>46481</v>
      </c>
      <c r="E1554" s="15" t="s">
        <v>282</v>
      </c>
      <c r="F1554" s="8" t="str">
        <f aca="false">IFERROR(INDEX(CADASTRO_PIVOS!$C$6:$C$41,MATCH($E1554,CADASTRO_PIVOS!$B$6:$B$41,0)),"?")</f>
        <v>RM07</v>
      </c>
      <c r="G1554" s="8" t="str">
        <f aca="false">IFERROR(INDEX(CADASTRO_PIVOS!$D$6:$D$41,MATCH($E1554,CADASTRO_PIVOS!$B$6:$B$41,0)),"?")</f>
        <v>TR07</v>
      </c>
      <c r="H1554" s="20" t="n">
        <f aca="false">IFERROR(INDEX(CADASTRO_PIVOS!$E$6:$E$41,MATCH($E1554,CADASTRO_PIVOS!$B$6:$B$41,0)),0)</f>
        <v>145.67</v>
      </c>
      <c r="I1554" s="16" t="n">
        <f aca="false">IFERROR(SUMIFS(ROTACAO_RDM!$B$6:$B$71,ROTACAO_RDM!$D$6:$D$71,$E1554,ROTACAO_RDM!$I$6:$I$71,"&lt;="&amp;$C1554+INT(DIAS_POR_SEMANA/2),ROTACAO_RDM!$J$6:$J$71,"&gt;="&amp;$C1554+INT(DIAS_POR_SEMANA/2)),0)</f>
        <v>34</v>
      </c>
      <c r="J1554" s="16" t="n">
        <f aca="false">IFERROR(MATCH($I1554,ROTACAO_RDM!$B$6:$B$71,0),0)</f>
        <v>34</v>
      </c>
      <c r="K1554" s="8" t="str">
        <f aca="false">IF($J1554=0,"SEM CULTURA",INDEX(ROTACAO_RDM!$F$6:$F$71,$J1554))</f>
        <v>TABACO</v>
      </c>
      <c r="L1554" s="8" t="str">
        <f aca="false">IF($J1554=0,"",INDEX(ROTACAO_RDM!$G$6:$G$71,$J1554))</f>
        <v>PVH-2343</v>
      </c>
      <c r="M1554" s="17" t="n">
        <f aca="false">IF($J1554=0,"",INDEX(ROTACAO_RDM!$I$6:$I$71,$J1554))</f>
        <v>46399</v>
      </c>
      <c r="N1554" s="16" t="n">
        <f aca="false">IF($J1554=0,0,MAX(0,$C1554+INT(DIAS_POR_SEMANA/2)-INDEX(ROTACAO_RDM!$I$6:$I$71,$J1554)))</f>
        <v>79</v>
      </c>
      <c r="O1554" s="19" t="n">
        <f aca="false">IF($J1554=0,0,MIN(1,$N1554/MAX(1,INDEX(ROTACAO_RDM!$K$6:$K$71,$J1554))))</f>
        <v>0.49375</v>
      </c>
      <c r="P1554" s="16" t="n">
        <f aca="false">IF($J1554=0,0,IFERROR(MATCH(INDEX(ROTACAO_RDM!$N$6:$N$71,$J1554),PARAMETROS_CULTURAS!$B$6:$B$28,0),0))</f>
        <v>9</v>
      </c>
      <c r="Q1554" s="8" t="str">
        <f aca="false">IF($P1554=0,"-",IF($O1554&lt;=INDEX(PARAMETROS_CULTURAS!$F$6:$F$28,$P1554),"INICIAL",IF($O1554&lt;=INDEX(PARAMETROS_CULTURAS!$F$6:$F$28,$P1554)+INDEX(PARAMETROS_CULTURAS!$G$6:$G$28,$P1554),"DESENVOLVIMENTO",IF($O1554&lt;=INDEX(PARAMETROS_CULTURAS!$F$6:$F$28,$P1554)+INDEX(PARAMETROS_CULTURAS!$G$6:$G$28,$P1554)+INDEX(PARAMETROS_CULTURAS!$H$6:$H$28,$P1554),"MEDIA","FINAL"))))</f>
        <v>MEDIA</v>
      </c>
      <c r="R1554" s="24" t="n">
        <f aca="false">IF($P1554=0,0,IF($O1554&lt;=INDEX(PARAMETROS_CULTURAS!$F$6:$F$28,$P1554),INDEX(PARAMETROS_CULTURAS!$K$6:$K$28,$P1554),IF($O1554&lt;=INDEX(PARAMETROS_CULTURAS!$F$6:$F$28,$P1554)+INDEX(PARAMETROS_CULTURAS!$G$6:$G$28,$P1554),INDEX(PARAMETROS_CULTURAS!$K$6:$K$28,$P1554)+(INDEX(PARAMETROS_CULTURAS!$L$6:$L$28,$P1554)-INDEX(PARAMETROS_CULTURAS!$K$6:$K$28,$P1554))*($O1554-INDEX(PARAMETROS_CULTURAS!$F$6:$F$28,$P1554))/MAX(INDEX(PARAMETROS_CULTURAS!$G$6:$G$28,$P1554),0.0001),IF($O1554&lt;=INDEX(PARAMETROS_CULTURAS!$F$6:$F$28,$P1554)+INDEX(PARAMETROS_CULTURAS!$G$6:$G$28,$P1554)+INDEX(PARAMETROS_CULTURAS!$H$6:$H$28,$P1554),INDEX(PARAMETROS_CULTURAS!$L$6:$L$28,$P1554),INDEX(PARAMETROS_CULTURAS!$L$6:$L$28,$P1554)+(INDEX(PARAMETROS_CULTURAS!$M$6:$M$28,$P1554)-INDEX(PARAMETROS_CULTURAS!$L$6:$L$28,$P1554))*($O1554-INDEX(PARAMETROS_CULTURAS!$F$6:$F$28,$P1554)-INDEX(PARAMETROS_CULTURAS!$G$6:$G$28,$P1554)-INDEX(PARAMETROS_CULTURAS!$H$6:$H$28,$P1554))/MAX(INDEX(PARAMETROS_CULTURAS!$I$6:$I$28,$P1554),0.0001)))))</f>
        <v>1.1</v>
      </c>
      <c r="S1554" s="18" t="n">
        <f aca="false">IFERROR(INDEX(SEMANAS!$H$6:$H$71,MATCH($B1554,SEMANAS!$B$6:$B$71,0)),0)</f>
        <v>31.8</v>
      </c>
      <c r="T1554" s="18" t="n">
        <f aca="false">$R1554*$S1554</f>
        <v>34.98</v>
      </c>
      <c r="U1554" s="18" t="n">
        <f aca="false">IFERROR(INDEX(SEMANAS!$I$6:$I$71,MATCH($B1554,SEMANAS!$B$6:$B$71,0)),0)</f>
        <v>25.28</v>
      </c>
      <c r="V1554" s="18" t="n">
        <f aca="false">IFERROR(INDEX(SEMANAS!$J$6:$J$71,MATCH($B1554,SEMANAS!$B$6:$B$71,0)),0)</f>
        <v>20.224</v>
      </c>
      <c r="W1554" s="18" t="n">
        <f aca="false">MAX(0,$T1554-$V1554)</f>
        <v>14.756</v>
      </c>
      <c r="X1554" s="19" t="n">
        <f aca="false">IFERROR(INDEX(CADASTRO_PIVOS!$K$6:$K$41,MATCH($E1554,CADASTRO_PIVOS!$B$6:$B$41,0)),EFICIENCIA_PADRAO)</f>
        <v>0.85</v>
      </c>
      <c r="Y1554" s="18" t="n">
        <f aca="false">IF($X1554&lt;=0,0,$W1554/$X1554)</f>
        <v>17.36</v>
      </c>
      <c r="Z1554" s="16" t="n">
        <f aca="false">$Y1554*$H1554*MM_PARA_M3_HA</f>
        <v>25288.312</v>
      </c>
      <c r="AA1554" s="18" t="n">
        <f aca="false">IFERROR(INDEX(CADASTRO_PIVOS!$I$6:$I$41,MATCH($E1554,CADASTRO_PIVOS!$B$6:$B$41,0)),0)</f>
        <v>971.133333333333</v>
      </c>
      <c r="AB1554" s="18" t="n">
        <f aca="false">IF($Z1554&lt;=0,0,$Z1554/$AA1554)</f>
        <v>26.04</v>
      </c>
      <c r="AC1554" s="16" t="n">
        <f aca="false">IFERROR(INDEX(SEMANAS!$K$6:$K$71,MATCH($B1554,SEMANAS!$B$6:$B$71,0)),0)</f>
        <v>147</v>
      </c>
      <c r="AD1554" s="19" t="n">
        <f aca="false">IF($AC1554&lt;=0,0,$AB1554/$AC1554)</f>
        <v>0.177142857142857</v>
      </c>
      <c r="AE1554" s="8" t="str">
        <f aca="false">IF($K1554="SEM CULTURA","SEM CULTURA",IF($AA1554&lt;=0,"DADO PENDENTE",IF($AD1554&gt;LIMITE_CRITICO,"INVIAVEL",IF($AD1554&gt;LIMITE_ATENCAO,"CRITICO",IF($AD1554&gt;LIMITE_CONFORTAVEL,"ATENCAO","OK")))))</f>
        <v>OK</v>
      </c>
      <c r="AF1554" s="8" t="str">
        <f aca="false">$B1554&amp;"|"&amp;TEXT($AD1554,"0.000000")</f>
        <v>31|0.177143</v>
      </c>
      <c r="AG1554" s="18" t="n">
        <f aca="false">IF($K1554="SEM CULTURA",0,$T1554*$H1554)</f>
        <v>5095.5366</v>
      </c>
      <c r="AH1554" s="18" t="n">
        <f aca="false">IF($K1554="SEM CULTURA",0,$V1554*$H1554)</f>
        <v>2946.03008</v>
      </c>
      <c r="AI1554" s="18" t="n">
        <f aca="false">IF($K1554="SEM CULTURA",0,$W1554*$H1554)</f>
        <v>2149.50652</v>
      </c>
      <c r="AJ1554" s="18" t="n">
        <f aca="false">IF($K1554="SEM CULTURA",0,$S1554*$H1554)</f>
        <v>4632.306</v>
      </c>
      <c r="AK1554" s="8" t="str">
        <f aca="false">$E1554&amp;"|"&amp;TEXT($AD1554,"0.000000")</f>
        <v>PV 120|0.177143</v>
      </c>
    </row>
    <row r="1555" customFormat="false" ht="15" hidden="false" customHeight="false" outlineLevel="0" collapsed="false">
      <c r="B1555" s="16" t="n">
        <v>32</v>
      </c>
      <c r="C1555" s="17" t="n">
        <f aca="false">DATA_INICIO_SAFRA+($B1555-1)*DIAS_POR_SEMANA</f>
        <v>46482</v>
      </c>
      <c r="D1555" s="17" t="n">
        <f aca="false">$C1555+DIAS_POR_SEMANA-1</f>
        <v>46488</v>
      </c>
      <c r="E1555" s="15" t="s">
        <v>282</v>
      </c>
      <c r="F1555" s="8" t="str">
        <f aca="false">IFERROR(INDEX(CADASTRO_PIVOS!$C$6:$C$41,MATCH($E1555,CADASTRO_PIVOS!$B$6:$B$41,0)),"?")</f>
        <v>RM07</v>
      </c>
      <c r="G1555" s="8" t="str">
        <f aca="false">IFERROR(INDEX(CADASTRO_PIVOS!$D$6:$D$41,MATCH($E1555,CADASTRO_PIVOS!$B$6:$B$41,0)),"?")</f>
        <v>TR07</v>
      </c>
      <c r="H1555" s="20" t="n">
        <f aca="false">IFERROR(INDEX(CADASTRO_PIVOS!$E$6:$E$41,MATCH($E1555,CADASTRO_PIVOS!$B$6:$B$41,0)),0)</f>
        <v>145.67</v>
      </c>
      <c r="I1555" s="16" t="n">
        <f aca="false">IFERROR(SUMIFS(ROTACAO_RDM!$B$6:$B$71,ROTACAO_RDM!$D$6:$D$71,$E1555,ROTACAO_RDM!$I$6:$I$71,"&lt;="&amp;$C1555+INT(DIAS_POR_SEMANA/2),ROTACAO_RDM!$J$6:$J$71,"&gt;="&amp;$C1555+INT(DIAS_POR_SEMANA/2)),0)</f>
        <v>34</v>
      </c>
      <c r="J1555" s="16" t="n">
        <f aca="false">IFERROR(MATCH($I1555,ROTACAO_RDM!$B$6:$B$71,0),0)</f>
        <v>34</v>
      </c>
      <c r="K1555" s="8" t="str">
        <f aca="false">IF($J1555=0,"SEM CULTURA",INDEX(ROTACAO_RDM!$F$6:$F$71,$J1555))</f>
        <v>TABACO</v>
      </c>
      <c r="L1555" s="8" t="str">
        <f aca="false">IF($J1555=0,"",INDEX(ROTACAO_RDM!$G$6:$G$71,$J1555))</f>
        <v>PVH-2343</v>
      </c>
      <c r="M1555" s="17" t="n">
        <f aca="false">IF($J1555=0,"",INDEX(ROTACAO_RDM!$I$6:$I$71,$J1555))</f>
        <v>46399</v>
      </c>
      <c r="N1555" s="16" t="n">
        <f aca="false">IF($J1555=0,0,MAX(0,$C1555+INT(DIAS_POR_SEMANA/2)-INDEX(ROTACAO_RDM!$I$6:$I$71,$J1555)))</f>
        <v>86</v>
      </c>
      <c r="O1555" s="19" t="n">
        <f aca="false">IF($J1555=0,0,MIN(1,$N1555/MAX(1,INDEX(ROTACAO_RDM!$K$6:$K$71,$J1555))))</f>
        <v>0.5375</v>
      </c>
      <c r="P1555" s="16" t="n">
        <f aca="false">IF($J1555=0,0,IFERROR(MATCH(INDEX(ROTACAO_RDM!$N$6:$N$71,$J1555),PARAMETROS_CULTURAS!$B$6:$B$28,0),0))</f>
        <v>9</v>
      </c>
      <c r="Q1555" s="8" t="str">
        <f aca="false">IF($P1555=0,"-",IF($O1555&lt;=INDEX(PARAMETROS_CULTURAS!$F$6:$F$28,$P1555),"INICIAL",IF($O1555&lt;=INDEX(PARAMETROS_CULTURAS!$F$6:$F$28,$P1555)+INDEX(PARAMETROS_CULTURAS!$G$6:$G$28,$P1555),"DESENVOLVIMENTO",IF($O1555&lt;=INDEX(PARAMETROS_CULTURAS!$F$6:$F$28,$P1555)+INDEX(PARAMETROS_CULTURAS!$G$6:$G$28,$P1555)+INDEX(PARAMETROS_CULTURAS!$H$6:$H$28,$P1555),"MEDIA","FINAL"))))</f>
        <v>MEDIA</v>
      </c>
      <c r="R1555" s="24" t="n">
        <f aca="false">IF($P1555=0,0,IF($O1555&lt;=INDEX(PARAMETROS_CULTURAS!$F$6:$F$28,$P1555),INDEX(PARAMETROS_CULTURAS!$K$6:$K$28,$P1555),IF($O1555&lt;=INDEX(PARAMETROS_CULTURAS!$F$6:$F$28,$P1555)+INDEX(PARAMETROS_CULTURAS!$G$6:$G$28,$P1555),INDEX(PARAMETROS_CULTURAS!$K$6:$K$28,$P1555)+(INDEX(PARAMETROS_CULTURAS!$L$6:$L$28,$P1555)-INDEX(PARAMETROS_CULTURAS!$K$6:$K$28,$P1555))*($O1555-INDEX(PARAMETROS_CULTURAS!$F$6:$F$28,$P1555))/MAX(INDEX(PARAMETROS_CULTURAS!$G$6:$G$28,$P1555),0.0001),IF($O1555&lt;=INDEX(PARAMETROS_CULTURAS!$F$6:$F$28,$P1555)+INDEX(PARAMETROS_CULTURAS!$G$6:$G$28,$P1555)+INDEX(PARAMETROS_CULTURAS!$H$6:$H$28,$P1555),INDEX(PARAMETROS_CULTURAS!$L$6:$L$28,$P1555),INDEX(PARAMETROS_CULTURAS!$L$6:$L$28,$P1555)+(INDEX(PARAMETROS_CULTURAS!$M$6:$M$28,$P1555)-INDEX(PARAMETROS_CULTURAS!$L$6:$L$28,$P1555))*($O1555-INDEX(PARAMETROS_CULTURAS!$F$6:$F$28,$P1555)-INDEX(PARAMETROS_CULTURAS!$G$6:$G$28,$P1555)-INDEX(PARAMETROS_CULTURAS!$H$6:$H$28,$P1555))/MAX(INDEX(PARAMETROS_CULTURAS!$I$6:$I$28,$P1555),0.0001)))))</f>
        <v>1.1</v>
      </c>
      <c r="S1555" s="18" t="n">
        <f aca="false">IFERROR(INDEX(SEMANAS!$H$6:$H$71,MATCH($B1555,SEMANAS!$B$6:$B$71,0)),0)</f>
        <v>31.5</v>
      </c>
      <c r="T1555" s="18" t="n">
        <f aca="false">$R1555*$S1555</f>
        <v>34.65</v>
      </c>
      <c r="U1555" s="18" t="n">
        <f aca="false">IFERROR(INDEX(SEMANAS!$I$6:$I$71,MATCH($B1555,SEMANAS!$B$6:$B$71,0)),0)</f>
        <v>16.31</v>
      </c>
      <c r="V1555" s="18" t="n">
        <f aca="false">IFERROR(INDEX(SEMANAS!$J$6:$J$71,MATCH($B1555,SEMANAS!$B$6:$B$71,0)),0)</f>
        <v>13.048</v>
      </c>
      <c r="W1555" s="18" t="n">
        <f aca="false">MAX(0,$T1555-$V1555)</f>
        <v>21.602</v>
      </c>
      <c r="X1555" s="19" t="n">
        <f aca="false">IFERROR(INDEX(CADASTRO_PIVOS!$K$6:$K$41,MATCH($E1555,CADASTRO_PIVOS!$B$6:$B$41,0)),EFICIENCIA_PADRAO)</f>
        <v>0.85</v>
      </c>
      <c r="Y1555" s="18" t="n">
        <f aca="false">IF($X1555&lt;=0,0,$W1555/$X1555)</f>
        <v>25.4141176470588</v>
      </c>
      <c r="Z1555" s="16" t="n">
        <f aca="false">$Y1555*$H1555*MM_PARA_M3_HA</f>
        <v>37020.7451764706</v>
      </c>
      <c r="AA1555" s="18" t="n">
        <f aca="false">IFERROR(INDEX(CADASTRO_PIVOS!$I$6:$I$41,MATCH($E1555,CADASTRO_PIVOS!$B$6:$B$41,0)),0)</f>
        <v>971.133333333333</v>
      </c>
      <c r="AB1555" s="18" t="n">
        <f aca="false">IF($Z1555&lt;=0,0,$Z1555/$AA1555)</f>
        <v>38.1211764705882</v>
      </c>
      <c r="AC1555" s="16" t="n">
        <f aca="false">IFERROR(INDEX(SEMANAS!$K$6:$K$71,MATCH($B1555,SEMANAS!$B$6:$B$71,0)),0)</f>
        <v>147</v>
      </c>
      <c r="AD1555" s="19" t="n">
        <f aca="false">IF($AC1555&lt;=0,0,$AB1555/$AC1555)</f>
        <v>0.259327731092437</v>
      </c>
      <c r="AE1555" s="8" t="str">
        <f aca="false">IF($K1555="SEM CULTURA","SEM CULTURA",IF($AA1555&lt;=0,"DADO PENDENTE",IF($AD1555&gt;LIMITE_CRITICO,"INVIAVEL",IF($AD1555&gt;LIMITE_ATENCAO,"CRITICO",IF($AD1555&gt;LIMITE_CONFORTAVEL,"ATENCAO","OK")))))</f>
        <v>OK</v>
      </c>
      <c r="AF1555" s="8" t="str">
        <f aca="false">$B1555&amp;"|"&amp;TEXT($AD1555,"0.000000")</f>
        <v>32|0.259328</v>
      </c>
      <c r="AG1555" s="18" t="n">
        <f aca="false">IF($K1555="SEM CULTURA",0,$T1555*$H1555)</f>
        <v>5047.4655</v>
      </c>
      <c r="AH1555" s="18" t="n">
        <f aca="false">IF($K1555="SEM CULTURA",0,$V1555*$H1555)</f>
        <v>1900.70216</v>
      </c>
      <c r="AI1555" s="18" t="n">
        <f aca="false">IF($K1555="SEM CULTURA",0,$W1555*$H1555)</f>
        <v>3146.76334</v>
      </c>
      <c r="AJ1555" s="18" t="n">
        <f aca="false">IF($K1555="SEM CULTURA",0,$S1555*$H1555)</f>
        <v>4588.605</v>
      </c>
      <c r="AK1555" s="8" t="str">
        <f aca="false">$E1555&amp;"|"&amp;TEXT($AD1555,"0.000000")</f>
        <v>PV 120|0.259328</v>
      </c>
    </row>
    <row r="1556" customFormat="false" ht="15" hidden="false" customHeight="false" outlineLevel="0" collapsed="false">
      <c r="B1556" s="16" t="n">
        <v>33</v>
      </c>
      <c r="C1556" s="17" t="n">
        <f aca="false">DATA_INICIO_SAFRA+($B1556-1)*DIAS_POR_SEMANA</f>
        <v>46489</v>
      </c>
      <c r="D1556" s="17" t="n">
        <f aca="false">$C1556+DIAS_POR_SEMANA-1</f>
        <v>46495</v>
      </c>
      <c r="E1556" s="15" t="s">
        <v>282</v>
      </c>
      <c r="F1556" s="8" t="str">
        <f aca="false">IFERROR(INDEX(CADASTRO_PIVOS!$C$6:$C$41,MATCH($E1556,CADASTRO_PIVOS!$B$6:$B$41,0)),"?")</f>
        <v>RM07</v>
      </c>
      <c r="G1556" s="8" t="str">
        <f aca="false">IFERROR(INDEX(CADASTRO_PIVOS!$D$6:$D$41,MATCH($E1556,CADASTRO_PIVOS!$B$6:$B$41,0)),"?")</f>
        <v>TR07</v>
      </c>
      <c r="H1556" s="20" t="n">
        <f aca="false">IFERROR(INDEX(CADASTRO_PIVOS!$E$6:$E$41,MATCH($E1556,CADASTRO_PIVOS!$B$6:$B$41,0)),0)</f>
        <v>145.67</v>
      </c>
      <c r="I1556" s="16" t="n">
        <f aca="false">IFERROR(SUMIFS(ROTACAO_RDM!$B$6:$B$71,ROTACAO_RDM!$D$6:$D$71,$E1556,ROTACAO_RDM!$I$6:$I$71,"&lt;="&amp;$C1556+INT(DIAS_POR_SEMANA/2),ROTACAO_RDM!$J$6:$J$71,"&gt;="&amp;$C1556+INT(DIAS_POR_SEMANA/2)),0)</f>
        <v>34</v>
      </c>
      <c r="J1556" s="16" t="n">
        <f aca="false">IFERROR(MATCH($I1556,ROTACAO_RDM!$B$6:$B$71,0),0)</f>
        <v>34</v>
      </c>
      <c r="K1556" s="8" t="str">
        <f aca="false">IF($J1556=0,"SEM CULTURA",INDEX(ROTACAO_RDM!$F$6:$F$71,$J1556))</f>
        <v>TABACO</v>
      </c>
      <c r="L1556" s="8" t="str">
        <f aca="false">IF($J1556=0,"",INDEX(ROTACAO_RDM!$G$6:$G$71,$J1556))</f>
        <v>PVH-2343</v>
      </c>
      <c r="M1556" s="17" t="n">
        <f aca="false">IF($J1556=0,"",INDEX(ROTACAO_RDM!$I$6:$I$71,$J1556))</f>
        <v>46399</v>
      </c>
      <c r="N1556" s="16" t="n">
        <f aca="false">IF($J1556=0,0,MAX(0,$C1556+INT(DIAS_POR_SEMANA/2)-INDEX(ROTACAO_RDM!$I$6:$I$71,$J1556)))</f>
        <v>93</v>
      </c>
      <c r="O1556" s="19" t="n">
        <f aca="false">IF($J1556=0,0,MIN(1,$N1556/MAX(1,INDEX(ROTACAO_RDM!$K$6:$K$71,$J1556))))</f>
        <v>0.58125</v>
      </c>
      <c r="P1556" s="16" t="n">
        <f aca="false">IF($J1556=0,0,IFERROR(MATCH(INDEX(ROTACAO_RDM!$N$6:$N$71,$J1556),PARAMETROS_CULTURAS!$B$6:$B$28,0),0))</f>
        <v>9</v>
      </c>
      <c r="Q1556" s="8" t="str">
        <f aca="false">IF($P1556=0,"-",IF($O1556&lt;=INDEX(PARAMETROS_CULTURAS!$F$6:$F$28,$P1556),"INICIAL",IF($O1556&lt;=INDEX(PARAMETROS_CULTURAS!$F$6:$F$28,$P1556)+INDEX(PARAMETROS_CULTURAS!$G$6:$G$28,$P1556),"DESENVOLVIMENTO",IF($O1556&lt;=INDEX(PARAMETROS_CULTURAS!$F$6:$F$28,$P1556)+INDEX(PARAMETROS_CULTURAS!$G$6:$G$28,$P1556)+INDEX(PARAMETROS_CULTURAS!$H$6:$H$28,$P1556),"MEDIA","FINAL"))))</f>
        <v>MEDIA</v>
      </c>
      <c r="R1556" s="24" t="n">
        <f aca="false">IF($P1556=0,0,IF($O1556&lt;=INDEX(PARAMETROS_CULTURAS!$F$6:$F$28,$P1556),INDEX(PARAMETROS_CULTURAS!$K$6:$K$28,$P1556),IF($O1556&lt;=INDEX(PARAMETROS_CULTURAS!$F$6:$F$28,$P1556)+INDEX(PARAMETROS_CULTURAS!$G$6:$G$28,$P1556),INDEX(PARAMETROS_CULTURAS!$K$6:$K$28,$P1556)+(INDEX(PARAMETROS_CULTURAS!$L$6:$L$28,$P1556)-INDEX(PARAMETROS_CULTURAS!$K$6:$K$28,$P1556))*($O1556-INDEX(PARAMETROS_CULTURAS!$F$6:$F$28,$P1556))/MAX(INDEX(PARAMETROS_CULTURAS!$G$6:$G$28,$P1556),0.0001),IF($O1556&lt;=INDEX(PARAMETROS_CULTURAS!$F$6:$F$28,$P1556)+INDEX(PARAMETROS_CULTURAS!$G$6:$G$28,$P1556)+INDEX(PARAMETROS_CULTURAS!$H$6:$H$28,$P1556),INDEX(PARAMETROS_CULTURAS!$L$6:$L$28,$P1556),INDEX(PARAMETROS_CULTURAS!$L$6:$L$28,$P1556)+(INDEX(PARAMETROS_CULTURAS!$M$6:$M$28,$P1556)-INDEX(PARAMETROS_CULTURAS!$L$6:$L$28,$P1556))*($O1556-INDEX(PARAMETROS_CULTURAS!$F$6:$F$28,$P1556)-INDEX(PARAMETROS_CULTURAS!$G$6:$G$28,$P1556)-INDEX(PARAMETROS_CULTURAS!$H$6:$H$28,$P1556))/MAX(INDEX(PARAMETROS_CULTURAS!$I$6:$I$28,$P1556),0.0001)))))</f>
        <v>1.1</v>
      </c>
      <c r="S1556" s="18" t="n">
        <f aca="false">IFERROR(INDEX(SEMANAS!$H$6:$H$71,MATCH($B1556,SEMANAS!$B$6:$B$71,0)),0)</f>
        <v>31.5</v>
      </c>
      <c r="T1556" s="18" t="n">
        <f aca="false">$R1556*$S1556</f>
        <v>34.65</v>
      </c>
      <c r="U1556" s="18" t="n">
        <f aca="false">IFERROR(INDEX(SEMANAS!$I$6:$I$71,MATCH($B1556,SEMANAS!$B$6:$B$71,0)),0)</f>
        <v>16.31</v>
      </c>
      <c r="V1556" s="18" t="n">
        <f aca="false">IFERROR(INDEX(SEMANAS!$J$6:$J$71,MATCH($B1556,SEMANAS!$B$6:$B$71,0)),0)</f>
        <v>13.048</v>
      </c>
      <c r="W1556" s="18" t="n">
        <f aca="false">MAX(0,$T1556-$V1556)</f>
        <v>21.602</v>
      </c>
      <c r="X1556" s="19" t="n">
        <f aca="false">IFERROR(INDEX(CADASTRO_PIVOS!$K$6:$K$41,MATCH($E1556,CADASTRO_PIVOS!$B$6:$B$41,0)),EFICIENCIA_PADRAO)</f>
        <v>0.85</v>
      </c>
      <c r="Y1556" s="18" t="n">
        <f aca="false">IF($X1556&lt;=0,0,$W1556/$X1556)</f>
        <v>25.4141176470588</v>
      </c>
      <c r="Z1556" s="16" t="n">
        <f aca="false">$Y1556*$H1556*MM_PARA_M3_HA</f>
        <v>37020.7451764706</v>
      </c>
      <c r="AA1556" s="18" t="n">
        <f aca="false">IFERROR(INDEX(CADASTRO_PIVOS!$I$6:$I$41,MATCH($E1556,CADASTRO_PIVOS!$B$6:$B$41,0)),0)</f>
        <v>971.133333333333</v>
      </c>
      <c r="AB1556" s="18" t="n">
        <f aca="false">IF($Z1556&lt;=0,0,$Z1556/$AA1556)</f>
        <v>38.1211764705882</v>
      </c>
      <c r="AC1556" s="16" t="n">
        <f aca="false">IFERROR(INDEX(SEMANAS!$K$6:$K$71,MATCH($B1556,SEMANAS!$B$6:$B$71,0)),0)</f>
        <v>147</v>
      </c>
      <c r="AD1556" s="19" t="n">
        <f aca="false">IF($AC1556&lt;=0,0,$AB1556/$AC1556)</f>
        <v>0.259327731092437</v>
      </c>
      <c r="AE1556" s="8" t="str">
        <f aca="false">IF($K1556="SEM CULTURA","SEM CULTURA",IF($AA1556&lt;=0,"DADO PENDENTE",IF($AD1556&gt;LIMITE_CRITICO,"INVIAVEL",IF($AD1556&gt;LIMITE_ATENCAO,"CRITICO",IF($AD1556&gt;LIMITE_CONFORTAVEL,"ATENCAO","OK")))))</f>
        <v>OK</v>
      </c>
      <c r="AF1556" s="8" t="str">
        <f aca="false">$B1556&amp;"|"&amp;TEXT($AD1556,"0.000000")</f>
        <v>33|0.259328</v>
      </c>
      <c r="AG1556" s="18" t="n">
        <f aca="false">IF($K1556="SEM CULTURA",0,$T1556*$H1556)</f>
        <v>5047.4655</v>
      </c>
      <c r="AH1556" s="18" t="n">
        <f aca="false">IF($K1556="SEM CULTURA",0,$V1556*$H1556)</f>
        <v>1900.70216</v>
      </c>
      <c r="AI1556" s="18" t="n">
        <f aca="false">IF($K1556="SEM CULTURA",0,$W1556*$H1556)</f>
        <v>3146.76334</v>
      </c>
      <c r="AJ1556" s="18" t="n">
        <f aca="false">IF($K1556="SEM CULTURA",0,$S1556*$H1556)</f>
        <v>4588.605</v>
      </c>
      <c r="AK1556" s="8" t="str">
        <f aca="false">$E1556&amp;"|"&amp;TEXT($AD1556,"0.000000")</f>
        <v>PV 120|0.259328</v>
      </c>
    </row>
    <row r="1557" customFormat="false" ht="15" hidden="false" customHeight="false" outlineLevel="0" collapsed="false">
      <c r="B1557" s="16" t="n">
        <v>34</v>
      </c>
      <c r="C1557" s="17" t="n">
        <f aca="false">DATA_INICIO_SAFRA+($B1557-1)*DIAS_POR_SEMANA</f>
        <v>46496</v>
      </c>
      <c r="D1557" s="17" t="n">
        <f aca="false">$C1557+DIAS_POR_SEMANA-1</f>
        <v>46502</v>
      </c>
      <c r="E1557" s="15" t="s">
        <v>282</v>
      </c>
      <c r="F1557" s="8" t="str">
        <f aca="false">IFERROR(INDEX(CADASTRO_PIVOS!$C$6:$C$41,MATCH($E1557,CADASTRO_PIVOS!$B$6:$B$41,0)),"?")</f>
        <v>RM07</v>
      </c>
      <c r="G1557" s="8" t="str">
        <f aca="false">IFERROR(INDEX(CADASTRO_PIVOS!$D$6:$D$41,MATCH($E1557,CADASTRO_PIVOS!$B$6:$B$41,0)),"?")</f>
        <v>TR07</v>
      </c>
      <c r="H1557" s="20" t="n">
        <f aca="false">IFERROR(INDEX(CADASTRO_PIVOS!$E$6:$E$41,MATCH($E1557,CADASTRO_PIVOS!$B$6:$B$41,0)),0)</f>
        <v>145.67</v>
      </c>
      <c r="I1557" s="16" t="n">
        <f aca="false">IFERROR(SUMIFS(ROTACAO_RDM!$B$6:$B$71,ROTACAO_RDM!$D$6:$D$71,$E1557,ROTACAO_RDM!$I$6:$I$71,"&lt;="&amp;$C1557+INT(DIAS_POR_SEMANA/2),ROTACAO_RDM!$J$6:$J$71,"&gt;="&amp;$C1557+INT(DIAS_POR_SEMANA/2)),0)</f>
        <v>34</v>
      </c>
      <c r="J1557" s="16" t="n">
        <f aca="false">IFERROR(MATCH($I1557,ROTACAO_RDM!$B$6:$B$71,0),0)</f>
        <v>34</v>
      </c>
      <c r="K1557" s="8" t="str">
        <f aca="false">IF($J1557=0,"SEM CULTURA",INDEX(ROTACAO_RDM!$F$6:$F$71,$J1557))</f>
        <v>TABACO</v>
      </c>
      <c r="L1557" s="8" t="str">
        <f aca="false">IF($J1557=0,"",INDEX(ROTACAO_RDM!$G$6:$G$71,$J1557))</f>
        <v>PVH-2343</v>
      </c>
      <c r="M1557" s="17" t="n">
        <f aca="false">IF($J1557=0,"",INDEX(ROTACAO_RDM!$I$6:$I$71,$J1557))</f>
        <v>46399</v>
      </c>
      <c r="N1557" s="16" t="n">
        <f aca="false">IF($J1557=0,0,MAX(0,$C1557+INT(DIAS_POR_SEMANA/2)-INDEX(ROTACAO_RDM!$I$6:$I$71,$J1557)))</f>
        <v>100</v>
      </c>
      <c r="O1557" s="19" t="n">
        <f aca="false">IF($J1557=0,0,MIN(1,$N1557/MAX(1,INDEX(ROTACAO_RDM!$K$6:$K$71,$J1557))))</f>
        <v>0.625</v>
      </c>
      <c r="P1557" s="16" t="n">
        <f aca="false">IF($J1557=0,0,IFERROR(MATCH(INDEX(ROTACAO_RDM!$N$6:$N$71,$J1557),PARAMETROS_CULTURAS!$B$6:$B$28,0),0))</f>
        <v>9</v>
      </c>
      <c r="Q1557" s="8" t="str">
        <f aca="false">IF($P1557=0,"-",IF($O1557&lt;=INDEX(PARAMETROS_CULTURAS!$F$6:$F$28,$P1557),"INICIAL",IF($O1557&lt;=INDEX(PARAMETROS_CULTURAS!$F$6:$F$28,$P1557)+INDEX(PARAMETROS_CULTURAS!$G$6:$G$28,$P1557),"DESENVOLVIMENTO",IF($O1557&lt;=INDEX(PARAMETROS_CULTURAS!$F$6:$F$28,$P1557)+INDEX(PARAMETROS_CULTURAS!$G$6:$G$28,$P1557)+INDEX(PARAMETROS_CULTURAS!$H$6:$H$28,$P1557),"MEDIA","FINAL"))))</f>
        <v>MEDIA</v>
      </c>
      <c r="R1557" s="24" t="n">
        <f aca="false">IF($P1557=0,0,IF($O1557&lt;=INDEX(PARAMETROS_CULTURAS!$F$6:$F$28,$P1557),INDEX(PARAMETROS_CULTURAS!$K$6:$K$28,$P1557),IF($O1557&lt;=INDEX(PARAMETROS_CULTURAS!$F$6:$F$28,$P1557)+INDEX(PARAMETROS_CULTURAS!$G$6:$G$28,$P1557),INDEX(PARAMETROS_CULTURAS!$K$6:$K$28,$P1557)+(INDEX(PARAMETROS_CULTURAS!$L$6:$L$28,$P1557)-INDEX(PARAMETROS_CULTURAS!$K$6:$K$28,$P1557))*($O1557-INDEX(PARAMETROS_CULTURAS!$F$6:$F$28,$P1557))/MAX(INDEX(PARAMETROS_CULTURAS!$G$6:$G$28,$P1557),0.0001),IF($O1557&lt;=INDEX(PARAMETROS_CULTURAS!$F$6:$F$28,$P1557)+INDEX(PARAMETROS_CULTURAS!$G$6:$G$28,$P1557)+INDEX(PARAMETROS_CULTURAS!$H$6:$H$28,$P1557),INDEX(PARAMETROS_CULTURAS!$L$6:$L$28,$P1557),INDEX(PARAMETROS_CULTURAS!$L$6:$L$28,$P1557)+(INDEX(PARAMETROS_CULTURAS!$M$6:$M$28,$P1557)-INDEX(PARAMETROS_CULTURAS!$L$6:$L$28,$P1557))*($O1557-INDEX(PARAMETROS_CULTURAS!$F$6:$F$28,$P1557)-INDEX(PARAMETROS_CULTURAS!$G$6:$G$28,$P1557)-INDEX(PARAMETROS_CULTURAS!$H$6:$H$28,$P1557))/MAX(INDEX(PARAMETROS_CULTURAS!$I$6:$I$28,$P1557),0.0001)))))</f>
        <v>1.1</v>
      </c>
      <c r="S1557" s="18" t="n">
        <f aca="false">IFERROR(INDEX(SEMANAS!$H$6:$H$71,MATCH($B1557,SEMANAS!$B$6:$B$71,0)),0)</f>
        <v>31.5</v>
      </c>
      <c r="T1557" s="18" t="n">
        <f aca="false">$R1557*$S1557</f>
        <v>34.65</v>
      </c>
      <c r="U1557" s="18" t="n">
        <f aca="false">IFERROR(INDEX(SEMANAS!$I$6:$I$71,MATCH($B1557,SEMANAS!$B$6:$B$71,0)),0)</f>
        <v>16.31</v>
      </c>
      <c r="V1557" s="18" t="n">
        <f aca="false">IFERROR(INDEX(SEMANAS!$J$6:$J$71,MATCH($B1557,SEMANAS!$B$6:$B$71,0)),0)</f>
        <v>13.048</v>
      </c>
      <c r="W1557" s="18" t="n">
        <f aca="false">MAX(0,$T1557-$V1557)</f>
        <v>21.602</v>
      </c>
      <c r="X1557" s="19" t="n">
        <f aca="false">IFERROR(INDEX(CADASTRO_PIVOS!$K$6:$K$41,MATCH($E1557,CADASTRO_PIVOS!$B$6:$B$41,0)),EFICIENCIA_PADRAO)</f>
        <v>0.85</v>
      </c>
      <c r="Y1557" s="18" t="n">
        <f aca="false">IF($X1557&lt;=0,0,$W1557/$X1557)</f>
        <v>25.4141176470588</v>
      </c>
      <c r="Z1557" s="16" t="n">
        <f aca="false">$Y1557*$H1557*MM_PARA_M3_HA</f>
        <v>37020.7451764706</v>
      </c>
      <c r="AA1557" s="18" t="n">
        <f aca="false">IFERROR(INDEX(CADASTRO_PIVOS!$I$6:$I$41,MATCH($E1557,CADASTRO_PIVOS!$B$6:$B$41,0)),0)</f>
        <v>971.133333333333</v>
      </c>
      <c r="AB1557" s="18" t="n">
        <f aca="false">IF($Z1557&lt;=0,0,$Z1557/$AA1557)</f>
        <v>38.1211764705882</v>
      </c>
      <c r="AC1557" s="16" t="n">
        <f aca="false">IFERROR(INDEX(SEMANAS!$K$6:$K$71,MATCH($B1557,SEMANAS!$B$6:$B$71,0)),0)</f>
        <v>147</v>
      </c>
      <c r="AD1557" s="19" t="n">
        <f aca="false">IF($AC1557&lt;=0,0,$AB1557/$AC1557)</f>
        <v>0.259327731092437</v>
      </c>
      <c r="AE1557" s="8" t="str">
        <f aca="false">IF($K1557="SEM CULTURA","SEM CULTURA",IF($AA1557&lt;=0,"DADO PENDENTE",IF($AD1557&gt;LIMITE_CRITICO,"INVIAVEL",IF($AD1557&gt;LIMITE_ATENCAO,"CRITICO",IF($AD1557&gt;LIMITE_CONFORTAVEL,"ATENCAO","OK")))))</f>
        <v>OK</v>
      </c>
      <c r="AF1557" s="8" t="str">
        <f aca="false">$B1557&amp;"|"&amp;TEXT($AD1557,"0.000000")</f>
        <v>34|0.259328</v>
      </c>
      <c r="AG1557" s="18" t="n">
        <f aca="false">IF($K1557="SEM CULTURA",0,$T1557*$H1557)</f>
        <v>5047.4655</v>
      </c>
      <c r="AH1557" s="18" t="n">
        <f aca="false">IF($K1557="SEM CULTURA",0,$V1557*$H1557)</f>
        <v>1900.70216</v>
      </c>
      <c r="AI1557" s="18" t="n">
        <f aca="false">IF($K1557="SEM CULTURA",0,$W1557*$H1557)</f>
        <v>3146.76334</v>
      </c>
      <c r="AJ1557" s="18" t="n">
        <f aca="false">IF($K1557="SEM CULTURA",0,$S1557*$H1557)</f>
        <v>4588.605</v>
      </c>
      <c r="AK1557" s="8" t="str">
        <f aca="false">$E1557&amp;"|"&amp;TEXT($AD1557,"0.000000")</f>
        <v>PV 120|0.259328</v>
      </c>
    </row>
    <row r="1558" customFormat="false" ht="15" hidden="false" customHeight="false" outlineLevel="0" collapsed="false">
      <c r="B1558" s="16" t="n">
        <v>35</v>
      </c>
      <c r="C1558" s="17" t="n">
        <f aca="false">DATA_INICIO_SAFRA+($B1558-1)*DIAS_POR_SEMANA</f>
        <v>46503</v>
      </c>
      <c r="D1558" s="17" t="n">
        <f aca="false">$C1558+DIAS_POR_SEMANA-1</f>
        <v>46509</v>
      </c>
      <c r="E1558" s="15" t="s">
        <v>282</v>
      </c>
      <c r="F1558" s="8" t="str">
        <f aca="false">IFERROR(INDEX(CADASTRO_PIVOS!$C$6:$C$41,MATCH($E1558,CADASTRO_PIVOS!$B$6:$B$41,0)),"?")</f>
        <v>RM07</v>
      </c>
      <c r="G1558" s="8" t="str">
        <f aca="false">IFERROR(INDEX(CADASTRO_PIVOS!$D$6:$D$41,MATCH($E1558,CADASTRO_PIVOS!$B$6:$B$41,0)),"?")</f>
        <v>TR07</v>
      </c>
      <c r="H1558" s="20" t="n">
        <f aca="false">IFERROR(INDEX(CADASTRO_PIVOS!$E$6:$E$41,MATCH($E1558,CADASTRO_PIVOS!$B$6:$B$41,0)),0)</f>
        <v>145.67</v>
      </c>
      <c r="I1558" s="16" t="n">
        <f aca="false">IFERROR(SUMIFS(ROTACAO_RDM!$B$6:$B$71,ROTACAO_RDM!$D$6:$D$71,$E1558,ROTACAO_RDM!$I$6:$I$71,"&lt;="&amp;$C1558+INT(DIAS_POR_SEMANA/2),ROTACAO_RDM!$J$6:$J$71,"&gt;="&amp;$C1558+INT(DIAS_POR_SEMANA/2)),0)</f>
        <v>34</v>
      </c>
      <c r="J1558" s="16" t="n">
        <f aca="false">IFERROR(MATCH($I1558,ROTACAO_RDM!$B$6:$B$71,0),0)</f>
        <v>34</v>
      </c>
      <c r="K1558" s="8" t="str">
        <f aca="false">IF($J1558=0,"SEM CULTURA",INDEX(ROTACAO_RDM!$F$6:$F$71,$J1558))</f>
        <v>TABACO</v>
      </c>
      <c r="L1558" s="8" t="str">
        <f aca="false">IF($J1558=0,"",INDEX(ROTACAO_RDM!$G$6:$G$71,$J1558))</f>
        <v>PVH-2343</v>
      </c>
      <c r="M1558" s="17" t="n">
        <f aca="false">IF($J1558=0,"",INDEX(ROTACAO_RDM!$I$6:$I$71,$J1558))</f>
        <v>46399</v>
      </c>
      <c r="N1558" s="16" t="n">
        <f aca="false">IF($J1558=0,0,MAX(0,$C1558+INT(DIAS_POR_SEMANA/2)-INDEX(ROTACAO_RDM!$I$6:$I$71,$J1558)))</f>
        <v>107</v>
      </c>
      <c r="O1558" s="19" t="n">
        <f aca="false">IF($J1558=0,0,MIN(1,$N1558/MAX(1,INDEX(ROTACAO_RDM!$K$6:$K$71,$J1558))))</f>
        <v>0.66875</v>
      </c>
      <c r="P1558" s="16" t="n">
        <f aca="false">IF($J1558=0,0,IFERROR(MATCH(INDEX(ROTACAO_RDM!$N$6:$N$71,$J1558),PARAMETROS_CULTURAS!$B$6:$B$28,0),0))</f>
        <v>9</v>
      </c>
      <c r="Q1558" s="8" t="str">
        <f aca="false">IF($P1558=0,"-",IF($O1558&lt;=INDEX(PARAMETROS_CULTURAS!$F$6:$F$28,$P1558),"INICIAL",IF($O1558&lt;=INDEX(PARAMETROS_CULTURAS!$F$6:$F$28,$P1558)+INDEX(PARAMETROS_CULTURAS!$G$6:$G$28,$P1558),"DESENVOLVIMENTO",IF($O1558&lt;=INDEX(PARAMETROS_CULTURAS!$F$6:$F$28,$P1558)+INDEX(PARAMETROS_CULTURAS!$G$6:$G$28,$P1558)+INDEX(PARAMETROS_CULTURAS!$H$6:$H$28,$P1558),"MEDIA","FINAL"))))</f>
        <v>MEDIA</v>
      </c>
      <c r="R1558" s="24" t="n">
        <f aca="false">IF($P1558=0,0,IF($O1558&lt;=INDEX(PARAMETROS_CULTURAS!$F$6:$F$28,$P1558),INDEX(PARAMETROS_CULTURAS!$K$6:$K$28,$P1558),IF($O1558&lt;=INDEX(PARAMETROS_CULTURAS!$F$6:$F$28,$P1558)+INDEX(PARAMETROS_CULTURAS!$G$6:$G$28,$P1558),INDEX(PARAMETROS_CULTURAS!$K$6:$K$28,$P1558)+(INDEX(PARAMETROS_CULTURAS!$L$6:$L$28,$P1558)-INDEX(PARAMETROS_CULTURAS!$K$6:$K$28,$P1558))*($O1558-INDEX(PARAMETROS_CULTURAS!$F$6:$F$28,$P1558))/MAX(INDEX(PARAMETROS_CULTURAS!$G$6:$G$28,$P1558),0.0001),IF($O1558&lt;=INDEX(PARAMETROS_CULTURAS!$F$6:$F$28,$P1558)+INDEX(PARAMETROS_CULTURAS!$G$6:$G$28,$P1558)+INDEX(PARAMETROS_CULTURAS!$H$6:$H$28,$P1558),INDEX(PARAMETROS_CULTURAS!$L$6:$L$28,$P1558),INDEX(PARAMETROS_CULTURAS!$L$6:$L$28,$P1558)+(INDEX(PARAMETROS_CULTURAS!$M$6:$M$28,$P1558)-INDEX(PARAMETROS_CULTURAS!$L$6:$L$28,$P1558))*($O1558-INDEX(PARAMETROS_CULTURAS!$F$6:$F$28,$P1558)-INDEX(PARAMETROS_CULTURAS!$G$6:$G$28,$P1558)-INDEX(PARAMETROS_CULTURAS!$H$6:$H$28,$P1558))/MAX(INDEX(PARAMETROS_CULTURAS!$I$6:$I$28,$P1558),0.0001)))))</f>
        <v>1.1</v>
      </c>
      <c r="S1558" s="18" t="n">
        <f aca="false">IFERROR(INDEX(SEMANAS!$H$6:$H$71,MATCH($B1558,SEMANAS!$B$6:$B$71,0)),0)</f>
        <v>30.9</v>
      </c>
      <c r="T1558" s="18" t="n">
        <f aca="false">$R1558*$S1558</f>
        <v>33.99</v>
      </c>
      <c r="U1558" s="18" t="n">
        <f aca="false">IFERROR(INDEX(SEMANAS!$I$6:$I$71,MATCH($B1558,SEMANAS!$B$6:$B$71,0)),0)</f>
        <v>12.61</v>
      </c>
      <c r="V1558" s="18" t="n">
        <f aca="false">IFERROR(INDEX(SEMANAS!$J$6:$J$71,MATCH($B1558,SEMANAS!$B$6:$B$71,0)),0)</f>
        <v>10.088</v>
      </c>
      <c r="W1558" s="18" t="n">
        <f aca="false">MAX(0,$T1558-$V1558)</f>
        <v>23.902</v>
      </c>
      <c r="X1558" s="19" t="n">
        <f aca="false">IFERROR(INDEX(CADASTRO_PIVOS!$K$6:$K$41,MATCH($E1558,CADASTRO_PIVOS!$B$6:$B$41,0)),EFICIENCIA_PADRAO)</f>
        <v>0.85</v>
      </c>
      <c r="Y1558" s="18" t="n">
        <f aca="false">IF($X1558&lt;=0,0,$W1558/$X1558)</f>
        <v>28.12</v>
      </c>
      <c r="Z1558" s="16" t="n">
        <f aca="false">$Y1558*$H1558*MM_PARA_M3_HA</f>
        <v>40962.404</v>
      </c>
      <c r="AA1558" s="18" t="n">
        <f aca="false">IFERROR(INDEX(CADASTRO_PIVOS!$I$6:$I$41,MATCH($E1558,CADASTRO_PIVOS!$B$6:$B$41,0)),0)</f>
        <v>971.133333333333</v>
      </c>
      <c r="AB1558" s="18" t="n">
        <f aca="false">IF($Z1558&lt;=0,0,$Z1558/$AA1558)</f>
        <v>42.18</v>
      </c>
      <c r="AC1558" s="16" t="n">
        <f aca="false">IFERROR(INDEX(SEMANAS!$K$6:$K$71,MATCH($B1558,SEMANAS!$B$6:$B$71,0)),0)</f>
        <v>147</v>
      </c>
      <c r="AD1558" s="19" t="n">
        <f aca="false">IF($AC1558&lt;=0,0,$AB1558/$AC1558)</f>
        <v>0.286938775510204</v>
      </c>
      <c r="AE1558" s="8" t="str">
        <f aca="false">IF($K1558="SEM CULTURA","SEM CULTURA",IF($AA1558&lt;=0,"DADO PENDENTE",IF($AD1558&gt;LIMITE_CRITICO,"INVIAVEL",IF($AD1558&gt;LIMITE_ATENCAO,"CRITICO",IF($AD1558&gt;LIMITE_CONFORTAVEL,"ATENCAO","OK")))))</f>
        <v>OK</v>
      </c>
      <c r="AF1558" s="8" t="str">
        <f aca="false">$B1558&amp;"|"&amp;TEXT($AD1558,"0.000000")</f>
        <v>35|0.286939</v>
      </c>
      <c r="AG1558" s="18" t="n">
        <f aca="false">IF($K1558="SEM CULTURA",0,$T1558*$H1558)</f>
        <v>4951.3233</v>
      </c>
      <c r="AH1558" s="18" t="n">
        <f aca="false">IF($K1558="SEM CULTURA",0,$V1558*$H1558)</f>
        <v>1469.51896</v>
      </c>
      <c r="AI1558" s="18" t="n">
        <f aca="false">IF($K1558="SEM CULTURA",0,$W1558*$H1558)</f>
        <v>3481.80434</v>
      </c>
      <c r="AJ1558" s="18" t="n">
        <f aca="false">IF($K1558="SEM CULTURA",0,$S1558*$H1558)</f>
        <v>4501.203</v>
      </c>
      <c r="AK1558" s="8" t="str">
        <f aca="false">$E1558&amp;"|"&amp;TEXT($AD1558,"0.000000")</f>
        <v>PV 120|0.286939</v>
      </c>
    </row>
    <row r="1559" customFormat="false" ht="15" hidden="false" customHeight="false" outlineLevel="0" collapsed="false">
      <c r="B1559" s="16" t="n">
        <v>36</v>
      </c>
      <c r="C1559" s="17" t="n">
        <f aca="false">DATA_INICIO_SAFRA+($B1559-1)*DIAS_POR_SEMANA</f>
        <v>46510</v>
      </c>
      <c r="D1559" s="17" t="n">
        <f aca="false">$C1559+DIAS_POR_SEMANA-1</f>
        <v>46516</v>
      </c>
      <c r="E1559" s="15" t="s">
        <v>282</v>
      </c>
      <c r="F1559" s="8" t="str">
        <f aca="false">IFERROR(INDEX(CADASTRO_PIVOS!$C$6:$C$41,MATCH($E1559,CADASTRO_PIVOS!$B$6:$B$41,0)),"?")</f>
        <v>RM07</v>
      </c>
      <c r="G1559" s="8" t="str">
        <f aca="false">IFERROR(INDEX(CADASTRO_PIVOS!$D$6:$D$41,MATCH($E1559,CADASTRO_PIVOS!$B$6:$B$41,0)),"?")</f>
        <v>TR07</v>
      </c>
      <c r="H1559" s="20" t="n">
        <f aca="false">IFERROR(INDEX(CADASTRO_PIVOS!$E$6:$E$41,MATCH($E1559,CADASTRO_PIVOS!$B$6:$B$41,0)),0)</f>
        <v>145.67</v>
      </c>
      <c r="I1559" s="16" t="n">
        <f aca="false">IFERROR(SUMIFS(ROTACAO_RDM!$B$6:$B$71,ROTACAO_RDM!$D$6:$D$71,$E1559,ROTACAO_RDM!$I$6:$I$71,"&lt;="&amp;$C1559+INT(DIAS_POR_SEMANA/2),ROTACAO_RDM!$J$6:$J$71,"&gt;="&amp;$C1559+INT(DIAS_POR_SEMANA/2)),0)</f>
        <v>34</v>
      </c>
      <c r="J1559" s="16" t="n">
        <f aca="false">IFERROR(MATCH($I1559,ROTACAO_RDM!$B$6:$B$71,0),0)</f>
        <v>34</v>
      </c>
      <c r="K1559" s="8" t="str">
        <f aca="false">IF($J1559=0,"SEM CULTURA",INDEX(ROTACAO_RDM!$F$6:$F$71,$J1559))</f>
        <v>TABACO</v>
      </c>
      <c r="L1559" s="8" t="str">
        <f aca="false">IF($J1559=0,"",INDEX(ROTACAO_RDM!$G$6:$G$71,$J1559))</f>
        <v>PVH-2343</v>
      </c>
      <c r="M1559" s="17" t="n">
        <f aca="false">IF($J1559=0,"",INDEX(ROTACAO_RDM!$I$6:$I$71,$J1559))</f>
        <v>46399</v>
      </c>
      <c r="N1559" s="16" t="n">
        <f aca="false">IF($J1559=0,0,MAX(0,$C1559+INT(DIAS_POR_SEMANA/2)-INDEX(ROTACAO_RDM!$I$6:$I$71,$J1559)))</f>
        <v>114</v>
      </c>
      <c r="O1559" s="19" t="n">
        <f aca="false">IF($J1559=0,0,MIN(1,$N1559/MAX(1,INDEX(ROTACAO_RDM!$K$6:$K$71,$J1559))))</f>
        <v>0.7125</v>
      </c>
      <c r="P1559" s="16" t="n">
        <f aca="false">IF($J1559=0,0,IFERROR(MATCH(INDEX(ROTACAO_RDM!$N$6:$N$71,$J1559),PARAMETROS_CULTURAS!$B$6:$B$28,0),0))</f>
        <v>9</v>
      </c>
      <c r="Q1559" s="8" t="str">
        <f aca="false">IF($P1559=0,"-",IF($O1559&lt;=INDEX(PARAMETROS_CULTURAS!$F$6:$F$28,$P1559),"INICIAL",IF($O1559&lt;=INDEX(PARAMETROS_CULTURAS!$F$6:$F$28,$P1559)+INDEX(PARAMETROS_CULTURAS!$G$6:$G$28,$P1559),"DESENVOLVIMENTO",IF($O1559&lt;=INDEX(PARAMETROS_CULTURAS!$F$6:$F$28,$P1559)+INDEX(PARAMETROS_CULTURAS!$G$6:$G$28,$P1559)+INDEX(PARAMETROS_CULTURAS!$H$6:$H$28,$P1559),"MEDIA","FINAL"))))</f>
        <v>MEDIA</v>
      </c>
      <c r="R1559" s="24" t="n">
        <f aca="false">IF($P1559=0,0,IF($O1559&lt;=INDEX(PARAMETROS_CULTURAS!$F$6:$F$28,$P1559),INDEX(PARAMETROS_CULTURAS!$K$6:$K$28,$P1559),IF($O1559&lt;=INDEX(PARAMETROS_CULTURAS!$F$6:$F$28,$P1559)+INDEX(PARAMETROS_CULTURAS!$G$6:$G$28,$P1559),INDEX(PARAMETROS_CULTURAS!$K$6:$K$28,$P1559)+(INDEX(PARAMETROS_CULTURAS!$L$6:$L$28,$P1559)-INDEX(PARAMETROS_CULTURAS!$K$6:$K$28,$P1559))*($O1559-INDEX(PARAMETROS_CULTURAS!$F$6:$F$28,$P1559))/MAX(INDEX(PARAMETROS_CULTURAS!$G$6:$G$28,$P1559),0.0001),IF($O1559&lt;=INDEX(PARAMETROS_CULTURAS!$F$6:$F$28,$P1559)+INDEX(PARAMETROS_CULTURAS!$G$6:$G$28,$P1559)+INDEX(PARAMETROS_CULTURAS!$H$6:$H$28,$P1559),INDEX(PARAMETROS_CULTURAS!$L$6:$L$28,$P1559),INDEX(PARAMETROS_CULTURAS!$L$6:$L$28,$P1559)+(INDEX(PARAMETROS_CULTURAS!$M$6:$M$28,$P1559)-INDEX(PARAMETROS_CULTURAS!$L$6:$L$28,$P1559))*($O1559-INDEX(PARAMETROS_CULTURAS!$F$6:$F$28,$P1559)-INDEX(PARAMETROS_CULTURAS!$G$6:$G$28,$P1559)-INDEX(PARAMETROS_CULTURAS!$H$6:$H$28,$P1559))/MAX(INDEX(PARAMETROS_CULTURAS!$I$6:$I$28,$P1559),0.0001)))))</f>
        <v>1.1</v>
      </c>
      <c r="S1559" s="18" t="n">
        <f aca="false">IFERROR(INDEX(SEMANAS!$H$6:$H$71,MATCH($B1559,SEMANAS!$B$6:$B$71,0)),0)</f>
        <v>29.4</v>
      </c>
      <c r="T1559" s="18" t="n">
        <f aca="false">$R1559*$S1559</f>
        <v>32.34</v>
      </c>
      <c r="U1559" s="18" t="n">
        <f aca="false">IFERROR(INDEX(SEMANAS!$I$6:$I$71,MATCH($B1559,SEMANAS!$B$6:$B$71,0)),0)</f>
        <v>3.36</v>
      </c>
      <c r="V1559" s="18" t="n">
        <f aca="false">IFERROR(INDEX(SEMANAS!$J$6:$J$71,MATCH($B1559,SEMANAS!$B$6:$B$71,0)),0)</f>
        <v>2.688</v>
      </c>
      <c r="W1559" s="18" t="n">
        <f aca="false">MAX(0,$T1559-$V1559)</f>
        <v>29.652</v>
      </c>
      <c r="X1559" s="19" t="n">
        <f aca="false">IFERROR(INDEX(CADASTRO_PIVOS!$K$6:$K$41,MATCH($E1559,CADASTRO_PIVOS!$B$6:$B$41,0)),EFICIENCIA_PADRAO)</f>
        <v>0.85</v>
      </c>
      <c r="Y1559" s="18" t="n">
        <f aca="false">IF($X1559&lt;=0,0,$W1559/$X1559)</f>
        <v>34.884705882353</v>
      </c>
      <c r="Z1559" s="16" t="n">
        <f aca="false">$Y1559*$H1559*MM_PARA_M3_HA</f>
        <v>50816.5510588235</v>
      </c>
      <c r="AA1559" s="18" t="n">
        <f aca="false">IFERROR(INDEX(CADASTRO_PIVOS!$I$6:$I$41,MATCH($E1559,CADASTRO_PIVOS!$B$6:$B$41,0)),0)</f>
        <v>971.133333333333</v>
      </c>
      <c r="AB1559" s="18" t="n">
        <f aca="false">IF($Z1559&lt;=0,0,$Z1559/$AA1559)</f>
        <v>52.3270588235294</v>
      </c>
      <c r="AC1559" s="16" t="n">
        <f aca="false">IFERROR(INDEX(SEMANAS!$K$6:$K$71,MATCH($B1559,SEMANAS!$B$6:$B$71,0)),0)</f>
        <v>147</v>
      </c>
      <c r="AD1559" s="19" t="n">
        <f aca="false">IF($AC1559&lt;=0,0,$AB1559/$AC1559)</f>
        <v>0.355966386554622</v>
      </c>
      <c r="AE1559" s="8" t="str">
        <f aca="false">IF($K1559="SEM CULTURA","SEM CULTURA",IF($AA1559&lt;=0,"DADO PENDENTE",IF($AD1559&gt;LIMITE_CRITICO,"INVIAVEL",IF($AD1559&gt;LIMITE_ATENCAO,"CRITICO",IF($AD1559&gt;LIMITE_CONFORTAVEL,"ATENCAO","OK")))))</f>
        <v>OK</v>
      </c>
      <c r="AF1559" s="8" t="str">
        <f aca="false">$B1559&amp;"|"&amp;TEXT($AD1559,"0.000000")</f>
        <v>36|0.355966</v>
      </c>
      <c r="AG1559" s="18" t="n">
        <f aca="false">IF($K1559="SEM CULTURA",0,$T1559*$H1559)</f>
        <v>4710.9678</v>
      </c>
      <c r="AH1559" s="18" t="n">
        <f aca="false">IF($K1559="SEM CULTURA",0,$V1559*$H1559)</f>
        <v>391.56096</v>
      </c>
      <c r="AI1559" s="18" t="n">
        <f aca="false">IF($K1559="SEM CULTURA",0,$W1559*$H1559)</f>
        <v>4319.40684</v>
      </c>
      <c r="AJ1559" s="18" t="n">
        <f aca="false">IF($K1559="SEM CULTURA",0,$S1559*$H1559)</f>
        <v>4282.698</v>
      </c>
      <c r="AK1559" s="8" t="str">
        <f aca="false">$E1559&amp;"|"&amp;TEXT($AD1559,"0.000000")</f>
        <v>PV 120|0.355966</v>
      </c>
    </row>
    <row r="1560" customFormat="false" ht="15" hidden="false" customHeight="false" outlineLevel="0" collapsed="false">
      <c r="B1560" s="16" t="n">
        <v>37</v>
      </c>
      <c r="C1560" s="17" t="n">
        <f aca="false">DATA_INICIO_SAFRA+($B1560-1)*DIAS_POR_SEMANA</f>
        <v>46517</v>
      </c>
      <c r="D1560" s="17" t="n">
        <f aca="false">$C1560+DIAS_POR_SEMANA-1</f>
        <v>46523</v>
      </c>
      <c r="E1560" s="15" t="s">
        <v>282</v>
      </c>
      <c r="F1560" s="8" t="str">
        <f aca="false">IFERROR(INDEX(CADASTRO_PIVOS!$C$6:$C$41,MATCH($E1560,CADASTRO_PIVOS!$B$6:$B$41,0)),"?")</f>
        <v>RM07</v>
      </c>
      <c r="G1560" s="8" t="str">
        <f aca="false">IFERROR(INDEX(CADASTRO_PIVOS!$D$6:$D$41,MATCH($E1560,CADASTRO_PIVOS!$B$6:$B$41,0)),"?")</f>
        <v>TR07</v>
      </c>
      <c r="H1560" s="20" t="n">
        <f aca="false">IFERROR(INDEX(CADASTRO_PIVOS!$E$6:$E$41,MATCH($E1560,CADASTRO_PIVOS!$B$6:$B$41,0)),0)</f>
        <v>145.67</v>
      </c>
      <c r="I1560" s="16" t="n">
        <f aca="false">IFERROR(SUMIFS(ROTACAO_RDM!$B$6:$B$71,ROTACAO_RDM!$D$6:$D$71,$E1560,ROTACAO_RDM!$I$6:$I$71,"&lt;="&amp;$C1560+INT(DIAS_POR_SEMANA/2),ROTACAO_RDM!$J$6:$J$71,"&gt;="&amp;$C1560+INT(DIAS_POR_SEMANA/2)),0)</f>
        <v>34</v>
      </c>
      <c r="J1560" s="16" t="n">
        <f aca="false">IFERROR(MATCH($I1560,ROTACAO_RDM!$B$6:$B$71,0),0)</f>
        <v>34</v>
      </c>
      <c r="K1560" s="8" t="str">
        <f aca="false">IF($J1560=0,"SEM CULTURA",INDEX(ROTACAO_RDM!$F$6:$F$71,$J1560))</f>
        <v>TABACO</v>
      </c>
      <c r="L1560" s="8" t="str">
        <f aca="false">IF($J1560=0,"",INDEX(ROTACAO_RDM!$G$6:$G$71,$J1560))</f>
        <v>PVH-2343</v>
      </c>
      <c r="M1560" s="17" t="n">
        <f aca="false">IF($J1560=0,"",INDEX(ROTACAO_RDM!$I$6:$I$71,$J1560))</f>
        <v>46399</v>
      </c>
      <c r="N1560" s="16" t="n">
        <f aca="false">IF($J1560=0,0,MAX(0,$C1560+INT(DIAS_POR_SEMANA/2)-INDEX(ROTACAO_RDM!$I$6:$I$71,$J1560)))</f>
        <v>121</v>
      </c>
      <c r="O1560" s="19" t="n">
        <f aca="false">IF($J1560=0,0,MIN(1,$N1560/MAX(1,INDEX(ROTACAO_RDM!$K$6:$K$71,$J1560))))</f>
        <v>0.75625</v>
      </c>
      <c r="P1560" s="16" t="n">
        <f aca="false">IF($J1560=0,0,IFERROR(MATCH(INDEX(ROTACAO_RDM!$N$6:$N$71,$J1560),PARAMETROS_CULTURAS!$B$6:$B$28,0),0))</f>
        <v>9</v>
      </c>
      <c r="Q1560" s="8" t="str">
        <f aca="false">IF($P1560=0,"-",IF($O1560&lt;=INDEX(PARAMETROS_CULTURAS!$F$6:$F$28,$P1560),"INICIAL",IF($O1560&lt;=INDEX(PARAMETROS_CULTURAS!$F$6:$F$28,$P1560)+INDEX(PARAMETROS_CULTURAS!$G$6:$G$28,$P1560),"DESENVOLVIMENTO",IF($O1560&lt;=INDEX(PARAMETROS_CULTURAS!$F$6:$F$28,$P1560)+INDEX(PARAMETROS_CULTURAS!$G$6:$G$28,$P1560)+INDEX(PARAMETROS_CULTURAS!$H$6:$H$28,$P1560),"MEDIA","FINAL"))))</f>
        <v>FINAL</v>
      </c>
      <c r="R1560" s="24" t="n">
        <f aca="false">IF($P1560=0,0,IF($O1560&lt;=INDEX(PARAMETROS_CULTURAS!$F$6:$F$28,$P1560),INDEX(PARAMETROS_CULTURAS!$K$6:$K$28,$P1560),IF($O1560&lt;=INDEX(PARAMETROS_CULTURAS!$F$6:$F$28,$P1560)+INDEX(PARAMETROS_CULTURAS!$G$6:$G$28,$P1560),INDEX(PARAMETROS_CULTURAS!$K$6:$K$28,$P1560)+(INDEX(PARAMETROS_CULTURAS!$L$6:$L$28,$P1560)-INDEX(PARAMETROS_CULTURAS!$K$6:$K$28,$P1560))*($O1560-INDEX(PARAMETROS_CULTURAS!$F$6:$F$28,$P1560))/MAX(INDEX(PARAMETROS_CULTURAS!$G$6:$G$28,$P1560),0.0001),IF($O1560&lt;=INDEX(PARAMETROS_CULTURAS!$F$6:$F$28,$P1560)+INDEX(PARAMETROS_CULTURAS!$G$6:$G$28,$P1560)+INDEX(PARAMETROS_CULTURAS!$H$6:$H$28,$P1560),INDEX(PARAMETROS_CULTURAS!$L$6:$L$28,$P1560),INDEX(PARAMETROS_CULTURAS!$L$6:$L$28,$P1560)+(INDEX(PARAMETROS_CULTURAS!$M$6:$M$28,$P1560)-INDEX(PARAMETROS_CULTURAS!$L$6:$L$28,$P1560))*($O1560-INDEX(PARAMETROS_CULTURAS!$F$6:$F$28,$P1560)-INDEX(PARAMETROS_CULTURAS!$G$6:$G$28,$P1560)-INDEX(PARAMETROS_CULTURAS!$H$6:$H$28,$P1560))/MAX(INDEX(PARAMETROS_CULTURAS!$I$6:$I$28,$P1560),0.0001)))))</f>
        <v>1.06116071428571</v>
      </c>
      <c r="S1560" s="18" t="n">
        <f aca="false">IFERROR(INDEX(SEMANAS!$H$6:$H$71,MATCH($B1560,SEMANAS!$B$6:$B$71,0)),0)</f>
        <v>29.4</v>
      </c>
      <c r="T1560" s="18" t="n">
        <f aca="false">$R1560*$S1560</f>
        <v>31.198125</v>
      </c>
      <c r="U1560" s="18" t="n">
        <f aca="false">IFERROR(INDEX(SEMANAS!$I$6:$I$71,MATCH($B1560,SEMANAS!$B$6:$B$71,0)),0)</f>
        <v>3.36</v>
      </c>
      <c r="V1560" s="18" t="n">
        <f aca="false">IFERROR(INDEX(SEMANAS!$J$6:$J$71,MATCH($B1560,SEMANAS!$B$6:$B$71,0)),0)</f>
        <v>2.688</v>
      </c>
      <c r="W1560" s="18" t="n">
        <f aca="false">MAX(0,$T1560-$V1560)</f>
        <v>28.510125</v>
      </c>
      <c r="X1560" s="19" t="n">
        <f aca="false">IFERROR(INDEX(CADASTRO_PIVOS!$K$6:$K$41,MATCH($E1560,CADASTRO_PIVOS!$B$6:$B$41,0)),EFICIENCIA_PADRAO)</f>
        <v>0.85</v>
      </c>
      <c r="Y1560" s="18" t="n">
        <f aca="false">IF($X1560&lt;=0,0,$W1560/$X1560)</f>
        <v>33.5413235294118</v>
      </c>
      <c r="Z1560" s="16" t="n">
        <f aca="false">$Y1560*$H1560*MM_PARA_M3_HA</f>
        <v>48859.6459852941</v>
      </c>
      <c r="AA1560" s="18" t="n">
        <f aca="false">IFERROR(INDEX(CADASTRO_PIVOS!$I$6:$I$41,MATCH($E1560,CADASTRO_PIVOS!$B$6:$B$41,0)),0)</f>
        <v>971.133333333333</v>
      </c>
      <c r="AB1560" s="18" t="n">
        <f aca="false">IF($Z1560&lt;=0,0,$Z1560/$AA1560)</f>
        <v>50.3119852941177</v>
      </c>
      <c r="AC1560" s="16" t="n">
        <f aca="false">IFERROR(INDEX(SEMANAS!$K$6:$K$71,MATCH($B1560,SEMANAS!$B$6:$B$71,0)),0)</f>
        <v>147</v>
      </c>
      <c r="AD1560" s="19" t="n">
        <f aca="false">IF($AC1560&lt;=0,0,$AB1560/$AC1560)</f>
        <v>0.342258403361345</v>
      </c>
      <c r="AE1560" s="8" t="str">
        <f aca="false">IF($K1560="SEM CULTURA","SEM CULTURA",IF($AA1560&lt;=0,"DADO PENDENTE",IF($AD1560&gt;LIMITE_CRITICO,"INVIAVEL",IF($AD1560&gt;LIMITE_ATENCAO,"CRITICO",IF($AD1560&gt;LIMITE_CONFORTAVEL,"ATENCAO","OK")))))</f>
        <v>OK</v>
      </c>
      <c r="AF1560" s="8" t="str">
        <f aca="false">$B1560&amp;"|"&amp;TEXT($AD1560,"0.000000")</f>
        <v>37|0.342258</v>
      </c>
      <c r="AG1560" s="18" t="n">
        <f aca="false">IF($K1560="SEM CULTURA",0,$T1560*$H1560)</f>
        <v>4544.63086875</v>
      </c>
      <c r="AH1560" s="18" t="n">
        <f aca="false">IF($K1560="SEM CULTURA",0,$V1560*$H1560)</f>
        <v>391.56096</v>
      </c>
      <c r="AI1560" s="18" t="n">
        <f aca="false">IF($K1560="SEM CULTURA",0,$W1560*$H1560)</f>
        <v>4153.06990875</v>
      </c>
      <c r="AJ1560" s="18" t="n">
        <f aca="false">IF($K1560="SEM CULTURA",0,$S1560*$H1560)</f>
        <v>4282.698</v>
      </c>
      <c r="AK1560" s="8" t="str">
        <f aca="false">$E1560&amp;"|"&amp;TEXT($AD1560,"0.000000")</f>
        <v>PV 120|0.342258</v>
      </c>
    </row>
    <row r="1561" customFormat="false" ht="15" hidden="false" customHeight="false" outlineLevel="0" collapsed="false">
      <c r="B1561" s="16" t="n">
        <v>38</v>
      </c>
      <c r="C1561" s="17" t="n">
        <f aca="false">DATA_INICIO_SAFRA+($B1561-1)*DIAS_POR_SEMANA</f>
        <v>46524</v>
      </c>
      <c r="D1561" s="17" t="n">
        <f aca="false">$C1561+DIAS_POR_SEMANA-1</f>
        <v>46530</v>
      </c>
      <c r="E1561" s="15" t="s">
        <v>282</v>
      </c>
      <c r="F1561" s="8" t="str">
        <f aca="false">IFERROR(INDEX(CADASTRO_PIVOS!$C$6:$C$41,MATCH($E1561,CADASTRO_PIVOS!$B$6:$B$41,0)),"?")</f>
        <v>RM07</v>
      </c>
      <c r="G1561" s="8" t="str">
        <f aca="false">IFERROR(INDEX(CADASTRO_PIVOS!$D$6:$D$41,MATCH($E1561,CADASTRO_PIVOS!$B$6:$B$41,0)),"?")</f>
        <v>TR07</v>
      </c>
      <c r="H1561" s="20" t="n">
        <f aca="false">IFERROR(INDEX(CADASTRO_PIVOS!$E$6:$E$41,MATCH($E1561,CADASTRO_PIVOS!$B$6:$B$41,0)),0)</f>
        <v>145.67</v>
      </c>
      <c r="I1561" s="16" t="n">
        <f aca="false">IFERROR(SUMIFS(ROTACAO_RDM!$B$6:$B$71,ROTACAO_RDM!$D$6:$D$71,$E1561,ROTACAO_RDM!$I$6:$I$71,"&lt;="&amp;$C1561+INT(DIAS_POR_SEMANA/2),ROTACAO_RDM!$J$6:$J$71,"&gt;="&amp;$C1561+INT(DIAS_POR_SEMANA/2)),0)</f>
        <v>34</v>
      </c>
      <c r="J1561" s="16" t="n">
        <f aca="false">IFERROR(MATCH($I1561,ROTACAO_RDM!$B$6:$B$71,0),0)</f>
        <v>34</v>
      </c>
      <c r="K1561" s="8" t="str">
        <f aca="false">IF($J1561=0,"SEM CULTURA",INDEX(ROTACAO_RDM!$F$6:$F$71,$J1561))</f>
        <v>TABACO</v>
      </c>
      <c r="L1561" s="8" t="str">
        <f aca="false">IF($J1561=0,"",INDEX(ROTACAO_RDM!$G$6:$G$71,$J1561))</f>
        <v>PVH-2343</v>
      </c>
      <c r="M1561" s="17" t="n">
        <f aca="false">IF($J1561=0,"",INDEX(ROTACAO_RDM!$I$6:$I$71,$J1561))</f>
        <v>46399</v>
      </c>
      <c r="N1561" s="16" t="n">
        <f aca="false">IF($J1561=0,0,MAX(0,$C1561+INT(DIAS_POR_SEMANA/2)-INDEX(ROTACAO_RDM!$I$6:$I$71,$J1561)))</f>
        <v>128</v>
      </c>
      <c r="O1561" s="19" t="n">
        <f aca="false">IF($J1561=0,0,MIN(1,$N1561/MAX(1,INDEX(ROTACAO_RDM!$K$6:$K$71,$J1561))))</f>
        <v>0.8</v>
      </c>
      <c r="P1561" s="16" t="n">
        <f aca="false">IF($J1561=0,0,IFERROR(MATCH(INDEX(ROTACAO_RDM!$N$6:$N$71,$J1561),PARAMETROS_CULTURAS!$B$6:$B$28,0),0))</f>
        <v>9</v>
      </c>
      <c r="Q1561" s="8" t="str">
        <f aca="false">IF($P1561=0,"-",IF($O1561&lt;=INDEX(PARAMETROS_CULTURAS!$F$6:$F$28,$P1561),"INICIAL",IF($O1561&lt;=INDEX(PARAMETROS_CULTURAS!$F$6:$F$28,$P1561)+INDEX(PARAMETROS_CULTURAS!$G$6:$G$28,$P1561),"DESENVOLVIMENTO",IF($O1561&lt;=INDEX(PARAMETROS_CULTURAS!$F$6:$F$28,$P1561)+INDEX(PARAMETROS_CULTURAS!$G$6:$G$28,$P1561)+INDEX(PARAMETROS_CULTURAS!$H$6:$H$28,$P1561),"MEDIA","FINAL"))))</f>
        <v>FINAL</v>
      </c>
      <c r="R1561" s="24" t="n">
        <f aca="false">IF($P1561=0,0,IF($O1561&lt;=INDEX(PARAMETROS_CULTURAS!$F$6:$F$28,$P1561),INDEX(PARAMETROS_CULTURAS!$K$6:$K$28,$P1561),IF($O1561&lt;=INDEX(PARAMETROS_CULTURAS!$F$6:$F$28,$P1561)+INDEX(PARAMETROS_CULTURAS!$G$6:$G$28,$P1561),INDEX(PARAMETROS_CULTURAS!$K$6:$K$28,$P1561)+(INDEX(PARAMETROS_CULTURAS!$L$6:$L$28,$P1561)-INDEX(PARAMETROS_CULTURAS!$K$6:$K$28,$P1561))*($O1561-INDEX(PARAMETROS_CULTURAS!$F$6:$F$28,$P1561))/MAX(INDEX(PARAMETROS_CULTURAS!$G$6:$G$28,$P1561),0.0001),IF($O1561&lt;=INDEX(PARAMETROS_CULTURAS!$F$6:$F$28,$P1561)+INDEX(PARAMETROS_CULTURAS!$G$6:$G$28,$P1561)+INDEX(PARAMETROS_CULTURAS!$H$6:$H$28,$P1561),INDEX(PARAMETROS_CULTURAS!$L$6:$L$28,$P1561),INDEX(PARAMETROS_CULTURAS!$L$6:$L$28,$P1561)+(INDEX(PARAMETROS_CULTURAS!$M$6:$M$28,$P1561)-INDEX(PARAMETROS_CULTURAS!$L$6:$L$28,$P1561))*($O1561-INDEX(PARAMETROS_CULTURAS!$F$6:$F$28,$P1561)-INDEX(PARAMETROS_CULTURAS!$G$6:$G$28,$P1561)-INDEX(PARAMETROS_CULTURAS!$H$6:$H$28,$P1561))/MAX(INDEX(PARAMETROS_CULTURAS!$I$6:$I$28,$P1561),0.0001)))))</f>
        <v>1.01428571428571</v>
      </c>
      <c r="S1561" s="18" t="n">
        <f aca="false">IFERROR(INDEX(SEMANAS!$H$6:$H$71,MATCH($B1561,SEMANAS!$B$6:$B$71,0)),0)</f>
        <v>29.4</v>
      </c>
      <c r="T1561" s="18" t="n">
        <f aca="false">$R1561*$S1561</f>
        <v>29.82</v>
      </c>
      <c r="U1561" s="18" t="n">
        <f aca="false">IFERROR(INDEX(SEMANAS!$I$6:$I$71,MATCH($B1561,SEMANAS!$B$6:$B$71,0)),0)</f>
        <v>3.36</v>
      </c>
      <c r="V1561" s="18" t="n">
        <f aca="false">IFERROR(INDEX(SEMANAS!$J$6:$J$71,MATCH($B1561,SEMANAS!$B$6:$B$71,0)),0)</f>
        <v>2.688</v>
      </c>
      <c r="W1561" s="18" t="n">
        <f aca="false">MAX(0,$T1561-$V1561)</f>
        <v>27.132</v>
      </c>
      <c r="X1561" s="19" t="n">
        <f aca="false">IFERROR(INDEX(CADASTRO_PIVOS!$K$6:$K$41,MATCH($E1561,CADASTRO_PIVOS!$B$6:$B$41,0)),EFICIENCIA_PADRAO)</f>
        <v>0.85</v>
      </c>
      <c r="Y1561" s="18" t="n">
        <f aca="false">IF($X1561&lt;=0,0,$W1561/$X1561)</f>
        <v>31.92</v>
      </c>
      <c r="Z1561" s="16" t="n">
        <f aca="false">$Y1561*$H1561*MM_PARA_M3_HA</f>
        <v>46497.864</v>
      </c>
      <c r="AA1561" s="18" t="n">
        <f aca="false">IFERROR(INDEX(CADASTRO_PIVOS!$I$6:$I$41,MATCH($E1561,CADASTRO_PIVOS!$B$6:$B$41,0)),0)</f>
        <v>971.133333333333</v>
      </c>
      <c r="AB1561" s="18" t="n">
        <f aca="false">IF($Z1561&lt;=0,0,$Z1561/$AA1561)</f>
        <v>47.88</v>
      </c>
      <c r="AC1561" s="16" t="n">
        <f aca="false">IFERROR(INDEX(SEMANAS!$K$6:$K$71,MATCH($B1561,SEMANAS!$B$6:$B$71,0)),0)</f>
        <v>147</v>
      </c>
      <c r="AD1561" s="19" t="n">
        <f aca="false">IF($AC1561&lt;=0,0,$AB1561/$AC1561)</f>
        <v>0.325714285714286</v>
      </c>
      <c r="AE1561" s="8" t="str">
        <f aca="false">IF($K1561="SEM CULTURA","SEM CULTURA",IF($AA1561&lt;=0,"DADO PENDENTE",IF($AD1561&gt;LIMITE_CRITICO,"INVIAVEL",IF($AD1561&gt;LIMITE_ATENCAO,"CRITICO",IF($AD1561&gt;LIMITE_CONFORTAVEL,"ATENCAO","OK")))))</f>
        <v>OK</v>
      </c>
      <c r="AF1561" s="8" t="str">
        <f aca="false">$B1561&amp;"|"&amp;TEXT($AD1561,"0.000000")</f>
        <v>38|0.325714</v>
      </c>
      <c r="AG1561" s="18" t="n">
        <f aca="false">IF($K1561="SEM CULTURA",0,$T1561*$H1561)</f>
        <v>4343.8794</v>
      </c>
      <c r="AH1561" s="18" t="n">
        <f aca="false">IF($K1561="SEM CULTURA",0,$V1561*$H1561)</f>
        <v>391.56096</v>
      </c>
      <c r="AI1561" s="18" t="n">
        <f aca="false">IF($K1561="SEM CULTURA",0,$W1561*$H1561)</f>
        <v>3952.31844</v>
      </c>
      <c r="AJ1561" s="18" t="n">
        <f aca="false">IF($K1561="SEM CULTURA",0,$S1561*$H1561)</f>
        <v>4282.698</v>
      </c>
      <c r="AK1561" s="8" t="str">
        <f aca="false">$E1561&amp;"|"&amp;TEXT($AD1561,"0.000000")</f>
        <v>PV 120|0.325714</v>
      </c>
    </row>
    <row r="1562" customFormat="false" ht="15" hidden="false" customHeight="false" outlineLevel="0" collapsed="false">
      <c r="B1562" s="16" t="n">
        <v>39</v>
      </c>
      <c r="C1562" s="17" t="n">
        <f aca="false">DATA_INICIO_SAFRA+($B1562-1)*DIAS_POR_SEMANA</f>
        <v>46531</v>
      </c>
      <c r="D1562" s="17" t="n">
        <f aca="false">$C1562+DIAS_POR_SEMANA-1</f>
        <v>46537</v>
      </c>
      <c r="E1562" s="15" t="s">
        <v>282</v>
      </c>
      <c r="F1562" s="8" t="str">
        <f aca="false">IFERROR(INDEX(CADASTRO_PIVOS!$C$6:$C$41,MATCH($E1562,CADASTRO_PIVOS!$B$6:$B$41,0)),"?")</f>
        <v>RM07</v>
      </c>
      <c r="G1562" s="8" t="str">
        <f aca="false">IFERROR(INDEX(CADASTRO_PIVOS!$D$6:$D$41,MATCH($E1562,CADASTRO_PIVOS!$B$6:$B$41,0)),"?")</f>
        <v>TR07</v>
      </c>
      <c r="H1562" s="20" t="n">
        <f aca="false">IFERROR(INDEX(CADASTRO_PIVOS!$E$6:$E$41,MATCH($E1562,CADASTRO_PIVOS!$B$6:$B$41,0)),0)</f>
        <v>145.67</v>
      </c>
      <c r="I1562" s="16" t="n">
        <f aca="false">IFERROR(SUMIFS(ROTACAO_RDM!$B$6:$B$71,ROTACAO_RDM!$D$6:$D$71,$E1562,ROTACAO_RDM!$I$6:$I$71,"&lt;="&amp;$C1562+INT(DIAS_POR_SEMANA/2),ROTACAO_RDM!$J$6:$J$71,"&gt;="&amp;$C1562+INT(DIAS_POR_SEMANA/2)),0)</f>
        <v>34</v>
      </c>
      <c r="J1562" s="16" t="n">
        <f aca="false">IFERROR(MATCH($I1562,ROTACAO_RDM!$B$6:$B$71,0),0)</f>
        <v>34</v>
      </c>
      <c r="K1562" s="8" t="str">
        <f aca="false">IF($J1562=0,"SEM CULTURA",INDEX(ROTACAO_RDM!$F$6:$F$71,$J1562))</f>
        <v>TABACO</v>
      </c>
      <c r="L1562" s="8" t="str">
        <f aca="false">IF($J1562=0,"",INDEX(ROTACAO_RDM!$G$6:$G$71,$J1562))</f>
        <v>PVH-2343</v>
      </c>
      <c r="M1562" s="17" t="n">
        <f aca="false">IF($J1562=0,"",INDEX(ROTACAO_RDM!$I$6:$I$71,$J1562))</f>
        <v>46399</v>
      </c>
      <c r="N1562" s="16" t="n">
        <f aca="false">IF($J1562=0,0,MAX(0,$C1562+INT(DIAS_POR_SEMANA/2)-INDEX(ROTACAO_RDM!$I$6:$I$71,$J1562)))</f>
        <v>135</v>
      </c>
      <c r="O1562" s="19" t="n">
        <f aca="false">IF($J1562=0,0,MIN(1,$N1562/MAX(1,INDEX(ROTACAO_RDM!$K$6:$K$71,$J1562))))</f>
        <v>0.84375</v>
      </c>
      <c r="P1562" s="16" t="n">
        <f aca="false">IF($J1562=0,0,IFERROR(MATCH(INDEX(ROTACAO_RDM!$N$6:$N$71,$J1562),PARAMETROS_CULTURAS!$B$6:$B$28,0),0))</f>
        <v>9</v>
      </c>
      <c r="Q1562" s="8" t="str">
        <f aca="false">IF($P1562=0,"-",IF($O1562&lt;=INDEX(PARAMETROS_CULTURAS!$F$6:$F$28,$P1562),"INICIAL",IF($O1562&lt;=INDEX(PARAMETROS_CULTURAS!$F$6:$F$28,$P1562)+INDEX(PARAMETROS_CULTURAS!$G$6:$G$28,$P1562),"DESENVOLVIMENTO",IF($O1562&lt;=INDEX(PARAMETROS_CULTURAS!$F$6:$F$28,$P1562)+INDEX(PARAMETROS_CULTURAS!$G$6:$G$28,$P1562)+INDEX(PARAMETROS_CULTURAS!$H$6:$H$28,$P1562),"MEDIA","FINAL"))))</f>
        <v>FINAL</v>
      </c>
      <c r="R1562" s="24" t="n">
        <f aca="false">IF($P1562=0,0,IF($O1562&lt;=INDEX(PARAMETROS_CULTURAS!$F$6:$F$28,$P1562),INDEX(PARAMETROS_CULTURAS!$K$6:$K$28,$P1562),IF($O1562&lt;=INDEX(PARAMETROS_CULTURAS!$F$6:$F$28,$P1562)+INDEX(PARAMETROS_CULTURAS!$G$6:$G$28,$P1562),INDEX(PARAMETROS_CULTURAS!$K$6:$K$28,$P1562)+(INDEX(PARAMETROS_CULTURAS!$L$6:$L$28,$P1562)-INDEX(PARAMETROS_CULTURAS!$K$6:$K$28,$P1562))*($O1562-INDEX(PARAMETROS_CULTURAS!$F$6:$F$28,$P1562))/MAX(INDEX(PARAMETROS_CULTURAS!$G$6:$G$28,$P1562),0.0001),IF($O1562&lt;=INDEX(PARAMETROS_CULTURAS!$F$6:$F$28,$P1562)+INDEX(PARAMETROS_CULTURAS!$G$6:$G$28,$P1562)+INDEX(PARAMETROS_CULTURAS!$H$6:$H$28,$P1562),INDEX(PARAMETROS_CULTURAS!$L$6:$L$28,$P1562),INDEX(PARAMETROS_CULTURAS!$L$6:$L$28,$P1562)+(INDEX(PARAMETROS_CULTURAS!$M$6:$M$28,$P1562)-INDEX(PARAMETROS_CULTURAS!$L$6:$L$28,$P1562))*($O1562-INDEX(PARAMETROS_CULTURAS!$F$6:$F$28,$P1562)-INDEX(PARAMETROS_CULTURAS!$G$6:$G$28,$P1562)-INDEX(PARAMETROS_CULTURAS!$H$6:$H$28,$P1562))/MAX(INDEX(PARAMETROS_CULTURAS!$I$6:$I$28,$P1562),0.0001)))))</f>
        <v>0.967410714285714</v>
      </c>
      <c r="S1562" s="18" t="n">
        <f aca="false">IFERROR(INDEX(SEMANAS!$H$6:$H$71,MATCH($B1562,SEMANAS!$B$6:$B$71,0)),0)</f>
        <v>29.4</v>
      </c>
      <c r="T1562" s="18" t="n">
        <f aca="false">$R1562*$S1562</f>
        <v>28.441875</v>
      </c>
      <c r="U1562" s="18" t="n">
        <f aca="false">IFERROR(INDEX(SEMANAS!$I$6:$I$71,MATCH($B1562,SEMANAS!$B$6:$B$71,0)),0)</f>
        <v>3.36</v>
      </c>
      <c r="V1562" s="18" t="n">
        <f aca="false">IFERROR(INDEX(SEMANAS!$J$6:$J$71,MATCH($B1562,SEMANAS!$B$6:$B$71,0)),0)</f>
        <v>2.688</v>
      </c>
      <c r="W1562" s="18" t="n">
        <f aca="false">MAX(0,$T1562-$V1562)</f>
        <v>25.753875</v>
      </c>
      <c r="X1562" s="19" t="n">
        <f aca="false">IFERROR(INDEX(CADASTRO_PIVOS!$K$6:$K$41,MATCH($E1562,CADASTRO_PIVOS!$B$6:$B$41,0)),EFICIENCIA_PADRAO)</f>
        <v>0.85</v>
      </c>
      <c r="Y1562" s="18" t="n">
        <f aca="false">IF($X1562&lt;=0,0,$W1562/$X1562)</f>
        <v>30.2986764705882</v>
      </c>
      <c r="Z1562" s="16" t="n">
        <f aca="false">$Y1562*$H1562*MM_PARA_M3_HA</f>
        <v>44136.0820147059</v>
      </c>
      <c r="AA1562" s="18" t="n">
        <f aca="false">IFERROR(INDEX(CADASTRO_PIVOS!$I$6:$I$41,MATCH($E1562,CADASTRO_PIVOS!$B$6:$B$41,0)),0)</f>
        <v>971.133333333333</v>
      </c>
      <c r="AB1562" s="18" t="n">
        <f aca="false">IF($Z1562&lt;=0,0,$Z1562/$AA1562)</f>
        <v>45.4480147058824</v>
      </c>
      <c r="AC1562" s="16" t="n">
        <f aca="false">IFERROR(INDEX(SEMANAS!$K$6:$K$71,MATCH($B1562,SEMANAS!$B$6:$B$71,0)),0)</f>
        <v>147</v>
      </c>
      <c r="AD1562" s="19" t="n">
        <f aca="false">IF($AC1562&lt;=0,0,$AB1562/$AC1562)</f>
        <v>0.309170168067227</v>
      </c>
      <c r="AE1562" s="8" t="str">
        <f aca="false">IF($K1562="SEM CULTURA","SEM CULTURA",IF($AA1562&lt;=0,"DADO PENDENTE",IF($AD1562&gt;LIMITE_CRITICO,"INVIAVEL",IF($AD1562&gt;LIMITE_ATENCAO,"CRITICO",IF($AD1562&gt;LIMITE_CONFORTAVEL,"ATENCAO","OK")))))</f>
        <v>OK</v>
      </c>
      <c r="AF1562" s="8" t="str">
        <f aca="false">$B1562&amp;"|"&amp;TEXT($AD1562,"0.000000")</f>
        <v>39|0.309170</v>
      </c>
      <c r="AG1562" s="18" t="n">
        <f aca="false">IF($K1562="SEM CULTURA",0,$T1562*$H1562)</f>
        <v>4143.12793125</v>
      </c>
      <c r="AH1562" s="18" t="n">
        <f aca="false">IF($K1562="SEM CULTURA",0,$V1562*$H1562)</f>
        <v>391.56096</v>
      </c>
      <c r="AI1562" s="18" t="n">
        <f aca="false">IF($K1562="SEM CULTURA",0,$W1562*$H1562)</f>
        <v>3751.56697125</v>
      </c>
      <c r="AJ1562" s="18" t="n">
        <f aca="false">IF($K1562="SEM CULTURA",0,$S1562*$H1562)</f>
        <v>4282.698</v>
      </c>
      <c r="AK1562" s="8" t="str">
        <f aca="false">$E1562&amp;"|"&amp;TEXT($AD1562,"0.000000")</f>
        <v>PV 120|0.309170</v>
      </c>
    </row>
    <row r="1563" customFormat="false" ht="15" hidden="false" customHeight="false" outlineLevel="0" collapsed="false">
      <c r="B1563" s="16" t="n">
        <v>40</v>
      </c>
      <c r="C1563" s="17" t="n">
        <f aca="false">DATA_INICIO_SAFRA+($B1563-1)*DIAS_POR_SEMANA</f>
        <v>46538</v>
      </c>
      <c r="D1563" s="17" t="n">
        <f aca="false">$C1563+DIAS_POR_SEMANA-1</f>
        <v>46544</v>
      </c>
      <c r="E1563" s="15" t="s">
        <v>282</v>
      </c>
      <c r="F1563" s="8" t="str">
        <f aca="false">IFERROR(INDEX(CADASTRO_PIVOS!$C$6:$C$41,MATCH($E1563,CADASTRO_PIVOS!$B$6:$B$41,0)),"?")</f>
        <v>RM07</v>
      </c>
      <c r="G1563" s="8" t="str">
        <f aca="false">IFERROR(INDEX(CADASTRO_PIVOS!$D$6:$D$41,MATCH($E1563,CADASTRO_PIVOS!$B$6:$B$41,0)),"?")</f>
        <v>TR07</v>
      </c>
      <c r="H1563" s="20" t="n">
        <f aca="false">IFERROR(INDEX(CADASTRO_PIVOS!$E$6:$E$41,MATCH($E1563,CADASTRO_PIVOS!$B$6:$B$41,0)),0)</f>
        <v>145.67</v>
      </c>
      <c r="I1563" s="16" t="n">
        <f aca="false">IFERROR(SUMIFS(ROTACAO_RDM!$B$6:$B$71,ROTACAO_RDM!$D$6:$D$71,$E1563,ROTACAO_RDM!$I$6:$I$71,"&lt;="&amp;$C1563+INT(DIAS_POR_SEMANA/2),ROTACAO_RDM!$J$6:$J$71,"&gt;="&amp;$C1563+INT(DIAS_POR_SEMANA/2)),0)</f>
        <v>34</v>
      </c>
      <c r="J1563" s="16" t="n">
        <f aca="false">IFERROR(MATCH($I1563,ROTACAO_RDM!$B$6:$B$71,0),0)</f>
        <v>34</v>
      </c>
      <c r="K1563" s="8" t="str">
        <f aca="false">IF($J1563=0,"SEM CULTURA",INDEX(ROTACAO_RDM!$F$6:$F$71,$J1563))</f>
        <v>TABACO</v>
      </c>
      <c r="L1563" s="8" t="str">
        <f aca="false">IF($J1563=0,"",INDEX(ROTACAO_RDM!$G$6:$G$71,$J1563))</f>
        <v>PVH-2343</v>
      </c>
      <c r="M1563" s="17" t="n">
        <f aca="false">IF($J1563=0,"",INDEX(ROTACAO_RDM!$I$6:$I$71,$J1563))</f>
        <v>46399</v>
      </c>
      <c r="N1563" s="16" t="n">
        <f aca="false">IF($J1563=0,0,MAX(0,$C1563+INT(DIAS_POR_SEMANA/2)-INDEX(ROTACAO_RDM!$I$6:$I$71,$J1563)))</f>
        <v>142</v>
      </c>
      <c r="O1563" s="19" t="n">
        <f aca="false">IF($J1563=0,0,MIN(1,$N1563/MAX(1,INDEX(ROTACAO_RDM!$K$6:$K$71,$J1563))))</f>
        <v>0.8875</v>
      </c>
      <c r="P1563" s="16" t="n">
        <f aca="false">IF($J1563=0,0,IFERROR(MATCH(INDEX(ROTACAO_RDM!$N$6:$N$71,$J1563),PARAMETROS_CULTURAS!$B$6:$B$28,0),0))</f>
        <v>9</v>
      </c>
      <c r="Q1563" s="8" t="str">
        <f aca="false">IF($P1563=0,"-",IF($O1563&lt;=INDEX(PARAMETROS_CULTURAS!$F$6:$F$28,$P1563),"INICIAL",IF($O1563&lt;=INDEX(PARAMETROS_CULTURAS!$F$6:$F$28,$P1563)+INDEX(PARAMETROS_CULTURAS!$G$6:$G$28,$P1563),"DESENVOLVIMENTO",IF($O1563&lt;=INDEX(PARAMETROS_CULTURAS!$F$6:$F$28,$P1563)+INDEX(PARAMETROS_CULTURAS!$G$6:$G$28,$P1563)+INDEX(PARAMETROS_CULTURAS!$H$6:$H$28,$P1563),"MEDIA","FINAL"))))</f>
        <v>FINAL</v>
      </c>
      <c r="R1563" s="24" t="n">
        <f aca="false">IF($P1563=0,0,IF($O1563&lt;=INDEX(PARAMETROS_CULTURAS!$F$6:$F$28,$P1563),INDEX(PARAMETROS_CULTURAS!$K$6:$K$28,$P1563),IF($O1563&lt;=INDEX(PARAMETROS_CULTURAS!$F$6:$F$28,$P1563)+INDEX(PARAMETROS_CULTURAS!$G$6:$G$28,$P1563),INDEX(PARAMETROS_CULTURAS!$K$6:$K$28,$P1563)+(INDEX(PARAMETROS_CULTURAS!$L$6:$L$28,$P1563)-INDEX(PARAMETROS_CULTURAS!$K$6:$K$28,$P1563))*($O1563-INDEX(PARAMETROS_CULTURAS!$F$6:$F$28,$P1563))/MAX(INDEX(PARAMETROS_CULTURAS!$G$6:$G$28,$P1563),0.0001),IF($O1563&lt;=INDEX(PARAMETROS_CULTURAS!$F$6:$F$28,$P1563)+INDEX(PARAMETROS_CULTURAS!$G$6:$G$28,$P1563)+INDEX(PARAMETROS_CULTURAS!$H$6:$H$28,$P1563),INDEX(PARAMETROS_CULTURAS!$L$6:$L$28,$P1563),INDEX(PARAMETROS_CULTURAS!$L$6:$L$28,$P1563)+(INDEX(PARAMETROS_CULTURAS!$M$6:$M$28,$P1563)-INDEX(PARAMETROS_CULTURAS!$L$6:$L$28,$P1563))*($O1563-INDEX(PARAMETROS_CULTURAS!$F$6:$F$28,$P1563)-INDEX(PARAMETROS_CULTURAS!$G$6:$G$28,$P1563)-INDEX(PARAMETROS_CULTURAS!$H$6:$H$28,$P1563))/MAX(INDEX(PARAMETROS_CULTURAS!$I$6:$I$28,$P1563),0.0001)))))</f>
        <v>0.920535714285714</v>
      </c>
      <c r="S1563" s="18" t="n">
        <f aca="false">IFERROR(INDEX(SEMANAS!$H$6:$H$71,MATCH($B1563,SEMANAS!$B$6:$B$71,0)),0)</f>
        <v>28.2</v>
      </c>
      <c r="T1563" s="18" t="n">
        <f aca="false">$R1563*$S1563</f>
        <v>25.9591071428571</v>
      </c>
      <c r="U1563" s="18" t="n">
        <f aca="false">IFERROR(INDEX(SEMANAS!$I$6:$I$71,MATCH($B1563,SEMANAS!$B$6:$B$71,0)),0)</f>
        <v>1.5</v>
      </c>
      <c r="V1563" s="18" t="n">
        <f aca="false">IFERROR(INDEX(SEMANAS!$J$6:$J$71,MATCH($B1563,SEMANAS!$B$6:$B$71,0)),0)</f>
        <v>1.2</v>
      </c>
      <c r="W1563" s="18" t="n">
        <f aca="false">MAX(0,$T1563-$V1563)</f>
        <v>24.7591071428571</v>
      </c>
      <c r="X1563" s="19" t="n">
        <f aca="false">IFERROR(INDEX(CADASTRO_PIVOS!$K$6:$K$41,MATCH($E1563,CADASTRO_PIVOS!$B$6:$B$41,0)),EFICIENCIA_PADRAO)</f>
        <v>0.85</v>
      </c>
      <c r="Y1563" s="18" t="n">
        <f aca="false">IF($X1563&lt;=0,0,$W1563/$X1563)</f>
        <v>29.1283613445378</v>
      </c>
      <c r="Z1563" s="16" t="n">
        <f aca="false">$Y1563*$H1563*MM_PARA_M3_HA</f>
        <v>42431.2839705882</v>
      </c>
      <c r="AA1563" s="18" t="n">
        <f aca="false">IFERROR(INDEX(CADASTRO_PIVOS!$I$6:$I$41,MATCH($E1563,CADASTRO_PIVOS!$B$6:$B$41,0)),0)</f>
        <v>971.133333333333</v>
      </c>
      <c r="AB1563" s="18" t="n">
        <f aca="false">IF($Z1563&lt;=0,0,$Z1563/$AA1563)</f>
        <v>43.6925420168067</v>
      </c>
      <c r="AC1563" s="16" t="n">
        <f aca="false">IFERROR(INDEX(SEMANAS!$K$6:$K$71,MATCH($B1563,SEMANAS!$B$6:$B$71,0)),0)</f>
        <v>147</v>
      </c>
      <c r="AD1563" s="19" t="n">
        <f aca="false">IF($AC1563&lt;=0,0,$AB1563/$AC1563)</f>
        <v>0.29722817698508</v>
      </c>
      <c r="AE1563" s="8" t="str">
        <f aca="false">IF($K1563="SEM CULTURA","SEM CULTURA",IF($AA1563&lt;=0,"DADO PENDENTE",IF($AD1563&gt;LIMITE_CRITICO,"INVIAVEL",IF($AD1563&gt;LIMITE_ATENCAO,"CRITICO",IF($AD1563&gt;LIMITE_CONFORTAVEL,"ATENCAO","OK")))))</f>
        <v>OK</v>
      </c>
      <c r="AF1563" s="8" t="str">
        <f aca="false">$B1563&amp;"|"&amp;TEXT($AD1563,"0.000000")</f>
        <v>40|0.297228</v>
      </c>
      <c r="AG1563" s="18" t="n">
        <f aca="false">IF($K1563="SEM CULTURA",0,$T1563*$H1563)</f>
        <v>3781.4631375</v>
      </c>
      <c r="AH1563" s="18" t="n">
        <f aca="false">IF($K1563="SEM CULTURA",0,$V1563*$H1563)</f>
        <v>174.804</v>
      </c>
      <c r="AI1563" s="18" t="n">
        <f aca="false">IF($K1563="SEM CULTURA",0,$W1563*$H1563)</f>
        <v>3606.6591375</v>
      </c>
      <c r="AJ1563" s="18" t="n">
        <f aca="false">IF($K1563="SEM CULTURA",0,$S1563*$H1563)</f>
        <v>4107.894</v>
      </c>
      <c r="AK1563" s="8" t="str">
        <f aca="false">$E1563&amp;"|"&amp;TEXT($AD1563,"0.000000")</f>
        <v>PV 120|0.297228</v>
      </c>
    </row>
    <row r="1564" customFormat="false" ht="15" hidden="false" customHeight="false" outlineLevel="0" collapsed="false">
      <c r="B1564" s="16" t="n">
        <v>41</v>
      </c>
      <c r="C1564" s="17" t="n">
        <f aca="false">DATA_INICIO_SAFRA+($B1564-1)*DIAS_POR_SEMANA</f>
        <v>46545</v>
      </c>
      <c r="D1564" s="17" t="n">
        <f aca="false">$C1564+DIAS_POR_SEMANA-1</f>
        <v>46551</v>
      </c>
      <c r="E1564" s="15" t="s">
        <v>282</v>
      </c>
      <c r="F1564" s="8" t="str">
        <f aca="false">IFERROR(INDEX(CADASTRO_PIVOS!$C$6:$C$41,MATCH($E1564,CADASTRO_PIVOS!$B$6:$B$41,0)),"?")</f>
        <v>RM07</v>
      </c>
      <c r="G1564" s="8" t="str">
        <f aca="false">IFERROR(INDEX(CADASTRO_PIVOS!$D$6:$D$41,MATCH($E1564,CADASTRO_PIVOS!$B$6:$B$41,0)),"?")</f>
        <v>TR07</v>
      </c>
      <c r="H1564" s="20" t="n">
        <f aca="false">IFERROR(INDEX(CADASTRO_PIVOS!$E$6:$E$41,MATCH($E1564,CADASTRO_PIVOS!$B$6:$B$41,0)),0)</f>
        <v>145.67</v>
      </c>
      <c r="I1564" s="16" t="n">
        <f aca="false">IFERROR(SUMIFS(ROTACAO_RDM!$B$6:$B$71,ROTACAO_RDM!$D$6:$D$71,$E1564,ROTACAO_RDM!$I$6:$I$71,"&lt;="&amp;$C1564+INT(DIAS_POR_SEMANA/2),ROTACAO_RDM!$J$6:$J$71,"&gt;="&amp;$C1564+INT(DIAS_POR_SEMANA/2)),0)</f>
        <v>34</v>
      </c>
      <c r="J1564" s="16" t="n">
        <f aca="false">IFERROR(MATCH($I1564,ROTACAO_RDM!$B$6:$B$71,0),0)</f>
        <v>34</v>
      </c>
      <c r="K1564" s="8" t="str">
        <f aca="false">IF($J1564=0,"SEM CULTURA",INDEX(ROTACAO_RDM!$F$6:$F$71,$J1564))</f>
        <v>TABACO</v>
      </c>
      <c r="L1564" s="8" t="str">
        <f aca="false">IF($J1564=0,"",INDEX(ROTACAO_RDM!$G$6:$G$71,$J1564))</f>
        <v>PVH-2343</v>
      </c>
      <c r="M1564" s="17" t="n">
        <f aca="false">IF($J1564=0,"",INDEX(ROTACAO_RDM!$I$6:$I$71,$J1564))</f>
        <v>46399</v>
      </c>
      <c r="N1564" s="16" t="n">
        <f aca="false">IF($J1564=0,0,MAX(0,$C1564+INT(DIAS_POR_SEMANA/2)-INDEX(ROTACAO_RDM!$I$6:$I$71,$J1564)))</f>
        <v>149</v>
      </c>
      <c r="O1564" s="19" t="n">
        <f aca="false">IF($J1564=0,0,MIN(1,$N1564/MAX(1,INDEX(ROTACAO_RDM!$K$6:$K$71,$J1564))))</f>
        <v>0.93125</v>
      </c>
      <c r="P1564" s="16" t="n">
        <f aca="false">IF($J1564=0,0,IFERROR(MATCH(INDEX(ROTACAO_RDM!$N$6:$N$71,$J1564),PARAMETROS_CULTURAS!$B$6:$B$28,0),0))</f>
        <v>9</v>
      </c>
      <c r="Q1564" s="8" t="str">
        <f aca="false">IF($P1564=0,"-",IF($O1564&lt;=INDEX(PARAMETROS_CULTURAS!$F$6:$F$28,$P1564),"INICIAL",IF($O1564&lt;=INDEX(PARAMETROS_CULTURAS!$F$6:$F$28,$P1564)+INDEX(PARAMETROS_CULTURAS!$G$6:$G$28,$P1564),"DESENVOLVIMENTO",IF($O1564&lt;=INDEX(PARAMETROS_CULTURAS!$F$6:$F$28,$P1564)+INDEX(PARAMETROS_CULTURAS!$G$6:$G$28,$P1564)+INDEX(PARAMETROS_CULTURAS!$H$6:$H$28,$P1564),"MEDIA","FINAL"))))</f>
        <v>FINAL</v>
      </c>
      <c r="R1564" s="24" t="n">
        <f aca="false">IF($P1564=0,0,IF($O1564&lt;=INDEX(PARAMETROS_CULTURAS!$F$6:$F$28,$P1564),INDEX(PARAMETROS_CULTURAS!$K$6:$K$28,$P1564),IF($O1564&lt;=INDEX(PARAMETROS_CULTURAS!$F$6:$F$28,$P1564)+INDEX(PARAMETROS_CULTURAS!$G$6:$G$28,$P1564),INDEX(PARAMETROS_CULTURAS!$K$6:$K$28,$P1564)+(INDEX(PARAMETROS_CULTURAS!$L$6:$L$28,$P1564)-INDEX(PARAMETROS_CULTURAS!$K$6:$K$28,$P1564))*($O1564-INDEX(PARAMETROS_CULTURAS!$F$6:$F$28,$P1564))/MAX(INDEX(PARAMETROS_CULTURAS!$G$6:$G$28,$P1564),0.0001),IF($O1564&lt;=INDEX(PARAMETROS_CULTURAS!$F$6:$F$28,$P1564)+INDEX(PARAMETROS_CULTURAS!$G$6:$G$28,$P1564)+INDEX(PARAMETROS_CULTURAS!$H$6:$H$28,$P1564),INDEX(PARAMETROS_CULTURAS!$L$6:$L$28,$P1564),INDEX(PARAMETROS_CULTURAS!$L$6:$L$28,$P1564)+(INDEX(PARAMETROS_CULTURAS!$M$6:$M$28,$P1564)-INDEX(PARAMETROS_CULTURAS!$L$6:$L$28,$P1564))*($O1564-INDEX(PARAMETROS_CULTURAS!$F$6:$F$28,$P1564)-INDEX(PARAMETROS_CULTURAS!$G$6:$G$28,$P1564)-INDEX(PARAMETROS_CULTURAS!$H$6:$H$28,$P1564))/MAX(INDEX(PARAMETROS_CULTURAS!$I$6:$I$28,$P1564),0.0001)))))</f>
        <v>0.873660714285715</v>
      </c>
      <c r="S1564" s="18" t="n">
        <f aca="false">IFERROR(INDEX(SEMANAS!$H$6:$H$71,MATCH($B1564,SEMANAS!$B$6:$B$71,0)),0)</f>
        <v>28</v>
      </c>
      <c r="T1564" s="18" t="n">
        <f aca="false">$R1564*$S1564</f>
        <v>24.4625</v>
      </c>
      <c r="U1564" s="18" t="n">
        <f aca="false">IFERROR(INDEX(SEMANAS!$I$6:$I$71,MATCH($B1564,SEMANAS!$B$6:$B$71,0)),0)</f>
        <v>1.19</v>
      </c>
      <c r="V1564" s="18" t="n">
        <f aca="false">IFERROR(INDEX(SEMANAS!$J$6:$J$71,MATCH($B1564,SEMANAS!$B$6:$B$71,0)),0)</f>
        <v>0.952</v>
      </c>
      <c r="W1564" s="18" t="n">
        <f aca="false">MAX(0,$T1564-$V1564)</f>
        <v>23.5105</v>
      </c>
      <c r="X1564" s="19" t="n">
        <f aca="false">IFERROR(INDEX(CADASTRO_PIVOS!$K$6:$K$41,MATCH($E1564,CADASTRO_PIVOS!$B$6:$B$41,0)),EFICIENCIA_PADRAO)</f>
        <v>0.85</v>
      </c>
      <c r="Y1564" s="18" t="n">
        <f aca="false">IF($X1564&lt;=0,0,$W1564/$X1564)</f>
        <v>27.6594117647059</v>
      </c>
      <c r="Z1564" s="16" t="n">
        <f aca="false">$Y1564*$H1564*MM_PARA_M3_HA</f>
        <v>40291.4651176471</v>
      </c>
      <c r="AA1564" s="18" t="n">
        <f aca="false">IFERROR(INDEX(CADASTRO_PIVOS!$I$6:$I$41,MATCH($E1564,CADASTRO_PIVOS!$B$6:$B$41,0)),0)</f>
        <v>971.133333333333</v>
      </c>
      <c r="AB1564" s="18" t="n">
        <f aca="false">IF($Z1564&lt;=0,0,$Z1564/$AA1564)</f>
        <v>41.4891176470588</v>
      </c>
      <c r="AC1564" s="16" t="n">
        <f aca="false">IFERROR(INDEX(SEMANAS!$K$6:$K$71,MATCH($B1564,SEMANAS!$B$6:$B$71,0)),0)</f>
        <v>147</v>
      </c>
      <c r="AD1564" s="19" t="n">
        <f aca="false">IF($AC1564&lt;=0,0,$AB1564/$AC1564)</f>
        <v>0.282238895558223</v>
      </c>
      <c r="AE1564" s="8" t="str">
        <f aca="false">IF($K1564="SEM CULTURA","SEM CULTURA",IF($AA1564&lt;=0,"DADO PENDENTE",IF($AD1564&gt;LIMITE_CRITICO,"INVIAVEL",IF($AD1564&gt;LIMITE_ATENCAO,"CRITICO",IF($AD1564&gt;LIMITE_CONFORTAVEL,"ATENCAO","OK")))))</f>
        <v>OK</v>
      </c>
      <c r="AF1564" s="8" t="str">
        <f aca="false">$B1564&amp;"|"&amp;TEXT($AD1564,"0.000000")</f>
        <v>41|0.282239</v>
      </c>
      <c r="AG1564" s="18" t="n">
        <f aca="false">IF($K1564="SEM CULTURA",0,$T1564*$H1564)</f>
        <v>3563.452375</v>
      </c>
      <c r="AH1564" s="18" t="n">
        <f aca="false">IF($K1564="SEM CULTURA",0,$V1564*$H1564)</f>
        <v>138.67784</v>
      </c>
      <c r="AI1564" s="18" t="n">
        <f aca="false">IF($K1564="SEM CULTURA",0,$W1564*$H1564)</f>
        <v>3424.774535</v>
      </c>
      <c r="AJ1564" s="18" t="n">
        <f aca="false">IF($K1564="SEM CULTURA",0,$S1564*$H1564)</f>
        <v>4078.76</v>
      </c>
      <c r="AK1564" s="8" t="str">
        <f aca="false">$E1564&amp;"|"&amp;TEXT($AD1564,"0.000000")</f>
        <v>PV 120|0.282239</v>
      </c>
    </row>
    <row r="1565" customFormat="false" ht="15" hidden="false" customHeight="false" outlineLevel="0" collapsed="false">
      <c r="B1565" s="16" t="n">
        <v>42</v>
      </c>
      <c r="C1565" s="17" t="n">
        <f aca="false">DATA_INICIO_SAFRA+($B1565-1)*DIAS_POR_SEMANA</f>
        <v>46552</v>
      </c>
      <c r="D1565" s="17" t="n">
        <f aca="false">$C1565+DIAS_POR_SEMANA-1</f>
        <v>46558</v>
      </c>
      <c r="E1565" s="15" t="s">
        <v>282</v>
      </c>
      <c r="F1565" s="8" t="str">
        <f aca="false">IFERROR(INDEX(CADASTRO_PIVOS!$C$6:$C$41,MATCH($E1565,CADASTRO_PIVOS!$B$6:$B$41,0)),"?")</f>
        <v>RM07</v>
      </c>
      <c r="G1565" s="8" t="str">
        <f aca="false">IFERROR(INDEX(CADASTRO_PIVOS!$D$6:$D$41,MATCH($E1565,CADASTRO_PIVOS!$B$6:$B$41,0)),"?")</f>
        <v>TR07</v>
      </c>
      <c r="H1565" s="20" t="n">
        <f aca="false">IFERROR(INDEX(CADASTRO_PIVOS!$E$6:$E$41,MATCH($E1565,CADASTRO_PIVOS!$B$6:$B$41,0)),0)</f>
        <v>145.67</v>
      </c>
      <c r="I1565" s="16" t="n">
        <f aca="false">IFERROR(SUMIFS(ROTACAO_RDM!$B$6:$B$71,ROTACAO_RDM!$D$6:$D$71,$E1565,ROTACAO_RDM!$I$6:$I$71,"&lt;="&amp;$C1565+INT(DIAS_POR_SEMANA/2),ROTACAO_RDM!$J$6:$J$71,"&gt;="&amp;$C1565+INT(DIAS_POR_SEMANA/2)),0)</f>
        <v>34</v>
      </c>
      <c r="J1565" s="16" t="n">
        <f aca="false">IFERROR(MATCH($I1565,ROTACAO_RDM!$B$6:$B$71,0),0)</f>
        <v>34</v>
      </c>
      <c r="K1565" s="8" t="str">
        <f aca="false">IF($J1565=0,"SEM CULTURA",INDEX(ROTACAO_RDM!$F$6:$F$71,$J1565))</f>
        <v>TABACO</v>
      </c>
      <c r="L1565" s="8" t="str">
        <f aca="false">IF($J1565=0,"",INDEX(ROTACAO_RDM!$G$6:$G$71,$J1565))</f>
        <v>PVH-2343</v>
      </c>
      <c r="M1565" s="17" t="n">
        <f aca="false">IF($J1565=0,"",INDEX(ROTACAO_RDM!$I$6:$I$71,$J1565))</f>
        <v>46399</v>
      </c>
      <c r="N1565" s="16" t="n">
        <f aca="false">IF($J1565=0,0,MAX(0,$C1565+INT(DIAS_POR_SEMANA/2)-INDEX(ROTACAO_RDM!$I$6:$I$71,$J1565)))</f>
        <v>156</v>
      </c>
      <c r="O1565" s="19" t="n">
        <f aca="false">IF($J1565=0,0,MIN(1,$N1565/MAX(1,INDEX(ROTACAO_RDM!$K$6:$K$71,$J1565))))</f>
        <v>0.975</v>
      </c>
      <c r="P1565" s="16" t="n">
        <f aca="false">IF($J1565=0,0,IFERROR(MATCH(INDEX(ROTACAO_RDM!$N$6:$N$71,$J1565),PARAMETROS_CULTURAS!$B$6:$B$28,0),0))</f>
        <v>9</v>
      </c>
      <c r="Q1565" s="8" t="str">
        <f aca="false">IF($P1565=0,"-",IF($O1565&lt;=INDEX(PARAMETROS_CULTURAS!$F$6:$F$28,$P1565),"INICIAL",IF($O1565&lt;=INDEX(PARAMETROS_CULTURAS!$F$6:$F$28,$P1565)+INDEX(PARAMETROS_CULTURAS!$G$6:$G$28,$P1565),"DESENVOLVIMENTO",IF($O1565&lt;=INDEX(PARAMETROS_CULTURAS!$F$6:$F$28,$P1565)+INDEX(PARAMETROS_CULTURAS!$G$6:$G$28,$P1565)+INDEX(PARAMETROS_CULTURAS!$H$6:$H$28,$P1565),"MEDIA","FINAL"))))</f>
        <v>FINAL</v>
      </c>
      <c r="R1565" s="24" t="n">
        <f aca="false">IF($P1565=0,0,IF($O1565&lt;=INDEX(PARAMETROS_CULTURAS!$F$6:$F$28,$P1565),INDEX(PARAMETROS_CULTURAS!$K$6:$K$28,$P1565),IF($O1565&lt;=INDEX(PARAMETROS_CULTURAS!$F$6:$F$28,$P1565)+INDEX(PARAMETROS_CULTURAS!$G$6:$G$28,$P1565),INDEX(PARAMETROS_CULTURAS!$K$6:$K$28,$P1565)+(INDEX(PARAMETROS_CULTURAS!$L$6:$L$28,$P1565)-INDEX(PARAMETROS_CULTURAS!$K$6:$K$28,$P1565))*($O1565-INDEX(PARAMETROS_CULTURAS!$F$6:$F$28,$P1565))/MAX(INDEX(PARAMETROS_CULTURAS!$G$6:$G$28,$P1565),0.0001),IF($O1565&lt;=INDEX(PARAMETROS_CULTURAS!$F$6:$F$28,$P1565)+INDEX(PARAMETROS_CULTURAS!$G$6:$G$28,$P1565)+INDEX(PARAMETROS_CULTURAS!$H$6:$H$28,$P1565),INDEX(PARAMETROS_CULTURAS!$L$6:$L$28,$P1565),INDEX(PARAMETROS_CULTURAS!$L$6:$L$28,$P1565)+(INDEX(PARAMETROS_CULTURAS!$M$6:$M$28,$P1565)-INDEX(PARAMETROS_CULTURAS!$L$6:$L$28,$P1565))*($O1565-INDEX(PARAMETROS_CULTURAS!$F$6:$F$28,$P1565)-INDEX(PARAMETROS_CULTURAS!$G$6:$G$28,$P1565)-INDEX(PARAMETROS_CULTURAS!$H$6:$H$28,$P1565))/MAX(INDEX(PARAMETROS_CULTURAS!$I$6:$I$28,$P1565),0.0001)))))</f>
        <v>0.826785714285715</v>
      </c>
      <c r="S1565" s="18" t="n">
        <f aca="false">IFERROR(INDEX(SEMANAS!$H$6:$H$71,MATCH($B1565,SEMANAS!$B$6:$B$71,0)),0)</f>
        <v>28</v>
      </c>
      <c r="T1565" s="18" t="n">
        <f aca="false">$R1565*$S1565</f>
        <v>23.15</v>
      </c>
      <c r="U1565" s="18" t="n">
        <f aca="false">IFERROR(INDEX(SEMANAS!$I$6:$I$71,MATCH($B1565,SEMANAS!$B$6:$B$71,0)),0)</f>
        <v>1.19</v>
      </c>
      <c r="V1565" s="18" t="n">
        <f aca="false">IFERROR(INDEX(SEMANAS!$J$6:$J$71,MATCH($B1565,SEMANAS!$B$6:$B$71,0)),0)</f>
        <v>0.952</v>
      </c>
      <c r="W1565" s="18" t="n">
        <f aca="false">MAX(0,$T1565-$V1565)</f>
        <v>22.198</v>
      </c>
      <c r="X1565" s="19" t="n">
        <f aca="false">IFERROR(INDEX(CADASTRO_PIVOS!$K$6:$K$41,MATCH($E1565,CADASTRO_PIVOS!$B$6:$B$41,0)),EFICIENCIA_PADRAO)</f>
        <v>0.85</v>
      </c>
      <c r="Y1565" s="18" t="n">
        <f aca="false">IF($X1565&lt;=0,0,$W1565/$X1565)</f>
        <v>26.1152941176471</v>
      </c>
      <c r="Z1565" s="16" t="n">
        <f aca="false">$Y1565*$H1565*MM_PARA_M3_HA</f>
        <v>38042.1489411765</v>
      </c>
      <c r="AA1565" s="18" t="n">
        <f aca="false">IFERROR(INDEX(CADASTRO_PIVOS!$I$6:$I$41,MATCH($E1565,CADASTRO_PIVOS!$B$6:$B$41,0)),0)</f>
        <v>971.133333333333</v>
      </c>
      <c r="AB1565" s="18" t="n">
        <f aca="false">IF($Z1565&lt;=0,0,$Z1565/$AA1565)</f>
        <v>39.1729411764706</v>
      </c>
      <c r="AC1565" s="16" t="n">
        <f aca="false">IFERROR(INDEX(SEMANAS!$K$6:$K$71,MATCH($B1565,SEMANAS!$B$6:$B$71,0)),0)</f>
        <v>147</v>
      </c>
      <c r="AD1565" s="19" t="n">
        <f aca="false">IF($AC1565&lt;=0,0,$AB1565/$AC1565)</f>
        <v>0.266482593037215</v>
      </c>
      <c r="AE1565" s="8" t="str">
        <f aca="false">IF($K1565="SEM CULTURA","SEM CULTURA",IF($AA1565&lt;=0,"DADO PENDENTE",IF($AD1565&gt;LIMITE_CRITICO,"INVIAVEL",IF($AD1565&gt;LIMITE_ATENCAO,"CRITICO",IF($AD1565&gt;LIMITE_CONFORTAVEL,"ATENCAO","OK")))))</f>
        <v>OK</v>
      </c>
      <c r="AF1565" s="8" t="str">
        <f aca="false">$B1565&amp;"|"&amp;TEXT($AD1565,"0.000000")</f>
        <v>42|0.266483</v>
      </c>
      <c r="AG1565" s="18" t="n">
        <f aca="false">IF($K1565="SEM CULTURA",0,$T1565*$H1565)</f>
        <v>3372.2605</v>
      </c>
      <c r="AH1565" s="18" t="n">
        <f aca="false">IF($K1565="SEM CULTURA",0,$V1565*$H1565)</f>
        <v>138.67784</v>
      </c>
      <c r="AI1565" s="18" t="n">
        <f aca="false">IF($K1565="SEM CULTURA",0,$W1565*$H1565)</f>
        <v>3233.58266</v>
      </c>
      <c r="AJ1565" s="18" t="n">
        <f aca="false">IF($K1565="SEM CULTURA",0,$S1565*$H1565)</f>
        <v>4078.76</v>
      </c>
      <c r="AK1565" s="8" t="str">
        <f aca="false">$E1565&amp;"|"&amp;TEXT($AD1565,"0.000000")</f>
        <v>PV 120|0.266483</v>
      </c>
    </row>
    <row r="1566" customFormat="false" ht="15" hidden="false" customHeight="false" outlineLevel="0" collapsed="false">
      <c r="B1566" s="16" t="n">
        <v>43</v>
      </c>
      <c r="C1566" s="17" t="n">
        <f aca="false">DATA_INICIO_SAFRA+($B1566-1)*DIAS_POR_SEMANA</f>
        <v>46559</v>
      </c>
      <c r="D1566" s="17" t="n">
        <f aca="false">$C1566+DIAS_POR_SEMANA-1</f>
        <v>46565</v>
      </c>
      <c r="E1566" s="15" t="s">
        <v>282</v>
      </c>
      <c r="F1566" s="8" t="str">
        <f aca="false">IFERROR(INDEX(CADASTRO_PIVOS!$C$6:$C$41,MATCH($E1566,CADASTRO_PIVOS!$B$6:$B$41,0)),"?")</f>
        <v>RM07</v>
      </c>
      <c r="G1566" s="8" t="str">
        <f aca="false">IFERROR(INDEX(CADASTRO_PIVOS!$D$6:$D$41,MATCH($E1566,CADASTRO_PIVOS!$B$6:$B$41,0)),"?")</f>
        <v>TR07</v>
      </c>
      <c r="H1566" s="20" t="n">
        <f aca="false">IFERROR(INDEX(CADASTRO_PIVOS!$E$6:$E$41,MATCH($E1566,CADASTRO_PIVOS!$B$6:$B$41,0)),0)</f>
        <v>145.67</v>
      </c>
      <c r="I1566" s="16" t="n">
        <f aca="false">IFERROR(SUMIFS(ROTACAO_RDM!$B$6:$B$71,ROTACAO_RDM!$D$6:$D$71,$E1566,ROTACAO_RDM!$I$6:$I$71,"&lt;="&amp;$C1566+INT(DIAS_POR_SEMANA/2),ROTACAO_RDM!$J$6:$J$71,"&gt;="&amp;$C1566+INT(DIAS_POR_SEMANA/2)),0)</f>
        <v>0</v>
      </c>
      <c r="J1566" s="16" t="n">
        <f aca="false">IFERROR(MATCH($I1566,ROTACAO_RDM!$B$6:$B$71,0),0)</f>
        <v>0</v>
      </c>
      <c r="K1566" s="8" t="str">
        <f aca="false">IF($J1566=0,"SEM CULTURA",INDEX(ROTACAO_RDM!$F$6:$F$71,$J1566))</f>
        <v>SEM CULTURA</v>
      </c>
      <c r="L1566" s="8" t="str">
        <f aca="false">IF($J1566=0,"",INDEX(ROTACAO_RDM!$G$6:$G$71,$J1566))</f>
        <v/>
      </c>
      <c r="M1566" s="17" t="str">
        <f aca="false">IF($J1566=0,"",INDEX(ROTACAO_RDM!$I$6:$I$71,$J1566))</f>
        <v/>
      </c>
      <c r="N1566" s="16" t="n">
        <f aca="false">IF($J1566=0,0,MAX(0,$C1566+INT(DIAS_POR_SEMANA/2)-INDEX(ROTACAO_RDM!$I$6:$I$71,$J1566)))</f>
        <v>0</v>
      </c>
      <c r="O1566" s="19" t="n">
        <f aca="false">IF($J1566=0,0,MIN(1,$N1566/MAX(1,INDEX(ROTACAO_RDM!$K$6:$K$71,$J1566))))</f>
        <v>0</v>
      </c>
      <c r="P1566" s="16" t="n">
        <f aca="false">IF($J1566=0,0,IFERROR(MATCH(INDEX(ROTACAO_RDM!$N$6:$N$71,$J1566),PARAMETROS_CULTURAS!$B$6:$B$28,0),0))</f>
        <v>0</v>
      </c>
      <c r="Q1566" s="8" t="str">
        <f aca="false">IF($P1566=0,"-",IF($O1566&lt;=INDEX(PARAMETROS_CULTURAS!$F$6:$F$28,$P1566),"INICIAL",IF($O1566&lt;=INDEX(PARAMETROS_CULTURAS!$F$6:$F$28,$P1566)+INDEX(PARAMETROS_CULTURAS!$G$6:$G$28,$P1566),"DESENVOLVIMENTO",IF($O1566&lt;=INDEX(PARAMETROS_CULTURAS!$F$6:$F$28,$P1566)+INDEX(PARAMETROS_CULTURAS!$G$6:$G$28,$P1566)+INDEX(PARAMETROS_CULTURAS!$H$6:$H$28,$P1566),"MEDIA","FINAL"))))</f>
        <v>-</v>
      </c>
      <c r="R1566" s="24" t="n">
        <f aca="false">IF($P1566=0,0,IF($O1566&lt;=INDEX(PARAMETROS_CULTURAS!$F$6:$F$28,$P1566),INDEX(PARAMETROS_CULTURAS!$K$6:$K$28,$P1566),IF($O1566&lt;=INDEX(PARAMETROS_CULTURAS!$F$6:$F$28,$P1566)+INDEX(PARAMETROS_CULTURAS!$G$6:$G$28,$P1566),INDEX(PARAMETROS_CULTURAS!$K$6:$K$28,$P1566)+(INDEX(PARAMETROS_CULTURAS!$L$6:$L$28,$P1566)-INDEX(PARAMETROS_CULTURAS!$K$6:$K$28,$P1566))*($O1566-INDEX(PARAMETROS_CULTURAS!$F$6:$F$28,$P1566))/MAX(INDEX(PARAMETROS_CULTURAS!$G$6:$G$28,$P1566),0.0001),IF($O1566&lt;=INDEX(PARAMETROS_CULTURAS!$F$6:$F$28,$P1566)+INDEX(PARAMETROS_CULTURAS!$G$6:$G$28,$P1566)+INDEX(PARAMETROS_CULTURAS!$H$6:$H$28,$P1566),INDEX(PARAMETROS_CULTURAS!$L$6:$L$28,$P1566),INDEX(PARAMETROS_CULTURAS!$L$6:$L$28,$P1566)+(INDEX(PARAMETROS_CULTURAS!$M$6:$M$28,$P1566)-INDEX(PARAMETROS_CULTURAS!$L$6:$L$28,$P1566))*($O1566-INDEX(PARAMETROS_CULTURAS!$F$6:$F$28,$P1566)-INDEX(PARAMETROS_CULTURAS!$G$6:$G$28,$P1566)-INDEX(PARAMETROS_CULTURAS!$H$6:$H$28,$P1566))/MAX(INDEX(PARAMETROS_CULTURAS!$I$6:$I$28,$P1566),0.0001)))))</f>
        <v>0</v>
      </c>
      <c r="S1566" s="18" t="n">
        <f aca="false">IFERROR(INDEX(SEMANAS!$H$6:$H$71,MATCH($B1566,SEMANAS!$B$6:$B$71,0)),0)</f>
        <v>28</v>
      </c>
      <c r="T1566" s="18" t="n">
        <f aca="false">$R1566*$S1566</f>
        <v>0</v>
      </c>
      <c r="U1566" s="18" t="n">
        <f aca="false">IFERROR(INDEX(SEMANAS!$I$6:$I$71,MATCH($B1566,SEMANAS!$B$6:$B$71,0)),0)</f>
        <v>1.19</v>
      </c>
      <c r="V1566" s="18" t="n">
        <f aca="false">IFERROR(INDEX(SEMANAS!$J$6:$J$71,MATCH($B1566,SEMANAS!$B$6:$B$71,0)),0)</f>
        <v>0.952</v>
      </c>
      <c r="W1566" s="18" t="n">
        <f aca="false">MAX(0,$T1566-$V1566)</f>
        <v>0</v>
      </c>
      <c r="X1566" s="19" t="n">
        <f aca="false">IFERROR(INDEX(CADASTRO_PIVOS!$K$6:$K$41,MATCH($E1566,CADASTRO_PIVOS!$B$6:$B$41,0)),EFICIENCIA_PADRAO)</f>
        <v>0.85</v>
      </c>
      <c r="Y1566" s="18" t="n">
        <f aca="false">IF($X1566&lt;=0,0,$W1566/$X1566)</f>
        <v>0</v>
      </c>
      <c r="Z1566" s="16" t="n">
        <f aca="false">$Y1566*$H1566*MM_PARA_M3_HA</f>
        <v>0</v>
      </c>
      <c r="AA1566" s="18" t="n">
        <f aca="false">IFERROR(INDEX(CADASTRO_PIVOS!$I$6:$I$41,MATCH($E1566,CADASTRO_PIVOS!$B$6:$B$41,0)),0)</f>
        <v>971.133333333333</v>
      </c>
      <c r="AB1566" s="18" t="n">
        <f aca="false">IF($Z1566&lt;=0,0,$Z1566/$AA1566)</f>
        <v>0</v>
      </c>
      <c r="AC1566" s="16" t="n">
        <f aca="false">IFERROR(INDEX(SEMANAS!$K$6:$K$71,MATCH($B1566,SEMANAS!$B$6:$B$71,0)),0)</f>
        <v>147</v>
      </c>
      <c r="AD1566" s="19" t="n">
        <f aca="false">IF($AC1566&lt;=0,0,$AB1566/$AC1566)</f>
        <v>0</v>
      </c>
      <c r="AE1566" s="8" t="str">
        <f aca="false">IF($K1566="SEM CULTURA","SEM CULTURA",IF($AA1566&lt;=0,"DADO PENDENTE",IF($AD1566&gt;LIMITE_CRITICO,"INVIAVEL",IF($AD1566&gt;LIMITE_ATENCAO,"CRITICO",IF($AD1566&gt;LIMITE_CONFORTAVEL,"ATENCAO","OK")))))</f>
        <v>SEM CULTURA</v>
      </c>
      <c r="AF1566" s="8" t="str">
        <f aca="false">$B1566&amp;"|"&amp;TEXT($AD1566,"0.000000")</f>
        <v>43|0.000000</v>
      </c>
      <c r="AG1566" s="18" t="n">
        <f aca="false">IF($K1566="SEM CULTURA",0,$T1566*$H1566)</f>
        <v>0</v>
      </c>
      <c r="AH1566" s="18" t="n">
        <f aca="false">IF($K1566="SEM CULTURA",0,$V1566*$H1566)</f>
        <v>0</v>
      </c>
      <c r="AI1566" s="18" t="n">
        <f aca="false">IF($K1566="SEM CULTURA",0,$W1566*$H1566)</f>
        <v>0</v>
      </c>
      <c r="AJ1566" s="18" t="n">
        <f aca="false">IF($K1566="SEM CULTURA",0,$S1566*$H1566)</f>
        <v>0</v>
      </c>
      <c r="AK1566" s="8" t="str">
        <f aca="false">$E1566&amp;"|"&amp;TEXT($AD1566,"0.000000")</f>
        <v>PV 120|0.000000</v>
      </c>
    </row>
    <row r="1567" customFormat="false" ht="15" hidden="false" customHeight="false" outlineLevel="0" collapsed="false">
      <c r="B1567" s="16" t="n">
        <v>44</v>
      </c>
      <c r="C1567" s="17" t="n">
        <f aca="false">DATA_INICIO_SAFRA+($B1567-1)*DIAS_POR_SEMANA</f>
        <v>46566</v>
      </c>
      <c r="D1567" s="17" t="n">
        <f aca="false">$C1567+DIAS_POR_SEMANA-1</f>
        <v>46572</v>
      </c>
      <c r="E1567" s="15" t="s">
        <v>282</v>
      </c>
      <c r="F1567" s="8" t="str">
        <f aca="false">IFERROR(INDEX(CADASTRO_PIVOS!$C$6:$C$41,MATCH($E1567,CADASTRO_PIVOS!$B$6:$B$41,0)),"?")</f>
        <v>RM07</v>
      </c>
      <c r="G1567" s="8" t="str">
        <f aca="false">IFERROR(INDEX(CADASTRO_PIVOS!$D$6:$D$41,MATCH($E1567,CADASTRO_PIVOS!$B$6:$B$41,0)),"?")</f>
        <v>TR07</v>
      </c>
      <c r="H1567" s="20" t="n">
        <f aca="false">IFERROR(INDEX(CADASTRO_PIVOS!$E$6:$E$41,MATCH($E1567,CADASTRO_PIVOS!$B$6:$B$41,0)),0)</f>
        <v>145.67</v>
      </c>
      <c r="I1567" s="16" t="n">
        <f aca="false">IFERROR(SUMIFS(ROTACAO_RDM!$B$6:$B$71,ROTACAO_RDM!$D$6:$D$71,$E1567,ROTACAO_RDM!$I$6:$I$71,"&lt;="&amp;$C1567+INT(DIAS_POR_SEMANA/2),ROTACAO_RDM!$J$6:$J$71,"&gt;="&amp;$C1567+INT(DIAS_POR_SEMANA/2)),0)</f>
        <v>35</v>
      </c>
      <c r="J1567" s="16" t="n">
        <f aca="false">IFERROR(MATCH($I1567,ROTACAO_RDM!$B$6:$B$71,0),0)</f>
        <v>35</v>
      </c>
      <c r="K1567" s="8" t="str">
        <f aca="false">IF($J1567=0,"SEM CULTURA",INDEX(ROTACAO_RDM!$F$6:$F$71,$J1567))</f>
        <v>MILHO_GRAO</v>
      </c>
      <c r="L1567" s="8" t="n">
        <f aca="false">IF($J1567=0,"",INDEX(ROTACAO_RDM!$G$6:$G$71,$J1567))</f>
        <v>0</v>
      </c>
      <c r="M1567" s="17" t="n">
        <f aca="false">IF($J1567=0,"",INDEX(ROTACAO_RDM!$I$6:$I$71,$J1567))</f>
        <v>46569</v>
      </c>
      <c r="N1567" s="16" t="n">
        <f aca="false">IF($J1567=0,0,MAX(0,$C1567+INT(DIAS_POR_SEMANA/2)-INDEX(ROTACAO_RDM!$I$6:$I$71,$J1567)))</f>
        <v>0</v>
      </c>
      <c r="O1567" s="19" t="n">
        <f aca="false">IF($J1567=0,0,MIN(1,$N1567/MAX(1,INDEX(ROTACAO_RDM!$K$6:$K$71,$J1567))))</f>
        <v>0</v>
      </c>
      <c r="P1567" s="16" t="n">
        <f aca="false">IF($J1567=0,0,IFERROR(MATCH(INDEX(ROTACAO_RDM!$N$6:$N$71,$J1567),PARAMETROS_CULTURAS!$B$6:$B$28,0),0))</f>
        <v>8</v>
      </c>
      <c r="Q1567" s="8" t="str">
        <f aca="false">IF($P1567=0,"-",IF($O1567&lt;=INDEX(PARAMETROS_CULTURAS!$F$6:$F$28,$P1567),"INICIAL",IF($O1567&lt;=INDEX(PARAMETROS_CULTURAS!$F$6:$F$28,$P1567)+INDEX(PARAMETROS_CULTURAS!$G$6:$G$28,$P1567),"DESENVOLVIMENTO",IF($O1567&lt;=INDEX(PARAMETROS_CULTURAS!$F$6:$F$28,$P1567)+INDEX(PARAMETROS_CULTURAS!$G$6:$G$28,$P1567)+INDEX(PARAMETROS_CULTURAS!$H$6:$H$28,$P1567),"MEDIA","FINAL"))))</f>
        <v>INICIAL</v>
      </c>
      <c r="R1567" s="24" t="n">
        <f aca="false">IF($P1567=0,0,IF($O1567&lt;=INDEX(PARAMETROS_CULTURAS!$F$6:$F$28,$P1567),INDEX(PARAMETROS_CULTURAS!$K$6:$K$28,$P1567),IF($O1567&lt;=INDEX(PARAMETROS_CULTURAS!$F$6:$F$28,$P1567)+INDEX(PARAMETROS_CULTURAS!$G$6:$G$28,$P1567),INDEX(PARAMETROS_CULTURAS!$K$6:$K$28,$P1567)+(INDEX(PARAMETROS_CULTURAS!$L$6:$L$28,$P1567)-INDEX(PARAMETROS_CULTURAS!$K$6:$K$28,$P1567))*($O1567-INDEX(PARAMETROS_CULTURAS!$F$6:$F$28,$P1567))/MAX(INDEX(PARAMETROS_CULTURAS!$G$6:$G$28,$P1567),0.0001),IF($O1567&lt;=INDEX(PARAMETROS_CULTURAS!$F$6:$F$28,$P1567)+INDEX(PARAMETROS_CULTURAS!$G$6:$G$28,$P1567)+INDEX(PARAMETROS_CULTURAS!$H$6:$H$28,$P1567),INDEX(PARAMETROS_CULTURAS!$L$6:$L$28,$P1567),INDEX(PARAMETROS_CULTURAS!$L$6:$L$28,$P1567)+(INDEX(PARAMETROS_CULTURAS!$M$6:$M$28,$P1567)-INDEX(PARAMETROS_CULTURAS!$L$6:$L$28,$P1567))*($O1567-INDEX(PARAMETROS_CULTURAS!$F$6:$F$28,$P1567)-INDEX(PARAMETROS_CULTURAS!$G$6:$G$28,$P1567)-INDEX(PARAMETROS_CULTURAS!$H$6:$H$28,$P1567))/MAX(INDEX(PARAMETROS_CULTURAS!$I$6:$I$28,$P1567),0.0001)))))</f>
        <v>0.3</v>
      </c>
      <c r="S1567" s="18" t="n">
        <f aca="false">IFERROR(INDEX(SEMANAS!$H$6:$H$71,MATCH($B1567,SEMANAS!$B$6:$B$71,0)),0)</f>
        <v>29.2</v>
      </c>
      <c r="T1567" s="18" t="n">
        <f aca="false">$R1567*$S1567</f>
        <v>8.76</v>
      </c>
      <c r="U1567" s="18" t="n">
        <f aca="false">IFERROR(INDEX(SEMANAS!$I$6:$I$71,MATCH($B1567,SEMANAS!$B$6:$B$71,0)),0)</f>
        <v>0.91</v>
      </c>
      <c r="V1567" s="18" t="n">
        <f aca="false">IFERROR(INDEX(SEMANAS!$J$6:$J$71,MATCH($B1567,SEMANAS!$B$6:$B$71,0)),0)</f>
        <v>0.728</v>
      </c>
      <c r="W1567" s="18" t="n">
        <f aca="false">MAX(0,$T1567-$V1567)</f>
        <v>8.032</v>
      </c>
      <c r="X1567" s="19" t="n">
        <f aca="false">IFERROR(INDEX(CADASTRO_PIVOS!$K$6:$K$41,MATCH($E1567,CADASTRO_PIVOS!$B$6:$B$41,0)),EFICIENCIA_PADRAO)</f>
        <v>0.85</v>
      </c>
      <c r="Y1567" s="18" t="n">
        <f aca="false">IF($X1567&lt;=0,0,$W1567/$X1567)</f>
        <v>9.44941176470588</v>
      </c>
      <c r="Z1567" s="16" t="n">
        <f aca="false">$Y1567*$H1567*MM_PARA_M3_HA</f>
        <v>13764.9581176471</v>
      </c>
      <c r="AA1567" s="18" t="n">
        <f aca="false">IFERROR(INDEX(CADASTRO_PIVOS!$I$6:$I$41,MATCH($E1567,CADASTRO_PIVOS!$B$6:$B$41,0)),0)</f>
        <v>971.133333333333</v>
      </c>
      <c r="AB1567" s="18" t="n">
        <f aca="false">IF($Z1567&lt;=0,0,$Z1567/$AA1567)</f>
        <v>14.1741176470588</v>
      </c>
      <c r="AC1567" s="16" t="n">
        <f aca="false">IFERROR(INDEX(SEMANAS!$K$6:$K$71,MATCH($B1567,SEMANAS!$B$6:$B$71,0)),0)</f>
        <v>147</v>
      </c>
      <c r="AD1567" s="19" t="n">
        <f aca="false">IF($AC1567&lt;=0,0,$AB1567/$AC1567)</f>
        <v>0.096422569027611</v>
      </c>
      <c r="AE1567" s="8" t="str">
        <f aca="false">IF($K1567="SEM CULTURA","SEM CULTURA",IF($AA1567&lt;=0,"DADO PENDENTE",IF($AD1567&gt;LIMITE_CRITICO,"INVIAVEL",IF($AD1567&gt;LIMITE_ATENCAO,"CRITICO",IF($AD1567&gt;LIMITE_CONFORTAVEL,"ATENCAO","OK")))))</f>
        <v>OK</v>
      </c>
      <c r="AF1567" s="8" t="str">
        <f aca="false">$B1567&amp;"|"&amp;TEXT($AD1567,"0.000000")</f>
        <v>44|0.096423</v>
      </c>
      <c r="AG1567" s="18" t="n">
        <f aca="false">IF($K1567="SEM CULTURA",0,$T1567*$H1567)</f>
        <v>1276.0692</v>
      </c>
      <c r="AH1567" s="18" t="n">
        <f aca="false">IF($K1567="SEM CULTURA",0,$V1567*$H1567)</f>
        <v>106.04776</v>
      </c>
      <c r="AI1567" s="18" t="n">
        <f aca="false">IF($K1567="SEM CULTURA",0,$W1567*$H1567)</f>
        <v>1170.02144</v>
      </c>
      <c r="AJ1567" s="18" t="n">
        <f aca="false">IF($K1567="SEM CULTURA",0,$S1567*$H1567)</f>
        <v>4253.564</v>
      </c>
      <c r="AK1567" s="8" t="str">
        <f aca="false">$E1567&amp;"|"&amp;TEXT($AD1567,"0.000000")</f>
        <v>PV 120|0.096423</v>
      </c>
    </row>
    <row r="1568" customFormat="false" ht="15" hidden="false" customHeight="false" outlineLevel="0" collapsed="false">
      <c r="B1568" s="16" t="n">
        <v>45</v>
      </c>
      <c r="C1568" s="17" t="n">
        <f aca="false">DATA_INICIO_SAFRA+($B1568-1)*DIAS_POR_SEMANA</f>
        <v>46573</v>
      </c>
      <c r="D1568" s="17" t="n">
        <f aca="false">$C1568+DIAS_POR_SEMANA-1</f>
        <v>46579</v>
      </c>
      <c r="E1568" s="15" t="s">
        <v>282</v>
      </c>
      <c r="F1568" s="8" t="str">
        <f aca="false">IFERROR(INDEX(CADASTRO_PIVOS!$C$6:$C$41,MATCH($E1568,CADASTRO_PIVOS!$B$6:$B$41,0)),"?")</f>
        <v>RM07</v>
      </c>
      <c r="G1568" s="8" t="str">
        <f aca="false">IFERROR(INDEX(CADASTRO_PIVOS!$D$6:$D$41,MATCH($E1568,CADASTRO_PIVOS!$B$6:$B$41,0)),"?")</f>
        <v>TR07</v>
      </c>
      <c r="H1568" s="20" t="n">
        <f aca="false">IFERROR(INDEX(CADASTRO_PIVOS!$E$6:$E$41,MATCH($E1568,CADASTRO_PIVOS!$B$6:$B$41,0)),0)</f>
        <v>145.67</v>
      </c>
      <c r="I1568" s="16" t="n">
        <f aca="false">IFERROR(SUMIFS(ROTACAO_RDM!$B$6:$B$71,ROTACAO_RDM!$D$6:$D$71,$E1568,ROTACAO_RDM!$I$6:$I$71,"&lt;="&amp;$C1568+INT(DIAS_POR_SEMANA/2),ROTACAO_RDM!$J$6:$J$71,"&gt;="&amp;$C1568+INT(DIAS_POR_SEMANA/2)),0)</f>
        <v>35</v>
      </c>
      <c r="J1568" s="16" t="n">
        <f aca="false">IFERROR(MATCH($I1568,ROTACAO_RDM!$B$6:$B$71,0),0)</f>
        <v>35</v>
      </c>
      <c r="K1568" s="8" t="str">
        <f aca="false">IF($J1568=0,"SEM CULTURA",INDEX(ROTACAO_RDM!$F$6:$F$71,$J1568))</f>
        <v>MILHO_GRAO</v>
      </c>
      <c r="L1568" s="8" t="n">
        <f aca="false">IF($J1568=0,"",INDEX(ROTACAO_RDM!$G$6:$G$71,$J1568))</f>
        <v>0</v>
      </c>
      <c r="M1568" s="17" t="n">
        <f aca="false">IF($J1568=0,"",INDEX(ROTACAO_RDM!$I$6:$I$71,$J1568))</f>
        <v>46569</v>
      </c>
      <c r="N1568" s="16" t="n">
        <f aca="false">IF($J1568=0,0,MAX(0,$C1568+INT(DIAS_POR_SEMANA/2)-INDEX(ROTACAO_RDM!$I$6:$I$71,$J1568)))</f>
        <v>7</v>
      </c>
      <c r="O1568" s="19" t="n">
        <f aca="false">IF($J1568=0,0,MIN(1,$N1568/MAX(1,INDEX(ROTACAO_RDM!$K$6:$K$71,$J1568))))</f>
        <v>0.04375</v>
      </c>
      <c r="P1568" s="16" t="n">
        <f aca="false">IF($J1568=0,0,IFERROR(MATCH(INDEX(ROTACAO_RDM!$N$6:$N$71,$J1568),PARAMETROS_CULTURAS!$B$6:$B$28,0),0))</f>
        <v>8</v>
      </c>
      <c r="Q1568" s="8" t="str">
        <f aca="false">IF($P1568=0,"-",IF($O1568&lt;=INDEX(PARAMETROS_CULTURAS!$F$6:$F$28,$P1568),"INICIAL",IF($O1568&lt;=INDEX(PARAMETROS_CULTURAS!$F$6:$F$28,$P1568)+INDEX(PARAMETROS_CULTURAS!$G$6:$G$28,$P1568),"DESENVOLVIMENTO",IF($O1568&lt;=INDEX(PARAMETROS_CULTURAS!$F$6:$F$28,$P1568)+INDEX(PARAMETROS_CULTURAS!$G$6:$G$28,$P1568)+INDEX(PARAMETROS_CULTURAS!$H$6:$H$28,$P1568),"MEDIA","FINAL"))))</f>
        <v>INICIAL</v>
      </c>
      <c r="R1568" s="24" t="n">
        <f aca="false">IF($P1568=0,0,IF($O1568&lt;=INDEX(PARAMETROS_CULTURAS!$F$6:$F$28,$P1568),INDEX(PARAMETROS_CULTURAS!$K$6:$K$28,$P1568),IF($O1568&lt;=INDEX(PARAMETROS_CULTURAS!$F$6:$F$28,$P1568)+INDEX(PARAMETROS_CULTURAS!$G$6:$G$28,$P1568),INDEX(PARAMETROS_CULTURAS!$K$6:$K$28,$P1568)+(INDEX(PARAMETROS_CULTURAS!$L$6:$L$28,$P1568)-INDEX(PARAMETROS_CULTURAS!$K$6:$K$28,$P1568))*($O1568-INDEX(PARAMETROS_CULTURAS!$F$6:$F$28,$P1568))/MAX(INDEX(PARAMETROS_CULTURAS!$G$6:$G$28,$P1568),0.0001),IF($O1568&lt;=INDEX(PARAMETROS_CULTURAS!$F$6:$F$28,$P1568)+INDEX(PARAMETROS_CULTURAS!$G$6:$G$28,$P1568)+INDEX(PARAMETROS_CULTURAS!$H$6:$H$28,$P1568),INDEX(PARAMETROS_CULTURAS!$L$6:$L$28,$P1568),INDEX(PARAMETROS_CULTURAS!$L$6:$L$28,$P1568)+(INDEX(PARAMETROS_CULTURAS!$M$6:$M$28,$P1568)-INDEX(PARAMETROS_CULTURAS!$L$6:$L$28,$P1568))*($O1568-INDEX(PARAMETROS_CULTURAS!$F$6:$F$28,$P1568)-INDEX(PARAMETROS_CULTURAS!$G$6:$G$28,$P1568)-INDEX(PARAMETROS_CULTURAS!$H$6:$H$28,$P1568))/MAX(INDEX(PARAMETROS_CULTURAS!$I$6:$I$28,$P1568),0.0001)))))</f>
        <v>0.3</v>
      </c>
      <c r="S1568" s="18" t="n">
        <f aca="false">IFERROR(INDEX(SEMANAS!$H$6:$H$71,MATCH($B1568,SEMANAS!$B$6:$B$71,0)),0)</f>
        <v>30.1</v>
      </c>
      <c r="T1568" s="18" t="n">
        <f aca="false">$R1568*$S1568</f>
        <v>9.03</v>
      </c>
      <c r="U1568" s="18" t="n">
        <f aca="false">IFERROR(INDEX(SEMANAS!$I$6:$I$71,MATCH($B1568,SEMANAS!$B$6:$B$71,0)),0)</f>
        <v>0.7</v>
      </c>
      <c r="V1568" s="18" t="n">
        <f aca="false">IFERROR(INDEX(SEMANAS!$J$6:$J$71,MATCH($B1568,SEMANAS!$B$6:$B$71,0)),0)</f>
        <v>0.56</v>
      </c>
      <c r="W1568" s="18" t="n">
        <f aca="false">MAX(0,$T1568-$V1568)</f>
        <v>8.47</v>
      </c>
      <c r="X1568" s="19" t="n">
        <f aca="false">IFERROR(INDEX(CADASTRO_PIVOS!$K$6:$K$41,MATCH($E1568,CADASTRO_PIVOS!$B$6:$B$41,0)),EFICIENCIA_PADRAO)</f>
        <v>0.85</v>
      </c>
      <c r="Y1568" s="18" t="n">
        <f aca="false">IF($X1568&lt;=0,0,$W1568/$X1568)</f>
        <v>9.96470588235294</v>
      </c>
      <c r="Z1568" s="16" t="n">
        <f aca="false">$Y1568*$H1568*MM_PARA_M3_HA</f>
        <v>14515.5870588235</v>
      </c>
      <c r="AA1568" s="18" t="n">
        <f aca="false">IFERROR(INDEX(CADASTRO_PIVOS!$I$6:$I$41,MATCH($E1568,CADASTRO_PIVOS!$B$6:$B$41,0)),0)</f>
        <v>971.133333333333</v>
      </c>
      <c r="AB1568" s="18" t="n">
        <f aca="false">IF($Z1568&lt;=0,0,$Z1568/$AA1568)</f>
        <v>14.9470588235294</v>
      </c>
      <c r="AC1568" s="16" t="n">
        <f aca="false">IFERROR(INDEX(SEMANAS!$K$6:$K$71,MATCH($B1568,SEMANAS!$B$6:$B$71,0)),0)</f>
        <v>147</v>
      </c>
      <c r="AD1568" s="19" t="n">
        <f aca="false">IF($AC1568&lt;=0,0,$AB1568/$AC1568)</f>
        <v>0.101680672268908</v>
      </c>
      <c r="AE1568" s="8" t="str">
        <f aca="false">IF($K1568="SEM CULTURA","SEM CULTURA",IF($AA1568&lt;=0,"DADO PENDENTE",IF($AD1568&gt;LIMITE_CRITICO,"INVIAVEL",IF($AD1568&gt;LIMITE_ATENCAO,"CRITICO",IF($AD1568&gt;LIMITE_CONFORTAVEL,"ATENCAO","OK")))))</f>
        <v>OK</v>
      </c>
      <c r="AF1568" s="8" t="str">
        <f aca="false">$B1568&amp;"|"&amp;TEXT($AD1568,"0.000000")</f>
        <v>45|0.101681</v>
      </c>
      <c r="AG1568" s="18" t="n">
        <f aca="false">IF($K1568="SEM CULTURA",0,$T1568*$H1568)</f>
        <v>1315.4001</v>
      </c>
      <c r="AH1568" s="18" t="n">
        <f aca="false">IF($K1568="SEM CULTURA",0,$V1568*$H1568)</f>
        <v>81.5752</v>
      </c>
      <c r="AI1568" s="18" t="n">
        <f aca="false">IF($K1568="SEM CULTURA",0,$W1568*$H1568)</f>
        <v>1233.8249</v>
      </c>
      <c r="AJ1568" s="18" t="n">
        <f aca="false">IF($K1568="SEM CULTURA",0,$S1568*$H1568)</f>
        <v>4384.667</v>
      </c>
      <c r="AK1568" s="8" t="str">
        <f aca="false">$E1568&amp;"|"&amp;TEXT($AD1568,"0.000000")</f>
        <v>PV 120|0.101681</v>
      </c>
    </row>
    <row r="1569" customFormat="false" ht="15" hidden="false" customHeight="false" outlineLevel="0" collapsed="false">
      <c r="B1569" s="16" t="n">
        <v>46</v>
      </c>
      <c r="C1569" s="17" t="n">
        <f aca="false">DATA_INICIO_SAFRA+($B1569-1)*DIAS_POR_SEMANA</f>
        <v>46580</v>
      </c>
      <c r="D1569" s="17" t="n">
        <f aca="false">$C1569+DIAS_POR_SEMANA-1</f>
        <v>46586</v>
      </c>
      <c r="E1569" s="15" t="s">
        <v>282</v>
      </c>
      <c r="F1569" s="8" t="str">
        <f aca="false">IFERROR(INDEX(CADASTRO_PIVOS!$C$6:$C$41,MATCH($E1569,CADASTRO_PIVOS!$B$6:$B$41,0)),"?")</f>
        <v>RM07</v>
      </c>
      <c r="G1569" s="8" t="str">
        <f aca="false">IFERROR(INDEX(CADASTRO_PIVOS!$D$6:$D$41,MATCH($E1569,CADASTRO_PIVOS!$B$6:$B$41,0)),"?")</f>
        <v>TR07</v>
      </c>
      <c r="H1569" s="20" t="n">
        <f aca="false">IFERROR(INDEX(CADASTRO_PIVOS!$E$6:$E$41,MATCH($E1569,CADASTRO_PIVOS!$B$6:$B$41,0)),0)</f>
        <v>145.67</v>
      </c>
      <c r="I1569" s="16" t="n">
        <f aca="false">IFERROR(SUMIFS(ROTACAO_RDM!$B$6:$B$71,ROTACAO_RDM!$D$6:$D$71,$E1569,ROTACAO_RDM!$I$6:$I$71,"&lt;="&amp;$C1569+INT(DIAS_POR_SEMANA/2),ROTACAO_RDM!$J$6:$J$71,"&gt;="&amp;$C1569+INT(DIAS_POR_SEMANA/2)),0)</f>
        <v>35</v>
      </c>
      <c r="J1569" s="16" t="n">
        <f aca="false">IFERROR(MATCH($I1569,ROTACAO_RDM!$B$6:$B$71,0),0)</f>
        <v>35</v>
      </c>
      <c r="K1569" s="8" t="str">
        <f aca="false">IF($J1569=0,"SEM CULTURA",INDEX(ROTACAO_RDM!$F$6:$F$71,$J1569))</f>
        <v>MILHO_GRAO</v>
      </c>
      <c r="L1569" s="8" t="n">
        <f aca="false">IF($J1569=0,"",INDEX(ROTACAO_RDM!$G$6:$G$71,$J1569))</f>
        <v>0</v>
      </c>
      <c r="M1569" s="17" t="n">
        <f aca="false">IF($J1569=0,"",INDEX(ROTACAO_RDM!$I$6:$I$71,$J1569))</f>
        <v>46569</v>
      </c>
      <c r="N1569" s="16" t="n">
        <f aca="false">IF($J1569=0,0,MAX(0,$C1569+INT(DIAS_POR_SEMANA/2)-INDEX(ROTACAO_RDM!$I$6:$I$71,$J1569)))</f>
        <v>14</v>
      </c>
      <c r="O1569" s="19" t="n">
        <f aca="false">IF($J1569=0,0,MIN(1,$N1569/MAX(1,INDEX(ROTACAO_RDM!$K$6:$K$71,$J1569))))</f>
        <v>0.0875</v>
      </c>
      <c r="P1569" s="16" t="n">
        <f aca="false">IF($J1569=0,0,IFERROR(MATCH(INDEX(ROTACAO_RDM!$N$6:$N$71,$J1569),PARAMETROS_CULTURAS!$B$6:$B$28,0),0))</f>
        <v>8</v>
      </c>
      <c r="Q1569" s="8" t="str">
        <f aca="false">IF($P1569=0,"-",IF($O1569&lt;=INDEX(PARAMETROS_CULTURAS!$F$6:$F$28,$P1569),"INICIAL",IF($O1569&lt;=INDEX(PARAMETROS_CULTURAS!$F$6:$F$28,$P1569)+INDEX(PARAMETROS_CULTURAS!$G$6:$G$28,$P1569),"DESENVOLVIMENTO",IF($O1569&lt;=INDEX(PARAMETROS_CULTURAS!$F$6:$F$28,$P1569)+INDEX(PARAMETROS_CULTURAS!$G$6:$G$28,$P1569)+INDEX(PARAMETROS_CULTURAS!$H$6:$H$28,$P1569),"MEDIA","FINAL"))))</f>
        <v>INICIAL</v>
      </c>
      <c r="R1569" s="24" t="n">
        <f aca="false">IF($P1569=0,0,IF($O1569&lt;=INDEX(PARAMETROS_CULTURAS!$F$6:$F$28,$P1569),INDEX(PARAMETROS_CULTURAS!$K$6:$K$28,$P1569),IF($O1569&lt;=INDEX(PARAMETROS_CULTURAS!$F$6:$F$28,$P1569)+INDEX(PARAMETROS_CULTURAS!$G$6:$G$28,$P1569),INDEX(PARAMETROS_CULTURAS!$K$6:$K$28,$P1569)+(INDEX(PARAMETROS_CULTURAS!$L$6:$L$28,$P1569)-INDEX(PARAMETROS_CULTURAS!$K$6:$K$28,$P1569))*($O1569-INDEX(PARAMETROS_CULTURAS!$F$6:$F$28,$P1569))/MAX(INDEX(PARAMETROS_CULTURAS!$G$6:$G$28,$P1569),0.0001),IF($O1569&lt;=INDEX(PARAMETROS_CULTURAS!$F$6:$F$28,$P1569)+INDEX(PARAMETROS_CULTURAS!$G$6:$G$28,$P1569)+INDEX(PARAMETROS_CULTURAS!$H$6:$H$28,$P1569),INDEX(PARAMETROS_CULTURAS!$L$6:$L$28,$P1569),INDEX(PARAMETROS_CULTURAS!$L$6:$L$28,$P1569)+(INDEX(PARAMETROS_CULTURAS!$M$6:$M$28,$P1569)-INDEX(PARAMETROS_CULTURAS!$L$6:$L$28,$P1569))*($O1569-INDEX(PARAMETROS_CULTURAS!$F$6:$F$28,$P1569)-INDEX(PARAMETROS_CULTURAS!$G$6:$G$28,$P1569)-INDEX(PARAMETROS_CULTURAS!$H$6:$H$28,$P1569))/MAX(INDEX(PARAMETROS_CULTURAS!$I$6:$I$28,$P1569),0.0001)))))</f>
        <v>0.3</v>
      </c>
      <c r="S1569" s="18" t="n">
        <f aca="false">IFERROR(INDEX(SEMANAS!$H$6:$H$71,MATCH($B1569,SEMANAS!$B$6:$B$71,0)),0)</f>
        <v>30.1</v>
      </c>
      <c r="T1569" s="18" t="n">
        <f aca="false">$R1569*$S1569</f>
        <v>9.03</v>
      </c>
      <c r="U1569" s="18" t="n">
        <f aca="false">IFERROR(INDEX(SEMANAS!$I$6:$I$71,MATCH($B1569,SEMANAS!$B$6:$B$71,0)),0)</f>
        <v>0.7</v>
      </c>
      <c r="V1569" s="18" t="n">
        <f aca="false">IFERROR(INDEX(SEMANAS!$J$6:$J$71,MATCH($B1569,SEMANAS!$B$6:$B$71,0)),0)</f>
        <v>0.56</v>
      </c>
      <c r="W1569" s="18" t="n">
        <f aca="false">MAX(0,$T1569-$V1569)</f>
        <v>8.47</v>
      </c>
      <c r="X1569" s="19" t="n">
        <f aca="false">IFERROR(INDEX(CADASTRO_PIVOS!$K$6:$K$41,MATCH($E1569,CADASTRO_PIVOS!$B$6:$B$41,0)),EFICIENCIA_PADRAO)</f>
        <v>0.85</v>
      </c>
      <c r="Y1569" s="18" t="n">
        <f aca="false">IF($X1569&lt;=0,0,$W1569/$X1569)</f>
        <v>9.96470588235294</v>
      </c>
      <c r="Z1569" s="16" t="n">
        <f aca="false">$Y1569*$H1569*MM_PARA_M3_HA</f>
        <v>14515.5870588235</v>
      </c>
      <c r="AA1569" s="18" t="n">
        <f aca="false">IFERROR(INDEX(CADASTRO_PIVOS!$I$6:$I$41,MATCH($E1569,CADASTRO_PIVOS!$B$6:$B$41,0)),0)</f>
        <v>971.133333333333</v>
      </c>
      <c r="AB1569" s="18" t="n">
        <f aca="false">IF($Z1569&lt;=0,0,$Z1569/$AA1569)</f>
        <v>14.9470588235294</v>
      </c>
      <c r="AC1569" s="16" t="n">
        <f aca="false">IFERROR(INDEX(SEMANAS!$K$6:$K$71,MATCH($B1569,SEMANAS!$B$6:$B$71,0)),0)</f>
        <v>147</v>
      </c>
      <c r="AD1569" s="19" t="n">
        <f aca="false">IF($AC1569&lt;=0,0,$AB1569/$AC1569)</f>
        <v>0.101680672268908</v>
      </c>
      <c r="AE1569" s="8" t="str">
        <f aca="false">IF($K1569="SEM CULTURA","SEM CULTURA",IF($AA1569&lt;=0,"DADO PENDENTE",IF($AD1569&gt;LIMITE_CRITICO,"INVIAVEL",IF($AD1569&gt;LIMITE_ATENCAO,"CRITICO",IF($AD1569&gt;LIMITE_CONFORTAVEL,"ATENCAO","OK")))))</f>
        <v>OK</v>
      </c>
      <c r="AF1569" s="8" t="str">
        <f aca="false">$B1569&amp;"|"&amp;TEXT($AD1569,"0.000000")</f>
        <v>46|0.101681</v>
      </c>
      <c r="AG1569" s="18" t="n">
        <f aca="false">IF($K1569="SEM CULTURA",0,$T1569*$H1569)</f>
        <v>1315.4001</v>
      </c>
      <c r="AH1569" s="18" t="n">
        <f aca="false">IF($K1569="SEM CULTURA",0,$V1569*$H1569)</f>
        <v>81.5752</v>
      </c>
      <c r="AI1569" s="18" t="n">
        <f aca="false">IF($K1569="SEM CULTURA",0,$W1569*$H1569)</f>
        <v>1233.8249</v>
      </c>
      <c r="AJ1569" s="18" t="n">
        <f aca="false">IF($K1569="SEM CULTURA",0,$S1569*$H1569)</f>
        <v>4384.667</v>
      </c>
      <c r="AK1569" s="8" t="str">
        <f aca="false">$E1569&amp;"|"&amp;TEXT($AD1569,"0.000000")</f>
        <v>PV 120|0.101681</v>
      </c>
    </row>
    <row r="1570" customFormat="false" ht="15" hidden="false" customHeight="false" outlineLevel="0" collapsed="false">
      <c r="B1570" s="16" t="n">
        <v>47</v>
      </c>
      <c r="C1570" s="17" t="n">
        <f aca="false">DATA_INICIO_SAFRA+($B1570-1)*DIAS_POR_SEMANA</f>
        <v>46587</v>
      </c>
      <c r="D1570" s="17" t="n">
        <f aca="false">$C1570+DIAS_POR_SEMANA-1</f>
        <v>46593</v>
      </c>
      <c r="E1570" s="15" t="s">
        <v>282</v>
      </c>
      <c r="F1570" s="8" t="str">
        <f aca="false">IFERROR(INDEX(CADASTRO_PIVOS!$C$6:$C$41,MATCH($E1570,CADASTRO_PIVOS!$B$6:$B$41,0)),"?")</f>
        <v>RM07</v>
      </c>
      <c r="G1570" s="8" t="str">
        <f aca="false">IFERROR(INDEX(CADASTRO_PIVOS!$D$6:$D$41,MATCH($E1570,CADASTRO_PIVOS!$B$6:$B$41,0)),"?")</f>
        <v>TR07</v>
      </c>
      <c r="H1570" s="20" t="n">
        <f aca="false">IFERROR(INDEX(CADASTRO_PIVOS!$E$6:$E$41,MATCH($E1570,CADASTRO_PIVOS!$B$6:$B$41,0)),0)</f>
        <v>145.67</v>
      </c>
      <c r="I1570" s="16" t="n">
        <f aca="false">IFERROR(SUMIFS(ROTACAO_RDM!$B$6:$B$71,ROTACAO_RDM!$D$6:$D$71,$E1570,ROTACAO_RDM!$I$6:$I$71,"&lt;="&amp;$C1570+INT(DIAS_POR_SEMANA/2),ROTACAO_RDM!$J$6:$J$71,"&gt;="&amp;$C1570+INT(DIAS_POR_SEMANA/2)),0)</f>
        <v>35</v>
      </c>
      <c r="J1570" s="16" t="n">
        <f aca="false">IFERROR(MATCH($I1570,ROTACAO_RDM!$B$6:$B$71,0),0)</f>
        <v>35</v>
      </c>
      <c r="K1570" s="8" t="str">
        <f aca="false">IF($J1570=0,"SEM CULTURA",INDEX(ROTACAO_RDM!$F$6:$F$71,$J1570))</f>
        <v>MILHO_GRAO</v>
      </c>
      <c r="L1570" s="8" t="n">
        <f aca="false">IF($J1570=0,"",INDEX(ROTACAO_RDM!$G$6:$G$71,$J1570))</f>
        <v>0</v>
      </c>
      <c r="M1570" s="17" t="n">
        <f aca="false">IF($J1570=0,"",INDEX(ROTACAO_RDM!$I$6:$I$71,$J1570))</f>
        <v>46569</v>
      </c>
      <c r="N1570" s="16" t="n">
        <f aca="false">IF($J1570=0,0,MAX(0,$C1570+INT(DIAS_POR_SEMANA/2)-INDEX(ROTACAO_RDM!$I$6:$I$71,$J1570)))</f>
        <v>21</v>
      </c>
      <c r="O1570" s="19" t="n">
        <f aca="false">IF($J1570=0,0,MIN(1,$N1570/MAX(1,INDEX(ROTACAO_RDM!$K$6:$K$71,$J1570))))</f>
        <v>0.13125</v>
      </c>
      <c r="P1570" s="16" t="n">
        <f aca="false">IF($J1570=0,0,IFERROR(MATCH(INDEX(ROTACAO_RDM!$N$6:$N$71,$J1570),PARAMETROS_CULTURAS!$B$6:$B$28,0),0))</f>
        <v>8</v>
      </c>
      <c r="Q1570" s="8" t="str">
        <f aca="false">IF($P1570=0,"-",IF($O1570&lt;=INDEX(PARAMETROS_CULTURAS!$F$6:$F$28,$P1570),"INICIAL",IF($O1570&lt;=INDEX(PARAMETROS_CULTURAS!$F$6:$F$28,$P1570)+INDEX(PARAMETROS_CULTURAS!$G$6:$G$28,$P1570),"DESENVOLVIMENTO",IF($O1570&lt;=INDEX(PARAMETROS_CULTURAS!$F$6:$F$28,$P1570)+INDEX(PARAMETROS_CULTURAS!$G$6:$G$28,$P1570)+INDEX(PARAMETROS_CULTURAS!$H$6:$H$28,$P1570),"MEDIA","FINAL"))))</f>
        <v>INICIAL</v>
      </c>
      <c r="R1570" s="24" t="n">
        <f aca="false">IF($P1570=0,0,IF($O1570&lt;=INDEX(PARAMETROS_CULTURAS!$F$6:$F$28,$P1570),INDEX(PARAMETROS_CULTURAS!$K$6:$K$28,$P1570),IF($O1570&lt;=INDEX(PARAMETROS_CULTURAS!$F$6:$F$28,$P1570)+INDEX(PARAMETROS_CULTURAS!$G$6:$G$28,$P1570),INDEX(PARAMETROS_CULTURAS!$K$6:$K$28,$P1570)+(INDEX(PARAMETROS_CULTURAS!$L$6:$L$28,$P1570)-INDEX(PARAMETROS_CULTURAS!$K$6:$K$28,$P1570))*($O1570-INDEX(PARAMETROS_CULTURAS!$F$6:$F$28,$P1570))/MAX(INDEX(PARAMETROS_CULTURAS!$G$6:$G$28,$P1570),0.0001),IF($O1570&lt;=INDEX(PARAMETROS_CULTURAS!$F$6:$F$28,$P1570)+INDEX(PARAMETROS_CULTURAS!$G$6:$G$28,$P1570)+INDEX(PARAMETROS_CULTURAS!$H$6:$H$28,$P1570),INDEX(PARAMETROS_CULTURAS!$L$6:$L$28,$P1570),INDEX(PARAMETROS_CULTURAS!$L$6:$L$28,$P1570)+(INDEX(PARAMETROS_CULTURAS!$M$6:$M$28,$P1570)-INDEX(PARAMETROS_CULTURAS!$L$6:$L$28,$P1570))*($O1570-INDEX(PARAMETROS_CULTURAS!$F$6:$F$28,$P1570)-INDEX(PARAMETROS_CULTURAS!$G$6:$G$28,$P1570)-INDEX(PARAMETROS_CULTURAS!$H$6:$H$28,$P1570))/MAX(INDEX(PARAMETROS_CULTURAS!$I$6:$I$28,$P1570),0.0001)))))</f>
        <v>0.3</v>
      </c>
      <c r="S1570" s="18" t="n">
        <f aca="false">IFERROR(INDEX(SEMANAS!$H$6:$H$71,MATCH($B1570,SEMANAS!$B$6:$B$71,0)),0)</f>
        <v>30.1</v>
      </c>
      <c r="T1570" s="18" t="n">
        <f aca="false">$R1570*$S1570</f>
        <v>9.03</v>
      </c>
      <c r="U1570" s="18" t="n">
        <f aca="false">IFERROR(INDEX(SEMANAS!$I$6:$I$71,MATCH($B1570,SEMANAS!$B$6:$B$71,0)),0)</f>
        <v>0.7</v>
      </c>
      <c r="V1570" s="18" t="n">
        <f aca="false">IFERROR(INDEX(SEMANAS!$J$6:$J$71,MATCH($B1570,SEMANAS!$B$6:$B$71,0)),0)</f>
        <v>0.56</v>
      </c>
      <c r="W1570" s="18" t="n">
        <f aca="false">MAX(0,$T1570-$V1570)</f>
        <v>8.47</v>
      </c>
      <c r="X1570" s="19" t="n">
        <f aca="false">IFERROR(INDEX(CADASTRO_PIVOS!$K$6:$K$41,MATCH($E1570,CADASTRO_PIVOS!$B$6:$B$41,0)),EFICIENCIA_PADRAO)</f>
        <v>0.85</v>
      </c>
      <c r="Y1570" s="18" t="n">
        <f aca="false">IF($X1570&lt;=0,0,$W1570/$X1570)</f>
        <v>9.96470588235294</v>
      </c>
      <c r="Z1570" s="16" t="n">
        <f aca="false">$Y1570*$H1570*MM_PARA_M3_HA</f>
        <v>14515.5870588235</v>
      </c>
      <c r="AA1570" s="18" t="n">
        <f aca="false">IFERROR(INDEX(CADASTRO_PIVOS!$I$6:$I$41,MATCH($E1570,CADASTRO_PIVOS!$B$6:$B$41,0)),0)</f>
        <v>971.133333333333</v>
      </c>
      <c r="AB1570" s="18" t="n">
        <f aca="false">IF($Z1570&lt;=0,0,$Z1570/$AA1570)</f>
        <v>14.9470588235294</v>
      </c>
      <c r="AC1570" s="16" t="n">
        <f aca="false">IFERROR(INDEX(SEMANAS!$K$6:$K$71,MATCH($B1570,SEMANAS!$B$6:$B$71,0)),0)</f>
        <v>147</v>
      </c>
      <c r="AD1570" s="19" t="n">
        <f aca="false">IF($AC1570&lt;=0,0,$AB1570/$AC1570)</f>
        <v>0.101680672268908</v>
      </c>
      <c r="AE1570" s="8" t="str">
        <f aca="false">IF($K1570="SEM CULTURA","SEM CULTURA",IF($AA1570&lt;=0,"DADO PENDENTE",IF($AD1570&gt;LIMITE_CRITICO,"INVIAVEL",IF($AD1570&gt;LIMITE_ATENCAO,"CRITICO",IF($AD1570&gt;LIMITE_CONFORTAVEL,"ATENCAO","OK")))))</f>
        <v>OK</v>
      </c>
      <c r="AF1570" s="8" t="str">
        <f aca="false">$B1570&amp;"|"&amp;TEXT($AD1570,"0.000000")</f>
        <v>47|0.101681</v>
      </c>
      <c r="AG1570" s="18" t="n">
        <f aca="false">IF($K1570="SEM CULTURA",0,$T1570*$H1570)</f>
        <v>1315.4001</v>
      </c>
      <c r="AH1570" s="18" t="n">
        <f aca="false">IF($K1570="SEM CULTURA",0,$V1570*$H1570)</f>
        <v>81.5752</v>
      </c>
      <c r="AI1570" s="18" t="n">
        <f aca="false">IF($K1570="SEM CULTURA",0,$W1570*$H1570)</f>
        <v>1233.8249</v>
      </c>
      <c r="AJ1570" s="18" t="n">
        <f aca="false">IF($K1570="SEM CULTURA",0,$S1570*$H1570)</f>
        <v>4384.667</v>
      </c>
      <c r="AK1570" s="8" t="str">
        <f aca="false">$E1570&amp;"|"&amp;TEXT($AD1570,"0.000000")</f>
        <v>PV 120|0.101681</v>
      </c>
    </row>
    <row r="1571" customFormat="false" ht="15" hidden="false" customHeight="false" outlineLevel="0" collapsed="false">
      <c r="B1571" s="16" t="n">
        <v>48</v>
      </c>
      <c r="C1571" s="17" t="n">
        <f aca="false">DATA_INICIO_SAFRA+($B1571-1)*DIAS_POR_SEMANA</f>
        <v>46594</v>
      </c>
      <c r="D1571" s="17" t="n">
        <f aca="false">$C1571+DIAS_POR_SEMANA-1</f>
        <v>46600</v>
      </c>
      <c r="E1571" s="15" t="s">
        <v>282</v>
      </c>
      <c r="F1571" s="8" t="str">
        <f aca="false">IFERROR(INDEX(CADASTRO_PIVOS!$C$6:$C$41,MATCH($E1571,CADASTRO_PIVOS!$B$6:$B$41,0)),"?")</f>
        <v>RM07</v>
      </c>
      <c r="G1571" s="8" t="str">
        <f aca="false">IFERROR(INDEX(CADASTRO_PIVOS!$D$6:$D$41,MATCH($E1571,CADASTRO_PIVOS!$B$6:$B$41,0)),"?")</f>
        <v>TR07</v>
      </c>
      <c r="H1571" s="20" t="n">
        <f aca="false">IFERROR(INDEX(CADASTRO_PIVOS!$E$6:$E$41,MATCH($E1571,CADASTRO_PIVOS!$B$6:$B$41,0)),0)</f>
        <v>145.67</v>
      </c>
      <c r="I1571" s="16" t="n">
        <f aca="false">IFERROR(SUMIFS(ROTACAO_RDM!$B$6:$B$71,ROTACAO_RDM!$D$6:$D$71,$E1571,ROTACAO_RDM!$I$6:$I$71,"&lt;="&amp;$C1571+INT(DIAS_POR_SEMANA/2),ROTACAO_RDM!$J$6:$J$71,"&gt;="&amp;$C1571+INT(DIAS_POR_SEMANA/2)),0)</f>
        <v>35</v>
      </c>
      <c r="J1571" s="16" t="n">
        <f aca="false">IFERROR(MATCH($I1571,ROTACAO_RDM!$B$6:$B$71,0),0)</f>
        <v>35</v>
      </c>
      <c r="K1571" s="8" t="str">
        <f aca="false">IF($J1571=0,"SEM CULTURA",INDEX(ROTACAO_RDM!$F$6:$F$71,$J1571))</f>
        <v>MILHO_GRAO</v>
      </c>
      <c r="L1571" s="8" t="n">
        <f aca="false">IF($J1571=0,"",INDEX(ROTACAO_RDM!$G$6:$G$71,$J1571))</f>
        <v>0</v>
      </c>
      <c r="M1571" s="17" t="n">
        <f aca="false">IF($J1571=0,"",INDEX(ROTACAO_RDM!$I$6:$I$71,$J1571))</f>
        <v>46569</v>
      </c>
      <c r="N1571" s="16" t="n">
        <f aca="false">IF($J1571=0,0,MAX(0,$C1571+INT(DIAS_POR_SEMANA/2)-INDEX(ROTACAO_RDM!$I$6:$I$71,$J1571)))</f>
        <v>28</v>
      </c>
      <c r="O1571" s="19" t="n">
        <f aca="false">IF($J1571=0,0,MIN(1,$N1571/MAX(1,INDEX(ROTACAO_RDM!$K$6:$K$71,$J1571))))</f>
        <v>0.175</v>
      </c>
      <c r="P1571" s="16" t="n">
        <f aca="false">IF($J1571=0,0,IFERROR(MATCH(INDEX(ROTACAO_RDM!$N$6:$N$71,$J1571),PARAMETROS_CULTURAS!$B$6:$B$28,0),0))</f>
        <v>8</v>
      </c>
      <c r="Q1571" s="8" t="str">
        <f aca="false">IF($P1571=0,"-",IF($O1571&lt;=INDEX(PARAMETROS_CULTURAS!$F$6:$F$28,$P1571),"INICIAL",IF($O1571&lt;=INDEX(PARAMETROS_CULTURAS!$F$6:$F$28,$P1571)+INDEX(PARAMETROS_CULTURAS!$G$6:$G$28,$P1571),"DESENVOLVIMENTO",IF($O1571&lt;=INDEX(PARAMETROS_CULTURAS!$F$6:$F$28,$P1571)+INDEX(PARAMETROS_CULTURAS!$G$6:$G$28,$P1571)+INDEX(PARAMETROS_CULTURAS!$H$6:$H$28,$P1571),"MEDIA","FINAL"))))</f>
        <v>INICIAL</v>
      </c>
      <c r="R1571" s="24" t="n">
        <f aca="false">IF($P1571=0,0,IF($O1571&lt;=INDEX(PARAMETROS_CULTURAS!$F$6:$F$28,$P1571),INDEX(PARAMETROS_CULTURAS!$K$6:$K$28,$P1571),IF($O1571&lt;=INDEX(PARAMETROS_CULTURAS!$F$6:$F$28,$P1571)+INDEX(PARAMETROS_CULTURAS!$G$6:$G$28,$P1571),INDEX(PARAMETROS_CULTURAS!$K$6:$K$28,$P1571)+(INDEX(PARAMETROS_CULTURAS!$L$6:$L$28,$P1571)-INDEX(PARAMETROS_CULTURAS!$K$6:$K$28,$P1571))*($O1571-INDEX(PARAMETROS_CULTURAS!$F$6:$F$28,$P1571))/MAX(INDEX(PARAMETROS_CULTURAS!$G$6:$G$28,$P1571),0.0001),IF($O1571&lt;=INDEX(PARAMETROS_CULTURAS!$F$6:$F$28,$P1571)+INDEX(PARAMETROS_CULTURAS!$G$6:$G$28,$P1571)+INDEX(PARAMETROS_CULTURAS!$H$6:$H$28,$P1571),INDEX(PARAMETROS_CULTURAS!$L$6:$L$28,$P1571),INDEX(PARAMETROS_CULTURAS!$L$6:$L$28,$P1571)+(INDEX(PARAMETROS_CULTURAS!$M$6:$M$28,$P1571)-INDEX(PARAMETROS_CULTURAS!$L$6:$L$28,$P1571))*($O1571-INDEX(PARAMETROS_CULTURAS!$F$6:$F$28,$P1571)-INDEX(PARAMETROS_CULTURAS!$G$6:$G$28,$P1571)-INDEX(PARAMETROS_CULTURAS!$H$6:$H$28,$P1571))/MAX(INDEX(PARAMETROS_CULTURAS!$I$6:$I$28,$P1571),0.0001)))))</f>
        <v>0.3</v>
      </c>
      <c r="S1571" s="18" t="n">
        <f aca="false">IFERROR(INDEX(SEMANAS!$H$6:$H$71,MATCH($B1571,SEMANAS!$B$6:$B$71,0)),0)</f>
        <v>31</v>
      </c>
      <c r="T1571" s="18" t="n">
        <f aca="false">$R1571*$S1571</f>
        <v>9.3</v>
      </c>
      <c r="U1571" s="18" t="n">
        <f aca="false">IFERROR(INDEX(SEMANAS!$I$6:$I$71,MATCH($B1571,SEMANAS!$B$6:$B$71,0)),0)</f>
        <v>0.76</v>
      </c>
      <c r="V1571" s="18" t="n">
        <f aca="false">IFERROR(INDEX(SEMANAS!$J$6:$J$71,MATCH($B1571,SEMANAS!$B$6:$B$71,0)),0)</f>
        <v>0.608</v>
      </c>
      <c r="W1571" s="18" t="n">
        <f aca="false">MAX(0,$T1571-$V1571)</f>
        <v>8.692</v>
      </c>
      <c r="X1571" s="19" t="n">
        <f aca="false">IFERROR(INDEX(CADASTRO_PIVOS!$K$6:$K$41,MATCH($E1571,CADASTRO_PIVOS!$B$6:$B$41,0)),EFICIENCIA_PADRAO)</f>
        <v>0.85</v>
      </c>
      <c r="Y1571" s="18" t="n">
        <f aca="false">IF($X1571&lt;=0,0,$W1571/$X1571)</f>
        <v>10.2258823529412</v>
      </c>
      <c r="Z1571" s="16" t="n">
        <f aca="false">$Y1571*$H1571*MM_PARA_M3_HA</f>
        <v>14896.0428235294</v>
      </c>
      <c r="AA1571" s="18" t="n">
        <f aca="false">IFERROR(INDEX(CADASTRO_PIVOS!$I$6:$I$41,MATCH($E1571,CADASTRO_PIVOS!$B$6:$B$41,0)),0)</f>
        <v>971.133333333333</v>
      </c>
      <c r="AB1571" s="18" t="n">
        <f aca="false">IF($Z1571&lt;=0,0,$Z1571/$AA1571)</f>
        <v>15.3388235294118</v>
      </c>
      <c r="AC1571" s="16" t="n">
        <f aca="false">IFERROR(INDEX(SEMANAS!$K$6:$K$71,MATCH($B1571,SEMANAS!$B$6:$B$71,0)),0)</f>
        <v>147</v>
      </c>
      <c r="AD1571" s="19" t="n">
        <f aca="false">IF($AC1571&lt;=0,0,$AB1571/$AC1571)</f>
        <v>0.104345738295318</v>
      </c>
      <c r="AE1571" s="8" t="str">
        <f aca="false">IF($K1571="SEM CULTURA","SEM CULTURA",IF($AA1571&lt;=0,"DADO PENDENTE",IF($AD1571&gt;LIMITE_CRITICO,"INVIAVEL",IF($AD1571&gt;LIMITE_ATENCAO,"CRITICO",IF($AD1571&gt;LIMITE_CONFORTAVEL,"ATENCAO","OK")))))</f>
        <v>OK</v>
      </c>
      <c r="AF1571" s="8" t="str">
        <f aca="false">$B1571&amp;"|"&amp;TEXT($AD1571,"0.000000")</f>
        <v>48|0.104346</v>
      </c>
      <c r="AG1571" s="18" t="n">
        <f aca="false">IF($K1571="SEM CULTURA",0,$T1571*$H1571)</f>
        <v>1354.731</v>
      </c>
      <c r="AH1571" s="18" t="n">
        <f aca="false">IF($K1571="SEM CULTURA",0,$V1571*$H1571)</f>
        <v>88.56736</v>
      </c>
      <c r="AI1571" s="18" t="n">
        <f aca="false">IF($K1571="SEM CULTURA",0,$W1571*$H1571)</f>
        <v>1266.16364</v>
      </c>
      <c r="AJ1571" s="18" t="n">
        <f aca="false">IF($K1571="SEM CULTURA",0,$S1571*$H1571)</f>
        <v>4515.77</v>
      </c>
      <c r="AK1571" s="8" t="str">
        <f aca="false">$E1571&amp;"|"&amp;TEXT($AD1571,"0.000000")</f>
        <v>PV 120|0.104346</v>
      </c>
    </row>
    <row r="1572" customFormat="false" ht="15" hidden="false" customHeight="false" outlineLevel="0" collapsed="false">
      <c r="B1572" s="16" t="n">
        <v>49</v>
      </c>
      <c r="C1572" s="17" t="n">
        <f aca="false">DATA_INICIO_SAFRA+($B1572-1)*DIAS_POR_SEMANA</f>
        <v>46601</v>
      </c>
      <c r="D1572" s="17" t="n">
        <f aca="false">$C1572+DIAS_POR_SEMANA-1</f>
        <v>46607</v>
      </c>
      <c r="E1572" s="15" t="s">
        <v>282</v>
      </c>
      <c r="F1572" s="8" t="str">
        <f aca="false">IFERROR(INDEX(CADASTRO_PIVOS!$C$6:$C$41,MATCH($E1572,CADASTRO_PIVOS!$B$6:$B$41,0)),"?")</f>
        <v>RM07</v>
      </c>
      <c r="G1572" s="8" t="str">
        <f aca="false">IFERROR(INDEX(CADASTRO_PIVOS!$D$6:$D$41,MATCH($E1572,CADASTRO_PIVOS!$B$6:$B$41,0)),"?")</f>
        <v>TR07</v>
      </c>
      <c r="H1572" s="20" t="n">
        <f aca="false">IFERROR(INDEX(CADASTRO_PIVOS!$E$6:$E$41,MATCH($E1572,CADASTRO_PIVOS!$B$6:$B$41,0)),0)</f>
        <v>145.67</v>
      </c>
      <c r="I1572" s="16" t="n">
        <f aca="false">IFERROR(SUMIFS(ROTACAO_RDM!$B$6:$B$71,ROTACAO_RDM!$D$6:$D$71,$E1572,ROTACAO_RDM!$I$6:$I$71,"&lt;="&amp;$C1572+INT(DIAS_POR_SEMANA/2),ROTACAO_RDM!$J$6:$J$71,"&gt;="&amp;$C1572+INT(DIAS_POR_SEMANA/2)),0)</f>
        <v>35</v>
      </c>
      <c r="J1572" s="16" t="n">
        <f aca="false">IFERROR(MATCH($I1572,ROTACAO_RDM!$B$6:$B$71,0),0)</f>
        <v>35</v>
      </c>
      <c r="K1572" s="8" t="str">
        <f aca="false">IF($J1572=0,"SEM CULTURA",INDEX(ROTACAO_RDM!$F$6:$F$71,$J1572))</f>
        <v>MILHO_GRAO</v>
      </c>
      <c r="L1572" s="8" t="n">
        <f aca="false">IF($J1572=0,"",INDEX(ROTACAO_RDM!$G$6:$G$71,$J1572))</f>
        <v>0</v>
      </c>
      <c r="M1572" s="17" t="n">
        <f aca="false">IF($J1572=0,"",INDEX(ROTACAO_RDM!$I$6:$I$71,$J1572))</f>
        <v>46569</v>
      </c>
      <c r="N1572" s="16" t="n">
        <f aca="false">IF($J1572=0,0,MAX(0,$C1572+INT(DIAS_POR_SEMANA/2)-INDEX(ROTACAO_RDM!$I$6:$I$71,$J1572)))</f>
        <v>35</v>
      </c>
      <c r="O1572" s="19" t="n">
        <f aca="false">IF($J1572=0,0,MIN(1,$N1572/MAX(1,INDEX(ROTACAO_RDM!$K$6:$K$71,$J1572))))</f>
        <v>0.21875</v>
      </c>
      <c r="P1572" s="16" t="n">
        <f aca="false">IF($J1572=0,0,IFERROR(MATCH(INDEX(ROTACAO_RDM!$N$6:$N$71,$J1572),PARAMETROS_CULTURAS!$B$6:$B$28,0),0))</f>
        <v>8</v>
      </c>
      <c r="Q1572" s="8" t="str">
        <f aca="false">IF($P1572=0,"-",IF($O1572&lt;=INDEX(PARAMETROS_CULTURAS!$F$6:$F$28,$P1572),"INICIAL",IF($O1572&lt;=INDEX(PARAMETROS_CULTURAS!$F$6:$F$28,$P1572)+INDEX(PARAMETROS_CULTURAS!$G$6:$G$28,$P1572),"DESENVOLVIMENTO",IF($O1572&lt;=INDEX(PARAMETROS_CULTURAS!$F$6:$F$28,$P1572)+INDEX(PARAMETROS_CULTURAS!$G$6:$G$28,$P1572)+INDEX(PARAMETROS_CULTURAS!$H$6:$H$28,$P1572),"MEDIA","FINAL"))))</f>
        <v>DESENVOLVIMENTO</v>
      </c>
      <c r="R1572" s="24" t="n">
        <f aca="false">IF($P1572=0,0,IF($O1572&lt;=INDEX(PARAMETROS_CULTURAS!$F$6:$F$28,$P1572),INDEX(PARAMETROS_CULTURAS!$K$6:$K$28,$P1572),IF($O1572&lt;=INDEX(PARAMETROS_CULTURAS!$F$6:$F$28,$P1572)+INDEX(PARAMETROS_CULTURAS!$G$6:$G$28,$P1572),INDEX(PARAMETROS_CULTURAS!$K$6:$K$28,$P1572)+(INDEX(PARAMETROS_CULTURAS!$L$6:$L$28,$P1572)-INDEX(PARAMETROS_CULTURAS!$K$6:$K$28,$P1572))*($O1572-INDEX(PARAMETROS_CULTURAS!$F$6:$F$28,$P1572))/MAX(INDEX(PARAMETROS_CULTURAS!$G$6:$G$28,$P1572),0.0001),IF($O1572&lt;=INDEX(PARAMETROS_CULTURAS!$F$6:$F$28,$P1572)+INDEX(PARAMETROS_CULTURAS!$G$6:$G$28,$P1572)+INDEX(PARAMETROS_CULTURAS!$H$6:$H$28,$P1572),INDEX(PARAMETROS_CULTURAS!$L$6:$L$28,$P1572),INDEX(PARAMETROS_CULTURAS!$L$6:$L$28,$P1572)+(INDEX(PARAMETROS_CULTURAS!$M$6:$M$28,$P1572)-INDEX(PARAMETROS_CULTURAS!$L$6:$L$28,$P1572))*($O1572-INDEX(PARAMETROS_CULTURAS!$F$6:$F$28,$P1572)-INDEX(PARAMETROS_CULTURAS!$G$6:$G$28,$P1572)-INDEX(PARAMETROS_CULTURAS!$H$6:$H$28,$P1572))/MAX(INDEX(PARAMETROS_CULTURAS!$I$6:$I$28,$P1572),0.0001)))))</f>
        <v>0.4035</v>
      </c>
      <c r="S1572" s="18" t="n">
        <f aca="false">IFERROR(INDEX(SEMANAS!$H$6:$H$71,MATCH($B1572,SEMANAS!$B$6:$B$71,0)),0)</f>
        <v>36.4</v>
      </c>
      <c r="T1572" s="18" t="n">
        <f aca="false">$R1572*$S1572</f>
        <v>14.6874</v>
      </c>
      <c r="U1572" s="18" t="n">
        <f aca="false">IFERROR(INDEX(SEMANAS!$I$6:$I$71,MATCH($B1572,SEMANAS!$B$6:$B$71,0)),0)</f>
        <v>1.12</v>
      </c>
      <c r="V1572" s="18" t="n">
        <f aca="false">IFERROR(INDEX(SEMANAS!$J$6:$J$71,MATCH($B1572,SEMANAS!$B$6:$B$71,0)),0)</f>
        <v>0.896</v>
      </c>
      <c r="W1572" s="18" t="n">
        <f aca="false">MAX(0,$T1572-$V1572)</f>
        <v>13.7914</v>
      </c>
      <c r="X1572" s="19" t="n">
        <f aca="false">IFERROR(INDEX(CADASTRO_PIVOS!$K$6:$K$41,MATCH($E1572,CADASTRO_PIVOS!$B$6:$B$41,0)),EFICIENCIA_PADRAO)</f>
        <v>0.85</v>
      </c>
      <c r="Y1572" s="18" t="n">
        <f aca="false">IF($X1572&lt;=0,0,$W1572/$X1572)</f>
        <v>16.2251764705882</v>
      </c>
      <c r="Z1572" s="16" t="n">
        <f aca="false">$Y1572*$H1572*MM_PARA_M3_HA</f>
        <v>23635.2145647059</v>
      </c>
      <c r="AA1572" s="18" t="n">
        <f aca="false">IFERROR(INDEX(CADASTRO_PIVOS!$I$6:$I$41,MATCH($E1572,CADASTRO_PIVOS!$B$6:$B$41,0)),0)</f>
        <v>971.133333333333</v>
      </c>
      <c r="AB1572" s="18" t="n">
        <f aca="false">IF($Z1572&lt;=0,0,$Z1572/$AA1572)</f>
        <v>24.3377647058824</v>
      </c>
      <c r="AC1572" s="16" t="n">
        <f aca="false">IFERROR(INDEX(SEMANAS!$K$6:$K$71,MATCH($B1572,SEMANAS!$B$6:$B$71,0)),0)</f>
        <v>147</v>
      </c>
      <c r="AD1572" s="19" t="n">
        <f aca="false">IF($AC1572&lt;=0,0,$AB1572/$AC1572)</f>
        <v>0.165563025210084</v>
      </c>
      <c r="AE1572" s="8" t="str">
        <f aca="false">IF($K1572="SEM CULTURA","SEM CULTURA",IF($AA1572&lt;=0,"DADO PENDENTE",IF($AD1572&gt;LIMITE_CRITICO,"INVIAVEL",IF($AD1572&gt;LIMITE_ATENCAO,"CRITICO",IF($AD1572&gt;LIMITE_CONFORTAVEL,"ATENCAO","OK")))))</f>
        <v>OK</v>
      </c>
      <c r="AF1572" s="8" t="str">
        <f aca="false">$B1572&amp;"|"&amp;TEXT($AD1572,"0.000000")</f>
        <v>49|0.165563</v>
      </c>
      <c r="AG1572" s="18" t="n">
        <f aca="false">IF($K1572="SEM CULTURA",0,$T1572*$H1572)</f>
        <v>2139.513558</v>
      </c>
      <c r="AH1572" s="18" t="n">
        <f aca="false">IF($K1572="SEM CULTURA",0,$V1572*$H1572)</f>
        <v>130.52032</v>
      </c>
      <c r="AI1572" s="18" t="n">
        <f aca="false">IF($K1572="SEM CULTURA",0,$W1572*$H1572)</f>
        <v>2008.993238</v>
      </c>
      <c r="AJ1572" s="18" t="n">
        <f aca="false">IF($K1572="SEM CULTURA",0,$S1572*$H1572)</f>
        <v>5302.388</v>
      </c>
      <c r="AK1572" s="8" t="str">
        <f aca="false">$E1572&amp;"|"&amp;TEXT($AD1572,"0.000000")</f>
        <v>PV 120|0.165563</v>
      </c>
    </row>
    <row r="1573" customFormat="false" ht="15" hidden="false" customHeight="false" outlineLevel="0" collapsed="false">
      <c r="B1573" s="16" t="n">
        <v>50</v>
      </c>
      <c r="C1573" s="17" t="n">
        <f aca="false">DATA_INICIO_SAFRA+($B1573-1)*DIAS_POR_SEMANA</f>
        <v>46608</v>
      </c>
      <c r="D1573" s="17" t="n">
        <f aca="false">$C1573+DIAS_POR_SEMANA-1</f>
        <v>46614</v>
      </c>
      <c r="E1573" s="15" t="s">
        <v>282</v>
      </c>
      <c r="F1573" s="8" t="str">
        <f aca="false">IFERROR(INDEX(CADASTRO_PIVOS!$C$6:$C$41,MATCH($E1573,CADASTRO_PIVOS!$B$6:$B$41,0)),"?")</f>
        <v>RM07</v>
      </c>
      <c r="G1573" s="8" t="str">
        <f aca="false">IFERROR(INDEX(CADASTRO_PIVOS!$D$6:$D$41,MATCH($E1573,CADASTRO_PIVOS!$B$6:$B$41,0)),"?")</f>
        <v>TR07</v>
      </c>
      <c r="H1573" s="20" t="n">
        <f aca="false">IFERROR(INDEX(CADASTRO_PIVOS!$E$6:$E$41,MATCH($E1573,CADASTRO_PIVOS!$B$6:$B$41,0)),0)</f>
        <v>145.67</v>
      </c>
      <c r="I1573" s="16" t="n">
        <f aca="false">IFERROR(SUMIFS(ROTACAO_RDM!$B$6:$B$71,ROTACAO_RDM!$D$6:$D$71,$E1573,ROTACAO_RDM!$I$6:$I$71,"&lt;="&amp;$C1573+INT(DIAS_POR_SEMANA/2),ROTACAO_RDM!$J$6:$J$71,"&gt;="&amp;$C1573+INT(DIAS_POR_SEMANA/2)),0)</f>
        <v>35</v>
      </c>
      <c r="J1573" s="16" t="n">
        <f aca="false">IFERROR(MATCH($I1573,ROTACAO_RDM!$B$6:$B$71,0),0)</f>
        <v>35</v>
      </c>
      <c r="K1573" s="8" t="str">
        <f aca="false">IF($J1573=0,"SEM CULTURA",INDEX(ROTACAO_RDM!$F$6:$F$71,$J1573))</f>
        <v>MILHO_GRAO</v>
      </c>
      <c r="L1573" s="8" t="n">
        <f aca="false">IF($J1573=0,"",INDEX(ROTACAO_RDM!$G$6:$G$71,$J1573))</f>
        <v>0</v>
      </c>
      <c r="M1573" s="17" t="n">
        <f aca="false">IF($J1573=0,"",INDEX(ROTACAO_RDM!$I$6:$I$71,$J1573))</f>
        <v>46569</v>
      </c>
      <c r="N1573" s="16" t="n">
        <f aca="false">IF($J1573=0,0,MAX(0,$C1573+INT(DIAS_POR_SEMANA/2)-INDEX(ROTACAO_RDM!$I$6:$I$71,$J1573)))</f>
        <v>42</v>
      </c>
      <c r="O1573" s="19" t="n">
        <f aca="false">IF($J1573=0,0,MIN(1,$N1573/MAX(1,INDEX(ROTACAO_RDM!$K$6:$K$71,$J1573))))</f>
        <v>0.2625</v>
      </c>
      <c r="P1573" s="16" t="n">
        <f aca="false">IF($J1573=0,0,IFERROR(MATCH(INDEX(ROTACAO_RDM!$N$6:$N$71,$J1573),PARAMETROS_CULTURAS!$B$6:$B$28,0),0))</f>
        <v>8</v>
      </c>
      <c r="Q1573" s="8" t="str">
        <f aca="false">IF($P1573=0,"-",IF($O1573&lt;=INDEX(PARAMETROS_CULTURAS!$F$6:$F$28,$P1573),"INICIAL",IF($O1573&lt;=INDEX(PARAMETROS_CULTURAS!$F$6:$F$28,$P1573)+INDEX(PARAMETROS_CULTURAS!$G$6:$G$28,$P1573),"DESENVOLVIMENTO",IF($O1573&lt;=INDEX(PARAMETROS_CULTURAS!$F$6:$F$28,$P1573)+INDEX(PARAMETROS_CULTURAS!$G$6:$G$28,$P1573)+INDEX(PARAMETROS_CULTURAS!$H$6:$H$28,$P1573),"MEDIA","FINAL"))))</f>
        <v>DESENVOLVIMENTO</v>
      </c>
      <c r="R1573" s="24" t="n">
        <f aca="false">IF($P1573=0,0,IF($O1573&lt;=INDEX(PARAMETROS_CULTURAS!$F$6:$F$28,$P1573),INDEX(PARAMETROS_CULTURAS!$K$6:$K$28,$P1573),IF($O1573&lt;=INDEX(PARAMETROS_CULTURAS!$F$6:$F$28,$P1573)+INDEX(PARAMETROS_CULTURAS!$G$6:$G$28,$P1573),INDEX(PARAMETROS_CULTURAS!$K$6:$K$28,$P1573)+(INDEX(PARAMETROS_CULTURAS!$L$6:$L$28,$P1573)-INDEX(PARAMETROS_CULTURAS!$K$6:$K$28,$P1573))*($O1573-INDEX(PARAMETROS_CULTURAS!$F$6:$F$28,$P1573))/MAX(INDEX(PARAMETROS_CULTURAS!$G$6:$G$28,$P1573),0.0001),IF($O1573&lt;=INDEX(PARAMETROS_CULTURAS!$F$6:$F$28,$P1573)+INDEX(PARAMETROS_CULTURAS!$G$6:$G$28,$P1573)+INDEX(PARAMETROS_CULTURAS!$H$6:$H$28,$P1573),INDEX(PARAMETROS_CULTURAS!$L$6:$L$28,$P1573),INDEX(PARAMETROS_CULTURAS!$L$6:$L$28,$P1573)+(INDEX(PARAMETROS_CULTURAS!$M$6:$M$28,$P1573)-INDEX(PARAMETROS_CULTURAS!$L$6:$L$28,$P1573))*($O1573-INDEX(PARAMETROS_CULTURAS!$F$6:$F$28,$P1573)-INDEX(PARAMETROS_CULTURAS!$G$6:$G$28,$P1573)-INDEX(PARAMETROS_CULTURAS!$H$6:$H$28,$P1573))/MAX(INDEX(PARAMETROS_CULTURAS!$I$6:$I$28,$P1573),0.0001)))))</f>
        <v>0.561</v>
      </c>
      <c r="S1573" s="18" t="n">
        <f aca="false">IFERROR(INDEX(SEMANAS!$H$6:$H$71,MATCH($B1573,SEMANAS!$B$6:$B$71,0)),0)</f>
        <v>36.4</v>
      </c>
      <c r="T1573" s="18" t="n">
        <f aca="false">$R1573*$S1573</f>
        <v>20.4204</v>
      </c>
      <c r="U1573" s="18" t="n">
        <f aca="false">IFERROR(INDEX(SEMANAS!$I$6:$I$71,MATCH($B1573,SEMANAS!$B$6:$B$71,0)),0)</f>
        <v>1.12</v>
      </c>
      <c r="V1573" s="18" t="n">
        <f aca="false">IFERROR(INDEX(SEMANAS!$J$6:$J$71,MATCH($B1573,SEMANAS!$B$6:$B$71,0)),0)</f>
        <v>0.896</v>
      </c>
      <c r="W1573" s="18" t="n">
        <f aca="false">MAX(0,$T1573-$V1573)</f>
        <v>19.5244</v>
      </c>
      <c r="X1573" s="19" t="n">
        <f aca="false">IFERROR(INDEX(CADASTRO_PIVOS!$K$6:$K$41,MATCH($E1573,CADASTRO_PIVOS!$B$6:$B$41,0)),EFICIENCIA_PADRAO)</f>
        <v>0.85</v>
      </c>
      <c r="Y1573" s="18" t="n">
        <f aca="false">IF($X1573&lt;=0,0,$W1573/$X1573)</f>
        <v>22.9698823529412</v>
      </c>
      <c r="Z1573" s="16" t="n">
        <f aca="false">$Y1573*$H1573*MM_PARA_M3_HA</f>
        <v>33460.2276235294</v>
      </c>
      <c r="AA1573" s="18" t="n">
        <f aca="false">IFERROR(INDEX(CADASTRO_PIVOS!$I$6:$I$41,MATCH($E1573,CADASTRO_PIVOS!$B$6:$B$41,0)),0)</f>
        <v>971.133333333333</v>
      </c>
      <c r="AB1573" s="18" t="n">
        <f aca="false">IF($Z1573&lt;=0,0,$Z1573/$AA1573)</f>
        <v>34.4548235294118</v>
      </c>
      <c r="AC1573" s="16" t="n">
        <f aca="false">IFERROR(INDEX(SEMANAS!$K$6:$K$71,MATCH($B1573,SEMANAS!$B$6:$B$71,0)),0)</f>
        <v>147</v>
      </c>
      <c r="AD1573" s="19" t="n">
        <f aca="false">IF($AC1573&lt;=0,0,$AB1573/$AC1573)</f>
        <v>0.234386554621849</v>
      </c>
      <c r="AE1573" s="8" t="str">
        <f aca="false">IF($K1573="SEM CULTURA","SEM CULTURA",IF($AA1573&lt;=0,"DADO PENDENTE",IF($AD1573&gt;LIMITE_CRITICO,"INVIAVEL",IF($AD1573&gt;LIMITE_ATENCAO,"CRITICO",IF($AD1573&gt;LIMITE_CONFORTAVEL,"ATENCAO","OK")))))</f>
        <v>OK</v>
      </c>
      <c r="AF1573" s="8" t="str">
        <f aca="false">$B1573&amp;"|"&amp;TEXT($AD1573,"0.000000")</f>
        <v>50|0.234387</v>
      </c>
      <c r="AG1573" s="18" t="n">
        <f aca="false">IF($K1573="SEM CULTURA",0,$T1573*$H1573)</f>
        <v>2974.639668</v>
      </c>
      <c r="AH1573" s="18" t="n">
        <f aca="false">IF($K1573="SEM CULTURA",0,$V1573*$H1573)</f>
        <v>130.52032</v>
      </c>
      <c r="AI1573" s="18" t="n">
        <f aca="false">IF($K1573="SEM CULTURA",0,$W1573*$H1573)</f>
        <v>2844.119348</v>
      </c>
      <c r="AJ1573" s="18" t="n">
        <f aca="false">IF($K1573="SEM CULTURA",0,$S1573*$H1573)</f>
        <v>5302.388</v>
      </c>
      <c r="AK1573" s="8" t="str">
        <f aca="false">$E1573&amp;"|"&amp;TEXT($AD1573,"0.000000")</f>
        <v>PV 120|0.234387</v>
      </c>
    </row>
    <row r="1574" customFormat="false" ht="15" hidden="false" customHeight="false" outlineLevel="0" collapsed="false">
      <c r="B1574" s="16" t="n">
        <v>51</v>
      </c>
      <c r="C1574" s="17" t="n">
        <f aca="false">DATA_INICIO_SAFRA+($B1574-1)*DIAS_POR_SEMANA</f>
        <v>46615</v>
      </c>
      <c r="D1574" s="17" t="n">
        <f aca="false">$C1574+DIAS_POR_SEMANA-1</f>
        <v>46621</v>
      </c>
      <c r="E1574" s="15" t="s">
        <v>282</v>
      </c>
      <c r="F1574" s="8" t="str">
        <f aca="false">IFERROR(INDEX(CADASTRO_PIVOS!$C$6:$C$41,MATCH($E1574,CADASTRO_PIVOS!$B$6:$B$41,0)),"?")</f>
        <v>RM07</v>
      </c>
      <c r="G1574" s="8" t="str">
        <f aca="false">IFERROR(INDEX(CADASTRO_PIVOS!$D$6:$D$41,MATCH($E1574,CADASTRO_PIVOS!$B$6:$B$41,0)),"?")</f>
        <v>TR07</v>
      </c>
      <c r="H1574" s="20" t="n">
        <f aca="false">IFERROR(INDEX(CADASTRO_PIVOS!$E$6:$E$41,MATCH($E1574,CADASTRO_PIVOS!$B$6:$B$41,0)),0)</f>
        <v>145.67</v>
      </c>
      <c r="I1574" s="16" t="n">
        <f aca="false">IFERROR(SUMIFS(ROTACAO_RDM!$B$6:$B$71,ROTACAO_RDM!$D$6:$D$71,$E1574,ROTACAO_RDM!$I$6:$I$71,"&lt;="&amp;$C1574+INT(DIAS_POR_SEMANA/2),ROTACAO_RDM!$J$6:$J$71,"&gt;="&amp;$C1574+INT(DIAS_POR_SEMANA/2)),0)</f>
        <v>35</v>
      </c>
      <c r="J1574" s="16" t="n">
        <f aca="false">IFERROR(MATCH($I1574,ROTACAO_RDM!$B$6:$B$71,0),0)</f>
        <v>35</v>
      </c>
      <c r="K1574" s="8" t="str">
        <f aca="false">IF($J1574=0,"SEM CULTURA",INDEX(ROTACAO_RDM!$F$6:$F$71,$J1574))</f>
        <v>MILHO_GRAO</v>
      </c>
      <c r="L1574" s="8" t="n">
        <f aca="false">IF($J1574=0,"",INDEX(ROTACAO_RDM!$G$6:$G$71,$J1574))</f>
        <v>0</v>
      </c>
      <c r="M1574" s="17" t="n">
        <f aca="false">IF($J1574=0,"",INDEX(ROTACAO_RDM!$I$6:$I$71,$J1574))</f>
        <v>46569</v>
      </c>
      <c r="N1574" s="16" t="n">
        <f aca="false">IF($J1574=0,0,MAX(0,$C1574+INT(DIAS_POR_SEMANA/2)-INDEX(ROTACAO_RDM!$I$6:$I$71,$J1574)))</f>
        <v>49</v>
      </c>
      <c r="O1574" s="19" t="n">
        <f aca="false">IF($J1574=0,0,MIN(1,$N1574/MAX(1,INDEX(ROTACAO_RDM!$K$6:$K$71,$J1574))))</f>
        <v>0.30625</v>
      </c>
      <c r="P1574" s="16" t="n">
        <f aca="false">IF($J1574=0,0,IFERROR(MATCH(INDEX(ROTACAO_RDM!$N$6:$N$71,$J1574),PARAMETROS_CULTURAS!$B$6:$B$28,0),0))</f>
        <v>8</v>
      </c>
      <c r="Q1574" s="8" t="str">
        <f aca="false">IF($P1574=0,"-",IF($O1574&lt;=INDEX(PARAMETROS_CULTURAS!$F$6:$F$28,$P1574),"INICIAL",IF($O1574&lt;=INDEX(PARAMETROS_CULTURAS!$F$6:$F$28,$P1574)+INDEX(PARAMETROS_CULTURAS!$G$6:$G$28,$P1574),"DESENVOLVIMENTO",IF($O1574&lt;=INDEX(PARAMETROS_CULTURAS!$F$6:$F$28,$P1574)+INDEX(PARAMETROS_CULTURAS!$G$6:$G$28,$P1574)+INDEX(PARAMETROS_CULTURAS!$H$6:$H$28,$P1574),"MEDIA","FINAL"))))</f>
        <v>DESENVOLVIMENTO</v>
      </c>
      <c r="R1574" s="24" t="n">
        <f aca="false">IF($P1574=0,0,IF($O1574&lt;=INDEX(PARAMETROS_CULTURAS!$F$6:$F$28,$P1574),INDEX(PARAMETROS_CULTURAS!$K$6:$K$28,$P1574),IF($O1574&lt;=INDEX(PARAMETROS_CULTURAS!$F$6:$F$28,$P1574)+INDEX(PARAMETROS_CULTURAS!$G$6:$G$28,$P1574),INDEX(PARAMETROS_CULTURAS!$K$6:$K$28,$P1574)+(INDEX(PARAMETROS_CULTURAS!$L$6:$L$28,$P1574)-INDEX(PARAMETROS_CULTURAS!$K$6:$K$28,$P1574))*($O1574-INDEX(PARAMETROS_CULTURAS!$F$6:$F$28,$P1574))/MAX(INDEX(PARAMETROS_CULTURAS!$G$6:$G$28,$P1574),0.0001),IF($O1574&lt;=INDEX(PARAMETROS_CULTURAS!$F$6:$F$28,$P1574)+INDEX(PARAMETROS_CULTURAS!$G$6:$G$28,$P1574)+INDEX(PARAMETROS_CULTURAS!$H$6:$H$28,$P1574),INDEX(PARAMETROS_CULTURAS!$L$6:$L$28,$P1574),INDEX(PARAMETROS_CULTURAS!$L$6:$L$28,$P1574)+(INDEX(PARAMETROS_CULTURAS!$M$6:$M$28,$P1574)-INDEX(PARAMETROS_CULTURAS!$L$6:$L$28,$P1574))*($O1574-INDEX(PARAMETROS_CULTURAS!$F$6:$F$28,$P1574)-INDEX(PARAMETROS_CULTURAS!$G$6:$G$28,$P1574)-INDEX(PARAMETROS_CULTURAS!$H$6:$H$28,$P1574))/MAX(INDEX(PARAMETROS_CULTURAS!$I$6:$I$28,$P1574),0.0001)))))</f>
        <v>0.7185</v>
      </c>
      <c r="S1574" s="18" t="n">
        <f aca="false">IFERROR(INDEX(SEMANAS!$H$6:$H$71,MATCH($B1574,SEMANAS!$B$6:$B$71,0)),0)</f>
        <v>36.4</v>
      </c>
      <c r="T1574" s="18" t="n">
        <f aca="false">$R1574*$S1574</f>
        <v>26.1534</v>
      </c>
      <c r="U1574" s="18" t="n">
        <f aca="false">IFERROR(INDEX(SEMANAS!$I$6:$I$71,MATCH($B1574,SEMANAS!$B$6:$B$71,0)),0)</f>
        <v>1.12</v>
      </c>
      <c r="V1574" s="18" t="n">
        <f aca="false">IFERROR(INDEX(SEMANAS!$J$6:$J$71,MATCH($B1574,SEMANAS!$B$6:$B$71,0)),0)</f>
        <v>0.896</v>
      </c>
      <c r="W1574" s="18" t="n">
        <f aca="false">MAX(0,$T1574-$V1574)</f>
        <v>25.2574</v>
      </c>
      <c r="X1574" s="19" t="n">
        <f aca="false">IFERROR(INDEX(CADASTRO_PIVOS!$K$6:$K$41,MATCH($E1574,CADASTRO_PIVOS!$B$6:$B$41,0)),EFICIENCIA_PADRAO)</f>
        <v>0.85</v>
      </c>
      <c r="Y1574" s="18" t="n">
        <f aca="false">IF($X1574&lt;=0,0,$W1574/$X1574)</f>
        <v>29.7145882352941</v>
      </c>
      <c r="Z1574" s="16" t="n">
        <f aca="false">$Y1574*$H1574*MM_PARA_M3_HA</f>
        <v>43285.2406823529</v>
      </c>
      <c r="AA1574" s="18" t="n">
        <f aca="false">IFERROR(INDEX(CADASTRO_PIVOS!$I$6:$I$41,MATCH($E1574,CADASTRO_PIVOS!$B$6:$B$41,0)),0)</f>
        <v>971.133333333333</v>
      </c>
      <c r="AB1574" s="18" t="n">
        <f aca="false">IF($Z1574&lt;=0,0,$Z1574/$AA1574)</f>
        <v>44.5718823529412</v>
      </c>
      <c r="AC1574" s="16" t="n">
        <f aca="false">IFERROR(INDEX(SEMANAS!$K$6:$K$71,MATCH($B1574,SEMANAS!$B$6:$B$71,0)),0)</f>
        <v>147</v>
      </c>
      <c r="AD1574" s="19" t="n">
        <f aca="false">IF($AC1574&lt;=0,0,$AB1574/$AC1574)</f>
        <v>0.303210084033614</v>
      </c>
      <c r="AE1574" s="8" t="str">
        <f aca="false">IF($K1574="SEM CULTURA","SEM CULTURA",IF($AA1574&lt;=0,"DADO PENDENTE",IF($AD1574&gt;LIMITE_CRITICO,"INVIAVEL",IF($AD1574&gt;LIMITE_ATENCAO,"CRITICO",IF($AD1574&gt;LIMITE_CONFORTAVEL,"ATENCAO","OK")))))</f>
        <v>OK</v>
      </c>
      <c r="AF1574" s="8" t="str">
        <f aca="false">$B1574&amp;"|"&amp;TEXT($AD1574,"0.000000")</f>
        <v>51|0.303210</v>
      </c>
      <c r="AG1574" s="18" t="n">
        <f aca="false">IF($K1574="SEM CULTURA",0,$T1574*$H1574)</f>
        <v>3809.765778</v>
      </c>
      <c r="AH1574" s="18" t="n">
        <f aca="false">IF($K1574="SEM CULTURA",0,$V1574*$H1574)</f>
        <v>130.52032</v>
      </c>
      <c r="AI1574" s="18" t="n">
        <f aca="false">IF($K1574="SEM CULTURA",0,$W1574*$H1574)</f>
        <v>3679.245458</v>
      </c>
      <c r="AJ1574" s="18" t="n">
        <f aca="false">IF($K1574="SEM CULTURA",0,$S1574*$H1574)</f>
        <v>5302.388</v>
      </c>
      <c r="AK1574" s="8" t="str">
        <f aca="false">$E1574&amp;"|"&amp;TEXT($AD1574,"0.000000")</f>
        <v>PV 120|0.303210</v>
      </c>
    </row>
    <row r="1575" customFormat="false" ht="15" hidden="false" customHeight="false" outlineLevel="0" collapsed="false">
      <c r="B1575" s="16" t="n">
        <v>52</v>
      </c>
      <c r="C1575" s="17" t="n">
        <f aca="false">DATA_INICIO_SAFRA+($B1575-1)*DIAS_POR_SEMANA</f>
        <v>46622</v>
      </c>
      <c r="D1575" s="17" t="n">
        <f aca="false">$C1575+DIAS_POR_SEMANA-1</f>
        <v>46628</v>
      </c>
      <c r="E1575" s="15" t="s">
        <v>282</v>
      </c>
      <c r="F1575" s="8" t="str">
        <f aca="false">IFERROR(INDEX(CADASTRO_PIVOS!$C$6:$C$41,MATCH($E1575,CADASTRO_PIVOS!$B$6:$B$41,0)),"?")</f>
        <v>RM07</v>
      </c>
      <c r="G1575" s="8" t="str">
        <f aca="false">IFERROR(INDEX(CADASTRO_PIVOS!$D$6:$D$41,MATCH($E1575,CADASTRO_PIVOS!$B$6:$B$41,0)),"?")</f>
        <v>TR07</v>
      </c>
      <c r="H1575" s="20" t="n">
        <f aca="false">IFERROR(INDEX(CADASTRO_PIVOS!$E$6:$E$41,MATCH($E1575,CADASTRO_PIVOS!$B$6:$B$41,0)),0)</f>
        <v>145.67</v>
      </c>
      <c r="I1575" s="16" t="n">
        <f aca="false">IFERROR(SUMIFS(ROTACAO_RDM!$B$6:$B$71,ROTACAO_RDM!$D$6:$D$71,$E1575,ROTACAO_RDM!$I$6:$I$71,"&lt;="&amp;$C1575+INT(DIAS_POR_SEMANA/2),ROTACAO_RDM!$J$6:$J$71,"&gt;="&amp;$C1575+INT(DIAS_POR_SEMANA/2)),0)</f>
        <v>35</v>
      </c>
      <c r="J1575" s="16" t="n">
        <f aca="false">IFERROR(MATCH($I1575,ROTACAO_RDM!$B$6:$B$71,0),0)</f>
        <v>35</v>
      </c>
      <c r="K1575" s="8" t="str">
        <f aca="false">IF($J1575=0,"SEM CULTURA",INDEX(ROTACAO_RDM!$F$6:$F$71,$J1575))</f>
        <v>MILHO_GRAO</v>
      </c>
      <c r="L1575" s="8" t="n">
        <f aca="false">IF($J1575=0,"",INDEX(ROTACAO_RDM!$G$6:$G$71,$J1575))</f>
        <v>0</v>
      </c>
      <c r="M1575" s="17" t="n">
        <f aca="false">IF($J1575=0,"",INDEX(ROTACAO_RDM!$I$6:$I$71,$J1575))</f>
        <v>46569</v>
      </c>
      <c r="N1575" s="16" t="n">
        <f aca="false">IF($J1575=0,0,MAX(0,$C1575+INT(DIAS_POR_SEMANA/2)-INDEX(ROTACAO_RDM!$I$6:$I$71,$J1575)))</f>
        <v>56</v>
      </c>
      <c r="O1575" s="19" t="n">
        <f aca="false">IF($J1575=0,0,MIN(1,$N1575/MAX(1,INDEX(ROTACAO_RDM!$K$6:$K$71,$J1575))))</f>
        <v>0.35</v>
      </c>
      <c r="P1575" s="16" t="n">
        <f aca="false">IF($J1575=0,0,IFERROR(MATCH(INDEX(ROTACAO_RDM!$N$6:$N$71,$J1575),PARAMETROS_CULTURAS!$B$6:$B$28,0),0))</f>
        <v>8</v>
      </c>
      <c r="Q1575" s="8" t="str">
        <f aca="false">IF($P1575=0,"-",IF($O1575&lt;=INDEX(PARAMETROS_CULTURAS!$F$6:$F$28,$P1575),"INICIAL",IF($O1575&lt;=INDEX(PARAMETROS_CULTURAS!$F$6:$F$28,$P1575)+INDEX(PARAMETROS_CULTURAS!$G$6:$G$28,$P1575),"DESENVOLVIMENTO",IF($O1575&lt;=INDEX(PARAMETROS_CULTURAS!$F$6:$F$28,$P1575)+INDEX(PARAMETROS_CULTURAS!$G$6:$G$28,$P1575)+INDEX(PARAMETROS_CULTURAS!$H$6:$H$28,$P1575),"MEDIA","FINAL"))))</f>
        <v>DESENVOLVIMENTO</v>
      </c>
      <c r="R1575" s="24" t="n">
        <f aca="false">IF($P1575=0,0,IF($O1575&lt;=INDEX(PARAMETROS_CULTURAS!$F$6:$F$28,$P1575),INDEX(PARAMETROS_CULTURAS!$K$6:$K$28,$P1575),IF($O1575&lt;=INDEX(PARAMETROS_CULTURAS!$F$6:$F$28,$P1575)+INDEX(PARAMETROS_CULTURAS!$G$6:$G$28,$P1575),INDEX(PARAMETROS_CULTURAS!$K$6:$K$28,$P1575)+(INDEX(PARAMETROS_CULTURAS!$L$6:$L$28,$P1575)-INDEX(PARAMETROS_CULTURAS!$K$6:$K$28,$P1575))*($O1575-INDEX(PARAMETROS_CULTURAS!$F$6:$F$28,$P1575))/MAX(INDEX(PARAMETROS_CULTURAS!$G$6:$G$28,$P1575),0.0001),IF($O1575&lt;=INDEX(PARAMETROS_CULTURAS!$F$6:$F$28,$P1575)+INDEX(PARAMETROS_CULTURAS!$G$6:$G$28,$P1575)+INDEX(PARAMETROS_CULTURAS!$H$6:$H$28,$P1575),INDEX(PARAMETROS_CULTURAS!$L$6:$L$28,$P1575),INDEX(PARAMETROS_CULTURAS!$L$6:$L$28,$P1575)+(INDEX(PARAMETROS_CULTURAS!$M$6:$M$28,$P1575)-INDEX(PARAMETROS_CULTURAS!$L$6:$L$28,$P1575))*($O1575-INDEX(PARAMETROS_CULTURAS!$F$6:$F$28,$P1575)-INDEX(PARAMETROS_CULTURAS!$G$6:$G$28,$P1575)-INDEX(PARAMETROS_CULTURAS!$H$6:$H$28,$P1575))/MAX(INDEX(PARAMETROS_CULTURAS!$I$6:$I$28,$P1575),0.0001)))))</f>
        <v>0.876</v>
      </c>
      <c r="S1575" s="18" t="n">
        <f aca="false">IFERROR(INDEX(SEMANAS!$H$6:$H$71,MATCH($B1575,SEMANAS!$B$6:$B$71,0)),0)</f>
        <v>36.4</v>
      </c>
      <c r="T1575" s="18" t="n">
        <f aca="false">$R1575*$S1575</f>
        <v>31.8864</v>
      </c>
      <c r="U1575" s="18" t="n">
        <f aca="false">IFERROR(INDEX(SEMANAS!$I$6:$I$71,MATCH($B1575,SEMANAS!$B$6:$B$71,0)),0)</f>
        <v>1.12</v>
      </c>
      <c r="V1575" s="18" t="n">
        <f aca="false">IFERROR(INDEX(SEMANAS!$J$6:$J$71,MATCH($B1575,SEMANAS!$B$6:$B$71,0)),0)</f>
        <v>0.896</v>
      </c>
      <c r="W1575" s="18" t="n">
        <f aca="false">MAX(0,$T1575-$V1575)</f>
        <v>30.9904</v>
      </c>
      <c r="X1575" s="19" t="n">
        <f aca="false">IFERROR(INDEX(CADASTRO_PIVOS!$K$6:$K$41,MATCH($E1575,CADASTRO_PIVOS!$B$6:$B$41,0)),EFICIENCIA_PADRAO)</f>
        <v>0.85</v>
      </c>
      <c r="Y1575" s="18" t="n">
        <f aca="false">IF($X1575&lt;=0,0,$W1575/$X1575)</f>
        <v>36.4592941176471</v>
      </c>
      <c r="Z1575" s="16" t="n">
        <f aca="false">$Y1575*$H1575*MM_PARA_M3_HA</f>
        <v>53110.2537411765</v>
      </c>
      <c r="AA1575" s="18" t="n">
        <f aca="false">IFERROR(INDEX(CADASTRO_PIVOS!$I$6:$I$41,MATCH($E1575,CADASTRO_PIVOS!$B$6:$B$41,0)),0)</f>
        <v>971.133333333333</v>
      </c>
      <c r="AB1575" s="18" t="n">
        <f aca="false">IF($Z1575&lt;=0,0,$Z1575/$AA1575)</f>
        <v>54.6889411764706</v>
      </c>
      <c r="AC1575" s="16" t="n">
        <f aca="false">IFERROR(INDEX(SEMANAS!$K$6:$K$71,MATCH($B1575,SEMANAS!$B$6:$B$71,0)),0)</f>
        <v>147</v>
      </c>
      <c r="AD1575" s="19" t="n">
        <f aca="false">IF($AC1575&lt;=0,0,$AB1575/$AC1575)</f>
        <v>0.372033613445378</v>
      </c>
      <c r="AE1575" s="8" t="str">
        <f aca="false">IF($K1575="SEM CULTURA","SEM CULTURA",IF($AA1575&lt;=0,"DADO PENDENTE",IF($AD1575&gt;LIMITE_CRITICO,"INVIAVEL",IF($AD1575&gt;LIMITE_ATENCAO,"CRITICO",IF($AD1575&gt;LIMITE_CONFORTAVEL,"ATENCAO","OK")))))</f>
        <v>OK</v>
      </c>
      <c r="AF1575" s="8" t="str">
        <f aca="false">$B1575&amp;"|"&amp;TEXT($AD1575,"0.000000")</f>
        <v>52|0.372034</v>
      </c>
      <c r="AG1575" s="18" t="n">
        <f aca="false">IF($K1575="SEM CULTURA",0,$T1575*$H1575)</f>
        <v>4644.891888</v>
      </c>
      <c r="AH1575" s="18" t="n">
        <f aca="false">IF($K1575="SEM CULTURA",0,$V1575*$H1575)</f>
        <v>130.52032</v>
      </c>
      <c r="AI1575" s="18" t="n">
        <f aca="false">IF($K1575="SEM CULTURA",0,$W1575*$H1575)</f>
        <v>4514.371568</v>
      </c>
      <c r="AJ1575" s="18" t="n">
        <f aca="false">IF($K1575="SEM CULTURA",0,$S1575*$H1575)</f>
        <v>5302.388</v>
      </c>
      <c r="AK1575" s="8" t="str">
        <f aca="false">$E1575&amp;"|"&amp;TEXT($AD1575,"0.000000")</f>
        <v>PV 120|0.372034</v>
      </c>
    </row>
    <row r="1576" customFormat="false" ht="15" hidden="false" customHeight="false" outlineLevel="0" collapsed="false">
      <c r="B1576" s="16" t="n">
        <v>53</v>
      </c>
      <c r="C1576" s="17" t="n">
        <f aca="false">DATA_INICIO_SAFRA+($B1576-1)*DIAS_POR_SEMANA</f>
        <v>46629</v>
      </c>
      <c r="D1576" s="17" t="n">
        <f aca="false">$C1576+DIAS_POR_SEMANA-1</f>
        <v>46635</v>
      </c>
      <c r="E1576" s="15" t="s">
        <v>282</v>
      </c>
      <c r="F1576" s="8" t="str">
        <f aca="false">IFERROR(INDEX(CADASTRO_PIVOS!$C$6:$C$41,MATCH($E1576,CADASTRO_PIVOS!$B$6:$B$41,0)),"?")</f>
        <v>RM07</v>
      </c>
      <c r="G1576" s="8" t="str">
        <f aca="false">IFERROR(INDEX(CADASTRO_PIVOS!$D$6:$D$41,MATCH($E1576,CADASTRO_PIVOS!$B$6:$B$41,0)),"?")</f>
        <v>TR07</v>
      </c>
      <c r="H1576" s="20" t="n">
        <f aca="false">IFERROR(INDEX(CADASTRO_PIVOS!$E$6:$E$41,MATCH($E1576,CADASTRO_PIVOS!$B$6:$B$41,0)),0)</f>
        <v>145.67</v>
      </c>
      <c r="I1576" s="16" t="n">
        <f aca="false">IFERROR(SUMIFS(ROTACAO_RDM!$B$6:$B$71,ROTACAO_RDM!$D$6:$D$71,$E1576,ROTACAO_RDM!$I$6:$I$71,"&lt;="&amp;$C1576+INT(DIAS_POR_SEMANA/2),ROTACAO_RDM!$J$6:$J$71,"&gt;="&amp;$C1576+INT(DIAS_POR_SEMANA/2)),0)</f>
        <v>35</v>
      </c>
      <c r="J1576" s="16" t="n">
        <f aca="false">IFERROR(MATCH($I1576,ROTACAO_RDM!$B$6:$B$71,0),0)</f>
        <v>35</v>
      </c>
      <c r="K1576" s="8" t="str">
        <f aca="false">IF($J1576=0,"SEM CULTURA",INDEX(ROTACAO_RDM!$F$6:$F$71,$J1576))</f>
        <v>MILHO_GRAO</v>
      </c>
      <c r="L1576" s="8" t="n">
        <f aca="false">IF($J1576=0,"",INDEX(ROTACAO_RDM!$G$6:$G$71,$J1576))</f>
        <v>0</v>
      </c>
      <c r="M1576" s="17" t="n">
        <f aca="false">IF($J1576=0,"",INDEX(ROTACAO_RDM!$I$6:$I$71,$J1576))</f>
        <v>46569</v>
      </c>
      <c r="N1576" s="16" t="n">
        <f aca="false">IF($J1576=0,0,MAX(0,$C1576+INT(DIAS_POR_SEMANA/2)-INDEX(ROTACAO_RDM!$I$6:$I$71,$J1576)))</f>
        <v>63</v>
      </c>
      <c r="O1576" s="19" t="n">
        <f aca="false">IF($J1576=0,0,MIN(1,$N1576/MAX(1,INDEX(ROTACAO_RDM!$K$6:$K$71,$J1576))))</f>
        <v>0.39375</v>
      </c>
      <c r="P1576" s="16" t="n">
        <f aca="false">IF($J1576=0,0,IFERROR(MATCH(INDEX(ROTACAO_RDM!$N$6:$N$71,$J1576),PARAMETROS_CULTURAS!$B$6:$B$28,0),0))</f>
        <v>8</v>
      </c>
      <c r="Q1576" s="8" t="str">
        <f aca="false">IF($P1576=0,"-",IF($O1576&lt;=INDEX(PARAMETROS_CULTURAS!$F$6:$F$28,$P1576),"INICIAL",IF($O1576&lt;=INDEX(PARAMETROS_CULTURAS!$F$6:$F$28,$P1576)+INDEX(PARAMETROS_CULTURAS!$G$6:$G$28,$P1576),"DESENVOLVIMENTO",IF($O1576&lt;=INDEX(PARAMETROS_CULTURAS!$F$6:$F$28,$P1576)+INDEX(PARAMETROS_CULTURAS!$G$6:$G$28,$P1576)+INDEX(PARAMETROS_CULTURAS!$H$6:$H$28,$P1576),"MEDIA","FINAL"))))</f>
        <v>DESENVOLVIMENTO</v>
      </c>
      <c r="R1576" s="24" t="n">
        <f aca="false">IF($P1576=0,0,IF($O1576&lt;=INDEX(PARAMETROS_CULTURAS!$F$6:$F$28,$P1576),INDEX(PARAMETROS_CULTURAS!$K$6:$K$28,$P1576),IF($O1576&lt;=INDEX(PARAMETROS_CULTURAS!$F$6:$F$28,$P1576)+INDEX(PARAMETROS_CULTURAS!$G$6:$G$28,$P1576),INDEX(PARAMETROS_CULTURAS!$K$6:$K$28,$P1576)+(INDEX(PARAMETROS_CULTURAS!$L$6:$L$28,$P1576)-INDEX(PARAMETROS_CULTURAS!$K$6:$K$28,$P1576))*($O1576-INDEX(PARAMETROS_CULTURAS!$F$6:$F$28,$P1576))/MAX(INDEX(PARAMETROS_CULTURAS!$G$6:$G$28,$P1576),0.0001),IF($O1576&lt;=INDEX(PARAMETROS_CULTURAS!$F$6:$F$28,$P1576)+INDEX(PARAMETROS_CULTURAS!$G$6:$G$28,$P1576)+INDEX(PARAMETROS_CULTURAS!$H$6:$H$28,$P1576),INDEX(PARAMETROS_CULTURAS!$L$6:$L$28,$P1576),INDEX(PARAMETROS_CULTURAS!$L$6:$L$28,$P1576)+(INDEX(PARAMETROS_CULTURAS!$M$6:$M$28,$P1576)-INDEX(PARAMETROS_CULTURAS!$L$6:$L$28,$P1576))*($O1576-INDEX(PARAMETROS_CULTURAS!$F$6:$F$28,$P1576)-INDEX(PARAMETROS_CULTURAS!$G$6:$G$28,$P1576)-INDEX(PARAMETROS_CULTURAS!$H$6:$H$28,$P1576))/MAX(INDEX(PARAMETROS_CULTURAS!$I$6:$I$28,$P1576),0.0001)))))</f>
        <v>1.0335</v>
      </c>
      <c r="S1576" s="18" t="n">
        <f aca="false">IFERROR(INDEX(SEMANAS!$H$6:$H$71,MATCH($B1576,SEMANAS!$B$6:$B$71,0)),0)</f>
        <v>39.4</v>
      </c>
      <c r="T1576" s="18" t="n">
        <f aca="false">$R1576*$S1576</f>
        <v>40.7199</v>
      </c>
      <c r="U1576" s="18" t="n">
        <f aca="false">IFERROR(INDEX(SEMANAS!$I$6:$I$71,MATCH($B1576,SEMANAS!$B$6:$B$71,0)),0)</f>
        <v>5.32</v>
      </c>
      <c r="V1576" s="18" t="n">
        <f aca="false">IFERROR(INDEX(SEMANAS!$J$6:$J$71,MATCH($B1576,SEMANAS!$B$6:$B$71,0)),0)</f>
        <v>4.256</v>
      </c>
      <c r="W1576" s="18" t="n">
        <f aca="false">MAX(0,$T1576-$V1576)</f>
        <v>36.4639</v>
      </c>
      <c r="X1576" s="19" t="n">
        <f aca="false">IFERROR(INDEX(CADASTRO_PIVOS!$K$6:$K$41,MATCH($E1576,CADASTRO_PIVOS!$B$6:$B$41,0)),EFICIENCIA_PADRAO)</f>
        <v>0.85</v>
      </c>
      <c r="Y1576" s="18" t="n">
        <f aca="false">IF($X1576&lt;=0,0,$W1576/$X1576)</f>
        <v>42.8987058823529</v>
      </c>
      <c r="Z1576" s="16" t="n">
        <f aca="false">$Y1576*$H1576*MM_PARA_M3_HA</f>
        <v>62490.5448588235</v>
      </c>
      <c r="AA1576" s="18" t="n">
        <f aca="false">IFERROR(INDEX(CADASTRO_PIVOS!$I$6:$I$41,MATCH($E1576,CADASTRO_PIVOS!$B$6:$B$41,0)),0)</f>
        <v>971.133333333333</v>
      </c>
      <c r="AB1576" s="18" t="n">
        <f aca="false">IF($Z1576&lt;=0,0,$Z1576/$AA1576)</f>
        <v>64.3480588235294</v>
      </c>
      <c r="AC1576" s="16" t="n">
        <f aca="false">IFERROR(INDEX(SEMANAS!$K$6:$K$71,MATCH($B1576,SEMANAS!$B$6:$B$71,0)),0)</f>
        <v>147</v>
      </c>
      <c r="AD1576" s="19" t="n">
        <f aca="false">IF($AC1576&lt;=0,0,$AB1576/$AC1576)</f>
        <v>0.437741896758703</v>
      </c>
      <c r="AE1576" s="8" t="str">
        <f aca="false">IF($K1576="SEM CULTURA","SEM CULTURA",IF($AA1576&lt;=0,"DADO PENDENTE",IF($AD1576&gt;LIMITE_CRITICO,"INVIAVEL",IF($AD1576&gt;LIMITE_ATENCAO,"CRITICO",IF($AD1576&gt;LIMITE_CONFORTAVEL,"ATENCAO","OK")))))</f>
        <v>OK</v>
      </c>
      <c r="AF1576" s="8" t="str">
        <f aca="false">$B1576&amp;"|"&amp;TEXT($AD1576,"0.000000")</f>
        <v>53|0.437742</v>
      </c>
      <c r="AG1576" s="18" t="n">
        <f aca="false">IF($K1576="SEM CULTURA",0,$T1576*$H1576)</f>
        <v>5931.667833</v>
      </c>
      <c r="AH1576" s="18" t="n">
        <f aca="false">IF($K1576="SEM CULTURA",0,$V1576*$H1576)</f>
        <v>619.97152</v>
      </c>
      <c r="AI1576" s="18" t="n">
        <f aca="false">IF($K1576="SEM CULTURA",0,$W1576*$H1576)</f>
        <v>5311.696313</v>
      </c>
      <c r="AJ1576" s="18" t="n">
        <f aca="false">IF($K1576="SEM CULTURA",0,$S1576*$H1576)</f>
        <v>5739.398</v>
      </c>
      <c r="AK1576" s="8" t="str">
        <f aca="false">$E1576&amp;"|"&amp;TEXT($AD1576,"0.000000")</f>
        <v>PV 120|0.437742</v>
      </c>
    </row>
    <row r="1577" customFormat="false" ht="15" hidden="false" customHeight="false" outlineLevel="0" collapsed="false">
      <c r="B1577" s="16" t="n">
        <v>54</v>
      </c>
      <c r="C1577" s="17" t="n">
        <f aca="false">DATA_INICIO_SAFRA+($B1577-1)*DIAS_POR_SEMANA</f>
        <v>46636</v>
      </c>
      <c r="D1577" s="17" t="n">
        <f aca="false">$C1577+DIAS_POR_SEMANA-1</f>
        <v>46642</v>
      </c>
      <c r="E1577" s="15" t="s">
        <v>282</v>
      </c>
      <c r="F1577" s="8" t="str">
        <f aca="false">IFERROR(INDEX(CADASTRO_PIVOS!$C$6:$C$41,MATCH($E1577,CADASTRO_PIVOS!$B$6:$B$41,0)),"?")</f>
        <v>RM07</v>
      </c>
      <c r="G1577" s="8" t="str">
        <f aca="false">IFERROR(INDEX(CADASTRO_PIVOS!$D$6:$D$41,MATCH($E1577,CADASTRO_PIVOS!$B$6:$B$41,0)),"?")</f>
        <v>TR07</v>
      </c>
      <c r="H1577" s="20" t="n">
        <f aca="false">IFERROR(INDEX(CADASTRO_PIVOS!$E$6:$E$41,MATCH($E1577,CADASTRO_PIVOS!$B$6:$B$41,0)),0)</f>
        <v>145.67</v>
      </c>
      <c r="I1577" s="16" t="n">
        <f aca="false">IFERROR(SUMIFS(ROTACAO_RDM!$B$6:$B$71,ROTACAO_RDM!$D$6:$D$71,$E1577,ROTACAO_RDM!$I$6:$I$71,"&lt;="&amp;$C1577+INT(DIAS_POR_SEMANA/2),ROTACAO_RDM!$J$6:$J$71,"&gt;="&amp;$C1577+INT(DIAS_POR_SEMANA/2)),0)</f>
        <v>35</v>
      </c>
      <c r="J1577" s="16" t="n">
        <f aca="false">IFERROR(MATCH($I1577,ROTACAO_RDM!$B$6:$B$71,0),0)</f>
        <v>35</v>
      </c>
      <c r="K1577" s="8" t="str">
        <f aca="false">IF($J1577=0,"SEM CULTURA",INDEX(ROTACAO_RDM!$F$6:$F$71,$J1577))</f>
        <v>MILHO_GRAO</v>
      </c>
      <c r="L1577" s="8" t="n">
        <f aca="false">IF($J1577=0,"",INDEX(ROTACAO_RDM!$G$6:$G$71,$J1577))</f>
        <v>0</v>
      </c>
      <c r="M1577" s="17" t="n">
        <f aca="false">IF($J1577=0,"",INDEX(ROTACAO_RDM!$I$6:$I$71,$J1577))</f>
        <v>46569</v>
      </c>
      <c r="N1577" s="16" t="n">
        <f aca="false">IF($J1577=0,0,MAX(0,$C1577+INT(DIAS_POR_SEMANA/2)-INDEX(ROTACAO_RDM!$I$6:$I$71,$J1577)))</f>
        <v>70</v>
      </c>
      <c r="O1577" s="19" t="n">
        <f aca="false">IF($J1577=0,0,MIN(1,$N1577/MAX(1,INDEX(ROTACAO_RDM!$K$6:$K$71,$J1577))))</f>
        <v>0.4375</v>
      </c>
      <c r="P1577" s="16" t="n">
        <f aca="false">IF($J1577=0,0,IFERROR(MATCH(INDEX(ROTACAO_RDM!$N$6:$N$71,$J1577),PARAMETROS_CULTURAS!$B$6:$B$28,0),0))</f>
        <v>8</v>
      </c>
      <c r="Q1577" s="8" t="str">
        <f aca="false">IF($P1577=0,"-",IF($O1577&lt;=INDEX(PARAMETROS_CULTURAS!$F$6:$F$28,$P1577),"INICIAL",IF($O1577&lt;=INDEX(PARAMETROS_CULTURAS!$F$6:$F$28,$P1577)+INDEX(PARAMETROS_CULTURAS!$G$6:$G$28,$P1577),"DESENVOLVIMENTO",IF($O1577&lt;=INDEX(PARAMETROS_CULTURAS!$F$6:$F$28,$P1577)+INDEX(PARAMETROS_CULTURAS!$G$6:$G$28,$P1577)+INDEX(PARAMETROS_CULTURAS!$H$6:$H$28,$P1577),"MEDIA","FINAL"))))</f>
        <v>DESENVOLVIMENTO</v>
      </c>
      <c r="R1577" s="24" t="n">
        <f aca="false">IF($P1577=0,0,IF($O1577&lt;=INDEX(PARAMETROS_CULTURAS!$F$6:$F$28,$P1577),INDEX(PARAMETROS_CULTURAS!$K$6:$K$28,$P1577),IF($O1577&lt;=INDEX(PARAMETROS_CULTURAS!$F$6:$F$28,$P1577)+INDEX(PARAMETROS_CULTURAS!$G$6:$G$28,$P1577),INDEX(PARAMETROS_CULTURAS!$K$6:$K$28,$P1577)+(INDEX(PARAMETROS_CULTURAS!$L$6:$L$28,$P1577)-INDEX(PARAMETROS_CULTURAS!$K$6:$K$28,$P1577))*($O1577-INDEX(PARAMETROS_CULTURAS!$F$6:$F$28,$P1577))/MAX(INDEX(PARAMETROS_CULTURAS!$G$6:$G$28,$P1577),0.0001),IF($O1577&lt;=INDEX(PARAMETROS_CULTURAS!$F$6:$F$28,$P1577)+INDEX(PARAMETROS_CULTURAS!$G$6:$G$28,$P1577)+INDEX(PARAMETROS_CULTURAS!$H$6:$H$28,$P1577),INDEX(PARAMETROS_CULTURAS!$L$6:$L$28,$P1577),INDEX(PARAMETROS_CULTURAS!$L$6:$L$28,$P1577)+(INDEX(PARAMETROS_CULTURAS!$M$6:$M$28,$P1577)-INDEX(PARAMETROS_CULTURAS!$L$6:$L$28,$P1577))*($O1577-INDEX(PARAMETROS_CULTURAS!$F$6:$F$28,$P1577)-INDEX(PARAMETROS_CULTURAS!$G$6:$G$28,$P1577)-INDEX(PARAMETROS_CULTURAS!$H$6:$H$28,$P1577))/MAX(INDEX(PARAMETROS_CULTURAS!$I$6:$I$28,$P1577),0.0001)))))</f>
        <v>1.191</v>
      </c>
      <c r="S1577" s="18" t="n">
        <f aca="false">IFERROR(INDEX(SEMANAS!$H$6:$H$71,MATCH($B1577,SEMANAS!$B$6:$B$71,0)),0)</f>
        <v>40.6</v>
      </c>
      <c r="T1577" s="18" t="n">
        <f aca="false">$R1577*$S1577</f>
        <v>48.3546</v>
      </c>
      <c r="U1577" s="18" t="n">
        <f aca="false">IFERROR(INDEX(SEMANAS!$I$6:$I$71,MATCH($B1577,SEMANAS!$B$6:$B$71,0)),0)</f>
        <v>7</v>
      </c>
      <c r="V1577" s="18" t="n">
        <f aca="false">IFERROR(INDEX(SEMANAS!$J$6:$J$71,MATCH($B1577,SEMANAS!$B$6:$B$71,0)),0)</f>
        <v>5.6</v>
      </c>
      <c r="W1577" s="18" t="n">
        <f aca="false">MAX(0,$T1577-$V1577)</f>
        <v>42.7546</v>
      </c>
      <c r="X1577" s="19" t="n">
        <f aca="false">IFERROR(INDEX(CADASTRO_PIVOS!$K$6:$K$41,MATCH($E1577,CADASTRO_PIVOS!$B$6:$B$41,0)),EFICIENCIA_PADRAO)</f>
        <v>0.85</v>
      </c>
      <c r="Y1577" s="18" t="n">
        <f aca="false">IF($X1577&lt;=0,0,$W1577/$X1577)</f>
        <v>50.2995294117647</v>
      </c>
      <c r="Z1577" s="16" t="n">
        <f aca="false">$Y1577*$H1577*MM_PARA_M3_HA</f>
        <v>73271.3244941176</v>
      </c>
      <c r="AA1577" s="18" t="n">
        <f aca="false">IFERROR(INDEX(CADASTRO_PIVOS!$I$6:$I$41,MATCH($E1577,CADASTRO_PIVOS!$B$6:$B$41,0)),0)</f>
        <v>971.133333333333</v>
      </c>
      <c r="AB1577" s="18" t="n">
        <f aca="false">IF($Z1577&lt;=0,0,$Z1577/$AA1577)</f>
        <v>75.4492941176471</v>
      </c>
      <c r="AC1577" s="16" t="n">
        <f aca="false">IFERROR(INDEX(SEMANAS!$K$6:$K$71,MATCH($B1577,SEMANAS!$B$6:$B$71,0)),0)</f>
        <v>147</v>
      </c>
      <c r="AD1577" s="19" t="n">
        <f aca="false">IF($AC1577&lt;=0,0,$AB1577/$AC1577)</f>
        <v>0.513260504201681</v>
      </c>
      <c r="AE1577" s="8" t="str">
        <f aca="false">IF($K1577="SEM CULTURA","SEM CULTURA",IF($AA1577&lt;=0,"DADO PENDENTE",IF($AD1577&gt;LIMITE_CRITICO,"INVIAVEL",IF($AD1577&gt;LIMITE_ATENCAO,"CRITICO",IF($AD1577&gt;LIMITE_CONFORTAVEL,"ATENCAO","OK")))))</f>
        <v>OK</v>
      </c>
      <c r="AF1577" s="8" t="str">
        <f aca="false">$B1577&amp;"|"&amp;TEXT($AD1577,"0.000000")</f>
        <v>54|0.513261</v>
      </c>
      <c r="AG1577" s="18" t="n">
        <f aca="false">IF($K1577="SEM CULTURA",0,$T1577*$H1577)</f>
        <v>7043.814582</v>
      </c>
      <c r="AH1577" s="18" t="n">
        <f aca="false">IF($K1577="SEM CULTURA",0,$V1577*$H1577)</f>
        <v>815.752</v>
      </c>
      <c r="AI1577" s="18" t="n">
        <f aca="false">IF($K1577="SEM CULTURA",0,$W1577*$H1577)</f>
        <v>6228.062582</v>
      </c>
      <c r="AJ1577" s="18" t="n">
        <f aca="false">IF($K1577="SEM CULTURA",0,$S1577*$H1577)</f>
        <v>5914.202</v>
      </c>
      <c r="AK1577" s="8" t="str">
        <f aca="false">$E1577&amp;"|"&amp;TEXT($AD1577,"0.000000")</f>
        <v>PV 120|0.513261</v>
      </c>
    </row>
    <row r="1578" customFormat="false" ht="15" hidden="false" customHeight="false" outlineLevel="0" collapsed="false">
      <c r="B1578" s="16" t="n">
        <v>55</v>
      </c>
      <c r="C1578" s="17" t="n">
        <f aca="false">DATA_INICIO_SAFRA+($B1578-1)*DIAS_POR_SEMANA</f>
        <v>46643</v>
      </c>
      <c r="D1578" s="17" t="n">
        <f aca="false">$C1578+DIAS_POR_SEMANA-1</f>
        <v>46649</v>
      </c>
      <c r="E1578" s="15" t="s">
        <v>282</v>
      </c>
      <c r="F1578" s="8" t="str">
        <f aca="false">IFERROR(INDEX(CADASTRO_PIVOS!$C$6:$C$41,MATCH($E1578,CADASTRO_PIVOS!$B$6:$B$41,0)),"?")</f>
        <v>RM07</v>
      </c>
      <c r="G1578" s="8" t="str">
        <f aca="false">IFERROR(INDEX(CADASTRO_PIVOS!$D$6:$D$41,MATCH($E1578,CADASTRO_PIVOS!$B$6:$B$41,0)),"?")</f>
        <v>TR07</v>
      </c>
      <c r="H1578" s="20" t="n">
        <f aca="false">IFERROR(INDEX(CADASTRO_PIVOS!$E$6:$E$41,MATCH($E1578,CADASTRO_PIVOS!$B$6:$B$41,0)),0)</f>
        <v>145.67</v>
      </c>
      <c r="I1578" s="16" t="n">
        <f aca="false">IFERROR(SUMIFS(ROTACAO_RDM!$B$6:$B$71,ROTACAO_RDM!$D$6:$D$71,$E1578,ROTACAO_RDM!$I$6:$I$71,"&lt;="&amp;$C1578+INT(DIAS_POR_SEMANA/2),ROTACAO_RDM!$J$6:$J$71,"&gt;="&amp;$C1578+INT(DIAS_POR_SEMANA/2)),0)</f>
        <v>35</v>
      </c>
      <c r="J1578" s="16" t="n">
        <f aca="false">IFERROR(MATCH($I1578,ROTACAO_RDM!$B$6:$B$71,0),0)</f>
        <v>35</v>
      </c>
      <c r="K1578" s="8" t="str">
        <f aca="false">IF($J1578=0,"SEM CULTURA",INDEX(ROTACAO_RDM!$F$6:$F$71,$J1578))</f>
        <v>MILHO_GRAO</v>
      </c>
      <c r="L1578" s="8" t="n">
        <f aca="false">IF($J1578=0,"",INDEX(ROTACAO_RDM!$G$6:$G$71,$J1578))</f>
        <v>0</v>
      </c>
      <c r="M1578" s="17" t="n">
        <f aca="false">IF($J1578=0,"",INDEX(ROTACAO_RDM!$I$6:$I$71,$J1578))</f>
        <v>46569</v>
      </c>
      <c r="N1578" s="16" t="n">
        <f aca="false">IF($J1578=0,0,MAX(0,$C1578+INT(DIAS_POR_SEMANA/2)-INDEX(ROTACAO_RDM!$I$6:$I$71,$J1578)))</f>
        <v>77</v>
      </c>
      <c r="O1578" s="19" t="n">
        <f aca="false">IF($J1578=0,0,MIN(1,$N1578/MAX(1,INDEX(ROTACAO_RDM!$K$6:$K$71,$J1578))))</f>
        <v>0.48125</v>
      </c>
      <c r="P1578" s="16" t="n">
        <f aca="false">IF($J1578=0,0,IFERROR(MATCH(INDEX(ROTACAO_RDM!$N$6:$N$71,$J1578),PARAMETROS_CULTURAS!$B$6:$B$28,0),0))</f>
        <v>8</v>
      </c>
      <c r="Q1578" s="8" t="str">
        <f aca="false">IF($P1578=0,"-",IF($O1578&lt;=INDEX(PARAMETROS_CULTURAS!$F$6:$F$28,$P1578),"INICIAL",IF($O1578&lt;=INDEX(PARAMETROS_CULTURAS!$F$6:$F$28,$P1578)+INDEX(PARAMETROS_CULTURAS!$G$6:$G$28,$P1578),"DESENVOLVIMENTO",IF($O1578&lt;=INDEX(PARAMETROS_CULTURAS!$F$6:$F$28,$P1578)+INDEX(PARAMETROS_CULTURAS!$G$6:$G$28,$P1578)+INDEX(PARAMETROS_CULTURAS!$H$6:$H$28,$P1578),"MEDIA","FINAL"))))</f>
        <v>MEDIA</v>
      </c>
      <c r="R1578" s="24" t="n">
        <f aca="false">IF($P1578=0,0,IF($O1578&lt;=INDEX(PARAMETROS_CULTURAS!$F$6:$F$28,$P1578),INDEX(PARAMETROS_CULTURAS!$K$6:$K$28,$P1578),IF($O1578&lt;=INDEX(PARAMETROS_CULTURAS!$F$6:$F$28,$P1578)+INDEX(PARAMETROS_CULTURAS!$G$6:$G$28,$P1578),INDEX(PARAMETROS_CULTURAS!$K$6:$K$28,$P1578)+(INDEX(PARAMETROS_CULTURAS!$L$6:$L$28,$P1578)-INDEX(PARAMETROS_CULTURAS!$K$6:$K$28,$P1578))*($O1578-INDEX(PARAMETROS_CULTURAS!$F$6:$F$28,$P1578))/MAX(INDEX(PARAMETROS_CULTURAS!$G$6:$G$28,$P1578),0.0001),IF($O1578&lt;=INDEX(PARAMETROS_CULTURAS!$F$6:$F$28,$P1578)+INDEX(PARAMETROS_CULTURAS!$G$6:$G$28,$P1578)+INDEX(PARAMETROS_CULTURAS!$H$6:$H$28,$P1578),INDEX(PARAMETROS_CULTURAS!$L$6:$L$28,$P1578),INDEX(PARAMETROS_CULTURAS!$L$6:$L$28,$P1578)+(INDEX(PARAMETROS_CULTURAS!$M$6:$M$28,$P1578)-INDEX(PARAMETROS_CULTURAS!$L$6:$L$28,$P1578))*($O1578-INDEX(PARAMETROS_CULTURAS!$F$6:$F$28,$P1578)-INDEX(PARAMETROS_CULTURAS!$G$6:$G$28,$P1578)-INDEX(PARAMETROS_CULTURAS!$H$6:$H$28,$P1578))/MAX(INDEX(PARAMETROS_CULTURAS!$I$6:$I$28,$P1578),0.0001)))))</f>
        <v>1.2</v>
      </c>
      <c r="S1578" s="18" t="n">
        <f aca="false">IFERROR(INDEX(SEMANAS!$H$6:$H$71,MATCH($B1578,SEMANAS!$B$6:$B$71,0)),0)</f>
        <v>40.6</v>
      </c>
      <c r="T1578" s="18" t="n">
        <f aca="false">$R1578*$S1578</f>
        <v>48.72</v>
      </c>
      <c r="U1578" s="18" t="n">
        <f aca="false">IFERROR(INDEX(SEMANAS!$I$6:$I$71,MATCH($B1578,SEMANAS!$B$6:$B$71,0)),0)</f>
        <v>7</v>
      </c>
      <c r="V1578" s="18" t="n">
        <f aca="false">IFERROR(INDEX(SEMANAS!$J$6:$J$71,MATCH($B1578,SEMANAS!$B$6:$B$71,0)),0)</f>
        <v>5.6</v>
      </c>
      <c r="W1578" s="18" t="n">
        <f aca="false">MAX(0,$T1578-$V1578)</f>
        <v>43.12</v>
      </c>
      <c r="X1578" s="19" t="n">
        <f aca="false">IFERROR(INDEX(CADASTRO_PIVOS!$K$6:$K$41,MATCH($E1578,CADASTRO_PIVOS!$B$6:$B$41,0)),EFICIENCIA_PADRAO)</f>
        <v>0.85</v>
      </c>
      <c r="Y1578" s="18" t="n">
        <f aca="false">IF($X1578&lt;=0,0,$W1578/$X1578)</f>
        <v>50.7294117647059</v>
      </c>
      <c r="Z1578" s="16" t="n">
        <f aca="false">$Y1578*$H1578*MM_PARA_M3_HA</f>
        <v>73897.534117647</v>
      </c>
      <c r="AA1578" s="18" t="n">
        <f aca="false">IFERROR(INDEX(CADASTRO_PIVOS!$I$6:$I$41,MATCH($E1578,CADASTRO_PIVOS!$B$6:$B$41,0)),0)</f>
        <v>971.133333333333</v>
      </c>
      <c r="AB1578" s="18" t="n">
        <f aca="false">IF($Z1578&lt;=0,0,$Z1578/$AA1578)</f>
        <v>76.0941176470588</v>
      </c>
      <c r="AC1578" s="16" t="n">
        <f aca="false">IFERROR(INDEX(SEMANAS!$K$6:$K$71,MATCH($B1578,SEMANAS!$B$6:$B$71,0)),0)</f>
        <v>147</v>
      </c>
      <c r="AD1578" s="19" t="n">
        <f aca="false">IF($AC1578&lt;=0,0,$AB1578/$AC1578)</f>
        <v>0.517647058823529</v>
      </c>
      <c r="AE1578" s="8" t="str">
        <f aca="false">IF($K1578="SEM CULTURA","SEM CULTURA",IF($AA1578&lt;=0,"DADO PENDENTE",IF($AD1578&gt;LIMITE_CRITICO,"INVIAVEL",IF($AD1578&gt;LIMITE_ATENCAO,"CRITICO",IF($AD1578&gt;LIMITE_CONFORTAVEL,"ATENCAO","OK")))))</f>
        <v>OK</v>
      </c>
      <c r="AF1578" s="8" t="str">
        <f aca="false">$B1578&amp;"|"&amp;TEXT($AD1578,"0.000000")</f>
        <v>55|0.517647</v>
      </c>
      <c r="AG1578" s="18" t="n">
        <f aca="false">IF($K1578="SEM CULTURA",0,$T1578*$H1578)</f>
        <v>7097.0424</v>
      </c>
      <c r="AH1578" s="18" t="n">
        <f aca="false">IF($K1578="SEM CULTURA",0,$V1578*$H1578)</f>
        <v>815.752</v>
      </c>
      <c r="AI1578" s="18" t="n">
        <f aca="false">IF($K1578="SEM CULTURA",0,$W1578*$H1578)</f>
        <v>6281.2904</v>
      </c>
      <c r="AJ1578" s="18" t="n">
        <f aca="false">IF($K1578="SEM CULTURA",0,$S1578*$H1578)</f>
        <v>5914.202</v>
      </c>
      <c r="AK1578" s="8" t="str">
        <f aca="false">$E1578&amp;"|"&amp;TEXT($AD1578,"0.000000")</f>
        <v>PV 120|0.517647</v>
      </c>
    </row>
    <row r="1579" customFormat="false" ht="15" hidden="false" customHeight="false" outlineLevel="0" collapsed="false">
      <c r="B1579" s="16" t="n">
        <v>56</v>
      </c>
      <c r="C1579" s="17" t="n">
        <f aca="false">DATA_INICIO_SAFRA+($B1579-1)*DIAS_POR_SEMANA</f>
        <v>46650</v>
      </c>
      <c r="D1579" s="17" t="n">
        <f aca="false">$C1579+DIAS_POR_SEMANA-1</f>
        <v>46656</v>
      </c>
      <c r="E1579" s="15" t="s">
        <v>282</v>
      </c>
      <c r="F1579" s="8" t="str">
        <f aca="false">IFERROR(INDEX(CADASTRO_PIVOS!$C$6:$C$41,MATCH($E1579,CADASTRO_PIVOS!$B$6:$B$41,0)),"?")</f>
        <v>RM07</v>
      </c>
      <c r="G1579" s="8" t="str">
        <f aca="false">IFERROR(INDEX(CADASTRO_PIVOS!$D$6:$D$41,MATCH($E1579,CADASTRO_PIVOS!$B$6:$B$41,0)),"?")</f>
        <v>TR07</v>
      </c>
      <c r="H1579" s="20" t="n">
        <f aca="false">IFERROR(INDEX(CADASTRO_PIVOS!$E$6:$E$41,MATCH($E1579,CADASTRO_PIVOS!$B$6:$B$41,0)),0)</f>
        <v>145.67</v>
      </c>
      <c r="I1579" s="16" t="n">
        <f aca="false">IFERROR(SUMIFS(ROTACAO_RDM!$B$6:$B$71,ROTACAO_RDM!$D$6:$D$71,$E1579,ROTACAO_RDM!$I$6:$I$71,"&lt;="&amp;$C1579+INT(DIAS_POR_SEMANA/2),ROTACAO_RDM!$J$6:$J$71,"&gt;="&amp;$C1579+INT(DIAS_POR_SEMANA/2)),0)</f>
        <v>35</v>
      </c>
      <c r="J1579" s="16" t="n">
        <f aca="false">IFERROR(MATCH($I1579,ROTACAO_RDM!$B$6:$B$71,0),0)</f>
        <v>35</v>
      </c>
      <c r="K1579" s="8" t="str">
        <f aca="false">IF($J1579=0,"SEM CULTURA",INDEX(ROTACAO_RDM!$F$6:$F$71,$J1579))</f>
        <v>MILHO_GRAO</v>
      </c>
      <c r="L1579" s="8" t="n">
        <f aca="false">IF($J1579=0,"",INDEX(ROTACAO_RDM!$G$6:$G$71,$J1579))</f>
        <v>0</v>
      </c>
      <c r="M1579" s="17" t="n">
        <f aca="false">IF($J1579=0,"",INDEX(ROTACAO_RDM!$I$6:$I$71,$J1579))</f>
        <v>46569</v>
      </c>
      <c r="N1579" s="16" t="n">
        <f aca="false">IF($J1579=0,0,MAX(0,$C1579+INT(DIAS_POR_SEMANA/2)-INDEX(ROTACAO_RDM!$I$6:$I$71,$J1579)))</f>
        <v>84</v>
      </c>
      <c r="O1579" s="19" t="n">
        <f aca="false">IF($J1579=0,0,MIN(1,$N1579/MAX(1,INDEX(ROTACAO_RDM!$K$6:$K$71,$J1579))))</f>
        <v>0.525</v>
      </c>
      <c r="P1579" s="16" t="n">
        <f aca="false">IF($J1579=0,0,IFERROR(MATCH(INDEX(ROTACAO_RDM!$N$6:$N$71,$J1579),PARAMETROS_CULTURAS!$B$6:$B$28,0),0))</f>
        <v>8</v>
      </c>
      <c r="Q1579" s="8" t="str">
        <f aca="false">IF($P1579=0,"-",IF($O1579&lt;=INDEX(PARAMETROS_CULTURAS!$F$6:$F$28,$P1579),"INICIAL",IF($O1579&lt;=INDEX(PARAMETROS_CULTURAS!$F$6:$F$28,$P1579)+INDEX(PARAMETROS_CULTURAS!$G$6:$G$28,$P1579),"DESENVOLVIMENTO",IF($O1579&lt;=INDEX(PARAMETROS_CULTURAS!$F$6:$F$28,$P1579)+INDEX(PARAMETROS_CULTURAS!$G$6:$G$28,$P1579)+INDEX(PARAMETROS_CULTURAS!$H$6:$H$28,$P1579),"MEDIA","FINAL"))))</f>
        <v>MEDIA</v>
      </c>
      <c r="R1579" s="24" t="n">
        <f aca="false">IF($P1579=0,0,IF($O1579&lt;=INDEX(PARAMETROS_CULTURAS!$F$6:$F$28,$P1579),INDEX(PARAMETROS_CULTURAS!$K$6:$K$28,$P1579),IF($O1579&lt;=INDEX(PARAMETROS_CULTURAS!$F$6:$F$28,$P1579)+INDEX(PARAMETROS_CULTURAS!$G$6:$G$28,$P1579),INDEX(PARAMETROS_CULTURAS!$K$6:$K$28,$P1579)+(INDEX(PARAMETROS_CULTURAS!$L$6:$L$28,$P1579)-INDEX(PARAMETROS_CULTURAS!$K$6:$K$28,$P1579))*($O1579-INDEX(PARAMETROS_CULTURAS!$F$6:$F$28,$P1579))/MAX(INDEX(PARAMETROS_CULTURAS!$G$6:$G$28,$P1579),0.0001),IF($O1579&lt;=INDEX(PARAMETROS_CULTURAS!$F$6:$F$28,$P1579)+INDEX(PARAMETROS_CULTURAS!$G$6:$G$28,$P1579)+INDEX(PARAMETROS_CULTURAS!$H$6:$H$28,$P1579),INDEX(PARAMETROS_CULTURAS!$L$6:$L$28,$P1579),INDEX(PARAMETROS_CULTURAS!$L$6:$L$28,$P1579)+(INDEX(PARAMETROS_CULTURAS!$M$6:$M$28,$P1579)-INDEX(PARAMETROS_CULTURAS!$L$6:$L$28,$P1579))*($O1579-INDEX(PARAMETROS_CULTURAS!$F$6:$F$28,$P1579)-INDEX(PARAMETROS_CULTURAS!$G$6:$G$28,$P1579)-INDEX(PARAMETROS_CULTURAS!$H$6:$H$28,$P1579))/MAX(INDEX(PARAMETROS_CULTURAS!$I$6:$I$28,$P1579),0.0001)))))</f>
        <v>1.2</v>
      </c>
      <c r="S1579" s="18" t="n">
        <f aca="false">IFERROR(INDEX(SEMANAS!$H$6:$H$71,MATCH($B1579,SEMANAS!$B$6:$B$71,0)),0)</f>
        <v>40.6</v>
      </c>
      <c r="T1579" s="18" t="n">
        <f aca="false">$R1579*$S1579</f>
        <v>48.72</v>
      </c>
      <c r="U1579" s="18" t="n">
        <f aca="false">IFERROR(INDEX(SEMANAS!$I$6:$I$71,MATCH($B1579,SEMANAS!$B$6:$B$71,0)),0)</f>
        <v>7</v>
      </c>
      <c r="V1579" s="18" t="n">
        <f aca="false">IFERROR(INDEX(SEMANAS!$J$6:$J$71,MATCH($B1579,SEMANAS!$B$6:$B$71,0)),0)</f>
        <v>5.6</v>
      </c>
      <c r="W1579" s="18" t="n">
        <f aca="false">MAX(0,$T1579-$V1579)</f>
        <v>43.12</v>
      </c>
      <c r="X1579" s="19" t="n">
        <f aca="false">IFERROR(INDEX(CADASTRO_PIVOS!$K$6:$K$41,MATCH($E1579,CADASTRO_PIVOS!$B$6:$B$41,0)),EFICIENCIA_PADRAO)</f>
        <v>0.85</v>
      </c>
      <c r="Y1579" s="18" t="n">
        <f aca="false">IF($X1579&lt;=0,0,$W1579/$X1579)</f>
        <v>50.7294117647059</v>
      </c>
      <c r="Z1579" s="16" t="n">
        <f aca="false">$Y1579*$H1579*MM_PARA_M3_HA</f>
        <v>73897.534117647</v>
      </c>
      <c r="AA1579" s="18" t="n">
        <f aca="false">IFERROR(INDEX(CADASTRO_PIVOS!$I$6:$I$41,MATCH($E1579,CADASTRO_PIVOS!$B$6:$B$41,0)),0)</f>
        <v>971.133333333333</v>
      </c>
      <c r="AB1579" s="18" t="n">
        <f aca="false">IF($Z1579&lt;=0,0,$Z1579/$AA1579)</f>
        <v>76.0941176470588</v>
      </c>
      <c r="AC1579" s="16" t="n">
        <f aca="false">IFERROR(INDEX(SEMANAS!$K$6:$K$71,MATCH($B1579,SEMANAS!$B$6:$B$71,0)),0)</f>
        <v>147</v>
      </c>
      <c r="AD1579" s="19" t="n">
        <f aca="false">IF($AC1579&lt;=0,0,$AB1579/$AC1579)</f>
        <v>0.517647058823529</v>
      </c>
      <c r="AE1579" s="8" t="str">
        <f aca="false">IF($K1579="SEM CULTURA","SEM CULTURA",IF($AA1579&lt;=0,"DADO PENDENTE",IF($AD1579&gt;LIMITE_CRITICO,"INVIAVEL",IF($AD1579&gt;LIMITE_ATENCAO,"CRITICO",IF($AD1579&gt;LIMITE_CONFORTAVEL,"ATENCAO","OK")))))</f>
        <v>OK</v>
      </c>
      <c r="AF1579" s="8" t="str">
        <f aca="false">$B1579&amp;"|"&amp;TEXT($AD1579,"0.000000")</f>
        <v>56|0.517647</v>
      </c>
      <c r="AG1579" s="18" t="n">
        <f aca="false">IF($K1579="SEM CULTURA",0,$T1579*$H1579)</f>
        <v>7097.0424</v>
      </c>
      <c r="AH1579" s="18" t="n">
        <f aca="false">IF($K1579="SEM CULTURA",0,$V1579*$H1579)</f>
        <v>815.752</v>
      </c>
      <c r="AI1579" s="18" t="n">
        <f aca="false">IF($K1579="SEM CULTURA",0,$W1579*$H1579)</f>
        <v>6281.2904</v>
      </c>
      <c r="AJ1579" s="18" t="n">
        <f aca="false">IF($K1579="SEM CULTURA",0,$S1579*$H1579)</f>
        <v>5914.202</v>
      </c>
      <c r="AK1579" s="8" t="str">
        <f aca="false">$E1579&amp;"|"&amp;TEXT($AD1579,"0.000000")</f>
        <v>PV 120|0.517647</v>
      </c>
    </row>
    <row r="1580" customFormat="false" ht="15" hidden="false" customHeight="false" outlineLevel="0" collapsed="false">
      <c r="B1580" s="16" t="n">
        <v>57</v>
      </c>
      <c r="C1580" s="17" t="n">
        <f aca="false">DATA_INICIO_SAFRA+($B1580-1)*DIAS_POR_SEMANA</f>
        <v>46657</v>
      </c>
      <c r="D1580" s="17" t="n">
        <f aca="false">$C1580+DIAS_POR_SEMANA-1</f>
        <v>46663</v>
      </c>
      <c r="E1580" s="15" t="s">
        <v>282</v>
      </c>
      <c r="F1580" s="8" t="str">
        <f aca="false">IFERROR(INDEX(CADASTRO_PIVOS!$C$6:$C$41,MATCH($E1580,CADASTRO_PIVOS!$B$6:$B$41,0)),"?")</f>
        <v>RM07</v>
      </c>
      <c r="G1580" s="8" t="str">
        <f aca="false">IFERROR(INDEX(CADASTRO_PIVOS!$D$6:$D$41,MATCH($E1580,CADASTRO_PIVOS!$B$6:$B$41,0)),"?")</f>
        <v>TR07</v>
      </c>
      <c r="H1580" s="20" t="n">
        <f aca="false">IFERROR(INDEX(CADASTRO_PIVOS!$E$6:$E$41,MATCH($E1580,CADASTRO_PIVOS!$B$6:$B$41,0)),0)</f>
        <v>145.67</v>
      </c>
      <c r="I1580" s="16" t="n">
        <f aca="false">IFERROR(SUMIFS(ROTACAO_RDM!$B$6:$B$71,ROTACAO_RDM!$D$6:$D$71,$E1580,ROTACAO_RDM!$I$6:$I$71,"&lt;="&amp;$C1580+INT(DIAS_POR_SEMANA/2),ROTACAO_RDM!$J$6:$J$71,"&gt;="&amp;$C1580+INT(DIAS_POR_SEMANA/2)),0)</f>
        <v>35</v>
      </c>
      <c r="J1580" s="16" t="n">
        <f aca="false">IFERROR(MATCH($I1580,ROTACAO_RDM!$B$6:$B$71,0),0)</f>
        <v>35</v>
      </c>
      <c r="K1580" s="8" t="str">
        <f aca="false">IF($J1580=0,"SEM CULTURA",INDEX(ROTACAO_RDM!$F$6:$F$71,$J1580))</f>
        <v>MILHO_GRAO</v>
      </c>
      <c r="L1580" s="8" t="n">
        <f aca="false">IF($J1580=0,"",INDEX(ROTACAO_RDM!$G$6:$G$71,$J1580))</f>
        <v>0</v>
      </c>
      <c r="M1580" s="17" t="n">
        <f aca="false">IF($J1580=0,"",INDEX(ROTACAO_RDM!$I$6:$I$71,$J1580))</f>
        <v>46569</v>
      </c>
      <c r="N1580" s="16" t="n">
        <f aca="false">IF($J1580=0,0,MAX(0,$C1580+INT(DIAS_POR_SEMANA/2)-INDEX(ROTACAO_RDM!$I$6:$I$71,$J1580)))</f>
        <v>91</v>
      </c>
      <c r="O1580" s="19" t="n">
        <f aca="false">IF($J1580=0,0,MIN(1,$N1580/MAX(1,INDEX(ROTACAO_RDM!$K$6:$K$71,$J1580))))</f>
        <v>0.56875</v>
      </c>
      <c r="P1580" s="16" t="n">
        <f aca="false">IF($J1580=0,0,IFERROR(MATCH(INDEX(ROTACAO_RDM!$N$6:$N$71,$J1580),PARAMETROS_CULTURAS!$B$6:$B$28,0),0))</f>
        <v>8</v>
      </c>
      <c r="Q1580" s="8" t="str">
        <f aca="false">IF($P1580=0,"-",IF($O1580&lt;=INDEX(PARAMETROS_CULTURAS!$F$6:$F$28,$P1580),"INICIAL",IF($O1580&lt;=INDEX(PARAMETROS_CULTURAS!$F$6:$F$28,$P1580)+INDEX(PARAMETROS_CULTURAS!$G$6:$G$28,$P1580),"DESENVOLVIMENTO",IF($O1580&lt;=INDEX(PARAMETROS_CULTURAS!$F$6:$F$28,$P1580)+INDEX(PARAMETROS_CULTURAS!$G$6:$G$28,$P1580)+INDEX(PARAMETROS_CULTURAS!$H$6:$H$28,$P1580),"MEDIA","FINAL"))))</f>
        <v>MEDIA</v>
      </c>
      <c r="R1580" s="24" t="n">
        <f aca="false">IF($P1580=0,0,IF($O1580&lt;=INDEX(PARAMETROS_CULTURAS!$F$6:$F$28,$P1580),INDEX(PARAMETROS_CULTURAS!$K$6:$K$28,$P1580),IF($O1580&lt;=INDEX(PARAMETROS_CULTURAS!$F$6:$F$28,$P1580)+INDEX(PARAMETROS_CULTURAS!$G$6:$G$28,$P1580),INDEX(PARAMETROS_CULTURAS!$K$6:$K$28,$P1580)+(INDEX(PARAMETROS_CULTURAS!$L$6:$L$28,$P1580)-INDEX(PARAMETROS_CULTURAS!$K$6:$K$28,$P1580))*($O1580-INDEX(PARAMETROS_CULTURAS!$F$6:$F$28,$P1580))/MAX(INDEX(PARAMETROS_CULTURAS!$G$6:$G$28,$P1580),0.0001),IF($O1580&lt;=INDEX(PARAMETROS_CULTURAS!$F$6:$F$28,$P1580)+INDEX(PARAMETROS_CULTURAS!$G$6:$G$28,$P1580)+INDEX(PARAMETROS_CULTURAS!$H$6:$H$28,$P1580),INDEX(PARAMETROS_CULTURAS!$L$6:$L$28,$P1580),INDEX(PARAMETROS_CULTURAS!$L$6:$L$28,$P1580)+(INDEX(PARAMETROS_CULTURAS!$M$6:$M$28,$P1580)-INDEX(PARAMETROS_CULTURAS!$L$6:$L$28,$P1580))*($O1580-INDEX(PARAMETROS_CULTURAS!$F$6:$F$28,$P1580)-INDEX(PARAMETROS_CULTURAS!$G$6:$G$28,$P1580)-INDEX(PARAMETROS_CULTURAS!$H$6:$H$28,$P1580))/MAX(INDEX(PARAMETROS_CULTURAS!$I$6:$I$28,$P1580),0.0001)))))</f>
        <v>1.2</v>
      </c>
      <c r="S1580" s="18" t="n">
        <f aca="false">IFERROR(INDEX(SEMANAS!$H$6:$H$71,MATCH($B1580,SEMANAS!$B$6:$B$71,0)),0)</f>
        <v>40</v>
      </c>
      <c r="T1580" s="18" t="n">
        <f aca="false">$R1580*$S1580</f>
        <v>48</v>
      </c>
      <c r="U1580" s="18" t="n">
        <f aca="false">IFERROR(INDEX(SEMANAS!$I$6:$I$71,MATCH($B1580,SEMANAS!$B$6:$B$71,0)),0)</f>
        <v>15.61</v>
      </c>
      <c r="V1580" s="18" t="n">
        <f aca="false">IFERROR(INDEX(SEMANAS!$J$6:$J$71,MATCH($B1580,SEMANAS!$B$6:$B$71,0)),0)</f>
        <v>12.488</v>
      </c>
      <c r="W1580" s="18" t="n">
        <f aca="false">MAX(0,$T1580-$V1580)</f>
        <v>35.512</v>
      </c>
      <c r="X1580" s="19" t="n">
        <f aca="false">IFERROR(INDEX(CADASTRO_PIVOS!$K$6:$K$41,MATCH($E1580,CADASTRO_PIVOS!$B$6:$B$41,0)),EFICIENCIA_PADRAO)</f>
        <v>0.85</v>
      </c>
      <c r="Y1580" s="18" t="n">
        <f aca="false">IF($X1580&lt;=0,0,$W1580/$X1580)</f>
        <v>41.7788235294118</v>
      </c>
      <c r="Z1580" s="16" t="n">
        <f aca="false">$Y1580*$H1580*MM_PARA_M3_HA</f>
        <v>60859.2122352941</v>
      </c>
      <c r="AA1580" s="18" t="n">
        <f aca="false">IFERROR(INDEX(CADASTRO_PIVOS!$I$6:$I$41,MATCH($E1580,CADASTRO_PIVOS!$B$6:$B$41,0)),0)</f>
        <v>971.133333333333</v>
      </c>
      <c r="AB1580" s="18" t="n">
        <f aca="false">IF($Z1580&lt;=0,0,$Z1580/$AA1580)</f>
        <v>62.6682352941176</v>
      </c>
      <c r="AC1580" s="16" t="n">
        <f aca="false">IFERROR(INDEX(SEMANAS!$K$6:$K$71,MATCH($B1580,SEMANAS!$B$6:$B$71,0)),0)</f>
        <v>147</v>
      </c>
      <c r="AD1580" s="19" t="n">
        <f aca="false">IF($AC1580&lt;=0,0,$AB1580/$AC1580)</f>
        <v>0.426314525810324</v>
      </c>
      <c r="AE1580" s="8" t="str">
        <f aca="false">IF($K1580="SEM CULTURA","SEM CULTURA",IF($AA1580&lt;=0,"DADO PENDENTE",IF($AD1580&gt;LIMITE_CRITICO,"INVIAVEL",IF($AD1580&gt;LIMITE_ATENCAO,"CRITICO",IF($AD1580&gt;LIMITE_CONFORTAVEL,"ATENCAO","OK")))))</f>
        <v>OK</v>
      </c>
      <c r="AF1580" s="8" t="str">
        <f aca="false">$B1580&amp;"|"&amp;TEXT($AD1580,"0.000000")</f>
        <v>57|0.426315</v>
      </c>
      <c r="AG1580" s="18" t="n">
        <f aca="false">IF($K1580="SEM CULTURA",0,$T1580*$H1580)</f>
        <v>6992.16</v>
      </c>
      <c r="AH1580" s="18" t="n">
        <f aca="false">IF($K1580="SEM CULTURA",0,$V1580*$H1580)</f>
        <v>1819.12696</v>
      </c>
      <c r="AI1580" s="18" t="n">
        <f aca="false">IF($K1580="SEM CULTURA",0,$W1580*$H1580)</f>
        <v>5173.03304</v>
      </c>
      <c r="AJ1580" s="18" t="n">
        <f aca="false">IF($K1580="SEM CULTURA",0,$S1580*$H1580)</f>
        <v>5826.8</v>
      </c>
      <c r="AK1580" s="8" t="str">
        <f aca="false">$E1580&amp;"|"&amp;TEXT($AD1580,"0.000000")</f>
        <v>PV 120|0.426315</v>
      </c>
    </row>
    <row r="1581" customFormat="false" ht="15" hidden="false" customHeight="false" outlineLevel="0" collapsed="false">
      <c r="B1581" s="16" t="n">
        <v>58</v>
      </c>
      <c r="C1581" s="17" t="n">
        <f aca="false">DATA_INICIO_SAFRA+($B1581-1)*DIAS_POR_SEMANA</f>
        <v>46664</v>
      </c>
      <c r="D1581" s="17" t="n">
        <f aca="false">$C1581+DIAS_POR_SEMANA-1</f>
        <v>46670</v>
      </c>
      <c r="E1581" s="15" t="s">
        <v>282</v>
      </c>
      <c r="F1581" s="8" t="str">
        <f aca="false">IFERROR(INDEX(CADASTRO_PIVOS!$C$6:$C$41,MATCH($E1581,CADASTRO_PIVOS!$B$6:$B$41,0)),"?")</f>
        <v>RM07</v>
      </c>
      <c r="G1581" s="8" t="str">
        <f aca="false">IFERROR(INDEX(CADASTRO_PIVOS!$D$6:$D$41,MATCH($E1581,CADASTRO_PIVOS!$B$6:$B$41,0)),"?")</f>
        <v>TR07</v>
      </c>
      <c r="H1581" s="20" t="n">
        <f aca="false">IFERROR(INDEX(CADASTRO_PIVOS!$E$6:$E$41,MATCH($E1581,CADASTRO_PIVOS!$B$6:$B$41,0)),0)</f>
        <v>145.67</v>
      </c>
      <c r="I1581" s="16" t="n">
        <f aca="false">IFERROR(SUMIFS(ROTACAO_RDM!$B$6:$B$71,ROTACAO_RDM!$D$6:$D$71,$E1581,ROTACAO_RDM!$I$6:$I$71,"&lt;="&amp;$C1581+INT(DIAS_POR_SEMANA/2),ROTACAO_RDM!$J$6:$J$71,"&gt;="&amp;$C1581+INT(DIAS_POR_SEMANA/2)),0)</f>
        <v>35</v>
      </c>
      <c r="J1581" s="16" t="n">
        <f aca="false">IFERROR(MATCH($I1581,ROTACAO_RDM!$B$6:$B$71,0),0)</f>
        <v>35</v>
      </c>
      <c r="K1581" s="8" t="str">
        <f aca="false">IF($J1581=0,"SEM CULTURA",INDEX(ROTACAO_RDM!$F$6:$F$71,$J1581))</f>
        <v>MILHO_GRAO</v>
      </c>
      <c r="L1581" s="8" t="n">
        <f aca="false">IF($J1581=0,"",INDEX(ROTACAO_RDM!$G$6:$G$71,$J1581))</f>
        <v>0</v>
      </c>
      <c r="M1581" s="17" t="n">
        <f aca="false">IF($J1581=0,"",INDEX(ROTACAO_RDM!$I$6:$I$71,$J1581))</f>
        <v>46569</v>
      </c>
      <c r="N1581" s="16" t="n">
        <f aca="false">IF($J1581=0,0,MAX(0,$C1581+INT(DIAS_POR_SEMANA/2)-INDEX(ROTACAO_RDM!$I$6:$I$71,$J1581)))</f>
        <v>98</v>
      </c>
      <c r="O1581" s="19" t="n">
        <f aca="false">IF($J1581=0,0,MIN(1,$N1581/MAX(1,INDEX(ROTACAO_RDM!$K$6:$K$71,$J1581))))</f>
        <v>0.6125</v>
      </c>
      <c r="P1581" s="16" t="n">
        <f aca="false">IF($J1581=0,0,IFERROR(MATCH(INDEX(ROTACAO_RDM!$N$6:$N$71,$J1581),PARAMETROS_CULTURAS!$B$6:$B$28,0),0))</f>
        <v>8</v>
      </c>
      <c r="Q1581" s="8" t="str">
        <f aca="false">IF($P1581=0,"-",IF($O1581&lt;=INDEX(PARAMETROS_CULTURAS!$F$6:$F$28,$P1581),"INICIAL",IF($O1581&lt;=INDEX(PARAMETROS_CULTURAS!$F$6:$F$28,$P1581)+INDEX(PARAMETROS_CULTURAS!$G$6:$G$28,$P1581),"DESENVOLVIMENTO",IF($O1581&lt;=INDEX(PARAMETROS_CULTURAS!$F$6:$F$28,$P1581)+INDEX(PARAMETROS_CULTURAS!$G$6:$G$28,$P1581)+INDEX(PARAMETROS_CULTURAS!$H$6:$H$28,$P1581),"MEDIA","FINAL"))))</f>
        <v>MEDIA</v>
      </c>
      <c r="R1581" s="24" t="n">
        <f aca="false">IF($P1581=0,0,IF($O1581&lt;=INDEX(PARAMETROS_CULTURAS!$F$6:$F$28,$P1581),INDEX(PARAMETROS_CULTURAS!$K$6:$K$28,$P1581),IF($O1581&lt;=INDEX(PARAMETROS_CULTURAS!$F$6:$F$28,$P1581)+INDEX(PARAMETROS_CULTURAS!$G$6:$G$28,$P1581),INDEX(PARAMETROS_CULTURAS!$K$6:$K$28,$P1581)+(INDEX(PARAMETROS_CULTURAS!$L$6:$L$28,$P1581)-INDEX(PARAMETROS_CULTURAS!$K$6:$K$28,$P1581))*($O1581-INDEX(PARAMETROS_CULTURAS!$F$6:$F$28,$P1581))/MAX(INDEX(PARAMETROS_CULTURAS!$G$6:$G$28,$P1581),0.0001),IF($O1581&lt;=INDEX(PARAMETROS_CULTURAS!$F$6:$F$28,$P1581)+INDEX(PARAMETROS_CULTURAS!$G$6:$G$28,$P1581)+INDEX(PARAMETROS_CULTURAS!$H$6:$H$28,$P1581),INDEX(PARAMETROS_CULTURAS!$L$6:$L$28,$P1581),INDEX(PARAMETROS_CULTURAS!$L$6:$L$28,$P1581)+(INDEX(PARAMETROS_CULTURAS!$M$6:$M$28,$P1581)-INDEX(PARAMETROS_CULTURAS!$L$6:$L$28,$P1581))*($O1581-INDEX(PARAMETROS_CULTURAS!$F$6:$F$28,$P1581)-INDEX(PARAMETROS_CULTURAS!$G$6:$G$28,$P1581)-INDEX(PARAMETROS_CULTURAS!$H$6:$H$28,$P1581))/MAX(INDEX(PARAMETROS_CULTURAS!$I$6:$I$28,$P1581),0.0001)))))</f>
        <v>1.2</v>
      </c>
      <c r="S1581" s="18" t="n">
        <f aca="false">IFERROR(INDEX(SEMANAS!$H$6:$H$71,MATCH($B1581,SEMANAS!$B$6:$B$71,0)),0)</f>
        <v>39.2</v>
      </c>
      <c r="T1581" s="18" t="n">
        <f aca="false">$R1581*$S1581</f>
        <v>47.04</v>
      </c>
      <c r="U1581" s="18" t="n">
        <f aca="false">IFERROR(INDEX(SEMANAS!$I$6:$I$71,MATCH($B1581,SEMANAS!$B$6:$B$71,0)),0)</f>
        <v>27.09</v>
      </c>
      <c r="V1581" s="18" t="n">
        <f aca="false">IFERROR(INDEX(SEMANAS!$J$6:$J$71,MATCH($B1581,SEMANAS!$B$6:$B$71,0)),0)</f>
        <v>21.672</v>
      </c>
      <c r="W1581" s="18" t="n">
        <f aca="false">MAX(0,$T1581-$V1581)</f>
        <v>25.368</v>
      </c>
      <c r="X1581" s="19" t="n">
        <f aca="false">IFERROR(INDEX(CADASTRO_PIVOS!$K$6:$K$41,MATCH($E1581,CADASTRO_PIVOS!$B$6:$B$41,0)),EFICIENCIA_PADRAO)</f>
        <v>0.85</v>
      </c>
      <c r="Y1581" s="18" t="n">
        <f aca="false">IF($X1581&lt;=0,0,$W1581/$X1581)</f>
        <v>29.8447058823529</v>
      </c>
      <c r="Z1581" s="16" t="n">
        <f aca="false">$Y1581*$H1581*MM_PARA_M3_HA</f>
        <v>43474.7830588235</v>
      </c>
      <c r="AA1581" s="18" t="n">
        <f aca="false">IFERROR(INDEX(CADASTRO_PIVOS!$I$6:$I$41,MATCH($E1581,CADASTRO_PIVOS!$B$6:$B$41,0)),0)</f>
        <v>971.133333333333</v>
      </c>
      <c r="AB1581" s="18" t="n">
        <f aca="false">IF($Z1581&lt;=0,0,$Z1581/$AA1581)</f>
        <v>44.7670588235294</v>
      </c>
      <c r="AC1581" s="16" t="n">
        <f aca="false">IFERROR(INDEX(SEMANAS!$K$6:$K$71,MATCH($B1581,SEMANAS!$B$6:$B$71,0)),0)</f>
        <v>147</v>
      </c>
      <c r="AD1581" s="19" t="n">
        <f aca="false">IF($AC1581&lt;=0,0,$AB1581/$AC1581)</f>
        <v>0.30453781512605</v>
      </c>
      <c r="AE1581" s="8" t="str">
        <f aca="false">IF($K1581="SEM CULTURA","SEM CULTURA",IF($AA1581&lt;=0,"DADO PENDENTE",IF($AD1581&gt;LIMITE_CRITICO,"INVIAVEL",IF($AD1581&gt;LIMITE_ATENCAO,"CRITICO",IF($AD1581&gt;LIMITE_CONFORTAVEL,"ATENCAO","OK")))))</f>
        <v>OK</v>
      </c>
      <c r="AF1581" s="8" t="str">
        <f aca="false">$B1581&amp;"|"&amp;TEXT($AD1581,"0.000000")</f>
        <v>58|0.304538</v>
      </c>
      <c r="AG1581" s="18" t="n">
        <f aca="false">IF($K1581="SEM CULTURA",0,$T1581*$H1581)</f>
        <v>6852.3168</v>
      </c>
      <c r="AH1581" s="18" t="n">
        <f aca="false">IF($K1581="SEM CULTURA",0,$V1581*$H1581)</f>
        <v>3156.96024</v>
      </c>
      <c r="AI1581" s="18" t="n">
        <f aca="false">IF($K1581="SEM CULTURA",0,$W1581*$H1581)</f>
        <v>3695.35656</v>
      </c>
      <c r="AJ1581" s="18" t="n">
        <f aca="false">IF($K1581="SEM CULTURA",0,$S1581*$H1581)</f>
        <v>5710.264</v>
      </c>
      <c r="AK1581" s="8" t="str">
        <f aca="false">$E1581&amp;"|"&amp;TEXT($AD1581,"0.000000")</f>
        <v>PV 120|0.304538</v>
      </c>
    </row>
    <row r="1582" customFormat="false" ht="15" hidden="false" customHeight="false" outlineLevel="0" collapsed="false">
      <c r="B1582" s="16" t="n">
        <v>59</v>
      </c>
      <c r="C1582" s="17" t="n">
        <f aca="false">DATA_INICIO_SAFRA+($B1582-1)*DIAS_POR_SEMANA</f>
        <v>46671</v>
      </c>
      <c r="D1582" s="17" t="n">
        <f aca="false">$C1582+DIAS_POR_SEMANA-1</f>
        <v>46677</v>
      </c>
      <c r="E1582" s="15" t="s">
        <v>282</v>
      </c>
      <c r="F1582" s="8" t="str">
        <f aca="false">IFERROR(INDEX(CADASTRO_PIVOS!$C$6:$C$41,MATCH($E1582,CADASTRO_PIVOS!$B$6:$B$41,0)),"?")</f>
        <v>RM07</v>
      </c>
      <c r="G1582" s="8" t="str">
        <f aca="false">IFERROR(INDEX(CADASTRO_PIVOS!$D$6:$D$41,MATCH($E1582,CADASTRO_PIVOS!$B$6:$B$41,0)),"?")</f>
        <v>TR07</v>
      </c>
      <c r="H1582" s="20" t="n">
        <f aca="false">IFERROR(INDEX(CADASTRO_PIVOS!$E$6:$E$41,MATCH($E1582,CADASTRO_PIVOS!$B$6:$B$41,0)),0)</f>
        <v>145.67</v>
      </c>
      <c r="I1582" s="16" t="n">
        <f aca="false">IFERROR(SUMIFS(ROTACAO_RDM!$B$6:$B$71,ROTACAO_RDM!$D$6:$D$71,$E1582,ROTACAO_RDM!$I$6:$I$71,"&lt;="&amp;$C1582+INT(DIAS_POR_SEMANA/2),ROTACAO_RDM!$J$6:$J$71,"&gt;="&amp;$C1582+INT(DIAS_POR_SEMANA/2)),0)</f>
        <v>35</v>
      </c>
      <c r="J1582" s="16" t="n">
        <f aca="false">IFERROR(MATCH($I1582,ROTACAO_RDM!$B$6:$B$71,0),0)</f>
        <v>35</v>
      </c>
      <c r="K1582" s="8" t="str">
        <f aca="false">IF($J1582=0,"SEM CULTURA",INDEX(ROTACAO_RDM!$F$6:$F$71,$J1582))</f>
        <v>MILHO_GRAO</v>
      </c>
      <c r="L1582" s="8" t="n">
        <f aca="false">IF($J1582=0,"",INDEX(ROTACAO_RDM!$G$6:$G$71,$J1582))</f>
        <v>0</v>
      </c>
      <c r="M1582" s="17" t="n">
        <f aca="false">IF($J1582=0,"",INDEX(ROTACAO_RDM!$I$6:$I$71,$J1582))</f>
        <v>46569</v>
      </c>
      <c r="N1582" s="16" t="n">
        <f aca="false">IF($J1582=0,0,MAX(0,$C1582+INT(DIAS_POR_SEMANA/2)-INDEX(ROTACAO_RDM!$I$6:$I$71,$J1582)))</f>
        <v>105</v>
      </c>
      <c r="O1582" s="19" t="n">
        <f aca="false">IF($J1582=0,0,MIN(1,$N1582/MAX(1,INDEX(ROTACAO_RDM!$K$6:$K$71,$J1582))))</f>
        <v>0.65625</v>
      </c>
      <c r="P1582" s="16" t="n">
        <f aca="false">IF($J1582=0,0,IFERROR(MATCH(INDEX(ROTACAO_RDM!$N$6:$N$71,$J1582),PARAMETROS_CULTURAS!$B$6:$B$28,0),0))</f>
        <v>8</v>
      </c>
      <c r="Q1582" s="8" t="str">
        <f aca="false">IF($P1582=0,"-",IF($O1582&lt;=INDEX(PARAMETROS_CULTURAS!$F$6:$F$28,$P1582),"INICIAL",IF($O1582&lt;=INDEX(PARAMETROS_CULTURAS!$F$6:$F$28,$P1582)+INDEX(PARAMETROS_CULTURAS!$G$6:$G$28,$P1582),"DESENVOLVIMENTO",IF($O1582&lt;=INDEX(PARAMETROS_CULTURAS!$F$6:$F$28,$P1582)+INDEX(PARAMETROS_CULTURAS!$G$6:$G$28,$P1582)+INDEX(PARAMETROS_CULTURAS!$H$6:$H$28,$P1582),"MEDIA","FINAL"))))</f>
        <v>MEDIA</v>
      </c>
      <c r="R1582" s="24" t="n">
        <f aca="false">IF($P1582=0,0,IF($O1582&lt;=INDEX(PARAMETROS_CULTURAS!$F$6:$F$28,$P1582),INDEX(PARAMETROS_CULTURAS!$K$6:$K$28,$P1582),IF($O1582&lt;=INDEX(PARAMETROS_CULTURAS!$F$6:$F$28,$P1582)+INDEX(PARAMETROS_CULTURAS!$G$6:$G$28,$P1582),INDEX(PARAMETROS_CULTURAS!$K$6:$K$28,$P1582)+(INDEX(PARAMETROS_CULTURAS!$L$6:$L$28,$P1582)-INDEX(PARAMETROS_CULTURAS!$K$6:$K$28,$P1582))*($O1582-INDEX(PARAMETROS_CULTURAS!$F$6:$F$28,$P1582))/MAX(INDEX(PARAMETROS_CULTURAS!$G$6:$G$28,$P1582),0.0001),IF($O1582&lt;=INDEX(PARAMETROS_CULTURAS!$F$6:$F$28,$P1582)+INDEX(PARAMETROS_CULTURAS!$G$6:$G$28,$P1582)+INDEX(PARAMETROS_CULTURAS!$H$6:$H$28,$P1582),INDEX(PARAMETROS_CULTURAS!$L$6:$L$28,$P1582),INDEX(PARAMETROS_CULTURAS!$L$6:$L$28,$P1582)+(INDEX(PARAMETROS_CULTURAS!$M$6:$M$28,$P1582)-INDEX(PARAMETROS_CULTURAS!$L$6:$L$28,$P1582))*($O1582-INDEX(PARAMETROS_CULTURAS!$F$6:$F$28,$P1582)-INDEX(PARAMETROS_CULTURAS!$G$6:$G$28,$P1582)-INDEX(PARAMETROS_CULTURAS!$H$6:$H$28,$P1582))/MAX(INDEX(PARAMETROS_CULTURAS!$I$6:$I$28,$P1582),0.0001)))))</f>
        <v>1.2</v>
      </c>
      <c r="S1582" s="18" t="n">
        <f aca="false">IFERROR(INDEX(SEMANAS!$H$6:$H$71,MATCH($B1582,SEMANAS!$B$6:$B$71,0)),0)</f>
        <v>39.2</v>
      </c>
      <c r="T1582" s="18" t="n">
        <f aca="false">$R1582*$S1582</f>
        <v>47.04</v>
      </c>
      <c r="U1582" s="18" t="n">
        <f aca="false">IFERROR(INDEX(SEMANAS!$I$6:$I$71,MATCH($B1582,SEMANAS!$B$6:$B$71,0)),0)</f>
        <v>27.09</v>
      </c>
      <c r="V1582" s="18" t="n">
        <f aca="false">IFERROR(INDEX(SEMANAS!$J$6:$J$71,MATCH($B1582,SEMANAS!$B$6:$B$71,0)),0)</f>
        <v>21.672</v>
      </c>
      <c r="W1582" s="18" t="n">
        <f aca="false">MAX(0,$T1582-$V1582)</f>
        <v>25.368</v>
      </c>
      <c r="X1582" s="19" t="n">
        <f aca="false">IFERROR(INDEX(CADASTRO_PIVOS!$K$6:$K$41,MATCH($E1582,CADASTRO_PIVOS!$B$6:$B$41,0)),EFICIENCIA_PADRAO)</f>
        <v>0.85</v>
      </c>
      <c r="Y1582" s="18" t="n">
        <f aca="false">IF($X1582&lt;=0,0,$W1582/$X1582)</f>
        <v>29.8447058823529</v>
      </c>
      <c r="Z1582" s="16" t="n">
        <f aca="false">$Y1582*$H1582*MM_PARA_M3_HA</f>
        <v>43474.7830588235</v>
      </c>
      <c r="AA1582" s="18" t="n">
        <f aca="false">IFERROR(INDEX(CADASTRO_PIVOS!$I$6:$I$41,MATCH($E1582,CADASTRO_PIVOS!$B$6:$B$41,0)),0)</f>
        <v>971.133333333333</v>
      </c>
      <c r="AB1582" s="18" t="n">
        <f aca="false">IF($Z1582&lt;=0,0,$Z1582/$AA1582)</f>
        <v>44.7670588235294</v>
      </c>
      <c r="AC1582" s="16" t="n">
        <f aca="false">IFERROR(INDEX(SEMANAS!$K$6:$K$71,MATCH($B1582,SEMANAS!$B$6:$B$71,0)),0)</f>
        <v>147</v>
      </c>
      <c r="AD1582" s="19" t="n">
        <f aca="false">IF($AC1582&lt;=0,0,$AB1582/$AC1582)</f>
        <v>0.30453781512605</v>
      </c>
      <c r="AE1582" s="8" t="str">
        <f aca="false">IF($K1582="SEM CULTURA","SEM CULTURA",IF($AA1582&lt;=0,"DADO PENDENTE",IF($AD1582&gt;LIMITE_CRITICO,"INVIAVEL",IF($AD1582&gt;LIMITE_ATENCAO,"CRITICO",IF($AD1582&gt;LIMITE_CONFORTAVEL,"ATENCAO","OK")))))</f>
        <v>OK</v>
      </c>
      <c r="AF1582" s="8" t="str">
        <f aca="false">$B1582&amp;"|"&amp;TEXT($AD1582,"0.000000")</f>
        <v>59|0.304538</v>
      </c>
      <c r="AG1582" s="18" t="n">
        <f aca="false">IF($K1582="SEM CULTURA",0,$T1582*$H1582)</f>
        <v>6852.3168</v>
      </c>
      <c r="AH1582" s="18" t="n">
        <f aca="false">IF($K1582="SEM CULTURA",0,$V1582*$H1582)</f>
        <v>3156.96024</v>
      </c>
      <c r="AI1582" s="18" t="n">
        <f aca="false">IF($K1582="SEM CULTURA",0,$W1582*$H1582)</f>
        <v>3695.35656</v>
      </c>
      <c r="AJ1582" s="18" t="n">
        <f aca="false">IF($K1582="SEM CULTURA",0,$S1582*$H1582)</f>
        <v>5710.264</v>
      </c>
      <c r="AK1582" s="8" t="str">
        <f aca="false">$E1582&amp;"|"&amp;TEXT($AD1582,"0.000000")</f>
        <v>PV 120|0.304538</v>
      </c>
    </row>
    <row r="1583" customFormat="false" ht="15" hidden="false" customHeight="false" outlineLevel="0" collapsed="false">
      <c r="B1583" s="16" t="n">
        <v>60</v>
      </c>
      <c r="C1583" s="17" t="n">
        <f aca="false">DATA_INICIO_SAFRA+($B1583-1)*DIAS_POR_SEMANA</f>
        <v>46678</v>
      </c>
      <c r="D1583" s="17" t="n">
        <f aca="false">$C1583+DIAS_POR_SEMANA-1</f>
        <v>46684</v>
      </c>
      <c r="E1583" s="15" t="s">
        <v>282</v>
      </c>
      <c r="F1583" s="8" t="str">
        <f aca="false">IFERROR(INDEX(CADASTRO_PIVOS!$C$6:$C$41,MATCH($E1583,CADASTRO_PIVOS!$B$6:$B$41,0)),"?")</f>
        <v>RM07</v>
      </c>
      <c r="G1583" s="8" t="str">
        <f aca="false">IFERROR(INDEX(CADASTRO_PIVOS!$D$6:$D$41,MATCH($E1583,CADASTRO_PIVOS!$B$6:$B$41,0)),"?")</f>
        <v>TR07</v>
      </c>
      <c r="H1583" s="20" t="n">
        <f aca="false">IFERROR(INDEX(CADASTRO_PIVOS!$E$6:$E$41,MATCH($E1583,CADASTRO_PIVOS!$B$6:$B$41,0)),0)</f>
        <v>145.67</v>
      </c>
      <c r="I1583" s="16" t="n">
        <f aca="false">IFERROR(SUMIFS(ROTACAO_RDM!$B$6:$B$71,ROTACAO_RDM!$D$6:$D$71,$E1583,ROTACAO_RDM!$I$6:$I$71,"&lt;="&amp;$C1583+INT(DIAS_POR_SEMANA/2),ROTACAO_RDM!$J$6:$J$71,"&gt;="&amp;$C1583+INT(DIAS_POR_SEMANA/2)),0)</f>
        <v>35</v>
      </c>
      <c r="J1583" s="16" t="n">
        <f aca="false">IFERROR(MATCH($I1583,ROTACAO_RDM!$B$6:$B$71,0),0)</f>
        <v>35</v>
      </c>
      <c r="K1583" s="8" t="str">
        <f aca="false">IF($J1583=0,"SEM CULTURA",INDEX(ROTACAO_RDM!$F$6:$F$71,$J1583))</f>
        <v>MILHO_GRAO</v>
      </c>
      <c r="L1583" s="8" t="n">
        <f aca="false">IF($J1583=0,"",INDEX(ROTACAO_RDM!$G$6:$G$71,$J1583))</f>
        <v>0</v>
      </c>
      <c r="M1583" s="17" t="n">
        <f aca="false">IF($J1583=0,"",INDEX(ROTACAO_RDM!$I$6:$I$71,$J1583))</f>
        <v>46569</v>
      </c>
      <c r="N1583" s="16" t="n">
        <f aca="false">IF($J1583=0,0,MAX(0,$C1583+INT(DIAS_POR_SEMANA/2)-INDEX(ROTACAO_RDM!$I$6:$I$71,$J1583)))</f>
        <v>112</v>
      </c>
      <c r="O1583" s="19" t="n">
        <f aca="false">IF($J1583=0,0,MIN(1,$N1583/MAX(1,INDEX(ROTACAO_RDM!$K$6:$K$71,$J1583))))</f>
        <v>0.7</v>
      </c>
      <c r="P1583" s="16" t="n">
        <f aca="false">IF($J1583=0,0,IFERROR(MATCH(INDEX(ROTACAO_RDM!$N$6:$N$71,$J1583),PARAMETROS_CULTURAS!$B$6:$B$28,0),0))</f>
        <v>8</v>
      </c>
      <c r="Q1583" s="8" t="str">
        <f aca="false">IF($P1583=0,"-",IF($O1583&lt;=INDEX(PARAMETROS_CULTURAS!$F$6:$F$28,$P1583),"INICIAL",IF($O1583&lt;=INDEX(PARAMETROS_CULTURAS!$F$6:$F$28,$P1583)+INDEX(PARAMETROS_CULTURAS!$G$6:$G$28,$P1583),"DESENVOLVIMENTO",IF($O1583&lt;=INDEX(PARAMETROS_CULTURAS!$F$6:$F$28,$P1583)+INDEX(PARAMETROS_CULTURAS!$G$6:$G$28,$P1583)+INDEX(PARAMETROS_CULTURAS!$H$6:$H$28,$P1583),"MEDIA","FINAL"))))</f>
        <v>MEDIA</v>
      </c>
      <c r="R1583" s="24" t="n">
        <f aca="false">IF($P1583=0,0,IF($O1583&lt;=INDEX(PARAMETROS_CULTURAS!$F$6:$F$28,$P1583),INDEX(PARAMETROS_CULTURAS!$K$6:$K$28,$P1583),IF($O1583&lt;=INDEX(PARAMETROS_CULTURAS!$F$6:$F$28,$P1583)+INDEX(PARAMETROS_CULTURAS!$G$6:$G$28,$P1583),INDEX(PARAMETROS_CULTURAS!$K$6:$K$28,$P1583)+(INDEX(PARAMETROS_CULTURAS!$L$6:$L$28,$P1583)-INDEX(PARAMETROS_CULTURAS!$K$6:$K$28,$P1583))*($O1583-INDEX(PARAMETROS_CULTURAS!$F$6:$F$28,$P1583))/MAX(INDEX(PARAMETROS_CULTURAS!$G$6:$G$28,$P1583),0.0001),IF($O1583&lt;=INDEX(PARAMETROS_CULTURAS!$F$6:$F$28,$P1583)+INDEX(PARAMETROS_CULTURAS!$G$6:$G$28,$P1583)+INDEX(PARAMETROS_CULTURAS!$H$6:$H$28,$P1583),INDEX(PARAMETROS_CULTURAS!$L$6:$L$28,$P1583),INDEX(PARAMETROS_CULTURAS!$L$6:$L$28,$P1583)+(INDEX(PARAMETROS_CULTURAS!$M$6:$M$28,$P1583)-INDEX(PARAMETROS_CULTURAS!$L$6:$L$28,$P1583))*($O1583-INDEX(PARAMETROS_CULTURAS!$F$6:$F$28,$P1583)-INDEX(PARAMETROS_CULTURAS!$G$6:$G$28,$P1583)-INDEX(PARAMETROS_CULTURAS!$H$6:$H$28,$P1583))/MAX(INDEX(PARAMETROS_CULTURAS!$I$6:$I$28,$P1583),0.0001)))))</f>
        <v>1.2</v>
      </c>
      <c r="S1583" s="18" t="n">
        <f aca="false">IFERROR(INDEX(SEMANAS!$H$6:$H$71,MATCH($B1583,SEMANAS!$B$6:$B$71,0)),0)</f>
        <v>39.2</v>
      </c>
      <c r="T1583" s="18" t="n">
        <f aca="false">$R1583*$S1583</f>
        <v>47.04</v>
      </c>
      <c r="U1583" s="18" t="n">
        <f aca="false">IFERROR(INDEX(SEMANAS!$I$6:$I$71,MATCH($B1583,SEMANAS!$B$6:$B$71,0)),0)</f>
        <v>27.09</v>
      </c>
      <c r="V1583" s="18" t="n">
        <f aca="false">IFERROR(INDEX(SEMANAS!$J$6:$J$71,MATCH($B1583,SEMANAS!$B$6:$B$71,0)),0)</f>
        <v>21.672</v>
      </c>
      <c r="W1583" s="18" t="n">
        <f aca="false">MAX(0,$T1583-$V1583)</f>
        <v>25.368</v>
      </c>
      <c r="X1583" s="19" t="n">
        <f aca="false">IFERROR(INDEX(CADASTRO_PIVOS!$K$6:$K$41,MATCH($E1583,CADASTRO_PIVOS!$B$6:$B$41,0)),EFICIENCIA_PADRAO)</f>
        <v>0.85</v>
      </c>
      <c r="Y1583" s="18" t="n">
        <f aca="false">IF($X1583&lt;=0,0,$W1583/$X1583)</f>
        <v>29.8447058823529</v>
      </c>
      <c r="Z1583" s="16" t="n">
        <f aca="false">$Y1583*$H1583*MM_PARA_M3_HA</f>
        <v>43474.7830588235</v>
      </c>
      <c r="AA1583" s="18" t="n">
        <f aca="false">IFERROR(INDEX(CADASTRO_PIVOS!$I$6:$I$41,MATCH($E1583,CADASTRO_PIVOS!$B$6:$B$41,0)),0)</f>
        <v>971.133333333333</v>
      </c>
      <c r="AB1583" s="18" t="n">
        <f aca="false">IF($Z1583&lt;=0,0,$Z1583/$AA1583)</f>
        <v>44.7670588235294</v>
      </c>
      <c r="AC1583" s="16" t="n">
        <f aca="false">IFERROR(INDEX(SEMANAS!$K$6:$K$71,MATCH($B1583,SEMANAS!$B$6:$B$71,0)),0)</f>
        <v>147</v>
      </c>
      <c r="AD1583" s="19" t="n">
        <f aca="false">IF($AC1583&lt;=0,0,$AB1583/$AC1583)</f>
        <v>0.30453781512605</v>
      </c>
      <c r="AE1583" s="8" t="str">
        <f aca="false">IF($K1583="SEM CULTURA","SEM CULTURA",IF($AA1583&lt;=0,"DADO PENDENTE",IF($AD1583&gt;LIMITE_CRITICO,"INVIAVEL",IF($AD1583&gt;LIMITE_ATENCAO,"CRITICO",IF($AD1583&gt;LIMITE_CONFORTAVEL,"ATENCAO","OK")))))</f>
        <v>OK</v>
      </c>
      <c r="AF1583" s="8" t="str">
        <f aca="false">$B1583&amp;"|"&amp;TEXT($AD1583,"0.000000")</f>
        <v>60|0.304538</v>
      </c>
      <c r="AG1583" s="18" t="n">
        <f aca="false">IF($K1583="SEM CULTURA",0,$T1583*$H1583)</f>
        <v>6852.3168</v>
      </c>
      <c r="AH1583" s="18" t="n">
        <f aca="false">IF($K1583="SEM CULTURA",0,$V1583*$H1583)</f>
        <v>3156.96024</v>
      </c>
      <c r="AI1583" s="18" t="n">
        <f aca="false">IF($K1583="SEM CULTURA",0,$W1583*$H1583)</f>
        <v>3695.35656</v>
      </c>
      <c r="AJ1583" s="18" t="n">
        <f aca="false">IF($K1583="SEM CULTURA",0,$S1583*$H1583)</f>
        <v>5710.264</v>
      </c>
      <c r="AK1583" s="8" t="str">
        <f aca="false">$E1583&amp;"|"&amp;TEXT($AD1583,"0.000000")</f>
        <v>PV 120|0.304538</v>
      </c>
    </row>
    <row r="1584" customFormat="false" ht="15" hidden="false" customHeight="false" outlineLevel="0" collapsed="false">
      <c r="B1584" s="16" t="n">
        <v>61</v>
      </c>
      <c r="C1584" s="17" t="n">
        <f aca="false">DATA_INICIO_SAFRA+($B1584-1)*DIAS_POR_SEMANA</f>
        <v>46685</v>
      </c>
      <c r="D1584" s="17" t="n">
        <f aca="false">$C1584+DIAS_POR_SEMANA-1</f>
        <v>46691</v>
      </c>
      <c r="E1584" s="15" t="s">
        <v>282</v>
      </c>
      <c r="F1584" s="8" t="str">
        <f aca="false">IFERROR(INDEX(CADASTRO_PIVOS!$C$6:$C$41,MATCH($E1584,CADASTRO_PIVOS!$B$6:$B$41,0)),"?")</f>
        <v>RM07</v>
      </c>
      <c r="G1584" s="8" t="str">
        <f aca="false">IFERROR(INDEX(CADASTRO_PIVOS!$D$6:$D$41,MATCH($E1584,CADASTRO_PIVOS!$B$6:$B$41,0)),"?")</f>
        <v>TR07</v>
      </c>
      <c r="H1584" s="20" t="n">
        <f aca="false">IFERROR(INDEX(CADASTRO_PIVOS!$E$6:$E$41,MATCH($E1584,CADASTRO_PIVOS!$B$6:$B$41,0)),0)</f>
        <v>145.67</v>
      </c>
      <c r="I1584" s="16" t="n">
        <f aca="false">IFERROR(SUMIFS(ROTACAO_RDM!$B$6:$B$71,ROTACAO_RDM!$D$6:$D$71,$E1584,ROTACAO_RDM!$I$6:$I$71,"&lt;="&amp;$C1584+INT(DIAS_POR_SEMANA/2),ROTACAO_RDM!$J$6:$J$71,"&gt;="&amp;$C1584+INT(DIAS_POR_SEMANA/2)),0)</f>
        <v>35</v>
      </c>
      <c r="J1584" s="16" t="n">
        <f aca="false">IFERROR(MATCH($I1584,ROTACAO_RDM!$B$6:$B$71,0),0)</f>
        <v>35</v>
      </c>
      <c r="K1584" s="8" t="str">
        <f aca="false">IF($J1584=0,"SEM CULTURA",INDEX(ROTACAO_RDM!$F$6:$F$71,$J1584))</f>
        <v>MILHO_GRAO</v>
      </c>
      <c r="L1584" s="8" t="n">
        <f aca="false">IF($J1584=0,"",INDEX(ROTACAO_RDM!$G$6:$G$71,$J1584))</f>
        <v>0</v>
      </c>
      <c r="M1584" s="17" t="n">
        <f aca="false">IF($J1584=0,"",INDEX(ROTACAO_RDM!$I$6:$I$71,$J1584))</f>
        <v>46569</v>
      </c>
      <c r="N1584" s="16" t="n">
        <f aca="false">IF($J1584=0,0,MAX(0,$C1584+INT(DIAS_POR_SEMANA/2)-INDEX(ROTACAO_RDM!$I$6:$I$71,$J1584)))</f>
        <v>119</v>
      </c>
      <c r="O1584" s="19" t="n">
        <f aca="false">IF($J1584=0,0,MIN(1,$N1584/MAX(1,INDEX(ROTACAO_RDM!$K$6:$K$71,$J1584))))</f>
        <v>0.74375</v>
      </c>
      <c r="P1584" s="16" t="n">
        <f aca="false">IF($J1584=0,0,IFERROR(MATCH(INDEX(ROTACAO_RDM!$N$6:$N$71,$J1584),PARAMETROS_CULTURAS!$B$6:$B$28,0),0))</f>
        <v>8</v>
      </c>
      <c r="Q1584" s="8" t="str">
        <f aca="false">IF($P1584=0,"-",IF($O1584&lt;=INDEX(PARAMETROS_CULTURAS!$F$6:$F$28,$P1584),"INICIAL",IF($O1584&lt;=INDEX(PARAMETROS_CULTURAS!$F$6:$F$28,$P1584)+INDEX(PARAMETROS_CULTURAS!$G$6:$G$28,$P1584),"DESENVOLVIMENTO",IF($O1584&lt;=INDEX(PARAMETROS_CULTURAS!$F$6:$F$28,$P1584)+INDEX(PARAMETROS_CULTURAS!$G$6:$G$28,$P1584)+INDEX(PARAMETROS_CULTURAS!$H$6:$H$28,$P1584),"MEDIA","FINAL"))))</f>
        <v>MEDIA</v>
      </c>
      <c r="R1584" s="24" t="n">
        <f aca="false">IF($P1584=0,0,IF($O1584&lt;=INDEX(PARAMETROS_CULTURAS!$F$6:$F$28,$P1584),INDEX(PARAMETROS_CULTURAS!$K$6:$K$28,$P1584),IF($O1584&lt;=INDEX(PARAMETROS_CULTURAS!$F$6:$F$28,$P1584)+INDEX(PARAMETROS_CULTURAS!$G$6:$G$28,$P1584),INDEX(PARAMETROS_CULTURAS!$K$6:$K$28,$P1584)+(INDEX(PARAMETROS_CULTURAS!$L$6:$L$28,$P1584)-INDEX(PARAMETROS_CULTURAS!$K$6:$K$28,$P1584))*($O1584-INDEX(PARAMETROS_CULTURAS!$F$6:$F$28,$P1584))/MAX(INDEX(PARAMETROS_CULTURAS!$G$6:$G$28,$P1584),0.0001),IF($O1584&lt;=INDEX(PARAMETROS_CULTURAS!$F$6:$F$28,$P1584)+INDEX(PARAMETROS_CULTURAS!$G$6:$G$28,$P1584)+INDEX(PARAMETROS_CULTURAS!$H$6:$H$28,$P1584),INDEX(PARAMETROS_CULTURAS!$L$6:$L$28,$P1584),INDEX(PARAMETROS_CULTURAS!$L$6:$L$28,$P1584)+(INDEX(PARAMETROS_CULTURAS!$M$6:$M$28,$P1584)-INDEX(PARAMETROS_CULTURAS!$L$6:$L$28,$P1584))*($O1584-INDEX(PARAMETROS_CULTURAS!$F$6:$F$28,$P1584)-INDEX(PARAMETROS_CULTURAS!$G$6:$G$28,$P1584)-INDEX(PARAMETROS_CULTURAS!$H$6:$H$28,$P1584))/MAX(INDEX(PARAMETROS_CULTURAS!$I$6:$I$28,$P1584),0.0001)))))</f>
        <v>1.2</v>
      </c>
      <c r="S1584" s="18" t="n">
        <f aca="false">IFERROR(INDEX(SEMANAS!$H$6:$H$71,MATCH($B1584,SEMANAS!$B$6:$B$71,0)),0)</f>
        <v>39.2</v>
      </c>
      <c r="T1584" s="18" t="n">
        <f aca="false">$R1584*$S1584</f>
        <v>47.04</v>
      </c>
      <c r="U1584" s="18" t="n">
        <f aca="false">IFERROR(INDEX(SEMANAS!$I$6:$I$71,MATCH($B1584,SEMANAS!$B$6:$B$71,0)),0)</f>
        <v>27.09</v>
      </c>
      <c r="V1584" s="18" t="n">
        <f aca="false">IFERROR(INDEX(SEMANAS!$J$6:$J$71,MATCH($B1584,SEMANAS!$B$6:$B$71,0)),0)</f>
        <v>21.672</v>
      </c>
      <c r="W1584" s="18" t="n">
        <f aca="false">MAX(0,$T1584-$V1584)</f>
        <v>25.368</v>
      </c>
      <c r="X1584" s="19" t="n">
        <f aca="false">IFERROR(INDEX(CADASTRO_PIVOS!$K$6:$K$41,MATCH($E1584,CADASTRO_PIVOS!$B$6:$B$41,0)),EFICIENCIA_PADRAO)</f>
        <v>0.85</v>
      </c>
      <c r="Y1584" s="18" t="n">
        <f aca="false">IF($X1584&lt;=0,0,$W1584/$X1584)</f>
        <v>29.8447058823529</v>
      </c>
      <c r="Z1584" s="16" t="n">
        <f aca="false">$Y1584*$H1584*MM_PARA_M3_HA</f>
        <v>43474.7830588235</v>
      </c>
      <c r="AA1584" s="18" t="n">
        <f aca="false">IFERROR(INDEX(CADASTRO_PIVOS!$I$6:$I$41,MATCH($E1584,CADASTRO_PIVOS!$B$6:$B$41,0)),0)</f>
        <v>971.133333333333</v>
      </c>
      <c r="AB1584" s="18" t="n">
        <f aca="false">IF($Z1584&lt;=0,0,$Z1584/$AA1584)</f>
        <v>44.7670588235294</v>
      </c>
      <c r="AC1584" s="16" t="n">
        <f aca="false">IFERROR(INDEX(SEMANAS!$K$6:$K$71,MATCH($B1584,SEMANAS!$B$6:$B$71,0)),0)</f>
        <v>147</v>
      </c>
      <c r="AD1584" s="19" t="n">
        <f aca="false">IF($AC1584&lt;=0,0,$AB1584/$AC1584)</f>
        <v>0.30453781512605</v>
      </c>
      <c r="AE1584" s="8" t="str">
        <f aca="false">IF($K1584="SEM CULTURA","SEM CULTURA",IF($AA1584&lt;=0,"DADO PENDENTE",IF($AD1584&gt;LIMITE_CRITICO,"INVIAVEL",IF($AD1584&gt;LIMITE_ATENCAO,"CRITICO",IF($AD1584&gt;LIMITE_CONFORTAVEL,"ATENCAO","OK")))))</f>
        <v>OK</v>
      </c>
      <c r="AF1584" s="8" t="str">
        <f aca="false">$B1584&amp;"|"&amp;TEXT($AD1584,"0.000000")</f>
        <v>61|0.304538</v>
      </c>
      <c r="AG1584" s="18" t="n">
        <f aca="false">IF($K1584="SEM CULTURA",0,$T1584*$H1584)</f>
        <v>6852.3168</v>
      </c>
      <c r="AH1584" s="18" t="n">
        <f aca="false">IF($K1584="SEM CULTURA",0,$V1584*$H1584)</f>
        <v>3156.96024</v>
      </c>
      <c r="AI1584" s="18" t="n">
        <f aca="false">IF($K1584="SEM CULTURA",0,$W1584*$H1584)</f>
        <v>3695.35656</v>
      </c>
      <c r="AJ1584" s="18" t="n">
        <f aca="false">IF($K1584="SEM CULTURA",0,$S1584*$H1584)</f>
        <v>5710.264</v>
      </c>
      <c r="AK1584" s="8" t="str">
        <f aca="false">$E1584&amp;"|"&amp;TEXT($AD1584,"0.000000")</f>
        <v>PV 120|0.304538</v>
      </c>
    </row>
    <row r="1585" customFormat="false" ht="15" hidden="false" customHeight="false" outlineLevel="0" collapsed="false">
      <c r="B1585" s="16" t="n">
        <v>62</v>
      </c>
      <c r="C1585" s="17" t="n">
        <f aca="false">DATA_INICIO_SAFRA+($B1585-1)*DIAS_POR_SEMANA</f>
        <v>46692</v>
      </c>
      <c r="D1585" s="17" t="n">
        <f aca="false">$C1585+DIAS_POR_SEMANA-1</f>
        <v>46698</v>
      </c>
      <c r="E1585" s="15" t="s">
        <v>282</v>
      </c>
      <c r="F1585" s="8" t="str">
        <f aca="false">IFERROR(INDEX(CADASTRO_PIVOS!$C$6:$C$41,MATCH($E1585,CADASTRO_PIVOS!$B$6:$B$41,0)),"?")</f>
        <v>RM07</v>
      </c>
      <c r="G1585" s="8" t="str">
        <f aca="false">IFERROR(INDEX(CADASTRO_PIVOS!$D$6:$D$41,MATCH($E1585,CADASTRO_PIVOS!$B$6:$B$41,0)),"?")</f>
        <v>TR07</v>
      </c>
      <c r="H1585" s="20" t="n">
        <f aca="false">IFERROR(INDEX(CADASTRO_PIVOS!$E$6:$E$41,MATCH($E1585,CADASTRO_PIVOS!$B$6:$B$41,0)),0)</f>
        <v>145.67</v>
      </c>
      <c r="I1585" s="16" t="n">
        <f aca="false">IFERROR(SUMIFS(ROTACAO_RDM!$B$6:$B$71,ROTACAO_RDM!$D$6:$D$71,$E1585,ROTACAO_RDM!$I$6:$I$71,"&lt;="&amp;$C1585+INT(DIAS_POR_SEMANA/2),ROTACAO_RDM!$J$6:$J$71,"&gt;="&amp;$C1585+INT(DIAS_POR_SEMANA/2)),0)</f>
        <v>35</v>
      </c>
      <c r="J1585" s="16" t="n">
        <f aca="false">IFERROR(MATCH($I1585,ROTACAO_RDM!$B$6:$B$71,0),0)</f>
        <v>35</v>
      </c>
      <c r="K1585" s="8" t="str">
        <f aca="false">IF($J1585=0,"SEM CULTURA",INDEX(ROTACAO_RDM!$F$6:$F$71,$J1585))</f>
        <v>MILHO_GRAO</v>
      </c>
      <c r="L1585" s="8" t="n">
        <f aca="false">IF($J1585=0,"",INDEX(ROTACAO_RDM!$G$6:$G$71,$J1585))</f>
        <v>0</v>
      </c>
      <c r="M1585" s="17" t="n">
        <f aca="false">IF($J1585=0,"",INDEX(ROTACAO_RDM!$I$6:$I$71,$J1585))</f>
        <v>46569</v>
      </c>
      <c r="N1585" s="16" t="n">
        <f aca="false">IF($J1585=0,0,MAX(0,$C1585+INT(DIAS_POR_SEMANA/2)-INDEX(ROTACAO_RDM!$I$6:$I$71,$J1585)))</f>
        <v>126</v>
      </c>
      <c r="O1585" s="19" t="n">
        <f aca="false">IF($J1585=0,0,MIN(1,$N1585/MAX(1,INDEX(ROTACAO_RDM!$K$6:$K$71,$J1585))))</f>
        <v>0.7875</v>
      </c>
      <c r="P1585" s="16" t="n">
        <f aca="false">IF($J1585=0,0,IFERROR(MATCH(INDEX(ROTACAO_RDM!$N$6:$N$71,$J1585),PARAMETROS_CULTURAS!$B$6:$B$28,0),0))</f>
        <v>8</v>
      </c>
      <c r="Q1585" s="8" t="str">
        <f aca="false">IF($P1585=0,"-",IF($O1585&lt;=INDEX(PARAMETROS_CULTURAS!$F$6:$F$28,$P1585),"INICIAL",IF($O1585&lt;=INDEX(PARAMETROS_CULTURAS!$F$6:$F$28,$P1585)+INDEX(PARAMETROS_CULTURAS!$G$6:$G$28,$P1585),"DESENVOLVIMENTO",IF($O1585&lt;=INDEX(PARAMETROS_CULTURAS!$F$6:$F$28,$P1585)+INDEX(PARAMETROS_CULTURAS!$G$6:$G$28,$P1585)+INDEX(PARAMETROS_CULTURAS!$H$6:$H$28,$P1585),"MEDIA","FINAL"))))</f>
        <v>FINAL</v>
      </c>
      <c r="R1585" s="24" t="n">
        <f aca="false">IF($P1585=0,0,IF($O1585&lt;=INDEX(PARAMETROS_CULTURAS!$F$6:$F$28,$P1585),INDEX(PARAMETROS_CULTURAS!$K$6:$K$28,$P1585),IF($O1585&lt;=INDEX(PARAMETROS_CULTURAS!$F$6:$F$28,$P1585)+INDEX(PARAMETROS_CULTURAS!$G$6:$G$28,$P1585),INDEX(PARAMETROS_CULTURAS!$K$6:$K$28,$P1585)+(INDEX(PARAMETROS_CULTURAS!$L$6:$L$28,$P1585)-INDEX(PARAMETROS_CULTURAS!$K$6:$K$28,$P1585))*($O1585-INDEX(PARAMETROS_CULTURAS!$F$6:$F$28,$P1585))/MAX(INDEX(PARAMETROS_CULTURAS!$G$6:$G$28,$P1585),0.0001),IF($O1585&lt;=INDEX(PARAMETROS_CULTURAS!$F$6:$F$28,$P1585)+INDEX(PARAMETROS_CULTURAS!$G$6:$G$28,$P1585)+INDEX(PARAMETROS_CULTURAS!$H$6:$H$28,$P1585),INDEX(PARAMETROS_CULTURAS!$L$6:$L$28,$P1585),INDEX(PARAMETROS_CULTURAS!$L$6:$L$28,$P1585)+(INDEX(PARAMETROS_CULTURAS!$M$6:$M$28,$P1585)-INDEX(PARAMETROS_CULTURAS!$L$6:$L$28,$P1585))*($O1585-INDEX(PARAMETROS_CULTURAS!$F$6:$F$28,$P1585)-INDEX(PARAMETROS_CULTURAS!$G$6:$G$28,$P1585)-INDEX(PARAMETROS_CULTURAS!$H$6:$H$28,$P1585))/MAX(INDEX(PARAMETROS_CULTURAS!$I$6:$I$28,$P1585),0.0001)))))</f>
        <v>1.11</v>
      </c>
      <c r="S1585" s="18" t="n">
        <f aca="false">IFERROR(INDEX(SEMANAS!$H$6:$H$71,MATCH($B1585,SEMANAS!$B$6:$B$71,0)),0)</f>
        <v>34.3</v>
      </c>
      <c r="T1585" s="18" t="n">
        <f aca="false">$R1585*$S1585</f>
        <v>38.073</v>
      </c>
      <c r="U1585" s="18" t="n">
        <f aca="false">IFERROR(INDEX(SEMANAS!$I$6:$I$71,MATCH($B1585,SEMANAS!$B$6:$B$71,0)),0)</f>
        <v>46.69</v>
      </c>
      <c r="V1585" s="18" t="n">
        <f aca="false">IFERROR(INDEX(SEMANAS!$J$6:$J$71,MATCH($B1585,SEMANAS!$B$6:$B$71,0)),0)</f>
        <v>37.352</v>
      </c>
      <c r="W1585" s="18" t="n">
        <f aca="false">MAX(0,$T1585-$V1585)</f>
        <v>0.721000000000004</v>
      </c>
      <c r="X1585" s="19" t="n">
        <f aca="false">IFERROR(INDEX(CADASTRO_PIVOS!$K$6:$K$41,MATCH($E1585,CADASTRO_PIVOS!$B$6:$B$41,0)),EFICIENCIA_PADRAO)</f>
        <v>0.85</v>
      </c>
      <c r="Y1585" s="18" t="n">
        <f aca="false">IF($X1585&lt;=0,0,$W1585/$X1585)</f>
        <v>0.848235294117651</v>
      </c>
      <c r="Z1585" s="16" t="n">
        <f aca="false">$Y1585*$H1585*MM_PARA_M3_HA</f>
        <v>1235.62435294118</v>
      </c>
      <c r="AA1585" s="18" t="n">
        <f aca="false">IFERROR(INDEX(CADASTRO_PIVOS!$I$6:$I$41,MATCH($E1585,CADASTRO_PIVOS!$B$6:$B$41,0)),0)</f>
        <v>971.133333333333</v>
      </c>
      <c r="AB1585" s="18" t="n">
        <f aca="false">IF($Z1585&lt;=0,0,$Z1585/$AA1585)</f>
        <v>1.27235294117648</v>
      </c>
      <c r="AC1585" s="16" t="n">
        <f aca="false">IFERROR(INDEX(SEMANAS!$K$6:$K$71,MATCH($B1585,SEMANAS!$B$6:$B$71,0)),0)</f>
        <v>147</v>
      </c>
      <c r="AD1585" s="19" t="n">
        <f aca="false">IF($AC1585&lt;=0,0,$AB1585/$AC1585)</f>
        <v>0.00865546218487399</v>
      </c>
      <c r="AE1585" s="8" t="str">
        <f aca="false">IF($K1585="SEM CULTURA","SEM CULTURA",IF($AA1585&lt;=0,"DADO PENDENTE",IF($AD1585&gt;LIMITE_CRITICO,"INVIAVEL",IF($AD1585&gt;LIMITE_ATENCAO,"CRITICO",IF($AD1585&gt;LIMITE_CONFORTAVEL,"ATENCAO","OK")))))</f>
        <v>OK</v>
      </c>
      <c r="AF1585" s="8" t="str">
        <f aca="false">$B1585&amp;"|"&amp;TEXT($AD1585,"0.000000")</f>
        <v>62|0.008655</v>
      </c>
      <c r="AG1585" s="18" t="n">
        <f aca="false">IF($K1585="SEM CULTURA",0,$T1585*$H1585)</f>
        <v>5546.09391</v>
      </c>
      <c r="AH1585" s="18" t="n">
        <f aca="false">IF($K1585="SEM CULTURA",0,$V1585*$H1585)</f>
        <v>5441.06584</v>
      </c>
      <c r="AI1585" s="18" t="n">
        <f aca="false">IF($K1585="SEM CULTURA",0,$W1585*$H1585)</f>
        <v>105.028070000001</v>
      </c>
      <c r="AJ1585" s="18" t="n">
        <f aca="false">IF($K1585="SEM CULTURA",0,$S1585*$H1585)</f>
        <v>4996.481</v>
      </c>
      <c r="AK1585" s="8" t="str">
        <f aca="false">$E1585&amp;"|"&amp;TEXT($AD1585,"0.000000")</f>
        <v>PV 120|0.008655</v>
      </c>
    </row>
    <row r="1586" customFormat="false" ht="15" hidden="false" customHeight="false" outlineLevel="0" collapsed="false">
      <c r="B1586" s="16" t="n">
        <v>63</v>
      </c>
      <c r="C1586" s="17" t="n">
        <f aca="false">DATA_INICIO_SAFRA+($B1586-1)*DIAS_POR_SEMANA</f>
        <v>46699</v>
      </c>
      <c r="D1586" s="17" t="n">
        <f aca="false">$C1586+DIAS_POR_SEMANA-1</f>
        <v>46705</v>
      </c>
      <c r="E1586" s="15" t="s">
        <v>282</v>
      </c>
      <c r="F1586" s="8" t="str">
        <f aca="false">IFERROR(INDEX(CADASTRO_PIVOS!$C$6:$C$41,MATCH($E1586,CADASTRO_PIVOS!$B$6:$B$41,0)),"?")</f>
        <v>RM07</v>
      </c>
      <c r="G1586" s="8" t="str">
        <f aca="false">IFERROR(INDEX(CADASTRO_PIVOS!$D$6:$D$41,MATCH($E1586,CADASTRO_PIVOS!$B$6:$B$41,0)),"?")</f>
        <v>TR07</v>
      </c>
      <c r="H1586" s="20" t="n">
        <f aca="false">IFERROR(INDEX(CADASTRO_PIVOS!$E$6:$E$41,MATCH($E1586,CADASTRO_PIVOS!$B$6:$B$41,0)),0)</f>
        <v>145.67</v>
      </c>
      <c r="I1586" s="16" t="n">
        <f aca="false">IFERROR(SUMIFS(ROTACAO_RDM!$B$6:$B$71,ROTACAO_RDM!$D$6:$D$71,$E1586,ROTACAO_RDM!$I$6:$I$71,"&lt;="&amp;$C1586+INT(DIAS_POR_SEMANA/2),ROTACAO_RDM!$J$6:$J$71,"&gt;="&amp;$C1586+INT(DIAS_POR_SEMANA/2)),0)</f>
        <v>35</v>
      </c>
      <c r="J1586" s="16" t="n">
        <f aca="false">IFERROR(MATCH($I1586,ROTACAO_RDM!$B$6:$B$71,0),0)</f>
        <v>35</v>
      </c>
      <c r="K1586" s="8" t="str">
        <f aca="false">IF($J1586=0,"SEM CULTURA",INDEX(ROTACAO_RDM!$F$6:$F$71,$J1586))</f>
        <v>MILHO_GRAO</v>
      </c>
      <c r="L1586" s="8" t="n">
        <f aca="false">IF($J1586=0,"",INDEX(ROTACAO_RDM!$G$6:$G$71,$J1586))</f>
        <v>0</v>
      </c>
      <c r="M1586" s="17" t="n">
        <f aca="false">IF($J1586=0,"",INDEX(ROTACAO_RDM!$I$6:$I$71,$J1586))</f>
        <v>46569</v>
      </c>
      <c r="N1586" s="16" t="n">
        <f aca="false">IF($J1586=0,0,MAX(0,$C1586+INT(DIAS_POR_SEMANA/2)-INDEX(ROTACAO_RDM!$I$6:$I$71,$J1586)))</f>
        <v>133</v>
      </c>
      <c r="O1586" s="19" t="n">
        <f aca="false">IF($J1586=0,0,MIN(1,$N1586/MAX(1,INDEX(ROTACAO_RDM!$K$6:$K$71,$J1586))))</f>
        <v>0.83125</v>
      </c>
      <c r="P1586" s="16" t="n">
        <f aca="false">IF($J1586=0,0,IFERROR(MATCH(INDEX(ROTACAO_RDM!$N$6:$N$71,$J1586),PARAMETROS_CULTURAS!$B$6:$B$28,0),0))</f>
        <v>8</v>
      </c>
      <c r="Q1586" s="8" t="str">
        <f aca="false">IF($P1586=0,"-",IF($O1586&lt;=INDEX(PARAMETROS_CULTURAS!$F$6:$F$28,$P1586),"INICIAL",IF($O1586&lt;=INDEX(PARAMETROS_CULTURAS!$F$6:$F$28,$P1586)+INDEX(PARAMETROS_CULTURAS!$G$6:$G$28,$P1586),"DESENVOLVIMENTO",IF($O1586&lt;=INDEX(PARAMETROS_CULTURAS!$F$6:$F$28,$P1586)+INDEX(PARAMETROS_CULTURAS!$G$6:$G$28,$P1586)+INDEX(PARAMETROS_CULTURAS!$H$6:$H$28,$P1586),"MEDIA","FINAL"))))</f>
        <v>FINAL</v>
      </c>
      <c r="R1586" s="24" t="n">
        <f aca="false">IF($P1586=0,0,IF($O1586&lt;=INDEX(PARAMETROS_CULTURAS!$F$6:$F$28,$P1586),INDEX(PARAMETROS_CULTURAS!$K$6:$K$28,$P1586),IF($O1586&lt;=INDEX(PARAMETROS_CULTURAS!$F$6:$F$28,$P1586)+INDEX(PARAMETROS_CULTURAS!$G$6:$G$28,$P1586),INDEX(PARAMETROS_CULTURAS!$K$6:$K$28,$P1586)+(INDEX(PARAMETROS_CULTURAS!$L$6:$L$28,$P1586)-INDEX(PARAMETROS_CULTURAS!$K$6:$K$28,$P1586))*($O1586-INDEX(PARAMETROS_CULTURAS!$F$6:$F$28,$P1586))/MAX(INDEX(PARAMETROS_CULTURAS!$G$6:$G$28,$P1586),0.0001),IF($O1586&lt;=INDEX(PARAMETROS_CULTURAS!$F$6:$F$28,$P1586)+INDEX(PARAMETROS_CULTURAS!$G$6:$G$28,$P1586)+INDEX(PARAMETROS_CULTURAS!$H$6:$H$28,$P1586),INDEX(PARAMETROS_CULTURAS!$L$6:$L$28,$P1586),INDEX(PARAMETROS_CULTURAS!$L$6:$L$28,$P1586)+(INDEX(PARAMETROS_CULTURAS!$M$6:$M$28,$P1586)-INDEX(PARAMETROS_CULTURAS!$L$6:$L$28,$P1586))*($O1586-INDEX(PARAMETROS_CULTURAS!$F$6:$F$28,$P1586)-INDEX(PARAMETROS_CULTURAS!$G$6:$G$28,$P1586)-INDEX(PARAMETROS_CULTURAS!$H$6:$H$28,$P1586))/MAX(INDEX(PARAMETROS_CULTURAS!$I$6:$I$28,$P1586),0.0001)))))</f>
        <v>1.005</v>
      </c>
      <c r="S1586" s="18" t="n">
        <f aca="false">IFERROR(INDEX(SEMANAS!$H$6:$H$71,MATCH($B1586,SEMANAS!$B$6:$B$71,0)),0)</f>
        <v>34.3</v>
      </c>
      <c r="T1586" s="18" t="n">
        <f aca="false">$R1586*$S1586</f>
        <v>34.4715</v>
      </c>
      <c r="U1586" s="18" t="n">
        <f aca="false">IFERROR(INDEX(SEMANAS!$I$6:$I$71,MATCH($B1586,SEMANAS!$B$6:$B$71,0)),0)</f>
        <v>46.69</v>
      </c>
      <c r="V1586" s="18" t="n">
        <f aca="false">IFERROR(INDEX(SEMANAS!$J$6:$J$71,MATCH($B1586,SEMANAS!$B$6:$B$71,0)),0)</f>
        <v>37.352</v>
      </c>
      <c r="W1586" s="18" t="n">
        <f aca="false">MAX(0,$T1586-$V1586)</f>
        <v>0</v>
      </c>
      <c r="X1586" s="19" t="n">
        <f aca="false">IFERROR(INDEX(CADASTRO_PIVOS!$K$6:$K$41,MATCH($E1586,CADASTRO_PIVOS!$B$6:$B$41,0)),EFICIENCIA_PADRAO)</f>
        <v>0.85</v>
      </c>
      <c r="Y1586" s="18" t="n">
        <f aca="false">IF($X1586&lt;=0,0,$W1586/$X1586)</f>
        <v>0</v>
      </c>
      <c r="Z1586" s="16" t="n">
        <f aca="false">$Y1586*$H1586*MM_PARA_M3_HA</f>
        <v>0</v>
      </c>
      <c r="AA1586" s="18" t="n">
        <f aca="false">IFERROR(INDEX(CADASTRO_PIVOS!$I$6:$I$41,MATCH($E1586,CADASTRO_PIVOS!$B$6:$B$41,0)),0)</f>
        <v>971.133333333333</v>
      </c>
      <c r="AB1586" s="18" t="n">
        <f aca="false">IF($Z1586&lt;=0,0,$Z1586/$AA1586)</f>
        <v>0</v>
      </c>
      <c r="AC1586" s="16" t="n">
        <f aca="false">IFERROR(INDEX(SEMANAS!$K$6:$K$71,MATCH($B1586,SEMANAS!$B$6:$B$71,0)),0)</f>
        <v>147</v>
      </c>
      <c r="AD1586" s="19" t="n">
        <f aca="false">IF($AC1586&lt;=0,0,$AB1586/$AC1586)</f>
        <v>0</v>
      </c>
      <c r="AE1586" s="8" t="str">
        <f aca="false">IF($K1586="SEM CULTURA","SEM CULTURA",IF($AA1586&lt;=0,"DADO PENDENTE",IF($AD1586&gt;LIMITE_CRITICO,"INVIAVEL",IF($AD1586&gt;LIMITE_ATENCAO,"CRITICO",IF($AD1586&gt;LIMITE_CONFORTAVEL,"ATENCAO","OK")))))</f>
        <v>OK</v>
      </c>
      <c r="AF1586" s="8" t="str">
        <f aca="false">$B1586&amp;"|"&amp;TEXT($AD1586,"0.000000")</f>
        <v>63|0.000000</v>
      </c>
      <c r="AG1586" s="18" t="n">
        <f aca="false">IF($K1586="SEM CULTURA",0,$T1586*$H1586)</f>
        <v>5021.463405</v>
      </c>
      <c r="AH1586" s="18" t="n">
        <f aca="false">IF($K1586="SEM CULTURA",0,$V1586*$H1586)</f>
        <v>5441.06584</v>
      </c>
      <c r="AI1586" s="18" t="n">
        <f aca="false">IF($K1586="SEM CULTURA",0,$W1586*$H1586)</f>
        <v>0</v>
      </c>
      <c r="AJ1586" s="18" t="n">
        <f aca="false">IF($K1586="SEM CULTURA",0,$S1586*$H1586)</f>
        <v>4996.481</v>
      </c>
      <c r="AK1586" s="8" t="str">
        <f aca="false">$E1586&amp;"|"&amp;TEXT($AD1586,"0.000000")</f>
        <v>PV 120|0.000000</v>
      </c>
    </row>
    <row r="1587" customFormat="false" ht="15" hidden="false" customHeight="false" outlineLevel="0" collapsed="false">
      <c r="B1587" s="16" t="n">
        <v>64</v>
      </c>
      <c r="C1587" s="17" t="n">
        <f aca="false">DATA_INICIO_SAFRA+($B1587-1)*DIAS_POR_SEMANA</f>
        <v>46706</v>
      </c>
      <c r="D1587" s="17" t="n">
        <f aca="false">$C1587+DIAS_POR_SEMANA-1</f>
        <v>46712</v>
      </c>
      <c r="E1587" s="15" t="s">
        <v>282</v>
      </c>
      <c r="F1587" s="8" t="str">
        <f aca="false">IFERROR(INDEX(CADASTRO_PIVOS!$C$6:$C$41,MATCH($E1587,CADASTRO_PIVOS!$B$6:$B$41,0)),"?")</f>
        <v>RM07</v>
      </c>
      <c r="G1587" s="8" t="str">
        <f aca="false">IFERROR(INDEX(CADASTRO_PIVOS!$D$6:$D$41,MATCH($E1587,CADASTRO_PIVOS!$B$6:$B$41,0)),"?")</f>
        <v>TR07</v>
      </c>
      <c r="H1587" s="20" t="n">
        <f aca="false">IFERROR(INDEX(CADASTRO_PIVOS!$E$6:$E$41,MATCH($E1587,CADASTRO_PIVOS!$B$6:$B$41,0)),0)</f>
        <v>145.67</v>
      </c>
      <c r="I1587" s="16" t="n">
        <f aca="false">IFERROR(SUMIFS(ROTACAO_RDM!$B$6:$B$71,ROTACAO_RDM!$D$6:$D$71,$E1587,ROTACAO_RDM!$I$6:$I$71,"&lt;="&amp;$C1587+INT(DIAS_POR_SEMANA/2),ROTACAO_RDM!$J$6:$J$71,"&gt;="&amp;$C1587+INT(DIAS_POR_SEMANA/2)),0)</f>
        <v>35</v>
      </c>
      <c r="J1587" s="16" t="n">
        <f aca="false">IFERROR(MATCH($I1587,ROTACAO_RDM!$B$6:$B$71,0),0)</f>
        <v>35</v>
      </c>
      <c r="K1587" s="8" t="str">
        <f aca="false">IF($J1587=0,"SEM CULTURA",INDEX(ROTACAO_RDM!$F$6:$F$71,$J1587))</f>
        <v>MILHO_GRAO</v>
      </c>
      <c r="L1587" s="8" t="n">
        <f aca="false">IF($J1587=0,"",INDEX(ROTACAO_RDM!$G$6:$G$71,$J1587))</f>
        <v>0</v>
      </c>
      <c r="M1587" s="17" t="n">
        <f aca="false">IF($J1587=0,"",INDEX(ROTACAO_RDM!$I$6:$I$71,$J1587))</f>
        <v>46569</v>
      </c>
      <c r="N1587" s="16" t="n">
        <f aca="false">IF($J1587=0,0,MAX(0,$C1587+INT(DIAS_POR_SEMANA/2)-INDEX(ROTACAO_RDM!$I$6:$I$71,$J1587)))</f>
        <v>140</v>
      </c>
      <c r="O1587" s="19" t="n">
        <f aca="false">IF($J1587=0,0,MIN(1,$N1587/MAX(1,INDEX(ROTACAO_RDM!$K$6:$K$71,$J1587))))</f>
        <v>0.875</v>
      </c>
      <c r="P1587" s="16" t="n">
        <f aca="false">IF($J1587=0,0,IFERROR(MATCH(INDEX(ROTACAO_RDM!$N$6:$N$71,$J1587),PARAMETROS_CULTURAS!$B$6:$B$28,0),0))</f>
        <v>8</v>
      </c>
      <c r="Q1587" s="8" t="str">
        <f aca="false">IF($P1587=0,"-",IF($O1587&lt;=INDEX(PARAMETROS_CULTURAS!$F$6:$F$28,$P1587),"INICIAL",IF($O1587&lt;=INDEX(PARAMETROS_CULTURAS!$F$6:$F$28,$P1587)+INDEX(PARAMETROS_CULTURAS!$G$6:$G$28,$P1587),"DESENVOLVIMENTO",IF($O1587&lt;=INDEX(PARAMETROS_CULTURAS!$F$6:$F$28,$P1587)+INDEX(PARAMETROS_CULTURAS!$G$6:$G$28,$P1587)+INDEX(PARAMETROS_CULTURAS!$H$6:$H$28,$P1587),"MEDIA","FINAL"))))</f>
        <v>FINAL</v>
      </c>
      <c r="R1587" s="24" t="n">
        <f aca="false">IF($P1587=0,0,IF($O1587&lt;=INDEX(PARAMETROS_CULTURAS!$F$6:$F$28,$P1587),INDEX(PARAMETROS_CULTURAS!$K$6:$K$28,$P1587),IF($O1587&lt;=INDEX(PARAMETROS_CULTURAS!$F$6:$F$28,$P1587)+INDEX(PARAMETROS_CULTURAS!$G$6:$G$28,$P1587),INDEX(PARAMETROS_CULTURAS!$K$6:$K$28,$P1587)+(INDEX(PARAMETROS_CULTURAS!$L$6:$L$28,$P1587)-INDEX(PARAMETROS_CULTURAS!$K$6:$K$28,$P1587))*($O1587-INDEX(PARAMETROS_CULTURAS!$F$6:$F$28,$P1587))/MAX(INDEX(PARAMETROS_CULTURAS!$G$6:$G$28,$P1587),0.0001),IF($O1587&lt;=INDEX(PARAMETROS_CULTURAS!$F$6:$F$28,$P1587)+INDEX(PARAMETROS_CULTURAS!$G$6:$G$28,$P1587)+INDEX(PARAMETROS_CULTURAS!$H$6:$H$28,$P1587),INDEX(PARAMETROS_CULTURAS!$L$6:$L$28,$P1587),INDEX(PARAMETROS_CULTURAS!$L$6:$L$28,$P1587)+(INDEX(PARAMETROS_CULTURAS!$M$6:$M$28,$P1587)-INDEX(PARAMETROS_CULTURAS!$L$6:$L$28,$P1587))*($O1587-INDEX(PARAMETROS_CULTURAS!$F$6:$F$28,$P1587)-INDEX(PARAMETROS_CULTURAS!$G$6:$G$28,$P1587)-INDEX(PARAMETROS_CULTURAS!$H$6:$H$28,$P1587))/MAX(INDEX(PARAMETROS_CULTURAS!$I$6:$I$28,$P1587),0.0001)))))</f>
        <v>0.9</v>
      </c>
      <c r="S1587" s="18" t="n">
        <f aca="false">IFERROR(INDEX(SEMANAS!$H$6:$H$71,MATCH($B1587,SEMANAS!$B$6:$B$71,0)),0)</f>
        <v>34.3</v>
      </c>
      <c r="T1587" s="18" t="n">
        <f aca="false">$R1587*$S1587</f>
        <v>30.87</v>
      </c>
      <c r="U1587" s="18" t="n">
        <f aca="false">IFERROR(INDEX(SEMANAS!$I$6:$I$71,MATCH($B1587,SEMANAS!$B$6:$B$71,0)),0)</f>
        <v>46.69</v>
      </c>
      <c r="V1587" s="18" t="n">
        <f aca="false">IFERROR(INDEX(SEMANAS!$J$6:$J$71,MATCH($B1587,SEMANAS!$B$6:$B$71,0)),0)</f>
        <v>37.352</v>
      </c>
      <c r="W1587" s="18" t="n">
        <f aca="false">MAX(0,$T1587-$V1587)</f>
        <v>0</v>
      </c>
      <c r="X1587" s="19" t="n">
        <f aca="false">IFERROR(INDEX(CADASTRO_PIVOS!$K$6:$K$41,MATCH($E1587,CADASTRO_PIVOS!$B$6:$B$41,0)),EFICIENCIA_PADRAO)</f>
        <v>0.85</v>
      </c>
      <c r="Y1587" s="18" t="n">
        <f aca="false">IF($X1587&lt;=0,0,$W1587/$X1587)</f>
        <v>0</v>
      </c>
      <c r="Z1587" s="16" t="n">
        <f aca="false">$Y1587*$H1587*MM_PARA_M3_HA</f>
        <v>0</v>
      </c>
      <c r="AA1587" s="18" t="n">
        <f aca="false">IFERROR(INDEX(CADASTRO_PIVOS!$I$6:$I$41,MATCH($E1587,CADASTRO_PIVOS!$B$6:$B$41,0)),0)</f>
        <v>971.133333333333</v>
      </c>
      <c r="AB1587" s="18" t="n">
        <f aca="false">IF($Z1587&lt;=0,0,$Z1587/$AA1587)</f>
        <v>0</v>
      </c>
      <c r="AC1587" s="16" t="n">
        <f aca="false">IFERROR(INDEX(SEMANAS!$K$6:$K$71,MATCH($B1587,SEMANAS!$B$6:$B$71,0)),0)</f>
        <v>147</v>
      </c>
      <c r="AD1587" s="19" t="n">
        <f aca="false">IF($AC1587&lt;=0,0,$AB1587/$AC1587)</f>
        <v>0</v>
      </c>
      <c r="AE1587" s="8" t="str">
        <f aca="false">IF($K1587="SEM CULTURA","SEM CULTURA",IF($AA1587&lt;=0,"DADO PENDENTE",IF($AD1587&gt;LIMITE_CRITICO,"INVIAVEL",IF($AD1587&gt;LIMITE_ATENCAO,"CRITICO",IF($AD1587&gt;LIMITE_CONFORTAVEL,"ATENCAO","OK")))))</f>
        <v>OK</v>
      </c>
      <c r="AF1587" s="8" t="str">
        <f aca="false">$B1587&amp;"|"&amp;TEXT($AD1587,"0.000000")</f>
        <v>64|0.000000</v>
      </c>
      <c r="AG1587" s="18" t="n">
        <f aca="false">IF($K1587="SEM CULTURA",0,$T1587*$H1587)</f>
        <v>4496.8329</v>
      </c>
      <c r="AH1587" s="18" t="n">
        <f aca="false">IF($K1587="SEM CULTURA",0,$V1587*$H1587)</f>
        <v>5441.06584</v>
      </c>
      <c r="AI1587" s="18" t="n">
        <f aca="false">IF($K1587="SEM CULTURA",0,$W1587*$H1587)</f>
        <v>0</v>
      </c>
      <c r="AJ1587" s="18" t="n">
        <f aca="false">IF($K1587="SEM CULTURA",0,$S1587*$H1587)</f>
        <v>4996.481</v>
      </c>
      <c r="AK1587" s="8" t="str">
        <f aca="false">$E1587&amp;"|"&amp;TEXT($AD1587,"0.000000")</f>
        <v>PV 120|0.000000</v>
      </c>
    </row>
    <row r="1588" customFormat="false" ht="15" hidden="false" customHeight="false" outlineLevel="0" collapsed="false">
      <c r="B1588" s="16" t="n">
        <v>65</v>
      </c>
      <c r="C1588" s="17" t="n">
        <f aca="false">DATA_INICIO_SAFRA+($B1588-1)*DIAS_POR_SEMANA</f>
        <v>46713</v>
      </c>
      <c r="D1588" s="17" t="n">
        <f aca="false">$C1588+DIAS_POR_SEMANA-1</f>
        <v>46719</v>
      </c>
      <c r="E1588" s="15" t="s">
        <v>282</v>
      </c>
      <c r="F1588" s="8" t="str">
        <f aca="false">IFERROR(INDEX(CADASTRO_PIVOS!$C$6:$C$41,MATCH($E1588,CADASTRO_PIVOS!$B$6:$B$41,0)),"?")</f>
        <v>RM07</v>
      </c>
      <c r="G1588" s="8" t="str">
        <f aca="false">IFERROR(INDEX(CADASTRO_PIVOS!$D$6:$D$41,MATCH($E1588,CADASTRO_PIVOS!$B$6:$B$41,0)),"?")</f>
        <v>TR07</v>
      </c>
      <c r="H1588" s="20" t="n">
        <f aca="false">IFERROR(INDEX(CADASTRO_PIVOS!$E$6:$E$41,MATCH($E1588,CADASTRO_PIVOS!$B$6:$B$41,0)),0)</f>
        <v>145.67</v>
      </c>
      <c r="I1588" s="16" t="n">
        <f aca="false">IFERROR(SUMIFS(ROTACAO_RDM!$B$6:$B$71,ROTACAO_RDM!$D$6:$D$71,$E1588,ROTACAO_RDM!$I$6:$I$71,"&lt;="&amp;$C1588+INT(DIAS_POR_SEMANA/2),ROTACAO_RDM!$J$6:$J$71,"&gt;="&amp;$C1588+INT(DIAS_POR_SEMANA/2)),0)</f>
        <v>35</v>
      </c>
      <c r="J1588" s="16" t="n">
        <f aca="false">IFERROR(MATCH($I1588,ROTACAO_RDM!$B$6:$B$71,0),0)</f>
        <v>35</v>
      </c>
      <c r="K1588" s="8" t="str">
        <f aca="false">IF($J1588=0,"SEM CULTURA",INDEX(ROTACAO_RDM!$F$6:$F$71,$J1588))</f>
        <v>MILHO_GRAO</v>
      </c>
      <c r="L1588" s="8" t="n">
        <f aca="false">IF($J1588=0,"",INDEX(ROTACAO_RDM!$G$6:$G$71,$J1588))</f>
        <v>0</v>
      </c>
      <c r="M1588" s="17" t="n">
        <f aca="false">IF($J1588=0,"",INDEX(ROTACAO_RDM!$I$6:$I$71,$J1588))</f>
        <v>46569</v>
      </c>
      <c r="N1588" s="16" t="n">
        <f aca="false">IF($J1588=0,0,MAX(0,$C1588+INT(DIAS_POR_SEMANA/2)-INDEX(ROTACAO_RDM!$I$6:$I$71,$J1588)))</f>
        <v>147</v>
      </c>
      <c r="O1588" s="19" t="n">
        <f aca="false">IF($J1588=0,0,MIN(1,$N1588/MAX(1,INDEX(ROTACAO_RDM!$K$6:$K$71,$J1588))))</f>
        <v>0.91875</v>
      </c>
      <c r="P1588" s="16" t="n">
        <f aca="false">IF($J1588=0,0,IFERROR(MATCH(INDEX(ROTACAO_RDM!$N$6:$N$71,$J1588),PARAMETROS_CULTURAS!$B$6:$B$28,0),0))</f>
        <v>8</v>
      </c>
      <c r="Q1588" s="8" t="str">
        <f aca="false">IF($P1588=0,"-",IF($O1588&lt;=INDEX(PARAMETROS_CULTURAS!$F$6:$F$28,$P1588),"INICIAL",IF($O1588&lt;=INDEX(PARAMETROS_CULTURAS!$F$6:$F$28,$P1588)+INDEX(PARAMETROS_CULTURAS!$G$6:$G$28,$P1588),"DESENVOLVIMENTO",IF($O1588&lt;=INDEX(PARAMETROS_CULTURAS!$F$6:$F$28,$P1588)+INDEX(PARAMETROS_CULTURAS!$G$6:$G$28,$P1588)+INDEX(PARAMETROS_CULTURAS!$H$6:$H$28,$P1588),"MEDIA","FINAL"))))</f>
        <v>FINAL</v>
      </c>
      <c r="R1588" s="24" t="n">
        <f aca="false">IF($P1588=0,0,IF($O1588&lt;=INDEX(PARAMETROS_CULTURAS!$F$6:$F$28,$P1588),INDEX(PARAMETROS_CULTURAS!$K$6:$K$28,$P1588),IF($O1588&lt;=INDEX(PARAMETROS_CULTURAS!$F$6:$F$28,$P1588)+INDEX(PARAMETROS_CULTURAS!$G$6:$G$28,$P1588),INDEX(PARAMETROS_CULTURAS!$K$6:$K$28,$P1588)+(INDEX(PARAMETROS_CULTURAS!$L$6:$L$28,$P1588)-INDEX(PARAMETROS_CULTURAS!$K$6:$K$28,$P1588))*($O1588-INDEX(PARAMETROS_CULTURAS!$F$6:$F$28,$P1588))/MAX(INDEX(PARAMETROS_CULTURAS!$G$6:$G$28,$P1588),0.0001),IF($O1588&lt;=INDEX(PARAMETROS_CULTURAS!$F$6:$F$28,$P1588)+INDEX(PARAMETROS_CULTURAS!$G$6:$G$28,$P1588)+INDEX(PARAMETROS_CULTURAS!$H$6:$H$28,$P1588),INDEX(PARAMETROS_CULTURAS!$L$6:$L$28,$P1588),INDEX(PARAMETROS_CULTURAS!$L$6:$L$28,$P1588)+(INDEX(PARAMETROS_CULTURAS!$M$6:$M$28,$P1588)-INDEX(PARAMETROS_CULTURAS!$L$6:$L$28,$P1588))*($O1588-INDEX(PARAMETROS_CULTURAS!$F$6:$F$28,$P1588)-INDEX(PARAMETROS_CULTURAS!$G$6:$G$28,$P1588)-INDEX(PARAMETROS_CULTURAS!$H$6:$H$28,$P1588))/MAX(INDEX(PARAMETROS_CULTURAS!$I$6:$I$28,$P1588),0.0001)))))</f>
        <v>0.795</v>
      </c>
      <c r="S1588" s="18" t="n">
        <f aca="false">IFERROR(INDEX(SEMANAS!$H$6:$H$71,MATCH($B1588,SEMANAS!$B$6:$B$71,0)),0)</f>
        <v>34.3</v>
      </c>
      <c r="T1588" s="18" t="n">
        <f aca="false">$R1588*$S1588</f>
        <v>27.2685</v>
      </c>
      <c r="U1588" s="18" t="n">
        <f aca="false">IFERROR(INDEX(SEMANAS!$I$6:$I$71,MATCH($B1588,SEMANAS!$B$6:$B$71,0)),0)</f>
        <v>46.69</v>
      </c>
      <c r="V1588" s="18" t="n">
        <f aca="false">IFERROR(INDEX(SEMANAS!$J$6:$J$71,MATCH($B1588,SEMANAS!$B$6:$B$71,0)),0)</f>
        <v>37.352</v>
      </c>
      <c r="W1588" s="18" t="n">
        <f aca="false">MAX(0,$T1588-$V1588)</f>
        <v>0</v>
      </c>
      <c r="X1588" s="19" t="n">
        <f aca="false">IFERROR(INDEX(CADASTRO_PIVOS!$K$6:$K$41,MATCH($E1588,CADASTRO_PIVOS!$B$6:$B$41,0)),EFICIENCIA_PADRAO)</f>
        <v>0.85</v>
      </c>
      <c r="Y1588" s="18" t="n">
        <f aca="false">IF($X1588&lt;=0,0,$W1588/$X1588)</f>
        <v>0</v>
      </c>
      <c r="Z1588" s="16" t="n">
        <f aca="false">$Y1588*$H1588*MM_PARA_M3_HA</f>
        <v>0</v>
      </c>
      <c r="AA1588" s="18" t="n">
        <f aca="false">IFERROR(INDEX(CADASTRO_PIVOS!$I$6:$I$41,MATCH($E1588,CADASTRO_PIVOS!$B$6:$B$41,0)),0)</f>
        <v>971.133333333333</v>
      </c>
      <c r="AB1588" s="18" t="n">
        <f aca="false">IF($Z1588&lt;=0,0,$Z1588/$AA1588)</f>
        <v>0</v>
      </c>
      <c r="AC1588" s="16" t="n">
        <f aca="false">IFERROR(INDEX(SEMANAS!$K$6:$K$71,MATCH($B1588,SEMANAS!$B$6:$B$71,0)),0)</f>
        <v>147</v>
      </c>
      <c r="AD1588" s="19" t="n">
        <f aca="false">IF($AC1588&lt;=0,0,$AB1588/$AC1588)</f>
        <v>0</v>
      </c>
      <c r="AE1588" s="8" t="str">
        <f aca="false">IF($K1588="SEM CULTURA","SEM CULTURA",IF($AA1588&lt;=0,"DADO PENDENTE",IF($AD1588&gt;LIMITE_CRITICO,"INVIAVEL",IF($AD1588&gt;LIMITE_ATENCAO,"CRITICO",IF($AD1588&gt;LIMITE_CONFORTAVEL,"ATENCAO","OK")))))</f>
        <v>OK</v>
      </c>
      <c r="AF1588" s="8" t="str">
        <f aca="false">$B1588&amp;"|"&amp;TEXT($AD1588,"0.000000")</f>
        <v>65|0.000000</v>
      </c>
      <c r="AG1588" s="18" t="n">
        <f aca="false">IF($K1588="SEM CULTURA",0,$T1588*$H1588)</f>
        <v>3972.202395</v>
      </c>
      <c r="AH1588" s="18" t="n">
        <f aca="false">IF($K1588="SEM CULTURA",0,$V1588*$H1588)</f>
        <v>5441.06584</v>
      </c>
      <c r="AI1588" s="18" t="n">
        <f aca="false">IF($K1588="SEM CULTURA",0,$W1588*$H1588)</f>
        <v>0</v>
      </c>
      <c r="AJ1588" s="18" t="n">
        <f aca="false">IF($K1588="SEM CULTURA",0,$S1588*$H1588)</f>
        <v>4996.481</v>
      </c>
      <c r="AK1588" s="8" t="str">
        <f aca="false">$E1588&amp;"|"&amp;TEXT($AD1588,"0.000000")</f>
        <v>PV 120|0.000000</v>
      </c>
    </row>
    <row r="1589" customFormat="false" ht="15" hidden="false" customHeight="false" outlineLevel="0" collapsed="false">
      <c r="B1589" s="16" t="n">
        <v>66</v>
      </c>
      <c r="C1589" s="17" t="n">
        <f aca="false">DATA_INICIO_SAFRA+($B1589-1)*DIAS_POR_SEMANA</f>
        <v>46720</v>
      </c>
      <c r="D1589" s="17" t="n">
        <f aca="false">$C1589+DIAS_POR_SEMANA-1</f>
        <v>46726</v>
      </c>
      <c r="E1589" s="15" t="s">
        <v>282</v>
      </c>
      <c r="F1589" s="8" t="str">
        <f aca="false">IFERROR(INDEX(CADASTRO_PIVOS!$C$6:$C$41,MATCH($E1589,CADASTRO_PIVOS!$B$6:$B$41,0)),"?")</f>
        <v>RM07</v>
      </c>
      <c r="G1589" s="8" t="str">
        <f aca="false">IFERROR(INDEX(CADASTRO_PIVOS!$D$6:$D$41,MATCH($E1589,CADASTRO_PIVOS!$B$6:$B$41,0)),"?")</f>
        <v>TR07</v>
      </c>
      <c r="H1589" s="20" t="n">
        <f aca="false">IFERROR(INDEX(CADASTRO_PIVOS!$E$6:$E$41,MATCH($E1589,CADASTRO_PIVOS!$B$6:$B$41,0)),0)</f>
        <v>145.67</v>
      </c>
      <c r="I1589" s="16" t="n">
        <f aca="false">IFERROR(SUMIFS(ROTACAO_RDM!$B$6:$B$71,ROTACAO_RDM!$D$6:$D$71,$E1589,ROTACAO_RDM!$I$6:$I$71,"&lt;="&amp;$C1589+INT(DIAS_POR_SEMANA/2),ROTACAO_RDM!$J$6:$J$71,"&gt;="&amp;$C1589+INT(DIAS_POR_SEMANA/2)),0)</f>
        <v>35</v>
      </c>
      <c r="J1589" s="16" t="n">
        <f aca="false">IFERROR(MATCH($I1589,ROTACAO_RDM!$B$6:$B$71,0),0)</f>
        <v>35</v>
      </c>
      <c r="K1589" s="8" t="str">
        <f aca="false">IF($J1589=0,"SEM CULTURA",INDEX(ROTACAO_RDM!$F$6:$F$71,$J1589))</f>
        <v>MILHO_GRAO</v>
      </c>
      <c r="L1589" s="8" t="n">
        <f aca="false">IF($J1589=0,"",INDEX(ROTACAO_RDM!$G$6:$G$71,$J1589))</f>
        <v>0</v>
      </c>
      <c r="M1589" s="17" t="n">
        <f aca="false">IF($J1589=0,"",INDEX(ROTACAO_RDM!$I$6:$I$71,$J1589))</f>
        <v>46569</v>
      </c>
      <c r="N1589" s="16" t="n">
        <f aca="false">IF($J1589=0,0,MAX(0,$C1589+INT(DIAS_POR_SEMANA/2)-INDEX(ROTACAO_RDM!$I$6:$I$71,$J1589)))</f>
        <v>154</v>
      </c>
      <c r="O1589" s="19" t="n">
        <f aca="false">IF($J1589=0,0,MIN(1,$N1589/MAX(1,INDEX(ROTACAO_RDM!$K$6:$K$71,$J1589))))</f>
        <v>0.9625</v>
      </c>
      <c r="P1589" s="16" t="n">
        <f aca="false">IF($J1589=0,0,IFERROR(MATCH(INDEX(ROTACAO_RDM!$N$6:$N$71,$J1589),PARAMETROS_CULTURAS!$B$6:$B$28,0),0))</f>
        <v>8</v>
      </c>
      <c r="Q1589" s="8" t="str">
        <f aca="false">IF($P1589=0,"-",IF($O1589&lt;=INDEX(PARAMETROS_CULTURAS!$F$6:$F$28,$P1589),"INICIAL",IF($O1589&lt;=INDEX(PARAMETROS_CULTURAS!$F$6:$F$28,$P1589)+INDEX(PARAMETROS_CULTURAS!$G$6:$G$28,$P1589),"DESENVOLVIMENTO",IF($O1589&lt;=INDEX(PARAMETROS_CULTURAS!$F$6:$F$28,$P1589)+INDEX(PARAMETROS_CULTURAS!$G$6:$G$28,$P1589)+INDEX(PARAMETROS_CULTURAS!$H$6:$H$28,$P1589),"MEDIA","FINAL"))))</f>
        <v>FINAL</v>
      </c>
      <c r="R1589" s="24" t="n">
        <f aca="false">IF($P1589=0,0,IF($O1589&lt;=INDEX(PARAMETROS_CULTURAS!$F$6:$F$28,$P1589),INDEX(PARAMETROS_CULTURAS!$K$6:$K$28,$P1589),IF($O1589&lt;=INDEX(PARAMETROS_CULTURAS!$F$6:$F$28,$P1589)+INDEX(PARAMETROS_CULTURAS!$G$6:$G$28,$P1589),INDEX(PARAMETROS_CULTURAS!$K$6:$K$28,$P1589)+(INDEX(PARAMETROS_CULTURAS!$L$6:$L$28,$P1589)-INDEX(PARAMETROS_CULTURAS!$K$6:$K$28,$P1589))*($O1589-INDEX(PARAMETROS_CULTURAS!$F$6:$F$28,$P1589))/MAX(INDEX(PARAMETROS_CULTURAS!$G$6:$G$28,$P1589),0.0001),IF($O1589&lt;=INDEX(PARAMETROS_CULTURAS!$F$6:$F$28,$P1589)+INDEX(PARAMETROS_CULTURAS!$G$6:$G$28,$P1589)+INDEX(PARAMETROS_CULTURAS!$H$6:$H$28,$P1589),INDEX(PARAMETROS_CULTURAS!$L$6:$L$28,$P1589),INDEX(PARAMETROS_CULTURAS!$L$6:$L$28,$P1589)+(INDEX(PARAMETROS_CULTURAS!$M$6:$M$28,$P1589)-INDEX(PARAMETROS_CULTURAS!$L$6:$L$28,$P1589))*($O1589-INDEX(PARAMETROS_CULTURAS!$F$6:$F$28,$P1589)-INDEX(PARAMETROS_CULTURAS!$G$6:$G$28,$P1589)-INDEX(PARAMETROS_CULTURAS!$H$6:$H$28,$P1589))/MAX(INDEX(PARAMETROS_CULTURAS!$I$6:$I$28,$P1589),0.0001)))))</f>
        <v>0.69</v>
      </c>
      <c r="S1589" s="18" t="n">
        <f aca="false">IFERROR(INDEX(SEMANAS!$H$6:$H$71,MATCH($B1589,SEMANAS!$B$6:$B$71,0)),0)</f>
        <v>33.3</v>
      </c>
      <c r="T1589" s="18" t="n">
        <f aca="false">$R1589*$S1589</f>
        <v>22.977</v>
      </c>
      <c r="U1589" s="18" t="n">
        <f aca="false">IFERROR(INDEX(SEMANAS!$I$6:$I$71,MATCH($B1589,SEMANAS!$B$6:$B$71,0)),0)</f>
        <v>48.04</v>
      </c>
      <c r="V1589" s="18" t="n">
        <f aca="false">IFERROR(INDEX(SEMANAS!$J$6:$J$71,MATCH($B1589,SEMANAS!$B$6:$B$71,0)),0)</f>
        <v>38.432</v>
      </c>
      <c r="W1589" s="18" t="n">
        <f aca="false">MAX(0,$T1589-$V1589)</f>
        <v>0</v>
      </c>
      <c r="X1589" s="19" t="n">
        <f aca="false">IFERROR(INDEX(CADASTRO_PIVOS!$K$6:$K$41,MATCH($E1589,CADASTRO_PIVOS!$B$6:$B$41,0)),EFICIENCIA_PADRAO)</f>
        <v>0.85</v>
      </c>
      <c r="Y1589" s="18" t="n">
        <f aca="false">IF($X1589&lt;=0,0,$W1589/$X1589)</f>
        <v>0</v>
      </c>
      <c r="Z1589" s="16" t="n">
        <f aca="false">$Y1589*$H1589*MM_PARA_M3_HA</f>
        <v>0</v>
      </c>
      <c r="AA1589" s="18" t="n">
        <f aca="false">IFERROR(INDEX(CADASTRO_PIVOS!$I$6:$I$41,MATCH($E1589,CADASTRO_PIVOS!$B$6:$B$41,0)),0)</f>
        <v>971.133333333333</v>
      </c>
      <c r="AB1589" s="18" t="n">
        <f aca="false">IF($Z1589&lt;=0,0,$Z1589/$AA1589)</f>
        <v>0</v>
      </c>
      <c r="AC1589" s="16" t="n">
        <f aca="false">IFERROR(INDEX(SEMANAS!$K$6:$K$71,MATCH($B1589,SEMANAS!$B$6:$B$71,0)),0)</f>
        <v>147</v>
      </c>
      <c r="AD1589" s="19" t="n">
        <f aca="false">IF($AC1589&lt;=0,0,$AB1589/$AC1589)</f>
        <v>0</v>
      </c>
      <c r="AE1589" s="8" t="str">
        <f aca="false">IF($K1589="SEM CULTURA","SEM CULTURA",IF($AA1589&lt;=0,"DADO PENDENTE",IF($AD1589&gt;LIMITE_CRITICO,"INVIAVEL",IF($AD1589&gt;LIMITE_ATENCAO,"CRITICO",IF($AD1589&gt;LIMITE_CONFORTAVEL,"ATENCAO","OK")))))</f>
        <v>OK</v>
      </c>
      <c r="AF1589" s="8" t="str">
        <f aca="false">$B1589&amp;"|"&amp;TEXT($AD1589,"0.000000")</f>
        <v>66|0.000000</v>
      </c>
      <c r="AG1589" s="18" t="n">
        <f aca="false">IF($K1589="SEM CULTURA",0,$T1589*$H1589)</f>
        <v>3347.05959</v>
      </c>
      <c r="AH1589" s="18" t="n">
        <f aca="false">IF($K1589="SEM CULTURA",0,$V1589*$H1589)</f>
        <v>5598.38944</v>
      </c>
      <c r="AI1589" s="18" t="n">
        <f aca="false">IF($K1589="SEM CULTURA",0,$W1589*$H1589)</f>
        <v>0</v>
      </c>
      <c r="AJ1589" s="18" t="n">
        <f aca="false">IF($K1589="SEM CULTURA",0,$S1589*$H1589)</f>
        <v>4850.811</v>
      </c>
      <c r="AK1589" s="8" t="str">
        <f aca="false">$E1589&amp;"|"&amp;TEXT($AD1589,"0.000000")</f>
        <v>PV 120|0.000000</v>
      </c>
    </row>
    <row r="1590" customFormat="false" ht="15" hidden="false" customHeight="false" outlineLevel="0" collapsed="false">
      <c r="B1590" s="16" t="n">
        <v>1</v>
      </c>
      <c r="C1590" s="17" t="n">
        <f aca="false">DATA_INICIO_SAFRA+($B1590-1)*DIAS_POR_SEMANA</f>
        <v>46265</v>
      </c>
      <c r="D1590" s="17" t="n">
        <f aca="false">$C1590+DIAS_POR_SEMANA-1</f>
        <v>46271</v>
      </c>
      <c r="E1590" s="15" t="s">
        <v>283</v>
      </c>
      <c r="F1590" s="8" t="str">
        <f aca="false">IFERROR(INDEX(CADASTRO_PIVOS!$C$6:$C$41,MATCH($E1590,CADASTRO_PIVOS!$B$6:$B$41,0)),"?")</f>
        <v>RM07</v>
      </c>
      <c r="G1590" s="8" t="str">
        <f aca="false">IFERROR(INDEX(CADASTRO_PIVOS!$D$6:$D$41,MATCH($E1590,CADASTRO_PIVOS!$B$6:$B$41,0)),"?")</f>
        <v>TR07</v>
      </c>
      <c r="H1590" s="20" t="n">
        <f aca="false">IFERROR(INDEX(CADASTRO_PIVOS!$E$6:$E$41,MATCH($E1590,CADASTRO_PIVOS!$B$6:$B$41,0)),0)</f>
        <v>146.95</v>
      </c>
      <c r="I1590" s="16" t="n">
        <f aca="false">IFERROR(SUMIFS(ROTACAO_RDM!$B$6:$B$71,ROTACAO_RDM!$D$6:$D$71,$E1590,ROTACAO_RDM!$I$6:$I$71,"&lt;="&amp;$C1590+INT(DIAS_POR_SEMANA/2),ROTACAO_RDM!$J$6:$J$71,"&gt;="&amp;$C1590+INT(DIAS_POR_SEMANA/2)),0)</f>
        <v>0</v>
      </c>
      <c r="J1590" s="16" t="n">
        <f aca="false">IFERROR(MATCH($I1590,ROTACAO_RDM!$B$6:$B$71,0),0)</f>
        <v>0</v>
      </c>
      <c r="K1590" s="8" t="str">
        <f aca="false">IF($J1590=0,"SEM CULTURA",INDEX(ROTACAO_RDM!$F$6:$F$71,$J1590))</f>
        <v>SEM CULTURA</v>
      </c>
      <c r="L1590" s="8" t="str">
        <f aca="false">IF($J1590=0,"",INDEX(ROTACAO_RDM!$G$6:$G$71,$J1590))</f>
        <v/>
      </c>
      <c r="M1590" s="17" t="str">
        <f aca="false">IF($J1590=0,"",INDEX(ROTACAO_RDM!$I$6:$I$71,$J1590))</f>
        <v/>
      </c>
      <c r="N1590" s="16" t="n">
        <f aca="false">IF($J1590=0,0,MAX(0,$C1590+INT(DIAS_POR_SEMANA/2)-INDEX(ROTACAO_RDM!$I$6:$I$71,$J1590)))</f>
        <v>0</v>
      </c>
      <c r="O1590" s="19" t="n">
        <f aca="false">IF($J1590=0,0,MIN(1,$N1590/MAX(1,INDEX(ROTACAO_RDM!$K$6:$K$71,$J1590))))</f>
        <v>0</v>
      </c>
      <c r="P1590" s="16" t="n">
        <f aca="false">IF($J1590=0,0,IFERROR(MATCH(INDEX(ROTACAO_RDM!$N$6:$N$71,$J1590),PARAMETROS_CULTURAS!$B$6:$B$28,0),0))</f>
        <v>0</v>
      </c>
      <c r="Q1590" s="8" t="str">
        <f aca="false">IF($P1590=0,"-",IF($O1590&lt;=INDEX(PARAMETROS_CULTURAS!$F$6:$F$28,$P1590),"INICIAL",IF($O1590&lt;=INDEX(PARAMETROS_CULTURAS!$F$6:$F$28,$P1590)+INDEX(PARAMETROS_CULTURAS!$G$6:$G$28,$P1590),"DESENVOLVIMENTO",IF($O1590&lt;=INDEX(PARAMETROS_CULTURAS!$F$6:$F$28,$P1590)+INDEX(PARAMETROS_CULTURAS!$G$6:$G$28,$P1590)+INDEX(PARAMETROS_CULTURAS!$H$6:$H$28,$P1590),"MEDIA","FINAL"))))</f>
        <v>-</v>
      </c>
      <c r="R1590" s="24" t="n">
        <f aca="false">IF($P1590=0,0,IF($O1590&lt;=INDEX(PARAMETROS_CULTURAS!$F$6:$F$28,$P1590),INDEX(PARAMETROS_CULTURAS!$K$6:$K$28,$P1590),IF($O1590&lt;=INDEX(PARAMETROS_CULTURAS!$F$6:$F$28,$P1590)+INDEX(PARAMETROS_CULTURAS!$G$6:$G$28,$P1590),INDEX(PARAMETROS_CULTURAS!$K$6:$K$28,$P1590)+(INDEX(PARAMETROS_CULTURAS!$L$6:$L$28,$P1590)-INDEX(PARAMETROS_CULTURAS!$K$6:$K$28,$P1590))*($O1590-INDEX(PARAMETROS_CULTURAS!$F$6:$F$28,$P1590))/MAX(INDEX(PARAMETROS_CULTURAS!$G$6:$G$28,$P1590),0.0001),IF($O1590&lt;=INDEX(PARAMETROS_CULTURAS!$F$6:$F$28,$P1590)+INDEX(PARAMETROS_CULTURAS!$G$6:$G$28,$P1590)+INDEX(PARAMETROS_CULTURAS!$H$6:$H$28,$P1590),INDEX(PARAMETROS_CULTURAS!$L$6:$L$28,$P1590),INDEX(PARAMETROS_CULTURAS!$L$6:$L$28,$P1590)+(INDEX(PARAMETROS_CULTURAS!$M$6:$M$28,$P1590)-INDEX(PARAMETROS_CULTURAS!$L$6:$L$28,$P1590))*($O1590-INDEX(PARAMETROS_CULTURAS!$F$6:$F$28,$P1590)-INDEX(PARAMETROS_CULTURAS!$G$6:$G$28,$P1590)-INDEX(PARAMETROS_CULTURAS!$H$6:$H$28,$P1590))/MAX(INDEX(PARAMETROS_CULTURAS!$I$6:$I$28,$P1590),0.0001)))))</f>
        <v>0</v>
      </c>
      <c r="S1590" s="18" t="n">
        <f aca="false">IFERROR(INDEX(SEMANAS!$H$6:$H$71,MATCH($B1590,SEMANAS!$B$6:$B$71,0)),0)</f>
        <v>40</v>
      </c>
      <c r="T1590" s="18" t="n">
        <f aca="false">$R1590*$S1590</f>
        <v>0</v>
      </c>
      <c r="U1590" s="18" t="n">
        <f aca="false">IFERROR(INDEX(SEMANAS!$I$6:$I$71,MATCH($B1590,SEMANAS!$B$6:$B$71,0)),0)</f>
        <v>6.16</v>
      </c>
      <c r="V1590" s="18" t="n">
        <f aca="false">IFERROR(INDEX(SEMANAS!$J$6:$J$71,MATCH($B1590,SEMANAS!$B$6:$B$71,0)),0)</f>
        <v>4.928</v>
      </c>
      <c r="W1590" s="18" t="n">
        <f aca="false">MAX(0,$T1590-$V1590)</f>
        <v>0</v>
      </c>
      <c r="X1590" s="19" t="n">
        <f aca="false">IFERROR(INDEX(CADASTRO_PIVOS!$K$6:$K$41,MATCH($E1590,CADASTRO_PIVOS!$B$6:$B$41,0)),EFICIENCIA_PADRAO)</f>
        <v>0.85</v>
      </c>
      <c r="Y1590" s="18" t="n">
        <f aca="false">IF($X1590&lt;=0,0,$W1590/$X1590)</f>
        <v>0</v>
      </c>
      <c r="Z1590" s="16" t="n">
        <f aca="false">$Y1590*$H1590*MM_PARA_M3_HA</f>
        <v>0</v>
      </c>
      <c r="AA1590" s="18" t="n">
        <f aca="false">IFERROR(INDEX(CADASTRO_PIVOS!$I$6:$I$41,MATCH($E1590,CADASTRO_PIVOS!$B$6:$B$41,0)),0)</f>
        <v>1049.64285714286</v>
      </c>
      <c r="AB1590" s="18" t="n">
        <f aca="false">IF($Z1590&lt;=0,0,$Z1590/$AA1590)</f>
        <v>0</v>
      </c>
      <c r="AC1590" s="16" t="n">
        <f aca="false">IFERROR(INDEX(SEMANAS!$K$6:$K$71,MATCH($B1590,SEMANAS!$B$6:$B$71,0)),0)</f>
        <v>147</v>
      </c>
      <c r="AD1590" s="19" t="n">
        <f aca="false">IF($AC1590&lt;=0,0,$AB1590/$AC1590)</f>
        <v>0</v>
      </c>
      <c r="AE1590" s="8" t="str">
        <f aca="false">IF($K1590="SEM CULTURA","SEM CULTURA",IF($AA1590&lt;=0,"DADO PENDENTE",IF($AD1590&gt;LIMITE_CRITICO,"INVIAVEL",IF($AD1590&gt;LIMITE_ATENCAO,"CRITICO",IF($AD1590&gt;LIMITE_CONFORTAVEL,"ATENCAO","OK")))))</f>
        <v>SEM CULTURA</v>
      </c>
      <c r="AF1590" s="8" t="str">
        <f aca="false">$B1590&amp;"|"&amp;TEXT($AD1590,"0.000000")</f>
        <v>1|0.000000</v>
      </c>
      <c r="AG1590" s="18" t="n">
        <f aca="false">IF($K1590="SEM CULTURA",0,$T1590*$H1590)</f>
        <v>0</v>
      </c>
      <c r="AH1590" s="18" t="n">
        <f aca="false">IF($K1590="SEM CULTURA",0,$V1590*$H1590)</f>
        <v>0</v>
      </c>
      <c r="AI1590" s="18" t="n">
        <f aca="false">IF($K1590="SEM CULTURA",0,$W1590*$H1590)</f>
        <v>0</v>
      </c>
      <c r="AJ1590" s="18" t="n">
        <f aca="false">IF($K1590="SEM CULTURA",0,$S1590*$H1590)</f>
        <v>0</v>
      </c>
      <c r="AK1590" s="8" t="str">
        <f aca="false">$E1590&amp;"|"&amp;TEXT($AD1590,"0.000000")</f>
        <v>PV 121|0.000000</v>
      </c>
    </row>
    <row r="1591" customFormat="false" ht="15" hidden="false" customHeight="false" outlineLevel="0" collapsed="false">
      <c r="B1591" s="16" t="n">
        <v>2</v>
      </c>
      <c r="C1591" s="17" t="n">
        <f aca="false">DATA_INICIO_SAFRA+($B1591-1)*DIAS_POR_SEMANA</f>
        <v>46272</v>
      </c>
      <c r="D1591" s="17" t="n">
        <f aca="false">$C1591+DIAS_POR_SEMANA-1</f>
        <v>46278</v>
      </c>
      <c r="E1591" s="15" t="s">
        <v>283</v>
      </c>
      <c r="F1591" s="8" t="str">
        <f aca="false">IFERROR(INDEX(CADASTRO_PIVOS!$C$6:$C$41,MATCH($E1591,CADASTRO_PIVOS!$B$6:$B$41,0)),"?")</f>
        <v>RM07</v>
      </c>
      <c r="G1591" s="8" t="str">
        <f aca="false">IFERROR(INDEX(CADASTRO_PIVOS!$D$6:$D$41,MATCH($E1591,CADASTRO_PIVOS!$B$6:$B$41,0)),"?")</f>
        <v>TR07</v>
      </c>
      <c r="H1591" s="20" t="n">
        <f aca="false">IFERROR(INDEX(CADASTRO_PIVOS!$E$6:$E$41,MATCH($E1591,CADASTRO_PIVOS!$B$6:$B$41,0)),0)</f>
        <v>146.95</v>
      </c>
      <c r="I1591" s="16" t="n">
        <f aca="false">IFERROR(SUMIFS(ROTACAO_RDM!$B$6:$B$71,ROTACAO_RDM!$D$6:$D$71,$E1591,ROTACAO_RDM!$I$6:$I$71,"&lt;="&amp;$C1591+INT(DIAS_POR_SEMANA/2),ROTACAO_RDM!$J$6:$J$71,"&gt;="&amp;$C1591+INT(DIAS_POR_SEMANA/2)),0)</f>
        <v>0</v>
      </c>
      <c r="J1591" s="16" t="n">
        <f aca="false">IFERROR(MATCH($I1591,ROTACAO_RDM!$B$6:$B$71,0),0)</f>
        <v>0</v>
      </c>
      <c r="K1591" s="8" t="str">
        <f aca="false">IF($J1591=0,"SEM CULTURA",INDEX(ROTACAO_RDM!$F$6:$F$71,$J1591))</f>
        <v>SEM CULTURA</v>
      </c>
      <c r="L1591" s="8" t="str">
        <f aca="false">IF($J1591=0,"",INDEX(ROTACAO_RDM!$G$6:$G$71,$J1591))</f>
        <v/>
      </c>
      <c r="M1591" s="17" t="str">
        <f aca="false">IF($J1591=0,"",INDEX(ROTACAO_RDM!$I$6:$I$71,$J1591))</f>
        <v/>
      </c>
      <c r="N1591" s="16" t="n">
        <f aca="false">IF($J1591=0,0,MAX(0,$C1591+INT(DIAS_POR_SEMANA/2)-INDEX(ROTACAO_RDM!$I$6:$I$71,$J1591)))</f>
        <v>0</v>
      </c>
      <c r="O1591" s="19" t="n">
        <f aca="false">IF($J1591=0,0,MIN(1,$N1591/MAX(1,INDEX(ROTACAO_RDM!$K$6:$K$71,$J1591))))</f>
        <v>0</v>
      </c>
      <c r="P1591" s="16" t="n">
        <f aca="false">IF($J1591=0,0,IFERROR(MATCH(INDEX(ROTACAO_RDM!$N$6:$N$71,$J1591),PARAMETROS_CULTURAS!$B$6:$B$28,0),0))</f>
        <v>0</v>
      </c>
      <c r="Q1591" s="8" t="str">
        <f aca="false">IF($P1591=0,"-",IF($O1591&lt;=INDEX(PARAMETROS_CULTURAS!$F$6:$F$28,$P1591),"INICIAL",IF($O1591&lt;=INDEX(PARAMETROS_CULTURAS!$F$6:$F$28,$P1591)+INDEX(PARAMETROS_CULTURAS!$G$6:$G$28,$P1591),"DESENVOLVIMENTO",IF($O1591&lt;=INDEX(PARAMETROS_CULTURAS!$F$6:$F$28,$P1591)+INDEX(PARAMETROS_CULTURAS!$G$6:$G$28,$P1591)+INDEX(PARAMETROS_CULTURAS!$H$6:$H$28,$P1591),"MEDIA","FINAL"))))</f>
        <v>-</v>
      </c>
      <c r="R1591" s="24" t="n">
        <f aca="false">IF($P1591=0,0,IF($O1591&lt;=INDEX(PARAMETROS_CULTURAS!$F$6:$F$28,$P1591),INDEX(PARAMETROS_CULTURAS!$K$6:$K$28,$P1591),IF($O1591&lt;=INDEX(PARAMETROS_CULTURAS!$F$6:$F$28,$P1591)+INDEX(PARAMETROS_CULTURAS!$G$6:$G$28,$P1591),INDEX(PARAMETROS_CULTURAS!$K$6:$K$28,$P1591)+(INDEX(PARAMETROS_CULTURAS!$L$6:$L$28,$P1591)-INDEX(PARAMETROS_CULTURAS!$K$6:$K$28,$P1591))*($O1591-INDEX(PARAMETROS_CULTURAS!$F$6:$F$28,$P1591))/MAX(INDEX(PARAMETROS_CULTURAS!$G$6:$G$28,$P1591),0.0001),IF($O1591&lt;=INDEX(PARAMETROS_CULTURAS!$F$6:$F$28,$P1591)+INDEX(PARAMETROS_CULTURAS!$G$6:$G$28,$P1591)+INDEX(PARAMETROS_CULTURAS!$H$6:$H$28,$P1591),INDEX(PARAMETROS_CULTURAS!$L$6:$L$28,$P1591),INDEX(PARAMETROS_CULTURAS!$L$6:$L$28,$P1591)+(INDEX(PARAMETROS_CULTURAS!$M$6:$M$28,$P1591)-INDEX(PARAMETROS_CULTURAS!$L$6:$L$28,$P1591))*($O1591-INDEX(PARAMETROS_CULTURAS!$F$6:$F$28,$P1591)-INDEX(PARAMETROS_CULTURAS!$G$6:$G$28,$P1591)-INDEX(PARAMETROS_CULTURAS!$H$6:$H$28,$P1591))/MAX(INDEX(PARAMETROS_CULTURAS!$I$6:$I$28,$P1591),0.0001)))))</f>
        <v>0</v>
      </c>
      <c r="S1591" s="18" t="n">
        <f aca="false">IFERROR(INDEX(SEMANAS!$H$6:$H$71,MATCH($B1591,SEMANAS!$B$6:$B$71,0)),0)</f>
        <v>40.6</v>
      </c>
      <c r="T1591" s="18" t="n">
        <f aca="false">$R1591*$S1591</f>
        <v>0</v>
      </c>
      <c r="U1591" s="18" t="n">
        <f aca="false">IFERROR(INDEX(SEMANAS!$I$6:$I$71,MATCH($B1591,SEMANAS!$B$6:$B$71,0)),0)</f>
        <v>7</v>
      </c>
      <c r="V1591" s="18" t="n">
        <f aca="false">IFERROR(INDEX(SEMANAS!$J$6:$J$71,MATCH($B1591,SEMANAS!$B$6:$B$71,0)),0)</f>
        <v>5.6</v>
      </c>
      <c r="W1591" s="18" t="n">
        <f aca="false">MAX(0,$T1591-$V1591)</f>
        <v>0</v>
      </c>
      <c r="X1591" s="19" t="n">
        <f aca="false">IFERROR(INDEX(CADASTRO_PIVOS!$K$6:$K$41,MATCH($E1591,CADASTRO_PIVOS!$B$6:$B$41,0)),EFICIENCIA_PADRAO)</f>
        <v>0.85</v>
      </c>
      <c r="Y1591" s="18" t="n">
        <f aca="false">IF($X1591&lt;=0,0,$W1591/$X1591)</f>
        <v>0</v>
      </c>
      <c r="Z1591" s="16" t="n">
        <f aca="false">$Y1591*$H1591*MM_PARA_M3_HA</f>
        <v>0</v>
      </c>
      <c r="AA1591" s="18" t="n">
        <f aca="false">IFERROR(INDEX(CADASTRO_PIVOS!$I$6:$I$41,MATCH($E1591,CADASTRO_PIVOS!$B$6:$B$41,0)),0)</f>
        <v>1049.64285714286</v>
      </c>
      <c r="AB1591" s="18" t="n">
        <f aca="false">IF($Z1591&lt;=0,0,$Z1591/$AA1591)</f>
        <v>0</v>
      </c>
      <c r="AC1591" s="16" t="n">
        <f aca="false">IFERROR(INDEX(SEMANAS!$K$6:$K$71,MATCH($B1591,SEMANAS!$B$6:$B$71,0)),0)</f>
        <v>147</v>
      </c>
      <c r="AD1591" s="19" t="n">
        <f aca="false">IF($AC1591&lt;=0,0,$AB1591/$AC1591)</f>
        <v>0</v>
      </c>
      <c r="AE1591" s="8" t="str">
        <f aca="false">IF($K1591="SEM CULTURA","SEM CULTURA",IF($AA1591&lt;=0,"DADO PENDENTE",IF($AD1591&gt;LIMITE_CRITICO,"INVIAVEL",IF($AD1591&gt;LIMITE_ATENCAO,"CRITICO",IF($AD1591&gt;LIMITE_CONFORTAVEL,"ATENCAO","OK")))))</f>
        <v>SEM CULTURA</v>
      </c>
      <c r="AF1591" s="8" t="str">
        <f aca="false">$B1591&amp;"|"&amp;TEXT($AD1591,"0.000000")</f>
        <v>2|0.000000</v>
      </c>
      <c r="AG1591" s="18" t="n">
        <f aca="false">IF($K1591="SEM CULTURA",0,$T1591*$H1591)</f>
        <v>0</v>
      </c>
      <c r="AH1591" s="18" t="n">
        <f aca="false">IF($K1591="SEM CULTURA",0,$V1591*$H1591)</f>
        <v>0</v>
      </c>
      <c r="AI1591" s="18" t="n">
        <f aca="false">IF($K1591="SEM CULTURA",0,$W1591*$H1591)</f>
        <v>0</v>
      </c>
      <c r="AJ1591" s="18" t="n">
        <f aca="false">IF($K1591="SEM CULTURA",0,$S1591*$H1591)</f>
        <v>0</v>
      </c>
      <c r="AK1591" s="8" t="str">
        <f aca="false">$E1591&amp;"|"&amp;TEXT($AD1591,"0.000000")</f>
        <v>PV 121|0.000000</v>
      </c>
    </row>
    <row r="1592" customFormat="false" ht="15" hidden="false" customHeight="false" outlineLevel="0" collapsed="false">
      <c r="B1592" s="16" t="n">
        <v>3</v>
      </c>
      <c r="C1592" s="17" t="n">
        <f aca="false">DATA_INICIO_SAFRA+($B1592-1)*DIAS_POR_SEMANA</f>
        <v>46279</v>
      </c>
      <c r="D1592" s="17" t="n">
        <f aca="false">$C1592+DIAS_POR_SEMANA-1</f>
        <v>46285</v>
      </c>
      <c r="E1592" s="15" t="s">
        <v>283</v>
      </c>
      <c r="F1592" s="8" t="str">
        <f aca="false">IFERROR(INDEX(CADASTRO_PIVOS!$C$6:$C$41,MATCH($E1592,CADASTRO_PIVOS!$B$6:$B$41,0)),"?")</f>
        <v>RM07</v>
      </c>
      <c r="G1592" s="8" t="str">
        <f aca="false">IFERROR(INDEX(CADASTRO_PIVOS!$D$6:$D$41,MATCH($E1592,CADASTRO_PIVOS!$B$6:$B$41,0)),"?")</f>
        <v>TR07</v>
      </c>
      <c r="H1592" s="20" t="n">
        <f aca="false">IFERROR(INDEX(CADASTRO_PIVOS!$E$6:$E$41,MATCH($E1592,CADASTRO_PIVOS!$B$6:$B$41,0)),0)</f>
        <v>146.95</v>
      </c>
      <c r="I1592" s="16" t="n">
        <f aca="false">IFERROR(SUMIFS(ROTACAO_RDM!$B$6:$B$71,ROTACAO_RDM!$D$6:$D$71,$E1592,ROTACAO_RDM!$I$6:$I$71,"&lt;="&amp;$C1592+INT(DIAS_POR_SEMANA/2),ROTACAO_RDM!$J$6:$J$71,"&gt;="&amp;$C1592+INT(DIAS_POR_SEMANA/2)),0)</f>
        <v>0</v>
      </c>
      <c r="J1592" s="16" t="n">
        <f aca="false">IFERROR(MATCH($I1592,ROTACAO_RDM!$B$6:$B$71,0),0)</f>
        <v>0</v>
      </c>
      <c r="K1592" s="8" t="str">
        <f aca="false">IF($J1592=0,"SEM CULTURA",INDEX(ROTACAO_RDM!$F$6:$F$71,$J1592))</f>
        <v>SEM CULTURA</v>
      </c>
      <c r="L1592" s="8" t="str">
        <f aca="false">IF($J1592=0,"",INDEX(ROTACAO_RDM!$G$6:$G$71,$J1592))</f>
        <v/>
      </c>
      <c r="M1592" s="17" t="str">
        <f aca="false">IF($J1592=0,"",INDEX(ROTACAO_RDM!$I$6:$I$71,$J1592))</f>
        <v/>
      </c>
      <c r="N1592" s="16" t="n">
        <f aca="false">IF($J1592=0,0,MAX(0,$C1592+INT(DIAS_POR_SEMANA/2)-INDEX(ROTACAO_RDM!$I$6:$I$71,$J1592)))</f>
        <v>0</v>
      </c>
      <c r="O1592" s="19" t="n">
        <f aca="false">IF($J1592=0,0,MIN(1,$N1592/MAX(1,INDEX(ROTACAO_RDM!$K$6:$K$71,$J1592))))</f>
        <v>0</v>
      </c>
      <c r="P1592" s="16" t="n">
        <f aca="false">IF($J1592=0,0,IFERROR(MATCH(INDEX(ROTACAO_RDM!$N$6:$N$71,$J1592),PARAMETROS_CULTURAS!$B$6:$B$28,0),0))</f>
        <v>0</v>
      </c>
      <c r="Q1592" s="8" t="str">
        <f aca="false">IF($P1592=0,"-",IF($O1592&lt;=INDEX(PARAMETROS_CULTURAS!$F$6:$F$28,$P1592),"INICIAL",IF($O1592&lt;=INDEX(PARAMETROS_CULTURAS!$F$6:$F$28,$P1592)+INDEX(PARAMETROS_CULTURAS!$G$6:$G$28,$P1592),"DESENVOLVIMENTO",IF($O1592&lt;=INDEX(PARAMETROS_CULTURAS!$F$6:$F$28,$P1592)+INDEX(PARAMETROS_CULTURAS!$G$6:$G$28,$P1592)+INDEX(PARAMETROS_CULTURAS!$H$6:$H$28,$P1592),"MEDIA","FINAL"))))</f>
        <v>-</v>
      </c>
      <c r="R1592" s="24" t="n">
        <f aca="false">IF($P1592=0,0,IF($O1592&lt;=INDEX(PARAMETROS_CULTURAS!$F$6:$F$28,$P1592),INDEX(PARAMETROS_CULTURAS!$K$6:$K$28,$P1592),IF($O1592&lt;=INDEX(PARAMETROS_CULTURAS!$F$6:$F$28,$P1592)+INDEX(PARAMETROS_CULTURAS!$G$6:$G$28,$P1592),INDEX(PARAMETROS_CULTURAS!$K$6:$K$28,$P1592)+(INDEX(PARAMETROS_CULTURAS!$L$6:$L$28,$P1592)-INDEX(PARAMETROS_CULTURAS!$K$6:$K$28,$P1592))*($O1592-INDEX(PARAMETROS_CULTURAS!$F$6:$F$28,$P1592))/MAX(INDEX(PARAMETROS_CULTURAS!$G$6:$G$28,$P1592),0.0001),IF($O1592&lt;=INDEX(PARAMETROS_CULTURAS!$F$6:$F$28,$P1592)+INDEX(PARAMETROS_CULTURAS!$G$6:$G$28,$P1592)+INDEX(PARAMETROS_CULTURAS!$H$6:$H$28,$P1592),INDEX(PARAMETROS_CULTURAS!$L$6:$L$28,$P1592),INDEX(PARAMETROS_CULTURAS!$L$6:$L$28,$P1592)+(INDEX(PARAMETROS_CULTURAS!$M$6:$M$28,$P1592)-INDEX(PARAMETROS_CULTURAS!$L$6:$L$28,$P1592))*($O1592-INDEX(PARAMETROS_CULTURAS!$F$6:$F$28,$P1592)-INDEX(PARAMETROS_CULTURAS!$G$6:$G$28,$P1592)-INDEX(PARAMETROS_CULTURAS!$H$6:$H$28,$P1592))/MAX(INDEX(PARAMETROS_CULTURAS!$I$6:$I$28,$P1592),0.0001)))))</f>
        <v>0</v>
      </c>
      <c r="S1592" s="18" t="n">
        <f aca="false">IFERROR(INDEX(SEMANAS!$H$6:$H$71,MATCH($B1592,SEMANAS!$B$6:$B$71,0)),0)</f>
        <v>40.6</v>
      </c>
      <c r="T1592" s="18" t="n">
        <f aca="false">$R1592*$S1592</f>
        <v>0</v>
      </c>
      <c r="U1592" s="18" t="n">
        <f aca="false">IFERROR(INDEX(SEMANAS!$I$6:$I$71,MATCH($B1592,SEMANAS!$B$6:$B$71,0)),0)</f>
        <v>7</v>
      </c>
      <c r="V1592" s="18" t="n">
        <f aca="false">IFERROR(INDEX(SEMANAS!$J$6:$J$71,MATCH($B1592,SEMANAS!$B$6:$B$71,0)),0)</f>
        <v>5.6</v>
      </c>
      <c r="W1592" s="18" t="n">
        <f aca="false">MAX(0,$T1592-$V1592)</f>
        <v>0</v>
      </c>
      <c r="X1592" s="19" t="n">
        <f aca="false">IFERROR(INDEX(CADASTRO_PIVOS!$K$6:$K$41,MATCH($E1592,CADASTRO_PIVOS!$B$6:$B$41,0)),EFICIENCIA_PADRAO)</f>
        <v>0.85</v>
      </c>
      <c r="Y1592" s="18" t="n">
        <f aca="false">IF($X1592&lt;=0,0,$W1592/$X1592)</f>
        <v>0</v>
      </c>
      <c r="Z1592" s="16" t="n">
        <f aca="false">$Y1592*$H1592*MM_PARA_M3_HA</f>
        <v>0</v>
      </c>
      <c r="AA1592" s="18" t="n">
        <f aca="false">IFERROR(INDEX(CADASTRO_PIVOS!$I$6:$I$41,MATCH($E1592,CADASTRO_PIVOS!$B$6:$B$41,0)),0)</f>
        <v>1049.64285714286</v>
      </c>
      <c r="AB1592" s="18" t="n">
        <f aca="false">IF($Z1592&lt;=0,0,$Z1592/$AA1592)</f>
        <v>0</v>
      </c>
      <c r="AC1592" s="16" t="n">
        <f aca="false">IFERROR(INDEX(SEMANAS!$K$6:$K$71,MATCH($B1592,SEMANAS!$B$6:$B$71,0)),0)</f>
        <v>147</v>
      </c>
      <c r="AD1592" s="19" t="n">
        <f aca="false">IF($AC1592&lt;=0,0,$AB1592/$AC1592)</f>
        <v>0</v>
      </c>
      <c r="AE1592" s="8" t="str">
        <f aca="false">IF($K1592="SEM CULTURA","SEM CULTURA",IF($AA1592&lt;=0,"DADO PENDENTE",IF($AD1592&gt;LIMITE_CRITICO,"INVIAVEL",IF($AD1592&gt;LIMITE_ATENCAO,"CRITICO",IF($AD1592&gt;LIMITE_CONFORTAVEL,"ATENCAO","OK")))))</f>
        <v>SEM CULTURA</v>
      </c>
      <c r="AF1592" s="8" t="str">
        <f aca="false">$B1592&amp;"|"&amp;TEXT($AD1592,"0.000000")</f>
        <v>3|0.000000</v>
      </c>
      <c r="AG1592" s="18" t="n">
        <f aca="false">IF($K1592="SEM CULTURA",0,$T1592*$H1592)</f>
        <v>0</v>
      </c>
      <c r="AH1592" s="18" t="n">
        <f aca="false">IF($K1592="SEM CULTURA",0,$V1592*$H1592)</f>
        <v>0</v>
      </c>
      <c r="AI1592" s="18" t="n">
        <f aca="false">IF($K1592="SEM CULTURA",0,$W1592*$H1592)</f>
        <v>0</v>
      </c>
      <c r="AJ1592" s="18" t="n">
        <f aca="false">IF($K1592="SEM CULTURA",0,$S1592*$H1592)</f>
        <v>0</v>
      </c>
      <c r="AK1592" s="8" t="str">
        <f aca="false">$E1592&amp;"|"&amp;TEXT($AD1592,"0.000000")</f>
        <v>PV 121|0.000000</v>
      </c>
    </row>
    <row r="1593" customFormat="false" ht="15" hidden="false" customHeight="false" outlineLevel="0" collapsed="false">
      <c r="B1593" s="16" t="n">
        <v>4</v>
      </c>
      <c r="C1593" s="17" t="n">
        <f aca="false">DATA_INICIO_SAFRA+($B1593-1)*DIAS_POR_SEMANA</f>
        <v>46286</v>
      </c>
      <c r="D1593" s="17" t="n">
        <f aca="false">$C1593+DIAS_POR_SEMANA-1</f>
        <v>46292</v>
      </c>
      <c r="E1593" s="15" t="s">
        <v>283</v>
      </c>
      <c r="F1593" s="8" t="str">
        <f aca="false">IFERROR(INDEX(CADASTRO_PIVOS!$C$6:$C$41,MATCH($E1593,CADASTRO_PIVOS!$B$6:$B$41,0)),"?")</f>
        <v>RM07</v>
      </c>
      <c r="G1593" s="8" t="str">
        <f aca="false">IFERROR(INDEX(CADASTRO_PIVOS!$D$6:$D$41,MATCH($E1593,CADASTRO_PIVOS!$B$6:$B$41,0)),"?")</f>
        <v>TR07</v>
      </c>
      <c r="H1593" s="20" t="n">
        <f aca="false">IFERROR(INDEX(CADASTRO_PIVOS!$E$6:$E$41,MATCH($E1593,CADASTRO_PIVOS!$B$6:$B$41,0)),0)</f>
        <v>146.95</v>
      </c>
      <c r="I1593" s="16" t="n">
        <f aca="false">IFERROR(SUMIFS(ROTACAO_RDM!$B$6:$B$71,ROTACAO_RDM!$D$6:$D$71,$E1593,ROTACAO_RDM!$I$6:$I$71,"&lt;="&amp;$C1593+INT(DIAS_POR_SEMANA/2),ROTACAO_RDM!$J$6:$J$71,"&gt;="&amp;$C1593+INT(DIAS_POR_SEMANA/2)),0)</f>
        <v>0</v>
      </c>
      <c r="J1593" s="16" t="n">
        <f aca="false">IFERROR(MATCH($I1593,ROTACAO_RDM!$B$6:$B$71,0),0)</f>
        <v>0</v>
      </c>
      <c r="K1593" s="8" t="str">
        <f aca="false">IF($J1593=0,"SEM CULTURA",INDEX(ROTACAO_RDM!$F$6:$F$71,$J1593))</f>
        <v>SEM CULTURA</v>
      </c>
      <c r="L1593" s="8" t="str">
        <f aca="false">IF($J1593=0,"",INDEX(ROTACAO_RDM!$G$6:$G$71,$J1593))</f>
        <v/>
      </c>
      <c r="M1593" s="17" t="str">
        <f aca="false">IF($J1593=0,"",INDEX(ROTACAO_RDM!$I$6:$I$71,$J1593))</f>
        <v/>
      </c>
      <c r="N1593" s="16" t="n">
        <f aca="false">IF($J1593=0,0,MAX(0,$C1593+INT(DIAS_POR_SEMANA/2)-INDEX(ROTACAO_RDM!$I$6:$I$71,$J1593)))</f>
        <v>0</v>
      </c>
      <c r="O1593" s="19" t="n">
        <f aca="false">IF($J1593=0,0,MIN(1,$N1593/MAX(1,INDEX(ROTACAO_RDM!$K$6:$K$71,$J1593))))</f>
        <v>0</v>
      </c>
      <c r="P1593" s="16" t="n">
        <f aca="false">IF($J1593=0,0,IFERROR(MATCH(INDEX(ROTACAO_RDM!$N$6:$N$71,$J1593),PARAMETROS_CULTURAS!$B$6:$B$28,0),0))</f>
        <v>0</v>
      </c>
      <c r="Q1593" s="8" t="str">
        <f aca="false">IF($P1593=0,"-",IF($O1593&lt;=INDEX(PARAMETROS_CULTURAS!$F$6:$F$28,$P1593),"INICIAL",IF($O1593&lt;=INDEX(PARAMETROS_CULTURAS!$F$6:$F$28,$P1593)+INDEX(PARAMETROS_CULTURAS!$G$6:$G$28,$P1593),"DESENVOLVIMENTO",IF($O1593&lt;=INDEX(PARAMETROS_CULTURAS!$F$6:$F$28,$P1593)+INDEX(PARAMETROS_CULTURAS!$G$6:$G$28,$P1593)+INDEX(PARAMETROS_CULTURAS!$H$6:$H$28,$P1593),"MEDIA","FINAL"))))</f>
        <v>-</v>
      </c>
      <c r="R1593" s="24" t="n">
        <f aca="false">IF($P1593=0,0,IF($O1593&lt;=INDEX(PARAMETROS_CULTURAS!$F$6:$F$28,$P1593),INDEX(PARAMETROS_CULTURAS!$K$6:$K$28,$P1593),IF($O1593&lt;=INDEX(PARAMETROS_CULTURAS!$F$6:$F$28,$P1593)+INDEX(PARAMETROS_CULTURAS!$G$6:$G$28,$P1593),INDEX(PARAMETROS_CULTURAS!$K$6:$K$28,$P1593)+(INDEX(PARAMETROS_CULTURAS!$L$6:$L$28,$P1593)-INDEX(PARAMETROS_CULTURAS!$K$6:$K$28,$P1593))*($O1593-INDEX(PARAMETROS_CULTURAS!$F$6:$F$28,$P1593))/MAX(INDEX(PARAMETROS_CULTURAS!$G$6:$G$28,$P1593),0.0001),IF($O1593&lt;=INDEX(PARAMETROS_CULTURAS!$F$6:$F$28,$P1593)+INDEX(PARAMETROS_CULTURAS!$G$6:$G$28,$P1593)+INDEX(PARAMETROS_CULTURAS!$H$6:$H$28,$P1593),INDEX(PARAMETROS_CULTURAS!$L$6:$L$28,$P1593),INDEX(PARAMETROS_CULTURAS!$L$6:$L$28,$P1593)+(INDEX(PARAMETROS_CULTURAS!$M$6:$M$28,$P1593)-INDEX(PARAMETROS_CULTURAS!$L$6:$L$28,$P1593))*($O1593-INDEX(PARAMETROS_CULTURAS!$F$6:$F$28,$P1593)-INDEX(PARAMETROS_CULTURAS!$G$6:$G$28,$P1593)-INDEX(PARAMETROS_CULTURAS!$H$6:$H$28,$P1593))/MAX(INDEX(PARAMETROS_CULTURAS!$I$6:$I$28,$P1593),0.0001)))))</f>
        <v>0</v>
      </c>
      <c r="S1593" s="18" t="n">
        <f aca="false">IFERROR(INDEX(SEMANAS!$H$6:$H$71,MATCH($B1593,SEMANAS!$B$6:$B$71,0)),0)</f>
        <v>40.6</v>
      </c>
      <c r="T1593" s="18" t="n">
        <f aca="false">$R1593*$S1593</f>
        <v>0</v>
      </c>
      <c r="U1593" s="18" t="n">
        <f aca="false">IFERROR(INDEX(SEMANAS!$I$6:$I$71,MATCH($B1593,SEMANAS!$B$6:$B$71,0)),0)</f>
        <v>7</v>
      </c>
      <c r="V1593" s="18" t="n">
        <f aca="false">IFERROR(INDEX(SEMANAS!$J$6:$J$71,MATCH($B1593,SEMANAS!$B$6:$B$71,0)),0)</f>
        <v>5.6</v>
      </c>
      <c r="W1593" s="18" t="n">
        <f aca="false">MAX(0,$T1593-$V1593)</f>
        <v>0</v>
      </c>
      <c r="X1593" s="19" t="n">
        <f aca="false">IFERROR(INDEX(CADASTRO_PIVOS!$K$6:$K$41,MATCH($E1593,CADASTRO_PIVOS!$B$6:$B$41,0)),EFICIENCIA_PADRAO)</f>
        <v>0.85</v>
      </c>
      <c r="Y1593" s="18" t="n">
        <f aca="false">IF($X1593&lt;=0,0,$W1593/$X1593)</f>
        <v>0</v>
      </c>
      <c r="Z1593" s="16" t="n">
        <f aca="false">$Y1593*$H1593*MM_PARA_M3_HA</f>
        <v>0</v>
      </c>
      <c r="AA1593" s="18" t="n">
        <f aca="false">IFERROR(INDEX(CADASTRO_PIVOS!$I$6:$I$41,MATCH($E1593,CADASTRO_PIVOS!$B$6:$B$41,0)),0)</f>
        <v>1049.64285714286</v>
      </c>
      <c r="AB1593" s="18" t="n">
        <f aca="false">IF($Z1593&lt;=0,0,$Z1593/$AA1593)</f>
        <v>0</v>
      </c>
      <c r="AC1593" s="16" t="n">
        <f aca="false">IFERROR(INDEX(SEMANAS!$K$6:$K$71,MATCH($B1593,SEMANAS!$B$6:$B$71,0)),0)</f>
        <v>147</v>
      </c>
      <c r="AD1593" s="19" t="n">
        <f aca="false">IF($AC1593&lt;=0,0,$AB1593/$AC1593)</f>
        <v>0</v>
      </c>
      <c r="AE1593" s="8" t="str">
        <f aca="false">IF($K1593="SEM CULTURA","SEM CULTURA",IF($AA1593&lt;=0,"DADO PENDENTE",IF($AD1593&gt;LIMITE_CRITICO,"INVIAVEL",IF($AD1593&gt;LIMITE_ATENCAO,"CRITICO",IF($AD1593&gt;LIMITE_CONFORTAVEL,"ATENCAO","OK")))))</f>
        <v>SEM CULTURA</v>
      </c>
      <c r="AF1593" s="8" t="str">
        <f aca="false">$B1593&amp;"|"&amp;TEXT($AD1593,"0.000000")</f>
        <v>4|0.000000</v>
      </c>
      <c r="AG1593" s="18" t="n">
        <f aca="false">IF($K1593="SEM CULTURA",0,$T1593*$H1593)</f>
        <v>0</v>
      </c>
      <c r="AH1593" s="18" t="n">
        <f aca="false">IF($K1593="SEM CULTURA",0,$V1593*$H1593)</f>
        <v>0</v>
      </c>
      <c r="AI1593" s="18" t="n">
        <f aca="false">IF($K1593="SEM CULTURA",0,$W1593*$H1593)</f>
        <v>0</v>
      </c>
      <c r="AJ1593" s="18" t="n">
        <f aca="false">IF($K1593="SEM CULTURA",0,$S1593*$H1593)</f>
        <v>0</v>
      </c>
      <c r="AK1593" s="8" t="str">
        <f aca="false">$E1593&amp;"|"&amp;TEXT($AD1593,"0.000000")</f>
        <v>PV 121|0.000000</v>
      </c>
    </row>
    <row r="1594" customFormat="false" ht="15" hidden="false" customHeight="false" outlineLevel="0" collapsed="false">
      <c r="B1594" s="16" t="n">
        <v>5</v>
      </c>
      <c r="C1594" s="17" t="n">
        <f aca="false">DATA_INICIO_SAFRA+($B1594-1)*DIAS_POR_SEMANA</f>
        <v>46293</v>
      </c>
      <c r="D1594" s="17" t="n">
        <f aca="false">$C1594+DIAS_POR_SEMANA-1</f>
        <v>46299</v>
      </c>
      <c r="E1594" s="15" t="s">
        <v>283</v>
      </c>
      <c r="F1594" s="8" t="str">
        <f aca="false">IFERROR(INDEX(CADASTRO_PIVOS!$C$6:$C$41,MATCH($E1594,CADASTRO_PIVOS!$B$6:$B$41,0)),"?")</f>
        <v>RM07</v>
      </c>
      <c r="G1594" s="8" t="str">
        <f aca="false">IFERROR(INDEX(CADASTRO_PIVOS!$D$6:$D$41,MATCH($E1594,CADASTRO_PIVOS!$B$6:$B$41,0)),"?")</f>
        <v>TR07</v>
      </c>
      <c r="H1594" s="20" t="n">
        <f aca="false">IFERROR(INDEX(CADASTRO_PIVOS!$E$6:$E$41,MATCH($E1594,CADASTRO_PIVOS!$B$6:$B$41,0)),0)</f>
        <v>146.95</v>
      </c>
      <c r="I1594" s="16" t="n">
        <f aca="false">IFERROR(SUMIFS(ROTACAO_RDM!$B$6:$B$71,ROTACAO_RDM!$D$6:$D$71,$E1594,ROTACAO_RDM!$I$6:$I$71,"&lt;="&amp;$C1594+INT(DIAS_POR_SEMANA/2),ROTACAO_RDM!$J$6:$J$71,"&gt;="&amp;$C1594+INT(DIAS_POR_SEMANA/2)),0)</f>
        <v>0</v>
      </c>
      <c r="J1594" s="16" t="n">
        <f aca="false">IFERROR(MATCH($I1594,ROTACAO_RDM!$B$6:$B$71,0),0)</f>
        <v>0</v>
      </c>
      <c r="K1594" s="8" t="str">
        <f aca="false">IF($J1594=0,"SEM CULTURA",INDEX(ROTACAO_RDM!$F$6:$F$71,$J1594))</f>
        <v>SEM CULTURA</v>
      </c>
      <c r="L1594" s="8" t="str">
        <f aca="false">IF($J1594=0,"",INDEX(ROTACAO_RDM!$G$6:$G$71,$J1594))</f>
        <v/>
      </c>
      <c r="M1594" s="17" t="str">
        <f aca="false">IF($J1594=0,"",INDEX(ROTACAO_RDM!$I$6:$I$71,$J1594))</f>
        <v/>
      </c>
      <c r="N1594" s="16" t="n">
        <f aca="false">IF($J1594=0,0,MAX(0,$C1594+INT(DIAS_POR_SEMANA/2)-INDEX(ROTACAO_RDM!$I$6:$I$71,$J1594)))</f>
        <v>0</v>
      </c>
      <c r="O1594" s="19" t="n">
        <f aca="false">IF($J1594=0,0,MIN(1,$N1594/MAX(1,INDEX(ROTACAO_RDM!$K$6:$K$71,$J1594))))</f>
        <v>0</v>
      </c>
      <c r="P1594" s="16" t="n">
        <f aca="false">IF($J1594=0,0,IFERROR(MATCH(INDEX(ROTACAO_RDM!$N$6:$N$71,$J1594),PARAMETROS_CULTURAS!$B$6:$B$28,0),0))</f>
        <v>0</v>
      </c>
      <c r="Q1594" s="8" t="str">
        <f aca="false">IF($P1594=0,"-",IF($O1594&lt;=INDEX(PARAMETROS_CULTURAS!$F$6:$F$28,$P1594),"INICIAL",IF($O1594&lt;=INDEX(PARAMETROS_CULTURAS!$F$6:$F$28,$P1594)+INDEX(PARAMETROS_CULTURAS!$G$6:$G$28,$P1594),"DESENVOLVIMENTO",IF($O1594&lt;=INDEX(PARAMETROS_CULTURAS!$F$6:$F$28,$P1594)+INDEX(PARAMETROS_CULTURAS!$G$6:$G$28,$P1594)+INDEX(PARAMETROS_CULTURAS!$H$6:$H$28,$P1594),"MEDIA","FINAL"))))</f>
        <v>-</v>
      </c>
      <c r="R1594" s="24" t="n">
        <f aca="false">IF($P1594=0,0,IF($O1594&lt;=INDEX(PARAMETROS_CULTURAS!$F$6:$F$28,$P1594),INDEX(PARAMETROS_CULTURAS!$K$6:$K$28,$P1594),IF($O1594&lt;=INDEX(PARAMETROS_CULTURAS!$F$6:$F$28,$P1594)+INDEX(PARAMETROS_CULTURAS!$G$6:$G$28,$P1594),INDEX(PARAMETROS_CULTURAS!$K$6:$K$28,$P1594)+(INDEX(PARAMETROS_CULTURAS!$L$6:$L$28,$P1594)-INDEX(PARAMETROS_CULTURAS!$K$6:$K$28,$P1594))*($O1594-INDEX(PARAMETROS_CULTURAS!$F$6:$F$28,$P1594))/MAX(INDEX(PARAMETROS_CULTURAS!$G$6:$G$28,$P1594),0.0001),IF($O1594&lt;=INDEX(PARAMETROS_CULTURAS!$F$6:$F$28,$P1594)+INDEX(PARAMETROS_CULTURAS!$G$6:$G$28,$P1594)+INDEX(PARAMETROS_CULTURAS!$H$6:$H$28,$P1594),INDEX(PARAMETROS_CULTURAS!$L$6:$L$28,$P1594),INDEX(PARAMETROS_CULTURAS!$L$6:$L$28,$P1594)+(INDEX(PARAMETROS_CULTURAS!$M$6:$M$28,$P1594)-INDEX(PARAMETROS_CULTURAS!$L$6:$L$28,$P1594))*($O1594-INDEX(PARAMETROS_CULTURAS!$F$6:$F$28,$P1594)-INDEX(PARAMETROS_CULTURAS!$G$6:$G$28,$P1594)-INDEX(PARAMETROS_CULTURAS!$H$6:$H$28,$P1594))/MAX(INDEX(PARAMETROS_CULTURAS!$I$6:$I$28,$P1594),0.0001)))))</f>
        <v>0</v>
      </c>
      <c r="S1594" s="18" t="n">
        <f aca="false">IFERROR(INDEX(SEMANAS!$H$6:$H$71,MATCH($B1594,SEMANAS!$B$6:$B$71,0)),0)</f>
        <v>39.8</v>
      </c>
      <c r="T1594" s="18" t="n">
        <f aca="false">$R1594*$S1594</f>
        <v>0</v>
      </c>
      <c r="U1594" s="18" t="n">
        <f aca="false">IFERROR(INDEX(SEMANAS!$I$6:$I$71,MATCH($B1594,SEMANAS!$B$6:$B$71,0)),0)</f>
        <v>18.48</v>
      </c>
      <c r="V1594" s="18" t="n">
        <f aca="false">IFERROR(INDEX(SEMANAS!$J$6:$J$71,MATCH($B1594,SEMANAS!$B$6:$B$71,0)),0)</f>
        <v>14.784</v>
      </c>
      <c r="W1594" s="18" t="n">
        <f aca="false">MAX(0,$T1594-$V1594)</f>
        <v>0</v>
      </c>
      <c r="X1594" s="19" t="n">
        <f aca="false">IFERROR(INDEX(CADASTRO_PIVOS!$K$6:$K$41,MATCH($E1594,CADASTRO_PIVOS!$B$6:$B$41,0)),EFICIENCIA_PADRAO)</f>
        <v>0.85</v>
      </c>
      <c r="Y1594" s="18" t="n">
        <f aca="false">IF($X1594&lt;=0,0,$W1594/$X1594)</f>
        <v>0</v>
      </c>
      <c r="Z1594" s="16" t="n">
        <f aca="false">$Y1594*$H1594*MM_PARA_M3_HA</f>
        <v>0</v>
      </c>
      <c r="AA1594" s="18" t="n">
        <f aca="false">IFERROR(INDEX(CADASTRO_PIVOS!$I$6:$I$41,MATCH($E1594,CADASTRO_PIVOS!$B$6:$B$41,0)),0)</f>
        <v>1049.64285714286</v>
      </c>
      <c r="AB1594" s="18" t="n">
        <f aca="false">IF($Z1594&lt;=0,0,$Z1594/$AA1594)</f>
        <v>0</v>
      </c>
      <c r="AC1594" s="16" t="n">
        <f aca="false">IFERROR(INDEX(SEMANAS!$K$6:$K$71,MATCH($B1594,SEMANAS!$B$6:$B$71,0)),0)</f>
        <v>147</v>
      </c>
      <c r="AD1594" s="19" t="n">
        <f aca="false">IF($AC1594&lt;=0,0,$AB1594/$AC1594)</f>
        <v>0</v>
      </c>
      <c r="AE1594" s="8" t="str">
        <f aca="false">IF($K1594="SEM CULTURA","SEM CULTURA",IF($AA1594&lt;=0,"DADO PENDENTE",IF($AD1594&gt;LIMITE_CRITICO,"INVIAVEL",IF($AD1594&gt;LIMITE_ATENCAO,"CRITICO",IF($AD1594&gt;LIMITE_CONFORTAVEL,"ATENCAO","OK")))))</f>
        <v>SEM CULTURA</v>
      </c>
      <c r="AF1594" s="8" t="str">
        <f aca="false">$B1594&amp;"|"&amp;TEXT($AD1594,"0.000000")</f>
        <v>5|0.000000</v>
      </c>
      <c r="AG1594" s="18" t="n">
        <f aca="false">IF($K1594="SEM CULTURA",0,$T1594*$H1594)</f>
        <v>0</v>
      </c>
      <c r="AH1594" s="18" t="n">
        <f aca="false">IF($K1594="SEM CULTURA",0,$V1594*$H1594)</f>
        <v>0</v>
      </c>
      <c r="AI1594" s="18" t="n">
        <f aca="false">IF($K1594="SEM CULTURA",0,$W1594*$H1594)</f>
        <v>0</v>
      </c>
      <c r="AJ1594" s="18" t="n">
        <f aca="false">IF($K1594="SEM CULTURA",0,$S1594*$H1594)</f>
        <v>0</v>
      </c>
      <c r="AK1594" s="8" t="str">
        <f aca="false">$E1594&amp;"|"&amp;TEXT($AD1594,"0.000000")</f>
        <v>PV 121|0.000000</v>
      </c>
    </row>
    <row r="1595" customFormat="false" ht="15" hidden="false" customHeight="false" outlineLevel="0" collapsed="false">
      <c r="B1595" s="16" t="n">
        <v>6</v>
      </c>
      <c r="C1595" s="17" t="n">
        <f aca="false">DATA_INICIO_SAFRA+($B1595-1)*DIAS_POR_SEMANA</f>
        <v>46300</v>
      </c>
      <c r="D1595" s="17" t="n">
        <f aca="false">$C1595+DIAS_POR_SEMANA-1</f>
        <v>46306</v>
      </c>
      <c r="E1595" s="15" t="s">
        <v>283</v>
      </c>
      <c r="F1595" s="8" t="str">
        <f aca="false">IFERROR(INDEX(CADASTRO_PIVOS!$C$6:$C$41,MATCH($E1595,CADASTRO_PIVOS!$B$6:$B$41,0)),"?")</f>
        <v>RM07</v>
      </c>
      <c r="G1595" s="8" t="str">
        <f aca="false">IFERROR(INDEX(CADASTRO_PIVOS!$D$6:$D$41,MATCH($E1595,CADASTRO_PIVOS!$B$6:$B$41,0)),"?")</f>
        <v>TR07</v>
      </c>
      <c r="H1595" s="20" t="n">
        <f aca="false">IFERROR(INDEX(CADASTRO_PIVOS!$E$6:$E$41,MATCH($E1595,CADASTRO_PIVOS!$B$6:$B$41,0)),0)</f>
        <v>146.95</v>
      </c>
      <c r="I1595" s="16" t="n">
        <f aca="false">IFERROR(SUMIFS(ROTACAO_RDM!$B$6:$B$71,ROTACAO_RDM!$D$6:$D$71,$E1595,ROTACAO_RDM!$I$6:$I$71,"&lt;="&amp;$C1595+INT(DIAS_POR_SEMANA/2),ROTACAO_RDM!$J$6:$J$71,"&gt;="&amp;$C1595+INT(DIAS_POR_SEMANA/2)),0)</f>
        <v>0</v>
      </c>
      <c r="J1595" s="16" t="n">
        <f aca="false">IFERROR(MATCH($I1595,ROTACAO_RDM!$B$6:$B$71,0),0)</f>
        <v>0</v>
      </c>
      <c r="K1595" s="8" t="str">
        <f aca="false">IF($J1595=0,"SEM CULTURA",INDEX(ROTACAO_RDM!$F$6:$F$71,$J1595))</f>
        <v>SEM CULTURA</v>
      </c>
      <c r="L1595" s="8" t="str">
        <f aca="false">IF($J1595=0,"",INDEX(ROTACAO_RDM!$G$6:$G$71,$J1595))</f>
        <v/>
      </c>
      <c r="M1595" s="17" t="str">
        <f aca="false">IF($J1595=0,"",INDEX(ROTACAO_RDM!$I$6:$I$71,$J1595))</f>
        <v/>
      </c>
      <c r="N1595" s="16" t="n">
        <f aca="false">IF($J1595=0,0,MAX(0,$C1595+INT(DIAS_POR_SEMANA/2)-INDEX(ROTACAO_RDM!$I$6:$I$71,$J1595)))</f>
        <v>0</v>
      </c>
      <c r="O1595" s="19" t="n">
        <f aca="false">IF($J1595=0,0,MIN(1,$N1595/MAX(1,INDEX(ROTACAO_RDM!$K$6:$K$71,$J1595))))</f>
        <v>0</v>
      </c>
      <c r="P1595" s="16" t="n">
        <f aca="false">IF($J1595=0,0,IFERROR(MATCH(INDEX(ROTACAO_RDM!$N$6:$N$71,$J1595),PARAMETROS_CULTURAS!$B$6:$B$28,0),0))</f>
        <v>0</v>
      </c>
      <c r="Q1595" s="8" t="str">
        <f aca="false">IF($P1595=0,"-",IF($O1595&lt;=INDEX(PARAMETROS_CULTURAS!$F$6:$F$28,$P1595),"INICIAL",IF($O1595&lt;=INDEX(PARAMETROS_CULTURAS!$F$6:$F$28,$P1595)+INDEX(PARAMETROS_CULTURAS!$G$6:$G$28,$P1595),"DESENVOLVIMENTO",IF($O1595&lt;=INDEX(PARAMETROS_CULTURAS!$F$6:$F$28,$P1595)+INDEX(PARAMETROS_CULTURAS!$G$6:$G$28,$P1595)+INDEX(PARAMETROS_CULTURAS!$H$6:$H$28,$P1595),"MEDIA","FINAL"))))</f>
        <v>-</v>
      </c>
      <c r="R1595" s="24" t="n">
        <f aca="false">IF($P1595=0,0,IF($O1595&lt;=INDEX(PARAMETROS_CULTURAS!$F$6:$F$28,$P1595),INDEX(PARAMETROS_CULTURAS!$K$6:$K$28,$P1595),IF($O1595&lt;=INDEX(PARAMETROS_CULTURAS!$F$6:$F$28,$P1595)+INDEX(PARAMETROS_CULTURAS!$G$6:$G$28,$P1595),INDEX(PARAMETROS_CULTURAS!$K$6:$K$28,$P1595)+(INDEX(PARAMETROS_CULTURAS!$L$6:$L$28,$P1595)-INDEX(PARAMETROS_CULTURAS!$K$6:$K$28,$P1595))*($O1595-INDEX(PARAMETROS_CULTURAS!$F$6:$F$28,$P1595))/MAX(INDEX(PARAMETROS_CULTURAS!$G$6:$G$28,$P1595),0.0001),IF($O1595&lt;=INDEX(PARAMETROS_CULTURAS!$F$6:$F$28,$P1595)+INDEX(PARAMETROS_CULTURAS!$G$6:$G$28,$P1595)+INDEX(PARAMETROS_CULTURAS!$H$6:$H$28,$P1595),INDEX(PARAMETROS_CULTURAS!$L$6:$L$28,$P1595),INDEX(PARAMETROS_CULTURAS!$L$6:$L$28,$P1595)+(INDEX(PARAMETROS_CULTURAS!$M$6:$M$28,$P1595)-INDEX(PARAMETROS_CULTURAS!$L$6:$L$28,$P1595))*($O1595-INDEX(PARAMETROS_CULTURAS!$F$6:$F$28,$P1595)-INDEX(PARAMETROS_CULTURAS!$G$6:$G$28,$P1595)-INDEX(PARAMETROS_CULTURAS!$H$6:$H$28,$P1595))/MAX(INDEX(PARAMETROS_CULTURAS!$I$6:$I$28,$P1595),0.0001)))))</f>
        <v>0</v>
      </c>
      <c r="S1595" s="18" t="n">
        <f aca="false">IFERROR(INDEX(SEMANAS!$H$6:$H$71,MATCH($B1595,SEMANAS!$B$6:$B$71,0)),0)</f>
        <v>39.2</v>
      </c>
      <c r="T1595" s="18" t="n">
        <f aca="false">$R1595*$S1595</f>
        <v>0</v>
      </c>
      <c r="U1595" s="18" t="n">
        <f aca="false">IFERROR(INDEX(SEMANAS!$I$6:$I$71,MATCH($B1595,SEMANAS!$B$6:$B$71,0)),0)</f>
        <v>27.09</v>
      </c>
      <c r="V1595" s="18" t="n">
        <f aca="false">IFERROR(INDEX(SEMANAS!$J$6:$J$71,MATCH($B1595,SEMANAS!$B$6:$B$71,0)),0)</f>
        <v>21.672</v>
      </c>
      <c r="W1595" s="18" t="n">
        <f aca="false">MAX(0,$T1595-$V1595)</f>
        <v>0</v>
      </c>
      <c r="X1595" s="19" t="n">
        <f aca="false">IFERROR(INDEX(CADASTRO_PIVOS!$K$6:$K$41,MATCH($E1595,CADASTRO_PIVOS!$B$6:$B$41,0)),EFICIENCIA_PADRAO)</f>
        <v>0.85</v>
      </c>
      <c r="Y1595" s="18" t="n">
        <f aca="false">IF($X1595&lt;=0,0,$W1595/$X1595)</f>
        <v>0</v>
      </c>
      <c r="Z1595" s="16" t="n">
        <f aca="false">$Y1595*$H1595*MM_PARA_M3_HA</f>
        <v>0</v>
      </c>
      <c r="AA1595" s="18" t="n">
        <f aca="false">IFERROR(INDEX(CADASTRO_PIVOS!$I$6:$I$41,MATCH($E1595,CADASTRO_PIVOS!$B$6:$B$41,0)),0)</f>
        <v>1049.64285714286</v>
      </c>
      <c r="AB1595" s="18" t="n">
        <f aca="false">IF($Z1595&lt;=0,0,$Z1595/$AA1595)</f>
        <v>0</v>
      </c>
      <c r="AC1595" s="16" t="n">
        <f aca="false">IFERROR(INDEX(SEMANAS!$K$6:$K$71,MATCH($B1595,SEMANAS!$B$6:$B$71,0)),0)</f>
        <v>147</v>
      </c>
      <c r="AD1595" s="19" t="n">
        <f aca="false">IF($AC1595&lt;=0,0,$AB1595/$AC1595)</f>
        <v>0</v>
      </c>
      <c r="AE1595" s="8" t="str">
        <f aca="false">IF($K1595="SEM CULTURA","SEM CULTURA",IF($AA1595&lt;=0,"DADO PENDENTE",IF($AD1595&gt;LIMITE_CRITICO,"INVIAVEL",IF($AD1595&gt;LIMITE_ATENCAO,"CRITICO",IF($AD1595&gt;LIMITE_CONFORTAVEL,"ATENCAO","OK")))))</f>
        <v>SEM CULTURA</v>
      </c>
      <c r="AF1595" s="8" t="str">
        <f aca="false">$B1595&amp;"|"&amp;TEXT($AD1595,"0.000000")</f>
        <v>6|0.000000</v>
      </c>
      <c r="AG1595" s="18" t="n">
        <f aca="false">IF($K1595="SEM CULTURA",0,$T1595*$H1595)</f>
        <v>0</v>
      </c>
      <c r="AH1595" s="18" t="n">
        <f aca="false">IF($K1595="SEM CULTURA",0,$V1595*$H1595)</f>
        <v>0</v>
      </c>
      <c r="AI1595" s="18" t="n">
        <f aca="false">IF($K1595="SEM CULTURA",0,$W1595*$H1595)</f>
        <v>0</v>
      </c>
      <c r="AJ1595" s="18" t="n">
        <f aca="false">IF($K1595="SEM CULTURA",0,$S1595*$H1595)</f>
        <v>0</v>
      </c>
      <c r="AK1595" s="8" t="str">
        <f aca="false">$E1595&amp;"|"&amp;TEXT($AD1595,"0.000000")</f>
        <v>PV 121|0.000000</v>
      </c>
    </row>
    <row r="1596" customFormat="false" ht="15" hidden="false" customHeight="false" outlineLevel="0" collapsed="false">
      <c r="B1596" s="16" t="n">
        <v>7</v>
      </c>
      <c r="C1596" s="17" t="n">
        <f aca="false">DATA_INICIO_SAFRA+($B1596-1)*DIAS_POR_SEMANA</f>
        <v>46307</v>
      </c>
      <c r="D1596" s="17" t="n">
        <f aca="false">$C1596+DIAS_POR_SEMANA-1</f>
        <v>46313</v>
      </c>
      <c r="E1596" s="15" t="s">
        <v>283</v>
      </c>
      <c r="F1596" s="8" t="str">
        <f aca="false">IFERROR(INDEX(CADASTRO_PIVOS!$C$6:$C$41,MATCH($E1596,CADASTRO_PIVOS!$B$6:$B$41,0)),"?")</f>
        <v>RM07</v>
      </c>
      <c r="G1596" s="8" t="str">
        <f aca="false">IFERROR(INDEX(CADASTRO_PIVOS!$D$6:$D$41,MATCH($E1596,CADASTRO_PIVOS!$B$6:$B$41,0)),"?")</f>
        <v>TR07</v>
      </c>
      <c r="H1596" s="20" t="n">
        <f aca="false">IFERROR(INDEX(CADASTRO_PIVOS!$E$6:$E$41,MATCH($E1596,CADASTRO_PIVOS!$B$6:$B$41,0)),0)</f>
        <v>146.95</v>
      </c>
      <c r="I1596" s="16" t="n">
        <f aca="false">IFERROR(SUMIFS(ROTACAO_RDM!$B$6:$B$71,ROTACAO_RDM!$D$6:$D$71,$E1596,ROTACAO_RDM!$I$6:$I$71,"&lt;="&amp;$C1596+INT(DIAS_POR_SEMANA/2),ROTACAO_RDM!$J$6:$J$71,"&gt;="&amp;$C1596+INT(DIAS_POR_SEMANA/2)),0)</f>
        <v>36</v>
      </c>
      <c r="J1596" s="16" t="n">
        <f aca="false">IFERROR(MATCH($I1596,ROTACAO_RDM!$B$6:$B$71,0),0)</f>
        <v>36</v>
      </c>
      <c r="K1596" s="8" t="str">
        <f aca="false">IF($J1596=0,"SEM CULTURA",INDEX(ROTACAO_RDM!$F$6:$F$71,$J1596))</f>
        <v>SOJA</v>
      </c>
      <c r="L1596" s="8" t="str">
        <f aca="false">IF($J1596=0,"",INDEX(ROTACAO_RDM!$G$6:$G$71,$J1596))</f>
        <v>BMX Olimpo IPRO</v>
      </c>
      <c r="M1596" s="17" t="n">
        <f aca="false">IF($J1596=0,"",INDEX(ROTACAO_RDM!$I$6:$I$71,$J1596))</f>
        <v>46309</v>
      </c>
      <c r="N1596" s="16" t="n">
        <f aca="false">IF($J1596=0,0,MAX(0,$C1596+INT(DIAS_POR_SEMANA/2)-INDEX(ROTACAO_RDM!$I$6:$I$71,$J1596)))</f>
        <v>1</v>
      </c>
      <c r="O1596" s="19" t="n">
        <f aca="false">IF($J1596=0,0,MIN(1,$N1596/MAX(1,INDEX(ROTACAO_RDM!$K$6:$K$71,$J1596))))</f>
        <v>0.00819672131147541</v>
      </c>
      <c r="P1596" s="16" t="n">
        <f aca="false">IF($J1596=0,0,IFERROR(MATCH(INDEX(ROTACAO_RDM!$N$6:$N$71,$J1596),PARAMETROS_CULTURAS!$B$6:$B$28,0),0))</f>
        <v>2</v>
      </c>
      <c r="Q1596" s="8" t="str">
        <f aca="false">IF($P1596=0,"-",IF($O1596&lt;=INDEX(PARAMETROS_CULTURAS!$F$6:$F$28,$P1596),"INICIAL",IF($O1596&lt;=INDEX(PARAMETROS_CULTURAS!$F$6:$F$28,$P1596)+INDEX(PARAMETROS_CULTURAS!$G$6:$G$28,$P1596),"DESENVOLVIMENTO",IF($O1596&lt;=INDEX(PARAMETROS_CULTURAS!$F$6:$F$28,$P1596)+INDEX(PARAMETROS_CULTURAS!$G$6:$G$28,$P1596)+INDEX(PARAMETROS_CULTURAS!$H$6:$H$28,$P1596),"MEDIA","FINAL"))))</f>
        <v>INICIAL</v>
      </c>
      <c r="R1596" s="24" t="n">
        <f aca="false">IF($P1596=0,0,IF($O1596&lt;=INDEX(PARAMETROS_CULTURAS!$F$6:$F$28,$P1596),INDEX(PARAMETROS_CULTURAS!$K$6:$K$28,$P1596),IF($O1596&lt;=INDEX(PARAMETROS_CULTURAS!$F$6:$F$28,$P1596)+INDEX(PARAMETROS_CULTURAS!$G$6:$G$28,$P1596),INDEX(PARAMETROS_CULTURAS!$K$6:$K$28,$P1596)+(INDEX(PARAMETROS_CULTURAS!$L$6:$L$28,$P1596)-INDEX(PARAMETROS_CULTURAS!$K$6:$K$28,$P1596))*($O1596-INDEX(PARAMETROS_CULTURAS!$F$6:$F$28,$P1596))/MAX(INDEX(PARAMETROS_CULTURAS!$G$6:$G$28,$P1596),0.0001),IF($O1596&lt;=INDEX(PARAMETROS_CULTURAS!$F$6:$F$28,$P1596)+INDEX(PARAMETROS_CULTURAS!$G$6:$G$28,$P1596)+INDEX(PARAMETROS_CULTURAS!$H$6:$H$28,$P1596),INDEX(PARAMETROS_CULTURAS!$L$6:$L$28,$P1596),INDEX(PARAMETROS_CULTURAS!$L$6:$L$28,$P1596)+(INDEX(PARAMETROS_CULTURAS!$M$6:$M$28,$P1596)-INDEX(PARAMETROS_CULTURAS!$L$6:$L$28,$P1596))*($O1596-INDEX(PARAMETROS_CULTURAS!$F$6:$F$28,$P1596)-INDEX(PARAMETROS_CULTURAS!$G$6:$G$28,$P1596)-INDEX(PARAMETROS_CULTURAS!$H$6:$H$28,$P1596))/MAX(INDEX(PARAMETROS_CULTURAS!$I$6:$I$28,$P1596),0.0001)))))</f>
        <v>0.4</v>
      </c>
      <c r="S1596" s="18" t="n">
        <f aca="false">IFERROR(INDEX(SEMANAS!$H$6:$H$71,MATCH($B1596,SEMANAS!$B$6:$B$71,0)),0)</f>
        <v>39.2</v>
      </c>
      <c r="T1596" s="18" t="n">
        <f aca="false">$R1596*$S1596</f>
        <v>15.68</v>
      </c>
      <c r="U1596" s="18" t="n">
        <f aca="false">IFERROR(INDEX(SEMANAS!$I$6:$I$71,MATCH($B1596,SEMANAS!$B$6:$B$71,0)),0)</f>
        <v>27.09</v>
      </c>
      <c r="V1596" s="18" t="n">
        <f aca="false">IFERROR(INDEX(SEMANAS!$J$6:$J$71,MATCH($B1596,SEMANAS!$B$6:$B$71,0)),0)</f>
        <v>21.672</v>
      </c>
      <c r="W1596" s="18" t="n">
        <f aca="false">MAX(0,$T1596-$V1596)</f>
        <v>0</v>
      </c>
      <c r="X1596" s="19" t="n">
        <f aca="false">IFERROR(INDEX(CADASTRO_PIVOS!$K$6:$K$41,MATCH($E1596,CADASTRO_PIVOS!$B$6:$B$41,0)),EFICIENCIA_PADRAO)</f>
        <v>0.85</v>
      </c>
      <c r="Y1596" s="18" t="n">
        <f aca="false">IF($X1596&lt;=0,0,$W1596/$X1596)</f>
        <v>0</v>
      </c>
      <c r="Z1596" s="16" t="n">
        <f aca="false">$Y1596*$H1596*MM_PARA_M3_HA</f>
        <v>0</v>
      </c>
      <c r="AA1596" s="18" t="n">
        <f aca="false">IFERROR(INDEX(CADASTRO_PIVOS!$I$6:$I$41,MATCH($E1596,CADASTRO_PIVOS!$B$6:$B$41,0)),0)</f>
        <v>1049.64285714286</v>
      </c>
      <c r="AB1596" s="18" t="n">
        <f aca="false">IF($Z1596&lt;=0,0,$Z1596/$AA1596)</f>
        <v>0</v>
      </c>
      <c r="AC1596" s="16" t="n">
        <f aca="false">IFERROR(INDEX(SEMANAS!$K$6:$K$71,MATCH($B1596,SEMANAS!$B$6:$B$71,0)),0)</f>
        <v>147</v>
      </c>
      <c r="AD1596" s="19" t="n">
        <f aca="false">IF($AC1596&lt;=0,0,$AB1596/$AC1596)</f>
        <v>0</v>
      </c>
      <c r="AE1596" s="8" t="str">
        <f aca="false">IF($K1596="SEM CULTURA","SEM CULTURA",IF($AA1596&lt;=0,"DADO PENDENTE",IF($AD1596&gt;LIMITE_CRITICO,"INVIAVEL",IF($AD1596&gt;LIMITE_ATENCAO,"CRITICO",IF($AD1596&gt;LIMITE_CONFORTAVEL,"ATENCAO","OK")))))</f>
        <v>OK</v>
      </c>
      <c r="AF1596" s="8" t="str">
        <f aca="false">$B1596&amp;"|"&amp;TEXT($AD1596,"0.000000")</f>
        <v>7|0.000000</v>
      </c>
      <c r="AG1596" s="18" t="n">
        <f aca="false">IF($K1596="SEM CULTURA",0,$T1596*$H1596)</f>
        <v>2304.176</v>
      </c>
      <c r="AH1596" s="18" t="n">
        <f aca="false">IF($K1596="SEM CULTURA",0,$V1596*$H1596)</f>
        <v>3184.7004</v>
      </c>
      <c r="AI1596" s="18" t="n">
        <f aca="false">IF($K1596="SEM CULTURA",0,$W1596*$H1596)</f>
        <v>0</v>
      </c>
      <c r="AJ1596" s="18" t="n">
        <f aca="false">IF($K1596="SEM CULTURA",0,$S1596*$H1596)</f>
        <v>5760.44</v>
      </c>
      <c r="AK1596" s="8" t="str">
        <f aca="false">$E1596&amp;"|"&amp;TEXT($AD1596,"0.000000")</f>
        <v>PV 121|0.000000</v>
      </c>
    </row>
    <row r="1597" customFormat="false" ht="15" hidden="false" customHeight="false" outlineLevel="0" collapsed="false">
      <c r="B1597" s="16" t="n">
        <v>8</v>
      </c>
      <c r="C1597" s="17" t="n">
        <f aca="false">DATA_INICIO_SAFRA+($B1597-1)*DIAS_POR_SEMANA</f>
        <v>46314</v>
      </c>
      <c r="D1597" s="17" t="n">
        <f aca="false">$C1597+DIAS_POR_SEMANA-1</f>
        <v>46320</v>
      </c>
      <c r="E1597" s="15" t="s">
        <v>283</v>
      </c>
      <c r="F1597" s="8" t="str">
        <f aca="false">IFERROR(INDEX(CADASTRO_PIVOS!$C$6:$C$41,MATCH($E1597,CADASTRO_PIVOS!$B$6:$B$41,0)),"?")</f>
        <v>RM07</v>
      </c>
      <c r="G1597" s="8" t="str">
        <f aca="false">IFERROR(INDEX(CADASTRO_PIVOS!$D$6:$D$41,MATCH($E1597,CADASTRO_PIVOS!$B$6:$B$41,0)),"?")</f>
        <v>TR07</v>
      </c>
      <c r="H1597" s="20" t="n">
        <f aca="false">IFERROR(INDEX(CADASTRO_PIVOS!$E$6:$E$41,MATCH($E1597,CADASTRO_PIVOS!$B$6:$B$41,0)),0)</f>
        <v>146.95</v>
      </c>
      <c r="I1597" s="16" t="n">
        <f aca="false">IFERROR(SUMIFS(ROTACAO_RDM!$B$6:$B$71,ROTACAO_RDM!$D$6:$D$71,$E1597,ROTACAO_RDM!$I$6:$I$71,"&lt;="&amp;$C1597+INT(DIAS_POR_SEMANA/2),ROTACAO_RDM!$J$6:$J$71,"&gt;="&amp;$C1597+INT(DIAS_POR_SEMANA/2)),0)</f>
        <v>36</v>
      </c>
      <c r="J1597" s="16" t="n">
        <f aca="false">IFERROR(MATCH($I1597,ROTACAO_RDM!$B$6:$B$71,0),0)</f>
        <v>36</v>
      </c>
      <c r="K1597" s="8" t="str">
        <f aca="false">IF($J1597=0,"SEM CULTURA",INDEX(ROTACAO_RDM!$F$6:$F$71,$J1597))</f>
        <v>SOJA</v>
      </c>
      <c r="L1597" s="8" t="str">
        <f aca="false">IF($J1597=0,"",INDEX(ROTACAO_RDM!$G$6:$G$71,$J1597))</f>
        <v>BMX Olimpo IPRO</v>
      </c>
      <c r="M1597" s="17" t="n">
        <f aca="false">IF($J1597=0,"",INDEX(ROTACAO_RDM!$I$6:$I$71,$J1597))</f>
        <v>46309</v>
      </c>
      <c r="N1597" s="16" t="n">
        <f aca="false">IF($J1597=0,0,MAX(0,$C1597+INT(DIAS_POR_SEMANA/2)-INDEX(ROTACAO_RDM!$I$6:$I$71,$J1597)))</f>
        <v>8</v>
      </c>
      <c r="O1597" s="19" t="n">
        <f aca="false">IF($J1597=0,0,MIN(1,$N1597/MAX(1,INDEX(ROTACAO_RDM!$K$6:$K$71,$J1597))))</f>
        <v>0.0655737704918033</v>
      </c>
      <c r="P1597" s="16" t="n">
        <f aca="false">IF($J1597=0,0,IFERROR(MATCH(INDEX(ROTACAO_RDM!$N$6:$N$71,$J1597),PARAMETROS_CULTURAS!$B$6:$B$28,0),0))</f>
        <v>2</v>
      </c>
      <c r="Q1597" s="8" t="str">
        <f aca="false">IF($P1597=0,"-",IF($O1597&lt;=INDEX(PARAMETROS_CULTURAS!$F$6:$F$28,$P1597),"INICIAL",IF($O1597&lt;=INDEX(PARAMETROS_CULTURAS!$F$6:$F$28,$P1597)+INDEX(PARAMETROS_CULTURAS!$G$6:$G$28,$P1597),"DESENVOLVIMENTO",IF($O1597&lt;=INDEX(PARAMETROS_CULTURAS!$F$6:$F$28,$P1597)+INDEX(PARAMETROS_CULTURAS!$G$6:$G$28,$P1597)+INDEX(PARAMETROS_CULTURAS!$H$6:$H$28,$P1597),"MEDIA","FINAL"))))</f>
        <v>INICIAL</v>
      </c>
      <c r="R1597" s="24" t="n">
        <f aca="false">IF($P1597=0,0,IF($O1597&lt;=INDEX(PARAMETROS_CULTURAS!$F$6:$F$28,$P1597),INDEX(PARAMETROS_CULTURAS!$K$6:$K$28,$P1597),IF($O1597&lt;=INDEX(PARAMETROS_CULTURAS!$F$6:$F$28,$P1597)+INDEX(PARAMETROS_CULTURAS!$G$6:$G$28,$P1597),INDEX(PARAMETROS_CULTURAS!$K$6:$K$28,$P1597)+(INDEX(PARAMETROS_CULTURAS!$L$6:$L$28,$P1597)-INDEX(PARAMETROS_CULTURAS!$K$6:$K$28,$P1597))*($O1597-INDEX(PARAMETROS_CULTURAS!$F$6:$F$28,$P1597))/MAX(INDEX(PARAMETROS_CULTURAS!$G$6:$G$28,$P1597),0.0001),IF($O1597&lt;=INDEX(PARAMETROS_CULTURAS!$F$6:$F$28,$P1597)+INDEX(PARAMETROS_CULTURAS!$G$6:$G$28,$P1597)+INDEX(PARAMETROS_CULTURAS!$H$6:$H$28,$P1597),INDEX(PARAMETROS_CULTURAS!$L$6:$L$28,$P1597),INDEX(PARAMETROS_CULTURAS!$L$6:$L$28,$P1597)+(INDEX(PARAMETROS_CULTURAS!$M$6:$M$28,$P1597)-INDEX(PARAMETROS_CULTURAS!$L$6:$L$28,$P1597))*($O1597-INDEX(PARAMETROS_CULTURAS!$F$6:$F$28,$P1597)-INDEX(PARAMETROS_CULTURAS!$G$6:$G$28,$P1597)-INDEX(PARAMETROS_CULTURAS!$H$6:$H$28,$P1597))/MAX(INDEX(PARAMETROS_CULTURAS!$I$6:$I$28,$P1597),0.0001)))))</f>
        <v>0.4</v>
      </c>
      <c r="S1597" s="18" t="n">
        <f aca="false">IFERROR(INDEX(SEMANAS!$H$6:$H$71,MATCH($B1597,SEMANAS!$B$6:$B$71,0)),0)</f>
        <v>39.2</v>
      </c>
      <c r="T1597" s="18" t="n">
        <f aca="false">$R1597*$S1597</f>
        <v>15.68</v>
      </c>
      <c r="U1597" s="18" t="n">
        <f aca="false">IFERROR(INDEX(SEMANAS!$I$6:$I$71,MATCH($B1597,SEMANAS!$B$6:$B$71,0)),0)</f>
        <v>27.09</v>
      </c>
      <c r="V1597" s="18" t="n">
        <f aca="false">IFERROR(INDEX(SEMANAS!$J$6:$J$71,MATCH($B1597,SEMANAS!$B$6:$B$71,0)),0)</f>
        <v>21.672</v>
      </c>
      <c r="W1597" s="18" t="n">
        <f aca="false">MAX(0,$T1597-$V1597)</f>
        <v>0</v>
      </c>
      <c r="X1597" s="19" t="n">
        <f aca="false">IFERROR(INDEX(CADASTRO_PIVOS!$K$6:$K$41,MATCH($E1597,CADASTRO_PIVOS!$B$6:$B$41,0)),EFICIENCIA_PADRAO)</f>
        <v>0.85</v>
      </c>
      <c r="Y1597" s="18" t="n">
        <f aca="false">IF($X1597&lt;=0,0,$W1597/$X1597)</f>
        <v>0</v>
      </c>
      <c r="Z1597" s="16" t="n">
        <f aca="false">$Y1597*$H1597*MM_PARA_M3_HA</f>
        <v>0</v>
      </c>
      <c r="AA1597" s="18" t="n">
        <f aca="false">IFERROR(INDEX(CADASTRO_PIVOS!$I$6:$I$41,MATCH($E1597,CADASTRO_PIVOS!$B$6:$B$41,0)),0)</f>
        <v>1049.64285714286</v>
      </c>
      <c r="AB1597" s="18" t="n">
        <f aca="false">IF($Z1597&lt;=0,0,$Z1597/$AA1597)</f>
        <v>0</v>
      </c>
      <c r="AC1597" s="16" t="n">
        <f aca="false">IFERROR(INDEX(SEMANAS!$K$6:$K$71,MATCH($B1597,SEMANAS!$B$6:$B$71,0)),0)</f>
        <v>147</v>
      </c>
      <c r="AD1597" s="19" t="n">
        <f aca="false">IF($AC1597&lt;=0,0,$AB1597/$AC1597)</f>
        <v>0</v>
      </c>
      <c r="AE1597" s="8" t="str">
        <f aca="false">IF($K1597="SEM CULTURA","SEM CULTURA",IF($AA1597&lt;=0,"DADO PENDENTE",IF($AD1597&gt;LIMITE_CRITICO,"INVIAVEL",IF($AD1597&gt;LIMITE_ATENCAO,"CRITICO",IF($AD1597&gt;LIMITE_CONFORTAVEL,"ATENCAO","OK")))))</f>
        <v>OK</v>
      </c>
      <c r="AF1597" s="8" t="str">
        <f aca="false">$B1597&amp;"|"&amp;TEXT($AD1597,"0.000000")</f>
        <v>8|0.000000</v>
      </c>
      <c r="AG1597" s="18" t="n">
        <f aca="false">IF($K1597="SEM CULTURA",0,$T1597*$H1597)</f>
        <v>2304.176</v>
      </c>
      <c r="AH1597" s="18" t="n">
        <f aca="false">IF($K1597="SEM CULTURA",0,$V1597*$H1597)</f>
        <v>3184.7004</v>
      </c>
      <c r="AI1597" s="18" t="n">
        <f aca="false">IF($K1597="SEM CULTURA",0,$W1597*$H1597)</f>
        <v>0</v>
      </c>
      <c r="AJ1597" s="18" t="n">
        <f aca="false">IF($K1597="SEM CULTURA",0,$S1597*$H1597)</f>
        <v>5760.44</v>
      </c>
      <c r="AK1597" s="8" t="str">
        <f aca="false">$E1597&amp;"|"&amp;TEXT($AD1597,"0.000000")</f>
        <v>PV 121|0.000000</v>
      </c>
    </row>
    <row r="1598" customFormat="false" ht="15" hidden="false" customHeight="false" outlineLevel="0" collapsed="false">
      <c r="B1598" s="16" t="n">
        <v>9</v>
      </c>
      <c r="C1598" s="17" t="n">
        <f aca="false">DATA_INICIO_SAFRA+($B1598-1)*DIAS_POR_SEMANA</f>
        <v>46321</v>
      </c>
      <c r="D1598" s="17" t="n">
        <f aca="false">$C1598+DIAS_POR_SEMANA-1</f>
        <v>46327</v>
      </c>
      <c r="E1598" s="15" t="s">
        <v>283</v>
      </c>
      <c r="F1598" s="8" t="str">
        <f aca="false">IFERROR(INDEX(CADASTRO_PIVOS!$C$6:$C$41,MATCH($E1598,CADASTRO_PIVOS!$B$6:$B$41,0)),"?")</f>
        <v>RM07</v>
      </c>
      <c r="G1598" s="8" t="str">
        <f aca="false">IFERROR(INDEX(CADASTRO_PIVOS!$D$6:$D$41,MATCH($E1598,CADASTRO_PIVOS!$B$6:$B$41,0)),"?")</f>
        <v>TR07</v>
      </c>
      <c r="H1598" s="20" t="n">
        <f aca="false">IFERROR(INDEX(CADASTRO_PIVOS!$E$6:$E$41,MATCH($E1598,CADASTRO_PIVOS!$B$6:$B$41,0)),0)</f>
        <v>146.95</v>
      </c>
      <c r="I1598" s="16" t="n">
        <f aca="false">IFERROR(SUMIFS(ROTACAO_RDM!$B$6:$B$71,ROTACAO_RDM!$D$6:$D$71,$E1598,ROTACAO_RDM!$I$6:$I$71,"&lt;="&amp;$C1598+INT(DIAS_POR_SEMANA/2),ROTACAO_RDM!$J$6:$J$71,"&gt;="&amp;$C1598+INT(DIAS_POR_SEMANA/2)),0)</f>
        <v>36</v>
      </c>
      <c r="J1598" s="16" t="n">
        <f aca="false">IFERROR(MATCH($I1598,ROTACAO_RDM!$B$6:$B$71,0),0)</f>
        <v>36</v>
      </c>
      <c r="K1598" s="8" t="str">
        <f aca="false">IF($J1598=0,"SEM CULTURA",INDEX(ROTACAO_RDM!$F$6:$F$71,$J1598))</f>
        <v>SOJA</v>
      </c>
      <c r="L1598" s="8" t="str">
        <f aca="false">IF($J1598=0,"",INDEX(ROTACAO_RDM!$G$6:$G$71,$J1598))</f>
        <v>BMX Olimpo IPRO</v>
      </c>
      <c r="M1598" s="17" t="n">
        <f aca="false">IF($J1598=0,"",INDEX(ROTACAO_RDM!$I$6:$I$71,$J1598))</f>
        <v>46309</v>
      </c>
      <c r="N1598" s="16" t="n">
        <f aca="false">IF($J1598=0,0,MAX(0,$C1598+INT(DIAS_POR_SEMANA/2)-INDEX(ROTACAO_RDM!$I$6:$I$71,$J1598)))</f>
        <v>15</v>
      </c>
      <c r="O1598" s="19" t="n">
        <f aca="false">IF($J1598=0,0,MIN(1,$N1598/MAX(1,INDEX(ROTACAO_RDM!$K$6:$K$71,$J1598))))</f>
        <v>0.122950819672131</v>
      </c>
      <c r="P1598" s="16" t="n">
        <f aca="false">IF($J1598=0,0,IFERROR(MATCH(INDEX(ROTACAO_RDM!$N$6:$N$71,$J1598),PARAMETROS_CULTURAS!$B$6:$B$28,0),0))</f>
        <v>2</v>
      </c>
      <c r="Q1598" s="8" t="str">
        <f aca="false">IF($P1598=0,"-",IF($O1598&lt;=INDEX(PARAMETROS_CULTURAS!$F$6:$F$28,$P1598),"INICIAL",IF($O1598&lt;=INDEX(PARAMETROS_CULTURAS!$F$6:$F$28,$P1598)+INDEX(PARAMETROS_CULTURAS!$G$6:$G$28,$P1598),"DESENVOLVIMENTO",IF($O1598&lt;=INDEX(PARAMETROS_CULTURAS!$F$6:$F$28,$P1598)+INDEX(PARAMETROS_CULTURAS!$G$6:$G$28,$P1598)+INDEX(PARAMETROS_CULTURAS!$H$6:$H$28,$P1598),"MEDIA","FINAL"))))</f>
        <v>INICIAL</v>
      </c>
      <c r="R1598" s="24" t="n">
        <f aca="false">IF($P1598=0,0,IF($O1598&lt;=INDEX(PARAMETROS_CULTURAS!$F$6:$F$28,$P1598),INDEX(PARAMETROS_CULTURAS!$K$6:$K$28,$P1598),IF($O1598&lt;=INDEX(PARAMETROS_CULTURAS!$F$6:$F$28,$P1598)+INDEX(PARAMETROS_CULTURAS!$G$6:$G$28,$P1598),INDEX(PARAMETROS_CULTURAS!$K$6:$K$28,$P1598)+(INDEX(PARAMETROS_CULTURAS!$L$6:$L$28,$P1598)-INDEX(PARAMETROS_CULTURAS!$K$6:$K$28,$P1598))*($O1598-INDEX(PARAMETROS_CULTURAS!$F$6:$F$28,$P1598))/MAX(INDEX(PARAMETROS_CULTURAS!$G$6:$G$28,$P1598),0.0001),IF($O1598&lt;=INDEX(PARAMETROS_CULTURAS!$F$6:$F$28,$P1598)+INDEX(PARAMETROS_CULTURAS!$G$6:$G$28,$P1598)+INDEX(PARAMETROS_CULTURAS!$H$6:$H$28,$P1598),INDEX(PARAMETROS_CULTURAS!$L$6:$L$28,$P1598),INDEX(PARAMETROS_CULTURAS!$L$6:$L$28,$P1598)+(INDEX(PARAMETROS_CULTURAS!$M$6:$M$28,$P1598)-INDEX(PARAMETROS_CULTURAS!$L$6:$L$28,$P1598))*($O1598-INDEX(PARAMETROS_CULTURAS!$F$6:$F$28,$P1598)-INDEX(PARAMETROS_CULTURAS!$G$6:$G$28,$P1598)-INDEX(PARAMETROS_CULTURAS!$H$6:$H$28,$P1598))/MAX(INDEX(PARAMETROS_CULTURAS!$I$6:$I$28,$P1598),0.0001)))))</f>
        <v>0.4</v>
      </c>
      <c r="S1598" s="18" t="n">
        <f aca="false">IFERROR(INDEX(SEMANAS!$H$6:$H$71,MATCH($B1598,SEMANAS!$B$6:$B$71,0)),0)</f>
        <v>38.5</v>
      </c>
      <c r="T1598" s="18" t="n">
        <f aca="false">$R1598*$S1598</f>
        <v>15.4</v>
      </c>
      <c r="U1598" s="18" t="n">
        <f aca="false">IFERROR(INDEX(SEMANAS!$I$6:$I$71,MATCH($B1598,SEMANAS!$B$6:$B$71,0)),0)</f>
        <v>29.89</v>
      </c>
      <c r="V1598" s="18" t="n">
        <f aca="false">IFERROR(INDEX(SEMANAS!$J$6:$J$71,MATCH($B1598,SEMANAS!$B$6:$B$71,0)),0)</f>
        <v>23.912</v>
      </c>
      <c r="W1598" s="18" t="n">
        <f aca="false">MAX(0,$T1598-$V1598)</f>
        <v>0</v>
      </c>
      <c r="X1598" s="19" t="n">
        <f aca="false">IFERROR(INDEX(CADASTRO_PIVOS!$K$6:$K$41,MATCH($E1598,CADASTRO_PIVOS!$B$6:$B$41,0)),EFICIENCIA_PADRAO)</f>
        <v>0.85</v>
      </c>
      <c r="Y1598" s="18" t="n">
        <f aca="false">IF($X1598&lt;=0,0,$W1598/$X1598)</f>
        <v>0</v>
      </c>
      <c r="Z1598" s="16" t="n">
        <f aca="false">$Y1598*$H1598*MM_PARA_M3_HA</f>
        <v>0</v>
      </c>
      <c r="AA1598" s="18" t="n">
        <f aca="false">IFERROR(INDEX(CADASTRO_PIVOS!$I$6:$I$41,MATCH($E1598,CADASTRO_PIVOS!$B$6:$B$41,0)),0)</f>
        <v>1049.64285714286</v>
      </c>
      <c r="AB1598" s="18" t="n">
        <f aca="false">IF($Z1598&lt;=0,0,$Z1598/$AA1598)</f>
        <v>0</v>
      </c>
      <c r="AC1598" s="16" t="n">
        <f aca="false">IFERROR(INDEX(SEMANAS!$K$6:$K$71,MATCH($B1598,SEMANAS!$B$6:$B$71,0)),0)</f>
        <v>147</v>
      </c>
      <c r="AD1598" s="19" t="n">
        <f aca="false">IF($AC1598&lt;=0,0,$AB1598/$AC1598)</f>
        <v>0</v>
      </c>
      <c r="AE1598" s="8" t="str">
        <f aca="false">IF($K1598="SEM CULTURA","SEM CULTURA",IF($AA1598&lt;=0,"DADO PENDENTE",IF($AD1598&gt;LIMITE_CRITICO,"INVIAVEL",IF($AD1598&gt;LIMITE_ATENCAO,"CRITICO",IF($AD1598&gt;LIMITE_CONFORTAVEL,"ATENCAO","OK")))))</f>
        <v>OK</v>
      </c>
      <c r="AF1598" s="8" t="str">
        <f aca="false">$B1598&amp;"|"&amp;TEXT($AD1598,"0.000000")</f>
        <v>9|0.000000</v>
      </c>
      <c r="AG1598" s="18" t="n">
        <f aca="false">IF($K1598="SEM CULTURA",0,$T1598*$H1598)</f>
        <v>2263.03</v>
      </c>
      <c r="AH1598" s="18" t="n">
        <f aca="false">IF($K1598="SEM CULTURA",0,$V1598*$H1598)</f>
        <v>3513.8684</v>
      </c>
      <c r="AI1598" s="18" t="n">
        <f aca="false">IF($K1598="SEM CULTURA",0,$W1598*$H1598)</f>
        <v>0</v>
      </c>
      <c r="AJ1598" s="18" t="n">
        <f aca="false">IF($K1598="SEM CULTURA",0,$S1598*$H1598)</f>
        <v>5657.575</v>
      </c>
      <c r="AK1598" s="8" t="str">
        <f aca="false">$E1598&amp;"|"&amp;TEXT($AD1598,"0.000000")</f>
        <v>PV 121|0.000000</v>
      </c>
    </row>
    <row r="1599" customFormat="false" ht="15" hidden="false" customHeight="false" outlineLevel="0" collapsed="false">
      <c r="B1599" s="16" t="n">
        <v>10</v>
      </c>
      <c r="C1599" s="17" t="n">
        <f aca="false">DATA_INICIO_SAFRA+($B1599-1)*DIAS_POR_SEMANA</f>
        <v>46328</v>
      </c>
      <c r="D1599" s="17" t="n">
        <f aca="false">$C1599+DIAS_POR_SEMANA-1</f>
        <v>46334</v>
      </c>
      <c r="E1599" s="15" t="s">
        <v>283</v>
      </c>
      <c r="F1599" s="8" t="str">
        <f aca="false">IFERROR(INDEX(CADASTRO_PIVOS!$C$6:$C$41,MATCH($E1599,CADASTRO_PIVOS!$B$6:$B$41,0)),"?")</f>
        <v>RM07</v>
      </c>
      <c r="G1599" s="8" t="str">
        <f aca="false">IFERROR(INDEX(CADASTRO_PIVOS!$D$6:$D$41,MATCH($E1599,CADASTRO_PIVOS!$B$6:$B$41,0)),"?")</f>
        <v>TR07</v>
      </c>
      <c r="H1599" s="20" t="n">
        <f aca="false">IFERROR(INDEX(CADASTRO_PIVOS!$E$6:$E$41,MATCH($E1599,CADASTRO_PIVOS!$B$6:$B$41,0)),0)</f>
        <v>146.95</v>
      </c>
      <c r="I1599" s="16" t="n">
        <f aca="false">IFERROR(SUMIFS(ROTACAO_RDM!$B$6:$B$71,ROTACAO_RDM!$D$6:$D$71,$E1599,ROTACAO_RDM!$I$6:$I$71,"&lt;="&amp;$C1599+INT(DIAS_POR_SEMANA/2),ROTACAO_RDM!$J$6:$J$71,"&gt;="&amp;$C1599+INT(DIAS_POR_SEMANA/2)),0)</f>
        <v>36</v>
      </c>
      <c r="J1599" s="16" t="n">
        <f aca="false">IFERROR(MATCH($I1599,ROTACAO_RDM!$B$6:$B$71,0),0)</f>
        <v>36</v>
      </c>
      <c r="K1599" s="8" t="str">
        <f aca="false">IF($J1599=0,"SEM CULTURA",INDEX(ROTACAO_RDM!$F$6:$F$71,$J1599))</f>
        <v>SOJA</v>
      </c>
      <c r="L1599" s="8" t="str">
        <f aca="false">IF($J1599=0,"",INDEX(ROTACAO_RDM!$G$6:$G$71,$J1599))</f>
        <v>BMX Olimpo IPRO</v>
      </c>
      <c r="M1599" s="17" t="n">
        <f aca="false">IF($J1599=0,"",INDEX(ROTACAO_RDM!$I$6:$I$71,$J1599))</f>
        <v>46309</v>
      </c>
      <c r="N1599" s="16" t="n">
        <f aca="false">IF($J1599=0,0,MAX(0,$C1599+INT(DIAS_POR_SEMANA/2)-INDEX(ROTACAO_RDM!$I$6:$I$71,$J1599)))</f>
        <v>22</v>
      </c>
      <c r="O1599" s="19" t="n">
        <f aca="false">IF($J1599=0,0,MIN(1,$N1599/MAX(1,INDEX(ROTACAO_RDM!$K$6:$K$71,$J1599))))</f>
        <v>0.180327868852459</v>
      </c>
      <c r="P1599" s="16" t="n">
        <f aca="false">IF($J1599=0,0,IFERROR(MATCH(INDEX(ROTACAO_RDM!$N$6:$N$71,$J1599),PARAMETROS_CULTURAS!$B$6:$B$28,0),0))</f>
        <v>2</v>
      </c>
      <c r="Q1599" s="8" t="str">
        <f aca="false">IF($P1599=0,"-",IF($O1599&lt;=INDEX(PARAMETROS_CULTURAS!$F$6:$F$28,$P1599),"INICIAL",IF($O1599&lt;=INDEX(PARAMETROS_CULTURAS!$F$6:$F$28,$P1599)+INDEX(PARAMETROS_CULTURAS!$G$6:$G$28,$P1599),"DESENVOLVIMENTO",IF($O1599&lt;=INDEX(PARAMETROS_CULTURAS!$F$6:$F$28,$P1599)+INDEX(PARAMETROS_CULTURAS!$G$6:$G$28,$P1599)+INDEX(PARAMETROS_CULTURAS!$H$6:$H$28,$P1599),"MEDIA","FINAL"))))</f>
        <v>DESENVOLVIMENTO</v>
      </c>
      <c r="R1599" s="24" t="n">
        <f aca="false">IF($P1599=0,0,IF($O1599&lt;=INDEX(PARAMETROS_CULTURAS!$F$6:$F$28,$P1599),INDEX(PARAMETROS_CULTURAS!$K$6:$K$28,$P1599),IF($O1599&lt;=INDEX(PARAMETROS_CULTURAS!$F$6:$F$28,$P1599)+INDEX(PARAMETROS_CULTURAS!$G$6:$G$28,$P1599),INDEX(PARAMETROS_CULTURAS!$K$6:$K$28,$P1599)+(INDEX(PARAMETROS_CULTURAS!$L$6:$L$28,$P1599)-INDEX(PARAMETROS_CULTURAS!$K$6:$K$28,$P1599))*($O1599-INDEX(PARAMETROS_CULTURAS!$F$6:$F$28,$P1599))/MAX(INDEX(PARAMETROS_CULTURAS!$G$6:$G$28,$P1599),0.0001),IF($O1599&lt;=INDEX(PARAMETROS_CULTURAS!$F$6:$F$28,$P1599)+INDEX(PARAMETROS_CULTURAS!$G$6:$G$28,$P1599)+INDEX(PARAMETROS_CULTURAS!$H$6:$H$28,$P1599),INDEX(PARAMETROS_CULTURAS!$L$6:$L$28,$P1599),INDEX(PARAMETROS_CULTURAS!$L$6:$L$28,$P1599)+(INDEX(PARAMETROS_CULTURAS!$M$6:$M$28,$P1599)-INDEX(PARAMETROS_CULTURAS!$L$6:$L$28,$P1599))*($O1599-INDEX(PARAMETROS_CULTURAS!$F$6:$F$28,$P1599)-INDEX(PARAMETROS_CULTURAS!$G$6:$G$28,$P1599)-INDEX(PARAMETROS_CULTURAS!$H$6:$H$28,$P1599))/MAX(INDEX(PARAMETROS_CULTURAS!$I$6:$I$28,$P1599),0.0001)))))</f>
        <v>0.466286528866714</v>
      </c>
      <c r="S1599" s="18" t="n">
        <f aca="false">IFERROR(INDEX(SEMANAS!$H$6:$H$71,MATCH($B1599,SEMANAS!$B$6:$B$71,0)),0)</f>
        <v>34.3</v>
      </c>
      <c r="T1599" s="18" t="n">
        <f aca="false">$R1599*$S1599</f>
        <v>15.9936279401283</v>
      </c>
      <c r="U1599" s="18" t="n">
        <f aca="false">IFERROR(INDEX(SEMANAS!$I$6:$I$71,MATCH($B1599,SEMANAS!$B$6:$B$71,0)),0)</f>
        <v>46.69</v>
      </c>
      <c r="V1599" s="18" t="n">
        <f aca="false">IFERROR(INDEX(SEMANAS!$J$6:$J$71,MATCH($B1599,SEMANAS!$B$6:$B$71,0)),0)</f>
        <v>37.352</v>
      </c>
      <c r="W1599" s="18" t="n">
        <f aca="false">MAX(0,$T1599-$V1599)</f>
        <v>0</v>
      </c>
      <c r="X1599" s="19" t="n">
        <f aca="false">IFERROR(INDEX(CADASTRO_PIVOS!$K$6:$K$41,MATCH($E1599,CADASTRO_PIVOS!$B$6:$B$41,0)),EFICIENCIA_PADRAO)</f>
        <v>0.85</v>
      </c>
      <c r="Y1599" s="18" t="n">
        <f aca="false">IF($X1599&lt;=0,0,$W1599/$X1599)</f>
        <v>0</v>
      </c>
      <c r="Z1599" s="16" t="n">
        <f aca="false">$Y1599*$H1599*MM_PARA_M3_HA</f>
        <v>0</v>
      </c>
      <c r="AA1599" s="18" t="n">
        <f aca="false">IFERROR(INDEX(CADASTRO_PIVOS!$I$6:$I$41,MATCH($E1599,CADASTRO_PIVOS!$B$6:$B$41,0)),0)</f>
        <v>1049.64285714286</v>
      </c>
      <c r="AB1599" s="18" t="n">
        <f aca="false">IF($Z1599&lt;=0,0,$Z1599/$AA1599)</f>
        <v>0</v>
      </c>
      <c r="AC1599" s="16" t="n">
        <f aca="false">IFERROR(INDEX(SEMANAS!$K$6:$K$71,MATCH($B1599,SEMANAS!$B$6:$B$71,0)),0)</f>
        <v>147</v>
      </c>
      <c r="AD1599" s="19" t="n">
        <f aca="false">IF($AC1599&lt;=0,0,$AB1599/$AC1599)</f>
        <v>0</v>
      </c>
      <c r="AE1599" s="8" t="str">
        <f aca="false">IF($K1599="SEM CULTURA","SEM CULTURA",IF($AA1599&lt;=0,"DADO PENDENTE",IF($AD1599&gt;LIMITE_CRITICO,"INVIAVEL",IF($AD1599&gt;LIMITE_ATENCAO,"CRITICO",IF($AD1599&gt;LIMITE_CONFORTAVEL,"ATENCAO","OK")))))</f>
        <v>OK</v>
      </c>
      <c r="AF1599" s="8" t="str">
        <f aca="false">$B1599&amp;"|"&amp;TEXT($AD1599,"0.000000")</f>
        <v>10|0.000000</v>
      </c>
      <c r="AG1599" s="18" t="n">
        <f aca="false">IF($K1599="SEM CULTURA",0,$T1599*$H1599)</f>
        <v>2350.26362580185</v>
      </c>
      <c r="AH1599" s="18" t="n">
        <f aca="false">IF($K1599="SEM CULTURA",0,$V1599*$H1599)</f>
        <v>5488.8764</v>
      </c>
      <c r="AI1599" s="18" t="n">
        <f aca="false">IF($K1599="SEM CULTURA",0,$W1599*$H1599)</f>
        <v>0</v>
      </c>
      <c r="AJ1599" s="18" t="n">
        <f aca="false">IF($K1599="SEM CULTURA",0,$S1599*$H1599)</f>
        <v>5040.385</v>
      </c>
      <c r="AK1599" s="8" t="str">
        <f aca="false">$E1599&amp;"|"&amp;TEXT($AD1599,"0.000000")</f>
        <v>PV 121|0.000000</v>
      </c>
    </row>
    <row r="1600" customFormat="false" ht="15" hidden="false" customHeight="false" outlineLevel="0" collapsed="false">
      <c r="B1600" s="16" t="n">
        <v>11</v>
      </c>
      <c r="C1600" s="17" t="n">
        <f aca="false">DATA_INICIO_SAFRA+($B1600-1)*DIAS_POR_SEMANA</f>
        <v>46335</v>
      </c>
      <c r="D1600" s="17" t="n">
        <f aca="false">$C1600+DIAS_POR_SEMANA-1</f>
        <v>46341</v>
      </c>
      <c r="E1600" s="15" t="s">
        <v>283</v>
      </c>
      <c r="F1600" s="8" t="str">
        <f aca="false">IFERROR(INDEX(CADASTRO_PIVOS!$C$6:$C$41,MATCH($E1600,CADASTRO_PIVOS!$B$6:$B$41,0)),"?")</f>
        <v>RM07</v>
      </c>
      <c r="G1600" s="8" t="str">
        <f aca="false">IFERROR(INDEX(CADASTRO_PIVOS!$D$6:$D$41,MATCH($E1600,CADASTRO_PIVOS!$B$6:$B$41,0)),"?")</f>
        <v>TR07</v>
      </c>
      <c r="H1600" s="20" t="n">
        <f aca="false">IFERROR(INDEX(CADASTRO_PIVOS!$E$6:$E$41,MATCH($E1600,CADASTRO_PIVOS!$B$6:$B$41,0)),0)</f>
        <v>146.95</v>
      </c>
      <c r="I1600" s="16" t="n">
        <f aca="false">IFERROR(SUMIFS(ROTACAO_RDM!$B$6:$B$71,ROTACAO_RDM!$D$6:$D$71,$E1600,ROTACAO_RDM!$I$6:$I$71,"&lt;="&amp;$C1600+INT(DIAS_POR_SEMANA/2),ROTACAO_RDM!$J$6:$J$71,"&gt;="&amp;$C1600+INT(DIAS_POR_SEMANA/2)),0)</f>
        <v>36</v>
      </c>
      <c r="J1600" s="16" t="n">
        <f aca="false">IFERROR(MATCH($I1600,ROTACAO_RDM!$B$6:$B$71,0),0)</f>
        <v>36</v>
      </c>
      <c r="K1600" s="8" t="str">
        <f aca="false">IF($J1600=0,"SEM CULTURA",INDEX(ROTACAO_RDM!$F$6:$F$71,$J1600))</f>
        <v>SOJA</v>
      </c>
      <c r="L1600" s="8" t="str">
        <f aca="false">IF($J1600=0,"",INDEX(ROTACAO_RDM!$G$6:$G$71,$J1600))</f>
        <v>BMX Olimpo IPRO</v>
      </c>
      <c r="M1600" s="17" t="n">
        <f aca="false">IF($J1600=0,"",INDEX(ROTACAO_RDM!$I$6:$I$71,$J1600))</f>
        <v>46309</v>
      </c>
      <c r="N1600" s="16" t="n">
        <f aca="false">IF($J1600=0,0,MAX(0,$C1600+INT(DIAS_POR_SEMANA/2)-INDEX(ROTACAO_RDM!$I$6:$I$71,$J1600)))</f>
        <v>29</v>
      </c>
      <c r="O1600" s="19" t="n">
        <f aca="false">IF($J1600=0,0,MIN(1,$N1600/MAX(1,INDEX(ROTACAO_RDM!$K$6:$K$71,$J1600))))</f>
        <v>0.237704918032787</v>
      </c>
      <c r="P1600" s="16" t="n">
        <f aca="false">IF($J1600=0,0,IFERROR(MATCH(INDEX(ROTACAO_RDM!$N$6:$N$71,$J1600),PARAMETROS_CULTURAS!$B$6:$B$28,0),0))</f>
        <v>2</v>
      </c>
      <c r="Q1600" s="8" t="str">
        <f aca="false">IF($P1600=0,"-",IF($O1600&lt;=INDEX(PARAMETROS_CULTURAS!$F$6:$F$28,$P1600),"INICIAL",IF($O1600&lt;=INDEX(PARAMETROS_CULTURAS!$F$6:$F$28,$P1600)+INDEX(PARAMETROS_CULTURAS!$G$6:$G$28,$P1600),"DESENVOLVIMENTO",IF($O1600&lt;=INDEX(PARAMETROS_CULTURAS!$F$6:$F$28,$P1600)+INDEX(PARAMETROS_CULTURAS!$G$6:$G$28,$P1600)+INDEX(PARAMETROS_CULTURAS!$H$6:$H$28,$P1600),"MEDIA","FINAL"))))</f>
        <v>DESENVOLVIMENTO</v>
      </c>
      <c r="R1600" s="24" t="n">
        <f aca="false">IF($P1600=0,0,IF($O1600&lt;=INDEX(PARAMETROS_CULTURAS!$F$6:$F$28,$P1600),INDEX(PARAMETROS_CULTURAS!$K$6:$K$28,$P1600),IF($O1600&lt;=INDEX(PARAMETROS_CULTURAS!$F$6:$F$28,$P1600)+INDEX(PARAMETROS_CULTURAS!$G$6:$G$28,$P1600),INDEX(PARAMETROS_CULTURAS!$K$6:$K$28,$P1600)+(INDEX(PARAMETROS_CULTURAS!$L$6:$L$28,$P1600)-INDEX(PARAMETROS_CULTURAS!$K$6:$K$28,$P1600))*($O1600-INDEX(PARAMETROS_CULTURAS!$F$6:$F$28,$P1600))/MAX(INDEX(PARAMETROS_CULTURAS!$G$6:$G$28,$P1600),0.0001),IF($O1600&lt;=INDEX(PARAMETROS_CULTURAS!$F$6:$F$28,$P1600)+INDEX(PARAMETROS_CULTURAS!$G$6:$G$28,$P1600)+INDEX(PARAMETROS_CULTURAS!$H$6:$H$28,$P1600),INDEX(PARAMETROS_CULTURAS!$L$6:$L$28,$P1600),INDEX(PARAMETROS_CULTURAS!$L$6:$L$28,$P1600)+(INDEX(PARAMETROS_CULTURAS!$M$6:$M$28,$P1600)-INDEX(PARAMETROS_CULTURAS!$L$6:$L$28,$P1600))*($O1600-INDEX(PARAMETROS_CULTURAS!$F$6:$F$28,$P1600)-INDEX(PARAMETROS_CULTURAS!$G$6:$G$28,$P1600)-INDEX(PARAMETROS_CULTURAS!$H$6:$H$28,$P1600))/MAX(INDEX(PARAMETROS_CULTURAS!$I$6:$I$28,$P1600),0.0001)))))</f>
        <v>0.653385602280827</v>
      </c>
      <c r="S1600" s="18" t="n">
        <f aca="false">IFERROR(INDEX(SEMANAS!$H$6:$H$71,MATCH($B1600,SEMANAS!$B$6:$B$71,0)),0)</f>
        <v>34.3</v>
      </c>
      <c r="T1600" s="18" t="n">
        <f aca="false">$R1600*$S1600</f>
        <v>22.4111261582324</v>
      </c>
      <c r="U1600" s="18" t="n">
        <f aca="false">IFERROR(INDEX(SEMANAS!$I$6:$I$71,MATCH($B1600,SEMANAS!$B$6:$B$71,0)),0)</f>
        <v>46.69</v>
      </c>
      <c r="V1600" s="18" t="n">
        <f aca="false">IFERROR(INDEX(SEMANAS!$J$6:$J$71,MATCH($B1600,SEMANAS!$B$6:$B$71,0)),0)</f>
        <v>37.352</v>
      </c>
      <c r="W1600" s="18" t="n">
        <f aca="false">MAX(0,$T1600-$V1600)</f>
        <v>0</v>
      </c>
      <c r="X1600" s="19" t="n">
        <f aca="false">IFERROR(INDEX(CADASTRO_PIVOS!$K$6:$K$41,MATCH($E1600,CADASTRO_PIVOS!$B$6:$B$41,0)),EFICIENCIA_PADRAO)</f>
        <v>0.85</v>
      </c>
      <c r="Y1600" s="18" t="n">
        <f aca="false">IF($X1600&lt;=0,0,$W1600/$X1600)</f>
        <v>0</v>
      </c>
      <c r="Z1600" s="16" t="n">
        <f aca="false">$Y1600*$H1600*MM_PARA_M3_HA</f>
        <v>0</v>
      </c>
      <c r="AA1600" s="18" t="n">
        <f aca="false">IFERROR(INDEX(CADASTRO_PIVOS!$I$6:$I$41,MATCH($E1600,CADASTRO_PIVOS!$B$6:$B$41,0)),0)</f>
        <v>1049.64285714286</v>
      </c>
      <c r="AB1600" s="18" t="n">
        <f aca="false">IF($Z1600&lt;=0,0,$Z1600/$AA1600)</f>
        <v>0</v>
      </c>
      <c r="AC1600" s="16" t="n">
        <f aca="false">IFERROR(INDEX(SEMANAS!$K$6:$K$71,MATCH($B1600,SEMANAS!$B$6:$B$71,0)),0)</f>
        <v>147</v>
      </c>
      <c r="AD1600" s="19" t="n">
        <f aca="false">IF($AC1600&lt;=0,0,$AB1600/$AC1600)</f>
        <v>0</v>
      </c>
      <c r="AE1600" s="8" t="str">
        <f aca="false">IF($K1600="SEM CULTURA","SEM CULTURA",IF($AA1600&lt;=0,"DADO PENDENTE",IF($AD1600&gt;LIMITE_CRITICO,"INVIAVEL",IF($AD1600&gt;LIMITE_ATENCAO,"CRITICO",IF($AD1600&gt;LIMITE_CONFORTAVEL,"ATENCAO","OK")))))</f>
        <v>OK</v>
      </c>
      <c r="AF1600" s="8" t="str">
        <f aca="false">$B1600&amp;"|"&amp;TEXT($AD1600,"0.000000")</f>
        <v>11|0.000000</v>
      </c>
      <c r="AG1600" s="18" t="n">
        <f aca="false">IF($K1600="SEM CULTURA",0,$T1600*$H1600)</f>
        <v>3293.31498895224</v>
      </c>
      <c r="AH1600" s="18" t="n">
        <f aca="false">IF($K1600="SEM CULTURA",0,$V1600*$H1600)</f>
        <v>5488.8764</v>
      </c>
      <c r="AI1600" s="18" t="n">
        <f aca="false">IF($K1600="SEM CULTURA",0,$W1600*$H1600)</f>
        <v>0</v>
      </c>
      <c r="AJ1600" s="18" t="n">
        <f aca="false">IF($K1600="SEM CULTURA",0,$S1600*$H1600)</f>
        <v>5040.385</v>
      </c>
      <c r="AK1600" s="8" t="str">
        <f aca="false">$E1600&amp;"|"&amp;TEXT($AD1600,"0.000000")</f>
        <v>PV 121|0.000000</v>
      </c>
    </row>
    <row r="1601" customFormat="false" ht="15" hidden="false" customHeight="false" outlineLevel="0" collapsed="false">
      <c r="B1601" s="16" t="n">
        <v>12</v>
      </c>
      <c r="C1601" s="17" t="n">
        <f aca="false">DATA_INICIO_SAFRA+($B1601-1)*DIAS_POR_SEMANA</f>
        <v>46342</v>
      </c>
      <c r="D1601" s="17" t="n">
        <f aca="false">$C1601+DIAS_POR_SEMANA-1</f>
        <v>46348</v>
      </c>
      <c r="E1601" s="15" t="s">
        <v>283</v>
      </c>
      <c r="F1601" s="8" t="str">
        <f aca="false">IFERROR(INDEX(CADASTRO_PIVOS!$C$6:$C$41,MATCH($E1601,CADASTRO_PIVOS!$B$6:$B$41,0)),"?")</f>
        <v>RM07</v>
      </c>
      <c r="G1601" s="8" t="str">
        <f aca="false">IFERROR(INDEX(CADASTRO_PIVOS!$D$6:$D$41,MATCH($E1601,CADASTRO_PIVOS!$B$6:$B$41,0)),"?")</f>
        <v>TR07</v>
      </c>
      <c r="H1601" s="20" t="n">
        <f aca="false">IFERROR(INDEX(CADASTRO_PIVOS!$E$6:$E$41,MATCH($E1601,CADASTRO_PIVOS!$B$6:$B$41,0)),0)</f>
        <v>146.95</v>
      </c>
      <c r="I1601" s="16" t="n">
        <f aca="false">IFERROR(SUMIFS(ROTACAO_RDM!$B$6:$B$71,ROTACAO_RDM!$D$6:$D$71,$E1601,ROTACAO_RDM!$I$6:$I$71,"&lt;="&amp;$C1601+INT(DIAS_POR_SEMANA/2),ROTACAO_RDM!$J$6:$J$71,"&gt;="&amp;$C1601+INT(DIAS_POR_SEMANA/2)),0)</f>
        <v>36</v>
      </c>
      <c r="J1601" s="16" t="n">
        <f aca="false">IFERROR(MATCH($I1601,ROTACAO_RDM!$B$6:$B$71,0),0)</f>
        <v>36</v>
      </c>
      <c r="K1601" s="8" t="str">
        <f aca="false">IF($J1601=0,"SEM CULTURA",INDEX(ROTACAO_RDM!$F$6:$F$71,$J1601))</f>
        <v>SOJA</v>
      </c>
      <c r="L1601" s="8" t="str">
        <f aca="false">IF($J1601=0,"",INDEX(ROTACAO_RDM!$G$6:$G$71,$J1601))</f>
        <v>BMX Olimpo IPRO</v>
      </c>
      <c r="M1601" s="17" t="n">
        <f aca="false">IF($J1601=0,"",INDEX(ROTACAO_RDM!$I$6:$I$71,$J1601))</f>
        <v>46309</v>
      </c>
      <c r="N1601" s="16" t="n">
        <f aca="false">IF($J1601=0,0,MAX(0,$C1601+INT(DIAS_POR_SEMANA/2)-INDEX(ROTACAO_RDM!$I$6:$I$71,$J1601)))</f>
        <v>36</v>
      </c>
      <c r="O1601" s="19" t="n">
        <f aca="false">IF($J1601=0,0,MIN(1,$N1601/MAX(1,INDEX(ROTACAO_RDM!$K$6:$K$71,$J1601))))</f>
        <v>0.295081967213115</v>
      </c>
      <c r="P1601" s="16" t="n">
        <f aca="false">IF($J1601=0,0,IFERROR(MATCH(INDEX(ROTACAO_RDM!$N$6:$N$71,$J1601),PARAMETROS_CULTURAS!$B$6:$B$28,0),0))</f>
        <v>2</v>
      </c>
      <c r="Q1601" s="8" t="str">
        <f aca="false">IF($P1601=0,"-",IF($O1601&lt;=INDEX(PARAMETROS_CULTURAS!$F$6:$F$28,$P1601),"INICIAL",IF($O1601&lt;=INDEX(PARAMETROS_CULTURAS!$F$6:$F$28,$P1601)+INDEX(PARAMETROS_CULTURAS!$G$6:$G$28,$P1601),"DESENVOLVIMENTO",IF($O1601&lt;=INDEX(PARAMETROS_CULTURAS!$F$6:$F$28,$P1601)+INDEX(PARAMETROS_CULTURAS!$G$6:$G$28,$P1601)+INDEX(PARAMETROS_CULTURAS!$H$6:$H$28,$P1601),"MEDIA","FINAL"))))</f>
        <v>DESENVOLVIMENTO</v>
      </c>
      <c r="R1601" s="24" t="n">
        <f aca="false">IF($P1601=0,0,IF($O1601&lt;=INDEX(PARAMETROS_CULTURAS!$F$6:$F$28,$P1601),INDEX(PARAMETROS_CULTURAS!$K$6:$K$28,$P1601),IF($O1601&lt;=INDEX(PARAMETROS_CULTURAS!$F$6:$F$28,$P1601)+INDEX(PARAMETROS_CULTURAS!$G$6:$G$28,$P1601),INDEX(PARAMETROS_CULTURAS!$K$6:$K$28,$P1601)+(INDEX(PARAMETROS_CULTURAS!$L$6:$L$28,$P1601)-INDEX(PARAMETROS_CULTURAS!$K$6:$K$28,$P1601))*($O1601-INDEX(PARAMETROS_CULTURAS!$F$6:$F$28,$P1601))/MAX(INDEX(PARAMETROS_CULTURAS!$G$6:$G$28,$P1601),0.0001),IF($O1601&lt;=INDEX(PARAMETROS_CULTURAS!$F$6:$F$28,$P1601)+INDEX(PARAMETROS_CULTURAS!$G$6:$G$28,$P1601)+INDEX(PARAMETROS_CULTURAS!$H$6:$H$28,$P1601),INDEX(PARAMETROS_CULTURAS!$L$6:$L$28,$P1601),INDEX(PARAMETROS_CULTURAS!$L$6:$L$28,$P1601)+(INDEX(PARAMETROS_CULTURAS!$M$6:$M$28,$P1601)-INDEX(PARAMETROS_CULTURAS!$L$6:$L$28,$P1601))*($O1601-INDEX(PARAMETROS_CULTURAS!$F$6:$F$28,$P1601)-INDEX(PARAMETROS_CULTURAS!$G$6:$G$28,$P1601)-INDEX(PARAMETROS_CULTURAS!$H$6:$H$28,$P1601))/MAX(INDEX(PARAMETROS_CULTURAS!$I$6:$I$28,$P1601),0.0001)))))</f>
        <v>0.840484675694939</v>
      </c>
      <c r="S1601" s="18" t="n">
        <f aca="false">IFERROR(INDEX(SEMANAS!$H$6:$H$71,MATCH($B1601,SEMANAS!$B$6:$B$71,0)),0)</f>
        <v>34.3</v>
      </c>
      <c r="T1601" s="18" t="n">
        <f aca="false">$R1601*$S1601</f>
        <v>28.8286243763364</v>
      </c>
      <c r="U1601" s="18" t="n">
        <f aca="false">IFERROR(INDEX(SEMANAS!$I$6:$I$71,MATCH($B1601,SEMANAS!$B$6:$B$71,0)),0)</f>
        <v>46.69</v>
      </c>
      <c r="V1601" s="18" t="n">
        <f aca="false">IFERROR(INDEX(SEMANAS!$J$6:$J$71,MATCH($B1601,SEMANAS!$B$6:$B$71,0)),0)</f>
        <v>37.352</v>
      </c>
      <c r="W1601" s="18" t="n">
        <f aca="false">MAX(0,$T1601-$V1601)</f>
        <v>0</v>
      </c>
      <c r="X1601" s="19" t="n">
        <f aca="false">IFERROR(INDEX(CADASTRO_PIVOS!$K$6:$K$41,MATCH($E1601,CADASTRO_PIVOS!$B$6:$B$41,0)),EFICIENCIA_PADRAO)</f>
        <v>0.85</v>
      </c>
      <c r="Y1601" s="18" t="n">
        <f aca="false">IF($X1601&lt;=0,0,$W1601/$X1601)</f>
        <v>0</v>
      </c>
      <c r="Z1601" s="16" t="n">
        <f aca="false">$Y1601*$H1601*MM_PARA_M3_HA</f>
        <v>0</v>
      </c>
      <c r="AA1601" s="18" t="n">
        <f aca="false">IFERROR(INDEX(CADASTRO_PIVOS!$I$6:$I$41,MATCH($E1601,CADASTRO_PIVOS!$B$6:$B$41,0)),0)</f>
        <v>1049.64285714286</v>
      </c>
      <c r="AB1601" s="18" t="n">
        <f aca="false">IF($Z1601&lt;=0,0,$Z1601/$AA1601)</f>
        <v>0</v>
      </c>
      <c r="AC1601" s="16" t="n">
        <f aca="false">IFERROR(INDEX(SEMANAS!$K$6:$K$71,MATCH($B1601,SEMANAS!$B$6:$B$71,0)),0)</f>
        <v>147</v>
      </c>
      <c r="AD1601" s="19" t="n">
        <f aca="false">IF($AC1601&lt;=0,0,$AB1601/$AC1601)</f>
        <v>0</v>
      </c>
      <c r="AE1601" s="8" t="str">
        <f aca="false">IF($K1601="SEM CULTURA","SEM CULTURA",IF($AA1601&lt;=0,"DADO PENDENTE",IF($AD1601&gt;LIMITE_CRITICO,"INVIAVEL",IF($AD1601&gt;LIMITE_ATENCAO,"CRITICO",IF($AD1601&gt;LIMITE_CONFORTAVEL,"ATENCAO","OK")))))</f>
        <v>OK</v>
      </c>
      <c r="AF1601" s="8" t="str">
        <f aca="false">$B1601&amp;"|"&amp;TEXT($AD1601,"0.000000")</f>
        <v>12|0.000000</v>
      </c>
      <c r="AG1601" s="18" t="n">
        <f aca="false">IF($K1601="SEM CULTURA",0,$T1601*$H1601)</f>
        <v>4236.36635210264</v>
      </c>
      <c r="AH1601" s="18" t="n">
        <f aca="false">IF($K1601="SEM CULTURA",0,$V1601*$H1601)</f>
        <v>5488.8764</v>
      </c>
      <c r="AI1601" s="18" t="n">
        <f aca="false">IF($K1601="SEM CULTURA",0,$W1601*$H1601)</f>
        <v>0</v>
      </c>
      <c r="AJ1601" s="18" t="n">
        <f aca="false">IF($K1601="SEM CULTURA",0,$S1601*$H1601)</f>
        <v>5040.385</v>
      </c>
      <c r="AK1601" s="8" t="str">
        <f aca="false">$E1601&amp;"|"&amp;TEXT($AD1601,"0.000000")</f>
        <v>PV 121|0.000000</v>
      </c>
    </row>
    <row r="1602" customFormat="false" ht="15" hidden="false" customHeight="false" outlineLevel="0" collapsed="false">
      <c r="B1602" s="16" t="n">
        <v>13</v>
      </c>
      <c r="C1602" s="17" t="n">
        <f aca="false">DATA_INICIO_SAFRA+($B1602-1)*DIAS_POR_SEMANA</f>
        <v>46349</v>
      </c>
      <c r="D1602" s="17" t="n">
        <f aca="false">$C1602+DIAS_POR_SEMANA-1</f>
        <v>46355</v>
      </c>
      <c r="E1602" s="15" t="s">
        <v>283</v>
      </c>
      <c r="F1602" s="8" t="str">
        <f aca="false">IFERROR(INDEX(CADASTRO_PIVOS!$C$6:$C$41,MATCH($E1602,CADASTRO_PIVOS!$B$6:$B$41,0)),"?")</f>
        <v>RM07</v>
      </c>
      <c r="G1602" s="8" t="str">
        <f aca="false">IFERROR(INDEX(CADASTRO_PIVOS!$D$6:$D$41,MATCH($E1602,CADASTRO_PIVOS!$B$6:$B$41,0)),"?")</f>
        <v>TR07</v>
      </c>
      <c r="H1602" s="20" t="n">
        <f aca="false">IFERROR(INDEX(CADASTRO_PIVOS!$E$6:$E$41,MATCH($E1602,CADASTRO_PIVOS!$B$6:$B$41,0)),0)</f>
        <v>146.95</v>
      </c>
      <c r="I1602" s="16" t="n">
        <f aca="false">IFERROR(SUMIFS(ROTACAO_RDM!$B$6:$B$71,ROTACAO_RDM!$D$6:$D$71,$E1602,ROTACAO_RDM!$I$6:$I$71,"&lt;="&amp;$C1602+INT(DIAS_POR_SEMANA/2),ROTACAO_RDM!$J$6:$J$71,"&gt;="&amp;$C1602+INT(DIAS_POR_SEMANA/2)),0)</f>
        <v>36</v>
      </c>
      <c r="J1602" s="16" t="n">
        <f aca="false">IFERROR(MATCH($I1602,ROTACAO_RDM!$B$6:$B$71,0),0)</f>
        <v>36</v>
      </c>
      <c r="K1602" s="8" t="str">
        <f aca="false">IF($J1602=0,"SEM CULTURA",INDEX(ROTACAO_RDM!$F$6:$F$71,$J1602))</f>
        <v>SOJA</v>
      </c>
      <c r="L1602" s="8" t="str">
        <f aca="false">IF($J1602=0,"",INDEX(ROTACAO_RDM!$G$6:$G$71,$J1602))</f>
        <v>BMX Olimpo IPRO</v>
      </c>
      <c r="M1602" s="17" t="n">
        <f aca="false">IF($J1602=0,"",INDEX(ROTACAO_RDM!$I$6:$I$71,$J1602))</f>
        <v>46309</v>
      </c>
      <c r="N1602" s="16" t="n">
        <f aca="false">IF($J1602=0,0,MAX(0,$C1602+INT(DIAS_POR_SEMANA/2)-INDEX(ROTACAO_RDM!$I$6:$I$71,$J1602)))</f>
        <v>43</v>
      </c>
      <c r="O1602" s="19" t="n">
        <f aca="false">IF($J1602=0,0,MIN(1,$N1602/MAX(1,INDEX(ROTACAO_RDM!$K$6:$K$71,$J1602))))</f>
        <v>0.352459016393443</v>
      </c>
      <c r="P1602" s="16" t="n">
        <f aca="false">IF($J1602=0,0,IFERROR(MATCH(INDEX(ROTACAO_RDM!$N$6:$N$71,$J1602),PARAMETROS_CULTURAS!$B$6:$B$28,0),0))</f>
        <v>2</v>
      </c>
      <c r="Q1602" s="8" t="str">
        <f aca="false">IF($P1602=0,"-",IF($O1602&lt;=INDEX(PARAMETROS_CULTURAS!$F$6:$F$28,$P1602),"INICIAL",IF($O1602&lt;=INDEX(PARAMETROS_CULTURAS!$F$6:$F$28,$P1602)+INDEX(PARAMETROS_CULTURAS!$G$6:$G$28,$P1602),"DESENVOLVIMENTO",IF($O1602&lt;=INDEX(PARAMETROS_CULTURAS!$F$6:$F$28,$P1602)+INDEX(PARAMETROS_CULTURAS!$G$6:$G$28,$P1602)+INDEX(PARAMETROS_CULTURAS!$H$6:$H$28,$P1602),"MEDIA","FINAL"))))</f>
        <v>DESENVOLVIMENTO</v>
      </c>
      <c r="R1602" s="24" t="n">
        <f aca="false">IF($P1602=0,0,IF($O1602&lt;=INDEX(PARAMETROS_CULTURAS!$F$6:$F$28,$P1602),INDEX(PARAMETROS_CULTURAS!$K$6:$K$28,$P1602),IF($O1602&lt;=INDEX(PARAMETROS_CULTURAS!$F$6:$F$28,$P1602)+INDEX(PARAMETROS_CULTURAS!$G$6:$G$28,$P1602),INDEX(PARAMETROS_CULTURAS!$K$6:$K$28,$P1602)+(INDEX(PARAMETROS_CULTURAS!$L$6:$L$28,$P1602)-INDEX(PARAMETROS_CULTURAS!$K$6:$K$28,$P1602))*($O1602-INDEX(PARAMETROS_CULTURAS!$F$6:$F$28,$P1602))/MAX(INDEX(PARAMETROS_CULTURAS!$G$6:$G$28,$P1602),0.0001),IF($O1602&lt;=INDEX(PARAMETROS_CULTURAS!$F$6:$F$28,$P1602)+INDEX(PARAMETROS_CULTURAS!$G$6:$G$28,$P1602)+INDEX(PARAMETROS_CULTURAS!$H$6:$H$28,$P1602),INDEX(PARAMETROS_CULTURAS!$L$6:$L$28,$P1602),INDEX(PARAMETROS_CULTURAS!$L$6:$L$28,$P1602)+(INDEX(PARAMETROS_CULTURAS!$M$6:$M$28,$P1602)-INDEX(PARAMETROS_CULTURAS!$L$6:$L$28,$P1602))*($O1602-INDEX(PARAMETROS_CULTURAS!$F$6:$F$28,$P1602)-INDEX(PARAMETROS_CULTURAS!$G$6:$G$28,$P1602)-INDEX(PARAMETROS_CULTURAS!$H$6:$H$28,$P1602))/MAX(INDEX(PARAMETROS_CULTURAS!$I$6:$I$28,$P1602),0.0001)))))</f>
        <v>1.02758374910905</v>
      </c>
      <c r="S1602" s="18" t="n">
        <f aca="false">IFERROR(INDEX(SEMANAS!$H$6:$H$71,MATCH($B1602,SEMANAS!$B$6:$B$71,0)),0)</f>
        <v>34.3</v>
      </c>
      <c r="T1602" s="18" t="n">
        <f aca="false">$R1602*$S1602</f>
        <v>35.2461225944405</v>
      </c>
      <c r="U1602" s="18" t="n">
        <f aca="false">IFERROR(INDEX(SEMANAS!$I$6:$I$71,MATCH($B1602,SEMANAS!$B$6:$B$71,0)),0)</f>
        <v>46.69</v>
      </c>
      <c r="V1602" s="18" t="n">
        <f aca="false">IFERROR(INDEX(SEMANAS!$J$6:$J$71,MATCH($B1602,SEMANAS!$B$6:$B$71,0)),0)</f>
        <v>37.352</v>
      </c>
      <c r="W1602" s="18" t="n">
        <f aca="false">MAX(0,$T1602-$V1602)</f>
        <v>0</v>
      </c>
      <c r="X1602" s="19" t="n">
        <f aca="false">IFERROR(INDEX(CADASTRO_PIVOS!$K$6:$K$41,MATCH($E1602,CADASTRO_PIVOS!$B$6:$B$41,0)),EFICIENCIA_PADRAO)</f>
        <v>0.85</v>
      </c>
      <c r="Y1602" s="18" t="n">
        <f aca="false">IF($X1602&lt;=0,0,$W1602/$X1602)</f>
        <v>0</v>
      </c>
      <c r="Z1602" s="16" t="n">
        <f aca="false">$Y1602*$H1602*MM_PARA_M3_HA</f>
        <v>0</v>
      </c>
      <c r="AA1602" s="18" t="n">
        <f aca="false">IFERROR(INDEX(CADASTRO_PIVOS!$I$6:$I$41,MATCH($E1602,CADASTRO_PIVOS!$B$6:$B$41,0)),0)</f>
        <v>1049.64285714286</v>
      </c>
      <c r="AB1602" s="18" t="n">
        <f aca="false">IF($Z1602&lt;=0,0,$Z1602/$AA1602)</f>
        <v>0</v>
      </c>
      <c r="AC1602" s="16" t="n">
        <f aca="false">IFERROR(INDEX(SEMANAS!$K$6:$K$71,MATCH($B1602,SEMANAS!$B$6:$B$71,0)),0)</f>
        <v>147</v>
      </c>
      <c r="AD1602" s="19" t="n">
        <f aca="false">IF($AC1602&lt;=0,0,$AB1602/$AC1602)</f>
        <v>0</v>
      </c>
      <c r="AE1602" s="8" t="str">
        <f aca="false">IF($K1602="SEM CULTURA","SEM CULTURA",IF($AA1602&lt;=0,"DADO PENDENTE",IF($AD1602&gt;LIMITE_CRITICO,"INVIAVEL",IF($AD1602&gt;LIMITE_ATENCAO,"CRITICO",IF($AD1602&gt;LIMITE_CONFORTAVEL,"ATENCAO","OK")))))</f>
        <v>OK</v>
      </c>
      <c r="AF1602" s="8" t="str">
        <f aca="false">$B1602&amp;"|"&amp;TEXT($AD1602,"0.000000")</f>
        <v>13|0.000000</v>
      </c>
      <c r="AG1602" s="18" t="n">
        <f aca="false">IF($K1602="SEM CULTURA",0,$T1602*$H1602)</f>
        <v>5179.41771525303</v>
      </c>
      <c r="AH1602" s="18" t="n">
        <f aca="false">IF($K1602="SEM CULTURA",0,$V1602*$H1602)</f>
        <v>5488.8764</v>
      </c>
      <c r="AI1602" s="18" t="n">
        <f aca="false">IF($K1602="SEM CULTURA",0,$W1602*$H1602)</f>
        <v>0</v>
      </c>
      <c r="AJ1602" s="18" t="n">
        <f aca="false">IF($K1602="SEM CULTURA",0,$S1602*$H1602)</f>
        <v>5040.385</v>
      </c>
      <c r="AK1602" s="8" t="str">
        <f aca="false">$E1602&amp;"|"&amp;TEXT($AD1602,"0.000000")</f>
        <v>PV 121|0.000000</v>
      </c>
    </row>
    <row r="1603" customFormat="false" ht="15" hidden="false" customHeight="false" outlineLevel="0" collapsed="false">
      <c r="B1603" s="16" t="n">
        <v>14</v>
      </c>
      <c r="C1603" s="17" t="n">
        <f aca="false">DATA_INICIO_SAFRA+($B1603-1)*DIAS_POR_SEMANA</f>
        <v>46356</v>
      </c>
      <c r="D1603" s="17" t="n">
        <f aca="false">$C1603+DIAS_POR_SEMANA-1</f>
        <v>46362</v>
      </c>
      <c r="E1603" s="15" t="s">
        <v>283</v>
      </c>
      <c r="F1603" s="8" t="str">
        <f aca="false">IFERROR(INDEX(CADASTRO_PIVOS!$C$6:$C$41,MATCH($E1603,CADASTRO_PIVOS!$B$6:$B$41,0)),"?")</f>
        <v>RM07</v>
      </c>
      <c r="G1603" s="8" t="str">
        <f aca="false">IFERROR(INDEX(CADASTRO_PIVOS!$D$6:$D$41,MATCH($E1603,CADASTRO_PIVOS!$B$6:$B$41,0)),"?")</f>
        <v>TR07</v>
      </c>
      <c r="H1603" s="20" t="n">
        <f aca="false">IFERROR(INDEX(CADASTRO_PIVOS!$E$6:$E$41,MATCH($E1603,CADASTRO_PIVOS!$B$6:$B$41,0)),0)</f>
        <v>146.95</v>
      </c>
      <c r="I1603" s="16" t="n">
        <f aca="false">IFERROR(SUMIFS(ROTACAO_RDM!$B$6:$B$71,ROTACAO_RDM!$D$6:$D$71,$E1603,ROTACAO_RDM!$I$6:$I$71,"&lt;="&amp;$C1603+INT(DIAS_POR_SEMANA/2),ROTACAO_RDM!$J$6:$J$71,"&gt;="&amp;$C1603+INT(DIAS_POR_SEMANA/2)),0)</f>
        <v>36</v>
      </c>
      <c r="J1603" s="16" t="n">
        <f aca="false">IFERROR(MATCH($I1603,ROTACAO_RDM!$B$6:$B$71,0),0)</f>
        <v>36</v>
      </c>
      <c r="K1603" s="8" t="str">
        <f aca="false">IF($J1603=0,"SEM CULTURA",INDEX(ROTACAO_RDM!$F$6:$F$71,$J1603))</f>
        <v>SOJA</v>
      </c>
      <c r="L1603" s="8" t="str">
        <f aca="false">IF($J1603=0,"",INDEX(ROTACAO_RDM!$G$6:$G$71,$J1603))</f>
        <v>BMX Olimpo IPRO</v>
      </c>
      <c r="M1603" s="17" t="n">
        <f aca="false">IF($J1603=0,"",INDEX(ROTACAO_RDM!$I$6:$I$71,$J1603))</f>
        <v>46309</v>
      </c>
      <c r="N1603" s="16" t="n">
        <f aca="false">IF($J1603=0,0,MAX(0,$C1603+INT(DIAS_POR_SEMANA/2)-INDEX(ROTACAO_RDM!$I$6:$I$71,$J1603)))</f>
        <v>50</v>
      </c>
      <c r="O1603" s="19" t="n">
        <f aca="false">IF($J1603=0,0,MIN(1,$N1603/MAX(1,INDEX(ROTACAO_RDM!$K$6:$K$71,$J1603))))</f>
        <v>0.409836065573771</v>
      </c>
      <c r="P1603" s="16" t="n">
        <f aca="false">IF($J1603=0,0,IFERROR(MATCH(INDEX(ROTACAO_RDM!$N$6:$N$71,$J1603),PARAMETROS_CULTURAS!$B$6:$B$28,0),0))</f>
        <v>2</v>
      </c>
      <c r="Q1603" s="8" t="str">
        <f aca="false">IF($P1603=0,"-",IF($O1603&lt;=INDEX(PARAMETROS_CULTURAS!$F$6:$F$28,$P1603),"INICIAL",IF($O1603&lt;=INDEX(PARAMETROS_CULTURAS!$F$6:$F$28,$P1603)+INDEX(PARAMETROS_CULTURAS!$G$6:$G$28,$P1603),"DESENVOLVIMENTO",IF($O1603&lt;=INDEX(PARAMETROS_CULTURAS!$F$6:$F$28,$P1603)+INDEX(PARAMETROS_CULTURAS!$G$6:$G$28,$P1603)+INDEX(PARAMETROS_CULTURAS!$H$6:$H$28,$P1603),"MEDIA","FINAL"))))</f>
        <v>MEDIA</v>
      </c>
      <c r="R1603" s="24" t="n">
        <f aca="false">IF($P1603=0,0,IF($O1603&lt;=INDEX(PARAMETROS_CULTURAS!$F$6:$F$28,$P1603),INDEX(PARAMETROS_CULTURAS!$K$6:$K$28,$P1603),IF($O1603&lt;=INDEX(PARAMETROS_CULTURAS!$F$6:$F$28,$P1603)+INDEX(PARAMETROS_CULTURAS!$G$6:$G$28,$P1603),INDEX(PARAMETROS_CULTURAS!$K$6:$K$28,$P1603)+(INDEX(PARAMETROS_CULTURAS!$L$6:$L$28,$P1603)-INDEX(PARAMETROS_CULTURAS!$K$6:$K$28,$P1603))*($O1603-INDEX(PARAMETROS_CULTURAS!$F$6:$F$28,$P1603))/MAX(INDEX(PARAMETROS_CULTURAS!$G$6:$G$28,$P1603),0.0001),IF($O1603&lt;=INDEX(PARAMETROS_CULTURAS!$F$6:$F$28,$P1603)+INDEX(PARAMETROS_CULTURAS!$G$6:$G$28,$P1603)+INDEX(PARAMETROS_CULTURAS!$H$6:$H$28,$P1603),INDEX(PARAMETROS_CULTURAS!$L$6:$L$28,$P1603),INDEX(PARAMETROS_CULTURAS!$L$6:$L$28,$P1603)+(INDEX(PARAMETROS_CULTURAS!$M$6:$M$28,$P1603)-INDEX(PARAMETROS_CULTURAS!$L$6:$L$28,$P1603))*($O1603-INDEX(PARAMETROS_CULTURAS!$F$6:$F$28,$P1603)-INDEX(PARAMETROS_CULTURAS!$G$6:$G$28,$P1603)-INDEX(PARAMETROS_CULTURAS!$H$6:$H$28,$P1603))/MAX(INDEX(PARAMETROS_CULTURAS!$I$6:$I$28,$P1603),0.0001)))))</f>
        <v>1.15</v>
      </c>
      <c r="S1603" s="18" t="n">
        <f aca="false">IFERROR(INDEX(SEMANAS!$H$6:$H$71,MATCH($B1603,SEMANAS!$B$6:$B$71,0)),0)</f>
        <v>33.1</v>
      </c>
      <c r="T1603" s="18" t="n">
        <f aca="false">$R1603*$S1603</f>
        <v>38.065</v>
      </c>
      <c r="U1603" s="18" t="n">
        <f aca="false">IFERROR(INDEX(SEMANAS!$I$6:$I$71,MATCH($B1603,SEMANAS!$B$6:$B$71,0)),0)</f>
        <v>48.31</v>
      </c>
      <c r="V1603" s="18" t="n">
        <f aca="false">IFERROR(INDEX(SEMANAS!$J$6:$J$71,MATCH($B1603,SEMANAS!$B$6:$B$71,0)),0)</f>
        <v>38.648</v>
      </c>
      <c r="W1603" s="18" t="n">
        <f aca="false">MAX(0,$T1603-$V1603)</f>
        <v>0</v>
      </c>
      <c r="X1603" s="19" t="n">
        <f aca="false">IFERROR(INDEX(CADASTRO_PIVOS!$K$6:$K$41,MATCH($E1603,CADASTRO_PIVOS!$B$6:$B$41,0)),EFICIENCIA_PADRAO)</f>
        <v>0.85</v>
      </c>
      <c r="Y1603" s="18" t="n">
        <f aca="false">IF($X1603&lt;=0,0,$W1603/$X1603)</f>
        <v>0</v>
      </c>
      <c r="Z1603" s="16" t="n">
        <f aca="false">$Y1603*$H1603*MM_PARA_M3_HA</f>
        <v>0</v>
      </c>
      <c r="AA1603" s="18" t="n">
        <f aca="false">IFERROR(INDEX(CADASTRO_PIVOS!$I$6:$I$41,MATCH($E1603,CADASTRO_PIVOS!$B$6:$B$41,0)),0)</f>
        <v>1049.64285714286</v>
      </c>
      <c r="AB1603" s="18" t="n">
        <f aca="false">IF($Z1603&lt;=0,0,$Z1603/$AA1603)</f>
        <v>0</v>
      </c>
      <c r="AC1603" s="16" t="n">
        <f aca="false">IFERROR(INDEX(SEMANAS!$K$6:$K$71,MATCH($B1603,SEMANAS!$B$6:$B$71,0)),0)</f>
        <v>147</v>
      </c>
      <c r="AD1603" s="19" t="n">
        <f aca="false">IF($AC1603&lt;=0,0,$AB1603/$AC1603)</f>
        <v>0</v>
      </c>
      <c r="AE1603" s="8" t="str">
        <f aca="false">IF($K1603="SEM CULTURA","SEM CULTURA",IF($AA1603&lt;=0,"DADO PENDENTE",IF($AD1603&gt;LIMITE_CRITICO,"INVIAVEL",IF($AD1603&gt;LIMITE_ATENCAO,"CRITICO",IF($AD1603&gt;LIMITE_CONFORTAVEL,"ATENCAO","OK")))))</f>
        <v>OK</v>
      </c>
      <c r="AF1603" s="8" t="str">
        <f aca="false">$B1603&amp;"|"&amp;TEXT($AD1603,"0.000000")</f>
        <v>14|0.000000</v>
      </c>
      <c r="AG1603" s="18" t="n">
        <f aca="false">IF($K1603="SEM CULTURA",0,$T1603*$H1603)</f>
        <v>5593.65175</v>
      </c>
      <c r="AH1603" s="18" t="n">
        <f aca="false">IF($K1603="SEM CULTURA",0,$V1603*$H1603)</f>
        <v>5679.3236</v>
      </c>
      <c r="AI1603" s="18" t="n">
        <f aca="false">IF($K1603="SEM CULTURA",0,$W1603*$H1603)</f>
        <v>0</v>
      </c>
      <c r="AJ1603" s="18" t="n">
        <f aca="false">IF($K1603="SEM CULTURA",0,$S1603*$H1603)</f>
        <v>4864.045</v>
      </c>
      <c r="AK1603" s="8" t="str">
        <f aca="false">$E1603&amp;"|"&amp;TEXT($AD1603,"0.000000")</f>
        <v>PV 121|0.000000</v>
      </c>
    </row>
    <row r="1604" customFormat="false" ht="15" hidden="false" customHeight="false" outlineLevel="0" collapsed="false">
      <c r="B1604" s="16" t="n">
        <v>15</v>
      </c>
      <c r="C1604" s="17" t="n">
        <f aca="false">DATA_INICIO_SAFRA+($B1604-1)*DIAS_POR_SEMANA</f>
        <v>46363</v>
      </c>
      <c r="D1604" s="17" t="n">
        <f aca="false">$C1604+DIAS_POR_SEMANA-1</f>
        <v>46369</v>
      </c>
      <c r="E1604" s="15" t="s">
        <v>283</v>
      </c>
      <c r="F1604" s="8" t="str">
        <f aca="false">IFERROR(INDEX(CADASTRO_PIVOS!$C$6:$C$41,MATCH($E1604,CADASTRO_PIVOS!$B$6:$B$41,0)),"?")</f>
        <v>RM07</v>
      </c>
      <c r="G1604" s="8" t="str">
        <f aca="false">IFERROR(INDEX(CADASTRO_PIVOS!$D$6:$D$41,MATCH($E1604,CADASTRO_PIVOS!$B$6:$B$41,0)),"?")</f>
        <v>TR07</v>
      </c>
      <c r="H1604" s="20" t="n">
        <f aca="false">IFERROR(INDEX(CADASTRO_PIVOS!$E$6:$E$41,MATCH($E1604,CADASTRO_PIVOS!$B$6:$B$41,0)),0)</f>
        <v>146.95</v>
      </c>
      <c r="I1604" s="16" t="n">
        <f aca="false">IFERROR(SUMIFS(ROTACAO_RDM!$B$6:$B$71,ROTACAO_RDM!$D$6:$D$71,$E1604,ROTACAO_RDM!$I$6:$I$71,"&lt;="&amp;$C1604+INT(DIAS_POR_SEMANA/2),ROTACAO_RDM!$J$6:$J$71,"&gt;="&amp;$C1604+INT(DIAS_POR_SEMANA/2)),0)</f>
        <v>36</v>
      </c>
      <c r="J1604" s="16" t="n">
        <f aca="false">IFERROR(MATCH($I1604,ROTACAO_RDM!$B$6:$B$71,0),0)</f>
        <v>36</v>
      </c>
      <c r="K1604" s="8" t="str">
        <f aca="false">IF($J1604=0,"SEM CULTURA",INDEX(ROTACAO_RDM!$F$6:$F$71,$J1604))</f>
        <v>SOJA</v>
      </c>
      <c r="L1604" s="8" t="str">
        <f aca="false">IF($J1604=0,"",INDEX(ROTACAO_RDM!$G$6:$G$71,$J1604))</f>
        <v>BMX Olimpo IPRO</v>
      </c>
      <c r="M1604" s="17" t="n">
        <f aca="false">IF($J1604=0,"",INDEX(ROTACAO_RDM!$I$6:$I$71,$J1604))</f>
        <v>46309</v>
      </c>
      <c r="N1604" s="16" t="n">
        <f aca="false">IF($J1604=0,0,MAX(0,$C1604+INT(DIAS_POR_SEMANA/2)-INDEX(ROTACAO_RDM!$I$6:$I$71,$J1604)))</f>
        <v>57</v>
      </c>
      <c r="O1604" s="19" t="n">
        <f aca="false">IF($J1604=0,0,MIN(1,$N1604/MAX(1,INDEX(ROTACAO_RDM!$K$6:$K$71,$J1604))))</f>
        <v>0.467213114754098</v>
      </c>
      <c r="P1604" s="16" t="n">
        <f aca="false">IF($J1604=0,0,IFERROR(MATCH(INDEX(ROTACAO_RDM!$N$6:$N$71,$J1604),PARAMETROS_CULTURAS!$B$6:$B$28,0),0))</f>
        <v>2</v>
      </c>
      <c r="Q1604" s="8" t="str">
        <f aca="false">IF($P1604=0,"-",IF($O1604&lt;=INDEX(PARAMETROS_CULTURAS!$F$6:$F$28,$P1604),"INICIAL",IF($O1604&lt;=INDEX(PARAMETROS_CULTURAS!$F$6:$F$28,$P1604)+INDEX(PARAMETROS_CULTURAS!$G$6:$G$28,$P1604),"DESENVOLVIMENTO",IF($O1604&lt;=INDEX(PARAMETROS_CULTURAS!$F$6:$F$28,$P1604)+INDEX(PARAMETROS_CULTURAS!$G$6:$G$28,$P1604)+INDEX(PARAMETROS_CULTURAS!$H$6:$H$28,$P1604),"MEDIA","FINAL"))))</f>
        <v>MEDIA</v>
      </c>
      <c r="R1604" s="24" t="n">
        <f aca="false">IF($P1604=0,0,IF($O1604&lt;=INDEX(PARAMETROS_CULTURAS!$F$6:$F$28,$P1604),INDEX(PARAMETROS_CULTURAS!$K$6:$K$28,$P1604),IF($O1604&lt;=INDEX(PARAMETROS_CULTURAS!$F$6:$F$28,$P1604)+INDEX(PARAMETROS_CULTURAS!$G$6:$G$28,$P1604),INDEX(PARAMETROS_CULTURAS!$K$6:$K$28,$P1604)+(INDEX(PARAMETROS_CULTURAS!$L$6:$L$28,$P1604)-INDEX(PARAMETROS_CULTURAS!$K$6:$K$28,$P1604))*($O1604-INDEX(PARAMETROS_CULTURAS!$F$6:$F$28,$P1604))/MAX(INDEX(PARAMETROS_CULTURAS!$G$6:$G$28,$P1604),0.0001),IF($O1604&lt;=INDEX(PARAMETROS_CULTURAS!$F$6:$F$28,$P1604)+INDEX(PARAMETROS_CULTURAS!$G$6:$G$28,$P1604)+INDEX(PARAMETROS_CULTURAS!$H$6:$H$28,$P1604),INDEX(PARAMETROS_CULTURAS!$L$6:$L$28,$P1604),INDEX(PARAMETROS_CULTURAS!$L$6:$L$28,$P1604)+(INDEX(PARAMETROS_CULTURAS!$M$6:$M$28,$P1604)-INDEX(PARAMETROS_CULTURAS!$L$6:$L$28,$P1604))*($O1604-INDEX(PARAMETROS_CULTURAS!$F$6:$F$28,$P1604)-INDEX(PARAMETROS_CULTURAS!$G$6:$G$28,$P1604)-INDEX(PARAMETROS_CULTURAS!$H$6:$H$28,$P1604))/MAX(INDEX(PARAMETROS_CULTURAS!$I$6:$I$28,$P1604),0.0001)))))</f>
        <v>1.15</v>
      </c>
      <c r="S1604" s="18" t="n">
        <f aca="false">IFERROR(INDEX(SEMANAS!$H$6:$H$71,MATCH($B1604,SEMANAS!$B$6:$B$71,0)),0)</f>
        <v>32.9</v>
      </c>
      <c r="T1604" s="18" t="n">
        <f aca="false">$R1604*$S1604</f>
        <v>37.835</v>
      </c>
      <c r="U1604" s="18" t="n">
        <f aca="false">IFERROR(INDEX(SEMANAS!$I$6:$I$71,MATCH($B1604,SEMANAS!$B$6:$B$71,0)),0)</f>
        <v>48.58</v>
      </c>
      <c r="V1604" s="18" t="n">
        <f aca="false">IFERROR(INDEX(SEMANAS!$J$6:$J$71,MATCH($B1604,SEMANAS!$B$6:$B$71,0)),0)</f>
        <v>38.864</v>
      </c>
      <c r="W1604" s="18" t="n">
        <f aca="false">MAX(0,$T1604-$V1604)</f>
        <v>0</v>
      </c>
      <c r="X1604" s="19" t="n">
        <f aca="false">IFERROR(INDEX(CADASTRO_PIVOS!$K$6:$K$41,MATCH($E1604,CADASTRO_PIVOS!$B$6:$B$41,0)),EFICIENCIA_PADRAO)</f>
        <v>0.85</v>
      </c>
      <c r="Y1604" s="18" t="n">
        <f aca="false">IF($X1604&lt;=0,0,$W1604/$X1604)</f>
        <v>0</v>
      </c>
      <c r="Z1604" s="16" t="n">
        <f aca="false">$Y1604*$H1604*MM_PARA_M3_HA</f>
        <v>0</v>
      </c>
      <c r="AA1604" s="18" t="n">
        <f aca="false">IFERROR(INDEX(CADASTRO_PIVOS!$I$6:$I$41,MATCH($E1604,CADASTRO_PIVOS!$B$6:$B$41,0)),0)</f>
        <v>1049.64285714286</v>
      </c>
      <c r="AB1604" s="18" t="n">
        <f aca="false">IF($Z1604&lt;=0,0,$Z1604/$AA1604)</f>
        <v>0</v>
      </c>
      <c r="AC1604" s="16" t="n">
        <f aca="false">IFERROR(INDEX(SEMANAS!$K$6:$K$71,MATCH($B1604,SEMANAS!$B$6:$B$71,0)),0)</f>
        <v>147</v>
      </c>
      <c r="AD1604" s="19" t="n">
        <f aca="false">IF($AC1604&lt;=0,0,$AB1604/$AC1604)</f>
        <v>0</v>
      </c>
      <c r="AE1604" s="8" t="str">
        <f aca="false">IF($K1604="SEM CULTURA","SEM CULTURA",IF($AA1604&lt;=0,"DADO PENDENTE",IF($AD1604&gt;LIMITE_CRITICO,"INVIAVEL",IF($AD1604&gt;LIMITE_ATENCAO,"CRITICO",IF($AD1604&gt;LIMITE_CONFORTAVEL,"ATENCAO","OK")))))</f>
        <v>OK</v>
      </c>
      <c r="AF1604" s="8" t="str">
        <f aca="false">$B1604&amp;"|"&amp;TEXT($AD1604,"0.000000")</f>
        <v>15|0.000000</v>
      </c>
      <c r="AG1604" s="18" t="n">
        <f aca="false">IF($K1604="SEM CULTURA",0,$T1604*$H1604)</f>
        <v>5559.85325</v>
      </c>
      <c r="AH1604" s="18" t="n">
        <f aca="false">IF($K1604="SEM CULTURA",0,$V1604*$H1604)</f>
        <v>5711.0648</v>
      </c>
      <c r="AI1604" s="18" t="n">
        <f aca="false">IF($K1604="SEM CULTURA",0,$W1604*$H1604)</f>
        <v>0</v>
      </c>
      <c r="AJ1604" s="18" t="n">
        <f aca="false">IF($K1604="SEM CULTURA",0,$S1604*$H1604)</f>
        <v>4834.655</v>
      </c>
      <c r="AK1604" s="8" t="str">
        <f aca="false">$E1604&amp;"|"&amp;TEXT($AD1604,"0.000000")</f>
        <v>PV 121|0.000000</v>
      </c>
    </row>
    <row r="1605" customFormat="false" ht="15" hidden="false" customHeight="false" outlineLevel="0" collapsed="false">
      <c r="B1605" s="16" t="n">
        <v>16</v>
      </c>
      <c r="C1605" s="17" t="n">
        <f aca="false">DATA_INICIO_SAFRA+($B1605-1)*DIAS_POR_SEMANA</f>
        <v>46370</v>
      </c>
      <c r="D1605" s="17" t="n">
        <f aca="false">$C1605+DIAS_POR_SEMANA-1</f>
        <v>46376</v>
      </c>
      <c r="E1605" s="15" t="s">
        <v>283</v>
      </c>
      <c r="F1605" s="8" t="str">
        <f aca="false">IFERROR(INDEX(CADASTRO_PIVOS!$C$6:$C$41,MATCH($E1605,CADASTRO_PIVOS!$B$6:$B$41,0)),"?")</f>
        <v>RM07</v>
      </c>
      <c r="G1605" s="8" t="str">
        <f aca="false">IFERROR(INDEX(CADASTRO_PIVOS!$D$6:$D$41,MATCH($E1605,CADASTRO_PIVOS!$B$6:$B$41,0)),"?")</f>
        <v>TR07</v>
      </c>
      <c r="H1605" s="20" t="n">
        <f aca="false">IFERROR(INDEX(CADASTRO_PIVOS!$E$6:$E$41,MATCH($E1605,CADASTRO_PIVOS!$B$6:$B$41,0)),0)</f>
        <v>146.95</v>
      </c>
      <c r="I1605" s="16" t="n">
        <f aca="false">IFERROR(SUMIFS(ROTACAO_RDM!$B$6:$B$71,ROTACAO_RDM!$D$6:$D$71,$E1605,ROTACAO_RDM!$I$6:$I$71,"&lt;="&amp;$C1605+INT(DIAS_POR_SEMANA/2),ROTACAO_RDM!$J$6:$J$71,"&gt;="&amp;$C1605+INT(DIAS_POR_SEMANA/2)),0)</f>
        <v>36</v>
      </c>
      <c r="J1605" s="16" t="n">
        <f aca="false">IFERROR(MATCH($I1605,ROTACAO_RDM!$B$6:$B$71,0),0)</f>
        <v>36</v>
      </c>
      <c r="K1605" s="8" t="str">
        <f aca="false">IF($J1605=0,"SEM CULTURA",INDEX(ROTACAO_RDM!$F$6:$F$71,$J1605))</f>
        <v>SOJA</v>
      </c>
      <c r="L1605" s="8" t="str">
        <f aca="false">IF($J1605=0,"",INDEX(ROTACAO_RDM!$G$6:$G$71,$J1605))</f>
        <v>BMX Olimpo IPRO</v>
      </c>
      <c r="M1605" s="17" t="n">
        <f aca="false">IF($J1605=0,"",INDEX(ROTACAO_RDM!$I$6:$I$71,$J1605))</f>
        <v>46309</v>
      </c>
      <c r="N1605" s="16" t="n">
        <f aca="false">IF($J1605=0,0,MAX(0,$C1605+INT(DIAS_POR_SEMANA/2)-INDEX(ROTACAO_RDM!$I$6:$I$71,$J1605)))</f>
        <v>64</v>
      </c>
      <c r="O1605" s="19" t="n">
        <f aca="false">IF($J1605=0,0,MIN(1,$N1605/MAX(1,INDEX(ROTACAO_RDM!$K$6:$K$71,$J1605))))</f>
        <v>0.524590163934426</v>
      </c>
      <c r="P1605" s="16" t="n">
        <f aca="false">IF($J1605=0,0,IFERROR(MATCH(INDEX(ROTACAO_RDM!$N$6:$N$71,$J1605),PARAMETROS_CULTURAS!$B$6:$B$28,0),0))</f>
        <v>2</v>
      </c>
      <c r="Q1605" s="8" t="str">
        <f aca="false">IF($P1605=0,"-",IF($O1605&lt;=INDEX(PARAMETROS_CULTURAS!$F$6:$F$28,$P1605),"INICIAL",IF($O1605&lt;=INDEX(PARAMETROS_CULTURAS!$F$6:$F$28,$P1605)+INDEX(PARAMETROS_CULTURAS!$G$6:$G$28,$P1605),"DESENVOLVIMENTO",IF($O1605&lt;=INDEX(PARAMETROS_CULTURAS!$F$6:$F$28,$P1605)+INDEX(PARAMETROS_CULTURAS!$G$6:$G$28,$P1605)+INDEX(PARAMETROS_CULTURAS!$H$6:$H$28,$P1605),"MEDIA","FINAL"))))</f>
        <v>MEDIA</v>
      </c>
      <c r="R1605" s="24" t="n">
        <f aca="false">IF($P1605=0,0,IF($O1605&lt;=INDEX(PARAMETROS_CULTURAS!$F$6:$F$28,$P1605),INDEX(PARAMETROS_CULTURAS!$K$6:$K$28,$P1605),IF($O1605&lt;=INDEX(PARAMETROS_CULTURAS!$F$6:$F$28,$P1605)+INDEX(PARAMETROS_CULTURAS!$G$6:$G$28,$P1605),INDEX(PARAMETROS_CULTURAS!$K$6:$K$28,$P1605)+(INDEX(PARAMETROS_CULTURAS!$L$6:$L$28,$P1605)-INDEX(PARAMETROS_CULTURAS!$K$6:$K$28,$P1605))*($O1605-INDEX(PARAMETROS_CULTURAS!$F$6:$F$28,$P1605))/MAX(INDEX(PARAMETROS_CULTURAS!$G$6:$G$28,$P1605),0.0001),IF($O1605&lt;=INDEX(PARAMETROS_CULTURAS!$F$6:$F$28,$P1605)+INDEX(PARAMETROS_CULTURAS!$G$6:$G$28,$P1605)+INDEX(PARAMETROS_CULTURAS!$H$6:$H$28,$P1605),INDEX(PARAMETROS_CULTURAS!$L$6:$L$28,$P1605),INDEX(PARAMETROS_CULTURAS!$L$6:$L$28,$P1605)+(INDEX(PARAMETROS_CULTURAS!$M$6:$M$28,$P1605)-INDEX(PARAMETROS_CULTURAS!$L$6:$L$28,$P1605))*($O1605-INDEX(PARAMETROS_CULTURAS!$F$6:$F$28,$P1605)-INDEX(PARAMETROS_CULTURAS!$G$6:$G$28,$P1605)-INDEX(PARAMETROS_CULTURAS!$H$6:$H$28,$P1605))/MAX(INDEX(PARAMETROS_CULTURAS!$I$6:$I$28,$P1605),0.0001)))))</f>
        <v>1.15</v>
      </c>
      <c r="S1605" s="18" t="n">
        <f aca="false">IFERROR(INDEX(SEMANAS!$H$6:$H$71,MATCH($B1605,SEMANAS!$B$6:$B$71,0)),0)</f>
        <v>32.9</v>
      </c>
      <c r="T1605" s="18" t="n">
        <f aca="false">$R1605*$S1605</f>
        <v>37.835</v>
      </c>
      <c r="U1605" s="18" t="n">
        <f aca="false">IFERROR(INDEX(SEMANAS!$I$6:$I$71,MATCH($B1605,SEMANAS!$B$6:$B$71,0)),0)</f>
        <v>48.58</v>
      </c>
      <c r="V1605" s="18" t="n">
        <f aca="false">IFERROR(INDEX(SEMANAS!$J$6:$J$71,MATCH($B1605,SEMANAS!$B$6:$B$71,0)),0)</f>
        <v>38.864</v>
      </c>
      <c r="W1605" s="18" t="n">
        <f aca="false">MAX(0,$T1605-$V1605)</f>
        <v>0</v>
      </c>
      <c r="X1605" s="19" t="n">
        <f aca="false">IFERROR(INDEX(CADASTRO_PIVOS!$K$6:$K$41,MATCH($E1605,CADASTRO_PIVOS!$B$6:$B$41,0)),EFICIENCIA_PADRAO)</f>
        <v>0.85</v>
      </c>
      <c r="Y1605" s="18" t="n">
        <f aca="false">IF($X1605&lt;=0,0,$W1605/$X1605)</f>
        <v>0</v>
      </c>
      <c r="Z1605" s="16" t="n">
        <f aca="false">$Y1605*$H1605*MM_PARA_M3_HA</f>
        <v>0</v>
      </c>
      <c r="AA1605" s="18" t="n">
        <f aca="false">IFERROR(INDEX(CADASTRO_PIVOS!$I$6:$I$41,MATCH($E1605,CADASTRO_PIVOS!$B$6:$B$41,0)),0)</f>
        <v>1049.64285714286</v>
      </c>
      <c r="AB1605" s="18" t="n">
        <f aca="false">IF($Z1605&lt;=0,0,$Z1605/$AA1605)</f>
        <v>0</v>
      </c>
      <c r="AC1605" s="16" t="n">
        <f aca="false">IFERROR(INDEX(SEMANAS!$K$6:$K$71,MATCH($B1605,SEMANAS!$B$6:$B$71,0)),0)</f>
        <v>147</v>
      </c>
      <c r="AD1605" s="19" t="n">
        <f aca="false">IF($AC1605&lt;=0,0,$AB1605/$AC1605)</f>
        <v>0</v>
      </c>
      <c r="AE1605" s="8" t="str">
        <f aca="false">IF($K1605="SEM CULTURA","SEM CULTURA",IF($AA1605&lt;=0,"DADO PENDENTE",IF($AD1605&gt;LIMITE_CRITICO,"INVIAVEL",IF($AD1605&gt;LIMITE_ATENCAO,"CRITICO",IF($AD1605&gt;LIMITE_CONFORTAVEL,"ATENCAO","OK")))))</f>
        <v>OK</v>
      </c>
      <c r="AF1605" s="8" t="str">
        <f aca="false">$B1605&amp;"|"&amp;TEXT($AD1605,"0.000000")</f>
        <v>16|0.000000</v>
      </c>
      <c r="AG1605" s="18" t="n">
        <f aca="false">IF($K1605="SEM CULTURA",0,$T1605*$H1605)</f>
        <v>5559.85325</v>
      </c>
      <c r="AH1605" s="18" t="n">
        <f aca="false">IF($K1605="SEM CULTURA",0,$V1605*$H1605)</f>
        <v>5711.0648</v>
      </c>
      <c r="AI1605" s="18" t="n">
        <f aca="false">IF($K1605="SEM CULTURA",0,$W1605*$H1605)</f>
        <v>0</v>
      </c>
      <c r="AJ1605" s="18" t="n">
        <f aca="false">IF($K1605="SEM CULTURA",0,$S1605*$H1605)</f>
        <v>4834.655</v>
      </c>
      <c r="AK1605" s="8" t="str">
        <f aca="false">$E1605&amp;"|"&amp;TEXT($AD1605,"0.000000")</f>
        <v>PV 121|0.000000</v>
      </c>
    </row>
    <row r="1606" customFormat="false" ht="15" hidden="false" customHeight="false" outlineLevel="0" collapsed="false">
      <c r="B1606" s="16" t="n">
        <v>17</v>
      </c>
      <c r="C1606" s="17" t="n">
        <f aca="false">DATA_INICIO_SAFRA+($B1606-1)*DIAS_POR_SEMANA</f>
        <v>46377</v>
      </c>
      <c r="D1606" s="17" t="n">
        <f aca="false">$C1606+DIAS_POR_SEMANA-1</f>
        <v>46383</v>
      </c>
      <c r="E1606" s="15" t="s">
        <v>283</v>
      </c>
      <c r="F1606" s="8" t="str">
        <f aca="false">IFERROR(INDEX(CADASTRO_PIVOS!$C$6:$C$41,MATCH($E1606,CADASTRO_PIVOS!$B$6:$B$41,0)),"?")</f>
        <v>RM07</v>
      </c>
      <c r="G1606" s="8" t="str">
        <f aca="false">IFERROR(INDEX(CADASTRO_PIVOS!$D$6:$D$41,MATCH($E1606,CADASTRO_PIVOS!$B$6:$B$41,0)),"?")</f>
        <v>TR07</v>
      </c>
      <c r="H1606" s="20" t="n">
        <f aca="false">IFERROR(INDEX(CADASTRO_PIVOS!$E$6:$E$41,MATCH($E1606,CADASTRO_PIVOS!$B$6:$B$41,0)),0)</f>
        <v>146.95</v>
      </c>
      <c r="I1606" s="16" t="n">
        <f aca="false">IFERROR(SUMIFS(ROTACAO_RDM!$B$6:$B$71,ROTACAO_RDM!$D$6:$D$71,$E1606,ROTACAO_RDM!$I$6:$I$71,"&lt;="&amp;$C1606+INT(DIAS_POR_SEMANA/2),ROTACAO_RDM!$J$6:$J$71,"&gt;="&amp;$C1606+INT(DIAS_POR_SEMANA/2)),0)</f>
        <v>36</v>
      </c>
      <c r="J1606" s="16" t="n">
        <f aca="false">IFERROR(MATCH($I1606,ROTACAO_RDM!$B$6:$B$71,0),0)</f>
        <v>36</v>
      </c>
      <c r="K1606" s="8" t="str">
        <f aca="false">IF($J1606=0,"SEM CULTURA",INDEX(ROTACAO_RDM!$F$6:$F$71,$J1606))</f>
        <v>SOJA</v>
      </c>
      <c r="L1606" s="8" t="str">
        <f aca="false">IF($J1606=0,"",INDEX(ROTACAO_RDM!$G$6:$G$71,$J1606))</f>
        <v>BMX Olimpo IPRO</v>
      </c>
      <c r="M1606" s="17" t="n">
        <f aca="false">IF($J1606=0,"",INDEX(ROTACAO_RDM!$I$6:$I$71,$J1606))</f>
        <v>46309</v>
      </c>
      <c r="N1606" s="16" t="n">
        <f aca="false">IF($J1606=0,0,MAX(0,$C1606+INT(DIAS_POR_SEMANA/2)-INDEX(ROTACAO_RDM!$I$6:$I$71,$J1606)))</f>
        <v>71</v>
      </c>
      <c r="O1606" s="19" t="n">
        <f aca="false">IF($J1606=0,0,MIN(1,$N1606/MAX(1,INDEX(ROTACAO_RDM!$K$6:$K$71,$J1606))))</f>
        <v>0.581967213114754</v>
      </c>
      <c r="P1606" s="16" t="n">
        <f aca="false">IF($J1606=0,0,IFERROR(MATCH(INDEX(ROTACAO_RDM!$N$6:$N$71,$J1606),PARAMETROS_CULTURAS!$B$6:$B$28,0),0))</f>
        <v>2</v>
      </c>
      <c r="Q1606" s="8" t="str">
        <f aca="false">IF($P1606=0,"-",IF($O1606&lt;=INDEX(PARAMETROS_CULTURAS!$F$6:$F$28,$P1606),"INICIAL",IF($O1606&lt;=INDEX(PARAMETROS_CULTURAS!$F$6:$F$28,$P1606)+INDEX(PARAMETROS_CULTURAS!$G$6:$G$28,$P1606),"DESENVOLVIMENTO",IF($O1606&lt;=INDEX(PARAMETROS_CULTURAS!$F$6:$F$28,$P1606)+INDEX(PARAMETROS_CULTURAS!$G$6:$G$28,$P1606)+INDEX(PARAMETROS_CULTURAS!$H$6:$H$28,$P1606),"MEDIA","FINAL"))))</f>
        <v>MEDIA</v>
      </c>
      <c r="R1606" s="24" t="n">
        <f aca="false">IF($P1606=0,0,IF($O1606&lt;=INDEX(PARAMETROS_CULTURAS!$F$6:$F$28,$P1606),INDEX(PARAMETROS_CULTURAS!$K$6:$K$28,$P1606),IF($O1606&lt;=INDEX(PARAMETROS_CULTURAS!$F$6:$F$28,$P1606)+INDEX(PARAMETROS_CULTURAS!$G$6:$G$28,$P1606),INDEX(PARAMETROS_CULTURAS!$K$6:$K$28,$P1606)+(INDEX(PARAMETROS_CULTURAS!$L$6:$L$28,$P1606)-INDEX(PARAMETROS_CULTURAS!$K$6:$K$28,$P1606))*($O1606-INDEX(PARAMETROS_CULTURAS!$F$6:$F$28,$P1606))/MAX(INDEX(PARAMETROS_CULTURAS!$G$6:$G$28,$P1606),0.0001),IF($O1606&lt;=INDEX(PARAMETROS_CULTURAS!$F$6:$F$28,$P1606)+INDEX(PARAMETROS_CULTURAS!$G$6:$G$28,$P1606)+INDEX(PARAMETROS_CULTURAS!$H$6:$H$28,$P1606),INDEX(PARAMETROS_CULTURAS!$L$6:$L$28,$P1606),INDEX(PARAMETROS_CULTURAS!$L$6:$L$28,$P1606)+(INDEX(PARAMETROS_CULTURAS!$M$6:$M$28,$P1606)-INDEX(PARAMETROS_CULTURAS!$L$6:$L$28,$P1606))*($O1606-INDEX(PARAMETROS_CULTURAS!$F$6:$F$28,$P1606)-INDEX(PARAMETROS_CULTURAS!$G$6:$G$28,$P1606)-INDEX(PARAMETROS_CULTURAS!$H$6:$H$28,$P1606))/MAX(INDEX(PARAMETROS_CULTURAS!$I$6:$I$28,$P1606),0.0001)))))</f>
        <v>1.15</v>
      </c>
      <c r="S1606" s="18" t="n">
        <f aca="false">IFERROR(INDEX(SEMANAS!$H$6:$H$71,MATCH($B1606,SEMANAS!$B$6:$B$71,0)),0)</f>
        <v>32.9</v>
      </c>
      <c r="T1606" s="18" t="n">
        <f aca="false">$R1606*$S1606</f>
        <v>37.835</v>
      </c>
      <c r="U1606" s="18" t="n">
        <f aca="false">IFERROR(INDEX(SEMANAS!$I$6:$I$71,MATCH($B1606,SEMANAS!$B$6:$B$71,0)),0)</f>
        <v>48.58</v>
      </c>
      <c r="V1606" s="18" t="n">
        <f aca="false">IFERROR(INDEX(SEMANAS!$J$6:$J$71,MATCH($B1606,SEMANAS!$B$6:$B$71,0)),0)</f>
        <v>38.864</v>
      </c>
      <c r="W1606" s="18" t="n">
        <f aca="false">MAX(0,$T1606-$V1606)</f>
        <v>0</v>
      </c>
      <c r="X1606" s="19" t="n">
        <f aca="false">IFERROR(INDEX(CADASTRO_PIVOS!$K$6:$K$41,MATCH($E1606,CADASTRO_PIVOS!$B$6:$B$41,0)),EFICIENCIA_PADRAO)</f>
        <v>0.85</v>
      </c>
      <c r="Y1606" s="18" t="n">
        <f aca="false">IF($X1606&lt;=0,0,$W1606/$X1606)</f>
        <v>0</v>
      </c>
      <c r="Z1606" s="16" t="n">
        <f aca="false">$Y1606*$H1606*MM_PARA_M3_HA</f>
        <v>0</v>
      </c>
      <c r="AA1606" s="18" t="n">
        <f aca="false">IFERROR(INDEX(CADASTRO_PIVOS!$I$6:$I$41,MATCH($E1606,CADASTRO_PIVOS!$B$6:$B$41,0)),0)</f>
        <v>1049.64285714286</v>
      </c>
      <c r="AB1606" s="18" t="n">
        <f aca="false">IF($Z1606&lt;=0,0,$Z1606/$AA1606)</f>
        <v>0</v>
      </c>
      <c r="AC1606" s="16" t="n">
        <f aca="false">IFERROR(INDEX(SEMANAS!$K$6:$K$71,MATCH($B1606,SEMANAS!$B$6:$B$71,0)),0)</f>
        <v>147</v>
      </c>
      <c r="AD1606" s="19" t="n">
        <f aca="false">IF($AC1606&lt;=0,0,$AB1606/$AC1606)</f>
        <v>0</v>
      </c>
      <c r="AE1606" s="8" t="str">
        <f aca="false">IF($K1606="SEM CULTURA","SEM CULTURA",IF($AA1606&lt;=0,"DADO PENDENTE",IF($AD1606&gt;LIMITE_CRITICO,"INVIAVEL",IF($AD1606&gt;LIMITE_ATENCAO,"CRITICO",IF($AD1606&gt;LIMITE_CONFORTAVEL,"ATENCAO","OK")))))</f>
        <v>OK</v>
      </c>
      <c r="AF1606" s="8" t="str">
        <f aca="false">$B1606&amp;"|"&amp;TEXT($AD1606,"0.000000")</f>
        <v>17|0.000000</v>
      </c>
      <c r="AG1606" s="18" t="n">
        <f aca="false">IF($K1606="SEM CULTURA",0,$T1606*$H1606)</f>
        <v>5559.85325</v>
      </c>
      <c r="AH1606" s="18" t="n">
        <f aca="false">IF($K1606="SEM CULTURA",0,$V1606*$H1606)</f>
        <v>5711.0648</v>
      </c>
      <c r="AI1606" s="18" t="n">
        <f aca="false">IF($K1606="SEM CULTURA",0,$W1606*$H1606)</f>
        <v>0</v>
      </c>
      <c r="AJ1606" s="18" t="n">
        <f aca="false">IF($K1606="SEM CULTURA",0,$S1606*$H1606)</f>
        <v>4834.655</v>
      </c>
      <c r="AK1606" s="8" t="str">
        <f aca="false">$E1606&amp;"|"&amp;TEXT($AD1606,"0.000000")</f>
        <v>PV 121|0.000000</v>
      </c>
    </row>
    <row r="1607" customFormat="false" ht="15" hidden="false" customHeight="false" outlineLevel="0" collapsed="false">
      <c r="B1607" s="16" t="n">
        <v>18</v>
      </c>
      <c r="C1607" s="17" t="n">
        <f aca="false">DATA_INICIO_SAFRA+($B1607-1)*DIAS_POR_SEMANA</f>
        <v>46384</v>
      </c>
      <c r="D1607" s="17" t="n">
        <f aca="false">$C1607+DIAS_POR_SEMANA-1</f>
        <v>46390</v>
      </c>
      <c r="E1607" s="15" t="s">
        <v>283</v>
      </c>
      <c r="F1607" s="8" t="str">
        <f aca="false">IFERROR(INDEX(CADASTRO_PIVOS!$C$6:$C$41,MATCH($E1607,CADASTRO_PIVOS!$B$6:$B$41,0)),"?")</f>
        <v>RM07</v>
      </c>
      <c r="G1607" s="8" t="str">
        <f aca="false">IFERROR(INDEX(CADASTRO_PIVOS!$D$6:$D$41,MATCH($E1607,CADASTRO_PIVOS!$B$6:$B$41,0)),"?")</f>
        <v>TR07</v>
      </c>
      <c r="H1607" s="20" t="n">
        <f aca="false">IFERROR(INDEX(CADASTRO_PIVOS!$E$6:$E$41,MATCH($E1607,CADASTRO_PIVOS!$B$6:$B$41,0)),0)</f>
        <v>146.95</v>
      </c>
      <c r="I1607" s="16" t="n">
        <f aca="false">IFERROR(SUMIFS(ROTACAO_RDM!$B$6:$B$71,ROTACAO_RDM!$D$6:$D$71,$E1607,ROTACAO_RDM!$I$6:$I$71,"&lt;="&amp;$C1607+INT(DIAS_POR_SEMANA/2),ROTACAO_RDM!$J$6:$J$71,"&gt;="&amp;$C1607+INT(DIAS_POR_SEMANA/2)),0)</f>
        <v>36</v>
      </c>
      <c r="J1607" s="16" t="n">
        <f aca="false">IFERROR(MATCH($I1607,ROTACAO_RDM!$B$6:$B$71,0),0)</f>
        <v>36</v>
      </c>
      <c r="K1607" s="8" t="str">
        <f aca="false">IF($J1607=0,"SEM CULTURA",INDEX(ROTACAO_RDM!$F$6:$F$71,$J1607))</f>
        <v>SOJA</v>
      </c>
      <c r="L1607" s="8" t="str">
        <f aca="false">IF($J1607=0,"",INDEX(ROTACAO_RDM!$G$6:$G$71,$J1607))</f>
        <v>BMX Olimpo IPRO</v>
      </c>
      <c r="M1607" s="17" t="n">
        <f aca="false">IF($J1607=0,"",INDEX(ROTACAO_RDM!$I$6:$I$71,$J1607))</f>
        <v>46309</v>
      </c>
      <c r="N1607" s="16" t="n">
        <f aca="false">IF($J1607=0,0,MAX(0,$C1607+INT(DIAS_POR_SEMANA/2)-INDEX(ROTACAO_RDM!$I$6:$I$71,$J1607)))</f>
        <v>78</v>
      </c>
      <c r="O1607" s="19" t="n">
        <f aca="false">IF($J1607=0,0,MIN(1,$N1607/MAX(1,INDEX(ROTACAO_RDM!$K$6:$K$71,$J1607))))</f>
        <v>0.639344262295082</v>
      </c>
      <c r="P1607" s="16" t="n">
        <f aca="false">IF($J1607=0,0,IFERROR(MATCH(INDEX(ROTACAO_RDM!$N$6:$N$71,$J1607),PARAMETROS_CULTURAS!$B$6:$B$28,0),0))</f>
        <v>2</v>
      </c>
      <c r="Q1607" s="8" t="str">
        <f aca="false">IF($P1607=0,"-",IF($O1607&lt;=INDEX(PARAMETROS_CULTURAS!$F$6:$F$28,$P1607),"INICIAL",IF($O1607&lt;=INDEX(PARAMETROS_CULTURAS!$F$6:$F$28,$P1607)+INDEX(PARAMETROS_CULTURAS!$G$6:$G$28,$P1607),"DESENVOLVIMENTO",IF($O1607&lt;=INDEX(PARAMETROS_CULTURAS!$F$6:$F$28,$P1607)+INDEX(PARAMETROS_CULTURAS!$G$6:$G$28,$P1607)+INDEX(PARAMETROS_CULTURAS!$H$6:$H$28,$P1607),"MEDIA","FINAL"))))</f>
        <v>MEDIA</v>
      </c>
      <c r="R1607" s="24" t="n">
        <f aca="false">IF($P1607=0,0,IF($O1607&lt;=INDEX(PARAMETROS_CULTURAS!$F$6:$F$28,$P1607),INDEX(PARAMETROS_CULTURAS!$K$6:$K$28,$P1607),IF($O1607&lt;=INDEX(PARAMETROS_CULTURAS!$F$6:$F$28,$P1607)+INDEX(PARAMETROS_CULTURAS!$G$6:$G$28,$P1607),INDEX(PARAMETROS_CULTURAS!$K$6:$K$28,$P1607)+(INDEX(PARAMETROS_CULTURAS!$L$6:$L$28,$P1607)-INDEX(PARAMETROS_CULTURAS!$K$6:$K$28,$P1607))*($O1607-INDEX(PARAMETROS_CULTURAS!$F$6:$F$28,$P1607))/MAX(INDEX(PARAMETROS_CULTURAS!$G$6:$G$28,$P1607),0.0001),IF($O1607&lt;=INDEX(PARAMETROS_CULTURAS!$F$6:$F$28,$P1607)+INDEX(PARAMETROS_CULTURAS!$G$6:$G$28,$P1607)+INDEX(PARAMETROS_CULTURAS!$H$6:$H$28,$P1607),INDEX(PARAMETROS_CULTURAS!$L$6:$L$28,$P1607),INDEX(PARAMETROS_CULTURAS!$L$6:$L$28,$P1607)+(INDEX(PARAMETROS_CULTURAS!$M$6:$M$28,$P1607)-INDEX(PARAMETROS_CULTURAS!$L$6:$L$28,$P1607))*($O1607-INDEX(PARAMETROS_CULTURAS!$F$6:$F$28,$P1607)-INDEX(PARAMETROS_CULTURAS!$G$6:$G$28,$P1607)-INDEX(PARAMETROS_CULTURAS!$H$6:$H$28,$P1607))/MAX(INDEX(PARAMETROS_CULTURAS!$I$6:$I$28,$P1607),0.0001)))))</f>
        <v>1.15</v>
      </c>
      <c r="S1607" s="18" t="n">
        <f aca="false">IFERROR(INDEX(SEMANAS!$H$6:$H$71,MATCH($B1607,SEMANAS!$B$6:$B$71,0)),0)</f>
        <v>33.2</v>
      </c>
      <c r="T1607" s="18" t="n">
        <f aca="false">$R1607*$S1607</f>
        <v>38.18</v>
      </c>
      <c r="U1607" s="18" t="n">
        <f aca="false">IFERROR(INDEX(SEMANAS!$I$6:$I$71,MATCH($B1607,SEMANAS!$B$6:$B$71,0)),0)</f>
        <v>47.11</v>
      </c>
      <c r="V1607" s="18" t="n">
        <f aca="false">IFERROR(INDEX(SEMANAS!$J$6:$J$71,MATCH($B1607,SEMANAS!$B$6:$B$71,0)),0)</f>
        <v>37.688</v>
      </c>
      <c r="W1607" s="18" t="n">
        <f aca="false">MAX(0,$T1607-$V1607)</f>
        <v>0.491999999999997</v>
      </c>
      <c r="X1607" s="19" t="n">
        <f aca="false">IFERROR(INDEX(CADASTRO_PIVOS!$K$6:$K$41,MATCH($E1607,CADASTRO_PIVOS!$B$6:$B$41,0)),EFICIENCIA_PADRAO)</f>
        <v>0.85</v>
      </c>
      <c r="Y1607" s="18" t="n">
        <f aca="false">IF($X1607&lt;=0,0,$W1607/$X1607)</f>
        <v>0.578823529411762</v>
      </c>
      <c r="Z1607" s="16" t="n">
        <f aca="false">$Y1607*$H1607*MM_PARA_M3_HA</f>
        <v>850.581176470584</v>
      </c>
      <c r="AA1607" s="18" t="n">
        <f aca="false">IFERROR(INDEX(CADASTRO_PIVOS!$I$6:$I$41,MATCH($E1607,CADASTRO_PIVOS!$B$6:$B$41,0)),0)</f>
        <v>1049.64285714286</v>
      </c>
      <c r="AB1607" s="18" t="n">
        <f aca="false">IF($Z1607&lt;=0,0,$Z1607/$AA1607)</f>
        <v>0.810352941176466</v>
      </c>
      <c r="AC1607" s="16" t="n">
        <f aca="false">IFERROR(INDEX(SEMANAS!$K$6:$K$71,MATCH($B1607,SEMANAS!$B$6:$B$71,0)),0)</f>
        <v>147</v>
      </c>
      <c r="AD1607" s="19" t="n">
        <f aca="false">IF($AC1607&lt;=0,0,$AB1607/$AC1607)</f>
        <v>0.00551260504201678</v>
      </c>
      <c r="AE1607" s="8" t="str">
        <f aca="false">IF($K1607="SEM CULTURA","SEM CULTURA",IF($AA1607&lt;=0,"DADO PENDENTE",IF($AD1607&gt;LIMITE_CRITICO,"INVIAVEL",IF($AD1607&gt;LIMITE_ATENCAO,"CRITICO",IF($AD1607&gt;LIMITE_CONFORTAVEL,"ATENCAO","OK")))))</f>
        <v>OK</v>
      </c>
      <c r="AF1607" s="8" t="str">
        <f aca="false">$B1607&amp;"|"&amp;TEXT($AD1607,"0.000000")</f>
        <v>18|0.005513</v>
      </c>
      <c r="AG1607" s="18" t="n">
        <f aca="false">IF($K1607="SEM CULTURA",0,$T1607*$H1607)</f>
        <v>5610.551</v>
      </c>
      <c r="AH1607" s="18" t="n">
        <f aca="false">IF($K1607="SEM CULTURA",0,$V1607*$H1607)</f>
        <v>5538.2516</v>
      </c>
      <c r="AI1607" s="18" t="n">
        <f aca="false">IF($K1607="SEM CULTURA",0,$W1607*$H1607)</f>
        <v>72.2993999999996</v>
      </c>
      <c r="AJ1607" s="18" t="n">
        <f aca="false">IF($K1607="SEM CULTURA",0,$S1607*$H1607)</f>
        <v>4878.74</v>
      </c>
      <c r="AK1607" s="8" t="str">
        <f aca="false">$E1607&amp;"|"&amp;TEXT($AD1607,"0.000000")</f>
        <v>PV 121|0.005513</v>
      </c>
    </row>
    <row r="1608" customFormat="false" ht="15" hidden="false" customHeight="false" outlineLevel="0" collapsed="false">
      <c r="B1608" s="16" t="n">
        <v>19</v>
      </c>
      <c r="C1608" s="17" t="n">
        <f aca="false">DATA_INICIO_SAFRA+($B1608-1)*DIAS_POR_SEMANA</f>
        <v>46391</v>
      </c>
      <c r="D1608" s="17" t="n">
        <f aca="false">$C1608+DIAS_POR_SEMANA-1</f>
        <v>46397</v>
      </c>
      <c r="E1608" s="15" t="s">
        <v>283</v>
      </c>
      <c r="F1608" s="8" t="str">
        <f aca="false">IFERROR(INDEX(CADASTRO_PIVOS!$C$6:$C$41,MATCH($E1608,CADASTRO_PIVOS!$B$6:$B$41,0)),"?")</f>
        <v>RM07</v>
      </c>
      <c r="G1608" s="8" t="str">
        <f aca="false">IFERROR(INDEX(CADASTRO_PIVOS!$D$6:$D$41,MATCH($E1608,CADASTRO_PIVOS!$B$6:$B$41,0)),"?")</f>
        <v>TR07</v>
      </c>
      <c r="H1608" s="20" t="n">
        <f aca="false">IFERROR(INDEX(CADASTRO_PIVOS!$E$6:$E$41,MATCH($E1608,CADASTRO_PIVOS!$B$6:$B$41,0)),0)</f>
        <v>146.95</v>
      </c>
      <c r="I1608" s="16" t="n">
        <f aca="false">IFERROR(SUMIFS(ROTACAO_RDM!$B$6:$B$71,ROTACAO_RDM!$D$6:$D$71,$E1608,ROTACAO_RDM!$I$6:$I$71,"&lt;="&amp;$C1608+INT(DIAS_POR_SEMANA/2),ROTACAO_RDM!$J$6:$J$71,"&gt;="&amp;$C1608+INT(DIAS_POR_SEMANA/2)),0)</f>
        <v>36</v>
      </c>
      <c r="J1608" s="16" t="n">
        <f aca="false">IFERROR(MATCH($I1608,ROTACAO_RDM!$B$6:$B$71,0),0)</f>
        <v>36</v>
      </c>
      <c r="K1608" s="8" t="str">
        <f aca="false">IF($J1608=0,"SEM CULTURA",INDEX(ROTACAO_RDM!$F$6:$F$71,$J1608))</f>
        <v>SOJA</v>
      </c>
      <c r="L1608" s="8" t="str">
        <f aca="false">IF($J1608=0,"",INDEX(ROTACAO_RDM!$G$6:$G$71,$J1608))</f>
        <v>BMX Olimpo IPRO</v>
      </c>
      <c r="M1608" s="17" t="n">
        <f aca="false">IF($J1608=0,"",INDEX(ROTACAO_RDM!$I$6:$I$71,$J1608))</f>
        <v>46309</v>
      </c>
      <c r="N1608" s="16" t="n">
        <f aca="false">IF($J1608=0,0,MAX(0,$C1608+INT(DIAS_POR_SEMANA/2)-INDEX(ROTACAO_RDM!$I$6:$I$71,$J1608)))</f>
        <v>85</v>
      </c>
      <c r="O1608" s="19" t="n">
        <f aca="false">IF($J1608=0,0,MIN(1,$N1608/MAX(1,INDEX(ROTACAO_RDM!$K$6:$K$71,$J1608))))</f>
        <v>0.69672131147541</v>
      </c>
      <c r="P1608" s="16" t="n">
        <f aca="false">IF($J1608=0,0,IFERROR(MATCH(INDEX(ROTACAO_RDM!$N$6:$N$71,$J1608),PARAMETROS_CULTURAS!$B$6:$B$28,0),0))</f>
        <v>2</v>
      </c>
      <c r="Q1608" s="8" t="str">
        <f aca="false">IF($P1608=0,"-",IF($O1608&lt;=INDEX(PARAMETROS_CULTURAS!$F$6:$F$28,$P1608),"INICIAL",IF($O1608&lt;=INDEX(PARAMETROS_CULTURAS!$F$6:$F$28,$P1608)+INDEX(PARAMETROS_CULTURAS!$G$6:$G$28,$P1608),"DESENVOLVIMENTO",IF($O1608&lt;=INDEX(PARAMETROS_CULTURAS!$F$6:$F$28,$P1608)+INDEX(PARAMETROS_CULTURAS!$G$6:$G$28,$P1608)+INDEX(PARAMETROS_CULTURAS!$H$6:$H$28,$P1608),"MEDIA","FINAL"))))</f>
        <v>MEDIA</v>
      </c>
      <c r="R1608" s="24" t="n">
        <f aca="false">IF($P1608=0,0,IF($O1608&lt;=INDEX(PARAMETROS_CULTURAS!$F$6:$F$28,$P1608),INDEX(PARAMETROS_CULTURAS!$K$6:$K$28,$P1608),IF($O1608&lt;=INDEX(PARAMETROS_CULTURAS!$F$6:$F$28,$P1608)+INDEX(PARAMETROS_CULTURAS!$G$6:$G$28,$P1608),INDEX(PARAMETROS_CULTURAS!$K$6:$K$28,$P1608)+(INDEX(PARAMETROS_CULTURAS!$L$6:$L$28,$P1608)-INDEX(PARAMETROS_CULTURAS!$K$6:$K$28,$P1608))*($O1608-INDEX(PARAMETROS_CULTURAS!$F$6:$F$28,$P1608))/MAX(INDEX(PARAMETROS_CULTURAS!$G$6:$G$28,$P1608),0.0001),IF($O1608&lt;=INDEX(PARAMETROS_CULTURAS!$F$6:$F$28,$P1608)+INDEX(PARAMETROS_CULTURAS!$G$6:$G$28,$P1608)+INDEX(PARAMETROS_CULTURAS!$H$6:$H$28,$P1608),INDEX(PARAMETROS_CULTURAS!$L$6:$L$28,$P1608),INDEX(PARAMETROS_CULTURAS!$L$6:$L$28,$P1608)+(INDEX(PARAMETROS_CULTURAS!$M$6:$M$28,$P1608)-INDEX(PARAMETROS_CULTURAS!$L$6:$L$28,$P1608))*($O1608-INDEX(PARAMETROS_CULTURAS!$F$6:$F$28,$P1608)-INDEX(PARAMETROS_CULTURAS!$G$6:$G$28,$P1608)-INDEX(PARAMETROS_CULTURAS!$H$6:$H$28,$P1608))/MAX(INDEX(PARAMETROS_CULTURAS!$I$6:$I$28,$P1608),0.0001)))))</f>
        <v>1.15</v>
      </c>
      <c r="S1608" s="18" t="n">
        <f aca="false">IFERROR(INDEX(SEMANAS!$H$6:$H$71,MATCH($B1608,SEMANAS!$B$6:$B$71,0)),0)</f>
        <v>33.6</v>
      </c>
      <c r="T1608" s="18" t="n">
        <f aca="false">$R1608*$S1608</f>
        <v>38.64</v>
      </c>
      <c r="U1608" s="18" t="n">
        <f aca="false">IFERROR(INDEX(SEMANAS!$I$6:$I$71,MATCH($B1608,SEMANAS!$B$6:$B$71,0)),0)</f>
        <v>45.15</v>
      </c>
      <c r="V1608" s="18" t="n">
        <f aca="false">IFERROR(INDEX(SEMANAS!$J$6:$J$71,MATCH($B1608,SEMANAS!$B$6:$B$71,0)),0)</f>
        <v>36.12</v>
      </c>
      <c r="W1608" s="18" t="n">
        <f aca="false">MAX(0,$T1608-$V1608)</f>
        <v>2.52</v>
      </c>
      <c r="X1608" s="19" t="n">
        <f aca="false">IFERROR(INDEX(CADASTRO_PIVOS!$K$6:$K$41,MATCH($E1608,CADASTRO_PIVOS!$B$6:$B$41,0)),EFICIENCIA_PADRAO)</f>
        <v>0.85</v>
      </c>
      <c r="Y1608" s="18" t="n">
        <f aca="false">IF($X1608&lt;=0,0,$W1608/$X1608)</f>
        <v>2.96470588235294</v>
      </c>
      <c r="Z1608" s="16" t="n">
        <f aca="false">$Y1608*$H1608*MM_PARA_M3_HA</f>
        <v>4356.63529411764</v>
      </c>
      <c r="AA1608" s="18" t="n">
        <f aca="false">IFERROR(INDEX(CADASTRO_PIVOS!$I$6:$I$41,MATCH($E1608,CADASTRO_PIVOS!$B$6:$B$41,0)),0)</f>
        <v>1049.64285714286</v>
      </c>
      <c r="AB1608" s="18" t="n">
        <f aca="false">IF($Z1608&lt;=0,0,$Z1608/$AA1608)</f>
        <v>4.15058823529411</v>
      </c>
      <c r="AC1608" s="16" t="n">
        <f aca="false">IFERROR(INDEX(SEMANAS!$K$6:$K$71,MATCH($B1608,SEMANAS!$B$6:$B$71,0)),0)</f>
        <v>147</v>
      </c>
      <c r="AD1608" s="19" t="n">
        <f aca="false">IF($AC1608&lt;=0,0,$AB1608/$AC1608)</f>
        <v>0.028235294117647</v>
      </c>
      <c r="AE1608" s="8" t="str">
        <f aca="false">IF($K1608="SEM CULTURA","SEM CULTURA",IF($AA1608&lt;=0,"DADO PENDENTE",IF($AD1608&gt;LIMITE_CRITICO,"INVIAVEL",IF($AD1608&gt;LIMITE_ATENCAO,"CRITICO",IF($AD1608&gt;LIMITE_CONFORTAVEL,"ATENCAO","OK")))))</f>
        <v>OK</v>
      </c>
      <c r="AF1608" s="8" t="str">
        <f aca="false">$B1608&amp;"|"&amp;TEXT($AD1608,"0.000000")</f>
        <v>19|0.028235</v>
      </c>
      <c r="AG1608" s="18" t="n">
        <f aca="false">IF($K1608="SEM CULTURA",0,$T1608*$H1608)</f>
        <v>5678.148</v>
      </c>
      <c r="AH1608" s="18" t="n">
        <f aca="false">IF($K1608="SEM CULTURA",0,$V1608*$H1608)</f>
        <v>5307.834</v>
      </c>
      <c r="AI1608" s="18" t="n">
        <f aca="false">IF($K1608="SEM CULTURA",0,$W1608*$H1608)</f>
        <v>370.313999999999</v>
      </c>
      <c r="AJ1608" s="18" t="n">
        <f aca="false">IF($K1608="SEM CULTURA",0,$S1608*$H1608)</f>
        <v>4937.52</v>
      </c>
      <c r="AK1608" s="8" t="str">
        <f aca="false">$E1608&amp;"|"&amp;TEXT($AD1608,"0.000000")</f>
        <v>PV 121|0.028235</v>
      </c>
    </row>
    <row r="1609" customFormat="false" ht="15" hidden="false" customHeight="false" outlineLevel="0" collapsed="false">
      <c r="B1609" s="16" t="n">
        <v>20</v>
      </c>
      <c r="C1609" s="17" t="n">
        <f aca="false">DATA_INICIO_SAFRA+($B1609-1)*DIAS_POR_SEMANA</f>
        <v>46398</v>
      </c>
      <c r="D1609" s="17" t="n">
        <f aca="false">$C1609+DIAS_POR_SEMANA-1</f>
        <v>46404</v>
      </c>
      <c r="E1609" s="15" t="s">
        <v>283</v>
      </c>
      <c r="F1609" s="8" t="str">
        <f aca="false">IFERROR(INDEX(CADASTRO_PIVOS!$C$6:$C$41,MATCH($E1609,CADASTRO_PIVOS!$B$6:$B$41,0)),"?")</f>
        <v>RM07</v>
      </c>
      <c r="G1609" s="8" t="str">
        <f aca="false">IFERROR(INDEX(CADASTRO_PIVOS!$D$6:$D$41,MATCH($E1609,CADASTRO_PIVOS!$B$6:$B$41,0)),"?")</f>
        <v>TR07</v>
      </c>
      <c r="H1609" s="20" t="n">
        <f aca="false">IFERROR(INDEX(CADASTRO_PIVOS!$E$6:$E$41,MATCH($E1609,CADASTRO_PIVOS!$B$6:$B$41,0)),0)</f>
        <v>146.95</v>
      </c>
      <c r="I1609" s="16" t="n">
        <f aca="false">IFERROR(SUMIFS(ROTACAO_RDM!$B$6:$B$71,ROTACAO_RDM!$D$6:$D$71,$E1609,ROTACAO_RDM!$I$6:$I$71,"&lt;="&amp;$C1609+INT(DIAS_POR_SEMANA/2),ROTACAO_RDM!$J$6:$J$71,"&gt;="&amp;$C1609+INT(DIAS_POR_SEMANA/2)),0)</f>
        <v>36</v>
      </c>
      <c r="J1609" s="16" t="n">
        <f aca="false">IFERROR(MATCH($I1609,ROTACAO_RDM!$B$6:$B$71,0),0)</f>
        <v>36</v>
      </c>
      <c r="K1609" s="8" t="str">
        <f aca="false">IF($J1609=0,"SEM CULTURA",INDEX(ROTACAO_RDM!$F$6:$F$71,$J1609))</f>
        <v>SOJA</v>
      </c>
      <c r="L1609" s="8" t="str">
        <f aca="false">IF($J1609=0,"",INDEX(ROTACAO_RDM!$G$6:$G$71,$J1609))</f>
        <v>BMX Olimpo IPRO</v>
      </c>
      <c r="M1609" s="17" t="n">
        <f aca="false">IF($J1609=0,"",INDEX(ROTACAO_RDM!$I$6:$I$71,$J1609))</f>
        <v>46309</v>
      </c>
      <c r="N1609" s="16" t="n">
        <f aca="false">IF($J1609=0,0,MAX(0,$C1609+INT(DIAS_POR_SEMANA/2)-INDEX(ROTACAO_RDM!$I$6:$I$71,$J1609)))</f>
        <v>92</v>
      </c>
      <c r="O1609" s="19" t="n">
        <f aca="false">IF($J1609=0,0,MIN(1,$N1609/MAX(1,INDEX(ROTACAO_RDM!$K$6:$K$71,$J1609))))</f>
        <v>0.754098360655738</v>
      </c>
      <c r="P1609" s="16" t="n">
        <f aca="false">IF($J1609=0,0,IFERROR(MATCH(INDEX(ROTACAO_RDM!$N$6:$N$71,$J1609),PARAMETROS_CULTURAS!$B$6:$B$28,0),0))</f>
        <v>2</v>
      </c>
      <c r="Q1609" s="8" t="str">
        <f aca="false">IF($P1609=0,"-",IF($O1609&lt;=INDEX(PARAMETROS_CULTURAS!$F$6:$F$28,$P1609),"INICIAL",IF($O1609&lt;=INDEX(PARAMETROS_CULTURAS!$F$6:$F$28,$P1609)+INDEX(PARAMETROS_CULTURAS!$G$6:$G$28,$P1609),"DESENVOLVIMENTO",IF($O1609&lt;=INDEX(PARAMETROS_CULTURAS!$F$6:$F$28,$P1609)+INDEX(PARAMETROS_CULTURAS!$G$6:$G$28,$P1609)+INDEX(PARAMETROS_CULTURAS!$H$6:$H$28,$P1609),"MEDIA","FINAL"))))</f>
        <v>MEDIA</v>
      </c>
      <c r="R1609" s="24" t="n">
        <f aca="false">IF($P1609=0,0,IF($O1609&lt;=INDEX(PARAMETROS_CULTURAS!$F$6:$F$28,$P1609),INDEX(PARAMETROS_CULTURAS!$K$6:$K$28,$P1609),IF($O1609&lt;=INDEX(PARAMETROS_CULTURAS!$F$6:$F$28,$P1609)+INDEX(PARAMETROS_CULTURAS!$G$6:$G$28,$P1609),INDEX(PARAMETROS_CULTURAS!$K$6:$K$28,$P1609)+(INDEX(PARAMETROS_CULTURAS!$L$6:$L$28,$P1609)-INDEX(PARAMETROS_CULTURAS!$K$6:$K$28,$P1609))*($O1609-INDEX(PARAMETROS_CULTURAS!$F$6:$F$28,$P1609))/MAX(INDEX(PARAMETROS_CULTURAS!$G$6:$G$28,$P1609),0.0001),IF($O1609&lt;=INDEX(PARAMETROS_CULTURAS!$F$6:$F$28,$P1609)+INDEX(PARAMETROS_CULTURAS!$G$6:$G$28,$P1609)+INDEX(PARAMETROS_CULTURAS!$H$6:$H$28,$P1609),INDEX(PARAMETROS_CULTURAS!$L$6:$L$28,$P1609),INDEX(PARAMETROS_CULTURAS!$L$6:$L$28,$P1609)+(INDEX(PARAMETROS_CULTURAS!$M$6:$M$28,$P1609)-INDEX(PARAMETROS_CULTURAS!$L$6:$L$28,$P1609))*($O1609-INDEX(PARAMETROS_CULTURAS!$F$6:$F$28,$P1609)-INDEX(PARAMETROS_CULTURAS!$G$6:$G$28,$P1609)-INDEX(PARAMETROS_CULTURAS!$H$6:$H$28,$P1609))/MAX(INDEX(PARAMETROS_CULTURAS!$I$6:$I$28,$P1609),0.0001)))))</f>
        <v>1.15</v>
      </c>
      <c r="S1609" s="18" t="n">
        <f aca="false">IFERROR(INDEX(SEMANAS!$H$6:$H$71,MATCH($B1609,SEMANAS!$B$6:$B$71,0)),0)</f>
        <v>33.6</v>
      </c>
      <c r="T1609" s="18" t="n">
        <f aca="false">$R1609*$S1609</f>
        <v>38.64</v>
      </c>
      <c r="U1609" s="18" t="n">
        <f aca="false">IFERROR(INDEX(SEMANAS!$I$6:$I$71,MATCH($B1609,SEMANAS!$B$6:$B$71,0)),0)</f>
        <v>45.15</v>
      </c>
      <c r="V1609" s="18" t="n">
        <f aca="false">IFERROR(INDEX(SEMANAS!$J$6:$J$71,MATCH($B1609,SEMANAS!$B$6:$B$71,0)),0)</f>
        <v>36.12</v>
      </c>
      <c r="W1609" s="18" t="n">
        <f aca="false">MAX(0,$T1609-$V1609)</f>
        <v>2.52</v>
      </c>
      <c r="X1609" s="19" t="n">
        <f aca="false">IFERROR(INDEX(CADASTRO_PIVOS!$K$6:$K$41,MATCH($E1609,CADASTRO_PIVOS!$B$6:$B$41,0)),EFICIENCIA_PADRAO)</f>
        <v>0.85</v>
      </c>
      <c r="Y1609" s="18" t="n">
        <f aca="false">IF($X1609&lt;=0,0,$W1609/$X1609)</f>
        <v>2.96470588235294</v>
      </c>
      <c r="Z1609" s="16" t="n">
        <f aca="false">$Y1609*$H1609*MM_PARA_M3_HA</f>
        <v>4356.63529411764</v>
      </c>
      <c r="AA1609" s="18" t="n">
        <f aca="false">IFERROR(INDEX(CADASTRO_PIVOS!$I$6:$I$41,MATCH($E1609,CADASTRO_PIVOS!$B$6:$B$41,0)),0)</f>
        <v>1049.64285714286</v>
      </c>
      <c r="AB1609" s="18" t="n">
        <f aca="false">IF($Z1609&lt;=0,0,$Z1609/$AA1609)</f>
        <v>4.15058823529411</v>
      </c>
      <c r="AC1609" s="16" t="n">
        <f aca="false">IFERROR(INDEX(SEMANAS!$K$6:$K$71,MATCH($B1609,SEMANAS!$B$6:$B$71,0)),0)</f>
        <v>147</v>
      </c>
      <c r="AD1609" s="19" t="n">
        <f aca="false">IF($AC1609&lt;=0,0,$AB1609/$AC1609)</f>
        <v>0.028235294117647</v>
      </c>
      <c r="AE1609" s="8" t="str">
        <f aca="false">IF($K1609="SEM CULTURA","SEM CULTURA",IF($AA1609&lt;=0,"DADO PENDENTE",IF($AD1609&gt;LIMITE_CRITICO,"INVIAVEL",IF($AD1609&gt;LIMITE_ATENCAO,"CRITICO",IF($AD1609&gt;LIMITE_CONFORTAVEL,"ATENCAO","OK")))))</f>
        <v>OK</v>
      </c>
      <c r="AF1609" s="8" t="str">
        <f aca="false">$B1609&amp;"|"&amp;TEXT($AD1609,"0.000000")</f>
        <v>20|0.028235</v>
      </c>
      <c r="AG1609" s="18" t="n">
        <f aca="false">IF($K1609="SEM CULTURA",0,$T1609*$H1609)</f>
        <v>5678.148</v>
      </c>
      <c r="AH1609" s="18" t="n">
        <f aca="false">IF($K1609="SEM CULTURA",0,$V1609*$H1609)</f>
        <v>5307.834</v>
      </c>
      <c r="AI1609" s="18" t="n">
        <f aca="false">IF($K1609="SEM CULTURA",0,$W1609*$H1609)</f>
        <v>370.313999999999</v>
      </c>
      <c r="AJ1609" s="18" t="n">
        <f aca="false">IF($K1609="SEM CULTURA",0,$S1609*$H1609)</f>
        <v>4937.52</v>
      </c>
      <c r="AK1609" s="8" t="str">
        <f aca="false">$E1609&amp;"|"&amp;TEXT($AD1609,"0.000000")</f>
        <v>PV 121|0.028235</v>
      </c>
    </row>
    <row r="1610" customFormat="false" ht="15" hidden="false" customHeight="false" outlineLevel="0" collapsed="false">
      <c r="B1610" s="16" t="n">
        <v>21</v>
      </c>
      <c r="C1610" s="17" t="n">
        <f aca="false">DATA_INICIO_SAFRA+($B1610-1)*DIAS_POR_SEMANA</f>
        <v>46405</v>
      </c>
      <c r="D1610" s="17" t="n">
        <f aca="false">$C1610+DIAS_POR_SEMANA-1</f>
        <v>46411</v>
      </c>
      <c r="E1610" s="15" t="s">
        <v>283</v>
      </c>
      <c r="F1610" s="8" t="str">
        <f aca="false">IFERROR(INDEX(CADASTRO_PIVOS!$C$6:$C$41,MATCH($E1610,CADASTRO_PIVOS!$B$6:$B$41,0)),"?")</f>
        <v>RM07</v>
      </c>
      <c r="G1610" s="8" t="str">
        <f aca="false">IFERROR(INDEX(CADASTRO_PIVOS!$D$6:$D$41,MATCH($E1610,CADASTRO_PIVOS!$B$6:$B$41,0)),"?")</f>
        <v>TR07</v>
      </c>
      <c r="H1610" s="20" t="n">
        <f aca="false">IFERROR(INDEX(CADASTRO_PIVOS!$E$6:$E$41,MATCH($E1610,CADASTRO_PIVOS!$B$6:$B$41,0)),0)</f>
        <v>146.95</v>
      </c>
      <c r="I1610" s="16" t="n">
        <f aca="false">IFERROR(SUMIFS(ROTACAO_RDM!$B$6:$B$71,ROTACAO_RDM!$D$6:$D$71,$E1610,ROTACAO_RDM!$I$6:$I$71,"&lt;="&amp;$C1610+INT(DIAS_POR_SEMANA/2),ROTACAO_RDM!$J$6:$J$71,"&gt;="&amp;$C1610+INT(DIAS_POR_SEMANA/2)),0)</f>
        <v>36</v>
      </c>
      <c r="J1610" s="16" t="n">
        <f aca="false">IFERROR(MATCH($I1610,ROTACAO_RDM!$B$6:$B$71,0),0)</f>
        <v>36</v>
      </c>
      <c r="K1610" s="8" t="str">
        <f aca="false">IF($J1610=0,"SEM CULTURA",INDEX(ROTACAO_RDM!$F$6:$F$71,$J1610))</f>
        <v>SOJA</v>
      </c>
      <c r="L1610" s="8" t="str">
        <f aca="false">IF($J1610=0,"",INDEX(ROTACAO_RDM!$G$6:$G$71,$J1610))</f>
        <v>BMX Olimpo IPRO</v>
      </c>
      <c r="M1610" s="17" t="n">
        <f aca="false">IF($J1610=0,"",INDEX(ROTACAO_RDM!$I$6:$I$71,$J1610))</f>
        <v>46309</v>
      </c>
      <c r="N1610" s="16" t="n">
        <f aca="false">IF($J1610=0,0,MAX(0,$C1610+INT(DIAS_POR_SEMANA/2)-INDEX(ROTACAO_RDM!$I$6:$I$71,$J1610)))</f>
        <v>99</v>
      </c>
      <c r="O1610" s="19" t="n">
        <f aca="false">IF($J1610=0,0,MIN(1,$N1610/MAX(1,INDEX(ROTACAO_RDM!$K$6:$K$71,$J1610))))</f>
        <v>0.811475409836066</v>
      </c>
      <c r="P1610" s="16" t="n">
        <f aca="false">IF($J1610=0,0,IFERROR(MATCH(INDEX(ROTACAO_RDM!$N$6:$N$71,$J1610),PARAMETROS_CULTURAS!$B$6:$B$28,0),0))</f>
        <v>2</v>
      </c>
      <c r="Q1610" s="8" t="str">
        <f aca="false">IF($P1610=0,"-",IF($O1610&lt;=INDEX(PARAMETROS_CULTURAS!$F$6:$F$28,$P1610),"INICIAL",IF($O1610&lt;=INDEX(PARAMETROS_CULTURAS!$F$6:$F$28,$P1610)+INDEX(PARAMETROS_CULTURAS!$G$6:$G$28,$P1610),"DESENVOLVIMENTO",IF($O1610&lt;=INDEX(PARAMETROS_CULTURAS!$F$6:$F$28,$P1610)+INDEX(PARAMETROS_CULTURAS!$G$6:$G$28,$P1610)+INDEX(PARAMETROS_CULTURAS!$H$6:$H$28,$P1610),"MEDIA","FINAL"))))</f>
        <v>FINAL</v>
      </c>
      <c r="R1610" s="24" t="n">
        <f aca="false">IF($P1610=0,0,IF($O1610&lt;=INDEX(PARAMETROS_CULTURAS!$F$6:$F$28,$P1610),INDEX(PARAMETROS_CULTURAS!$K$6:$K$28,$P1610),IF($O1610&lt;=INDEX(PARAMETROS_CULTURAS!$F$6:$F$28,$P1610)+INDEX(PARAMETROS_CULTURAS!$G$6:$G$28,$P1610),INDEX(PARAMETROS_CULTURAS!$K$6:$K$28,$P1610)+(INDEX(PARAMETROS_CULTURAS!$L$6:$L$28,$P1610)-INDEX(PARAMETROS_CULTURAS!$K$6:$K$28,$P1610))*($O1610-INDEX(PARAMETROS_CULTURAS!$F$6:$F$28,$P1610))/MAX(INDEX(PARAMETROS_CULTURAS!$G$6:$G$28,$P1610),0.0001),IF($O1610&lt;=INDEX(PARAMETROS_CULTURAS!$F$6:$F$28,$P1610)+INDEX(PARAMETROS_CULTURAS!$G$6:$G$28,$P1610)+INDEX(PARAMETROS_CULTURAS!$H$6:$H$28,$P1610),INDEX(PARAMETROS_CULTURAS!$L$6:$L$28,$P1610),INDEX(PARAMETROS_CULTURAS!$L$6:$L$28,$P1610)+(INDEX(PARAMETROS_CULTURAS!$M$6:$M$28,$P1610)-INDEX(PARAMETROS_CULTURAS!$L$6:$L$28,$P1610))*($O1610-INDEX(PARAMETROS_CULTURAS!$F$6:$F$28,$P1610)-INDEX(PARAMETROS_CULTURAS!$G$6:$G$28,$P1610)-INDEX(PARAMETROS_CULTURAS!$H$6:$H$28,$P1610))/MAX(INDEX(PARAMETROS_CULTURAS!$I$6:$I$28,$P1610),0.0001)))))</f>
        <v>1.14495254529767</v>
      </c>
      <c r="S1610" s="18" t="n">
        <f aca="false">IFERROR(INDEX(SEMANAS!$H$6:$H$71,MATCH($B1610,SEMANAS!$B$6:$B$71,0)),0)</f>
        <v>33.6</v>
      </c>
      <c r="T1610" s="18" t="n">
        <f aca="false">$R1610*$S1610</f>
        <v>38.4704055220017</v>
      </c>
      <c r="U1610" s="18" t="n">
        <f aca="false">IFERROR(INDEX(SEMANAS!$I$6:$I$71,MATCH($B1610,SEMANAS!$B$6:$B$71,0)),0)</f>
        <v>45.15</v>
      </c>
      <c r="V1610" s="18" t="n">
        <f aca="false">IFERROR(INDEX(SEMANAS!$J$6:$J$71,MATCH($B1610,SEMANAS!$B$6:$B$71,0)),0)</f>
        <v>36.12</v>
      </c>
      <c r="W1610" s="18" t="n">
        <f aca="false">MAX(0,$T1610-$V1610)</f>
        <v>2.35040552200172</v>
      </c>
      <c r="X1610" s="19" t="n">
        <f aca="false">IFERROR(INDEX(CADASTRO_PIVOS!$K$6:$K$41,MATCH($E1610,CADASTRO_PIVOS!$B$6:$B$41,0)),EFICIENCIA_PADRAO)</f>
        <v>0.85</v>
      </c>
      <c r="Y1610" s="18" t="n">
        <f aca="false">IF($X1610&lt;=0,0,$W1610/$X1610)</f>
        <v>2.76518296706085</v>
      </c>
      <c r="Z1610" s="16" t="n">
        <f aca="false">$Y1610*$H1610*MM_PARA_M3_HA</f>
        <v>4063.43637009592</v>
      </c>
      <c r="AA1610" s="18" t="n">
        <f aca="false">IFERROR(INDEX(CADASTRO_PIVOS!$I$6:$I$41,MATCH($E1610,CADASTRO_PIVOS!$B$6:$B$41,0)),0)</f>
        <v>1049.64285714286</v>
      </c>
      <c r="AB1610" s="18" t="n">
        <f aca="false">IF($Z1610&lt;=0,0,$Z1610/$AA1610)</f>
        <v>3.87125615388519</v>
      </c>
      <c r="AC1610" s="16" t="n">
        <f aca="false">IFERROR(INDEX(SEMANAS!$K$6:$K$71,MATCH($B1610,SEMANAS!$B$6:$B$71,0)),0)</f>
        <v>147</v>
      </c>
      <c r="AD1610" s="19" t="n">
        <f aca="false">IF($AC1610&lt;=0,0,$AB1610/$AC1610)</f>
        <v>0.02633507587677</v>
      </c>
      <c r="AE1610" s="8" t="str">
        <f aca="false">IF($K1610="SEM CULTURA","SEM CULTURA",IF($AA1610&lt;=0,"DADO PENDENTE",IF($AD1610&gt;LIMITE_CRITICO,"INVIAVEL",IF($AD1610&gt;LIMITE_ATENCAO,"CRITICO",IF($AD1610&gt;LIMITE_CONFORTAVEL,"ATENCAO","OK")))))</f>
        <v>OK</v>
      </c>
      <c r="AF1610" s="8" t="str">
        <f aca="false">$B1610&amp;"|"&amp;TEXT($AD1610,"0.000000")</f>
        <v>21|0.026335</v>
      </c>
      <c r="AG1610" s="18" t="n">
        <f aca="false">IF($K1610="SEM CULTURA",0,$T1610*$H1610)</f>
        <v>5653.22609145815</v>
      </c>
      <c r="AH1610" s="18" t="n">
        <f aca="false">IF($K1610="SEM CULTURA",0,$V1610*$H1610)</f>
        <v>5307.834</v>
      </c>
      <c r="AI1610" s="18" t="n">
        <f aca="false">IF($K1610="SEM CULTURA",0,$W1610*$H1610)</f>
        <v>345.392091458153</v>
      </c>
      <c r="AJ1610" s="18" t="n">
        <f aca="false">IF($K1610="SEM CULTURA",0,$S1610*$H1610)</f>
        <v>4937.52</v>
      </c>
      <c r="AK1610" s="8" t="str">
        <f aca="false">$E1610&amp;"|"&amp;TEXT($AD1610,"0.000000")</f>
        <v>PV 121|0.026335</v>
      </c>
    </row>
    <row r="1611" customFormat="false" ht="15" hidden="false" customHeight="false" outlineLevel="0" collapsed="false">
      <c r="B1611" s="16" t="n">
        <v>22</v>
      </c>
      <c r="C1611" s="17" t="n">
        <f aca="false">DATA_INICIO_SAFRA+($B1611-1)*DIAS_POR_SEMANA</f>
        <v>46412</v>
      </c>
      <c r="D1611" s="17" t="n">
        <f aca="false">$C1611+DIAS_POR_SEMANA-1</f>
        <v>46418</v>
      </c>
      <c r="E1611" s="15" t="s">
        <v>283</v>
      </c>
      <c r="F1611" s="8" t="str">
        <f aca="false">IFERROR(INDEX(CADASTRO_PIVOS!$C$6:$C$41,MATCH($E1611,CADASTRO_PIVOS!$B$6:$B$41,0)),"?")</f>
        <v>RM07</v>
      </c>
      <c r="G1611" s="8" t="str">
        <f aca="false">IFERROR(INDEX(CADASTRO_PIVOS!$D$6:$D$41,MATCH($E1611,CADASTRO_PIVOS!$B$6:$B$41,0)),"?")</f>
        <v>TR07</v>
      </c>
      <c r="H1611" s="20" t="n">
        <f aca="false">IFERROR(INDEX(CADASTRO_PIVOS!$E$6:$E$41,MATCH($E1611,CADASTRO_PIVOS!$B$6:$B$41,0)),0)</f>
        <v>146.95</v>
      </c>
      <c r="I1611" s="16" t="n">
        <f aca="false">IFERROR(SUMIFS(ROTACAO_RDM!$B$6:$B$71,ROTACAO_RDM!$D$6:$D$71,$E1611,ROTACAO_RDM!$I$6:$I$71,"&lt;="&amp;$C1611+INT(DIAS_POR_SEMANA/2),ROTACAO_RDM!$J$6:$J$71,"&gt;="&amp;$C1611+INT(DIAS_POR_SEMANA/2)),0)</f>
        <v>36</v>
      </c>
      <c r="J1611" s="16" t="n">
        <f aca="false">IFERROR(MATCH($I1611,ROTACAO_RDM!$B$6:$B$71,0),0)</f>
        <v>36</v>
      </c>
      <c r="K1611" s="8" t="str">
        <f aca="false">IF($J1611=0,"SEM CULTURA",INDEX(ROTACAO_RDM!$F$6:$F$71,$J1611))</f>
        <v>SOJA</v>
      </c>
      <c r="L1611" s="8" t="str">
        <f aca="false">IF($J1611=0,"",INDEX(ROTACAO_RDM!$G$6:$G$71,$J1611))</f>
        <v>BMX Olimpo IPRO</v>
      </c>
      <c r="M1611" s="17" t="n">
        <f aca="false">IF($J1611=0,"",INDEX(ROTACAO_RDM!$I$6:$I$71,$J1611))</f>
        <v>46309</v>
      </c>
      <c r="N1611" s="16" t="n">
        <f aca="false">IF($J1611=0,0,MAX(0,$C1611+INT(DIAS_POR_SEMANA/2)-INDEX(ROTACAO_RDM!$I$6:$I$71,$J1611)))</f>
        <v>106</v>
      </c>
      <c r="O1611" s="19" t="n">
        <f aca="false">IF($J1611=0,0,MIN(1,$N1611/MAX(1,INDEX(ROTACAO_RDM!$K$6:$K$71,$J1611))))</f>
        <v>0.868852459016393</v>
      </c>
      <c r="P1611" s="16" t="n">
        <f aca="false">IF($J1611=0,0,IFERROR(MATCH(INDEX(ROTACAO_RDM!$N$6:$N$71,$J1611),PARAMETROS_CULTURAS!$B$6:$B$28,0),0))</f>
        <v>2</v>
      </c>
      <c r="Q1611" s="8" t="str">
        <f aca="false">IF($P1611=0,"-",IF($O1611&lt;=INDEX(PARAMETROS_CULTURAS!$F$6:$F$28,$P1611),"INICIAL",IF($O1611&lt;=INDEX(PARAMETROS_CULTURAS!$F$6:$F$28,$P1611)+INDEX(PARAMETROS_CULTURAS!$G$6:$G$28,$P1611),"DESENVOLVIMENTO",IF($O1611&lt;=INDEX(PARAMETROS_CULTURAS!$F$6:$F$28,$P1611)+INDEX(PARAMETROS_CULTURAS!$G$6:$G$28,$P1611)+INDEX(PARAMETROS_CULTURAS!$H$6:$H$28,$P1611),"MEDIA","FINAL"))))</f>
        <v>FINAL</v>
      </c>
      <c r="R1611" s="24" t="n">
        <f aca="false">IF($P1611=0,0,IF($O1611&lt;=INDEX(PARAMETROS_CULTURAS!$F$6:$F$28,$P1611),INDEX(PARAMETROS_CULTURAS!$K$6:$K$28,$P1611),IF($O1611&lt;=INDEX(PARAMETROS_CULTURAS!$F$6:$F$28,$P1611)+INDEX(PARAMETROS_CULTURAS!$G$6:$G$28,$P1611),INDEX(PARAMETROS_CULTURAS!$K$6:$K$28,$P1611)+(INDEX(PARAMETROS_CULTURAS!$L$6:$L$28,$P1611)-INDEX(PARAMETROS_CULTURAS!$K$6:$K$28,$P1611))*($O1611-INDEX(PARAMETROS_CULTURAS!$F$6:$F$28,$P1611))/MAX(INDEX(PARAMETROS_CULTURAS!$G$6:$G$28,$P1611),0.0001),IF($O1611&lt;=INDEX(PARAMETROS_CULTURAS!$F$6:$F$28,$P1611)+INDEX(PARAMETROS_CULTURAS!$G$6:$G$28,$P1611)+INDEX(PARAMETROS_CULTURAS!$H$6:$H$28,$P1611),INDEX(PARAMETROS_CULTURAS!$L$6:$L$28,$P1611),INDEX(PARAMETROS_CULTURAS!$L$6:$L$28,$P1611)+(INDEX(PARAMETROS_CULTURAS!$M$6:$M$28,$P1611)-INDEX(PARAMETROS_CULTURAS!$L$6:$L$28,$P1611))*($O1611-INDEX(PARAMETROS_CULTURAS!$F$6:$F$28,$P1611)-INDEX(PARAMETROS_CULTURAS!$G$6:$G$28,$P1611)-INDEX(PARAMETROS_CULTURAS!$H$6:$H$28,$P1611))/MAX(INDEX(PARAMETROS_CULTURAS!$I$6:$I$28,$P1611),0.0001)))))</f>
        <v>0.948662640207075</v>
      </c>
      <c r="S1611" s="18" t="n">
        <f aca="false">IFERROR(INDEX(SEMANAS!$H$6:$H$71,MATCH($B1611,SEMANAS!$B$6:$B$71,0)),0)</f>
        <v>33.6</v>
      </c>
      <c r="T1611" s="18" t="n">
        <f aca="false">$R1611*$S1611</f>
        <v>31.8750647109577</v>
      </c>
      <c r="U1611" s="18" t="n">
        <f aca="false">IFERROR(INDEX(SEMANAS!$I$6:$I$71,MATCH($B1611,SEMANAS!$B$6:$B$71,0)),0)</f>
        <v>45.15</v>
      </c>
      <c r="V1611" s="18" t="n">
        <f aca="false">IFERROR(INDEX(SEMANAS!$J$6:$J$71,MATCH($B1611,SEMANAS!$B$6:$B$71,0)),0)</f>
        <v>36.12</v>
      </c>
      <c r="W1611" s="18" t="n">
        <f aca="false">MAX(0,$T1611-$V1611)</f>
        <v>0</v>
      </c>
      <c r="X1611" s="19" t="n">
        <f aca="false">IFERROR(INDEX(CADASTRO_PIVOS!$K$6:$K$41,MATCH($E1611,CADASTRO_PIVOS!$B$6:$B$41,0)),EFICIENCIA_PADRAO)</f>
        <v>0.85</v>
      </c>
      <c r="Y1611" s="18" t="n">
        <f aca="false">IF($X1611&lt;=0,0,$W1611/$X1611)</f>
        <v>0</v>
      </c>
      <c r="Z1611" s="16" t="n">
        <f aca="false">$Y1611*$H1611*MM_PARA_M3_HA</f>
        <v>0</v>
      </c>
      <c r="AA1611" s="18" t="n">
        <f aca="false">IFERROR(INDEX(CADASTRO_PIVOS!$I$6:$I$41,MATCH($E1611,CADASTRO_PIVOS!$B$6:$B$41,0)),0)</f>
        <v>1049.64285714286</v>
      </c>
      <c r="AB1611" s="18" t="n">
        <f aca="false">IF($Z1611&lt;=0,0,$Z1611/$AA1611)</f>
        <v>0</v>
      </c>
      <c r="AC1611" s="16" t="n">
        <f aca="false">IFERROR(INDEX(SEMANAS!$K$6:$K$71,MATCH($B1611,SEMANAS!$B$6:$B$71,0)),0)</f>
        <v>147</v>
      </c>
      <c r="AD1611" s="19" t="n">
        <f aca="false">IF($AC1611&lt;=0,0,$AB1611/$AC1611)</f>
        <v>0</v>
      </c>
      <c r="AE1611" s="8" t="str">
        <f aca="false">IF($K1611="SEM CULTURA","SEM CULTURA",IF($AA1611&lt;=0,"DADO PENDENTE",IF($AD1611&gt;LIMITE_CRITICO,"INVIAVEL",IF($AD1611&gt;LIMITE_ATENCAO,"CRITICO",IF($AD1611&gt;LIMITE_CONFORTAVEL,"ATENCAO","OK")))))</f>
        <v>OK</v>
      </c>
      <c r="AF1611" s="8" t="str">
        <f aca="false">$B1611&amp;"|"&amp;TEXT($AD1611,"0.000000")</f>
        <v>22|0.000000</v>
      </c>
      <c r="AG1611" s="18" t="n">
        <f aca="false">IF($K1611="SEM CULTURA",0,$T1611*$H1611)</f>
        <v>4684.04075927524</v>
      </c>
      <c r="AH1611" s="18" t="n">
        <f aca="false">IF($K1611="SEM CULTURA",0,$V1611*$H1611)</f>
        <v>5307.834</v>
      </c>
      <c r="AI1611" s="18" t="n">
        <f aca="false">IF($K1611="SEM CULTURA",0,$W1611*$H1611)</f>
        <v>0</v>
      </c>
      <c r="AJ1611" s="18" t="n">
        <f aca="false">IF($K1611="SEM CULTURA",0,$S1611*$H1611)</f>
        <v>4937.52</v>
      </c>
      <c r="AK1611" s="8" t="str">
        <f aca="false">$E1611&amp;"|"&amp;TEXT($AD1611,"0.000000")</f>
        <v>PV 121|0.000000</v>
      </c>
    </row>
    <row r="1612" customFormat="false" ht="15" hidden="false" customHeight="false" outlineLevel="0" collapsed="false">
      <c r="B1612" s="16" t="n">
        <v>23</v>
      </c>
      <c r="C1612" s="17" t="n">
        <f aca="false">DATA_INICIO_SAFRA+($B1612-1)*DIAS_POR_SEMANA</f>
        <v>46419</v>
      </c>
      <c r="D1612" s="17" t="n">
        <f aca="false">$C1612+DIAS_POR_SEMANA-1</f>
        <v>46425</v>
      </c>
      <c r="E1612" s="15" t="s">
        <v>283</v>
      </c>
      <c r="F1612" s="8" t="str">
        <f aca="false">IFERROR(INDEX(CADASTRO_PIVOS!$C$6:$C$41,MATCH($E1612,CADASTRO_PIVOS!$B$6:$B$41,0)),"?")</f>
        <v>RM07</v>
      </c>
      <c r="G1612" s="8" t="str">
        <f aca="false">IFERROR(INDEX(CADASTRO_PIVOS!$D$6:$D$41,MATCH($E1612,CADASTRO_PIVOS!$B$6:$B$41,0)),"?")</f>
        <v>TR07</v>
      </c>
      <c r="H1612" s="20" t="n">
        <f aca="false">IFERROR(INDEX(CADASTRO_PIVOS!$E$6:$E$41,MATCH($E1612,CADASTRO_PIVOS!$B$6:$B$41,0)),0)</f>
        <v>146.95</v>
      </c>
      <c r="I1612" s="16" t="n">
        <f aca="false">IFERROR(SUMIFS(ROTACAO_RDM!$B$6:$B$71,ROTACAO_RDM!$D$6:$D$71,$E1612,ROTACAO_RDM!$I$6:$I$71,"&lt;="&amp;$C1612+INT(DIAS_POR_SEMANA/2),ROTACAO_RDM!$J$6:$J$71,"&gt;="&amp;$C1612+INT(DIAS_POR_SEMANA/2)),0)</f>
        <v>36</v>
      </c>
      <c r="J1612" s="16" t="n">
        <f aca="false">IFERROR(MATCH($I1612,ROTACAO_RDM!$B$6:$B$71,0),0)</f>
        <v>36</v>
      </c>
      <c r="K1612" s="8" t="str">
        <f aca="false">IF($J1612=0,"SEM CULTURA",INDEX(ROTACAO_RDM!$F$6:$F$71,$J1612))</f>
        <v>SOJA</v>
      </c>
      <c r="L1612" s="8" t="str">
        <f aca="false">IF($J1612=0,"",INDEX(ROTACAO_RDM!$G$6:$G$71,$J1612))</f>
        <v>BMX Olimpo IPRO</v>
      </c>
      <c r="M1612" s="17" t="n">
        <f aca="false">IF($J1612=0,"",INDEX(ROTACAO_RDM!$I$6:$I$71,$J1612))</f>
        <v>46309</v>
      </c>
      <c r="N1612" s="16" t="n">
        <f aca="false">IF($J1612=0,0,MAX(0,$C1612+INT(DIAS_POR_SEMANA/2)-INDEX(ROTACAO_RDM!$I$6:$I$71,$J1612)))</f>
        <v>113</v>
      </c>
      <c r="O1612" s="19" t="n">
        <f aca="false">IF($J1612=0,0,MIN(1,$N1612/MAX(1,INDEX(ROTACAO_RDM!$K$6:$K$71,$J1612))))</f>
        <v>0.926229508196721</v>
      </c>
      <c r="P1612" s="16" t="n">
        <f aca="false">IF($J1612=0,0,IFERROR(MATCH(INDEX(ROTACAO_RDM!$N$6:$N$71,$J1612),PARAMETROS_CULTURAS!$B$6:$B$28,0),0))</f>
        <v>2</v>
      </c>
      <c r="Q1612" s="8" t="str">
        <f aca="false">IF($P1612=0,"-",IF($O1612&lt;=INDEX(PARAMETROS_CULTURAS!$F$6:$F$28,$P1612),"INICIAL",IF($O1612&lt;=INDEX(PARAMETROS_CULTURAS!$F$6:$F$28,$P1612)+INDEX(PARAMETROS_CULTURAS!$G$6:$G$28,$P1612),"DESENVOLVIMENTO",IF($O1612&lt;=INDEX(PARAMETROS_CULTURAS!$F$6:$F$28,$P1612)+INDEX(PARAMETROS_CULTURAS!$G$6:$G$28,$P1612)+INDEX(PARAMETROS_CULTURAS!$H$6:$H$28,$P1612),"MEDIA","FINAL"))))</f>
        <v>FINAL</v>
      </c>
      <c r="R1612" s="24" t="n">
        <f aca="false">IF($P1612=0,0,IF($O1612&lt;=INDEX(PARAMETROS_CULTURAS!$F$6:$F$28,$P1612),INDEX(PARAMETROS_CULTURAS!$K$6:$K$28,$P1612),IF($O1612&lt;=INDEX(PARAMETROS_CULTURAS!$F$6:$F$28,$P1612)+INDEX(PARAMETROS_CULTURAS!$G$6:$G$28,$P1612),INDEX(PARAMETROS_CULTURAS!$K$6:$K$28,$P1612)+(INDEX(PARAMETROS_CULTURAS!$L$6:$L$28,$P1612)-INDEX(PARAMETROS_CULTURAS!$K$6:$K$28,$P1612))*($O1612-INDEX(PARAMETROS_CULTURAS!$F$6:$F$28,$P1612))/MAX(INDEX(PARAMETROS_CULTURAS!$G$6:$G$28,$P1612),0.0001),IF($O1612&lt;=INDEX(PARAMETROS_CULTURAS!$F$6:$F$28,$P1612)+INDEX(PARAMETROS_CULTURAS!$G$6:$G$28,$P1612)+INDEX(PARAMETROS_CULTURAS!$H$6:$H$28,$P1612),INDEX(PARAMETROS_CULTURAS!$L$6:$L$28,$P1612),INDEX(PARAMETROS_CULTURAS!$L$6:$L$28,$P1612)+(INDEX(PARAMETROS_CULTURAS!$M$6:$M$28,$P1612)-INDEX(PARAMETROS_CULTURAS!$L$6:$L$28,$P1612))*($O1612-INDEX(PARAMETROS_CULTURAS!$F$6:$F$28,$P1612)-INDEX(PARAMETROS_CULTURAS!$G$6:$G$28,$P1612)-INDEX(PARAMETROS_CULTURAS!$H$6:$H$28,$P1612))/MAX(INDEX(PARAMETROS_CULTURAS!$I$6:$I$28,$P1612),0.0001)))))</f>
        <v>0.75237273511648</v>
      </c>
      <c r="S1612" s="18" t="n">
        <f aca="false">IFERROR(INDEX(SEMANAS!$H$6:$H$71,MATCH($B1612,SEMANAS!$B$6:$B$71,0)),0)</f>
        <v>32.9</v>
      </c>
      <c r="T1612" s="18" t="n">
        <f aca="false">$R1612*$S1612</f>
        <v>24.7530629853322</v>
      </c>
      <c r="U1612" s="18" t="n">
        <f aca="false">IFERROR(INDEX(SEMANAS!$I$6:$I$71,MATCH($B1612,SEMANAS!$B$6:$B$71,0)),0)</f>
        <v>39.97</v>
      </c>
      <c r="V1612" s="18" t="n">
        <f aca="false">IFERROR(INDEX(SEMANAS!$J$6:$J$71,MATCH($B1612,SEMANAS!$B$6:$B$71,0)),0)</f>
        <v>31.976</v>
      </c>
      <c r="W1612" s="18" t="n">
        <f aca="false">MAX(0,$T1612-$V1612)</f>
        <v>0</v>
      </c>
      <c r="X1612" s="19" t="n">
        <f aca="false">IFERROR(INDEX(CADASTRO_PIVOS!$K$6:$K$41,MATCH($E1612,CADASTRO_PIVOS!$B$6:$B$41,0)),EFICIENCIA_PADRAO)</f>
        <v>0.85</v>
      </c>
      <c r="Y1612" s="18" t="n">
        <f aca="false">IF($X1612&lt;=0,0,$W1612/$X1612)</f>
        <v>0</v>
      </c>
      <c r="Z1612" s="16" t="n">
        <f aca="false">$Y1612*$H1612*MM_PARA_M3_HA</f>
        <v>0</v>
      </c>
      <c r="AA1612" s="18" t="n">
        <f aca="false">IFERROR(INDEX(CADASTRO_PIVOS!$I$6:$I$41,MATCH($E1612,CADASTRO_PIVOS!$B$6:$B$41,0)),0)</f>
        <v>1049.64285714286</v>
      </c>
      <c r="AB1612" s="18" t="n">
        <f aca="false">IF($Z1612&lt;=0,0,$Z1612/$AA1612)</f>
        <v>0</v>
      </c>
      <c r="AC1612" s="16" t="n">
        <f aca="false">IFERROR(INDEX(SEMANAS!$K$6:$K$71,MATCH($B1612,SEMANAS!$B$6:$B$71,0)),0)</f>
        <v>147</v>
      </c>
      <c r="AD1612" s="19" t="n">
        <f aca="false">IF($AC1612&lt;=0,0,$AB1612/$AC1612)</f>
        <v>0</v>
      </c>
      <c r="AE1612" s="8" t="str">
        <f aca="false">IF($K1612="SEM CULTURA","SEM CULTURA",IF($AA1612&lt;=0,"DADO PENDENTE",IF($AD1612&gt;LIMITE_CRITICO,"INVIAVEL",IF($AD1612&gt;LIMITE_ATENCAO,"CRITICO",IF($AD1612&gt;LIMITE_CONFORTAVEL,"ATENCAO","OK")))))</f>
        <v>OK</v>
      </c>
      <c r="AF1612" s="8" t="str">
        <f aca="false">$B1612&amp;"|"&amp;TEXT($AD1612,"0.000000")</f>
        <v>23|0.000000</v>
      </c>
      <c r="AG1612" s="18" t="n">
        <f aca="false">IF($K1612="SEM CULTURA",0,$T1612*$H1612)</f>
        <v>3637.46260569456</v>
      </c>
      <c r="AH1612" s="18" t="n">
        <f aca="false">IF($K1612="SEM CULTURA",0,$V1612*$H1612)</f>
        <v>4698.8732</v>
      </c>
      <c r="AI1612" s="18" t="n">
        <f aca="false">IF($K1612="SEM CULTURA",0,$W1612*$H1612)</f>
        <v>0</v>
      </c>
      <c r="AJ1612" s="18" t="n">
        <f aca="false">IF($K1612="SEM CULTURA",0,$S1612*$H1612)</f>
        <v>4834.655</v>
      </c>
      <c r="AK1612" s="8" t="str">
        <f aca="false">$E1612&amp;"|"&amp;TEXT($AD1612,"0.000000")</f>
        <v>PV 121|0.000000</v>
      </c>
    </row>
    <row r="1613" customFormat="false" ht="15" hidden="false" customHeight="false" outlineLevel="0" collapsed="false">
      <c r="B1613" s="16" t="n">
        <v>24</v>
      </c>
      <c r="C1613" s="17" t="n">
        <f aca="false">DATA_INICIO_SAFRA+($B1613-1)*DIAS_POR_SEMANA</f>
        <v>46426</v>
      </c>
      <c r="D1613" s="17" t="n">
        <f aca="false">$C1613+DIAS_POR_SEMANA-1</f>
        <v>46432</v>
      </c>
      <c r="E1613" s="15" t="s">
        <v>283</v>
      </c>
      <c r="F1613" s="8" t="str">
        <f aca="false">IFERROR(INDEX(CADASTRO_PIVOS!$C$6:$C$41,MATCH($E1613,CADASTRO_PIVOS!$B$6:$B$41,0)),"?")</f>
        <v>RM07</v>
      </c>
      <c r="G1613" s="8" t="str">
        <f aca="false">IFERROR(INDEX(CADASTRO_PIVOS!$D$6:$D$41,MATCH($E1613,CADASTRO_PIVOS!$B$6:$B$41,0)),"?")</f>
        <v>TR07</v>
      </c>
      <c r="H1613" s="20" t="n">
        <f aca="false">IFERROR(INDEX(CADASTRO_PIVOS!$E$6:$E$41,MATCH($E1613,CADASTRO_PIVOS!$B$6:$B$41,0)),0)</f>
        <v>146.95</v>
      </c>
      <c r="I1613" s="16" t="n">
        <f aca="false">IFERROR(SUMIFS(ROTACAO_RDM!$B$6:$B$71,ROTACAO_RDM!$D$6:$D$71,$E1613,ROTACAO_RDM!$I$6:$I$71,"&lt;="&amp;$C1613+INT(DIAS_POR_SEMANA/2),ROTACAO_RDM!$J$6:$J$71,"&gt;="&amp;$C1613+INT(DIAS_POR_SEMANA/2)),0)</f>
        <v>36</v>
      </c>
      <c r="J1613" s="16" t="n">
        <f aca="false">IFERROR(MATCH($I1613,ROTACAO_RDM!$B$6:$B$71,0),0)</f>
        <v>36</v>
      </c>
      <c r="K1613" s="8" t="str">
        <f aca="false">IF($J1613=0,"SEM CULTURA",INDEX(ROTACAO_RDM!$F$6:$F$71,$J1613))</f>
        <v>SOJA</v>
      </c>
      <c r="L1613" s="8" t="str">
        <f aca="false">IF($J1613=0,"",INDEX(ROTACAO_RDM!$G$6:$G$71,$J1613))</f>
        <v>BMX Olimpo IPRO</v>
      </c>
      <c r="M1613" s="17" t="n">
        <f aca="false">IF($J1613=0,"",INDEX(ROTACAO_RDM!$I$6:$I$71,$J1613))</f>
        <v>46309</v>
      </c>
      <c r="N1613" s="16" t="n">
        <f aca="false">IF($J1613=0,0,MAX(0,$C1613+INT(DIAS_POR_SEMANA/2)-INDEX(ROTACAO_RDM!$I$6:$I$71,$J1613)))</f>
        <v>120</v>
      </c>
      <c r="O1613" s="19" t="n">
        <f aca="false">IF($J1613=0,0,MIN(1,$N1613/MAX(1,INDEX(ROTACAO_RDM!$K$6:$K$71,$J1613))))</f>
        <v>0.983606557377049</v>
      </c>
      <c r="P1613" s="16" t="n">
        <f aca="false">IF($J1613=0,0,IFERROR(MATCH(INDEX(ROTACAO_RDM!$N$6:$N$71,$J1613),PARAMETROS_CULTURAS!$B$6:$B$28,0),0))</f>
        <v>2</v>
      </c>
      <c r="Q1613" s="8" t="str">
        <f aca="false">IF($P1613=0,"-",IF($O1613&lt;=INDEX(PARAMETROS_CULTURAS!$F$6:$F$28,$P1613),"INICIAL",IF($O1613&lt;=INDEX(PARAMETROS_CULTURAS!$F$6:$F$28,$P1613)+INDEX(PARAMETROS_CULTURAS!$G$6:$G$28,$P1613),"DESENVOLVIMENTO",IF($O1613&lt;=INDEX(PARAMETROS_CULTURAS!$F$6:$F$28,$P1613)+INDEX(PARAMETROS_CULTURAS!$G$6:$G$28,$P1613)+INDEX(PARAMETROS_CULTURAS!$H$6:$H$28,$P1613),"MEDIA","FINAL"))))</f>
        <v>FINAL</v>
      </c>
      <c r="R1613" s="24" t="n">
        <f aca="false">IF($P1613=0,0,IF($O1613&lt;=INDEX(PARAMETROS_CULTURAS!$F$6:$F$28,$P1613),INDEX(PARAMETROS_CULTURAS!$K$6:$K$28,$P1613),IF($O1613&lt;=INDEX(PARAMETROS_CULTURAS!$F$6:$F$28,$P1613)+INDEX(PARAMETROS_CULTURAS!$G$6:$G$28,$P1613),INDEX(PARAMETROS_CULTURAS!$K$6:$K$28,$P1613)+(INDEX(PARAMETROS_CULTURAS!$L$6:$L$28,$P1613)-INDEX(PARAMETROS_CULTURAS!$K$6:$K$28,$P1613))*($O1613-INDEX(PARAMETROS_CULTURAS!$F$6:$F$28,$P1613))/MAX(INDEX(PARAMETROS_CULTURAS!$G$6:$G$28,$P1613),0.0001),IF($O1613&lt;=INDEX(PARAMETROS_CULTURAS!$F$6:$F$28,$P1613)+INDEX(PARAMETROS_CULTURAS!$G$6:$G$28,$P1613)+INDEX(PARAMETROS_CULTURAS!$H$6:$H$28,$P1613),INDEX(PARAMETROS_CULTURAS!$L$6:$L$28,$P1613),INDEX(PARAMETROS_CULTURAS!$L$6:$L$28,$P1613)+(INDEX(PARAMETROS_CULTURAS!$M$6:$M$28,$P1613)-INDEX(PARAMETROS_CULTURAS!$L$6:$L$28,$P1613))*($O1613-INDEX(PARAMETROS_CULTURAS!$F$6:$F$28,$P1613)-INDEX(PARAMETROS_CULTURAS!$G$6:$G$28,$P1613)-INDEX(PARAMETROS_CULTURAS!$H$6:$H$28,$P1613))/MAX(INDEX(PARAMETROS_CULTURAS!$I$6:$I$28,$P1613),0.0001)))))</f>
        <v>0.556082830025884</v>
      </c>
      <c r="S1613" s="18" t="n">
        <f aca="false">IFERROR(INDEX(SEMANAS!$H$6:$H$71,MATCH($B1613,SEMANAS!$B$6:$B$71,0)),0)</f>
        <v>32.9</v>
      </c>
      <c r="T1613" s="18" t="n">
        <f aca="false">$R1613*$S1613</f>
        <v>18.2951251078516</v>
      </c>
      <c r="U1613" s="18" t="n">
        <f aca="false">IFERROR(INDEX(SEMANAS!$I$6:$I$71,MATCH($B1613,SEMANAS!$B$6:$B$71,0)),0)</f>
        <v>39.97</v>
      </c>
      <c r="V1613" s="18" t="n">
        <f aca="false">IFERROR(INDEX(SEMANAS!$J$6:$J$71,MATCH($B1613,SEMANAS!$B$6:$B$71,0)),0)</f>
        <v>31.976</v>
      </c>
      <c r="W1613" s="18" t="n">
        <f aca="false">MAX(0,$T1613-$V1613)</f>
        <v>0</v>
      </c>
      <c r="X1613" s="19" t="n">
        <f aca="false">IFERROR(INDEX(CADASTRO_PIVOS!$K$6:$K$41,MATCH($E1613,CADASTRO_PIVOS!$B$6:$B$41,0)),EFICIENCIA_PADRAO)</f>
        <v>0.85</v>
      </c>
      <c r="Y1613" s="18" t="n">
        <f aca="false">IF($X1613&lt;=0,0,$W1613/$X1613)</f>
        <v>0</v>
      </c>
      <c r="Z1613" s="16" t="n">
        <f aca="false">$Y1613*$H1613*MM_PARA_M3_HA</f>
        <v>0</v>
      </c>
      <c r="AA1613" s="18" t="n">
        <f aca="false">IFERROR(INDEX(CADASTRO_PIVOS!$I$6:$I$41,MATCH($E1613,CADASTRO_PIVOS!$B$6:$B$41,0)),0)</f>
        <v>1049.64285714286</v>
      </c>
      <c r="AB1613" s="18" t="n">
        <f aca="false">IF($Z1613&lt;=0,0,$Z1613/$AA1613)</f>
        <v>0</v>
      </c>
      <c r="AC1613" s="16" t="n">
        <f aca="false">IFERROR(INDEX(SEMANAS!$K$6:$K$71,MATCH($B1613,SEMANAS!$B$6:$B$71,0)),0)</f>
        <v>147</v>
      </c>
      <c r="AD1613" s="19" t="n">
        <f aca="false">IF($AC1613&lt;=0,0,$AB1613/$AC1613)</f>
        <v>0</v>
      </c>
      <c r="AE1613" s="8" t="str">
        <f aca="false">IF($K1613="SEM CULTURA","SEM CULTURA",IF($AA1613&lt;=0,"DADO PENDENTE",IF($AD1613&gt;LIMITE_CRITICO,"INVIAVEL",IF($AD1613&gt;LIMITE_ATENCAO,"CRITICO",IF($AD1613&gt;LIMITE_CONFORTAVEL,"ATENCAO","OK")))))</f>
        <v>OK</v>
      </c>
      <c r="AF1613" s="8" t="str">
        <f aca="false">$B1613&amp;"|"&amp;TEXT($AD1613,"0.000000")</f>
        <v>24|0.000000</v>
      </c>
      <c r="AG1613" s="18" t="n">
        <f aca="false">IF($K1613="SEM CULTURA",0,$T1613*$H1613)</f>
        <v>2688.46863459879</v>
      </c>
      <c r="AH1613" s="18" t="n">
        <f aca="false">IF($K1613="SEM CULTURA",0,$V1613*$H1613)</f>
        <v>4698.8732</v>
      </c>
      <c r="AI1613" s="18" t="n">
        <f aca="false">IF($K1613="SEM CULTURA",0,$W1613*$H1613)</f>
        <v>0</v>
      </c>
      <c r="AJ1613" s="18" t="n">
        <f aca="false">IF($K1613="SEM CULTURA",0,$S1613*$H1613)</f>
        <v>4834.655</v>
      </c>
      <c r="AK1613" s="8" t="str">
        <f aca="false">$E1613&amp;"|"&amp;TEXT($AD1613,"0.000000")</f>
        <v>PV 121|0.000000</v>
      </c>
    </row>
    <row r="1614" customFormat="false" ht="15" hidden="false" customHeight="false" outlineLevel="0" collapsed="false">
      <c r="B1614" s="16" t="n">
        <v>25</v>
      </c>
      <c r="C1614" s="17" t="n">
        <f aca="false">DATA_INICIO_SAFRA+($B1614-1)*DIAS_POR_SEMANA</f>
        <v>46433</v>
      </c>
      <c r="D1614" s="17" t="n">
        <f aca="false">$C1614+DIAS_POR_SEMANA-1</f>
        <v>46439</v>
      </c>
      <c r="E1614" s="15" t="s">
        <v>283</v>
      </c>
      <c r="F1614" s="8" t="str">
        <f aca="false">IFERROR(INDEX(CADASTRO_PIVOS!$C$6:$C$41,MATCH($E1614,CADASTRO_PIVOS!$B$6:$B$41,0)),"?")</f>
        <v>RM07</v>
      </c>
      <c r="G1614" s="8" t="str">
        <f aca="false">IFERROR(INDEX(CADASTRO_PIVOS!$D$6:$D$41,MATCH($E1614,CADASTRO_PIVOS!$B$6:$B$41,0)),"?")</f>
        <v>TR07</v>
      </c>
      <c r="H1614" s="20" t="n">
        <f aca="false">IFERROR(INDEX(CADASTRO_PIVOS!$E$6:$E$41,MATCH($E1614,CADASTRO_PIVOS!$B$6:$B$41,0)),0)</f>
        <v>146.95</v>
      </c>
      <c r="I1614" s="16" t="n">
        <f aca="false">IFERROR(SUMIFS(ROTACAO_RDM!$B$6:$B$71,ROTACAO_RDM!$D$6:$D$71,$E1614,ROTACAO_RDM!$I$6:$I$71,"&lt;="&amp;$C1614+INT(DIAS_POR_SEMANA/2),ROTACAO_RDM!$J$6:$J$71,"&gt;="&amp;$C1614+INT(DIAS_POR_SEMANA/2)),0)</f>
        <v>37</v>
      </c>
      <c r="J1614" s="16" t="n">
        <f aca="false">IFERROR(MATCH($I1614,ROTACAO_RDM!$B$6:$B$71,0),0)</f>
        <v>37</v>
      </c>
      <c r="K1614" s="8" t="str">
        <f aca="false">IF($J1614=0,"SEM CULTURA",INDEX(ROTACAO_RDM!$F$6:$F$71,$J1614))</f>
        <v>ALGODAO</v>
      </c>
      <c r="L1614" s="8" t="str">
        <f aca="false">IF($J1614=0,"",INDEX(ROTACAO_RDM!$G$6:$G$71,$J1614))</f>
        <v>FM 911 GLTP</v>
      </c>
      <c r="M1614" s="17" t="n">
        <f aca="false">IF($J1614=0,"",INDEX(ROTACAO_RDM!$I$6:$I$71,$J1614))</f>
        <v>46433</v>
      </c>
      <c r="N1614" s="16" t="n">
        <f aca="false">IF($J1614=0,0,MAX(0,$C1614+INT(DIAS_POR_SEMANA/2)-INDEX(ROTACAO_RDM!$I$6:$I$71,$J1614)))</f>
        <v>3</v>
      </c>
      <c r="O1614" s="19" t="n">
        <f aca="false">IF($J1614=0,0,MIN(1,$N1614/MAX(1,INDEX(ROTACAO_RDM!$K$6:$K$71,$J1614))))</f>
        <v>0.0166666666666667</v>
      </c>
      <c r="P1614" s="16" t="n">
        <f aca="false">IF($J1614=0,0,IFERROR(MATCH(INDEX(ROTACAO_RDM!$N$6:$N$71,$J1614),PARAMETROS_CULTURAS!$B$6:$B$28,0),0))</f>
        <v>4</v>
      </c>
      <c r="Q1614" s="8" t="str">
        <f aca="false">IF($P1614=0,"-",IF($O1614&lt;=INDEX(PARAMETROS_CULTURAS!$F$6:$F$28,$P1614),"INICIAL",IF($O1614&lt;=INDEX(PARAMETROS_CULTURAS!$F$6:$F$28,$P1614)+INDEX(PARAMETROS_CULTURAS!$G$6:$G$28,$P1614),"DESENVOLVIMENTO",IF($O1614&lt;=INDEX(PARAMETROS_CULTURAS!$F$6:$F$28,$P1614)+INDEX(PARAMETROS_CULTURAS!$G$6:$G$28,$P1614)+INDEX(PARAMETROS_CULTURAS!$H$6:$H$28,$P1614),"MEDIA","FINAL"))))</f>
        <v>INICIAL</v>
      </c>
      <c r="R1614" s="24" t="n">
        <f aca="false">IF($P1614=0,0,IF($O1614&lt;=INDEX(PARAMETROS_CULTURAS!$F$6:$F$28,$P1614),INDEX(PARAMETROS_CULTURAS!$K$6:$K$28,$P1614),IF($O1614&lt;=INDEX(PARAMETROS_CULTURAS!$F$6:$F$28,$P1614)+INDEX(PARAMETROS_CULTURAS!$G$6:$G$28,$P1614),INDEX(PARAMETROS_CULTURAS!$K$6:$K$28,$P1614)+(INDEX(PARAMETROS_CULTURAS!$L$6:$L$28,$P1614)-INDEX(PARAMETROS_CULTURAS!$K$6:$K$28,$P1614))*($O1614-INDEX(PARAMETROS_CULTURAS!$F$6:$F$28,$P1614))/MAX(INDEX(PARAMETROS_CULTURAS!$G$6:$G$28,$P1614),0.0001),IF($O1614&lt;=INDEX(PARAMETROS_CULTURAS!$F$6:$F$28,$P1614)+INDEX(PARAMETROS_CULTURAS!$G$6:$G$28,$P1614)+INDEX(PARAMETROS_CULTURAS!$H$6:$H$28,$P1614),INDEX(PARAMETROS_CULTURAS!$L$6:$L$28,$P1614),INDEX(PARAMETROS_CULTURAS!$L$6:$L$28,$P1614)+(INDEX(PARAMETROS_CULTURAS!$M$6:$M$28,$P1614)-INDEX(PARAMETROS_CULTURAS!$L$6:$L$28,$P1614))*($O1614-INDEX(PARAMETROS_CULTURAS!$F$6:$F$28,$P1614)-INDEX(PARAMETROS_CULTURAS!$G$6:$G$28,$P1614)-INDEX(PARAMETROS_CULTURAS!$H$6:$H$28,$P1614))/MAX(INDEX(PARAMETROS_CULTURAS!$I$6:$I$28,$P1614),0.0001)))))</f>
        <v>0.35</v>
      </c>
      <c r="S1614" s="18" t="n">
        <f aca="false">IFERROR(INDEX(SEMANAS!$H$6:$H$71,MATCH($B1614,SEMANAS!$B$6:$B$71,0)),0)</f>
        <v>32.9</v>
      </c>
      <c r="T1614" s="18" t="n">
        <f aca="false">$R1614*$S1614</f>
        <v>11.515</v>
      </c>
      <c r="U1614" s="18" t="n">
        <f aca="false">IFERROR(INDEX(SEMANAS!$I$6:$I$71,MATCH($B1614,SEMANAS!$B$6:$B$71,0)),0)</f>
        <v>39.97</v>
      </c>
      <c r="V1614" s="18" t="n">
        <f aca="false">IFERROR(INDEX(SEMANAS!$J$6:$J$71,MATCH($B1614,SEMANAS!$B$6:$B$71,0)),0)</f>
        <v>31.976</v>
      </c>
      <c r="W1614" s="18" t="n">
        <f aca="false">MAX(0,$T1614-$V1614)</f>
        <v>0</v>
      </c>
      <c r="X1614" s="19" t="n">
        <f aca="false">IFERROR(INDEX(CADASTRO_PIVOS!$K$6:$K$41,MATCH($E1614,CADASTRO_PIVOS!$B$6:$B$41,0)),EFICIENCIA_PADRAO)</f>
        <v>0.85</v>
      </c>
      <c r="Y1614" s="18" t="n">
        <f aca="false">IF($X1614&lt;=0,0,$W1614/$X1614)</f>
        <v>0</v>
      </c>
      <c r="Z1614" s="16" t="n">
        <f aca="false">$Y1614*$H1614*MM_PARA_M3_HA</f>
        <v>0</v>
      </c>
      <c r="AA1614" s="18" t="n">
        <f aca="false">IFERROR(INDEX(CADASTRO_PIVOS!$I$6:$I$41,MATCH($E1614,CADASTRO_PIVOS!$B$6:$B$41,0)),0)</f>
        <v>1049.64285714286</v>
      </c>
      <c r="AB1614" s="18" t="n">
        <f aca="false">IF($Z1614&lt;=0,0,$Z1614/$AA1614)</f>
        <v>0</v>
      </c>
      <c r="AC1614" s="16" t="n">
        <f aca="false">IFERROR(INDEX(SEMANAS!$K$6:$K$71,MATCH($B1614,SEMANAS!$B$6:$B$71,0)),0)</f>
        <v>147</v>
      </c>
      <c r="AD1614" s="19" t="n">
        <f aca="false">IF($AC1614&lt;=0,0,$AB1614/$AC1614)</f>
        <v>0</v>
      </c>
      <c r="AE1614" s="8" t="str">
        <f aca="false">IF($K1614="SEM CULTURA","SEM CULTURA",IF($AA1614&lt;=0,"DADO PENDENTE",IF($AD1614&gt;LIMITE_CRITICO,"INVIAVEL",IF($AD1614&gt;LIMITE_ATENCAO,"CRITICO",IF($AD1614&gt;LIMITE_CONFORTAVEL,"ATENCAO","OK")))))</f>
        <v>OK</v>
      </c>
      <c r="AF1614" s="8" t="str">
        <f aca="false">$B1614&amp;"|"&amp;TEXT($AD1614,"0.000000")</f>
        <v>25|0.000000</v>
      </c>
      <c r="AG1614" s="18" t="n">
        <f aca="false">IF($K1614="SEM CULTURA",0,$T1614*$H1614)</f>
        <v>1692.12925</v>
      </c>
      <c r="AH1614" s="18" t="n">
        <f aca="false">IF($K1614="SEM CULTURA",0,$V1614*$H1614)</f>
        <v>4698.8732</v>
      </c>
      <c r="AI1614" s="18" t="n">
        <f aca="false">IF($K1614="SEM CULTURA",0,$W1614*$H1614)</f>
        <v>0</v>
      </c>
      <c r="AJ1614" s="18" t="n">
        <f aca="false">IF($K1614="SEM CULTURA",0,$S1614*$H1614)</f>
        <v>4834.655</v>
      </c>
      <c r="AK1614" s="8" t="str">
        <f aca="false">$E1614&amp;"|"&amp;TEXT($AD1614,"0.000000")</f>
        <v>PV 121|0.000000</v>
      </c>
    </row>
    <row r="1615" customFormat="false" ht="15" hidden="false" customHeight="false" outlineLevel="0" collapsed="false">
      <c r="B1615" s="16" t="n">
        <v>26</v>
      </c>
      <c r="C1615" s="17" t="n">
        <f aca="false">DATA_INICIO_SAFRA+($B1615-1)*DIAS_POR_SEMANA</f>
        <v>46440</v>
      </c>
      <c r="D1615" s="17" t="n">
        <f aca="false">$C1615+DIAS_POR_SEMANA-1</f>
        <v>46446</v>
      </c>
      <c r="E1615" s="15" t="s">
        <v>283</v>
      </c>
      <c r="F1615" s="8" t="str">
        <f aca="false">IFERROR(INDEX(CADASTRO_PIVOS!$C$6:$C$41,MATCH($E1615,CADASTRO_PIVOS!$B$6:$B$41,0)),"?")</f>
        <v>RM07</v>
      </c>
      <c r="G1615" s="8" t="str">
        <f aca="false">IFERROR(INDEX(CADASTRO_PIVOS!$D$6:$D$41,MATCH($E1615,CADASTRO_PIVOS!$B$6:$B$41,0)),"?")</f>
        <v>TR07</v>
      </c>
      <c r="H1615" s="20" t="n">
        <f aca="false">IFERROR(INDEX(CADASTRO_PIVOS!$E$6:$E$41,MATCH($E1615,CADASTRO_PIVOS!$B$6:$B$41,0)),0)</f>
        <v>146.95</v>
      </c>
      <c r="I1615" s="16" t="n">
        <f aca="false">IFERROR(SUMIFS(ROTACAO_RDM!$B$6:$B$71,ROTACAO_RDM!$D$6:$D$71,$E1615,ROTACAO_RDM!$I$6:$I$71,"&lt;="&amp;$C1615+INT(DIAS_POR_SEMANA/2),ROTACAO_RDM!$J$6:$J$71,"&gt;="&amp;$C1615+INT(DIAS_POR_SEMANA/2)),0)</f>
        <v>37</v>
      </c>
      <c r="J1615" s="16" t="n">
        <f aca="false">IFERROR(MATCH($I1615,ROTACAO_RDM!$B$6:$B$71,0),0)</f>
        <v>37</v>
      </c>
      <c r="K1615" s="8" t="str">
        <f aca="false">IF($J1615=0,"SEM CULTURA",INDEX(ROTACAO_RDM!$F$6:$F$71,$J1615))</f>
        <v>ALGODAO</v>
      </c>
      <c r="L1615" s="8" t="str">
        <f aca="false">IF($J1615=0,"",INDEX(ROTACAO_RDM!$G$6:$G$71,$J1615))</f>
        <v>FM 911 GLTP</v>
      </c>
      <c r="M1615" s="17" t="n">
        <f aca="false">IF($J1615=0,"",INDEX(ROTACAO_RDM!$I$6:$I$71,$J1615))</f>
        <v>46433</v>
      </c>
      <c r="N1615" s="16" t="n">
        <f aca="false">IF($J1615=0,0,MAX(0,$C1615+INT(DIAS_POR_SEMANA/2)-INDEX(ROTACAO_RDM!$I$6:$I$71,$J1615)))</f>
        <v>10</v>
      </c>
      <c r="O1615" s="19" t="n">
        <f aca="false">IF($J1615=0,0,MIN(1,$N1615/MAX(1,INDEX(ROTACAO_RDM!$K$6:$K$71,$J1615))))</f>
        <v>0.0555555555555556</v>
      </c>
      <c r="P1615" s="16" t="n">
        <f aca="false">IF($J1615=0,0,IFERROR(MATCH(INDEX(ROTACAO_RDM!$N$6:$N$71,$J1615),PARAMETROS_CULTURAS!$B$6:$B$28,0),0))</f>
        <v>4</v>
      </c>
      <c r="Q1615" s="8" t="str">
        <f aca="false">IF($P1615=0,"-",IF($O1615&lt;=INDEX(PARAMETROS_CULTURAS!$F$6:$F$28,$P1615),"INICIAL",IF($O1615&lt;=INDEX(PARAMETROS_CULTURAS!$F$6:$F$28,$P1615)+INDEX(PARAMETROS_CULTURAS!$G$6:$G$28,$P1615),"DESENVOLVIMENTO",IF($O1615&lt;=INDEX(PARAMETROS_CULTURAS!$F$6:$F$28,$P1615)+INDEX(PARAMETROS_CULTURAS!$G$6:$G$28,$P1615)+INDEX(PARAMETROS_CULTURAS!$H$6:$H$28,$P1615),"MEDIA","FINAL"))))</f>
        <v>INICIAL</v>
      </c>
      <c r="R1615" s="24" t="n">
        <f aca="false">IF($P1615=0,0,IF($O1615&lt;=INDEX(PARAMETROS_CULTURAS!$F$6:$F$28,$P1615),INDEX(PARAMETROS_CULTURAS!$K$6:$K$28,$P1615),IF($O1615&lt;=INDEX(PARAMETROS_CULTURAS!$F$6:$F$28,$P1615)+INDEX(PARAMETROS_CULTURAS!$G$6:$G$28,$P1615),INDEX(PARAMETROS_CULTURAS!$K$6:$K$28,$P1615)+(INDEX(PARAMETROS_CULTURAS!$L$6:$L$28,$P1615)-INDEX(PARAMETROS_CULTURAS!$K$6:$K$28,$P1615))*($O1615-INDEX(PARAMETROS_CULTURAS!$F$6:$F$28,$P1615))/MAX(INDEX(PARAMETROS_CULTURAS!$G$6:$G$28,$P1615),0.0001),IF($O1615&lt;=INDEX(PARAMETROS_CULTURAS!$F$6:$F$28,$P1615)+INDEX(PARAMETROS_CULTURAS!$G$6:$G$28,$P1615)+INDEX(PARAMETROS_CULTURAS!$H$6:$H$28,$P1615),INDEX(PARAMETROS_CULTURAS!$L$6:$L$28,$P1615),INDEX(PARAMETROS_CULTURAS!$L$6:$L$28,$P1615)+(INDEX(PARAMETROS_CULTURAS!$M$6:$M$28,$P1615)-INDEX(PARAMETROS_CULTURAS!$L$6:$L$28,$P1615))*($O1615-INDEX(PARAMETROS_CULTURAS!$F$6:$F$28,$P1615)-INDEX(PARAMETROS_CULTURAS!$G$6:$G$28,$P1615)-INDEX(PARAMETROS_CULTURAS!$H$6:$H$28,$P1615))/MAX(INDEX(PARAMETROS_CULTURAS!$I$6:$I$28,$P1615),0.0001)))))</f>
        <v>0.35</v>
      </c>
      <c r="S1615" s="18" t="n">
        <f aca="false">IFERROR(INDEX(SEMANAS!$H$6:$H$71,MATCH($B1615,SEMANAS!$B$6:$B$71,0)),0)</f>
        <v>32.9</v>
      </c>
      <c r="T1615" s="18" t="n">
        <f aca="false">$R1615*$S1615</f>
        <v>11.515</v>
      </c>
      <c r="U1615" s="18" t="n">
        <f aca="false">IFERROR(INDEX(SEMANAS!$I$6:$I$71,MATCH($B1615,SEMANAS!$B$6:$B$71,0)),0)</f>
        <v>39.97</v>
      </c>
      <c r="V1615" s="18" t="n">
        <f aca="false">IFERROR(INDEX(SEMANAS!$J$6:$J$71,MATCH($B1615,SEMANAS!$B$6:$B$71,0)),0)</f>
        <v>31.976</v>
      </c>
      <c r="W1615" s="18" t="n">
        <f aca="false">MAX(0,$T1615-$V1615)</f>
        <v>0</v>
      </c>
      <c r="X1615" s="19" t="n">
        <f aca="false">IFERROR(INDEX(CADASTRO_PIVOS!$K$6:$K$41,MATCH($E1615,CADASTRO_PIVOS!$B$6:$B$41,0)),EFICIENCIA_PADRAO)</f>
        <v>0.85</v>
      </c>
      <c r="Y1615" s="18" t="n">
        <f aca="false">IF($X1615&lt;=0,0,$W1615/$X1615)</f>
        <v>0</v>
      </c>
      <c r="Z1615" s="16" t="n">
        <f aca="false">$Y1615*$H1615*MM_PARA_M3_HA</f>
        <v>0</v>
      </c>
      <c r="AA1615" s="18" t="n">
        <f aca="false">IFERROR(INDEX(CADASTRO_PIVOS!$I$6:$I$41,MATCH($E1615,CADASTRO_PIVOS!$B$6:$B$41,0)),0)</f>
        <v>1049.64285714286</v>
      </c>
      <c r="AB1615" s="18" t="n">
        <f aca="false">IF($Z1615&lt;=0,0,$Z1615/$AA1615)</f>
        <v>0</v>
      </c>
      <c r="AC1615" s="16" t="n">
        <f aca="false">IFERROR(INDEX(SEMANAS!$K$6:$K$71,MATCH($B1615,SEMANAS!$B$6:$B$71,0)),0)</f>
        <v>147</v>
      </c>
      <c r="AD1615" s="19" t="n">
        <f aca="false">IF($AC1615&lt;=0,0,$AB1615/$AC1615)</f>
        <v>0</v>
      </c>
      <c r="AE1615" s="8" t="str">
        <f aca="false">IF($K1615="SEM CULTURA","SEM CULTURA",IF($AA1615&lt;=0,"DADO PENDENTE",IF($AD1615&gt;LIMITE_CRITICO,"INVIAVEL",IF($AD1615&gt;LIMITE_ATENCAO,"CRITICO",IF($AD1615&gt;LIMITE_CONFORTAVEL,"ATENCAO","OK")))))</f>
        <v>OK</v>
      </c>
      <c r="AF1615" s="8" t="str">
        <f aca="false">$B1615&amp;"|"&amp;TEXT($AD1615,"0.000000")</f>
        <v>26|0.000000</v>
      </c>
      <c r="AG1615" s="18" t="n">
        <f aca="false">IF($K1615="SEM CULTURA",0,$T1615*$H1615)</f>
        <v>1692.12925</v>
      </c>
      <c r="AH1615" s="18" t="n">
        <f aca="false">IF($K1615="SEM CULTURA",0,$V1615*$H1615)</f>
        <v>4698.8732</v>
      </c>
      <c r="AI1615" s="18" t="n">
        <f aca="false">IF($K1615="SEM CULTURA",0,$W1615*$H1615)</f>
        <v>0</v>
      </c>
      <c r="AJ1615" s="18" t="n">
        <f aca="false">IF($K1615="SEM CULTURA",0,$S1615*$H1615)</f>
        <v>4834.655</v>
      </c>
      <c r="AK1615" s="8" t="str">
        <f aca="false">$E1615&amp;"|"&amp;TEXT($AD1615,"0.000000")</f>
        <v>PV 121|0.000000</v>
      </c>
    </row>
    <row r="1616" customFormat="false" ht="15" hidden="false" customHeight="false" outlineLevel="0" collapsed="false">
      <c r="B1616" s="16" t="n">
        <v>27</v>
      </c>
      <c r="C1616" s="17" t="n">
        <f aca="false">DATA_INICIO_SAFRA+($B1616-1)*DIAS_POR_SEMANA</f>
        <v>46447</v>
      </c>
      <c r="D1616" s="17" t="n">
        <f aca="false">$C1616+DIAS_POR_SEMANA-1</f>
        <v>46453</v>
      </c>
      <c r="E1616" s="15" t="s">
        <v>283</v>
      </c>
      <c r="F1616" s="8" t="str">
        <f aca="false">IFERROR(INDEX(CADASTRO_PIVOS!$C$6:$C$41,MATCH($E1616,CADASTRO_PIVOS!$B$6:$B$41,0)),"?")</f>
        <v>RM07</v>
      </c>
      <c r="G1616" s="8" t="str">
        <f aca="false">IFERROR(INDEX(CADASTRO_PIVOS!$D$6:$D$41,MATCH($E1616,CADASTRO_PIVOS!$B$6:$B$41,0)),"?")</f>
        <v>TR07</v>
      </c>
      <c r="H1616" s="20" t="n">
        <f aca="false">IFERROR(INDEX(CADASTRO_PIVOS!$E$6:$E$41,MATCH($E1616,CADASTRO_PIVOS!$B$6:$B$41,0)),0)</f>
        <v>146.95</v>
      </c>
      <c r="I1616" s="16" t="n">
        <f aca="false">IFERROR(SUMIFS(ROTACAO_RDM!$B$6:$B$71,ROTACAO_RDM!$D$6:$D$71,$E1616,ROTACAO_RDM!$I$6:$I$71,"&lt;="&amp;$C1616+INT(DIAS_POR_SEMANA/2),ROTACAO_RDM!$J$6:$J$71,"&gt;="&amp;$C1616+INT(DIAS_POR_SEMANA/2)),0)</f>
        <v>37</v>
      </c>
      <c r="J1616" s="16" t="n">
        <f aca="false">IFERROR(MATCH($I1616,ROTACAO_RDM!$B$6:$B$71,0),0)</f>
        <v>37</v>
      </c>
      <c r="K1616" s="8" t="str">
        <f aca="false">IF($J1616=0,"SEM CULTURA",INDEX(ROTACAO_RDM!$F$6:$F$71,$J1616))</f>
        <v>ALGODAO</v>
      </c>
      <c r="L1616" s="8" t="str">
        <f aca="false">IF($J1616=0,"",INDEX(ROTACAO_RDM!$G$6:$G$71,$J1616))</f>
        <v>FM 911 GLTP</v>
      </c>
      <c r="M1616" s="17" t="n">
        <f aca="false">IF($J1616=0,"",INDEX(ROTACAO_RDM!$I$6:$I$71,$J1616))</f>
        <v>46433</v>
      </c>
      <c r="N1616" s="16" t="n">
        <f aca="false">IF($J1616=0,0,MAX(0,$C1616+INT(DIAS_POR_SEMANA/2)-INDEX(ROTACAO_RDM!$I$6:$I$71,$J1616)))</f>
        <v>17</v>
      </c>
      <c r="O1616" s="19" t="n">
        <f aca="false">IF($J1616=0,0,MIN(1,$N1616/MAX(1,INDEX(ROTACAO_RDM!$K$6:$K$71,$J1616))))</f>
        <v>0.0944444444444444</v>
      </c>
      <c r="P1616" s="16" t="n">
        <f aca="false">IF($J1616=0,0,IFERROR(MATCH(INDEX(ROTACAO_RDM!$N$6:$N$71,$J1616),PARAMETROS_CULTURAS!$B$6:$B$28,0),0))</f>
        <v>4</v>
      </c>
      <c r="Q1616" s="8" t="str">
        <f aca="false">IF($P1616=0,"-",IF($O1616&lt;=INDEX(PARAMETROS_CULTURAS!$F$6:$F$28,$P1616),"INICIAL",IF($O1616&lt;=INDEX(PARAMETROS_CULTURAS!$F$6:$F$28,$P1616)+INDEX(PARAMETROS_CULTURAS!$G$6:$G$28,$P1616),"DESENVOLVIMENTO",IF($O1616&lt;=INDEX(PARAMETROS_CULTURAS!$F$6:$F$28,$P1616)+INDEX(PARAMETROS_CULTURAS!$G$6:$G$28,$P1616)+INDEX(PARAMETROS_CULTURAS!$H$6:$H$28,$P1616),"MEDIA","FINAL"))))</f>
        <v>INICIAL</v>
      </c>
      <c r="R1616" s="24" t="n">
        <f aca="false">IF($P1616=0,0,IF($O1616&lt;=INDEX(PARAMETROS_CULTURAS!$F$6:$F$28,$P1616),INDEX(PARAMETROS_CULTURAS!$K$6:$K$28,$P1616),IF($O1616&lt;=INDEX(PARAMETROS_CULTURAS!$F$6:$F$28,$P1616)+INDEX(PARAMETROS_CULTURAS!$G$6:$G$28,$P1616),INDEX(PARAMETROS_CULTURAS!$K$6:$K$28,$P1616)+(INDEX(PARAMETROS_CULTURAS!$L$6:$L$28,$P1616)-INDEX(PARAMETROS_CULTURAS!$K$6:$K$28,$P1616))*($O1616-INDEX(PARAMETROS_CULTURAS!$F$6:$F$28,$P1616))/MAX(INDEX(PARAMETROS_CULTURAS!$G$6:$G$28,$P1616),0.0001),IF($O1616&lt;=INDEX(PARAMETROS_CULTURAS!$F$6:$F$28,$P1616)+INDEX(PARAMETROS_CULTURAS!$G$6:$G$28,$P1616)+INDEX(PARAMETROS_CULTURAS!$H$6:$H$28,$P1616),INDEX(PARAMETROS_CULTURAS!$L$6:$L$28,$P1616),INDEX(PARAMETROS_CULTURAS!$L$6:$L$28,$P1616)+(INDEX(PARAMETROS_CULTURAS!$M$6:$M$28,$P1616)-INDEX(PARAMETROS_CULTURAS!$L$6:$L$28,$P1616))*($O1616-INDEX(PARAMETROS_CULTURAS!$F$6:$F$28,$P1616)-INDEX(PARAMETROS_CULTURAS!$G$6:$G$28,$P1616)-INDEX(PARAMETROS_CULTURAS!$H$6:$H$28,$P1616))/MAX(INDEX(PARAMETROS_CULTURAS!$I$6:$I$28,$P1616),0.0001)))))</f>
        <v>0.35</v>
      </c>
      <c r="S1616" s="18" t="n">
        <f aca="false">IFERROR(INDEX(SEMANAS!$H$6:$H$71,MATCH($B1616,SEMANAS!$B$6:$B$71,0)),0)</f>
        <v>32.2</v>
      </c>
      <c r="T1616" s="18" t="n">
        <f aca="false">$R1616*$S1616</f>
        <v>11.27</v>
      </c>
      <c r="U1616" s="18" t="n">
        <f aca="false">IFERROR(INDEX(SEMANAS!$I$6:$I$71,MATCH($B1616,SEMANAS!$B$6:$B$71,0)),0)</f>
        <v>37.24</v>
      </c>
      <c r="V1616" s="18" t="n">
        <f aca="false">IFERROR(INDEX(SEMANAS!$J$6:$J$71,MATCH($B1616,SEMANAS!$B$6:$B$71,0)),0)</f>
        <v>29.792</v>
      </c>
      <c r="W1616" s="18" t="n">
        <f aca="false">MAX(0,$T1616-$V1616)</f>
        <v>0</v>
      </c>
      <c r="X1616" s="19" t="n">
        <f aca="false">IFERROR(INDEX(CADASTRO_PIVOS!$K$6:$K$41,MATCH($E1616,CADASTRO_PIVOS!$B$6:$B$41,0)),EFICIENCIA_PADRAO)</f>
        <v>0.85</v>
      </c>
      <c r="Y1616" s="18" t="n">
        <f aca="false">IF($X1616&lt;=0,0,$W1616/$X1616)</f>
        <v>0</v>
      </c>
      <c r="Z1616" s="16" t="n">
        <f aca="false">$Y1616*$H1616*MM_PARA_M3_HA</f>
        <v>0</v>
      </c>
      <c r="AA1616" s="18" t="n">
        <f aca="false">IFERROR(INDEX(CADASTRO_PIVOS!$I$6:$I$41,MATCH($E1616,CADASTRO_PIVOS!$B$6:$B$41,0)),0)</f>
        <v>1049.64285714286</v>
      </c>
      <c r="AB1616" s="18" t="n">
        <f aca="false">IF($Z1616&lt;=0,0,$Z1616/$AA1616)</f>
        <v>0</v>
      </c>
      <c r="AC1616" s="16" t="n">
        <f aca="false">IFERROR(INDEX(SEMANAS!$K$6:$K$71,MATCH($B1616,SEMANAS!$B$6:$B$71,0)),0)</f>
        <v>147</v>
      </c>
      <c r="AD1616" s="19" t="n">
        <f aca="false">IF($AC1616&lt;=0,0,$AB1616/$AC1616)</f>
        <v>0</v>
      </c>
      <c r="AE1616" s="8" t="str">
        <f aca="false">IF($K1616="SEM CULTURA","SEM CULTURA",IF($AA1616&lt;=0,"DADO PENDENTE",IF($AD1616&gt;LIMITE_CRITICO,"INVIAVEL",IF($AD1616&gt;LIMITE_ATENCAO,"CRITICO",IF($AD1616&gt;LIMITE_CONFORTAVEL,"ATENCAO","OK")))))</f>
        <v>OK</v>
      </c>
      <c r="AF1616" s="8" t="str">
        <f aca="false">$B1616&amp;"|"&amp;TEXT($AD1616,"0.000000")</f>
        <v>27|0.000000</v>
      </c>
      <c r="AG1616" s="18" t="n">
        <f aca="false">IF($K1616="SEM CULTURA",0,$T1616*$H1616)</f>
        <v>1656.1265</v>
      </c>
      <c r="AH1616" s="18" t="n">
        <f aca="false">IF($K1616="SEM CULTURA",0,$V1616*$H1616)</f>
        <v>4377.9344</v>
      </c>
      <c r="AI1616" s="18" t="n">
        <f aca="false">IF($K1616="SEM CULTURA",0,$W1616*$H1616)</f>
        <v>0</v>
      </c>
      <c r="AJ1616" s="18" t="n">
        <f aca="false">IF($K1616="SEM CULTURA",0,$S1616*$H1616)</f>
        <v>4731.79</v>
      </c>
      <c r="AK1616" s="8" t="str">
        <f aca="false">$E1616&amp;"|"&amp;TEXT($AD1616,"0.000000")</f>
        <v>PV 121|0.000000</v>
      </c>
    </row>
    <row r="1617" customFormat="false" ht="15" hidden="false" customHeight="false" outlineLevel="0" collapsed="false">
      <c r="B1617" s="16" t="n">
        <v>28</v>
      </c>
      <c r="C1617" s="17" t="n">
        <f aca="false">DATA_INICIO_SAFRA+($B1617-1)*DIAS_POR_SEMANA</f>
        <v>46454</v>
      </c>
      <c r="D1617" s="17" t="n">
        <f aca="false">$C1617+DIAS_POR_SEMANA-1</f>
        <v>46460</v>
      </c>
      <c r="E1617" s="15" t="s">
        <v>283</v>
      </c>
      <c r="F1617" s="8" t="str">
        <f aca="false">IFERROR(INDEX(CADASTRO_PIVOS!$C$6:$C$41,MATCH($E1617,CADASTRO_PIVOS!$B$6:$B$41,0)),"?")</f>
        <v>RM07</v>
      </c>
      <c r="G1617" s="8" t="str">
        <f aca="false">IFERROR(INDEX(CADASTRO_PIVOS!$D$6:$D$41,MATCH($E1617,CADASTRO_PIVOS!$B$6:$B$41,0)),"?")</f>
        <v>TR07</v>
      </c>
      <c r="H1617" s="20" t="n">
        <f aca="false">IFERROR(INDEX(CADASTRO_PIVOS!$E$6:$E$41,MATCH($E1617,CADASTRO_PIVOS!$B$6:$B$41,0)),0)</f>
        <v>146.95</v>
      </c>
      <c r="I1617" s="16" t="n">
        <f aca="false">IFERROR(SUMIFS(ROTACAO_RDM!$B$6:$B$71,ROTACAO_RDM!$D$6:$D$71,$E1617,ROTACAO_RDM!$I$6:$I$71,"&lt;="&amp;$C1617+INT(DIAS_POR_SEMANA/2),ROTACAO_RDM!$J$6:$J$71,"&gt;="&amp;$C1617+INT(DIAS_POR_SEMANA/2)),0)</f>
        <v>37</v>
      </c>
      <c r="J1617" s="16" t="n">
        <f aca="false">IFERROR(MATCH($I1617,ROTACAO_RDM!$B$6:$B$71,0),0)</f>
        <v>37</v>
      </c>
      <c r="K1617" s="8" t="str">
        <f aca="false">IF($J1617=0,"SEM CULTURA",INDEX(ROTACAO_RDM!$F$6:$F$71,$J1617))</f>
        <v>ALGODAO</v>
      </c>
      <c r="L1617" s="8" t="str">
        <f aca="false">IF($J1617=0,"",INDEX(ROTACAO_RDM!$G$6:$G$71,$J1617))</f>
        <v>FM 911 GLTP</v>
      </c>
      <c r="M1617" s="17" t="n">
        <f aca="false">IF($J1617=0,"",INDEX(ROTACAO_RDM!$I$6:$I$71,$J1617))</f>
        <v>46433</v>
      </c>
      <c r="N1617" s="16" t="n">
        <f aca="false">IF($J1617=0,0,MAX(0,$C1617+INT(DIAS_POR_SEMANA/2)-INDEX(ROTACAO_RDM!$I$6:$I$71,$J1617)))</f>
        <v>24</v>
      </c>
      <c r="O1617" s="19" t="n">
        <f aca="false">IF($J1617=0,0,MIN(1,$N1617/MAX(1,INDEX(ROTACAO_RDM!$K$6:$K$71,$J1617))))</f>
        <v>0.133333333333333</v>
      </c>
      <c r="P1617" s="16" t="n">
        <f aca="false">IF($J1617=0,0,IFERROR(MATCH(INDEX(ROTACAO_RDM!$N$6:$N$71,$J1617),PARAMETROS_CULTURAS!$B$6:$B$28,0),0))</f>
        <v>4</v>
      </c>
      <c r="Q1617" s="8" t="str">
        <f aca="false">IF($P1617=0,"-",IF($O1617&lt;=INDEX(PARAMETROS_CULTURAS!$F$6:$F$28,$P1617),"INICIAL",IF($O1617&lt;=INDEX(PARAMETROS_CULTURAS!$F$6:$F$28,$P1617)+INDEX(PARAMETROS_CULTURAS!$G$6:$G$28,$P1617),"DESENVOLVIMENTO",IF($O1617&lt;=INDEX(PARAMETROS_CULTURAS!$F$6:$F$28,$P1617)+INDEX(PARAMETROS_CULTURAS!$G$6:$G$28,$P1617)+INDEX(PARAMETROS_CULTURAS!$H$6:$H$28,$P1617),"MEDIA","FINAL"))))</f>
        <v>INICIAL</v>
      </c>
      <c r="R1617" s="24" t="n">
        <f aca="false">IF($P1617=0,0,IF($O1617&lt;=INDEX(PARAMETROS_CULTURAS!$F$6:$F$28,$P1617),INDEX(PARAMETROS_CULTURAS!$K$6:$K$28,$P1617),IF($O1617&lt;=INDEX(PARAMETROS_CULTURAS!$F$6:$F$28,$P1617)+INDEX(PARAMETROS_CULTURAS!$G$6:$G$28,$P1617),INDEX(PARAMETROS_CULTURAS!$K$6:$K$28,$P1617)+(INDEX(PARAMETROS_CULTURAS!$L$6:$L$28,$P1617)-INDEX(PARAMETROS_CULTURAS!$K$6:$K$28,$P1617))*($O1617-INDEX(PARAMETROS_CULTURAS!$F$6:$F$28,$P1617))/MAX(INDEX(PARAMETROS_CULTURAS!$G$6:$G$28,$P1617),0.0001),IF($O1617&lt;=INDEX(PARAMETROS_CULTURAS!$F$6:$F$28,$P1617)+INDEX(PARAMETROS_CULTURAS!$G$6:$G$28,$P1617)+INDEX(PARAMETROS_CULTURAS!$H$6:$H$28,$P1617),INDEX(PARAMETROS_CULTURAS!$L$6:$L$28,$P1617),INDEX(PARAMETROS_CULTURAS!$L$6:$L$28,$P1617)+(INDEX(PARAMETROS_CULTURAS!$M$6:$M$28,$P1617)-INDEX(PARAMETROS_CULTURAS!$L$6:$L$28,$P1617))*($O1617-INDEX(PARAMETROS_CULTURAS!$F$6:$F$28,$P1617)-INDEX(PARAMETROS_CULTURAS!$G$6:$G$28,$P1617)-INDEX(PARAMETROS_CULTURAS!$H$6:$H$28,$P1617))/MAX(INDEX(PARAMETROS_CULTURAS!$I$6:$I$28,$P1617),0.0001)))))</f>
        <v>0.35</v>
      </c>
      <c r="S1617" s="18" t="n">
        <f aca="false">IFERROR(INDEX(SEMANAS!$H$6:$H$71,MATCH($B1617,SEMANAS!$B$6:$B$71,0)),0)</f>
        <v>32.2</v>
      </c>
      <c r="T1617" s="18" t="n">
        <f aca="false">$R1617*$S1617</f>
        <v>11.27</v>
      </c>
      <c r="U1617" s="18" t="n">
        <f aca="false">IFERROR(INDEX(SEMANAS!$I$6:$I$71,MATCH($B1617,SEMANAS!$B$6:$B$71,0)),0)</f>
        <v>37.24</v>
      </c>
      <c r="V1617" s="18" t="n">
        <f aca="false">IFERROR(INDEX(SEMANAS!$J$6:$J$71,MATCH($B1617,SEMANAS!$B$6:$B$71,0)),0)</f>
        <v>29.792</v>
      </c>
      <c r="W1617" s="18" t="n">
        <f aca="false">MAX(0,$T1617-$V1617)</f>
        <v>0</v>
      </c>
      <c r="X1617" s="19" t="n">
        <f aca="false">IFERROR(INDEX(CADASTRO_PIVOS!$K$6:$K$41,MATCH($E1617,CADASTRO_PIVOS!$B$6:$B$41,0)),EFICIENCIA_PADRAO)</f>
        <v>0.85</v>
      </c>
      <c r="Y1617" s="18" t="n">
        <f aca="false">IF($X1617&lt;=0,0,$W1617/$X1617)</f>
        <v>0</v>
      </c>
      <c r="Z1617" s="16" t="n">
        <f aca="false">$Y1617*$H1617*MM_PARA_M3_HA</f>
        <v>0</v>
      </c>
      <c r="AA1617" s="18" t="n">
        <f aca="false">IFERROR(INDEX(CADASTRO_PIVOS!$I$6:$I$41,MATCH($E1617,CADASTRO_PIVOS!$B$6:$B$41,0)),0)</f>
        <v>1049.64285714286</v>
      </c>
      <c r="AB1617" s="18" t="n">
        <f aca="false">IF($Z1617&lt;=0,0,$Z1617/$AA1617)</f>
        <v>0</v>
      </c>
      <c r="AC1617" s="16" t="n">
        <f aca="false">IFERROR(INDEX(SEMANAS!$K$6:$K$71,MATCH($B1617,SEMANAS!$B$6:$B$71,0)),0)</f>
        <v>147</v>
      </c>
      <c r="AD1617" s="19" t="n">
        <f aca="false">IF($AC1617&lt;=0,0,$AB1617/$AC1617)</f>
        <v>0</v>
      </c>
      <c r="AE1617" s="8" t="str">
        <f aca="false">IF($K1617="SEM CULTURA","SEM CULTURA",IF($AA1617&lt;=0,"DADO PENDENTE",IF($AD1617&gt;LIMITE_CRITICO,"INVIAVEL",IF($AD1617&gt;LIMITE_ATENCAO,"CRITICO",IF($AD1617&gt;LIMITE_CONFORTAVEL,"ATENCAO","OK")))))</f>
        <v>OK</v>
      </c>
      <c r="AF1617" s="8" t="str">
        <f aca="false">$B1617&amp;"|"&amp;TEXT($AD1617,"0.000000")</f>
        <v>28|0.000000</v>
      </c>
      <c r="AG1617" s="18" t="n">
        <f aca="false">IF($K1617="SEM CULTURA",0,$T1617*$H1617)</f>
        <v>1656.1265</v>
      </c>
      <c r="AH1617" s="18" t="n">
        <f aca="false">IF($K1617="SEM CULTURA",0,$V1617*$H1617)</f>
        <v>4377.9344</v>
      </c>
      <c r="AI1617" s="18" t="n">
        <f aca="false">IF($K1617="SEM CULTURA",0,$W1617*$H1617)</f>
        <v>0</v>
      </c>
      <c r="AJ1617" s="18" t="n">
        <f aca="false">IF($K1617="SEM CULTURA",0,$S1617*$H1617)</f>
        <v>4731.79</v>
      </c>
      <c r="AK1617" s="8" t="str">
        <f aca="false">$E1617&amp;"|"&amp;TEXT($AD1617,"0.000000")</f>
        <v>PV 121|0.000000</v>
      </c>
    </row>
    <row r="1618" customFormat="false" ht="15" hidden="false" customHeight="false" outlineLevel="0" collapsed="false">
      <c r="B1618" s="16" t="n">
        <v>29</v>
      </c>
      <c r="C1618" s="17" t="n">
        <f aca="false">DATA_INICIO_SAFRA+($B1618-1)*DIAS_POR_SEMANA</f>
        <v>46461</v>
      </c>
      <c r="D1618" s="17" t="n">
        <f aca="false">$C1618+DIAS_POR_SEMANA-1</f>
        <v>46467</v>
      </c>
      <c r="E1618" s="15" t="s">
        <v>283</v>
      </c>
      <c r="F1618" s="8" t="str">
        <f aca="false">IFERROR(INDEX(CADASTRO_PIVOS!$C$6:$C$41,MATCH($E1618,CADASTRO_PIVOS!$B$6:$B$41,0)),"?")</f>
        <v>RM07</v>
      </c>
      <c r="G1618" s="8" t="str">
        <f aca="false">IFERROR(INDEX(CADASTRO_PIVOS!$D$6:$D$41,MATCH($E1618,CADASTRO_PIVOS!$B$6:$B$41,0)),"?")</f>
        <v>TR07</v>
      </c>
      <c r="H1618" s="20" t="n">
        <f aca="false">IFERROR(INDEX(CADASTRO_PIVOS!$E$6:$E$41,MATCH($E1618,CADASTRO_PIVOS!$B$6:$B$41,0)),0)</f>
        <v>146.95</v>
      </c>
      <c r="I1618" s="16" t="n">
        <f aca="false">IFERROR(SUMIFS(ROTACAO_RDM!$B$6:$B$71,ROTACAO_RDM!$D$6:$D$71,$E1618,ROTACAO_RDM!$I$6:$I$71,"&lt;="&amp;$C1618+INT(DIAS_POR_SEMANA/2),ROTACAO_RDM!$J$6:$J$71,"&gt;="&amp;$C1618+INT(DIAS_POR_SEMANA/2)),0)</f>
        <v>37</v>
      </c>
      <c r="J1618" s="16" t="n">
        <f aca="false">IFERROR(MATCH($I1618,ROTACAO_RDM!$B$6:$B$71,0),0)</f>
        <v>37</v>
      </c>
      <c r="K1618" s="8" t="str">
        <f aca="false">IF($J1618=0,"SEM CULTURA",INDEX(ROTACAO_RDM!$F$6:$F$71,$J1618))</f>
        <v>ALGODAO</v>
      </c>
      <c r="L1618" s="8" t="str">
        <f aca="false">IF($J1618=0,"",INDEX(ROTACAO_RDM!$G$6:$G$71,$J1618))</f>
        <v>FM 911 GLTP</v>
      </c>
      <c r="M1618" s="17" t="n">
        <f aca="false">IF($J1618=0,"",INDEX(ROTACAO_RDM!$I$6:$I$71,$J1618))</f>
        <v>46433</v>
      </c>
      <c r="N1618" s="16" t="n">
        <f aca="false">IF($J1618=0,0,MAX(0,$C1618+INT(DIAS_POR_SEMANA/2)-INDEX(ROTACAO_RDM!$I$6:$I$71,$J1618)))</f>
        <v>31</v>
      </c>
      <c r="O1618" s="19" t="n">
        <f aca="false">IF($J1618=0,0,MIN(1,$N1618/MAX(1,INDEX(ROTACAO_RDM!$K$6:$K$71,$J1618))))</f>
        <v>0.172222222222222</v>
      </c>
      <c r="P1618" s="16" t="n">
        <f aca="false">IF($J1618=0,0,IFERROR(MATCH(INDEX(ROTACAO_RDM!$N$6:$N$71,$J1618),PARAMETROS_CULTURAS!$B$6:$B$28,0),0))</f>
        <v>4</v>
      </c>
      <c r="Q1618" s="8" t="str">
        <f aca="false">IF($P1618=0,"-",IF($O1618&lt;=INDEX(PARAMETROS_CULTURAS!$F$6:$F$28,$P1618),"INICIAL",IF($O1618&lt;=INDEX(PARAMETROS_CULTURAS!$F$6:$F$28,$P1618)+INDEX(PARAMETROS_CULTURAS!$G$6:$G$28,$P1618),"DESENVOLVIMENTO",IF($O1618&lt;=INDEX(PARAMETROS_CULTURAS!$F$6:$F$28,$P1618)+INDEX(PARAMETROS_CULTURAS!$G$6:$G$28,$P1618)+INDEX(PARAMETROS_CULTURAS!$H$6:$H$28,$P1618),"MEDIA","FINAL"))))</f>
        <v>DESENVOLVIMENTO</v>
      </c>
      <c r="R1618" s="24" t="n">
        <f aca="false">IF($P1618=0,0,IF($O1618&lt;=INDEX(PARAMETROS_CULTURAS!$F$6:$F$28,$P1618),INDEX(PARAMETROS_CULTURAS!$K$6:$K$28,$P1618),IF($O1618&lt;=INDEX(PARAMETROS_CULTURAS!$F$6:$F$28,$P1618)+INDEX(PARAMETROS_CULTURAS!$G$6:$G$28,$P1618),INDEX(PARAMETROS_CULTURAS!$K$6:$K$28,$P1618)+(INDEX(PARAMETROS_CULTURAS!$L$6:$L$28,$P1618)-INDEX(PARAMETROS_CULTURAS!$K$6:$K$28,$P1618))*($O1618-INDEX(PARAMETROS_CULTURAS!$F$6:$F$28,$P1618))/MAX(INDEX(PARAMETROS_CULTURAS!$G$6:$G$28,$P1618),0.0001),IF($O1618&lt;=INDEX(PARAMETROS_CULTURAS!$F$6:$F$28,$P1618)+INDEX(PARAMETROS_CULTURAS!$G$6:$G$28,$P1618)+INDEX(PARAMETROS_CULTURAS!$H$6:$H$28,$P1618),INDEX(PARAMETROS_CULTURAS!$L$6:$L$28,$P1618),INDEX(PARAMETROS_CULTURAS!$L$6:$L$28,$P1618)+(INDEX(PARAMETROS_CULTURAS!$M$6:$M$28,$P1618)-INDEX(PARAMETROS_CULTURAS!$L$6:$L$28,$P1618))*($O1618-INDEX(PARAMETROS_CULTURAS!$F$6:$F$28,$P1618)-INDEX(PARAMETROS_CULTURAS!$G$6:$G$28,$P1618)-INDEX(PARAMETROS_CULTURAS!$H$6:$H$28,$P1618))/MAX(INDEX(PARAMETROS_CULTURAS!$I$6:$I$28,$P1618),0.0001)))))</f>
        <v>0.356584362139918</v>
      </c>
      <c r="S1618" s="18" t="n">
        <f aca="false">IFERROR(INDEX(SEMANAS!$H$6:$H$71,MATCH($B1618,SEMANAS!$B$6:$B$71,0)),0)</f>
        <v>32.2</v>
      </c>
      <c r="T1618" s="18" t="n">
        <f aca="false">$R1618*$S1618</f>
        <v>11.4820164609053</v>
      </c>
      <c r="U1618" s="18" t="n">
        <f aca="false">IFERROR(INDEX(SEMANAS!$I$6:$I$71,MATCH($B1618,SEMANAS!$B$6:$B$71,0)),0)</f>
        <v>37.24</v>
      </c>
      <c r="V1618" s="18" t="n">
        <f aca="false">IFERROR(INDEX(SEMANAS!$J$6:$J$71,MATCH($B1618,SEMANAS!$B$6:$B$71,0)),0)</f>
        <v>29.792</v>
      </c>
      <c r="W1618" s="18" t="n">
        <f aca="false">MAX(0,$T1618-$V1618)</f>
        <v>0</v>
      </c>
      <c r="X1618" s="19" t="n">
        <f aca="false">IFERROR(INDEX(CADASTRO_PIVOS!$K$6:$K$41,MATCH($E1618,CADASTRO_PIVOS!$B$6:$B$41,0)),EFICIENCIA_PADRAO)</f>
        <v>0.85</v>
      </c>
      <c r="Y1618" s="18" t="n">
        <f aca="false">IF($X1618&lt;=0,0,$W1618/$X1618)</f>
        <v>0</v>
      </c>
      <c r="Z1618" s="16" t="n">
        <f aca="false">$Y1618*$H1618*MM_PARA_M3_HA</f>
        <v>0</v>
      </c>
      <c r="AA1618" s="18" t="n">
        <f aca="false">IFERROR(INDEX(CADASTRO_PIVOS!$I$6:$I$41,MATCH($E1618,CADASTRO_PIVOS!$B$6:$B$41,0)),0)</f>
        <v>1049.64285714286</v>
      </c>
      <c r="AB1618" s="18" t="n">
        <f aca="false">IF($Z1618&lt;=0,0,$Z1618/$AA1618)</f>
        <v>0</v>
      </c>
      <c r="AC1618" s="16" t="n">
        <f aca="false">IFERROR(INDEX(SEMANAS!$K$6:$K$71,MATCH($B1618,SEMANAS!$B$6:$B$71,0)),0)</f>
        <v>147</v>
      </c>
      <c r="AD1618" s="19" t="n">
        <f aca="false">IF($AC1618&lt;=0,0,$AB1618/$AC1618)</f>
        <v>0</v>
      </c>
      <c r="AE1618" s="8" t="str">
        <f aca="false">IF($K1618="SEM CULTURA","SEM CULTURA",IF($AA1618&lt;=0,"DADO PENDENTE",IF($AD1618&gt;LIMITE_CRITICO,"INVIAVEL",IF($AD1618&gt;LIMITE_ATENCAO,"CRITICO",IF($AD1618&gt;LIMITE_CONFORTAVEL,"ATENCAO","OK")))))</f>
        <v>OK</v>
      </c>
      <c r="AF1618" s="8" t="str">
        <f aca="false">$B1618&amp;"|"&amp;TEXT($AD1618,"0.000000")</f>
        <v>29|0.000000</v>
      </c>
      <c r="AG1618" s="18" t="n">
        <f aca="false">IF($K1618="SEM CULTURA",0,$T1618*$H1618)</f>
        <v>1687.28231893004</v>
      </c>
      <c r="AH1618" s="18" t="n">
        <f aca="false">IF($K1618="SEM CULTURA",0,$V1618*$H1618)</f>
        <v>4377.9344</v>
      </c>
      <c r="AI1618" s="18" t="n">
        <f aca="false">IF($K1618="SEM CULTURA",0,$W1618*$H1618)</f>
        <v>0</v>
      </c>
      <c r="AJ1618" s="18" t="n">
        <f aca="false">IF($K1618="SEM CULTURA",0,$S1618*$H1618)</f>
        <v>4731.79</v>
      </c>
      <c r="AK1618" s="8" t="str">
        <f aca="false">$E1618&amp;"|"&amp;TEXT($AD1618,"0.000000")</f>
        <v>PV 121|0.000000</v>
      </c>
    </row>
    <row r="1619" customFormat="false" ht="15" hidden="false" customHeight="false" outlineLevel="0" collapsed="false">
      <c r="B1619" s="16" t="n">
        <v>30</v>
      </c>
      <c r="C1619" s="17" t="n">
        <f aca="false">DATA_INICIO_SAFRA+($B1619-1)*DIAS_POR_SEMANA</f>
        <v>46468</v>
      </c>
      <c r="D1619" s="17" t="n">
        <f aca="false">$C1619+DIAS_POR_SEMANA-1</f>
        <v>46474</v>
      </c>
      <c r="E1619" s="15" t="s">
        <v>283</v>
      </c>
      <c r="F1619" s="8" t="str">
        <f aca="false">IFERROR(INDEX(CADASTRO_PIVOS!$C$6:$C$41,MATCH($E1619,CADASTRO_PIVOS!$B$6:$B$41,0)),"?")</f>
        <v>RM07</v>
      </c>
      <c r="G1619" s="8" t="str">
        <f aca="false">IFERROR(INDEX(CADASTRO_PIVOS!$D$6:$D$41,MATCH($E1619,CADASTRO_PIVOS!$B$6:$B$41,0)),"?")</f>
        <v>TR07</v>
      </c>
      <c r="H1619" s="20" t="n">
        <f aca="false">IFERROR(INDEX(CADASTRO_PIVOS!$E$6:$E$41,MATCH($E1619,CADASTRO_PIVOS!$B$6:$B$41,0)),0)</f>
        <v>146.95</v>
      </c>
      <c r="I1619" s="16" t="n">
        <f aca="false">IFERROR(SUMIFS(ROTACAO_RDM!$B$6:$B$71,ROTACAO_RDM!$D$6:$D$71,$E1619,ROTACAO_RDM!$I$6:$I$71,"&lt;="&amp;$C1619+INT(DIAS_POR_SEMANA/2),ROTACAO_RDM!$J$6:$J$71,"&gt;="&amp;$C1619+INT(DIAS_POR_SEMANA/2)),0)</f>
        <v>37</v>
      </c>
      <c r="J1619" s="16" t="n">
        <f aca="false">IFERROR(MATCH($I1619,ROTACAO_RDM!$B$6:$B$71,0),0)</f>
        <v>37</v>
      </c>
      <c r="K1619" s="8" t="str">
        <f aca="false">IF($J1619=0,"SEM CULTURA",INDEX(ROTACAO_RDM!$F$6:$F$71,$J1619))</f>
        <v>ALGODAO</v>
      </c>
      <c r="L1619" s="8" t="str">
        <f aca="false">IF($J1619=0,"",INDEX(ROTACAO_RDM!$G$6:$G$71,$J1619))</f>
        <v>FM 911 GLTP</v>
      </c>
      <c r="M1619" s="17" t="n">
        <f aca="false">IF($J1619=0,"",INDEX(ROTACAO_RDM!$I$6:$I$71,$J1619))</f>
        <v>46433</v>
      </c>
      <c r="N1619" s="16" t="n">
        <f aca="false">IF($J1619=0,0,MAX(0,$C1619+INT(DIAS_POR_SEMANA/2)-INDEX(ROTACAO_RDM!$I$6:$I$71,$J1619)))</f>
        <v>38</v>
      </c>
      <c r="O1619" s="19" t="n">
        <f aca="false">IF($J1619=0,0,MIN(1,$N1619/MAX(1,INDEX(ROTACAO_RDM!$K$6:$K$71,$J1619))))</f>
        <v>0.211111111111111</v>
      </c>
      <c r="P1619" s="16" t="n">
        <f aca="false">IF($J1619=0,0,IFERROR(MATCH(INDEX(ROTACAO_RDM!$N$6:$N$71,$J1619),PARAMETROS_CULTURAS!$B$6:$B$28,0),0))</f>
        <v>4</v>
      </c>
      <c r="Q1619" s="8" t="str">
        <f aca="false">IF($P1619=0,"-",IF($O1619&lt;=INDEX(PARAMETROS_CULTURAS!$F$6:$F$28,$P1619),"INICIAL",IF($O1619&lt;=INDEX(PARAMETROS_CULTURAS!$F$6:$F$28,$P1619)+INDEX(PARAMETROS_CULTURAS!$G$6:$G$28,$P1619),"DESENVOLVIMENTO",IF($O1619&lt;=INDEX(PARAMETROS_CULTURAS!$F$6:$F$28,$P1619)+INDEX(PARAMETROS_CULTURAS!$G$6:$G$28,$P1619)+INDEX(PARAMETROS_CULTURAS!$H$6:$H$28,$P1619),"MEDIA","FINAL"))))</f>
        <v>DESENVOLVIMENTO</v>
      </c>
      <c r="R1619" s="24" t="n">
        <f aca="false">IF($P1619=0,0,IF($O1619&lt;=INDEX(PARAMETROS_CULTURAS!$F$6:$F$28,$P1619),INDEX(PARAMETROS_CULTURAS!$K$6:$K$28,$P1619),IF($O1619&lt;=INDEX(PARAMETROS_CULTURAS!$F$6:$F$28,$P1619)+INDEX(PARAMETROS_CULTURAS!$G$6:$G$28,$P1619),INDEX(PARAMETROS_CULTURAS!$K$6:$K$28,$P1619)+(INDEX(PARAMETROS_CULTURAS!$L$6:$L$28,$P1619)-INDEX(PARAMETROS_CULTURAS!$K$6:$K$28,$P1619))*($O1619-INDEX(PARAMETROS_CULTURAS!$F$6:$F$28,$P1619))/MAX(INDEX(PARAMETROS_CULTURAS!$G$6:$G$28,$P1619),0.0001),IF($O1619&lt;=INDEX(PARAMETROS_CULTURAS!$F$6:$F$28,$P1619)+INDEX(PARAMETROS_CULTURAS!$G$6:$G$28,$P1619)+INDEX(PARAMETROS_CULTURAS!$H$6:$H$28,$P1619),INDEX(PARAMETROS_CULTURAS!$L$6:$L$28,$P1619),INDEX(PARAMETROS_CULTURAS!$L$6:$L$28,$P1619)+(INDEX(PARAMETROS_CULTURAS!$M$6:$M$28,$P1619)-INDEX(PARAMETROS_CULTURAS!$L$6:$L$28,$P1619))*($O1619-INDEX(PARAMETROS_CULTURAS!$F$6:$F$28,$P1619)-INDEX(PARAMETROS_CULTURAS!$G$6:$G$28,$P1619)-INDEX(PARAMETROS_CULTURAS!$H$6:$H$28,$P1619))/MAX(INDEX(PARAMETROS_CULTURAS!$I$6:$I$28,$P1619),0.0001)))))</f>
        <v>0.471810699588477</v>
      </c>
      <c r="S1619" s="18" t="n">
        <f aca="false">IFERROR(INDEX(SEMANAS!$H$6:$H$71,MATCH($B1619,SEMANAS!$B$6:$B$71,0)),0)</f>
        <v>32.2</v>
      </c>
      <c r="T1619" s="18" t="n">
        <f aca="false">$R1619*$S1619</f>
        <v>15.192304526749</v>
      </c>
      <c r="U1619" s="18" t="n">
        <f aca="false">IFERROR(INDEX(SEMANAS!$I$6:$I$71,MATCH($B1619,SEMANAS!$B$6:$B$71,0)),0)</f>
        <v>37.24</v>
      </c>
      <c r="V1619" s="18" t="n">
        <f aca="false">IFERROR(INDEX(SEMANAS!$J$6:$J$71,MATCH($B1619,SEMANAS!$B$6:$B$71,0)),0)</f>
        <v>29.792</v>
      </c>
      <c r="W1619" s="18" t="n">
        <f aca="false">MAX(0,$T1619-$V1619)</f>
        <v>0</v>
      </c>
      <c r="X1619" s="19" t="n">
        <f aca="false">IFERROR(INDEX(CADASTRO_PIVOS!$K$6:$K$41,MATCH($E1619,CADASTRO_PIVOS!$B$6:$B$41,0)),EFICIENCIA_PADRAO)</f>
        <v>0.85</v>
      </c>
      <c r="Y1619" s="18" t="n">
        <f aca="false">IF($X1619&lt;=0,0,$W1619/$X1619)</f>
        <v>0</v>
      </c>
      <c r="Z1619" s="16" t="n">
        <f aca="false">$Y1619*$H1619*MM_PARA_M3_HA</f>
        <v>0</v>
      </c>
      <c r="AA1619" s="18" t="n">
        <f aca="false">IFERROR(INDEX(CADASTRO_PIVOS!$I$6:$I$41,MATCH($E1619,CADASTRO_PIVOS!$B$6:$B$41,0)),0)</f>
        <v>1049.64285714286</v>
      </c>
      <c r="AB1619" s="18" t="n">
        <f aca="false">IF($Z1619&lt;=0,0,$Z1619/$AA1619)</f>
        <v>0</v>
      </c>
      <c r="AC1619" s="16" t="n">
        <f aca="false">IFERROR(INDEX(SEMANAS!$K$6:$K$71,MATCH($B1619,SEMANAS!$B$6:$B$71,0)),0)</f>
        <v>147</v>
      </c>
      <c r="AD1619" s="19" t="n">
        <f aca="false">IF($AC1619&lt;=0,0,$AB1619/$AC1619)</f>
        <v>0</v>
      </c>
      <c r="AE1619" s="8" t="str">
        <f aca="false">IF($K1619="SEM CULTURA","SEM CULTURA",IF($AA1619&lt;=0,"DADO PENDENTE",IF($AD1619&gt;LIMITE_CRITICO,"INVIAVEL",IF($AD1619&gt;LIMITE_ATENCAO,"CRITICO",IF($AD1619&gt;LIMITE_CONFORTAVEL,"ATENCAO","OK")))))</f>
        <v>OK</v>
      </c>
      <c r="AF1619" s="8" t="str">
        <f aca="false">$B1619&amp;"|"&amp;TEXT($AD1619,"0.000000")</f>
        <v>30|0.000000</v>
      </c>
      <c r="AG1619" s="18" t="n">
        <f aca="false">IF($K1619="SEM CULTURA",0,$T1619*$H1619)</f>
        <v>2232.50915020576</v>
      </c>
      <c r="AH1619" s="18" t="n">
        <f aca="false">IF($K1619="SEM CULTURA",0,$V1619*$H1619)</f>
        <v>4377.9344</v>
      </c>
      <c r="AI1619" s="18" t="n">
        <f aca="false">IF($K1619="SEM CULTURA",0,$W1619*$H1619)</f>
        <v>0</v>
      </c>
      <c r="AJ1619" s="18" t="n">
        <f aca="false">IF($K1619="SEM CULTURA",0,$S1619*$H1619)</f>
        <v>4731.79</v>
      </c>
      <c r="AK1619" s="8" t="str">
        <f aca="false">$E1619&amp;"|"&amp;TEXT($AD1619,"0.000000")</f>
        <v>PV 121|0.000000</v>
      </c>
    </row>
    <row r="1620" customFormat="false" ht="15" hidden="false" customHeight="false" outlineLevel="0" collapsed="false">
      <c r="B1620" s="16" t="n">
        <v>31</v>
      </c>
      <c r="C1620" s="17" t="n">
        <f aca="false">DATA_INICIO_SAFRA+($B1620-1)*DIAS_POR_SEMANA</f>
        <v>46475</v>
      </c>
      <c r="D1620" s="17" t="n">
        <f aca="false">$C1620+DIAS_POR_SEMANA-1</f>
        <v>46481</v>
      </c>
      <c r="E1620" s="15" t="s">
        <v>283</v>
      </c>
      <c r="F1620" s="8" t="str">
        <f aca="false">IFERROR(INDEX(CADASTRO_PIVOS!$C$6:$C$41,MATCH($E1620,CADASTRO_PIVOS!$B$6:$B$41,0)),"?")</f>
        <v>RM07</v>
      </c>
      <c r="G1620" s="8" t="str">
        <f aca="false">IFERROR(INDEX(CADASTRO_PIVOS!$D$6:$D$41,MATCH($E1620,CADASTRO_PIVOS!$B$6:$B$41,0)),"?")</f>
        <v>TR07</v>
      </c>
      <c r="H1620" s="20" t="n">
        <f aca="false">IFERROR(INDEX(CADASTRO_PIVOS!$E$6:$E$41,MATCH($E1620,CADASTRO_PIVOS!$B$6:$B$41,0)),0)</f>
        <v>146.95</v>
      </c>
      <c r="I1620" s="16" t="n">
        <f aca="false">IFERROR(SUMIFS(ROTACAO_RDM!$B$6:$B$71,ROTACAO_RDM!$D$6:$D$71,$E1620,ROTACAO_RDM!$I$6:$I$71,"&lt;="&amp;$C1620+INT(DIAS_POR_SEMANA/2),ROTACAO_RDM!$J$6:$J$71,"&gt;="&amp;$C1620+INT(DIAS_POR_SEMANA/2)),0)</f>
        <v>37</v>
      </c>
      <c r="J1620" s="16" t="n">
        <f aca="false">IFERROR(MATCH($I1620,ROTACAO_RDM!$B$6:$B$71,0),0)</f>
        <v>37</v>
      </c>
      <c r="K1620" s="8" t="str">
        <f aca="false">IF($J1620=0,"SEM CULTURA",INDEX(ROTACAO_RDM!$F$6:$F$71,$J1620))</f>
        <v>ALGODAO</v>
      </c>
      <c r="L1620" s="8" t="str">
        <f aca="false">IF($J1620=0,"",INDEX(ROTACAO_RDM!$G$6:$G$71,$J1620))</f>
        <v>FM 911 GLTP</v>
      </c>
      <c r="M1620" s="17" t="n">
        <f aca="false">IF($J1620=0,"",INDEX(ROTACAO_RDM!$I$6:$I$71,$J1620))</f>
        <v>46433</v>
      </c>
      <c r="N1620" s="16" t="n">
        <f aca="false">IF($J1620=0,0,MAX(0,$C1620+INT(DIAS_POR_SEMANA/2)-INDEX(ROTACAO_RDM!$I$6:$I$71,$J1620)))</f>
        <v>45</v>
      </c>
      <c r="O1620" s="19" t="n">
        <f aca="false">IF($J1620=0,0,MIN(1,$N1620/MAX(1,INDEX(ROTACAO_RDM!$K$6:$K$71,$J1620))))</f>
        <v>0.25</v>
      </c>
      <c r="P1620" s="16" t="n">
        <f aca="false">IF($J1620=0,0,IFERROR(MATCH(INDEX(ROTACAO_RDM!$N$6:$N$71,$J1620),PARAMETROS_CULTURAS!$B$6:$B$28,0),0))</f>
        <v>4</v>
      </c>
      <c r="Q1620" s="8" t="str">
        <f aca="false">IF($P1620=0,"-",IF($O1620&lt;=INDEX(PARAMETROS_CULTURAS!$F$6:$F$28,$P1620),"INICIAL",IF($O1620&lt;=INDEX(PARAMETROS_CULTURAS!$F$6:$F$28,$P1620)+INDEX(PARAMETROS_CULTURAS!$G$6:$G$28,$P1620),"DESENVOLVIMENTO",IF($O1620&lt;=INDEX(PARAMETROS_CULTURAS!$F$6:$F$28,$P1620)+INDEX(PARAMETROS_CULTURAS!$G$6:$G$28,$P1620)+INDEX(PARAMETROS_CULTURAS!$H$6:$H$28,$P1620),"MEDIA","FINAL"))))</f>
        <v>DESENVOLVIMENTO</v>
      </c>
      <c r="R1620" s="24" t="n">
        <f aca="false">IF($P1620=0,0,IF($O1620&lt;=INDEX(PARAMETROS_CULTURAS!$F$6:$F$28,$P1620),INDEX(PARAMETROS_CULTURAS!$K$6:$K$28,$P1620),IF($O1620&lt;=INDEX(PARAMETROS_CULTURAS!$F$6:$F$28,$P1620)+INDEX(PARAMETROS_CULTURAS!$G$6:$G$28,$P1620),INDEX(PARAMETROS_CULTURAS!$K$6:$K$28,$P1620)+(INDEX(PARAMETROS_CULTURAS!$L$6:$L$28,$P1620)-INDEX(PARAMETROS_CULTURAS!$K$6:$K$28,$P1620))*($O1620-INDEX(PARAMETROS_CULTURAS!$F$6:$F$28,$P1620))/MAX(INDEX(PARAMETROS_CULTURAS!$G$6:$G$28,$P1620),0.0001),IF($O1620&lt;=INDEX(PARAMETROS_CULTURAS!$F$6:$F$28,$P1620)+INDEX(PARAMETROS_CULTURAS!$G$6:$G$28,$P1620)+INDEX(PARAMETROS_CULTURAS!$H$6:$H$28,$P1620),INDEX(PARAMETROS_CULTURAS!$L$6:$L$28,$P1620),INDEX(PARAMETROS_CULTURAS!$L$6:$L$28,$P1620)+(INDEX(PARAMETROS_CULTURAS!$M$6:$M$28,$P1620)-INDEX(PARAMETROS_CULTURAS!$L$6:$L$28,$P1620))*($O1620-INDEX(PARAMETROS_CULTURAS!$F$6:$F$28,$P1620)-INDEX(PARAMETROS_CULTURAS!$G$6:$G$28,$P1620)-INDEX(PARAMETROS_CULTURAS!$H$6:$H$28,$P1620))/MAX(INDEX(PARAMETROS_CULTURAS!$I$6:$I$28,$P1620),0.0001)))))</f>
        <v>0.587037037037037</v>
      </c>
      <c r="S1620" s="18" t="n">
        <f aca="false">IFERROR(INDEX(SEMANAS!$H$6:$H$71,MATCH($B1620,SEMANAS!$B$6:$B$71,0)),0)</f>
        <v>31.8</v>
      </c>
      <c r="T1620" s="18" t="n">
        <f aca="false">$R1620*$S1620</f>
        <v>18.6677777777778</v>
      </c>
      <c r="U1620" s="18" t="n">
        <f aca="false">IFERROR(INDEX(SEMANAS!$I$6:$I$71,MATCH($B1620,SEMANAS!$B$6:$B$71,0)),0)</f>
        <v>25.28</v>
      </c>
      <c r="V1620" s="18" t="n">
        <f aca="false">IFERROR(INDEX(SEMANAS!$J$6:$J$71,MATCH($B1620,SEMANAS!$B$6:$B$71,0)),0)</f>
        <v>20.224</v>
      </c>
      <c r="W1620" s="18" t="n">
        <f aca="false">MAX(0,$T1620-$V1620)</f>
        <v>0</v>
      </c>
      <c r="X1620" s="19" t="n">
        <f aca="false">IFERROR(INDEX(CADASTRO_PIVOS!$K$6:$K$41,MATCH($E1620,CADASTRO_PIVOS!$B$6:$B$41,0)),EFICIENCIA_PADRAO)</f>
        <v>0.85</v>
      </c>
      <c r="Y1620" s="18" t="n">
        <f aca="false">IF($X1620&lt;=0,0,$W1620/$X1620)</f>
        <v>0</v>
      </c>
      <c r="Z1620" s="16" t="n">
        <f aca="false">$Y1620*$H1620*MM_PARA_M3_HA</f>
        <v>0</v>
      </c>
      <c r="AA1620" s="18" t="n">
        <f aca="false">IFERROR(INDEX(CADASTRO_PIVOS!$I$6:$I$41,MATCH($E1620,CADASTRO_PIVOS!$B$6:$B$41,0)),0)</f>
        <v>1049.64285714286</v>
      </c>
      <c r="AB1620" s="18" t="n">
        <f aca="false">IF($Z1620&lt;=0,0,$Z1620/$AA1620)</f>
        <v>0</v>
      </c>
      <c r="AC1620" s="16" t="n">
        <f aca="false">IFERROR(INDEX(SEMANAS!$K$6:$K$71,MATCH($B1620,SEMANAS!$B$6:$B$71,0)),0)</f>
        <v>147</v>
      </c>
      <c r="AD1620" s="19" t="n">
        <f aca="false">IF($AC1620&lt;=0,0,$AB1620/$AC1620)</f>
        <v>0</v>
      </c>
      <c r="AE1620" s="8" t="str">
        <f aca="false">IF($K1620="SEM CULTURA","SEM CULTURA",IF($AA1620&lt;=0,"DADO PENDENTE",IF($AD1620&gt;LIMITE_CRITICO,"INVIAVEL",IF($AD1620&gt;LIMITE_ATENCAO,"CRITICO",IF($AD1620&gt;LIMITE_CONFORTAVEL,"ATENCAO","OK")))))</f>
        <v>OK</v>
      </c>
      <c r="AF1620" s="8" t="str">
        <f aca="false">$B1620&amp;"|"&amp;TEXT($AD1620,"0.000000")</f>
        <v>31|0.000000</v>
      </c>
      <c r="AG1620" s="18" t="n">
        <f aca="false">IF($K1620="SEM CULTURA",0,$T1620*$H1620)</f>
        <v>2743.22994444444</v>
      </c>
      <c r="AH1620" s="18" t="n">
        <f aca="false">IF($K1620="SEM CULTURA",0,$V1620*$H1620)</f>
        <v>2971.9168</v>
      </c>
      <c r="AI1620" s="18" t="n">
        <f aca="false">IF($K1620="SEM CULTURA",0,$W1620*$H1620)</f>
        <v>0</v>
      </c>
      <c r="AJ1620" s="18" t="n">
        <f aca="false">IF($K1620="SEM CULTURA",0,$S1620*$H1620)</f>
        <v>4673.01</v>
      </c>
      <c r="AK1620" s="8" t="str">
        <f aca="false">$E1620&amp;"|"&amp;TEXT($AD1620,"0.000000")</f>
        <v>PV 121|0.000000</v>
      </c>
    </row>
    <row r="1621" customFormat="false" ht="15" hidden="false" customHeight="false" outlineLevel="0" collapsed="false">
      <c r="B1621" s="16" t="n">
        <v>32</v>
      </c>
      <c r="C1621" s="17" t="n">
        <f aca="false">DATA_INICIO_SAFRA+($B1621-1)*DIAS_POR_SEMANA</f>
        <v>46482</v>
      </c>
      <c r="D1621" s="17" t="n">
        <f aca="false">$C1621+DIAS_POR_SEMANA-1</f>
        <v>46488</v>
      </c>
      <c r="E1621" s="15" t="s">
        <v>283</v>
      </c>
      <c r="F1621" s="8" t="str">
        <f aca="false">IFERROR(INDEX(CADASTRO_PIVOS!$C$6:$C$41,MATCH($E1621,CADASTRO_PIVOS!$B$6:$B$41,0)),"?")</f>
        <v>RM07</v>
      </c>
      <c r="G1621" s="8" t="str">
        <f aca="false">IFERROR(INDEX(CADASTRO_PIVOS!$D$6:$D$41,MATCH($E1621,CADASTRO_PIVOS!$B$6:$B$41,0)),"?")</f>
        <v>TR07</v>
      </c>
      <c r="H1621" s="20" t="n">
        <f aca="false">IFERROR(INDEX(CADASTRO_PIVOS!$E$6:$E$41,MATCH($E1621,CADASTRO_PIVOS!$B$6:$B$41,0)),0)</f>
        <v>146.95</v>
      </c>
      <c r="I1621" s="16" t="n">
        <f aca="false">IFERROR(SUMIFS(ROTACAO_RDM!$B$6:$B$71,ROTACAO_RDM!$D$6:$D$71,$E1621,ROTACAO_RDM!$I$6:$I$71,"&lt;="&amp;$C1621+INT(DIAS_POR_SEMANA/2),ROTACAO_RDM!$J$6:$J$71,"&gt;="&amp;$C1621+INT(DIAS_POR_SEMANA/2)),0)</f>
        <v>37</v>
      </c>
      <c r="J1621" s="16" t="n">
        <f aca="false">IFERROR(MATCH($I1621,ROTACAO_RDM!$B$6:$B$71,0),0)</f>
        <v>37</v>
      </c>
      <c r="K1621" s="8" t="str">
        <f aca="false">IF($J1621=0,"SEM CULTURA",INDEX(ROTACAO_RDM!$F$6:$F$71,$J1621))</f>
        <v>ALGODAO</v>
      </c>
      <c r="L1621" s="8" t="str">
        <f aca="false">IF($J1621=0,"",INDEX(ROTACAO_RDM!$G$6:$G$71,$J1621))</f>
        <v>FM 911 GLTP</v>
      </c>
      <c r="M1621" s="17" t="n">
        <f aca="false">IF($J1621=0,"",INDEX(ROTACAO_RDM!$I$6:$I$71,$J1621))</f>
        <v>46433</v>
      </c>
      <c r="N1621" s="16" t="n">
        <f aca="false">IF($J1621=0,0,MAX(0,$C1621+INT(DIAS_POR_SEMANA/2)-INDEX(ROTACAO_RDM!$I$6:$I$71,$J1621)))</f>
        <v>52</v>
      </c>
      <c r="O1621" s="19" t="n">
        <f aca="false">IF($J1621=0,0,MIN(1,$N1621/MAX(1,INDEX(ROTACAO_RDM!$K$6:$K$71,$J1621))))</f>
        <v>0.288888888888889</v>
      </c>
      <c r="P1621" s="16" t="n">
        <f aca="false">IF($J1621=0,0,IFERROR(MATCH(INDEX(ROTACAO_RDM!$N$6:$N$71,$J1621),PARAMETROS_CULTURAS!$B$6:$B$28,0),0))</f>
        <v>4</v>
      </c>
      <c r="Q1621" s="8" t="str">
        <f aca="false">IF($P1621=0,"-",IF($O1621&lt;=INDEX(PARAMETROS_CULTURAS!$F$6:$F$28,$P1621),"INICIAL",IF($O1621&lt;=INDEX(PARAMETROS_CULTURAS!$F$6:$F$28,$P1621)+INDEX(PARAMETROS_CULTURAS!$G$6:$G$28,$P1621),"DESENVOLVIMENTO",IF($O1621&lt;=INDEX(PARAMETROS_CULTURAS!$F$6:$F$28,$P1621)+INDEX(PARAMETROS_CULTURAS!$G$6:$G$28,$P1621)+INDEX(PARAMETROS_CULTURAS!$H$6:$H$28,$P1621),"MEDIA","FINAL"))))</f>
        <v>DESENVOLVIMENTO</v>
      </c>
      <c r="R1621" s="24" t="n">
        <f aca="false">IF($P1621=0,0,IF($O1621&lt;=INDEX(PARAMETROS_CULTURAS!$F$6:$F$28,$P1621),INDEX(PARAMETROS_CULTURAS!$K$6:$K$28,$P1621),IF($O1621&lt;=INDEX(PARAMETROS_CULTURAS!$F$6:$F$28,$P1621)+INDEX(PARAMETROS_CULTURAS!$G$6:$G$28,$P1621),INDEX(PARAMETROS_CULTURAS!$K$6:$K$28,$P1621)+(INDEX(PARAMETROS_CULTURAS!$L$6:$L$28,$P1621)-INDEX(PARAMETROS_CULTURAS!$K$6:$K$28,$P1621))*($O1621-INDEX(PARAMETROS_CULTURAS!$F$6:$F$28,$P1621))/MAX(INDEX(PARAMETROS_CULTURAS!$G$6:$G$28,$P1621),0.0001),IF($O1621&lt;=INDEX(PARAMETROS_CULTURAS!$F$6:$F$28,$P1621)+INDEX(PARAMETROS_CULTURAS!$G$6:$G$28,$P1621)+INDEX(PARAMETROS_CULTURAS!$H$6:$H$28,$P1621),INDEX(PARAMETROS_CULTURAS!$L$6:$L$28,$P1621),INDEX(PARAMETROS_CULTURAS!$L$6:$L$28,$P1621)+(INDEX(PARAMETROS_CULTURAS!$M$6:$M$28,$P1621)-INDEX(PARAMETROS_CULTURAS!$L$6:$L$28,$P1621))*($O1621-INDEX(PARAMETROS_CULTURAS!$F$6:$F$28,$P1621)-INDEX(PARAMETROS_CULTURAS!$G$6:$G$28,$P1621)-INDEX(PARAMETROS_CULTURAS!$H$6:$H$28,$P1621))/MAX(INDEX(PARAMETROS_CULTURAS!$I$6:$I$28,$P1621),0.0001)))))</f>
        <v>0.702263374485597</v>
      </c>
      <c r="S1621" s="18" t="n">
        <f aca="false">IFERROR(INDEX(SEMANAS!$H$6:$H$71,MATCH($B1621,SEMANAS!$B$6:$B$71,0)),0)</f>
        <v>31.5</v>
      </c>
      <c r="T1621" s="18" t="n">
        <f aca="false">$R1621*$S1621</f>
        <v>22.1212962962963</v>
      </c>
      <c r="U1621" s="18" t="n">
        <f aca="false">IFERROR(INDEX(SEMANAS!$I$6:$I$71,MATCH($B1621,SEMANAS!$B$6:$B$71,0)),0)</f>
        <v>16.31</v>
      </c>
      <c r="V1621" s="18" t="n">
        <f aca="false">IFERROR(INDEX(SEMANAS!$J$6:$J$71,MATCH($B1621,SEMANAS!$B$6:$B$71,0)),0)</f>
        <v>13.048</v>
      </c>
      <c r="W1621" s="18" t="n">
        <f aca="false">MAX(0,$T1621-$V1621)</f>
        <v>9.07329629629629</v>
      </c>
      <c r="X1621" s="19" t="n">
        <f aca="false">IFERROR(INDEX(CADASTRO_PIVOS!$K$6:$K$41,MATCH($E1621,CADASTRO_PIVOS!$B$6:$B$41,0)),EFICIENCIA_PADRAO)</f>
        <v>0.85</v>
      </c>
      <c r="Y1621" s="18" t="n">
        <f aca="false">IF($X1621&lt;=0,0,$W1621/$X1621)</f>
        <v>10.6744662309368</v>
      </c>
      <c r="Z1621" s="16" t="n">
        <f aca="false">$Y1621*$H1621*MM_PARA_M3_HA</f>
        <v>15686.1281263616</v>
      </c>
      <c r="AA1621" s="18" t="n">
        <f aca="false">IFERROR(INDEX(CADASTRO_PIVOS!$I$6:$I$41,MATCH($E1621,CADASTRO_PIVOS!$B$6:$B$41,0)),0)</f>
        <v>1049.64285714286</v>
      </c>
      <c r="AB1621" s="18" t="n">
        <f aca="false">IF($Z1621&lt;=0,0,$Z1621/$AA1621)</f>
        <v>14.9442527233115</v>
      </c>
      <c r="AC1621" s="16" t="n">
        <f aca="false">IFERROR(INDEX(SEMANAS!$K$6:$K$71,MATCH($B1621,SEMANAS!$B$6:$B$71,0)),0)</f>
        <v>147</v>
      </c>
      <c r="AD1621" s="19" t="n">
        <f aca="false">IF($AC1621&lt;=0,0,$AB1621/$AC1621)</f>
        <v>0.101661583151779</v>
      </c>
      <c r="AE1621" s="8" t="str">
        <f aca="false">IF($K1621="SEM CULTURA","SEM CULTURA",IF($AA1621&lt;=0,"DADO PENDENTE",IF($AD1621&gt;LIMITE_CRITICO,"INVIAVEL",IF($AD1621&gt;LIMITE_ATENCAO,"CRITICO",IF($AD1621&gt;LIMITE_CONFORTAVEL,"ATENCAO","OK")))))</f>
        <v>OK</v>
      </c>
      <c r="AF1621" s="8" t="str">
        <f aca="false">$B1621&amp;"|"&amp;TEXT($AD1621,"0.000000")</f>
        <v>32|0.101662</v>
      </c>
      <c r="AG1621" s="18" t="n">
        <f aca="false">IF($K1621="SEM CULTURA",0,$T1621*$H1621)</f>
        <v>3250.72449074074</v>
      </c>
      <c r="AH1621" s="18" t="n">
        <f aca="false">IF($K1621="SEM CULTURA",0,$V1621*$H1621)</f>
        <v>1917.4036</v>
      </c>
      <c r="AI1621" s="18" t="n">
        <f aca="false">IF($K1621="SEM CULTURA",0,$W1621*$H1621)</f>
        <v>1333.32089074074</v>
      </c>
      <c r="AJ1621" s="18" t="n">
        <f aca="false">IF($K1621="SEM CULTURA",0,$S1621*$H1621)</f>
        <v>4628.925</v>
      </c>
      <c r="AK1621" s="8" t="str">
        <f aca="false">$E1621&amp;"|"&amp;TEXT($AD1621,"0.000000")</f>
        <v>PV 121|0.101662</v>
      </c>
    </row>
    <row r="1622" customFormat="false" ht="15" hidden="false" customHeight="false" outlineLevel="0" collapsed="false">
      <c r="B1622" s="16" t="n">
        <v>33</v>
      </c>
      <c r="C1622" s="17" t="n">
        <f aca="false">DATA_INICIO_SAFRA+($B1622-1)*DIAS_POR_SEMANA</f>
        <v>46489</v>
      </c>
      <c r="D1622" s="17" t="n">
        <f aca="false">$C1622+DIAS_POR_SEMANA-1</f>
        <v>46495</v>
      </c>
      <c r="E1622" s="15" t="s">
        <v>283</v>
      </c>
      <c r="F1622" s="8" t="str">
        <f aca="false">IFERROR(INDEX(CADASTRO_PIVOS!$C$6:$C$41,MATCH($E1622,CADASTRO_PIVOS!$B$6:$B$41,0)),"?")</f>
        <v>RM07</v>
      </c>
      <c r="G1622" s="8" t="str">
        <f aca="false">IFERROR(INDEX(CADASTRO_PIVOS!$D$6:$D$41,MATCH($E1622,CADASTRO_PIVOS!$B$6:$B$41,0)),"?")</f>
        <v>TR07</v>
      </c>
      <c r="H1622" s="20" t="n">
        <f aca="false">IFERROR(INDEX(CADASTRO_PIVOS!$E$6:$E$41,MATCH($E1622,CADASTRO_PIVOS!$B$6:$B$41,0)),0)</f>
        <v>146.95</v>
      </c>
      <c r="I1622" s="16" t="n">
        <f aca="false">IFERROR(SUMIFS(ROTACAO_RDM!$B$6:$B$71,ROTACAO_RDM!$D$6:$D$71,$E1622,ROTACAO_RDM!$I$6:$I$71,"&lt;="&amp;$C1622+INT(DIAS_POR_SEMANA/2),ROTACAO_RDM!$J$6:$J$71,"&gt;="&amp;$C1622+INT(DIAS_POR_SEMANA/2)),0)</f>
        <v>37</v>
      </c>
      <c r="J1622" s="16" t="n">
        <f aca="false">IFERROR(MATCH($I1622,ROTACAO_RDM!$B$6:$B$71,0),0)</f>
        <v>37</v>
      </c>
      <c r="K1622" s="8" t="str">
        <f aca="false">IF($J1622=0,"SEM CULTURA",INDEX(ROTACAO_RDM!$F$6:$F$71,$J1622))</f>
        <v>ALGODAO</v>
      </c>
      <c r="L1622" s="8" t="str">
        <f aca="false">IF($J1622=0,"",INDEX(ROTACAO_RDM!$G$6:$G$71,$J1622))</f>
        <v>FM 911 GLTP</v>
      </c>
      <c r="M1622" s="17" t="n">
        <f aca="false">IF($J1622=0,"",INDEX(ROTACAO_RDM!$I$6:$I$71,$J1622))</f>
        <v>46433</v>
      </c>
      <c r="N1622" s="16" t="n">
        <f aca="false">IF($J1622=0,0,MAX(0,$C1622+INT(DIAS_POR_SEMANA/2)-INDEX(ROTACAO_RDM!$I$6:$I$71,$J1622)))</f>
        <v>59</v>
      </c>
      <c r="O1622" s="19" t="n">
        <f aca="false">IF($J1622=0,0,MIN(1,$N1622/MAX(1,INDEX(ROTACAO_RDM!$K$6:$K$71,$J1622))))</f>
        <v>0.327777777777778</v>
      </c>
      <c r="P1622" s="16" t="n">
        <f aca="false">IF($J1622=0,0,IFERROR(MATCH(INDEX(ROTACAO_RDM!$N$6:$N$71,$J1622),PARAMETROS_CULTURAS!$B$6:$B$28,0),0))</f>
        <v>4</v>
      </c>
      <c r="Q1622" s="8" t="str">
        <f aca="false">IF($P1622=0,"-",IF($O1622&lt;=INDEX(PARAMETROS_CULTURAS!$F$6:$F$28,$P1622),"INICIAL",IF($O1622&lt;=INDEX(PARAMETROS_CULTURAS!$F$6:$F$28,$P1622)+INDEX(PARAMETROS_CULTURAS!$G$6:$G$28,$P1622),"DESENVOLVIMENTO",IF($O1622&lt;=INDEX(PARAMETROS_CULTURAS!$F$6:$F$28,$P1622)+INDEX(PARAMETROS_CULTURAS!$G$6:$G$28,$P1622)+INDEX(PARAMETROS_CULTURAS!$H$6:$H$28,$P1622),"MEDIA","FINAL"))))</f>
        <v>DESENVOLVIMENTO</v>
      </c>
      <c r="R1622" s="24" t="n">
        <f aca="false">IF($P1622=0,0,IF($O1622&lt;=INDEX(PARAMETROS_CULTURAS!$F$6:$F$28,$P1622),INDEX(PARAMETROS_CULTURAS!$K$6:$K$28,$P1622),IF($O1622&lt;=INDEX(PARAMETROS_CULTURAS!$F$6:$F$28,$P1622)+INDEX(PARAMETROS_CULTURAS!$G$6:$G$28,$P1622),INDEX(PARAMETROS_CULTURAS!$K$6:$K$28,$P1622)+(INDEX(PARAMETROS_CULTURAS!$L$6:$L$28,$P1622)-INDEX(PARAMETROS_CULTURAS!$K$6:$K$28,$P1622))*($O1622-INDEX(PARAMETROS_CULTURAS!$F$6:$F$28,$P1622))/MAX(INDEX(PARAMETROS_CULTURAS!$G$6:$G$28,$P1622),0.0001),IF($O1622&lt;=INDEX(PARAMETROS_CULTURAS!$F$6:$F$28,$P1622)+INDEX(PARAMETROS_CULTURAS!$G$6:$G$28,$P1622)+INDEX(PARAMETROS_CULTURAS!$H$6:$H$28,$P1622),INDEX(PARAMETROS_CULTURAS!$L$6:$L$28,$P1622),INDEX(PARAMETROS_CULTURAS!$L$6:$L$28,$P1622)+(INDEX(PARAMETROS_CULTURAS!$M$6:$M$28,$P1622)-INDEX(PARAMETROS_CULTURAS!$L$6:$L$28,$P1622))*($O1622-INDEX(PARAMETROS_CULTURAS!$F$6:$F$28,$P1622)-INDEX(PARAMETROS_CULTURAS!$G$6:$G$28,$P1622)-INDEX(PARAMETROS_CULTURAS!$H$6:$H$28,$P1622))/MAX(INDEX(PARAMETROS_CULTURAS!$I$6:$I$28,$P1622),0.0001)))))</f>
        <v>0.817489711934156</v>
      </c>
      <c r="S1622" s="18" t="n">
        <f aca="false">IFERROR(INDEX(SEMANAS!$H$6:$H$71,MATCH($B1622,SEMANAS!$B$6:$B$71,0)),0)</f>
        <v>31.5</v>
      </c>
      <c r="T1622" s="18" t="n">
        <f aca="false">$R1622*$S1622</f>
        <v>25.7509259259259</v>
      </c>
      <c r="U1622" s="18" t="n">
        <f aca="false">IFERROR(INDEX(SEMANAS!$I$6:$I$71,MATCH($B1622,SEMANAS!$B$6:$B$71,0)),0)</f>
        <v>16.31</v>
      </c>
      <c r="V1622" s="18" t="n">
        <f aca="false">IFERROR(INDEX(SEMANAS!$J$6:$J$71,MATCH($B1622,SEMANAS!$B$6:$B$71,0)),0)</f>
        <v>13.048</v>
      </c>
      <c r="W1622" s="18" t="n">
        <f aca="false">MAX(0,$T1622-$V1622)</f>
        <v>12.7029259259259</v>
      </c>
      <c r="X1622" s="19" t="n">
        <f aca="false">IFERROR(INDEX(CADASTRO_PIVOS!$K$6:$K$41,MATCH($E1622,CADASTRO_PIVOS!$B$6:$B$41,0)),EFICIENCIA_PADRAO)</f>
        <v>0.85</v>
      </c>
      <c r="Y1622" s="18" t="n">
        <f aca="false">IF($X1622&lt;=0,0,$W1622/$X1622)</f>
        <v>14.9446187363834</v>
      </c>
      <c r="Z1622" s="16" t="n">
        <f aca="false">$Y1622*$H1622*MM_PARA_M3_HA</f>
        <v>21961.1172331155</v>
      </c>
      <c r="AA1622" s="18" t="n">
        <f aca="false">IFERROR(INDEX(CADASTRO_PIVOS!$I$6:$I$41,MATCH($E1622,CADASTRO_PIVOS!$B$6:$B$41,0)),0)</f>
        <v>1049.64285714286</v>
      </c>
      <c r="AB1622" s="18" t="n">
        <f aca="false">IF($Z1622&lt;=0,0,$Z1622/$AA1622)</f>
        <v>20.9224662309368</v>
      </c>
      <c r="AC1622" s="16" t="n">
        <f aca="false">IFERROR(INDEX(SEMANAS!$K$6:$K$71,MATCH($B1622,SEMANAS!$B$6:$B$71,0)),0)</f>
        <v>147</v>
      </c>
      <c r="AD1622" s="19" t="n">
        <f aca="false">IF($AC1622&lt;=0,0,$AB1622/$AC1622)</f>
        <v>0.142329702251271</v>
      </c>
      <c r="AE1622" s="8" t="str">
        <f aca="false">IF($K1622="SEM CULTURA","SEM CULTURA",IF($AA1622&lt;=0,"DADO PENDENTE",IF($AD1622&gt;LIMITE_CRITICO,"INVIAVEL",IF($AD1622&gt;LIMITE_ATENCAO,"CRITICO",IF($AD1622&gt;LIMITE_CONFORTAVEL,"ATENCAO","OK")))))</f>
        <v>OK</v>
      </c>
      <c r="AF1622" s="8" t="str">
        <f aca="false">$B1622&amp;"|"&amp;TEXT($AD1622,"0.000000")</f>
        <v>33|0.142330</v>
      </c>
      <c r="AG1622" s="18" t="n">
        <f aca="false">IF($K1622="SEM CULTURA",0,$T1622*$H1622)</f>
        <v>3784.09856481481</v>
      </c>
      <c r="AH1622" s="18" t="n">
        <f aca="false">IF($K1622="SEM CULTURA",0,$V1622*$H1622)</f>
        <v>1917.4036</v>
      </c>
      <c r="AI1622" s="18" t="n">
        <f aca="false">IF($K1622="SEM CULTURA",0,$W1622*$H1622)</f>
        <v>1866.69496481481</v>
      </c>
      <c r="AJ1622" s="18" t="n">
        <f aca="false">IF($K1622="SEM CULTURA",0,$S1622*$H1622)</f>
        <v>4628.925</v>
      </c>
      <c r="AK1622" s="8" t="str">
        <f aca="false">$E1622&amp;"|"&amp;TEXT($AD1622,"0.000000")</f>
        <v>PV 121|0.142330</v>
      </c>
    </row>
    <row r="1623" customFormat="false" ht="15" hidden="false" customHeight="false" outlineLevel="0" collapsed="false">
      <c r="B1623" s="16" t="n">
        <v>34</v>
      </c>
      <c r="C1623" s="17" t="n">
        <f aca="false">DATA_INICIO_SAFRA+($B1623-1)*DIAS_POR_SEMANA</f>
        <v>46496</v>
      </c>
      <c r="D1623" s="17" t="n">
        <f aca="false">$C1623+DIAS_POR_SEMANA-1</f>
        <v>46502</v>
      </c>
      <c r="E1623" s="15" t="s">
        <v>283</v>
      </c>
      <c r="F1623" s="8" t="str">
        <f aca="false">IFERROR(INDEX(CADASTRO_PIVOS!$C$6:$C$41,MATCH($E1623,CADASTRO_PIVOS!$B$6:$B$41,0)),"?")</f>
        <v>RM07</v>
      </c>
      <c r="G1623" s="8" t="str">
        <f aca="false">IFERROR(INDEX(CADASTRO_PIVOS!$D$6:$D$41,MATCH($E1623,CADASTRO_PIVOS!$B$6:$B$41,0)),"?")</f>
        <v>TR07</v>
      </c>
      <c r="H1623" s="20" t="n">
        <f aca="false">IFERROR(INDEX(CADASTRO_PIVOS!$E$6:$E$41,MATCH($E1623,CADASTRO_PIVOS!$B$6:$B$41,0)),0)</f>
        <v>146.95</v>
      </c>
      <c r="I1623" s="16" t="n">
        <f aca="false">IFERROR(SUMIFS(ROTACAO_RDM!$B$6:$B$71,ROTACAO_RDM!$D$6:$D$71,$E1623,ROTACAO_RDM!$I$6:$I$71,"&lt;="&amp;$C1623+INT(DIAS_POR_SEMANA/2),ROTACAO_RDM!$J$6:$J$71,"&gt;="&amp;$C1623+INT(DIAS_POR_SEMANA/2)),0)</f>
        <v>37</v>
      </c>
      <c r="J1623" s="16" t="n">
        <f aca="false">IFERROR(MATCH($I1623,ROTACAO_RDM!$B$6:$B$71,0),0)</f>
        <v>37</v>
      </c>
      <c r="K1623" s="8" t="str">
        <f aca="false">IF($J1623=0,"SEM CULTURA",INDEX(ROTACAO_RDM!$F$6:$F$71,$J1623))</f>
        <v>ALGODAO</v>
      </c>
      <c r="L1623" s="8" t="str">
        <f aca="false">IF($J1623=0,"",INDEX(ROTACAO_RDM!$G$6:$G$71,$J1623))</f>
        <v>FM 911 GLTP</v>
      </c>
      <c r="M1623" s="17" t="n">
        <f aca="false">IF($J1623=0,"",INDEX(ROTACAO_RDM!$I$6:$I$71,$J1623))</f>
        <v>46433</v>
      </c>
      <c r="N1623" s="16" t="n">
        <f aca="false">IF($J1623=0,0,MAX(0,$C1623+INT(DIAS_POR_SEMANA/2)-INDEX(ROTACAO_RDM!$I$6:$I$71,$J1623)))</f>
        <v>66</v>
      </c>
      <c r="O1623" s="19" t="n">
        <f aca="false">IF($J1623=0,0,MIN(1,$N1623/MAX(1,INDEX(ROTACAO_RDM!$K$6:$K$71,$J1623))))</f>
        <v>0.366666666666667</v>
      </c>
      <c r="P1623" s="16" t="n">
        <f aca="false">IF($J1623=0,0,IFERROR(MATCH(INDEX(ROTACAO_RDM!$N$6:$N$71,$J1623),PARAMETROS_CULTURAS!$B$6:$B$28,0),0))</f>
        <v>4</v>
      </c>
      <c r="Q1623" s="8" t="str">
        <f aca="false">IF($P1623=0,"-",IF($O1623&lt;=INDEX(PARAMETROS_CULTURAS!$F$6:$F$28,$P1623),"INICIAL",IF($O1623&lt;=INDEX(PARAMETROS_CULTURAS!$F$6:$F$28,$P1623)+INDEX(PARAMETROS_CULTURAS!$G$6:$G$28,$P1623),"DESENVOLVIMENTO",IF($O1623&lt;=INDEX(PARAMETROS_CULTURAS!$F$6:$F$28,$P1623)+INDEX(PARAMETROS_CULTURAS!$G$6:$G$28,$P1623)+INDEX(PARAMETROS_CULTURAS!$H$6:$H$28,$P1623),"MEDIA","FINAL"))))</f>
        <v>DESENVOLVIMENTO</v>
      </c>
      <c r="R1623" s="24" t="n">
        <f aca="false">IF($P1623=0,0,IF($O1623&lt;=INDEX(PARAMETROS_CULTURAS!$F$6:$F$28,$P1623),INDEX(PARAMETROS_CULTURAS!$K$6:$K$28,$P1623),IF($O1623&lt;=INDEX(PARAMETROS_CULTURAS!$F$6:$F$28,$P1623)+INDEX(PARAMETROS_CULTURAS!$G$6:$G$28,$P1623),INDEX(PARAMETROS_CULTURAS!$K$6:$K$28,$P1623)+(INDEX(PARAMETROS_CULTURAS!$L$6:$L$28,$P1623)-INDEX(PARAMETROS_CULTURAS!$K$6:$K$28,$P1623))*($O1623-INDEX(PARAMETROS_CULTURAS!$F$6:$F$28,$P1623))/MAX(INDEX(PARAMETROS_CULTURAS!$G$6:$G$28,$P1623),0.0001),IF($O1623&lt;=INDEX(PARAMETROS_CULTURAS!$F$6:$F$28,$P1623)+INDEX(PARAMETROS_CULTURAS!$G$6:$G$28,$P1623)+INDEX(PARAMETROS_CULTURAS!$H$6:$H$28,$P1623),INDEX(PARAMETROS_CULTURAS!$L$6:$L$28,$P1623),INDEX(PARAMETROS_CULTURAS!$L$6:$L$28,$P1623)+(INDEX(PARAMETROS_CULTURAS!$M$6:$M$28,$P1623)-INDEX(PARAMETROS_CULTURAS!$L$6:$L$28,$P1623))*($O1623-INDEX(PARAMETROS_CULTURAS!$F$6:$F$28,$P1623)-INDEX(PARAMETROS_CULTURAS!$G$6:$G$28,$P1623)-INDEX(PARAMETROS_CULTURAS!$H$6:$H$28,$P1623))/MAX(INDEX(PARAMETROS_CULTURAS!$I$6:$I$28,$P1623),0.0001)))))</f>
        <v>0.932716049382716</v>
      </c>
      <c r="S1623" s="18" t="n">
        <f aca="false">IFERROR(INDEX(SEMANAS!$H$6:$H$71,MATCH($B1623,SEMANAS!$B$6:$B$71,0)),0)</f>
        <v>31.5</v>
      </c>
      <c r="T1623" s="18" t="n">
        <f aca="false">$R1623*$S1623</f>
        <v>29.3805555555556</v>
      </c>
      <c r="U1623" s="18" t="n">
        <f aca="false">IFERROR(INDEX(SEMANAS!$I$6:$I$71,MATCH($B1623,SEMANAS!$B$6:$B$71,0)),0)</f>
        <v>16.31</v>
      </c>
      <c r="V1623" s="18" t="n">
        <f aca="false">IFERROR(INDEX(SEMANAS!$J$6:$J$71,MATCH($B1623,SEMANAS!$B$6:$B$71,0)),0)</f>
        <v>13.048</v>
      </c>
      <c r="W1623" s="18" t="n">
        <f aca="false">MAX(0,$T1623-$V1623)</f>
        <v>16.3325555555556</v>
      </c>
      <c r="X1623" s="19" t="n">
        <f aca="false">IFERROR(INDEX(CADASTRO_PIVOS!$K$6:$K$41,MATCH($E1623,CADASTRO_PIVOS!$B$6:$B$41,0)),EFICIENCIA_PADRAO)</f>
        <v>0.85</v>
      </c>
      <c r="Y1623" s="18" t="n">
        <f aca="false">IF($X1623&lt;=0,0,$W1623/$X1623)</f>
        <v>19.2147712418301</v>
      </c>
      <c r="Z1623" s="16" t="n">
        <f aca="false">$Y1623*$H1623*MM_PARA_M3_HA</f>
        <v>28236.1063398693</v>
      </c>
      <c r="AA1623" s="18" t="n">
        <f aca="false">IFERROR(INDEX(CADASTRO_PIVOS!$I$6:$I$41,MATCH($E1623,CADASTRO_PIVOS!$B$6:$B$41,0)),0)</f>
        <v>1049.64285714286</v>
      </c>
      <c r="AB1623" s="18" t="n">
        <f aca="false">IF($Z1623&lt;=0,0,$Z1623/$AA1623)</f>
        <v>26.9006797385621</v>
      </c>
      <c r="AC1623" s="16" t="n">
        <f aca="false">IFERROR(INDEX(SEMANAS!$K$6:$K$71,MATCH($B1623,SEMANAS!$B$6:$B$71,0)),0)</f>
        <v>147</v>
      </c>
      <c r="AD1623" s="19" t="n">
        <f aca="false">IF($AC1623&lt;=0,0,$AB1623/$AC1623)</f>
        <v>0.182997821350762</v>
      </c>
      <c r="AE1623" s="8" t="str">
        <f aca="false">IF($K1623="SEM CULTURA","SEM CULTURA",IF($AA1623&lt;=0,"DADO PENDENTE",IF($AD1623&gt;LIMITE_CRITICO,"INVIAVEL",IF($AD1623&gt;LIMITE_ATENCAO,"CRITICO",IF($AD1623&gt;LIMITE_CONFORTAVEL,"ATENCAO","OK")))))</f>
        <v>OK</v>
      </c>
      <c r="AF1623" s="8" t="str">
        <f aca="false">$B1623&amp;"|"&amp;TEXT($AD1623,"0.000000")</f>
        <v>34|0.182998</v>
      </c>
      <c r="AG1623" s="18" t="n">
        <f aca="false">IF($K1623="SEM CULTURA",0,$T1623*$H1623)</f>
        <v>4317.47263888889</v>
      </c>
      <c r="AH1623" s="18" t="n">
        <f aca="false">IF($K1623="SEM CULTURA",0,$V1623*$H1623)</f>
        <v>1917.4036</v>
      </c>
      <c r="AI1623" s="18" t="n">
        <f aca="false">IF($K1623="SEM CULTURA",0,$W1623*$H1623)</f>
        <v>2400.06903888889</v>
      </c>
      <c r="AJ1623" s="18" t="n">
        <f aca="false">IF($K1623="SEM CULTURA",0,$S1623*$H1623)</f>
        <v>4628.925</v>
      </c>
      <c r="AK1623" s="8" t="str">
        <f aca="false">$E1623&amp;"|"&amp;TEXT($AD1623,"0.000000")</f>
        <v>PV 121|0.182998</v>
      </c>
    </row>
    <row r="1624" customFormat="false" ht="15" hidden="false" customHeight="false" outlineLevel="0" collapsed="false">
      <c r="B1624" s="16" t="n">
        <v>35</v>
      </c>
      <c r="C1624" s="17" t="n">
        <f aca="false">DATA_INICIO_SAFRA+($B1624-1)*DIAS_POR_SEMANA</f>
        <v>46503</v>
      </c>
      <c r="D1624" s="17" t="n">
        <f aca="false">$C1624+DIAS_POR_SEMANA-1</f>
        <v>46509</v>
      </c>
      <c r="E1624" s="15" t="s">
        <v>283</v>
      </c>
      <c r="F1624" s="8" t="str">
        <f aca="false">IFERROR(INDEX(CADASTRO_PIVOS!$C$6:$C$41,MATCH($E1624,CADASTRO_PIVOS!$B$6:$B$41,0)),"?")</f>
        <v>RM07</v>
      </c>
      <c r="G1624" s="8" t="str">
        <f aca="false">IFERROR(INDEX(CADASTRO_PIVOS!$D$6:$D$41,MATCH($E1624,CADASTRO_PIVOS!$B$6:$B$41,0)),"?")</f>
        <v>TR07</v>
      </c>
      <c r="H1624" s="20" t="n">
        <f aca="false">IFERROR(INDEX(CADASTRO_PIVOS!$E$6:$E$41,MATCH($E1624,CADASTRO_PIVOS!$B$6:$B$41,0)),0)</f>
        <v>146.95</v>
      </c>
      <c r="I1624" s="16" t="n">
        <f aca="false">IFERROR(SUMIFS(ROTACAO_RDM!$B$6:$B$71,ROTACAO_RDM!$D$6:$D$71,$E1624,ROTACAO_RDM!$I$6:$I$71,"&lt;="&amp;$C1624+INT(DIAS_POR_SEMANA/2),ROTACAO_RDM!$J$6:$J$71,"&gt;="&amp;$C1624+INT(DIAS_POR_SEMANA/2)),0)</f>
        <v>37</v>
      </c>
      <c r="J1624" s="16" t="n">
        <f aca="false">IFERROR(MATCH($I1624,ROTACAO_RDM!$B$6:$B$71,0),0)</f>
        <v>37</v>
      </c>
      <c r="K1624" s="8" t="str">
        <f aca="false">IF($J1624=0,"SEM CULTURA",INDEX(ROTACAO_RDM!$F$6:$F$71,$J1624))</f>
        <v>ALGODAO</v>
      </c>
      <c r="L1624" s="8" t="str">
        <f aca="false">IF($J1624=0,"",INDEX(ROTACAO_RDM!$G$6:$G$71,$J1624))</f>
        <v>FM 911 GLTP</v>
      </c>
      <c r="M1624" s="17" t="n">
        <f aca="false">IF($J1624=0,"",INDEX(ROTACAO_RDM!$I$6:$I$71,$J1624))</f>
        <v>46433</v>
      </c>
      <c r="N1624" s="16" t="n">
        <f aca="false">IF($J1624=0,0,MAX(0,$C1624+INT(DIAS_POR_SEMANA/2)-INDEX(ROTACAO_RDM!$I$6:$I$71,$J1624)))</f>
        <v>73</v>
      </c>
      <c r="O1624" s="19" t="n">
        <f aca="false">IF($J1624=0,0,MIN(1,$N1624/MAX(1,INDEX(ROTACAO_RDM!$K$6:$K$71,$J1624))))</f>
        <v>0.405555555555556</v>
      </c>
      <c r="P1624" s="16" t="n">
        <f aca="false">IF($J1624=0,0,IFERROR(MATCH(INDEX(ROTACAO_RDM!$N$6:$N$71,$J1624),PARAMETROS_CULTURAS!$B$6:$B$28,0),0))</f>
        <v>4</v>
      </c>
      <c r="Q1624" s="8" t="str">
        <f aca="false">IF($P1624=0,"-",IF($O1624&lt;=INDEX(PARAMETROS_CULTURAS!$F$6:$F$28,$P1624),"INICIAL",IF($O1624&lt;=INDEX(PARAMETROS_CULTURAS!$F$6:$F$28,$P1624)+INDEX(PARAMETROS_CULTURAS!$G$6:$G$28,$P1624),"DESENVOLVIMENTO",IF($O1624&lt;=INDEX(PARAMETROS_CULTURAS!$F$6:$F$28,$P1624)+INDEX(PARAMETROS_CULTURAS!$G$6:$G$28,$P1624)+INDEX(PARAMETROS_CULTURAS!$H$6:$H$28,$P1624),"MEDIA","FINAL"))))</f>
        <v>DESENVOLVIMENTO</v>
      </c>
      <c r="R1624" s="24" t="n">
        <f aca="false">IF($P1624=0,0,IF($O1624&lt;=INDEX(PARAMETROS_CULTURAS!$F$6:$F$28,$P1624),INDEX(PARAMETROS_CULTURAS!$K$6:$K$28,$P1624),IF($O1624&lt;=INDEX(PARAMETROS_CULTURAS!$F$6:$F$28,$P1624)+INDEX(PARAMETROS_CULTURAS!$G$6:$G$28,$P1624),INDEX(PARAMETROS_CULTURAS!$K$6:$K$28,$P1624)+(INDEX(PARAMETROS_CULTURAS!$L$6:$L$28,$P1624)-INDEX(PARAMETROS_CULTURAS!$K$6:$K$28,$P1624))*($O1624-INDEX(PARAMETROS_CULTURAS!$F$6:$F$28,$P1624))/MAX(INDEX(PARAMETROS_CULTURAS!$G$6:$G$28,$P1624),0.0001),IF($O1624&lt;=INDEX(PARAMETROS_CULTURAS!$F$6:$F$28,$P1624)+INDEX(PARAMETROS_CULTURAS!$G$6:$G$28,$P1624)+INDEX(PARAMETROS_CULTURAS!$H$6:$H$28,$P1624),INDEX(PARAMETROS_CULTURAS!$L$6:$L$28,$P1624),INDEX(PARAMETROS_CULTURAS!$L$6:$L$28,$P1624)+(INDEX(PARAMETROS_CULTURAS!$M$6:$M$28,$P1624)-INDEX(PARAMETROS_CULTURAS!$L$6:$L$28,$P1624))*($O1624-INDEX(PARAMETROS_CULTURAS!$F$6:$F$28,$P1624)-INDEX(PARAMETROS_CULTURAS!$G$6:$G$28,$P1624)-INDEX(PARAMETROS_CULTURAS!$H$6:$H$28,$P1624))/MAX(INDEX(PARAMETROS_CULTURAS!$I$6:$I$28,$P1624),0.0001)))))</f>
        <v>1.04794238683128</v>
      </c>
      <c r="S1624" s="18" t="n">
        <f aca="false">IFERROR(INDEX(SEMANAS!$H$6:$H$71,MATCH($B1624,SEMANAS!$B$6:$B$71,0)),0)</f>
        <v>30.9</v>
      </c>
      <c r="T1624" s="18" t="n">
        <f aca="false">$R1624*$S1624</f>
        <v>32.3814197530864</v>
      </c>
      <c r="U1624" s="18" t="n">
        <f aca="false">IFERROR(INDEX(SEMANAS!$I$6:$I$71,MATCH($B1624,SEMANAS!$B$6:$B$71,0)),0)</f>
        <v>12.61</v>
      </c>
      <c r="V1624" s="18" t="n">
        <f aca="false">IFERROR(INDEX(SEMANAS!$J$6:$J$71,MATCH($B1624,SEMANAS!$B$6:$B$71,0)),0)</f>
        <v>10.088</v>
      </c>
      <c r="W1624" s="18" t="n">
        <f aca="false">MAX(0,$T1624-$V1624)</f>
        <v>22.2934197530864</v>
      </c>
      <c r="X1624" s="19" t="n">
        <f aca="false">IFERROR(INDEX(CADASTRO_PIVOS!$K$6:$K$41,MATCH($E1624,CADASTRO_PIVOS!$B$6:$B$41,0)),EFICIENCIA_PADRAO)</f>
        <v>0.85</v>
      </c>
      <c r="Y1624" s="18" t="n">
        <f aca="false">IF($X1624&lt;=0,0,$W1624/$X1624)</f>
        <v>26.2275526506899</v>
      </c>
      <c r="Z1624" s="16" t="n">
        <f aca="false">$Y1624*$H1624*MM_PARA_M3_HA</f>
        <v>38541.3886201888</v>
      </c>
      <c r="AA1624" s="18" t="n">
        <f aca="false">IFERROR(INDEX(CADASTRO_PIVOS!$I$6:$I$41,MATCH($E1624,CADASTRO_PIVOS!$B$6:$B$41,0)),0)</f>
        <v>1049.64285714286</v>
      </c>
      <c r="AB1624" s="18" t="n">
        <f aca="false">IF($Z1624&lt;=0,0,$Z1624/$AA1624)</f>
        <v>36.7185737109658</v>
      </c>
      <c r="AC1624" s="16" t="n">
        <f aca="false">IFERROR(INDEX(SEMANAS!$K$6:$K$71,MATCH($B1624,SEMANAS!$B$6:$B$71,0)),0)</f>
        <v>147</v>
      </c>
      <c r="AD1624" s="19" t="n">
        <f aca="false">IF($AC1624&lt;=0,0,$AB1624/$AC1624)</f>
        <v>0.249786215720856</v>
      </c>
      <c r="AE1624" s="8" t="str">
        <f aca="false">IF($K1624="SEM CULTURA","SEM CULTURA",IF($AA1624&lt;=0,"DADO PENDENTE",IF($AD1624&gt;LIMITE_CRITICO,"INVIAVEL",IF($AD1624&gt;LIMITE_ATENCAO,"CRITICO",IF($AD1624&gt;LIMITE_CONFORTAVEL,"ATENCAO","OK")))))</f>
        <v>OK</v>
      </c>
      <c r="AF1624" s="8" t="str">
        <f aca="false">$B1624&amp;"|"&amp;TEXT($AD1624,"0.000000")</f>
        <v>35|0.249786</v>
      </c>
      <c r="AG1624" s="18" t="n">
        <f aca="false">IF($K1624="SEM CULTURA",0,$T1624*$H1624)</f>
        <v>4758.44963271605</v>
      </c>
      <c r="AH1624" s="18" t="n">
        <f aca="false">IF($K1624="SEM CULTURA",0,$V1624*$H1624)</f>
        <v>1482.4316</v>
      </c>
      <c r="AI1624" s="18" t="n">
        <f aca="false">IF($K1624="SEM CULTURA",0,$W1624*$H1624)</f>
        <v>3276.01803271605</v>
      </c>
      <c r="AJ1624" s="18" t="n">
        <f aca="false">IF($K1624="SEM CULTURA",0,$S1624*$H1624)</f>
        <v>4540.755</v>
      </c>
      <c r="AK1624" s="8" t="str">
        <f aca="false">$E1624&amp;"|"&amp;TEXT($AD1624,"0.000000")</f>
        <v>PV 121|0.249786</v>
      </c>
    </row>
    <row r="1625" customFormat="false" ht="15" hidden="false" customHeight="false" outlineLevel="0" collapsed="false">
      <c r="B1625" s="16" t="n">
        <v>36</v>
      </c>
      <c r="C1625" s="17" t="n">
        <f aca="false">DATA_INICIO_SAFRA+($B1625-1)*DIAS_POR_SEMANA</f>
        <v>46510</v>
      </c>
      <c r="D1625" s="17" t="n">
        <f aca="false">$C1625+DIAS_POR_SEMANA-1</f>
        <v>46516</v>
      </c>
      <c r="E1625" s="15" t="s">
        <v>283</v>
      </c>
      <c r="F1625" s="8" t="str">
        <f aca="false">IFERROR(INDEX(CADASTRO_PIVOS!$C$6:$C$41,MATCH($E1625,CADASTRO_PIVOS!$B$6:$B$41,0)),"?")</f>
        <v>RM07</v>
      </c>
      <c r="G1625" s="8" t="str">
        <f aca="false">IFERROR(INDEX(CADASTRO_PIVOS!$D$6:$D$41,MATCH($E1625,CADASTRO_PIVOS!$B$6:$B$41,0)),"?")</f>
        <v>TR07</v>
      </c>
      <c r="H1625" s="20" t="n">
        <f aca="false">IFERROR(INDEX(CADASTRO_PIVOS!$E$6:$E$41,MATCH($E1625,CADASTRO_PIVOS!$B$6:$B$41,0)),0)</f>
        <v>146.95</v>
      </c>
      <c r="I1625" s="16" t="n">
        <f aca="false">IFERROR(SUMIFS(ROTACAO_RDM!$B$6:$B$71,ROTACAO_RDM!$D$6:$D$71,$E1625,ROTACAO_RDM!$I$6:$I$71,"&lt;="&amp;$C1625+INT(DIAS_POR_SEMANA/2),ROTACAO_RDM!$J$6:$J$71,"&gt;="&amp;$C1625+INT(DIAS_POR_SEMANA/2)),0)</f>
        <v>37</v>
      </c>
      <c r="J1625" s="16" t="n">
        <f aca="false">IFERROR(MATCH($I1625,ROTACAO_RDM!$B$6:$B$71,0),0)</f>
        <v>37</v>
      </c>
      <c r="K1625" s="8" t="str">
        <f aca="false">IF($J1625=0,"SEM CULTURA",INDEX(ROTACAO_RDM!$F$6:$F$71,$J1625))</f>
        <v>ALGODAO</v>
      </c>
      <c r="L1625" s="8" t="str">
        <f aca="false">IF($J1625=0,"",INDEX(ROTACAO_RDM!$G$6:$G$71,$J1625))</f>
        <v>FM 911 GLTP</v>
      </c>
      <c r="M1625" s="17" t="n">
        <f aca="false">IF($J1625=0,"",INDEX(ROTACAO_RDM!$I$6:$I$71,$J1625))</f>
        <v>46433</v>
      </c>
      <c r="N1625" s="16" t="n">
        <f aca="false">IF($J1625=0,0,MAX(0,$C1625+INT(DIAS_POR_SEMANA/2)-INDEX(ROTACAO_RDM!$I$6:$I$71,$J1625)))</f>
        <v>80</v>
      </c>
      <c r="O1625" s="19" t="n">
        <f aca="false">IF($J1625=0,0,MIN(1,$N1625/MAX(1,INDEX(ROTACAO_RDM!$K$6:$K$71,$J1625))))</f>
        <v>0.444444444444444</v>
      </c>
      <c r="P1625" s="16" t="n">
        <f aca="false">IF($J1625=0,0,IFERROR(MATCH(INDEX(ROTACAO_RDM!$N$6:$N$71,$J1625),PARAMETROS_CULTURAS!$B$6:$B$28,0),0))</f>
        <v>4</v>
      </c>
      <c r="Q1625" s="8" t="str">
        <f aca="false">IF($P1625=0,"-",IF($O1625&lt;=INDEX(PARAMETROS_CULTURAS!$F$6:$F$28,$P1625),"INICIAL",IF($O1625&lt;=INDEX(PARAMETROS_CULTURAS!$F$6:$F$28,$P1625)+INDEX(PARAMETROS_CULTURAS!$G$6:$G$28,$P1625),"DESENVOLVIMENTO",IF($O1625&lt;=INDEX(PARAMETROS_CULTURAS!$F$6:$F$28,$P1625)+INDEX(PARAMETROS_CULTURAS!$G$6:$G$28,$P1625)+INDEX(PARAMETROS_CULTURAS!$H$6:$H$28,$P1625),"MEDIA","FINAL"))))</f>
        <v>MEDIA</v>
      </c>
      <c r="R1625" s="24" t="n">
        <f aca="false">IF($P1625=0,0,IF($O1625&lt;=INDEX(PARAMETROS_CULTURAS!$F$6:$F$28,$P1625),INDEX(PARAMETROS_CULTURAS!$K$6:$K$28,$P1625),IF($O1625&lt;=INDEX(PARAMETROS_CULTURAS!$F$6:$F$28,$P1625)+INDEX(PARAMETROS_CULTURAS!$G$6:$G$28,$P1625),INDEX(PARAMETROS_CULTURAS!$K$6:$K$28,$P1625)+(INDEX(PARAMETROS_CULTURAS!$L$6:$L$28,$P1625)-INDEX(PARAMETROS_CULTURAS!$K$6:$K$28,$P1625))*($O1625-INDEX(PARAMETROS_CULTURAS!$F$6:$F$28,$P1625))/MAX(INDEX(PARAMETROS_CULTURAS!$G$6:$G$28,$P1625),0.0001),IF($O1625&lt;=INDEX(PARAMETROS_CULTURAS!$F$6:$F$28,$P1625)+INDEX(PARAMETROS_CULTURAS!$G$6:$G$28,$P1625)+INDEX(PARAMETROS_CULTURAS!$H$6:$H$28,$P1625),INDEX(PARAMETROS_CULTURAS!$L$6:$L$28,$P1625),INDEX(PARAMETROS_CULTURAS!$L$6:$L$28,$P1625)+(INDEX(PARAMETROS_CULTURAS!$M$6:$M$28,$P1625)-INDEX(PARAMETROS_CULTURAS!$L$6:$L$28,$P1625))*($O1625-INDEX(PARAMETROS_CULTURAS!$F$6:$F$28,$P1625)-INDEX(PARAMETROS_CULTURAS!$G$6:$G$28,$P1625)-INDEX(PARAMETROS_CULTURAS!$H$6:$H$28,$P1625))/MAX(INDEX(PARAMETROS_CULTURAS!$I$6:$I$28,$P1625),0.0001)))))</f>
        <v>1.15</v>
      </c>
      <c r="S1625" s="18" t="n">
        <f aca="false">IFERROR(INDEX(SEMANAS!$H$6:$H$71,MATCH($B1625,SEMANAS!$B$6:$B$71,0)),0)</f>
        <v>29.4</v>
      </c>
      <c r="T1625" s="18" t="n">
        <f aca="false">$R1625*$S1625</f>
        <v>33.81</v>
      </c>
      <c r="U1625" s="18" t="n">
        <f aca="false">IFERROR(INDEX(SEMANAS!$I$6:$I$71,MATCH($B1625,SEMANAS!$B$6:$B$71,0)),0)</f>
        <v>3.36</v>
      </c>
      <c r="V1625" s="18" t="n">
        <f aca="false">IFERROR(INDEX(SEMANAS!$J$6:$J$71,MATCH($B1625,SEMANAS!$B$6:$B$71,0)),0)</f>
        <v>2.688</v>
      </c>
      <c r="W1625" s="18" t="n">
        <f aca="false">MAX(0,$T1625-$V1625)</f>
        <v>31.122</v>
      </c>
      <c r="X1625" s="19" t="n">
        <f aca="false">IFERROR(INDEX(CADASTRO_PIVOS!$K$6:$K$41,MATCH($E1625,CADASTRO_PIVOS!$B$6:$B$41,0)),EFICIENCIA_PADRAO)</f>
        <v>0.85</v>
      </c>
      <c r="Y1625" s="18" t="n">
        <f aca="false">IF($X1625&lt;=0,0,$W1625/$X1625)</f>
        <v>36.6141176470588</v>
      </c>
      <c r="Z1625" s="16" t="n">
        <f aca="false">$Y1625*$H1625*MM_PARA_M3_HA</f>
        <v>53804.4458823529</v>
      </c>
      <c r="AA1625" s="18" t="n">
        <f aca="false">IFERROR(INDEX(CADASTRO_PIVOS!$I$6:$I$41,MATCH($E1625,CADASTRO_PIVOS!$B$6:$B$41,0)),0)</f>
        <v>1049.64285714286</v>
      </c>
      <c r="AB1625" s="18" t="n">
        <f aca="false">IF($Z1625&lt;=0,0,$Z1625/$AA1625)</f>
        <v>51.2597647058824</v>
      </c>
      <c r="AC1625" s="16" t="n">
        <f aca="false">IFERROR(INDEX(SEMANAS!$K$6:$K$71,MATCH($B1625,SEMANAS!$B$6:$B$71,0)),0)</f>
        <v>147</v>
      </c>
      <c r="AD1625" s="19" t="n">
        <f aca="false">IF($AC1625&lt;=0,0,$AB1625/$AC1625)</f>
        <v>0.348705882352941</v>
      </c>
      <c r="AE1625" s="8" t="str">
        <f aca="false">IF($K1625="SEM CULTURA","SEM CULTURA",IF($AA1625&lt;=0,"DADO PENDENTE",IF($AD1625&gt;LIMITE_CRITICO,"INVIAVEL",IF($AD1625&gt;LIMITE_ATENCAO,"CRITICO",IF($AD1625&gt;LIMITE_CONFORTAVEL,"ATENCAO","OK")))))</f>
        <v>OK</v>
      </c>
      <c r="AF1625" s="8" t="str">
        <f aca="false">$B1625&amp;"|"&amp;TEXT($AD1625,"0.000000")</f>
        <v>36|0.348706</v>
      </c>
      <c r="AG1625" s="18" t="n">
        <f aca="false">IF($K1625="SEM CULTURA",0,$T1625*$H1625)</f>
        <v>4968.3795</v>
      </c>
      <c r="AH1625" s="18" t="n">
        <f aca="false">IF($K1625="SEM CULTURA",0,$V1625*$H1625)</f>
        <v>395.0016</v>
      </c>
      <c r="AI1625" s="18" t="n">
        <f aca="false">IF($K1625="SEM CULTURA",0,$W1625*$H1625)</f>
        <v>4573.3779</v>
      </c>
      <c r="AJ1625" s="18" t="n">
        <f aca="false">IF($K1625="SEM CULTURA",0,$S1625*$H1625)</f>
        <v>4320.33</v>
      </c>
      <c r="AK1625" s="8" t="str">
        <f aca="false">$E1625&amp;"|"&amp;TEXT($AD1625,"0.000000")</f>
        <v>PV 121|0.348706</v>
      </c>
    </row>
    <row r="1626" customFormat="false" ht="15" hidden="false" customHeight="false" outlineLevel="0" collapsed="false">
      <c r="B1626" s="16" t="n">
        <v>37</v>
      </c>
      <c r="C1626" s="17" t="n">
        <f aca="false">DATA_INICIO_SAFRA+($B1626-1)*DIAS_POR_SEMANA</f>
        <v>46517</v>
      </c>
      <c r="D1626" s="17" t="n">
        <f aca="false">$C1626+DIAS_POR_SEMANA-1</f>
        <v>46523</v>
      </c>
      <c r="E1626" s="15" t="s">
        <v>283</v>
      </c>
      <c r="F1626" s="8" t="str">
        <f aca="false">IFERROR(INDEX(CADASTRO_PIVOS!$C$6:$C$41,MATCH($E1626,CADASTRO_PIVOS!$B$6:$B$41,0)),"?")</f>
        <v>RM07</v>
      </c>
      <c r="G1626" s="8" t="str">
        <f aca="false">IFERROR(INDEX(CADASTRO_PIVOS!$D$6:$D$41,MATCH($E1626,CADASTRO_PIVOS!$B$6:$B$41,0)),"?")</f>
        <v>TR07</v>
      </c>
      <c r="H1626" s="20" t="n">
        <f aca="false">IFERROR(INDEX(CADASTRO_PIVOS!$E$6:$E$41,MATCH($E1626,CADASTRO_PIVOS!$B$6:$B$41,0)),0)</f>
        <v>146.95</v>
      </c>
      <c r="I1626" s="16" t="n">
        <f aca="false">IFERROR(SUMIFS(ROTACAO_RDM!$B$6:$B$71,ROTACAO_RDM!$D$6:$D$71,$E1626,ROTACAO_RDM!$I$6:$I$71,"&lt;="&amp;$C1626+INT(DIAS_POR_SEMANA/2),ROTACAO_RDM!$J$6:$J$71,"&gt;="&amp;$C1626+INT(DIAS_POR_SEMANA/2)),0)</f>
        <v>37</v>
      </c>
      <c r="J1626" s="16" t="n">
        <f aca="false">IFERROR(MATCH($I1626,ROTACAO_RDM!$B$6:$B$71,0),0)</f>
        <v>37</v>
      </c>
      <c r="K1626" s="8" t="str">
        <f aca="false">IF($J1626=0,"SEM CULTURA",INDEX(ROTACAO_RDM!$F$6:$F$71,$J1626))</f>
        <v>ALGODAO</v>
      </c>
      <c r="L1626" s="8" t="str">
        <f aca="false">IF($J1626=0,"",INDEX(ROTACAO_RDM!$G$6:$G$71,$J1626))</f>
        <v>FM 911 GLTP</v>
      </c>
      <c r="M1626" s="17" t="n">
        <f aca="false">IF($J1626=0,"",INDEX(ROTACAO_RDM!$I$6:$I$71,$J1626))</f>
        <v>46433</v>
      </c>
      <c r="N1626" s="16" t="n">
        <f aca="false">IF($J1626=0,0,MAX(0,$C1626+INT(DIAS_POR_SEMANA/2)-INDEX(ROTACAO_RDM!$I$6:$I$71,$J1626)))</f>
        <v>87</v>
      </c>
      <c r="O1626" s="19" t="n">
        <f aca="false">IF($J1626=0,0,MIN(1,$N1626/MAX(1,INDEX(ROTACAO_RDM!$K$6:$K$71,$J1626))))</f>
        <v>0.483333333333333</v>
      </c>
      <c r="P1626" s="16" t="n">
        <f aca="false">IF($J1626=0,0,IFERROR(MATCH(INDEX(ROTACAO_RDM!$N$6:$N$71,$J1626),PARAMETROS_CULTURAS!$B$6:$B$28,0),0))</f>
        <v>4</v>
      </c>
      <c r="Q1626" s="8" t="str">
        <f aca="false">IF($P1626=0,"-",IF($O1626&lt;=INDEX(PARAMETROS_CULTURAS!$F$6:$F$28,$P1626),"INICIAL",IF($O1626&lt;=INDEX(PARAMETROS_CULTURAS!$F$6:$F$28,$P1626)+INDEX(PARAMETROS_CULTURAS!$G$6:$G$28,$P1626),"DESENVOLVIMENTO",IF($O1626&lt;=INDEX(PARAMETROS_CULTURAS!$F$6:$F$28,$P1626)+INDEX(PARAMETROS_CULTURAS!$G$6:$G$28,$P1626)+INDEX(PARAMETROS_CULTURAS!$H$6:$H$28,$P1626),"MEDIA","FINAL"))))</f>
        <v>MEDIA</v>
      </c>
      <c r="R1626" s="24" t="n">
        <f aca="false">IF($P1626=0,0,IF($O1626&lt;=INDEX(PARAMETROS_CULTURAS!$F$6:$F$28,$P1626),INDEX(PARAMETROS_CULTURAS!$K$6:$K$28,$P1626),IF($O1626&lt;=INDEX(PARAMETROS_CULTURAS!$F$6:$F$28,$P1626)+INDEX(PARAMETROS_CULTURAS!$G$6:$G$28,$P1626),INDEX(PARAMETROS_CULTURAS!$K$6:$K$28,$P1626)+(INDEX(PARAMETROS_CULTURAS!$L$6:$L$28,$P1626)-INDEX(PARAMETROS_CULTURAS!$K$6:$K$28,$P1626))*($O1626-INDEX(PARAMETROS_CULTURAS!$F$6:$F$28,$P1626))/MAX(INDEX(PARAMETROS_CULTURAS!$G$6:$G$28,$P1626),0.0001),IF($O1626&lt;=INDEX(PARAMETROS_CULTURAS!$F$6:$F$28,$P1626)+INDEX(PARAMETROS_CULTURAS!$G$6:$G$28,$P1626)+INDEX(PARAMETROS_CULTURAS!$H$6:$H$28,$P1626),INDEX(PARAMETROS_CULTURAS!$L$6:$L$28,$P1626),INDEX(PARAMETROS_CULTURAS!$L$6:$L$28,$P1626)+(INDEX(PARAMETROS_CULTURAS!$M$6:$M$28,$P1626)-INDEX(PARAMETROS_CULTURAS!$L$6:$L$28,$P1626))*($O1626-INDEX(PARAMETROS_CULTURAS!$F$6:$F$28,$P1626)-INDEX(PARAMETROS_CULTURAS!$G$6:$G$28,$P1626)-INDEX(PARAMETROS_CULTURAS!$H$6:$H$28,$P1626))/MAX(INDEX(PARAMETROS_CULTURAS!$I$6:$I$28,$P1626),0.0001)))))</f>
        <v>1.15</v>
      </c>
      <c r="S1626" s="18" t="n">
        <f aca="false">IFERROR(INDEX(SEMANAS!$H$6:$H$71,MATCH($B1626,SEMANAS!$B$6:$B$71,0)),0)</f>
        <v>29.4</v>
      </c>
      <c r="T1626" s="18" t="n">
        <f aca="false">$R1626*$S1626</f>
        <v>33.81</v>
      </c>
      <c r="U1626" s="18" t="n">
        <f aca="false">IFERROR(INDEX(SEMANAS!$I$6:$I$71,MATCH($B1626,SEMANAS!$B$6:$B$71,0)),0)</f>
        <v>3.36</v>
      </c>
      <c r="V1626" s="18" t="n">
        <f aca="false">IFERROR(INDEX(SEMANAS!$J$6:$J$71,MATCH($B1626,SEMANAS!$B$6:$B$71,0)),0)</f>
        <v>2.688</v>
      </c>
      <c r="W1626" s="18" t="n">
        <f aca="false">MAX(0,$T1626-$V1626)</f>
        <v>31.122</v>
      </c>
      <c r="X1626" s="19" t="n">
        <f aca="false">IFERROR(INDEX(CADASTRO_PIVOS!$K$6:$K$41,MATCH($E1626,CADASTRO_PIVOS!$B$6:$B$41,0)),EFICIENCIA_PADRAO)</f>
        <v>0.85</v>
      </c>
      <c r="Y1626" s="18" t="n">
        <f aca="false">IF($X1626&lt;=0,0,$W1626/$X1626)</f>
        <v>36.6141176470588</v>
      </c>
      <c r="Z1626" s="16" t="n">
        <f aca="false">$Y1626*$H1626*MM_PARA_M3_HA</f>
        <v>53804.4458823529</v>
      </c>
      <c r="AA1626" s="18" t="n">
        <f aca="false">IFERROR(INDEX(CADASTRO_PIVOS!$I$6:$I$41,MATCH($E1626,CADASTRO_PIVOS!$B$6:$B$41,0)),0)</f>
        <v>1049.64285714286</v>
      </c>
      <c r="AB1626" s="18" t="n">
        <f aca="false">IF($Z1626&lt;=0,0,$Z1626/$AA1626)</f>
        <v>51.2597647058824</v>
      </c>
      <c r="AC1626" s="16" t="n">
        <f aca="false">IFERROR(INDEX(SEMANAS!$K$6:$K$71,MATCH($B1626,SEMANAS!$B$6:$B$71,0)),0)</f>
        <v>147</v>
      </c>
      <c r="AD1626" s="19" t="n">
        <f aca="false">IF($AC1626&lt;=0,0,$AB1626/$AC1626)</f>
        <v>0.348705882352941</v>
      </c>
      <c r="AE1626" s="8" t="str">
        <f aca="false">IF($K1626="SEM CULTURA","SEM CULTURA",IF($AA1626&lt;=0,"DADO PENDENTE",IF($AD1626&gt;LIMITE_CRITICO,"INVIAVEL",IF($AD1626&gt;LIMITE_ATENCAO,"CRITICO",IF($AD1626&gt;LIMITE_CONFORTAVEL,"ATENCAO","OK")))))</f>
        <v>OK</v>
      </c>
      <c r="AF1626" s="8" t="str">
        <f aca="false">$B1626&amp;"|"&amp;TEXT($AD1626,"0.000000")</f>
        <v>37|0.348706</v>
      </c>
      <c r="AG1626" s="18" t="n">
        <f aca="false">IF($K1626="SEM CULTURA",0,$T1626*$H1626)</f>
        <v>4968.3795</v>
      </c>
      <c r="AH1626" s="18" t="n">
        <f aca="false">IF($K1626="SEM CULTURA",0,$V1626*$H1626)</f>
        <v>395.0016</v>
      </c>
      <c r="AI1626" s="18" t="n">
        <f aca="false">IF($K1626="SEM CULTURA",0,$W1626*$H1626)</f>
        <v>4573.3779</v>
      </c>
      <c r="AJ1626" s="18" t="n">
        <f aca="false">IF($K1626="SEM CULTURA",0,$S1626*$H1626)</f>
        <v>4320.33</v>
      </c>
      <c r="AK1626" s="8" t="str">
        <f aca="false">$E1626&amp;"|"&amp;TEXT($AD1626,"0.000000")</f>
        <v>PV 121|0.348706</v>
      </c>
    </row>
    <row r="1627" customFormat="false" ht="15" hidden="false" customHeight="false" outlineLevel="0" collapsed="false">
      <c r="B1627" s="16" t="n">
        <v>38</v>
      </c>
      <c r="C1627" s="17" t="n">
        <f aca="false">DATA_INICIO_SAFRA+($B1627-1)*DIAS_POR_SEMANA</f>
        <v>46524</v>
      </c>
      <c r="D1627" s="17" t="n">
        <f aca="false">$C1627+DIAS_POR_SEMANA-1</f>
        <v>46530</v>
      </c>
      <c r="E1627" s="15" t="s">
        <v>283</v>
      </c>
      <c r="F1627" s="8" t="str">
        <f aca="false">IFERROR(INDEX(CADASTRO_PIVOS!$C$6:$C$41,MATCH($E1627,CADASTRO_PIVOS!$B$6:$B$41,0)),"?")</f>
        <v>RM07</v>
      </c>
      <c r="G1627" s="8" t="str">
        <f aca="false">IFERROR(INDEX(CADASTRO_PIVOS!$D$6:$D$41,MATCH($E1627,CADASTRO_PIVOS!$B$6:$B$41,0)),"?")</f>
        <v>TR07</v>
      </c>
      <c r="H1627" s="20" t="n">
        <f aca="false">IFERROR(INDEX(CADASTRO_PIVOS!$E$6:$E$41,MATCH($E1627,CADASTRO_PIVOS!$B$6:$B$41,0)),0)</f>
        <v>146.95</v>
      </c>
      <c r="I1627" s="16" t="n">
        <f aca="false">IFERROR(SUMIFS(ROTACAO_RDM!$B$6:$B$71,ROTACAO_RDM!$D$6:$D$71,$E1627,ROTACAO_RDM!$I$6:$I$71,"&lt;="&amp;$C1627+INT(DIAS_POR_SEMANA/2),ROTACAO_RDM!$J$6:$J$71,"&gt;="&amp;$C1627+INT(DIAS_POR_SEMANA/2)),0)</f>
        <v>37</v>
      </c>
      <c r="J1627" s="16" t="n">
        <f aca="false">IFERROR(MATCH($I1627,ROTACAO_RDM!$B$6:$B$71,0),0)</f>
        <v>37</v>
      </c>
      <c r="K1627" s="8" t="str">
        <f aca="false">IF($J1627=0,"SEM CULTURA",INDEX(ROTACAO_RDM!$F$6:$F$71,$J1627))</f>
        <v>ALGODAO</v>
      </c>
      <c r="L1627" s="8" t="str">
        <f aca="false">IF($J1627=0,"",INDEX(ROTACAO_RDM!$G$6:$G$71,$J1627))</f>
        <v>FM 911 GLTP</v>
      </c>
      <c r="M1627" s="17" t="n">
        <f aca="false">IF($J1627=0,"",INDEX(ROTACAO_RDM!$I$6:$I$71,$J1627))</f>
        <v>46433</v>
      </c>
      <c r="N1627" s="16" t="n">
        <f aca="false">IF($J1627=0,0,MAX(0,$C1627+INT(DIAS_POR_SEMANA/2)-INDEX(ROTACAO_RDM!$I$6:$I$71,$J1627)))</f>
        <v>94</v>
      </c>
      <c r="O1627" s="19" t="n">
        <f aca="false">IF($J1627=0,0,MIN(1,$N1627/MAX(1,INDEX(ROTACAO_RDM!$K$6:$K$71,$J1627))))</f>
        <v>0.522222222222222</v>
      </c>
      <c r="P1627" s="16" t="n">
        <f aca="false">IF($J1627=0,0,IFERROR(MATCH(INDEX(ROTACAO_RDM!$N$6:$N$71,$J1627),PARAMETROS_CULTURAS!$B$6:$B$28,0),0))</f>
        <v>4</v>
      </c>
      <c r="Q1627" s="8" t="str">
        <f aca="false">IF($P1627=0,"-",IF($O1627&lt;=INDEX(PARAMETROS_CULTURAS!$F$6:$F$28,$P1627),"INICIAL",IF($O1627&lt;=INDEX(PARAMETROS_CULTURAS!$F$6:$F$28,$P1627)+INDEX(PARAMETROS_CULTURAS!$G$6:$G$28,$P1627),"DESENVOLVIMENTO",IF($O1627&lt;=INDEX(PARAMETROS_CULTURAS!$F$6:$F$28,$P1627)+INDEX(PARAMETROS_CULTURAS!$G$6:$G$28,$P1627)+INDEX(PARAMETROS_CULTURAS!$H$6:$H$28,$P1627),"MEDIA","FINAL"))))</f>
        <v>MEDIA</v>
      </c>
      <c r="R1627" s="24" t="n">
        <f aca="false">IF($P1627=0,0,IF($O1627&lt;=INDEX(PARAMETROS_CULTURAS!$F$6:$F$28,$P1627),INDEX(PARAMETROS_CULTURAS!$K$6:$K$28,$P1627),IF($O1627&lt;=INDEX(PARAMETROS_CULTURAS!$F$6:$F$28,$P1627)+INDEX(PARAMETROS_CULTURAS!$G$6:$G$28,$P1627),INDEX(PARAMETROS_CULTURAS!$K$6:$K$28,$P1627)+(INDEX(PARAMETROS_CULTURAS!$L$6:$L$28,$P1627)-INDEX(PARAMETROS_CULTURAS!$K$6:$K$28,$P1627))*($O1627-INDEX(PARAMETROS_CULTURAS!$F$6:$F$28,$P1627))/MAX(INDEX(PARAMETROS_CULTURAS!$G$6:$G$28,$P1627),0.0001),IF($O1627&lt;=INDEX(PARAMETROS_CULTURAS!$F$6:$F$28,$P1627)+INDEX(PARAMETROS_CULTURAS!$G$6:$G$28,$P1627)+INDEX(PARAMETROS_CULTURAS!$H$6:$H$28,$P1627),INDEX(PARAMETROS_CULTURAS!$L$6:$L$28,$P1627),INDEX(PARAMETROS_CULTURAS!$L$6:$L$28,$P1627)+(INDEX(PARAMETROS_CULTURAS!$M$6:$M$28,$P1627)-INDEX(PARAMETROS_CULTURAS!$L$6:$L$28,$P1627))*($O1627-INDEX(PARAMETROS_CULTURAS!$F$6:$F$28,$P1627)-INDEX(PARAMETROS_CULTURAS!$G$6:$G$28,$P1627)-INDEX(PARAMETROS_CULTURAS!$H$6:$H$28,$P1627))/MAX(INDEX(PARAMETROS_CULTURAS!$I$6:$I$28,$P1627),0.0001)))))</f>
        <v>1.15</v>
      </c>
      <c r="S1627" s="18" t="n">
        <f aca="false">IFERROR(INDEX(SEMANAS!$H$6:$H$71,MATCH($B1627,SEMANAS!$B$6:$B$71,0)),0)</f>
        <v>29.4</v>
      </c>
      <c r="T1627" s="18" t="n">
        <f aca="false">$R1627*$S1627</f>
        <v>33.81</v>
      </c>
      <c r="U1627" s="18" t="n">
        <f aca="false">IFERROR(INDEX(SEMANAS!$I$6:$I$71,MATCH($B1627,SEMANAS!$B$6:$B$71,0)),0)</f>
        <v>3.36</v>
      </c>
      <c r="V1627" s="18" t="n">
        <f aca="false">IFERROR(INDEX(SEMANAS!$J$6:$J$71,MATCH($B1627,SEMANAS!$B$6:$B$71,0)),0)</f>
        <v>2.688</v>
      </c>
      <c r="W1627" s="18" t="n">
        <f aca="false">MAX(0,$T1627-$V1627)</f>
        <v>31.122</v>
      </c>
      <c r="X1627" s="19" t="n">
        <f aca="false">IFERROR(INDEX(CADASTRO_PIVOS!$K$6:$K$41,MATCH($E1627,CADASTRO_PIVOS!$B$6:$B$41,0)),EFICIENCIA_PADRAO)</f>
        <v>0.85</v>
      </c>
      <c r="Y1627" s="18" t="n">
        <f aca="false">IF($X1627&lt;=0,0,$W1627/$X1627)</f>
        <v>36.6141176470588</v>
      </c>
      <c r="Z1627" s="16" t="n">
        <f aca="false">$Y1627*$H1627*MM_PARA_M3_HA</f>
        <v>53804.4458823529</v>
      </c>
      <c r="AA1627" s="18" t="n">
        <f aca="false">IFERROR(INDEX(CADASTRO_PIVOS!$I$6:$I$41,MATCH($E1627,CADASTRO_PIVOS!$B$6:$B$41,0)),0)</f>
        <v>1049.64285714286</v>
      </c>
      <c r="AB1627" s="18" t="n">
        <f aca="false">IF($Z1627&lt;=0,0,$Z1627/$AA1627)</f>
        <v>51.2597647058824</v>
      </c>
      <c r="AC1627" s="16" t="n">
        <f aca="false">IFERROR(INDEX(SEMANAS!$K$6:$K$71,MATCH($B1627,SEMANAS!$B$6:$B$71,0)),0)</f>
        <v>147</v>
      </c>
      <c r="AD1627" s="19" t="n">
        <f aca="false">IF($AC1627&lt;=0,0,$AB1627/$AC1627)</f>
        <v>0.348705882352941</v>
      </c>
      <c r="AE1627" s="8" t="str">
        <f aca="false">IF($K1627="SEM CULTURA","SEM CULTURA",IF($AA1627&lt;=0,"DADO PENDENTE",IF($AD1627&gt;LIMITE_CRITICO,"INVIAVEL",IF($AD1627&gt;LIMITE_ATENCAO,"CRITICO",IF($AD1627&gt;LIMITE_CONFORTAVEL,"ATENCAO","OK")))))</f>
        <v>OK</v>
      </c>
      <c r="AF1627" s="8" t="str">
        <f aca="false">$B1627&amp;"|"&amp;TEXT($AD1627,"0.000000")</f>
        <v>38|0.348706</v>
      </c>
      <c r="AG1627" s="18" t="n">
        <f aca="false">IF($K1627="SEM CULTURA",0,$T1627*$H1627)</f>
        <v>4968.3795</v>
      </c>
      <c r="AH1627" s="18" t="n">
        <f aca="false">IF($K1627="SEM CULTURA",0,$V1627*$H1627)</f>
        <v>395.0016</v>
      </c>
      <c r="AI1627" s="18" t="n">
        <f aca="false">IF($K1627="SEM CULTURA",0,$W1627*$H1627)</f>
        <v>4573.3779</v>
      </c>
      <c r="AJ1627" s="18" t="n">
        <f aca="false">IF($K1627="SEM CULTURA",0,$S1627*$H1627)</f>
        <v>4320.33</v>
      </c>
      <c r="AK1627" s="8" t="str">
        <f aca="false">$E1627&amp;"|"&amp;TEXT($AD1627,"0.000000")</f>
        <v>PV 121|0.348706</v>
      </c>
    </row>
    <row r="1628" customFormat="false" ht="15" hidden="false" customHeight="false" outlineLevel="0" collapsed="false">
      <c r="B1628" s="16" t="n">
        <v>39</v>
      </c>
      <c r="C1628" s="17" t="n">
        <f aca="false">DATA_INICIO_SAFRA+($B1628-1)*DIAS_POR_SEMANA</f>
        <v>46531</v>
      </c>
      <c r="D1628" s="17" t="n">
        <f aca="false">$C1628+DIAS_POR_SEMANA-1</f>
        <v>46537</v>
      </c>
      <c r="E1628" s="15" t="s">
        <v>283</v>
      </c>
      <c r="F1628" s="8" t="str">
        <f aca="false">IFERROR(INDEX(CADASTRO_PIVOS!$C$6:$C$41,MATCH($E1628,CADASTRO_PIVOS!$B$6:$B$41,0)),"?")</f>
        <v>RM07</v>
      </c>
      <c r="G1628" s="8" t="str">
        <f aca="false">IFERROR(INDEX(CADASTRO_PIVOS!$D$6:$D$41,MATCH($E1628,CADASTRO_PIVOS!$B$6:$B$41,0)),"?")</f>
        <v>TR07</v>
      </c>
      <c r="H1628" s="20" t="n">
        <f aca="false">IFERROR(INDEX(CADASTRO_PIVOS!$E$6:$E$41,MATCH($E1628,CADASTRO_PIVOS!$B$6:$B$41,0)),0)</f>
        <v>146.95</v>
      </c>
      <c r="I1628" s="16" t="n">
        <f aca="false">IFERROR(SUMIFS(ROTACAO_RDM!$B$6:$B$71,ROTACAO_RDM!$D$6:$D$71,$E1628,ROTACAO_RDM!$I$6:$I$71,"&lt;="&amp;$C1628+INT(DIAS_POR_SEMANA/2),ROTACAO_RDM!$J$6:$J$71,"&gt;="&amp;$C1628+INT(DIAS_POR_SEMANA/2)),0)</f>
        <v>37</v>
      </c>
      <c r="J1628" s="16" t="n">
        <f aca="false">IFERROR(MATCH($I1628,ROTACAO_RDM!$B$6:$B$71,0),0)</f>
        <v>37</v>
      </c>
      <c r="K1628" s="8" t="str">
        <f aca="false">IF($J1628=0,"SEM CULTURA",INDEX(ROTACAO_RDM!$F$6:$F$71,$J1628))</f>
        <v>ALGODAO</v>
      </c>
      <c r="L1628" s="8" t="str">
        <f aca="false">IF($J1628=0,"",INDEX(ROTACAO_RDM!$G$6:$G$71,$J1628))</f>
        <v>FM 911 GLTP</v>
      </c>
      <c r="M1628" s="17" t="n">
        <f aca="false">IF($J1628=0,"",INDEX(ROTACAO_RDM!$I$6:$I$71,$J1628))</f>
        <v>46433</v>
      </c>
      <c r="N1628" s="16" t="n">
        <f aca="false">IF($J1628=0,0,MAX(0,$C1628+INT(DIAS_POR_SEMANA/2)-INDEX(ROTACAO_RDM!$I$6:$I$71,$J1628)))</f>
        <v>101</v>
      </c>
      <c r="O1628" s="19" t="n">
        <f aca="false">IF($J1628=0,0,MIN(1,$N1628/MAX(1,INDEX(ROTACAO_RDM!$K$6:$K$71,$J1628))))</f>
        <v>0.561111111111111</v>
      </c>
      <c r="P1628" s="16" t="n">
        <f aca="false">IF($J1628=0,0,IFERROR(MATCH(INDEX(ROTACAO_RDM!$N$6:$N$71,$J1628),PARAMETROS_CULTURAS!$B$6:$B$28,0),0))</f>
        <v>4</v>
      </c>
      <c r="Q1628" s="8" t="str">
        <f aca="false">IF($P1628=0,"-",IF($O1628&lt;=INDEX(PARAMETROS_CULTURAS!$F$6:$F$28,$P1628),"INICIAL",IF($O1628&lt;=INDEX(PARAMETROS_CULTURAS!$F$6:$F$28,$P1628)+INDEX(PARAMETROS_CULTURAS!$G$6:$G$28,$P1628),"DESENVOLVIMENTO",IF($O1628&lt;=INDEX(PARAMETROS_CULTURAS!$F$6:$F$28,$P1628)+INDEX(PARAMETROS_CULTURAS!$G$6:$G$28,$P1628)+INDEX(PARAMETROS_CULTURAS!$H$6:$H$28,$P1628),"MEDIA","FINAL"))))</f>
        <v>MEDIA</v>
      </c>
      <c r="R1628" s="24" t="n">
        <f aca="false">IF($P1628=0,0,IF($O1628&lt;=INDEX(PARAMETROS_CULTURAS!$F$6:$F$28,$P1628),INDEX(PARAMETROS_CULTURAS!$K$6:$K$28,$P1628),IF($O1628&lt;=INDEX(PARAMETROS_CULTURAS!$F$6:$F$28,$P1628)+INDEX(PARAMETROS_CULTURAS!$G$6:$G$28,$P1628),INDEX(PARAMETROS_CULTURAS!$K$6:$K$28,$P1628)+(INDEX(PARAMETROS_CULTURAS!$L$6:$L$28,$P1628)-INDEX(PARAMETROS_CULTURAS!$K$6:$K$28,$P1628))*($O1628-INDEX(PARAMETROS_CULTURAS!$F$6:$F$28,$P1628))/MAX(INDEX(PARAMETROS_CULTURAS!$G$6:$G$28,$P1628),0.0001),IF($O1628&lt;=INDEX(PARAMETROS_CULTURAS!$F$6:$F$28,$P1628)+INDEX(PARAMETROS_CULTURAS!$G$6:$G$28,$P1628)+INDEX(PARAMETROS_CULTURAS!$H$6:$H$28,$P1628),INDEX(PARAMETROS_CULTURAS!$L$6:$L$28,$P1628),INDEX(PARAMETROS_CULTURAS!$L$6:$L$28,$P1628)+(INDEX(PARAMETROS_CULTURAS!$M$6:$M$28,$P1628)-INDEX(PARAMETROS_CULTURAS!$L$6:$L$28,$P1628))*($O1628-INDEX(PARAMETROS_CULTURAS!$F$6:$F$28,$P1628)-INDEX(PARAMETROS_CULTURAS!$G$6:$G$28,$P1628)-INDEX(PARAMETROS_CULTURAS!$H$6:$H$28,$P1628))/MAX(INDEX(PARAMETROS_CULTURAS!$I$6:$I$28,$P1628),0.0001)))))</f>
        <v>1.15</v>
      </c>
      <c r="S1628" s="18" t="n">
        <f aca="false">IFERROR(INDEX(SEMANAS!$H$6:$H$71,MATCH($B1628,SEMANAS!$B$6:$B$71,0)),0)</f>
        <v>29.4</v>
      </c>
      <c r="T1628" s="18" t="n">
        <f aca="false">$R1628*$S1628</f>
        <v>33.81</v>
      </c>
      <c r="U1628" s="18" t="n">
        <f aca="false">IFERROR(INDEX(SEMANAS!$I$6:$I$71,MATCH($B1628,SEMANAS!$B$6:$B$71,0)),0)</f>
        <v>3.36</v>
      </c>
      <c r="V1628" s="18" t="n">
        <f aca="false">IFERROR(INDEX(SEMANAS!$J$6:$J$71,MATCH($B1628,SEMANAS!$B$6:$B$71,0)),0)</f>
        <v>2.688</v>
      </c>
      <c r="W1628" s="18" t="n">
        <f aca="false">MAX(0,$T1628-$V1628)</f>
        <v>31.122</v>
      </c>
      <c r="X1628" s="19" t="n">
        <f aca="false">IFERROR(INDEX(CADASTRO_PIVOS!$K$6:$K$41,MATCH($E1628,CADASTRO_PIVOS!$B$6:$B$41,0)),EFICIENCIA_PADRAO)</f>
        <v>0.85</v>
      </c>
      <c r="Y1628" s="18" t="n">
        <f aca="false">IF($X1628&lt;=0,0,$W1628/$X1628)</f>
        <v>36.6141176470588</v>
      </c>
      <c r="Z1628" s="16" t="n">
        <f aca="false">$Y1628*$H1628*MM_PARA_M3_HA</f>
        <v>53804.4458823529</v>
      </c>
      <c r="AA1628" s="18" t="n">
        <f aca="false">IFERROR(INDEX(CADASTRO_PIVOS!$I$6:$I$41,MATCH($E1628,CADASTRO_PIVOS!$B$6:$B$41,0)),0)</f>
        <v>1049.64285714286</v>
      </c>
      <c r="AB1628" s="18" t="n">
        <f aca="false">IF($Z1628&lt;=0,0,$Z1628/$AA1628)</f>
        <v>51.2597647058824</v>
      </c>
      <c r="AC1628" s="16" t="n">
        <f aca="false">IFERROR(INDEX(SEMANAS!$K$6:$K$71,MATCH($B1628,SEMANAS!$B$6:$B$71,0)),0)</f>
        <v>147</v>
      </c>
      <c r="AD1628" s="19" t="n">
        <f aca="false">IF($AC1628&lt;=0,0,$AB1628/$AC1628)</f>
        <v>0.348705882352941</v>
      </c>
      <c r="AE1628" s="8" t="str">
        <f aca="false">IF($K1628="SEM CULTURA","SEM CULTURA",IF($AA1628&lt;=0,"DADO PENDENTE",IF($AD1628&gt;LIMITE_CRITICO,"INVIAVEL",IF($AD1628&gt;LIMITE_ATENCAO,"CRITICO",IF($AD1628&gt;LIMITE_CONFORTAVEL,"ATENCAO","OK")))))</f>
        <v>OK</v>
      </c>
      <c r="AF1628" s="8" t="str">
        <f aca="false">$B1628&amp;"|"&amp;TEXT($AD1628,"0.000000")</f>
        <v>39|0.348706</v>
      </c>
      <c r="AG1628" s="18" t="n">
        <f aca="false">IF($K1628="SEM CULTURA",0,$T1628*$H1628)</f>
        <v>4968.3795</v>
      </c>
      <c r="AH1628" s="18" t="n">
        <f aca="false">IF($K1628="SEM CULTURA",0,$V1628*$H1628)</f>
        <v>395.0016</v>
      </c>
      <c r="AI1628" s="18" t="n">
        <f aca="false">IF($K1628="SEM CULTURA",0,$W1628*$H1628)</f>
        <v>4573.3779</v>
      </c>
      <c r="AJ1628" s="18" t="n">
        <f aca="false">IF($K1628="SEM CULTURA",0,$S1628*$H1628)</f>
        <v>4320.33</v>
      </c>
      <c r="AK1628" s="8" t="str">
        <f aca="false">$E1628&amp;"|"&amp;TEXT($AD1628,"0.000000")</f>
        <v>PV 121|0.348706</v>
      </c>
    </row>
    <row r="1629" customFormat="false" ht="15" hidden="false" customHeight="false" outlineLevel="0" collapsed="false">
      <c r="B1629" s="16" t="n">
        <v>40</v>
      </c>
      <c r="C1629" s="17" t="n">
        <f aca="false">DATA_INICIO_SAFRA+($B1629-1)*DIAS_POR_SEMANA</f>
        <v>46538</v>
      </c>
      <c r="D1629" s="17" t="n">
        <f aca="false">$C1629+DIAS_POR_SEMANA-1</f>
        <v>46544</v>
      </c>
      <c r="E1629" s="15" t="s">
        <v>283</v>
      </c>
      <c r="F1629" s="8" t="str">
        <f aca="false">IFERROR(INDEX(CADASTRO_PIVOS!$C$6:$C$41,MATCH($E1629,CADASTRO_PIVOS!$B$6:$B$41,0)),"?")</f>
        <v>RM07</v>
      </c>
      <c r="G1629" s="8" t="str">
        <f aca="false">IFERROR(INDEX(CADASTRO_PIVOS!$D$6:$D$41,MATCH($E1629,CADASTRO_PIVOS!$B$6:$B$41,0)),"?")</f>
        <v>TR07</v>
      </c>
      <c r="H1629" s="20" t="n">
        <f aca="false">IFERROR(INDEX(CADASTRO_PIVOS!$E$6:$E$41,MATCH($E1629,CADASTRO_PIVOS!$B$6:$B$41,0)),0)</f>
        <v>146.95</v>
      </c>
      <c r="I1629" s="16" t="n">
        <f aca="false">IFERROR(SUMIFS(ROTACAO_RDM!$B$6:$B$71,ROTACAO_RDM!$D$6:$D$71,$E1629,ROTACAO_RDM!$I$6:$I$71,"&lt;="&amp;$C1629+INT(DIAS_POR_SEMANA/2),ROTACAO_RDM!$J$6:$J$71,"&gt;="&amp;$C1629+INT(DIAS_POR_SEMANA/2)),0)</f>
        <v>37</v>
      </c>
      <c r="J1629" s="16" t="n">
        <f aca="false">IFERROR(MATCH($I1629,ROTACAO_RDM!$B$6:$B$71,0),0)</f>
        <v>37</v>
      </c>
      <c r="K1629" s="8" t="str">
        <f aca="false">IF($J1629=0,"SEM CULTURA",INDEX(ROTACAO_RDM!$F$6:$F$71,$J1629))</f>
        <v>ALGODAO</v>
      </c>
      <c r="L1629" s="8" t="str">
        <f aca="false">IF($J1629=0,"",INDEX(ROTACAO_RDM!$G$6:$G$71,$J1629))</f>
        <v>FM 911 GLTP</v>
      </c>
      <c r="M1629" s="17" t="n">
        <f aca="false">IF($J1629=0,"",INDEX(ROTACAO_RDM!$I$6:$I$71,$J1629))</f>
        <v>46433</v>
      </c>
      <c r="N1629" s="16" t="n">
        <f aca="false">IF($J1629=0,0,MAX(0,$C1629+INT(DIAS_POR_SEMANA/2)-INDEX(ROTACAO_RDM!$I$6:$I$71,$J1629)))</f>
        <v>108</v>
      </c>
      <c r="O1629" s="19" t="n">
        <f aca="false">IF($J1629=0,0,MIN(1,$N1629/MAX(1,INDEX(ROTACAO_RDM!$K$6:$K$71,$J1629))))</f>
        <v>0.6</v>
      </c>
      <c r="P1629" s="16" t="n">
        <f aca="false">IF($J1629=0,0,IFERROR(MATCH(INDEX(ROTACAO_RDM!$N$6:$N$71,$J1629),PARAMETROS_CULTURAS!$B$6:$B$28,0),0))</f>
        <v>4</v>
      </c>
      <c r="Q1629" s="8" t="str">
        <f aca="false">IF($P1629=0,"-",IF($O1629&lt;=INDEX(PARAMETROS_CULTURAS!$F$6:$F$28,$P1629),"INICIAL",IF($O1629&lt;=INDEX(PARAMETROS_CULTURAS!$F$6:$F$28,$P1629)+INDEX(PARAMETROS_CULTURAS!$G$6:$G$28,$P1629),"DESENVOLVIMENTO",IF($O1629&lt;=INDEX(PARAMETROS_CULTURAS!$F$6:$F$28,$P1629)+INDEX(PARAMETROS_CULTURAS!$G$6:$G$28,$P1629)+INDEX(PARAMETROS_CULTURAS!$H$6:$H$28,$P1629),"MEDIA","FINAL"))))</f>
        <v>MEDIA</v>
      </c>
      <c r="R1629" s="24" t="n">
        <f aca="false">IF($P1629=0,0,IF($O1629&lt;=INDEX(PARAMETROS_CULTURAS!$F$6:$F$28,$P1629),INDEX(PARAMETROS_CULTURAS!$K$6:$K$28,$P1629),IF($O1629&lt;=INDEX(PARAMETROS_CULTURAS!$F$6:$F$28,$P1629)+INDEX(PARAMETROS_CULTURAS!$G$6:$G$28,$P1629),INDEX(PARAMETROS_CULTURAS!$K$6:$K$28,$P1629)+(INDEX(PARAMETROS_CULTURAS!$L$6:$L$28,$P1629)-INDEX(PARAMETROS_CULTURAS!$K$6:$K$28,$P1629))*($O1629-INDEX(PARAMETROS_CULTURAS!$F$6:$F$28,$P1629))/MAX(INDEX(PARAMETROS_CULTURAS!$G$6:$G$28,$P1629),0.0001),IF($O1629&lt;=INDEX(PARAMETROS_CULTURAS!$F$6:$F$28,$P1629)+INDEX(PARAMETROS_CULTURAS!$G$6:$G$28,$P1629)+INDEX(PARAMETROS_CULTURAS!$H$6:$H$28,$P1629),INDEX(PARAMETROS_CULTURAS!$L$6:$L$28,$P1629),INDEX(PARAMETROS_CULTURAS!$L$6:$L$28,$P1629)+(INDEX(PARAMETROS_CULTURAS!$M$6:$M$28,$P1629)-INDEX(PARAMETROS_CULTURAS!$L$6:$L$28,$P1629))*($O1629-INDEX(PARAMETROS_CULTURAS!$F$6:$F$28,$P1629)-INDEX(PARAMETROS_CULTURAS!$G$6:$G$28,$P1629)-INDEX(PARAMETROS_CULTURAS!$H$6:$H$28,$P1629))/MAX(INDEX(PARAMETROS_CULTURAS!$I$6:$I$28,$P1629),0.0001)))))</f>
        <v>1.15</v>
      </c>
      <c r="S1629" s="18" t="n">
        <f aca="false">IFERROR(INDEX(SEMANAS!$H$6:$H$71,MATCH($B1629,SEMANAS!$B$6:$B$71,0)),0)</f>
        <v>28.2</v>
      </c>
      <c r="T1629" s="18" t="n">
        <f aca="false">$R1629*$S1629</f>
        <v>32.43</v>
      </c>
      <c r="U1629" s="18" t="n">
        <f aca="false">IFERROR(INDEX(SEMANAS!$I$6:$I$71,MATCH($B1629,SEMANAS!$B$6:$B$71,0)),0)</f>
        <v>1.5</v>
      </c>
      <c r="V1629" s="18" t="n">
        <f aca="false">IFERROR(INDEX(SEMANAS!$J$6:$J$71,MATCH($B1629,SEMANAS!$B$6:$B$71,0)),0)</f>
        <v>1.2</v>
      </c>
      <c r="W1629" s="18" t="n">
        <f aca="false">MAX(0,$T1629-$V1629)</f>
        <v>31.23</v>
      </c>
      <c r="X1629" s="19" t="n">
        <f aca="false">IFERROR(INDEX(CADASTRO_PIVOS!$K$6:$K$41,MATCH($E1629,CADASTRO_PIVOS!$B$6:$B$41,0)),EFICIENCIA_PADRAO)</f>
        <v>0.85</v>
      </c>
      <c r="Y1629" s="18" t="n">
        <f aca="false">IF($X1629&lt;=0,0,$W1629/$X1629)</f>
        <v>36.7411764705882</v>
      </c>
      <c r="Z1629" s="16" t="n">
        <f aca="false">$Y1629*$H1629*MM_PARA_M3_HA</f>
        <v>53991.1588235294</v>
      </c>
      <c r="AA1629" s="18" t="n">
        <f aca="false">IFERROR(INDEX(CADASTRO_PIVOS!$I$6:$I$41,MATCH($E1629,CADASTRO_PIVOS!$B$6:$B$41,0)),0)</f>
        <v>1049.64285714286</v>
      </c>
      <c r="AB1629" s="18" t="n">
        <f aca="false">IF($Z1629&lt;=0,0,$Z1629/$AA1629)</f>
        <v>51.4376470588235</v>
      </c>
      <c r="AC1629" s="16" t="n">
        <f aca="false">IFERROR(INDEX(SEMANAS!$K$6:$K$71,MATCH($B1629,SEMANAS!$B$6:$B$71,0)),0)</f>
        <v>147</v>
      </c>
      <c r="AD1629" s="19" t="n">
        <f aca="false">IF($AC1629&lt;=0,0,$AB1629/$AC1629)</f>
        <v>0.349915966386555</v>
      </c>
      <c r="AE1629" s="8" t="str">
        <f aca="false">IF($K1629="SEM CULTURA","SEM CULTURA",IF($AA1629&lt;=0,"DADO PENDENTE",IF($AD1629&gt;LIMITE_CRITICO,"INVIAVEL",IF($AD1629&gt;LIMITE_ATENCAO,"CRITICO",IF($AD1629&gt;LIMITE_CONFORTAVEL,"ATENCAO","OK")))))</f>
        <v>OK</v>
      </c>
      <c r="AF1629" s="8" t="str">
        <f aca="false">$B1629&amp;"|"&amp;TEXT($AD1629,"0.000000")</f>
        <v>40|0.349916</v>
      </c>
      <c r="AG1629" s="18" t="n">
        <f aca="false">IF($K1629="SEM CULTURA",0,$T1629*$H1629)</f>
        <v>4765.5885</v>
      </c>
      <c r="AH1629" s="18" t="n">
        <f aca="false">IF($K1629="SEM CULTURA",0,$V1629*$H1629)</f>
        <v>176.34</v>
      </c>
      <c r="AI1629" s="18" t="n">
        <f aca="false">IF($K1629="SEM CULTURA",0,$W1629*$H1629)</f>
        <v>4589.2485</v>
      </c>
      <c r="AJ1629" s="18" t="n">
        <f aca="false">IF($K1629="SEM CULTURA",0,$S1629*$H1629)</f>
        <v>4143.99</v>
      </c>
      <c r="AK1629" s="8" t="str">
        <f aca="false">$E1629&amp;"|"&amp;TEXT($AD1629,"0.000000")</f>
        <v>PV 121|0.349916</v>
      </c>
    </row>
    <row r="1630" customFormat="false" ht="15" hidden="false" customHeight="false" outlineLevel="0" collapsed="false">
      <c r="B1630" s="16" t="n">
        <v>41</v>
      </c>
      <c r="C1630" s="17" t="n">
        <f aca="false">DATA_INICIO_SAFRA+($B1630-1)*DIAS_POR_SEMANA</f>
        <v>46545</v>
      </c>
      <c r="D1630" s="17" t="n">
        <f aca="false">$C1630+DIAS_POR_SEMANA-1</f>
        <v>46551</v>
      </c>
      <c r="E1630" s="15" t="s">
        <v>283</v>
      </c>
      <c r="F1630" s="8" t="str">
        <f aca="false">IFERROR(INDEX(CADASTRO_PIVOS!$C$6:$C$41,MATCH($E1630,CADASTRO_PIVOS!$B$6:$B$41,0)),"?")</f>
        <v>RM07</v>
      </c>
      <c r="G1630" s="8" t="str">
        <f aca="false">IFERROR(INDEX(CADASTRO_PIVOS!$D$6:$D$41,MATCH($E1630,CADASTRO_PIVOS!$B$6:$B$41,0)),"?")</f>
        <v>TR07</v>
      </c>
      <c r="H1630" s="20" t="n">
        <f aca="false">IFERROR(INDEX(CADASTRO_PIVOS!$E$6:$E$41,MATCH($E1630,CADASTRO_PIVOS!$B$6:$B$41,0)),0)</f>
        <v>146.95</v>
      </c>
      <c r="I1630" s="16" t="n">
        <f aca="false">IFERROR(SUMIFS(ROTACAO_RDM!$B$6:$B$71,ROTACAO_RDM!$D$6:$D$71,$E1630,ROTACAO_RDM!$I$6:$I$71,"&lt;="&amp;$C1630+INT(DIAS_POR_SEMANA/2),ROTACAO_RDM!$J$6:$J$71,"&gt;="&amp;$C1630+INT(DIAS_POR_SEMANA/2)),0)</f>
        <v>37</v>
      </c>
      <c r="J1630" s="16" t="n">
        <f aca="false">IFERROR(MATCH($I1630,ROTACAO_RDM!$B$6:$B$71,0),0)</f>
        <v>37</v>
      </c>
      <c r="K1630" s="8" t="str">
        <f aca="false">IF($J1630=0,"SEM CULTURA",INDEX(ROTACAO_RDM!$F$6:$F$71,$J1630))</f>
        <v>ALGODAO</v>
      </c>
      <c r="L1630" s="8" t="str">
        <f aca="false">IF($J1630=0,"",INDEX(ROTACAO_RDM!$G$6:$G$71,$J1630))</f>
        <v>FM 911 GLTP</v>
      </c>
      <c r="M1630" s="17" t="n">
        <f aca="false">IF($J1630=0,"",INDEX(ROTACAO_RDM!$I$6:$I$71,$J1630))</f>
        <v>46433</v>
      </c>
      <c r="N1630" s="16" t="n">
        <f aca="false">IF($J1630=0,0,MAX(0,$C1630+INT(DIAS_POR_SEMANA/2)-INDEX(ROTACAO_RDM!$I$6:$I$71,$J1630)))</f>
        <v>115</v>
      </c>
      <c r="O1630" s="19" t="n">
        <f aca="false">IF($J1630=0,0,MIN(1,$N1630/MAX(1,INDEX(ROTACAO_RDM!$K$6:$K$71,$J1630))))</f>
        <v>0.638888888888889</v>
      </c>
      <c r="P1630" s="16" t="n">
        <f aca="false">IF($J1630=0,0,IFERROR(MATCH(INDEX(ROTACAO_RDM!$N$6:$N$71,$J1630),PARAMETROS_CULTURAS!$B$6:$B$28,0),0))</f>
        <v>4</v>
      </c>
      <c r="Q1630" s="8" t="str">
        <f aca="false">IF($P1630=0,"-",IF($O1630&lt;=INDEX(PARAMETROS_CULTURAS!$F$6:$F$28,$P1630),"INICIAL",IF($O1630&lt;=INDEX(PARAMETROS_CULTURAS!$F$6:$F$28,$P1630)+INDEX(PARAMETROS_CULTURAS!$G$6:$G$28,$P1630),"DESENVOLVIMENTO",IF($O1630&lt;=INDEX(PARAMETROS_CULTURAS!$F$6:$F$28,$P1630)+INDEX(PARAMETROS_CULTURAS!$G$6:$G$28,$P1630)+INDEX(PARAMETROS_CULTURAS!$H$6:$H$28,$P1630),"MEDIA","FINAL"))))</f>
        <v>MEDIA</v>
      </c>
      <c r="R1630" s="24" t="n">
        <f aca="false">IF($P1630=0,0,IF($O1630&lt;=INDEX(PARAMETROS_CULTURAS!$F$6:$F$28,$P1630),INDEX(PARAMETROS_CULTURAS!$K$6:$K$28,$P1630),IF($O1630&lt;=INDEX(PARAMETROS_CULTURAS!$F$6:$F$28,$P1630)+INDEX(PARAMETROS_CULTURAS!$G$6:$G$28,$P1630),INDEX(PARAMETROS_CULTURAS!$K$6:$K$28,$P1630)+(INDEX(PARAMETROS_CULTURAS!$L$6:$L$28,$P1630)-INDEX(PARAMETROS_CULTURAS!$K$6:$K$28,$P1630))*($O1630-INDEX(PARAMETROS_CULTURAS!$F$6:$F$28,$P1630))/MAX(INDEX(PARAMETROS_CULTURAS!$G$6:$G$28,$P1630),0.0001),IF($O1630&lt;=INDEX(PARAMETROS_CULTURAS!$F$6:$F$28,$P1630)+INDEX(PARAMETROS_CULTURAS!$G$6:$G$28,$P1630)+INDEX(PARAMETROS_CULTURAS!$H$6:$H$28,$P1630),INDEX(PARAMETROS_CULTURAS!$L$6:$L$28,$P1630),INDEX(PARAMETROS_CULTURAS!$L$6:$L$28,$P1630)+(INDEX(PARAMETROS_CULTURAS!$M$6:$M$28,$P1630)-INDEX(PARAMETROS_CULTURAS!$L$6:$L$28,$P1630))*($O1630-INDEX(PARAMETROS_CULTURAS!$F$6:$F$28,$P1630)-INDEX(PARAMETROS_CULTURAS!$G$6:$G$28,$P1630)-INDEX(PARAMETROS_CULTURAS!$H$6:$H$28,$P1630))/MAX(INDEX(PARAMETROS_CULTURAS!$I$6:$I$28,$P1630),0.0001)))))</f>
        <v>1.15</v>
      </c>
      <c r="S1630" s="18" t="n">
        <f aca="false">IFERROR(INDEX(SEMANAS!$H$6:$H$71,MATCH($B1630,SEMANAS!$B$6:$B$71,0)),0)</f>
        <v>28</v>
      </c>
      <c r="T1630" s="18" t="n">
        <f aca="false">$R1630*$S1630</f>
        <v>32.2</v>
      </c>
      <c r="U1630" s="18" t="n">
        <f aca="false">IFERROR(INDEX(SEMANAS!$I$6:$I$71,MATCH($B1630,SEMANAS!$B$6:$B$71,0)),0)</f>
        <v>1.19</v>
      </c>
      <c r="V1630" s="18" t="n">
        <f aca="false">IFERROR(INDEX(SEMANAS!$J$6:$J$71,MATCH($B1630,SEMANAS!$B$6:$B$71,0)),0)</f>
        <v>0.952</v>
      </c>
      <c r="W1630" s="18" t="n">
        <f aca="false">MAX(0,$T1630-$V1630)</f>
        <v>31.248</v>
      </c>
      <c r="X1630" s="19" t="n">
        <f aca="false">IFERROR(INDEX(CADASTRO_PIVOS!$K$6:$K$41,MATCH($E1630,CADASTRO_PIVOS!$B$6:$B$41,0)),EFICIENCIA_PADRAO)</f>
        <v>0.85</v>
      </c>
      <c r="Y1630" s="18" t="n">
        <f aca="false">IF($X1630&lt;=0,0,$W1630/$X1630)</f>
        <v>36.7623529411765</v>
      </c>
      <c r="Z1630" s="16" t="n">
        <f aca="false">$Y1630*$H1630*MM_PARA_M3_HA</f>
        <v>54022.2776470588</v>
      </c>
      <c r="AA1630" s="18" t="n">
        <f aca="false">IFERROR(INDEX(CADASTRO_PIVOS!$I$6:$I$41,MATCH($E1630,CADASTRO_PIVOS!$B$6:$B$41,0)),0)</f>
        <v>1049.64285714286</v>
      </c>
      <c r="AB1630" s="18" t="n">
        <f aca="false">IF($Z1630&lt;=0,0,$Z1630/$AA1630)</f>
        <v>51.4672941176471</v>
      </c>
      <c r="AC1630" s="16" t="n">
        <f aca="false">IFERROR(INDEX(SEMANAS!$K$6:$K$71,MATCH($B1630,SEMANAS!$B$6:$B$71,0)),0)</f>
        <v>147</v>
      </c>
      <c r="AD1630" s="19" t="n">
        <f aca="false">IF($AC1630&lt;=0,0,$AB1630/$AC1630)</f>
        <v>0.350117647058824</v>
      </c>
      <c r="AE1630" s="8" t="str">
        <f aca="false">IF($K1630="SEM CULTURA","SEM CULTURA",IF($AA1630&lt;=0,"DADO PENDENTE",IF($AD1630&gt;LIMITE_CRITICO,"INVIAVEL",IF($AD1630&gt;LIMITE_ATENCAO,"CRITICO",IF($AD1630&gt;LIMITE_CONFORTAVEL,"ATENCAO","OK")))))</f>
        <v>OK</v>
      </c>
      <c r="AF1630" s="8" t="str">
        <f aca="false">$B1630&amp;"|"&amp;TEXT($AD1630,"0.000000")</f>
        <v>41|0.350118</v>
      </c>
      <c r="AG1630" s="18" t="n">
        <f aca="false">IF($K1630="SEM CULTURA",0,$T1630*$H1630)</f>
        <v>4731.79</v>
      </c>
      <c r="AH1630" s="18" t="n">
        <f aca="false">IF($K1630="SEM CULTURA",0,$V1630*$H1630)</f>
        <v>139.8964</v>
      </c>
      <c r="AI1630" s="18" t="n">
        <f aca="false">IF($K1630="SEM CULTURA",0,$W1630*$H1630)</f>
        <v>4591.8936</v>
      </c>
      <c r="AJ1630" s="18" t="n">
        <f aca="false">IF($K1630="SEM CULTURA",0,$S1630*$H1630)</f>
        <v>4114.6</v>
      </c>
      <c r="AK1630" s="8" t="str">
        <f aca="false">$E1630&amp;"|"&amp;TEXT($AD1630,"0.000000")</f>
        <v>PV 121|0.350118</v>
      </c>
    </row>
    <row r="1631" customFormat="false" ht="15" hidden="false" customHeight="false" outlineLevel="0" collapsed="false">
      <c r="B1631" s="16" t="n">
        <v>42</v>
      </c>
      <c r="C1631" s="17" t="n">
        <f aca="false">DATA_INICIO_SAFRA+($B1631-1)*DIAS_POR_SEMANA</f>
        <v>46552</v>
      </c>
      <c r="D1631" s="17" t="n">
        <f aca="false">$C1631+DIAS_POR_SEMANA-1</f>
        <v>46558</v>
      </c>
      <c r="E1631" s="15" t="s">
        <v>283</v>
      </c>
      <c r="F1631" s="8" t="str">
        <f aca="false">IFERROR(INDEX(CADASTRO_PIVOS!$C$6:$C$41,MATCH($E1631,CADASTRO_PIVOS!$B$6:$B$41,0)),"?")</f>
        <v>RM07</v>
      </c>
      <c r="G1631" s="8" t="str">
        <f aca="false">IFERROR(INDEX(CADASTRO_PIVOS!$D$6:$D$41,MATCH($E1631,CADASTRO_PIVOS!$B$6:$B$41,0)),"?")</f>
        <v>TR07</v>
      </c>
      <c r="H1631" s="20" t="n">
        <f aca="false">IFERROR(INDEX(CADASTRO_PIVOS!$E$6:$E$41,MATCH($E1631,CADASTRO_PIVOS!$B$6:$B$41,0)),0)</f>
        <v>146.95</v>
      </c>
      <c r="I1631" s="16" t="n">
        <f aca="false">IFERROR(SUMIFS(ROTACAO_RDM!$B$6:$B$71,ROTACAO_RDM!$D$6:$D$71,$E1631,ROTACAO_RDM!$I$6:$I$71,"&lt;="&amp;$C1631+INT(DIAS_POR_SEMANA/2),ROTACAO_RDM!$J$6:$J$71,"&gt;="&amp;$C1631+INT(DIAS_POR_SEMANA/2)),0)</f>
        <v>37</v>
      </c>
      <c r="J1631" s="16" t="n">
        <f aca="false">IFERROR(MATCH($I1631,ROTACAO_RDM!$B$6:$B$71,0),0)</f>
        <v>37</v>
      </c>
      <c r="K1631" s="8" t="str">
        <f aca="false">IF($J1631=0,"SEM CULTURA",INDEX(ROTACAO_RDM!$F$6:$F$71,$J1631))</f>
        <v>ALGODAO</v>
      </c>
      <c r="L1631" s="8" t="str">
        <f aca="false">IF($J1631=0,"",INDEX(ROTACAO_RDM!$G$6:$G$71,$J1631))</f>
        <v>FM 911 GLTP</v>
      </c>
      <c r="M1631" s="17" t="n">
        <f aca="false">IF($J1631=0,"",INDEX(ROTACAO_RDM!$I$6:$I$71,$J1631))</f>
        <v>46433</v>
      </c>
      <c r="N1631" s="16" t="n">
        <f aca="false">IF($J1631=0,0,MAX(0,$C1631+INT(DIAS_POR_SEMANA/2)-INDEX(ROTACAO_RDM!$I$6:$I$71,$J1631)))</f>
        <v>122</v>
      </c>
      <c r="O1631" s="19" t="n">
        <f aca="false">IF($J1631=0,0,MIN(1,$N1631/MAX(1,INDEX(ROTACAO_RDM!$K$6:$K$71,$J1631))))</f>
        <v>0.677777777777778</v>
      </c>
      <c r="P1631" s="16" t="n">
        <f aca="false">IF($J1631=0,0,IFERROR(MATCH(INDEX(ROTACAO_RDM!$N$6:$N$71,$J1631),PARAMETROS_CULTURAS!$B$6:$B$28,0),0))</f>
        <v>4</v>
      </c>
      <c r="Q1631" s="8" t="str">
        <f aca="false">IF($P1631=0,"-",IF($O1631&lt;=INDEX(PARAMETROS_CULTURAS!$F$6:$F$28,$P1631),"INICIAL",IF($O1631&lt;=INDEX(PARAMETROS_CULTURAS!$F$6:$F$28,$P1631)+INDEX(PARAMETROS_CULTURAS!$G$6:$G$28,$P1631),"DESENVOLVIMENTO",IF($O1631&lt;=INDEX(PARAMETROS_CULTURAS!$F$6:$F$28,$P1631)+INDEX(PARAMETROS_CULTURAS!$G$6:$G$28,$P1631)+INDEX(PARAMETROS_CULTURAS!$H$6:$H$28,$P1631),"MEDIA","FINAL"))))</f>
        <v>MEDIA</v>
      </c>
      <c r="R1631" s="24" t="n">
        <f aca="false">IF($P1631=0,0,IF($O1631&lt;=INDEX(PARAMETROS_CULTURAS!$F$6:$F$28,$P1631),INDEX(PARAMETROS_CULTURAS!$K$6:$K$28,$P1631),IF($O1631&lt;=INDEX(PARAMETROS_CULTURAS!$F$6:$F$28,$P1631)+INDEX(PARAMETROS_CULTURAS!$G$6:$G$28,$P1631),INDEX(PARAMETROS_CULTURAS!$K$6:$K$28,$P1631)+(INDEX(PARAMETROS_CULTURAS!$L$6:$L$28,$P1631)-INDEX(PARAMETROS_CULTURAS!$K$6:$K$28,$P1631))*($O1631-INDEX(PARAMETROS_CULTURAS!$F$6:$F$28,$P1631))/MAX(INDEX(PARAMETROS_CULTURAS!$G$6:$G$28,$P1631),0.0001),IF($O1631&lt;=INDEX(PARAMETROS_CULTURAS!$F$6:$F$28,$P1631)+INDEX(PARAMETROS_CULTURAS!$G$6:$G$28,$P1631)+INDEX(PARAMETROS_CULTURAS!$H$6:$H$28,$P1631),INDEX(PARAMETROS_CULTURAS!$L$6:$L$28,$P1631),INDEX(PARAMETROS_CULTURAS!$L$6:$L$28,$P1631)+(INDEX(PARAMETROS_CULTURAS!$M$6:$M$28,$P1631)-INDEX(PARAMETROS_CULTURAS!$L$6:$L$28,$P1631))*($O1631-INDEX(PARAMETROS_CULTURAS!$F$6:$F$28,$P1631)-INDEX(PARAMETROS_CULTURAS!$G$6:$G$28,$P1631)-INDEX(PARAMETROS_CULTURAS!$H$6:$H$28,$P1631))/MAX(INDEX(PARAMETROS_CULTURAS!$I$6:$I$28,$P1631),0.0001)))))</f>
        <v>1.15</v>
      </c>
      <c r="S1631" s="18" t="n">
        <f aca="false">IFERROR(INDEX(SEMANAS!$H$6:$H$71,MATCH($B1631,SEMANAS!$B$6:$B$71,0)),0)</f>
        <v>28</v>
      </c>
      <c r="T1631" s="18" t="n">
        <f aca="false">$R1631*$S1631</f>
        <v>32.2</v>
      </c>
      <c r="U1631" s="18" t="n">
        <f aca="false">IFERROR(INDEX(SEMANAS!$I$6:$I$71,MATCH($B1631,SEMANAS!$B$6:$B$71,0)),0)</f>
        <v>1.19</v>
      </c>
      <c r="V1631" s="18" t="n">
        <f aca="false">IFERROR(INDEX(SEMANAS!$J$6:$J$71,MATCH($B1631,SEMANAS!$B$6:$B$71,0)),0)</f>
        <v>0.952</v>
      </c>
      <c r="W1631" s="18" t="n">
        <f aca="false">MAX(0,$T1631-$V1631)</f>
        <v>31.248</v>
      </c>
      <c r="X1631" s="19" t="n">
        <f aca="false">IFERROR(INDEX(CADASTRO_PIVOS!$K$6:$K$41,MATCH($E1631,CADASTRO_PIVOS!$B$6:$B$41,0)),EFICIENCIA_PADRAO)</f>
        <v>0.85</v>
      </c>
      <c r="Y1631" s="18" t="n">
        <f aca="false">IF($X1631&lt;=0,0,$W1631/$X1631)</f>
        <v>36.7623529411765</v>
      </c>
      <c r="Z1631" s="16" t="n">
        <f aca="false">$Y1631*$H1631*MM_PARA_M3_HA</f>
        <v>54022.2776470588</v>
      </c>
      <c r="AA1631" s="18" t="n">
        <f aca="false">IFERROR(INDEX(CADASTRO_PIVOS!$I$6:$I$41,MATCH($E1631,CADASTRO_PIVOS!$B$6:$B$41,0)),0)</f>
        <v>1049.64285714286</v>
      </c>
      <c r="AB1631" s="18" t="n">
        <f aca="false">IF($Z1631&lt;=0,0,$Z1631/$AA1631)</f>
        <v>51.4672941176471</v>
      </c>
      <c r="AC1631" s="16" t="n">
        <f aca="false">IFERROR(INDEX(SEMANAS!$K$6:$K$71,MATCH($B1631,SEMANAS!$B$6:$B$71,0)),0)</f>
        <v>147</v>
      </c>
      <c r="AD1631" s="19" t="n">
        <f aca="false">IF($AC1631&lt;=0,0,$AB1631/$AC1631)</f>
        <v>0.350117647058824</v>
      </c>
      <c r="AE1631" s="8" t="str">
        <f aca="false">IF($K1631="SEM CULTURA","SEM CULTURA",IF($AA1631&lt;=0,"DADO PENDENTE",IF($AD1631&gt;LIMITE_CRITICO,"INVIAVEL",IF($AD1631&gt;LIMITE_ATENCAO,"CRITICO",IF($AD1631&gt;LIMITE_CONFORTAVEL,"ATENCAO","OK")))))</f>
        <v>OK</v>
      </c>
      <c r="AF1631" s="8" t="str">
        <f aca="false">$B1631&amp;"|"&amp;TEXT($AD1631,"0.000000")</f>
        <v>42|0.350118</v>
      </c>
      <c r="AG1631" s="18" t="n">
        <f aca="false">IF($K1631="SEM CULTURA",0,$T1631*$H1631)</f>
        <v>4731.79</v>
      </c>
      <c r="AH1631" s="18" t="n">
        <f aca="false">IF($K1631="SEM CULTURA",0,$V1631*$H1631)</f>
        <v>139.8964</v>
      </c>
      <c r="AI1631" s="18" t="n">
        <f aca="false">IF($K1631="SEM CULTURA",0,$W1631*$H1631)</f>
        <v>4591.8936</v>
      </c>
      <c r="AJ1631" s="18" t="n">
        <f aca="false">IF($K1631="SEM CULTURA",0,$S1631*$H1631)</f>
        <v>4114.6</v>
      </c>
      <c r="AK1631" s="8" t="str">
        <f aca="false">$E1631&amp;"|"&amp;TEXT($AD1631,"0.000000")</f>
        <v>PV 121|0.350118</v>
      </c>
    </row>
    <row r="1632" customFormat="false" ht="15" hidden="false" customHeight="false" outlineLevel="0" collapsed="false">
      <c r="B1632" s="16" t="n">
        <v>43</v>
      </c>
      <c r="C1632" s="17" t="n">
        <f aca="false">DATA_INICIO_SAFRA+($B1632-1)*DIAS_POR_SEMANA</f>
        <v>46559</v>
      </c>
      <c r="D1632" s="17" t="n">
        <f aca="false">$C1632+DIAS_POR_SEMANA-1</f>
        <v>46565</v>
      </c>
      <c r="E1632" s="15" t="s">
        <v>283</v>
      </c>
      <c r="F1632" s="8" t="str">
        <f aca="false">IFERROR(INDEX(CADASTRO_PIVOS!$C$6:$C$41,MATCH($E1632,CADASTRO_PIVOS!$B$6:$B$41,0)),"?")</f>
        <v>RM07</v>
      </c>
      <c r="G1632" s="8" t="str">
        <f aca="false">IFERROR(INDEX(CADASTRO_PIVOS!$D$6:$D$41,MATCH($E1632,CADASTRO_PIVOS!$B$6:$B$41,0)),"?")</f>
        <v>TR07</v>
      </c>
      <c r="H1632" s="20" t="n">
        <f aca="false">IFERROR(INDEX(CADASTRO_PIVOS!$E$6:$E$41,MATCH($E1632,CADASTRO_PIVOS!$B$6:$B$41,0)),0)</f>
        <v>146.95</v>
      </c>
      <c r="I1632" s="16" t="n">
        <f aca="false">IFERROR(SUMIFS(ROTACAO_RDM!$B$6:$B$71,ROTACAO_RDM!$D$6:$D$71,$E1632,ROTACAO_RDM!$I$6:$I$71,"&lt;="&amp;$C1632+INT(DIAS_POR_SEMANA/2),ROTACAO_RDM!$J$6:$J$71,"&gt;="&amp;$C1632+INT(DIAS_POR_SEMANA/2)),0)</f>
        <v>37</v>
      </c>
      <c r="J1632" s="16" t="n">
        <f aca="false">IFERROR(MATCH($I1632,ROTACAO_RDM!$B$6:$B$71,0),0)</f>
        <v>37</v>
      </c>
      <c r="K1632" s="8" t="str">
        <f aca="false">IF($J1632=0,"SEM CULTURA",INDEX(ROTACAO_RDM!$F$6:$F$71,$J1632))</f>
        <v>ALGODAO</v>
      </c>
      <c r="L1632" s="8" t="str">
        <f aca="false">IF($J1632=0,"",INDEX(ROTACAO_RDM!$G$6:$G$71,$J1632))</f>
        <v>FM 911 GLTP</v>
      </c>
      <c r="M1632" s="17" t="n">
        <f aca="false">IF($J1632=0,"",INDEX(ROTACAO_RDM!$I$6:$I$71,$J1632))</f>
        <v>46433</v>
      </c>
      <c r="N1632" s="16" t="n">
        <f aca="false">IF($J1632=0,0,MAX(0,$C1632+INT(DIAS_POR_SEMANA/2)-INDEX(ROTACAO_RDM!$I$6:$I$71,$J1632)))</f>
        <v>129</v>
      </c>
      <c r="O1632" s="19" t="n">
        <f aca="false">IF($J1632=0,0,MIN(1,$N1632/MAX(1,INDEX(ROTACAO_RDM!$K$6:$K$71,$J1632))))</f>
        <v>0.716666666666667</v>
      </c>
      <c r="P1632" s="16" t="n">
        <f aca="false">IF($J1632=0,0,IFERROR(MATCH(INDEX(ROTACAO_RDM!$N$6:$N$71,$J1632),PARAMETROS_CULTURAS!$B$6:$B$28,0),0))</f>
        <v>4</v>
      </c>
      <c r="Q1632" s="8" t="str">
        <f aca="false">IF($P1632=0,"-",IF($O1632&lt;=INDEX(PARAMETROS_CULTURAS!$F$6:$F$28,$P1632),"INICIAL",IF($O1632&lt;=INDEX(PARAMETROS_CULTURAS!$F$6:$F$28,$P1632)+INDEX(PARAMETROS_CULTURAS!$G$6:$G$28,$P1632),"DESENVOLVIMENTO",IF($O1632&lt;=INDEX(PARAMETROS_CULTURAS!$F$6:$F$28,$P1632)+INDEX(PARAMETROS_CULTURAS!$G$6:$G$28,$P1632)+INDEX(PARAMETROS_CULTURAS!$H$6:$H$28,$P1632),"MEDIA","FINAL"))))</f>
        <v>MEDIA</v>
      </c>
      <c r="R1632" s="24" t="n">
        <f aca="false">IF($P1632=0,0,IF($O1632&lt;=INDEX(PARAMETROS_CULTURAS!$F$6:$F$28,$P1632),INDEX(PARAMETROS_CULTURAS!$K$6:$K$28,$P1632),IF($O1632&lt;=INDEX(PARAMETROS_CULTURAS!$F$6:$F$28,$P1632)+INDEX(PARAMETROS_CULTURAS!$G$6:$G$28,$P1632),INDEX(PARAMETROS_CULTURAS!$K$6:$K$28,$P1632)+(INDEX(PARAMETROS_CULTURAS!$L$6:$L$28,$P1632)-INDEX(PARAMETROS_CULTURAS!$K$6:$K$28,$P1632))*($O1632-INDEX(PARAMETROS_CULTURAS!$F$6:$F$28,$P1632))/MAX(INDEX(PARAMETROS_CULTURAS!$G$6:$G$28,$P1632),0.0001),IF($O1632&lt;=INDEX(PARAMETROS_CULTURAS!$F$6:$F$28,$P1632)+INDEX(PARAMETROS_CULTURAS!$G$6:$G$28,$P1632)+INDEX(PARAMETROS_CULTURAS!$H$6:$H$28,$P1632),INDEX(PARAMETROS_CULTURAS!$L$6:$L$28,$P1632),INDEX(PARAMETROS_CULTURAS!$L$6:$L$28,$P1632)+(INDEX(PARAMETROS_CULTURAS!$M$6:$M$28,$P1632)-INDEX(PARAMETROS_CULTURAS!$L$6:$L$28,$P1632))*($O1632-INDEX(PARAMETROS_CULTURAS!$F$6:$F$28,$P1632)-INDEX(PARAMETROS_CULTURAS!$G$6:$G$28,$P1632)-INDEX(PARAMETROS_CULTURAS!$H$6:$H$28,$P1632))/MAX(INDEX(PARAMETROS_CULTURAS!$I$6:$I$28,$P1632),0.0001)))))</f>
        <v>1.15</v>
      </c>
      <c r="S1632" s="18" t="n">
        <f aca="false">IFERROR(INDEX(SEMANAS!$H$6:$H$71,MATCH($B1632,SEMANAS!$B$6:$B$71,0)),0)</f>
        <v>28</v>
      </c>
      <c r="T1632" s="18" t="n">
        <f aca="false">$R1632*$S1632</f>
        <v>32.2</v>
      </c>
      <c r="U1632" s="18" t="n">
        <f aca="false">IFERROR(INDEX(SEMANAS!$I$6:$I$71,MATCH($B1632,SEMANAS!$B$6:$B$71,0)),0)</f>
        <v>1.19</v>
      </c>
      <c r="V1632" s="18" t="n">
        <f aca="false">IFERROR(INDEX(SEMANAS!$J$6:$J$71,MATCH($B1632,SEMANAS!$B$6:$B$71,0)),0)</f>
        <v>0.952</v>
      </c>
      <c r="W1632" s="18" t="n">
        <f aca="false">MAX(0,$T1632-$V1632)</f>
        <v>31.248</v>
      </c>
      <c r="X1632" s="19" t="n">
        <f aca="false">IFERROR(INDEX(CADASTRO_PIVOS!$K$6:$K$41,MATCH($E1632,CADASTRO_PIVOS!$B$6:$B$41,0)),EFICIENCIA_PADRAO)</f>
        <v>0.85</v>
      </c>
      <c r="Y1632" s="18" t="n">
        <f aca="false">IF($X1632&lt;=0,0,$W1632/$X1632)</f>
        <v>36.7623529411765</v>
      </c>
      <c r="Z1632" s="16" t="n">
        <f aca="false">$Y1632*$H1632*MM_PARA_M3_HA</f>
        <v>54022.2776470588</v>
      </c>
      <c r="AA1632" s="18" t="n">
        <f aca="false">IFERROR(INDEX(CADASTRO_PIVOS!$I$6:$I$41,MATCH($E1632,CADASTRO_PIVOS!$B$6:$B$41,0)),0)</f>
        <v>1049.64285714286</v>
      </c>
      <c r="AB1632" s="18" t="n">
        <f aca="false">IF($Z1632&lt;=0,0,$Z1632/$AA1632)</f>
        <v>51.4672941176471</v>
      </c>
      <c r="AC1632" s="16" t="n">
        <f aca="false">IFERROR(INDEX(SEMANAS!$K$6:$K$71,MATCH($B1632,SEMANAS!$B$6:$B$71,0)),0)</f>
        <v>147</v>
      </c>
      <c r="AD1632" s="19" t="n">
        <f aca="false">IF($AC1632&lt;=0,0,$AB1632/$AC1632)</f>
        <v>0.350117647058824</v>
      </c>
      <c r="AE1632" s="8" t="str">
        <f aca="false">IF($K1632="SEM CULTURA","SEM CULTURA",IF($AA1632&lt;=0,"DADO PENDENTE",IF($AD1632&gt;LIMITE_CRITICO,"INVIAVEL",IF($AD1632&gt;LIMITE_ATENCAO,"CRITICO",IF($AD1632&gt;LIMITE_CONFORTAVEL,"ATENCAO","OK")))))</f>
        <v>OK</v>
      </c>
      <c r="AF1632" s="8" t="str">
        <f aca="false">$B1632&amp;"|"&amp;TEXT($AD1632,"0.000000")</f>
        <v>43|0.350118</v>
      </c>
      <c r="AG1632" s="18" t="n">
        <f aca="false">IF($K1632="SEM CULTURA",0,$T1632*$H1632)</f>
        <v>4731.79</v>
      </c>
      <c r="AH1632" s="18" t="n">
        <f aca="false">IF($K1632="SEM CULTURA",0,$V1632*$H1632)</f>
        <v>139.8964</v>
      </c>
      <c r="AI1632" s="18" t="n">
        <f aca="false">IF($K1632="SEM CULTURA",0,$W1632*$H1632)</f>
        <v>4591.8936</v>
      </c>
      <c r="AJ1632" s="18" t="n">
        <f aca="false">IF($K1632="SEM CULTURA",0,$S1632*$H1632)</f>
        <v>4114.6</v>
      </c>
      <c r="AK1632" s="8" t="str">
        <f aca="false">$E1632&amp;"|"&amp;TEXT($AD1632,"0.000000")</f>
        <v>PV 121|0.350118</v>
      </c>
    </row>
    <row r="1633" customFormat="false" ht="15" hidden="false" customHeight="false" outlineLevel="0" collapsed="false">
      <c r="B1633" s="16" t="n">
        <v>44</v>
      </c>
      <c r="C1633" s="17" t="n">
        <f aca="false">DATA_INICIO_SAFRA+($B1633-1)*DIAS_POR_SEMANA</f>
        <v>46566</v>
      </c>
      <c r="D1633" s="17" t="n">
        <f aca="false">$C1633+DIAS_POR_SEMANA-1</f>
        <v>46572</v>
      </c>
      <c r="E1633" s="15" t="s">
        <v>283</v>
      </c>
      <c r="F1633" s="8" t="str">
        <f aca="false">IFERROR(INDEX(CADASTRO_PIVOS!$C$6:$C$41,MATCH($E1633,CADASTRO_PIVOS!$B$6:$B$41,0)),"?")</f>
        <v>RM07</v>
      </c>
      <c r="G1633" s="8" t="str">
        <f aca="false">IFERROR(INDEX(CADASTRO_PIVOS!$D$6:$D$41,MATCH($E1633,CADASTRO_PIVOS!$B$6:$B$41,0)),"?")</f>
        <v>TR07</v>
      </c>
      <c r="H1633" s="20" t="n">
        <f aca="false">IFERROR(INDEX(CADASTRO_PIVOS!$E$6:$E$41,MATCH($E1633,CADASTRO_PIVOS!$B$6:$B$41,0)),0)</f>
        <v>146.95</v>
      </c>
      <c r="I1633" s="16" t="n">
        <f aca="false">IFERROR(SUMIFS(ROTACAO_RDM!$B$6:$B$71,ROTACAO_RDM!$D$6:$D$71,$E1633,ROTACAO_RDM!$I$6:$I$71,"&lt;="&amp;$C1633+INT(DIAS_POR_SEMANA/2),ROTACAO_RDM!$J$6:$J$71,"&gt;="&amp;$C1633+INT(DIAS_POR_SEMANA/2)),0)</f>
        <v>37</v>
      </c>
      <c r="J1633" s="16" t="n">
        <f aca="false">IFERROR(MATCH($I1633,ROTACAO_RDM!$B$6:$B$71,0),0)</f>
        <v>37</v>
      </c>
      <c r="K1633" s="8" t="str">
        <f aca="false">IF($J1633=0,"SEM CULTURA",INDEX(ROTACAO_RDM!$F$6:$F$71,$J1633))</f>
        <v>ALGODAO</v>
      </c>
      <c r="L1633" s="8" t="str">
        <f aca="false">IF($J1633=0,"",INDEX(ROTACAO_RDM!$G$6:$G$71,$J1633))</f>
        <v>FM 911 GLTP</v>
      </c>
      <c r="M1633" s="17" t="n">
        <f aca="false">IF($J1633=0,"",INDEX(ROTACAO_RDM!$I$6:$I$71,$J1633))</f>
        <v>46433</v>
      </c>
      <c r="N1633" s="16" t="n">
        <f aca="false">IF($J1633=0,0,MAX(0,$C1633+INT(DIAS_POR_SEMANA/2)-INDEX(ROTACAO_RDM!$I$6:$I$71,$J1633)))</f>
        <v>136</v>
      </c>
      <c r="O1633" s="19" t="n">
        <f aca="false">IF($J1633=0,0,MIN(1,$N1633/MAX(1,INDEX(ROTACAO_RDM!$K$6:$K$71,$J1633))))</f>
        <v>0.755555555555556</v>
      </c>
      <c r="P1633" s="16" t="n">
        <f aca="false">IF($J1633=0,0,IFERROR(MATCH(INDEX(ROTACAO_RDM!$N$6:$N$71,$J1633),PARAMETROS_CULTURAS!$B$6:$B$28,0),0))</f>
        <v>4</v>
      </c>
      <c r="Q1633" s="8" t="str">
        <f aca="false">IF($P1633=0,"-",IF($O1633&lt;=INDEX(PARAMETROS_CULTURAS!$F$6:$F$28,$P1633),"INICIAL",IF($O1633&lt;=INDEX(PARAMETROS_CULTURAS!$F$6:$F$28,$P1633)+INDEX(PARAMETROS_CULTURAS!$G$6:$G$28,$P1633),"DESENVOLVIMENTO",IF($O1633&lt;=INDEX(PARAMETROS_CULTURAS!$F$6:$F$28,$P1633)+INDEX(PARAMETROS_CULTURAS!$G$6:$G$28,$P1633)+INDEX(PARAMETROS_CULTURAS!$H$6:$H$28,$P1633),"MEDIA","FINAL"))))</f>
        <v>FINAL</v>
      </c>
      <c r="R1633" s="24" t="n">
        <f aca="false">IF($P1633=0,0,IF($O1633&lt;=INDEX(PARAMETROS_CULTURAS!$F$6:$F$28,$P1633),INDEX(PARAMETROS_CULTURAS!$K$6:$K$28,$P1633),IF($O1633&lt;=INDEX(PARAMETROS_CULTURAS!$F$6:$F$28,$P1633)+INDEX(PARAMETROS_CULTURAS!$G$6:$G$28,$P1633),INDEX(PARAMETROS_CULTURAS!$K$6:$K$28,$P1633)+(INDEX(PARAMETROS_CULTURAS!$L$6:$L$28,$P1633)-INDEX(PARAMETROS_CULTURAS!$K$6:$K$28,$P1633))*($O1633-INDEX(PARAMETROS_CULTURAS!$F$6:$F$28,$P1633))/MAX(INDEX(PARAMETROS_CULTURAS!$G$6:$G$28,$P1633),0.0001),IF($O1633&lt;=INDEX(PARAMETROS_CULTURAS!$F$6:$F$28,$P1633)+INDEX(PARAMETROS_CULTURAS!$G$6:$G$28,$P1633)+INDEX(PARAMETROS_CULTURAS!$H$6:$H$28,$P1633),INDEX(PARAMETROS_CULTURAS!$L$6:$L$28,$P1633),INDEX(PARAMETROS_CULTURAS!$L$6:$L$28,$P1633)+(INDEX(PARAMETROS_CULTURAS!$M$6:$M$28,$P1633)-INDEX(PARAMETROS_CULTURAS!$L$6:$L$28,$P1633))*($O1633-INDEX(PARAMETROS_CULTURAS!$F$6:$F$28,$P1633)-INDEX(PARAMETROS_CULTURAS!$G$6:$G$28,$P1633)-INDEX(PARAMETROS_CULTURAS!$H$6:$H$28,$P1633))/MAX(INDEX(PARAMETROS_CULTURAS!$I$6:$I$28,$P1633),0.0001)))))</f>
        <v>1.13777777777778</v>
      </c>
      <c r="S1633" s="18" t="n">
        <f aca="false">IFERROR(INDEX(SEMANAS!$H$6:$H$71,MATCH($B1633,SEMANAS!$B$6:$B$71,0)),0)</f>
        <v>29.2</v>
      </c>
      <c r="T1633" s="18" t="n">
        <f aca="false">$R1633*$S1633</f>
        <v>33.2231111111111</v>
      </c>
      <c r="U1633" s="18" t="n">
        <f aca="false">IFERROR(INDEX(SEMANAS!$I$6:$I$71,MATCH($B1633,SEMANAS!$B$6:$B$71,0)),0)</f>
        <v>0.91</v>
      </c>
      <c r="V1633" s="18" t="n">
        <f aca="false">IFERROR(INDEX(SEMANAS!$J$6:$J$71,MATCH($B1633,SEMANAS!$B$6:$B$71,0)),0)</f>
        <v>0.728</v>
      </c>
      <c r="W1633" s="18" t="n">
        <f aca="false">MAX(0,$T1633-$V1633)</f>
        <v>32.4951111111111</v>
      </c>
      <c r="X1633" s="19" t="n">
        <f aca="false">IFERROR(INDEX(CADASTRO_PIVOS!$K$6:$K$41,MATCH($E1633,CADASTRO_PIVOS!$B$6:$B$41,0)),EFICIENCIA_PADRAO)</f>
        <v>0.85</v>
      </c>
      <c r="Y1633" s="18" t="n">
        <f aca="false">IF($X1633&lt;=0,0,$W1633/$X1633)</f>
        <v>38.2295424836601</v>
      </c>
      <c r="Z1633" s="16" t="n">
        <f aca="false">$Y1633*$H1633*MM_PARA_M3_HA</f>
        <v>56178.3126797386</v>
      </c>
      <c r="AA1633" s="18" t="n">
        <f aca="false">IFERROR(INDEX(CADASTRO_PIVOS!$I$6:$I$41,MATCH($E1633,CADASTRO_PIVOS!$B$6:$B$41,0)),0)</f>
        <v>1049.64285714286</v>
      </c>
      <c r="AB1633" s="18" t="n">
        <f aca="false">IF($Z1633&lt;=0,0,$Z1633/$AA1633)</f>
        <v>53.5213594771242</v>
      </c>
      <c r="AC1633" s="16" t="n">
        <f aca="false">IFERROR(INDEX(SEMANAS!$K$6:$K$71,MATCH($B1633,SEMANAS!$B$6:$B$71,0)),0)</f>
        <v>147</v>
      </c>
      <c r="AD1633" s="19" t="n">
        <f aca="false">IF($AC1633&lt;=0,0,$AB1633/$AC1633)</f>
        <v>0.364090880796763</v>
      </c>
      <c r="AE1633" s="8" t="str">
        <f aca="false">IF($K1633="SEM CULTURA","SEM CULTURA",IF($AA1633&lt;=0,"DADO PENDENTE",IF($AD1633&gt;LIMITE_CRITICO,"INVIAVEL",IF($AD1633&gt;LIMITE_ATENCAO,"CRITICO",IF($AD1633&gt;LIMITE_CONFORTAVEL,"ATENCAO","OK")))))</f>
        <v>OK</v>
      </c>
      <c r="AF1633" s="8" t="str">
        <f aca="false">$B1633&amp;"|"&amp;TEXT($AD1633,"0.000000")</f>
        <v>44|0.364091</v>
      </c>
      <c r="AG1633" s="18" t="n">
        <f aca="false">IF($K1633="SEM CULTURA",0,$T1633*$H1633)</f>
        <v>4882.13617777778</v>
      </c>
      <c r="AH1633" s="18" t="n">
        <f aca="false">IF($K1633="SEM CULTURA",0,$V1633*$H1633)</f>
        <v>106.9796</v>
      </c>
      <c r="AI1633" s="18" t="n">
        <f aca="false">IF($K1633="SEM CULTURA",0,$W1633*$H1633)</f>
        <v>4775.15657777778</v>
      </c>
      <c r="AJ1633" s="18" t="n">
        <f aca="false">IF($K1633="SEM CULTURA",0,$S1633*$H1633)</f>
        <v>4290.94</v>
      </c>
      <c r="AK1633" s="8" t="str">
        <f aca="false">$E1633&amp;"|"&amp;TEXT($AD1633,"0.000000")</f>
        <v>PV 121|0.364091</v>
      </c>
    </row>
    <row r="1634" customFormat="false" ht="15" hidden="false" customHeight="false" outlineLevel="0" collapsed="false">
      <c r="B1634" s="16" t="n">
        <v>45</v>
      </c>
      <c r="C1634" s="17" t="n">
        <f aca="false">DATA_INICIO_SAFRA+($B1634-1)*DIAS_POR_SEMANA</f>
        <v>46573</v>
      </c>
      <c r="D1634" s="17" t="n">
        <f aca="false">$C1634+DIAS_POR_SEMANA-1</f>
        <v>46579</v>
      </c>
      <c r="E1634" s="15" t="s">
        <v>283</v>
      </c>
      <c r="F1634" s="8" t="str">
        <f aca="false">IFERROR(INDEX(CADASTRO_PIVOS!$C$6:$C$41,MATCH($E1634,CADASTRO_PIVOS!$B$6:$B$41,0)),"?")</f>
        <v>RM07</v>
      </c>
      <c r="G1634" s="8" t="str">
        <f aca="false">IFERROR(INDEX(CADASTRO_PIVOS!$D$6:$D$41,MATCH($E1634,CADASTRO_PIVOS!$B$6:$B$41,0)),"?")</f>
        <v>TR07</v>
      </c>
      <c r="H1634" s="20" t="n">
        <f aca="false">IFERROR(INDEX(CADASTRO_PIVOS!$E$6:$E$41,MATCH($E1634,CADASTRO_PIVOS!$B$6:$B$41,0)),0)</f>
        <v>146.95</v>
      </c>
      <c r="I1634" s="16" t="n">
        <f aca="false">IFERROR(SUMIFS(ROTACAO_RDM!$B$6:$B$71,ROTACAO_RDM!$D$6:$D$71,$E1634,ROTACAO_RDM!$I$6:$I$71,"&lt;="&amp;$C1634+INT(DIAS_POR_SEMANA/2),ROTACAO_RDM!$J$6:$J$71,"&gt;="&amp;$C1634+INT(DIAS_POR_SEMANA/2)),0)</f>
        <v>37</v>
      </c>
      <c r="J1634" s="16" t="n">
        <f aca="false">IFERROR(MATCH($I1634,ROTACAO_RDM!$B$6:$B$71,0),0)</f>
        <v>37</v>
      </c>
      <c r="K1634" s="8" t="str">
        <f aca="false">IF($J1634=0,"SEM CULTURA",INDEX(ROTACAO_RDM!$F$6:$F$71,$J1634))</f>
        <v>ALGODAO</v>
      </c>
      <c r="L1634" s="8" t="str">
        <f aca="false">IF($J1634=0,"",INDEX(ROTACAO_RDM!$G$6:$G$71,$J1634))</f>
        <v>FM 911 GLTP</v>
      </c>
      <c r="M1634" s="17" t="n">
        <f aca="false">IF($J1634=0,"",INDEX(ROTACAO_RDM!$I$6:$I$71,$J1634))</f>
        <v>46433</v>
      </c>
      <c r="N1634" s="16" t="n">
        <f aca="false">IF($J1634=0,0,MAX(0,$C1634+INT(DIAS_POR_SEMANA/2)-INDEX(ROTACAO_RDM!$I$6:$I$71,$J1634)))</f>
        <v>143</v>
      </c>
      <c r="O1634" s="19" t="n">
        <f aca="false">IF($J1634=0,0,MIN(1,$N1634/MAX(1,INDEX(ROTACAO_RDM!$K$6:$K$71,$J1634))))</f>
        <v>0.794444444444444</v>
      </c>
      <c r="P1634" s="16" t="n">
        <f aca="false">IF($J1634=0,0,IFERROR(MATCH(INDEX(ROTACAO_RDM!$N$6:$N$71,$J1634),PARAMETROS_CULTURAS!$B$6:$B$28,0),0))</f>
        <v>4</v>
      </c>
      <c r="Q1634" s="8" t="str">
        <f aca="false">IF($P1634=0,"-",IF($O1634&lt;=INDEX(PARAMETROS_CULTURAS!$F$6:$F$28,$P1634),"INICIAL",IF($O1634&lt;=INDEX(PARAMETROS_CULTURAS!$F$6:$F$28,$P1634)+INDEX(PARAMETROS_CULTURAS!$G$6:$G$28,$P1634),"DESENVOLVIMENTO",IF($O1634&lt;=INDEX(PARAMETROS_CULTURAS!$F$6:$F$28,$P1634)+INDEX(PARAMETROS_CULTURAS!$G$6:$G$28,$P1634)+INDEX(PARAMETROS_CULTURAS!$H$6:$H$28,$P1634),"MEDIA","FINAL"))))</f>
        <v>FINAL</v>
      </c>
      <c r="R1634" s="24" t="n">
        <f aca="false">IF($P1634=0,0,IF($O1634&lt;=INDEX(PARAMETROS_CULTURAS!$F$6:$F$28,$P1634),INDEX(PARAMETROS_CULTURAS!$K$6:$K$28,$P1634),IF($O1634&lt;=INDEX(PARAMETROS_CULTURAS!$F$6:$F$28,$P1634)+INDEX(PARAMETROS_CULTURAS!$G$6:$G$28,$P1634),INDEX(PARAMETROS_CULTURAS!$K$6:$K$28,$P1634)+(INDEX(PARAMETROS_CULTURAS!$L$6:$L$28,$P1634)-INDEX(PARAMETROS_CULTURAS!$K$6:$K$28,$P1634))*($O1634-INDEX(PARAMETROS_CULTURAS!$F$6:$F$28,$P1634))/MAX(INDEX(PARAMETROS_CULTURAS!$G$6:$G$28,$P1634),0.0001),IF($O1634&lt;=INDEX(PARAMETROS_CULTURAS!$F$6:$F$28,$P1634)+INDEX(PARAMETROS_CULTURAS!$G$6:$G$28,$P1634)+INDEX(PARAMETROS_CULTURAS!$H$6:$H$28,$P1634),INDEX(PARAMETROS_CULTURAS!$L$6:$L$28,$P1634),INDEX(PARAMETROS_CULTURAS!$L$6:$L$28,$P1634)+(INDEX(PARAMETROS_CULTURAS!$M$6:$M$28,$P1634)-INDEX(PARAMETROS_CULTURAS!$L$6:$L$28,$P1634))*($O1634-INDEX(PARAMETROS_CULTURAS!$F$6:$F$28,$P1634)-INDEX(PARAMETROS_CULTURAS!$G$6:$G$28,$P1634)-INDEX(PARAMETROS_CULTURAS!$H$6:$H$28,$P1634))/MAX(INDEX(PARAMETROS_CULTURAS!$I$6:$I$28,$P1634),0.0001)))))</f>
        <v>1.05222222222222</v>
      </c>
      <c r="S1634" s="18" t="n">
        <f aca="false">IFERROR(INDEX(SEMANAS!$H$6:$H$71,MATCH($B1634,SEMANAS!$B$6:$B$71,0)),0)</f>
        <v>30.1</v>
      </c>
      <c r="T1634" s="18" t="n">
        <f aca="false">$R1634*$S1634</f>
        <v>31.6718888888889</v>
      </c>
      <c r="U1634" s="18" t="n">
        <f aca="false">IFERROR(INDEX(SEMANAS!$I$6:$I$71,MATCH($B1634,SEMANAS!$B$6:$B$71,0)),0)</f>
        <v>0.7</v>
      </c>
      <c r="V1634" s="18" t="n">
        <f aca="false">IFERROR(INDEX(SEMANAS!$J$6:$J$71,MATCH($B1634,SEMANAS!$B$6:$B$71,0)),0)</f>
        <v>0.56</v>
      </c>
      <c r="W1634" s="18" t="n">
        <f aca="false">MAX(0,$T1634-$V1634)</f>
        <v>31.1118888888889</v>
      </c>
      <c r="X1634" s="19" t="n">
        <f aca="false">IFERROR(INDEX(CADASTRO_PIVOS!$K$6:$K$41,MATCH($E1634,CADASTRO_PIVOS!$B$6:$B$41,0)),EFICIENCIA_PADRAO)</f>
        <v>0.85</v>
      </c>
      <c r="Y1634" s="18" t="n">
        <f aca="false">IF($X1634&lt;=0,0,$W1634/$X1634)</f>
        <v>36.6022222222222</v>
      </c>
      <c r="Z1634" s="16" t="n">
        <f aca="false">$Y1634*$H1634*MM_PARA_M3_HA</f>
        <v>53786.9655555556</v>
      </c>
      <c r="AA1634" s="18" t="n">
        <f aca="false">IFERROR(INDEX(CADASTRO_PIVOS!$I$6:$I$41,MATCH($E1634,CADASTRO_PIVOS!$B$6:$B$41,0)),0)</f>
        <v>1049.64285714286</v>
      </c>
      <c r="AB1634" s="18" t="n">
        <f aca="false">IF($Z1634&lt;=0,0,$Z1634/$AA1634)</f>
        <v>51.2431111111111</v>
      </c>
      <c r="AC1634" s="16" t="n">
        <f aca="false">IFERROR(INDEX(SEMANAS!$K$6:$K$71,MATCH($B1634,SEMANAS!$B$6:$B$71,0)),0)</f>
        <v>147</v>
      </c>
      <c r="AD1634" s="19" t="n">
        <f aca="false">IF($AC1634&lt;=0,0,$AB1634/$AC1634)</f>
        <v>0.348592592592593</v>
      </c>
      <c r="AE1634" s="8" t="str">
        <f aca="false">IF($K1634="SEM CULTURA","SEM CULTURA",IF($AA1634&lt;=0,"DADO PENDENTE",IF($AD1634&gt;LIMITE_CRITICO,"INVIAVEL",IF($AD1634&gt;LIMITE_ATENCAO,"CRITICO",IF($AD1634&gt;LIMITE_CONFORTAVEL,"ATENCAO","OK")))))</f>
        <v>OK</v>
      </c>
      <c r="AF1634" s="8" t="str">
        <f aca="false">$B1634&amp;"|"&amp;TEXT($AD1634,"0.000000")</f>
        <v>45|0.348593</v>
      </c>
      <c r="AG1634" s="18" t="n">
        <f aca="false">IF($K1634="SEM CULTURA",0,$T1634*$H1634)</f>
        <v>4654.18407222222</v>
      </c>
      <c r="AH1634" s="18" t="n">
        <f aca="false">IF($K1634="SEM CULTURA",0,$V1634*$H1634)</f>
        <v>82.292</v>
      </c>
      <c r="AI1634" s="18" t="n">
        <f aca="false">IF($K1634="SEM CULTURA",0,$W1634*$H1634)</f>
        <v>4571.89207222222</v>
      </c>
      <c r="AJ1634" s="18" t="n">
        <f aca="false">IF($K1634="SEM CULTURA",0,$S1634*$H1634)</f>
        <v>4423.195</v>
      </c>
      <c r="AK1634" s="8" t="str">
        <f aca="false">$E1634&amp;"|"&amp;TEXT($AD1634,"0.000000")</f>
        <v>PV 121|0.348593</v>
      </c>
    </row>
    <row r="1635" customFormat="false" ht="15" hidden="false" customHeight="false" outlineLevel="0" collapsed="false">
      <c r="B1635" s="16" t="n">
        <v>46</v>
      </c>
      <c r="C1635" s="17" t="n">
        <f aca="false">DATA_INICIO_SAFRA+($B1635-1)*DIAS_POR_SEMANA</f>
        <v>46580</v>
      </c>
      <c r="D1635" s="17" t="n">
        <f aca="false">$C1635+DIAS_POR_SEMANA-1</f>
        <v>46586</v>
      </c>
      <c r="E1635" s="15" t="s">
        <v>283</v>
      </c>
      <c r="F1635" s="8" t="str">
        <f aca="false">IFERROR(INDEX(CADASTRO_PIVOS!$C$6:$C$41,MATCH($E1635,CADASTRO_PIVOS!$B$6:$B$41,0)),"?")</f>
        <v>RM07</v>
      </c>
      <c r="G1635" s="8" t="str">
        <f aca="false">IFERROR(INDEX(CADASTRO_PIVOS!$D$6:$D$41,MATCH($E1635,CADASTRO_PIVOS!$B$6:$B$41,0)),"?")</f>
        <v>TR07</v>
      </c>
      <c r="H1635" s="20" t="n">
        <f aca="false">IFERROR(INDEX(CADASTRO_PIVOS!$E$6:$E$41,MATCH($E1635,CADASTRO_PIVOS!$B$6:$B$41,0)),0)</f>
        <v>146.95</v>
      </c>
      <c r="I1635" s="16" t="n">
        <f aca="false">IFERROR(SUMIFS(ROTACAO_RDM!$B$6:$B$71,ROTACAO_RDM!$D$6:$D$71,$E1635,ROTACAO_RDM!$I$6:$I$71,"&lt;="&amp;$C1635+INT(DIAS_POR_SEMANA/2),ROTACAO_RDM!$J$6:$J$71,"&gt;="&amp;$C1635+INT(DIAS_POR_SEMANA/2)),0)</f>
        <v>37</v>
      </c>
      <c r="J1635" s="16" t="n">
        <f aca="false">IFERROR(MATCH($I1635,ROTACAO_RDM!$B$6:$B$71,0),0)</f>
        <v>37</v>
      </c>
      <c r="K1635" s="8" t="str">
        <f aca="false">IF($J1635=0,"SEM CULTURA",INDEX(ROTACAO_RDM!$F$6:$F$71,$J1635))</f>
        <v>ALGODAO</v>
      </c>
      <c r="L1635" s="8" t="str">
        <f aca="false">IF($J1635=0,"",INDEX(ROTACAO_RDM!$G$6:$G$71,$J1635))</f>
        <v>FM 911 GLTP</v>
      </c>
      <c r="M1635" s="17" t="n">
        <f aca="false">IF($J1635=0,"",INDEX(ROTACAO_RDM!$I$6:$I$71,$J1635))</f>
        <v>46433</v>
      </c>
      <c r="N1635" s="16" t="n">
        <f aca="false">IF($J1635=0,0,MAX(0,$C1635+INT(DIAS_POR_SEMANA/2)-INDEX(ROTACAO_RDM!$I$6:$I$71,$J1635)))</f>
        <v>150</v>
      </c>
      <c r="O1635" s="19" t="n">
        <f aca="false">IF($J1635=0,0,MIN(1,$N1635/MAX(1,INDEX(ROTACAO_RDM!$K$6:$K$71,$J1635))))</f>
        <v>0.833333333333333</v>
      </c>
      <c r="P1635" s="16" t="n">
        <f aca="false">IF($J1635=0,0,IFERROR(MATCH(INDEX(ROTACAO_RDM!$N$6:$N$71,$J1635),PARAMETROS_CULTURAS!$B$6:$B$28,0),0))</f>
        <v>4</v>
      </c>
      <c r="Q1635" s="8" t="str">
        <f aca="false">IF($P1635=0,"-",IF($O1635&lt;=INDEX(PARAMETROS_CULTURAS!$F$6:$F$28,$P1635),"INICIAL",IF($O1635&lt;=INDEX(PARAMETROS_CULTURAS!$F$6:$F$28,$P1635)+INDEX(PARAMETROS_CULTURAS!$G$6:$G$28,$P1635),"DESENVOLVIMENTO",IF($O1635&lt;=INDEX(PARAMETROS_CULTURAS!$F$6:$F$28,$P1635)+INDEX(PARAMETROS_CULTURAS!$G$6:$G$28,$P1635)+INDEX(PARAMETROS_CULTURAS!$H$6:$H$28,$P1635),"MEDIA","FINAL"))))</f>
        <v>FINAL</v>
      </c>
      <c r="R1635" s="24" t="n">
        <f aca="false">IF($P1635=0,0,IF($O1635&lt;=INDEX(PARAMETROS_CULTURAS!$F$6:$F$28,$P1635),INDEX(PARAMETROS_CULTURAS!$K$6:$K$28,$P1635),IF($O1635&lt;=INDEX(PARAMETROS_CULTURAS!$F$6:$F$28,$P1635)+INDEX(PARAMETROS_CULTURAS!$G$6:$G$28,$P1635),INDEX(PARAMETROS_CULTURAS!$K$6:$K$28,$P1635)+(INDEX(PARAMETROS_CULTURAS!$L$6:$L$28,$P1635)-INDEX(PARAMETROS_CULTURAS!$K$6:$K$28,$P1635))*($O1635-INDEX(PARAMETROS_CULTURAS!$F$6:$F$28,$P1635))/MAX(INDEX(PARAMETROS_CULTURAS!$G$6:$G$28,$P1635),0.0001),IF($O1635&lt;=INDEX(PARAMETROS_CULTURAS!$F$6:$F$28,$P1635)+INDEX(PARAMETROS_CULTURAS!$G$6:$G$28,$P1635)+INDEX(PARAMETROS_CULTURAS!$H$6:$H$28,$P1635),INDEX(PARAMETROS_CULTURAS!$L$6:$L$28,$P1635),INDEX(PARAMETROS_CULTURAS!$L$6:$L$28,$P1635)+(INDEX(PARAMETROS_CULTURAS!$M$6:$M$28,$P1635)-INDEX(PARAMETROS_CULTURAS!$L$6:$L$28,$P1635))*($O1635-INDEX(PARAMETROS_CULTURAS!$F$6:$F$28,$P1635)-INDEX(PARAMETROS_CULTURAS!$G$6:$G$28,$P1635)-INDEX(PARAMETROS_CULTURAS!$H$6:$H$28,$P1635))/MAX(INDEX(PARAMETROS_CULTURAS!$I$6:$I$28,$P1635),0.0001)))))</f>
        <v>0.966666666666667</v>
      </c>
      <c r="S1635" s="18" t="n">
        <f aca="false">IFERROR(INDEX(SEMANAS!$H$6:$H$71,MATCH($B1635,SEMANAS!$B$6:$B$71,0)),0)</f>
        <v>30.1</v>
      </c>
      <c r="T1635" s="18" t="n">
        <f aca="false">$R1635*$S1635</f>
        <v>29.0966666666667</v>
      </c>
      <c r="U1635" s="18" t="n">
        <f aca="false">IFERROR(INDEX(SEMANAS!$I$6:$I$71,MATCH($B1635,SEMANAS!$B$6:$B$71,0)),0)</f>
        <v>0.7</v>
      </c>
      <c r="V1635" s="18" t="n">
        <f aca="false">IFERROR(INDEX(SEMANAS!$J$6:$J$71,MATCH($B1635,SEMANAS!$B$6:$B$71,0)),0)</f>
        <v>0.56</v>
      </c>
      <c r="W1635" s="18" t="n">
        <f aca="false">MAX(0,$T1635-$V1635)</f>
        <v>28.5366666666667</v>
      </c>
      <c r="X1635" s="19" t="n">
        <f aca="false">IFERROR(INDEX(CADASTRO_PIVOS!$K$6:$K$41,MATCH($E1635,CADASTRO_PIVOS!$B$6:$B$41,0)),EFICIENCIA_PADRAO)</f>
        <v>0.85</v>
      </c>
      <c r="Y1635" s="18" t="n">
        <f aca="false">IF($X1635&lt;=0,0,$W1635/$X1635)</f>
        <v>33.5725490196078</v>
      </c>
      <c r="Z1635" s="16" t="n">
        <f aca="false">$Y1635*$H1635*MM_PARA_M3_HA</f>
        <v>49334.8607843137</v>
      </c>
      <c r="AA1635" s="18" t="n">
        <f aca="false">IFERROR(INDEX(CADASTRO_PIVOS!$I$6:$I$41,MATCH($E1635,CADASTRO_PIVOS!$B$6:$B$41,0)),0)</f>
        <v>1049.64285714286</v>
      </c>
      <c r="AB1635" s="18" t="n">
        <f aca="false">IF($Z1635&lt;=0,0,$Z1635/$AA1635)</f>
        <v>47.001568627451</v>
      </c>
      <c r="AC1635" s="16" t="n">
        <f aca="false">IFERROR(INDEX(SEMANAS!$K$6:$K$71,MATCH($B1635,SEMANAS!$B$6:$B$71,0)),0)</f>
        <v>147</v>
      </c>
      <c r="AD1635" s="19" t="n">
        <f aca="false">IF($AC1635&lt;=0,0,$AB1635/$AC1635)</f>
        <v>0.319738562091503</v>
      </c>
      <c r="AE1635" s="8" t="str">
        <f aca="false">IF($K1635="SEM CULTURA","SEM CULTURA",IF($AA1635&lt;=0,"DADO PENDENTE",IF($AD1635&gt;LIMITE_CRITICO,"INVIAVEL",IF($AD1635&gt;LIMITE_ATENCAO,"CRITICO",IF($AD1635&gt;LIMITE_CONFORTAVEL,"ATENCAO","OK")))))</f>
        <v>OK</v>
      </c>
      <c r="AF1635" s="8" t="str">
        <f aca="false">$B1635&amp;"|"&amp;TEXT($AD1635,"0.000000")</f>
        <v>46|0.319739</v>
      </c>
      <c r="AG1635" s="18" t="n">
        <f aca="false">IF($K1635="SEM CULTURA",0,$T1635*$H1635)</f>
        <v>4275.75516666667</v>
      </c>
      <c r="AH1635" s="18" t="n">
        <f aca="false">IF($K1635="SEM CULTURA",0,$V1635*$H1635)</f>
        <v>82.292</v>
      </c>
      <c r="AI1635" s="18" t="n">
        <f aca="false">IF($K1635="SEM CULTURA",0,$W1635*$H1635)</f>
        <v>4193.46316666667</v>
      </c>
      <c r="AJ1635" s="18" t="n">
        <f aca="false">IF($K1635="SEM CULTURA",0,$S1635*$H1635)</f>
        <v>4423.195</v>
      </c>
      <c r="AK1635" s="8" t="str">
        <f aca="false">$E1635&amp;"|"&amp;TEXT($AD1635,"0.000000")</f>
        <v>PV 121|0.319739</v>
      </c>
    </row>
    <row r="1636" customFormat="false" ht="15" hidden="false" customHeight="false" outlineLevel="0" collapsed="false">
      <c r="B1636" s="16" t="n">
        <v>47</v>
      </c>
      <c r="C1636" s="17" t="n">
        <f aca="false">DATA_INICIO_SAFRA+($B1636-1)*DIAS_POR_SEMANA</f>
        <v>46587</v>
      </c>
      <c r="D1636" s="17" t="n">
        <f aca="false">$C1636+DIAS_POR_SEMANA-1</f>
        <v>46593</v>
      </c>
      <c r="E1636" s="15" t="s">
        <v>283</v>
      </c>
      <c r="F1636" s="8" t="str">
        <f aca="false">IFERROR(INDEX(CADASTRO_PIVOS!$C$6:$C$41,MATCH($E1636,CADASTRO_PIVOS!$B$6:$B$41,0)),"?")</f>
        <v>RM07</v>
      </c>
      <c r="G1636" s="8" t="str">
        <f aca="false">IFERROR(INDEX(CADASTRO_PIVOS!$D$6:$D$41,MATCH($E1636,CADASTRO_PIVOS!$B$6:$B$41,0)),"?")</f>
        <v>TR07</v>
      </c>
      <c r="H1636" s="20" t="n">
        <f aca="false">IFERROR(INDEX(CADASTRO_PIVOS!$E$6:$E$41,MATCH($E1636,CADASTRO_PIVOS!$B$6:$B$41,0)),0)</f>
        <v>146.95</v>
      </c>
      <c r="I1636" s="16" t="n">
        <f aca="false">IFERROR(SUMIFS(ROTACAO_RDM!$B$6:$B$71,ROTACAO_RDM!$D$6:$D$71,$E1636,ROTACAO_RDM!$I$6:$I$71,"&lt;="&amp;$C1636+INT(DIAS_POR_SEMANA/2),ROTACAO_RDM!$J$6:$J$71,"&gt;="&amp;$C1636+INT(DIAS_POR_SEMANA/2)),0)</f>
        <v>37</v>
      </c>
      <c r="J1636" s="16" t="n">
        <f aca="false">IFERROR(MATCH($I1636,ROTACAO_RDM!$B$6:$B$71,0),0)</f>
        <v>37</v>
      </c>
      <c r="K1636" s="8" t="str">
        <f aca="false">IF($J1636=0,"SEM CULTURA",INDEX(ROTACAO_RDM!$F$6:$F$71,$J1636))</f>
        <v>ALGODAO</v>
      </c>
      <c r="L1636" s="8" t="str">
        <f aca="false">IF($J1636=0,"",INDEX(ROTACAO_RDM!$G$6:$G$71,$J1636))</f>
        <v>FM 911 GLTP</v>
      </c>
      <c r="M1636" s="17" t="n">
        <f aca="false">IF($J1636=0,"",INDEX(ROTACAO_RDM!$I$6:$I$71,$J1636))</f>
        <v>46433</v>
      </c>
      <c r="N1636" s="16" t="n">
        <f aca="false">IF($J1636=0,0,MAX(0,$C1636+INT(DIAS_POR_SEMANA/2)-INDEX(ROTACAO_RDM!$I$6:$I$71,$J1636)))</f>
        <v>157</v>
      </c>
      <c r="O1636" s="19" t="n">
        <f aca="false">IF($J1636=0,0,MIN(1,$N1636/MAX(1,INDEX(ROTACAO_RDM!$K$6:$K$71,$J1636))))</f>
        <v>0.872222222222222</v>
      </c>
      <c r="P1636" s="16" t="n">
        <f aca="false">IF($J1636=0,0,IFERROR(MATCH(INDEX(ROTACAO_RDM!$N$6:$N$71,$J1636),PARAMETROS_CULTURAS!$B$6:$B$28,0),0))</f>
        <v>4</v>
      </c>
      <c r="Q1636" s="8" t="str">
        <f aca="false">IF($P1636=0,"-",IF($O1636&lt;=INDEX(PARAMETROS_CULTURAS!$F$6:$F$28,$P1636),"INICIAL",IF($O1636&lt;=INDEX(PARAMETROS_CULTURAS!$F$6:$F$28,$P1636)+INDEX(PARAMETROS_CULTURAS!$G$6:$G$28,$P1636),"DESENVOLVIMENTO",IF($O1636&lt;=INDEX(PARAMETROS_CULTURAS!$F$6:$F$28,$P1636)+INDEX(PARAMETROS_CULTURAS!$G$6:$G$28,$P1636)+INDEX(PARAMETROS_CULTURAS!$H$6:$H$28,$P1636),"MEDIA","FINAL"))))</f>
        <v>FINAL</v>
      </c>
      <c r="R1636" s="24" t="n">
        <f aca="false">IF($P1636=0,0,IF($O1636&lt;=INDEX(PARAMETROS_CULTURAS!$F$6:$F$28,$P1636),INDEX(PARAMETROS_CULTURAS!$K$6:$K$28,$P1636),IF($O1636&lt;=INDEX(PARAMETROS_CULTURAS!$F$6:$F$28,$P1636)+INDEX(PARAMETROS_CULTURAS!$G$6:$G$28,$P1636),INDEX(PARAMETROS_CULTURAS!$K$6:$K$28,$P1636)+(INDEX(PARAMETROS_CULTURAS!$L$6:$L$28,$P1636)-INDEX(PARAMETROS_CULTURAS!$K$6:$K$28,$P1636))*($O1636-INDEX(PARAMETROS_CULTURAS!$F$6:$F$28,$P1636))/MAX(INDEX(PARAMETROS_CULTURAS!$G$6:$G$28,$P1636),0.0001),IF($O1636&lt;=INDEX(PARAMETROS_CULTURAS!$F$6:$F$28,$P1636)+INDEX(PARAMETROS_CULTURAS!$G$6:$G$28,$P1636)+INDEX(PARAMETROS_CULTURAS!$H$6:$H$28,$P1636),INDEX(PARAMETROS_CULTURAS!$L$6:$L$28,$P1636),INDEX(PARAMETROS_CULTURAS!$L$6:$L$28,$P1636)+(INDEX(PARAMETROS_CULTURAS!$M$6:$M$28,$P1636)-INDEX(PARAMETROS_CULTURAS!$L$6:$L$28,$P1636))*($O1636-INDEX(PARAMETROS_CULTURAS!$F$6:$F$28,$P1636)-INDEX(PARAMETROS_CULTURAS!$G$6:$G$28,$P1636)-INDEX(PARAMETROS_CULTURAS!$H$6:$H$28,$P1636))/MAX(INDEX(PARAMETROS_CULTURAS!$I$6:$I$28,$P1636),0.0001)))))</f>
        <v>0.881111111111111</v>
      </c>
      <c r="S1636" s="18" t="n">
        <f aca="false">IFERROR(INDEX(SEMANAS!$H$6:$H$71,MATCH($B1636,SEMANAS!$B$6:$B$71,0)),0)</f>
        <v>30.1</v>
      </c>
      <c r="T1636" s="18" t="n">
        <f aca="false">$R1636*$S1636</f>
        <v>26.5214444444444</v>
      </c>
      <c r="U1636" s="18" t="n">
        <f aca="false">IFERROR(INDEX(SEMANAS!$I$6:$I$71,MATCH($B1636,SEMANAS!$B$6:$B$71,0)),0)</f>
        <v>0.7</v>
      </c>
      <c r="V1636" s="18" t="n">
        <f aca="false">IFERROR(INDEX(SEMANAS!$J$6:$J$71,MATCH($B1636,SEMANAS!$B$6:$B$71,0)),0)</f>
        <v>0.56</v>
      </c>
      <c r="W1636" s="18" t="n">
        <f aca="false">MAX(0,$T1636-$V1636)</f>
        <v>25.9614444444444</v>
      </c>
      <c r="X1636" s="19" t="n">
        <f aca="false">IFERROR(INDEX(CADASTRO_PIVOS!$K$6:$K$41,MATCH($E1636,CADASTRO_PIVOS!$B$6:$B$41,0)),EFICIENCIA_PADRAO)</f>
        <v>0.85</v>
      </c>
      <c r="Y1636" s="18" t="n">
        <f aca="false">IF($X1636&lt;=0,0,$W1636/$X1636)</f>
        <v>30.5428758169935</v>
      </c>
      <c r="Z1636" s="16" t="n">
        <f aca="false">$Y1636*$H1636*MM_PARA_M3_HA</f>
        <v>44882.7560130719</v>
      </c>
      <c r="AA1636" s="18" t="n">
        <f aca="false">IFERROR(INDEX(CADASTRO_PIVOS!$I$6:$I$41,MATCH($E1636,CADASTRO_PIVOS!$B$6:$B$41,0)),0)</f>
        <v>1049.64285714286</v>
      </c>
      <c r="AB1636" s="18" t="n">
        <f aca="false">IF($Z1636&lt;=0,0,$Z1636/$AA1636)</f>
        <v>42.7600261437908</v>
      </c>
      <c r="AC1636" s="16" t="n">
        <f aca="false">IFERROR(INDEX(SEMANAS!$K$6:$K$71,MATCH($B1636,SEMANAS!$B$6:$B$71,0)),0)</f>
        <v>147</v>
      </c>
      <c r="AD1636" s="19" t="n">
        <f aca="false">IF($AC1636&lt;=0,0,$AB1636/$AC1636)</f>
        <v>0.290884531590414</v>
      </c>
      <c r="AE1636" s="8" t="str">
        <f aca="false">IF($K1636="SEM CULTURA","SEM CULTURA",IF($AA1636&lt;=0,"DADO PENDENTE",IF($AD1636&gt;LIMITE_CRITICO,"INVIAVEL",IF($AD1636&gt;LIMITE_ATENCAO,"CRITICO",IF($AD1636&gt;LIMITE_CONFORTAVEL,"ATENCAO","OK")))))</f>
        <v>OK</v>
      </c>
      <c r="AF1636" s="8" t="str">
        <f aca="false">$B1636&amp;"|"&amp;TEXT($AD1636,"0.000000")</f>
        <v>47|0.290885</v>
      </c>
      <c r="AG1636" s="18" t="n">
        <f aca="false">IF($K1636="SEM CULTURA",0,$T1636*$H1636)</f>
        <v>3897.32626111111</v>
      </c>
      <c r="AH1636" s="18" t="n">
        <f aca="false">IF($K1636="SEM CULTURA",0,$V1636*$H1636)</f>
        <v>82.292</v>
      </c>
      <c r="AI1636" s="18" t="n">
        <f aca="false">IF($K1636="SEM CULTURA",0,$W1636*$H1636)</f>
        <v>3815.03426111111</v>
      </c>
      <c r="AJ1636" s="18" t="n">
        <f aca="false">IF($K1636="SEM CULTURA",0,$S1636*$H1636)</f>
        <v>4423.195</v>
      </c>
      <c r="AK1636" s="8" t="str">
        <f aca="false">$E1636&amp;"|"&amp;TEXT($AD1636,"0.000000")</f>
        <v>PV 121|0.290885</v>
      </c>
    </row>
    <row r="1637" customFormat="false" ht="15" hidden="false" customHeight="false" outlineLevel="0" collapsed="false">
      <c r="B1637" s="16" t="n">
        <v>48</v>
      </c>
      <c r="C1637" s="17" t="n">
        <f aca="false">DATA_INICIO_SAFRA+($B1637-1)*DIAS_POR_SEMANA</f>
        <v>46594</v>
      </c>
      <c r="D1637" s="17" t="n">
        <f aca="false">$C1637+DIAS_POR_SEMANA-1</f>
        <v>46600</v>
      </c>
      <c r="E1637" s="15" t="s">
        <v>283</v>
      </c>
      <c r="F1637" s="8" t="str">
        <f aca="false">IFERROR(INDEX(CADASTRO_PIVOS!$C$6:$C$41,MATCH($E1637,CADASTRO_PIVOS!$B$6:$B$41,0)),"?")</f>
        <v>RM07</v>
      </c>
      <c r="G1637" s="8" t="str">
        <f aca="false">IFERROR(INDEX(CADASTRO_PIVOS!$D$6:$D$41,MATCH($E1637,CADASTRO_PIVOS!$B$6:$B$41,0)),"?")</f>
        <v>TR07</v>
      </c>
      <c r="H1637" s="20" t="n">
        <f aca="false">IFERROR(INDEX(CADASTRO_PIVOS!$E$6:$E$41,MATCH($E1637,CADASTRO_PIVOS!$B$6:$B$41,0)),0)</f>
        <v>146.95</v>
      </c>
      <c r="I1637" s="16" t="n">
        <f aca="false">IFERROR(SUMIFS(ROTACAO_RDM!$B$6:$B$71,ROTACAO_RDM!$D$6:$D$71,$E1637,ROTACAO_RDM!$I$6:$I$71,"&lt;="&amp;$C1637+INT(DIAS_POR_SEMANA/2),ROTACAO_RDM!$J$6:$J$71,"&gt;="&amp;$C1637+INT(DIAS_POR_SEMANA/2)),0)</f>
        <v>37</v>
      </c>
      <c r="J1637" s="16" t="n">
        <f aca="false">IFERROR(MATCH($I1637,ROTACAO_RDM!$B$6:$B$71,0),0)</f>
        <v>37</v>
      </c>
      <c r="K1637" s="8" t="str">
        <f aca="false">IF($J1637=0,"SEM CULTURA",INDEX(ROTACAO_RDM!$F$6:$F$71,$J1637))</f>
        <v>ALGODAO</v>
      </c>
      <c r="L1637" s="8" t="str">
        <f aca="false">IF($J1637=0,"",INDEX(ROTACAO_RDM!$G$6:$G$71,$J1637))</f>
        <v>FM 911 GLTP</v>
      </c>
      <c r="M1637" s="17" t="n">
        <f aca="false">IF($J1637=0,"",INDEX(ROTACAO_RDM!$I$6:$I$71,$J1637))</f>
        <v>46433</v>
      </c>
      <c r="N1637" s="16" t="n">
        <f aca="false">IF($J1637=0,0,MAX(0,$C1637+INT(DIAS_POR_SEMANA/2)-INDEX(ROTACAO_RDM!$I$6:$I$71,$J1637)))</f>
        <v>164</v>
      </c>
      <c r="O1637" s="19" t="n">
        <f aca="false">IF($J1637=0,0,MIN(1,$N1637/MAX(1,INDEX(ROTACAO_RDM!$K$6:$K$71,$J1637))))</f>
        <v>0.911111111111111</v>
      </c>
      <c r="P1637" s="16" t="n">
        <f aca="false">IF($J1637=0,0,IFERROR(MATCH(INDEX(ROTACAO_RDM!$N$6:$N$71,$J1637),PARAMETROS_CULTURAS!$B$6:$B$28,0),0))</f>
        <v>4</v>
      </c>
      <c r="Q1637" s="8" t="str">
        <f aca="false">IF($P1637=0,"-",IF($O1637&lt;=INDEX(PARAMETROS_CULTURAS!$F$6:$F$28,$P1637),"INICIAL",IF($O1637&lt;=INDEX(PARAMETROS_CULTURAS!$F$6:$F$28,$P1637)+INDEX(PARAMETROS_CULTURAS!$G$6:$G$28,$P1637),"DESENVOLVIMENTO",IF($O1637&lt;=INDEX(PARAMETROS_CULTURAS!$F$6:$F$28,$P1637)+INDEX(PARAMETROS_CULTURAS!$G$6:$G$28,$P1637)+INDEX(PARAMETROS_CULTURAS!$H$6:$H$28,$P1637),"MEDIA","FINAL"))))</f>
        <v>FINAL</v>
      </c>
      <c r="R1637" s="24" t="n">
        <f aca="false">IF($P1637=0,0,IF($O1637&lt;=INDEX(PARAMETROS_CULTURAS!$F$6:$F$28,$P1637),INDEX(PARAMETROS_CULTURAS!$K$6:$K$28,$P1637),IF($O1637&lt;=INDEX(PARAMETROS_CULTURAS!$F$6:$F$28,$P1637)+INDEX(PARAMETROS_CULTURAS!$G$6:$G$28,$P1637),INDEX(PARAMETROS_CULTURAS!$K$6:$K$28,$P1637)+(INDEX(PARAMETROS_CULTURAS!$L$6:$L$28,$P1637)-INDEX(PARAMETROS_CULTURAS!$K$6:$K$28,$P1637))*($O1637-INDEX(PARAMETROS_CULTURAS!$F$6:$F$28,$P1637))/MAX(INDEX(PARAMETROS_CULTURAS!$G$6:$G$28,$P1637),0.0001),IF($O1637&lt;=INDEX(PARAMETROS_CULTURAS!$F$6:$F$28,$P1637)+INDEX(PARAMETROS_CULTURAS!$G$6:$G$28,$P1637)+INDEX(PARAMETROS_CULTURAS!$H$6:$H$28,$P1637),INDEX(PARAMETROS_CULTURAS!$L$6:$L$28,$P1637),INDEX(PARAMETROS_CULTURAS!$L$6:$L$28,$P1637)+(INDEX(PARAMETROS_CULTURAS!$M$6:$M$28,$P1637)-INDEX(PARAMETROS_CULTURAS!$L$6:$L$28,$P1637))*($O1637-INDEX(PARAMETROS_CULTURAS!$F$6:$F$28,$P1637)-INDEX(PARAMETROS_CULTURAS!$G$6:$G$28,$P1637)-INDEX(PARAMETROS_CULTURAS!$H$6:$H$28,$P1637))/MAX(INDEX(PARAMETROS_CULTURAS!$I$6:$I$28,$P1637),0.0001)))))</f>
        <v>0.795555555555556</v>
      </c>
      <c r="S1637" s="18" t="n">
        <f aca="false">IFERROR(INDEX(SEMANAS!$H$6:$H$71,MATCH($B1637,SEMANAS!$B$6:$B$71,0)),0)</f>
        <v>31</v>
      </c>
      <c r="T1637" s="18" t="n">
        <f aca="false">$R1637*$S1637</f>
        <v>24.6622222222222</v>
      </c>
      <c r="U1637" s="18" t="n">
        <f aca="false">IFERROR(INDEX(SEMANAS!$I$6:$I$71,MATCH($B1637,SEMANAS!$B$6:$B$71,0)),0)</f>
        <v>0.76</v>
      </c>
      <c r="V1637" s="18" t="n">
        <f aca="false">IFERROR(INDEX(SEMANAS!$J$6:$J$71,MATCH($B1637,SEMANAS!$B$6:$B$71,0)),0)</f>
        <v>0.608</v>
      </c>
      <c r="W1637" s="18" t="n">
        <f aca="false">MAX(0,$T1637-$V1637)</f>
        <v>24.0542222222222</v>
      </c>
      <c r="X1637" s="19" t="n">
        <f aca="false">IFERROR(INDEX(CADASTRO_PIVOS!$K$6:$K$41,MATCH($E1637,CADASTRO_PIVOS!$B$6:$B$41,0)),EFICIENCIA_PADRAO)</f>
        <v>0.85</v>
      </c>
      <c r="Y1637" s="18" t="n">
        <f aca="false">IF($X1637&lt;=0,0,$W1637/$X1637)</f>
        <v>28.2990849673203</v>
      </c>
      <c r="Z1637" s="16" t="n">
        <f aca="false">$Y1637*$H1637*MM_PARA_M3_HA</f>
        <v>41585.5053594771</v>
      </c>
      <c r="AA1637" s="18" t="n">
        <f aca="false">IFERROR(INDEX(CADASTRO_PIVOS!$I$6:$I$41,MATCH($E1637,CADASTRO_PIVOS!$B$6:$B$41,0)),0)</f>
        <v>1049.64285714286</v>
      </c>
      <c r="AB1637" s="18" t="n">
        <f aca="false">IF($Z1637&lt;=0,0,$Z1637/$AA1637)</f>
        <v>39.6187189542484</v>
      </c>
      <c r="AC1637" s="16" t="n">
        <f aca="false">IFERROR(INDEX(SEMANAS!$K$6:$K$71,MATCH($B1637,SEMANAS!$B$6:$B$71,0)),0)</f>
        <v>147</v>
      </c>
      <c r="AD1637" s="19" t="n">
        <f aca="false">IF($AC1637&lt;=0,0,$AB1637/$AC1637)</f>
        <v>0.26951509492686</v>
      </c>
      <c r="AE1637" s="8" t="str">
        <f aca="false">IF($K1637="SEM CULTURA","SEM CULTURA",IF($AA1637&lt;=0,"DADO PENDENTE",IF($AD1637&gt;LIMITE_CRITICO,"INVIAVEL",IF($AD1637&gt;LIMITE_ATENCAO,"CRITICO",IF($AD1637&gt;LIMITE_CONFORTAVEL,"ATENCAO","OK")))))</f>
        <v>OK</v>
      </c>
      <c r="AF1637" s="8" t="str">
        <f aca="false">$B1637&amp;"|"&amp;TEXT($AD1637,"0.000000")</f>
        <v>48|0.269515</v>
      </c>
      <c r="AG1637" s="18" t="n">
        <f aca="false">IF($K1637="SEM CULTURA",0,$T1637*$H1637)</f>
        <v>3624.11355555556</v>
      </c>
      <c r="AH1637" s="18" t="n">
        <f aca="false">IF($K1637="SEM CULTURA",0,$V1637*$H1637)</f>
        <v>89.3456</v>
      </c>
      <c r="AI1637" s="18" t="n">
        <f aca="false">IF($K1637="SEM CULTURA",0,$W1637*$H1637)</f>
        <v>3534.76795555556</v>
      </c>
      <c r="AJ1637" s="18" t="n">
        <f aca="false">IF($K1637="SEM CULTURA",0,$S1637*$H1637)</f>
        <v>4555.45</v>
      </c>
      <c r="AK1637" s="8" t="str">
        <f aca="false">$E1637&amp;"|"&amp;TEXT($AD1637,"0.000000")</f>
        <v>PV 121|0.269515</v>
      </c>
    </row>
    <row r="1638" customFormat="false" ht="15" hidden="false" customHeight="false" outlineLevel="0" collapsed="false">
      <c r="B1638" s="16" t="n">
        <v>49</v>
      </c>
      <c r="C1638" s="17" t="n">
        <f aca="false">DATA_INICIO_SAFRA+($B1638-1)*DIAS_POR_SEMANA</f>
        <v>46601</v>
      </c>
      <c r="D1638" s="17" t="n">
        <f aca="false">$C1638+DIAS_POR_SEMANA-1</f>
        <v>46607</v>
      </c>
      <c r="E1638" s="15" t="s">
        <v>283</v>
      </c>
      <c r="F1638" s="8" t="str">
        <f aca="false">IFERROR(INDEX(CADASTRO_PIVOS!$C$6:$C$41,MATCH($E1638,CADASTRO_PIVOS!$B$6:$B$41,0)),"?")</f>
        <v>RM07</v>
      </c>
      <c r="G1638" s="8" t="str">
        <f aca="false">IFERROR(INDEX(CADASTRO_PIVOS!$D$6:$D$41,MATCH($E1638,CADASTRO_PIVOS!$B$6:$B$41,0)),"?")</f>
        <v>TR07</v>
      </c>
      <c r="H1638" s="20" t="n">
        <f aca="false">IFERROR(INDEX(CADASTRO_PIVOS!$E$6:$E$41,MATCH($E1638,CADASTRO_PIVOS!$B$6:$B$41,0)),0)</f>
        <v>146.95</v>
      </c>
      <c r="I1638" s="16" t="n">
        <f aca="false">IFERROR(SUMIFS(ROTACAO_RDM!$B$6:$B$71,ROTACAO_RDM!$D$6:$D$71,$E1638,ROTACAO_RDM!$I$6:$I$71,"&lt;="&amp;$C1638+INT(DIAS_POR_SEMANA/2),ROTACAO_RDM!$J$6:$J$71,"&gt;="&amp;$C1638+INT(DIAS_POR_SEMANA/2)),0)</f>
        <v>37</v>
      </c>
      <c r="J1638" s="16" t="n">
        <f aca="false">IFERROR(MATCH($I1638,ROTACAO_RDM!$B$6:$B$71,0),0)</f>
        <v>37</v>
      </c>
      <c r="K1638" s="8" t="str">
        <f aca="false">IF($J1638=0,"SEM CULTURA",INDEX(ROTACAO_RDM!$F$6:$F$71,$J1638))</f>
        <v>ALGODAO</v>
      </c>
      <c r="L1638" s="8" t="str">
        <f aca="false">IF($J1638=0,"",INDEX(ROTACAO_RDM!$G$6:$G$71,$J1638))</f>
        <v>FM 911 GLTP</v>
      </c>
      <c r="M1638" s="17" t="n">
        <f aca="false">IF($J1638=0,"",INDEX(ROTACAO_RDM!$I$6:$I$71,$J1638))</f>
        <v>46433</v>
      </c>
      <c r="N1638" s="16" t="n">
        <f aca="false">IF($J1638=0,0,MAX(0,$C1638+INT(DIAS_POR_SEMANA/2)-INDEX(ROTACAO_RDM!$I$6:$I$71,$J1638)))</f>
        <v>171</v>
      </c>
      <c r="O1638" s="19" t="n">
        <f aca="false">IF($J1638=0,0,MIN(1,$N1638/MAX(1,INDEX(ROTACAO_RDM!$K$6:$K$71,$J1638))))</f>
        <v>0.95</v>
      </c>
      <c r="P1638" s="16" t="n">
        <f aca="false">IF($J1638=0,0,IFERROR(MATCH(INDEX(ROTACAO_RDM!$N$6:$N$71,$J1638),PARAMETROS_CULTURAS!$B$6:$B$28,0),0))</f>
        <v>4</v>
      </c>
      <c r="Q1638" s="8" t="str">
        <f aca="false">IF($P1638=0,"-",IF($O1638&lt;=INDEX(PARAMETROS_CULTURAS!$F$6:$F$28,$P1638),"INICIAL",IF($O1638&lt;=INDEX(PARAMETROS_CULTURAS!$F$6:$F$28,$P1638)+INDEX(PARAMETROS_CULTURAS!$G$6:$G$28,$P1638),"DESENVOLVIMENTO",IF($O1638&lt;=INDEX(PARAMETROS_CULTURAS!$F$6:$F$28,$P1638)+INDEX(PARAMETROS_CULTURAS!$G$6:$G$28,$P1638)+INDEX(PARAMETROS_CULTURAS!$H$6:$H$28,$P1638),"MEDIA","FINAL"))))</f>
        <v>FINAL</v>
      </c>
      <c r="R1638" s="24" t="n">
        <f aca="false">IF($P1638=0,0,IF($O1638&lt;=INDEX(PARAMETROS_CULTURAS!$F$6:$F$28,$P1638),INDEX(PARAMETROS_CULTURAS!$K$6:$K$28,$P1638),IF($O1638&lt;=INDEX(PARAMETROS_CULTURAS!$F$6:$F$28,$P1638)+INDEX(PARAMETROS_CULTURAS!$G$6:$G$28,$P1638),INDEX(PARAMETROS_CULTURAS!$K$6:$K$28,$P1638)+(INDEX(PARAMETROS_CULTURAS!$L$6:$L$28,$P1638)-INDEX(PARAMETROS_CULTURAS!$K$6:$K$28,$P1638))*($O1638-INDEX(PARAMETROS_CULTURAS!$F$6:$F$28,$P1638))/MAX(INDEX(PARAMETROS_CULTURAS!$G$6:$G$28,$P1638),0.0001),IF($O1638&lt;=INDEX(PARAMETROS_CULTURAS!$F$6:$F$28,$P1638)+INDEX(PARAMETROS_CULTURAS!$G$6:$G$28,$P1638)+INDEX(PARAMETROS_CULTURAS!$H$6:$H$28,$P1638),INDEX(PARAMETROS_CULTURAS!$L$6:$L$28,$P1638),INDEX(PARAMETROS_CULTURAS!$L$6:$L$28,$P1638)+(INDEX(PARAMETROS_CULTURAS!$M$6:$M$28,$P1638)-INDEX(PARAMETROS_CULTURAS!$L$6:$L$28,$P1638))*($O1638-INDEX(PARAMETROS_CULTURAS!$F$6:$F$28,$P1638)-INDEX(PARAMETROS_CULTURAS!$G$6:$G$28,$P1638)-INDEX(PARAMETROS_CULTURAS!$H$6:$H$28,$P1638))/MAX(INDEX(PARAMETROS_CULTURAS!$I$6:$I$28,$P1638),0.0001)))))</f>
        <v>0.71</v>
      </c>
      <c r="S1638" s="18" t="n">
        <f aca="false">IFERROR(INDEX(SEMANAS!$H$6:$H$71,MATCH($B1638,SEMANAS!$B$6:$B$71,0)),0)</f>
        <v>36.4</v>
      </c>
      <c r="T1638" s="18" t="n">
        <f aca="false">$R1638*$S1638</f>
        <v>25.844</v>
      </c>
      <c r="U1638" s="18" t="n">
        <f aca="false">IFERROR(INDEX(SEMANAS!$I$6:$I$71,MATCH($B1638,SEMANAS!$B$6:$B$71,0)),0)</f>
        <v>1.12</v>
      </c>
      <c r="V1638" s="18" t="n">
        <f aca="false">IFERROR(INDEX(SEMANAS!$J$6:$J$71,MATCH($B1638,SEMANAS!$B$6:$B$71,0)),0)</f>
        <v>0.896</v>
      </c>
      <c r="W1638" s="18" t="n">
        <f aca="false">MAX(0,$T1638-$V1638)</f>
        <v>24.948</v>
      </c>
      <c r="X1638" s="19" t="n">
        <f aca="false">IFERROR(INDEX(CADASTRO_PIVOS!$K$6:$K$41,MATCH($E1638,CADASTRO_PIVOS!$B$6:$B$41,0)),EFICIENCIA_PADRAO)</f>
        <v>0.85</v>
      </c>
      <c r="Y1638" s="18" t="n">
        <f aca="false">IF($X1638&lt;=0,0,$W1638/$X1638)</f>
        <v>29.3505882352941</v>
      </c>
      <c r="Z1638" s="16" t="n">
        <f aca="false">$Y1638*$H1638*MM_PARA_M3_HA</f>
        <v>43130.6894117647</v>
      </c>
      <c r="AA1638" s="18" t="n">
        <f aca="false">IFERROR(INDEX(CADASTRO_PIVOS!$I$6:$I$41,MATCH($E1638,CADASTRO_PIVOS!$B$6:$B$41,0)),0)</f>
        <v>1049.64285714286</v>
      </c>
      <c r="AB1638" s="18" t="n">
        <f aca="false">IF($Z1638&lt;=0,0,$Z1638/$AA1638)</f>
        <v>41.0908235294118</v>
      </c>
      <c r="AC1638" s="16" t="n">
        <f aca="false">IFERROR(INDEX(SEMANAS!$K$6:$K$71,MATCH($B1638,SEMANAS!$B$6:$B$71,0)),0)</f>
        <v>147</v>
      </c>
      <c r="AD1638" s="19" t="n">
        <f aca="false">IF($AC1638&lt;=0,0,$AB1638/$AC1638)</f>
        <v>0.279529411764706</v>
      </c>
      <c r="AE1638" s="8" t="str">
        <f aca="false">IF($K1638="SEM CULTURA","SEM CULTURA",IF($AA1638&lt;=0,"DADO PENDENTE",IF($AD1638&gt;LIMITE_CRITICO,"INVIAVEL",IF($AD1638&gt;LIMITE_ATENCAO,"CRITICO",IF($AD1638&gt;LIMITE_CONFORTAVEL,"ATENCAO","OK")))))</f>
        <v>OK</v>
      </c>
      <c r="AF1638" s="8" t="str">
        <f aca="false">$B1638&amp;"|"&amp;TEXT($AD1638,"0.000000")</f>
        <v>49|0.279529</v>
      </c>
      <c r="AG1638" s="18" t="n">
        <f aca="false">IF($K1638="SEM CULTURA",0,$T1638*$H1638)</f>
        <v>3797.7758</v>
      </c>
      <c r="AH1638" s="18" t="n">
        <f aca="false">IF($K1638="SEM CULTURA",0,$V1638*$H1638)</f>
        <v>131.6672</v>
      </c>
      <c r="AI1638" s="18" t="n">
        <f aca="false">IF($K1638="SEM CULTURA",0,$W1638*$H1638)</f>
        <v>3666.1086</v>
      </c>
      <c r="AJ1638" s="18" t="n">
        <f aca="false">IF($K1638="SEM CULTURA",0,$S1638*$H1638)</f>
        <v>5348.98</v>
      </c>
      <c r="AK1638" s="8" t="str">
        <f aca="false">$E1638&amp;"|"&amp;TEXT($AD1638,"0.000000")</f>
        <v>PV 121|0.279529</v>
      </c>
    </row>
    <row r="1639" customFormat="false" ht="15" hidden="false" customHeight="false" outlineLevel="0" collapsed="false">
      <c r="B1639" s="16" t="n">
        <v>50</v>
      </c>
      <c r="C1639" s="17" t="n">
        <f aca="false">DATA_INICIO_SAFRA+($B1639-1)*DIAS_POR_SEMANA</f>
        <v>46608</v>
      </c>
      <c r="D1639" s="17" t="n">
        <f aca="false">$C1639+DIAS_POR_SEMANA-1</f>
        <v>46614</v>
      </c>
      <c r="E1639" s="15" t="s">
        <v>283</v>
      </c>
      <c r="F1639" s="8" t="str">
        <f aca="false">IFERROR(INDEX(CADASTRO_PIVOS!$C$6:$C$41,MATCH($E1639,CADASTRO_PIVOS!$B$6:$B$41,0)),"?")</f>
        <v>RM07</v>
      </c>
      <c r="G1639" s="8" t="str">
        <f aca="false">IFERROR(INDEX(CADASTRO_PIVOS!$D$6:$D$41,MATCH($E1639,CADASTRO_PIVOS!$B$6:$B$41,0)),"?")</f>
        <v>TR07</v>
      </c>
      <c r="H1639" s="20" t="n">
        <f aca="false">IFERROR(INDEX(CADASTRO_PIVOS!$E$6:$E$41,MATCH($E1639,CADASTRO_PIVOS!$B$6:$B$41,0)),0)</f>
        <v>146.95</v>
      </c>
      <c r="I1639" s="16" t="n">
        <f aca="false">IFERROR(SUMIFS(ROTACAO_RDM!$B$6:$B$71,ROTACAO_RDM!$D$6:$D$71,$E1639,ROTACAO_RDM!$I$6:$I$71,"&lt;="&amp;$C1639+INT(DIAS_POR_SEMANA/2),ROTACAO_RDM!$J$6:$J$71,"&gt;="&amp;$C1639+INT(DIAS_POR_SEMANA/2)),0)</f>
        <v>37</v>
      </c>
      <c r="J1639" s="16" t="n">
        <f aca="false">IFERROR(MATCH($I1639,ROTACAO_RDM!$B$6:$B$71,0),0)</f>
        <v>37</v>
      </c>
      <c r="K1639" s="8" t="str">
        <f aca="false">IF($J1639=0,"SEM CULTURA",INDEX(ROTACAO_RDM!$F$6:$F$71,$J1639))</f>
        <v>ALGODAO</v>
      </c>
      <c r="L1639" s="8" t="str">
        <f aca="false">IF($J1639=0,"",INDEX(ROTACAO_RDM!$G$6:$G$71,$J1639))</f>
        <v>FM 911 GLTP</v>
      </c>
      <c r="M1639" s="17" t="n">
        <f aca="false">IF($J1639=0,"",INDEX(ROTACAO_RDM!$I$6:$I$71,$J1639))</f>
        <v>46433</v>
      </c>
      <c r="N1639" s="16" t="n">
        <f aca="false">IF($J1639=0,0,MAX(0,$C1639+INT(DIAS_POR_SEMANA/2)-INDEX(ROTACAO_RDM!$I$6:$I$71,$J1639)))</f>
        <v>178</v>
      </c>
      <c r="O1639" s="19" t="n">
        <f aca="false">IF($J1639=0,0,MIN(1,$N1639/MAX(1,INDEX(ROTACAO_RDM!$K$6:$K$71,$J1639))))</f>
        <v>0.988888888888889</v>
      </c>
      <c r="P1639" s="16" t="n">
        <f aca="false">IF($J1639=0,0,IFERROR(MATCH(INDEX(ROTACAO_RDM!$N$6:$N$71,$J1639),PARAMETROS_CULTURAS!$B$6:$B$28,0),0))</f>
        <v>4</v>
      </c>
      <c r="Q1639" s="8" t="str">
        <f aca="false">IF($P1639=0,"-",IF($O1639&lt;=INDEX(PARAMETROS_CULTURAS!$F$6:$F$28,$P1639),"INICIAL",IF($O1639&lt;=INDEX(PARAMETROS_CULTURAS!$F$6:$F$28,$P1639)+INDEX(PARAMETROS_CULTURAS!$G$6:$G$28,$P1639),"DESENVOLVIMENTO",IF($O1639&lt;=INDEX(PARAMETROS_CULTURAS!$F$6:$F$28,$P1639)+INDEX(PARAMETROS_CULTURAS!$G$6:$G$28,$P1639)+INDEX(PARAMETROS_CULTURAS!$H$6:$H$28,$P1639),"MEDIA","FINAL"))))</f>
        <v>FINAL</v>
      </c>
      <c r="R1639" s="24" t="n">
        <f aca="false">IF($P1639=0,0,IF($O1639&lt;=INDEX(PARAMETROS_CULTURAS!$F$6:$F$28,$P1639),INDEX(PARAMETROS_CULTURAS!$K$6:$K$28,$P1639),IF($O1639&lt;=INDEX(PARAMETROS_CULTURAS!$F$6:$F$28,$P1639)+INDEX(PARAMETROS_CULTURAS!$G$6:$G$28,$P1639),INDEX(PARAMETROS_CULTURAS!$K$6:$K$28,$P1639)+(INDEX(PARAMETROS_CULTURAS!$L$6:$L$28,$P1639)-INDEX(PARAMETROS_CULTURAS!$K$6:$K$28,$P1639))*($O1639-INDEX(PARAMETROS_CULTURAS!$F$6:$F$28,$P1639))/MAX(INDEX(PARAMETROS_CULTURAS!$G$6:$G$28,$P1639),0.0001),IF($O1639&lt;=INDEX(PARAMETROS_CULTURAS!$F$6:$F$28,$P1639)+INDEX(PARAMETROS_CULTURAS!$G$6:$G$28,$P1639)+INDEX(PARAMETROS_CULTURAS!$H$6:$H$28,$P1639),INDEX(PARAMETROS_CULTURAS!$L$6:$L$28,$P1639),INDEX(PARAMETROS_CULTURAS!$L$6:$L$28,$P1639)+(INDEX(PARAMETROS_CULTURAS!$M$6:$M$28,$P1639)-INDEX(PARAMETROS_CULTURAS!$L$6:$L$28,$P1639))*($O1639-INDEX(PARAMETROS_CULTURAS!$F$6:$F$28,$P1639)-INDEX(PARAMETROS_CULTURAS!$G$6:$G$28,$P1639)-INDEX(PARAMETROS_CULTURAS!$H$6:$H$28,$P1639))/MAX(INDEX(PARAMETROS_CULTURAS!$I$6:$I$28,$P1639),0.0001)))))</f>
        <v>0.624444444444445</v>
      </c>
      <c r="S1639" s="18" t="n">
        <f aca="false">IFERROR(INDEX(SEMANAS!$H$6:$H$71,MATCH($B1639,SEMANAS!$B$6:$B$71,0)),0)</f>
        <v>36.4</v>
      </c>
      <c r="T1639" s="18" t="n">
        <f aca="false">$R1639*$S1639</f>
        <v>22.7297777777778</v>
      </c>
      <c r="U1639" s="18" t="n">
        <f aca="false">IFERROR(INDEX(SEMANAS!$I$6:$I$71,MATCH($B1639,SEMANAS!$B$6:$B$71,0)),0)</f>
        <v>1.12</v>
      </c>
      <c r="V1639" s="18" t="n">
        <f aca="false">IFERROR(INDEX(SEMANAS!$J$6:$J$71,MATCH($B1639,SEMANAS!$B$6:$B$71,0)),0)</f>
        <v>0.896</v>
      </c>
      <c r="W1639" s="18" t="n">
        <f aca="false">MAX(0,$T1639-$V1639)</f>
        <v>21.8337777777778</v>
      </c>
      <c r="X1639" s="19" t="n">
        <f aca="false">IFERROR(INDEX(CADASTRO_PIVOS!$K$6:$K$41,MATCH($E1639,CADASTRO_PIVOS!$B$6:$B$41,0)),EFICIENCIA_PADRAO)</f>
        <v>0.85</v>
      </c>
      <c r="Y1639" s="18" t="n">
        <f aca="false">IF($X1639&lt;=0,0,$W1639/$X1639)</f>
        <v>25.6867973856209</v>
      </c>
      <c r="Z1639" s="16" t="n">
        <f aca="false">$Y1639*$H1639*MM_PARA_M3_HA</f>
        <v>37746.7487581699</v>
      </c>
      <c r="AA1639" s="18" t="n">
        <f aca="false">IFERROR(INDEX(CADASTRO_PIVOS!$I$6:$I$41,MATCH($E1639,CADASTRO_PIVOS!$B$6:$B$41,0)),0)</f>
        <v>1049.64285714286</v>
      </c>
      <c r="AB1639" s="18" t="n">
        <f aca="false">IF($Z1639&lt;=0,0,$Z1639/$AA1639)</f>
        <v>35.9615163398693</v>
      </c>
      <c r="AC1639" s="16" t="n">
        <f aca="false">IFERROR(INDEX(SEMANAS!$K$6:$K$71,MATCH($B1639,SEMANAS!$B$6:$B$71,0)),0)</f>
        <v>147</v>
      </c>
      <c r="AD1639" s="19" t="n">
        <f aca="false">IF($AC1639&lt;=0,0,$AB1639/$AC1639)</f>
        <v>0.244636165577342</v>
      </c>
      <c r="AE1639" s="8" t="str">
        <f aca="false">IF($K1639="SEM CULTURA","SEM CULTURA",IF($AA1639&lt;=0,"DADO PENDENTE",IF($AD1639&gt;LIMITE_CRITICO,"INVIAVEL",IF($AD1639&gt;LIMITE_ATENCAO,"CRITICO",IF($AD1639&gt;LIMITE_CONFORTAVEL,"ATENCAO","OK")))))</f>
        <v>OK</v>
      </c>
      <c r="AF1639" s="8" t="str">
        <f aca="false">$B1639&amp;"|"&amp;TEXT($AD1639,"0.000000")</f>
        <v>50|0.244636</v>
      </c>
      <c r="AG1639" s="18" t="n">
        <f aca="false">IF($K1639="SEM CULTURA",0,$T1639*$H1639)</f>
        <v>3340.14084444444</v>
      </c>
      <c r="AH1639" s="18" t="n">
        <f aca="false">IF($K1639="SEM CULTURA",0,$V1639*$H1639)</f>
        <v>131.6672</v>
      </c>
      <c r="AI1639" s="18" t="n">
        <f aca="false">IF($K1639="SEM CULTURA",0,$W1639*$H1639)</f>
        <v>3208.47364444444</v>
      </c>
      <c r="AJ1639" s="18" t="n">
        <f aca="false">IF($K1639="SEM CULTURA",0,$S1639*$H1639)</f>
        <v>5348.98</v>
      </c>
      <c r="AK1639" s="8" t="str">
        <f aca="false">$E1639&amp;"|"&amp;TEXT($AD1639,"0.000000")</f>
        <v>PV 121|0.244636</v>
      </c>
    </row>
    <row r="1640" customFormat="false" ht="15" hidden="false" customHeight="false" outlineLevel="0" collapsed="false">
      <c r="B1640" s="16" t="n">
        <v>51</v>
      </c>
      <c r="C1640" s="17" t="n">
        <f aca="false">DATA_INICIO_SAFRA+($B1640-1)*DIAS_POR_SEMANA</f>
        <v>46615</v>
      </c>
      <c r="D1640" s="17" t="n">
        <f aca="false">$C1640+DIAS_POR_SEMANA-1</f>
        <v>46621</v>
      </c>
      <c r="E1640" s="15" t="s">
        <v>283</v>
      </c>
      <c r="F1640" s="8" t="str">
        <f aca="false">IFERROR(INDEX(CADASTRO_PIVOS!$C$6:$C$41,MATCH($E1640,CADASTRO_PIVOS!$B$6:$B$41,0)),"?")</f>
        <v>RM07</v>
      </c>
      <c r="G1640" s="8" t="str">
        <f aca="false">IFERROR(INDEX(CADASTRO_PIVOS!$D$6:$D$41,MATCH($E1640,CADASTRO_PIVOS!$B$6:$B$41,0)),"?")</f>
        <v>TR07</v>
      </c>
      <c r="H1640" s="20" t="n">
        <f aca="false">IFERROR(INDEX(CADASTRO_PIVOS!$E$6:$E$41,MATCH($E1640,CADASTRO_PIVOS!$B$6:$B$41,0)),0)</f>
        <v>146.95</v>
      </c>
      <c r="I1640" s="16" t="n">
        <f aca="false">IFERROR(SUMIFS(ROTACAO_RDM!$B$6:$B$71,ROTACAO_RDM!$D$6:$D$71,$E1640,ROTACAO_RDM!$I$6:$I$71,"&lt;="&amp;$C1640+INT(DIAS_POR_SEMANA/2),ROTACAO_RDM!$J$6:$J$71,"&gt;="&amp;$C1640+INT(DIAS_POR_SEMANA/2)),0)</f>
        <v>0</v>
      </c>
      <c r="J1640" s="16" t="n">
        <f aca="false">IFERROR(MATCH($I1640,ROTACAO_RDM!$B$6:$B$71,0),0)</f>
        <v>0</v>
      </c>
      <c r="K1640" s="8" t="str">
        <f aca="false">IF($J1640=0,"SEM CULTURA",INDEX(ROTACAO_RDM!$F$6:$F$71,$J1640))</f>
        <v>SEM CULTURA</v>
      </c>
      <c r="L1640" s="8" t="str">
        <f aca="false">IF($J1640=0,"",INDEX(ROTACAO_RDM!$G$6:$G$71,$J1640))</f>
        <v/>
      </c>
      <c r="M1640" s="17" t="str">
        <f aca="false">IF($J1640=0,"",INDEX(ROTACAO_RDM!$I$6:$I$71,$J1640))</f>
        <v/>
      </c>
      <c r="N1640" s="16" t="n">
        <f aca="false">IF($J1640=0,0,MAX(0,$C1640+INT(DIAS_POR_SEMANA/2)-INDEX(ROTACAO_RDM!$I$6:$I$71,$J1640)))</f>
        <v>0</v>
      </c>
      <c r="O1640" s="19" t="n">
        <f aca="false">IF($J1640=0,0,MIN(1,$N1640/MAX(1,INDEX(ROTACAO_RDM!$K$6:$K$71,$J1640))))</f>
        <v>0</v>
      </c>
      <c r="P1640" s="16" t="n">
        <f aca="false">IF($J1640=0,0,IFERROR(MATCH(INDEX(ROTACAO_RDM!$N$6:$N$71,$J1640),PARAMETROS_CULTURAS!$B$6:$B$28,0),0))</f>
        <v>0</v>
      </c>
      <c r="Q1640" s="8" t="str">
        <f aca="false">IF($P1640=0,"-",IF($O1640&lt;=INDEX(PARAMETROS_CULTURAS!$F$6:$F$28,$P1640),"INICIAL",IF($O1640&lt;=INDEX(PARAMETROS_CULTURAS!$F$6:$F$28,$P1640)+INDEX(PARAMETROS_CULTURAS!$G$6:$G$28,$P1640),"DESENVOLVIMENTO",IF($O1640&lt;=INDEX(PARAMETROS_CULTURAS!$F$6:$F$28,$P1640)+INDEX(PARAMETROS_CULTURAS!$G$6:$G$28,$P1640)+INDEX(PARAMETROS_CULTURAS!$H$6:$H$28,$P1640),"MEDIA","FINAL"))))</f>
        <v>-</v>
      </c>
      <c r="R1640" s="24" t="n">
        <f aca="false">IF($P1640=0,0,IF($O1640&lt;=INDEX(PARAMETROS_CULTURAS!$F$6:$F$28,$P1640),INDEX(PARAMETROS_CULTURAS!$K$6:$K$28,$P1640),IF($O1640&lt;=INDEX(PARAMETROS_CULTURAS!$F$6:$F$28,$P1640)+INDEX(PARAMETROS_CULTURAS!$G$6:$G$28,$P1640),INDEX(PARAMETROS_CULTURAS!$K$6:$K$28,$P1640)+(INDEX(PARAMETROS_CULTURAS!$L$6:$L$28,$P1640)-INDEX(PARAMETROS_CULTURAS!$K$6:$K$28,$P1640))*($O1640-INDEX(PARAMETROS_CULTURAS!$F$6:$F$28,$P1640))/MAX(INDEX(PARAMETROS_CULTURAS!$G$6:$G$28,$P1640),0.0001),IF($O1640&lt;=INDEX(PARAMETROS_CULTURAS!$F$6:$F$28,$P1640)+INDEX(PARAMETROS_CULTURAS!$G$6:$G$28,$P1640)+INDEX(PARAMETROS_CULTURAS!$H$6:$H$28,$P1640),INDEX(PARAMETROS_CULTURAS!$L$6:$L$28,$P1640),INDEX(PARAMETROS_CULTURAS!$L$6:$L$28,$P1640)+(INDEX(PARAMETROS_CULTURAS!$M$6:$M$28,$P1640)-INDEX(PARAMETROS_CULTURAS!$L$6:$L$28,$P1640))*($O1640-INDEX(PARAMETROS_CULTURAS!$F$6:$F$28,$P1640)-INDEX(PARAMETROS_CULTURAS!$G$6:$G$28,$P1640)-INDEX(PARAMETROS_CULTURAS!$H$6:$H$28,$P1640))/MAX(INDEX(PARAMETROS_CULTURAS!$I$6:$I$28,$P1640),0.0001)))))</f>
        <v>0</v>
      </c>
      <c r="S1640" s="18" t="n">
        <f aca="false">IFERROR(INDEX(SEMANAS!$H$6:$H$71,MATCH($B1640,SEMANAS!$B$6:$B$71,0)),0)</f>
        <v>36.4</v>
      </c>
      <c r="T1640" s="18" t="n">
        <f aca="false">$R1640*$S1640</f>
        <v>0</v>
      </c>
      <c r="U1640" s="18" t="n">
        <f aca="false">IFERROR(INDEX(SEMANAS!$I$6:$I$71,MATCH($B1640,SEMANAS!$B$6:$B$71,0)),0)</f>
        <v>1.12</v>
      </c>
      <c r="V1640" s="18" t="n">
        <f aca="false">IFERROR(INDEX(SEMANAS!$J$6:$J$71,MATCH($B1640,SEMANAS!$B$6:$B$71,0)),0)</f>
        <v>0.896</v>
      </c>
      <c r="W1640" s="18" t="n">
        <f aca="false">MAX(0,$T1640-$V1640)</f>
        <v>0</v>
      </c>
      <c r="X1640" s="19" t="n">
        <f aca="false">IFERROR(INDEX(CADASTRO_PIVOS!$K$6:$K$41,MATCH($E1640,CADASTRO_PIVOS!$B$6:$B$41,0)),EFICIENCIA_PADRAO)</f>
        <v>0.85</v>
      </c>
      <c r="Y1640" s="18" t="n">
        <f aca="false">IF($X1640&lt;=0,0,$W1640/$X1640)</f>
        <v>0</v>
      </c>
      <c r="Z1640" s="16" t="n">
        <f aca="false">$Y1640*$H1640*MM_PARA_M3_HA</f>
        <v>0</v>
      </c>
      <c r="AA1640" s="18" t="n">
        <f aca="false">IFERROR(INDEX(CADASTRO_PIVOS!$I$6:$I$41,MATCH($E1640,CADASTRO_PIVOS!$B$6:$B$41,0)),0)</f>
        <v>1049.64285714286</v>
      </c>
      <c r="AB1640" s="18" t="n">
        <f aca="false">IF($Z1640&lt;=0,0,$Z1640/$AA1640)</f>
        <v>0</v>
      </c>
      <c r="AC1640" s="16" t="n">
        <f aca="false">IFERROR(INDEX(SEMANAS!$K$6:$K$71,MATCH($B1640,SEMANAS!$B$6:$B$71,0)),0)</f>
        <v>147</v>
      </c>
      <c r="AD1640" s="19" t="n">
        <f aca="false">IF($AC1640&lt;=0,0,$AB1640/$AC1640)</f>
        <v>0</v>
      </c>
      <c r="AE1640" s="8" t="str">
        <f aca="false">IF($K1640="SEM CULTURA","SEM CULTURA",IF($AA1640&lt;=0,"DADO PENDENTE",IF($AD1640&gt;LIMITE_CRITICO,"INVIAVEL",IF($AD1640&gt;LIMITE_ATENCAO,"CRITICO",IF($AD1640&gt;LIMITE_CONFORTAVEL,"ATENCAO","OK")))))</f>
        <v>SEM CULTURA</v>
      </c>
      <c r="AF1640" s="8" t="str">
        <f aca="false">$B1640&amp;"|"&amp;TEXT($AD1640,"0.000000")</f>
        <v>51|0.000000</v>
      </c>
      <c r="AG1640" s="18" t="n">
        <f aca="false">IF($K1640="SEM CULTURA",0,$T1640*$H1640)</f>
        <v>0</v>
      </c>
      <c r="AH1640" s="18" t="n">
        <f aca="false">IF($K1640="SEM CULTURA",0,$V1640*$H1640)</f>
        <v>0</v>
      </c>
      <c r="AI1640" s="18" t="n">
        <f aca="false">IF($K1640="SEM CULTURA",0,$W1640*$H1640)</f>
        <v>0</v>
      </c>
      <c r="AJ1640" s="18" t="n">
        <f aca="false">IF($K1640="SEM CULTURA",0,$S1640*$H1640)</f>
        <v>0</v>
      </c>
      <c r="AK1640" s="8" t="str">
        <f aca="false">$E1640&amp;"|"&amp;TEXT($AD1640,"0.000000")</f>
        <v>PV 121|0.000000</v>
      </c>
    </row>
    <row r="1641" customFormat="false" ht="15" hidden="false" customHeight="false" outlineLevel="0" collapsed="false">
      <c r="B1641" s="16" t="n">
        <v>52</v>
      </c>
      <c r="C1641" s="17" t="n">
        <f aca="false">DATA_INICIO_SAFRA+($B1641-1)*DIAS_POR_SEMANA</f>
        <v>46622</v>
      </c>
      <c r="D1641" s="17" t="n">
        <f aca="false">$C1641+DIAS_POR_SEMANA-1</f>
        <v>46628</v>
      </c>
      <c r="E1641" s="15" t="s">
        <v>283</v>
      </c>
      <c r="F1641" s="8" t="str">
        <f aca="false">IFERROR(INDEX(CADASTRO_PIVOS!$C$6:$C$41,MATCH($E1641,CADASTRO_PIVOS!$B$6:$B$41,0)),"?")</f>
        <v>RM07</v>
      </c>
      <c r="G1641" s="8" t="str">
        <f aca="false">IFERROR(INDEX(CADASTRO_PIVOS!$D$6:$D$41,MATCH($E1641,CADASTRO_PIVOS!$B$6:$B$41,0)),"?")</f>
        <v>TR07</v>
      </c>
      <c r="H1641" s="20" t="n">
        <f aca="false">IFERROR(INDEX(CADASTRO_PIVOS!$E$6:$E$41,MATCH($E1641,CADASTRO_PIVOS!$B$6:$B$41,0)),0)</f>
        <v>146.95</v>
      </c>
      <c r="I1641" s="16" t="n">
        <f aca="false">IFERROR(SUMIFS(ROTACAO_RDM!$B$6:$B$71,ROTACAO_RDM!$D$6:$D$71,$E1641,ROTACAO_RDM!$I$6:$I$71,"&lt;="&amp;$C1641+INT(DIAS_POR_SEMANA/2),ROTACAO_RDM!$J$6:$J$71,"&gt;="&amp;$C1641+INT(DIAS_POR_SEMANA/2)),0)</f>
        <v>0</v>
      </c>
      <c r="J1641" s="16" t="n">
        <f aca="false">IFERROR(MATCH($I1641,ROTACAO_RDM!$B$6:$B$71,0),0)</f>
        <v>0</v>
      </c>
      <c r="K1641" s="8" t="str">
        <f aca="false">IF($J1641=0,"SEM CULTURA",INDEX(ROTACAO_RDM!$F$6:$F$71,$J1641))</f>
        <v>SEM CULTURA</v>
      </c>
      <c r="L1641" s="8" t="str">
        <f aca="false">IF($J1641=0,"",INDEX(ROTACAO_RDM!$G$6:$G$71,$J1641))</f>
        <v/>
      </c>
      <c r="M1641" s="17" t="str">
        <f aca="false">IF($J1641=0,"",INDEX(ROTACAO_RDM!$I$6:$I$71,$J1641))</f>
        <v/>
      </c>
      <c r="N1641" s="16" t="n">
        <f aca="false">IF($J1641=0,0,MAX(0,$C1641+INT(DIAS_POR_SEMANA/2)-INDEX(ROTACAO_RDM!$I$6:$I$71,$J1641)))</f>
        <v>0</v>
      </c>
      <c r="O1641" s="19" t="n">
        <f aca="false">IF($J1641=0,0,MIN(1,$N1641/MAX(1,INDEX(ROTACAO_RDM!$K$6:$K$71,$J1641))))</f>
        <v>0</v>
      </c>
      <c r="P1641" s="16" t="n">
        <f aca="false">IF($J1641=0,0,IFERROR(MATCH(INDEX(ROTACAO_RDM!$N$6:$N$71,$J1641),PARAMETROS_CULTURAS!$B$6:$B$28,0),0))</f>
        <v>0</v>
      </c>
      <c r="Q1641" s="8" t="str">
        <f aca="false">IF($P1641=0,"-",IF($O1641&lt;=INDEX(PARAMETROS_CULTURAS!$F$6:$F$28,$P1641),"INICIAL",IF($O1641&lt;=INDEX(PARAMETROS_CULTURAS!$F$6:$F$28,$P1641)+INDEX(PARAMETROS_CULTURAS!$G$6:$G$28,$P1641),"DESENVOLVIMENTO",IF($O1641&lt;=INDEX(PARAMETROS_CULTURAS!$F$6:$F$28,$P1641)+INDEX(PARAMETROS_CULTURAS!$G$6:$G$28,$P1641)+INDEX(PARAMETROS_CULTURAS!$H$6:$H$28,$P1641),"MEDIA","FINAL"))))</f>
        <v>-</v>
      </c>
      <c r="R1641" s="24" t="n">
        <f aca="false">IF($P1641=0,0,IF($O1641&lt;=INDEX(PARAMETROS_CULTURAS!$F$6:$F$28,$P1641),INDEX(PARAMETROS_CULTURAS!$K$6:$K$28,$P1641),IF($O1641&lt;=INDEX(PARAMETROS_CULTURAS!$F$6:$F$28,$P1641)+INDEX(PARAMETROS_CULTURAS!$G$6:$G$28,$P1641),INDEX(PARAMETROS_CULTURAS!$K$6:$K$28,$P1641)+(INDEX(PARAMETROS_CULTURAS!$L$6:$L$28,$P1641)-INDEX(PARAMETROS_CULTURAS!$K$6:$K$28,$P1641))*($O1641-INDEX(PARAMETROS_CULTURAS!$F$6:$F$28,$P1641))/MAX(INDEX(PARAMETROS_CULTURAS!$G$6:$G$28,$P1641),0.0001),IF($O1641&lt;=INDEX(PARAMETROS_CULTURAS!$F$6:$F$28,$P1641)+INDEX(PARAMETROS_CULTURAS!$G$6:$G$28,$P1641)+INDEX(PARAMETROS_CULTURAS!$H$6:$H$28,$P1641),INDEX(PARAMETROS_CULTURAS!$L$6:$L$28,$P1641),INDEX(PARAMETROS_CULTURAS!$L$6:$L$28,$P1641)+(INDEX(PARAMETROS_CULTURAS!$M$6:$M$28,$P1641)-INDEX(PARAMETROS_CULTURAS!$L$6:$L$28,$P1641))*($O1641-INDEX(PARAMETROS_CULTURAS!$F$6:$F$28,$P1641)-INDEX(PARAMETROS_CULTURAS!$G$6:$G$28,$P1641)-INDEX(PARAMETROS_CULTURAS!$H$6:$H$28,$P1641))/MAX(INDEX(PARAMETROS_CULTURAS!$I$6:$I$28,$P1641),0.0001)))))</f>
        <v>0</v>
      </c>
      <c r="S1641" s="18" t="n">
        <f aca="false">IFERROR(INDEX(SEMANAS!$H$6:$H$71,MATCH($B1641,SEMANAS!$B$6:$B$71,0)),0)</f>
        <v>36.4</v>
      </c>
      <c r="T1641" s="18" t="n">
        <f aca="false">$R1641*$S1641</f>
        <v>0</v>
      </c>
      <c r="U1641" s="18" t="n">
        <f aca="false">IFERROR(INDEX(SEMANAS!$I$6:$I$71,MATCH($B1641,SEMANAS!$B$6:$B$71,0)),0)</f>
        <v>1.12</v>
      </c>
      <c r="V1641" s="18" t="n">
        <f aca="false">IFERROR(INDEX(SEMANAS!$J$6:$J$71,MATCH($B1641,SEMANAS!$B$6:$B$71,0)),0)</f>
        <v>0.896</v>
      </c>
      <c r="W1641" s="18" t="n">
        <f aca="false">MAX(0,$T1641-$V1641)</f>
        <v>0</v>
      </c>
      <c r="X1641" s="19" t="n">
        <f aca="false">IFERROR(INDEX(CADASTRO_PIVOS!$K$6:$K$41,MATCH($E1641,CADASTRO_PIVOS!$B$6:$B$41,0)),EFICIENCIA_PADRAO)</f>
        <v>0.85</v>
      </c>
      <c r="Y1641" s="18" t="n">
        <f aca="false">IF($X1641&lt;=0,0,$W1641/$X1641)</f>
        <v>0</v>
      </c>
      <c r="Z1641" s="16" t="n">
        <f aca="false">$Y1641*$H1641*MM_PARA_M3_HA</f>
        <v>0</v>
      </c>
      <c r="AA1641" s="18" t="n">
        <f aca="false">IFERROR(INDEX(CADASTRO_PIVOS!$I$6:$I$41,MATCH($E1641,CADASTRO_PIVOS!$B$6:$B$41,0)),0)</f>
        <v>1049.64285714286</v>
      </c>
      <c r="AB1641" s="18" t="n">
        <f aca="false">IF($Z1641&lt;=0,0,$Z1641/$AA1641)</f>
        <v>0</v>
      </c>
      <c r="AC1641" s="16" t="n">
        <f aca="false">IFERROR(INDEX(SEMANAS!$K$6:$K$71,MATCH($B1641,SEMANAS!$B$6:$B$71,0)),0)</f>
        <v>147</v>
      </c>
      <c r="AD1641" s="19" t="n">
        <f aca="false">IF($AC1641&lt;=0,0,$AB1641/$AC1641)</f>
        <v>0</v>
      </c>
      <c r="AE1641" s="8" t="str">
        <f aca="false">IF($K1641="SEM CULTURA","SEM CULTURA",IF($AA1641&lt;=0,"DADO PENDENTE",IF($AD1641&gt;LIMITE_CRITICO,"INVIAVEL",IF($AD1641&gt;LIMITE_ATENCAO,"CRITICO",IF($AD1641&gt;LIMITE_CONFORTAVEL,"ATENCAO","OK")))))</f>
        <v>SEM CULTURA</v>
      </c>
      <c r="AF1641" s="8" t="str">
        <f aca="false">$B1641&amp;"|"&amp;TEXT($AD1641,"0.000000")</f>
        <v>52|0.000000</v>
      </c>
      <c r="AG1641" s="18" t="n">
        <f aca="false">IF($K1641="SEM CULTURA",0,$T1641*$H1641)</f>
        <v>0</v>
      </c>
      <c r="AH1641" s="18" t="n">
        <f aca="false">IF($K1641="SEM CULTURA",0,$V1641*$H1641)</f>
        <v>0</v>
      </c>
      <c r="AI1641" s="18" t="n">
        <f aca="false">IF($K1641="SEM CULTURA",0,$W1641*$H1641)</f>
        <v>0</v>
      </c>
      <c r="AJ1641" s="18" t="n">
        <f aca="false">IF($K1641="SEM CULTURA",0,$S1641*$H1641)</f>
        <v>0</v>
      </c>
      <c r="AK1641" s="8" t="str">
        <f aca="false">$E1641&amp;"|"&amp;TEXT($AD1641,"0.000000")</f>
        <v>PV 121|0.000000</v>
      </c>
    </row>
    <row r="1642" customFormat="false" ht="15" hidden="false" customHeight="false" outlineLevel="0" collapsed="false">
      <c r="B1642" s="16" t="n">
        <v>53</v>
      </c>
      <c r="C1642" s="17" t="n">
        <f aca="false">DATA_INICIO_SAFRA+($B1642-1)*DIAS_POR_SEMANA</f>
        <v>46629</v>
      </c>
      <c r="D1642" s="17" t="n">
        <f aca="false">$C1642+DIAS_POR_SEMANA-1</f>
        <v>46635</v>
      </c>
      <c r="E1642" s="15" t="s">
        <v>283</v>
      </c>
      <c r="F1642" s="8" t="str">
        <f aca="false">IFERROR(INDEX(CADASTRO_PIVOS!$C$6:$C$41,MATCH($E1642,CADASTRO_PIVOS!$B$6:$B$41,0)),"?")</f>
        <v>RM07</v>
      </c>
      <c r="G1642" s="8" t="str">
        <f aca="false">IFERROR(INDEX(CADASTRO_PIVOS!$D$6:$D$41,MATCH($E1642,CADASTRO_PIVOS!$B$6:$B$41,0)),"?")</f>
        <v>TR07</v>
      </c>
      <c r="H1642" s="20" t="n">
        <f aca="false">IFERROR(INDEX(CADASTRO_PIVOS!$E$6:$E$41,MATCH($E1642,CADASTRO_PIVOS!$B$6:$B$41,0)),0)</f>
        <v>146.95</v>
      </c>
      <c r="I1642" s="16" t="n">
        <f aca="false">IFERROR(SUMIFS(ROTACAO_RDM!$B$6:$B$71,ROTACAO_RDM!$D$6:$D$71,$E1642,ROTACAO_RDM!$I$6:$I$71,"&lt;="&amp;$C1642+INT(DIAS_POR_SEMANA/2),ROTACAO_RDM!$J$6:$J$71,"&gt;="&amp;$C1642+INT(DIAS_POR_SEMANA/2)),0)</f>
        <v>0</v>
      </c>
      <c r="J1642" s="16" t="n">
        <f aca="false">IFERROR(MATCH($I1642,ROTACAO_RDM!$B$6:$B$71,0),0)</f>
        <v>0</v>
      </c>
      <c r="K1642" s="8" t="str">
        <f aca="false">IF($J1642=0,"SEM CULTURA",INDEX(ROTACAO_RDM!$F$6:$F$71,$J1642))</f>
        <v>SEM CULTURA</v>
      </c>
      <c r="L1642" s="8" t="str">
        <f aca="false">IF($J1642=0,"",INDEX(ROTACAO_RDM!$G$6:$G$71,$J1642))</f>
        <v/>
      </c>
      <c r="M1642" s="17" t="str">
        <f aca="false">IF($J1642=0,"",INDEX(ROTACAO_RDM!$I$6:$I$71,$J1642))</f>
        <v/>
      </c>
      <c r="N1642" s="16" t="n">
        <f aca="false">IF($J1642=0,0,MAX(0,$C1642+INT(DIAS_POR_SEMANA/2)-INDEX(ROTACAO_RDM!$I$6:$I$71,$J1642)))</f>
        <v>0</v>
      </c>
      <c r="O1642" s="19" t="n">
        <f aca="false">IF($J1642=0,0,MIN(1,$N1642/MAX(1,INDEX(ROTACAO_RDM!$K$6:$K$71,$J1642))))</f>
        <v>0</v>
      </c>
      <c r="P1642" s="16" t="n">
        <f aca="false">IF($J1642=0,0,IFERROR(MATCH(INDEX(ROTACAO_RDM!$N$6:$N$71,$J1642),PARAMETROS_CULTURAS!$B$6:$B$28,0),0))</f>
        <v>0</v>
      </c>
      <c r="Q1642" s="8" t="str">
        <f aca="false">IF($P1642=0,"-",IF($O1642&lt;=INDEX(PARAMETROS_CULTURAS!$F$6:$F$28,$P1642),"INICIAL",IF($O1642&lt;=INDEX(PARAMETROS_CULTURAS!$F$6:$F$28,$P1642)+INDEX(PARAMETROS_CULTURAS!$G$6:$G$28,$P1642),"DESENVOLVIMENTO",IF($O1642&lt;=INDEX(PARAMETROS_CULTURAS!$F$6:$F$28,$P1642)+INDEX(PARAMETROS_CULTURAS!$G$6:$G$28,$P1642)+INDEX(PARAMETROS_CULTURAS!$H$6:$H$28,$P1642),"MEDIA","FINAL"))))</f>
        <v>-</v>
      </c>
      <c r="R1642" s="24" t="n">
        <f aca="false">IF($P1642=0,0,IF($O1642&lt;=INDEX(PARAMETROS_CULTURAS!$F$6:$F$28,$P1642),INDEX(PARAMETROS_CULTURAS!$K$6:$K$28,$P1642),IF($O1642&lt;=INDEX(PARAMETROS_CULTURAS!$F$6:$F$28,$P1642)+INDEX(PARAMETROS_CULTURAS!$G$6:$G$28,$P1642),INDEX(PARAMETROS_CULTURAS!$K$6:$K$28,$P1642)+(INDEX(PARAMETROS_CULTURAS!$L$6:$L$28,$P1642)-INDEX(PARAMETROS_CULTURAS!$K$6:$K$28,$P1642))*($O1642-INDEX(PARAMETROS_CULTURAS!$F$6:$F$28,$P1642))/MAX(INDEX(PARAMETROS_CULTURAS!$G$6:$G$28,$P1642),0.0001),IF($O1642&lt;=INDEX(PARAMETROS_CULTURAS!$F$6:$F$28,$P1642)+INDEX(PARAMETROS_CULTURAS!$G$6:$G$28,$P1642)+INDEX(PARAMETROS_CULTURAS!$H$6:$H$28,$P1642),INDEX(PARAMETROS_CULTURAS!$L$6:$L$28,$P1642),INDEX(PARAMETROS_CULTURAS!$L$6:$L$28,$P1642)+(INDEX(PARAMETROS_CULTURAS!$M$6:$M$28,$P1642)-INDEX(PARAMETROS_CULTURAS!$L$6:$L$28,$P1642))*($O1642-INDEX(PARAMETROS_CULTURAS!$F$6:$F$28,$P1642)-INDEX(PARAMETROS_CULTURAS!$G$6:$G$28,$P1642)-INDEX(PARAMETROS_CULTURAS!$H$6:$H$28,$P1642))/MAX(INDEX(PARAMETROS_CULTURAS!$I$6:$I$28,$P1642),0.0001)))))</f>
        <v>0</v>
      </c>
      <c r="S1642" s="18" t="n">
        <f aca="false">IFERROR(INDEX(SEMANAS!$H$6:$H$71,MATCH($B1642,SEMANAS!$B$6:$B$71,0)),0)</f>
        <v>39.4</v>
      </c>
      <c r="T1642" s="18" t="n">
        <f aca="false">$R1642*$S1642</f>
        <v>0</v>
      </c>
      <c r="U1642" s="18" t="n">
        <f aca="false">IFERROR(INDEX(SEMANAS!$I$6:$I$71,MATCH($B1642,SEMANAS!$B$6:$B$71,0)),0)</f>
        <v>5.32</v>
      </c>
      <c r="V1642" s="18" t="n">
        <f aca="false">IFERROR(INDEX(SEMANAS!$J$6:$J$71,MATCH($B1642,SEMANAS!$B$6:$B$71,0)),0)</f>
        <v>4.256</v>
      </c>
      <c r="W1642" s="18" t="n">
        <f aca="false">MAX(0,$T1642-$V1642)</f>
        <v>0</v>
      </c>
      <c r="X1642" s="19" t="n">
        <f aca="false">IFERROR(INDEX(CADASTRO_PIVOS!$K$6:$K$41,MATCH($E1642,CADASTRO_PIVOS!$B$6:$B$41,0)),EFICIENCIA_PADRAO)</f>
        <v>0.85</v>
      </c>
      <c r="Y1642" s="18" t="n">
        <f aca="false">IF($X1642&lt;=0,0,$W1642/$X1642)</f>
        <v>0</v>
      </c>
      <c r="Z1642" s="16" t="n">
        <f aca="false">$Y1642*$H1642*MM_PARA_M3_HA</f>
        <v>0</v>
      </c>
      <c r="AA1642" s="18" t="n">
        <f aca="false">IFERROR(INDEX(CADASTRO_PIVOS!$I$6:$I$41,MATCH($E1642,CADASTRO_PIVOS!$B$6:$B$41,0)),0)</f>
        <v>1049.64285714286</v>
      </c>
      <c r="AB1642" s="18" t="n">
        <f aca="false">IF($Z1642&lt;=0,0,$Z1642/$AA1642)</f>
        <v>0</v>
      </c>
      <c r="AC1642" s="16" t="n">
        <f aca="false">IFERROR(INDEX(SEMANAS!$K$6:$K$71,MATCH($B1642,SEMANAS!$B$6:$B$71,0)),0)</f>
        <v>147</v>
      </c>
      <c r="AD1642" s="19" t="n">
        <f aca="false">IF($AC1642&lt;=0,0,$AB1642/$AC1642)</f>
        <v>0</v>
      </c>
      <c r="AE1642" s="8" t="str">
        <f aca="false">IF($K1642="SEM CULTURA","SEM CULTURA",IF($AA1642&lt;=0,"DADO PENDENTE",IF($AD1642&gt;LIMITE_CRITICO,"INVIAVEL",IF($AD1642&gt;LIMITE_ATENCAO,"CRITICO",IF($AD1642&gt;LIMITE_CONFORTAVEL,"ATENCAO","OK")))))</f>
        <v>SEM CULTURA</v>
      </c>
      <c r="AF1642" s="8" t="str">
        <f aca="false">$B1642&amp;"|"&amp;TEXT($AD1642,"0.000000")</f>
        <v>53|0.000000</v>
      </c>
      <c r="AG1642" s="18" t="n">
        <f aca="false">IF($K1642="SEM CULTURA",0,$T1642*$H1642)</f>
        <v>0</v>
      </c>
      <c r="AH1642" s="18" t="n">
        <f aca="false">IF($K1642="SEM CULTURA",0,$V1642*$H1642)</f>
        <v>0</v>
      </c>
      <c r="AI1642" s="18" t="n">
        <f aca="false">IF($K1642="SEM CULTURA",0,$W1642*$H1642)</f>
        <v>0</v>
      </c>
      <c r="AJ1642" s="18" t="n">
        <f aca="false">IF($K1642="SEM CULTURA",0,$S1642*$H1642)</f>
        <v>0</v>
      </c>
      <c r="AK1642" s="8" t="str">
        <f aca="false">$E1642&amp;"|"&amp;TEXT($AD1642,"0.000000")</f>
        <v>PV 121|0.000000</v>
      </c>
    </row>
    <row r="1643" customFormat="false" ht="15" hidden="false" customHeight="false" outlineLevel="0" collapsed="false">
      <c r="B1643" s="16" t="n">
        <v>54</v>
      </c>
      <c r="C1643" s="17" t="n">
        <f aca="false">DATA_INICIO_SAFRA+($B1643-1)*DIAS_POR_SEMANA</f>
        <v>46636</v>
      </c>
      <c r="D1643" s="17" t="n">
        <f aca="false">$C1643+DIAS_POR_SEMANA-1</f>
        <v>46642</v>
      </c>
      <c r="E1643" s="15" t="s">
        <v>283</v>
      </c>
      <c r="F1643" s="8" t="str">
        <f aca="false">IFERROR(INDEX(CADASTRO_PIVOS!$C$6:$C$41,MATCH($E1643,CADASTRO_PIVOS!$B$6:$B$41,0)),"?")</f>
        <v>RM07</v>
      </c>
      <c r="G1643" s="8" t="str">
        <f aca="false">IFERROR(INDEX(CADASTRO_PIVOS!$D$6:$D$41,MATCH($E1643,CADASTRO_PIVOS!$B$6:$B$41,0)),"?")</f>
        <v>TR07</v>
      </c>
      <c r="H1643" s="20" t="n">
        <f aca="false">IFERROR(INDEX(CADASTRO_PIVOS!$E$6:$E$41,MATCH($E1643,CADASTRO_PIVOS!$B$6:$B$41,0)),0)</f>
        <v>146.95</v>
      </c>
      <c r="I1643" s="16" t="n">
        <f aca="false">IFERROR(SUMIFS(ROTACAO_RDM!$B$6:$B$71,ROTACAO_RDM!$D$6:$D$71,$E1643,ROTACAO_RDM!$I$6:$I$71,"&lt;="&amp;$C1643+INT(DIAS_POR_SEMANA/2),ROTACAO_RDM!$J$6:$J$71,"&gt;="&amp;$C1643+INT(DIAS_POR_SEMANA/2)),0)</f>
        <v>0</v>
      </c>
      <c r="J1643" s="16" t="n">
        <f aca="false">IFERROR(MATCH($I1643,ROTACAO_RDM!$B$6:$B$71,0),0)</f>
        <v>0</v>
      </c>
      <c r="K1643" s="8" t="str">
        <f aca="false">IF($J1643=0,"SEM CULTURA",INDEX(ROTACAO_RDM!$F$6:$F$71,$J1643))</f>
        <v>SEM CULTURA</v>
      </c>
      <c r="L1643" s="8" t="str">
        <f aca="false">IF($J1643=0,"",INDEX(ROTACAO_RDM!$G$6:$G$71,$J1643))</f>
        <v/>
      </c>
      <c r="M1643" s="17" t="str">
        <f aca="false">IF($J1643=0,"",INDEX(ROTACAO_RDM!$I$6:$I$71,$J1643))</f>
        <v/>
      </c>
      <c r="N1643" s="16" t="n">
        <f aca="false">IF($J1643=0,0,MAX(0,$C1643+INT(DIAS_POR_SEMANA/2)-INDEX(ROTACAO_RDM!$I$6:$I$71,$J1643)))</f>
        <v>0</v>
      </c>
      <c r="O1643" s="19" t="n">
        <f aca="false">IF($J1643=0,0,MIN(1,$N1643/MAX(1,INDEX(ROTACAO_RDM!$K$6:$K$71,$J1643))))</f>
        <v>0</v>
      </c>
      <c r="P1643" s="16" t="n">
        <f aca="false">IF($J1643=0,0,IFERROR(MATCH(INDEX(ROTACAO_RDM!$N$6:$N$71,$J1643),PARAMETROS_CULTURAS!$B$6:$B$28,0),0))</f>
        <v>0</v>
      </c>
      <c r="Q1643" s="8" t="str">
        <f aca="false">IF($P1643=0,"-",IF($O1643&lt;=INDEX(PARAMETROS_CULTURAS!$F$6:$F$28,$P1643),"INICIAL",IF($O1643&lt;=INDEX(PARAMETROS_CULTURAS!$F$6:$F$28,$P1643)+INDEX(PARAMETROS_CULTURAS!$G$6:$G$28,$P1643),"DESENVOLVIMENTO",IF($O1643&lt;=INDEX(PARAMETROS_CULTURAS!$F$6:$F$28,$P1643)+INDEX(PARAMETROS_CULTURAS!$G$6:$G$28,$P1643)+INDEX(PARAMETROS_CULTURAS!$H$6:$H$28,$P1643),"MEDIA","FINAL"))))</f>
        <v>-</v>
      </c>
      <c r="R1643" s="24" t="n">
        <f aca="false">IF($P1643=0,0,IF($O1643&lt;=INDEX(PARAMETROS_CULTURAS!$F$6:$F$28,$P1643),INDEX(PARAMETROS_CULTURAS!$K$6:$K$28,$P1643),IF($O1643&lt;=INDEX(PARAMETROS_CULTURAS!$F$6:$F$28,$P1643)+INDEX(PARAMETROS_CULTURAS!$G$6:$G$28,$P1643),INDEX(PARAMETROS_CULTURAS!$K$6:$K$28,$P1643)+(INDEX(PARAMETROS_CULTURAS!$L$6:$L$28,$P1643)-INDEX(PARAMETROS_CULTURAS!$K$6:$K$28,$P1643))*($O1643-INDEX(PARAMETROS_CULTURAS!$F$6:$F$28,$P1643))/MAX(INDEX(PARAMETROS_CULTURAS!$G$6:$G$28,$P1643),0.0001),IF($O1643&lt;=INDEX(PARAMETROS_CULTURAS!$F$6:$F$28,$P1643)+INDEX(PARAMETROS_CULTURAS!$G$6:$G$28,$P1643)+INDEX(PARAMETROS_CULTURAS!$H$6:$H$28,$P1643),INDEX(PARAMETROS_CULTURAS!$L$6:$L$28,$P1643),INDEX(PARAMETROS_CULTURAS!$L$6:$L$28,$P1643)+(INDEX(PARAMETROS_CULTURAS!$M$6:$M$28,$P1643)-INDEX(PARAMETROS_CULTURAS!$L$6:$L$28,$P1643))*($O1643-INDEX(PARAMETROS_CULTURAS!$F$6:$F$28,$P1643)-INDEX(PARAMETROS_CULTURAS!$G$6:$G$28,$P1643)-INDEX(PARAMETROS_CULTURAS!$H$6:$H$28,$P1643))/MAX(INDEX(PARAMETROS_CULTURAS!$I$6:$I$28,$P1643),0.0001)))))</f>
        <v>0</v>
      </c>
      <c r="S1643" s="18" t="n">
        <f aca="false">IFERROR(INDEX(SEMANAS!$H$6:$H$71,MATCH($B1643,SEMANAS!$B$6:$B$71,0)),0)</f>
        <v>40.6</v>
      </c>
      <c r="T1643" s="18" t="n">
        <f aca="false">$R1643*$S1643</f>
        <v>0</v>
      </c>
      <c r="U1643" s="18" t="n">
        <f aca="false">IFERROR(INDEX(SEMANAS!$I$6:$I$71,MATCH($B1643,SEMANAS!$B$6:$B$71,0)),0)</f>
        <v>7</v>
      </c>
      <c r="V1643" s="18" t="n">
        <f aca="false">IFERROR(INDEX(SEMANAS!$J$6:$J$71,MATCH($B1643,SEMANAS!$B$6:$B$71,0)),0)</f>
        <v>5.6</v>
      </c>
      <c r="W1643" s="18" t="n">
        <f aca="false">MAX(0,$T1643-$V1643)</f>
        <v>0</v>
      </c>
      <c r="X1643" s="19" t="n">
        <f aca="false">IFERROR(INDEX(CADASTRO_PIVOS!$K$6:$K$41,MATCH($E1643,CADASTRO_PIVOS!$B$6:$B$41,0)),EFICIENCIA_PADRAO)</f>
        <v>0.85</v>
      </c>
      <c r="Y1643" s="18" t="n">
        <f aca="false">IF($X1643&lt;=0,0,$W1643/$X1643)</f>
        <v>0</v>
      </c>
      <c r="Z1643" s="16" t="n">
        <f aca="false">$Y1643*$H1643*MM_PARA_M3_HA</f>
        <v>0</v>
      </c>
      <c r="AA1643" s="18" t="n">
        <f aca="false">IFERROR(INDEX(CADASTRO_PIVOS!$I$6:$I$41,MATCH($E1643,CADASTRO_PIVOS!$B$6:$B$41,0)),0)</f>
        <v>1049.64285714286</v>
      </c>
      <c r="AB1643" s="18" t="n">
        <f aca="false">IF($Z1643&lt;=0,0,$Z1643/$AA1643)</f>
        <v>0</v>
      </c>
      <c r="AC1643" s="16" t="n">
        <f aca="false">IFERROR(INDEX(SEMANAS!$K$6:$K$71,MATCH($B1643,SEMANAS!$B$6:$B$71,0)),0)</f>
        <v>147</v>
      </c>
      <c r="AD1643" s="19" t="n">
        <f aca="false">IF($AC1643&lt;=0,0,$AB1643/$AC1643)</f>
        <v>0</v>
      </c>
      <c r="AE1643" s="8" t="str">
        <f aca="false">IF($K1643="SEM CULTURA","SEM CULTURA",IF($AA1643&lt;=0,"DADO PENDENTE",IF($AD1643&gt;LIMITE_CRITICO,"INVIAVEL",IF($AD1643&gt;LIMITE_ATENCAO,"CRITICO",IF($AD1643&gt;LIMITE_CONFORTAVEL,"ATENCAO","OK")))))</f>
        <v>SEM CULTURA</v>
      </c>
      <c r="AF1643" s="8" t="str">
        <f aca="false">$B1643&amp;"|"&amp;TEXT($AD1643,"0.000000")</f>
        <v>54|0.000000</v>
      </c>
      <c r="AG1643" s="18" t="n">
        <f aca="false">IF($K1643="SEM CULTURA",0,$T1643*$H1643)</f>
        <v>0</v>
      </c>
      <c r="AH1643" s="18" t="n">
        <f aca="false">IF($K1643="SEM CULTURA",0,$V1643*$H1643)</f>
        <v>0</v>
      </c>
      <c r="AI1643" s="18" t="n">
        <f aca="false">IF($K1643="SEM CULTURA",0,$W1643*$H1643)</f>
        <v>0</v>
      </c>
      <c r="AJ1643" s="18" t="n">
        <f aca="false">IF($K1643="SEM CULTURA",0,$S1643*$H1643)</f>
        <v>0</v>
      </c>
      <c r="AK1643" s="8" t="str">
        <f aca="false">$E1643&amp;"|"&amp;TEXT($AD1643,"0.000000")</f>
        <v>PV 121|0.000000</v>
      </c>
    </row>
    <row r="1644" customFormat="false" ht="15" hidden="false" customHeight="false" outlineLevel="0" collapsed="false">
      <c r="B1644" s="16" t="n">
        <v>55</v>
      </c>
      <c r="C1644" s="17" t="n">
        <f aca="false">DATA_INICIO_SAFRA+($B1644-1)*DIAS_POR_SEMANA</f>
        <v>46643</v>
      </c>
      <c r="D1644" s="17" t="n">
        <f aca="false">$C1644+DIAS_POR_SEMANA-1</f>
        <v>46649</v>
      </c>
      <c r="E1644" s="15" t="s">
        <v>283</v>
      </c>
      <c r="F1644" s="8" t="str">
        <f aca="false">IFERROR(INDEX(CADASTRO_PIVOS!$C$6:$C$41,MATCH($E1644,CADASTRO_PIVOS!$B$6:$B$41,0)),"?")</f>
        <v>RM07</v>
      </c>
      <c r="G1644" s="8" t="str">
        <f aca="false">IFERROR(INDEX(CADASTRO_PIVOS!$D$6:$D$41,MATCH($E1644,CADASTRO_PIVOS!$B$6:$B$41,0)),"?")</f>
        <v>TR07</v>
      </c>
      <c r="H1644" s="20" t="n">
        <f aca="false">IFERROR(INDEX(CADASTRO_PIVOS!$E$6:$E$41,MATCH($E1644,CADASTRO_PIVOS!$B$6:$B$41,0)),0)</f>
        <v>146.95</v>
      </c>
      <c r="I1644" s="16" t="n">
        <f aca="false">IFERROR(SUMIFS(ROTACAO_RDM!$B$6:$B$71,ROTACAO_RDM!$D$6:$D$71,$E1644,ROTACAO_RDM!$I$6:$I$71,"&lt;="&amp;$C1644+INT(DIAS_POR_SEMANA/2),ROTACAO_RDM!$J$6:$J$71,"&gt;="&amp;$C1644+INT(DIAS_POR_SEMANA/2)),0)</f>
        <v>0</v>
      </c>
      <c r="J1644" s="16" t="n">
        <f aca="false">IFERROR(MATCH($I1644,ROTACAO_RDM!$B$6:$B$71,0),0)</f>
        <v>0</v>
      </c>
      <c r="K1644" s="8" t="str">
        <f aca="false">IF($J1644=0,"SEM CULTURA",INDEX(ROTACAO_RDM!$F$6:$F$71,$J1644))</f>
        <v>SEM CULTURA</v>
      </c>
      <c r="L1644" s="8" t="str">
        <f aca="false">IF($J1644=0,"",INDEX(ROTACAO_RDM!$G$6:$G$71,$J1644))</f>
        <v/>
      </c>
      <c r="M1644" s="17" t="str">
        <f aca="false">IF($J1644=0,"",INDEX(ROTACAO_RDM!$I$6:$I$71,$J1644))</f>
        <v/>
      </c>
      <c r="N1644" s="16" t="n">
        <f aca="false">IF($J1644=0,0,MAX(0,$C1644+INT(DIAS_POR_SEMANA/2)-INDEX(ROTACAO_RDM!$I$6:$I$71,$J1644)))</f>
        <v>0</v>
      </c>
      <c r="O1644" s="19" t="n">
        <f aca="false">IF($J1644=0,0,MIN(1,$N1644/MAX(1,INDEX(ROTACAO_RDM!$K$6:$K$71,$J1644))))</f>
        <v>0</v>
      </c>
      <c r="P1644" s="16" t="n">
        <f aca="false">IF($J1644=0,0,IFERROR(MATCH(INDEX(ROTACAO_RDM!$N$6:$N$71,$J1644),PARAMETROS_CULTURAS!$B$6:$B$28,0),0))</f>
        <v>0</v>
      </c>
      <c r="Q1644" s="8" t="str">
        <f aca="false">IF($P1644=0,"-",IF($O1644&lt;=INDEX(PARAMETROS_CULTURAS!$F$6:$F$28,$P1644),"INICIAL",IF($O1644&lt;=INDEX(PARAMETROS_CULTURAS!$F$6:$F$28,$P1644)+INDEX(PARAMETROS_CULTURAS!$G$6:$G$28,$P1644),"DESENVOLVIMENTO",IF($O1644&lt;=INDEX(PARAMETROS_CULTURAS!$F$6:$F$28,$P1644)+INDEX(PARAMETROS_CULTURAS!$G$6:$G$28,$P1644)+INDEX(PARAMETROS_CULTURAS!$H$6:$H$28,$P1644),"MEDIA","FINAL"))))</f>
        <v>-</v>
      </c>
      <c r="R1644" s="24" t="n">
        <f aca="false">IF($P1644=0,0,IF($O1644&lt;=INDEX(PARAMETROS_CULTURAS!$F$6:$F$28,$P1644),INDEX(PARAMETROS_CULTURAS!$K$6:$K$28,$P1644),IF($O1644&lt;=INDEX(PARAMETROS_CULTURAS!$F$6:$F$28,$P1644)+INDEX(PARAMETROS_CULTURAS!$G$6:$G$28,$P1644),INDEX(PARAMETROS_CULTURAS!$K$6:$K$28,$P1644)+(INDEX(PARAMETROS_CULTURAS!$L$6:$L$28,$P1644)-INDEX(PARAMETROS_CULTURAS!$K$6:$K$28,$P1644))*($O1644-INDEX(PARAMETROS_CULTURAS!$F$6:$F$28,$P1644))/MAX(INDEX(PARAMETROS_CULTURAS!$G$6:$G$28,$P1644),0.0001),IF($O1644&lt;=INDEX(PARAMETROS_CULTURAS!$F$6:$F$28,$P1644)+INDEX(PARAMETROS_CULTURAS!$G$6:$G$28,$P1644)+INDEX(PARAMETROS_CULTURAS!$H$6:$H$28,$P1644),INDEX(PARAMETROS_CULTURAS!$L$6:$L$28,$P1644),INDEX(PARAMETROS_CULTURAS!$L$6:$L$28,$P1644)+(INDEX(PARAMETROS_CULTURAS!$M$6:$M$28,$P1644)-INDEX(PARAMETROS_CULTURAS!$L$6:$L$28,$P1644))*($O1644-INDEX(PARAMETROS_CULTURAS!$F$6:$F$28,$P1644)-INDEX(PARAMETROS_CULTURAS!$G$6:$G$28,$P1644)-INDEX(PARAMETROS_CULTURAS!$H$6:$H$28,$P1644))/MAX(INDEX(PARAMETROS_CULTURAS!$I$6:$I$28,$P1644),0.0001)))))</f>
        <v>0</v>
      </c>
      <c r="S1644" s="18" t="n">
        <f aca="false">IFERROR(INDEX(SEMANAS!$H$6:$H$71,MATCH($B1644,SEMANAS!$B$6:$B$71,0)),0)</f>
        <v>40.6</v>
      </c>
      <c r="T1644" s="18" t="n">
        <f aca="false">$R1644*$S1644</f>
        <v>0</v>
      </c>
      <c r="U1644" s="18" t="n">
        <f aca="false">IFERROR(INDEX(SEMANAS!$I$6:$I$71,MATCH($B1644,SEMANAS!$B$6:$B$71,0)),0)</f>
        <v>7</v>
      </c>
      <c r="V1644" s="18" t="n">
        <f aca="false">IFERROR(INDEX(SEMANAS!$J$6:$J$71,MATCH($B1644,SEMANAS!$B$6:$B$71,0)),0)</f>
        <v>5.6</v>
      </c>
      <c r="W1644" s="18" t="n">
        <f aca="false">MAX(0,$T1644-$V1644)</f>
        <v>0</v>
      </c>
      <c r="X1644" s="19" t="n">
        <f aca="false">IFERROR(INDEX(CADASTRO_PIVOS!$K$6:$K$41,MATCH($E1644,CADASTRO_PIVOS!$B$6:$B$41,0)),EFICIENCIA_PADRAO)</f>
        <v>0.85</v>
      </c>
      <c r="Y1644" s="18" t="n">
        <f aca="false">IF($X1644&lt;=0,0,$W1644/$X1644)</f>
        <v>0</v>
      </c>
      <c r="Z1644" s="16" t="n">
        <f aca="false">$Y1644*$H1644*MM_PARA_M3_HA</f>
        <v>0</v>
      </c>
      <c r="AA1644" s="18" t="n">
        <f aca="false">IFERROR(INDEX(CADASTRO_PIVOS!$I$6:$I$41,MATCH($E1644,CADASTRO_PIVOS!$B$6:$B$41,0)),0)</f>
        <v>1049.64285714286</v>
      </c>
      <c r="AB1644" s="18" t="n">
        <f aca="false">IF($Z1644&lt;=0,0,$Z1644/$AA1644)</f>
        <v>0</v>
      </c>
      <c r="AC1644" s="16" t="n">
        <f aca="false">IFERROR(INDEX(SEMANAS!$K$6:$K$71,MATCH($B1644,SEMANAS!$B$6:$B$71,0)),0)</f>
        <v>147</v>
      </c>
      <c r="AD1644" s="19" t="n">
        <f aca="false">IF($AC1644&lt;=0,0,$AB1644/$AC1644)</f>
        <v>0</v>
      </c>
      <c r="AE1644" s="8" t="str">
        <f aca="false">IF($K1644="SEM CULTURA","SEM CULTURA",IF($AA1644&lt;=0,"DADO PENDENTE",IF($AD1644&gt;LIMITE_CRITICO,"INVIAVEL",IF($AD1644&gt;LIMITE_ATENCAO,"CRITICO",IF($AD1644&gt;LIMITE_CONFORTAVEL,"ATENCAO","OK")))))</f>
        <v>SEM CULTURA</v>
      </c>
      <c r="AF1644" s="8" t="str">
        <f aca="false">$B1644&amp;"|"&amp;TEXT($AD1644,"0.000000")</f>
        <v>55|0.000000</v>
      </c>
      <c r="AG1644" s="18" t="n">
        <f aca="false">IF($K1644="SEM CULTURA",0,$T1644*$H1644)</f>
        <v>0</v>
      </c>
      <c r="AH1644" s="18" t="n">
        <f aca="false">IF($K1644="SEM CULTURA",0,$V1644*$H1644)</f>
        <v>0</v>
      </c>
      <c r="AI1644" s="18" t="n">
        <f aca="false">IF($K1644="SEM CULTURA",0,$W1644*$H1644)</f>
        <v>0</v>
      </c>
      <c r="AJ1644" s="18" t="n">
        <f aca="false">IF($K1644="SEM CULTURA",0,$S1644*$H1644)</f>
        <v>0</v>
      </c>
      <c r="AK1644" s="8" t="str">
        <f aca="false">$E1644&amp;"|"&amp;TEXT($AD1644,"0.000000")</f>
        <v>PV 121|0.000000</v>
      </c>
    </row>
    <row r="1645" customFormat="false" ht="15" hidden="false" customHeight="false" outlineLevel="0" collapsed="false">
      <c r="B1645" s="16" t="n">
        <v>56</v>
      </c>
      <c r="C1645" s="17" t="n">
        <f aca="false">DATA_INICIO_SAFRA+($B1645-1)*DIAS_POR_SEMANA</f>
        <v>46650</v>
      </c>
      <c r="D1645" s="17" t="n">
        <f aca="false">$C1645+DIAS_POR_SEMANA-1</f>
        <v>46656</v>
      </c>
      <c r="E1645" s="15" t="s">
        <v>283</v>
      </c>
      <c r="F1645" s="8" t="str">
        <f aca="false">IFERROR(INDEX(CADASTRO_PIVOS!$C$6:$C$41,MATCH($E1645,CADASTRO_PIVOS!$B$6:$B$41,0)),"?")</f>
        <v>RM07</v>
      </c>
      <c r="G1645" s="8" t="str">
        <f aca="false">IFERROR(INDEX(CADASTRO_PIVOS!$D$6:$D$41,MATCH($E1645,CADASTRO_PIVOS!$B$6:$B$41,0)),"?")</f>
        <v>TR07</v>
      </c>
      <c r="H1645" s="20" t="n">
        <f aca="false">IFERROR(INDEX(CADASTRO_PIVOS!$E$6:$E$41,MATCH($E1645,CADASTRO_PIVOS!$B$6:$B$41,0)),0)</f>
        <v>146.95</v>
      </c>
      <c r="I1645" s="16" t="n">
        <f aca="false">IFERROR(SUMIFS(ROTACAO_RDM!$B$6:$B$71,ROTACAO_RDM!$D$6:$D$71,$E1645,ROTACAO_RDM!$I$6:$I$71,"&lt;="&amp;$C1645+INT(DIAS_POR_SEMANA/2),ROTACAO_RDM!$J$6:$J$71,"&gt;="&amp;$C1645+INT(DIAS_POR_SEMANA/2)),0)</f>
        <v>0</v>
      </c>
      <c r="J1645" s="16" t="n">
        <f aca="false">IFERROR(MATCH($I1645,ROTACAO_RDM!$B$6:$B$71,0),0)</f>
        <v>0</v>
      </c>
      <c r="K1645" s="8" t="str">
        <f aca="false">IF($J1645=0,"SEM CULTURA",INDEX(ROTACAO_RDM!$F$6:$F$71,$J1645))</f>
        <v>SEM CULTURA</v>
      </c>
      <c r="L1645" s="8" t="str">
        <f aca="false">IF($J1645=0,"",INDEX(ROTACAO_RDM!$G$6:$G$71,$J1645))</f>
        <v/>
      </c>
      <c r="M1645" s="17" t="str">
        <f aca="false">IF($J1645=0,"",INDEX(ROTACAO_RDM!$I$6:$I$71,$J1645))</f>
        <v/>
      </c>
      <c r="N1645" s="16" t="n">
        <f aca="false">IF($J1645=0,0,MAX(0,$C1645+INT(DIAS_POR_SEMANA/2)-INDEX(ROTACAO_RDM!$I$6:$I$71,$J1645)))</f>
        <v>0</v>
      </c>
      <c r="O1645" s="19" t="n">
        <f aca="false">IF($J1645=0,0,MIN(1,$N1645/MAX(1,INDEX(ROTACAO_RDM!$K$6:$K$71,$J1645))))</f>
        <v>0</v>
      </c>
      <c r="P1645" s="16" t="n">
        <f aca="false">IF($J1645=0,0,IFERROR(MATCH(INDEX(ROTACAO_RDM!$N$6:$N$71,$J1645),PARAMETROS_CULTURAS!$B$6:$B$28,0),0))</f>
        <v>0</v>
      </c>
      <c r="Q1645" s="8" t="str">
        <f aca="false">IF($P1645=0,"-",IF($O1645&lt;=INDEX(PARAMETROS_CULTURAS!$F$6:$F$28,$P1645),"INICIAL",IF($O1645&lt;=INDEX(PARAMETROS_CULTURAS!$F$6:$F$28,$P1645)+INDEX(PARAMETROS_CULTURAS!$G$6:$G$28,$P1645),"DESENVOLVIMENTO",IF($O1645&lt;=INDEX(PARAMETROS_CULTURAS!$F$6:$F$28,$P1645)+INDEX(PARAMETROS_CULTURAS!$G$6:$G$28,$P1645)+INDEX(PARAMETROS_CULTURAS!$H$6:$H$28,$P1645),"MEDIA","FINAL"))))</f>
        <v>-</v>
      </c>
      <c r="R1645" s="24" t="n">
        <f aca="false">IF($P1645=0,0,IF($O1645&lt;=INDEX(PARAMETROS_CULTURAS!$F$6:$F$28,$P1645),INDEX(PARAMETROS_CULTURAS!$K$6:$K$28,$P1645),IF($O1645&lt;=INDEX(PARAMETROS_CULTURAS!$F$6:$F$28,$P1645)+INDEX(PARAMETROS_CULTURAS!$G$6:$G$28,$P1645),INDEX(PARAMETROS_CULTURAS!$K$6:$K$28,$P1645)+(INDEX(PARAMETROS_CULTURAS!$L$6:$L$28,$P1645)-INDEX(PARAMETROS_CULTURAS!$K$6:$K$28,$P1645))*($O1645-INDEX(PARAMETROS_CULTURAS!$F$6:$F$28,$P1645))/MAX(INDEX(PARAMETROS_CULTURAS!$G$6:$G$28,$P1645),0.0001),IF($O1645&lt;=INDEX(PARAMETROS_CULTURAS!$F$6:$F$28,$P1645)+INDEX(PARAMETROS_CULTURAS!$G$6:$G$28,$P1645)+INDEX(PARAMETROS_CULTURAS!$H$6:$H$28,$P1645),INDEX(PARAMETROS_CULTURAS!$L$6:$L$28,$P1645),INDEX(PARAMETROS_CULTURAS!$L$6:$L$28,$P1645)+(INDEX(PARAMETROS_CULTURAS!$M$6:$M$28,$P1645)-INDEX(PARAMETROS_CULTURAS!$L$6:$L$28,$P1645))*($O1645-INDEX(PARAMETROS_CULTURAS!$F$6:$F$28,$P1645)-INDEX(PARAMETROS_CULTURAS!$G$6:$G$28,$P1645)-INDEX(PARAMETROS_CULTURAS!$H$6:$H$28,$P1645))/MAX(INDEX(PARAMETROS_CULTURAS!$I$6:$I$28,$P1645),0.0001)))))</f>
        <v>0</v>
      </c>
      <c r="S1645" s="18" t="n">
        <f aca="false">IFERROR(INDEX(SEMANAS!$H$6:$H$71,MATCH($B1645,SEMANAS!$B$6:$B$71,0)),0)</f>
        <v>40.6</v>
      </c>
      <c r="T1645" s="18" t="n">
        <f aca="false">$R1645*$S1645</f>
        <v>0</v>
      </c>
      <c r="U1645" s="18" t="n">
        <f aca="false">IFERROR(INDEX(SEMANAS!$I$6:$I$71,MATCH($B1645,SEMANAS!$B$6:$B$71,0)),0)</f>
        <v>7</v>
      </c>
      <c r="V1645" s="18" t="n">
        <f aca="false">IFERROR(INDEX(SEMANAS!$J$6:$J$71,MATCH($B1645,SEMANAS!$B$6:$B$71,0)),0)</f>
        <v>5.6</v>
      </c>
      <c r="W1645" s="18" t="n">
        <f aca="false">MAX(0,$T1645-$V1645)</f>
        <v>0</v>
      </c>
      <c r="X1645" s="19" t="n">
        <f aca="false">IFERROR(INDEX(CADASTRO_PIVOS!$K$6:$K$41,MATCH($E1645,CADASTRO_PIVOS!$B$6:$B$41,0)),EFICIENCIA_PADRAO)</f>
        <v>0.85</v>
      </c>
      <c r="Y1645" s="18" t="n">
        <f aca="false">IF($X1645&lt;=0,0,$W1645/$X1645)</f>
        <v>0</v>
      </c>
      <c r="Z1645" s="16" t="n">
        <f aca="false">$Y1645*$H1645*MM_PARA_M3_HA</f>
        <v>0</v>
      </c>
      <c r="AA1645" s="18" t="n">
        <f aca="false">IFERROR(INDEX(CADASTRO_PIVOS!$I$6:$I$41,MATCH($E1645,CADASTRO_PIVOS!$B$6:$B$41,0)),0)</f>
        <v>1049.64285714286</v>
      </c>
      <c r="AB1645" s="18" t="n">
        <f aca="false">IF($Z1645&lt;=0,0,$Z1645/$AA1645)</f>
        <v>0</v>
      </c>
      <c r="AC1645" s="16" t="n">
        <f aca="false">IFERROR(INDEX(SEMANAS!$K$6:$K$71,MATCH($B1645,SEMANAS!$B$6:$B$71,0)),0)</f>
        <v>147</v>
      </c>
      <c r="AD1645" s="19" t="n">
        <f aca="false">IF($AC1645&lt;=0,0,$AB1645/$AC1645)</f>
        <v>0</v>
      </c>
      <c r="AE1645" s="8" t="str">
        <f aca="false">IF($K1645="SEM CULTURA","SEM CULTURA",IF($AA1645&lt;=0,"DADO PENDENTE",IF($AD1645&gt;LIMITE_CRITICO,"INVIAVEL",IF($AD1645&gt;LIMITE_ATENCAO,"CRITICO",IF($AD1645&gt;LIMITE_CONFORTAVEL,"ATENCAO","OK")))))</f>
        <v>SEM CULTURA</v>
      </c>
      <c r="AF1645" s="8" t="str">
        <f aca="false">$B1645&amp;"|"&amp;TEXT($AD1645,"0.000000")</f>
        <v>56|0.000000</v>
      </c>
      <c r="AG1645" s="18" t="n">
        <f aca="false">IF($K1645="SEM CULTURA",0,$T1645*$H1645)</f>
        <v>0</v>
      </c>
      <c r="AH1645" s="18" t="n">
        <f aca="false">IF($K1645="SEM CULTURA",0,$V1645*$H1645)</f>
        <v>0</v>
      </c>
      <c r="AI1645" s="18" t="n">
        <f aca="false">IF($K1645="SEM CULTURA",0,$W1645*$H1645)</f>
        <v>0</v>
      </c>
      <c r="AJ1645" s="18" t="n">
        <f aca="false">IF($K1645="SEM CULTURA",0,$S1645*$H1645)</f>
        <v>0</v>
      </c>
      <c r="AK1645" s="8" t="str">
        <f aca="false">$E1645&amp;"|"&amp;TEXT($AD1645,"0.000000")</f>
        <v>PV 121|0.000000</v>
      </c>
    </row>
    <row r="1646" customFormat="false" ht="15" hidden="false" customHeight="false" outlineLevel="0" collapsed="false">
      <c r="B1646" s="16" t="n">
        <v>57</v>
      </c>
      <c r="C1646" s="17" t="n">
        <f aca="false">DATA_INICIO_SAFRA+($B1646-1)*DIAS_POR_SEMANA</f>
        <v>46657</v>
      </c>
      <c r="D1646" s="17" t="n">
        <f aca="false">$C1646+DIAS_POR_SEMANA-1</f>
        <v>46663</v>
      </c>
      <c r="E1646" s="15" t="s">
        <v>283</v>
      </c>
      <c r="F1646" s="8" t="str">
        <f aca="false">IFERROR(INDEX(CADASTRO_PIVOS!$C$6:$C$41,MATCH($E1646,CADASTRO_PIVOS!$B$6:$B$41,0)),"?")</f>
        <v>RM07</v>
      </c>
      <c r="G1646" s="8" t="str">
        <f aca="false">IFERROR(INDEX(CADASTRO_PIVOS!$D$6:$D$41,MATCH($E1646,CADASTRO_PIVOS!$B$6:$B$41,0)),"?")</f>
        <v>TR07</v>
      </c>
      <c r="H1646" s="20" t="n">
        <f aca="false">IFERROR(INDEX(CADASTRO_PIVOS!$E$6:$E$41,MATCH($E1646,CADASTRO_PIVOS!$B$6:$B$41,0)),0)</f>
        <v>146.95</v>
      </c>
      <c r="I1646" s="16" t="n">
        <f aca="false">IFERROR(SUMIFS(ROTACAO_RDM!$B$6:$B$71,ROTACAO_RDM!$D$6:$D$71,$E1646,ROTACAO_RDM!$I$6:$I$71,"&lt;="&amp;$C1646+INT(DIAS_POR_SEMANA/2),ROTACAO_RDM!$J$6:$J$71,"&gt;="&amp;$C1646+INT(DIAS_POR_SEMANA/2)),0)</f>
        <v>0</v>
      </c>
      <c r="J1646" s="16" t="n">
        <f aca="false">IFERROR(MATCH($I1646,ROTACAO_RDM!$B$6:$B$71,0),0)</f>
        <v>0</v>
      </c>
      <c r="K1646" s="8" t="str">
        <f aca="false">IF($J1646=0,"SEM CULTURA",INDEX(ROTACAO_RDM!$F$6:$F$71,$J1646))</f>
        <v>SEM CULTURA</v>
      </c>
      <c r="L1646" s="8" t="str">
        <f aca="false">IF($J1646=0,"",INDEX(ROTACAO_RDM!$G$6:$G$71,$J1646))</f>
        <v/>
      </c>
      <c r="M1646" s="17" t="str">
        <f aca="false">IF($J1646=0,"",INDEX(ROTACAO_RDM!$I$6:$I$71,$J1646))</f>
        <v/>
      </c>
      <c r="N1646" s="16" t="n">
        <f aca="false">IF($J1646=0,0,MAX(0,$C1646+INT(DIAS_POR_SEMANA/2)-INDEX(ROTACAO_RDM!$I$6:$I$71,$J1646)))</f>
        <v>0</v>
      </c>
      <c r="O1646" s="19" t="n">
        <f aca="false">IF($J1646=0,0,MIN(1,$N1646/MAX(1,INDEX(ROTACAO_RDM!$K$6:$K$71,$J1646))))</f>
        <v>0</v>
      </c>
      <c r="P1646" s="16" t="n">
        <f aca="false">IF($J1646=0,0,IFERROR(MATCH(INDEX(ROTACAO_RDM!$N$6:$N$71,$J1646),PARAMETROS_CULTURAS!$B$6:$B$28,0),0))</f>
        <v>0</v>
      </c>
      <c r="Q1646" s="8" t="str">
        <f aca="false">IF($P1646=0,"-",IF($O1646&lt;=INDEX(PARAMETROS_CULTURAS!$F$6:$F$28,$P1646),"INICIAL",IF($O1646&lt;=INDEX(PARAMETROS_CULTURAS!$F$6:$F$28,$P1646)+INDEX(PARAMETROS_CULTURAS!$G$6:$G$28,$P1646),"DESENVOLVIMENTO",IF($O1646&lt;=INDEX(PARAMETROS_CULTURAS!$F$6:$F$28,$P1646)+INDEX(PARAMETROS_CULTURAS!$G$6:$G$28,$P1646)+INDEX(PARAMETROS_CULTURAS!$H$6:$H$28,$P1646),"MEDIA","FINAL"))))</f>
        <v>-</v>
      </c>
      <c r="R1646" s="24" t="n">
        <f aca="false">IF($P1646=0,0,IF($O1646&lt;=INDEX(PARAMETROS_CULTURAS!$F$6:$F$28,$P1646),INDEX(PARAMETROS_CULTURAS!$K$6:$K$28,$P1646),IF($O1646&lt;=INDEX(PARAMETROS_CULTURAS!$F$6:$F$28,$P1646)+INDEX(PARAMETROS_CULTURAS!$G$6:$G$28,$P1646),INDEX(PARAMETROS_CULTURAS!$K$6:$K$28,$P1646)+(INDEX(PARAMETROS_CULTURAS!$L$6:$L$28,$P1646)-INDEX(PARAMETROS_CULTURAS!$K$6:$K$28,$P1646))*($O1646-INDEX(PARAMETROS_CULTURAS!$F$6:$F$28,$P1646))/MAX(INDEX(PARAMETROS_CULTURAS!$G$6:$G$28,$P1646),0.0001),IF($O1646&lt;=INDEX(PARAMETROS_CULTURAS!$F$6:$F$28,$P1646)+INDEX(PARAMETROS_CULTURAS!$G$6:$G$28,$P1646)+INDEX(PARAMETROS_CULTURAS!$H$6:$H$28,$P1646),INDEX(PARAMETROS_CULTURAS!$L$6:$L$28,$P1646),INDEX(PARAMETROS_CULTURAS!$L$6:$L$28,$P1646)+(INDEX(PARAMETROS_CULTURAS!$M$6:$M$28,$P1646)-INDEX(PARAMETROS_CULTURAS!$L$6:$L$28,$P1646))*($O1646-INDEX(PARAMETROS_CULTURAS!$F$6:$F$28,$P1646)-INDEX(PARAMETROS_CULTURAS!$G$6:$G$28,$P1646)-INDEX(PARAMETROS_CULTURAS!$H$6:$H$28,$P1646))/MAX(INDEX(PARAMETROS_CULTURAS!$I$6:$I$28,$P1646),0.0001)))))</f>
        <v>0</v>
      </c>
      <c r="S1646" s="18" t="n">
        <f aca="false">IFERROR(INDEX(SEMANAS!$H$6:$H$71,MATCH($B1646,SEMANAS!$B$6:$B$71,0)),0)</f>
        <v>40</v>
      </c>
      <c r="T1646" s="18" t="n">
        <f aca="false">$R1646*$S1646</f>
        <v>0</v>
      </c>
      <c r="U1646" s="18" t="n">
        <f aca="false">IFERROR(INDEX(SEMANAS!$I$6:$I$71,MATCH($B1646,SEMANAS!$B$6:$B$71,0)),0)</f>
        <v>15.61</v>
      </c>
      <c r="V1646" s="18" t="n">
        <f aca="false">IFERROR(INDEX(SEMANAS!$J$6:$J$71,MATCH($B1646,SEMANAS!$B$6:$B$71,0)),0)</f>
        <v>12.488</v>
      </c>
      <c r="W1646" s="18" t="n">
        <f aca="false">MAX(0,$T1646-$V1646)</f>
        <v>0</v>
      </c>
      <c r="X1646" s="19" t="n">
        <f aca="false">IFERROR(INDEX(CADASTRO_PIVOS!$K$6:$K$41,MATCH($E1646,CADASTRO_PIVOS!$B$6:$B$41,0)),EFICIENCIA_PADRAO)</f>
        <v>0.85</v>
      </c>
      <c r="Y1646" s="18" t="n">
        <f aca="false">IF($X1646&lt;=0,0,$W1646/$X1646)</f>
        <v>0</v>
      </c>
      <c r="Z1646" s="16" t="n">
        <f aca="false">$Y1646*$H1646*MM_PARA_M3_HA</f>
        <v>0</v>
      </c>
      <c r="AA1646" s="18" t="n">
        <f aca="false">IFERROR(INDEX(CADASTRO_PIVOS!$I$6:$I$41,MATCH($E1646,CADASTRO_PIVOS!$B$6:$B$41,0)),0)</f>
        <v>1049.64285714286</v>
      </c>
      <c r="AB1646" s="18" t="n">
        <f aca="false">IF($Z1646&lt;=0,0,$Z1646/$AA1646)</f>
        <v>0</v>
      </c>
      <c r="AC1646" s="16" t="n">
        <f aca="false">IFERROR(INDEX(SEMANAS!$K$6:$K$71,MATCH($B1646,SEMANAS!$B$6:$B$71,0)),0)</f>
        <v>147</v>
      </c>
      <c r="AD1646" s="19" t="n">
        <f aca="false">IF($AC1646&lt;=0,0,$AB1646/$AC1646)</f>
        <v>0</v>
      </c>
      <c r="AE1646" s="8" t="str">
        <f aca="false">IF($K1646="SEM CULTURA","SEM CULTURA",IF($AA1646&lt;=0,"DADO PENDENTE",IF($AD1646&gt;LIMITE_CRITICO,"INVIAVEL",IF($AD1646&gt;LIMITE_ATENCAO,"CRITICO",IF($AD1646&gt;LIMITE_CONFORTAVEL,"ATENCAO","OK")))))</f>
        <v>SEM CULTURA</v>
      </c>
      <c r="AF1646" s="8" t="str">
        <f aca="false">$B1646&amp;"|"&amp;TEXT($AD1646,"0.000000")</f>
        <v>57|0.000000</v>
      </c>
      <c r="AG1646" s="18" t="n">
        <f aca="false">IF($K1646="SEM CULTURA",0,$T1646*$H1646)</f>
        <v>0</v>
      </c>
      <c r="AH1646" s="18" t="n">
        <f aca="false">IF($K1646="SEM CULTURA",0,$V1646*$H1646)</f>
        <v>0</v>
      </c>
      <c r="AI1646" s="18" t="n">
        <f aca="false">IF($K1646="SEM CULTURA",0,$W1646*$H1646)</f>
        <v>0</v>
      </c>
      <c r="AJ1646" s="18" t="n">
        <f aca="false">IF($K1646="SEM CULTURA",0,$S1646*$H1646)</f>
        <v>0</v>
      </c>
      <c r="AK1646" s="8" t="str">
        <f aca="false">$E1646&amp;"|"&amp;TEXT($AD1646,"0.000000")</f>
        <v>PV 121|0.000000</v>
      </c>
    </row>
    <row r="1647" customFormat="false" ht="15" hidden="false" customHeight="false" outlineLevel="0" collapsed="false">
      <c r="B1647" s="16" t="n">
        <v>58</v>
      </c>
      <c r="C1647" s="17" t="n">
        <f aca="false">DATA_INICIO_SAFRA+($B1647-1)*DIAS_POR_SEMANA</f>
        <v>46664</v>
      </c>
      <c r="D1647" s="17" t="n">
        <f aca="false">$C1647+DIAS_POR_SEMANA-1</f>
        <v>46670</v>
      </c>
      <c r="E1647" s="15" t="s">
        <v>283</v>
      </c>
      <c r="F1647" s="8" t="str">
        <f aca="false">IFERROR(INDEX(CADASTRO_PIVOS!$C$6:$C$41,MATCH($E1647,CADASTRO_PIVOS!$B$6:$B$41,0)),"?")</f>
        <v>RM07</v>
      </c>
      <c r="G1647" s="8" t="str">
        <f aca="false">IFERROR(INDEX(CADASTRO_PIVOS!$D$6:$D$41,MATCH($E1647,CADASTRO_PIVOS!$B$6:$B$41,0)),"?")</f>
        <v>TR07</v>
      </c>
      <c r="H1647" s="20" t="n">
        <f aca="false">IFERROR(INDEX(CADASTRO_PIVOS!$E$6:$E$41,MATCH($E1647,CADASTRO_PIVOS!$B$6:$B$41,0)),0)</f>
        <v>146.95</v>
      </c>
      <c r="I1647" s="16" t="n">
        <f aca="false">IFERROR(SUMIFS(ROTACAO_RDM!$B$6:$B$71,ROTACAO_RDM!$D$6:$D$71,$E1647,ROTACAO_RDM!$I$6:$I$71,"&lt;="&amp;$C1647+INT(DIAS_POR_SEMANA/2),ROTACAO_RDM!$J$6:$J$71,"&gt;="&amp;$C1647+INT(DIAS_POR_SEMANA/2)),0)</f>
        <v>0</v>
      </c>
      <c r="J1647" s="16" t="n">
        <f aca="false">IFERROR(MATCH($I1647,ROTACAO_RDM!$B$6:$B$71,0),0)</f>
        <v>0</v>
      </c>
      <c r="K1647" s="8" t="str">
        <f aca="false">IF($J1647=0,"SEM CULTURA",INDEX(ROTACAO_RDM!$F$6:$F$71,$J1647))</f>
        <v>SEM CULTURA</v>
      </c>
      <c r="L1647" s="8" t="str">
        <f aca="false">IF($J1647=0,"",INDEX(ROTACAO_RDM!$G$6:$G$71,$J1647))</f>
        <v/>
      </c>
      <c r="M1647" s="17" t="str">
        <f aca="false">IF($J1647=0,"",INDEX(ROTACAO_RDM!$I$6:$I$71,$J1647))</f>
        <v/>
      </c>
      <c r="N1647" s="16" t="n">
        <f aca="false">IF($J1647=0,0,MAX(0,$C1647+INT(DIAS_POR_SEMANA/2)-INDEX(ROTACAO_RDM!$I$6:$I$71,$J1647)))</f>
        <v>0</v>
      </c>
      <c r="O1647" s="19" t="n">
        <f aca="false">IF($J1647=0,0,MIN(1,$N1647/MAX(1,INDEX(ROTACAO_RDM!$K$6:$K$71,$J1647))))</f>
        <v>0</v>
      </c>
      <c r="P1647" s="16" t="n">
        <f aca="false">IF($J1647=0,0,IFERROR(MATCH(INDEX(ROTACAO_RDM!$N$6:$N$71,$J1647),PARAMETROS_CULTURAS!$B$6:$B$28,0),0))</f>
        <v>0</v>
      </c>
      <c r="Q1647" s="8" t="str">
        <f aca="false">IF($P1647=0,"-",IF($O1647&lt;=INDEX(PARAMETROS_CULTURAS!$F$6:$F$28,$P1647),"INICIAL",IF($O1647&lt;=INDEX(PARAMETROS_CULTURAS!$F$6:$F$28,$P1647)+INDEX(PARAMETROS_CULTURAS!$G$6:$G$28,$P1647),"DESENVOLVIMENTO",IF($O1647&lt;=INDEX(PARAMETROS_CULTURAS!$F$6:$F$28,$P1647)+INDEX(PARAMETROS_CULTURAS!$G$6:$G$28,$P1647)+INDEX(PARAMETROS_CULTURAS!$H$6:$H$28,$P1647),"MEDIA","FINAL"))))</f>
        <v>-</v>
      </c>
      <c r="R1647" s="24" t="n">
        <f aca="false">IF($P1647=0,0,IF($O1647&lt;=INDEX(PARAMETROS_CULTURAS!$F$6:$F$28,$P1647),INDEX(PARAMETROS_CULTURAS!$K$6:$K$28,$P1647),IF($O1647&lt;=INDEX(PARAMETROS_CULTURAS!$F$6:$F$28,$P1647)+INDEX(PARAMETROS_CULTURAS!$G$6:$G$28,$P1647),INDEX(PARAMETROS_CULTURAS!$K$6:$K$28,$P1647)+(INDEX(PARAMETROS_CULTURAS!$L$6:$L$28,$P1647)-INDEX(PARAMETROS_CULTURAS!$K$6:$K$28,$P1647))*($O1647-INDEX(PARAMETROS_CULTURAS!$F$6:$F$28,$P1647))/MAX(INDEX(PARAMETROS_CULTURAS!$G$6:$G$28,$P1647),0.0001),IF($O1647&lt;=INDEX(PARAMETROS_CULTURAS!$F$6:$F$28,$P1647)+INDEX(PARAMETROS_CULTURAS!$G$6:$G$28,$P1647)+INDEX(PARAMETROS_CULTURAS!$H$6:$H$28,$P1647),INDEX(PARAMETROS_CULTURAS!$L$6:$L$28,$P1647),INDEX(PARAMETROS_CULTURAS!$L$6:$L$28,$P1647)+(INDEX(PARAMETROS_CULTURAS!$M$6:$M$28,$P1647)-INDEX(PARAMETROS_CULTURAS!$L$6:$L$28,$P1647))*($O1647-INDEX(PARAMETROS_CULTURAS!$F$6:$F$28,$P1647)-INDEX(PARAMETROS_CULTURAS!$G$6:$G$28,$P1647)-INDEX(PARAMETROS_CULTURAS!$H$6:$H$28,$P1647))/MAX(INDEX(PARAMETROS_CULTURAS!$I$6:$I$28,$P1647),0.0001)))))</f>
        <v>0</v>
      </c>
      <c r="S1647" s="18" t="n">
        <f aca="false">IFERROR(INDEX(SEMANAS!$H$6:$H$71,MATCH($B1647,SEMANAS!$B$6:$B$71,0)),0)</f>
        <v>39.2</v>
      </c>
      <c r="T1647" s="18" t="n">
        <f aca="false">$R1647*$S1647</f>
        <v>0</v>
      </c>
      <c r="U1647" s="18" t="n">
        <f aca="false">IFERROR(INDEX(SEMANAS!$I$6:$I$71,MATCH($B1647,SEMANAS!$B$6:$B$71,0)),0)</f>
        <v>27.09</v>
      </c>
      <c r="V1647" s="18" t="n">
        <f aca="false">IFERROR(INDEX(SEMANAS!$J$6:$J$71,MATCH($B1647,SEMANAS!$B$6:$B$71,0)),0)</f>
        <v>21.672</v>
      </c>
      <c r="W1647" s="18" t="n">
        <f aca="false">MAX(0,$T1647-$V1647)</f>
        <v>0</v>
      </c>
      <c r="X1647" s="19" t="n">
        <f aca="false">IFERROR(INDEX(CADASTRO_PIVOS!$K$6:$K$41,MATCH($E1647,CADASTRO_PIVOS!$B$6:$B$41,0)),EFICIENCIA_PADRAO)</f>
        <v>0.85</v>
      </c>
      <c r="Y1647" s="18" t="n">
        <f aca="false">IF($X1647&lt;=0,0,$W1647/$X1647)</f>
        <v>0</v>
      </c>
      <c r="Z1647" s="16" t="n">
        <f aca="false">$Y1647*$H1647*MM_PARA_M3_HA</f>
        <v>0</v>
      </c>
      <c r="AA1647" s="18" t="n">
        <f aca="false">IFERROR(INDEX(CADASTRO_PIVOS!$I$6:$I$41,MATCH($E1647,CADASTRO_PIVOS!$B$6:$B$41,0)),0)</f>
        <v>1049.64285714286</v>
      </c>
      <c r="AB1647" s="18" t="n">
        <f aca="false">IF($Z1647&lt;=0,0,$Z1647/$AA1647)</f>
        <v>0</v>
      </c>
      <c r="AC1647" s="16" t="n">
        <f aca="false">IFERROR(INDEX(SEMANAS!$K$6:$K$71,MATCH($B1647,SEMANAS!$B$6:$B$71,0)),0)</f>
        <v>147</v>
      </c>
      <c r="AD1647" s="19" t="n">
        <f aca="false">IF($AC1647&lt;=0,0,$AB1647/$AC1647)</f>
        <v>0</v>
      </c>
      <c r="AE1647" s="8" t="str">
        <f aca="false">IF($K1647="SEM CULTURA","SEM CULTURA",IF($AA1647&lt;=0,"DADO PENDENTE",IF($AD1647&gt;LIMITE_CRITICO,"INVIAVEL",IF($AD1647&gt;LIMITE_ATENCAO,"CRITICO",IF($AD1647&gt;LIMITE_CONFORTAVEL,"ATENCAO","OK")))))</f>
        <v>SEM CULTURA</v>
      </c>
      <c r="AF1647" s="8" t="str">
        <f aca="false">$B1647&amp;"|"&amp;TEXT($AD1647,"0.000000")</f>
        <v>58|0.000000</v>
      </c>
      <c r="AG1647" s="18" t="n">
        <f aca="false">IF($K1647="SEM CULTURA",0,$T1647*$H1647)</f>
        <v>0</v>
      </c>
      <c r="AH1647" s="18" t="n">
        <f aca="false">IF($K1647="SEM CULTURA",0,$V1647*$H1647)</f>
        <v>0</v>
      </c>
      <c r="AI1647" s="18" t="n">
        <f aca="false">IF($K1647="SEM CULTURA",0,$W1647*$H1647)</f>
        <v>0</v>
      </c>
      <c r="AJ1647" s="18" t="n">
        <f aca="false">IF($K1647="SEM CULTURA",0,$S1647*$H1647)</f>
        <v>0</v>
      </c>
      <c r="AK1647" s="8" t="str">
        <f aca="false">$E1647&amp;"|"&amp;TEXT($AD1647,"0.000000")</f>
        <v>PV 121|0.000000</v>
      </c>
    </row>
    <row r="1648" customFormat="false" ht="15" hidden="false" customHeight="false" outlineLevel="0" collapsed="false">
      <c r="B1648" s="16" t="n">
        <v>59</v>
      </c>
      <c r="C1648" s="17" t="n">
        <f aca="false">DATA_INICIO_SAFRA+($B1648-1)*DIAS_POR_SEMANA</f>
        <v>46671</v>
      </c>
      <c r="D1648" s="17" t="n">
        <f aca="false">$C1648+DIAS_POR_SEMANA-1</f>
        <v>46677</v>
      </c>
      <c r="E1648" s="15" t="s">
        <v>283</v>
      </c>
      <c r="F1648" s="8" t="str">
        <f aca="false">IFERROR(INDEX(CADASTRO_PIVOS!$C$6:$C$41,MATCH($E1648,CADASTRO_PIVOS!$B$6:$B$41,0)),"?")</f>
        <v>RM07</v>
      </c>
      <c r="G1648" s="8" t="str">
        <f aca="false">IFERROR(INDEX(CADASTRO_PIVOS!$D$6:$D$41,MATCH($E1648,CADASTRO_PIVOS!$B$6:$B$41,0)),"?")</f>
        <v>TR07</v>
      </c>
      <c r="H1648" s="20" t="n">
        <f aca="false">IFERROR(INDEX(CADASTRO_PIVOS!$E$6:$E$41,MATCH($E1648,CADASTRO_PIVOS!$B$6:$B$41,0)),0)</f>
        <v>146.95</v>
      </c>
      <c r="I1648" s="16" t="n">
        <f aca="false">IFERROR(SUMIFS(ROTACAO_RDM!$B$6:$B$71,ROTACAO_RDM!$D$6:$D$71,$E1648,ROTACAO_RDM!$I$6:$I$71,"&lt;="&amp;$C1648+INT(DIAS_POR_SEMANA/2),ROTACAO_RDM!$J$6:$J$71,"&gt;="&amp;$C1648+INT(DIAS_POR_SEMANA/2)),0)</f>
        <v>0</v>
      </c>
      <c r="J1648" s="16" t="n">
        <f aca="false">IFERROR(MATCH($I1648,ROTACAO_RDM!$B$6:$B$71,0),0)</f>
        <v>0</v>
      </c>
      <c r="K1648" s="8" t="str">
        <f aca="false">IF($J1648=0,"SEM CULTURA",INDEX(ROTACAO_RDM!$F$6:$F$71,$J1648))</f>
        <v>SEM CULTURA</v>
      </c>
      <c r="L1648" s="8" t="str">
        <f aca="false">IF($J1648=0,"",INDEX(ROTACAO_RDM!$G$6:$G$71,$J1648))</f>
        <v/>
      </c>
      <c r="M1648" s="17" t="str">
        <f aca="false">IF($J1648=0,"",INDEX(ROTACAO_RDM!$I$6:$I$71,$J1648))</f>
        <v/>
      </c>
      <c r="N1648" s="16" t="n">
        <f aca="false">IF($J1648=0,0,MAX(0,$C1648+INT(DIAS_POR_SEMANA/2)-INDEX(ROTACAO_RDM!$I$6:$I$71,$J1648)))</f>
        <v>0</v>
      </c>
      <c r="O1648" s="19" t="n">
        <f aca="false">IF($J1648=0,0,MIN(1,$N1648/MAX(1,INDEX(ROTACAO_RDM!$K$6:$K$71,$J1648))))</f>
        <v>0</v>
      </c>
      <c r="P1648" s="16" t="n">
        <f aca="false">IF($J1648=0,0,IFERROR(MATCH(INDEX(ROTACAO_RDM!$N$6:$N$71,$J1648),PARAMETROS_CULTURAS!$B$6:$B$28,0),0))</f>
        <v>0</v>
      </c>
      <c r="Q1648" s="8" t="str">
        <f aca="false">IF($P1648=0,"-",IF($O1648&lt;=INDEX(PARAMETROS_CULTURAS!$F$6:$F$28,$P1648),"INICIAL",IF($O1648&lt;=INDEX(PARAMETROS_CULTURAS!$F$6:$F$28,$P1648)+INDEX(PARAMETROS_CULTURAS!$G$6:$G$28,$P1648),"DESENVOLVIMENTO",IF($O1648&lt;=INDEX(PARAMETROS_CULTURAS!$F$6:$F$28,$P1648)+INDEX(PARAMETROS_CULTURAS!$G$6:$G$28,$P1648)+INDEX(PARAMETROS_CULTURAS!$H$6:$H$28,$P1648),"MEDIA","FINAL"))))</f>
        <v>-</v>
      </c>
      <c r="R1648" s="24" t="n">
        <f aca="false">IF($P1648=0,0,IF($O1648&lt;=INDEX(PARAMETROS_CULTURAS!$F$6:$F$28,$P1648),INDEX(PARAMETROS_CULTURAS!$K$6:$K$28,$P1648),IF($O1648&lt;=INDEX(PARAMETROS_CULTURAS!$F$6:$F$28,$P1648)+INDEX(PARAMETROS_CULTURAS!$G$6:$G$28,$P1648),INDEX(PARAMETROS_CULTURAS!$K$6:$K$28,$P1648)+(INDEX(PARAMETROS_CULTURAS!$L$6:$L$28,$P1648)-INDEX(PARAMETROS_CULTURAS!$K$6:$K$28,$P1648))*($O1648-INDEX(PARAMETROS_CULTURAS!$F$6:$F$28,$P1648))/MAX(INDEX(PARAMETROS_CULTURAS!$G$6:$G$28,$P1648),0.0001),IF($O1648&lt;=INDEX(PARAMETROS_CULTURAS!$F$6:$F$28,$P1648)+INDEX(PARAMETROS_CULTURAS!$G$6:$G$28,$P1648)+INDEX(PARAMETROS_CULTURAS!$H$6:$H$28,$P1648),INDEX(PARAMETROS_CULTURAS!$L$6:$L$28,$P1648),INDEX(PARAMETROS_CULTURAS!$L$6:$L$28,$P1648)+(INDEX(PARAMETROS_CULTURAS!$M$6:$M$28,$P1648)-INDEX(PARAMETROS_CULTURAS!$L$6:$L$28,$P1648))*($O1648-INDEX(PARAMETROS_CULTURAS!$F$6:$F$28,$P1648)-INDEX(PARAMETROS_CULTURAS!$G$6:$G$28,$P1648)-INDEX(PARAMETROS_CULTURAS!$H$6:$H$28,$P1648))/MAX(INDEX(PARAMETROS_CULTURAS!$I$6:$I$28,$P1648),0.0001)))))</f>
        <v>0</v>
      </c>
      <c r="S1648" s="18" t="n">
        <f aca="false">IFERROR(INDEX(SEMANAS!$H$6:$H$71,MATCH($B1648,SEMANAS!$B$6:$B$71,0)),0)</f>
        <v>39.2</v>
      </c>
      <c r="T1648" s="18" t="n">
        <f aca="false">$R1648*$S1648</f>
        <v>0</v>
      </c>
      <c r="U1648" s="18" t="n">
        <f aca="false">IFERROR(INDEX(SEMANAS!$I$6:$I$71,MATCH($B1648,SEMANAS!$B$6:$B$71,0)),0)</f>
        <v>27.09</v>
      </c>
      <c r="V1648" s="18" t="n">
        <f aca="false">IFERROR(INDEX(SEMANAS!$J$6:$J$71,MATCH($B1648,SEMANAS!$B$6:$B$71,0)),0)</f>
        <v>21.672</v>
      </c>
      <c r="W1648" s="18" t="n">
        <f aca="false">MAX(0,$T1648-$V1648)</f>
        <v>0</v>
      </c>
      <c r="X1648" s="19" t="n">
        <f aca="false">IFERROR(INDEX(CADASTRO_PIVOS!$K$6:$K$41,MATCH($E1648,CADASTRO_PIVOS!$B$6:$B$41,0)),EFICIENCIA_PADRAO)</f>
        <v>0.85</v>
      </c>
      <c r="Y1648" s="18" t="n">
        <f aca="false">IF($X1648&lt;=0,0,$W1648/$X1648)</f>
        <v>0</v>
      </c>
      <c r="Z1648" s="16" t="n">
        <f aca="false">$Y1648*$H1648*MM_PARA_M3_HA</f>
        <v>0</v>
      </c>
      <c r="AA1648" s="18" t="n">
        <f aca="false">IFERROR(INDEX(CADASTRO_PIVOS!$I$6:$I$41,MATCH($E1648,CADASTRO_PIVOS!$B$6:$B$41,0)),0)</f>
        <v>1049.64285714286</v>
      </c>
      <c r="AB1648" s="18" t="n">
        <f aca="false">IF($Z1648&lt;=0,0,$Z1648/$AA1648)</f>
        <v>0</v>
      </c>
      <c r="AC1648" s="16" t="n">
        <f aca="false">IFERROR(INDEX(SEMANAS!$K$6:$K$71,MATCH($B1648,SEMANAS!$B$6:$B$71,0)),0)</f>
        <v>147</v>
      </c>
      <c r="AD1648" s="19" t="n">
        <f aca="false">IF($AC1648&lt;=0,0,$AB1648/$AC1648)</f>
        <v>0</v>
      </c>
      <c r="AE1648" s="8" t="str">
        <f aca="false">IF($K1648="SEM CULTURA","SEM CULTURA",IF($AA1648&lt;=0,"DADO PENDENTE",IF($AD1648&gt;LIMITE_CRITICO,"INVIAVEL",IF($AD1648&gt;LIMITE_ATENCAO,"CRITICO",IF($AD1648&gt;LIMITE_CONFORTAVEL,"ATENCAO","OK")))))</f>
        <v>SEM CULTURA</v>
      </c>
      <c r="AF1648" s="8" t="str">
        <f aca="false">$B1648&amp;"|"&amp;TEXT($AD1648,"0.000000")</f>
        <v>59|0.000000</v>
      </c>
      <c r="AG1648" s="18" t="n">
        <f aca="false">IF($K1648="SEM CULTURA",0,$T1648*$H1648)</f>
        <v>0</v>
      </c>
      <c r="AH1648" s="18" t="n">
        <f aca="false">IF($K1648="SEM CULTURA",0,$V1648*$H1648)</f>
        <v>0</v>
      </c>
      <c r="AI1648" s="18" t="n">
        <f aca="false">IF($K1648="SEM CULTURA",0,$W1648*$H1648)</f>
        <v>0</v>
      </c>
      <c r="AJ1648" s="18" t="n">
        <f aca="false">IF($K1648="SEM CULTURA",0,$S1648*$H1648)</f>
        <v>0</v>
      </c>
      <c r="AK1648" s="8" t="str">
        <f aca="false">$E1648&amp;"|"&amp;TEXT($AD1648,"0.000000")</f>
        <v>PV 121|0.000000</v>
      </c>
    </row>
    <row r="1649" customFormat="false" ht="15" hidden="false" customHeight="false" outlineLevel="0" collapsed="false">
      <c r="B1649" s="16" t="n">
        <v>60</v>
      </c>
      <c r="C1649" s="17" t="n">
        <f aca="false">DATA_INICIO_SAFRA+($B1649-1)*DIAS_POR_SEMANA</f>
        <v>46678</v>
      </c>
      <c r="D1649" s="17" t="n">
        <f aca="false">$C1649+DIAS_POR_SEMANA-1</f>
        <v>46684</v>
      </c>
      <c r="E1649" s="15" t="s">
        <v>283</v>
      </c>
      <c r="F1649" s="8" t="str">
        <f aca="false">IFERROR(INDEX(CADASTRO_PIVOS!$C$6:$C$41,MATCH($E1649,CADASTRO_PIVOS!$B$6:$B$41,0)),"?")</f>
        <v>RM07</v>
      </c>
      <c r="G1649" s="8" t="str">
        <f aca="false">IFERROR(INDEX(CADASTRO_PIVOS!$D$6:$D$41,MATCH($E1649,CADASTRO_PIVOS!$B$6:$B$41,0)),"?")</f>
        <v>TR07</v>
      </c>
      <c r="H1649" s="20" t="n">
        <f aca="false">IFERROR(INDEX(CADASTRO_PIVOS!$E$6:$E$41,MATCH($E1649,CADASTRO_PIVOS!$B$6:$B$41,0)),0)</f>
        <v>146.95</v>
      </c>
      <c r="I1649" s="16" t="n">
        <f aca="false">IFERROR(SUMIFS(ROTACAO_RDM!$B$6:$B$71,ROTACAO_RDM!$D$6:$D$71,$E1649,ROTACAO_RDM!$I$6:$I$71,"&lt;="&amp;$C1649+INT(DIAS_POR_SEMANA/2),ROTACAO_RDM!$J$6:$J$71,"&gt;="&amp;$C1649+INT(DIAS_POR_SEMANA/2)),0)</f>
        <v>0</v>
      </c>
      <c r="J1649" s="16" t="n">
        <f aca="false">IFERROR(MATCH($I1649,ROTACAO_RDM!$B$6:$B$71,0),0)</f>
        <v>0</v>
      </c>
      <c r="K1649" s="8" t="str">
        <f aca="false">IF($J1649=0,"SEM CULTURA",INDEX(ROTACAO_RDM!$F$6:$F$71,$J1649))</f>
        <v>SEM CULTURA</v>
      </c>
      <c r="L1649" s="8" t="str">
        <f aca="false">IF($J1649=0,"",INDEX(ROTACAO_RDM!$G$6:$G$71,$J1649))</f>
        <v/>
      </c>
      <c r="M1649" s="17" t="str">
        <f aca="false">IF($J1649=0,"",INDEX(ROTACAO_RDM!$I$6:$I$71,$J1649))</f>
        <v/>
      </c>
      <c r="N1649" s="16" t="n">
        <f aca="false">IF($J1649=0,0,MAX(0,$C1649+INT(DIAS_POR_SEMANA/2)-INDEX(ROTACAO_RDM!$I$6:$I$71,$J1649)))</f>
        <v>0</v>
      </c>
      <c r="O1649" s="19" t="n">
        <f aca="false">IF($J1649=0,0,MIN(1,$N1649/MAX(1,INDEX(ROTACAO_RDM!$K$6:$K$71,$J1649))))</f>
        <v>0</v>
      </c>
      <c r="P1649" s="16" t="n">
        <f aca="false">IF($J1649=0,0,IFERROR(MATCH(INDEX(ROTACAO_RDM!$N$6:$N$71,$J1649),PARAMETROS_CULTURAS!$B$6:$B$28,0),0))</f>
        <v>0</v>
      </c>
      <c r="Q1649" s="8" t="str">
        <f aca="false">IF($P1649=0,"-",IF($O1649&lt;=INDEX(PARAMETROS_CULTURAS!$F$6:$F$28,$P1649),"INICIAL",IF($O1649&lt;=INDEX(PARAMETROS_CULTURAS!$F$6:$F$28,$P1649)+INDEX(PARAMETROS_CULTURAS!$G$6:$G$28,$P1649),"DESENVOLVIMENTO",IF($O1649&lt;=INDEX(PARAMETROS_CULTURAS!$F$6:$F$28,$P1649)+INDEX(PARAMETROS_CULTURAS!$G$6:$G$28,$P1649)+INDEX(PARAMETROS_CULTURAS!$H$6:$H$28,$P1649),"MEDIA","FINAL"))))</f>
        <v>-</v>
      </c>
      <c r="R1649" s="24" t="n">
        <f aca="false">IF($P1649=0,0,IF($O1649&lt;=INDEX(PARAMETROS_CULTURAS!$F$6:$F$28,$P1649),INDEX(PARAMETROS_CULTURAS!$K$6:$K$28,$P1649),IF($O1649&lt;=INDEX(PARAMETROS_CULTURAS!$F$6:$F$28,$P1649)+INDEX(PARAMETROS_CULTURAS!$G$6:$G$28,$P1649),INDEX(PARAMETROS_CULTURAS!$K$6:$K$28,$P1649)+(INDEX(PARAMETROS_CULTURAS!$L$6:$L$28,$P1649)-INDEX(PARAMETROS_CULTURAS!$K$6:$K$28,$P1649))*($O1649-INDEX(PARAMETROS_CULTURAS!$F$6:$F$28,$P1649))/MAX(INDEX(PARAMETROS_CULTURAS!$G$6:$G$28,$P1649),0.0001),IF($O1649&lt;=INDEX(PARAMETROS_CULTURAS!$F$6:$F$28,$P1649)+INDEX(PARAMETROS_CULTURAS!$G$6:$G$28,$P1649)+INDEX(PARAMETROS_CULTURAS!$H$6:$H$28,$P1649),INDEX(PARAMETROS_CULTURAS!$L$6:$L$28,$P1649),INDEX(PARAMETROS_CULTURAS!$L$6:$L$28,$P1649)+(INDEX(PARAMETROS_CULTURAS!$M$6:$M$28,$P1649)-INDEX(PARAMETROS_CULTURAS!$L$6:$L$28,$P1649))*($O1649-INDEX(PARAMETROS_CULTURAS!$F$6:$F$28,$P1649)-INDEX(PARAMETROS_CULTURAS!$G$6:$G$28,$P1649)-INDEX(PARAMETROS_CULTURAS!$H$6:$H$28,$P1649))/MAX(INDEX(PARAMETROS_CULTURAS!$I$6:$I$28,$P1649),0.0001)))))</f>
        <v>0</v>
      </c>
      <c r="S1649" s="18" t="n">
        <f aca="false">IFERROR(INDEX(SEMANAS!$H$6:$H$71,MATCH($B1649,SEMANAS!$B$6:$B$71,0)),0)</f>
        <v>39.2</v>
      </c>
      <c r="T1649" s="18" t="n">
        <f aca="false">$R1649*$S1649</f>
        <v>0</v>
      </c>
      <c r="U1649" s="18" t="n">
        <f aca="false">IFERROR(INDEX(SEMANAS!$I$6:$I$71,MATCH($B1649,SEMANAS!$B$6:$B$71,0)),0)</f>
        <v>27.09</v>
      </c>
      <c r="V1649" s="18" t="n">
        <f aca="false">IFERROR(INDEX(SEMANAS!$J$6:$J$71,MATCH($B1649,SEMANAS!$B$6:$B$71,0)),0)</f>
        <v>21.672</v>
      </c>
      <c r="W1649" s="18" t="n">
        <f aca="false">MAX(0,$T1649-$V1649)</f>
        <v>0</v>
      </c>
      <c r="X1649" s="19" t="n">
        <f aca="false">IFERROR(INDEX(CADASTRO_PIVOS!$K$6:$K$41,MATCH($E1649,CADASTRO_PIVOS!$B$6:$B$41,0)),EFICIENCIA_PADRAO)</f>
        <v>0.85</v>
      </c>
      <c r="Y1649" s="18" t="n">
        <f aca="false">IF($X1649&lt;=0,0,$W1649/$X1649)</f>
        <v>0</v>
      </c>
      <c r="Z1649" s="16" t="n">
        <f aca="false">$Y1649*$H1649*MM_PARA_M3_HA</f>
        <v>0</v>
      </c>
      <c r="AA1649" s="18" t="n">
        <f aca="false">IFERROR(INDEX(CADASTRO_PIVOS!$I$6:$I$41,MATCH($E1649,CADASTRO_PIVOS!$B$6:$B$41,0)),0)</f>
        <v>1049.64285714286</v>
      </c>
      <c r="AB1649" s="18" t="n">
        <f aca="false">IF($Z1649&lt;=0,0,$Z1649/$AA1649)</f>
        <v>0</v>
      </c>
      <c r="AC1649" s="16" t="n">
        <f aca="false">IFERROR(INDEX(SEMANAS!$K$6:$K$71,MATCH($B1649,SEMANAS!$B$6:$B$71,0)),0)</f>
        <v>147</v>
      </c>
      <c r="AD1649" s="19" t="n">
        <f aca="false">IF($AC1649&lt;=0,0,$AB1649/$AC1649)</f>
        <v>0</v>
      </c>
      <c r="AE1649" s="8" t="str">
        <f aca="false">IF($K1649="SEM CULTURA","SEM CULTURA",IF($AA1649&lt;=0,"DADO PENDENTE",IF($AD1649&gt;LIMITE_CRITICO,"INVIAVEL",IF($AD1649&gt;LIMITE_ATENCAO,"CRITICO",IF($AD1649&gt;LIMITE_CONFORTAVEL,"ATENCAO","OK")))))</f>
        <v>SEM CULTURA</v>
      </c>
      <c r="AF1649" s="8" t="str">
        <f aca="false">$B1649&amp;"|"&amp;TEXT($AD1649,"0.000000")</f>
        <v>60|0.000000</v>
      </c>
      <c r="AG1649" s="18" t="n">
        <f aca="false">IF($K1649="SEM CULTURA",0,$T1649*$H1649)</f>
        <v>0</v>
      </c>
      <c r="AH1649" s="18" t="n">
        <f aca="false">IF($K1649="SEM CULTURA",0,$V1649*$H1649)</f>
        <v>0</v>
      </c>
      <c r="AI1649" s="18" t="n">
        <f aca="false">IF($K1649="SEM CULTURA",0,$W1649*$H1649)</f>
        <v>0</v>
      </c>
      <c r="AJ1649" s="18" t="n">
        <f aca="false">IF($K1649="SEM CULTURA",0,$S1649*$H1649)</f>
        <v>0</v>
      </c>
      <c r="AK1649" s="8" t="str">
        <f aca="false">$E1649&amp;"|"&amp;TEXT($AD1649,"0.000000")</f>
        <v>PV 121|0.000000</v>
      </c>
    </row>
    <row r="1650" customFormat="false" ht="15" hidden="false" customHeight="false" outlineLevel="0" collapsed="false">
      <c r="B1650" s="16" t="n">
        <v>61</v>
      </c>
      <c r="C1650" s="17" t="n">
        <f aca="false">DATA_INICIO_SAFRA+($B1650-1)*DIAS_POR_SEMANA</f>
        <v>46685</v>
      </c>
      <c r="D1650" s="17" t="n">
        <f aca="false">$C1650+DIAS_POR_SEMANA-1</f>
        <v>46691</v>
      </c>
      <c r="E1650" s="15" t="s">
        <v>283</v>
      </c>
      <c r="F1650" s="8" t="str">
        <f aca="false">IFERROR(INDEX(CADASTRO_PIVOS!$C$6:$C$41,MATCH($E1650,CADASTRO_PIVOS!$B$6:$B$41,0)),"?")</f>
        <v>RM07</v>
      </c>
      <c r="G1650" s="8" t="str">
        <f aca="false">IFERROR(INDEX(CADASTRO_PIVOS!$D$6:$D$41,MATCH($E1650,CADASTRO_PIVOS!$B$6:$B$41,0)),"?")</f>
        <v>TR07</v>
      </c>
      <c r="H1650" s="20" t="n">
        <f aca="false">IFERROR(INDEX(CADASTRO_PIVOS!$E$6:$E$41,MATCH($E1650,CADASTRO_PIVOS!$B$6:$B$41,0)),0)</f>
        <v>146.95</v>
      </c>
      <c r="I1650" s="16" t="n">
        <f aca="false">IFERROR(SUMIFS(ROTACAO_RDM!$B$6:$B$71,ROTACAO_RDM!$D$6:$D$71,$E1650,ROTACAO_RDM!$I$6:$I$71,"&lt;="&amp;$C1650+INT(DIAS_POR_SEMANA/2),ROTACAO_RDM!$J$6:$J$71,"&gt;="&amp;$C1650+INT(DIAS_POR_SEMANA/2)),0)</f>
        <v>0</v>
      </c>
      <c r="J1650" s="16" t="n">
        <f aca="false">IFERROR(MATCH($I1650,ROTACAO_RDM!$B$6:$B$71,0),0)</f>
        <v>0</v>
      </c>
      <c r="K1650" s="8" t="str">
        <f aca="false">IF($J1650=0,"SEM CULTURA",INDEX(ROTACAO_RDM!$F$6:$F$71,$J1650))</f>
        <v>SEM CULTURA</v>
      </c>
      <c r="L1650" s="8" t="str">
        <f aca="false">IF($J1650=0,"",INDEX(ROTACAO_RDM!$G$6:$G$71,$J1650))</f>
        <v/>
      </c>
      <c r="M1650" s="17" t="str">
        <f aca="false">IF($J1650=0,"",INDEX(ROTACAO_RDM!$I$6:$I$71,$J1650))</f>
        <v/>
      </c>
      <c r="N1650" s="16" t="n">
        <f aca="false">IF($J1650=0,0,MAX(0,$C1650+INT(DIAS_POR_SEMANA/2)-INDEX(ROTACAO_RDM!$I$6:$I$71,$J1650)))</f>
        <v>0</v>
      </c>
      <c r="O1650" s="19" t="n">
        <f aca="false">IF($J1650=0,0,MIN(1,$N1650/MAX(1,INDEX(ROTACAO_RDM!$K$6:$K$71,$J1650))))</f>
        <v>0</v>
      </c>
      <c r="P1650" s="16" t="n">
        <f aca="false">IF($J1650=0,0,IFERROR(MATCH(INDEX(ROTACAO_RDM!$N$6:$N$71,$J1650),PARAMETROS_CULTURAS!$B$6:$B$28,0),0))</f>
        <v>0</v>
      </c>
      <c r="Q1650" s="8" t="str">
        <f aca="false">IF($P1650=0,"-",IF($O1650&lt;=INDEX(PARAMETROS_CULTURAS!$F$6:$F$28,$P1650),"INICIAL",IF($O1650&lt;=INDEX(PARAMETROS_CULTURAS!$F$6:$F$28,$P1650)+INDEX(PARAMETROS_CULTURAS!$G$6:$G$28,$P1650),"DESENVOLVIMENTO",IF($O1650&lt;=INDEX(PARAMETROS_CULTURAS!$F$6:$F$28,$P1650)+INDEX(PARAMETROS_CULTURAS!$G$6:$G$28,$P1650)+INDEX(PARAMETROS_CULTURAS!$H$6:$H$28,$P1650),"MEDIA","FINAL"))))</f>
        <v>-</v>
      </c>
      <c r="R1650" s="24" t="n">
        <f aca="false">IF($P1650=0,0,IF($O1650&lt;=INDEX(PARAMETROS_CULTURAS!$F$6:$F$28,$P1650),INDEX(PARAMETROS_CULTURAS!$K$6:$K$28,$P1650),IF($O1650&lt;=INDEX(PARAMETROS_CULTURAS!$F$6:$F$28,$P1650)+INDEX(PARAMETROS_CULTURAS!$G$6:$G$28,$P1650),INDEX(PARAMETROS_CULTURAS!$K$6:$K$28,$P1650)+(INDEX(PARAMETROS_CULTURAS!$L$6:$L$28,$P1650)-INDEX(PARAMETROS_CULTURAS!$K$6:$K$28,$P1650))*($O1650-INDEX(PARAMETROS_CULTURAS!$F$6:$F$28,$P1650))/MAX(INDEX(PARAMETROS_CULTURAS!$G$6:$G$28,$P1650),0.0001),IF($O1650&lt;=INDEX(PARAMETROS_CULTURAS!$F$6:$F$28,$P1650)+INDEX(PARAMETROS_CULTURAS!$G$6:$G$28,$P1650)+INDEX(PARAMETROS_CULTURAS!$H$6:$H$28,$P1650),INDEX(PARAMETROS_CULTURAS!$L$6:$L$28,$P1650),INDEX(PARAMETROS_CULTURAS!$L$6:$L$28,$P1650)+(INDEX(PARAMETROS_CULTURAS!$M$6:$M$28,$P1650)-INDEX(PARAMETROS_CULTURAS!$L$6:$L$28,$P1650))*($O1650-INDEX(PARAMETROS_CULTURAS!$F$6:$F$28,$P1650)-INDEX(PARAMETROS_CULTURAS!$G$6:$G$28,$P1650)-INDEX(PARAMETROS_CULTURAS!$H$6:$H$28,$P1650))/MAX(INDEX(PARAMETROS_CULTURAS!$I$6:$I$28,$P1650),0.0001)))))</f>
        <v>0</v>
      </c>
      <c r="S1650" s="18" t="n">
        <f aca="false">IFERROR(INDEX(SEMANAS!$H$6:$H$71,MATCH($B1650,SEMANAS!$B$6:$B$71,0)),0)</f>
        <v>39.2</v>
      </c>
      <c r="T1650" s="18" t="n">
        <f aca="false">$R1650*$S1650</f>
        <v>0</v>
      </c>
      <c r="U1650" s="18" t="n">
        <f aca="false">IFERROR(INDEX(SEMANAS!$I$6:$I$71,MATCH($B1650,SEMANAS!$B$6:$B$71,0)),0)</f>
        <v>27.09</v>
      </c>
      <c r="V1650" s="18" t="n">
        <f aca="false">IFERROR(INDEX(SEMANAS!$J$6:$J$71,MATCH($B1650,SEMANAS!$B$6:$B$71,0)),0)</f>
        <v>21.672</v>
      </c>
      <c r="W1650" s="18" t="n">
        <f aca="false">MAX(0,$T1650-$V1650)</f>
        <v>0</v>
      </c>
      <c r="X1650" s="19" t="n">
        <f aca="false">IFERROR(INDEX(CADASTRO_PIVOS!$K$6:$K$41,MATCH($E1650,CADASTRO_PIVOS!$B$6:$B$41,0)),EFICIENCIA_PADRAO)</f>
        <v>0.85</v>
      </c>
      <c r="Y1650" s="18" t="n">
        <f aca="false">IF($X1650&lt;=0,0,$W1650/$X1650)</f>
        <v>0</v>
      </c>
      <c r="Z1650" s="16" t="n">
        <f aca="false">$Y1650*$H1650*MM_PARA_M3_HA</f>
        <v>0</v>
      </c>
      <c r="AA1650" s="18" t="n">
        <f aca="false">IFERROR(INDEX(CADASTRO_PIVOS!$I$6:$I$41,MATCH($E1650,CADASTRO_PIVOS!$B$6:$B$41,0)),0)</f>
        <v>1049.64285714286</v>
      </c>
      <c r="AB1650" s="18" t="n">
        <f aca="false">IF($Z1650&lt;=0,0,$Z1650/$AA1650)</f>
        <v>0</v>
      </c>
      <c r="AC1650" s="16" t="n">
        <f aca="false">IFERROR(INDEX(SEMANAS!$K$6:$K$71,MATCH($B1650,SEMANAS!$B$6:$B$71,0)),0)</f>
        <v>147</v>
      </c>
      <c r="AD1650" s="19" t="n">
        <f aca="false">IF($AC1650&lt;=0,0,$AB1650/$AC1650)</f>
        <v>0</v>
      </c>
      <c r="AE1650" s="8" t="str">
        <f aca="false">IF($K1650="SEM CULTURA","SEM CULTURA",IF($AA1650&lt;=0,"DADO PENDENTE",IF($AD1650&gt;LIMITE_CRITICO,"INVIAVEL",IF($AD1650&gt;LIMITE_ATENCAO,"CRITICO",IF($AD1650&gt;LIMITE_CONFORTAVEL,"ATENCAO","OK")))))</f>
        <v>SEM CULTURA</v>
      </c>
      <c r="AF1650" s="8" t="str">
        <f aca="false">$B1650&amp;"|"&amp;TEXT($AD1650,"0.000000")</f>
        <v>61|0.000000</v>
      </c>
      <c r="AG1650" s="18" t="n">
        <f aca="false">IF($K1650="SEM CULTURA",0,$T1650*$H1650)</f>
        <v>0</v>
      </c>
      <c r="AH1650" s="18" t="n">
        <f aca="false">IF($K1650="SEM CULTURA",0,$V1650*$H1650)</f>
        <v>0</v>
      </c>
      <c r="AI1650" s="18" t="n">
        <f aca="false">IF($K1650="SEM CULTURA",0,$W1650*$H1650)</f>
        <v>0</v>
      </c>
      <c r="AJ1650" s="18" t="n">
        <f aca="false">IF($K1650="SEM CULTURA",0,$S1650*$H1650)</f>
        <v>0</v>
      </c>
      <c r="AK1650" s="8" t="str">
        <f aca="false">$E1650&amp;"|"&amp;TEXT($AD1650,"0.000000")</f>
        <v>PV 121|0.000000</v>
      </c>
    </row>
    <row r="1651" customFormat="false" ht="15" hidden="false" customHeight="false" outlineLevel="0" collapsed="false">
      <c r="B1651" s="16" t="n">
        <v>62</v>
      </c>
      <c r="C1651" s="17" t="n">
        <f aca="false">DATA_INICIO_SAFRA+($B1651-1)*DIAS_POR_SEMANA</f>
        <v>46692</v>
      </c>
      <c r="D1651" s="17" t="n">
        <f aca="false">$C1651+DIAS_POR_SEMANA-1</f>
        <v>46698</v>
      </c>
      <c r="E1651" s="15" t="s">
        <v>283</v>
      </c>
      <c r="F1651" s="8" t="str">
        <f aca="false">IFERROR(INDEX(CADASTRO_PIVOS!$C$6:$C$41,MATCH($E1651,CADASTRO_PIVOS!$B$6:$B$41,0)),"?")</f>
        <v>RM07</v>
      </c>
      <c r="G1651" s="8" t="str">
        <f aca="false">IFERROR(INDEX(CADASTRO_PIVOS!$D$6:$D$41,MATCH($E1651,CADASTRO_PIVOS!$B$6:$B$41,0)),"?")</f>
        <v>TR07</v>
      </c>
      <c r="H1651" s="20" t="n">
        <f aca="false">IFERROR(INDEX(CADASTRO_PIVOS!$E$6:$E$41,MATCH($E1651,CADASTRO_PIVOS!$B$6:$B$41,0)),0)</f>
        <v>146.95</v>
      </c>
      <c r="I1651" s="16" t="n">
        <f aca="false">IFERROR(SUMIFS(ROTACAO_RDM!$B$6:$B$71,ROTACAO_RDM!$D$6:$D$71,$E1651,ROTACAO_RDM!$I$6:$I$71,"&lt;="&amp;$C1651+INT(DIAS_POR_SEMANA/2),ROTACAO_RDM!$J$6:$J$71,"&gt;="&amp;$C1651+INT(DIAS_POR_SEMANA/2)),0)</f>
        <v>0</v>
      </c>
      <c r="J1651" s="16" t="n">
        <f aca="false">IFERROR(MATCH($I1651,ROTACAO_RDM!$B$6:$B$71,0),0)</f>
        <v>0</v>
      </c>
      <c r="K1651" s="8" t="str">
        <f aca="false">IF($J1651=0,"SEM CULTURA",INDEX(ROTACAO_RDM!$F$6:$F$71,$J1651))</f>
        <v>SEM CULTURA</v>
      </c>
      <c r="L1651" s="8" t="str">
        <f aca="false">IF($J1651=0,"",INDEX(ROTACAO_RDM!$G$6:$G$71,$J1651))</f>
        <v/>
      </c>
      <c r="M1651" s="17" t="str">
        <f aca="false">IF($J1651=0,"",INDEX(ROTACAO_RDM!$I$6:$I$71,$J1651))</f>
        <v/>
      </c>
      <c r="N1651" s="16" t="n">
        <f aca="false">IF($J1651=0,0,MAX(0,$C1651+INT(DIAS_POR_SEMANA/2)-INDEX(ROTACAO_RDM!$I$6:$I$71,$J1651)))</f>
        <v>0</v>
      </c>
      <c r="O1651" s="19" t="n">
        <f aca="false">IF($J1651=0,0,MIN(1,$N1651/MAX(1,INDEX(ROTACAO_RDM!$K$6:$K$71,$J1651))))</f>
        <v>0</v>
      </c>
      <c r="P1651" s="16" t="n">
        <f aca="false">IF($J1651=0,0,IFERROR(MATCH(INDEX(ROTACAO_RDM!$N$6:$N$71,$J1651),PARAMETROS_CULTURAS!$B$6:$B$28,0),0))</f>
        <v>0</v>
      </c>
      <c r="Q1651" s="8" t="str">
        <f aca="false">IF($P1651=0,"-",IF($O1651&lt;=INDEX(PARAMETROS_CULTURAS!$F$6:$F$28,$P1651),"INICIAL",IF($O1651&lt;=INDEX(PARAMETROS_CULTURAS!$F$6:$F$28,$P1651)+INDEX(PARAMETROS_CULTURAS!$G$6:$G$28,$P1651),"DESENVOLVIMENTO",IF($O1651&lt;=INDEX(PARAMETROS_CULTURAS!$F$6:$F$28,$P1651)+INDEX(PARAMETROS_CULTURAS!$G$6:$G$28,$P1651)+INDEX(PARAMETROS_CULTURAS!$H$6:$H$28,$P1651),"MEDIA","FINAL"))))</f>
        <v>-</v>
      </c>
      <c r="R1651" s="24" t="n">
        <f aca="false">IF($P1651=0,0,IF($O1651&lt;=INDEX(PARAMETROS_CULTURAS!$F$6:$F$28,$P1651),INDEX(PARAMETROS_CULTURAS!$K$6:$K$28,$P1651),IF($O1651&lt;=INDEX(PARAMETROS_CULTURAS!$F$6:$F$28,$P1651)+INDEX(PARAMETROS_CULTURAS!$G$6:$G$28,$P1651),INDEX(PARAMETROS_CULTURAS!$K$6:$K$28,$P1651)+(INDEX(PARAMETROS_CULTURAS!$L$6:$L$28,$P1651)-INDEX(PARAMETROS_CULTURAS!$K$6:$K$28,$P1651))*($O1651-INDEX(PARAMETROS_CULTURAS!$F$6:$F$28,$P1651))/MAX(INDEX(PARAMETROS_CULTURAS!$G$6:$G$28,$P1651),0.0001),IF($O1651&lt;=INDEX(PARAMETROS_CULTURAS!$F$6:$F$28,$P1651)+INDEX(PARAMETROS_CULTURAS!$G$6:$G$28,$P1651)+INDEX(PARAMETROS_CULTURAS!$H$6:$H$28,$P1651),INDEX(PARAMETROS_CULTURAS!$L$6:$L$28,$P1651),INDEX(PARAMETROS_CULTURAS!$L$6:$L$28,$P1651)+(INDEX(PARAMETROS_CULTURAS!$M$6:$M$28,$P1651)-INDEX(PARAMETROS_CULTURAS!$L$6:$L$28,$P1651))*($O1651-INDEX(PARAMETROS_CULTURAS!$F$6:$F$28,$P1651)-INDEX(PARAMETROS_CULTURAS!$G$6:$G$28,$P1651)-INDEX(PARAMETROS_CULTURAS!$H$6:$H$28,$P1651))/MAX(INDEX(PARAMETROS_CULTURAS!$I$6:$I$28,$P1651),0.0001)))))</f>
        <v>0</v>
      </c>
      <c r="S1651" s="18" t="n">
        <f aca="false">IFERROR(INDEX(SEMANAS!$H$6:$H$71,MATCH($B1651,SEMANAS!$B$6:$B$71,0)),0)</f>
        <v>34.3</v>
      </c>
      <c r="T1651" s="18" t="n">
        <f aca="false">$R1651*$S1651</f>
        <v>0</v>
      </c>
      <c r="U1651" s="18" t="n">
        <f aca="false">IFERROR(INDEX(SEMANAS!$I$6:$I$71,MATCH($B1651,SEMANAS!$B$6:$B$71,0)),0)</f>
        <v>46.69</v>
      </c>
      <c r="V1651" s="18" t="n">
        <f aca="false">IFERROR(INDEX(SEMANAS!$J$6:$J$71,MATCH($B1651,SEMANAS!$B$6:$B$71,0)),0)</f>
        <v>37.352</v>
      </c>
      <c r="W1651" s="18" t="n">
        <f aca="false">MAX(0,$T1651-$V1651)</f>
        <v>0</v>
      </c>
      <c r="X1651" s="19" t="n">
        <f aca="false">IFERROR(INDEX(CADASTRO_PIVOS!$K$6:$K$41,MATCH($E1651,CADASTRO_PIVOS!$B$6:$B$41,0)),EFICIENCIA_PADRAO)</f>
        <v>0.85</v>
      </c>
      <c r="Y1651" s="18" t="n">
        <f aca="false">IF($X1651&lt;=0,0,$W1651/$X1651)</f>
        <v>0</v>
      </c>
      <c r="Z1651" s="16" t="n">
        <f aca="false">$Y1651*$H1651*MM_PARA_M3_HA</f>
        <v>0</v>
      </c>
      <c r="AA1651" s="18" t="n">
        <f aca="false">IFERROR(INDEX(CADASTRO_PIVOS!$I$6:$I$41,MATCH($E1651,CADASTRO_PIVOS!$B$6:$B$41,0)),0)</f>
        <v>1049.64285714286</v>
      </c>
      <c r="AB1651" s="18" t="n">
        <f aca="false">IF($Z1651&lt;=0,0,$Z1651/$AA1651)</f>
        <v>0</v>
      </c>
      <c r="AC1651" s="16" t="n">
        <f aca="false">IFERROR(INDEX(SEMANAS!$K$6:$K$71,MATCH($B1651,SEMANAS!$B$6:$B$71,0)),0)</f>
        <v>147</v>
      </c>
      <c r="AD1651" s="19" t="n">
        <f aca="false">IF($AC1651&lt;=0,0,$AB1651/$AC1651)</f>
        <v>0</v>
      </c>
      <c r="AE1651" s="8" t="str">
        <f aca="false">IF($K1651="SEM CULTURA","SEM CULTURA",IF($AA1651&lt;=0,"DADO PENDENTE",IF($AD1651&gt;LIMITE_CRITICO,"INVIAVEL",IF($AD1651&gt;LIMITE_ATENCAO,"CRITICO",IF($AD1651&gt;LIMITE_CONFORTAVEL,"ATENCAO","OK")))))</f>
        <v>SEM CULTURA</v>
      </c>
      <c r="AF1651" s="8" t="str">
        <f aca="false">$B1651&amp;"|"&amp;TEXT($AD1651,"0.000000")</f>
        <v>62|0.000000</v>
      </c>
      <c r="AG1651" s="18" t="n">
        <f aca="false">IF($K1651="SEM CULTURA",0,$T1651*$H1651)</f>
        <v>0</v>
      </c>
      <c r="AH1651" s="18" t="n">
        <f aca="false">IF($K1651="SEM CULTURA",0,$V1651*$H1651)</f>
        <v>0</v>
      </c>
      <c r="AI1651" s="18" t="n">
        <f aca="false">IF($K1651="SEM CULTURA",0,$W1651*$H1651)</f>
        <v>0</v>
      </c>
      <c r="AJ1651" s="18" t="n">
        <f aca="false">IF($K1651="SEM CULTURA",0,$S1651*$H1651)</f>
        <v>0</v>
      </c>
      <c r="AK1651" s="8" t="str">
        <f aca="false">$E1651&amp;"|"&amp;TEXT($AD1651,"0.000000")</f>
        <v>PV 121|0.000000</v>
      </c>
    </row>
    <row r="1652" customFormat="false" ht="15" hidden="false" customHeight="false" outlineLevel="0" collapsed="false">
      <c r="B1652" s="16" t="n">
        <v>63</v>
      </c>
      <c r="C1652" s="17" t="n">
        <f aca="false">DATA_INICIO_SAFRA+($B1652-1)*DIAS_POR_SEMANA</f>
        <v>46699</v>
      </c>
      <c r="D1652" s="17" t="n">
        <f aca="false">$C1652+DIAS_POR_SEMANA-1</f>
        <v>46705</v>
      </c>
      <c r="E1652" s="15" t="s">
        <v>283</v>
      </c>
      <c r="F1652" s="8" t="str">
        <f aca="false">IFERROR(INDEX(CADASTRO_PIVOS!$C$6:$C$41,MATCH($E1652,CADASTRO_PIVOS!$B$6:$B$41,0)),"?")</f>
        <v>RM07</v>
      </c>
      <c r="G1652" s="8" t="str">
        <f aca="false">IFERROR(INDEX(CADASTRO_PIVOS!$D$6:$D$41,MATCH($E1652,CADASTRO_PIVOS!$B$6:$B$41,0)),"?")</f>
        <v>TR07</v>
      </c>
      <c r="H1652" s="20" t="n">
        <f aca="false">IFERROR(INDEX(CADASTRO_PIVOS!$E$6:$E$41,MATCH($E1652,CADASTRO_PIVOS!$B$6:$B$41,0)),0)</f>
        <v>146.95</v>
      </c>
      <c r="I1652" s="16" t="n">
        <f aca="false">IFERROR(SUMIFS(ROTACAO_RDM!$B$6:$B$71,ROTACAO_RDM!$D$6:$D$71,$E1652,ROTACAO_RDM!$I$6:$I$71,"&lt;="&amp;$C1652+INT(DIAS_POR_SEMANA/2),ROTACAO_RDM!$J$6:$J$71,"&gt;="&amp;$C1652+INT(DIAS_POR_SEMANA/2)),0)</f>
        <v>0</v>
      </c>
      <c r="J1652" s="16" t="n">
        <f aca="false">IFERROR(MATCH($I1652,ROTACAO_RDM!$B$6:$B$71,0),0)</f>
        <v>0</v>
      </c>
      <c r="K1652" s="8" t="str">
        <f aca="false">IF($J1652=0,"SEM CULTURA",INDEX(ROTACAO_RDM!$F$6:$F$71,$J1652))</f>
        <v>SEM CULTURA</v>
      </c>
      <c r="L1652" s="8" t="str">
        <f aca="false">IF($J1652=0,"",INDEX(ROTACAO_RDM!$G$6:$G$71,$J1652))</f>
        <v/>
      </c>
      <c r="M1652" s="17" t="str">
        <f aca="false">IF($J1652=0,"",INDEX(ROTACAO_RDM!$I$6:$I$71,$J1652))</f>
        <v/>
      </c>
      <c r="N1652" s="16" t="n">
        <f aca="false">IF($J1652=0,0,MAX(0,$C1652+INT(DIAS_POR_SEMANA/2)-INDEX(ROTACAO_RDM!$I$6:$I$71,$J1652)))</f>
        <v>0</v>
      </c>
      <c r="O1652" s="19" t="n">
        <f aca="false">IF($J1652=0,0,MIN(1,$N1652/MAX(1,INDEX(ROTACAO_RDM!$K$6:$K$71,$J1652))))</f>
        <v>0</v>
      </c>
      <c r="P1652" s="16" t="n">
        <f aca="false">IF($J1652=0,0,IFERROR(MATCH(INDEX(ROTACAO_RDM!$N$6:$N$71,$J1652),PARAMETROS_CULTURAS!$B$6:$B$28,0),0))</f>
        <v>0</v>
      </c>
      <c r="Q1652" s="8" t="str">
        <f aca="false">IF($P1652=0,"-",IF($O1652&lt;=INDEX(PARAMETROS_CULTURAS!$F$6:$F$28,$P1652),"INICIAL",IF($O1652&lt;=INDEX(PARAMETROS_CULTURAS!$F$6:$F$28,$P1652)+INDEX(PARAMETROS_CULTURAS!$G$6:$G$28,$P1652),"DESENVOLVIMENTO",IF($O1652&lt;=INDEX(PARAMETROS_CULTURAS!$F$6:$F$28,$P1652)+INDEX(PARAMETROS_CULTURAS!$G$6:$G$28,$P1652)+INDEX(PARAMETROS_CULTURAS!$H$6:$H$28,$P1652),"MEDIA","FINAL"))))</f>
        <v>-</v>
      </c>
      <c r="R1652" s="24" t="n">
        <f aca="false">IF($P1652=0,0,IF($O1652&lt;=INDEX(PARAMETROS_CULTURAS!$F$6:$F$28,$P1652),INDEX(PARAMETROS_CULTURAS!$K$6:$K$28,$P1652),IF($O1652&lt;=INDEX(PARAMETROS_CULTURAS!$F$6:$F$28,$P1652)+INDEX(PARAMETROS_CULTURAS!$G$6:$G$28,$P1652),INDEX(PARAMETROS_CULTURAS!$K$6:$K$28,$P1652)+(INDEX(PARAMETROS_CULTURAS!$L$6:$L$28,$P1652)-INDEX(PARAMETROS_CULTURAS!$K$6:$K$28,$P1652))*($O1652-INDEX(PARAMETROS_CULTURAS!$F$6:$F$28,$P1652))/MAX(INDEX(PARAMETROS_CULTURAS!$G$6:$G$28,$P1652),0.0001),IF($O1652&lt;=INDEX(PARAMETROS_CULTURAS!$F$6:$F$28,$P1652)+INDEX(PARAMETROS_CULTURAS!$G$6:$G$28,$P1652)+INDEX(PARAMETROS_CULTURAS!$H$6:$H$28,$P1652),INDEX(PARAMETROS_CULTURAS!$L$6:$L$28,$P1652),INDEX(PARAMETROS_CULTURAS!$L$6:$L$28,$P1652)+(INDEX(PARAMETROS_CULTURAS!$M$6:$M$28,$P1652)-INDEX(PARAMETROS_CULTURAS!$L$6:$L$28,$P1652))*($O1652-INDEX(PARAMETROS_CULTURAS!$F$6:$F$28,$P1652)-INDEX(PARAMETROS_CULTURAS!$G$6:$G$28,$P1652)-INDEX(PARAMETROS_CULTURAS!$H$6:$H$28,$P1652))/MAX(INDEX(PARAMETROS_CULTURAS!$I$6:$I$28,$P1652),0.0001)))))</f>
        <v>0</v>
      </c>
      <c r="S1652" s="18" t="n">
        <f aca="false">IFERROR(INDEX(SEMANAS!$H$6:$H$71,MATCH($B1652,SEMANAS!$B$6:$B$71,0)),0)</f>
        <v>34.3</v>
      </c>
      <c r="T1652" s="18" t="n">
        <f aca="false">$R1652*$S1652</f>
        <v>0</v>
      </c>
      <c r="U1652" s="18" t="n">
        <f aca="false">IFERROR(INDEX(SEMANAS!$I$6:$I$71,MATCH($B1652,SEMANAS!$B$6:$B$71,0)),0)</f>
        <v>46.69</v>
      </c>
      <c r="V1652" s="18" t="n">
        <f aca="false">IFERROR(INDEX(SEMANAS!$J$6:$J$71,MATCH($B1652,SEMANAS!$B$6:$B$71,0)),0)</f>
        <v>37.352</v>
      </c>
      <c r="W1652" s="18" t="n">
        <f aca="false">MAX(0,$T1652-$V1652)</f>
        <v>0</v>
      </c>
      <c r="X1652" s="19" t="n">
        <f aca="false">IFERROR(INDEX(CADASTRO_PIVOS!$K$6:$K$41,MATCH($E1652,CADASTRO_PIVOS!$B$6:$B$41,0)),EFICIENCIA_PADRAO)</f>
        <v>0.85</v>
      </c>
      <c r="Y1652" s="18" t="n">
        <f aca="false">IF($X1652&lt;=0,0,$W1652/$X1652)</f>
        <v>0</v>
      </c>
      <c r="Z1652" s="16" t="n">
        <f aca="false">$Y1652*$H1652*MM_PARA_M3_HA</f>
        <v>0</v>
      </c>
      <c r="AA1652" s="18" t="n">
        <f aca="false">IFERROR(INDEX(CADASTRO_PIVOS!$I$6:$I$41,MATCH($E1652,CADASTRO_PIVOS!$B$6:$B$41,0)),0)</f>
        <v>1049.64285714286</v>
      </c>
      <c r="AB1652" s="18" t="n">
        <f aca="false">IF($Z1652&lt;=0,0,$Z1652/$AA1652)</f>
        <v>0</v>
      </c>
      <c r="AC1652" s="16" t="n">
        <f aca="false">IFERROR(INDEX(SEMANAS!$K$6:$K$71,MATCH($B1652,SEMANAS!$B$6:$B$71,0)),0)</f>
        <v>147</v>
      </c>
      <c r="AD1652" s="19" t="n">
        <f aca="false">IF($AC1652&lt;=0,0,$AB1652/$AC1652)</f>
        <v>0</v>
      </c>
      <c r="AE1652" s="8" t="str">
        <f aca="false">IF($K1652="SEM CULTURA","SEM CULTURA",IF($AA1652&lt;=0,"DADO PENDENTE",IF($AD1652&gt;LIMITE_CRITICO,"INVIAVEL",IF($AD1652&gt;LIMITE_ATENCAO,"CRITICO",IF($AD1652&gt;LIMITE_CONFORTAVEL,"ATENCAO","OK")))))</f>
        <v>SEM CULTURA</v>
      </c>
      <c r="AF1652" s="8" t="str">
        <f aca="false">$B1652&amp;"|"&amp;TEXT($AD1652,"0.000000")</f>
        <v>63|0.000000</v>
      </c>
      <c r="AG1652" s="18" t="n">
        <f aca="false">IF($K1652="SEM CULTURA",0,$T1652*$H1652)</f>
        <v>0</v>
      </c>
      <c r="AH1652" s="18" t="n">
        <f aca="false">IF($K1652="SEM CULTURA",0,$V1652*$H1652)</f>
        <v>0</v>
      </c>
      <c r="AI1652" s="18" t="n">
        <f aca="false">IF($K1652="SEM CULTURA",0,$W1652*$H1652)</f>
        <v>0</v>
      </c>
      <c r="AJ1652" s="18" t="n">
        <f aca="false">IF($K1652="SEM CULTURA",0,$S1652*$H1652)</f>
        <v>0</v>
      </c>
      <c r="AK1652" s="8" t="str">
        <f aca="false">$E1652&amp;"|"&amp;TEXT($AD1652,"0.000000")</f>
        <v>PV 121|0.000000</v>
      </c>
    </row>
    <row r="1653" customFormat="false" ht="15" hidden="false" customHeight="false" outlineLevel="0" collapsed="false">
      <c r="B1653" s="16" t="n">
        <v>64</v>
      </c>
      <c r="C1653" s="17" t="n">
        <f aca="false">DATA_INICIO_SAFRA+($B1653-1)*DIAS_POR_SEMANA</f>
        <v>46706</v>
      </c>
      <c r="D1653" s="17" t="n">
        <f aca="false">$C1653+DIAS_POR_SEMANA-1</f>
        <v>46712</v>
      </c>
      <c r="E1653" s="15" t="s">
        <v>283</v>
      </c>
      <c r="F1653" s="8" t="str">
        <f aca="false">IFERROR(INDEX(CADASTRO_PIVOS!$C$6:$C$41,MATCH($E1653,CADASTRO_PIVOS!$B$6:$B$41,0)),"?")</f>
        <v>RM07</v>
      </c>
      <c r="G1653" s="8" t="str">
        <f aca="false">IFERROR(INDEX(CADASTRO_PIVOS!$D$6:$D$41,MATCH($E1653,CADASTRO_PIVOS!$B$6:$B$41,0)),"?")</f>
        <v>TR07</v>
      </c>
      <c r="H1653" s="20" t="n">
        <f aca="false">IFERROR(INDEX(CADASTRO_PIVOS!$E$6:$E$41,MATCH($E1653,CADASTRO_PIVOS!$B$6:$B$41,0)),0)</f>
        <v>146.95</v>
      </c>
      <c r="I1653" s="16" t="n">
        <f aca="false">IFERROR(SUMIFS(ROTACAO_RDM!$B$6:$B$71,ROTACAO_RDM!$D$6:$D$71,$E1653,ROTACAO_RDM!$I$6:$I$71,"&lt;="&amp;$C1653+INT(DIAS_POR_SEMANA/2),ROTACAO_RDM!$J$6:$J$71,"&gt;="&amp;$C1653+INT(DIAS_POR_SEMANA/2)),0)</f>
        <v>0</v>
      </c>
      <c r="J1653" s="16" t="n">
        <f aca="false">IFERROR(MATCH($I1653,ROTACAO_RDM!$B$6:$B$71,0),0)</f>
        <v>0</v>
      </c>
      <c r="K1653" s="8" t="str">
        <f aca="false">IF($J1653=0,"SEM CULTURA",INDEX(ROTACAO_RDM!$F$6:$F$71,$J1653))</f>
        <v>SEM CULTURA</v>
      </c>
      <c r="L1653" s="8" t="str">
        <f aca="false">IF($J1653=0,"",INDEX(ROTACAO_RDM!$G$6:$G$71,$J1653))</f>
        <v/>
      </c>
      <c r="M1653" s="17" t="str">
        <f aca="false">IF($J1653=0,"",INDEX(ROTACAO_RDM!$I$6:$I$71,$J1653))</f>
        <v/>
      </c>
      <c r="N1653" s="16" t="n">
        <f aca="false">IF($J1653=0,0,MAX(0,$C1653+INT(DIAS_POR_SEMANA/2)-INDEX(ROTACAO_RDM!$I$6:$I$71,$J1653)))</f>
        <v>0</v>
      </c>
      <c r="O1653" s="19" t="n">
        <f aca="false">IF($J1653=0,0,MIN(1,$N1653/MAX(1,INDEX(ROTACAO_RDM!$K$6:$K$71,$J1653))))</f>
        <v>0</v>
      </c>
      <c r="P1653" s="16" t="n">
        <f aca="false">IF($J1653=0,0,IFERROR(MATCH(INDEX(ROTACAO_RDM!$N$6:$N$71,$J1653),PARAMETROS_CULTURAS!$B$6:$B$28,0),0))</f>
        <v>0</v>
      </c>
      <c r="Q1653" s="8" t="str">
        <f aca="false">IF($P1653=0,"-",IF($O1653&lt;=INDEX(PARAMETROS_CULTURAS!$F$6:$F$28,$P1653),"INICIAL",IF($O1653&lt;=INDEX(PARAMETROS_CULTURAS!$F$6:$F$28,$P1653)+INDEX(PARAMETROS_CULTURAS!$G$6:$G$28,$P1653),"DESENVOLVIMENTO",IF($O1653&lt;=INDEX(PARAMETROS_CULTURAS!$F$6:$F$28,$P1653)+INDEX(PARAMETROS_CULTURAS!$G$6:$G$28,$P1653)+INDEX(PARAMETROS_CULTURAS!$H$6:$H$28,$P1653),"MEDIA","FINAL"))))</f>
        <v>-</v>
      </c>
      <c r="R1653" s="24" t="n">
        <f aca="false">IF($P1653=0,0,IF($O1653&lt;=INDEX(PARAMETROS_CULTURAS!$F$6:$F$28,$P1653),INDEX(PARAMETROS_CULTURAS!$K$6:$K$28,$P1653),IF($O1653&lt;=INDEX(PARAMETROS_CULTURAS!$F$6:$F$28,$P1653)+INDEX(PARAMETROS_CULTURAS!$G$6:$G$28,$P1653),INDEX(PARAMETROS_CULTURAS!$K$6:$K$28,$P1653)+(INDEX(PARAMETROS_CULTURAS!$L$6:$L$28,$P1653)-INDEX(PARAMETROS_CULTURAS!$K$6:$K$28,$P1653))*($O1653-INDEX(PARAMETROS_CULTURAS!$F$6:$F$28,$P1653))/MAX(INDEX(PARAMETROS_CULTURAS!$G$6:$G$28,$P1653),0.0001),IF($O1653&lt;=INDEX(PARAMETROS_CULTURAS!$F$6:$F$28,$P1653)+INDEX(PARAMETROS_CULTURAS!$G$6:$G$28,$P1653)+INDEX(PARAMETROS_CULTURAS!$H$6:$H$28,$P1653),INDEX(PARAMETROS_CULTURAS!$L$6:$L$28,$P1653),INDEX(PARAMETROS_CULTURAS!$L$6:$L$28,$P1653)+(INDEX(PARAMETROS_CULTURAS!$M$6:$M$28,$P1653)-INDEX(PARAMETROS_CULTURAS!$L$6:$L$28,$P1653))*($O1653-INDEX(PARAMETROS_CULTURAS!$F$6:$F$28,$P1653)-INDEX(PARAMETROS_CULTURAS!$G$6:$G$28,$P1653)-INDEX(PARAMETROS_CULTURAS!$H$6:$H$28,$P1653))/MAX(INDEX(PARAMETROS_CULTURAS!$I$6:$I$28,$P1653),0.0001)))))</f>
        <v>0</v>
      </c>
      <c r="S1653" s="18" t="n">
        <f aca="false">IFERROR(INDEX(SEMANAS!$H$6:$H$71,MATCH($B1653,SEMANAS!$B$6:$B$71,0)),0)</f>
        <v>34.3</v>
      </c>
      <c r="T1653" s="18" t="n">
        <f aca="false">$R1653*$S1653</f>
        <v>0</v>
      </c>
      <c r="U1653" s="18" t="n">
        <f aca="false">IFERROR(INDEX(SEMANAS!$I$6:$I$71,MATCH($B1653,SEMANAS!$B$6:$B$71,0)),0)</f>
        <v>46.69</v>
      </c>
      <c r="V1653" s="18" t="n">
        <f aca="false">IFERROR(INDEX(SEMANAS!$J$6:$J$71,MATCH($B1653,SEMANAS!$B$6:$B$71,0)),0)</f>
        <v>37.352</v>
      </c>
      <c r="W1653" s="18" t="n">
        <f aca="false">MAX(0,$T1653-$V1653)</f>
        <v>0</v>
      </c>
      <c r="X1653" s="19" t="n">
        <f aca="false">IFERROR(INDEX(CADASTRO_PIVOS!$K$6:$K$41,MATCH($E1653,CADASTRO_PIVOS!$B$6:$B$41,0)),EFICIENCIA_PADRAO)</f>
        <v>0.85</v>
      </c>
      <c r="Y1653" s="18" t="n">
        <f aca="false">IF($X1653&lt;=0,0,$W1653/$X1653)</f>
        <v>0</v>
      </c>
      <c r="Z1653" s="16" t="n">
        <f aca="false">$Y1653*$H1653*MM_PARA_M3_HA</f>
        <v>0</v>
      </c>
      <c r="AA1653" s="18" t="n">
        <f aca="false">IFERROR(INDEX(CADASTRO_PIVOS!$I$6:$I$41,MATCH($E1653,CADASTRO_PIVOS!$B$6:$B$41,0)),0)</f>
        <v>1049.64285714286</v>
      </c>
      <c r="AB1653" s="18" t="n">
        <f aca="false">IF($Z1653&lt;=0,0,$Z1653/$AA1653)</f>
        <v>0</v>
      </c>
      <c r="AC1653" s="16" t="n">
        <f aca="false">IFERROR(INDEX(SEMANAS!$K$6:$K$71,MATCH($B1653,SEMANAS!$B$6:$B$71,0)),0)</f>
        <v>147</v>
      </c>
      <c r="AD1653" s="19" t="n">
        <f aca="false">IF($AC1653&lt;=0,0,$AB1653/$AC1653)</f>
        <v>0</v>
      </c>
      <c r="AE1653" s="8" t="str">
        <f aca="false">IF($K1653="SEM CULTURA","SEM CULTURA",IF($AA1653&lt;=0,"DADO PENDENTE",IF($AD1653&gt;LIMITE_CRITICO,"INVIAVEL",IF($AD1653&gt;LIMITE_ATENCAO,"CRITICO",IF($AD1653&gt;LIMITE_CONFORTAVEL,"ATENCAO","OK")))))</f>
        <v>SEM CULTURA</v>
      </c>
      <c r="AF1653" s="8" t="str">
        <f aca="false">$B1653&amp;"|"&amp;TEXT($AD1653,"0.000000")</f>
        <v>64|0.000000</v>
      </c>
      <c r="AG1653" s="18" t="n">
        <f aca="false">IF($K1653="SEM CULTURA",0,$T1653*$H1653)</f>
        <v>0</v>
      </c>
      <c r="AH1653" s="18" t="n">
        <f aca="false">IF($K1653="SEM CULTURA",0,$V1653*$H1653)</f>
        <v>0</v>
      </c>
      <c r="AI1653" s="18" t="n">
        <f aca="false">IF($K1653="SEM CULTURA",0,$W1653*$H1653)</f>
        <v>0</v>
      </c>
      <c r="AJ1653" s="18" t="n">
        <f aca="false">IF($K1653="SEM CULTURA",0,$S1653*$H1653)</f>
        <v>0</v>
      </c>
      <c r="AK1653" s="8" t="str">
        <f aca="false">$E1653&amp;"|"&amp;TEXT($AD1653,"0.000000")</f>
        <v>PV 121|0.000000</v>
      </c>
    </row>
    <row r="1654" customFormat="false" ht="15" hidden="false" customHeight="false" outlineLevel="0" collapsed="false">
      <c r="B1654" s="16" t="n">
        <v>65</v>
      </c>
      <c r="C1654" s="17" t="n">
        <f aca="false">DATA_INICIO_SAFRA+($B1654-1)*DIAS_POR_SEMANA</f>
        <v>46713</v>
      </c>
      <c r="D1654" s="17" t="n">
        <f aca="false">$C1654+DIAS_POR_SEMANA-1</f>
        <v>46719</v>
      </c>
      <c r="E1654" s="15" t="s">
        <v>283</v>
      </c>
      <c r="F1654" s="8" t="str">
        <f aca="false">IFERROR(INDEX(CADASTRO_PIVOS!$C$6:$C$41,MATCH($E1654,CADASTRO_PIVOS!$B$6:$B$41,0)),"?")</f>
        <v>RM07</v>
      </c>
      <c r="G1654" s="8" t="str">
        <f aca="false">IFERROR(INDEX(CADASTRO_PIVOS!$D$6:$D$41,MATCH($E1654,CADASTRO_PIVOS!$B$6:$B$41,0)),"?")</f>
        <v>TR07</v>
      </c>
      <c r="H1654" s="20" t="n">
        <f aca="false">IFERROR(INDEX(CADASTRO_PIVOS!$E$6:$E$41,MATCH($E1654,CADASTRO_PIVOS!$B$6:$B$41,0)),0)</f>
        <v>146.95</v>
      </c>
      <c r="I1654" s="16" t="n">
        <f aca="false">IFERROR(SUMIFS(ROTACAO_RDM!$B$6:$B$71,ROTACAO_RDM!$D$6:$D$71,$E1654,ROTACAO_RDM!$I$6:$I$71,"&lt;="&amp;$C1654+INT(DIAS_POR_SEMANA/2),ROTACAO_RDM!$J$6:$J$71,"&gt;="&amp;$C1654+INT(DIAS_POR_SEMANA/2)),0)</f>
        <v>0</v>
      </c>
      <c r="J1654" s="16" t="n">
        <f aca="false">IFERROR(MATCH($I1654,ROTACAO_RDM!$B$6:$B$71,0),0)</f>
        <v>0</v>
      </c>
      <c r="K1654" s="8" t="str">
        <f aca="false">IF($J1654=0,"SEM CULTURA",INDEX(ROTACAO_RDM!$F$6:$F$71,$J1654))</f>
        <v>SEM CULTURA</v>
      </c>
      <c r="L1654" s="8" t="str">
        <f aca="false">IF($J1654=0,"",INDEX(ROTACAO_RDM!$G$6:$G$71,$J1654))</f>
        <v/>
      </c>
      <c r="M1654" s="17" t="str">
        <f aca="false">IF($J1654=0,"",INDEX(ROTACAO_RDM!$I$6:$I$71,$J1654))</f>
        <v/>
      </c>
      <c r="N1654" s="16" t="n">
        <f aca="false">IF($J1654=0,0,MAX(0,$C1654+INT(DIAS_POR_SEMANA/2)-INDEX(ROTACAO_RDM!$I$6:$I$71,$J1654)))</f>
        <v>0</v>
      </c>
      <c r="O1654" s="19" t="n">
        <f aca="false">IF($J1654=0,0,MIN(1,$N1654/MAX(1,INDEX(ROTACAO_RDM!$K$6:$K$71,$J1654))))</f>
        <v>0</v>
      </c>
      <c r="P1654" s="16" t="n">
        <f aca="false">IF($J1654=0,0,IFERROR(MATCH(INDEX(ROTACAO_RDM!$N$6:$N$71,$J1654),PARAMETROS_CULTURAS!$B$6:$B$28,0),0))</f>
        <v>0</v>
      </c>
      <c r="Q1654" s="8" t="str">
        <f aca="false">IF($P1654=0,"-",IF($O1654&lt;=INDEX(PARAMETROS_CULTURAS!$F$6:$F$28,$P1654),"INICIAL",IF($O1654&lt;=INDEX(PARAMETROS_CULTURAS!$F$6:$F$28,$P1654)+INDEX(PARAMETROS_CULTURAS!$G$6:$G$28,$P1654),"DESENVOLVIMENTO",IF($O1654&lt;=INDEX(PARAMETROS_CULTURAS!$F$6:$F$28,$P1654)+INDEX(PARAMETROS_CULTURAS!$G$6:$G$28,$P1654)+INDEX(PARAMETROS_CULTURAS!$H$6:$H$28,$P1654),"MEDIA","FINAL"))))</f>
        <v>-</v>
      </c>
      <c r="R1654" s="24" t="n">
        <f aca="false">IF($P1654=0,0,IF($O1654&lt;=INDEX(PARAMETROS_CULTURAS!$F$6:$F$28,$P1654),INDEX(PARAMETROS_CULTURAS!$K$6:$K$28,$P1654),IF($O1654&lt;=INDEX(PARAMETROS_CULTURAS!$F$6:$F$28,$P1654)+INDEX(PARAMETROS_CULTURAS!$G$6:$G$28,$P1654),INDEX(PARAMETROS_CULTURAS!$K$6:$K$28,$P1654)+(INDEX(PARAMETROS_CULTURAS!$L$6:$L$28,$P1654)-INDEX(PARAMETROS_CULTURAS!$K$6:$K$28,$P1654))*($O1654-INDEX(PARAMETROS_CULTURAS!$F$6:$F$28,$P1654))/MAX(INDEX(PARAMETROS_CULTURAS!$G$6:$G$28,$P1654),0.0001),IF($O1654&lt;=INDEX(PARAMETROS_CULTURAS!$F$6:$F$28,$P1654)+INDEX(PARAMETROS_CULTURAS!$G$6:$G$28,$P1654)+INDEX(PARAMETROS_CULTURAS!$H$6:$H$28,$P1654),INDEX(PARAMETROS_CULTURAS!$L$6:$L$28,$P1654),INDEX(PARAMETROS_CULTURAS!$L$6:$L$28,$P1654)+(INDEX(PARAMETROS_CULTURAS!$M$6:$M$28,$P1654)-INDEX(PARAMETROS_CULTURAS!$L$6:$L$28,$P1654))*($O1654-INDEX(PARAMETROS_CULTURAS!$F$6:$F$28,$P1654)-INDEX(PARAMETROS_CULTURAS!$G$6:$G$28,$P1654)-INDEX(PARAMETROS_CULTURAS!$H$6:$H$28,$P1654))/MAX(INDEX(PARAMETROS_CULTURAS!$I$6:$I$28,$P1654),0.0001)))))</f>
        <v>0</v>
      </c>
      <c r="S1654" s="18" t="n">
        <f aca="false">IFERROR(INDEX(SEMANAS!$H$6:$H$71,MATCH($B1654,SEMANAS!$B$6:$B$71,0)),0)</f>
        <v>34.3</v>
      </c>
      <c r="T1654" s="18" t="n">
        <f aca="false">$R1654*$S1654</f>
        <v>0</v>
      </c>
      <c r="U1654" s="18" t="n">
        <f aca="false">IFERROR(INDEX(SEMANAS!$I$6:$I$71,MATCH($B1654,SEMANAS!$B$6:$B$71,0)),0)</f>
        <v>46.69</v>
      </c>
      <c r="V1654" s="18" t="n">
        <f aca="false">IFERROR(INDEX(SEMANAS!$J$6:$J$71,MATCH($B1654,SEMANAS!$B$6:$B$71,0)),0)</f>
        <v>37.352</v>
      </c>
      <c r="W1654" s="18" t="n">
        <f aca="false">MAX(0,$T1654-$V1654)</f>
        <v>0</v>
      </c>
      <c r="X1654" s="19" t="n">
        <f aca="false">IFERROR(INDEX(CADASTRO_PIVOS!$K$6:$K$41,MATCH($E1654,CADASTRO_PIVOS!$B$6:$B$41,0)),EFICIENCIA_PADRAO)</f>
        <v>0.85</v>
      </c>
      <c r="Y1654" s="18" t="n">
        <f aca="false">IF($X1654&lt;=0,0,$W1654/$X1654)</f>
        <v>0</v>
      </c>
      <c r="Z1654" s="16" t="n">
        <f aca="false">$Y1654*$H1654*MM_PARA_M3_HA</f>
        <v>0</v>
      </c>
      <c r="AA1654" s="18" t="n">
        <f aca="false">IFERROR(INDEX(CADASTRO_PIVOS!$I$6:$I$41,MATCH($E1654,CADASTRO_PIVOS!$B$6:$B$41,0)),0)</f>
        <v>1049.64285714286</v>
      </c>
      <c r="AB1654" s="18" t="n">
        <f aca="false">IF($Z1654&lt;=0,0,$Z1654/$AA1654)</f>
        <v>0</v>
      </c>
      <c r="AC1654" s="16" t="n">
        <f aca="false">IFERROR(INDEX(SEMANAS!$K$6:$K$71,MATCH($B1654,SEMANAS!$B$6:$B$71,0)),0)</f>
        <v>147</v>
      </c>
      <c r="AD1654" s="19" t="n">
        <f aca="false">IF($AC1654&lt;=0,0,$AB1654/$AC1654)</f>
        <v>0</v>
      </c>
      <c r="AE1654" s="8" t="str">
        <f aca="false">IF($K1654="SEM CULTURA","SEM CULTURA",IF($AA1654&lt;=0,"DADO PENDENTE",IF($AD1654&gt;LIMITE_CRITICO,"INVIAVEL",IF($AD1654&gt;LIMITE_ATENCAO,"CRITICO",IF($AD1654&gt;LIMITE_CONFORTAVEL,"ATENCAO","OK")))))</f>
        <v>SEM CULTURA</v>
      </c>
      <c r="AF1654" s="8" t="str">
        <f aca="false">$B1654&amp;"|"&amp;TEXT($AD1654,"0.000000")</f>
        <v>65|0.000000</v>
      </c>
      <c r="AG1654" s="18" t="n">
        <f aca="false">IF($K1654="SEM CULTURA",0,$T1654*$H1654)</f>
        <v>0</v>
      </c>
      <c r="AH1654" s="18" t="n">
        <f aca="false">IF($K1654="SEM CULTURA",0,$V1654*$H1654)</f>
        <v>0</v>
      </c>
      <c r="AI1654" s="18" t="n">
        <f aca="false">IF($K1654="SEM CULTURA",0,$W1654*$H1654)</f>
        <v>0</v>
      </c>
      <c r="AJ1654" s="18" t="n">
        <f aca="false">IF($K1654="SEM CULTURA",0,$S1654*$H1654)</f>
        <v>0</v>
      </c>
      <c r="AK1654" s="8" t="str">
        <f aca="false">$E1654&amp;"|"&amp;TEXT($AD1654,"0.000000")</f>
        <v>PV 121|0.000000</v>
      </c>
    </row>
    <row r="1655" customFormat="false" ht="15" hidden="false" customHeight="false" outlineLevel="0" collapsed="false">
      <c r="B1655" s="16" t="n">
        <v>66</v>
      </c>
      <c r="C1655" s="17" t="n">
        <f aca="false">DATA_INICIO_SAFRA+($B1655-1)*DIAS_POR_SEMANA</f>
        <v>46720</v>
      </c>
      <c r="D1655" s="17" t="n">
        <f aca="false">$C1655+DIAS_POR_SEMANA-1</f>
        <v>46726</v>
      </c>
      <c r="E1655" s="15" t="s">
        <v>283</v>
      </c>
      <c r="F1655" s="8" t="str">
        <f aca="false">IFERROR(INDEX(CADASTRO_PIVOS!$C$6:$C$41,MATCH($E1655,CADASTRO_PIVOS!$B$6:$B$41,0)),"?")</f>
        <v>RM07</v>
      </c>
      <c r="G1655" s="8" t="str">
        <f aca="false">IFERROR(INDEX(CADASTRO_PIVOS!$D$6:$D$41,MATCH($E1655,CADASTRO_PIVOS!$B$6:$B$41,0)),"?")</f>
        <v>TR07</v>
      </c>
      <c r="H1655" s="20" t="n">
        <f aca="false">IFERROR(INDEX(CADASTRO_PIVOS!$E$6:$E$41,MATCH($E1655,CADASTRO_PIVOS!$B$6:$B$41,0)),0)</f>
        <v>146.95</v>
      </c>
      <c r="I1655" s="16" t="n">
        <f aca="false">IFERROR(SUMIFS(ROTACAO_RDM!$B$6:$B$71,ROTACAO_RDM!$D$6:$D$71,$E1655,ROTACAO_RDM!$I$6:$I$71,"&lt;="&amp;$C1655+INT(DIAS_POR_SEMANA/2),ROTACAO_RDM!$J$6:$J$71,"&gt;="&amp;$C1655+INT(DIAS_POR_SEMANA/2)),0)</f>
        <v>0</v>
      </c>
      <c r="J1655" s="16" t="n">
        <f aca="false">IFERROR(MATCH($I1655,ROTACAO_RDM!$B$6:$B$71,0),0)</f>
        <v>0</v>
      </c>
      <c r="K1655" s="8" t="str">
        <f aca="false">IF($J1655=0,"SEM CULTURA",INDEX(ROTACAO_RDM!$F$6:$F$71,$J1655))</f>
        <v>SEM CULTURA</v>
      </c>
      <c r="L1655" s="8" t="str">
        <f aca="false">IF($J1655=0,"",INDEX(ROTACAO_RDM!$G$6:$G$71,$J1655))</f>
        <v/>
      </c>
      <c r="M1655" s="17" t="str">
        <f aca="false">IF($J1655=0,"",INDEX(ROTACAO_RDM!$I$6:$I$71,$J1655))</f>
        <v/>
      </c>
      <c r="N1655" s="16" t="n">
        <f aca="false">IF($J1655=0,0,MAX(0,$C1655+INT(DIAS_POR_SEMANA/2)-INDEX(ROTACAO_RDM!$I$6:$I$71,$J1655)))</f>
        <v>0</v>
      </c>
      <c r="O1655" s="19" t="n">
        <f aca="false">IF($J1655=0,0,MIN(1,$N1655/MAX(1,INDEX(ROTACAO_RDM!$K$6:$K$71,$J1655))))</f>
        <v>0</v>
      </c>
      <c r="P1655" s="16" t="n">
        <f aca="false">IF($J1655=0,0,IFERROR(MATCH(INDEX(ROTACAO_RDM!$N$6:$N$71,$J1655),PARAMETROS_CULTURAS!$B$6:$B$28,0),0))</f>
        <v>0</v>
      </c>
      <c r="Q1655" s="8" t="str">
        <f aca="false">IF($P1655=0,"-",IF($O1655&lt;=INDEX(PARAMETROS_CULTURAS!$F$6:$F$28,$P1655),"INICIAL",IF($O1655&lt;=INDEX(PARAMETROS_CULTURAS!$F$6:$F$28,$P1655)+INDEX(PARAMETROS_CULTURAS!$G$6:$G$28,$P1655),"DESENVOLVIMENTO",IF($O1655&lt;=INDEX(PARAMETROS_CULTURAS!$F$6:$F$28,$P1655)+INDEX(PARAMETROS_CULTURAS!$G$6:$G$28,$P1655)+INDEX(PARAMETROS_CULTURAS!$H$6:$H$28,$P1655),"MEDIA","FINAL"))))</f>
        <v>-</v>
      </c>
      <c r="R1655" s="24" t="n">
        <f aca="false">IF($P1655=0,0,IF($O1655&lt;=INDEX(PARAMETROS_CULTURAS!$F$6:$F$28,$P1655),INDEX(PARAMETROS_CULTURAS!$K$6:$K$28,$P1655),IF($O1655&lt;=INDEX(PARAMETROS_CULTURAS!$F$6:$F$28,$P1655)+INDEX(PARAMETROS_CULTURAS!$G$6:$G$28,$P1655),INDEX(PARAMETROS_CULTURAS!$K$6:$K$28,$P1655)+(INDEX(PARAMETROS_CULTURAS!$L$6:$L$28,$P1655)-INDEX(PARAMETROS_CULTURAS!$K$6:$K$28,$P1655))*($O1655-INDEX(PARAMETROS_CULTURAS!$F$6:$F$28,$P1655))/MAX(INDEX(PARAMETROS_CULTURAS!$G$6:$G$28,$P1655),0.0001),IF($O1655&lt;=INDEX(PARAMETROS_CULTURAS!$F$6:$F$28,$P1655)+INDEX(PARAMETROS_CULTURAS!$G$6:$G$28,$P1655)+INDEX(PARAMETROS_CULTURAS!$H$6:$H$28,$P1655),INDEX(PARAMETROS_CULTURAS!$L$6:$L$28,$P1655),INDEX(PARAMETROS_CULTURAS!$L$6:$L$28,$P1655)+(INDEX(PARAMETROS_CULTURAS!$M$6:$M$28,$P1655)-INDEX(PARAMETROS_CULTURAS!$L$6:$L$28,$P1655))*($O1655-INDEX(PARAMETROS_CULTURAS!$F$6:$F$28,$P1655)-INDEX(PARAMETROS_CULTURAS!$G$6:$G$28,$P1655)-INDEX(PARAMETROS_CULTURAS!$H$6:$H$28,$P1655))/MAX(INDEX(PARAMETROS_CULTURAS!$I$6:$I$28,$P1655),0.0001)))))</f>
        <v>0</v>
      </c>
      <c r="S1655" s="18" t="n">
        <f aca="false">IFERROR(INDEX(SEMANAS!$H$6:$H$71,MATCH($B1655,SEMANAS!$B$6:$B$71,0)),0)</f>
        <v>33.3</v>
      </c>
      <c r="T1655" s="18" t="n">
        <f aca="false">$R1655*$S1655</f>
        <v>0</v>
      </c>
      <c r="U1655" s="18" t="n">
        <f aca="false">IFERROR(INDEX(SEMANAS!$I$6:$I$71,MATCH($B1655,SEMANAS!$B$6:$B$71,0)),0)</f>
        <v>48.04</v>
      </c>
      <c r="V1655" s="18" t="n">
        <f aca="false">IFERROR(INDEX(SEMANAS!$J$6:$J$71,MATCH($B1655,SEMANAS!$B$6:$B$71,0)),0)</f>
        <v>38.432</v>
      </c>
      <c r="W1655" s="18" t="n">
        <f aca="false">MAX(0,$T1655-$V1655)</f>
        <v>0</v>
      </c>
      <c r="X1655" s="19" t="n">
        <f aca="false">IFERROR(INDEX(CADASTRO_PIVOS!$K$6:$K$41,MATCH($E1655,CADASTRO_PIVOS!$B$6:$B$41,0)),EFICIENCIA_PADRAO)</f>
        <v>0.85</v>
      </c>
      <c r="Y1655" s="18" t="n">
        <f aca="false">IF($X1655&lt;=0,0,$W1655/$X1655)</f>
        <v>0</v>
      </c>
      <c r="Z1655" s="16" t="n">
        <f aca="false">$Y1655*$H1655*MM_PARA_M3_HA</f>
        <v>0</v>
      </c>
      <c r="AA1655" s="18" t="n">
        <f aca="false">IFERROR(INDEX(CADASTRO_PIVOS!$I$6:$I$41,MATCH($E1655,CADASTRO_PIVOS!$B$6:$B$41,0)),0)</f>
        <v>1049.64285714286</v>
      </c>
      <c r="AB1655" s="18" t="n">
        <f aca="false">IF($Z1655&lt;=0,0,$Z1655/$AA1655)</f>
        <v>0</v>
      </c>
      <c r="AC1655" s="16" t="n">
        <f aca="false">IFERROR(INDEX(SEMANAS!$K$6:$K$71,MATCH($B1655,SEMANAS!$B$6:$B$71,0)),0)</f>
        <v>147</v>
      </c>
      <c r="AD1655" s="19" t="n">
        <f aca="false">IF($AC1655&lt;=0,0,$AB1655/$AC1655)</f>
        <v>0</v>
      </c>
      <c r="AE1655" s="8" t="str">
        <f aca="false">IF($K1655="SEM CULTURA","SEM CULTURA",IF($AA1655&lt;=0,"DADO PENDENTE",IF($AD1655&gt;LIMITE_CRITICO,"INVIAVEL",IF($AD1655&gt;LIMITE_ATENCAO,"CRITICO",IF($AD1655&gt;LIMITE_CONFORTAVEL,"ATENCAO","OK")))))</f>
        <v>SEM CULTURA</v>
      </c>
      <c r="AF1655" s="8" t="str">
        <f aca="false">$B1655&amp;"|"&amp;TEXT($AD1655,"0.000000")</f>
        <v>66|0.000000</v>
      </c>
      <c r="AG1655" s="18" t="n">
        <f aca="false">IF($K1655="SEM CULTURA",0,$T1655*$H1655)</f>
        <v>0</v>
      </c>
      <c r="AH1655" s="18" t="n">
        <f aca="false">IF($K1655="SEM CULTURA",0,$V1655*$H1655)</f>
        <v>0</v>
      </c>
      <c r="AI1655" s="18" t="n">
        <f aca="false">IF($K1655="SEM CULTURA",0,$W1655*$H1655)</f>
        <v>0</v>
      </c>
      <c r="AJ1655" s="18" t="n">
        <f aca="false">IF($K1655="SEM CULTURA",0,$S1655*$H1655)</f>
        <v>0</v>
      </c>
      <c r="AK1655" s="8" t="str">
        <f aca="false">$E1655&amp;"|"&amp;TEXT($AD1655,"0.000000")</f>
        <v>PV 121|0.000000</v>
      </c>
    </row>
    <row r="1656" customFormat="false" ht="15" hidden="false" customHeight="false" outlineLevel="0" collapsed="false">
      <c r="B1656" s="16" t="n">
        <v>1</v>
      </c>
      <c r="C1656" s="17" t="n">
        <f aca="false">DATA_INICIO_SAFRA+($B1656-1)*DIAS_POR_SEMANA</f>
        <v>46265</v>
      </c>
      <c r="D1656" s="17" t="n">
        <f aca="false">$C1656+DIAS_POR_SEMANA-1</f>
        <v>46271</v>
      </c>
      <c r="E1656" s="15" t="s">
        <v>284</v>
      </c>
      <c r="F1656" s="8" t="str">
        <f aca="false">IFERROR(INDEX(CADASTRO_PIVOS!$C$6:$C$41,MATCH($E1656,CADASTRO_PIVOS!$B$6:$B$41,0)),"?")</f>
        <v>RM07</v>
      </c>
      <c r="G1656" s="8" t="str">
        <f aca="false">IFERROR(INDEX(CADASTRO_PIVOS!$D$6:$D$41,MATCH($E1656,CADASTRO_PIVOS!$B$6:$B$41,0)),"?")</f>
        <v>TR07</v>
      </c>
      <c r="H1656" s="20" t="n">
        <f aca="false">IFERROR(INDEX(CADASTRO_PIVOS!$E$6:$E$41,MATCH($E1656,CADASTRO_PIVOS!$B$6:$B$41,0)),0)</f>
        <v>149.98</v>
      </c>
      <c r="I1656" s="16" t="n">
        <f aca="false">IFERROR(SUMIFS(ROTACAO_RDM!$B$6:$B$71,ROTACAO_RDM!$D$6:$D$71,$E1656,ROTACAO_RDM!$I$6:$I$71,"&lt;="&amp;$C1656+INT(DIAS_POR_SEMANA/2),ROTACAO_RDM!$J$6:$J$71,"&gt;="&amp;$C1656+INT(DIAS_POR_SEMANA/2)),0)</f>
        <v>38</v>
      </c>
      <c r="J1656" s="16" t="n">
        <f aca="false">IFERROR(MATCH($I1656,ROTACAO_RDM!$B$6:$B$71,0),0)</f>
        <v>38</v>
      </c>
      <c r="K1656" s="8" t="str">
        <f aca="false">IF($J1656=0,"SEM CULTURA",INDEX(ROTACAO_RDM!$F$6:$F$71,$J1656))</f>
        <v>ALGODAO</v>
      </c>
      <c r="L1656" s="8" t="str">
        <f aca="false">IF($J1656=0,"",INDEX(ROTACAO_RDM!$G$6:$G$71,$J1656))</f>
        <v>DP 1949 B3RF</v>
      </c>
      <c r="M1656" s="17" t="n">
        <f aca="false">IF($J1656=0,"",INDEX(ROTACAO_RDM!$I$6:$I$71,$J1656))</f>
        <v>46085</v>
      </c>
      <c r="N1656" s="16" t="n">
        <f aca="false">IF($J1656=0,0,MAX(0,$C1656+INT(DIAS_POR_SEMANA/2)-INDEX(ROTACAO_RDM!$I$6:$I$71,$J1656)))</f>
        <v>183</v>
      </c>
      <c r="O1656" s="19" t="n">
        <f aca="false">IF($J1656=0,0,MIN(1,$N1656/MAX(1,INDEX(ROTACAO_RDM!$K$6:$K$71,$J1656))))</f>
        <v>0.924242424242424</v>
      </c>
      <c r="P1656" s="16" t="n">
        <f aca="false">IF($J1656=0,0,IFERROR(MATCH(INDEX(ROTACAO_RDM!$N$6:$N$71,$J1656),PARAMETROS_CULTURAS!$B$6:$B$28,0),0))</f>
        <v>5</v>
      </c>
      <c r="Q1656" s="8" t="str">
        <f aca="false">IF($P1656=0,"-",IF($O1656&lt;=INDEX(PARAMETROS_CULTURAS!$F$6:$F$28,$P1656),"INICIAL",IF($O1656&lt;=INDEX(PARAMETROS_CULTURAS!$F$6:$F$28,$P1656)+INDEX(PARAMETROS_CULTURAS!$G$6:$G$28,$P1656),"DESENVOLVIMENTO",IF($O1656&lt;=INDEX(PARAMETROS_CULTURAS!$F$6:$F$28,$P1656)+INDEX(PARAMETROS_CULTURAS!$G$6:$G$28,$P1656)+INDEX(PARAMETROS_CULTURAS!$H$6:$H$28,$P1656),"MEDIA","FINAL"))))</f>
        <v>FINAL</v>
      </c>
      <c r="R1656" s="24" t="n">
        <f aca="false">IF($P1656=0,0,IF($O1656&lt;=INDEX(PARAMETROS_CULTURAS!$F$6:$F$28,$P1656),INDEX(PARAMETROS_CULTURAS!$K$6:$K$28,$P1656),IF($O1656&lt;=INDEX(PARAMETROS_CULTURAS!$F$6:$F$28,$P1656)+INDEX(PARAMETROS_CULTURAS!$G$6:$G$28,$P1656),INDEX(PARAMETROS_CULTURAS!$K$6:$K$28,$P1656)+(INDEX(PARAMETROS_CULTURAS!$L$6:$L$28,$P1656)-INDEX(PARAMETROS_CULTURAS!$K$6:$K$28,$P1656))*($O1656-INDEX(PARAMETROS_CULTURAS!$F$6:$F$28,$P1656))/MAX(INDEX(PARAMETROS_CULTURAS!$G$6:$G$28,$P1656),0.0001),IF($O1656&lt;=INDEX(PARAMETROS_CULTURAS!$F$6:$F$28,$P1656)+INDEX(PARAMETROS_CULTURAS!$G$6:$G$28,$P1656)+INDEX(PARAMETROS_CULTURAS!$H$6:$H$28,$P1656),INDEX(PARAMETROS_CULTURAS!$L$6:$L$28,$P1656),INDEX(PARAMETROS_CULTURAS!$L$6:$L$28,$P1656)+(INDEX(PARAMETROS_CULTURAS!$M$6:$M$28,$P1656)-INDEX(PARAMETROS_CULTURAS!$L$6:$L$28,$P1656))*($O1656-INDEX(PARAMETROS_CULTURAS!$F$6:$F$28,$P1656)-INDEX(PARAMETROS_CULTURAS!$G$6:$G$28,$P1656)-INDEX(PARAMETROS_CULTURAS!$H$6:$H$28,$P1656))/MAX(INDEX(PARAMETROS_CULTURAS!$I$6:$I$28,$P1656),0.0001)))))</f>
        <v>0.748809523809524</v>
      </c>
      <c r="S1656" s="18" t="n">
        <f aca="false">IFERROR(INDEX(SEMANAS!$H$6:$H$71,MATCH($B1656,SEMANAS!$B$6:$B$71,0)),0)</f>
        <v>40</v>
      </c>
      <c r="T1656" s="18" t="n">
        <f aca="false">$R1656*$S1656</f>
        <v>29.952380952381</v>
      </c>
      <c r="U1656" s="18" t="n">
        <f aca="false">IFERROR(INDEX(SEMANAS!$I$6:$I$71,MATCH($B1656,SEMANAS!$B$6:$B$71,0)),0)</f>
        <v>6.16</v>
      </c>
      <c r="V1656" s="18" t="n">
        <f aca="false">IFERROR(INDEX(SEMANAS!$J$6:$J$71,MATCH($B1656,SEMANAS!$B$6:$B$71,0)),0)</f>
        <v>4.928</v>
      </c>
      <c r="W1656" s="18" t="n">
        <f aca="false">MAX(0,$T1656-$V1656)</f>
        <v>25.024380952381</v>
      </c>
      <c r="X1656" s="19" t="n">
        <f aca="false">IFERROR(INDEX(CADASTRO_PIVOS!$K$6:$K$41,MATCH($E1656,CADASTRO_PIVOS!$B$6:$B$41,0)),EFICIENCIA_PADRAO)</f>
        <v>0.85</v>
      </c>
      <c r="Y1656" s="18" t="n">
        <f aca="false">IF($X1656&lt;=0,0,$W1656/$X1656)</f>
        <v>29.4404481792717</v>
      </c>
      <c r="Z1656" s="16" t="n">
        <f aca="false">$Y1656*$H1656*MM_PARA_M3_HA</f>
        <v>44154.7841792717</v>
      </c>
      <c r="AA1656" s="18" t="n">
        <f aca="false">IFERROR(INDEX(CADASTRO_PIVOS!$I$6:$I$41,MATCH($E1656,CADASTRO_PIVOS!$B$6:$B$41,0)),0)</f>
        <v>1071.28571428571</v>
      </c>
      <c r="AB1656" s="18" t="n">
        <f aca="false">IF($Z1656&lt;=0,0,$Z1656/$AA1656)</f>
        <v>41.2166274509804</v>
      </c>
      <c r="AC1656" s="16" t="n">
        <f aca="false">IFERROR(INDEX(SEMANAS!$K$6:$K$71,MATCH($B1656,SEMANAS!$B$6:$B$71,0)),0)</f>
        <v>147</v>
      </c>
      <c r="AD1656" s="19" t="n">
        <f aca="false">IF($AC1656&lt;=0,0,$AB1656/$AC1656)</f>
        <v>0.280385220754969</v>
      </c>
      <c r="AE1656" s="8" t="str">
        <f aca="false">IF($K1656="SEM CULTURA","SEM CULTURA",IF($AA1656&lt;=0,"DADO PENDENTE",IF($AD1656&gt;LIMITE_CRITICO,"INVIAVEL",IF($AD1656&gt;LIMITE_ATENCAO,"CRITICO",IF($AD1656&gt;LIMITE_CONFORTAVEL,"ATENCAO","OK")))))</f>
        <v>OK</v>
      </c>
      <c r="AF1656" s="8" t="str">
        <f aca="false">$B1656&amp;"|"&amp;TEXT($AD1656,"0.000000")</f>
        <v>1|0.280385</v>
      </c>
      <c r="AG1656" s="18" t="n">
        <f aca="false">IF($K1656="SEM CULTURA",0,$T1656*$H1656)</f>
        <v>4492.2580952381</v>
      </c>
      <c r="AH1656" s="18" t="n">
        <f aca="false">IF($K1656="SEM CULTURA",0,$V1656*$H1656)</f>
        <v>739.10144</v>
      </c>
      <c r="AI1656" s="18" t="n">
        <f aca="false">IF($K1656="SEM CULTURA",0,$W1656*$H1656)</f>
        <v>3753.1566552381</v>
      </c>
      <c r="AJ1656" s="18" t="n">
        <f aca="false">IF($K1656="SEM CULTURA",0,$S1656*$H1656)</f>
        <v>5999.2</v>
      </c>
      <c r="AK1656" s="8" t="str">
        <f aca="false">$E1656&amp;"|"&amp;TEXT($AD1656,"0.000000")</f>
        <v>PV 122|0.280385</v>
      </c>
    </row>
    <row r="1657" customFormat="false" ht="15" hidden="false" customHeight="false" outlineLevel="0" collapsed="false">
      <c r="B1657" s="16" t="n">
        <v>2</v>
      </c>
      <c r="C1657" s="17" t="n">
        <f aca="false">DATA_INICIO_SAFRA+($B1657-1)*DIAS_POR_SEMANA</f>
        <v>46272</v>
      </c>
      <c r="D1657" s="17" t="n">
        <f aca="false">$C1657+DIAS_POR_SEMANA-1</f>
        <v>46278</v>
      </c>
      <c r="E1657" s="15" t="s">
        <v>284</v>
      </c>
      <c r="F1657" s="8" t="str">
        <f aca="false">IFERROR(INDEX(CADASTRO_PIVOS!$C$6:$C$41,MATCH($E1657,CADASTRO_PIVOS!$B$6:$B$41,0)),"?")</f>
        <v>RM07</v>
      </c>
      <c r="G1657" s="8" t="str">
        <f aca="false">IFERROR(INDEX(CADASTRO_PIVOS!$D$6:$D$41,MATCH($E1657,CADASTRO_PIVOS!$B$6:$B$41,0)),"?")</f>
        <v>TR07</v>
      </c>
      <c r="H1657" s="20" t="n">
        <f aca="false">IFERROR(INDEX(CADASTRO_PIVOS!$E$6:$E$41,MATCH($E1657,CADASTRO_PIVOS!$B$6:$B$41,0)),0)</f>
        <v>149.98</v>
      </c>
      <c r="I1657" s="16" t="n">
        <f aca="false">IFERROR(SUMIFS(ROTACAO_RDM!$B$6:$B$71,ROTACAO_RDM!$D$6:$D$71,$E1657,ROTACAO_RDM!$I$6:$I$71,"&lt;="&amp;$C1657+INT(DIAS_POR_SEMANA/2),ROTACAO_RDM!$J$6:$J$71,"&gt;="&amp;$C1657+INT(DIAS_POR_SEMANA/2)),0)</f>
        <v>38</v>
      </c>
      <c r="J1657" s="16" t="n">
        <f aca="false">IFERROR(MATCH($I1657,ROTACAO_RDM!$B$6:$B$71,0),0)</f>
        <v>38</v>
      </c>
      <c r="K1657" s="8" t="str">
        <f aca="false">IF($J1657=0,"SEM CULTURA",INDEX(ROTACAO_RDM!$F$6:$F$71,$J1657))</f>
        <v>ALGODAO</v>
      </c>
      <c r="L1657" s="8" t="str">
        <f aca="false">IF($J1657=0,"",INDEX(ROTACAO_RDM!$G$6:$G$71,$J1657))</f>
        <v>DP 1949 B3RF</v>
      </c>
      <c r="M1657" s="17" t="n">
        <f aca="false">IF($J1657=0,"",INDEX(ROTACAO_RDM!$I$6:$I$71,$J1657))</f>
        <v>46085</v>
      </c>
      <c r="N1657" s="16" t="n">
        <f aca="false">IF($J1657=0,0,MAX(0,$C1657+INT(DIAS_POR_SEMANA/2)-INDEX(ROTACAO_RDM!$I$6:$I$71,$J1657)))</f>
        <v>190</v>
      </c>
      <c r="O1657" s="19" t="n">
        <f aca="false">IF($J1657=0,0,MIN(1,$N1657/MAX(1,INDEX(ROTACAO_RDM!$K$6:$K$71,$J1657))))</f>
        <v>0.95959595959596</v>
      </c>
      <c r="P1657" s="16" t="n">
        <f aca="false">IF($J1657=0,0,IFERROR(MATCH(INDEX(ROTACAO_RDM!$N$6:$N$71,$J1657),PARAMETROS_CULTURAS!$B$6:$B$28,0),0))</f>
        <v>5</v>
      </c>
      <c r="Q1657" s="8" t="str">
        <f aca="false">IF($P1657=0,"-",IF($O1657&lt;=INDEX(PARAMETROS_CULTURAS!$F$6:$F$28,$P1657),"INICIAL",IF($O1657&lt;=INDEX(PARAMETROS_CULTURAS!$F$6:$F$28,$P1657)+INDEX(PARAMETROS_CULTURAS!$G$6:$G$28,$P1657),"DESENVOLVIMENTO",IF($O1657&lt;=INDEX(PARAMETROS_CULTURAS!$F$6:$F$28,$P1657)+INDEX(PARAMETROS_CULTURAS!$G$6:$G$28,$P1657)+INDEX(PARAMETROS_CULTURAS!$H$6:$H$28,$P1657),"MEDIA","FINAL"))))</f>
        <v>FINAL</v>
      </c>
      <c r="R1657" s="24" t="n">
        <f aca="false">IF($P1657=0,0,IF($O1657&lt;=INDEX(PARAMETROS_CULTURAS!$F$6:$F$28,$P1657),INDEX(PARAMETROS_CULTURAS!$K$6:$K$28,$P1657),IF($O1657&lt;=INDEX(PARAMETROS_CULTURAS!$F$6:$F$28,$P1657)+INDEX(PARAMETROS_CULTURAS!$G$6:$G$28,$P1657),INDEX(PARAMETROS_CULTURAS!$K$6:$K$28,$P1657)+(INDEX(PARAMETROS_CULTURAS!$L$6:$L$28,$P1657)-INDEX(PARAMETROS_CULTURAS!$K$6:$K$28,$P1657))*($O1657-INDEX(PARAMETROS_CULTURAS!$F$6:$F$28,$P1657))/MAX(INDEX(PARAMETROS_CULTURAS!$G$6:$G$28,$P1657),0.0001),IF($O1657&lt;=INDEX(PARAMETROS_CULTURAS!$F$6:$F$28,$P1657)+INDEX(PARAMETROS_CULTURAS!$G$6:$G$28,$P1657)+INDEX(PARAMETROS_CULTURAS!$H$6:$H$28,$P1657),INDEX(PARAMETROS_CULTURAS!$L$6:$L$28,$P1657),INDEX(PARAMETROS_CULTURAS!$L$6:$L$28,$P1657)+(INDEX(PARAMETROS_CULTURAS!$M$6:$M$28,$P1657)-INDEX(PARAMETROS_CULTURAS!$L$6:$L$28,$P1657))*($O1657-INDEX(PARAMETROS_CULTURAS!$F$6:$F$28,$P1657)-INDEX(PARAMETROS_CULTURAS!$G$6:$G$28,$P1657)-INDEX(PARAMETROS_CULTURAS!$H$6:$H$28,$P1657))/MAX(INDEX(PARAMETROS_CULTURAS!$I$6:$I$28,$P1657),0.0001)))))</f>
        <v>0.67936507936508</v>
      </c>
      <c r="S1657" s="18" t="n">
        <f aca="false">IFERROR(INDEX(SEMANAS!$H$6:$H$71,MATCH($B1657,SEMANAS!$B$6:$B$71,0)),0)</f>
        <v>40.6</v>
      </c>
      <c r="T1657" s="18" t="n">
        <f aca="false">$R1657*$S1657</f>
        <v>27.5822222222222</v>
      </c>
      <c r="U1657" s="18" t="n">
        <f aca="false">IFERROR(INDEX(SEMANAS!$I$6:$I$71,MATCH($B1657,SEMANAS!$B$6:$B$71,0)),0)</f>
        <v>7</v>
      </c>
      <c r="V1657" s="18" t="n">
        <f aca="false">IFERROR(INDEX(SEMANAS!$J$6:$J$71,MATCH($B1657,SEMANAS!$B$6:$B$71,0)),0)</f>
        <v>5.6</v>
      </c>
      <c r="W1657" s="18" t="n">
        <f aca="false">MAX(0,$T1657-$V1657)</f>
        <v>21.9822222222222</v>
      </c>
      <c r="X1657" s="19" t="n">
        <f aca="false">IFERROR(INDEX(CADASTRO_PIVOS!$K$6:$K$41,MATCH($E1657,CADASTRO_PIVOS!$B$6:$B$41,0)),EFICIENCIA_PADRAO)</f>
        <v>0.85</v>
      </c>
      <c r="Y1657" s="18" t="n">
        <f aca="false">IF($X1657&lt;=0,0,$W1657/$X1657)</f>
        <v>25.8614379084967</v>
      </c>
      <c r="Z1657" s="16" t="n">
        <f aca="false">$Y1657*$H1657*MM_PARA_M3_HA</f>
        <v>38786.9845751634</v>
      </c>
      <c r="AA1657" s="18" t="n">
        <f aca="false">IFERROR(INDEX(CADASTRO_PIVOS!$I$6:$I$41,MATCH($E1657,CADASTRO_PIVOS!$B$6:$B$41,0)),0)</f>
        <v>1071.28571428571</v>
      </c>
      <c r="AB1657" s="18" t="n">
        <f aca="false">IF($Z1657&lt;=0,0,$Z1657/$AA1657)</f>
        <v>36.2060130718955</v>
      </c>
      <c r="AC1657" s="16" t="n">
        <f aca="false">IFERROR(INDEX(SEMANAS!$K$6:$K$71,MATCH($B1657,SEMANAS!$B$6:$B$71,0)),0)</f>
        <v>147</v>
      </c>
      <c r="AD1657" s="19" t="n">
        <f aca="false">IF($AC1657&lt;=0,0,$AB1657/$AC1657)</f>
        <v>0.24629940865235</v>
      </c>
      <c r="AE1657" s="8" t="str">
        <f aca="false">IF($K1657="SEM CULTURA","SEM CULTURA",IF($AA1657&lt;=0,"DADO PENDENTE",IF($AD1657&gt;LIMITE_CRITICO,"INVIAVEL",IF($AD1657&gt;LIMITE_ATENCAO,"CRITICO",IF($AD1657&gt;LIMITE_CONFORTAVEL,"ATENCAO","OK")))))</f>
        <v>OK</v>
      </c>
      <c r="AF1657" s="8" t="str">
        <f aca="false">$B1657&amp;"|"&amp;TEXT($AD1657,"0.000000")</f>
        <v>2|0.246299</v>
      </c>
      <c r="AG1657" s="18" t="n">
        <f aca="false">IF($K1657="SEM CULTURA",0,$T1657*$H1657)</f>
        <v>4136.78168888889</v>
      </c>
      <c r="AH1657" s="18" t="n">
        <f aca="false">IF($K1657="SEM CULTURA",0,$V1657*$H1657)</f>
        <v>839.888</v>
      </c>
      <c r="AI1657" s="18" t="n">
        <f aca="false">IF($K1657="SEM CULTURA",0,$W1657*$H1657)</f>
        <v>3296.89368888889</v>
      </c>
      <c r="AJ1657" s="18" t="n">
        <f aca="false">IF($K1657="SEM CULTURA",0,$S1657*$H1657)</f>
        <v>6089.188</v>
      </c>
      <c r="AK1657" s="8" t="str">
        <f aca="false">$E1657&amp;"|"&amp;TEXT($AD1657,"0.000000")</f>
        <v>PV 122|0.246299</v>
      </c>
    </row>
    <row r="1658" customFormat="false" ht="15" hidden="false" customHeight="false" outlineLevel="0" collapsed="false">
      <c r="B1658" s="16" t="n">
        <v>3</v>
      </c>
      <c r="C1658" s="17" t="n">
        <f aca="false">DATA_INICIO_SAFRA+($B1658-1)*DIAS_POR_SEMANA</f>
        <v>46279</v>
      </c>
      <c r="D1658" s="17" t="n">
        <f aca="false">$C1658+DIAS_POR_SEMANA-1</f>
        <v>46285</v>
      </c>
      <c r="E1658" s="15" t="s">
        <v>284</v>
      </c>
      <c r="F1658" s="8" t="str">
        <f aca="false">IFERROR(INDEX(CADASTRO_PIVOS!$C$6:$C$41,MATCH($E1658,CADASTRO_PIVOS!$B$6:$B$41,0)),"?")</f>
        <v>RM07</v>
      </c>
      <c r="G1658" s="8" t="str">
        <f aca="false">IFERROR(INDEX(CADASTRO_PIVOS!$D$6:$D$41,MATCH($E1658,CADASTRO_PIVOS!$B$6:$B$41,0)),"?")</f>
        <v>TR07</v>
      </c>
      <c r="H1658" s="20" t="n">
        <f aca="false">IFERROR(INDEX(CADASTRO_PIVOS!$E$6:$E$41,MATCH($E1658,CADASTRO_PIVOS!$B$6:$B$41,0)),0)</f>
        <v>149.98</v>
      </c>
      <c r="I1658" s="16" t="n">
        <f aca="false">IFERROR(SUMIFS(ROTACAO_RDM!$B$6:$B$71,ROTACAO_RDM!$D$6:$D$71,$E1658,ROTACAO_RDM!$I$6:$I$71,"&lt;="&amp;$C1658+INT(DIAS_POR_SEMANA/2),ROTACAO_RDM!$J$6:$J$71,"&gt;="&amp;$C1658+INT(DIAS_POR_SEMANA/2)),0)</f>
        <v>38</v>
      </c>
      <c r="J1658" s="16" t="n">
        <f aca="false">IFERROR(MATCH($I1658,ROTACAO_RDM!$B$6:$B$71,0),0)</f>
        <v>38</v>
      </c>
      <c r="K1658" s="8" t="str">
        <f aca="false">IF($J1658=0,"SEM CULTURA",INDEX(ROTACAO_RDM!$F$6:$F$71,$J1658))</f>
        <v>ALGODAO</v>
      </c>
      <c r="L1658" s="8" t="str">
        <f aca="false">IF($J1658=0,"",INDEX(ROTACAO_RDM!$G$6:$G$71,$J1658))</f>
        <v>DP 1949 B3RF</v>
      </c>
      <c r="M1658" s="17" t="n">
        <f aca="false">IF($J1658=0,"",INDEX(ROTACAO_RDM!$I$6:$I$71,$J1658))</f>
        <v>46085</v>
      </c>
      <c r="N1658" s="16" t="n">
        <f aca="false">IF($J1658=0,0,MAX(0,$C1658+INT(DIAS_POR_SEMANA/2)-INDEX(ROTACAO_RDM!$I$6:$I$71,$J1658)))</f>
        <v>197</v>
      </c>
      <c r="O1658" s="19" t="n">
        <f aca="false">IF($J1658=0,0,MIN(1,$N1658/MAX(1,INDEX(ROTACAO_RDM!$K$6:$K$71,$J1658))))</f>
        <v>0.994949494949495</v>
      </c>
      <c r="P1658" s="16" t="n">
        <f aca="false">IF($J1658=0,0,IFERROR(MATCH(INDEX(ROTACAO_RDM!$N$6:$N$71,$J1658),PARAMETROS_CULTURAS!$B$6:$B$28,0),0))</f>
        <v>5</v>
      </c>
      <c r="Q1658" s="8" t="str">
        <f aca="false">IF($P1658=0,"-",IF($O1658&lt;=INDEX(PARAMETROS_CULTURAS!$F$6:$F$28,$P1658),"INICIAL",IF($O1658&lt;=INDEX(PARAMETROS_CULTURAS!$F$6:$F$28,$P1658)+INDEX(PARAMETROS_CULTURAS!$G$6:$G$28,$P1658),"DESENVOLVIMENTO",IF($O1658&lt;=INDEX(PARAMETROS_CULTURAS!$F$6:$F$28,$P1658)+INDEX(PARAMETROS_CULTURAS!$G$6:$G$28,$P1658)+INDEX(PARAMETROS_CULTURAS!$H$6:$H$28,$P1658),"MEDIA","FINAL"))))</f>
        <v>FINAL</v>
      </c>
      <c r="R1658" s="24" t="n">
        <f aca="false">IF($P1658=0,0,IF($O1658&lt;=INDEX(PARAMETROS_CULTURAS!$F$6:$F$28,$P1658),INDEX(PARAMETROS_CULTURAS!$K$6:$K$28,$P1658),IF($O1658&lt;=INDEX(PARAMETROS_CULTURAS!$F$6:$F$28,$P1658)+INDEX(PARAMETROS_CULTURAS!$G$6:$G$28,$P1658),INDEX(PARAMETROS_CULTURAS!$K$6:$K$28,$P1658)+(INDEX(PARAMETROS_CULTURAS!$L$6:$L$28,$P1658)-INDEX(PARAMETROS_CULTURAS!$K$6:$K$28,$P1658))*($O1658-INDEX(PARAMETROS_CULTURAS!$F$6:$F$28,$P1658))/MAX(INDEX(PARAMETROS_CULTURAS!$G$6:$G$28,$P1658),0.0001),IF($O1658&lt;=INDEX(PARAMETROS_CULTURAS!$F$6:$F$28,$P1658)+INDEX(PARAMETROS_CULTURAS!$G$6:$G$28,$P1658)+INDEX(PARAMETROS_CULTURAS!$H$6:$H$28,$P1658),INDEX(PARAMETROS_CULTURAS!$L$6:$L$28,$P1658),INDEX(PARAMETROS_CULTURAS!$L$6:$L$28,$P1658)+(INDEX(PARAMETROS_CULTURAS!$M$6:$M$28,$P1658)-INDEX(PARAMETROS_CULTURAS!$L$6:$L$28,$P1658))*($O1658-INDEX(PARAMETROS_CULTURAS!$F$6:$F$28,$P1658)-INDEX(PARAMETROS_CULTURAS!$G$6:$G$28,$P1658)-INDEX(PARAMETROS_CULTURAS!$H$6:$H$28,$P1658))/MAX(INDEX(PARAMETROS_CULTURAS!$I$6:$I$28,$P1658),0.0001)))))</f>
        <v>0.609920634920635</v>
      </c>
      <c r="S1658" s="18" t="n">
        <f aca="false">IFERROR(INDEX(SEMANAS!$H$6:$H$71,MATCH($B1658,SEMANAS!$B$6:$B$71,0)),0)</f>
        <v>40.6</v>
      </c>
      <c r="T1658" s="18" t="n">
        <f aca="false">$R1658*$S1658</f>
        <v>24.7627777777778</v>
      </c>
      <c r="U1658" s="18" t="n">
        <f aca="false">IFERROR(INDEX(SEMANAS!$I$6:$I$71,MATCH($B1658,SEMANAS!$B$6:$B$71,0)),0)</f>
        <v>7</v>
      </c>
      <c r="V1658" s="18" t="n">
        <f aca="false">IFERROR(INDEX(SEMANAS!$J$6:$J$71,MATCH($B1658,SEMANAS!$B$6:$B$71,0)),0)</f>
        <v>5.6</v>
      </c>
      <c r="W1658" s="18" t="n">
        <f aca="false">MAX(0,$T1658-$V1658)</f>
        <v>19.1627777777778</v>
      </c>
      <c r="X1658" s="19" t="n">
        <f aca="false">IFERROR(INDEX(CADASTRO_PIVOS!$K$6:$K$41,MATCH($E1658,CADASTRO_PIVOS!$B$6:$B$41,0)),EFICIENCIA_PADRAO)</f>
        <v>0.85</v>
      </c>
      <c r="Y1658" s="18" t="n">
        <f aca="false">IF($X1658&lt;=0,0,$W1658/$X1658)</f>
        <v>22.5444444444445</v>
      </c>
      <c r="Z1658" s="16" t="n">
        <f aca="false">$Y1658*$H1658*MM_PARA_M3_HA</f>
        <v>33812.1577777778</v>
      </c>
      <c r="AA1658" s="18" t="n">
        <f aca="false">IFERROR(INDEX(CADASTRO_PIVOS!$I$6:$I$41,MATCH($E1658,CADASTRO_PIVOS!$B$6:$B$41,0)),0)</f>
        <v>1071.28571428571</v>
      </c>
      <c r="AB1658" s="18" t="n">
        <f aca="false">IF($Z1658&lt;=0,0,$Z1658/$AA1658)</f>
        <v>31.5622222222222</v>
      </c>
      <c r="AC1658" s="16" t="n">
        <f aca="false">IFERROR(INDEX(SEMANAS!$K$6:$K$71,MATCH($B1658,SEMANAS!$B$6:$B$71,0)),0)</f>
        <v>147</v>
      </c>
      <c r="AD1658" s="19" t="n">
        <f aca="false">IF($AC1658&lt;=0,0,$AB1658/$AC1658)</f>
        <v>0.214708994708995</v>
      </c>
      <c r="AE1658" s="8" t="str">
        <f aca="false">IF($K1658="SEM CULTURA","SEM CULTURA",IF($AA1658&lt;=0,"DADO PENDENTE",IF($AD1658&gt;LIMITE_CRITICO,"INVIAVEL",IF($AD1658&gt;LIMITE_ATENCAO,"CRITICO",IF($AD1658&gt;LIMITE_CONFORTAVEL,"ATENCAO","OK")))))</f>
        <v>OK</v>
      </c>
      <c r="AF1658" s="8" t="str">
        <f aca="false">$B1658&amp;"|"&amp;TEXT($AD1658,"0.000000")</f>
        <v>3|0.214709</v>
      </c>
      <c r="AG1658" s="18" t="n">
        <f aca="false">IF($K1658="SEM CULTURA",0,$T1658*$H1658)</f>
        <v>3713.92141111111</v>
      </c>
      <c r="AH1658" s="18" t="n">
        <f aca="false">IF($K1658="SEM CULTURA",0,$V1658*$H1658)</f>
        <v>839.888</v>
      </c>
      <c r="AI1658" s="18" t="n">
        <f aca="false">IF($K1658="SEM CULTURA",0,$W1658*$H1658)</f>
        <v>2874.03341111111</v>
      </c>
      <c r="AJ1658" s="18" t="n">
        <f aca="false">IF($K1658="SEM CULTURA",0,$S1658*$H1658)</f>
        <v>6089.188</v>
      </c>
      <c r="AK1658" s="8" t="str">
        <f aca="false">$E1658&amp;"|"&amp;TEXT($AD1658,"0.000000")</f>
        <v>PV 122|0.214709</v>
      </c>
    </row>
    <row r="1659" customFormat="false" ht="15" hidden="false" customHeight="false" outlineLevel="0" collapsed="false">
      <c r="B1659" s="16" t="n">
        <v>4</v>
      </c>
      <c r="C1659" s="17" t="n">
        <f aca="false">DATA_INICIO_SAFRA+($B1659-1)*DIAS_POR_SEMANA</f>
        <v>46286</v>
      </c>
      <c r="D1659" s="17" t="n">
        <f aca="false">$C1659+DIAS_POR_SEMANA-1</f>
        <v>46292</v>
      </c>
      <c r="E1659" s="15" t="s">
        <v>284</v>
      </c>
      <c r="F1659" s="8" t="str">
        <f aca="false">IFERROR(INDEX(CADASTRO_PIVOS!$C$6:$C$41,MATCH($E1659,CADASTRO_PIVOS!$B$6:$B$41,0)),"?")</f>
        <v>RM07</v>
      </c>
      <c r="G1659" s="8" t="str">
        <f aca="false">IFERROR(INDEX(CADASTRO_PIVOS!$D$6:$D$41,MATCH($E1659,CADASTRO_PIVOS!$B$6:$B$41,0)),"?")</f>
        <v>TR07</v>
      </c>
      <c r="H1659" s="20" t="n">
        <f aca="false">IFERROR(INDEX(CADASTRO_PIVOS!$E$6:$E$41,MATCH($E1659,CADASTRO_PIVOS!$B$6:$B$41,0)),0)</f>
        <v>149.98</v>
      </c>
      <c r="I1659" s="16" t="n">
        <f aca="false">IFERROR(SUMIFS(ROTACAO_RDM!$B$6:$B$71,ROTACAO_RDM!$D$6:$D$71,$E1659,ROTACAO_RDM!$I$6:$I$71,"&lt;="&amp;$C1659+INT(DIAS_POR_SEMANA/2),ROTACAO_RDM!$J$6:$J$71,"&gt;="&amp;$C1659+INT(DIAS_POR_SEMANA/2)),0)</f>
        <v>0</v>
      </c>
      <c r="J1659" s="16" t="n">
        <f aca="false">IFERROR(MATCH($I1659,ROTACAO_RDM!$B$6:$B$71,0),0)</f>
        <v>0</v>
      </c>
      <c r="K1659" s="8" t="str">
        <f aca="false">IF($J1659=0,"SEM CULTURA",INDEX(ROTACAO_RDM!$F$6:$F$71,$J1659))</f>
        <v>SEM CULTURA</v>
      </c>
      <c r="L1659" s="8" t="str">
        <f aca="false">IF($J1659=0,"",INDEX(ROTACAO_RDM!$G$6:$G$71,$J1659))</f>
        <v/>
      </c>
      <c r="M1659" s="17" t="str">
        <f aca="false">IF($J1659=0,"",INDEX(ROTACAO_RDM!$I$6:$I$71,$J1659))</f>
        <v/>
      </c>
      <c r="N1659" s="16" t="n">
        <f aca="false">IF($J1659=0,0,MAX(0,$C1659+INT(DIAS_POR_SEMANA/2)-INDEX(ROTACAO_RDM!$I$6:$I$71,$J1659)))</f>
        <v>0</v>
      </c>
      <c r="O1659" s="19" t="n">
        <f aca="false">IF($J1659=0,0,MIN(1,$N1659/MAX(1,INDEX(ROTACAO_RDM!$K$6:$K$71,$J1659))))</f>
        <v>0</v>
      </c>
      <c r="P1659" s="16" t="n">
        <f aca="false">IF($J1659=0,0,IFERROR(MATCH(INDEX(ROTACAO_RDM!$N$6:$N$71,$J1659),PARAMETROS_CULTURAS!$B$6:$B$28,0),0))</f>
        <v>0</v>
      </c>
      <c r="Q1659" s="8" t="str">
        <f aca="false">IF($P1659=0,"-",IF($O1659&lt;=INDEX(PARAMETROS_CULTURAS!$F$6:$F$28,$P1659),"INICIAL",IF($O1659&lt;=INDEX(PARAMETROS_CULTURAS!$F$6:$F$28,$P1659)+INDEX(PARAMETROS_CULTURAS!$G$6:$G$28,$P1659),"DESENVOLVIMENTO",IF($O1659&lt;=INDEX(PARAMETROS_CULTURAS!$F$6:$F$28,$P1659)+INDEX(PARAMETROS_CULTURAS!$G$6:$G$28,$P1659)+INDEX(PARAMETROS_CULTURAS!$H$6:$H$28,$P1659),"MEDIA","FINAL"))))</f>
        <v>-</v>
      </c>
      <c r="R1659" s="24" t="n">
        <f aca="false">IF($P1659=0,0,IF($O1659&lt;=INDEX(PARAMETROS_CULTURAS!$F$6:$F$28,$P1659),INDEX(PARAMETROS_CULTURAS!$K$6:$K$28,$P1659),IF($O1659&lt;=INDEX(PARAMETROS_CULTURAS!$F$6:$F$28,$P1659)+INDEX(PARAMETROS_CULTURAS!$G$6:$G$28,$P1659),INDEX(PARAMETROS_CULTURAS!$K$6:$K$28,$P1659)+(INDEX(PARAMETROS_CULTURAS!$L$6:$L$28,$P1659)-INDEX(PARAMETROS_CULTURAS!$K$6:$K$28,$P1659))*($O1659-INDEX(PARAMETROS_CULTURAS!$F$6:$F$28,$P1659))/MAX(INDEX(PARAMETROS_CULTURAS!$G$6:$G$28,$P1659),0.0001),IF($O1659&lt;=INDEX(PARAMETROS_CULTURAS!$F$6:$F$28,$P1659)+INDEX(PARAMETROS_CULTURAS!$G$6:$G$28,$P1659)+INDEX(PARAMETROS_CULTURAS!$H$6:$H$28,$P1659),INDEX(PARAMETROS_CULTURAS!$L$6:$L$28,$P1659),INDEX(PARAMETROS_CULTURAS!$L$6:$L$28,$P1659)+(INDEX(PARAMETROS_CULTURAS!$M$6:$M$28,$P1659)-INDEX(PARAMETROS_CULTURAS!$L$6:$L$28,$P1659))*($O1659-INDEX(PARAMETROS_CULTURAS!$F$6:$F$28,$P1659)-INDEX(PARAMETROS_CULTURAS!$G$6:$G$28,$P1659)-INDEX(PARAMETROS_CULTURAS!$H$6:$H$28,$P1659))/MAX(INDEX(PARAMETROS_CULTURAS!$I$6:$I$28,$P1659),0.0001)))))</f>
        <v>0</v>
      </c>
      <c r="S1659" s="18" t="n">
        <f aca="false">IFERROR(INDEX(SEMANAS!$H$6:$H$71,MATCH($B1659,SEMANAS!$B$6:$B$71,0)),0)</f>
        <v>40.6</v>
      </c>
      <c r="T1659" s="18" t="n">
        <f aca="false">$R1659*$S1659</f>
        <v>0</v>
      </c>
      <c r="U1659" s="18" t="n">
        <f aca="false">IFERROR(INDEX(SEMANAS!$I$6:$I$71,MATCH($B1659,SEMANAS!$B$6:$B$71,0)),0)</f>
        <v>7</v>
      </c>
      <c r="V1659" s="18" t="n">
        <f aca="false">IFERROR(INDEX(SEMANAS!$J$6:$J$71,MATCH($B1659,SEMANAS!$B$6:$B$71,0)),0)</f>
        <v>5.6</v>
      </c>
      <c r="W1659" s="18" t="n">
        <f aca="false">MAX(0,$T1659-$V1659)</f>
        <v>0</v>
      </c>
      <c r="X1659" s="19" t="n">
        <f aca="false">IFERROR(INDEX(CADASTRO_PIVOS!$K$6:$K$41,MATCH($E1659,CADASTRO_PIVOS!$B$6:$B$41,0)),EFICIENCIA_PADRAO)</f>
        <v>0.85</v>
      </c>
      <c r="Y1659" s="18" t="n">
        <f aca="false">IF($X1659&lt;=0,0,$W1659/$X1659)</f>
        <v>0</v>
      </c>
      <c r="Z1659" s="16" t="n">
        <f aca="false">$Y1659*$H1659*MM_PARA_M3_HA</f>
        <v>0</v>
      </c>
      <c r="AA1659" s="18" t="n">
        <f aca="false">IFERROR(INDEX(CADASTRO_PIVOS!$I$6:$I$41,MATCH($E1659,CADASTRO_PIVOS!$B$6:$B$41,0)),0)</f>
        <v>1071.28571428571</v>
      </c>
      <c r="AB1659" s="18" t="n">
        <f aca="false">IF($Z1659&lt;=0,0,$Z1659/$AA1659)</f>
        <v>0</v>
      </c>
      <c r="AC1659" s="16" t="n">
        <f aca="false">IFERROR(INDEX(SEMANAS!$K$6:$K$71,MATCH($B1659,SEMANAS!$B$6:$B$71,0)),0)</f>
        <v>147</v>
      </c>
      <c r="AD1659" s="19" t="n">
        <f aca="false">IF($AC1659&lt;=0,0,$AB1659/$AC1659)</f>
        <v>0</v>
      </c>
      <c r="AE1659" s="8" t="str">
        <f aca="false">IF($K1659="SEM CULTURA","SEM CULTURA",IF($AA1659&lt;=0,"DADO PENDENTE",IF($AD1659&gt;LIMITE_CRITICO,"INVIAVEL",IF($AD1659&gt;LIMITE_ATENCAO,"CRITICO",IF($AD1659&gt;LIMITE_CONFORTAVEL,"ATENCAO","OK")))))</f>
        <v>SEM CULTURA</v>
      </c>
      <c r="AF1659" s="8" t="str">
        <f aca="false">$B1659&amp;"|"&amp;TEXT($AD1659,"0.000000")</f>
        <v>4|0.000000</v>
      </c>
      <c r="AG1659" s="18" t="n">
        <f aca="false">IF($K1659="SEM CULTURA",0,$T1659*$H1659)</f>
        <v>0</v>
      </c>
      <c r="AH1659" s="18" t="n">
        <f aca="false">IF($K1659="SEM CULTURA",0,$V1659*$H1659)</f>
        <v>0</v>
      </c>
      <c r="AI1659" s="18" t="n">
        <f aca="false">IF($K1659="SEM CULTURA",0,$W1659*$H1659)</f>
        <v>0</v>
      </c>
      <c r="AJ1659" s="18" t="n">
        <f aca="false">IF($K1659="SEM CULTURA",0,$S1659*$H1659)</f>
        <v>0</v>
      </c>
      <c r="AK1659" s="8" t="str">
        <f aca="false">$E1659&amp;"|"&amp;TEXT($AD1659,"0.000000")</f>
        <v>PV 122|0.000000</v>
      </c>
    </row>
    <row r="1660" customFormat="false" ht="15" hidden="false" customHeight="false" outlineLevel="0" collapsed="false">
      <c r="B1660" s="16" t="n">
        <v>5</v>
      </c>
      <c r="C1660" s="17" t="n">
        <f aca="false">DATA_INICIO_SAFRA+($B1660-1)*DIAS_POR_SEMANA</f>
        <v>46293</v>
      </c>
      <c r="D1660" s="17" t="n">
        <f aca="false">$C1660+DIAS_POR_SEMANA-1</f>
        <v>46299</v>
      </c>
      <c r="E1660" s="15" t="s">
        <v>284</v>
      </c>
      <c r="F1660" s="8" t="str">
        <f aca="false">IFERROR(INDEX(CADASTRO_PIVOS!$C$6:$C$41,MATCH($E1660,CADASTRO_PIVOS!$B$6:$B$41,0)),"?")</f>
        <v>RM07</v>
      </c>
      <c r="G1660" s="8" t="str">
        <f aca="false">IFERROR(INDEX(CADASTRO_PIVOS!$D$6:$D$41,MATCH($E1660,CADASTRO_PIVOS!$B$6:$B$41,0)),"?")</f>
        <v>TR07</v>
      </c>
      <c r="H1660" s="20" t="n">
        <f aca="false">IFERROR(INDEX(CADASTRO_PIVOS!$E$6:$E$41,MATCH($E1660,CADASTRO_PIVOS!$B$6:$B$41,0)),0)</f>
        <v>149.98</v>
      </c>
      <c r="I1660" s="16" t="n">
        <f aca="false">IFERROR(SUMIFS(ROTACAO_RDM!$B$6:$B$71,ROTACAO_RDM!$D$6:$D$71,$E1660,ROTACAO_RDM!$I$6:$I$71,"&lt;="&amp;$C1660+INT(DIAS_POR_SEMANA/2),ROTACAO_RDM!$J$6:$J$71,"&gt;="&amp;$C1660+INT(DIAS_POR_SEMANA/2)),0)</f>
        <v>0</v>
      </c>
      <c r="J1660" s="16" t="n">
        <f aca="false">IFERROR(MATCH($I1660,ROTACAO_RDM!$B$6:$B$71,0),0)</f>
        <v>0</v>
      </c>
      <c r="K1660" s="8" t="str">
        <f aca="false">IF($J1660=0,"SEM CULTURA",INDEX(ROTACAO_RDM!$F$6:$F$71,$J1660))</f>
        <v>SEM CULTURA</v>
      </c>
      <c r="L1660" s="8" t="str">
        <f aca="false">IF($J1660=0,"",INDEX(ROTACAO_RDM!$G$6:$G$71,$J1660))</f>
        <v/>
      </c>
      <c r="M1660" s="17" t="str">
        <f aca="false">IF($J1660=0,"",INDEX(ROTACAO_RDM!$I$6:$I$71,$J1660))</f>
        <v/>
      </c>
      <c r="N1660" s="16" t="n">
        <f aca="false">IF($J1660=0,0,MAX(0,$C1660+INT(DIAS_POR_SEMANA/2)-INDEX(ROTACAO_RDM!$I$6:$I$71,$J1660)))</f>
        <v>0</v>
      </c>
      <c r="O1660" s="19" t="n">
        <f aca="false">IF($J1660=0,0,MIN(1,$N1660/MAX(1,INDEX(ROTACAO_RDM!$K$6:$K$71,$J1660))))</f>
        <v>0</v>
      </c>
      <c r="P1660" s="16" t="n">
        <f aca="false">IF($J1660=0,0,IFERROR(MATCH(INDEX(ROTACAO_RDM!$N$6:$N$71,$J1660),PARAMETROS_CULTURAS!$B$6:$B$28,0),0))</f>
        <v>0</v>
      </c>
      <c r="Q1660" s="8" t="str">
        <f aca="false">IF($P1660=0,"-",IF($O1660&lt;=INDEX(PARAMETROS_CULTURAS!$F$6:$F$28,$P1660),"INICIAL",IF($O1660&lt;=INDEX(PARAMETROS_CULTURAS!$F$6:$F$28,$P1660)+INDEX(PARAMETROS_CULTURAS!$G$6:$G$28,$P1660),"DESENVOLVIMENTO",IF($O1660&lt;=INDEX(PARAMETROS_CULTURAS!$F$6:$F$28,$P1660)+INDEX(PARAMETROS_CULTURAS!$G$6:$G$28,$P1660)+INDEX(PARAMETROS_CULTURAS!$H$6:$H$28,$P1660),"MEDIA","FINAL"))))</f>
        <v>-</v>
      </c>
      <c r="R1660" s="24" t="n">
        <f aca="false">IF($P1660=0,0,IF($O1660&lt;=INDEX(PARAMETROS_CULTURAS!$F$6:$F$28,$P1660),INDEX(PARAMETROS_CULTURAS!$K$6:$K$28,$P1660),IF($O1660&lt;=INDEX(PARAMETROS_CULTURAS!$F$6:$F$28,$P1660)+INDEX(PARAMETROS_CULTURAS!$G$6:$G$28,$P1660),INDEX(PARAMETROS_CULTURAS!$K$6:$K$28,$P1660)+(INDEX(PARAMETROS_CULTURAS!$L$6:$L$28,$P1660)-INDEX(PARAMETROS_CULTURAS!$K$6:$K$28,$P1660))*($O1660-INDEX(PARAMETROS_CULTURAS!$F$6:$F$28,$P1660))/MAX(INDEX(PARAMETROS_CULTURAS!$G$6:$G$28,$P1660),0.0001),IF($O1660&lt;=INDEX(PARAMETROS_CULTURAS!$F$6:$F$28,$P1660)+INDEX(PARAMETROS_CULTURAS!$G$6:$G$28,$P1660)+INDEX(PARAMETROS_CULTURAS!$H$6:$H$28,$P1660),INDEX(PARAMETROS_CULTURAS!$L$6:$L$28,$P1660),INDEX(PARAMETROS_CULTURAS!$L$6:$L$28,$P1660)+(INDEX(PARAMETROS_CULTURAS!$M$6:$M$28,$P1660)-INDEX(PARAMETROS_CULTURAS!$L$6:$L$28,$P1660))*($O1660-INDEX(PARAMETROS_CULTURAS!$F$6:$F$28,$P1660)-INDEX(PARAMETROS_CULTURAS!$G$6:$G$28,$P1660)-INDEX(PARAMETROS_CULTURAS!$H$6:$H$28,$P1660))/MAX(INDEX(PARAMETROS_CULTURAS!$I$6:$I$28,$P1660),0.0001)))))</f>
        <v>0</v>
      </c>
      <c r="S1660" s="18" t="n">
        <f aca="false">IFERROR(INDEX(SEMANAS!$H$6:$H$71,MATCH($B1660,SEMANAS!$B$6:$B$71,0)),0)</f>
        <v>39.8</v>
      </c>
      <c r="T1660" s="18" t="n">
        <f aca="false">$R1660*$S1660</f>
        <v>0</v>
      </c>
      <c r="U1660" s="18" t="n">
        <f aca="false">IFERROR(INDEX(SEMANAS!$I$6:$I$71,MATCH($B1660,SEMANAS!$B$6:$B$71,0)),0)</f>
        <v>18.48</v>
      </c>
      <c r="V1660" s="18" t="n">
        <f aca="false">IFERROR(INDEX(SEMANAS!$J$6:$J$71,MATCH($B1660,SEMANAS!$B$6:$B$71,0)),0)</f>
        <v>14.784</v>
      </c>
      <c r="W1660" s="18" t="n">
        <f aca="false">MAX(0,$T1660-$V1660)</f>
        <v>0</v>
      </c>
      <c r="X1660" s="19" t="n">
        <f aca="false">IFERROR(INDEX(CADASTRO_PIVOS!$K$6:$K$41,MATCH($E1660,CADASTRO_PIVOS!$B$6:$B$41,0)),EFICIENCIA_PADRAO)</f>
        <v>0.85</v>
      </c>
      <c r="Y1660" s="18" t="n">
        <f aca="false">IF($X1660&lt;=0,0,$W1660/$X1660)</f>
        <v>0</v>
      </c>
      <c r="Z1660" s="16" t="n">
        <f aca="false">$Y1660*$H1660*MM_PARA_M3_HA</f>
        <v>0</v>
      </c>
      <c r="AA1660" s="18" t="n">
        <f aca="false">IFERROR(INDEX(CADASTRO_PIVOS!$I$6:$I$41,MATCH($E1660,CADASTRO_PIVOS!$B$6:$B$41,0)),0)</f>
        <v>1071.28571428571</v>
      </c>
      <c r="AB1660" s="18" t="n">
        <f aca="false">IF($Z1660&lt;=0,0,$Z1660/$AA1660)</f>
        <v>0</v>
      </c>
      <c r="AC1660" s="16" t="n">
        <f aca="false">IFERROR(INDEX(SEMANAS!$K$6:$K$71,MATCH($B1660,SEMANAS!$B$6:$B$71,0)),0)</f>
        <v>147</v>
      </c>
      <c r="AD1660" s="19" t="n">
        <f aca="false">IF($AC1660&lt;=0,0,$AB1660/$AC1660)</f>
        <v>0</v>
      </c>
      <c r="AE1660" s="8" t="str">
        <f aca="false">IF($K1660="SEM CULTURA","SEM CULTURA",IF($AA1660&lt;=0,"DADO PENDENTE",IF($AD1660&gt;LIMITE_CRITICO,"INVIAVEL",IF($AD1660&gt;LIMITE_ATENCAO,"CRITICO",IF($AD1660&gt;LIMITE_CONFORTAVEL,"ATENCAO","OK")))))</f>
        <v>SEM CULTURA</v>
      </c>
      <c r="AF1660" s="8" t="str">
        <f aca="false">$B1660&amp;"|"&amp;TEXT($AD1660,"0.000000")</f>
        <v>5|0.000000</v>
      </c>
      <c r="AG1660" s="18" t="n">
        <f aca="false">IF($K1660="SEM CULTURA",0,$T1660*$H1660)</f>
        <v>0</v>
      </c>
      <c r="AH1660" s="18" t="n">
        <f aca="false">IF($K1660="SEM CULTURA",0,$V1660*$H1660)</f>
        <v>0</v>
      </c>
      <c r="AI1660" s="18" t="n">
        <f aca="false">IF($K1660="SEM CULTURA",0,$W1660*$H1660)</f>
        <v>0</v>
      </c>
      <c r="AJ1660" s="18" t="n">
        <f aca="false">IF($K1660="SEM CULTURA",0,$S1660*$H1660)</f>
        <v>0</v>
      </c>
      <c r="AK1660" s="8" t="str">
        <f aca="false">$E1660&amp;"|"&amp;TEXT($AD1660,"0.000000")</f>
        <v>PV 122|0.000000</v>
      </c>
    </row>
    <row r="1661" customFormat="false" ht="15" hidden="false" customHeight="false" outlineLevel="0" collapsed="false">
      <c r="B1661" s="16" t="n">
        <v>6</v>
      </c>
      <c r="C1661" s="17" t="n">
        <f aca="false">DATA_INICIO_SAFRA+($B1661-1)*DIAS_POR_SEMANA</f>
        <v>46300</v>
      </c>
      <c r="D1661" s="17" t="n">
        <f aca="false">$C1661+DIAS_POR_SEMANA-1</f>
        <v>46306</v>
      </c>
      <c r="E1661" s="15" t="s">
        <v>284</v>
      </c>
      <c r="F1661" s="8" t="str">
        <f aca="false">IFERROR(INDEX(CADASTRO_PIVOS!$C$6:$C$41,MATCH($E1661,CADASTRO_PIVOS!$B$6:$B$41,0)),"?")</f>
        <v>RM07</v>
      </c>
      <c r="G1661" s="8" t="str">
        <f aca="false">IFERROR(INDEX(CADASTRO_PIVOS!$D$6:$D$41,MATCH($E1661,CADASTRO_PIVOS!$B$6:$B$41,0)),"?")</f>
        <v>TR07</v>
      </c>
      <c r="H1661" s="20" t="n">
        <f aca="false">IFERROR(INDEX(CADASTRO_PIVOS!$E$6:$E$41,MATCH($E1661,CADASTRO_PIVOS!$B$6:$B$41,0)),0)</f>
        <v>149.98</v>
      </c>
      <c r="I1661" s="16" t="n">
        <f aca="false">IFERROR(SUMIFS(ROTACAO_RDM!$B$6:$B$71,ROTACAO_RDM!$D$6:$D$71,$E1661,ROTACAO_RDM!$I$6:$I$71,"&lt;="&amp;$C1661+INT(DIAS_POR_SEMANA/2),ROTACAO_RDM!$J$6:$J$71,"&gt;="&amp;$C1661+INT(DIAS_POR_SEMANA/2)),0)</f>
        <v>0</v>
      </c>
      <c r="J1661" s="16" t="n">
        <f aca="false">IFERROR(MATCH($I1661,ROTACAO_RDM!$B$6:$B$71,0),0)</f>
        <v>0</v>
      </c>
      <c r="K1661" s="8" t="str">
        <f aca="false">IF($J1661=0,"SEM CULTURA",INDEX(ROTACAO_RDM!$F$6:$F$71,$J1661))</f>
        <v>SEM CULTURA</v>
      </c>
      <c r="L1661" s="8" t="str">
        <f aca="false">IF($J1661=0,"",INDEX(ROTACAO_RDM!$G$6:$G$71,$J1661))</f>
        <v/>
      </c>
      <c r="M1661" s="17" t="str">
        <f aca="false">IF($J1661=0,"",INDEX(ROTACAO_RDM!$I$6:$I$71,$J1661))</f>
        <v/>
      </c>
      <c r="N1661" s="16" t="n">
        <f aca="false">IF($J1661=0,0,MAX(0,$C1661+INT(DIAS_POR_SEMANA/2)-INDEX(ROTACAO_RDM!$I$6:$I$71,$J1661)))</f>
        <v>0</v>
      </c>
      <c r="O1661" s="19" t="n">
        <f aca="false">IF($J1661=0,0,MIN(1,$N1661/MAX(1,INDEX(ROTACAO_RDM!$K$6:$K$71,$J1661))))</f>
        <v>0</v>
      </c>
      <c r="P1661" s="16" t="n">
        <f aca="false">IF($J1661=0,0,IFERROR(MATCH(INDEX(ROTACAO_RDM!$N$6:$N$71,$J1661),PARAMETROS_CULTURAS!$B$6:$B$28,0),0))</f>
        <v>0</v>
      </c>
      <c r="Q1661" s="8" t="str">
        <f aca="false">IF($P1661=0,"-",IF($O1661&lt;=INDEX(PARAMETROS_CULTURAS!$F$6:$F$28,$P1661),"INICIAL",IF($O1661&lt;=INDEX(PARAMETROS_CULTURAS!$F$6:$F$28,$P1661)+INDEX(PARAMETROS_CULTURAS!$G$6:$G$28,$P1661),"DESENVOLVIMENTO",IF($O1661&lt;=INDEX(PARAMETROS_CULTURAS!$F$6:$F$28,$P1661)+INDEX(PARAMETROS_CULTURAS!$G$6:$G$28,$P1661)+INDEX(PARAMETROS_CULTURAS!$H$6:$H$28,$P1661),"MEDIA","FINAL"))))</f>
        <v>-</v>
      </c>
      <c r="R1661" s="24" t="n">
        <f aca="false">IF($P1661=0,0,IF($O1661&lt;=INDEX(PARAMETROS_CULTURAS!$F$6:$F$28,$P1661),INDEX(PARAMETROS_CULTURAS!$K$6:$K$28,$P1661),IF($O1661&lt;=INDEX(PARAMETROS_CULTURAS!$F$6:$F$28,$P1661)+INDEX(PARAMETROS_CULTURAS!$G$6:$G$28,$P1661),INDEX(PARAMETROS_CULTURAS!$K$6:$K$28,$P1661)+(INDEX(PARAMETROS_CULTURAS!$L$6:$L$28,$P1661)-INDEX(PARAMETROS_CULTURAS!$K$6:$K$28,$P1661))*($O1661-INDEX(PARAMETROS_CULTURAS!$F$6:$F$28,$P1661))/MAX(INDEX(PARAMETROS_CULTURAS!$G$6:$G$28,$P1661),0.0001),IF($O1661&lt;=INDEX(PARAMETROS_CULTURAS!$F$6:$F$28,$P1661)+INDEX(PARAMETROS_CULTURAS!$G$6:$G$28,$P1661)+INDEX(PARAMETROS_CULTURAS!$H$6:$H$28,$P1661),INDEX(PARAMETROS_CULTURAS!$L$6:$L$28,$P1661),INDEX(PARAMETROS_CULTURAS!$L$6:$L$28,$P1661)+(INDEX(PARAMETROS_CULTURAS!$M$6:$M$28,$P1661)-INDEX(PARAMETROS_CULTURAS!$L$6:$L$28,$P1661))*($O1661-INDEX(PARAMETROS_CULTURAS!$F$6:$F$28,$P1661)-INDEX(PARAMETROS_CULTURAS!$G$6:$G$28,$P1661)-INDEX(PARAMETROS_CULTURAS!$H$6:$H$28,$P1661))/MAX(INDEX(PARAMETROS_CULTURAS!$I$6:$I$28,$P1661),0.0001)))))</f>
        <v>0</v>
      </c>
      <c r="S1661" s="18" t="n">
        <f aca="false">IFERROR(INDEX(SEMANAS!$H$6:$H$71,MATCH($B1661,SEMANAS!$B$6:$B$71,0)),0)</f>
        <v>39.2</v>
      </c>
      <c r="T1661" s="18" t="n">
        <f aca="false">$R1661*$S1661</f>
        <v>0</v>
      </c>
      <c r="U1661" s="18" t="n">
        <f aca="false">IFERROR(INDEX(SEMANAS!$I$6:$I$71,MATCH($B1661,SEMANAS!$B$6:$B$71,0)),0)</f>
        <v>27.09</v>
      </c>
      <c r="V1661" s="18" t="n">
        <f aca="false">IFERROR(INDEX(SEMANAS!$J$6:$J$71,MATCH($B1661,SEMANAS!$B$6:$B$71,0)),0)</f>
        <v>21.672</v>
      </c>
      <c r="W1661" s="18" t="n">
        <f aca="false">MAX(0,$T1661-$V1661)</f>
        <v>0</v>
      </c>
      <c r="X1661" s="19" t="n">
        <f aca="false">IFERROR(INDEX(CADASTRO_PIVOS!$K$6:$K$41,MATCH($E1661,CADASTRO_PIVOS!$B$6:$B$41,0)),EFICIENCIA_PADRAO)</f>
        <v>0.85</v>
      </c>
      <c r="Y1661" s="18" t="n">
        <f aca="false">IF($X1661&lt;=0,0,$W1661/$X1661)</f>
        <v>0</v>
      </c>
      <c r="Z1661" s="16" t="n">
        <f aca="false">$Y1661*$H1661*MM_PARA_M3_HA</f>
        <v>0</v>
      </c>
      <c r="AA1661" s="18" t="n">
        <f aca="false">IFERROR(INDEX(CADASTRO_PIVOS!$I$6:$I$41,MATCH($E1661,CADASTRO_PIVOS!$B$6:$B$41,0)),0)</f>
        <v>1071.28571428571</v>
      </c>
      <c r="AB1661" s="18" t="n">
        <f aca="false">IF($Z1661&lt;=0,0,$Z1661/$AA1661)</f>
        <v>0</v>
      </c>
      <c r="AC1661" s="16" t="n">
        <f aca="false">IFERROR(INDEX(SEMANAS!$K$6:$K$71,MATCH($B1661,SEMANAS!$B$6:$B$71,0)),0)</f>
        <v>147</v>
      </c>
      <c r="AD1661" s="19" t="n">
        <f aca="false">IF($AC1661&lt;=0,0,$AB1661/$AC1661)</f>
        <v>0</v>
      </c>
      <c r="AE1661" s="8" t="str">
        <f aca="false">IF($K1661="SEM CULTURA","SEM CULTURA",IF($AA1661&lt;=0,"DADO PENDENTE",IF($AD1661&gt;LIMITE_CRITICO,"INVIAVEL",IF($AD1661&gt;LIMITE_ATENCAO,"CRITICO",IF($AD1661&gt;LIMITE_CONFORTAVEL,"ATENCAO","OK")))))</f>
        <v>SEM CULTURA</v>
      </c>
      <c r="AF1661" s="8" t="str">
        <f aca="false">$B1661&amp;"|"&amp;TEXT($AD1661,"0.000000")</f>
        <v>6|0.000000</v>
      </c>
      <c r="AG1661" s="18" t="n">
        <f aca="false">IF($K1661="SEM CULTURA",0,$T1661*$H1661)</f>
        <v>0</v>
      </c>
      <c r="AH1661" s="18" t="n">
        <f aca="false">IF($K1661="SEM CULTURA",0,$V1661*$H1661)</f>
        <v>0</v>
      </c>
      <c r="AI1661" s="18" t="n">
        <f aca="false">IF($K1661="SEM CULTURA",0,$W1661*$H1661)</f>
        <v>0</v>
      </c>
      <c r="AJ1661" s="18" t="n">
        <f aca="false">IF($K1661="SEM CULTURA",0,$S1661*$H1661)</f>
        <v>0</v>
      </c>
      <c r="AK1661" s="8" t="str">
        <f aca="false">$E1661&amp;"|"&amp;TEXT($AD1661,"0.000000")</f>
        <v>PV 122|0.000000</v>
      </c>
    </row>
    <row r="1662" customFormat="false" ht="15" hidden="false" customHeight="false" outlineLevel="0" collapsed="false">
      <c r="B1662" s="16" t="n">
        <v>7</v>
      </c>
      <c r="C1662" s="17" t="n">
        <f aca="false">DATA_INICIO_SAFRA+($B1662-1)*DIAS_POR_SEMANA</f>
        <v>46307</v>
      </c>
      <c r="D1662" s="17" t="n">
        <f aca="false">$C1662+DIAS_POR_SEMANA-1</f>
        <v>46313</v>
      </c>
      <c r="E1662" s="15" t="s">
        <v>284</v>
      </c>
      <c r="F1662" s="8" t="str">
        <f aca="false">IFERROR(INDEX(CADASTRO_PIVOS!$C$6:$C$41,MATCH($E1662,CADASTRO_PIVOS!$B$6:$B$41,0)),"?")</f>
        <v>RM07</v>
      </c>
      <c r="G1662" s="8" t="str">
        <f aca="false">IFERROR(INDEX(CADASTRO_PIVOS!$D$6:$D$41,MATCH($E1662,CADASTRO_PIVOS!$B$6:$B$41,0)),"?")</f>
        <v>TR07</v>
      </c>
      <c r="H1662" s="20" t="n">
        <f aca="false">IFERROR(INDEX(CADASTRO_PIVOS!$E$6:$E$41,MATCH($E1662,CADASTRO_PIVOS!$B$6:$B$41,0)),0)</f>
        <v>149.98</v>
      </c>
      <c r="I1662" s="16" t="n">
        <f aca="false">IFERROR(SUMIFS(ROTACAO_RDM!$B$6:$B$71,ROTACAO_RDM!$D$6:$D$71,$E1662,ROTACAO_RDM!$I$6:$I$71,"&lt;="&amp;$C1662+INT(DIAS_POR_SEMANA/2),ROTACAO_RDM!$J$6:$J$71,"&gt;="&amp;$C1662+INT(DIAS_POR_SEMANA/2)),0)</f>
        <v>39</v>
      </c>
      <c r="J1662" s="16" t="n">
        <f aca="false">IFERROR(MATCH($I1662,ROTACAO_RDM!$B$6:$B$71,0),0)</f>
        <v>39</v>
      </c>
      <c r="K1662" s="8" t="str">
        <f aca="false">IF($J1662=0,"SEM CULTURA",INDEX(ROTACAO_RDM!$F$6:$F$71,$J1662))</f>
        <v>SOJA</v>
      </c>
      <c r="L1662" s="8" t="str">
        <f aca="false">IF($J1662=0,"",INDEX(ROTACAO_RDM!$G$6:$G$71,$J1662))</f>
        <v>NEO 761 I2X</v>
      </c>
      <c r="M1662" s="17" t="n">
        <f aca="false">IF($J1662=0,"",INDEX(ROTACAO_RDM!$I$6:$I$71,$J1662))</f>
        <v>46310</v>
      </c>
      <c r="N1662" s="16" t="n">
        <f aca="false">IF($J1662=0,0,MAX(0,$C1662+INT(DIAS_POR_SEMANA/2)-INDEX(ROTACAO_RDM!$I$6:$I$71,$J1662)))</f>
        <v>0</v>
      </c>
      <c r="O1662" s="19" t="n">
        <f aca="false">IF($J1662=0,0,MIN(1,$N1662/MAX(1,INDEX(ROTACAO_RDM!$K$6:$K$71,$J1662))))</f>
        <v>0</v>
      </c>
      <c r="P1662" s="16" t="n">
        <f aca="false">IF($J1662=0,0,IFERROR(MATCH(INDEX(ROTACAO_RDM!$N$6:$N$71,$J1662),PARAMETROS_CULTURAS!$B$6:$B$28,0),0))</f>
        <v>2</v>
      </c>
      <c r="Q1662" s="8" t="str">
        <f aca="false">IF($P1662=0,"-",IF($O1662&lt;=INDEX(PARAMETROS_CULTURAS!$F$6:$F$28,$P1662),"INICIAL",IF($O1662&lt;=INDEX(PARAMETROS_CULTURAS!$F$6:$F$28,$P1662)+INDEX(PARAMETROS_CULTURAS!$G$6:$G$28,$P1662),"DESENVOLVIMENTO",IF($O1662&lt;=INDEX(PARAMETROS_CULTURAS!$F$6:$F$28,$P1662)+INDEX(PARAMETROS_CULTURAS!$G$6:$G$28,$P1662)+INDEX(PARAMETROS_CULTURAS!$H$6:$H$28,$P1662),"MEDIA","FINAL"))))</f>
        <v>INICIAL</v>
      </c>
      <c r="R1662" s="24" t="n">
        <f aca="false">IF($P1662=0,0,IF($O1662&lt;=INDEX(PARAMETROS_CULTURAS!$F$6:$F$28,$P1662),INDEX(PARAMETROS_CULTURAS!$K$6:$K$28,$P1662),IF($O1662&lt;=INDEX(PARAMETROS_CULTURAS!$F$6:$F$28,$P1662)+INDEX(PARAMETROS_CULTURAS!$G$6:$G$28,$P1662),INDEX(PARAMETROS_CULTURAS!$K$6:$K$28,$P1662)+(INDEX(PARAMETROS_CULTURAS!$L$6:$L$28,$P1662)-INDEX(PARAMETROS_CULTURAS!$K$6:$K$28,$P1662))*($O1662-INDEX(PARAMETROS_CULTURAS!$F$6:$F$28,$P1662))/MAX(INDEX(PARAMETROS_CULTURAS!$G$6:$G$28,$P1662),0.0001),IF($O1662&lt;=INDEX(PARAMETROS_CULTURAS!$F$6:$F$28,$P1662)+INDEX(PARAMETROS_CULTURAS!$G$6:$G$28,$P1662)+INDEX(PARAMETROS_CULTURAS!$H$6:$H$28,$P1662),INDEX(PARAMETROS_CULTURAS!$L$6:$L$28,$P1662),INDEX(PARAMETROS_CULTURAS!$L$6:$L$28,$P1662)+(INDEX(PARAMETROS_CULTURAS!$M$6:$M$28,$P1662)-INDEX(PARAMETROS_CULTURAS!$L$6:$L$28,$P1662))*($O1662-INDEX(PARAMETROS_CULTURAS!$F$6:$F$28,$P1662)-INDEX(PARAMETROS_CULTURAS!$G$6:$G$28,$P1662)-INDEX(PARAMETROS_CULTURAS!$H$6:$H$28,$P1662))/MAX(INDEX(PARAMETROS_CULTURAS!$I$6:$I$28,$P1662),0.0001)))))</f>
        <v>0.4</v>
      </c>
      <c r="S1662" s="18" t="n">
        <f aca="false">IFERROR(INDEX(SEMANAS!$H$6:$H$71,MATCH($B1662,SEMANAS!$B$6:$B$71,0)),0)</f>
        <v>39.2</v>
      </c>
      <c r="T1662" s="18" t="n">
        <f aca="false">$R1662*$S1662</f>
        <v>15.68</v>
      </c>
      <c r="U1662" s="18" t="n">
        <f aca="false">IFERROR(INDEX(SEMANAS!$I$6:$I$71,MATCH($B1662,SEMANAS!$B$6:$B$71,0)),0)</f>
        <v>27.09</v>
      </c>
      <c r="V1662" s="18" t="n">
        <f aca="false">IFERROR(INDEX(SEMANAS!$J$6:$J$71,MATCH($B1662,SEMANAS!$B$6:$B$71,0)),0)</f>
        <v>21.672</v>
      </c>
      <c r="W1662" s="18" t="n">
        <f aca="false">MAX(0,$T1662-$V1662)</f>
        <v>0</v>
      </c>
      <c r="X1662" s="19" t="n">
        <f aca="false">IFERROR(INDEX(CADASTRO_PIVOS!$K$6:$K$41,MATCH($E1662,CADASTRO_PIVOS!$B$6:$B$41,0)),EFICIENCIA_PADRAO)</f>
        <v>0.85</v>
      </c>
      <c r="Y1662" s="18" t="n">
        <f aca="false">IF($X1662&lt;=0,0,$W1662/$X1662)</f>
        <v>0</v>
      </c>
      <c r="Z1662" s="16" t="n">
        <f aca="false">$Y1662*$H1662*MM_PARA_M3_HA</f>
        <v>0</v>
      </c>
      <c r="AA1662" s="18" t="n">
        <f aca="false">IFERROR(INDEX(CADASTRO_PIVOS!$I$6:$I$41,MATCH($E1662,CADASTRO_PIVOS!$B$6:$B$41,0)),0)</f>
        <v>1071.28571428571</v>
      </c>
      <c r="AB1662" s="18" t="n">
        <f aca="false">IF($Z1662&lt;=0,0,$Z1662/$AA1662)</f>
        <v>0</v>
      </c>
      <c r="AC1662" s="16" t="n">
        <f aca="false">IFERROR(INDEX(SEMANAS!$K$6:$K$71,MATCH($B1662,SEMANAS!$B$6:$B$71,0)),0)</f>
        <v>147</v>
      </c>
      <c r="AD1662" s="19" t="n">
        <f aca="false">IF($AC1662&lt;=0,0,$AB1662/$AC1662)</f>
        <v>0</v>
      </c>
      <c r="AE1662" s="8" t="str">
        <f aca="false">IF($K1662="SEM CULTURA","SEM CULTURA",IF($AA1662&lt;=0,"DADO PENDENTE",IF($AD1662&gt;LIMITE_CRITICO,"INVIAVEL",IF($AD1662&gt;LIMITE_ATENCAO,"CRITICO",IF($AD1662&gt;LIMITE_CONFORTAVEL,"ATENCAO","OK")))))</f>
        <v>OK</v>
      </c>
      <c r="AF1662" s="8" t="str">
        <f aca="false">$B1662&amp;"|"&amp;TEXT($AD1662,"0.000000")</f>
        <v>7|0.000000</v>
      </c>
      <c r="AG1662" s="18" t="n">
        <f aca="false">IF($K1662="SEM CULTURA",0,$T1662*$H1662)</f>
        <v>2351.6864</v>
      </c>
      <c r="AH1662" s="18" t="n">
        <f aca="false">IF($K1662="SEM CULTURA",0,$V1662*$H1662)</f>
        <v>3250.36656</v>
      </c>
      <c r="AI1662" s="18" t="n">
        <f aca="false">IF($K1662="SEM CULTURA",0,$W1662*$H1662)</f>
        <v>0</v>
      </c>
      <c r="AJ1662" s="18" t="n">
        <f aca="false">IF($K1662="SEM CULTURA",0,$S1662*$H1662)</f>
        <v>5879.216</v>
      </c>
      <c r="AK1662" s="8" t="str">
        <f aca="false">$E1662&amp;"|"&amp;TEXT($AD1662,"0.000000")</f>
        <v>PV 122|0.000000</v>
      </c>
    </row>
    <row r="1663" customFormat="false" ht="15" hidden="false" customHeight="false" outlineLevel="0" collapsed="false">
      <c r="B1663" s="16" t="n">
        <v>8</v>
      </c>
      <c r="C1663" s="17" t="n">
        <f aca="false">DATA_INICIO_SAFRA+($B1663-1)*DIAS_POR_SEMANA</f>
        <v>46314</v>
      </c>
      <c r="D1663" s="17" t="n">
        <f aca="false">$C1663+DIAS_POR_SEMANA-1</f>
        <v>46320</v>
      </c>
      <c r="E1663" s="15" t="s">
        <v>284</v>
      </c>
      <c r="F1663" s="8" t="str">
        <f aca="false">IFERROR(INDEX(CADASTRO_PIVOS!$C$6:$C$41,MATCH($E1663,CADASTRO_PIVOS!$B$6:$B$41,0)),"?")</f>
        <v>RM07</v>
      </c>
      <c r="G1663" s="8" t="str">
        <f aca="false">IFERROR(INDEX(CADASTRO_PIVOS!$D$6:$D$41,MATCH($E1663,CADASTRO_PIVOS!$B$6:$B$41,0)),"?")</f>
        <v>TR07</v>
      </c>
      <c r="H1663" s="20" t="n">
        <f aca="false">IFERROR(INDEX(CADASTRO_PIVOS!$E$6:$E$41,MATCH($E1663,CADASTRO_PIVOS!$B$6:$B$41,0)),0)</f>
        <v>149.98</v>
      </c>
      <c r="I1663" s="16" t="n">
        <f aca="false">IFERROR(SUMIFS(ROTACAO_RDM!$B$6:$B$71,ROTACAO_RDM!$D$6:$D$71,$E1663,ROTACAO_RDM!$I$6:$I$71,"&lt;="&amp;$C1663+INT(DIAS_POR_SEMANA/2),ROTACAO_RDM!$J$6:$J$71,"&gt;="&amp;$C1663+INT(DIAS_POR_SEMANA/2)),0)</f>
        <v>39</v>
      </c>
      <c r="J1663" s="16" t="n">
        <f aca="false">IFERROR(MATCH($I1663,ROTACAO_RDM!$B$6:$B$71,0),0)</f>
        <v>39</v>
      </c>
      <c r="K1663" s="8" t="str">
        <f aca="false">IF($J1663=0,"SEM CULTURA",INDEX(ROTACAO_RDM!$F$6:$F$71,$J1663))</f>
        <v>SOJA</v>
      </c>
      <c r="L1663" s="8" t="str">
        <f aca="false">IF($J1663=0,"",INDEX(ROTACAO_RDM!$G$6:$G$71,$J1663))</f>
        <v>NEO 761 I2X</v>
      </c>
      <c r="M1663" s="17" t="n">
        <f aca="false">IF($J1663=0,"",INDEX(ROTACAO_RDM!$I$6:$I$71,$J1663))</f>
        <v>46310</v>
      </c>
      <c r="N1663" s="16" t="n">
        <f aca="false">IF($J1663=0,0,MAX(0,$C1663+INT(DIAS_POR_SEMANA/2)-INDEX(ROTACAO_RDM!$I$6:$I$71,$J1663)))</f>
        <v>7</v>
      </c>
      <c r="O1663" s="19" t="n">
        <f aca="false">IF($J1663=0,0,MIN(1,$N1663/MAX(1,INDEX(ROTACAO_RDM!$K$6:$K$71,$J1663))))</f>
        <v>0.0603448275862069</v>
      </c>
      <c r="P1663" s="16" t="n">
        <f aca="false">IF($J1663=0,0,IFERROR(MATCH(INDEX(ROTACAO_RDM!$N$6:$N$71,$J1663),PARAMETROS_CULTURAS!$B$6:$B$28,0),0))</f>
        <v>2</v>
      </c>
      <c r="Q1663" s="8" t="str">
        <f aca="false">IF($P1663=0,"-",IF($O1663&lt;=INDEX(PARAMETROS_CULTURAS!$F$6:$F$28,$P1663),"INICIAL",IF($O1663&lt;=INDEX(PARAMETROS_CULTURAS!$F$6:$F$28,$P1663)+INDEX(PARAMETROS_CULTURAS!$G$6:$G$28,$P1663),"DESENVOLVIMENTO",IF($O1663&lt;=INDEX(PARAMETROS_CULTURAS!$F$6:$F$28,$P1663)+INDEX(PARAMETROS_CULTURAS!$G$6:$G$28,$P1663)+INDEX(PARAMETROS_CULTURAS!$H$6:$H$28,$P1663),"MEDIA","FINAL"))))</f>
        <v>INICIAL</v>
      </c>
      <c r="R1663" s="24" t="n">
        <f aca="false">IF($P1663=0,0,IF($O1663&lt;=INDEX(PARAMETROS_CULTURAS!$F$6:$F$28,$P1663),INDEX(PARAMETROS_CULTURAS!$K$6:$K$28,$P1663),IF($O1663&lt;=INDEX(PARAMETROS_CULTURAS!$F$6:$F$28,$P1663)+INDEX(PARAMETROS_CULTURAS!$G$6:$G$28,$P1663),INDEX(PARAMETROS_CULTURAS!$K$6:$K$28,$P1663)+(INDEX(PARAMETROS_CULTURAS!$L$6:$L$28,$P1663)-INDEX(PARAMETROS_CULTURAS!$K$6:$K$28,$P1663))*($O1663-INDEX(PARAMETROS_CULTURAS!$F$6:$F$28,$P1663))/MAX(INDEX(PARAMETROS_CULTURAS!$G$6:$G$28,$P1663),0.0001),IF($O1663&lt;=INDEX(PARAMETROS_CULTURAS!$F$6:$F$28,$P1663)+INDEX(PARAMETROS_CULTURAS!$G$6:$G$28,$P1663)+INDEX(PARAMETROS_CULTURAS!$H$6:$H$28,$P1663),INDEX(PARAMETROS_CULTURAS!$L$6:$L$28,$P1663),INDEX(PARAMETROS_CULTURAS!$L$6:$L$28,$P1663)+(INDEX(PARAMETROS_CULTURAS!$M$6:$M$28,$P1663)-INDEX(PARAMETROS_CULTURAS!$L$6:$L$28,$P1663))*($O1663-INDEX(PARAMETROS_CULTURAS!$F$6:$F$28,$P1663)-INDEX(PARAMETROS_CULTURAS!$G$6:$G$28,$P1663)-INDEX(PARAMETROS_CULTURAS!$H$6:$H$28,$P1663))/MAX(INDEX(PARAMETROS_CULTURAS!$I$6:$I$28,$P1663),0.0001)))))</f>
        <v>0.4</v>
      </c>
      <c r="S1663" s="18" t="n">
        <f aca="false">IFERROR(INDEX(SEMANAS!$H$6:$H$71,MATCH($B1663,SEMANAS!$B$6:$B$71,0)),0)</f>
        <v>39.2</v>
      </c>
      <c r="T1663" s="18" t="n">
        <f aca="false">$R1663*$S1663</f>
        <v>15.68</v>
      </c>
      <c r="U1663" s="18" t="n">
        <f aca="false">IFERROR(INDEX(SEMANAS!$I$6:$I$71,MATCH($B1663,SEMANAS!$B$6:$B$71,0)),0)</f>
        <v>27.09</v>
      </c>
      <c r="V1663" s="18" t="n">
        <f aca="false">IFERROR(INDEX(SEMANAS!$J$6:$J$71,MATCH($B1663,SEMANAS!$B$6:$B$71,0)),0)</f>
        <v>21.672</v>
      </c>
      <c r="W1663" s="18" t="n">
        <f aca="false">MAX(0,$T1663-$V1663)</f>
        <v>0</v>
      </c>
      <c r="X1663" s="19" t="n">
        <f aca="false">IFERROR(INDEX(CADASTRO_PIVOS!$K$6:$K$41,MATCH($E1663,CADASTRO_PIVOS!$B$6:$B$41,0)),EFICIENCIA_PADRAO)</f>
        <v>0.85</v>
      </c>
      <c r="Y1663" s="18" t="n">
        <f aca="false">IF($X1663&lt;=0,0,$W1663/$X1663)</f>
        <v>0</v>
      </c>
      <c r="Z1663" s="16" t="n">
        <f aca="false">$Y1663*$H1663*MM_PARA_M3_HA</f>
        <v>0</v>
      </c>
      <c r="AA1663" s="18" t="n">
        <f aca="false">IFERROR(INDEX(CADASTRO_PIVOS!$I$6:$I$41,MATCH($E1663,CADASTRO_PIVOS!$B$6:$B$41,0)),0)</f>
        <v>1071.28571428571</v>
      </c>
      <c r="AB1663" s="18" t="n">
        <f aca="false">IF($Z1663&lt;=0,0,$Z1663/$AA1663)</f>
        <v>0</v>
      </c>
      <c r="AC1663" s="16" t="n">
        <f aca="false">IFERROR(INDEX(SEMANAS!$K$6:$K$71,MATCH($B1663,SEMANAS!$B$6:$B$71,0)),0)</f>
        <v>147</v>
      </c>
      <c r="AD1663" s="19" t="n">
        <f aca="false">IF($AC1663&lt;=0,0,$AB1663/$AC1663)</f>
        <v>0</v>
      </c>
      <c r="AE1663" s="8" t="str">
        <f aca="false">IF($K1663="SEM CULTURA","SEM CULTURA",IF($AA1663&lt;=0,"DADO PENDENTE",IF($AD1663&gt;LIMITE_CRITICO,"INVIAVEL",IF($AD1663&gt;LIMITE_ATENCAO,"CRITICO",IF($AD1663&gt;LIMITE_CONFORTAVEL,"ATENCAO","OK")))))</f>
        <v>OK</v>
      </c>
      <c r="AF1663" s="8" t="str">
        <f aca="false">$B1663&amp;"|"&amp;TEXT($AD1663,"0.000000")</f>
        <v>8|0.000000</v>
      </c>
      <c r="AG1663" s="18" t="n">
        <f aca="false">IF($K1663="SEM CULTURA",0,$T1663*$H1663)</f>
        <v>2351.6864</v>
      </c>
      <c r="AH1663" s="18" t="n">
        <f aca="false">IF($K1663="SEM CULTURA",0,$V1663*$H1663)</f>
        <v>3250.36656</v>
      </c>
      <c r="AI1663" s="18" t="n">
        <f aca="false">IF($K1663="SEM CULTURA",0,$W1663*$H1663)</f>
        <v>0</v>
      </c>
      <c r="AJ1663" s="18" t="n">
        <f aca="false">IF($K1663="SEM CULTURA",0,$S1663*$H1663)</f>
        <v>5879.216</v>
      </c>
      <c r="AK1663" s="8" t="str">
        <f aca="false">$E1663&amp;"|"&amp;TEXT($AD1663,"0.000000")</f>
        <v>PV 122|0.000000</v>
      </c>
    </row>
    <row r="1664" customFormat="false" ht="15" hidden="false" customHeight="false" outlineLevel="0" collapsed="false">
      <c r="B1664" s="16" t="n">
        <v>9</v>
      </c>
      <c r="C1664" s="17" t="n">
        <f aca="false">DATA_INICIO_SAFRA+($B1664-1)*DIAS_POR_SEMANA</f>
        <v>46321</v>
      </c>
      <c r="D1664" s="17" t="n">
        <f aca="false">$C1664+DIAS_POR_SEMANA-1</f>
        <v>46327</v>
      </c>
      <c r="E1664" s="15" t="s">
        <v>284</v>
      </c>
      <c r="F1664" s="8" t="str">
        <f aca="false">IFERROR(INDEX(CADASTRO_PIVOS!$C$6:$C$41,MATCH($E1664,CADASTRO_PIVOS!$B$6:$B$41,0)),"?")</f>
        <v>RM07</v>
      </c>
      <c r="G1664" s="8" t="str">
        <f aca="false">IFERROR(INDEX(CADASTRO_PIVOS!$D$6:$D$41,MATCH($E1664,CADASTRO_PIVOS!$B$6:$B$41,0)),"?")</f>
        <v>TR07</v>
      </c>
      <c r="H1664" s="20" t="n">
        <f aca="false">IFERROR(INDEX(CADASTRO_PIVOS!$E$6:$E$41,MATCH($E1664,CADASTRO_PIVOS!$B$6:$B$41,0)),0)</f>
        <v>149.98</v>
      </c>
      <c r="I1664" s="16" t="n">
        <f aca="false">IFERROR(SUMIFS(ROTACAO_RDM!$B$6:$B$71,ROTACAO_RDM!$D$6:$D$71,$E1664,ROTACAO_RDM!$I$6:$I$71,"&lt;="&amp;$C1664+INT(DIAS_POR_SEMANA/2),ROTACAO_RDM!$J$6:$J$71,"&gt;="&amp;$C1664+INT(DIAS_POR_SEMANA/2)),0)</f>
        <v>39</v>
      </c>
      <c r="J1664" s="16" t="n">
        <f aca="false">IFERROR(MATCH($I1664,ROTACAO_RDM!$B$6:$B$71,0),0)</f>
        <v>39</v>
      </c>
      <c r="K1664" s="8" t="str">
        <f aca="false">IF($J1664=0,"SEM CULTURA",INDEX(ROTACAO_RDM!$F$6:$F$71,$J1664))</f>
        <v>SOJA</v>
      </c>
      <c r="L1664" s="8" t="str">
        <f aca="false">IF($J1664=0,"",INDEX(ROTACAO_RDM!$G$6:$G$71,$J1664))</f>
        <v>NEO 761 I2X</v>
      </c>
      <c r="M1664" s="17" t="n">
        <f aca="false">IF($J1664=0,"",INDEX(ROTACAO_RDM!$I$6:$I$71,$J1664))</f>
        <v>46310</v>
      </c>
      <c r="N1664" s="16" t="n">
        <f aca="false">IF($J1664=0,0,MAX(0,$C1664+INT(DIAS_POR_SEMANA/2)-INDEX(ROTACAO_RDM!$I$6:$I$71,$J1664)))</f>
        <v>14</v>
      </c>
      <c r="O1664" s="19" t="n">
        <f aca="false">IF($J1664=0,0,MIN(1,$N1664/MAX(1,INDEX(ROTACAO_RDM!$K$6:$K$71,$J1664))))</f>
        <v>0.120689655172414</v>
      </c>
      <c r="P1664" s="16" t="n">
        <f aca="false">IF($J1664=0,0,IFERROR(MATCH(INDEX(ROTACAO_RDM!$N$6:$N$71,$J1664),PARAMETROS_CULTURAS!$B$6:$B$28,0),0))</f>
        <v>2</v>
      </c>
      <c r="Q1664" s="8" t="str">
        <f aca="false">IF($P1664=0,"-",IF($O1664&lt;=INDEX(PARAMETROS_CULTURAS!$F$6:$F$28,$P1664),"INICIAL",IF($O1664&lt;=INDEX(PARAMETROS_CULTURAS!$F$6:$F$28,$P1664)+INDEX(PARAMETROS_CULTURAS!$G$6:$G$28,$P1664),"DESENVOLVIMENTO",IF($O1664&lt;=INDEX(PARAMETROS_CULTURAS!$F$6:$F$28,$P1664)+INDEX(PARAMETROS_CULTURAS!$G$6:$G$28,$P1664)+INDEX(PARAMETROS_CULTURAS!$H$6:$H$28,$P1664),"MEDIA","FINAL"))))</f>
        <v>INICIAL</v>
      </c>
      <c r="R1664" s="24" t="n">
        <f aca="false">IF($P1664=0,0,IF($O1664&lt;=INDEX(PARAMETROS_CULTURAS!$F$6:$F$28,$P1664),INDEX(PARAMETROS_CULTURAS!$K$6:$K$28,$P1664),IF($O1664&lt;=INDEX(PARAMETROS_CULTURAS!$F$6:$F$28,$P1664)+INDEX(PARAMETROS_CULTURAS!$G$6:$G$28,$P1664),INDEX(PARAMETROS_CULTURAS!$K$6:$K$28,$P1664)+(INDEX(PARAMETROS_CULTURAS!$L$6:$L$28,$P1664)-INDEX(PARAMETROS_CULTURAS!$K$6:$K$28,$P1664))*($O1664-INDEX(PARAMETROS_CULTURAS!$F$6:$F$28,$P1664))/MAX(INDEX(PARAMETROS_CULTURAS!$G$6:$G$28,$P1664),0.0001),IF($O1664&lt;=INDEX(PARAMETROS_CULTURAS!$F$6:$F$28,$P1664)+INDEX(PARAMETROS_CULTURAS!$G$6:$G$28,$P1664)+INDEX(PARAMETROS_CULTURAS!$H$6:$H$28,$P1664),INDEX(PARAMETROS_CULTURAS!$L$6:$L$28,$P1664),INDEX(PARAMETROS_CULTURAS!$L$6:$L$28,$P1664)+(INDEX(PARAMETROS_CULTURAS!$M$6:$M$28,$P1664)-INDEX(PARAMETROS_CULTURAS!$L$6:$L$28,$P1664))*($O1664-INDEX(PARAMETROS_CULTURAS!$F$6:$F$28,$P1664)-INDEX(PARAMETROS_CULTURAS!$G$6:$G$28,$P1664)-INDEX(PARAMETROS_CULTURAS!$H$6:$H$28,$P1664))/MAX(INDEX(PARAMETROS_CULTURAS!$I$6:$I$28,$P1664),0.0001)))))</f>
        <v>0.4</v>
      </c>
      <c r="S1664" s="18" t="n">
        <f aca="false">IFERROR(INDEX(SEMANAS!$H$6:$H$71,MATCH($B1664,SEMANAS!$B$6:$B$71,0)),0)</f>
        <v>38.5</v>
      </c>
      <c r="T1664" s="18" t="n">
        <f aca="false">$R1664*$S1664</f>
        <v>15.4</v>
      </c>
      <c r="U1664" s="18" t="n">
        <f aca="false">IFERROR(INDEX(SEMANAS!$I$6:$I$71,MATCH($B1664,SEMANAS!$B$6:$B$71,0)),0)</f>
        <v>29.89</v>
      </c>
      <c r="V1664" s="18" t="n">
        <f aca="false">IFERROR(INDEX(SEMANAS!$J$6:$J$71,MATCH($B1664,SEMANAS!$B$6:$B$71,0)),0)</f>
        <v>23.912</v>
      </c>
      <c r="W1664" s="18" t="n">
        <f aca="false">MAX(0,$T1664-$V1664)</f>
        <v>0</v>
      </c>
      <c r="X1664" s="19" t="n">
        <f aca="false">IFERROR(INDEX(CADASTRO_PIVOS!$K$6:$K$41,MATCH($E1664,CADASTRO_PIVOS!$B$6:$B$41,0)),EFICIENCIA_PADRAO)</f>
        <v>0.85</v>
      </c>
      <c r="Y1664" s="18" t="n">
        <f aca="false">IF($X1664&lt;=0,0,$W1664/$X1664)</f>
        <v>0</v>
      </c>
      <c r="Z1664" s="16" t="n">
        <f aca="false">$Y1664*$H1664*MM_PARA_M3_HA</f>
        <v>0</v>
      </c>
      <c r="AA1664" s="18" t="n">
        <f aca="false">IFERROR(INDEX(CADASTRO_PIVOS!$I$6:$I$41,MATCH($E1664,CADASTRO_PIVOS!$B$6:$B$41,0)),0)</f>
        <v>1071.28571428571</v>
      </c>
      <c r="AB1664" s="18" t="n">
        <f aca="false">IF($Z1664&lt;=0,0,$Z1664/$AA1664)</f>
        <v>0</v>
      </c>
      <c r="AC1664" s="16" t="n">
        <f aca="false">IFERROR(INDEX(SEMANAS!$K$6:$K$71,MATCH($B1664,SEMANAS!$B$6:$B$71,0)),0)</f>
        <v>147</v>
      </c>
      <c r="AD1664" s="19" t="n">
        <f aca="false">IF($AC1664&lt;=0,0,$AB1664/$AC1664)</f>
        <v>0</v>
      </c>
      <c r="AE1664" s="8" t="str">
        <f aca="false">IF($K1664="SEM CULTURA","SEM CULTURA",IF($AA1664&lt;=0,"DADO PENDENTE",IF($AD1664&gt;LIMITE_CRITICO,"INVIAVEL",IF($AD1664&gt;LIMITE_ATENCAO,"CRITICO",IF($AD1664&gt;LIMITE_CONFORTAVEL,"ATENCAO","OK")))))</f>
        <v>OK</v>
      </c>
      <c r="AF1664" s="8" t="str">
        <f aca="false">$B1664&amp;"|"&amp;TEXT($AD1664,"0.000000")</f>
        <v>9|0.000000</v>
      </c>
      <c r="AG1664" s="18" t="n">
        <f aca="false">IF($K1664="SEM CULTURA",0,$T1664*$H1664)</f>
        <v>2309.692</v>
      </c>
      <c r="AH1664" s="18" t="n">
        <f aca="false">IF($K1664="SEM CULTURA",0,$V1664*$H1664)</f>
        <v>3586.32176</v>
      </c>
      <c r="AI1664" s="18" t="n">
        <f aca="false">IF($K1664="SEM CULTURA",0,$W1664*$H1664)</f>
        <v>0</v>
      </c>
      <c r="AJ1664" s="18" t="n">
        <f aca="false">IF($K1664="SEM CULTURA",0,$S1664*$H1664)</f>
        <v>5774.23</v>
      </c>
      <c r="AK1664" s="8" t="str">
        <f aca="false">$E1664&amp;"|"&amp;TEXT($AD1664,"0.000000")</f>
        <v>PV 122|0.000000</v>
      </c>
    </row>
    <row r="1665" customFormat="false" ht="15" hidden="false" customHeight="false" outlineLevel="0" collapsed="false">
      <c r="B1665" s="16" t="n">
        <v>10</v>
      </c>
      <c r="C1665" s="17" t="n">
        <f aca="false">DATA_INICIO_SAFRA+($B1665-1)*DIAS_POR_SEMANA</f>
        <v>46328</v>
      </c>
      <c r="D1665" s="17" t="n">
        <f aca="false">$C1665+DIAS_POR_SEMANA-1</f>
        <v>46334</v>
      </c>
      <c r="E1665" s="15" t="s">
        <v>284</v>
      </c>
      <c r="F1665" s="8" t="str">
        <f aca="false">IFERROR(INDEX(CADASTRO_PIVOS!$C$6:$C$41,MATCH($E1665,CADASTRO_PIVOS!$B$6:$B$41,0)),"?")</f>
        <v>RM07</v>
      </c>
      <c r="G1665" s="8" t="str">
        <f aca="false">IFERROR(INDEX(CADASTRO_PIVOS!$D$6:$D$41,MATCH($E1665,CADASTRO_PIVOS!$B$6:$B$41,0)),"?")</f>
        <v>TR07</v>
      </c>
      <c r="H1665" s="20" t="n">
        <f aca="false">IFERROR(INDEX(CADASTRO_PIVOS!$E$6:$E$41,MATCH($E1665,CADASTRO_PIVOS!$B$6:$B$41,0)),0)</f>
        <v>149.98</v>
      </c>
      <c r="I1665" s="16" t="n">
        <f aca="false">IFERROR(SUMIFS(ROTACAO_RDM!$B$6:$B$71,ROTACAO_RDM!$D$6:$D$71,$E1665,ROTACAO_RDM!$I$6:$I$71,"&lt;="&amp;$C1665+INT(DIAS_POR_SEMANA/2),ROTACAO_RDM!$J$6:$J$71,"&gt;="&amp;$C1665+INT(DIAS_POR_SEMANA/2)),0)</f>
        <v>39</v>
      </c>
      <c r="J1665" s="16" t="n">
        <f aca="false">IFERROR(MATCH($I1665,ROTACAO_RDM!$B$6:$B$71,0),0)</f>
        <v>39</v>
      </c>
      <c r="K1665" s="8" t="str">
        <f aca="false">IF($J1665=0,"SEM CULTURA",INDEX(ROTACAO_RDM!$F$6:$F$71,$J1665))</f>
        <v>SOJA</v>
      </c>
      <c r="L1665" s="8" t="str">
        <f aca="false">IF($J1665=0,"",INDEX(ROTACAO_RDM!$G$6:$G$71,$J1665))</f>
        <v>NEO 761 I2X</v>
      </c>
      <c r="M1665" s="17" t="n">
        <f aca="false">IF($J1665=0,"",INDEX(ROTACAO_RDM!$I$6:$I$71,$J1665))</f>
        <v>46310</v>
      </c>
      <c r="N1665" s="16" t="n">
        <f aca="false">IF($J1665=0,0,MAX(0,$C1665+INT(DIAS_POR_SEMANA/2)-INDEX(ROTACAO_RDM!$I$6:$I$71,$J1665)))</f>
        <v>21</v>
      </c>
      <c r="O1665" s="19" t="n">
        <f aca="false">IF($J1665=0,0,MIN(1,$N1665/MAX(1,INDEX(ROTACAO_RDM!$K$6:$K$71,$J1665))))</f>
        <v>0.181034482758621</v>
      </c>
      <c r="P1665" s="16" t="n">
        <f aca="false">IF($J1665=0,0,IFERROR(MATCH(INDEX(ROTACAO_RDM!$N$6:$N$71,$J1665),PARAMETROS_CULTURAS!$B$6:$B$28,0),0))</f>
        <v>2</v>
      </c>
      <c r="Q1665" s="8" t="str">
        <f aca="false">IF($P1665=0,"-",IF($O1665&lt;=INDEX(PARAMETROS_CULTURAS!$F$6:$F$28,$P1665),"INICIAL",IF($O1665&lt;=INDEX(PARAMETROS_CULTURAS!$F$6:$F$28,$P1665)+INDEX(PARAMETROS_CULTURAS!$G$6:$G$28,$P1665),"DESENVOLVIMENTO",IF($O1665&lt;=INDEX(PARAMETROS_CULTURAS!$F$6:$F$28,$P1665)+INDEX(PARAMETROS_CULTURAS!$G$6:$G$28,$P1665)+INDEX(PARAMETROS_CULTURAS!$H$6:$H$28,$P1665),"MEDIA","FINAL"))))</f>
        <v>DESENVOLVIMENTO</v>
      </c>
      <c r="R1665" s="24" t="n">
        <f aca="false">IF($P1665=0,0,IF($O1665&lt;=INDEX(PARAMETROS_CULTURAS!$F$6:$F$28,$P1665),INDEX(PARAMETROS_CULTURAS!$K$6:$K$28,$P1665),IF($O1665&lt;=INDEX(PARAMETROS_CULTURAS!$F$6:$F$28,$P1665)+INDEX(PARAMETROS_CULTURAS!$G$6:$G$28,$P1665),INDEX(PARAMETROS_CULTURAS!$K$6:$K$28,$P1665)+(INDEX(PARAMETROS_CULTURAS!$L$6:$L$28,$P1665)-INDEX(PARAMETROS_CULTURAS!$K$6:$K$28,$P1665))*($O1665-INDEX(PARAMETROS_CULTURAS!$F$6:$F$28,$P1665))/MAX(INDEX(PARAMETROS_CULTURAS!$G$6:$G$28,$P1665),0.0001),IF($O1665&lt;=INDEX(PARAMETROS_CULTURAS!$F$6:$F$28,$P1665)+INDEX(PARAMETROS_CULTURAS!$G$6:$G$28,$P1665)+INDEX(PARAMETROS_CULTURAS!$H$6:$H$28,$P1665),INDEX(PARAMETROS_CULTURAS!$L$6:$L$28,$P1665),INDEX(PARAMETROS_CULTURAS!$L$6:$L$28,$P1665)+(INDEX(PARAMETROS_CULTURAS!$M$6:$M$28,$P1665)-INDEX(PARAMETROS_CULTURAS!$L$6:$L$28,$P1665))*($O1665-INDEX(PARAMETROS_CULTURAS!$F$6:$F$28,$P1665)-INDEX(PARAMETROS_CULTURAS!$G$6:$G$28,$P1665)-INDEX(PARAMETROS_CULTURAS!$H$6:$H$28,$P1665))/MAX(INDEX(PARAMETROS_CULTURAS!$I$6:$I$28,$P1665),0.0001)))))</f>
        <v>0.468590704647676</v>
      </c>
      <c r="S1665" s="18" t="n">
        <f aca="false">IFERROR(INDEX(SEMANAS!$H$6:$H$71,MATCH($B1665,SEMANAS!$B$6:$B$71,0)),0)</f>
        <v>34.3</v>
      </c>
      <c r="T1665" s="18" t="n">
        <f aca="false">$R1665*$S1665</f>
        <v>16.0726611694153</v>
      </c>
      <c r="U1665" s="18" t="n">
        <f aca="false">IFERROR(INDEX(SEMANAS!$I$6:$I$71,MATCH($B1665,SEMANAS!$B$6:$B$71,0)),0)</f>
        <v>46.69</v>
      </c>
      <c r="V1665" s="18" t="n">
        <f aca="false">IFERROR(INDEX(SEMANAS!$J$6:$J$71,MATCH($B1665,SEMANAS!$B$6:$B$71,0)),0)</f>
        <v>37.352</v>
      </c>
      <c r="W1665" s="18" t="n">
        <f aca="false">MAX(0,$T1665-$V1665)</f>
        <v>0</v>
      </c>
      <c r="X1665" s="19" t="n">
        <f aca="false">IFERROR(INDEX(CADASTRO_PIVOS!$K$6:$K$41,MATCH($E1665,CADASTRO_PIVOS!$B$6:$B$41,0)),EFICIENCIA_PADRAO)</f>
        <v>0.85</v>
      </c>
      <c r="Y1665" s="18" t="n">
        <f aca="false">IF($X1665&lt;=0,0,$W1665/$X1665)</f>
        <v>0</v>
      </c>
      <c r="Z1665" s="16" t="n">
        <f aca="false">$Y1665*$H1665*MM_PARA_M3_HA</f>
        <v>0</v>
      </c>
      <c r="AA1665" s="18" t="n">
        <f aca="false">IFERROR(INDEX(CADASTRO_PIVOS!$I$6:$I$41,MATCH($E1665,CADASTRO_PIVOS!$B$6:$B$41,0)),0)</f>
        <v>1071.28571428571</v>
      </c>
      <c r="AB1665" s="18" t="n">
        <f aca="false">IF($Z1665&lt;=0,0,$Z1665/$AA1665)</f>
        <v>0</v>
      </c>
      <c r="AC1665" s="16" t="n">
        <f aca="false">IFERROR(INDEX(SEMANAS!$K$6:$K$71,MATCH($B1665,SEMANAS!$B$6:$B$71,0)),0)</f>
        <v>147</v>
      </c>
      <c r="AD1665" s="19" t="n">
        <f aca="false">IF($AC1665&lt;=0,0,$AB1665/$AC1665)</f>
        <v>0</v>
      </c>
      <c r="AE1665" s="8" t="str">
        <f aca="false">IF($K1665="SEM CULTURA","SEM CULTURA",IF($AA1665&lt;=0,"DADO PENDENTE",IF($AD1665&gt;LIMITE_CRITICO,"INVIAVEL",IF($AD1665&gt;LIMITE_ATENCAO,"CRITICO",IF($AD1665&gt;LIMITE_CONFORTAVEL,"ATENCAO","OK")))))</f>
        <v>OK</v>
      </c>
      <c r="AF1665" s="8" t="str">
        <f aca="false">$B1665&amp;"|"&amp;TEXT($AD1665,"0.000000")</f>
        <v>10|0.000000</v>
      </c>
      <c r="AG1665" s="18" t="n">
        <f aca="false">IF($K1665="SEM CULTURA",0,$T1665*$H1665)</f>
        <v>2410.57772218891</v>
      </c>
      <c r="AH1665" s="18" t="n">
        <f aca="false">IF($K1665="SEM CULTURA",0,$V1665*$H1665)</f>
        <v>5602.05296</v>
      </c>
      <c r="AI1665" s="18" t="n">
        <f aca="false">IF($K1665="SEM CULTURA",0,$W1665*$H1665)</f>
        <v>0</v>
      </c>
      <c r="AJ1665" s="18" t="n">
        <f aca="false">IF($K1665="SEM CULTURA",0,$S1665*$H1665)</f>
        <v>5144.314</v>
      </c>
      <c r="AK1665" s="8" t="str">
        <f aca="false">$E1665&amp;"|"&amp;TEXT($AD1665,"0.000000")</f>
        <v>PV 122|0.000000</v>
      </c>
    </row>
    <row r="1666" customFormat="false" ht="15" hidden="false" customHeight="false" outlineLevel="0" collapsed="false">
      <c r="B1666" s="16" t="n">
        <v>11</v>
      </c>
      <c r="C1666" s="17" t="n">
        <f aca="false">DATA_INICIO_SAFRA+($B1666-1)*DIAS_POR_SEMANA</f>
        <v>46335</v>
      </c>
      <c r="D1666" s="17" t="n">
        <f aca="false">$C1666+DIAS_POR_SEMANA-1</f>
        <v>46341</v>
      </c>
      <c r="E1666" s="15" t="s">
        <v>284</v>
      </c>
      <c r="F1666" s="8" t="str">
        <f aca="false">IFERROR(INDEX(CADASTRO_PIVOS!$C$6:$C$41,MATCH($E1666,CADASTRO_PIVOS!$B$6:$B$41,0)),"?")</f>
        <v>RM07</v>
      </c>
      <c r="G1666" s="8" t="str">
        <f aca="false">IFERROR(INDEX(CADASTRO_PIVOS!$D$6:$D$41,MATCH($E1666,CADASTRO_PIVOS!$B$6:$B$41,0)),"?")</f>
        <v>TR07</v>
      </c>
      <c r="H1666" s="20" t="n">
        <f aca="false">IFERROR(INDEX(CADASTRO_PIVOS!$E$6:$E$41,MATCH($E1666,CADASTRO_PIVOS!$B$6:$B$41,0)),0)</f>
        <v>149.98</v>
      </c>
      <c r="I1666" s="16" t="n">
        <f aca="false">IFERROR(SUMIFS(ROTACAO_RDM!$B$6:$B$71,ROTACAO_RDM!$D$6:$D$71,$E1666,ROTACAO_RDM!$I$6:$I$71,"&lt;="&amp;$C1666+INT(DIAS_POR_SEMANA/2),ROTACAO_RDM!$J$6:$J$71,"&gt;="&amp;$C1666+INT(DIAS_POR_SEMANA/2)),0)</f>
        <v>39</v>
      </c>
      <c r="J1666" s="16" t="n">
        <f aca="false">IFERROR(MATCH($I1666,ROTACAO_RDM!$B$6:$B$71,0),0)</f>
        <v>39</v>
      </c>
      <c r="K1666" s="8" t="str">
        <f aca="false">IF($J1666=0,"SEM CULTURA",INDEX(ROTACAO_RDM!$F$6:$F$71,$J1666))</f>
        <v>SOJA</v>
      </c>
      <c r="L1666" s="8" t="str">
        <f aca="false">IF($J1666=0,"",INDEX(ROTACAO_RDM!$G$6:$G$71,$J1666))</f>
        <v>NEO 761 I2X</v>
      </c>
      <c r="M1666" s="17" t="n">
        <f aca="false">IF($J1666=0,"",INDEX(ROTACAO_RDM!$I$6:$I$71,$J1666))</f>
        <v>46310</v>
      </c>
      <c r="N1666" s="16" t="n">
        <f aca="false">IF($J1666=0,0,MAX(0,$C1666+INT(DIAS_POR_SEMANA/2)-INDEX(ROTACAO_RDM!$I$6:$I$71,$J1666)))</f>
        <v>28</v>
      </c>
      <c r="O1666" s="19" t="n">
        <f aca="false">IF($J1666=0,0,MIN(1,$N1666/MAX(1,INDEX(ROTACAO_RDM!$K$6:$K$71,$J1666))))</f>
        <v>0.241379310344828</v>
      </c>
      <c r="P1666" s="16" t="n">
        <f aca="false">IF($J1666=0,0,IFERROR(MATCH(INDEX(ROTACAO_RDM!$N$6:$N$71,$J1666),PARAMETROS_CULTURAS!$B$6:$B$28,0),0))</f>
        <v>2</v>
      </c>
      <c r="Q1666" s="8" t="str">
        <f aca="false">IF($P1666=0,"-",IF($O1666&lt;=INDEX(PARAMETROS_CULTURAS!$F$6:$F$28,$P1666),"INICIAL",IF($O1666&lt;=INDEX(PARAMETROS_CULTURAS!$F$6:$F$28,$P1666)+INDEX(PARAMETROS_CULTURAS!$G$6:$G$28,$P1666),"DESENVOLVIMENTO",IF($O1666&lt;=INDEX(PARAMETROS_CULTURAS!$F$6:$F$28,$P1666)+INDEX(PARAMETROS_CULTURAS!$G$6:$G$28,$P1666)+INDEX(PARAMETROS_CULTURAS!$H$6:$H$28,$P1666),"MEDIA","FINAL"))))</f>
        <v>DESENVOLVIMENTO</v>
      </c>
      <c r="R1666" s="24" t="n">
        <f aca="false">IF($P1666=0,0,IF($O1666&lt;=INDEX(PARAMETROS_CULTURAS!$F$6:$F$28,$P1666),INDEX(PARAMETROS_CULTURAS!$K$6:$K$28,$P1666),IF($O1666&lt;=INDEX(PARAMETROS_CULTURAS!$F$6:$F$28,$P1666)+INDEX(PARAMETROS_CULTURAS!$G$6:$G$28,$P1666),INDEX(PARAMETROS_CULTURAS!$K$6:$K$28,$P1666)+(INDEX(PARAMETROS_CULTURAS!$L$6:$L$28,$P1666)-INDEX(PARAMETROS_CULTURAS!$K$6:$K$28,$P1666))*($O1666-INDEX(PARAMETROS_CULTURAS!$F$6:$F$28,$P1666))/MAX(INDEX(PARAMETROS_CULTURAS!$G$6:$G$28,$P1666),0.0001),IF($O1666&lt;=INDEX(PARAMETROS_CULTURAS!$F$6:$F$28,$P1666)+INDEX(PARAMETROS_CULTURAS!$G$6:$G$28,$P1666)+INDEX(PARAMETROS_CULTURAS!$H$6:$H$28,$P1666),INDEX(PARAMETROS_CULTURAS!$L$6:$L$28,$P1666),INDEX(PARAMETROS_CULTURAS!$L$6:$L$28,$P1666)+(INDEX(PARAMETROS_CULTURAS!$M$6:$M$28,$P1666)-INDEX(PARAMETROS_CULTURAS!$L$6:$L$28,$P1666))*($O1666-INDEX(PARAMETROS_CULTURAS!$F$6:$F$28,$P1666)-INDEX(PARAMETROS_CULTURAS!$G$6:$G$28,$P1666)-INDEX(PARAMETROS_CULTURAS!$H$6:$H$28,$P1666))/MAX(INDEX(PARAMETROS_CULTURAS!$I$6:$I$28,$P1666),0.0001)))))</f>
        <v>0.665367316341829</v>
      </c>
      <c r="S1666" s="18" t="n">
        <f aca="false">IFERROR(INDEX(SEMANAS!$H$6:$H$71,MATCH($B1666,SEMANAS!$B$6:$B$71,0)),0)</f>
        <v>34.3</v>
      </c>
      <c r="T1666" s="18" t="n">
        <f aca="false">$R1666*$S1666</f>
        <v>22.8220989505247</v>
      </c>
      <c r="U1666" s="18" t="n">
        <f aca="false">IFERROR(INDEX(SEMANAS!$I$6:$I$71,MATCH($B1666,SEMANAS!$B$6:$B$71,0)),0)</f>
        <v>46.69</v>
      </c>
      <c r="V1666" s="18" t="n">
        <f aca="false">IFERROR(INDEX(SEMANAS!$J$6:$J$71,MATCH($B1666,SEMANAS!$B$6:$B$71,0)),0)</f>
        <v>37.352</v>
      </c>
      <c r="W1666" s="18" t="n">
        <f aca="false">MAX(0,$T1666-$V1666)</f>
        <v>0</v>
      </c>
      <c r="X1666" s="19" t="n">
        <f aca="false">IFERROR(INDEX(CADASTRO_PIVOS!$K$6:$K$41,MATCH($E1666,CADASTRO_PIVOS!$B$6:$B$41,0)),EFICIENCIA_PADRAO)</f>
        <v>0.85</v>
      </c>
      <c r="Y1666" s="18" t="n">
        <f aca="false">IF($X1666&lt;=0,0,$W1666/$X1666)</f>
        <v>0</v>
      </c>
      <c r="Z1666" s="16" t="n">
        <f aca="false">$Y1666*$H1666*MM_PARA_M3_HA</f>
        <v>0</v>
      </c>
      <c r="AA1666" s="18" t="n">
        <f aca="false">IFERROR(INDEX(CADASTRO_PIVOS!$I$6:$I$41,MATCH($E1666,CADASTRO_PIVOS!$B$6:$B$41,0)),0)</f>
        <v>1071.28571428571</v>
      </c>
      <c r="AB1666" s="18" t="n">
        <f aca="false">IF($Z1666&lt;=0,0,$Z1666/$AA1666)</f>
        <v>0</v>
      </c>
      <c r="AC1666" s="16" t="n">
        <f aca="false">IFERROR(INDEX(SEMANAS!$K$6:$K$71,MATCH($B1666,SEMANAS!$B$6:$B$71,0)),0)</f>
        <v>147</v>
      </c>
      <c r="AD1666" s="19" t="n">
        <f aca="false">IF($AC1666&lt;=0,0,$AB1666/$AC1666)</f>
        <v>0</v>
      </c>
      <c r="AE1666" s="8" t="str">
        <f aca="false">IF($K1666="SEM CULTURA","SEM CULTURA",IF($AA1666&lt;=0,"DADO PENDENTE",IF($AD1666&gt;LIMITE_CRITICO,"INVIAVEL",IF($AD1666&gt;LIMITE_ATENCAO,"CRITICO",IF($AD1666&gt;LIMITE_CONFORTAVEL,"ATENCAO","OK")))))</f>
        <v>OK</v>
      </c>
      <c r="AF1666" s="8" t="str">
        <f aca="false">$B1666&amp;"|"&amp;TEXT($AD1666,"0.000000")</f>
        <v>11|0.000000</v>
      </c>
      <c r="AG1666" s="18" t="n">
        <f aca="false">IF($K1666="SEM CULTURA",0,$T1666*$H1666)</f>
        <v>3422.8584005997</v>
      </c>
      <c r="AH1666" s="18" t="n">
        <f aca="false">IF($K1666="SEM CULTURA",0,$V1666*$H1666)</f>
        <v>5602.05296</v>
      </c>
      <c r="AI1666" s="18" t="n">
        <f aca="false">IF($K1666="SEM CULTURA",0,$W1666*$H1666)</f>
        <v>0</v>
      </c>
      <c r="AJ1666" s="18" t="n">
        <f aca="false">IF($K1666="SEM CULTURA",0,$S1666*$H1666)</f>
        <v>5144.314</v>
      </c>
      <c r="AK1666" s="8" t="str">
        <f aca="false">$E1666&amp;"|"&amp;TEXT($AD1666,"0.000000")</f>
        <v>PV 122|0.000000</v>
      </c>
    </row>
    <row r="1667" customFormat="false" ht="15" hidden="false" customHeight="false" outlineLevel="0" collapsed="false">
      <c r="B1667" s="16" t="n">
        <v>12</v>
      </c>
      <c r="C1667" s="17" t="n">
        <f aca="false">DATA_INICIO_SAFRA+($B1667-1)*DIAS_POR_SEMANA</f>
        <v>46342</v>
      </c>
      <c r="D1667" s="17" t="n">
        <f aca="false">$C1667+DIAS_POR_SEMANA-1</f>
        <v>46348</v>
      </c>
      <c r="E1667" s="15" t="s">
        <v>284</v>
      </c>
      <c r="F1667" s="8" t="str">
        <f aca="false">IFERROR(INDEX(CADASTRO_PIVOS!$C$6:$C$41,MATCH($E1667,CADASTRO_PIVOS!$B$6:$B$41,0)),"?")</f>
        <v>RM07</v>
      </c>
      <c r="G1667" s="8" t="str">
        <f aca="false">IFERROR(INDEX(CADASTRO_PIVOS!$D$6:$D$41,MATCH($E1667,CADASTRO_PIVOS!$B$6:$B$41,0)),"?")</f>
        <v>TR07</v>
      </c>
      <c r="H1667" s="20" t="n">
        <f aca="false">IFERROR(INDEX(CADASTRO_PIVOS!$E$6:$E$41,MATCH($E1667,CADASTRO_PIVOS!$B$6:$B$41,0)),0)</f>
        <v>149.98</v>
      </c>
      <c r="I1667" s="16" t="n">
        <f aca="false">IFERROR(SUMIFS(ROTACAO_RDM!$B$6:$B$71,ROTACAO_RDM!$D$6:$D$71,$E1667,ROTACAO_RDM!$I$6:$I$71,"&lt;="&amp;$C1667+INT(DIAS_POR_SEMANA/2),ROTACAO_RDM!$J$6:$J$71,"&gt;="&amp;$C1667+INT(DIAS_POR_SEMANA/2)),0)</f>
        <v>39</v>
      </c>
      <c r="J1667" s="16" t="n">
        <f aca="false">IFERROR(MATCH($I1667,ROTACAO_RDM!$B$6:$B$71,0),0)</f>
        <v>39</v>
      </c>
      <c r="K1667" s="8" t="str">
        <f aca="false">IF($J1667=0,"SEM CULTURA",INDEX(ROTACAO_RDM!$F$6:$F$71,$J1667))</f>
        <v>SOJA</v>
      </c>
      <c r="L1667" s="8" t="str">
        <f aca="false">IF($J1667=0,"",INDEX(ROTACAO_RDM!$G$6:$G$71,$J1667))</f>
        <v>NEO 761 I2X</v>
      </c>
      <c r="M1667" s="17" t="n">
        <f aca="false">IF($J1667=0,"",INDEX(ROTACAO_RDM!$I$6:$I$71,$J1667))</f>
        <v>46310</v>
      </c>
      <c r="N1667" s="16" t="n">
        <f aca="false">IF($J1667=0,0,MAX(0,$C1667+INT(DIAS_POR_SEMANA/2)-INDEX(ROTACAO_RDM!$I$6:$I$71,$J1667)))</f>
        <v>35</v>
      </c>
      <c r="O1667" s="19" t="n">
        <f aca="false">IF($J1667=0,0,MIN(1,$N1667/MAX(1,INDEX(ROTACAO_RDM!$K$6:$K$71,$J1667))))</f>
        <v>0.301724137931035</v>
      </c>
      <c r="P1667" s="16" t="n">
        <f aca="false">IF($J1667=0,0,IFERROR(MATCH(INDEX(ROTACAO_RDM!$N$6:$N$71,$J1667),PARAMETROS_CULTURAS!$B$6:$B$28,0),0))</f>
        <v>2</v>
      </c>
      <c r="Q1667" s="8" t="str">
        <f aca="false">IF($P1667=0,"-",IF($O1667&lt;=INDEX(PARAMETROS_CULTURAS!$F$6:$F$28,$P1667),"INICIAL",IF($O1667&lt;=INDEX(PARAMETROS_CULTURAS!$F$6:$F$28,$P1667)+INDEX(PARAMETROS_CULTURAS!$G$6:$G$28,$P1667),"DESENVOLVIMENTO",IF($O1667&lt;=INDEX(PARAMETROS_CULTURAS!$F$6:$F$28,$P1667)+INDEX(PARAMETROS_CULTURAS!$G$6:$G$28,$P1667)+INDEX(PARAMETROS_CULTURAS!$H$6:$H$28,$P1667),"MEDIA","FINAL"))))</f>
        <v>DESENVOLVIMENTO</v>
      </c>
      <c r="R1667" s="24" t="n">
        <f aca="false">IF($P1667=0,0,IF($O1667&lt;=INDEX(PARAMETROS_CULTURAS!$F$6:$F$28,$P1667),INDEX(PARAMETROS_CULTURAS!$K$6:$K$28,$P1667),IF($O1667&lt;=INDEX(PARAMETROS_CULTURAS!$F$6:$F$28,$P1667)+INDEX(PARAMETROS_CULTURAS!$G$6:$G$28,$P1667),INDEX(PARAMETROS_CULTURAS!$K$6:$K$28,$P1667)+(INDEX(PARAMETROS_CULTURAS!$L$6:$L$28,$P1667)-INDEX(PARAMETROS_CULTURAS!$K$6:$K$28,$P1667))*($O1667-INDEX(PARAMETROS_CULTURAS!$F$6:$F$28,$P1667))/MAX(INDEX(PARAMETROS_CULTURAS!$G$6:$G$28,$P1667),0.0001),IF($O1667&lt;=INDEX(PARAMETROS_CULTURAS!$F$6:$F$28,$P1667)+INDEX(PARAMETROS_CULTURAS!$G$6:$G$28,$P1667)+INDEX(PARAMETROS_CULTURAS!$H$6:$H$28,$P1667),INDEX(PARAMETROS_CULTURAS!$L$6:$L$28,$P1667),INDEX(PARAMETROS_CULTURAS!$L$6:$L$28,$P1667)+(INDEX(PARAMETROS_CULTURAS!$M$6:$M$28,$P1667)-INDEX(PARAMETROS_CULTURAS!$L$6:$L$28,$P1667))*($O1667-INDEX(PARAMETROS_CULTURAS!$F$6:$F$28,$P1667)-INDEX(PARAMETROS_CULTURAS!$G$6:$G$28,$P1667)-INDEX(PARAMETROS_CULTURAS!$H$6:$H$28,$P1667))/MAX(INDEX(PARAMETROS_CULTURAS!$I$6:$I$28,$P1667),0.0001)))))</f>
        <v>0.862143928035982</v>
      </c>
      <c r="S1667" s="18" t="n">
        <f aca="false">IFERROR(INDEX(SEMANAS!$H$6:$H$71,MATCH($B1667,SEMANAS!$B$6:$B$71,0)),0)</f>
        <v>34.3</v>
      </c>
      <c r="T1667" s="18" t="n">
        <f aca="false">$R1667*$S1667</f>
        <v>29.5715367316342</v>
      </c>
      <c r="U1667" s="18" t="n">
        <f aca="false">IFERROR(INDEX(SEMANAS!$I$6:$I$71,MATCH($B1667,SEMANAS!$B$6:$B$71,0)),0)</f>
        <v>46.69</v>
      </c>
      <c r="V1667" s="18" t="n">
        <f aca="false">IFERROR(INDEX(SEMANAS!$J$6:$J$71,MATCH($B1667,SEMANAS!$B$6:$B$71,0)),0)</f>
        <v>37.352</v>
      </c>
      <c r="W1667" s="18" t="n">
        <f aca="false">MAX(0,$T1667-$V1667)</f>
        <v>0</v>
      </c>
      <c r="X1667" s="19" t="n">
        <f aca="false">IFERROR(INDEX(CADASTRO_PIVOS!$K$6:$K$41,MATCH($E1667,CADASTRO_PIVOS!$B$6:$B$41,0)),EFICIENCIA_PADRAO)</f>
        <v>0.85</v>
      </c>
      <c r="Y1667" s="18" t="n">
        <f aca="false">IF($X1667&lt;=0,0,$W1667/$X1667)</f>
        <v>0</v>
      </c>
      <c r="Z1667" s="16" t="n">
        <f aca="false">$Y1667*$H1667*MM_PARA_M3_HA</f>
        <v>0</v>
      </c>
      <c r="AA1667" s="18" t="n">
        <f aca="false">IFERROR(INDEX(CADASTRO_PIVOS!$I$6:$I$41,MATCH($E1667,CADASTRO_PIVOS!$B$6:$B$41,0)),0)</f>
        <v>1071.28571428571</v>
      </c>
      <c r="AB1667" s="18" t="n">
        <f aca="false">IF($Z1667&lt;=0,0,$Z1667/$AA1667)</f>
        <v>0</v>
      </c>
      <c r="AC1667" s="16" t="n">
        <f aca="false">IFERROR(INDEX(SEMANAS!$K$6:$K$71,MATCH($B1667,SEMANAS!$B$6:$B$71,0)),0)</f>
        <v>147</v>
      </c>
      <c r="AD1667" s="19" t="n">
        <f aca="false">IF($AC1667&lt;=0,0,$AB1667/$AC1667)</f>
        <v>0</v>
      </c>
      <c r="AE1667" s="8" t="str">
        <f aca="false">IF($K1667="SEM CULTURA","SEM CULTURA",IF($AA1667&lt;=0,"DADO PENDENTE",IF($AD1667&gt;LIMITE_CRITICO,"INVIAVEL",IF($AD1667&gt;LIMITE_ATENCAO,"CRITICO",IF($AD1667&gt;LIMITE_CONFORTAVEL,"ATENCAO","OK")))))</f>
        <v>OK</v>
      </c>
      <c r="AF1667" s="8" t="str">
        <f aca="false">$B1667&amp;"|"&amp;TEXT($AD1667,"0.000000")</f>
        <v>12|0.000000</v>
      </c>
      <c r="AG1667" s="18" t="n">
        <f aca="false">IF($K1667="SEM CULTURA",0,$T1667*$H1667)</f>
        <v>4435.13907901049</v>
      </c>
      <c r="AH1667" s="18" t="n">
        <f aca="false">IF($K1667="SEM CULTURA",0,$V1667*$H1667)</f>
        <v>5602.05296</v>
      </c>
      <c r="AI1667" s="18" t="n">
        <f aca="false">IF($K1667="SEM CULTURA",0,$W1667*$H1667)</f>
        <v>0</v>
      </c>
      <c r="AJ1667" s="18" t="n">
        <f aca="false">IF($K1667="SEM CULTURA",0,$S1667*$H1667)</f>
        <v>5144.314</v>
      </c>
      <c r="AK1667" s="8" t="str">
        <f aca="false">$E1667&amp;"|"&amp;TEXT($AD1667,"0.000000")</f>
        <v>PV 122|0.000000</v>
      </c>
    </row>
    <row r="1668" customFormat="false" ht="15" hidden="false" customHeight="false" outlineLevel="0" collapsed="false">
      <c r="B1668" s="16" t="n">
        <v>13</v>
      </c>
      <c r="C1668" s="17" t="n">
        <f aca="false">DATA_INICIO_SAFRA+($B1668-1)*DIAS_POR_SEMANA</f>
        <v>46349</v>
      </c>
      <c r="D1668" s="17" t="n">
        <f aca="false">$C1668+DIAS_POR_SEMANA-1</f>
        <v>46355</v>
      </c>
      <c r="E1668" s="15" t="s">
        <v>284</v>
      </c>
      <c r="F1668" s="8" t="str">
        <f aca="false">IFERROR(INDEX(CADASTRO_PIVOS!$C$6:$C$41,MATCH($E1668,CADASTRO_PIVOS!$B$6:$B$41,0)),"?")</f>
        <v>RM07</v>
      </c>
      <c r="G1668" s="8" t="str">
        <f aca="false">IFERROR(INDEX(CADASTRO_PIVOS!$D$6:$D$41,MATCH($E1668,CADASTRO_PIVOS!$B$6:$B$41,0)),"?")</f>
        <v>TR07</v>
      </c>
      <c r="H1668" s="20" t="n">
        <f aca="false">IFERROR(INDEX(CADASTRO_PIVOS!$E$6:$E$41,MATCH($E1668,CADASTRO_PIVOS!$B$6:$B$41,0)),0)</f>
        <v>149.98</v>
      </c>
      <c r="I1668" s="16" t="n">
        <f aca="false">IFERROR(SUMIFS(ROTACAO_RDM!$B$6:$B$71,ROTACAO_RDM!$D$6:$D$71,$E1668,ROTACAO_RDM!$I$6:$I$71,"&lt;="&amp;$C1668+INT(DIAS_POR_SEMANA/2),ROTACAO_RDM!$J$6:$J$71,"&gt;="&amp;$C1668+INT(DIAS_POR_SEMANA/2)),0)</f>
        <v>39</v>
      </c>
      <c r="J1668" s="16" t="n">
        <f aca="false">IFERROR(MATCH($I1668,ROTACAO_RDM!$B$6:$B$71,0),0)</f>
        <v>39</v>
      </c>
      <c r="K1668" s="8" t="str">
        <f aca="false">IF($J1668=0,"SEM CULTURA",INDEX(ROTACAO_RDM!$F$6:$F$71,$J1668))</f>
        <v>SOJA</v>
      </c>
      <c r="L1668" s="8" t="str">
        <f aca="false">IF($J1668=0,"",INDEX(ROTACAO_RDM!$G$6:$G$71,$J1668))</f>
        <v>NEO 761 I2X</v>
      </c>
      <c r="M1668" s="17" t="n">
        <f aca="false">IF($J1668=0,"",INDEX(ROTACAO_RDM!$I$6:$I$71,$J1668))</f>
        <v>46310</v>
      </c>
      <c r="N1668" s="16" t="n">
        <f aca="false">IF($J1668=0,0,MAX(0,$C1668+INT(DIAS_POR_SEMANA/2)-INDEX(ROTACAO_RDM!$I$6:$I$71,$J1668)))</f>
        <v>42</v>
      </c>
      <c r="O1668" s="19" t="n">
        <f aca="false">IF($J1668=0,0,MIN(1,$N1668/MAX(1,INDEX(ROTACAO_RDM!$K$6:$K$71,$J1668))))</f>
        <v>0.362068965517241</v>
      </c>
      <c r="P1668" s="16" t="n">
        <f aca="false">IF($J1668=0,0,IFERROR(MATCH(INDEX(ROTACAO_RDM!$N$6:$N$71,$J1668),PARAMETROS_CULTURAS!$B$6:$B$28,0),0))</f>
        <v>2</v>
      </c>
      <c r="Q1668" s="8" t="str">
        <f aca="false">IF($P1668=0,"-",IF($O1668&lt;=INDEX(PARAMETROS_CULTURAS!$F$6:$F$28,$P1668),"INICIAL",IF($O1668&lt;=INDEX(PARAMETROS_CULTURAS!$F$6:$F$28,$P1668)+INDEX(PARAMETROS_CULTURAS!$G$6:$G$28,$P1668),"DESENVOLVIMENTO",IF($O1668&lt;=INDEX(PARAMETROS_CULTURAS!$F$6:$F$28,$P1668)+INDEX(PARAMETROS_CULTURAS!$G$6:$G$28,$P1668)+INDEX(PARAMETROS_CULTURAS!$H$6:$H$28,$P1668),"MEDIA","FINAL"))))</f>
        <v>DESENVOLVIMENTO</v>
      </c>
      <c r="R1668" s="24" t="n">
        <f aca="false">IF($P1668=0,0,IF($O1668&lt;=INDEX(PARAMETROS_CULTURAS!$F$6:$F$28,$P1668),INDEX(PARAMETROS_CULTURAS!$K$6:$K$28,$P1668),IF($O1668&lt;=INDEX(PARAMETROS_CULTURAS!$F$6:$F$28,$P1668)+INDEX(PARAMETROS_CULTURAS!$G$6:$G$28,$P1668),INDEX(PARAMETROS_CULTURAS!$K$6:$K$28,$P1668)+(INDEX(PARAMETROS_CULTURAS!$L$6:$L$28,$P1668)-INDEX(PARAMETROS_CULTURAS!$K$6:$K$28,$P1668))*($O1668-INDEX(PARAMETROS_CULTURAS!$F$6:$F$28,$P1668))/MAX(INDEX(PARAMETROS_CULTURAS!$G$6:$G$28,$P1668),0.0001),IF($O1668&lt;=INDEX(PARAMETROS_CULTURAS!$F$6:$F$28,$P1668)+INDEX(PARAMETROS_CULTURAS!$G$6:$G$28,$P1668)+INDEX(PARAMETROS_CULTURAS!$H$6:$H$28,$P1668),INDEX(PARAMETROS_CULTURAS!$L$6:$L$28,$P1668),INDEX(PARAMETROS_CULTURAS!$L$6:$L$28,$P1668)+(INDEX(PARAMETROS_CULTURAS!$M$6:$M$28,$P1668)-INDEX(PARAMETROS_CULTURAS!$L$6:$L$28,$P1668))*($O1668-INDEX(PARAMETROS_CULTURAS!$F$6:$F$28,$P1668)-INDEX(PARAMETROS_CULTURAS!$G$6:$G$28,$P1668)-INDEX(PARAMETROS_CULTURAS!$H$6:$H$28,$P1668))/MAX(INDEX(PARAMETROS_CULTURAS!$I$6:$I$28,$P1668),0.0001)))))</f>
        <v>1.05892053973014</v>
      </c>
      <c r="S1668" s="18" t="n">
        <f aca="false">IFERROR(INDEX(SEMANAS!$H$6:$H$71,MATCH($B1668,SEMANAS!$B$6:$B$71,0)),0)</f>
        <v>34.3</v>
      </c>
      <c r="T1668" s="18" t="n">
        <f aca="false">$R1668*$S1668</f>
        <v>36.3209745127436</v>
      </c>
      <c r="U1668" s="18" t="n">
        <f aca="false">IFERROR(INDEX(SEMANAS!$I$6:$I$71,MATCH($B1668,SEMANAS!$B$6:$B$71,0)),0)</f>
        <v>46.69</v>
      </c>
      <c r="V1668" s="18" t="n">
        <f aca="false">IFERROR(INDEX(SEMANAS!$J$6:$J$71,MATCH($B1668,SEMANAS!$B$6:$B$71,0)),0)</f>
        <v>37.352</v>
      </c>
      <c r="W1668" s="18" t="n">
        <f aca="false">MAX(0,$T1668-$V1668)</f>
        <v>0</v>
      </c>
      <c r="X1668" s="19" t="n">
        <f aca="false">IFERROR(INDEX(CADASTRO_PIVOS!$K$6:$K$41,MATCH($E1668,CADASTRO_PIVOS!$B$6:$B$41,0)),EFICIENCIA_PADRAO)</f>
        <v>0.85</v>
      </c>
      <c r="Y1668" s="18" t="n">
        <f aca="false">IF($X1668&lt;=0,0,$W1668/$X1668)</f>
        <v>0</v>
      </c>
      <c r="Z1668" s="16" t="n">
        <f aca="false">$Y1668*$H1668*MM_PARA_M3_HA</f>
        <v>0</v>
      </c>
      <c r="AA1668" s="18" t="n">
        <f aca="false">IFERROR(INDEX(CADASTRO_PIVOS!$I$6:$I$41,MATCH($E1668,CADASTRO_PIVOS!$B$6:$B$41,0)),0)</f>
        <v>1071.28571428571</v>
      </c>
      <c r="AB1668" s="18" t="n">
        <f aca="false">IF($Z1668&lt;=0,0,$Z1668/$AA1668)</f>
        <v>0</v>
      </c>
      <c r="AC1668" s="16" t="n">
        <f aca="false">IFERROR(INDEX(SEMANAS!$K$6:$K$71,MATCH($B1668,SEMANAS!$B$6:$B$71,0)),0)</f>
        <v>147</v>
      </c>
      <c r="AD1668" s="19" t="n">
        <f aca="false">IF($AC1668&lt;=0,0,$AB1668/$AC1668)</f>
        <v>0</v>
      </c>
      <c r="AE1668" s="8" t="str">
        <f aca="false">IF($K1668="SEM CULTURA","SEM CULTURA",IF($AA1668&lt;=0,"DADO PENDENTE",IF($AD1668&gt;LIMITE_CRITICO,"INVIAVEL",IF($AD1668&gt;LIMITE_ATENCAO,"CRITICO",IF($AD1668&gt;LIMITE_CONFORTAVEL,"ATENCAO","OK")))))</f>
        <v>OK</v>
      </c>
      <c r="AF1668" s="8" t="str">
        <f aca="false">$B1668&amp;"|"&amp;TEXT($AD1668,"0.000000")</f>
        <v>13|0.000000</v>
      </c>
      <c r="AG1668" s="18" t="n">
        <f aca="false">IF($K1668="SEM CULTURA",0,$T1668*$H1668)</f>
        <v>5447.41975742129</v>
      </c>
      <c r="AH1668" s="18" t="n">
        <f aca="false">IF($K1668="SEM CULTURA",0,$V1668*$H1668)</f>
        <v>5602.05296</v>
      </c>
      <c r="AI1668" s="18" t="n">
        <f aca="false">IF($K1668="SEM CULTURA",0,$W1668*$H1668)</f>
        <v>0</v>
      </c>
      <c r="AJ1668" s="18" t="n">
        <f aca="false">IF($K1668="SEM CULTURA",0,$S1668*$H1668)</f>
        <v>5144.314</v>
      </c>
      <c r="AK1668" s="8" t="str">
        <f aca="false">$E1668&amp;"|"&amp;TEXT($AD1668,"0.000000")</f>
        <v>PV 122|0.000000</v>
      </c>
    </row>
    <row r="1669" customFormat="false" ht="15" hidden="false" customHeight="false" outlineLevel="0" collapsed="false">
      <c r="B1669" s="16" t="n">
        <v>14</v>
      </c>
      <c r="C1669" s="17" t="n">
        <f aca="false">DATA_INICIO_SAFRA+($B1669-1)*DIAS_POR_SEMANA</f>
        <v>46356</v>
      </c>
      <c r="D1669" s="17" t="n">
        <f aca="false">$C1669+DIAS_POR_SEMANA-1</f>
        <v>46362</v>
      </c>
      <c r="E1669" s="15" t="s">
        <v>284</v>
      </c>
      <c r="F1669" s="8" t="str">
        <f aca="false">IFERROR(INDEX(CADASTRO_PIVOS!$C$6:$C$41,MATCH($E1669,CADASTRO_PIVOS!$B$6:$B$41,0)),"?")</f>
        <v>RM07</v>
      </c>
      <c r="G1669" s="8" t="str">
        <f aca="false">IFERROR(INDEX(CADASTRO_PIVOS!$D$6:$D$41,MATCH($E1669,CADASTRO_PIVOS!$B$6:$B$41,0)),"?")</f>
        <v>TR07</v>
      </c>
      <c r="H1669" s="20" t="n">
        <f aca="false">IFERROR(INDEX(CADASTRO_PIVOS!$E$6:$E$41,MATCH($E1669,CADASTRO_PIVOS!$B$6:$B$41,0)),0)</f>
        <v>149.98</v>
      </c>
      <c r="I1669" s="16" t="n">
        <f aca="false">IFERROR(SUMIFS(ROTACAO_RDM!$B$6:$B$71,ROTACAO_RDM!$D$6:$D$71,$E1669,ROTACAO_RDM!$I$6:$I$71,"&lt;="&amp;$C1669+INT(DIAS_POR_SEMANA/2),ROTACAO_RDM!$J$6:$J$71,"&gt;="&amp;$C1669+INT(DIAS_POR_SEMANA/2)),0)</f>
        <v>39</v>
      </c>
      <c r="J1669" s="16" t="n">
        <f aca="false">IFERROR(MATCH($I1669,ROTACAO_RDM!$B$6:$B$71,0),0)</f>
        <v>39</v>
      </c>
      <c r="K1669" s="8" t="str">
        <f aca="false">IF($J1669=0,"SEM CULTURA",INDEX(ROTACAO_RDM!$F$6:$F$71,$J1669))</f>
        <v>SOJA</v>
      </c>
      <c r="L1669" s="8" t="str">
        <f aca="false">IF($J1669=0,"",INDEX(ROTACAO_RDM!$G$6:$G$71,$J1669))</f>
        <v>NEO 761 I2X</v>
      </c>
      <c r="M1669" s="17" t="n">
        <f aca="false">IF($J1669=0,"",INDEX(ROTACAO_RDM!$I$6:$I$71,$J1669))</f>
        <v>46310</v>
      </c>
      <c r="N1669" s="16" t="n">
        <f aca="false">IF($J1669=0,0,MAX(0,$C1669+INT(DIAS_POR_SEMANA/2)-INDEX(ROTACAO_RDM!$I$6:$I$71,$J1669)))</f>
        <v>49</v>
      </c>
      <c r="O1669" s="19" t="n">
        <f aca="false">IF($J1669=0,0,MIN(1,$N1669/MAX(1,INDEX(ROTACAO_RDM!$K$6:$K$71,$J1669))))</f>
        <v>0.422413793103448</v>
      </c>
      <c r="P1669" s="16" t="n">
        <f aca="false">IF($J1669=0,0,IFERROR(MATCH(INDEX(ROTACAO_RDM!$N$6:$N$71,$J1669),PARAMETROS_CULTURAS!$B$6:$B$28,0),0))</f>
        <v>2</v>
      </c>
      <c r="Q1669" s="8" t="str">
        <f aca="false">IF($P1669=0,"-",IF($O1669&lt;=INDEX(PARAMETROS_CULTURAS!$F$6:$F$28,$P1669),"INICIAL",IF($O1669&lt;=INDEX(PARAMETROS_CULTURAS!$F$6:$F$28,$P1669)+INDEX(PARAMETROS_CULTURAS!$G$6:$G$28,$P1669),"DESENVOLVIMENTO",IF($O1669&lt;=INDEX(PARAMETROS_CULTURAS!$F$6:$F$28,$P1669)+INDEX(PARAMETROS_CULTURAS!$G$6:$G$28,$P1669)+INDEX(PARAMETROS_CULTURAS!$H$6:$H$28,$P1669),"MEDIA","FINAL"))))</f>
        <v>MEDIA</v>
      </c>
      <c r="R1669" s="24" t="n">
        <f aca="false">IF($P1669=0,0,IF($O1669&lt;=INDEX(PARAMETROS_CULTURAS!$F$6:$F$28,$P1669),INDEX(PARAMETROS_CULTURAS!$K$6:$K$28,$P1669),IF($O1669&lt;=INDEX(PARAMETROS_CULTURAS!$F$6:$F$28,$P1669)+INDEX(PARAMETROS_CULTURAS!$G$6:$G$28,$P1669),INDEX(PARAMETROS_CULTURAS!$K$6:$K$28,$P1669)+(INDEX(PARAMETROS_CULTURAS!$L$6:$L$28,$P1669)-INDEX(PARAMETROS_CULTURAS!$K$6:$K$28,$P1669))*($O1669-INDEX(PARAMETROS_CULTURAS!$F$6:$F$28,$P1669))/MAX(INDEX(PARAMETROS_CULTURAS!$G$6:$G$28,$P1669),0.0001),IF($O1669&lt;=INDEX(PARAMETROS_CULTURAS!$F$6:$F$28,$P1669)+INDEX(PARAMETROS_CULTURAS!$G$6:$G$28,$P1669)+INDEX(PARAMETROS_CULTURAS!$H$6:$H$28,$P1669),INDEX(PARAMETROS_CULTURAS!$L$6:$L$28,$P1669),INDEX(PARAMETROS_CULTURAS!$L$6:$L$28,$P1669)+(INDEX(PARAMETROS_CULTURAS!$M$6:$M$28,$P1669)-INDEX(PARAMETROS_CULTURAS!$L$6:$L$28,$P1669))*($O1669-INDEX(PARAMETROS_CULTURAS!$F$6:$F$28,$P1669)-INDEX(PARAMETROS_CULTURAS!$G$6:$G$28,$P1669)-INDEX(PARAMETROS_CULTURAS!$H$6:$H$28,$P1669))/MAX(INDEX(PARAMETROS_CULTURAS!$I$6:$I$28,$P1669),0.0001)))))</f>
        <v>1.15</v>
      </c>
      <c r="S1669" s="18" t="n">
        <f aca="false">IFERROR(INDEX(SEMANAS!$H$6:$H$71,MATCH($B1669,SEMANAS!$B$6:$B$71,0)),0)</f>
        <v>33.1</v>
      </c>
      <c r="T1669" s="18" t="n">
        <f aca="false">$R1669*$S1669</f>
        <v>38.065</v>
      </c>
      <c r="U1669" s="18" t="n">
        <f aca="false">IFERROR(INDEX(SEMANAS!$I$6:$I$71,MATCH($B1669,SEMANAS!$B$6:$B$71,0)),0)</f>
        <v>48.31</v>
      </c>
      <c r="V1669" s="18" t="n">
        <f aca="false">IFERROR(INDEX(SEMANAS!$J$6:$J$71,MATCH($B1669,SEMANAS!$B$6:$B$71,0)),0)</f>
        <v>38.648</v>
      </c>
      <c r="W1669" s="18" t="n">
        <f aca="false">MAX(0,$T1669-$V1669)</f>
        <v>0</v>
      </c>
      <c r="X1669" s="19" t="n">
        <f aca="false">IFERROR(INDEX(CADASTRO_PIVOS!$K$6:$K$41,MATCH($E1669,CADASTRO_PIVOS!$B$6:$B$41,0)),EFICIENCIA_PADRAO)</f>
        <v>0.85</v>
      </c>
      <c r="Y1669" s="18" t="n">
        <f aca="false">IF($X1669&lt;=0,0,$W1669/$X1669)</f>
        <v>0</v>
      </c>
      <c r="Z1669" s="16" t="n">
        <f aca="false">$Y1669*$H1669*MM_PARA_M3_HA</f>
        <v>0</v>
      </c>
      <c r="AA1669" s="18" t="n">
        <f aca="false">IFERROR(INDEX(CADASTRO_PIVOS!$I$6:$I$41,MATCH($E1669,CADASTRO_PIVOS!$B$6:$B$41,0)),0)</f>
        <v>1071.28571428571</v>
      </c>
      <c r="AB1669" s="18" t="n">
        <f aca="false">IF($Z1669&lt;=0,0,$Z1669/$AA1669)</f>
        <v>0</v>
      </c>
      <c r="AC1669" s="16" t="n">
        <f aca="false">IFERROR(INDEX(SEMANAS!$K$6:$K$71,MATCH($B1669,SEMANAS!$B$6:$B$71,0)),0)</f>
        <v>147</v>
      </c>
      <c r="AD1669" s="19" t="n">
        <f aca="false">IF($AC1669&lt;=0,0,$AB1669/$AC1669)</f>
        <v>0</v>
      </c>
      <c r="AE1669" s="8" t="str">
        <f aca="false">IF($K1669="SEM CULTURA","SEM CULTURA",IF($AA1669&lt;=0,"DADO PENDENTE",IF($AD1669&gt;LIMITE_CRITICO,"INVIAVEL",IF($AD1669&gt;LIMITE_ATENCAO,"CRITICO",IF($AD1669&gt;LIMITE_CONFORTAVEL,"ATENCAO","OK")))))</f>
        <v>OK</v>
      </c>
      <c r="AF1669" s="8" t="str">
        <f aca="false">$B1669&amp;"|"&amp;TEXT($AD1669,"0.000000")</f>
        <v>14|0.000000</v>
      </c>
      <c r="AG1669" s="18" t="n">
        <f aca="false">IF($K1669="SEM CULTURA",0,$T1669*$H1669)</f>
        <v>5708.9887</v>
      </c>
      <c r="AH1669" s="18" t="n">
        <f aca="false">IF($K1669="SEM CULTURA",0,$V1669*$H1669)</f>
        <v>5796.42704</v>
      </c>
      <c r="AI1669" s="18" t="n">
        <f aca="false">IF($K1669="SEM CULTURA",0,$W1669*$H1669)</f>
        <v>0</v>
      </c>
      <c r="AJ1669" s="18" t="n">
        <f aca="false">IF($K1669="SEM CULTURA",0,$S1669*$H1669)</f>
        <v>4964.338</v>
      </c>
      <c r="AK1669" s="8" t="str">
        <f aca="false">$E1669&amp;"|"&amp;TEXT($AD1669,"0.000000")</f>
        <v>PV 122|0.000000</v>
      </c>
    </row>
    <row r="1670" customFormat="false" ht="15" hidden="false" customHeight="false" outlineLevel="0" collapsed="false">
      <c r="B1670" s="16" t="n">
        <v>15</v>
      </c>
      <c r="C1670" s="17" t="n">
        <f aca="false">DATA_INICIO_SAFRA+($B1670-1)*DIAS_POR_SEMANA</f>
        <v>46363</v>
      </c>
      <c r="D1670" s="17" t="n">
        <f aca="false">$C1670+DIAS_POR_SEMANA-1</f>
        <v>46369</v>
      </c>
      <c r="E1670" s="15" t="s">
        <v>284</v>
      </c>
      <c r="F1670" s="8" t="str">
        <f aca="false">IFERROR(INDEX(CADASTRO_PIVOS!$C$6:$C$41,MATCH($E1670,CADASTRO_PIVOS!$B$6:$B$41,0)),"?")</f>
        <v>RM07</v>
      </c>
      <c r="G1670" s="8" t="str">
        <f aca="false">IFERROR(INDEX(CADASTRO_PIVOS!$D$6:$D$41,MATCH($E1670,CADASTRO_PIVOS!$B$6:$B$41,0)),"?")</f>
        <v>TR07</v>
      </c>
      <c r="H1670" s="20" t="n">
        <f aca="false">IFERROR(INDEX(CADASTRO_PIVOS!$E$6:$E$41,MATCH($E1670,CADASTRO_PIVOS!$B$6:$B$41,0)),0)</f>
        <v>149.98</v>
      </c>
      <c r="I1670" s="16" t="n">
        <f aca="false">IFERROR(SUMIFS(ROTACAO_RDM!$B$6:$B$71,ROTACAO_RDM!$D$6:$D$71,$E1670,ROTACAO_RDM!$I$6:$I$71,"&lt;="&amp;$C1670+INT(DIAS_POR_SEMANA/2),ROTACAO_RDM!$J$6:$J$71,"&gt;="&amp;$C1670+INT(DIAS_POR_SEMANA/2)),0)</f>
        <v>39</v>
      </c>
      <c r="J1670" s="16" t="n">
        <f aca="false">IFERROR(MATCH($I1670,ROTACAO_RDM!$B$6:$B$71,0),0)</f>
        <v>39</v>
      </c>
      <c r="K1670" s="8" t="str">
        <f aca="false">IF($J1670=0,"SEM CULTURA",INDEX(ROTACAO_RDM!$F$6:$F$71,$J1670))</f>
        <v>SOJA</v>
      </c>
      <c r="L1670" s="8" t="str">
        <f aca="false">IF($J1670=0,"",INDEX(ROTACAO_RDM!$G$6:$G$71,$J1670))</f>
        <v>NEO 761 I2X</v>
      </c>
      <c r="M1670" s="17" t="n">
        <f aca="false">IF($J1670=0,"",INDEX(ROTACAO_RDM!$I$6:$I$71,$J1670))</f>
        <v>46310</v>
      </c>
      <c r="N1670" s="16" t="n">
        <f aca="false">IF($J1670=0,0,MAX(0,$C1670+INT(DIAS_POR_SEMANA/2)-INDEX(ROTACAO_RDM!$I$6:$I$71,$J1670)))</f>
        <v>56</v>
      </c>
      <c r="O1670" s="19" t="n">
        <f aca="false">IF($J1670=0,0,MIN(1,$N1670/MAX(1,INDEX(ROTACAO_RDM!$K$6:$K$71,$J1670))))</f>
        <v>0.482758620689655</v>
      </c>
      <c r="P1670" s="16" t="n">
        <f aca="false">IF($J1670=0,0,IFERROR(MATCH(INDEX(ROTACAO_RDM!$N$6:$N$71,$J1670),PARAMETROS_CULTURAS!$B$6:$B$28,0),0))</f>
        <v>2</v>
      </c>
      <c r="Q1670" s="8" t="str">
        <f aca="false">IF($P1670=0,"-",IF($O1670&lt;=INDEX(PARAMETROS_CULTURAS!$F$6:$F$28,$P1670),"INICIAL",IF($O1670&lt;=INDEX(PARAMETROS_CULTURAS!$F$6:$F$28,$P1670)+INDEX(PARAMETROS_CULTURAS!$G$6:$G$28,$P1670),"DESENVOLVIMENTO",IF($O1670&lt;=INDEX(PARAMETROS_CULTURAS!$F$6:$F$28,$P1670)+INDEX(PARAMETROS_CULTURAS!$G$6:$G$28,$P1670)+INDEX(PARAMETROS_CULTURAS!$H$6:$H$28,$P1670),"MEDIA","FINAL"))))</f>
        <v>MEDIA</v>
      </c>
      <c r="R1670" s="24" t="n">
        <f aca="false">IF($P1670=0,0,IF($O1670&lt;=INDEX(PARAMETROS_CULTURAS!$F$6:$F$28,$P1670),INDEX(PARAMETROS_CULTURAS!$K$6:$K$28,$P1670),IF($O1670&lt;=INDEX(PARAMETROS_CULTURAS!$F$6:$F$28,$P1670)+INDEX(PARAMETROS_CULTURAS!$G$6:$G$28,$P1670),INDEX(PARAMETROS_CULTURAS!$K$6:$K$28,$P1670)+(INDEX(PARAMETROS_CULTURAS!$L$6:$L$28,$P1670)-INDEX(PARAMETROS_CULTURAS!$K$6:$K$28,$P1670))*($O1670-INDEX(PARAMETROS_CULTURAS!$F$6:$F$28,$P1670))/MAX(INDEX(PARAMETROS_CULTURAS!$G$6:$G$28,$P1670),0.0001),IF($O1670&lt;=INDEX(PARAMETROS_CULTURAS!$F$6:$F$28,$P1670)+INDEX(PARAMETROS_CULTURAS!$G$6:$G$28,$P1670)+INDEX(PARAMETROS_CULTURAS!$H$6:$H$28,$P1670),INDEX(PARAMETROS_CULTURAS!$L$6:$L$28,$P1670),INDEX(PARAMETROS_CULTURAS!$L$6:$L$28,$P1670)+(INDEX(PARAMETROS_CULTURAS!$M$6:$M$28,$P1670)-INDEX(PARAMETROS_CULTURAS!$L$6:$L$28,$P1670))*($O1670-INDEX(PARAMETROS_CULTURAS!$F$6:$F$28,$P1670)-INDEX(PARAMETROS_CULTURAS!$G$6:$G$28,$P1670)-INDEX(PARAMETROS_CULTURAS!$H$6:$H$28,$P1670))/MAX(INDEX(PARAMETROS_CULTURAS!$I$6:$I$28,$P1670),0.0001)))))</f>
        <v>1.15</v>
      </c>
      <c r="S1670" s="18" t="n">
        <f aca="false">IFERROR(INDEX(SEMANAS!$H$6:$H$71,MATCH($B1670,SEMANAS!$B$6:$B$71,0)),0)</f>
        <v>32.9</v>
      </c>
      <c r="T1670" s="18" t="n">
        <f aca="false">$R1670*$S1670</f>
        <v>37.835</v>
      </c>
      <c r="U1670" s="18" t="n">
        <f aca="false">IFERROR(INDEX(SEMANAS!$I$6:$I$71,MATCH($B1670,SEMANAS!$B$6:$B$71,0)),0)</f>
        <v>48.58</v>
      </c>
      <c r="V1670" s="18" t="n">
        <f aca="false">IFERROR(INDEX(SEMANAS!$J$6:$J$71,MATCH($B1670,SEMANAS!$B$6:$B$71,0)),0)</f>
        <v>38.864</v>
      </c>
      <c r="W1670" s="18" t="n">
        <f aca="false">MAX(0,$T1670-$V1670)</f>
        <v>0</v>
      </c>
      <c r="X1670" s="19" t="n">
        <f aca="false">IFERROR(INDEX(CADASTRO_PIVOS!$K$6:$K$41,MATCH($E1670,CADASTRO_PIVOS!$B$6:$B$41,0)),EFICIENCIA_PADRAO)</f>
        <v>0.85</v>
      </c>
      <c r="Y1670" s="18" t="n">
        <f aca="false">IF($X1670&lt;=0,0,$W1670/$X1670)</f>
        <v>0</v>
      </c>
      <c r="Z1670" s="16" t="n">
        <f aca="false">$Y1670*$H1670*MM_PARA_M3_HA</f>
        <v>0</v>
      </c>
      <c r="AA1670" s="18" t="n">
        <f aca="false">IFERROR(INDEX(CADASTRO_PIVOS!$I$6:$I$41,MATCH($E1670,CADASTRO_PIVOS!$B$6:$B$41,0)),0)</f>
        <v>1071.28571428571</v>
      </c>
      <c r="AB1670" s="18" t="n">
        <f aca="false">IF($Z1670&lt;=0,0,$Z1670/$AA1670)</f>
        <v>0</v>
      </c>
      <c r="AC1670" s="16" t="n">
        <f aca="false">IFERROR(INDEX(SEMANAS!$K$6:$K$71,MATCH($B1670,SEMANAS!$B$6:$B$71,0)),0)</f>
        <v>147</v>
      </c>
      <c r="AD1670" s="19" t="n">
        <f aca="false">IF($AC1670&lt;=0,0,$AB1670/$AC1670)</f>
        <v>0</v>
      </c>
      <c r="AE1670" s="8" t="str">
        <f aca="false">IF($K1670="SEM CULTURA","SEM CULTURA",IF($AA1670&lt;=0,"DADO PENDENTE",IF($AD1670&gt;LIMITE_CRITICO,"INVIAVEL",IF($AD1670&gt;LIMITE_ATENCAO,"CRITICO",IF($AD1670&gt;LIMITE_CONFORTAVEL,"ATENCAO","OK")))))</f>
        <v>OK</v>
      </c>
      <c r="AF1670" s="8" t="str">
        <f aca="false">$B1670&amp;"|"&amp;TEXT($AD1670,"0.000000")</f>
        <v>15|0.000000</v>
      </c>
      <c r="AG1670" s="18" t="n">
        <f aca="false">IF($K1670="SEM CULTURA",0,$T1670*$H1670)</f>
        <v>5674.4933</v>
      </c>
      <c r="AH1670" s="18" t="n">
        <f aca="false">IF($K1670="SEM CULTURA",0,$V1670*$H1670)</f>
        <v>5828.82272</v>
      </c>
      <c r="AI1670" s="18" t="n">
        <f aca="false">IF($K1670="SEM CULTURA",0,$W1670*$H1670)</f>
        <v>0</v>
      </c>
      <c r="AJ1670" s="18" t="n">
        <f aca="false">IF($K1670="SEM CULTURA",0,$S1670*$H1670)</f>
        <v>4934.342</v>
      </c>
      <c r="AK1670" s="8" t="str">
        <f aca="false">$E1670&amp;"|"&amp;TEXT($AD1670,"0.000000")</f>
        <v>PV 122|0.000000</v>
      </c>
    </row>
    <row r="1671" customFormat="false" ht="15" hidden="false" customHeight="false" outlineLevel="0" collapsed="false">
      <c r="B1671" s="16" t="n">
        <v>16</v>
      </c>
      <c r="C1671" s="17" t="n">
        <f aca="false">DATA_INICIO_SAFRA+($B1671-1)*DIAS_POR_SEMANA</f>
        <v>46370</v>
      </c>
      <c r="D1671" s="17" t="n">
        <f aca="false">$C1671+DIAS_POR_SEMANA-1</f>
        <v>46376</v>
      </c>
      <c r="E1671" s="15" t="s">
        <v>284</v>
      </c>
      <c r="F1671" s="8" t="str">
        <f aca="false">IFERROR(INDEX(CADASTRO_PIVOS!$C$6:$C$41,MATCH($E1671,CADASTRO_PIVOS!$B$6:$B$41,0)),"?")</f>
        <v>RM07</v>
      </c>
      <c r="G1671" s="8" t="str">
        <f aca="false">IFERROR(INDEX(CADASTRO_PIVOS!$D$6:$D$41,MATCH($E1671,CADASTRO_PIVOS!$B$6:$B$41,0)),"?")</f>
        <v>TR07</v>
      </c>
      <c r="H1671" s="20" t="n">
        <f aca="false">IFERROR(INDEX(CADASTRO_PIVOS!$E$6:$E$41,MATCH($E1671,CADASTRO_PIVOS!$B$6:$B$41,0)),0)</f>
        <v>149.98</v>
      </c>
      <c r="I1671" s="16" t="n">
        <f aca="false">IFERROR(SUMIFS(ROTACAO_RDM!$B$6:$B$71,ROTACAO_RDM!$D$6:$D$71,$E1671,ROTACAO_RDM!$I$6:$I$71,"&lt;="&amp;$C1671+INT(DIAS_POR_SEMANA/2),ROTACAO_RDM!$J$6:$J$71,"&gt;="&amp;$C1671+INT(DIAS_POR_SEMANA/2)),0)</f>
        <v>39</v>
      </c>
      <c r="J1671" s="16" t="n">
        <f aca="false">IFERROR(MATCH($I1671,ROTACAO_RDM!$B$6:$B$71,0),0)</f>
        <v>39</v>
      </c>
      <c r="K1671" s="8" t="str">
        <f aca="false">IF($J1671=0,"SEM CULTURA",INDEX(ROTACAO_RDM!$F$6:$F$71,$J1671))</f>
        <v>SOJA</v>
      </c>
      <c r="L1671" s="8" t="str">
        <f aca="false">IF($J1671=0,"",INDEX(ROTACAO_RDM!$G$6:$G$71,$J1671))</f>
        <v>NEO 761 I2X</v>
      </c>
      <c r="M1671" s="17" t="n">
        <f aca="false">IF($J1671=0,"",INDEX(ROTACAO_RDM!$I$6:$I$71,$J1671))</f>
        <v>46310</v>
      </c>
      <c r="N1671" s="16" t="n">
        <f aca="false">IF($J1671=0,0,MAX(0,$C1671+INT(DIAS_POR_SEMANA/2)-INDEX(ROTACAO_RDM!$I$6:$I$71,$J1671)))</f>
        <v>63</v>
      </c>
      <c r="O1671" s="19" t="n">
        <f aca="false">IF($J1671=0,0,MIN(1,$N1671/MAX(1,INDEX(ROTACAO_RDM!$K$6:$K$71,$J1671))))</f>
        <v>0.543103448275862</v>
      </c>
      <c r="P1671" s="16" t="n">
        <f aca="false">IF($J1671=0,0,IFERROR(MATCH(INDEX(ROTACAO_RDM!$N$6:$N$71,$J1671),PARAMETROS_CULTURAS!$B$6:$B$28,0),0))</f>
        <v>2</v>
      </c>
      <c r="Q1671" s="8" t="str">
        <f aca="false">IF($P1671=0,"-",IF($O1671&lt;=INDEX(PARAMETROS_CULTURAS!$F$6:$F$28,$P1671),"INICIAL",IF($O1671&lt;=INDEX(PARAMETROS_CULTURAS!$F$6:$F$28,$P1671)+INDEX(PARAMETROS_CULTURAS!$G$6:$G$28,$P1671),"DESENVOLVIMENTO",IF($O1671&lt;=INDEX(PARAMETROS_CULTURAS!$F$6:$F$28,$P1671)+INDEX(PARAMETROS_CULTURAS!$G$6:$G$28,$P1671)+INDEX(PARAMETROS_CULTURAS!$H$6:$H$28,$P1671),"MEDIA","FINAL"))))</f>
        <v>MEDIA</v>
      </c>
      <c r="R1671" s="24" t="n">
        <f aca="false">IF($P1671=0,0,IF($O1671&lt;=INDEX(PARAMETROS_CULTURAS!$F$6:$F$28,$P1671),INDEX(PARAMETROS_CULTURAS!$K$6:$K$28,$P1671),IF($O1671&lt;=INDEX(PARAMETROS_CULTURAS!$F$6:$F$28,$P1671)+INDEX(PARAMETROS_CULTURAS!$G$6:$G$28,$P1671),INDEX(PARAMETROS_CULTURAS!$K$6:$K$28,$P1671)+(INDEX(PARAMETROS_CULTURAS!$L$6:$L$28,$P1671)-INDEX(PARAMETROS_CULTURAS!$K$6:$K$28,$P1671))*($O1671-INDEX(PARAMETROS_CULTURAS!$F$6:$F$28,$P1671))/MAX(INDEX(PARAMETROS_CULTURAS!$G$6:$G$28,$P1671),0.0001),IF($O1671&lt;=INDEX(PARAMETROS_CULTURAS!$F$6:$F$28,$P1671)+INDEX(PARAMETROS_CULTURAS!$G$6:$G$28,$P1671)+INDEX(PARAMETROS_CULTURAS!$H$6:$H$28,$P1671),INDEX(PARAMETROS_CULTURAS!$L$6:$L$28,$P1671),INDEX(PARAMETROS_CULTURAS!$L$6:$L$28,$P1671)+(INDEX(PARAMETROS_CULTURAS!$M$6:$M$28,$P1671)-INDEX(PARAMETROS_CULTURAS!$L$6:$L$28,$P1671))*($O1671-INDEX(PARAMETROS_CULTURAS!$F$6:$F$28,$P1671)-INDEX(PARAMETROS_CULTURAS!$G$6:$G$28,$P1671)-INDEX(PARAMETROS_CULTURAS!$H$6:$H$28,$P1671))/MAX(INDEX(PARAMETROS_CULTURAS!$I$6:$I$28,$P1671),0.0001)))))</f>
        <v>1.15</v>
      </c>
      <c r="S1671" s="18" t="n">
        <f aca="false">IFERROR(INDEX(SEMANAS!$H$6:$H$71,MATCH($B1671,SEMANAS!$B$6:$B$71,0)),0)</f>
        <v>32.9</v>
      </c>
      <c r="T1671" s="18" t="n">
        <f aca="false">$R1671*$S1671</f>
        <v>37.835</v>
      </c>
      <c r="U1671" s="18" t="n">
        <f aca="false">IFERROR(INDEX(SEMANAS!$I$6:$I$71,MATCH($B1671,SEMANAS!$B$6:$B$71,0)),0)</f>
        <v>48.58</v>
      </c>
      <c r="V1671" s="18" t="n">
        <f aca="false">IFERROR(INDEX(SEMANAS!$J$6:$J$71,MATCH($B1671,SEMANAS!$B$6:$B$71,0)),0)</f>
        <v>38.864</v>
      </c>
      <c r="W1671" s="18" t="n">
        <f aca="false">MAX(0,$T1671-$V1671)</f>
        <v>0</v>
      </c>
      <c r="X1671" s="19" t="n">
        <f aca="false">IFERROR(INDEX(CADASTRO_PIVOS!$K$6:$K$41,MATCH($E1671,CADASTRO_PIVOS!$B$6:$B$41,0)),EFICIENCIA_PADRAO)</f>
        <v>0.85</v>
      </c>
      <c r="Y1671" s="18" t="n">
        <f aca="false">IF($X1671&lt;=0,0,$W1671/$X1671)</f>
        <v>0</v>
      </c>
      <c r="Z1671" s="16" t="n">
        <f aca="false">$Y1671*$H1671*MM_PARA_M3_HA</f>
        <v>0</v>
      </c>
      <c r="AA1671" s="18" t="n">
        <f aca="false">IFERROR(INDEX(CADASTRO_PIVOS!$I$6:$I$41,MATCH($E1671,CADASTRO_PIVOS!$B$6:$B$41,0)),0)</f>
        <v>1071.28571428571</v>
      </c>
      <c r="AB1671" s="18" t="n">
        <f aca="false">IF($Z1671&lt;=0,0,$Z1671/$AA1671)</f>
        <v>0</v>
      </c>
      <c r="AC1671" s="16" t="n">
        <f aca="false">IFERROR(INDEX(SEMANAS!$K$6:$K$71,MATCH($B1671,SEMANAS!$B$6:$B$71,0)),0)</f>
        <v>147</v>
      </c>
      <c r="AD1671" s="19" t="n">
        <f aca="false">IF($AC1671&lt;=0,0,$AB1671/$AC1671)</f>
        <v>0</v>
      </c>
      <c r="AE1671" s="8" t="str">
        <f aca="false">IF($K1671="SEM CULTURA","SEM CULTURA",IF($AA1671&lt;=0,"DADO PENDENTE",IF($AD1671&gt;LIMITE_CRITICO,"INVIAVEL",IF($AD1671&gt;LIMITE_ATENCAO,"CRITICO",IF($AD1671&gt;LIMITE_CONFORTAVEL,"ATENCAO","OK")))))</f>
        <v>OK</v>
      </c>
      <c r="AF1671" s="8" t="str">
        <f aca="false">$B1671&amp;"|"&amp;TEXT($AD1671,"0.000000")</f>
        <v>16|0.000000</v>
      </c>
      <c r="AG1671" s="18" t="n">
        <f aca="false">IF($K1671="SEM CULTURA",0,$T1671*$H1671)</f>
        <v>5674.4933</v>
      </c>
      <c r="AH1671" s="18" t="n">
        <f aca="false">IF($K1671="SEM CULTURA",0,$V1671*$H1671)</f>
        <v>5828.82272</v>
      </c>
      <c r="AI1671" s="18" t="n">
        <f aca="false">IF($K1671="SEM CULTURA",0,$W1671*$H1671)</f>
        <v>0</v>
      </c>
      <c r="AJ1671" s="18" t="n">
        <f aca="false">IF($K1671="SEM CULTURA",0,$S1671*$H1671)</f>
        <v>4934.342</v>
      </c>
      <c r="AK1671" s="8" t="str">
        <f aca="false">$E1671&amp;"|"&amp;TEXT($AD1671,"0.000000")</f>
        <v>PV 122|0.000000</v>
      </c>
    </row>
    <row r="1672" customFormat="false" ht="15" hidden="false" customHeight="false" outlineLevel="0" collapsed="false">
      <c r="B1672" s="16" t="n">
        <v>17</v>
      </c>
      <c r="C1672" s="17" t="n">
        <f aca="false">DATA_INICIO_SAFRA+($B1672-1)*DIAS_POR_SEMANA</f>
        <v>46377</v>
      </c>
      <c r="D1672" s="17" t="n">
        <f aca="false">$C1672+DIAS_POR_SEMANA-1</f>
        <v>46383</v>
      </c>
      <c r="E1672" s="15" t="s">
        <v>284</v>
      </c>
      <c r="F1672" s="8" t="str">
        <f aca="false">IFERROR(INDEX(CADASTRO_PIVOS!$C$6:$C$41,MATCH($E1672,CADASTRO_PIVOS!$B$6:$B$41,0)),"?")</f>
        <v>RM07</v>
      </c>
      <c r="G1672" s="8" t="str">
        <f aca="false">IFERROR(INDEX(CADASTRO_PIVOS!$D$6:$D$41,MATCH($E1672,CADASTRO_PIVOS!$B$6:$B$41,0)),"?")</f>
        <v>TR07</v>
      </c>
      <c r="H1672" s="20" t="n">
        <f aca="false">IFERROR(INDEX(CADASTRO_PIVOS!$E$6:$E$41,MATCH($E1672,CADASTRO_PIVOS!$B$6:$B$41,0)),0)</f>
        <v>149.98</v>
      </c>
      <c r="I1672" s="16" t="n">
        <f aca="false">IFERROR(SUMIFS(ROTACAO_RDM!$B$6:$B$71,ROTACAO_RDM!$D$6:$D$71,$E1672,ROTACAO_RDM!$I$6:$I$71,"&lt;="&amp;$C1672+INT(DIAS_POR_SEMANA/2),ROTACAO_RDM!$J$6:$J$71,"&gt;="&amp;$C1672+INT(DIAS_POR_SEMANA/2)),0)</f>
        <v>39</v>
      </c>
      <c r="J1672" s="16" t="n">
        <f aca="false">IFERROR(MATCH($I1672,ROTACAO_RDM!$B$6:$B$71,0),0)</f>
        <v>39</v>
      </c>
      <c r="K1672" s="8" t="str">
        <f aca="false">IF($J1672=0,"SEM CULTURA",INDEX(ROTACAO_RDM!$F$6:$F$71,$J1672))</f>
        <v>SOJA</v>
      </c>
      <c r="L1672" s="8" t="str">
        <f aca="false">IF($J1672=0,"",INDEX(ROTACAO_RDM!$G$6:$G$71,$J1672))</f>
        <v>NEO 761 I2X</v>
      </c>
      <c r="M1672" s="17" t="n">
        <f aca="false">IF($J1672=0,"",INDEX(ROTACAO_RDM!$I$6:$I$71,$J1672))</f>
        <v>46310</v>
      </c>
      <c r="N1672" s="16" t="n">
        <f aca="false">IF($J1672=0,0,MAX(0,$C1672+INT(DIAS_POR_SEMANA/2)-INDEX(ROTACAO_RDM!$I$6:$I$71,$J1672)))</f>
        <v>70</v>
      </c>
      <c r="O1672" s="19" t="n">
        <f aca="false">IF($J1672=0,0,MIN(1,$N1672/MAX(1,INDEX(ROTACAO_RDM!$K$6:$K$71,$J1672))))</f>
        <v>0.603448275862069</v>
      </c>
      <c r="P1672" s="16" t="n">
        <f aca="false">IF($J1672=0,0,IFERROR(MATCH(INDEX(ROTACAO_RDM!$N$6:$N$71,$J1672),PARAMETROS_CULTURAS!$B$6:$B$28,0),0))</f>
        <v>2</v>
      </c>
      <c r="Q1672" s="8" t="str">
        <f aca="false">IF($P1672=0,"-",IF($O1672&lt;=INDEX(PARAMETROS_CULTURAS!$F$6:$F$28,$P1672),"INICIAL",IF($O1672&lt;=INDEX(PARAMETROS_CULTURAS!$F$6:$F$28,$P1672)+INDEX(PARAMETROS_CULTURAS!$G$6:$G$28,$P1672),"DESENVOLVIMENTO",IF($O1672&lt;=INDEX(PARAMETROS_CULTURAS!$F$6:$F$28,$P1672)+INDEX(PARAMETROS_CULTURAS!$G$6:$G$28,$P1672)+INDEX(PARAMETROS_CULTURAS!$H$6:$H$28,$P1672),"MEDIA","FINAL"))))</f>
        <v>MEDIA</v>
      </c>
      <c r="R1672" s="24" t="n">
        <f aca="false">IF($P1672=0,0,IF($O1672&lt;=INDEX(PARAMETROS_CULTURAS!$F$6:$F$28,$P1672),INDEX(PARAMETROS_CULTURAS!$K$6:$K$28,$P1672),IF($O1672&lt;=INDEX(PARAMETROS_CULTURAS!$F$6:$F$28,$P1672)+INDEX(PARAMETROS_CULTURAS!$G$6:$G$28,$P1672),INDEX(PARAMETROS_CULTURAS!$K$6:$K$28,$P1672)+(INDEX(PARAMETROS_CULTURAS!$L$6:$L$28,$P1672)-INDEX(PARAMETROS_CULTURAS!$K$6:$K$28,$P1672))*($O1672-INDEX(PARAMETROS_CULTURAS!$F$6:$F$28,$P1672))/MAX(INDEX(PARAMETROS_CULTURAS!$G$6:$G$28,$P1672),0.0001),IF($O1672&lt;=INDEX(PARAMETROS_CULTURAS!$F$6:$F$28,$P1672)+INDEX(PARAMETROS_CULTURAS!$G$6:$G$28,$P1672)+INDEX(PARAMETROS_CULTURAS!$H$6:$H$28,$P1672),INDEX(PARAMETROS_CULTURAS!$L$6:$L$28,$P1672),INDEX(PARAMETROS_CULTURAS!$L$6:$L$28,$P1672)+(INDEX(PARAMETROS_CULTURAS!$M$6:$M$28,$P1672)-INDEX(PARAMETROS_CULTURAS!$L$6:$L$28,$P1672))*($O1672-INDEX(PARAMETROS_CULTURAS!$F$6:$F$28,$P1672)-INDEX(PARAMETROS_CULTURAS!$G$6:$G$28,$P1672)-INDEX(PARAMETROS_CULTURAS!$H$6:$H$28,$P1672))/MAX(INDEX(PARAMETROS_CULTURAS!$I$6:$I$28,$P1672),0.0001)))))</f>
        <v>1.15</v>
      </c>
      <c r="S1672" s="18" t="n">
        <f aca="false">IFERROR(INDEX(SEMANAS!$H$6:$H$71,MATCH($B1672,SEMANAS!$B$6:$B$71,0)),0)</f>
        <v>32.9</v>
      </c>
      <c r="T1672" s="18" t="n">
        <f aca="false">$R1672*$S1672</f>
        <v>37.835</v>
      </c>
      <c r="U1672" s="18" t="n">
        <f aca="false">IFERROR(INDEX(SEMANAS!$I$6:$I$71,MATCH($B1672,SEMANAS!$B$6:$B$71,0)),0)</f>
        <v>48.58</v>
      </c>
      <c r="V1672" s="18" t="n">
        <f aca="false">IFERROR(INDEX(SEMANAS!$J$6:$J$71,MATCH($B1672,SEMANAS!$B$6:$B$71,0)),0)</f>
        <v>38.864</v>
      </c>
      <c r="W1672" s="18" t="n">
        <f aca="false">MAX(0,$T1672-$V1672)</f>
        <v>0</v>
      </c>
      <c r="X1672" s="19" t="n">
        <f aca="false">IFERROR(INDEX(CADASTRO_PIVOS!$K$6:$K$41,MATCH($E1672,CADASTRO_PIVOS!$B$6:$B$41,0)),EFICIENCIA_PADRAO)</f>
        <v>0.85</v>
      </c>
      <c r="Y1672" s="18" t="n">
        <f aca="false">IF($X1672&lt;=0,0,$W1672/$X1672)</f>
        <v>0</v>
      </c>
      <c r="Z1672" s="16" t="n">
        <f aca="false">$Y1672*$H1672*MM_PARA_M3_HA</f>
        <v>0</v>
      </c>
      <c r="AA1672" s="18" t="n">
        <f aca="false">IFERROR(INDEX(CADASTRO_PIVOS!$I$6:$I$41,MATCH($E1672,CADASTRO_PIVOS!$B$6:$B$41,0)),0)</f>
        <v>1071.28571428571</v>
      </c>
      <c r="AB1672" s="18" t="n">
        <f aca="false">IF($Z1672&lt;=0,0,$Z1672/$AA1672)</f>
        <v>0</v>
      </c>
      <c r="AC1672" s="16" t="n">
        <f aca="false">IFERROR(INDEX(SEMANAS!$K$6:$K$71,MATCH($B1672,SEMANAS!$B$6:$B$71,0)),0)</f>
        <v>147</v>
      </c>
      <c r="AD1672" s="19" t="n">
        <f aca="false">IF($AC1672&lt;=0,0,$AB1672/$AC1672)</f>
        <v>0</v>
      </c>
      <c r="AE1672" s="8" t="str">
        <f aca="false">IF($K1672="SEM CULTURA","SEM CULTURA",IF($AA1672&lt;=0,"DADO PENDENTE",IF($AD1672&gt;LIMITE_CRITICO,"INVIAVEL",IF($AD1672&gt;LIMITE_ATENCAO,"CRITICO",IF($AD1672&gt;LIMITE_CONFORTAVEL,"ATENCAO","OK")))))</f>
        <v>OK</v>
      </c>
      <c r="AF1672" s="8" t="str">
        <f aca="false">$B1672&amp;"|"&amp;TEXT($AD1672,"0.000000")</f>
        <v>17|0.000000</v>
      </c>
      <c r="AG1672" s="18" t="n">
        <f aca="false">IF($K1672="SEM CULTURA",0,$T1672*$H1672)</f>
        <v>5674.4933</v>
      </c>
      <c r="AH1672" s="18" t="n">
        <f aca="false">IF($K1672="SEM CULTURA",0,$V1672*$H1672)</f>
        <v>5828.82272</v>
      </c>
      <c r="AI1672" s="18" t="n">
        <f aca="false">IF($K1672="SEM CULTURA",0,$W1672*$H1672)</f>
        <v>0</v>
      </c>
      <c r="AJ1672" s="18" t="n">
        <f aca="false">IF($K1672="SEM CULTURA",0,$S1672*$H1672)</f>
        <v>4934.342</v>
      </c>
      <c r="AK1672" s="8" t="str">
        <f aca="false">$E1672&amp;"|"&amp;TEXT($AD1672,"0.000000")</f>
        <v>PV 122|0.000000</v>
      </c>
    </row>
    <row r="1673" customFormat="false" ht="15" hidden="false" customHeight="false" outlineLevel="0" collapsed="false">
      <c r="B1673" s="16" t="n">
        <v>18</v>
      </c>
      <c r="C1673" s="17" t="n">
        <f aca="false">DATA_INICIO_SAFRA+($B1673-1)*DIAS_POR_SEMANA</f>
        <v>46384</v>
      </c>
      <c r="D1673" s="17" t="n">
        <f aca="false">$C1673+DIAS_POR_SEMANA-1</f>
        <v>46390</v>
      </c>
      <c r="E1673" s="15" t="s">
        <v>284</v>
      </c>
      <c r="F1673" s="8" t="str">
        <f aca="false">IFERROR(INDEX(CADASTRO_PIVOS!$C$6:$C$41,MATCH($E1673,CADASTRO_PIVOS!$B$6:$B$41,0)),"?")</f>
        <v>RM07</v>
      </c>
      <c r="G1673" s="8" t="str">
        <f aca="false">IFERROR(INDEX(CADASTRO_PIVOS!$D$6:$D$41,MATCH($E1673,CADASTRO_PIVOS!$B$6:$B$41,0)),"?")</f>
        <v>TR07</v>
      </c>
      <c r="H1673" s="20" t="n">
        <f aca="false">IFERROR(INDEX(CADASTRO_PIVOS!$E$6:$E$41,MATCH($E1673,CADASTRO_PIVOS!$B$6:$B$41,0)),0)</f>
        <v>149.98</v>
      </c>
      <c r="I1673" s="16" t="n">
        <f aca="false">IFERROR(SUMIFS(ROTACAO_RDM!$B$6:$B$71,ROTACAO_RDM!$D$6:$D$71,$E1673,ROTACAO_RDM!$I$6:$I$71,"&lt;="&amp;$C1673+INT(DIAS_POR_SEMANA/2),ROTACAO_RDM!$J$6:$J$71,"&gt;="&amp;$C1673+INT(DIAS_POR_SEMANA/2)),0)</f>
        <v>39</v>
      </c>
      <c r="J1673" s="16" t="n">
        <f aca="false">IFERROR(MATCH($I1673,ROTACAO_RDM!$B$6:$B$71,0),0)</f>
        <v>39</v>
      </c>
      <c r="K1673" s="8" t="str">
        <f aca="false">IF($J1673=0,"SEM CULTURA",INDEX(ROTACAO_RDM!$F$6:$F$71,$J1673))</f>
        <v>SOJA</v>
      </c>
      <c r="L1673" s="8" t="str">
        <f aca="false">IF($J1673=0,"",INDEX(ROTACAO_RDM!$G$6:$G$71,$J1673))</f>
        <v>NEO 761 I2X</v>
      </c>
      <c r="M1673" s="17" t="n">
        <f aca="false">IF($J1673=0,"",INDEX(ROTACAO_RDM!$I$6:$I$71,$J1673))</f>
        <v>46310</v>
      </c>
      <c r="N1673" s="16" t="n">
        <f aca="false">IF($J1673=0,0,MAX(0,$C1673+INT(DIAS_POR_SEMANA/2)-INDEX(ROTACAO_RDM!$I$6:$I$71,$J1673)))</f>
        <v>77</v>
      </c>
      <c r="O1673" s="19" t="n">
        <f aca="false">IF($J1673=0,0,MIN(1,$N1673/MAX(1,INDEX(ROTACAO_RDM!$K$6:$K$71,$J1673))))</f>
        <v>0.663793103448276</v>
      </c>
      <c r="P1673" s="16" t="n">
        <f aca="false">IF($J1673=0,0,IFERROR(MATCH(INDEX(ROTACAO_RDM!$N$6:$N$71,$J1673),PARAMETROS_CULTURAS!$B$6:$B$28,0),0))</f>
        <v>2</v>
      </c>
      <c r="Q1673" s="8" t="str">
        <f aca="false">IF($P1673=0,"-",IF($O1673&lt;=INDEX(PARAMETROS_CULTURAS!$F$6:$F$28,$P1673),"INICIAL",IF($O1673&lt;=INDEX(PARAMETROS_CULTURAS!$F$6:$F$28,$P1673)+INDEX(PARAMETROS_CULTURAS!$G$6:$G$28,$P1673),"DESENVOLVIMENTO",IF($O1673&lt;=INDEX(PARAMETROS_CULTURAS!$F$6:$F$28,$P1673)+INDEX(PARAMETROS_CULTURAS!$G$6:$G$28,$P1673)+INDEX(PARAMETROS_CULTURAS!$H$6:$H$28,$P1673),"MEDIA","FINAL"))))</f>
        <v>MEDIA</v>
      </c>
      <c r="R1673" s="24" t="n">
        <f aca="false">IF($P1673=0,0,IF($O1673&lt;=INDEX(PARAMETROS_CULTURAS!$F$6:$F$28,$P1673),INDEX(PARAMETROS_CULTURAS!$K$6:$K$28,$P1673),IF($O1673&lt;=INDEX(PARAMETROS_CULTURAS!$F$6:$F$28,$P1673)+INDEX(PARAMETROS_CULTURAS!$G$6:$G$28,$P1673),INDEX(PARAMETROS_CULTURAS!$K$6:$K$28,$P1673)+(INDEX(PARAMETROS_CULTURAS!$L$6:$L$28,$P1673)-INDEX(PARAMETROS_CULTURAS!$K$6:$K$28,$P1673))*($O1673-INDEX(PARAMETROS_CULTURAS!$F$6:$F$28,$P1673))/MAX(INDEX(PARAMETROS_CULTURAS!$G$6:$G$28,$P1673),0.0001),IF($O1673&lt;=INDEX(PARAMETROS_CULTURAS!$F$6:$F$28,$P1673)+INDEX(PARAMETROS_CULTURAS!$G$6:$G$28,$P1673)+INDEX(PARAMETROS_CULTURAS!$H$6:$H$28,$P1673),INDEX(PARAMETROS_CULTURAS!$L$6:$L$28,$P1673),INDEX(PARAMETROS_CULTURAS!$L$6:$L$28,$P1673)+(INDEX(PARAMETROS_CULTURAS!$M$6:$M$28,$P1673)-INDEX(PARAMETROS_CULTURAS!$L$6:$L$28,$P1673))*($O1673-INDEX(PARAMETROS_CULTURAS!$F$6:$F$28,$P1673)-INDEX(PARAMETROS_CULTURAS!$G$6:$G$28,$P1673)-INDEX(PARAMETROS_CULTURAS!$H$6:$H$28,$P1673))/MAX(INDEX(PARAMETROS_CULTURAS!$I$6:$I$28,$P1673),0.0001)))))</f>
        <v>1.15</v>
      </c>
      <c r="S1673" s="18" t="n">
        <f aca="false">IFERROR(INDEX(SEMANAS!$H$6:$H$71,MATCH($B1673,SEMANAS!$B$6:$B$71,0)),0)</f>
        <v>33.2</v>
      </c>
      <c r="T1673" s="18" t="n">
        <f aca="false">$R1673*$S1673</f>
        <v>38.18</v>
      </c>
      <c r="U1673" s="18" t="n">
        <f aca="false">IFERROR(INDEX(SEMANAS!$I$6:$I$71,MATCH($B1673,SEMANAS!$B$6:$B$71,0)),0)</f>
        <v>47.11</v>
      </c>
      <c r="V1673" s="18" t="n">
        <f aca="false">IFERROR(INDEX(SEMANAS!$J$6:$J$71,MATCH($B1673,SEMANAS!$B$6:$B$71,0)),0)</f>
        <v>37.688</v>
      </c>
      <c r="W1673" s="18" t="n">
        <f aca="false">MAX(0,$T1673-$V1673)</f>
        <v>0.491999999999997</v>
      </c>
      <c r="X1673" s="19" t="n">
        <f aca="false">IFERROR(INDEX(CADASTRO_PIVOS!$K$6:$K$41,MATCH($E1673,CADASTRO_PIVOS!$B$6:$B$41,0)),EFICIENCIA_PADRAO)</f>
        <v>0.85</v>
      </c>
      <c r="Y1673" s="18" t="n">
        <f aca="false">IF($X1673&lt;=0,0,$W1673/$X1673)</f>
        <v>0.578823529411762</v>
      </c>
      <c r="Z1673" s="16" t="n">
        <f aca="false">$Y1673*$H1673*MM_PARA_M3_HA</f>
        <v>868.11952941176</v>
      </c>
      <c r="AA1673" s="18" t="n">
        <f aca="false">IFERROR(INDEX(CADASTRO_PIVOS!$I$6:$I$41,MATCH($E1673,CADASTRO_PIVOS!$B$6:$B$41,0)),0)</f>
        <v>1071.28571428571</v>
      </c>
      <c r="AB1673" s="18" t="n">
        <f aca="false">IF($Z1673&lt;=0,0,$Z1673/$AA1673)</f>
        <v>0.810352941176466</v>
      </c>
      <c r="AC1673" s="16" t="n">
        <f aca="false">IFERROR(INDEX(SEMANAS!$K$6:$K$71,MATCH($B1673,SEMANAS!$B$6:$B$71,0)),0)</f>
        <v>147</v>
      </c>
      <c r="AD1673" s="19" t="n">
        <f aca="false">IF($AC1673&lt;=0,0,$AB1673/$AC1673)</f>
        <v>0.00551260504201678</v>
      </c>
      <c r="AE1673" s="8" t="str">
        <f aca="false">IF($K1673="SEM CULTURA","SEM CULTURA",IF($AA1673&lt;=0,"DADO PENDENTE",IF($AD1673&gt;LIMITE_CRITICO,"INVIAVEL",IF($AD1673&gt;LIMITE_ATENCAO,"CRITICO",IF($AD1673&gt;LIMITE_CONFORTAVEL,"ATENCAO","OK")))))</f>
        <v>OK</v>
      </c>
      <c r="AF1673" s="8" t="str">
        <f aca="false">$B1673&amp;"|"&amp;TEXT($AD1673,"0.000000")</f>
        <v>18|0.005513</v>
      </c>
      <c r="AG1673" s="18" t="n">
        <f aca="false">IF($K1673="SEM CULTURA",0,$T1673*$H1673)</f>
        <v>5726.2364</v>
      </c>
      <c r="AH1673" s="18" t="n">
        <f aca="false">IF($K1673="SEM CULTURA",0,$V1673*$H1673)</f>
        <v>5652.44624</v>
      </c>
      <c r="AI1673" s="18" t="n">
        <f aca="false">IF($K1673="SEM CULTURA",0,$W1673*$H1673)</f>
        <v>73.7901599999996</v>
      </c>
      <c r="AJ1673" s="18" t="n">
        <f aca="false">IF($K1673="SEM CULTURA",0,$S1673*$H1673)</f>
        <v>4979.336</v>
      </c>
      <c r="AK1673" s="8" t="str">
        <f aca="false">$E1673&amp;"|"&amp;TEXT($AD1673,"0.000000")</f>
        <v>PV 122|0.005513</v>
      </c>
    </row>
    <row r="1674" customFormat="false" ht="15" hidden="false" customHeight="false" outlineLevel="0" collapsed="false">
      <c r="B1674" s="16" t="n">
        <v>19</v>
      </c>
      <c r="C1674" s="17" t="n">
        <f aca="false">DATA_INICIO_SAFRA+($B1674-1)*DIAS_POR_SEMANA</f>
        <v>46391</v>
      </c>
      <c r="D1674" s="17" t="n">
        <f aca="false">$C1674+DIAS_POR_SEMANA-1</f>
        <v>46397</v>
      </c>
      <c r="E1674" s="15" t="s">
        <v>284</v>
      </c>
      <c r="F1674" s="8" t="str">
        <f aca="false">IFERROR(INDEX(CADASTRO_PIVOS!$C$6:$C$41,MATCH($E1674,CADASTRO_PIVOS!$B$6:$B$41,0)),"?")</f>
        <v>RM07</v>
      </c>
      <c r="G1674" s="8" t="str">
        <f aca="false">IFERROR(INDEX(CADASTRO_PIVOS!$D$6:$D$41,MATCH($E1674,CADASTRO_PIVOS!$B$6:$B$41,0)),"?")</f>
        <v>TR07</v>
      </c>
      <c r="H1674" s="20" t="n">
        <f aca="false">IFERROR(INDEX(CADASTRO_PIVOS!$E$6:$E$41,MATCH($E1674,CADASTRO_PIVOS!$B$6:$B$41,0)),0)</f>
        <v>149.98</v>
      </c>
      <c r="I1674" s="16" t="n">
        <f aca="false">IFERROR(SUMIFS(ROTACAO_RDM!$B$6:$B$71,ROTACAO_RDM!$D$6:$D$71,$E1674,ROTACAO_RDM!$I$6:$I$71,"&lt;="&amp;$C1674+INT(DIAS_POR_SEMANA/2),ROTACAO_RDM!$J$6:$J$71,"&gt;="&amp;$C1674+INT(DIAS_POR_SEMANA/2)),0)</f>
        <v>39</v>
      </c>
      <c r="J1674" s="16" t="n">
        <f aca="false">IFERROR(MATCH($I1674,ROTACAO_RDM!$B$6:$B$71,0),0)</f>
        <v>39</v>
      </c>
      <c r="K1674" s="8" t="str">
        <f aca="false">IF($J1674=0,"SEM CULTURA",INDEX(ROTACAO_RDM!$F$6:$F$71,$J1674))</f>
        <v>SOJA</v>
      </c>
      <c r="L1674" s="8" t="str">
        <f aca="false">IF($J1674=0,"",INDEX(ROTACAO_RDM!$G$6:$G$71,$J1674))</f>
        <v>NEO 761 I2X</v>
      </c>
      <c r="M1674" s="17" t="n">
        <f aca="false">IF($J1674=0,"",INDEX(ROTACAO_RDM!$I$6:$I$71,$J1674))</f>
        <v>46310</v>
      </c>
      <c r="N1674" s="16" t="n">
        <f aca="false">IF($J1674=0,0,MAX(0,$C1674+INT(DIAS_POR_SEMANA/2)-INDEX(ROTACAO_RDM!$I$6:$I$71,$J1674)))</f>
        <v>84</v>
      </c>
      <c r="O1674" s="19" t="n">
        <f aca="false">IF($J1674=0,0,MIN(1,$N1674/MAX(1,INDEX(ROTACAO_RDM!$K$6:$K$71,$J1674))))</f>
        <v>0.724137931034483</v>
      </c>
      <c r="P1674" s="16" t="n">
        <f aca="false">IF($J1674=0,0,IFERROR(MATCH(INDEX(ROTACAO_RDM!$N$6:$N$71,$J1674),PARAMETROS_CULTURAS!$B$6:$B$28,0),0))</f>
        <v>2</v>
      </c>
      <c r="Q1674" s="8" t="str">
        <f aca="false">IF($P1674=0,"-",IF($O1674&lt;=INDEX(PARAMETROS_CULTURAS!$F$6:$F$28,$P1674),"INICIAL",IF($O1674&lt;=INDEX(PARAMETROS_CULTURAS!$F$6:$F$28,$P1674)+INDEX(PARAMETROS_CULTURAS!$G$6:$G$28,$P1674),"DESENVOLVIMENTO",IF($O1674&lt;=INDEX(PARAMETROS_CULTURAS!$F$6:$F$28,$P1674)+INDEX(PARAMETROS_CULTURAS!$G$6:$G$28,$P1674)+INDEX(PARAMETROS_CULTURAS!$H$6:$H$28,$P1674),"MEDIA","FINAL"))))</f>
        <v>MEDIA</v>
      </c>
      <c r="R1674" s="24" t="n">
        <f aca="false">IF($P1674=0,0,IF($O1674&lt;=INDEX(PARAMETROS_CULTURAS!$F$6:$F$28,$P1674),INDEX(PARAMETROS_CULTURAS!$K$6:$K$28,$P1674),IF($O1674&lt;=INDEX(PARAMETROS_CULTURAS!$F$6:$F$28,$P1674)+INDEX(PARAMETROS_CULTURAS!$G$6:$G$28,$P1674),INDEX(PARAMETROS_CULTURAS!$K$6:$K$28,$P1674)+(INDEX(PARAMETROS_CULTURAS!$L$6:$L$28,$P1674)-INDEX(PARAMETROS_CULTURAS!$K$6:$K$28,$P1674))*($O1674-INDEX(PARAMETROS_CULTURAS!$F$6:$F$28,$P1674))/MAX(INDEX(PARAMETROS_CULTURAS!$G$6:$G$28,$P1674),0.0001),IF($O1674&lt;=INDEX(PARAMETROS_CULTURAS!$F$6:$F$28,$P1674)+INDEX(PARAMETROS_CULTURAS!$G$6:$G$28,$P1674)+INDEX(PARAMETROS_CULTURAS!$H$6:$H$28,$P1674),INDEX(PARAMETROS_CULTURAS!$L$6:$L$28,$P1674),INDEX(PARAMETROS_CULTURAS!$L$6:$L$28,$P1674)+(INDEX(PARAMETROS_CULTURAS!$M$6:$M$28,$P1674)-INDEX(PARAMETROS_CULTURAS!$L$6:$L$28,$P1674))*($O1674-INDEX(PARAMETROS_CULTURAS!$F$6:$F$28,$P1674)-INDEX(PARAMETROS_CULTURAS!$G$6:$G$28,$P1674)-INDEX(PARAMETROS_CULTURAS!$H$6:$H$28,$P1674))/MAX(INDEX(PARAMETROS_CULTURAS!$I$6:$I$28,$P1674),0.0001)))))</f>
        <v>1.15</v>
      </c>
      <c r="S1674" s="18" t="n">
        <f aca="false">IFERROR(INDEX(SEMANAS!$H$6:$H$71,MATCH($B1674,SEMANAS!$B$6:$B$71,0)),0)</f>
        <v>33.6</v>
      </c>
      <c r="T1674" s="18" t="n">
        <f aca="false">$R1674*$S1674</f>
        <v>38.64</v>
      </c>
      <c r="U1674" s="18" t="n">
        <f aca="false">IFERROR(INDEX(SEMANAS!$I$6:$I$71,MATCH($B1674,SEMANAS!$B$6:$B$71,0)),0)</f>
        <v>45.15</v>
      </c>
      <c r="V1674" s="18" t="n">
        <f aca="false">IFERROR(INDEX(SEMANAS!$J$6:$J$71,MATCH($B1674,SEMANAS!$B$6:$B$71,0)),0)</f>
        <v>36.12</v>
      </c>
      <c r="W1674" s="18" t="n">
        <f aca="false">MAX(0,$T1674-$V1674)</f>
        <v>2.52</v>
      </c>
      <c r="X1674" s="19" t="n">
        <f aca="false">IFERROR(INDEX(CADASTRO_PIVOS!$K$6:$K$41,MATCH($E1674,CADASTRO_PIVOS!$B$6:$B$41,0)),EFICIENCIA_PADRAO)</f>
        <v>0.85</v>
      </c>
      <c r="Y1674" s="18" t="n">
        <f aca="false">IF($X1674&lt;=0,0,$W1674/$X1674)</f>
        <v>2.96470588235294</v>
      </c>
      <c r="Z1674" s="16" t="n">
        <f aca="false">$Y1674*$H1674*MM_PARA_M3_HA</f>
        <v>4446.46588235293</v>
      </c>
      <c r="AA1674" s="18" t="n">
        <f aca="false">IFERROR(INDEX(CADASTRO_PIVOS!$I$6:$I$41,MATCH($E1674,CADASTRO_PIVOS!$B$6:$B$41,0)),0)</f>
        <v>1071.28571428571</v>
      </c>
      <c r="AB1674" s="18" t="n">
        <f aca="false">IF($Z1674&lt;=0,0,$Z1674/$AA1674)</f>
        <v>4.15058823529411</v>
      </c>
      <c r="AC1674" s="16" t="n">
        <f aca="false">IFERROR(INDEX(SEMANAS!$K$6:$K$71,MATCH($B1674,SEMANAS!$B$6:$B$71,0)),0)</f>
        <v>147</v>
      </c>
      <c r="AD1674" s="19" t="n">
        <f aca="false">IF($AC1674&lt;=0,0,$AB1674/$AC1674)</f>
        <v>0.028235294117647</v>
      </c>
      <c r="AE1674" s="8" t="str">
        <f aca="false">IF($K1674="SEM CULTURA","SEM CULTURA",IF($AA1674&lt;=0,"DADO PENDENTE",IF($AD1674&gt;LIMITE_CRITICO,"INVIAVEL",IF($AD1674&gt;LIMITE_ATENCAO,"CRITICO",IF($AD1674&gt;LIMITE_CONFORTAVEL,"ATENCAO","OK")))))</f>
        <v>OK</v>
      </c>
      <c r="AF1674" s="8" t="str">
        <f aca="false">$B1674&amp;"|"&amp;TEXT($AD1674,"0.000000")</f>
        <v>19|0.028235</v>
      </c>
      <c r="AG1674" s="18" t="n">
        <f aca="false">IF($K1674="SEM CULTURA",0,$T1674*$H1674)</f>
        <v>5795.2272</v>
      </c>
      <c r="AH1674" s="18" t="n">
        <f aca="false">IF($K1674="SEM CULTURA",0,$V1674*$H1674)</f>
        <v>5417.2776</v>
      </c>
      <c r="AI1674" s="18" t="n">
        <f aca="false">IF($K1674="SEM CULTURA",0,$W1674*$H1674)</f>
        <v>377.949599999999</v>
      </c>
      <c r="AJ1674" s="18" t="n">
        <f aca="false">IF($K1674="SEM CULTURA",0,$S1674*$H1674)</f>
        <v>5039.328</v>
      </c>
      <c r="AK1674" s="8" t="str">
        <f aca="false">$E1674&amp;"|"&amp;TEXT($AD1674,"0.000000")</f>
        <v>PV 122|0.028235</v>
      </c>
    </row>
    <row r="1675" customFormat="false" ht="15" hidden="false" customHeight="false" outlineLevel="0" collapsed="false">
      <c r="B1675" s="16" t="n">
        <v>20</v>
      </c>
      <c r="C1675" s="17" t="n">
        <f aca="false">DATA_INICIO_SAFRA+($B1675-1)*DIAS_POR_SEMANA</f>
        <v>46398</v>
      </c>
      <c r="D1675" s="17" t="n">
        <f aca="false">$C1675+DIAS_POR_SEMANA-1</f>
        <v>46404</v>
      </c>
      <c r="E1675" s="15" t="s">
        <v>284</v>
      </c>
      <c r="F1675" s="8" t="str">
        <f aca="false">IFERROR(INDEX(CADASTRO_PIVOS!$C$6:$C$41,MATCH($E1675,CADASTRO_PIVOS!$B$6:$B$41,0)),"?")</f>
        <v>RM07</v>
      </c>
      <c r="G1675" s="8" t="str">
        <f aca="false">IFERROR(INDEX(CADASTRO_PIVOS!$D$6:$D$41,MATCH($E1675,CADASTRO_PIVOS!$B$6:$B$41,0)),"?")</f>
        <v>TR07</v>
      </c>
      <c r="H1675" s="20" t="n">
        <f aca="false">IFERROR(INDEX(CADASTRO_PIVOS!$E$6:$E$41,MATCH($E1675,CADASTRO_PIVOS!$B$6:$B$41,0)),0)</f>
        <v>149.98</v>
      </c>
      <c r="I1675" s="16" t="n">
        <f aca="false">IFERROR(SUMIFS(ROTACAO_RDM!$B$6:$B$71,ROTACAO_RDM!$D$6:$D$71,$E1675,ROTACAO_RDM!$I$6:$I$71,"&lt;="&amp;$C1675+INT(DIAS_POR_SEMANA/2),ROTACAO_RDM!$J$6:$J$71,"&gt;="&amp;$C1675+INT(DIAS_POR_SEMANA/2)),0)</f>
        <v>39</v>
      </c>
      <c r="J1675" s="16" t="n">
        <f aca="false">IFERROR(MATCH($I1675,ROTACAO_RDM!$B$6:$B$71,0),0)</f>
        <v>39</v>
      </c>
      <c r="K1675" s="8" t="str">
        <f aca="false">IF($J1675=0,"SEM CULTURA",INDEX(ROTACAO_RDM!$F$6:$F$71,$J1675))</f>
        <v>SOJA</v>
      </c>
      <c r="L1675" s="8" t="str">
        <f aca="false">IF($J1675=0,"",INDEX(ROTACAO_RDM!$G$6:$G$71,$J1675))</f>
        <v>NEO 761 I2X</v>
      </c>
      <c r="M1675" s="17" t="n">
        <f aca="false">IF($J1675=0,"",INDEX(ROTACAO_RDM!$I$6:$I$71,$J1675))</f>
        <v>46310</v>
      </c>
      <c r="N1675" s="16" t="n">
        <f aca="false">IF($J1675=0,0,MAX(0,$C1675+INT(DIAS_POR_SEMANA/2)-INDEX(ROTACAO_RDM!$I$6:$I$71,$J1675)))</f>
        <v>91</v>
      </c>
      <c r="O1675" s="19" t="n">
        <f aca="false">IF($J1675=0,0,MIN(1,$N1675/MAX(1,INDEX(ROTACAO_RDM!$K$6:$K$71,$J1675))))</f>
        <v>0.78448275862069</v>
      </c>
      <c r="P1675" s="16" t="n">
        <f aca="false">IF($J1675=0,0,IFERROR(MATCH(INDEX(ROTACAO_RDM!$N$6:$N$71,$J1675),PARAMETROS_CULTURAS!$B$6:$B$28,0),0))</f>
        <v>2</v>
      </c>
      <c r="Q1675" s="8" t="str">
        <f aca="false">IF($P1675=0,"-",IF($O1675&lt;=INDEX(PARAMETROS_CULTURAS!$F$6:$F$28,$P1675),"INICIAL",IF($O1675&lt;=INDEX(PARAMETROS_CULTURAS!$F$6:$F$28,$P1675)+INDEX(PARAMETROS_CULTURAS!$G$6:$G$28,$P1675),"DESENVOLVIMENTO",IF($O1675&lt;=INDEX(PARAMETROS_CULTURAS!$F$6:$F$28,$P1675)+INDEX(PARAMETROS_CULTURAS!$G$6:$G$28,$P1675)+INDEX(PARAMETROS_CULTURAS!$H$6:$H$28,$P1675),"MEDIA","FINAL"))))</f>
        <v>MEDIA</v>
      </c>
      <c r="R1675" s="24" t="n">
        <f aca="false">IF($P1675=0,0,IF($O1675&lt;=INDEX(PARAMETROS_CULTURAS!$F$6:$F$28,$P1675),INDEX(PARAMETROS_CULTURAS!$K$6:$K$28,$P1675),IF($O1675&lt;=INDEX(PARAMETROS_CULTURAS!$F$6:$F$28,$P1675)+INDEX(PARAMETROS_CULTURAS!$G$6:$G$28,$P1675),INDEX(PARAMETROS_CULTURAS!$K$6:$K$28,$P1675)+(INDEX(PARAMETROS_CULTURAS!$L$6:$L$28,$P1675)-INDEX(PARAMETROS_CULTURAS!$K$6:$K$28,$P1675))*($O1675-INDEX(PARAMETROS_CULTURAS!$F$6:$F$28,$P1675))/MAX(INDEX(PARAMETROS_CULTURAS!$G$6:$G$28,$P1675),0.0001),IF($O1675&lt;=INDEX(PARAMETROS_CULTURAS!$F$6:$F$28,$P1675)+INDEX(PARAMETROS_CULTURAS!$G$6:$G$28,$P1675)+INDEX(PARAMETROS_CULTURAS!$H$6:$H$28,$P1675),INDEX(PARAMETROS_CULTURAS!$L$6:$L$28,$P1675),INDEX(PARAMETROS_CULTURAS!$L$6:$L$28,$P1675)+(INDEX(PARAMETROS_CULTURAS!$M$6:$M$28,$P1675)-INDEX(PARAMETROS_CULTURAS!$L$6:$L$28,$P1675))*($O1675-INDEX(PARAMETROS_CULTURAS!$F$6:$F$28,$P1675)-INDEX(PARAMETROS_CULTURAS!$G$6:$G$28,$P1675)-INDEX(PARAMETROS_CULTURAS!$H$6:$H$28,$P1675))/MAX(INDEX(PARAMETROS_CULTURAS!$I$6:$I$28,$P1675),0.0001)))))</f>
        <v>1.15</v>
      </c>
      <c r="S1675" s="18" t="n">
        <f aca="false">IFERROR(INDEX(SEMANAS!$H$6:$H$71,MATCH($B1675,SEMANAS!$B$6:$B$71,0)),0)</f>
        <v>33.6</v>
      </c>
      <c r="T1675" s="18" t="n">
        <f aca="false">$R1675*$S1675</f>
        <v>38.64</v>
      </c>
      <c r="U1675" s="18" t="n">
        <f aca="false">IFERROR(INDEX(SEMANAS!$I$6:$I$71,MATCH($B1675,SEMANAS!$B$6:$B$71,0)),0)</f>
        <v>45.15</v>
      </c>
      <c r="V1675" s="18" t="n">
        <f aca="false">IFERROR(INDEX(SEMANAS!$J$6:$J$71,MATCH($B1675,SEMANAS!$B$6:$B$71,0)),0)</f>
        <v>36.12</v>
      </c>
      <c r="W1675" s="18" t="n">
        <f aca="false">MAX(0,$T1675-$V1675)</f>
        <v>2.52</v>
      </c>
      <c r="X1675" s="19" t="n">
        <f aca="false">IFERROR(INDEX(CADASTRO_PIVOS!$K$6:$K$41,MATCH($E1675,CADASTRO_PIVOS!$B$6:$B$41,0)),EFICIENCIA_PADRAO)</f>
        <v>0.85</v>
      </c>
      <c r="Y1675" s="18" t="n">
        <f aca="false">IF($X1675&lt;=0,0,$W1675/$X1675)</f>
        <v>2.96470588235294</v>
      </c>
      <c r="Z1675" s="16" t="n">
        <f aca="false">$Y1675*$H1675*MM_PARA_M3_HA</f>
        <v>4446.46588235293</v>
      </c>
      <c r="AA1675" s="18" t="n">
        <f aca="false">IFERROR(INDEX(CADASTRO_PIVOS!$I$6:$I$41,MATCH($E1675,CADASTRO_PIVOS!$B$6:$B$41,0)),0)</f>
        <v>1071.28571428571</v>
      </c>
      <c r="AB1675" s="18" t="n">
        <f aca="false">IF($Z1675&lt;=0,0,$Z1675/$AA1675)</f>
        <v>4.15058823529411</v>
      </c>
      <c r="AC1675" s="16" t="n">
        <f aca="false">IFERROR(INDEX(SEMANAS!$K$6:$K$71,MATCH($B1675,SEMANAS!$B$6:$B$71,0)),0)</f>
        <v>147</v>
      </c>
      <c r="AD1675" s="19" t="n">
        <f aca="false">IF($AC1675&lt;=0,0,$AB1675/$AC1675)</f>
        <v>0.028235294117647</v>
      </c>
      <c r="AE1675" s="8" t="str">
        <f aca="false">IF($K1675="SEM CULTURA","SEM CULTURA",IF($AA1675&lt;=0,"DADO PENDENTE",IF($AD1675&gt;LIMITE_CRITICO,"INVIAVEL",IF($AD1675&gt;LIMITE_ATENCAO,"CRITICO",IF($AD1675&gt;LIMITE_CONFORTAVEL,"ATENCAO","OK")))))</f>
        <v>OK</v>
      </c>
      <c r="AF1675" s="8" t="str">
        <f aca="false">$B1675&amp;"|"&amp;TEXT($AD1675,"0.000000")</f>
        <v>20|0.028235</v>
      </c>
      <c r="AG1675" s="18" t="n">
        <f aca="false">IF($K1675="SEM CULTURA",0,$T1675*$H1675)</f>
        <v>5795.2272</v>
      </c>
      <c r="AH1675" s="18" t="n">
        <f aca="false">IF($K1675="SEM CULTURA",0,$V1675*$H1675)</f>
        <v>5417.2776</v>
      </c>
      <c r="AI1675" s="18" t="n">
        <f aca="false">IF($K1675="SEM CULTURA",0,$W1675*$H1675)</f>
        <v>377.949599999999</v>
      </c>
      <c r="AJ1675" s="18" t="n">
        <f aca="false">IF($K1675="SEM CULTURA",0,$S1675*$H1675)</f>
        <v>5039.328</v>
      </c>
      <c r="AK1675" s="8" t="str">
        <f aca="false">$E1675&amp;"|"&amp;TEXT($AD1675,"0.000000")</f>
        <v>PV 122|0.028235</v>
      </c>
    </row>
    <row r="1676" customFormat="false" ht="15" hidden="false" customHeight="false" outlineLevel="0" collapsed="false">
      <c r="B1676" s="16" t="n">
        <v>21</v>
      </c>
      <c r="C1676" s="17" t="n">
        <f aca="false">DATA_INICIO_SAFRA+($B1676-1)*DIAS_POR_SEMANA</f>
        <v>46405</v>
      </c>
      <c r="D1676" s="17" t="n">
        <f aca="false">$C1676+DIAS_POR_SEMANA-1</f>
        <v>46411</v>
      </c>
      <c r="E1676" s="15" t="s">
        <v>284</v>
      </c>
      <c r="F1676" s="8" t="str">
        <f aca="false">IFERROR(INDEX(CADASTRO_PIVOS!$C$6:$C$41,MATCH($E1676,CADASTRO_PIVOS!$B$6:$B$41,0)),"?")</f>
        <v>RM07</v>
      </c>
      <c r="G1676" s="8" t="str">
        <f aca="false">IFERROR(INDEX(CADASTRO_PIVOS!$D$6:$D$41,MATCH($E1676,CADASTRO_PIVOS!$B$6:$B$41,0)),"?")</f>
        <v>TR07</v>
      </c>
      <c r="H1676" s="20" t="n">
        <f aca="false">IFERROR(INDEX(CADASTRO_PIVOS!$E$6:$E$41,MATCH($E1676,CADASTRO_PIVOS!$B$6:$B$41,0)),0)</f>
        <v>149.98</v>
      </c>
      <c r="I1676" s="16" t="n">
        <f aca="false">IFERROR(SUMIFS(ROTACAO_RDM!$B$6:$B$71,ROTACAO_RDM!$D$6:$D$71,$E1676,ROTACAO_RDM!$I$6:$I$71,"&lt;="&amp;$C1676+INT(DIAS_POR_SEMANA/2),ROTACAO_RDM!$J$6:$J$71,"&gt;="&amp;$C1676+INT(DIAS_POR_SEMANA/2)),0)</f>
        <v>39</v>
      </c>
      <c r="J1676" s="16" t="n">
        <f aca="false">IFERROR(MATCH($I1676,ROTACAO_RDM!$B$6:$B$71,0),0)</f>
        <v>39</v>
      </c>
      <c r="K1676" s="8" t="str">
        <f aca="false">IF($J1676=0,"SEM CULTURA",INDEX(ROTACAO_RDM!$F$6:$F$71,$J1676))</f>
        <v>SOJA</v>
      </c>
      <c r="L1676" s="8" t="str">
        <f aca="false">IF($J1676=0,"",INDEX(ROTACAO_RDM!$G$6:$G$71,$J1676))</f>
        <v>NEO 761 I2X</v>
      </c>
      <c r="M1676" s="17" t="n">
        <f aca="false">IF($J1676=0,"",INDEX(ROTACAO_RDM!$I$6:$I$71,$J1676))</f>
        <v>46310</v>
      </c>
      <c r="N1676" s="16" t="n">
        <f aca="false">IF($J1676=0,0,MAX(0,$C1676+INT(DIAS_POR_SEMANA/2)-INDEX(ROTACAO_RDM!$I$6:$I$71,$J1676)))</f>
        <v>98</v>
      </c>
      <c r="O1676" s="19" t="n">
        <f aca="false">IF($J1676=0,0,MIN(1,$N1676/MAX(1,INDEX(ROTACAO_RDM!$K$6:$K$71,$J1676))))</f>
        <v>0.844827586206897</v>
      </c>
      <c r="P1676" s="16" t="n">
        <f aca="false">IF($J1676=0,0,IFERROR(MATCH(INDEX(ROTACAO_RDM!$N$6:$N$71,$J1676),PARAMETROS_CULTURAS!$B$6:$B$28,0),0))</f>
        <v>2</v>
      </c>
      <c r="Q1676" s="8" t="str">
        <f aca="false">IF($P1676=0,"-",IF($O1676&lt;=INDEX(PARAMETROS_CULTURAS!$F$6:$F$28,$P1676),"INICIAL",IF($O1676&lt;=INDEX(PARAMETROS_CULTURAS!$F$6:$F$28,$P1676)+INDEX(PARAMETROS_CULTURAS!$G$6:$G$28,$P1676),"DESENVOLVIMENTO",IF($O1676&lt;=INDEX(PARAMETROS_CULTURAS!$F$6:$F$28,$P1676)+INDEX(PARAMETROS_CULTURAS!$G$6:$G$28,$P1676)+INDEX(PARAMETROS_CULTURAS!$H$6:$H$28,$P1676),"MEDIA","FINAL"))))</f>
        <v>FINAL</v>
      </c>
      <c r="R1676" s="24" t="n">
        <f aca="false">IF($P1676=0,0,IF($O1676&lt;=INDEX(PARAMETROS_CULTURAS!$F$6:$F$28,$P1676),INDEX(PARAMETROS_CULTURAS!$K$6:$K$28,$P1676),IF($O1676&lt;=INDEX(PARAMETROS_CULTURAS!$F$6:$F$28,$P1676)+INDEX(PARAMETROS_CULTURAS!$G$6:$G$28,$P1676),INDEX(PARAMETROS_CULTURAS!$K$6:$K$28,$P1676)+(INDEX(PARAMETROS_CULTURAS!$L$6:$L$28,$P1676)-INDEX(PARAMETROS_CULTURAS!$K$6:$K$28,$P1676))*($O1676-INDEX(PARAMETROS_CULTURAS!$F$6:$F$28,$P1676))/MAX(INDEX(PARAMETROS_CULTURAS!$G$6:$G$28,$P1676),0.0001),IF($O1676&lt;=INDEX(PARAMETROS_CULTURAS!$F$6:$F$28,$P1676)+INDEX(PARAMETROS_CULTURAS!$G$6:$G$28,$P1676)+INDEX(PARAMETROS_CULTURAS!$H$6:$H$28,$P1676),INDEX(PARAMETROS_CULTURAS!$L$6:$L$28,$P1676),INDEX(PARAMETROS_CULTURAS!$L$6:$L$28,$P1676)+(INDEX(PARAMETROS_CULTURAS!$M$6:$M$28,$P1676)-INDEX(PARAMETROS_CULTURAS!$L$6:$L$28,$P1676))*($O1676-INDEX(PARAMETROS_CULTURAS!$F$6:$F$28,$P1676)-INDEX(PARAMETROS_CULTURAS!$G$6:$G$28,$P1676)-INDEX(PARAMETROS_CULTURAS!$H$6:$H$28,$P1676))/MAX(INDEX(PARAMETROS_CULTURAS!$I$6:$I$28,$P1676),0.0001)))))</f>
        <v>1.03085299455535</v>
      </c>
      <c r="S1676" s="18" t="n">
        <f aca="false">IFERROR(INDEX(SEMANAS!$H$6:$H$71,MATCH($B1676,SEMANAS!$B$6:$B$71,0)),0)</f>
        <v>33.6</v>
      </c>
      <c r="T1676" s="18" t="n">
        <f aca="false">$R1676*$S1676</f>
        <v>34.6366606170599</v>
      </c>
      <c r="U1676" s="18" t="n">
        <f aca="false">IFERROR(INDEX(SEMANAS!$I$6:$I$71,MATCH($B1676,SEMANAS!$B$6:$B$71,0)),0)</f>
        <v>45.15</v>
      </c>
      <c r="V1676" s="18" t="n">
        <f aca="false">IFERROR(INDEX(SEMANAS!$J$6:$J$71,MATCH($B1676,SEMANAS!$B$6:$B$71,0)),0)</f>
        <v>36.12</v>
      </c>
      <c r="W1676" s="18" t="n">
        <f aca="false">MAX(0,$T1676-$V1676)</f>
        <v>0</v>
      </c>
      <c r="X1676" s="19" t="n">
        <f aca="false">IFERROR(INDEX(CADASTRO_PIVOS!$K$6:$K$41,MATCH($E1676,CADASTRO_PIVOS!$B$6:$B$41,0)),EFICIENCIA_PADRAO)</f>
        <v>0.85</v>
      </c>
      <c r="Y1676" s="18" t="n">
        <f aca="false">IF($X1676&lt;=0,0,$W1676/$X1676)</f>
        <v>0</v>
      </c>
      <c r="Z1676" s="16" t="n">
        <f aca="false">$Y1676*$H1676*MM_PARA_M3_HA</f>
        <v>0</v>
      </c>
      <c r="AA1676" s="18" t="n">
        <f aca="false">IFERROR(INDEX(CADASTRO_PIVOS!$I$6:$I$41,MATCH($E1676,CADASTRO_PIVOS!$B$6:$B$41,0)),0)</f>
        <v>1071.28571428571</v>
      </c>
      <c r="AB1676" s="18" t="n">
        <f aca="false">IF($Z1676&lt;=0,0,$Z1676/$AA1676)</f>
        <v>0</v>
      </c>
      <c r="AC1676" s="16" t="n">
        <f aca="false">IFERROR(INDEX(SEMANAS!$K$6:$K$71,MATCH($B1676,SEMANAS!$B$6:$B$71,0)),0)</f>
        <v>147</v>
      </c>
      <c r="AD1676" s="19" t="n">
        <f aca="false">IF($AC1676&lt;=0,0,$AB1676/$AC1676)</f>
        <v>0</v>
      </c>
      <c r="AE1676" s="8" t="str">
        <f aca="false">IF($K1676="SEM CULTURA","SEM CULTURA",IF($AA1676&lt;=0,"DADO PENDENTE",IF($AD1676&gt;LIMITE_CRITICO,"INVIAVEL",IF($AD1676&gt;LIMITE_ATENCAO,"CRITICO",IF($AD1676&gt;LIMITE_CONFORTAVEL,"ATENCAO","OK")))))</f>
        <v>OK</v>
      </c>
      <c r="AF1676" s="8" t="str">
        <f aca="false">$B1676&amp;"|"&amp;TEXT($AD1676,"0.000000")</f>
        <v>21|0.000000</v>
      </c>
      <c r="AG1676" s="18" t="n">
        <f aca="false">IF($K1676="SEM CULTURA",0,$T1676*$H1676)</f>
        <v>5194.80635934664</v>
      </c>
      <c r="AH1676" s="18" t="n">
        <f aca="false">IF($K1676="SEM CULTURA",0,$V1676*$H1676)</f>
        <v>5417.2776</v>
      </c>
      <c r="AI1676" s="18" t="n">
        <f aca="false">IF($K1676="SEM CULTURA",0,$W1676*$H1676)</f>
        <v>0</v>
      </c>
      <c r="AJ1676" s="18" t="n">
        <f aca="false">IF($K1676="SEM CULTURA",0,$S1676*$H1676)</f>
        <v>5039.328</v>
      </c>
      <c r="AK1676" s="8" t="str">
        <f aca="false">$E1676&amp;"|"&amp;TEXT($AD1676,"0.000000")</f>
        <v>PV 122|0.000000</v>
      </c>
    </row>
    <row r="1677" customFormat="false" ht="15" hidden="false" customHeight="false" outlineLevel="0" collapsed="false">
      <c r="B1677" s="16" t="n">
        <v>22</v>
      </c>
      <c r="C1677" s="17" t="n">
        <f aca="false">DATA_INICIO_SAFRA+($B1677-1)*DIAS_POR_SEMANA</f>
        <v>46412</v>
      </c>
      <c r="D1677" s="17" t="n">
        <f aca="false">$C1677+DIAS_POR_SEMANA-1</f>
        <v>46418</v>
      </c>
      <c r="E1677" s="15" t="s">
        <v>284</v>
      </c>
      <c r="F1677" s="8" t="str">
        <f aca="false">IFERROR(INDEX(CADASTRO_PIVOS!$C$6:$C$41,MATCH($E1677,CADASTRO_PIVOS!$B$6:$B$41,0)),"?")</f>
        <v>RM07</v>
      </c>
      <c r="G1677" s="8" t="str">
        <f aca="false">IFERROR(INDEX(CADASTRO_PIVOS!$D$6:$D$41,MATCH($E1677,CADASTRO_PIVOS!$B$6:$B$41,0)),"?")</f>
        <v>TR07</v>
      </c>
      <c r="H1677" s="20" t="n">
        <f aca="false">IFERROR(INDEX(CADASTRO_PIVOS!$E$6:$E$41,MATCH($E1677,CADASTRO_PIVOS!$B$6:$B$41,0)),0)</f>
        <v>149.98</v>
      </c>
      <c r="I1677" s="16" t="n">
        <f aca="false">IFERROR(SUMIFS(ROTACAO_RDM!$B$6:$B$71,ROTACAO_RDM!$D$6:$D$71,$E1677,ROTACAO_RDM!$I$6:$I$71,"&lt;="&amp;$C1677+INT(DIAS_POR_SEMANA/2),ROTACAO_RDM!$J$6:$J$71,"&gt;="&amp;$C1677+INT(DIAS_POR_SEMANA/2)),0)</f>
        <v>39</v>
      </c>
      <c r="J1677" s="16" t="n">
        <f aca="false">IFERROR(MATCH($I1677,ROTACAO_RDM!$B$6:$B$71,0),0)</f>
        <v>39</v>
      </c>
      <c r="K1677" s="8" t="str">
        <f aca="false">IF($J1677=0,"SEM CULTURA",INDEX(ROTACAO_RDM!$F$6:$F$71,$J1677))</f>
        <v>SOJA</v>
      </c>
      <c r="L1677" s="8" t="str">
        <f aca="false">IF($J1677=0,"",INDEX(ROTACAO_RDM!$G$6:$G$71,$J1677))</f>
        <v>NEO 761 I2X</v>
      </c>
      <c r="M1677" s="17" t="n">
        <f aca="false">IF($J1677=0,"",INDEX(ROTACAO_RDM!$I$6:$I$71,$J1677))</f>
        <v>46310</v>
      </c>
      <c r="N1677" s="16" t="n">
        <f aca="false">IF($J1677=0,0,MAX(0,$C1677+INT(DIAS_POR_SEMANA/2)-INDEX(ROTACAO_RDM!$I$6:$I$71,$J1677)))</f>
        <v>105</v>
      </c>
      <c r="O1677" s="19" t="n">
        <f aca="false">IF($J1677=0,0,MIN(1,$N1677/MAX(1,INDEX(ROTACAO_RDM!$K$6:$K$71,$J1677))))</f>
        <v>0.905172413793103</v>
      </c>
      <c r="P1677" s="16" t="n">
        <f aca="false">IF($J1677=0,0,IFERROR(MATCH(INDEX(ROTACAO_RDM!$N$6:$N$71,$J1677),PARAMETROS_CULTURAS!$B$6:$B$28,0),0))</f>
        <v>2</v>
      </c>
      <c r="Q1677" s="8" t="str">
        <f aca="false">IF($P1677=0,"-",IF($O1677&lt;=INDEX(PARAMETROS_CULTURAS!$F$6:$F$28,$P1677),"INICIAL",IF($O1677&lt;=INDEX(PARAMETROS_CULTURAS!$F$6:$F$28,$P1677)+INDEX(PARAMETROS_CULTURAS!$G$6:$G$28,$P1677),"DESENVOLVIMENTO",IF($O1677&lt;=INDEX(PARAMETROS_CULTURAS!$F$6:$F$28,$P1677)+INDEX(PARAMETROS_CULTURAS!$G$6:$G$28,$P1677)+INDEX(PARAMETROS_CULTURAS!$H$6:$H$28,$P1677),"MEDIA","FINAL"))))</f>
        <v>FINAL</v>
      </c>
      <c r="R1677" s="24" t="n">
        <f aca="false">IF($P1677=0,0,IF($O1677&lt;=INDEX(PARAMETROS_CULTURAS!$F$6:$F$28,$P1677),INDEX(PARAMETROS_CULTURAS!$K$6:$K$28,$P1677),IF($O1677&lt;=INDEX(PARAMETROS_CULTURAS!$F$6:$F$28,$P1677)+INDEX(PARAMETROS_CULTURAS!$G$6:$G$28,$P1677),INDEX(PARAMETROS_CULTURAS!$K$6:$K$28,$P1677)+(INDEX(PARAMETROS_CULTURAS!$L$6:$L$28,$P1677)-INDEX(PARAMETROS_CULTURAS!$K$6:$K$28,$P1677))*($O1677-INDEX(PARAMETROS_CULTURAS!$F$6:$F$28,$P1677))/MAX(INDEX(PARAMETROS_CULTURAS!$G$6:$G$28,$P1677),0.0001),IF($O1677&lt;=INDEX(PARAMETROS_CULTURAS!$F$6:$F$28,$P1677)+INDEX(PARAMETROS_CULTURAS!$G$6:$G$28,$P1677)+INDEX(PARAMETROS_CULTURAS!$H$6:$H$28,$P1677),INDEX(PARAMETROS_CULTURAS!$L$6:$L$28,$P1677),INDEX(PARAMETROS_CULTURAS!$L$6:$L$28,$P1677)+(INDEX(PARAMETROS_CULTURAS!$M$6:$M$28,$P1677)-INDEX(PARAMETROS_CULTURAS!$L$6:$L$28,$P1677))*($O1677-INDEX(PARAMETROS_CULTURAS!$F$6:$F$28,$P1677)-INDEX(PARAMETROS_CULTURAS!$G$6:$G$28,$P1677)-INDEX(PARAMETROS_CULTURAS!$H$6:$H$28,$P1677))/MAX(INDEX(PARAMETROS_CULTURAS!$I$6:$I$28,$P1677),0.0001)))))</f>
        <v>0.824410163339383</v>
      </c>
      <c r="S1677" s="18" t="n">
        <f aca="false">IFERROR(INDEX(SEMANAS!$H$6:$H$71,MATCH($B1677,SEMANAS!$B$6:$B$71,0)),0)</f>
        <v>33.6</v>
      </c>
      <c r="T1677" s="18" t="n">
        <f aca="false">$R1677*$S1677</f>
        <v>27.7001814882033</v>
      </c>
      <c r="U1677" s="18" t="n">
        <f aca="false">IFERROR(INDEX(SEMANAS!$I$6:$I$71,MATCH($B1677,SEMANAS!$B$6:$B$71,0)),0)</f>
        <v>45.15</v>
      </c>
      <c r="V1677" s="18" t="n">
        <f aca="false">IFERROR(INDEX(SEMANAS!$J$6:$J$71,MATCH($B1677,SEMANAS!$B$6:$B$71,0)),0)</f>
        <v>36.12</v>
      </c>
      <c r="W1677" s="18" t="n">
        <f aca="false">MAX(0,$T1677-$V1677)</f>
        <v>0</v>
      </c>
      <c r="X1677" s="19" t="n">
        <f aca="false">IFERROR(INDEX(CADASTRO_PIVOS!$K$6:$K$41,MATCH($E1677,CADASTRO_PIVOS!$B$6:$B$41,0)),EFICIENCIA_PADRAO)</f>
        <v>0.85</v>
      </c>
      <c r="Y1677" s="18" t="n">
        <f aca="false">IF($X1677&lt;=0,0,$W1677/$X1677)</f>
        <v>0</v>
      </c>
      <c r="Z1677" s="16" t="n">
        <f aca="false">$Y1677*$H1677*MM_PARA_M3_HA</f>
        <v>0</v>
      </c>
      <c r="AA1677" s="18" t="n">
        <f aca="false">IFERROR(INDEX(CADASTRO_PIVOS!$I$6:$I$41,MATCH($E1677,CADASTRO_PIVOS!$B$6:$B$41,0)),0)</f>
        <v>1071.28571428571</v>
      </c>
      <c r="AB1677" s="18" t="n">
        <f aca="false">IF($Z1677&lt;=0,0,$Z1677/$AA1677)</f>
        <v>0</v>
      </c>
      <c r="AC1677" s="16" t="n">
        <f aca="false">IFERROR(INDEX(SEMANAS!$K$6:$K$71,MATCH($B1677,SEMANAS!$B$6:$B$71,0)),0)</f>
        <v>147</v>
      </c>
      <c r="AD1677" s="19" t="n">
        <f aca="false">IF($AC1677&lt;=0,0,$AB1677/$AC1677)</f>
        <v>0</v>
      </c>
      <c r="AE1677" s="8" t="str">
        <f aca="false">IF($K1677="SEM CULTURA","SEM CULTURA",IF($AA1677&lt;=0,"DADO PENDENTE",IF($AD1677&gt;LIMITE_CRITICO,"INVIAVEL",IF($AD1677&gt;LIMITE_ATENCAO,"CRITICO",IF($AD1677&gt;LIMITE_CONFORTAVEL,"ATENCAO","OK")))))</f>
        <v>OK</v>
      </c>
      <c r="AF1677" s="8" t="str">
        <f aca="false">$B1677&amp;"|"&amp;TEXT($AD1677,"0.000000")</f>
        <v>22|0.000000</v>
      </c>
      <c r="AG1677" s="18" t="n">
        <f aca="false">IF($K1677="SEM CULTURA",0,$T1677*$H1677)</f>
        <v>4154.47321960073</v>
      </c>
      <c r="AH1677" s="18" t="n">
        <f aca="false">IF($K1677="SEM CULTURA",0,$V1677*$H1677)</f>
        <v>5417.2776</v>
      </c>
      <c r="AI1677" s="18" t="n">
        <f aca="false">IF($K1677="SEM CULTURA",0,$W1677*$H1677)</f>
        <v>0</v>
      </c>
      <c r="AJ1677" s="18" t="n">
        <f aca="false">IF($K1677="SEM CULTURA",0,$S1677*$H1677)</f>
        <v>5039.328</v>
      </c>
      <c r="AK1677" s="8" t="str">
        <f aca="false">$E1677&amp;"|"&amp;TEXT($AD1677,"0.000000")</f>
        <v>PV 122|0.000000</v>
      </c>
    </row>
    <row r="1678" customFormat="false" ht="15" hidden="false" customHeight="false" outlineLevel="0" collapsed="false">
      <c r="B1678" s="16" t="n">
        <v>23</v>
      </c>
      <c r="C1678" s="17" t="n">
        <f aca="false">DATA_INICIO_SAFRA+($B1678-1)*DIAS_POR_SEMANA</f>
        <v>46419</v>
      </c>
      <c r="D1678" s="17" t="n">
        <f aca="false">$C1678+DIAS_POR_SEMANA-1</f>
        <v>46425</v>
      </c>
      <c r="E1678" s="15" t="s">
        <v>284</v>
      </c>
      <c r="F1678" s="8" t="str">
        <f aca="false">IFERROR(INDEX(CADASTRO_PIVOS!$C$6:$C$41,MATCH($E1678,CADASTRO_PIVOS!$B$6:$B$41,0)),"?")</f>
        <v>RM07</v>
      </c>
      <c r="G1678" s="8" t="str">
        <f aca="false">IFERROR(INDEX(CADASTRO_PIVOS!$D$6:$D$41,MATCH($E1678,CADASTRO_PIVOS!$B$6:$B$41,0)),"?")</f>
        <v>TR07</v>
      </c>
      <c r="H1678" s="20" t="n">
        <f aca="false">IFERROR(INDEX(CADASTRO_PIVOS!$E$6:$E$41,MATCH($E1678,CADASTRO_PIVOS!$B$6:$B$41,0)),0)</f>
        <v>149.98</v>
      </c>
      <c r="I1678" s="16" t="n">
        <f aca="false">IFERROR(SUMIFS(ROTACAO_RDM!$B$6:$B$71,ROTACAO_RDM!$D$6:$D$71,$E1678,ROTACAO_RDM!$I$6:$I$71,"&lt;="&amp;$C1678+INT(DIAS_POR_SEMANA/2),ROTACAO_RDM!$J$6:$J$71,"&gt;="&amp;$C1678+INT(DIAS_POR_SEMANA/2)),0)</f>
        <v>79</v>
      </c>
      <c r="J1678" s="16" t="n">
        <f aca="false">IFERROR(MATCH($I1678,ROTACAO_RDM!$B$6:$B$71,0),0)</f>
        <v>0</v>
      </c>
      <c r="K1678" s="8" t="str">
        <f aca="false">IF($J1678=0,"SEM CULTURA",INDEX(ROTACAO_RDM!$F$6:$F$71,$J1678))</f>
        <v>SEM CULTURA</v>
      </c>
      <c r="L1678" s="8" t="str">
        <f aca="false">IF($J1678=0,"",INDEX(ROTACAO_RDM!$G$6:$G$71,$J1678))</f>
        <v/>
      </c>
      <c r="M1678" s="17" t="str">
        <f aca="false">IF($J1678=0,"",INDEX(ROTACAO_RDM!$I$6:$I$71,$J1678))</f>
        <v/>
      </c>
      <c r="N1678" s="16" t="n">
        <f aca="false">IF($J1678=0,0,MAX(0,$C1678+INT(DIAS_POR_SEMANA/2)-INDEX(ROTACAO_RDM!$I$6:$I$71,$J1678)))</f>
        <v>0</v>
      </c>
      <c r="O1678" s="19" t="n">
        <f aca="false">IF($J1678=0,0,MIN(1,$N1678/MAX(1,INDEX(ROTACAO_RDM!$K$6:$K$71,$J1678))))</f>
        <v>0</v>
      </c>
      <c r="P1678" s="16" t="n">
        <f aca="false">IF($J1678=0,0,IFERROR(MATCH(INDEX(ROTACAO_RDM!$N$6:$N$71,$J1678),PARAMETROS_CULTURAS!$B$6:$B$28,0),0))</f>
        <v>0</v>
      </c>
      <c r="Q1678" s="8" t="str">
        <f aca="false">IF($P1678=0,"-",IF($O1678&lt;=INDEX(PARAMETROS_CULTURAS!$F$6:$F$28,$P1678),"INICIAL",IF($O1678&lt;=INDEX(PARAMETROS_CULTURAS!$F$6:$F$28,$P1678)+INDEX(PARAMETROS_CULTURAS!$G$6:$G$28,$P1678),"DESENVOLVIMENTO",IF($O1678&lt;=INDEX(PARAMETROS_CULTURAS!$F$6:$F$28,$P1678)+INDEX(PARAMETROS_CULTURAS!$G$6:$G$28,$P1678)+INDEX(PARAMETROS_CULTURAS!$H$6:$H$28,$P1678),"MEDIA","FINAL"))))</f>
        <v>-</v>
      </c>
      <c r="R1678" s="24" t="n">
        <f aca="false">IF($P1678=0,0,IF($O1678&lt;=INDEX(PARAMETROS_CULTURAS!$F$6:$F$28,$P1678),INDEX(PARAMETROS_CULTURAS!$K$6:$K$28,$P1678),IF($O1678&lt;=INDEX(PARAMETROS_CULTURAS!$F$6:$F$28,$P1678)+INDEX(PARAMETROS_CULTURAS!$G$6:$G$28,$P1678),INDEX(PARAMETROS_CULTURAS!$K$6:$K$28,$P1678)+(INDEX(PARAMETROS_CULTURAS!$L$6:$L$28,$P1678)-INDEX(PARAMETROS_CULTURAS!$K$6:$K$28,$P1678))*($O1678-INDEX(PARAMETROS_CULTURAS!$F$6:$F$28,$P1678))/MAX(INDEX(PARAMETROS_CULTURAS!$G$6:$G$28,$P1678),0.0001),IF($O1678&lt;=INDEX(PARAMETROS_CULTURAS!$F$6:$F$28,$P1678)+INDEX(PARAMETROS_CULTURAS!$G$6:$G$28,$P1678)+INDEX(PARAMETROS_CULTURAS!$H$6:$H$28,$P1678),INDEX(PARAMETROS_CULTURAS!$L$6:$L$28,$P1678),INDEX(PARAMETROS_CULTURAS!$L$6:$L$28,$P1678)+(INDEX(PARAMETROS_CULTURAS!$M$6:$M$28,$P1678)-INDEX(PARAMETROS_CULTURAS!$L$6:$L$28,$P1678))*($O1678-INDEX(PARAMETROS_CULTURAS!$F$6:$F$28,$P1678)-INDEX(PARAMETROS_CULTURAS!$G$6:$G$28,$P1678)-INDEX(PARAMETROS_CULTURAS!$H$6:$H$28,$P1678))/MAX(INDEX(PARAMETROS_CULTURAS!$I$6:$I$28,$P1678),0.0001)))))</f>
        <v>0</v>
      </c>
      <c r="S1678" s="18" t="n">
        <f aca="false">IFERROR(INDEX(SEMANAS!$H$6:$H$71,MATCH($B1678,SEMANAS!$B$6:$B$71,0)),0)</f>
        <v>32.9</v>
      </c>
      <c r="T1678" s="18" t="n">
        <f aca="false">$R1678*$S1678</f>
        <v>0</v>
      </c>
      <c r="U1678" s="18" t="n">
        <f aca="false">IFERROR(INDEX(SEMANAS!$I$6:$I$71,MATCH($B1678,SEMANAS!$B$6:$B$71,0)),0)</f>
        <v>39.97</v>
      </c>
      <c r="V1678" s="18" t="n">
        <f aca="false">IFERROR(INDEX(SEMANAS!$J$6:$J$71,MATCH($B1678,SEMANAS!$B$6:$B$71,0)),0)</f>
        <v>31.976</v>
      </c>
      <c r="W1678" s="18" t="n">
        <f aca="false">MAX(0,$T1678-$V1678)</f>
        <v>0</v>
      </c>
      <c r="X1678" s="19" t="n">
        <f aca="false">IFERROR(INDEX(CADASTRO_PIVOS!$K$6:$K$41,MATCH($E1678,CADASTRO_PIVOS!$B$6:$B$41,0)),EFICIENCIA_PADRAO)</f>
        <v>0.85</v>
      </c>
      <c r="Y1678" s="18" t="n">
        <f aca="false">IF($X1678&lt;=0,0,$W1678/$X1678)</f>
        <v>0</v>
      </c>
      <c r="Z1678" s="16" t="n">
        <f aca="false">$Y1678*$H1678*MM_PARA_M3_HA</f>
        <v>0</v>
      </c>
      <c r="AA1678" s="18" t="n">
        <f aca="false">IFERROR(INDEX(CADASTRO_PIVOS!$I$6:$I$41,MATCH($E1678,CADASTRO_PIVOS!$B$6:$B$41,0)),0)</f>
        <v>1071.28571428571</v>
      </c>
      <c r="AB1678" s="18" t="n">
        <f aca="false">IF($Z1678&lt;=0,0,$Z1678/$AA1678)</f>
        <v>0</v>
      </c>
      <c r="AC1678" s="16" t="n">
        <f aca="false">IFERROR(INDEX(SEMANAS!$K$6:$K$71,MATCH($B1678,SEMANAS!$B$6:$B$71,0)),0)</f>
        <v>147</v>
      </c>
      <c r="AD1678" s="19" t="n">
        <f aca="false">IF($AC1678&lt;=0,0,$AB1678/$AC1678)</f>
        <v>0</v>
      </c>
      <c r="AE1678" s="8" t="str">
        <f aca="false">IF($K1678="SEM CULTURA","SEM CULTURA",IF($AA1678&lt;=0,"DADO PENDENTE",IF($AD1678&gt;LIMITE_CRITICO,"INVIAVEL",IF($AD1678&gt;LIMITE_ATENCAO,"CRITICO",IF($AD1678&gt;LIMITE_CONFORTAVEL,"ATENCAO","OK")))))</f>
        <v>SEM CULTURA</v>
      </c>
      <c r="AF1678" s="8" t="str">
        <f aca="false">$B1678&amp;"|"&amp;TEXT($AD1678,"0.000000")</f>
        <v>23|0.000000</v>
      </c>
      <c r="AG1678" s="18" t="n">
        <f aca="false">IF($K1678="SEM CULTURA",0,$T1678*$H1678)</f>
        <v>0</v>
      </c>
      <c r="AH1678" s="18" t="n">
        <f aca="false">IF($K1678="SEM CULTURA",0,$V1678*$H1678)</f>
        <v>0</v>
      </c>
      <c r="AI1678" s="18" t="n">
        <f aca="false">IF($K1678="SEM CULTURA",0,$W1678*$H1678)</f>
        <v>0</v>
      </c>
      <c r="AJ1678" s="18" t="n">
        <f aca="false">IF($K1678="SEM CULTURA",0,$S1678*$H1678)</f>
        <v>0</v>
      </c>
      <c r="AK1678" s="8" t="str">
        <f aca="false">$E1678&amp;"|"&amp;TEXT($AD1678,"0.000000")</f>
        <v>PV 122|0.000000</v>
      </c>
    </row>
    <row r="1679" customFormat="false" ht="15" hidden="false" customHeight="false" outlineLevel="0" collapsed="false">
      <c r="B1679" s="16" t="n">
        <v>24</v>
      </c>
      <c r="C1679" s="17" t="n">
        <f aca="false">DATA_INICIO_SAFRA+($B1679-1)*DIAS_POR_SEMANA</f>
        <v>46426</v>
      </c>
      <c r="D1679" s="17" t="n">
        <f aca="false">$C1679+DIAS_POR_SEMANA-1</f>
        <v>46432</v>
      </c>
      <c r="E1679" s="15" t="s">
        <v>284</v>
      </c>
      <c r="F1679" s="8" t="str">
        <f aca="false">IFERROR(INDEX(CADASTRO_PIVOS!$C$6:$C$41,MATCH($E1679,CADASTRO_PIVOS!$B$6:$B$41,0)),"?")</f>
        <v>RM07</v>
      </c>
      <c r="G1679" s="8" t="str">
        <f aca="false">IFERROR(INDEX(CADASTRO_PIVOS!$D$6:$D$41,MATCH($E1679,CADASTRO_PIVOS!$B$6:$B$41,0)),"?")</f>
        <v>TR07</v>
      </c>
      <c r="H1679" s="20" t="n">
        <f aca="false">IFERROR(INDEX(CADASTRO_PIVOS!$E$6:$E$41,MATCH($E1679,CADASTRO_PIVOS!$B$6:$B$41,0)),0)</f>
        <v>149.98</v>
      </c>
      <c r="I1679" s="16" t="n">
        <f aca="false">IFERROR(SUMIFS(ROTACAO_RDM!$B$6:$B$71,ROTACAO_RDM!$D$6:$D$71,$E1679,ROTACAO_RDM!$I$6:$I$71,"&lt;="&amp;$C1679+INT(DIAS_POR_SEMANA/2),ROTACAO_RDM!$J$6:$J$71,"&gt;="&amp;$C1679+INT(DIAS_POR_SEMANA/2)),0)</f>
        <v>40</v>
      </c>
      <c r="J1679" s="16" t="n">
        <f aca="false">IFERROR(MATCH($I1679,ROTACAO_RDM!$B$6:$B$71,0),0)</f>
        <v>40</v>
      </c>
      <c r="K1679" s="8" t="str">
        <f aca="false">IF($J1679=0,"SEM CULTURA",INDEX(ROTACAO_RDM!$F$6:$F$71,$J1679))</f>
        <v>ALGODAO</v>
      </c>
      <c r="L1679" s="8" t="str">
        <f aca="false">IF($J1679=0,"",INDEX(ROTACAO_RDM!$G$6:$G$71,$J1679))</f>
        <v>FM 911 GLTP</v>
      </c>
      <c r="M1679" s="17" t="n">
        <f aca="false">IF($J1679=0,"",INDEX(ROTACAO_RDM!$I$6:$I$71,$J1679))</f>
        <v>46417</v>
      </c>
      <c r="N1679" s="16" t="n">
        <f aca="false">IF($J1679=0,0,MAX(0,$C1679+INT(DIAS_POR_SEMANA/2)-INDEX(ROTACAO_RDM!$I$6:$I$71,$J1679)))</f>
        <v>12</v>
      </c>
      <c r="O1679" s="19" t="n">
        <f aca="false">IF($J1679=0,0,MIN(1,$N1679/MAX(1,INDEX(ROTACAO_RDM!$K$6:$K$71,$J1679))))</f>
        <v>0.0666666666666667</v>
      </c>
      <c r="P1679" s="16" t="n">
        <f aca="false">IF($J1679=0,0,IFERROR(MATCH(INDEX(ROTACAO_RDM!$N$6:$N$71,$J1679),PARAMETROS_CULTURAS!$B$6:$B$28,0),0))</f>
        <v>4</v>
      </c>
      <c r="Q1679" s="8" t="str">
        <f aca="false">IF($P1679=0,"-",IF($O1679&lt;=INDEX(PARAMETROS_CULTURAS!$F$6:$F$28,$P1679),"INICIAL",IF($O1679&lt;=INDEX(PARAMETROS_CULTURAS!$F$6:$F$28,$P1679)+INDEX(PARAMETROS_CULTURAS!$G$6:$G$28,$P1679),"DESENVOLVIMENTO",IF($O1679&lt;=INDEX(PARAMETROS_CULTURAS!$F$6:$F$28,$P1679)+INDEX(PARAMETROS_CULTURAS!$G$6:$G$28,$P1679)+INDEX(PARAMETROS_CULTURAS!$H$6:$H$28,$P1679),"MEDIA","FINAL"))))</f>
        <v>INICIAL</v>
      </c>
      <c r="R1679" s="24" t="n">
        <f aca="false">IF($P1679=0,0,IF($O1679&lt;=INDEX(PARAMETROS_CULTURAS!$F$6:$F$28,$P1679),INDEX(PARAMETROS_CULTURAS!$K$6:$K$28,$P1679),IF($O1679&lt;=INDEX(PARAMETROS_CULTURAS!$F$6:$F$28,$P1679)+INDEX(PARAMETROS_CULTURAS!$G$6:$G$28,$P1679),INDEX(PARAMETROS_CULTURAS!$K$6:$K$28,$P1679)+(INDEX(PARAMETROS_CULTURAS!$L$6:$L$28,$P1679)-INDEX(PARAMETROS_CULTURAS!$K$6:$K$28,$P1679))*($O1679-INDEX(PARAMETROS_CULTURAS!$F$6:$F$28,$P1679))/MAX(INDEX(PARAMETROS_CULTURAS!$G$6:$G$28,$P1679),0.0001),IF($O1679&lt;=INDEX(PARAMETROS_CULTURAS!$F$6:$F$28,$P1679)+INDEX(PARAMETROS_CULTURAS!$G$6:$G$28,$P1679)+INDEX(PARAMETROS_CULTURAS!$H$6:$H$28,$P1679),INDEX(PARAMETROS_CULTURAS!$L$6:$L$28,$P1679),INDEX(PARAMETROS_CULTURAS!$L$6:$L$28,$P1679)+(INDEX(PARAMETROS_CULTURAS!$M$6:$M$28,$P1679)-INDEX(PARAMETROS_CULTURAS!$L$6:$L$28,$P1679))*($O1679-INDEX(PARAMETROS_CULTURAS!$F$6:$F$28,$P1679)-INDEX(PARAMETROS_CULTURAS!$G$6:$G$28,$P1679)-INDEX(PARAMETROS_CULTURAS!$H$6:$H$28,$P1679))/MAX(INDEX(PARAMETROS_CULTURAS!$I$6:$I$28,$P1679),0.0001)))))</f>
        <v>0.35</v>
      </c>
      <c r="S1679" s="18" t="n">
        <f aca="false">IFERROR(INDEX(SEMANAS!$H$6:$H$71,MATCH($B1679,SEMANAS!$B$6:$B$71,0)),0)</f>
        <v>32.9</v>
      </c>
      <c r="T1679" s="18" t="n">
        <f aca="false">$R1679*$S1679</f>
        <v>11.515</v>
      </c>
      <c r="U1679" s="18" t="n">
        <f aca="false">IFERROR(INDEX(SEMANAS!$I$6:$I$71,MATCH($B1679,SEMANAS!$B$6:$B$71,0)),0)</f>
        <v>39.97</v>
      </c>
      <c r="V1679" s="18" t="n">
        <f aca="false">IFERROR(INDEX(SEMANAS!$J$6:$J$71,MATCH($B1679,SEMANAS!$B$6:$B$71,0)),0)</f>
        <v>31.976</v>
      </c>
      <c r="W1679" s="18" t="n">
        <f aca="false">MAX(0,$T1679-$V1679)</f>
        <v>0</v>
      </c>
      <c r="X1679" s="19" t="n">
        <f aca="false">IFERROR(INDEX(CADASTRO_PIVOS!$K$6:$K$41,MATCH($E1679,CADASTRO_PIVOS!$B$6:$B$41,0)),EFICIENCIA_PADRAO)</f>
        <v>0.85</v>
      </c>
      <c r="Y1679" s="18" t="n">
        <f aca="false">IF($X1679&lt;=0,0,$W1679/$X1679)</f>
        <v>0</v>
      </c>
      <c r="Z1679" s="16" t="n">
        <f aca="false">$Y1679*$H1679*MM_PARA_M3_HA</f>
        <v>0</v>
      </c>
      <c r="AA1679" s="18" t="n">
        <f aca="false">IFERROR(INDEX(CADASTRO_PIVOS!$I$6:$I$41,MATCH($E1679,CADASTRO_PIVOS!$B$6:$B$41,0)),0)</f>
        <v>1071.28571428571</v>
      </c>
      <c r="AB1679" s="18" t="n">
        <f aca="false">IF($Z1679&lt;=0,0,$Z1679/$AA1679)</f>
        <v>0</v>
      </c>
      <c r="AC1679" s="16" t="n">
        <f aca="false">IFERROR(INDEX(SEMANAS!$K$6:$K$71,MATCH($B1679,SEMANAS!$B$6:$B$71,0)),0)</f>
        <v>147</v>
      </c>
      <c r="AD1679" s="19" t="n">
        <f aca="false">IF($AC1679&lt;=0,0,$AB1679/$AC1679)</f>
        <v>0</v>
      </c>
      <c r="AE1679" s="8" t="str">
        <f aca="false">IF($K1679="SEM CULTURA","SEM CULTURA",IF($AA1679&lt;=0,"DADO PENDENTE",IF($AD1679&gt;LIMITE_CRITICO,"INVIAVEL",IF($AD1679&gt;LIMITE_ATENCAO,"CRITICO",IF($AD1679&gt;LIMITE_CONFORTAVEL,"ATENCAO","OK")))))</f>
        <v>OK</v>
      </c>
      <c r="AF1679" s="8" t="str">
        <f aca="false">$B1679&amp;"|"&amp;TEXT($AD1679,"0.000000")</f>
        <v>24|0.000000</v>
      </c>
      <c r="AG1679" s="18" t="n">
        <f aca="false">IF($K1679="SEM CULTURA",0,$T1679*$H1679)</f>
        <v>1727.0197</v>
      </c>
      <c r="AH1679" s="18" t="n">
        <f aca="false">IF($K1679="SEM CULTURA",0,$V1679*$H1679)</f>
        <v>4795.76048</v>
      </c>
      <c r="AI1679" s="18" t="n">
        <f aca="false">IF($K1679="SEM CULTURA",0,$W1679*$H1679)</f>
        <v>0</v>
      </c>
      <c r="AJ1679" s="18" t="n">
        <f aca="false">IF($K1679="SEM CULTURA",0,$S1679*$H1679)</f>
        <v>4934.342</v>
      </c>
      <c r="AK1679" s="8" t="str">
        <f aca="false">$E1679&amp;"|"&amp;TEXT($AD1679,"0.000000")</f>
        <v>PV 122|0.000000</v>
      </c>
    </row>
    <row r="1680" customFormat="false" ht="15" hidden="false" customHeight="false" outlineLevel="0" collapsed="false">
      <c r="B1680" s="16" t="n">
        <v>25</v>
      </c>
      <c r="C1680" s="17" t="n">
        <f aca="false">DATA_INICIO_SAFRA+($B1680-1)*DIAS_POR_SEMANA</f>
        <v>46433</v>
      </c>
      <c r="D1680" s="17" t="n">
        <f aca="false">$C1680+DIAS_POR_SEMANA-1</f>
        <v>46439</v>
      </c>
      <c r="E1680" s="15" t="s">
        <v>284</v>
      </c>
      <c r="F1680" s="8" t="str">
        <f aca="false">IFERROR(INDEX(CADASTRO_PIVOS!$C$6:$C$41,MATCH($E1680,CADASTRO_PIVOS!$B$6:$B$41,0)),"?")</f>
        <v>RM07</v>
      </c>
      <c r="G1680" s="8" t="str">
        <f aca="false">IFERROR(INDEX(CADASTRO_PIVOS!$D$6:$D$41,MATCH($E1680,CADASTRO_PIVOS!$B$6:$B$41,0)),"?")</f>
        <v>TR07</v>
      </c>
      <c r="H1680" s="20" t="n">
        <f aca="false">IFERROR(INDEX(CADASTRO_PIVOS!$E$6:$E$41,MATCH($E1680,CADASTRO_PIVOS!$B$6:$B$41,0)),0)</f>
        <v>149.98</v>
      </c>
      <c r="I1680" s="16" t="n">
        <f aca="false">IFERROR(SUMIFS(ROTACAO_RDM!$B$6:$B$71,ROTACAO_RDM!$D$6:$D$71,$E1680,ROTACAO_RDM!$I$6:$I$71,"&lt;="&amp;$C1680+INT(DIAS_POR_SEMANA/2),ROTACAO_RDM!$J$6:$J$71,"&gt;="&amp;$C1680+INT(DIAS_POR_SEMANA/2)),0)</f>
        <v>40</v>
      </c>
      <c r="J1680" s="16" t="n">
        <f aca="false">IFERROR(MATCH($I1680,ROTACAO_RDM!$B$6:$B$71,0),0)</f>
        <v>40</v>
      </c>
      <c r="K1680" s="8" t="str">
        <f aca="false">IF($J1680=0,"SEM CULTURA",INDEX(ROTACAO_RDM!$F$6:$F$71,$J1680))</f>
        <v>ALGODAO</v>
      </c>
      <c r="L1680" s="8" t="str">
        <f aca="false">IF($J1680=0,"",INDEX(ROTACAO_RDM!$G$6:$G$71,$J1680))</f>
        <v>FM 911 GLTP</v>
      </c>
      <c r="M1680" s="17" t="n">
        <f aca="false">IF($J1680=0,"",INDEX(ROTACAO_RDM!$I$6:$I$71,$J1680))</f>
        <v>46417</v>
      </c>
      <c r="N1680" s="16" t="n">
        <f aca="false">IF($J1680=0,0,MAX(0,$C1680+INT(DIAS_POR_SEMANA/2)-INDEX(ROTACAO_RDM!$I$6:$I$71,$J1680)))</f>
        <v>19</v>
      </c>
      <c r="O1680" s="19" t="n">
        <f aca="false">IF($J1680=0,0,MIN(1,$N1680/MAX(1,INDEX(ROTACAO_RDM!$K$6:$K$71,$J1680))))</f>
        <v>0.105555555555556</v>
      </c>
      <c r="P1680" s="16" t="n">
        <f aca="false">IF($J1680=0,0,IFERROR(MATCH(INDEX(ROTACAO_RDM!$N$6:$N$71,$J1680),PARAMETROS_CULTURAS!$B$6:$B$28,0),0))</f>
        <v>4</v>
      </c>
      <c r="Q1680" s="8" t="str">
        <f aca="false">IF($P1680=0,"-",IF($O1680&lt;=INDEX(PARAMETROS_CULTURAS!$F$6:$F$28,$P1680),"INICIAL",IF($O1680&lt;=INDEX(PARAMETROS_CULTURAS!$F$6:$F$28,$P1680)+INDEX(PARAMETROS_CULTURAS!$G$6:$G$28,$P1680),"DESENVOLVIMENTO",IF($O1680&lt;=INDEX(PARAMETROS_CULTURAS!$F$6:$F$28,$P1680)+INDEX(PARAMETROS_CULTURAS!$G$6:$G$28,$P1680)+INDEX(PARAMETROS_CULTURAS!$H$6:$H$28,$P1680),"MEDIA","FINAL"))))</f>
        <v>INICIAL</v>
      </c>
      <c r="R1680" s="24" t="n">
        <f aca="false">IF($P1680=0,0,IF($O1680&lt;=INDEX(PARAMETROS_CULTURAS!$F$6:$F$28,$P1680),INDEX(PARAMETROS_CULTURAS!$K$6:$K$28,$P1680),IF($O1680&lt;=INDEX(PARAMETROS_CULTURAS!$F$6:$F$28,$P1680)+INDEX(PARAMETROS_CULTURAS!$G$6:$G$28,$P1680),INDEX(PARAMETROS_CULTURAS!$K$6:$K$28,$P1680)+(INDEX(PARAMETROS_CULTURAS!$L$6:$L$28,$P1680)-INDEX(PARAMETROS_CULTURAS!$K$6:$K$28,$P1680))*($O1680-INDEX(PARAMETROS_CULTURAS!$F$6:$F$28,$P1680))/MAX(INDEX(PARAMETROS_CULTURAS!$G$6:$G$28,$P1680),0.0001),IF($O1680&lt;=INDEX(PARAMETROS_CULTURAS!$F$6:$F$28,$P1680)+INDEX(PARAMETROS_CULTURAS!$G$6:$G$28,$P1680)+INDEX(PARAMETROS_CULTURAS!$H$6:$H$28,$P1680),INDEX(PARAMETROS_CULTURAS!$L$6:$L$28,$P1680),INDEX(PARAMETROS_CULTURAS!$L$6:$L$28,$P1680)+(INDEX(PARAMETROS_CULTURAS!$M$6:$M$28,$P1680)-INDEX(PARAMETROS_CULTURAS!$L$6:$L$28,$P1680))*($O1680-INDEX(PARAMETROS_CULTURAS!$F$6:$F$28,$P1680)-INDEX(PARAMETROS_CULTURAS!$G$6:$G$28,$P1680)-INDEX(PARAMETROS_CULTURAS!$H$6:$H$28,$P1680))/MAX(INDEX(PARAMETROS_CULTURAS!$I$6:$I$28,$P1680),0.0001)))))</f>
        <v>0.35</v>
      </c>
      <c r="S1680" s="18" t="n">
        <f aca="false">IFERROR(INDEX(SEMANAS!$H$6:$H$71,MATCH($B1680,SEMANAS!$B$6:$B$71,0)),0)</f>
        <v>32.9</v>
      </c>
      <c r="T1680" s="18" t="n">
        <f aca="false">$R1680*$S1680</f>
        <v>11.515</v>
      </c>
      <c r="U1680" s="18" t="n">
        <f aca="false">IFERROR(INDEX(SEMANAS!$I$6:$I$71,MATCH($B1680,SEMANAS!$B$6:$B$71,0)),0)</f>
        <v>39.97</v>
      </c>
      <c r="V1680" s="18" t="n">
        <f aca="false">IFERROR(INDEX(SEMANAS!$J$6:$J$71,MATCH($B1680,SEMANAS!$B$6:$B$71,0)),0)</f>
        <v>31.976</v>
      </c>
      <c r="W1680" s="18" t="n">
        <f aca="false">MAX(0,$T1680-$V1680)</f>
        <v>0</v>
      </c>
      <c r="X1680" s="19" t="n">
        <f aca="false">IFERROR(INDEX(CADASTRO_PIVOS!$K$6:$K$41,MATCH($E1680,CADASTRO_PIVOS!$B$6:$B$41,0)),EFICIENCIA_PADRAO)</f>
        <v>0.85</v>
      </c>
      <c r="Y1680" s="18" t="n">
        <f aca="false">IF($X1680&lt;=0,0,$W1680/$X1680)</f>
        <v>0</v>
      </c>
      <c r="Z1680" s="16" t="n">
        <f aca="false">$Y1680*$H1680*MM_PARA_M3_HA</f>
        <v>0</v>
      </c>
      <c r="AA1680" s="18" t="n">
        <f aca="false">IFERROR(INDEX(CADASTRO_PIVOS!$I$6:$I$41,MATCH($E1680,CADASTRO_PIVOS!$B$6:$B$41,0)),0)</f>
        <v>1071.28571428571</v>
      </c>
      <c r="AB1680" s="18" t="n">
        <f aca="false">IF($Z1680&lt;=0,0,$Z1680/$AA1680)</f>
        <v>0</v>
      </c>
      <c r="AC1680" s="16" t="n">
        <f aca="false">IFERROR(INDEX(SEMANAS!$K$6:$K$71,MATCH($B1680,SEMANAS!$B$6:$B$71,0)),0)</f>
        <v>147</v>
      </c>
      <c r="AD1680" s="19" t="n">
        <f aca="false">IF($AC1680&lt;=0,0,$AB1680/$AC1680)</f>
        <v>0</v>
      </c>
      <c r="AE1680" s="8" t="str">
        <f aca="false">IF($K1680="SEM CULTURA","SEM CULTURA",IF($AA1680&lt;=0,"DADO PENDENTE",IF($AD1680&gt;LIMITE_CRITICO,"INVIAVEL",IF($AD1680&gt;LIMITE_ATENCAO,"CRITICO",IF($AD1680&gt;LIMITE_CONFORTAVEL,"ATENCAO","OK")))))</f>
        <v>OK</v>
      </c>
      <c r="AF1680" s="8" t="str">
        <f aca="false">$B1680&amp;"|"&amp;TEXT($AD1680,"0.000000")</f>
        <v>25|0.000000</v>
      </c>
      <c r="AG1680" s="18" t="n">
        <f aca="false">IF($K1680="SEM CULTURA",0,$T1680*$H1680)</f>
        <v>1727.0197</v>
      </c>
      <c r="AH1680" s="18" t="n">
        <f aca="false">IF($K1680="SEM CULTURA",0,$V1680*$H1680)</f>
        <v>4795.76048</v>
      </c>
      <c r="AI1680" s="18" t="n">
        <f aca="false">IF($K1680="SEM CULTURA",0,$W1680*$H1680)</f>
        <v>0</v>
      </c>
      <c r="AJ1680" s="18" t="n">
        <f aca="false">IF($K1680="SEM CULTURA",0,$S1680*$H1680)</f>
        <v>4934.342</v>
      </c>
      <c r="AK1680" s="8" t="str">
        <f aca="false">$E1680&amp;"|"&amp;TEXT($AD1680,"0.000000")</f>
        <v>PV 122|0.000000</v>
      </c>
    </row>
    <row r="1681" customFormat="false" ht="15" hidden="false" customHeight="false" outlineLevel="0" collapsed="false">
      <c r="B1681" s="16" t="n">
        <v>26</v>
      </c>
      <c r="C1681" s="17" t="n">
        <f aca="false">DATA_INICIO_SAFRA+($B1681-1)*DIAS_POR_SEMANA</f>
        <v>46440</v>
      </c>
      <c r="D1681" s="17" t="n">
        <f aca="false">$C1681+DIAS_POR_SEMANA-1</f>
        <v>46446</v>
      </c>
      <c r="E1681" s="15" t="s">
        <v>284</v>
      </c>
      <c r="F1681" s="8" t="str">
        <f aca="false">IFERROR(INDEX(CADASTRO_PIVOS!$C$6:$C$41,MATCH($E1681,CADASTRO_PIVOS!$B$6:$B$41,0)),"?")</f>
        <v>RM07</v>
      </c>
      <c r="G1681" s="8" t="str">
        <f aca="false">IFERROR(INDEX(CADASTRO_PIVOS!$D$6:$D$41,MATCH($E1681,CADASTRO_PIVOS!$B$6:$B$41,0)),"?")</f>
        <v>TR07</v>
      </c>
      <c r="H1681" s="20" t="n">
        <f aca="false">IFERROR(INDEX(CADASTRO_PIVOS!$E$6:$E$41,MATCH($E1681,CADASTRO_PIVOS!$B$6:$B$41,0)),0)</f>
        <v>149.98</v>
      </c>
      <c r="I1681" s="16" t="n">
        <f aca="false">IFERROR(SUMIFS(ROTACAO_RDM!$B$6:$B$71,ROTACAO_RDM!$D$6:$D$71,$E1681,ROTACAO_RDM!$I$6:$I$71,"&lt;="&amp;$C1681+INT(DIAS_POR_SEMANA/2),ROTACAO_RDM!$J$6:$J$71,"&gt;="&amp;$C1681+INT(DIAS_POR_SEMANA/2)),0)</f>
        <v>40</v>
      </c>
      <c r="J1681" s="16" t="n">
        <f aca="false">IFERROR(MATCH($I1681,ROTACAO_RDM!$B$6:$B$71,0),0)</f>
        <v>40</v>
      </c>
      <c r="K1681" s="8" t="str">
        <f aca="false">IF($J1681=0,"SEM CULTURA",INDEX(ROTACAO_RDM!$F$6:$F$71,$J1681))</f>
        <v>ALGODAO</v>
      </c>
      <c r="L1681" s="8" t="str">
        <f aca="false">IF($J1681=0,"",INDEX(ROTACAO_RDM!$G$6:$G$71,$J1681))</f>
        <v>FM 911 GLTP</v>
      </c>
      <c r="M1681" s="17" t="n">
        <f aca="false">IF($J1681=0,"",INDEX(ROTACAO_RDM!$I$6:$I$71,$J1681))</f>
        <v>46417</v>
      </c>
      <c r="N1681" s="16" t="n">
        <f aca="false">IF($J1681=0,0,MAX(0,$C1681+INT(DIAS_POR_SEMANA/2)-INDEX(ROTACAO_RDM!$I$6:$I$71,$J1681)))</f>
        <v>26</v>
      </c>
      <c r="O1681" s="19" t="n">
        <f aca="false">IF($J1681=0,0,MIN(1,$N1681/MAX(1,INDEX(ROTACAO_RDM!$K$6:$K$71,$J1681))))</f>
        <v>0.144444444444444</v>
      </c>
      <c r="P1681" s="16" t="n">
        <f aca="false">IF($J1681=0,0,IFERROR(MATCH(INDEX(ROTACAO_RDM!$N$6:$N$71,$J1681),PARAMETROS_CULTURAS!$B$6:$B$28,0),0))</f>
        <v>4</v>
      </c>
      <c r="Q1681" s="8" t="str">
        <f aca="false">IF($P1681=0,"-",IF($O1681&lt;=INDEX(PARAMETROS_CULTURAS!$F$6:$F$28,$P1681),"INICIAL",IF($O1681&lt;=INDEX(PARAMETROS_CULTURAS!$F$6:$F$28,$P1681)+INDEX(PARAMETROS_CULTURAS!$G$6:$G$28,$P1681),"DESENVOLVIMENTO",IF($O1681&lt;=INDEX(PARAMETROS_CULTURAS!$F$6:$F$28,$P1681)+INDEX(PARAMETROS_CULTURAS!$G$6:$G$28,$P1681)+INDEX(PARAMETROS_CULTURAS!$H$6:$H$28,$P1681),"MEDIA","FINAL"))))</f>
        <v>INICIAL</v>
      </c>
      <c r="R1681" s="24" t="n">
        <f aca="false">IF($P1681=0,0,IF($O1681&lt;=INDEX(PARAMETROS_CULTURAS!$F$6:$F$28,$P1681),INDEX(PARAMETROS_CULTURAS!$K$6:$K$28,$P1681),IF($O1681&lt;=INDEX(PARAMETROS_CULTURAS!$F$6:$F$28,$P1681)+INDEX(PARAMETROS_CULTURAS!$G$6:$G$28,$P1681),INDEX(PARAMETROS_CULTURAS!$K$6:$K$28,$P1681)+(INDEX(PARAMETROS_CULTURAS!$L$6:$L$28,$P1681)-INDEX(PARAMETROS_CULTURAS!$K$6:$K$28,$P1681))*($O1681-INDEX(PARAMETROS_CULTURAS!$F$6:$F$28,$P1681))/MAX(INDEX(PARAMETROS_CULTURAS!$G$6:$G$28,$P1681),0.0001),IF($O1681&lt;=INDEX(PARAMETROS_CULTURAS!$F$6:$F$28,$P1681)+INDEX(PARAMETROS_CULTURAS!$G$6:$G$28,$P1681)+INDEX(PARAMETROS_CULTURAS!$H$6:$H$28,$P1681),INDEX(PARAMETROS_CULTURAS!$L$6:$L$28,$P1681),INDEX(PARAMETROS_CULTURAS!$L$6:$L$28,$P1681)+(INDEX(PARAMETROS_CULTURAS!$M$6:$M$28,$P1681)-INDEX(PARAMETROS_CULTURAS!$L$6:$L$28,$P1681))*($O1681-INDEX(PARAMETROS_CULTURAS!$F$6:$F$28,$P1681)-INDEX(PARAMETROS_CULTURAS!$G$6:$G$28,$P1681)-INDEX(PARAMETROS_CULTURAS!$H$6:$H$28,$P1681))/MAX(INDEX(PARAMETROS_CULTURAS!$I$6:$I$28,$P1681),0.0001)))))</f>
        <v>0.35</v>
      </c>
      <c r="S1681" s="18" t="n">
        <f aca="false">IFERROR(INDEX(SEMANAS!$H$6:$H$71,MATCH($B1681,SEMANAS!$B$6:$B$71,0)),0)</f>
        <v>32.9</v>
      </c>
      <c r="T1681" s="18" t="n">
        <f aca="false">$R1681*$S1681</f>
        <v>11.515</v>
      </c>
      <c r="U1681" s="18" t="n">
        <f aca="false">IFERROR(INDEX(SEMANAS!$I$6:$I$71,MATCH($B1681,SEMANAS!$B$6:$B$71,0)),0)</f>
        <v>39.97</v>
      </c>
      <c r="V1681" s="18" t="n">
        <f aca="false">IFERROR(INDEX(SEMANAS!$J$6:$J$71,MATCH($B1681,SEMANAS!$B$6:$B$71,0)),0)</f>
        <v>31.976</v>
      </c>
      <c r="W1681" s="18" t="n">
        <f aca="false">MAX(0,$T1681-$V1681)</f>
        <v>0</v>
      </c>
      <c r="X1681" s="19" t="n">
        <f aca="false">IFERROR(INDEX(CADASTRO_PIVOS!$K$6:$K$41,MATCH($E1681,CADASTRO_PIVOS!$B$6:$B$41,0)),EFICIENCIA_PADRAO)</f>
        <v>0.85</v>
      </c>
      <c r="Y1681" s="18" t="n">
        <f aca="false">IF($X1681&lt;=0,0,$W1681/$X1681)</f>
        <v>0</v>
      </c>
      <c r="Z1681" s="16" t="n">
        <f aca="false">$Y1681*$H1681*MM_PARA_M3_HA</f>
        <v>0</v>
      </c>
      <c r="AA1681" s="18" t="n">
        <f aca="false">IFERROR(INDEX(CADASTRO_PIVOS!$I$6:$I$41,MATCH($E1681,CADASTRO_PIVOS!$B$6:$B$41,0)),0)</f>
        <v>1071.28571428571</v>
      </c>
      <c r="AB1681" s="18" t="n">
        <f aca="false">IF($Z1681&lt;=0,0,$Z1681/$AA1681)</f>
        <v>0</v>
      </c>
      <c r="AC1681" s="16" t="n">
        <f aca="false">IFERROR(INDEX(SEMANAS!$K$6:$K$71,MATCH($B1681,SEMANAS!$B$6:$B$71,0)),0)</f>
        <v>147</v>
      </c>
      <c r="AD1681" s="19" t="n">
        <f aca="false">IF($AC1681&lt;=0,0,$AB1681/$AC1681)</f>
        <v>0</v>
      </c>
      <c r="AE1681" s="8" t="str">
        <f aca="false">IF($K1681="SEM CULTURA","SEM CULTURA",IF($AA1681&lt;=0,"DADO PENDENTE",IF($AD1681&gt;LIMITE_CRITICO,"INVIAVEL",IF($AD1681&gt;LIMITE_ATENCAO,"CRITICO",IF($AD1681&gt;LIMITE_CONFORTAVEL,"ATENCAO","OK")))))</f>
        <v>OK</v>
      </c>
      <c r="AF1681" s="8" t="str">
        <f aca="false">$B1681&amp;"|"&amp;TEXT($AD1681,"0.000000")</f>
        <v>26|0.000000</v>
      </c>
      <c r="AG1681" s="18" t="n">
        <f aca="false">IF($K1681="SEM CULTURA",0,$T1681*$H1681)</f>
        <v>1727.0197</v>
      </c>
      <c r="AH1681" s="18" t="n">
        <f aca="false">IF($K1681="SEM CULTURA",0,$V1681*$H1681)</f>
        <v>4795.76048</v>
      </c>
      <c r="AI1681" s="18" t="n">
        <f aca="false">IF($K1681="SEM CULTURA",0,$W1681*$H1681)</f>
        <v>0</v>
      </c>
      <c r="AJ1681" s="18" t="n">
        <f aca="false">IF($K1681="SEM CULTURA",0,$S1681*$H1681)</f>
        <v>4934.342</v>
      </c>
      <c r="AK1681" s="8" t="str">
        <f aca="false">$E1681&amp;"|"&amp;TEXT($AD1681,"0.000000")</f>
        <v>PV 122|0.000000</v>
      </c>
    </row>
    <row r="1682" customFormat="false" ht="15" hidden="false" customHeight="false" outlineLevel="0" collapsed="false">
      <c r="B1682" s="16" t="n">
        <v>27</v>
      </c>
      <c r="C1682" s="17" t="n">
        <f aca="false">DATA_INICIO_SAFRA+($B1682-1)*DIAS_POR_SEMANA</f>
        <v>46447</v>
      </c>
      <c r="D1682" s="17" t="n">
        <f aca="false">$C1682+DIAS_POR_SEMANA-1</f>
        <v>46453</v>
      </c>
      <c r="E1682" s="15" t="s">
        <v>284</v>
      </c>
      <c r="F1682" s="8" t="str">
        <f aca="false">IFERROR(INDEX(CADASTRO_PIVOS!$C$6:$C$41,MATCH($E1682,CADASTRO_PIVOS!$B$6:$B$41,0)),"?")</f>
        <v>RM07</v>
      </c>
      <c r="G1682" s="8" t="str">
        <f aca="false">IFERROR(INDEX(CADASTRO_PIVOS!$D$6:$D$41,MATCH($E1682,CADASTRO_PIVOS!$B$6:$B$41,0)),"?")</f>
        <v>TR07</v>
      </c>
      <c r="H1682" s="20" t="n">
        <f aca="false">IFERROR(INDEX(CADASTRO_PIVOS!$E$6:$E$41,MATCH($E1682,CADASTRO_PIVOS!$B$6:$B$41,0)),0)</f>
        <v>149.98</v>
      </c>
      <c r="I1682" s="16" t="n">
        <f aca="false">IFERROR(SUMIFS(ROTACAO_RDM!$B$6:$B$71,ROTACAO_RDM!$D$6:$D$71,$E1682,ROTACAO_RDM!$I$6:$I$71,"&lt;="&amp;$C1682+INT(DIAS_POR_SEMANA/2),ROTACAO_RDM!$J$6:$J$71,"&gt;="&amp;$C1682+INT(DIAS_POR_SEMANA/2)),0)</f>
        <v>40</v>
      </c>
      <c r="J1682" s="16" t="n">
        <f aca="false">IFERROR(MATCH($I1682,ROTACAO_RDM!$B$6:$B$71,0),0)</f>
        <v>40</v>
      </c>
      <c r="K1682" s="8" t="str">
        <f aca="false">IF($J1682=0,"SEM CULTURA",INDEX(ROTACAO_RDM!$F$6:$F$71,$J1682))</f>
        <v>ALGODAO</v>
      </c>
      <c r="L1682" s="8" t="str">
        <f aca="false">IF($J1682=0,"",INDEX(ROTACAO_RDM!$G$6:$G$71,$J1682))</f>
        <v>FM 911 GLTP</v>
      </c>
      <c r="M1682" s="17" t="n">
        <f aca="false">IF($J1682=0,"",INDEX(ROTACAO_RDM!$I$6:$I$71,$J1682))</f>
        <v>46417</v>
      </c>
      <c r="N1682" s="16" t="n">
        <f aca="false">IF($J1682=0,0,MAX(0,$C1682+INT(DIAS_POR_SEMANA/2)-INDEX(ROTACAO_RDM!$I$6:$I$71,$J1682)))</f>
        <v>33</v>
      </c>
      <c r="O1682" s="19" t="n">
        <f aca="false">IF($J1682=0,0,MIN(1,$N1682/MAX(1,INDEX(ROTACAO_RDM!$K$6:$K$71,$J1682))))</f>
        <v>0.183333333333333</v>
      </c>
      <c r="P1682" s="16" t="n">
        <f aca="false">IF($J1682=0,0,IFERROR(MATCH(INDEX(ROTACAO_RDM!$N$6:$N$71,$J1682),PARAMETROS_CULTURAS!$B$6:$B$28,0),0))</f>
        <v>4</v>
      </c>
      <c r="Q1682" s="8" t="str">
        <f aca="false">IF($P1682=0,"-",IF($O1682&lt;=INDEX(PARAMETROS_CULTURAS!$F$6:$F$28,$P1682),"INICIAL",IF($O1682&lt;=INDEX(PARAMETROS_CULTURAS!$F$6:$F$28,$P1682)+INDEX(PARAMETROS_CULTURAS!$G$6:$G$28,$P1682),"DESENVOLVIMENTO",IF($O1682&lt;=INDEX(PARAMETROS_CULTURAS!$F$6:$F$28,$P1682)+INDEX(PARAMETROS_CULTURAS!$G$6:$G$28,$P1682)+INDEX(PARAMETROS_CULTURAS!$H$6:$H$28,$P1682),"MEDIA","FINAL"))))</f>
        <v>DESENVOLVIMENTO</v>
      </c>
      <c r="R1682" s="24" t="n">
        <f aca="false">IF($P1682=0,0,IF($O1682&lt;=INDEX(PARAMETROS_CULTURAS!$F$6:$F$28,$P1682),INDEX(PARAMETROS_CULTURAS!$K$6:$K$28,$P1682),IF($O1682&lt;=INDEX(PARAMETROS_CULTURAS!$F$6:$F$28,$P1682)+INDEX(PARAMETROS_CULTURAS!$G$6:$G$28,$P1682),INDEX(PARAMETROS_CULTURAS!$K$6:$K$28,$P1682)+(INDEX(PARAMETROS_CULTURAS!$L$6:$L$28,$P1682)-INDEX(PARAMETROS_CULTURAS!$K$6:$K$28,$P1682))*($O1682-INDEX(PARAMETROS_CULTURAS!$F$6:$F$28,$P1682))/MAX(INDEX(PARAMETROS_CULTURAS!$G$6:$G$28,$P1682),0.0001),IF($O1682&lt;=INDEX(PARAMETROS_CULTURAS!$F$6:$F$28,$P1682)+INDEX(PARAMETROS_CULTURAS!$G$6:$G$28,$P1682)+INDEX(PARAMETROS_CULTURAS!$H$6:$H$28,$P1682),INDEX(PARAMETROS_CULTURAS!$L$6:$L$28,$P1682),INDEX(PARAMETROS_CULTURAS!$L$6:$L$28,$P1682)+(INDEX(PARAMETROS_CULTURAS!$M$6:$M$28,$P1682)-INDEX(PARAMETROS_CULTURAS!$L$6:$L$28,$P1682))*($O1682-INDEX(PARAMETROS_CULTURAS!$F$6:$F$28,$P1682)-INDEX(PARAMETROS_CULTURAS!$G$6:$G$28,$P1682)-INDEX(PARAMETROS_CULTURAS!$H$6:$H$28,$P1682))/MAX(INDEX(PARAMETROS_CULTURAS!$I$6:$I$28,$P1682),0.0001)))))</f>
        <v>0.389506172839506</v>
      </c>
      <c r="S1682" s="18" t="n">
        <f aca="false">IFERROR(INDEX(SEMANAS!$H$6:$H$71,MATCH($B1682,SEMANAS!$B$6:$B$71,0)),0)</f>
        <v>32.2</v>
      </c>
      <c r="T1682" s="18" t="n">
        <f aca="false">$R1682*$S1682</f>
        <v>12.5420987654321</v>
      </c>
      <c r="U1682" s="18" t="n">
        <f aca="false">IFERROR(INDEX(SEMANAS!$I$6:$I$71,MATCH($B1682,SEMANAS!$B$6:$B$71,0)),0)</f>
        <v>37.24</v>
      </c>
      <c r="V1682" s="18" t="n">
        <f aca="false">IFERROR(INDEX(SEMANAS!$J$6:$J$71,MATCH($B1682,SEMANAS!$B$6:$B$71,0)),0)</f>
        <v>29.792</v>
      </c>
      <c r="W1682" s="18" t="n">
        <f aca="false">MAX(0,$T1682-$V1682)</f>
        <v>0</v>
      </c>
      <c r="X1682" s="19" t="n">
        <f aca="false">IFERROR(INDEX(CADASTRO_PIVOS!$K$6:$K$41,MATCH($E1682,CADASTRO_PIVOS!$B$6:$B$41,0)),EFICIENCIA_PADRAO)</f>
        <v>0.85</v>
      </c>
      <c r="Y1682" s="18" t="n">
        <f aca="false">IF($X1682&lt;=0,0,$W1682/$X1682)</f>
        <v>0</v>
      </c>
      <c r="Z1682" s="16" t="n">
        <f aca="false">$Y1682*$H1682*MM_PARA_M3_HA</f>
        <v>0</v>
      </c>
      <c r="AA1682" s="18" t="n">
        <f aca="false">IFERROR(INDEX(CADASTRO_PIVOS!$I$6:$I$41,MATCH($E1682,CADASTRO_PIVOS!$B$6:$B$41,0)),0)</f>
        <v>1071.28571428571</v>
      </c>
      <c r="AB1682" s="18" t="n">
        <f aca="false">IF($Z1682&lt;=0,0,$Z1682/$AA1682)</f>
        <v>0</v>
      </c>
      <c r="AC1682" s="16" t="n">
        <f aca="false">IFERROR(INDEX(SEMANAS!$K$6:$K$71,MATCH($B1682,SEMANAS!$B$6:$B$71,0)),0)</f>
        <v>147</v>
      </c>
      <c r="AD1682" s="19" t="n">
        <f aca="false">IF($AC1682&lt;=0,0,$AB1682/$AC1682)</f>
        <v>0</v>
      </c>
      <c r="AE1682" s="8" t="str">
        <f aca="false">IF($K1682="SEM CULTURA","SEM CULTURA",IF($AA1682&lt;=0,"DADO PENDENTE",IF($AD1682&gt;LIMITE_CRITICO,"INVIAVEL",IF($AD1682&gt;LIMITE_ATENCAO,"CRITICO",IF($AD1682&gt;LIMITE_CONFORTAVEL,"ATENCAO","OK")))))</f>
        <v>OK</v>
      </c>
      <c r="AF1682" s="8" t="str">
        <f aca="false">$B1682&amp;"|"&amp;TEXT($AD1682,"0.000000")</f>
        <v>27|0.000000</v>
      </c>
      <c r="AG1682" s="18" t="n">
        <f aca="false">IF($K1682="SEM CULTURA",0,$T1682*$H1682)</f>
        <v>1881.06397283951</v>
      </c>
      <c r="AH1682" s="18" t="n">
        <f aca="false">IF($K1682="SEM CULTURA",0,$V1682*$H1682)</f>
        <v>4468.20416</v>
      </c>
      <c r="AI1682" s="18" t="n">
        <f aca="false">IF($K1682="SEM CULTURA",0,$W1682*$H1682)</f>
        <v>0</v>
      </c>
      <c r="AJ1682" s="18" t="n">
        <f aca="false">IF($K1682="SEM CULTURA",0,$S1682*$H1682)</f>
        <v>4829.356</v>
      </c>
      <c r="AK1682" s="8" t="str">
        <f aca="false">$E1682&amp;"|"&amp;TEXT($AD1682,"0.000000")</f>
        <v>PV 122|0.000000</v>
      </c>
    </row>
    <row r="1683" customFormat="false" ht="15" hidden="false" customHeight="false" outlineLevel="0" collapsed="false">
      <c r="B1683" s="16" t="n">
        <v>28</v>
      </c>
      <c r="C1683" s="17" t="n">
        <f aca="false">DATA_INICIO_SAFRA+($B1683-1)*DIAS_POR_SEMANA</f>
        <v>46454</v>
      </c>
      <c r="D1683" s="17" t="n">
        <f aca="false">$C1683+DIAS_POR_SEMANA-1</f>
        <v>46460</v>
      </c>
      <c r="E1683" s="15" t="s">
        <v>284</v>
      </c>
      <c r="F1683" s="8" t="str">
        <f aca="false">IFERROR(INDEX(CADASTRO_PIVOS!$C$6:$C$41,MATCH($E1683,CADASTRO_PIVOS!$B$6:$B$41,0)),"?")</f>
        <v>RM07</v>
      </c>
      <c r="G1683" s="8" t="str">
        <f aca="false">IFERROR(INDEX(CADASTRO_PIVOS!$D$6:$D$41,MATCH($E1683,CADASTRO_PIVOS!$B$6:$B$41,0)),"?")</f>
        <v>TR07</v>
      </c>
      <c r="H1683" s="20" t="n">
        <f aca="false">IFERROR(INDEX(CADASTRO_PIVOS!$E$6:$E$41,MATCH($E1683,CADASTRO_PIVOS!$B$6:$B$41,0)),0)</f>
        <v>149.98</v>
      </c>
      <c r="I1683" s="16" t="n">
        <f aca="false">IFERROR(SUMIFS(ROTACAO_RDM!$B$6:$B$71,ROTACAO_RDM!$D$6:$D$71,$E1683,ROTACAO_RDM!$I$6:$I$71,"&lt;="&amp;$C1683+INT(DIAS_POR_SEMANA/2),ROTACAO_RDM!$J$6:$J$71,"&gt;="&amp;$C1683+INT(DIAS_POR_SEMANA/2)),0)</f>
        <v>40</v>
      </c>
      <c r="J1683" s="16" t="n">
        <f aca="false">IFERROR(MATCH($I1683,ROTACAO_RDM!$B$6:$B$71,0),0)</f>
        <v>40</v>
      </c>
      <c r="K1683" s="8" t="str">
        <f aca="false">IF($J1683=0,"SEM CULTURA",INDEX(ROTACAO_RDM!$F$6:$F$71,$J1683))</f>
        <v>ALGODAO</v>
      </c>
      <c r="L1683" s="8" t="str">
        <f aca="false">IF($J1683=0,"",INDEX(ROTACAO_RDM!$G$6:$G$71,$J1683))</f>
        <v>FM 911 GLTP</v>
      </c>
      <c r="M1683" s="17" t="n">
        <f aca="false">IF($J1683=0,"",INDEX(ROTACAO_RDM!$I$6:$I$71,$J1683))</f>
        <v>46417</v>
      </c>
      <c r="N1683" s="16" t="n">
        <f aca="false">IF($J1683=0,0,MAX(0,$C1683+INT(DIAS_POR_SEMANA/2)-INDEX(ROTACAO_RDM!$I$6:$I$71,$J1683)))</f>
        <v>40</v>
      </c>
      <c r="O1683" s="19" t="n">
        <f aca="false">IF($J1683=0,0,MIN(1,$N1683/MAX(1,INDEX(ROTACAO_RDM!$K$6:$K$71,$J1683))))</f>
        <v>0.222222222222222</v>
      </c>
      <c r="P1683" s="16" t="n">
        <f aca="false">IF($J1683=0,0,IFERROR(MATCH(INDEX(ROTACAO_RDM!$N$6:$N$71,$J1683),PARAMETROS_CULTURAS!$B$6:$B$28,0),0))</f>
        <v>4</v>
      </c>
      <c r="Q1683" s="8" t="str">
        <f aca="false">IF($P1683=0,"-",IF($O1683&lt;=INDEX(PARAMETROS_CULTURAS!$F$6:$F$28,$P1683),"INICIAL",IF($O1683&lt;=INDEX(PARAMETROS_CULTURAS!$F$6:$F$28,$P1683)+INDEX(PARAMETROS_CULTURAS!$G$6:$G$28,$P1683),"DESENVOLVIMENTO",IF($O1683&lt;=INDEX(PARAMETROS_CULTURAS!$F$6:$F$28,$P1683)+INDEX(PARAMETROS_CULTURAS!$G$6:$G$28,$P1683)+INDEX(PARAMETROS_CULTURAS!$H$6:$H$28,$P1683),"MEDIA","FINAL"))))</f>
        <v>DESENVOLVIMENTO</v>
      </c>
      <c r="R1683" s="24" t="n">
        <f aca="false">IF($P1683=0,0,IF($O1683&lt;=INDEX(PARAMETROS_CULTURAS!$F$6:$F$28,$P1683),INDEX(PARAMETROS_CULTURAS!$K$6:$K$28,$P1683),IF($O1683&lt;=INDEX(PARAMETROS_CULTURAS!$F$6:$F$28,$P1683)+INDEX(PARAMETROS_CULTURAS!$G$6:$G$28,$P1683),INDEX(PARAMETROS_CULTURAS!$K$6:$K$28,$P1683)+(INDEX(PARAMETROS_CULTURAS!$L$6:$L$28,$P1683)-INDEX(PARAMETROS_CULTURAS!$K$6:$K$28,$P1683))*($O1683-INDEX(PARAMETROS_CULTURAS!$F$6:$F$28,$P1683))/MAX(INDEX(PARAMETROS_CULTURAS!$G$6:$G$28,$P1683),0.0001),IF($O1683&lt;=INDEX(PARAMETROS_CULTURAS!$F$6:$F$28,$P1683)+INDEX(PARAMETROS_CULTURAS!$G$6:$G$28,$P1683)+INDEX(PARAMETROS_CULTURAS!$H$6:$H$28,$P1683),INDEX(PARAMETROS_CULTURAS!$L$6:$L$28,$P1683),INDEX(PARAMETROS_CULTURAS!$L$6:$L$28,$P1683)+(INDEX(PARAMETROS_CULTURAS!$M$6:$M$28,$P1683)-INDEX(PARAMETROS_CULTURAS!$L$6:$L$28,$P1683))*($O1683-INDEX(PARAMETROS_CULTURAS!$F$6:$F$28,$P1683)-INDEX(PARAMETROS_CULTURAS!$G$6:$G$28,$P1683)-INDEX(PARAMETROS_CULTURAS!$H$6:$H$28,$P1683))/MAX(INDEX(PARAMETROS_CULTURAS!$I$6:$I$28,$P1683),0.0001)))))</f>
        <v>0.504732510288066</v>
      </c>
      <c r="S1683" s="18" t="n">
        <f aca="false">IFERROR(INDEX(SEMANAS!$H$6:$H$71,MATCH($B1683,SEMANAS!$B$6:$B$71,0)),0)</f>
        <v>32.2</v>
      </c>
      <c r="T1683" s="18" t="n">
        <f aca="false">$R1683*$S1683</f>
        <v>16.2523868312757</v>
      </c>
      <c r="U1683" s="18" t="n">
        <f aca="false">IFERROR(INDEX(SEMANAS!$I$6:$I$71,MATCH($B1683,SEMANAS!$B$6:$B$71,0)),0)</f>
        <v>37.24</v>
      </c>
      <c r="V1683" s="18" t="n">
        <f aca="false">IFERROR(INDEX(SEMANAS!$J$6:$J$71,MATCH($B1683,SEMANAS!$B$6:$B$71,0)),0)</f>
        <v>29.792</v>
      </c>
      <c r="W1683" s="18" t="n">
        <f aca="false">MAX(0,$T1683-$V1683)</f>
        <v>0</v>
      </c>
      <c r="X1683" s="19" t="n">
        <f aca="false">IFERROR(INDEX(CADASTRO_PIVOS!$K$6:$K$41,MATCH($E1683,CADASTRO_PIVOS!$B$6:$B$41,0)),EFICIENCIA_PADRAO)</f>
        <v>0.85</v>
      </c>
      <c r="Y1683" s="18" t="n">
        <f aca="false">IF($X1683&lt;=0,0,$W1683/$X1683)</f>
        <v>0</v>
      </c>
      <c r="Z1683" s="16" t="n">
        <f aca="false">$Y1683*$H1683*MM_PARA_M3_HA</f>
        <v>0</v>
      </c>
      <c r="AA1683" s="18" t="n">
        <f aca="false">IFERROR(INDEX(CADASTRO_PIVOS!$I$6:$I$41,MATCH($E1683,CADASTRO_PIVOS!$B$6:$B$41,0)),0)</f>
        <v>1071.28571428571</v>
      </c>
      <c r="AB1683" s="18" t="n">
        <f aca="false">IF($Z1683&lt;=0,0,$Z1683/$AA1683)</f>
        <v>0</v>
      </c>
      <c r="AC1683" s="16" t="n">
        <f aca="false">IFERROR(INDEX(SEMANAS!$K$6:$K$71,MATCH($B1683,SEMANAS!$B$6:$B$71,0)),0)</f>
        <v>147</v>
      </c>
      <c r="AD1683" s="19" t="n">
        <f aca="false">IF($AC1683&lt;=0,0,$AB1683/$AC1683)</f>
        <v>0</v>
      </c>
      <c r="AE1683" s="8" t="str">
        <f aca="false">IF($K1683="SEM CULTURA","SEM CULTURA",IF($AA1683&lt;=0,"DADO PENDENTE",IF($AD1683&gt;LIMITE_CRITICO,"INVIAVEL",IF($AD1683&gt;LIMITE_ATENCAO,"CRITICO",IF($AD1683&gt;LIMITE_CONFORTAVEL,"ATENCAO","OK")))))</f>
        <v>OK</v>
      </c>
      <c r="AF1683" s="8" t="str">
        <f aca="false">$B1683&amp;"|"&amp;TEXT($AD1683,"0.000000")</f>
        <v>28|0.000000</v>
      </c>
      <c r="AG1683" s="18" t="n">
        <f aca="false">IF($K1683="SEM CULTURA",0,$T1683*$H1683)</f>
        <v>2437.53297695473</v>
      </c>
      <c r="AH1683" s="18" t="n">
        <f aca="false">IF($K1683="SEM CULTURA",0,$V1683*$H1683)</f>
        <v>4468.20416</v>
      </c>
      <c r="AI1683" s="18" t="n">
        <f aca="false">IF($K1683="SEM CULTURA",0,$W1683*$H1683)</f>
        <v>0</v>
      </c>
      <c r="AJ1683" s="18" t="n">
        <f aca="false">IF($K1683="SEM CULTURA",0,$S1683*$H1683)</f>
        <v>4829.356</v>
      </c>
      <c r="AK1683" s="8" t="str">
        <f aca="false">$E1683&amp;"|"&amp;TEXT($AD1683,"0.000000")</f>
        <v>PV 122|0.000000</v>
      </c>
    </row>
    <row r="1684" customFormat="false" ht="15" hidden="false" customHeight="false" outlineLevel="0" collapsed="false">
      <c r="B1684" s="16" t="n">
        <v>29</v>
      </c>
      <c r="C1684" s="17" t="n">
        <f aca="false">DATA_INICIO_SAFRA+($B1684-1)*DIAS_POR_SEMANA</f>
        <v>46461</v>
      </c>
      <c r="D1684" s="17" t="n">
        <f aca="false">$C1684+DIAS_POR_SEMANA-1</f>
        <v>46467</v>
      </c>
      <c r="E1684" s="15" t="s">
        <v>284</v>
      </c>
      <c r="F1684" s="8" t="str">
        <f aca="false">IFERROR(INDEX(CADASTRO_PIVOS!$C$6:$C$41,MATCH($E1684,CADASTRO_PIVOS!$B$6:$B$41,0)),"?")</f>
        <v>RM07</v>
      </c>
      <c r="G1684" s="8" t="str">
        <f aca="false">IFERROR(INDEX(CADASTRO_PIVOS!$D$6:$D$41,MATCH($E1684,CADASTRO_PIVOS!$B$6:$B$41,0)),"?")</f>
        <v>TR07</v>
      </c>
      <c r="H1684" s="20" t="n">
        <f aca="false">IFERROR(INDEX(CADASTRO_PIVOS!$E$6:$E$41,MATCH($E1684,CADASTRO_PIVOS!$B$6:$B$41,0)),0)</f>
        <v>149.98</v>
      </c>
      <c r="I1684" s="16" t="n">
        <f aca="false">IFERROR(SUMIFS(ROTACAO_RDM!$B$6:$B$71,ROTACAO_RDM!$D$6:$D$71,$E1684,ROTACAO_RDM!$I$6:$I$71,"&lt;="&amp;$C1684+INT(DIAS_POR_SEMANA/2),ROTACAO_RDM!$J$6:$J$71,"&gt;="&amp;$C1684+INT(DIAS_POR_SEMANA/2)),0)</f>
        <v>40</v>
      </c>
      <c r="J1684" s="16" t="n">
        <f aca="false">IFERROR(MATCH($I1684,ROTACAO_RDM!$B$6:$B$71,0),0)</f>
        <v>40</v>
      </c>
      <c r="K1684" s="8" t="str">
        <f aca="false">IF($J1684=0,"SEM CULTURA",INDEX(ROTACAO_RDM!$F$6:$F$71,$J1684))</f>
        <v>ALGODAO</v>
      </c>
      <c r="L1684" s="8" t="str">
        <f aca="false">IF($J1684=0,"",INDEX(ROTACAO_RDM!$G$6:$G$71,$J1684))</f>
        <v>FM 911 GLTP</v>
      </c>
      <c r="M1684" s="17" t="n">
        <f aca="false">IF($J1684=0,"",INDEX(ROTACAO_RDM!$I$6:$I$71,$J1684))</f>
        <v>46417</v>
      </c>
      <c r="N1684" s="16" t="n">
        <f aca="false">IF($J1684=0,0,MAX(0,$C1684+INT(DIAS_POR_SEMANA/2)-INDEX(ROTACAO_RDM!$I$6:$I$71,$J1684)))</f>
        <v>47</v>
      </c>
      <c r="O1684" s="19" t="n">
        <f aca="false">IF($J1684=0,0,MIN(1,$N1684/MAX(1,INDEX(ROTACAO_RDM!$K$6:$K$71,$J1684))))</f>
        <v>0.261111111111111</v>
      </c>
      <c r="P1684" s="16" t="n">
        <f aca="false">IF($J1684=0,0,IFERROR(MATCH(INDEX(ROTACAO_RDM!$N$6:$N$71,$J1684),PARAMETROS_CULTURAS!$B$6:$B$28,0),0))</f>
        <v>4</v>
      </c>
      <c r="Q1684" s="8" t="str">
        <f aca="false">IF($P1684=0,"-",IF($O1684&lt;=INDEX(PARAMETROS_CULTURAS!$F$6:$F$28,$P1684),"INICIAL",IF($O1684&lt;=INDEX(PARAMETROS_CULTURAS!$F$6:$F$28,$P1684)+INDEX(PARAMETROS_CULTURAS!$G$6:$G$28,$P1684),"DESENVOLVIMENTO",IF($O1684&lt;=INDEX(PARAMETROS_CULTURAS!$F$6:$F$28,$P1684)+INDEX(PARAMETROS_CULTURAS!$G$6:$G$28,$P1684)+INDEX(PARAMETROS_CULTURAS!$H$6:$H$28,$P1684),"MEDIA","FINAL"))))</f>
        <v>DESENVOLVIMENTO</v>
      </c>
      <c r="R1684" s="24" t="n">
        <f aca="false">IF($P1684=0,0,IF($O1684&lt;=INDEX(PARAMETROS_CULTURAS!$F$6:$F$28,$P1684),INDEX(PARAMETROS_CULTURAS!$K$6:$K$28,$P1684),IF($O1684&lt;=INDEX(PARAMETROS_CULTURAS!$F$6:$F$28,$P1684)+INDEX(PARAMETROS_CULTURAS!$G$6:$G$28,$P1684),INDEX(PARAMETROS_CULTURAS!$K$6:$K$28,$P1684)+(INDEX(PARAMETROS_CULTURAS!$L$6:$L$28,$P1684)-INDEX(PARAMETROS_CULTURAS!$K$6:$K$28,$P1684))*($O1684-INDEX(PARAMETROS_CULTURAS!$F$6:$F$28,$P1684))/MAX(INDEX(PARAMETROS_CULTURAS!$G$6:$G$28,$P1684),0.0001),IF($O1684&lt;=INDEX(PARAMETROS_CULTURAS!$F$6:$F$28,$P1684)+INDEX(PARAMETROS_CULTURAS!$G$6:$G$28,$P1684)+INDEX(PARAMETROS_CULTURAS!$H$6:$H$28,$P1684),INDEX(PARAMETROS_CULTURAS!$L$6:$L$28,$P1684),INDEX(PARAMETROS_CULTURAS!$L$6:$L$28,$P1684)+(INDEX(PARAMETROS_CULTURAS!$M$6:$M$28,$P1684)-INDEX(PARAMETROS_CULTURAS!$L$6:$L$28,$P1684))*($O1684-INDEX(PARAMETROS_CULTURAS!$F$6:$F$28,$P1684)-INDEX(PARAMETROS_CULTURAS!$G$6:$G$28,$P1684)-INDEX(PARAMETROS_CULTURAS!$H$6:$H$28,$P1684))/MAX(INDEX(PARAMETROS_CULTURAS!$I$6:$I$28,$P1684),0.0001)))))</f>
        <v>0.619958847736626</v>
      </c>
      <c r="S1684" s="18" t="n">
        <f aca="false">IFERROR(INDEX(SEMANAS!$H$6:$H$71,MATCH($B1684,SEMANAS!$B$6:$B$71,0)),0)</f>
        <v>32.2</v>
      </c>
      <c r="T1684" s="18" t="n">
        <f aca="false">$R1684*$S1684</f>
        <v>19.9626748971193</v>
      </c>
      <c r="U1684" s="18" t="n">
        <f aca="false">IFERROR(INDEX(SEMANAS!$I$6:$I$71,MATCH($B1684,SEMANAS!$B$6:$B$71,0)),0)</f>
        <v>37.24</v>
      </c>
      <c r="V1684" s="18" t="n">
        <f aca="false">IFERROR(INDEX(SEMANAS!$J$6:$J$71,MATCH($B1684,SEMANAS!$B$6:$B$71,0)),0)</f>
        <v>29.792</v>
      </c>
      <c r="W1684" s="18" t="n">
        <f aca="false">MAX(0,$T1684-$V1684)</f>
        <v>0</v>
      </c>
      <c r="X1684" s="19" t="n">
        <f aca="false">IFERROR(INDEX(CADASTRO_PIVOS!$K$6:$K$41,MATCH($E1684,CADASTRO_PIVOS!$B$6:$B$41,0)),EFICIENCIA_PADRAO)</f>
        <v>0.85</v>
      </c>
      <c r="Y1684" s="18" t="n">
        <f aca="false">IF($X1684&lt;=0,0,$W1684/$X1684)</f>
        <v>0</v>
      </c>
      <c r="Z1684" s="16" t="n">
        <f aca="false">$Y1684*$H1684*MM_PARA_M3_HA</f>
        <v>0</v>
      </c>
      <c r="AA1684" s="18" t="n">
        <f aca="false">IFERROR(INDEX(CADASTRO_PIVOS!$I$6:$I$41,MATCH($E1684,CADASTRO_PIVOS!$B$6:$B$41,0)),0)</f>
        <v>1071.28571428571</v>
      </c>
      <c r="AB1684" s="18" t="n">
        <f aca="false">IF($Z1684&lt;=0,0,$Z1684/$AA1684)</f>
        <v>0</v>
      </c>
      <c r="AC1684" s="16" t="n">
        <f aca="false">IFERROR(INDEX(SEMANAS!$K$6:$K$71,MATCH($B1684,SEMANAS!$B$6:$B$71,0)),0)</f>
        <v>147</v>
      </c>
      <c r="AD1684" s="19" t="n">
        <f aca="false">IF($AC1684&lt;=0,0,$AB1684/$AC1684)</f>
        <v>0</v>
      </c>
      <c r="AE1684" s="8" t="str">
        <f aca="false">IF($K1684="SEM CULTURA","SEM CULTURA",IF($AA1684&lt;=0,"DADO PENDENTE",IF($AD1684&gt;LIMITE_CRITICO,"INVIAVEL",IF($AD1684&gt;LIMITE_ATENCAO,"CRITICO",IF($AD1684&gt;LIMITE_CONFORTAVEL,"ATENCAO","OK")))))</f>
        <v>OK</v>
      </c>
      <c r="AF1684" s="8" t="str">
        <f aca="false">$B1684&amp;"|"&amp;TEXT($AD1684,"0.000000")</f>
        <v>29|0.000000</v>
      </c>
      <c r="AG1684" s="18" t="n">
        <f aca="false">IF($K1684="SEM CULTURA",0,$T1684*$H1684)</f>
        <v>2994.00198106996</v>
      </c>
      <c r="AH1684" s="18" t="n">
        <f aca="false">IF($K1684="SEM CULTURA",0,$V1684*$H1684)</f>
        <v>4468.20416</v>
      </c>
      <c r="AI1684" s="18" t="n">
        <f aca="false">IF($K1684="SEM CULTURA",0,$W1684*$H1684)</f>
        <v>0</v>
      </c>
      <c r="AJ1684" s="18" t="n">
        <f aca="false">IF($K1684="SEM CULTURA",0,$S1684*$H1684)</f>
        <v>4829.356</v>
      </c>
      <c r="AK1684" s="8" t="str">
        <f aca="false">$E1684&amp;"|"&amp;TEXT($AD1684,"0.000000")</f>
        <v>PV 122|0.000000</v>
      </c>
    </row>
    <row r="1685" customFormat="false" ht="15" hidden="false" customHeight="false" outlineLevel="0" collapsed="false">
      <c r="B1685" s="16" t="n">
        <v>30</v>
      </c>
      <c r="C1685" s="17" t="n">
        <f aca="false">DATA_INICIO_SAFRA+($B1685-1)*DIAS_POR_SEMANA</f>
        <v>46468</v>
      </c>
      <c r="D1685" s="17" t="n">
        <f aca="false">$C1685+DIAS_POR_SEMANA-1</f>
        <v>46474</v>
      </c>
      <c r="E1685" s="15" t="s">
        <v>284</v>
      </c>
      <c r="F1685" s="8" t="str">
        <f aca="false">IFERROR(INDEX(CADASTRO_PIVOS!$C$6:$C$41,MATCH($E1685,CADASTRO_PIVOS!$B$6:$B$41,0)),"?")</f>
        <v>RM07</v>
      </c>
      <c r="G1685" s="8" t="str">
        <f aca="false">IFERROR(INDEX(CADASTRO_PIVOS!$D$6:$D$41,MATCH($E1685,CADASTRO_PIVOS!$B$6:$B$41,0)),"?")</f>
        <v>TR07</v>
      </c>
      <c r="H1685" s="20" t="n">
        <f aca="false">IFERROR(INDEX(CADASTRO_PIVOS!$E$6:$E$41,MATCH($E1685,CADASTRO_PIVOS!$B$6:$B$41,0)),0)</f>
        <v>149.98</v>
      </c>
      <c r="I1685" s="16" t="n">
        <f aca="false">IFERROR(SUMIFS(ROTACAO_RDM!$B$6:$B$71,ROTACAO_RDM!$D$6:$D$71,$E1685,ROTACAO_RDM!$I$6:$I$71,"&lt;="&amp;$C1685+INT(DIAS_POR_SEMANA/2),ROTACAO_RDM!$J$6:$J$71,"&gt;="&amp;$C1685+INT(DIAS_POR_SEMANA/2)),0)</f>
        <v>40</v>
      </c>
      <c r="J1685" s="16" t="n">
        <f aca="false">IFERROR(MATCH($I1685,ROTACAO_RDM!$B$6:$B$71,0),0)</f>
        <v>40</v>
      </c>
      <c r="K1685" s="8" t="str">
        <f aca="false">IF($J1685=0,"SEM CULTURA",INDEX(ROTACAO_RDM!$F$6:$F$71,$J1685))</f>
        <v>ALGODAO</v>
      </c>
      <c r="L1685" s="8" t="str">
        <f aca="false">IF($J1685=0,"",INDEX(ROTACAO_RDM!$G$6:$G$71,$J1685))</f>
        <v>FM 911 GLTP</v>
      </c>
      <c r="M1685" s="17" t="n">
        <f aca="false">IF($J1685=0,"",INDEX(ROTACAO_RDM!$I$6:$I$71,$J1685))</f>
        <v>46417</v>
      </c>
      <c r="N1685" s="16" t="n">
        <f aca="false">IF($J1685=0,0,MAX(0,$C1685+INT(DIAS_POR_SEMANA/2)-INDEX(ROTACAO_RDM!$I$6:$I$71,$J1685)))</f>
        <v>54</v>
      </c>
      <c r="O1685" s="19" t="n">
        <f aca="false">IF($J1685=0,0,MIN(1,$N1685/MAX(1,INDEX(ROTACAO_RDM!$K$6:$K$71,$J1685))))</f>
        <v>0.3</v>
      </c>
      <c r="P1685" s="16" t="n">
        <f aca="false">IF($J1685=0,0,IFERROR(MATCH(INDEX(ROTACAO_RDM!$N$6:$N$71,$J1685),PARAMETROS_CULTURAS!$B$6:$B$28,0),0))</f>
        <v>4</v>
      </c>
      <c r="Q1685" s="8" t="str">
        <f aca="false">IF($P1685=0,"-",IF($O1685&lt;=INDEX(PARAMETROS_CULTURAS!$F$6:$F$28,$P1685),"INICIAL",IF($O1685&lt;=INDEX(PARAMETROS_CULTURAS!$F$6:$F$28,$P1685)+INDEX(PARAMETROS_CULTURAS!$G$6:$G$28,$P1685),"DESENVOLVIMENTO",IF($O1685&lt;=INDEX(PARAMETROS_CULTURAS!$F$6:$F$28,$P1685)+INDEX(PARAMETROS_CULTURAS!$G$6:$G$28,$P1685)+INDEX(PARAMETROS_CULTURAS!$H$6:$H$28,$P1685),"MEDIA","FINAL"))))</f>
        <v>DESENVOLVIMENTO</v>
      </c>
      <c r="R1685" s="24" t="n">
        <f aca="false">IF($P1685=0,0,IF($O1685&lt;=INDEX(PARAMETROS_CULTURAS!$F$6:$F$28,$P1685),INDEX(PARAMETROS_CULTURAS!$K$6:$K$28,$P1685),IF($O1685&lt;=INDEX(PARAMETROS_CULTURAS!$F$6:$F$28,$P1685)+INDEX(PARAMETROS_CULTURAS!$G$6:$G$28,$P1685),INDEX(PARAMETROS_CULTURAS!$K$6:$K$28,$P1685)+(INDEX(PARAMETROS_CULTURAS!$L$6:$L$28,$P1685)-INDEX(PARAMETROS_CULTURAS!$K$6:$K$28,$P1685))*($O1685-INDEX(PARAMETROS_CULTURAS!$F$6:$F$28,$P1685))/MAX(INDEX(PARAMETROS_CULTURAS!$G$6:$G$28,$P1685),0.0001),IF($O1685&lt;=INDEX(PARAMETROS_CULTURAS!$F$6:$F$28,$P1685)+INDEX(PARAMETROS_CULTURAS!$G$6:$G$28,$P1685)+INDEX(PARAMETROS_CULTURAS!$H$6:$H$28,$P1685),INDEX(PARAMETROS_CULTURAS!$L$6:$L$28,$P1685),INDEX(PARAMETROS_CULTURAS!$L$6:$L$28,$P1685)+(INDEX(PARAMETROS_CULTURAS!$M$6:$M$28,$P1685)-INDEX(PARAMETROS_CULTURAS!$L$6:$L$28,$P1685))*($O1685-INDEX(PARAMETROS_CULTURAS!$F$6:$F$28,$P1685)-INDEX(PARAMETROS_CULTURAS!$G$6:$G$28,$P1685)-INDEX(PARAMETROS_CULTURAS!$H$6:$H$28,$P1685))/MAX(INDEX(PARAMETROS_CULTURAS!$I$6:$I$28,$P1685),0.0001)))))</f>
        <v>0.735185185185185</v>
      </c>
      <c r="S1685" s="18" t="n">
        <f aca="false">IFERROR(INDEX(SEMANAS!$H$6:$H$71,MATCH($B1685,SEMANAS!$B$6:$B$71,0)),0)</f>
        <v>32.2</v>
      </c>
      <c r="T1685" s="18" t="n">
        <f aca="false">$R1685*$S1685</f>
        <v>23.672962962963</v>
      </c>
      <c r="U1685" s="18" t="n">
        <f aca="false">IFERROR(INDEX(SEMANAS!$I$6:$I$71,MATCH($B1685,SEMANAS!$B$6:$B$71,0)),0)</f>
        <v>37.24</v>
      </c>
      <c r="V1685" s="18" t="n">
        <f aca="false">IFERROR(INDEX(SEMANAS!$J$6:$J$71,MATCH($B1685,SEMANAS!$B$6:$B$71,0)),0)</f>
        <v>29.792</v>
      </c>
      <c r="W1685" s="18" t="n">
        <f aca="false">MAX(0,$T1685-$V1685)</f>
        <v>0</v>
      </c>
      <c r="X1685" s="19" t="n">
        <f aca="false">IFERROR(INDEX(CADASTRO_PIVOS!$K$6:$K$41,MATCH($E1685,CADASTRO_PIVOS!$B$6:$B$41,0)),EFICIENCIA_PADRAO)</f>
        <v>0.85</v>
      </c>
      <c r="Y1685" s="18" t="n">
        <f aca="false">IF($X1685&lt;=0,0,$W1685/$X1685)</f>
        <v>0</v>
      </c>
      <c r="Z1685" s="16" t="n">
        <f aca="false">$Y1685*$H1685*MM_PARA_M3_HA</f>
        <v>0</v>
      </c>
      <c r="AA1685" s="18" t="n">
        <f aca="false">IFERROR(INDEX(CADASTRO_PIVOS!$I$6:$I$41,MATCH($E1685,CADASTRO_PIVOS!$B$6:$B$41,0)),0)</f>
        <v>1071.28571428571</v>
      </c>
      <c r="AB1685" s="18" t="n">
        <f aca="false">IF($Z1685&lt;=0,0,$Z1685/$AA1685)</f>
        <v>0</v>
      </c>
      <c r="AC1685" s="16" t="n">
        <f aca="false">IFERROR(INDEX(SEMANAS!$K$6:$K$71,MATCH($B1685,SEMANAS!$B$6:$B$71,0)),0)</f>
        <v>147</v>
      </c>
      <c r="AD1685" s="19" t="n">
        <f aca="false">IF($AC1685&lt;=0,0,$AB1685/$AC1685)</f>
        <v>0</v>
      </c>
      <c r="AE1685" s="8" t="str">
        <f aca="false">IF($K1685="SEM CULTURA","SEM CULTURA",IF($AA1685&lt;=0,"DADO PENDENTE",IF($AD1685&gt;LIMITE_CRITICO,"INVIAVEL",IF($AD1685&gt;LIMITE_ATENCAO,"CRITICO",IF($AD1685&gt;LIMITE_CONFORTAVEL,"ATENCAO","OK")))))</f>
        <v>OK</v>
      </c>
      <c r="AF1685" s="8" t="str">
        <f aca="false">$B1685&amp;"|"&amp;TEXT($AD1685,"0.000000")</f>
        <v>30|0.000000</v>
      </c>
      <c r="AG1685" s="18" t="n">
        <f aca="false">IF($K1685="SEM CULTURA",0,$T1685*$H1685)</f>
        <v>3550.47098518518</v>
      </c>
      <c r="AH1685" s="18" t="n">
        <f aca="false">IF($K1685="SEM CULTURA",0,$V1685*$H1685)</f>
        <v>4468.20416</v>
      </c>
      <c r="AI1685" s="18" t="n">
        <f aca="false">IF($K1685="SEM CULTURA",0,$W1685*$H1685)</f>
        <v>0</v>
      </c>
      <c r="AJ1685" s="18" t="n">
        <f aca="false">IF($K1685="SEM CULTURA",0,$S1685*$H1685)</f>
        <v>4829.356</v>
      </c>
      <c r="AK1685" s="8" t="str">
        <f aca="false">$E1685&amp;"|"&amp;TEXT($AD1685,"0.000000")</f>
        <v>PV 122|0.000000</v>
      </c>
    </row>
    <row r="1686" customFormat="false" ht="15" hidden="false" customHeight="false" outlineLevel="0" collapsed="false">
      <c r="B1686" s="16" t="n">
        <v>31</v>
      </c>
      <c r="C1686" s="17" t="n">
        <f aca="false">DATA_INICIO_SAFRA+($B1686-1)*DIAS_POR_SEMANA</f>
        <v>46475</v>
      </c>
      <c r="D1686" s="17" t="n">
        <f aca="false">$C1686+DIAS_POR_SEMANA-1</f>
        <v>46481</v>
      </c>
      <c r="E1686" s="15" t="s">
        <v>284</v>
      </c>
      <c r="F1686" s="8" t="str">
        <f aca="false">IFERROR(INDEX(CADASTRO_PIVOS!$C$6:$C$41,MATCH($E1686,CADASTRO_PIVOS!$B$6:$B$41,0)),"?")</f>
        <v>RM07</v>
      </c>
      <c r="G1686" s="8" t="str">
        <f aca="false">IFERROR(INDEX(CADASTRO_PIVOS!$D$6:$D$41,MATCH($E1686,CADASTRO_PIVOS!$B$6:$B$41,0)),"?")</f>
        <v>TR07</v>
      </c>
      <c r="H1686" s="20" t="n">
        <f aca="false">IFERROR(INDEX(CADASTRO_PIVOS!$E$6:$E$41,MATCH($E1686,CADASTRO_PIVOS!$B$6:$B$41,0)),0)</f>
        <v>149.98</v>
      </c>
      <c r="I1686" s="16" t="n">
        <f aca="false">IFERROR(SUMIFS(ROTACAO_RDM!$B$6:$B$71,ROTACAO_RDM!$D$6:$D$71,$E1686,ROTACAO_RDM!$I$6:$I$71,"&lt;="&amp;$C1686+INT(DIAS_POR_SEMANA/2),ROTACAO_RDM!$J$6:$J$71,"&gt;="&amp;$C1686+INT(DIAS_POR_SEMANA/2)),0)</f>
        <v>40</v>
      </c>
      <c r="J1686" s="16" t="n">
        <f aca="false">IFERROR(MATCH($I1686,ROTACAO_RDM!$B$6:$B$71,0),0)</f>
        <v>40</v>
      </c>
      <c r="K1686" s="8" t="str">
        <f aca="false">IF($J1686=0,"SEM CULTURA",INDEX(ROTACAO_RDM!$F$6:$F$71,$J1686))</f>
        <v>ALGODAO</v>
      </c>
      <c r="L1686" s="8" t="str">
        <f aca="false">IF($J1686=0,"",INDEX(ROTACAO_RDM!$G$6:$G$71,$J1686))</f>
        <v>FM 911 GLTP</v>
      </c>
      <c r="M1686" s="17" t="n">
        <f aca="false">IF($J1686=0,"",INDEX(ROTACAO_RDM!$I$6:$I$71,$J1686))</f>
        <v>46417</v>
      </c>
      <c r="N1686" s="16" t="n">
        <f aca="false">IF($J1686=0,0,MAX(0,$C1686+INT(DIAS_POR_SEMANA/2)-INDEX(ROTACAO_RDM!$I$6:$I$71,$J1686)))</f>
        <v>61</v>
      </c>
      <c r="O1686" s="19" t="n">
        <f aca="false">IF($J1686=0,0,MIN(1,$N1686/MAX(1,INDEX(ROTACAO_RDM!$K$6:$K$71,$J1686))))</f>
        <v>0.338888888888889</v>
      </c>
      <c r="P1686" s="16" t="n">
        <f aca="false">IF($J1686=0,0,IFERROR(MATCH(INDEX(ROTACAO_RDM!$N$6:$N$71,$J1686),PARAMETROS_CULTURAS!$B$6:$B$28,0),0))</f>
        <v>4</v>
      </c>
      <c r="Q1686" s="8" t="str">
        <f aca="false">IF($P1686=0,"-",IF($O1686&lt;=INDEX(PARAMETROS_CULTURAS!$F$6:$F$28,$P1686),"INICIAL",IF($O1686&lt;=INDEX(PARAMETROS_CULTURAS!$F$6:$F$28,$P1686)+INDEX(PARAMETROS_CULTURAS!$G$6:$G$28,$P1686),"DESENVOLVIMENTO",IF($O1686&lt;=INDEX(PARAMETROS_CULTURAS!$F$6:$F$28,$P1686)+INDEX(PARAMETROS_CULTURAS!$G$6:$G$28,$P1686)+INDEX(PARAMETROS_CULTURAS!$H$6:$H$28,$P1686),"MEDIA","FINAL"))))</f>
        <v>DESENVOLVIMENTO</v>
      </c>
      <c r="R1686" s="24" t="n">
        <f aca="false">IF($P1686=0,0,IF($O1686&lt;=INDEX(PARAMETROS_CULTURAS!$F$6:$F$28,$P1686),INDEX(PARAMETROS_CULTURAS!$K$6:$K$28,$P1686),IF($O1686&lt;=INDEX(PARAMETROS_CULTURAS!$F$6:$F$28,$P1686)+INDEX(PARAMETROS_CULTURAS!$G$6:$G$28,$P1686),INDEX(PARAMETROS_CULTURAS!$K$6:$K$28,$P1686)+(INDEX(PARAMETROS_CULTURAS!$L$6:$L$28,$P1686)-INDEX(PARAMETROS_CULTURAS!$K$6:$K$28,$P1686))*($O1686-INDEX(PARAMETROS_CULTURAS!$F$6:$F$28,$P1686))/MAX(INDEX(PARAMETROS_CULTURAS!$G$6:$G$28,$P1686),0.0001),IF($O1686&lt;=INDEX(PARAMETROS_CULTURAS!$F$6:$F$28,$P1686)+INDEX(PARAMETROS_CULTURAS!$G$6:$G$28,$P1686)+INDEX(PARAMETROS_CULTURAS!$H$6:$H$28,$P1686),INDEX(PARAMETROS_CULTURAS!$L$6:$L$28,$P1686),INDEX(PARAMETROS_CULTURAS!$L$6:$L$28,$P1686)+(INDEX(PARAMETROS_CULTURAS!$M$6:$M$28,$P1686)-INDEX(PARAMETROS_CULTURAS!$L$6:$L$28,$P1686))*($O1686-INDEX(PARAMETROS_CULTURAS!$F$6:$F$28,$P1686)-INDEX(PARAMETROS_CULTURAS!$G$6:$G$28,$P1686)-INDEX(PARAMETROS_CULTURAS!$H$6:$H$28,$P1686))/MAX(INDEX(PARAMETROS_CULTURAS!$I$6:$I$28,$P1686),0.0001)))))</f>
        <v>0.850411522633745</v>
      </c>
      <c r="S1686" s="18" t="n">
        <f aca="false">IFERROR(INDEX(SEMANAS!$H$6:$H$71,MATCH($B1686,SEMANAS!$B$6:$B$71,0)),0)</f>
        <v>31.8</v>
      </c>
      <c r="T1686" s="18" t="n">
        <f aca="false">$R1686*$S1686</f>
        <v>27.0430864197531</v>
      </c>
      <c r="U1686" s="18" t="n">
        <f aca="false">IFERROR(INDEX(SEMANAS!$I$6:$I$71,MATCH($B1686,SEMANAS!$B$6:$B$71,0)),0)</f>
        <v>25.28</v>
      </c>
      <c r="V1686" s="18" t="n">
        <f aca="false">IFERROR(INDEX(SEMANAS!$J$6:$J$71,MATCH($B1686,SEMANAS!$B$6:$B$71,0)),0)</f>
        <v>20.224</v>
      </c>
      <c r="W1686" s="18" t="n">
        <f aca="false">MAX(0,$T1686-$V1686)</f>
        <v>6.81908641975308</v>
      </c>
      <c r="X1686" s="19" t="n">
        <f aca="false">IFERROR(INDEX(CADASTRO_PIVOS!$K$6:$K$41,MATCH($E1686,CADASTRO_PIVOS!$B$6:$B$41,0)),EFICIENCIA_PADRAO)</f>
        <v>0.85</v>
      </c>
      <c r="Y1686" s="18" t="n">
        <f aca="false">IF($X1686&lt;=0,0,$W1686/$X1686)</f>
        <v>8.02245461147421</v>
      </c>
      <c r="Z1686" s="16" t="n">
        <f aca="false">$Y1686*$H1686*MM_PARA_M3_HA</f>
        <v>12032.077426289</v>
      </c>
      <c r="AA1686" s="18" t="n">
        <f aca="false">IFERROR(INDEX(CADASTRO_PIVOS!$I$6:$I$41,MATCH($E1686,CADASTRO_PIVOS!$B$6:$B$41,0)),0)</f>
        <v>1071.28571428571</v>
      </c>
      <c r="AB1686" s="18" t="n">
        <f aca="false">IF($Z1686&lt;=0,0,$Z1686/$AA1686)</f>
        <v>11.2314364560639</v>
      </c>
      <c r="AC1686" s="16" t="n">
        <f aca="false">IFERROR(INDEX(SEMANAS!$K$6:$K$71,MATCH($B1686,SEMANAS!$B$6:$B$71,0)),0)</f>
        <v>147</v>
      </c>
      <c r="AD1686" s="19" t="n">
        <f aca="false">IF($AC1686&lt;=0,0,$AB1686/$AC1686)</f>
        <v>0.0764043296330877</v>
      </c>
      <c r="AE1686" s="8" t="str">
        <f aca="false">IF($K1686="SEM CULTURA","SEM CULTURA",IF($AA1686&lt;=0,"DADO PENDENTE",IF($AD1686&gt;LIMITE_CRITICO,"INVIAVEL",IF($AD1686&gt;LIMITE_ATENCAO,"CRITICO",IF($AD1686&gt;LIMITE_CONFORTAVEL,"ATENCAO","OK")))))</f>
        <v>OK</v>
      </c>
      <c r="AF1686" s="8" t="str">
        <f aca="false">$B1686&amp;"|"&amp;TEXT($AD1686,"0.000000")</f>
        <v>31|0.076404</v>
      </c>
      <c r="AG1686" s="18" t="n">
        <f aca="false">IF($K1686="SEM CULTURA",0,$T1686*$H1686)</f>
        <v>4055.92210123457</v>
      </c>
      <c r="AH1686" s="18" t="n">
        <f aca="false">IF($K1686="SEM CULTURA",0,$V1686*$H1686)</f>
        <v>3033.19552</v>
      </c>
      <c r="AI1686" s="18" t="n">
        <f aca="false">IF($K1686="SEM CULTURA",0,$W1686*$H1686)</f>
        <v>1022.72658123457</v>
      </c>
      <c r="AJ1686" s="18" t="n">
        <f aca="false">IF($K1686="SEM CULTURA",0,$S1686*$H1686)</f>
        <v>4769.364</v>
      </c>
      <c r="AK1686" s="8" t="str">
        <f aca="false">$E1686&amp;"|"&amp;TEXT($AD1686,"0.000000")</f>
        <v>PV 122|0.076404</v>
      </c>
    </row>
    <row r="1687" customFormat="false" ht="15" hidden="false" customHeight="false" outlineLevel="0" collapsed="false">
      <c r="B1687" s="16" t="n">
        <v>32</v>
      </c>
      <c r="C1687" s="17" t="n">
        <f aca="false">DATA_INICIO_SAFRA+($B1687-1)*DIAS_POR_SEMANA</f>
        <v>46482</v>
      </c>
      <c r="D1687" s="17" t="n">
        <f aca="false">$C1687+DIAS_POR_SEMANA-1</f>
        <v>46488</v>
      </c>
      <c r="E1687" s="15" t="s">
        <v>284</v>
      </c>
      <c r="F1687" s="8" t="str">
        <f aca="false">IFERROR(INDEX(CADASTRO_PIVOS!$C$6:$C$41,MATCH($E1687,CADASTRO_PIVOS!$B$6:$B$41,0)),"?")</f>
        <v>RM07</v>
      </c>
      <c r="G1687" s="8" t="str">
        <f aca="false">IFERROR(INDEX(CADASTRO_PIVOS!$D$6:$D$41,MATCH($E1687,CADASTRO_PIVOS!$B$6:$B$41,0)),"?")</f>
        <v>TR07</v>
      </c>
      <c r="H1687" s="20" t="n">
        <f aca="false">IFERROR(INDEX(CADASTRO_PIVOS!$E$6:$E$41,MATCH($E1687,CADASTRO_PIVOS!$B$6:$B$41,0)),0)</f>
        <v>149.98</v>
      </c>
      <c r="I1687" s="16" t="n">
        <f aca="false">IFERROR(SUMIFS(ROTACAO_RDM!$B$6:$B$71,ROTACAO_RDM!$D$6:$D$71,$E1687,ROTACAO_RDM!$I$6:$I$71,"&lt;="&amp;$C1687+INT(DIAS_POR_SEMANA/2),ROTACAO_RDM!$J$6:$J$71,"&gt;="&amp;$C1687+INT(DIAS_POR_SEMANA/2)),0)</f>
        <v>40</v>
      </c>
      <c r="J1687" s="16" t="n">
        <f aca="false">IFERROR(MATCH($I1687,ROTACAO_RDM!$B$6:$B$71,0),0)</f>
        <v>40</v>
      </c>
      <c r="K1687" s="8" t="str">
        <f aca="false">IF($J1687=0,"SEM CULTURA",INDEX(ROTACAO_RDM!$F$6:$F$71,$J1687))</f>
        <v>ALGODAO</v>
      </c>
      <c r="L1687" s="8" t="str">
        <f aca="false">IF($J1687=0,"",INDEX(ROTACAO_RDM!$G$6:$G$71,$J1687))</f>
        <v>FM 911 GLTP</v>
      </c>
      <c r="M1687" s="17" t="n">
        <f aca="false">IF($J1687=0,"",INDEX(ROTACAO_RDM!$I$6:$I$71,$J1687))</f>
        <v>46417</v>
      </c>
      <c r="N1687" s="16" t="n">
        <f aca="false">IF($J1687=0,0,MAX(0,$C1687+INT(DIAS_POR_SEMANA/2)-INDEX(ROTACAO_RDM!$I$6:$I$71,$J1687)))</f>
        <v>68</v>
      </c>
      <c r="O1687" s="19" t="n">
        <f aca="false">IF($J1687=0,0,MIN(1,$N1687/MAX(1,INDEX(ROTACAO_RDM!$K$6:$K$71,$J1687))))</f>
        <v>0.377777777777778</v>
      </c>
      <c r="P1687" s="16" t="n">
        <f aca="false">IF($J1687=0,0,IFERROR(MATCH(INDEX(ROTACAO_RDM!$N$6:$N$71,$J1687),PARAMETROS_CULTURAS!$B$6:$B$28,0),0))</f>
        <v>4</v>
      </c>
      <c r="Q1687" s="8" t="str">
        <f aca="false">IF($P1687=0,"-",IF($O1687&lt;=INDEX(PARAMETROS_CULTURAS!$F$6:$F$28,$P1687),"INICIAL",IF($O1687&lt;=INDEX(PARAMETROS_CULTURAS!$F$6:$F$28,$P1687)+INDEX(PARAMETROS_CULTURAS!$G$6:$G$28,$P1687),"DESENVOLVIMENTO",IF($O1687&lt;=INDEX(PARAMETROS_CULTURAS!$F$6:$F$28,$P1687)+INDEX(PARAMETROS_CULTURAS!$G$6:$G$28,$P1687)+INDEX(PARAMETROS_CULTURAS!$H$6:$H$28,$P1687),"MEDIA","FINAL"))))</f>
        <v>DESENVOLVIMENTO</v>
      </c>
      <c r="R1687" s="24" t="n">
        <f aca="false">IF($P1687=0,0,IF($O1687&lt;=INDEX(PARAMETROS_CULTURAS!$F$6:$F$28,$P1687),INDEX(PARAMETROS_CULTURAS!$K$6:$K$28,$P1687),IF($O1687&lt;=INDEX(PARAMETROS_CULTURAS!$F$6:$F$28,$P1687)+INDEX(PARAMETROS_CULTURAS!$G$6:$G$28,$P1687),INDEX(PARAMETROS_CULTURAS!$K$6:$K$28,$P1687)+(INDEX(PARAMETROS_CULTURAS!$L$6:$L$28,$P1687)-INDEX(PARAMETROS_CULTURAS!$K$6:$K$28,$P1687))*($O1687-INDEX(PARAMETROS_CULTURAS!$F$6:$F$28,$P1687))/MAX(INDEX(PARAMETROS_CULTURAS!$G$6:$G$28,$P1687),0.0001),IF($O1687&lt;=INDEX(PARAMETROS_CULTURAS!$F$6:$F$28,$P1687)+INDEX(PARAMETROS_CULTURAS!$G$6:$G$28,$P1687)+INDEX(PARAMETROS_CULTURAS!$H$6:$H$28,$P1687),INDEX(PARAMETROS_CULTURAS!$L$6:$L$28,$P1687),INDEX(PARAMETROS_CULTURAS!$L$6:$L$28,$P1687)+(INDEX(PARAMETROS_CULTURAS!$M$6:$M$28,$P1687)-INDEX(PARAMETROS_CULTURAS!$L$6:$L$28,$P1687))*($O1687-INDEX(PARAMETROS_CULTURAS!$F$6:$F$28,$P1687)-INDEX(PARAMETROS_CULTURAS!$G$6:$G$28,$P1687)-INDEX(PARAMETROS_CULTURAS!$H$6:$H$28,$P1687))/MAX(INDEX(PARAMETROS_CULTURAS!$I$6:$I$28,$P1687),0.0001)))))</f>
        <v>0.965637860082304</v>
      </c>
      <c r="S1687" s="18" t="n">
        <f aca="false">IFERROR(INDEX(SEMANAS!$H$6:$H$71,MATCH($B1687,SEMANAS!$B$6:$B$71,0)),0)</f>
        <v>31.5</v>
      </c>
      <c r="T1687" s="18" t="n">
        <f aca="false">$R1687*$S1687</f>
        <v>30.4175925925926</v>
      </c>
      <c r="U1687" s="18" t="n">
        <f aca="false">IFERROR(INDEX(SEMANAS!$I$6:$I$71,MATCH($B1687,SEMANAS!$B$6:$B$71,0)),0)</f>
        <v>16.31</v>
      </c>
      <c r="V1687" s="18" t="n">
        <f aca="false">IFERROR(INDEX(SEMANAS!$J$6:$J$71,MATCH($B1687,SEMANAS!$B$6:$B$71,0)),0)</f>
        <v>13.048</v>
      </c>
      <c r="W1687" s="18" t="n">
        <f aca="false">MAX(0,$T1687-$V1687)</f>
        <v>17.3695925925926</v>
      </c>
      <c r="X1687" s="19" t="n">
        <f aca="false">IFERROR(INDEX(CADASTRO_PIVOS!$K$6:$K$41,MATCH($E1687,CADASTRO_PIVOS!$B$6:$B$41,0)),EFICIENCIA_PADRAO)</f>
        <v>0.85</v>
      </c>
      <c r="Y1687" s="18" t="n">
        <f aca="false">IF($X1687&lt;=0,0,$W1687/$X1687)</f>
        <v>20.4348148148148</v>
      </c>
      <c r="Z1687" s="16" t="n">
        <f aca="false">$Y1687*$H1687*MM_PARA_M3_HA</f>
        <v>30648.1352592593</v>
      </c>
      <c r="AA1687" s="18" t="n">
        <f aca="false">IFERROR(INDEX(CADASTRO_PIVOS!$I$6:$I$41,MATCH($E1687,CADASTRO_PIVOS!$B$6:$B$41,0)),0)</f>
        <v>1071.28571428571</v>
      </c>
      <c r="AB1687" s="18" t="n">
        <f aca="false">IF($Z1687&lt;=0,0,$Z1687/$AA1687)</f>
        <v>28.6087407407407</v>
      </c>
      <c r="AC1687" s="16" t="n">
        <f aca="false">IFERROR(INDEX(SEMANAS!$K$6:$K$71,MATCH($B1687,SEMANAS!$B$6:$B$71,0)),0)</f>
        <v>147</v>
      </c>
      <c r="AD1687" s="19" t="n">
        <f aca="false">IF($AC1687&lt;=0,0,$AB1687/$AC1687)</f>
        <v>0.194617283950617</v>
      </c>
      <c r="AE1687" s="8" t="str">
        <f aca="false">IF($K1687="SEM CULTURA","SEM CULTURA",IF($AA1687&lt;=0,"DADO PENDENTE",IF($AD1687&gt;LIMITE_CRITICO,"INVIAVEL",IF($AD1687&gt;LIMITE_ATENCAO,"CRITICO",IF($AD1687&gt;LIMITE_CONFORTAVEL,"ATENCAO","OK")))))</f>
        <v>OK</v>
      </c>
      <c r="AF1687" s="8" t="str">
        <f aca="false">$B1687&amp;"|"&amp;TEXT($AD1687,"0.000000")</f>
        <v>32|0.194617</v>
      </c>
      <c r="AG1687" s="18" t="n">
        <f aca="false">IF($K1687="SEM CULTURA",0,$T1687*$H1687)</f>
        <v>4562.03053703704</v>
      </c>
      <c r="AH1687" s="18" t="n">
        <f aca="false">IF($K1687="SEM CULTURA",0,$V1687*$H1687)</f>
        <v>1956.93904</v>
      </c>
      <c r="AI1687" s="18" t="n">
        <f aca="false">IF($K1687="SEM CULTURA",0,$W1687*$H1687)</f>
        <v>2605.09149703704</v>
      </c>
      <c r="AJ1687" s="18" t="n">
        <f aca="false">IF($K1687="SEM CULTURA",0,$S1687*$H1687)</f>
        <v>4724.37</v>
      </c>
      <c r="AK1687" s="8" t="str">
        <f aca="false">$E1687&amp;"|"&amp;TEXT($AD1687,"0.000000")</f>
        <v>PV 122|0.194617</v>
      </c>
    </row>
    <row r="1688" customFormat="false" ht="15" hidden="false" customHeight="false" outlineLevel="0" collapsed="false">
      <c r="B1688" s="16" t="n">
        <v>33</v>
      </c>
      <c r="C1688" s="17" t="n">
        <f aca="false">DATA_INICIO_SAFRA+($B1688-1)*DIAS_POR_SEMANA</f>
        <v>46489</v>
      </c>
      <c r="D1688" s="17" t="n">
        <f aca="false">$C1688+DIAS_POR_SEMANA-1</f>
        <v>46495</v>
      </c>
      <c r="E1688" s="15" t="s">
        <v>284</v>
      </c>
      <c r="F1688" s="8" t="str">
        <f aca="false">IFERROR(INDEX(CADASTRO_PIVOS!$C$6:$C$41,MATCH($E1688,CADASTRO_PIVOS!$B$6:$B$41,0)),"?")</f>
        <v>RM07</v>
      </c>
      <c r="G1688" s="8" t="str">
        <f aca="false">IFERROR(INDEX(CADASTRO_PIVOS!$D$6:$D$41,MATCH($E1688,CADASTRO_PIVOS!$B$6:$B$41,0)),"?")</f>
        <v>TR07</v>
      </c>
      <c r="H1688" s="20" t="n">
        <f aca="false">IFERROR(INDEX(CADASTRO_PIVOS!$E$6:$E$41,MATCH($E1688,CADASTRO_PIVOS!$B$6:$B$41,0)),0)</f>
        <v>149.98</v>
      </c>
      <c r="I1688" s="16" t="n">
        <f aca="false">IFERROR(SUMIFS(ROTACAO_RDM!$B$6:$B$71,ROTACAO_RDM!$D$6:$D$71,$E1688,ROTACAO_RDM!$I$6:$I$71,"&lt;="&amp;$C1688+INT(DIAS_POR_SEMANA/2),ROTACAO_RDM!$J$6:$J$71,"&gt;="&amp;$C1688+INT(DIAS_POR_SEMANA/2)),0)</f>
        <v>40</v>
      </c>
      <c r="J1688" s="16" t="n">
        <f aca="false">IFERROR(MATCH($I1688,ROTACAO_RDM!$B$6:$B$71,0),0)</f>
        <v>40</v>
      </c>
      <c r="K1688" s="8" t="str">
        <f aca="false">IF($J1688=0,"SEM CULTURA",INDEX(ROTACAO_RDM!$F$6:$F$71,$J1688))</f>
        <v>ALGODAO</v>
      </c>
      <c r="L1688" s="8" t="str">
        <f aca="false">IF($J1688=0,"",INDEX(ROTACAO_RDM!$G$6:$G$71,$J1688))</f>
        <v>FM 911 GLTP</v>
      </c>
      <c r="M1688" s="17" t="n">
        <f aca="false">IF($J1688=0,"",INDEX(ROTACAO_RDM!$I$6:$I$71,$J1688))</f>
        <v>46417</v>
      </c>
      <c r="N1688" s="16" t="n">
        <f aca="false">IF($J1688=0,0,MAX(0,$C1688+INT(DIAS_POR_SEMANA/2)-INDEX(ROTACAO_RDM!$I$6:$I$71,$J1688)))</f>
        <v>75</v>
      </c>
      <c r="O1688" s="19" t="n">
        <f aca="false">IF($J1688=0,0,MIN(1,$N1688/MAX(1,INDEX(ROTACAO_RDM!$K$6:$K$71,$J1688))))</f>
        <v>0.416666666666667</v>
      </c>
      <c r="P1688" s="16" t="n">
        <f aca="false">IF($J1688=0,0,IFERROR(MATCH(INDEX(ROTACAO_RDM!$N$6:$N$71,$J1688),PARAMETROS_CULTURAS!$B$6:$B$28,0),0))</f>
        <v>4</v>
      </c>
      <c r="Q1688" s="8" t="str">
        <f aca="false">IF($P1688=0,"-",IF($O1688&lt;=INDEX(PARAMETROS_CULTURAS!$F$6:$F$28,$P1688),"INICIAL",IF($O1688&lt;=INDEX(PARAMETROS_CULTURAS!$F$6:$F$28,$P1688)+INDEX(PARAMETROS_CULTURAS!$G$6:$G$28,$P1688),"DESENVOLVIMENTO",IF($O1688&lt;=INDEX(PARAMETROS_CULTURAS!$F$6:$F$28,$P1688)+INDEX(PARAMETROS_CULTURAS!$G$6:$G$28,$P1688)+INDEX(PARAMETROS_CULTURAS!$H$6:$H$28,$P1688),"MEDIA","FINAL"))))</f>
        <v>DESENVOLVIMENTO</v>
      </c>
      <c r="R1688" s="24" t="n">
        <f aca="false">IF($P1688=0,0,IF($O1688&lt;=INDEX(PARAMETROS_CULTURAS!$F$6:$F$28,$P1688),INDEX(PARAMETROS_CULTURAS!$K$6:$K$28,$P1688),IF($O1688&lt;=INDEX(PARAMETROS_CULTURAS!$F$6:$F$28,$P1688)+INDEX(PARAMETROS_CULTURAS!$G$6:$G$28,$P1688),INDEX(PARAMETROS_CULTURAS!$K$6:$K$28,$P1688)+(INDEX(PARAMETROS_CULTURAS!$L$6:$L$28,$P1688)-INDEX(PARAMETROS_CULTURAS!$K$6:$K$28,$P1688))*($O1688-INDEX(PARAMETROS_CULTURAS!$F$6:$F$28,$P1688))/MAX(INDEX(PARAMETROS_CULTURAS!$G$6:$G$28,$P1688),0.0001),IF($O1688&lt;=INDEX(PARAMETROS_CULTURAS!$F$6:$F$28,$P1688)+INDEX(PARAMETROS_CULTURAS!$G$6:$G$28,$P1688)+INDEX(PARAMETROS_CULTURAS!$H$6:$H$28,$P1688),INDEX(PARAMETROS_CULTURAS!$L$6:$L$28,$P1688),INDEX(PARAMETROS_CULTURAS!$L$6:$L$28,$P1688)+(INDEX(PARAMETROS_CULTURAS!$M$6:$M$28,$P1688)-INDEX(PARAMETROS_CULTURAS!$L$6:$L$28,$P1688))*($O1688-INDEX(PARAMETROS_CULTURAS!$F$6:$F$28,$P1688)-INDEX(PARAMETROS_CULTURAS!$G$6:$G$28,$P1688)-INDEX(PARAMETROS_CULTURAS!$H$6:$H$28,$P1688))/MAX(INDEX(PARAMETROS_CULTURAS!$I$6:$I$28,$P1688),0.0001)))))</f>
        <v>1.08086419753086</v>
      </c>
      <c r="S1688" s="18" t="n">
        <f aca="false">IFERROR(INDEX(SEMANAS!$H$6:$H$71,MATCH($B1688,SEMANAS!$B$6:$B$71,0)),0)</f>
        <v>31.5</v>
      </c>
      <c r="T1688" s="18" t="n">
        <f aca="false">$R1688*$S1688</f>
        <v>34.0472222222222</v>
      </c>
      <c r="U1688" s="18" t="n">
        <f aca="false">IFERROR(INDEX(SEMANAS!$I$6:$I$71,MATCH($B1688,SEMANAS!$B$6:$B$71,0)),0)</f>
        <v>16.31</v>
      </c>
      <c r="V1688" s="18" t="n">
        <f aca="false">IFERROR(INDEX(SEMANAS!$J$6:$J$71,MATCH($B1688,SEMANAS!$B$6:$B$71,0)),0)</f>
        <v>13.048</v>
      </c>
      <c r="W1688" s="18" t="n">
        <f aca="false">MAX(0,$T1688-$V1688)</f>
        <v>20.9992222222222</v>
      </c>
      <c r="X1688" s="19" t="n">
        <f aca="false">IFERROR(INDEX(CADASTRO_PIVOS!$K$6:$K$41,MATCH($E1688,CADASTRO_PIVOS!$B$6:$B$41,0)),EFICIENCIA_PADRAO)</f>
        <v>0.85</v>
      </c>
      <c r="Y1688" s="18" t="n">
        <f aca="false">IF($X1688&lt;=0,0,$W1688/$X1688)</f>
        <v>24.7049673202614</v>
      </c>
      <c r="Z1688" s="16" t="n">
        <f aca="false">$Y1688*$H1688*MM_PARA_M3_HA</f>
        <v>37052.5099869281</v>
      </c>
      <c r="AA1688" s="18" t="n">
        <f aca="false">IFERROR(INDEX(CADASTRO_PIVOS!$I$6:$I$41,MATCH($E1688,CADASTRO_PIVOS!$B$6:$B$41,0)),0)</f>
        <v>1071.28571428571</v>
      </c>
      <c r="AB1688" s="18" t="n">
        <f aca="false">IF($Z1688&lt;=0,0,$Z1688/$AA1688)</f>
        <v>34.586954248366</v>
      </c>
      <c r="AC1688" s="16" t="n">
        <f aca="false">IFERROR(INDEX(SEMANAS!$K$6:$K$71,MATCH($B1688,SEMANAS!$B$6:$B$71,0)),0)</f>
        <v>147</v>
      </c>
      <c r="AD1688" s="19" t="n">
        <f aca="false">IF($AC1688&lt;=0,0,$AB1688/$AC1688)</f>
        <v>0.235285403050109</v>
      </c>
      <c r="AE1688" s="8" t="str">
        <f aca="false">IF($K1688="SEM CULTURA","SEM CULTURA",IF($AA1688&lt;=0,"DADO PENDENTE",IF($AD1688&gt;LIMITE_CRITICO,"INVIAVEL",IF($AD1688&gt;LIMITE_ATENCAO,"CRITICO",IF($AD1688&gt;LIMITE_CONFORTAVEL,"ATENCAO","OK")))))</f>
        <v>OK</v>
      </c>
      <c r="AF1688" s="8" t="str">
        <f aca="false">$B1688&amp;"|"&amp;TEXT($AD1688,"0.000000")</f>
        <v>33|0.235285</v>
      </c>
      <c r="AG1688" s="18" t="n">
        <f aca="false">IF($K1688="SEM CULTURA",0,$T1688*$H1688)</f>
        <v>5106.40238888889</v>
      </c>
      <c r="AH1688" s="18" t="n">
        <f aca="false">IF($K1688="SEM CULTURA",0,$V1688*$H1688)</f>
        <v>1956.93904</v>
      </c>
      <c r="AI1688" s="18" t="n">
        <f aca="false">IF($K1688="SEM CULTURA",0,$W1688*$H1688)</f>
        <v>3149.46334888889</v>
      </c>
      <c r="AJ1688" s="18" t="n">
        <f aca="false">IF($K1688="SEM CULTURA",0,$S1688*$H1688)</f>
        <v>4724.37</v>
      </c>
      <c r="AK1688" s="8" t="str">
        <f aca="false">$E1688&amp;"|"&amp;TEXT($AD1688,"0.000000")</f>
        <v>PV 122|0.235285</v>
      </c>
    </row>
    <row r="1689" customFormat="false" ht="15" hidden="false" customHeight="false" outlineLevel="0" collapsed="false">
      <c r="B1689" s="16" t="n">
        <v>34</v>
      </c>
      <c r="C1689" s="17" t="n">
        <f aca="false">DATA_INICIO_SAFRA+($B1689-1)*DIAS_POR_SEMANA</f>
        <v>46496</v>
      </c>
      <c r="D1689" s="17" t="n">
        <f aca="false">$C1689+DIAS_POR_SEMANA-1</f>
        <v>46502</v>
      </c>
      <c r="E1689" s="15" t="s">
        <v>284</v>
      </c>
      <c r="F1689" s="8" t="str">
        <f aca="false">IFERROR(INDEX(CADASTRO_PIVOS!$C$6:$C$41,MATCH($E1689,CADASTRO_PIVOS!$B$6:$B$41,0)),"?")</f>
        <v>RM07</v>
      </c>
      <c r="G1689" s="8" t="str">
        <f aca="false">IFERROR(INDEX(CADASTRO_PIVOS!$D$6:$D$41,MATCH($E1689,CADASTRO_PIVOS!$B$6:$B$41,0)),"?")</f>
        <v>TR07</v>
      </c>
      <c r="H1689" s="20" t="n">
        <f aca="false">IFERROR(INDEX(CADASTRO_PIVOS!$E$6:$E$41,MATCH($E1689,CADASTRO_PIVOS!$B$6:$B$41,0)),0)</f>
        <v>149.98</v>
      </c>
      <c r="I1689" s="16" t="n">
        <f aca="false">IFERROR(SUMIFS(ROTACAO_RDM!$B$6:$B$71,ROTACAO_RDM!$D$6:$D$71,$E1689,ROTACAO_RDM!$I$6:$I$71,"&lt;="&amp;$C1689+INT(DIAS_POR_SEMANA/2),ROTACAO_RDM!$J$6:$J$71,"&gt;="&amp;$C1689+INT(DIAS_POR_SEMANA/2)),0)</f>
        <v>40</v>
      </c>
      <c r="J1689" s="16" t="n">
        <f aca="false">IFERROR(MATCH($I1689,ROTACAO_RDM!$B$6:$B$71,0),0)</f>
        <v>40</v>
      </c>
      <c r="K1689" s="8" t="str">
        <f aca="false">IF($J1689=0,"SEM CULTURA",INDEX(ROTACAO_RDM!$F$6:$F$71,$J1689))</f>
        <v>ALGODAO</v>
      </c>
      <c r="L1689" s="8" t="str">
        <f aca="false">IF($J1689=0,"",INDEX(ROTACAO_RDM!$G$6:$G$71,$J1689))</f>
        <v>FM 911 GLTP</v>
      </c>
      <c r="M1689" s="17" t="n">
        <f aca="false">IF($J1689=0,"",INDEX(ROTACAO_RDM!$I$6:$I$71,$J1689))</f>
        <v>46417</v>
      </c>
      <c r="N1689" s="16" t="n">
        <f aca="false">IF($J1689=0,0,MAX(0,$C1689+INT(DIAS_POR_SEMANA/2)-INDEX(ROTACAO_RDM!$I$6:$I$71,$J1689)))</f>
        <v>82</v>
      </c>
      <c r="O1689" s="19" t="n">
        <f aca="false">IF($J1689=0,0,MIN(1,$N1689/MAX(1,INDEX(ROTACAO_RDM!$K$6:$K$71,$J1689))))</f>
        <v>0.455555555555556</v>
      </c>
      <c r="P1689" s="16" t="n">
        <f aca="false">IF($J1689=0,0,IFERROR(MATCH(INDEX(ROTACAO_RDM!$N$6:$N$71,$J1689),PARAMETROS_CULTURAS!$B$6:$B$28,0),0))</f>
        <v>4</v>
      </c>
      <c r="Q1689" s="8" t="str">
        <f aca="false">IF($P1689=0,"-",IF($O1689&lt;=INDEX(PARAMETROS_CULTURAS!$F$6:$F$28,$P1689),"INICIAL",IF($O1689&lt;=INDEX(PARAMETROS_CULTURAS!$F$6:$F$28,$P1689)+INDEX(PARAMETROS_CULTURAS!$G$6:$G$28,$P1689),"DESENVOLVIMENTO",IF($O1689&lt;=INDEX(PARAMETROS_CULTURAS!$F$6:$F$28,$P1689)+INDEX(PARAMETROS_CULTURAS!$G$6:$G$28,$P1689)+INDEX(PARAMETROS_CULTURAS!$H$6:$H$28,$P1689),"MEDIA","FINAL"))))</f>
        <v>MEDIA</v>
      </c>
      <c r="R1689" s="24" t="n">
        <f aca="false">IF($P1689=0,0,IF($O1689&lt;=INDEX(PARAMETROS_CULTURAS!$F$6:$F$28,$P1689),INDEX(PARAMETROS_CULTURAS!$K$6:$K$28,$P1689),IF($O1689&lt;=INDEX(PARAMETROS_CULTURAS!$F$6:$F$28,$P1689)+INDEX(PARAMETROS_CULTURAS!$G$6:$G$28,$P1689),INDEX(PARAMETROS_CULTURAS!$K$6:$K$28,$P1689)+(INDEX(PARAMETROS_CULTURAS!$L$6:$L$28,$P1689)-INDEX(PARAMETROS_CULTURAS!$K$6:$K$28,$P1689))*($O1689-INDEX(PARAMETROS_CULTURAS!$F$6:$F$28,$P1689))/MAX(INDEX(PARAMETROS_CULTURAS!$G$6:$G$28,$P1689),0.0001),IF($O1689&lt;=INDEX(PARAMETROS_CULTURAS!$F$6:$F$28,$P1689)+INDEX(PARAMETROS_CULTURAS!$G$6:$G$28,$P1689)+INDEX(PARAMETROS_CULTURAS!$H$6:$H$28,$P1689),INDEX(PARAMETROS_CULTURAS!$L$6:$L$28,$P1689),INDEX(PARAMETROS_CULTURAS!$L$6:$L$28,$P1689)+(INDEX(PARAMETROS_CULTURAS!$M$6:$M$28,$P1689)-INDEX(PARAMETROS_CULTURAS!$L$6:$L$28,$P1689))*($O1689-INDEX(PARAMETROS_CULTURAS!$F$6:$F$28,$P1689)-INDEX(PARAMETROS_CULTURAS!$G$6:$G$28,$P1689)-INDEX(PARAMETROS_CULTURAS!$H$6:$H$28,$P1689))/MAX(INDEX(PARAMETROS_CULTURAS!$I$6:$I$28,$P1689),0.0001)))))</f>
        <v>1.15</v>
      </c>
      <c r="S1689" s="18" t="n">
        <f aca="false">IFERROR(INDEX(SEMANAS!$H$6:$H$71,MATCH($B1689,SEMANAS!$B$6:$B$71,0)),0)</f>
        <v>31.5</v>
      </c>
      <c r="T1689" s="18" t="n">
        <f aca="false">$R1689*$S1689</f>
        <v>36.225</v>
      </c>
      <c r="U1689" s="18" t="n">
        <f aca="false">IFERROR(INDEX(SEMANAS!$I$6:$I$71,MATCH($B1689,SEMANAS!$B$6:$B$71,0)),0)</f>
        <v>16.31</v>
      </c>
      <c r="V1689" s="18" t="n">
        <f aca="false">IFERROR(INDEX(SEMANAS!$J$6:$J$71,MATCH($B1689,SEMANAS!$B$6:$B$71,0)),0)</f>
        <v>13.048</v>
      </c>
      <c r="W1689" s="18" t="n">
        <f aca="false">MAX(0,$T1689-$V1689)</f>
        <v>23.177</v>
      </c>
      <c r="X1689" s="19" t="n">
        <f aca="false">IFERROR(INDEX(CADASTRO_PIVOS!$K$6:$K$41,MATCH($E1689,CADASTRO_PIVOS!$B$6:$B$41,0)),EFICIENCIA_PADRAO)</f>
        <v>0.85</v>
      </c>
      <c r="Y1689" s="18" t="n">
        <f aca="false">IF($X1689&lt;=0,0,$W1689/$X1689)</f>
        <v>27.2670588235294</v>
      </c>
      <c r="Z1689" s="16" t="n">
        <f aca="false">$Y1689*$H1689*MM_PARA_M3_HA</f>
        <v>40895.1348235294</v>
      </c>
      <c r="AA1689" s="18" t="n">
        <f aca="false">IFERROR(INDEX(CADASTRO_PIVOS!$I$6:$I$41,MATCH($E1689,CADASTRO_PIVOS!$B$6:$B$41,0)),0)</f>
        <v>1071.28571428571</v>
      </c>
      <c r="AB1689" s="18" t="n">
        <f aca="false">IF($Z1689&lt;=0,0,$Z1689/$AA1689)</f>
        <v>38.1738823529412</v>
      </c>
      <c r="AC1689" s="16" t="n">
        <f aca="false">IFERROR(INDEX(SEMANAS!$K$6:$K$71,MATCH($B1689,SEMANAS!$B$6:$B$71,0)),0)</f>
        <v>147</v>
      </c>
      <c r="AD1689" s="19" t="n">
        <f aca="false">IF($AC1689&lt;=0,0,$AB1689/$AC1689)</f>
        <v>0.259686274509804</v>
      </c>
      <c r="AE1689" s="8" t="str">
        <f aca="false">IF($K1689="SEM CULTURA","SEM CULTURA",IF($AA1689&lt;=0,"DADO PENDENTE",IF($AD1689&gt;LIMITE_CRITICO,"INVIAVEL",IF($AD1689&gt;LIMITE_ATENCAO,"CRITICO",IF($AD1689&gt;LIMITE_CONFORTAVEL,"ATENCAO","OK")))))</f>
        <v>OK</v>
      </c>
      <c r="AF1689" s="8" t="str">
        <f aca="false">$B1689&amp;"|"&amp;TEXT($AD1689,"0.000000")</f>
        <v>34|0.259686</v>
      </c>
      <c r="AG1689" s="18" t="n">
        <f aca="false">IF($K1689="SEM CULTURA",0,$T1689*$H1689)</f>
        <v>5433.0255</v>
      </c>
      <c r="AH1689" s="18" t="n">
        <f aca="false">IF($K1689="SEM CULTURA",0,$V1689*$H1689)</f>
        <v>1956.93904</v>
      </c>
      <c r="AI1689" s="18" t="n">
        <f aca="false">IF($K1689="SEM CULTURA",0,$W1689*$H1689)</f>
        <v>3476.08646</v>
      </c>
      <c r="AJ1689" s="18" t="n">
        <f aca="false">IF($K1689="SEM CULTURA",0,$S1689*$H1689)</f>
        <v>4724.37</v>
      </c>
      <c r="AK1689" s="8" t="str">
        <f aca="false">$E1689&amp;"|"&amp;TEXT($AD1689,"0.000000")</f>
        <v>PV 122|0.259686</v>
      </c>
    </row>
    <row r="1690" customFormat="false" ht="15" hidden="false" customHeight="false" outlineLevel="0" collapsed="false">
      <c r="B1690" s="16" t="n">
        <v>35</v>
      </c>
      <c r="C1690" s="17" t="n">
        <f aca="false">DATA_INICIO_SAFRA+($B1690-1)*DIAS_POR_SEMANA</f>
        <v>46503</v>
      </c>
      <c r="D1690" s="17" t="n">
        <f aca="false">$C1690+DIAS_POR_SEMANA-1</f>
        <v>46509</v>
      </c>
      <c r="E1690" s="15" t="s">
        <v>284</v>
      </c>
      <c r="F1690" s="8" t="str">
        <f aca="false">IFERROR(INDEX(CADASTRO_PIVOS!$C$6:$C$41,MATCH($E1690,CADASTRO_PIVOS!$B$6:$B$41,0)),"?")</f>
        <v>RM07</v>
      </c>
      <c r="G1690" s="8" t="str">
        <f aca="false">IFERROR(INDEX(CADASTRO_PIVOS!$D$6:$D$41,MATCH($E1690,CADASTRO_PIVOS!$B$6:$B$41,0)),"?")</f>
        <v>TR07</v>
      </c>
      <c r="H1690" s="20" t="n">
        <f aca="false">IFERROR(INDEX(CADASTRO_PIVOS!$E$6:$E$41,MATCH($E1690,CADASTRO_PIVOS!$B$6:$B$41,0)),0)</f>
        <v>149.98</v>
      </c>
      <c r="I1690" s="16" t="n">
        <f aca="false">IFERROR(SUMIFS(ROTACAO_RDM!$B$6:$B$71,ROTACAO_RDM!$D$6:$D$71,$E1690,ROTACAO_RDM!$I$6:$I$71,"&lt;="&amp;$C1690+INT(DIAS_POR_SEMANA/2),ROTACAO_RDM!$J$6:$J$71,"&gt;="&amp;$C1690+INT(DIAS_POR_SEMANA/2)),0)</f>
        <v>40</v>
      </c>
      <c r="J1690" s="16" t="n">
        <f aca="false">IFERROR(MATCH($I1690,ROTACAO_RDM!$B$6:$B$71,0),0)</f>
        <v>40</v>
      </c>
      <c r="K1690" s="8" t="str">
        <f aca="false">IF($J1690=0,"SEM CULTURA",INDEX(ROTACAO_RDM!$F$6:$F$71,$J1690))</f>
        <v>ALGODAO</v>
      </c>
      <c r="L1690" s="8" t="str">
        <f aca="false">IF($J1690=0,"",INDEX(ROTACAO_RDM!$G$6:$G$71,$J1690))</f>
        <v>FM 911 GLTP</v>
      </c>
      <c r="M1690" s="17" t="n">
        <f aca="false">IF($J1690=0,"",INDEX(ROTACAO_RDM!$I$6:$I$71,$J1690))</f>
        <v>46417</v>
      </c>
      <c r="N1690" s="16" t="n">
        <f aca="false">IF($J1690=0,0,MAX(0,$C1690+INT(DIAS_POR_SEMANA/2)-INDEX(ROTACAO_RDM!$I$6:$I$71,$J1690)))</f>
        <v>89</v>
      </c>
      <c r="O1690" s="19" t="n">
        <f aca="false">IF($J1690=0,0,MIN(1,$N1690/MAX(1,INDEX(ROTACAO_RDM!$K$6:$K$71,$J1690))))</f>
        <v>0.494444444444444</v>
      </c>
      <c r="P1690" s="16" t="n">
        <f aca="false">IF($J1690=0,0,IFERROR(MATCH(INDEX(ROTACAO_RDM!$N$6:$N$71,$J1690),PARAMETROS_CULTURAS!$B$6:$B$28,0),0))</f>
        <v>4</v>
      </c>
      <c r="Q1690" s="8" t="str">
        <f aca="false">IF($P1690=0,"-",IF($O1690&lt;=INDEX(PARAMETROS_CULTURAS!$F$6:$F$28,$P1690),"INICIAL",IF($O1690&lt;=INDEX(PARAMETROS_CULTURAS!$F$6:$F$28,$P1690)+INDEX(PARAMETROS_CULTURAS!$G$6:$G$28,$P1690),"DESENVOLVIMENTO",IF($O1690&lt;=INDEX(PARAMETROS_CULTURAS!$F$6:$F$28,$P1690)+INDEX(PARAMETROS_CULTURAS!$G$6:$G$28,$P1690)+INDEX(PARAMETROS_CULTURAS!$H$6:$H$28,$P1690),"MEDIA","FINAL"))))</f>
        <v>MEDIA</v>
      </c>
      <c r="R1690" s="24" t="n">
        <f aca="false">IF($P1690=0,0,IF($O1690&lt;=INDEX(PARAMETROS_CULTURAS!$F$6:$F$28,$P1690),INDEX(PARAMETROS_CULTURAS!$K$6:$K$28,$P1690),IF($O1690&lt;=INDEX(PARAMETROS_CULTURAS!$F$6:$F$28,$P1690)+INDEX(PARAMETROS_CULTURAS!$G$6:$G$28,$P1690),INDEX(PARAMETROS_CULTURAS!$K$6:$K$28,$P1690)+(INDEX(PARAMETROS_CULTURAS!$L$6:$L$28,$P1690)-INDEX(PARAMETROS_CULTURAS!$K$6:$K$28,$P1690))*($O1690-INDEX(PARAMETROS_CULTURAS!$F$6:$F$28,$P1690))/MAX(INDEX(PARAMETROS_CULTURAS!$G$6:$G$28,$P1690),0.0001),IF($O1690&lt;=INDEX(PARAMETROS_CULTURAS!$F$6:$F$28,$P1690)+INDEX(PARAMETROS_CULTURAS!$G$6:$G$28,$P1690)+INDEX(PARAMETROS_CULTURAS!$H$6:$H$28,$P1690),INDEX(PARAMETROS_CULTURAS!$L$6:$L$28,$P1690),INDEX(PARAMETROS_CULTURAS!$L$6:$L$28,$P1690)+(INDEX(PARAMETROS_CULTURAS!$M$6:$M$28,$P1690)-INDEX(PARAMETROS_CULTURAS!$L$6:$L$28,$P1690))*($O1690-INDEX(PARAMETROS_CULTURAS!$F$6:$F$28,$P1690)-INDEX(PARAMETROS_CULTURAS!$G$6:$G$28,$P1690)-INDEX(PARAMETROS_CULTURAS!$H$6:$H$28,$P1690))/MAX(INDEX(PARAMETROS_CULTURAS!$I$6:$I$28,$P1690),0.0001)))))</f>
        <v>1.15</v>
      </c>
      <c r="S1690" s="18" t="n">
        <f aca="false">IFERROR(INDEX(SEMANAS!$H$6:$H$71,MATCH($B1690,SEMANAS!$B$6:$B$71,0)),0)</f>
        <v>30.9</v>
      </c>
      <c r="T1690" s="18" t="n">
        <f aca="false">$R1690*$S1690</f>
        <v>35.535</v>
      </c>
      <c r="U1690" s="18" t="n">
        <f aca="false">IFERROR(INDEX(SEMANAS!$I$6:$I$71,MATCH($B1690,SEMANAS!$B$6:$B$71,0)),0)</f>
        <v>12.61</v>
      </c>
      <c r="V1690" s="18" t="n">
        <f aca="false">IFERROR(INDEX(SEMANAS!$J$6:$J$71,MATCH($B1690,SEMANAS!$B$6:$B$71,0)),0)</f>
        <v>10.088</v>
      </c>
      <c r="W1690" s="18" t="n">
        <f aca="false">MAX(0,$T1690-$V1690)</f>
        <v>25.447</v>
      </c>
      <c r="X1690" s="19" t="n">
        <f aca="false">IFERROR(INDEX(CADASTRO_PIVOS!$K$6:$K$41,MATCH($E1690,CADASTRO_PIVOS!$B$6:$B$41,0)),EFICIENCIA_PADRAO)</f>
        <v>0.85</v>
      </c>
      <c r="Y1690" s="18" t="n">
        <f aca="false">IF($X1690&lt;=0,0,$W1690/$X1690)</f>
        <v>29.9376470588235</v>
      </c>
      <c r="Z1690" s="16" t="n">
        <f aca="false">$Y1690*$H1690*MM_PARA_M3_HA</f>
        <v>44900.4830588235</v>
      </c>
      <c r="AA1690" s="18" t="n">
        <f aca="false">IFERROR(INDEX(CADASTRO_PIVOS!$I$6:$I$41,MATCH($E1690,CADASTRO_PIVOS!$B$6:$B$41,0)),0)</f>
        <v>1071.28571428571</v>
      </c>
      <c r="AB1690" s="18" t="n">
        <f aca="false">IF($Z1690&lt;=0,0,$Z1690/$AA1690)</f>
        <v>41.9127058823529</v>
      </c>
      <c r="AC1690" s="16" t="n">
        <f aca="false">IFERROR(INDEX(SEMANAS!$K$6:$K$71,MATCH($B1690,SEMANAS!$B$6:$B$71,0)),0)</f>
        <v>147</v>
      </c>
      <c r="AD1690" s="19" t="n">
        <f aca="false">IF($AC1690&lt;=0,0,$AB1690/$AC1690)</f>
        <v>0.285120448179272</v>
      </c>
      <c r="AE1690" s="8" t="str">
        <f aca="false">IF($K1690="SEM CULTURA","SEM CULTURA",IF($AA1690&lt;=0,"DADO PENDENTE",IF($AD1690&gt;LIMITE_CRITICO,"INVIAVEL",IF($AD1690&gt;LIMITE_ATENCAO,"CRITICO",IF($AD1690&gt;LIMITE_CONFORTAVEL,"ATENCAO","OK")))))</f>
        <v>OK</v>
      </c>
      <c r="AF1690" s="8" t="str">
        <f aca="false">$B1690&amp;"|"&amp;TEXT($AD1690,"0.000000")</f>
        <v>35|0.285120</v>
      </c>
      <c r="AG1690" s="18" t="n">
        <f aca="false">IF($K1690="SEM CULTURA",0,$T1690*$H1690)</f>
        <v>5329.5393</v>
      </c>
      <c r="AH1690" s="18" t="n">
        <f aca="false">IF($K1690="SEM CULTURA",0,$V1690*$H1690)</f>
        <v>1512.99824</v>
      </c>
      <c r="AI1690" s="18" t="n">
        <f aca="false">IF($K1690="SEM CULTURA",0,$W1690*$H1690)</f>
        <v>3816.54106</v>
      </c>
      <c r="AJ1690" s="18" t="n">
        <f aca="false">IF($K1690="SEM CULTURA",0,$S1690*$H1690)</f>
        <v>4634.382</v>
      </c>
      <c r="AK1690" s="8" t="str">
        <f aca="false">$E1690&amp;"|"&amp;TEXT($AD1690,"0.000000")</f>
        <v>PV 122|0.285120</v>
      </c>
    </row>
    <row r="1691" customFormat="false" ht="15" hidden="false" customHeight="false" outlineLevel="0" collapsed="false">
      <c r="B1691" s="16" t="n">
        <v>36</v>
      </c>
      <c r="C1691" s="17" t="n">
        <f aca="false">DATA_INICIO_SAFRA+($B1691-1)*DIAS_POR_SEMANA</f>
        <v>46510</v>
      </c>
      <c r="D1691" s="17" t="n">
        <f aca="false">$C1691+DIAS_POR_SEMANA-1</f>
        <v>46516</v>
      </c>
      <c r="E1691" s="15" t="s">
        <v>284</v>
      </c>
      <c r="F1691" s="8" t="str">
        <f aca="false">IFERROR(INDEX(CADASTRO_PIVOS!$C$6:$C$41,MATCH($E1691,CADASTRO_PIVOS!$B$6:$B$41,0)),"?")</f>
        <v>RM07</v>
      </c>
      <c r="G1691" s="8" t="str">
        <f aca="false">IFERROR(INDEX(CADASTRO_PIVOS!$D$6:$D$41,MATCH($E1691,CADASTRO_PIVOS!$B$6:$B$41,0)),"?")</f>
        <v>TR07</v>
      </c>
      <c r="H1691" s="20" t="n">
        <f aca="false">IFERROR(INDEX(CADASTRO_PIVOS!$E$6:$E$41,MATCH($E1691,CADASTRO_PIVOS!$B$6:$B$41,0)),0)</f>
        <v>149.98</v>
      </c>
      <c r="I1691" s="16" t="n">
        <f aca="false">IFERROR(SUMIFS(ROTACAO_RDM!$B$6:$B$71,ROTACAO_RDM!$D$6:$D$71,$E1691,ROTACAO_RDM!$I$6:$I$71,"&lt;="&amp;$C1691+INT(DIAS_POR_SEMANA/2),ROTACAO_RDM!$J$6:$J$71,"&gt;="&amp;$C1691+INT(DIAS_POR_SEMANA/2)),0)</f>
        <v>40</v>
      </c>
      <c r="J1691" s="16" t="n">
        <f aca="false">IFERROR(MATCH($I1691,ROTACAO_RDM!$B$6:$B$71,0),0)</f>
        <v>40</v>
      </c>
      <c r="K1691" s="8" t="str">
        <f aca="false">IF($J1691=0,"SEM CULTURA",INDEX(ROTACAO_RDM!$F$6:$F$71,$J1691))</f>
        <v>ALGODAO</v>
      </c>
      <c r="L1691" s="8" t="str">
        <f aca="false">IF($J1691=0,"",INDEX(ROTACAO_RDM!$G$6:$G$71,$J1691))</f>
        <v>FM 911 GLTP</v>
      </c>
      <c r="M1691" s="17" t="n">
        <f aca="false">IF($J1691=0,"",INDEX(ROTACAO_RDM!$I$6:$I$71,$J1691))</f>
        <v>46417</v>
      </c>
      <c r="N1691" s="16" t="n">
        <f aca="false">IF($J1691=0,0,MAX(0,$C1691+INT(DIAS_POR_SEMANA/2)-INDEX(ROTACAO_RDM!$I$6:$I$71,$J1691)))</f>
        <v>96</v>
      </c>
      <c r="O1691" s="19" t="n">
        <f aca="false">IF($J1691=0,0,MIN(1,$N1691/MAX(1,INDEX(ROTACAO_RDM!$K$6:$K$71,$J1691))))</f>
        <v>0.533333333333333</v>
      </c>
      <c r="P1691" s="16" t="n">
        <f aca="false">IF($J1691=0,0,IFERROR(MATCH(INDEX(ROTACAO_RDM!$N$6:$N$71,$J1691),PARAMETROS_CULTURAS!$B$6:$B$28,0),0))</f>
        <v>4</v>
      </c>
      <c r="Q1691" s="8" t="str">
        <f aca="false">IF($P1691=0,"-",IF($O1691&lt;=INDEX(PARAMETROS_CULTURAS!$F$6:$F$28,$P1691),"INICIAL",IF($O1691&lt;=INDEX(PARAMETROS_CULTURAS!$F$6:$F$28,$P1691)+INDEX(PARAMETROS_CULTURAS!$G$6:$G$28,$P1691),"DESENVOLVIMENTO",IF($O1691&lt;=INDEX(PARAMETROS_CULTURAS!$F$6:$F$28,$P1691)+INDEX(PARAMETROS_CULTURAS!$G$6:$G$28,$P1691)+INDEX(PARAMETROS_CULTURAS!$H$6:$H$28,$P1691),"MEDIA","FINAL"))))</f>
        <v>MEDIA</v>
      </c>
      <c r="R1691" s="24" t="n">
        <f aca="false">IF($P1691=0,0,IF($O1691&lt;=INDEX(PARAMETROS_CULTURAS!$F$6:$F$28,$P1691),INDEX(PARAMETROS_CULTURAS!$K$6:$K$28,$P1691),IF($O1691&lt;=INDEX(PARAMETROS_CULTURAS!$F$6:$F$28,$P1691)+INDEX(PARAMETROS_CULTURAS!$G$6:$G$28,$P1691),INDEX(PARAMETROS_CULTURAS!$K$6:$K$28,$P1691)+(INDEX(PARAMETROS_CULTURAS!$L$6:$L$28,$P1691)-INDEX(PARAMETROS_CULTURAS!$K$6:$K$28,$P1691))*($O1691-INDEX(PARAMETROS_CULTURAS!$F$6:$F$28,$P1691))/MAX(INDEX(PARAMETROS_CULTURAS!$G$6:$G$28,$P1691),0.0001),IF($O1691&lt;=INDEX(PARAMETROS_CULTURAS!$F$6:$F$28,$P1691)+INDEX(PARAMETROS_CULTURAS!$G$6:$G$28,$P1691)+INDEX(PARAMETROS_CULTURAS!$H$6:$H$28,$P1691),INDEX(PARAMETROS_CULTURAS!$L$6:$L$28,$P1691),INDEX(PARAMETROS_CULTURAS!$L$6:$L$28,$P1691)+(INDEX(PARAMETROS_CULTURAS!$M$6:$M$28,$P1691)-INDEX(PARAMETROS_CULTURAS!$L$6:$L$28,$P1691))*($O1691-INDEX(PARAMETROS_CULTURAS!$F$6:$F$28,$P1691)-INDEX(PARAMETROS_CULTURAS!$G$6:$G$28,$P1691)-INDEX(PARAMETROS_CULTURAS!$H$6:$H$28,$P1691))/MAX(INDEX(PARAMETROS_CULTURAS!$I$6:$I$28,$P1691),0.0001)))))</f>
        <v>1.15</v>
      </c>
      <c r="S1691" s="18" t="n">
        <f aca="false">IFERROR(INDEX(SEMANAS!$H$6:$H$71,MATCH($B1691,SEMANAS!$B$6:$B$71,0)),0)</f>
        <v>29.4</v>
      </c>
      <c r="T1691" s="18" t="n">
        <f aca="false">$R1691*$S1691</f>
        <v>33.81</v>
      </c>
      <c r="U1691" s="18" t="n">
        <f aca="false">IFERROR(INDEX(SEMANAS!$I$6:$I$71,MATCH($B1691,SEMANAS!$B$6:$B$71,0)),0)</f>
        <v>3.36</v>
      </c>
      <c r="V1691" s="18" t="n">
        <f aca="false">IFERROR(INDEX(SEMANAS!$J$6:$J$71,MATCH($B1691,SEMANAS!$B$6:$B$71,0)),0)</f>
        <v>2.688</v>
      </c>
      <c r="W1691" s="18" t="n">
        <f aca="false">MAX(0,$T1691-$V1691)</f>
        <v>31.122</v>
      </c>
      <c r="X1691" s="19" t="n">
        <f aca="false">IFERROR(INDEX(CADASTRO_PIVOS!$K$6:$K$41,MATCH($E1691,CADASTRO_PIVOS!$B$6:$B$41,0)),EFICIENCIA_PADRAO)</f>
        <v>0.85</v>
      </c>
      <c r="Y1691" s="18" t="n">
        <f aca="false">IF($X1691&lt;=0,0,$W1691/$X1691)</f>
        <v>36.6141176470588</v>
      </c>
      <c r="Z1691" s="16" t="n">
        <f aca="false">$Y1691*$H1691*MM_PARA_M3_HA</f>
        <v>54913.8536470588</v>
      </c>
      <c r="AA1691" s="18" t="n">
        <f aca="false">IFERROR(INDEX(CADASTRO_PIVOS!$I$6:$I$41,MATCH($E1691,CADASTRO_PIVOS!$B$6:$B$41,0)),0)</f>
        <v>1071.28571428571</v>
      </c>
      <c r="AB1691" s="18" t="n">
        <f aca="false">IF($Z1691&lt;=0,0,$Z1691/$AA1691)</f>
        <v>51.2597647058824</v>
      </c>
      <c r="AC1691" s="16" t="n">
        <f aca="false">IFERROR(INDEX(SEMANAS!$K$6:$K$71,MATCH($B1691,SEMANAS!$B$6:$B$71,0)),0)</f>
        <v>147</v>
      </c>
      <c r="AD1691" s="19" t="n">
        <f aca="false">IF($AC1691&lt;=0,0,$AB1691/$AC1691)</f>
        <v>0.348705882352941</v>
      </c>
      <c r="AE1691" s="8" t="str">
        <f aca="false">IF($K1691="SEM CULTURA","SEM CULTURA",IF($AA1691&lt;=0,"DADO PENDENTE",IF($AD1691&gt;LIMITE_CRITICO,"INVIAVEL",IF($AD1691&gt;LIMITE_ATENCAO,"CRITICO",IF($AD1691&gt;LIMITE_CONFORTAVEL,"ATENCAO","OK")))))</f>
        <v>OK</v>
      </c>
      <c r="AF1691" s="8" t="str">
        <f aca="false">$B1691&amp;"|"&amp;TEXT($AD1691,"0.000000")</f>
        <v>36|0.348706</v>
      </c>
      <c r="AG1691" s="18" t="n">
        <f aca="false">IF($K1691="SEM CULTURA",0,$T1691*$H1691)</f>
        <v>5070.8238</v>
      </c>
      <c r="AH1691" s="18" t="n">
        <f aca="false">IF($K1691="SEM CULTURA",0,$V1691*$H1691)</f>
        <v>403.14624</v>
      </c>
      <c r="AI1691" s="18" t="n">
        <f aca="false">IF($K1691="SEM CULTURA",0,$W1691*$H1691)</f>
        <v>4667.67756</v>
      </c>
      <c r="AJ1691" s="18" t="n">
        <f aca="false">IF($K1691="SEM CULTURA",0,$S1691*$H1691)</f>
        <v>4409.412</v>
      </c>
      <c r="AK1691" s="8" t="str">
        <f aca="false">$E1691&amp;"|"&amp;TEXT($AD1691,"0.000000")</f>
        <v>PV 122|0.348706</v>
      </c>
    </row>
    <row r="1692" customFormat="false" ht="15" hidden="false" customHeight="false" outlineLevel="0" collapsed="false">
      <c r="B1692" s="16" t="n">
        <v>37</v>
      </c>
      <c r="C1692" s="17" t="n">
        <f aca="false">DATA_INICIO_SAFRA+($B1692-1)*DIAS_POR_SEMANA</f>
        <v>46517</v>
      </c>
      <c r="D1692" s="17" t="n">
        <f aca="false">$C1692+DIAS_POR_SEMANA-1</f>
        <v>46523</v>
      </c>
      <c r="E1692" s="15" t="s">
        <v>284</v>
      </c>
      <c r="F1692" s="8" t="str">
        <f aca="false">IFERROR(INDEX(CADASTRO_PIVOS!$C$6:$C$41,MATCH($E1692,CADASTRO_PIVOS!$B$6:$B$41,0)),"?")</f>
        <v>RM07</v>
      </c>
      <c r="G1692" s="8" t="str">
        <f aca="false">IFERROR(INDEX(CADASTRO_PIVOS!$D$6:$D$41,MATCH($E1692,CADASTRO_PIVOS!$B$6:$B$41,0)),"?")</f>
        <v>TR07</v>
      </c>
      <c r="H1692" s="20" t="n">
        <f aca="false">IFERROR(INDEX(CADASTRO_PIVOS!$E$6:$E$41,MATCH($E1692,CADASTRO_PIVOS!$B$6:$B$41,0)),0)</f>
        <v>149.98</v>
      </c>
      <c r="I1692" s="16" t="n">
        <f aca="false">IFERROR(SUMIFS(ROTACAO_RDM!$B$6:$B$71,ROTACAO_RDM!$D$6:$D$71,$E1692,ROTACAO_RDM!$I$6:$I$71,"&lt;="&amp;$C1692+INT(DIAS_POR_SEMANA/2),ROTACAO_RDM!$J$6:$J$71,"&gt;="&amp;$C1692+INT(DIAS_POR_SEMANA/2)),0)</f>
        <v>40</v>
      </c>
      <c r="J1692" s="16" t="n">
        <f aca="false">IFERROR(MATCH($I1692,ROTACAO_RDM!$B$6:$B$71,0),0)</f>
        <v>40</v>
      </c>
      <c r="K1692" s="8" t="str">
        <f aca="false">IF($J1692=0,"SEM CULTURA",INDEX(ROTACAO_RDM!$F$6:$F$71,$J1692))</f>
        <v>ALGODAO</v>
      </c>
      <c r="L1692" s="8" t="str">
        <f aca="false">IF($J1692=0,"",INDEX(ROTACAO_RDM!$G$6:$G$71,$J1692))</f>
        <v>FM 911 GLTP</v>
      </c>
      <c r="M1692" s="17" t="n">
        <f aca="false">IF($J1692=0,"",INDEX(ROTACAO_RDM!$I$6:$I$71,$J1692))</f>
        <v>46417</v>
      </c>
      <c r="N1692" s="16" t="n">
        <f aca="false">IF($J1692=0,0,MAX(0,$C1692+INT(DIAS_POR_SEMANA/2)-INDEX(ROTACAO_RDM!$I$6:$I$71,$J1692)))</f>
        <v>103</v>
      </c>
      <c r="O1692" s="19" t="n">
        <f aca="false">IF($J1692=0,0,MIN(1,$N1692/MAX(1,INDEX(ROTACAO_RDM!$K$6:$K$71,$J1692))))</f>
        <v>0.572222222222222</v>
      </c>
      <c r="P1692" s="16" t="n">
        <f aca="false">IF($J1692=0,0,IFERROR(MATCH(INDEX(ROTACAO_RDM!$N$6:$N$71,$J1692),PARAMETROS_CULTURAS!$B$6:$B$28,0),0))</f>
        <v>4</v>
      </c>
      <c r="Q1692" s="8" t="str">
        <f aca="false">IF($P1692=0,"-",IF($O1692&lt;=INDEX(PARAMETROS_CULTURAS!$F$6:$F$28,$P1692),"INICIAL",IF($O1692&lt;=INDEX(PARAMETROS_CULTURAS!$F$6:$F$28,$P1692)+INDEX(PARAMETROS_CULTURAS!$G$6:$G$28,$P1692),"DESENVOLVIMENTO",IF($O1692&lt;=INDEX(PARAMETROS_CULTURAS!$F$6:$F$28,$P1692)+INDEX(PARAMETROS_CULTURAS!$G$6:$G$28,$P1692)+INDEX(PARAMETROS_CULTURAS!$H$6:$H$28,$P1692),"MEDIA","FINAL"))))</f>
        <v>MEDIA</v>
      </c>
      <c r="R1692" s="24" t="n">
        <f aca="false">IF($P1692=0,0,IF($O1692&lt;=INDEX(PARAMETROS_CULTURAS!$F$6:$F$28,$P1692),INDEX(PARAMETROS_CULTURAS!$K$6:$K$28,$P1692),IF($O1692&lt;=INDEX(PARAMETROS_CULTURAS!$F$6:$F$28,$P1692)+INDEX(PARAMETROS_CULTURAS!$G$6:$G$28,$P1692),INDEX(PARAMETROS_CULTURAS!$K$6:$K$28,$P1692)+(INDEX(PARAMETROS_CULTURAS!$L$6:$L$28,$P1692)-INDEX(PARAMETROS_CULTURAS!$K$6:$K$28,$P1692))*($O1692-INDEX(PARAMETROS_CULTURAS!$F$6:$F$28,$P1692))/MAX(INDEX(PARAMETROS_CULTURAS!$G$6:$G$28,$P1692),0.0001),IF($O1692&lt;=INDEX(PARAMETROS_CULTURAS!$F$6:$F$28,$P1692)+INDEX(PARAMETROS_CULTURAS!$G$6:$G$28,$P1692)+INDEX(PARAMETROS_CULTURAS!$H$6:$H$28,$P1692),INDEX(PARAMETROS_CULTURAS!$L$6:$L$28,$P1692),INDEX(PARAMETROS_CULTURAS!$L$6:$L$28,$P1692)+(INDEX(PARAMETROS_CULTURAS!$M$6:$M$28,$P1692)-INDEX(PARAMETROS_CULTURAS!$L$6:$L$28,$P1692))*($O1692-INDEX(PARAMETROS_CULTURAS!$F$6:$F$28,$P1692)-INDEX(PARAMETROS_CULTURAS!$G$6:$G$28,$P1692)-INDEX(PARAMETROS_CULTURAS!$H$6:$H$28,$P1692))/MAX(INDEX(PARAMETROS_CULTURAS!$I$6:$I$28,$P1692),0.0001)))))</f>
        <v>1.15</v>
      </c>
      <c r="S1692" s="18" t="n">
        <f aca="false">IFERROR(INDEX(SEMANAS!$H$6:$H$71,MATCH($B1692,SEMANAS!$B$6:$B$71,0)),0)</f>
        <v>29.4</v>
      </c>
      <c r="T1692" s="18" t="n">
        <f aca="false">$R1692*$S1692</f>
        <v>33.81</v>
      </c>
      <c r="U1692" s="18" t="n">
        <f aca="false">IFERROR(INDEX(SEMANAS!$I$6:$I$71,MATCH($B1692,SEMANAS!$B$6:$B$71,0)),0)</f>
        <v>3.36</v>
      </c>
      <c r="V1692" s="18" t="n">
        <f aca="false">IFERROR(INDEX(SEMANAS!$J$6:$J$71,MATCH($B1692,SEMANAS!$B$6:$B$71,0)),0)</f>
        <v>2.688</v>
      </c>
      <c r="W1692" s="18" t="n">
        <f aca="false">MAX(0,$T1692-$V1692)</f>
        <v>31.122</v>
      </c>
      <c r="X1692" s="19" t="n">
        <f aca="false">IFERROR(INDEX(CADASTRO_PIVOS!$K$6:$K$41,MATCH($E1692,CADASTRO_PIVOS!$B$6:$B$41,0)),EFICIENCIA_PADRAO)</f>
        <v>0.85</v>
      </c>
      <c r="Y1692" s="18" t="n">
        <f aca="false">IF($X1692&lt;=0,0,$W1692/$X1692)</f>
        <v>36.6141176470588</v>
      </c>
      <c r="Z1692" s="16" t="n">
        <f aca="false">$Y1692*$H1692*MM_PARA_M3_HA</f>
        <v>54913.8536470588</v>
      </c>
      <c r="AA1692" s="18" t="n">
        <f aca="false">IFERROR(INDEX(CADASTRO_PIVOS!$I$6:$I$41,MATCH($E1692,CADASTRO_PIVOS!$B$6:$B$41,0)),0)</f>
        <v>1071.28571428571</v>
      </c>
      <c r="AB1692" s="18" t="n">
        <f aca="false">IF($Z1692&lt;=0,0,$Z1692/$AA1692)</f>
        <v>51.2597647058824</v>
      </c>
      <c r="AC1692" s="16" t="n">
        <f aca="false">IFERROR(INDEX(SEMANAS!$K$6:$K$71,MATCH($B1692,SEMANAS!$B$6:$B$71,0)),0)</f>
        <v>147</v>
      </c>
      <c r="AD1692" s="19" t="n">
        <f aca="false">IF($AC1692&lt;=0,0,$AB1692/$AC1692)</f>
        <v>0.348705882352941</v>
      </c>
      <c r="AE1692" s="8" t="str">
        <f aca="false">IF($K1692="SEM CULTURA","SEM CULTURA",IF($AA1692&lt;=0,"DADO PENDENTE",IF($AD1692&gt;LIMITE_CRITICO,"INVIAVEL",IF($AD1692&gt;LIMITE_ATENCAO,"CRITICO",IF($AD1692&gt;LIMITE_CONFORTAVEL,"ATENCAO","OK")))))</f>
        <v>OK</v>
      </c>
      <c r="AF1692" s="8" t="str">
        <f aca="false">$B1692&amp;"|"&amp;TEXT($AD1692,"0.000000")</f>
        <v>37|0.348706</v>
      </c>
      <c r="AG1692" s="18" t="n">
        <f aca="false">IF($K1692="SEM CULTURA",0,$T1692*$H1692)</f>
        <v>5070.8238</v>
      </c>
      <c r="AH1692" s="18" t="n">
        <f aca="false">IF($K1692="SEM CULTURA",0,$V1692*$H1692)</f>
        <v>403.14624</v>
      </c>
      <c r="AI1692" s="18" t="n">
        <f aca="false">IF($K1692="SEM CULTURA",0,$W1692*$H1692)</f>
        <v>4667.67756</v>
      </c>
      <c r="AJ1692" s="18" t="n">
        <f aca="false">IF($K1692="SEM CULTURA",0,$S1692*$H1692)</f>
        <v>4409.412</v>
      </c>
      <c r="AK1692" s="8" t="str">
        <f aca="false">$E1692&amp;"|"&amp;TEXT($AD1692,"0.000000")</f>
        <v>PV 122|0.348706</v>
      </c>
    </row>
    <row r="1693" customFormat="false" ht="15" hidden="false" customHeight="false" outlineLevel="0" collapsed="false">
      <c r="B1693" s="16" t="n">
        <v>38</v>
      </c>
      <c r="C1693" s="17" t="n">
        <f aca="false">DATA_INICIO_SAFRA+($B1693-1)*DIAS_POR_SEMANA</f>
        <v>46524</v>
      </c>
      <c r="D1693" s="17" t="n">
        <f aca="false">$C1693+DIAS_POR_SEMANA-1</f>
        <v>46530</v>
      </c>
      <c r="E1693" s="15" t="s">
        <v>284</v>
      </c>
      <c r="F1693" s="8" t="str">
        <f aca="false">IFERROR(INDEX(CADASTRO_PIVOS!$C$6:$C$41,MATCH($E1693,CADASTRO_PIVOS!$B$6:$B$41,0)),"?")</f>
        <v>RM07</v>
      </c>
      <c r="G1693" s="8" t="str">
        <f aca="false">IFERROR(INDEX(CADASTRO_PIVOS!$D$6:$D$41,MATCH($E1693,CADASTRO_PIVOS!$B$6:$B$41,0)),"?")</f>
        <v>TR07</v>
      </c>
      <c r="H1693" s="20" t="n">
        <f aca="false">IFERROR(INDEX(CADASTRO_PIVOS!$E$6:$E$41,MATCH($E1693,CADASTRO_PIVOS!$B$6:$B$41,0)),0)</f>
        <v>149.98</v>
      </c>
      <c r="I1693" s="16" t="n">
        <f aca="false">IFERROR(SUMIFS(ROTACAO_RDM!$B$6:$B$71,ROTACAO_RDM!$D$6:$D$71,$E1693,ROTACAO_RDM!$I$6:$I$71,"&lt;="&amp;$C1693+INT(DIAS_POR_SEMANA/2),ROTACAO_RDM!$J$6:$J$71,"&gt;="&amp;$C1693+INT(DIAS_POR_SEMANA/2)),0)</f>
        <v>40</v>
      </c>
      <c r="J1693" s="16" t="n">
        <f aca="false">IFERROR(MATCH($I1693,ROTACAO_RDM!$B$6:$B$71,0),0)</f>
        <v>40</v>
      </c>
      <c r="K1693" s="8" t="str">
        <f aca="false">IF($J1693=0,"SEM CULTURA",INDEX(ROTACAO_RDM!$F$6:$F$71,$J1693))</f>
        <v>ALGODAO</v>
      </c>
      <c r="L1693" s="8" t="str">
        <f aca="false">IF($J1693=0,"",INDEX(ROTACAO_RDM!$G$6:$G$71,$J1693))</f>
        <v>FM 911 GLTP</v>
      </c>
      <c r="M1693" s="17" t="n">
        <f aca="false">IF($J1693=0,"",INDEX(ROTACAO_RDM!$I$6:$I$71,$J1693))</f>
        <v>46417</v>
      </c>
      <c r="N1693" s="16" t="n">
        <f aca="false">IF($J1693=0,0,MAX(0,$C1693+INT(DIAS_POR_SEMANA/2)-INDEX(ROTACAO_RDM!$I$6:$I$71,$J1693)))</f>
        <v>110</v>
      </c>
      <c r="O1693" s="19" t="n">
        <f aca="false">IF($J1693=0,0,MIN(1,$N1693/MAX(1,INDEX(ROTACAO_RDM!$K$6:$K$71,$J1693))))</f>
        <v>0.611111111111111</v>
      </c>
      <c r="P1693" s="16" t="n">
        <f aca="false">IF($J1693=0,0,IFERROR(MATCH(INDEX(ROTACAO_RDM!$N$6:$N$71,$J1693),PARAMETROS_CULTURAS!$B$6:$B$28,0),0))</f>
        <v>4</v>
      </c>
      <c r="Q1693" s="8" t="str">
        <f aca="false">IF($P1693=0,"-",IF($O1693&lt;=INDEX(PARAMETROS_CULTURAS!$F$6:$F$28,$P1693),"INICIAL",IF($O1693&lt;=INDEX(PARAMETROS_CULTURAS!$F$6:$F$28,$P1693)+INDEX(PARAMETROS_CULTURAS!$G$6:$G$28,$P1693),"DESENVOLVIMENTO",IF($O1693&lt;=INDEX(PARAMETROS_CULTURAS!$F$6:$F$28,$P1693)+INDEX(PARAMETROS_CULTURAS!$G$6:$G$28,$P1693)+INDEX(PARAMETROS_CULTURAS!$H$6:$H$28,$P1693),"MEDIA","FINAL"))))</f>
        <v>MEDIA</v>
      </c>
      <c r="R1693" s="24" t="n">
        <f aca="false">IF($P1693=0,0,IF($O1693&lt;=INDEX(PARAMETROS_CULTURAS!$F$6:$F$28,$P1693),INDEX(PARAMETROS_CULTURAS!$K$6:$K$28,$P1693),IF($O1693&lt;=INDEX(PARAMETROS_CULTURAS!$F$6:$F$28,$P1693)+INDEX(PARAMETROS_CULTURAS!$G$6:$G$28,$P1693),INDEX(PARAMETROS_CULTURAS!$K$6:$K$28,$P1693)+(INDEX(PARAMETROS_CULTURAS!$L$6:$L$28,$P1693)-INDEX(PARAMETROS_CULTURAS!$K$6:$K$28,$P1693))*($O1693-INDEX(PARAMETROS_CULTURAS!$F$6:$F$28,$P1693))/MAX(INDEX(PARAMETROS_CULTURAS!$G$6:$G$28,$P1693),0.0001),IF($O1693&lt;=INDEX(PARAMETROS_CULTURAS!$F$6:$F$28,$P1693)+INDEX(PARAMETROS_CULTURAS!$G$6:$G$28,$P1693)+INDEX(PARAMETROS_CULTURAS!$H$6:$H$28,$P1693),INDEX(PARAMETROS_CULTURAS!$L$6:$L$28,$P1693),INDEX(PARAMETROS_CULTURAS!$L$6:$L$28,$P1693)+(INDEX(PARAMETROS_CULTURAS!$M$6:$M$28,$P1693)-INDEX(PARAMETROS_CULTURAS!$L$6:$L$28,$P1693))*($O1693-INDEX(PARAMETROS_CULTURAS!$F$6:$F$28,$P1693)-INDEX(PARAMETROS_CULTURAS!$G$6:$G$28,$P1693)-INDEX(PARAMETROS_CULTURAS!$H$6:$H$28,$P1693))/MAX(INDEX(PARAMETROS_CULTURAS!$I$6:$I$28,$P1693),0.0001)))))</f>
        <v>1.15</v>
      </c>
      <c r="S1693" s="18" t="n">
        <f aca="false">IFERROR(INDEX(SEMANAS!$H$6:$H$71,MATCH($B1693,SEMANAS!$B$6:$B$71,0)),0)</f>
        <v>29.4</v>
      </c>
      <c r="T1693" s="18" t="n">
        <f aca="false">$R1693*$S1693</f>
        <v>33.81</v>
      </c>
      <c r="U1693" s="18" t="n">
        <f aca="false">IFERROR(INDEX(SEMANAS!$I$6:$I$71,MATCH($B1693,SEMANAS!$B$6:$B$71,0)),0)</f>
        <v>3.36</v>
      </c>
      <c r="V1693" s="18" t="n">
        <f aca="false">IFERROR(INDEX(SEMANAS!$J$6:$J$71,MATCH($B1693,SEMANAS!$B$6:$B$71,0)),0)</f>
        <v>2.688</v>
      </c>
      <c r="W1693" s="18" t="n">
        <f aca="false">MAX(0,$T1693-$V1693)</f>
        <v>31.122</v>
      </c>
      <c r="X1693" s="19" t="n">
        <f aca="false">IFERROR(INDEX(CADASTRO_PIVOS!$K$6:$K$41,MATCH($E1693,CADASTRO_PIVOS!$B$6:$B$41,0)),EFICIENCIA_PADRAO)</f>
        <v>0.85</v>
      </c>
      <c r="Y1693" s="18" t="n">
        <f aca="false">IF($X1693&lt;=0,0,$W1693/$X1693)</f>
        <v>36.6141176470588</v>
      </c>
      <c r="Z1693" s="16" t="n">
        <f aca="false">$Y1693*$H1693*MM_PARA_M3_HA</f>
        <v>54913.8536470588</v>
      </c>
      <c r="AA1693" s="18" t="n">
        <f aca="false">IFERROR(INDEX(CADASTRO_PIVOS!$I$6:$I$41,MATCH($E1693,CADASTRO_PIVOS!$B$6:$B$41,0)),0)</f>
        <v>1071.28571428571</v>
      </c>
      <c r="AB1693" s="18" t="n">
        <f aca="false">IF($Z1693&lt;=0,0,$Z1693/$AA1693)</f>
        <v>51.2597647058824</v>
      </c>
      <c r="AC1693" s="16" t="n">
        <f aca="false">IFERROR(INDEX(SEMANAS!$K$6:$K$71,MATCH($B1693,SEMANAS!$B$6:$B$71,0)),0)</f>
        <v>147</v>
      </c>
      <c r="AD1693" s="19" t="n">
        <f aca="false">IF($AC1693&lt;=0,0,$AB1693/$AC1693)</f>
        <v>0.348705882352941</v>
      </c>
      <c r="AE1693" s="8" t="str">
        <f aca="false">IF($K1693="SEM CULTURA","SEM CULTURA",IF($AA1693&lt;=0,"DADO PENDENTE",IF($AD1693&gt;LIMITE_CRITICO,"INVIAVEL",IF($AD1693&gt;LIMITE_ATENCAO,"CRITICO",IF($AD1693&gt;LIMITE_CONFORTAVEL,"ATENCAO","OK")))))</f>
        <v>OK</v>
      </c>
      <c r="AF1693" s="8" t="str">
        <f aca="false">$B1693&amp;"|"&amp;TEXT($AD1693,"0.000000")</f>
        <v>38|0.348706</v>
      </c>
      <c r="AG1693" s="18" t="n">
        <f aca="false">IF($K1693="SEM CULTURA",0,$T1693*$H1693)</f>
        <v>5070.8238</v>
      </c>
      <c r="AH1693" s="18" t="n">
        <f aca="false">IF($K1693="SEM CULTURA",0,$V1693*$H1693)</f>
        <v>403.14624</v>
      </c>
      <c r="AI1693" s="18" t="n">
        <f aca="false">IF($K1693="SEM CULTURA",0,$W1693*$H1693)</f>
        <v>4667.67756</v>
      </c>
      <c r="AJ1693" s="18" t="n">
        <f aca="false">IF($K1693="SEM CULTURA",0,$S1693*$H1693)</f>
        <v>4409.412</v>
      </c>
      <c r="AK1693" s="8" t="str">
        <f aca="false">$E1693&amp;"|"&amp;TEXT($AD1693,"0.000000")</f>
        <v>PV 122|0.348706</v>
      </c>
    </row>
    <row r="1694" customFormat="false" ht="15" hidden="false" customHeight="false" outlineLevel="0" collapsed="false">
      <c r="B1694" s="16" t="n">
        <v>39</v>
      </c>
      <c r="C1694" s="17" t="n">
        <f aca="false">DATA_INICIO_SAFRA+($B1694-1)*DIAS_POR_SEMANA</f>
        <v>46531</v>
      </c>
      <c r="D1694" s="17" t="n">
        <f aca="false">$C1694+DIAS_POR_SEMANA-1</f>
        <v>46537</v>
      </c>
      <c r="E1694" s="15" t="s">
        <v>284</v>
      </c>
      <c r="F1694" s="8" t="str">
        <f aca="false">IFERROR(INDEX(CADASTRO_PIVOS!$C$6:$C$41,MATCH($E1694,CADASTRO_PIVOS!$B$6:$B$41,0)),"?")</f>
        <v>RM07</v>
      </c>
      <c r="G1694" s="8" t="str">
        <f aca="false">IFERROR(INDEX(CADASTRO_PIVOS!$D$6:$D$41,MATCH($E1694,CADASTRO_PIVOS!$B$6:$B$41,0)),"?")</f>
        <v>TR07</v>
      </c>
      <c r="H1694" s="20" t="n">
        <f aca="false">IFERROR(INDEX(CADASTRO_PIVOS!$E$6:$E$41,MATCH($E1694,CADASTRO_PIVOS!$B$6:$B$41,0)),0)</f>
        <v>149.98</v>
      </c>
      <c r="I1694" s="16" t="n">
        <f aca="false">IFERROR(SUMIFS(ROTACAO_RDM!$B$6:$B$71,ROTACAO_RDM!$D$6:$D$71,$E1694,ROTACAO_RDM!$I$6:$I$71,"&lt;="&amp;$C1694+INT(DIAS_POR_SEMANA/2),ROTACAO_RDM!$J$6:$J$71,"&gt;="&amp;$C1694+INT(DIAS_POR_SEMANA/2)),0)</f>
        <v>40</v>
      </c>
      <c r="J1694" s="16" t="n">
        <f aca="false">IFERROR(MATCH($I1694,ROTACAO_RDM!$B$6:$B$71,0),0)</f>
        <v>40</v>
      </c>
      <c r="K1694" s="8" t="str">
        <f aca="false">IF($J1694=0,"SEM CULTURA",INDEX(ROTACAO_RDM!$F$6:$F$71,$J1694))</f>
        <v>ALGODAO</v>
      </c>
      <c r="L1694" s="8" t="str">
        <f aca="false">IF($J1694=0,"",INDEX(ROTACAO_RDM!$G$6:$G$71,$J1694))</f>
        <v>FM 911 GLTP</v>
      </c>
      <c r="M1694" s="17" t="n">
        <f aca="false">IF($J1694=0,"",INDEX(ROTACAO_RDM!$I$6:$I$71,$J1694))</f>
        <v>46417</v>
      </c>
      <c r="N1694" s="16" t="n">
        <f aca="false">IF($J1694=0,0,MAX(0,$C1694+INT(DIAS_POR_SEMANA/2)-INDEX(ROTACAO_RDM!$I$6:$I$71,$J1694)))</f>
        <v>117</v>
      </c>
      <c r="O1694" s="19" t="n">
        <f aca="false">IF($J1694=0,0,MIN(1,$N1694/MAX(1,INDEX(ROTACAO_RDM!$K$6:$K$71,$J1694))))</f>
        <v>0.65</v>
      </c>
      <c r="P1694" s="16" t="n">
        <f aca="false">IF($J1694=0,0,IFERROR(MATCH(INDEX(ROTACAO_RDM!$N$6:$N$71,$J1694),PARAMETROS_CULTURAS!$B$6:$B$28,0),0))</f>
        <v>4</v>
      </c>
      <c r="Q1694" s="8" t="str">
        <f aca="false">IF($P1694=0,"-",IF($O1694&lt;=INDEX(PARAMETROS_CULTURAS!$F$6:$F$28,$P1694),"INICIAL",IF($O1694&lt;=INDEX(PARAMETROS_CULTURAS!$F$6:$F$28,$P1694)+INDEX(PARAMETROS_CULTURAS!$G$6:$G$28,$P1694),"DESENVOLVIMENTO",IF($O1694&lt;=INDEX(PARAMETROS_CULTURAS!$F$6:$F$28,$P1694)+INDEX(PARAMETROS_CULTURAS!$G$6:$G$28,$P1694)+INDEX(PARAMETROS_CULTURAS!$H$6:$H$28,$P1694),"MEDIA","FINAL"))))</f>
        <v>MEDIA</v>
      </c>
      <c r="R1694" s="24" t="n">
        <f aca="false">IF($P1694=0,0,IF($O1694&lt;=INDEX(PARAMETROS_CULTURAS!$F$6:$F$28,$P1694),INDEX(PARAMETROS_CULTURAS!$K$6:$K$28,$P1694),IF($O1694&lt;=INDEX(PARAMETROS_CULTURAS!$F$6:$F$28,$P1694)+INDEX(PARAMETROS_CULTURAS!$G$6:$G$28,$P1694),INDEX(PARAMETROS_CULTURAS!$K$6:$K$28,$P1694)+(INDEX(PARAMETROS_CULTURAS!$L$6:$L$28,$P1694)-INDEX(PARAMETROS_CULTURAS!$K$6:$K$28,$P1694))*($O1694-INDEX(PARAMETROS_CULTURAS!$F$6:$F$28,$P1694))/MAX(INDEX(PARAMETROS_CULTURAS!$G$6:$G$28,$P1694),0.0001),IF($O1694&lt;=INDEX(PARAMETROS_CULTURAS!$F$6:$F$28,$P1694)+INDEX(PARAMETROS_CULTURAS!$G$6:$G$28,$P1694)+INDEX(PARAMETROS_CULTURAS!$H$6:$H$28,$P1694),INDEX(PARAMETROS_CULTURAS!$L$6:$L$28,$P1694),INDEX(PARAMETROS_CULTURAS!$L$6:$L$28,$P1694)+(INDEX(PARAMETROS_CULTURAS!$M$6:$M$28,$P1694)-INDEX(PARAMETROS_CULTURAS!$L$6:$L$28,$P1694))*($O1694-INDEX(PARAMETROS_CULTURAS!$F$6:$F$28,$P1694)-INDEX(PARAMETROS_CULTURAS!$G$6:$G$28,$P1694)-INDEX(PARAMETROS_CULTURAS!$H$6:$H$28,$P1694))/MAX(INDEX(PARAMETROS_CULTURAS!$I$6:$I$28,$P1694),0.0001)))))</f>
        <v>1.15</v>
      </c>
      <c r="S1694" s="18" t="n">
        <f aca="false">IFERROR(INDEX(SEMANAS!$H$6:$H$71,MATCH($B1694,SEMANAS!$B$6:$B$71,0)),0)</f>
        <v>29.4</v>
      </c>
      <c r="T1694" s="18" t="n">
        <f aca="false">$R1694*$S1694</f>
        <v>33.81</v>
      </c>
      <c r="U1694" s="18" t="n">
        <f aca="false">IFERROR(INDEX(SEMANAS!$I$6:$I$71,MATCH($B1694,SEMANAS!$B$6:$B$71,0)),0)</f>
        <v>3.36</v>
      </c>
      <c r="V1694" s="18" t="n">
        <f aca="false">IFERROR(INDEX(SEMANAS!$J$6:$J$71,MATCH($B1694,SEMANAS!$B$6:$B$71,0)),0)</f>
        <v>2.688</v>
      </c>
      <c r="W1694" s="18" t="n">
        <f aca="false">MAX(0,$T1694-$V1694)</f>
        <v>31.122</v>
      </c>
      <c r="X1694" s="19" t="n">
        <f aca="false">IFERROR(INDEX(CADASTRO_PIVOS!$K$6:$K$41,MATCH($E1694,CADASTRO_PIVOS!$B$6:$B$41,0)),EFICIENCIA_PADRAO)</f>
        <v>0.85</v>
      </c>
      <c r="Y1694" s="18" t="n">
        <f aca="false">IF($X1694&lt;=0,0,$W1694/$X1694)</f>
        <v>36.6141176470588</v>
      </c>
      <c r="Z1694" s="16" t="n">
        <f aca="false">$Y1694*$H1694*MM_PARA_M3_HA</f>
        <v>54913.8536470588</v>
      </c>
      <c r="AA1694" s="18" t="n">
        <f aca="false">IFERROR(INDEX(CADASTRO_PIVOS!$I$6:$I$41,MATCH($E1694,CADASTRO_PIVOS!$B$6:$B$41,0)),0)</f>
        <v>1071.28571428571</v>
      </c>
      <c r="AB1694" s="18" t="n">
        <f aca="false">IF($Z1694&lt;=0,0,$Z1694/$AA1694)</f>
        <v>51.2597647058824</v>
      </c>
      <c r="AC1694" s="16" t="n">
        <f aca="false">IFERROR(INDEX(SEMANAS!$K$6:$K$71,MATCH($B1694,SEMANAS!$B$6:$B$71,0)),0)</f>
        <v>147</v>
      </c>
      <c r="AD1694" s="19" t="n">
        <f aca="false">IF($AC1694&lt;=0,0,$AB1694/$AC1694)</f>
        <v>0.348705882352941</v>
      </c>
      <c r="AE1694" s="8" t="str">
        <f aca="false">IF($K1694="SEM CULTURA","SEM CULTURA",IF($AA1694&lt;=0,"DADO PENDENTE",IF($AD1694&gt;LIMITE_CRITICO,"INVIAVEL",IF($AD1694&gt;LIMITE_ATENCAO,"CRITICO",IF($AD1694&gt;LIMITE_CONFORTAVEL,"ATENCAO","OK")))))</f>
        <v>OK</v>
      </c>
      <c r="AF1694" s="8" t="str">
        <f aca="false">$B1694&amp;"|"&amp;TEXT($AD1694,"0.000000")</f>
        <v>39|0.348706</v>
      </c>
      <c r="AG1694" s="18" t="n">
        <f aca="false">IF($K1694="SEM CULTURA",0,$T1694*$H1694)</f>
        <v>5070.8238</v>
      </c>
      <c r="AH1694" s="18" t="n">
        <f aca="false">IF($K1694="SEM CULTURA",0,$V1694*$H1694)</f>
        <v>403.14624</v>
      </c>
      <c r="AI1694" s="18" t="n">
        <f aca="false">IF($K1694="SEM CULTURA",0,$W1694*$H1694)</f>
        <v>4667.67756</v>
      </c>
      <c r="AJ1694" s="18" t="n">
        <f aca="false">IF($K1694="SEM CULTURA",0,$S1694*$H1694)</f>
        <v>4409.412</v>
      </c>
      <c r="AK1694" s="8" t="str">
        <f aca="false">$E1694&amp;"|"&amp;TEXT($AD1694,"0.000000")</f>
        <v>PV 122|0.348706</v>
      </c>
    </row>
    <row r="1695" customFormat="false" ht="15" hidden="false" customHeight="false" outlineLevel="0" collapsed="false">
      <c r="B1695" s="16" t="n">
        <v>40</v>
      </c>
      <c r="C1695" s="17" t="n">
        <f aca="false">DATA_INICIO_SAFRA+($B1695-1)*DIAS_POR_SEMANA</f>
        <v>46538</v>
      </c>
      <c r="D1695" s="17" t="n">
        <f aca="false">$C1695+DIAS_POR_SEMANA-1</f>
        <v>46544</v>
      </c>
      <c r="E1695" s="15" t="s">
        <v>284</v>
      </c>
      <c r="F1695" s="8" t="str">
        <f aca="false">IFERROR(INDEX(CADASTRO_PIVOS!$C$6:$C$41,MATCH($E1695,CADASTRO_PIVOS!$B$6:$B$41,0)),"?")</f>
        <v>RM07</v>
      </c>
      <c r="G1695" s="8" t="str">
        <f aca="false">IFERROR(INDEX(CADASTRO_PIVOS!$D$6:$D$41,MATCH($E1695,CADASTRO_PIVOS!$B$6:$B$41,0)),"?")</f>
        <v>TR07</v>
      </c>
      <c r="H1695" s="20" t="n">
        <f aca="false">IFERROR(INDEX(CADASTRO_PIVOS!$E$6:$E$41,MATCH($E1695,CADASTRO_PIVOS!$B$6:$B$41,0)),0)</f>
        <v>149.98</v>
      </c>
      <c r="I1695" s="16" t="n">
        <f aca="false">IFERROR(SUMIFS(ROTACAO_RDM!$B$6:$B$71,ROTACAO_RDM!$D$6:$D$71,$E1695,ROTACAO_RDM!$I$6:$I$71,"&lt;="&amp;$C1695+INT(DIAS_POR_SEMANA/2),ROTACAO_RDM!$J$6:$J$71,"&gt;="&amp;$C1695+INT(DIAS_POR_SEMANA/2)),0)</f>
        <v>40</v>
      </c>
      <c r="J1695" s="16" t="n">
        <f aca="false">IFERROR(MATCH($I1695,ROTACAO_RDM!$B$6:$B$71,0),0)</f>
        <v>40</v>
      </c>
      <c r="K1695" s="8" t="str">
        <f aca="false">IF($J1695=0,"SEM CULTURA",INDEX(ROTACAO_RDM!$F$6:$F$71,$J1695))</f>
        <v>ALGODAO</v>
      </c>
      <c r="L1695" s="8" t="str">
        <f aca="false">IF($J1695=0,"",INDEX(ROTACAO_RDM!$G$6:$G$71,$J1695))</f>
        <v>FM 911 GLTP</v>
      </c>
      <c r="M1695" s="17" t="n">
        <f aca="false">IF($J1695=0,"",INDEX(ROTACAO_RDM!$I$6:$I$71,$J1695))</f>
        <v>46417</v>
      </c>
      <c r="N1695" s="16" t="n">
        <f aca="false">IF($J1695=0,0,MAX(0,$C1695+INT(DIAS_POR_SEMANA/2)-INDEX(ROTACAO_RDM!$I$6:$I$71,$J1695)))</f>
        <v>124</v>
      </c>
      <c r="O1695" s="19" t="n">
        <f aca="false">IF($J1695=0,0,MIN(1,$N1695/MAX(1,INDEX(ROTACAO_RDM!$K$6:$K$71,$J1695))))</f>
        <v>0.688888888888889</v>
      </c>
      <c r="P1695" s="16" t="n">
        <f aca="false">IF($J1695=0,0,IFERROR(MATCH(INDEX(ROTACAO_RDM!$N$6:$N$71,$J1695),PARAMETROS_CULTURAS!$B$6:$B$28,0),0))</f>
        <v>4</v>
      </c>
      <c r="Q1695" s="8" t="str">
        <f aca="false">IF($P1695=0,"-",IF($O1695&lt;=INDEX(PARAMETROS_CULTURAS!$F$6:$F$28,$P1695),"INICIAL",IF($O1695&lt;=INDEX(PARAMETROS_CULTURAS!$F$6:$F$28,$P1695)+INDEX(PARAMETROS_CULTURAS!$G$6:$G$28,$P1695),"DESENVOLVIMENTO",IF($O1695&lt;=INDEX(PARAMETROS_CULTURAS!$F$6:$F$28,$P1695)+INDEX(PARAMETROS_CULTURAS!$G$6:$G$28,$P1695)+INDEX(PARAMETROS_CULTURAS!$H$6:$H$28,$P1695),"MEDIA","FINAL"))))</f>
        <v>MEDIA</v>
      </c>
      <c r="R1695" s="24" t="n">
        <f aca="false">IF($P1695=0,0,IF($O1695&lt;=INDEX(PARAMETROS_CULTURAS!$F$6:$F$28,$P1695),INDEX(PARAMETROS_CULTURAS!$K$6:$K$28,$P1695),IF($O1695&lt;=INDEX(PARAMETROS_CULTURAS!$F$6:$F$28,$P1695)+INDEX(PARAMETROS_CULTURAS!$G$6:$G$28,$P1695),INDEX(PARAMETROS_CULTURAS!$K$6:$K$28,$P1695)+(INDEX(PARAMETROS_CULTURAS!$L$6:$L$28,$P1695)-INDEX(PARAMETROS_CULTURAS!$K$6:$K$28,$P1695))*($O1695-INDEX(PARAMETROS_CULTURAS!$F$6:$F$28,$P1695))/MAX(INDEX(PARAMETROS_CULTURAS!$G$6:$G$28,$P1695),0.0001),IF($O1695&lt;=INDEX(PARAMETROS_CULTURAS!$F$6:$F$28,$P1695)+INDEX(PARAMETROS_CULTURAS!$G$6:$G$28,$P1695)+INDEX(PARAMETROS_CULTURAS!$H$6:$H$28,$P1695),INDEX(PARAMETROS_CULTURAS!$L$6:$L$28,$P1695),INDEX(PARAMETROS_CULTURAS!$L$6:$L$28,$P1695)+(INDEX(PARAMETROS_CULTURAS!$M$6:$M$28,$P1695)-INDEX(PARAMETROS_CULTURAS!$L$6:$L$28,$P1695))*($O1695-INDEX(PARAMETROS_CULTURAS!$F$6:$F$28,$P1695)-INDEX(PARAMETROS_CULTURAS!$G$6:$G$28,$P1695)-INDEX(PARAMETROS_CULTURAS!$H$6:$H$28,$P1695))/MAX(INDEX(PARAMETROS_CULTURAS!$I$6:$I$28,$P1695),0.0001)))))</f>
        <v>1.15</v>
      </c>
      <c r="S1695" s="18" t="n">
        <f aca="false">IFERROR(INDEX(SEMANAS!$H$6:$H$71,MATCH($B1695,SEMANAS!$B$6:$B$71,0)),0)</f>
        <v>28.2</v>
      </c>
      <c r="T1695" s="18" t="n">
        <f aca="false">$R1695*$S1695</f>
        <v>32.43</v>
      </c>
      <c r="U1695" s="18" t="n">
        <f aca="false">IFERROR(INDEX(SEMANAS!$I$6:$I$71,MATCH($B1695,SEMANAS!$B$6:$B$71,0)),0)</f>
        <v>1.5</v>
      </c>
      <c r="V1695" s="18" t="n">
        <f aca="false">IFERROR(INDEX(SEMANAS!$J$6:$J$71,MATCH($B1695,SEMANAS!$B$6:$B$71,0)),0)</f>
        <v>1.2</v>
      </c>
      <c r="W1695" s="18" t="n">
        <f aca="false">MAX(0,$T1695-$V1695)</f>
        <v>31.23</v>
      </c>
      <c r="X1695" s="19" t="n">
        <f aca="false">IFERROR(INDEX(CADASTRO_PIVOS!$K$6:$K$41,MATCH($E1695,CADASTRO_PIVOS!$B$6:$B$41,0)),EFICIENCIA_PADRAO)</f>
        <v>0.85</v>
      </c>
      <c r="Y1695" s="18" t="n">
        <f aca="false">IF($X1695&lt;=0,0,$W1695/$X1695)</f>
        <v>36.7411764705882</v>
      </c>
      <c r="Z1695" s="16" t="n">
        <f aca="false">$Y1695*$H1695*MM_PARA_M3_HA</f>
        <v>55104.4164705882</v>
      </c>
      <c r="AA1695" s="18" t="n">
        <f aca="false">IFERROR(INDEX(CADASTRO_PIVOS!$I$6:$I$41,MATCH($E1695,CADASTRO_PIVOS!$B$6:$B$41,0)),0)</f>
        <v>1071.28571428571</v>
      </c>
      <c r="AB1695" s="18" t="n">
        <f aca="false">IF($Z1695&lt;=0,0,$Z1695/$AA1695)</f>
        <v>51.4376470588235</v>
      </c>
      <c r="AC1695" s="16" t="n">
        <f aca="false">IFERROR(INDEX(SEMANAS!$K$6:$K$71,MATCH($B1695,SEMANAS!$B$6:$B$71,0)),0)</f>
        <v>147</v>
      </c>
      <c r="AD1695" s="19" t="n">
        <f aca="false">IF($AC1695&lt;=0,0,$AB1695/$AC1695)</f>
        <v>0.349915966386555</v>
      </c>
      <c r="AE1695" s="8" t="str">
        <f aca="false">IF($K1695="SEM CULTURA","SEM CULTURA",IF($AA1695&lt;=0,"DADO PENDENTE",IF($AD1695&gt;LIMITE_CRITICO,"INVIAVEL",IF($AD1695&gt;LIMITE_ATENCAO,"CRITICO",IF($AD1695&gt;LIMITE_CONFORTAVEL,"ATENCAO","OK")))))</f>
        <v>OK</v>
      </c>
      <c r="AF1695" s="8" t="str">
        <f aca="false">$B1695&amp;"|"&amp;TEXT($AD1695,"0.000000")</f>
        <v>40|0.349916</v>
      </c>
      <c r="AG1695" s="18" t="n">
        <f aca="false">IF($K1695="SEM CULTURA",0,$T1695*$H1695)</f>
        <v>4863.8514</v>
      </c>
      <c r="AH1695" s="18" t="n">
        <f aca="false">IF($K1695="SEM CULTURA",0,$V1695*$H1695)</f>
        <v>179.976</v>
      </c>
      <c r="AI1695" s="18" t="n">
        <f aca="false">IF($K1695="SEM CULTURA",0,$W1695*$H1695)</f>
        <v>4683.8754</v>
      </c>
      <c r="AJ1695" s="18" t="n">
        <f aca="false">IF($K1695="SEM CULTURA",0,$S1695*$H1695)</f>
        <v>4229.436</v>
      </c>
      <c r="AK1695" s="8" t="str">
        <f aca="false">$E1695&amp;"|"&amp;TEXT($AD1695,"0.000000")</f>
        <v>PV 122|0.349916</v>
      </c>
    </row>
    <row r="1696" customFormat="false" ht="15" hidden="false" customHeight="false" outlineLevel="0" collapsed="false">
      <c r="B1696" s="16" t="n">
        <v>41</v>
      </c>
      <c r="C1696" s="17" t="n">
        <f aca="false">DATA_INICIO_SAFRA+($B1696-1)*DIAS_POR_SEMANA</f>
        <v>46545</v>
      </c>
      <c r="D1696" s="17" t="n">
        <f aca="false">$C1696+DIAS_POR_SEMANA-1</f>
        <v>46551</v>
      </c>
      <c r="E1696" s="15" t="s">
        <v>284</v>
      </c>
      <c r="F1696" s="8" t="str">
        <f aca="false">IFERROR(INDEX(CADASTRO_PIVOS!$C$6:$C$41,MATCH($E1696,CADASTRO_PIVOS!$B$6:$B$41,0)),"?")</f>
        <v>RM07</v>
      </c>
      <c r="G1696" s="8" t="str">
        <f aca="false">IFERROR(INDEX(CADASTRO_PIVOS!$D$6:$D$41,MATCH($E1696,CADASTRO_PIVOS!$B$6:$B$41,0)),"?")</f>
        <v>TR07</v>
      </c>
      <c r="H1696" s="20" t="n">
        <f aca="false">IFERROR(INDEX(CADASTRO_PIVOS!$E$6:$E$41,MATCH($E1696,CADASTRO_PIVOS!$B$6:$B$41,0)),0)</f>
        <v>149.98</v>
      </c>
      <c r="I1696" s="16" t="n">
        <f aca="false">IFERROR(SUMIFS(ROTACAO_RDM!$B$6:$B$71,ROTACAO_RDM!$D$6:$D$71,$E1696,ROTACAO_RDM!$I$6:$I$71,"&lt;="&amp;$C1696+INT(DIAS_POR_SEMANA/2),ROTACAO_RDM!$J$6:$J$71,"&gt;="&amp;$C1696+INT(DIAS_POR_SEMANA/2)),0)</f>
        <v>40</v>
      </c>
      <c r="J1696" s="16" t="n">
        <f aca="false">IFERROR(MATCH($I1696,ROTACAO_RDM!$B$6:$B$71,0),0)</f>
        <v>40</v>
      </c>
      <c r="K1696" s="8" t="str">
        <f aca="false">IF($J1696=0,"SEM CULTURA",INDEX(ROTACAO_RDM!$F$6:$F$71,$J1696))</f>
        <v>ALGODAO</v>
      </c>
      <c r="L1696" s="8" t="str">
        <f aca="false">IF($J1696=0,"",INDEX(ROTACAO_RDM!$G$6:$G$71,$J1696))</f>
        <v>FM 911 GLTP</v>
      </c>
      <c r="M1696" s="17" t="n">
        <f aca="false">IF($J1696=0,"",INDEX(ROTACAO_RDM!$I$6:$I$71,$J1696))</f>
        <v>46417</v>
      </c>
      <c r="N1696" s="16" t="n">
        <f aca="false">IF($J1696=0,0,MAX(0,$C1696+INT(DIAS_POR_SEMANA/2)-INDEX(ROTACAO_RDM!$I$6:$I$71,$J1696)))</f>
        <v>131</v>
      </c>
      <c r="O1696" s="19" t="n">
        <f aca="false">IF($J1696=0,0,MIN(1,$N1696/MAX(1,INDEX(ROTACAO_RDM!$K$6:$K$71,$J1696))))</f>
        <v>0.727777777777778</v>
      </c>
      <c r="P1696" s="16" t="n">
        <f aca="false">IF($J1696=0,0,IFERROR(MATCH(INDEX(ROTACAO_RDM!$N$6:$N$71,$J1696),PARAMETROS_CULTURAS!$B$6:$B$28,0),0))</f>
        <v>4</v>
      </c>
      <c r="Q1696" s="8" t="str">
        <f aca="false">IF($P1696=0,"-",IF($O1696&lt;=INDEX(PARAMETROS_CULTURAS!$F$6:$F$28,$P1696),"INICIAL",IF($O1696&lt;=INDEX(PARAMETROS_CULTURAS!$F$6:$F$28,$P1696)+INDEX(PARAMETROS_CULTURAS!$G$6:$G$28,$P1696),"DESENVOLVIMENTO",IF($O1696&lt;=INDEX(PARAMETROS_CULTURAS!$F$6:$F$28,$P1696)+INDEX(PARAMETROS_CULTURAS!$G$6:$G$28,$P1696)+INDEX(PARAMETROS_CULTURAS!$H$6:$H$28,$P1696),"MEDIA","FINAL"))))</f>
        <v>MEDIA</v>
      </c>
      <c r="R1696" s="24" t="n">
        <f aca="false">IF($P1696=0,0,IF($O1696&lt;=INDEX(PARAMETROS_CULTURAS!$F$6:$F$28,$P1696),INDEX(PARAMETROS_CULTURAS!$K$6:$K$28,$P1696),IF($O1696&lt;=INDEX(PARAMETROS_CULTURAS!$F$6:$F$28,$P1696)+INDEX(PARAMETROS_CULTURAS!$G$6:$G$28,$P1696),INDEX(PARAMETROS_CULTURAS!$K$6:$K$28,$P1696)+(INDEX(PARAMETROS_CULTURAS!$L$6:$L$28,$P1696)-INDEX(PARAMETROS_CULTURAS!$K$6:$K$28,$P1696))*($O1696-INDEX(PARAMETROS_CULTURAS!$F$6:$F$28,$P1696))/MAX(INDEX(PARAMETROS_CULTURAS!$G$6:$G$28,$P1696),0.0001),IF($O1696&lt;=INDEX(PARAMETROS_CULTURAS!$F$6:$F$28,$P1696)+INDEX(PARAMETROS_CULTURAS!$G$6:$G$28,$P1696)+INDEX(PARAMETROS_CULTURAS!$H$6:$H$28,$P1696),INDEX(PARAMETROS_CULTURAS!$L$6:$L$28,$P1696),INDEX(PARAMETROS_CULTURAS!$L$6:$L$28,$P1696)+(INDEX(PARAMETROS_CULTURAS!$M$6:$M$28,$P1696)-INDEX(PARAMETROS_CULTURAS!$L$6:$L$28,$P1696))*($O1696-INDEX(PARAMETROS_CULTURAS!$F$6:$F$28,$P1696)-INDEX(PARAMETROS_CULTURAS!$G$6:$G$28,$P1696)-INDEX(PARAMETROS_CULTURAS!$H$6:$H$28,$P1696))/MAX(INDEX(PARAMETROS_CULTURAS!$I$6:$I$28,$P1696),0.0001)))))</f>
        <v>1.15</v>
      </c>
      <c r="S1696" s="18" t="n">
        <f aca="false">IFERROR(INDEX(SEMANAS!$H$6:$H$71,MATCH($B1696,SEMANAS!$B$6:$B$71,0)),0)</f>
        <v>28</v>
      </c>
      <c r="T1696" s="18" t="n">
        <f aca="false">$R1696*$S1696</f>
        <v>32.2</v>
      </c>
      <c r="U1696" s="18" t="n">
        <f aca="false">IFERROR(INDEX(SEMANAS!$I$6:$I$71,MATCH($B1696,SEMANAS!$B$6:$B$71,0)),0)</f>
        <v>1.19</v>
      </c>
      <c r="V1696" s="18" t="n">
        <f aca="false">IFERROR(INDEX(SEMANAS!$J$6:$J$71,MATCH($B1696,SEMANAS!$B$6:$B$71,0)),0)</f>
        <v>0.952</v>
      </c>
      <c r="W1696" s="18" t="n">
        <f aca="false">MAX(0,$T1696-$V1696)</f>
        <v>31.248</v>
      </c>
      <c r="X1696" s="19" t="n">
        <f aca="false">IFERROR(INDEX(CADASTRO_PIVOS!$K$6:$K$41,MATCH($E1696,CADASTRO_PIVOS!$B$6:$B$41,0)),EFICIENCIA_PADRAO)</f>
        <v>0.85</v>
      </c>
      <c r="Y1696" s="18" t="n">
        <f aca="false">IF($X1696&lt;=0,0,$W1696/$X1696)</f>
        <v>36.7623529411765</v>
      </c>
      <c r="Z1696" s="16" t="n">
        <f aca="false">$Y1696*$H1696*MM_PARA_M3_HA</f>
        <v>55136.1769411765</v>
      </c>
      <c r="AA1696" s="18" t="n">
        <f aca="false">IFERROR(INDEX(CADASTRO_PIVOS!$I$6:$I$41,MATCH($E1696,CADASTRO_PIVOS!$B$6:$B$41,0)),0)</f>
        <v>1071.28571428571</v>
      </c>
      <c r="AB1696" s="18" t="n">
        <f aca="false">IF($Z1696&lt;=0,0,$Z1696/$AA1696)</f>
        <v>51.4672941176471</v>
      </c>
      <c r="AC1696" s="16" t="n">
        <f aca="false">IFERROR(INDEX(SEMANAS!$K$6:$K$71,MATCH($B1696,SEMANAS!$B$6:$B$71,0)),0)</f>
        <v>147</v>
      </c>
      <c r="AD1696" s="19" t="n">
        <f aca="false">IF($AC1696&lt;=0,0,$AB1696/$AC1696)</f>
        <v>0.350117647058824</v>
      </c>
      <c r="AE1696" s="8" t="str">
        <f aca="false">IF($K1696="SEM CULTURA","SEM CULTURA",IF($AA1696&lt;=0,"DADO PENDENTE",IF($AD1696&gt;LIMITE_CRITICO,"INVIAVEL",IF($AD1696&gt;LIMITE_ATENCAO,"CRITICO",IF($AD1696&gt;LIMITE_CONFORTAVEL,"ATENCAO","OK")))))</f>
        <v>OK</v>
      </c>
      <c r="AF1696" s="8" t="str">
        <f aca="false">$B1696&amp;"|"&amp;TEXT($AD1696,"0.000000")</f>
        <v>41|0.350118</v>
      </c>
      <c r="AG1696" s="18" t="n">
        <f aca="false">IF($K1696="SEM CULTURA",0,$T1696*$H1696)</f>
        <v>4829.356</v>
      </c>
      <c r="AH1696" s="18" t="n">
        <f aca="false">IF($K1696="SEM CULTURA",0,$V1696*$H1696)</f>
        <v>142.78096</v>
      </c>
      <c r="AI1696" s="18" t="n">
        <f aca="false">IF($K1696="SEM CULTURA",0,$W1696*$H1696)</f>
        <v>4686.57504</v>
      </c>
      <c r="AJ1696" s="18" t="n">
        <f aca="false">IF($K1696="SEM CULTURA",0,$S1696*$H1696)</f>
        <v>4199.44</v>
      </c>
      <c r="AK1696" s="8" t="str">
        <f aca="false">$E1696&amp;"|"&amp;TEXT($AD1696,"0.000000")</f>
        <v>PV 122|0.350118</v>
      </c>
    </row>
    <row r="1697" customFormat="false" ht="15" hidden="false" customHeight="false" outlineLevel="0" collapsed="false">
      <c r="B1697" s="16" t="n">
        <v>42</v>
      </c>
      <c r="C1697" s="17" t="n">
        <f aca="false">DATA_INICIO_SAFRA+($B1697-1)*DIAS_POR_SEMANA</f>
        <v>46552</v>
      </c>
      <c r="D1697" s="17" t="n">
        <f aca="false">$C1697+DIAS_POR_SEMANA-1</f>
        <v>46558</v>
      </c>
      <c r="E1697" s="15" t="s">
        <v>284</v>
      </c>
      <c r="F1697" s="8" t="str">
        <f aca="false">IFERROR(INDEX(CADASTRO_PIVOS!$C$6:$C$41,MATCH($E1697,CADASTRO_PIVOS!$B$6:$B$41,0)),"?")</f>
        <v>RM07</v>
      </c>
      <c r="G1697" s="8" t="str">
        <f aca="false">IFERROR(INDEX(CADASTRO_PIVOS!$D$6:$D$41,MATCH($E1697,CADASTRO_PIVOS!$B$6:$B$41,0)),"?")</f>
        <v>TR07</v>
      </c>
      <c r="H1697" s="20" t="n">
        <f aca="false">IFERROR(INDEX(CADASTRO_PIVOS!$E$6:$E$41,MATCH($E1697,CADASTRO_PIVOS!$B$6:$B$41,0)),0)</f>
        <v>149.98</v>
      </c>
      <c r="I1697" s="16" t="n">
        <f aca="false">IFERROR(SUMIFS(ROTACAO_RDM!$B$6:$B$71,ROTACAO_RDM!$D$6:$D$71,$E1697,ROTACAO_RDM!$I$6:$I$71,"&lt;="&amp;$C1697+INT(DIAS_POR_SEMANA/2),ROTACAO_RDM!$J$6:$J$71,"&gt;="&amp;$C1697+INT(DIAS_POR_SEMANA/2)),0)</f>
        <v>40</v>
      </c>
      <c r="J1697" s="16" t="n">
        <f aca="false">IFERROR(MATCH($I1697,ROTACAO_RDM!$B$6:$B$71,0),0)</f>
        <v>40</v>
      </c>
      <c r="K1697" s="8" t="str">
        <f aca="false">IF($J1697=0,"SEM CULTURA",INDEX(ROTACAO_RDM!$F$6:$F$71,$J1697))</f>
        <v>ALGODAO</v>
      </c>
      <c r="L1697" s="8" t="str">
        <f aca="false">IF($J1697=0,"",INDEX(ROTACAO_RDM!$G$6:$G$71,$J1697))</f>
        <v>FM 911 GLTP</v>
      </c>
      <c r="M1697" s="17" t="n">
        <f aca="false">IF($J1697=0,"",INDEX(ROTACAO_RDM!$I$6:$I$71,$J1697))</f>
        <v>46417</v>
      </c>
      <c r="N1697" s="16" t="n">
        <f aca="false">IF($J1697=0,0,MAX(0,$C1697+INT(DIAS_POR_SEMANA/2)-INDEX(ROTACAO_RDM!$I$6:$I$71,$J1697)))</f>
        <v>138</v>
      </c>
      <c r="O1697" s="19" t="n">
        <f aca="false">IF($J1697=0,0,MIN(1,$N1697/MAX(1,INDEX(ROTACAO_RDM!$K$6:$K$71,$J1697))))</f>
        <v>0.766666666666667</v>
      </c>
      <c r="P1697" s="16" t="n">
        <f aca="false">IF($J1697=0,0,IFERROR(MATCH(INDEX(ROTACAO_RDM!$N$6:$N$71,$J1697),PARAMETROS_CULTURAS!$B$6:$B$28,0),0))</f>
        <v>4</v>
      </c>
      <c r="Q1697" s="8" t="str">
        <f aca="false">IF($P1697=0,"-",IF($O1697&lt;=INDEX(PARAMETROS_CULTURAS!$F$6:$F$28,$P1697),"INICIAL",IF($O1697&lt;=INDEX(PARAMETROS_CULTURAS!$F$6:$F$28,$P1697)+INDEX(PARAMETROS_CULTURAS!$G$6:$G$28,$P1697),"DESENVOLVIMENTO",IF($O1697&lt;=INDEX(PARAMETROS_CULTURAS!$F$6:$F$28,$P1697)+INDEX(PARAMETROS_CULTURAS!$G$6:$G$28,$P1697)+INDEX(PARAMETROS_CULTURAS!$H$6:$H$28,$P1697),"MEDIA","FINAL"))))</f>
        <v>FINAL</v>
      </c>
      <c r="R1697" s="24" t="n">
        <f aca="false">IF($P1697=0,0,IF($O1697&lt;=INDEX(PARAMETROS_CULTURAS!$F$6:$F$28,$P1697),INDEX(PARAMETROS_CULTURAS!$K$6:$K$28,$P1697),IF($O1697&lt;=INDEX(PARAMETROS_CULTURAS!$F$6:$F$28,$P1697)+INDEX(PARAMETROS_CULTURAS!$G$6:$G$28,$P1697),INDEX(PARAMETROS_CULTURAS!$K$6:$K$28,$P1697)+(INDEX(PARAMETROS_CULTURAS!$L$6:$L$28,$P1697)-INDEX(PARAMETROS_CULTURAS!$K$6:$K$28,$P1697))*($O1697-INDEX(PARAMETROS_CULTURAS!$F$6:$F$28,$P1697))/MAX(INDEX(PARAMETROS_CULTURAS!$G$6:$G$28,$P1697),0.0001),IF($O1697&lt;=INDEX(PARAMETROS_CULTURAS!$F$6:$F$28,$P1697)+INDEX(PARAMETROS_CULTURAS!$G$6:$G$28,$P1697)+INDEX(PARAMETROS_CULTURAS!$H$6:$H$28,$P1697),INDEX(PARAMETROS_CULTURAS!$L$6:$L$28,$P1697),INDEX(PARAMETROS_CULTURAS!$L$6:$L$28,$P1697)+(INDEX(PARAMETROS_CULTURAS!$M$6:$M$28,$P1697)-INDEX(PARAMETROS_CULTURAS!$L$6:$L$28,$P1697))*($O1697-INDEX(PARAMETROS_CULTURAS!$F$6:$F$28,$P1697)-INDEX(PARAMETROS_CULTURAS!$G$6:$G$28,$P1697)-INDEX(PARAMETROS_CULTURAS!$H$6:$H$28,$P1697))/MAX(INDEX(PARAMETROS_CULTURAS!$I$6:$I$28,$P1697),0.0001)))))</f>
        <v>1.11333333333333</v>
      </c>
      <c r="S1697" s="18" t="n">
        <f aca="false">IFERROR(INDEX(SEMANAS!$H$6:$H$71,MATCH($B1697,SEMANAS!$B$6:$B$71,0)),0)</f>
        <v>28</v>
      </c>
      <c r="T1697" s="18" t="n">
        <f aca="false">$R1697*$S1697</f>
        <v>31.1733333333333</v>
      </c>
      <c r="U1697" s="18" t="n">
        <f aca="false">IFERROR(INDEX(SEMANAS!$I$6:$I$71,MATCH($B1697,SEMANAS!$B$6:$B$71,0)),0)</f>
        <v>1.19</v>
      </c>
      <c r="V1697" s="18" t="n">
        <f aca="false">IFERROR(INDEX(SEMANAS!$J$6:$J$71,MATCH($B1697,SEMANAS!$B$6:$B$71,0)),0)</f>
        <v>0.952</v>
      </c>
      <c r="W1697" s="18" t="n">
        <f aca="false">MAX(0,$T1697-$V1697)</f>
        <v>30.2213333333333</v>
      </c>
      <c r="X1697" s="19" t="n">
        <f aca="false">IFERROR(INDEX(CADASTRO_PIVOS!$K$6:$K$41,MATCH($E1697,CADASTRO_PIVOS!$B$6:$B$41,0)),EFICIENCIA_PADRAO)</f>
        <v>0.85</v>
      </c>
      <c r="Y1697" s="18" t="n">
        <f aca="false">IF($X1697&lt;=0,0,$W1697/$X1697)</f>
        <v>35.5545098039216</v>
      </c>
      <c r="Z1697" s="16" t="n">
        <f aca="false">$Y1697*$H1697*MM_PARA_M3_HA</f>
        <v>53324.6538039216</v>
      </c>
      <c r="AA1697" s="18" t="n">
        <f aca="false">IFERROR(INDEX(CADASTRO_PIVOS!$I$6:$I$41,MATCH($E1697,CADASTRO_PIVOS!$B$6:$B$41,0)),0)</f>
        <v>1071.28571428571</v>
      </c>
      <c r="AB1697" s="18" t="n">
        <f aca="false">IF($Z1697&lt;=0,0,$Z1697/$AA1697)</f>
        <v>49.7763137254902</v>
      </c>
      <c r="AC1697" s="16" t="n">
        <f aca="false">IFERROR(INDEX(SEMANAS!$K$6:$K$71,MATCH($B1697,SEMANAS!$B$6:$B$71,0)),0)</f>
        <v>147</v>
      </c>
      <c r="AD1697" s="19" t="n">
        <f aca="false">IF($AC1697&lt;=0,0,$AB1697/$AC1697)</f>
        <v>0.338614379084967</v>
      </c>
      <c r="AE1697" s="8" t="str">
        <f aca="false">IF($K1697="SEM CULTURA","SEM CULTURA",IF($AA1697&lt;=0,"DADO PENDENTE",IF($AD1697&gt;LIMITE_CRITICO,"INVIAVEL",IF($AD1697&gt;LIMITE_ATENCAO,"CRITICO",IF($AD1697&gt;LIMITE_CONFORTAVEL,"ATENCAO","OK")))))</f>
        <v>OK</v>
      </c>
      <c r="AF1697" s="8" t="str">
        <f aca="false">$B1697&amp;"|"&amp;TEXT($AD1697,"0.000000")</f>
        <v>42|0.338614</v>
      </c>
      <c r="AG1697" s="18" t="n">
        <f aca="false">IF($K1697="SEM CULTURA",0,$T1697*$H1697)</f>
        <v>4675.37653333333</v>
      </c>
      <c r="AH1697" s="18" t="n">
        <f aca="false">IF($K1697="SEM CULTURA",0,$V1697*$H1697)</f>
        <v>142.78096</v>
      </c>
      <c r="AI1697" s="18" t="n">
        <f aca="false">IF($K1697="SEM CULTURA",0,$W1697*$H1697)</f>
        <v>4532.59557333333</v>
      </c>
      <c r="AJ1697" s="18" t="n">
        <f aca="false">IF($K1697="SEM CULTURA",0,$S1697*$H1697)</f>
        <v>4199.44</v>
      </c>
      <c r="AK1697" s="8" t="str">
        <f aca="false">$E1697&amp;"|"&amp;TEXT($AD1697,"0.000000")</f>
        <v>PV 122|0.338614</v>
      </c>
    </row>
    <row r="1698" customFormat="false" ht="15" hidden="false" customHeight="false" outlineLevel="0" collapsed="false">
      <c r="B1698" s="16" t="n">
        <v>43</v>
      </c>
      <c r="C1698" s="17" t="n">
        <f aca="false">DATA_INICIO_SAFRA+($B1698-1)*DIAS_POR_SEMANA</f>
        <v>46559</v>
      </c>
      <c r="D1698" s="17" t="n">
        <f aca="false">$C1698+DIAS_POR_SEMANA-1</f>
        <v>46565</v>
      </c>
      <c r="E1698" s="15" t="s">
        <v>284</v>
      </c>
      <c r="F1698" s="8" t="str">
        <f aca="false">IFERROR(INDEX(CADASTRO_PIVOS!$C$6:$C$41,MATCH($E1698,CADASTRO_PIVOS!$B$6:$B$41,0)),"?")</f>
        <v>RM07</v>
      </c>
      <c r="G1698" s="8" t="str">
        <f aca="false">IFERROR(INDEX(CADASTRO_PIVOS!$D$6:$D$41,MATCH($E1698,CADASTRO_PIVOS!$B$6:$B$41,0)),"?")</f>
        <v>TR07</v>
      </c>
      <c r="H1698" s="20" t="n">
        <f aca="false">IFERROR(INDEX(CADASTRO_PIVOS!$E$6:$E$41,MATCH($E1698,CADASTRO_PIVOS!$B$6:$B$41,0)),0)</f>
        <v>149.98</v>
      </c>
      <c r="I1698" s="16" t="n">
        <f aca="false">IFERROR(SUMIFS(ROTACAO_RDM!$B$6:$B$71,ROTACAO_RDM!$D$6:$D$71,$E1698,ROTACAO_RDM!$I$6:$I$71,"&lt;="&amp;$C1698+INT(DIAS_POR_SEMANA/2),ROTACAO_RDM!$J$6:$J$71,"&gt;="&amp;$C1698+INT(DIAS_POR_SEMANA/2)),0)</f>
        <v>40</v>
      </c>
      <c r="J1698" s="16" t="n">
        <f aca="false">IFERROR(MATCH($I1698,ROTACAO_RDM!$B$6:$B$71,0),0)</f>
        <v>40</v>
      </c>
      <c r="K1698" s="8" t="str">
        <f aca="false">IF($J1698=0,"SEM CULTURA",INDEX(ROTACAO_RDM!$F$6:$F$71,$J1698))</f>
        <v>ALGODAO</v>
      </c>
      <c r="L1698" s="8" t="str">
        <f aca="false">IF($J1698=0,"",INDEX(ROTACAO_RDM!$G$6:$G$71,$J1698))</f>
        <v>FM 911 GLTP</v>
      </c>
      <c r="M1698" s="17" t="n">
        <f aca="false">IF($J1698=0,"",INDEX(ROTACAO_RDM!$I$6:$I$71,$J1698))</f>
        <v>46417</v>
      </c>
      <c r="N1698" s="16" t="n">
        <f aca="false">IF($J1698=0,0,MAX(0,$C1698+INT(DIAS_POR_SEMANA/2)-INDEX(ROTACAO_RDM!$I$6:$I$71,$J1698)))</f>
        <v>145</v>
      </c>
      <c r="O1698" s="19" t="n">
        <f aca="false">IF($J1698=0,0,MIN(1,$N1698/MAX(1,INDEX(ROTACAO_RDM!$K$6:$K$71,$J1698))))</f>
        <v>0.805555555555556</v>
      </c>
      <c r="P1698" s="16" t="n">
        <f aca="false">IF($J1698=0,0,IFERROR(MATCH(INDEX(ROTACAO_RDM!$N$6:$N$71,$J1698),PARAMETROS_CULTURAS!$B$6:$B$28,0),0))</f>
        <v>4</v>
      </c>
      <c r="Q1698" s="8" t="str">
        <f aca="false">IF($P1698=0,"-",IF($O1698&lt;=INDEX(PARAMETROS_CULTURAS!$F$6:$F$28,$P1698),"INICIAL",IF($O1698&lt;=INDEX(PARAMETROS_CULTURAS!$F$6:$F$28,$P1698)+INDEX(PARAMETROS_CULTURAS!$G$6:$G$28,$P1698),"DESENVOLVIMENTO",IF($O1698&lt;=INDEX(PARAMETROS_CULTURAS!$F$6:$F$28,$P1698)+INDEX(PARAMETROS_CULTURAS!$G$6:$G$28,$P1698)+INDEX(PARAMETROS_CULTURAS!$H$6:$H$28,$P1698),"MEDIA","FINAL"))))</f>
        <v>FINAL</v>
      </c>
      <c r="R1698" s="24" t="n">
        <f aca="false">IF($P1698=0,0,IF($O1698&lt;=INDEX(PARAMETROS_CULTURAS!$F$6:$F$28,$P1698),INDEX(PARAMETROS_CULTURAS!$K$6:$K$28,$P1698),IF($O1698&lt;=INDEX(PARAMETROS_CULTURAS!$F$6:$F$28,$P1698)+INDEX(PARAMETROS_CULTURAS!$G$6:$G$28,$P1698),INDEX(PARAMETROS_CULTURAS!$K$6:$K$28,$P1698)+(INDEX(PARAMETROS_CULTURAS!$L$6:$L$28,$P1698)-INDEX(PARAMETROS_CULTURAS!$K$6:$K$28,$P1698))*($O1698-INDEX(PARAMETROS_CULTURAS!$F$6:$F$28,$P1698))/MAX(INDEX(PARAMETROS_CULTURAS!$G$6:$G$28,$P1698),0.0001),IF($O1698&lt;=INDEX(PARAMETROS_CULTURAS!$F$6:$F$28,$P1698)+INDEX(PARAMETROS_CULTURAS!$G$6:$G$28,$P1698)+INDEX(PARAMETROS_CULTURAS!$H$6:$H$28,$P1698),INDEX(PARAMETROS_CULTURAS!$L$6:$L$28,$P1698),INDEX(PARAMETROS_CULTURAS!$L$6:$L$28,$P1698)+(INDEX(PARAMETROS_CULTURAS!$M$6:$M$28,$P1698)-INDEX(PARAMETROS_CULTURAS!$L$6:$L$28,$P1698))*($O1698-INDEX(PARAMETROS_CULTURAS!$F$6:$F$28,$P1698)-INDEX(PARAMETROS_CULTURAS!$G$6:$G$28,$P1698)-INDEX(PARAMETROS_CULTURAS!$H$6:$H$28,$P1698))/MAX(INDEX(PARAMETROS_CULTURAS!$I$6:$I$28,$P1698),0.0001)))))</f>
        <v>1.02777777777778</v>
      </c>
      <c r="S1698" s="18" t="n">
        <f aca="false">IFERROR(INDEX(SEMANAS!$H$6:$H$71,MATCH($B1698,SEMANAS!$B$6:$B$71,0)),0)</f>
        <v>28</v>
      </c>
      <c r="T1698" s="18" t="n">
        <f aca="false">$R1698*$S1698</f>
        <v>28.7777777777778</v>
      </c>
      <c r="U1698" s="18" t="n">
        <f aca="false">IFERROR(INDEX(SEMANAS!$I$6:$I$71,MATCH($B1698,SEMANAS!$B$6:$B$71,0)),0)</f>
        <v>1.19</v>
      </c>
      <c r="V1698" s="18" t="n">
        <f aca="false">IFERROR(INDEX(SEMANAS!$J$6:$J$71,MATCH($B1698,SEMANAS!$B$6:$B$71,0)),0)</f>
        <v>0.952</v>
      </c>
      <c r="W1698" s="18" t="n">
        <f aca="false">MAX(0,$T1698-$V1698)</f>
        <v>27.8257777777778</v>
      </c>
      <c r="X1698" s="19" t="n">
        <f aca="false">IFERROR(INDEX(CADASTRO_PIVOS!$K$6:$K$41,MATCH($E1698,CADASTRO_PIVOS!$B$6:$B$41,0)),EFICIENCIA_PADRAO)</f>
        <v>0.85</v>
      </c>
      <c r="Y1698" s="18" t="n">
        <f aca="false">IF($X1698&lt;=0,0,$W1698/$X1698)</f>
        <v>32.7362091503268</v>
      </c>
      <c r="Z1698" s="16" t="n">
        <f aca="false">$Y1698*$H1698*MM_PARA_M3_HA</f>
        <v>49097.7664836601</v>
      </c>
      <c r="AA1698" s="18" t="n">
        <f aca="false">IFERROR(INDEX(CADASTRO_PIVOS!$I$6:$I$41,MATCH($E1698,CADASTRO_PIVOS!$B$6:$B$41,0)),0)</f>
        <v>1071.28571428571</v>
      </c>
      <c r="AB1698" s="18" t="n">
        <f aca="false">IF($Z1698&lt;=0,0,$Z1698/$AA1698)</f>
        <v>45.8306928104575</v>
      </c>
      <c r="AC1698" s="16" t="n">
        <f aca="false">IFERROR(INDEX(SEMANAS!$K$6:$K$71,MATCH($B1698,SEMANAS!$B$6:$B$71,0)),0)</f>
        <v>147</v>
      </c>
      <c r="AD1698" s="19" t="n">
        <f aca="false">IF($AC1698&lt;=0,0,$AB1698/$AC1698)</f>
        <v>0.311773420479303</v>
      </c>
      <c r="AE1698" s="8" t="str">
        <f aca="false">IF($K1698="SEM CULTURA","SEM CULTURA",IF($AA1698&lt;=0,"DADO PENDENTE",IF($AD1698&gt;LIMITE_CRITICO,"INVIAVEL",IF($AD1698&gt;LIMITE_ATENCAO,"CRITICO",IF($AD1698&gt;LIMITE_CONFORTAVEL,"ATENCAO","OK")))))</f>
        <v>OK</v>
      </c>
      <c r="AF1698" s="8" t="str">
        <f aca="false">$B1698&amp;"|"&amp;TEXT($AD1698,"0.000000")</f>
        <v>43|0.311773</v>
      </c>
      <c r="AG1698" s="18" t="n">
        <f aca="false">IF($K1698="SEM CULTURA",0,$T1698*$H1698)</f>
        <v>4316.09111111111</v>
      </c>
      <c r="AH1698" s="18" t="n">
        <f aca="false">IF($K1698="SEM CULTURA",0,$V1698*$H1698)</f>
        <v>142.78096</v>
      </c>
      <c r="AI1698" s="18" t="n">
        <f aca="false">IF($K1698="SEM CULTURA",0,$W1698*$H1698)</f>
        <v>4173.31015111111</v>
      </c>
      <c r="AJ1698" s="18" t="n">
        <f aca="false">IF($K1698="SEM CULTURA",0,$S1698*$H1698)</f>
        <v>4199.44</v>
      </c>
      <c r="AK1698" s="8" t="str">
        <f aca="false">$E1698&amp;"|"&amp;TEXT($AD1698,"0.000000")</f>
        <v>PV 122|0.311773</v>
      </c>
    </row>
    <row r="1699" customFormat="false" ht="15" hidden="false" customHeight="false" outlineLevel="0" collapsed="false">
      <c r="B1699" s="16" t="n">
        <v>44</v>
      </c>
      <c r="C1699" s="17" t="n">
        <f aca="false">DATA_INICIO_SAFRA+($B1699-1)*DIAS_POR_SEMANA</f>
        <v>46566</v>
      </c>
      <c r="D1699" s="17" t="n">
        <f aca="false">$C1699+DIAS_POR_SEMANA-1</f>
        <v>46572</v>
      </c>
      <c r="E1699" s="15" t="s">
        <v>284</v>
      </c>
      <c r="F1699" s="8" t="str">
        <f aca="false">IFERROR(INDEX(CADASTRO_PIVOS!$C$6:$C$41,MATCH($E1699,CADASTRO_PIVOS!$B$6:$B$41,0)),"?")</f>
        <v>RM07</v>
      </c>
      <c r="G1699" s="8" t="str">
        <f aca="false">IFERROR(INDEX(CADASTRO_PIVOS!$D$6:$D$41,MATCH($E1699,CADASTRO_PIVOS!$B$6:$B$41,0)),"?")</f>
        <v>TR07</v>
      </c>
      <c r="H1699" s="20" t="n">
        <f aca="false">IFERROR(INDEX(CADASTRO_PIVOS!$E$6:$E$41,MATCH($E1699,CADASTRO_PIVOS!$B$6:$B$41,0)),0)</f>
        <v>149.98</v>
      </c>
      <c r="I1699" s="16" t="n">
        <f aca="false">IFERROR(SUMIFS(ROTACAO_RDM!$B$6:$B$71,ROTACAO_RDM!$D$6:$D$71,$E1699,ROTACAO_RDM!$I$6:$I$71,"&lt;="&amp;$C1699+INT(DIAS_POR_SEMANA/2),ROTACAO_RDM!$J$6:$J$71,"&gt;="&amp;$C1699+INT(DIAS_POR_SEMANA/2)),0)</f>
        <v>40</v>
      </c>
      <c r="J1699" s="16" t="n">
        <f aca="false">IFERROR(MATCH($I1699,ROTACAO_RDM!$B$6:$B$71,0),0)</f>
        <v>40</v>
      </c>
      <c r="K1699" s="8" t="str">
        <f aca="false">IF($J1699=0,"SEM CULTURA",INDEX(ROTACAO_RDM!$F$6:$F$71,$J1699))</f>
        <v>ALGODAO</v>
      </c>
      <c r="L1699" s="8" t="str">
        <f aca="false">IF($J1699=0,"",INDEX(ROTACAO_RDM!$G$6:$G$71,$J1699))</f>
        <v>FM 911 GLTP</v>
      </c>
      <c r="M1699" s="17" t="n">
        <f aca="false">IF($J1699=0,"",INDEX(ROTACAO_RDM!$I$6:$I$71,$J1699))</f>
        <v>46417</v>
      </c>
      <c r="N1699" s="16" t="n">
        <f aca="false">IF($J1699=0,0,MAX(0,$C1699+INT(DIAS_POR_SEMANA/2)-INDEX(ROTACAO_RDM!$I$6:$I$71,$J1699)))</f>
        <v>152</v>
      </c>
      <c r="O1699" s="19" t="n">
        <f aca="false">IF($J1699=0,0,MIN(1,$N1699/MAX(1,INDEX(ROTACAO_RDM!$K$6:$K$71,$J1699))))</f>
        <v>0.844444444444444</v>
      </c>
      <c r="P1699" s="16" t="n">
        <f aca="false">IF($J1699=0,0,IFERROR(MATCH(INDEX(ROTACAO_RDM!$N$6:$N$71,$J1699),PARAMETROS_CULTURAS!$B$6:$B$28,0),0))</f>
        <v>4</v>
      </c>
      <c r="Q1699" s="8" t="str">
        <f aca="false">IF($P1699=0,"-",IF($O1699&lt;=INDEX(PARAMETROS_CULTURAS!$F$6:$F$28,$P1699),"INICIAL",IF($O1699&lt;=INDEX(PARAMETROS_CULTURAS!$F$6:$F$28,$P1699)+INDEX(PARAMETROS_CULTURAS!$G$6:$G$28,$P1699),"DESENVOLVIMENTO",IF($O1699&lt;=INDEX(PARAMETROS_CULTURAS!$F$6:$F$28,$P1699)+INDEX(PARAMETROS_CULTURAS!$G$6:$G$28,$P1699)+INDEX(PARAMETROS_CULTURAS!$H$6:$H$28,$P1699),"MEDIA","FINAL"))))</f>
        <v>FINAL</v>
      </c>
      <c r="R1699" s="24" t="n">
        <f aca="false">IF($P1699=0,0,IF($O1699&lt;=INDEX(PARAMETROS_CULTURAS!$F$6:$F$28,$P1699),INDEX(PARAMETROS_CULTURAS!$K$6:$K$28,$P1699),IF($O1699&lt;=INDEX(PARAMETROS_CULTURAS!$F$6:$F$28,$P1699)+INDEX(PARAMETROS_CULTURAS!$G$6:$G$28,$P1699),INDEX(PARAMETROS_CULTURAS!$K$6:$K$28,$P1699)+(INDEX(PARAMETROS_CULTURAS!$L$6:$L$28,$P1699)-INDEX(PARAMETROS_CULTURAS!$K$6:$K$28,$P1699))*($O1699-INDEX(PARAMETROS_CULTURAS!$F$6:$F$28,$P1699))/MAX(INDEX(PARAMETROS_CULTURAS!$G$6:$G$28,$P1699),0.0001),IF($O1699&lt;=INDEX(PARAMETROS_CULTURAS!$F$6:$F$28,$P1699)+INDEX(PARAMETROS_CULTURAS!$G$6:$G$28,$P1699)+INDEX(PARAMETROS_CULTURAS!$H$6:$H$28,$P1699),INDEX(PARAMETROS_CULTURAS!$L$6:$L$28,$P1699),INDEX(PARAMETROS_CULTURAS!$L$6:$L$28,$P1699)+(INDEX(PARAMETROS_CULTURAS!$M$6:$M$28,$P1699)-INDEX(PARAMETROS_CULTURAS!$L$6:$L$28,$P1699))*($O1699-INDEX(PARAMETROS_CULTURAS!$F$6:$F$28,$P1699)-INDEX(PARAMETROS_CULTURAS!$G$6:$G$28,$P1699)-INDEX(PARAMETROS_CULTURAS!$H$6:$H$28,$P1699))/MAX(INDEX(PARAMETROS_CULTURAS!$I$6:$I$28,$P1699),0.0001)))))</f>
        <v>0.942222222222222</v>
      </c>
      <c r="S1699" s="18" t="n">
        <f aca="false">IFERROR(INDEX(SEMANAS!$H$6:$H$71,MATCH($B1699,SEMANAS!$B$6:$B$71,0)),0)</f>
        <v>29.2</v>
      </c>
      <c r="T1699" s="18" t="n">
        <f aca="false">$R1699*$S1699</f>
        <v>27.5128888888889</v>
      </c>
      <c r="U1699" s="18" t="n">
        <f aca="false">IFERROR(INDEX(SEMANAS!$I$6:$I$71,MATCH($B1699,SEMANAS!$B$6:$B$71,0)),0)</f>
        <v>0.91</v>
      </c>
      <c r="V1699" s="18" t="n">
        <f aca="false">IFERROR(INDEX(SEMANAS!$J$6:$J$71,MATCH($B1699,SEMANAS!$B$6:$B$71,0)),0)</f>
        <v>0.728</v>
      </c>
      <c r="W1699" s="18" t="n">
        <f aca="false">MAX(0,$T1699-$V1699)</f>
        <v>26.7848888888889</v>
      </c>
      <c r="X1699" s="19" t="n">
        <f aca="false">IFERROR(INDEX(CADASTRO_PIVOS!$K$6:$K$41,MATCH($E1699,CADASTRO_PIVOS!$B$6:$B$41,0)),EFICIENCIA_PADRAO)</f>
        <v>0.85</v>
      </c>
      <c r="Y1699" s="18" t="n">
        <f aca="false">IF($X1699&lt;=0,0,$W1699/$X1699)</f>
        <v>31.5116339869281</v>
      </c>
      <c r="Z1699" s="16" t="n">
        <f aca="false">$Y1699*$H1699*MM_PARA_M3_HA</f>
        <v>47261.1486535948</v>
      </c>
      <c r="AA1699" s="18" t="n">
        <f aca="false">IFERROR(INDEX(CADASTRO_PIVOS!$I$6:$I$41,MATCH($E1699,CADASTRO_PIVOS!$B$6:$B$41,0)),0)</f>
        <v>1071.28571428571</v>
      </c>
      <c r="AB1699" s="18" t="n">
        <f aca="false">IF($Z1699&lt;=0,0,$Z1699/$AA1699)</f>
        <v>44.1162875816994</v>
      </c>
      <c r="AC1699" s="16" t="n">
        <f aca="false">IFERROR(INDEX(SEMANAS!$K$6:$K$71,MATCH($B1699,SEMANAS!$B$6:$B$71,0)),0)</f>
        <v>147</v>
      </c>
      <c r="AD1699" s="19" t="n">
        <f aca="false">IF($AC1699&lt;=0,0,$AB1699/$AC1699)</f>
        <v>0.300110799875506</v>
      </c>
      <c r="AE1699" s="8" t="str">
        <f aca="false">IF($K1699="SEM CULTURA","SEM CULTURA",IF($AA1699&lt;=0,"DADO PENDENTE",IF($AD1699&gt;LIMITE_CRITICO,"INVIAVEL",IF($AD1699&gt;LIMITE_ATENCAO,"CRITICO",IF($AD1699&gt;LIMITE_CONFORTAVEL,"ATENCAO","OK")))))</f>
        <v>OK</v>
      </c>
      <c r="AF1699" s="8" t="str">
        <f aca="false">$B1699&amp;"|"&amp;TEXT($AD1699,"0.000000")</f>
        <v>44|0.300111</v>
      </c>
      <c r="AG1699" s="18" t="n">
        <f aca="false">IF($K1699="SEM CULTURA",0,$T1699*$H1699)</f>
        <v>4126.38307555556</v>
      </c>
      <c r="AH1699" s="18" t="n">
        <f aca="false">IF($K1699="SEM CULTURA",0,$V1699*$H1699)</f>
        <v>109.18544</v>
      </c>
      <c r="AI1699" s="18" t="n">
        <f aca="false">IF($K1699="SEM CULTURA",0,$W1699*$H1699)</f>
        <v>4017.19763555556</v>
      </c>
      <c r="AJ1699" s="18" t="n">
        <f aca="false">IF($K1699="SEM CULTURA",0,$S1699*$H1699)</f>
        <v>4379.416</v>
      </c>
      <c r="AK1699" s="8" t="str">
        <f aca="false">$E1699&amp;"|"&amp;TEXT($AD1699,"0.000000")</f>
        <v>PV 122|0.300111</v>
      </c>
    </row>
    <row r="1700" customFormat="false" ht="15" hidden="false" customHeight="false" outlineLevel="0" collapsed="false">
      <c r="B1700" s="16" t="n">
        <v>45</v>
      </c>
      <c r="C1700" s="17" t="n">
        <f aca="false">DATA_INICIO_SAFRA+($B1700-1)*DIAS_POR_SEMANA</f>
        <v>46573</v>
      </c>
      <c r="D1700" s="17" t="n">
        <f aca="false">$C1700+DIAS_POR_SEMANA-1</f>
        <v>46579</v>
      </c>
      <c r="E1700" s="15" t="s">
        <v>284</v>
      </c>
      <c r="F1700" s="8" t="str">
        <f aca="false">IFERROR(INDEX(CADASTRO_PIVOS!$C$6:$C$41,MATCH($E1700,CADASTRO_PIVOS!$B$6:$B$41,0)),"?")</f>
        <v>RM07</v>
      </c>
      <c r="G1700" s="8" t="str">
        <f aca="false">IFERROR(INDEX(CADASTRO_PIVOS!$D$6:$D$41,MATCH($E1700,CADASTRO_PIVOS!$B$6:$B$41,0)),"?")</f>
        <v>TR07</v>
      </c>
      <c r="H1700" s="20" t="n">
        <f aca="false">IFERROR(INDEX(CADASTRO_PIVOS!$E$6:$E$41,MATCH($E1700,CADASTRO_PIVOS!$B$6:$B$41,0)),0)</f>
        <v>149.98</v>
      </c>
      <c r="I1700" s="16" t="n">
        <f aca="false">IFERROR(SUMIFS(ROTACAO_RDM!$B$6:$B$71,ROTACAO_RDM!$D$6:$D$71,$E1700,ROTACAO_RDM!$I$6:$I$71,"&lt;="&amp;$C1700+INT(DIAS_POR_SEMANA/2),ROTACAO_RDM!$J$6:$J$71,"&gt;="&amp;$C1700+INT(DIAS_POR_SEMANA/2)),0)</f>
        <v>40</v>
      </c>
      <c r="J1700" s="16" t="n">
        <f aca="false">IFERROR(MATCH($I1700,ROTACAO_RDM!$B$6:$B$71,0),0)</f>
        <v>40</v>
      </c>
      <c r="K1700" s="8" t="str">
        <f aca="false">IF($J1700=0,"SEM CULTURA",INDEX(ROTACAO_RDM!$F$6:$F$71,$J1700))</f>
        <v>ALGODAO</v>
      </c>
      <c r="L1700" s="8" t="str">
        <f aca="false">IF($J1700=0,"",INDEX(ROTACAO_RDM!$G$6:$G$71,$J1700))</f>
        <v>FM 911 GLTP</v>
      </c>
      <c r="M1700" s="17" t="n">
        <f aca="false">IF($J1700=0,"",INDEX(ROTACAO_RDM!$I$6:$I$71,$J1700))</f>
        <v>46417</v>
      </c>
      <c r="N1700" s="16" t="n">
        <f aca="false">IF($J1700=0,0,MAX(0,$C1700+INT(DIAS_POR_SEMANA/2)-INDEX(ROTACAO_RDM!$I$6:$I$71,$J1700)))</f>
        <v>159</v>
      </c>
      <c r="O1700" s="19" t="n">
        <f aca="false">IF($J1700=0,0,MIN(1,$N1700/MAX(1,INDEX(ROTACAO_RDM!$K$6:$K$71,$J1700))))</f>
        <v>0.883333333333333</v>
      </c>
      <c r="P1700" s="16" t="n">
        <f aca="false">IF($J1700=0,0,IFERROR(MATCH(INDEX(ROTACAO_RDM!$N$6:$N$71,$J1700),PARAMETROS_CULTURAS!$B$6:$B$28,0),0))</f>
        <v>4</v>
      </c>
      <c r="Q1700" s="8" t="str">
        <f aca="false">IF($P1700=0,"-",IF($O1700&lt;=INDEX(PARAMETROS_CULTURAS!$F$6:$F$28,$P1700),"INICIAL",IF($O1700&lt;=INDEX(PARAMETROS_CULTURAS!$F$6:$F$28,$P1700)+INDEX(PARAMETROS_CULTURAS!$G$6:$G$28,$P1700),"DESENVOLVIMENTO",IF($O1700&lt;=INDEX(PARAMETROS_CULTURAS!$F$6:$F$28,$P1700)+INDEX(PARAMETROS_CULTURAS!$G$6:$G$28,$P1700)+INDEX(PARAMETROS_CULTURAS!$H$6:$H$28,$P1700),"MEDIA","FINAL"))))</f>
        <v>FINAL</v>
      </c>
      <c r="R1700" s="24" t="n">
        <f aca="false">IF($P1700=0,0,IF($O1700&lt;=INDEX(PARAMETROS_CULTURAS!$F$6:$F$28,$P1700),INDEX(PARAMETROS_CULTURAS!$K$6:$K$28,$P1700),IF($O1700&lt;=INDEX(PARAMETROS_CULTURAS!$F$6:$F$28,$P1700)+INDEX(PARAMETROS_CULTURAS!$G$6:$G$28,$P1700),INDEX(PARAMETROS_CULTURAS!$K$6:$K$28,$P1700)+(INDEX(PARAMETROS_CULTURAS!$L$6:$L$28,$P1700)-INDEX(PARAMETROS_CULTURAS!$K$6:$K$28,$P1700))*($O1700-INDEX(PARAMETROS_CULTURAS!$F$6:$F$28,$P1700))/MAX(INDEX(PARAMETROS_CULTURAS!$G$6:$G$28,$P1700),0.0001),IF($O1700&lt;=INDEX(PARAMETROS_CULTURAS!$F$6:$F$28,$P1700)+INDEX(PARAMETROS_CULTURAS!$G$6:$G$28,$P1700)+INDEX(PARAMETROS_CULTURAS!$H$6:$H$28,$P1700),INDEX(PARAMETROS_CULTURAS!$L$6:$L$28,$P1700),INDEX(PARAMETROS_CULTURAS!$L$6:$L$28,$P1700)+(INDEX(PARAMETROS_CULTURAS!$M$6:$M$28,$P1700)-INDEX(PARAMETROS_CULTURAS!$L$6:$L$28,$P1700))*($O1700-INDEX(PARAMETROS_CULTURAS!$F$6:$F$28,$P1700)-INDEX(PARAMETROS_CULTURAS!$G$6:$G$28,$P1700)-INDEX(PARAMETROS_CULTURAS!$H$6:$H$28,$P1700))/MAX(INDEX(PARAMETROS_CULTURAS!$I$6:$I$28,$P1700),0.0001)))))</f>
        <v>0.856666666666667</v>
      </c>
      <c r="S1700" s="18" t="n">
        <f aca="false">IFERROR(INDEX(SEMANAS!$H$6:$H$71,MATCH($B1700,SEMANAS!$B$6:$B$71,0)),0)</f>
        <v>30.1</v>
      </c>
      <c r="T1700" s="18" t="n">
        <f aca="false">$R1700*$S1700</f>
        <v>25.7856666666667</v>
      </c>
      <c r="U1700" s="18" t="n">
        <f aca="false">IFERROR(INDEX(SEMANAS!$I$6:$I$71,MATCH($B1700,SEMANAS!$B$6:$B$71,0)),0)</f>
        <v>0.7</v>
      </c>
      <c r="V1700" s="18" t="n">
        <f aca="false">IFERROR(INDEX(SEMANAS!$J$6:$J$71,MATCH($B1700,SEMANAS!$B$6:$B$71,0)),0)</f>
        <v>0.56</v>
      </c>
      <c r="W1700" s="18" t="n">
        <f aca="false">MAX(0,$T1700-$V1700)</f>
        <v>25.2256666666667</v>
      </c>
      <c r="X1700" s="19" t="n">
        <f aca="false">IFERROR(INDEX(CADASTRO_PIVOS!$K$6:$K$41,MATCH($E1700,CADASTRO_PIVOS!$B$6:$B$41,0)),EFICIENCIA_PADRAO)</f>
        <v>0.85</v>
      </c>
      <c r="Y1700" s="18" t="n">
        <f aca="false">IF($X1700&lt;=0,0,$W1700/$X1700)</f>
        <v>29.6772549019608</v>
      </c>
      <c r="Z1700" s="16" t="n">
        <f aca="false">$Y1700*$H1700*MM_PARA_M3_HA</f>
        <v>44509.9469019608</v>
      </c>
      <c r="AA1700" s="18" t="n">
        <f aca="false">IFERROR(INDEX(CADASTRO_PIVOS!$I$6:$I$41,MATCH($E1700,CADASTRO_PIVOS!$B$6:$B$41,0)),0)</f>
        <v>1071.28571428571</v>
      </c>
      <c r="AB1700" s="18" t="n">
        <f aca="false">IF($Z1700&lt;=0,0,$Z1700/$AA1700)</f>
        <v>41.5481568627451</v>
      </c>
      <c r="AC1700" s="16" t="n">
        <f aca="false">IFERROR(INDEX(SEMANAS!$K$6:$K$71,MATCH($B1700,SEMANAS!$B$6:$B$71,0)),0)</f>
        <v>147</v>
      </c>
      <c r="AD1700" s="19" t="n">
        <f aca="false">IF($AC1700&lt;=0,0,$AB1700/$AC1700)</f>
        <v>0.282640522875817</v>
      </c>
      <c r="AE1700" s="8" t="str">
        <f aca="false">IF($K1700="SEM CULTURA","SEM CULTURA",IF($AA1700&lt;=0,"DADO PENDENTE",IF($AD1700&gt;LIMITE_CRITICO,"INVIAVEL",IF($AD1700&gt;LIMITE_ATENCAO,"CRITICO",IF($AD1700&gt;LIMITE_CONFORTAVEL,"ATENCAO","OK")))))</f>
        <v>OK</v>
      </c>
      <c r="AF1700" s="8" t="str">
        <f aca="false">$B1700&amp;"|"&amp;TEXT($AD1700,"0.000000")</f>
        <v>45|0.282641</v>
      </c>
      <c r="AG1700" s="18" t="n">
        <f aca="false">IF($K1700="SEM CULTURA",0,$T1700*$H1700)</f>
        <v>3867.33428666667</v>
      </c>
      <c r="AH1700" s="18" t="n">
        <f aca="false">IF($K1700="SEM CULTURA",0,$V1700*$H1700)</f>
        <v>83.9888</v>
      </c>
      <c r="AI1700" s="18" t="n">
        <f aca="false">IF($K1700="SEM CULTURA",0,$W1700*$H1700)</f>
        <v>3783.34548666667</v>
      </c>
      <c r="AJ1700" s="18" t="n">
        <f aca="false">IF($K1700="SEM CULTURA",0,$S1700*$H1700)</f>
        <v>4514.398</v>
      </c>
      <c r="AK1700" s="8" t="str">
        <f aca="false">$E1700&amp;"|"&amp;TEXT($AD1700,"0.000000")</f>
        <v>PV 122|0.282641</v>
      </c>
    </row>
    <row r="1701" customFormat="false" ht="15" hidden="false" customHeight="false" outlineLevel="0" collapsed="false">
      <c r="B1701" s="16" t="n">
        <v>46</v>
      </c>
      <c r="C1701" s="17" t="n">
        <f aca="false">DATA_INICIO_SAFRA+($B1701-1)*DIAS_POR_SEMANA</f>
        <v>46580</v>
      </c>
      <c r="D1701" s="17" t="n">
        <f aca="false">$C1701+DIAS_POR_SEMANA-1</f>
        <v>46586</v>
      </c>
      <c r="E1701" s="15" t="s">
        <v>284</v>
      </c>
      <c r="F1701" s="8" t="str">
        <f aca="false">IFERROR(INDEX(CADASTRO_PIVOS!$C$6:$C$41,MATCH($E1701,CADASTRO_PIVOS!$B$6:$B$41,0)),"?")</f>
        <v>RM07</v>
      </c>
      <c r="G1701" s="8" t="str">
        <f aca="false">IFERROR(INDEX(CADASTRO_PIVOS!$D$6:$D$41,MATCH($E1701,CADASTRO_PIVOS!$B$6:$B$41,0)),"?")</f>
        <v>TR07</v>
      </c>
      <c r="H1701" s="20" t="n">
        <f aca="false">IFERROR(INDEX(CADASTRO_PIVOS!$E$6:$E$41,MATCH($E1701,CADASTRO_PIVOS!$B$6:$B$41,0)),0)</f>
        <v>149.98</v>
      </c>
      <c r="I1701" s="16" t="n">
        <f aca="false">IFERROR(SUMIFS(ROTACAO_RDM!$B$6:$B$71,ROTACAO_RDM!$D$6:$D$71,$E1701,ROTACAO_RDM!$I$6:$I$71,"&lt;="&amp;$C1701+INT(DIAS_POR_SEMANA/2),ROTACAO_RDM!$J$6:$J$71,"&gt;="&amp;$C1701+INT(DIAS_POR_SEMANA/2)),0)</f>
        <v>40</v>
      </c>
      <c r="J1701" s="16" t="n">
        <f aca="false">IFERROR(MATCH($I1701,ROTACAO_RDM!$B$6:$B$71,0),0)</f>
        <v>40</v>
      </c>
      <c r="K1701" s="8" t="str">
        <f aca="false">IF($J1701=0,"SEM CULTURA",INDEX(ROTACAO_RDM!$F$6:$F$71,$J1701))</f>
        <v>ALGODAO</v>
      </c>
      <c r="L1701" s="8" t="str">
        <f aca="false">IF($J1701=0,"",INDEX(ROTACAO_RDM!$G$6:$G$71,$J1701))</f>
        <v>FM 911 GLTP</v>
      </c>
      <c r="M1701" s="17" t="n">
        <f aca="false">IF($J1701=0,"",INDEX(ROTACAO_RDM!$I$6:$I$71,$J1701))</f>
        <v>46417</v>
      </c>
      <c r="N1701" s="16" t="n">
        <f aca="false">IF($J1701=0,0,MAX(0,$C1701+INT(DIAS_POR_SEMANA/2)-INDEX(ROTACAO_RDM!$I$6:$I$71,$J1701)))</f>
        <v>166</v>
      </c>
      <c r="O1701" s="19" t="n">
        <f aca="false">IF($J1701=0,0,MIN(1,$N1701/MAX(1,INDEX(ROTACAO_RDM!$K$6:$K$71,$J1701))))</f>
        <v>0.922222222222222</v>
      </c>
      <c r="P1701" s="16" t="n">
        <f aca="false">IF($J1701=0,0,IFERROR(MATCH(INDEX(ROTACAO_RDM!$N$6:$N$71,$J1701),PARAMETROS_CULTURAS!$B$6:$B$28,0),0))</f>
        <v>4</v>
      </c>
      <c r="Q1701" s="8" t="str">
        <f aca="false">IF($P1701=0,"-",IF($O1701&lt;=INDEX(PARAMETROS_CULTURAS!$F$6:$F$28,$P1701),"INICIAL",IF($O1701&lt;=INDEX(PARAMETROS_CULTURAS!$F$6:$F$28,$P1701)+INDEX(PARAMETROS_CULTURAS!$G$6:$G$28,$P1701),"DESENVOLVIMENTO",IF($O1701&lt;=INDEX(PARAMETROS_CULTURAS!$F$6:$F$28,$P1701)+INDEX(PARAMETROS_CULTURAS!$G$6:$G$28,$P1701)+INDEX(PARAMETROS_CULTURAS!$H$6:$H$28,$P1701),"MEDIA","FINAL"))))</f>
        <v>FINAL</v>
      </c>
      <c r="R1701" s="24" t="n">
        <f aca="false">IF($P1701=0,0,IF($O1701&lt;=INDEX(PARAMETROS_CULTURAS!$F$6:$F$28,$P1701),INDEX(PARAMETROS_CULTURAS!$K$6:$K$28,$P1701),IF($O1701&lt;=INDEX(PARAMETROS_CULTURAS!$F$6:$F$28,$P1701)+INDEX(PARAMETROS_CULTURAS!$G$6:$G$28,$P1701),INDEX(PARAMETROS_CULTURAS!$K$6:$K$28,$P1701)+(INDEX(PARAMETROS_CULTURAS!$L$6:$L$28,$P1701)-INDEX(PARAMETROS_CULTURAS!$K$6:$K$28,$P1701))*($O1701-INDEX(PARAMETROS_CULTURAS!$F$6:$F$28,$P1701))/MAX(INDEX(PARAMETROS_CULTURAS!$G$6:$G$28,$P1701),0.0001),IF($O1701&lt;=INDEX(PARAMETROS_CULTURAS!$F$6:$F$28,$P1701)+INDEX(PARAMETROS_CULTURAS!$G$6:$G$28,$P1701)+INDEX(PARAMETROS_CULTURAS!$H$6:$H$28,$P1701),INDEX(PARAMETROS_CULTURAS!$L$6:$L$28,$P1701),INDEX(PARAMETROS_CULTURAS!$L$6:$L$28,$P1701)+(INDEX(PARAMETROS_CULTURAS!$M$6:$M$28,$P1701)-INDEX(PARAMETROS_CULTURAS!$L$6:$L$28,$P1701))*($O1701-INDEX(PARAMETROS_CULTURAS!$F$6:$F$28,$P1701)-INDEX(PARAMETROS_CULTURAS!$G$6:$G$28,$P1701)-INDEX(PARAMETROS_CULTURAS!$H$6:$H$28,$P1701))/MAX(INDEX(PARAMETROS_CULTURAS!$I$6:$I$28,$P1701),0.0001)))))</f>
        <v>0.771111111111111</v>
      </c>
      <c r="S1701" s="18" t="n">
        <f aca="false">IFERROR(INDEX(SEMANAS!$H$6:$H$71,MATCH($B1701,SEMANAS!$B$6:$B$71,0)),0)</f>
        <v>30.1</v>
      </c>
      <c r="T1701" s="18" t="n">
        <f aca="false">$R1701*$S1701</f>
        <v>23.2104444444444</v>
      </c>
      <c r="U1701" s="18" t="n">
        <f aca="false">IFERROR(INDEX(SEMANAS!$I$6:$I$71,MATCH($B1701,SEMANAS!$B$6:$B$71,0)),0)</f>
        <v>0.7</v>
      </c>
      <c r="V1701" s="18" t="n">
        <f aca="false">IFERROR(INDEX(SEMANAS!$J$6:$J$71,MATCH($B1701,SEMANAS!$B$6:$B$71,0)),0)</f>
        <v>0.56</v>
      </c>
      <c r="W1701" s="18" t="n">
        <f aca="false">MAX(0,$T1701-$V1701)</f>
        <v>22.6504444444444</v>
      </c>
      <c r="X1701" s="19" t="n">
        <f aca="false">IFERROR(INDEX(CADASTRO_PIVOS!$K$6:$K$41,MATCH($E1701,CADASTRO_PIVOS!$B$6:$B$41,0)),EFICIENCIA_PADRAO)</f>
        <v>0.85</v>
      </c>
      <c r="Y1701" s="18" t="n">
        <f aca="false">IF($X1701&lt;=0,0,$W1701/$X1701)</f>
        <v>26.6475816993464</v>
      </c>
      <c r="Z1701" s="16" t="n">
        <f aca="false">$Y1701*$H1701*MM_PARA_M3_HA</f>
        <v>39966.0430326797</v>
      </c>
      <c r="AA1701" s="18" t="n">
        <f aca="false">IFERROR(INDEX(CADASTRO_PIVOS!$I$6:$I$41,MATCH($E1701,CADASTRO_PIVOS!$B$6:$B$41,0)),0)</f>
        <v>1071.28571428571</v>
      </c>
      <c r="AB1701" s="18" t="n">
        <f aca="false">IF($Z1701&lt;=0,0,$Z1701/$AA1701)</f>
        <v>37.306614379085</v>
      </c>
      <c r="AC1701" s="16" t="n">
        <f aca="false">IFERROR(INDEX(SEMANAS!$K$6:$K$71,MATCH($B1701,SEMANAS!$B$6:$B$71,0)),0)</f>
        <v>147</v>
      </c>
      <c r="AD1701" s="19" t="n">
        <f aca="false">IF($AC1701&lt;=0,0,$AB1701/$AC1701)</f>
        <v>0.253786492374728</v>
      </c>
      <c r="AE1701" s="8" t="str">
        <f aca="false">IF($K1701="SEM CULTURA","SEM CULTURA",IF($AA1701&lt;=0,"DADO PENDENTE",IF($AD1701&gt;LIMITE_CRITICO,"INVIAVEL",IF($AD1701&gt;LIMITE_ATENCAO,"CRITICO",IF($AD1701&gt;LIMITE_CONFORTAVEL,"ATENCAO","OK")))))</f>
        <v>OK</v>
      </c>
      <c r="AF1701" s="8" t="str">
        <f aca="false">$B1701&amp;"|"&amp;TEXT($AD1701,"0.000000")</f>
        <v>46|0.253786</v>
      </c>
      <c r="AG1701" s="18" t="n">
        <f aca="false">IF($K1701="SEM CULTURA",0,$T1701*$H1701)</f>
        <v>3481.10245777778</v>
      </c>
      <c r="AH1701" s="18" t="n">
        <f aca="false">IF($K1701="SEM CULTURA",0,$V1701*$H1701)</f>
        <v>83.9888</v>
      </c>
      <c r="AI1701" s="18" t="n">
        <f aca="false">IF($K1701="SEM CULTURA",0,$W1701*$H1701)</f>
        <v>3397.11365777778</v>
      </c>
      <c r="AJ1701" s="18" t="n">
        <f aca="false">IF($K1701="SEM CULTURA",0,$S1701*$H1701)</f>
        <v>4514.398</v>
      </c>
      <c r="AK1701" s="8" t="str">
        <f aca="false">$E1701&amp;"|"&amp;TEXT($AD1701,"0.000000")</f>
        <v>PV 122|0.253786</v>
      </c>
    </row>
    <row r="1702" customFormat="false" ht="15" hidden="false" customHeight="false" outlineLevel="0" collapsed="false">
      <c r="B1702" s="16" t="n">
        <v>47</v>
      </c>
      <c r="C1702" s="17" t="n">
        <f aca="false">DATA_INICIO_SAFRA+($B1702-1)*DIAS_POR_SEMANA</f>
        <v>46587</v>
      </c>
      <c r="D1702" s="17" t="n">
        <f aca="false">$C1702+DIAS_POR_SEMANA-1</f>
        <v>46593</v>
      </c>
      <c r="E1702" s="15" t="s">
        <v>284</v>
      </c>
      <c r="F1702" s="8" t="str">
        <f aca="false">IFERROR(INDEX(CADASTRO_PIVOS!$C$6:$C$41,MATCH($E1702,CADASTRO_PIVOS!$B$6:$B$41,0)),"?")</f>
        <v>RM07</v>
      </c>
      <c r="G1702" s="8" t="str">
        <f aca="false">IFERROR(INDEX(CADASTRO_PIVOS!$D$6:$D$41,MATCH($E1702,CADASTRO_PIVOS!$B$6:$B$41,0)),"?")</f>
        <v>TR07</v>
      </c>
      <c r="H1702" s="20" t="n">
        <f aca="false">IFERROR(INDEX(CADASTRO_PIVOS!$E$6:$E$41,MATCH($E1702,CADASTRO_PIVOS!$B$6:$B$41,0)),0)</f>
        <v>149.98</v>
      </c>
      <c r="I1702" s="16" t="n">
        <f aca="false">IFERROR(SUMIFS(ROTACAO_RDM!$B$6:$B$71,ROTACAO_RDM!$D$6:$D$71,$E1702,ROTACAO_RDM!$I$6:$I$71,"&lt;="&amp;$C1702+INT(DIAS_POR_SEMANA/2),ROTACAO_RDM!$J$6:$J$71,"&gt;="&amp;$C1702+INT(DIAS_POR_SEMANA/2)),0)</f>
        <v>40</v>
      </c>
      <c r="J1702" s="16" t="n">
        <f aca="false">IFERROR(MATCH($I1702,ROTACAO_RDM!$B$6:$B$71,0),0)</f>
        <v>40</v>
      </c>
      <c r="K1702" s="8" t="str">
        <f aca="false">IF($J1702=0,"SEM CULTURA",INDEX(ROTACAO_RDM!$F$6:$F$71,$J1702))</f>
        <v>ALGODAO</v>
      </c>
      <c r="L1702" s="8" t="str">
        <f aca="false">IF($J1702=0,"",INDEX(ROTACAO_RDM!$G$6:$G$71,$J1702))</f>
        <v>FM 911 GLTP</v>
      </c>
      <c r="M1702" s="17" t="n">
        <f aca="false">IF($J1702=0,"",INDEX(ROTACAO_RDM!$I$6:$I$71,$J1702))</f>
        <v>46417</v>
      </c>
      <c r="N1702" s="16" t="n">
        <f aca="false">IF($J1702=0,0,MAX(0,$C1702+INT(DIAS_POR_SEMANA/2)-INDEX(ROTACAO_RDM!$I$6:$I$71,$J1702)))</f>
        <v>173</v>
      </c>
      <c r="O1702" s="19" t="n">
        <f aca="false">IF($J1702=0,0,MIN(1,$N1702/MAX(1,INDEX(ROTACAO_RDM!$K$6:$K$71,$J1702))))</f>
        <v>0.961111111111111</v>
      </c>
      <c r="P1702" s="16" t="n">
        <f aca="false">IF($J1702=0,0,IFERROR(MATCH(INDEX(ROTACAO_RDM!$N$6:$N$71,$J1702),PARAMETROS_CULTURAS!$B$6:$B$28,0),0))</f>
        <v>4</v>
      </c>
      <c r="Q1702" s="8" t="str">
        <f aca="false">IF($P1702=0,"-",IF($O1702&lt;=INDEX(PARAMETROS_CULTURAS!$F$6:$F$28,$P1702),"INICIAL",IF($O1702&lt;=INDEX(PARAMETROS_CULTURAS!$F$6:$F$28,$P1702)+INDEX(PARAMETROS_CULTURAS!$G$6:$G$28,$P1702),"DESENVOLVIMENTO",IF($O1702&lt;=INDEX(PARAMETROS_CULTURAS!$F$6:$F$28,$P1702)+INDEX(PARAMETROS_CULTURAS!$G$6:$G$28,$P1702)+INDEX(PARAMETROS_CULTURAS!$H$6:$H$28,$P1702),"MEDIA","FINAL"))))</f>
        <v>FINAL</v>
      </c>
      <c r="R1702" s="24" t="n">
        <f aca="false">IF($P1702=0,0,IF($O1702&lt;=INDEX(PARAMETROS_CULTURAS!$F$6:$F$28,$P1702),INDEX(PARAMETROS_CULTURAS!$K$6:$K$28,$P1702),IF($O1702&lt;=INDEX(PARAMETROS_CULTURAS!$F$6:$F$28,$P1702)+INDEX(PARAMETROS_CULTURAS!$G$6:$G$28,$P1702),INDEX(PARAMETROS_CULTURAS!$K$6:$K$28,$P1702)+(INDEX(PARAMETROS_CULTURAS!$L$6:$L$28,$P1702)-INDEX(PARAMETROS_CULTURAS!$K$6:$K$28,$P1702))*($O1702-INDEX(PARAMETROS_CULTURAS!$F$6:$F$28,$P1702))/MAX(INDEX(PARAMETROS_CULTURAS!$G$6:$G$28,$P1702),0.0001),IF($O1702&lt;=INDEX(PARAMETROS_CULTURAS!$F$6:$F$28,$P1702)+INDEX(PARAMETROS_CULTURAS!$G$6:$G$28,$P1702)+INDEX(PARAMETROS_CULTURAS!$H$6:$H$28,$P1702),INDEX(PARAMETROS_CULTURAS!$L$6:$L$28,$P1702),INDEX(PARAMETROS_CULTURAS!$L$6:$L$28,$P1702)+(INDEX(PARAMETROS_CULTURAS!$M$6:$M$28,$P1702)-INDEX(PARAMETROS_CULTURAS!$L$6:$L$28,$P1702))*($O1702-INDEX(PARAMETROS_CULTURAS!$F$6:$F$28,$P1702)-INDEX(PARAMETROS_CULTURAS!$G$6:$G$28,$P1702)-INDEX(PARAMETROS_CULTURAS!$H$6:$H$28,$P1702))/MAX(INDEX(PARAMETROS_CULTURAS!$I$6:$I$28,$P1702),0.0001)))))</f>
        <v>0.685555555555556</v>
      </c>
      <c r="S1702" s="18" t="n">
        <f aca="false">IFERROR(INDEX(SEMANAS!$H$6:$H$71,MATCH($B1702,SEMANAS!$B$6:$B$71,0)),0)</f>
        <v>30.1</v>
      </c>
      <c r="T1702" s="18" t="n">
        <f aca="false">$R1702*$S1702</f>
        <v>20.6352222222222</v>
      </c>
      <c r="U1702" s="18" t="n">
        <f aca="false">IFERROR(INDEX(SEMANAS!$I$6:$I$71,MATCH($B1702,SEMANAS!$B$6:$B$71,0)),0)</f>
        <v>0.7</v>
      </c>
      <c r="V1702" s="18" t="n">
        <f aca="false">IFERROR(INDEX(SEMANAS!$J$6:$J$71,MATCH($B1702,SEMANAS!$B$6:$B$71,0)),0)</f>
        <v>0.56</v>
      </c>
      <c r="W1702" s="18" t="n">
        <f aca="false">MAX(0,$T1702-$V1702)</f>
        <v>20.0752222222222</v>
      </c>
      <c r="X1702" s="19" t="n">
        <f aca="false">IFERROR(INDEX(CADASTRO_PIVOS!$K$6:$K$41,MATCH($E1702,CADASTRO_PIVOS!$B$6:$B$41,0)),EFICIENCIA_PADRAO)</f>
        <v>0.85</v>
      </c>
      <c r="Y1702" s="18" t="n">
        <f aca="false">IF($X1702&lt;=0,0,$W1702/$X1702)</f>
        <v>23.617908496732</v>
      </c>
      <c r="Z1702" s="16" t="n">
        <f aca="false">$Y1702*$H1702*MM_PARA_M3_HA</f>
        <v>35422.1391633987</v>
      </c>
      <c r="AA1702" s="18" t="n">
        <f aca="false">IFERROR(INDEX(CADASTRO_PIVOS!$I$6:$I$41,MATCH($E1702,CADASTRO_PIVOS!$B$6:$B$41,0)),0)</f>
        <v>1071.28571428571</v>
      </c>
      <c r="AB1702" s="18" t="n">
        <f aca="false">IF($Z1702&lt;=0,0,$Z1702/$AA1702)</f>
        <v>33.0650718954248</v>
      </c>
      <c r="AC1702" s="16" t="n">
        <f aca="false">IFERROR(INDEX(SEMANAS!$K$6:$K$71,MATCH($B1702,SEMANAS!$B$6:$B$71,0)),0)</f>
        <v>147</v>
      </c>
      <c r="AD1702" s="19" t="n">
        <f aca="false">IF($AC1702&lt;=0,0,$AB1702/$AC1702)</f>
        <v>0.224932461873638</v>
      </c>
      <c r="AE1702" s="8" t="str">
        <f aca="false">IF($K1702="SEM CULTURA","SEM CULTURA",IF($AA1702&lt;=0,"DADO PENDENTE",IF($AD1702&gt;LIMITE_CRITICO,"INVIAVEL",IF($AD1702&gt;LIMITE_ATENCAO,"CRITICO",IF($AD1702&gt;LIMITE_CONFORTAVEL,"ATENCAO","OK")))))</f>
        <v>OK</v>
      </c>
      <c r="AF1702" s="8" t="str">
        <f aca="false">$B1702&amp;"|"&amp;TEXT($AD1702,"0.000000")</f>
        <v>47|0.224932</v>
      </c>
      <c r="AG1702" s="18" t="n">
        <f aca="false">IF($K1702="SEM CULTURA",0,$T1702*$H1702)</f>
        <v>3094.87062888889</v>
      </c>
      <c r="AH1702" s="18" t="n">
        <f aca="false">IF($K1702="SEM CULTURA",0,$V1702*$H1702)</f>
        <v>83.9888</v>
      </c>
      <c r="AI1702" s="18" t="n">
        <f aca="false">IF($K1702="SEM CULTURA",0,$W1702*$H1702)</f>
        <v>3010.88182888889</v>
      </c>
      <c r="AJ1702" s="18" t="n">
        <f aca="false">IF($K1702="SEM CULTURA",0,$S1702*$H1702)</f>
        <v>4514.398</v>
      </c>
      <c r="AK1702" s="8" t="str">
        <f aca="false">$E1702&amp;"|"&amp;TEXT($AD1702,"0.000000")</f>
        <v>PV 122|0.224932</v>
      </c>
    </row>
    <row r="1703" customFormat="false" ht="15" hidden="false" customHeight="false" outlineLevel="0" collapsed="false">
      <c r="B1703" s="16" t="n">
        <v>48</v>
      </c>
      <c r="C1703" s="17" t="n">
        <f aca="false">DATA_INICIO_SAFRA+($B1703-1)*DIAS_POR_SEMANA</f>
        <v>46594</v>
      </c>
      <c r="D1703" s="17" t="n">
        <f aca="false">$C1703+DIAS_POR_SEMANA-1</f>
        <v>46600</v>
      </c>
      <c r="E1703" s="15" t="s">
        <v>284</v>
      </c>
      <c r="F1703" s="8" t="str">
        <f aca="false">IFERROR(INDEX(CADASTRO_PIVOS!$C$6:$C$41,MATCH($E1703,CADASTRO_PIVOS!$B$6:$B$41,0)),"?")</f>
        <v>RM07</v>
      </c>
      <c r="G1703" s="8" t="str">
        <f aca="false">IFERROR(INDEX(CADASTRO_PIVOS!$D$6:$D$41,MATCH($E1703,CADASTRO_PIVOS!$B$6:$B$41,0)),"?")</f>
        <v>TR07</v>
      </c>
      <c r="H1703" s="20" t="n">
        <f aca="false">IFERROR(INDEX(CADASTRO_PIVOS!$E$6:$E$41,MATCH($E1703,CADASTRO_PIVOS!$B$6:$B$41,0)),0)</f>
        <v>149.98</v>
      </c>
      <c r="I1703" s="16" t="n">
        <f aca="false">IFERROR(SUMIFS(ROTACAO_RDM!$B$6:$B$71,ROTACAO_RDM!$D$6:$D$71,$E1703,ROTACAO_RDM!$I$6:$I$71,"&lt;="&amp;$C1703+INT(DIAS_POR_SEMANA/2),ROTACAO_RDM!$J$6:$J$71,"&gt;="&amp;$C1703+INT(DIAS_POR_SEMANA/2)),0)</f>
        <v>40</v>
      </c>
      <c r="J1703" s="16" t="n">
        <f aca="false">IFERROR(MATCH($I1703,ROTACAO_RDM!$B$6:$B$71,0),0)</f>
        <v>40</v>
      </c>
      <c r="K1703" s="8" t="str">
        <f aca="false">IF($J1703=0,"SEM CULTURA",INDEX(ROTACAO_RDM!$F$6:$F$71,$J1703))</f>
        <v>ALGODAO</v>
      </c>
      <c r="L1703" s="8" t="str">
        <f aca="false">IF($J1703=0,"",INDEX(ROTACAO_RDM!$G$6:$G$71,$J1703))</f>
        <v>FM 911 GLTP</v>
      </c>
      <c r="M1703" s="17" t="n">
        <f aca="false">IF($J1703=0,"",INDEX(ROTACAO_RDM!$I$6:$I$71,$J1703))</f>
        <v>46417</v>
      </c>
      <c r="N1703" s="16" t="n">
        <f aca="false">IF($J1703=0,0,MAX(0,$C1703+INT(DIAS_POR_SEMANA/2)-INDEX(ROTACAO_RDM!$I$6:$I$71,$J1703)))</f>
        <v>180</v>
      </c>
      <c r="O1703" s="19" t="n">
        <f aca="false">IF($J1703=0,0,MIN(1,$N1703/MAX(1,INDEX(ROTACAO_RDM!$K$6:$K$71,$J1703))))</f>
        <v>1</v>
      </c>
      <c r="P1703" s="16" t="n">
        <f aca="false">IF($J1703=0,0,IFERROR(MATCH(INDEX(ROTACAO_RDM!$N$6:$N$71,$J1703),PARAMETROS_CULTURAS!$B$6:$B$28,0),0))</f>
        <v>4</v>
      </c>
      <c r="Q1703" s="8" t="str">
        <f aca="false">IF($P1703=0,"-",IF($O1703&lt;=INDEX(PARAMETROS_CULTURAS!$F$6:$F$28,$P1703),"INICIAL",IF($O1703&lt;=INDEX(PARAMETROS_CULTURAS!$F$6:$F$28,$P1703)+INDEX(PARAMETROS_CULTURAS!$G$6:$G$28,$P1703),"DESENVOLVIMENTO",IF($O1703&lt;=INDEX(PARAMETROS_CULTURAS!$F$6:$F$28,$P1703)+INDEX(PARAMETROS_CULTURAS!$G$6:$G$28,$P1703)+INDEX(PARAMETROS_CULTURAS!$H$6:$H$28,$P1703),"MEDIA","FINAL"))))</f>
        <v>FINAL</v>
      </c>
      <c r="R1703" s="24" t="n">
        <f aca="false">IF($P1703=0,0,IF($O1703&lt;=INDEX(PARAMETROS_CULTURAS!$F$6:$F$28,$P1703),INDEX(PARAMETROS_CULTURAS!$K$6:$K$28,$P1703),IF($O1703&lt;=INDEX(PARAMETROS_CULTURAS!$F$6:$F$28,$P1703)+INDEX(PARAMETROS_CULTURAS!$G$6:$G$28,$P1703),INDEX(PARAMETROS_CULTURAS!$K$6:$K$28,$P1703)+(INDEX(PARAMETROS_CULTURAS!$L$6:$L$28,$P1703)-INDEX(PARAMETROS_CULTURAS!$K$6:$K$28,$P1703))*($O1703-INDEX(PARAMETROS_CULTURAS!$F$6:$F$28,$P1703))/MAX(INDEX(PARAMETROS_CULTURAS!$G$6:$G$28,$P1703),0.0001),IF($O1703&lt;=INDEX(PARAMETROS_CULTURAS!$F$6:$F$28,$P1703)+INDEX(PARAMETROS_CULTURAS!$G$6:$G$28,$P1703)+INDEX(PARAMETROS_CULTURAS!$H$6:$H$28,$P1703),INDEX(PARAMETROS_CULTURAS!$L$6:$L$28,$P1703),INDEX(PARAMETROS_CULTURAS!$L$6:$L$28,$P1703)+(INDEX(PARAMETROS_CULTURAS!$M$6:$M$28,$P1703)-INDEX(PARAMETROS_CULTURAS!$L$6:$L$28,$P1703))*($O1703-INDEX(PARAMETROS_CULTURAS!$F$6:$F$28,$P1703)-INDEX(PARAMETROS_CULTURAS!$G$6:$G$28,$P1703)-INDEX(PARAMETROS_CULTURAS!$H$6:$H$28,$P1703))/MAX(INDEX(PARAMETROS_CULTURAS!$I$6:$I$28,$P1703),0.0001)))))</f>
        <v>0.6</v>
      </c>
      <c r="S1703" s="18" t="n">
        <f aca="false">IFERROR(INDEX(SEMANAS!$H$6:$H$71,MATCH($B1703,SEMANAS!$B$6:$B$71,0)),0)</f>
        <v>31</v>
      </c>
      <c r="T1703" s="18" t="n">
        <f aca="false">$R1703*$S1703</f>
        <v>18.6</v>
      </c>
      <c r="U1703" s="18" t="n">
        <f aca="false">IFERROR(INDEX(SEMANAS!$I$6:$I$71,MATCH($B1703,SEMANAS!$B$6:$B$71,0)),0)</f>
        <v>0.76</v>
      </c>
      <c r="V1703" s="18" t="n">
        <f aca="false">IFERROR(INDEX(SEMANAS!$J$6:$J$71,MATCH($B1703,SEMANAS!$B$6:$B$71,0)),0)</f>
        <v>0.608</v>
      </c>
      <c r="W1703" s="18" t="n">
        <f aca="false">MAX(0,$T1703-$V1703)</f>
        <v>17.992</v>
      </c>
      <c r="X1703" s="19" t="n">
        <f aca="false">IFERROR(INDEX(CADASTRO_PIVOS!$K$6:$K$41,MATCH($E1703,CADASTRO_PIVOS!$B$6:$B$41,0)),EFICIENCIA_PADRAO)</f>
        <v>0.85</v>
      </c>
      <c r="Y1703" s="18" t="n">
        <f aca="false">IF($X1703&lt;=0,0,$W1703/$X1703)</f>
        <v>21.1670588235294</v>
      </c>
      <c r="Z1703" s="16" t="n">
        <f aca="false">$Y1703*$H1703*MM_PARA_M3_HA</f>
        <v>31746.3548235294</v>
      </c>
      <c r="AA1703" s="18" t="n">
        <f aca="false">IFERROR(INDEX(CADASTRO_PIVOS!$I$6:$I$41,MATCH($E1703,CADASTRO_PIVOS!$B$6:$B$41,0)),0)</f>
        <v>1071.28571428571</v>
      </c>
      <c r="AB1703" s="18" t="n">
        <f aca="false">IF($Z1703&lt;=0,0,$Z1703/$AA1703)</f>
        <v>29.6338823529412</v>
      </c>
      <c r="AC1703" s="16" t="n">
        <f aca="false">IFERROR(INDEX(SEMANAS!$K$6:$K$71,MATCH($B1703,SEMANAS!$B$6:$B$71,0)),0)</f>
        <v>147</v>
      </c>
      <c r="AD1703" s="19" t="n">
        <f aca="false">IF($AC1703&lt;=0,0,$AB1703/$AC1703)</f>
        <v>0.201591036414566</v>
      </c>
      <c r="AE1703" s="8" t="str">
        <f aca="false">IF($K1703="SEM CULTURA","SEM CULTURA",IF($AA1703&lt;=0,"DADO PENDENTE",IF($AD1703&gt;LIMITE_CRITICO,"INVIAVEL",IF($AD1703&gt;LIMITE_ATENCAO,"CRITICO",IF($AD1703&gt;LIMITE_CONFORTAVEL,"ATENCAO","OK")))))</f>
        <v>OK</v>
      </c>
      <c r="AF1703" s="8" t="str">
        <f aca="false">$B1703&amp;"|"&amp;TEXT($AD1703,"0.000000")</f>
        <v>48|0.201591</v>
      </c>
      <c r="AG1703" s="18" t="n">
        <f aca="false">IF($K1703="SEM CULTURA",0,$T1703*$H1703)</f>
        <v>2789.628</v>
      </c>
      <c r="AH1703" s="18" t="n">
        <f aca="false">IF($K1703="SEM CULTURA",0,$V1703*$H1703)</f>
        <v>91.18784</v>
      </c>
      <c r="AI1703" s="18" t="n">
        <f aca="false">IF($K1703="SEM CULTURA",0,$W1703*$H1703)</f>
        <v>2698.44016</v>
      </c>
      <c r="AJ1703" s="18" t="n">
        <f aca="false">IF($K1703="SEM CULTURA",0,$S1703*$H1703)</f>
        <v>4649.38</v>
      </c>
      <c r="AK1703" s="8" t="str">
        <f aca="false">$E1703&amp;"|"&amp;TEXT($AD1703,"0.000000")</f>
        <v>PV 122|0.201591</v>
      </c>
    </row>
    <row r="1704" customFormat="false" ht="15" hidden="false" customHeight="false" outlineLevel="0" collapsed="false">
      <c r="B1704" s="16" t="n">
        <v>49</v>
      </c>
      <c r="C1704" s="17" t="n">
        <f aca="false">DATA_INICIO_SAFRA+($B1704-1)*DIAS_POR_SEMANA</f>
        <v>46601</v>
      </c>
      <c r="D1704" s="17" t="n">
        <f aca="false">$C1704+DIAS_POR_SEMANA-1</f>
        <v>46607</v>
      </c>
      <c r="E1704" s="15" t="s">
        <v>284</v>
      </c>
      <c r="F1704" s="8" t="str">
        <f aca="false">IFERROR(INDEX(CADASTRO_PIVOS!$C$6:$C$41,MATCH($E1704,CADASTRO_PIVOS!$B$6:$B$41,0)),"?")</f>
        <v>RM07</v>
      </c>
      <c r="G1704" s="8" t="str">
        <f aca="false">IFERROR(INDEX(CADASTRO_PIVOS!$D$6:$D$41,MATCH($E1704,CADASTRO_PIVOS!$B$6:$B$41,0)),"?")</f>
        <v>TR07</v>
      </c>
      <c r="H1704" s="20" t="n">
        <f aca="false">IFERROR(INDEX(CADASTRO_PIVOS!$E$6:$E$41,MATCH($E1704,CADASTRO_PIVOS!$B$6:$B$41,0)),0)</f>
        <v>149.98</v>
      </c>
      <c r="I1704" s="16" t="n">
        <f aca="false">IFERROR(SUMIFS(ROTACAO_RDM!$B$6:$B$71,ROTACAO_RDM!$D$6:$D$71,$E1704,ROTACAO_RDM!$I$6:$I$71,"&lt;="&amp;$C1704+INT(DIAS_POR_SEMANA/2),ROTACAO_RDM!$J$6:$J$71,"&gt;="&amp;$C1704+INT(DIAS_POR_SEMANA/2)),0)</f>
        <v>0</v>
      </c>
      <c r="J1704" s="16" t="n">
        <f aca="false">IFERROR(MATCH($I1704,ROTACAO_RDM!$B$6:$B$71,0),0)</f>
        <v>0</v>
      </c>
      <c r="K1704" s="8" t="str">
        <f aca="false">IF($J1704=0,"SEM CULTURA",INDEX(ROTACAO_RDM!$F$6:$F$71,$J1704))</f>
        <v>SEM CULTURA</v>
      </c>
      <c r="L1704" s="8" t="str">
        <f aca="false">IF($J1704=0,"",INDEX(ROTACAO_RDM!$G$6:$G$71,$J1704))</f>
        <v/>
      </c>
      <c r="M1704" s="17" t="str">
        <f aca="false">IF($J1704=0,"",INDEX(ROTACAO_RDM!$I$6:$I$71,$J1704))</f>
        <v/>
      </c>
      <c r="N1704" s="16" t="n">
        <f aca="false">IF($J1704=0,0,MAX(0,$C1704+INT(DIAS_POR_SEMANA/2)-INDEX(ROTACAO_RDM!$I$6:$I$71,$J1704)))</f>
        <v>0</v>
      </c>
      <c r="O1704" s="19" t="n">
        <f aca="false">IF($J1704=0,0,MIN(1,$N1704/MAX(1,INDEX(ROTACAO_RDM!$K$6:$K$71,$J1704))))</f>
        <v>0</v>
      </c>
      <c r="P1704" s="16" t="n">
        <f aca="false">IF($J1704=0,0,IFERROR(MATCH(INDEX(ROTACAO_RDM!$N$6:$N$71,$J1704),PARAMETROS_CULTURAS!$B$6:$B$28,0),0))</f>
        <v>0</v>
      </c>
      <c r="Q1704" s="8" t="str">
        <f aca="false">IF($P1704=0,"-",IF($O1704&lt;=INDEX(PARAMETROS_CULTURAS!$F$6:$F$28,$P1704),"INICIAL",IF($O1704&lt;=INDEX(PARAMETROS_CULTURAS!$F$6:$F$28,$P1704)+INDEX(PARAMETROS_CULTURAS!$G$6:$G$28,$P1704),"DESENVOLVIMENTO",IF($O1704&lt;=INDEX(PARAMETROS_CULTURAS!$F$6:$F$28,$P1704)+INDEX(PARAMETROS_CULTURAS!$G$6:$G$28,$P1704)+INDEX(PARAMETROS_CULTURAS!$H$6:$H$28,$P1704),"MEDIA","FINAL"))))</f>
        <v>-</v>
      </c>
      <c r="R1704" s="24" t="n">
        <f aca="false">IF($P1704=0,0,IF($O1704&lt;=INDEX(PARAMETROS_CULTURAS!$F$6:$F$28,$P1704),INDEX(PARAMETROS_CULTURAS!$K$6:$K$28,$P1704),IF($O1704&lt;=INDEX(PARAMETROS_CULTURAS!$F$6:$F$28,$P1704)+INDEX(PARAMETROS_CULTURAS!$G$6:$G$28,$P1704),INDEX(PARAMETROS_CULTURAS!$K$6:$K$28,$P1704)+(INDEX(PARAMETROS_CULTURAS!$L$6:$L$28,$P1704)-INDEX(PARAMETROS_CULTURAS!$K$6:$K$28,$P1704))*($O1704-INDEX(PARAMETROS_CULTURAS!$F$6:$F$28,$P1704))/MAX(INDEX(PARAMETROS_CULTURAS!$G$6:$G$28,$P1704),0.0001),IF($O1704&lt;=INDEX(PARAMETROS_CULTURAS!$F$6:$F$28,$P1704)+INDEX(PARAMETROS_CULTURAS!$G$6:$G$28,$P1704)+INDEX(PARAMETROS_CULTURAS!$H$6:$H$28,$P1704),INDEX(PARAMETROS_CULTURAS!$L$6:$L$28,$P1704),INDEX(PARAMETROS_CULTURAS!$L$6:$L$28,$P1704)+(INDEX(PARAMETROS_CULTURAS!$M$6:$M$28,$P1704)-INDEX(PARAMETROS_CULTURAS!$L$6:$L$28,$P1704))*($O1704-INDEX(PARAMETROS_CULTURAS!$F$6:$F$28,$P1704)-INDEX(PARAMETROS_CULTURAS!$G$6:$G$28,$P1704)-INDEX(PARAMETROS_CULTURAS!$H$6:$H$28,$P1704))/MAX(INDEX(PARAMETROS_CULTURAS!$I$6:$I$28,$P1704),0.0001)))))</f>
        <v>0</v>
      </c>
      <c r="S1704" s="18" t="n">
        <f aca="false">IFERROR(INDEX(SEMANAS!$H$6:$H$71,MATCH($B1704,SEMANAS!$B$6:$B$71,0)),0)</f>
        <v>36.4</v>
      </c>
      <c r="T1704" s="18" t="n">
        <f aca="false">$R1704*$S1704</f>
        <v>0</v>
      </c>
      <c r="U1704" s="18" t="n">
        <f aca="false">IFERROR(INDEX(SEMANAS!$I$6:$I$71,MATCH($B1704,SEMANAS!$B$6:$B$71,0)),0)</f>
        <v>1.12</v>
      </c>
      <c r="V1704" s="18" t="n">
        <f aca="false">IFERROR(INDEX(SEMANAS!$J$6:$J$71,MATCH($B1704,SEMANAS!$B$6:$B$71,0)),0)</f>
        <v>0.896</v>
      </c>
      <c r="W1704" s="18" t="n">
        <f aca="false">MAX(0,$T1704-$V1704)</f>
        <v>0</v>
      </c>
      <c r="X1704" s="19" t="n">
        <f aca="false">IFERROR(INDEX(CADASTRO_PIVOS!$K$6:$K$41,MATCH($E1704,CADASTRO_PIVOS!$B$6:$B$41,0)),EFICIENCIA_PADRAO)</f>
        <v>0.85</v>
      </c>
      <c r="Y1704" s="18" t="n">
        <f aca="false">IF($X1704&lt;=0,0,$W1704/$X1704)</f>
        <v>0</v>
      </c>
      <c r="Z1704" s="16" t="n">
        <f aca="false">$Y1704*$H1704*MM_PARA_M3_HA</f>
        <v>0</v>
      </c>
      <c r="AA1704" s="18" t="n">
        <f aca="false">IFERROR(INDEX(CADASTRO_PIVOS!$I$6:$I$41,MATCH($E1704,CADASTRO_PIVOS!$B$6:$B$41,0)),0)</f>
        <v>1071.28571428571</v>
      </c>
      <c r="AB1704" s="18" t="n">
        <f aca="false">IF($Z1704&lt;=0,0,$Z1704/$AA1704)</f>
        <v>0</v>
      </c>
      <c r="AC1704" s="16" t="n">
        <f aca="false">IFERROR(INDEX(SEMANAS!$K$6:$K$71,MATCH($B1704,SEMANAS!$B$6:$B$71,0)),0)</f>
        <v>147</v>
      </c>
      <c r="AD1704" s="19" t="n">
        <f aca="false">IF($AC1704&lt;=0,0,$AB1704/$AC1704)</f>
        <v>0</v>
      </c>
      <c r="AE1704" s="8" t="str">
        <f aca="false">IF($K1704="SEM CULTURA","SEM CULTURA",IF($AA1704&lt;=0,"DADO PENDENTE",IF($AD1704&gt;LIMITE_CRITICO,"INVIAVEL",IF($AD1704&gt;LIMITE_ATENCAO,"CRITICO",IF($AD1704&gt;LIMITE_CONFORTAVEL,"ATENCAO","OK")))))</f>
        <v>SEM CULTURA</v>
      </c>
      <c r="AF1704" s="8" t="str">
        <f aca="false">$B1704&amp;"|"&amp;TEXT($AD1704,"0.000000")</f>
        <v>49|0.000000</v>
      </c>
      <c r="AG1704" s="18" t="n">
        <f aca="false">IF($K1704="SEM CULTURA",0,$T1704*$H1704)</f>
        <v>0</v>
      </c>
      <c r="AH1704" s="18" t="n">
        <f aca="false">IF($K1704="SEM CULTURA",0,$V1704*$H1704)</f>
        <v>0</v>
      </c>
      <c r="AI1704" s="18" t="n">
        <f aca="false">IF($K1704="SEM CULTURA",0,$W1704*$H1704)</f>
        <v>0</v>
      </c>
      <c r="AJ1704" s="18" t="n">
        <f aca="false">IF($K1704="SEM CULTURA",0,$S1704*$H1704)</f>
        <v>0</v>
      </c>
      <c r="AK1704" s="8" t="str">
        <f aca="false">$E1704&amp;"|"&amp;TEXT($AD1704,"0.000000")</f>
        <v>PV 122|0.000000</v>
      </c>
    </row>
    <row r="1705" customFormat="false" ht="15" hidden="false" customHeight="false" outlineLevel="0" collapsed="false">
      <c r="B1705" s="16" t="n">
        <v>50</v>
      </c>
      <c r="C1705" s="17" t="n">
        <f aca="false">DATA_INICIO_SAFRA+($B1705-1)*DIAS_POR_SEMANA</f>
        <v>46608</v>
      </c>
      <c r="D1705" s="17" t="n">
        <f aca="false">$C1705+DIAS_POR_SEMANA-1</f>
        <v>46614</v>
      </c>
      <c r="E1705" s="15" t="s">
        <v>284</v>
      </c>
      <c r="F1705" s="8" t="str">
        <f aca="false">IFERROR(INDEX(CADASTRO_PIVOS!$C$6:$C$41,MATCH($E1705,CADASTRO_PIVOS!$B$6:$B$41,0)),"?")</f>
        <v>RM07</v>
      </c>
      <c r="G1705" s="8" t="str">
        <f aca="false">IFERROR(INDEX(CADASTRO_PIVOS!$D$6:$D$41,MATCH($E1705,CADASTRO_PIVOS!$B$6:$B$41,0)),"?")</f>
        <v>TR07</v>
      </c>
      <c r="H1705" s="20" t="n">
        <f aca="false">IFERROR(INDEX(CADASTRO_PIVOS!$E$6:$E$41,MATCH($E1705,CADASTRO_PIVOS!$B$6:$B$41,0)),0)</f>
        <v>149.98</v>
      </c>
      <c r="I1705" s="16" t="n">
        <f aca="false">IFERROR(SUMIFS(ROTACAO_RDM!$B$6:$B$71,ROTACAO_RDM!$D$6:$D$71,$E1705,ROTACAO_RDM!$I$6:$I$71,"&lt;="&amp;$C1705+INT(DIAS_POR_SEMANA/2),ROTACAO_RDM!$J$6:$J$71,"&gt;="&amp;$C1705+INT(DIAS_POR_SEMANA/2)),0)</f>
        <v>0</v>
      </c>
      <c r="J1705" s="16" t="n">
        <f aca="false">IFERROR(MATCH($I1705,ROTACAO_RDM!$B$6:$B$71,0),0)</f>
        <v>0</v>
      </c>
      <c r="K1705" s="8" t="str">
        <f aca="false">IF($J1705=0,"SEM CULTURA",INDEX(ROTACAO_RDM!$F$6:$F$71,$J1705))</f>
        <v>SEM CULTURA</v>
      </c>
      <c r="L1705" s="8" t="str">
        <f aca="false">IF($J1705=0,"",INDEX(ROTACAO_RDM!$G$6:$G$71,$J1705))</f>
        <v/>
      </c>
      <c r="M1705" s="17" t="str">
        <f aca="false">IF($J1705=0,"",INDEX(ROTACAO_RDM!$I$6:$I$71,$J1705))</f>
        <v/>
      </c>
      <c r="N1705" s="16" t="n">
        <f aca="false">IF($J1705=0,0,MAX(0,$C1705+INT(DIAS_POR_SEMANA/2)-INDEX(ROTACAO_RDM!$I$6:$I$71,$J1705)))</f>
        <v>0</v>
      </c>
      <c r="O1705" s="19" t="n">
        <f aca="false">IF($J1705=0,0,MIN(1,$N1705/MAX(1,INDEX(ROTACAO_RDM!$K$6:$K$71,$J1705))))</f>
        <v>0</v>
      </c>
      <c r="P1705" s="16" t="n">
        <f aca="false">IF($J1705=0,0,IFERROR(MATCH(INDEX(ROTACAO_RDM!$N$6:$N$71,$J1705),PARAMETROS_CULTURAS!$B$6:$B$28,0),0))</f>
        <v>0</v>
      </c>
      <c r="Q1705" s="8" t="str">
        <f aca="false">IF($P1705=0,"-",IF($O1705&lt;=INDEX(PARAMETROS_CULTURAS!$F$6:$F$28,$P1705),"INICIAL",IF($O1705&lt;=INDEX(PARAMETROS_CULTURAS!$F$6:$F$28,$P1705)+INDEX(PARAMETROS_CULTURAS!$G$6:$G$28,$P1705),"DESENVOLVIMENTO",IF($O1705&lt;=INDEX(PARAMETROS_CULTURAS!$F$6:$F$28,$P1705)+INDEX(PARAMETROS_CULTURAS!$G$6:$G$28,$P1705)+INDEX(PARAMETROS_CULTURAS!$H$6:$H$28,$P1705),"MEDIA","FINAL"))))</f>
        <v>-</v>
      </c>
      <c r="R1705" s="24" t="n">
        <f aca="false">IF($P1705=0,0,IF($O1705&lt;=INDEX(PARAMETROS_CULTURAS!$F$6:$F$28,$P1705),INDEX(PARAMETROS_CULTURAS!$K$6:$K$28,$P1705),IF($O1705&lt;=INDEX(PARAMETROS_CULTURAS!$F$6:$F$28,$P1705)+INDEX(PARAMETROS_CULTURAS!$G$6:$G$28,$P1705),INDEX(PARAMETROS_CULTURAS!$K$6:$K$28,$P1705)+(INDEX(PARAMETROS_CULTURAS!$L$6:$L$28,$P1705)-INDEX(PARAMETROS_CULTURAS!$K$6:$K$28,$P1705))*($O1705-INDEX(PARAMETROS_CULTURAS!$F$6:$F$28,$P1705))/MAX(INDEX(PARAMETROS_CULTURAS!$G$6:$G$28,$P1705),0.0001),IF($O1705&lt;=INDEX(PARAMETROS_CULTURAS!$F$6:$F$28,$P1705)+INDEX(PARAMETROS_CULTURAS!$G$6:$G$28,$P1705)+INDEX(PARAMETROS_CULTURAS!$H$6:$H$28,$P1705),INDEX(PARAMETROS_CULTURAS!$L$6:$L$28,$P1705),INDEX(PARAMETROS_CULTURAS!$L$6:$L$28,$P1705)+(INDEX(PARAMETROS_CULTURAS!$M$6:$M$28,$P1705)-INDEX(PARAMETROS_CULTURAS!$L$6:$L$28,$P1705))*($O1705-INDEX(PARAMETROS_CULTURAS!$F$6:$F$28,$P1705)-INDEX(PARAMETROS_CULTURAS!$G$6:$G$28,$P1705)-INDEX(PARAMETROS_CULTURAS!$H$6:$H$28,$P1705))/MAX(INDEX(PARAMETROS_CULTURAS!$I$6:$I$28,$P1705),0.0001)))))</f>
        <v>0</v>
      </c>
      <c r="S1705" s="18" t="n">
        <f aca="false">IFERROR(INDEX(SEMANAS!$H$6:$H$71,MATCH($B1705,SEMANAS!$B$6:$B$71,0)),0)</f>
        <v>36.4</v>
      </c>
      <c r="T1705" s="18" t="n">
        <f aca="false">$R1705*$S1705</f>
        <v>0</v>
      </c>
      <c r="U1705" s="18" t="n">
        <f aca="false">IFERROR(INDEX(SEMANAS!$I$6:$I$71,MATCH($B1705,SEMANAS!$B$6:$B$71,0)),0)</f>
        <v>1.12</v>
      </c>
      <c r="V1705" s="18" t="n">
        <f aca="false">IFERROR(INDEX(SEMANAS!$J$6:$J$71,MATCH($B1705,SEMANAS!$B$6:$B$71,0)),0)</f>
        <v>0.896</v>
      </c>
      <c r="W1705" s="18" t="n">
        <f aca="false">MAX(0,$T1705-$V1705)</f>
        <v>0</v>
      </c>
      <c r="X1705" s="19" t="n">
        <f aca="false">IFERROR(INDEX(CADASTRO_PIVOS!$K$6:$K$41,MATCH($E1705,CADASTRO_PIVOS!$B$6:$B$41,0)),EFICIENCIA_PADRAO)</f>
        <v>0.85</v>
      </c>
      <c r="Y1705" s="18" t="n">
        <f aca="false">IF($X1705&lt;=0,0,$W1705/$X1705)</f>
        <v>0</v>
      </c>
      <c r="Z1705" s="16" t="n">
        <f aca="false">$Y1705*$H1705*MM_PARA_M3_HA</f>
        <v>0</v>
      </c>
      <c r="AA1705" s="18" t="n">
        <f aca="false">IFERROR(INDEX(CADASTRO_PIVOS!$I$6:$I$41,MATCH($E1705,CADASTRO_PIVOS!$B$6:$B$41,0)),0)</f>
        <v>1071.28571428571</v>
      </c>
      <c r="AB1705" s="18" t="n">
        <f aca="false">IF($Z1705&lt;=0,0,$Z1705/$AA1705)</f>
        <v>0</v>
      </c>
      <c r="AC1705" s="16" t="n">
        <f aca="false">IFERROR(INDEX(SEMANAS!$K$6:$K$71,MATCH($B1705,SEMANAS!$B$6:$B$71,0)),0)</f>
        <v>147</v>
      </c>
      <c r="AD1705" s="19" t="n">
        <f aca="false">IF($AC1705&lt;=0,0,$AB1705/$AC1705)</f>
        <v>0</v>
      </c>
      <c r="AE1705" s="8" t="str">
        <f aca="false">IF($K1705="SEM CULTURA","SEM CULTURA",IF($AA1705&lt;=0,"DADO PENDENTE",IF($AD1705&gt;LIMITE_CRITICO,"INVIAVEL",IF($AD1705&gt;LIMITE_ATENCAO,"CRITICO",IF($AD1705&gt;LIMITE_CONFORTAVEL,"ATENCAO","OK")))))</f>
        <v>SEM CULTURA</v>
      </c>
      <c r="AF1705" s="8" t="str">
        <f aca="false">$B1705&amp;"|"&amp;TEXT($AD1705,"0.000000")</f>
        <v>50|0.000000</v>
      </c>
      <c r="AG1705" s="18" t="n">
        <f aca="false">IF($K1705="SEM CULTURA",0,$T1705*$H1705)</f>
        <v>0</v>
      </c>
      <c r="AH1705" s="18" t="n">
        <f aca="false">IF($K1705="SEM CULTURA",0,$V1705*$H1705)</f>
        <v>0</v>
      </c>
      <c r="AI1705" s="18" t="n">
        <f aca="false">IF($K1705="SEM CULTURA",0,$W1705*$H1705)</f>
        <v>0</v>
      </c>
      <c r="AJ1705" s="18" t="n">
        <f aca="false">IF($K1705="SEM CULTURA",0,$S1705*$H1705)</f>
        <v>0</v>
      </c>
      <c r="AK1705" s="8" t="str">
        <f aca="false">$E1705&amp;"|"&amp;TEXT($AD1705,"0.000000")</f>
        <v>PV 122|0.000000</v>
      </c>
    </row>
    <row r="1706" customFormat="false" ht="15" hidden="false" customHeight="false" outlineLevel="0" collapsed="false">
      <c r="B1706" s="16" t="n">
        <v>51</v>
      </c>
      <c r="C1706" s="17" t="n">
        <f aca="false">DATA_INICIO_SAFRA+($B1706-1)*DIAS_POR_SEMANA</f>
        <v>46615</v>
      </c>
      <c r="D1706" s="17" t="n">
        <f aca="false">$C1706+DIAS_POR_SEMANA-1</f>
        <v>46621</v>
      </c>
      <c r="E1706" s="15" t="s">
        <v>284</v>
      </c>
      <c r="F1706" s="8" t="str">
        <f aca="false">IFERROR(INDEX(CADASTRO_PIVOS!$C$6:$C$41,MATCH($E1706,CADASTRO_PIVOS!$B$6:$B$41,0)),"?")</f>
        <v>RM07</v>
      </c>
      <c r="G1706" s="8" t="str">
        <f aca="false">IFERROR(INDEX(CADASTRO_PIVOS!$D$6:$D$41,MATCH($E1706,CADASTRO_PIVOS!$B$6:$B$41,0)),"?")</f>
        <v>TR07</v>
      </c>
      <c r="H1706" s="20" t="n">
        <f aca="false">IFERROR(INDEX(CADASTRO_PIVOS!$E$6:$E$41,MATCH($E1706,CADASTRO_PIVOS!$B$6:$B$41,0)),0)</f>
        <v>149.98</v>
      </c>
      <c r="I1706" s="16" t="n">
        <f aca="false">IFERROR(SUMIFS(ROTACAO_RDM!$B$6:$B$71,ROTACAO_RDM!$D$6:$D$71,$E1706,ROTACAO_RDM!$I$6:$I$71,"&lt;="&amp;$C1706+INT(DIAS_POR_SEMANA/2),ROTACAO_RDM!$J$6:$J$71,"&gt;="&amp;$C1706+INT(DIAS_POR_SEMANA/2)),0)</f>
        <v>0</v>
      </c>
      <c r="J1706" s="16" t="n">
        <f aca="false">IFERROR(MATCH($I1706,ROTACAO_RDM!$B$6:$B$71,0),0)</f>
        <v>0</v>
      </c>
      <c r="K1706" s="8" t="str">
        <f aca="false">IF($J1706=0,"SEM CULTURA",INDEX(ROTACAO_RDM!$F$6:$F$71,$J1706))</f>
        <v>SEM CULTURA</v>
      </c>
      <c r="L1706" s="8" t="str">
        <f aca="false">IF($J1706=0,"",INDEX(ROTACAO_RDM!$G$6:$G$71,$J1706))</f>
        <v/>
      </c>
      <c r="M1706" s="17" t="str">
        <f aca="false">IF($J1706=0,"",INDEX(ROTACAO_RDM!$I$6:$I$71,$J1706))</f>
        <v/>
      </c>
      <c r="N1706" s="16" t="n">
        <f aca="false">IF($J1706=0,0,MAX(0,$C1706+INT(DIAS_POR_SEMANA/2)-INDEX(ROTACAO_RDM!$I$6:$I$71,$J1706)))</f>
        <v>0</v>
      </c>
      <c r="O1706" s="19" t="n">
        <f aca="false">IF($J1706=0,0,MIN(1,$N1706/MAX(1,INDEX(ROTACAO_RDM!$K$6:$K$71,$J1706))))</f>
        <v>0</v>
      </c>
      <c r="P1706" s="16" t="n">
        <f aca="false">IF($J1706=0,0,IFERROR(MATCH(INDEX(ROTACAO_RDM!$N$6:$N$71,$J1706),PARAMETROS_CULTURAS!$B$6:$B$28,0),0))</f>
        <v>0</v>
      </c>
      <c r="Q1706" s="8" t="str">
        <f aca="false">IF($P1706=0,"-",IF($O1706&lt;=INDEX(PARAMETROS_CULTURAS!$F$6:$F$28,$P1706),"INICIAL",IF($O1706&lt;=INDEX(PARAMETROS_CULTURAS!$F$6:$F$28,$P1706)+INDEX(PARAMETROS_CULTURAS!$G$6:$G$28,$P1706),"DESENVOLVIMENTO",IF($O1706&lt;=INDEX(PARAMETROS_CULTURAS!$F$6:$F$28,$P1706)+INDEX(PARAMETROS_CULTURAS!$G$6:$G$28,$P1706)+INDEX(PARAMETROS_CULTURAS!$H$6:$H$28,$P1706),"MEDIA","FINAL"))))</f>
        <v>-</v>
      </c>
      <c r="R1706" s="24" t="n">
        <f aca="false">IF($P1706=0,0,IF($O1706&lt;=INDEX(PARAMETROS_CULTURAS!$F$6:$F$28,$P1706),INDEX(PARAMETROS_CULTURAS!$K$6:$K$28,$P1706),IF($O1706&lt;=INDEX(PARAMETROS_CULTURAS!$F$6:$F$28,$P1706)+INDEX(PARAMETROS_CULTURAS!$G$6:$G$28,$P1706),INDEX(PARAMETROS_CULTURAS!$K$6:$K$28,$P1706)+(INDEX(PARAMETROS_CULTURAS!$L$6:$L$28,$P1706)-INDEX(PARAMETROS_CULTURAS!$K$6:$K$28,$P1706))*($O1706-INDEX(PARAMETROS_CULTURAS!$F$6:$F$28,$P1706))/MAX(INDEX(PARAMETROS_CULTURAS!$G$6:$G$28,$P1706),0.0001),IF($O1706&lt;=INDEX(PARAMETROS_CULTURAS!$F$6:$F$28,$P1706)+INDEX(PARAMETROS_CULTURAS!$G$6:$G$28,$P1706)+INDEX(PARAMETROS_CULTURAS!$H$6:$H$28,$P1706),INDEX(PARAMETROS_CULTURAS!$L$6:$L$28,$P1706),INDEX(PARAMETROS_CULTURAS!$L$6:$L$28,$P1706)+(INDEX(PARAMETROS_CULTURAS!$M$6:$M$28,$P1706)-INDEX(PARAMETROS_CULTURAS!$L$6:$L$28,$P1706))*($O1706-INDEX(PARAMETROS_CULTURAS!$F$6:$F$28,$P1706)-INDEX(PARAMETROS_CULTURAS!$G$6:$G$28,$P1706)-INDEX(PARAMETROS_CULTURAS!$H$6:$H$28,$P1706))/MAX(INDEX(PARAMETROS_CULTURAS!$I$6:$I$28,$P1706),0.0001)))))</f>
        <v>0</v>
      </c>
      <c r="S1706" s="18" t="n">
        <f aca="false">IFERROR(INDEX(SEMANAS!$H$6:$H$71,MATCH($B1706,SEMANAS!$B$6:$B$71,0)),0)</f>
        <v>36.4</v>
      </c>
      <c r="T1706" s="18" t="n">
        <f aca="false">$R1706*$S1706</f>
        <v>0</v>
      </c>
      <c r="U1706" s="18" t="n">
        <f aca="false">IFERROR(INDEX(SEMANAS!$I$6:$I$71,MATCH($B1706,SEMANAS!$B$6:$B$71,0)),0)</f>
        <v>1.12</v>
      </c>
      <c r="V1706" s="18" t="n">
        <f aca="false">IFERROR(INDEX(SEMANAS!$J$6:$J$71,MATCH($B1706,SEMANAS!$B$6:$B$71,0)),0)</f>
        <v>0.896</v>
      </c>
      <c r="W1706" s="18" t="n">
        <f aca="false">MAX(0,$T1706-$V1706)</f>
        <v>0</v>
      </c>
      <c r="X1706" s="19" t="n">
        <f aca="false">IFERROR(INDEX(CADASTRO_PIVOS!$K$6:$K$41,MATCH($E1706,CADASTRO_PIVOS!$B$6:$B$41,0)),EFICIENCIA_PADRAO)</f>
        <v>0.85</v>
      </c>
      <c r="Y1706" s="18" t="n">
        <f aca="false">IF($X1706&lt;=0,0,$W1706/$X1706)</f>
        <v>0</v>
      </c>
      <c r="Z1706" s="16" t="n">
        <f aca="false">$Y1706*$H1706*MM_PARA_M3_HA</f>
        <v>0</v>
      </c>
      <c r="AA1706" s="18" t="n">
        <f aca="false">IFERROR(INDEX(CADASTRO_PIVOS!$I$6:$I$41,MATCH($E1706,CADASTRO_PIVOS!$B$6:$B$41,0)),0)</f>
        <v>1071.28571428571</v>
      </c>
      <c r="AB1706" s="18" t="n">
        <f aca="false">IF($Z1706&lt;=0,0,$Z1706/$AA1706)</f>
        <v>0</v>
      </c>
      <c r="AC1706" s="16" t="n">
        <f aca="false">IFERROR(INDEX(SEMANAS!$K$6:$K$71,MATCH($B1706,SEMANAS!$B$6:$B$71,0)),0)</f>
        <v>147</v>
      </c>
      <c r="AD1706" s="19" t="n">
        <f aca="false">IF($AC1706&lt;=0,0,$AB1706/$AC1706)</f>
        <v>0</v>
      </c>
      <c r="AE1706" s="8" t="str">
        <f aca="false">IF($K1706="SEM CULTURA","SEM CULTURA",IF($AA1706&lt;=0,"DADO PENDENTE",IF($AD1706&gt;LIMITE_CRITICO,"INVIAVEL",IF($AD1706&gt;LIMITE_ATENCAO,"CRITICO",IF($AD1706&gt;LIMITE_CONFORTAVEL,"ATENCAO","OK")))))</f>
        <v>SEM CULTURA</v>
      </c>
      <c r="AF1706" s="8" t="str">
        <f aca="false">$B1706&amp;"|"&amp;TEXT($AD1706,"0.000000")</f>
        <v>51|0.000000</v>
      </c>
      <c r="AG1706" s="18" t="n">
        <f aca="false">IF($K1706="SEM CULTURA",0,$T1706*$H1706)</f>
        <v>0</v>
      </c>
      <c r="AH1706" s="18" t="n">
        <f aca="false">IF($K1706="SEM CULTURA",0,$V1706*$H1706)</f>
        <v>0</v>
      </c>
      <c r="AI1706" s="18" t="n">
        <f aca="false">IF($K1706="SEM CULTURA",0,$W1706*$H1706)</f>
        <v>0</v>
      </c>
      <c r="AJ1706" s="18" t="n">
        <f aca="false">IF($K1706="SEM CULTURA",0,$S1706*$H1706)</f>
        <v>0</v>
      </c>
      <c r="AK1706" s="8" t="str">
        <f aca="false">$E1706&amp;"|"&amp;TEXT($AD1706,"0.000000")</f>
        <v>PV 122|0.000000</v>
      </c>
    </row>
    <row r="1707" customFormat="false" ht="15" hidden="false" customHeight="false" outlineLevel="0" collapsed="false">
      <c r="B1707" s="16" t="n">
        <v>52</v>
      </c>
      <c r="C1707" s="17" t="n">
        <f aca="false">DATA_INICIO_SAFRA+($B1707-1)*DIAS_POR_SEMANA</f>
        <v>46622</v>
      </c>
      <c r="D1707" s="17" t="n">
        <f aca="false">$C1707+DIAS_POR_SEMANA-1</f>
        <v>46628</v>
      </c>
      <c r="E1707" s="15" t="s">
        <v>284</v>
      </c>
      <c r="F1707" s="8" t="str">
        <f aca="false">IFERROR(INDEX(CADASTRO_PIVOS!$C$6:$C$41,MATCH($E1707,CADASTRO_PIVOS!$B$6:$B$41,0)),"?")</f>
        <v>RM07</v>
      </c>
      <c r="G1707" s="8" t="str">
        <f aca="false">IFERROR(INDEX(CADASTRO_PIVOS!$D$6:$D$41,MATCH($E1707,CADASTRO_PIVOS!$B$6:$B$41,0)),"?")</f>
        <v>TR07</v>
      </c>
      <c r="H1707" s="20" t="n">
        <f aca="false">IFERROR(INDEX(CADASTRO_PIVOS!$E$6:$E$41,MATCH($E1707,CADASTRO_PIVOS!$B$6:$B$41,0)),0)</f>
        <v>149.98</v>
      </c>
      <c r="I1707" s="16" t="n">
        <f aca="false">IFERROR(SUMIFS(ROTACAO_RDM!$B$6:$B$71,ROTACAO_RDM!$D$6:$D$71,$E1707,ROTACAO_RDM!$I$6:$I$71,"&lt;="&amp;$C1707+INT(DIAS_POR_SEMANA/2),ROTACAO_RDM!$J$6:$J$71,"&gt;="&amp;$C1707+INT(DIAS_POR_SEMANA/2)),0)</f>
        <v>0</v>
      </c>
      <c r="J1707" s="16" t="n">
        <f aca="false">IFERROR(MATCH($I1707,ROTACAO_RDM!$B$6:$B$71,0),0)</f>
        <v>0</v>
      </c>
      <c r="K1707" s="8" t="str">
        <f aca="false">IF($J1707=0,"SEM CULTURA",INDEX(ROTACAO_RDM!$F$6:$F$71,$J1707))</f>
        <v>SEM CULTURA</v>
      </c>
      <c r="L1707" s="8" t="str">
        <f aca="false">IF($J1707=0,"",INDEX(ROTACAO_RDM!$G$6:$G$71,$J1707))</f>
        <v/>
      </c>
      <c r="M1707" s="17" t="str">
        <f aca="false">IF($J1707=0,"",INDEX(ROTACAO_RDM!$I$6:$I$71,$J1707))</f>
        <v/>
      </c>
      <c r="N1707" s="16" t="n">
        <f aca="false">IF($J1707=0,0,MAX(0,$C1707+INT(DIAS_POR_SEMANA/2)-INDEX(ROTACAO_RDM!$I$6:$I$71,$J1707)))</f>
        <v>0</v>
      </c>
      <c r="O1707" s="19" t="n">
        <f aca="false">IF($J1707=0,0,MIN(1,$N1707/MAX(1,INDEX(ROTACAO_RDM!$K$6:$K$71,$J1707))))</f>
        <v>0</v>
      </c>
      <c r="P1707" s="16" t="n">
        <f aca="false">IF($J1707=0,0,IFERROR(MATCH(INDEX(ROTACAO_RDM!$N$6:$N$71,$J1707),PARAMETROS_CULTURAS!$B$6:$B$28,0),0))</f>
        <v>0</v>
      </c>
      <c r="Q1707" s="8" t="str">
        <f aca="false">IF($P1707=0,"-",IF($O1707&lt;=INDEX(PARAMETROS_CULTURAS!$F$6:$F$28,$P1707),"INICIAL",IF($O1707&lt;=INDEX(PARAMETROS_CULTURAS!$F$6:$F$28,$P1707)+INDEX(PARAMETROS_CULTURAS!$G$6:$G$28,$P1707),"DESENVOLVIMENTO",IF($O1707&lt;=INDEX(PARAMETROS_CULTURAS!$F$6:$F$28,$P1707)+INDEX(PARAMETROS_CULTURAS!$G$6:$G$28,$P1707)+INDEX(PARAMETROS_CULTURAS!$H$6:$H$28,$P1707),"MEDIA","FINAL"))))</f>
        <v>-</v>
      </c>
      <c r="R1707" s="24" t="n">
        <f aca="false">IF($P1707=0,0,IF($O1707&lt;=INDEX(PARAMETROS_CULTURAS!$F$6:$F$28,$P1707),INDEX(PARAMETROS_CULTURAS!$K$6:$K$28,$P1707),IF($O1707&lt;=INDEX(PARAMETROS_CULTURAS!$F$6:$F$28,$P1707)+INDEX(PARAMETROS_CULTURAS!$G$6:$G$28,$P1707),INDEX(PARAMETROS_CULTURAS!$K$6:$K$28,$P1707)+(INDEX(PARAMETROS_CULTURAS!$L$6:$L$28,$P1707)-INDEX(PARAMETROS_CULTURAS!$K$6:$K$28,$P1707))*($O1707-INDEX(PARAMETROS_CULTURAS!$F$6:$F$28,$P1707))/MAX(INDEX(PARAMETROS_CULTURAS!$G$6:$G$28,$P1707),0.0001),IF($O1707&lt;=INDEX(PARAMETROS_CULTURAS!$F$6:$F$28,$P1707)+INDEX(PARAMETROS_CULTURAS!$G$6:$G$28,$P1707)+INDEX(PARAMETROS_CULTURAS!$H$6:$H$28,$P1707),INDEX(PARAMETROS_CULTURAS!$L$6:$L$28,$P1707),INDEX(PARAMETROS_CULTURAS!$L$6:$L$28,$P1707)+(INDEX(PARAMETROS_CULTURAS!$M$6:$M$28,$P1707)-INDEX(PARAMETROS_CULTURAS!$L$6:$L$28,$P1707))*($O1707-INDEX(PARAMETROS_CULTURAS!$F$6:$F$28,$P1707)-INDEX(PARAMETROS_CULTURAS!$G$6:$G$28,$P1707)-INDEX(PARAMETROS_CULTURAS!$H$6:$H$28,$P1707))/MAX(INDEX(PARAMETROS_CULTURAS!$I$6:$I$28,$P1707),0.0001)))))</f>
        <v>0</v>
      </c>
      <c r="S1707" s="18" t="n">
        <f aca="false">IFERROR(INDEX(SEMANAS!$H$6:$H$71,MATCH($B1707,SEMANAS!$B$6:$B$71,0)),0)</f>
        <v>36.4</v>
      </c>
      <c r="T1707" s="18" t="n">
        <f aca="false">$R1707*$S1707</f>
        <v>0</v>
      </c>
      <c r="U1707" s="18" t="n">
        <f aca="false">IFERROR(INDEX(SEMANAS!$I$6:$I$71,MATCH($B1707,SEMANAS!$B$6:$B$71,0)),0)</f>
        <v>1.12</v>
      </c>
      <c r="V1707" s="18" t="n">
        <f aca="false">IFERROR(INDEX(SEMANAS!$J$6:$J$71,MATCH($B1707,SEMANAS!$B$6:$B$71,0)),0)</f>
        <v>0.896</v>
      </c>
      <c r="W1707" s="18" t="n">
        <f aca="false">MAX(0,$T1707-$V1707)</f>
        <v>0</v>
      </c>
      <c r="X1707" s="19" t="n">
        <f aca="false">IFERROR(INDEX(CADASTRO_PIVOS!$K$6:$K$41,MATCH($E1707,CADASTRO_PIVOS!$B$6:$B$41,0)),EFICIENCIA_PADRAO)</f>
        <v>0.85</v>
      </c>
      <c r="Y1707" s="18" t="n">
        <f aca="false">IF($X1707&lt;=0,0,$W1707/$X1707)</f>
        <v>0</v>
      </c>
      <c r="Z1707" s="16" t="n">
        <f aca="false">$Y1707*$H1707*MM_PARA_M3_HA</f>
        <v>0</v>
      </c>
      <c r="AA1707" s="18" t="n">
        <f aca="false">IFERROR(INDEX(CADASTRO_PIVOS!$I$6:$I$41,MATCH($E1707,CADASTRO_PIVOS!$B$6:$B$41,0)),0)</f>
        <v>1071.28571428571</v>
      </c>
      <c r="AB1707" s="18" t="n">
        <f aca="false">IF($Z1707&lt;=0,0,$Z1707/$AA1707)</f>
        <v>0</v>
      </c>
      <c r="AC1707" s="16" t="n">
        <f aca="false">IFERROR(INDEX(SEMANAS!$K$6:$K$71,MATCH($B1707,SEMANAS!$B$6:$B$71,0)),0)</f>
        <v>147</v>
      </c>
      <c r="AD1707" s="19" t="n">
        <f aca="false">IF($AC1707&lt;=0,0,$AB1707/$AC1707)</f>
        <v>0</v>
      </c>
      <c r="AE1707" s="8" t="str">
        <f aca="false">IF($K1707="SEM CULTURA","SEM CULTURA",IF($AA1707&lt;=0,"DADO PENDENTE",IF($AD1707&gt;LIMITE_CRITICO,"INVIAVEL",IF($AD1707&gt;LIMITE_ATENCAO,"CRITICO",IF($AD1707&gt;LIMITE_CONFORTAVEL,"ATENCAO","OK")))))</f>
        <v>SEM CULTURA</v>
      </c>
      <c r="AF1707" s="8" t="str">
        <f aca="false">$B1707&amp;"|"&amp;TEXT($AD1707,"0.000000")</f>
        <v>52|0.000000</v>
      </c>
      <c r="AG1707" s="18" t="n">
        <f aca="false">IF($K1707="SEM CULTURA",0,$T1707*$H1707)</f>
        <v>0</v>
      </c>
      <c r="AH1707" s="18" t="n">
        <f aca="false">IF($K1707="SEM CULTURA",0,$V1707*$H1707)</f>
        <v>0</v>
      </c>
      <c r="AI1707" s="18" t="n">
        <f aca="false">IF($K1707="SEM CULTURA",0,$W1707*$H1707)</f>
        <v>0</v>
      </c>
      <c r="AJ1707" s="18" t="n">
        <f aca="false">IF($K1707="SEM CULTURA",0,$S1707*$H1707)</f>
        <v>0</v>
      </c>
      <c r="AK1707" s="8" t="str">
        <f aca="false">$E1707&amp;"|"&amp;TEXT($AD1707,"0.000000")</f>
        <v>PV 122|0.000000</v>
      </c>
    </row>
    <row r="1708" customFormat="false" ht="15" hidden="false" customHeight="false" outlineLevel="0" collapsed="false">
      <c r="B1708" s="16" t="n">
        <v>53</v>
      </c>
      <c r="C1708" s="17" t="n">
        <f aca="false">DATA_INICIO_SAFRA+($B1708-1)*DIAS_POR_SEMANA</f>
        <v>46629</v>
      </c>
      <c r="D1708" s="17" t="n">
        <f aca="false">$C1708+DIAS_POR_SEMANA-1</f>
        <v>46635</v>
      </c>
      <c r="E1708" s="15" t="s">
        <v>284</v>
      </c>
      <c r="F1708" s="8" t="str">
        <f aca="false">IFERROR(INDEX(CADASTRO_PIVOS!$C$6:$C$41,MATCH($E1708,CADASTRO_PIVOS!$B$6:$B$41,0)),"?")</f>
        <v>RM07</v>
      </c>
      <c r="G1708" s="8" t="str">
        <f aca="false">IFERROR(INDEX(CADASTRO_PIVOS!$D$6:$D$41,MATCH($E1708,CADASTRO_PIVOS!$B$6:$B$41,0)),"?")</f>
        <v>TR07</v>
      </c>
      <c r="H1708" s="20" t="n">
        <f aca="false">IFERROR(INDEX(CADASTRO_PIVOS!$E$6:$E$41,MATCH($E1708,CADASTRO_PIVOS!$B$6:$B$41,0)),0)</f>
        <v>149.98</v>
      </c>
      <c r="I1708" s="16" t="n">
        <f aca="false">IFERROR(SUMIFS(ROTACAO_RDM!$B$6:$B$71,ROTACAO_RDM!$D$6:$D$71,$E1708,ROTACAO_RDM!$I$6:$I$71,"&lt;="&amp;$C1708+INT(DIAS_POR_SEMANA/2),ROTACAO_RDM!$J$6:$J$71,"&gt;="&amp;$C1708+INT(DIAS_POR_SEMANA/2)),0)</f>
        <v>0</v>
      </c>
      <c r="J1708" s="16" t="n">
        <f aca="false">IFERROR(MATCH($I1708,ROTACAO_RDM!$B$6:$B$71,0),0)</f>
        <v>0</v>
      </c>
      <c r="K1708" s="8" t="str">
        <f aca="false">IF($J1708=0,"SEM CULTURA",INDEX(ROTACAO_RDM!$F$6:$F$71,$J1708))</f>
        <v>SEM CULTURA</v>
      </c>
      <c r="L1708" s="8" t="str">
        <f aca="false">IF($J1708=0,"",INDEX(ROTACAO_RDM!$G$6:$G$71,$J1708))</f>
        <v/>
      </c>
      <c r="M1708" s="17" t="str">
        <f aca="false">IF($J1708=0,"",INDEX(ROTACAO_RDM!$I$6:$I$71,$J1708))</f>
        <v/>
      </c>
      <c r="N1708" s="16" t="n">
        <f aca="false">IF($J1708=0,0,MAX(0,$C1708+INT(DIAS_POR_SEMANA/2)-INDEX(ROTACAO_RDM!$I$6:$I$71,$J1708)))</f>
        <v>0</v>
      </c>
      <c r="O1708" s="19" t="n">
        <f aca="false">IF($J1708=0,0,MIN(1,$N1708/MAX(1,INDEX(ROTACAO_RDM!$K$6:$K$71,$J1708))))</f>
        <v>0</v>
      </c>
      <c r="P1708" s="16" t="n">
        <f aca="false">IF($J1708=0,0,IFERROR(MATCH(INDEX(ROTACAO_RDM!$N$6:$N$71,$J1708),PARAMETROS_CULTURAS!$B$6:$B$28,0),0))</f>
        <v>0</v>
      </c>
      <c r="Q1708" s="8" t="str">
        <f aca="false">IF($P1708=0,"-",IF($O1708&lt;=INDEX(PARAMETROS_CULTURAS!$F$6:$F$28,$P1708),"INICIAL",IF($O1708&lt;=INDEX(PARAMETROS_CULTURAS!$F$6:$F$28,$P1708)+INDEX(PARAMETROS_CULTURAS!$G$6:$G$28,$P1708),"DESENVOLVIMENTO",IF($O1708&lt;=INDEX(PARAMETROS_CULTURAS!$F$6:$F$28,$P1708)+INDEX(PARAMETROS_CULTURAS!$G$6:$G$28,$P1708)+INDEX(PARAMETROS_CULTURAS!$H$6:$H$28,$P1708),"MEDIA","FINAL"))))</f>
        <v>-</v>
      </c>
      <c r="R1708" s="24" t="n">
        <f aca="false">IF($P1708=0,0,IF($O1708&lt;=INDEX(PARAMETROS_CULTURAS!$F$6:$F$28,$P1708),INDEX(PARAMETROS_CULTURAS!$K$6:$K$28,$P1708),IF($O1708&lt;=INDEX(PARAMETROS_CULTURAS!$F$6:$F$28,$P1708)+INDEX(PARAMETROS_CULTURAS!$G$6:$G$28,$P1708),INDEX(PARAMETROS_CULTURAS!$K$6:$K$28,$P1708)+(INDEX(PARAMETROS_CULTURAS!$L$6:$L$28,$P1708)-INDEX(PARAMETROS_CULTURAS!$K$6:$K$28,$P1708))*($O1708-INDEX(PARAMETROS_CULTURAS!$F$6:$F$28,$P1708))/MAX(INDEX(PARAMETROS_CULTURAS!$G$6:$G$28,$P1708),0.0001),IF($O1708&lt;=INDEX(PARAMETROS_CULTURAS!$F$6:$F$28,$P1708)+INDEX(PARAMETROS_CULTURAS!$G$6:$G$28,$P1708)+INDEX(PARAMETROS_CULTURAS!$H$6:$H$28,$P1708),INDEX(PARAMETROS_CULTURAS!$L$6:$L$28,$P1708),INDEX(PARAMETROS_CULTURAS!$L$6:$L$28,$P1708)+(INDEX(PARAMETROS_CULTURAS!$M$6:$M$28,$P1708)-INDEX(PARAMETROS_CULTURAS!$L$6:$L$28,$P1708))*($O1708-INDEX(PARAMETROS_CULTURAS!$F$6:$F$28,$P1708)-INDEX(PARAMETROS_CULTURAS!$G$6:$G$28,$P1708)-INDEX(PARAMETROS_CULTURAS!$H$6:$H$28,$P1708))/MAX(INDEX(PARAMETROS_CULTURAS!$I$6:$I$28,$P1708),0.0001)))))</f>
        <v>0</v>
      </c>
      <c r="S1708" s="18" t="n">
        <f aca="false">IFERROR(INDEX(SEMANAS!$H$6:$H$71,MATCH($B1708,SEMANAS!$B$6:$B$71,0)),0)</f>
        <v>39.4</v>
      </c>
      <c r="T1708" s="18" t="n">
        <f aca="false">$R1708*$S1708</f>
        <v>0</v>
      </c>
      <c r="U1708" s="18" t="n">
        <f aca="false">IFERROR(INDEX(SEMANAS!$I$6:$I$71,MATCH($B1708,SEMANAS!$B$6:$B$71,0)),0)</f>
        <v>5.32</v>
      </c>
      <c r="V1708" s="18" t="n">
        <f aca="false">IFERROR(INDEX(SEMANAS!$J$6:$J$71,MATCH($B1708,SEMANAS!$B$6:$B$71,0)),0)</f>
        <v>4.256</v>
      </c>
      <c r="W1708" s="18" t="n">
        <f aca="false">MAX(0,$T1708-$V1708)</f>
        <v>0</v>
      </c>
      <c r="X1708" s="19" t="n">
        <f aca="false">IFERROR(INDEX(CADASTRO_PIVOS!$K$6:$K$41,MATCH($E1708,CADASTRO_PIVOS!$B$6:$B$41,0)),EFICIENCIA_PADRAO)</f>
        <v>0.85</v>
      </c>
      <c r="Y1708" s="18" t="n">
        <f aca="false">IF($X1708&lt;=0,0,$W1708/$X1708)</f>
        <v>0</v>
      </c>
      <c r="Z1708" s="16" t="n">
        <f aca="false">$Y1708*$H1708*MM_PARA_M3_HA</f>
        <v>0</v>
      </c>
      <c r="AA1708" s="18" t="n">
        <f aca="false">IFERROR(INDEX(CADASTRO_PIVOS!$I$6:$I$41,MATCH($E1708,CADASTRO_PIVOS!$B$6:$B$41,0)),0)</f>
        <v>1071.28571428571</v>
      </c>
      <c r="AB1708" s="18" t="n">
        <f aca="false">IF($Z1708&lt;=0,0,$Z1708/$AA1708)</f>
        <v>0</v>
      </c>
      <c r="AC1708" s="16" t="n">
        <f aca="false">IFERROR(INDEX(SEMANAS!$K$6:$K$71,MATCH($B1708,SEMANAS!$B$6:$B$71,0)),0)</f>
        <v>147</v>
      </c>
      <c r="AD1708" s="19" t="n">
        <f aca="false">IF($AC1708&lt;=0,0,$AB1708/$AC1708)</f>
        <v>0</v>
      </c>
      <c r="AE1708" s="8" t="str">
        <f aca="false">IF($K1708="SEM CULTURA","SEM CULTURA",IF($AA1708&lt;=0,"DADO PENDENTE",IF($AD1708&gt;LIMITE_CRITICO,"INVIAVEL",IF($AD1708&gt;LIMITE_ATENCAO,"CRITICO",IF($AD1708&gt;LIMITE_CONFORTAVEL,"ATENCAO","OK")))))</f>
        <v>SEM CULTURA</v>
      </c>
      <c r="AF1708" s="8" t="str">
        <f aca="false">$B1708&amp;"|"&amp;TEXT($AD1708,"0.000000")</f>
        <v>53|0.000000</v>
      </c>
      <c r="AG1708" s="18" t="n">
        <f aca="false">IF($K1708="SEM CULTURA",0,$T1708*$H1708)</f>
        <v>0</v>
      </c>
      <c r="AH1708" s="18" t="n">
        <f aca="false">IF($K1708="SEM CULTURA",0,$V1708*$H1708)</f>
        <v>0</v>
      </c>
      <c r="AI1708" s="18" t="n">
        <f aca="false">IF($K1708="SEM CULTURA",0,$W1708*$H1708)</f>
        <v>0</v>
      </c>
      <c r="AJ1708" s="18" t="n">
        <f aca="false">IF($K1708="SEM CULTURA",0,$S1708*$H1708)</f>
        <v>0</v>
      </c>
      <c r="AK1708" s="8" t="str">
        <f aca="false">$E1708&amp;"|"&amp;TEXT($AD1708,"0.000000")</f>
        <v>PV 122|0.000000</v>
      </c>
    </row>
    <row r="1709" customFormat="false" ht="15" hidden="false" customHeight="false" outlineLevel="0" collapsed="false">
      <c r="B1709" s="16" t="n">
        <v>54</v>
      </c>
      <c r="C1709" s="17" t="n">
        <f aca="false">DATA_INICIO_SAFRA+($B1709-1)*DIAS_POR_SEMANA</f>
        <v>46636</v>
      </c>
      <c r="D1709" s="17" t="n">
        <f aca="false">$C1709+DIAS_POR_SEMANA-1</f>
        <v>46642</v>
      </c>
      <c r="E1709" s="15" t="s">
        <v>284</v>
      </c>
      <c r="F1709" s="8" t="str">
        <f aca="false">IFERROR(INDEX(CADASTRO_PIVOS!$C$6:$C$41,MATCH($E1709,CADASTRO_PIVOS!$B$6:$B$41,0)),"?")</f>
        <v>RM07</v>
      </c>
      <c r="G1709" s="8" t="str">
        <f aca="false">IFERROR(INDEX(CADASTRO_PIVOS!$D$6:$D$41,MATCH($E1709,CADASTRO_PIVOS!$B$6:$B$41,0)),"?")</f>
        <v>TR07</v>
      </c>
      <c r="H1709" s="20" t="n">
        <f aca="false">IFERROR(INDEX(CADASTRO_PIVOS!$E$6:$E$41,MATCH($E1709,CADASTRO_PIVOS!$B$6:$B$41,0)),0)</f>
        <v>149.98</v>
      </c>
      <c r="I1709" s="16" t="n">
        <f aca="false">IFERROR(SUMIFS(ROTACAO_RDM!$B$6:$B$71,ROTACAO_RDM!$D$6:$D$71,$E1709,ROTACAO_RDM!$I$6:$I$71,"&lt;="&amp;$C1709+INT(DIAS_POR_SEMANA/2),ROTACAO_RDM!$J$6:$J$71,"&gt;="&amp;$C1709+INT(DIAS_POR_SEMANA/2)),0)</f>
        <v>0</v>
      </c>
      <c r="J1709" s="16" t="n">
        <f aca="false">IFERROR(MATCH($I1709,ROTACAO_RDM!$B$6:$B$71,0),0)</f>
        <v>0</v>
      </c>
      <c r="K1709" s="8" t="str">
        <f aca="false">IF($J1709=0,"SEM CULTURA",INDEX(ROTACAO_RDM!$F$6:$F$71,$J1709))</f>
        <v>SEM CULTURA</v>
      </c>
      <c r="L1709" s="8" t="str">
        <f aca="false">IF($J1709=0,"",INDEX(ROTACAO_RDM!$G$6:$G$71,$J1709))</f>
        <v/>
      </c>
      <c r="M1709" s="17" t="str">
        <f aca="false">IF($J1709=0,"",INDEX(ROTACAO_RDM!$I$6:$I$71,$J1709))</f>
        <v/>
      </c>
      <c r="N1709" s="16" t="n">
        <f aca="false">IF($J1709=0,0,MAX(0,$C1709+INT(DIAS_POR_SEMANA/2)-INDEX(ROTACAO_RDM!$I$6:$I$71,$J1709)))</f>
        <v>0</v>
      </c>
      <c r="O1709" s="19" t="n">
        <f aca="false">IF($J1709=0,0,MIN(1,$N1709/MAX(1,INDEX(ROTACAO_RDM!$K$6:$K$71,$J1709))))</f>
        <v>0</v>
      </c>
      <c r="P1709" s="16" t="n">
        <f aca="false">IF($J1709=0,0,IFERROR(MATCH(INDEX(ROTACAO_RDM!$N$6:$N$71,$J1709),PARAMETROS_CULTURAS!$B$6:$B$28,0),0))</f>
        <v>0</v>
      </c>
      <c r="Q1709" s="8" t="str">
        <f aca="false">IF($P1709=0,"-",IF($O1709&lt;=INDEX(PARAMETROS_CULTURAS!$F$6:$F$28,$P1709),"INICIAL",IF($O1709&lt;=INDEX(PARAMETROS_CULTURAS!$F$6:$F$28,$P1709)+INDEX(PARAMETROS_CULTURAS!$G$6:$G$28,$P1709),"DESENVOLVIMENTO",IF($O1709&lt;=INDEX(PARAMETROS_CULTURAS!$F$6:$F$28,$P1709)+INDEX(PARAMETROS_CULTURAS!$G$6:$G$28,$P1709)+INDEX(PARAMETROS_CULTURAS!$H$6:$H$28,$P1709),"MEDIA","FINAL"))))</f>
        <v>-</v>
      </c>
      <c r="R1709" s="24" t="n">
        <f aca="false">IF($P1709=0,0,IF($O1709&lt;=INDEX(PARAMETROS_CULTURAS!$F$6:$F$28,$P1709),INDEX(PARAMETROS_CULTURAS!$K$6:$K$28,$P1709),IF($O1709&lt;=INDEX(PARAMETROS_CULTURAS!$F$6:$F$28,$P1709)+INDEX(PARAMETROS_CULTURAS!$G$6:$G$28,$P1709),INDEX(PARAMETROS_CULTURAS!$K$6:$K$28,$P1709)+(INDEX(PARAMETROS_CULTURAS!$L$6:$L$28,$P1709)-INDEX(PARAMETROS_CULTURAS!$K$6:$K$28,$P1709))*($O1709-INDEX(PARAMETROS_CULTURAS!$F$6:$F$28,$P1709))/MAX(INDEX(PARAMETROS_CULTURAS!$G$6:$G$28,$P1709),0.0001),IF($O1709&lt;=INDEX(PARAMETROS_CULTURAS!$F$6:$F$28,$P1709)+INDEX(PARAMETROS_CULTURAS!$G$6:$G$28,$P1709)+INDEX(PARAMETROS_CULTURAS!$H$6:$H$28,$P1709),INDEX(PARAMETROS_CULTURAS!$L$6:$L$28,$P1709),INDEX(PARAMETROS_CULTURAS!$L$6:$L$28,$P1709)+(INDEX(PARAMETROS_CULTURAS!$M$6:$M$28,$P1709)-INDEX(PARAMETROS_CULTURAS!$L$6:$L$28,$P1709))*($O1709-INDEX(PARAMETROS_CULTURAS!$F$6:$F$28,$P1709)-INDEX(PARAMETROS_CULTURAS!$G$6:$G$28,$P1709)-INDEX(PARAMETROS_CULTURAS!$H$6:$H$28,$P1709))/MAX(INDEX(PARAMETROS_CULTURAS!$I$6:$I$28,$P1709),0.0001)))))</f>
        <v>0</v>
      </c>
      <c r="S1709" s="18" t="n">
        <f aca="false">IFERROR(INDEX(SEMANAS!$H$6:$H$71,MATCH($B1709,SEMANAS!$B$6:$B$71,0)),0)</f>
        <v>40.6</v>
      </c>
      <c r="T1709" s="18" t="n">
        <f aca="false">$R1709*$S1709</f>
        <v>0</v>
      </c>
      <c r="U1709" s="18" t="n">
        <f aca="false">IFERROR(INDEX(SEMANAS!$I$6:$I$71,MATCH($B1709,SEMANAS!$B$6:$B$71,0)),0)</f>
        <v>7</v>
      </c>
      <c r="V1709" s="18" t="n">
        <f aca="false">IFERROR(INDEX(SEMANAS!$J$6:$J$71,MATCH($B1709,SEMANAS!$B$6:$B$71,0)),0)</f>
        <v>5.6</v>
      </c>
      <c r="W1709" s="18" t="n">
        <f aca="false">MAX(0,$T1709-$V1709)</f>
        <v>0</v>
      </c>
      <c r="X1709" s="19" t="n">
        <f aca="false">IFERROR(INDEX(CADASTRO_PIVOS!$K$6:$K$41,MATCH($E1709,CADASTRO_PIVOS!$B$6:$B$41,0)),EFICIENCIA_PADRAO)</f>
        <v>0.85</v>
      </c>
      <c r="Y1709" s="18" t="n">
        <f aca="false">IF($X1709&lt;=0,0,$W1709/$X1709)</f>
        <v>0</v>
      </c>
      <c r="Z1709" s="16" t="n">
        <f aca="false">$Y1709*$H1709*MM_PARA_M3_HA</f>
        <v>0</v>
      </c>
      <c r="AA1709" s="18" t="n">
        <f aca="false">IFERROR(INDEX(CADASTRO_PIVOS!$I$6:$I$41,MATCH($E1709,CADASTRO_PIVOS!$B$6:$B$41,0)),0)</f>
        <v>1071.28571428571</v>
      </c>
      <c r="AB1709" s="18" t="n">
        <f aca="false">IF($Z1709&lt;=0,0,$Z1709/$AA1709)</f>
        <v>0</v>
      </c>
      <c r="AC1709" s="16" t="n">
        <f aca="false">IFERROR(INDEX(SEMANAS!$K$6:$K$71,MATCH($B1709,SEMANAS!$B$6:$B$71,0)),0)</f>
        <v>147</v>
      </c>
      <c r="AD1709" s="19" t="n">
        <f aca="false">IF($AC1709&lt;=0,0,$AB1709/$AC1709)</f>
        <v>0</v>
      </c>
      <c r="AE1709" s="8" t="str">
        <f aca="false">IF($K1709="SEM CULTURA","SEM CULTURA",IF($AA1709&lt;=0,"DADO PENDENTE",IF($AD1709&gt;LIMITE_CRITICO,"INVIAVEL",IF($AD1709&gt;LIMITE_ATENCAO,"CRITICO",IF($AD1709&gt;LIMITE_CONFORTAVEL,"ATENCAO","OK")))))</f>
        <v>SEM CULTURA</v>
      </c>
      <c r="AF1709" s="8" t="str">
        <f aca="false">$B1709&amp;"|"&amp;TEXT($AD1709,"0.000000")</f>
        <v>54|0.000000</v>
      </c>
      <c r="AG1709" s="18" t="n">
        <f aca="false">IF($K1709="SEM CULTURA",0,$T1709*$H1709)</f>
        <v>0</v>
      </c>
      <c r="AH1709" s="18" t="n">
        <f aca="false">IF($K1709="SEM CULTURA",0,$V1709*$H1709)</f>
        <v>0</v>
      </c>
      <c r="AI1709" s="18" t="n">
        <f aca="false">IF($K1709="SEM CULTURA",0,$W1709*$H1709)</f>
        <v>0</v>
      </c>
      <c r="AJ1709" s="18" t="n">
        <f aca="false">IF($K1709="SEM CULTURA",0,$S1709*$H1709)</f>
        <v>0</v>
      </c>
      <c r="AK1709" s="8" t="str">
        <f aca="false">$E1709&amp;"|"&amp;TEXT($AD1709,"0.000000")</f>
        <v>PV 122|0.000000</v>
      </c>
    </row>
    <row r="1710" customFormat="false" ht="15" hidden="false" customHeight="false" outlineLevel="0" collapsed="false">
      <c r="B1710" s="16" t="n">
        <v>55</v>
      </c>
      <c r="C1710" s="17" t="n">
        <f aca="false">DATA_INICIO_SAFRA+($B1710-1)*DIAS_POR_SEMANA</f>
        <v>46643</v>
      </c>
      <c r="D1710" s="17" t="n">
        <f aca="false">$C1710+DIAS_POR_SEMANA-1</f>
        <v>46649</v>
      </c>
      <c r="E1710" s="15" t="s">
        <v>284</v>
      </c>
      <c r="F1710" s="8" t="str">
        <f aca="false">IFERROR(INDEX(CADASTRO_PIVOS!$C$6:$C$41,MATCH($E1710,CADASTRO_PIVOS!$B$6:$B$41,0)),"?")</f>
        <v>RM07</v>
      </c>
      <c r="G1710" s="8" t="str">
        <f aca="false">IFERROR(INDEX(CADASTRO_PIVOS!$D$6:$D$41,MATCH($E1710,CADASTRO_PIVOS!$B$6:$B$41,0)),"?")</f>
        <v>TR07</v>
      </c>
      <c r="H1710" s="20" t="n">
        <f aca="false">IFERROR(INDEX(CADASTRO_PIVOS!$E$6:$E$41,MATCH($E1710,CADASTRO_PIVOS!$B$6:$B$41,0)),0)</f>
        <v>149.98</v>
      </c>
      <c r="I1710" s="16" t="n">
        <f aca="false">IFERROR(SUMIFS(ROTACAO_RDM!$B$6:$B$71,ROTACAO_RDM!$D$6:$D$71,$E1710,ROTACAO_RDM!$I$6:$I$71,"&lt;="&amp;$C1710+INT(DIAS_POR_SEMANA/2),ROTACAO_RDM!$J$6:$J$71,"&gt;="&amp;$C1710+INT(DIAS_POR_SEMANA/2)),0)</f>
        <v>0</v>
      </c>
      <c r="J1710" s="16" t="n">
        <f aca="false">IFERROR(MATCH($I1710,ROTACAO_RDM!$B$6:$B$71,0),0)</f>
        <v>0</v>
      </c>
      <c r="K1710" s="8" t="str">
        <f aca="false">IF($J1710=0,"SEM CULTURA",INDEX(ROTACAO_RDM!$F$6:$F$71,$J1710))</f>
        <v>SEM CULTURA</v>
      </c>
      <c r="L1710" s="8" t="str">
        <f aca="false">IF($J1710=0,"",INDEX(ROTACAO_RDM!$G$6:$G$71,$J1710))</f>
        <v/>
      </c>
      <c r="M1710" s="17" t="str">
        <f aca="false">IF($J1710=0,"",INDEX(ROTACAO_RDM!$I$6:$I$71,$J1710))</f>
        <v/>
      </c>
      <c r="N1710" s="16" t="n">
        <f aca="false">IF($J1710=0,0,MAX(0,$C1710+INT(DIAS_POR_SEMANA/2)-INDEX(ROTACAO_RDM!$I$6:$I$71,$J1710)))</f>
        <v>0</v>
      </c>
      <c r="O1710" s="19" t="n">
        <f aca="false">IF($J1710=0,0,MIN(1,$N1710/MAX(1,INDEX(ROTACAO_RDM!$K$6:$K$71,$J1710))))</f>
        <v>0</v>
      </c>
      <c r="P1710" s="16" t="n">
        <f aca="false">IF($J1710=0,0,IFERROR(MATCH(INDEX(ROTACAO_RDM!$N$6:$N$71,$J1710),PARAMETROS_CULTURAS!$B$6:$B$28,0),0))</f>
        <v>0</v>
      </c>
      <c r="Q1710" s="8" t="str">
        <f aca="false">IF($P1710=0,"-",IF($O1710&lt;=INDEX(PARAMETROS_CULTURAS!$F$6:$F$28,$P1710),"INICIAL",IF($O1710&lt;=INDEX(PARAMETROS_CULTURAS!$F$6:$F$28,$P1710)+INDEX(PARAMETROS_CULTURAS!$G$6:$G$28,$P1710),"DESENVOLVIMENTO",IF($O1710&lt;=INDEX(PARAMETROS_CULTURAS!$F$6:$F$28,$P1710)+INDEX(PARAMETROS_CULTURAS!$G$6:$G$28,$P1710)+INDEX(PARAMETROS_CULTURAS!$H$6:$H$28,$P1710),"MEDIA","FINAL"))))</f>
        <v>-</v>
      </c>
      <c r="R1710" s="24" t="n">
        <f aca="false">IF($P1710=0,0,IF($O1710&lt;=INDEX(PARAMETROS_CULTURAS!$F$6:$F$28,$P1710),INDEX(PARAMETROS_CULTURAS!$K$6:$K$28,$P1710),IF($O1710&lt;=INDEX(PARAMETROS_CULTURAS!$F$6:$F$28,$P1710)+INDEX(PARAMETROS_CULTURAS!$G$6:$G$28,$P1710),INDEX(PARAMETROS_CULTURAS!$K$6:$K$28,$P1710)+(INDEX(PARAMETROS_CULTURAS!$L$6:$L$28,$P1710)-INDEX(PARAMETROS_CULTURAS!$K$6:$K$28,$P1710))*($O1710-INDEX(PARAMETROS_CULTURAS!$F$6:$F$28,$P1710))/MAX(INDEX(PARAMETROS_CULTURAS!$G$6:$G$28,$P1710),0.0001),IF($O1710&lt;=INDEX(PARAMETROS_CULTURAS!$F$6:$F$28,$P1710)+INDEX(PARAMETROS_CULTURAS!$G$6:$G$28,$P1710)+INDEX(PARAMETROS_CULTURAS!$H$6:$H$28,$P1710),INDEX(PARAMETROS_CULTURAS!$L$6:$L$28,$P1710),INDEX(PARAMETROS_CULTURAS!$L$6:$L$28,$P1710)+(INDEX(PARAMETROS_CULTURAS!$M$6:$M$28,$P1710)-INDEX(PARAMETROS_CULTURAS!$L$6:$L$28,$P1710))*($O1710-INDEX(PARAMETROS_CULTURAS!$F$6:$F$28,$P1710)-INDEX(PARAMETROS_CULTURAS!$G$6:$G$28,$P1710)-INDEX(PARAMETROS_CULTURAS!$H$6:$H$28,$P1710))/MAX(INDEX(PARAMETROS_CULTURAS!$I$6:$I$28,$P1710),0.0001)))))</f>
        <v>0</v>
      </c>
      <c r="S1710" s="18" t="n">
        <f aca="false">IFERROR(INDEX(SEMANAS!$H$6:$H$71,MATCH($B1710,SEMANAS!$B$6:$B$71,0)),0)</f>
        <v>40.6</v>
      </c>
      <c r="T1710" s="18" t="n">
        <f aca="false">$R1710*$S1710</f>
        <v>0</v>
      </c>
      <c r="U1710" s="18" t="n">
        <f aca="false">IFERROR(INDEX(SEMANAS!$I$6:$I$71,MATCH($B1710,SEMANAS!$B$6:$B$71,0)),0)</f>
        <v>7</v>
      </c>
      <c r="V1710" s="18" t="n">
        <f aca="false">IFERROR(INDEX(SEMANAS!$J$6:$J$71,MATCH($B1710,SEMANAS!$B$6:$B$71,0)),0)</f>
        <v>5.6</v>
      </c>
      <c r="W1710" s="18" t="n">
        <f aca="false">MAX(0,$T1710-$V1710)</f>
        <v>0</v>
      </c>
      <c r="X1710" s="19" t="n">
        <f aca="false">IFERROR(INDEX(CADASTRO_PIVOS!$K$6:$K$41,MATCH($E1710,CADASTRO_PIVOS!$B$6:$B$41,0)),EFICIENCIA_PADRAO)</f>
        <v>0.85</v>
      </c>
      <c r="Y1710" s="18" t="n">
        <f aca="false">IF($X1710&lt;=0,0,$W1710/$X1710)</f>
        <v>0</v>
      </c>
      <c r="Z1710" s="16" t="n">
        <f aca="false">$Y1710*$H1710*MM_PARA_M3_HA</f>
        <v>0</v>
      </c>
      <c r="AA1710" s="18" t="n">
        <f aca="false">IFERROR(INDEX(CADASTRO_PIVOS!$I$6:$I$41,MATCH($E1710,CADASTRO_PIVOS!$B$6:$B$41,0)),0)</f>
        <v>1071.28571428571</v>
      </c>
      <c r="AB1710" s="18" t="n">
        <f aca="false">IF($Z1710&lt;=0,0,$Z1710/$AA1710)</f>
        <v>0</v>
      </c>
      <c r="AC1710" s="16" t="n">
        <f aca="false">IFERROR(INDEX(SEMANAS!$K$6:$K$71,MATCH($B1710,SEMANAS!$B$6:$B$71,0)),0)</f>
        <v>147</v>
      </c>
      <c r="AD1710" s="19" t="n">
        <f aca="false">IF($AC1710&lt;=0,0,$AB1710/$AC1710)</f>
        <v>0</v>
      </c>
      <c r="AE1710" s="8" t="str">
        <f aca="false">IF($K1710="SEM CULTURA","SEM CULTURA",IF($AA1710&lt;=0,"DADO PENDENTE",IF($AD1710&gt;LIMITE_CRITICO,"INVIAVEL",IF($AD1710&gt;LIMITE_ATENCAO,"CRITICO",IF($AD1710&gt;LIMITE_CONFORTAVEL,"ATENCAO","OK")))))</f>
        <v>SEM CULTURA</v>
      </c>
      <c r="AF1710" s="8" t="str">
        <f aca="false">$B1710&amp;"|"&amp;TEXT($AD1710,"0.000000")</f>
        <v>55|0.000000</v>
      </c>
      <c r="AG1710" s="18" t="n">
        <f aca="false">IF($K1710="SEM CULTURA",0,$T1710*$H1710)</f>
        <v>0</v>
      </c>
      <c r="AH1710" s="18" t="n">
        <f aca="false">IF($K1710="SEM CULTURA",0,$V1710*$H1710)</f>
        <v>0</v>
      </c>
      <c r="AI1710" s="18" t="n">
        <f aca="false">IF($K1710="SEM CULTURA",0,$W1710*$H1710)</f>
        <v>0</v>
      </c>
      <c r="AJ1710" s="18" t="n">
        <f aca="false">IF($K1710="SEM CULTURA",0,$S1710*$H1710)</f>
        <v>0</v>
      </c>
      <c r="AK1710" s="8" t="str">
        <f aca="false">$E1710&amp;"|"&amp;TEXT($AD1710,"0.000000")</f>
        <v>PV 122|0.000000</v>
      </c>
    </row>
    <row r="1711" customFormat="false" ht="15" hidden="false" customHeight="false" outlineLevel="0" collapsed="false">
      <c r="B1711" s="16" t="n">
        <v>56</v>
      </c>
      <c r="C1711" s="17" t="n">
        <f aca="false">DATA_INICIO_SAFRA+($B1711-1)*DIAS_POR_SEMANA</f>
        <v>46650</v>
      </c>
      <c r="D1711" s="17" t="n">
        <f aca="false">$C1711+DIAS_POR_SEMANA-1</f>
        <v>46656</v>
      </c>
      <c r="E1711" s="15" t="s">
        <v>284</v>
      </c>
      <c r="F1711" s="8" t="str">
        <f aca="false">IFERROR(INDEX(CADASTRO_PIVOS!$C$6:$C$41,MATCH($E1711,CADASTRO_PIVOS!$B$6:$B$41,0)),"?")</f>
        <v>RM07</v>
      </c>
      <c r="G1711" s="8" t="str">
        <f aca="false">IFERROR(INDEX(CADASTRO_PIVOS!$D$6:$D$41,MATCH($E1711,CADASTRO_PIVOS!$B$6:$B$41,0)),"?")</f>
        <v>TR07</v>
      </c>
      <c r="H1711" s="20" t="n">
        <f aca="false">IFERROR(INDEX(CADASTRO_PIVOS!$E$6:$E$41,MATCH($E1711,CADASTRO_PIVOS!$B$6:$B$41,0)),0)</f>
        <v>149.98</v>
      </c>
      <c r="I1711" s="16" t="n">
        <f aca="false">IFERROR(SUMIFS(ROTACAO_RDM!$B$6:$B$71,ROTACAO_RDM!$D$6:$D$71,$E1711,ROTACAO_RDM!$I$6:$I$71,"&lt;="&amp;$C1711+INT(DIAS_POR_SEMANA/2),ROTACAO_RDM!$J$6:$J$71,"&gt;="&amp;$C1711+INT(DIAS_POR_SEMANA/2)),0)</f>
        <v>0</v>
      </c>
      <c r="J1711" s="16" t="n">
        <f aca="false">IFERROR(MATCH($I1711,ROTACAO_RDM!$B$6:$B$71,0),0)</f>
        <v>0</v>
      </c>
      <c r="K1711" s="8" t="str">
        <f aca="false">IF($J1711=0,"SEM CULTURA",INDEX(ROTACAO_RDM!$F$6:$F$71,$J1711))</f>
        <v>SEM CULTURA</v>
      </c>
      <c r="L1711" s="8" t="str">
        <f aca="false">IF($J1711=0,"",INDEX(ROTACAO_RDM!$G$6:$G$71,$J1711))</f>
        <v/>
      </c>
      <c r="M1711" s="17" t="str">
        <f aca="false">IF($J1711=0,"",INDEX(ROTACAO_RDM!$I$6:$I$71,$J1711))</f>
        <v/>
      </c>
      <c r="N1711" s="16" t="n">
        <f aca="false">IF($J1711=0,0,MAX(0,$C1711+INT(DIAS_POR_SEMANA/2)-INDEX(ROTACAO_RDM!$I$6:$I$71,$J1711)))</f>
        <v>0</v>
      </c>
      <c r="O1711" s="19" t="n">
        <f aca="false">IF($J1711=0,0,MIN(1,$N1711/MAX(1,INDEX(ROTACAO_RDM!$K$6:$K$71,$J1711))))</f>
        <v>0</v>
      </c>
      <c r="P1711" s="16" t="n">
        <f aca="false">IF($J1711=0,0,IFERROR(MATCH(INDEX(ROTACAO_RDM!$N$6:$N$71,$J1711),PARAMETROS_CULTURAS!$B$6:$B$28,0),0))</f>
        <v>0</v>
      </c>
      <c r="Q1711" s="8" t="str">
        <f aca="false">IF($P1711=0,"-",IF($O1711&lt;=INDEX(PARAMETROS_CULTURAS!$F$6:$F$28,$P1711),"INICIAL",IF($O1711&lt;=INDEX(PARAMETROS_CULTURAS!$F$6:$F$28,$P1711)+INDEX(PARAMETROS_CULTURAS!$G$6:$G$28,$P1711),"DESENVOLVIMENTO",IF($O1711&lt;=INDEX(PARAMETROS_CULTURAS!$F$6:$F$28,$P1711)+INDEX(PARAMETROS_CULTURAS!$G$6:$G$28,$P1711)+INDEX(PARAMETROS_CULTURAS!$H$6:$H$28,$P1711),"MEDIA","FINAL"))))</f>
        <v>-</v>
      </c>
      <c r="R1711" s="24" t="n">
        <f aca="false">IF($P1711=0,0,IF($O1711&lt;=INDEX(PARAMETROS_CULTURAS!$F$6:$F$28,$P1711),INDEX(PARAMETROS_CULTURAS!$K$6:$K$28,$P1711),IF($O1711&lt;=INDEX(PARAMETROS_CULTURAS!$F$6:$F$28,$P1711)+INDEX(PARAMETROS_CULTURAS!$G$6:$G$28,$P1711),INDEX(PARAMETROS_CULTURAS!$K$6:$K$28,$P1711)+(INDEX(PARAMETROS_CULTURAS!$L$6:$L$28,$P1711)-INDEX(PARAMETROS_CULTURAS!$K$6:$K$28,$P1711))*($O1711-INDEX(PARAMETROS_CULTURAS!$F$6:$F$28,$P1711))/MAX(INDEX(PARAMETROS_CULTURAS!$G$6:$G$28,$P1711),0.0001),IF($O1711&lt;=INDEX(PARAMETROS_CULTURAS!$F$6:$F$28,$P1711)+INDEX(PARAMETROS_CULTURAS!$G$6:$G$28,$P1711)+INDEX(PARAMETROS_CULTURAS!$H$6:$H$28,$P1711),INDEX(PARAMETROS_CULTURAS!$L$6:$L$28,$P1711),INDEX(PARAMETROS_CULTURAS!$L$6:$L$28,$P1711)+(INDEX(PARAMETROS_CULTURAS!$M$6:$M$28,$P1711)-INDEX(PARAMETROS_CULTURAS!$L$6:$L$28,$P1711))*($O1711-INDEX(PARAMETROS_CULTURAS!$F$6:$F$28,$P1711)-INDEX(PARAMETROS_CULTURAS!$G$6:$G$28,$P1711)-INDEX(PARAMETROS_CULTURAS!$H$6:$H$28,$P1711))/MAX(INDEX(PARAMETROS_CULTURAS!$I$6:$I$28,$P1711),0.0001)))))</f>
        <v>0</v>
      </c>
      <c r="S1711" s="18" t="n">
        <f aca="false">IFERROR(INDEX(SEMANAS!$H$6:$H$71,MATCH($B1711,SEMANAS!$B$6:$B$71,0)),0)</f>
        <v>40.6</v>
      </c>
      <c r="T1711" s="18" t="n">
        <f aca="false">$R1711*$S1711</f>
        <v>0</v>
      </c>
      <c r="U1711" s="18" t="n">
        <f aca="false">IFERROR(INDEX(SEMANAS!$I$6:$I$71,MATCH($B1711,SEMANAS!$B$6:$B$71,0)),0)</f>
        <v>7</v>
      </c>
      <c r="V1711" s="18" t="n">
        <f aca="false">IFERROR(INDEX(SEMANAS!$J$6:$J$71,MATCH($B1711,SEMANAS!$B$6:$B$71,0)),0)</f>
        <v>5.6</v>
      </c>
      <c r="W1711" s="18" t="n">
        <f aca="false">MAX(0,$T1711-$V1711)</f>
        <v>0</v>
      </c>
      <c r="X1711" s="19" t="n">
        <f aca="false">IFERROR(INDEX(CADASTRO_PIVOS!$K$6:$K$41,MATCH($E1711,CADASTRO_PIVOS!$B$6:$B$41,0)),EFICIENCIA_PADRAO)</f>
        <v>0.85</v>
      </c>
      <c r="Y1711" s="18" t="n">
        <f aca="false">IF($X1711&lt;=0,0,$W1711/$X1711)</f>
        <v>0</v>
      </c>
      <c r="Z1711" s="16" t="n">
        <f aca="false">$Y1711*$H1711*MM_PARA_M3_HA</f>
        <v>0</v>
      </c>
      <c r="AA1711" s="18" t="n">
        <f aca="false">IFERROR(INDEX(CADASTRO_PIVOS!$I$6:$I$41,MATCH($E1711,CADASTRO_PIVOS!$B$6:$B$41,0)),0)</f>
        <v>1071.28571428571</v>
      </c>
      <c r="AB1711" s="18" t="n">
        <f aca="false">IF($Z1711&lt;=0,0,$Z1711/$AA1711)</f>
        <v>0</v>
      </c>
      <c r="AC1711" s="16" t="n">
        <f aca="false">IFERROR(INDEX(SEMANAS!$K$6:$K$71,MATCH($B1711,SEMANAS!$B$6:$B$71,0)),0)</f>
        <v>147</v>
      </c>
      <c r="AD1711" s="19" t="n">
        <f aca="false">IF($AC1711&lt;=0,0,$AB1711/$AC1711)</f>
        <v>0</v>
      </c>
      <c r="AE1711" s="8" t="str">
        <f aca="false">IF($K1711="SEM CULTURA","SEM CULTURA",IF($AA1711&lt;=0,"DADO PENDENTE",IF($AD1711&gt;LIMITE_CRITICO,"INVIAVEL",IF($AD1711&gt;LIMITE_ATENCAO,"CRITICO",IF($AD1711&gt;LIMITE_CONFORTAVEL,"ATENCAO","OK")))))</f>
        <v>SEM CULTURA</v>
      </c>
      <c r="AF1711" s="8" t="str">
        <f aca="false">$B1711&amp;"|"&amp;TEXT($AD1711,"0.000000")</f>
        <v>56|0.000000</v>
      </c>
      <c r="AG1711" s="18" t="n">
        <f aca="false">IF($K1711="SEM CULTURA",0,$T1711*$H1711)</f>
        <v>0</v>
      </c>
      <c r="AH1711" s="18" t="n">
        <f aca="false">IF($K1711="SEM CULTURA",0,$V1711*$H1711)</f>
        <v>0</v>
      </c>
      <c r="AI1711" s="18" t="n">
        <f aca="false">IF($K1711="SEM CULTURA",0,$W1711*$H1711)</f>
        <v>0</v>
      </c>
      <c r="AJ1711" s="18" t="n">
        <f aca="false">IF($K1711="SEM CULTURA",0,$S1711*$H1711)</f>
        <v>0</v>
      </c>
      <c r="AK1711" s="8" t="str">
        <f aca="false">$E1711&amp;"|"&amp;TEXT($AD1711,"0.000000")</f>
        <v>PV 122|0.000000</v>
      </c>
    </row>
    <row r="1712" customFormat="false" ht="15" hidden="false" customHeight="false" outlineLevel="0" collapsed="false">
      <c r="B1712" s="16" t="n">
        <v>57</v>
      </c>
      <c r="C1712" s="17" t="n">
        <f aca="false">DATA_INICIO_SAFRA+($B1712-1)*DIAS_POR_SEMANA</f>
        <v>46657</v>
      </c>
      <c r="D1712" s="17" t="n">
        <f aca="false">$C1712+DIAS_POR_SEMANA-1</f>
        <v>46663</v>
      </c>
      <c r="E1712" s="15" t="s">
        <v>284</v>
      </c>
      <c r="F1712" s="8" t="str">
        <f aca="false">IFERROR(INDEX(CADASTRO_PIVOS!$C$6:$C$41,MATCH($E1712,CADASTRO_PIVOS!$B$6:$B$41,0)),"?")</f>
        <v>RM07</v>
      </c>
      <c r="G1712" s="8" t="str">
        <f aca="false">IFERROR(INDEX(CADASTRO_PIVOS!$D$6:$D$41,MATCH($E1712,CADASTRO_PIVOS!$B$6:$B$41,0)),"?")</f>
        <v>TR07</v>
      </c>
      <c r="H1712" s="20" t="n">
        <f aca="false">IFERROR(INDEX(CADASTRO_PIVOS!$E$6:$E$41,MATCH($E1712,CADASTRO_PIVOS!$B$6:$B$41,0)),0)</f>
        <v>149.98</v>
      </c>
      <c r="I1712" s="16" t="n">
        <f aca="false">IFERROR(SUMIFS(ROTACAO_RDM!$B$6:$B$71,ROTACAO_RDM!$D$6:$D$71,$E1712,ROTACAO_RDM!$I$6:$I$71,"&lt;="&amp;$C1712+INT(DIAS_POR_SEMANA/2),ROTACAO_RDM!$J$6:$J$71,"&gt;="&amp;$C1712+INT(DIAS_POR_SEMANA/2)),0)</f>
        <v>0</v>
      </c>
      <c r="J1712" s="16" t="n">
        <f aca="false">IFERROR(MATCH($I1712,ROTACAO_RDM!$B$6:$B$71,0),0)</f>
        <v>0</v>
      </c>
      <c r="K1712" s="8" t="str">
        <f aca="false">IF($J1712=0,"SEM CULTURA",INDEX(ROTACAO_RDM!$F$6:$F$71,$J1712))</f>
        <v>SEM CULTURA</v>
      </c>
      <c r="L1712" s="8" t="str">
        <f aca="false">IF($J1712=0,"",INDEX(ROTACAO_RDM!$G$6:$G$71,$J1712))</f>
        <v/>
      </c>
      <c r="M1712" s="17" t="str">
        <f aca="false">IF($J1712=0,"",INDEX(ROTACAO_RDM!$I$6:$I$71,$J1712))</f>
        <v/>
      </c>
      <c r="N1712" s="16" t="n">
        <f aca="false">IF($J1712=0,0,MAX(0,$C1712+INT(DIAS_POR_SEMANA/2)-INDEX(ROTACAO_RDM!$I$6:$I$71,$J1712)))</f>
        <v>0</v>
      </c>
      <c r="O1712" s="19" t="n">
        <f aca="false">IF($J1712=0,0,MIN(1,$N1712/MAX(1,INDEX(ROTACAO_RDM!$K$6:$K$71,$J1712))))</f>
        <v>0</v>
      </c>
      <c r="P1712" s="16" t="n">
        <f aca="false">IF($J1712=0,0,IFERROR(MATCH(INDEX(ROTACAO_RDM!$N$6:$N$71,$J1712),PARAMETROS_CULTURAS!$B$6:$B$28,0),0))</f>
        <v>0</v>
      </c>
      <c r="Q1712" s="8" t="str">
        <f aca="false">IF($P1712=0,"-",IF($O1712&lt;=INDEX(PARAMETROS_CULTURAS!$F$6:$F$28,$P1712),"INICIAL",IF($O1712&lt;=INDEX(PARAMETROS_CULTURAS!$F$6:$F$28,$P1712)+INDEX(PARAMETROS_CULTURAS!$G$6:$G$28,$P1712),"DESENVOLVIMENTO",IF($O1712&lt;=INDEX(PARAMETROS_CULTURAS!$F$6:$F$28,$P1712)+INDEX(PARAMETROS_CULTURAS!$G$6:$G$28,$P1712)+INDEX(PARAMETROS_CULTURAS!$H$6:$H$28,$P1712),"MEDIA","FINAL"))))</f>
        <v>-</v>
      </c>
      <c r="R1712" s="24" t="n">
        <f aca="false">IF($P1712=0,0,IF($O1712&lt;=INDEX(PARAMETROS_CULTURAS!$F$6:$F$28,$P1712),INDEX(PARAMETROS_CULTURAS!$K$6:$K$28,$P1712),IF($O1712&lt;=INDEX(PARAMETROS_CULTURAS!$F$6:$F$28,$P1712)+INDEX(PARAMETROS_CULTURAS!$G$6:$G$28,$P1712),INDEX(PARAMETROS_CULTURAS!$K$6:$K$28,$P1712)+(INDEX(PARAMETROS_CULTURAS!$L$6:$L$28,$P1712)-INDEX(PARAMETROS_CULTURAS!$K$6:$K$28,$P1712))*($O1712-INDEX(PARAMETROS_CULTURAS!$F$6:$F$28,$P1712))/MAX(INDEX(PARAMETROS_CULTURAS!$G$6:$G$28,$P1712),0.0001),IF($O1712&lt;=INDEX(PARAMETROS_CULTURAS!$F$6:$F$28,$P1712)+INDEX(PARAMETROS_CULTURAS!$G$6:$G$28,$P1712)+INDEX(PARAMETROS_CULTURAS!$H$6:$H$28,$P1712),INDEX(PARAMETROS_CULTURAS!$L$6:$L$28,$P1712),INDEX(PARAMETROS_CULTURAS!$L$6:$L$28,$P1712)+(INDEX(PARAMETROS_CULTURAS!$M$6:$M$28,$P1712)-INDEX(PARAMETROS_CULTURAS!$L$6:$L$28,$P1712))*($O1712-INDEX(PARAMETROS_CULTURAS!$F$6:$F$28,$P1712)-INDEX(PARAMETROS_CULTURAS!$G$6:$G$28,$P1712)-INDEX(PARAMETROS_CULTURAS!$H$6:$H$28,$P1712))/MAX(INDEX(PARAMETROS_CULTURAS!$I$6:$I$28,$P1712),0.0001)))))</f>
        <v>0</v>
      </c>
      <c r="S1712" s="18" t="n">
        <f aca="false">IFERROR(INDEX(SEMANAS!$H$6:$H$71,MATCH($B1712,SEMANAS!$B$6:$B$71,0)),0)</f>
        <v>40</v>
      </c>
      <c r="T1712" s="18" t="n">
        <f aca="false">$R1712*$S1712</f>
        <v>0</v>
      </c>
      <c r="U1712" s="18" t="n">
        <f aca="false">IFERROR(INDEX(SEMANAS!$I$6:$I$71,MATCH($B1712,SEMANAS!$B$6:$B$71,0)),0)</f>
        <v>15.61</v>
      </c>
      <c r="V1712" s="18" t="n">
        <f aca="false">IFERROR(INDEX(SEMANAS!$J$6:$J$71,MATCH($B1712,SEMANAS!$B$6:$B$71,0)),0)</f>
        <v>12.488</v>
      </c>
      <c r="W1712" s="18" t="n">
        <f aca="false">MAX(0,$T1712-$V1712)</f>
        <v>0</v>
      </c>
      <c r="X1712" s="19" t="n">
        <f aca="false">IFERROR(INDEX(CADASTRO_PIVOS!$K$6:$K$41,MATCH($E1712,CADASTRO_PIVOS!$B$6:$B$41,0)),EFICIENCIA_PADRAO)</f>
        <v>0.85</v>
      </c>
      <c r="Y1712" s="18" t="n">
        <f aca="false">IF($X1712&lt;=0,0,$W1712/$X1712)</f>
        <v>0</v>
      </c>
      <c r="Z1712" s="16" t="n">
        <f aca="false">$Y1712*$H1712*MM_PARA_M3_HA</f>
        <v>0</v>
      </c>
      <c r="AA1712" s="18" t="n">
        <f aca="false">IFERROR(INDEX(CADASTRO_PIVOS!$I$6:$I$41,MATCH($E1712,CADASTRO_PIVOS!$B$6:$B$41,0)),0)</f>
        <v>1071.28571428571</v>
      </c>
      <c r="AB1712" s="18" t="n">
        <f aca="false">IF($Z1712&lt;=0,0,$Z1712/$AA1712)</f>
        <v>0</v>
      </c>
      <c r="AC1712" s="16" t="n">
        <f aca="false">IFERROR(INDEX(SEMANAS!$K$6:$K$71,MATCH($B1712,SEMANAS!$B$6:$B$71,0)),0)</f>
        <v>147</v>
      </c>
      <c r="AD1712" s="19" t="n">
        <f aca="false">IF($AC1712&lt;=0,0,$AB1712/$AC1712)</f>
        <v>0</v>
      </c>
      <c r="AE1712" s="8" t="str">
        <f aca="false">IF($K1712="SEM CULTURA","SEM CULTURA",IF($AA1712&lt;=0,"DADO PENDENTE",IF($AD1712&gt;LIMITE_CRITICO,"INVIAVEL",IF($AD1712&gt;LIMITE_ATENCAO,"CRITICO",IF($AD1712&gt;LIMITE_CONFORTAVEL,"ATENCAO","OK")))))</f>
        <v>SEM CULTURA</v>
      </c>
      <c r="AF1712" s="8" t="str">
        <f aca="false">$B1712&amp;"|"&amp;TEXT($AD1712,"0.000000")</f>
        <v>57|0.000000</v>
      </c>
      <c r="AG1712" s="18" t="n">
        <f aca="false">IF($K1712="SEM CULTURA",0,$T1712*$H1712)</f>
        <v>0</v>
      </c>
      <c r="AH1712" s="18" t="n">
        <f aca="false">IF($K1712="SEM CULTURA",0,$V1712*$H1712)</f>
        <v>0</v>
      </c>
      <c r="AI1712" s="18" t="n">
        <f aca="false">IF($K1712="SEM CULTURA",0,$W1712*$H1712)</f>
        <v>0</v>
      </c>
      <c r="AJ1712" s="18" t="n">
        <f aca="false">IF($K1712="SEM CULTURA",0,$S1712*$H1712)</f>
        <v>0</v>
      </c>
      <c r="AK1712" s="8" t="str">
        <f aca="false">$E1712&amp;"|"&amp;TEXT($AD1712,"0.000000")</f>
        <v>PV 122|0.000000</v>
      </c>
    </row>
    <row r="1713" customFormat="false" ht="15" hidden="false" customHeight="false" outlineLevel="0" collapsed="false">
      <c r="B1713" s="16" t="n">
        <v>58</v>
      </c>
      <c r="C1713" s="17" t="n">
        <f aca="false">DATA_INICIO_SAFRA+($B1713-1)*DIAS_POR_SEMANA</f>
        <v>46664</v>
      </c>
      <c r="D1713" s="17" t="n">
        <f aca="false">$C1713+DIAS_POR_SEMANA-1</f>
        <v>46670</v>
      </c>
      <c r="E1713" s="15" t="s">
        <v>284</v>
      </c>
      <c r="F1713" s="8" t="str">
        <f aca="false">IFERROR(INDEX(CADASTRO_PIVOS!$C$6:$C$41,MATCH($E1713,CADASTRO_PIVOS!$B$6:$B$41,0)),"?")</f>
        <v>RM07</v>
      </c>
      <c r="G1713" s="8" t="str">
        <f aca="false">IFERROR(INDEX(CADASTRO_PIVOS!$D$6:$D$41,MATCH($E1713,CADASTRO_PIVOS!$B$6:$B$41,0)),"?")</f>
        <v>TR07</v>
      </c>
      <c r="H1713" s="20" t="n">
        <f aca="false">IFERROR(INDEX(CADASTRO_PIVOS!$E$6:$E$41,MATCH($E1713,CADASTRO_PIVOS!$B$6:$B$41,0)),0)</f>
        <v>149.98</v>
      </c>
      <c r="I1713" s="16" t="n">
        <f aca="false">IFERROR(SUMIFS(ROTACAO_RDM!$B$6:$B$71,ROTACAO_RDM!$D$6:$D$71,$E1713,ROTACAO_RDM!$I$6:$I$71,"&lt;="&amp;$C1713+INT(DIAS_POR_SEMANA/2),ROTACAO_RDM!$J$6:$J$71,"&gt;="&amp;$C1713+INT(DIAS_POR_SEMANA/2)),0)</f>
        <v>0</v>
      </c>
      <c r="J1713" s="16" t="n">
        <f aca="false">IFERROR(MATCH($I1713,ROTACAO_RDM!$B$6:$B$71,0),0)</f>
        <v>0</v>
      </c>
      <c r="K1713" s="8" t="str">
        <f aca="false">IF($J1713=0,"SEM CULTURA",INDEX(ROTACAO_RDM!$F$6:$F$71,$J1713))</f>
        <v>SEM CULTURA</v>
      </c>
      <c r="L1713" s="8" t="str">
        <f aca="false">IF($J1713=0,"",INDEX(ROTACAO_RDM!$G$6:$G$71,$J1713))</f>
        <v/>
      </c>
      <c r="M1713" s="17" t="str">
        <f aca="false">IF($J1713=0,"",INDEX(ROTACAO_RDM!$I$6:$I$71,$J1713))</f>
        <v/>
      </c>
      <c r="N1713" s="16" t="n">
        <f aca="false">IF($J1713=0,0,MAX(0,$C1713+INT(DIAS_POR_SEMANA/2)-INDEX(ROTACAO_RDM!$I$6:$I$71,$J1713)))</f>
        <v>0</v>
      </c>
      <c r="O1713" s="19" t="n">
        <f aca="false">IF($J1713=0,0,MIN(1,$N1713/MAX(1,INDEX(ROTACAO_RDM!$K$6:$K$71,$J1713))))</f>
        <v>0</v>
      </c>
      <c r="P1713" s="16" t="n">
        <f aca="false">IF($J1713=0,0,IFERROR(MATCH(INDEX(ROTACAO_RDM!$N$6:$N$71,$J1713),PARAMETROS_CULTURAS!$B$6:$B$28,0),0))</f>
        <v>0</v>
      </c>
      <c r="Q1713" s="8" t="str">
        <f aca="false">IF($P1713=0,"-",IF($O1713&lt;=INDEX(PARAMETROS_CULTURAS!$F$6:$F$28,$P1713),"INICIAL",IF($O1713&lt;=INDEX(PARAMETROS_CULTURAS!$F$6:$F$28,$P1713)+INDEX(PARAMETROS_CULTURAS!$G$6:$G$28,$P1713),"DESENVOLVIMENTO",IF($O1713&lt;=INDEX(PARAMETROS_CULTURAS!$F$6:$F$28,$P1713)+INDEX(PARAMETROS_CULTURAS!$G$6:$G$28,$P1713)+INDEX(PARAMETROS_CULTURAS!$H$6:$H$28,$P1713),"MEDIA","FINAL"))))</f>
        <v>-</v>
      </c>
      <c r="R1713" s="24" t="n">
        <f aca="false">IF($P1713=0,0,IF($O1713&lt;=INDEX(PARAMETROS_CULTURAS!$F$6:$F$28,$P1713),INDEX(PARAMETROS_CULTURAS!$K$6:$K$28,$P1713),IF($O1713&lt;=INDEX(PARAMETROS_CULTURAS!$F$6:$F$28,$P1713)+INDEX(PARAMETROS_CULTURAS!$G$6:$G$28,$P1713),INDEX(PARAMETROS_CULTURAS!$K$6:$K$28,$P1713)+(INDEX(PARAMETROS_CULTURAS!$L$6:$L$28,$P1713)-INDEX(PARAMETROS_CULTURAS!$K$6:$K$28,$P1713))*($O1713-INDEX(PARAMETROS_CULTURAS!$F$6:$F$28,$P1713))/MAX(INDEX(PARAMETROS_CULTURAS!$G$6:$G$28,$P1713),0.0001),IF($O1713&lt;=INDEX(PARAMETROS_CULTURAS!$F$6:$F$28,$P1713)+INDEX(PARAMETROS_CULTURAS!$G$6:$G$28,$P1713)+INDEX(PARAMETROS_CULTURAS!$H$6:$H$28,$P1713),INDEX(PARAMETROS_CULTURAS!$L$6:$L$28,$P1713),INDEX(PARAMETROS_CULTURAS!$L$6:$L$28,$P1713)+(INDEX(PARAMETROS_CULTURAS!$M$6:$M$28,$P1713)-INDEX(PARAMETROS_CULTURAS!$L$6:$L$28,$P1713))*($O1713-INDEX(PARAMETROS_CULTURAS!$F$6:$F$28,$P1713)-INDEX(PARAMETROS_CULTURAS!$G$6:$G$28,$P1713)-INDEX(PARAMETROS_CULTURAS!$H$6:$H$28,$P1713))/MAX(INDEX(PARAMETROS_CULTURAS!$I$6:$I$28,$P1713),0.0001)))))</f>
        <v>0</v>
      </c>
      <c r="S1713" s="18" t="n">
        <f aca="false">IFERROR(INDEX(SEMANAS!$H$6:$H$71,MATCH($B1713,SEMANAS!$B$6:$B$71,0)),0)</f>
        <v>39.2</v>
      </c>
      <c r="T1713" s="18" t="n">
        <f aca="false">$R1713*$S1713</f>
        <v>0</v>
      </c>
      <c r="U1713" s="18" t="n">
        <f aca="false">IFERROR(INDEX(SEMANAS!$I$6:$I$71,MATCH($B1713,SEMANAS!$B$6:$B$71,0)),0)</f>
        <v>27.09</v>
      </c>
      <c r="V1713" s="18" t="n">
        <f aca="false">IFERROR(INDEX(SEMANAS!$J$6:$J$71,MATCH($B1713,SEMANAS!$B$6:$B$71,0)),0)</f>
        <v>21.672</v>
      </c>
      <c r="W1713" s="18" t="n">
        <f aca="false">MAX(0,$T1713-$V1713)</f>
        <v>0</v>
      </c>
      <c r="X1713" s="19" t="n">
        <f aca="false">IFERROR(INDEX(CADASTRO_PIVOS!$K$6:$K$41,MATCH($E1713,CADASTRO_PIVOS!$B$6:$B$41,0)),EFICIENCIA_PADRAO)</f>
        <v>0.85</v>
      </c>
      <c r="Y1713" s="18" t="n">
        <f aca="false">IF($X1713&lt;=0,0,$W1713/$X1713)</f>
        <v>0</v>
      </c>
      <c r="Z1713" s="16" t="n">
        <f aca="false">$Y1713*$H1713*MM_PARA_M3_HA</f>
        <v>0</v>
      </c>
      <c r="AA1713" s="18" t="n">
        <f aca="false">IFERROR(INDEX(CADASTRO_PIVOS!$I$6:$I$41,MATCH($E1713,CADASTRO_PIVOS!$B$6:$B$41,0)),0)</f>
        <v>1071.28571428571</v>
      </c>
      <c r="AB1713" s="18" t="n">
        <f aca="false">IF($Z1713&lt;=0,0,$Z1713/$AA1713)</f>
        <v>0</v>
      </c>
      <c r="AC1713" s="16" t="n">
        <f aca="false">IFERROR(INDEX(SEMANAS!$K$6:$K$71,MATCH($B1713,SEMANAS!$B$6:$B$71,0)),0)</f>
        <v>147</v>
      </c>
      <c r="AD1713" s="19" t="n">
        <f aca="false">IF($AC1713&lt;=0,0,$AB1713/$AC1713)</f>
        <v>0</v>
      </c>
      <c r="AE1713" s="8" t="str">
        <f aca="false">IF($K1713="SEM CULTURA","SEM CULTURA",IF($AA1713&lt;=0,"DADO PENDENTE",IF($AD1713&gt;LIMITE_CRITICO,"INVIAVEL",IF($AD1713&gt;LIMITE_ATENCAO,"CRITICO",IF($AD1713&gt;LIMITE_CONFORTAVEL,"ATENCAO","OK")))))</f>
        <v>SEM CULTURA</v>
      </c>
      <c r="AF1713" s="8" t="str">
        <f aca="false">$B1713&amp;"|"&amp;TEXT($AD1713,"0.000000")</f>
        <v>58|0.000000</v>
      </c>
      <c r="AG1713" s="18" t="n">
        <f aca="false">IF($K1713="SEM CULTURA",0,$T1713*$H1713)</f>
        <v>0</v>
      </c>
      <c r="AH1713" s="18" t="n">
        <f aca="false">IF($K1713="SEM CULTURA",0,$V1713*$H1713)</f>
        <v>0</v>
      </c>
      <c r="AI1713" s="18" t="n">
        <f aca="false">IF($K1713="SEM CULTURA",0,$W1713*$H1713)</f>
        <v>0</v>
      </c>
      <c r="AJ1713" s="18" t="n">
        <f aca="false">IF($K1713="SEM CULTURA",0,$S1713*$H1713)</f>
        <v>0</v>
      </c>
      <c r="AK1713" s="8" t="str">
        <f aca="false">$E1713&amp;"|"&amp;TEXT($AD1713,"0.000000")</f>
        <v>PV 122|0.000000</v>
      </c>
    </row>
    <row r="1714" customFormat="false" ht="15" hidden="false" customHeight="false" outlineLevel="0" collapsed="false">
      <c r="B1714" s="16" t="n">
        <v>59</v>
      </c>
      <c r="C1714" s="17" t="n">
        <f aca="false">DATA_INICIO_SAFRA+($B1714-1)*DIAS_POR_SEMANA</f>
        <v>46671</v>
      </c>
      <c r="D1714" s="17" t="n">
        <f aca="false">$C1714+DIAS_POR_SEMANA-1</f>
        <v>46677</v>
      </c>
      <c r="E1714" s="15" t="s">
        <v>284</v>
      </c>
      <c r="F1714" s="8" t="str">
        <f aca="false">IFERROR(INDEX(CADASTRO_PIVOS!$C$6:$C$41,MATCH($E1714,CADASTRO_PIVOS!$B$6:$B$41,0)),"?")</f>
        <v>RM07</v>
      </c>
      <c r="G1714" s="8" t="str">
        <f aca="false">IFERROR(INDEX(CADASTRO_PIVOS!$D$6:$D$41,MATCH($E1714,CADASTRO_PIVOS!$B$6:$B$41,0)),"?")</f>
        <v>TR07</v>
      </c>
      <c r="H1714" s="20" t="n">
        <f aca="false">IFERROR(INDEX(CADASTRO_PIVOS!$E$6:$E$41,MATCH($E1714,CADASTRO_PIVOS!$B$6:$B$41,0)),0)</f>
        <v>149.98</v>
      </c>
      <c r="I1714" s="16" t="n">
        <f aca="false">IFERROR(SUMIFS(ROTACAO_RDM!$B$6:$B$71,ROTACAO_RDM!$D$6:$D$71,$E1714,ROTACAO_RDM!$I$6:$I$71,"&lt;="&amp;$C1714+INT(DIAS_POR_SEMANA/2),ROTACAO_RDM!$J$6:$J$71,"&gt;="&amp;$C1714+INT(DIAS_POR_SEMANA/2)),0)</f>
        <v>0</v>
      </c>
      <c r="J1714" s="16" t="n">
        <f aca="false">IFERROR(MATCH($I1714,ROTACAO_RDM!$B$6:$B$71,0),0)</f>
        <v>0</v>
      </c>
      <c r="K1714" s="8" t="str">
        <f aca="false">IF($J1714=0,"SEM CULTURA",INDEX(ROTACAO_RDM!$F$6:$F$71,$J1714))</f>
        <v>SEM CULTURA</v>
      </c>
      <c r="L1714" s="8" t="str">
        <f aca="false">IF($J1714=0,"",INDEX(ROTACAO_RDM!$G$6:$G$71,$J1714))</f>
        <v/>
      </c>
      <c r="M1714" s="17" t="str">
        <f aca="false">IF($J1714=0,"",INDEX(ROTACAO_RDM!$I$6:$I$71,$J1714))</f>
        <v/>
      </c>
      <c r="N1714" s="16" t="n">
        <f aca="false">IF($J1714=0,0,MAX(0,$C1714+INT(DIAS_POR_SEMANA/2)-INDEX(ROTACAO_RDM!$I$6:$I$71,$J1714)))</f>
        <v>0</v>
      </c>
      <c r="O1714" s="19" t="n">
        <f aca="false">IF($J1714=0,0,MIN(1,$N1714/MAX(1,INDEX(ROTACAO_RDM!$K$6:$K$71,$J1714))))</f>
        <v>0</v>
      </c>
      <c r="P1714" s="16" t="n">
        <f aca="false">IF($J1714=0,0,IFERROR(MATCH(INDEX(ROTACAO_RDM!$N$6:$N$71,$J1714),PARAMETROS_CULTURAS!$B$6:$B$28,0),0))</f>
        <v>0</v>
      </c>
      <c r="Q1714" s="8" t="str">
        <f aca="false">IF($P1714=0,"-",IF($O1714&lt;=INDEX(PARAMETROS_CULTURAS!$F$6:$F$28,$P1714),"INICIAL",IF($O1714&lt;=INDEX(PARAMETROS_CULTURAS!$F$6:$F$28,$P1714)+INDEX(PARAMETROS_CULTURAS!$G$6:$G$28,$P1714),"DESENVOLVIMENTO",IF($O1714&lt;=INDEX(PARAMETROS_CULTURAS!$F$6:$F$28,$P1714)+INDEX(PARAMETROS_CULTURAS!$G$6:$G$28,$P1714)+INDEX(PARAMETROS_CULTURAS!$H$6:$H$28,$P1714),"MEDIA","FINAL"))))</f>
        <v>-</v>
      </c>
      <c r="R1714" s="24" t="n">
        <f aca="false">IF($P1714=0,0,IF($O1714&lt;=INDEX(PARAMETROS_CULTURAS!$F$6:$F$28,$P1714),INDEX(PARAMETROS_CULTURAS!$K$6:$K$28,$P1714),IF($O1714&lt;=INDEX(PARAMETROS_CULTURAS!$F$6:$F$28,$P1714)+INDEX(PARAMETROS_CULTURAS!$G$6:$G$28,$P1714),INDEX(PARAMETROS_CULTURAS!$K$6:$K$28,$P1714)+(INDEX(PARAMETROS_CULTURAS!$L$6:$L$28,$P1714)-INDEX(PARAMETROS_CULTURAS!$K$6:$K$28,$P1714))*($O1714-INDEX(PARAMETROS_CULTURAS!$F$6:$F$28,$P1714))/MAX(INDEX(PARAMETROS_CULTURAS!$G$6:$G$28,$P1714),0.0001),IF($O1714&lt;=INDEX(PARAMETROS_CULTURAS!$F$6:$F$28,$P1714)+INDEX(PARAMETROS_CULTURAS!$G$6:$G$28,$P1714)+INDEX(PARAMETROS_CULTURAS!$H$6:$H$28,$P1714),INDEX(PARAMETROS_CULTURAS!$L$6:$L$28,$P1714),INDEX(PARAMETROS_CULTURAS!$L$6:$L$28,$P1714)+(INDEX(PARAMETROS_CULTURAS!$M$6:$M$28,$P1714)-INDEX(PARAMETROS_CULTURAS!$L$6:$L$28,$P1714))*($O1714-INDEX(PARAMETROS_CULTURAS!$F$6:$F$28,$P1714)-INDEX(PARAMETROS_CULTURAS!$G$6:$G$28,$P1714)-INDEX(PARAMETROS_CULTURAS!$H$6:$H$28,$P1714))/MAX(INDEX(PARAMETROS_CULTURAS!$I$6:$I$28,$P1714),0.0001)))))</f>
        <v>0</v>
      </c>
      <c r="S1714" s="18" t="n">
        <f aca="false">IFERROR(INDEX(SEMANAS!$H$6:$H$71,MATCH($B1714,SEMANAS!$B$6:$B$71,0)),0)</f>
        <v>39.2</v>
      </c>
      <c r="T1714" s="18" t="n">
        <f aca="false">$R1714*$S1714</f>
        <v>0</v>
      </c>
      <c r="U1714" s="18" t="n">
        <f aca="false">IFERROR(INDEX(SEMANAS!$I$6:$I$71,MATCH($B1714,SEMANAS!$B$6:$B$71,0)),0)</f>
        <v>27.09</v>
      </c>
      <c r="V1714" s="18" t="n">
        <f aca="false">IFERROR(INDEX(SEMANAS!$J$6:$J$71,MATCH($B1714,SEMANAS!$B$6:$B$71,0)),0)</f>
        <v>21.672</v>
      </c>
      <c r="W1714" s="18" t="n">
        <f aca="false">MAX(0,$T1714-$V1714)</f>
        <v>0</v>
      </c>
      <c r="X1714" s="19" t="n">
        <f aca="false">IFERROR(INDEX(CADASTRO_PIVOS!$K$6:$K$41,MATCH($E1714,CADASTRO_PIVOS!$B$6:$B$41,0)),EFICIENCIA_PADRAO)</f>
        <v>0.85</v>
      </c>
      <c r="Y1714" s="18" t="n">
        <f aca="false">IF($X1714&lt;=0,0,$W1714/$X1714)</f>
        <v>0</v>
      </c>
      <c r="Z1714" s="16" t="n">
        <f aca="false">$Y1714*$H1714*MM_PARA_M3_HA</f>
        <v>0</v>
      </c>
      <c r="AA1714" s="18" t="n">
        <f aca="false">IFERROR(INDEX(CADASTRO_PIVOS!$I$6:$I$41,MATCH($E1714,CADASTRO_PIVOS!$B$6:$B$41,0)),0)</f>
        <v>1071.28571428571</v>
      </c>
      <c r="AB1714" s="18" t="n">
        <f aca="false">IF($Z1714&lt;=0,0,$Z1714/$AA1714)</f>
        <v>0</v>
      </c>
      <c r="AC1714" s="16" t="n">
        <f aca="false">IFERROR(INDEX(SEMANAS!$K$6:$K$71,MATCH($B1714,SEMANAS!$B$6:$B$71,0)),0)</f>
        <v>147</v>
      </c>
      <c r="AD1714" s="19" t="n">
        <f aca="false">IF($AC1714&lt;=0,0,$AB1714/$AC1714)</f>
        <v>0</v>
      </c>
      <c r="AE1714" s="8" t="str">
        <f aca="false">IF($K1714="SEM CULTURA","SEM CULTURA",IF($AA1714&lt;=0,"DADO PENDENTE",IF($AD1714&gt;LIMITE_CRITICO,"INVIAVEL",IF($AD1714&gt;LIMITE_ATENCAO,"CRITICO",IF($AD1714&gt;LIMITE_CONFORTAVEL,"ATENCAO","OK")))))</f>
        <v>SEM CULTURA</v>
      </c>
      <c r="AF1714" s="8" t="str">
        <f aca="false">$B1714&amp;"|"&amp;TEXT($AD1714,"0.000000")</f>
        <v>59|0.000000</v>
      </c>
      <c r="AG1714" s="18" t="n">
        <f aca="false">IF($K1714="SEM CULTURA",0,$T1714*$H1714)</f>
        <v>0</v>
      </c>
      <c r="AH1714" s="18" t="n">
        <f aca="false">IF($K1714="SEM CULTURA",0,$V1714*$H1714)</f>
        <v>0</v>
      </c>
      <c r="AI1714" s="18" t="n">
        <f aca="false">IF($K1714="SEM CULTURA",0,$W1714*$H1714)</f>
        <v>0</v>
      </c>
      <c r="AJ1714" s="18" t="n">
        <f aca="false">IF($K1714="SEM CULTURA",0,$S1714*$H1714)</f>
        <v>0</v>
      </c>
      <c r="AK1714" s="8" t="str">
        <f aca="false">$E1714&amp;"|"&amp;TEXT($AD1714,"0.000000")</f>
        <v>PV 122|0.000000</v>
      </c>
    </row>
    <row r="1715" customFormat="false" ht="15" hidden="false" customHeight="false" outlineLevel="0" collapsed="false">
      <c r="B1715" s="16" t="n">
        <v>60</v>
      </c>
      <c r="C1715" s="17" t="n">
        <f aca="false">DATA_INICIO_SAFRA+($B1715-1)*DIAS_POR_SEMANA</f>
        <v>46678</v>
      </c>
      <c r="D1715" s="17" t="n">
        <f aca="false">$C1715+DIAS_POR_SEMANA-1</f>
        <v>46684</v>
      </c>
      <c r="E1715" s="15" t="s">
        <v>284</v>
      </c>
      <c r="F1715" s="8" t="str">
        <f aca="false">IFERROR(INDEX(CADASTRO_PIVOS!$C$6:$C$41,MATCH($E1715,CADASTRO_PIVOS!$B$6:$B$41,0)),"?")</f>
        <v>RM07</v>
      </c>
      <c r="G1715" s="8" t="str">
        <f aca="false">IFERROR(INDEX(CADASTRO_PIVOS!$D$6:$D$41,MATCH($E1715,CADASTRO_PIVOS!$B$6:$B$41,0)),"?")</f>
        <v>TR07</v>
      </c>
      <c r="H1715" s="20" t="n">
        <f aca="false">IFERROR(INDEX(CADASTRO_PIVOS!$E$6:$E$41,MATCH($E1715,CADASTRO_PIVOS!$B$6:$B$41,0)),0)</f>
        <v>149.98</v>
      </c>
      <c r="I1715" s="16" t="n">
        <f aca="false">IFERROR(SUMIFS(ROTACAO_RDM!$B$6:$B$71,ROTACAO_RDM!$D$6:$D$71,$E1715,ROTACAO_RDM!$I$6:$I$71,"&lt;="&amp;$C1715+INT(DIAS_POR_SEMANA/2),ROTACAO_RDM!$J$6:$J$71,"&gt;="&amp;$C1715+INT(DIAS_POR_SEMANA/2)),0)</f>
        <v>0</v>
      </c>
      <c r="J1715" s="16" t="n">
        <f aca="false">IFERROR(MATCH($I1715,ROTACAO_RDM!$B$6:$B$71,0),0)</f>
        <v>0</v>
      </c>
      <c r="K1715" s="8" t="str">
        <f aca="false">IF($J1715=0,"SEM CULTURA",INDEX(ROTACAO_RDM!$F$6:$F$71,$J1715))</f>
        <v>SEM CULTURA</v>
      </c>
      <c r="L1715" s="8" t="str">
        <f aca="false">IF($J1715=0,"",INDEX(ROTACAO_RDM!$G$6:$G$71,$J1715))</f>
        <v/>
      </c>
      <c r="M1715" s="17" t="str">
        <f aca="false">IF($J1715=0,"",INDEX(ROTACAO_RDM!$I$6:$I$71,$J1715))</f>
        <v/>
      </c>
      <c r="N1715" s="16" t="n">
        <f aca="false">IF($J1715=0,0,MAX(0,$C1715+INT(DIAS_POR_SEMANA/2)-INDEX(ROTACAO_RDM!$I$6:$I$71,$J1715)))</f>
        <v>0</v>
      </c>
      <c r="O1715" s="19" t="n">
        <f aca="false">IF($J1715=0,0,MIN(1,$N1715/MAX(1,INDEX(ROTACAO_RDM!$K$6:$K$71,$J1715))))</f>
        <v>0</v>
      </c>
      <c r="P1715" s="16" t="n">
        <f aca="false">IF($J1715=0,0,IFERROR(MATCH(INDEX(ROTACAO_RDM!$N$6:$N$71,$J1715),PARAMETROS_CULTURAS!$B$6:$B$28,0),0))</f>
        <v>0</v>
      </c>
      <c r="Q1715" s="8" t="str">
        <f aca="false">IF($P1715=0,"-",IF($O1715&lt;=INDEX(PARAMETROS_CULTURAS!$F$6:$F$28,$P1715),"INICIAL",IF($O1715&lt;=INDEX(PARAMETROS_CULTURAS!$F$6:$F$28,$P1715)+INDEX(PARAMETROS_CULTURAS!$G$6:$G$28,$P1715),"DESENVOLVIMENTO",IF($O1715&lt;=INDEX(PARAMETROS_CULTURAS!$F$6:$F$28,$P1715)+INDEX(PARAMETROS_CULTURAS!$G$6:$G$28,$P1715)+INDEX(PARAMETROS_CULTURAS!$H$6:$H$28,$P1715),"MEDIA","FINAL"))))</f>
        <v>-</v>
      </c>
      <c r="R1715" s="24" t="n">
        <f aca="false">IF($P1715=0,0,IF($O1715&lt;=INDEX(PARAMETROS_CULTURAS!$F$6:$F$28,$P1715),INDEX(PARAMETROS_CULTURAS!$K$6:$K$28,$P1715),IF($O1715&lt;=INDEX(PARAMETROS_CULTURAS!$F$6:$F$28,$P1715)+INDEX(PARAMETROS_CULTURAS!$G$6:$G$28,$P1715),INDEX(PARAMETROS_CULTURAS!$K$6:$K$28,$P1715)+(INDEX(PARAMETROS_CULTURAS!$L$6:$L$28,$P1715)-INDEX(PARAMETROS_CULTURAS!$K$6:$K$28,$P1715))*($O1715-INDEX(PARAMETROS_CULTURAS!$F$6:$F$28,$P1715))/MAX(INDEX(PARAMETROS_CULTURAS!$G$6:$G$28,$P1715),0.0001),IF($O1715&lt;=INDEX(PARAMETROS_CULTURAS!$F$6:$F$28,$P1715)+INDEX(PARAMETROS_CULTURAS!$G$6:$G$28,$P1715)+INDEX(PARAMETROS_CULTURAS!$H$6:$H$28,$P1715),INDEX(PARAMETROS_CULTURAS!$L$6:$L$28,$P1715),INDEX(PARAMETROS_CULTURAS!$L$6:$L$28,$P1715)+(INDEX(PARAMETROS_CULTURAS!$M$6:$M$28,$P1715)-INDEX(PARAMETROS_CULTURAS!$L$6:$L$28,$P1715))*($O1715-INDEX(PARAMETROS_CULTURAS!$F$6:$F$28,$P1715)-INDEX(PARAMETROS_CULTURAS!$G$6:$G$28,$P1715)-INDEX(PARAMETROS_CULTURAS!$H$6:$H$28,$P1715))/MAX(INDEX(PARAMETROS_CULTURAS!$I$6:$I$28,$P1715),0.0001)))))</f>
        <v>0</v>
      </c>
      <c r="S1715" s="18" t="n">
        <f aca="false">IFERROR(INDEX(SEMANAS!$H$6:$H$71,MATCH($B1715,SEMANAS!$B$6:$B$71,0)),0)</f>
        <v>39.2</v>
      </c>
      <c r="T1715" s="18" t="n">
        <f aca="false">$R1715*$S1715</f>
        <v>0</v>
      </c>
      <c r="U1715" s="18" t="n">
        <f aca="false">IFERROR(INDEX(SEMANAS!$I$6:$I$71,MATCH($B1715,SEMANAS!$B$6:$B$71,0)),0)</f>
        <v>27.09</v>
      </c>
      <c r="V1715" s="18" t="n">
        <f aca="false">IFERROR(INDEX(SEMANAS!$J$6:$J$71,MATCH($B1715,SEMANAS!$B$6:$B$71,0)),0)</f>
        <v>21.672</v>
      </c>
      <c r="W1715" s="18" t="n">
        <f aca="false">MAX(0,$T1715-$V1715)</f>
        <v>0</v>
      </c>
      <c r="X1715" s="19" t="n">
        <f aca="false">IFERROR(INDEX(CADASTRO_PIVOS!$K$6:$K$41,MATCH($E1715,CADASTRO_PIVOS!$B$6:$B$41,0)),EFICIENCIA_PADRAO)</f>
        <v>0.85</v>
      </c>
      <c r="Y1715" s="18" t="n">
        <f aca="false">IF($X1715&lt;=0,0,$W1715/$X1715)</f>
        <v>0</v>
      </c>
      <c r="Z1715" s="16" t="n">
        <f aca="false">$Y1715*$H1715*MM_PARA_M3_HA</f>
        <v>0</v>
      </c>
      <c r="AA1715" s="18" t="n">
        <f aca="false">IFERROR(INDEX(CADASTRO_PIVOS!$I$6:$I$41,MATCH($E1715,CADASTRO_PIVOS!$B$6:$B$41,0)),0)</f>
        <v>1071.28571428571</v>
      </c>
      <c r="AB1715" s="18" t="n">
        <f aca="false">IF($Z1715&lt;=0,0,$Z1715/$AA1715)</f>
        <v>0</v>
      </c>
      <c r="AC1715" s="16" t="n">
        <f aca="false">IFERROR(INDEX(SEMANAS!$K$6:$K$71,MATCH($B1715,SEMANAS!$B$6:$B$71,0)),0)</f>
        <v>147</v>
      </c>
      <c r="AD1715" s="19" t="n">
        <f aca="false">IF($AC1715&lt;=0,0,$AB1715/$AC1715)</f>
        <v>0</v>
      </c>
      <c r="AE1715" s="8" t="str">
        <f aca="false">IF($K1715="SEM CULTURA","SEM CULTURA",IF($AA1715&lt;=0,"DADO PENDENTE",IF($AD1715&gt;LIMITE_CRITICO,"INVIAVEL",IF($AD1715&gt;LIMITE_ATENCAO,"CRITICO",IF($AD1715&gt;LIMITE_CONFORTAVEL,"ATENCAO","OK")))))</f>
        <v>SEM CULTURA</v>
      </c>
      <c r="AF1715" s="8" t="str">
        <f aca="false">$B1715&amp;"|"&amp;TEXT($AD1715,"0.000000")</f>
        <v>60|0.000000</v>
      </c>
      <c r="AG1715" s="18" t="n">
        <f aca="false">IF($K1715="SEM CULTURA",0,$T1715*$H1715)</f>
        <v>0</v>
      </c>
      <c r="AH1715" s="18" t="n">
        <f aca="false">IF($K1715="SEM CULTURA",0,$V1715*$H1715)</f>
        <v>0</v>
      </c>
      <c r="AI1715" s="18" t="n">
        <f aca="false">IF($K1715="SEM CULTURA",0,$W1715*$H1715)</f>
        <v>0</v>
      </c>
      <c r="AJ1715" s="18" t="n">
        <f aca="false">IF($K1715="SEM CULTURA",0,$S1715*$H1715)</f>
        <v>0</v>
      </c>
      <c r="AK1715" s="8" t="str">
        <f aca="false">$E1715&amp;"|"&amp;TEXT($AD1715,"0.000000")</f>
        <v>PV 122|0.000000</v>
      </c>
    </row>
    <row r="1716" customFormat="false" ht="15" hidden="false" customHeight="false" outlineLevel="0" collapsed="false">
      <c r="B1716" s="16" t="n">
        <v>61</v>
      </c>
      <c r="C1716" s="17" t="n">
        <f aca="false">DATA_INICIO_SAFRA+($B1716-1)*DIAS_POR_SEMANA</f>
        <v>46685</v>
      </c>
      <c r="D1716" s="17" t="n">
        <f aca="false">$C1716+DIAS_POR_SEMANA-1</f>
        <v>46691</v>
      </c>
      <c r="E1716" s="15" t="s">
        <v>284</v>
      </c>
      <c r="F1716" s="8" t="str">
        <f aca="false">IFERROR(INDEX(CADASTRO_PIVOS!$C$6:$C$41,MATCH($E1716,CADASTRO_PIVOS!$B$6:$B$41,0)),"?")</f>
        <v>RM07</v>
      </c>
      <c r="G1716" s="8" t="str">
        <f aca="false">IFERROR(INDEX(CADASTRO_PIVOS!$D$6:$D$41,MATCH($E1716,CADASTRO_PIVOS!$B$6:$B$41,0)),"?")</f>
        <v>TR07</v>
      </c>
      <c r="H1716" s="20" t="n">
        <f aca="false">IFERROR(INDEX(CADASTRO_PIVOS!$E$6:$E$41,MATCH($E1716,CADASTRO_PIVOS!$B$6:$B$41,0)),0)</f>
        <v>149.98</v>
      </c>
      <c r="I1716" s="16" t="n">
        <f aca="false">IFERROR(SUMIFS(ROTACAO_RDM!$B$6:$B$71,ROTACAO_RDM!$D$6:$D$71,$E1716,ROTACAO_RDM!$I$6:$I$71,"&lt;="&amp;$C1716+INT(DIAS_POR_SEMANA/2),ROTACAO_RDM!$J$6:$J$71,"&gt;="&amp;$C1716+INT(DIAS_POR_SEMANA/2)),0)</f>
        <v>0</v>
      </c>
      <c r="J1716" s="16" t="n">
        <f aca="false">IFERROR(MATCH($I1716,ROTACAO_RDM!$B$6:$B$71,0),0)</f>
        <v>0</v>
      </c>
      <c r="K1716" s="8" t="str">
        <f aca="false">IF($J1716=0,"SEM CULTURA",INDEX(ROTACAO_RDM!$F$6:$F$71,$J1716))</f>
        <v>SEM CULTURA</v>
      </c>
      <c r="L1716" s="8" t="str">
        <f aca="false">IF($J1716=0,"",INDEX(ROTACAO_RDM!$G$6:$G$71,$J1716))</f>
        <v/>
      </c>
      <c r="M1716" s="17" t="str">
        <f aca="false">IF($J1716=0,"",INDEX(ROTACAO_RDM!$I$6:$I$71,$J1716))</f>
        <v/>
      </c>
      <c r="N1716" s="16" t="n">
        <f aca="false">IF($J1716=0,0,MAX(0,$C1716+INT(DIAS_POR_SEMANA/2)-INDEX(ROTACAO_RDM!$I$6:$I$71,$J1716)))</f>
        <v>0</v>
      </c>
      <c r="O1716" s="19" t="n">
        <f aca="false">IF($J1716=0,0,MIN(1,$N1716/MAX(1,INDEX(ROTACAO_RDM!$K$6:$K$71,$J1716))))</f>
        <v>0</v>
      </c>
      <c r="P1716" s="16" t="n">
        <f aca="false">IF($J1716=0,0,IFERROR(MATCH(INDEX(ROTACAO_RDM!$N$6:$N$71,$J1716),PARAMETROS_CULTURAS!$B$6:$B$28,0),0))</f>
        <v>0</v>
      </c>
      <c r="Q1716" s="8" t="str">
        <f aca="false">IF($P1716=0,"-",IF($O1716&lt;=INDEX(PARAMETROS_CULTURAS!$F$6:$F$28,$P1716),"INICIAL",IF($O1716&lt;=INDEX(PARAMETROS_CULTURAS!$F$6:$F$28,$P1716)+INDEX(PARAMETROS_CULTURAS!$G$6:$G$28,$P1716),"DESENVOLVIMENTO",IF($O1716&lt;=INDEX(PARAMETROS_CULTURAS!$F$6:$F$28,$P1716)+INDEX(PARAMETROS_CULTURAS!$G$6:$G$28,$P1716)+INDEX(PARAMETROS_CULTURAS!$H$6:$H$28,$P1716),"MEDIA","FINAL"))))</f>
        <v>-</v>
      </c>
      <c r="R1716" s="24" t="n">
        <f aca="false">IF($P1716=0,0,IF($O1716&lt;=INDEX(PARAMETROS_CULTURAS!$F$6:$F$28,$P1716),INDEX(PARAMETROS_CULTURAS!$K$6:$K$28,$P1716),IF($O1716&lt;=INDEX(PARAMETROS_CULTURAS!$F$6:$F$28,$P1716)+INDEX(PARAMETROS_CULTURAS!$G$6:$G$28,$P1716),INDEX(PARAMETROS_CULTURAS!$K$6:$K$28,$P1716)+(INDEX(PARAMETROS_CULTURAS!$L$6:$L$28,$P1716)-INDEX(PARAMETROS_CULTURAS!$K$6:$K$28,$P1716))*($O1716-INDEX(PARAMETROS_CULTURAS!$F$6:$F$28,$P1716))/MAX(INDEX(PARAMETROS_CULTURAS!$G$6:$G$28,$P1716),0.0001),IF($O1716&lt;=INDEX(PARAMETROS_CULTURAS!$F$6:$F$28,$P1716)+INDEX(PARAMETROS_CULTURAS!$G$6:$G$28,$P1716)+INDEX(PARAMETROS_CULTURAS!$H$6:$H$28,$P1716),INDEX(PARAMETROS_CULTURAS!$L$6:$L$28,$P1716),INDEX(PARAMETROS_CULTURAS!$L$6:$L$28,$P1716)+(INDEX(PARAMETROS_CULTURAS!$M$6:$M$28,$P1716)-INDEX(PARAMETROS_CULTURAS!$L$6:$L$28,$P1716))*($O1716-INDEX(PARAMETROS_CULTURAS!$F$6:$F$28,$P1716)-INDEX(PARAMETROS_CULTURAS!$G$6:$G$28,$P1716)-INDEX(PARAMETROS_CULTURAS!$H$6:$H$28,$P1716))/MAX(INDEX(PARAMETROS_CULTURAS!$I$6:$I$28,$P1716),0.0001)))))</f>
        <v>0</v>
      </c>
      <c r="S1716" s="18" t="n">
        <f aca="false">IFERROR(INDEX(SEMANAS!$H$6:$H$71,MATCH($B1716,SEMANAS!$B$6:$B$71,0)),0)</f>
        <v>39.2</v>
      </c>
      <c r="T1716" s="18" t="n">
        <f aca="false">$R1716*$S1716</f>
        <v>0</v>
      </c>
      <c r="U1716" s="18" t="n">
        <f aca="false">IFERROR(INDEX(SEMANAS!$I$6:$I$71,MATCH($B1716,SEMANAS!$B$6:$B$71,0)),0)</f>
        <v>27.09</v>
      </c>
      <c r="V1716" s="18" t="n">
        <f aca="false">IFERROR(INDEX(SEMANAS!$J$6:$J$71,MATCH($B1716,SEMANAS!$B$6:$B$71,0)),0)</f>
        <v>21.672</v>
      </c>
      <c r="W1716" s="18" t="n">
        <f aca="false">MAX(0,$T1716-$V1716)</f>
        <v>0</v>
      </c>
      <c r="X1716" s="19" t="n">
        <f aca="false">IFERROR(INDEX(CADASTRO_PIVOS!$K$6:$K$41,MATCH($E1716,CADASTRO_PIVOS!$B$6:$B$41,0)),EFICIENCIA_PADRAO)</f>
        <v>0.85</v>
      </c>
      <c r="Y1716" s="18" t="n">
        <f aca="false">IF($X1716&lt;=0,0,$W1716/$X1716)</f>
        <v>0</v>
      </c>
      <c r="Z1716" s="16" t="n">
        <f aca="false">$Y1716*$H1716*MM_PARA_M3_HA</f>
        <v>0</v>
      </c>
      <c r="AA1716" s="18" t="n">
        <f aca="false">IFERROR(INDEX(CADASTRO_PIVOS!$I$6:$I$41,MATCH($E1716,CADASTRO_PIVOS!$B$6:$B$41,0)),0)</f>
        <v>1071.28571428571</v>
      </c>
      <c r="AB1716" s="18" t="n">
        <f aca="false">IF($Z1716&lt;=0,0,$Z1716/$AA1716)</f>
        <v>0</v>
      </c>
      <c r="AC1716" s="16" t="n">
        <f aca="false">IFERROR(INDEX(SEMANAS!$K$6:$K$71,MATCH($B1716,SEMANAS!$B$6:$B$71,0)),0)</f>
        <v>147</v>
      </c>
      <c r="AD1716" s="19" t="n">
        <f aca="false">IF($AC1716&lt;=0,0,$AB1716/$AC1716)</f>
        <v>0</v>
      </c>
      <c r="AE1716" s="8" t="str">
        <f aca="false">IF($K1716="SEM CULTURA","SEM CULTURA",IF($AA1716&lt;=0,"DADO PENDENTE",IF($AD1716&gt;LIMITE_CRITICO,"INVIAVEL",IF($AD1716&gt;LIMITE_ATENCAO,"CRITICO",IF($AD1716&gt;LIMITE_CONFORTAVEL,"ATENCAO","OK")))))</f>
        <v>SEM CULTURA</v>
      </c>
      <c r="AF1716" s="8" t="str">
        <f aca="false">$B1716&amp;"|"&amp;TEXT($AD1716,"0.000000")</f>
        <v>61|0.000000</v>
      </c>
      <c r="AG1716" s="18" t="n">
        <f aca="false">IF($K1716="SEM CULTURA",0,$T1716*$H1716)</f>
        <v>0</v>
      </c>
      <c r="AH1716" s="18" t="n">
        <f aca="false">IF($K1716="SEM CULTURA",0,$V1716*$H1716)</f>
        <v>0</v>
      </c>
      <c r="AI1716" s="18" t="n">
        <f aca="false">IF($K1716="SEM CULTURA",0,$W1716*$H1716)</f>
        <v>0</v>
      </c>
      <c r="AJ1716" s="18" t="n">
        <f aca="false">IF($K1716="SEM CULTURA",0,$S1716*$H1716)</f>
        <v>0</v>
      </c>
      <c r="AK1716" s="8" t="str">
        <f aca="false">$E1716&amp;"|"&amp;TEXT($AD1716,"0.000000")</f>
        <v>PV 122|0.000000</v>
      </c>
    </row>
    <row r="1717" customFormat="false" ht="15" hidden="false" customHeight="false" outlineLevel="0" collapsed="false">
      <c r="B1717" s="16" t="n">
        <v>62</v>
      </c>
      <c r="C1717" s="17" t="n">
        <f aca="false">DATA_INICIO_SAFRA+($B1717-1)*DIAS_POR_SEMANA</f>
        <v>46692</v>
      </c>
      <c r="D1717" s="17" t="n">
        <f aca="false">$C1717+DIAS_POR_SEMANA-1</f>
        <v>46698</v>
      </c>
      <c r="E1717" s="15" t="s">
        <v>284</v>
      </c>
      <c r="F1717" s="8" t="str">
        <f aca="false">IFERROR(INDEX(CADASTRO_PIVOS!$C$6:$C$41,MATCH($E1717,CADASTRO_PIVOS!$B$6:$B$41,0)),"?")</f>
        <v>RM07</v>
      </c>
      <c r="G1717" s="8" t="str">
        <f aca="false">IFERROR(INDEX(CADASTRO_PIVOS!$D$6:$D$41,MATCH($E1717,CADASTRO_PIVOS!$B$6:$B$41,0)),"?")</f>
        <v>TR07</v>
      </c>
      <c r="H1717" s="20" t="n">
        <f aca="false">IFERROR(INDEX(CADASTRO_PIVOS!$E$6:$E$41,MATCH($E1717,CADASTRO_PIVOS!$B$6:$B$41,0)),0)</f>
        <v>149.98</v>
      </c>
      <c r="I1717" s="16" t="n">
        <f aca="false">IFERROR(SUMIFS(ROTACAO_RDM!$B$6:$B$71,ROTACAO_RDM!$D$6:$D$71,$E1717,ROTACAO_RDM!$I$6:$I$71,"&lt;="&amp;$C1717+INT(DIAS_POR_SEMANA/2),ROTACAO_RDM!$J$6:$J$71,"&gt;="&amp;$C1717+INT(DIAS_POR_SEMANA/2)),0)</f>
        <v>0</v>
      </c>
      <c r="J1717" s="16" t="n">
        <f aca="false">IFERROR(MATCH($I1717,ROTACAO_RDM!$B$6:$B$71,0),0)</f>
        <v>0</v>
      </c>
      <c r="K1717" s="8" t="str">
        <f aca="false">IF($J1717=0,"SEM CULTURA",INDEX(ROTACAO_RDM!$F$6:$F$71,$J1717))</f>
        <v>SEM CULTURA</v>
      </c>
      <c r="L1717" s="8" t="str">
        <f aca="false">IF($J1717=0,"",INDEX(ROTACAO_RDM!$G$6:$G$71,$J1717))</f>
        <v/>
      </c>
      <c r="M1717" s="17" t="str">
        <f aca="false">IF($J1717=0,"",INDEX(ROTACAO_RDM!$I$6:$I$71,$J1717))</f>
        <v/>
      </c>
      <c r="N1717" s="16" t="n">
        <f aca="false">IF($J1717=0,0,MAX(0,$C1717+INT(DIAS_POR_SEMANA/2)-INDEX(ROTACAO_RDM!$I$6:$I$71,$J1717)))</f>
        <v>0</v>
      </c>
      <c r="O1717" s="19" t="n">
        <f aca="false">IF($J1717=0,0,MIN(1,$N1717/MAX(1,INDEX(ROTACAO_RDM!$K$6:$K$71,$J1717))))</f>
        <v>0</v>
      </c>
      <c r="P1717" s="16" t="n">
        <f aca="false">IF($J1717=0,0,IFERROR(MATCH(INDEX(ROTACAO_RDM!$N$6:$N$71,$J1717),PARAMETROS_CULTURAS!$B$6:$B$28,0),0))</f>
        <v>0</v>
      </c>
      <c r="Q1717" s="8" t="str">
        <f aca="false">IF($P1717=0,"-",IF($O1717&lt;=INDEX(PARAMETROS_CULTURAS!$F$6:$F$28,$P1717),"INICIAL",IF($O1717&lt;=INDEX(PARAMETROS_CULTURAS!$F$6:$F$28,$P1717)+INDEX(PARAMETROS_CULTURAS!$G$6:$G$28,$P1717),"DESENVOLVIMENTO",IF($O1717&lt;=INDEX(PARAMETROS_CULTURAS!$F$6:$F$28,$P1717)+INDEX(PARAMETROS_CULTURAS!$G$6:$G$28,$P1717)+INDEX(PARAMETROS_CULTURAS!$H$6:$H$28,$P1717),"MEDIA","FINAL"))))</f>
        <v>-</v>
      </c>
      <c r="R1717" s="24" t="n">
        <f aca="false">IF($P1717=0,0,IF($O1717&lt;=INDEX(PARAMETROS_CULTURAS!$F$6:$F$28,$P1717),INDEX(PARAMETROS_CULTURAS!$K$6:$K$28,$P1717),IF($O1717&lt;=INDEX(PARAMETROS_CULTURAS!$F$6:$F$28,$P1717)+INDEX(PARAMETROS_CULTURAS!$G$6:$G$28,$P1717),INDEX(PARAMETROS_CULTURAS!$K$6:$K$28,$P1717)+(INDEX(PARAMETROS_CULTURAS!$L$6:$L$28,$P1717)-INDEX(PARAMETROS_CULTURAS!$K$6:$K$28,$P1717))*($O1717-INDEX(PARAMETROS_CULTURAS!$F$6:$F$28,$P1717))/MAX(INDEX(PARAMETROS_CULTURAS!$G$6:$G$28,$P1717),0.0001),IF($O1717&lt;=INDEX(PARAMETROS_CULTURAS!$F$6:$F$28,$P1717)+INDEX(PARAMETROS_CULTURAS!$G$6:$G$28,$P1717)+INDEX(PARAMETROS_CULTURAS!$H$6:$H$28,$P1717),INDEX(PARAMETROS_CULTURAS!$L$6:$L$28,$P1717),INDEX(PARAMETROS_CULTURAS!$L$6:$L$28,$P1717)+(INDEX(PARAMETROS_CULTURAS!$M$6:$M$28,$P1717)-INDEX(PARAMETROS_CULTURAS!$L$6:$L$28,$P1717))*($O1717-INDEX(PARAMETROS_CULTURAS!$F$6:$F$28,$P1717)-INDEX(PARAMETROS_CULTURAS!$G$6:$G$28,$P1717)-INDEX(PARAMETROS_CULTURAS!$H$6:$H$28,$P1717))/MAX(INDEX(PARAMETROS_CULTURAS!$I$6:$I$28,$P1717),0.0001)))))</f>
        <v>0</v>
      </c>
      <c r="S1717" s="18" t="n">
        <f aca="false">IFERROR(INDEX(SEMANAS!$H$6:$H$71,MATCH($B1717,SEMANAS!$B$6:$B$71,0)),0)</f>
        <v>34.3</v>
      </c>
      <c r="T1717" s="18" t="n">
        <f aca="false">$R1717*$S1717</f>
        <v>0</v>
      </c>
      <c r="U1717" s="18" t="n">
        <f aca="false">IFERROR(INDEX(SEMANAS!$I$6:$I$71,MATCH($B1717,SEMANAS!$B$6:$B$71,0)),0)</f>
        <v>46.69</v>
      </c>
      <c r="V1717" s="18" t="n">
        <f aca="false">IFERROR(INDEX(SEMANAS!$J$6:$J$71,MATCH($B1717,SEMANAS!$B$6:$B$71,0)),0)</f>
        <v>37.352</v>
      </c>
      <c r="W1717" s="18" t="n">
        <f aca="false">MAX(0,$T1717-$V1717)</f>
        <v>0</v>
      </c>
      <c r="X1717" s="19" t="n">
        <f aca="false">IFERROR(INDEX(CADASTRO_PIVOS!$K$6:$K$41,MATCH($E1717,CADASTRO_PIVOS!$B$6:$B$41,0)),EFICIENCIA_PADRAO)</f>
        <v>0.85</v>
      </c>
      <c r="Y1717" s="18" t="n">
        <f aca="false">IF($X1717&lt;=0,0,$W1717/$X1717)</f>
        <v>0</v>
      </c>
      <c r="Z1717" s="16" t="n">
        <f aca="false">$Y1717*$H1717*MM_PARA_M3_HA</f>
        <v>0</v>
      </c>
      <c r="AA1717" s="18" t="n">
        <f aca="false">IFERROR(INDEX(CADASTRO_PIVOS!$I$6:$I$41,MATCH($E1717,CADASTRO_PIVOS!$B$6:$B$41,0)),0)</f>
        <v>1071.28571428571</v>
      </c>
      <c r="AB1717" s="18" t="n">
        <f aca="false">IF($Z1717&lt;=0,0,$Z1717/$AA1717)</f>
        <v>0</v>
      </c>
      <c r="AC1717" s="16" t="n">
        <f aca="false">IFERROR(INDEX(SEMANAS!$K$6:$K$71,MATCH($B1717,SEMANAS!$B$6:$B$71,0)),0)</f>
        <v>147</v>
      </c>
      <c r="AD1717" s="19" t="n">
        <f aca="false">IF($AC1717&lt;=0,0,$AB1717/$AC1717)</f>
        <v>0</v>
      </c>
      <c r="AE1717" s="8" t="str">
        <f aca="false">IF($K1717="SEM CULTURA","SEM CULTURA",IF($AA1717&lt;=0,"DADO PENDENTE",IF($AD1717&gt;LIMITE_CRITICO,"INVIAVEL",IF($AD1717&gt;LIMITE_ATENCAO,"CRITICO",IF($AD1717&gt;LIMITE_CONFORTAVEL,"ATENCAO","OK")))))</f>
        <v>SEM CULTURA</v>
      </c>
      <c r="AF1717" s="8" t="str">
        <f aca="false">$B1717&amp;"|"&amp;TEXT($AD1717,"0.000000")</f>
        <v>62|0.000000</v>
      </c>
      <c r="AG1717" s="18" t="n">
        <f aca="false">IF($K1717="SEM CULTURA",0,$T1717*$H1717)</f>
        <v>0</v>
      </c>
      <c r="AH1717" s="18" t="n">
        <f aca="false">IF($K1717="SEM CULTURA",0,$V1717*$H1717)</f>
        <v>0</v>
      </c>
      <c r="AI1717" s="18" t="n">
        <f aca="false">IF($K1717="SEM CULTURA",0,$W1717*$H1717)</f>
        <v>0</v>
      </c>
      <c r="AJ1717" s="18" t="n">
        <f aca="false">IF($K1717="SEM CULTURA",0,$S1717*$H1717)</f>
        <v>0</v>
      </c>
      <c r="AK1717" s="8" t="str">
        <f aca="false">$E1717&amp;"|"&amp;TEXT($AD1717,"0.000000")</f>
        <v>PV 122|0.000000</v>
      </c>
    </row>
    <row r="1718" customFormat="false" ht="15" hidden="false" customHeight="false" outlineLevel="0" collapsed="false">
      <c r="B1718" s="16" t="n">
        <v>63</v>
      </c>
      <c r="C1718" s="17" t="n">
        <f aca="false">DATA_INICIO_SAFRA+($B1718-1)*DIAS_POR_SEMANA</f>
        <v>46699</v>
      </c>
      <c r="D1718" s="17" t="n">
        <f aca="false">$C1718+DIAS_POR_SEMANA-1</f>
        <v>46705</v>
      </c>
      <c r="E1718" s="15" t="s">
        <v>284</v>
      </c>
      <c r="F1718" s="8" t="str">
        <f aca="false">IFERROR(INDEX(CADASTRO_PIVOS!$C$6:$C$41,MATCH($E1718,CADASTRO_PIVOS!$B$6:$B$41,0)),"?")</f>
        <v>RM07</v>
      </c>
      <c r="G1718" s="8" t="str">
        <f aca="false">IFERROR(INDEX(CADASTRO_PIVOS!$D$6:$D$41,MATCH($E1718,CADASTRO_PIVOS!$B$6:$B$41,0)),"?")</f>
        <v>TR07</v>
      </c>
      <c r="H1718" s="20" t="n">
        <f aca="false">IFERROR(INDEX(CADASTRO_PIVOS!$E$6:$E$41,MATCH($E1718,CADASTRO_PIVOS!$B$6:$B$41,0)),0)</f>
        <v>149.98</v>
      </c>
      <c r="I1718" s="16" t="n">
        <f aca="false">IFERROR(SUMIFS(ROTACAO_RDM!$B$6:$B$71,ROTACAO_RDM!$D$6:$D$71,$E1718,ROTACAO_RDM!$I$6:$I$71,"&lt;="&amp;$C1718+INT(DIAS_POR_SEMANA/2),ROTACAO_RDM!$J$6:$J$71,"&gt;="&amp;$C1718+INT(DIAS_POR_SEMANA/2)),0)</f>
        <v>0</v>
      </c>
      <c r="J1718" s="16" t="n">
        <f aca="false">IFERROR(MATCH($I1718,ROTACAO_RDM!$B$6:$B$71,0),0)</f>
        <v>0</v>
      </c>
      <c r="K1718" s="8" t="str">
        <f aca="false">IF($J1718=0,"SEM CULTURA",INDEX(ROTACAO_RDM!$F$6:$F$71,$J1718))</f>
        <v>SEM CULTURA</v>
      </c>
      <c r="L1718" s="8" t="str">
        <f aca="false">IF($J1718=0,"",INDEX(ROTACAO_RDM!$G$6:$G$71,$J1718))</f>
        <v/>
      </c>
      <c r="M1718" s="17" t="str">
        <f aca="false">IF($J1718=0,"",INDEX(ROTACAO_RDM!$I$6:$I$71,$J1718))</f>
        <v/>
      </c>
      <c r="N1718" s="16" t="n">
        <f aca="false">IF($J1718=0,0,MAX(0,$C1718+INT(DIAS_POR_SEMANA/2)-INDEX(ROTACAO_RDM!$I$6:$I$71,$J1718)))</f>
        <v>0</v>
      </c>
      <c r="O1718" s="19" t="n">
        <f aca="false">IF($J1718=0,0,MIN(1,$N1718/MAX(1,INDEX(ROTACAO_RDM!$K$6:$K$71,$J1718))))</f>
        <v>0</v>
      </c>
      <c r="P1718" s="16" t="n">
        <f aca="false">IF($J1718=0,0,IFERROR(MATCH(INDEX(ROTACAO_RDM!$N$6:$N$71,$J1718),PARAMETROS_CULTURAS!$B$6:$B$28,0),0))</f>
        <v>0</v>
      </c>
      <c r="Q1718" s="8" t="str">
        <f aca="false">IF($P1718=0,"-",IF($O1718&lt;=INDEX(PARAMETROS_CULTURAS!$F$6:$F$28,$P1718),"INICIAL",IF($O1718&lt;=INDEX(PARAMETROS_CULTURAS!$F$6:$F$28,$P1718)+INDEX(PARAMETROS_CULTURAS!$G$6:$G$28,$P1718),"DESENVOLVIMENTO",IF($O1718&lt;=INDEX(PARAMETROS_CULTURAS!$F$6:$F$28,$P1718)+INDEX(PARAMETROS_CULTURAS!$G$6:$G$28,$P1718)+INDEX(PARAMETROS_CULTURAS!$H$6:$H$28,$P1718),"MEDIA","FINAL"))))</f>
        <v>-</v>
      </c>
      <c r="R1718" s="24" t="n">
        <f aca="false">IF($P1718=0,0,IF($O1718&lt;=INDEX(PARAMETROS_CULTURAS!$F$6:$F$28,$P1718),INDEX(PARAMETROS_CULTURAS!$K$6:$K$28,$P1718),IF($O1718&lt;=INDEX(PARAMETROS_CULTURAS!$F$6:$F$28,$P1718)+INDEX(PARAMETROS_CULTURAS!$G$6:$G$28,$P1718),INDEX(PARAMETROS_CULTURAS!$K$6:$K$28,$P1718)+(INDEX(PARAMETROS_CULTURAS!$L$6:$L$28,$P1718)-INDEX(PARAMETROS_CULTURAS!$K$6:$K$28,$P1718))*($O1718-INDEX(PARAMETROS_CULTURAS!$F$6:$F$28,$P1718))/MAX(INDEX(PARAMETROS_CULTURAS!$G$6:$G$28,$P1718),0.0001),IF($O1718&lt;=INDEX(PARAMETROS_CULTURAS!$F$6:$F$28,$P1718)+INDEX(PARAMETROS_CULTURAS!$G$6:$G$28,$P1718)+INDEX(PARAMETROS_CULTURAS!$H$6:$H$28,$P1718),INDEX(PARAMETROS_CULTURAS!$L$6:$L$28,$P1718),INDEX(PARAMETROS_CULTURAS!$L$6:$L$28,$P1718)+(INDEX(PARAMETROS_CULTURAS!$M$6:$M$28,$P1718)-INDEX(PARAMETROS_CULTURAS!$L$6:$L$28,$P1718))*($O1718-INDEX(PARAMETROS_CULTURAS!$F$6:$F$28,$P1718)-INDEX(PARAMETROS_CULTURAS!$G$6:$G$28,$P1718)-INDEX(PARAMETROS_CULTURAS!$H$6:$H$28,$P1718))/MAX(INDEX(PARAMETROS_CULTURAS!$I$6:$I$28,$P1718),0.0001)))))</f>
        <v>0</v>
      </c>
      <c r="S1718" s="18" t="n">
        <f aca="false">IFERROR(INDEX(SEMANAS!$H$6:$H$71,MATCH($B1718,SEMANAS!$B$6:$B$71,0)),0)</f>
        <v>34.3</v>
      </c>
      <c r="T1718" s="18" t="n">
        <f aca="false">$R1718*$S1718</f>
        <v>0</v>
      </c>
      <c r="U1718" s="18" t="n">
        <f aca="false">IFERROR(INDEX(SEMANAS!$I$6:$I$71,MATCH($B1718,SEMANAS!$B$6:$B$71,0)),0)</f>
        <v>46.69</v>
      </c>
      <c r="V1718" s="18" t="n">
        <f aca="false">IFERROR(INDEX(SEMANAS!$J$6:$J$71,MATCH($B1718,SEMANAS!$B$6:$B$71,0)),0)</f>
        <v>37.352</v>
      </c>
      <c r="W1718" s="18" t="n">
        <f aca="false">MAX(0,$T1718-$V1718)</f>
        <v>0</v>
      </c>
      <c r="X1718" s="19" t="n">
        <f aca="false">IFERROR(INDEX(CADASTRO_PIVOS!$K$6:$K$41,MATCH($E1718,CADASTRO_PIVOS!$B$6:$B$41,0)),EFICIENCIA_PADRAO)</f>
        <v>0.85</v>
      </c>
      <c r="Y1718" s="18" t="n">
        <f aca="false">IF($X1718&lt;=0,0,$W1718/$X1718)</f>
        <v>0</v>
      </c>
      <c r="Z1718" s="16" t="n">
        <f aca="false">$Y1718*$H1718*MM_PARA_M3_HA</f>
        <v>0</v>
      </c>
      <c r="AA1718" s="18" t="n">
        <f aca="false">IFERROR(INDEX(CADASTRO_PIVOS!$I$6:$I$41,MATCH($E1718,CADASTRO_PIVOS!$B$6:$B$41,0)),0)</f>
        <v>1071.28571428571</v>
      </c>
      <c r="AB1718" s="18" t="n">
        <f aca="false">IF($Z1718&lt;=0,0,$Z1718/$AA1718)</f>
        <v>0</v>
      </c>
      <c r="AC1718" s="16" t="n">
        <f aca="false">IFERROR(INDEX(SEMANAS!$K$6:$K$71,MATCH($B1718,SEMANAS!$B$6:$B$71,0)),0)</f>
        <v>147</v>
      </c>
      <c r="AD1718" s="19" t="n">
        <f aca="false">IF($AC1718&lt;=0,0,$AB1718/$AC1718)</f>
        <v>0</v>
      </c>
      <c r="AE1718" s="8" t="str">
        <f aca="false">IF($K1718="SEM CULTURA","SEM CULTURA",IF($AA1718&lt;=0,"DADO PENDENTE",IF($AD1718&gt;LIMITE_CRITICO,"INVIAVEL",IF($AD1718&gt;LIMITE_ATENCAO,"CRITICO",IF($AD1718&gt;LIMITE_CONFORTAVEL,"ATENCAO","OK")))))</f>
        <v>SEM CULTURA</v>
      </c>
      <c r="AF1718" s="8" t="str">
        <f aca="false">$B1718&amp;"|"&amp;TEXT($AD1718,"0.000000")</f>
        <v>63|0.000000</v>
      </c>
      <c r="AG1718" s="18" t="n">
        <f aca="false">IF($K1718="SEM CULTURA",0,$T1718*$H1718)</f>
        <v>0</v>
      </c>
      <c r="AH1718" s="18" t="n">
        <f aca="false">IF($K1718="SEM CULTURA",0,$V1718*$H1718)</f>
        <v>0</v>
      </c>
      <c r="AI1718" s="18" t="n">
        <f aca="false">IF($K1718="SEM CULTURA",0,$W1718*$H1718)</f>
        <v>0</v>
      </c>
      <c r="AJ1718" s="18" t="n">
        <f aca="false">IF($K1718="SEM CULTURA",0,$S1718*$H1718)</f>
        <v>0</v>
      </c>
      <c r="AK1718" s="8" t="str">
        <f aca="false">$E1718&amp;"|"&amp;TEXT($AD1718,"0.000000")</f>
        <v>PV 122|0.000000</v>
      </c>
    </row>
    <row r="1719" customFormat="false" ht="15" hidden="false" customHeight="false" outlineLevel="0" collapsed="false">
      <c r="B1719" s="16" t="n">
        <v>64</v>
      </c>
      <c r="C1719" s="17" t="n">
        <f aca="false">DATA_INICIO_SAFRA+($B1719-1)*DIAS_POR_SEMANA</f>
        <v>46706</v>
      </c>
      <c r="D1719" s="17" t="n">
        <f aca="false">$C1719+DIAS_POR_SEMANA-1</f>
        <v>46712</v>
      </c>
      <c r="E1719" s="15" t="s">
        <v>284</v>
      </c>
      <c r="F1719" s="8" t="str">
        <f aca="false">IFERROR(INDEX(CADASTRO_PIVOS!$C$6:$C$41,MATCH($E1719,CADASTRO_PIVOS!$B$6:$B$41,0)),"?")</f>
        <v>RM07</v>
      </c>
      <c r="G1719" s="8" t="str">
        <f aca="false">IFERROR(INDEX(CADASTRO_PIVOS!$D$6:$D$41,MATCH($E1719,CADASTRO_PIVOS!$B$6:$B$41,0)),"?")</f>
        <v>TR07</v>
      </c>
      <c r="H1719" s="20" t="n">
        <f aca="false">IFERROR(INDEX(CADASTRO_PIVOS!$E$6:$E$41,MATCH($E1719,CADASTRO_PIVOS!$B$6:$B$41,0)),0)</f>
        <v>149.98</v>
      </c>
      <c r="I1719" s="16" t="n">
        <f aca="false">IFERROR(SUMIFS(ROTACAO_RDM!$B$6:$B$71,ROTACAO_RDM!$D$6:$D$71,$E1719,ROTACAO_RDM!$I$6:$I$71,"&lt;="&amp;$C1719+INT(DIAS_POR_SEMANA/2),ROTACAO_RDM!$J$6:$J$71,"&gt;="&amp;$C1719+INT(DIAS_POR_SEMANA/2)),0)</f>
        <v>0</v>
      </c>
      <c r="J1719" s="16" t="n">
        <f aca="false">IFERROR(MATCH($I1719,ROTACAO_RDM!$B$6:$B$71,0),0)</f>
        <v>0</v>
      </c>
      <c r="K1719" s="8" t="str">
        <f aca="false">IF($J1719=0,"SEM CULTURA",INDEX(ROTACAO_RDM!$F$6:$F$71,$J1719))</f>
        <v>SEM CULTURA</v>
      </c>
      <c r="L1719" s="8" t="str">
        <f aca="false">IF($J1719=0,"",INDEX(ROTACAO_RDM!$G$6:$G$71,$J1719))</f>
        <v/>
      </c>
      <c r="M1719" s="17" t="str">
        <f aca="false">IF($J1719=0,"",INDEX(ROTACAO_RDM!$I$6:$I$71,$J1719))</f>
        <v/>
      </c>
      <c r="N1719" s="16" t="n">
        <f aca="false">IF($J1719=0,0,MAX(0,$C1719+INT(DIAS_POR_SEMANA/2)-INDEX(ROTACAO_RDM!$I$6:$I$71,$J1719)))</f>
        <v>0</v>
      </c>
      <c r="O1719" s="19" t="n">
        <f aca="false">IF($J1719=0,0,MIN(1,$N1719/MAX(1,INDEX(ROTACAO_RDM!$K$6:$K$71,$J1719))))</f>
        <v>0</v>
      </c>
      <c r="P1719" s="16" t="n">
        <f aca="false">IF($J1719=0,0,IFERROR(MATCH(INDEX(ROTACAO_RDM!$N$6:$N$71,$J1719),PARAMETROS_CULTURAS!$B$6:$B$28,0),0))</f>
        <v>0</v>
      </c>
      <c r="Q1719" s="8" t="str">
        <f aca="false">IF($P1719=0,"-",IF($O1719&lt;=INDEX(PARAMETROS_CULTURAS!$F$6:$F$28,$P1719),"INICIAL",IF($O1719&lt;=INDEX(PARAMETROS_CULTURAS!$F$6:$F$28,$P1719)+INDEX(PARAMETROS_CULTURAS!$G$6:$G$28,$P1719),"DESENVOLVIMENTO",IF($O1719&lt;=INDEX(PARAMETROS_CULTURAS!$F$6:$F$28,$P1719)+INDEX(PARAMETROS_CULTURAS!$G$6:$G$28,$P1719)+INDEX(PARAMETROS_CULTURAS!$H$6:$H$28,$P1719),"MEDIA","FINAL"))))</f>
        <v>-</v>
      </c>
      <c r="R1719" s="24" t="n">
        <f aca="false">IF($P1719=0,0,IF($O1719&lt;=INDEX(PARAMETROS_CULTURAS!$F$6:$F$28,$P1719),INDEX(PARAMETROS_CULTURAS!$K$6:$K$28,$P1719),IF($O1719&lt;=INDEX(PARAMETROS_CULTURAS!$F$6:$F$28,$P1719)+INDEX(PARAMETROS_CULTURAS!$G$6:$G$28,$P1719),INDEX(PARAMETROS_CULTURAS!$K$6:$K$28,$P1719)+(INDEX(PARAMETROS_CULTURAS!$L$6:$L$28,$P1719)-INDEX(PARAMETROS_CULTURAS!$K$6:$K$28,$P1719))*($O1719-INDEX(PARAMETROS_CULTURAS!$F$6:$F$28,$P1719))/MAX(INDEX(PARAMETROS_CULTURAS!$G$6:$G$28,$P1719),0.0001),IF($O1719&lt;=INDEX(PARAMETROS_CULTURAS!$F$6:$F$28,$P1719)+INDEX(PARAMETROS_CULTURAS!$G$6:$G$28,$P1719)+INDEX(PARAMETROS_CULTURAS!$H$6:$H$28,$P1719),INDEX(PARAMETROS_CULTURAS!$L$6:$L$28,$P1719),INDEX(PARAMETROS_CULTURAS!$L$6:$L$28,$P1719)+(INDEX(PARAMETROS_CULTURAS!$M$6:$M$28,$P1719)-INDEX(PARAMETROS_CULTURAS!$L$6:$L$28,$P1719))*($O1719-INDEX(PARAMETROS_CULTURAS!$F$6:$F$28,$P1719)-INDEX(PARAMETROS_CULTURAS!$G$6:$G$28,$P1719)-INDEX(PARAMETROS_CULTURAS!$H$6:$H$28,$P1719))/MAX(INDEX(PARAMETROS_CULTURAS!$I$6:$I$28,$P1719),0.0001)))))</f>
        <v>0</v>
      </c>
      <c r="S1719" s="18" t="n">
        <f aca="false">IFERROR(INDEX(SEMANAS!$H$6:$H$71,MATCH($B1719,SEMANAS!$B$6:$B$71,0)),0)</f>
        <v>34.3</v>
      </c>
      <c r="T1719" s="18" t="n">
        <f aca="false">$R1719*$S1719</f>
        <v>0</v>
      </c>
      <c r="U1719" s="18" t="n">
        <f aca="false">IFERROR(INDEX(SEMANAS!$I$6:$I$71,MATCH($B1719,SEMANAS!$B$6:$B$71,0)),0)</f>
        <v>46.69</v>
      </c>
      <c r="V1719" s="18" t="n">
        <f aca="false">IFERROR(INDEX(SEMANAS!$J$6:$J$71,MATCH($B1719,SEMANAS!$B$6:$B$71,0)),0)</f>
        <v>37.352</v>
      </c>
      <c r="W1719" s="18" t="n">
        <f aca="false">MAX(0,$T1719-$V1719)</f>
        <v>0</v>
      </c>
      <c r="X1719" s="19" t="n">
        <f aca="false">IFERROR(INDEX(CADASTRO_PIVOS!$K$6:$K$41,MATCH($E1719,CADASTRO_PIVOS!$B$6:$B$41,0)),EFICIENCIA_PADRAO)</f>
        <v>0.85</v>
      </c>
      <c r="Y1719" s="18" t="n">
        <f aca="false">IF($X1719&lt;=0,0,$W1719/$X1719)</f>
        <v>0</v>
      </c>
      <c r="Z1719" s="16" t="n">
        <f aca="false">$Y1719*$H1719*MM_PARA_M3_HA</f>
        <v>0</v>
      </c>
      <c r="AA1719" s="18" t="n">
        <f aca="false">IFERROR(INDEX(CADASTRO_PIVOS!$I$6:$I$41,MATCH($E1719,CADASTRO_PIVOS!$B$6:$B$41,0)),0)</f>
        <v>1071.28571428571</v>
      </c>
      <c r="AB1719" s="18" t="n">
        <f aca="false">IF($Z1719&lt;=0,0,$Z1719/$AA1719)</f>
        <v>0</v>
      </c>
      <c r="AC1719" s="16" t="n">
        <f aca="false">IFERROR(INDEX(SEMANAS!$K$6:$K$71,MATCH($B1719,SEMANAS!$B$6:$B$71,0)),0)</f>
        <v>147</v>
      </c>
      <c r="AD1719" s="19" t="n">
        <f aca="false">IF($AC1719&lt;=0,0,$AB1719/$AC1719)</f>
        <v>0</v>
      </c>
      <c r="AE1719" s="8" t="str">
        <f aca="false">IF($K1719="SEM CULTURA","SEM CULTURA",IF($AA1719&lt;=0,"DADO PENDENTE",IF($AD1719&gt;LIMITE_CRITICO,"INVIAVEL",IF($AD1719&gt;LIMITE_ATENCAO,"CRITICO",IF($AD1719&gt;LIMITE_CONFORTAVEL,"ATENCAO","OK")))))</f>
        <v>SEM CULTURA</v>
      </c>
      <c r="AF1719" s="8" t="str">
        <f aca="false">$B1719&amp;"|"&amp;TEXT($AD1719,"0.000000")</f>
        <v>64|0.000000</v>
      </c>
      <c r="AG1719" s="18" t="n">
        <f aca="false">IF($K1719="SEM CULTURA",0,$T1719*$H1719)</f>
        <v>0</v>
      </c>
      <c r="AH1719" s="18" t="n">
        <f aca="false">IF($K1719="SEM CULTURA",0,$V1719*$H1719)</f>
        <v>0</v>
      </c>
      <c r="AI1719" s="18" t="n">
        <f aca="false">IF($K1719="SEM CULTURA",0,$W1719*$H1719)</f>
        <v>0</v>
      </c>
      <c r="AJ1719" s="18" t="n">
        <f aca="false">IF($K1719="SEM CULTURA",0,$S1719*$H1719)</f>
        <v>0</v>
      </c>
      <c r="AK1719" s="8" t="str">
        <f aca="false">$E1719&amp;"|"&amp;TEXT($AD1719,"0.000000")</f>
        <v>PV 122|0.000000</v>
      </c>
    </row>
    <row r="1720" customFormat="false" ht="15" hidden="false" customHeight="false" outlineLevel="0" collapsed="false">
      <c r="B1720" s="16" t="n">
        <v>65</v>
      </c>
      <c r="C1720" s="17" t="n">
        <f aca="false">DATA_INICIO_SAFRA+($B1720-1)*DIAS_POR_SEMANA</f>
        <v>46713</v>
      </c>
      <c r="D1720" s="17" t="n">
        <f aca="false">$C1720+DIAS_POR_SEMANA-1</f>
        <v>46719</v>
      </c>
      <c r="E1720" s="15" t="s">
        <v>284</v>
      </c>
      <c r="F1720" s="8" t="str">
        <f aca="false">IFERROR(INDEX(CADASTRO_PIVOS!$C$6:$C$41,MATCH($E1720,CADASTRO_PIVOS!$B$6:$B$41,0)),"?")</f>
        <v>RM07</v>
      </c>
      <c r="G1720" s="8" t="str">
        <f aca="false">IFERROR(INDEX(CADASTRO_PIVOS!$D$6:$D$41,MATCH($E1720,CADASTRO_PIVOS!$B$6:$B$41,0)),"?")</f>
        <v>TR07</v>
      </c>
      <c r="H1720" s="20" t="n">
        <f aca="false">IFERROR(INDEX(CADASTRO_PIVOS!$E$6:$E$41,MATCH($E1720,CADASTRO_PIVOS!$B$6:$B$41,0)),0)</f>
        <v>149.98</v>
      </c>
      <c r="I1720" s="16" t="n">
        <f aca="false">IFERROR(SUMIFS(ROTACAO_RDM!$B$6:$B$71,ROTACAO_RDM!$D$6:$D$71,$E1720,ROTACAO_RDM!$I$6:$I$71,"&lt;="&amp;$C1720+INT(DIAS_POR_SEMANA/2),ROTACAO_RDM!$J$6:$J$71,"&gt;="&amp;$C1720+INT(DIAS_POR_SEMANA/2)),0)</f>
        <v>0</v>
      </c>
      <c r="J1720" s="16" t="n">
        <f aca="false">IFERROR(MATCH($I1720,ROTACAO_RDM!$B$6:$B$71,0),0)</f>
        <v>0</v>
      </c>
      <c r="K1720" s="8" t="str">
        <f aca="false">IF($J1720=0,"SEM CULTURA",INDEX(ROTACAO_RDM!$F$6:$F$71,$J1720))</f>
        <v>SEM CULTURA</v>
      </c>
      <c r="L1720" s="8" t="str">
        <f aca="false">IF($J1720=0,"",INDEX(ROTACAO_RDM!$G$6:$G$71,$J1720))</f>
        <v/>
      </c>
      <c r="M1720" s="17" t="str">
        <f aca="false">IF($J1720=0,"",INDEX(ROTACAO_RDM!$I$6:$I$71,$J1720))</f>
        <v/>
      </c>
      <c r="N1720" s="16" t="n">
        <f aca="false">IF($J1720=0,0,MAX(0,$C1720+INT(DIAS_POR_SEMANA/2)-INDEX(ROTACAO_RDM!$I$6:$I$71,$J1720)))</f>
        <v>0</v>
      </c>
      <c r="O1720" s="19" t="n">
        <f aca="false">IF($J1720=0,0,MIN(1,$N1720/MAX(1,INDEX(ROTACAO_RDM!$K$6:$K$71,$J1720))))</f>
        <v>0</v>
      </c>
      <c r="P1720" s="16" t="n">
        <f aca="false">IF($J1720=0,0,IFERROR(MATCH(INDEX(ROTACAO_RDM!$N$6:$N$71,$J1720),PARAMETROS_CULTURAS!$B$6:$B$28,0),0))</f>
        <v>0</v>
      </c>
      <c r="Q1720" s="8" t="str">
        <f aca="false">IF($P1720=0,"-",IF($O1720&lt;=INDEX(PARAMETROS_CULTURAS!$F$6:$F$28,$P1720),"INICIAL",IF($O1720&lt;=INDEX(PARAMETROS_CULTURAS!$F$6:$F$28,$P1720)+INDEX(PARAMETROS_CULTURAS!$G$6:$G$28,$P1720),"DESENVOLVIMENTO",IF($O1720&lt;=INDEX(PARAMETROS_CULTURAS!$F$6:$F$28,$P1720)+INDEX(PARAMETROS_CULTURAS!$G$6:$G$28,$P1720)+INDEX(PARAMETROS_CULTURAS!$H$6:$H$28,$P1720),"MEDIA","FINAL"))))</f>
        <v>-</v>
      </c>
      <c r="R1720" s="24" t="n">
        <f aca="false">IF($P1720=0,0,IF($O1720&lt;=INDEX(PARAMETROS_CULTURAS!$F$6:$F$28,$P1720),INDEX(PARAMETROS_CULTURAS!$K$6:$K$28,$P1720),IF($O1720&lt;=INDEX(PARAMETROS_CULTURAS!$F$6:$F$28,$P1720)+INDEX(PARAMETROS_CULTURAS!$G$6:$G$28,$P1720),INDEX(PARAMETROS_CULTURAS!$K$6:$K$28,$P1720)+(INDEX(PARAMETROS_CULTURAS!$L$6:$L$28,$P1720)-INDEX(PARAMETROS_CULTURAS!$K$6:$K$28,$P1720))*($O1720-INDEX(PARAMETROS_CULTURAS!$F$6:$F$28,$P1720))/MAX(INDEX(PARAMETROS_CULTURAS!$G$6:$G$28,$P1720),0.0001),IF($O1720&lt;=INDEX(PARAMETROS_CULTURAS!$F$6:$F$28,$P1720)+INDEX(PARAMETROS_CULTURAS!$G$6:$G$28,$P1720)+INDEX(PARAMETROS_CULTURAS!$H$6:$H$28,$P1720),INDEX(PARAMETROS_CULTURAS!$L$6:$L$28,$P1720),INDEX(PARAMETROS_CULTURAS!$L$6:$L$28,$P1720)+(INDEX(PARAMETROS_CULTURAS!$M$6:$M$28,$P1720)-INDEX(PARAMETROS_CULTURAS!$L$6:$L$28,$P1720))*($O1720-INDEX(PARAMETROS_CULTURAS!$F$6:$F$28,$P1720)-INDEX(PARAMETROS_CULTURAS!$G$6:$G$28,$P1720)-INDEX(PARAMETROS_CULTURAS!$H$6:$H$28,$P1720))/MAX(INDEX(PARAMETROS_CULTURAS!$I$6:$I$28,$P1720),0.0001)))))</f>
        <v>0</v>
      </c>
      <c r="S1720" s="18" t="n">
        <f aca="false">IFERROR(INDEX(SEMANAS!$H$6:$H$71,MATCH($B1720,SEMANAS!$B$6:$B$71,0)),0)</f>
        <v>34.3</v>
      </c>
      <c r="T1720" s="18" t="n">
        <f aca="false">$R1720*$S1720</f>
        <v>0</v>
      </c>
      <c r="U1720" s="18" t="n">
        <f aca="false">IFERROR(INDEX(SEMANAS!$I$6:$I$71,MATCH($B1720,SEMANAS!$B$6:$B$71,0)),0)</f>
        <v>46.69</v>
      </c>
      <c r="V1720" s="18" t="n">
        <f aca="false">IFERROR(INDEX(SEMANAS!$J$6:$J$71,MATCH($B1720,SEMANAS!$B$6:$B$71,0)),0)</f>
        <v>37.352</v>
      </c>
      <c r="W1720" s="18" t="n">
        <f aca="false">MAX(0,$T1720-$V1720)</f>
        <v>0</v>
      </c>
      <c r="X1720" s="19" t="n">
        <f aca="false">IFERROR(INDEX(CADASTRO_PIVOS!$K$6:$K$41,MATCH($E1720,CADASTRO_PIVOS!$B$6:$B$41,0)),EFICIENCIA_PADRAO)</f>
        <v>0.85</v>
      </c>
      <c r="Y1720" s="18" t="n">
        <f aca="false">IF($X1720&lt;=0,0,$W1720/$X1720)</f>
        <v>0</v>
      </c>
      <c r="Z1720" s="16" t="n">
        <f aca="false">$Y1720*$H1720*MM_PARA_M3_HA</f>
        <v>0</v>
      </c>
      <c r="AA1720" s="18" t="n">
        <f aca="false">IFERROR(INDEX(CADASTRO_PIVOS!$I$6:$I$41,MATCH($E1720,CADASTRO_PIVOS!$B$6:$B$41,0)),0)</f>
        <v>1071.28571428571</v>
      </c>
      <c r="AB1720" s="18" t="n">
        <f aca="false">IF($Z1720&lt;=0,0,$Z1720/$AA1720)</f>
        <v>0</v>
      </c>
      <c r="AC1720" s="16" t="n">
        <f aca="false">IFERROR(INDEX(SEMANAS!$K$6:$K$71,MATCH($B1720,SEMANAS!$B$6:$B$71,0)),0)</f>
        <v>147</v>
      </c>
      <c r="AD1720" s="19" t="n">
        <f aca="false">IF($AC1720&lt;=0,0,$AB1720/$AC1720)</f>
        <v>0</v>
      </c>
      <c r="AE1720" s="8" t="str">
        <f aca="false">IF($K1720="SEM CULTURA","SEM CULTURA",IF($AA1720&lt;=0,"DADO PENDENTE",IF($AD1720&gt;LIMITE_CRITICO,"INVIAVEL",IF($AD1720&gt;LIMITE_ATENCAO,"CRITICO",IF($AD1720&gt;LIMITE_CONFORTAVEL,"ATENCAO","OK")))))</f>
        <v>SEM CULTURA</v>
      </c>
      <c r="AF1720" s="8" t="str">
        <f aca="false">$B1720&amp;"|"&amp;TEXT($AD1720,"0.000000")</f>
        <v>65|0.000000</v>
      </c>
      <c r="AG1720" s="18" t="n">
        <f aca="false">IF($K1720="SEM CULTURA",0,$T1720*$H1720)</f>
        <v>0</v>
      </c>
      <c r="AH1720" s="18" t="n">
        <f aca="false">IF($K1720="SEM CULTURA",0,$V1720*$H1720)</f>
        <v>0</v>
      </c>
      <c r="AI1720" s="18" t="n">
        <f aca="false">IF($K1720="SEM CULTURA",0,$W1720*$H1720)</f>
        <v>0</v>
      </c>
      <c r="AJ1720" s="18" t="n">
        <f aca="false">IF($K1720="SEM CULTURA",0,$S1720*$H1720)</f>
        <v>0</v>
      </c>
      <c r="AK1720" s="8" t="str">
        <f aca="false">$E1720&amp;"|"&amp;TEXT($AD1720,"0.000000")</f>
        <v>PV 122|0.000000</v>
      </c>
    </row>
    <row r="1721" customFormat="false" ht="15" hidden="false" customHeight="false" outlineLevel="0" collapsed="false">
      <c r="B1721" s="16" t="n">
        <v>66</v>
      </c>
      <c r="C1721" s="17" t="n">
        <f aca="false">DATA_INICIO_SAFRA+($B1721-1)*DIAS_POR_SEMANA</f>
        <v>46720</v>
      </c>
      <c r="D1721" s="17" t="n">
        <f aca="false">$C1721+DIAS_POR_SEMANA-1</f>
        <v>46726</v>
      </c>
      <c r="E1721" s="15" t="s">
        <v>284</v>
      </c>
      <c r="F1721" s="8" t="str">
        <f aca="false">IFERROR(INDEX(CADASTRO_PIVOS!$C$6:$C$41,MATCH($E1721,CADASTRO_PIVOS!$B$6:$B$41,0)),"?")</f>
        <v>RM07</v>
      </c>
      <c r="G1721" s="8" t="str">
        <f aca="false">IFERROR(INDEX(CADASTRO_PIVOS!$D$6:$D$41,MATCH($E1721,CADASTRO_PIVOS!$B$6:$B$41,0)),"?")</f>
        <v>TR07</v>
      </c>
      <c r="H1721" s="20" t="n">
        <f aca="false">IFERROR(INDEX(CADASTRO_PIVOS!$E$6:$E$41,MATCH($E1721,CADASTRO_PIVOS!$B$6:$B$41,0)),0)</f>
        <v>149.98</v>
      </c>
      <c r="I1721" s="16" t="n">
        <f aca="false">IFERROR(SUMIFS(ROTACAO_RDM!$B$6:$B$71,ROTACAO_RDM!$D$6:$D$71,$E1721,ROTACAO_RDM!$I$6:$I$71,"&lt;="&amp;$C1721+INT(DIAS_POR_SEMANA/2),ROTACAO_RDM!$J$6:$J$71,"&gt;="&amp;$C1721+INT(DIAS_POR_SEMANA/2)),0)</f>
        <v>0</v>
      </c>
      <c r="J1721" s="16" t="n">
        <f aca="false">IFERROR(MATCH($I1721,ROTACAO_RDM!$B$6:$B$71,0),0)</f>
        <v>0</v>
      </c>
      <c r="K1721" s="8" t="str">
        <f aca="false">IF($J1721=0,"SEM CULTURA",INDEX(ROTACAO_RDM!$F$6:$F$71,$J1721))</f>
        <v>SEM CULTURA</v>
      </c>
      <c r="L1721" s="8" t="str">
        <f aca="false">IF($J1721=0,"",INDEX(ROTACAO_RDM!$G$6:$G$71,$J1721))</f>
        <v/>
      </c>
      <c r="M1721" s="17" t="str">
        <f aca="false">IF($J1721=0,"",INDEX(ROTACAO_RDM!$I$6:$I$71,$J1721))</f>
        <v/>
      </c>
      <c r="N1721" s="16" t="n">
        <f aca="false">IF($J1721=0,0,MAX(0,$C1721+INT(DIAS_POR_SEMANA/2)-INDEX(ROTACAO_RDM!$I$6:$I$71,$J1721)))</f>
        <v>0</v>
      </c>
      <c r="O1721" s="19" t="n">
        <f aca="false">IF($J1721=0,0,MIN(1,$N1721/MAX(1,INDEX(ROTACAO_RDM!$K$6:$K$71,$J1721))))</f>
        <v>0</v>
      </c>
      <c r="P1721" s="16" t="n">
        <f aca="false">IF($J1721=0,0,IFERROR(MATCH(INDEX(ROTACAO_RDM!$N$6:$N$71,$J1721),PARAMETROS_CULTURAS!$B$6:$B$28,0),0))</f>
        <v>0</v>
      </c>
      <c r="Q1721" s="8" t="str">
        <f aca="false">IF($P1721=0,"-",IF($O1721&lt;=INDEX(PARAMETROS_CULTURAS!$F$6:$F$28,$P1721),"INICIAL",IF($O1721&lt;=INDEX(PARAMETROS_CULTURAS!$F$6:$F$28,$P1721)+INDEX(PARAMETROS_CULTURAS!$G$6:$G$28,$P1721),"DESENVOLVIMENTO",IF($O1721&lt;=INDEX(PARAMETROS_CULTURAS!$F$6:$F$28,$P1721)+INDEX(PARAMETROS_CULTURAS!$G$6:$G$28,$P1721)+INDEX(PARAMETROS_CULTURAS!$H$6:$H$28,$P1721),"MEDIA","FINAL"))))</f>
        <v>-</v>
      </c>
      <c r="R1721" s="24" t="n">
        <f aca="false">IF($P1721=0,0,IF($O1721&lt;=INDEX(PARAMETROS_CULTURAS!$F$6:$F$28,$P1721),INDEX(PARAMETROS_CULTURAS!$K$6:$K$28,$P1721),IF($O1721&lt;=INDEX(PARAMETROS_CULTURAS!$F$6:$F$28,$P1721)+INDEX(PARAMETROS_CULTURAS!$G$6:$G$28,$P1721),INDEX(PARAMETROS_CULTURAS!$K$6:$K$28,$P1721)+(INDEX(PARAMETROS_CULTURAS!$L$6:$L$28,$P1721)-INDEX(PARAMETROS_CULTURAS!$K$6:$K$28,$P1721))*($O1721-INDEX(PARAMETROS_CULTURAS!$F$6:$F$28,$P1721))/MAX(INDEX(PARAMETROS_CULTURAS!$G$6:$G$28,$P1721),0.0001),IF($O1721&lt;=INDEX(PARAMETROS_CULTURAS!$F$6:$F$28,$P1721)+INDEX(PARAMETROS_CULTURAS!$G$6:$G$28,$P1721)+INDEX(PARAMETROS_CULTURAS!$H$6:$H$28,$P1721),INDEX(PARAMETROS_CULTURAS!$L$6:$L$28,$P1721),INDEX(PARAMETROS_CULTURAS!$L$6:$L$28,$P1721)+(INDEX(PARAMETROS_CULTURAS!$M$6:$M$28,$P1721)-INDEX(PARAMETROS_CULTURAS!$L$6:$L$28,$P1721))*($O1721-INDEX(PARAMETROS_CULTURAS!$F$6:$F$28,$P1721)-INDEX(PARAMETROS_CULTURAS!$G$6:$G$28,$P1721)-INDEX(PARAMETROS_CULTURAS!$H$6:$H$28,$P1721))/MAX(INDEX(PARAMETROS_CULTURAS!$I$6:$I$28,$P1721),0.0001)))))</f>
        <v>0</v>
      </c>
      <c r="S1721" s="18" t="n">
        <f aca="false">IFERROR(INDEX(SEMANAS!$H$6:$H$71,MATCH($B1721,SEMANAS!$B$6:$B$71,0)),0)</f>
        <v>33.3</v>
      </c>
      <c r="T1721" s="18" t="n">
        <f aca="false">$R1721*$S1721</f>
        <v>0</v>
      </c>
      <c r="U1721" s="18" t="n">
        <f aca="false">IFERROR(INDEX(SEMANAS!$I$6:$I$71,MATCH($B1721,SEMANAS!$B$6:$B$71,0)),0)</f>
        <v>48.04</v>
      </c>
      <c r="V1721" s="18" t="n">
        <f aca="false">IFERROR(INDEX(SEMANAS!$J$6:$J$71,MATCH($B1721,SEMANAS!$B$6:$B$71,0)),0)</f>
        <v>38.432</v>
      </c>
      <c r="W1721" s="18" t="n">
        <f aca="false">MAX(0,$T1721-$V1721)</f>
        <v>0</v>
      </c>
      <c r="X1721" s="19" t="n">
        <f aca="false">IFERROR(INDEX(CADASTRO_PIVOS!$K$6:$K$41,MATCH($E1721,CADASTRO_PIVOS!$B$6:$B$41,0)),EFICIENCIA_PADRAO)</f>
        <v>0.85</v>
      </c>
      <c r="Y1721" s="18" t="n">
        <f aca="false">IF($X1721&lt;=0,0,$W1721/$X1721)</f>
        <v>0</v>
      </c>
      <c r="Z1721" s="16" t="n">
        <f aca="false">$Y1721*$H1721*MM_PARA_M3_HA</f>
        <v>0</v>
      </c>
      <c r="AA1721" s="18" t="n">
        <f aca="false">IFERROR(INDEX(CADASTRO_PIVOS!$I$6:$I$41,MATCH($E1721,CADASTRO_PIVOS!$B$6:$B$41,0)),0)</f>
        <v>1071.28571428571</v>
      </c>
      <c r="AB1721" s="18" t="n">
        <f aca="false">IF($Z1721&lt;=0,0,$Z1721/$AA1721)</f>
        <v>0</v>
      </c>
      <c r="AC1721" s="16" t="n">
        <f aca="false">IFERROR(INDEX(SEMANAS!$K$6:$K$71,MATCH($B1721,SEMANAS!$B$6:$B$71,0)),0)</f>
        <v>147</v>
      </c>
      <c r="AD1721" s="19" t="n">
        <f aca="false">IF($AC1721&lt;=0,0,$AB1721/$AC1721)</f>
        <v>0</v>
      </c>
      <c r="AE1721" s="8" t="str">
        <f aca="false">IF($K1721="SEM CULTURA","SEM CULTURA",IF($AA1721&lt;=0,"DADO PENDENTE",IF($AD1721&gt;LIMITE_CRITICO,"INVIAVEL",IF($AD1721&gt;LIMITE_ATENCAO,"CRITICO",IF($AD1721&gt;LIMITE_CONFORTAVEL,"ATENCAO","OK")))))</f>
        <v>SEM CULTURA</v>
      </c>
      <c r="AF1721" s="8" t="str">
        <f aca="false">$B1721&amp;"|"&amp;TEXT($AD1721,"0.000000")</f>
        <v>66|0.000000</v>
      </c>
      <c r="AG1721" s="18" t="n">
        <f aca="false">IF($K1721="SEM CULTURA",0,$T1721*$H1721)</f>
        <v>0</v>
      </c>
      <c r="AH1721" s="18" t="n">
        <f aca="false">IF($K1721="SEM CULTURA",0,$V1721*$H1721)</f>
        <v>0</v>
      </c>
      <c r="AI1721" s="18" t="n">
        <f aca="false">IF($K1721="SEM CULTURA",0,$W1721*$H1721)</f>
        <v>0</v>
      </c>
      <c r="AJ1721" s="18" t="n">
        <f aca="false">IF($K1721="SEM CULTURA",0,$S1721*$H1721)</f>
        <v>0</v>
      </c>
      <c r="AK1721" s="8" t="str">
        <f aca="false">$E1721&amp;"|"&amp;TEXT($AD1721,"0.000000")</f>
        <v>PV 122|0.000000</v>
      </c>
    </row>
    <row r="1722" customFormat="false" ht="15" hidden="false" customHeight="false" outlineLevel="0" collapsed="false">
      <c r="B1722" s="16" t="n">
        <v>1</v>
      </c>
      <c r="C1722" s="17" t="n">
        <f aca="false">DATA_INICIO_SAFRA+($B1722-1)*DIAS_POR_SEMANA</f>
        <v>46265</v>
      </c>
      <c r="D1722" s="17" t="n">
        <f aca="false">$C1722+DIAS_POR_SEMANA-1</f>
        <v>46271</v>
      </c>
      <c r="E1722" s="15" t="s">
        <v>285</v>
      </c>
      <c r="F1722" s="8" t="str">
        <f aca="false">IFERROR(INDEX(CADASTRO_PIVOS!$C$6:$C$41,MATCH($E1722,CADASTRO_PIVOS!$B$6:$B$41,0)),"?")</f>
        <v>RM07</v>
      </c>
      <c r="G1722" s="8" t="str">
        <f aca="false">IFERROR(INDEX(CADASTRO_PIVOS!$D$6:$D$41,MATCH($E1722,CADASTRO_PIVOS!$B$6:$B$41,0)),"?")</f>
        <v>TR07</v>
      </c>
      <c r="H1722" s="20" t="n">
        <f aca="false">IFERROR(INDEX(CADASTRO_PIVOS!$E$6:$E$41,MATCH($E1722,CADASTRO_PIVOS!$B$6:$B$41,0)),0)</f>
        <v>149.94</v>
      </c>
      <c r="I1722" s="16" t="n">
        <f aca="false">IFERROR(SUMIFS(ROTACAO_RDM!$B$6:$B$71,ROTACAO_RDM!$D$6:$D$71,$E1722,ROTACAO_RDM!$I$6:$I$71,"&lt;="&amp;$C1722+INT(DIAS_POR_SEMANA/2),ROTACAO_RDM!$J$6:$J$71,"&gt;="&amp;$C1722+INT(DIAS_POR_SEMANA/2)),0)</f>
        <v>41</v>
      </c>
      <c r="J1722" s="16" t="n">
        <f aca="false">IFERROR(MATCH($I1722,ROTACAO_RDM!$B$6:$B$71,0),0)</f>
        <v>41</v>
      </c>
      <c r="K1722" s="8" t="str">
        <f aca="false">IF($J1722=0,"SEM CULTURA",INDEX(ROTACAO_RDM!$F$6:$F$71,$J1722))</f>
        <v>ALGODAO</v>
      </c>
      <c r="L1722" s="8" t="str">
        <f aca="false">IF($J1722=0,"",INDEX(ROTACAO_RDM!$G$6:$G$71,$J1722))</f>
        <v>DP 1949 B3RF</v>
      </c>
      <c r="M1722" s="17" t="n">
        <f aca="false">IF($J1722=0,"",INDEX(ROTACAO_RDM!$I$6:$I$71,$J1722))</f>
        <v>46083</v>
      </c>
      <c r="N1722" s="16" t="n">
        <f aca="false">IF($J1722=0,0,MAX(0,$C1722+INT(DIAS_POR_SEMANA/2)-INDEX(ROTACAO_RDM!$I$6:$I$71,$J1722)))</f>
        <v>185</v>
      </c>
      <c r="O1722" s="19" t="n">
        <f aca="false">IF($J1722=0,0,MIN(1,$N1722/MAX(1,INDEX(ROTACAO_RDM!$K$6:$K$71,$J1722))))</f>
        <v>0.934343434343434</v>
      </c>
      <c r="P1722" s="16" t="n">
        <f aca="false">IF($J1722=0,0,IFERROR(MATCH(INDEX(ROTACAO_RDM!$N$6:$N$71,$J1722),PARAMETROS_CULTURAS!$B$6:$B$28,0),0))</f>
        <v>5</v>
      </c>
      <c r="Q1722" s="8" t="str">
        <f aca="false">IF($P1722=0,"-",IF($O1722&lt;=INDEX(PARAMETROS_CULTURAS!$F$6:$F$28,$P1722),"INICIAL",IF($O1722&lt;=INDEX(PARAMETROS_CULTURAS!$F$6:$F$28,$P1722)+INDEX(PARAMETROS_CULTURAS!$G$6:$G$28,$P1722),"DESENVOLVIMENTO",IF($O1722&lt;=INDEX(PARAMETROS_CULTURAS!$F$6:$F$28,$P1722)+INDEX(PARAMETROS_CULTURAS!$G$6:$G$28,$P1722)+INDEX(PARAMETROS_CULTURAS!$H$6:$H$28,$P1722),"MEDIA","FINAL"))))</f>
        <v>FINAL</v>
      </c>
      <c r="R1722" s="24" t="n">
        <f aca="false">IF($P1722=0,0,IF($O1722&lt;=INDEX(PARAMETROS_CULTURAS!$F$6:$F$28,$P1722),INDEX(PARAMETROS_CULTURAS!$K$6:$K$28,$P1722),IF($O1722&lt;=INDEX(PARAMETROS_CULTURAS!$F$6:$F$28,$P1722)+INDEX(PARAMETROS_CULTURAS!$G$6:$G$28,$P1722),INDEX(PARAMETROS_CULTURAS!$K$6:$K$28,$P1722)+(INDEX(PARAMETROS_CULTURAS!$L$6:$L$28,$P1722)-INDEX(PARAMETROS_CULTURAS!$K$6:$K$28,$P1722))*($O1722-INDEX(PARAMETROS_CULTURAS!$F$6:$F$28,$P1722))/MAX(INDEX(PARAMETROS_CULTURAS!$G$6:$G$28,$P1722),0.0001),IF($O1722&lt;=INDEX(PARAMETROS_CULTURAS!$F$6:$F$28,$P1722)+INDEX(PARAMETROS_CULTURAS!$G$6:$G$28,$P1722)+INDEX(PARAMETROS_CULTURAS!$H$6:$H$28,$P1722),INDEX(PARAMETROS_CULTURAS!$L$6:$L$28,$P1722),INDEX(PARAMETROS_CULTURAS!$L$6:$L$28,$P1722)+(INDEX(PARAMETROS_CULTURAS!$M$6:$M$28,$P1722)-INDEX(PARAMETROS_CULTURAS!$L$6:$L$28,$P1722))*($O1722-INDEX(PARAMETROS_CULTURAS!$F$6:$F$28,$P1722)-INDEX(PARAMETROS_CULTURAS!$G$6:$G$28,$P1722)-INDEX(PARAMETROS_CULTURAS!$H$6:$H$28,$P1722))/MAX(INDEX(PARAMETROS_CULTURAS!$I$6:$I$28,$P1722),0.0001)))))</f>
        <v>0.728968253968254</v>
      </c>
      <c r="S1722" s="18" t="n">
        <f aca="false">IFERROR(INDEX(SEMANAS!$H$6:$H$71,MATCH($B1722,SEMANAS!$B$6:$B$71,0)),0)</f>
        <v>40</v>
      </c>
      <c r="T1722" s="18" t="n">
        <f aca="false">$R1722*$S1722</f>
        <v>29.1587301587302</v>
      </c>
      <c r="U1722" s="18" t="n">
        <f aca="false">IFERROR(INDEX(SEMANAS!$I$6:$I$71,MATCH($B1722,SEMANAS!$B$6:$B$71,0)),0)</f>
        <v>6.16</v>
      </c>
      <c r="V1722" s="18" t="n">
        <f aca="false">IFERROR(INDEX(SEMANAS!$J$6:$J$71,MATCH($B1722,SEMANAS!$B$6:$B$71,0)),0)</f>
        <v>4.928</v>
      </c>
      <c r="W1722" s="18" t="n">
        <f aca="false">MAX(0,$T1722-$V1722)</f>
        <v>24.2307301587302</v>
      </c>
      <c r="X1722" s="19" t="n">
        <f aca="false">IFERROR(INDEX(CADASTRO_PIVOS!$K$6:$K$41,MATCH($E1722,CADASTRO_PIVOS!$B$6:$B$41,0)),EFICIENCIA_PADRAO)</f>
        <v>0.85</v>
      </c>
      <c r="Y1722" s="18" t="n">
        <f aca="false">IF($X1722&lt;=0,0,$W1722/$X1722)</f>
        <v>28.506741363212</v>
      </c>
      <c r="Z1722" s="16" t="n">
        <f aca="false">$Y1722*$H1722*MM_PARA_M3_HA</f>
        <v>42743.008</v>
      </c>
      <c r="AA1722" s="18" t="n">
        <f aca="false">IFERROR(INDEX(CADASTRO_PIVOS!$I$6:$I$41,MATCH($E1722,CADASTRO_PIVOS!$B$6:$B$41,0)),0)</f>
        <v>1071</v>
      </c>
      <c r="AB1722" s="18" t="n">
        <f aca="false">IF($Z1722&lt;=0,0,$Z1722/$AA1722)</f>
        <v>39.9094379084967</v>
      </c>
      <c r="AC1722" s="16" t="n">
        <f aca="false">IFERROR(INDEX(SEMANAS!$K$6:$K$71,MATCH($B1722,SEMANAS!$B$6:$B$71,0)),0)</f>
        <v>147</v>
      </c>
      <c r="AD1722" s="19" t="n">
        <f aca="false">IF($AC1722&lt;=0,0,$AB1722/$AC1722)</f>
        <v>0.271492774887733</v>
      </c>
      <c r="AE1722" s="8" t="str">
        <f aca="false">IF($K1722="SEM CULTURA","SEM CULTURA",IF($AA1722&lt;=0,"DADO PENDENTE",IF($AD1722&gt;LIMITE_CRITICO,"INVIAVEL",IF($AD1722&gt;LIMITE_ATENCAO,"CRITICO",IF($AD1722&gt;LIMITE_CONFORTAVEL,"ATENCAO","OK")))))</f>
        <v>OK</v>
      </c>
      <c r="AF1722" s="8" t="str">
        <f aca="false">$B1722&amp;"|"&amp;TEXT($AD1722,"0.000000")</f>
        <v>1|0.271493</v>
      </c>
      <c r="AG1722" s="18" t="n">
        <f aca="false">IF($K1722="SEM CULTURA",0,$T1722*$H1722)</f>
        <v>4372.06</v>
      </c>
      <c r="AH1722" s="18" t="n">
        <f aca="false">IF($K1722="SEM CULTURA",0,$V1722*$H1722)</f>
        <v>738.90432</v>
      </c>
      <c r="AI1722" s="18" t="n">
        <f aca="false">IF($K1722="SEM CULTURA",0,$W1722*$H1722)</f>
        <v>3633.15568</v>
      </c>
      <c r="AJ1722" s="18" t="n">
        <f aca="false">IF($K1722="SEM CULTURA",0,$S1722*$H1722)</f>
        <v>5997.6</v>
      </c>
      <c r="AK1722" s="8" t="str">
        <f aca="false">$E1722&amp;"|"&amp;TEXT($AD1722,"0.000000")</f>
        <v>PV 123|0.271493</v>
      </c>
    </row>
    <row r="1723" customFormat="false" ht="15" hidden="false" customHeight="false" outlineLevel="0" collapsed="false">
      <c r="B1723" s="16" t="n">
        <v>2</v>
      </c>
      <c r="C1723" s="17" t="n">
        <f aca="false">DATA_INICIO_SAFRA+($B1723-1)*DIAS_POR_SEMANA</f>
        <v>46272</v>
      </c>
      <c r="D1723" s="17" t="n">
        <f aca="false">$C1723+DIAS_POR_SEMANA-1</f>
        <v>46278</v>
      </c>
      <c r="E1723" s="15" t="s">
        <v>285</v>
      </c>
      <c r="F1723" s="8" t="str">
        <f aca="false">IFERROR(INDEX(CADASTRO_PIVOS!$C$6:$C$41,MATCH($E1723,CADASTRO_PIVOS!$B$6:$B$41,0)),"?")</f>
        <v>RM07</v>
      </c>
      <c r="G1723" s="8" t="str">
        <f aca="false">IFERROR(INDEX(CADASTRO_PIVOS!$D$6:$D$41,MATCH($E1723,CADASTRO_PIVOS!$B$6:$B$41,0)),"?")</f>
        <v>TR07</v>
      </c>
      <c r="H1723" s="20" t="n">
        <f aca="false">IFERROR(INDEX(CADASTRO_PIVOS!$E$6:$E$41,MATCH($E1723,CADASTRO_PIVOS!$B$6:$B$41,0)),0)</f>
        <v>149.94</v>
      </c>
      <c r="I1723" s="16" t="n">
        <f aca="false">IFERROR(SUMIFS(ROTACAO_RDM!$B$6:$B$71,ROTACAO_RDM!$D$6:$D$71,$E1723,ROTACAO_RDM!$I$6:$I$71,"&lt;="&amp;$C1723+INT(DIAS_POR_SEMANA/2),ROTACAO_RDM!$J$6:$J$71,"&gt;="&amp;$C1723+INT(DIAS_POR_SEMANA/2)),0)</f>
        <v>41</v>
      </c>
      <c r="J1723" s="16" t="n">
        <f aca="false">IFERROR(MATCH($I1723,ROTACAO_RDM!$B$6:$B$71,0),0)</f>
        <v>41</v>
      </c>
      <c r="K1723" s="8" t="str">
        <f aca="false">IF($J1723=0,"SEM CULTURA",INDEX(ROTACAO_RDM!$F$6:$F$71,$J1723))</f>
        <v>ALGODAO</v>
      </c>
      <c r="L1723" s="8" t="str">
        <f aca="false">IF($J1723=0,"",INDEX(ROTACAO_RDM!$G$6:$G$71,$J1723))</f>
        <v>DP 1949 B3RF</v>
      </c>
      <c r="M1723" s="17" t="n">
        <f aca="false">IF($J1723=0,"",INDEX(ROTACAO_RDM!$I$6:$I$71,$J1723))</f>
        <v>46083</v>
      </c>
      <c r="N1723" s="16" t="n">
        <f aca="false">IF($J1723=0,0,MAX(0,$C1723+INT(DIAS_POR_SEMANA/2)-INDEX(ROTACAO_RDM!$I$6:$I$71,$J1723)))</f>
        <v>192</v>
      </c>
      <c r="O1723" s="19" t="n">
        <f aca="false">IF($J1723=0,0,MIN(1,$N1723/MAX(1,INDEX(ROTACAO_RDM!$K$6:$K$71,$J1723))))</f>
        <v>0.96969696969697</v>
      </c>
      <c r="P1723" s="16" t="n">
        <f aca="false">IF($J1723=0,0,IFERROR(MATCH(INDEX(ROTACAO_RDM!$N$6:$N$71,$J1723),PARAMETROS_CULTURAS!$B$6:$B$28,0),0))</f>
        <v>5</v>
      </c>
      <c r="Q1723" s="8" t="str">
        <f aca="false">IF($P1723=0,"-",IF($O1723&lt;=INDEX(PARAMETROS_CULTURAS!$F$6:$F$28,$P1723),"INICIAL",IF($O1723&lt;=INDEX(PARAMETROS_CULTURAS!$F$6:$F$28,$P1723)+INDEX(PARAMETROS_CULTURAS!$G$6:$G$28,$P1723),"DESENVOLVIMENTO",IF($O1723&lt;=INDEX(PARAMETROS_CULTURAS!$F$6:$F$28,$P1723)+INDEX(PARAMETROS_CULTURAS!$G$6:$G$28,$P1723)+INDEX(PARAMETROS_CULTURAS!$H$6:$H$28,$P1723),"MEDIA","FINAL"))))</f>
        <v>FINAL</v>
      </c>
      <c r="R1723" s="24" t="n">
        <f aca="false">IF($P1723=0,0,IF($O1723&lt;=INDEX(PARAMETROS_CULTURAS!$F$6:$F$28,$P1723),INDEX(PARAMETROS_CULTURAS!$K$6:$K$28,$P1723),IF($O1723&lt;=INDEX(PARAMETROS_CULTURAS!$F$6:$F$28,$P1723)+INDEX(PARAMETROS_CULTURAS!$G$6:$G$28,$P1723),INDEX(PARAMETROS_CULTURAS!$K$6:$K$28,$P1723)+(INDEX(PARAMETROS_CULTURAS!$L$6:$L$28,$P1723)-INDEX(PARAMETROS_CULTURAS!$K$6:$K$28,$P1723))*($O1723-INDEX(PARAMETROS_CULTURAS!$F$6:$F$28,$P1723))/MAX(INDEX(PARAMETROS_CULTURAS!$G$6:$G$28,$P1723),0.0001),IF($O1723&lt;=INDEX(PARAMETROS_CULTURAS!$F$6:$F$28,$P1723)+INDEX(PARAMETROS_CULTURAS!$G$6:$G$28,$P1723)+INDEX(PARAMETROS_CULTURAS!$H$6:$H$28,$P1723),INDEX(PARAMETROS_CULTURAS!$L$6:$L$28,$P1723),INDEX(PARAMETROS_CULTURAS!$L$6:$L$28,$P1723)+(INDEX(PARAMETROS_CULTURAS!$M$6:$M$28,$P1723)-INDEX(PARAMETROS_CULTURAS!$L$6:$L$28,$P1723))*($O1723-INDEX(PARAMETROS_CULTURAS!$F$6:$F$28,$P1723)-INDEX(PARAMETROS_CULTURAS!$G$6:$G$28,$P1723)-INDEX(PARAMETROS_CULTURAS!$H$6:$H$28,$P1723))/MAX(INDEX(PARAMETROS_CULTURAS!$I$6:$I$28,$P1723),0.0001)))))</f>
        <v>0.65952380952381</v>
      </c>
      <c r="S1723" s="18" t="n">
        <f aca="false">IFERROR(INDEX(SEMANAS!$H$6:$H$71,MATCH($B1723,SEMANAS!$B$6:$B$71,0)),0)</f>
        <v>40.6</v>
      </c>
      <c r="T1723" s="18" t="n">
        <f aca="false">$R1723*$S1723</f>
        <v>26.7766666666667</v>
      </c>
      <c r="U1723" s="18" t="n">
        <f aca="false">IFERROR(INDEX(SEMANAS!$I$6:$I$71,MATCH($B1723,SEMANAS!$B$6:$B$71,0)),0)</f>
        <v>7</v>
      </c>
      <c r="V1723" s="18" t="n">
        <f aca="false">IFERROR(INDEX(SEMANAS!$J$6:$J$71,MATCH($B1723,SEMANAS!$B$6:$B$71,0)),0)</f>
        <v>5.6</v>
      </c>
      <c r="W1723" s="18" t="n">
        <f aca="false">MAX(0,$T1723-$V1723)</f>
        <v>21.1766666666667</v>
      </c>
      <c r="X1723" s="19" t="n">
        <f aca="false">IFERROR(INDEX(CADASTRO_PIVOS!$K$6:$K$41,MATCH($E1723,CADASTRO_PIVOS!$B$6:$B$41,0)),EFICIENCIA_PADRAO)</f>
        <v>0.85</v>
      </c>
      <c r="Y1723" s="18" t="n">
        <f aca="false">IF($X1723&lt;=0,0,$W1723/$X1723)</f>
        <v>24.9137254901961</v>
      </c>
      <c r="Z1723" s="16" t="n">
        <f aca="false">$Y1723*$H1723*MM_PARA_M3_HA</f>
        <v>37355.64</v>
      </c>
      <c r="AA1723" s="18" t="n">
        <f aca="false">IFERROR(INDEX(CADASTRO_PIVOS!$I$6:$I$41,MATCH($E1723,CADASTRO_PIVOS!$B$6:$B$41,0)),0)</f>
        <v>1071</v>
      </c>
      <c r="AB1723" s="18" t="n">
        <f aca="false">IF($Z1723&lt;=0,0,$Z1723/$AA1723)</f>
        <v>34.8792156862745</v>
      </c>
      <c r="AC1723" s="16" t="n">
        <f aca="false">IFERROR(INDEX(SEMANAS!$K$6:$K$71,MATCH($B1723,SEMANAS!$B$6:$B$71,0)),0)</f>
        <v>147</v>
      </c>
      <c r="AD1723" s="19" t="n">
        <f aca="false">IF($AC1723&lt;=0,0,$AB1723/$AC1723)</f>
        <v>0.237273576097105</v>
      </c>
      <c r="AE1723" s="8" t="str">
        <f aca="false">IF($K1723="SEM CULTURA","SEM CULTURA",IF($AA1723&lt;=0,"DADO PENDENTE",IF($AD1723&gt;LIMITE_CRITICO,"INVIAVEL",IF($AD1723&gt;LIMITE_ATENCAO,"CRITICO",IF($AD1723&gt;LIMITE_CONFORTAVEL,"ATENCAO","OK")))))</f>
        <v>OK</v>
      </c>
      <c r="AF1723" s="8" t="str">
        <f aca="false">$B1723&amp;"|"&amp;TEXT($AD1723,"0.000000")</f>
        <v>2|0.237274</v>
      </c>
      <c r="AG1723" s="18" t="n">
        <f aca="false">IF($K1723="SEM CULTURA",0,$T1723*$H1723)</f>
        <v>4014.8934</v>
      </c>
      <c r="AH1723" s="18" t="n">
        <f aca="false">IF($K1723="SEM CULTURA",0,$V1723*$H1723)</f>
        <v>839.664</v>
      </c>
      <c r="AI1723" s="18" t="n">
        <f aca="false">IF($K1723="SEM CULTURA",0,$W1723*$H1723)</f>
        <v>3175.2294</v>
      </c>
      <c r="AJ1723" s="18" t="n">
        <f aca="false">IF($K1723="SEM CULTURA",0,$S1723*$H1723)</f>
        <v>6087.564</v>
      </c>
      <c r="AK1723" s="8" t="str">
        <f aca="false">$E1723&amp;"|"&amp;TEXT($AD1723,"0.000000")</f>
        <v>PV 123|0.237274</v>
      </c>
    </row>
    <row r="1724" customFormat="false" ht="15" hidden="false" customHeight="false" outlineLevel="0" collapsed="false">
      <c r="B1724" s="16" t="n">
        <v>3</v>
      </c>
      <c r="C1724" s="17" t="n">
        <f aca="false">DATA_INICIO_SAFRA+($B1724-1)*DIAS_POR_SEMANA</f>
        <v>46279</v>
      </c>
      <c r="D1724" s="17" t="n">
        <f aca="false">$C1724+DIAS_POR_SEMANA-1</f>
        <v>46285</v>
      </c>
      <c r="E1724" s="15" t="s">
        <v>285</v>
      </c>
      <c r="F1724" s="8" t="str">
        <f aca="false">IFERROR(INDEX(CADASTRO_PIVOS!$C$6:$C$41,MATCH($E1724,CADASTRO_PIVOS!$B$6:$B$41,0)),"?")</f>
        <v>RM07</v>
      </c>
      <c r="G1724" s="8" t="str">
        <f aca="false">IFERROR(INDEX(CADASTRO_PIVOS!$D$6:$D$41,MATCH($E1724,CADASTRO_PIVOS!$B$6:$B$41,0)),"?")</f>
        <v>TR07</v>
      </c>
      <c r="H1724" s="20" t="n">
        <f aca="false">IFERROR(INDEX(CADASTRO_PIVOS!$E$6:$E$41,MATCH($E1724,CADASTRO_PIVOS!$B$6:$B$41,0)),0)</f>
        <v>149.94</v>
      </c>
      <c r="I1724" s="16" t="n">
        <f aca="false">IFERROR(SUMIFS(ROTACAO_RDM!$B$6:$B$71,ROTACAO_RDM!$D$6:$D$71,$E1724,ROTACAO_RDM!$I$6:$I$71,"&lt;="&amp;$C1724+INT(DIAS_POR_SEMANA/2),ROTACAO_RDM!$J$6:$J$71,"&gt;="&amp;$C1724+INT(DIAS_POR_SEMANA/2)),0)</f>
        <v>0</v>
      </c>
      <c r="J1724" s="16" t="n">
        <f aca="false">IFERROR(MATCH($I1724,ROTACAO_RDM!$B$6:$B$71,0),0)</f>
        <v>0</v>
      </c>
      <c r="K1724" s="8" t="str">
        <f aca="false">IF($J1724=0,"SEM CULTURA",INDEX(ROTACAO_RDM!$F$6:$F$71,$J1724))</f>
        <v>SEM CULTURA</v>
      </c>
      <c r="L1724" s="8" t="str">
        <f aca="false">IF($J1724=0,"",INDEX(ROTACAO_RDM!$G$6:$G$71,$J1724))</f>
        <v/>
      </c>
      <c r="M1724" s="17" t="str">
        <f aca="false">IF($J1724=0,"",INDEX(ROTACAO_RDM!$I$6:$I$71,$J1724))</f>
        <v/>
      </c>
      <c r="N1724" s="16" t="n">
        <f aca="false">IF($J1724=0,0,MAX(0,$C1724+INT(DIAS_POR_SEMANA/2)-INDEX(ROTACAO_RDM!$I$6:$I$71,$J1724)))</f>
        <v>0</v>
      </c>
      <c r="O1724" s="19" t="n">
        <f aca="false">IF($J1724=0,0,MIN(1,$N1724/MAX(1,INDEX(ROTACAO_RDM!$K$6:$K$71,$J1724))))</f>
        <v>0</v>
      </c>
      <c r="P1724" s="16" t="n">
        <f aca="false">IF($J1724=0,0,IFERROR(MATCH(INDEX(ROTACAO_RDM!$N$6:$N$71,$J1724),PARAMETROS_CULTURAS!$B$6:$B$28,0),0))</f>
        <v>0</v>
      </c>
      <c r="Q1724" s="8" t="str">
        <f aca="false">IF($P1724=0,"-",IF($O1724&lt;=INDEX(PARAMETROS_CULTURAS!$F$6:$F$28,$P1724),"INICIAL",IF($O1724&lt;=INDEX(PARAMETROS_CULTURAS!$F$6:$F$28,$P1724)+INDEX(PARAMETROS_CULTURAS!$G$6:$G$28,$P1724),"DESENVOLVIMENTO",IF($O1724&lt;=INDEX(PARAMETROS_CULTURAS!$F$6:$F$28,$P1724)+INDEX(PARAMETROS_CULTURAS!$G$6:$G$28,$P1724)+INDEX(PARAMETROS_CULTURAS!$H$6:$H$28,$P1724),"MEDIA","FINAL"))))</f>
        <v>-</v>
      </c>
      <c r="R1724" s="24" t="n">
        <f aca="false">IF($P1724=0,0,IF($O1724&lt;=INDEX(PARAMETROS_CULTURAS!$F$6:$F$28,$P1724),INDEX(PARAMETROS_CULTURAS!$K$6:$K$28,$P1724),IF($O1724&lt;=INDEX(PARAMETROS_CULTURAS!$F$6:$F$28,$P1724)+INDEX(PARAMETROS_CULTURAS!$G$6:$G$28,$P1724),INDEX(PARAMETROS_CULTURAS!$K$6:$K$28,$P1724)+(INDEX(PARAMETROS_CULTURAS!$L$6:$L$28,$P1724)-INDEX(PARAMETROS_CULTURAS!$K$6:$K$28,$P1724))*($O1724-INDEX(PARAMETROS_CULTURAS!$F$6:$F$28,$P1724))/MAX(INDEX(PARAMETROS_CULTURAS!$G$6:$G$28,$P1724),0.0001),IF($O1724&lt;=INDEX(PARAMETROS_CULTURAS!$F$6:$F$28,$P1724)+INDEX(PARAMETROS_CULTURAS!$G$6:$G$28,$P1724)+INDEX(PARAMETROS_CULTURAS!$H$6:$H$28,$P1724),INDEX(PARAMETROS_CULTURAS!$L$6:$L$28,$P1724),INDEX(PARAMETROS_CULTURAS!$L$6:$L$28,$P1724)+(INDEX(PARAMETROS_CULTURAS!$M$6:$M$28,$P1724)-INDEX(PARAMETROS_CULTURAS!$L$6:$L$28,$P1724))*($O1724-INDEX(PARAMETROS_CULTURAS!$F$6:$F$28,$P1724)-INDEX(PARAMETROS_CULTURAS!$G$6:$G$28,$P1724)-INDEX(PARAMETROS_CULTURAS!$H$6:$H$28,$P1724))/MAX(INDEX(PARAMETROS_CULTURAS!$I$6:$I$28,$P1724),0.0001)))))</f>
        <v>0</v>
      </c>
      <c r="S1724" s="18" t="n">
        <f aca="false">IFERROR(INDEX(SEMANAS!$H$6:$H$71,MATCH($B1724,SEMANAS!$B$6:$B$71,0)),0)</f>
        <v>40.6</v>
      </c>
      <c r="T1724" s="18" t="n">
        <f aca="false">$R1724*$S1724</f>
        <v>0</v>
      </c>
      <c r="U1724" s="18" t="n">
        <f aca="false">IFERROR(INDEX(SEMANAS!$I$6:$I$71,MATCH($B1724,SEMANAS!$B$6:$B$71,0)),0)</f>
        <v>7</v>
      </c>
      <c r="V1724" s="18" t="n">
        <f aca="false">IFERROR(INDEX(SEMANAS!$J$6:$J$71,MATCH($B1724,SEMANAS!$B$6:$B$71,0)),0)</f>
        <v>5.6</v>
      </c>
      <c r="W1724" s="18" t="n">
        <f aca="false">MAX(0,$T1724-$V1724)</f>
        <v>0</v>
      </c>
      <c r="X1724" s="19" t="n">
        <f aca="false">IFERROR(INDEX(CADASTRO_PIVOS!$K$6:$K$41,MATCH($E1724,CADASTRO_PIVOS!$B$6:$B$41,0)),EFICIENCIA_PADRAO)</f>
        <v>0.85</v>
      </c>
      <c r="Y1724" s="18" t="n">
        <f aca="false">IF($X1724&lt;=0,0,$W1724/$X1724)</f>
        <v>0</v>
      </c>
      <c r="Z1724" s="16" t="n">
        <f aca="false">$Y1724*$H1724*MM_PARA_M3_HA</f>
        <v>0</v>
      </c>
      <c r="AA1724" s="18" t="n">
        <f aca="false">IFERROR(INDEX(CADASTRO_PIVOS!$I$6:$I$41,MATCH($E1724,CADASTRO_PIVOS!$B$6:$B$41,0)),0)</f>
        <v>1071</v>
      </c>
      <c r="AB1724" s="18" t="n">
        <f aca="false">IF($Z1724&lt;=0,0,$Z1724/$AA1724)</f>
        <v>0</v>
      </c>
      <c r="AC1724" s="16" t="n">
        <f aca="false">IFERROR(INDEX(SEMANAS!$K$6:$K$71,MATCH($B1724,SEMANAS!$B$6:$B$71,0)),0)</f>
        <v>147</v>
      </c>
      <c r="AD1724" s="19" t="n">
        <f aca="false">IF($AC1724&lt;=0,0,$AB1724/$AC1724)</f>
        <v>0</v>
      </c>
      <c r="AE1724" s="8" t="str">
        <f aca="false">IF($K1724="SEM CULTURA","SEM CULTURA",IF($AA1724&lt;=0,"DADO PENDENTE",IF($AD1724&gt;LIMITE_CRITICO,"INVIAVEL",IF($AD1724&gt;LIMITE_ATENCAO,"CRITICO",IF($AD1724&gt;LIMITE_CONFORTAVEL,"ATENCAO","OK")))))</f>
        <v>SEM CULTURA</v>
      </c>
      <c r="AF1724" s="8" t="str">
        <f aca="false">$B1724&amp;"|"&amp;TEXT($AD1724,"0.000000")</f>
        <v>3|0.000000</v>
      </c>
      <c r="AG1724" s="18" t="n">
        <f aca="false">IF($K1724="SEM CULTURA",0,$T1724*$H1724)</f>
        <v>0</v>
      </c>
      <c r="AH1724" s="18" t="n">
        <f aca="false">IF($K1724="SEM CULTURA",0,$V1724*$H1724)</f>
        <v>0</v>
      </c>
      <c r="AI1724" s="18" t="n">
        <f aca="false">IF($K1724="SEM CULTURA",0,$W1724*$H1724)</f>
        <v>0</v>
      </c>
      <c r="AJ1724" s="18" t="n">
        <f aca="false">IF($K1724="SEM CULTURA",0,$S1724*$H1724)</f>
        <v>0</v>
      </c>
      <c r="AK1724" s="8" t="str">
        <f aca="false">$E1724&amp;"|"&amp;TEXT($AD1724,"0.000000")</f>
        <v>PV 123|0.000000</v>
      </c>
    </row>
    <row r="1725" customFormat="false" ht="15" hidden="false" customHeight="false" outlineLevel="0" collapsed="false">
      <c r="B1725" s="16" t="n">
        <v>4</v>
      </c>
      <c r="C1725" s="17" t="n">
        <f aca="false">DATA_INICIO_SAFRA+($B1725-1)*DIAS_POR_SEMANA</f>
        <v>46286</v>
      </c>
      <c r="D1725" s="17" t="n">
        <f aca="false">$C1725+DIAS_POR_SEMANA-1</f>
        <v>46292</v>
      </c>
      <c r="E1725" s="15" t="s">
        <v>285</v>
      </c>
      <c r="F1725" s="8" t="str">
        <f aca="false">IFERROR(INDEX(CADASTRO_PIVOS!$C$6:$C$41,MATCH($E1725,CADASTRO_PIVOS!$B$6:$B$41,0)),"?")</f>
        <v>RM07</v>
      </c>
      <c r="G1725" s="8" t="str">
        <f aca="false">IFERROR(INDEX(CADASTRO_PIVOS!$D$6:$D$41,MATCH($E1725,CADASTRO_PIVOS!$B$6:$B$41,0)),"?")</f>
        <v>TR07</v>
      </c>
      <c r="H1725" s="20" t="n">
        <f aca="false">IFERROR(INDEX(CADASTRO_PIVOS!$E$6:$E$41,MATCH($E1725,CADASTRO_PIVOS!$B$6:$B$41,0)),0)</f>
        <v>149.94</v>
      </c>
      <c r="I1725" s="16" t="n">
        <f aca="false">IFERROR(SUMIFS(ROTACAO_RDM!$B$6:$B$71,ROTACAO_RDM!$D$6:$D$71,$E1725,ROTACAO_RDM!$I$6:$I$71,"&lt;="&amp;$C1725+INT(DIAS_POR_SEMANA/2),ROTACAO_RDM!$J$6:$J$71,"&gt;="&amp;$C1725+INT(DIAS_POR_SEMANA/2)),0)</f>
        <v>0</v>
      </c>
      <c r="J1725" s="16" t="n">
        <f aca="false">IFERROR(MATCH($I1725,ROTACAO_RDM!$B$6:$B$71,0),0)</f>
        <v>0</v>
      </c>
      <c r="K1725" s="8" t="str">
        <f aca="false">IF($J1725=0,"SEM CULTURA",INDEX(ROTACAO_RDM!$F$6:$F$71,$J1725))</f>
        <v>SEM CULTURA</v>
      </c>
      <c r="L1725" s="8" t="str">
        <f aca="false">IF($J1725=0,"",INDEX(ROTACAO_RDM!$G$6:$G$71,$J1725))</f>
        <v/>
      </c>
      <c r="M1725" s="17" t="str">
        <f aca="false">IF($J1725=0,"",INDEX(ROTACAO_RDM!$I$6:$I$71,$J1725))</f>
        <v/>
      </c>
      <c r="N1725" s="16" t="n">
        <f aca="false">IF($J1725=0,0,MAX(0,$C1725+INT(DIAS_POR_SEMANA/2)-INDEX(ROTACAO_RDM!$I$6:$I$71,$J1725)))</f>
        <v>0</v>
      </c>
      <c r="O1725" s="19" t="n">
        <f aca="false">IF($J1725=0,0,MIN(1,$N1725/MAX(1,INDEX(ROTACAO_RDM!$K$6:$K$71,$J1725))))</f>
        <v>0</v>
      </c>
      <c r="P1725" s="16" t="n">
        <f aca="false">IF($J1725=0,0,IFERROR(MATCH(INDEX(ROTACAO_RDM!$N$6:$N$71,$J1725),PARAMETROS_CULTURAS!$B$6:$B$28,0),0))</f>
        <v>0</v>
      </c>
      <c r="Q1725" s="8" t="str">
        <f aca="false">IF($P1725=0,"-",IF($O1725&lt;=INDEX(PARAMETROS_CULTURAS!$F$6:$F$28,$P1725),"INICIAL",IF($O1725&lt;=INDEX(PARAMETROS_CULTURAS!$F$6:$F$28,$P1725)+INDEX(PARAMETROS_CULTURAS!$G$6:$G$28,$P1725),"DESENVOLVIMENTO",IF($O1725&lt;=INDEX(PARAMETROS_CULTURAS!$F$6:$F$28,$P1725)+INDEX(PARAMETROS_CULTURAS!$G$6:$G$28,$P1725)+INDEX(PARAMETROS_CULTURAS!$H$6:$H$28,$P1725),"MEDIA","FINAL"))))</f>
        <v>-</v>
      </c>
      <c r="R1725" s="24" t="n">
        <f aca="false">IF($P1725=0,0,IF($O1725&lt;=INDEX(PARAMETROS_CULTURAS!$F$6:$F$28,$P1725),INDEX(PARAMETROS_CULTURAS!$K$6:$K$28,$P1725),IF($O1725&lt;=INDEX(PARAMETROS_CULTURAS!$F$6:$F$28,$P1725)+INDEX(PARAMETROS_CULTURAS!$G$6:$G$28,$P1725),INDEX(PARAMETROS_CULTURAS!$K$6:$K$28,$P1725)+(INDEX(PARAMETROS_CULTURAS!$L$6:$L$28,$P1725)-INDEX(PARAMETROS_CULTURAS!$K$6:$K$28,$P1725))*($O1725-INDEX(PARAMETROS_CULTURAS!$F$6:$F$28,$P1725))/MAX(INDEX(PARAMETROS_CULTURAS!$G$6:$G$28,$P1725),0.0001),IF($O1725&lt;=INDEX(PARAMETROS_CULTURAS!$F$6:$F$28,$P1725)+INDEX(PARAMETROS_CULTURAS!$G$6:$G$28,$P1725)+INDEX(PARAMETROS_CULTURAS!$H$6:$H$28,$P1725),INDEX(PARAMETROS_CULTURAS!$L$6:$L$28,$P1725),INDEX(PARAMETROS_CULTURAS!$L$6:$L$28,$P1725)+(INDEX(PARAMETROS_CULTURAS!$M$6:$M$28,$P1725)-INDEX(PARAMETROS_CULTURAS!$L$6:$L$28,$P1725))*($O1725-INDEX(PARAMETROS_CULTURAS!$F$6:$F$28,$P1725)-INDEX(PARAMETROS_CULTURAS!$G$6:$G$28,$P1725)-INDEX(PARAMETROS_CULTURAS!$H$6:$H$28,$P1725))/MAX(INDEX(PARAMETROS_CULTURAS!$I$6:$I$28,$P1725),0.0001)))))</f>
        <v>0</v>
      </c>
      <c r="S1725" s="18" t="n">
        <f aca="false">IFERROR(INDEX(SEMANAS!$H$6:$H$71,MATCH($B1725,SEMANAS!$B$6:$B$71,0)),0)</f>
        <v>40.6</v>
      </c>
      <c r="T1725" s="18" t="n">
        <f aca="false">$R1725*$S1725</f>
        <v>0</v>
      </c>
      <c r="U1725" s="18" t="n">
        <f aca="false">IFERROR(INDEX(SEMANAS!$I$6:$I$71,MATCH($B1725,SEMANAS!$B$6:$B$71,0)),0)</f>
        <v>7</v>
      </c>
      <c r="V1725" s="18" t="n">
        <f aca="false">IFERROR(INDEX(SEMANAS!$J$6:$J$71,MATCH($B1725,SEMANAS!$B$6:$B$71,0)),0)</f>
        <v>5.6</v>
      </c>
      <c r="W1725" s="18" t="n">
        <f aca="false">MAX(0,$T1725-$V1725)</f>
        <v>0</v>
      </c>
      <c r="X1725" s="19" t="n">
        <f aca="false">IFERROR(INDEX(CADASTRO_PIVOS!$K$6:$K$41,MATCH($E1725,CADASTRO_PIVOS!$B$6:$B$41,0)),EFICIENCIA_PADRAO)</f>
        <v>0.85</v>
      </c>
      <c r="Y1725" s="18" t="n">
        <f aca="false">IF($X1725&lt;=0,0,$W1725/$X1725)</f>
        <v>0</v>
      </c>
      <c r="Z1725" s="16" t="n">
        <f aca="false">$Y1725*$H1725*MM_PARA_M3_HA</f>
        <v>0</v>
      </c>
      <c r="AA1725" s="18" t="n">
        <f aca="false">IFERROR(INDEX(CADASTRO_PIVOS!$I$6:$I$41,MATCH($E1725,CADASTRO_PIVOS!$B$6:$B$41,0)),0)</f>
        <v>1071</v>
      </c>
      <c r="AB1725" s="18" t="n">
        <f aca="false">IF($Z1725&lt;=0,0,$Z1725/$AA1725)</f>
        <v>0</v>
      </c>
      <c r="AC1725" s="16" t="n">
        <f aca="false">IFERROR(INDEX(SEMANAS!$K$6:$K$71,MATCH($B1725,SEMANAS!$B$6:$B$71,0)),0)</f>
        <v>147</v>
      </c>
      <c r="AD1725" s="19" t="n">
        <f aca="false">IF($AC1725&lt;=0,0,$AB1725/$AC1725)</f>
        <v>0</v>
      </c>
      <c r="AE1725" s="8" t="str">
        <f aca="false">IF($K1725="SEM CULTURA","SEM CULTURA",IF($AA1725&lt;=0,"DADO PENDENTE",IF($AD1725&gt;LIMITE_CRITICO,"INVIAVEL",IF($AD1725&gt;LIMITE_ATENCAO,"CRITICO",IF($AD1725&gt;LIMITE_CONFORTAVEL,"ATENCAO","OK")))))</f>
        <v>SEM CULTURA</v>
      </c>
      <c r="AF1725" s="8" t="str">
        <f aca="false">$B1725&amp;"|"&amp;TEXT($AD1725,"0.000000")</f>
        <v>4|0.000000</v>
      </c>
      <c r="AG1725" s="18" t="n">
        <f aca="false">IF($K1725="SEM CULTURA",0,$T1725*$H1725)</f>
        <v>0</v>
      </c>
      <c r="AH1725" s="18" t="n">
        <f aca="false">IF($K1725="SEM CULTURA",0,$V1725*$H1725)</f>
        <v>0</v>
      </c>
      <c r="AI1725" s="18" t="n">
        <f aca="false">IF($K1725="SEM CULTURA",0,$W1725*$H1725)</f>
        <v>0</v>
      </c>
      <c r="AJ1725" s="18" t="n">
        <f aca="false">IF($K1725="SEM CULTURA",0,$S1725*$H1725)</f>
        <v>0</v>
      </c>
      <c r="AK1725" s="8" t="str">
        <f aca="false">$E1725&amp;"|"&amp;TEXT($AD1725,"0.000000")</f>
        <v>PV 123|0.000000</v>
      </c>
    </row>
    <row r="1726" customFormat="false" ht="15" hidden="false" customHeight="false" outlineLevel="0" collapsed="false">
      <c r="B1726" s="16" t="n">
        <v>5</v>
      </c>
      <c r="C1726" s="17" t="n">
        <f aca="false">DATA_INICIO_SAFRA+($B1726-1)*DIAS_POR_SEMANA</f>
        <v>46293</v>
      </c>
      <c r="D1726" s="17" t="n">
        <f aca="false">$C1726+DIAS_POR_SEMANA-1</f>
        <v>46299</v>
      </c>
      <c r="E1726" s="15" t="s">
        <v>285</v>
      </c>
      <c r="F1726" s="8" t="str">
        <f aca="false">IFERROR(INDEX(CADASTRO_PIVOS!$C$6:$C$41,MATCH($E1726,CADASTRO_PIVOS!$B$6:$B$41,0)),"?")</f>
        <v>RM07</v>
      </c>
      <c r="G1726" s="8" t="str">
        <f aca="false">IFERROR(INDEX(CADASTRO_PIVOS!$D$6:$D$41,MATCH($E1726,CADASTRO_PIVOS!$B$6:$B$41,0)),"?")</f>
        <v>TR07</v>
      </c>
      <c r="H1726" s="20" t="n">
        <f aca="false">IFERROR(INDEX(CADASTRO_PIVOS!$E$6:$E$41,MATCH($E1726,CADASTRO_PIVOS!$B$6:$B$41,0)),0)</f>
        <v>149.94</v>
      </c>
      <c r="I1726" s="16" t="n">
        <f aca="false">IFERROR(SUMIFS(ROTACAO_RDM!$B$6:$B$71,ROTACAO_RDM!$D$6:$D$71,$E1726,ROTACAO_RDM!$I$6:$I$71,"&lt;="&amp;$C1726+INT(DIAS_POR_SEMANA/2),ROTACAO_RDM!$J$6:$J$71,"&gt;="&amp;$C1726+INT(DIAS_POR_SEMANA/2)),0)</f>
        <v>0</v>
      </c>
      <c r="J1726" s="16" t="n">
        <f aca="false">IFERROR(MATCH($I1726,ROTACAO_RDM!$B$6:$B$71,0),0)</f>
        <v>0</v>
      </c>
      <c r="K1726" s="8" t="str">
        <f aca="false">IF($J1726=0,"SEM CULTURA",INDEX(ROTACAO_RDM!$F$6:$F$71,$J1726))</f>
        <v>SEM CULTURA</v>
      </c>
      <c r="L1726" s="8" t="str">
        <f aca="false">IF($J1726=0,"",INDEX(ROTACAO_RDM!$G$6:$G$71,$J1726))</f>
        <v/>
      </c>
      <c r="M1726" s="17" t="str">
        <f aca="false">IF($J1726=0,"",INDEX(ROTACAO_RDM!$I$6:$I$71,$J1726))</f>
        <v/>
      </c>
      <c r="N1726" s="16" t="n">
        <f aca="false">IF($J1726=0,0,MAX(0,$C1726+INT(DIAS_POR_SEMANA/2)-INDEX(ROTACAO_RDM!$I$6:$I$71,$J1726)))</f>
        <v>0</v>
      </c>
      <c r="O1726" s="19" t="n">
        <f aca="false">IF($J1726=0,0,MIN(1,$N1726/MAX(1,INDEX(ROTACAO_RDM!$K$6:$K$71,$J1726))))</f>
        <v>0</v>
      </c>
      <c r="P1726" s="16" t="n">
        <f aca="false">IF($J1726=0,0,IFERROR(MATCH(INDEX(ROTACAO_RDM!$N$6:$N$71,$J1726),PARAMETROS_CULTURAS!$B$6:$B$28,0),0))</f>
        <v>0</v>
      </c>
      <c r="Q1726" s="8" t="str">
        <f aca="false">IF($P1726=0,"-",IF($O1726&lt;=INDEX(PARAMETROS_CULTURAS!$F$6:$F$28,$P1726),"INICIAL",IF($O1726&lt;=INDEX(PARAMETROS_CULTURAS!$F$6:$F$28,$P1726)+INDEX(PARAMETROS_CULTURAS!$G$6:$G$28,$P1726),"DESENVOLVIMENTO",IF($O1726&lt;=INDEX(PARAMETROS_CULTURAS!$F$6:$F$28,$P1726)+INDEX(PARAMETROS_CULTURAS!$G$6:$G$28,$P1726)+INDEX(PARAMETROS_CULTURAS!$H$6:$H$28,$P1726),"MEDIA","FINAL"))))</f>
        <v>-</v>
      </c>
      <c r="R1726" s="24" t="n">
        <f aca="false">IF($P1726=0,0,IF($O1726&lt;=INDEX(PARAMETROS_CULTURAS!$F$6:$F$28,$P1726),INDEX(PARAMETROS_CULTURAS!$K$6:$K$28,$P1726),IF($O1726&lt;=INDEX(PARAMETROS_CULTURAS!$F$6:$F$28,$P1726)+INDEX(PARAMETROS_CULTURAS!$G$6:$G$28,$P1726),INDEX(PARAMETROS_CULTURAS!$K$6:$K$28,$P1726)+(INDEX(PARAMETROS_CULTURAS!$L$6:$L$28,$P1726)-INDEX(PARAMETROS_CULTURAS!$K$6:$K$28,$P1726))*($O1726-INDEX(PARAMETROS_CULTURAS!$F$6:$F$28,$P1726))/MAX(INDEX(PARAMETROS_CULTURAS!$G$6:$G$28,$P1726),0.0001),IF($O1726&lt;=INDEX(PARAMETROS_CULTURAS!$F$6:$F$28,$P1726)+INDEX(PARAMETROS_CULTURAS!$G$6:$G$28,$P1726)+INDEX(PARAMETROS_CULTURAS!$H$6:$H$28,$P1726),INDEX(PARAMETROS_CULTURAS!$L$6:$L$28,$P1726),INDEX(PARAMETROS_CULTURAS!$L$6:$L$28,$P1726)+(INDEX(PARAMETROS_CULTURAS!$M$6:$M$28,$P1726)-INDEX(PARAMETROS_CULTURAS!$L$6:$L$28,$P1726))*($O1726-INDEX(PARAMETROS_CULTURAS!$F$6:$F$28,$P1726)-INDEX(PARAMETROS_CULTURAS!$G$6:$G$28,$P1726)-INDEX(PARAMETROS_CULTURAS!$H$6:$H$28,$P1726))/MAX(INDEX(PARAMETROS_CULTURAS!$I$6:$I$28,$P1726),0.0001)))))</f>
        <v>0</v>
      </c>
      <c r="S1726" s="18" t="n">
        <f aca="false">IFERROR(INDEX(SEMANAS!$H$6:$H$71,MATCH($B1726,SEMANAS!$B$6:$B$71,0)),0)</f>
        <v>39.8</v>
      </c>
      <c r="T1726" s="18" t="n">
        <f aca="false">$R1726*$S1726</f>
        <v>0</v>
      </c>
      <c r="U1726" s="18" t="n">
        <f aca="false">IFERROR(INDEX(SEMANAS!$I$6:$I$71,MATCH($B1726,SEMANAS!$B$6:$B$71,0)),0)</f>
        <v>18.48</v>
      </c>
      <c r="V1726" s="18" t="n">
        <f aca="false">IFERROR(INDEX(SEMANAS!$J$6:$J$71,MATCH($B1726,SEMANAS!$B$6:$B$71,0)),0)</f>
        <v>14.784</v>
      </c>
      <c r="W1726" s="18" t="n">
        <f aca="false">MAX(0,$T1726-$V1726)</f>
        <v>0</v>
      </c>
      <c r="X1726" s="19" t="n">
        <f aca="false">IFERROR(INDEX(CADASTRO_PIVOS!$K$6:$K$41,MATCH($E1726,CADASTRO_PIVOS!$B$6:$B$41,0)),EFICIENCIA_PADRAO)</f>
        <v>0.85</v>
      </c>
      <c r="Y1726" s="18" t="n">
        <f aca="false">IF($X1726&lt;=0,0,$W1726/$X1726)</f>
        <v>0</v>
      </c>
      <c r="Z1726" s="16" t="n">
        <f aca="false">$Y1726*$H1726*MM_PARA_M3_HA</f>
        <v>0</v>
      </c>
      <c r="AA1726" s="18" t="n">
        <f aca="false">IFERROR(INDEX(CADASTRO_PIVOS!$I$6:$I$41,MATCH($E1726,CADASTRO_PIVOS!$B$6:$B$41,0)),0)</f>
        <v>1071</v>
      </c>
      <c r="AB1726" s="18" t="n">
        <f aca="false">IF($Z1726&lt;=0,0,$Z1726/$AA1726)</f>
        <v>0</v>
      </c>
      <c r="AC1726" s="16" t="n">
        <f aca="false">IFERROR(INDEX(SEMANAS!$K$6:$K$71,MATCH($B1726,SEMANAS!$B$6:$B$71,0)),0)</f>
        <v>147</v>
      </c>
      <c r="AD1726" s="19" t="n">
        <f aca="false">IF($AC1726&lt;=0,0,$AB1726/$AC1726)</f>
        <v>0</v>
      </c>
      <c r="AE1726" s="8" t="str">
        <f aca="false">IF($K1726="SEM CULTURA","SEM CULTURA",IF($AA1726&lt;=0,"DADO PENDENTE",IF($AD1726&gt;LIMITE_CRITICO,"INVIAVEL",IF($AD1726&gt;LIMITE_ATENCAO,"CRITICO",IF($AD1726&gt;LIMITE_CONFORTAVEL,"ATENCAO","OK")))))</f>
        <v>SEM CULTURA</v>
      </c>
      <c r="AF1726" s="8" t="str">
        <f aca="false">$B1726&amp;"|"&amp;TEXT($AD1726,"0.000000")</f>
        <v>5|0.000000</v>
      </c>
      <c r="AG1726" s="18" t="n">
        <f aca="false">IF($K1726="SEM CULTURA",0,$T1726*$H1726)</f>
        <v>0</v>
      </c>
      <c r="AH1726" s="18" t="n">
        <f aca="false">IF($K1726="SEM CULTURA",0,$V1726*$H1726)</f>
        <v>0</v>
      </c>
      <c r="AI1726" s="18" t="n">
        <f aca="false">IF($K1726="SEM CULTURA",0,$W1726*$H1726)</f>
        <v>0</v>
      </c>
      <c r="AJ1726" s="18" t="n">
        <f aca="false">IF($K1726="SEM CULTURA",0,$S1726*$H1726)</f>
        <v>0</v>
      </c>
      <c r="AK1726" s="8" t="str">
        <f aca="false">$E1726&amp;"|"&amp;TEXT($AD1726,"0.000000")</f>
        <v>PV 123|0.000000</v>
      </c>
    </row>
    <row r="1727" customFormat="false" ht="15" hidden="false" customHeight="false" outlineLevel="0" collapsed="false">
      <c r="B1727" s="16" t="n">
        <v>6</v>
      </c>
      <c r="C1727" s="17" t="n">
        <f aca="false">DATA_INICIO_SAFRA+($B1727-1)*DIAS_POR_SEMANA</f>
        <v>46300</v>
      </c>
      <c r="D1727" s="17" t="n">
        <f aca="false">$C1727+DIAS_POR_SEMANA-1</f>
        <v>46306</v>
      </c>
      <c r="E1727" s="15" t="s">
        <v>285</v>
      </c>
      <c r="F1727" s="8" t="str">
        <f aca="false">IFERROR(INDEX(CADASTRO_PIVOS!$C$6:$C$41,MATCH($E1727,CADASTRO_PIVOS!$B$6:$B$41,0)),"?")</f>
        <v>RM07</v>
      </c>
      <c r="G1727" s="8" t="str">
        <f aca="false">IFERROR(INDEX(CADASTRO_PIVOS!$D$6:$D$41,MATCH($E1727,CADASTRO_PIVOS!$B$6:$B$41,0)),"?")</f>
        <v>TR07</v>
      </c>
      <c r="H1727" s="20" t="n">
        <f aca="false">IFERROR(INDEX(CADASTRO_PIVOS!$E$6:$E$41,MATCH($E1727,CADASTRO_PIVOS!$B$6:$B$41,0)),0)</f>
        <v>149.94</v>
      </c>
      <c r="I1727" s="16" t="n">
        <f aca="false">IFERROR(SUMIFS(ROTACAO_RDM!$B$6:$B$71,ROTACAO_RDM!$D$6:$D$71,$E1727,ROTACAO_RDM!$I$6:$I$71,"&lt;="&amp;$C1727+INT(DIAS_POR_SEMANA/2),ROTACAO_RDM!$J$6:$J$71,"&gt;="&amp;$C1727+INT(DIAS_POR_SEMANA/2)),0)</f>
        <v>0</v>
      </c>
      <c r="J1727" s="16" t="n">
        <f aca="false">IFERROR(MATCH($I1727,ROTACAO_RDM!$B$6:$B$71,0),0)</f>
        <v>0</v>
      </c>
      <c r="K1727" s="8" t="str">
        <f aca="false">IF($J1727=0,"SEM CULTURA",INDEX(ROTACAO_RDM!$F$6:$F$71,$J1727))</f>
        <v>SEM CULTURA</v>
      </c>
      <c r="L1727" s="8" t="str">
        <f aca="false">IF($J1727=0,"",INDEX(ROTACAO_RDM!$G$6:$G$71,$J1727))</f>
        <v/>
      </c>
      <c r="M1727" s="17" t="str">
        <f aca="false">IF($J1727=0,"",INDEX(ROTACAO_RDM!$I$6:$I$71,$J1727))</f>
        <v/>
      </c>
      <c r="N1727" s="16" t="n">
        <f aca="false">IF($J1727=0,0,MAX(0,$C1727+INT(DIAS_POR_SEMANA/2)-INDEX(ROTACAO_RDM!$I$6:$I$71,$J1727)))</f>
        <v>0</v>
      </c>
      <c r="O1727" s="19" t="n">
        <f aca="false">IF($J1727=0,0,MIN(1,$N1727/MAX(1,INDEX(ROTACAO_RDM!$K$6:$K$71,$J1727))))</f>
        <v>0</v>
      </c>
      <c r="P1727" s="16" t="n">
        <f aca="false">IF($J1727=0,0,IFERROR(MATCH(INDEX(ROTACAO_RDM!$N$6:$N$71,$J1727),PARAMETROS_CULTURAS!$B$6:$B$28,0),0))</f>
        <v>0</v>
      </c>
      <c r="Q1727" s="8" t="str">
        <f aca="false">IF($P1727=0,"-",IF($O1727&lt;=INDEX(PARAMETROS_CULTURAS!$F$6:$F$28,$P1727),"INICIAL",IF($O1727&lt;=INDEX(PARAMETROS_CULTURAS!$F$6:$F$28,$P1727)+INDEX(PARAMETROS_CULTURAS!$G$6:$G$28,$P1727),"DESENVOLVIMENTO",IF($O1727&lt;=INDEX(PARAMETROS_CULTURAS!$F$6:$F$28,$P1727)+INDEX(PARAMETROS_CULTURAS!$G$6:$G$28,$P1727)+INDEX(PARAMETROS_CULTURAS!$H$6:$H$28,$P1727),"MEDIA","FINAL"))))</f>
        <v>-</v>
      </c>
      <c r="R1727" s="24" t="n">
        <f aca="false">IF($P1727=0,0,IF($O1727&lt;=INDEX(PARAMETROS_CULTURAS!$F$6:$F$28,$P1727),INDEX(PARAMETROS_CULTURAS!$K$6:$K$28,$P1727),IF($O1727&lt;=INDEX(PARAMETROS_CULTURAS!$F$6:$F$28,$P1727)+INDEX(PARAMETROS_CULTURAS!$G$6:$G$28,$P1727),INDEX(PARAMETROS_CULTURAS!$K$6:$K$28,$P1727)+(INDEX(PARAMETROS_CULTURAS!$L$6:$L$28,$P1727)-INDEX(PARAMETROS_CULTURAS!$K$6:$K$28,$P1727))*($O1727-INDEX(PARAMETROS_CULTURAS!$F$6:$F$28,$P1727))/MAX(INDEX(PARAMETROS_CULTURAS!$G$6:$G$28,$P1727),0.0001),IF($O1727&lt;=INDEX(PARAMETROS_CULTURAS!$F$6:$F$28,$P1727)+INDEX(PARAMETROS_CULTURAS!$G$6:$G$28,$P1727)+INDEX(PARAMETROS_CULTURAS!$H$6:$H$28,$P1727),INDEX(PARAMETROS_CULTURAS!$L$6:$L$28,$P1727),INDEX(PARAMETROS_CULTURAS!$L$6:$L$28,$P1727)+(INDEX(PARAMETROS_CULTURAS!$M$6:$M$28,$P1727)-INDEX(PARAMETROS_CULTURAS!$L$6:$L$28,$P1727))*($O1727-INDEX(PARAMETROS_CULTURAS!$F$6:$F$28,$P1727)-INDEX(PARAMETROS_CULTURAS!$G$6:$G$28,$P1727)-INDEX(PARAMETROS_CULTURAS!$H$6:$H$28,$P1727))/MAX(INDEX(PARAMETROS_CULTURAS!$I$6:$I$28,$P1727),0.0001)))))</f>
        <v>0</v>
      </c>
      <c r="S1727" s="18" t="n">
        <f aca="false">IFERROR(INDEX(SEMANAS!$H$6:$H$71,MATCH($B1727,SEMANAS!$B$6:$B$71,0)),0)</f>
        <v>39.2</v>
      </c>
      <c r="T1727" s="18" t="n">
        <f aca="false">$R1727*$S1727</f>
        <v>0</v>
      </c>
      <c r="U1727" s="18" t="n">
        <f aca="false">IFERROR(INDEX(SEMANAS!$I$6:$I$71,MATCH($B1727,SEMANAS!$B$6:$B$71,0)),0)</f>
        <v>27.09</v>
      </c>
      <c r="V1727" s="18" t="n">
        <f aca="false">IFERROR(INDEX(SEMANAS!$J$6:$J$71,MATCH($B1727,SEMANAS!$B$6:$B$71,0)),0)</f>
        <v>21.672</v>
      </c>
      <c r="W1727" s="18" t="n">
        <f aca="false">MAX(0,$T1727-$V1727)</f>
        <v>0</v>
      </c>
      <c r="X1727" s="19" t="n">
        <f aca="false">IFERROR(INDEX(CADASTRO_PIVOS!$K$6:$K$41,MATCH($E1727,CADASTRO_PIVOS!$B$6:$B$41,0)),EFICIENCIA_PADRAO)</f>
        <v>0.85</v>
      </c>
      <c r="Y1727" s="18" t="n">
        <f aca="false">IF($X1727&lt;=0,0,$W1727/$X1727)</f>
        <v>0</v>
      </c>
      <c r="Z1727" s="16" t="n">
        <f aca="false">$Y1727*$H1727*MM_PARA_M3_HA</f>
        <v>0</v>
      </c>
      <c r="AA1727" s="18" t="n">
        <f aca="false">IFERROR(INDEX(CADASTRO_PIVOS!$I$6:$I$41,MATCH($E1727,CADASTRO_PIVOS!$B$6:$B$41,0)),0)</f>
        <v>1071</v>
      </c>
      <c r="AB1727" s="18" t="n">
        <f aca="false">IF($Z1727&lt;=0,0,$Z1727/$AA1727)</f>
        <v>0</v>
      </c>
      <c r="AC1727" s="16" t="n">
        <f aca="false">IFERROR(INDEX(SEMANAS!$K$6:$K$71,MATCH($B1727,SEMANAS!$B$6:$B$71,0)),0)</f>
        <v>147</v>
      </c>
      <c r="AD1727" s="19" t="n">
        <f aca="false">IF($AC1727&lt;=0,0,$AB1727/$AC1727)</f>
        <v>0</v>
      </c>
      <c r="AE1727" s="8" t="str">
        <f aca="false">IF($K1727="SEM CULTURA","SEM CULTURA",IF($AA1727&lt;=0,"DADO PENDENTE",IF($AD1727&gt;LIMITE_CRITICO,"INVIAVEL",IF($AD1727&gt;LIMITE_ATENCAO,"CRITICO",IF($AD1727&gt;LIMITE_CONFORTAVEL,"ATENCAO","OK")))))</f>
        <v>SEM CULTURA</v>
      </c>
      <c r="AF1727" s="8" t="str">
        <f aca="false">$B1727&amp;"|"&amp;TEXT($AD1727,"0.000000")</f>
        <v>6|0.000000</v>
      </c>
      <c r="AG1727" s="18" t="n">
        <f aca="false">IF($K1727="SEM CULTURA",0,$T1727*$H1727)</f>
        <v>0</v>
      </c>
      <c r="AH1727" s="18" t="n">
        <f aca="false">IF($K1727="SEM CULTURA",0,$V1727*$H1727)</f>
        <v>0</v>
      </c>
      <c r="AI1727" s="18" t="n">
        <f aca="false">IF($K1727="SEM CULTURA",0,$W1727*$H1727)</f>
        <v>0</v>
      </c>
      <c r="AJ1727" s="18" t="n">
        <f aca="false">IF($K1727="SEM CULTURA",0,$S1727*$H1727)</f>
        <v>0</v>
      </c>
      <c r="AK1727" s="8" t="str">
        <f aca="false">$E1727&amp;"|"&amp;TEXT($AD1727,"0.000000")</f>
        <v>PV 123|0.000000</v>
      </c>
    </row>
    <row r="1728" customFormat="false" ht="15" hidden="false" customHeight="false" outlineLevel="0" collapsed="false">
      <c r="B1728" s="16" t="n">
        <v>7</v>
      </c>
      <c r="C1728" s="17" t="n">
        <f aca="false">DATA_INICIO_SAFRA+($B1728-1)*DIAS_POR_SEMANA</f>
        <v>46307</v>
      </c>
      <c r="D1728" s="17" t="n">
        <f aca="false">$C1728+DIAS_POR_SEMANA-1</f>
        <v>46313</v>
      </c>
      <c r="E1728" s="15" t="s">
        <v>285</v>
      </c>
      <c r="F1728" s="8" t="str">
        <f aca="false">IFERROR(INDEX(CADASTRO_PIVOS!$C$6:$C$41,MATCH($E1728,CADASTRO_PIVOS!$B$6:$B$41,0)),"?")</f>
        <v>RM07</v>
      </c>
      <c r="G1728" s="8" t="str">
        <f aca="false">IFERROR(INDEX(CADASTRO_PIVOS!$D$6:$D$41,MATCH($E1728,CADASTRO_PIVOS!$B$6:$B$41,0)),"?")</f>
        <v>TR07</v>
      </c>
      <c r="H1728" s="20" t="n">
        <f aca="false">IFERROR(INDEX(CADASTRO_PIVOS!$E$6:$E$41,MATCH($E1728,CADASTRO_PIVOS!$B$6:$B$41,0)),0)</f>
        <v>149.94</v>
      </c>
      <c r="I1728" s="16" t="n">
        <f aca="false">IFERROR(SUMIFS(ROTACAO_RDM!$B$6:$B$71,ROTACAO_RDM!$D$6:$D$71,$E1728,ROTACAO_RDM!$I$6:$I$71,"&lt;="&amp;$C1728+INT(DIAS_POR_SEMANA/2),ROTACAO_RDM!$J$6:$J$71,"&gt;="&amp;$C1728+INT(DIAS_POR_SEMANA/2)),0)</f>
        <v>42</v>
      </c>
      <c r="J1728" s="16" t="n">
        <f aca="false">IFERROR(MATCH($I1728,ROTACAO_RDM!$B$6:$B$71,0),0)</f>
        <v>42</v>
      </c>
      <c r="K1728" s="8" t="str">
        <f aca="false">IF($J1728=0,"SEM CULTURA",INDEX(ROTACAO_RDM!$F$6:$F$71,$J1728))</f>
        <v>SOJA</v>
      </c>
      <c r="L1728" s="8" t="str">
        <f aca="false">IF($J1728=0,"",INDEX(ROTACAO_RDM!$G$6:$G$71,$J1728))</f>
        <v>NEO 761 I2X</v>
      </c>
      <c r="M1728" s="17" t="n">
        <f aca="false">IF($J1728=0,"",INDEX(ROTACAO_RDM!$I$6:$I$71,$J1728))</f>
        <v>46309</v>
      </c>
      <c r="N1728" s="16" t="n">
        <f aca="false">IF($J1728=0,0,MAX(0,$C1728+INT(DIAS_POR_SEMANA/2)-INDEX(ROTACAO_RDM!$I$6:$I$71,$J1728)))</f>
        <v>1</v>
      </c>
      <c r="O1728" s="19" t="n">
        <f aca="false">IF($J1728=0,0,MIN(1,$N1728/MAX(1,INDEX(ROTACAO_RDM!$K$6:$K$71,$J1728))))</f>
        <v>0.00862068965517241</v>
      </c>
      <c r="P1728" s="16" t="n">
        <f aca="false">IF($J1728=0,0,IFERROR(MATCH(INDEX(ROTACAO_RDM!$N$6:$N$71,$J1728),PARAMETROS_CULTURAS!$B$6:$B$28,0),0))</f>
        <v>2</v>
      </c>
      <c r="Q1728" s="8" t="str">
        <f aca="false">IF($P1728=0,"-",IF($O1728&lt;=INDEX(PARAMETROS_CULTURAS!$F$6:$F$28,$P1728),"INICIAL",IF($O1728&lt;=INDEX(PARAMETROS_CULTURAS!$F$6:$F$28,$P1728)+INDEX(PARAMETROS_CULTURAS!$G$6:$G$28,$P1728),"DESENVOLVIMENTO",IF($O1728&lt;=INDEX(PARAMETROS_CULTURAS!$F$6:$F$28,$P1728)+INDEX(PARAMETROS_CULTURAS!$G$6:$G$28,$P1728)+INDEX(PARAMETROS_CULTURAS!$H$6:$H$28,$P1728),"MEDIA","FINAL"))))</f>
        <v>INICIAL</v>
      </c>
      <c r="R1728" s="24" t="n">
        <f aca="false">IF($P1728=0,0,IF($O1728&lt;=INDEX(PARAMETROS_CULTURAS!$F$6:$F$28,$P1728),INDEX(PARAMETROS_CULTURAS!$K$6:$K$28,$P1728),IF($O1728&lt;=INDEX(PARAMETROS_CULTURAS!$F$6:$F$28,$P1728)+INDEX(PARAMETROS_CULTURAS!$G$6:$G$28,$P1728),INDEX(PARAMETROS_CULTURAS!$K$6:$K$28,$P1728)+(INDEX(PARAMETROS_CULTURAS!$L$6:$L$28,$P1728)-INDEX(PARAMETROS_CULTURAS!$K$6:$K$28,$P1728))*($O1728-INDEX(PARAMETROS_CULTURAS!$F$6:$F$28,$P1728))/MAX(INDEX(PARAMETROS_CULTURAS!$G$6:$G$28,$P1728),0.0001),IF($O1728&lt;=INDEX(PARAMETROS_CULTURAS!$F$6:$F$28,$P1728)+INDEX(PARAMETROS_CULTURAS!$G$6:$G$28,$P1728)+INDEX(PARAMETROS_CULTURAS!$H$6:$H$28,$P1728),INDEX(PARAMETROS_CULTURAS!$L$6:$L$28,$P1728),INDEX(PARAMETROS_CULTURAS!$L$6:$L$28,$P1728)+(INDEX(PARAMETROS_CULTURAS!$M$6:$M$28,$P1728)-INDEX(PARAMETROS_CULTURAS!$L$6:$L$28,$P1728))*($O1728-INDEX(PARAMETROS_CULTURAS!$F$6:$F$28,$P1728)-INDEX(PARAMETROS_CULTURAS!$G$6:$G$28,$P1728)-INDEX(PARAMETROS_CULTURAS!$H$6:$H$28,$P1728))/MAX(INDEX(PARAMETROS_CULTURAS!$I$6:$I$28,$P1728),0.0001)))))</f>
        <v>0.4</v>
      </c>
      <c r="S1728" s="18" t="n">
        <f aca="false">IFERROR(INDEX(SEMANAS!$H$6:$H$71,MATCH($B1728,SEMANAS!$B$6:$B$71,0)),0)</f>
        <v>39.2</v>
      </c>
      <c r="T1728" s="18" t="n">
        <f aca="false">$R1728*$S1728</f>
        <v>15.68</v>
      </c>
      <c r="U1728" s="18" t="n">
        <f aca="false">IFERROR(INDEX(SEMANAS!$I$6:$I$71,MATCH($B1728,SEMANAS!$B$6:$B$71,0)),0)</f>
        <v>27.09</v>
      </c>
      <c r="V1728" s="18" t="n">
        <f aca="false">IFERROR(INDEX(SEMANAS!$J$6:$J$71,MATCH($B1728,SEMANAS!$B$6:$B$71,0)),0)</f>
        <v>21.672</v>
      </c>
      <c r="W1728" s="18" t="n">
        <f aca="false">MAX(0,$T1728-$V1728)</f>
        <v>0</v>
      </c>
      <c r="X1728" s="19" t="n">
        <f aca="false">IFERROR(INDEX(CADASTRO_PIVOS!$K$6:$K$41,MATCH($E1728,CADASTRO_PIVOS!$B$6:$B$41,0)),EFICIENCIA_PADRAO)</f>
        <v>0.85</v>
      </c>
      <c r="Y1728" s="18" t="n">
        <f aca="false">IF($X1728&lt;=0,0,$W1728/$X1728)</f>
        <v>0</v>
      </c>
      <c r="Z1728" s="16" t="n">
        <f aca="false">$Y1728*$H1728*MM_PARA_M3_HA</f>
        <v>0</v>
      </c>
      <c r="AA1728" s="18" t="n">
        <f aca="false">IFERROR(INDEX(CADASTRO_PIVOS!$I$6:$I$41,MATCH($E1728,CADASTRO_PIVOS!$B$6:$B$41,0)),0)</f>
        <v>1071</v>
      </c>
      <c r="AB1728" s="18" t="n">
        <f aca="false">IF($Z1728&lt;=0,0,$Z1728/$AA1728)</f>
        <v>0</v>
      </c>
      <c r="AC1728" s="16" t="n">
        <f aca="false">IFERROR(INDEX(SEMANAS!$K$6:$K$71,MATCH($B1728,SEMANAS!$B$6:$B$71,0)),0)</f>
        <v>147</v>
      </c>
      <c r="AD1728" s="19" t="n">
        <f aca="false">IF($AC1728&lt;=0,0,$AB1728/$AC1728)</f>
        <v>0</v>
      </c>
      <c r="AE1728" s="8" t="str">
        <f aca="false">IF($K1728="SEM CULTURA","SEM CULTURA",IF($AA1728&lt;=0,"DADO PENDENTE",IF($AD1728&gt;LIMITE_CRITICO,"INVIAVEL",IF($AD1728&gt;LIMITE_ATENCAO,"CRITICO",IF($AD1728&gt;LIMITE_CONFORTAVEL,"ATENCAO","OK")))))</f>
        <v>OK</v>
      </c>
      <c r="AF1728" s="8" t="str">
        <f aca="false">$B1728&amp;"|"&amp;TEXT($AD1728,"0.000000")</f>
        <v>7|0.000000</v>
      </c>
      <c r="AG1728" s="18" t="n">
        <f aca="false">IF($K1728="SEM CULTURA",0,$T1728*$H1728)</f>
        <v>2351.0592</v>
      </c>
      <c r="AH1728" s="18" t="n">
        <f aca="false">IF($K1728="SEM CULTURA",0,$V1728*$H1728)</f>
        <v>3249.49968</v>
      </c>
      <c r="AI1728" s="18" t="n">
        <f aca="false">IF($K1728="SEM CULTURA",0,$W1728*$H1728)</f>
        <v>0</v>
      </c>
      <c r="AJ1728" s="18" t="n">
        <f aca="false">IF($K1728="SEM CULTURA",0,$S1728*$H1728)</f>
        <v>5877.648</v>
      </c>
      <c r="AK1728" s="8" t="str">
        <f aca="false">$E1728&amp;"|"&amp;TEXT($AD1728,"0.000000")</f>
        <v>PV 123|0.000000</v>
      </c>
    </row>
    <row r="1729" customFormat="false" ht="15" hidden="false" customHeight="false" outlineLevel="0" collapsed="false">
      <c r="B1729" s="16" t="n">
        <v>8</v>
      </c>
      <c r="C1729" s="17" t="n">
        <f aca="false">DATA_INICIO_SAFRA+($B1729-1)*DIAS_POR_SEMANA</f>
        <v>46314</v>
      </c>
      <c r="D1729" s="17" t="n">
        <f aca="false">$C1729+DIAS_POR_SEMANA-1</f>
        <v>46320</v>
      </c>
      <c r="E1729" s="15" t="s">
        <v>285</v>
      </c>
      <c r="F1729" s="8" t="str">
        <f aca="false">IFERROR(INDEX(CADASTRO_PIVOS!$C$6:$C$41,MATCH($E1729,CADASTRO_PIVOS!$B$6:$B$41,0)),"?")</f>
        <v>RM07</v>
      </c>
      <c r="G1729" s="8" t="str">
        <f aca="false">IFERROR(INDEX(CADASTRO_PIVOS!$D$6:$D$41,MATCH($E1729,CADASTRO_PIVOS!$B$6:$B$41,0)),"?")</f>
        <v>TR07</v>
      </c>
      <c r="H1729" s="20" t="n">
        <f aca="false">IFERROR(INDEX(CADASTRO_PIVOS!$E$6:$E$41,MATCH($E1729,CADASTRO_PIVOS!$B$6:$B$41,0)),0)</f>
        <v>149.94</v>
      </c>
      <c r="I1729" s="16" t="n">
        <f aca="false">IFERROR(SUMIFS(ROTACAO_RDM!$B$6:$B$71,ROTACAO_RDM!$D$6:$D$71,$E1729,ROTACAO_RDM!$I$6:$I$71,"&lt;="&amp;$C1729+INT(DIAS_POR_SEMANA/2),ROTACAO_RDM!$J$6:$J$71,"&gt;="&amp;$C1729+INT(DIAS_POR_SEMANA/2)),0)</f>
        <v>42</v>
      </c>
      <c r="J1729" s="16" t="n">
        <f aca="false">IFERROR(MATCH($I1729,ROTACAO_RDM!$B$6:$B$71,0),0)</f>
        <v>42</v>
      </c>
      <c r="K1729" s="8" t="str">
        <f aca="false">IF($J1729=0,"SEM CULTURA",INDEX(ROTACAO_RDM!$F$6:$F$71,$J1729))</f>
        <v>SOJA</v>
      </c>
      <c r="L1729" s="8" t="str">
        <f aca="false">IF($J1729=0,"",INDEX(ROTACAO_RDM!$G$6:$G$71,$J1729))</f>
        <v>NEO 761 I2X</v>
      </c>
      <c r="M1729" s="17" t="n">
        <f aca="false">IF($J1729=0,"",INDEX(ROTACAO_RDM!$I$6:$I$71,$J1729))</f>
        <v>46309</v>
      </c>
      <c r="N1729" s="16" t="n">
        <f aca="false">IF($J1729=0,0,MAX(0,$C1729+INT(DIAS_POR_SEMANA/2)-INDEX(ROTACAO_RDM!$I$6:$I$71,$J1729)))</f>
        <v>8</v>
      </c>
      <c r="O1729" s="19" t="n">
        <f aca="false">IF($J1729=0,0,MIN(1,$N1729/MAX(1,INDEX(ROTACAO_RDM!$K$6:$K$71,$J1729))))</f>
        <v>0.0689655172413793</v>
      </c>
      <c r="P1729" s="16" t="n">
        <f aca="false">IF($J1729=0,0,IFERROR(MATCH(INDEX(ROTACAO_RDM!$N$6:$N$71,$J1729),PARAMETROS_CULTURAS!$B$6:$B$28,0),0))</f>
        <v>2</v>
      </c>
      <c r="Q1729" s="8" t="str">
        <f aca="false">IF($P1729=0,"-",IF($O1729&lt;=INDEX(PARAMETROS_CULTURAS!$F$6:$F$28,$P1729),"INICIAL",IF($O1729&lt;=INDEX(PARAMETROS_CULTURAS!$F$6:$F$28,$P1729)+INDEX(PARAMETROS_CULTURAS!$G$6:$G$28,$P1729),"DESENVOLVIMENTO",IF($O1729&lt;=INDEX(PARAMETROS_CULTURAS!$F$6:$F$28,$P1729)+INDEX(PARAMETROS_CULTURAS!$G$6:$G$28,$P1729)+INDEX(PARAMETROS_CULTURAS!$H$6:$H$28,$P1729),"MEDIA","FINAL"))))</f>
        <v>INICIAL</v>
      </c>
      <c r="R1729" s="24" t="n">
        <f aca="false">IF($P1729=0,0,IF($O1729&lt;=INDEX(PARAMETROS_CULTURAS!$F$6:$F$28,$P1729),INDEX(PARAMETROS_CULTURAS!$K$6:$K$28,$P1729),IF($O1729&lt;=INDEX(PARAMETROS_CULTURAS!$F$6:$F$28,$P1729)+INDEX(PARAMETROS_CULTURAS!$G$6:$G$28,$P1729),INDEX(PARAMETROS_CULTURAS!$K$6:$K$28,$P1729)+(INDEX(PARAMETROS_CULTURAS!$L$6:$L$28,$P1729)-INDEX(PARAMETROS_CULTURAS!$K$6:$K$28,$P1729))*($O1729-INDEX(PARAMETROS_CULTURAS!$F$6:$F$28,$P1729))/MAX(INDEX(PARAMETROS_CULTURAS!$G$6:$G$28,$P1729),0.0001),IF($O1729&lt;=INDEX(PARAMETROS_CULTURAS!$F$6:$F$28,$P1729)+INDEX(PARAMETROS_CULTURAS!$G$6:$G$28,$P1729)+INDEX(PARAMETROS_CULTURAS!$H$6:$H$28,$P1729),INDEX(PARAMETROS_CULTURAS!$L$6:$L$28,$P1729),INDEX(PARAMETROS_CULTURAS!$L$6:$L$28,$P1729)+(INDEX(PARAMETROS_CULTURAS!$M$6:$M$28,$P1729)-INDEX(PARAMETROS_CULTURAS!$L$6:$L$28,$P1729))*($O1729-INDEX(PARAMETROS_CULTURAS!$F$6:$F$28,$P1729)-INDEX(PARAMETROS_CULTURAS!$G$6:$G$28,$P1729)-INDEX(PARAMETROS_CULTURAS!$H$6:$H$28,$P1729))/MAX(INDEX(PARAMETROS_CULTURAS!$I$6:$I$28,$P1729),0.0001)))))</f>
        <v>0.4</v>
      </c>
      <c r="S1729" s="18" t="n">
        <f aca="false">IFERROR(INDEX(SEMANAS!$H$6:$H$71,MATCH($B1729,SEMANAS!$B$6:$B$71,0)),0)</f>
        <v>39.2</v>
      </c>
      <c r="T1729" s="18" t="n">
        <f aca="false">$R1729*$S1729</f>
        <v>15.68</v>
      </c>
      <c r="U1729" s="18" t="n">
        <f aca="false">IFERROR(INDEX(SEMANAS!$I$6:$I$71,MATCH($B1729,SEMANAS!$B$6:$B$71,0)),0)</f>
        <v>27.09</v>
      </c>
      <c r="V1729" s="18" t="n">
        <f aca="false">IFERROR(INDEX(SEMANAS!$J$6:$J$71,MATCH($B1729,SEMANAS!$B$6:$B$71,0)),0)</f>
        <v>21.672</v>
      </c>
      <c r="W1729" s="18" t="n">
        <f aca="false">MAX(0,$T1729-$V1729)</f>
        <v>0</v>
      </c>
      <c r="X1729" s="19" t="n">
        <f aca="false">IFERROR(INDEX(CADASTRO_PIVOS!$K$6:$K$41,MATCH($E1729,CADASTRO_PIVOS!$B$6:$B$41,0)),EFICIENCIA_PADRAO)</f>
        <v>0.85</v>
      </c>
      <c r="Y1729" s="18" t="n">
        <f aca="false">IF($X1729&lt;=0,0,$W1729/$X1729)</f>
        <v>0</v>
      </c>
      <c r="Z1729" s="16" t="n">
        <f aca="false">$Y1729*$H1729*MM_PARA_M3_HA</f>
        <v>0</v>
      </c>
      <c r="AA1729" s="18" t="n">
        <f aca="false">IFERROR(INDEX(CADASTRO_PIVOS!$I$6:$I$41,MATCH($E1729,CADASTRO_PIVOS!$B$6:$B$41,0)),0)</f>
        <v>1071</v>
      </c>
      <c r="AB1729" s="18" t="n">
        <f aca="false">IF($Z1729&lt;=0,0,$Z1729/$AA1729)</f>
        <v>0</v>
      </c>
      <c r="AC1729" s="16" t="n">
        <f aca="false">IFERROR(INDEX(SEMANAS!$K$6:$K$71,MATCH($B1729,SEMANAS!$B$6:$B$71,0)),0)</f>
        <v>147</v>
      </c>
      <c r="AD1729" s="19" t="n">
        <f aca="false">IF($AC1729&lt;=0,0,$AB1729/$AC1729)</f>
        <v>0</v>
      </c>
      <c r="AE1729" s="8" t="str">
        <f aca="false">IF($K1729="SEM CULTURA","SEM CULTURA",IF($AA1729&lt;=0,"DADO PENDENTE",IF($AD1729&gt;LIMITE_CRITICO,"INVIAVEL",IF($AD1729&gt;LIMITE_ATENCAO,"CRITICO",IF($AD1729&gt;LIMITE_CONFORTAVEL,"ATENCAO","OK")))))</f>
        <v>OK</v>
      </c>
      <c r="AF1729" s="8" t="str">
        <f aca="false">$B1729&amp;"|"&amp;TEXT($AD1729,"0.000000")</f>
        <v>8|0.000000</v>
      </c>
      <c r="AG1729" s="18" t="n">
        <f aca="false">IF($K1729="SEM CULTURA",0,$T1729*$H1729)</f>
        <v>2351.0592</v>
      </c>
      <c r="AH1729" s="18" t="n">
        <f aca="false">IF($K1729="SEM CULTURA",0,$V1729*$H1729)</f>
        <v>3249.49968</v>
      </c>
      <c r="AI1729" s="18" t="n">
        <f aca="false">IF($K1729="SEM CULTURA",0,$W1729*$H1729)</f>
        <v>0</v>
      </c>
      <c r="AJ1729" s="18" t="n">
        <f aca="false">IF($K1729="SEM CULTURA",0,$S1729*$H1729)</f>
        <v>5877.648</v>
      </c>
      <c r="AK1729" s="8" t="str">
        <f aca="false">$E1729&amp;"|"&amp;TEXT($AD1729,"0.000000")</f>
        <v>PV 123|0.000000</v>
      </c>
    </row>
    <row r="1730" customFormat="false" ht="15" hidden="false" customHeight="false" outlineLevel="0" collapsed="false">
      <c r="B1730" s="16" t="n">
        <v>9</v>
      </c>
      <c r="C1730" s="17" t="n">
        <f aca="false">DATA_INICIO_SAFRA+($B1730-1)*DIAS_POR_SEMANA</f>
        <v>46321</v>
      </c>
      <c r="D1730" s="17" t="n">
        <f aca="false">$C1730+DIAS_POR_SEMANA-1</f>
        <v>46327</v>
      </c>
      <c r="E1730" s="15" t="s">
        <v>285</v>
      </c>
      <c r="F1730" s="8" t="str">
        <f aca="false">IFERROR(INDEX(CADASTRO_PIVOS!$C$6:$C$41,MATCH($E1730,CADASTRO_PIVOS!$B$6:$B$41,0)),"?")</f>
        <v>RM07</v>
      </c>
      <c r="G1730" s="8" t="str">
        <f aca="false">IFERROR(INDEX(CADASTRO_PIVOS!$D$6:$D$41,MATCH($E1730,CADASTRO_PIVOS!$B$6:$B$41,0)),"?")</f>
        <v>TR07</v>
      </c>
      <c r="H1730" s="20" t="n">
        <f aca="false">IFERROR(INDEX(CADASTRO_PIVOS!$E$6:$E$41,MATCH($E1730,CADASTRO_PIVOS!$B$6:$B$41,0)),0)</f>
        <v>149.94</v>
      </c>
      <c r="I1730" s="16" t="n">
        <f aca="false">IFERROR(SUMIFS(ROTACAO_RDM!$B$6:$B$71,ROTACAO_RDM!$D$6:$D$71,$E1730,ROTACAO_RDM!$I$6:$I$71,"&lt;="&amp;$C1730+INT(DIAS_POR_SEMANA/2),ROTACAO_RDM!$J$6:$J$71,"&gt;="&amp;$C1730+INT(DIAS_POR_SEMANA/2)),0)</f>
        <v>42</v>
      </c>
      <c r="J1730" s="16" t="n">
        <f aca="false">IFERROR(MATCH($I1730,ROTACAO_RDM!$B$6:$B$71,0),0)</f>
        <v>42</v>
      </c>
      <c r="K1730" s="8" t="str">
        <f aca="false">IF($J1730=0,"SEM CULTURA",INDEX(ROTACAO_RDM!$F$6:$F$71,$J1730))</f>
        <v>SOJA</v>
      </c>
      <c r="L1730" s="8" t="str">
        <f aca="false">IF($J1730=0,"",INDEX(ROTACAO_RDM!$G$6:$G$71,$J1730))</f>
        <v>NEO 761 I2X</v>
      </c>
      <c r="M1730" s="17" t="n">
        <f aca="false">IF($J1730=0,"",INDEX(ROTACAO_RDM!$I$6:$I$71,$J1730))</f>
        <v>46309</v>
      </c>
      <c r="N1730" s="16" t="n">
        <f aca="false">IF($J1730=0,0,MAX(0,$C1730+INT(DIAS_POR_SEMANA/2)-INDEX(ROTACAO_RDM!$I$6:$I$71,$J1730)))</f>
        <v>15</v>
      </c>
      <c r="O1730" s="19" t="n">
        <f aca="false">IF($J1730=0,0,MIN(1,$N1730/MAX(1,INDEX(ROTACAO_RDM!$K$6:$K$71,$J1730))))</f>
        <v>0.129310344827586</v>
      </c>
      <c r="P1730" s="16" t="n">
        <f aca="false">IF($J1730=0,0,IFERROR(MATCH(INDEX(ROTACAO_RDM!$N$6:$N$71,$J1730),PARAMETROS_CULTURAS!$B$6:$B$28,0),0))</f>
        <v>2</v>
      </c>
      <c r="Q1730" s="8" t="str">
        <f aca="false">IF($P1730=0,"-",IF($O1730&lt;=INDEX(PARAMETROS_CULTURAS!$F$6:$F$28,$P1730),"INICIAL",IF($O1730&lt;=INDEX(PARAMETROS_CULTURAS!$F$6:$F$28,$P1730)+INDEX(PARAMETROS_CULTURAS!$G$6:$G$28,$P1730),"DESENVOLVIMENTO",IF($O1730&lt;=INDEX(PARAMETROS_CULTURAS!$F$6:$F$28,$P1730)+INDEX(PARAMETROS_CULTURAS!$G$6:$G$28,$P1730)+INDEX(PARAMETROS_CULTURAS!$H$6:$H$28,$P1730),"MEDIA","FINAL"))))</f>
        <v>INICIAL</v>
      </c>
      <c r="R1730" s="24" t="n">
        <f aca="false">IF($P1730=0,0,IF($O1730&lt;=INDEX(PARAMETROS_CULTURAS!$F$6:$F$28,$P1730),INDEX(PARAMETROS_CULTURAS!$K$6:$K$28,$P1730),IF($O1730&lt;=INDEX(PARAMETROS_CULTURAS!$F$6:$F$28,$P1730)+INDEX(PARAMETROS_CULTURAS!$G$6:$G$28,$P1730),INDEX(PARAMETROS_CULTURAS!$K$6:$K$28,$P1730)+(INDEX(PARAMETROS_CULTURAS!$L$6:$L$28,$P1730)-INDEX(PARAMETROS_CULTURAS!$K$6:$K$28,$P1730))*($O1730-INDEX(PARAMETROS_CULTURAS!$F$6:$F$28,$P1730))/MAX(INDEX(PARAMETROS_CULTURAS!$G$6:$G$28,$P1730),0.0001),IF($O1730&lt;=INDEX(PARAMETROS_CULTURAS!$F$6:$F$28,$P1730)+INDEX(PARAMETROS_CULTURAS!$G$6:$G$28,$P1730)+INDEX(PARAMETROS_CULTURAS!$H$6:$H$28,$P1730),INDEX(PARAMETROS_CULTURAS!$L$6:$L$28,$P1730),INDEX(PARAMETROS_CULTURAS!$L$6:$L$28,$P1730)+(INDEX(PARAMETROS_CULTURAS!$M$6:$M$28,$P1730)-INDEX(PARAMETROS_CULTURAS!$L$6:$L$28,$P1730))*($O1730-INDEX(PARAMETROS_CULTURAS!$F$6:$F$28,$P1730)-INDEX(PARAMETROS_CULTURAS!$G$6:$G$28,$P1730)-INDEX(PARAMETROS_CULTURAS!$H$6:$H$28,$P1730))/MAX(INDEX(PARAMETROS_CULTURAS!$I$6:$I$28,$P1730),0.0001)))))</f>
        <v>0.4</v>
      </c>
      <c r="S1730" s="18" t="n">
        <f aca="false">IFERROR(INDEX(SEMANAS!$H$6:$H$71,MATCH($B1730,SEMANAS!$B$6:$B$71,0)),0)</f>
        <v>38.5</v>
      </c>
      <c r="T1730" s="18" t="n">
        <f aca="false">$R1730*$S1730</f>
        <v>15.4</v>
      </c>
      <c r="U1730" s="18" t="n">
        <f aca="false">IFERROR(INDEX(SEMANAS!$I$6:$I$71,MATCH($B1730,SEMANAS!$B$6:$B$71,0)),0)</f>
        <v>29.89</v>
      </c>
      <c r="V1730" s="18" t="n">
        <f aca="false">IFERROR(INDEX(SEMANAS!$J$6:$J$71,MATCH($B1730,SEMANAS!$B$6:$B$71,0)),0)</f>
        <v>23.912</v>
      </c>
      <c r="W1730" s="18" t="n">
        <f aca="false">MAX(0,$T1730-$V1730)</f>
        <v>0</v>
      </c>
      <c r="X1730" s="19" t="n">
        <f aca="false">IFERROR(INDEX(CADASTRO_PIVOS!$K$6:$K$41,MATCH($E1730,CADASTRO_PIVOS!$B$6:$B$41,0)),EFICIENCIA_PADRAO)</f>
        <v>0.85</v>
      </c>
      <c r="Y1730" s="18" t="n">
        <f aca="false">IF($X1730&lt;=0,0,$W1730/$X1730)</f>
        <v>0</v>
      </c>
      <c r="Z1730" s="16" t="n">
        <f aca="false">$Y1730*$H1730*MM_PARA_M3_HA</f>
        <v>0</v>
      </c>
      <c r="AA1730" s="18" t="n">
        <f aca="false">IFERROR(INDEX(CADASTRO_PIVOS!$I$6:$I$41,MATCH($E1730,CADASTRO_PIVOS!$B$6:$B$41,0)),0)</f>
        <v>1071</v>
      </c>
      <c r="AB1730" s="18" t="n">
        <f aca="false">IF($Z1730&lt;=0,0,$Z1730/$AA1730)</f>
        <v>0</v>
      </c>
      <c r="AC1730" s="16" t="n">
        <f aca="false">IFERROR(INDEX(SEMANAS!$K$6:$K$71,MATCH($B1730,SEMANAS!$B$6:$B$71,0)),0)</f>
        <v>147</v>
      </c>
      <c r="AD1730" s="19" t="n">
        <f aca="false">IF($AC1730&lt;=0,0,$AB1730/$AC1730)</f>
        <v>0</v>
      </c>
      <c r="AE1730" s="8" t="str">
        <f aca="false">IF($K1730="SEM CULTURA","SEM CULTURA",IF($AA1730&lt;=0,"DADO PENDENTE",IF($AD1730&gt;LIMITE_CRITICO,"INVIAVEL",IF($AD1730&gt;LIMITE_ATENCAO,"CRITICO",IF($AD1730&gt;LIMITE_CONFORTAVEL,"ATENCAO","OK")))))</f>
        <v>OK</v>
      </c>
      <c r="AF1730" s="8" t="str">
        <f aca="false">$B1730&amp;"|"&amp;TEXT($AD1730,"0.000000")</f>
        <v>9|0.000000</v>
      </c>
      <c r="AG1730" s="18" t="n">
        <f aca="false">IF($K1730="SEM CULTURA",0,$T1730*$H1730)</f>
        <v>2309.076</v>
      </c>
      <c r="AH1730" s="18" t="n">
        <f aca="false">IF($K1730="SEM CULTURA",0,$V1730*$H1730)</f>
        <v>3585.36528</v>
      </c>
      <c r="AI1730" s="18" t="n">
        <f aca="false">IF($K1730="SEM CULTURA",0,$W1730*$H1730)</f>
        <v>0</v>
      </c>
      <c r="AJ1730" s="18" t="n">
        <f aca="false">IF($K1730="SEM CULTURA",0,$S1730*$H1730)</f>
        <v>5772.69</v>
      </c>
      <c r="AK1730" s="8" t="str">
        <f aca="false">$E1730&amp;"|"&amp;TEXT($AD1730,"0.000000")</f>
        <v>PV 123|0.000000</v>
      </c>
    </row>
    <row r="1731" customFormat="false" ht="15" hidden="false" customHeight="false" outlineLevel="0" collapsed="false">
      <c r="B1731" s="16" t="n">
        <v>10</v>
      </c>
      <c r="C1731" s="17" t="n">
        <f aca="false">DATA_INICIO_SAFRA+($B1731-1)*DIAS_POR_SEMANA</f>
        <v>46328</v>
      </c>
      <c r="D1731" s="17" t="n">
        <f aca="false">$C1731+DIAS_POR_SEMANA-1</f>
        <v>46334</v>
      </c>
      <c r="E1731" s="15" t="s">
        <v>285</v>
      </c>
      <c r="F1731" s="8" t="str">
        <f aca="false">IFERROR(INDEX(CADASTRO_PIVOS!$C$6:$C$41,MATCH($E1731,CADASTRO_PIVOS!$B$6:$B$41,0)),"?")</f>
        <v>RM07</v>
      </c>
      <c r="G1731" s="8" t="str">
        <f aca="false">IFERROR(INDEX(CADASTRO_PIVOS!$D$6:$D$41,MATCH($E1731,CADASTRO_PIVOS!$B$6:$B$41,0)),"?")</f>
        <v>TR07</v>
      </c>
      <c r="H1731" s="20" t="n">
        <f aca="false">IFERROR(INDEX(CADASTRO_PIVOS!$E$6:$E$41,MATCH($E1731,CADASTRO_PIVOS!$B$6:$B$41,0)),0)</f>
        <v>149.94</v>
      </c>
      <c r="I1731" s="16" t="n">
        <f aca="false">IFERROR(SUMIFS(ROTACAO_RDM!$B$6:$B$71,ROTACAO_RDM!$D$6:$D$71,$E1731,ROTACAO_RDM!$I$6:$I$71,"&lt;="&amp;$C1731+INT(DIAS_POR_SEMANA/2),ROTACAO_RDM!$J$6:$J$71,"&gt;="&amp;$C1731+INT(DIAS_POR_SEMANA/2)),0)</f>
        <v>42</v>
      </c>
      <c r="J1731" s="16" t="n">
        <f aca="false">IFERROR(MATCH($I1731,ROTACAO_RDM!$B$6:$B$71,0),0)</f>
        <v>42</v>
      </c>
      <c r="K1731" s="8" t="str">
        <f aca="false">IF($J1731=0,"SEM CULTURA",INDEX(ROTACAO_RDM!$F$6:$F$71,$J1731))</f>
        <v>SOJA</v>
      </c>
      <c r="L1731" s="8" t="str">
        <f aca="false">IF($J1731=0,"",INDEX(ROTACAO_RDM!$G$6:$G$71,$J1731))</f>
        <v>NEO 761 I2X</v>
      </c>
      <c r="M1731" s="17" t="n">
        <f aca="false">IF($J1731=0,"",INDEX(ROTACAO_RDM!$I$6:$I$71,$J1731))</f>
        <v>46309</v>
      </c>
      <c r="N1731" s="16" t="n">
        <f aca="false">IF($J1731=0,0,MAX(0,$C1731+INT(DIAS_POR_SEMANA/2)-INDEX(ROTACAO_RDM!$I$6:$I$71,$J1731)))</f>
        <v>22</v>
      </c>
      <c r="O1731" s="19" t="n">
        <f aca="false">IF($J1731=0,0,MIN(1,$N1731/MAX(1,INDEX(ROTACAO_RDM!$K$6:$K$71,$J1731))))</f>
        <v>0.189655172413793</v>
      </c>
      <c r="P1731" s="16" t="n">
        <f aca="false">IF($J1731=0,0,IFERROR(MATCH(INDEX(ROTACAO_RDM!$N$6:$N$71,$J1731),PARAMETROS_CULTURAS!$B$6:$B$28,0),0))</f>
        <v>2</v>
      </c>
      <c r="Q1731" s="8" t="str">
        <f aca="false">IF($P1731=0,"-",IF($O1731&lt;=INDEX(PARAMETROS_CULTURAS!$F$6:$F$28,$P1731),"INICIAL",IF($O1731&lt;=INDEX(PARAMETROS_CULTURAS!$F$6:$F$28,$P1731)+INDEX(PARAMETROS_CULTURAS!$G$6:$G$28,$P1731),"DESENVOLVIMENTO",IF($O1731&lt;=INDEX(PARAMETROS_CULTURAS!$F$6:$F$28,$P1731)+INDEX(PARAMETROS_CULTURAS!$G$6:$G$28,$P1731)+INDEX(PARAMETROS_CULTURAS!$H$6:$H$28,$P1731),"MEDIA","FINAL"))))</f>
        <v>DESENVOLVIMENTO</v>
      </c>
      <c r="R1731" s="24" t="n">
        <f aca="false">IF($P1731=0,0,IF($O1731&lt;=INDEX(PARAMETROS_CULTURAS!$F$6:$F$28,$P1731),INDEX(PARAMETROS_CULTURAS!$K$6:$K$28,$P1731),IF($O1731&lt;=INDEX(PARAMETROS_CULTURAS!$F$6:$F$28,$P1731)+INDEX(PARAMETROS_CULTURAS!$G$6:$G$28,$P1731),INDEX(PARAMETROS_CULTURAS!$K$6:$K$28,$P1731)+(INDEX(PARAMETROS_CULTURAS!$L$6:$L$28,$P1731)-INDEX(PARAMETROS_CULTURAS!$K$6:$K$28,$P1731))*($O1731-INDEX(PARAMETROS_CULTURAS!$F$6:$F$28,$P1731))/MAX(INDEX(PARAMETROS_CULTURAS!$G$6:$G$28,$P1731),0.0001),IF($O1731&lt;=INDEX(PARAMETROS_CULTURAS!$F$6:$F$28,$P1731)+INDEX(PARAMETROS_CULTURAS!$G$6:$G$28,$P1731)+INDEX(PARAMETROS_CULTURAS!$H$6:$H$28,$P1731),INDEX(PARAMETROS_CULTURAS!$L$6:$L$28,$P1731),INDEX(PARAMETROS_CULTURAS!$L$6:$L$28,$P1731)+(INDEX(PARAMETROS_CULTURAS!$M$6:$M$28,$P1731)-INDEX(PARAMETROS_CULTURAS!$L$6:$L$28,$P1731))*($O1731-INDEX(PARAMETROS_CULTURAS!$F$6:$F$28,$P1731)-INDEX(PARAMETROS_CULTURAS!$G$6:$G$28,$P1731)-INDEX(PARAMETROS_CULTURAS!$H$6:$H$28,$P1731))/MAX(INDEX(PARAMETROS_CULTURAS!$I$6:$I$28,$P1731),0.0001)))))</f>
        <v>0.496701649175412</v>
      </c>
      <c r="S1731" s="18" t="n">
        <f aca="false">IFERROR(INDEX(SEMANAS!$H$6:$H$71,MATCH($B1731,SEMANAS!$B$6:$B$71,0)),0)</f>
        <v>34.3</v>
      </c>
      <c r="T1731" s="18" t="n">
        <f aca="false">$R1731*$S1731</f>
        <v>17.0368665667166</v>
      </c>
      <c r="U1731" s="18" t="n">
        <f aca="false">IFERROR(INDEX(SEMANAS!$I$6:$I$71,MATCH($B1731,SEMANAS!$B$6:$B$71,0)),0)</f>
        <v>46.69</v>
      </c>
      <c r="V1731" s="18" t="n">
        <f aca="false">IFERROR(INDEX(SEMANAS!$J$6:$J$71,MATCH($B1731,SEMANAS!$B$6:$B$71,0)),0)</f>
        <v>37.352</v>
      </c>
      <c r="W1731" s="18" t="n">
        <f aca="false">MAX(0,$T1731-$V1731)</f>
        <v>0</v>
      </c>
      <c r="X1731" s="19" t="n">
        <f aca="false">IFERROR(INDEX(CADASTRO_PIVOS!$K$6:$K$41,MATCH($E1731,CADASTRO_PIVOS!$B$6:$B$41,0)),EFICIENCIA_PADRAO)</f>
        <v>0.85</v>
      </c>
      <c r="Y1731" s="18" t="n">
        <f aca="false">IF($X1731&lt;=0,0,$W1731/$X1731)</f>
        <v>0</v>
      </c>
      <c r="Z1731" s="16" t="n">
        <f aca="false">$Y1731*$H1731*MM_PARA_M3_HA</f>
        <v>0</v>
      </c>
      <c r="AA1731" s="18" t="n">
        <f aca="false">IFERROR(INDEX(CADASTRO_PIVOS!$I$6:$I$41,MATCH($E1731,CADASTRO_PIVOS!$B$6:$B$41,0)),0)</f>
        <v>1071</v>
      </c>
      <c r="AB1731" s="18" t="n">
        <f aca="false">IF($Z1731&lt;=0,0,$Z1731/$AA1731)</f>
        <v>0</v>
      </c>
      <c r="AC1731" s="16" t="n">
        <f aca="false">IFERROR(INDEX(SEMANAS!$K$6:$K$71,MATCH($B1731,SEMANAS!$B$6:$B$71,0)),0)</f>
        <v>147</v>
      </c>
      <c r="AD1731" s="19" t="n">
        <f aca="false">IF($AC1731&lt;=0,0,$AB1731/$AC1731)</f>
        <v>0</v>
      </c>
      <c r="AE1731" s="8" t="str">
        <f aca="false">IF($K1731="SEM CULTURA","SEM CULTURA",IF($AA1731&lt;=0,"DADO PENDENTE",IF($AD1731&gt;LIMITE_CRITICO,"INVIAVEL",IF($AD1731&gt;LIMITE_ATENCAO,"CRITICO",IF($AD1731&gt;LIMITE_CONFORTAVEL,"ATENCAO","OK")))))</f>
        <v>OK</v>
      </c>
      <c r="AF1731" s="8" t="str">
        <f aca="false">$B1731&amp;"|"&amp;TEXT($AD1731,"0.000000")</f>
        <v>10|0.000000</v>
      </c>
      <c r="AG1731" s="18" t="n">
        <f aca="false">IF($K1731="SEM CULTURA",0,$T1731*$H1731)</f>
        <v>2554.50777301349</v>
      </c>
      <c r="AH1731" s="18" t="n">
        <f aca="false">IF($K1731="SEM CULTURA",0,$V1731*$H1731)</f>
        <v>5600.55888</v>
      </c>
      <c r="AI1731" s="18" t="n">
        <f aca="false">IF($K1731="SEM CULTURA",0,$W1731*$H1731)</f>
        <v>0</v>
      </c>
      <c r="AJ1731" s="18" t="n">
        <f aca="false">IF($K1731="SEM CULTURA",0,$S1731*$H1731)</f>
        <v>5142.942</v>
      </c>
      <c r="AK1731" s="8" t="str">
        <f aca="false">$E1731&amp;"|"&amp;TEXT($AD1731,"0.000000")</f>
        <v>PV 123|0.000000</v>
      </c>
    </row>
    <row r="1732" customFormat="false" ht="15" hidden="false" customHeight="false" outlineLevel="0" collapsed="false">
      <c r="B1732" s="16" t="n">
        <v>11</v>
      </c>
      <c r="C1732" s="17" t="n">
        <f aca="false">DATA_INICIO_SAFRA+($B1732-1)*DIAS_POR_SEMANA</f>
        <v>46335</v>
      </c>
      <c r="D1732" s="17" t="n">
        <f aca="false">$C1732+DIAS_POR_SEMANA-1</f>
        <v>46341</v>
      </c>
      <c r="E1732" s="15" t="s">
        <v>285</v>
      </c>
      <c r="F1732" s="8" t="str">
        <f aca="false">IFERROR(INDEX(CADASTRO_PIVOS!$C$6:$C$41,MATCH($E1732,CADASTRO_PIVOS!$B$6:$B$41,0)),"?")</f>
        <v>RM07</v>
      </c>
      <c r="G1732" s="8" t="str">
        <f aca="false">IFERROR(INDEX(CADASTRO_PIVOS!$D$6:$D$41,MATCH($E1732,CADASTRO_PIVOS!$B$6:$B$41,0)),"?")</f>
        <v>TR07</v>
      </c>
      <c r="H1732" s="20" t="n">
        <f aca="false">IFERROR(INDEX(CADASTRO_PIVOS!$E$6:$E$41,MATCH($E1732,CADASTRO_PIVOS!$B$6:$B$41,0)),0)</f>
        <v>149.94</v>
      </c>
      <c r="I1732" s="16" t="n">
        <f aca="false">IFERROR(SUMIFS(ROTACAO_RDM!$B$6:$B$71,ROTACAO_RDM!$D$6:$D$71,$E1732,ROTACAO_RDM!$I$6:$I$71,"&lt;="&amp;$C1732+INT(DIAS_POR_SEMANA/2),ROTACAO_RDM!$J$6:$J$71,"&gt;="&amp;$C1732+INT(DIAS_POR_SEMANA/2)),0)</f>
        <v>42</v>
      </c>
      <c r="J1732" s="16" t="n">
        <f aca="false">IFERROR(MATCH($I1732,ROTACAO_RDM!$B$6:$B$71,0),0)</f>
        <v>42</v>
      </c>
      <c r="K1732" s="8" t="str">
        <f aca="false">IF($J1732=0,"SEM CULTURA",INDEX(ROTACAO_RDM!$F$6:$F$71,$J1732))</f>
        <v>SOJA</v>
      </c>
      <c r="L1732" s="8" t="str">
        <f aca="false">IF($J1732=0,"",INDEX(ROTACAO_RDM!$G$6:$G$71,$J1732))</f>
        <v>NEO 761 I2X</v>
      </c>
      <c r="M1732" s="17" t="n">
        <f aca="false">IF($J1732=0,"",INDEX(ROTACAO_RDM!$I$6:$I$71,$J1732))</f>
        <v>46309</v>
      </c>
      <c r="N1732" s="16" t="n">
        <f aca="false">IF($J1732=0,0,MAX(0,$C1732+INT(DIAS_POR_SEMANA/2)-INDEX(ROTACAO_RDM!$I$6:$I$71,$J1732)))</f>
        <v>29</v>
      </c>
      <c r="O1732" s="19" t="n">
        <f aca="false">IF($J1732=0,0,MIN(1,$N1732/MAX(1,INDEX(ROTACAO_RDM!$K$6:$K$71,$J1732))))</f>
        <v>0.25</v>
      </c>
      <c r="P1732" s="16" t="n">
        <f aca="false">IF($J1732=0,0,IFERROR(MATCH(INDEX(ROTACAO_RDM!$N$6:$N$71,$J1732),PARAMETROS_CULTURAS!$B$6:$B$28,0),0))</f>
        <v>2</v>
      </c>
      <c r="Q1732" s="8" t="str">
        <f aca="false">IF($P1732=0,"-",IF($O1732&lt;=INDEX(PARAMETROS_CULTURAS!$F$6:$F$28,$P1732),"INICIAL",IF($O1732&lt;=INDEX(PARAMETROS_CULTURAS!$F$6:$F$28,$P1732)+INDEX(PARAMETROS_CULTURAS!$G$6:$G$28,$P1732),"DESENVOLVIMENTO",IF($O1732&lt;=INDEX(PARAMETROS_CULTURAS!$F$6:$F$28,$P1732)+INDEX(PARAMETROS_CULTURAS!$G$6:$G$28,$P1732)+INDEX(PARAMETROS_CULTURAS!$H$6:$H$28,$P1732),"MEDIA","FINAL"))))</f>
        <v>DESENVOLVIMENTO</v>
      </c>
      <c r="R1732" s="24" t="n">
        <f aca="false">IF($P1732=0,0,IF($O1732&lt;=INDEX(PARAMETROS_CULTURAS!$F$6:$F$28,$P1732),INDEX(PARAMETROS_CULTURAS!$K$6:$K$28,$P1732),IF($O1732&lt;=INDEX(PARAMETROS_CULTURAS!$F$6:$F$28,$P1732)+INDEX(PARAMETROS_CULTURAS!$G$6:$G$28,$P1732),INDEX(PARAMETROS_CULTURAS!$K$6:$K$28,$P1732)+(INDEX(PARAMETROS_CULTURAS!$L$6:$L$28,$P1732)-INDEX(PARAMETROS_CULTURAS!$K$6:$K$28,$P1732))*($O1732-INDEX(PARAMETROS_CULTURAS!$F$6:$F$28,$P1732))/MAX(INDEX(PARAMETROS_CULTURAS!$G$6:$G$28,$P1732),0.0001),IF($O1732&lt;=INDEX(PARAMETROS_CULTURAS!$F$6:$F$28,$P1732)+INDEX(PARAMETROS_CULTURAS!$G$6:$G$28,$P1732)+INDEX(PARAMETROS_CULTURAS!$H$6:$H$28,$P1732),INDEX(PARAMETROS_CULTURAS!$L$6:$L$28,$P1732),INDEX(PARAMETROS_CULTURAS!$L$6:$L$28,$P1732)+(INDEX(PARAMETROS_CULTURAS!$M$6:$M$28,$P1732)-INDEX(PARAMETROS_CULTURAS!$L$6:$L$28,$P1732))*($O1732-INDEX(PARAMETROS_CULTURAS!$F$6:$F$28,$P1732)-INDEX(PARAMETROS_CULTURAS!$G$6:$G$28,$P1732)-INDEX(PARAMETROS_CULTURAS!$H$6:$H$28,$P1732))/MAX(INDEX(PARAMETROS_CULTURAS!$I$6:$I$28,$P1732),0.0001)))))</f>
        <v>0.693478260869565</v>
      </c>
      <c r="S1732" s="18" t="n">
        <f aca="false">IFERROR(INDEX(SEMANAS!$H$6:$H$71,MATCH($B1732,SEMANAS!$B$6:$B$71,0)),0)</f>
        <v>34.3</v>
      </c>
      <c r="T1732" s="18" t="n">
        <f aca="false">$R1732*$S1732</f>
        <v>23.7863043478261</v>
      </c>
      <c r="U1732" s="18" t="n">
        <f aca="false">IFERROR(INDEX(SEMANAS!$I$6:$I$71,MATCH($B1732,SEMANAS!$B$6:$B$71,0)),0)</f>
        <v>46.69</v>
      </c>
      <c r="V1732" s="18" t="n">
        <f aca="false">IFERROR(INDEX(SEMANAS!$J$6:$J$71,MATCH($B1732,SEMANAS!$B$6:$B$71,0)),0)</f>
        <v>37.352</v>
      </c>
      <c r="W1732" s="18" t="n">
        <f aca="false">MAX(0,$T1732-$V1732)</f>
        <v>0</v>
      </c>
      <c r="X1732" s="19" t="n">
        <f aca="false">IFERROR(INDEX(CADASTRO_PIVOS!$K$6:$K$41,MATCH($E1732,CADASTRO_PIVOS!$B$6:$B$41,0)),EFICIENCIA_PADRAO)</f>
        <v>0.85</v>
      </c>
      <c r="Y1732" s="18" t="n">
        <f aca="false">IF($X1732&lt;=0,0,$W1732/$X1732)</f>
        <v>0</v>
      </c>
      <c r="Z1732" s="16" t="n">
        <f aca="false">$Y1732*$H1732*MM_PARA_M3_HA</f>
        <v>0</v>
      </c>
      <c r="AA1732" s="18" t="n">
        <f aca="false">IFERROR(INDEX(CADASTRO_PIVOS!$I$6:$I$41,MATCH($E1732,CADASTRO_PIVOS!$B$6:$B$41,0)),0)</f>
        <v>1071</v>
      </c>
      <c r="AB1732" s="18" t="n">
        <f aca="false">IF($Z1732&lt;=0,0,$Z1732/$AA1732)</f>
        <v>0</v>
      </c>
      <c r="AC1732" s="16" t="n">
        <f aca="false">IFERROR(INDEX(SEMANAS!$K$6:$K$71,MATCH($B1732,SEMANAS!$B$6:$B$71,0)),0)</f>
        <v>147</v>
      </c>
      <c r="AD1732" s="19" t="n">
        <f aca="false">IF($AC1732&lt;=0,0,$AB1732/$AC1732)</f>
        <v>0</v>
      </c>
      <c r="AE1732" s="8" t="str">
        <f aca="false">IF($K1732="SEM CULTURA","SEM CULTURA",IF($AA1732&lt;=0,"DADO PENDENTE",IF($AD1732&gt;LIMITE_CRITICO,"INVIAVEL",IF($AD1732&gt;LIMITE_ATENCAO,"CRITICO",IF($AD1732&gt;LIMITE_CONFORTAVEL,"ATENCAO","OK")))))</f>
        <v>OK</v>
      </c>
      <c r="AF1732" s="8" t="str">
        <f aca="false">$B1732&amp;"|"&amp;TEXT($AD1732,"0.000000")</f>
        <v>11|0.000000</v>
      </c>
      <c r="AG1732" s="18" t="n">
        <f aca="false">IF($K1732="SEM CULTURA",0,$T1732*$H1732)</f>
        <v>3566.51847391304</v>
      </c>
      <c r="AH1732" s="18" t="n">
        <f aca="false">IF($K1732="SEM CULTURA",0,$V1732*$H1732)</f>
        <v>5600.55888</v>
      </c>
      <c r="AI1732" s="18" t="n">
        <f aca="false">IF($K1732="SEM CULTURA",0,$W1732*$H1732)</f>
        <v>0</v>
      </c>
      <c r="AJ1732" s="18" t="n">
        <f aca="false">IF($K1732="SEM CULTURA",0,$S1732*$H1732)</f>
        <v>5142.942</v>
      </c>
      <c r="AK1732" s="8" t="str">
        <f aca="false">$E1732&amp;"|"&amp;TEXT($AD1732,"0.000000")</f>
        <v>PV 123|0.000000</v>
      </c>
    </row>
    <row r="1733" customFormat="false" ht="15" hidden="false" customHeight="false" outlineLevel="0" collapsed="false">
      <c r="B1733" s="16" t="n">
        <v>12</v>
      </c>
      <c r="C1733" s="17" t="n">
        <f aca="false">DATA_INICIO_SAFRA+($B1733-1)*DIAS_POR_SEMANA</f>
        <v>46342</v>
      </c>
      <c r="D1733" s="17" t="n">
        <f aca="false">$C1733+DIAS_POR_SEMANA-1</f>
        <v>46348</v>
      </c>
      <c r="E1733" s="15" t="s">
        <v>285</v>
      </c>
      <c r="F1733" s="8" t="str">
        <f aca="false">IFERROR(INDEX(CADASTRO_PIVOS!$C$6:$C$41,MATCH($E1733,CADASTRO_PIVOS!$B$6:$B$41,0)),"?")</f>
        <v>RM07</v>
      </c>
      <c r="G1733" s="8" t="str">
        <f aca="false">IFERROR(INDEX(CADASTRO_PIVOS!$D$6:$D$41,MATCH($E1733,CADASTRO_PIVOS!$B$6:$B$41,0)),"?")</f>
        <v>TR07</v>
      </c>
      <c r="H1733" s="20" t="n">
        <f aca="false">IFERROR(INDEX(CADASTRO_PIVOS!$E$6:$E$41,MATCH($E1733,CADASTRO_PIVOS!$B$6:$B$41,0)),0)</f>
        <v>149.94</v>
      </c>
      <c r="I1733" s="16" t="n">
        <f aca="false">IFERROR(SUMIFS(ROTACAO_RDM!$B$6:$B$71,ROTACAO_RDM!$D$6:$D$71,$E1733,ROTACAO_RDM!$I$6:$I$71,"&lt;="&amp;$C1733+INT(DIAS_POR_SEMANA/2),ROTACAO_RDM!$J$6:$J$71,"&gt;="&amp;$C1733+INT(DIAS_POR_SEMANA/2)),0)</f>
        <v>42</v>
      </c>
      <c r="J1733" s="16" t="n">
        <f aca="false">IFERROR(MATCH($I1733,ROTACAO_RDM!$B$6:$B$71,0),0)</f>
        <v>42</v>
      </c>
      <c r="K1733" s="8" t="str">
        <f aca="false">IF($J1733=0,"SEM CULTURA",INDEX(ROTACAO_RDM!$F$6:$F$71,$J1733))</f>
        <v>SOJA</v>
      </c>
      <c r="L1733" s="8" t="str">
        <f aca="false">IF($J1733=0,"",INDEX(ROTACAO_RDM!$G$6:$G$71,$J1733))</f>
        <v>NEO 761 I2X</v>
      </c>
      <c r="M1733" s="17" t="n">
        <f aca="false">IF($J1733=0,"",INDEX(ROTACAO_RDM!$I$6:$I$71,$J1733))</f>
        <v>46309</v>
      </c>
      <c r="N1733" s="16" t="n">
        <f aca="false">IF($J1733=0,0,MAX(0,$C1733+INT(DIAS_POR_SEMANA/2)-INDEX(ROTACAO_RDM!$I$6:$I$71,$J1733)))</f>
        <v>36</v>
      </c>
      <c r="O1733" s="19" t="n">
        <f aca="false">IF($J1733=0,0,MIN(1,$N1733/MAX(1,INDEX(ROTACAO_RDM!$K$6:$K$71,$J1733))))</f>
        <v>0.310344827586207</v>
      </c>
      <c r="P1733" s="16" t="n">
        <f aca="false">IF($J1733=0,0,IFERROR(MATCH(INDEX(ROTACAO_RDM!$N$6:$N$71,$J1733),PARAMETROS_CULTURAS!$B$6:$B$28,0),0))</f>
        <v>2</v>
      </c>
      <c r="Q1733" s="8" t="str">
        <f aca="false">IF($P1733=0,"-",IF($O1733&lt;=INDEX(PARAMETROS_CULTURAS!$F$6:$F$28,$P1733),"INICIAL",IF($O1733&lt;=INDEX(PARAMETROS_CULTURAS!$F$6:$F$28,$P1733)+INDEX(PARAMETROS_CULTURAS!$G$6:$G$28,$P1733),"DESENVOLVIMENTO",IF($O1733&lt;=INDEX(PARAMETROS_CULTURAS!$F$6:$F$28,$P1733)+INDEX(PARAMETROS_CULTURAS!$G$6:$G$28,$P1733)+INDEX(PARAMETROS_CULTURAS!$H$6:$H$28,$P1733),"MEDIA","FINAL"))))</f>
        <v>DESENVOLVIMENTO</v>
      </c>
      <c r="R1733" s="24" t="n">
        <f aca="false">IF($P1733=0,0,IF($O1733&lt;=INDEX(PARAMETROS_CULTURAS!$F$6:$F$28,$P1733),INDEX(PARAMETROS_CULTURAS!$K$6:$K$28,$P1733),IF($O1733&lt;=INDEX(PARAMETROS_CULTURAS!$F$6:$F$28,$P1733)+INDEX(PARAMETROS_CULTURAS!$G$6:$G$28,$P1733),INDEX(PARAMETROS_CULTURAS!$K$6:$K$28,$P1733)+(INDEX(PARAMETROS_CULTURAS!$L$6:$L$28,$P1733)-INDEX(PARAMETROS_CULTURAS!$K$6:$K$28,$P1733))*($O1733-INDEX(PARAMETROS_CULTURAS!$F$6:$F$28,$P1733))/MAX(INDEX(PARAMETROS_CULTURAS!$G$6:$G$28,$P1733),0.0001),IF($O1733&lt;=INDEX(PARAMETROS_CULTURAS!$F$6:$F$28,$P1733)+INDEX(PARAMETROS_CULTURAS!$G$6:$G$28,$P1733)+INDEX(PARAMETROS_CULTURAS!$H$6:$H$28,$P1733),INDEX(PARAMETROS_CULTURAS!$L$6:$L$28,$P1733),INDEX(PARAMETROS_CULTURAS!$L$6:$L$28,$P1733)+(INDEX(PARAMETROS_CULTURAS!$M$6:$M$28,$P1733)-INDEX(PARAMETROS_CULTURAS!$L$6:$L$28,$P1733))*($O1733-INDEX(PARAMETROS_CULTURAS!$F$6:$F$28,$P1733)-INDEX(PARAMETROS_CULTURAS!$G$6:$G$28,$P1733)-INDEX(PARAMETROS_CULTURAS!$H$6:$H$28,$P1733))/MAX(INDEX(PARAMETROS_CULTURAS!$I$6:$I$28,$P1733),0.0001)))))</f>
        <v>0.890254872563718</v>
      </c>
      <c r="S1733" s="18" t="n">
        <f aca="false">IFERROR(INDEX(SEMANAS!$H$6:$H$71,MATCH($B1733,SEMANAS!$B$6:$B$71,0)),0)</f>
        <v>34.3</v>
      </c>
      <c r="T1733" s="18" t="n">
        <f aca="false">$R1733*$S1733</f>
        <v>30.5357421289355</v>
      </c>
      <c r="U1733" s="18" t="n">
        <f aca="false">IFERROR(INDEX(SEMANAS!$I$6:$I$71,MATCH($B1733,SEMANAS!$B$6:$B$71,0)),0)</f>
        <v>46.69</v>
      </c>
      <c r="V1733" s="18" t="n">
        <f aca="false">IFERROR(INDEX(SEMANAS!$J$6:$J$71,MATCH($B1733,SEMANAS!$B$6:$B$71,0)),0)</f>
        <v>37.352</v>
      </c>
      <c r="W1733" s="18" t="n">
        <f aca="false">MAX(0,$T1733-$V1733)</f>
        <v>0</v>
      </c>
      <c r="X1733" s="19" t="n">
        <f aca="false">IFERROR(INDEX(CADASTRO_PIVOS!$K$6:$K$41,MATCH($E1733,CADASTRO_PIVOS!$B$6:$B$41,0)),EFICIENCIA_PADRAO)</f>
        <v>0.85</v>
      </c>
      <c r="Y1733" s="18" t="n">
        <f aca="false">IF($X1733&lt;=0,0,$W1733/$X1733)</f>
        <v>0</v>
      </c>
      <c r="Z1733" s="16" t="n">
        <f aca="false">$Y1733*$H1733*MM_PARA_M3_HA</f>
        <v>0</v>
      </c>
      <c r="AA1733" s="18" t="n">
        <f aca="false">IFERROR(INDEX(CADASTRO_PIVOS!$I$6:$I$41,MATCH($E1733,CADASTRO_PIVOS!$B$6:$B$41,0)),0)</f>
        <v>1071</v>
      </c>
      <c r="AB1733" s="18" t="n">
        <f aca="false">IF($Z1733&lt;=0,0,$Z1733/$AA1733)</f>
        <v>0</v>
      </c>
      <c r="AC1733" s="16" t="n">
        <f aca="false">IFERROR(INDEX(SEMANAS!$K$6:$K$71,MATCH($B1733,SEMANAS!$B$6:$B$71,0)),0)</f>
        <v>147</v>
      </c>
      <c r="AD1733" s="19" t="n">
        <f aca="false">IF($AC1733&lt;=0,0,$AB1733/$AC1733)</f>
        <v>0</v>
      </c>
      <c r="AE1733" s="8" t="str">
        <f aca="false">IF($K1733="SEM CULTURA","SEM CULTURA",IF($AA1733&lt;=0,"DADO PENDENTE",IF($AD1733&gt;LIMITE_CRITICO,"INVIAVEL",IF($AD1733&gt;LIMITE_ATENCAO,"CRITICO",IF($AD1733&gt;LIMITE_CONFORTAVEL,"ATENCAO","OK")))))</f>
        <v>OK</v>
      </c>
      <c r="AF1733" s="8" t="str">
        <f aca="false">$B1733&amp;"|"&amp;TEXT($AD1733,"0.000000")</f>
        <v>12|0.000000</v>
      </c>
      <c r="AG1733" s="18" t="n">
        <f aca="false">IF($K1733="SEM CULTURA",0,$T1733*$H1733)</f>
        <v>4578.52917481259</v>
      </c>
      <c r="AH1733" s="18" t="n">
        <f aca="false">IF($K1733="SEM CULTURA",0,$V1733*$H1733)</f>
        <v>5600.55888</v>
      </c>
      <c r="AI1733" s="18" t="n">
        <f aca="false">IF($K1733="SEM CULTURA",0,$W1733*$H1733)</f>
        <v>0</v>
      </c>
      <c r="AJ1733" s="18" t="n">
        <f aca="false">IF($K1733="SEM CULTURA",0,$S1733*$H1733)</f>
        <v>5142.942</v>
      </c>
      <c r="AK1733" s="8" t="str">
        <f aca="false">$E1733&amp;"|"&amp;TEXT($AD1733,"0.000000")</f>
        <v>PV 123|0.000000</v>
      </c>
    </row>
    <row r="1734" customFormat="false" ht="15" hidden="false" customHeight="false" outlineLevel="0" collapsed="false">
      <c r="B1734" s="16" t="n">
        <v>13</v>
      </c>
      <c r="C1734" s="17" t="n">
        <f aca="false">DATA_INICIO_SAFRA+($B1734-1)*DIAS_POR_SEMANA</f>
        <v>46349</v>
      </c>
      <c r="D1734" s="17" t="n">
        <f aca="false">$C1734+DIAS_POR_SEMANA-1</f>
        <v>46355</v>
      </c>
      <c r="E1734" s="15" t="s">
        <v>285</v>
      </c>
      <c r="F1734" s="8" t="str">
        <f aca="false">IFERROR(INDEX(CADASTRO_PIVOS!$C$6:$C$41,MATCH($E1734,CADASTRO_PIVOS!$B$6:$B$41,0)),"?")</f>
        <v>RM07</v>
      </c>
      <c r="G1734" s="8" t="str">
        <f aca="false">IFERROR(INDEX(CADASTRO_PIVOS!$D$6:$D$41,MATCH($E1734,CADASTRO_PIVOS!$B$6:$B$41,0)),"?")</f>
        <v>TR07</v>
      </c>
      <c r="H1734" s="20" t="n">
        <f aca="false">IFERROR(INDEX(CADASTRO_PIVOS!$E$6:$E$41,MATCH($E1734,CADASTRO_PIVOS!$B$6:$B$41,0)),0)</f>
        <v>149.94</v>
      </c>
      <c r="I1734" s="16" t="n">
        <f aca="false">IFERROR(SUMIFS(ROTACAO_RDM!$B$6:$B$71,ROTACAO_RDM!$D$6:$D$71,$E1734,ROTACAO_RDM!$I$6:$I$71,"&lt;="&amp;$C1734+INT(DIAS_POR_SEMANA/2),ROTACAO_RDM!$J$6:$J$71,"&gt;="&amp;$C1734+INT(DIAS_POR_SEMANA/2)),0)</f>
        <v>42</v>
      </c>
      <c r="J1734" s="16" t="n">
        <f aca="false">IFERROR(MATCH($I1734,ROTACAO_RDM!$B$6:$B$71,0),0)</f>
        <v>42</v>
      </c>
      <c r="K1734" s="8" t="str">
        <f aca="false">IF($J1734=0,"SEM CULTURA",INDEX(ROTACAO_RDM!$F$6:$F$71,$J1734))</f>
        <v>SOJA</v>
      </c>
      <c r="L1734" s="8" t="str">
        <f aca="false">IF($J1734=0,"",INDEX(ROTACAO_RDM!$G$6:$G$71,$J1734))</f>
        <v>NEO 761 I2X</v>
      </c>
      <c r="M1734" s="17" t="n">
        <f aca="false">IF($J1734=0,"",INDEX(ROTACAO_RDM!$I$6:$I$71,$J1734))</f>
        <v>46309</v>
      </c>
      <c r="N1734" s="16" t="n">
        <f aca="false">IF($J1734=0,0,MAX(0,$C1734+INT(DIAS_POR_SEMANA/2)-INDEX(ROTACAO_RDM!$I$6:$I$71,$J1734)))</f>
        <v>43</v>
      </c>
      <c r="O1734" s="19" t="n">
        <f aca="false">IF($J1734=0,0,MIN(1,$N1734/MAX(1,INDEX(ROTACAO_RDM!$K$6:$K$71,$J1734))))</f>
        <v>0.370689655172414</v>
      </c>
      <c r="P1734" s="16" t="n">
        <f aca="false">IF($J1734=0,0,IFERROR(MATCH(INDEX(ROTACAO_RDM!$N$6:$N$71,$J1734),PARAMETROS_CULTURAS!$B$6:$B$28,0),0))</f>
        <v>2</v>
      </c>
      <c r="Q1734" s="8" t="str">
        <f aca="false">IF($P1734=0,"-",IF($O1734&lt;=INDEX(PARAMETROS_CULTURAS!$F$6:$F$28,$P1734),"INICIAL",IF($O1734&lt;=INDEX(PARAMETROS_CULTURAS!$F$6:$F$28,$P1734)+INDEX(PARAMETROS_CULTURAS!$G$6:$G$28,$P1734),"DESENVOLVIMENTO",IF($O1734&lt;=INDEX(PARAMETROS_CULTURAS!$F$6:$F$28,$P1734)+INDEX(PARAMETROS_CULTURAS!$G$6:$G$28,$P1734)+INDEX(PARAMETROS_CULTURAS!$H$6:$H$28,$P1734),"MEDIA","FINAL"))))</f>
        <v>DESENVOLVIMENTO</v>
      </c>
      <c r="R1734" s="24" t="n">
        <f aca="false">IF($P1734=0,0,IF($O1734&lt;=INDEX(PARAMETROS_CULTURAS!$F$6:$F$28,$P1734),INDEX(PARAMETROS_CULTURAS!$K$6:$K$28,$P1734),IF($O1734&lt;=INDEX(PARAMETROS_CULTURAS!$F$6:$F$28,$P1734)+INDEX(PARAMETROS_CULTURAS!$G$6:$G$28,$P1734),INDEX(PARAMETROS_CULTURAS!$K$6:$K$28,$P1734)+(INDEX(PARAMETROS_CULTURAS!$L$6:$L$28,$P1734)-INDEX(PARAMETROS_CULTURAS!$K$6:$K$28,$P1734))*($O1734-INDEX(PARAMETROS_CULTURAS!$F$6:$F$28,$P1734))/MAX(INDEX(PARAMETROS_CULTURAS!$G$6:$G$28,$P1734),0.0001),IF($O1734&lt;=INDEX(PARAMETROS_CULTURAS!$F$6:$F$28,$P1734)+INDEX(PARAMETROS_CULTURAS!$G$6:$G$28,$P1734)+INDEX(PARAMETROS_CULTURAS!$H$6:$H$28,$P1734),INDEX(PARAMETROS_CULTURAS!$L$6:$L$28,$P1734),INDEX(PARAMETROS_CULTURAS!$L$6:$L$28,$P1734)+(INDEX(PARAMETROS_CULTURAS!$M$6:$M$28,$P1734)-INDEX(PARAMETROS_CULTURAS!$L$6:$L$28,$P1734))*($O1734-INDEX(PARAMETROS_CULTURAS!$F$6:$F$28,$P1734)-INDEX(PARAMETROS_CULTURAS!$G$6:$G$28,$P1734)-INDEX(PARAMETROS_CULTURAS!$H$6:$H$28,$P1734))/MAX(INDEX(PARAMETROS_CULTURAS!$I$6:$I$28,$P1734),0.0001)))))</f>
        <v>1.08703148425787</v>
      </c>
      <c r="S1734" s="18" t="n">
        <f aca="false">IFERROR(INDEX(SEMANAS!$H$6:$H$71,MATCH($B1734,SEMANAS!$B$6:$B$71,0)),0)</f>
        <v>34.3</v>
      </c>
      <c r="T1734" s="18" t="n">
        <f aca="false">$R1734*$S1734</f>
        <v>37.285179910045</v>
      </c>
      <c r="U1734" s="18" t="n">
        <f aca="false">IFERROR(INDEX(SEMANAS!$I$6:$I$71,MATCH($B1734,SEMANAS!$B$6:$B$71,0)),0)</f>
        <v>46.69</v>
      </c>
      <c r="V1734" s="18" t="n">
        <f aca="false">IFERROR(INDEX(SEMANAS!$J$6:$J$71,MATCH($B1734,SEMANAS!$B$6:$B$71,0)),0)</f>
        <v>37.352</v>
      </c>
      <c r="W1734" s="18" t="n">
        <f aca="false">MAX(0,$T1734-$V1734)</f>
        <v>0</v>
      </c>
      <c r="X1734" s="19" t="n">
        <f aca="false">IFERROR(INDEX(CADASTRO_PIVOS!$K$6:$K$41,MATCH($E1734,CADASTRO_PIVOS!$B$6:$B$41,0)),EFICIENCIA_PADRAO)</f>
        <v>0.85</v>
      </c>
      <c r="Y1734" s="18" t="n">
        <f aca="false">IF($X1734&lt;=0,0,$W1734/$X1734)</f>
        <v>0</v>
      </c>
      <c r="Z1734" s="16" t="n">
        <f aca="false">$Y1734*$H1734*MM_PARA_M3_HA</f>
        <v>0</v>
      </c>
      <c r="AA1734" s="18" t="n">
        <f aca="false">IFERROR(INDEX(CADASTRO_PIVOS!$I$6:$I$41,MATCH($E1734,CADASTRO_PIVOS!$B$6:$B$41,0)),0)</f>
        <v>1071</v>
      </c>
      <c r="AB1734" s="18" t="n">
        <f aca="false">IF($Z1734&lt;=0,0,$Z1734/$AA1734)</f>
        <v>0</v>
      </c>
      <c r="AC1734" s="16" t="n">
        <f aca="false">IFERROR(INDEX(SEMANAS!$K$6:$K$71,MATCH($B1734,SEMANAS!$B$6:$B$71,0)),0)</f>
        <v>147</v>
      </c>
      <c r="AD1734" s="19" t="n">
        <f aca="false">IF($AC1734&lt;=0,0,$AB1734/$AC1734)</f>
        <v>0</v>
      </c>
      <c r="AE1734" s="8" t="str">
        <f aca="false">IF($K1734="SEM CULTURA","SEM CULTURA",IF($AA1734&lt;=0,"DADO PENDENTE",IF($AD1734&gt;LIMITE_CRITICO,"INVIAVEL",IF($AD1734&gt;LIMITE_ATENCAO,"CRITICO",IF($AD1734&gt;LIMITE_CONFORTAVEL,"ATENCAO","OK")))))</f>
        <v>OK</v>
      </c>
      <c r="AF1734" s="8" t="str">
        <f aca="false">$B1734&amp;"|"&amp;TEXT($AD1734,"0.000000")</f>
        <v>13|0.000000</v>
      </c>
      <c r="AG1734" s="18" t="n">
        <f aca="false">IF($K1734="SEM CULTURA",0,$T1734*$H1734)</f>
        <v>5590.53987571215</v>
      </c>
      <c r="AH1734" s="18" t="n">
        <f aca="false">IF($K1734="SEM CULTURA",0,$V1734*$H1734)</f>
        <v>5600.55888</v>
      </c>
      <c r="AI1734" s="18" t="n">
        <f aca="false">IF($K1734="SEM CULTURA",0,$W1734*$H1734)</f>
        <v>0</v>
      </c>
      <c r="AJ1734" s="18" t="n">
        <f aca="false">IF($K1734="SEM CULTURA",0,$S1734*$H1734)</f>
        <v>5142.942</v>
      </c>
      <c r="AK1734" s="8" t="str">
        <f aca="false">$E1734&amp;"|"&amp;TEXT($AD1734,"0.000000")</f>
        <v>PV 123|0.000000</v>
      </c>
    </row>
    <row r="1735" customFormat="false" ht="15" hidden="false" customHeight="false" outlineLevel="0" collapsed="false">
      <c r="B1735" s="16" t="n">
        <v>14</v>
      </c>
      <c r="C1735" s="17" t="n">
        <f aca="false">DATA_INICIO_SAFRA+($B1735-1)*DIAS_POR_SEMANA</f>
        <v>46356</v>
      </c>
      <c r="D1735" s="17" t="n">
        <f aca="false">$C1735+DIAS_POR_SEMANA-1</f>
        <v>46362</v>
      </c>
      <c r="E1735" s="15" t="s">
        <v>285</v>
      </c>
      <c r="F1735" s="8" t="str">
        <f aca="false">IFERROR(INDEX(CADASTRO_PIVOS!$C$6:$C$41,MATCH($E1735,CADASTRO_PIVOS!$B$6:$B$41,0)),"?")</f>
        <v>RM07</v>
      </c>
      <c r="G1735" s="8" t="str">
        <f aca="false">IFERROR(INDEX(CADASTRO_PIVOS!$D$6:$D$41,MATCH($E1735,CADASTRO_PIVOS!$B$6:$B$41,0)),"?")</f>
        <v>TR07</v>
      </c>
      <c r="H1735" s="20" t="n">
        <f aca="false">IFERROR(INDEX(CADASTRO_PIVOS!$E$6:$E$41,MATCH($E1735,CADASTRO_PIVOS!$B$6:$B$41,0)),0)</f>
        <v>149.94</v>
      </c>
      <c r="I1735" s="16" t="n">
        <f aca="false">IFERROR(SUMIFS(ROTACAO_RDM!$B$6:$B$71,ROTACAO_RDM!$D$6:$D$71,$E1735,ROTACAO_RDM!$I$6:$I$71,"&lt;="&amp;$C1735+INT(DIAS_POR_SEMANA/2),ROTACAO_RDM!$J$6:$J$71,"&gt;="&amp;$C1735+INT(DIAS_POR_SEMANA/2)),0)</f>
        <v>42</v>
      </c>
      <c r="J1735" s="16" t="n">
        <f aca="false">IFERROR(MATCH($I1735,ROTACAO_RDM!$B$6:$B$71,0),0)</f>
        <v>42</v>
      </c>
      <c r="K1735" s="8" t="str">
        <f aca="false">IF($J1735=0,"SEM CULTURA",INDEX(ROTACAO_RDM!$F$6:$F$71,$J1735))</f>
        <v>SOJA</v>
      </c>
      <c r="L1735" s="8" t="str">
        <f aca="false">IF($J1735=0,"",INDEX(ROTACAO_RDM!$G$6:$G$71,$J1735))</f>
        <v>NEO 761 I2X</v>
      </c>
      <c r="M1735" s="17" t="n">
        <f aca="false">IF($J1735=0,"",INDEX(ROTACAO_RDM!$I$6:$I$71,$J1735))</f>
        <v>46309</v>
      </c>
      <c r="N1735" s="16" t="n">
        <f aca="false">IF($J1735=0,0,MAX(0,$C1735+INT(DIAS_POR_SEMANA/2)-INDEX(ROTACAO_RDM!$I$6:$I$71,$J1735)))</f>
        <v>50</v>
      </c>
      <c r="O1735" s="19" t="n">
        <f aca="false">IF($J1735=0,0,MIN(1,$N1735/MAX(1,INDEX(ROTACAO_RDM!$K$6:$K$71,$J1735))))</f>
        <v>0.431034482758621</v>
      </c>
      <c r="P1735" s="16" t="n">
        <f aca="false">IF($J1735=0,0,IFERROR(MATCH(INDEX(ROTACAO_RDM!$N$6:$N$71,$J1735),PARAMETROS_CULTURAS!$B$6:$B$28,0),0))</f>
        <v>2</v>
      </c>
      <c r="Q1735" s="8" t="str">
        <f aca="false">IF($P1735=0,"-",IF($O1735&lt;=INDEX(PARAMETROS_CULTURAS!$F$6:$F$28,$P1735),"INICIAL",IF($O1735&lt;=INDEX(PARAMETROS_CULTURAS!$F$6:$F$28,$P1735)+INDEX(PARAMETROS_CULTURAS!$G$6:$G$28,$P1735),"DESENVOLVIMENTO",IF($O1735&lt;=INDEX(PARAMETROS_CULTURAS!$F$6:$F$28,$P1735)+INDEX(PARAMETROS_CULTURAS!$G$6:$G$28,$P1735)+INDEX(PARAMETROS_CULTURAS!$H$6:$H$28,$P1735),"MEDIA","FINAL"))))</f>
        <v>MEDIA</v>
      </c>
      <c r="R1735" s="24" t="n">
        <f aca="false">IF($P1735=0,0,IF($O1735&lt;=INDEX(PARAMETROS_CULTURAS!$F$6:$F$28,$P1735),INDEX(PARAMETROS_CULTURAS!$K$6:$K$28,$P1735),IF($O1735&lt;=INDEX(PARAMETROS_CULTURAS!$F$6:$F$28,$P1735)+INDEX(PARAMETROS_CULTURAS!$G$6:$G$28,$P1735),INDEX(PARAMETROS_CULTURAS!$K$6:$K$28,$P1735)+(INDEX(PARAMETROS_CULTURAS!$L$6:$L$28,$P1735)-INDEX(PARAMETROS_CULTURAS!$K$6:$K$28,$P1735))*($O1735-INDEX(PARAMETROS_CULTURAS!$F$6:$F$28,$P1735))/MAX(INDEX(PARAMETROS_CULTURAS!$G$6:$G$28,$P1735),0.0001),IF($O1735&lt;=INDEX(PARAMETROS_CULTURAS!$F$6:$F$28,$P1735)+INDEX(PARAMETROS_CULTURAS!$G$6:$G$28,$P1735)+INDEX(PARAMETROS_CULTURAS!$H$6:$H$28,$P1735),INDEX(PARAMETROS_CULTURAS!$L$6:$L$28,$P1735),INDEX(PARAMETROS_CULTURAS!$L$6:$L$28,$P1735)+(INDEX(PARAMETROS_CULTURAS!$M$6:$M$28,$P1735)-INDEX(PARAMETROS_CULTURAS!$L$6:$L$28,$P1735))*($O1735-INDEX(PARAMETROS_CULTURAS!$F$6:$F$28,$P1735)-INDEX(PARAMETROS_CULTURAS!$G$6:$G$28,$P1735)-INDEX(PARAMETROS_CULTURAS!$H$6:$H$28,$P1735))/MAX(INDEX(PARAMETROS_CULTURAS!$I$6:$I$28,$P1735),0.0001)))))</f>
        <v>1.15</v>
      </c>
      <c r="S1735" s="18" t="n">
        <f aca="false">IFERROR(INDEX(SEMANAS!$H$6:$H$71,MATCH($B1735,SEMANAS!$B$6:$B$71,0)),0)</f>
        <v>33.1</v>
      </c>
      <c r="T1735" s="18" t="n">
        <f aca="false">$R1735*$S1735</f>
        <v>38.065</v>
      </c>
      <c r="U1735" s="18" t="n">
        <f aca="false">IFERROR(INDEX(SEMANAS!$I$6:$I$71,MATCH($B1735,SEMANAS!$B$6:$B$71,0)),0)</f>
        <v>48.31</v>
      </c>
      <c r="V1735" s="18" t="n">
        <f aca="false">IFERROR(INDEX(SEMANAS!$J$6:$J$71,MATCH($B1735,SEMANAS!$B$6:$B$71,0)),0)</f>
        <v>38.648</v>
      </c>
      <c r="W1735" s="18" t="n">
        <f aca="false">MAX(0,$T1735-$V1735)</f>
        <v>0</v>
      </c>
      <c r="X1735" s="19" t="n">
        <f aca="false">IFERROR(INDEX(CADASTRO_PIVOS!$K$6:$K$41,MATCH($E1735,CADASTRO_PIVOS!$B$6:$B$41,0)),EFICIENCIA_PADRAO)</f>
        <v>0.85</v>
      </c>
      <c r="Y1735" s="18" t="n">
        <f aca="false">IF($X1735&lt;=0,0,$W1735/$X1735)</f>
        <v>0</v>
      </c>
      <c r="Z1735" s="16" t="n">
        <f aca="false">$Y1735*$H1735*MM_PARA_M3_HA</f>
        <v>0</v>
      </c>
      <c r="AA1735" s="18" t="n">
        <f aca="false">IFERROR(INDEX(CADASTRO_PIVOS!$I$6:$I$41,MATCH($E1735,CADASTRO_PIVOS!$B$6:$B$41,0)),0)</f>
        <v>1071</v>
      </c>
      <c r="AB1735" s="18" t="n">
        <f aca="false">IF($Z1735&lt;=0,0,$Z1735/$AA1735)</f>
        <v>0</v>
      </c>
      <c r="AC1735" s="16" t="n">
        <f aca="false">IFERROR(INDEX(SEMANAS!$K$6:$K$71,MATCH($B1735,SEMANAS!$B$6:$B$71,0)),0)</f>
        <v>147</v>
      </c>
      <c r="AD1735" s="19" t="n">
        <f aca="false">IF($AC1735&lt;=0,0,$AB1735/$AC1735)</f>
        <v>0</v>
      </c>
      <c r="AE1735" s="8" t="str">
        <f aca="false">IF($K1735="SEM CULTURA","SEM CULTURA",IF($AA1735&lt;=0,"DADO PENDENTE",IF($AD1735&gt;LIMITE_CRITICO,"INVIAVEL",IF($AD1735&gt;LIMITE_ATENCAO,"CRITICO",IF($AD1735&gt;LIMITE_CONFORTAVEL,"ATENCAO","OK")))))</f>
        <v>OK</v>
      </c>
      <c r="AF1735" s="8" t="str">
        <f aca="false">$B1735&amp;"|"&amp;TEXT($AD1735,"0.000000")</f>
        <v>14|0.000000</v>
      </c>
      <c r="AG1735" s="18" t="n">
        <f aca="false">IF($K1735="SEM CULTURA",0,$T1735*$H1735)</f>
        <v>5707.4661</v>
      </c>
      <c r="AH1735" s="18" t="n">
        <f aca="false">IF($K1735="SEM CULTURA",0,$V1735*$H1735)</f>
        <v>5794.88112</v>
      </c>
      <c r="AI1735" s="18" t="n">
        <f aca="false">IF($K1735="SEM CULTURA",0,$W1735*$H1735)</f>
        <v>0</v>
      </c>
      <c r="AJ1735" s="18" t="n">
        <f aca="false">IF($K1735="SEM CULTURA",0,$S1735*$H1735)</f>
        <v>4963.014</v>
      </c>
      <c r="AK1735" s="8" t="str">
        <f aca="false">$E1735&amp;"|"&amp;TEXT($AD1735,"0.000000")</f>
        <v>PV 123|0.000000</v>
      </c>
    </row>
    <row r="1736" customFormat="false" ht="15" hidden="false" customHeight="false" outlineLevel="0" collapsed="false">
      <c r="B1736" s="16" t="n">
        <v>15</v>
      </c>
      <c r="C1736" s="17" t="n">
        <f aca="false">DATA_INICIO_SAFRA+($B1736-1)*DIAS_POR_SEMANA</f>
        <v>46363</v>
      </c>
      <c r="D1736" s="17" t="n">
        <f aca="false">$C1736+DIAS_POR_SEMANA-1</f>
        <v>46369</v>
      </c>
      <c r="E1736" s="15" t="s">
        <v>285</v>
      </c>
      <c r="F1736" s="8" t="str">
        <f aca="false">IFERROR(INDEX(CADASTRO_PIVOS!$C$6:$C$41,MATCH($E1736,CADASTRO_PIVOS!$B$6:$B$41,0)),"?")</f>
        <v>RM07</v>
      </c>
      <c r="G1736" s="8" t="str">
        <f aca="false">IFERROR(INDEX(CADASTRO_PIVOS!$D$6:$D$41,MATCH($E1736,CADASTRO_PIVOS!$B$6:$B$41,0)),"?")</f>
        <v>TR07</v>
      </c>
      <c r="H1736" s="20" t="n">
        <f aca="false">IFERROR(INDEX(CADASTRO_PIVOS!$E$6:$E$41,MATCH($E1736,CADASTRO_PIVOS!$B$6:$B$41,0)),0)</f>
        <v>149.94</v>
      </c>
      <c r="I1736" s="16" t="n">
        <f aca="false">IFERROR(SUMIFS(ROTACAO_RDM!$B$6:$B$71,ROTACAO_RDM!$D$6:$D$71,$E1736,ROTACAO_RDM!$I$6:$I$71,"&lt;="&amp;$C1736+INT(DIAS_POR_SEMANA/2),ROTACAO_RDM!$J$6:$J$71,"&gt;="&amp;$C1736+INT(DIAS_POR_SEMANA/2)),0)</f>
        <v>42</v>
      </c>
      <c r="J1736" s="16" t="n">
        <f aca="false">IFERROR(MATCH($I1736,ROTACAO_RDM!$B$6:$B$71,0),0)</f>
        <v>42</v>
      </c>
      <c r="K1736" s="8" t="str">
        <f aca="false">IF($J1736=0,"SEM CULTURA",INDEX(ROTACAO_RDM!$F$6:$F$71,$J1736))</f>
        <v>SOJA</v>
      </c>
      <c r="L1736" s="8" t="str">
        <f aca="false">IF($J1736=0,"",INDEX(ROTACAO_RDM!$G$6:$G$71,$J1736))</f>
        <v>NEO 761 I2X</v>
      </c>
      <c r="M1736" s="17" t="n">
        <f aca="false">IF($J1736=0,"",INDEX(ROTACAO_RDM!$I$6:$I$71,$J1736))</f>
        <v>46309</v>
      </c>
      <c r="N1736" s="16" t="n">
        <f aca="false">IF($J1736=0,0,MAX(0,$C1736+INT(DIAS_POR_SEMANA/2)-INDEX(ROTACAO_RDM!$I$6:$I$71,$J1736)))</f>
        <v>57</v>
      </c>
      <c r="O1736" s="19" t="n">
        <f aca="false">IF($J1736=0,0,MIN(1,$N1736/MAX(1,INDEX(ROTACAO_RDM!$K$6:$K$71,$J1736))))</f>
        <v>0.491379310344828</v>
      </c>
      <c r="P1736" s="16" t="n">
        <f aca="false">IF($J1736=0,0,IFERROR(MATCH(INDEX(ROTACAO_RDM!$N$6:$N$71,$J1736),PARAMETROS_CULTURAS!$B$6:$B$28,0),0))</f>
        <v>2</v>
      </c>
      <c r="Q1736" s="8" t="str">
        <f aca="false">IF($P1736=0,"-",IF($O1736&lt;=INDEX(PARAMETROS_CULTURAS!$F$6:$F$28,$P1736),"INICIAL",IF($O1736&lt;=INDEX(PARAMETROS_CULTURAS!$F$6:$F$28,$P1736)+INDEX(PARAMETROS_CULTURAS!$G$6:$G$28,$P1736),"DESENVOLVIMENTO",IF($O1736&lt;=INDEX(PARAMETROS_CULTURAS!$F$6:$F$28,$P1736)+INDEX(PARAMETROS_CULTURAS!$G$6:$G$28,$P1736)+INDEX(PARAMETROS_CULTURAS!$H$6:$H$28,$P1736),"MEDIA","FINAL"))))</f>
        <v>MEDIA</v>
      </c>
      <c r="R1736" s="24" t="n">
        <f aca="false">IF($P1736=0,0,IF($O1736&lt;=INDEX(PARAMETROS_CULTURAS!$F$6:$F$28,$P1736),INDEX(PARAMETROS_CULTURAS!$K$6:$K$28,$P1736),IF($O1736&lt;=INDEX(PARAMETROS_CULTURAS!$F$6:$F$28,$P1736)+INDEX(PARAMETROS_CULTURAS!$G$6:$G$28,$P1736),INDEX(PARAMETROS_CULTURAS!$K$6:$K$28,$P1736)+(INDEX(PARAMETROS_CULTURAS!$L$6:$L$28,$P1736)-INDEX(PARAMETROS_CULTURAS!$K$6:$K$28,$P1736))*($O1736-INDEX(PARAMETROS_CULTURAS!$F$6:$F$28,$P1736))/MAX(INDEX(PARAMETROS_CULTURAS!$G$6:$G$28,$P1736),0.0001),IF($O1736&lt;=INDEX(PARAMETROS_CULTURAS!$F$6:$F$28,$P1736)+INDEX(PARAMETROS_CULTURAS!$G$6:$G$28,$P1736)+INDEX(PARAMETROS_CULTURAS!$H$6:$H$28,$P1736),INDEX(PARAMETROS_CULTURAS!$L$6:$L$28,$P1736),INDEX(PARAMETROS_CULTURAS!$L$6:$L$28,$P1736)+(INDEX(PARAMETROS_CULTURAS!$M$6:$M$28,$P1736)-INDEX(PARAMETROS_CULTURAS!$L$6:$L$28,$P1736))*($O1736-INDEX(PARAMETROS_CULTURAS!$F$6:$F$28,$P1736)-INDEX(PARAMETROS_CULTURAS!$G$6:$G$28,$P1736)-INDEX(PARAMETROS_CULTURAS!$H$6:$H$28,$P1736))/MAX(INDEX(PARAMETROS_CULTURAS!$I$6:$I$28,$P1736),0.0001)))))</f>
        <v>1.15</v>
      </c>
      <c r="S1736" s="18" t="n">
        <f aca="false">IFERROR(INDEX(SEMANAS!$H$6:$H$71,MATCH($B1736,SEMANAS!$B$6:$B$71,0)),0)</f>
        <v>32.9</v>
      </c>
      <c r="T1736" s="18" t="n">
        <f aca="false">$R1736*$S1736</f>
        <v>37.835</v>
      </c>
      <c r="U1736" s="18" t="n">
        <f aca="false">IFERROR(INDEX(SEMANAS!$I$6:$I$71,MATCH($B1736,SEMANAS!$B$6:$B$71,0)),0)</f>
        <v>48.58</v>
      </c>
      <c r="V1736" s="18" t="n">
        <f aca="false">IFERROR(INDEX(SEMANAS!$J$6:$J$71,MATCH($B1736,SEMANAS!$B$6:$B$71,0)),0)</f>
        <v>38.864</v>
      </c>
      <c r="W1736" s="18" t="n">
        <f aca="false">MAX(0,$T1736-$V1736)</f>
        <v>0</v>
      </c>
      <c r="X1736" s="19" t="n">
        <f aca="false">IFERROR(INDEX(CADASTRO_PIVOS!$K$6:$K$41,MATCH($E1736,CADASTRO_PIVOS!$B$6:$B$41,0)),EFICIENCIA_PADRAO)</f>
        <v>0.85</v>
      </c>
      <c r="Y1736" s="18" t="n">
        <f aca="false">IF($X1736&lt;=0,0,$W1736/$X1736)</f>
        <v>0</v>
      </c>
      <c r="Z1736" s="16" t="n">
        <f aca="false">$Y1736*$H1736*MM_PARA_M3_HA</f>
        <v>0</v>
      </c>
      <c r="AA1736" s="18" t="n">
        <f aca="false">IFERROR(INDEX(CADASTRO_PIVOS!$I$6:$I$41,MATCH($E1736,CADASTRO_PIVOS!$B$6:$B$41,0)),0)</f>
        <v>1071</v>
      </c>
      <c r="AB1736" s="18" t="n">
        <f aca="false">IF($Z1736&lt;=0,0,$Z1736/$AA1736)</f>
        <v>0</v>
      </c>
      <c r="AC1736" s="16" t="n">
        <f aca="false">IFERROR(INDEX(SEMANAS!$K$6:$K$71,MATCH($B1736,SEMANAS!$B$6:$B$71,0)),0)</f>
        <v>147</v>
      </c>
      <c r="AD1736" s="19" t="n">
        <f aca="false">IF($AC1736&lt;=0,0,$AB1736/$AC1736)</f>
        <v>0</v>
      </c>
      <c r="AE1736" s="8" t="str">
        <f aca="false">IF($K1736="SEM CULTURA","SEM CULTURA",IF($AA1736&lt;=0,"DADO PENDENTE",IF($AD1736&gt;LIMITE_CRITICO,"INVIAVEL",IF($AD1736&gt;LIMITE_ATENCAO,"CRITICO",IF($AD1736&gt;LIMITE_CONFORTAVEL,"ATENCAO","OK")))))</f>
        <v>OK</v>
      </c>
      <c r="AF1736" s="8" t="str">
        <f aca="false">$B1736&amp;"|"&amp;TEXT($AD1736,"0.000000")</f>
        <v>15|0.000000</v>
      </c>
      <c r="AG1736" s="18" t="n">
        <f aca="false">IF($K1736="SEM CULTURA",0,$T1736*$H1736)</f>
        <v>5672.9799</v>
      </c>
      <c r="AH1736" s="18" t="n">
        <f aca="false">IF($K1736="SEM CULTURA",0,$V1736*$H1736)</f>
        <v>5827.26816</v>
      </c>
      <c r="AI1736" s="18" t="n">
        <f aca="false">IF($K1736="SEM CULTURA",0,$W1736*$H1736)</f>
        <v>0</v>
      </c>
      <c r="AJ1736" s="18" t="n">
        <f aca="false">IF($K1736="SEM CULTURA",0,$S1736*$H1736)</f>
        <v>4933.026</v>
      </c>
      <c r="AK1736" s="8" t="str">
        <f aca="false">$E1736&amp;"|"&amp;TEXT($AD1736,"0.000000")</f>
        <v>PV 123|0.000000</v>
      </c>
    </row>
    <row r="1737" customFormat="false" ht="15" hidden="false" customHeight="false" outlineLevel="0" collapsed="false">
      <c r="B1737" s="16" t="n">
        <v>16</v>
      </c>
      <c r="C1737" s="17" t="n">
        <f aca="false">DATA_INICIO_SAFRA+($B1737-1)*DIAS_POR_SEMANA</f>
        <v>46370</v>
      </c>
      <c r="D1737" s="17" t="n">
        <f aca="false">$C1737+DIAS_POR_SEMANA-1</f>
        <v>46376</v>
      </c>
      <c r="E1737" s="15" t="s">
        <v>285</v>
      </c>
      <c r="F1737" s="8" t="str">
        <f aca="false">IFERROR(INDEX(CADASTRO_PIVOS!$C$6:$C$41,MATCH($E1737,CADASTRO_PIVOS!$B$6:$B$41,0)),"?")</f>
        <v>RM07</v>
      </c>
      <c r="G1737" s="8" t="str">
        <f aca="false">IFERROR(INDEX(CADASTRO_PIVOS!$D$6:$D$41,MATCH($E1737,CADASTRO_PIVOS!$B$6:$B$41,0)),"?")</f>
        <v>TR07</v>
      </c>
      <c r="H1737" s="20" t="n">
        <f aca="false">IFERROR(INDEX(CADASTRO_PIVOS!$E$6:$E$41,MATCH($E1737,CADASTRO_PIVOS!$B$6:$B$41,0)),0)</f>
        <v>149.94</v>
      </c>
      <c r="I1737" s="16" t="n">
        <f aca="false">IFERROR(SUMIFS(ROTACAO_RDM!$B$6:$B$71,ROTACAO_RDM!$D$6:$D$71,$E1737,ROTACAO_RDM!$I$6:$I$71,"&lt;="&amp;$C1737+INT(DIAS_POR_SEMANA/2),ROTACAO_RDM!$J$6:$J$71,"&gt;="&amp;$C1737+INT(DIAS_POR_SEMANA/2)),0)</f>
        <v>42</v>
      </c>
      <c r="J1737" s="16" t="n">
        <f aca="false">IFERROR(MATCH($I1737,ROTACAO_RDM!$B$6:$B$71,0),0)</f>
        <v>42</v>
      </c>
      <c r="K1737" s="8" t="str">
        <f aca="false">IF($J1737=0,"SEM CULTURA",INDEX(ROTACAO_RDM!$F$6:$F$71,$J1737))</f>
        <v>SOJA</v>
      </c>
      <c r="L1737" s="8" t="str">
        <f aca="false">IF($J1737=0,"",INDEX(ROTACAO_RDM!$G$6:$G$71,$J1737))</f>
        <v>NEO 761 I2X</v>
      </c>
      <c r="M1737" s="17" t="n">
        <f aca="false">IF($J1737=0,"",INDEX(ROTACAO_RDM!$I$6:$I$71,$J1737))</f>
        <v>46309</v>
      </c>
      <c r="N1737" s="16" t="n">
        <f aca="false">IF($J1737=0,0,MAX(0,$C1737+INT(DIAS_POR_SEMANA/2)-INDEX(ROTACAO_RDM!$I$6:$I$71,$J1737)))</f>
        <v>64</v>
      </c>
      <c r="O1737" s="19" t="n">
        <f aca="false">IF($J1737=0,0,MIN(1,$N1737/MAX(1,INDEX(ROTACAO_RDM!$K$6:$K$71,$J1737))))</f>
        <v>0.551724137931035</v>
      </c>
      <c r="P1737" s="16" t="n">
        <f aca="false">IF($J1737=0,0,IFERROR(MATCH(INDEX(ROTACAO_RDM!$N$6:$N$71,$J1737),PARAMETROS_CULTURAS!$B$6:$B$28,0),0))</f>
        <v>2</v>
      </c>
      <c r="Q1737" s="8" t="str">
        <f aca="false">IF($P1737=0,"-",IF($O1737&lt;=INDEX(PARAMETROS_CULTURAS!$F$6:$F$28,$P1737),"INICIAL",IF($O1737&lt;=INDEX(PARAMETROS_CULTURAS!$F$6:$F$28,$P1737)+INDEX(PARAMETROS_CULTURAS!$G$6:$G$28,$P1737),"DESENVOLVIMENTO",IF($O1737&lt;=INDEX(PARAMETROS_CULTURAS!$F$6:$F$28,$P1737)+INDEX(PARAMETROS_CULTURAS!$G$6:$G$28,$P1737)+INDEX(PARAMETROS_CULTURAS!$H$6:$H$28,$P1737),"MEDIA","FINAL"))))</f>
        <v>MEDIA</v>
      </c>
      <c r="R1737" s="24" t="n">
        <f aca="false">IF($P1737=0,0,IF($O1737&lt;=INDEX(PARAMETROS_CULTURAS!$F$6:$F$28,$P1737),INDEX(PARAMETROS_CULTURAS!$K$6:$K$28,$P1737),IF($O1737&lt;=INDEX(PARAMETROS_CULTURAS!$F$6:$F$28,$P1737)+INDEX(PARAMETROS_CULTURAS!$G$6:$G$28,$P1737),INDEX(PARAMETROS_CULTURAS!$K$6:$K$28,$P1737)+(INDEX(PARAMETROS_CULTURAS!$L$6:$L$28,$P1737)-INDEX(PARAMETROS_CULTURAS!$K$6:$K$28,$P1737))*($O1737-INDEX(PARAMETROS_CULTURAS!$F$6:$F$28,$P1737))/MAX(INDEX(PARAMETROS_CULTURAS!$G$6:$G$28,$P1737),0.0001),IF($O1737&lt;=INDEX(PARAMETROS_CULTURAS!$F$6:$F$28,$P1737)+INDEX(PARAMETROS_CULTURAS!$G$6:$G$28,$P1737)+INDEX(PARAMETROS_CULTURAS!$H$6:$H$28,$P1737),INDEX(PARAMETROS_CULTURAS!$L$6:$L$28,$P1737),INDEX(PARAMETROS_CULTURAS!$L$6:$L$28,$P1737)+(INDEX(PARAMETROS_CULTURAS!$M$6:$M$28,$P1737)-INDEX(PARAMETROS_CULTURAS!$L$6:$L$28,$P1737))*($O1737-INDEX(PARAMETROS_CULTURAS!$F$6:$F$28,$P1737)-INDEX(PARAMETROS_CULTURAS!$G$6:$G$28,$P1737)-INDEX(PARAMETROS_CULTURAS!$H$6:$H$28,$P1737))/MAX(INDEX(PARAMETROS_CULTURAS!$I$6:$I$28,$P1737),0.0001)))))</f>
        <v>1.15</v>
      </c>
      <c r="S1737" s="18" t="n">
        <f aca="false">IFERROR(INDEX(SEMANAS!$H$6:$H$71,MATCH($B1737,SEMANAS!$B$6:$B$71,0)),0)</f>
        <v>32.9</v>
      </c>
      <c r="T1737" s="18" t="n">
        <f aca="false">$R1737*$S1737</f>
        <v>37.835</v>
      </c>
      <c r="U1737" s="18" t="n">
        <f aca="false">IFERROR(INDEX(SEMANAS!$I$6:$I$71,MATCH($B1737,SEMANAS!$B$6:$B$71,0)),0)</f>
        <v>48.58</v>
      </c>
      <c r="V1737" s="18" t="n">
        <f aca="false">IFERROR(INDEX(SEMANAS!$J$6:$J$71,MATCH($B1737,SEMANAS!$B$6:$B$71,0)),0)</f>
        <v>38.864</v>
      </c>
      <c r="W1737" s="18" t="n">
        <f aca="false">MAX(0,$T1737-$V1737)</f>
        <v>0</v>
      </c>
      <c r="X1737" s="19" t="n">
        <f aca="false">IFERROR(INDEX(CADASTRO_PIVOS!$K$6:$K$41,MATCH($E1737,CADASTRO_PIVOS!$B$6:$B$41,0)),EFICIENCIA_PADRAO)</f>
        <v>0.85</v>
      </c>
      <c r="Y1737" s="18" t="n">
        <f aca="false">IF($X1737&lt;=0,0,$W1737/$X1737)</f>
        <v>0</v>
      </c>
      <c r="Z1737" s="16" t="n">
        <f aca="false">$Y1737*$H1737*MM_PARA_M3_HA</f>
        <v>0</v>
      </c>
      <c r="AA1737" s="18" t="n">
        <f aca="false">IFERROR(INDEX(CADASTRO_PIVOS!$I$6:$I$41,MATCH($E1737,CADASTRO_PIVOS!$B$6:$B$41,0)),0)</f>
        <v>1071</v>
      </c>
      <c r="AB1737" s="18" t="n">
        <f aca="false">IF($Z1737&lt;=0,0,$Z1737/$AA1737)</f>
        <v>0</v>
      </c>
      <c r="AC1737" s="16" t="n">
        <f aca="false">IFERROR(INDEX(SEMANAS!$K$6:$K$71,MATCH($B1737,SEMANAS!$B$6:$B$71,0)),0)</f>
        <v>147</v>
      </c>
      <c r="AD1737" s="19" t="n">
        <f aca="false">IF($AC1737&lt;=0,0,$AB1737/$AC1737)</f>
        <v>0</v>
      </c>
      <c r="AE1737" s="8" t="str">
        <f aca="false">IF($K1737="SEM CULTURA","SEM CULTURA",IF($AA1737&lt;=0,"DADO PENDENTE",IF($AD1737&gt;LIMITE_CRITICO,"INVIAVEL",IF($AD1737&gt;LIMITE_ATENCAO,"CRITICO",IF($AD1737&gt;LIMITE_CONFORTAVEL,"ATENCAO","OK")))))</f>
        <v>OK</v>
      </c>
      <c r="AF1737" s="8" t="str">
        <f aca="false">$B1737&amp;"|"&amp;TEXT($AD1737,"0.000000")</f>
        <v>16|0.000000</v>
      </c>
      <c r="AG1737" s="18" t="n">
        <f aca="false">IF($K1737="SEM CULTURA",0,$T1737*$H1737)</f>
        <v>5672.9799</v>
      </c>
      <c r="AH1737" s="18" t="n">
        <f aca="false">IF($K1737="SEM CULTURA",0,$V1737*$H1737)</f>
        <v>5827.26816</v>
      </c>
      <c r="AI1737" s="18" t="n">
        <f aca="false">IF($K1737="SEM CULTURA",0,$W1737*$H1737)</f>
        <v>0</v>
      </c>
      <c r="AJ1737" s="18" t="n">
        <f aca="false">IF($K1737="SEM CULTURA",0,$S1737*$H1737)</f>
        <v>4933.026</v>
      </c>
      <c r="AK1737" s="8" t="str">
        <f aca="false">$E1737&amp;"|"&amp;TEXT($AD1737,"0.000000")</f>
        <v>PV 123|0.000000</v>
      </c>
    </row>
    <row r="1738" customFormat="false" ht="15" hidden="false" customHeight="false" outlineLevel="0" collapsed="false">
      <c r="B1738" s="16" t="n">
        <v>17</v>
      </c>
      <c r="C1738" s="17" t="n">
        <f aca="false">DATA_INICIO_SAFRA+($B1738-1)*DIAS_POR_SEMANA</f>
        <v>46377</v>
      </c>
      <c r="D1738" s="17" t="n">
        <f aca="false">$C1738+DIAS_POR_SEMANA-1</f>
        <v>46383</v>
      </c>
      <c r="E1738" s="15" t="s">
        <v>285</v>
      </c>
      <c r="F1738" s="8" t="str">
        <f aca="false">IFERROR(INDEX(CADASTRO_PIVOS!$C$6:$C$41,MATCH($E1738,CADASTRO_PIVOS!$B$6:$B$41,0)),"?")</f>
        <v>RM07</v>
      </c>
      <c r="G1738" s="8" t="str">
        <f aca="false">IFERROR(INDEX(CADASTRO_PIVOS!$D$6:$D$41,MATCH($E1738,CADASTRO_PIVOS!$B$6:$B$41,0)),"?")</f>
        <v>TR07</v>
      </c>
      <c r="H1738" s="20" t="n">
        <f aca="false">IFERROR(INDEX(CADASTRO_PIVOS!$E$6:$E$41,MATCH($E1738,CADASTRO_PIVOS!$B$6:$B$41,0)),0)</f>
        <v>149.94</v>
      </c>
      <c r="I1738" s="16" t="n">
        <f aca="false">IFERROR(SUMIFS(ROTACAO_RDM!$B$6:$B$71,ROTACAO_RDM!$D$6:$D$71,$E1738,ROTACAO_RDM!$I$6:$I$71,"&lt;="&amp;$C1738+INT(DIAS_POR_SEMANA/2),ROTACAO_RDM!$J$6:$J$71,"&gt;="&amp;$C1738+INT(DIAS_POR_SEMANA/2)),0)</f>
        <v>42</v>
      </c>
      <c r="J1738" s="16" t="n">
        <f aca="false">IFERROR(MATCH($I1738,ROTACAO_RDM!$B$6:$B$71,0),0)</f>
        <v>42</v>
      </c>
      <c r="K1738" s="8" t="str">
        <f aca="false">IF($J1738=0,"SEM CULTURA",INDEX(ROTACAO_RDM!$F$6:$F$71,$J1738))</f>
        <v>SOJA</v>
      </c>
      <c r="L1738" s="8" t="str">
        <f aca="false">IF($J1738=0,"",INDEX(ROTACAO_RDM!$G$6:$G$71,$J1738))</f>
        <v>NEO 761 I2X</v>
      </c>
      <c r="M1738" s="17" t="n">
        <f aca="false">IF($J1738=0,"",INDEX(ROTACAO_RDM!$I$6:$I$71,$J1738))</f>
        <v>46309</v>
      </c>
      <c r="N1738" s="16" t="n">
        <f aca="false">IF($J1738=0,0,MAX(0,$C1738+INT(DIAS_POR_SEMANA/2)-INDEX(ROTACAO_RDM!$I$6:$I$71,$J1738)))</f>
        <v>71</v>
      </c>
      <c r="O1738" s="19" t="n">
        <f aca="false">IF($J1738=0,0,MIN(1,$N1738/MAX(1,INDEX(ROTACAO_RDM!$K$6:$K$71,$J1738))))</f>
        <v>0.612068965517241</v>
      </c>
      <c r="P1738" s="16" t="n">
        <f aca="false">IF($J1738=0,0,IFERROR(MATCH(INDEX(ROTACAO_RDM!$N$6:$N$71,$J1738),PARAMETROS_CULTURAS!$B$6:$B$28,0),0))</f>
        <v>2</v>
      </c>
      <c r="Q1738" s="8" t="str">
        <f aca="false">IF($P1738=0,"-",IF($O1738&lt;=INDEX(PARAMETROS_CULTURAS!$F$6:$F$28,$P1738),"INICIAL",IF($O1738&lt;=INDEX(PARAMETROS_CULTURAS!$F$6:$F$28,$P1738)+INDEX(PARAMETROS_CULTURAS!$G$6:$G$28,$P1738),"DESENVOLVIMENTO",IF($O1738&lt;=INDEX(PARAMETROS_CULTURAS!$F$6:$F$28,$P1738)+INDEX(PARAMETROS_CULTURAS!$G$6:$G$28,$P1738)+INDEX(PARAMETROS_CULTURAS!$H$6:$H$28,$P1738),"MEDIA","FINAL"))))</f>
        <v>MEDIA</v>
      </c>
      <c r="R1738" s="24" t="n">
        <f aca="false">IF($P1738=0,0,IF($O1738&lt;=INDEX(PARAMETROS_CULTURAS!$F$6:$F$28,$P1738),INDEX(PARAMETROS_CULTURAS!$K$6:$K$28,$P1738),IF($O1738&lt;=INDEX(PARAMETROS_CULTURAS!$F$6:$F$28,$P1738)+INDEX(PARAMETROS_CULTURAS!$G$6:$G$28,$P1738),INDEX(PARAMETROS_CULTURAS!$K$6:$K$28,$P1738)+(INDEX(PARAMETROS_CULTURAS!$L$6:$L$28,$P1738)-INDEX(PARAMETROS_CULTURAS!$K$6:$K$28,$P1738))*($O1738-INDEX(PARAMETROS_CULTURAS!$F$6:$F$28,$P1738))/MAX(INDEX(PARAMETROS_CULTURAS!$G$6:$G$28,$P1738),0.0001),IF($O1738&lt;=INDEX(PARAMETROS_CULTURAS!$F$6:$F$28,$P1738)+INDEX(PARAMETROS_CULTURAS!$G$6:$G$28,$P1738)+INDEX(PARAMETROS_CULTURAS!$H$6:$H$28,$P1738),INDEX(PARAMETROS_CULTURAS!$L$6:$L$28,$P1738),INDEX(PARAMETROS_CULTURAS!$L$6:$L$28,$P1738)+(INDEX(PARAMETROS_CULTURAS!$M$6:$M$28,$P1738)-INDEX(PARAMETROS_CULTURAS!$L$6:$L$28,$P1738))*($O1738-INDEX(PARAMETROS_CULTURAS!$F$6:$F$28,$P1738)-INDEX(PARAMETROS_CULTURAS!$G$6:$G$28,$P1738)-INDEX(PARAMETROS_CULTURAS!$H$6:$H$28,$P1738))/MAX(INDEX(PARAMETROS_CULTURAS!$I$6:$I$28,$P1738),0.0001)))))</f>
        <v>1.15</v>
      </c>
      <c r="S1738" s="18" t="n">
        <f aca="false">IFERROR(INDEX(SEMANAS!$H$6:$H$71,MATCH($B1738,SEMANAS!$B$6:$B$71,0)),0)</f>
        <v>32.9</v>
      </c>
      <c r="T1738" s="18" t="n">
        <f aca="false">$R1738*$S1738</f>
        <v>37.835</v>
      </c>
      <c r="U1738" s="18" t="n">
        <f aca="false">IFERROR(INDEX(SEMANAS!$I$6:$I$71,MATCH($B1738,SEMANAS!$B$6:$B$71,0)),0)</f>
        <v>48.58</v>
      </c>
      <c r="V1738" s="18" t="n">
        <f aca="false">IFERROR(INDEX(SEMANAS!$J$6:$J$71,MATCH($B1738,SEMANAS!$B$6:$B$71,0)),0)</f>
        <v>38.864</v>
      </c>
      <c r="W1738" s="18" t="n">
        <f aca="false">MAX(0,$T1738-$V1738)</f>
        <v>0</v>
      </c>
      <c r="X1738" s="19" t="n">
        <f aca="false">IFERROR(INDEX(CADASTRO_PIVOS!$K$6:$K$41,MATCH($E1738,CADASTRO_PIVOS!$B$6:$B$41,0)),EFICIENCIA_PADRAO)</f>
        <v>0.85</v>
      </c>
      <c r="Y1738" s="18" t="n">
        <f aca="false">IF($X1738&lt;=0,0,$W1738/$X1738)</f>
        <v>0</v>
      </c>
      <c r="Z1738" s="16" t="n">
        <f aca="false">$Y1738*$H1738*MM_PARA_M3_HA</f>
        <v>0</v>
      </c>
      <c r="AA1738" s="18" t="n">
        <f aca="false">IFERROR(INDEX(CADASTRO_PIVOS!$I$6:$I$41,MATCH($E1738,CADASTRO_PIVOS!$B$6:$B$41,0)),0)</f>
        <v>1071</v>
      </c>
      <c r="AB1738" s="18" t="n">
        <f aca="false">IF($Z1738&lt;=0,0,$Z1738/$AA1738)</f>
        <v>0</v>
      </c>
      <c r="AC1738" s="16" t="n">
        <f aca="false">IFERROR(INDEX(SEMANAS!$K$6:$K$71,MATCH($B1738,SEMANAS!$B$6:$B$71,0)),0)</f>
        <v>147</v>
      </c>
      <c r="AD1738" s="19" t="n">
        <f aca="false">IF($AC1738&lt;=0,0,$AB1738/$AC1738)</f>
        <v>0</v>
      </c>
      <c r="AE1738" s="8" t="str">
        <f aca="false">IF($K1738="SEM CULTURA","SEM CULTURA",IF($AA1738&lt;=0,"DADO PENDENTE",IF($AD1738&gt;LIMITE_CRITICO,"INVIAVEL",IF($AD1738&gt;LIMITE_ATENCAO,"CRITICO",IF($AD1738&gt;LIMITE_CONFORTAVEL,"ATENCAO","OK")))))</f>
        <v>OK</v>
      </c>
      <c r="AF1738" s="8" t="str">
        <f aca="false">$B1738&amp;"|"&amp;TEXT($AD1738,"0.000000")</f>
        <v>17|0.000000</v>
      </c>
      <c r="AG1738" s="18" t="n">
        <f aca="false">IF($K1738="SEM CULTURA",0,$T1738*$H1738)</f>
        <v>5672.9799</v>
      </c>
      <c r="AH1738" s="18" t="n">
        <f aca="false">IF($K1738="SEM CULTURA",0,$V1738*$H1738)</f>
        <v>5827.26816</v>
      </c>
      <c r="AI1738" s="18" t="n">
        <f aca="false">IF($K1738="SEM CULTURA",0,$W1738*$H1738)</f>
        <v>0</v>
      </c>
      <c r="AJ1738" s="18" t="n">
        <f aca="false">IF($K1738="SEM CULTURA",0,$S1738*$H1738)</f>
        <v>4933.026</v>
      </c>
      <c r="AK1738" s="8" t="str">
        <f aca="false">$E1738&amp;"|"&amp;TEXT($AD1738,"0.000000")</f>
        <v>PV 123|0.000000</v>
      </c>
    </row>
    <row r="1739" customFormat="false" ht="15" hidden="false" customHeight="false" outlineLevel="0" collapsed="false">
      <c r="B1739" s="16" t="n">
        <v>18</v>
      </c>
      <c r="C1739" s="17" t="n">
        <f aca="false">DATA_INICIO_SAFRA+($B1739-1)*DIAS_POR_SEMANA</f>
        <v>46384</v>
      </c>
      <c r="D1739" s="17" t="n">
        <f aca="false">$C1739+DIAS_POR_SEMANA-1</f>
        <v>46390</v>
      </c>
      <c r="E1739" s="15" t="s">
        <v>285</v>
      </c>
      <c r="F1739" s="8" t="str">
        <f aca="false">IFERROR(INDEX(CADASTRO_PIVOS!$C$6:$C$41,MATCH($E1739,CADASTRO_PIVOS!$B$6:$B$41,0)),"?")</f>
        <v>RM07</v>
      </c>
      <c r="G1739" s="8" t="str">
        <f aca="false">IFERROR(INDEX(CADASTRO_PIVOS!$D$6:$D$41,MATCH($E1739,CADASTRO_PIVOS!$B$6:$B$41,0)),"?")</f>
        <v>TR07</v>
      </c>
      <c r="H1739" s="20" t="n">
        <f aca="false">IFERROR(INDEX(CADASTRO_PIVOS!$E$6:$E$41,MATCH($E1739,CADASTRO_PIVOS!$B$6:$B$41,0)),0)</f>
        <v>149.94</v>
      </c>
      <c r="I1739" s="16" t="n">
        <f aca="false">IFERROR(SUMIFS(ROTACAO_RDM!$B$6:$B$71,ROTACAO_RDM!$D$6:$D$71,$E1739,ROTACAO_RDM!$I$6:$I$71,"&lt;="&amp;$C1739+INT(DIAS_POR_SEMANA/2),ROTACAO_RDM!$J$6:$J$71,"&gt;="&amp;$C1739+INT(DIAS_POR_SEMANA/2)),0)</f>
        <v>42</v>
      </c>
      <c r="J1739" s="16" t="n">
        <f aca="false">IFERROR(MATCH($I1739,ROTACAO_RDM!$B$6:$B$71,0),0)</f>
        <v>42</v>
      </c>
      <c r="K1739" s="8" t="str">
        <f aca="false">IF($J1739=0,"SEM CULTURA",INDEX(ROTACAO_RDM!$F$6:$F$71,$J1739))</f>
        <v>SOJA</v>
      </c>
      <c r="L1739" s="8" t="str">
        <f aca="false">IF($J1739=0,"",INDEX(ROTACAO_RDM!$G$6:$G$71,$J1739))</f>
        <v>NEO 761 I2X</v>
      </c>
      <c r="M1739" s="17" t="n">
        <f aca="false">IF($J1739=0,"",INDEX(ROTACAO_RDM!$I$6:$I$71,$J1739))</f>
        <v>46309</v>
      </c>
      <c r="N1739" s="16" t="n">
        <f aca="false">IF($J1739=0,0,MAX(0,$C1739+INT(DIAS_POR_SEMANA/2)-INDEX(ROTACAO_RDM!$I$6:$I$71,$J1739)))</f>
        <v>78</v>
      </c>
      <c r="O1739" s="19" t="n">
        <f aca="false">IF($J1739=0,0,MIN(1,$N1739/MAX(1,INDEX(ROTACAO_RDM!$K$6:$K$71,$J1739))))</f>
        <v>0.672413793103448</v>
      </c>
      <c r="P1739" s="16" t="n">
        <f aca="false">IF($J1739=0,0,IFERROR(MATCH(INDEX(ROTACAO_RDM!$N$6:$N$71,$J1739),PARAMETROS_CULTURAS!$B$6:$B$28,0),0))</f>
        <v>2</v>
      </c>
      <c r="Q1739" s="8" t="str">
        <f aca="false">IF($P1739=0,"-",IF($O1739&lt;=INDEX(PARAMETROS_CULTURAS!$F$6:$F$28,$P1739),"INICIAL",IF($O1739&lt;=INDEX(PARAMETROS_CULTURAS!$F$6:$F$28,$P1739)+INDEX(PARAMETROS_CULTURAS!$G$6:$G$28,$P1739),"DESENVOLVIMENTO",IF($O1739&lt;=INDEX(PARAMETROS_CULTURAS!$F$6:$F$28,$P1739)+INDEX(PARAMETROS_CULTURAS!$G$6:$G$28,$P1739)+INDEX(PARAMETROS_CULTURAS!$H$6:$H$28,$P1739),"MEDIA","FINAL"))))</f>
        <v>MEDIA</v>
      </c>
      <c r="R1739" s="24" t="n">
        <f aca="false">IF($P1739=0,0,IF($O1739&lt;=INDEX(PARAMETROS_CULTURAS!$F$6:$F$28,$P1739),INDEX(PARAMETROS_CULTURAS!$K$6:$K$28,$P1739),IF($O1739&lt;=INDEX(PARAMETROS_CULTURAS!$F$6:$F$28,$P1739)+INDEX(PARAMETROS_CULTURAS!$G$6:$G$28,$P1739),INDEX(PARAMETROS_CULTURAS!$K$6:$K$28,$P1739)+(INDEX(PARAMETROS_CULTURAS!$L$6:$L$28,$P1739)-INDEX(PARAMETROS_CULTURAS!$K$6:$K$28,$P1739))*($O1739-INDEX(PARAMETROS_CULTURAS!$F$6:$F$28,$P1739))/MAX(INDEX(PARAMETROS_CULTURAS!$G$6:$G$28,$P1739),0.0001),IF($O1739&lt;=INDEX(PARAMETROS_CULTURAS!$F$6:$F$28,$P1739)+INDEX(PARAMETROS_CULTURAS!$G$6:$G$28,$P1739)+INDEX(PARAMETROS_CULTURAS!$H$6:$H$28,$P1739),INDEX(PARAMETROS_CULTURAS!$L$6:$L$28,$P1739),INDEX(PARAMETROS_CULTURAS!$L$6:$L$28,$P1739)+(INDEX(PARAMETROS_CULTURAS!$M$6:$M$28,$P1739)-INDEX(PARAMETROS_CULTURAS!$L$6:$L$28,$P1739))*($O1739-INDEX(PARAMETROS_CULTURAS!$F$6:$F$28,$P1739)-INDEX(PARAMETROS_CULTURAS!$G$6:$G$28,$P1739)-INDEX(PARAMETROS_CULTURAS!$H$6:$H$28,$P1739))/MAX(INDEX(PARAMETROS_CULTURAS!$I$6:$I$28,$P1739),0.0001)))))</f>
        <v>1.15</v>
      </c>
      <c r="S1739" s="18" t="n">
        <f aca="false">IFERROR(INDEX(SEMANAS!$H$6:$H$71,MATCH($B1739,SEMANAS!$B$6:$B$71,0)),0)</f>
        <v>33.2</v>
      </c>
      <c r="T1739" s="18" t="n">
        <f aca="false">$R1739*$S1739</f>
        <v>38.18</v>
      </c>
      <c r="U1739" s="18" t="n">
        <f aca="false">IFERROR(INDEX(SEMANAS!$I$6:$I$71,MATCH($B1739,SEMANAS!$B$6:$B$71,0)),0)</f>
        <v>47.11</v>
      </c>
      <c r="V1739" s="18" t="n">
        <f aca="false">IFERROR(INDEX(SEMANAS!$J$6:$J$71,MATCH($B1739,SEMANAS!$B$6:$B$71,0)),0)</f>
        <v>37.688</v>
      </c>
      <c r="W1739" s="18" t="n">
        <f aca="false">MAX(0,$T1739-$V1739)</f>
        <v>0.491999999999997</v>
      </c>
      <c r="X1739" s="19" t="n">
        <f aca="false">IFERROR(INDEX(CADASTRO_PIVOS!$K$6:$K$41,MATCH($E1739,CADASTRO_PIVOS!$B$6:$B$41,0)),EFICIENCIA_PADRAO)</f>
        <v>0.85</v>
      </c>
      <c r="Y1739" s="18" t="n">
        <f aca="false">IF($X1739&lt;=0,0,$W1739/$X1739)</f>
        <v>0.578823529411762</v>
      </c>
      <c r="Z1739" s="16" t="n">
        <f aca="false">$Y1739*$H1739*MM_PARA_M3_HA</f>
        <v>867.887999999995</v>
      </c>
      <c r="AA1739" s="18" t="n">
        <f aca="false">IFERROR(INDEX(CADASTRO_PIVOS!$I$6:$I$41,MATCH($E1739,CADASTRO_PIVOS!$B$6:$B$41,0)),0)</f>
        <v>1071</v>
      </c>
      <c r="AB1739" s="18" t="n">
        <f aca="false">IF($Z1739&lt;=0,0,$Z1739/$AA1739)</f>
        <v>0.810352941176466</v>
      </c>
      <c r="AC1739" s="16" t="n">
        <f aca="false">IFERROR(INDEX(SEMANAS!$K$6:$K$71,MATCH($B1739,SEMANAS!$B$6:$B$71,0)),0)</f>
        <v>147</v>
      </c>
      <c r="AD1739" s="19" t="n">
        <f aca="false">IF($AC1739&lt;=0,0,$AB1739/$AC1739)</f>
        <v>0.00551260504201678</v>
      </c>
      <c r="AE1739" s="8" t="str">
        <f aca="false">IF($K1739="SEM CULTURA","SEM CULTURA",IF($AA1739&lt;=0,"DADO PENDENTE",IF($AD1739&gt;LIMITE_CRITICO,"INVIAVEL",IF($AD1739&gt;LIMITE_ATENCAO,"CRITICO",IF($AD1739&gt;LIMITE_CONFORTAVEL,"ATENCAO","OK")))))</f>
        <v>OK</v>
      </c>
      <c r="AF1739" s="8" t="str">
        <f aca="false">$B1739&amp;"|"&amp;TEXT($AD1739,"0.000000")</f>
        <v>18|0.005513</v>
      </c>
      <c r="AG1739" s="18" t="n">
        <f aca="false">IF($K1739="SEM CULTURA",0,$T1739*$H1739)</f>
        <v>5724.7092</v>
      </c>
      <c r="AH1739" s="18" t="n">
        <f aca="false">IF($K1739="SEM CULTURA",0,$V1739*$H1739)</f>
        <v>5650.93872</v>
      </c>
      <c r="AI1739" s="18" t="n">
        <f aca="false">IF($K1739="SEM CULTURA",0,$W1739*$H1739)</f>
        <v>73.7704799999996</v>
      </c>
      <c r="AJ1739" s="18" t="n">
        <f aca="false">IF($K1739="SEM CULTURA",0,$S1739*$H1739)</f>
        <v>4978.008</v>
      </c>
      <c r="AK1739" s="8" t="str">
        <f aca="false">$E1739&amp;"|"&amp;TEXT($AD1739,"0.000000")</f>
        <v>PV 123|0.005513</v>
      </c>
    </row>
    <row r="1740" customFormat="false" ht="15" hidden="false" customHeight="false" outlineLevel="0" collapsed="false">
      <c r="B1740" s="16" t="n">
        <v>19</v>
      </c>
      <c r="C1740" s="17" t="n">
        <f aca="false">DATA_INICIO_SAFRA+($B1740-1)*DIAS_POR_SEMANA</f>
        <v>46391</v>
      </c>
      <c r="D1740" s="17" t="n">
        <f aca="false">$C1740+DIAS_POR_SEMANA-1</f>
        <v>46397</v>
      </c>
      <c r="E1740" s="15" t="s">
        <v>285</v>
      </c>
      <c r="F1740" s="8" t="str">
        <f aca="false">IFERROR(INDEX(CADASTRO_PIVOS!$C$6:$C$41,MATCH($E1740,CADASTRO_PIVOS!$B$6:$B$41,0)),"?")</f>
        <v>RM07</v>
      </c>
      <c r="G1740" s="8" t="str">
        <f aca="false">IFERROR(INDEX(CADASTRO_PIVOS!$D$6:$D$41,MATCH($E1740,CADASTRO_PIVOS!$B$6:$B$41,0)),"?")</f>
        <v>TR07</v>
      </c>
      <c r="H1740" s="20" t="n">
        <f aca="false">IFERROR(INDEX(CADASTRO_PIVOS!$E$6:$E$41,MATCH($E1740,CADASTRO_PIVOS!$B$6:$B$41,0)),0)</f>
        <v>149.94</v>
      </c>
      <c r="I1740" s="16" t="n">
        <f aca="false">IFERROR(SUMIFS(ROTACAO_RDM!$B$6:$B$71,ROTACAO_RDM!$D$6:$D$71,$E1740,ROTACAO_RDM!$I$6:$I$71,"&lt;="&amp;$C1740+INT(DIAS_POR_SEMANA/2),ROTACAO_RDM!$J$6:$J$71,"&gt;="&amp;$C1740+INT(DIAS_POR_SEMANA/2)),0)</f>
        <v>42</v>
      </c>
      <c r="J1740" s="16" t="n">
        <f aca="false">IFERROR(MATCH($I1740,ROTACAO_RDM!$B$6:$B$71,0),0)</f>
        <v>42</v>
      </c>
      <c r="K1740" s="8" t="str">
        <f aca="false">IF($J1740=0,"SEM CULTURA",INDEX(ROTACAO_RDM!$F$6:$F$71,$J1740))</f>
        <v>SOJA</v>
      </c>
      <c r="L1740" s="8" t="str">
        <f aca="false">IF($J1740=0,"",INDEX(ROTACAO_RDM!$G$6:$G$71,$J1740))</f>
        <v>NEO 761 I2X</v>
      </c>
      <c r="M1740" s="17" t="n">
        <f aca="false">IF($J1740=0,"",INDEX(ROTACAO_RDM!$I$6:$I$71,$J1740))</f>
        <v>46309</v>
      </c>
      <c r="N1740" s="16" t="n">
        <f aca="false">IF($J1740=0,0,MAX(0,$C1740+INT(DIAS_POR_SEMANA/2)-INDEX(ROTACAO_RDM!$I$6:$I$71,$J1740)))</f>
        <v>85</v>
      </c>
      <c r="O1740" s="19" t="n">
        <f aca="false">IF($J1740=0,0,MIN(1,$N1740/MAX(1,INDEX(ROTACAO_RDM!$K$6:$K$71,$J1740))))</f>
        <v>0.732758620689655</v>
      </c>
      <c r="P1740" s="16" t="n">
        <f aca="false">IF($J1740=0,0,IFERROR(MATCH(INDEX(ROTACAO_RDM!$N$6:$N$71,$J1740),PARAMETROS_CULTURAS!$B$6:$B$28,0),0))</f>
        <v>2</v>
      </c>
      <c r="Q1740" s="8" t="str">
        <f aca="false">IF($P1740=0,"-",IF($O1740&lt;=INDEX(PARAMETROS_CULTURAS!$F$6:$F$28,$P1740),"INICIAL",IF($O1740&lt;=INDEX(PARAMETROS_CULTURAS!$F$6:$F$28,$P1740)+INDEX(PARAMETROS_CULTURAS!$G$6:$G$28,$P1740),"DESENVOLVIMENTO",IF($O1740&lt;=INDEX(PARAMETROS_CULTURAS!$F$6:$F$28,$P1740)+INDEX(PARAMETROS_CULTURAS!$G$6:$G$28,$P1740)+INDEX(PARAMETROS_CULTURAS!$H$6:$H$28,$P1740),"MEDIA","FINAL"))))</f>
        <v>MEDIA</v>
      </c>
      <c r="R1740" s="24" t="n">
        <f aca="false">IF($P1740=0,0,IF($O1740&lt;=INDEX(PARAMETROS_CULTURAS!$F$6:$F$28,$P1740),INDEX(PARAMETROS_CULTURAS!$K$6:$K$28,$P1740),IF($O1740&lt;=INDEX(PARAMETROS_CULTURAS!$F$6:$F$28,$P1740)+INDEX(PARAMETROS_CULTURAS!$G$6:$G$28,$P1740),INDEX(PARAMETROS_CULTURAS!$K$6:$K$28,$P1740)+(INDEX(PARAMETROS_CULTURAS!$L$6:$L$28,$P1740)-INDEX(PARAMETROS_CULTURAS!$K$6:$K$28,$P1740))*($O1740-INDEX(PARAMETROS_CULTURAS!$F$6:$F$28,$P1740))/MAX(INDEX(PARAMETROS_CULTURAS!$G$6:$G$28,$P1740),0.0001),IF($O1740&lt;=INDEX(PARAMETROS_CULTURAS!$F$6:$F$28,$P1740)+INDEX(PARAMETROS_CULTURAS!$G$6:$G$28,$P1740)+INDEX(PARAMETROS_CULTURAS!$H$6:$H$28,$P1740),INDEX(PARAMETROS_CULTURAS!$L$6:$L$28,$P1740),INDEX(PARAMETROS_CULTURAS!$L$6:$L$28,$P1740)+(INDEX(PARAMETROS_CULTURAS!$M$6:$M$28,$P1740)-INDEX(PARAMETROS_CULTURAS!$L$6:$L$28,$P1740))*($O1740-INDEX(PARAMETROS_CULTURAS!$F$6:$F$28,$P1740)-INDEX(PARAMETROS_CULTURAS!$G$6:$G$28,$P1740)-INDEX(PARAMETROS_CULTURAS!$H$6:$H$28,$P1740))/MAX(INDEX(PARAMETROS_CULTURAS!$I$6:$I$28,$P1740),0.0001)))))</f>
        <v>1.15</v>
      </c>
      <c r="S1740" s="18" t="n">
        <f aca="false">IFERROR(INDEX(SEMANAS!$H$6:$H$71,MATCH($B1740,SEMANAS!$B$6:$B$71,0)),0)</f>
        <v>33.6</v>
      </c>
      <c r="T1740" s="18" t="n">
        <f aca="false">$R1740*$S1740</f>
        <v>38.64</v>
      </c>
      <c r="U1740" s="18" t="n">
        <f aca="false">IFERROR(INDEX(SEMANAS!$I$6:$I$71,MATCH($B1740,SEMANAS!$B$6:$B$71,0)),0)</f>
        <v>45.15</v>
      </c>
      <c r="V1740" s="18" t="n">
        <f aca="false">IFERROR(INDEX(SEMANAS!$J$6:$J$71,MATCH($B1740,SEMANAS!$B$6:$B$71,0)),0)</f>
        <v>36.12</v>
      </c>
      <c r="W1740" s="18" t="n">
        <f aca="false">MAX(0,$T1740-$V1740)</f>
        <v>2.52</v>
      </c>
      <c r="X1740" s="19" t="n">
        <f aca="false">IFERROR(INDEX(CADASTRO_PIVOS!$K$6:$K$41,MATCH($E1740,CADASTRO_PIVOS!$B$6:$B$41,0)),EFICIENCIA_PADRAO)</f>
        <v>0.85</v>
      </c>
      <c r="Y1740" s="18" t="n">
        <f aca="false">IF($X1740&lt;=0,0,$W1740/$X1740)</f>
        <v>2.96470588235294</v>
      </c>
      <c r="Z1740" s="16" t="n">
        <f aca="false">$Y1740*$H1740*MM_PARA_M3_HA</f>
        <v>4445.27999999999</v>
      </c>
      <c r="AA1740" s="18" t="n">
        <f aca="false">IFERROR(INDEX(CADASTRO_PIVOS!$I$6:$I$41,MATCH($E1740,CADASTRO_PIVOS!$B$6:$B$41,0)),0)</f>
        <v>1071</v>
      </c>
      <c r="AB1740" s="18" t="n">
        <f aca="false">IF($Z1740&lt;=0,0,$Z1740/$AA1740)</f>
        <v>4.15058823529411</v>
      </c>
      <c r="AC1740" s="16" t="n">
        <f aca="false">IFERROR(INDEX(SEMANAS!$K$6:$K$71,MATCH($B1740,SEMANAS!$B$6:$B$71,0)),0)</f>
        <v>147</v>
      </c>
      <c r="AD1740" s="19" t="n">
        <f aca="false">IF($AC1740&lt;=0,0,$AB1740/$AC1740)</f>
        <v>0.028235294117647</v>
      </c>
      <c r="AE1740" s="8" t="str">
        <f aca="false">IF($K1740="SEM CULTURA","SEM CULTURA",IF($AA1740&lt;=0,"DADO PENDENTE",IF($AD1740&gt;LIMITE_CRITICO,"INVIAVEL",IF($AD1740&gt;LIMITE_ATENCAO,"CRITICO",IF($AD1740&gt;LIMITE_CONFORTAVEL,"ATENCAO","OK")))))</f>
        <v>OK</v>
      </c>
      <c r="AF1740" s="8" t="str">
        <f aca="false">$B1740&amp;"|"&amp;TEXT($AD1740,"0.000000")</f>
        <v>19|0.028235</v>
      </c>
      <c r="AG1740" s="18" t="n">
        <f aca="false">IF($K1740="SEM CULTURA",0,$T1740*$H1740)</f>
        <v>5793.6816</v>
      </c>
      <c r="AH1740" s="18" t="n">
        <f aca="false">IF($K1740="SEM CULTURA",0,$V1740*$H1740)</f>
        <v>5415.8328</v>
      </c>
      <c r="AI1740" s="18" t="n">
        <f aca="false">IF($K1740="SEM CULTURA",0,$W1740*$H1740)</f>
        <v>377.848799999999</v>
      </c>
      <c r="AJ1740" s="18" t="n">
        <f aca="false">IF($K1740="SEM CULTURA",0,$S1740*$H1740)</f>
        <v>5037.984</v>
      </c>
      <c r="AK1740" s="8" t="str">
        <f aca="false">$E1740&amp;"|"&amp;TEXT($AD1740,"0.000000")</f>
        <v>PV 123|0.028235</v>
      </c>
    </row>
    <row r="1741" customFormat="false" ht="15" hidden="false" customHeight="false" outlineLevel="0" collapsed="false">
      <c r="B1741" s="16" t="n">
        <v>20</v>
      </c>
      <c r="C1741" s="17" t="n">
        <f aca="false">DATA_INICIO_SAFRA+($B1741-1)*DIAS_POR_SEMANA</f>
        <v>46398</v>
      </c>
      <c r="D1741" s="17" t="n">
        <f aca="false">$C1741+DIAS_POR_SEMANA-1</f>
        <v>46404</v>
      </c>
      <c r="E1741" s="15" t="s">
        <v>285</v>
      </c>
      <c r="F1741" s="8" t="str">
        <f aca="false">IFERROR(INDEX(CADASTRO_PIVOS!$C$6:$C$41,MATCH($E1741,CADASTRO_PIVOS!$B$6:$B$41,0)),"?")</f>
        <v>RM07</v>
      </c>
      <c r="G1741" s="8" t="str">
        <f aca="false">IFERROR(INDEX(CADASTRO_PIVOS!$D$6:$D$41,MATCH($E1741,CADASTRO_PIVOS!$B$6:$B$41,0)),"?")</f>
        <v>TR07</v>
      </c>
      <c r="H1741" s="20" t="n">
        <f aca="false">IFERROR(INDEX(CADASTRO_PIVOS!$E$6:$E$41,MATCH($E1741,CADASTRO_PIVOS!$B$6:$B$41,0)),0)</f>
        <v>149.94</v>
      </c>
      <c r="I1741" s="16" t="n">
        <f aca="false">IFERROR(SUMIFS(ROTACAO_RDM!$B$6:$B$71,ROTACAO_RDM!$D$6:$D$71,$E1741,ROTACAO_RDM!$I$6:$I$71,"&lt;="&amp;$C1741+INT(DIAS_POR_SEMANA/2),ROTACAO_RDM!$J$6:$J$71,"&gt;="&amp;$C1741+INT(DIAS_POR_SEMANA/2)),0)</f>
        <v>42</v>
      </c>
      <c r="J1741" s="16" t="n">
        <f aca="false">IFERROR(MATCH($I1741,ROTACAO_RDM!$B$6:$B$71,0),0)</f>
        <v>42</v>
      </c>
      <c r="K1741" s="8" t="str">
        <f aca="false">IF($J1741=0,"SEM CULTURA",INDEX(ROTACAO_RDM!$F$6:$F$71,$J1741))</f>
        <v>SOJA</v>
      </c>
      <c r="L1741" s="8" t="str">
        <f aca="false">IF($J1741=0,"",INDEX(ROTACAO_RDM!$G$6:$G$71,$J1741))</f>
        <v>NEO 761 I2X</v>
      </c>
      <c r="M1741" s="17" t="n">
        <f aca="false">IF($J1741=0,"",INDEX(ROTACAO_RDM!$I$6:$I$71,$J1741))</f>
        <v>46309</v>
      </c>
      <c r="N1741" s="16" t="n">
        <f aca="false">IF($J1741=0,0,MAX(0,$C1741+INT(DIAS_POR_SEMANA/2)-INDEX(ROTACAO_RDM!$I$6:$I$71,$J1741)))</f>
        <v>92</v>
      </c>
      <c r="O1741" s="19" t="n">
        <f aca="false">IF($J1741=0,0,MIN(1,$N1741/MAX(1,INDEX(ROTACAO_RDM!$K$6:$K$71,$J1741))))</f>
        <v>0.793103448275862</v>
      </c>
      <c r="P1741" s="16" t="n">
        <f aca="false">IF($J1741=0,0,IFERROR(MATCH(INDEX(ROTACAO_RDM!$N$6:$N$71,$J1741),PARAMETROS_CULTURAS!$B$6:$B$28,0),0))</f>
        <v>2</v>
      </c>
      <c r="Q1741" s="8" t="str">
        <f aca="false">IF($P1741=0,"-",IF($O1741&lt;=INDEX(PARAMETROS_CULTURAS!$F$6:$F$28,$P1741),"INICIAL",IF($O1741&lt;=INDEX(PARAMETROS_CULTURAS!$F$6:$F$28,$P1741)+INDEX(PARAMETROS_CULTURAS!$G$6:$G$28,$P1741),"DESENVOLVIMENTO",IF($O1741&lt;=INDEX(PARAMETROS_CULTURAS!$F$6:$F$28,$P1741)+INDEX(PARAMETROS_CULTURAS!$G$6:$G$28,$P1741)+INDEX(PARAMETROS_CULTURAS!$H$6:$H$28,$P1741),"MEDIA","FINAL"))))</f>
        <v>MEDIA</v>
      </c>
      <c r="R1741" s="24" t="n">
        <f aca="false">IF($P1741=0,0,IF($O1741&lt;=INDEX(PARAMETROS_CULTURAS!$F$6:$F$28,$P1741),INDEX(PARAMETROS_CULTURAS!$K$6:$K$28,$P1741),IF($O1741&lt;=INDEX(PARAMETROS_CULTURAS!$F$6:$F$28,$P1741)+INDEX(PARAMETROS_CULTURAS!$G$6:$G$28,$P1741),INDEX(PARAMETROS_CULTURAS!$K$6:$K$28,$P1741)+(INDEX(PARAMETROS_CULTURAS!$L$6:$L$28,$P1741)-INDEX(PARAMETROS_CULTURAS!$K$6:$K$28,$P1741))*($O1741-INDEX(PARAMETROS_CULTURAS!$F$6:$F$28,$P1741))/MAX(INDEX(PARAMETROS_CULTURAS!$G$6:$G$28,$P1741),0.0001),IF($O1741&lt;=INDEX(PARAMETROS_CULTURAS!$F$6:$F$28,$P1741)+INDEX(PARAMETROS_CULTURAS!$G$6:$G$28,$P1741)+INDEX(PARAMETROS_CULTURAS!$H$6:$H$28,$P1741),INDEX(PARAMETROS_CULTURAS!$L$6:$L$28,$P1741),INDEX(PARAMETROS_CULTURAS!$L$6:$L$28,$P1741)+(INDEX(PARAMETROS_CULTURAS!$M$6:$M$28,$P1741)-INDEX(PARAMETROS_CULTURAS!$L$6:$L$28,$P1741))*($O1741-INDEX(PARAMETROS_CULTURAS!$F$6:$F$28,$P1741)-INDEX(PARAMETROS_CULTURAS!$G$6:$G$28,$P1741)-INDEX(PARAMETROS_CULTURAS!$H$6:$H$28,$P1741))/MAX(INDEX(PARAMETROS_CULTURAS!$I$6:$I$28,$P1741),0.0001)))))</f>
        <v>1.15</v>
      </c>
      <c r="S1741" s="18" t="n">
        <f aca="false">IFERROR(INDEX(SEMANAS!$H$6:$H$71,MATCH($B1741,SEMANAS!$B$6:$B$71,0)),0)</f>
        <v>33.6</v>
      </c>
      <c r="T1741" s="18" t="n">
        <f aca="false">$R1741*$S1741</f>
        <v>38.64</v>
      </c>
      <c r="U1741" s="18" t="n">
        <f aca="false">IFERROR(INDEX(SEMANAS!$I$6:$I$71,MATCH($B1741,SEMANAS!$B$6:$B$71,0)),0)</f>
        <v>45.15</v>
      </c>
      <c r="V1741" s="18" t="n">
        <f aca="false">IFERROR(INDEX(SEMANAS!$J$6:$J$71,MATCH($B1741,SEMANAS!$B$6:$B$71,0)),0)</f>
        <v>36.12</v>
      </c>
      <c r="W1741" s="18" t="n">
        <f aca="false">MAX(0,$T1741-$V1741)</f>
        <v>2.52</v>
      </c>
      <c r="X1741" s="19" t="n">
        <f aca="false">IFERROR(INDEX(CADASTRO_PIVOS!$K$6:$K$41,MATCH($E1741,CADASTRO_PIVOS!$B$6:$B$41,0)),EFICIENCIA_PADRAO)</f>
        <v>0.85</v>
      </c>
      <c r="Y1741" s="18" t="n">
        <f aca="false">IF($X1741&lt;=0,0,$W1741/$X1741)</f>
        <v>2.96470588235294</v>
      </c>
      <c r="Z1741" s="16" t="n">
        <f aca="false">$Y1741*$H1741*MM_PARA_M3_HA</f>
        <v>4445.27999999999</v>
      </c>
      <c r="AA1741" s="18" t="n">
        <f aca="false">IFERROR(INDEX(CADASTRO_PIVOS!$I$6:$I$41,MATCH($E1741,CADASTRO_PIVOS!$B$6:$B$41,0)),0)</f>
        <v>1071</v>
      </c>
      <c r="AB1741" s="18" t="n">
        <f aca="false">IF($Z1741&lt;=0,0,$Z1741/$AA1741)</f>
        <v>4.15058823529411</v>
      </c>
      <c r="AC1741" s="16" t="n">
        <f aca="false">IFERROR(INDEX(SEMANAS!$K$6:$K$71,MATCH($B1741,SEMANAS!$B$6:$B$71,0)),0)</f>
        <v>147</v>
      </c>
      <c r="AD1741" s="19" t="n">
        <f aca="false">IF($AC1741&lt;=0,0,$AB1741/$AC1741)</f>
        <v>0.028235294117647</v>
      </c>
      <c r="AE1741" s="8" t="str">
        <f aca="false">IF($K1741="SEM CULTURA","SEM CULTURA",IF($AA1741&lt;=0,"DADO PENDENTE",IF($AD1741&gt;LIMITE_CRITICO,"INVIAVEL",IF($AD1741&gt;LIMITE_ATENCAO,"CRITICO",IF($AD1741&gt;LIMITE_CONFORTAVEL,"ATENCAO","OK")))))</f>
        <v>OK</v>
      </c>
      <c r="AF1741" s="8" t="str">
        <f aca="false">$B1741&amp;"|"&amp;TEXT($AD1741,"0.000000")</f>
        <v>20|0.028235</v>
      </c>
      <c r="AG1741" s="18" t="n">
        <f aca="false">IF($K1741="SEM CULTURA",0,$T1741*$H1741)</f>
        <v>5793.6816</v>
      </c>
      <c r="AH1741" s="18" t="n">
        <f aca="false">IF($K1741="SEM CULTURA",0,$V1741*$H1741)</f>
        <v>5415.8328</v>
      </c>
      <c r="AI1741" s="18" t="n">
        <f aca="false">IF($K1741="SEM CULTURA",0,$W1741*$H1741)</f>
        <v>377.848799999999</v>
      </c>
      <c r="AJ1741" s="18" t="n">
        <f aca="false">IF($K1741="SEM CULTURA",0,$S1741*$H1741)</f>
        <v>5037.984</v>
      </c>
      <c r="AK1741" s="8" t="str">
        <f aca="false">$E1741&amp;"|"&amp;TEXT($AD1741,"0.000000")</f>
        <v>PV 123|0.028235</v>
      </c>
    </row>
    <row r="1742" customFormat="false" ht="15" hidden="false" customHeight="false" outlineLevel="0" collapsed="false">
      <c r="B1742" s="16" t="n">
        <v>21</v>
      </c>
      <c r="C1742" s="17" t="n">
        <f aca="false">DATA_INICIO_SAFRA+($B1742-1)*DIAS_POR_SEMANA</f>
        <v>46405</v>
      </c>
      <c r="D1742" s="17" t="n">
        <f aca="false">$C1742+DIAS_POR_SEMANA-1</f>
        <v>46411</v>
      </c>
      <c r="E1742" s="15" t="s">
        <v>285</v>
      </c>
      <c r="F1742" s="8" t="str">
        <f aca="false">IFERROR(INDEX(CADASTRO_PIVOS!$C$6:$C$41,MATCH($E1742,CADASTRO_PIVOS!$B$6:$B$41,0)),"?")</f>
        <v>RM07</v>
      </c>
      <c r="G1742" s="8" t="str">
        <f aca="false">IFERROR(INDEX(CADASTRO_PIVOS!$D$6:$D$41,MATCH($E1742,CADASTRO_PIVOS!$B$6:$B$41,0)),"?")</f>
        <v>TR07</v>
      </c>
      <c r="H1742" s="20" t="n">
        <f aca="false">IFERROR(INDEX(CADASTRO_PIVOS!$E$6:$E$41,MATCH($E1742,CADASTRO_PIVOS!$B$6:$B$41,0)),0)</f>
        <v>149.94</v>
      </c>
      <c r="I1742" s="16" t="n">
        <f aca="false">IFERROR(SUMIFS(ROTACAO_RDM!$B$6:$B$71,ROTACAO_RDM!$D$6:$D$71,$E1742,ROTACAO_RDM!$I$6:$I$71,"&lt;="&amp;$C1742+INT(DIAS_POR_SEMANA/2),ROTACAO_RDM!$J$6:$J$71,"&gt;="&amp;$C1742+INT(DIAS_POR_SEMANA/2)),0)</f>
        <v>42</v>
      </c>
      <c r="J1742" s="16" t="n">
        <f aca="false">IFERROR(MATCH($I1742,ROTACAO_RDM!$B$6:$B$71,0),0)</f>
        <v>42</v>
      </c>
      <c r="K1742" s="8" t="str">
        <f aca="false">IF($J1742=0,"SEM CULTURA",INDEX(ROTACAO_RDM!$F$6:$F$71,$J1742))</f>
        <v>SOJA</v>
      </c>
      <c r="L1742" s="8" t="str">
        <f aca="false">IF($J1742=0,"",INDEX(ROTACAO_RDM!$G$6:$G$71,$J1742))</f>
        <v>NEO 761 I2X</v>
      </c>
      <c r="M1742" s="17" t="n">
        <f aca="false">IF($J1742=0,"",INDEX(ROTACAO_RDM!$I$6:$I$71,$J1742))</f>
        <v>46309</v>
      </c>
      <c r="N1742" s="16" t="n">
        <f aca="false">IF($J1742=0,0,MAX(0,$C1742+INT(DIAS_POR_SEMANA/2)-INDEX(ROTACAO_RDM!$I$6:$I$71,$J1742)))</f>
        <v>99</v>
      </c>
      <c r="O1742" s="19" t="n">
        <f aca="false">IF($J1742=0,0,MIN(1,$N1742/MAX(1,INDEX(ROTACAO_RDM!$K$6:$K$71,$J1742))))</f>
        <v>0.853448275862069</v>
      </c>
      <c r="P1742" s="16" t="n">
        <f aca="false">IF($J1742=0,0,IFERROR(MATCH(INDEX(ROTACAO_RDM!$N$6:$N$71,$J1742),PARAMETROS_CULTURAS!$B$6:$B$28,0),0))</f>
        <v>2</v>
      </c>
      <c r="Q1742" s="8" t="str">
        <f aca="false">IF($P1742=0,"-",IF($O1742&lt;=INDEX(PARAMETROS_CULTURAS!$F$6:$F$28,$P1742),"INICIAL",IF($O1742&lt;=INDEX(PARAMETROS_CULTURAS!$F$6:$F$28,$P1742)+INDEX(PARAMETROS_CULTURAS!$G$6:$G$28,$P1742),"DESENVOLVIMENTO",IF($O1742&lt;=INDEX(PARAMETROS_CULTURAS!$F$6:$F$28,$P1742)+INDEX(PARAMETROS_CULTURAS!$G$6:$G$28,$P1742)+INDEX(PARAMETROS_CULTURAS!$H$6:$H$28,$P1742),"MEDIA","FINAL"))))</f>
        <v>FINAL</v>
      </c>
      <c r="R1742" s="24" t="n">
        <f aca="false">IF($P1742=0,0,IF($O1742&lt;=INDEX(PARAMETROS_CULTURAS!$F$6:$F$28,$P1742),INDEX(PARAMETROS_CULTURAS!$K$6:$K$28,$P1742),IF($O1742&lt;=INDEX(PARAMETROS_CULTURAS!$F$6:$F$28,$P1742)+INDEX(PARAMETROS_CULTURAS!$G$6:$G$28,$P1742),INDEX(PARAMETROS_CULTURAS!$K$6:$K$28,$P1742)+(INDEX(PARAMETROS_CULTURAS!$L$6:$L$28,$P1742)-INDEX(PARAMETROS_CULTURAS!$K$6:$K$28,$P1742))*($O1742-INDEX(PARAMETROS_CULTURAS!$F$6:$F$28,$P1742))/MAX(INDEX(PARAMETROS_CULTURAS!$G$6:$G$28,$P1742),0.0001),IF($O1742&lt;=INDEX(PARAMETROS_CULTURAS!$F$6:$F$28,$P1742)+INDEX(PARAMETROS_CULTURAS!$G$6:$G$28,$P1742)+INDEX(PARAMETROS_CULTURAS!$H$6:$H$28,$P1742),INDEX(PARAMETROS_CULTURAS!$L$6:$L$28,$P1742),INDEX(PARAMETROS_CULTURAS!$L$6:$L$28,$P1742)+(INDEX(PARAMETROS_CULTURAS!$M$6:$M$28,$P1742)-INDEX(PARAMETROS_CULTURAS!$L$6:$L$28,$P1742))*($O1742-INDEX(PARAMETROS_CULTURAS!$F$6:$F$28,$P1742)-INDEX(PARAMETROS_CULTURAS!$G$6:$G$28,$P1742)-INDEX(PARAMETROS_CULTURAS!$H$6:$H$28,$P1742))/MAX(INDEX(PARAMETROS_CULTURAS!$I$6:$I$28,$P1742),0.0001)))))</f>
        <v>1.0013611615245</v>
      </c>
      <c r="S1742" s="18" t="n">
        <f aca="false">IFERROR(INDEX(SEMANAS!$H$6:$H$71,MATCH($B1742,SEMANAS!$B$6:$B$71,0)),0)</f>
        <v>33.6</v>
      </c>
      <c r="T1742" s="18" t="n">
        <f aca="false">$R1742*$S1742</f>
        <v>33.6457350272232</v>
      </c>
      <c r="U1742" s="18" t="n">
        <f aca="false">IFERROR(INDEX(SEMANAS!$I$6:$I$71,MATCH($B1742,SEMANAS!$B$6:$B$71,0)),0)</f>
        <v>45.15</v>
      </c>
      <c r="V1742" s="18" t="n">
        <f aca="false">IFERROR(INDEX(SEMANAS!$J$6:$J$71,MATCH($B1742,SEMANAS!$B$6:$B$71,0)),0)</f>
        <v>36.12</v>
      </c>
      <c r="W1742" s="18" t="n">
        <f aca="false">MAX(0,$T1742-$V1742)</f>
        <v>0</v>
      </c>
      <c r="X1742" s="19" t="n">
        <f aca="false">IFERROR(INDEX(CADASTRO_PIVOS!$K$6:$K$41,MATCH($E1742,CADASTRO_PIVOS!$B$6:$B$41,0)),EFICIENCIA_PADRAO)</f>
        <v>0.85</v>
      </c>
      <c r="Y1742" s="18" t="n">
        <f aca="false">IF($X1742&lt;=0,0,$W1742/$X1742)</f>
        <v>0</v>
      </c>
      <c r="Z1742" s="16" t="n">
        <f aca="false">$Y1742*$H1742*MM_PARA_M3_HA</f>
        <v>0</v>
      </c>
      <c r="AA1742" s="18" t="n">
        <f aca="false">IFERROR(INDEX(CADASTRO_PIVOS!$I$6:$I$41,MATCH($E1742,CADASTRO_PIVOS!$B$6:$B$41,0)),0)</f>
        <v>1071</v>
      </c>
      <c r="AB1742" s="18" t="n">
        <f aca="false">IF($Z1742&lt;=0,0,$Z1742/$AA1742)</f>
        <v>0</v>
      </c>
      <c r="AC1742" s="16" t="n">
        <f aca="false">IFERROR(INDEX(SEMANAS!$K$6:$K$71,MATCH($B1742,SEMANAS!$B$6:$B$71,0)),0)</f>
        <v>147</v>
      </c>
      <c r="AD1742" s="19" t="n">
        <f aca="false">IF($AC1742&lt;=0,0,$AB1742/$AC1742)</f>
        <v>0</v>
      </c>
      <c r="AE1742" s="8" t="str">
        <f aca="false">IF($K1742="SEM CULTURA","SEM CULTURA",IF($AA1742&lt;=0,"DADO PENDENTE",IF($AD1742&gt;LIMITE_CRITICO,"INVIAVEL",IF($AD1742&gt;LIMITE_ATENCAO,"CRITICO",IF($AD1742&gt;LIMITE_CONFORTAVEL,"ATENCAO","OK")))))</f>
        <v>OK</v>
      </c>
      <c r="AF1742" s="8" t="str">
        <f aca="false">$B1742&amp;"|"&amp;TEXT($AD1742,"0.000000")</f>
        <v>21|0.000000</v>
      </c>
      <c r="AG1742" s="18" t="n">
        <f aca="false">IF($K1742="SEM CULTURA",0,$T1742*$H1742)</f>
        <v>5044.84150998185</v>
      </c>
      <c r="AH1742" s="18" t="n">
        <f aca="false">IF($K1742="SEM CULTURA",0,$V1742*$H1742)</f>
        <v>5415.8328</v>
      </c>
      <c r="AI1742" s="18" t="n">
        <f aca="false">IF($K1742="SEM CULTURA",0,$W1742*$H1742)</f>
        <v>0</v>
      </c>
      <c r="AJ1742" s="18" t="n">
        <f aca="false">IF($K1742="SEM CULTURA",0,$S1742*$H1742)</f>
        <v>5037.984</v>
      </c>
      <c r="AK1742" s="8" t="str">
        <f aca="false">$E1742&amp;"|"&amp;TEXT($AD1742,"0.000000")</f>
        <v>PV 123|0.000000</v>
      </c>
    </row>
    <row r="1743" customFormat="false" ht="15" hidden="false" customHeight="false" outlineLevel="0" collapsed="false">
      <c r="B1743" s="16" t="n">
        <v>22</v>
      </c>
      <c r="C1743" s="17" t="n">
        <f aca="false">DATA_INICIO_SAFRA+($B1743-1)*DIAS_POR_SEMANA</f>
        <v>46412</v>
      </c>
      <c r="D1743" s="17" t="n">
        <f aca="false">$C1743+DIAS_POR_SEMANA-1</f>
        <v>46418</v>
      </c>
      <c r="E1743" s="15" t="s">
        <v>285</v>
      </c>
      <c r="F1743" s="8" t="str">
        <f aca="false">IFERROR(INDEX(CADASTRO_PIVOS!$C$6:$C$41,MATCH($E1743,CADASTRO_PIVOS!$B$6:$B$41,0)),"?")</f>
        <v>RM07</v>
      </c>
      <c r="G1743" s="8" t="str">
        <f aca="false">IFERROR(INDEX(CADASTRO_PIVOS!$D$6:$D$41,MATCH($E1743,CADASTRO_PIVOS!$B$6:$B$41,0)),"?")</f>
        <v>TR07</v>
      </c>
      <c r="H1743" s="20" t="n">
        <f aca="false">IFERROR(INDEX(CADASTRO_PIVOS!$E$6:$E$41,MATCH($E1743,CADASTRO_PIVOS!$B$6:$B$41,0)),0)</f>
        <v>149.94</v>
      </c>
      <c r="I1743" s="16" t="n">
        <f aca="false">IFERROR(SUMIFS(ROTACAO_RDM!$B$6:$B$71,ROTACAO_RDM!$D$6:$D$71,$E1743,ROTACAO_RDM!$I$6:$I$71,"&lt;="&amp;$C1743+INT(DIAS_POR_SEMANA/2),ROTACAO_RDM!$J$6:$J$71,"&gt;="&amp;$C1743+INT(DIAS_POR_SEMANA/2)),0)</f>
        <v>85</v>
      </c>
      <c r="J1743" s="16" t="n">
        <f aca="false">IFERROR(MATCH($I1743,ROTACAO_RDM!$B$6:$B$71,0),0)</f>
        <v>0</v>
      </c>
      <c r="K1743" s="8" t="str">
        <f aca="false">IF($J1743=0,"SEM CULTURA",INDEX(ROTACAO_RDM!$F$6:$F$71,$J1743))</f>
        <v>SEM CULTURA</v>
      </c>
      <c r="L1743" s="8" t="str">
        <f aca="false">IF($J1743=0,"",INDEX(ROTACAO_RDM!$G$6:$G$71,$J1743))</f>
        <v/>
      </c>
      <c r="M1743" s="17" t="str">
        <f aca="false">IF($J1743=0,"",INDEX(ROTACAO_RDM!$I$6:$I$71,$J1743))</f>
        <v/>
      </c>
      <c r="N1743" s="16" t="n">
        <f aca="false">IF($J1743=0,0,MAX(0,$C1743+INT(DIAS_POR_SEMANA/2)-INDEX(ROTACAO_RDM!$I$6:$I$71,$J1743)))</f>
        <v>0</v>
      </c>
      <c r="O1743" s="19" t="n">
        <f aca="false">IF($J1743=0,0,MIN(1,$N1743/MAX(1,INDEX(ROTACAO_RDM!$K$6:$K$71,$J1743))))</f>
        <v>0</v>
      </c>
      <c r="P1743" s="16" t="n">
        <f aca="false">IF($J1743=0,0,IFERROR(MATCH(INDEX(ROTACAO_RDM!$N$6:$N$71,$J1743),PARAMETROS_CULTURAS!$B$6:$B$28,0),0))</f>
        <v>0</v>
      </c>
      <c r="Q1743" s="8" t="str">
        <f aca="false">IF($P1743=0,"-",IF($O1743&lt;=INDEX(PARAMETROS_CULTURAS!$F$6:$F$28,$P1743),"INICIAL",IF($O1743&lt;=INDEX(PARAMETROS_CULTURAS!$F$6:$F$28,$P1743)+INDEX(PARAMETROS_CULTURAS!$G$6:$G$28,$P1743),"DESENVOLVIMENTO",IF($O1743&lt;=INDEX(PARAMETROS_CULTURAS!$F$6:$F$28,$P1743)+INDEX(PARAMETROS_CULTURAS!$G$6:$G$28,$P1743)+INDEX(PARAMETROS_CULTURAS!$H$6:$H$28,$P1743),"MEDIA","FINAL"))))</f>
        <v>-</v>
      </c>
      <c r="R1743" s="24" t="n">
        <f aca="false">IF($P1743=0,0,IF($O1743&lt;=INDEX(PARAMETROS_CULTURAS!$F$6:$F$28,$P1743),INDEX(PARAMETROS_CULTURAS!$K$6:$K$28,$P1743),IF($O1743&lt;=INDEX(PARAMETROS_CULTURAS!$F$6:$F$28,$P1743)+INDEX(PARAMETROS_CULTURAS!$G$6:$G$28,$P1743),INDEX(PARAMETROS_CULTURAS!$K$6:$K$28,$P1743)+(INDEX(PARAMETROS_CULTURAS!$L$6:$L$28,$P1743)-INDEX(PARAMETROS_CULTURAS!$K$6:$K$28,$P1743))*($O1743-INDEX(PARAMETROS_CULTURAS!$F$6:$F$28,$P1743))/MAX(INDEX(PARAMETROS_CULTURAS!$G$6:$G$28,$P1743),0.0001),IF($O1743&lt;=INDEX(PARAMETROS_CULTURAS!$F$6:$F$28,$P1743)+INDEX(PARAMETROS_CULTURAS!$G$6:$G$28,$P1743)+INDEX(PARAMETROS_CULTURAS!$H$6:$H$28,$P1743),INDEX(PARAMETROS_CULTURAS!$L$6:$L$28,$P1743),INDEX(PARAMETROS_CULTURAS!$L$6:$L$28,$P1743)+(INDEX(PARAMETROS_CULTURAS!$M$6:$M$28,$P1743)-INDEX(PARAMETROS_CULTURAS!$L$6:$L$28,$P1743))*($O1743-INDEX(PARAMETROS_CULTURAS!$F$6:$F$28,$P1743)-INDEX(PARAMETROS_CULTURAS!$G$6:$G$28,$P1743)-INDEX(PARAMETROS_CULTURAS!$H$6:$H$28,$P1743))/MAX(INDEX(PARAMETROS_CULTURAS!$I$6:$I$28,$P1743),0.0001)))))</f>
        <v>0</v>
      </c>
      <c r="S1743" s="18" t="n">
        <f aca="false">IFERROR(INDEX(SEMANAS!$H$6:$H$71,MATCH($B1743,SEMANAS!$B$6:$B$71,0)),0)</f>
        <v>33.6</v>
      </c>
      <c r="T1743" s="18" t="n">
        <f aca="false">$R1743*$S1743</f>
        <v>0</v>
      </c>
      <c r="U1743" s="18" t="n">
        <f aca="false">IFERROR(INDEX(SEMANAS!$I$6:$I$71,MATCH($B1743,SEMANAS!$B$6:$B$71,0)),0)</f>
        <v>45.15</v>
      </c>
      <c r="V1743" s="18" t="n">
        <f aca="false">IFERROR(INDEX(SEMANAS!$J$6:$J$71,MATCH($B1743,SEMANAS!$B$6:$B$71,0)),0)</f>
        <v>36.12</v>
      </c>
      <c r="W1743" s="18" t="n">
        <f aca="false">MAX(0,$T1743-$V1743)</f>
        <v>0</v>
      </c>
      <c r="X1743" s="19" t="n">
        <f aca="false">IFERROR(INDEX(CADASTRO_PIVOS!$K$6:$K$41,MATCH($E1743,CADASTRO_PIVOS!$B$6:$B$41,0)),EFICIENCIA_PADRAO)</f>
        <v>0.85</v>
      </c>
      <c r="Y1743" s="18" t="n">
        <f aca="false">IF($X1743&lt;=0,0,$W1743/$X1743)</f>
        <v>0</v>
      </c>
      <c r="Z1743" s="16" t="n">
        <f aca="false">$Y1743*$H1743*MM_PARA_M3_HA</f>
        <v>0</v>
      </c>
      <c r="AA1743" s="18" t="n">
        <f aca="false">IFERROR(INDEX(CADASTRO_PIVOS!$I$6:$I$41,MATCH($E1743,CADASTRO_PIVOS!$B$6:$B$41,0)),0)</f>
        <v>1071</v>
      </c>
      <c r="AB1743" s="18" t="n">
        <f aca="false">IF($Z1743&lt;=0,0,$Z1743/$AA1743)</f>
        <v>0</v>
      </c>
      <c r="AC1743" s="16" t="n">
        <f aca="false">IFERROR(INDEX(SEMANAS!$K$6:$K$71,MATCH($B1743,SEMANAS!$B$6:$B$71,0)),0)</f>
        <v>147</v>
      </c>
      <c r="AD1743" s="19" t="n">
        <f aca="false">IF($AC1743&lt;=0,0,$AB1743/$AC1743)</f>
        <v>0</v>
      </c>
      <c r="AE1743" s="8" t="str">
        <f aca="false">IF($K1743="SEM CULTURA","SEM CULTURA",IF($AA1743&lt;=0,"DADO PENDENTE",IF($AD1743&gt;LIMITE_CRITICO,"INVIAVEL",IF($AD1743&gt;LIMITE_ATENCAO,"CRITICO",IF($AD1743&gt;LIMITE_CONFORTAVEL,"ATENCAO","OK")))))</f>
        <v>SEM CULTURA</v>
      </c>
      <c r="AF1743" s="8" t="str">
        <f aca="false">$B1743&amp;"|"&amp;TEXT($AD1743,"0.000000")</f>
        <v>22|0.000000</v>
      </c>
      <c r="AG1743" s="18" t="n">
        <f aca="false">IF($K1743="SEM CULTURA",0,$T1743*$H1743)</f>
        <v>0</v>
      </c>
      <c r="AH1743" s="18" t="n">
        <f aca="false">IF($K1743="SEM CULTURA",0,$V1743*$H1743)</f>
        <v>0</v>
      </c>
      <c r="AI1743" s="18" t="n">
        <f aca="false">IF($K1743="SEM CULTURA",0,$W1743*$H1743)</f>
        <v>0</v>
      </c>
      <c r="AJ1743" s="18" t="n">
        <f aca="false">IF($K1743="SEM CULTURA",0,$S1743*$H1743)</f>
        <v>0</v>
      </c>
      <c r="AK1743" s="8" t="str">
        <f aca="false">$E1743&amp;"|"&amp;TEXT($AD1743,"0.000000")</f>
        <v>PV 123|0.000000</v>
      </c>
    </row>
    <row r="1744" customFormat="false" ht="15" hidden="false" customHeight="false" outlineLevel="0" collapsed="false">
      <c r="B1744" s="16" t="n">
        <v>23</v>
      </c>
      <c r="C1744" s="17" t="n">
        <f aca="false">DATA_INICIO_SAFRA+($B1744-1)*DIAS_POR_SEMANA</f>
        <v>46419</v>
      </c>
      <c r="D1744" s="17" t="n">
        <f aca="false">$C1744+DIAS_POR_SEMANA-1</f>
        <v>46425</v>
      </c>
      <c r="E1744" s="15" t="s">
        <v>285</v>
      </c>
      <c r="F1744" s="8" t="str">
        <f aca="false">IFERROR(INDEX(CADASTRO_PIVOS!$C$6:$C$41,MATCH($E1744,CADASTRO_PIVOS!$B$6:$B$41,0)),"?")</f>
        <v>RM07</v>
      </c>
      <c r="G1744" s="8" t="str">
        <f aca="false">IFERROR(INDEX(CADASTRO_PIVOS!$D$6:$D$41,MATCH($E1744,CADASTRO_PIVOS!$B$6:$B$41,0)),"?")</f>
        <v>TR07</v>
      </c>
      <c r="H1744" s="20" t="n">
        <f aca="false">IFERROR(INDEX(CADASTRO_PIVOS!$E$6:$E$41,MATCH($E1744,CADASTRO_PIVOS!$B$6:$B$41,0)),0)</f>
        <v>149.94</v>
      </c>
      <c r="I1744" s="16" t="n">
        <f aca="false">IFERROR(SUMIFS(ROTACAO_RDM!$B$6:$B$71,ROTACAO_RDM!$D$6:$D$71,$E1744,ROTACAO_RDM!$I$6:$I$71,"&lt;="&amp;$C1744+INT(DIAS_POR_SEMANA/2),ROTACAO_RDM!$J$6:$J$71,"&gt;="&amp;$C1744+INT(DIAS_POR_SEMANA/2)),0)</f>
        <v>85</v>
      </c>
      <c r="J1744" s="16" t="n">
        <f aca="false">IFERROR(MATCH($I1744,ROTACAO_RDM!$B$6:$B$71,0),0)</f>
        <v>0</v>
      </c>
      <c r="K1744" s="8" t="str">
        <f aca="false">IF($J1744=0,"SEM CULTURA",INDEX(ROTACAO_RDM!$F$6:$F$71,$J1744))</f>
        <v>SEM CULTURA</v>
      </c>
      <c r="L1744" s="8" t="str">
        <f aca="false">IF($J1744=0,"",INDEX(ROTACAO_RDM!$G$6:$G$71,$J1744))</f>
        <v/>
      </c>
      <c r="M1744" s="17" t="str">
        <f aca="false">IF($J1744=0,"",INDEX(ROTACAO_RDM!$I$6:$I$71,$J1744))</f>
        <v/>
      </c>
      <c r="N1744" s="16" t="n">
        <f aca="false">IF($J1744=0,0,MAX(0,$C1744+INT(DIAS_POR_SEMANA/2)-INDEX(ROTACAO_RDM!$I$6:$I$71,$J1744)))</f>
        <v>0</v>
      </c>
      <c r="O1744" s="19" t="n">
        <f aca="false">IF($J1744=0,0,MIN(1,$N1744/MAX(1,INDEX(ROTACAO_RDM!$K$6:$K$71,$J1744))))</f>
        <v>0</v>
      </c>
      <c r="P1744" s="16" t="n">
        <f aca="false">IF($J1744=0,0,IFERROR(MATCH(INDEX(ROTACAO_RDM!$N$6:$N$71,$J1744),PARAMETROS_CULTURAS!$B$6:$B$28,0),0))</f>
        <v>0</v>
      </c>
      <c r="Q1744" s="8" t="str">
        <f aca="false">IF($P1744=0,"-",IF($O1744&lt;=INDEX(PARAMETROS_CULTURAS!$F$6:$F$28,$P1744),"INICIAL",IF($O1744&lt;=INDEX(PARAMETROS_CULTURAS!$F$6:$F$28,$P1744)+INDEX(PARAMETROS_CULTURAS!$G$6:$G$28,$P1744),"DESENVOLVIMENTO",IF($O1744&lt;=INDEX(PARAMETROS_CULTURAS!$F$6:$F$28,$P1744)+INDEX(PARAMETROS_CULTURAS!$G$6:$G$28,$P1744)+INDEX(PARAMETROS_CULTURAS!$H$6:$H$28,$P1744),"MEDIA","FINAL"))))</f>
        <v>-</v>
      </c>
      <c r="R1744" s="24" t="n">
        <f aca="false">IF($P1744=0,0,IF($O1744&lt;=INDEX(PARAMETROS_CULTURAS!$F$6:$F$28,$P1744),INDEX(PARAMETROS_CULTURAS!$K$6:$K$28,$P1744),IF($O1744&lt;=INDEX(PARAMETROS_CULTURAS!$F$6:$F$28,$P1744)+INDEX(PARAMETROS_CULTURAS!$G$6:$G$28,$P1744),INDEX(PARAMETROS_CULTURAS!$K$6:$K$28,$P1744)+(INDEX(PARAMETROS_CULTURAS!$L$6:$L$28,$P1744)-INDEX(PARAMETROS_CULTURAS!$K$6:$K$28,$P1744))*($O1744-INDEX(PARAMETROS_CULTURAS!$F$6:$F$28,$P1744))/MAX(INDEX(PARAMETROS_CULTURAS!$G$6:$G$28,$P1744),0.0001),IF($O1744&lt;=INDEX(PARAMETROS_CULTURAS!$F$6:$F$28,$P1744)+INDEX(PARAMETROS_CULTURAS!$G$6:$G$28,$P1744)+INDEX(PARAMETROS_CULTURAS!$H$6:$H$28,$P1744),INDEX(PARAMETROS_CULTURAS!$L$6:$L$28,$P1744),INDEX(PARAMETROS_CULTURAS!$L$6:$L$28,$P1744)+(INDEX(PARAMETROS_CULTURAS!$M$6:$M$28,$P1744)-INDEX(PARAMETROS_CULTURAS!$L$6:$L$28,$P1744))*($O1744-INDEX(PARAMETROS_CULTURAS!$F$6:$F$28,$P1744)-INDEX(PARAMETROS_CULTURAS!$G$6:$G$28,$P1744)-INDEX(PARAMETROS_CULTURAS!$H$6:$H$28,$P1744))/MAX(INDEX(PARAMETROS_CULTURAS!$I$6:$I$28,$P1744),0.0001)))))</f>
        <v>0</v>
      </c>
      <c r="S1744" s="18" t="n">
        <f aca="false">IFERROR(INDEX(SEMANAS!$H$6:$H$71,MATCH($B1744,SEMANAS!$B$6:$B$71,0)),0)</f>
        <v>32.9</v>
      </c>
      <c r="T1744" s="18" t="n">
        <f aca="false">$R1744*$S1744</f>
        <v>0</v>
      </c>
      <c r="U1744" s="18" t="n">
        <f aca="false">IFERROR(INDEX(SEMANAS!$I$6:$I$71,MATCH($B1744,SEMANAS!$B$6:$B$71,0)),0)</f>
        <v>39.97</v>
      </c>
      <c r="V1744" s="18" t="n">
        <f aca="false">IFERROR(INDEX(SEMANAS!$J$6:$J$71,MATCH($B1744,SEMANAS!$B$6:$B$71,0)),0)</f>
        <v>31.976</v>
      </c>
      <c r="W1744" s="18" t="n">
        <f aca="false">MAX(0,$T1744-$V1744)</f>
        <v>0</v>
      </c>
      <c r="X1744" s="19" t="n">
        <f aca="false">IFERROR(INDEX(CADASTRO_PIVOS!$K$6:$K$41,MATCH($E1744,CADASTRO_PIVOS!$B$6:$B$41,0)),EFICIENCIA_PADRAO)</f>
        <v>0.85</v>
      </c>
      <c r="Y1744" s="18" t="n">
        <f aca="false">IF($X1744&lt;=0,0,$W1744/$X1744)</f>
        <v>0</v>
      </c>
      <c r="Z1744" s="16" t="n">
        <f aca="false">$Y1744*$H1744*MM_PARA_M3_HA</f>
        <v>0</v>
      </c>
      <c r="AA1744" s="18" t="n">
        <f aca="false">IFERROR(INDEX(CADASTRO_PIVOS!$I$6:$I$41,MATCH($E1744,CADASTRO_PIVOS!$B$6:$B$41,0)),0)</f>
        <v>1071</v>
      </c>
      <c r="AB1744" s="18" t="n">
        <f aca="false">IF($Z1744&lt;=0,0,$Z1744/$AA1744)</f>
        <v>0</v>
      </c>
      <c r="AC1744" s="16" t="n">
        <f aca="false">IFERROR(INDEX(SEMANAS!$K$6:$K$71,MATCH($B1744,SEMANAS!$B$6:$B$71,0)),0)</f>
        <v>147</v>
      </c>
      <c r="AD1744" s="19" t="n">
        <f aca="false">IF($AC1744&lt;=0,0,$AB1744/$AC1744)</f>
        <v>0</v>
      </c>
      <c r="AE1744" s="8" t="str">
        <f aca="false">IF($K1744="SEM CULTURA","SEM CULTURA",IF($AA1744&lt;=0,"DADO PENDENTE",IF($AD1744&gt;LIMITE_CRITICO,"INVIAVEL",IF($AD1744&gt;LIMITE_ATENCAO,"CRITICO",IF($AD1744&gt;LIMITE_CONFORTAVEL,"ATENCAO","OK")))))</f>
        <v>SEM CULTURA</v>
      </c>
      <c r="AF1744" s="8" t="str">
        <f aca="false">$B1744&amp;"|"&amp;TEXT($AD1744,"0.000000")</f>
        <v>23|0.000000</v>
      </c>
      <c r="AG1744" s="18" t="n">
        <f aca="false">IF($K1744="SEM CULTURA",0,$T1744*$H1744)</f>
        <v>0</v>
      </c>
      <c r="AH1744" s="18" t="n">
        <f aca="false">IF($K1744="SEM CULTURA",0,$V1744*$H1744)</f>
        <v>0</v>
      </c>
      <c r="AI1744" s="18" t="n">
        <f aca="false">IF($K1744="SEM CULTURA",0,$W1744*$H1744)</f>
        <v>0</v>
      </c>
      <c r="AJ1744" s="18" t="n">
        <f aca="false">IF($K1744="SEM CULTURA",0,$S1744*$H1744)</f>
        <v>0</v>
      </c>
      <c r="AK1744" s="8" t="str">
        <f aca="false">$E1744&amp;"|"&amp;TEXT($AD1744,"0.000000")</f>
        <v>PV 123|0.000000</v>
      </c>
    </row>
    <row r="1745" customFormat="false" ht="15" hidden="false" customHeight="false" outlineLevel="0" collapsed="false">
      <c r="B1745" s="16" t="n">
        <v>24</v>
      </c>
      <c r="C1745" s="17" t="n">
        <f aca="false">DATA_INICIO_SAFRA+($B1745-1)*DIAS_POR_SEMANA</f>
        <v>46426</v>
      </c>
      <c r="D1745" s="17" t="n">
        <f aca="false">$C1745+DIAS_POR_SEMANA-1</f>
        <v>46432</v>
      </c>
      <c r="E1745" s="15" t="s">
        <v>285</v>
      </c>
      <c r="F1745" s="8" t="str">
        <f aca="false">IFERROR(INDEX(CADASTRO_PIVOS!$C$6:$C$41,MATCH($E1745,CADASTRO_PIVOS!$B$6:$B$41,0)),"?")</f>
        <v>RM07</v>
      </c>
      <c r="G1745" s="8" t="str">
        <f aca="false">IFERROR(INDEX(CADASTRO_PIVOS!$D$6:$D$41,MATCH($E1745,CADASTRO_PIVOS!$B$6:$B$41,0)),"?")</f>
        <v>TR07</v>
      </c>
      <c r="H1745" s="20" t="n">
        <f aca="false">IFERROR(INDEX(CADASTRO_PIVOS!$E$6:$E$41,MATCH($E1745,CADASTRO_PIVOS!$B$6:$B$41,0)),0)</f>
        <v>149.94</v>
      </c>
      <c r="I1745" s="16" t="n">
        <f aca="false">IFERROR(SUMIFS(ROTACAO_RDM!$B$6:$B$71,ROTACAO_RDM!$D$6:$D$71,$E1745,ROTACAO_RDM!$I$6:$I$71,"&lt;="&amp;$C1745+INT(DIAS_POR_SEMANA/2),ROTACAO_RDM!$J$6:$J$71,"&gt;="&amp;$C1745+INT(DIAS_POR_SEMANA/2)),0)</f>
        <v>43</v>
      </c>
      <c r="J1745" s="16" t="n">
        <f aca="false">IFERROR(MATCH($I1745,ROTACAO_RDM!$B$6:$B$71,0),0)</f>
        <v>43</v>
      </c>
      <c r="K1745" s="8" t="str">
        <f aca="false">IF($J1745=0,"SEM CULTURA",INDEX(ROTACAO_RDM!$F$6:$F$71,$J1745))</f>
        <v>ALGODAO</v>
      </c>
      <c r="L1745" s="8" t="str">
        <f aca="false">IF($J1745=0,"",INDEX(ROTACAO_RDM!$G$6:$G$71,$J1745))</f>
        <v>FM 911 GLTP</v>
      </c>
      <c r="M1745" s="17" t="n">
        <f aca="false">IF($J1745=0,"",INDEX(ROTACAO_RDM!$I$6:$I$71,$J1745))</f>
        <v>46415</v>
      </c>
      <c r="N1745" s="16" t="n">
        <f aca="false">IF($J1745=0,0,MAX(0,$C1745+INT(DIAS_POR_SEMANA/2)-INDEX(ROTACAO_RDM!$I$6:$I$71,$J1745)))</f>
        <v>14</v>
      </c>
      <c r="O1745" s="19" t="n">
        <f aca="false">IF($J1745=0,0,MIN(1,$N1745/MAX(1,INDEX(ROTACAO_RDM!$K$6:$K$71,$J1745))))</f>
        <v>0.0777777777777778</v>
      </c>
      <c r="P1745" s="16" t="n">
        <f aca="false">IF($J1745=0,0,IFERROR(MATCH(INDEX(ROTACAO_RDM!$N$6:$N$71,$J1745),PARAMETROS_CULTURAS!$B$6:$B$28,0),0))</f>
        <v>4</v>
      </c>
      <c r="Q1745" s="8" t="str">
        <f aca="false">IF($P1745=0,"-",IF($O1745&lt;=INDEX(PARAMETROS_CULTURAS!$F$6:$F$28,$P1745),"INICIAL",IF($O1745&lt;=INDEX(PARAMETROS_CULTURAS!$F$6:$F$28,$P1745)+INDEX(PARAMETROS_CULTURAS!$G$6:$G$28,$P1745),"DESENVOLVIMENTO",IF($O1745&lt;=INDEX(PARAMETROS_CULTURAS!$F$6:$F$28,$P1745)+INDEX(PARAMETROS_CULTURAS!$G$6:$G$28,$P1745)+INDEX(PARAMETROS_CULTURAS!$H$6:$H$28,$P1745),"MEDIA","FINAL"))))</f>
        <v>INICIAL</v>
      </c>
      <c r="R1745" s="24" t="n">
        <f aca="false">IF($P1745=0,0,IF($O1745&lt;=INDEX(PARAMETROS_CULTURAS!$F$6:$F$28,$P1745),INDEX(PARAMETROS_CULTURAS!$K$6:$K$28,$P1745),IF($O1745&lt;=INDEX(PARAMETROS_CULTURAS!$F$6:$F$28,$P1745)+INDEX(PARAMETROS_CULTURAS!$G$6:$G$28,$P1745),INDEX(PARAMETROS_CULTURAS!$K$6:$K$28,$P1745)+(INDEX(PARAMETROS_CULTURAS!$L$6:$L$28,$P1745)-INDEX(PARAMETROS_CULTURAS!$K$6:$K$28,$P1745))*($O1745-INDEX(PARAMETROS_CULTURAS!$F$6:$F$28,$P1745))/MAX(INDEX(PARAMETROS_CULTURAS!$G$6:$G$28,$P1745),0.0001),IF($O1745&lt;=INDEX(PARAMETROS_CULTURAS!$F$6:$F$28,$P1745)+INDEX(PARAMETROS_CULTURAS!$G$6:$G$28,$P1745)+INDEX(PARAMETROS_CULTURAS!$H$6:$H$28,$P1745),INDEX(PARAMETROS_CULTURAS!$L$6:$L$28,$P1745),INDEX(PARAMETROS_CULTURAS!$L$6:$L$28,$P1745)+(INDEX(PARAMETROS_CULTURAS!$M$6:$M$28,$P1745)-INDEX(PARAMETROS_CULTURAS!$L$6:$L$28,$P1745))*($O1745-INDEX(PARAMETROS_CULTURAS!$F$6:$F$28,$P1745)-INDEX(PARAMETROS_CULTURAS!$G$6:$G$28,$P1745)-INDEX(PARAMETROS_CULTURAS!$H$6:$H$28,$P1745))/MAX(INDEX(PARAMETROS_CULTURAS!$I$6:$I$28,$P1745),0.0001)))))</f>
        <v>0.35</v>
      </c>
      <c r="S1745" s="18" t="n">
        <f aca="false">IFERROR(INDEX(SEMANAS!$H$6:$H$71,MATCH($B1745,SEMANAS!$B$6:$B$71,0)),0)</f>
        <v>32.9</v>
      </c>
      <c r="T1745" s="18" t="n">
        <f aca="false">$R1745*$S1745</f>
        <v>11.515</v>
      </c>
      <c r="U1745" s="18" t="n">
        <f aca="false">IFERROR(INDEX(SEMANAS!$I$6:$I$71,MATCH($B1745,SEMANAS!$B$6:$B$71,0)),0)</f>
        <v>39.97</v>
      </c>
      <c r="V1745" s="18" t="n">
        <f aca="false">IFERROR(INDEX(SEMANAS!$J$6:$J$71,MATCH($B1745,SEMANAS!$B$6:$B$71,0)),0)</f>
        <v>31.976</v>
      </c>
      <c r="W1745" s="18" t="n">
        <f aca="false">MAX(0,$T1745-$V1745)</f>
        <v>0</v>
      </c>
      <c r="X1745" s="19" t="n">
        <f aca="false">IFERROR(INDEX(CADASTRO_PIVOS!$K$6:$K$41,MATCH($E1745,CADASTRO_PIVOS!$B$6:$B$41,0)),EFICIENCIA_PADRAO)</f>
        <v>0.85</v>
      </c>
      <c r="Y1745" s="18" t="n">
        <f aca="false">IF($X1745&lt;=0,0,$W1745/$X1745)</f>
        <v>0</v>
      </c>
      <c r="Z1745" s="16" t="n">
        <f aca="false">$Y1745*$H1745*MM_PARA_M3_HA</f>
        <v>0</v>
      </c>
      <c r="AA1745" s="18" t="n">
        <f aca="false">IFERROR(INDEX(CADASTRO_PIVOS!$I$6:$I$41,MATCH($E1745,CADASTRO_PIVOS!$B$6:$B$41,0)),0)</f>
        <v>1071</v>
      </c>
      <c r="AB1745" s="18" t="n">
        <f aca="false">IF($Z1745&lt;=0,0,$Z1745/$AA1745)</f>
        <v>0</v>
      </c>
      <c r="AC1745" s="16" t="n">
        <f aca="false">IFERROR(INDEX(SEMANAS!$K$6:$K$71,MATCH($B1745,SEMANAS!$B$6:$B$71,0)),0)</f>
        <v>147</v>
      </c>
      <c r="AD1745" s="19" t="n">
        <f aca="false">IF($AC1745&lt;=0,0,$AB1745/$AC1745)</f>
        <v>0</v>
      </c>
      <c r="AE1745" s="8" t="str">
        <f aca="false">IF($K1745="SEM CULTURA","SEM CULTURA",IF($AA1745&lt;=0,"DADO PENDENTE",IF($AD1745&gt;LIMITE_CRITICO,"INVIAVEL",IF($AD1745&gt;LIMITE_ATENCAO,"CRITICO",IF($AD1745&gt;LIMITE_CONFORTAVEL,"ATENCAO","OK")))))</f>
        <v>OK</v>
      </c>
      <c r="AF1745" s="8" t="str">
        <f aca="false">$B1745&amp;"|"&amp;TEXT($AD1745,"0.000000")</f>
        <v>24|0.000000</v>
      </c>
      <c r="AG1745" s="18" t="n">
        <f aca="false">IF($K1745="SEM CULTURA",0,$T1745*$H1745)</f>
        <v>1726.5591</v>
      </c>
      <c r="AH1745" s="18" t="n">
        <f aca="false">IF($K1745="SEM CULTURA",0,$V1745*$H1745)</f>
        <v>4794.48144</v>
      </c>
      <c r="AI1745" s="18" t="n">
        <f aca="false">IF($K1745="SEM CULTURA",0,$W1745*$H1745)</f>
        <v>0</v>
      </c>
      <c r="AJ1745" s="18" t="n">
        <f aca="false">IF($K1745="SEM CULTURA",0,$S1745*$H1745)</f>
        <v>4933.026</v>
      </c>
      <c r="AK1745" s="8" t="str">
        <f aca="false">$E1745&amp;"|"&amp;TEXT($AD1745,"0.000000")</f>
        <v>PV 123|0.000000</v>
      </c>
    </row>
    <row r="1746" customFormat="false" ht="15" hidden="false" customHeight="false" outlineLevel="0" collapsed="false">
      <c r="B1746" s="16" t="n">
        <v>25</v>
      </c>
      <c r="C1746" s="17" t="n">
        <f aca="false">DATA_INICIO_SAFRA+($B1746-1)*DIAS_POR_SEMANA</f>
        <v>46433</v>
      </c>
      <c r="D1746" s="17" t="n">
        <f aca="false">$C1746+DIAS_POR_SEMANA-1</f>
        <v>46439</v>
      </c>
      <c r="E1746" s="15" t="s">
        <v>285</v>
      </c>
      <c r="F1746" s="8" t="str">
        <f aca="false">IFERROR(INDEX(CADASTRO_PIVOS!$C$6:$C$41,MATCH($E1746,CADASTRO_PIVOS!$B$6:$B$41,0)),"?")</f>
        <v>RM07</v>
      </c>
      <c r="G1746" s="8" t="str">
        <f aca="false">IFERROR(INDEX(CADASTRO_PIVOS!$D$6:$D$41,MATCH($E1746,CADASTRO_PIVOS!$B$6:$B$41,0)),"?")</f>
        <v>TR07</v>
      </c>
      <c r="H1746" s="20" t="n">
        <f aca="false">IFERROR(INDEX(CADASTRO_PIVOS!$E$6:$E$41,MATCH($E1746,CADASTRO_PIVOS!$B$6:$B$41,0)),0)</f>
        <v>149.94</v>
      </c>
      <c r="I1746" s="16" t="n">
        <f aca="false">IFERROR(SUMIFS(ROTACAO_RDM!$B$6:$B$71,ROTACAO_RDM!$D$6:$D$71,$E1746,ROTACAO_RDM!$I$6:$I$71,"&lt;="&amp;$C1746+INT(DIAS_POR_SEMANA/2),ROTACAO_RDM!$J$6:$J$71,"&gt;="&amp;$C1746+INT(DIAS_POR_SEMANA/2)),0)</f>
        <v>43</v>
      </c>
      <c r="J1746" s="16" t="n">
        <f aca="false">IFERROR(MATCH($I1746,ROTACAO_RDM!$B$6:$B$71,0),0)</f>
        <v>43</v>
      </c>
      <c r="K1746" s="8" t="str">
        <f aca="false">IF($J1746=0,"SEM CULTURA",INDEX(ROTACAO_RDM!$F$6:$F$71,$J1746))</f>
        <v>ALGODAO</v>
      </c>
      <c r="L1746" s="8" t="str">
        <f aca="false">IF($J1746=0,"",INDEX(ROTACAO_RDM!$G$6:$G$71,$J1746))</f>
        <v>FM 911 GLTP</v>
      </c>
      <c r="M1746" s="17" t="n">
        <f aca="false">IF($J1746=0,"",INDEX(ROTACAO_RDM!$I$6:$I$71,$J1746))</f>
        <v>46415</v>
      </c>
      <c r="N1746" s="16" t="n">
        <f aca="false">IF($J1746=0,0,MAX(0,$C1746+INT(DIAS_POR_SEMANA/2)-INDEX(ROTACAO_RDM!$I$6:$I$71,$J1746)))</f>
        <v>21</v>
      </c>
      <c r="O1746" s="19" t="n">
        <f aca="false">IF($J1746=0,0,MIN(1,$N1746/MAX(1,INDEX(ROTACAO_RDM!$K$6:$K$71,$J1746))))</f>
        <v>0.116666666666667</v>
      </c>
      <c r="P1746" s="16" t="n">
        <f aca="false">IF($J1746=0,0,IFERROR(MATCH(INDEX(ROTACAO_RDM!$N$6:$N$71,$J1746),PARAMETROS_CULTURAS!$B$6:$B$28,0),0))</f>
        <v>4</v>
      </c>
      <c r="Q1746" s="8" t="str">
        <f aca="false">IF($P1746=0,"-",IF($O1746&lt;=INDEX(PARAMETROS_CULTURAS!$F$6:$F$28,$P1746),"INICIAL",IF($O1746&lt;=INDEX(PARAMETROS_CULTURAS!$F$6:$F$28,$P1746)+INDEX(PARAMETROS_CULTURAS!$G$6:$G$28,$P1746),"DESENVOLVIMENTO",IF($O1746&lt;=INDEX(PARAMETROS_CULTURAS!$F$6:$F$28,$P1746)+INDEX(PARAMETROS_CULTURAS!$G$6:$G$28,$P1746)+INDEX(PARAMETROS_CULTURAS!$H$6:$H$28,$P1746),"MEDIA","FINAL"))))</f>
        <v>INICIAL</v>
      </c>
      <c r="R1746" s="24" t="n">
        <f aca="false">IF($P1746=0,0,IF($O1746&lt;=INDEX(PARAMETROS_CULTURAS!$F$6:$F$28,$P1746),INDEX(PARAMETROS_CULTURAS!$K$6:$K$28,$P1746),IF($O1746&lt;=INDEX(PARAMETROS_CULTURAS!$F$6:$F$28,$P1746)+INDEX(PARAMETROS_CULTURAS!$G$6:$G$28,$P1746),INDEX(PARAMETROS_CULTURAS!$K$6:$K$28,$P1746)+(INDEX(PARAMETROS_CULTURAS!$L$6:$L$28,$P1746)-INDEX(PARAMETROS_CULTURAS!$K$6:$K$28,$P1746))*($O1746-INDEX(PARAMETROS_CULTURAS!$F$6:$F$28,$P1746))/MAX(INDEX(PARAMETROS_CULTURAS!$G$6:$G$28,$P1746),0.0001),IF($O1746&lt;=INDEX(PARAMETROS_CULTURAS!$F$6:$F$28,$P1746)+INDEX(PARAMETROS_CULTURAS!$G$6:$G$28,$P1746)+INDEX(PARAMETROS_CULTURAS!$H$6:$H$28,$P1746),INDEX(PARAMETROS_CULTURAS!$L$6:$L$28,$P1746),INDEX(PARAMETROS_CULTURAS!$L$6:$L$28,$P1746)+(INDEX(PARAMETROS_CULTURAS!$M$6:$M$28,$P1746)-INDEX(PARAMETROS_CULTURAS!$L$6:$L$28,$P1746))*($O1746-INDEX(PARAMETROS_CULTURAS!$F$6:$F$28,$P1746)-INDEX(PARAMETROS_CULTURAS!$G$6:$G$28,$P1746)-INDEX(PARAMETROS_CULTURAS!$H$6:$H$28,$P1746))/MAX(INDEX(PARAMETROS_CULTURAS!$I$6:$I$28,$P1746),0.0001)))))</f>
        <v>0.35</v>
      </c>
      <c r="S1746" s="18" t="n">
        <f aca="false">IFERROR(INDEX(SEMANAS!$H$6:$H$71,MATCH($B1746,SEMANAS!$B$6:$B$71,0)),0)</f>
        <v>32.9</v>
      </c>
      <c r="T1746" s="18" t="n">
        <f aca="false">$R1746*$S1746</f>
        <v>11.515</v>
      </c>
      <c r="U1746" s="18" t="n">
        <f aca="false">IFERROR(INDEX(SEMANAS!$I$6:$I$71,MATCH($B1746,SEMANAS!$B$6:$B$71,0)),0)</f>
        <v>39.97</v>
      </c>
      <c r="V1746" s="18" t="n">
        <f aca="false">IFERROR(INDEX(SEMANAS!$J$6:$J$71,MATCH($B1746,SEMANAS!$B$6:$B$71,0)),0)</f>
        <v>31.976</v>
      </c>
      <c r="W1746" s="18" t="n">
        <f aca="false">MAX(0,$T1746-$V1746)</f>
        <v>0</v>
      </c>
      <c r="X1746" s="19" t="n">
        <f aca="false">IFERROR(INDEX(CADASTRO_PIVOS!$K$6:$K$41,MATCH($E1746,CADASTRO_PIVOS!$B$6:$B$41,0)),EFICIENCIA_PADRAO)</f>
        <v>0.85</v>
      </c>
      <c r="Y1746" s="18" t="n">
        <f aca="false">IF($X1746&lt;=0,0,$W1746/$X1746)</f>
        <v>0</v>
      </c>
      <c r="Z1746" s="16" t="n">
        <f aca="false">$Y1746*$H1746*MM_PARA_M3_HA</f>
        <v>0</v>
      </c>
      <c r="AA1746" s="18" t="n">
        <f aca="false">IFERROR(INDEX(CADASTRO_PIVOS!$I$6:$I$41,MATCH($E1746,CADASTRO_PIVOS!$B$6:$B$41,0)),0)</f>
        <v>1071</v>
      </c>
      <c r="AB1746" s="18" t="n">
        <f aca="false">IF($Z1746&lt;=0,0,$Z1746/$AA1746)</f>
        <v>0</v>
      </c>
      <c r="AC1746" s="16" t="n">
        <f aca="false">IFERROR(INDEX(SEMANAS!$K$6:$K$71,MATCH($B1746,SEMANAS!$B$6:$B$71,0)),0)</f>
        <v>147</v>
      </c>
      <c r="AD1746" s="19" t="n">
        <f aca="false">IF($AC1746&lt;=0,0,$AB1746/$AC1746)</f>
        <v>0</v>
      </c>
      <c r="AE1746" s="8" t="str">
        <f aca="false">IF($K1746="SEM CULTURA","SEM CULTURA",IF($AA1746&lt;=0,"DADO PENDENTE",IF($AD1746&gt;LIMITE_CRITICO,"INVIAVEL",IF($AD1746&gt;LIMITE_ATENCAO,"CRITICO",IF($AD1746&gt;LIMITE_CONFORTAVEL,"ATENCAO","OK")))))</f>
        <v>OK</v>
      </c>
      <c r="AF1746" s="8" t="str">
        <f aca="false">$B1746&amp;"|"&amp;TEXT($AD1746,"0.000000")</f>
        <v>25|0.000000</v>
      </c>
      <c r="AG1746" s="18" t="n">
        <f aca="false">IF($K1746="SEM CULTURA",0,$T1746*$H1746)</f>
        <v>1726.5591</v>
      </c>
      <c r="AH1746" s="18" t="n">
        <f aca="false">IF($K1746="SEM CULTURA",0,$V1746*$H1746)</f>
        <v>4794.48144</v>
      </c>
      <c r="AI1746" s="18" t="n">
        <f aca="false">IF($K1746="SEM CULTURA",0,$W1746*$H1746)</f>
        <v>0</v>
      </c>
      <c r="AJ1746" s="18" t="n">
        <f aca="false">IF($K1746="SEM CULTURA",0,$S1746*$H1746)</f>
        <v>4933.026</v>
      </c>
      <c r="AK1746" s="8" t="str">
        <f aca="false">$E1746&amp;"|"&amp;TEXT($AD1746,"0.000000")</f>
        <v>PV 123|0.000000</v>
      </c>
    </row>
    <row r="1747" customFormat="false" ht="15" hidden="false" customHeight="false" outlineLevel="0" collapsed="false">
      <c r="B1747" s="16" t="n">
        <v>26</v>
      </c>
      <c r="C1747" s="17" t="n">
        <f aca="false">DATA_INICIO_SAFRA+($B1747-1)*DIAS_POR_SEMANA</f>
        <v>46440</v>
      </c>
      <c r="D1747" s="17" t="n">
        <f aca="false">$C1747+DIAS_POR_SEMANA-1</f>
        <v>46446</v>
      </c>
      <c r="E1747" s="15" t="s">
        <v>285</v>
      </c>
      <c r="F1747" s="8" t="str">
        <f aca="false">IFERROR(INDEX(CADASTRO_PIVOS!$C$6:$C$41,MATCH($E1747,CADASTRO_PIVOS!$B$6:$B$41,0)),"?")</f>
        <v>RM07</v>
      </c>
      <c r="G1747" s="8" t="str">
        <f aca="false">IFERROR(INDEX(CADASTRO_PIVOS!$D$6:$D$41,MATCH($E1747,CADASTRO_PIVOS!$B$6:$B$41,0)),"?")</f>
        <v>TR07</v>
      </c>
      <c r="H1747" s="20" t="n">
        <f aca="false">IFERROR(INDEX(CADASTRO_PIVOS!$E$6:$E$41,MATCH($E1747,CADASTRO_PIVOS!$B$6:$B$41,0)),0)</f>
        <v>149.94</v>
      </c>
      <c r="I1747" s="16" t="n">
        <f aca="false">IFERROR(SUMIFS(ROTACAO_RDM!$B$6:$B$71,ROTACAO_RDM!$D$6:$D$71,$E1747,ROTACAO_RDM!$I$6:$I$71,"&lt;="&amp;$C1747+INT(DIAS_POR_SEMANA/2),ROTACAO_RDM!$J$6:$J$71,"&gt;="&amp;$C1747+INT(DIAS_POR_SEMANA/2)),0)</f>
        <v>43</v>
      </c>
      <c r="J1747" s="16" t="n">
        <f aca="false">IFERROR(MATCH($I1747,ROTACAO_RDM!$B$6:$B$71,0),0)</f>
        <v>43</v>
      </c>
      <c r="K1747" s="8" t="str">
        <f aca="false">IF($J1747=0,"SEM CULTURA",INDEX(ROTACAO_RDM!$F$6:$F$71,$J1747))</f>
        <v>ALGODAO</v>
      </c>
      <c r="L1747" s="8" t="str">
        <f aca="false">IF($J1747=0,"",INDEX(ROTACAO_RDM!$G$6:$G$71,$J1747))</f>
        <v>FM 911 GLTP</v>
      </c>
      <c r="M1747" s="17" t="n">
        <f aca="false">IF($J1747=0,"",INDEX(ROTACAO_RDM!$I$6:$I$71,$J1747))</f>
        <v>46415</v>
      </c>
      <c r="N1747" s="16" t="n">
        <f aca="false">IF($J1747=0,0,MAX(0,$C1747+INT(DIAS_POR_SEMANA/2)-INDEX(ROTACAO_RDM!$I$6:$I$71,$J1747)))</f>
        <v>28</v>
      </c>
      <c r="O1747" s="19" t="n">
        <f aca="false">IF($J1747=0,0,MIN(1,$N1747/MAX(1,INDEX(ROTACAO_RDM!$K$6:$K$71,$J1747))))</f>
        <v>0.155555555555556</v>
      </c>
      <c r="P1747" s="16" t="n">
        <f aca="false">IF($J1747=0,0,IFERROR(MATCH(INDEX(ROTACAO_RDM!$N$6:$N$71,$J1747),PARAMETROS_CULTURAS!$B$6:$B$28,0),0))</f>
        <v>4</v>
      </c>
      <c r="Q1747" s="8" t="str">
        <f aca="false">IF($P1747=0,"-",IF($O1747&lt;=INDEX(PARAMETROS_CULTURAS!$F$6:$F$28,$P1747),"INICIAL",IF($O1747&lt;=INDEX(PARAMETROS_CULTURAS!$F$6:$F$28,$P1747)+INDEX(PARAMETROS_CULTURAS!$G$6:$G$28,$P1747),"DESENVOLVIMENTO",IF($O1747&lt;=INDEX(PARAMETROS_CULTURAS!$F$6:$F$28,$P1747)+INDEX(PARAMETROS_CULTURAS!$G$6:$G$28,$P1747)+INDEX(PARAMETROS_CULTURAS!$H$6:$H$28,$P1747),"MEDIA","FINAL"))))</f>
        <v>INICIAL</v>
      </c>
      <c r="R1747" s="24" t="n">
        <f aca="false">IF($P1747=0,0,IF($O1747&lt;=INDEX(PARAMETROS_CULTURAS!$F$6:$F$28,$P1747),INDEX(PARAMETROS_CULTURAS!$K$6:$K$28,$P1747),IF($O1747&lt;=INDEX(PARAMETROS_CULTURAS!$F$6:$F$28,$P1747)+INDEX(PARAMETROS_CULTURAS!$G$6:$G$28,$P1747),INDEX(PARAMETROS_CULTURAS!$K$6:$K$28,$P1747)+(INDEX(PARAMETROS_CULTURAS!$L$6:$L$28,$P1747)-INDEX(PARAMETROS_CULTURAS!$K$6:$K$28,$P1747))*($O1747-INDEX(PARAMETROS_CULTURAS!$F$6:$F$28,$P1747))/MAX(INDEX(PARAMETROS_CULTURAS!$G$6:$G$28,$P1747),0.0001),IF($O1747&lt;=INDEX(PARAMETROS_CULTURAS!$F$6:$F$28,$P1747)+INDEX(PARAMETROS_CULTURAS!$G$6:$G$28,$P1747)+INDEX(PARAMETROS_CULTURAS!$H$6:$H$28,$P1747),INDEX(PARAMETROS_CULTURAS!$L$6:$L$28,$P1747),INDEX(PARAMETROS_CULTURAS!$L$6:$L$28,$P1747)+(INDEX(PARAMETROS_CULTURAS!$M$6:$M$28,$P1747)-INDEX(PARAMETROS_CULTURAS!$L$6:$L$28,$P1747))*($O1747-INDEX(PARAMETROS_CULTURAS!$F$6:$F$28,$P1747)-INDEX(PARAMETROS_CULTURAS!$G$6:$G$28,$P1747)-INDEX(PARAMETROS_CULTURAS!$H$6:$H$28,$P1747))/MAX(INDEX(PARAMETROS_CULTURAS!$I$6:$I$28,$P1747),0.0001)))))</f>
        <v>0.35</v>
      </c>
      <c r="S1747" s="18" t="n">
        <f aca="false">IFERROR(INDEX(SEMANAS!$H$6:$H$71,MATCH($B1747,SEMANAS!$B$6:$B$71,0)),0)</f>
        <v>32.9</v>
      </c>
      <c r="T1747" s="18" t="n">
        <f aca="false">$R1747*$S1747</f>
        <v>11.515</v>
      </c>
      <c r="U1747" s="18" t="n">
        <f aca="false">IFERROR(INDEX(SEMANAS!$I$6:$I$71,MATCH($B1747,SEMANAS!$B$6:$B$71,0)),0)</f>
        <v>39.97</v>
      </c>
      <c r="V1747" s="18" t="n">
        <f aca="false">IFERROR(INDEX(SEMANAS!$J$6:$J$71,MATCH($B1747,SEMANAS!$B$6:$B$71,0)),0)</f>
        <v>31.976</v>
      </c>
      <c r="W1747" s="18" t="n">
        <f aca="false">MAX(0,$T1747-$V1747)</f>
        <v>0</v>
      </c>
      <c r="X1747" s="19" t="n">
        <f aca="false">IFERROR(INDEX(CADASTRO_PIVOS!$K$6:$K$41,MATCH($E1747,CADASTRO_PIVOS!$B$6:$B$41,0)),EFICIENCIA_PADRAO)</f>
        <v>0.85</v>
      </c>
      <c r="Y1747" s="18" t="n">
        <f aca="false">IF($X1747&lt;=0,0,$W1747/$X1747)</f>
        <v>0</v>
      </c>
      <c r="Z1747" s="16" t="n">
        <f aca="false">$Y1747*$H1747*MM_PARA_M3_HA</f>
        <v>0</v>
      </c>
      <c r="AA1747" s="18" t="n">
        <f aca="false">IFERROR(INDEX(CADASTRO_PIVOS!$I$6:$I$41,MATCH($E1747,CADASTRO_PIVOS!$B$6:$B$41,0)),0)</f>
        <v>1071</v>
      </c>
      <c r="AB1747" s="18" t="n">
        <f aca="false">IF($Z1747&lt;=0,0,$Z1747/$AA1747)</f>
        <v>0</v>
      </c>
      <c r="AC1747" s="16" t="n">
        <f aca="false">IFERROR(INDEX(SEMANAS!$K$6:$K$71,MATCH($B1747,SEMANAS!$B$6:$B$71,0)),0)</f>
        <v>147</v>
      </c>
      <c r="AD1747" s="19" t="n">
        <f aca="false">IF($AC1747&lt;=0,0,$AB1747/$AC1747)</f>
        <v>0</v>
      </c>
      <c r="AE1747" s="8" t="str">
        <f aca="false">IF($K1747="SEM CULTURA","SEM CULTURA",IF($AA1747&lt;=0,"DADO PENDENTE",IF($AD1747&gt;LIMITE_CRITICO,"INVIAVEL",IF($AD1747&gt;LIMITE_ATENCAO,"CRITICO",IF($AD1747&gt;LIMITE_CONFORTAVEL,"ATENCAO","OK")))))</f>
        <v>OK</v>
      </c>
      <c r="AF1747" s="8" t="str">
        <f aca="false">$B1747&amp;"|"&amp;TEXT($AD1747,"0.000000")</f>
        <v>26|0.000000</v>
      </c>
      <c r="AG1747" s="18" t="n">
        <f aca="false">IF($K1747="SEM CULTURA",0,$T1747*$H1747)</f>
        <v>1726.5591</v>
      </c>
      <c r="AH1747" s="18" t="n">
        <f aca="false">IF($K1747="SEM CULTURA",0,$V1747*$H1747)</f>
        <v>4794.48144</v>
      </c>
      <c r="AI1747" s="18" t="n">
        <f aca="false">IF($K1747="SEM CULTURA",0,$W1747*$H1747)</f>
        <v>0</v>
      </c>
      <c r="AJ1747" s="18" t="n">
        <f aca="false">IF($K1747="SEM CULTURA",0,$S1747*$H1747)</f>
        <v>4933.026</v>
      </c>
      <c r="AK1747" s="8" t="str">
        <f aca="false">$E1747&amp;"|"&amp;TEXT($AD1747,"0.000000")</f>
        <v>PV 123|0.000000</v>
      </c>
    </row>
    <row r="1748" customFormat="false" ht="15" hidden="false" customHeight="false" outlineLevel="0" collapsed="false">
      <c r="B1748" s="16" t="n">
        <v>27</v>
      </c>
      <c r="C1748" s="17" t="n">
        <f aca="false">DATA_INICIO_SAFRA+($B1748-1)*DIAS_POR_SEMANA</f>
        <v>46447</v>
      </c>
      <c r="D1748" s="17" t="n">
        <f aca="false">$C1748+DIAS_POR_SEMANA-1</f>
        <v>46453</v>
      </c>
      <c r="E1748" s="15" t="s">
        <v>285</v>
      </c>
      <c r="F1748" s="8" t="str">
        <f aca="false">IFERROR(INDEX(CADASTRO_PIVOS!$C$6:$C$41,MATCH($E1748,CADASTRO_PIVOS!$B$6:$B$41,0)),"?")</f>
        <v>RM07</v>
      </c>
      <c r="G1748" s="8" t="str">
        <f aca="false">IFERROR(INDEX(CADASTRO_PIVOS!$D$6:$D$41,MATCH($E1748,CADASTRO_PIVOS!$B$6:$B$41,0)),"?")</f>
        <v>TR07</v>
      </c>
      <c r="H1748" s="20" t="n">
        <f aca="false">IFERROR(INDEX(CADASTRO_PIVOS!$E$6:$E$41,MATCH($E1748,CADASTRO_PIVOS!$B$6:$B$41,0)),0)</f>
        <v>149.94</v>
      </c>
      <c r="I1748" s="16" t="n">
        <f aca="false">IFERROR(SUMIFS(ROTACAO_RDM!$B$6:$B$71,ROTACAO_RDM!$D$6:$D$71,$E1748,ROTACAO_RDM!$I$6:$I$71,"&lt;="&amp;$C1748+INT(DIAS_POR_SEMANA/2),ROTACAO_RDM!$J$6:$J$71,"&gt;="&amp;$C1748+INT(DIAS_POR_SEMANA/2)),0)</f>
        <v>43</v>
      </c>
      <c r="J1748" s="16" t="n">
        <f aca="false">IFERROR(MATCH($I1748,ROTACAO_RDM!$B$6:$B$71,0),0)</f>
        <v>43</v>
      </c>
      <c r="K1748" s="8" t="str">
        <f aca="false">IF($J1748=0,"SEM CULTURA",INDEX(ROTACAO_RDM!$F$6:$F$71,$J1748))</f>
        <v>ALGODAO</v>
      </c>
      <c r="L1748" s="8" t="str">
        <f aca="false">IF($J1748=0,"",INDEX(ROTACAO_RDM!$G$6:$G$71,$J1748))</f>
        <v>FM 911 GLTP</v>
      </c>
      <c r="M1748" s="17" t="n">
        <f aca="false">IF($J1748=0,"",INDEX(ROTACAO_RDM!$I$6:$I$71,$J1748))</f>
        <v>46415</v>
      </c>
      <c r="N1748" s="16" t="n">
        <f aca="false">IF($J1748=0,0,MAX(0,$C1748+INT(DIAS_POR_SEMANA/2)-INDEX(ROTACAO_RDM!$I$6:$I$71,$J1748)))</f>
        <v>35</v>
      </c>
      <c r="O1748" s="19" t="n">
        <f aca="false">IF($J1748=0,0,MIN(1,$N1748/MAX(1,INDEX(ROTACAO_RDM!$K$6:$K$71,$J1748))))</f>
        <v>0.194444444444444</v>
      </c>
      <c r="P1748" s="16" t="n">
        <f aca="false">IF($J1748=0,0,IFERROR(MATCH(INDEX(ROTACAO_RDM!$N$6:$N$71,$J1748),PARAMETROS_CULTURAS!$B$6:$B$28,0),0))</f>
        <v>4</v>
      </c>
      <c r="Q1748" s="8" t="str">
        <f aca="false">IF($P1748=0,"-",IF($O1748&lt;=INDEX(PARAMETROS_CULTURAS!$F$6:$F$28,$P1748),"INICIAL",IF($O1748&lt;=INDEX(PARAMETROS_CULTURAS!$F$6:$F$28,$P1748)+INDEX(PARAMETROS_CULTURAS!$G$6:$G$28,$P1748),"DESENVOLVIMENTO",IF($O1748&lt;=INDEX(PARAMETROS_CULTURAS!$F$6:$F$28,$P1748)+INDEX(PARAMETROS_CULTURAS!$G$6:$G$28,$P1748)+INDEX(PARAMETROS_CULTURAS!$H$6:$H$28,$P1748),"MEDIA","FINAL"))))</f>
        <v>DESENVOLVIMENTO</v>
      </c>
      <c r="R1748" s="24" t="n">
        <f aca="false">IF($P1748=0,0,IF($O1748&lt;=INDEX(PARAMETROS_CULTURAS!$F$6:$F$28,$P1748),INDEX(PARAMETROS_CULTURAS!$K$6:$K$28,$P1748),IF($O1748&lt;=INDEX(PARAMETROS_CULTURAS!$F$6:$F$28,$P1748)+INDEX(PARAMETROS_CULTURAS!$G$6:$G$28,$P1748),INDEX(PARAMETROS_CULTURAS!$K$6:$K$28,$P1748)+(INDEX(PARAMETROS_CULTURAS!$L$6:$L$28,$P1748)-INDEX(PARAMETROS_CULTURAS!$K$6:$K$28,$P1748))*($O1748-INDEX(PARAMETROS_CULTURAS!$F$6:$F$28,$P1748))/MAX(INDEX(PARAMETROS_CULTURAS!$G$6:$G$28,$P1748),0.0001),IF($O1748&lt;=INDEX(PARAMETROS_CULTURAS!$F$6:$F$28,$P1748)+INDEX(PARAMETROS_CULTURAS!$G$6:$G$28,$P1748)+INDEX(PARAMETROS_CULTURAS!$H$6:$H$28,$P1748),INDEX(PARAMETROS_CULTURAS!$L$6:$L$28,$P1748),INDEX(PARAMETROS_CULTURAS!$L$6:$L$28,$P1748)+(INDEX(PARAMETROS_CULTURAS!$M$6:$M$28,$P1748)-INDEX(PARAMETROS_CULTURAS!$L$6:$L$28,$P1748))*($O1748-INDEX(PARAMETROS_CULTURAS!$F$6:$F$28,$P1748)-INDEX(PARAMETROS_CULTURAS!$G$6:$G$28,$P1748)-INDEX(PARAMETROS_CULTURAS!$H$6:$H$28,$P1748))/MAX(INDEX(PARAMETROS_CULTURAS!$I$6:$I$28,$P1748),0.0001)))))</f>
        <v>0.422427983539095</v>
      </c>
      <c r="S1748" s="18" t="n">
        <f aca="false">IFERROR(INDEX(SEMANAS!$H$6:$H$71,MATCH($B1748,SEMANAS!$B$6:$B$71,0)),0)</f>
        <v>32.2</v>
      </c>
      <c r="T1748" s="18" t="n">
        <f aca="false">$R1748*$S1748</f>
        <v>13.6021810699588</v>
      </c>
      <c r="U1748" s="18" t="n">
        <f aca="false">IFERROR(INDEX(SEMANAS!$I$6:$I$71,MATCH($B1748,SEMANAS!$B$6:$B$71,0)),0)</f>
        <v>37.24</v>
      </c>
      <c r="V1748" s="18" t="n">
        <f aca="false">IFERROR(INDEX(SEMANAS!$J$6:$J$71,MATCH($B1748,SEMANAS!$B$6:$B$71,0)),0)</f>
        <v>29.792</v>
      </c>
      <c r="W1748" s="18" t="n">
        <f aca="false">MAX(0,$T1748-$V1748)</f>
        <v>0</v>
      </c>
      <c r="X1748" s="19" t="n">
        <f aca="false">IFERROR(INDEX(CADASTRO_PIVOS!$K$6:$K$41,MATCH($E1748,CADASTRO_PIVOS!$B$6:$B$41,0)),EFICIENCIA_PADRAO)</f>
        <v>0.85</v>
      </c>
      <c r="Y1748" s="18" t="n">
        <f aca="false">IF($X1748&lt;=0,0,$W1748/$X1748)</f>
        <v>0</v>
      </c>
      <c r="Z1748" s="16" t="n">
        <f aca="false">$Y1748*$H1748*MM_PARA_M3_HA</f>
        <v>0</v>
      </c>
      <c r="AA1748" s="18" t="n">
        <f aca="false">IFERROR(INDEX(CADASTRO_PIVOS!$I$6:$I$41,MATCH($E1748,CADASTRO_PIVOS!$B$6:$B$41,0)),0)</f>
        <v>1071</v>
      </c>
      <c r="AB1748" s="18" t="n">
        <f aca="false">IF($Z1748&lt;=0,0,$Z1748/$AA1748)</f>
        <v>0</v>
      </c>
      <c r="AC1748" s="16" t="n">
        <f aca="false">IFERROR(INDEX(SEMANAS!$K$6:$K$71,MATCH($B1748,SEMANAS!$B$6:$B$71,0)),0)</f>
        <v>147</v>
      </c>
      <c r="AD1748" s="19" t="n">
        <f aca="false">IF($AC1748&lt;=0,0,$AB1748/$AC1748)</f>
        <v>0</v>
      </c>
      <c r="AE1748" s="8" t="str">
        <f aca="false">IF($K1748="SEM CULTURA","SEM CULTURA",IF($AA1748&lt;=0,"DADO PENDENTE",IF($AD1748&gt;LIMITE_CRITICO,"INVIAVEL",IF($AD1748&gt;LIMITE_ATENCAO,"CRITICO",IF($AD1748&gt;LIMITE_CONFORTAVEL,"ATENCAO","OK")))))</f>
        <v>OK</v>
      </c>
      <c r="AF1748" s="8" t="str">
        <f aca="false">$B1748&amp;"|"&amp;TEXT($AD1748,"0.000000")</f>
        <v>27|0.000000</v>
      </c>
      <c r="AG1748" s="18" t="n">
        <f aca="false">IF($K1748="SEM CULTURA",0,$T1748*$H1748)</f>
        <v>2039.51102962963</v>
      </c>
      <c r="AH1748" s="18" t="n">
        <f aca="false">IF($K1748="SEM CULTURA",0,$V1748*$H1748)</f>
        <v>4467.01248</v>
      </c>
      <c r="AI1748" s="18" t="n">
        <f aca="false">IF($K1748="SEM CULTURA",0,$W1748*$H1748)</f>
        <v>0</v>
      </c>
      <c r="AJ1748" s="18" t="n">
        <f aca="false">IF($K1748="SEM CULTURA",0,$S1748*$H1748)</f>
        <v>4828.068</v>
      </c>
      <c r="AK1748" s="8" t="str">
        <f aca="false">$E1748&amp;"|"&amp;TEXT($AD1748,"0.000000")</f>
        <v>PV 123|0.000000</v>
      </c>
    </row>
    <row r="1749" customFormat="false" ht="15" hidden="false" customHeight="false" outlineLevel="0" collapsed="false">
      <c r="B1749" s="16" t="n">
        <v>28</v>
      </c>
      <c r="C1749" s="17" t="n">
        <f aca="false">DATA_INICIO_SAFRA+($B1749-1)*DIAS_POR_SEMANA</f>
        <v>46454</v>
      </c>
      <c r="D1749" s="17" t="n">
        <f aca="false">$C1749+DIAS_POR_SEMANA-1</f>
        <v>46460</v>
      </c>
      <c r="E1749" s="15" t="s">
        <v>285</v>
      </c>
      <c r="F1749" s="8" t="str">
        <f aca="false">IFERROR(INDEX(CADASTRO_PIVOS!$C$6:$C$41,MATCH($E1749,CADASTRO_PIVOS!$B$6:$B$41,0)),"?")</f>
        <v>RM07</v>
      </c>
      <c r="G1749" s="8" t="str">
        <f aca="false">IFERROR(INDEX(CADASTRO_PIVOS!$D$6:$D$41,MATCH($E1749,CADASTRO_PIVOS!$B$6:$B$41,0)),"?")</f>
        <v>TR07</v>
      </c>
      <c r="H1749" s="20" t="n">
        <f aca="false">IFERROR(INDEX(CADASTRO_PIVOS!$E$6:$E$41,MATCH($E1749,CADASTRO_PIVOS!$B$6:$B$41,0)),0)</f>
        <v>149.94</v>
      </c>
      <c r="I1749" s="16" t="n">
        <f aca="false">IFERROR(SUMIFS(ROTACAO_RDM!$B$6:$B$71,ROTACAO_RDM!$D$6:$D$71,$E1749,ROTACAO_RDM!$I$6:$I$71,"&lt;="&amp;$C1749+INT(DIAS_POR_SEMANA/2),ROTACAO_RDM!$J$6:$J$71,"&gt;="&amp;$C1749+INT(DIAS_POR_SEMANA/2)),0)</f>
        <v>43</v>
      </c>
      <c r="J1749" s="16" t="n">
        <f aca="false">IFERROR(MATCH($I1749,ROTACAO_RDM!$B$6:$B$71,0),0)</f>
        <v>43</v>
      </c>
      <c r="K1749" s="8" t="str">
        <f aca="false">IF($J1749=0,"SEM CULTURA",INDEX(ROTACAO_RDM!$F$6:$F$71,$J1749))</f>
        <v>ALGODAO</v>
      </c>
      <c r="L1749" s="8" t="str">
        <f aca="false">IF($J1749=0,"",INDEX(ROTACAO_RDM!$G$6:$G$71,$J1749))</f>
        <v>FM 911 GLTP</v>
      </c>
      <c r="M1749" s="17" t="n">
        <f aca="false">IF($J1749=0,"",INDEX(ROTACAO_RDM!$I$6:$I$71,$J1749))</f>
        <v>46415</v>
      </c>
      <c r="N1749" s="16" t="n">
        <f aca="false">IF($J1749=0,0,MAX(0,$C1749+INT(DIAS_POR_SEMANA/2)-INDEX(ROTACAO_RDM!$I$6:$I$71,$J1749)))</f>
        <v>42</v>
      </c>
      <c r="O1749" s="19" t="n">
        <f aca="false">IF($J1749=0,0,MIN(1,$N1749/MAX(1,INDEX(ROTACAO_RDM!$K$6:$K$71,$J1749))))</f>
        <v>0.233333333333333</v>
      </c>
      <c r="P1749" s="16" t="n">
        <f aca="false">IF($J1749=0,0,IFERROR(MATCH(INDEX(ROTACAO_RDM!$N$6:$N$71,$J1749),PARAMETROS_CULTURAS!$B$6:$B$28,0),0))</f>
        <v>4</v>
      </c>
      <c r="Q1749" s="8" t="str">
        <f aca="false">IF($P1749=0,"-",IF($O1749&lt;=INDEX(PARAMETROS_CULTURAS!$F$6:$F$28,$P1749),"INICIAL",IF($O1749&lt;=INDEX(PARAMETROS_CULTURAS!$F$6:$F$28,$P1749)+INDEX(PARAMETROS_CULTURAS!$G$6:$G$28,$P1749),"DESENVOLVIMENTO",IF($O1749&lt;=INDEX(PARAMETROS_CULTURAS!$F$6:$F$28,$P1749)+INDEX(PARAMETROS_CULTURAS!$G$6:$G$28,$P1749)+INDEX(PARAMETROS_CULTURAS!$H$6:$H$28,$P1749),"MEDIA","FINAL"))))</f>
        <v>DESENVOLVIMENTO</v>
      </c>
      <c r="R1749" s="24" t="n">
        <f aca="false">IF($P1749=0,0,IF($O1749&lt;=INDEX(PARAMETROS_CULTURAS!$F$6:$F$28,$P1749),INDEX(PARAMETROS_CULTURAS!$K$6:$K$28,$P1749),IF($O1749&lt;=INDEX(PARAMETROS_CULTURAS!$F$6:$F$28,$P1749)+INDEX(PARAMETROS_CULTURAS!$G$6:$G$28,$P1749),INDEX(PARAMETROS_CULTURAS!$K$6:$K$28,$P1749)+(INDEX(PARAMETROS_CULTURAS!$L$6:$L$28,$P1749)-INDEX(PARAMETROS_CULTURAS!$K$6:$K$28,$P1749))*($O1749-INDEX(PARAMETROS_CULTURAS!$F$6:$F$28,$P1749))/MAX(INDEX(PARAMETROS_CULTURAS!$G$6:$G$28,$P1749),0.0001),IF($O1749&lt;=INDEX(PARAMETROS_CULTURAS!$F$6:$F$28,$P1749)+INDEX(PARAMETROS_CULTURAS!$G$6:$G$28,$P1749)+INDEX(PARAMETROS_CULTURAS!$H$6:$H$28,$P1749),INDEX(PARAMETROS_CULTURAS!$L$6:$L$28,$P1749),INDEX(PARAMETROS_CULTURAS!$L$6:$L$28,$P1749)+(INDEX(PARAMETROS_CULTURAS!$M$6:$M$28,$P1749)-INDEX(PARAMETROS_CULTURAS!$L$6:$L$28,$P1749))*($O1749-INDEX(PARAMETROS_CULTURAS!$F$6:$F$28,$P1749)-INDEX(PARAMETROS_CULTURAS!$G$6:$G$28,$P1749)-INDEX(PARAMETROS_CULTURAS!$H$6:$H$28,$P1749))/MAX(INDEX(PARAMETROS_CULTURAS!$I$6:$I$28,$P1749),0.0001)))))</f>
        <v>0.537654320987654</v>
      </c>
      <c r="S1749" s="18" t="n">
        <f aca="false">IFERROR(INDEX(SEMANAS!$H$6:$H$71,MATCH($B1749,SEMANAS!$B$6:$B$71,0)),0)</f>
        <v>32.2</v>
      </c>
      <c r="T1749" s="18" t="n">
        <f aca="false">$R1749*$S1749</f>
        <v>17.3124691358025</v>
      </c>
      <c r="U1749" s="18" t="n">
        <f aca="false">IFERROR(INDEX(SEMANAS!$I$6:$I$71,MATCH($B1749,SEMANAS!$B$6:$B$71,0)),0)</f>
        <v>37.24</v>
      </c>
      <c r="V1749" s="18" t="n">
        <f aca="false">IFERROR(INDEX(SEMANAS!$J$6:$J$71,MATCH($B1749,SEMANAS!$B$6:$B$71,0)),0)</f>
        <v>29.792</v>
      </c>
      <c r="W1749" s="18" t="n">
        <f aca="false">MAX(0,$T1749-$V1749)</f>
        <v>0</v>
      </c>
      <c r="X1749" s="19" t="n">
        <f aca="false">IFERROR(INDEX(CADASTRO_PIVOS!$K$6:$K$41,MATCH($E1749,CADASTRO_PIVOS!$B$6:$B$41,0)),EFICIENCIA_PADRAO)</f>
        <v>0.85</v>
      </c>
      <c r="Y1749" s="18" t="n">
        <f aca="false">IF($X1749&lt;=0,0,$W1749/$X1749)</f>
        <v>0</v>
      </c>
      <c r="Z1749" s="16" t="n">
        <f aca="false">$Y1749*$H1749*MM_PARA_M3_HA</f>
        <v>0</v>
      </c>
      <c r="AA1749" s="18" t="n">
        <f aca="false">IFERROR(INDEX(CADASTRO_PIVOS!$I$6:$I$41,MATCH($E1749,CADASTRO_PIVOS!$B$6:$B$41,0)),0)</f>
        <v>1071</v>
      </c>
      <c r="AB1749" s="18" t="n">
        <f aca="false">IF($Z1749&lt;=0,0,$Z1749/$AA1749)</f>
        <v>0</v>
      </c>
      <c r="AC1749" s="16" t="n">
        <f aca="false">IFERROR(INDEX(SEMANAS!$K$6:$K$71,MATCH($B1749,SEMANAS!$B$6:$B$71,0)),0)</f>
        <v>147</v>
      </c>
      <c r="AD1749" s="19" t="n">
        <f aca="false">IF($AC1749&lt;=0,0,$AB1749/$AC1749)</f>
        <v>0</v>
      </c>
      <c r="AE1749" s="8" t="str">
        <f aca="false">IF($K1749="SEM CULTURA","SEM CULTURA",IF($AA1749&lt;=0,"DADO PENDENTE",IF($AD1749&gt;LIMITE_CRITICO,"INVIAVEL",IF($AD1749&gt;LIMITE_ATENCAO,"CRITICO",IF($AD1749&gt;LIMITE_CONFORTAVEL,"ATENCAO","OK")))))</f>
        <v>OK</v>
      </c>
      <c r="AF1749" s="8" t="str">
        <f aca="false">$B1749&amp;"|"&amp;TEXT($AD1749,"0.000000")</f>
        <v>28|0.000000</v>
      </c>
      <c r="AG1749" s="18" t="n">
        <f aca="false">IF($K1749="SEM CULTURA",0,$T1749*$H1749)</f>
        <v>2595.83162222222</v>
      </c>
      <c r="AH1749" s="18" t="n">
        <f aca="false">IF($K1749="SEM CULTURA",0,$V1749*$H1749)</f>
        <v>4467.01248</v>
      </c>
      <c r="AI1749" s="18" t="n">
        <f aca="false">IF($K1749="SEM CULTURA",0,$W1749*$H1749)</f>
        <v>0</v>
      </c>
      <c r="AJ1749" s="18" t="n">
        <f aca="false">IF($K1749="SEM CULTURA",0,$S1749*$H1749)</f>
        <v>4828.068</v>
      </c>
      <c r="AK1749" s="8" t="str">
        <f aca="false">$E1749&amp;"|"&amp;TEXT($AD1749,"0.000000")</f>
        <v>PV 123|0.000000</v>
      </c>
    </row>
    <row r="1750" customFormat="false" ht="15" hidden="false" customHeight="false" outlineLevel="0" collapsed="false">
      <c r="B1750" s="16" t="n">
        <v>29</v>
      </c>
      <c r="C1750" s="17" t="n">
        <f aca="false">DATA_INICIO_SAFRA+($B1750-1)*DIAS_POR_SEMANA</f>
        <v>46461</v>
      </c>
      <c r="D1750" s="17" t="n">
        <f aca="false">$C1750+DIAS_POR_SEMANA-1</f>
        <v>46467</v>
      </c>
      <c r="E1750" s="15" t="s">
        <v>285</v>
      </c>
      <c r="F1750" s="8" t="str">
        <f aca="false">IFERROR(INDEX(CADASTRO_PIVOS!$C$6:$C$41,MATCH($E1750,CADASTRO_PIVOS!$B$6:$B$41,0)),"?")</f>
        <v>RM07</v>
      </c>
      <c r="G1750" s="8" t="str">
        <f aca="false">IFERROR(INDEX(CADASTRO_PIVOS!$D$6:$D$41,MATCH($E1750,CADASTRO_PIVOS!$B$6:$B$41,0)),"?")</f>
        <v>TR07</v>
      </c>
      <c r="H1750" s="20" t="n">
        <f aca="false">IFERROR(INDEX(CADASTRO_PIVOS!$E$6:$E$41,MATCH($E1750,CADASTRO_PIVOS!$B$6:$B$41,0)),0)</f>
        <v>149.94</v>
      </c>
      <c r="I1750" s="16" t="n">
        <f aca="false">IFERROR(SUMIFS(ROTACAO_RDM!$B$6:$B$71,ROTACAO_RDM!$D$6:$D$71,$E1750,ROTACAO_RDM!$I$6:$I$71,"&lt;="&amp;$C1750+INT(DIAS_POR_SEMANA/2),ROTACAO_RDM!$J$6:$J$71,"&gt;="&amp;$C1750+INT(DIAS_POR_SEMANA/2)),0)</f>
        <v>43</v>
      </c>
      <c r="J1750" s="16" t="n">
        <f aca="false">IFERROR(MATCH($I1750,ROTACAO_RDM!$B$6:$B$71,0),0)</f>
        <v>43</v>
      </c>
      <c r="K1750" s="8" t="str">
        <f aca="false">IF($J1750=0,"SEM CULTURA",INDEX(ROTACAO_RDM!$F$6:$F$71,$J1750))</f>
        <v>ALGODAO</v>
      </c>
      <c r="L1750" s="8" t="str">
        <f aca="false">IF($J1750=0,"",INDEX(ROTACAO_RDM!$G$6:$G$71,$J1750))</f>
        <v>FM 911 GLTP</v>
      </c>
      <c r="M1750" s="17" t="n">
        <f aca="false">IF($J1750=0,"",INDEX(ROTACAO_RDM!$I$6:$I$71,$J1750))</f>
        <v>46415</v>
      </c>
      <c r="N1750" s="16" t="n">
        <f aca="false">IF($J1750=0,0,MAX(0,$C1750+INT(DIAS_POR_SEMANA/2)-INDEX(ROTACAO_RDM!$I$6:$I$71,$J1750)))</f>
        <v>49</v>
      </c>
      <c r="O1750" s="19" t="n">
        <f aca="false">IF($J1750=0,0,MIN(1,$N1750/MAX(1,INDEX(ROTACAO_RDM!$K$6:$K$71,$J1750))))</f>
        <v>0.272222222222222</v>
      </c>
      <c r="P1750" s="16" t="n">
        <f aca="false">IF($J1750=0,0,IFERROR(MATCH(INDEX(ROTACAO_RDM!$N$6:$N$71,$J1750),PARAMETROS_CULTURAS!$B$6:$B$28,0),0))</f>
        <v>4</v>
      </c>
      <c r="Q1750" s="8" t="str">
        <f aca="false">IF($P1750=0,"-",IF($O1750&lt;=INDEX(PARAMETROS_CULTURAS!$F$6:$F$28,$P1750),"INICIAL",IF($O1750&lt;=INDEX(PARAMETROS_CULTURAS!$F$6:$F$28,$P1750)+INDEX(PARAMETROS_CULTURAS!$G$6:$G$28,$P1750),"DESENVOLVIMENTO",IF($O1750&lt;=INDEX(PARAMETROS_CULTURAS!$F$6:$F$28,$P1750)+INDEX(PARAMETROS_CULTURAS!$G$6:$G$28,$P1750)+INDEX(PARAMETROS_CULTURAS!$H$6:$H$28,$P1750),"MEDIA","FINAL"))))</f>
        <v>DESENVOLVIMENTO</v>
      </c>
      <c r="R1750" s="24" t="n">
        <f aca="false">IF($P1750=0,0,IF($O1750&lt;=INDEX(PARAMETROS_CULTURAS!$F$6:$F$28,$P1750),INDEX(PARAMETROS_CULTURAS!$K$6:$K$28,$P1750),IF($O1750&lt;=INDEX(PARAMETROS_CULTURAS!$F$6:$F$28,$P1750)+INDEX(PARAMETROS_CULTURAS!$G$6:$G$28,$P1750),INDEX(PARAMETROS_CULTURAS!$K$6:$K$28,$P1750)+(INDEX(PARAMETROS_CULTURAS!$L$6:$L$28,$P1750)-INDEX(PARAMETROS_CULTURAS!$K$6:$K$28,$P1750))*($O1750-INDEX(PARAMETROS_CULTURAS!$F$6:$F$28,$P1750))/MAX(INDEX(PARAMETROS_CULTURAS!$G$6:$G$28,$P1750),0.0001),IF($O1750&lt;=INDEX(PARAMETROS_CULTURAS!$F$6:$F$28,$P1750)+INDEX(PARAMETROS_CULTURAS!$G$6:$G$28,$P1750)+INDEX(PARAMETROS_CULTURAS!$H$6:$H$28,$P1750),INDEX(PARAMETROS_CULTURAS!$L$6:$L$28,$P1750),INDEX(PARAMETROS_CULTURAS!$L$6:$L$28,$P1750)+(INDEX(PARAMETROS_CULTURAS!$M$6:$M$28,$P1750)-INDEX(PARAMETROS_CULTURAS!$L$6:$L$28,$P1750))*($O1750-INDEX(PARAMETROS_CULTURAS!$F$6:$F$28,$P1750)-INDEX(PARAMETROS_CULTURAS!$G$6:$G$28,$P1750)-INDEX(PARAMETROS_CULTURAS!$H$6:$H$28,$P1750))/MAX(INDEX(PARAMETROS_CULTURAS!$I$6:$I$28,$P1750),0.0001)))))</f>
        <v>0.652880658436214</v>
      </c>
      <c r="S1750" s="18" t="n">
        <f aca="false">IFERROR(INDEX(SEMANAS!$H$6:$H$71,MATCH($B1750,SEMANAS!$B$6:$B$71,0)),0)</f>
        <v>32.2</v>
      </c>
      <c r="T1750" s="18" t="n">
        <f aca="false">$R1750*$S1750</f>
        <v>21.0227572016461</v>
      </c>
      <c r="U1750" s="18" t="n">
        <f aca="false">IFERROR(INDEX(SEMANAS!$I$6:$I$71,MATCH($B1750,SEMANAS!$B$6:$B$71,0)),0)</f>
        <v>37.24</v>
      </c>
      <c r="V1750" s="18" t="n">
        <f aca="false">IFERROR(INDEX(SEMANAS!$J$6:$J$71,MATCH($B1750,SEMANAS!$B$6:$B$71,0)),0)</f>
        <v>29.792</v>
      </c>
      <c r="W1750" s="18" t="n">
        <f aca="false">MAX(0,$T1750-$V1750)</f>
        <v>0</v>
      </c>
      <c r="X1750" s="19" t="n">
        <f aca="false">IFERROR(INDEX(CADASTRO_PIVOS!$K$6:$K$41,MATCH($E1750,CADASTRO_PIVOS!$B$6:$B$41,0)),EFICIENCIA_PADRAO)</f>
        <v>0.85</v>
      </c>
      <c r="Y1750" s="18" t="n">
        <f aca="false">IF($X1750&lt;=0,0,$W1750/$X1750)</f>
        <v>0</v>
      </c>
      <c r="Z1750" s="16" t="n">
        <f aca="false">$Y1750*$H1750*MM_PARA_M3_HA</f>
        <v>0</v>
      </c>
      <c r="AA1750" s="18" t="n">
        <f aca="false">IFERROR(INDEX(CADASTRO_PIVOS!$I$6:$I$41,MATCH($E1750,CADASTRO_PIVOS!$B$6:$B$41,0)),0)</f>
        <v>1071</v>
      </c>
      <c r="AB1750" s="18" t="n">
        <f aca="false">IF($Z1750&lt;=0,0,$Z1750/$AA1750)</f>
        <v>0</v>
      </c>
      <c r="AC1750" s="16" t="n">
        <f aca="false">IFERROR(INDEX(SEMANAS!$K$6:$K$71,MATCH($B1750,SEMANAS!$B$6:$B$71,0)),0)</f>
        <v>147</v>
      </c>
      <c r="AD1750" s="19" t="n">
        <f aca="false">IF($AC1750&lt;=0,0,$AB1750/$AC1750)</f>
        <v>0</v>
      </c>
      <c r="AE1750" s="8" t="str">
        <f aca="false">IF($K1750="SEM CULTURA","SEM CULTURA",IF($AA1750&lt;=0,"DADO PENDENTE",IF($AD1750&gt;LIMITE_CRITICO,"INVIAVEL",IF($AD1750&gt;LIMITE_ATENCAO,"CRITICO",IF($AD1750&gt;LIMITE_CONFORTAVEL,"ATENCAO","OK")))))</f>
        <v>OK</v>
      </c>
      <c r="AF1750" s="8" t="str">
        <f aca="false">$B1750&amp;"|"&amp;TEXT($AD1750,"0.000000")</f>
        <v>29|0.000000</v>
      </c>
      <c r="AG1750" s="18" t="n">
        <f aca="false">IF($K1750="SEM CULTURA",0,$T1750*$H1750)</f>
        <v>3152.15221481481</v>
      </c>
      <c r="AH1750" s="18" t="n">
        <f aca="false">IF($K1750="SEM CULTURA",0,$V1750*$H1750)</f>
        <v>4467.01248</v>
      </c>
      <c r="AI1750" s="18" t="n">
        <f aca="false">IF($K1750="SEM CULTURA",0,$W1750*$H1750)</f>
        <v>0</v>
      </c>
      <c r="AJ1750" s="18" t="n">
        <f aca="false">IF($K1750="SEM CULTURA",0,$S1750*$H1750)</f>
        <v>4828.068</v>
      </c>
      <c r="AK1750" s="8" t="str">
        <f aca="false">$E1750&amp;"|"&amp;TEXT($AD1750,"0.000000")</f>
        <v>PV 123|0.000000</v>
      </c>
    </row>
    <row r="1751" customFormat="false" ht="15" hidden="false" customHeight="false" outlineLevel="0" collapsed="false">
      <c r="B1751" s="16" t="n">
        <v>30</v>
      </c>
      <c r="C1751" s="17" t="n">
        <f aca="false">DATA_INICIO_SAFRA+($B1751-1)*DIAS_POR_SEMANA</f>
        <v>46468</v>
      </c>
      <c r="D1751" s="17" t="n">
        <f aca="false">$C1751+DIAS_POR_SEMANA-1</f>
        <v>46474</v>
      </c>
      <c r="E1751" s="15" t="s">
        <v>285</v>
      </c>
      <c r="F1751" s="8" t="str">
        <f aca="false">IFERROR(INDEX(CADASTRO_PIVOS!$C$6:$C$41,MATCH($E1751,CADASTRO_PIVOS!$B$6:$B$41,0)),"?")</f>
        <v>RM07</v>
      </c>
      <c r="G1751" s="8" t="str">
        <f aca="false">IFERROR(INDEX(CADASTRO_PIVOS!$D$6:$D$41,MATCH($E1751,CADASTRO_PIVOS!$B$6:$B$41,0)),"?")</f>
        <v>TR07</v>
      </c>
      <c r="H1751" s="20" t="n">
        <f aca="false">IFERROR(INDEX(CADASTRO_PIVOS!$E$6:$E$41,MATCH($E1751,CADASTRO_PIVOS!$B$6:$B$41,0)),0)</f>
        <v>149.94</v>
      </c>
      <c r="I1751" s="16" t="n">
        <f aca="false">IFERROR(SUMIFS(ROTACAO_RDM!$B$6:$B$71,ROTACAO_RDM!$D$6:$D$71,$E1751,ROTACAO_RDM!$I$6:$I$71,"&lt;="&amp;$C1751+INT(DIAS_POR_SEMANA/2),ROTACAO_RDM!$J$6:$J$71,"&gt;="&amp;$C1751+INT(DIAS_POR_SEMANA/2)),0)</f>
        <v>43</v>
      </c>
      <c r="J1751" s="16" t="n">
        <f aca="false">IFERROR(MATCH($I1751,ROTACAO_RDM!$B$6:$B$71,0),0)</f>
        <v>43</v>
      </c>
      <c r="K1751" s="8" t="str">
        <f aca="false">IF($J1751=0,"SEM CULTURA",INDEX(ROTACAO_RDM!$F$6:$F$71,$J1751))</f>
        <v>ALGODAO</v>
      </c>
      <c r="L1751" s="8" t="str">
        <f aca="false">IF($J1751=0,"",INDEX(ROTACAO_RDM!$G$6:$G$71,$J1751))</f>
        <v>FM 911 GLTP</v>
      </c>
      <c r="M1751" s="17" t="n">
        <f aca="false">IF($J1751=0,"",INDEX(ROTACAO_RDM!$I$6:$I$71,$J1751))</f>
        <v>46415</v>
      </c>
      <c r="N1751" s="16" t="n">
        <f aca="false">IF($J1751=0,0,MAX(0,$C1751+INT(DIAS_POR_SEMANA/2)-INDEX(ROTACAO_RDM!$I$6:$I$71,$J1751)))</f>
        <v>56</v>
      </c>
      <c r="O1751" s="19" t="n">
        <f aca="false">IF($J1751=0,0,MIN(1,$N1751/MAX(1,INDEX(ROTACAO_RDM!$K$6:$K$71,$J1751))))</f>
        <v>0.311111111111111</v>
      </c>
      <c r="P1751" s="16" t="n">
        <f aca="false">IF($J1751=0,0,IFERROR(MATCH(INDEX(ROTACAO_RDM!$N$6:$N$71,$J1751),PARAMETROS_CULTURAS!$B$6:$B$28,0),0))</f>
        <v>4</v>
      </c>
      <c r="Q1751" s="8" t="str">
        <f aca="false">IF($P1751=0,"-",IF($O1751&lt;=INDEX(PARAMETROS_CULTURAS!$F$6:$F$28,$P1751),"INICIAL",IF($O1751&lt;=INDEX(PARAMETROS_CULTURAS!$F$6:$F$28,$P1751)+INDEX(PARAMETROS_CULTURAS!$G$6:$G$28,$P1751),"DESENVOLVIMENTO",IF($O1751&lt;=INDEX(PARAMETROS_CULTURAS!$F$6:$F$28,$P1751)+INDEX(PARAMETROS_CULTURAS!$G$6:$G$28,$P1751)+INDEX(PARAMETROS_CULTURAS!$H$6:$H$28,$P1751),"MEDIA","FINAL"))))</f>
        <v>DESENVOLVIMENTO</v>
      </c>
      <c r="R1751" s="24" t="n">
        <f aca="false">IF($P1751=0,0,IF($O1751&lt;=INDEX(PARAMETROS_CULTURAS!$F$6:$F$28,$P1751),INDEX(PARAMETROS_CULTURAS!$K$6:$K$28,$P1751),IF($O1751&lt;=INDEX(PARAMETROS_CULTURAS!$F$6:$F$28,$P1751)+INDEX(PARAMETROS_CULTURAS!$G$6:$G$28,$P1751),INDEX(PARAMETROS_CULTURAS!$K$6:$K$28,$P1751)+(INDEX(PARAMETROS_CULTURAS!$L$6:$L$28,$P1751)-INDEX(PARAMETROS_CULTURAS!$K$6:$K$28,$P1751))*($O1751-INDEX(PARAMETROS_CULTURAS!$F$6:$F$28,$P1751))/MAX(INDEX(PARAMETROS_CULTURAS!$G$6:$G$28,$P1751),0.0001),IF($O1751&lt;=INDEX(PARAMETROS_CULTURAS!$F$6:$F$28,$P1751)+INDEX(PARAMETROS_CULTURAS!$G$6:$G$28,$P1751)+INDEX(PARAMETROS_CULTURAS!$H$6:$H$28,$P1751),INDEX(PARAMETROS_CULTURAS!$L$6:$L$28,$P1751),INDEX(PARAMETROS_CULTURAS!$L$6:$L$28,$P1751)+(INDEX(PARAMETROS_CULTURAS!$M$6:$M$28,$P1751)-INDEX(PARAMETROS_CULTURAS!$L$6:$L$28,$P1751))*($O1751-INDEX(PARAMETROS_CULTURAS!$F$6:$F$28,$P1751)-INDEX(PARAMETROS_CULTURAS!$G$6:$G$28,$P1751)-INDEX(PARAMETROS_CULTURAS!$H$6:$H$28,$P1751))/MAX(INDEX(PARAMETROS_CULTURAS!$I$6:$I$28,$P1751),0.0001)))))</f>
        <v>0.768106995884774</v>
      </c>
      <c r="S1751" s="18" t="n">
        <f aca="false">IFERROR(INDEX(SEMANAS!$H$6:$H$71,MATCH($B1751,SEMANAS!$B$6:$B$71,0)),0)</f>
        <v>32.2</v>
      </c>
      <c r="T1751" s="18" t="n">
        <f aca="false">$R1751*$S1751</f>
        <v>24.7330452674897</v>
      </c>
      <c r="U1751" s="18" t="n">
        <f aca="false">IFERROR(INDEX(SEMANAS!$I$6:$I$71,MATCH($B1751,SEMANAS!$B$6:$B$71,0)),0)</f>
        <v>37.24</v>
      </c>
      <c r="V1751" s="18" t="n">
        <f aca="false">IFERROR(INDEX(SEMANAS!$J$6:$J$71,MATCH($B1751,SEMANAS!$B$6:$B$71,0)),0)</f>
        <v>29.792</v>
      </c>
      <c r="W1751" s="18" t="n">
        <f aca="false">MAX(0,$T1751-$V1751)</f>
        <v>0</v>
      </c>
      <c r="X1751" s="19" t="n">
        <f aca="false">IFERROR(INDEX(CADASTRO_PIVOS!$K$6:$K$41,MATCH($E1751,CADASTRO_PIVOS!$B$6:$B$41,0)),EFICIENCIA_PADRAO)</f>
        <v>0.85</v>
      </c>
      <c r="Y1751" s="18" t="n">
        <f aca="false">IF($X1751&lt;=0,0,$W1751/$X1751)</f>
        <v>0</v>
      </c>
      <c r="Z1751" s="16" t="n">
        <f aca="false">$Y1751*$H1751*MM_PARA_M3_HA</f>
        <v>0</v>
      </c>
      <c r="AA1751" s="18" t="n">
        <f aca="false">IFERROR(INDEX(CADASTRO_PIVOS!$I$6:$I$41,MATCH($E1751,CADASTRO_PIVOS!$B$6:$B$41,0)),0)</f>
        <v>1071</v>
      </c>
      <c r="AB1751" s="18" t="n">
        <f aca="false">IF($Z1751&lt;=0,0,$Z1751/$AA1751)</f>
        <v>0</v>
      </c>
      <c r="AC1751" s="16" t="n">
        <f aca="false">IFERROR(INDEX(SEMANAS!$K$6:$K$71,MATCH($B1751,SEMANAS!$B$6:$B$71,0)),0)</f>
        <v>147</v>
      </c>
      <c r="AD1751" s="19" t="n">
        <f aca="false">IF($AC1751&lt;=0,0,$AB1751/$AC1751)</f>
        <v>0</v>
      </c>
      <c r="AE1751" s="8" t="str">
        <f aca="false">IF($K1751="SEM CULTURA","SEM CULTURA",IF($AA1751&lt;=0,"DADO PENDENTE",IF($AD1751&gt;LIMITE_CRITICO,"INVIAVEL",IF($AD1751&gt;LIMITE_ATENCAO,"CRITICO",IF($AD1751&gt;LIMITE_CONFORTAVEL,"ATENCAO","OK")))))</f>
        <v>OK</v>
      </c>
      <c r="AF1751" s="8" t="str">
        <f aca="false">$B1751&amp;"|"&amp;TEXT($AD1751,"0.000000")</f>
        <v>30|0.000000</v>
      </c>
      <c r="AG1751" s="18" t="n">
        <f aca="false">IF($K1751="SEM CULTURA",0,$T1751*$H1751)</f>
        <v>3708.47280740741</v>
      </c>
      <c r="AH1751" s="18" t="n">
        <f aca="false">IF($K1751="SEM CULTURA",0,$V1751*$H1751)</f>
        <v>4467.01248</v>
      </c>
      <c r="AI1751" s="18" t="n">
        <f aca="false">IF($K1751="SEM CULTURA",0,$W1751*$H1751)</f>
        <v>0</v>
      </c>
      <c r="AJ1751" s="18" t="n">
        <f aca="false">IF($K1751="SEM CULTURA",0,$S1751*$H1751)</f>
        <v>4828.068</v>
      </c>
      <c r="AK1751" s="8" t="str">
        <f aca="false">$E1751&amp;"|"&amp;TEXT($AD1751,"0.000000")</f>
        <v>PV 123|0.000000</v>
      </c>
    </row>
    <row r="1752" customFormat="false" ht="15" hidden="false" customHeight="false" outlineLevel="0" collapsed="false">
      <c r="B1752" s="16" t="n">
        <v>31</v>
      </c>
      <c r="C1752" s="17" t="n">
        <f aca="false">DATA_INICIO_SAFRA+($B1752-1)*DIAS_POR_SEMANA</f>
        <v>46475</v>
      </c>
      <c r="D1752" s="17" t="n">
        <f aca="false">$C1752+DIAS_POR_SEMANA-1</f>
        <v>46481</v>
      </c>
      <c r="E1752" s="15" t="s">
        <v>285</v>
      </c>
      <c r="F1752" s="8" t="str">
        <f aca="false">IFERROR(INDEX(CADASTRO_PIVOS!$C$6:$C$41,MATCH($E1752,CADASTRO_PIVOS!$B$6:$B$41,0)),"?")</f>
        <v>RM07</v>
      </c>
      <c r="G1752" s="8" t="str">
        <f aca="false">IFERROR(INDEX(CADASTRO_PIVOS!$D$6:$D$41,MATCH($E1752,CADASTRO_PIVOS!$B$6:$B$41,0)),"?")</f>
        <v>TR07</v>
      </c>
      <c r="H1752" s="20" t="n">
        <f aca="false">IFERROR(INDEX(CADASTRO_PIVOS!$E$6:$E$41,MATCH($E1752,CADASTRO_PIVOS!$B$6:$B$41,0)),0)</f>
        <v>149.94</v>
      </c>
      <c r="I1752" s="16" t="n">
        <f aca="false">IFERROR(SUMIFS(ROTACAO_RDM!$B$6:$B$71,ROTACAO_RDM!$D$6:$D$71,$E1752,ROTACAO_RDM!$I$6:$I$71,"&lt;="&amp;$C1752+INT(DIAS_POR_SEMANA/2),ROTACAO_RDM!$J$6:$J$71,"&gt;="&amp;$C1752+INT(DIAS_POR_SEMANA/2)),0)</f>
        <v>43</v>
      </c>
      <c r="J1752" s="16" t="n">
        <f aca="false">IFERROR(MATCH($I1752,ROTACAO_RDM!$B$6:$B$71,0),0)</f>
        <v>43</v>
      </c>
      <c r="K1752" s="8" t="str">
        <f aca="false">IF($J1752=0,"SEM CULTURA",INDEX(ROTACAO_RDM!$F$6:$F$71,$J1752))</f>
        <v>ALGODAO</v>
      </c>
      <c r="L1752" s="8" t="str">
        <f aca="false">IF($J1752=0,"",INDEX(ROTACAO_RDM!$G$6:$G$71,$J1752))</f>
        <v>FM 911 GLTP</v>
      </c>
      <c r="M1752" s="17" t="n">
        <f aca="false">IF($J1752=0,"",INDEX(ROTACAO_RDM!$I$6:$I$71,$J1752))</f>
        <v>46415</v>
      </c>
      <c r="N1752" s="16" t="n">
        <f aca="false">IF($J1752=0,0,MAX(0,$C1752+INT(DIAS_POR_SEMANA/2)-INDEX(ROTACAO_RDM!$I$6:$I$71,$J1752)))</f>
        <v>63</v>
      </c>
      <c r="O1752" s="19" t="n">
        <f aca="false">IF($J1752=0,0,MIN(1,$N1752/MAX(1,INDEX(ROTACAO_RDM!$K$6:$K$71,$J1752))))</f>
        <v>0.35</v>
      </c>
      <c r="P1752" s="16" t="n">
        <f aca="false">IF($J1752=0,0,IFERROR(MATCH(INDEX(ROTACAO_RDM!$N$6:$N$71,$J1752),PARAMETROS_CULTURAS!$B$6:$B$28,0),0))</f>
        <v>4</v>
      </c>
      <c r="Q1752" s="8" t="str">
        <f aca="false">IF($P1752=0,"-",IF($O1752&lt;=INDEX(PARAMETROS_CULTURAS!$F$6:$F$28,$P1752),"INICIAL",IF($O1752&lt;=INDEX(PARAMETROS_CULTURAS!$F$6:$F$28,$P1752)+INDEX(PARAMETROS_CULTURAS!$G$6:$G$28,$P1752),"DESENVOLVIMENTO",IF($O1752&lt;=INDEX(PARAMETROS_CULTURAS!$F$6:$F$28,$P1752)+INDEX(PARAMETROS_CULTURAS!$G$6:$G$28,$P1752)+INDEX(PARAMETROS_CULTURAS!$H$6:$H$28,$P1752),"MEDIA","FINAL"))))</f>
        <v>DESENVOLVIMENTO</v>
      </c>
      <c r="R1752" s="24" t="n">
        <f aca="false">IF($P1752=0,0,IF($O1752&lt;=INDEX(PARAMETROS_CULTURAS!$F$6:$F$28,$P1752),INDEX(PARAMETROS_CULTURAS!$K$6:$K$28,$P1752),IF($O1752&lt;=INDEX(PARAMETROS_CULTURAS!$F$6:$F$28,$P1752)+INDEX(PARAMETROS_CULTURAS!$G$6:$G$28,$P1752),INDEX(PARAMETROS_CULTURAS!$K$6:$K$28,$P1752)+(INDEX(PARAMETROS_CULTURAS!$L$6:$L$28,$P1752)-INDEX(PARAMETROS_CULTURAS!$K$6:$K$28,$P1752))*($O1752-INDEX(PARAMETROS_CULTURAS!$F$6:$F$28,$P1752))/MAX(INDEX(PARAMETROS_CULTURAS!$G$6:$G$28,$P1752),0.0001),IF($O1752&lt;=INDEX(PARAMETROS_CULTURAS!$F$6:$F$28,$P1752)+INDEX(PARAMETROS_CULTURAS!$G$6:$G$28,$P1752)+INDEX(PARAMETROS_CULTURAS!$H$6:$H$28,$P1752),INDEX(PARAMETROS_CULTURAS!$L$6:$L$28,$P1752),INDEX(PARAMETROS_CULTURAS!$L$6:$L$28,$P1752)+(INDEX(PARAMETROS_CULTURAS!$M$6:$M$28,$P1752)-INDEX(PARAMETROS_CULTURAS!$L$6:$L$28,$P1752))*($O1752-INDEX(PARAMETROS_CULTURAS!$F$6:$F$28,$P1752)-INDEX(PARAMETROS_CULTURAS!$G$6:$G$28,$P1752)-INDEX(PARAMETROS_CULTURAS!$H$6:$H$28,$P1752))/MAX(INDEX(PARAMETROS_CULTURAS!$I$6:$I$28,$P1752),0.0001)))))</f>
        <v>0.883333333333333</v>
      </c>
      <c r="S1752" s="18" t="n">
        <f aca="false">IFERROR(INDEX(SEMANAS!$H$6:$H$71,MATCH($B1752,SEMANAS!$B$6:$B$71,0)),0)</f>
        <v>31.8</v>
      </c>
      <c r="T1752" s="18" t="n">
        <f aca="false">$R1752*$S1752</f>
        <v>28.09</v>
      </c>
      <c r="U1752" s="18" t="n">
        <f aca="false">IFERROR(INDEX(SEMANAS!$I$6:$I$71,MATCH($B1752,SEMANAS!$B$6:$B$71,0)),0)</f>
        <v>25.28</v>
      </c>
      <c r="V1752" s="18" t="n">
        <f aca="false">IFERROR(INDEX(SEMANAS!$J$6:$J$71,MATCH($B1752,SEMANAS!$B$6:$B$71,0)),0)</f>
        <v>20.224</v>
      </c>
      <c r="W1752" s="18" t="n">
        <f aca="false">MAX(0,$T1752-$V1752)</f>
        <v>7.86599999999999</v>
      </c>
      <c r="X1752" s="19" t="n">
        <f aca="false">IFERROR(INDEX(CADASTRO_PIVOS!$K$6:$K$41,MATCH($E1752,CADASTRO_PIVOS!$B$6:$B$41,0)),EFICIENCIA_PADRAO)</f>
        <v>0.85</v>
      </c>
      <c r="Y1752" s="18" t="n">
        <f aca="false">IF($X1752&lt;=0,0,$W1752/$X1752)</f>
        <v>9.25411764705881</v>
      </c>
      <c r="Z1752" s="16" t="n">
        <f aca="false">$Y1752*$H1752*MM_PARA_M3_HA</f>
        <v>13875.624</v>
      </c>
      <c r="AA1752" s="18" t="n">
        <f aca="false">IFERROR(INDEX(CADASTRO_PIVOS!$I$6:$I$41,MATCH($E1752,CADASTRO_PIVOS!$B$6:$B$41,0)),0)</f>
        <v>1071</v>
      </c>
      <c r="AB1752" s="18" t="n">
        <f aca="false">IF($Z1752&lt;=0,0,$Z1752/$AA1752)</f>
        <v>12.9557647058823</v>
      </c>
      <c r="AC1752" s="16" t="n">
        <f aca="false">IFERROR(INDEX(SEMANAS!$K$6:$K$71,MATCH($B1752,SEMANAS!$B$6:$B$71,0)),0)</f>
        <v>147</v>
      </c>
      <c r="AD1752" s="19" t="n">
        <f aca="false">IF($AC1752&lt;=0,0,$AB1752/$AC1752)</f>
        <v>0.0881344537815125</v>
      </c>
      <c r="AE1752" s="8" t="str">
        <f aca="false">IF($K1752="SEM CULTURA","SEM CULTURA",IF($AA1752&lt;=0,"DADO PENDENTE",IF($AD1752&gt;LIMITE_CRITICO,"INVIAVEL",IF($AD1752&gt;LIMITE_ATENCAO,"CRITICO",IF($AD1752&gt;LIMITE_CONFORTAVEL,"ATENCAO","OK")))))</f>
        <v>OK</v>
      </c>
      <c r="AF1752" s="8" t="str">
        <f aca="false">$B1752&amp;"|"&amp;TEXT($AD1752,"0.000000")</f>
        <v>31|0.088134</v>
      </c>
      <c r="AG1752" s="18" t="n">
        <f aca="false">IF($K1752="SEM CULTURA",0,$T1752*$H1752)</f>
        <v>4211.8146</v>
      </c>
      <c r="AH1752" s="18" t="n">
        <f aca="false">IF($K1752="SEM CULTURA",0,$V1752*$H1752)</f>
        <v>3032.38656</v>
      </c>
      <c r="AI1752" s="18" t="n">
        <f aca="false">IF($K1752="SEM CULTURA",0,$W1752*$H1752)</f>
        <v>1179.42804</v>
      </c>
      <c r="AJ1752" s="18" t="n">
        <f aca="false">IF($K1752="SEM CULTURA",0,$S1752*$H1752)</f>
        <v>4768.092</v>
      </c>
      <c r="AK1752" s="8" t="str">
        <f aca="false">$E1752&amp;"|"&amp;TEXT($AD1752,"0.000000")</f>
        <v>PV 123|0.088134</v>
      </c>
    </row>
    <row r="1753" customFormat="false" ht="15" hidden="false" customHeight="false" outlineLevel="0" collapsed="false">
      <c r="B1753" s="16" t="n">
        <v>32</v>
      </c>
      <c r="C1753" s="17" t="n">
        <f aca="false">DATA_INICIO_SAFRA+($B1753-1)*DIAS_POR_SEMANA</f>
        <v>46482</v>
      </c>
      <c r="D1753" s="17" t="n">
        <f aca="false">$C1753+DIAS_POR_SEMANA-1</f>
        <v>46488</v>
      </c>
      <c r="E1753" s="15" t="s">
        <v>285</v>
      </c>
      <c r="F1753" s="8" t="str">
        <f aca="false">IFERROR(INDEX(CADASTRO_PIVOS!$C$6:$C$41,MATCH($E1753,CADASTRO_PIVOS!$B$6:$B$41,0)),"?")</f>
        <v>RM07</v>
      </c>
      <c r="G1753" s="8" t="str">
        <f aca="false">IFERROR(INDEX(CADASTRO_PIVOS!$D$6:$D$41,MATCH($E1753,CADASTRO_PIVOS!$B$6:$B$41,0)),"?")</f>
        <v>TR07</v>
      </c>
      <c r="H1753" s="20" t="n">
        <f aca="false">IFERROR(INDEX(CADASTRO_PIVOS!$E$6:$E$41,MATCH($E1753,CADASTRO_PIVOS!$B$6:$B$41,0)),0)</f>
        <v>149.94</v>
      </c>
      <c r="I1753" s="16" t="n">
        <f aca="false">IFERROR(SUMIFS(ROTACAO_RDM!$B$6:$B$71,ROTACAO_RDM!$D$6:$D$71,$E1753,ROTACAO_RDM!$I$6:$I$71,"&lt;="&amp;$C1753+INT(DIAS_POR_SEMANA/2),ROTACAO_RDM!$J$6:$J$71,"&gt;="&amp;$C1753+INT(DIAS_POR_SEMANA/2)),0)</f>
        <v>43</v>
      </c>
      <c r="J1753" s="16" t="n">
        <f aca="false">IFERROR(MATCH($I1753,ROTACAO_RDM!$B$6:$B$71,0),0)</f>
        <v>43</v>
      </c>
      <c r="K1753" s="8" t="str">
        <f aca="false">IF($J1753=0,"SEM CULTURA",INDEX(ROTACAO_RDM!$F$6:$F$71,$J1753))</f>
        <v>ALGODAO</v>
      </c>
      <c r="L1753" s="8" t="str">
        <f aca="false">IF($J1753=0,"",INDEX(ROTACAO_RDM!$G$6:$G$71,$J1753))</f>
        <v>FM 911 GLTP</v>
      </c>
      <c r="M1753" s="17" t="n">
        <f aca="false">IF($J1753=0,"",INDEX(ROTACAO_RDM!$I$6:$I$71,$J1753))</f>
        <v>46415</v>
      </c>
      <c r="N1753" s="16" t="n">
        <f aca="false">IF($J1753=0,0,MAX(0,$C1753+INT(DIAS_POR_SEMANA/2)-INDEX(ROTACAO_RDM!$I$6:$I$71,$J1753)))</f>
        <v>70</v>
      </c>
      <c r="O1753" s="19" t="n">
        <f aca="false">IF($J1753=0,0,MIN(1,$N1753/MAX(1,INDEX(ROTACAO_RDM!$K$6:$K$71,$J1753))))</f>
        <v>0.388888888888889</v>
      </c>
      <c r="P1753" s="16" t="n">
        <f aca="false">IF($J1753=0,0,IFERROR(MATCH(INDEX(ROTACAO_RDM!$N$6:$N$71,$J1753),PARAMETROS_CULTURAS!$B$6:$B$28,0),0))</f>
        <v>4</v>
      </c>
      <c r="Q1753" s="8" t="str">
        <f aca="false">IF($P1753=0,"-",IF($O1753&lt;=INDEX(PARAMETROS_CULTURAS!$F$6:$F$28,$P1753),"INICIAL",IF($O1753&lt;=INDEX(PARAMETROS_CULTURAS!$F$6:$F$28,$P1753)+INDEX(PARAMETROS_CULTURAS!$G$6:$G$28,$P1753),"DESENVOLVIMENTO",IF($O1753&lt;=INDEX(PARAMETROS_CULTURAS!$F$6:$F$28,$P1753)+INDEX(PARAMETROS_CULTURAS!$G$6:$G$28,$P1753)+INDEX(PARAMETROS_CULTURAS!$H$6:$H$28,$P1753),"MEDIA","FINAL"))))</f>
        <v>DESENVOLVIMENTO</v>
      </c>
      <c r="R1753" s="24" t="n">
        <f aca="false">IF($P1753=0,0,IF($O1753&lt;=INDEX(PARAMETROS_CULTURAS!$F$6:$F$28,$P1753),INDEX(PARAMETROS_CULTURAS!$K$6:$K$28,$P1753),IF($O1753&lt;=INDEX(PARAMETROS_CULTURAS!$F$6:$F$28,$P1753)+INDEX(PARAMETROS_CULTURAS!$G$6:$G$28,$P1753),INDEX(PARAMETROS_CULTURAS!$K$6:$K$28,$P1753)+(INDEX(PARAMETROS_CULTURAS!$L$6:$L$28,$P1753)-INDEX(PARAMETROS_CULTURAS!$K$6:$K$28,$P1753))*($O1753-INDEX(PARAMETROS_CULTURAS!$F$6:$F$28,$P1753))/MAX(INDEX(PARAMETROS_CULTURAS!$G$6:$G$28,$P1753),0.0001),IF($O1753&lt;=INDEX(PARAMETROS_CULTURAS!$F$6:$F$28,$P1753)+INDEX(PARAMETROS_CULTURAS!$G$6:$G$28,$P1753)+INDEX(PARAMETROS_CULTURAS!$H$6:$H$28,$P1753),INDEX(PARAMETROS_CULTURAS!$L$6:$L$28,$P1753),INDEX(PARAMETROS_CULTURAS!$L$6:$L$28,$P1753)+(INDEX(PARAMETROS_CULTURAS!$M$6:$M$28,$P1753)-INDEX(PARAMETROS_CULTURAS!$L$6:$L$28,$P1753))*($O1753-INDEX(PARAMETROS_CULTURAS!$F$6:$F$28,$P1753)-INDEX(PARAMETROS_CULTURAS!$G$6:$G$28,$P1753)-INDEX(PARAMETROS_CULTURAS!$H$6:$H$28,$P1753))/MAX(INDEX(PARAMETROS_CULTURAS!$I$6:$I$28,$P1753),0.0001)))))</f>
        <v>0.998559670781893</v>
      </c>
      <c r="S1753" s="18" t="n">
        <f aca="false">IFERROR(INDEX(SEMANAS!$H$6:$H$71,MATCH($B1753,SEMANAS!$B$6:$B$71,0)),0)</f>
        <v>31.5</v>
      </c>
      <c r="T1753" s="18" t="n">
        <f aca="false">$R1753*$S1753</f>
        <v>31.4546296296296</v>
      </c>
      <c r="U1753" s="18" t="n">
        <f aca="false">IFERROR(INDEX(SEMANAS!$I$6:$I$71,MATCH($B1753,SEMANAS!$B$6:$B$71,0)),0)</f>
        <v>16.31</v>
      </c>
      <c r="V1753" s="18" t="n">
        <f aca="false">IFERROR(INDEX(SEMANAS!$J$6:$J$71,MATCH($B1753,SEMANAS!$B$6:$B$71,0)),0)</f>
        <v>13.048</v>
      </c>
      <c r="W1753" s="18" t="n">
        <f aca="false">MAX(0,$T1753-$V1753)</f>
        <v>18.4066296296296</v>
      </c>
      <c r="X1753" s="19" t="n">
        <f aca="false">IFERROR(INDEX(CADASTRO_PIVOS!$K$6:$K$41,MATCH($E1753,CADASTRO_PIVOS!$B$6:$B$41,0)),EFICIENCIA_PADRAO)</f>
        <v>0.85</v>
      </c>
      <c r="Y1753" s="18" t="n">
        <f aca="false">IF($X1753&lt;=0,0,$W1753/$X1753)</f>
        <v>21.6548583877996</v>
      </c>
      <c r="Z1753" s="16" t="n">
        <f aca="false">$Y1753*$H1753*MM_PARA_M3_HA</f>
        <v>32469.2946666667</v>
      </c>
      <c r="AA1753" s="18" t="n">
        <f aca="false">IFERROR(INDEX(CADASTRO_PIVOS!$I$6:$I$41,MATCH($E1753,CADASTRO_PIVOS!$B$6:$B$41,0)),0)</f>
        <v>1071</v>
      </c>
      <c r="AB1753" s="18" t="n">
        <f aca="false">IF($Z1753&lt;=0,0,$Z1753/$AA1753)</f>
        <v>30.3168017429194</v>
      </c>
      <c r="AC1753" s="16" t="n">
        <f aca="false">IFERROR(INDEX(SEMANAS!$K$6:$K$71,MATCH($B1753,SEMANAS!$B$6:$B$71,0)),0)</f>
        <v>147</v>
      </c>
      <c r="AD1753" s="19" t="n">
        <f aca="false">IF($AC1753&lt;=0,0,$AB1753/$AC1753)</f>
        <v>0.206236746550472</v>
      </c>
      <c r="AE1753" s="8" t="str">
        <f aca="false">IF($K1753="SEM CULTURA","SEM CULTURA",IF($AA1753&lt;=0,"DADO PENDENTE",IF($AD1753&gt;LIMITE_CRITICO,"INVIAVEL",IF($AD1753&gt;LIMITE_ATENCAO,"CRITICO",IF($AD1753&gt;LIMITE_CONFORTAVEL,"ATENCAO","OK")))))</f>
        <v>OK</v>
      </c>
      <c r="AF1753" s="8" t="str">
        <f aca="false">$B1753&amp;"|"&amp;TEXT($AD1753,"0.000000")</f>
        <v>32|0.206237</v>
      </c>
      <c r="AG1753" s="18" t="n">
        <f aca="false">IF($K1753="SEM CULTURA",0,$T1753*$H1753)</f>
        <v>4716.30716666667</v>
      </c>
      <c r="AH1753" s="18" t="n">
        <f aca="false">IF($K1753="SEM CULTURA",0,$V1753*$H1753)</f>
        <v>1956.41712</v>
      </c>
      <c r="AI1753" s="18" t="n">
        <f aca="false">IF($K1753="SEM CULTURA",0,$W1753*$H1753)</f>
        <v>2759.89004666667</v>
      </c>
      <c r="AJ1753" s="18" t="n">
        <f aca="false">IF($K1753="SEM CULTURA",0,$S1753*$H1753)</f>
        <v>4723.11</v>
      </c>
      <c r="AK1753" s="8" t="str">
        <f aca="false">$E1753&amp;"|"&amp;TEXT($AD1753,"0.000000")</f>
        <v>PV 123|0.206237</v>
      </c>
    </row>
    <row r="1754" customFormat="false" ht="15" hidden="false" customHeight="false" outlineLevel="0" collapsed="false">
      <c r="B1754" s="16" t="n">
        <v>33</v>
      </c>
      <c r="C1754" s="17" t="n">
        <f aca="false">DATA_INICIO_SAFRA+($B1754-1)*DIAS_POR_SEMANA</f>
        <v>46489</v>
      </c>
      <c r="D1754" s="17" t="n">
        <f aca="false">$C1754+DIAS_POR_SEMANA-1</f>
        <v>46495</v>
      </c>
      <c r="E1754" s="15" t="s">
        <v>285</v>
      </c>
      <c r="F1754" s="8" t="str">
        <f aca="false">IFERROR(INDEX(CADASTRO_PIVOS!$C$6:$C$41,MATCH($E1754,CADASTRO_PIVOS!$B$6:$B$41,0)),"?")</f>
        <v>RM07</v>
      </c>
      <c r="G1754" s="8" t="str">
        <f aca="false">IFERROR(INDEX(CADASTRO_PIVOS!$D$6:$D$41,MATCH($E1754,CADASTRO_PIVOS!$B$6:$B$41,0)),"?")</f>
        <v>TR07</v>
      </c>
      <c r="H1754" s="20" t="n">
        <f aca="false">IFERROR(INDEX(CADASTRO_PIVOS!$E$6:$E$41,MATCH($E1754,CADASTRO_PIVOS!$B$6:$B$41,0)),0)</f>
        <v>149.94</v>
      </c>
      <c r="I1754" s="16" t="n">
        <f aca="false">IFERROR(SUMIFS(ROTACAO_RDM!$B$6:$B$71,ROTACAO_RDM!$D$6:$D$71,$E1754,ROTACAO_RDM!$I$6:$I$71,"&lt;="&amp;$C1754+INT(DIAS_POR_SEMANA/2),ROTACAO_RDM!$J$6:$J$71,"&gt;="&amp;$C1754+INT(DIAS_POR_SEMANA/2)),0)</f>
        <v>43</v>
      </c>
      <c r="J1754" s="16" t="n">
        <f aca="false">IFERROR(MATCH($I1754,ROTACAO_RDM!$B$6:$B$71,0),0)</f>
        <v>43</v>
      </c>
      <c r="K1754" s="8" t="str">
        <f aca="false">IF($J1754=0,"SEM CULTURA",INDEX(ROTACAO_RDM!$F$6:$F$71,$J1754))</f>
        <v>ALGODAO</v>
      </c>
      <c r="L1754" s="8" t="str">
        <f aca="false">IF($J1754=0,"",INDEX(ROTACAO_RDM!$G$6:$G$71,$J1754))</f>
        <v>FM 911 GLTP</v>
      </c>
      <c r="M1754" s="17" t="n">
        <f aca="false">IF($J1754=0,"",INDEX(ROTACAO_RDM!$I$6:$I$71,$J1754))</f>
        <v>46415</v>
      </c>
      <c r="N1754" s="16" t="n">
        <f aca="false">IF($J1754=0,0,MAX(0,$C1754+INT(DIAS_POR_SEMANA/2)-INDEX(ROTACAO_RDM!$I$6:$I$71,$J1754)))</f>
        <v>77</v>
      </c>
      <c r="O1754" s="19" t="n">
        <f aca="false">IF($J1754=0,0,MIN(1,$N1754/MAX(1,INDEX(ROTACAO_RDM!$K$6:$K$71,$J1754))))</f>
        <v>0.427777777777778</v>
      </c>
      <c r="P1754" s="16" t="n">
        <f aca="false">IF($J1754=0,0,IFERROR(MATCH(INDEX(ROTACAO_RDM!$N$6:$N$71,$J1754),PARAMETROS_CULTURAS!$B$6:$B$28,0),0))</f>
        <v>4</v>
      </c>
      <c r="Q1754" s="8" t="str">
        <f aca="false">IF($P1754=0,"-",IF($O1754&lt;=INDEX(PARAMETROS_CULTURAS!$F$6:$F$28,$P1754),"INICIAL",IF($O1754&lt;=INDEX(PARAMETROS_CULTURAS!$F$6:$F$28,$P1754)+INDEX(PARAMETROS_CULTURAS!$G$6:$G$28,$P1754),"DESENVOLVIMENTO",IF($O1754&lt;=INDEX(PARAMETROS_CULTURAS!$F$6:$F$28,$P1754)+INDEX(PARAMETROS_CULTURAS!$G$6:$G$28,$P1754)+INDEX(PARAMETROS_CULTURAS!$H$6:$H$28,$P1754),"MEDIA","FINAL"))))</f>
        <v>DESENVOLVIMENTO</v>
      </c>
      <c r="R1754" s="24" t="n">
        <f aca="false">IF($P1754=0,0,IF($O1754&lt;=INDEX(PARAMETROS_CULTURAS!$F$6:$F$28,$P1754),INDEX(PARAMETROS_CULTURAS!$K$6:$K$28,$P1754),IF($O1754&lt;=INDEX(PARAMETROS_CULTURAS!$F$6:$F$28,$P1754)+INDEX(PARAMETROS_CULTURAS!$G$6:$G$28,$P1754),INDEX(PARAMETROS_CULTURAS!$K$6:$K$28,$P1754)+(INDEX(PARAMETROS_CULTURAS!$L$6:$L$28,$P1754)-INDEX(PARAMETROS_CULTURAS!$K$6:$K$28,$P1754))*($O1754-INDEX(PARAMETROS_CULTURAS!$F$6:$F$28,$P1754))/MAX(INDEX(PARAMETROS_CULTURAS!$G$6:$G$28,$P1754),0.0001),IF($O1754&lt;=INDEX(PARAMETROS_CULTURAS!$F$6:$F$28,$P1754)+INDEX(PARAMETROS_CULTURAS!$G$6:$G$28,$P1754)+INDEX(PARAMETROS_CULTURAS!$H$6:$H$28,$P1754),INDEX(PARAMETROS_CULTURAS!$L$6:$L$28,$P1754),INDEX(PARAMETROS_CULTURAS!$L$6:$L$28,$P1754)+(INDEX(PARAMETROS_CULTURAS!$M$6:$M$28,$P1754)-INDEX(PARAMETROS_CULTURAS!$L$6:$L$28,$P1754))*($O1754-INDEX(PARAMETROS_CULTURAS!$F$6:$F$28,$P1754)-INDEX(PARAMETROS_CULTURAS!$G$6:$G$28,$P1754)-INDEX(PARAMETROS_CULTURAS!$H$6:$H$28,$P1754))/MAX(INDEX(PARAMETROS_CULTURAS!$I$6:$I$28,$P1754),0.0001)))))</f>
        <v>1.11378600823045</v>
      </c>
      <c r="S1754" s="18" t="n">
        <f aca="false">IFERROR(INDEX(SEMANAS!$H$6:$H$71,MATCH($B1754,SEMANAS!$B$6:$B$71,0)),0)</f>
        <v>31.5</v>
      </c>
      <c r="T1754" s="18" t="n">
        <f aca="false">$R1754*$S1754</f>
        <v>35.0842592592593</v>
      </c>
      <c r="U1754" s="18" t="n">
        <f aca="false">IFERROR(INDEX(SEMANAS!$I$6:$I$71,MATCH($B1754,SEMANAS!$B$6:$B$71,0)),0)</f>
        <v>16.31</v>
      </c>
      <c r="V1754" s="18" t="n">
        <f aca="false">IFERROR(INDEX(SEMANAS!$J$6:$J$71,MATCH($B1754,SEMANAS!$B$6:$B$71,0)),0)</f>
        <v>13.048</v>
      </c>
      <c r="W1754" s="18" t="n">
        <f aca="false">MAX(0,$T1754-$V1754)</f>
        <v>22.0362592592593</v>
      </c>
      <c r="X1754" s="19" t="n">
        <f aca="false">IFERROR(INDEX(CADASTRO_PIVOS!$K$6:$K$41,MATCH($E1754,CADASTRO_PIVOS!$B$6:$B$41,0)),EFICIENCIA_PADRAO)</f>
        <v>0.85</v>
      </c>
      <c r="Y1754" s="18" t="n">
        <f aca="false">IF($X1754&lt;=0,0,$W1754/$X1754)</f>
        <v>25.9250108932462</v>
      </c>
      <c r="Z1754" s="16" t="n">
        <f aca="false">$Y1754*$H1754*MM_PARA_M3_HA</f>
        <v>38871.9613333333</v>
      </c>
      <c r="AA1754" s="18" t="n">
        <f aca="false">IFERROR(INDEX(CADASTRO_PIVOS!$I$6:$I$41,MATCH($E1754,CADASTRO_PIVOS!$B$6:$B$41,0)),0)</f>
        <v>1071</v>
      </c>
      <c r="AB1754" s="18" t="n">
        <f aca="false">IF($Z1754&lt;=0,0,$Z1754/$AA1754)</f>
        <v>36.2950152505447</v>
      </c>
      <c r="AC1754" s="16" t="n">
        <f aca="false">IFERROR(INDEX(SEMANAS!$K$6:$K$71,MATCH($B1754,SEMANAS!$B$6:$B$71,0)),0)</f>
        <v>147</v>
      </c>
      <c r="AD1754" s="19" t="n">
        <f aca="false">IF($AC1754&lt;=0,0,$AB1754/$AC1754)</f>
        <v>0.246904865649964</v>
      </c>
      <c r="AE1754" s="8" t="str">
        <f aca="false">IF($K1754="SEM CULTURA","SEM CULTURA",IF($AA1754&lt;=0,"DADO PENDENTE",IF($AD1754&gt;LIMITE_CRITICO,"INVIAVEL",IF($AD1754&gt;LIMITE_ATENCAO,"CRITICO",IF($AD1754&gt;LIMITE_CONFORTAVEL,"ATENCAO","OK")))))</f>
        <v>OK</v>
      </c>
      <c r="AF1754" s="8" t="str">
        <f aca="false">$B1754&amp;"|"&amp;TEXT($AD1754,"0.000000")</f>
        <v>33|0.246905</v>
      </c>
      <c r="AG1754" s="18" t="n">
        <f aca="false">IF($K1754="SEM CULTURA",0,$T1754*$H1754)</f>
        <v>5260.53383333333</v>
      </c>
      <c r="AH1754" s="18" t="n">
        <f aca="false">IF($K1754="SEM CULTURA",0,$V1754*$H1754)</f>
        <v>1956.41712</v>
      </c>
      <c r="AI1754" s="18" t="n">
        <f aca="false">IF($K1754="SEM CULTURA",0,$W1754*$H1754)</f>
        <v>3304.11671333333</v>
      </c>
      <c r="AJ1754" s="18" t="n">
        <f aca="false">IF($K1754="SEM CULTURA",0,$S1754*$H1754)</f>
        <v>4723.11</v>
      </c>
      <c r="AK1754" s="8" t="str">
        <f aca="false">$E1754&amp;"|"&amp;TEXT($AD1754,"0.000000")</f>
        <v>PV 123|0.246905</v>
      </c>
    </row>
    <row r="1755" customFormat="false" ht="15" hidden="false" customHeight="false" outlineLevel="0" collapsed="false">
      <c r="B1755" s="16" t="n">
        <v>34</v>
      </c>
      <c r="C1755" s="17" t="n">
        <f aca="false">DATA_INICIO_SAFRA+($B1755-1)*DIAS_POR_SEMANA</f>
        <v>46496</v>
      </c>
      <c r="D1755" s="17" t="n">
        <f aca="false">$C1755+DIAS_POR_SEMANA-1</f>
        <v>46502</v>
      </c>
      <c r="E1755" s="15" t="s">
        <v>285</v>
      </c>
      <c r="F1755" s="8" t="str">
        <f aca="false">IFERROR(INDEX(CADASTRO_PIVOS!$C$6:$C$41,MATCH($E1755,CADASTRO_PIVOS!$B$6:$B$41,0)),"?")</f>
        <v>RM07</v>
      </c>
      <c r="G1755" s="8" t="str">
        <f aca="false">IFERROR(INDEX(CADASTRO_PIVOS!$D$6:$D$41,MATCH($E1755,CADASTRO_PIVOS!$B$6:$B$41,0)),"?")</f>
        <v>TR07</v>
      </c>
      <c r="H1755" s="20" t="n">
        <f aca="false">IFERROR(INDEX(CADASTRO_PIVOS!$E$6:$E$41,MATCH($E1755,CADASTRO_PIVOS!$B$6:$B$41,0)),0)</f>
        <v>149.94</v>
      </c>
      <c r="I1755" s="16" t="n">
        <f aca="false">IFERROR(SUMIFS(ROTACAO_RDM!$B$6:$B$71,ROTACAO_RDM!$D$6:$D$71,$E1755,ROTACAO_RDM!$I$6:$I$71,"&lt;="&amp;$C1755+INT(DIAS_POR_SEMANA/2),ROTACAO_RDM!$J$6:$J$71,"&gt;="&amp;$C1755+INT(DIAS_POR_SEMANA/2)),0)</f>
        <v>43</v>
      </c>
      <c r="J1755" s="16" t="n">
        <f aca="false">IFERROR(MATCH($I1755,ROTACAO_RDM!$B$6:$B$71,0),0)</f>
        <v>43</v>
      </c>
      <c r="K1755" s="8" t="str">
        <f aca="false">IF($J1755=0,"SEM CULTURA",INDEX(ROTACAO_RDM!$F$6:$F$71,$J1755))</f>
        <v>ALGODAO</v>
      </c>
      <c r="L1755" s="8" t="str">
        <f aca="false">IF($J1755=0,"",INDEX(ROTACAO_RDM!$G$6:$G$71,$J1755))</f>
        <v>FM 911 GLTP</v>
      </c>
      <c r="M1755" s="17" t="n">
        <f aca="false">IF($J1755=0,"",INDEX(ROTACAO_RDM!$I$6:$I$71,$J1755))</f>
        <v>46415</v>
      </c>
      <c r="N1755" s="16" t="n">
        <f aca="false">IF($J1755=0,0,MAX(0,$C1755+INT(DIAS_POR_SEMANA/2)-INDEX(ROTACAO_RDM!$I$6:$I$71,$J1755)))</f>
        <v>84</v>
      </c>
      <c r="O1755" s="19" t="n">
        <f aca="false">IF($J1755=0,0,MIN(1,$N1755/MAX(1,INDEX(ROTACAO_RDM!$K$6:$K$71,$J1755))))</f>
        <v>0.466666666666667</v>
      </c>
      <c r="P1755" s="16" t="n">
        <f aca="false">IF($J1755=0,0,IFERROR(MATCH(INDEX(ROTACAO_RDM!$N$6:$N$71,$J1755),PARAMETROS_CULTURAS!$B$6:$B$28,0),0))</f>
        <v>4</v>
      </c>
      <c r="Q1755" s="8" t="str">
        <f aca="false">IF($P1755=0,"-",IF($O1755&lt;=INDEX(PARAMETROS_CULTURAS!$F$6:$F$28,$P1755),"INICIAL",IF($O1755&lt;=INDEX(PARAMETROS_CULTURAS!$F$6:$F$28,$P1755)+INDEX(PARAMETROS_CULTURAS!$G$6:$G$28,$P1755),"DESENVOLVIMENTO",IF($O1755&lt;=INDEX(PARAMETROS_CULTURAS!$F$6:$F$28,$P1755)+INDEX(PARAMETROS_CULTURAS!$G$6:$G$28,$P1755)+INDEX(PARAMETROS_CULTURAS!$H$6:$H$28,$P1755),"MEDIA","FINAL"))))</f>
        <v>MEDIA</v>
      </c>
      <c r="R1755" s="24" t="n">
        <f aca="false">IF($P1755=0,0,IF($O1755&lt;=INDEX(PARAMETROS_CULTURAS!$F$6:$F$28,$P1755),INDEX(PARAMETROS_CULTURAS!$K$6:$K$28,$P1755),IF($O1755&lt;=INDEX(PARAMETROS_CULTURAS!$F$6:$F$28,$P1755)+INDEX(PARAMETROS_CULTURAS!$G$6:$G$28,$P1755),INDEX(PARAMETROS_CULTURAS!$K$6:$K$28,$P1755)+(INDEX(PARAMETROS_CULTURAS!$L$6:$L$28,$P1755)-INDEX(PARAMETROS_CULTURAS!$K$6:$K$28,$P1755))*($O1755-INDEX(PARAMETROS_CULTURAS!$F$6:$F$28,$P1755))/MAX(INDEX(PARAMETROS_CULTURAS!$G$6:$G$28,$P1755),0.0001),IF($O1755&lt;=INDEX(PARAMETROS_CULTURAS!$F$6:$F$28,$P1755)+INDEX(PARAMETROS_CULTURAS!$G$6:$G$28,$P1755)+INDEX(PARAMETROS_CULTURAS!$H$6:$H$28,$P1755),INDEX(PARAMETROS_CULTURAS!$L$6:$L$28,$P1755),INDEX(PARAMETROS_CULTURAS!$L$6:$L$28,$P1755)+(INDEX(PARAMETROS_CULTURAS!$M$6:$M$28,$P1755)-INDEX(PARAMETROS_CULTURAS!$L$6:$L$28,$P1755))*($O1755-INDEX(PARAMETROS_CULTURAS!$F$6:$F$28,$P1755)-INDEX(PARAMETROS_CULTURAS!$G$6:$G$28,$P1755)-INDEX(PARAMETROS_CULTURAS!$H$6:$H$28,$P1755))/MAX(INDEX(PARAMETROS_CULTURAS!$I$6:$I$28,$P1755),0.0001)))))</f>
        <v>1.15</v>
      </c>
      <c r="S1755" s="18" t="n">
        <f aca="false">IFERROR(INDEX(SEMANAS!$H$6:$H$71,MATCH($B1755,SEMANAS!$B$6:$B$71,0)),0)</f>
        <v>31.5</v>
      </c>
      <c r="T1755" s="18" t="n">
        <f aca="false">$R1755*$S1755</f>
        <v>36.225</v>
      </c>
      <c r="U1755" s="18" t="n">
        <f aca="false">IFERROR(INDEX(SEMANAS!$I$6:$I$71,MATCH($B1755,SEMANAS!$B$6:$B$71,0)),0)</f>
        <v>16.31</v>
      </c>
      <c r="V1755" s="18" t="n">
        <f aca="false">IFERROR(INDEX(SEMANAS!$J$6:$J$71,MATCH($B1755,SEMANAS!$B$6:$B$71,0)),0)</f>
        <v>13.048</v>
      </c>
      <c r="W1755" s="18" t="n">
        <f aca="false">MAX(0,$T1755-$V1755)</f>
        <v>23.177</v>
      </c>
      <c r="X1755" s="19" t="n">
        <f aca="false">IFERROR(INDEX(CADASTRO_PIVOS!$K$6:$K$41,MATCH($E1755,CADASTRO_PIVOS!$B$6:$B$41,0)),EFICIENCIA_PADRAO)</f>
        <v>0.85</v>
      </c>
      <c r="Y1755" s="18" t="n">
        <f aca="false">IF($X1755&lt;=0,0,$W1755/$X1755)</f>
        <v>27.2670588235294</v>
      </c>
      <c r="Z1755" s="16" t="n">
        <f aca="false">$Y1755*$H1755*MM_PARA_M3_HA</f>
        <v>40884.228</v>
      </c>
      <c r="AA1755" s="18" t="n">
        <f aca="false">IFERROR(INDEX(CADASTRO_PIVOS!$I$6:$I$41,MATCH($E1755,CADASTRO_PIVOS!$B$6:$B$41,0)),0)</f>
        <v>1071</v>
      </c>
      <c r="AB1755" s="18" t="n">
        <f aca="false">IF($Z1755&lt;=0,0,$Z1755/$AA1755)</f>
        <v>38.1738823529412</v>
      </c>
      <c r="AC1755" s="16" t="n">
        <f aca="false">IFERROR(INDEX(SEMANAS!$K$6:$K$71,MATCH($B1755,SEMANAS!$B$6:$B$71,0)),0)</f>
        <v>147</v>
      </c>
      <c r="AD1755" s="19" t="n">
        <f aca="false">IF($AC1755&lt;=0,0,$AB1755/$AC1755)</f>
        <v>0.259686274509804</v>
      </c>
      <c r="AE1755" s="8" t="str">
        <f aca="false">IF($K1755="SEM CULTURA","SEM CULTURA",IF($AA1755&lt;=0,"DADO PENDENTE",IF($AD1755&gt;LIMITE_CRITICO,"INVIAVEL",IF($AD1755&gt;LIMITE_ATENCAO,"CRITICO",IF($AD1755&gt;LIMITE_CONFORTAVEL,"ATENCAO","OK")))))</f>
        <v>OK</v>
      </c>
      <c r="AF1755" s="8" t="str">
        <f aca="false">$B1755&amp;"|"&amp;TEXT($AD1755,"0.000000")</f>
        <v>34|0.259686</v>
      </c>
      <c r="AG1755" s="18" t="n">
        <f aca="false">IF($K1755="SEM CULTURA",0,$T1755*$H1755)</f>
        <v>5431.5765</v>
      </c>
      <c r="AH1755" s="18" t="n">
        <f aca="false">IF($K1755="SEM CULTURA",0,$V1755*$H1755)</f>
        <v>1956.41712</v>
      </c>
      <c r="AI1755" s="18" t="n">
        <f aca="false">IF($K1755="SEM CULTURA",0,$W1755*$H1755)</f>
        <v>3475.15938</v>
      </c>
      <c r="AJ1755" s="18" t="n">
        <f aca="false">IF($K1755="SEM CULTURA",0,$S1755*$H1755)</f>
        <v>4723.11</v>
      </c>
      <c r="AK1755" s="8" t="str">
        <f aca="false">$E1755&amp;"|"&amp;TEXT($AD1755,"0.000000")</f>
        <v>PV 123|0.259686</v>
      </c>
    </row>
    <row r="1756" customFormat="false" ht="15" hidden="false" customHeight="false" outlineLevel="0" collapsed="false">
      <c r="B1756" s="16" t="n">
        <v>35</v>
      </c>
      <c r="C1756" s="17" t="n">
        <f aca="false">DATA_INICIO_SAFRA+($B1756-1)*DIAS_POR_SEMANA</f>
        <v>46503</v>
      </c>
      <c r="D1756" s="17" t="n">
        <f aca="false">$C1756+DIAS_POR_SEMANA-1</f>
        <v>46509</v>
      </c>
      <c r="E1756" s="15" t="s">
        <v>285</v>
      </c>
      <c r="F1756" s="8" t="str">
        <f aca="false">IFERROR(INDEX(CADASTRO_PIVOS!$C$6:$C$41,MATCH($E1756,CADASTRO_PIVOS!$B$6:$B$41,0)),"?")</f>
        <v>RM07</v>
      </c>
      <c r="G1756" s="8" t="str">
        <f aca="false">IFERROR(INDEX(CADASTRO_PIVOS!$D$6:$D$41,MATCH($E1756,CADASTRO_PIVOS!$B$6:$B$41,0)),"?")</f>
        <v>TR07</v>
      </c>
      <c r="H1756" s="20" t="n">
        <f aca="false">IFERROR(INDEX(CADASTRO_PIVOS!$E$6:$E$41,MATCH($E1756,CADASTRO_PIVOS!$B$6:$B$41,0)),0)</f>
        <v>149.94</v>
      </c>
      <c r="I1756" s="16" t="n">
        <f aca="false">IFERROR(SUMIFS(ROTACAO_RDM!$B$6:$B$71,ROTACAO_RDM!$D$6:$D$71,$E1756,ROTACAO_RDM!$I$6:$I$71,"&lt;="&amp;$C1756+INT(DIAS_POR_SEMANA/2),ROTACAO_RDM!$J$6:$J$71,"&gt;="&amp;$C1756+INT(DIAS_POR_SEMANA/2)),0)</f>
        <v>43</v>
      </c>
      <c r="J1756" s="16" t="n">
        <f aca="false">IFERROR(MATCH($I1756,ROTACAO_RDM!$B$6:$B$71,0),0)</f>
        <v>43</v>
      </c>
      <c r="K1756" s="8" t="str">
        <f aca="false">IF($J1756=0,"SEM CULTURA",INDEX(ROTACAO_RDM!$F$6:$F$71,$J1756))</f>
        <v>ALGODAO</v>
      </c>
      <c r="L1756" s="8" t="str">
        <f aca="false">IF($J1756=0,"",INDEX(ROTACAO_RDM!$G$6:$G$71,$J1756))</f>
        <v>FM 911 GLTP</v>
      </c>
      <c r="M1756" s="17" t="n">
        <f aca="false">IF($J1756=0,"",INDEX(ROTACAO_RDM!$I$6:$I$71,$J1756))</f>
        <v>46415</v>
      </c>
      <c r="N1756" s="16" t="n">
        <f aca="false">IF($J1756=0,0,MAX(0,$C1756+INT(DIAS_POR_SEMANA/2)-INDEX(ROTACAO_RDM!$I$6:$I$71,$J1756)))</f>
        <v>91</v>
      </c>
      <c r="O1756" s="19" t="n">
        <f aca="false">IF($J1756=0,0,MIN(1,$N1756/MAX(1,INDEX(ROTACAO_RDM!$K$6:$K$71,$J1756))))</f>
        <v>0.505555555555556</v>
      </c>
      <c r="P1756" s="16" t="n">
        <f aca="false">IF($J1756=0,0,IFERROR(MATCH(INDEX(ROTACAO_RDM!$N$6:$N$71,$J1756),PARAMETROS_CULTURAS!$B$6:$B$28,0),0))</f>
        <v>4</v>
      </c>
      <c r="Q1756" s="8" t="str">
        <f aca="false">IF($P1756=0,"-",IF($O1756&lt;=INDEX(PARAMETROS_CULTURAS!$F$6:$F$28,$P1756),"INICIAL",IF($O1756&lt;=INDEX(PARAMETROS_CULTURAS!$F$6:$F$28,$P1756)+INDEX(PARAMETROS_CULTURAS!$G$6:$G$28,$P1756),"DESENVOLVIMENTO",IF($O1756&lt;=INDEX(PARAMETROS_CULTURAS!$F$6:$F$28,$P1756)+INDEX(PARAMETROS_CULTURAS!$G$6:$G$28,$P1756)+INDEX(PARAMETROS_CULTURAS!$H$6:$H$28,$P1756),"MEDIA","FINAL"))))</f>
        <v>MEDIA</v>
      </c>
      <c r="R1756" s="24" t="n">
        <f aca="false">IF($P1756=0,0,IF($O1756&lt;=INDEX(PARAMETROS_CULTURAS!$F$6:$F$28,$P1756),INDEX(PARAMETROS_CULTURAS!$K$6:$K$28,$P1756),IF($O1756&lt;=INDEX(PARAMETROS_CULTURAS!$F$6:$F$28,$P1756)+INDEX(PARAMETROS_CULTURAS!$G$6:$G$28,$P1756),INDEX(PARAMETROS_CULTURAS!$K$6:$K$28,$P1756)+(INDEX(PARAMETROS_CULTURAS!$L$6:$L$28,$P1756)-INDEX(PARAMETROS_CULTURAS!$K$6:$K$28,$P1756))*($O1756-INDEX(PARAMETROS_CULTURAS!$F$6:$F$28,$P1756))/MAX(INDEX(PARAMETROS_CULTURAS!$G$6:$G$28,$P1756),0.0001),IF($O1756&lt;=INDEX(PARAMETROS_CULTURAS!$F$6:$F$28,$P1756)+INDEX(PARAMETROS_CULTURAS!$G$6:$G$28,$P1756)+INDEX(PARAMETROS_CULTURAS!$H$6:$H$28,$P1756),INDEX(PARAMETROS_CULTURAS!$L$6:$L$28,$P1756),INDEX(PARAMETROS_CULTURAS!$L$6:$L$28,$P1756)+(INDEX(PARAMETROS_CULTURAS!$M$6:$M$28,$P1756)-INDEX(PARAMETROS_CULTURAS!$L$6:$L$28,$P1756))*($O1756-INDEX(PARAMETROS_CULTURAS!$F$6:$F$28,$P1756)-INDEX(PARAMETROS_CULTURAS!$G$6:$G$28,$P1756)-INDEX(PARAMETROS_CULTURAS!$H$6:$H$28,$P1756))/MAX(INDEX(PARAMETROS_CULTURAS!$I$6:$I$28,$P1756),0.0001)))))</f>
        <v>1.15</v>
      </c>
      <c r="S1756" s="18" t="n">
        <f aca="false">IFERROR(INDEX(SEMANAS!$H$6:$H$71,MATCH($B1756,SEMANAS!$B$6:$B$71,0)),0)</f>
        <v>30.9</v>
      </c>
      <c r="T1756" s="18" t="n">
        <f aca="false">$R1756*$S1756</f>
        <v>35.535</v>
      </c>
      <c r="U1756" s="18" t="n">
        <f aca="false">IFERROR(INDEX(SEMANAS!$I$6:$I$71,MATCH($B1756,SEMANAS!$B$6:$B$71,0)),0)</f>
        <v>12.61</v>
      </c>
      <c r="V1756" s="18" t="n">
        <f aca="false">IFERROR(INDEX(SEMANAS!$J$6:$J$71,MATCH($B1756,SEMANAS!$B$6:$B$71,0)),0)</f>
        <v>10.088</v>
      </c>
      <c r="W1756" s="18" t="n">
        <f aca="false">MAX(0,$T1756-$V1756)</f>
        <v>25.447</v>
      </c>
      <c r="X1756" s="19" t="n">
        <f aca="false">IFERROR(INDEX(CADASTRO_PIVOS!$K$6:$K$41,MATCH($E1756,CADASTRO_PIVOS!$B$6:$B$41,0)),EFICIENCIA_PADRAO)</f>
        <v>0.85</v>
      </c>
      <c r="Y1756" s="18" t="n">
        <f aca="false">IF($X1756&lt;=0,0,$W1756/$X1756)</f>
        <v>29.9376470588235</v>
      </c>
      <c r="Z1756" s="16" t="n">
        <f aca="false">$Y1756*$H1756*MM_PARA_M3_HA</f>
        <v>44888.508</v>
      </c>
      <c r="AA1756" s="18" t="n">
        <f aca="false">IFERROR(INDEX(CADASTRO_PIVOS!$I$6:$I$41,MATCH($E1756,CADASTRO_PIVOS!$B$6:$B$41,0)),0)</f>
        <v>1071</v>
      </c>
      <c r="AB1756" s="18" t="n">
        <f aca="false">IF($Z1756&lt;=0,0,$Z1756/$AA1756)</f>
        <v>41.9127058823529</v>
      </c>
      <c r="AC1756" s="16" t="n">
        <f aca="false">IFERROR(INDEX(SEMANAS!$K$6:$K$71,MATCH($B1756,SEMANAS!$B$6:$B$71,0)),0)</f>
        <v>147</v>
      </c>
      <c r="AD1756" s="19" t="n">
        <f aca="false">IF($AC1756&lt;=0,0,$AB1756/$AC1756)</f>
        <v>0.285120448179272</v>
      </c>
      <c r="AE1756" s="8" t="str">
        <f aca="false">IF($K1756="SEM CULTURA","SEM CULTURA",IF($AA1756&lt;=0,"DADO PENDENTE",IF($AD1756&gt;LIMITE_CRITICO,"INVIAVEL",IF($AD1756&gt;LIMITE_ATENCAO,"CRITICO",IF($AD1756&gt;LIMITE_CONFORTAVEL,"ATENCAO","OK")))))</f>
        <v>OK</v>
      </c>
      <c r="AF1756" s="8" t="str">
        <f aca="false">$B1756&amp;"|"&amp;TEXT($AD1756,"0.000000")</f>
        <v>35|0.285120</v>
      </c>
      <c r="AG1756" s="18" t="n">
        <f aca="false">IF($K1756="SEM CULTURA",0,$T1756*$H1756)</f>
        <v>5328.1179</v>
      </c>
      <c r="AH1756" s="18" t="n">
        <f aca="false">IF($K1756="SEM CULTURA",0,$V1756*$H1756)</f>
        <v>1512.59472</v>
      </c>
      <c r="AI1756" s="18" t="n">
        <f aca="false">IF($K1756="SEM CULTURA",0,$W1756*$H1756)</f>
        <v>3815.52318</v>
      </c>
      <c r="AJ1756" s="18" t="n">
        <f aca="false">IF($K1756="SEM CULTURA",0,$S1756*$H1756)</f>
        <v>4633.146</v>
      </c>
      <c r="AK1756" s="8" t="str">
        <f aca="false">$E1756&amp;"|"&amp;TEXT($AD1756,"0.000000")</f>
        <v>PV 123|0.285120</v>
      </c>
    </row>
    <row r="1757" customFormat="false" ht="15" hidden="false" customHeight="false" outlineLevel="0" collapsed="false">
      <c r="B1757" s="16" t="n">
        <v>36</v>
      </c>
      <c r="C1757" s="17" t="n">
        <f aca="false">DATA_INICIO_SAFRA+($B1757-1)*DIAS_POR_SEMANA</f>
        <v>46510</v>
      </c>
      <c r="D1757" s="17" t="n">
        <f aca="false">$C1757+DIAS_POR_SEMANA-1</f>
        <v>46516</v>
      </c>
      <c r="E1757" s="15" t="s">
        <v>285</v>
      </c>
      <c r="F1757" s="8" t="str">
        <f aca="false">IFERROR(INDEX(CADASTRO_PIVOS!$C$6:$C$41,MATCH($E1757,CADASTRO_PIVOS!$B$6:$B$41,0)),"?")</f>
        <v>RM07</v>
      </c>
      <c r="G1757" s="8" t="str">
        <f aca="false">IFERROR(INDEX(CADASTRO_PIVOS!$D$6:$D$41,MATCH($E1757,CADASTRO_PIVOS!$B$6:$B$41,0)),"?")</f>
        <v>TR07</v>
      </c>
      <c r="H1757" s="20" t="n">
        <f aca="false">IFERROR(INDEX(CADASTRO_PIVOS!$E$6:$E$41,MATCH($E1757,CADASTRO_PIVOS!$B$6:$B$41,0)),0)</f>
        <v>149.94</v>
      </c>
      <c r="I1757" s="16" t="n">
        <f aca="false">IFERROR(SUMIFS(ROTACAO_RDM!$B$6:$B$71,ROTACAO_RDM!$D$6:$D$71,$E1757,ROTACAO_RDM!$I$6:$I$71,"&lt;="&amp;$C1757+INT(DIAS_POR_SEMANA/2),ROTACAO_RDM!$J$6:$J$71,"&gt;="&amp;$C1757+INT(DIAS_POR_SEMANA/2)),0)</f>
        <v>43</v>
      </c>
      <c r="J1757" s="16" t="n">
        <f aca="false">IFERROR(MATCH($I1757,ROTACAO_RDM!$B$6:$B$71,0),0)</f>
        <v>43</v>
      </c>
      <c r="K1757" s="8" t="str">
        <f aca="false">IF($J1757=0,"SEM CULTURA",INDEX(ROTACAO_RDM!$F$6:$F$71,$J1757))</f>
        <v>ALGODAO</v>
      </c>
      <c r="L1757" s="8" t="str">
        <f aca="false">IF($J1757=0,"",INDEX(ROTACAO_RDM!$G$6:$G$71,$J1757))</f>
        <v>FM 911 GLTP</v>
      </c>
      <c r="M1757" s="17" t="n">
        <f aca="false">IF($J1757=0,"",INDEX(ROTACAO_RDM!$I$6:$I$71,$J1757))</f>
        <v>46415</v>
      </c>
      <c r="N1757" s="16" t="n">
        <f aca="false">IF($J1757=0,0,MAX(0,$C1757+INT(DIAS_POR_SEMANA/2)-INDEX(ROTACAO_RDM!$I$6:$I$71,$J1757)))</f>
        <v>98</v>
      </c>
      <c r="O1757" s="19" t="n">
        <f aca="false">IF($J1757=0,0,MIN(1,$N1757/MAX(1,INDEX(ROTACAO_RDM!$K$6:$K$71,$J1757))))</f>
        <v>0.544444444444444</v>
      </c>
      <c r="P1757" s="16" t="n">
        <f aca="false">IF($J1757=0,0,IFERROR(MATCH(INDEX(ROTACAO_RDM!$N$6:$N$71,$J1757),PARAMETROS_CULTURAS!$B$6:$B$28,0),0))</f>
        <v>4</v>
      </c>
      <c r="Q1757" s="8" t="str">
        <f aca="false">IF($P1757=0,"-",IF($O1757&lt;=INDEX(PARAMETROS_CULTURAS!$F$6:$F$28,$P1757),"INICIAL",IF($O1757&lt;=INDEX(PARAMETROS_CULTURAS!$F$6:$F$28,$P1757)+INDEX(PARAMETROS_CULTURAS!$G$6:$G$28,$P1757),"DESENVOLVIMENTO",IF($O1757&lt;=INDEX(PARAMETROS_CULTURAS!$F$6:$F$28,$P1757)+INDEX(PARAMETROS_CULTURAS!$G$6:$G$28,$P1757)+INDEX(PARAMETROS_CULTURAS!$H$6:$H$28,$P1757),"MEDIA","FINAL"))))</f>
        <v>MEDIA</v>
      </c>
      <c r="R1757" s="24" t="n">
        <f aca="false">IF($P1757=0,0,IF($O1757&lt;=INDEX(PARAMETROS_CULTURAS!$F$6:$F$28,$P1757),INDEX(PARAMETROS_CULTURAS!$K$6:$K$28,$P1757),IF($O1757&lt;=INDEX(PARAMETROS_CULTURAS!$F$6:$F$28,$P1757)+INDEX(PARAMETROS_CULTURAS!$G$6:$G$28,$P1757),INDEX(PARAMETROS_CULTURAS!$K$6:$K$28,$P1757)+(INDEX(PARAMETROS_CULTURAS!$L$6:$L$28,$P1757)-INDEX(PARAMETROS_CULTURAS!$K$6:$K$28,$P1757))*($O1757-INDEX(PARAMETROS_CULTURAS!$F$6:$F$28,$P1757))/MAX(INDEX(PARAMETROS_CULTURAS!$G$6:$G$28,$P1757),0.0001),IF($O1757&lt;=INDEX(PARAMETROS_CULTURAS!$F$6:$F$28,$P1757)+INDEX(PARAMETROS_CULTURAS!$G$6:$G$28,$P1757)+INDEX(PARAMETROS_CULTURAS!$H$6:$H$28,$P1757),INDEX(PARAMETROS_CULTURAS!$L$6:$L$28,$P1757),INDEX(PARAMETROS_CULTURAS!$L$6:$L$28,$P1757)+(INDEX(PARAMETROS_CULTURAS!$M$6:$M$28,$P1757)-INDEX(PARAMETROS_CULTURAS!$L$6:$L$28,$P1757))*($O1757-INDEX(PARAMETROS_CULTURAS!$F$6:$F$28,$P1757)-INDEX(PARAMETROS_CULTURAS!$G$6:$G$28,$P1757)-INDEX(PARAMETROS_CULTURAS!$H$6:$H$28,$P1757))/MAX(INDEX(PARAMETROS_CULTURAS!$I$6:$I$28,$P1757),0.0001)))))</f>
        <v>1.15</v>
      </c>
      <c r="S1757" s="18" t="n">
        <f aca="false">IFERROR(INDEX(SEMANAS!$H$6:$H$71,MATCH($B1757,SEMANAS!$B$6:$B$71,0)),0)</f>
        <v>29.4</v>
      </c>
      <c r="T1757" s="18" t="n">
        <f aca="false">$R1757*$S1757</f>
        <v>33.81</v>
      </c>
      <c r="U1757" s="18" t="n">
        <f aca="false">IFERROR(INDEX(SEMANAS!$I$6:$I$71,MATCH($B1757,SEMANAS!$B$6:$B$71,0)),0)</f>
        <v>3.36</v>
      </c>
      <c r="V1757" s="18" t="n">
        <f aca="false">IFERROR(INDEX(SEMANAS!$J$6:$J$71,MATCH($B1757,SEMANAS!$B$6:$B$71,0)),0)</f>
        <v>2.688</v>
      </c>
      <c r="W1757" s="18" t="n">
        <f aca="false">MAX(0,$T1757-$V1757)</f>
        <v>31.122</v>
      </c>
      <c r="X1757" s="19" t="n">
        <f aca="false">IFERROR(INDEX(CADASTRO_PIVOS!$K$6:$K$41,MATCH($E1757,CADASTRO_PIVOS!$B$6:$B$41,0)),EFICIENCIA_PADRAO)</f>
        <v>0.85</v>
      </c>
      <c r="Y1757" s="18" t="n">
        <f aca="false">IF($X1757&lt;=0,0,$W1757/$X1757)</f>
        <v>36.6141176470588</v>
      </c>
      <c r="Z1757" s="16" t="n">
        <f aca="false">$Y1757*$H1757*MM_PARA_M3_HA</f>
        <v>54899.208</v>
      </c>
      <c r="AA1757" s="18" t="n">
        <f aca="false">IFERROR(INDEX(CADASTRO_PIVOS!$I$6:$I$41,MATCH($E1757,CADASTRO_PIVOS!$B$6:$B$41,0)),0)</f>
        <v>1071</v>
      </c>
      <c r="AB1757" s="18" t="n">
        <f aca="false">IF($Z1757&lt;=0,0,$Z1757/$AA1757)</f>
        <v>51.2597647058824</v>
      </c>
      <c r="AC1757" s="16" t="n">
        <f aca="false">IFERROR(INDEX(SEMANAS!$K$6:$K$71,MATCH($B1757,SEMANAS!$B$6:$B$71,0)),0)</f>
        <v>147</v>
      </c>
      <c r="AD1757" s="19" t="n">
        <f aca="false">IF($AC1757&lt;=0,0,$AB1757/$AC1757)</f>
        <v>0.348705882352941</v>
      </c>
      <c r="AE1757" s="8" t="str">
        <f aca="false">IF($K1757="SEM CULTURA","SEM CULTURA",IF($AA1757&lt;=0,"DADO PENDENTE",IF($AD1757&gt;LIMITE_CRITICO,"INVIAVEL",IF($AD1757&gt;LIMITE_ATENCAO,"CRITICO",IF($AD1757&gt;LIMITE_CONFORTAVEL,"ATENCAO","OK")))))</f>
        <v>OK</v>
      </c>
      <c r="AF1757" s="8" t="str">
        <f aca="false">$B1757&amp;"|"&amp;TEXT($AD1757,"0.000000")</f>
        <v>36|0.348706</v>
      </c>
      <c r="AG1757" s="18" t="n">
        <f aca="false">IF($K1757="SEM CULTURA",0,$T1757*$H1757)</f>
        <v>5069.4714</v>
      </c>
      <c r="AH1757" s="18" t="n">
        <f aca="false">IF($K1757="SEM CULTURA",0,$V1757*$H1757)</f>
        <v>403.03872</v>
      </c>
      <c r="AI1757" s="18" t="n">
        <f aca="false">IF($K1757="SEM CULTURA",0,$W1757*$H1757)</f>
        <v>4666.43268</v>
      </c>
      <c r="AJ1757" s="18" t="n">
        <f aca="false">IF($K1757="SEM CULTURA",0,$S1757*$H1757)</f>
        <v>4408.236</v>
      </c>
      <c r="AK1757" s="8" t="str">
        <f aca="false">$E1757&amp;"|"&amp;TEXT($AD1757,"0.000000")</f>
        <v>PV 123|0.348706</v>
      </c>
    </row>
    <row r="1758" customFormat="false" ht="15" hidden="false" customHeight="false" outlineLevel="0" collapsed="false">
      <c r="B1758" s="16" t="n">
        <v>37</v>
      </c>
      <c r="C1758" s="17" t="n">
        <f aca="false">DATA_INICIO_SAFRA+($B1758-1)*DIAS_POR_SEMANA</f>
        <v>46517</v>
      </c>
      <c r="D1758" s="17" t="n">
        <f aca="false">$C1758+DIAS_POR_SEMANA-1</f>
        <v>46523</v>
      </c>
      <c r="E1758" s="15" t="s">
        <v>285</v>
      </c>
      <c r="F1758" s="8" t="str">
        <f aca="false">IFERROR(INDEX(CADASTRO_PIVOS!$C$6:$C$41,MATCH($E1758,CADASTRO_PIVOS!$B$6:$B$41,0)),"?")</f>
        <v>RM07</v>
      </c>
      <c r="G1758" s="8" t="str">
        <f aca="false">IFERROR(INDEX(CADASTRO_PIVOS!$D$6:$D$41,MATCH($E1758,CADASTRO_PIVOS!$B$6:$B$41,0)),"?")</f>
        <v>TR07</v>
      </c>
      <c r="H1758" s="20" t="n">
        <f aca="false">IFERROR(INDEX(CADASTRO_PIVOS!$E$6:$E$41,MATCH($E1758,CADASTRO_PIVOS!$B$6:$B$41,0)),0)</f>
        <v>149.94</v>
      </c>
      <c r="I1758" s="16" t="n">
        <f aca="false">IFERROR(SUMIFS(ROTACAO_RDM!$B$6:$B$71,ROTACAO_RDM!$D$6:$D$71,$E1758,ROTACAO_RDM!$I$6:$I$71,"&lt;="&amp;$C1758+INT(DIAS_POR_SEMANA/2),ROTACAO_RDM!$J$6:$J$71,"&gt;="&amp;$C1758+INT(DIAS_POR_SEMANA/2)),0)</f>
        <v>43</v>
      </c>
      <c r="J1758" s="16" t="n">
        <f aca="false">IFERROR(MATCH($I1758,ROTACAO_RDM!$B$6:$B$71,0),0)</f>
        <v>43</v>
      </c>
      <c r="K1758" s="8" t="str">
        <f aca="false">IF($J1758=0,"SEM CULTURA",INDEX(ROTACAO_RDM!$F$6:$F$71,$J1758))</f>
        <v>ALGODAO</v>
      </c>
      <c r="L1758" s="8" t="str">
        <f aca="false">IF($J1758=0,"",INDEX(ROTACAO_RDM!$G$6:$G$71,$J1758))</f>
        <v>FM 911 GLTP</v>
      </c>
      <c r="M1758" s="17" t="n">
        <f aca="false">IF($J1758=0,"",INDEX(ROTACAO_RDM!$I$6:$I$71,$J1758))</f>
        <v>46415</v>
      </c>
      <c r="N1758" s="16" t="n">
        <f aca="false">IF($J1758=0,0,MAX(0,$C1758+INT(DIAS_POR_SEMANA/2)-INDEX(ROTACAO_RDM!$I$6:$I$71,$J1758)))</f>
        <v>105</v>
      </c>
      <c r="O1758" s="19" t="n">
        <f aca="false">IF($J1758=0,0,MIN(1,$N1758/MAX(1,INDEX(ROTACAO_RDM!$K$6:$K$71,$J1758))))</f>
        <v>0.583333333333333</v>
      </c>
      <c r="P1758" s="16" t="n">
        <f aca="false">IF($J1758=0,0,IFERROR(MATCH(INDEX(ROTACAO_RDM!$N$6:$N$71,$J1758),PARAMETROS_CULTURAS!$B$6:$B$28,0),0))</f>
        <v>4</v>
      </c>
      <c r="Q1758" s="8" t="str">
        <f aca="false">IF($P1758=0,"-",IF($O1758&lt;=INDEX(PARAMETROS_CULTURAS!$F$6:$F$28,$P1758),"INICIAL",IF($O1758&lt;=INDEX(PARAMETROS_CULTURAS!$F$6:$F$28,$P1758)+INDEX(PARAMETROS_CULTURAS!$G$6:$G$28,$P1758),"DESENVOLVIMENTO",IF($O1758&lt;=INDEX(PARAMETROS_CULTURAS!$F$6:$F$28,$P1758)+INDEX(PARAMETROS_CULTURAS!$G$6:$G$28,$P1758)+INDEX(PARAMETROS_CULTURAS!$H$6:$H$28,$P1758),"MEDIA","FINAL"))))</f>
        <v>MEDIA</v>
      </c>
      <c r="R1758" s="24" t="n">
        <f aca="false">IF($P1758=0,0,IF($O1758&lt;=INDEX(PARAMETROS_CULTURAS!$F$6:$F$28,$P1758),INDEX(PARAMETROS_CULTURAS!$K$6:$K$28,$P1758),IF($O1758&lt;=INDEX(PARAMETROS_CULTURAS!$F$6:$F$28,$P1758)+INDEX(PARAMETROS_CULTURAS!$G$6:$G$28,$P1758),INDEX(PARAMETROS_CULTURAS!$K$6:$K$28,$P1758)+(INDEX(PARAMETROS_CULTURAS!$L$6:$L$28,$P1758)-INDEX(PARAMETROS_CULTURAS!$K$6:$K$28,$P1758))*($O1758-INDEX(PARAMETROS_CULTURAS!$F$6:$F$28,$P1758))/MAX(INDEX(PARAMETROS_CULTURAS!$G$6:$G$28,$P1758),0.0001),IF($O1758&lt;=INDEX(PARAMETROS_CULTURAS!$F$6:$F$28,$P1758)+INDEX(PARAMETROS_CULTURAS!$G$6:$G$28,$P1758)+INDEX(PARAMETROS_CULTURAS!$H$6:$H$28,$P1758),INDEX(PARAMETROS_CULTURAS!$L$6:$L$28,$P1758),INDEX(PARAMETROS_CULTURAS!$L$6:$L$28,$P1758)+(INDEX(PARAMETROS_CULTURAS!$M$6:$M$28,$P1758)-INDEX(PARAMETROS_CULTURAS!$L$6:$L$28,$P1758))*($O1758-INDEX(PARAMETROS_CULTURAS!$F$6:$F$28,$P1758)-INDEX(PARAMETROS_CULTURAS!$G$6:$G$28,$P1758)-INDEX(PARAMETROS_CULTURAS!$H$6:$H$28,$P1758))/MAX(INDEX(PARAMETROS_CULTURAS!$I$6:$I$28,$P1758),0.0001)))))</f>
        <v>1.15</v>
      </c>
      <c r="S1758" s="18" t="n">
        <f aca="false">IFERROR(INDEX(SEMANAS!$H$6:$H$71,MATCH($B1758,SEMANAS!$B$6:$B$71,0)),0)</f>
        <v>29.4</v>
      </c>
      <c r="T1758" s="18" t="n">
        <f aca="false">$R1758*$S1758</f>
        <v>33.81</v>
      </c>
      <c r="U1758" s="18" t="n">
        <f aca="false">IFERROR(INDEX(SEMANAS!$I$6:$I$71,MATCH($B1758,SEMANAS!$B$6:$B$71,0)),0)</f>
        <v>3.36</v>
      </c>
      <c r="V1758" s="18" t="n">
        <f aca="false">IFERROR(INDEX(SEMANAS!$J$6:$J$71,MATCH($B1758,SEMANAS!$B$6:$B$71,0)),0)</f>
        <v>2.688</v>
      </c>
      <c r="W1758" s="18" t="n">
        <f aca="false">MAX(0,$T1758-$V1758)</f>
        <v>31.122</v>
      </c>
      <c r="X1758" s="19" t="n">
        <f aca="false">IFERROR(INDEX(CADASTRO_PIVOS!$K$6:$K$41,MATCH($E1758,CADASTRO_PIVOS!$B$6:$B$41,0)),EFICIENCIA_PADRAO)</f>
        <v>0.85</v>
      </c>
      <c r="Y1758" s="18" t="n">
        <f aca="false">IF($X1758&lt;=0,0,$W1758/$X1758)</f>
        <v>36.6141176470588</v>
      </c>
      <c r="Z1758" s="16" t="n">
        <f aca="false">$Y1758*$H1758*MM_PARA_M3_HA</f>
        <v>54899.208</v>
      </c>
      <c r="AA1758" s="18" t="n">
        <f aca="false">IFERROR(INDEX(CADASTRO_PIVOS!$I$6:$I$41,MATCH($E1758,CADASTRO_PIVOS!$B$6:$B$41,0)),0)</f>
        <v>1071</v>
      </c>
      <c r="AB1758" s="18" t="n">
        <f aca="false">IF($Z1758&lt;=0,0,$Z1758/$AA1758)</f>
        <v>51.2597647058824</v>
      </c>
      <c r="AC1758" s="16" t="n">
        <f aca="false">IFERROR(INDEX(SEMANAS!$K$6:$K$71,MATCH($B1758,SEMANAS!$B$6:$B$71,0)),0)</f>
        <v>147</v>
      </c>
      <c r="AD1758" s="19" t="n">
        <f aca="false">IF($AC1758&lt;=0,0,$AB1758/$AC1758)</f>
        <v>0.348705882352941</v>
      </c>
      <c r="AE1758" s="8" t="str">
        <f aca="false">IF($K1758="SEM CULTURA","SEM CULTURA",IF($AA1758&lt;=0,"DADO PENDENTE",IF($AD1758&gt;LIMITE_CRITICO,"INVIAVEL",IF($AD1758&gt;LIMITE_ATENCAO,"CRITICO",IF($AD1758&gt;LIMITE_CONFORTAVEL,"ATENCAO","OK")))))</f>
        <v>OK</v>
      </c>
      <c r="AF1758" s="8" t="str">
        <f aca="false">$B1758&amp;"|"&amp;TEXT($AD1758,"0.000000")</f>
        <v>37|0.348706</v>
      </c>
      <c r="AG1758" s="18" t="n">
        <f aca="false">IF($K1758="SEM CULTURA",0,$T1758*$H1758)</f>
        <v>5069.4714</v>
      </c>
      <c r="AH1758" s="18" t="n">
        <f aca="false">IF($K1758="SEM CULTURA",0,$V1758*$H1758)</f>
        <v>403.03872</v>
      </c>
      <c r="AI1758" s="18" t="n">
        <f aca="false">IF($K1758="SEM CULTURA",0,$W1758*$H1758)</f>
        <v>4666.43268</v>
      </c>
      <c r="AJ1758" s="18" t="n">
        <f aca="false">IF($K1758="SEM CULTURA",0,$S1758*$H1758)</f>
        <v>4408.236</v>
      </c>
      <c r="AK1758" s="8" t="str">
        <f aca="false">$E1758&amp;"|"&amp;TEXT($AD1758,"0.000000")</f>
        <v>PV 123|0.348706</v>
      </c>
    </row>
    <row r="1759" customFormat="false" ht="15" hidden="false" customHeight="false" outlineLevel="0" collapsed="false">
      <c r="B1759" s="16" t="n">
        <v>38</v>
      </c>
      <c r="C1759" s="17" t="n">
        <f aca="false">DATA_INICIO_SAFRA+($B1759-1)*DIAS_POR_SEMANA</f>
        <v>46524</v>
      </c>
      <c r="D1759" s="17" t="n">
        <f aca="false">$C1759+DIAS_POR_SEMANA-1</f>
        <v>46530</v>
      </c>
      <c r="E1759" s="15" t="s">
        <v>285</v>
      </c>
      <c r="F1759" s="8" t="str">
        <f aca="false">IFERROR(INDEX(CADASTRO_PIVOS!$C$6:$C$41,MATCH($E1759,CADASTRO_PIVOS!$B$6:$B$41,0)),"?")</f>
        <v>RM07</v>
      </c>
      <c r="G1759" s="8" t="str">
        <f aca="false">IFERROR(INDEX(CADASTRO_PIVOS!$D$6:$D$41,MATCH($E1759,CADASTRO_PIVOS!$B$6:$B$41,0)),"?")</f>
        <v>TR07</v>
      </c>
      <c r="H1759" s="20" t="n">
        <f aca="false">IFERROR(INDEX(CADASTRO_PIVOS!$E$6:$E$41,MATCH($E1759,CADASTRO_PIVOS!$B$6:$B$41,0)),0)</f>
        <v>149.94</v>
      </c>
      <c r="I1759" s="16" t="n">
        <f aca="false">IFERROR(SUMIFS(ROTACAO_RDM!$B$6:$B$71,ROTACAO_RDM!$D$6:$D$71,$E1759,ROTACAO_RDM!$I$6:$I$71,"&lt;="&amp;$C1759+INT(DIAS_POR_SEMANA/2),ROTACAO_RDM!$J$6:$J$71,"&gt;="&amp;$C1759+INT(DIAS_POR_SEMANA/2)),0)</f>
        <v>43</v>
      </c>
      <c r="J1759" s="16" t="n">
        <f aca="false">IFERROR(MATCH($I1759,ROTACAO_RDM!$B$6:$B$71,0),0)</f>
        <v>43</v>
      </c>
      <c r="K1759" s="8" t="str">
        <f aca="false">IF($J1759=0,"SEM CULTURA",INDEX(ROTACAO_RDM!$F$6:$F$71,$J1759))</f>
        <v>ALGODAO</v>
      </c>
      <c r="L1759" s="8" t="str">
        <f aca="false">IF($J1759=0,"",INDEX(ROTACAO_RDM!$G$6:$G$71,$J1759))</f>
        <v>FM 911 GLTP</v>
      </c>
      <c r="M1759" s="17" t="n">
        <f aca="false">IF($J1759=0,"",INDEX(ROTACAO_RDM!$I$6:$I$71,$J1759))</f>
        <v>46415</v>
      </c>
      <c r="N1759" s="16" t="n">
        <f aca="false">IF($J1759=0,0,MAX(0,$C1759+INT(DIAS_POR_SEMANA/2)-INDEX(ROTACAO_RDM!$I$6:$I$71,$J1759)))</f>
        <v>112</v>
      </c>
      <c r="O1759" s="19" t="n">
        <f aca="false">IF($J1759=0,0,MIN(1,$N1759/MAX(1,INDEX(ROTACAO_RDM!$K$6:$K$71,$J1759))))</f>
        <v>0.622222222222222</v>
      </c>
      <c r="P1759" s="16" t="n">
        <f aca="false">IF($J1759=0,0,IFERROR(MATCH(INDEX(ROTACAO_RDM!$N$6:$N$71,$J1759),PARAMETROS_CULTURAS!$B$6:$B$28,0),0))</f>
        <v>4</v>
      </c>
      <c r="Q1759" s="8" t="str">
        <f aca="false">IF($P1759=0,"-",IF($O1759&lt;=INDEX(PARAMETROS_CULTURAS!$F$6:$F$28,$P1759),"INICIAL",IF($O1759&lt;=INDEX(PARAMETROS_CULTURAS!$F$6:$F$28,$P1759)+INDEX(PARAMETROS_CULTURAS!$G$6:$G$28,$P1759),"DESENVOLVIMENTO",IF($O1759&lt;=INDEX(PARAMETROS_CULTURAS!$F$6:$F$28,$P1759)+INDEX(PARAMETROS_CULTURAS!$G$6:$G$28,$P1759)+INDEX(PARAMETROS_CULTURAS!$H$6:$H$28,$P1759),"MEDIA","FINAL"))))</f>
        <v>MEDIA</v>
      </c>
      <c r="R1759" s="24" t="n">
        <f aca="false">IF($P1759=0,0,IF($O1759&lt;=INDEX(PARAMETROS_CULTURAS!$F$6:$F$28,$P1759),INDEX(PARAMETROS_CULTURAS!$K$6:$K$28,$P1759),IF($O1759&lt;=INDEX(PARAMETROS_CULTURAS!$F$6:$F$28,$P1759)+INDEX(PARAMETROS_CULTURAS!$G$6:$G$28,$P1759),INDEX(PARAMETROS_CULTURAS!$K$6:$K$28,$P1759)+(INDEX(PARAMETROS_CULTURAS!$L$6:$L$28,$P1759)-INDEX(PARAMETROS_CULTURAS!$K$6:$K$28,$P1759))*($O1759-INDEX(PARAMETROS_CULTURAS!$F$6:$F$28,$P1759))/MAX(INDEX(PARAMETROS_CULTURAS!$G$6:$G$28,$P1759),0.0001),IF($O1759&lt;=INDEX(PARAMETROS_CULTURAS!$F$6:$F$28,$P1759)+INDEX(PARAMETROS_CULTURAS!$G$6:$G$28,$P1759)+INDEX(PARAMETROS_CULTURAS!$H$6:$H$28,$P1759),INDEX(PARAMETROS_CULTURAS!$L$6:$L$28,$P1759),INDEX(PARAMETROS_CULTURAS!$L$6:$L$28,$P1759)+(INDEX(PARAMETROS_CULTURAS!$M$6:$M$28,$P1759)-INDEX(PARAMETROS_CULTURAS!$L$6:$L$28,$P1759))*($O1759-INDEX(PARAMETROS_CULTURAS!$F$6:$F$28,$P1759)-INDEX(PARAMETROS_CULTURAS!$G$6:$G$28,$P1759)-INDEX(PARAMETROS_CULTURAS!$H$6:$H$28,$P1759))/MAX(INDEX(PARAMETROS_CULTURAS!$I$6:$I$28,$P1759),0.0001)))))</f>
        <v>1.15</v>
      </c>
      <c r="S1759" s="18" t="n">
        <f aca="false">IFERROR(INDEX(SEMANAS!$H$6:$H$71,MATCH($B1759,SEMANAS!$B$6:$B$71,0)),0)</f>
        <v>29.4</v>
      </c>
      <c r="T1759" s="18" t="n">
        <f aca="false">$R1759*$S1759</f>
        <v>33.81</v>
      </c>
      <c r="U1759" s="18" t="n">
        <f aca="false">IFERROR(INDEX(SEMANAS!$I$6:$I$71,MATCH($B1759,SEMANAS!$B$6:$B$71,0)),0)</f>
        <v>3.36</v>
      </c>
      <c r="V1759" s="18" t="n">
        <f aca="false">IFERROR(INDEX(SEMANAS!$J$6:$J$71,MATCH($B1759,SEMANAS!$B$6:$B$71,0)),0)</f>
        <v>2.688</v>
      </c>
      <c r="W1759" s="18" t="n">
        <f aca="false">MAX(0,$T1759-$V1759)</f>
        <v>31.122</v>
      </c>
      <c r="X1759" s="19" t="n">
        <f aca="false">IFERROR(INDEX(CADASTRO_PIVOS!$K$6:$K$41,MATCH($E1759,CADASTRO_PIVOS!$B$6:$B$41,0)),EFICIENCIA_PADRAO)</f>
        <v>0.85</v>
      </c>
      <c r="Y1759" s="18" t="n">
        <f aca="false">IF($X1759&lt;=0,0,$W1759/$X1759)</f>
        <v>36.6141176470588</v>
      </c>
      <c r="Z1759" s="16" t="n">
        <f aca="false">$Y1759*$H1759*MM_PARA_M3_HA</f>
        <v>54899.208</v>
      </c>
      <c r="AA1759" s="18" t="n">
        <f aca="false">IFERROR(INDEX(CADASTRO_PIVOS!$I$6:$I$41,MATCH($E1759,CADASTRO_PIVOS!$B$6:$B$41,0)),0)</f>
        <v>1071</v>
      </c>
      <c r="AB1759" s="18" t="n">
        <f aca="false">IF($Z1759&lt;=0,0,$Z1759/$AA1759)</f>
        <v>51.2597647058824</v>
      </c>
      <c r="AC1759" s="16" t="n">
        <f aca="false">IFERROR(INDEX(SEMANAS!$K$6:$K$71,MATCH($B1759,SEMANAS!$B$6:$B$71,0)),0)</f>
        <v>147</v>
      </c>
      <c r="AD1759" s="19" t="n">
        <f aca="false">IF($AC1759&lt;=0,0,$AB1759/$AC1759)</f>
        <v>0.348705882352941</v>
      </c>
      <c r="AE1759" s="8" t="str">
        <f aca="false">IF($K1759="SEM CULTURA","SEM CULTURA",IF($AA1759&lt;=0,"DADO PENDENTE",IF($AD1759&gt;LIMITE_CRITICO,"INVIAVEL",IF($AD1759&gt;LIMITE_ATENCAO,"CRITICO",IF($AD1759&gt;LIMITE_CONFORTAVEL,"ATENCAO","OK")))))</f>
        <v>OK</v>
      </c>
      <c r="AF1759" s="8" t="str">
        <f aca="false">$B1759&amp;"|"&amp;TEXT($AD1759,"0.000000")</f>
        <v>38|0.348706</v>
      </c>
      <c r="AG1759" s="18" t="n">
        <f aca="false">IF($K1759="SEM CULTURA",0,$T1759*$H1759)</f>
        <v>5069.4714</v>
      </c>
      <c r="AH1759" s="18" t="n">
        <f aca="false">IF($K1759="SEM CULTURA",0,$V1759*$H1759)</f>
        <v>403.03872</v>
      </c>
      <c r="AI1759" s="18" t="n">
        <f aca="false">IF($K1759="SEM CULTURA",0,$W1759*$H1759)</f>
        <v>4666.43268</v>
      </c>
      <c r="AJ1759" s="18" t="n">
        <f aca="false">IF($K1759="SEM CULTURA",0,$S1759*$H1759)</f>
        <v>4408.236</v>
      </c>
      <c r="AK1759" s="8" t="str">
        <f aca="false">$E1759&amp;"|"&amp;TEXT($AD1759,"0.000000")</f>
        <v>PV 123|0.348706</v>
      </c>
    </row>
    <row r="1760" customFormat="false" ht="15" hidden="false" customHeight="false" outlineLevel="0" collapsed="false">
      <c r="B1760" s="16" t="n">
        <v>39</v>
      </c>
      <c r="C1760" s="17" t="n">
        <f aca="false">DATA_INICIO_SAFRA+($B1760-1)*DIAS_POR_SEMANA</f>
        <v>46531</v>
      </c>
      <c r="D1760" s="17" t="n">
        <f aca="false">$C1760+DIAS_POR_SEMANA-1</f>
        <v>46537</v>
      </c>
      <c r="E1760" s="15" t="s">
        <v>285</v>
      </c>
      <c r="F1760" s="8" t="str">
        <f aca="false">IFERROR(INDEX(CADASTRO_PIVOS!$C$6:$C$41,MATCH($E1760,CADASTRO_PIVOS!$B$6:$B$41,0)),"?")</f>
        <v>RM07</v>
      </c>
      <c r="G1760" s="8" t="str">
        <f aca="false">IFERROR(INDEX(CADASTRO_PIVOS!$D$6:$D$41,MATCH($E1760,CADASTRO_PIVOS!$B$6:$B$41,0)),"?")</f>
        <v>TR07</v>
      </c>
      <c r="H1760" s="20" t="n">
        <f aca="false">IFERROR(INDEX(CADASTRO_PIVOS!$E$6:$E$41,MATCH($E1760,CADASTRO_PIVOS!$B$6:$B$41,0)),0)</f>
        <v>149.94</v>
      </c>
      <c r="I1760" s="16" t="n">
        <f aca="false">IFERROR(SUMIFS(ROTACAO_RDM!$B$6:$B$71,ROTACAO_RDM!$D$6:$D$71,$E1760,ROTACAO_RDM!$I$6:$I$71,"&lt;="&amp;$C1760+INT(DIAS_POR_SEMANA/2),ROTACAO_RDM!$J$6:$J$71,"&gt;="&amp;$C1760+INT(DIAS_POR_SEMANA/2)),0)</f>
        <v>43</v>
      </c>
      <c r="J1760" s="16" t="n">
        <f aca="false">IFERROR(MATCH($I1760,ROTACAO_RDM!$B$6:$B$71,0),0)</f>
        <v>43</v>
      </c>
      <c r="K1760" s="8" t="str">
        <f aca="false">IF($J1760=0,"SEM CULTURA",INDEX(ROTACAO_RDM!$F$6:$F$71,$J1760))</f>
        <v>ALGODAO</v>
      </c>
      <c r="L1760" s="8" t="str">
        <f aca="false">IF($J1760=0,"",INDEX(ROTACAO_RDM!$G$6:$G$71,$J1760))</f>
        <v>FM 911 GLTP</v>
      </c>
      <c r="M1760" s="17" t="n">
        <f aca="false">IF($J1760=0,"",INDEX(ROTACAO_RDM!$I$6:$I$71,$J1760))</f>
        <v>46415</v>
      </c>
      <c r="N1760" s="16" t="n">
        <f aca="false">IF($J1760=0,0,MAX(0,$C1760+INT(DIAS_POR_SEMANA/2)-INDEX(ROTACAO_RDM!$I$6:$I$71,$J1760)))</f>
        <v>119</v>
      </c>
      <c r="O1760" s="19" t="n">
        <f aca="false">IF($J1760=0,0,MIN(1,$N1760/MAX(1,INDEX(ROTACAO_RDM!$K$6:$K$71,$J1760))))</f>
        <v>0.661111111111111</v>
      </c>
      <c r="P1760" s="16" t="n">
        <f aca="false">IF($J1760=0,0,IFERROR(MATCH(INDEX(ROTACAO_RDM!$N$6:$N$71,$J1760),PARAMETROS_CULTURAS!$B$6:$B$28,0),0))</f>
        <v>4</v>
      </c>
      <c r="Q1760" s="8" t="str">
        <f aca="false">IF($P1760=0,"-",IF($O1760&lt;=INDEX(PARAMETROS_CULTURAS!$F$6:$F$28,$P1760),"INICIAL",IF($O1760&lt;=INDEX(PARAMETROS_CULTURAS!$F$6:$F$28,$P1760)+INDEX(PARAMETROS_CULTURAS!$G$6:$G$28,$P1760),"DESENVOLVIMENTO",IF($O1760&lt;=INDEX(PARAMETROS_CULTURAS!$F$6:$F$28,$P1760)+INDEX(PARAMETROS_CULTURAS!$G$6:$G$28,$P1760)+INDEX(PARAMETROS_CULTURAS!$H$6:$H$28,$P1760),"MEDIA","FINAL"))))</f>
        <v>MEDIA</v>
      </c>
      <c r="R1760" s="24" t="n">
        <f aca="false">IF($P1760=0,0,IF($O1760&lt;=INDEX(PARAMETROS_CULTURAS!$F$6:$F$28,$P1760),INDEX(PARAMETROS_CULTURAS!$K$6:$K$28,$P1760),IF($O1760&lt;=INDEX(PARAMETROS_CULTURAS!$F$6:$F$28,$P1760)+INDEX(PARAMETROS_CULTURAS!$G$6:$G$28,$P1760),INDEX(PARAMETROS_CULTURAS!$K$6:$K$28,$P1760)+(INDEX(PARAMETROS_CULTURAS!$L$6:$L$28,$P1760)-INDEX(PARAMETROS_CULTURAS!$K$6:$K$28,$P1760))*($O1760-INDEX(PARAMETROS_CULTURAS!$F$6:$F$28,$P1760))/MAX(INDEX(PARAMETROS_CULTURAS!$G$6:$G$28,$P1760),0.0001),IF($O1760&lt;=INDEX(PARAMETROS_CULTURAS!$F$6:$F$28,$P1760)+INDEX(PARAMETROS_CULTURAS!$G$6:$G$28,$P1760)+INDEX(PARAMETROS_CULTURAS!$H$6:$H$28,$P1760),INDEX(PARAMETROS_CULTURAS!$L$6:$L$28,$P1760),INDEX(PARAMETROS_CULTURAS!$L$6:$L$28,$P1760)+(INDEX(PARAMETROS_CULTURAS!$M$6:$M$28,$P1760)-INDEX(PARAMETROS_CULTURAS!$L$6:$L$28,$P1760))*($O1760-INDEX(PARAMETROS_CULTURAS!$F$6:$F$28,$P1760)-INDEX(PARAMETROS_CULTURAS!$G$6:$G$28,$P1760)-INDEX(PARAMETROS_CULTURAS!$H$6:$H$28,$P1760))/MAX(INDEX(PARAMETROS_CULTURAS!$I$6:$I$28,$P1760),0.0001)))))</f>
        <v>1.15</v>
      </c>
      <c r="S1760" s="18" t="n">
        <f aca="false">IFERROR(INDEX(SEMANAS!$H$6:$H$71,MATCH($B1760,SEMANAS!$B$6:$B$71,0)),0)</f>
        <v>29.4</v>
      </c>
      <c r="T1760" s="18" t="n">
        <f aca="false">$R1760*$S1760</f>
        <v>33.81</v>
      </c>
      <c r="U1760" s="18" t="n">
        <f aca="false">IFERROR(INDEX(SEMANAS!$I$6:$I$71,MATCH($B1760,SEMANAS!$B$6:$B$71,0)),0)</f>
        <v>3.36</v>
      </c>
      <c r="V1760" s="18" t="n">
        <f aca="false">IFERROR(INDEX(SEMANAS!$J$6:$J$71,MATCH($B1760,SEMANAS!$B$6:$B$71,0)),0)</f>
        <v>2.688</v>
      </c>
      <c r="W1760" s="18" t="n">
        <f aca="false">MAX(0,$T1760-$V1760)</f>
        <v>31.122</v>
      </c>
      <c r="X1760" s="19" t="n">
        <f aca="false">IFERROR(INDEX(CADASTRO_PIVOS!$K$6:$K$41,MATCH($E1760,CADASTRO_PIVOS!$B$6:$B$41,0)),EFICIENCIA_PADRAO)</f>
        <v>0.85</v>
      </c>
      <c r="Y1760" s="18" t="n">
        <f aca="false">IF($X1760&lt;=0,0,$W1760/$X1760)</f>
        <v>36.6141176470588</v>
      </c>
      <c r="Z1760" s="16" t="n">
        <f aca="false">$Y1760*$H1760*MM_PARA_M3_HA</f>
        <v>54899.208</v>
      </c>
      <c r="AA1760" s="18" t="n">
        <f aca="false">IFERROR(INDEX(CADASTRO_PIVOS!$I$6:$I$41,MATCH($E1760,CADASTRO_PIVOS!$B$6:$B$41,0)),0)</f>
        <v>1071</v>
      </c>
      <c r="AB1760" s="18" t="n">
        <f aca="false">IF($Z1760&lt;=0,0,$Z1760/$AA1760)</f>
        <v>51.2597647058824</v>
      </c>
      <c r="AC1760" s="16" t="n">
        <f aca="false">IFERROR(INDEX(SEMANAS!$K$6:$K$71,MATCH($B1760,SEMANAS!$B$6:$B$71,0)),0)</f>
        <v>147</v>
      </c>
      <c r="AD1760" s="19" t="n">
        <f aca="false">IF($AC1760&lt;=0,0,$AB1760/$AC1760)</f>
        <v>0.348705882352941</v>
      </c>
      <c r="AE1760" s="8" t="str">
        <f aca="false">IF($K1760="SEM CULTURA","SEM CULTURA",IF($AA1760&lt;=0,"DADO PENDENTE",IF($AD1760&gt;LIMITE_CRITICO,"INVIAVEL",IF($AD1760&gt;LIMITE_ATENCAO,"CRITICO",IF($AD1760&gt;LIMITE_CONFORTAVEL,"ATENCAO","OK")))))</f>
        <v>OK</v>
      </c>
      <c r="AF1760" s="8" t="str">
        <f aca="false">$B1760&amp;"|"&amp;TEXT($AD1760,"0.000000")</f>
        <v>39|0.348706</v>
      </c>
      <c r="AG1760" s="18" t="n">
        <f aca="false">IF($K1760="SEM CULTURA",0,$T1760*$H1760)</f>
        <v>5069.4714</v>
      </c>
      <c r="AH1760" s="18" t="n">
        <f aca="false">IF($K1760="SEM CULTURA",0,$V1760*$H1760)</f>
        <v>403.03872</v>
      </c>
      <c r="AI1760" s="18" t="n">
        <f aca="false">IF($K1760="SEM CULTURA",0,$W1760*$H1760)</f>
        <v>4666.43268</v>
      </c>
      <c r="AJ1760" s="18" t="n">
        <f aca="false">IF($K1760="SEM CULTURA",0,$S1760*$H1760)</f>
        <v>4408.236</v>
      </c>
      <c r="AK1760" s="8" t="str">
        <f aca="false">$E1760&amp;"|"&amp;TEXT($AD1760,"0.000000")</f>
        <v>PV 123|0.348706</v>
      </c>
    </row>
    <row r="1761" customFormat="false" ht="15" hidden="false" customHeight="false" outlineLevel="0" collapsed="false">
      <c r="B1761" s="16" t="n">
        <v>40</v>
      </c>
      <c r="C1761" s="17" t="n">
        <f aca="false">DATA_INICIO_SAFRA+($B1761-1)*DIAS_POR_SEMANA</f>
        <v>46538</v>
      </c>
      <c r="D1761" s="17" t="n">
        <f aca="false">$C1761+DIAS_POR_SEMANA-1</f>
        <v>46544</v>
      </c>
      <c r="E1761" s="15" t="s">
        <v>285</v>
      </c>
      <c r="F1761" s="8" t="str">
        <f aca="false">IFERROR(INDEX(CADASTRO_PIVOS!$C$6:$C$41,MATCH($E1761,CADASTRO_PIVOS!$B$6:$B$41,0)),"?")</f>
        <v>RM07</v>
      </c>
      <c r="G1761" s="8" t="str">
        <f aca="false">IFERROR(INDEX(CADASTRO_PIVOS!$D$6:$D$41,MATCH($E1761,CADASTRO_PIVOS!$B$6:$B$41,0)),"?")</f>
        <v>TR07</v>
      </c>
      <c r="H1761" s="20" t="n">
        <f aca="false">IFERROR(INDEX(CADASTRO_PIVOS!$E$6:$E$41,MATCH($E1761,CADASTRO_PIVOS!$B$6:$B$41,0)),0)</f>
        <v>149.94</v>
      </c>
      <c r="I1761" s="16" t="n">
        <f aca="false">IFERROR(SUMIFS(ROTACAO_RDM!$B$6:$B$71,ROTACAO_RDM!$D$6:$D$71,$E1761,ROTACAO_RDM!$I$6:$I$71,"&lt;="&amp;$C1761+INT(DIAS_POR_SEMANA/2),ROTACAO_RDM!$J$6:$J$71,"&gt;="&amp;$C1761+INT(DIAS_POR_SEMANA/2)),0)</f>
        <v>43</v>
      </c>
      <c r="J1761" s="16" t="n">
        <f aca="false">IFERROR(MATCH($I1761,ROTACAO_RDM!$B$6:$B$71,0),0)</f>
        <v>43</v>
      </c>
      <c r="K1761" s="8" t="str">
        <f aca="false">IF($J1761=0,"SEM CULTURA",INDEX(ROTACAO_RDM!$F$6:$F$71,$J1761))</f>
        <v>ALGODAO</v>
      </c>
      <c r="L1761" s="8" t="str">
        <f aca="false">IF($J1761=0,"",INDEX(ROTACAO_RDM!$G$6:$G$71,$J1761))</f>
        <v>FM 911 GLTP</v>
      </c>
      <c r="M1761" s="17" t="n">
        <f aca="false">IF($J1761=0,"",INDEX(ROTACAO_RDM!$I$6:$I$71,$J1761))</f>
        <v>46415</v>
      </c>
      <c r="N1761" s="16" t="n">
        <f aca="false">IF($J1761=0,0,MAX(0,$C1761+INT(DIAS_POR_SEMANA/2)-INDEX(ROTACAO_RDM!$I$6:$I$71,$J1761)))</f>
        <v>126</v>
      </c>
      <c r="O1761" s="19" t="n">
        <f aca="false">IF($J1761=0,0,MIN(1,$N1761/MAX(1,INDEX(ROTACAO_RDM!$K$6:$K$71,$J1761))))</f>
        <v>0.7</v>
      </c>
      <c r="P1761" s="16" t="n">
        <f aca="false">IF($J1761=0,0,IFERROR(MATCH(INDEX(ROTACAO_RDM!$N$6:$N$71,$J1761),PARAMETROS_CULTURAS!$B$6:$B$28,0),0))</f>
        <v>4</v>
      </c>
      <c r="Q1761" s="8" t="str">
        <f aca="false">IF($P1761=0,"-",IF($O1761&lt;=INDEX(PARAMETROS_CULTURAS!$F$6:$F$28,$P1761),"INICIAL",IF($O1761&lt;=INDEX(PARAMETROS_CULTURAS!$F$6:$F$28,$P1761)+INDEX(PARAMETROS_CULTURAS!$G$6:$G$28,$P1761),"DESENVOLVIMENTO",IF($O1761&lt;=INDEX(PARAMETROS_CULTURAS!$F$6:$F$28,$P1761)+INDEX(PARAMETROS_CULTURAS!$G$6:$G$28,$P1761)+INDEX(PARAMETROS_CULTURAS!$H$6:$H$28,$P1761),"MEDIA","FINAL"))))</f>
        <v>MEDIA</v>
      </c>
      <c r="R1761" s="24" t="n">
        <f aca="false">IF($P1761=0,0,IF($O1761&lt;=INDEX(PARAMETROS_CULTURAS!$F$6:$F$28,$P1761),INDEX(PARAMETROS_CULTURAS!$K$6:$K$28,$P1761),IF($O1761&lt;=INDEX(PARAMETROS_CULTURAS!$F$6:$F$28,$P1761)+INDEX(PARAMETROS_CULTURAS!$G$6:$G$28,$P1761),INDEX(PARAMETROS_CULTURAS!$K$6:$K$28,$P1761)+(INDEX(PARAMETROS_CULTURAS!$L$6:$L$28,$P1761)-INDEX(PARAMETROS_CULTURAS!$K$6:$K$28,$P1761))*($O1761-INDEX(PARAMETROS_CULTURAS!$F$6:$F$28,$P1761))/MAX(INDEX(PARAMETROS_CULTURAS!$G$6:$G$28,$P1761),0.0001),IF($O1761&lt;=INDEX(PARAMETROS_CULTURAS!$F$6:$F$28,$P1761)+INDEX(PARAMETROS_CULTURAS!$G$6:$G$28,$P1761)+INDEX(PARAMETROS_CULTURAS!$H$6:$H$28,$P1761),INDEX(PARAMETROS_CULTURAS!$L$6:$L$28,$P1761),INDEX(PARAMETROS_CULTURAS!$L$6:$L$28,$P1761)+(INDEX(PARAMETROS_CULTURAS!$M$6:$M$28,$P1761)-INDEX(PARAMETROS_CULTURAS!$L$6:$L$28,$P1761))*($O1761-INDEX(PARAMETROS_CULTURAS!$F$6:$F$28,$P1761)-INDEX(PARAMETROS_CULTURAS!$G$6:$G$28,$P1761)-INDEX(PARAMETROS_CULTURAS!$H$6:$H$28,$P1761))/MAX(INDEX(PARAMETROS_CULTURAS!$I$6:$I$28,$P1761),0.0001)))))</f>
        <v>1.15</v>
      </c>
      <c r="S1761" s="18" t="n">
        <f aca="false">IFERROR(INDEX(SEMANAS!$H$6:$H$71,MATCH($B1761,SEMANAS!$B$6:$B$71,0)),0)</f>
        <v>28.2</v>
      </c>
      <c r="T1761" s="18" t="n">
        <f aca="false">$R1761*$S1761</f>
        <v>32.43</v>
      </c>
      <c r="U1761" s="18" t="n">
        <f aca="false">IFERROR(INDEX(SEMANAS!$I$6:$I$71,MATCH($B1761,SEMANAS!$B$6:$B$71,0)),0)</f>
        <v>1.5</v>
      </c>
      <c r="V1761" s="18" t="n">
        <f aca="false">IFERROR(INDEX(SEMANAS!$J$6:$J$71,MATCH($B1761,SEMANAS!$B$6:$B$71,0)),0)</f>
        <v>1.2</v>
      </c>
      <c r="W1761" s="18" t="n">
        <f aca="false">MAX(0,$T1761-$V1761)</f>
        <v>31.23</v>
      </c>
      <c r="X1761" s="19" t="n">
        <f aca="false">IFERROR(INDEX(CADASTRO_PIVOS!$K$6:$K$41,MATCH($E1761,CADASTRO_PIVOS!$B$6:$B$41,0)),EFICIENCIA_PADRAO)</f>
        <v>0.85</v>
      </c>
      <c r="Y1761" s="18" t="n">
        <f aca="false">IF($X1761&lt;=0,0,$W1761/$X1761)</f>
        <v>36.7411764705882</v>
      </c>
      <c r="Z1761" s="16" t="n">
        <f aca="false">$Y1761*$H1761*MM_PARA_M3_HA</f>
        <v>55089.72</v>
      </c>
      <c r="AA1761" s="18" t="n">
        <f aca="false">IFERROR(INDEX(CADASTRO_PIVOS!$I$6:$I$41,MATCH($E1761,CADASTRO_PIVOS!$B$6:$B$41,0)),0)</f>
        <v>1071</v>
      </c>
      <c r="AB1761" s="18" t="n">
        <f aca="false">IF($Z1761&lt;=0,0,$Z1761/$AA1761)</f>
        <v>51.4376470588235</v>
      </c>
      <c r="AC1761" s="16" t="n">
        <f aca="false">IFERROR(INDEX(SEMANAS!$K$6:$K$71,MATCH($B1761,SEMANAS!$B$6:$B$71,0)),0)</f>
        <v>147</v>
      </c>
      <c r="AD1761" s="19" t="n">
        <f aca="false">IF($AC1761&lt;=0,0,$AB1761/$AC1761)</f>
        <v>0.349915966386555</v>
      </c>
      <c r="AE1761" s="8" t="str">
        <f aca="false">IF($K1761="SEM CULTURA","SEM CULTURA",IF($AA1761&lt;=0,"DADO PENDENTE",IF($AD1761&gt;LIMITE_CRITICO,"INVIAVEL",IF($AD1761&gt;LIMITE_ATENCAO,"CRITICO",IF($AD1761&gt;LIMITE_CONFORTAVEL,"ATENCAO","OK")))))</f>
        <v>OK</v>
      </c>
      <c r="AF1761" s="8" t="str">
        <f aca="false">$B1761&amp;"|"&amp;TEXT($AD1761,"0.000000")</f>
        <v>40|0.349916</v>
      </c>
      <c r="AG1761" s="18" t="n">
        <f aca="false">IF($K1761="SEM CULTURA",0,$T1761*$H1761)</f>
        <v>4862.5542</v>
      </c>
      <c r="AH1761" s="18" t="n">
        <f aca="false">IF($K1761="SEM CULTURA",0,$V1761*$H1761)</f>
        <v>179.928</v>
      </c>
      <c r="AI1761" s="18" t="n">
        <f aca="false">IF($K1761="SEM CULTURA",0,$W1761*$H1761)</f>
        <v>4682.6262</v>
      </c>
      <c r="AJ1761" s="18" t="n">
        <f aca="false">IF($K1761="SEM CULTURA",0,$S1761*$H1761)</f>
        <v>4228.308</v>
      </c>
      <c r="AK1761" s="8" t="str">
        <f aca="false">$E1761&amp;"|"&amp;TEXT($AD1761,"0.000000")</f>
        <v>PV 123|0.349916</v>
      </c>
    </row>
    <row r="1762" customFormat="false" ht="15" hidden="false" customHeight="false" outlineLevel="0" collapsed="false">
      <c r="B1762" s="16" t="n">
        <v>41</v>
      </c>
      <c r="C1762" s="17" t="n">
        <f aca="false">DATA_INICIO_SAFRA+($B1762-1)*DIAS_POR_SEMANA</f>
        <v>46545</v>
      </c>
      <c r="D1762" s="17" t="n">
        <f aca="false">$C1762+DIAS_POR_SEMANA-1</f>
        <v>46551</v>
      </c>
      <c r="E1762" s="15" t="s">
        <v>285</v>
      </c>
      <c r="F1762" s="8" t="str">
        <f aca="false">IFERROR(INDEX(CADASTRO_PIVOS!$C$6:$C$41,MATCH($E1762,CADASTRO_PIVOS!$B$6:$B$41,0)),"?")</f>
        <v>RM07</v>
      </c>
      <c r="G1762" s="8" t="str">
        <f aca="false">IFERROR(INDEX(CADASTRO_PIVOS!$D$6:$D$41,MATCH($E1762,CADASTRO_PIVOS!$B$6:$B$41,0)),"?")</f>
        <v>TR07</v>
      </c>
      <c r="H1762" s="20" t="n">
        <f aca="false">IFERROR(INDEX(CADASTRO_PIVOS!$E$6:$E$41,MATCH($E1762,CADASTRO_PIVOS!$B$6:$B$41,0)),0)</f>
        <v>149.94</v>
      </c>
      <c r="I1762" s="16" t="n">
        <f aca="false">IFERROR(SUMIFS(ROTACAO_RDM!$B$6:$B$71,ROTACAO_RDM!$D$6:$D$71,$E1762,ROTACAO_RDM!$I$6:$I$71,"&lt;="&amp;$C1762+INT(DIAS_POR_SEMANA/2),ROTACAO_RDM!$J$6:$J$71,"&gt;="&amp;$C1762+INT(DIAS_POR_SEMANA/2)),0)</f>
        <v>43</v>
      </c>
      <c r="J1762" s="16" t="n">
        <f aca="false">IFERROR(MATCH($I1762,ROTACAO_RDM!$B$6:$B$71,0),0)</f>
        <v>43</v>
      </c>
      <c r="K1762" s="8" t="str">
        <f aca="false">IF($J1762=0,"SEM CULTURA",INDEX(ROTACAO_RDM!$F$6:$F$71,$J1762))</f>
        <v>ALGODAO</v>
      </c>
      <c r="L1762" s="8" t="str">
        <f aca="false">IF($J1762=0,"",INDEX(ROTACAO_RDM!$G$6:$G$71,$J1762))</f>
        <v>FM 911 GLTP</v>
      </c>
      <c r="M1762" s="17" t="n">
        <f aca="false">IF($J1762=0,"",INDEX(ROTACAO_RDM!$I$6:$I$71,$J1762))</f>
        <v>46415</v>
      </c>
      <c r="N1762" s="16" t="n">
        <f aca="false">IF($J1762=0,0,MAX(0,$C1762+INT(DIAS_POR_SEMANA/2)-INDEX(ROTACAO_RDM!$I$6:$I$71,$J1762)))</f>
        <v>133</v>
      </c>
      <c r="O1762" s="19" t="n">
        <f aca="false">IF($J1762=0,0,MIN(1,$N1762/MAX(1,INDEX(ROTACAO_RDM!$K$6:$K$71,$J1762))))</f>
        <v>0.738888888888889</v>
      </c>
      <c r="P1762" s="16" t="n">
        <f aca="false">IF($J1762=0,0,IFERROR(MATCH(INDEX(ROTACAO_RDM!$N$6:$N$71,$J1762),PARAMETROS_CULTURAS!$B$6:$B$28,0),0))</f>
        <v>4</v>
      </c>
      <c r="Q1762" s="8" t="str">
        <f aca="false">IF($P1762=0,"-",IF($O1762&lt;=INDEX(PARAMETROS_CULTURAS!$F$6:$F$28,$P1762),"INICIAL",IF($O1762&lt;=INDEX(PARAMETROS_CULTURAS!$F$6:$F$28,$P1762)+INDEX(PARAMETROS_CULTURAS!$G$6:$G$28,$P1762),"DESENVOLVIMENTO",IF($O1762&lt;=INDEX(PARAMETROS_CULTURAS!$F$6:$F$28,$P1762)+INDEX(PARAMETROS_CULTURAS!$G$6:$G$28,$P1762)+INDEX(PARAMETROS_CULTURAS!$H$6:$H$28,$P1762),"MEDIA","FINAL"))))</f>
        <v>MEDIA</v>
      </c>
      <c r="R1762" s="24" t="n">
        <f aca="false">IF($P1762=0,0,IF($O1762&lt;=INDEX(PARAMETROS_CULTURAS!$F$6:$F$28,$P1762),INDEX(PARAMETROS_CULTURAS!$K$6:$K$28,$P1762),IF($O1762&lt;=INDEX(PARAMETROS_CULTURAS!$F$6:$F$28,$P1762)+INDEX(PARAMETROS_CULTURAS!$G$6:$G$28,$P1762),INDEX(PARAMETROS_CULTURAS!$K$6:$K$28,$P1762)+(INDEX(PARAMETROS_CULTURAS!$L$6:$L$28,$P1762)-INDEX(PARAMETROS_CULTURAS!$K$6:$K$28,$P1762))*($O1762-INDEX(PARAMETROS_CULTURAS!$F$6:$F$28,$P1762))/MAX(INDEX(PARAMETROS_CULTURAS!$G$6:$G$28,$P1762),0.0001),IF($O1762&lt;=INDEX(PARAMETROS_CULTURAS!$F$6:$F$28,$P1762)+INDEX(PARAMETROS_CULTURAS!$G$6:$G$28,$P1762)+INDEX(PARAMETROS_CULTURAS!$H$6:$H$28,$P1762),INDEX(PARAMETROS_CULTURAS!$L$6:$L$28,$P1762),INDEX(PARAMETROS_CULTURAS!$L$6:$L$28,$P1762)+(INDEX(PARAMETROS_CULTURAS!$M$6:$M$28,$P1762)-INDEX(PARAMETROS_CULTURAS!$L$6:$L$28,$P1762))*($O1762-INDEX(PARAMETROS_CULTURAS!$F$6:$F$28,$P1762)-INDEX(PARAMETROS_CULTURAS!$G$6:$G$28,$P1762)-INDEX(PARAMETROS_CULTURAS!$H$6:$H$28,$P1762))/MAX(INDEX(PARAMETROS_CULTURAS!$I$6:$I$28,$P1762),0.0001)))))</f>
        <v>1.15</v>
      </c>
      <c r="S1762" s="18" t="n">
        <f aca="false">IFERROR(INDEX(SEMANAS!$H$6:$H$71,MATCH($B1762,SEMANAS!$B$6:$B$71,0)),0)</f>
        <v>28</v>
      </c>
      <c r="T1762" s="18" t="n">
        <f aca="false">$R1762*$S1762</f>
        <v>32.2</v>
      </c>
      <c r="U1762" s="18" t="n">
        <f aca="false">IFERROR(INDEX(SEMANAS!$I$6:$I$71,MATCH($B1762,SEMANAS!$B$6:$B$71,0)),0)</f>
        <v>1.19</v>
      </c>
      <c r="V1762" s="18" t="n">
        <f aca="false">IFERROR(INDEX(SEMANAS!$J$6:$J$71,MATCH($B1762,SEMANAS!$B$6:$B$71,0)),0)</f>
        <v>0.952</v>
      </c>
      <c r="W1762" s="18" t="n">
        <f aca="false">MAX(0,$T1762-$V1762)</f>
        <v>31.248</v>
      </c>
      <c r="X1762" s="19" t="n">
        <f aca="false">IFERROR(INDEX(CADASTRO_PIVOS!$K$6:$K$41,MATCH($E1762,CADASTRO_PIVOS!$B$6:$B$41,0)),EFICIENCIA_PADRAO)</f>
        <v>0.85</v>
      </c>
      <c r="Y1762" s="18" t="n">
        <f aca="false">IF($X1762&lt;=0,0,$W1762/$X1762)</f>
        <v>36.7623529411765</v>
      </c>
      <c r="Z1762" s="16" t="n">
        <f aca="false">$Y1762*$H1762*MM_PARA_M3_HA</f>
        <v>55121.472</v>
      </c>
      <c r="AA1762" s="18" t="n">
        <f aca="false">IFERROR(INDEX(CADASTRO_PIVOS!$I$6:$I$41,MATCH($E1762,CADASTRO_PIVOS!$B$6:$B$41,0)),0)</f>
        <v>1071</v>
      </c>
      <c r="AB1762" s="18" t="n">
        <f aca="false">IF($Z1762&lt;=0,0,$Z1762/$AA1762)</f>
        <v>51.4672941176471</v>
      </c>
      <c r="AC1762" s="16" t="n">
        <f aca="false">IFERROR(INDEX(SEMANAS!$K$6:$K$71,MATCH($B1762,SEMANAS!$B$6:$B$71,0)),0)</f>
        <v>147</v>
      </c>
      <c r="AD1762" s="19" t="n">
        <f aca="false">IF($AC1762&lt;=0,0,$AB1762/$AC1762)</f>
        <v>0.350117647058824</v>
      </c>
      <c r="AE1762" s="8" t="str">
        <f aca="false">IF($K1762="SEM CULTURA","SEM CULTURA",IF($AA1762&lt;=0,"DADO PENDENTE",IF($AD1762&gt;LIMITE_CRITICO,"INVIAVEL",IF($AD1762&gt;LIMITE_ATENCAO,"CRITICO",IF($AD1762&gt;LIMITE_CONFORTAVEL,"ATENCAO","OK")))))</f>
        <v>OK</v>
      </c>
      <c r="AF1762" s="8" t="str">
        <f aca="false">$B1762&amp;"|"&amp;TEXT($AD1762,"0.000000")</f>
        <v>41|0.350118</v>
      </c>
      <c r="AG1762" s="18" t="n">
        <f aca="false">IF($K1762="SEM CULTURA",0,$T1762*$H1762)</f>
        <v>4828.068</v>
      </c>
      <c r="AH1762" s="18" t="n">
        <f aca="false">IF($K1762="SEM CULTURA",0,$V1762*$H1762)</f>
        <v>142.74288</v>
      </c>
      <c r="AI1762" s="18" t="n">
        <f aca="false">IF($K1762="SEM CULTURA",0,$W1762*$H1762)</f>
        <v>4685.32512</v>
      </c>
      <c r="AJ1762" s="18" t="n">
        <f aca="false">IF($K1762="SEM CULTURA",0,$S1762*$H1762)</f>
        <v>4198.32</v>
      </c>
      <c r="AK1762" s="8" t="str">
        <f aca="false">$E1762&amp;"|"&amp;TEXT($AD1762,"0.000000")</f>
        <v>PV 123|0.350118</v>
      </c>
    </row>
    <row r="1763" customFormat="false" ht="15" hidden="false" customHeight="false" outlineLevel="0" collapsed="false">
      <c r="B1763" s="16" t="n">
        <v>42</v>
      </c>
      <c r="C1763" s="17" t="n">
        <f aca="false">DATA_INICIO_SAFRA+($B1763-1)*DIAS_POR_SEMANA</f>
        <v>46552</v>
      </c>
      <c r="D1763" s="17" t="n">
        <f aca="false">$C1763+DIAS_POR_SEMANA-1</f>
        <v>46558</v>
      </c>
      <c r="E1763" s="15" t="s">
        <v>285</v>
      </c>
      <c r="F1763" s="8" t="str">
        <f aca="false">IFERROR(INDEX(CADASTRO_PIVOS!$C$6:$C$41,MATCH($E1763,CADASTRO_PIVOS!$B$6:$B$41,0)),"?")</f>
        <v>RM07</v>
      </c>
      <c r="G1763" s="8" t="str">
        <f aca="false">IFERROR(INDEX(CADASTRO_PIVOS!$D$6:$D$41,MATCH($E1763,CADASTRO_PIVOS!$B$6:$B$41,0)),"?")</f>
        <v>TR07</v>
      </c>
      <c r="H1763" s="20" t="n">
        <f aca="false">IFERROR(INDEX(CADASTRO_PIVOS!$E$6:$E$41,MATCH($E1763,CADASTRO_PIVOS!$B$6:$B$41,0)),0)</f>
        <v>149.94</v>
      </c>
      <c r="I1763" s="16" t="n">
        <f aca="false">IFERROR(SUMIFS(ROTACAO_RDM!$B$6:$B$71,ROTACAO_RDM!$D$6:$D$71,$E1763,ROTACAO_RDM!$I$6:$I$71,"&lt;="&amp;$C1763+INT(DIAS_POR_SEMANA/2),ROTACAO_RDM!$J$6:$J$71,"&gt;="&amp;$C1763+INT(DIAS_POR_SEMANA/2)),0)</f>
        <v>43</v>
      </c>
      <c r="J1763" s="16" t="n">
        <f aca="false">IFERROR(MATCH($I1763,ROTACAO_RDM!$B$6:$B$71,0),0)</f>
        <v>43</v>
      </c>
      <c r="K1763" s="8" t="str">
        <f aca="false">IF($J1763=0,"SEM CULTURA",INDEX(ROTACAO_RDM!$F$6:$F$71,$J1763))</f>
        <v>ALGODAO</v>
      </c>
      <c r="L1763" s="8" t="str">
        <f aca="false">IF($J1763=0,"",INDEX(ROTACAO_RDM!$G$6:$G$71,$J1763))</f>
        <v>FM 911 GLTP</v>
      </c>
      <c r="M1763" s="17" t="n">
        <f aca="false">IF($J1763=0,"",INDEX(ROTACAO_RDM!$I$6:$I$71,$J1763))</f>
        <v>46415</v>
      </c>
      <c r="N1763" s="16" t="n">
        <f aca="false">IF($J1763=0,0,MAX(0,$C1763+INT(DIAS_POR_SEMANA/2)-INDEX(ROTACAO_RDM!$I$6:$I$71,$J1763)))</f>
        <v>140</v>
      </c>
      <c r="O1763" s="19" t="n">
        <f aca="false">IF($J1763=0,0,MIN(1,$N1763/MAX(1,INDEX(ROTACAO_RDM!$K$6:$K$71,$J1763))))</f>
        <v>0.777777777777778</v>
      </c>
      <c r="P1763" s="16" t="n">
        <f aca="false">IF($J1763=0,0,IFERROR(MATCH(INDEX(ROTACAO_RDM!$N$6:$N$71,$J1763),PARAMETROS_CULTURAS!$B$6:$B$28,0),0))</f>
        <v>4</v>
      </c>
      <c r="Q1763" s="8" t="str">
        <f aca="false">IF($P1763=0,"-",IF($O1763&lt;=INDEX(PARAMETROS_CULTURAS!$F$6:$F$28,$P1763),"INICIAL",IF($O1763&lt;=INDEX(PARAMETROS_CULTURAS!$F$6:$F$28,$P1763)+INDEX(PARAMETROS_CULTURAS!$G$6:$G$28,$P1763),"DESENVOLVIMENTO",IF($O1763&lt;=INDEX(PARAMETROS_CULTURAS!$F$6:$F$28,$P1763)+INDEX(PARAMETROS_CULTURAS!$G$6:$G$28,$P1763)+INDEX(PARAMETROS_CULTURAS!$H$6:$H$28,$P1763),"MEDIA","FINAL"))))</f>
        <v>FINAL</v>
      </c>
      <c r="R1763" s="24" t="n">
        <f aca="false">IF($P1763=0,0,IF($O1763&lt;=INDEX(PARAMETROS_CULTURAS!$F$6:$F$28,$P1763),INDEX(PARAMETROS_CULTURAS!$K$6:$K$28,$P1763),IF($O1763&lt;=INDEX(PARAMETROS_CULTURAS!$F$6:$F$28,$P1763)+INDEX(PARAMETROS_CULTURAS!$G$6:$G$28,$P1763),INDEX(PARAMETROS_CULTURAS!$K$6:$K$28,$P1763)+(INDEX(PARAMETROS_CULTURAS!$L$6:$L$28,$P1763)-INDEX(PARAMETROS_CULTURAS!$K$6:$K$28,$P1763))*($O1763-INDEX(PARAMETROS_CULTURAS!$F$6:$F$28,$P1763))/MAX(INDEX(PARAMETROS_CULTURAS!$G$6:$G$28,$P1763),0.0001),IF($O1763&lt;=INDEX(PARAMETROS_CULTURAS!$F$6:$F$28,$P1763)+INDEX(PARAMETROS_CULTURAS!$G$6:$G$28,$P1763)+INDEX(PARAMETROS_CULTURAS!$H$6:$H$28,$P1763),INDEX(PARAMETROS_CULTURAS!$L$6:$L$28,$P1763),INDEX(PARAMETROS_CULTURAS!$L$6:$L$28,$P1763)+(INDEX(PARAMETROS_CULTURAS!$M$6:$M$28,$P1763)-INDEX(PARAMETROS_CULTURAS!$L$6:$L$28,$P1763))*($O1763-INDEX(PARAMETROS_CULTURAS!$F$6:$F$28,$P1763)-INDEX(PARAMETROS_CULTURAS!$G$6:$G$28,$P1763)-INDEX(PARAMETROS_CULTURAS!$H$6:$H$28,$P1763))/MAX(INDEX(PARAMETROS_CULTURAS!$I$6:$I$28,$P1763),0.0001)))))</f>
        <v>1.08888888888889</v>
      </c>
      <c r="S1763" s="18" t="n">
        <f aca="false">IFERROR(INDEX(SEMANAS!$H$6:$H$71,MATCH($B1763,SEMANAS!$B$6:$B$71,0)),0)</f>
        <v>28</v>
      </c>
      <c r="T1763" s="18" t="n">
        <f aca="false">$R1763*$S1763</f>
        <v>30.4888888888889</v>
      </c>
      <c r="U1763" s="18" t="n">
        <f aca="false">IFERROR(INDEX(SEMANAS!$I$6:$I$71,MATCH($B1763,SEMANAS!$B$6:$B$71,0)),0)</f>
        <v>1.19</v>
      </c>
      <c r="V1763" s="18" t="n">
        <f aca="false">IFERROR(INDEX(SEMANAS!$J$6:$J$71,MATCH($B1763,SEMANAS!$B$6:$B$71,0)),0)</f>
        <v>0.952</v>
      </c>
      <c r="W1763" s="18" t="n">
        <f aca="false">MAX(0,$T1763-$V1763)</f>
        <v>29.5368888888889</v>
      </c>
      <c r="X1763" s="19" t="n">
        <f aca="false">IFERROR(INDEX(CADASTRO_PIVOS!$K$6:$K$41,MATCH($E1763,CADASTRO_PIVOS!$B$6:$B$41,0)),EFICIENCIA_PADRAO)</f>
        <v>0.85</v>
      </c>
      <c r="Y1763" s="18" t="n">
        <f aca="false">IF($X1763&lt;=0,0,$W1763/$X1763)</f>
        <v>34.7492810457516</v>
      </c>
      <c r="Z1763" s="16" t="n">
        <f aca="false">$Y1763*$H1763*MM_PARA_M3_HA</f>
        <v>52103.072</v>
      </c>
      <c r="AA1763" s="18" t="n">
        <f aca="false">IFERROR(INDEX(CADASTRO_PIVOS!$I$6:$I$41,MATCH($E1763,CADASTRO_PIVOS!$B$6:$B$41,0)),0)</f>
        <v>1071</v>
      </c>
      <c r="AB1763" s="18" t="n">
        <f aca="false">IF($Z1763&lt;=0,0,$Z1763/$AA1763)</f>
        <v>48.6489934640523</v>
      </c>
      <c r="AC1763" s="16" t="n">
        <f aca="false">IFERROR(INDEX(SEMANAS!$K$6:$K$71,MATCH($B1763,SEMANAS!$B$6:$B$71,0)),0)</f>
        <v>147</v>
      </c>
      <c r="AD1763" s="19" t="n">
        <f aca="false">IF($AC1763&lt;=0,0,$AB1763/$AC1763)</f>
        <v>0.330945533769063</v>
      </c>
      <c r="AE1763" s="8" t="str">
        <f aca="false">IF($K1763="SEM CULTURA","SEM CULTURA",IF($AA1763&lt;=0,"DADO PENDENTE",IF($AD1763&gt;LIMITE_CRITICO,"INVIAVEL",IF($AD1763&gt;LIMITE_ATENCAO,"CRITICO",IF($AD1763&gt;LIMITE_CONFORTAVEL,"ATENCAO","OK")))))</f>
        <v>OK</v>
      </c>
      <c r="AF1763" s="8" t="str">
        <f aca="false">$B1763&amp;"|"&amp;TEXT($AD1763,"0.000000")</f>
        <v>42|0.330946</v>
      </c>
      <c r="AG1763" s="18" t="n">
        <f aca="false">IF($K1763="SEM CULTURA",0,$T1763*$H1763)</f>
        <v>4571.504</v>
      </c>
      <c r="AH1763" s="18" t="n">
        <f aca="false">IF($K1763="SEM CULTURA",0,$V1763*$H1763)</f>
        <v>142.74288</v>
      </c>
      <c r="AI1763" s="18" t="n">
        <f aca="false">IF($K1763="SEM CULTURA",0,$W1763*$H1763)</f>
        <v>4428.76112</v>
      </c>
      <c r="AJ1763" s="18" t="n">
        <f aca="false">IF($K1763="SEM CULTURA",0,$S1763*$H1763)</f>
        <v>4198.32</v>
      </c>
      <c r="AK1763" s="8" t="str">
        <f aca="false">$E1763&amp;"|"&amp;TEXT($AD1763,"0.000000")</f>
        <v>PV 123|0.330946</v>
      </c>
    </row>
    <row r="1764" customFormat="false" ht="15" hidden="false" customHeight="false" outlineLevel="0" collapsed="false">
      <c r="B1764" s="16" t="n">
        <v>43</v>
      </c>
      <c r="C1764" s="17" t="n">
        <f aca="false">DATA_INICIO_SAFRA+($B1764-1)*DIAS_POR_SEMANA</f>
        <v>46559</v>
      </c>
      <c r="D1764" s="17" t="n">
        <f aca="false">$C1764+DIAS_POR_SEMANA-1</f>
        <v>46565</v>
      </c>
      <c r="E1764" s="15" t="s">
        <v>285</v>
      </c>
      <c r="F1764" s="8" t="str">
        <f aca="false">IFERROR(INDEX(CADASTRO_PIVOS!$C$6:$C$41,MATCH($E1764,CADASTRO_PIVOS!$B$6:$B$41,0)),"?")</f>
        <v>RM07</v>
      </c>
      <c r="G1764" s="8" t="str">
        <f aca="false">IFERROR(INDEX(CADASTRO_PIVOS!$D$6:$D$41,MATCH($E1764,CADASTRO_PIVOS!$B$6:$B$41,0)),"?")</f>
        <v>TR07</v>
      </c>
      <c r="H1764" s="20" t="n">
        <f aca="false">IFERROR(INDEX(CADASTRO_PIVOS!$E$6:$E$41,MATCH($E1764,CADASTRO_PIVOS!$B$6:$B$41,0)),0)</f>
        <v>149.94</v>
      </c>
      <c r="I1764" s="16" t="n">
        <f aca="false">IFERROR(SUMIFS(ROTACAO_RDM!$B$6:$B$71,ROTACAO_RDM!$D$6:$D$71,$E1764,ROTACAO_RDM!$I$6:$I$71,"&lt;="&amp;$C1764+INT(DIAS_POR_SEMANA/2),ROTACAO_RDM!$J$6:$J$71,"&gt;="&amp;$C1764+INT(DIAS_POR_SEMANA/2)),0)</f>
        <v>43</v>
      </c>
      <c r="J1764" s="16" t="n">
        <f aca="false">IFERROR(MATCH($I1764,ROTACAO_RDM!$B$6:$B$71,0),0)</f>
        <v>43</v>
      </c>
      <c r="K1764" s="8" t="str">
        <f aca="false">IF($J1764=0,"SEM CULTURA",INDEX(ROTACAO_RDM!$F$6:$F$71,$J1764))</f>
        <v>ALGODAO</v>
      </c>
      <c r="L1764" s="8" t="str">
        <f aca="false">IF($J1764=0,"",INDEX(ROTACAO_RDM!$G$6:$G$71,$J1764))</f>
        <v>FM 911 GLTP</v>
      </c>
      <c r="M1764" s="17" t="n">
        <f aca="false">IF($J1764=0,"",INDEX(ROTACAO_RDM!$I$6:$I$71,$J1764))</f>
        <v>46415</v>
      </c>
      <c r="N1764" s="16" t="n">
        <f aca="false">IF($J1764=0,0,MAX(0,$C1764+INT(DIAS_POR_SEMANA/2)-INDEX(ROTACAO_RDM!$I$6:$I$71,$J1764)))</f>
        <v>147</v>
      </c>
      <c r="O1764" s="19" t="n">
        <f aca="false">IF($J1764=0,0,MIN(1,$N1764/MAX(1,INDEX(ROTACAO_RDM!$K$6:$K$71,$J1764))))</f>
        <v>0.816666666666667</v>
      </c>
      <c r="P1764" s="16" t="n">
        <f aca="false">IF($J1764=0,0,IFERROR(MATCH(INDEX(ROTACAO_RDM!$N$6:$N$71,$J1764),PARAMETROS_CULTURAS!$B$6:$B$28,0),0))</f>
        <v>4</v>
      </c>
      <c r="Q1764" s="8" t="str">
        <f aca="false">IF($P1764=0,"-",IF($O1764&lt;=INDEX(PARAMETROS_CULTURAS!$F$6:$F$28,$P1764),"INICIAL",IF($O1764&lt;=INDEX(PARAMETROS_CULTURAS!$F$6:$F$28,$P1764)+INDEX(PARAMETROS_CULTURAS!$G$6:$G$28,$P1764),"DESENVOLVIMENTO",IF($O1764&lt;=INDEX(PARAMETROS_CULTURAS!$F$6:$F$28,$P1764)+INDEX(PARAMETROS_CULTURAS!$G$6:$G$28,$P1764)+INDEX(PARAMETROS_CULTURAS!$H$6:$H$28,$P1764),"MEDIA","FINAL"))))</f>
        <v>FINAL</v>
      </c>
      <c r="R1764" s="24" t="n">
        <f aca="false">IF($P1764=0,0,IF($O1764&lt;=INDEX(PARAMETROS_CULTURAS!$F$6:$F$28,$P1764),INDEX(PARAMETROS_CULTURAS!$K$6:$K$28,$P1764),IF($O1764&lt;=INDEX(PARAMETROS_CULTURAS!$F$6:$F$28,$P1764)+INDEX(PARAMETROS_CULTURAS!$G$6:$G$28,$P1764),INDEX(PARAMETROS_CULTURAS!$K$6:$K$28,$P1764)+(INDEX(PARAMETROS_CULTURAS!$L$6:$L$28,$P1764)-INDEX(PARAMETROS_CULTURAS!$K$6:$K$28,$P1764))*($O1764-INDEX(PARAMETROS_CULTURAS!$F$6:$F$28,$P1764))/MAX(INDEX(PARAMETROS_CULTURAS!$G$6:$G$28,$P1764),0.0001),IF($O1764&lt;=INDEX(PARAMETROS_CULTURAS!$F$6:$F$28,$P1764)+INDEX(PARAMETROS_CULTURAS!$G$6:$G$28,$P1764)+INDEX(PARAMETROS_CULTURAS!$H$6:$H$28,$P1764),INDEX(PARAMETROS_CULTURAS!$L$6:$L$28,$P1764),INDEX(PARAMETROS_CULTURAS!$L$6:$L$28,$P1764)+(INDEX(PARAMETROS_CULTURAS!$M$6:$M$28,$P1764)-INDEX(PARAMETROS_CULTURAS!$L$6:$L$28,$P1764))*($O1764-INDEX(PARAMETROS_CULTURAS!$F$6:$F$28,$P1764)-INDEX(PARAMETROS_CULTURAS!$G$6:$G$28,$P1764)-INDEX(PARAMETROS_CULTURAS!$H$6:$H$28,$P1764))/MAX(INDEX(PARAMETROS_CULTURAS!$I$6:$I$28,$P1764),0.0001)))))</f>
        <v>1.00333333333333</v>
      </c>
      <c r="S1764" s="18" t="n">
        <f aca="false">IFERROR(INDEX(SEMANAS!$H$6:$H$71,MATCH($B1764,SEMANAS!$B$6:$B$71,0)),0)</f>
        <v>28</v>
      </c>
      <c r="T1764" s="18" t="n">
        <f aca="false">$R1764*$S1764</f>
        <v>28.0933333333333</v>
      </c>
      <c r="U1764" s="18" t="n">
        <f aca="false">IFERROR(INDEX(SEMANAS!$I$6:$I$71,MATCH($B1764,SEMANAS!$B$6:$B$71,0)),0)</f>
        <v>1.19</v>
      </c>
      <c r="V1764" s="18" t="n">
        <f aca="false">IFERROR(INDEX(SEMANAS!$J$6:$J$71,MATCH($B1764,SEMANAS!$B$6:$B$71,0)),0)</f>
        <v>0.952</v>
      </c>
      <c r="W1764" s="18" t="n">
        <f aca="false">MAX(0,$T1764-$V1764)</f>
        <v>27.1413333333333</v>
      </c>
      <c r="X1764" s="19" t="n">
        <f aca="false">IFERROR(INDEX(CADASTRO_PIVOS!$K$6:$K$41,MATCH($E1764,CADASTRO_PIVOS!$B$6:$B$41,0)),EFICIENCIA_PADRAO)</f>
        <v>0.85</v>
      </c>
      <c r="Y1764" s="18" t="n">
        <f aca="false">IF($X1764&lt;=0,0,$W1764/$X1764)</f>
        <v>31.9309803921569</v>
      </c>
      <c r="Z1764" s="16" t="n">
        <f aca="false">$Y1764*$H1764*MM_PARA_M3_HA</f>
        <v>47877.312</v>
      </c>
      <c r="AA1764" s="18" t="n">
        <f aca="false">IFERROR(INDEX(CADASTRO_PIVOS!$I$6:$I$41,MATCH($E1764,CADASTRO_PIVOS!$B$6:$B$41,0)),0)</f>
        <v>1071</v>
      </c>
      <c r="AB1764" s="18" t="n">
        <f aca="false">IF($Z1764&lt;=0,0,$Z1764/$AA1764)</f>
        <v>44.7033725490196</v>
      </c>
      <c r="AC1764" s="16" t="n">
        <f aca="false">IFERROR(INDEX(SEMANAS!$K$6:$K$71,MATCH($B1764,SEMANAS!$B$6:$B$71,0)),0)</f>
        <v>147</v>
      </c>
      <c r="AD1764" s="19" t="n">
        <f aca="false">IF($AC1764&lt;=0,0,$AB1764/$AC1764)</f>
        <v>0.304104575163399</v>
      </c>
      <c r="AE1764" s="8" t="str">
        <f aca="false">IF($K1764="SEM CULTURA","SEM CULTURA",IF($AA1764&lt;=0,"DADO PENDENTE",IF($AD1764&gt;LIMITE_CRITICO,"INVIAVEL",IF($AD1764&gt;LIMITE_ATENCAO,"CRITICO",IF($AD1764&gt;LIMITE_CONFORTAVEL,"ATENCAO","OK")))))</f>
        <v>OK</v>
      </c>
      <c r="AF1764" s="8" t="str">
        <f aca="false">$B1764&amp;"|"&amp;TEXT($AD1764,"0.000000")</f>
        <v>43|0.304105</v>
      </c>
      <c r="AG1764" s="18" t="n">
        <f aca="false">IF($K1764="SEM CULTURA",0,$T1764*$H1764)</f>
        <v>4212.3144</v>
      </c>
      <c r="AH1764" s="18" t="n">
        <f aca="false">IF($K1764="SEM CULTURA",0,$V1764*$H1764)</f>
        <v>142.74288</v>
      </c>
      <c r="AI1764" s="18" t="n">
        <f aca="false">IF($K1764="SEM CULTURA",0,$W1764*$H1764)</f>
        <v>4069.57152</v>
      </c>
      <c r="AJ1764" s="18" t="n">
        <f aca="false">IF($K1764="SEM CULTURA",0,$S1764*$H1764)</f>
        <v>4198.32</v>
      </c>
      <c r="AK1764" s="8" t="str">
        <f aca="false">$E1764&amp;"|"&amp;TEXT($AD1764,"0.000000")</f>
        <v>PV 123|0.304105</v>
      </c>
    </row>
    <row r="1765" customFormat="false" ht="15" hidden="false" customHeight="false" outlineLevel="0" collapsed="false">
      <c r="B1765" s="16" t="n">
        <v>44</v>
      </c>
      <c r="C1765" s="17" t="n">
        <f aca="false">DATA_INICIO_SAFRA+($B1765-1)*DIAS_POR_SEMANA</f>
        <v>46566</v>
      </c>
      <c r="D1765" s="17" t="n">
        <f aca="false">$C1765+DIAS_POR_SEMANA-1</f>
        <v>46572</v>
      </c>
      <c r="E1765" s="15" t="s">
        <v>285</v>
      </c>
      <c r="F1765" s="8" t="str">
        <f aca="false">IFERROR(INDEX(CADASTRO_PIVOS!$C$6:$C$41,MATCH($E1765,CADASTRO_PIVOS!$B$6:$B$41,0)),"?")</f>
        <v>RM07</v>
      </c>
      <c r="G1765" s="8" t="str">
        <f aca="false">IFERROR(INDEX(CADASTRO_PIVOS!$D$6:$D$41,MATCH($E1765,CADASTRO_PIVOS!$B$6:$B$41,0)),"?")</f>
        <v>TR07</v>
      </c>
      <c r="H1765" s="20" t="n">
        <f aca="false">IFERROR(INDEX(CADASTRO_PIVOS!$E$6:$E$41,MATCH($E1765,CADASTRO_PIVOS!$B$6:$B$41,0)),0)</f>
        <v>149.94</v>
      </c>
      <c r="I1765" s="16" t="n">
        <f aca="false">IFERROR(SUMIFS(ROTACAO_RDM!$B$6:$B$71,ROTACAO_RDM!$D$6:$D$71,$E1765,ROTACAO_RDM!$I$6:$I$71,"&lt;="&amp;$C1765+INT(DIAS_POR_SEMANA/2),ROTACAO_RDM!$J$6:$J$71,"&gt;="&amp;$C1765+INT(DIAS_POR_SEMANA/2)),0)</f>
        <v>43</v>
      </c>
      <c r="J1765" s="16" t="n">
        <f aca="false">IFERROR(MATCH($I1765,ROTACAO_RDM!$B$6:$B$71,0),0)</f>
        <v>43</v>
      </c>
      <c r="K1765" s="8" t="str">
        <f aca="false">IF($J1765=0,"SEM CULTURA",INDEX(ROTACAO_RDM!$F$6:$F$71,$J1765))</f>
        <v>ALGODAO</v>
      </c>
      <c r="L1765" s="8" t="str">
        <f aca="false">IF($J1765=0,"",INDEX(ROTACAO_RDM!$G$6:$G$71,$J1765))</f>
        <v>FM 911 GLTP</v>
      </c>
      <c r="M1765" s="17" t="n">
        <f aca="false">IF($J1765=0,"",INDEX(ROTACAO_RDM!$I$6:$I$71,$J1765))</f>
        <v>46415</v>
      </c>
      <c r="N1765" s="16" t="n">
        <f aca="false">IF($J1765=0,0,MAX(0,$C1765+INT(DIAS_POR_SEMANA/2)-INDEX(ROTACAO_RDM!$I$6:$I$71,$J1765)))</f>
        <v>154</v>
      </c>
      <c r="O1765" s="19" t="n">
        <f aca="false">IF($J1765=0,0,MIN(1,$N1765/MAX(1,INDEX(ROTACAO_RDM!$K$6:$K$71,$J1765))))</f>
        <v>0.855555555555556</v>
      </c>
      <c r="P1765" s="16" t="n">
        <f aca="false">IF($J1765=0,0,IFERROR(MATCH(INDEX(ROTACAO_RDM!$N$6:$N$71,$J1765),PARAMETROS_CULTURAS!$B$6:$B$28,0),0))</f>
        <v>4</v>
      </c>
      <c r="Q1765" s="8" t="str">
        <f aca="false">IF($P1765=0,"-",IF($O1765&lt;=INDEX(PARAMETROS_CULTURAS!$F$6:$F$28,$P1765),"INICIAL",IF($O1765&lt;=INDEX(PARAMETROS_CULTURAS!$F$6:$F$28,$P1765)+INDEX(PARAMETROS_CULTURAS!$G$6:$G$28,$P1765),"DESENVOLVIMENTO",IF($O1765&lt;=INDEX(PARAMETROS_CULTURAS!$F$6:$F$28,$P1765)+INDEX(PARAMETROS_CULTURAS!$G$6:$G$28,$P1765)+INDEX(PARAMETROS_CULTURAS!$H$6:$H$28,$P1765),"MEDIA","FINAL"))))</f>
        <v>FINAL</v>
      </c>
      <c r="R1765" s="24" t="n">
        <f aca="false">IF($P1765=0,0,IF($O1765&lt;=INDEX(PARAMETROS_CULTURAS!$F$6:$F$28,$P1765),INDEX(PARAMETROS_CULTURAS!$K$6:$K$28,$P1765),IF($O1765&lt;=INDEX(PARAMETROS_CULTURAS!$F$6:$F$28,$P1765)+INDEX(PARAMETROS_CULTURAS!$G$6:$G$28,$P1765),INDEX(PARAMETROS_CULTURAS!$K$6:$K$28,$P1765)+(INDEX(PARAMETROS_CULTURAS!$L$6:$L$28,$P1765)-INDEX(PARAMETROS_CULTURAS!$K$6:$K$28,$P1765))*($O1765-INDEX(PARAMETROS_CULTURAS!$F$6:$F$28,$P1765))/MAX(INDEX(PARAMETROS_CULTURAS!$G$6:$G$28,$P1765),0.0001),IF($O1765&lt;=INDEX(PARAMETROS_CULTURAS!$F$6:$F$28,$P1765)+INDEX(PARAMETROS_CULTURAS!$G$6:$G$28,$P1765)+INDEX(PARAMETROS_CULTURAS!$H$6:$H$28,$P1765),INDEX(PARAMETROS_CULTURAS!$L$6:$L$28,$P1765),INDEX(PARAMETROS_CULTURAS!$L$6:$L$28,$P1765)+(INDEX(PARAMETROS_CULTURAS!$M$6:$M$28,$P1765)-INDEX(PARAMETROS_CULTURAS!$L$6:$L$28,$P1765))*($O1765-INDEX(PARAMETROS_CULTURAS!$F$6:$F$28,$P1765)-INDEX(PARAMETROS_CULTURAS!$G$6:$G$28,$P1765)-INDEX(PARAMETROS_CULTURAS!$H$6:$H$28,$P1765))/MAX(INDEX(PARAMETROS_CULTURAS!$I$6:$I$28,$P1765),0.0001)))))</f>
        <v>0.917777777777778</v>
      </c>
      <c r="S1765" s="18" t="n">
        <f aca="false">IFERROR(INDEX(SEMANAS!$H$6:$H$71,MATCH($B1765,SEMANAS!$B$6:$B$71,0)),0)</f>
        <v>29.2</v>
      </c>
      <c r="T1765" s="18" t="n">
        <f aca="false">$R1765*$S1765</f>
        <v>26.7991111111111</v>
      </c>
      <c r="U1765" s="18" t="n">
        <f aca="false">IFERROR(INDEX(SEMANAS!$I$6:$I$71,MATCH($B1765,SEMANAS!$B$6:$B$71,0)),0)</f>
        <v>0.91</v>
      </c>
      <c r="V1765" s="18" t="n">
        <f aca="false">IFERROR(INDEX(SEMANAS!$J$6:$J$71,MATCH($B1765,SEMANAS!$B$6:$B$71,0)),0)</f>
        <v>0.728</v>
      </c>
      <c r="W1765" s="18" t="n">
        <f aca="false">MAX(0,$T1765-$V1765)</f>
        <v>26.0711111111111</v>
      </c>
      <c r="X1765" s="19" t="n">
        <f aca="false">IFERROR(INDEX(CADASTRO_PIVOS!$K$6:$K$41,MATCH($E1765,CADASTRO_PIVOS!$B$6:$B$41,0)),EFICIENCIA_PADRAO)</f>
        <v>0.85</v>
      </c>
      <c r="Y1765" s="18" t="n">
        <f aca="false">IF($X1765&lt;=0,0,$W1765/$X1765)</f>
        <v>30.6718954248366</v>
      </c>
      <c r="Z1765" s="16" t="n">
        <f aca="false">$Y1765*$H1765*MM_PARA_M3_HA</f>
        <v>45989.44</v>
      </c>
      <c r="AA1765" s="18" t="n">
        <f aca="false">IFERROR(INDEX(CADASTRO_PIVOS!$I$6:$I$41,MATCH($E1765,CADASTRO_PIVOS!$B$6:$B$41,0)),0)</f>
        <v>1071</v>
      </c>
      <c r="AB1765" s="18" t="n">
        <f aca="false">IF($Z1765&lt;=0,0,$Z1765/$AA1765)</f>
        <v>42.9406535947712</v>
      </c>
      <c r="AC1765" s="16" t="n">
        <f aca="false">IFERROR(INDEX(SEMANAS!$K$6:$K$71,MATCH($B1765,SEMANAS!$B$6:$B$71,0)),0)</f>
        <v>147</v>
      </c>
      <c r="AD1765" s="19" t="n">
        <f aca="false">IF($AC1765&lt;=0,0,$AB1765/$AC1765)</f>
        <v>0.292113289760349</v>
      </c>
      <c r="AE1765" s="8" t="str">
        <f aca="false">IF($K1765="SEM CULTURA","SEM CULTURA",IF($AA1765&lt;=0,"DADO PENDENTE",IF($AD1765&gt;LIMITE_CRITICO,"INVIAVEL",IF($AD1765&gt;LIMITE_ATENCAO,"CRITICO",IF($AD1765&gt;LIMITE_CONFORTAVEL,"ATENCAO","OK")))))</f>
        <v>OK</v>
      </c>
      <c r="AF1765" s="8" t="str">
        <f aca="false">$B1765&amp;"|"&amp;TEXT($AD1765,"0.000000")</f>
        <v>44|0.292113</v>
      </c>
      <c r="AG1765" s="18" t="n">
        <f aca="false">IF($K1765="SEM CULTURA",0,$T1765*$H1765)</f>
        <v>4018.25872</v>
      </c>
      <c r="AH1765" s="18" t="n">
        <f aca="false">IF($K1765="SEM CULTURA",0,$V1765*$H1765)</f>
        <v>109.15632</v>
      </c>
      <c r="AI1765" s="18" t="n">
        <f aca="false">IF($K1765="SEM CULTURA",0,$W1765*$H1765)</f>
        <v>3909.1024</v>
      </c>
      <c r="AJ1765" s="18" t="n">
        <f aca="false">IF($K1765="SEM CULTURA",0,$S1765*$H1765)</f>
        <v>4378.248</v>
      </c>
      <c r="AK1765" s="8" t="str">
        <f aca="false">$E1765&amp;"|"&amp;TEXT($AD1765,"0.000000")</f>
        <v>PV 123|0.292113</v>
      </c>
    </row>
    <row r="1766" customFormat="false" ht="15" hidden="false" customHeight="false" outlineLevel="0" collapsed="false">
      <c r="B1766" s="16" t="n">
        <v>45</v>
      </c>
      <c r="C1766" s="17" t="n">
        <f aca="false">DATA_INICIO_SAFRA+($B1766-1)*DIAS_POR_SEMANA</f>
        <v>46573</v>
      </c>
      <c r="D1766" s="17" t="n">
        <f aca="false">$C1766+DIAS_POR_SEMANA-1</f>
        <v>46579</v>
      </c>
      <c r="E1766" s="15" t="s">
        <v>285</v>
      </c>
      <c r="F1766" s="8" t="str">
        <f aca="false">IFERROR(INDEX(CADASTRO_PIVOS!$C$6:$C$41,MATCH($E1766,CADASTRO_PIVOS!$B$6:$B$41,0)),"?")</f>
        <v>RM07</v>
      </c>
      <c r="G1766" s="8" t="str">
        <f aca="false">IFERROR(INDEX(CADASTRO_PIVOS!$D$6:$D$41,MATCH($E1766,CADASTRO_PIVOS!$B$6:$B$41,0)),"?")</f>
        <v>TR07</v>
      </c>
      <c r="H1766" s="20" t="n">
        <f aca="false">IFERROR(INDEX(CADASTRO_PIVOS!$E$6:$E$41,MATCH($E1766,CADASTRO_PIVOS!$B$6:$B$41,0)),0)</f>
        <v>149.94</v>
      </c>
      <c r="I1766" s="16" t="n">
        <f aca="false">IFERROR(SUMIFS(ROTACAO_RDM!$B$6:$B$71,ROTACAO_RDM!$D$6:$D$71,$E1766,ROTACAO_RDM!$I$6:$I$71,"&lt;="&amp;$C1766+INT(DIAS_POR_SEMANA/2),ROTACAO_RDM!$J$6:$J$71,"&gt;="&amp;$C1766+INT(DIAS_POR_SEMANA/2)),0)</f>
        <v>43</v>
      </c>
      <c r="J1766" s="16" t="n">
        <f aca="false">IFERROR(MATCH($I1766,ROTACAO_RDM!$B$6:$B$71,0),0)</f>
        <v>43</v>
      </c>
      <c r="K1766" s="8" t="str">
        <f aca="false">IF($J1766=0,"SEM CULTURA",INDEX(ROTACAO_RDM!$F$6:$F$71,$J1766))</f>
        <v>ALGODAO</v>
      </c>
      <c r="L1766" s="8" t="str">
        <f aca="false">IF($J1766=0,"",INDEX(ROTACAO_RDM!$G$6:$G$71,$J1766))</f>
        <v>FM 911 GLTP</v>
      </c>
      <c r="M1766" s="17" t="n">
        <f aca="false">IF($J1766=0,"",INDEX(ROTACAO_RDM!$I$6:$I$71,$J1766))</f>
        <v>46415</v>
      </c>
      <c r="N1766" s="16" t="n">
        <f aca="false">IF($J1766=0,0,MAX(0,$C1766+INT(DIAS_POR_SEMANA/2)-INDEX(ROTACAO_RDM!$I$6:$I$71,$J1766)))</f>
        <v>161</v>
      </c>
      <c r="O1766" s="19" t="n">
        <f aca="false">IF($J1766=0,0,MIN(1,$N1766/MAX(1,INDEX(ROTACAO_RDM!$K$6:$K$71,$J1766))))</f>
        <v>0.894444444444445</v>
      </c>
      <c r="P1766" s="16" t="n">
        <f aca="false">IF($J1766=0,0,IFERROR(MATCH(INDEX(ROTACAO_RDM!$N$6:$N$71,$J1766),PARAMETROS_CULTURAS!$B$6:$B$28,0),0))</f>
        <v>4</v>
      </c>
      <c r="Q1766" s="8" t="str">
        <f aca="false">IF($P1766=0,"-",IF($O1766&lt;=INDEX(PARAMETROS_CULTURAS!$F$6:$F$28,$P1766),"INICIAL",IF($O1766&lt;=INDEX(PARAMETROS_CULTURAS!$F$6:$F$28,$P1766)+INDEX(PARAMETROS_CULTURAS!$G$6:$G$28,$P1766),"DESENVOLVIMENTO",IF($O1766&lt;=INDEX(PARAMETROS_CULTURAS!$F$6:$F$28,$P1766)+INDEX(PARAMETROS_CULTURAS!$G$6:$G$28,$P1766)+INDEX(PARAMETROS_CULTURAS!$H$6:$H$28,$P1766),"MEDIA","FINAL"))))</f>
        <v>FINAL</v>
      </c>
      <c r="R1766" s="24" t="n">
        <f aca="false">IF($P1766=0,0,IF($O1766&lt;=INDEX(PARAMETROS_CULTURAS!$F$6:$F$28,$P1766),INDEX(PARAMETROS_CULTURAS!$K$6:$K$28,$P1766),IF($O1766&lt;=INDEX(PARAMETROS_CULTURAS!$F$6:$F$28,$P1766)+INDEX(PARAMETROS_CULTURAS!$G$6:$G$28,$P1766),INDEX(PARAMETROS_CULTURAS!$K$6:$K$28,$P1766)+(INDEX(PARAMETROS_CULTURAS!$L$6:$L$28,$P1766)-INDEX(PARAMETROS_CULTURAS!$K$6:$K$28,$P1766))*($O1766-INDEX(PARAMETROS_CULTURAS!$F$6:$F$28,$P1766))/MAX(INDEX(PARAMETROS_CULTURAS!$G$6:$G$28,$P1766),0.0001),IF($O1766&lt;=INDEX(PARAMETROS_CULTURAS!$F$6:$F$28,$P1766)+INDEX(PARAMETROS_CULTURAS!$G$6:$G$28,$P1766)+INDEX(PARAMETROS_CULTURAS!$H$6:$H$28,$P1766),INDEX(PARAMETROS_CULTURAS!$L$6:$L$28,$P1766),INDEX(PARAMETROS_CULTURAS!$L$6:$L$28,$P1766)+(INDEX(PARAMETROS_CULTURAS!$M$6:$M$28,$P1766)-INDEX(PARAMETROS_CULTURAS!$L$6:$L$28,$P1766))*($O1766-INDEX(PARAMETROS_CULTURAS!$F$6:$F$28,$P1766)-INDEX(PARAMETROS_CULTURAS!$G$6:$G$28,$P1766)-INDEX(PARAMETROS_CULTURAS!$H$6:$H$28,$P1766))/MAX(INDEX(PARAMETROS_CULTURAS!$I$6:$I$28,$P1766),0.0001)))))</f>
        <v>0.832222222222222</v>
      </c>
      <c r="S1766" s="18" t="n">
        <f aca="false">IFERROR(INDEX(SEMANAS!$H$6:$H$71,MATCH($B1766,SEMANAS!$B$6:$B$71,0)),0)</f>
        <v>30.1</v>
      </c>
      <c r="T1766" s="18" t="n">
        <f aca="false">$R1766*$S1766</f>
        <v>25.0498888888889</v>
      </c>
      <c r="U1766" s="18" t="n">
        <f aca="false">IFERROR(INDEX(SEMANAS!$I$6:$I$71,MATCH($B1766,SEMANAS!$B$6:$B$71,0)),0)</f>
        <v>0.7</v>
      </c>
      <c r="V1766" s="18" t="n">
        <f aca="false">IFERROR(INDEX(SEMANAS!$J$6:$J$71,MATCH($B1766,SEMANAS!$B$6:$B$71,0)),0)</f>
        <v>0.56</v>
      </c>
      <c r="W1766" s="18" t="n">
        <f aca="false">MAX(0,$T1766-$V1766)</f>
        <v>24.4898888888889</v>
      </c>
      <c r="X1766" s="19" t="n">
        <f aca="false">IFERROR(INDEX(CADASTRO_PIVOS!$K$6:$K$41,MATCH($E1766,CADASTRO_PIVOS!$B$6:$B$41,0)),EFICIENCIA_PADRAO)</f>
        <v>0.85</v>
      </c>
      <c r="Y1766" s="18" t="n">
        <f aca="false">IF($X1766&lt;=0,0,$W1766/$X1766)</f>
        <v>28.8116339869281</v>
      </c>
      <c r="Z1766" s="16" t="n">
        <f aca="false">$Y1766*$H1766*MM_PARA_M3_HA</f>
        <v>43200.164</v>
      </c>
      <c r="AA1766" s="18" t="n">
        <f aca="false">IFERROR(INDEX(CADASTRO_PIVOS!$I$6:$I$41,MATCH($E1766,CADASTRO_PIVOS!$B$6:$B$41,0)),0)</f>
        <v>1071</v>
      </c>
      <c r="AB1766" s="18" t="n">
        <f aca="false">IF($Z1766&lt;=0,0,$Z1766/$AA1766)</f>
        <v>40.3362875816993</v>
      </c>
      <c r="AC1766" s="16" t="n">
        <f aca="false">IFERROR(INDEX(SEMANAS!$K$6:$K$71,MATCH($B1766,SEMANAS!$B$6:$B$71,0)),0)</f>
        <v>147</v>
      </c>
      <c r="AD1766" s="19" t="n">
        <f aca="false">IF($AC1766&lt;=0,0,$AB1766/$AC1766)</f>
        <v>0.27439651416122</v>
      </c>
      <c r="AE1766" s="8" t="str">
        <f aca="false">IF($K1766="SEM CULTURA","SEM CULTURA",IF($AA1766&lt;=0,"DADO PENDENTE",IF($AD1766&gt;LIMITE_CRITICO,"INVIAVEL",IF($AD1766&gt;LIMITE_ATENCAO,"CRITICO",IF($AD1766&gt;LIMITE_CONFORTAVEL,"ATENCAO","OK")))))</f>
        <v>OK</v>
      </c>
      <c r="AF1766" s="8" t="str">
        <f aca="false">$B1766&amp;"|"&amp;TEXT($AD1766,"0.000000")</f>
        <v>45|0.274397</v>
      </c>
      <c r="AG1766" s="18" t="n">
        <f aca="false">IF($K1766="SEM CULTURA",0,$T1766*$H1766)</f>
        <v>3755.98034</v>
      </c>
      <c r="AH1766" s="18" t="n">
        <f aca="false">IF($K1766="SEM CULTURA",0,$V1766*$H1766)</f>
        <v>83.9664</v>
      </c>
      <c r="AI1766" s="18" t="n">
        <f aca="false">IF($K1766="SEM CULTURA",0,$W1766*$H1766)</f>
        <v>3672.01394</v>
      </c>
      <c r="AJ1766" s="18" t="n">
        <f aca="false">IF($K1766="SEM CULTURA",0,$S1766*$H1766)</f>
        <v>4513.194</v>
      </c>
      <c r="AK1766" s="8" t="str">
        <f aca="false">$E1766&amp;"|"&amp;TEXT($AD1766,"0.000000")</f>
        <v>PV 123|0.274397</v>
      </c>
    </row>
    <row r="1767" customFormat="false" ht="15" hidden="false" customHeight="false" outlineLevel="0" collapsed="false">
      <c r="B1767" s="16" t="n">
        <v>46</v>
      </c>
      <c r="C1767" s="17" t="n">
        <f aca="false">DATA_INICIO_SAFRA+($B1767-1)*DIAS_POR_SEMANA</f>
        <v>46580</v>
      </c>
      <c r="D1767" s="17" t="n">
        <f aca="false">$C1767+DIAS_POR_SEMANA-1</f>
        <v>46586</v>
      </c>
      <c r="E1767" s="15" t="s">
        <v>285</v>
      </c>
      <c r="F1767" s="8" t="str">
        <f aca="false">IFERROR(INDEX(CADASTRO_PIVOS!$C$6:$C$41,MATCH($E1767,CADASTRO_PIVOS!$B$6:$B$41,0)),"?")</f>
        <v>RM07</v>
      </c>
      <c r="G1767" s="8" t="str">
        <f aca="false">IFERROR(INDEX(CADASTRO_PIVOS!$D$6:$D$41,MATCH($E1767,CADASTRO_PIVOS!$B$6:$B$41,0)),"?")</f>
        <v>TR07</v>
      </c>
      <c r="H1767" s="20" t="n">
        <f aca="false">IFERROR(INDEX(CADASTRO_PIVOS!$E$6:$E$41,MATCH($E1767,CADASTRO_PIVOS!$B$6:$B$41,0)),0)</f>
        <v>149.94</v>
      </c>
      <c r="I1767" s="16" t="n">
        <f aca="false">IFERROR(SUMIFS(ROTACAO_RDM!$B$6:$B$71,ROTACAO_RDM!$D$6:$D$71,$E1767,ROTACAO_RDM!$I$6:$I$71,"&lt;="&amp;$C1767+INT(DIAS_POR_SEMANA/2),ROTACAO_RDM!$J$6:$J$71,"&gt;="&amp;$C1767+INT(DIAS_POR_SEMANA/2)),0)</f>
        <v>43</v>
      </c>
      <c r="J1767" s="16" t="n">
        <f aca="false">IFERROR(MATCH($I1767,ROTACAO_RDM!$B$6:$B$71,0),0)</f>
        <v>43</v>
      </c>
      <c r="K1767" s="8" t="str">
        <f aca="false">IF($J1767=0,"SEM CULTURA",INDEX(ROTACAO_RDM!$F$6:$F$71,$J1767))</f>
        <v>ALGODAO</v>
      </c>
      <c r="L1767" s="8" t="str">
        <f aca="false">IF($J1767=0,"",INDEX(ROTACAO_RDM!$G$6:$G$71,$J1767))</f>
        <v>FM 911 GLTP</v>
      </c>
      <c r="M1767" s="17" t="n">
        <f aca="false">IF($J1767=0,"",INDEX(ROTACAO_RDM!$I$6:$I$71,$J1767))</f>
        <v>46415</v>
      </c>
      <c r="N1767" s="16" t="n">
        <f aca="false">IF($J1767=0,0,MAX(0,$C1767+INT(DIAS_POR_SEMANA/2)-INDEX(ROTACAO_RDM!$I$6:$I$71,$J1767)))</f>
        <v>168</v>
      </c>
      <c r="O1767" s="19" t="n">
        <f aca="false">IF($J1767=0,0,MIN(1,$N1767/MAX(1,INDEX(ROTACAO_RDM!$K$6:$K$71,$J1767))))</f>
        <v>0.933333333333333</v>
      </c>
      <c r="P1767" s="16" t="n">
        <f aca="false">IF($J1767=0,0,IFERROR(MATCH(INDEX(ROTACAO_RDM!$N$6:$N$71,$J1767),PARAMETROS_CULTURAS!$B$6:$B$28,0),0))</f>
        <v>4</v>
      </c>
      <c r="Q1767" s="8" t="str">
        <f aca="false">IF($P1767=0,"-",IF($O1767&lt;=INDEX(PARAMETROS_CULTURAS!$F$6:$F$28,$P1767),"INICIAL",IF($O1767&lt;=INDEX(PARAMETROS_CULTURAS!$F$6:$F$28,$P1767)+INDEX(PARAMETROS_CULTURAS!$G$6:$G$28,$P1767),"DESENVOLVIMENTO",IF($O1767&lt;=INDEX(PARAMETROS_CULTURAS!$F$6:$F$28,$P1767)+INDEX(PARAMETROS_CULTURAS!$G$6:$G$28,$P1767)+INDEX(PARAMETROS_CULTURAS!$H$6:$H$28,$P1767),"MEDIA","FINAL"))))</f>
        <v>FINAL</v>
      </c>
      <c r="R1767" s="24" t="n">
        <f aca="false">IF($P1767=0,0,IF($O1767&lt;=INDEX(PARAMETROS_CULTURAS!$F$6:$F$28,$P1767),INDEX(PARAMETROS_CULTURAS!$K$6:$K$28,$P1767),IF($O1767&lt;=INDEX(PARAMETROS_CULTURAS!$F$6:$F$28,$P1767)+INDEX(PARAMETROS_CULTURAS!$G$6:$G$28,$P1767),INDEX(PARAMETROS_CULTURAS!$K$6:$K$28,$P1767)+(INDEX(PARAMETROS_CULTURAS!$L$6:$L$28,$P1767)-INDEX(PARAMETROS_CULTURAS!$K$6:$K$28,$P1767))*($O1767-INDEX(PARAMETROS_CULTURAS!$F$6:$F$28,$P1767))/MAX(INDEX(PARAMETROS_CULTURAS!$G$6:$G$28,$P1767),0.0001),IF($O1767&lt;=INDEX(PARAMETROS_CULTURAS!$F$6:$F$28,$P1767)+INDEX(PARAMETROS_CULTURAS!$G$6:$G$28,$P1767)+INDEX(PARAMETROS_CULTURAS!$H$6:$H$28,$P1767),INDEX(PARAMETROS_CULTURAS!$L$6:$L$28,$P1767),INDEX(PARAMETROS_CULTURAS!$L$6:$L$28,$P1767)+(INDEX(PARAMETROS_CULTURAS!$M$6:$M$28,$P1767)-INDEX(PARAMETROS_CULTURAS!$L$6:$L$28,$P1767))*($O1767-INDEX(PARAMETROS_CULTURAS!$F$6:$F$28,$P1767)-INDEX(PARAMETROS_CULTURAS!$G$6:$G$28,$P1767)-INDEX(PARAMETROS_CULTURAS!$H$6:$H$28,$P1767))/MAX(INDEX(PARAMETROS_CULTURAS!$I$6:$I$28,$P1767),0.0001)))))</f>
        <v>0.746666666666667</v>
      </c>
      <c r="S1767" s="18" t="n">
        <f aca="false">IFERROR(INDEX(SEMANAS!$H$6:$H$71,MATCH($B1767,SEMANAS!$B$6:$B$71,0)),0)</f>
        <v>30.1</v>
      </c>
      <c r="T1767" s="18" t="n">
        <f aca="false">$R1767*$S1767</f>
        <v>22.4746666666667</v>
      </c>
      <c r="U1767" s="18" t="n">
        <f aca="false">IFERROR(INDEX(SEMANAS!$I$6:$I$71,MATCH($B1767,SEMANAS!$B$6:$B$71,0)),0)</f>
        <v>0.7</v>
      </c>
      <c r="V1767" s="18" t="n">
        <f aca="false">IFERROR(INDEX(SEMANAS!$J$6:$J$71,MATCH($B1767,SEMANAS!$B$6:$B$71,0)),0)</f>
        <v>0.56</v>
      </c>
      <c r="W1767" s="18" t="n">
        <f aca="false">MAX(0,$T1767-$V1767)</f>
        <v>21.9146666666667</v>
      </c>
      <c r="X1767" s="19" t="n">
        <f aca="false">IFERROR(INDEX(CADASTRO_PIVOS!$K$6:$K$41,MATCH($E1767,CADASTRO_PIVOS!$B$6:$B$41,0)),EFICIENCIA_PADRAO)</f>
        <v>0.85</v>
      </c>
      <c r="Y1767" s="18" t="n">
        <f aca="false">IF($X1767&lt;=0,0,$W1767/$X1767)</f>
        <v>25.7819607843137</v>
      </c>
      <c r="Z1767" s="16" t="n">
        <f aca="false">$Y1767*$H1767*MM_PARA_M3_HA</f>
        <v>38657.472</v>
      </c>
      <c r="AA1767" s="18" t="n">
        <f aca="false">IFERROR(INDEX(CADASTRO_PIVOS!$I$6:$I$41,MATCH($E1767,CADASTRO_PIVOS!$B$6:$B$41,0)),0)</f>
        <v>1071</v>
      </c>
      <c r="AB1767" s="18" t="n">
        <f aca="false">IF($Z1767&lt;=0,0,$Z1767/$AA1767)</f>
        <v>36.0947450980392</v>
      </c>
      <c r="AC1767" s="16" t="n">
        <f aca="false">IFERROR(INDEX(SEMANAS!$K$6:$K$71,MATCH($B1767,SEMANAS!$B$6:$B$71,0)),0)</f>
        <v>147</v>
      </c>
      <c r="AD1767" s="19" t="n">
        <f aca="false">IF($AC1767&lt;=0,0,$AB1767/$AC1767)</f>
        <v>0.245542483660131</v>
      </c>
      <c r="AE1767" s="8" t="str">
        <f aca="false">IF($K1767="SEM CULTURA","SEM CULTURA",IF($AA1767&lt;=0,"DADO PENDENTE",IF($AD1767&gt;LIMITE_CRITICO,"INVIAVEL",IF($AD1767&gt;LIMITE_ATENCAO,"CRITICO",IF($AD1767&gt;LIMITE_CONFORTAVEL,"ATENCAO","OK")))))</f>
        <v>OK</v>
      </c>
      <c r="AF1767" s="8" t="str">
        <f aca="false">$B1767&amp;"|"&amp;TEXT($AD1767,"0.000000")</f>
        <v>46|0.245542</v>
      </c>
      <c r="AG1767" s="18" t="n">
        <f aca="false">IF($K1767="SEM CULTURA",0,$T1767*$H1767)</f>
        <v>3369.85152</v>
      </c>
      <c r="AH1767" s="18" t="n">
        <f aca="false">IF($K1767="SEM CULTURA",0,$V1767*$H1767)</f>
        <v>83.9664</v>
      </c>
      <c r="AI1767" s="18" t="n">
        <f aca="false">IF($K1767="SEM CULTURA",0,$W1767*$H1767)</f>
        <v>3285.88512</v>
      </c>
      <c r="AJ1767" s="18" t="n">
        <f aca="false">IF($K1767="SEM CULTURA",0,$S1767*$H1767)</f>
        <v>4513.194</v>
      </c>
      <c r="AK1767" s="8" t="str">
        <f aca="false">$E1767&amp;"|"&amp;TEXT($AD1767,"0.000000")</f>
        <v>PV 123|0.245542</v>
      </c>
    </row>
    <row r="1768" customFormat="false" ht="15" hidden="false" customHeight="false" outlineLevel="0" collapsed="false">
      <c r="B1768" s="16" t="n">
        <v>47</v>
      </c>
      <c r="C1768" s="17" t="n">
        <f aca="false">DATA_INICIO_SAFRA+($B1768-1)*DIAS_POR_SEMANA</f>
        <v>46587</v>
      </c>
      <c r="D1768" s="17" t="n">
        <f aca="false">$C1768+DIAS_POR_SEMANA-1</f>
        <v>46593</v>
      </c>
      <c r="E1768" s="15" t="s">
        <v>285</v>
      </c>
      <c r="F1768" s="8" t="str">
        <f aca="false">IFERROR(INDEX(CADASTRO_PIVOS!$C$6:$C$41,MATCH($E1768,CADASTRO_PIVOS!$B$6:$B$41,0)),"?")</f>
        <v>RM07</v>
      </c>
      <c r="G1768" s="8" t="str">
        <f aca="false">IFERROR(INDEX(CADASTRO_PIVOS!$D$6:$D$41,MATCH($E1768,CADASTRO_PIVOS!$B$6:$B$41,0)),"?")</f>
        <v>TR07</v>
      </c>
      <c r="H1768" s="20" t="n">
        <f aca="false">IFERROR(INDEX(CADASTRO_PIVOS!$E$6:$E$41,MATCH($E1768,CADASTRO_PIVOS!$B$6:$B$41,0)),0)</f>
        <v>149.94</v>
      </c>
      <c r="I1768" s="16" t="n">
        <f aca="false">IFERROR(SUMIFS(ROTACAO_RDM!$B$6:$B$71,ROTACAO_RDM!$D$6:$D$71,$E1768,ROTACAO_RDM!$I$6:$I$71,"&lt;="&amp;$C1768+INT(DIAS_POR_SEMANA/2),ROTACAO_RDM!$J$6:$J$71,"&gt;="&amp;$C1768+INT(DIAS_POR_SEMANA/2)),0)</f>
        <v>43</v>
      </c>
      <c r="J1768" s="16" t="n">
        <f aca="false">IFERROR(MATCH($I1768,ROTACAO_RDM!$B$6:$B$71,0),0)</f>
        <v>43</v>
      </c>
      <c r="K1768" s="8" t="str">
        <f aca="false">IF($J1768=0,"SEM CULTURA",INDEX(ROTACAO_RDM!$F$6:$F$71,$J1768))</f>
        <v>ALGODAO</v>
      </c>
      <c r="L1768" s="8" t="str">
        <f aca="false">IF($J1768=0,"",INDEX(ROTACAO_RDM!$G$6:$G$71,$J1768))</f>
        <v>FM 911 GLTP</v>
      </c>
      <c r="M1768" s="17" t="n">
        <f aca="false">IF($J1768=0,"",INDEX(ROTACAO_RDM!$I$6:$I$71,$J1768))</f>
        <v>46415</v>
      </c>
      <c r="N1768" s="16" t="n">
        <f aca="false">IF($J1768=0,0,MAX(0,$C1768+INT(DIAS_POR_SEMANA/2)-INDEX(ROTACAO_RDM!$I$6:$I$71,$J1768)))</f>
        <v>175</v>
      </c>
      <c r="O1768" s="19" t="n">
        <f aca="false">IF($J1768=0,0,MIN(1,$N1768/MAX(1,INDEX(ROTACAO_RDM!$K$6:$K$71,$J1768))))</f>
        <v>0.972222222222222</v>
      </c>
      <c r="P1768" s="16" t="n">
        <f aca="false">IF($J1768=0,0,IFERROR(MATCH(INDEX(ROTACAO_RDM!$N$6:$N$71,$J1768),PARAMETROS_CULTURAS!$B$6:$B$28,0),0))</f>
        <v>4</v>
      </c>
      <c r="Q1768" s="8" t="str">
        <f aca="false">IF($P1768=0,"-",IF($O1768&lt;=INDEX(PARAMETROS_CULTURAS!$F$6:$F$28,$P1768),"INICIAL",IF($O1768&lt;=INDEX(PARAMETROS_CULTURAS!$F$6:$F$28,$P1768)+INDEX(PARAMETROS_CULTURAS!$G$6:$G$28,$P1768),"DESENVOLVIMENTO",IF($O1768&lt;=INDEX(PARAMETROS_CULTURAS!$F$6:$F$28,$P1768)+INDEX(PARAMETROS_CULTURAS!$G$6:$G$28,$P1768)+INDEX(PARAMETROS_CULTURAS!$H$6:$H$28,$P1768),"MEDIA","FINAL"))))</f>
        <v>FINAL</v>
      </c>
      <c r="R1768" s="24" t="n">
        <f aca="false">IF($P1768=0,0,IF($O1768&lt;=INDEX(PARAMETROS_CULTURAS!$F$6:$F$28,$P1768),INDEX(PARAMETROS_CULTURAS!$K$6:$K$28,$P1768),IF($O1768&lt;=INDEX(PARAMETROS_CULTURAS!$F$6:$F$28,$P1768)+INDEX(PARAMETROS_CULTURAS!$G$6:$G$28,$P1768),INDEX(PARAMETROS_CULTURAS!$K$6:$K$28,$P1768)+(INDEX(PARAMETROS_CULTURAS!$L$6:$L$28,$P1768)-INDEX(PARAMETROS_CULTURAS!$K$6:$K$28,$P1768))*($O1768-INDEX(PARAMETROS_CULTURAS!$F$6:$F$28,$P1768))/MAX(INDEX(PARAMETROS_CULTURAS!$G$6:$G$28,$P1768),0.0001),IF($O1768&lt;=INDEX(PARAMETROS_CULTURAS!$F$6:$F$28,$P1768)+INDEX(PARAMETROS_CULTURAS!$G$6:$G$28,$P1768)+INDEX(PARAMETROS_CULTURAS!$H$6:$H$28,$P1768),INDEX(PARAMETROS_CULTURAS!$L$6:$L$28,$P1768),INDEX(PARAMETROS_CULTURAS!$L$6:$L$28,$P1768)+(INDEX(PARAMETROS_CULTURAS!$M$6:$M$28,$P1768)-INDEX(PARAMETROS_CULTURAS!$L$6:$L$28,$P1768))*($O1768-INDEX(PARAMETROS_CULTURAS!$F$6:$F$28,$P1768)-INDEX(PARAMETROS_CULTURAS!$G$6:$G$28,$P1768)-INDEX(PARAMETROS_CULTURAS!$H$6:$H$28,$P1768))/MAX(INDEX(PARAMETROS_CULTURAS!$I$6:$I$28,$P1768),0.0001)))))</f>
        <v>0.661111111111111</v>
      </c>
      <c r="S1768" s="18" t="n">
        <f aca="false">IFERROR(INDEX(SEMANAS!$H$6:$H$71,MATCH($B1768,SEMANAS!$B$6:$B$71,0)),0)</f>
        <v>30.1</v>
      </c>
      <c r="T1768" s="18" t="n">
        <f aca="false">$R1768*$S1768</f>
        <v>19.8994444444444</v>
      </c>
      <c r="U1768" s="18" t="n">
        <f aca="false">IFERROR(INDEX(SEMANAS!$I$6:$I$71,MATCH($B1768,SEMANAS!$B$6:$B$71,0)),0)</f>
        <v>0.7</v>
      </c>
      <c r="V1768" s="18" t="n">
        <f aca="false">IFERROR(INDEX(SEMANAS!$J$6:$J$71,MATCH($B1768,SEMANAS!$B$6:$B$71,0)),0)</f>
        <v>0.56</v>
      </c>
      <c r="W1768" s="18" t="n">
        <f aca="false">MAX(0,$T1768-$V1768)</f>
        <v>19.3394444444444</v>
      </c>
      <c r="X1768" s="19" t="n">
        <f aca="false">IFERROR(INDEX(CADASTRO_PIVOS!$K$6:$K$41,MATCH($E1768,CADASTRO_PIVOS!$B$6:$B$41,0)),EFICIENCIA_PADRAO)</f>
        <v>0.85</v>
      </c>
      <c r="Y1768" s="18" t="n">
        <f aca="false">IF($X1768&lt;=0,0,$W1768/$X1768)</f>
        <v>22.7522875816994</v>
      </c>
      <c r="Z1768" s="16" t="n">
        <f aca="false">$Y1768*$H1768*MM_PARA_M3_HA</f>
        <v>34114.78</v>
      </c>
      <c r="AA1768" s="18" t="n">
        <f aca="false">IFERROR(INDEX(CADASTRO_PIVOS!$I$6:$I$41,MATCH($E1768,CADASTRO_PIVOS!$B$6:$B$41,0)),0)</f>
        <v>1071</v>
      </c>
      <c r="AB1768" s="18" t="n">
        <f aca="false">IF($Z1768&lt;=0,0,$Z1768/$AA1768)</f>
        <v>31.8532026143791</v>
      </c>
      <c r="AC1768" s="16" t="n">
        <f aca="false">IFERROR(INDEX(SEMANAS!$K$6:$K$71,MATCH($B1768,SEMANAS!$B$6:$B$71,0)),0)</f>
        <v>147</v>
      </c>
      <c r="AD1768" s="19" t="n">
        <f aca="false">IF($AC1768&lt;=0,0,$AB1768/$AC1768)</f>
        <v>0.216688453159041</v>
      </c>
      <c r="AE1768" s="8" t="str">
        <f aca="false">IF($K1768="SEM CULTURA","SEM CULTURA",IF($AA1768&lt;=0,"DADO PENDENTE",IF($AD1768&gt;LIMITE_CRITICO,"INVIAVEL",IF($AD1768&gt;LIMITE_ATENCAO,"CRITICO",IF($AD1768&gt;LIMITE_CONFORTAVEL,"ATENCAO","OK")))))</f>
        <v>OK</v>
      </c>
      <c r="AF1768" s="8" t="str">
        <f aca="false">$B1768&amp;"|"&amp;TEXT($AD1768,"0.000000")</f>
        <v>47|0.216688</v>
      </c>
      <c r="AG1768" s="18" t="n">
        <f aca="false">IF($K1768="SEM CULTURA",0,$T1768*$H1768)</f>
        <v>2983.7227</v>
      </c>
      <c r="AH1768" s="18" t="n">
        <f aca="false">IF($K1768="SEM CULTURA",0,$V1768*$H1768)</f>
        <v>83.9664</v>
      </c>
      <c r="AI1768" s="18" t="n">
        <f aca="false">IF($K1768="SEM CULTURA",0,$W1768*$H1768)</f>
        <v>2899.7563</v>
      </c>
      <c r="AJ1768" s="18" t="n">
        <f aca="false">IF($K1768="SEM CULTURA",0,$S1768*$H1768)</f>
        <v>4513.194</v>
      </c>
      <c r="AK1768" s="8" t="str">
        <f aca="false">$E1768&amp;"|"&amp;TEXT($AD1768,"0.000000")</f>
        <v>PV 123|0.216688</v>
      </c>
    </row>
    <row r="1769" customFormat="false" ht="15" hidden="false" customHeight="false" outlineLevel="0" collapsed="false">
      <c r="B1769" s="16" t="n">
        <v>48</v>
      </c>
      <c r="C1769" s="17" t="n">
        <f aca="false">DATA_INICIO_SAFRA+($B1769-1)*DIAS_POR_SEMANA</f>
        <v>46594</v>
      </c>
      <c r="D1769" s="17" t="n">
        <f aca="false">$C1769+DIAS_POR_SEMANA-1</f>
        <v>46600</v>
      </c>
      <c r="E1769" s="15" t="s">
        <v>285</v>
      </c>
      <c r="F1769" s="8" t="str">
        <f aca="false">IFERROR(INDEX(CADASTRO_PIVOS!$C$6:$C$41,MATCH($E1769,CADASTRO_PIVOS!$B$6:$B$41,0)),"?")</f>
        <v>RM07</v>
      </c>
      <c r="G1769" s="8" t="str">
        <f aca="false">IFERROR(INDEX(CADASTRO_PIVOS!$D$6:$D$41,MATCH($E1769,CADASTRO_PIVOS!$B$6:$B$41,0)),"?")</f>
        <v>TR07</v>
      </c>
      <c r="H1769" s="20" t="n">
        <f aca="false">IFERROR(INDEX(CADASTRO_PIVOS!$E$6:$E$41,MATCH($E1769,CADASTRO_PIVOS!$B$6:$B$41,0)),0)</f>
        <v>149.94</v>
      </c>
      <c r="I1769" s="16" t="n">
        <f aca="false">IFERROR(SUMIFS(ROTACAO_RDM!$B$6:$B$71,ROTACAO_RDM!$D$6:$D$71,$E1769,ROTACAO_RDM!$I$6:$I$71,"&lt;="&amp;$C1769+INT(DIAS_POR_SEMANA/2),ROTACAO_RDM!$J$6:$J$71,"&gt;="&amp;$C1769+INT(DIAS_POR_SEMANA/2)),0)</f>
        <v>0</v>
      </c>
      <c r="J1769" s="16" t="n">
        <f aca="false">IFERROR(MATCH($I1769,ROTACAO_RDM!$B$6:$B$71,0),0)</f>
        <v>0</v>
      </c>
      <c r="K1769" s="8" t="str">
        <f aca="false">IF($J1769=0,"SEM CULTURA",INDEX(ROTACAO_RDM!$F$6:$F$71,$J1769))</f>
        <v>SEM CULTURA</v>
      </c>
      <c r="L1769" s="8" t="str">
        <f aca="false">IF($J1769=0,"",INDEX(ROTACAO_RDM!$G$6:$G$71,$J1769))</f>
        <v/>
      </c>
      <c r="M1769" s="17" t="str">
        <f aca="false">IF($J1769=0,"",INDEX(ROTACAO_RDM!$I$6:$I$71,$J1769))</f>
        <v/>
      </c>
      <c r="N1769" s="16" t="n">
        <f aca="false">IF($J1769=0,0,MAX(0,$C1769+INT(DIAS_POR_SEMANA/2)-INDEX(ROTACAO_RDM!$I$6:$I$71,$J1769)))</f>
        <v>0</v>
      </c>
      <c r="O1769" s="19" t="n">
        <f aca="false">IF($J1769=0,0,MIN(1,$N1769/MAX(1,INDEX(ROTACAO_RDM!$K$6:$K$71,$J1769))))</f>
        <v>0</v>
      </c>
      <c r="P1769" s="16" t="n">
        <f aca="false">IF($J1769=0,0,IFERROR(MATCH(INDEX(ROTACAO_RDM!$N$6:$N$71,$J1769),PARAMETROS_CULTURAS!$B$6:$B$28,0),0))</f>
        <v>0</v>
      </c>
      <c r="Q1769" s="8" t="str">
        <f aca="false">IF($P1769=0,"-",IF($O1769&lt;=INDEX(PARAMETROS_CULTURAS!$F$6:$F$28,$P1769),"INICIAL",IF($O1769&lt;=INDEX(PARAMETROS_CULTURAS!$F$6:$F$28,$P1769)+INDEX(PARAMETROS_CULTURAS!$G$6:$G$28,$P1769),"DESENVOLVIMENTO",IF($O1769&lt;=INDEX(PARAMETROS_CULTURAS!$F$6:$F$28,$P1769)+INDEX(PARAMETROS_CULTURAS!$G$6:$G$28,$P1769)+INDEX(PARAMETROS_CULTURAS!$H$6:$H$28,$P1769),"MEDIA","FINAL"))))</f>
        <v>-</v>
      </c>
      <c r="R1769" s="24" t="n">
        <f aca="false">IF($P1769=0,0,IF($O1769&lt;=INDEX(PARAMETROS_CULTURAS!$F$6:$F$28,$P1769),INDEX(PARAMETROS_CULTURAS!$K$6:$K$28,$P1769),IF($O1769&lt;=INDEX(PARAMETROS_CULTURAS!$F$6:$F$28,$P1769)+INDEX(PARAMETROS_CULTURAS!$G$6:$G$28,$P1769),INDEX(PARAMETROS_CULTURAS!$K$6:$K$28,$P1769)+(INDEX(PARAMETROS_CULTURAS!$L$6:$L$28,$P1769)-INDEX(PARAMETROS_CULTURAS!$K$6:$K$28,$P1769))*($O1769-INDEX(PARAMETROS_CULTURAS!$F$6:$F$28,$P1769))/MAX(INDEX(PARAMETROS_CULTURAS!$G$6:$G$28,$P1769),0.0001),IF($O1769&lt;=INDEX(PARAMETROS_CULTURAS!$F$6:$F$28,$P1769)+INDEX(PARAMETROS_CULTURAS!$G$6:$G$28,$P1769)+INDEX(PARAMETROS_CULTURAS!$H$6:$H$28,$P1769),INDEX(PARAMETROS_CULTURAS!$L$6:$L$28,$P1769),INDEX(PARAMETROS_CULTURAS!$L$6:$L$28,$P1769)+(INDEX(PARAMETROS_CULTURAS!$M$6:$M$28,$P1769)-INDEX(PARAMETROS_CULTURAS!$L$6:$L$28,$P1769))*($O1769-INDEX(PARAMETROS_CULTURAS!$F$6:$F$28,$P1769)-INDEX(PARAMETROS_CULTURAS!$G$6:$G$28,$P1769)-INDEX(PARAMETROS_CULTURAS!$H$6:$H$28,$P1769))/MAX(INDEX(PARAMETROS_CULTURAS!$I$6:$I$28,$P1769),0.0001)))))</f>
        <v>0</v>
      </c>
      <c r="S1769" s="18" t="n">
        <f aca="false">IFERROR(INDEX(SEMANAS!$H$6:$H$71,MATCH($B1769,SEMANAS!$B$6:$B$71,0)),0)</f>
        <v>31</v>
      </c>
      <c r="T1769" s="18" t="n">
        <f aca="false">$R1769*$S1769</f>
        <v>0</v>
      </c>
      <c r="U1769" s="18" t="n">
        <f aca="false">IFERROR(INDEX(SEMANAS!$I$6:$I$71,MATCH($B1769,SEMANAS!$B$6:$B$71,0)),0)</f>
        <v>0.76</v>
      </c>
      <c r="V1769" s="18" t="n">
        <f aca="false">IFERROR(INDEX(SEMANAS!$J$6:$J$71,MATCH($B1769,SEMANAS!$B$6:$B$71,0)),0)</f>
        <v>0.608</v>
      </c>
      <c r="W1769" s="18" t="n">
        <f aca="false">MAX(0,$T1769-$V1769)</f>
        <v>0</v>
      </c>
      <c r="X1769" s="19" t="n">
        <f aca="false">IFERROR(INDEX(CADASTRO_PIVOS!$K$6:$K$41,MATCH($E1769,CADASTRO_PIVOS!$B$6:$B$41,0)),EFICIENCIA_PADRAO)</f>
        <v>0.85</v>
      </c>
      <c r="Y1769" s="18" t="n">
        <f aca="false">IF($X1769&lt;=0,0,$W1769/$X1769)</f>
        <v>0</v>
      </c>
      <c r="Z1769" s="16" t="n">
        <f aca="false">$Y1769*$H1769*MM_PARA_M3_HA</f>
        <v>0</v>
      </c>
      <c r="AA1769" s="18" t="n">
        <f aca="false">IFERROR(INDEX(CADASTRO_PIVOS!$I$6:$I$41,MATCH($E1769,CADASTRO_PIVOS!$B$6:$B$41,0)),0)</f>
        <v>1071</v>
      </c>
      <c r="AB1769" s="18" t="n">
        <f aca="false">IF($Z1769&lt;=0,0,$Z1769/$AA1769)</f>
        <v>0</v>
      </c>
      <c r="AC1769" s="16" t="n">
        <f aca="false">IFERROR(INDEX(SEMANAS!$K$6:$K$71,MATCH($B1769,SEMANAS!$B$6:$B$71,0)),0)</f>
        <v>147</v>
      </c>
      <c r="AD1769" s="19" t="n">
        <f aca="false">IF($AC1769&lt;=0,0,$AB1769/$AC1769)</f>
        <v>0</v>
      </c>
      <c r="AE1769" s="8" t="str">
        <f aca="false">IF($K1769="SEM CULTURA","SEM CULTURA",IF($AA1769&lt;=0,"DADO PENDENTE",IF($AD1769&gt;LIMITE_CRITICO,"INVIAVEL",IF($AD1769&gt;LIMITE_ATENCAO,"CRITICO",IF($AD1769&gt;LIMITE_CONFORTAVEL,"ATENCAO","OK")))))</f>
        <v>SEM CULTURA</v>
      </c>
      <c r="AF1769" s="8" t="str">
        <f aca="false">$B1769&amp;"|"&amp;TEXT($AD1769,"0.000000")</f>
        <v>48|0.000000</v>
      </c>
      <c r="AG1769" s="18" t="n">
        <f aca="false">IF($K1769="SEM CULTURA",0,$T1769*$H1769)</f>
        <v>0</v>
      </c>
      <c r="AH1769" s="18" t="n">
        <f aca="false">IF($K1769="SEM CULTURA",0,$V1769*$H1769)</f>
        <v>0</v>
      </c>
      <c r="AI1769" s="18" t="n">
        <f aca="false">IF($K1769="SEM CULTURA",0,$W1769*$H1769)</f>
        <v>0</v>
      </c>
      <c r="AJ1769" s="18" t="n">
        <f aca="false">IF($K1769="SEM CULTURA",0,$S1769*$H1769)</f>
        <v>0</v>
      </c>
      <c r="AK1769" s="8" t="str">
        <f aca="false">$E1769&amp;"|"&amp;TEXT($AD1769,"0.000000")</f>
        <v>PV 123|0.000000</v>
      </c>
    </row>
    <row r="1770" customFormat="false" ht="15" hidden="false" customHeight="false" outlineLevel="0" collapsed="false">
      <c r="B1770" s="16" t="n">
        <v>49</v>
      </c>
      <c r="C1770" s="17" t="n">
        <f aca="false">DATA_INICIO_SAFRA+($B1770-1)*DIAS_POR_SEMANA</f>
        <v>46601</v>
      </c>
      <c r="D1770" s="17" t="n">
        <f aca="false">$C1770+DIAS_POR_SEMANA-1</f>
        <v>46607</v>
      </c>
      <c r="E1770" s="15" t="s">
        <v>285</v>
      </c>
      <c r="F1770" s="8" t="str">
        <f aca="false">IFERROR(INDEX(CADASTRO_PIVOS!$C$6:$C$41,MATCH($E1770,CADASTRO_PIVOS!$B$6:$B$41,0)),"?")</f>
        <v>RM07</v>
      </c>
      <c r="G1770" s="8" t="str">
        <f aca="false">IFERROR(INDEX(CADASTRO_PIVOS!$D$6:$D$41,MATCH($E1770,CADASTRO_PIVOS!$B$6:$B$41,0)),"?")</f>
        <v>TR07</v>
      </c>
      <c r="H1770" s="20" t="n">
        <f aca="false">IFERROR(INDEX(CADASTRO_PIVOS!$E$6:$E$41,MATCH($E1770,CADASTRO_PIVOS!$B$6:$B$41,0)),0)</f>
        <v>149.94</v>
      </c>
      <c r="I1770" s="16" t="n">
        <f aca="false">IFERROR(SUMIFS(ROTACAO_RDM!$B$6:$B$71,ROTACAO_RDM!$D$6:$D$71,$E1770,ROTACAO_RDM!$I$6:$I$71,"&lt;="&amp;$C1770+INT(DIAS_POR_SEMANA/2),ROTACAO_RDM!$J$6:$J$71,"&gt;="&amp;$C1770+INT(DIAS_POR_SEMANA/2)),0)</f>
        <v>0</v>
      </c>
      <c r="J1770" s="16" t="n">
        <f aca="false">IFERROR(MATCH($I1770,ROTACAO_RDM!$B$6:$B$71,0),0)</f>
        <v>0</v>
      </c>
      <c r="K1770" s="8" t="str">
        <f aca="false">IF($J1770=0,"SEM CULTURA",INDEX(ROTACAO_RDM!$F$6:$F$71,$J1770))</f>
        <v>SEM CULTURA</v>
      </c>
      <c r="L1770" s="8" t="str">
        <f aca="false">IF($J1770=0,"",INDEX(ROTACAO_RDM!$G$6:$G$71,$J1770))</f>
        <v/>
      </c>
      <c r="M1770" s="17" t="str">
        <f aca="false">IF($J1770=0,"",INDEX(ROTACAO_RDM!$I$6:$I$71,$J1770))</f>
        <v/>
      </c>
      <c r="N1770" s="16" t="n">
        <f aca="false">IF($J1770=0,0,MAX(0,$C1770+INT(DIAS_POR_SEMANA/2)-INDEX(ROTACAO_RDM!$I$6:$I$71,$J1770)))</f>
        <v>0</v>
      </c>
      <c r="O1770" s="19" t="n">
        <f aca="false">IF($J1770=0,0,MIN(1,$N1770/MAX(1,INDEX(ROTACAO_RDM!$K$6:$K$71,$J1770))))</f>
        <v>0</v>
      </c>
      <c r="P1770" s="16" t="n">
        <f aca="false">IF($J1770=0,0,IFERROR(MATCH(INDEX(ROTACAO_RDM!$N$6:$N$71,$J1770),PARAMETROS_CULTURAS!$B$6:$B$28,0),0))</f>
        <v>0</v>
      </c>
      <c r="Q1770" s="8" t="str">
        <f aca="false">IF($P1770=0,"-",IF($O1770&lt;=INDEX(PARAMETROS_CULTURAS!$F$6:$F$28,$P1770),"INICIAL",IF($O1770&lt;=INDEX(PARAMETROS_CULTURAS!$F$6:$F$28,$P1770)+INDEX(PARAMETROS_CULTURAS!$G$6:$G$28,$P1770),"DESENVOLVIMENTO",IF($O1770&lt;=INDEX(PARAMETROS_CULTURAS!$F$6:$F$28,$P1770)+INDEX(PARAMETROS_CULTURAS!$G$6:$G$28,$P1770)+INDEX(PARAMETROS_CULTURAS!$H$6:$H$28,$P1770),"MEDIA","FINAL"))))</f>
        <v>-</v>
      </c>
      <c r="R1770" s="24" t="n">
        <f aca="false">IF($P1770=0,0,IF($O1770&lt;=INDEX(PARAMETROS_CULTURAS!$F$6:$F$28,$P1770),INDEX(PARAMETROS_CULTURAS!$K$6:$K$28,$P1770),IF($O1770&lt;=INDEX(PARAMETROS_CULTURAS!$F$6:$F$28,$P1770)+INDEX(PARAMETROS_CULTURAS!$G$6:$G$28,$P1770),INDEX(PARAMETROS_CULTURAS!$K$6:$K$28,$P1770)+(INDEX(PARAMETROS_CULTURAS!$L$6:$L$28,$P1770)-INDEX(PARAMETROS_CULTURAS!$K$6:$K$28,$P1770))*($O1770-INDEX(PARAMETROS_CULTURAS!$F$6:$F$28,$P1770))/MAX(INDEX(PARAMETROS_CULTURAS!$G$6:$G$28,$P1770),0.0001),IF($O1770&lt;=INDEX(PARAMETROS_CULTURAS!$F$6:$F$28,$P1770)+INDEX(PARAMETROS_CULTURAS!$G$6:$G$28,$P1770)+INDEX(PARAMETROS_CULTURAS!$H$6:$H$28,$P1770),INDEX(PARAMETROS_CULTURAS!$L$6:$L$28,$P1770),INDEX(PARAMETROS_CULTURAS!$L$6:$L$28,$P1770)+(INDEX(PARAMETROS_CULTURAS!$M$6:$M$28,$P1770)-INDEX(PARAMETROS_CULTURAS!$L$6:$L$28,$P1770))*($O1770-INDEX(PARAMETROS_CULTURAS!$F$6:$F$28,$P1770)-INDEX(PARAMETROS_CULTURAS!$G$6:$G$28,$P1770)-INDEX(PARAMETROS_CULTURAS!$H$6:$H$28,$P1770))/MAX(INDEX(PARAMETROS_CULTURAS!$I$6:$I$28,$P1770),0.0001)))))</f>
        <v>0</v>
      </c>
      <c r="S1770" s="18" t="n">
        <f aca="false">IFERROR(INDEX(SEMANAS!$H$6:$H$71,MATCH($B1770,SEMANAS!$B$6:$B$71,0)),0)</f>
        <v>36.4</v>
      </c>
      <c r="T1770" s="18" t="n">
        <f aca="false">$R1770*$S1770</f>
        <v>0</v>
      </c>
      <c r="U1770" s="18" t="n">
        <f aca="false">IFERROR(INDEX(SEMANAS!$I$6:$I$71,MATCH($B1770,SEMANAS!$B$6:$B$71,0)),0)</f>
        <v>1.12</v>
      </c>
      <c r="V1770" s="18" t="n">
        <f aca="false">IFERROR(INDEX(SEMANAS!$J$6:$J$71,MATCH($B1770,SEMANAS!$B$6:$B$71,0)),0)</f>
        <v>0.896</v>
      </c>
      <c r="W1770" s="18" t="n">
        <f aca="false">MAX(0,$T1770-$V1770)</f>
        <v>0</v>
      </c>
      <c r="X1770" s="19" t="n">
        <f aca="false">IFERROR(INDEX(CADASTRO_PIVOS!$K$6:$K$41,MATCH($E1770,CADASTRO_PIVOS!$B$6:$B$41,0)),EFICIENCIA_PADRAO)</f>
        <v>0.85</v>
      </c>
      <c r="Y1770" s="18" t="n">
        <f aca="false">IF($X1770&lt;=0,0,$W1770/$X1770)</f>
        <v>0</v>
      </c>
      <c r="Z1770" s="16" t="n">
        <f aca="false">$Y1770*$H1770*MM_PARA_M3_HA</f>
        <v>0</v>
      </c>
      <c r="AA1770" s="18" t="n">
        <f aca="false">IFERROR(INDEX(CADASTRO_PIVOS!$I$6:$I$41,MATCH($E1770,CADASTRO_PIVOS!$B$6:$B$41,0)),0)</f>
        <v>1071</v>
      </c>
      <c r="AB1770" s="18" t="n">
        <f aca="false">IF($Z1770&lt;=0,0,$Z1770/$AA1770)</f>
        <v>0</v>
      </c>
      <c r="AC1770" s="16" t="n">
        <f aca="false">IFERROR(INDEX(SEMANAS!$K$6:$K$71,MATCH($B1770,SEMANAS!$B$6:$B$71,0)),0)</f>
        <v>147</v>
      </c>
      <c r="AD1770" s="19" t="n">
        <f aca="false">IF($AC1770&lt;=0,0,$AB1770/$AC1770)</f>
        <v>0</v>
      </c>
      <c r="AE1770" s="8" t="str">
        <f aca="false">IF($K1770="SEM CULTURA","SEM CULTURA",IF($AA1770&lt;=0,"DADO PENDENTE",IF($AD1770&gt;LIMITE_CRITICO,"INVIAVEL",IF($AD1770&gt;LIMITE_ATENCAO,"CRITICO",IF($AD1770&gt;LIMITE_CONFORTAVEL,"ATENCAO","OK")))))</f>
        <v>SEM CULTURA</v>
      </c>
      <c r="AF1770" s="8" t="str">
        <f aca="false">$B1770&amp;"|"&amp;TEXT($AD1770,"0.000000")</f>
        <v>49|0.000000</v>
      </c>
      <c r="AG1770" s="18" t="n">
        <f aca="false">IF($K1770="SEM CULTURA",0,$T1770*$H1770)</f>
        <v>0</v>
      </c>
      <c r="AH1770" s="18" t="n">
        <f aca="false">IF($K1770="SEM CULTURA",0,$V1770*$H1770)</f>
        <v>0</v>
      </c>
      <c r="AI1770" s="18" t="n">
        <f aca="false">IF($K1770="SEM CULTURA",0,$W1770*$H1770)</f>
        <v>0</v>
      </c>
      <c r="AJ1770" s="18" t="n">
        <f aca="false">IF($K1770="SEM CULTURA",0,$S1770*$H1770)</f>
        <v>0</v>
      </c>
      <c r="AK1770" s="8" t="str">
        <f aca="false">$E1770&amp;"|"&amp;TEXT($AD1770,"0.000000")</f>
        <v>PV 123|0.000000</v>
      </c>
    </row>
    <row r="1771" customFormat="false" ht="15" hidden="false" customHeight="false" outlineLevel="0" collapsed="false">
      <c r="B1771" s="16" t="n">
        <v>50</v>
      </c>
      <c r="C1771" s="17" t="n">
        <f aca="false">DATA_INICIO_SAFRA+($B1771-1)*DIAS_POR_SEMANA</f>
        <v>46608</v>
      </c>
      <c r="D1771" s="17" t="n">
        <f aca="false">$C1771+DIAS_POR_SEMANA-1</f>
        <v>46614</v>
      </c>
      <c r="E1771" s="15" t="s">
        <v>285</v>
      </c>
      <c r="F1771" s="8" t="str">
        <f aca="false">IFERROR(INDEX(CADASTRO_PIVOS!$C$6:$C$41,MATCH($E1771,CADASTRO_PIVOS!$B$6:$B$41,0)),"?")</f>
        <v>RM07</v>
      </c>
      <c r="G1771" s="8" t="str">
        <f aca="false">IFERROR(INDEX(CADASTRO_PIVOS!$D$6:$D$41,MATCH($E1771,CADASTRO_PIVOS!$B$6:$B$41,0)),"?")</f>
        <v>TR07</v>
      </c>
      <c r="H1771" s="20" t="n">
        <f aca="false">IFERROR(INDEX(CADASTRO_PIVOS!$E$6:$E$41,MATCH($E1771,CADASTRO_PIVOS!$B$6:$B$41,0)),0)</f>
        <v>149.94</v>
      </c>
      <c r="I1771" s="16" t="n">
        <f aca="false">IFERROR(SUMIFS(ROTACAO_RDM!$B$6:$B$71,ROTACAO_RDM!$D$6:$D$71,$E1771,ROTACAO_RDM!$I$6:$I$71,"&lt;="&amp;$C1771+INT(DIAS_POR_SEMANA/2),ROTACAO_RDM!$J$6:$J$71,"&gt;="&amp;$C1771+INT(DIAS_POR_SEMANA/2)),0)</f>
        <v>0</v>
      </c>
      <c r="J1771" s="16" t="n">
        <f aca="false">IFERROR(MATCH($I1771,ROTACAO_RDM!$B$6:$B$71,0),0)</f>
        <v>0</v>
      </c>
      <c r="K1771" s="8" t="str">
        <f aca="false">IF($J1771=0,"SEM CULTURA",INDEX(ROTACAO_RDM!$F$6:$F$71,$J1771))</f>
        <v>SEM CULTURA</v>
      </c>
      <c r="L1771" s="8" t="str">
        <f aca="false">IF($J1771=0,"",INDEX(ROTACAO_RDM!$G$6:$G$71,$J1771))</f>
        <v/>
      </c>
      <c r="M1771" s="17" t="str">
        <f aca="false">IF($J1771=0,"",INDEX(ROTACAO_RDM!$I$6:$I$71,$J1771))</f>
        <v/>
      </c>
      <c r="N1771" s="16" t="n">
        <f aca="false">IF($J1771=0,0,MAX(0,$C1771+INT(DIAS_POR_SEMANA/2)-INDEX(ROTACAO_RDM!$I$6:$I$71,$J1771)))</f>
        <v>0</v>
      </c>
      <c r="O1771" s="19" t="n">
        <f aca="false">IF($J1771=0,0,MIN(1,$N1771/MAX(1,INDEX(ROTACAO_RDM!$K$6:$K$71,$J1771))))</f>
        <v>0</v>
      </c>
      <c r="P1771" s="16" t="n">
        <f aca="false">IF($J1771=0,0,IFERROR(MATCH(INDEX(ROTACAO_RDM!$N$6:$N$71,$J1771),PARAMETROS_CULTURAS!$B$6:$B$28,0),0))</f>
        <v>0</v>
      </c>
      <c r="Q1771" s="8" t="str">
        <f aca="false">IF($P1771=0,"-",IF($O1771&lt;=INDEX(PARAMETROS_CULTURAS!$F$6:$F$28,$P1771),"INICIAL",IF($O1771&lt;=INDEX(PARAMETROS_CULTURAS!$F$6:$F$28,$P1771)+INDEX(PARAMETROS_CULTURAS!$G$6:$G$28,$P1771),"DESENVOLVIMENTO",IF($O1771&lt;=INDEX(PARAMETROS_CULTURAS!$F$6:$F$28,$P1771)+INDEX(PARAMETROS_CULTURAS!$G$6:$G$28,$P1771)+INDEX(PARAMETROS_CULTURAS!$H$6:$H$28,$P1771),"MEDIA","FINAL"))))</f>
        <v>-</v>
      </c>
      <c r="R1771" s="24" t="n">
        <f aca="false">IF($P1771=0,0,IF($O1771&lt;=INDEX(PARAMETROS_CULTURAS!$F$6:$F$28,$P1771),INDEX(PARAMETROS_CULTURAS!$K$6:$K$28,$P1771),IF($O1771&lt;=INDEX(PARAMETROS_CULTURAS!$F$6:$F$28,$P1771)+INDEX(PARAMETROS_CULTURAS!$G$6:$G$28,$P1771),INDEX(PARAMETROS_CULTURAS!$K$6:$K$28,$P1771)+(INDEX(PARAMETROS_CULTURAS!$L$6:$L$28,$P1771)-INDEX(PARAMETROS_CULTURAS!$K$6:$K$28,$P1771))*($O1771-INDEX(PARAMETROS_CULTURAS!$F$6:$F$28,$P1771))/MAX(INDEX(PARAMETROS_CULTURAS!$G$6:$G$28,$P1771),0.0001),IF($O1771&lt;=INDEX(PARAMETROS_CULTURAS!$F$6:$F$28,$P1771)+INDEX(PARAMETROS_CULTURAS!$G$6:$G$28,$P1771)+INDEX(PARAMETROS_CULTURAS!$H$6:$H$28,$P1771),INDEX(PARAMETROS_CULTURAS!$L$6:$L$28,$P1771),INDEX(PARAMETROS_CULTURAS!$L$6:$L$28,$P1771)+(INDEX(PARAMETROS_CULTURAS!$M$6:$M$28,$P1771)-INDEX(PARAMETROS_CULTURAS!$L$6:$L$28,$P1771))*($O1771-INDEX(PARAMETROS_CULTURAS!$F$6:$F$28,$P1771)-INDEX(PARAMETROS_CULTURAS!$G$6:$G$28,$P1771)-INDEX(PARAMETROS_CULTURAS!$H$6:$H$28,$P1771))/MAX(INDEX(PARAMETROS_CULTURAS!$I$6:$I$28,$P1771),0.0001)))))</f>
        <v>0</v>
      </c>
      <c r="S1771" s="18" t="n">
        <f aca="false">IFERROR(INDEX(SEMANAS!$H$6:$H$71,MATCH($B1771,SEMANAS!$B$6:$B$71,0)),0)</f>
        <v>36.4</v>
      </c>
      <c r="T1771" s="18" t="n">
        <f aca="false">$R1771*$S1771</f>
        <v>0</v>
      </c>
      <c r="U1771" s="18" t="n">
        <f aca="false">IFERROR(INDEX(SEMANAS!$I$6:$I$71,MATCH($B1771,SEMANAS!$B$6:$B$71,0)),0)</f>
        <v>1.12</v>
      </c>
      <c r="V1771" s="18" t="n">
        <f aca="false">IFERROR(INDEX(SEMANAS!$J$6:$J$71,MATCH($B1771,SEMANAS!$B$6:$B$71,0)),0)</f>
        <v>0.896</v>
      </c>
      <c r="W1771" s="18" t="n">
        <f aca="false">MAX(0,$T1771-$V1771)</f>
        <v>0</v>
      </c>
      <c r="X1771" s="19" t="n">
        <f aca="false">IFERROR(INDEX(CADASTRO_PIVOS!$K$6:$K$41,MATCH($E1771,CADASTRO_PIVOS!$B$6:$B$41,0)),EFICIENCIA_PADRAO)</f>
        <v>0.85</v>
      </c>
      <c r="Y1771" s="18" t="n">
        <f aca="false">IF($X1771&lt;=0,0,$W1771/$X1771)</f>
        <v>0</v>
      </c>
      <c r="Z1771" s="16" t="n">
        <f aca="false">$Y1771*$H1771*MM_PARA_M3_HA</f>
        <v>0</v>
      </c>
      <c r="AA1771" s="18" t="n">
        <f aca="false">IFERROR(INDEX(CADASTRO_PIVOS!$I$6:$I$41,MATCH($E1771,CADASTRO_PIVOS!$B$6:$B$41,0)),0)</f>
        <v>1071</v>
      </c>
      <c r="AB1771" s="18" t="n">
        <f aca="false">IF($Z1771&lt;=0,0,$Z1771/$AA1771)</f>
        <v>0</v>
      </c>
      <c r="AC1771" s="16" t="n">
        <f aca="false">IFERROR(INDEX(SEMANAS!$K$6:$K$71,MATCH($B1771,SEMANAS!$B$6:$B$71,0)),0)</f>
        <v>147</v>
      </c>
      <c r="AD1771" s="19" t="n">
        <f aca="false">IF($AC1771&lt;=0,0,$AB1771/$AC1771)</f>
        <v>0</v>
      </c>
      <c r="AE1771" s="8" t="str">
        <f aca="false">IF($K1771="SEM CULTURA","SEM CULTURA",IF($AA1771&lt;=0,"DADO PENDENTE",IF($AD1771&gt;LIMITE_CRITICO,"INVIAVEL",IF($AD1771&gt;LIMITE_ATENCAO,"CRITICO",IF($AD1771&gt;LIMITE_CONFORTAVEL,"ATENCAO","OK")))))</f>
        <v>SEM CULTURA</v>
      </c>
      <c r="AF1771" s="8" t="str">
        <f aca="false">$B1771&amp;"|"&amp;TEXT($AD1771,"0.000000")</f>
        <v>50|0.000000</v>
      </c>
      <c r="AG1771" s="18" t="n">
        <f aca="false">IF($K1771="SEM CULTURA",0,$T1771*$H1771)</f>
        <v>0</v>
      </c>
      <c r="AH1771" s="18" t="n">
        <f aca="false">IF($K1771="SEM CULTURA",0,$V1771*$H1771)</f>
        <v>0</v>
      </c>
      <c r="AI1771" s="18" t="n">
        <f aca="false">IF($K1771="SEM CULTURA",0,$W1771*$H1771)</f>
        <v>0</v>
      </c>
      <c r="AJ1771" s="18" t="n">
        <f aca="false">IF($K1771="SEM CULTURA",0,$S1771*$H1771)</f>
        <v>0</v>
      </c>
      <c r="AK1771" s="8" t="str">
        <f aca="false">$E1771&amp;"|"&amp;TEXT($AD1771,"0.000000")</f>
        <v>PV 123|0.000000</v>
      </c>
    </row>
    <row r="1772" customFormat="false" ht="15" hidden="false" customHeight="false" outlineLevel="0" collapsed="false">
      <c r="B1772" s="16" t="n">
        <v>51</v>
      </c>
      <c r="C1772" s="17" t="n">
        <f aca="false">DATA_INICIO_SAFRA+($B1772-1)*DIAS_POR_SEMANA</f>
        <v>46615</v>
      </c>
      <c r="D1772" s="17" t="n">
        <f aca="false">$C1772+DIAS_POR_SEMANA-1</f>
        <v>46621</v>
      </c>
      <c r="E1772" s="15" t="s">
        <v>285</v>
      </c>
      <c r="F1772" s="8" t="str">
        <f aca="false">IFERROR(INDEX(CADASTRO_PIVOS!$C$6:$C$41,MATCH($E1772,CADASTRO_PIVOS!$B$6:$B$41,0)),"?")</f>
        <v>RM07</v>
      </c>
      <c r="G1772" s="8" t="str">
        <f aca="false">IFERROR(INDEX(CADASTRO_PIVOS!$D$6:$D$41,MATCH($E1772,CADASTRO_PIVOS!$B$6:$B$41,0)),"?")</f>
        <v>TR07</v>
      </c>
      <c r="H1772" s="20" t="n">
        <f aca="false">IFERROR(INDEX(CADASTRO_PIVOS!$E$6:$E$41,MATCH($E1772,CADASTRO_PIVOS!$B$6:$B$41,0)),0)</f>
        <v>149.94</v>
      </c>
      <c r="I1772" s="16" t="n">
        <f aca="false">IFERROR(SUMIFS(ROTACAO_RDM!$B$6:$B$71,ROTACAO_RDM!$D$6:$D$71,$E1772,ROTACAO_RDM!$I$6:$I$71,"&lt;="&amp;$C1772+INT(DIAS_POR_SEMANA/2),ROTACAO_RDM!$J$6:$J$71,"&gt;="&amp;$C1772+INT(DIAS_POR_SEMANA/2)),0)</f>
        <v>0</v>
      </c>
      <c r="J1772" s="16" t="n">
        <f aca="false">IFERROR(MATCH($I1772,ROTACAO_RDM!$B$6:$B$71,0),0)</f>
        <v>0</v>
      </c>
      <c r="K1772" s="8" t="str">
        <f aca="false">IF($J1772=0,"SEM CULTURA",INDEX(ROTACAO_RDM!$F$6:$F$71,$J1772))</f>
        <v>SEM CULTURA</v>
      </c>
      <c r="L1772" s="8" t="str">
        <f aca="false">IF($J1772=0,"",INDEX(ROTACAO_RDM!$G$6:$G$71,$J1772))</f>
        <v/>
      </c>
      <c r="M1772" s="17" t="str">
        <f aca="false">IF($J1772=0,"",INDEX(ROTACAO_RDM!$I$6:$I$71,$J1772))</f>
        <v/>
      </c>
      <c r="N1772" s="16" t="n">
        <f aca="false">IF($J1772=0,0,MAX(0,$C1772+INT(DIAS_POR_SEMANA/2)-INDEX(ROTACAO_RDM!$I$6:$I$71,$J1772)))</f>
        <v>0</v>
      </c>
      <c r="O1772" s="19" t="n">
        <f aca="false">IF($J1772=0,0,MIN(1,$N1772/MAX(1,INDEX(ROTACAO_RDM!$K$6:$K$71,$J1772))))</f>
        <v>0</v>
      </c>
      <c r="P1772" s="16" t="n">
        <f aca="false">IF($J1772=0,0,IFERROR(MATCH(INDEX(ROTACAO_RDM!$N$6:$N$71,$J1772),PARAMETROS_CULTURAS!$B$6:$B$28,0),0))</f>
        <v>0</v>
      </c>
      <c r="Q1772" s="8" t="str">
        <f aca="false">IF($P1772=0,"-",IF($O1772&lt;=INDEX(PARAMETROS_CULTURAS!$F$6:$F$28,$P1772),"INICIAL",IF($O1772&lt;=INDEX(PARAMETROS_CULTURAS!$F$6:$F$28,$P1772)+INDEX(PARAMETROS_CULTURAS!$G$6:$G$28,$P1772),"DESENVOLVIMENTO",IF($O1772&lt;=INDEX(PARAMETROS_CULTURAS!$F$6:$F$28,$P1772)+INDEX(PARAMETROS_CULTURAS!$G$6:$G$28,$P1772)+INDEX(PARAMETROS_CULTURAS!$H$6:$H$28,$P1772),"MEDIA","FINAL"))))</f>
        <v>-</v>
      </c>
      <c r="R1772" s="24" t="n">
        <f aca="false">IF($P1772=0,0,IF($O1772&lt;=INDEX(PARAMETROS_CULTURAS!$F$6:$F$28,$P1772),INDEX(PARAMETROS_CULTURAS!$K$6:$K$28,$P1772),IF($O1772&lt;=INDEX(PARAMETROS_CULTURAS!$F$6:$F$28,$P1772)+INDEX(PARAMETROS_CULTURAS!$G$6:$G$28,$P1772),INDEX(PARAMETROS_CULTURAS!$K$6:$K$28,$P1772)+(INDEX(PARAMETROS_CULTURAS!$L$6:$L$28,$P1772)-INDEX(PARAMETROS_CULTURAS!$K$6:$K$28,$P1772))*($O1772-INDEX(PARAMETROS_CULTURAS!$F$6:$F$28,$P1772))/MAX(INDEX(PARAMETROS_CULTURAS!$G$6:$G$28,$P1772),0.0001),IF($O1772&lt;=INDEX(PARAMETROS_CULTURAS!$F$6:$F$28,$P1772)+INDEX(PARAMETROS_CULTURAS!$G$6:$G$28,$P1772)+INDEX(PARAMETROS_CULTURAS!$H$6:$H$28,$P1772),INDEX(PARAMETROS_CULTURAS!$L$6:$L$28,$P1772),INDEX(PARAMETROS_CULTURAS!$L$6:$L$28,$P1772)+(INDEX(PARAMETROS_CULTURAS!$M$6:$M$28,$P1772)-INDEX(PARAMETROS_CULTURAS!$L$6:$L$28,$P1772))*($O1772-INDEX(PARAMETROS_CULTURAS!$F$6:$F$28,$P1772)-INDEX(PARAMETROS_CULTURAS!$G$6:$G$28,$P1772)-INDEX(PARAMETROS_CULTURAS!$H$6:$H$28,$P1772))/MAX(INDEX(PARAMETROS_CULTURAS!$I$6:$I$28,$P1772),0.0001)))))</f>
        <v>0</v>
      </c>
      <c r="S1772" s="18" t="n">
        <f aca="false">IFERROR(INDEX(SEMANAS!$H$6:$H$71,MATCH($B1772,SEMANAS!$B$6:$B$71,0)),0)</f>
        <v>36.4</v>
      </c>
      <c r="T1772" s="18" t="n">
        <f aca="false">$R1772*$S1772</f>
        <v>0</v>
      </c>
      <c r="U1772" s="18" t="n">
        <f aca="false">IFERROR(INDEX(SEMANAS!$I$6:$I$71,MATCH($B1772,SEMANAS!$B$6:$B$71,0)),0)</f>
        <v>1.12</v>
      </c>
      <c r="V1772" s="18" t="n">
        <f aca="false">IFERROR(INDEX(SEMANAS!$J$6:$J$71,MATCH($B1772,SEMANAS!$B$6:$B$71,0)),0)</f>
        <v>0.896</v>
      </c>
      <c r="W1772" s="18" t="n">
        <f aca="false">MAX(0,$T1772-$V1772)</f>
        <v>0</v>
      </c>
      <c r="X1772" s="19" t="n">
        <f aca="false">IFERROR(INDEX(CADASTRO_PIVOS!$K$6:$K$41,MATCH($E1772,CADASTRO_PIVOS!$B$6:$B$41,0)),EFICIENCIA_PADRAO)</f>
        <v>0.85</v>
      </c>
      <c r="Y1772" s="18" t="n">
        <f aca="false">IF($X1772&lt;=0,0,$W1772/$X1772)</f>
        <v>0</v>
      </c>
      <c r="Z1772" s="16" t="n">
        <f aca="false">$Y1772*$H1772*MM_PARA_M3_HA</f>
        <v>0</v>
      </c>
      <c r="AA1772" s="18" t="n">
        <f aca="false">IFERROR(INDEX(CADASTRO_PIVOS!$I$6:$I$41,MATCH($E1772,CADASTRO_PIVOS!$B$6:$B$41,0)),0)</f>
        <v>1071</v>
      </c>
      <c r="AB1772" s="18" t="n">
        <f aca="false">IF($Z1772&lt;=0,0,$Z1772/$AA1772)</f>
        <v>0</v>
      </c>
      <c r="AC1772" s="16" t="n">
        <f aca="false">IFERROR(INDEX(SEMANAS!$K$6:$K$71,MATCH($B1772,SEMANAS!$B$6:$B$71,0)),0)</f>
        <v>147</v>
      </c>
      <c r="AD1772" s="19" t="n">
        <f aca="false">IF($AC1772&lt;=0,0,$AB1772/$AC1772)</f>
        <v>0</v>
      </c>
      <c r="AE1772" s="8" t="str">
        <f aca="false">IF($K1772="SEM CULTURA","SEM CULTURA",IF($AA1772&lt;=0,"DADO PENDENTE",IF($AD1772&gt;LIMITE_CRITICO,"INVIAVEL",IF($AD1772&gt;LIMITE_ATENCAO,"CRITICO",IF($AD1772&gt;LIMITE_CONFORTAVEL,"ATENCAO","OK")))))</f>
        <v>SEM CULTURA</v>
      </c>
      <c r="AF1772" s="8" t="str">
        <f aca="false">$B1772&amp;"|"&amp;TEXT($AD1772,"0.000000")</f>
        <v>51|0.000000</v>
      </c>
      <c r="AG1772" s="18" t="n">
        <f aca="false">IF($K1772="SEM CULTURA",0,$T1772*$H1772)</f>
        <v>0</v>
      </c>
      <c r="AH1772" s="18" t="n">
        <f aca="false">IF($K1772="SEM CULTURA",0,$V1772*$H1772)</f>
        <v>0</v>
      </c>
      <c r="AI1772" s="18" t="n">
        <f aca="false">IF($K1772="SEM CULTURA",0,$W1772*$H1772)</f>
        <v>0</v>
      </c>
      <c r="AJ1772" s="18" t="n">
        <f aca="false">IF($K1772="SEM CULTURA",0,$S1772*$H1772)</f>
        <v>0</v>
      </c>
      <c r="AK1772" s="8" t="str">
        <f aca="false">$E1772&amp;"|"&amp;TEXT($AD1772,"0.000000")</f>
        <v>PV 123|0.000000</v>
      </c>
    </row>
    <row r="1773" customFormat="false" ht="15" hidden="false" customHeight="false" outlineLevel="0" collapsed="false">
      <c r="B1773" s="16" t="n">
        <v>52</v>
      </c>
      <c r="C1773" s="17" t="n">
        <f aca="false">DATA_INICIO_SAFRA+($B1773-1)*DIAS_POR_SEMANA</f>
        <v>46622</v>
      </c>
      <c r="D1773" s="17" t="n">
        <f aca="false">$C1773+DIAS_POR_SEMANA-1</f>
        <v>46628</v>
      </c>
      <c r="E1773" s="15" t="s">
        <v>285</v>
      </c>
      <c r="F1773" s="8" t="str">
        <f aca="false">IFERROR(INDEX(CADASTRO_PIVOS!$C$6:$C$41,MATCH($E1773,CADASTRO_PIVOS!$B$6:$B$41,0)),"?")</f>
        <v>RM07</v>
      </c>
      <c r="G1773" s="8" t="str">
        <f aca="false">IFERROR(INDEX(CADASTRO_PIVOS!$D$6:$D$41,MATCH($E1773,CADASTRO_PIVOS!$B$6:$B$41,0)),"?")</f>
        <v>TR07</v>
      </c>
      <c r="H1773" s="20" t="n">
        <f aca="false">IFERROR(INDEX(CADASTRO_PIVOS!$E$6:$E$41,MATCH($E1773,CADASTRO_PIVOS!$B$6:$B$41,0)),0)</f>
        <v>149.94</v>
      </c>
      <c r="I1773" s="16" t="n">
        <f aca="false">IFERROR(SUMIFS(ROTACAO_RDM!$B$6:$B$71,ROTACAO_RDM!$D$6:$D$71,$E1773,ROTACAO_RDM!$I$6:$I$71,"&lt;="&amp;$C1773+INT(DIAS_POR_SEMANA/2),ROTACAO_RDM!$J$6:$J$71,"&gt;="&amp;$C1773+INT(DIAS_POR_SEMANA/2)),0)</f>
        <v>0</v>
      </c>
      <c r="J1773" s="16" t="n">
        <f aca="false">IFERROR(MATCH($I1773,ROTACAO_RDM!$B$6:$B$71,0),0)</f>
        <v>0</v>
      </c>
      <c r="K1773" s="8" t="str">
        <f aca="false">IF($J1773=0,"SEM CULTURA",INDEX(ROTACAO_RDM!$F$6:$F$71,$J1773))</f>
        <v>SEM CULTURA</v>
      </c>
      <c r="L1773" s="8" t="str">
        <f aca="false">IF($J1773=0,"",INDEX(ROTACAO_RDM!$G$6:$G$71,$J1773))</f>
        <v/>
      </c>
      <c r="M1773" s="17" t="str">
        <f aca="false">IF($J1773=0,"",INDEX(ROTACAO_RDM!$I$6:$I$71,$J1773))</f>
        <v/>
      </c>
      <c r="N1773" s="16" t="n">
        <f aca="false">IF($J1773=0,0,MAX(0,$C1773+INT(DIAS_POR_SEMANA/2)-INDEX(ROTACAO_RDM!$I$6:$I$71,$J1773)))</f>
        <v>0</v>
      </c>
      <c r="O1773" s="19" t="n">
        <f aca="false">IF($J1773=0,0,MIN(1,$N1773/MAX(1,INDEX(ROTACAO_RDM!$K$6:$K$71,$J1773))))</f>
        <v>0</v>
      </c>
      <c r="P1773" s="16" t="n">
        <f aca="false">IF($J1773=0,0,IFERROR(MATCH(INDEX(ROTACAO_RDM!$N$6:$N$71,$J1773),PARAMETROS_CULTURAS!$B$6:$B$28,0),0))</f>
        <v>0</v>
      </c>
      <c r="Q1773" s="8" t="str">
        <f aca="false">IF($P1773=0,"-",IF($O1773&lt;=INDEX(PARAMETROS_CULTURAS!$F$6:$F$28,$P1773),"INICIAL",IF($O1773&lt;=INDEX(PARAMETROS_CULTURAS!$F$6:$F$28,$P1773)+INDEX(PARAMETROS_CULTURAS!$G$6:$G$28,$P1773),"DESENVOLVIMENTO",IF($O1773&lt;=INDEX(PARAMETROS_CULTURAS!$F$6:$F$28,$P1773)+INDEX(PARAMETROS_CULTURAS!$G$6:$G$28,$P1773)+INDEX(PARAMETROS_CULTURAS!$H$6:$H$28,$P1773),"MEDIA","FINAL"))))</f>
        <v>-</v>
      </c>
      <c r="R1773" s="24" t="n">
        <f aca="false">IF($P1773=0,0,IF($O1773&lt;=INDEX(PARAMETROS_CULTURAS!$F$6:$F$28,$P1773),INDEX(PARAMETROS_CULTURAS!$K$6:$K$28,$P1773),IF($O1773&lt;=INDEX(PARAMETROS_CULTURAS!$F$6:$F$28,$P1773)+INDEX(PARAMETROS_CULTURAS!$G$6:$G$28,$P1773),INDEX(PARAMETROS_CULTURAS!$K$6:$K$28,$P1773)+(INDEX(PARAMETROS_CULTURAS!$L$6:$L$28,$P1773)-INDEX(PARAMETROS_CULTURAS!$K$6:$K$28,$P1773))*($O1773-INDEX(PARAMETROS_CULTURAS!$F$6:$F$28,$P1773))/MAX(INDEX(PARAMETROS_CULTURAS!$G$6:$G$28,$P1773),0.0001),IF($O1773&lt;=INDEX(PARAMETROS_CULTURAS!$F$6:$F$28,$P1773)+INDEX(PARAMETROS_CULTURAS!$G$6:$G$28,$P1773)+INDEX(PARAMETROS_CULTURAS!$H$6:$H$28,$P1773),INDEX(PARAMETROS_CULTURAS!$L$6:$L$28,$P1773),INDEX(PARAMETROS_CULTURAS!$L$6:$L$28,$P1773)+(INDEX(PARAMETROS_CULTURAS!$M$6:$M$28,$P1773)-INDEX(PARAMETROS_CULTURAS!$L$6:$L$28,$P1773))*($O1773-INDEX(PARAMETROS_CULTURAS!$F$6:$F$28,$P1773)-INDEX(PARAMETROS_CULTURAS!$G$6:$G$28,$P1773)-INDEX(PARAMETROS_CULTURAS!$H$6:$H$28,$P1773))/MAX(INDEX(PARAMETROS_CULTURAS!$I$6:$I$28,$P1773),0.0001)))))</f>
        <v>0</v>
      </c>
      <c r="S1773" s="18" t="n">
        <f aca="false">IFERROR(INDEX(SEMANAS!$H$6:$H$71,MATCH($B1773,SEMANAS!$B$6:$B$71,0)),0)</f>
        <v>36.4</v>
      </c>
      <c r="T1773" s="18" t="n">
        <f aca="false">$R1773*$S1773</f>
        <v>0</v>
      </c>
      <c r="U1773" s="18" t="n">
        <f aca="false">IFERROR(INDEX(SEMANAS!$I$6:$I$71,MATCH($B1773,SEMANAS!$B$6:$B$71,0)),0)</f>
        <v>1.12</v>
      </c>
      <c r="V1773" s="18" t="n">
        <f aca="false">IFERROR(INDEX(SEMANAS!$J$6:$J$71,MATCH($B1773,SEMANAS!$B$6:$B$71,0)),0)</f>
        <v>0.896</v>
      </c>
      <c r="W1773" s="18" t="n">
        <f aca="false">MAX(0,$T1773-$V1773)</f>
        <v>0</v>
      </c>
      <c r="X1773" s="19" t="n">
        <f aca="false">IFERROR(INDEX(CADASTRO_PIVOS!$K$6:$K$41,MATCH($E1773,CADASTRO_PIVOS!$B$6:$B$41,0)),EFICIENCIA_PADRAO)</f>
        <v>0.85</v>
      </c>
      <c r="Y1773" s="18" t="n">
        <f aca="false">IF($X1773&lt;=0,0,$W1773/$X1773)</f>
        <v>0</v>
      </c>
      <c r="Z1773" s="16" t="n">
        <f aca="false">$Y1773*$H1773*MM_PARA_M3_HA</f>
        <v>0</v>
      </c>
      <c r="AA1773" s="18" t="n">
        <f aca="false">IFERROR(INDEX(CADASTRO_PIVOS!$I$6:$I$41,MATCH($E1773,CADASTRO_PIVOS!$B$6:$B$41,0)),0)</f>
        <v>1071</v>
      </c>
      <c r="AB1773" s="18" t="n">
        <f aca="false">IF($Z1773&lt;=0,0,$Z1773/$AA1773)</f>
        <v>0</v>
      </c>
      <c r="AC1773" s="16" t="n">
        <f aca="false">IFERROR(INDEX(SEMANAS!$K$6:$K$71,MATCH($B1773,SEMANAS!$B$6:$B$71,0)),0)</f>
        <v>147</v>
      </c>
      <c r="AD1773" s="19" t="n">
        <f aca="false">IF($AC1773&lt;=0,0,$AB1773/$AC1773)</f>
        <v>0</v>
      </c>
      <c r="AE1773" s="8" t="str">
        <f aca="false">IF($K1773="SEM CULTURA","SEM CULTURA",IF($AA1773&lt;=0,"DADO PENDENTE",IF($AD1773&gt;LIMITE_CRITICO,"INVIAVEL",IF($AD1773&gt;LIMITE_ATENCAO,"CRITICO",IF($AD1773&gt;LIMITE_CONFORTAVEL,"ATENCAO","OK")))))</f>
        <v>SEM CULTURA</v>
      </c>
      <c r="AF1773" s="8" t="str">
        <f aca="false">$B1773&amp;"|"&amp;TEXT($AD1773,"0.000000")</f>
        <v>52|0.000000</v>
      </c>
      <c r="AG1773" s="18" t="n">
        <f aca="false">IF($K1773="SEM CULTURA",0,$T1773*$H1773)</f>
        <v>0</v>
      </c>
      <c r="AH1773" s="18" t="n">
        <f aca="false">IF($K1773="SEM CULTURA",0,$V1773*$H1773)</f>
        <v>0</v>
      </c>
      <c r="AI1773" s="18" t="n">
        <f aca="false">IF($K1773="SEM CULTURA",0,$W1773*$H1773)</f>
        <v>0</v>
      </c>
      <c r="AJ1773" s="18" t="n">
        <f aca="false">IF($K1773="SEM CULTURA",0,$S1773*$H1773)</f>
        <v>0</v>
      </c>
      <c r="AK1773" s="8" t="str">
        <f aca="false">$E1773&amp;"|"&amp;TEXT($AD1773,"0.000000")</f>
        <v>PV 123|0.000000</v>
      </c>
    </row>
    <row r="1774" customFormat="false" ht="15" hidden="false" customHeight="false" outlineLevel="0" collapsed="false">
      <c r="B1774" s="16" t="n">
        <v>53</v>
      </c>
      <c r="C1774" s="17" t="n">
        <f aca="false">DATA_INICIO_SAFRA+($B1774-1)*DIAS_POR_SEMANA</f>
        <v>46629</v>
      </c>
      <c r="D1774" s="17" t="n">
        <f aca="false">$C1774+DIAS_POR_SEMANA-1</f>
        <v>46635</v>
      </c>
      <c r="E1774" s="15" t="s">
        <v>285</v>
      </c>
      <c r="F1774" s="8" t="str">
        <f aca="false">IFERROR(INDEX(CADASTRO_PIVOS!$C$6:$C$41,MATCH($E1774,CADASTRO_PIVOS!$B$6:$B$41,0)),"?")</f>
        <v>RM07</v>
      </c>
      <c r="G1774" s="8" t="str">
        <f aca="false">IFERROR(INDEX(CADASTRO_PIVOS!$D$6:$D$41,MATCH($E1774,CADASTRO_PIVOS!$B$6:$B$41,0)),"?")</f>
        <v>TR07</v>
      </c>
      <c r="H1774" s="20" t="n">
        <f aca="false">IFERROR(INDEX(CADASTRO_PIVOS!$E$6:$E$41,MATCH($E1774,CADASTRO_PIVOS!$B$6:$B$41,0)),0)</f>
        <v>149.94</v>
      </c>
      <c r="I1774" s="16" t="n">
        <f aca="false">IFERROR(SUMIFS(ROTACAO_RDM!$B$6:$B$71,ROTACAO_RDM!$D$6:$D$71,$E1774,ROTACAO_RDM!$I$6:$I$71,"&lt;="&amp;$C1774+INT(DIAS_POR_SEMANA/2),ROTACAO_RDM!$J$6:$J$71,"&gt;="&amp;$C1774+INT(DIAS_POR_SEMANA/2)),0)</f>
        <v>0</v>
      </c>
      <c r="J1774" s="16" t="n">
        <f aca="false">IFERROR(MATCH($I1774,ROTACAO_RDM!$B$6:$B$71,0),0)</f>
        <v>0</v>
      </c>
      <c r="K1774" s="8" t="str">
        <f aca="false">IF($J1774=0,"SEM CULTURA",INDEX(ROTACAO_RDM!$F$6:$F$71,$J1774))</f>
        <v>SEM CULTURA</v>
      </c>
      <c r="L1774" s="8" t="str">
        <f aca="false">IF($J1774=0,"",INDEX(ROTACAO_RDM!$G$6:$G$71,$J1774))</f>
        <v/>
      </c>
      <c r="M1774" s="17" t="str">
        <f aca="false">IF($J1774=0,"",INDEX(ROTACAO_RDM!$I$6:$I$71,$J1774))</f>
        <v/>
      </c>
      <c r="N1774" s="16" t="n">
        <f aca="false">IF($J1774=0,0,MAX(0,$C1774+INT(DIAS_POR_SEMANA/2)-INDEX(ROTACAO_RDM!$I$6:$I$71,$J1774)))</f>
        <v>0</v>
      </c>
      <c r="O1774" s="19" t="n">
        <f aca="false">IF($J1774=0,0,MIN(1,$N1774/MAX(1,INDEX(ROTACAO_RDM!$K$6:$K$71,$J1774))))</f>
        <v>0</v>
      </c>
      <c r="P1774" s="16" t="n">
        <f aca="false">IF($J1774=0,0,IFERROR(MATCH(INDEX(ROTACAO_RDM!$N$6:$N$71,$J1774),PARAMETROS_CULTURAS!$B$6:$B$28,0),0))</f>
        <v>0</v>
      </c>
      <c r="Q1774" s="8" t="str">
        <f aca="false">IF($P1774=0,"-",IF($O1774&lt;=INDEX(PARAMETROS_CULTURAS!$F$6:$F$28,$P1774),"INICIAL",IF($O1774&lt;=INDEX(PARAMETROS_CULTURAS!$F$6:$F$28,$P1774)+INDEX(PARAMETROS_CULTURAS!$G$6:$G$28,$P1774),"DESENVOLVIMENTO",IF($O1774&lt;=INDEX(PARAMETROS_CULTURAS!$F$6:$F$28,$P1774)+INDEX(PARAMETROS_CULTURAS!$G$6:$G$28,$P1774)+INDEX(PARAMETROS_CULTURAS!$H$6:$H$28,$P1774),"MEDIA","FINAL"))))</f>
        <v>-</v>
      </c>
      <c r="R1774" s="24" t="n">
        <f aca="false">IF($P1774=0,0,IF($O1774&lt;=INDEX(PARAMETROS_CULTURAS!$F$6:$F$28,$P1774),INDEX(PARAMETROS_CULTURAS!$K$6:$K$28,$P1774),IF($O1774&lt;=INDEX(PARAMETROS_CULTURAS!$F$6:$F$28,$P1774)+INDEX(PARAMETROS_CULTURAS!$G$6:$G$28,$P1774),INDEX(PARAMETROS_CULTURAS!$K$6:$K$28,$P1774)+(INDEX(PARAMETROS_CULTURAS!$L$6:$L$28,$P1774)-INDEX(PARAMETROS_CULTURAS!$K$6:$K$28,$P1774))*($O1774-INDEX(PARAMETROS_CULTURAS!$F$6:$F$28,$P1774))/MAX(INDEX(PARAMETROS_CULTURAS!$G$6:$G$28,$P1774),0.0001),IF($O1774&lt;=INDEX(PARAMETROS_CULTURAS!$F$6:$F$28,$P1774)+INDEX(PARAMETROS_CULTURAS!$G$6:$G$28,$P1774)+INDEX(PARAMETROS_CULTURAS!$H$6:$H$28,$P1774),INDEX(PARAMETROS_CULTURAS!$L$6:$L$28,$P1774),INDEX(PARAMETROS_CULTURAS!$L$6:$L$28,$P1774)+(INDEX(PARAMETROS_CULTURAS!$M$6:$M$28,$P1774)-INDEX(PARAMETROS_CULTURAS!$L$6:$L$28,$P1774))*($O1774-INDEX(PARAMETROS_CULTURAS!$F$6:$F$28,$P1774)-INDEX(PARAMETROS_CULTURAS!$G$6:$G$28,$P1774)-INDEX(PARAMETROS_CULTURAS!$H$6:$H$28,$P1774))/MAX(INDEX(PARAMETROS_CULTURAS!$I$6:$I$28,$P1774),0.0001)))))</f>
        <v>0</v>
      </c>
      <c r="S1774" s="18" t="n">
        <f aca="false">IFERROR(INDEX(SEMANAS!$H$6:$H$71,MATCH($B1774,SEMANAS!$B$6:$B$71,0)),0)</f>
        <v>39.4</v>
      </c>
      <c r="T1774" s="18" t="n">
        <f aca="false">$R1774*$S1774</f>
        <v>0</v>
      </c>
      <c r="U1774" s="18" t="n">
        <f aca="false">IFERROR(INDEX(SEMANAS!$I$6:$I$71,MATCH($B1774,SEMANAS!$B$6:$B$71,0)),0)</f>
        <v>5.32</v>
      </c>
      <c r="V1774" s="18" t="n">
        <f aca="false">IFERROR(INDEX(SEMANAS!$J$6:$J$71,MATCH($B1774,SEMANAS!$B$6:$B$71,0)),0)</f>
        <v>4.256</v>
      </c>
      <c r="W1774" s="18" t="n">
        <f aca="false">MAX(0,$T1774-$V1774)</f>
        <v>0</v>
      </c>
      <c r="X1774" s="19" t="n">
        <f aca="false">IFERROR(INDEX(CADASTRO_PIVOS!$K$6:$K$41,MATCH($E1774,CADASTRO_PIVOS!$B$6:$B$41,0)),EFICIENCIA_PADRAO)</f>
        <v>0.85</v>
      </c>
      <c r="Y1774" s="18" t="n">
        <f aca="false">IF($X1774&lt;=0,0,$W1774/$X1774)</f>
        <v>0</v>
      </c>
      <c r="Z1774" s="16" t="n">
        <f aca="false">$Y1774*$H1774*MM_PARA_M3_HA</f>
        <v>0</v>
      </c>
      <c r="AA1774" s="18" t="n">
        <f aca="false">IFERROR(INDEX(CADASTRO_PIVOS!$I$6:$I$41,MATCH($E1774,CADASTRO_PIVOS!$B$6:$B$41,0)),0)</f>
        <v>1071</v>
      </c>
      <c r="AB1774" s="18" t="n">
        <f aca="false">IF($Z1774&lt;=0,0,$Z1774/$AA1774)</f>
        <v>0</v>
      </c>
      <c r="AC1774" s="16" t="n">
        <f aca="false">IFERROR(INDEX(SEMANAS!$K$6:$K$71,MATCH($B1774,SEMANAS!$B$6:$B$71,0)),0)</f>
        <v>147</v>
      </c>
      <c r="AD1774" s="19" t="n">
        <f aca="false">IF($AC1774&lt;=0,0,$AB1774/$AC1774)</f>
        <v>0</v>
      </c>
      <c r="AE1774" s="8" t="str">
        <f aca="false">IF($K1774="SEM CULTURA","SEM CULTURA",IF($AA1774&lt;=0,"DADO PENDENTE",IF($AD1774&gt;LIMITE_CRITICO,"INVIAVEL",IF($AD1774&gt;LIMITE_ATENCAO,"CRITICO",IF($AD1774&gt;LIMITE_CONFORTAVEL,"ATENCAO","OK")))))</f>
        <v>SEM CULTURA</v>
      </c>
      <c r="AF1774" s="8" t="str">
        <f aca="false">$B1774&amp;"|"&amp;TEXT($AD1774,"0.000000")</f>
        <v>53|0.000000</v>
      </c>
      <c r="AG1774" s="18" t="n">
        <f aca="false">IF($K1774="SEM CULTURA",0,$T1774*$H1774)</f>
        <v>0</v>
      </c>
      <c r="AH1774" s="18" t="n">
        <f aca="false">IF($K1774="SEM CULTURA",0,$V1774*$H1774)</f>
        <v>0</v>
      </c>
      <c r="AI1774" s="18" t="n">
        <f aca="false">IF($K1774="SEM CULTURA",0,$W1774*$H1774)</f>
        <v>0</v>
      </c>
      <c r="AJ1774" s="18" t="n">
        <f aca="false">IF($K1774="SEM CULTURA",0,$S1774*$H1774)</f>
        <v>0</v>
      </c>
      <c r="AK1774" s="8" t="str">
        <f aca="false">$E1774&amp;"|"&amp;TEXT($AD1774,"0.000000")</f>
        <v>PV 123|0.000000</v>
      </c>
    </row>
    <row r="1775" customFormat="false" ht="15" hidden="false" customHeight="false" outlineLevel="0" collapsed="false">
      <c r="B1775" s="16" t="n">
        <v>54</v>
      </c>
      <c r="C1775" s="17" t="n">
        <f aca="false">DATA_INICIO_SAFRA+($B1775-1)*DIAS_POR_SEMANA</f>
        <v>46636</v>
      </c>
      <c r="D1775" s="17" t="n">
        <f aca="false">$C1775+DIAS_POR_SEMANA-1</f>
        <v>46642</v>
      </c>
      <c r="E1775" s="15" t="s">
        <v>285</v>
      </c>
      <c r="F1775" s="8" t="str">
        <f aca="false">IFERROR(INDEX(CADASTRO_PIVOS!$C$6:$C$41,MATCH($E1775,CADASTRO_PIVOS!$B$6:$B$41,0)),"?")</f>
        <v>RM07</v>
      </c>
      <c r="G1775" s="8" t="str">
        <f aca="false">IFERROR(INDEX(CADASTRO_PIVOS!$D$6:$D$41,MATCH($E1775,CADASTRO_PIVOS!$B$6:$B$41,0)),"?")</f>
        <v>TR07</v>
      </c>
      <c r="H1775" s="20" t="n">
        <f aca="false">IFERROR(INDEX(CADASTRO_PIVOS!$E$6:$E$41,MATCH($E1775,CADASTRO_PIVOS!$B$6:$B$41,0)),0)</f>
        <v>149.94</v>
      </c>
      <c r="I1775" s="16" t="n">
        <f aca="false">IFERROR(SUMIFS(ROTACAO_RDM!$B$6:$B$71,ROTACAO_RDM!$D$6:$D$71,$E1775,ROTACAO_RDM!$I$6:$I$71,"&lt;="&amp;$C1775+INT(DIAS_POR_SEMANA/2),ROTACAO_RDM!$J$6:$J$71,"&gt;="&amp;$C1775+INT(DIAS_POR_SEMANA/2)),0)</f>
        <v>0</v>
      </c>
      <c r="J1775" s="16" t="n">
        <f aca="false">IFERROR(MATCH($I1775,ROTACAO_RDM!$B$6:$B$71,0),0)</f>
        <v>0</v>
      </c>
      <c r="K1775" s="8" t="str">
        <f aca="false">IF($J1775=0,"SEM CULTURA",INDEX(ROTACAO_RDM!$F$6:$F$71,$J1775))</f>
        <v>SEM CULTURA</v>
      </c>
      <c r="L1775" s="8" t="str">
        <f aca="false">IF($J1775=0,"",INDEX(ROTACAO_RDM!$G$6:$G$71,$J1775))</f>
        <v/>
      </c>
      <c r="M1775" s="17" t="str">
        <f aca="false">IF($J1775=0,"",INDEX(ROTACAO_RDM!$I$6:$I$71,$J1775))</f>
        <v/>
      </c>
      <c r="N1775" s="16" t="n">
        <f aca="false">IF($J1775=0,0,MAX(0,$C1775+INT(DIAS_POR_SEMANA/2)-INDEX(ROTACAO_RDM!$I$6:$I$71,$J1775)))</f>
        <v>0</v>
      </c>
      <c r="O1775" s="19" t="n">
        <f aca="false">IF($J1775=0,0,MIN(1,$N1775/MAX(1,INDEX(ROTACAO_RDM!$K$6:$K$71,$J1775))))</f>
        <v>0</v>
      </c>
      <c r="P1775" s="16" t="n">
        <f aca="false">IF($J1775=0,0,IFERROR(MATCH(INDEX(ROTACAO_RDM!$N$6:$N$71,$J1775),PARAMETROS_CULTURAS!$B$6:$B$28,0),0))</f>
        <v>0</v>
      </c>
      <c r="Q1775" s="8" t="str">
        <f aca="false">IF($P1775=0,"-",IF($O1775&lt;=INDEX(PARAMETROS_CULTURAS!$F$6:$F$28,$P1775),"INICIAL",IF($O1775&lt;=INDEX(PARAMETROS_CULTURAS!$F$6:$F$28,$P1775)+INDEX(PARAMETROS_CULTURAS!$G$6:$G$28,$P1775),"DESENVOLVIMENTO",IF($O1775&lt;=INDEX(PARAMETROS_CULTURAS!$F$6:$F$28,$P1775)+INDEX(PARAMETROS_CULTURAS!$G$6:$G$28,$P1775)+INDEX(PARAMETROS_CULTURAS!$H$6:$H$28,$P1775),"MEDIA","FINAL"))))</f>
        <v>-</v>
      </c>
      <c r="R1775" s="24" t="n">
        <f aca="false">IF($P1775=0,0,IF($O1775&lt;=INDEX(PARAMETROS_CULTURAS!$F$6:$F$28,$P1775),INDEX(PARAMETROS_CULTURAS!$K$6:$K$28,$P1775),IF($O1775&lt;=INDEX(PARAMETROS_CULTURAS!$F$6:$F$28,$P1775)+INDEX(PARAMETROS_CULTURAS!$G$6:$G$28,$P1775),INDEX(PARAMETROS_CULTURAS!$K$6:$K$28,$P1775)+(INDEX(PARAMETROS_CULTURAS!$L$6:$L$28,$P1775)-INDEX(PARAMETROS_CULTURAS!$K$6:$K$28,$P1775))*($O1775-INDEX(PARAMETROS_CULTURAS!$F$6:$F$28,$P1775))/MAX(INDEX(PARAMETROS_CULTURAS!$G$6:$G$28,$P1775),0.0001),IF($O1775&lt;=INDEX(PARAMETROS_CULTURAS!$F$6:$F$28,$P1775)+INDEX(PARAMETROS_CULTURAS!$G$6:$G$28,$P1775)+INDEX(PARAMETROS_CULTURAS!$H$6:$H$28,$P1775),INDEX(PARAMETROS_CULTURAS!$L$6:$L$28,$P1775),INDEX(PARAMETROS_CULTURAS!$L$6:$L$28,$P1775)+(INDEX(PARAMETROS_CULTURAS!$M$6:$M$28,$P1775)-INDEX(PARAMETROS_CULTURAS!$L$6:$L$28,$P1775))*($O1775-INDEX(PARAMETROS_CULTURAS!$F$6:$F$28,$P1775)-INDEX(PARAMETROS_CULTURAS!$G$6:$G$28,$P1775)-INDEX(PARAMETROS_CULTURAS!$H$6:$H$28,$P1775))/MAX(INDEX(PARAMETROS_CULTURAS!$I$6:$I$28,$P1775),0.0001)))))</f>
        <v>0</v>
      </c>
      <c r="S1775" s="18" t="n">
        <f aca="false">IFERROR(INDEX(SEMANAS!$H$6:$H$71,MATCH($B1775,SEMANAS!$B$6:$B$71,0)),0)</f>
        <v>40.6</v>
      </c>
      <c r="T1775" s="18" t="n">
        <f aca="false">$R1775*$S1775</f>
        <v>0</v>
      </c>
      <c r="U1775" s="18" t="n">
        <f aca="false">IFERROR(INDEX(SEMANAS!$I$6:$I$71,MATCH($B1775,SEMANAS!$B$6:$B$71,0)),0)</f>
        <v>7</v>
      </c>
      <c r="V1775" s="18" t="n">
        <f aca="false">IFERROR(INDEX(SEMANAS!$J$6:$J$71,MATCH($B1775,SEMANAS!$B$6:$B$71,0)),0)</f>
        <v>5.6</v>
      </c>
      <c r="W1775" s="18" t="n">
        <f aca="false">MAX(0,$T1775-$V1775)</f>
        <v>0</v>
      </c>
      <c r="X1775" s="19" t="n">
        <f aca="false">IFERROR(INDEX(CADASTRO_PIVOS!$K$6:$K$41,MATCH($E1775,CADASTRO_PIVOS!$B$6:$B$41,0)),EFICIENCIA_PADRAO)</f>
        <v>0.85</v>
      </c>
      <c r="Y1775" s="18" t="n">
        <f aca="false">IF($X1775&lt;=0,0,$W1775/$X1775)</f>
        <v>0</v>
      </c>
      <c r="Z1775" s="16" t="n">
        <f aca="false">$Y1775*$H1775*MM_PARA_M3_HA</f>
        <v>0</v>
      </c>
      <c r="AA1775" s="18" t="n">
        <f aca="false">IFERROR(INDEX(CADASTRO_PIVOS!$I$6:$I$41,MATCH($E1775,CADASTRO_PIVOS!$B$6:$B$41,0)),0)</f>
        <v>1071</v>
      </c>
      <c r="AB1775" s="18" t="n">
        <f aca="false">IF($Z1775&lt;=0,0,$Z1775/$AA1775)</f>
        <v>0</v>
      </c>
      <c r="AC1775" s="16" t="n">
        <f aca="false">IFERROR(INDEX(SEMANAS!$K$6:$K$71,MATCH($B1775,SEMANAS!$B$6:$B$71,0)),0)</f>
        <v>147</v>
      </c>
      <c r="AD1775" s="19" t="n">
        <f aca="false">IF($AC1775&lt;=0,0,$AB1775/$AC1775)</f>
        <v>0</v>
      </c>
      <c r="AE1775" s="8" t="str">
        <f aca="false">IF($K1775="SEM CULTURA","SEM CULTURA",IF($AA1775&lt;=0,"DADO PENDENTE",IF($AD1775&gt;LIMITE_CRITICO,"INVIAVEL",IF($AD1775&gt;LIMITE_ATENCAO,"CRITICO",IF($AD1775&gt;LIMITE_CONFORTAVEL,"ATENCAO","OK")))))</f>
        <v>SEM CULTURA</v>
      </c>
      <c r="AF1775" s="8" t="str">
        <f aca="false">$B1775&amp;"|"&amp;TEXT($AD1775,"0.000000")</f>
        <v>54|0.000000</v>
      </c>
      <c r="AG1775" s="18" t="n">
        <f aca="false">IF($K1775="SEM CULTURA",0,$T1775*$H1775)</f>
        <v>0</v>
      </c>
      <c r="AH1775" s="18" t="n">
        <f aca="false">IF($K1775="SEM CULTURA",0,$V1775*$H1775)</f>
        <v>0</v>
      </c>
      <c r="AI1775" s="18" t="n">
        <f aca="false">IF($K1775="SEM CULTURA",0,$W1775*$H1775)</f>
        <v>0</v>
      </c>
      <c r="AJ1775" s="18" t="n">
        <f aca="false">IF($K1775="SEM CULTURA",0,$S1775*$H1775)</f>
        <v>0</v>
      </c>
      <c r="AK1775" s="8" t="str">
        <f aca="false">$E1775&amp;"|"&amp;TEXT($AD1775,"0.000000")</f>
        <v>PV 123|0.000000</v>
      </c>
    </row>
    <row r="1776" customFormat="false" ht="15" hidden="false" customHeight="false" outlineLevel="0" collapsed="false">
      <c r="B1776" s="16" t="n">
        <v>55</v>
      </c>
      <c r="C1776" s="17" t="n">
        <f aca="false">DATA_INICIO_SAFRA+($B1776-1)*DIAS_POR_SEMANA</f>
        <v>46643</v>
      </c>
      <c r="D1776" s="17" t="n">
        <f aca="false">$C1776+DIAS_POR_SEMANA-1</f>
        <v>46649</v>
      </c>
      <c r="E1776" s="15" t="s">
        <v>285</v>
      </c>
      <c r="F1776" s="8" t="str">
        <f aca="false">IFERROR(INDEX(CADASTRO_PIVOS!$C$6:$C$41,MATCH($E1776,CADASTRO_PIVOS!$B$6:$B$41,0)),"?")</f>
        <v>RM07</v>
      </c>
      <c r="G1776" s="8" t="str">
        <f aca="false">IFERROR(INDEX(CADASTRO_PIVOS!$D$6:$D$41,MATCH($E1776,CADASTRO_PIVOS!$B$6:$B$41,0)),"?")</f>
        <v>TR07</v>
      </c>
      <c r="H1776" s="20" t="n">
        <f aca="false">IFERROR(INDEX(CADASTRO_PIVOS!$E$6:$E$41,MATCH($E1776,CADASTRO_PIVOS!$B$6:$B$41,0)),0)</f>
        <v>149.94</v>
      </c>
      <c r="I1776" s="16" t="n">
        <f aca="false">IFERROR(SUMIFS(ROTACAO_RDM!$B$6:$B$71,ROTACAO_RDM!$D$6:$D$71,$E1776,ROTACAO_RDM!$I$6:$I$71,"&lt;="&amp;$C1776+INT(DIAS_POR_SEMANA/2),ROTACAO_RDM!$J$6:$J$71,"&gt;="&amp;$C1776+INT(DIAS_POR_SEMANA/2)),0)</f>
        <v>0</v>
      </c>
      <c r="J1776" s="16" t="n">
        <f aca="false">IFERROR(MATCH($I1776,ROTACAO_RDM!$B$6:$B$71,0),0)</f>
        <v>0</v>
      </c>
      <c r="K1776" s="8" t="str">
        <f aca="false">IF($J1776=0,"SEM CULTURA",INDEX(ROTACAO_RDM!$F$6:$F$71,$J1776))</f>
        <v>SEM CULTURA</v>
      </c>
      <c r="L1776" s="8" t="str">
        <f aca="false">IF($J1776=0,"",INDEX(ROTACAO_RDM!$G$6:$G$71,$J1776))</f>
        <v/>
      </c>
      <c r="M1776" s="17" t="str">
        <f aca="false">IF($J1776=0,"",INDEX(ROTACAO_RDM!$I$6:$I$71,$J1776))</f>
        <v/>
      </c>
      <c r="N1776" s="16" t="n">
        <f aca="false">IF($J1776=0,0,MAX(0,$C1776+INT(DIAS_POR_SEMANA/2)-INDEX(ROTACAO_RDM!$I$6:$I$71,$J1776)))</f>
        <v>0</v>
      </c>
      <c r="O1776" s="19" t="n">
        <f aca="false">IF($J1776=0,0,MIN(1,$N1776/MAX(1,INDEX(ROTACAO_RDM!$K$6:$K$71,$J1776))))</f>
        <v>0</v>
      </c>
      <c r="P1776" s="16" t="n">
        <f aca="false">IF($J1776=0,0,IFERROR(MATCH(INDEX(ROTACAO_RDM!$N$6:$N$71,$J1776),PARAMETROS_CULTURAS!$B$6:$B$28,0),0))</f>
        <v>0</v>
      </c>
      <c r="Q1776" s="8" t="str">
        <f aca="false">IF($P1776=0,"-",IF($O1776&lt;=INDEX(PARAMETROS_CULTURAS!$F$6:$F$28,$P1776),"INICIAL",IF($O1776&lt;=INDEX(PARAMETROS_CULTURAS!$F$6:$F$28,$P1776)+INDEX(PARAMETROS_CULTURAS!$G$6:$G$28,$P1776),"DESENVOLVIMENTO",IF($O1776&lt;=INDEX(PARAMETROS_CULTURAS!$F$6:$F$28,$P1776)+INDEX(PARAMETROS_CULTURAS!$G$6:$G$28,$P1776)+INDEX(PARAMETROS_CULTURAS!$H$6:$H$28,$P1776),"MEDIA","FINAL"))))</f>
        <v>-</v>
      </c>
      <c r="R1776" s="24" t="n">
        <f aca="false">IF($P1776=0,0,IF($O1776&lt;=INDEX(PARAMETROS_CULTURAS!$F$6:$F$28,$P1776),INDEX(PARAMETROS_CULTURAS!$K$6:$K$28,$P1776),IF($O1776&lt;=INDEX(PARAMETROS_CULTURAS!$F$6:$F$28,$P1776)+INDEX(PARAMETROS_CULTURAS!$G$6:$G$28,$P1776),INDEX(PARAMETROS_CULTURAS!$K$6:$K$28,$P1776)+(INDEX(PARAMETROS_CULTURAS!$L$6:$L$28,$P1776)-INDEX(PARAMETROS_CULTURAS!$K$6:$K$28,$P1776))*($O1776-INDEX(PARAMETROS_CULTURAS!$F$6:$F$28,$P1776))/MAX(INDEX(PARAMETROS_CULTURAS!$G$6:$G$28,$P1776),0.0001),IF($O1776&lt;=INDEX(PARAMETROS_CULTURAS!$F$6:$F$28,$P1776)+INDEX(PARAMETROS_CULTURAS!$G$6:$G$28,$P1776)+INDEX(PARAMETROS_CULTURAS!$H$6:$H$28,$P1776),INDEX(PARAMETROS_CULTURAS!$L$6:$L$28,$P1776),INDEX(PARAMETROS_CULTURAS!$L$6:$L$28,$P1776)+(INDEX(PARAMETROS_CULTURAS!$M$6:$M$28,$P1776)-INDEX(PARAMETROS_CULTURAS!$L$6:$L$28,$P1776))*($O1776-INDEX(PARAMETROS_CULTURAS!$F$6:$F$28,$P1776)-INDEX(PARAMETROS_CULTURAS!$G$6:$G$28,$P1776)-INDEX(PARAMETROS_CULTURAS!$H$6:$H$28,$P1776))/MAX(INDEX(PARAMETROS_CULTURAS!$I$6:$I$28,$P1776),0.0001)))))</f>
        <v>0</v>
      </c>
      <c r="S1776" s="18" t="n">
        <f aca="false">IFERROR(INDEX(SEMANAS!$H$6:$H$71,MATCH($B1776,SEMANAS!$B$6:$B$71,0)),0)</f>
        <v>40.6</v>
      </c>
      <c r="T1776" s="18" t="n">
        <f aca="false">$R1776*$S1776</f>
        <v>0</v>
      </c>
      <c r="U1776" s="18" t="n">
        <f aca="false">IFERROR(INDEX(SEMANAS!$I$6:$I$71,MATCH($B1776,SEMANAS!$B$6:$B$71,0)),0)</f>
        <v>7</v>
      </c>
      <c r="V1776" s="18" t="n">
        <f aca="false">IFERROR(INDEX(SEMANAS!$J$6:$J$71,MATCH($B1776,SEMANAS!$B$6:$B$71,0)),0)</f>
        <v>5.6</v>
      </c>
      <c r="W1776" s="18" t="n">
        <f aca="false">MAX(0,$T1776-$V1776)</f>
        <v>0</v>
      </c>
      <c r="X1776" s="19" t="n">
        <f aca="false">IFERROR(INDEX(CADASTRO_PIVOS!$K$6:$K$41,MATCH($E1776,CADASTRO_PIVOS!$B$6:$B$41,0)),EFICIENCIA_PADRAO)</f>
        <v>0.85</v>
      </c>
      <c r="Y1776" s="18" t="n">
        <f aca="false">IF($X1776&lt;=0,0,$W1776/$X1776)</f>
        <v>0</v>
      </c>
      <c r="Z1776" s="16" t="n">
        <f aca="false">$Y1776*$H1776*MM_PARA_M3_HA</f>
        <v>0</v>
      </c>
      <c r="AA1776" s="18" t="n">
        <f aca="false">IFERROR(INDEX(CADASTRO_PIVOS!$I$6:$I$41,MATCH($E1776,CADASTRO_PIVOS!$B$6:$B$41,0)),0)</f>
        <v>1071</v>
      </c>
      <c r="AB1776" s="18" t="n">
        <f aca="false">IF($Z1776&lt;=0,0,$Z1776/$AA1776)</f>
        <v>0</v>
      </c>
      <c r="AC1776" s="16" t="n">
        <f aca="false">IFERROR(INDEX(SEMANAS!$K$6:$K$71,MATCH($B1776,SEMANAS!$B$6:$B$71,0)),0)</f>
        <v>147</v>
      </c>
      <c r="AD1776" s="19" t="n">
        <f aca="false">IF($AC1776&lt;=0,0,$AB1776/$AC1776)</f>
        <v>0</v>
      </c>
      <c r="AE1776" s="8" t="str">
        <f aca="false">IF($K1776="SEM CULTURA","SEM CULTURA",IF($AA1776&lt;=0,"DADO PENDENTE",IF($AD1776&gt;LIMITE_CRITICO,"INVIAVEL",IF($AD1776&gt;LIMITE_ATENCAO,"CRITICO",IF($AD1776&gt;LIMITE_CONFORTAVEL,"ATENCAO","OK")))))</f>
        <v>SEM CULTURA</v>
      </c>
      <c r="AF1776" s="8" t="str">
        <f aca="false">$B1776&amp;"|"&amp;TEXT($AD1776,"0.000000")</f>
        <v>55|0.000000</v>
      </c>
      <c r="AG1776" s="18" t="n">
        <f aca="false">IF($K1776="SEM CULTURA",0,$T1776*$H1776)</f>
        <v>0</v>
      </c>
      <c r="AH1776" s="18" t="n">
        <f aca="false">IF($K1776="SEM CULTURA",0,$V1776*$H1776)</f>
        <v>0</v>
      </c>
      <c r="AI1776" s="18" t="n">
        <f aca="false">IF($K1776="SEM CULTURA",0,$W1776*$H1776)</f>
        <v>0</v>
      </c>
      <c r="AJ1776" s="18" t="n">
        <f aca="false">IF($K1776="SEM CULTURA",0,$S1776*$H1776)</f>
        <v>0</v>
      </c>
      <c r="AK1776" s="8" t="str">
        <f aca="false">$E1776&amp;"|"&amp;TEXT($AD1776,"0.000000")</f>
        <v>PV 123|0.000000</v>
      </c>
    </row>
    <row r="1777" customFormat="false" ht="15" hidden="false" customHeight="false" outlineLevel="0" collapsed="false">
      <c r="B1777" s="16" t="n">
        <v>56</v>
      </c>
      <c r="C1777" s="17" t="n">
        <f aca="false">DATA_INICIO_SAFRA+($B1777-1)*DIAS_POR_SEMANA</f>
        <v>46650</v>
      </c>
      <c r="D1777" s="17" t="n">
        <f aca="false">$C1777+DIAS_POR_SEMANA-1</f>
        <v>46656</v>
      </c>
      <c r="E1777" s="15" t="s">
        <v>285</v>
      </c>
      <c r="F1777" s="8" t="str">
        <f aca="false">IFERROR(INDEX(CADASTRO_PIVOS!$C$6:$C$41,MATCH($E1777,CADASTRO_PIVOS!$B$6:$B$41,0)),"?")</f>
        <v>RM07</v>
      </c>
      <c r="G1777" s="8" t="str">
        <f aca="false">IFERROR(INDEX(CADASTRO_PIVOS!$D$6:$D$41,MATCH($E1777,CADASTRO_PIVOS!$B$6:$B$41,0)),"?")</f>
        <v>TR07</v>
      </c>
      <c r="H1777" s="20" t="n">
        <f aca="false">IFERROR(INDEX(CADASTRO_PIVOS!$E$6:$E$41,MATCH($E1777,CADASTRO_PIVOS!$B$6:$B$41,0)),0)</f>
        <v>149.94</v>
      </c>
      <c r="I1777" s="16" t="n">
        <f aca="false">IFERROR(SUMIFS(ROTACAO_RDM!$B$6:$B$71,ROTACAO_RDM!$D$6:$D$71,$E1777,ROTACAO_RDM!$I$6:$I$71,"&lt;="&amp;$C1777+INT(DIAS_POR_SEMANA/2),ROTACAO_RDM!$J$6:$J$71,"&gt;="&amp;$C1777+INT(DIAS_POR_SEMANA/2)),0)</f>
        <v>0</v>
      </c>
      <c r="J1777" s="16" t="n">
        <f aca="false">IFERROR(MATCH($I1777,ROTACAO_RDM!$B$6:$B$71,0),0)</f>
        <v>0</v>
      </c>
      <c r="K1777" s="8" t="str">
        <f aca="false">IF($J1777=0,"SEM CULTURA",INDEX(ROTACAO_RDM!$F$6:$F$71,$J1777))</f>
        <v>SEM CULTURA</v>
      </c>
      <c r="L1777" s="8" t="str">
        <f aca="false">IF($J1777=0,"",INDEX(ROTACAO_RDM!$G$6:$G$71,$J1777))</f>
        <v/>
      </c>
      <c r="M1777" s="17" t="str">
        <f aca="false">IF($J1777=0,"",INDEX(ROTACAO_RDM!$I$6:$I$71,$J1777))</f>
        <v/>
      </c>
      <c r="N1777" s="16" t="n">
        <f aca="false">IF($J1777=0,0,MAX(0,$C1777+INT(DIAS_POR_SEMANA/2)-INDEX(ROTACAO_RDM!$I$6:$I$71,$J1777)))</f>
        <v>0</v>
      </c>
      <c r="O1777" s="19" t="n">
        <f aca="false">IF($J1777=0,0,MIN(1,$N1777/MAX(1,INDEX(ROTACAO_RDM!$K$6:$K$71,$J1777))))</f>
        <v>0</v>
      </c>
      <c r="P1777" s="16" t="n">
        <f aca="false">IF($J1777=0,0,IFERROR(MATCH(INDEX(ROTACAO_RDM!$N$6:$N$71,$J1777),PARAMETROS_CULTURAS!$B$6:$B$28,0),0))</f>
        <v>0</v>
      </c>
      <c r="Q1777" s="8" t="str">
        <f aca="false">IF($P1777=0,"-",IF($O1777&lt;=INDEX(PARAMETROS_CULTURAS!$F$6:$F$28,$P1777),"INICIAL",IF($O1777&lt;=INDEX(PARAMETROS_CULTURAS!$F$6:$F$28,$P1777)+INDEX(PARAMETROS_CULTURAS!$G$6:$G$28,$P1777),"DESENVOLVIMENTO",IF($O1777&lt;=INDEX(PARAMETROS_CULTURAS!$F$6:$F$28,$P1777)+INDEX(PARAMETROS_CULTURAS!$G$6:$G$28,$P1777)+INDEX(PARAMETROS_CULTURAS!$H$6:$H$28,$P1777),"MEDIA","FINAL"))))</f>
        <v>-</v>
      </c>
      <c r="R1777" s="24" t="n">
        <f aca="false">IF($P1777=0,0,IF($O1777&lt;=INDEX(PARAMETROS_CULTURAS!$F$6:$F$28,$P1777),INDEX(PARAMETROS_CULTURAS!$K$6:$K$28,$P1777),IF($O1777&lt;=INDEX(PARAMETROS_CULTURAS!$F$6:$F$28,$P1777)+INDEX(PARAMETROS_CULTURAS!$G$6:$G$28,$P1777),INDEX(PARAMETROS_CULTURAS!$K$6:$K$28,$P1777)+(INDEX(PARAMETROS_CULTURAS!$L$6:$L$28,$P1777)-INDEX(PARAMETROS_CULTURAS!$K$6:$K$28,$P1777))*($O1777-INDEX(PARAMETROS_CULTURAS!$F$6:$F$28,$P1777))/MAX(INDEX(PARAMETROS_CULTURAS!$G$6:$G$28,$P1777),0.0001),IF($O1777&lt;=INDEX(PARAMETROS_CULTURAS!$F$6:$F$28,$P1777)+INDEX(PARAMETROS_CULTURAS!$G$6:$G$28,$P1777)+INDEX(PARAMETROS_CULTURAS!$H$6:$H$28,$P1777),INDEX(PARAMETROS_CULTURAS!$L$6:$L$28,$P1777),INDEX(PARAMETROS_CULTURAS!$L$6:$L$28,$P1777)+(INDEX(PARAMETROS_CULTURAS!$M$6:$M$28,$P1777)-INDEX(PARAMETROS_CULTURAS!$L$6:$L$28,$P1777))*($O1777-INDEX(PARAMETROS_CULTURAS!$F$6:$F$28,$P1777)-INDEX(PARAMETROS_CULTURAS!$G$6:$G$28,$P1777)-INDEX(PARAMETROS_CULTURAS!$H$6:$H$28,$P1777))/MAX(INDEX(PARAMETROS_CULTURAS!$I$6:$I$28,$P1777),0.0001)))))</f>
        <v>0</v>
      </c>
      <c r="S1777" s="18" t="n">
        <f aca="false">IFERROR(INDEX(SEMANAS!$H$6:$H$71,MATCH($B1777,SEMANAS!$B$6:$B$71,0)),0)</f>
        <v>40.6</v>
      </c>
      <c r="T1777" s="18" t="n">
        <f aca="false">$R1777*$S1777</f>
        <v>0</v>
      </c>
      <c r="U1777" s="18" t="n">
        <f aca="false">IFERROR(INDEX(SEMANAS!$I$6:$I$71,MATCH($B1777,SEMANAS!$B$6:$B$71,0)),0)</f>
        <v>7</v>
      </c>
      <c r="V1777" s="18" t="n">
        <f aca="false">IFERROR(INDEX(SEMANAS!$J$6:$J$71,MATCH($B1777,SEMANAS!$B$6:$B$71,0)),0)</f>
        <v>5.6</v>
      </c>
      <c r="W1777" s="18" t="n">
        <f aca="false">MAX(0,$T1777-$V1777)</f>
        <v>0</v>
      </c>
      <c r="X1777" s="19" t="n">
        <f aca="false">IFERROR(INDEX(CADASTRO_PIVOS!$K$6:$K$41,MATCH($E1777,CADASTRO_PIVOS!$B$6:$B$41,0)),EFICIENCIA_PADRAO)</f>
        <v>0.85</v>
      </c>
      <c r="Y1777" s="18" t="n">
        <f aca="false">IF($X1777&lt;=0,0,$W1777/$X1777)</f>
        <v>0</v>
      </c>
      <c r="Z1777" s="16" t="n">
        <f aca="false">$Y1777*$H1777*MM_PARA_M3_HA</f>
        <v>0</v>
      </c>
      <c r="AA1777" s="18" t="n">
        <f aca="false">IFERROR(INDEX(CADASTRO_PIVOS!$I$6:$I$41,MATCH($E1777,CADASTRO_PIVOS!$B$6:$B$41,0)),0)</f>
        <v>1071</v>
      </c>
      <c r="AB1777" s="18" t="n">
        <f aca="false">IF($Z1777&lt;=0,0,$Z1777/$AA1777)</f>
        <v>0</v>
      </c>
      <c r="AC1777" s="16" t="n">
        <f aca="false">IFERROR(INDEX(SEMANAS!$K$6:$K$71,MATCH($B1777,SEMANAS!$B$6:$B$71,0)),0)</f>
        <v>147</v>
      </c>
      <c r="AD1777" s="19" t="n">
        <f aca="false">IF($AC1777&lt;=0,0,$AB1777/$AC1777)</f>
        <v>0</v>
      </c>
      <c r="AE1777" s="8" t="str">
        <f aca="false">IF($K1777="SEM CULTURA","SEM CULTURA",IF($AA1777&lt;=0,"DADO PENDENTE",IF($AD1777&gt;LIMITE_CRITICO,"INVIAVEL",IF($AD1777&gt;LIMITE_ATENCAO,"CRITICO",IF($AD1777&gt;LIMITE_CONFORTAVEL,"ATENCAO","OK")))))</f>
        <v>SEM CULTURA</v>
      </c>
      <c r="AF1777" s="8" t="str">
        <f aca="false">$B1777&amp;"|"&amp;TEXT($AD1777,"0.000000")</f>
        <v>56|0.000000</v>
      </c>
      <c r="AG1777" s="18" t="n">
        <f aca="false">IF($K1777="SEM CULTURA",0,$T1777*$H1777)</f>
        <v>0</v>
      </c>
      <c r="AH1777" s="18" t="n">
        <f aca="false">IF($K1777="SEM CULTURA",0,$V1777*$H1777)</f>
        <v>0</v>
      </c>
      <c r="AI1777" s="18" t="n">
        <f aca="false">IF($K1777="SEM CULTURA",0,$W1777*$H1777)</f>
        <v>0</v>
      </c>
      <c r="AJ1777" s="18" t="n">
        <f aca="false">IF($K1777="SEM CULTURA",0,$S1777*$H1777)</f>
        <v>0</v>
      </c>
      <c r="AK1777" s="8" t="str">
        <f aca="false">$E1777&amp;"|"&amp;TEXT($AD1777,"0.000000")</f>
        <v>PV 123|0.000000</v>
      </c>
    </row>
    <row r="1778" customFormat="false" ht="15" hidden="false" customHeight="false" outlineLevel="0" collapsed="false">
      <c r="B1778" s="16" t="n">
        <v>57</v>
      </c>
      <c r="C1778" s="17" t="n">
        <f aca="false">DATA_INICIO_SAFRA+($B1778-1)*DIAS_POR_SEMANA</f>
        <v>46657</v>
      </c>
      <c r="D1778" s="17" t="n">
        <f aca="false">$C1778+DIAS_POR_SEMANA-1</f>
        <v>46663</v>
      </c>
      <c r="E1778" s="15" t="s">
        <v>285</v>
      </c>
      <c r="F1778" s="8" t="str">
        <f aca="false">IFERROR(INDEX(CADASTRO_PIVOS!$C$6:$C$41,MATCH($E1778,CADASTRO_PIVOS!$B$6:$B$41,0)),"?")</f>
        <v>RM07</v>
      </c>
      <c r="G1778" s="8" t="str">
        <f aca="false">IFERROR(INDEX(CADASTRO_PIVOS!$D$6:$D$41,MATCH($E1778,CADASTRO_PIVOS!$B$6:$B$41,0)),"?")</f>
        <v>TR07</v>
      </c>
      <c r="H1778" s="20" t="n">
        <f aca="false">IFERROR(INDEX(CADASTRO_PIVOS!$E$6:$E$41,MATCH($E1778,CADASTRO_PIVOS!$B$6:$B$41,0)),0)</f>
        <v>149.94</v>
      </c>
      <c r="I1778" s="16" t="n">
        <f aca="false">IFERROR(SUMIFS(ROTACAO_RDM!$B$6:$B$71,ROTACAO_RDM!$D$6:$D$71,$E1778,ROTACAO_RDM!$I$6:$I$71,"&lt;="&amp;$C1778+INT(DIAS_POR_SEMANA/2),ROTACAO_RDM!$J$6:$J$71,"&gt;="&amp;$C1778+INT(DIAS_POR_SEMANA/2)),0)</f>
        <v>0</v>
      </c>
      <c r="J1778" s="16" t="n">
        <f aca="false">IFERROR(MATCH($I1778,ROTACAO_RDM!$B$6:$B$71,0),0)</f>
        <v>0</v>
      </c>
      <c r="K1778" s="8" t="str">
        <f aca="false">IF($J1778=0,"SEM CULTURA",INDEX(ROTACAO_RDM!$F$6:$F$71,$J1778))</f>
        <v>SEM CULTURA</v>
      </c>
      <c r="L1778" s="8" t="str">
        <f aca="false">IF($J1778=0,"",INDEX(ROTACAO_RDM!$G$6:$G$71,$J1778))</f>
        <v/>
      </c>
      <c r="M1778" s="17" t="str">
        <f aca="false">IF($J1778=0,"",INDEX(ROTACAO_RDM!$I$6:$I$71,$J1778))</f>
        <v/>
      </c>
      <c r="N1778" s="16" t="n">
        <f aca="false">IF($J1778=0,0,MAX(0,$C1778+INT(DIAS_POR_SEMANA/2)-INDEX(ROTACAO_RDM!$I$6:$I$71,$J1778)))</f>
        <v>0</v>
      </c>
      <c r="O1778" s="19" t="n">
        <f aca="false">IF($J1778=0,0,MIN(1,$N1778/MAX(1,INDEX(ROTACAO_RDM!$K$6:$K$71,$J1778))))</f>
        <v>0</v>
      </c>
      <c r="P1778" s="16" t="n">
        <f aca="false">IF($J1778=0,0,IFERROR(MATCH(INDEX(ROTACAO_RDM!$N$6:$N$71,$J1778),PARAMETROS_CULTURAS!$B$6:$B$28,0),0))</f>
        <v>0</v>
      </c>
      <c r="Q1778" s="8" t="str">
        <f aca="false">IF($P1778=0,"-",IF($O1778&lt;=INDEX(PARAMETROS_CULTURAS!$F$6:$F$28,$P1778),"INICIAL",IF($O1778&lt;=INDEX(PARAMETROS_CULTURAS!$F$6:$F$28,$P1778)+INDEX(PARAMETROS_CULTURAS!$G$6:$G$28,$P1778),"DESENVOLVIMENTO",IF($O1778&lt;=INDEX(PARAMETROS_CULTURAS!$F$6:$F$28,$P1778)+INDEX(PARAMETROS_CULTURAS!$G$6:$G$28,$P1778)+INDEX(PARAMETROS_CULTURAS!$H$6:$H$28,$P1778),"MEDIA","FINAL"))))</f>
        <v>-</v>
      </c>
      <c r="R1778" s="24" t="n">
        <f aca="false">IF($P1778=0,0,IF($O1778&lt;=INDEX(PARAMETROS_CULTURAS!$F$6:$F$28,$P1778),INDEX(PARAMETROS_CULTURAS!$K$6:$K$28,$P1778),IF($O1778&lt;=INDEX(PARAMETROS_CULTURAS!$F$6:$F$28,$P1778)+INDEX(PARAMETROS_CULTURAS!$G$6:$G$28,$P1778),INDEX(PARAMETROS_CULTURAS!$K$6:$K$28,$P1778)+(INDEX(PARAMETROS_CULTURAS!$L$6:$L$28,$P1778)-INDEX(PARAMETROS_CULTURAS!$K$6:$K$28,$P1778))*($O1778-INDEX(PARAMETROS_CULTURAS!$F$6:$F$28,$P1778))/MAX(INDEX(PARAMETROS_CULTURAS!$G$6:$G$28,$P1778),0.0001),IF($O1778&lt;=INDEX(PARAMETROS_CULTURAS!$F$6:$F$28,$P1778)+INDEX(PARAMETROS_CULTURAS!$G$6:$G$28,$P1778)+INDEX(PARAMETROS_CULTURAS!$H$6:$H$28,$P1778),INDEX(PARAMETROS_CULTURAS!$L$6:$L$28,$P1778),INDEX(PARAMETROS_CULTURAS!$L$6:$L$28,$P1778)+(INDEX(PARAMETROS_CULTURAS!$M$6:$M$28,$P1778)-INDEX(PARAMETROS_CULTURAS!$L$6:$L$28,$P1778))*($O1778-INDEX(PARAMETROS_CULTURAS!$F$6:$F$28,$P1778)-INDEX(PARAMETROS_CULTURAS!$G$6:$G$28,$P1778)-INDEX(PARAMETROS_CULTURAS!$H$6:$H$28,$P1778))/MAX(INDEX(PARAMETROS_CULTURAS!$I$6:$I$28,$P1778),0.0001)))))</f>
        <v>0</v>
      </c>
      <c r="S1778" s="18" t="n">
        <f aca="false">IFERROR(INDEX(SEMANAS!$H$6:$H$71,MATCH($B1778,SEMANAS!$B$6:$B$71,0)),0)</f>
        <v>40</v>
      </c>
      <c r="T1778" s="18" t="n">
        <f aca="false">$R1778*$S1778</f>
        <v>0</v>
      </c>
      <c r="U1778" s="18" t="n">
        <f aca="false">IFERROR(INDEX(SEMANAS!$I$6:$I$71,MATCH($B1778,SEMANAS!$B$6:$B$71,0)),0)</f>
        <v>15.61</v>
      </c>
      <c r="V1778" s="18" t="n">
        <f aca="false">IFERROR(INDEX(SEMANAS!$J$6:$J$71,MATCH($B1778,SEMANAS!$B$6:$B$71,0)),0)</f>
        <v>12.488</v>
      </c>
      <c r="W1778" s="18" t="n">
        <f aca="false">MAX(0,$T1778-$V1778)</f>
        <v>0</v>
      </c>
      <c r="X1778" s="19" t="n">
        <f aca="false">IFERROR(INDEX(CADASTRO_PIVOS!$K$6:$K$41,MATCH($E1778,CADASTRO_PIVOS!$B$6:$B$41,0)),EFICIENCIA_PADRAO)</f>
        <v>0.85</v>
      </c>
      <c r="Y1778" s="18" t="n">
        <f aca="false">IF($X1778&lt;=0,0,$W1778/$X1778)</f>
        <v>0</v>
      </c>
      <c r="Z1778" s="16" t="n">
        <f aca="false">$Y1778*$H1778*MM_PARA_M3_HA</f>
        <v>0</v>
      </c>
      <c r="AA1778" s="18" t="n">
        <f aca="false">IFERROR(INDEX(CADASTRO_PIVOS!$I$6:$I$41,MATCH($E1778,CADASTRO_PIVOS!$B$6:$B$41,0)),0)</f>
        <v>1071</v>
      </c>
      <c r="AB1778" s="18" t="n">
        <f aca="false">IF($Z1778&lt;=0,0,$Z1778/$AA1778)</f>
        <v>0</v>
      </c>
      <c r="AC1778" s="16" t="n">
        <f aca="false">IFERROR(INDEX(SEMANAS!$K$6:$K$71,MATCH($B1778,SEMANAS!$B$6:$B$71,0)),0)</f>
        <v>147</v>
      </c>
      <c r="AD1778" s="19" t="n">
        <f aca="false">IF($AC1778&lt;=0,0,$AB1778/$AC1778)</f>
        <v>0</v>
      </c>
      <c r="AE1778" s="8" t="str">
        <f aca="false">IF($K1778="SEM CULTURA","SEM CULTURA",IF($AA1778&lt;=0,"DADO PENDENTE",IF($AD1778&gt;LIMITE_CRITICO,"INVIAVEL",IF($AD1778&gt;LIMITE_ATENCAO,"CRITICO",IF($AD1778&gt;LIMITE_CONFORTAVEL,"ATENCAO","OK")))))</f>
        <v>SEM CULTURA</v>
      </c>
      <c r="AF1778" s="8" t="str">
        <f aca="false">$B1778&amp;"|"&amp;TEXT($AD1778,"0.000000")</f>
        <v>57|0.000000</v>
      </c>
      <c r="AG1778" s="18" t="n">
        <f aca="false">IF($K1778="SEM CULTURA",0,$T1778*$H1778)</f>
        <v>0</v>
      </c>
      <c r="AH1778" s="18" t="n">
        <f aca="false">IF($K1778="SEM CULTURA",0,$V1778*$H1778)</f>
        <v>0</v>
      </c>
      <c r="AI1778" s="18" t="n">
        <f aca="false">IF($K1778="SEM CULTURA",0,$W1778*$H1778)</f>
        <v>0</v>
      </c>
      <c r="AJ1778" s="18" t="n">
        <f aca="false">IF($K1778="SEM CULTURA",0,$S1778*$H1778)</f>
        <v>0</v>
      </c>
      <c r="AK1778" s="8" t="str">
        <f aca="false">$E1778&amp;"|"&amp;TEXT($AD1778,"0.000000")</f>
        <v>PV 123|0.000000</v>
      </c>
    </row>
    <row r="1779" customFormat="false" ht="15" hidden="false" customHeight="false" outlineLevel="0" collapsed="false">
      <c r="B1779" s="16" t="n">
        <v>58</v>
      </c>
      <c r="C1779" s="17" t="n">
        <f aca="false">DATA_INICIO_SAFRA+($B1779-1)*DIAS_POR_SEMANA</f>
        <v>46664</v>
      </c>
      <c r="D1779" s="17" t="n">
        <f aca="false">$C1779+DIAS_POR_SEMANA-1</f>
        <v>46670</v>
      </c>
      <c r="E1779" s="15" t="s">
        <v>285</v>
      </c>
      <c r="F1779" s="8" t="str">
        <f aca="false">IFERROR(INDEX(CADASTRO_PIVOS!$C$6:$C$41,MATCH($E1779,CADASTRO_PIVOS!$B$6:$B$41,0)),"?")</f>
        <v>RM07</v>
      </c>
      <c r="G1779" s="8" t="str">
        <f aca="false">IFERROR(INDEX(CADASTRO_PIVOS!$D$6:$D$41,MATCH($E1779,CADASTRO_PIVOS!$B$6:$B$41,0)),"?")</f>
        <v>TR07</v>
      </c>
      <c r="H1779" s="20" t="n">
        <f aca="false">IFERROR(INDEX(CADASTRO_PIVOS!$E$6:$E$41,MATCH($E1779,CADASTRO_PIVOS!$B$6:$B$41,0)),0)</f>
        <v>149.94</v>
      </c>
      <c r="I1779" s="16" t="n">
        <f aca="false">IFERROR(SUMIFS(ROTACAO_RDM!$B$6:$B$71,ROTACAO_RDM!$D$6:$D$71,$E1779,ROTACAO_RDM!$I$6:$I$71,"&lt;="&amp;$C1779+INT(DIAS_POR_SEMANA/2),ROTACAO_RDM!$J$6:$J$71,"&gt;="&amp;$C1779+INT(DIAS_POR_SEMANA/2)),0)</f>
        <v>0</v>
      </c>
      <c r="J1779" s="16" t="n">
        <f aca="false">IFERROR(MATCH($I1779,ROTACAO_RDM!$B$6:$B$71,0),0)</f>
        <v>0</v>
      </c>
      <c r="K1779" s="8" t="str">
        <f aca="false">IF($J1779=0,"SEM CULTURA",INDEX(ROTACAO_RDM!$F$6:$F$71,$J1779))</f>
        <v>SEM CULTURA</v>
      </c>
      <c r="L1779" s="8" t="str">
        <f aca="false">IF($J1779=0,"",INDEX(ROTACAO_RDM!$G$6:$G$71,$J1779))</f>
        <v/>
      </c>
      <c r="M1779" s="17" t="str">
        <f aca="false">IF($J1779=0,"",INDEX(ROTACAO_RDM!$I$6:$I$71,$J1779))</f>
        <v/>
      </c>
      <c r="N1779" s="16" t="n">
        <f aca="false">IF($J1779=0,0,MAX(0,$C1779+INT(DIAS_POR_SEMANA/2)-INDEX(ROTACAO_RDM!$I$6:$I$71,$J1779)))</f>
        <v>0</v>
      </c>
      <c r="O1779" s="19" t="n">
        <f aca="false">IF($J1779=0,0,MIN(1,$N1779/MAX(1,INDEX(ROTACAO_RDM!$K$6:$K$71,$J1779))))</f>
        <v>0</v>
      </c>
      <c r="P1779" s="16" t="n">
        <f aca="false">IF($J1779=0,0,IFERROR(MATCH(INDEX(ROTACAO_RDM!$N$6:$N$71,$J1779),PARAMETROS_CULTURAS!$B$6:$B$28,0),0))</f>
        <v>0</v>
      </c>
      <c r="Q1779" s="8" t="str">
        <f aca="false">IF($P1779=0,"-",IF($O1779&lt;=INDEX(PARAMETROS_CULTURAS!$F$6:$F$28,$P1779),"INICIAL",IF($O1779&lt;=INDEX(PARAMETROS_CULTURAS!$F$6:$F$28,$P1779)+INDEX(PARAMETROS_CULTURAS!$G$6:$G$28,$P1779),"DESENVOLVIMENTO",IF($O1779&lt;=INDEX(PARAMETROS_CULTURAS!$F$6:$F$28,$P1779)+INDEX(PARAMETROS_CULTURAS!$G$6:$G$28,$P1779)+INDEX(PARAMETROS_CULTURAS!$H$6:$H$28,$P1779),"MEDIA","FINAL"))))</f>
        <v>-</v>
      </c>
      <c r="R1779" s="24" t="n">
        <f aca="false">IF($P1779=0,0,IF($O1779&lt;=INDEX(PARAMETROS_CULTURAS!$F$6:$F$28,$P1779),INDEX(PARAMETROS_CULTURAS!$K$6:$K$28,$P1779),IF($O1779&lt;=INDEX(PARAMETROS_CULTURAS!$F$6:$F$28,$P1779)+INDEX(PARAMETROS_CULTURAS!$G$6:$G$28,$P1779),INDEX(PARAMETROS_CULTURAS!$K$6:$K$28,$P1779)+(INDEX(PARAMETROS_CULTURAS!$L$6:$L$28,$P1779)-INDEX(PARAMETROS_CULTURAS!$K$6:$K$28,$P1779))*($O1779-INDEX(PARAMETROS_CULTURAS!$F$6:$F$28,$P1779))/MAX(INDEX(PARAMETROS_CULTURAS!$G$6:$G$28,$P1779),0.0001),IF($O1779&lt;=INDEX(PARAMETROS_CULTURAS!$F$6:$F$28,$P1779)+INDEX(PARAMETROS_CULTURAS!$G$6:$G$28,$P1779)+INDEX(PARAMETROS_CULTURAS!$H$6:$H$28,$P1779),INDEX(PARAMETROS_CULTURAS!$L$6:$L$28,$P1779),INDEX(PARAMETROS_CULTURAS!$L$6:$L$28,$P1779)+(INDEX(PARAMETROS_CULTURAS!$M$6:$M$28,$P1779)-INDEX(PARAMETROS_CULTURAS!$L$6:$L$28,$P1779))*($O1779-INDEX(PARAMETROS_CULTURAS!$F$6:$F$28,$P1779)-INDEX(PARAMETROS_CULTURAS!$G$6:$G$28,$P1779)-INDEX(PARAMETROS_CULTURAS!$H$6:$H$28,$P1779))/MAX(INDEX(PARAMETROS_CULTURAS!$I$6:$I$28,$P1779),0.0001)))))</f>
        <v>0</v>
      </c>
      <c r="S1779" s="18" t="n">
        <f aca="false">IFERROR(INDEX(SEMANAS!$H$6:$H$71,MATCH($B1779,SEMANAS!$B$6:$B$71,0)),0)</f>
        <v>39.2</v>
      </c>
      <c r="T1779" s="18" t="n">
        <f aca="false">$R1779*$S1779</f>
        <v>0</v>
      </c>
      <c r="U1779" s="18" t="n">
        <f aca="false">IFERROR(INDEX(SEMANAS!$I$6:$I$71,MATCH($B1779,SEMANAS!$B$6:$B$71,0)),0)</f>
        <v>27.09</v>
      </c>
      <c r="V1779" s="18" t="n">
        <f aca="false">IFERROR(INDEX(SEMANAS!$J$6:$J$71,MATCH($B1779,SEMANAS!$B$6:$B$71,0)),0)</f>
        <v>21.672</v>
      </c>
      <c r="W1779" s="18" t="n">
        <f aca="false">MAX(0,$T1779-$V1779)</f>
        <v>0</v>
      </c>
      <c r="X1779" s="19" t="n">
        <f aca="false">IFERROR(INDEX(CADASTRO_PIVOS!$K$6:$K$41,MATCH($E1779,CADASTRO_PIVOS!$B$6:$B$41,0)),EFICIENCIA_PADRAO)</f>
        <v>0.85</v>
      </c>
      <c r="Y1779" s="18" t="n">
        <f aca="false">IF($X1779&lt;=0,0,$W1779/$X1779)</f>
        <v>0</v>
      </c>
      <c r="Z1779" s="16" t="n">
        <f aca="false">$Y1779*$H1779*MM_PARA_M3_HA</f>
        <v>0</v>
      </c>
      <c r="AA1779" s="18" t="n">
        <f aca="false">IFERROR(INDEX(CADASTRO_PIVOS!$I$6:$I$41,MATCH($E1779,CADASTRO_PIVOS!$B$6:$B$41,0)),0)</f>
        <v>1071</v>
      </c>
      <c r="AB1779" s="18" t="n">
        <f aca="false">IF($Z1779&lt;=0,0,$Z1779/$AA1779)</f>
        <v>0</v>
      </c>
      <c r="AC1779" s="16" t="n">
        <f aca="false">IFERROR(INDEX(SEMANAS!$K$6:$K$71,MATCH($B1779,SEMANAS!$B$6:$B$71,0)),0)</f>
        <v>147</v>
      </c>
      <c r="AD1779" s="19" t="n">
        <f aca="false">IF($AC1779&lt;=0,0,$AB1779/$AC1779)</f>
        <v>0</v>
      </c>
      <c r="AE1779" s="8" t="str">
        <f aca="false">IF($K1779="SEM CULTURA","SEM CULTURA",IF($AA1779&lt;=0,"DADO PENDENTE",IF($AD1779&gt;LIMITE_CRITICO,"INVIAVEL",IF($AD1779&gt;LIMITE_ATENCAO,"CRITICO",IF($AD1779&gt;LIMITE_CONFORTAVEL,"ATENCAO","OK")))))</f>
        <v>SEM CULTURA</v>
      </c>
      <c r="AF1779" s="8" t="str">
        <f aca="false">$B1779&amp;"|"&amp;TEXT($AD1779,"0.000000")</f>
        <v>58|0.000000</v>
      </c>
      <c r="AG1779" s="18" t="n">
        <f aca="false">IF($K1779="SEM CULTURA",0,$T1779*$H1779)</f>
        <v>0</v>
      </c>
      <c r="AH1779" s="18" t="n">
        <f aca="false">IF($K1779="SEM CULTURA",0,$V1779*$H1779)</f>
        <v>0</v>
      </c>
      <c r="AI1779" s="18" t="n">
        <f aca="false">IF($K1779="SEM CULTURA",0,$W1779*$H1779)</f>
        <v>0</v>
      </c>
      <c r="AJ1779" s="18" t="n">
        <f aca="false">IF($K1779="SEM CULTURA",0,$S1779*$H1779)</f>
        <v>0</v>
      </c>
      <c r="AK1779" s="8" t="str">
        <f aca="false">$E1779&amp;"|"&amp;TEXT($AD1779,"0.000000")</f>
        <v>PV 123|0.000000</v>
      </c>
    </row>
    <row r="1780" customFormat="false" ht="15" hidden="false" customHeight="false" outlineLevel="0" collapsed="false">
      <c r="B1780" s="16" t="n">
        <v>59</v>
      </c>
      <c r="C1780" s="17" t="n">
        <f aca="false">DATA_INICIO_SAFRA+($B1780-1)*DIAS_POR_SEMANA</f>
        <v>46671</v>
      </c>
      <c r="D1780" s="17" t="n">
        <f aca="false">$C1780+DIAS_POR_SEMANA-1</f>
        <v>46677</v>
      </c>
      <c r="E1780" s="15" t="s">
        <v>285</v>
      </c>
      <c r="F1780" s="8" t="str">
        <f aca="false">IFERROR(INDEX(CADASTRO_PIVOS!$C$6:$C$41,MATCH($E1780,CADASTRO_PIVOS!$B$6:$B$41,0)),"?")</f>
        <v>RM07</v>
      </c>
      <c r="G1780" s="8" t="str">
        <f aca="false">IFERROR(INDEX(CADASTRO_PIVOS!$D$6:$D$41,MATCH($E1780,CADASTRO_PIVOS!$B$6:$B$41,0)),"?")</f>
        <v>TR07</v>
      </c>
      <c r="H1780" s="20" t="n">
        <f aca="false">IFERROR(INDEX(CADASTRO_PIVOS!$E$6:$E$41,MATCH($E1780,CADASTRO_PIVOS!$B$6:$B$41,0)),0)</f>
        <v>149.94</v>
      </c>
      <c r="I1780" s="16" t="n">
        <f aca="false">IFERROR(SUMIFS(ROTACAO_RDM!$B$6:$B$71,ROTACAO_RDM!$D$6:$D$71,$E1780,ROTACAO_RDM!$I$6:$I$71,"&lt;="&amp;$C1780+INT(DIAS_POR_SEMANA/2),ROTACAO_RDM!$J$6:$J$71,"&gt;="&amp;$C1780+INT(DIAS_POR_SEMANA/2)),0)</f>
        <v>0</v>
      </c>
      <c r="J1780" s="16" t="n">
        <f aca="false">IFERROR(MATCH($I1780,ROTACAO_RDM!$B$6:$B$71,0),0)</f>
        <v>0</v>
      </c>
      <c r="K1780" s="8" t="str">
        <f aca="false">IF($J1780=0,"SEM CULTURA",INDEX(ROTACAO_RDM!$F$6:$F$71,$J1780))</f>
        <v>SEM CULTURA</v>
      </c>
      <c r="L1780" s="8" t="str">
        <f aca="false">IF($J1780=0,"",INDEX(ROTACAO_RDM!$G$6:$G$71,$J1780))</f>
        <v/>
      </c>
      <c r="M1780" s="17" t="str">
        <f aca="false">IF($J1780=0,"",INDEX(ROTACAO_RDM!$I$6:$I$71,$J1780))</f>
        <v/>
      </c>
      <c r="N1780" s="16" t="n">
        <f aca="false">IF($J1780=0,0,MAX(0,$C1780+INT(DIAS_POR_SEMANA/2)-INDEX(ROTACAO_RDM!$I$6:$I$71,$J1780)))</f>
        <v>0</v>
      </c>
      <c r="O1780" s="19" t="n">
        <f aca="false">IF($J1780=0,0,MIN(1,$N1780/MAX(1,INDEX(ROTACAO_RDM!$K$6:$K$71,$J1780))))</f>
        <v>0</v>
      </c>
      <c r="P1780" s="16" t="n">
        <f aca="false">IF($J1780=0,0,IFERROR(MATCH(INDEX(ROTACAO_RDM!$N$6:$N$71,$J1780),PARAMETROS_CULTURAS!$B$6:$B$28,0),0))</f>
        <v>0</v>
      </c>
      <c r="Q1780" s="8" t="str">
        <f aca="false">IF($P1780=0,"-",IF($O1780&lt;=INDEX(PARAMETROS_CULTURAS!$F$6:$F$28,$P1780),"INICIAL",IF($O1780&lt;=INDEX(PARAMETROS_CULTURAS!$F$6:$F$28,$P1780)+INDEX(PARAMETROS_CULTURAS!$G$6:$G$28,$P1780),"DESENVOLVIMENTO",IF($O1780&lt;=INDEX(PARAMETROS_CULTURAS!$F$6:$F$28,$P1780)+INDEX(PARAMETROS_CULTURAS!$G$6:$G$28,$P1780)+INDEX(PARAMETROS_CULTURAS!$H$6:$H$28,$P1780),"MEDIA","FINAL"))))</f>
        <v>-</v>
      </c>
      <c r="R1780" s="24" t="n">
        <f aca="false">IF($P1780=0,0,IF($O1780&lt;=INDEX(PARAMETROS_CULTURAS!$F$6:$F$28,$P1780),INDEX(PARAMETROS_CULTURAS!$K$6:$K$28,$P1780),IF($O1780&lt;=INDEX(PARAMETROS_CULTURAS!$F$6:$F$28,$P1780)+INDEX(PARAMETROS_CULTURAS!$G$6:$G$28,$P1780),INDEX(PARAMETROS_CULTURAS!$K$6:$K$28,$P1780)+(INDEX(PARAMETROS_CULTURAS!$L$6:$L$28,$P1780)-INDEX(PARAMETROS_CULTURAS!$K$6:$K$28,$P1780))*($O1780-INDEX(PARAMETROS_CULTURAS!$F$6:$F$28,$P1780))/MAX(INDEX(PARAMETROS_CULTURAS!$G$6:$G$28,$P1780),0.0001),IF($O1780&lt;=INDEX(PARAMETROS_CULTURAS!$F$6:$F$28,$P1780)+INDEX(PARAMETROS_CULTURAS!$G$6:$G$28,$P1780)+INDEX(PARAMETROS_CULTURAS!$H$6:$H$28,$P1780),INDEX(PARAMETROS_CULTURAS!$L$6:$L$28,$P1780),INDEX(PARAMETROS_CULTURAS!$L$6:$L$28,$P1780)+(INDEX(PARAMETROS_CULTURAS!$M$6:$M$28,$P1780)-INDEX(PARAMETROS_CULTURAS!$L$6:$L$28,$P1780))*($O1780-INDEX(PARAMETROS_CULTURAS!$F$6:$F$28,$P1780)-INDEX(PARAMETROS_CULTURAS!$G$6:$G$28,$P1780)-INDEX(PARAMETROS_CULTURAS!$H$6:$H$28,$P1780))/MAX(INDEX(PARAMETROS_CULTURAS!$I$6:$I$28,$P1780),0.0001)))))</f>
        <v>0</v>
      </c>
      <c r="S1780" s="18" t="n">
        <f aca="false">IFERROR(INDEX(SEMANAS!$H$6:$H$71,MATCH($B1780,SEMANAS!$B$6:$B$71,0)),0)</f>
        <v>39.2</v>
      </c>
      <c r="T1780" s="18" t="n">
        <f aca="false">$R1780*$S1780</f>
        <v>0</v>
      </c>
      <c r="U1780" s="18" t="n">
        <f aca="false">IFERROR(INDEX(SEMANAS!$I$6:$I$71,MATCH($B1780,SEMANAS!$B$6:$B$71,0)),0)</f>
        <v>27.09</v>
      </c>
      <c r="V1780" s="18" t="n">
        <f aca="false">IFERROR(INDEX(SEMANAS!$J$6:$J$71,MATCH($B1780,SEMANAS!$B$6:$B$71,0)),0)</f>
        <v>21.672</v>
      </c>
      <c r="W1780" s="18" t="n">
        <f aca="false">MAX(0,$T1780-$V1780)</f>
        <v>0</v>
      </c>
      <c r="X1780" s="19" t="n">
        <f aca="false">IFERROR(INDEX(CADASTRO_PIVOS!$K$6:$K$41,MATCH($E1780,CADASTRO_PIVOS!$B$6:$B$41,0)),EFICIENCIA_PADRAO)</f>
        <v>0.85</v>
      </c>
      <c r="Y1780" s="18" t="n">
        <f aca="false">IF($X1780&lt;=0,0,$W1780/$X1780)</f>
        <v>0</v>
      </c>
      <c r="Z1780" s="16" t="n">
        <f aca="false">$Y1780*$H1780*MM_PARA_M3_HA</f>
        <v>0</v>
      </c>
      <c r="AA1780" s="18" t="n">
        <f aca="false">IFERROR(INDEX(CADASTRO_PIVOS!$I$6:$I$41,MATCH($E1780,CADASTRO_PIVOS!$B$6:$B$41,0)),0)</f>
        <v>1071</v>
      </c>
      <c r="AB1780" s="18" t="n">
        <f aca="false">IF($Z1780&lt;=0,0,$Z1780/$AA1780)</f>
        <v>0</v>
      </c>
      <c r="AC1780" s="16" t="n">
        <f aca="false">IFERROR(INDEX(SEMANAS!$K$6:$K$71,MATCH($B1780,SEMANAS!$B$6:$B$71,0)),0)</f>
        <v>147</v>
      </c>
      <c r="AD1780" s="19" t="n">
        <f aca="false">IF($AC1780&lt;=0,0,$AB1780/$AC1780)</f>
        <v>0</v>
      </c>
      <c r="AE1780" s="8" t="str">
        <f aca="false">IF($K1780="SEM CULTURA","SEM CULTURA",IF($AA1780&lt;=0,"DADO PENDENTE",IF($AD1780&gt;LIMITE_CRITICO,"INVIAVEL",IF($AD1780&gt;LIMITE_ATENCAO,"CRITICO",IF($AD1780&gt;LIMITE_CONFORTAVEL,"ATENCAO","OK")))))</f>
        <v>SEM CULTURA</v>
      </c>
      <c r="AF1780" s="8" t="str">
        <f aca="false">$B1780&amp;"|"&amp;TEXT($AD1780,"0.000000")</f>
        <v>59|0.000000</v>
      </c>
      <c r="AG1780" s="18" t="n">
        <f aca="false">IF($K1780="SEM CULTURA",0,$T1780*$H1780)</f>
        <v>0</v>
      </c>
      <c r="AH1780" s="18" t="n">
        <f aca="false">IF($K1780="SEM CULTURA",0,$V1780*$H1780)</f>
        <v>0</v>
      </c>
      <c r="AI1780" s="18" t="n">
        <f aca="false">IF($K1780="SEM CULTURA",0,$W1780*$H1780)</f>
        <v>0</v>
      </c>
      <c r="AJ1780" s="18" t="n">
        <f aca="false">IF($K1780="SEM CULTURA",0,$S1780*$H1780)</f>
        <v>0</v>
      </c>
      <c r="AK1780" s="8" t="str">
        <f aca="false">$E1780&amp;"|"&amp;TEXT($AD1780,"0.000000")</f>
        <v>PV 123|0.000000</v>
      </c>
    </row>
    <row r="1781" customFormat="false" ht="15" hidden="false" customHeight="false" outlineLevel="0" collapsed="false">
      <c r="B1781" s="16" t="n">
        <v>60</v>
      </c>
      <c r="C1781" s="17" t="n">
        <f aca="false">DATA_INICIO_SAFRA+($B1781-1)*DIAS_POR_SEMANA</f>
        <v>46678</v>
      </c>
      <c r="D1781" s="17" t="n">
        <f aca="false">$C1781+DIAS_POR_SEMANA-1</f>
        <v>46684</v>
      </c>
      <c r="E1781" s="15" t="s">
        <v>285</v>
      </c>
      <c r="F1781" s="8" t="str">
        <f aca="false">IFERROR(INDEX(CADASTRO_PIVOS!$C$6:$C$41,MATCH($E1781,CADASTRO_PIVOS!$B$6:$B$41,0)),"?")</f>
        <v>RM07</v>
      </c>
      <c r="G1781" s="8" t="str">
        <f aca="false">IFERROR(INDEX(CADASTRO_PIVOS!$D$6:$D$41,MATCH($E1781,CADASTRO_PIVOS!$B$6:$B$41,0)),"?")</f>
        <v>TR07</v>
      </c>
      <c r="H1781" s="20" t="n">
        <f aca="false">IFERROR(INDEX(CADASTRO_PIVOS!$E$6:$E$41,MATCH($E1781,CADASTRO_PIVOS!$B$6:$B$41,0)),0)</f>
        <v>149.94</v>
      </c>
      <c r="I1781" s="16" t="n">
        <f aca="false">IFERROR(SUMIFS(ROTACAO_RDM!$B$6:$B$71,ROTACAO_RDM!$D$6:$D$71,$E1781,ROTACAO_RDM!$I$6:$I$71,"&lt;="&amp;$C1781+INT(DIAS_POR_SEMANA/2),ROTACAO_RDM!$J$6:$J$71,"&gt;="&amp;$C1781+INT(DIAS_POR_SEMANA/2)),0)</f>
        <v>0</v>
      </c>
      <c r="J1781" s="16" t="n">
        <f aca="false">IFERROR(MATCH($I1781,ROTACAO_RDM!$B$6:$B$71,0),0)</f>
        <v>0</v>
      </c>
      <c r="K1781" s="8" t="str">
        <f aca="false">IF($J1781=0,"SEM CULTURA",INDEX(ROTACAO_RDM!$F$6:$F$71,$J1781))</f>
        <v>SEM CULTURA</v>
      </c>
      <c r="L1781" s="8" t="str">
        <f aca="false">IF($J1781=0,"",INDEX(ROTACAO_RDM!$G$6:$G$71,$J1781))</f>
        <v/>
      </c>
      <c r="M1781" s="17" t="str">
        <f aca="false">IF($J1781=0,"",INDEX(ROTACAO_RDM!$I$6:$I$71,$J1781))</f>
        <v/>
      </c>
      <c r="N1781" s="16" t="n">
        <f aca="false">IF($J1781=0,0,MAX(0,$C1781+INT(DIAS_POR_SEMANA/2)-INDEX(ROTACAO_RDM!$I$6:$I$71,$J1781)))</f>
        <v>0</v>
      </c>
      <c r="O1781" s="19" t="n">
        <f aca="false">IF($J1781=0,0,MIN(1,$N1781/MAX(1,INDEX(ROTACAO_RDM!$K$6:$K$71,$J1781))))</f>
        <v>0</v>
      </c>
      <c r="P1781" s="16" t="n">
        <f aca="false">IF($J1781=0,0,IFERROR(MATCH(INDEX(ROTACAO_RDM!$N$6:$N$71,$J1781),PARAMETROS_CULTURAS!$B$6:$B$28,0),0))</f>
        <v>0</v>
      </c>
      <c r="Q1781" s="8" t="str">
        <f aca="false">IF($P1781=0,"-",IF($O1781&lt;=INDEX(PARAMETROS_CULTURAS!$F$6:$F$28,$P1781),"INICIAL",IF($O1781&lt;=INDEX(PARAMETROS_CULTURAS!$F$6:$F$28,$P1781)+INDEX(PARAMETROS_CULTURAS!$G$6:$G$28,$P1781),"DESENVOLVIMENTO",IF($O1781&lt;=INDEX(PARAMETROS_CULTURAS!$F$6:$F$28,$P1781)+INDEX(PARAMETROS_CULTURAS!$G$6:$G$28,$P1781)+INDEX(PARAMETROS_CULTURAS!$H$6:$H$28,$P1781),"MEDIA","FINAL"))))</f>
        <v>-</v>
      </c>
      <c r="R1781" s="24" t="n">
        <f aca="false">IF($P1781=0,0,IF($O1781&lt;=INDEX(PARAMETROS_CULTURAS!$F$6:$F$28,$P1781),INDEX(PARAMETROS_CULTURAS!$K$6:$K$28,$P1781),IF($O1781&lt;=INDEX(PARAMETROS_CULTURAS!$F$6:$F$28,$P1781)+INDEX(PARAMETROS_CULTURAS!$G$6:$G$28,$P1781),INDEX(PARAMETROS_CULTURAS!$K$6:$K$28,$P1781)+(INDEX(PARAMETROS_CULTURAS!$L$6:$L$28,$P1781)-INDEX(PARAMETROS_CULTURAS!$K$6:$K$28,$P1781))*($O1781-INDEX(PARAMETROS_CULTURAS!$F$6:$F$28,$P1781))/MAX(INDEX(PARAMETROS_CULTURAS!$G$6:$G$28,$P1781),0.0001),IF($O1781&lt;=INDEX(PARAMETROS_CULTURAS!$F$6:$F$28,$P1781)+INDEX(PARAMETROS_CULTURAS!$G$6:$G$28,$P1781)+INDEX(PARAMETROS_CULTURAS!$H$6:$H$28,$P1781),INDEX(PARAMETROS_CULTURAS!$L$6:$L$28,$P1781),INDEX(PARAMETROS_CULTURAS!$L$6:$L$28,$P1781)+(INDEX(PARAMETROS_CULTURAS!$M$6:$M$28,$P1781)-INDEX(PARAMETROS_CULTURAS!$L$6:$L$28,$P1781))*($O1781-INDEX(PARAMETROS_CULTURAS!$F$6:$F$28,$P1781)-INDEX(PARAMETROS_CULTURAS!$G$6:$G$28,$P1781)-INDEX(PARAMETROS_CULTURAS!$H$6:$H$28,$P1781))/MAX(INDEX(PARAMETROS_CULTURAS!$I$6:$I$28,$P1781),0.0001)))))</f>
        <v>0</v>
      </c>
      <c r="S1781" s="18" t="n">
        <f aca="false">IFERROR(INDEX(SEMANAS!$H$6:$H$71,MATCH($B1781,SEMANAS!$B$6:$B$71,0)),0)</f>
        <v>39.2</v>
      </c>
      <c r="T1781" s="18" t="n">
        <f aca="false">$R1781*$S1781</f>
        <v>0</v>
      </c>
      <c r="U1781" s="18" t="n">
        <f aca="false">IFERROR(INDEX(SEMANAS!$I$6:$I$71,MATCH($B1781,SEMANAS!$B$6:$B$71,0)),0)</f>
        <v>27.09</v>
      </c>
      <c r="V1781" s="18" t="n">
        <f aca="false">IFERROR(INDEX(SEMANAS!$J$6:$J$71,MATCH($B1781,SEMANAS!$B$6:$B$71,0)),0)</f>
        <v>21.672</v>
      </c>
      <c r="W1781" s="18" t="n">
        <f aca="false">MAX(0,$T1781-$V1781)</f>
        <v>0</v>
      </c>
      <c r="X1781" s="19" t="n">
        <f aca="false">IFERROR(INDEX(CADASTRO_PIVOS!$K$6:$K$41,MATCH($E1781,CADASTRO_PIVOS!$B$6:$B$41,0)),EFICIENCIA_PADRAO)</f>
        <v>0.85</v>
      </c>
      <c r="Y1781" s="18" t="n">
        <f aca="false">IF($X1781&lt;=0,0,$W1781/$X1781)</f>
        <v>0</v>
      </c>
      <c r="Z1781" s="16" t="n">
        <f aca="false">$Y1781*$H1781*MM_PARA_M3_HA</f>
        <v>0</v>
      </c>
      <c r="AA1781" s="18" t="n">
        <f aca="false">IFERROR(INDEX(CADASTRO_PIVOS!$I$6:$I$41,MATCH($E1781,CADASTRO_PIVOS!$B$6:$B$41,0)),0)</f>
        <v>1071</v>
      </c>
      <c r="AB1781" s="18" t="n">
        <f aca="false">IF($Z1781&lt;=0,0,$Z1781/$AA1781)</f>
        <v>0</v>
      </c>
      <c r="AC1781" s="16" t="n">
        <f aca="false">IFERROR(INDEX(SEMANAS!$K$6:$K$71,MATCH($B1781,SEMANAS!$B$6:$B$71,0)),0)</f>
        <v>147</v>
      </c>
      <c r="AD1781" s="19" t="n">
        <f aca="false">IF($AC1781&lt;=0,0,$AB1781/$AC1781)</f>
        <v>0</v>
      </c>
      <c r="AE1781" s="8" t="str">
        <f aca="false">IF($K1781="SEM CULTURA","SEM CULTURA",IF($AA1781&lt;=0,"DADO PENDENTE",IF($AD1781&gt;LIMITE_CRITICO,"INVIAVEL",IF($AD1781&gt;LIMITE_ATENCAO,"CRITICO",IF($AD1781&gt;LIMITE_CONFORTAVEL,"ATENCAO","OK")))))</f>
        <v>SEM CULTURA</v>
      </c>
      <c r="AF1781" s="8" t="str">
        <f aca="false">$B1781&amp;"|"&amp;TEXT($AD1781,"0.000000")</f>
        <v>60|0.000000</v>
      </c>
      <c r="AG1781" s="18" t="n">
        <f aca="false">IF($K1781="SEM CULTURA",0,$T1781*$H1781)</f>
        <v>0</v>
      </c>
      <c r="AH1781" s="18" t="n">
        <f aca="false">IF($K1781="SEM CULTURA",0,$V1781*$H1781)</f>
        <v>0</v>
      </c>
      <c r="AI1781" s="18" t="n">
        <f aca="false">IF($K1781="SEM CULTURA",0,$W1781*$H1781)</f>
        <v>0</v>
      </c>
      <c r="AJ1781" s="18" t="n">
        <f aca="false">IF($K1781="SEM CULTURA",0,$S1781*$H1781)</f>
        <v>0</v>
      </c>
      <c r="AK1781" s="8" t="str">
        <f aca="false">$E1781&amp;"|"&amp;TEXT($AD1781,"0.000000")</f>
        <v>PV 123|0.000000</v>
      </c>
    </row>
    <row r="1782" customFormat="false" ht="15" hidden="false" customHeight="false" outlineLevel="0" collapsed="false">
      <c r="B1782" s="16" t="n">
        <v>61</v>
      </c>
      <c r="C1782" s="17" t="n">
        <f aca="false">DATA_INICIO_SAFRA+($B1782-1)*DIAS_POR_SEMANA</f>
        <v>46685</v>
      </c>
      <c r="D1782" s="17" t="n">
        <f aca="false">$C1782+DIAS_POR_SEMANA-1</f>
        <v>46691</v>
      </c>
      <c r="E1782" s="15" t="s">
        <v>285</v>
      </c>
      <c r="F1782" s="8" t="str">
        <f aca="false">IFERROR(INDEX(CADASTRO_PIVOS!$C$6:$C$41,MATCH($E1782,CADASTRO_PIVOS!$B$6:$B$41,0)),"?")</f>
        <v>RM07</v>
      </c>
      <c r="G1782" s="8" t="str">
        <f aca="false">IFERROR(INDEX(CADASTRO_PIVOS!$D$6:$D$41,MATCH($E1782,CADASTRO_PIVOS!$B$6:$B$41,0)),"?")</f>
        <v>TR07</v>
      </c>
      <c r="H1782" s="20" t="n">
        <f aca="false">IFERROR(INDEX(CADASTRO_PIVOS!$E$6:$E$41,MATCH($E1782,CADASTRO_PIVOS!$B$6:$B$41,0)),0)</f>
        <v>149.94</v>
      </c>
      <c r="I1782" s="16" t="n">
        <f aca="false">IFERROR(SUMIFS(ROTACAO_RDM!$B$6:$B$71,ROTACAO_RDM!$D$6:$D$71,$E1782,ROTACAO_RDM!$I$6:$I$71,"&lt;="&amp;$C1782+INT(DIAS_POR_SEMANA/2),ROTACAO_RDM!$J$6:$J$71,"&gt;="&amp;$C1782+INT(DIAS_POR_SEMANA/2)),0)</f>
        <v>0</v>
      </c>
      <c r="J1782" s="16" t="n">
        <f aca="false">IFERROR(MATCH($I1782,ROTACAO_RDM!$B$6:$B$71,0),0)</f>
        <v>0</v>
      </c>
      <c r="K1782" s="8" t="str">
        <f aca="false">IF($J1782=0,"SEM CULTURA",INDEX(ROTACAO_RDM!$F$6:$F$71,$J1782))</f>
        <v>SEM CULTURA</v>
      </c>
      <c r="L1782" s="8" t="str">
        <f aca="false">IF($J1782=0,"",INDEX(ROTACAO_RDM!$G$6:$G$71,$J1782))</f>
        <v/>
      </c>
      <c r="M1782" s="17" t="str">
        <f aca="false">IF($J1782=0,"",INDEX(ROTACAO_RDM!$I$6:$I$71,$J1782))</f>
        <v/>
      </c>
      <c r="N1782" s="16" t="n">
        <f aca="false">IF($J1782=0,0,MAX(0,$C1782+INT(DIAS_POR_SEMANA/2)-INDEX(ROTACAO_RDM!$I$6:$I$71,$J1782)))</f>
        <v>0</v>
      </c>
      <c r="O1782" s="19" t="n">
        <f aca="false">IF($J1782=0,0,MIN(1,$N1782/MAX(1,INDEX(ROTACAO_RDM!$K$6:$K$71,$J1782))))</f>
        <v>0</v>
      </c>
      <c r="P1782" s="16" t="n">
        <f aca="false">IF($J1782=0,0,IFERROR(MATCH(INDEX(ROTACAO_RDM!$N$6:$N$71,$J1782),PARAMETROS_CULTURAS!$B$6:$B$28,0),0))</f>
        <v>0</v>
      </c>
      <c r="Q1782" s="8" t="str">
        <f aca="false">IF($P1782=0,"-",IF($O1782&lt;=INDEX(PARAMETROS_CULTURAS!$F$6:$F$28,$P1782),"INICIAL",IF($O1782&lt;=INDEX(PARAMETROS_CULTURAS!$F$6:$F$28,$P1782)+INDEX(PARAMETROS_CULTURAS!$G$6:$G$28,$P1782),"DESENVOLVIMENTO",IF($O1782&lt;=INDEX(PARAMETROS_CULTURAS!$F$6:$F$28,$P1782)+INDEX(PARAMETROS_CULTURAS!$G$6:$G$28,$P1782)+INDEX(PARAMETROS_CULTURAS!$H$6:$H$28,$P1782),"MEDIA","FINAL"))))</f>
        <v>-</v>
      </c>
      <c r="R1782" s="24" t="n">
        <f aca="false">IF($P1782=0,0,IF($O1782&lt;=INDEX(PARAMETROS_CULTURAS!$F$6:$F$28,$P1782),INDEX(PARAMETROS_CULTURAS!$K$6:$K$28,$P1782),IF($O1782&lt;=INDEX(PARAMETROS_CULTURAS!$F$6:$F$28,$P1782)+INDEX(PARAMETROS_CULTURAS!$G$6:$G$28,$P1782),INDEX(PARAMETROS_CULTURAS!$K$6:$K$28,$P1782)+(INDEX(PARAMETROS_CULTURAS!$L$6:$L$28,$P1782)-INDEX(PARAMETROS_CULTURAS!$K$6:$K$28,$P1782))*($O1782-INDEX(PARAMETROS_CULTURAS!$F$6:$F$28,$P1782))/MAX(INDEX(PARAMETROS_CULTURAS!$G$6:$G$28,$P1782),0.0001),IF($O1782&lt;=INDEX(PARAMETROS_CULTURAS!$F$6:$F$28,$P1782)+INDEX(PARAMETROS_CULTURAS!$G$6:$G$28,$P1782)+INDEX(PARAMETROS_CULTURAS!$H$6:$H$28,$P1782),INDEX(PARAMETROS_CULTURAS!$L$6:$L$28,$P1782),INDEX(PARAMETROS_CULTURAS!$L$6:$L$28,$P1782)+(INDEX(PARAMETROS_CULTURAS!$M$6:$M$28,$P1782)-INDEX(PARAMETROS_CULTURAS!$L$6:$L$28,$P1782))*($O1782-INDEX(PARAMETROS_CULTURAS!$F$6:$F$28,$P1782)-INDEX(PARAMETROS_CULTURAS!$G$6:$G$28,$P1782)-INDEX(PARAMETROS_CULTURAS!$H$6:$H$28,$P1782))/MAX(INDEX(PARAMETROS_CULTURAS!$I$6:$I$28,$P1782),0.0001)))))</f>
        <v>0</v>
      </c>
      <c r="S1782" s="18" t="n">
        <f aca="false">IFERROR(INDEX(SEMANAS!$H$6:$H$71,MATCH($B1782,SEMANAS!$B$6:$B$71,0)),0)</f>
        <v>39.2</v>
      </c>
      <c r="T1782" s="18" t="n">
        <f aca="false">$R1782*$S1782</f>
        <v>0</v>
      </c>
      <c r="U1782" s="18" t="n">
        <f aca="false">IFERROR(INDEX(SEMANAS!$I$6:$I$71,MATCH($B1782,SEMANAS!$B$6:$B$71,0)),0)</f>
        <v>27.09</v>
      </c>
      <c r="V1782" s="18" t="n">
        <f aca="false">IFERROR(INDEX(SEMANAS!$J$6:$J$71,MATCH($B1782,SEMANAS!$B$6:$B$71,0)),0)</f>
        <v>21.672</v>
      </c>
      <c r="W1782" s="18" t="n">
        <f aca="false">MAX(0,$T1782-$V1782)</f>
        <v>0</v>
      </c>
      <c r="X1782" s="19" t="n">
        <f aca="false">IFERROR(INDEX(CADASTRO_PIVOS!$K$6:$K$41,MATCH($E1782,CADASTRO_PIVOS!$B$6:$B$41,0)),EFICIENCIA_PADRAO)</f>
        <v>0.85</v>
      </c>
      <c r="Y1782" s="18" t="n">
        <f aca="false">IF($X1782&lt;=0,0,$W1782/$X1782)</f>
        <v>0</v>
      </c>
      <c r="Z1782" s="16" t="n">
        <f aca="false">$Y1782*$H1782*MM_PARA_M3_HA</f>
        <v>0</v>
      </c>
      <c r="AA1782" s="18" t="n">
        <f aca="false">IFERROR(INDEX(CADASTRO_PIVOS!$I$6:$I$41,MATCH($E1782,CADASTRO_PIVOS!$B$6:$B$41,0)),0)</f>
        <v>1071</v>
      </c>
      <c r="AB1782" s="18" t="n">
        <f aca="false">IF($Z1782&lt;=0,0,$Z1782/$AA1782)</f>
        <v>0</v>
      </c>
      <c r="AC1782" s="16" t="n">
        <f aca="false">IFERROR(INDEX(SEMANAS!$K$6:$K$71,MATCH($B1782,SEMANAS!$B$6:$B$71,0)),0)</f>
        <v>147</v>
      </c>
      <c r="AD1782" s="19" t="n">
        <f aca="false">IF($AC1782&lt;=0,0,$AB1782/$AC1782)</f>
        <v>0</v>
      </c>
      <c r="AE1782" s="8" t="str">
        <f aca="false">IF($K1782="SEM CULTURA","SEM CULTURA",IF($AA1782&lt;=0,"DADO PENDENTE",IF($AD1782&gt;LIMITE_CRITICO,"INVIAVEL",IF($AD1782&gt;LIMITE_ATENCAO,"CRITICO",IF($AD1782&gt;LIMITE_CONFORTAVEL,"ATENCAO","OK")))))</f>
        <v>SEM CULTURA</v>
      </c>
      <c r="AF1782" s="8" t="str">
        <f aca="false">$B1782&amp;"|"&amp;TEXT($AD1782,"0.000000")</f>
        <v>61|0.000000</v>
      </c>
      <c r="AG1782" s="18" t="n">
        <f aca="false">IF($K1782="SEM CULTURA",0,$T1782*$H1782)</f>
        <v>0</v>
      </c>
      <c r="AH1782" s="18" t="n">
        <f aca="false">IF($K1782="SEM CULTURA",0,$V1782*$H1782)</f>
        <v>0</v>
      </c>
      <c r="AI1782" s="18" t="n">
        <f aca="false">IF($K1782="SEM CULTURA",0,$W1782*$H1782)</f>
        <v>0</v>
      </c>
      <c r="AJ1782" s="18" t="n">
        <f aca="false">IF($K1782="SEM CULTURA",0,$S1782*$H1782)</f>
        <v>0</v>
      </c>
      <c r="AK1782" s="8" t="str">
        <f aca="false">$E1782&amp;"|"&amp;TEXT($AD1782,"0.000000")</f>
        <v>PV 123|0.000000</v>
      </c>
    </row>
    <row r="1783" customFormat="false" ht="15" hidden="false" customHeight="false" outlineLevel="0" collapsed="false">
      <c r="B1783" s="16" t="n">
        <v>62</v>
      </c>
      <c r="C1783" s="17" t="n">
        <f aca="false">DATA_INICIO_SAFRA+($B1783-1)*DIAS_POR_SEMANA</f>
        <v>46692</v>
      </c>
      <c r="D1783" s="17" t="n">
        <f aca="false">$C1783+DIAS_POR_SEMANA-1</f>
        <v>46698</v>
      </c>
      <c r="E1783" s="15" t="s">
        <v>285</v>
      </c>
      <c r="F1783" s="8" t="str">
        <f aca="false">IFERROR(INDEX(CADASTRO_PIVOS!$C$6:$C$41,MATCH($E1783,CADASTRO_PIVOS!$B$6:$B$41,0)),"?")</f>
        <v>RM07</v>
      </c>
      <c r="G1783" s="8" t="str">
        <f aca="false">IFERROR(INDEX(CADASTRO_PIVOS!$D$6:$D$41,MATCH($E1783,CADASTRO_PIVOS!$B$6:$B$41,0)),"?")</f>
        <v>TR07</v>
      </c>
      <c r="H1783" s="20" t="n">
        <f aca="false">IFERROR(INDEX(CADASTRO_PIVOS!$E$6:$E$41,MATCH($E1783,CADASTRO_PIVOS!$B$6:$B$41,0)),0)</f>
        <v>149.94</v>
      </c>
      <c r="I1783" s="16" t="n">
        <f aca="false">IFERROR(SUMIFS(ROTACAO_RDM!$B$6:$B$71,ROTACAO_RDM!$D$6:$D$71,$E1783,ROTACAO_RDM!$I$6:$I$71,"&lt;="&amp;$C1783+INT(DIAS_POR_SEMANA/2),ROTACAO_RDM!$J$6:$J$71,"&gt;="&amp;$C1783+INT(DIAS_POR_SEMANA/2)),0)</f>
        <v>0</v>
      </c>
      <c r="J1783" s="16" t="n">
        <f aca="false">IFERROR(MATCH($I1783,ROTACAO_RDM!$B$6:$B$71,0),0)</f>
        <v>0</v>
      </c>
      <c r="K1783" s="8" t="str">
        <f aca="false">IF($J1783=0,"SEM CULTURA",INDEX(ROTACAO_RDM!$F$6:$F$71,$J1783))</f>
        <v>SEM CULTURA</v>
      </c>
      <c r="L1783" s="8" t="str">
        <f aca="false">IF($J1783=0,"",INDEX(ROTACAO_RDM!$G$6:$G$71,$J1783))</f>
        <v/>
      </c>
      <c r="M1783" s="17" t="str">
        <f aca="false">IF($J1783=0,"",INDEX(ROTACAO_RDM!$I$6:$I$71,$J1783))</f>
        <v/>
      </c>
      <c r="N1783" s="16" t="n">
        <f aca="false">IF($J1783=0,0,MAX(0,$C1783+INT(DIAS_POR_SEMANA/2)-INDEX(ROTACAO_RDM!$I$6:$I$71,$J1783)))</f>
        <v>0</v>
      </c>
      <c r="O1783" s="19" t="n">
        <f aca="false">IF($J1783=0,0,MIN(1,$N1783/MAX(1,INDEX(ROTACAO_RDM!$K$6:$K$71,$J1783))))</f>
        <v>0</v>
      </c>
      <c r="P1783" s="16" t="n">
        <f aca="false">IF($J1783=0,0,IFERROR(MATCH(INDEX(ROTACAO_RDM!$N$6:$N$71,$J1783),PARAMETROS_CULTURAS!$B$6:$B$28,0),0))</f>
        <v>0</v>
      </c>
      <c r="Q1783" s="8" t="str">
        <f aca="false">IF($P1783=0,"-",IF($O1783&lt;=INDEX(PARAMETROS_CULTURAS!$F$6:$F$28,$P1783),"INICIAL",IF($O1783&lt;=INDEX(PARAMETROS_CULTURAS!$F$6:$F$28,$P1783)+INDEX(PARAMETROS_CULTURAS!$G$6:$G$28,$P1783),"DESENVOLVIMENTO",IF($O1783&lt;=INDEX(PARAMETROS_CULTURAS!$F$6:$F$28,$P1783)+INDEX(PARAMETROS_CULTURAS!$G$6:$G$28,$P1783)+INDEX(PARAMETROS_CULTURAS!$H$6:$H$28,$P1783),"MEDIA","FINAL"))))</f>
        <v>-</v>
      </c>
      <c r="R1783" s="24" t="n">
        <f aca="false">IF($P1783=0,0,IF($O1783&lt;=INDEX(PARAMETROS_CULTURAS!$F$6:$F$28,$P1783),INDEX(PARAMETROS_CULTURAS!$K$6:$K$28,$P1783),IF($O1783&lt;=INDEX(PARAMETROS_CULTURAS!$F$6:$F$28,$P1783)+INDEX(PARAMETROS_CULTURAS!$G$6:$G$28,$P1783),INDEX(PARAMETROS_CULTURAS!$K$6:$K$28,$P1783)+(INDEX(PARAMETROS_CULTURAS!$L$6:$L$28,$P1783)-INDEX(PARAMETROS_CULTURAS!$K$6:$K$28,$P1783))*($O1783-INDEX(PARAMETROS_CULTURAS!$F$6:$F$28,$P1783))/MAX(INDEX(PARAMETROS_CULTURAS!$G$6:$G$28,$P1783),0.0001),IF($O1783&lt;=INDEX(PARAMETROS_CULTURAS!$F$6:$F$28,$P1783)+INDEX(PARAMETROS_CULTURAS!$G$6:$G$28,$P1783)+INDEX(PARAMETROS_CULTURAS!$H$6:$H$28,$P1783),INDEX(PARAMETROS_CULTURAS!$L$6:$L$28,$P1783),INDEX(PARAMETROS_CULTURAS!$L$6:$L$28,$P1783)+(INDEX(PARAMETROS_CULTURAS!$M$6:$M$28,$P1783)-INDEX(PARAMETROS_CULTURAS!$L$6:$L$28,$P1783))*($O1783-INDEX(PARAMETROS_CULTURAS!$F$6:$F$28,$P1783)-INDEX(PARAMETROS_CULTURAS!$G$6:$G$28,$P1783)-INDEX(PARAMETROS_CULTURAS!$H$6:$H$28,$P1783))/MAX(INDEX(PARAMETROS_CULTURAS!$I$6:$I$28,$P1783),0.0001)))))</f>
        <v>0</v>
      </c>
      <c r="S1783" s="18" t="n">
        <f aca="false">IFERROR(INDEX(SEMANAS!$H$6:$H$71,MATCH($B1783,SEMANAS!$B$6:$B$71,0)),0)</f>
        <v>34.3</v>
      </c>
      <c r="T1783" s="18" t="n">
        <f aca="false">$R1783*$S1783</f>
        <v>0</v>
      </c>
      <c r="U1783" s="18" t="n">
        <f aca="false">IFERROR(INDEX(SEMANAS!$I$6:$I$71,MATCH($B1783,SEMANAS!$B$6:$B$71,0)),0)</f>
        <v>46.69</v>
      </c>
      <c r="V1783" s="18" t="n">
        <f aca="false">IFERROR(INDEX(SEMANAS!$J$6:$J$71,MATCH($B1783,SEMANAS!$B$6:$B$71,0)),0)</f>
        <v>37.352</v>
      </c>
      <c r="W1783" s="18" t="n">
        <f aca="false">MAX(0,$T1783-$V1783)</f>
        <v>0</v>
      </c>
      <c r="X1783" s="19" t="n">
        <f aca="false">IFERROR(INDEX(CADASTRO_PIVOS!$K$6:$K$41,MATCH($E1783,CADASTRO_PIVOS!$B$6:$B$41,0)),EFICIENCIA_PADRAO)</f>
        <v>0.85</v>
      </c>
      <c r="Y1783" s="18" t="n">
        <f aca="false">IF($X1783&lt;=0,0,$W1783/$X1783)</f>
        <v>0</v>
      </c>
      <c r="Z1783" s="16" t="n">
        <f aca="false">$Y1783*$H1783*MM_PARA_M3_HA</f>
        <v>0</v>
      </c>
      <c r="AA1783" s="18" t="n">
        <f aca="false">IFERROR(INDEX(CADASTRO_PIVOS!$I$6:$I$41,MATCH($E1783,CADASTRO_PIVOS!$B$6:$B$41,0)),0)</f>
        <v>1071</v>
      </c>
      <c r="AB1783" s="18" t="n">
        <f aca="false">IF($Z1783&lt;=0,0,$Z1783/$AA1783)</f>
        <v>0</v>
      </c>
      <c r="AC1783" s="16" t="n">
        <f aca="false">IFERROR(INDEX(SEMANAS!$K$6:$K$71,MATCH($B1783,SEMANAS!$B$6:$B$71,0)),0)</f>
        <v>147</v>
      </c>
      <c r="AD1783" s="19" t="n">
        <f aca="false">IF($AC1783&lt;=0,0,$AB1783/$AC1783)</f>
        <v>0</v>
      </c>
      <c r="AE1783" s="8" t="str">
        <f aca="false">IF($K1783="SEM CULTURA","SEM CULTURA",IF($AA1783&lt;=0,"DADO PENDENTE",IF($AD1783&gt;LIMITE_CRITICO,"INVIAVEL",IF($AD1783&gt;LIMITE_ATENCAO,"CRITICO",IF($AD1783&gt;LIMITE_CONFORTAVEL,"ATENCAO","OK")))))</f>
        <v>SEM CULTURA</v>
      </c>
      <c r="AF1783" s="8" t="str">
        <f aca="false">$B1783&amp;"|"&amp;TEXT($AD1783,"0.000000")</f>
        <v>62|0.000000</v>
      </c>
      <c r="AG1783" s="18" t="n">
        <f aca="false">IF($K1783="SEM CULTURA",0,$T1783*$H1783)</f>
        <v>0</v>
      </c>
      <c r="AH1783" s="18" t="n">
        <f aca="false">IF($K1783="SEM CULTURA",0,$V1783*$H1783)</f>
        <v>0</v>
      </c>
      <c r="AI1783" s="18" t="n">
        <f aca="false">IF($K1783="SEM CULTURA",0,$W1783*$H1783)</f>
        <v>0</v>
      </c>
      <c r="AJ1783" s="18" t="n">
        <f aca="false">IF($K1783="SEM CULTURA",0,$S1783*$H1783)</f>
        <v>0</v>
      </c>
      <c r="AK1783" s="8" t="str">
        <f aca="false">$E1783&amp;"|"&amp;TEXT($AD1783,"0.000000")</f>
        <v>PV 123|0.000000</v>
      </c>
    </row>
    <row r="1784" customFormat="false" ht="15" hidden="false" customHeight="false" outlineLevel="0" collapsed="false">
      <c r="B1784" s="16" t="n">
        <v>63</v>
      </c>
      <c r="C1784" s="17" t="n">
        <f aca="false">DATA_INICIO_SAFRA+($B1784-1)*DIAS_POR_SEMANA</f>
        <v>46699</v>
      </c>
      <c r="D1784" s="17" t="n">
        <f aca="false">$C1784+DIAS_POR_SEMANA-1</f>
        <v>46705</v>
      </c>
      <c r="E1784" s="15" t="s">
        <v>285</v>
      </c>
      <c r="F1784" s="8" t="str">
        <f aca="false">IFERROR(INDEX(CADASTRO_PIVOS!$C$6:$C$41,MATCH($E1784,CADASTRO_PIVOS!$B$6:$B$41,0)),"?")</f>
        <v>RM07</v>
      </c>
      <c r="G1784" s="8" t="str">
        <f aca="false">IFERROR(INDEX(CADASTRO_PIVOS!$D$6:$D$41,MATCH($E1784,CADASTRO_PIVOS!$B$6:$B$41,0)),"?")</f>
        <v>TR07</v>
      </c>
      <c r="H1784" s="20" t="n">
        <f aca="false">IFERROR(INDEX(CADASTRO_PIVOS!$E$6:$E$41,MATCH($E1784,CADASTRO_PIVOS!$B$6:$B$41,0)),0)</f>
        <v>149.94</v>
      </c>
      <c r="I1784" s="16" t="n">
        <f aca="false">IFERROR(SUMIFS(ROTACAO_RDM!$B$6:$B$71,ROTACAO_RDM!$D$6:$D$71,$E1784,ROTACAO_RDM!$I$6:$I$71,"&lt;="&amp;$C1784+INT(DIAS_POR_SEMANA/2),ROTACAO_RDM!$J$6:$J$71,"&gt;="&amp;$C1784+INT(DIAS_POR_SEMANA/2)),0)</f>
        <v>0</v>
      </c>
      <c r="J1784" s="16" t="n">
        <f aca="false">IFERROR(MATCH($I1784,ROTACAO_RDM!$B$6:$B$71,0),0)</f>
        <v>0</v>
      </c>
      <c r="K1784" s="8" t="str">
        <f aca="false">IF($J1784=0,"SEM CULTURA",INDEX(ROTACAO_RDM!$F$6:$F$71,$J1784))</f>
        <v>SEM CULTURA</v>
      </c>
      <c r="L1784" s="8" t="str">
        <f aca="false">IF($J1784=0,"",INDEX(ROTACAO_RDM!$G$6:$G$71,$J1784))</f>
        <v/>
      </c>
      <c r="M1784" s="17" t="str">
        <f aca="false">IF($J1784=0,"",INDEX(ROTACAO_RDM!$I$6:$I$71,$J1784))</f>
        <v/>
      </c>
      <c r="N1784" s="16" t="n">
        <f aca="false">IF($J1784=0,0,MAX(0,$C1784+INT(DIAS_POR_SEMANA/2)-INDEX(ROTACAO_RDM!$I$6:$I$71,$J1784)))</f>
        <v>0</v>
      </c>
      <c r="O1784" s="19" t="n">
        <f aca="false">IF($J1784=0,0,MIN(1,$N1784/MAX(1,INDEX(ROTACAO_RDM!$K$6:$K$71,$J1784))))</f>
        <v>0</v>
      </c>
      <c r="P1784" s="16" t="n">
        <f aca="false">IF($J1784=0,0,IFERROR(MATCH(INDEX(ROTACAO_RDM!$N$6:$N$71,$J1784),PARAMETROS_CULTURAS!$B$6:$B$28,0),0))</f>
        <v>0</v>
      </c>
      <c r="Q1784" s="8" t="str">
        <f aca="false">IF($P1784=0,"-",IF($O1784&lt;=INDEX(PARAMETROS_CULTURAS!$F$6:$F$28,$P1784),"INICIAL",IF($O1784&lt;=INDEX(PARAMETROS_CULTURAS!$F$6:$F$28,$P1784)+INDEX(PARAMETROS_CULTURAS!$G$6:$G$28,$P1784),"DESENVOLVIMENTO",IF($O1784&lt;=INDEX(PARAMETROS_CULTURAS!$F$6:$F$28,$P1784)+INDEX(PARAMETROS_CULTURAS!$G$6:$G$28,$P1784)+INDEX(PARAMETROS_CULTURAS!$H$6:$H$28,$P1784),"MEDIA","FINAL"))))</f>
        <v>-</v>
      </c>
      <c r="R1784" s="24" t="n">
        <f aca="false">IF($P1784=0,0,IF($O1784&lt;=INDEX(PARAMETROS_CULTURAS!$F$6:$F$28,$P1784),INDEX(PARAMETROS_CULTURAS!$K$6:$K$28,$P1784),IF($O1784&lt;=INDEX(PARAMETROS_CULTURAS!$F$6:$F$28,$P1784)+INDEX(PARAMETROS_CULTURAS!$G$6:$G$28,$P1784),INDEX(PARAMETROS_CULTURAS!$K$6:$K$28,$P1784)+(INDEX(PARAMETROS_CULTURAS!$L$6:$L$28,$P1784)-INDEX(PARAMETROS_CULTURAS!$K$6:$K$28,$P1784))*($O1784-INDEX(PARAMETROS_CULTURAS!$F$6:$F$28,$P1784))/MAX(INDEX(PARAMETROS_CULTURAS!$G$6:$G$28,$P1784),0.0001),IF($O1784&lt;=INDEX(PARAMETROS_CULTURAS!$F$6:$F$28,$P1784)+INDEX(PARAMETROS_CULTURAS!$G$6:$G$28,$P1784)+INDEX(PARAMETROS_CULTURAS!$H$6:$H$28,$P1784),INDEX(PARAMETROS_CULTURAS!$L$6:$L$28,$P1784),INDEX(PARAMETROS_CULTURAS!$L$6:$L$28,$P1784)+(INDEX(PARAMETROS_CULTURAS!$M$6:$M$28,$P1784)-INDEX(PARAMETROS_CULTURAS!$L$6:$L$28,$P1784))*($O1784-INDEX(PARAMETROS_CULTURAS!$F$6:$F$28,$P1784)-INDEX(PARAMETROS_CULTURAS!$G$6:$G$28,$P1784)-INDEX(PARAMETROS_CULTURAS!$H$6:$H$28,$P1784))/MAX(INDEX(PARAMETROS_CULTURAS!$I$6:$I$28,$P1784),0.0001)))))</f>
        <v>0</v>
      </c>
      <c r="S1784" s="18" t="n">
        <f aca="false">IFERROR(INDEX(SEMANAS!$H$6:$H$71,MATCH($B1784,SEMANAS!$B$6:$B$71,0)),0)</f>
        <v>34.3</v>
      </c>
      <c r="T1784" s="18" t="n">
        <f aca="false">$R1784*$S1784</f>
        <v>0</v>
      </c>
      <c r="U1784" s="18" t="n">
        <f aca="false">IFERROR(INDEX(SEMANAS!$I$6:$I$71,MATCH($B1784,SEMANAS!$B$6:$B$71,0)),0)</f>
        <v>46.69</v>
      </c>
      <c r="V1784" s="18" t="n">
        <f aca="false">IFERROR(INDEX(SEMANAS!$J$6:$J$71,MATCH($B1784,SEMANAS!$B$6:$B$71,0)),0)</f>
        <v>37.352</v>
      </c>
      <c r="W1784" s="18" t="n">
        <f aca="false">MAX(0,$T1784-$V1784)</f>
        <v>0</v>
      </c>
      <c r="X1784" s="19" t="n">
        <f aca="false">IFERROR(INDEX(CADASTRO_PIVOS!$K$6:$K$41,MATCH($E1784,CADASTRO_PIVOS!$B$6:$B$41,0)),EFICIENCIA_PADRAO)</f>
        <v>0.85</v>
      </c>
      <c r="Y1784" s="18" t="n">
        <f aca="false">IF($X1784&lt;=0,0,$W1784/$X1784)</f>
        <v>0</v>
      </c>
      <c r="Z1784" s="16" t="n">
        <f aca="false">$Y1784*$H1784*MM_PARA_M3_HA</f>
        <v>0</v>
      </c>
      <c r="AA1784" s="18" t="n">
        <f aca="false">IFERROR(INDEX(CADASTRO_PIVOS!$I$6:$I$41,MATCH($E1784,CADASTRO_PIVOS!$B$6:$B$41,0)),0)</f>
        <v>1071</v>
      </c>
      <c r="AB1784" s="18" t="n">
        <f aca="false">IF($Z1784&lt;=0,0,$Z1784/$AA1784)</f>
        <v>0</v>
      </c>
      <c r="AC1784" s="16" t="n">
        <f aca="false">IFERROR(INDEX(SEMANAS!$K$6:$K$71,MATCH($B1784,SEMANAS!$B$6:$B$71,0)),0)</f>
        <v>147</v>
      </c>
      <c r="AD1784" s="19" t="n">
        <f aca="false">IF($AC1784&lt;=0,0,$AB1784/$AC1784)</f>
        <v>0</v>
      </c>
      <c r="AE1784" s="8" t="str">
        <f aca="false">IF($K1784="SEM CULTURA","SEM CULTURA",IF($AA1784&lt;=0,"DADO PENDENTE",IF($AD1784&gt;LIMITE_CRITICO,"INVIAVEL",IF($AD1784&gt;LIMITE_ATENCAO,"CRITICO",IF($AD1784&gt;LIMITE_CONFORTAVEL,"ATENCAO","OK")))))</f>
        <v>SEM CULTURA</v>
      </c>
      <c r="AF1784" s="8" t="str">
        <f aca="false">$B1784&amp;"|"&amp;TEXT($AD1784,"0.000000")</f>
        <v>63|0.000000</v>
      </c>
      <c r="AG1784" s="18" t="n">
        <f aca="false">IF($K1784="SEM CULTURA",0,$T1784*$H1784)</f>
        <v>0</v>
      </c>
      <c r="AH1784" s="18" t="n">
        <f aca="false">IF($K1784="SEM CULTURA",0,$V1784*$H1784)</f>
        <v>0</v>
      </c>
      <c r="AI1784" s="18" t="n">
        <f aca="false">IF($K1784="SEM CULTURA",0,$W1784*$H1784)</f>
        <v>0</v>
      </c>
      <c r="AJ1784" s="18" t="n">
        <f aca="false">IF($K1784="SEM CULTURA",0,$S1784*$H1784)</f>
        <v>0</v>
      </c>
      <c r="AK1784" s="8" t="str">
        <f aca="false">$E1784&amp;"|"&amp;TEXT($AD1784,"0.000000")</f>
        <v>PV 123|0.000000</v>
      </c>
    </row>
    <row r="1785" customFormat="false" ht="15" hidden="false" customHeight="false" outlineLevel="0" collapsed="false">
      <c r="B1785" s="16" t="n">
        <v>64</v>
      </c>
      <c r="C1785" s="17" t="n">
        <f aca="false">DATA_INICIO_SAFRA+($B1785-1)*DIAS_POR_SEMANA</f>
        <v>46706</v>
      </c>
      <c r="D1785" s="17" t="n">
        <f aca="false">$C1785+DIAS_POR_SEMANA-1</f>
        <v>46712</v>
      </c>
      <c r="E1785" s="15" t="s">
        <v>285</v>
      </c>
      <c r="F1785" s="8" t="str">
        <f aca="false">IFERROR(INDEX(CADASTRO_PIVOS!$C$6:$C$41,MATCH($E1785,CADASTRO_PIVOS!$B$6:$B$41,0)),"?")</f>
        <v>RM07</v>
      </c>
      <c r="G1785" s="8" t="str">
        <f aca="false">IFERROR(INDEX(CADASTRO_PIVOS!$D$6:$D$41,MATCH($E1785,CADASTRO_PIVOS!$B$6:$B$41,0)),"?")</f>
        <v>TR07</v>
      </c>
      <c r="H1785" s="20" t="n">
        <f aca="false">IFERROR(INDEX(CADASTRO_PIVOS!$E$6:$E$41,MATCH($E1785,CADASTRO_PIVOS!$B$6:$B$41,0)),0)</f>
        <v>149.94</v>
      </c>
      <c r="I1785" s="16" t="n">
        <f aca="false">IFERROR(SUMIFS(ROTACAO_RDM!$B$6:$B$71,ROTACAO_RDM!$D$6:$D$71,$E1785,ROTACAO_RDM!$I$6:$I$71,"&lt;="&amp;$C1785+INT(DIAS_POR_SEMANA/2),ROTACAO_RDM!$J$6:$J$71,"&gt;="&amp;$C1785+INT(DIAS_POR_SEMANA/2)),0)</f>
        <v>0</v>
      </c>
      <c r="J1785" s="16" t="n">
        <f aca="false">IFERROR(MATCH($I1785,ROTACAO_RDM!$B$6:$B$71,0),0)</f>
        <v>0</v>
      </c>
      <c r="K1785" s="8" t="str">
        <f aca="false">IF($J1785=0,"SEM CULTURA",INDEX(ROTACAO_RDM!$F$6:$F$71,$J1785))</f>
        <v>SEM CULTURA</v>
      </c>
      <c r="L1785" s="8" t="str">
        <f aca="false">IF($J1785=0,"",INDEX(ROTACAO_RDM!$G$6:$G$71,$J1785))</f>
        <v/>
      </c>
      <c r="M1785" s="17" t="str">
        <f aca="false">IF($J1785=0,"",INDEX(ROTACAO_RDM!$I$6:$I$71,$J1785))</f>
        <v/>
      </c>
      <c r="N1785" s="16" t="n">
        <f aca="false">IF($J1785=0,0,MAX(0,$C1785+INT(DIAS_POR_SEMANA/2)-INDEX(ROTACAO_RDM!$I$6:$I$71,$J1785)))</f>
        <v>0</v>
      </c>
      <c r="O1785" s="19" t="n">
        <f aca="false">IF($J1785=0,0,MIN(1,$N1785/MAX(1,INDEX(ROTACAO_RDM!$K$6:$K$71,$J1785))))</f>
        <v>0</v>
      </c>
      <c r="P1785" s="16" t="n">
        <f aca="false">IF($J1785=0,0,IFERROR(MATCH(INDEX(ROTACAO_RDM!$N$6:$N$71,$J1785),PARAMETROS_CULTURAS!$B$6:$B$28,0),0))</f>
        <v>0</v>
      </c>
      <c r="Q1785" s="8" t="str">
        <f aca="false">IF($P1785=0,"-",IF($O1785&lt;=INDEX(PARAMETROS_CULTURAS!$F$6:$F$28,$P1785),"INICIAL",IF($O1785&lt;=INDEX(PARAMETROS_CULTURAS!$F$6:$F$28,$P1785)+INDEX(PARAMETROS_CULTURAS!$G$6:$G$28,$P1785),"DESENVOLVIMENTO",IF($O1785&lt;=INDEX(PARAMETROS_CULTURAS!$F$6:$F$28,$P1785)+INDEX(PARAMETROS_CULTURAS!$G$6:$G$28,$P1785)+INDEX(PARAMETROS_CULTURAS!$H$6:$H$28,$P1785),"MEDIA","FINAL"))))</f>
        <v>-</v>
      </c>
      <c r="R1785" s="24" t="n">
        <f aca="false">IF($P1785=0,0,IF($O1785&lt;=INDEX(PARAMETROS_CULTURAS!$F$6:$F$28,$P1785),INDEX(PARAMETROS_CULTURAS!$K$6:$K$28,$P1785),IF($O1785&lt;=INDEX(PARAMETROS_CULTURAS!$F$6:$F$28,$P1785)+INDEX(PARAMETROS_CULTURAS!$G$6:$G$28,$P1785),INDEX(PARAMETROS_CULTURAS!$K$6:$K$28,$P1785)+(INDEX(PARAMETROS_CULTURAS!$L$6:$L$28,$P1785)-INDEX(PARAMETROS_CULTURAS!$K$6:$K$28,$P1785))*($O1785-INDEX(PARAMETROS_CULTURAS!$F$6:$F$28,$P1785))/MAX(INDEX(PARAMETROS_CULTURAS!$G$6:$G$28,$P1785),0.0001),IF($O1785&lt;=INDEX(PARAMETROS_CULTURAS!$F$6:$F$28,$P1785)+INDEX(PARAMETROS_CULTURAS!$G$6:$G$28,$P1785)+INDEX(PARAMETROS_CULTURAS!$H$6:$H$28,$P1785),INDEX(PARAMETROS_CULTURAS!$L$6:$L$28,$P1785),INDEX(PARAMETROS_CULTURAS!$L$6:$L$28,$P1785)+(INDEX(PARAMETROS_CULTURAS!$M$6:$M$28,$P1785)-INDEX(PARAMETROS_CULTURAS!$L$6:$L$28,$P1785))*($O1785-INDEX(PARAMETROS_CULTURAS!$F$6:$F$28,$P1785)-INDEX(PARAMETROS_CULTURAS!$G$6:$G$28,$P1785)-INDEX(PARAMETROS_CULTURAS!$H$6:$H$28,$P1785))/MAX(INDEX(PARAMETROS_CULTURAS!$I$6:$I$28,$P1785),0.0001)))))</f>
        <v>0</v>
      </c>
      <c r="S1785" s="18" t="n">
        <f aca="false">IFERROR(INDEX(SEMANAS!$H$6:$H$71,MATCH($B1785,SEMANAS!$B$6:$B$71,0)),0)</f>
        <v>34.3</v>
      </c>
      <c r="T1785" s="18" t="n">
        <f aca="false">$R1785*$S1785</f>
        <v>0</v>
      </c>
      <c r="U1785" s="18" t="n">
        <f aca="false">IFERROR(INDEX(SEMANAS!$I$6:$I$71,MATCH($B1785,SEMANAS!$B$6:$B$71,0)),0)</f>
        <v>46.69</v>
      </c>
      <c r="V1785" s="18" t="n">
        <f aca="false">IFERROR(INDEX(SEMANAS!$J$6:$J$71,MATCH($B1785,SEMANAS!$B$6:$B$71,0)),0)</f>
        <v>37.352</v>
      </c>
      <c r="W1785" s="18" t="n">
        <f aca="false">MAX(0,$T1785-$V1785)</f>
        <v>0</v>
      </c>
      <c r="X1785" s="19" t="n">
        <f aca="false">IFERROR(INDEX(CADASTRO_PIVOS!$K$6:$K$41,MATCH($E1785,CADASTRO_PIVOS!$B$6:$B$41,0)),EFICIENCIA_PADRAO)</f>
        <v>0.85</v>
      </c>
      <c r="Y1785" s="18" t="n">
        <f aca="false">IF($X1785&lt;=0,0,$W1785/$X1785)</f>
        <v>0</v>
      </c>
      <c r="Z1785" s="16" t="n">
        <f aca="false">$Y1785*$H1785*MM_PARA_M3_HA</f>
        <v>0</v>
      </c>
      <c r="AA1785" s="18" t="n">
        <f aca="false">IFERROR(INDEX(CADASTRO_PIVOS!$I$6:$I$41,MATCH($E1785,CADASTRO_PIVOS!$B$6:$B$41,0)),0)</f>
        <v>1071</v>
      </c>
      <c r="AB1785" s="18" t="n">
        <f aca="false">IF($Z1785&lt;=0,0,$Z1785/$AA1785)</f>
        <v>0</v>
      </c>
      <c r="AC1785" s="16" t="n">
        <f aca="false">IFERROR(INDEX(SEMANAS!$K$6:$K$71,MATCH($B1785,SEMANAS!$B$6:$B$71,0)),0)</f>
        <v>147</v>
      </c>
      <c r="AD1785" s="19" t="n">
        <f aca="false">IF($AC1785&lt;=0,0,$AB1785/$AC1785)</f>
        <v>0</v>
      </c>
      <c r="AE1785" s="8" t="str">
        <f aca="false">IF($K1785="SEM CULTURA","SEM CULTURA",IF($AA1785&lt;=0,"DADO PENDENTE",IF($AD1785&gt;LIMITE_CRITICO,"INVIAVEL",IF($AD1785&gt;LIMITE_ATENCAO,"CRITICO",IF($AD1785&gt;LIMITE_CONFORTAVEL,"ATENCAO","OK")))))</f>
        <v>SEM CULTURA</v>
      </c>
      <c r="AF1785" s="8" t="str">
        <f aca="false">$B1785&amp;"|"&amp;TEXT($AD1785,"0.000000")</f>
        <v>64|0.000000</v>
      </c>
      <c r="AG1785" s="18" t="n">
        <f aca="false">IF($K1785="SEM CULTURA",0,$T1785*$H1785)</f>
        <v>0</v>
      </c>
      <c r="AH1785" s="18" t="n">
        <f aca="false">IF($K1785="SEM CULTURA",0,$V1785*$H1785)</f>
        <v>0</v>
      </c>
      <c r="AI1785" s="18" t="n">
        <f aca="false">IF($K1785="SEM CULTURA",0,$W1785*$H1785)</f>
        <v>0</v>
      </c>
      <c r="AJ1785" s="18" t="n">
        <f aca="false">IF($K1785="SEM CULTURA",0,$S1785*$H1785)</f>
        <v>0</v>
      </c>
      <c r="AK1785" s="8" t="str">
        <f aca="false">$E1785&amp;"|"&amp;TEXT($AD1785,"0.000000")</f>
        <v>PV 123|0.000000</v>
      </c>
    </row>
    <row r="1786" customFormat="false" ht="15" hidden="false" customHeight="false" outlineLevel="0" collapsed="false">
      <c r="B1786" s="16" t="n">
        <v>65</v>
      </c>
      <c r="C1786" s="17" t="n">
        <f aca="false">DATA_INICIO_SAFRA+($B1786-1)*DIAS_POR_SEMANA</f>
        <v>46713</v>
      </c>
      <c r="D1786" s="17" t="n">
        <f aca="false">$C1786+DIAS_POR_SEMANA-1</f>
        <v>46719</v>
      </c>
      <c r="E1786" s="15" t="s">
        <v>285</v>
      </c>
      <c r="F1786" s="8" t="str">
        <f aca="false">IFERROR(INDEX(CADASTRO_PIVOS!$C$6:$C$41,MATCH($E1786,CADASTRO_PIVOS!$B$6:$B$41,0)),"?")</f>
        <v>RM07</v>
      </c>
      <c r="G1786" s="8" t="str">
        <f aca="false">IFERROR(INDEX(CADASTRO_PIVOS!$D$6:$D$41,MATCH($E1786,CADASTRO_PIVOS!$B$6:$B$41,0)),"?")</f>
        <v>TR07</v>
      </c>
      <c r="H1786" s="20" t="n">
        <f aca="false">IFERROR(INDEX(CADASTRO_PIVOS!$E$6:$E$41,MATCH($E1786,CADASTRO_PIVOS!$B$6:$B$41,0)),0)</f>
        <v>149.94</v>
      </c>
      <c r="I1786" s="16" t="n">
        <f aca="false">IFERROR(SUMIFS(ROTACAO_RDM!$B$6:$B$71,ROTACAO_RDM!$D$6:$D$71,$E1786,ROTACAO_RDM!$I$6:$I$71,"&lt;="&amp;$C1786+INT(DIAS_POR_SEMANA/2),ROTACAO_RDM!$J$6:$J$71,"&gt;="&amp;$C1786+INT(DIAS_POR_SEMANA/2)),0)</f>
        <v>0</v>
      </c>
      <c r="J1786" s="16" t="n">
        <f aca="false">IFERROR(MATCH($I1786,ROTACAO_RDM!$B$6:$B$71,0),0)</f>
        <v>0</v>
      </c>
      <c r="K1786" s="8" t="str">
        <f aca="false">IF($J1786=0,"SEM CULTURA",INDEX(ROTACAO_RDM!$F$6:$F$71,$J1786))</f>
        <v>SEM CULTURA</v>
      </c>
      <c r="L1786" s="8" t="str">
        <f aca="false">IF($J1786=0,"",INDEX(ROTACAO_RDM!$G$6:$G$71,$J1786))</f>
        <v/>
      </c>
      <c r="M1786" s="17" t="str">
        <f aca="false">IF($J1786=0,"",INDEX(ROTACAO_RDM!$I$6:$I$71,$J1786))</f>
        <v/>
      </c>
      <c r="N1786" s="16" t="n">
        <f aca="false">IF($J1786=0,0,MAX(0,$C1786+INT(DIAS_POR_SEMANA/2)-INDEX(ROTACAO_RDM!$I$6:$I$71,$J1786)))</f>
        <v>0</v>
      </c>
      <c r="O1786" s="19" t="n">
        <f aca="false">IF($J1786=0,0,MIN(1,$N1786/MAX(1,INDEX(ROTACAO_RDM!$K$6:$K$71,$J1786))))</f>
        <v>0</v>
      </c>
      <c r="P1786" s="16" t="n">
        <f aca="false">IF($J1786=0,0,IFERROR(MATCH(INDEX(ROTACAO_RDM!$N$6:$N$71,$J1786),PARAMETROS_CULTURAS!$B$6:$B$28,0),0))</f>
        <v>0</v>
      </c>
      <c r="Q1786" s="8" t="str">
        <f aca="false">IF($P1786=0,"-",IF($O1786&lt;=INDEX(PARAMETROS_CULTURAS!$F$6:$F$28,$P1786),"INICIAL",IF($O1786&lt;=INDEX(PARAMETROS_CULTURAS!$F$6:$F$28,$P1786)+INDEX(PARAMETROS_CULTURAS!$G$6:$G$28,$P1786),"DESENVOLVIMENTO",IF($O1786&lt;=INDEX(PARAMETROS_CULTURAS!$F$6:$F$28,$P1786)+INDEX(PARAMETROS_CULTURAS!$G$6:$G$28,$P1786)+INDEX(PARAMETROS_CULTURAS!$H$6:$H$28,$P1786),"MEDIA","FINAL"))))</f>
        <v>-</v>
      </c>
      <c r="R1786" s="24" t="n">
        <f aca="false">IF($P1786=0,0,IF($O1786&lt;=INDEX(PARAMETROS_CULTURAS!$F$6:$F$28,$P1786),INDEX(PARAMETROS_CULTURAS!$K$6:$K$28,$P1786),IF($O1786&lt;=INDEX(PARAMETROS_CULTURAS!$F$6:$F$28,$P1786)+INDEX(PARAMETROS_CULTURAS!$G$6:$G$28,$P1786),INDEX(PARAMETROS_CULTURAS!$K$6:$K$28,$P1786)+(INDEX(PARAMETROS_CULTURAS!$L$6:$L$28,$P1786)-INDEX(PARAMETROS_CULTURAS!$K$6:$K$28,$P1786))*($O1786-INDEX(PARAMETROS_CULTURAS!$F$6:$F$28,$P1786))/MAX(INDEX(PARAMETROS_CULTURAS!$G$6:$G$28,$P1786),0.0001),IF($O1786&lt;=INDEX(PARAMETROS_CULTURAS!$F$6:$F$28,$P1786)+INDEX(PARAMETROS_CULTURAS!$G$6:$G$28,$P1786)+INDEX(PARAMETROS_CULTURAS!$H$6:$H$28,$P1786),INDEX(PARAMETROS_CULTURAS!$L$6:$L$28,$P1786),INDEX(PARAMETROS_CULTURAS!$L$6:$L$28,$P1786)+(INDEX(PARAMETROS_CULTURAS!$M$6:$M$28,$P1786)-INDEX(PARAMETROS_CULTURAS!$L$6:$L$28,$P1786))*($O1786-INDEX(PARAMETROS_CULTURAS!$F$6:$F$28,$P1786)-INDEX(PARAMETROS_CULTURAS!$G$6:$G$28,$P1786)-INDEX(PARAMETROS_CULTURAS!$H$6:$H$28,$P1786))/MAX(INDEX(PARAMETROS_CULTURAS!$I$6:$I$28,$P1786),0.0001)))))</f>
        <v>0</v>
      </c>
      <c r="S1786" s="18" t="n">
        <f aca="false">IFERROR(INDEX(SEMANAS!$H$6:$H$71,MATCH($B1786,SEMANAS!$B$6:$B$71,0)),0)</f>
        <v>34.3</v>
      </c>
      <c r="T1786" s="18" t="n">
        <f aca="false">$R1786*$S1786</f>
        <v>0</v>
      </c>
      <c r="U1786" s="18" t="n">
        <f aca="false">IFERROR(INDEX(SEMANAS!$I$6:$I$71,MATCH($B1786,SEMANAS!$B$6:$B$71,0)),0)</f>
        <v>46.69</v>
      </c>
      <c r="V1786" s="18" t="n">
        <f aca="false">IFERROR(INDEX(SEMANAS!$J$6:$J$71,MATCH($B1786,SEMANAS!$B$6:$B$71,0)),0)</f>
        <v>37.352</v>
      </c>
      <c r="W1786" s="18" t="n">
        <f aca="false">MAX(0,$T1786-$V1786)</f>
        <v>0</v>
      </c>
      <c r="X1786" s="19" t="n">
        <f aca="false">IFERROR(INDEX(CADASTRO_PIVOS!$K$6:$K$41,MATCH($E1786,CADASTRO_PIVOS!$B$6:$B$41,0)),EFICIENCIA_PADRAO)</f>
        <v>0.85</v>
      </c>
      <c r="Y1786" s="18" t="n">
        <f aca="false">IF($X1786&lt;=0,0,$W1786/$X1786)</f>
        <v>0</v>
      </c>
      <c r="Z1786" s="16" t="n">
        <f aca="false">$Y1786*$H1786*MM_PARA_M3_HA</f>
        <v>0</v>
      </c>
      <c r="AA1786" s="18" t="n">
        <f aca="false">IFERROR(INDEX(CADASTRO_PIVOS!$I$6:$I$41,MATCH($E1786,CADASTRO_PIVOS!$B$6:$B$41,0)),0)</f>
        <v>1071</v>
      </c>
      <c r="AB1786" s="18" t="n">
        <f aca="false">IF($Z1786&lt;=0,0,$Z1786/$AA1786)</f>
        <v>0</v>
      </c>
      <c r="AC1786" s="16" t="n">
        <f aca="false">IFERROR(INDEX(SEMANAS!$K$6:$K$71,MATCH($B1786,SEMANAS!$B$6:$B$71,0)),0)</f>
        <v>147</v>
      </c>
      <c r="AD1786" s="19" t="n">
        <f aca="false">IF($AC1786&lt;=0,0,$AB1786/$AC1786)</f>
        <v>0</v>
      </c>
      <c r="AE1786" s="8" t="str">
        <f aca="false">IF($K1786="SEM CULTURA","SEM CULTURA",IF($AA1786&lt;=0,"DADO PENDENTE",IF($AD1786&gt;LIMITE_CRITICO,"INVIAVEL",IF($AD1786&gt;LIMITE_ATENCAO,"CRITICO",IF($AD1786&gt;LIMITE_CONFORTAVEL,"ATENCAO","OK")))))</f>
        <v>SEM CULTURA</v>
      </c>
      <c r="AF1786" s="8" t="str">
        <f aca="false">$B1786&amp;"|"&amp;TEXT($AD1786,"0.000000")</f>
        <v>65|0.000000</v>
      </c>
      <c r="AG1786" s="18" t="n">
        <f aca="false">IF($K1786="SEM CULTURA",0,$T1786*$H1786)</f>
        <v>0</v>
      </c>
      <c r="AH1786" s="18" t="n">
        <f aca="false">IF($K1786="SEM CULTURA",0,$V1786*$H1786)</f>
        <v>0</v>
      </c>
      <c r="AI1786" s="18" t="n">
        <f aca="false">IF($K1786="SEM CULTURA",0,$W1786*$H1786)</f>
        <v>0</v>
      </c>
      <c r="AJ1786" s="18" t="n">
        <f aca="false">IF($K1786="SEM CULTURA",0,$S1786*$H1786)</f>
        <v>0</v>
      </c>
      <c r="AK1786" s="8" t="str">
        <f aca="false">$E1786&amp;"|"&amp;TEXT($AD1786,"0.000000")</f>
        <v>PV 123|0.000000</v>
      </c>
    </row>
    <row r="1787" customFormat="false" ht="15" hidden="false" customHeight="false" outlineLevel="0" collapsed="false">
      <c r="B1787" s="16" t="n">
        <v>66</v>
      </c>
      <c r="C1787" s="17" t="n">
        <f aca="false">DATA_INICIO_SAFRA+($B1787-1)*DIAS_POR_SEMANA</f>
        <v>46720</v>
      </c>
      <c r="D1787" s="17" t="n">
        <f aca="false">$C1787+DIAS_POR_SEMANA-1</f>
        <v>46726</v>
      </c>
      <c r="E1787" s="15" t="s">
        <v>285</v>
      </c>
      <c r="F1787" s="8" t="str">
        <f aca="false">IFERROR(INDEX(CADASTRO_PIVOS!$C$6:$C$41,MATCH($E1787,CADASTRO_PIVOS!$B$6:$B$41,0)),"?")</f>
        <v>RM07</v>
      </c>
      <c r="G1787" s="8" t="str">
        <f aca="false">IFERROR(INDEX(CADASTRO_PIVOS!$D$6:$D$41,MATCH($E1787,CADASTRO_PIVOS!$B$6:$B$41,0)),"?")</f>
        <v>TR07</v>
      </c>
      <c r="H1787" s="20" t="n">
        <f aca="false">IFERROR(INDEX(CADASTRO_PIVOS!$E$6:$E$41,MATCH($E1787,CADASTRO_PIVOS!$B$6:$B$41,0)),0)</f>
        <v>149.94</v>
      </c>
      <c r="I1787" s="16" t="n">
        <f aca="false">IFERROR(SUMIFS(ROTACAO_RDM!$B$6:$B$71,ROTACAO_RDM!$D$6:$D$71,$E1787,ROTACAO_RDM!$I$6:$I$71,"&lt;="&amp;$C1787+INT(DIAS_POR_SEMANA/2),ROTACAO_RDM!$J$6:$J$71,"&gt;="&amp;$C1787+INT(DIAS_POR_SEMANA/2)),0)</f>
        <v>0</v>
      </c>
      <c r="J1787" s="16" t="n">
        <f aca="false">IFERROR(MATCH($I1787,ROTACAO_RDM!$B$6:$B$71,0),0)</f>
        <v>0</v>
      </c>
      <c r="K1787" s="8" t="str">
        <f aca="false">IF($J1787=0,"SEM CULTURA",INDEX(ROTACAO_RDM!$F$6:$F$71,$J1787))</f>
        <v>SEM CULTURA</v>
      </c>
      <c r="L1787" s="8" t="str">
        <f aca="false">IF($J1787=0,"",INDEX(ROTACAO_RDM!$G$6:$G$71,$J1787))</f>
        <v/>
      </c>
      <c r="M1787" s="17" t="str">
        <f aca="false">IF($J1787=0,"",INDEX(ROTACAO_RDM!$I$6:$I$71,$J1787))</f>
        <v/>
      </c>
      <c r="N1787" s="16" t="n">
        <f aca="false">IF($J1787=0,0,MAX(0,$C1787+INT(DIAS_POR_SEMANA/2)-INDEX(ROTACAO_RDM!$I$6:$I$71,$J1787)))</f>
        <v>0</v>
      </c>
      <c r="O1787" s="19" t="n">
        <f aca="false">IF($J1787=0,0,MIN(1,$N1787/MAX(1,INDEX(ROTACAO_RDM!$K$6:$K$71,$J1787))))</f>
        <v>0</v>
      </c>
      <c r="P1787" s="16" t="n">
        <f aca="false">IF($J1787=0,0,IFERROR(MATCH(INDEX(ROTACAO_RDM!$N$6:$N$71,$J1787),PARAMETROS_CULTURAS!$B$6:$B$28,0),0))</f>
        <v>0</v>
      </c>
      <c r="Q1787" s="8" t="str">
        <f aca="false">IF($P1787=0,"-",IF($O1787&lt;=INDEX(PARAMETROS_CULTURAS!$F$6:$F$28,$P1787),"INICIAL",IF($O1787&lt;=INDEX(PARAMETROS_CULTURAS!$F$6:$F$28,$P1787)+INDEX(PARAMETROS_CULTURAS!$G$6:$G$28,$P1787),"DESENVOLVIMENTO",IF($O1787&lt;=INDEX(PARAMETROS_CULTURAS!$F$6:$F$28,$P1787)+INDEX(PARAMETROS_CULTURAS!$G$6:$G$28,$P1787)+INDEX(PARAMETROS_CULTURAS!$H$6:$H$28,$P1787),"MEDIA","FINAL"))))</f>
        <v>-</v>
      </c>
      <c r="R1787" s="24" t="n">
        <f aca="false">IF($P1787=0,0,IF($O1787&lt;=INDEX(PARAMETROS_CULTURAS!$F$6:$F$28,$P1787),INDEX(PARAMETROS_CULTURAS!$K$6:$K$28,$P1787),IF($O1787&lt;=INDEX(PARAMETROS_CULTURAS!$F$6:$F$28,$P1787)+INDEX(PARAMETROS_CULTURAS!$G$6:$G$28,$P1787),INDEX(PARAMETROS_CULTURAS!$K$6:$K$28,$P1787)+(INDEX(PARAMETROS_CULTURAS!$L$6:$L$28,$P1787)-INDEX(PARAMETROS_CULTURAS!$K$6:$K$28,$P1787))*($O1787-INDEX(PARAMETROS_CULTURAS!$F$6:$F$28,$P1787))/MAX(INDEX(PARAMETROS_CULTURAS!$G$6:$G$28,$P1787),0.0001),IF($O1787&lt;=INDEX(PARAMETROS_CULTURAS!$F$6:$F$28,$P1787)+INDEX(PARAMETROS_CULTURAS!$G$6:$G$28,$P1787)+INDEX(PARAMETROS_CULTURAS!$H$6:$H$28,$P1787),INDEX(PARAMETROS_CULTURAS!$L$6:$L$28,$P1787),INDEX(PARAMETROS_CULTURAS!$L$6:$L$28,$P1787)+(INDEX(PARAMETROS_CULTURAS!$M$6:$M$28,$P1787)-INDEX(PARAMETROS_CULTURAS!$L$6:$L$28,$P1787))*($O1787-INDEX(PARAMETROS_CULTURAS!$F$6:$F$28,$P1787)-INDEX(PARAMETROS_CULTURAS!$G$6:$G$28,$P1787)-INDEX(PARAMETROS_CULTURAS!$H$6:$H$28,$P1787))/MAX(INDEX(PARAMETROS_CULTURAS!$I$6:$I$28,$P1787),0.0001)))))</f>
        <v>0</v>
      </c>
      <c r="S1787" s="18" t="n">
        <f aca="false">IFERROR(INDEX(SEMANAS!$H$6:$H$71,MATCH($B1787,SEMANAS!$B$6:$B$71,0)),0)</f>
        <v>33.3</v>
      </c>
      <c r="T1787" s="18" t="n">
        <f aca="false">$R1787*$S1787</f>
        <v>0</v>
      </c>
      <c r="U1787" s="18" t="n">
        <f aca="false">IFERROR(INDEX(SEMANAS!$I$6:$I$71,MATCH($B1787,SEMANAS!$B$6:$B$71,0)),0)</f>
        <v>48.04</v>
      </c>
      <c r="V1787" s="18" t="n">
        <f aca="false">IFERROR(INDEX(SEMANAS!$J$6:$J$71,MATCH($B1787,SEMANAS!$B$6:$B$71,0)),0)</f>
        <v>38.432</v>
      </c>
      <c r="W1787" s="18" t="n">
        <f aca="false">MAX(0,$T1787-$V1787)</f>
        <v>0</v>
      </c>
      <c r="X1787" s="19" t="n">
        <f aca="false">IFERROR(INDEX(CADASTRO_PIVOS!$K$6:$K$41,MATCH($E1787,CADASTRO_PIVOS!$B$6:$B$41,0)),EFICIENCIA_PADRAO)</f>
        <v>0.85</v>
      </c>
      <c r="Y1787" s="18" t="n">
        <f aca="false">IF($X1787&lt;=0,0,$W1787/$X1787)</f>
        <v>0</v>
      </c>
      <c r="Z1787" s="16" t="n">
        <f aca="false">$Y1787*$H1787*MM_PARA_M3_HA</f>
        <v>0</v>
      </c>
      <c r="AA1787" s="18" t="n">
        <f aca="false">IFERROR(INDEX(CADASTRO_PIVOS!$I$6:$I$41,MATCH($E1787,CADASTRO_PIVOS!$B$6:$B$41,0)),0)</f>
        <v>1071</v>
      </c>
      <c r="AB1787" s="18" t="n">
        <f aca="false">IF($Z1787&lt;=0,0,$Z1787/$AA1787)</f>
        <v>0</v>
      </c>
      <c r="AC1787" s="16" t="n">
        <f aca="false">IFERROR(INDEX(SEMANAS!$K$6:$K$71,MATCH($B1787,SEMANAS!$B$6:$B$71,0)),0)</f>
        <v>147</v>
      </c>
      <c r="AD1787" s="19" t="n">
        <f aca="false">IF($AC1787&lt;=0,0,$AB1787/$AC1787)</f>
        <v>0</v>
      </c>
      <c r="AE1787" s="8" t="str">
        <f aca="false">IF($K1787="SEM CULTURA","SEM CULTURA",IF($AA1787&lt;=0,"DADO PENDENTE",IF($AD1787&gt;LIMITE_CRITICO,"INVIAVEL",IF($AD1787&gt;LIMITE_ATENCAO,"CRITICO",IF($AD1787&gt;LIMITE_CONFORTAVEL,"ATENCAO","OK")))))</f>
        <v>SEM CULTURA</v>
      </c>
      <c r="AF1787" s="8" t="str">
        <f aca="false">$B1787&amp;"|"&amp;TEXT($AD1787,"0.000000")</f>
        <v>66|0.000000</v>
      </c>
      <c r="AG1787" s="18" t="n">
        <f aca="false">IF($K1787="SEM CULTURA",0,$T1787*$H1787)</f>
        <v>0</v>
      </c>
      <c r="AH1787" s="18" t="n">
        <f aca="false">IF($K1787="SEM CULTURA",0,$V1787*$H1787)</f>
        <v>0</v>
      </c>
      <c r="AI1787" s="18" t="n">
        <f aca="false">IF($K1787="SEM CULTURA",0,$W1787*$H1787)</f>
        <v>0</v>
      </c>
      <c r="AJ1787" s="18" t="n">
        <f aca="false">IF($K1787="SEM CULTURA",0,$S1787*$H1787)</f>
        <v>0</v>
      </c>
      <c r="AK1787" s="8" t="str">
        <f aca="false">$E1787&amp;"|"&amp;TEXT($AD1787,"0.000000")</f>
        <v>PV 123|0.000000</v>
      </c>
    </row>
    <row r="1788" customFormat="false" ht="15" hidden="false" customHeight="false" outlineLevel="0" collapsed="false">
      <c r="B1788" s="16" t="n">
        <v>1</v>
      </c>
      <c r="C1788" s="17" t="n">
        <f aca="false">DATA_INICIO_SAFRA+($B1788-1)*DIAS_POR_SEMANA</f>
        <v>46265</v>
      </c>
      <c r="D1788" s="17" t="n">
        <f aca="false">$C1788+DIAS_POR_SEMANA-1</f>
        <v>46271</v>
      </c>
      <c r="E1788" s="15" t="s">
        <v>286</v>
      </c>
      <c r="F1788" s="8" t="str">
        <f aca="false">IFERROR(INDEX(CADASTRO_PIVOS!$C$6:$C$41,MATCH($E1788,CADASTRO_PIVOS!$B$6:$B$41,0)),"?")</f>
        <v>RM07</v>
      </c>
      <c r="G1788" s="8" t="str">
        <f aca="false">IFERROR(INDEX(CADASTRO_PIVOS!$D$6:$D$41,MATCH($E1788,CADASTRO_PIVOS!$B$6:$B$41,0)),"?")</f>
        <v>TR07</v>
      </c>
      <c r="H1788" s="20" t="n">
        <f aca="false">IFERROR(INDEX(CADASTRO_PIVOS!$E$6:$E$41,MATCH($E1788,CADASTRO_PIVOS!$B$6:$B$41,0)),0)</f>
        <v>149.94</v>
      </c>
      <c r="I1788" s="16" t="n">
        <f aca="false">IFERROR(SUMIFS(ROTACAO_RDM!$B$6:$B$71,ROTACAO_RDM!$D$6:$D$71,$E1788,ROTACAO_RDM!$I$6:$I$71,"&lt;="&amp;$C1788+INT(DIAS_POR_SEMANA/2),ROTACAO_RDM!$J$6:$J$71,"&gt;="&amp;$C1788+INT(DIAS_POR_SEMANA/2)),0)</f>
        <v>0</v>
      </c>
      <c r="J1788" s="16" t="n">
        <f aca="false">IFERROR(MATCH($I1788,ROTACAO_RDM!$B$6:$B$71,0),0)</f>
        <v>0</v>
      </c>
      <c r="K1788" s="8" t="str">
        <f aca="false">IF($J1788=0,"SEM CULTURA",INDEX(ROTACAO_RDM!$F$6:$F$71,$J1788))</f>
        <v>SEM CULTURA</v>
      </c>
      <c r="L1788" s="8" t="str">
        <f aca="false">IF($J1788=0,"",INDEX(ROTACAO_RDM!$G$6:$G$71,$J1788))</f>
        <v/>
      </c>
      <c r="M1788" s="17" t="str">
        <f aca="false">IF($J1788=0,"",INDEX(ROTACAO_RDM!$I$6:$I$71,$J1788))</f>
        <v/>
      </c>
      <c r="N1788" s="16" t="n">
        <f aca="false">IF($J1788=0,0,MAX(0,$C1788+INT(DIAS_POR_SEMANA/2)-INDEX(ROTACAO_RDM!$I$6:$I$71,$J1788)))</f>
        <v>0</v>
      </c>
      <c r="O1788" s="19" t="n">
        <f aca="false">IF($J1788=0,0,MIN(1,$N1788/MAX(1,INDEX(ROTACAO_RDM!$K$6:$K$71,$J1788))))</f>
        <v>0</v>
      </c>
      <c r="P1788" s="16" t="n">
        <f aca="false">IF($J1788=0,0,IFERROR(MATCH(INDEX(ROTACAO_RDM!$N$6:$N$71,$J1788),PARAMETROS_CULTURAS!$B$6:$B$28,0),0))</f>
        <v>0</v>
      </c>
      <c r="Q1788" s="8" t="str">
        <f aca="false">IF($P1788=0,"-",IF($O1788&lt;=INDEX(PARAMETROS_CULTURAS!$F$6:$F$28,$P1788),"INICIAL",IF($O1788&lt;=INDEX(PARAMETROS_CULTURAS!$F$6:$F$28,$P1788)+INDEX(PARAMETROS_CULTURAS!$G$6:$G$28,$P1788),"DESENVOLVIMENTO",IF($O1788&lt;=INDEX(PARAMETROS_CULTURAS!$F$6:$F$28,$P1788)+INDEX(PARAMETROS_CULTURAS!$G$6:$G$28,$P1788)+INDEX(PARAMETROS_CULTURAS!$H$6:$H$28,$P1788),"MEDIA","FINAL"))))</f>
        <v>-</v>
      </c>
      <c r="R1788" s="24" t="n">
        <f aca="false">IF($P1788=0,0,IF($O1788&lt;=INDEX(PARAMETROS_CULTURAS!$F$6:$F$28,$P1788),INDEX(PARAMETROS_CULTURAS!$K$6:$K$28,$P1788),IF($O1788&lt;=INDEX(PARAMETROS_CULTURAS!$F$6:$F$28,$P1788)+INDEX(PARAMETROS_CULTURAS!$G$6:$G$28,$P1788),INDEX(PARAMETROS_CULTURAS!$K$6:$K$28,$P1788)+(INDEX(PARAMETROS_CULTURAS!$L$6:$L$28,$P1788)-INDEX(PARAMETROS_CULTURAS!$K$6:$K$28,$P1788))*($O1788-INDEX(PARAMETROS_CULTURAS!$F$6:$F$28,$P1788))/MAX(INDEX(PARAMETROS_CULTURAS!$G$6:$G$28,$P1788),0.0001),IF($O1788&lt;=INDEX(PARAMETROS_CULTURAS!$F$6:$F$28,$P1788)+INDEX(PARAMETROS_CULTURAS!$G$6:$G$28,$P1788)+INDEX(PARAMETROS_CULTURAS!$H$6:$H$28,$P1788),INDEX(PARAMETROS_CULTURAS!$L$6:$L$28,$P1788),INDEX(PARAMETROS_CULTURAS!$L$6:$L$28,$P1788)+(INDEX(PARAMETROS_CULTURAS!$M$6:$M$28,$P1788)-INDEX(PARAMETROS_CULTURAS!$L$6:$L$28,$P1788))*($O1788-INDEX(PARAMETROS_CULTURAS!$F$6:$F$28,$P1788)-INDEX(PARAMETROS_CULTURAS!$G$6:$G$28,$P1788)-INDEX(PARAMETROS_CULTURAS!$H$6:$H$28,$P1788))/MAX(INDEX(PARAMETROS_CULTURAS!$I$6:$I$28,$P1788),0.0001)))))</f>
        <v>0</v>
      </c>
      <c r="S1788" s="18" t="n">
        <f aca="false">IFERROR(INDEX(SEMANAS!$H$6:$H$71,MATCH($B1788,SEMANAS!$B$6:$B$71,0)),0)</f>
        <v>40</v>
      </c>
      <c r="T1788" s="18" t="n">
        <f aca="false">$R1788*$S1788</f>
        <v>0</v>
      </c>
      <c r="U1788" s="18" t="n">
        <f aca="false">IFERROR(INDEX(SEMANAS!$I$6:$I$71,MATCH($B1788,SEMANAS!$B$6:$B$71,0)),0)</f>
        <v>6.16</v>
      </c>
      <c r="V1788" s="18" t="n">
        <f aca="false">IFERROR(INDEX(SEMANAS!$J$6:$J$71,MATCH($B1788,SEMANAS!$B$6:$B$71,0)),0)</f>
        <v>4.928</v>
      </c>
      <c r="W1788" s="18" t="n">
        <f aca="false">MAX(0,$T1788-$V1788)</f>
        <v>0</v>
      </c>
      <c r="X1788" s="19" t="n">
        <f aca="false">IFERROR(INDEX(CADASTRO_PIVOS!$K$6:$K$41,MATCH($E1788,CADASTRO_PIVOS!$B$6:$B$41,0)),EFICIENCIA_PADRAO)</f>
        <v>0.85</v>
      </c>
      <c r="Y1788" s="18" t="n">
        <f aca="false">IF($X1788&lt;=0,0,$W1788/$X1788)</f>
        <v>0</v>
      </c>
      <c r="Z1788" s="16" t="n">
        <f aca="false">$Y1788*$H1788*MM_PARA_M3_HA</f>
        <v>0</v>
      </c>
      <c r="AA1788" s="18" t="n">
        <f aca="false">IFERROR(INDEX(CADASTRO_PIVOS!$I$6:$I$41,MATCH($E1788,CADASTRO_PIVOS!$B$6:$B$41,0)),0)</f>
        <v>1071</v>
      </c>
      <c r="AB1788" s="18" t="n">
        <f aca="false">IF($Z1788&lt;=0,0,$Z1788/$AA1788)</f>
        <v>0</v>
      </c>
      <c r="AC1788" s="16" t="n">
        <f aca="false">IFERROR(INDEX(SEMANAS!$K$6:$K$71,MATCH($B1788,SEMANAS!$B$6:$B$71,0)),0)</f>
        <v>147</v>
      </c>
      <c r="AD1788" s="19" t="n">
        <f aca="false">IF($AC1788&lt;=0,0,$AB1788/$AC1788)</f>
        <v>0</v>
      </c>
      <c r="AE1788" s="8" t="str">
        <f aca="false">IF($K1788="SEM CULTURA","SEM CULTURA",IF($AA1788&lt;=0,"DADO PENDENTE",IF($AD1788&gt;LIMITE_CRITICO,"INVIAVEL",IF($AD1788&gt;LIMITE_ATENCAO,"CRITICO",IF($AD1788&gt;LIMITE_CONFORTAVEL,"ATENCAO","OK")))))</f>
        <v>SEM CULTURA</v>
      </c>
      <c r="AF1788" s="8" t="str">
        <f aca="false">$B1788&amp;"|"&amp;TEXT($AD1788,"0.000000")</f>
        <v>1|0.000000</v>
      </c>
      <c r="AG1788" s="18" t="n">
        <f aca="false">IF($K1788="SEM CULTURA",0,$T1788*$H1788)</f>
        <v>0</v>
      </c>
      <c r="AH1788" s="18" t="n">
        <f aca="false">IF($K1788="SEM CULTURA",0,$V1788*$H1788)</f>
        <v>0</v>
      </c>
      <c r="AI1788" s="18" t="n">
        <f aca="false">IF($K1788="SEM CULTURA",0,$W1788*$H1788)</f>
        <v>0</v>
      </c>
      <c r="AJ1788" s="18" t="n">
        <f aca="false">IF($K1788="SEM CULTURA",0,$S1788*$H1788)</f>
        <v>0</v>
      </c>
      <c r="AK1788" s="8" t="str">
        <f aca="false">$E1788&amp;"|"&amp;TEXT($AD1788,"0.000000")</f>
        <v>PV 124|0.000000</v>
      </c>
    </row>
    <row r="1789" customFormat="false" ht="15" hidden="false" customHeight="false" outlineLevel="0" collapsed="false">
      <c r="B1789" s="16" t="n">
        <v>2</v>
      </c>
      <c r="C1789" s="17" t="n">
        <f aca="false">DATA_INICIO_SAFRA+($B1789-1)*DIAS_POR_SEMANA</f>
        <v>46272</v>
      </c>
      <c r="D1789" s="17" t="n">
        <f aca="false">$C1789+DIAS_POR_SEMANA-1</f>
        <v>46278</v>
      </c>
      <c r="E1789" s="15" t="s">
        <v>286</v>
      </c>
      <c r="F1789" s="8" t="str">
        <f aca="false">IFERROR(INDEX(CADASTRO_PIVOS!$C$6:$C$41,MATCH($E1789,CADASTRO_PIVOS!$B$6:$B$41,0)),"?")</f>
        <v>RM07</v>
      </c>
      <c r="G1789" s="8" t="str">
        <f aca="false">IFERROR(INDEX(CADASTRO_PIVOS!$D$6:$D$41,MATCH($E1789,CADASTRO_PIVOS!$B$6:$B$41,0)),"?")</f>
        <v>TR07</v>
      </c>
      <c r="H1789" s="20" t="n">
        <f aca="false">IFERROR(INDEX(CADASTRO_PIVOS!$E$6:$E$41,MATCH($E1789,CADASTRO_PIVOS!$B$6:$B$41,0)),0)</f>
        <v>149.94</v>
      </c>
      <c r="I1789" s="16" t="n">
        <f aca="false">IFERROR(SUMIFS(ROTACAO_RDM!$B$6:$B$71,ROTACAO_RDM!$D$6:$D$71,$E1789,ROTACAO_RDM!$I$6:$I$71,"&lt;="&amp;$C1789+INT(DIAS_POR_SEMANA/2),ROTACAO_RDM!$J$6:$J$71,"&gt;="&amp;$C1789+INT(DIAS_POR_SEMANA/2)),0)</f>
        <v>0</v>
      </c>
      <c r="J1789" s="16" t="n">
        <f aca="false">IFERROR(MATCH($I1789,ROTACAO_RDM!$B$6:$B$71,0),0)</f>
        <v>0</v>
      </c>
      <c r="K1789" s="8" t="str">
        <f aca="false">IF($J1789=0,"SEM CULTURA",INDEX(ROTACAO_RDM!$F$6:$F$71,$J1789))</f>
        <v>SEM CULTURA</v>
      </c>
      <c r="L1789" s="8" t="str">
        <f aca="false">IF($J1789=0,"",INDEX(ROTACAO_RDM!$G$6:$G$71,$J1789))</f>
        <v/>
      </c>
      <c r="M1789" s="17" t="str">
        <f aca="false">IF($J1789=0,"",INDEX(ROTACAO_RDM!$I$6:$I$71,$J1789))</f>
        <v/>
      </c>
      <c r="N1789" s="16" t="n">
        <f aca="false">IF($J1789=0,0,MAX(0,$C1789+INT(DIAS_POR_SEMANA/2)-INDEX(ROTACAO_RDM!$I$6:$I$71,$J1789)))</f>
        <v>0</v>
      </c>
      <c r="O1789" s="19" t="n">
        <f aca="false">IF($J1789=0,0,MIN(1,$N1789/MAX(1,INDEX(ROTACAO_RDM!$K$6:$K$71,$J1789))))</f>
        <v>0</v>
      </c>
      <c r="P1789" s="16" t="n">
        <f aca="false">IF($J1789=0,0,IFERROR(MATCH(INDEX(ROTACAO_RDM!$N$6:$N$71,$J1789),PARAMETROS_CULTURAS!$B$6:$B$28,0),0))</f>
        <v>0</v>
      </c>
      <c r="Q1789" s="8" t="str">
        <f aca="false">IF($P1789=0,"-",IF($O1789&lt;=INDEX(PARAMETROS_CULTURAS!$F$6:$F$28,$P1789),"INICIAL",IF($O1789&lt;=INDEX(PARAMETROS_CULTURAS!$F$6:$F$28,$P1789)+INDEX(PARAMETROS_CULTURAS!$G$6:$G$28,$P1789),"DESENVOLVIMENTO",IF($O1789&lt;=INDEX(PARAMETROS_CULTURAS!$F$6:$F$28,$P1789)+INDEX(PARAMETROS_CULTURAS!$G$6:$G$28,$P1789)+INDEX(PARAMETROS_CULTURAS!$H$6:$H$28,$P1789),"MEDIA","FINAL"))))</f>
        <v>-</v>
      </c>
      <c r="R1789" s="24" t="n">
        <f aca="false">IF($P1789=0,0,IF($O1789&lt;=INDEX(PARAMETROS_CULTURAS!$F$6:$F$28,$P1789),INDEX(PARAMETROS_CULTURAS!$K$6:$K$28,$P1789),IF($O1789&lt;=INDEX(PARAMETROS_CULTURAS!$F$6:$F$28,$P1789)+INDEX(PARAMETROS_CULTURAS!$G$6:$G$28,$P1789),INDEX(PARAMETROS_CULTURAS!$K$6:$K$28,$P1789)+(INDEX(PARAMETROS_CULTURAS!$L$6:$L$28,$P1789)-INDEX(PARAMETROS_CULTURAS!$K$6:$K$28,$P1789))*($O1789-INDEX(PARAMETROS_CULTURAS!$F$6:$F$28,$P1789))/MAX(INDEX(PARAMETROS_CULTURAS!$G$6:$G$28,$P1789),0.0001),IF($O1789&lt;=INDEX(PARAMETROS_CULTURAS!$F$6:$F$28,$P1789)+INDEX(PARAMETROS_CULTURAS!$G$6:$G$28,$P1789)+INDEX(PARAMETROS_CULTURAS!$H$6:$H$28,$P1789),INDEX(PARAMETROS_CULTURAS!$L$6:$L$28,$P1789),INDEX(PARAMETROS_CULTURAS!$L$6:$L$28,$P1789)+(INDEX(PARAMETROS_CULTURAS!$M$6:$M$28,$P1789)-INDEX(PARAMETROS_CULTURAS!$L$6:$L$28,$P1789))*($O1789-INDEX(PARAMETROS_CULTURAS!$F$6:$F$28,$P1789)-INDEX(PARAMETROS_CULTURAS!$G$6:$G$28,$P1789)-INDEX(PARAMETROS_CULTURAS!$H$6:$H$28,$P1789))/MAX(INDEX(PARAMETROS_CULTURAS!$I$6:$I$28,$P1789),0.0001)))))</f>
        <v>0</v>
      </c>
      <c r="S1789" s="18" t="n">
        <f aca="false">IFERROR(INDEX(SEMANAS!$H$6:$H$71,MATCH($B1789,SEMANAS!$B$6:$B$71,0)),0)</f>
        <v>40.6</v>
      </c>
      <c r="T1789" s="18" t="n">
        <f aca="false">$R1789*$S1789</f>
        <v>0</v>
      </c>
      <c r="U1789" s="18" t="n">
        <f aca="false">IFERROR(INDEX(SEMANAS!$I$6:$I$71,MATCH($B1789,SEMANAS!$B$6:$B$71,0)),0)</f>
        <v>7</v>
      </c>
      <c r="V1789" s="18" t="n">
        <f aca="false">IFERROR(INDEX(SEMANAS!$J$6:$J$71,MATCH($B1789,SEMANAS!$B$6:$B$71,0)),0)</f>
        <v>5.6</v>
      </c>
      <c r="W1789" s="18" t="n">
        <f aca="false">MAX(0,$T1789-$V1789)</f>
        <v>0</v>
      </c>
      <c r="X1789" s="19" t="n">
        <f aca="false">IFERROR(INDEX(CADASTRO_PIVOS!$K$6:$K$41,MATCH($E1789,CADASTRO_PIVOS!$B$6:$B$41,0)),EFICIENCIA_PADRAO)</f>
        <v>0.85</v>
      </c>
      <c r="Y1789" s="18" t="n">
        <f aca="false">IF($X1789&lt;=0,0,$W1789/$X1789)</f>
        <v>0</v>
      </c>
      <c r="Z1789" s="16" t="n">
        <f aca="false">$Y1789*$H1789*MM_PARA_M3_HA</f>
        <v>0</v>
      </c>
      <c r="AA1789" s="18" t="n">
        <f aca="false">IFERROR(INDEX(CADASTRO_PIVOS!$I$6:$I$41,MATCH($E1789,CADASTRO_PIVOS!$B$6:$B$41,0)),0)</f>
        <v>1071</v>
      </c>
      <c r="AB1789" s="18" t="n">
        <f aca="false">IF($Z1789&lt;=0,0,$Z1789/$AA1789)</f>
        <v>0</v>
      </c>
      <c r="AC1789" s="16" t="n">
        <f aca="false">IFERROR(INDEX(SEMANAS!$K$6:$K$71,MATCH($B1789,SEMANAS!$B$6:$B$71,0)),0)</f>
        <v>147</v>
      </c>
      <c r="AD1789" s="19" t="n">
        <f aca="false">IF($AC1789&lt;=0,0,$AB1789/$AC1789)</f>
        <v>0</v>
      </c>
      <c r="AE1789" s="8" t="str">
        <f aca="false">IF($K1789="SEM CULTURA","SEM CULTURA",IF($AA1789&lt;=0,"DADO PENDENTE",IF($AD1789&gt;LIMITE_CRITICO,"INVIAVEL",IF($AD1789&gt;LIMITE_ATENCAO,"CRITICO",IF($AD1789&gt;LIMITE_CONFORTAVEL,"ATENCAO","OK")))))</f>
        <v>SEM CULTURA</v>
      </c>
      <c r="AF1789" s="8" t="str">
        <f aca="false">$B1789&amp;"|"&amp;TEXT($AD1789,"0.000000")</f>
        <v>2|0.000000</v>
      </c>
      <c r="AG1789" s="18" t="n">
        <f aca="false">IF($K1789="SEM CULTURA",0,$T1789*$H1789)</f>
        <v>0</v>
      </c>
      <c r="AH1789" s="18" t="n">
        <f aca="false">IF($K1789="SEM CULTURA",0,$V1789*$H1789)</f>
        <v>0</v>
      </c>
      <c r="AI1789" s="18" t="n">
        <f aca="false">IF($K1789="SEM CULTURA",0,$W1789*$H1789)</f>
        <v>0</v>
      </c>
      <c r="AJ1789" s="18" t="n">
        <f aca="false">IF($K1789="SEM CULTURA",0,$S1789*$H1789)</f>
        <v>0</v>
      </c>
      <c r="AK1789" s="8" t="str">
        <f aca="false">$E1789&amp;"|"&amp;TEXT($AD1789,"0.000000")</f>
        <v>PV 124|0.000000</v>
      </c>
    </row>
    <row r="1790" customFormat="false" ht="15" hidden="false" customHeight="false" outlineLevel="0" collapsed="false">
      <c r="B1790" s="16" t="n">
        <v>3</v>
      </c>
      <c r="C1790" s="17" t="n">
        <f aca="false">DATA_INICIO_SAFRA+($B1790-1)*DIAS_POR_SEMANA</f>
        <v>46279</v>
      </c>
      <c r="D1790" s="17" t="n">
        <f aca="false">$C1790+DIAS_POR_SEMANA-1</f>
        <v>46285</v>
      </c>
      <c r="E1790" s="15" t="s">
        <v>286</v>
      </c>
      <c r="F1790" s="8" t="str">
        <f aca="false">IFERROR(INDEX(CADASTRO_PIVOS!$C$6:$C$41,MATCH($E1790,CADASTRO_PIVOS!$B$6:$B$41,0)),"?")</f>
        <v>RM07</v>
      </c>
      <c r="G1790" s="8" t="str">
        <f aca="false">IFERROR(INDEX(CADASTRO_PIVOS!$D$6:$D$41,MATCH($E1790,CADASTRO_PIVOS!$B$6:$B$41,0)),"?")</f>
        <v>TR07</v>
      </c>
      <c r="H1790" s="20" t="n">
        <f aca="false">IFERROR(INDEX(CADASTRO_PIVOS!$E$6:$E$41,MATCH($E1790,CADASTRO_PIVOS!$B$6:$B$41,0)),0)</f>
        <v>149.94</v>
      </c>
      <c r="I1790" s="16" t="n">
        <f aca="false">IFERROR(SUMIFS(ROTACAO_RDM!$B$6:$B$71,ROTACAO_RDM!$D$6:$D$71,$E1790,ROTACAO_RDM!$I$6:$I$71,"&lt;="&amp;$C1790+INT(DIAS_POR_SEMANA/2),ROTACAO_RDM!$J$6:$J$71,"&gt;="&amp;$C1790+INT(DIAS_POR_SEMANA/2)),0)</f>
        <v>0</v>
      </c>
      <c r="J1790" s="16" t="n">
        <f aca="false">IFERROR(MATCH($I1790,ROTACAO_RDM!$B$6:$B$71,0),0)</f>
        <v>0</v>
      </c>
      <c r="K1790" s="8" t="str">
        <f aca="false">IF($J1790=0,"SEM CULTURA",INDEX(ROTACAO_RDM!$F$6:$F$71,$J1790))</f>
        <v>SEM CULTURA</v>
      </c>
      <c r="L1790" s="8" t="str">
        <f aca="false">IF($J1790=0,"",INDEX(ROTACAO_RDM!$G$6:$G$71,$J1790))</f>
        <v/>
      </c>
      <c r="M1790" s="17" t="str">
        <f aca="false">IF($J1790=0,"",INDEX(ROTACAO_RDM!$I$6:$I$71,$J1790))</f>
        <v/>
      </c>
      <c r="N1790" s="16" t="n">
        <f aca="false">IF($J1790=0,0,MAX(0,$C1790+INT(DIAS_POR_SEMANA/2)-INDEX(ROTACAO_RDM!$I$6:$I$71,$J1790)))</f>
        <v>0</v>
      </c>
      <c r="O1790" s="19" t="n">
        <f aca="false">IF($J1790=0,0,MIN(1,$N1790/MAX(1,INDEX(ROTACAO_RDM!$K$6:$K$71,$J1790))))</f>
        <v>0</v>
      </c>
      <c r="P1790" s="16" t="n">
        <f aca="false">IF($J1790=0,0,IFERROR(MATCH(INDEX(ROTACAO_RDM!$N$6:$N$71,$J1790),PARAMETROS_CULTURAS!$B$6:$B$28,0),0))</f>
        <v>0</v>
      </c>
      <c r="Q1790" s="8" t="str">
        <f aca="false">IF($P1790=0,"-",IF($O1790&lt;=INDEX(PARAMETROS_CULTURAS!$F$6:$F$28,$P1790),"INICIAL",IF($O1790&lt;=INDEX(PARAMETROS_CULTURAS!$F$6:$F$28,$P1790)+INDEX(PARAMETROS_CULTURAS!$G$6:$G$28,$P1790),"DESENVOLVIMENTO",IF($O1790&lt;=INDEX(PARAMETROS_CULTURAS!$F$6:$F$28,$P1790)+INDEX(PARAMETROS_CULTURAS!$G$6:$G$28,$P1790)+INDEX(PARAMETROS_CULTURAS!$H$6:$H$28,$P1790),"MEDIA","FINAL"))))</f>
        <v>-</v>
      </c>
      <c r="R1790" s="24" t="n">
        <f aca="false">IF($P1790=0,0,IF($O1790&lt;=INDEX(PARAMETROS_CULTURAS!$F$6:$F$28,$P1790),INDEX(PARAMETROS_CULTURAS!$K$6:$K$28,$P1790),IF($O1790&lt;=INDEX(PARAMETROS_CULTURAS!$F$6:$F$28,$P1790)+INDEX(PARAMETROS_CULTURAS!$G$6:$G$28,$P1790),INDEX(PARAMETROS_CULTURAS!$K$6:$K$28,$P1790)+(INDEX(PARAMETROS_CULTURAS!$L$6:$L$28,$P1790)-INDEX(PARAMETROS_CULTURAS!$K$6:$K$28,$P1790))*($O1790-INDEX(PARAMETROS_CULTURAS!$F$6:$F$28,$P1790))/MAX(INDEX(PARAMETROS_CULTURAS!$G$6:$G$28,$P1790),0.0001),IF($O1790&lt;=INDEX(PARAMETROS_CULTURAS!$F$6:$F$28,$P1790)+INDEX(PARAMETROS_CULTURAS!$G$6:$G$28,$P1790)+INDEX(PARAMETROS_CULTURAS!$H$6:$H$28,$P1790),INDEX(PARAMETROS_CULTURAS!$L$6:$L$28,$P1790),INDEX(PARAMETROS_CULTURAS!$L$6:$L$28,$P1790)+(INDEX(PARAMETROS_CULTURAS!$M$6:$M$28,$P1790)-INDEX(PARAMETROS_CULTURAS!$L$6:$L$28,$P1790))*($O1790-INDEX(PARAMETROS_CULTURAS!$F$6:$F$28,$P1790)-INDEX(PARAMETROS_CULTURAS!$G$6:$G$28,$P1790)-INDEX(PARAMETROS_CULTURAS!$H$6:$H$28,$P1790))/MAX(INDEX(PARAMETROS_CULTURAS!$I$6:$I$28,$P1790),0.0001)))))</f>
        <v>0</v>
      </c>
      <c r="S1790" s="18" t="n">
        <f aca="false">IFERROR(INDEX(SEMANAS!$H$6:$H$71,MATCH($B1790,SEMANAS!$B$6:$B$71,0)),0)</f>
        <v>40.6</v>
      </c>
      <c r="T1790" s="18" t="n">
        <f aca="false">$R1790*$S1790</f>
        <v>0</v>
      </c>
      <c r="U1790" s="18" t="n">
        <f aca="false">IFERROR(INDEX(SEMANAS!$I$6:$I$71,MATCH($B1790,SEMANAS!$B$6:$B$71,0)),0)</f>
        <v>7</v>
      </c>
      <c r="V1790" s="18" t="n">
        <f aca="false">IFERROR(INDEX(SEMANAS!$J$6:$J$71,MATCH($B1790,SEMANAS!$B$6:$B$71,0)),0)</f>
        <v>5.6</v>
      </c>
      <c r="W1790" s="18" t="n">
        <f aca="false">MAX(0,$T1790-$V1790)</f>
        <v>0</v>
      </c>
      <c r="X1790" s="19" t="n">
        <f aca="false">IFERROR(INDEX(CADASTRO_PIVOS!$K$6:$K$41,MATCH($E1790,CADASTRO_PIVOS!$B$6:$B$41,0)),EFICIENCIA_PADRAO)</f>
        <v>0.85</v>
      </c>
      <c r="Y1790" s="18" t="n">
        <f aca="false">IF($X1790&lt;=0,0,$W1790/$X1790)</f>
        <v>0</v>
      </c>
      <c r="Z1790" s="16" t="n">
        <f aca="false">$Y1790*$H1790*MM_PARA_M3_HA</f>
        <v>0</v>
      </c>
      <c r="AA1790" s="18" t="n">
        <f aca="false">IFERROR(INDEX(CADASTRO_PIVOS!$I$6:$I$41,MATCH($E1790,CADASTRO_PIVOS!$B$6:$B$41,0)),0)</f>
        <v>1071</v>
      </c>
      <c r="AB1790" s="18" t="n">
        <f aca="false">IF($Z1790&lt;=0,0,$Z1790/$AA1790)</f>
        <v>0</v>
      </c>
      <c r="AC1790" s="16" t="n">
        <f aca="false">IFERROR(INDEX(SEMANAS!$K$6:$K$71,MATCH($B1790,SEMANAS!$B$6:$B$71,0)),0)</f>
        <v>147</v>
      </c>
      <c r="AD1790" s="19" t="n">
        <f aca="false">IF($AC1790&lt;=0,0,$AB1790/$AC1790)</f>
        <v>0</v>
      </c>
      <c r="AE1790" s="8" t="str">
        <f aca="false">IF($K1790="SEM CULTURA","SEM CULTURA",IF($AA1790&lt;=0,"DADO PENDENTE",IF($AD1790&gt;LIMITE_CRITICO,"INVIAVEL",IF($AD1790&gt;LIMITE_ATENCAO,"CRITICO",IF($AD1790&gt;LIMITE_CONFORTAVEL,"ATENCAO","OK")))))</f>
        <v>SEM CULTURA</v>
      </c>
      <c r="AF1790" s="8" t="str">
        <f aca="false">$B1790&amp;"|"&amp;TEXT($AD1790,"0.000000")</f>
        <v>3|0.000000</v>
      </c>
      <c r="AG1790" s="18" t="n">
        <f aca="false">IF($K1790="SEM CULTURA",0,$T1790*$H1790)</f>
        <v>0</v>
      </c>
      <c r="AH1790" s="18" t="n">
        <f aca="false">IF($K1790="SEM CULTURA",0,$V1790*$H1790)</f>
        <v>0</v>
      </c>
      <c r="AI1790" s="18" t="n">
        <f aca="false">IF($K1790="SEM CULTURA",0,$W1790*$H1790)</f>
        <v>0</v>
      </c>
      <c r="AJ1790" s="18" t="n">
        <f aca="false">IF($K1790="SEM CULTURA",0,$S1790*$H1790)</f>
        <v>0</v>
      </c>
      <c r="AK1790" s="8" t="str">
        <f aca="false">$E1790&amp;"|"&amp;TEXT($AD1790,"0.000000")</f>
        <v>PV 124|0.000000</v>
      </c>
    </row>
    <row r="1791" customFormat="false" ht="15" hidden="false" customHeight="false" outlineLevel="0" collapsed="false">
      <c r="B1791" s="16" t="n">
        <v>4</v>
      </c>
      <c r="C1791" s="17" t="n">
        <f aca="false">DATA_INICIO_SAFRA+($B1791-1)*DIAS_POR_SEMANA</f>
        <v>46286</v>
      </c>
      <c r="D1791" s="17" t="n">
        <f aca="false">$C1791+DIAS_POR_SEMANA-1</f>
        <v>46292</v>
      </c>
      <c r="E1791" s="15" t="s">
        <v>286</v>
      </c>
      <c r="F1791" s="8" t="str">
        <f aca="false">IFERROR(INDEX(CADASTRO_PIVOS!$C$6:$C$41,MATCH($E1791,CADASTRO_PIVOS!$B$6:$B$41,0)),"?")</f>
        <v>RM07</v>
      </c>
      <c r="G1791" s="8" t="str">
        <f aca="false">IFERROR(INDEX(CADASTRO_PIVOS!$D$6:$D$41,MATCH($E1791,CADASTRO_PIVOS!$B$6:$B$41,0)),"?")</f>
        <v>TR07</v>
      </c>
      <c r="H1791" s="20" t="n">
        <f aca="false">IFERROR(INDEX(CADASTRO_PIVOS!$E$6:$E$41,MATCH($E1791,CADASTRO_PIVOS!$B$6:$B$41,0)),0)</f>
        <v>149.94</v>
      </c>
      <c r="I1791" s="16" t="n">
        <f aca="false">IFERROR(SUMIFS(ROTACAO_RDM!$B$6:$B$71,ROTACAO_RDM!$D$6:$D$71,$E1791,ROTACAO_RDM!$I$6:$I$71,"&lt;="&amp;$C1791+INT(DIAS_POR_SEMANA/2),ROTACAO_RDM!$J$6:$J$71,"&gt;="&amp;$C1791+INT(DIAS_POR_SEMANA/2)),0)</f>
        <v>0</v>
      </c>
      <c r="J1791" s="16" t="n">
        <f aca="false">IFERROR(MATCH($I1791,ROTACAO_RDM!$B$6:$B$71,0),0)</f>
        <v>0</v>
      </c>
      <c r="K1791" s="8" t="str">
        <f aca="false">IF($J1791=0,"SEM CULTURA",INDEX(ROTACAO_RDM!$F$6:$F$71,$J1791))</f>
        <v>SEM CULTURA</v>
      </c>
      <c r="L1791" s="8" t="str">
        <f aca="false">IF($J1791=0,"",INDEX(ROTACAO_RDM!$G$6:$G$71,$J1791))</f>
        <v/>
      </c>
      <c r="M1791" s="17" t="str">
        <f aca="false">IF($J1791=0,"",INDEX(ROTACAO_RDM!$I$6:$I$71,$J1791))</f>
        <v/>
      </c>
      <c r="N1791" s="16" t="n">
        <f aca="false">IF($J1791=0,0,MAX(0,$C1791+INT(DIAS_POR_SEMANA/2)-INDEX(ROTACAO_RDM!$I$6:$I$71,$J1791)))</f>
        <v>0</v>
      </c>
      <c r="O1791" s="19" t="n">
        <f aca="false">IF($J1791=0,0,MIN(1,$N1791/MAX(1,INDEX(ROTACAO_RDM!$K$6:$K$71,$J1791))))</f>
        <v>0</v>
      </c>
      <c r="P1791" s="16" t="n">
        <f aca="false">IF($J1791=0,0,IFERROR(MATCH(INDEX(ROTACAO_RDM!$N$6:$N$71,$J1791),PARAMETROS_CULTURAS!$B$6:$B$28,0),0))</f>
        <v>0</v>
      </c>
      <c r="Q1791" s="8" t="str">
        <f aca="false">IF($P1791=0,"-",IF($O1791&lt;=INDEX(PARAMETROS_CULTURAS!$F$6:$F$28,$P1791),"INICIAL",IF($O1791&lt;=INDEX(PARAMETROS_CULTURAS!$F$6:$F$28,$P1791)+INDEX(PARAMETROS_CULTURAS!$G$6:$G$28,$P1791),"DESENVOLVIMENTO",IF($O1791&lt;=INDEX(PARAMETROS_CULTURAS!$F$6:$F$28,$P1791)+INDEX(PARAMETROS_CULTURAS!$G$6:$G$28,$P1791)+INDEX(PARAMETROS_CULTURAS!$H$6:$H$28,$P1791),"MEDIA","FINAL"))))</f>
        <v>-</v>
      </c>
      <c r="R1791" s="24" t="n">
        <f aca="false">IF($P1791=0,0,IF($O1791&lt;=INDEX(PARAMETROS_CULTURAS!$F$6:$F$28,$P1791),INDEX(PARAMETROS_CULTURAS!$K$6:$K$28,$P1791),IF($O1791&lt;=INDEX(PARAMETROS_CULTURAS!$F$6:$F$28,$P1791)+INDEX(PARAMETROS_CULTURAS!$G$6:$G$28,$P1791),INDEX(PARAMETROS_CULTURAS!$K$6:$K$28,$P1791)+(INDEX(PARAMETROS_CULTURAS!$L$6:$L$28,$P1791)-INDEX(PARAMETROS_CULTURAS!$K$6:$K$28,$P1791))*($O1791-INDEX(PARAMETROS_CULTURAS!$F$6:$F$28,$P1791))/MAX(INDEX(PARAMETROS_CULTURAS!$G$6:$G$28,$P1791),0.0001),IF($O1791&lt;=INDEX(PARAMETROS_CULTURAS!$F$6:$F$28,$P1791)+INDEX(PARAMETROS_CULTURAS!$G$6:$G$28,$P1791)+INDEX(PARAMETROS_CULTURAS!$H$6:$H$28,$P1791),INDEX(PARAMETROS_CULTURAS!$L$6:$L$28,$P1791),INDEX(PARAMETROS_CULTURAS!$L$6:$L$28,$P1791)+(INDEX(PARAMETROS_CULTURAS!$M$6:$M$28,$P1791)-INDEX(PARAMETROS_CULTURAS!$L$6:$L$28,$P1791))*($O1791-INDEX(PARAMETROS_CULTURAS!$F$6:$F$28,$P1791)-INDEX(PARAMETROS_CULTURAS!$G$6:$G$28,$P1791)-INDEX(PARAMETROS_CULTURAS!$H$6:$H$28,$P1791))/MAX(INDEX(PARAMETROS_CULTURAS!$I$6:$I$28,$P1791),0.0001)))))</f>
        <v>0</v>
      </c>
      <c r="S1791" s="18" t="n">
        <f aca="false">IFERROR(INDEX(SEMANAS!$H$6:$H$71,MATCH($B1791,SEMANAS!$B$6:$B$71,0)),0)</f>
        <v>40.6</v>
      </c>
      <c r="T1791" s="18" t="n">
        <f aca="false">$R1791*$S1791</f>
        <v>0</v>
      </c>
      <c r="U1791" s="18" t="n">
        <f aca="false">IFERROR(INDEX(SEMANAS!$I$6:$I$71,MATCH($B1791,SEMANAS!$B$6:$B$71,0)),0)</f>
        <v>7</v>
      </c>
      <c r="V1791" s="18" t="n">
        <f aca="false">IFERROR(INDEX(SEMANAS!$J$6:$J$71,MATCH($B1791,SEMANAS!$B$6:$B$71,0)),0)</f>
        <v>5.6</v>
      </c>
      <c r="W1791" s="18" t="n">
        <f aca="false">MAX(0,$T1791-$V1791)</f>
        <v>0</v>
      </c>
      <c r="X1791" s="19" t="n">
        <f aca="false">IFERROR(INDEX(CADASTRO_PIVOS!$K$6:$K$41,MATCH($E1791,CADASTRO_PIVOS!$B$6:$B$41,0)),EFICIENCIA_PADRAO)</f>
        <v>0.85</v>
      </c>
      <c r="Y1791" s="18" t="n">
        <f aca="false">IF($X1791&lt;=0,0,$W1791/$X1791)</f>
        <v>0</v>
      </c>
      <c r="Z1791" s="16" t="n">
        <f aca="false">$Y1791*$H1791*MM_PARA_M3_HA</f>
        <v>0</v>
      </c>
      <c r="AA1791" s="18" t="n">
        <f aca="false">IFERROR(INDEX(CADASTRO_PIVOS!$I$6:$I$41,MATCH($E1791,CADASTRO_PIVOS!$B$6:$B$41,0)),0)</f>
        <v>1071</v>
      </c>
      <c r="AB1791" s="18" t="n">
        <f aca="false">IF($Z1791&lt;=0,0,$Z1791/$AA1791)</f>
        <v>0</v>
      </c>
      <c r="AC1791" s="16" t="n">
        <f aca="false">IFERROR(INDEX(SEMANAS!$K$6:$K$71,MATCH($B1791,SEMANAS!$B$6:$B$71,0)),0)</f>
        <v>147</v>
      </c>
      <c r="AD1791" s="19" t="n">
        <f aca="false">IF($AC1791&lt;=0,0,$AB1791/$AC1791)</f>
        <v>0</v>
      </c>
      <c r="AE1791" s="8" t="str">
        <f aca="false">IF($K1791="SEM CULTURA","SEM CULTURA",IF($AA1791&lt;=0,"DADO PENDENTE",IF($AD1791&gt;LIMITE_CRITICO,"INVIAVEL",IF($AD1791&gt;LIMITE_ATENCAO,"CRITICO",IF($AD1791&gt;LIMITE_CONFORTAVEL,"ATENCAO","OK")))))</f>
        <v>SEM CULTURA</v>
      </c>
      <c r="AF1791" s="8" t="str">
        <f aca="false">$B1791&amp;"|"&amp;TEXT($AD1791,"0.000000")</f>
        <v>4|0.000000</v>
      </c>
      <c r="AG1791" s="18" t="n">
        <f aca="false">IF($K1791="SEM CULTURA",0,$T1791*$H1791)</f>
        <v>0</v>
      </c>
      <c r="AH1791" s="18" t="n">
        <f aca="false">IF($K1791="SEM CULTURA",0,$V1791*$H1791)</f>
        <v>0</v>
      </c>
      <c r="AI1791" s="18" t="n">
        <f aca="false">IF($K1791="SEM CULTURA",0,$W1791*$H1791)</f>
        <v>0</v>
      </c>
      <c r="AJ1791" s="18" t="n">
        <f aca="false">IF($K1791="SEM CULTURA",0,$S1791*$H1791)</f>
        <v>0</v>
      </c>
      <c r="AK1791" s="8" t="str">
        <f aca="false">$E1791&amp;"|"&amp;TEXT($AD1791,"0.000000")</f>
        <v>PV 124|0.000000</v>
      </c>
    </row>
    <row r="1792" customFormat="false" ht="15" hidden="false" customHeight="false" outlineLevel="0" collapsed="false">
      <c r="B1792" s="16" t="n">
        <v>5</v>
      </c>
      <c r="C1792" s="17" t="n">
        <f aca="false">DATA_INICIO_SAFRA+($B1792-1)*DIAS_POR_SEMANA</f>
        <v>46293</v>
      </c>
      <c r="D1792" s="17" t="n">
        <f aca="false">$C1792+DIAS_POR_SEMANA-1</f>
        <v>46299</v>
      </c>
      <c r="E1792" s="15" t="s">
        <v>286</v>
      </c>
      <c r="F1792" s="8" t="str">
        <f aca="false">IFERROR(INDEX(CADASTRO_PIVOS!$C$6:$C$41,MATCH($E1792,CADASTRO_PIVOS!$B$6:$B$41,0)),"?")</f>
        <v>RM07</v>
      </c>
      <c r="G1792" s="8" t="str">
        <f aca="false">IFERROR(INDEX(CADASTRO_PIVOS!$D$6:$D$41,MATCH($E1792,CADASTRO_PIVOS!$B$6:$B$41,0)),"?")</f>
        <v>TR07</v>
      </c>
      <c r="H1792" s="20" t="n">
        <f aca="false">IFERROR(INDEX(CADASTRO_PIVOS!$E$6:$E$41,MATCH($E1792,CADASTRO_PIVOS!$B$6:$B$41,0)),0)</f>
        <v>149.94</v>
      </c>
      <c r="I1792" s="16" t="n">
        <f aca="false">IFERROR(SUMIFS(ROTACAO_RDM!$B$6:$B$71,ROTACAO_RDM!$D$6:$D$71,$E1792,ROTACAO_RDM!$I$6:$I$71,"&lt;="&amp;$C1792+INT(DIAS_POR_SEMANA/2),ROTACAO_RDM!$J$6:$J$71,"&gt;="&amp;$C1792+INT(DIAS_POR_SEMANA/2)),0)</f>
        <v>0</v>
      </c>
      <c r="J1792" s="16" t="n">
        <f aca="false">IFERROR(MATCH($I1792,ROTACAO_RDM!$B$6:$B$71,0),0)</f>
        <v>0</v>
      </c>
      <c r="K1792" s="8" t="str">
        <f aca="false">IF($J1792=0,"SEM CULTURA",INDEX(ROTACAO_RDM!$F$6:$F$71,$J1792))</f>
        <v>SEM CULTURA</v>
      </c>
      <c r="L1792" s="8" t="str">
        <f aca="false">IF($J1792=0,"",INDEX(ROTACAO_RDM!$G$6:$G$71,$J1792))</f>
        <v/>
      </c>
      <c r="M1792" s="17" t="str">
        <f aca="false">IF($J1792=0,"",INDEX(ROTACAO_RDM!$I$6:$I$71,$J1792))</f>
        <v/>
      </c>
      <c r="N1792" s="16" t="n">
        <f aca="false">IF($J1792=0,0,MAX(0,$C1792+INT(DIAS_POR_SEMANA/2)-INDEX(ROTACAO_RDM!$I$6:$I$71,$J1792)))</f>
        <v>0</v>
      </c>
      <c r="O1792" s="19" t="n">
        <f aca="false">IF($J1792=0,0,MIN(1,$N1792/MAX(1,INDEX(ROTACAO_RDM!$K$6:$K$71,$J1792))))</f>
        <v>0</v>
      </c>
      <c r="P1792" s="16" t="n">
        <f aca="false">IF($J1792=0,0,IFERROR(MATCH(INDEX(ROTACAO_RDM!$N$6:$N$71,$J1792),PARAMETROS_CULTURAS!$B$6:$B$28,0),0))</f>
        <v>0</v>
      </c>
      <c r="Q1792" s="8" t="str">
        <f aca="false">IF($P1792=0,"-",IF($O1792&lt;=INDEX(PARAMETROS_CULTURAS!$F$6:$F$28,$P1792),"INICIAL",IF($O1792&lt;=INDEX(PARAMETROS_CULTURAS!$F$6:$F$28,$P1792)+INDEX(PARAMETROS_CULTURAS!$G$6:$G$28,$P1792),"DESENVOLVIMENTO",IF($O1792&lt;=INDEX(PARAMETROS_CULTURAS!$F$6:$F$28,$P1792)+INDEX(PARAMETROS_CULTURAS!$G$6:$G$28,$P1792)+INDEX(PARAMETROS_CULTURAS!$H$6:$H$28,$P1792),"MEDIA","FINAL"))))</f>
        <v>-</v>
      </c>
      <c r="R1792" s="24" t="n">
        <f aca="false">IF($P1792=0,0,IF($O1792&lt;=INDEX(PARAMETROS_CULTURAS!$F$6:$F$28,$P1792),INDEX(PARAMETROS_CULTURAS!$K$6:$K$28,$P1792),IF($O1792&lt;=INDEX(PARAMETROS_CULTURAS!$F$6:$F$28,$P1792)+INDEX(PARAMETROS_CULTURAS!$G$6:$G$28,$P1792),INDEX(PARAMETROS_CULTURAS!$K$6:$K$28,$P1792)+(INDEX(PARAMETROS_CULTURAS!$L$6:$L$28,$P1792)-INDEX(PARAMETROS_CULTURAS!$K$6:$K$28,$P1792))*($O1792-INDEX(PARAMETROS_CULTURAS!$F$6:$F$28,$P1792))/MAX(INDEX(PARAMETROS_CULTURAS!$G$6:$G$28,$P1792),0.0001),IF($O1792&lt;=INDEX(PARAMETROS_CULTURAS!$F$6:$F$28,$P1792)+INDEX(PARAMETROS_CULTURAS!$G$6:$G$28,$P1792)+INDEX(PARAMETROS_CULTURAS!$H$6:$H$28,$P1792),INDEX(PARAMETROS_CULTURAS!$L$6:$L$28,$P1792),INDEX(PARAMETROS_CULTURAS!$L$6:$L$28,$P1792)+(INDEX(PARAMETROS_CULTURAS!$M$6:$M$28,$P1792)-INDEX(PARAMETROS_CULTURAS!$L$6:$L$28,$P1792))*($O1792-INDEX(PARAMETROS_CULTURAS!$F$6:$F$28,$P1792)-INDEX(PARAMETROS_CULTURAS!$G$6:$G$28,$P1792)-INDEX(PARAMETROS_CULTURAS!$H$6:$H$28,$P1792))/MAX(INDEX(PARAMETROS_CULTURAS!$I$6:$I$28,$P1792),0.0001)))))</f>
        <v>0</v>
      </c>
      <c r="S1792" s="18" t="n">
        <f aca="false">IFERROR(INDEX(SEMANAS!$H$6:$H$71,MATCH($B1792,SEMANAS!$B$6:$B$71,0)),0)</f>
        <v>39.8</v>
      </c>
      <c r="T1792" s="18" t="n">
        <f aca="false">$R1792*$S1792</f>
        <v>0</v>
      </c>
      <c r="U1792" s="18" t="n">
        <f aca="false">IFERROR(INDEX(SEMANAS!$I$6:$I$71,MATCH($B1792,SEMANAS!$B$6:$B$71,0)),0)</f>
        <v>18.48</v>
      </c>
      <c r="V1792" s="18" t="n">
        <f aca="false">IFERROR(INDEX(SEMANAS!$J$6:$J$71,MATCH($B1792,SEMANAS!$B$6:$B$71,0)),0)</f>
        <v>14.784</v>
      </c>
      <c r="W1792" s="18" t="n">
        <f aca="false">MAX(0,$T1792-$V1792)</f>
        <v>0</v>
      </c>
      <c r="X1792" s="19" t="n">
        <f aca="false">IFERROR(INDEX(CADASTRO_PIVOS!$K$6:$K$41,MATCH($E1792,CADASTRO_PIVOS!$B$6:$B$41,0)),EFICIENCIA_PADRAO)</f>
        <v>0.85</v>
      </c>
      <c r="Y1792" s="18" t="n">
        <f aca="false">IF($X1792&lt;=0,0,$W1792/$X1792)</f>
        <v>0</v>
      </c>
      <c r="Z1792" s="16" t="n">
        <f aca="false">$Y1792*$H1792*MM_PARA_M3_HA</f>
        <v>0</v>
      </c>
      <c r="AA1792" s="18" t="n">
        <f aca="false">IFERROR(INDEX(CADASTRO_PIVOS!$I$6:$I$41,MATCH($E1792,CADASTRO_PIVOS!$B$6:$B$41,0)),0)</f>
        <v>1071</v>
      </c>
      <c r="AB1792" s="18" t="n">
        <f aca="false">IF($Z1792&lt;=0,0,$Z1792/$AA1792)</f>
        <v>0</v>
      </c>
      <c r="AC1792" s="16" t="n">
        <f aca="false">IFERROR(INDEX(SEMANAS!$K$6:$K$71,MATCH($B1792,SEMANAS!$B$6:$B$71,0)),0)</f>
        <v>147</v>
      </c>
      <c r="AD1792" s="19" t="n">
        <f aca="false">IF($AC1792&lt;=0,0,$AB1792/$AC1792)</f>
        <v>0</v>
      </c>
      <c r="AE1792" s="8" t="str">
        <f aca="false">IF($K1792="SEM CULTURA","SEM CULTURA",IF($AA1792&lt;=0,"DADO PENDENTE",IF($AD1792&gt;LIMITE_CRITICO,"INVIAVEL",IF($AD1792&gt;LIMITE_ATENCAO,"CRITICO",IF($AD1792&gt;LIMITE_CONFORTAVEL,"ATENCAO","OK")))))</f>
        <v>SEM CULTURA</v>
      </c>
      <c r="AF1792" s="8" t="str">
        <f aca="false">$B1792&amp;"|"&amp;TEXT($AD1792,"0.000000")</f>
        <v>5|0.000000</v>
      </c>
      <c r="AG1792" s="18" t="n">
        <f aca="false">IF($K1792="SEM CULTURA",0,$T1792*$H1792)</f>
        <v>0</v>
      </c>
      <c r="AH1792" s="18" t="n">
        <f aca="false">IF($K1792="SEM CULTURA",0,$V1792*$H1792)</f>
        <v>0</v>
      </c>
      <c r="AI1792" s="18" t="n">
        <f aca="false">IF($K1792="SEM CULTURA",0,$W1792*$H1792)</f>
        <v>0</v>
      </c>
      <c r="AJ1792" s="18" t="n">
        <f aca="false">IF($K1792="SEM CULTURA",0,$S1792*$H1792)</f>
        <v>0</v>
      </c>
      <c r="AK1792" s="8" t="str">
        <f aca="false">$E1792&amp;"|"&amp;TEXT($AD1792,"0.000000")</f>
        <v>PV 124|0.000000</v>
      </c>
    </row>
    <row r="1793" customFormat="false" ht="15" hidden="false" customHeight="false" outlineLevel="0" collapsed="false">
      <c r="B1793" s="16" t="n">
        <v>6</v>
      </c>
      <c r="C1793" s="17" t="n">
        <f aca="false">DATA_INICIO_SAFRA+($B1793-1)*DIAS_POR_SEMANA</f>
        <v>46300</v>
      </c>
      <c r="D1793" s="17" t="n">
        <f aca="false">$C1793+DIAS_POR_SEMANA-1</f>
        <v>46306</v>
      </c>
      <c r="E1793" s="15" t="s">
        <v>286</v>
      </c>
      <c r="F1793" s="8" t="str">
        <f aca="false">IFERROR(INDEX(CADASTRO_PIVOS!$C$6:$C$41,MATCH($E1793,CADASTRO_PIVOS!$B$6:$B$41,0)),"?")</f>
        <v>RM07</v>
      </c>
      <c r="G1793" s="8" t="str">
        <f aca="false">IFERROR(INDEX(CADASTRO_PIVOS!$D$6:$D$41,MATCH($E1793,CADASTRO_PIVOS!$B$6:$B$41,0)),"?")</f>
        <v>TR07</v>
      </c>
      <c r="H1793" s="20" t="n">
        <f aca="false">IFERROR(INDEX(CADASTRO_PIVOS!$E$6:$E$41,MATCH($E1793,CADASTRO_PIVOS!$B$6:$B$41,0)),0)</f>
        <v>149.94</v>
      </c>
      <c r="I1793" s="16" t="n">
        <f aca="false">IFERROR(SUMIFS(ROTACAO_RDM!$B$6:$B$71,ROTACAO_RDM!$D$6:$D$71,$E1793,ROTACAO_RDM!$I$6:$I$71,"&lt;="&amp;$C1793+INT(DIAS_POR_SEMANA/2),ROTACAO_RDM!$J$6:$J$71,"&gt;="&amp;$C1793+INT(DIAS_POR_SEMANA/2)),0)</f>
        <v>0</v>
      </c>
      <c r="J1793" s="16" t="n">
        <f aca="false">IFERROR(MATCH($I1793,ROTACAO_RDM!$B$6:$B$71,0),0)</f>
        <v>0</v>
      </c>
      <c r="K1793" s="8" t="str">
        <f aca="false">IF($J1793=0,"SEM CULTURA",INDEX(ROTACAO_RDM!$F$6:$F$71,$J1793))</f>
        <v>SEM CULTURA</v>
      </c>
      <c r="L1793" s="8" t="str">
        <f aca="false">IF($J1793=0,"",INDEX(ROTACAO_RDM!$G$6:$G$71,$J1793))</f>
        <v/>
      </c>
      <c r="M1793" s="17" t="str">
        <f aca="false">IF($J1793=0,"",INDEX(ROTACAO_RDM!$I$6:$I$71,$J1793))</f>
        <v/>
      </c>
      <c r="N1793" s="16" t="n">
        <f aca="false">IF($J1793=0,0,MAX(0,$C1793+INT(DIAS_POR_SEMANA/2)-INDEX(ROTACAO_RDM!$I$6:$I$71,$J1793)))</f>
        <v>0</v>
      </c>
      <c r="O1793" s="19" t="n">
        <f aca="false">IF($J1793=0,0,MIN(1,$N1793/MAX(1,INDEX(ROTACAO_RDM!$K$6:$K$71,$J1793))))</f>
        <v>0</v>
      </c>
      <c r="P1793" s="16" t="n">
        <f aca="false">IF($J1793=0,0,IFERROR(MATCH(INDEX(ROTACAO_RDM!$N$6:$N$71,$J1793),PARAMETROS_CULTURAS!$B$6:$B$28,0),0))</f>
        <v>0</v>
      </c>
      <c r="Q1793" s="8" t="str">
        <f aca="false">IF($P1793=0,"-",IF($O1793&lt;=INDEX(PARAMETROS_CULTURAS!$F$6:$F$28,$P1793),"INICIAL",IF($O1793&lt;=INDEX(PARAMETROS_CULTURAS!$F$6:$F$28,$P1793)+INDEX(PARAMETROS_CULTURAS!$G$6:$G$28,$P1793),"DESENVOLVIMENTO",IF($O1793&lt;=INDEX(PARAMETROS_CULTURAS!$F$6:$F$28,$P1793)+INDEX(PARAMETROS_CULTURAS!$G$6:$G$28,$P1793)+INDEX(PARAMETROS_CULTURAS!$H$6:$H$28,$P1793),"MEDIA","FINAL"))))</f>
        <v>-</v>
      </c>
      <c r="R1793" s="24" t="n">
        <f aca="false">IF($P1793=0,0,IF($O1793&lt;=INDEX(PARAMETROS_CULTURAS!$F$6:$F$28,$P1793),INDEX(PARAMETROS_CULTURAS!$K$6:$K$28,$P1793),IF($O1793&lt;=INDEX(PARAMETROS_CULTURAS!$F$6:$F$28,$P1793)+INDEX(PARAMETROS_CULTURAS!$G$6:$G$28,$P1793),INDEX(PARAMETROS_CULTURAS!$K$6:$K$28,$P1793)+(INDEX(PARAMETROS_CULTURAS!$L$6:$L$28,$P1793)-INDEX(PARAMETROS_CULTURAS!$K$6:$K$28,$P1793))*($O1793-INDEX(PARAMETROS_CULTURAS!$F$6:$F$28,$P1793))/MAX(INDEX(PARAMETROS_CULTURAS!$G$6:$G$28,$P1793),0.0001),IF($O1793&lt;=INDEX(PARAMETROS_CULTURAS!$F$6:$F$28,$P1793)+INDEX(PARAMETROS_CULTURAS!$G$6:$G$28,$P1793)+INDEX(PARAMETROS_CULTURAS!$H$6:$H$28,$P1793),INDEX(PARAMETROS_CULTURAS!$L$6:$L$28,$P1793),INDEX(PARAMETROS_CULTURAS!$L$6:$L$28,$P1793)+(INDEX(PARAMETROS_CULTURAS!$M$6:$M$28,$P1793)-INDEX(PARAMETROS_CULTURAS!$L$6:$L$28,$P1793))*($O1793-INDEX(PARAMETROS_CULTURAS!$F$6:$F$28,$P1793)-INDEX(PARAMETROS_CULTURAS!$G$6:$G$28,$P1793)-INDEX(PARAMETROS_CULTURAS!$H$6:$H$28,$P1793))/MAX(INDEX(PARAMETROS_CULTURAS!$I$6:$I$28,$P1793),0.0001)))))</f>
        <v>0</v>
      </c>
      <c r="S1793" s="18" t="n">
        <f aca="false">IFERROR(INDEX(SEMANAS!$H$6:$H$71,MATCH($B1793,SEMANAS!$B$6:$B$71,0)),0)</f>
        <v>39.2</v>
      </c>
      <c r="T1793" s="18" t="n">
        <f aca="false">$R1793*$S1793</f>
        <v>0</v>
      </c>
      <c r="U1793" s="18" t="n">
        <f aca="false">IFERROR(INDEX(SEMANAS!$I$6:$I$71,MATCH($B1793,SEMANAS!$B$6:$B$71,0)),0)</f>
        <v>27.09</v>
      </c>
      <c r="V1793" s="18" t="n">
        <f aca="false">IFERROR(INDEX(SEMANAS!$J$6:$J$71,MATCH($B1793,SEMANAS!$B$6:$B$71,0)),0)</f>
        <v>21.672</v>
      </c>
      <c r="W1793" s="18" t="n">
        <f aca="false">MAX(0,$T1793-$V1793)</f>
        <v>0</v>
      </c>
      <c r="X1793" s="19" t="n">
        <f aca="false">IFERROR(INDEX(CADASTRO_PIVOS!$K$6:$K$41,MATCH($E1793,CADASTRO_PIVOS!$B$6:$B$41,0)),EFICIENCIA_PADRAO)</f>
        <v>0.85</v>
      </c>
      <c r="Y1793" s="18" t="n">
        <f aca="false">IF($X1793&lt;=0,0,$W1793/$X1793)</f>
        <v>0</v>
      </c>
      <c r="Z1793" s="16" t="n">
        <f aca="false">$Y1793*$H1793*MM_PARA_M3_HA</f>
        <v>0</v>
      </c>
      <c r="AA1793" s="18" t="n">
        <f aca="false">IFERROR(INDEX(CADASTRO_PIVOS!$I$6:$I$41,MATCH($E1793,CADASTRO_PIVOS!$B$6:$B$41,0)),0)</f>
        <v>1071</v>
      </c>
      <c r="AB1793" s="18" t="n">
        <f aca="false">IF($Z1793&lt;=0,0,$Z1793/$AA1793)</f>
        <v>0</v>
      </c>
      <c r="AC1793" s="16" t="n">
        <f aca="false">IFERROR(INDEX(SEMANAS!$K$6:$K$71,MATCH($B1793,SEMANAS!$B$6:$B$71,0)),0)</f>
        <v>147</v>
      </c>
      <c r="AD1793" s="19" t="n">
        <f aca="false">IF($AC1793&lt;=0,0,$AB1793/$AC1793)</f>
        <v>0</v>
      </c>
      <c r="AE1793" s="8" t="str">
        <f aca="false">IF($K1793="SEM CULTURA","SEM CULTURA",IF($AA1793&lt;=0,"DADO PENDENTE",IF($AD1793&gt;LIMITE_CRITICO,"INVIAVEL",IF($AD1793&gt;LIMITE_ATENCAO,"CRITICO",IF($AD1793&gt;LIMITE_CONFORTAVEL,"ATENCAO","OK")))))</f>
        <v>SEM CULTURA</v>
      </c>
      <c r="AF1793" s="8" t="str">
        <f aca="false">$B1793&amp;"|"&amp;TEXT($AD1793,"0.000000")</f>
        <v>6|0.000000</v>
      </c>
      <c r="AG1793" s="18" t="n">
        <f aca="false">IF($K1793="SEM CULTURA",0,$T1793*$H1793)</f>
        <v>0</v>
      </c>
      <c r="AH1793" s="18" t="n">
        <f aca="false">IF($K1793="SEM CULTURA",0,$V1793*$H1793)</f>
        <v>0</v>
      </c>
      <c r="AI1793" s="18" t="n">
        <f aca="false">IF($K1793="SEM CULTURA",0,$W1793*$H1793)</f>
        <v>0</v>
      </c>
      <c r="AJ1793" s="18" t="n">
        <f aca="false">IF($K1793="SEM CULTURA",0,$S1793*$H1793)</f>
        <v>0</v>
      </c>
      <c r="AK1793" s="8" t="str">
        <f aca="false">$E1793&amp;"|"&amp;TEXT($AD1793,"0.000000")</f>
        <v>PV 124|0.000000</v>
      </c>
    </row>
    <row r="1794" customFormat="false" ht="15" hidden="false" customHeight="false" outlineLevel="0" collapsed="false">
      <c r="B1794" s="16" t="n">
        <v>7</v>
      </c>
      <c r="C1794" s="17" t="n">
        <f aca="false">DATA_INICIO_SAFRA+($B1794-1)*DIAS_POR_SEMANA</f>
        <v>46307</v>
      </c>
      <c r="D1794" s="17" t="n">
        <f aca="false">$C1794+DIAS_POR_SEMANA-1</f>
        <v>46313</v>
      </c>
      <c r="E1794" s="15" t="s">
        <v>286</v>
      </c>
      <c r="F1794" s="8" t="str">
        <f aca="false">IFERROR(INDEX(CADASTRO_PIVOS!$C$6:$C$41,MATCH($E1794,CADASTRO_PIVOS!$B$6:$B$41,0)),"?")</f>
        <v>RM07</v>
      </c>
      <c r="G1794" s="8" t="str">
        <f aca="false">IFERROR(INDEX(CADASTRO_PIVOS!$D$6:$D$41,MATCH($E1794,CADASTRO_PIVOS!$B$6:$B$41,0)),"?")</f>
        <v>TR07</v>
      </c>
      <c r="H1794" s="20" t="n">
        <f aca="false">IFERROR(INDEX(CADASTRO_PIVOS!$E$6:$E$41,MATCH($E1794,CADASTRO_PIVOS!$B$6:$B$41,0)),0)</f>
        <v>149.94</v>
      </c>
      <c r="I1794" s="16" t="n">
        <f aca="false">IFERROR(SUMIFS(ROTACAO_RDM!$B$6:$B$71,ROTACAO_RDM!$D$6:$D$71,$E1794,ROTACAO_RDM!$I$6:$I$71,"&lt;="&amp;$C1794+INT(DIAS_POR_SEMANA/2),ROTACAO_RDM!$J$6:$J$71,"&gt;="&amp;$C1794+INT(DIAS_POR_SEMANA/2)),0)</f>
        <v>44</v>
      </c>
      <c r="J1794" s="16" t="n">
        <f aca="false">IFERROR(MATCH($I1794,ROTACAO_RDM!$B$6:$B$71,0),0)</f>
        <v>44</v>
      </c>
      <c r="K1794" s="8" t="str">
        <f aca="false">IF($J1794=0,"SEM CULTURA",INDEX(ROTACAO_RDM!$F$6:$F$71,$J1794))</f>
        <v>SOJA</v>
      </c>
      <c r="L1794" s="8" t="str">
        <f aca="false">IF($J1794=0,"",INDEX(ROTACAO_RDM!$G$6:$G$71,$J1794))</f>
        <v>BMX Olimpo IPRO</v>
      </c>
      <c r="M1794" s="17" t="n">
        <f aca="false">IF($J1794=0,"",INDEX(ROTACAO_RDM!$I$6:$I$71,$J1794))</f>
        <v>46310</v>
      </c>
      <c r="N1794" s="16" t="n">
        <f aca="false">IF($J1794=0,0,MAX(0,$C1794+INT(DIAS_POR_SEMANA/2)-INDEX(ROTACAO_RDM!$I$6:$I$71,$J1794)))</f>
        <v>0</v>
      </c>
      <c r="O1794" s="19" t="n">
        <f aca="false">IF($J1794=0,0,MIN(1,$N1794/MAX(1,INDEX(ROTACAO_RDM!$K$6:$K$71,$J1794))))</f>
        <v>0</v>
      </c>
      <c r="P1794" s="16" t="n">
        <f aca="false">IF($J1794=0,0,IFERROR(MATCH(INDEX(ROTACAO_RDM!$N$6:$N$71,$J1794),PARAMETROS_CULTURAS!$B$6:$B$28,0),0))</f>
        <v>2</v>
      </c>
      <c r="Q1794" s="8" t="str">
        <f aca="false">IF($P1794=0,"-",IF($O1794&lt;=INDEX(PARAMETROS_CULTURAS!$F$6:$F$28,$P1794),"INICIAL",IF($O1794&lt;=INDEX(PARAMETROS_CULTURAS!$F$6:$F$28,$P1794)+INDEX(PARAMETROS_CULTURAS!$G$6:$G$28,$P1794),"DESENVOLVIMENTO",IF($O1794&lt;=INDEX(PARAMETROS_CULTURAS!$F$6:$F$28,$P1794)+INDEX(PARAMETROS_CULTURAS!$G$6:$G$28,$P1794)+INDEX(PARAMETROS_CULTURAS!$H$6:$H$28,$P1794),"MEDIA","FINAL"))))</f>
        <v>INICIAL</v>
      </c>
      <c r="R1794" s="24" t="n">
        <f aca="false">IF($P1794=0,0,IF($O1794&lt;=INDEX(PARAMETROS_CULTURAS!$F$6:$F$28,$P1794),INDEX(PARAMETROS_CULTURAS!$K$6:$K$28,$P1794),IF($O1794&lt;=INDEX(PARAMETROS_CULTURAS!$F$6:$F$28,$P1794)+INDEX(PARAMETROS_CULTURAS!$G$6:$G$28,$P1794),INDEX(PARAMETROS_CULTURAS!$K$6:$K$28,$P1794)+(INDEX(PARAMETROS_CULTURAS!$L$6:$L$28,$P1794)-INDEX(PARAMETROS_CULTURAS!$K$6:$K$28,$P1794))*($O1794-INDEX(PARAMETROS_CULTURAS!$F$6:$F$28,$P1794))/MAX(INDEX(PARAMETROS_CULTURAS!$G$6:$G$28,$P1794),0.0001),IF($O1794&lt;=INDEX(PARAMETROS_CULTURAS!$F$6:$F$28,$P1794)+INDEX(PARAMETROS_CULTURAS!$G$6:$G$28,$P1794)+INDEX(PARAMETROS_CULTURAS!$H$6:$H$28,$P1794),INDEX(PARAMETROS_CULTURAS!$L$6:$L$28,$P1794),INDEX(PARAMETROS_CULTURAS!$L$6:$L$28,$P1794)+(INDEX(PARAMETROS_CULTURAS!$M$6:$M$28,$P1794)-INDEX(PARAMETROS_CULTURAS!$L$6:$L$28,$P1794))*($O1794-INDEX(PARAMETROS_CULTURAS!$F$6:$F$28,$P1794)-INDEX(PARAMETROS_CULTURAS!$G$6:$G$28,$P1794)-INDEX(PARAMETROS_CULTURAS!$H$6:$H$28,$P1794))/MAX(INDEX(PARAMETROS_CULTURAS!$I$6:$I$28,$P1794),0.0001)))))</f>
        <v>0.4</v>
      </c>
      <c r="S1794" s="18" t="n">
        <f aca="false">IFERROR(INDEX(SEMANAS!$H$6:$H$71,MATCH($B1794,SEMANAS!$B$6:$B$71,0)),0)</f>
        <v>39.2</v>
      </c>
      <c r="T1794" s="18" t="n">
        <f aca="false">$R1794*$S1794</f>
        <v>15.68</v>
      </c>
      <c r="U1794" s="18" t="n">
        <f aca="false">IFERROR(INDEX(SEMANAS!$I$6:$I$71,MATCH($B1794,SEMANAS!$B$6:$B$71,0)),0)</f>
        <v>27.09</v>
      </c>
      <c r="V1794" s="18" t="n">
        <f aca="false">IFERROR(INDEX(SEMANAS!$J$6:$J$71,MATCH($B1794,SEMANAS!$B$6:$B$71,0)),0)</f>
        <v>21.672</v>
      </c>
      <c r="W1794" s="18" t="n">
        <f aca="false">MAX(0,$T1794-$V1794)</f>
        <v>0</v>
      </c>
      <c r="X1794" s="19" t="n">
        <f aca="false">IFERROR(INDEX(CADASTRO_PIVOS!$K$6:$K$41,MATCH($E1794,CADASTRO_PIVOS!$B$6:$B$41,0)),EFICIENCIA_PADRAO)</f>
        <v>0.85</v>
      </c>
      <c r="Y1794" s="18" t="n">
        <f aca="false">IF($X1794&lt;=0,0,$W1794/$X1794)</f>
        <v>0</v>
      </c>
      <c r="Z1794" s="16" t="n">
        <f aca="false">$Y1794*$H1794*MM_PARA_M3_HA</f>
        <v>0</v>
      </c>
      <c r="AA1794" s="18" t="n">
        <f aca="false">IFERROR(INDEX(CADASTRO_PIVOS!$I$6:$I$41,MATCH($E1794,CADASTRO_PIVOS!$B$6:$B$41,0)),0)</f>
        <v>1071</v>
      </c>
      <c r="AB1794" s="18" t="n">
        <f aca="false">IF($Z1794&lt;=0,0,$Z1794/$AA1794)</f>
        <v>0</v>
      </c>
      <c r="AC1794" s="16" t="n">
        <f aca="false">IFERROR(INDEX(SEMANAS!$K$6:$K$71,MATCH($B1794,SEMANAS!$B$6:$B$71,0)),0)</f>
        <v>147</v>
      </c>
      <c r="AD1794" s="19" t="n">
        <f aca="false">IF($AC1794&lt;=0,0,$AB1794/$AC1794)</f>
        <v>0</v>
      </c>
      <c r="AE1794" s="8" t="str">
        <f aca="false">IF($K1794="SEM CULTURA","SEM CULTURA",IF($AA1794&lt;=0,"DADO PENDENTE",IF($AD1794&gt;LIMITE_CRITICO,"INVIAVEL",IF($AD1794&gt;LIMITE_ATENCAO,"CRITICO",IF($AD1794&gt;LIMITE_CONFORTAVEL,"ATENCAO","OK")))))</f>
        <v>OK</v>
      </c>
      <c r="AF1794" s="8" t="str">
        <f aca="false">$B1794&amp;"|"&amp;TEXT($AD1794,"0.000000")</f>
        <v>7|0.000000</v>
      </c>
      <c r="AG1794" s="18" t="n">
        <f aca="false">IF($K1794="SEM CULTURA",0,$T1794*$H1794)</f>
        <v>2351.0592</v>
      </c>
      <c r="AH1794" s="18" t="n">
        <f aca="false">IF($K1794="SEM CULTURA",0,$V1794*$H1794)</f>
        <v>3249.49968</v>
      </c>
      <c r="AI1794" s="18" t="n">
        <f aca="false">IF($K1794="SEM CULTURA",0,$W1794*$H1794)</f>
        <v>0</v>
      </c>
      <c r="AJ1794" s="18" t="n">
        <f aca="false">IF($K1794="SEM CULTURA",0,$S1794*$H1794)</f>
        <v>5877.648</v>
      </c>
      <c r="AK1794" s="8" t="str">
        <f aca="false">$E1794&amp;"|"&amp;TEXT($AD1794,"0.000000")</f>
        <v>PV 124|0.000000</v>
      </c>
    </row>
    <row r="1795" customFormat="false" ht="15" hidden="false" customHeight="false" outlineLevel="0" collapsed="false">
      <c r="B1795" s="16" t="n">
        <v>8</v>
      </c>
      <c r="C1795" s="17" t="n">
        <f aca="false">DATA_INICIO_SAFRA+($B1795-1)*DIAS_POR_SEMANA</f>
        <v>46314</v>
      </c>
      <c r="D1795" s="17" t="n">
        <f aca="false">$C1795+DIAS_POR_SEMANA-1</f>
        <v>46320</v>
      </c>
      <c r="E1795" s="15" t="s">
        <v>286</v>
      </c>
      <c r="F1795" s="8" t="str">
        <f aca="false">IFERROR(INDEX(CADASTRO_PIVOS!$C$6:$C$41,MATCH($E1795,CADASTRO_PIVOS!$B$6:$B$41,0)),"?")</f>
        <v>RM07</v>
      </c>
      <c r="G1795" s="8" t="str">
        <f aca="false">IFERROR(INDEX(CADASTRO_PIVOS!$D$6:$D$41,MATCH($E1795,CADASTRO_PIVOS!$B$6:$B$41,0)),"?")</f>
        <v>TR07</v>
      </c>
      <c r="H1795" s="20" t="n">
        <f aca="false">IFERROR(INDEX(CADASTRO_PIVOS!$E$6:$E$41,MATCH($E1795,CADASTRO_PIVOS!$B$6:$B$41,0)),0)</f>
        <v>149.94</v>
      </c>
      <c r="I1795" s="16" t="n">
        <f aca="false">IFERROR(SUMIFS(ROTACAO_RDM!$B$6:$B$71,ROTACAO_RDM!$D$6:$D$71,$E1795,ROTACAO_RDM!$I$6:$I$71,"&lt;="&amp;$C1795+INT(DIAS_POR_SEMANA/2),ROTACAO_RDM!$J$6:$J$71,"&gt;="&amp;$C1795+INT(DIAS_POR_SEMANA/2)),0)</f>
        <v>44</v>
      </c>
      <c r="J1795" s="16" t="n">
        <f aca="false">IFERROR(MATCH($I1795,ROTACAO_RDM!$B$6:$B$71,0),0)</f>
        <v>44</v>
      </c>
      <c r="K1795" s="8" t="str">
        <f aca="false">IF($J1795=0,"SEM CULTURA",INDEX(ROTACAO_RDM!$F$6:$F$71,$J1795))</f>
        <v>SOJA</v>
      </c>
      <c r="L1795" s="8" t="str">
        <f aca="false">IF($J1795=0,"",INDEX(ROTACAO_RDM!$G$6:$G$71,$J1795))</f>
        <v>BMX Olimpo IPRO</v>
      </c>
      <c r="M1795" s="17" t="n">
        <f aca="false">IF($J1795=0,"",INDEX(ROTACAO_RDM!$I$6:$I$71,$J1795))</f>
        <v>46310</v>
      </c>
      <c r="N1795" s="16" t="n">
        <f aca="false">IF($J1795=0,0,MAX(0,$C1795+INT(DIAS_POR_SEMANA/2)-INDEX(ROTACAO_RDM!$I$6:$I$71,$J1795)))</f>
        <v>7</v>
      </c>
      <c r="O1795" s="19" t="n">
        <f aca="false">IF($J1795=0,0,MIN(1,$N1795/MAX(1,INDEX(ROTACAO_RDM!$K$6:$K$71,$J1795))))</f>
        <v>0.0573770491803279</v>
      </c>
      <c r="P1795" s="16" t="n">
        <f aca="false">IF($J1795=0,0,IFERROR(MATCH(INDEX(ROTACAO_RDM!$N$6:$N$71,$J1795),PARAMETROS_CULTURAS!$B$6:$B$28,0),0))</f>
        <v>2</v>
      </c>
      <c r="Q1795" s="8" t="str">
        <f aca="false">IF($P1795=0,"-",IF($O1795&lt;=INDEX(PARAMETROS_CULTURAS!$F$6:$F$28,$P1795),"INICIAL",IF($O1795&lt;=INDEX(PARAMETROS_CULTURAS!$F$6:$F$28,$P1795)+INDEX(PARAMETROS_CULTURAS!$G$6:$G$28,$P1795),"DESENVOLVIMENTO",IF($O1795&lt;=INDEX(PARAMETROS_CULTURAS!$F$6:$F$28,$P1795)+INDEX(PARAMETROS_CULTURAS!$G$6:$G$28,$P1795)+INDEX(PARAMETROS_CULTURAS!$H$6:$H$28,$P1795),"MEDIA","FINAL"))))</f>
        <v>INICIAL</v>
      </c>
      <c r="R1795" s="24" t="n">
        <f aca="false">IF($P1795=0,0,IF($O1795&lt;=INDEX(PARAMETROS_CULTURAS!$F$6:$F$28,$P1795),INDEX(PARAMETROS_CULTURAS!$K$6:$K$28,$P1795),IF($O1795&lt;=INDEX(PARAMETROS_CULTURAS!$F$6:$F$28,$P1795)+INDEX(PARAMETROS_CULTURAS!$G$6:$G$28,$P1795),INDEX(PARAMETROS_CULTURAS!$K$6:$K$28,$P1795)+(INDEX(PARAMETROS_CULTURAS!$L$6:$L$28,$P1795)-INDEX(PARAMETROS_CULTURAS!$K$6:$K$28,$P1795))*($O1795-INDEX(PARAMETROS_CULTURAS!$F$6:$F$28,$P1795))/MAX(INDEX(PARAMETROS_CULTURAS!$G$6:$G$28,$P1795),0.0001),IF($O1795&lt;=INDEX(PARAMETROS_CULTURAS!$F$6:$F$28,$P1795)+INDEX(PARAMETROS_CULTURAS!$G$6:$G$28,$P1795)+INDEX(PARAMETROS_CULTURAS!$H$6:$H$28,$P1795),INDEX(PARAMETROS_CULTURAS!$L$6:$L$28,$P1795),INDEX(PARAMETROS_CULTURAS!$L$6:$L$28,$P1795)+(INDEX(PARAMETROS_CULTURAS!$M$6:$M$28,$P1795)-INDEX(PARAMETROS_CULTURAS!$L$6:$L$28,$P1795))*($O1795-INDEX(PARAMETROS_CULTURAS!$F$6:$F$28,$P1795)-INDEX(PARAMETROS_CULTURAS!$G$6:$G$28,$P1795)-INDEX(PARAMETROS_CULTURAS!$H$6:$H$28,$P1795))/MAX(INDEX(PARAMETROS_CULTURAS!$I$6:$I$28,$P1795),0.0001)))))</f>
        <v>0.4</v>
      </c>
      <c r="S1795" s="18" t="n">
        <f aca="false">IFERROR(INDEX(SEMANAS!$H$6:$H$71,MATCH($B1795,SEMANAS!$B$6:$B$71,0)),0)</f>
        <v>39.2</v>
      </c>
      <c r="T1795" s="18" t="n">
        <f aca="false">$R1795*$S1795</f>
        <v>15.68</v>
      </c>
      <c r="U1795" s="18" t="n">
        <f aca="false">IFERROR(INDEX(SEMANAS!$I$6:$I$71,MATCH($B1795,SEMANAS!$B$6:$B$71,0)),0)</f>
        <v>27.09</v>
      </c>
      <c r="V1795" s="18" t="n">
        <f aca="false">IFERROR(INDEX(SEMANAS!$J$6:$J$71,MATCH($B1795,SEMANAS!$B$6:$B$71,0)),0)</f>
        <v>21.672</v>
      </c>
      <c r="W1795" s="18" t="n">
        <f aca="false">MAX(0,$T1795-$V1795)</f>
        <v>0</v>
      </c>
      <c r="X1795" s="19" t="n">
        <f aca="false">IFERROR(INDEX(CADASTRO_PIVOS!$K$6:$K$41,MATCH($E1795,CADASTRO_PIVOS!$B$6:$B$41,0)),EFICIENCIA_PADRAO)</f>
        <v>0.85</v>
      </c>
      <c r="Y1795" s="18" t="n">
        <f aca="false">IF($X1795&lt;=0,0,$W1795/$X1795)</f>
        <v>0</v>
      </c>
      <c r="Z1795" s="16" t="n">
        <f aca="false">$Y1795*$H1795*MM_PARA_M3_HA</f>
        <v>0</v>
      </c>
      <c r="AA1795" s="18" t="n">
        <f aca="false">IFERROR(INDEX(CADASTRO_PIVOS!$I$6:$I$41,MATCH($E1795,CADASTRO_PIVOS!$B$6:$B$41,0)),0)</f>
        <v>1071</v>
      </c>
      <c r="AB1795" s="18" t="n">
        <f aca="false">IF($Z1795&lt;=0,0,$Z1795/$AA1795)</f>
        <v>0</v>
      </c>
      <c r="AC1795" s="16" t="n">
        <f aca="false">IFERROR(INDEX(SEMANAS!$K$6:$K$71,MATCH($B1795,SEMANAS!$B$6:$B$71,0)),0)</f>
        <v>147</v>
      </c>
      <c r="AD1795" s="19" t="n">
        <f aca="false">IF($AC1795&lt;=0,0,$AB1795/$AC1795)</f>
        <v>0</v>
      </c>
      <c r="AE1795" s="8" t="str">
        <f aca="false">IF($K1795="SEM CULTURA","SEM CULTURA",IF($AA1795&lt;=0,"DADO PENDENTE",IF($AD1795&gt;LIMITE_CRITICO,"INVIAVEL",IF($AD1795&gt;LIMITE_ATENCAO,"CRITICO",IF($AD1795&gt;LIMITE_CONFORTAVEL,"ATENCAO","OK")))))</f>
        <v>OK</v>
      </c>
      <c r="AF1795" s="8" t="str">
        <f aca="false">$B1795&amp;"|"&amp;TEXT($AD1795,"0.000000")</f>
        <v>8|0.000000</v>
      </c>
      <c r="AG1795" s="18" t="n">
        <f aca="false">IF($K1795="SEM CULTURA",0,$T1795*$H1795)</f>
        <v>2351.0592</v>
      </c>
      <c r="AH1795" s="18" t="n">
        <f aca="false">IF($K1795="SEM CULTURA",0,$V1795*$H1795)</f>
        <v>3249.49968</v>
      </c>
      <c r="AI1795" s="18" t="n">
        <f aca="false">IF($K1795="SEM CULTURA",0,$W1795*$H1795)</f>
        <v>0</v>
      </c>
      <c r="AJ1795" s="18" t="n">
        <f aca="false">IF($K1795="SEM CULTURA",0,$S1795*$H1795)</f>
        <v>5877.648</v>
      </c>
      <c r="AK1795" s="8" t="str">
        <f aca="false">$E1795&amp;"|"&amp;TEXT($AD1795,"0.000000")</f>
        <v>PV 124|0.000000</v>
      </c>
    </row>
    <row r="1796" customFormat="false" ht="15" hidden="false" customHeight="false" outlineLevel="0" collapsed="false">
      <c r="B1796" s="16" t="n">
        <v>9</v>
      </c>
      <c r="C1796" s="17" t="n">
        <f aca="false">DATA_INICIO_SAFRA+($B1796-1)*DIAS_POR_SEMANA</f>
        <v>46321</v>
      </c>
      <c r="D1796" s="17" t="n">
        <f aca="false">$C1796+DIAS_POR_SEMANA-1</f>
        <v>46327</v>
      </c>
      <c r="E1796" s="15" t="s">
        <v>286</v>
      </c>
      <c r="F1796" s="8" t="str">
        <f aca="false">IFERROR(INDEX(CADASTRO_PIVOS!$C$6:$C$41,MATCH($E1796,CADASTRO_PIVOS!$B$6:$B$41,0)),"?")</f>
        <v>RM07</v>
      </c>
      <c r="G1796" s="8" t="str">
        <f aca="false">IFERROR(INDEX(CADASTRO_PIVOS!$D$6:$D$41,MATCH($E1796,CADASTRO_PIVOS!$B$6:$B$41,0)),"?")</f>
        <v>TR07</v>
      </c>
      <c r="H1796" s="20" t="n">
        <f aca="false">IFERROR(INDEX(CADASTRO_PIVOS!$E$6:$E$41,MATCH($E1796,CADASTRO_PIVOS!$B$6:$B$41,0)),0)</f>
        <v>149.94</v>
      </c>
      <c r="I1796" s="16" t="n">
        <f aca="false">IFERROR(SUMIFS(ROTACAO_RDM!$B$6:$B$71,ROTACAO_RDM!$D$6:$D$71,$E1796,ROTACAO_RDM!$I$6:$I$71,"&lt;="&amp;$C1796+INT(DIAS_POR_SEMANA/2),ROTACAO_RDM!$J$6:$J$71,"&gt;="&amp;$C1796+INT(DIAS_POR_SEMANA/2)),0)</f>
        <v>44</v>
      </c>
      <c r="J1796" s="16" t="n">
        <f aca="false">IFERROR(MATCH($I1796,ROTACAO_RDM!$B$6:$B$71,0),0)</f>
        <v>44</v>
      </c>
      <c r="K1796" s="8" t="str">
        <f aca="false">IF($J1796=0,"SEM CULTURA",INDEX(ROTACAO_RDM!$F$6:$F$71,$J1796))</f>
        <v>SOJA</v>
      </c>
      <c r="L1796" s="8" t="str">
        <f aca="false">IF($J1796=0,"",INDEX(ROTACAO_RDM!$G$6:$G$71,$J1796))</f>
        <v>BMX Olimpo IPRO</v>
      </c>
      <c r="M1796" s="17" t="n">
        <f aca="false">IF($J1796=0,"",INDEX(ROTACAO_RDM!$I$6:$I$71,$J1796))</f>
        <v>46310</v>
      </c>
      <c r="N1796" s="16" t="n">
        <f aca="false">IF($J1796=0,0,MAX(0,$C1796+INT(DIAS_POR_SEMANA/2)-INDEX(ROTACAO_RDM!$I$6:$I$71,$J1796)))</f>
        <v>14</v>
      </c>
      <c r="O1796" s="19" t="n">
        <f aca="false">IF($J1796=0,0,MIN(1,$N1796/MAX(1,INDEX(ROTACAO_RDM!$K$6:$K$71,$J1796))))</f>
        <v>0.114754098360656</v>
      </c>
      <c r="P1796" s="16" t="n">
        <f aca="false">IF($J1796=0,0,IFERROR(MATCH(INDEX(ROTACAO_RDM!$N$6:$N$71,$J1796),PARAMETROS_CULTURAS!$B$6:$B$28,0),0))</f>
        <v>2</v>
      </c>
      <c r="Q1796" s="8" t="str">
        <f aca="false">IF($P1796=0,"-",IF($O1796&lt;=INDEX(PARAMETROS_CULTURAS!$F$6:$F$28,$P1796),"INICIAL",IF($O1796&lt;=INDEX(PARAMETROS_CULTURAS!$F$6:$F$28,$P1796)+INDEX(PARAMETROS_CULTURAS!$G$6:$G$28,$P1796),"DESENVOLVIMENTO",IF($O1796&lt;=INDEX(PARAMETROS_CULTURAS!$F$6:$F$28,$P1796)+INDEX(PARAMETROS_CULTURAS!$G$6:$G$28,$P1796)+INDEX(PARAMETROS_CULTURAS!$H$6:$H$28,$P1796),"MEDIA","FINAL"))))</f>
        <v>INICIAL</v>
      </c>
      <c r="R1796" s="24" t="n">
        <f aca="false">IF($P1796=0,0,IF($O1796&lt;=INDEX(PARAMETROS_CULTURAS!$F$6:$F$28,$P1796),INDEX(PARAMETROS_CULTURAS!$K$6:$K$28,$P1796),IF($O1796&lt;=INDEX(PARAMETROS_CULTURAS!$F$6:$F$28,$P1796)+INDEX(PARAMETROS_CULTURAS!$G$6:$G$28,$P1796),INDEX(PARAMETROS_CULTURAS!$K$6:$K$28,$P1796)+(INDEX(PARAMETROS_CULTURAS!$L$6:$L$28,$P1796)-INDEX(PARAMETROS_CULTURAS!$K$6:$K$28,$P1796))*($O1796-INDEX(PARAMETROS_CULTURAS!$F$6:$F$28,$P1796))/MAX(INDEX(PARAMETROS_CULTURAS!$G$6:$G$28,$P1796),0.0001),IF($O1796&lt;=INDEX(PARAMETROS_CULTURAS!$F$6:$F$28,$P1796)+INDEX(PARAMETROS_CULTURAS!$G$6:$G$28,$P1796)+INDEX(PARAMETROS_CULTURAS!$H$6:$H$28,$P1796),INDEX(PARAMETROS_CULTURAS!$L$6:$L$28,$P1796),INDEX(PARAMETROS_CULTURAS!$L$6:$L$28,$P1796)+(INDEX(PARAMETROS_CULTURAS!$M$6:$M$28,$P1796)-INDEX(PARAMETROS_CULTURAS!$L$6:$L$28,$P1796))*($O1796-INDEX(PARAMETROS_CULTURAS!$F$6:$F$28,$P1796)-INDEX(PARAMETROS_CULTURAS!$G$6:$G$28,$P1796)-INDEX(PARAMETROS_CULTURAS!$H$6:$H$28,$P1796))/MAX(INDEX(PARAMETROS_CULTURAS!$I$6:$I$28,$P1796),0.0001)))))</f>
        <v>0.4</v>
      </c>
      <c r="S1796" s="18" t="n">
        <f aca="false">IFERROR(INDEX(SEMANAS!$H$6:$H$71,MATCH($B1796,SEMANAS!$B$6:$B$71,0)),0)</f>
        <v>38.5</v>
      </c>
      <c r="T1796" s="18" t="n">
        <f aca="false">$R1796*$S1796</f>
        <v>15.4</v>
      </c>
      <c r="U1796" s="18" t="n">
        <f aca="false">IFERROR(INDEX(SEMANAS!$I$6:$I$71,MATCH($B1796,SEMANAS!$B$6:$B$71,0)),0)</f>
        <v>29.89</v>
      </c>
      <c r="V1796" s="18" t="n">
        <f aca="false">IFERROR(INDEX(SEMANAS!$J$6:$J$71,MATCH($B1796,SEMANAS!$B$6:$B$71,0)),0)</f>
        <v>23.912</v>
      </c>
      <c r="W1796" s="18" t="n">
        <f aca="false">MAX(0,$T1796-$V1796)</f>
        <v>0</v>
      </c>
      <c r="X1796" s="19" t="n">
        <f aca="false">IFERROR(INDEX(CADASTRO_PIVOS!$K$6:$K$41,MATCH($E1796,CADASTRO_PIVOS!$B$6:$B$41,0)),EFICIENCIA_PADRAO)</f>
        <v>0.85</v>
      </c>
      <c r="Y1796" s="18" t="n">
        <f aca="false">IF($X1796&lt;=0,0,$W1796/$X1796)</f>
        <v>0</v>
      </c>
      <c r="Z1796" s="16" t="n">
        <f aca="false">$Y1796*$H1796*MM_PARA_M3_HA</f>
        <v>0</v>
      </c>
      <c r="AA1796" s="18" t="n">
        <f aca="false">IFERROR(INDEX(CADASTRO_PIVOS!$I$6:$I$41,MATCH($E1796,CADASTRO_PIVOS!$B$6:$B$41,0)),0)</f>
        <v>1071</v>
      </c>
      <c r="AB1796" s="18" t="n">
        <f aca="false">IF($Z1796&lt;=0,0,$Z1796/$AA1796)</f>
        <v>0</v>
      </c>
      <c r="AC1796" s="16" t="n">
        <f aca="false">IFERROR(INDEX(SEMANAS!$K$6:$K$71,MATCH($B1796,SEMANAS!$B$6:$B$71,0)),0)</f>
        <v>147</v>
      </c>
      <c r="AD1796" s="19" t="n">
        <f aca="false">IF($AC1796&lt;=0,0,$AB1796/$AC1796)</f>
        <v>0</v>
      </c>
      <c r="AE1796" s="8" t="str">
        <f aca="false">IF($K1796="SEM CULTURA","SEM CULTURA",IF($AA1796&lt;=0,"DADO PENDENTE",IF($AD1796&gt;LIMITE_CRITICO,"INVIAVEL",IF($AD1796&gt;LIMITE_ATENCAO,"CRITICO",IF($AD1796&gt;LIMITE_CONFORTAVEL,"ATENCAO","OK")))))</f>
        <v>OK</v>
      </c>
      <c r="AF1796" s="8" t="str">
        <f aca="false">$B1796&amp;"|"&amp;TEXT($AD1796,"0.000000")</f>
        <v>9|0.000000</v>
      </c>
      <c r="AG1796" s="18" t="n">
        <f aca="false">IF($K1796="SEM CULTURA",0,$T1796*$H1796)</f>
        <v>2309.076</v>
      </c>
      <c r="AH1796" s="18" t="n">
        <f aca="false">IF($K1796="SEM CULTURA",0,$V1796*$H1796)</f>
        <v>3585.36528</v>
      </c>
      <c r="AI1796" s="18" t="n">
        <f aca="false">IF($K1796="SEM CULTURA",0,$W1796*$H1796)</f>
        <v>0</v>
      </c>
      <c r="AJ1796" s="18" t="n">
        <f aca="false">IF($K1796="SEM CULTURA",0,$S1796*$H1796)</f>
        <v>5772.69</v>
      </c>
      <c r="AK1796" s="8" t="str">
        <f aca="false">$E1796&amp;"|"&amp;TEXT($AD1796,"0.000000")</f>
        <v>PV 124|0.000000</v>
      </c>
    </row>
    <row r="1797" customFormat="false" ht="15" hidden="false" customHeight="false" outlineLevel="0" collapsed="false">
      <c r="B1797" s="16" t="n">
        <v>10</v>
      </c>
      <c r="C1797" s="17" t="n">
        <f aca="false">DATA_INICIO_SAFRA+($B1797-1)*DIAS_POR_SEMANA</f>
        <v>46328</v>
      </c>
      <c r="D1797" s="17" t="n">
        <f aca="false">$C1797+DIAS_POR_SEMANA-1</f>
        <v>46334</v>
      </c>
      <c r="E1797" s="15" t="s">
        <v>286</v>
      </c>
      <c r="F1797" s="8" t="str">
        <f aca="false">IFERROR(INDEX(CADASTRO_PIVOS!$C$6:$C$41,MATCH($E1797,CADASTRO_PIVOS!$B$6:$B$41,0)),"?")</f>
        <v>RM07</v>
      </c>
      <c r="G1797" s="8" t="str">
        <f aca="false">IFERROR(INDEX(CADASTRO_PIVOS!$D$6:$D$41,MATCH($E1797,CADASTRO_PIVOS!$B$6:$B$41,0)),"?")</f>
        <v>TR07</v>
      </c>
      <c r="H1797" s="20" t="n">
        <f aca="false">IFERROR(INDEX(CADASTRO_PIVOS!$E$6:$E$41,MATCH($E1797,CADASTRO_PIVOS!$B$6:$B$41,0)),0)</f>
        <v>149.94</v>
      </c>
      <c r="I1797" s="16" t="n">
        <f aca="false">IFERROR(SUMIFS(ROTACAO_RDM!$B$6:$B$71,ROTACAO_RDM!$D$6:$D$71,$E1797,ROTACAO_RDM!$I$6:$I$71,"&lt;="&amp;$C1797+INT(DIAS_POR_SEMANA/2),ROTACAO_RDM!$J$6:$J$71,"&gt;="&amp;$C1797+INT(DIAS_POR_SEMANA/2)),0)</f>
        <v>44</v>
      </c>
      <c r="J1797" s="16" t="n">
        <f aca="false">IFERROR(MATCH($I1797,ROTACAO_RDM!$B$6:$B$71,0),0)</f>
        <v>44</v>
      </c>
      <c r="K1797" s="8" t="str">
        <f aca="false">IF($J1797=0,"SEM CULTURA",INDEX(ROTACAO_RDM!$F$6:$F$71,$J1797))</f>
        <v>SOJA</v>
      </c>
      <c r="L1797" s="8" t="str">
        <f aca="false">IF($J1797=0,"",INDEX(ROTACAO_RDM!$G$6:$G$71,$J1797))</f>
        <v>BMX Olimpo IPRO</v>
      </c>
      <c r="M1797" s="17" t="n">
        <f aca="false">IF($J1797=0,"",INDEX(ROTACAO_RDM!$I$6:$I$71,$J1797))</f>
        <v>46310</v>
      </c>
      <c r="N1797" s="16" t="n">
        <f aca="false">IF($J1797=0,0,MAX(0,$C1797+INT(DIAS_POR_SEMANA/2)-INDEX(ROTACAO_RDM!$I$6:$I$71,$J1797)))</f>
        <v>21</v>
      </c>
      <c r="O1797" s="19" t="n">
        <f aca="false">IF($J1797=0,0,MIN(1,$N1797/MAX(1,INDEX(ROTACAO_RDM!$K$6:$K$71,$J1797))))</f>
        <v>0.172131147540984</v>
      </c>
      <c r="P1797" s="16" t="n">
        <f aca="false">IF($J1797=0,0,IFERROR(MATCH(INDEX(ROTACAO_RDM!$N$6:$N$71,$J1797),PARAMETROS_CULTURAS!$B$6:$B$28,0),0))</f>
        <v>2</v>
      </c>
      <c r="Q1797" s="8" t="str">
        <f aca="false">IF($P1797=0,"-",IF($O1797&lt;=INDEX(PARAMETROS_CULTURAS!$F$6:$F$28,$P1797),"INICIAL",IF($O1797&lt;=INDEX(PARAMETROS_CULTURAS!$F$6:$F$28,$P1797)+INDEX(PARAMETROS_CULTURAS!$G$6:$G$28,$P1797),"DESENVOLVIMENTO",IF($O1797&lt;=INDEX(PARAMETROS_CULTURAS!$F$6:$F$28,$P1797)+INDEX(PARAMETROS_CULTURAS!$G$6:$G$28,$P1797)+INDEX(PARAMETROS_CULTURAS!$H$6:$H$28,$P1797),"MEDIA","FINAL"))))</f>
        <v>DESENVOLVIMENTO</v>
      </c>
      <c r="R1797" s="24" t="n">
        <f aca="false">IF($P1797=0,0,IF($O1797&lt;=INDEX(PARAMETROS_CULTURAS!$F$6:$F$28,$P1797),INDEX(PARAMETROS_CULTURAS!$K$6:$K$28,$P1797),IF($O1797&lt;=INDEX(PARAMETROS_CULTURAS!$F$6:$F$28,$P1797)+INDEX(PARAMETROS_CULTURAS!$G$6:$G$28,$P1797),INDEX(PARAMETROS_CULTURAS!$K$6:$K$28,$P1797)+(INDEX(PARAMETROS_CULTURAS!$L$6:$L$28,$P1797)-INDEX(PARAMETROS_CULTURAS!$K$6:$K$28,$P1797))*($O1797-INDEX(PARAMETROS_CULTURAS!$F$6:$F$28,$P1797))/MAX(INDEX(PARAMETROS_CULTURAS!$G$6:$G$28,$P1797),0.0001),IF($O1797&lt;=INDEX(PARAMETROS_CULTURAS!$F$6:$F$28,$P1797)+INDEX(PARAMETROS_CULTURAS!$G$6:$G$28,$P1797)+INDEX(PARAMETROS_CULTURAS!$H$6:$H$28,$P1797),INDEX(PARAMETROS_CULTURAS!$L$6:$L$28,$P1797),INDEX(PARAMETROS_CULTURAS!$L$6:$L$28,$P1797)+(INDEX(PARAMETROS_CULTURAS!$M$6:$M$28,$P1797)-INDEX(PARAMETROS_CULTURAS!$L$6:$L$28,$P1797))*($O1797-INDEX(PARAMETROS_CULTURAS!$F$6:$F$28,$P1797)-INDEX(PARAMETROS_CULTURAS!$G$6:$G$28,$P1797)-INDEX(PARAMETROS_CULTURAS!$H$6:$H$28,$P1797))/MAX(INDEX(PARAMETROS_CULTURAS!$I$6:$I$28,$P1797),0.0001)))))</f>
        <v>0.439558089807555</v>
      </c>
      <c r="S1797" s="18" t="n">
        <f aca="false">IFERROR(INDEX(SEMANAS!$H$6:$H$71,MATCH($B1797,SEMANAS!$B$6:$B$71,0)),0)</f>
        <v>34.3</v>
      </c>
      <c r="T1797" s="18" t="n">
        <f aca="false">$R1797*$S1797</f>
        <v>15.0768424803991</v>
      </c>
      <c r="U1797" s="18" t="n">
        <f aca="false">IFERROR(INDEX(SEMANAS!$I$6:$I$71,MATCH($B1797,SEMANAS!$B$6:$B$71,0)),0)</f>
        <v>46.69</v>
      </c>
      <c r="V1797" s="18" t="n">
        <f aca="false">IFERROR(INDEX(SEMANAS!$J$6:$J$71,MATCH($B1797,SEMANAS!$B$6:$B$71,0)),0)</f>
        <v>37.352</v>
      </c>
      <c r="W1797" s="18" t="n">
        <f aca="false">MAX(0,$T1797-$V1797)</f>
        <v>0</v>
      </c>
      <c r="X1797" s="19" t="n">
        <f aca="false">IFERROR(INDEX(CADASTRO_PIVOS!$K$6:$K$41,MATCH($E1797,CADASTRO_PIVOS!$B$6:$B$41,0)),EFICIENCIA_PADRAO)</f>
        <v>0.85</v>
      </c>
      <c r="Y1797" s="18" t="n">
        <f aca="false">IF($X1797&lt;=0,0,$W1797/$X1797)</f>
        <v>0</v>
      </c>
      <c r="Z1797" s="16" t="n">
        <f aca="false">$Y1797*$H1797*MM_PARA_M3_HA</f>
        <v>0</v>
      </c>
      <c r="AA1797" s="18" t="n">
        <f aca="false">IFERROR(INDEX(CADASTRO_PIVOS!$I$6:$I$41,MATCH($E1797,CADASTRO_PIVOS!$B$6:$B$41,0)),0)</f>
        <v>1071</v>
      </c>
      <c r="AB1797" s="18" t="n">
        <f aca="false">IF($Z1797&lt;=0,0,$Z1797/$AA1797)</f>
        <v>0</v>
      </c>
      <c r="AC1797" s="16" t="n">
        <f aca="false">IFERROR(INDEX(SEMANAS!$K$6:$K$71,MATCH($B1797,SEMANAS!$B$6:$B$71,0)),0)</f>
        <v>147</v>
      </c>
      <c r="AD1797" s="19" t="n">
        <f aca="false">IF($AC1797&lt;=0,0,$AB1797/$AC1797)</f>
        <v>0</v>
      </c>
      <c r="AE1797" s="8" t="str">
        <f aca="false">IF($K1797="SEM CULTURA","SEM CULTURA",IF($AA1797&lt;=0,"DADO PENDENTE",IF($AD1797&gt;LIMITE_CRITICO,"INVIAVEL",IF($AD1797&gt;LIMITE_ATENCAO,"CRITICO",IF($AD1797&gt;LIMITE_CONFORTAVEL,"ATENCAO","OK")))))</f>
        <v>OK</v>
      </c>
      <c r="AF1797" s="8" t="str">
        <f aca="false">$B1797&amp;"|"&amp;TEXT($AD1797,"0.000000")</f>
        <v>10|0.000000</v>
      </c>
      <c r="AG1797" s="18" t="n">
        <f aca="false">IF($K1797="SEM CULTURA",0,$T1797*$H1797)</f>
        <v>2260.62176151105</v>
      </c>
      <c r="AH1797" s="18" t="n">
        <f aca="false">IF($K1797="SEM CULTURA",0,$V1797*$H1797)</f>
        <v>5600.55888</v>
      </c>
      <c r="AI1797" s="18" t="n">
        <f aca="false">IF($K1797="SEM CULTURA",0,$W1797*$H1797)</f>
        <v>0</v>
      </c>
      <c r="AJ1797" s="18" t="n">
        <f aca="false">IF($K1797="SEM CULTURA",0,$S1797*$H1797)</f>
        <v>5142.942</v>
      </c>
      <c r="AK1797" s="8" t="str">
        <f aca="false">$E1797&amp;"|"&amp;TEXT($AD1797,"0.000000")</f>
        <v>PV 124|0.000000</v>
      </c>
    </row>
    <row r="1798" customFormat="false" ht="15" hidden="false" customHeight="false" outlineLevel="0" collapsed="false">
      <c r="B1798" s="16" t="n">
        <v>11</v>
      </c>
      <c r="C1798" s="17" t="n">
        <f aca="false">DATA_INICIO_SAFRA+($B1798-1)*DIAS_POR_SEMANA</f>
        <v>46335</v>
      </c>
      <c r="D1798" s="17" t="n">
        <f aca="false">$C1798+DIAS_POR_SEMANA-1</f>
        <v>46341</v>
      </c>
      <c r="E1798" s="15" t="s">
        <v>286</v>
      </c>
      <c r="F1798" s="8" t="str">
        <f aca="false">IFERROR(INDEX(CADASTRO_PIVOS!$C$6:$C$41,MATCH($E1798,CADASTRO_PIVOS!$B$6:$B$41,0)),"?")</f>
        <v>RM07</v>
      </c>
      <c r="G1798" s="8" t="str">
        <f aca="false">IFERROR(INDEX(CADASTRO_PIVOS!$D$6:$D$41,MATCH($E1798,CADASTRO_PIVOS!$B$6:$B$41,0)),"?")</f>
        <v>TR07</v>
      </c>
      <c r="H1798" s="20" t="n">
        <f aca="false">IFERROR(INDEX(CADASTRO_PIVOS!$E$6:$E$41,MATCH($E1798,CADASTRO_PIVOS!$B$6:$B$41,0)),0)</f>
        <v>149.94</v>
      </c>
      <c r="I1798" s="16" t="n">
        <f aca="false">IFERROR(SUMIFS(ROTACAO_RDM!$B$6:$B$71,ROTACAO_RDM!$D$6:$D$71,$E1798,ROTACAO_RDM!$I$6:$I$71,"&lt;="&amp;$C1798+INT(DIAS_POR_SEMANA/2),ROTACAO_RDM!$J$6:$J$71,"&gt;="&amp;$C1798+INT(DIAS_POR_SEMANA/2)),0)</f>
        <v>44</v>
      </c>
      <c r="J1798" s="16" t="n">
        <f aca="false">IFERROR(MATCH($I1798,ROTACAO_RDM!$B$6:$B$71,0),0)</f>
        <v>44</v>
      </c>
      <c r="K1798" s="8" t="str">
        <f aca="false">IF($J1798=0,"SEM CULTURA",INDEX(ROTACAO_RDM!$F$6:$F$71,$J1798))</f>
        <v>SOJA</v>
      </c>
      <c r="L1798" s="8" t="str">
        <f aca="false">IF($J1798=0,"",INDEX(ROTACAO_RDM!$G$6:$G$71,$J1798))</f>
        <v>BMX Olimpo IPRO</v>
      </c>
      <c r="M1798" s="17" t="n">
        <f aca="false">IF($J1798=0,"",INDEX(ROTACAO_RDM!$I$6:$I$71,$J1798))</f>
        <v>46310</v>
      </c>
      <c r="N1798" s="16" t="n">
        <f aca="false">IF($J1798=0,0,MAX(0,$C1798+INT(DIAS_POR_SEMANA/2)-INDEX(ROTACAO_RDM!$I$6:$I$71,$J1798)))</f>
        <v>28</v>
      </c>
      <c r="O1798" s="19" t="n">
        <f aca="false">IF($J1798=0,0,MIN(1,$N1798/MAX(1,INDEX(ROTACAO_RDM!$K$6:$K$71,$J1798))))</f>
        <v>0.229508196721311</v>
      </c>
      <c r="P1798" s="16" t="n">
        <f aca="false">IF($J1798=0,0,IFERROR(MATCH(INDEX(ROTACAO_RDM!$N$6:$N$71,$J1798),PARAMETROS_CULTURAS!$B$6:$B$28,0),0))</f>
        <v>2</v>
      </c>
      <c r="Q1798" s="8" t="str">
        <f aca="false">IF($P1798=0,"-",IF($O1798&lt;=INDEX(PARAMETROS_CULTURAS!$F$6:$F$28,$P1798),"INICIAL",IF($O1798&lt;=INDEX(PARAMETROS_CULTURAS!$F$6:$F$28,$P1798)+INDEX(PARAMETROS_CULTURAS!$G$6:$G$28,$P1798),"DESENVOLVIMENTO",IF($O1798&lt;=INDEX(PARAMETROS_CULTURAS!$F$6:$F$28,$P1798)+INDEX(PARAMETROS_CULTURAS!$G$6:$G$28,$P1798)+INDEX(PARAMETROS_CULTURAS!$H$6:$H$28,$P1798),"MEDIA","FINAL"))))</f>
        <v>DESENVOLVIMENTO</v>
      </c>
      <c r="R1798" s="24" t="n">
        <f aca="false">IF($P1798=0,0,IF($O1798&lt;=INDEX(PARAMETROS_CULTURAS!$F$6:$F$28,$P1798),INDEX(PARAMETROS_CULTURAS!$K$6:$K$28,$P1798),IF($O1798&lt;=INDEX(PARAMETROS_CULTURAS!$F$6:$F$28,$P1798)+INDEX(PARAMETROS_CULTURAS!$G$6:$G$28,$P1798),INDEX(PARAMETROS_CULTURAS!$K$6:$K$28,$P1798)+(INDEX(PARAMETROS_CULTURAS!$L$6:$L$28,$P1798)-INDEX(PARAMETROS_CULTURAS!$K$6:$K$28,$P1798))*($O1798-INDEX(PARAMETROS_CULTURAS!$F$6:$F$28,$P1798))/MAX(INDEX(PARAMETROS_CULTURAS!$G$6:$G$28,$P1798),0.0001),IF($O1798&lt;=INDEX(PARAMETROS_CULTURAS!$F$6:$F$28,$P1798)+INDEX(PARAMETROS_CULTURAS!$G$6:$G$28,$P1798)+INDEX(PARAMETROS_CULTURAS!$H$6:$H$28,$P1798),INDEX(PARAMETROS_CULTURAS!$L$6:$L$28,$P1798),INDEX(PARAMETROS_CULTURAS!$L$6:$L$28,$P1798)+(INDEX(PARAMETROS_CULTURAS!$M$6:$M$28,$P1798)-INDEX(PARAMETROS_CULTURAS!$L$6:$L$28,$P1798))*($O1798-INDEX(PARAMETROS_CULTURAS!$F$6:$F$28,$P1798)-INDEX(PARAMETROS_CULTURAS!$G$6:$G$28,$P1798)-INDEX(PARAMETROS_CULTURAS!$H$6:$H$28,$P1798))/MAX(INDEX(PARAMETROS_CULTURAS!$I$6:$I$28,$P1798),0.0001)))))</f>
        <v>0.626657163221668</v>
      </c>
      <c r="S1798" s="18" t="n">
        <f aca="false">IFERROR(INDEX(SEMANAS!$H$6:$H$71,MATCH($B1798,SEMANAS!$B$6:$B$71,0)),0)</f>
        <v>34.3</v>
      </c>
      <c r="T1798" s="18" t="n">
        <f aca="false">$R1798*$S1798</f>
        <v>21.4943406985032</v>
      </c>
      <c r="U1798" s="18" t="n">
        <f aca="false">IFERROR(INDEX(SEMANAS!$I$6:$I$71,MATCH($B1798,SEMANAS!$B$6:$B$71,0)),0)</f>
        <v>46.69</v>
      </c>
      <c r="V1798" s="18" t="n">
        <f aca="false">IFERROR(INDEX(SEMANAS!$J$6:$J$71,MATCH($B1798,SEMANAS!$B$6:$B$71,0)),0)</f>
        <v>37.352</v>
      </c>
      <c r="W1798" s="18" t="n">
        <f aca="false">MAX(0,$T1798-$V1798)</f>
        <v>0</v>
      </c>
      <c r="X1798" s="19" t="n">
        <f aca="false">IFERROR(INDEX(CADASTRO_PIVOS!$K$6:$K$41,MATCH($E1798,CADASTRO_PIVOS!$B$6:$B$41,0)),EFICIENCIA_PADRAO)</f>
        <v>0.85</v>
      </c>
      <c r="Y1798" s="18" t="n">
        <f aca="false">IF($X1798&lt;=0,0,$W1798/$X1798)</f>
        <v>0</v>
      </c>
      <c r="Z1798" s="16" t="n">
        <f aca="false">$Y1798*$H1798*MM_PARA_M3_HA</f>
        <v>0</v>
      </c>
      <c r="AA1798" s="18" t="n">
        <f aca="false">IFERROR(INDEX(CADASTRO_PIVOS!$I$6:$I$41,MATCH($E1798,CADASTRO_PIVOS!$B$6:$B$41,0)),0)</f>
        <v>1071</v>
      </c>
      <c r="AB1798" s="18" t="n">
        <f aca="false">IF($Z1798&lt;=0,0,$Z1798/$AA1798)</f>
        <v>0</v>
      </c>
      <c r="AC1798" s="16" t="n">
        <f aca="false">IFERROR(INDEX(SEMANAS!$K$6:$K$71,MATCH($B1798,SEMANAS!$B$6:$B$71,0)),0)</f>
        <v>147</v>
      </c>
      <c r="AD1798" s="19" t="n">
        <f aca="false">IF($AC1798&lt;=0,0,$AB1798/$AC1798)</f>
        <v>0</v>
      </c>
      <c r="AE1798" s="8" t="str">
        <f aca="false">IF($K1798="SEM CULTURA","SEM CULTURA",IF($AA1798&lt;=0,"DADO PENDENTE",IF($AD1798&gt;LIMITE_CRITICO,"INVIAVEL",IF($AD1798&gt;LIMITE_ATENCAO,"CRITICO",IF($AD1798&gt;LIMITE_CONFORTAVEL,"ATENCAO","OK")))))</f>
        <v>OK</v>
      </c>
      <c r="AF1798" s="8" t="str">
        <f aca="false">$B1798&amp;"|"&amp;TEXT($AD1798,"0.000000")</f>
        <v>11|0.000000</v>
      </c>
      <c r="AG1798" s="18" t="n">
        <f aca="false">IF($K1798="SEM CULTURA",0,$T1798*$H1798)</f>
        <v>3222.86144433357</v>
      </c>
      <c r="AH1798" s="18" t="n">
        <f aca="false">IF($K1798="SEM CULTURA",0,$V1798*$H1798)</f>
        <v>5600.55888</v>
      </c>
      <c r="AI1798" s="18" t="n">
        <f aca="false">IF($K1798="SEM CULTURA",0,$W1798*$H1798)</f>
        <v>0</v>
      </c>
      <c r="AJ1798" s="18" t="n">
        <f aca="false">IF($K1798="SEM CULTURA",0,$S1798*$H1798)</f>
        <v>5142.942</v>
      </c>
      <c r="AK1798" s="8" t="str">
        <f aca="false">$E1798&amp;"|"&amp;TEXT($AD1798,"0.000000")</f>
        <v>PV 124|0.000000</v>
      </c>
    </row>
    <row r="1799" customFormat="false" ht="15" hidden="false" customHeight="false" outlineLevel="0" collapsed="false">
      <c r="B1799" s="16" t="n">
        <v>12</v>
      </c>
      <c r="C1799" s="17" t="n">
        <f aca="false">DATA_INICIO_SAFRA+($B1799-1)*DIAS_POR_SEMANA</f>
        <v>46342</v>
      </c>
      <c r="D1799" s="17" t="n">
        <f aca="false">$C1799+DIAS_POR_SEMANA-1</f>
        <v>46348</v>
      </c>
      <c r="E1799" s="15" t="s">
        <v>286</v>
      </c>
      <c r="F1799" s="8" t="str">
        <f aca="false">IFERROR(INDEX(CADASTRO_PIVOS!$C$6:$C$41,MATCH($E1799,CADASTRO_PIVOS!$B$6:$B$41,0)),"?")</f>
        <v>RM07</v>
      </c>
      <c r="G1799" s="8" t="str">
        <f aca="false">IFERROR(INDEX(CADASTRO_PIVOS!$D$6:$D$41,MATCH($E1799,CADASTRO_PIVOS!$B$6:$B$41,0)),"?")</f>
        <v>TR07</v>
      </c>
      <c r="H1799" s="20" t="n">
        <f aca="false">IFERROR(INDEX(CADASTRO_PIVOS!$E$6:$E$41,MATCH($E1799,CADASTRO_PIVOS!$B$6:$B$41,0)),0)</f>
        <v>149.94</v>
      </c>
      <c r="I1799" s="16" t="n">
        <f aca="false">IFERROR(SUMIFS(ROTACAO_RDM!$B$6:$B$71,ROTACAO_RDM!$D$6:$D$71,$E1799,ROTACAO_RDM!$I$6:$I$71,"&lt;="&amp;$C1799+INT(DIAS_POR_SEMANA/2),ROTACAO_RDM!$J$6:$J$71,"&gt;="&amp;$C1799+INT(DIAS_POR_SEMANA/2)),0)</f>
        <v>44</v>
      </c>
      <c r="J1799" s="16" t="n">
        <f aca="false">IFERROR(MATCH($I1799,ROTACAO_RDM!$B$6:$B$71,0),0)</f>
        <v>44</v>
      </c>
      <c r="K1799" s="8" t="str">
        <f aca="false">IF($J1799=0,"SEM CULTURA",INDEX(ROTACAO_RDM!$F$6:$F$71,$J1799))</f>
        <v>SOJA</v>
      </c>
      <c r="L1799" s="8" t="str">
        <f aca="false">IF($J1799=0,"",INDEX(ROTACAO_RDM!$G$6:$G$71,$J1799))</f>
        <v>BMX Olimpo IPRO</v>
      </c>
      <c r="M1799" s="17" t="n">
        <f aca="false">IF($J1799=0,"",INDEX(ROTACAO_RDM!$I$6:$I$71,$J1799))</f>
        <v>46310</v>
      </c>
      <c r="N1799" s="16" t="n">
        <f aca="false">IF($J1799=0,0,MAX(0,$C1799+INT(DIAS_POR_SEMANA/2)-INDEX(ROTACAO_RDM!$I$6:$I$71,$J1799)))</f>
        <v>35</v>
      </c>
      <c r="O1799" s="19" t="n">
        <f aca="false">IF($J1799=0,0,MIN(1,$N1799/MAX(1,INDEX(ROTACAO_RDM!$K$6:$K$71,$J1799))))</f>
        <v>0.286885245901639</v>
      </c>
      <c r="P1799" s="16" t="n">
        <f aca="false">IF($J1799=0,0,IFERROR(MATCH(INDEX(ROTACAO_RDM!$N$6:$N$71,$J1799),PARAMETROS_CULTURAS!$B$6:$B$28,0),0))</f>
        <v>2</v>
      </c>
      <c r="Q1799" s="8" t="str">
        <f aca="false">IF($P1799=0,"-",IF($O1799&lt;=INDEX(PARAMETROS_CULTURAS!$F$6:$F$28,$P1799),"INICIAL",IF($O1799&lt;=INDEX(PARAMETROS_CULTURAS!$F$6:$F$28,$P1799)+INDEX(PARAMETROS_CULTURAS!$G$6:$G$28,$P1799),"DESENVOLVIMENTO",IF($O1799&lt;=INDEX(PARAMETROS_CULTURAS!$F$6:$F$28,$P1799)+INDEX(PARAMETROS_CULTURAS!$G$6:$G$28,$P1799)+INDEX(PARAMETROS_CULTURAS!$H$6:$H$28,$P1799),"MEDIA","FINAL"))))</f>
        <v>DESENVOLVIMENTO</v>
      </c>
      <c r="R1799" s="24" t="n">
        <f aca="false">IF($P1799=0,0,IF($O1799&lt;=INDEX(PARAMETROS_CULTURAS!$F$6:$F$28,$P1799),INDEX(PARAMETROS_CULTURAS!$K$6:$K$28,$P1799),IF($O1799&lt;=INDEX(PARAMETROS_CULTURAS!$F$6:$F$28,$P1799)+INDEX(PARAMETROS_CULTURAS!$G$6:$G$28,$P1799),INDEX(PARAMETROS_CULTURAS!$K$6:$K$28,$P1799)+(INDEX(PARAMETROS_CULTURAS!$L$6:$L$28,$P1799)-INDEX(PARAMETROS_CULTURAS!$K$6:$K$28,$P1799))*($O1799-INDEX(PARAMETROS_CULTURAS!$F$6:$F$28,$P1799))/MAX(INDEX(PARAMETROS_CULTURAS!$G$6:$G$28,$P1799),0.0001),IF($O1799&lt;=INDEX(PARAMETROS_CULTURAS!$F$6:$F$28,$P1799)+INDEX(PARAMETROS_CULTURAS!$G$6:$G$28,$P1799)+INDEX(PARAMETROS_CULTURAS!$H$6:$H$28,$P1799),INDEX(PARAMETROS_CULTURAS!$L$6:$L$28,$P1799),INDEX(PARAMETROS_CULTURAS!$L$6:$L$28,$P1799)+(INDEX(PARAMETROS_CULTURAS!$M$6:$M$28,$P1799)-INDEX(PARAMETROS_CULTURAS!$L$6:$L$28,$P1799))*($O1799-INDEX(PARAMETROS_CULTURAS!$F$6:$F$28,$P1799)-INDEX(PARAMETROS_CULTURAS!$G$6:$G$28,$P1799)-INDEX(PARAMETROS_CULTURAS!$H$6:$H$28,$P1799))/MAX(INDEX(PARAMETROS_CULTURAS!$I$6:$I$28,$P1799),0.0001)))))</f>
        <v>0.81375623663578</v>
      </c>
      <c r="S1799" s="18" t="n">
        <f aca="false">IFERROR(INDEX(SEMANAS!$H$6:$H$71,MATCH($B1799,SEMANAS!$B$6:$B$71,0)),0)</f>
        <v>34.3</v>
      </c>
      <c r="T1799" s="18" t="n">
        <f aca="false">$R1799*$S1799</f>
        <v>27.9118389166073</v>
      </c>
      <c r="U1799" s="18" t="n">
        <f aca="false">IFERROR(INDEX(SEMANAS!$I$6:$I$71,MATCH($B1799,SEMANAS!$B$6:$B$71,0)),0)</f>
        <v>46.69</v>
      </c>
      <c r="V1799" s="18" t="n">
        <f aca="false">IFERROR(INDEX(SEMANAS!$J$6:$J$71,MATCH($B1799,SEMANAS!$B$6:$B$71,0)),0)</f>
        <v>37.352</v>
      </c>
      <c r="W1799" s="18" t="n">
        <f aca="false">MAX(0,$T1799-$V1799)</f>
        <v>0</v>
      </c>
      <c r="X1799" s="19" t="n">
        <f aca="false">IFERROR(INDEX(CADASTRO_PIVOS!$K$6:$K$41,MATCH($E1799,CADASTRO_PIVOS!$B$6:$B$41,0)),EFICIENCIA_PADRAO)</f>
        <v>0.85</v>
      </c>
      <c r="Y1799" s="18" t="n">
        <f aca="false">IF($X1799&lt;=0,0,$W1799/$X1799)</f>
        <v>0</v>
      </c>
      <c r="Z1799" s="16" t="n">
        <f aca="false">$Y1799*$H1799*MM_PARA_M3_HA</f>
        <v>0</v>
      </c>
      <c r="AA1799" s="18" t="n">
        <f aca="false">IFERROR(INDEX(CADASTRO_PIVOS!$I$6:$I$41,MATCH($E1799,CADASTRO_PIVOS!$B$6:$B$41,0)),0)</f>
        <v>1071</v>
      </c>
      <c r="AB1799" s="18" t="n">
        <f aca="false">IF($Z1799&lt;=0,0,$Z1799/$AA1799)</f>
        <v>0</v>
      </c>
      <c r="AC1799" s="16" t="n">
        <f aca="false">IFERROR(INDEX(SEMANAS!$K$6:$K$71,MATCH($B1799,SEMANAS!$B$6:$B$71,0)),0)</f>
        <v>147</v>
      </c>
      <c r="AD1799" s="19" t="n">
        <f aca="false">IF($AC1799&lt;=0,0,$AB1799/$AC1799)</f>
        <v>0</v>
      </c>
      <c r="AE1799" s="8" t="str">
        <f aca="false">IF($K1799="SEM CULTURA","SEM CULTURA",IF($AA1799&lt;=0,"DADO PENDENTE",IF($AD1799&gt;LIMITE_CRITICO,"INVIAVEL",IF($AD1799&gt;LIMITE_ATENCAO,"CRITICO",IF($AD1799&gt;LIMITE_CONFORTAVEL,"ATENCAO","OK")))))</f>
        <v>OK</v>
      </c>
      <c r="AF1799" s="8" t="str">
        <f aca="false">$B1799&amp;"|"&amp;TEXT($AD1799,"0.000000")</f>
        <v>12|0.000000</v>
      </c>
      <c r="AG1799" s="18" t="n">
        <f aca="false">IF($K1799="SEM CULTURA",0,$T1799*$H1799)</f>
        <v>4185.10112715609</v>
      </c>
      <c r="AH1799" s="18" t="n">
        <f aca="false">IF($K1799="SEM CULTURA",0,$V1799*$H1799)</f>
        <v>5600.55888</v>
      </c>
      <c r="AI1799" s="18" t="n">
        <f aca="false">IF($K1799="SEM CULTURA",0,$W1799*$H1799)</f>
        <v>0</v>
      </c>
      <c r="AJ1799" s="18" t="n">
        <f aca="false">IF($K1799="SEM CULTURA",0,$S1799*$H1799)</f>
        <v>5142.942</v>
      </c>
      <c r="AK1799" s="8" t="str">
        <f aca="false">$E1799&amp;"|"&amp;TEXT($AD1799,"0.000000")</f>
        <v>PV 124|0.000000</v>
      </c>
    </row>
    <row r="1800" customFormat="false" ht="15" hidden="false" customHeight="false" outlineLevel="0" collapsed="false">
      <c r="B1800" s="16" t="n">
        <v>13</v>
      </c>
      <c r="C1800" s="17" t="n">
        <f aca="false">DATA_INICIO_SAFRA+($B1800-1)*DIAS_POR_SEMANA</f>
        <v>46349</v>
      </c>
      <c r="D1800" s="17" t="n">
        <f aca="false">$C1800+DIAS_POR_SEMANA-1</f>
        <v>46355</v>
      </c>
      <c r="E1800" s="15" t="s">
        <v>286</v>
      </c>
      <c r="F1800" s="8" t="str">
        <f aca="false">IFERROR(INDEX(CADASTRO_PIVOS!$C$6:$C$41,MATCH($E1800,CADASTRO_PIVOS!$B$6:$B$41,0)),"?")</f>
        <v>RM07</v>
      </c>
      <c r="G1800" s="8" t="str">
        <f aca="false">IFERROR(INDEX(CADASTRO_PIVOS!$D$6:$D$41,MATCH($E1800,CADASTRO_PIVOS!$B$6:$B$41,0)),"?")</f>
        <v>TR07</v>
      </c>
      <c r="H1800" s="20" t="n">
        <f aca="false">IFERROR(INDEX(CADASTRO_PIVOS!$E$6:$E$41,MATCH($E1800,CADASTRO_PIVOS!$B$6:$B$41,0)),0)</f>
        <v>149.94</v>
      </c>
      <c r="I1800" s="16" t="n">
        <f aca="false">IFERROR(SUMIFS(ROTACAO_RDM!$B$6:$B$71,ROTACAO_RDM!$D$6:$D$71,$E1800,ROTACAO_RDM!$I$6:$I$71,"&lt;="&amp;$C1800+INT(DIAS_POR_SEMANA/2),ROTACAO_RDM!$J$6:$J$71,"&gt;="&amp;$C1800+INT(DIAS_POR_SEMANA/2)),0)</f>
        <v>44</v>
      </c>
      <c r="J1800" s="16" t="n">
        <f aca="false">IFERROR(MATCH($I1800,ROTACAO_RDM!$B$6:$B$71,0),0)</f>
        <v>44</v>
      </c>
      <c r="K1800" s="8" t="str">
        <f aca="false">IF($J1800=0,"SEM CULTURA",INDEX(ROTACAO_RDM!$F$6:$F$71,$J1800))</f>
        <v>SOJA</v>
      </c>
      <c r="L1800" s="8" t="str">
        <f aca="false">IF($J1800=0,"",INDEX(ROTACAO_RDM!$G$6:$G$71,$J1800))</f>
        <v>BMX Olimpo IPRO</v>
      </c>
      <c r="M1800" s="17" t="n">
        <f aca="false">IF($J1800=0,"",INDEX(ROTACAO_RDM!$I$6:$I$71,$J1800))</f>
        <v>46310</v>
      </c>
      <c r="N1800" s="16" t="n">
        <f aca="false">IF($J1800=0,0,MAX(0,$C1800+INT(DIAS_POR_SEMANA/2)-INDEX(ROTACAO_RDM!$I$6:$I$71,$J1800)))</f>
        <v>42</v>
      </c>
      <c r="O1800" s="19" t="n">
        <f aca="false">IF($J1800=0,0,MIN(1,$N1800/MAX(1,INDEX(ROTACAO_RDM!$K$6:$K$71,$J1800))))</f>
        <v>0.344262295081967</v>
      </c>
      <c r="P1800" s="16" t="n">
        <f aca="false">IF($J1800=0,0,IFERROR(MATCH(INDEX(ROTACAO_RDM!$N$6:$N$71,$J1800),PARAMETROS_CULTURAS!$B$6:$B$28,0),0))</f>
        <v>2</v>
      </c>
      <c r="Q1800" s="8" t="str">
        <f aca="false">IF($P1800=0,"-",IF($O1800&lt;=INDEX(PARAMETROS_CULTURAS!$F$6:$F$28,$P1800),"INICIAL",IF($O1800&lt;=INDEX(PARAMETROS_CULTURAS!$F$6:$F$28,$P1800)+INDEX(PARAMETROS_CULTURAS!$G$6:$G$28,$P1800),"DESENVOLVIMENTO",IF($O1800&lt;=INDEX(PARAMETROS_CULTURAS!$F$6:$F$28,$P1800)+INDEX(PARAMETROS_CULTURAS!$G$6:$G$28,$P1800)+INDEX(PARAMETROS_CULTURAS!$H$6:$H$28,$P1800),"MEDIA","FINAL"))))</f>
        <v>DESENVOLVIMENTO</v>
      </c>
      <c r="R1800" s="24" t="n">
        <f aca="false">IF($P1800=0,0,IF($O1800&lt;=INDEX(PARAMETROS_CULTURAS!$F$6:$F$28,$P1800),INDEX(PARAMETROS_CULTURAS!$K$6:$K$28,$P1800),IF($O1800&lt;=INDEX(PARAMETROS_CULTURAS!$F$6:$F$28,$P1800)+INDEX(PARAMETROS_CULTURAS!$G$6:$G$28,$P1800),INDEX(PARAMETROS_CULTURAS!$K$6:$K$28,$P1800)+(INDEX(PARAMETROS_CULTURAS!$L$6:$L$28,$P1800)-INDEX(PARAMETROS_CULTURAS!$K$6:$K$28,$P1800))*($O1800-INDEX(PARAMETROS_CULTURAS!$F$6:$F$28,$P1800))/MAX(INDEX(PARAMETROS_CULTURAS!$G$6:$G$28,$P1800),0.0001),IF($O1800&lt;=INDEX(PARAMETROS_CULTURAS!$F$6:$F$28,$P1800)+INDEX(PARAMETROS_CULTURAS!$G$6:$G$28,$P1800)+INDEX(PARAMETROS_CULTURAS!$H$6:$H$28,$P1800),INDEX(PARAMETROS_CULTURAS!$L$6:$L$28,$P1800),INDEX(PARAMETROS_CULTURAS!$L$6:$L$28,$P1800)+(INDEX(PARAMETROS_CULTURAS!$M$6:$M$28,$P1800)-INDEX(PARAMETROS_CULTURAS!$L$6:$L$28,$P1800))*($O1800-INDEX(PARAMETROS_CULTURAS!$F$6:$F$28,$P1800)-INDEX(PARAMETROS_CULTURAS!$G$6:$G$28,$P1800)-INDEX(PARAMETROS_CULTURAS!$H$6:$H$28,$P1800))/MAX(INDEX(PARAMETROS_CULTURAS!$I$6:$I$28,$P1800),0.0001)))))</f>
        <v>1.00085531004989</v>
      </c>
      <c r="S1800" s="18" t="n">
        <f aca="false">IFERROR(INDEX(SEMANAS!$H$6:$H$71,MATCH($B1800,SEMANAS!$B$6:$B$71,0)),0)</f>
        <v>34.3</v>
      </c>
      <c r="T1800" s="18" t="n">
        <f aca="false">$R1800*$S1800</f>
        <v>34.3293371347113</v>
      </c>
      <c r="U1800" s="18" t="n">
        <f aca="false">IFERROR(INDEX(SEMANAS!$I$6:$I$71,MATCH($B1800,SEMANAS!$B$6:$B$71,0)),0)</f>
        <v>46.69</v>
      </c>
      <c r="V1800" s="18" t="n">
        <f aca="false">IFERROR(INDEX(SEMANAS!$J$6:$J$71,MATCH($B1800,SEMANAS!$B$6:$B$71,0)),0)</f>
        <v>37.352</v>
      </c>
      <c r="W1800" s="18" t="n">
        <f aca="false">MAX(0,$T1800-$V1800)</f>
        <v>0</v>
      </c>
      <c r="X1800" s="19" t="n">
        <f aca="false">IFERROR(INDEX(CADASTRO_PIVOS!$K$6:$K$41,MATCH($E1800,CADASTRO_PIVOS!$B$6:$B$41,0)),EFICIENCIA_PADRAO)</f>
        <v>0.85</v>
      </c>
      <c r="Y1800" s="18" t="n">
        <f aca="false">IF($X1800&lt;=0,0,$W1800/$X1800)</f>
        <v>0</v>
      </c>
      <c r="Z1800" s="16" t="n">
        <f aca="false">$Y1800*$H1800*MM_PARA_M3_HA</f>
        <v>0</v>
      </c>
      <c r="AA1800" s="18" t="n">
        <f aca="false">IFERROR(INDEX(CADASTRO_PIVOS!$I$6:$I$41,MATCH($E1800,CADASTRO_PIVOS!$B$6:$B$41,0)),0)</f>
        <v>1071</v>
      </c>
      <c r="AB1800" s="18" t="n">
        <f aca="false">IF($Z1800&lt;=0,0,$Z1800/$AA1800)</f>
        <v>0</v>
      </c>
      <c r="AC1800" s="16" t="n">
        <f aca="false">IFERROR(INDEX(SEMANAS!$K$6:$K$71,MATCH($B1800,SEMANAS!$B$6:$B$71,0)),0)</f>
        <v>147</v>
      </c>
      <c r="AD1800" s="19" t="n">
        <f aca="false">IF($AC1800&lt;=0,0,$AB1800/$AC1800)</f>
        <v>0</v>
      </c>
      <c r="AE1800" s="8" t="str">
        <f aca="false">IF($K1800="SEM CULTURA","SEM CULTURA",IF($AA1800&lt;=0,"DADO PENDENTE",IF($AD1800&gt;LIMITE_CRITICO,"INVIAVEL",IF($AD1800&gt;LIMITE_ATENCAO,"CRITICO",IF($AD1800&gt;LIMITE_CONFORTAVEL,"ATENCAO","OK")))))</f>
        <v>OK</v>
      </c>
      <c r="AF1800" s="8" t="str">
        <f aca="false">$B1800&amp;"|"&amp;TEXT($AD1800,"0.000000")</f>
        <v>13|0.000000</v>
      </c>
      <c r="AG1800" s="18" t="n">
        <f aca="false">IF($K1800="SEM CULTURA",0,$T1800*$H1800)</f>
        <v>5147.34080997862</v>
      </c>
      <c r="AH1800" s="18" t="n">
        <f aca="false">IF($K1800="SEM CULTURA",0,$V1800*$H1800)</f>
        <v>5600.55888</v>
      </c>
      <c r="AI1800" s="18" t="n">
        <f aca="false">IF($K1800="SEM CULTURA",0,$W1800*$H1800)</f>
        <v>0</v>
      </c>
      <c r="AJ1800" s="18" t="n">
        <f aca="false">IF($K1800="SEM CULTURA",0,$S1800*$H1800)</f>
        <v>5142.942</v>
      </c>
      <c r="AK1800" s="8" t="str">
        <f aca="false">$E1800&amp;"|"&amp;TEXT($AD1800,"0.000000")</f>
        <v>PV 124|0.000000</v>
      </c>
    </row>
    <row r="1801" customFormat="false" ht="15" hidden="false" customHeight="false" outlineLevel="0" collapsed="false">
      <c r="B1801" s="16" t="n">
        <v>14</v>
      </c>
      <c r="C1801" s="17" t="n">
        <f aca="false">DATA_INICIO_SAFRA+($B1801-1)*DIAS_POR_SEMANA</f>
        <v>46356</v>
      </c>
      <c r="D1801" s="17" t="n">
        <f aca="false">$C1801+DIAS_POR_SEMANA-1</f>
        <v>46362</v>
      </c>
      <c r="E1801" s="15" t="s">
        <v>286</v>
      </c>
      <c r="F1801" s="8" t="str">
        <f aca="false">IFERROR(INDEX(CADASTRO_PIVOS!$C$6:$C$41,MATCH($E1801,CADASTRO_PIVOS!$B$6:$B$41,0)),"?")</f>
        <v>RM07</v>
      </c>
      <c r="G1801" s="8" t="str">
        <f aca="false">IFERROR(INDEX(CADASTRO_PIVOS!$D$6:$D$41,MATCH($E1801,CADASTRO_PIVOS!$B$6:$B$41,0)),"?")</f>
        <v>TR07</v>
      </c>
      <c r="H1801" s="20" t="n">
        <f aca="false">IFERROR(INDEX(CADASTRO_PIVOS!$E$6:$E$41,MATCH($E1801,CADASTRO_PIVOS!$B$6:$B$41,0)),0)</f>
        <v>149.94</v>
      </c>
      <c r="I1801" s="16" t="n">
        <f aca="false">IFERROR(SUMIFS(ROTACAO_RDM!$B$6:$B$71,ROTACAO_RDM!$D$6:$D$71,$E1801,ROTACAO_RDM!$I$6:$I$71,"&lt;="&amp;$C1801+INT(DIAS_POR_SEMANA/2),ROTACAO_RDM!$J$6:$J$71,"&gt;="&amp;$C1801+INT(DIAS_POR_SEMANA/2)),0)</f>
        <v>44</v>
      </c>
      <c r="J1801" s="16" t="n">
        <f aca="false">IFERROR(MATCH($I1801,ROTACAO_RDM!$B$6:$B$71,0),0)</f>
        <v>44</v>
      </c>
      <c r="K1801" s="8" t="str">
        <f aca="false">IF($J1801=0,"SEM CULTURA",INDEX(ROTACAO_RDM!$F$6:$F$71,$J1801))</f>
        <v>SOJA</v>
      </c>
      <c r="L1801" s="8" t="str">
        <f aca="false">IF($J1801=0,"",INDEX(ROTACAO_RDM!$G$6:$G$71,$J1801))</f>
        <v>BMX Olimpo IPRO</v>
      </c>
      <c r="M1801" s="17" t="n">
        <f aca="false">IF($J1801=0,"",INDEX(ROTACAO_RDM!$I$6:$I$71,$J1801))</f>
        <v>46310</v>
      </c>
      <c r="N1801" s="16" t="n">
        <f aca="false">IF($J1801=0,0,MAX(0,$C1801+INT(DIAS_POR_SEMANA/2)-INDEX(ROTACAO_RDM!$I$6:$I$71,$J1801)))</f>
        <v>49</v>
      </c>
      <c r="O1801" s="19" t="n">
        <f aca="false">IF($J1801=0,0,MIN(1,$N1801/MAX(1,INDEX(ROTACAO_RDM!$K$6:$K$71,$J1801))))</f>
        <v>0.401639344262295</v>
      </c>
      <c r="P1801" s="16" t="n">
        <f aca="false">IF($J1801=0,0,IFERROR(MATCH(INDEX(ROTACAO_RDM!$N$6:$N$71,$J1801),PARAMETROS_CULTURAS!$B$6:$B$28,0),0))</f>
        <v>2</v>
      </c>
      <c r="Q1801" s="8" t="str">
        <f aca="false">IF($P1801=0,"-",IF($O1801&lt;=INDEX(PARAMETROS_CULTURAS!$F$6:$F$28,$P1801),"INICIAL",IF($O1801&lt;=INDEX(PARAMETROS_CULTURAS!$F$6:$F$28,$P1801)+INDEX(PARAMETROS_CULTURAS!$G$6:$G$28,$P1801),"DESENVOLVIMENTO",IF($O1801&lt;=INDEX(PARAMETROS_CULTURAS!$F$6:$F$28,$P1801)+INDEX(PARAMETROS_CULTURAS!$G$6:$G$28,$P1801)+INDEX(PARAMETROS_CULTURAS!$H$6:$H$28,$P1801),"MEDIA","FINAL"))))</f>
        <v>MEDIA</v>
      </c>
      <c r="R1801" s="24" t="n">
        <f aca="false">IF($P1801=0,0,IF($O1801&lt;=INDEX(PARAMETROS_CULTURAS!$F$6:$F$28,$P1801),INDEX(PARAMETROS_CULTURAS!$K$6:$K$28,$P1801),IF($O1801&lt;=INDEX(PARAMETROS_CULTURAS!$F$6:$F$28,$P1801)+INDEX(PARAMETROS_CULTURAS!$G$6:$G$28,$P1801),INDEX(PARAMETROS_CULTURAS!$K$6:$K$28,$P1801)+(INDEX(PARAMETROS_CULTURAS!$L$6:$L$28,$P1801)-INDEX(PARAMETROS_CULTURAS!$K$6:$K$28,$P1801))*($O1801-INDEX(PARAMETROS_CULTURAS!$F$6:$F$28,$P1801))/MAX(INDEX(PARAMETROS_CULTURAS!$G$6:$G$28,$P1801),0.0001),IF($O1801&lt;=INDEX(PARAMETROS_CULTURAS!$F$6:$F$28,$P1801)+INDEX(PARAMETROS_CULTURAS!$G$6:$G$28,$P1801)+INDEX(PARAMETROS_CULTURAS!$H$6:$H$28,$P1801),INDEX(PARAMETROS_CULTURAS!$L$6:$L$28,$P1801),INDEX(PARAMETROS_CULTURAS!$L$6:$L$28,$P1801)+(INDEX(PARAMETROS_CULTURAS!$M$6:$M$28,$P1801)-INDEX(PARAMETROS_CULTURAS!$L$6:$L$28,$P1801))*($O1801-INDEX(PARAMETROS_CULTURAS!$F$6:$F$28,$P1801)-INDEX(PARAMETROS_CULTURAS!$G$6:$G$28,$P1801)-INDEX(PARAMETROS_CULTURAS!$H$6:$H$28,$P1801))/MAX(INDEX(PARAMETROS_CULTURAS!$I$6:$I$28,$P1801),0.0001)))))</f>
        <v>1.15</v>
      </c>
      <c r="S1801" s="18" t="n">
        <f aca="false">IFERROR(INDEX(SEMANAS!$H$6:$H$71,MATCH($B1801,SEMANAS!$B$6:$B$71,0)),0)</f>
        <v>33.1</v>
      </c>
      <c r="T1801" s="18" t="n">
        <f aca="false">$R1801*$S1801</f>
        <v>38.065</v>
      </c>
      <c r="U1801" s="18" t="n">
        <f aca="false">IFERROR(INDEX(SEMANAS!$I$6:$I$71,MATCH($B1801,SEMANAS!$B$6:$B$71,0)),0)</f>
        <v>48.31</v>
      </c>
      <c r="V1801" s="18" t="n">
        <f aca="false">IFERROR(INDEX(SEMANAS!$J$6:$J$71,MATCH($B1801,SEMANAS!$B$6:$B$71,0)),0)</f>
        <v>38.648</v>
      </c>
      <c r="W1801" s="18" t="n">
        <f aca="false">MAX(0,$T1801-$V1801)</f>
        <v>0</v>
      </c>
      <c r="X1801" s="19" t="n">
        <f aca="false">IFERROR(INDEX(CADASTRO_PIVOS!$K$6:$K$41,MATCH($E1801,CADASTRO_PIVOS!$B$6:$B$41,0)),EFICIENCIA_PADRAO)</f>
        <v>0.85</v>
      </c>
      <c r="Y1801" s="18" t="n">
        <f aca="false">IF($X1801&lt;=0,0,$W1801/$X1801)</f>
        <v>0</v>
      </c>
      <c r="Z1801" s="16" t="n">
        <f aca="false">$Y1801*$H1801*MM_PARA_M3_HA</f>
        <v>0</v>
      </c>
      <c r="AA1801" s="18" t="n">
        <f aca="false">IFERROR(INDEX(CADASTRO_PIVOS!$I$6:$I$41,MATCH($E1801,CADASTRO_PIVOS!$B$6:$B$41,0)),0)</f>
        <v>1071</v>
      </c>
      <c r="AB1801" s="18" t="n">
        <f aca="false">IF($Z1801&lt;=0,0,$Z1801/$AA1801)</f>
        <v>0</v>
      </c>
      <c r="AC1801" s="16" t="n">
        <f aca="false">IFERROR(INDEX(SEMANAS!$K$6:$K$71,MATCH($B1801,SEMANAS!$B$6:$B$71,0)),0)</f>
        <v>147</v>
      </c>
      <c r="AD1801" s="19" t="n">
        <f aca="false">IF($AC1801&lt;=0,0,$AB1801/$AC1801)</f>
        <v>0</v>
      </c>
      <c r="AE1801" s="8" t="str">
        <f aca="false">IF($K1801="SEM CULTURA","SEM CULTURA",IF($AA1801&lt;=0,"DADO PENDENTE",IF($AD1801&gt;LIMITE_CRITICO,"INVIAVEL",IF($AD1801&gt;LIMITE_ATENCAO,"CRITICO",IF($AD1801&gt;LIMITE_CONFORTAVEL,"ATENCAO","OK")))))</f>
        <v>OK</v>
      </c>
      <c r="AF1801" s="8" t="str">
        <f aca="false">$B1801&amp;"|"&amp;TEXT($AD1801,"0.000000")</f>
        <v>14|0.000000</v>
      </c>
      <c r="AG1801" s="18" t="n">
        <f aca="false">IF($K1801="SEM CULTURA",0,$T1801*$H1801)</f>
        <v>5707.4661</v>
      </c>
      <c r="AH1801" s="18" t="n">
        <f aca="false">IF($K1801="SEM CULTURA",0,$V1801*$H1801)</f>
        <v>5794.88112</v>
      </c>
      <c r="AI1801" s="18" t="n">
        <f aca="false">IF($K1801="SEM CULTURA",0,$W1801*$H1801)</f>
        <v>0</v>
      </c>
      <c r="AJ1801" s="18" t="n">
        <f aca="false">IF($K1801="SEM CULTURA",0,$S1801*$H1801)</f>
        <v>4963.014</v>
      </c>
      <c r="AK1801" s="8" t="str">
        <f aca="false">$E1801&amp;"|"&amp;TEXT($AD1801,"0.000000")</f>
        <v>PV 124|0.000000</v>
      </c>
    </row>
    <row r="1802" customFormat="false" ht="15" hidden="false" customHeight="false" outlineLevel="0" collapsed="false">
      <c r="B1802" s="16" t="n">
        <v>15</v>
      </c>
      <c r="C1802" s="17" t="n">
        <f aca="false">DATA_INICIO_SAFRA+($B1802-1)*DIAS_POR_SEMANA</f>
        <v>46363</v>
      </c>
      <c r="D1802" s="17" t="n">
        <f aca="false">$C1802+DIAS_POR_SEMANA-1</f>
        <v>46369</v>
      </c>
      <c r="E1802" s="15" t="s">
        <v>286</v>
      </c>
      <c r="F1802" s="8" t="str">
        <f aca="false">IFERROR(INDEX(CADASTRO_PIVOS!$C$6:$C$41,MATCH($E1802,CADASTRO_PIVOS!$B$6:$B$41,0)),"?")</f>
        <v>RM07</v>
      </c>
      <c r="G1802" s="8" t="str">
        <f aca="false">IFERROR(INDEX(CADASTRO_PIVOS!$D$6:$D$41,MATCH($E1802,CADASTRO_PIVOS!$B$6:$B$41,0)),"?")</f>
        <v>TR07</v>
      </c>
      <c r="H1802" s="20" t="n">
        <f aca="false">IFERROR(INDEX(CADASTRO_PIVOS!$E$6:$E$41,MATCH($E1802,CADASTRO_PIVOS!$B$6:$B$41,0)),0)</f>
        <v>149.94</v>
      </c>
      <c r="I1802" s="16" t="n">
        <f aca="false">IFERROR(SUMIFS(ROTACAO_RDM!$B$6:$B$71,ROTACAO_RDM!$D$6:$D$71,$E1802,ROTACAO_RDM!$I$6:$I$71,"&lt;="&amp;$C1802+INT(DIAS_POR_SEMANA/2),ROTACAO_RDM!$J$6:$J$71,"&gt;="&amp;$C1802+INT(DIAS_POR_SEMANA/2)),0)</f>
        <v>44</v>
      </c>
      <c r="J1802" s="16" t="n">
        <f aca="false">IFERROR(MATCH($I1802,ROTACAO_RDM!$B$6:$B$71,0),0)</f>
        <v>44</v>
      </c>
      <c r="K1802" s="8" t="str">
        <f aca="false">IF($J1802=0,"SEM CULTURA",INDEX(ROTACAO_RDM!$F$6:$F$71,$J1802))</f>
        <v>SOJA</v>
      </c>
      <c r="L1802" s="8" t="str">
        <f aca="false">IF($J1802=0,"",INDEX(ROTACAO_RDM!$G$6:$G$71,$J1802))</f>
        <v>BMX Olimpo IPRO</v>
      </c>
      <c r="M1802" s="17" t="n">
        <f aca="false">IF($J1802=0,"",INDEX(ROTACAO_RDM!$I$6:$I$71,$J1802))</f>
        <v>46310</v>
      </c>
      <c r="N1802" s="16" t="n">
        <f aca="false">IF($J1802=0,0,MAX(0,$C1802+INT(DIAS_POR_SEMANA/2)-INDEX(ROTACAO_RDM!$I$6:$I$71,$J1802)))</f>
        <v>56</v>
      </c>
      <c r="O1802" s="19" t="n">
        <f aca="false">IF($J1802=0,0,MIN(1,$N1802/MAX(1,INDEX(ROTACAO_RDM!$K$6:$K$71,$J1802))))</f>
        <v>0.459016393442623</v>
      </c>
      <c r="P1802" s="16" t="n">
        <f aca="false">IF($J1802=0,0,IFERROR(MATCH(INDEX(ROTACAO_RDM!$N$6:$N$71,$J1802),PARAMETROS_CULTURAS!$B$6:$B$28,0),0))</f>
        <v>2</v>
      </c>
      <c r="Q1802" s="8" t="str">
        <f aca="false">IF($P1802=0,"-",IF($O1802&lt;=INDEX(PARAMETROS_CULTURAS!$F$6:$F$28,$P1802),"INICIAL",IF($O1802&lt;=INDEX(PARAMETROS_CULTURAS!$F$6:$F$28,$P1802)+INDEX(PARAMETROS_CULTURAS!$G$6:$G$28,$P1802),"DESENVOLVIMENTO",IF($O1802&lt;=INDEX(PARAMETROS_CULTURAS!$F$6:$F$28,$P1802)+INDEX(PARAMETROS_CULTURAS!$G$6:$G$28,$P1802)+INDEX(PARAMETROS_CULTURAS!$H$6:$H$28,$P1802),"MEDIA","FINAL"))))</f>
        <v>MEDIA</v>
      </c>
      <c r="R1802" s="24" t="n">
        <f aca="false">IF($P1802=0,0,IF($O1802&lt;=INDEX(PARAMETROS_CULTURAS!$F$6:$F$28,$P1802),INDEX(PARAMETROS_CULTURAS!$K$6:$K$28,$P1802),IF($O1802&lt;=INDEX(PARAMETROS_CULTURAS!$F$6:$F$28,$P1802)+INDEX(PARAMETROS_CULTURAS!$G$6:$G$28,$P1802),INDEX(PARAMETROS_CULTURAS!$K$6:$K$28,$P1802)+(INDEX(PARAMETROS_CULTURAS!$L$6:$L$28,$P1802)-INDEX(PARAMETROS_CULTURAS!$K$6:$K$28,$P1802))*($O1802-INDEX(PARAMETROS_CULTURAS!$F$6:$F$28,$P1802))/MAX(INDEX(PARAMETROS_CULTURAS!$G$6:$G$28,$P1802),0.0001),IF($O1802&lt;=INDEX(PARAMETROS_CULTURAS!$F$6:$F$28,$P1802)+INDEX(PARAMETROS_CULTURAS!$G$6:$G$28,$P1802)+INDEX(PARAMETROS_CULTURAS!$H$6:$H$28,$P1802),INDEX(PARAMETROS_CULTURAS!$L$6:$L$28,$P1802),INDEX(PARAMETROS_CULTURAS!$L$6:$L$28,$P1802)+(INDEX(PARAMETROS_CULTURAS!$M$6:$M$28,$P1802)-INDEX(PARAMETROS_CULTURAS!$L$6:$L$28,$P1802))*($O1802-INDEX(PARAMETROS_CULTURAS!$F$6:$F$28,$P1802)-INDEX(PARAMETROS_CULTURAS!$G$6:$G$28,$P1802)-INDEX(PARAMETROS_CULTURAS!$H$6:$H$28,$P1802))/MAX(INDEX(PARAMETROS_CULTURAS!$I$6:$I$28,$P1802),0.0001)))))</f>
        <v>1.15</v>
      </c>
      <c r="S1802" s="18" t="n">
        <f aca="false">IFERROR(INDEX(SEMANAS!$H$6:$H$71,MATCH($B1802,SEMANAS!$B$6:$B$71,0)),0)</f>
        <v>32.9</v>
      </c>
      <c r="T1802" s="18" t="n">
        <f aca="false">$R1802*$S1802</f>
        <v>37.835</v>
      </c>
      <c r="U1802" s="18" t="n">
        <f aca="false">IFERROR(INDEX(SEMANAS!$I$6:$I$71,MATCH($B1802,SEMANAS!$B$6:$B$71,0)),0)</f>
        <v>48.58</v>
      </c>
      <c r="V1802" s="18" t="n">
        <f aca="false">IFERROR(INDEX(SEMANAS!$J$6:$J$71,MATCH($B1802,SEMANAS!$B$6:$B$71,0)),0)</f>
        <v>38.864</v>
      </c>
      <c r="W1802" s="18" t="n">
        <f aca="false">MAX(0,$T1802-$V1802)</f>
        <v>0</v>
      </c>
      <c r="X1802" s="19" t="n">
        <f aca="false">IFERROR(INDEX(CADASTRO_PIVOS!$K$6:$K$41,MATCH($E1802,CADASTRO_PIVOS!$B$6:$B$41,0)),EFICIENCIA_PADRAO)</f>
        <v>0.85</v>
      </c>
      <c r="Y1802" s="18" t="n">
        <f aca="false">IF($X1802&lt;=0,0,$W1802/$X1802)</f>
        <v>0</v>
      </c>
      <c r="Z1802" s="16" t="n">
        <f aca="false">$Y1802*$H1802*MM_PARA_M3_HA</f>
        <v>0</v>
      </c>
      <c r="AA1802" s="18" t="n">
        <f aca="false">IFERROR(INDEX(CADASTRO_PIVOS!$I$6:$I$41,MATCH($E1802,CADASTRO_PIVOS!$B$6:$B$41,0)),0)</f>
        <v>1071</v>
      </c>
      <c r="AB1802" s="18" t="n">
        <f aca="false">IF($Z1802&lt;=0,0,$Z1802/$AA1802)</f>
        <v>0</v>
      </c>
      <c r="AC1802" s="16" t="n">
        <f aca="false">IFERROR(INDEX(SEMANAS!$K$6:$K$71,MATCH($B1802,SEMANAS!$B$6:$B$71,0)),0)</f>
        <v>147</v>
      </c>
      <c r="AD1802" s="19" t="n">
        <f aca="false">IF($AC1802&lt;=0,0,$AB1802/$AC1802)</f>
        <v>0</v>
      </c>
      <c r="AE1802" s="8" t="str">
        <f aca="false">IF($K1802="SEM CULTURA","SEM CULTURA",IF($AA1802&lt;=0,"DADO PENDENTE",IF($AD1802&gt;LIMITE_CRITICO,"INVIAVEL",IF($AD1802&gt;LIMITE_ATENCAO,"CRITICO",IF($AD1802&gt;LIMITE_CONFORTAVEL,"ATENCAO","OK")))))</f>
        <v>OK</v>
      </c>
      <c r="AF1802" s="8" t="str">
        <f aca="false">$B1802&amp;"|"&amp;TEXT($AD1802,"0.000000")</f>
        <v>15|0.000000</v>
      </c>
      <c r="AG1802" s="18" t="n">
        <f aca="false">IF($K1802="SEM CULTURA",0,$T1802*$H1802)</f>
        <v>5672.9799</v>
      </c>
      <c r="AH1802" s="18" t="n">
        <f aca="false">IF($K1802="SEM CULTURA",0,$V1802*$H1802)</f>
        <v>5827.26816</v>
      </c>
      <c r="AI1802" s="18" t="n">
        <f aca="false">IF($K1802="SEM CULTURA",0,$W1802*$H1802)</f>
        <v>0</v>
      </c>
      <c r="AJ1802" s="18" t="n">
        <f aca="false">IF($K1802="SEM CULTURA",0,$S1802*$H1802)</f>
        <v>4933.026</v>
      </c>
      <c r="AK1802" s="8" t="str">
        <f aca="false">$E1802&amp;"|"&amp;TEXT($AD1802,"0.000000")</f>
        <v>PV 124|0.000000</v>
      </c>
    </row>
    <row r="1803" customFormat="false" ht="15" hidden="false" customHeight="false" outlineLevel="0" collapsed="false">
      <c r="B1803" s="16" t="n">
        <v>16</v>
      </c>
      <c r="C1803" s="17" t="n">
        <f aca="false">DATA_INICIO_SAFRA+($B1803-1)*DIAS_POR_SEMANA</f>
        <v>46370</v>
      </c>
      <c r="D1803" s="17" t="n">
        <f aca="false">$C1803+DIAS_POR_SEMANA-1</f>
        <v>46376</v>
      </c>
      <c r="E1803" s="15" t="s">
        <v>286</v>
      </c>
      <c r="F1803" s="8" t="str">
        <f aca="false">IFERROR(INDEX(CADASTRO_PIVOS!$C$6:$C$41,MATCH($E1803,CADASTRO_PIVOS!$B$6:$B$41,0)),"?")</f>
        <v>RM07</v>
      </c>
      <c r="G1803" s="8" t="str">
        <f aca="false">IFERROR(INDEX(CADASTRO_PIVOS!$D$6:$D$41,MATCH($E1803,CADASTRO_PIVOS!$B$6:$B$41,0)),"?")</f>
        <v>TR07</v>
      </c>
      <c r="H1803" s="20" t="n">
        <f aca="false">IFERROR(INDEX(CADASTRO_PIVOS!$E$6:$E$41,MATCH($E1803,CADASTRO_PIVOS!$B$6:$B$41,0)),0)</f>
        <v>149.94</v>
      </c>
      <c r="I1803" s="16" t="n">
        <f aca="false">IFERROR(SUMIFS(ROTACAO_RDM!$B$6:$B$71,ROTACAO_RDM!$D$6:$D$71,$E1803,ROTACAO_RDM!$I$6:$I$71,"&lt;="&amp;$C1803+INT(DIAS_POR_SEMANA/2),ROTACAO_RDM!$J$6:$J$71,"&gt;="&amp;$C1803+INT(DIAS_POR_SEMANA/2)),0)</f>
        <v>44</v>
      </c>
      <c r="J1803" s="16" t="n">
        <f aca="false">IFERROR(MATCH($I1803,ROTACAO_RDM!$B$6:$B$71,0),0)</f>
        <v>44</v>
      </c>
      <c r="K1803" s="8" t="str">
        <f aca="false">IF($J1803=0,"SEM CULTURA",INDEX(ROTACAO_RDM!$F$6:$F$71,$J1803))</f>
        <v>SOJA</v>
      </c>
      <c r="L1803" s="8" t="str">
        <f aca="false">IF($J1803=0,"",INDEX(ROTACAO_RDM!$G$6:$G$71,$J1803))</f>
        <v>BMX Olimpo IPRO</v>
      </c>
      <c r="M1803" s="17" t="n">
        <f aca="false">IF($J1803=0,"",INDEX(ROTACAO_RDM!$I$6:$I$71,$J1803))</f>
        <v>46310</v>
      </c>
      <c r="N1803" s="16" t="n">
        <f aca="false">IF($J1803=0,0,MAX(0,$C1803+INT(DIAS_POR_SEMANA/2)-INDEX(ROTACAO_RDM!$I$6:$I$71,$J1803)))</f>
        <v>63</v>
      </c>
      <c r="O1803" s="19" t="n">
        <f aca="false">IF($J1803=0,0,MIN(1,$N1803/MAX(1,INDEX(ROTACAO_RDM!$K$6:$K$71,$J1803))))</f>
        <v>0.516393442622951</v>
      </c>
      <c r="P1803" s="16" t="n">
        <f aca="false">IF($J1803=0,0,IFERROR(MATCH(INDEX(ROTACAO_RDM!$N$6:$N$71,$J1803),PARAMETROS_CULTURAS!$B$6:$B$28,0),0))</f>
        <v>2</v>
      </c>
      <c r="Q1803" s="8" t="str">
        <f aca="false">IF($P1803=0,"-",IF($O1803&lt;=INDEX(PARAMETROS_CULTURAS!$F$6:$F$28,$P1803),"INICIAL",IF($O1803&lt;=INDEX(PARAMETROS_CULTURAS!$F$6:$F$28,$P1803)+INDEX(PARAMETROS_CULTURAS!$G$6:$G$28,$P1803),"DESENVOLVIMENTO",IF($O1803&lt;=INDEX(PARAMETROS_CULTURAS!$F$6:$F$28,$P1803)+INDEX(PARAMETROS_CULTURAS!$G$6:$G$28,$P1803)+INDEX(PARAMETROS_CULTURAS!$H$6:$H$28,$P1803),"MEDIA","FINAL"))))</f>
        <v>MEDIA</v>
      </c>
      <c r="R1803" s="24" t="n">
        <f aca="false">IF($P1803=0,0,IF($O1803&lt;=INDEX(PARAMETROS_CULTURAS!$F$6:$F$28,$P1803),INDEX(PARAMETROS_CULTURAS!$K$6:$K$28,$P1803),IF($O1803&lt;=INDEX(PARAMETROS_CULTURAS!$F$6:$F$28,$P1803)+INDEX(PARAMETROS_CULTURAS!$G$6:$G$28,$P1803),INDEX(PARAMETROS_CULTURAS!$K$6:$K$28,$P1803)+(INDEX(PARAMETROS_CULTURAS!$L$6:$L$28,$P1803)-INDEX(PARAMETROS_CULTURAS!$K$6:$K$28,$P1803))*($O1803-INDEX(PARAMETROS_CULTURAS!$F$6:$F$28,$P1803))/MAX(INDEX(PARAMETROS_CULTURAS!$G$6:$G$28,$P1803),0.0001),IF($O1803&lt;=INDEX(PARAMETROS_CULTURAS!$F$6:$F$28,$P1803)+INDEX(PARAMETROS_CULTURAS!$G$6:$G$28,$P1803)+INDEX(PARAMETROS_CULTURAS!$H$6:$H$28,$P1803),INDEX(PARAMETROS_CULTURAS!$L$6:$L$28,$P1803),INDEX(PARAMETROS_CULTURAS!$L$6:$L$28,$P1803)+(INDEX(PARAMETROS_CULTURAS!$M$6:$M$28,$P1803)-INDEX(PARAMETROS_CULTURAS!$L$6:$L$28,$P1803))*($O1803-INDEX(PARAMETROS_CULTURAS!$F$6:$F$28,$P1803)-INDEX(PARAMETROS_CULTURAS!$G$6:$G$28,$P1803)-INDEX(PARAMETROS_CULTURAS!$H$6:$H$28,$P1803))/MAX(INDEX(PARAMETROS_CULTURAS!$I$6:$I$28,$P1803),0.0001)))))</f>
        <v>1.15</v>
      </c>
      <c r="S1803" s="18" t="n">
        <f aca="false">IFERROR(INDEX(SEMANAS!$H$6:$H$71,MATCH($B1803,SEMANAS!$B$6:$B$71,0)),0)</f>
        <v>32.9</v>
      </c>
      <c r="T1803" s="18" t="n">
        <f aca="false">$R1803*$S1803</f>
        <v>37.835</v>
      </c>
      <c r="U1803" s="18" t="n">
        <f aca="false">IFERROR(INDEX(SEMANAS!$I$6:$I$71,MATCH($B1803,SEMANAS!$B$6:$B$71,0)),0)</f>
        <v>48.58</v>
      </c>
      <c r="V1803" s="18" t="n">
        <f aca="false">IFERROR(INDEX(SEMANAS!$J$6:$J$71,MATCH($B1803,SEMANAS!$B$6:$B$71,0)),0)</f>
        <v>38.864</v>
      </c>
      <c r="W1803" s="18" t="n">
        <f aca="false">MAX(0,$T1803-$V1803)</f>
        <v>0</v>
      </c>
      <c r="X1803" s="19" t="n">
        <f aca="false">IFERROR(INDEX(CADASTRO_PIVOS!$K$6:$K$41,MATCH($E1803,CADASTRO_PIVOS!$B$6:$B$41,0)),EFICIENCIA_PADRAO)</f>
        <v>0.85</v>
      </c>
      <c r="Y1803" s="18" t="n">
        <f aca="false">IF($X1803&lt;=0,0,$W1803/$X1803)</f>
        <v>0</v>
      </c>
      <c r="Z1803" s="16" t="n">
        <f aca="false">$Y1803*$H1803*MM_PARA_M3_HA</f>
        <v>0</v>
      </c>
      <c r="AA1803" s="18" t="n">
        <f aca="false">IFERROR(INDEX(CADASTRO_PIVOS!$I$6:$I$41,MATCH($E1803,CADASTRO_PIVOS!$B$6:$B$41,0)),0)</f>
        <v>1071</v>
      </c>
      <c r="AB1803" s="18" t="n">
        <f aca="false">IF($Z1803&lt;=0,0,$Z1803/$AA1803)</f>
        <v>0</v>
      </c>
      <c r="AC1803" s="16" t="n">
        <f aca="false">IFERROR(INDEX(SEMANAS!$K$6:$K$71,MATCH($B1803,SEMANAS!$B$6:$B$71,0)),0)</f>
        <v>147</v>
      </c>
      <c r="AD1803" s="19" t="n">
        <f aca="false">IF($AC1803&lt;=0,0,$AB1803/$AC1803)</f>
        <v>0</v>
      </c>
      <c r="AE1803" s="8" t="str">
        <f aca="false">IF($K1803="SEM CULTURA","SEM CULTURA",IF($AA1803&lt;=0,"DADO PENDENTE",IF($AD1803&gt;LIMITE_CRITICO,"INVIAVEL",IF($AD1803&gt;LIMITE_ATENCAO,"CRITICO",IF($AD1803&gt;LIMITE_CONFORTAVEL,"ATENCAO","OK")))))</f>
        <v>OK</v>
      </c>
      <c r="AF1803" s="8" t="str">
        <f aca="false">$B1803&amp;"|"&amp;TEXT($AD1803,"0.000000")</f>
        <v>16|0.000000</v>
      </c>
      <c r="AG1803" s="18" t="n">
        <f aca="false">IF($K1803="SEM CULTURA",0,$T1803*$H1803)</f>
        <v>5672.9799</v>
      </c>
      <c r="AH1803" s="18" t="n">
        <f aca="false">IF($K1803="SEM CULTURA",0,$V1803*$H1803)</f>
        <v>5827.26816</v>
      </c>
      <c r="AI1803" s="18" t="n">
        <f aca="false">IF($K1803="SEM CULTURA",0,$W1803*$H1803)</f>
        <v>0</v>
      </c>
      <c r="AJ1803" s="18" t="n">
        <f aca="false">IF($K1803="SEM CULTURA",0,$S1803*$H1803)</f>
        <v>4933.026</v>
      </c>
      <c r="AK1803" s="8" t="str">
        <f aca="false">$E1803&amp;"|"&amp;TEXT($AD1803,"0.000000")</f>
        <v>PV 124|0.000000</v>
      </c>
    </row>
    <row r="1804" customFormat="false" ht="15" hidden="false" customHeight="false" outlineLevel="0" collapsed="false">
      <c r="B1804" s="16" t="n">
        <v>17</v>
      </c>
      <c r="C1804" s="17" t="n">
        <f aca="false">DATA_INICIO_SAFRA+($B1804-1)*DIAS_POR_SEMANA</f>
        <v>46377</v>
      </c>
      <c r="D1804" s="17" t="n">
        <f aca="false">$C1804+DIAS_POR_SEMANA-1</f>
        <v>46383</v>
      </c>
      <c r="E1804" s="15" t="s">
        <v>286</v>
      </c>
      <c r="F1804" s="8" t="str">
        <f aca="false">IFERROR(INDEX(CADASTRO_PIVOS!$C$6:$C$41,MATCH($E1804,CADASTRO_PIVOS!$B$6:$B$41,0)),"?")</f>
        <v>RM07</v>
      </c>
      <c r="G1804" s="8" t="str">
        <f aca="false">IFERROR(INDEX(CADASTRO_PIVOS!$D$6:$D$41,MATCH($E1804,CADASTRO_PIVOS!$B$6:$B$41,0)),"?")</f>
        <v>TR07</v>
      </c>
      <c r="H1804" s="20" t="n">
        <f aca="false">IFERROR(INDEX(CADASTRO_PIVOS!$E$6:$E$41,MATCH($E1804,CADASTRO_PIVOS!$B$6:$B$41,0)),0)</f>
        <v>149.94</v>
      </c>
      <c r="I1804" s="16" t="n">
        <f aca="false">IFERROR(SUMIFS(ROTACAO_RDM!$B$6:$B$71,ROTACAO_RDM!$D$6:$D$71,$E1804,ROTACAO_RDM!$I$6:$I$71,"&lt;="&amp;$C1804+INT(DIAS_POR_SEMANA/2),ROTACAO_RDM!$J$6:$J$71,"&gt;="&amp;$C1804+INT(DIAS_POR_SEMANA/2)),0)</f>
        <v>44</v>
      </c>
      <c r="J1804" s="16" t="n">
        <f aca="false">IFERROR(MATCH($I1804,ROTACAO_RDM!$B$6:$B$71,0),0)</f>
        <v>44</v>
      </c>
      <c r="K1804" s="8" t="str">
        <f aca="false">IF($J1804=0,"SEM CULTURA",INDEX(ROTACAO_RDM!$F$6:$F$71,$J1804))</f>
        <v>SOJA</v>
      </c>
      <c r="L1804" s="8" t="str">
        <f aca="false">IF($J1804=0,"",INDEX(ROTACAO_RDM!$G$6:$G$71,$J1804))</f>
        <v>BMX Olimpo IPRO</v>
      </c>
      <c r="M1804" s="17" t="n">
        <f aca="false">IF($J1804=0,"",INDEX(ROTACAO_RDM!$I$6:$I$71,$J1804))</f>
        <v>46310</v>
      </c>
      <c r="N1804" s="16" t="n">
        <f aca="false">IF($J1804=0,0,MAX(0,$C1804+INT(DIAS_POR_SEMANA/2)-INDEX(ROTACAO_RDM!$I$6:$I$71,$J1804)))</f>
        <v>70</v>
      </c>
      <c r="O1804" s="19" t="n">
        <f aca="false">IF($J1804=0,0,MIN(1,$N1804/MAX(1,INDEX(ROTACAO_RDM!$K$6:$K$71,$J1804))))</f>
        <v>0.573770491803279</v>
      </c>
      <c r="P1804" s="16" t="n">
        <f aca="false">IF($J1804=0,0,IFERROR(MATCH(INDEX(ROTACAO_RDM!$N$6:$N$71,$J1804),PARAMETROS_CULTURAS!$B$6:$B$28,0),0))</f>
        <v>2</v>
      </c>
      <c r="Q1804" s="8" t="str">
        <f aca="false">IF($P1804=0,"-",IF($O1804&lt;=INDEX(PARAMETROS_CULTURAS!$F$6:$F$28,$P1804),"INICIAL",IF($O1804&lt;=INDEX(PARAMETROS_CULTURAS!$F$6:$F$28,$P1804)+INDEX(PARAMETROS_CULTURAS!$G$6:$G$28,$P1804),"DESENVOLVIMENTO",IF($O1804&lt;=INDEX(PARAMETROS_CULTURAS!$F$6:$F$28,$P1804)+INDEX(PARAMETROS_CULTURAS!$G$6:$G$28,$P1804)+INDEX(PARAMETROS_CULTURAS!$H$6:$H$28,$P1804),"MEDIA","FINAL"))))</f>
        <v>MEDIA</v>
      </c>
      <c r="R1804" s="24" t="n">
        <f aca="false">IF($P1804=0,0,IF($O1804&lt;=INDEX(PARAMETROS_CULTURAS!$F$6:$F$28,$P1804),INDEX(PARAMETROS_CULTURAS!$K$6:$K$28,$P1804),IF($O1804&lt;=INDEX(PARAMETROS_CULTURAS!$F$6:$F$28,$P1804)+INDEX(PARAMETROS_CULTURAS!$G$6:$G$28,$P1804),INDEX(PARAMETROS_CULTURAS!$K$6:$K$28,$P1804)+(INDEX(PARAMETROS_CULTURAS!$L$6:$L$28,$P1804)-INDEX(PARAMETROS_CULTURAS!$K$6:$K$28,$P1804))*($O1804-INDEX(PARAMETROS_CULTURAS!$F$6:$F$28,$P1804))/MAX(INDEX(PARAMETROS_CULTURAS!$G$6:$G$28,$P1804),0.0001),IF($O1804&lt;=INDEX(PARAMETROS_CULTURAS!$F$6:$F$28,$P1804)+INDEX(PARAMETROS_CULTURAS!$G$6:$G$28,$P1804)+INDEX(PARAMETROS_CULTURAS!$H$6:$H$28,$P1804),INDEX(PARAMETROS_CULTURAS!$L$6:$L$28,$P1804),INDEX(PARAMETROS_CULTURAS!$L$6:$L$28,$P1804)+(INDEX(PARAMETROS_CULTURAS!$M$6:$M$28,$P1804)-INDEX(PARAMETROS_CULTURAS!$L$6:$L$28,$P1804))*($O1804-INDEX(PARAMETROS_CULTURAS!$F$6:$F$28,$P1804)-INDEX(PARAMETROS_CULTURAS!$G$6:$G$28,$P1804)-INDEX(PARAMETROS_CULTURAS!$H$6:$H$28,$P1804))/MAX(INDEX(PARAMETROS_CULTURAS!$I$6:$I$28,$P1804),0.0001)))))</f>
        <v>1.15</v>
      </c>
      <c r="S1804" s="18" t="n">
        <f aca="false">IFERROR(INDEX(SEMANAS!$H$6:$H$71,MATCH($B1804,SEMANAS!$B$6:$B$71,0)),0)</f>
        <v>32.9</v>
      </c>
      <c r="T1804" s="18" t="n">
        <f aca="false">$R1804*$S1804</f>
        <v>37.835</v>
      </c>
      <c r="U1804" s="18" t="n">
        <f aca="false">IFERROR(INDEX(SEMANAS!$I$6:$I$71,MATCH($B1804,SEMANAS!$B$6:$B$71,0)),0)</f>
        <v>48.58</v>
      </c>
      <c r="V1804" s="18" t="n">
        <f aca="false">IFERROR(INDEX(SEMANAS!$J$6:$J$71,MATCH($B1804,SEMANAS!$B$6:$B$71,0)),0)</f>
        <v>38.864</v>
      </c>
      <c r="W1804" s="18" t="n">
        <f aca="false">MAX(0,$T1804-$V1804)</f>
        <v>0</v>
      </c>
      <c r="X1804" s="19" t="n">
        <f aca="false">IFERROR(INDEX(CADASTRO_PIVOS!$K$6:$K$41,MATCH($E1804,CADASTRO_PIVOS!$B$6:$B$41,0)),EFICIENCIA_PADRAO)</f>
        <v>0.85</v>
      </c>
      <c r="Y1804" s="18" t="n">
        <f aca="false">IF($X1804&lt;=0,0,$W1804/$X1804)</f>
        <v>0</v>
      </c>
      <c r="Z1804" s="16" t="n">
        <f aca="false">$Y1804*$H1804*MM_PARA_M3_HA</f>
        <v>0</v>
      </c>
      <c r="AA1804" s="18" t="n">
        <f aca="false">IFERROR(INDEX(CADASTRO_PIVOS!$I$6:$I$41,MATCH($E1804,CADASTRO_PIVOS!$B$6:$B$41,0)),0)</f>
        <v>1071</v>
      </c>
      <c r="AB1804" s="18" t="n">
        <f aca="false">IF($Z1804&lt;=0,0,$Z1804/$AA1804)</f>
        <v>0</v>
      </c>
      <c r="AC1804" s="16" t="n">
        <f aca="false">IFERROR(INDEX(SEMANAS!$K$6:$K$71,MATCH($B1804,SEMANAS!$B$6:$B$71,0)),0)</f>
        <v>147</v>
      </c>
      <c r="AD1804" s="19" t="n">
        <f aca="false">IF($AC1804&lt;=0,0,$AB1804/$AC1804)</f>
        <v>0</v>
      </c>
      <c r="AE1804" s="8" t="str">
        <f aca="false">IF($K1804="SEM CULTURA","SEM CULTURA",IF($AA1804&lt;=0,"DADO PENDENTE",IF($AD1804&gt;LIMITE_CRITICO,"INVIAVEL",IF($AD1804&gt;LIMITE_ATENCAO,"CRITICO",IF($AD1804&gt;LIMITE_CONFORTAVEL,"ATENCAO","OK")))))</f>
        <v>OK</v>
      </c>
      <c r="AF1804" s="8" t="str">
        <f aca="false">$B1804&amp;"|"&amp;TEXT($AD1804,"0.000000")</f>
        <v>17|0.000000</v>
      </c>
      <c r="AG1804" s="18" t="n">
        <f aca="false">IF($K1804="SEM CULTURA",0,$T1804*$H1804)</f>
        <v>5672.9799</v>
      </c>
      <c r="AH1804" s="18" t="n">
        <f aca="false">IF($K1804="SEM CULTURA",0,$V1804*$H1804)</f>
        <v>5827.26816</v>
      </c>
      <c r="AI1804" s="18" t="n">
        <f aca="false">IF($K1804="SEM CULTURA",0,$W1804*$H1804)</f>
        <v>0</v>
      </c>
      <c r="AJ1804" s="18" t="n">
        <f aca="false">IF($K1804="SEM CULTURA",0,$S1804*$H1804)</f>
        <v>4933.026</v>
      </c>
      <c r="AK1804" s="8" t="str">
        <f aca="false">$E1804&amp;"|"&amp;TEXT($AD1804,"0.000000")</f>
        <v>PV 124|0.000000</v>
      </c>
    </row>
    <row r="1805" customFormat="false" ht="15" hidden="false" customHeight="false" outlineLevel="0" collapsed="false">
      <c r="B1805" s="16" t="n">
        <v>18</v>
      </c>
      <c r="C1805" s="17" t="n">
        <f aca="false">DATA_INICIO_SAFRA+($B1805-1)*DIAS_POR_SEMANA</f>
        <v>46384</v>
      </c>
      <c r="D1805" s="17" t="n">
        <f aca="false">$C1805+DIAS_POR_SEMANA-1</f>
        <v>46390</v>
      </c>
      <c r="E1805" s="15" t="s">
        <v>286</v>
      </c>
      <c r="F1805" s="8" t="str">
        <f aca="false">IFERROR(INDEX(CADASTRO_PIVOS!$C$6:$C$41,MATCH($E1805,CADASTRO_PIVOS!$B$6:$B$41,0)),"?")</f>
        <v>RM07</v>
      </c>
      <c r="G1805" s="8" t="str">
        <f aca="false">IFERROR(INDEX(CADASTRO_PIVOS!$D$6:$D$41,MATCH($E1805,CADASTRO_PIVOS!$B$6:$B$41,0)),"?")</f>
        <v>TR07</v>
      </c>
      <c r="H1805" s="20" t="n">
        <f aca="false">IFERROR(INDEX(CADASTRO_PIVOS!$E$6:$E$41,MATCH($E1805,CADASTRO_PIVOS!$B$6:$B$41,0)),0)</f>
        <v>149.94</v>
      </c>
      <c r="I1805" s="16" t="n">
        <f aca="false">IFERROR(SUMIFS(ROTACAO_RDM!$B$6:$B$71,ROTACAO_RDM!$D$6:$D$71,$E1805,ROTACAO_RDM!$I$6:$I$71,"&lt;="&amp;$C1805+INT(DIAS_POR_SEMANA/2),ROTACAO_RDM!$J$6:$J$71,"&gt;="&amp;$C1805+INT(DIAS_POR_SEMANA/2)),0)</f>
        <v>44</v>
      </c>
      <c r="J1805" s="16" t="n">
        <f aca="false">IFERROR(MATCH($I1805,ROTACAO_RDM!$B$6:$B$71,0),0)</f>
        <v>44</v>
      </c>
      <c r="K1805" s="8" t="str">
        <f aca="false">IF($J1805=0,"SEM CULTURA",INDEX(ROTACAO_RDM!$F$6:$F$71,$J1805))</f>
        <v>SOJA</v>
      </c>
      <c r="L1805" s="8" t="str">
        <f aca="false">IF($J1805=0,"",INDEX(ROTACAO_RDM!$G$6:$G$71,$J1805))</f>
        <v>BMX Olimpo IPRO</v>
      </c>
      <c r="M1805" s="17" t="n">
        <f aca="false">IF($J1805=0,"",INDEX(ROTACAO_RDM!$I$6:$I$71,$J1805))</f>
        <v>46310</v>
      </c>
      <c r="N1805" s="16" t="n">
        <f aca="false">IF($J1805=0,0,MAX(0,$C1805+INT(DIAS_POR_SEMANA/2)-INDEX(ROTACAO_RDM!$I$6:$I$71,$J1805)))</f>
        <v>77</v>
      </c>
      <c r="O1805" s="19" t="n">
        <f aca="false">IF($J1805=0,0,MIN(1,$N1805/MAX(1,INDEX(ROTACAO_RDM!$K$6:$K$71,$J1805))))</f>
        <v>0.631147540983607</v>
      </c>
      <c r="P1805" s="16" t="n">
        <f aca="false">IF($J1805=0,0,IFERROR(MATCH(INDEX(ROTACAO_RDM!$N$6:$N$71,$J1805),PARAMETROS_CULTURAS!$B$6:$B$28,0),0))</f>
        <v>2</v>
      </c>
      <c r="Q1805" s="8" t="str">
        <f aca="false">IF($P1805=0,"-",IF($O1805&lt;=INDEX(PARAMETROS_CULTURAS!$F$6:$F$28,$P1805),"INICIAL",IF($O1805&lt;=INDEX(PARAMETROS_CULTURAS!$F$6:$F$28,$P1805)+INDEX(PARAMETROS_CULTURAS!$G$6:$G$28,$P1805),"DESENVOLVIMENTO",IF($O1805&lt;=INDEX(PARAMETROS_CULTURAS!$F$6:$F$28,$P1805)+INDEX(PARAMETROS_CULTURAS!$G$6:$G$28,$P1805)+INDEX(PARAMETROS_CULTURAS!$H$6:$H$28,$P1805),"MEDIA","FINAL"))))</f>
        <v>MEDIA</v>
      </c>
      <c r="R1805" s="24" t="n">
        <f aca="false">IF($P1805=0,0,IF($O1805&lt;=INDEX(PARAMETROS_CULTURAS!$F$6:$F$28,$P1805),INDEX(PARAMETROS_CULTURAS!$K$6:$K$28,$P1805),IF($O1805&lt;=INDEX(PARAMETROS_CULTURAS!$F$6:$F$28,$P1805)+INDEX(PARAMETROS_CULTURAS!$G$6:$G$28,$P1805),INDEX(PARAMETROS_CULTURAS!$K$6:$K$28,$P1805)+(INDEX(PARAMETROS_CULTURAS!$L$6:$L$28,$P1805)-INDEX(PARAMETROS_CULTURAS!$K$6:$K$28,$P1805))*($O1805-INDEX(PARAMETROS_CULTURAS!$F$6:$F$28,$P1805))/MAX(INDEX(PARAMETROS_CULTURAS!$G$6:$G$28,$P1805),0.0001),IF($O1805&lt;=INDEX(PARAMETROS_CULTURAS!$F$6:$F$28,$P1805)+INDEX(PARAMETROS_CULTURAS!$G$6:$G$28,$P1805)+INDEX(PARAMETROS_CULTURAS!$H$6:$H$28,$P1805),INDEX(PARAMETROS_CULTURAS!$L$6:$L$28,$P1805),INDEX(PARAMETROS_CULTURAS!$L$6:$L$28,$P1805)+(INDEX(PARAMETROS_CULTURAS!$M$6:$M$28,$P1805)-INDEX(PARAMETROS_CULTURAS!$L$6:$L$28,$P1805))*($O1805-INDEX(PARAMETROS_CULTURAS!$F$6:$F$28,$P1805)-INDEX(PARAMETROS_CULTURAS!$G$6:$G$28,$P1805)-INDEX(PARAMETROS_CULTURAS!$H$6:$H$28,$P1805))/MAX(INDEX(PARAMETROS_CULTURAS!$I$6:$I$28,$P1805),0.0001)))))</f>
        <v>1.15</v>
      </c>
      <c r="S1805" s="18" t="n">
        <f aca="false">IFERROR(INDEX(SEMANAS!$H$6:$H$71,MATCH($B1805,SEMANAS!$B$6:$B$71,0)),0)</f>
        <v>33.2</v>
      </c>
      <c r="T1805" s="18" t="n">
        <f aca="false">$R1805*$S1805</f>
        <v>38.18</v>
      </c>
      <c r="U1805" s="18" t="n">
        <f aca="false">IFERROR(INDEX(SEMANAS!$I$6:$I$71,MATCH($B1805,SEMANAS!$B$6:$B$71,0)),0)</f>
        <v>47.11</v>
      </c>
      <c r="V1805" s="18" t="n">
        <f aca="false">IFERROR(INDEX(SEMANAS!$J$6:$J$71,MATCH($B1805,SEMANAS!$B$6:$B$71,0)),0)</f>
        <v>37.688</v>
      </c>
      <c r="W1805" s="18" t="n">
        <f aca="false">MAX(0,$T1805-$V1805)</f>
        <v>0.491999999999997</v>
      </c>
      <c r="X1805" s="19" t="n">
        <f aca="false">IFERROR(INDEX(CADASTRO_PIVOS!$K$6:$K$41,MATCH($E1805,CADASTRO_PIVOS!$B$6:$B$41,0)),EFICIENCIA_PADRAO)</f>
        <v>0.85</v>
      </c>
      <c r="Y1805" s="18" t="n">
        <f aca="false">IF($X1805&lt;=0,0,$W1805/$X1805)</f>
        <v>0.578823529411762</v>
      </c>
      <c r="Z1805" s="16" t="n">
        <f aca="false">$Y1805*$H1805*MM_PARA_M3_HA</f>
        <v>867.887999999995</v>
      </c>
      <c r="AA1805" s="18" t="n">
        <f aca="false">IFERROR(INDEX(CADASTRO_PIVOS!$I$6:$I$41,MATCH($E1805,CADASTRO_PIVOS!$B$6:$B$41,0)),0)</f>
        <v>1071</v>
      </c>
      <c r="AB1805" s="18" t="n">
        <f aca="false">IF($Z1805&lt;=0,0,$Z1805/$AA1805)</f>
        <v>0.810352941176466</v>
      </c>
      <c r="AC1805" s="16" t="n">
        <f aca="false">IFERROR(INDEX(SEMANAS!$K$6:$K$71,MATCH($B1805,SEMANAS!$B$6:$B$71,0)),0)</f>
        <v>147</v>
      </c>
      <c r="AD1805" s="19" t="n">
        <f aca="false">IF($AC1805&lt;=0,0,$AB1805/$AC1805)</f>
        <v>0.00551260504201678</v>
      </c>
      <c r="AE1805" s="8" t="str">
        <f aca="false">IF($K1805="SEM CULTURA","SEM CULTURA",IF($AA1805&lt;=0,"DADO PENDENTE",IF($AD1805&gt;LIMITE_CRITICO,"INVIAVEL",IF($AD1805&gt;LIMITE_ATENCAO,"CRITICO",IF($AD1805&gt;LIMITE_CONFORTAVEL,"ATENCAO","OK")))))</f>
        <v>OK</v>
      </c>
      <c r="AF1805" s="8" t="str">
        <f aca="false">$B1805&amp;"|"&amp;TEXT($AD1805,"0.000000")</f>
        <v>18|0.005513</v>
      </c>
      <c r="AG1805" s="18" t="n">
        <f aca="false">IF($K1805="SEM CULTURA",0,$T1805*$H1805)</f>
        <v>5724.7092</v>
      </c>
      <c r="AH1805" s="18" t="n">
        <f aca="false">IF($K1805="SEM CULTURA",0,$V1805*$H1805)</f>
        <v>5650.93872</v>
      </c>
      <c r="AI1805" s="18" t="n">
        <f aca="false">IF($K1805="SEM CULTURA",0,$W1805*$H1805)</f>
        <v>73.7704799999996</v>
      </c>
      <c r="AJ1805" s="18" t="n">
        <f aca="false">IF($K1805="SEM CULTURA",0,$S1805*$H1805)</f>
        <v>4978.008</v>
      </c>
      <c r="AK1805" s="8" t="str">
        <f aca="false">$E1805&amp;"|"&amp;TEXT($AD1805,"0.000000")</f>
        <v>PV 124|0.005513</v>
      </c>
    </row>
    <row r="1806" customFormat="false" ht="15" hidden="false" customHeight="false" outlineLevel="0" collapsed="false">
      <c r="B1806" s="16" t="n">
        <v>19</v>
      </c>
      <c r="C1806" s="17" t="n">
        <f aca="false">DATA_INICIO_SAFRA+($B1806-1)*DIAS_POR_SEMANA</f>
        <v>46391</v>
      </c>
      <c r="D1806" s="17" t="n">
        <f aca="false">$C1806+DIAS_POR_SEMANA-1</f>
        <v>46397</v>
      </c>
      <c r="E1806" s="15" t="s">
        <v>286</v>
      </c>
      <c r="F1806" s="8" t="str">
        <f aca="false">IFERROR(INDEX(CADASTRO_PIVOS!$C$6:$C$41,MATCH($E1806,CADASTRO_PIVOS!$B$6:$B$41,0)),"?")</f>
        <v>RM07</v>
      </c>
      <c r="G1806" s="8" t="str">
        <f aca="false">IFERROR(INDEX(CADASTRO_PIVOS!$D$6:$D$41,MATCH($E1806,CADASTRO_PIVOS!$B$6:$B$41,0)),"?")</f>
        <v>TR07</v>
      </c>
      <c r="H1806" s="20" t="n">
        <f aca="false">IFERROR(INDEX(CADASTRO_PIVOS!$E$6:$E$41,MATCH($E1806,CADASTRO_PIVOS!$B$6:$B$41,0)),0)</f>
        <v>149.94</v>
      </c>
      <c r="I1806" s="16" t="n">
        <f aca="false">IFERROR(SUMIFS(ROTACAO_RDM!$B$6:$B$71,ROTACAO_RDM!$D$6:$D$71,$E1806,ROTACAO_RDM!$I$6:$I$71,"&lt;="&amp;$C1806+INT(DIAS_POR_SEMANA/2),ROTACAO_RDM!$J$6:$J$71,"&gt;="&amp;$C1806+INT(DIAS_POR_SEMANA/2)),0)</f>
        <v>44</v>
      </c>
      <c r="J1806" s="16" t="n">
        <f aca="false">IFERROR(MATCH($I1806,ROTACAO_RDM!$B$6:$B$71,0),0)</f>
        <v>44</v>
      </c>
      <c r="K1806" s="8" t="str">
        <f aca="false">IF($J1806=0,"SEM CULTURA",INDEX(ROTACAO_RDM!$F$6:$F$71,$J1806))</f>
        <v>SOJA</v>
      </c>
      <c r="L1806" s="8" t="str">
        <f aca="false">IF($J1806=0,"",INDEX(ROTACAO_RDM!$G$6:$G$71,$J1806))</f>
        <v>BMX Olimpo IPRO</v>
      </c>
      <c r="M1806" s="17" t="n">
        <f aca="false">IF($J1806=0,"",INDEX(ROTACAO_RDM!$I$6:$I$71,$J1806))</f>
        <v>46310</v>
      </c>
      <c r="N1806" s="16" t="n">
        <f aca="false">IF($J1806=0,0,MAX(0,$C1806+INT(DIAS_POR_SEMANA/2)-INDEX(ROTACAO_RDM!$I$6:$I$71,$J1806)))</f>
        <v>84</v>
      </c>
      <c r="O1806" s="19" t="n">
        <f aca="false">IF($J1806=0,0,MIN(1,$N1806/MAX(1,INDEX(ROTACAO_RDM!$K$6:$K$71,$J1806))))</f>
        <v>0.688524590163934</v>
      </c>
      <c r="P1806" s="16" t="n">
        <f aca="false">IF($J1806=0,0,IFERROR(MATCH(INDEX(ROTACAO_RDM!$N$6:$N$71,$J1806),PARAMETROS_CULTURAS!$B$6:$B$28,0),0))</f>
        <v>2</v>
      </c>
      <c r="Q1806" s="8" t="str">
        <f aca="false">IF($P1806=0,"-",IF($O1806&lt;=INDEX(PARAMETROS_CULTURAS!$F$6:$F$28,$P1806),"INICIAL",IF($O1806&lt;=INDEX(PARAMETROS_CULTURAS!$F$6:$F$28,$P1806)+INDEX(PARAMETROS_CULTURAS!$G$6:$G$28,$P1806),"DESENVOLVIMENTO",IF($O1806&lt;=INDEX(PARAMETROS_CULTURAS!$F$6:$F$28,$P1806)+INDEX(PARAMETROS_CULTURAS!$G$6:$G$28,$P1806)+INDEX(PARAMETROS_CULTURAS!$H$6:$H$28,$P1806),"MEDIA","FINAL"))))</f>
        <v>MEDIA</v>
      </c>
      <c r="R1806" s="24" t="n">
        <f aca="false">IF($P1806=0,0,IF($O1806&lt;=INDEX(PARAMETROS_CULTURAS!$F$6:$F$28,$P1806),INDEX(PARAMETROS_CULTURAS!$K$6:$K$28,$P1806),IF($O1806&lt;=INDEX(PARAMETROS_CULTURAS!$F$6:$F$28,$P1806)+INDEX(PARAMETROS_CULTURAS!$G$6:$G$28,$P1806),INDEX(PARAMETROS_CULTURAS!$K$6:$K$28,$P1806)+(INDEX(PARAMETROS_CULTURAS!$L$6:$L$28,$P1806)-INDEX(PARAMETROS_CULTURAS!$K$6:$K$28,$P1806))*($O1806-INDEX(PARAMETROS_CULTURAS!$F$6:$F$28,$P1806))/MAX(INDEX(PARAMETROS_CULTURAS!$G$6:$G$28,$P1806),0.0001),IF($O1806&lt;=INDEX(PARAMETROS_CULTURAS!$F$6:$F$28,$P1806)+INDEX(PARAMETROS_CULTURAS!$G$6:$G$28,$P1806)+INDEX(PARAMETROS_CULTURAS!$H$6:$H$28,$P1806),INDEX(PARAMETROS_CULTURAS!$L$6:$L$28,$P1806),INDEX(PARAMETROS_CULTURAS!$L$6:$L$28,$P1806)+(INDEX(PARAMETROS_CULTURAS!$M$6:$M$28,$P1806)-INDEX(PARAMETROS_CULTURAS!$L$6:$L$28,$P1806))*($O1806-INDEX(PARAMETROS_CULTURAS!$F$6:$F$28,$P1806)-INDEX(PARAMETROS_CULTURAS!$G$6:$G$28,$P1806)-INDEX(PARAMETROS_CULTURAS!$H$6:$H$28,$P1806))/MAX(INDEX(PARAMETROS_CULTURAS!$I$6:$I$28,$P1806),0.0001)))))</f>
        <v>1.15</v>
      </c>
      <c r="S1806" s="18" t="n">
        <f aca="false">IFERROR(INDEX(SEMANAS!$H$6:$H$71,MATCH($B1806,SEMANAS!$B$6:$B$71,0)),0)</f>
        <v>33.6</v>
      </c>
      <c r="T1806" s="18" t="n">
        <f aca="false">$R1806*$S1806</f>
        <v>38.64</v>
      </c>
      <c r="U1806" s="18" t="n">
        <f aca="false">IFERROR(INDEX(SEMANAS!$I$6:$I$71,MATCH($B1806,SEMANAS!$B$6:$B$71,0)),0)</f>
        <v>45.15</v>
      </c>
      <c r="V1806" s="18" t="n">
        <f aca="false">IFERROR(INDEX(SEMANAS!$J$6:$J$71,MATCH($B1806,SEMANAS!$B$6:$B$71,0)),0)</f>
        <v>36.12</v>
      </c>
      <c r="W1806" s="18" t="n">
        <f aca="false">MAX(0,$T1806-$V1806)</f>
        <v>2.52</v>
      </c>
      <c r="X1806" s="19" t="n">
        <f aca="false">IFERROR(INDEX(CADASTRO_PIVOS!$K$6:$K$41,MATCH($E1806,CADASTRO_PIVOS!$B$6:$B$41,0)),EFICIENCIA_PADRAO)</f>
        <v>0.85</v>
      </c>
      <c r="Y1806" s="18" t="n">
        <f aca="false">IF($X1806&lt;=0,0,$W1806/$X1806)</f>
        <v>2.96470588235294</v>
      </c>
      <c r="Z1806" s="16" t="n">
        <f aca="false">$Y1806*$H1806*MM_PARA_M3_HA</f>
        <v>4445.27999999999</v>
      </c>
      <c r="AA1806" s="18" t="n">
        <f aca="false">IFERROR(INDEX(CADASTRO_PIVOS!$I$6:$I$41,MATCH($E1806,CADASTRO_PIVOS!$B$6:$B$41,0)),0)</f>
        <v>1071</v>
      </c>
      <c r="AB1806" s="18" t="n">
        <f aca="false">IF($Z1806&lt;=0,0,$Z1806/$AA1806)</f>
        <v>4.15058823529411</v>
      </c>
      <c r="AC1806" s="16" t="n">
        <f aca="false">IFERROR(INDEX(SEMANAS!$K$6:$K$71,MATCH($B1806,SEMANAS!$B$6:$B$71,0)),0)</f>
        <v>147</v>
      </c>
      <c r="AD1806" s="19" t="n">
        <f aca="false">IF($AC1806&lt;=0,0,$AB1806/$AC1806)</f>
        <v>0.028235294117647</v>
      </c>
      <c r="AE1806" s="8" t="str">
        <f aca="false">IF($K1806="SEM CULTURA","SEM CULTURA",IF($AA1806&lt;=0,"DADO PENDENTE",IF($AD1806&gt;LIMITE_CRITICO,"INVIAVEL",IF($AD1806&gt;LIMITE_ATENCAO,"CRITICO",IF($AD1806&gt;LIMITE_CONFORTAVEL,"ATENCAO","OK")))))</f>
        <v>OK</v>
      </c>
      <c r="AF1806" s="8" t="str">
        <f aca="false">$B1806&amp;"|"&amp;TEXT($AD1806,"0.000000")</f>
        <v>19|0.028235</v>
      </c>
      <c r="AG1806" s="18" t="n">
        <f aca="false">IF($K1806="SEM CULTURA",0,$T1806*$H1806)</f>
        <v>5793.6816</v>
      </c>
      <c r="AH1806" s="18" t="n">
        <f aca="false">IF($K1806="SEM CULTURA",0,$V1806*$H1806)</f>
        <v>5415.8328</v>
      </c>
      <c r="AI1806" s="18" t="n">
        <f aca="false">IF($K1806="SEM CULTURA",0,$W1806*$H1806)</f>
        <v>377.848799999999</v>
      </c>
      <c r="AJ1806" s="18" t="n">
        <f aca="false">IF($K1806="SEM CULTURA",0,$S1806*$H1806)</f>
        <v>5037.984</v>
      </c>
      <c r="AK1806" s="8" t="str">
        <f aca="false">$E1806&amp;"|"&amp;TEXT($AD1806,"0.000000")</f>
        <v>PV 124|0.028235</v>
      </c>
    </row>
    <row r="1807" customFormat="false" ht="15" hidden="false" customHeight="false" outlineLevel="0" collapsed="false">
      <c r="B1807" s="16" t="n">
        <v>20</v>
      </c>
      <c r="C1807" s="17" t="n">
        <f aca="false">DATA_INICIO_SAFRA+($B1807-1)*DIAS_POR_SEMANA</f>
        <v>46398</v>
      </c>
      <c r="D1807" s="17" t="n">
        <f aca="false">$C1807+DIAS_POR_SEMANA-1</f>
        <v>46404</v>
      </c>
      <c r="E1807" s="15" t="s">
        <v>286</v>
      </c>
      <c r="F1807" s="8" t="str">
        <f aca="false">IFERROR(INDEX(CADASTRO_PIVOS!$C$6:$C$41,MATCH($E1807,CADASTRO_PIVOS!$B$6:$B$41,0)),"?")</f>
        <v>RM07</v>
      </c>
      <c r="G1807" s="8" t="str">
        <f aca="false">IFERROR(INDEX(CADASTRO_PIVOS!$D$6:$D$41,MATCH($E1807,CADASTRO_PIVOS!$B$6:$B$41,0)),"?")</f>
        <v>TR07</v>
      </c>
      <c r="H1807" s="20" t="n">
        <f aca="false">IFERROR(INDEX(CADASTRO_PIVOS!$E$6:$E$41,MATCH($E1807,CADASTRO_PIVOS!$B$6:$B$41,0)),0)</f>
        <v>149.94</v>
      </c>
      <c r="I1807" s="16" t="n">
        <f aca="false">IFERROR(SUMIFS(ROTACAO_RDM!$B$6:$B$71,ROTACAO_RDM!$D$6:$D$71,$E1807,ROTACAO_RDM!$I$6:$I$71,"&lt;="&amp;$C1807+INT(DIAS_POR_SEMANA/2),ROTACAO_RDM!$J$6:$J$71,"&gt;="&amp;$C1807+INT(DIAS_POR_SEMANA/2)),0)</f>
        <v>44</v>
      </c>
      <c r="J1807" s="16" t="n">
        <f aca="false">IFERROR(MATCH($I1807,ROTACAO_RDM!$B$6:$B$71,0),0)</f>
        <v>44</v>
      </c>
      <c r="K1807" s="8" t="str">
        <f aca="false">IF($J1807=0,"SEM CULTURA",INDEX(ROTACAO_RDM!$F$6:$F$71,$J1807))</f>
        <v>SOJA</v>
      </c>
      <c r="L1807" s="8" t="str">
        <f aca="false">IF($J1807=0,"",INDEX(ROTACAO_RDM!$G$6:$G$71,$J1807))</f>
        <v>BMX Olimpo IPRO</v>
      </c>
      <c r="M1807" s="17" t="n">
        <f aca="false">IF($J1807=0,"",INDEX(ROTACAO_RDM!$I$6:$I$71,$J1807))</f>
        <v>46310</v>
      </c>
      <c r="N1807" s="16" t="n">
        <f aca="false">IF($J1807=0,0,MAX(0,$C1807+INT(DIAS_POR_SEMANA/2)-INDEX(ROTACAO_RDM!$I$6:$I$71,$J1807)))</f>
        <v>91</v>
      </c>
      <c r="O1807" s="19" t="n">
        <f aca="false">IF($J1807=0,0,MIN(1,$N1807/MAX(1,INDEX(ROTACAO_RDM!$K$6:$K$71,$J1807))))</f>
        <v>0.745901639344262</v>
      </c>
      <c r="P1807" s="16" t="n">
        <f aca="false">IF($J1807=0,0,IFERROR(MATCH(INDEX(ROTACAO_RDM!$N$6:$N$71,$J1807),PARAMETROS_CULTURAS!$B$6:$B$28,0),0))</f>
        <v>2</v>
      </c>
      <c r="Q1807" s="8" t="str">
        <f aca="false">IF($P1807=0,"-",IF($O1807&lt;=INDEX(PARAMETROS_CULTURAS!$F$6:$F$28,$P1807),"INICIAL",IF($O1807&lt;=INDEX(PARAMETROS_CULTURAS!$F$6:$F$28,$P1807)+INDEX(PARAMETROS_CULTURAS!$G$6:$G$28,$P1807),"DESENVOLVIMENTO",IF($O1807&lt;=INDEX(PARAMETROS_CULTURAS!$F$6:$F$28,$P1807)+INDEX(PARAMETROS_CULTURAS!$G$6:$G$28,$P1807)+INDEX(PARAMETROS_CULTURAS!$H$6:$H$28,$P1807),"MEDIA","FINAL"))))</f>
        <v>MEDIA</v>
      </c>
      <c r="R1807" s="24" t="n">
        <f aca="false">IF($P1807=0,0,IF($O1807&lt;=INDEX(PARAMETROS_CULTURAS!$F$6:$F$28,$P1807),INDEX(PARAMETROS_CULTURAS!$K$6:$K$28,$P1807),IF($O1807&lt;=INDEX(PARAMETROS_CULTURAS!$F$6:$F$28,$P1807)+INDEX(PARAMETROS_CULTURAS!$G$6:$G$28,$P1807),INDEX(PARAMETROS_CULTURAS!$K$6:$K$28,$P1807)+(INDEX(PARAMETROS_CULTURAS!$L$6:$L$28,$P1807)-INDEX(PARAMETROS_CULTURAS!$K$6:$K$28,$P1807))*($O1807-INDEX(PARAMETROS_CULTURAS!$F$6:$F$28,$P1807))/MAX(INDEX(PARAMETROS_CULTURAS!$G$6:$G$28,$P1807),0.0001),IF($O1807&lt;=INDEX(PARAMETROS_CULTURAS!$F$6:$F$28,$P1807)+INDEX(PARAMETROS_CULTURAS!$G$6:$G$28,$P1807)+INDEX(PARAMETROS_CULTURAS!$H$6:$H$28,$P1807),INDEX(PARAMETROS_CULTURAS!$L$6:$L$28,$P1807),INDEX(PARAMETROS_CULTURAS!$L$6:$L$28,$P1807)+(INDEX(PARAMETROS_CULTURAS!$M$6:$M$28,$P1807)-INDEX(PARAMETROS_CULTURAS!$L$6:$L$28,$P1807))*($O1807-INDEX(PARAMETROS_CULTURAS!$F$6:$F$28,$P1807)-INDEX(PARAMETROS_CULTURAS!$G$6:$G$28,$P1807)-INDEX(PARAMETROS_CULTURAS!$H$6:$H$28,$P1807))/MAX(INDEX(PARAMETROS_CULTURAS!$I$6:$I$28,$P1807),0.0001)))))</f>
        <v>1.15</v>
      </c>
      <c r="S1807" s="18" t="n">
        <f aca="false">IFERROR(INDEX(SEMANAS!$H$6:$H$71,MATCH($B1807,SEMANAS!$B$6:$B$71,0)),0)</f>
        <v>33.6</v>
      </c>
      <c r="T1807" s="18" t="n">
        <f aca="false">$R1807*$S1807</f>
        <v>38.64</v>
      </c>
      <c r="U1807" s="18" t="n">
        <f aca="false">IFERROR(INDEX(SEMANAS!$I$6:$I$71,MATCH($B1807,SEMANAS!$B$6:$B$71,0)),0)</f>
        <v>45.15</v>
      </c>
      <c r="V1807" s="18" t="n">
        <f aca="false">IFERROR(INDEX(SEMANAS!$J$6:$J$71,MATCH($B1807,SEMANAS!$B$6:$B$71,0)),0)</f>
        <v>36.12</v>
      </c>
      <c r="W1807" s="18" t="n">
        <f aca="false">MAX(0,$T1807-$V1807)</f>
        <v>2.52</v>
      </c>
      <c r="X1807" s="19" t="n">
        <f aca="false">IFERROR(INDEX(CADASTRO_PIVOS!$K$6:$K$41,MATCH($E1807,CADASTRO_PIVOS!$B$6:$B$41,0)),EFICIENCIA_PADRAO)</f>
        <v>0.85</v>
      </c>
      <c r="Y1807" s="18" t="n">
        <f aca="false">IF($X1807&lt;=0,0,$W1807/$X1807)</f>
        <v>2.96470588235294</v>
      </c>
      <c r="Z1807" s="16" t="n">
        <f aca="false">$Y1807*$H1807*MM_PARA_M3_HA</f>
        <v>4445.27999999999</v>
      </c>
      <c r="AA1807" s="18" t="n">
        <f aca="false">IFERROR(INDEX(CADASTRO_PIVOS!$I$6:$I$41,MATCH($E1807,CADASTRO_PIVOS!$B$6:$B$41,0)),0)</f>
        <v>1071</v>
      </c>
      <c r="AB1807" s="18" t="n">
        <f aca="false">IF($Z1807&lt;=0,0,$Z1807/$AA1807)</f>
        <v>4.15058823529411</v>
      </c>
      <c r="AC1807" s="16" t="n">
        <f aca="false">IFERROR(INDEX(SEMANAS!$K$6:$K$71,MATCH($B1807,SEMANAS!$B$6:$B$71,0)),0)</f>
        <v>147</v>
      </c>
      <c r="AD1807" s="19" t="n">
        <f aca="false">IF($AC1807&lt;=0,0,$AB1807/$AC1807)</f>
        <v>0.028235294117647</v>
      </c>
      <c r="AE1807" s="8" t="str">
        <f aca="false">IF($K1807="SEM CULTURA","SEM CULTURA",IF($AA1807&lt;=0,"DADO PENDENTE",IF($AD1807&gt;LIMITE_CRITICO,"INVIAVEL",IF($AD1807&gt;LIMITE_ATENCAO,"CRITICO",IF($AD1807&gt;LIMITE_CONFORTAVEL,"ATENCAO","OK")))))</f>
        <v>OK</v>
      </c>
      <c r="AF1807" s="8" t="str">
        <f aca="false">$B1807&amp;"|"&amp;TEXT($AD1807,"0.000000")</f>
        <v>20|0.028235</v>
      </c>
      <c r="AG1807" s="18" t="n">
        <f aca="false">IF($K1807="SEM CULTURA",0,$T1807*$H1807)</f>
        <v>5793.6816</v>
      </c>
      <c r="AH1807" s="18" t="n">
        <f aca="false">IF($K1807="SEM CULTURA",0,$V1807*$H1807)</f>
        <v>5415.8328</v>
      </c>
      <c r="AI1807" s="18" t="n">
        <f aca="false">IF($K1807="SEM CULTURA",0,$W1807*$H1807)</f>
        <v>377.848799999999</v>
      </c>
      <c r="AJ1807" s="18" t="n">
        <f aca="false">IF($K1807="SEM CULTURA",0,$S1807*$H1807)</f>
        <v>5037.984</v>
      </c>
      <c r="AK1807" s="8" t="str">
        <f aca="false">$E1807&amp;"|"&amp;TEXT($AD1807,"0.000000")</f>
        <v>PV 124|0.028235</v>
      </c>
    </row>
    <row r="1808" customFormat="false" ht="15" hidden="false" customHeight="false" outlineLevel="0" collapsed="false">
      <c r="B1808" s="16" t="n">
        <v>21</v>
      </c>
      <c r="C1808" s="17" t="n">
        <f aca="false">DATA_INICIO_SAFRA+($B1808-1)*DIAS_POR_SEMANA</f>
        <v>46405</v>
      </c>
      <c r="D1808" s="17" t="n">
        <f aca="false">$C1808+DIAS_POR_SEMANA-1</f>
        <v>46411</v>
      </c>
      <c r="E1808" s="15" t="s">
        <v>286</v>
      </c>
      <c r="F1808" s="8" t="str">
        <f aca="false">IFERROR(INDEX(CADASTRO_PIVOS!$C$6:$C$41,MATCH($E1808,CADASTRO_PIVOS!$B$6:$B$41,0)),"?")</f>
        <v>RM07</v>
      </c>
      <c r="G1808" s="8" t="str">
        <f aca="false">IFERROR(INDEX(CADASTRO_PIVOS!$D$6:$D$41,MATCH($E1808,CADASTRO_PIVOS!$B$6:$B$41,0)),"?")</f>
        <v>TR07</v>
      </c>
      <c r="H1808" s="20" t="n">
        <f aca="false">IFERROR(INDEX(CADASTRO_PIVOS!$E$6:$E$41,MATCH($E1808,CADASTRO_PIVOS!$B$6:$B$41,0)),0)</f>
        <v>149.94</v>
      </c>
      <c r="I1808" s="16" t="n">
        <f aca="false">IFERROR(SUMIFS(ROTACAO_RDM!$B$6:$B$71,ROTACAO_RDM!$D$6:$D$71,$E1808,ROTACAO_RDM!$I$6:$I$71,"&lt;="&amp;$C1808+INT(DIAS_POR_SEMANA/2),ROTACAO_RDM!$J$6:$J$71,"&gt;="&amp;$C1808+INT(DIAS_POR_SEMANA/2)),0)</f>
        <v>44</v>
      </c>
      <c r="J1808" s="16" t="n">
        <f aca="false">IFERROR(MATCH($I1808,ROTACAO_RDM!$B$6:$B$71,0),0)</f>
        <v>44</v>
      </c>
      <c r="K1808" s="8" t="str">
        <f aca="false">IF($J1808=0,"SEM CULTURA",INDEX(ROTACAO_RDM!$F$6:$F$71,$J1808))</f>
        <v>SOJA</v>
      </c>
      <c r="L1808" s="8" t="str">
        <f aca="false">IF($J1808=0,"",INDEX(ROTACAO_RDM!$G$6:$G$71,$J1808))</f>
        <v>BMX Olimpo IPRO</v>
      </c>
      <c r="M1808" s="17" t="n">
        <f aca="false">IF($J1808=0,"",INDEX(ROTACAO_RDM!$I$6:$I$71,$J1808))</f>
        <v>46310</v>
      </c>
      <c r="N1808" s="16" t="n">
        <f aca="false">IF($J1808=0,0,MAX(0,$C1808+INT(DIAS_POR_SEMANA/2)-INDEX(ROTACAO_RDM!$I$6:$I$71,$J1808)))</f>
        <v>98</v>
      </c>
      <c r="O1808" s="19" t="n">
        <f aca="false">IF($J1808=0,0,MIN(1,$N1808/MAX(1,INDEX(ROTACAO_RDM!$K$6:$K$71,$J1808))))</f>
        <v>0.80327868852459</v>
      </c>
      <c r="P1808" s="16" t="n">
        <f aca="false">IF($J1808=0,0,IFERROR(MATCH(INDEX(ROTACAO_RDM!$N$6:$N$71,$J1808),PARAMETROS_CULTURAS!$B$6:$B$28,0),0))</f>
        <v>2</v>
      </c>
      <c r="Q1808" s="8" t="str">
        <f aca="false">IF($P1808=0,"-",IF($O1808&lt;=INDEX(PARAMETROS_CULTURAS!$F$6:$F$28,$P1808),"INICIAL",IF($O1808&lt;=INDEX(PARAMETROS_CULTURAS!$F$6:$F$28,$P1808)+INDEX(PARAMETROS_CULTURAS!$G$6:$G$28,$P1808),"DESENVOLVIMENTO",IF($O1808&lt;=INDEX(PARAMETROS_CULTURAS!$F$6:$F$28,$P1808)+INDEX(PARAMETROS_CULTURAS!$G$6:$G$28,$P1808)+INDEX(PARAMETROS_CULTURAS!$H$6:$H$28,$P1808),"MEDIA","FINAL"))))</f>
        <v>MEDIA</v>
      </c>
      <c r="R1808" s="24" t="n">
        <f aca="false">IF($P1808=0,0,IF($O1808&lt;=INDEX(PARAMETROS_CULTURAS!$F$6:$F$28,$P1808),INDEX(PARAMETROS_CULTURAS!$K$6:$K$28,$P1808),IF($O1808&lt;=INDEX(PARAMETROS_CULTURAS!$F$6:$F$28,$P1808)+INDEX(PARAMETROS_CULTURAS!$G$6:$G$28,$P1808),INDEX(PARAMETROS_CULTURAS!$K$6:$K$28,$P1808)+(INDEX(PARAMETROS_CULTURAS!$L$6:$L$28,$P1808)-INDEX(PARAMETROS_CULTURAS!$K$6:$K$28,$P1808))*($O1808-INDEX(PARAMETROS_CULTURAS!$F$6:$F$28,$P1808))/MAX(INDEX(PARAMETROS_CULTURAS!$G$6:$G$28,$P1808),0.0001),IF($O1808&lt;=INDEX(PARAMETROS_CULTURAS!$F$6:$F$28,$P1808)+INDEX(PARAMETROS_CULTURAS!$G$6:$G$28,$P1808)+INDEX(PARAMETROS_CULTURAS!$H$6:$H$28,$P1808),INDEX(PARAMETROS_CULTURAS!$L$6:$L$28,$P1808),INDEX(PARAMETROS_CULTURAS!$L$6:$L$28,$P1808)+(INDEX(PARAMETROS_CULTURAS!$M$6:$M$28,$P1808)-INDEX(PARAMETROS_CULTURAS!$L$6:$L$28,$P1808))*($O1808-INDEX(PARAMETROS_CULTURAS!$F$6:$F$28,$P1808)-INDEX(PARAMETROS_CULTURAS!$G$6:$G$28,$P1808)-INDEX(PARAMETROS_CULTURAS!$H$6:$H$28,$P1808))/MAX(INDEX(PARAMETROS_CULTURAS!$I$6:$I$28,$P1808),0.0001)))))</f>
        <v>1.15</v>
      </c>
      <c r="S1808" s="18" t="n">
        <f aca="false">IFERROR(INDEX(SEMANAS!$H$6:$H$71,MATCH($B1808,SEMANAS!$B$6:$B$71,0)),0)</f>
        <v>33.6</v>
      </c>
      <c r="T1808" s="18" t="n">
        <f aca="false">$R1808*$S1808</f>
        <v>38.64</v>
      </c>
      <c r="U1808" s="18" t="n">
        <f aca="false">IFERROR(INDEX(SEMANAS!$I$6:$I$71,MATCH($B1808,SEMANAS!$B$6:$B$71,0)),0)</f>
        <v>45.15</v>
      </c>
      <c r="V1808" s="18" t="n">
        <f aca="false">IFERROR(INDEX(SEMANAS!$J$6:$J$71,MATCH($B1808,SEMANAS!$B$6:$B$71,0)),0)</f>
        <v>36.12</v>
      </c>
      <c r="W1808" s="18" t="n">
        <f aca="false">MAX(0,$T1808-$V1808)</f>
        <v>2.52</v>
      </c>
      <c r="X1808" s="19" t="n">
        <f aca="false">IFERROR(INDEX(CADASTRO_PIVOS!$K$6:$K$41,MATCH($E1808,CADASTRO_PIVOS!$B$6:$B$41,0)),EFICIENCIA_PADRAO)</f>
        <v>0.85</v>
      </c>
      <c r="Y1808" s="18" t="n">
        <f aca="false">IF($X1808&lt;=0,0,$W1808/$X1808)</f>
        <v>2.96470588235294</v>
      </c>
      <c r="Z1808" s="16" t="n">
        <f aca="false">$Y1808*$H1808*MM_PARA_M3_HA</f>
        <v>4445.27999999999</v>
      </c>
      <c r="AA1808" s="18" t="n">
        <f aca="false">IFERROR(INDEX(CADASTRO_PIVOS!$I$6:$I$41,MATCH($E1808,CADASTRO_PIVOS!$B$6:$B$41,0)),0)</f>
        <v>1071</v>
      </c>
      <c r="AB1808" s="18" t="n">
        <f aca="false">IF($Z1808&lt;=0,0,$Z1808/$AA1808)</f>
        <v>4.15058823529411</v>
      </c>
      <c r="AC1808" s="16" t="n">
        <f aca="false">IFERROR(INDEX(SEMANAS!$K$6:$K$71,MATCH($B1808,SEMANAS!$B$6:$B$71,0)),0)</f>
        <v>147</v>
      </c>
      <c r="AD1808" s="19" t="n">
        <f aca="false">IF($AC1808&lt;=0,0,$AB1808/$AC1808)</f>
        <v>0.028235294117647</v>
      </c>
      <c r="AE1808" s="8" t="str">
        <f aca="false">IF($K1808="SEM CULTURA","SEM CULTURA",IF($AA1808&lt;=0,"DADO PENDENTE",IF($AD1808&gt;LIMITE_CRITICO,"INVIAVEL",IF($AD1808&gt;LIMITE_ATENCAO,"CRITICO",IF($AD1808&gt;LIMITE_CONFORTAVEL,"ATENCAO","OK")))))</f>
        <v>OK</v>
      </c>
      <c r="AF1808" s="8" t="str">
        <f aca="false">$B1808&amp;"|"&amp;TEXT($AD1808,"0.000000")</f>
        <v>21|0.028235</v>
      </c>
      <c r="AG1808" s="18" t="n">
        <f aca="false">IF($K1808="SEM CULTURA",0,$T1808*$H1808)</f>
        <v>5793.6816</v>
      </c>
      <c r="AH1808" s="18" t="n">
        <f aca="false">IF($K1808="SEM CULTURA",0,$V1808*$H1808)</f>
        <v>5415.8328</v>
      </c>
      <c r="AI1808" s="18" t="n">
        <f aca="false">IF($K1808="SEM CULTURA",0,$W1808*$H1808)</f>
        <v>377.848799999999</v>
      </c>
      <c r="AJ1808" s="18" t="n">
        <f aca="false">IF($K1808="SEM CULTURA",0,$S1808*$H1808)</f>
        <v>5037.984</v>
      </c>
      <c r="AK1808" s="8" t="str">
        <f aca="false">$E1808&amp;"|"&amp;TEXT($AD1808,"0.000000")</f>
        <v>PV 124|0.028235</v>
      </c>
    </row>
    <row r="1809" customFormat="false" ht="15" hidden="false" customHeight="false" outlineLevel="0" collapsed="false">
      <c r="B1809" s="16" t="n">
        <v>22</v>
      </c>
      <c r="C1809" s="17" t="n">
        <f aca="false">DATA_INICIO_SAFRA+($B1809-1)*DIAS_POR_SEMANA</f>
        <v>46412</v>
      </c>
      <c r="D1809" s="17" t="n">
        <f aca="false">$C1809+DIAS_POR_SEMANA-1</f>
        <v>46418</v>
      </c>
      <c r="E1809" s="15" t="s">
        <v>286</v>
      </c>
      <c r="F1809" s="8" t="str">
        <f aca="false">IFERROR(INDEX(CADASTRO_PIVOS!$C$6:$C$41,MATCH($E1809,CADASTRO_PIVOS!$B$6:$B$41,0)),"?")</f>
        <v>RM07</v>
      </c>
      <c r="G1809" s="8" t="str">
        <f aca="false">IFERROR(INDEX(CADASTRO_PIVOS!$D$6:$D$41,MATCH($E1809,CADASTRO_PIVOS!$B$6:$B$41,0)),"?")</f>
        <v>TR07</v>
      </c>
      <c r="H1809" s="20" t="n">
        <f aca="false">IFERROR(INDEX(CADASTRO_PIVOS!$E$6:$E$41,MATCH($E1809,CADASTRO_PIVOS!$B$6:$B$41,0)),0)</f>
        <v>149.94</v>
      </c>
      <c r="I1809" s="16" t="n">
        <f aca="false">IFERROR(SUMIFS(ROTACAO_RDM!$B$6:$B$71,ROTACAO_RDM!$D$6:$D$71,$E1809,ROTACAO_RDM!$I$6:$I$71,"&lt;="&amp;$C1809+INT(DIAS_POR_SEMANA/2),ROTACAO_RDM!$J$6:$J$71,"&gt;="&amp;$C1809+INT(DIAS_POR_SEMANA/2)),0)</f>
        <v>44</v>
      </c>
      <c r="J1809" s="16" t="n">
        <f aca="false">IFERROR(MATCH($I1809,ROTACAO_RDM!$B$6:$B$71,0),0)</f>
        <v>44</v>
      </c>
      <c r="K1809" s="8" t="str">
        <f aca="false">IF($J1809=0,"SEM CULTURA",INDEX(ROTACAO_RDM!$F$6:$F$71,$J1809))</f>
        <v>SOJA</v>
      </c>
      <c r="L1809" s="8" t="str">
        <f aca="false">IF($J1809=0,"",INDEX(ROTACAO_RDM!$G$6:$G$71,$J1809))</f>
        <v>BMX Olimpo IPRO</v>
      </c>
      <c r="M1809" s="17" t="n">
        <f aca="false">IF($J1809=0,"",INDEX(ROTACAO_RDM!$I$6:$I$71,$J1809))</f>
        <v>46310</v>
      </c>
      <c r="N1809" s="16" t="n">
        <f aca="false">IF($J1809=0,0,MAX(0,$C1809+INT(DIAS_POR_SEMANA/2)-INDEX(ROTACAO_RDM!$I$6:$I$71,$J1809)))</f>
        <v>105</v>
      </c>
      <c r="O1809" s="19" t="n">
        <f aca="false">IF($J1809=0,0,MIN(1,$N1809/MAX(1,INDEX(ROTACAO_RDM!$K$6:$K$71,$J1809))))</f>
        <v>0.860655737704918</v>
      </c>
      <c r="P1809" s="16" t="n">
        <f aca="false">IF($J1809=0,0,IFERROR(MATCH(INDEX(ROTACAO_RDM!$N$6:$N$71,$J1809),PARAMETROS_CULTURAS!$B$6:$B$28,0),0))</f>
        <v>2</v>
      </c>
      <c r="Q1809" s="8" t="str">
        <f aca="false">IF($P1809=0,"-",IF($O1809&lt;=INDEX(PARAMETROS_CULTURAS!$F$6:$F$28,$P1809),"INICIAL",IF($O1809&lt;=INDEX(PARAMETROS_CULTURAS!$F$6:$F$28,$P1809)+INDEX(PARAMETROS_CULTURAS!$G$6:$G$28,$P1809),"DESENVOLVIMENTO",IF($O1809&lt;=INDEX(PARAMETROS_CULTURAS!$F$6:$F$28,$P1809)+INDEX(PARAMETROS_CULTURAS!$G$6:$G$28,$P1809)+INDEX(PARAMETROS_CULTURAS!$H$6:$H$28,$P1809),"MEDIA","FINAL"))))</f>
        <v>FINAL</v>
      </c>
      <c r="R1809" s="24" t="n">
        <f aca="false">IF($P1809=0,0,IF($O1809&lt;=INDEX(PARAMETROS_CULTURAS!$F$6:$F$28,$P1809),INDEX(PARAMETROS_CULTURAS!$K$6:$K$28,$P1809),IF($O1809&lt;=INDEX(PARAMETROS_CULTURAS!$F$6:$F$28,$P1809)+INDEX(PARAMETROS_CULTURAS!$G$6:$G$28,$P1809),INDEX(PARAMETROS_CULTURAS!$K$6:$K$28,$P1809)+(INDEX(PARAMETROS_CULTURAS!$L$6:$L$28,$P1809)-INDEX(PARAMETROS_CULTURAS!$K$6:$K$28,$P1809))*($O1809-INDEX(PARAMETROS_CULTURAS!$F$6:$F$28,$P1809))/MAX(INDEX(PARAMETROS_CULTURAS!$G$6:$G$28,$P1809),0.0001),IF($O1809&lt;=INDEX(PARAMETROS_CULTURAS!$F$6:$F$28,$P1809)+INDEX(PARAMETROS_CULTURAS!$G$6:$G$28,$P1809)+INDEX(PARAMETROS_CULTURAS!$H$6:$H$28,$P1809),INDEX(PARAMETROS_CULTURAS!$L$6:$L$28,$P1809),INDEX(PARAMETROS_CULTURAS!$L$6:$L$28,$P1809)+(INDEX(PARAMETROS_CULTURAS!$M$6:$M$28,$P1809)-INDEX(PARAMETROS_CULTURAS!$L$6:$L$28,$P1809))*($O1809-INDEX(PARAMETROS_CULTURAS!$F$6:$F$28,$P1809)-INDEX(PARAMETROS_CULTURAS!$G$6:$G$28,$P1809)-INDEX(PARAMETROS_CULTURAS!$H$6:$H$28,$P1809))/MAX(INDEX(PARAMETROS_CULTURAS!$I$6:$I$28,$P1809),0.0001)))))</f>
        <v>0.976704055220017</v>
      </c>
      <c r="S1809" s="18" t="n">
        <f aca="false">IFERROR(INDEX(SEMANAS!$H$6:$H$71,MATCH($B1809,SEMANAS!$B$6:$B$71,0)),0)</f>
        <v>33.6</v>
      </c>
      <c r="T1809" s="18" t="n">
        <f aca="false">$R1809*$S1809</f>
        <v>32.8172562553926</v>
      </c>
      <c r="U1809" s="18" t="n">
        <f aca="false">IFERROR(INDEX(SEMANAS!$I$6:$I$71,MATCH($B1809,SEMANAS!$B$6:$B$71,0)),0)</f>
        <v>45.15</v>
      </c>
      <c r="V1809" s="18" t="n">
        <f aca="false">IFERROR(INDEX(SEMANAS!$J$6:$J$71,MATCH($B1809,SEMANAS!$B$6:$B$71,0)),0)</f>
        <v>36.12</v>
      </c>
      <c r="W1809" s="18" t="n">
        <f aca="false">MAX(0,$T1809-$V1809)</f>
        <v>0</v>
      </c>
      <c r="X1809" s="19" t="n">
        <f aca="false">IFERROR(INDEX(CADASTRO_PIVOS!$K$6:$K$41,MATCH($E1809,CADASTRO_PIVOS!$B$6:$B$41,0)),EFICIENCIA_PADRAO)</f>
        <v>0.85</v>
      </c>
      <c r="Y1809" s="18" t="n">
        <f aca="false">IF($X1809&lt;=0,0,$W1809/$X1809)</f>
        <v>0</v>
      </c>
      <c r="Z1809" s="16" t="n">
        <f aca="false">$Y1809*$H1809*MM_PARA_M3_HA</f>
        <v>0</v>
      </c>
      <c r="AA1809" s="18" t="n">
        <f aca="false">IFERROR(INDEX(CADASTRO_PIVOS!$I$6:$I$41,MATCH($E1809,CADASTRO_PIVOS!$B$6:$B$41,0)),0)</f>
        <v>1071</v>
      </c>
      <c r="AB1809" s="18" t="n">
        <f aca="false">IF($Z1809&lt;=0,0,$Z1809/$AA1809)</f>
        <v>0</v>
      </c>
      <c r="AC1809" s="16" t="n">
        <f aca="false">IFERROR(INDEX(SEMANAS!$K$6:$K$71,MATCH($B1809,SEMANAS!$B$6:$B$71,0)),0)</f>
        <v>147</v>
      </c>
      <c r="AD1809" s="19" t="n">
        <f aca="false">IF($AC1809&lt;=0,0,$AB1809/$AC1809)</f>
        <v>0</v>
      </c>
      <c r="AE1809" s="8" t="str">
        <f aca="false">IF($K1809="SEM CULTURA","SEM CULTURA",IF($AA1809&lt;=0,"DADO PENDENTE",IF($AD1809&gt;LIMITE_CRITICO,"INVIAVEL",IF($AD1809&gt;LIMITE_ATENCAO,"CRITICO",IF($AD1809&gt;LIMITE_CONFORTAVEL,"ATENCAO","OK")))))</f>
        <v>OK</v>
      </c>
      <c r="AF1809" s="8" t="str">
        <f aca="false">$B1809&amp;"|"&amp;TEXT($AD1809,"0.000000")</f>
        <v>22|0.000000</v>
      </c>
      <c r="AG1809" s="18" t="n">
        <f aca="false">IF($K1809="SEM CULTURA",0,$T1809*$H1809)</f>
        <v>4920.61940293356</v>
      </c>
      <c r="AH1809" s="18" t="n">
        <f aca="false">IF($K1809="SEM CULTURA",0,$V1809*$H1809)</f>
        <v>5415.8328</v>
      </c>
      <c r="AI1809" s="18" t="n">
        <f aca="false">IF($K1809="SEM CULTURA",0,$W1809*$H1809)</f>
        <v>0</v>
      </c>
      <c r="AJ1809" s="18" t="n">
        <f aca="false">IF($K1809="SEM CULTURA",0,$S1809*$H1809)</f>
        <v>5037.984</v>
      </c>
      <c r="AK1809" s="8" t="str">
        <f aca="false">$E1809&amp;"|"&amp;TEXT($AD1809,"0.000000")</f>
        <v>PV 124|0.000000</v>
      </c>
    </row>
    <row r="1810" customFormat="false" ht="15" hidden="false" customHeight="false" outlineLevel="0" collapsed="false">
      <c r="B1810" s="16" t="n">
        <v>23</v>
      </c>
      <c r="C1810" s="17" t="n">
        <f aca="false">DATA_INICIO_SAFRA+($B1810-1)*DIAS_POR_SEMANA</f>
        <v>46419</v>
      </c>
      <c r="D1810" s="17" t="n">
        <f aca="false">$C1810+DIAS_POR_SEMANA-1</f>
        <v>46425</v>
      </c>
      <c r="E1810" s="15" t="s">
        <v>286</v>
      </c>
      <c r="F1810" s="8" t="str">
        <f aca="false">IFERROR(INDEX(CADASTRO_PIVOS!$C$6:$C$41,MATCH($E1810,CADASTRO_PIVOS!$B$6:$B$41,0)),"?")</f>
        <v>RM07</v>
      </c>
      <c r="G1810" s="8" t="str">
        <f aca="false">IFERROR(INDEX(CADASTRO_PIVOS!$D$6:$D$41,MATCH($E1810,CADASTRO_PIVOS!$B$6:$B$41,0)),"?")</f>
        <v>TR07</v>
      </c>
      <c r="H1810" s="20" t="n">
        <f aca="false">IFERROR(INDEX(CADASTRO_PIVOS!$E$6:$E$41,MATCH($E1810,CADASTRO_PIVOS!$B$6:$B$41,0)),0)</f>
        <v>149.94</v>
      </c>
      <c r="I1810" s="16" t="n">
        <f aca="false">IFERROR(SUMIFS(ROTACAO_RDM!$B$6:$B$71,ROTACAO_RDM!$D$6:$D$71,$E1810,ROTACAO_RDM!$I$6:$I$71,"&lt;="&amp;$C1810+INT(DIAS_POR_SEMANA/2),ROTACAO_RDM!$J$6:$J$71,"&gt;="&amp;$C1810+INT(DIAS_POR_SEMANA/2)),0)</f>
        <v>44</v>
      </c>
      <c r="J1810" s="16" t="n">
        <f aca="false">IFERROR(MATCH($I1810,ROTACAO_RDM!$B$6:$B$71,0),0)</f>
        <v>44</v>
      </c>
      <c r="K1810" s="8" t="str">
        <f aca="false">IF($J1810=0,"SEM CULTURA",INDEX(ROTACAO_RDM!$F$6:$F$71,$J1810))</f>
        <v>SOJA</v>
      </c>
      <c r="L1810" s="8" t="str">
        <f aca="false">IF($J1810=0,"",INDEX(ROTACAO_RDM!$G$6:$G$71,$J1810))</f>
        <v>BMX Olimpo IPRO</v>
      </c>
      <c r="M1810" s="17" t="n">
        <f aca="false">IF($J1810=0,"",INDEX(ROTACAO_RDM!$I$6:$I$71,$J1810))</f>
        <v>46310</v>
      </c>
      <c r="N1810" s="16" t="n">
        <f aca="false">IF($J1810=0,0,MAX(0,$C1810+INT(DIAS_POR_SEMANA/2)-INDEX(ROTACAO_RDM!$I$6:$I$71,$J1810)))</f>
        <v>112</v>
      </c>
      <c r="O1810" s="19" t="n">
        <f aca="false">IF($J1810=0,0,MIN(1,$N1810/MAX(1,INDEX(ROTACAO_RDM!$K$6:$K$71,$J1810))))</f>
        <v>0.918032786885246</v>
      </c>
      <c r="P1810" s="16" t="n">
        <f aca="false">IF($J1810=0,0,IFERROR(MATCH(INDEX(ROTACAO_RDM!$N$6:$N$71,$J1810),PARAMETROS_CULTURAS!$B$6:$B$28,0),0))</f>
        <v>2</v>
      </c>
      <c r="Q1810" s="8" t="str">
        <f aca="false">IF($P1810=0,"-",IF($O1810&lt;=INDEX(PARAMETROS_CULTURAS!$F$6:$F$28,$P1810),"INICIAL",IF($O1810&lt;=INDEX(PARAMETROS_CULTURAS!$F$6:$F$28,$P1810)+INDEX(PARAMETROS_CULTURAS!$G$6:$G$28,$P1810),"DESENVOLVIMENTO",IF($O1810&lt;=INDEX(PARAMETROS_CULTURAS!$F$6:$F$28,$P1810)+INDEX(PARAMETROS_CULTURAS!$G$6:$G$28,$P1810)+INDEX(PARAMETROS_CULTURAS!$H$6:$H$28,$P1810),"MEDIA","FINAL"))))</f>
        <v>FINAL</v>
      </c>
      <c r="R1810" s="24" t="n">
        <f aca="false">IF($P1810=0,0,IF($O1810&lt;=INDEX(PARAMETROS_CULTURAS!$F$6:$F$28,$P1810),INDEX(PARAMETROS_CULTURAS!$K$6:$K$28,$P1810),IF($O1810&lt;=INDEX(PARAMETROS_CULTURAS!$F$6:$F$28,$P1810)+INDEX(PARAMETROS_CULTURAS!$G$6:$G$28,$P1810),INDEX(PARAMETROS_CULTURAS!$K$6:$K$28,$P1810)+(INDEX(PARAMETROS_CULTURAS!$L$6:$L$28,$P1810)-INDEX(PARAMETROS_CULTURAS!$K$6:$K$28,$P1810))*($O1810-INDEX(PARAMETROS_CULTURAS!$F$6:$F$28,$P1810))/MAX(INDEX(PARAMETROS_CULTURAS!$G$6:$G$28,$P1810),0.0001),IF($O1810&lt;=INDEX(PARAMETROS_CULTURAS!$F$6:$F$28,$P1810)+INDEX(PARAMETROS_CULTURAS!$G$6:$G$28,$P1810)+INDEX(PARAMETROS_CULTURAS!$H$6:$H$28,$P1810),INDEX(PARAMETROS_CULTURAS!$L$6:$L$28,$P1810),INDEX(PARAMETROS_CULTURAS!$L$6:$L$28,$P1810)+(INDEX(PARAMETROS_CULTURAS!$M$6:$M$28,$P1810)-INDEX(PARAMETROS_CULTURAS!$L$6:$L$28,$P1810))*($O1810-INDEX(PARAMETROS_CULTURAS!$F$6:$F$28,$P1810)-INDEX(PARAMETROS_CULTURAS!$G$6:$G$28,$P1810)-INDEX(PARAMETROS_CULTURAS!$H$6:$H$28,$P1810))/MAX(INDEX(PARAMETROS_CULTURAS!$I$6:$I$28,$P1810),0.0001)))))</f>
        <v>0.780414150129422</v>
      </c>
      <c r="S1810" s="18" t="n">
        <f aca="false">IFERROR(INDEX(SEMANAS!$H$6:$H$71,MATCH($B1810,SEMANAS!$B$6:$B$71,0)),0)</f>
        <v>32.9</v>
      </c>
      <c r="T1810" s="18" t="n">
        <f aca="false">$R1810*$S1810</f>
        <v>25.675625539258</v>
      </c>
      <c r="U1810" s="18" t="n">
        <f aca="false">IFERROR(INDEX(SEMANAS!$I$6:$I$71,MATCH($B1810,SEMANAS!$B$6:$B$71,0)),0)</f>
        <v>39.97</v>
      </c>
      <c r="V1810" s="18" t="n">
        <f aca="false">IFERROR(INDEX(SEMANAS!$J$6:$J$71,MATCH($B1810,SEMANAS!$B$6:$B$71,0)),0)</f>
        <v>31.976</v>
      </c>
      <c r="W1810" s="18" t="n">
        <f aca="false">MAX(0,$T1810-$V1810)</f>
        <v>0</v>
      </c>
      <c r="X1810" s="19" t="n">
        <f aca="false">IFERROR(INDEX(CADASTRO_PIVOS!$K$6:$K$41,MATCH($E1810,CADASTRO_PIVOS!$B$6:$B$41,0)),EFICIENCIA_PADRAO)</f>
        <v>0.85</v>
      </c>
      <c r="Y1810" s="18" t="n">
        <f aca="false">IF($X1810&lt;=0,0,$W1810/$X1810)</f>
        <v>0</v>
      </c>
      <c r="Z1810" s="16" t="n">
        <f aca="false">$Y1810*$H1810*MM_PARA_M3_HA</f>
        <v>0</v>
      </c>
      <c r="AA1810" s="18" t="n">
        <f aca="false">IFERROR(INDEX(CADASTRO_PIVOS!$I$6:$I$41,MATCH($E1810,CADASTRO_PIVOS!$B$6:$B$41,0)),0)</f>
        <v>1071</v>
      </c>
      <c r="AB1810" s="18" t="n">
        <f aca="false">IF($Z1810&lt;=0,0,$Z1810/$AA1810)</f>
        <v>0</v>
      </c>
      <c r="AC1810" s="16" t="n">
        <f aca="false">IFERROR(INDEX(SEMANAS!$K$6:$K$71,MATCH($B1810,SEMANAS!$B$6:$B$71,0)),0)</f>
        <v>147</v>
      </c>
      <c r="AD1810" s="19" t="n">
        <f aca="false">IF($AC1810&lt;=0,0,$AB1810/$AC1810)</f>
        <v>0</v>
      </c>
      <c r="AE1810" s="8" t="str">
        <f aca="false">IF($K1810="SEM CULTURA","SEM CULTURA",IF($AA1810&lt;=0,"DADO PENDENTE",IF($AD1810&gt;LIMITE_CRITICO,"INVIAVEL",IF($AD1810&gt;LIMITE_ATENCAO,"CRITICO",IF($AD1810&gt;LIMITE_CONFORTAVEL,"ATENCAO","OK")))))</f>
        <v>OK</v>
      </c>
      <c r="AF1810" s="8" t="str">
        <f aca="false">$B1810&amp;"|"&amp;TEXT($AD1810,"0.000000")</f>
        <v>23|0.000000</v>
      </c>
      <c r="AG1810" s="18" t="n">
        <f aca="false">IF($K1810="SEM CULTURA",0,$T1810*$H1810)</f>
        <v>3849.80329335634</v>
      </c>
      <c r="AH1810" s="18" t="n">
        <f aca="false">IF($K1810="SEM CULTURA",0,$V1810*$H1810)</f>
        <v>4794.48144</v>
      </c>
      <c r="AI1810" s="18" t="n">
        <f aca="false">IF($K1810="SEM CULTURA",0,$W1810*$H1810)</f>
        <v>0</v>
      </c>
      <c r="AJ1810" s="18" t="n">
        <f aca="false">IF($K1810="SEM CULTURA",0,$S1810*$H1810)</f>
        <v>4933.026</v>
      </c>
      <c r="AK1810" s="8" t="str">
        <f aca="false">$E1810&amp;"|"&amp;TEXT($AD1810,"0.000000")</f>
        <v>PV 124|0.000000</v>
      </c>
    </row>
    <row r="1811" customFormat="false" ht="15" hidden="false" customHeight="false" outlineLevel="0" collapsed="false">
      <c r="B1811" s="16" t="n">
        <v>24</v>
      </c>
      <c r="C1811" s="17" t="n">
        <f aca="false">DATA_INICIO_SAFRA+($B1811-1)*DIAS_POR_SEMANA</f>
        <v>46426</v>
      </c>
      <c r="D1811" s="17" t="n">
        <f aca="false">$C1811+DIAS_POR_SEMANA-1</f>
        <v>46432</v>
      </c>
      <c r="E1811" s="15" t="s">
        <v>286</v>
      </c>
      <c r="F1811" s="8" t="str">
        <f aca="false">IFERROR(INDEX(CADASTRO_PIVOS!$C$6:$C$41,MATCH($E1811,CADASTRO_PIVOS!$B$6:$B$41,0)),"?")</f>
        <v>RM07</v>
      </c>
      <c r="G1811" s="8" t="str">
        <f aca="false">IFERROR(INDEX(CADASTRO_PIVOS!$D$6:$D$41,MATCH($E1811,CADASTRO_PIVOS!$B$6:$B$41,0)),"?")</f>
        <v>TR07</v>
      </c>
      <c r="H1811" s="20" t="n">
        <f aca="false">IFERROR(INDEX(CADASTRO_PIVOS!$E$6:$E$41,MATCH($E1811,CADASTRO_PIVOS!$B$6:$B$41,0)),0)</f>
        <v>149.94</v>
      </c>
      <c r="I1811" s="16" t="n">
        <f aca="false">IFERROR(SUMIFS(ROTACAO_RDM!$B$6:$B$71,ROTACAO_RDM!$D$6:$D$71,$E1811,ROTACAO_RDM!$I$6:$I$71,"&lt;="&amp;$C1811+INT(DIAS_POR_SEMANA/2),ROTACAO_RDM!$J$6:$J$71,"&gt;="&amp;$C1811+INT(DIAS_POR_SEMANA/2)),0)</f>
        <v>44</v>
      </c>
      <c r="J1811" s="16" t="n">
        <f aca="false">IFERROR(MATCH($I1811,ROTACAO_RDM!$B$6:$B$71,0),0)</f>
        <v>44</v>
      </c>
      <c r="K1811" s="8" t="str">
        <f aca="false">IF($J1811=0,"SEM CULTURA",INDEX(ROTACAO_RDM!$F$6:$F$71,$J1811))</f>
        <v>SOJA</v>
      </c>
      <c r="L1811" s="8" t="str">
        <f aca="false">IF($J1811=0,"",INDEX(ROTACAO_RDM!$G$6:$G$71,$J1811))</f>
        <v>BMX Olimpo IPRO</v>
      </c>
      <c r="M1811" s="17" t="n">
        <f aca="false">IF($J1811=0,"",INDEX(ROTACAO_RDM!$I$6:$I$71,$J1811))</f>
        <v>46310</v>
      </c>
      <c r="N1811" s="16" t="n">
        <f aca="false">IF($J1811=0,0,MAX(0,$C1811+INT(DIAS_POR_SEMANA/2)-INDEX(ROTACAO_RDM!$I$6:$I$71,$J1811)))</f>
        <v>119</v>
      </c>
      <c r="O1811" s="19" t="n">
        <f aca="false">IF($J1811=0,0,MIN(1,$N1811/MAX(1,INDEX(ROTACAO_RDM!$K$6:$K$71,$J1811))))</f>
        <v>0.975409836065574</v>
      </c>
      <c r="P1811" s="16" t="n">
        <f aca="false">IF($J1811=0,0,IFERROR(MATCH(INDEX(ROTACAO_RDM!$N$6:$N$71,$J1811),PARAMETROS_CULTURAS!$B$6:$B$28,0),0))</f>
        <v>2</v>
      </c>
      <c r="Q1811" s="8" t="str">
        <f aca="false">IF($P1811=0,"-",IF($O1811&lt;=INDEX(PARAMETROS_CULTURAS!$F$6:$F$28,$P1811),"INICIAL",IF($O1811&lt;=INDEX(PARAMETROS_CULTURAS!$F$6:$F$28,$P1811)+INDEX(PARAMETROS_CULTURAS!$G$6:$G$28,$P1811),"DESENVOLVIMENTO",IF($O1811&lt;=INDEX(PARAMETROS_CULTURAS!$F$6:$F$28,$P1811)+INDEX(PARAMETROS_CULTURAS!$G$6:$G$28,$P1811)+INDEX(PARAMETROS_CULTURAS!$H$6:$H$28,$P1811),"MEDIA","FINAL"))))</f>
        <v>FINAL</v>
      </c>
      <c r="R1811" s="24" t="n">
        <f aca="false">IF($P1811=0,0,IF($O1811&lt;=INDEX(PARAMETROS_CULTURAS!$F$6:$F$28,$P1811),INDEX(PARAMETROS_CULTURAS!$K$6:$K$28,$P1811),IF($O1811&lt;=INDEX(PARAMETROS_CULTURAS!$F$6:$F$28,$P1811)+INDEX(PARAMETROS_CULTURAS!$G$6:$G$28,$P1811),INDEX(PARAMETROS_CULTURAS!$K$6:$K$28,$P1811)+(INDEX(PARAMETROS_CULTURAS!$L$6:$L$28,$P1811)-INDEX(PARAMETROS_CULTURAS!$K$6:$K$28,$P1811))*($O1811-INDEX(PARAMETROS_CULTURAS!$F$6:$F$28,$P1811))/MAX(INDEX(PARAMETROS_CULTURAS!$G$6:$G$28,$P1811),0.0001),IF($O1811&lt;=INDEX(PARAMETROS_CULTURAS!$F$6:$F$28,$P1811)+INDEX(PARAMETROS_CULTURAS!$G$6:$G$28,$P1811)+INDEX(PARAMETROS_CULTURAS!$H$6:$H$28,$P1811),INDEX(PARAMETROS_CULTURAS!$L$6:$L$28,$P1811),INDEX(PARAMETROS_CULTURAS!$L$6:$L$28,$P1811)+(INDEX(PARAMETROS_CULTURAS!$M$6:$M$28,$P1811)-INDEX(PARAMETROS_CULTURAS!$L$6:$L$28,$P1811))*($O1811-INDEX(PARAMETROS_CULTURAS!$F$6:$F$28,$P1811)-INDEX(PARAMETROS_CULTURAS!$G$6:$G$28,$P1811)-INDEX(PARAMETROS_CULTURAS!$H$6:$H$28,$P1811))/MAX(INDEX(PARAMETROS_CULTURAS!$I$6:$I$28,$P1811),0.0001)))))</f>
        <v>0.584124245038827</v>
      </c>
      <c r="S1811" s="18" t="n">
        <f aca="false">IFERROR(INDEX(SEMANAS!$H$6:$H$71,MATCH($B1811,SEMANAS!$B$6:$B$71,0)),0)</f>
        <v>32.9</v>
      </c>
      <c r="T1811" s="18" t="n">
        <f aca="false">$R1811*$S1811</f>
        <v>19.2176876617774</v>
      </c>
      <c r="U1811" s="18" t="n">
        <f aca="false">IFERROR(INDEX(SEMANAS!$I$6:$I$71,MATCH($B1811,SEMANAS!$B$6:$B$71,0)),0)</f>
        <v>39.97</v>
      </c>
      <c r="V1811" s="18" t="n">
        <f aca="false">IFERROR(INDEX(SEMANAS!$J$6:$J$71,MATCH($B1811,SEMANAS!$B$6:$B$71,0)),0)</f>
        <v>31.976</v>
      </c>
      <c r="W1811" s="18" t="n">
        <f aca="false">MAX(0,$T1811-$V1811)</f>
        <v>0</v>
      </c>
      <c r="X1811" s="19" t="n">
        <f aca="false">IFERROR(INDEX(CADASTRO_PIVOS!$K$6:$K$41,MATCH($E1811,CADASTRO_PIVOS!$B$6:$B$41,0)),EFICIENCIA_PADRAO)</f>
        <v>0.85</v>
      </c>
      <c r="Y1811" s="18" t="n">
        <f aca="false">IF($X1811&lt;=0,0,$W1811/$X1811)</f>
        <v>0</v>
      </c>
      <c r="Z1811" s="16" t="n">
        <f aca="false">$Y1811*$H1811*MM_PARA_M3_HA</f>
        <v>0</v>
      </c>
      <c r="AA1811" s="18" t="n">
        <f aca="false">IFERROR(INDEX(CADASTRO_PIVOS!$I$6:$I$41,MATCH($E1811,CADASTRO_PIVOS!$B$6:$B$41,0)),0)</f>
        <v>1071</v>
      </c>
      <c r="AB1811" s="18" t="n">
        <f aca="false">IF($Z1811&lt;=0,0,$Z1811/$AA1811)</f>
        <v>0</v>
      </c>
      <c r="AC1811" s="16" t="n">
        <f aca="false">IFERROR(INDEX(SEMANAS!$K$6:$K$71,MATCH($B1811,SEMANAS!$B$6:$B$71,0)),0)</f>
        <v>147</v>
      </c>
      <c r="AD1811" s="19" t="n">
        <f aca="false">IF($AC1811&lt;=0,0,$AB1811/$AC1811)</f>
        <v>0</v>
      </c>
      <c r="AE1811" s="8" t="str">
        <f aca="false">IF($K1811="SEM CULTURA","SEM CULTURA",IF($AA1811&lt;=0,"DADO PENDENTE",IF($AD1811&gt;LIMITE_CRITICO,"INVIAVEL",IF($AD1811&gt;LIMITE_ATENCAO,"CRITICO",IF($AD1811&gt;LIMITE_CONFORTAVEL,"ATENCAO","OK")))))</f>
        <v>OK</v>
      </c>
      <c r="AF1811" s="8" t="str">
        <f aca="false">$B1811&amp;"|"&amp;TEXT($AD1811,"0.000000")</f>
        <v>24|0.000000</v>
      </c>
      <c r="AG1811" s="18" t="n">
        <f aca="false">IF($K1811="SEM CULTURA",0,$T1811*$H1811)</f>
        <v>2881.5000880069</v>
      </c>
      <c r="AH1811" s="18" t="n">
        <f aca="false">IF($K1811="SEM CULTURA",0,$V1811*$H1811)</f>
        <v>4794.48144</v>
      </c>
      <c r="AI1811" s="18" t="n">
        <f aca="false">IF($K1811="SEM CULTURA",0,$W1811*$H1811)</f>
        <v>0</v>
      </c>
      <c r="AJ1811" s="18" t="n">
        <f aca="false">IF($K1811="SEM CULTURA",0,$S1811*$H1811)</f>
        <v>4933.026</v>
      </c>
      <c r="AK1811" s="8" t="str">
        <f aca="false">$E1811&amp;"|"&amp;TEXT($AD1811,"0.000000")</f>
        <v>PV 124|0.000000</v>
      </c>
    </row>
    <row r="1812" customFormat="false" ht="15" hidden="false" customHeight="false" outlineLevel="0" collapsed="false">
      <c r="B1812" s="16" t="n">
        <v>25</v>
      </c>
      <c r="C1812" s="17" t="n">
        <f aca="false">DATA_INICIO_SAFRA+($B1812-1)*DIAS_POR_SEMANA</f>
        <v>46433</v>
      </c>
      <c r="D1812" s="17" t="n">
        <f aca="false">$C1812+DIAS_POR_SEMANA-1</f>
        <v>46439</v>
      </c>
      <c r="E1812" s="15" t="s">
        <v>286</v>
      </c>
      <c r="F1812" s="8" t="str">
        <f aca="false">IFERROR(INDEX(CADASTRO_PIVOS!$C$6:$C$41,MATCH($E1812,CADASTRO_PIVOS!$B$6:$B$41,0)),"?")</f>
        <v>RM07</v>
      </c>
      <c r="G1812" s="8" t="str">
        <f aca="false">IFERROR(INDEX(CADASTRO_PIVOS!$D$6:$D$41,MATCH($E1812,CADASTRO_PIVOS!$B$6:$B$41,0)),"?")</f>
        <v>TR07</v>
      </c>
      <c r="H1812" s="20" t="n">
        <f aca="false">IFERROR(INDEX(CADASTRO_PIVOS!$E$6:$E$41,MATCH($E1812,CADASTRO_PIVOS!$B$6:$B$41,0)),0)</f>
        <v>149.94</v>
      </c>
      <c r="I1812" s="16" t="n">
        <f aca="false">IFERROR(SUMIFS(ROTACAO_RDM!$B$6:$B$71,ROTACAO_RDM!$D$6:$D$71,$E1812,ROTACAO_RDM!$I$6:$I$71,"&lt;="&amp;$C1812+INT(DIAS_POR_SEMANA/2),ROTACAO_RDM!$J$6:$J$71,"&gt;="&amp;$C1812+INT(DIAS_POR_SEMANA/2)),0)</f>
        <v>45</v>
      </c>
      <c r="J1812" s="16" t="n">
        <f aca="false">IFERROR(MATCH($I1812,ROTACAO_RDM!$B$6:$B$71,0),0)</f>
        <v>45</v>
      </c>
      <c r="K1812" s="8" t="str">
        <f aca="false">IF($J1812=0,"SEM CULTURA",INDEX(ROTACAO_RDM!$F$6:$F$71,$J1812))</f>
        <v>ALGODAO</v>
      </c>
      <c r="L1812" s="8" t="str">
        <f aca="false">IF($J1812=0,"",INDEX(ROTACAO_RDM!$G$6:$G$71,$J1812))</f>
        <v>FM 911 GLTP</v>
      </c>
      <c r="M1812" s="17" t="n">
        <f aca="false">IF($J1812=0,"",INDEX(ROTACAO_RDM!$I$6:$I$71,$J1812))</f>
        <v>46433</v>
      </c>
      <c r="N1812" s="16" t="n">
        <f aca="false">IF($J1812=0,0,MAX(0,$C1812+INT(DIAS_POR_SEMANA/2)-INDEX(ROTACAO_RDM!$I$6:$I$71,$J1812)))</f>
        <v>3</v>
      </c>
      <c r="O1812" s="19" t="n">
        <f aca="false">IF($J1812=0,0,MIN(1,$N1812/MAX(1,INDEX(ROTACAO_RDM!$K$6:$K$71,$J1812))))</f>
        <v>0.0166666666666667</v>
      </c>
      <c r="P1812" s="16" t="n">
        <f aca="false">IF($J1812=0,0,IFERROR(MATCH(INDEX(ROTACAO_RDM!$N$6:$N$71,$J1812),PARAMETROS_CULTURAS!$B$6:$B$28,0),0))</f>
        <v>4</v>
      </c>
      <c r="Q1812" s="8" t="str">
        <f aca="false">IF($P1812=0,"-",IF($O1812&lt;=INDEX(PARAMETROS_CULTURAS!$F$6:$F$28,$P1812),"INICIAL",IF($O1812&lt;=INDEX(PARAMETROS_CULTURAS!$F$6:$F$28,$P1812)+INDEX(PARAMETROS_CULTURAS!$G$6:$G$28,$P1812),"DESENVOLVIMENTO",IF($O1812&lt;=INDEX(PARAMETROS_CULTURAS!$F$6:$F$28,$P1812)+INDEX(PARAMETROS_CULTURAS!$G$6:$G$28,$P1812)+INDEX(PARAMETROS_CULTURAS!$H$6:$H$28,$P1812),"MEDIA","FINAL"))))</f>
        <v>INICIAL</v>
      </c>
      <c r="R1812" s="24" t="n">
        <f aca="false">IF($P1812=0,0,IF($O1812&lt;=INDEX(PARAMETROS_CULTURAS!$F$6:$F$28,$P1812),INDEX(PARAMETROS_CULTURAS!$K$6:$K$28,$P1812),IF($O1812&lt;=INDEX(PARAMETROS_CULTURAS!$F$6:$F$28,$P1812)+INDEX(PARAMETROS_CULTURAS!$G$6:$G$28,$P1812),INDEX(PARAMETROS_CULTURAS!$K$6:$K$28,$P1812)+(INDEX(PARAMETROS_CULTURAS!$L$6:$L$28,$P1812)-INDEX(PARAMETROS_CULTURAS!$K$6:$K$28,$P1812))*($O1812-INDEX(PARAMETROS_CULTURAS!$F$6:$F$28,$P1812))/MAX(INDEX(PARAMETROS_CULTURAS!$G$6:$G$28,$P1812),0.0001),IF($O1812&lt;=INDEX(PARAMETROS_CULTURAS!$F$6:$F$28,$P1812)+INDEX(PARAMETROS_CULTURAS!$G$6:$G$28,$P1812)+INDEX(PARAMETROS_CULTURAS!$H$6:$H$28,$P1812),INDEX(PARAMETROS_CULTURAS!$L$6:$L$28,$P1812),INDEX(PARAMETROS_CULTURAS!$L$6:$L$28,$P1812)+(INDEX(PARAMETROS_CULTURAS!$M$6:$M$28,$P1812)-INDEX(PARAMETROS_CULTURAS!$L$6:$L$28,$P1812))*($O1812-INDEX(PARAMETROS_CULTURAS!$F$6:$F$28,$P1812)-INDEX(PARAMETROS_CULTURAS!$G$6:$G$28,$P1812)-INDEX(PARAMETROS_CULTURAS!$H$6:$H$28,$P1812))/MAX(INDEX(PARAMETROS_CULTURAS!$I$6:$I$28,$P1812),0.0001)))))</f>
        <v>0.35</v>
      </c>
      <c r="S1812" s="18" t="n">
        <f aca="false">IFERROR(INDEX(SEMANAS!$H$6:$H$71,MATCH($B1812,SEMANAS!$B$6:$B$71,0)),0)</f>
        <v>32.9</v>
      </c>
      <c r="T1812" s="18" t="n">
        <f aca="false">$R1812*$S1812</f>
        <v>11.515</v>
      </c>
      <c r="U1812" s="18" t="n">
        <f aca="false">IFERROR(INDEX(SEMANAS!$I$6:$I$71,MATCH($B1812,SEMANAS!$B$6:$B$71,0)),0)</f>
        <v>39.97</v>
      </c>
      <c r="V1812" s="18" t="n">
        <f aca="false">IFERROR(INDEX(SEMANAS!$J$6:$J$71,MATCH($B1812,SEMANAS!$B$6:$B$71,0)),0)</f>
        <v>31.976</v>
      </c>
      <c r="W1812" s="18" t="n">
        <f aca="false">MAX(0,$T1812-$V1812)</f>
        <v>0</v>
      </c>
      <c r="X1812" s="19" t="n">
        <f aca="false">IFERROR(INDEX(CADASTRO_PIVOS!$K$6:$K$41,MATCH($E1812,CADASTRO_PIVOS!$B$6:$B$41,0)),EFICIENCIA_PADRAO)</f>
        <v>0.85</v>
      </c>
      <c r="Y1812" s="18" t="n">
        <f aca="false">IF($X1812&lt;=0,0,$W1812/$X1812)</f>
        <v>0</v>
      </c>
      <c r="Z1812" s="16" t="n">
        <f aca="false">$Y1812*$H1812*MM_PARA_M3_HA</f>
        <v>0</v>
      </c>
      <c r="AA1812" s="18" t="n">
        <f aca="false">IFERROR(INDEX(CADASTRO_PIVOS!$I$6:$I$41,MATCH($E1812,CADASTRO_PIVOS!$B$6:$B$41,0)),0)</f>
        <v>1071</v>
      </c>
      <c r="AB1812" s="18" t="n">
        <f aca="false">IF($Z1812&lt;=0,0,$Z1812/$AA1812)</f>
        <v>0</v>
      </c>
      <c r="AC1812" s="16" t="n">
        <f aca="false">IFERROR(INDEX(SEMANAS!$K$6:$K$71,MATCH($B1812,SEMANAS!$B$6:$B$71,0)),0)</f>
        <v>147</v>
      </c>
      <c r="AD1812" s="19" t="n">
        <f aca="false">IF($AC1812&lt;=0,0,$AB1812/$AC1812)</f>
        <v>0</v>
      </c>
      <c r="AE1812" s="8" t="str">
        <f aca="false">IF($K1812="SEM CULTURA","SEM CULTURA",IF($AA1812&lt;=0,"DADO PENDENTE",IF($AD1812&gt;LIMITE_CRITICO,"INVIAVEL",IF($AD1812&gt;LIMITE_ATENCAO,"CRITICO",IF($AD1812&gt;LIMITE_CONFORTAVEL,"ATENCAO","OK")))))</f>
        <v>OK</v>
      </c>
      <c r="AF1812" s="8" t="str">
        <f aca="false">$B1812&amp;"|"&amp;TEXT($AD1812,"0.000000")</f>
        <v>25|0.000000</v>
      </c>
      <c r="AG1812" s="18" t="n">
        <f aca="false">IF($K1812="SEM CULTURA",0,$T1812*$H1812)</f>
        <v>1726.5591</v>
      </c>
      <c r="AH1812" s="18" t="n">
        <f aca="false">IF($K1812="SEM CULTURA",0,$V1812*$H1812)</f>
        <v>4794.48144</v>
      </c>
      <c r="AI1812" s="18" t="n">
        <f aca="false">IF($K1812="SEM CULTURA",0,$W1812*$H1812)</f>
        <v>0</v>
      </c>
      <c r="AJ1812" s="18" t="n">
        <f aca="false">IF($K1812="SEM CULTURA",0,$S1812*$H1812)</f>
        <v>4933.026</v>
      </c>
      <c r="AK1812" s="8" t="str">
        <f aca="false">$E1812&amp;"|"&amp;TEXT($AD1812,"0.000000")</f>
        <v>PV 124|0.000000</v>
      </c>
    </row>
    <row r="1813" customFormat="false" ht="15" hidden="false" customHeight="false" outlineLevel="0" collapsed="false">
      <c r="B1813" s="16" t="n">
        <v>26</v>
      </c>
      <c r="C1813" s="17" t="n">
        <f aca="false">DATA_INICIO_SAFRA+($B1813-1)*DIAS_POR_SEMANA</f>
        <v>46440</v>
      </c>
      <c r="D1813" s="17" t="n">
        <f aca="false">$C1813+DIAS_POR_SEMANA-1</f>
        <v>46446</v>
      </c>
      <c r="E1813" s="15" t="s">
        <v>286</v>
      </c>
      <c r="F1813" s="8" t="str">
        <f aca="false">IFERROR(INDEX(CADASTRO_PIVOS!$C$6:$C$41,MATCH($E1813,CADASTRO_PIVOS!$B$6:$B$41,0)),"?")</f>
        <v>RM07</v>
      </c>
      <c r="G1813" s="8" t="str">
        <f aca="false">IFERROR(INDEX(CADASTRO_PIVOS!$D$6:$D$41,MATCH($E1813,CADASTRO_PIVOS!$B$6:$B$41,0)),"?")</f>
        <v>TR07</v>
      </c>
      <c r="H1813" s="20" t="n">
        <f aca="false">IFERROR(INDEX(CADASTRO_PIVOS!$E$6:$E$41,MATCH($E1813,CADASTRO_PIVOS!$B$6:$B$41,0)),0)</f>
        <v>149.94</v>
      </c>
      <c r="I1813" s="16" t="n">
        <f aca="false">IFERROR(SUMIFS(ROTACAO_RDM!$B$6:$B$71,ROTACAO_RDM!$D$6:$D$71,$E1813,ROTACAO_RDM!$I$6:$I$71,"&lt;="&amp;$C1813+INT(DIAS_POR_SEMANA/2),ROTACAO_RDM!$J$6:$J$71,"&gt;="&amp;$C1813+INT(DIAS_POR_SEMANA/2)),0)</f>
        <v>45</v>
      </c>
      <c r="J1813" s="16" t="n">
        <f aca="false">IFERROR(MATCH($I1813,ROTACAO_RDM!$B$6:$B$71,0),0)</f>
        <v>45</v>
      </c>
      <c r="K1813" s="8" t="str">
        <f aca="false">IF($J1813=0,"SEM CULTURA",INDEX(ROTACAO_RDM!$F$6:$F$71,$J1813))</f>
        <v>ALGODAO</v>
      </c>
      <c r="L1813" s="8" t="str">
        <f aca="false">IF($J1813=0,"",INDEX(ROTACAO_RDM!$G$6:$G$71,$J1813))</f>
        <v>FM 911 GLTP</v>
      </c>
      <c r="M1813" s="17" t="n">
        <f aca="false">IF($J1813=0,"",INDEX(ROTACAO_RDM!$I$6:$I$71,$J1813))</f>
        <v>46433</v>
      </c>
      <c r="N1813" s="16" t="n">
        <f aca="false">IF($J1813=0,0,MAX(0,$C1813+INT(DIAS_POR_SEMANA/2)-INDEX(ROTACAO_RDM!$I$6:$I$71,$J1813)))</f>
        <v>10</v>
      </c>
      <c r="O1813" s="19" t="n">
        <f aca="false">IF($J1813=0,0,MIN(1,$N1813/MAX(1,INDEX(ROTACAO_RDM!$K$6:$K$71,$J1813))))</f>
        <v>0.0555555555555556</v>
      </c>
      <c r="P1813" s="16" t="n">
        <f aca="false">IF($J1813=0,0,IFERROR(MATCH(INDEX(ROTACAO_RDM!$N$6:$N$71,$J1813),PARAMETROS_CULTURAS!$B$6:$B$28,0),0))</f>
        <v>4</v>
      </c>
      <c r="Q1813" s="8" t="str">
        <f aca="false">IF($P1813=0,"-",IF($O1813&lt;=INDEX(PARAMETROS_CULTURAS!$F$6:$F$28,$P1813),"INICIAL",IF($O1813&lt;=INDEX(PARAMETROS_CULTURAS!$F$6:$F$28,$P1813)+INDEX(PARAMETROS_CULTURAS!$G$6:$G$28,$P1813),"DESENVOLVIMENTO",IF($O1813&lt;=INDEX(PARAMETROS_CULTURAS!$F$6:$F$28,$P1813)+INDEX(PARAMETROS_CULTURAS!$G$6:$G$28,$P1813)+INDEX(PARAMETROS_CULTURAS!$H$6:$H$28,$P1813),"MEDIA","FINAL"))))</f>
        <v>INICIAL</v>
      </c>
      <c r="R1813" s="24" t="n">
        <f aca="false">IF($P1813=0,0,IF($O1813&lt;=INDEX(PARAMETROS_CULTURAS!$F$6:$F$28,$P1813),INDEX(PARAMETROS_CULTURAS!$K$6:$K$28,$P1813),IF($O1813&lt;=INDEX(PARAMETROS_CULTURAS!$F$6:$F$28,$P1813)+INDEX(PARAMETROS_CULTURAS!$G$6:$G$28,$P1813),INDEX(PARAMETROS_CULTURAS!$K$6:$K$28,$P1813)+(INDEX(PARAMETROS_CULTURAS!$L$6:$L$28,$P1813)-INDEX(PARAMETROS_CULTURAS!$K$6:$K$28,$P1813))*($O1813-INDEX(PARAMETROS_CULTURAS!$F$6:$F$28,$P1813))/MAX(INDEX(PARAMETROS_CULTURAS!$G$6:$G$28,$P1813),0.0001),IF($O1813&lt;=INDEX(PARAMETROS_CULTURAS!$F$6:$F$28,$P1813)+INDEX(PARAMETROS_CULTURAS!$G$6:$G$28,$P1813)+INDEX(PARAMETROS_CULTURAS!$H$6:$H$28,$P1813),INDEX(PARAMETROS_CULTURAS!$L$6:$L$28,$P1813),INDEX(PARAMETROS_CULTURAS!$L$6:$L$28,$P1813)+(INDEX(PARAMETROS_CULTURAS!$M$6:$M$28,$P1813)-INDEX(PARAMETROS_CULTURAS!$L$6:$L$28,$P1813))*($O1813-INDEX(PARAMETROS_CULTURAS!$F$6:$F$28,$P1813)-INDEX(PARAMETROS_CULTURAS!$G$6:$G$28,$P1813)-INDEX(PARAMETROS_CULTURAS!$H$6:$H$28,$P1813))/MAX(INDEX(PARAMETROS_CULTURAS!$I$6:$I$28,$P1813),0.0001)))))</f>
        <v>0.35</v>
      </c>
      <c r="S1813" s="18" t="n">
        <f aca="false">IFERROR(INDEX(SEMANAS!$H$6:$H$71,MATCH($B1813,SEMANAS!$B$6:$B$71,0)),0)</f>
        <v>32.9</v>
      </c>
      <c r="T1813" s="18" t="n">
        <f aca="false">$R1813*$S1813</f>
        <v>11.515</v>
      </c>
      <c r="U1813" s="18" t="n">
        <f aca="false">IFERROR(INDEX(SEMANAS!$I$6:$I$71,MATCH($B1813,SEMANAS!$B$6:$B$71,0)),0)</f>
        <v>39.97</v>
      </c>
      <c r="V1813" s="18" t="n">
        <f aca="false">IFERROR(INDEX(SEMANAS!$J$6:$J$71,MATCH($B1813,SEMANAS!$B$6:$B$71,0)),0)</f>
        <v>31.976</v>
      </c>
      <c r="W1813" s="18" t="n">
        <f aca="false">MAX(0,$T1813-$V1813)</f>
        <v>0</v>
      </c>
      <c r="X1813" s="19" t="n">
        <f aca="false">IFERROR(INDEX(CADASTRO_PIVOS!$K$6:$K$41,MATCH($E1813,CADASTRO_PIVOS!$B$6:$B$41,0)),EFICIENCIA_PADRAO)</f>
        <v>0.85</v>
      </c>
      <c r="Y1813" s="18" t="n">
        <f aca="false">IF($X1813&lt;=0,0,$W1813/$X1813)</f>
        <v>0</v>
      </c>
      <c r="Z1813" s="16" t="n">
        <f aca="false">$Y1813*$H1813*MM_PARA_M3_HA</f>
        <v>0</v>
      </c>
      <c r="AA1813" s="18" t="n">
        <f aca="false">IFERROR(INDEX(CADASTRO_PIVOS!$I$6:$I$41,MATCH($E1813,CADASTRO_PIVOS!$B$6:$B$41,0)),0)</f>
        <v>1071</v>
      </c>
      <c r="AB1813" s="18" t="n">
        <f aca="false">IF($Z1813&lt;=0,0,$Z1813/$AA1813)</f>
        <v>0</v>
      </c>
      <c r="AC1813" s="16" t="n">
        <f aca="false">IFERROR(INDEX(SEMANAS!$K$6:$K$71,MATCH($B1813,SEMANAS!$B$6:$B$71,0)),0)</f>
        <v>147</v>
      </c>
      <c r="AD1813" s="19" t="n">
        <f aca="false">IF($AC1813&lt;=0,0,$AB1813/$AC1813)</f>
        <v>0</v>
      </c>
      <c r="AE1813" s="8" t="str">
        <f aca="false">IF($K1813="SEM CULTURA","SEM CULTURA",IF($AA1813&lt;=0,"DADO PENDENTE",IF($AD1813&gt;LIMITE_CRITICO,"INVIAVEL",IF($AD1813&gt;LIMITE_ATENCAO,"CRITICO",IF($AD1813&gt;LIMITE_CONFORTAVEL,"ATENCAO","OK")))))</f>
        <v>OK</v>
      </c>
      <c r="AF1813" s="8" t="str">
        <f aca="false">$B1813&amp;"|"&amp;TEXT($AD1813,"0.000000")</f>
        <v>26|0.000000</v>
      </c>
      <c r="AG1813" s="18" t="n">
        <f aca="false">IF($K1813="SEM CULTURA",0,$T1813*$H1813)</f>
        <v>1726.5591</v>
      </c>
      <c r="AH1813" s="18" t="n">
        <f aca="false">IF($K1813="SEM CULTURA",0,$V1813*$H1813)</f>
        <v>4794.48144</v>
      </c>
      <c r="AI1813" s="18" t="n">
        <f aca="false">IF($K1813="SEM CULTURA",0,$W1813*$H1813)</f>
        <v>0</v>
      </c>
      <c r="AJ1813" s="18" t="n">
        <f aca="false">IF($K1813="SEM CULTURA",0,$S1813*$H1813)</f>
        <v>4933.026</v>
      </c>
      <c r="AK1813" s="8" t="str">
        <f aca="false">$E1813&amp;"|"&amp;TEXT($AD1813,"0.000000")</f>
        <v>PV 124|0.000000</v>
      </c>
    </row>
    <row r="1814" customFormat="false" ht="15" hidden="false" customHeight="false" outlineLevel="0" collapsed="false">
      <c r="B1814" s="16" t="n">
        <v>27</v>
      </c>
      <c r="C1814" s="17" t="n">
        <f aca="false">DATA_INICIO_SAFRA+($B1814-1)*DIAS_POR_SEMANA</f>
        <v>46447</v>
      </c>
      <c r="D1814" s="17" t="n">
        <f aca="false">$C1814+DIAS_POR_SEMANA-1</f>
        <v>46453</v>
      </c>
      <c r="E1814" s="15" t="s">
        <v>286</v>
      </c>
      <c r="F1814" s="8" t="str">
        <f aca="false">IFERROR(INDEX(CADASTRO_PIVOS!$C$6:$C$41,MATCH($E1814,CADASTRO_PIVOS!$B$6:$B$41,0)),"?")</f>
        <v>RM07</v>
      </c>
      <c r="G1814" s="8" t="str">
        <f aca="false">IFERROR(INDEX(CADASTRO_PIVOS!$D$6:$D$41,MATCH($E1814,CADASTRO_PIVOS!$B$6:$B$41,0)),"?")</f>
        <v>TR07</v>
      </c>
      <c r="H1814" s="20" t="n">
        <f aca="false">IFERROR(INDEX(CADASTRO_PIVOS!$E$6:$E$41,MATCH($E1814,CADASTRO_PIVOS!$B$6:$B$41,0)),0)</f>
        <v>149.94</v>
      </c>
      <c r="I1814" s="16" t="n">
        <f aca="false">IFERROR(SUMIFS(ROTACAO_RDM!$B$6:$B$71,ROTACAO_RDM!$D$6:$D$71,$E1814,ROTACAO_RDM!$I$6:$I$71,"&lt;="&amp;$C1814+INT(DIAS_POR_SEMANA/2),ROTACAO_RDM!$J$6:$J$71,"&gt;="&amp;$C1814+INT(DIAS_POR_SEMANA/2)),0)</f>
        <v>45</v>
      </c>
      <c r="J1814" s="16" t="n">
        <f aca="false">IFERROR(MATCH($I1814,ROTACAO_RDM!$B$6:$B$71,0),0)</f>
        <v>45</v>
      </c>
      <c r="K1814" s="8" t="str">
        <f aca="false">IF($J1814=0,"SEM CULTURA",INDEX(ROTACAO_RDM!$F$6:$F$71,$J1814))</f>
        <v>ALGODAO</v>
      </c>
      <c r="L1814" s="8" t="str">
        <f aca="false">IF($J1814=0,"",INDEX(ROTACAO_RDM!$G$6:$G$71,$J1814))</f>
        <v>FM 911 GLTP</v>
      </c>
      <c r="M1814" s="17" t="n">
        <f aca="false">IF($J1814=0,"",INDEX(ROTACAO_RDM!$I$6:$I$71,$J1814))</f>
        <v>46433</v>
      </c>
      <c r="N1814" s="16" t="n">
        <f aca="false">IF($J1814=0,0,MAX(0,$C1814+INT(DIAS_POR_SEMANA/2)-INDEX(ROTACAO_RDM!$I$6:$I$71,$J1814)))</f>
        <v>17</v>
      </c>
      <c r="O1814" s="19" t="n">
        <f aca="false">IF($J1814=0,0,MIN(1,$N1814/MAX(1,INDEX(ROTACAO_RDM!$K$6:$K$71,$J1814))))</f>
        <v>0.0944444444444444</v>
      </c>
      <c r="P1814" s="16" t="n">
        <f aca="false">IF($J1814=0,0,IFERROR(MATCH(INDEX(ROTACAO_RDM!$N$6:$N$71,$J1814),PARAMETROS_CULTURAS!$B$6:$B$28,0),0))</f>
        <v>4</v>
      </c>
      <c r="Q1814" s="8" t="str">
        <f aca="false">IF($P1814=0,"-",IF($O1814&lt;=INDEX(PARAMETROS_CULTURAS!$F$6:$F$28,$P1814),"INICIAL",IF($O1814&lt;=INDEX(PARAMETROS_CULTURAS!$F$6:$F$28,$P1814)+INDEX(PARAMETROS_CULTURAS!$G$6:$G$28,$P1814),"DESENVOLVIMENTO",IF($O1814&lt;=INDEX(PARAMETROS_CULTURAS!$F$6:$F$28,$P1814)+INDEX(PARAMETROS_CULTURAS!$G$6:$G$28,$P1814)+INDEX(PARAMETROS_CULTURAS!$H$6:$H$28,$P1814),"MEDIA","FINAL"))))</f>
        <v>INICIAL</v>
      </c>
      <c r="R1814" s="24" t="n">
        <f aca="false">IF($P1814=0,0,IF($O1814&lt;=INDEX(PARAMETROS_CULTURAS!$F$6:$F$28,$P1814),INDEX(PARAMETROS_CULTURAS!$K$6:$K$28,$P1814),IF($O1814&lt;=INDEX(PARAMETROS_CULTURAS!$F$6:$F$28,$P1814)+INDEX(PARAMETROS_CULTURAS!$G$6:$G$28,$P1814),INDEX(PARAMETROS_CULTURAS!$K$6:$K$28,$P1814)+(INDEX(PARAMETROS_CULTURAS!$L$6:$L$28,$P1814)-INDEX(PARAMETROS_CULTURAS!$K$6:$K$28,$P1814))*($O1814-INDEX(PARAMETROS_CULTURAS!$F$6:$F$28,$P1814))/MAX(INDEX(PARAMETROS_CULTURAS!$G$6:$G$28,$P1814),0.0001),IF($O1814&lt;=INDEX(PARAMETROS_CULTURAS!$F$6:$F$28,$P1814)+INDEX(PARAMETROS_CULTURAS!$G$6:$G$28,$P1814)+INDEX(PARAMETROS_CULTURAS!$H$6:$H$28,$P1814),INDEX(PARAMETROS_CULTURAS!$L$6:$L$28,$P1814),INDEX(PARAMETROS_CULTURAS!$L$6:$L$28,$P1814)+(INDEX(PARAMETROS_CULTURAS!$M$6:$M$28,$P1814)-INDEX(PARAMETROS_CULTURAS!$L$6:$L$28,$P1814))*($O1814-INDEX(PARAMETROS_CULTURAS!$F$6:$F$28,$P1814)-INDEX(PARAMETROS_CULTURAS!$G$6:$G$28,$P1814)-INDEX(PARAMETROS_CULTURAS!$H$6:$H$28,$P1814))/MAX(INDEX(PARAMETROS_CULTURAS!$I$6:$I$28,$P1814),0.0001)))))</f>
        <v>0.35</v>
      </c>
      <c r="S1814" s="18" t="n">
        <f aca="false">IFERROR(INDEX(SEMANAS!$H$6:$H$71,MATCH($B1814,SEMANAS!$B$6:$B$71,0)),0)</f>
        <v>32.2</v>
      </c>
      <c r="T1814" s="18" t="n">
        <f aca="false">$R1814*$S1814</f>
        <v>11.27</v>
      </c>
      <c r="U1814" s="18" t="n">
        <f aca="false">IFERROR(INDEX(SEMANAS!$I$6:$I$71,MATCH($B1814,SEMANAS!$B$6:$B$71,0)),0)</f>
        <v>37.24</v>
      </c>
      <c r="V1814" s="18" t="n">
        <f aca="false">IFERROR(INDEX(SEMANAS!$J$6:$J$71,MATCH($B1814,SEMANAS!$B$6:$B$71,0)),0)</f>
        <v>29.792</v>
      </c>
      <c r="W1814" s="18" t="n">
        <f aca="false">MAX(0,$T1814-$V1814)</f>
        <v>0</v>
      </c>
      <c r="X1814" s="19" t="n">
        <f aca="false">IFERROR(INDEX(CADASTRO_PIVOS!$K$6:$K$41,MATCH($E1814,CADASTRO_PIVOS!$B$6:$B$41,0)),EFICIENCIA_PADRAO)</f>
        <v>0.85</v>
      </c>
      <c r="Y1814" s="18" t="n">
        <f aca="false">IF($X1814&lt;=0,0,$W1814/$X1814)</f>
        <v>0</v>
      </c>
      <c r="Z1814" s="16" t="n">
        <f aca="false">$Y1814*$H1814*MM_PARA_M3_HA</f>
        <v>0</v>
      </c>
      <c r="AA1814" s="18" t="n">
        <f aca="false">IFERROR(INDEX(CADASTRO_PIVOS!$I$6:$I$41,MATCH($E1814,CADASTRO_PIVOS!$B$6:$B$41,0)),0)</f>
        <v>1071</v>
      </c>
      <c r="AB1814" s="18" t="n">
        <f aca="false">IF($Z1814&lt;=0,0,$Z1814/$AA1814)</f>
        <v>0</v>
      </c>
      <c r="AC1814" s="16" t="n">
        <f aca="false">IFERROR(INDEX(SEMANAS!$K$6:$K$71,MATCH($B1814,SEMANAS!$B$6:$B$71,0)),0)</f>
        <v>147</v>
      </c>
      <c r="AD1814" s="19" t="n">
        <f aca="false">IF($AC1814&lt;=0,0,$AB1814/$AC1814)</f>
        <v>0</v>
      </c>
      <c r="AE1814" s="8" t="str">
        <f aca="false">IF($K1814="SEM CULTURA","SEM CULTURA",IF($AA1814&lt;=0,"DADO PENDENTE",IF($AD1814&gt;LIMITE_CRITICO,"INVIAVEL",IF($AD1814&gt;LIMITE_ATENCAO,"CRITICO",IF($AD1814&gt;LIMITE_CONFORTAVEL,"ATENCAO","OK")))))</f>
        <v>OK</v>
      </c>
      <c r="AF1814" s="8" t="str">
        <f aca="false">$B1814&amp;"|"&amp;TEXT($AD1814,"0.000000")</f>
        <v>27|0.000000</v>
      </c>
      <c r="AG1814" s="18" t="n">
        <f aca="false">IF($K1814="SEM CULTURA",0,$T1814*$H1814)</f>
        <v>1689.8238</v>
      </c>
      <c r="AH1814" s="18" t="n">
        <f aca="false">IF($K1814="SEM CULTURA",0,$V1814*$H1814)</f>
        <v>4467.01248</v>
      </c>
      <c r="AI1814" s="18" t="n">
        <f aca="false">IF($K1814="SEM CULTURA",0,$W1814*$H1814)</f>
        <v>0</v>
      </c>
      <c r="AJ1814" s="18" t="n">
        <f aca="false">IF($K1814="SEM CULTURA",0,$S1814*$H1814)</f>
        <v>4828.068</v>
      </c>
      <c r="AK1814" s="8" t="str">
        <f aca="false">$E1814&amp;"|"&amp;TEXT($AD1814,"0.000000")</f>
        <v>PV 124|0.000000</v>
      </c>
    </row>
    <row r="1815" customFormat="false" ht="15" hidden="false" customHeight="false" outlineLevel="0" collapsed="false">
      <c r="B1815" s="16" t="n">
        <v>28</v>
      </c>
      <c r="C1815" s="17" t="n">
        <f aca="false">DATA_INICIO_SAFRA+($B1815-1)*DIAS_POR_SEMANA</f>
        <v>46454</v>
      </c>
      <c r="D1815" s="17" t="n">
        <f aca="false">$C1815+DIAS_POR_SEMANA-1</f>
        <v>46460</v>
      </c>
      <c r="E1815" s="15" t="s">
        <v>286</v>
      </c>
      <c r="F1815" s="8" t="str">
        <f aca="false">IFERROR(INDEX(CADASTRO_PIVOS!$C$6:$C$41,MATCH($E1815,CADASTRO_PIVOS!$B$6:$B$41,0)),"?")</f>
        <v>RM07</v>
      </c>
      <c r="G1815" s="8" t="str">
        <f aca="false">IFERROR(INDEX(CADASTRO_PIVOS!$D$6:$D$41,MATCH($E1815,CADASTRO_PIVOS!$B$6:$B$41,0)),"?")</f>
        <v>TR07</v>
      </c>
      <c r="H1815" s="20" t="n">
        <f aca="false">IFERROR(INDEX(CADASTRO_PIVOS!$E$6:$E$41,MATCH($E1815,CADASTRO_PIVOS!$B$6:$B$41,0)),0)</f>
        <v>149.94</v>
      </c>
      <c r="I1815" s="16" t="n">
        <f aca="false">IFERROR(SUMIFS(ROTACAO_RDM!$B$6:$B$71,ROTACAO_RDM!$D$6:$D$71,$E1815,ROTACAO_RDM!$I$6:$I$71,"&lt;="&amp;$C1815+INT(DIAS_POR_SEMANA/2),ROTACAO_RDM!$J$6:$J$71,"&gt;="&amp;$C1815+INT(DIAS_POR_SEMANA/2)),0)</f>
        <v>45</v>
      </c>
      <c r="J1815" s="16" t="n">
        <f aca="false">IFERROR(MATCH($I1815,ROTACAO_RDM!$B$6:$B$71,0),0)</f>
        <v>45</v>
      </c>
      <c r="K1815" s="8" t="str">
        <f aca="false">IF($J1815=0,"SEM CULTURA",INDEX(ROTACAO_RDM!$F$6:$F$71,$J1815))</f>
        <v>ALGODAO</v>
      </c>
      <c r="L1815" s="8" t="str">
        <f aca="false">IF($J1815=0,"",INDEX(ROTACAO_RDM!$G$6:$G$71,$J1815))</f>
        <v>FM 911 GLTP</v>
      </c>
      <c r="M1815" s="17" t="n">
        <f aca="false">IF($J1815=0,"",INDEX(ROTACAO_RDM!$I$6:$I$71,$J1815))</f>
        <v>46433</v>
      </c>
      <c r="N1815" s="16" t="n">
        <f aca="false">IF($J1815=0,0,MAX(0,$C1815+INT(DIAS_POR_SEMANA/2)-INDEX(ROTACAO_RDM!$I$6:$I$71,$J1815)))</f>
        <v>24</v>
      </c>
      <c r="O1815" s="19" t="n">
        <f aca="false">IF($J1815=0,0,MIN(1,$N1815/MAX(1,INDEX(ROTACAO_RDM!$K$6:$K$71,$J1815))))</f>
        <v>0.133333333333333</v>
      </c>
      <c r="P1815" s="16" t="n">
        <f aca="false">IF($J1815=0,0,IFERROR(MATCH(INDEX(ROTACAO_RDM!$N$6:$N$71,$J1815),PARAMETROS_CULTURAS!$B$6:$B$28,0),0))</f>
        <v>4</v>
      </c>
      <c r="Q1815" s="8" t="str">
        <f aca="false">IF($P1815=0,"-",IF($O1815&lt;=INDEX(PARAMETROS_CULTURAS!$F$6:$F$28,$P1815),"INICIAL",IF($O1815&lt;=INDEX(PARAMETROS_CULTURAS!$F$6:$F$28,$P1815)+INDEX(PARAMETROS_CULTURAS!$G$6:$G$28,$P1815),"DESENVOLVIMENTO",IF($O1815&lt;=INDEX(PARAMETROS_CULTURAS!$F$6:$F$28,$P1815)+INDEX(PARAMETROS_CULTURAS!$G$6:$G$28,$P1815)+INDEX(PARAMETROS_CULTURAS!$H$6:$H$28,$P1815),"MEDIA","FINAL"))))</f>
        <v>INICIAL</v>
      </c>
      <c r="R1815" s="24" t="n">
        <f aca="false">IF($P1815=0,0,IF($O1815&lt;=INDEX(PARAMETROS_CULTURAS!$F$6:$F$28,$P1815),INDEX(PARAMETROS_CULTURAS!$K$6:$K$28,$P1815),IF($O1815&lt;=INDEX(PARAMETROS_CULTURAS!$F$6:$F$28,$P1815)+INDEX(PARAMETROS_CULTURAS!$G$6:$G$28,$P1815),INDEX(PARAMETROS_CULTURAS!$K$6:$K$28,$P1815)+(INDEX(PARAMETROS_CULTURAS!$L$6:$L$28,$P1815)-INDEX(PARAMETROS_CULTURAS!$K$6:$K$28,$P1815))*($O1815-INDEX(PARAMETROS_CULTURAS!$F$6:$F$28,$P1815))/MAX(INDEX(PARAMETROS_CULTURAS!$G$6:$G$28,$P1815),0.0001),IF($O1815&lt;=INDEX(PARAMETROS_CULTURAS!$F$6:$F$28,$P1815)+INDEX(PARAMETROS_CULTURAS!$G$6:$G$28,$P1815)+INDEX(PARAMETROS_CULTURAS!$H$6:$H$28,$P1815),INDEX(PARAMETROS_CULTURAS!$L$6:$L$28,$P1815),INDEX(PARAMETROS_CULTURAS!$L$6:$L$28,$P1815)+(INDEX(PARAMETROS_CULTURAS!$M$6:$M$28,$P1815)-INDEX(PARAMETROS_CULTURAS!$L$6:$L$28,$P1815))*($O1815-INDEX(PARAMETROS_CULTURAS!$F$6:$F$28,$P1815)-INDEX(PARAMETROS_CULTURAS!$G$6:$G$28,$P1815)-INDEX(PARAMETROS_CULTURAS!$H$6:$H$28,$P1815))/MAX(INDEX(PARAMETROS_CULTURAS!$I$6:$I$28,$P1815),0.0001)))))</f>
        <v>0.35</v>
      </c>
      <c r="S1815" s="18" t="n">
        <f aca="false">IFERROR(INDEX(SEMANAS!$H$6:$H$71,MATCH($B1815,SEMANAS!$B$6:$B$71,0)),0)</f>
        <v>32.2</v>
      </c>
      <c r="T1815" s="18" t="n">
        <f aca="false">$R1815*$S1815</f>
        <v>11.27</v>
      </c>
      <c r="U1815" s="18" t="n">
        <f aca="false">IFERROR(INDEX(SEMANAS!$I$6:$I$71,MATCH($B1815,SEMANAS!$B$6:$B$71,0)),0)</f>
        <v>37.24</v>
      </c>
      <c r="V1815" s="18" t="n">
        <f aca="false">IFERROR(INDEX(SEMANAS!$J$6:$J$71,MATCH($B1815,SEMANAS!$B$6:$B$71,0)),0)</f>
        <v>29.792</v>
      </c>
      <c r="W1815" s="18" t="n">
        <f aca="false">MAX(0,$T1815-$V1815)</f>
        <v>0</v>
      </c>
      <c r="X1815" s="19" t="n">
        <f aca="false">IFERROR(INDEX(CADASTRO_PIVOS!$K$6:$K$41,MATCH($E1815,CADASTRO_PIVOS!$B$6:$B$41,0)),EFICIENCIA_PADRAO)</f>
        <v>0.85</v>
      </c>
      <c r="Y1815" s="18" t="n">
        <f aca="false">IF($X1815&lt;=0,0,$W1815/$X1815)</f>
        <v>0</v>
      </c>
      <c r="Z1815" s="16" t="n">
        <f aca="false">$Y1815*$H1815*MM_PARA_M3_HA</f>
        <v>0</v>
      </c>
      <c r="AA1815" s="18" t="n">
        <f aca="false">IFERROR(INDEX(CADASTRO_PIVOS!$I$6:$I$41,MATCH($E1815,CADASTRO_PIVOS!$B$6:$B$41,0)),0)</f>
        <v>1071</v>
      </c>
      <c r="AB1815" s="18" t="n">
        <f aca="false">IF($Z1815&lt;=0,0,$Z1815/$AA1815)</f>
        <v>0</v>
      </c>
      <c r="AC1815" s="16" t="n">
        <f aca="false">IFERROR(INDEX(SEMANAS!$K$6:$K$71,MATCH($B1815,SEMANAS!$B$6:$B$71,0)),0)</f>
        <v>147</v>
      </c>
      <c r="AD1815" s="19" t="n">
        <f aca="false">IF($AC1815&lt;=0,0,$AB1815/$AC1815)</f>
        <v>0</v>
      </c>
      <c r="AE1815" s="8" t="str">
        <f aca="false">IF($K1815="SEM CULTURA","SEM CULTURA",IF($AA1815&lt;=0,"DADO PENDENTE",IF($AD1815&gt;LIMITE_CRITICO,"INVIAVEL",IF($AD1815&gt;LIMITE_ATENCAO,"CRITICO",IF($AD1815&gt;LIMITE_CONFORTAVEL,"ATENCAO","OK")))))</f>
        <v>OK</v>
      </c>
      <c r="AF1815" s="8" t="str">
        <f aca="false">$B1815&amp;"|"&amp;TEXT($AD1815,"0.000000")</f>
        <v>28|0.000000</v>
      </c>
      <c r="AG1815" s="18" t="n">
        <f aca="false">IF($K1815="SEM CULTURA",0,$T1815*$H1815)</f>
        <v>1689.8238</v>
      </c>
      <c r="AH1815" s="18" t="n">
        <f aca="false">IF($K1815="SEM CULTURA",0,$V1815*$H1815)</f>
        <v>4467.01248</v>
      </c>
      <c r="AI1815" s="18" t="n">
        <f aca="false">IF($K1815="SEM CULTURA",0,$W1815*$H1815)</f>
        <v>0</v>
      </c>
      <c r="AJ1815" s="18" t="n">
        <f aca="false">IF($K1815="SEM CULTURA",0,$S1815*$H1815)</f>
        <v>4828.068</v>
      </c>
      <c r="AK1815" s="8" t="str">
        <f aca="false">$E1815&amp;"|"&amp;TEXT($AD1815,"0.000000")</f>
        <v>PV 124|0.000000</v>
      </c>
    </row>
    <row r="1816" customFormat="false" ht="15" hidden="false" customHeight="false" outlineLevel="0" collapsed="false">
      <c r="B1816" s="16" t="n">
        <v>29</v>
      </c>
      <c r="C1816" s="17" t="n">
        <f aca="false">DATA_INICIO_SAFRA+($B1816-1)*DIAS_POR_SEMANA</f>
        <v>46461</v>
      </c>
      <c r="D1816" s="17" t="n">
        <f aca="false">$C1816+DIAS_POR_SEMANA-1</f>
        <v>46467</v>
      </c>
      <c r="E1816" s="15" t="s">
        <v>286</v>
      </c>
      <c r="F1816" s="8" t="str">
        <f aca="false">IFERROR(INDEX(CADASTRO_PIVOS!$C$6:$C$41,MATCH($E1816,CADASTRO_PIVOS!$B$6:$B$41,0)),"?")</f>
        <v>RM07</v>
      </c>
      <c r="G1816" s="8" t="str">
        <f aca="false">IFERROR(INDEX(CADASTRO_PIVOS!$D$6:$D$41,MATCH($E1816,CADASTRO_PIVOS!$B$6:$B$41,0)),"?")</f>
        <v>TR07</v>
      </c>
      <c r="H1816" s="20" t="n">
        <f aca="false">IFERROR(INDEX(CADASTRO_PIVOS!$E$6:$E$41,MATCH($E1816,CADASTRO_PIVOS!$B$6:$B$41,0)),0)</f>
        <v>149.94</v>
      </c>
      <c r="I1816" s="16" t="n">
        <f aca="false">IFERROR(SUMIFS(ROTACAO_RDM!$B$6:$B$71,ROTACAO_RDM!$D$6:$D$71,$E1816,ROTACAO_RDM!$I$6:$I$71,"&lt;="&amp;$C1816+INT(DIAS_POR_SEMANA/2),ROTACAO_RDM!$J$6:$J$71,"&gt;="&amp;$C1816+INT(DIAS_POR_SEMANA/2)),0)</f>
        <v>45</v>
      </c>
      <c r="J1816" s="16" t="n">
        <f aca="false">IFERROR(MATCH($I1816,ROTACAO_RDM!$B$6:$B$71,0),0)</f>
        <v>45</v>
      </c>
      <c r="K1816" s="8" t="str">
        <f aca="false">IF($J1816=0,"SEM CULTURA",INDEX(ROTACAO_RDM!$F$6:$F$71,$J1816))</f>
        <v>ALGODAO</v>
      </c>
      <c r="L1816" s="8" t="str">
        <f aca="false">IF($J1816=0,"",INDEX(ROTACAO_RDM!$G$6:$G$71,$J1816))</f>
        <v>FM 911 GLTP</v>
      </c>
      <c r="M1816" s="17" t="n">
        <f aca="false">IF($J1816=0,"",INDEX(ROTACAO_RDM!$I$6:$I$71,$J1816))</f>
        <v>46433</v>
      </c>
      <c r="N1816" s="16" t="n">
        <f aca="false">IF($J1816=0,0,MAX(0,$C1816+INT(DIAS_POR_SEMANA/2)-INDEX(ROTACAO_RDM!$I$6:$I$71,$J1816)))</f>
        <v>31</v>
      </c>
      <c r="O1816" s="19" t="n">
        <f aca="false">IF($J1816=0,0,MIN(1,$N1816/MAX(1,INDEX(ROTACAO_RDM!$K$6:$K$71,$J1816))))</f>
        <v>0.172222222222222</v>
      </c>
      <c r="P1816" s="16" t="n">
        <f aca="false">IF($J1816=0,0,IFERROR(MATCH(INDEX(ROTACAO_RDM!$N$6:$N$71,$J1816),PARAMETROS_CULTURAS!$B$6:$B$28,0),0))</f>
        <v>4</v>
      </c>
      <c r="Q1816" s="8" t="str">
        <f aca="false">IF($P1816=0,"-",IF($O1816&lt;=INDEX(PARAMETROS_CULTURAS!$F$6:$F$28,$P1816),"INICIAL",IF($O1816&lt;=INDEX(PARAMETROS_CULTURAS!$F$6:$F$28,$P1816)+INDEX(PARAMETROS_CULTURAS!$G$6:$G$28,$P1816),"DESENVOLVIMENTO",IF($O1816&lt;=INDEX(PARAMETROS_CULTURAS!$F$6:$F$28,$P1816)+INDEX(PARAMETROS_CULTURAS!$G$6:$G$28,$P1816)+INDEX(PARAMETROS_CULTURAS!$H$6:$H$28,$P1816),"MEDIA","FINAL"))))</f>
        <v>DESENVOLVIMENTO</v>
      </c>
      <c r="R1816" s="24" t="n">
        <f aca="false">IF($P1816=0,0,IF($O1816&lt;=INDEX(PARAMETROS_CULTURAS!$F$6:$F$28,$P1816),INDEX(PARAMETROS_CULTURAS!$K$6:$K$28,$P1816),IF($O1816&lt;=INDEX(PARAMETROS_CULTURAS!$F$6:$F$28,$P1816)+INDEX(PARAMETROS_CULTURAS!$G$6:$G$28,$P1816),INDEX(PARAMETROS_CULTURAS!$K$6:$K$28,$P1816)+(INDEX(PARAMETROS_CULTURAS!$L$6:$L$28,$P1816)-INDEX(PARAMETROS_CULTURAS!$K$6:$K$28,$P1816))*($O1816-INDEX(PARAMETROS_CULTURAS!$F$6:$F$28,$P1816))/MAX(INDEX(PARAMETROS_CULTURAS!$G$6:$G$28,$P1816),0.0001),IF($O1816&lt;=INDEX(PARAMETROS_CULTURAS!$F$6:$F$28,$P1816)+INDEX(PARAMETROS_CULTURAS!$G$6:$G$28,$P1816)+INDEX(PARAMETROS_CULTURAS!$H$6:$H$28,$P1816),INDEX(PARAMETROS_CULTURAS!$L$6:$L$28,$P1816),INDEX(PARAMETROS_CULTURAS!$L$6:$L$28,$P1816)+(INDEX(PARAMETROS_CULTURAS!$M$6:$M$28,$P1816)-INDEX(PARAMETROS_CULTURAS!$L$6:$L$28,$P1816))*($O1816-INDEX(PARAMETROS_CULTURAS!$F$6:$F$28,$P1816)-INDEX(PARAMETROS_CULTURAS!$G$6:$G$28,$P1816)-INDEX(PARAMETROS_CULTURAS!$H$6:$H$28,$P1816))/MAX(INDEX(PARAMETROS_CULTURAS!$I$6:$I$28,$P1816),0.0001)))))</f>
        <v>0.356584362139918</v>
      </c>
      <c r="S1816" s="18" t="n">
        <f aca="false">IFERROR(INDEX(SEMANAS!$H$6:$H$71,MATCH($B1816,SEMANAS!$B$6:$B$71,0)),0)</f>
        <v>32.2</v>
      </c>
      <c r="T1816" s="18" t="n">
        <f aca="false">$R1816*$S1816</f>
        <v>11.4820164609053</v>
      </c>
      <c r="U1816" s="18" t="n">
        <f aca="false">IFERROR(INDEX(SEMANAS!$I$6:$I$71,MATCH($B1816,SEMANAS!$B$6:$B$71,0)),0)</f>
        <v>37.24</v>
      </c>
      <c r="V1816" s="18" t="n">
        <f aca="false">IFERROR(INDEX(SEMANAS!$J$6:$J$71,MATCH($B1816,SEMANAS!$B$6:$B$71,0)),0)</f>
        <v>29.792</v>
      </c>
      <c r="W1816" s="18" t="n">
        <f aca="false">MAX(0,$T1816-$V1816)</f>
        <v>0</v>
      </c>
      <c r="X1816" s="19" t="n">
        <f aca="false">IFERROR(INDEX(CADASTRO_PIVOS!$K$6:$K$41,MATCH($E1816,CADASTRO_PIVOS!$B$6:$B$41,0)),EFICIENCIA_PADRAO)</f>
        <v>0.85</v>
      </c>
      <c r="Y1816" s="18" t="n">
        <f aca="false">IF($X1816&lt;=0,0,$W1816/$X1816)</f>
        <v>0</v>
      </c>
      <c r="Z1816" s="16" t="n">
        <f aca="false">$Y1816*$H1816*MM_PARA_M3_HA</f>
        <v>0</v>
      </c>
      <c r="AA1816" s="18" t="n">
        <f aca="false">IFERROR(INDEX(CADASTRO_PIVOS!$I$6:$I$41,MATCH($E1816,CADASTRO_PIVOS!$B$6:$B$41,0)),0)</f>
        <v>1071</v>
      </c>
      <c r="AB1816" s="18" t="n">
        <f aca="false">IF($Z1816&lt;=0,0,$Z1816/$AA1816)</f>
        <v>0</v>
      </c>
      <c r="AC1816" s="16" t="n">
        <f aca="false">IFERROR(INDEX(SEMANAS!$K$6:$K$71,MATCH($B1816,SEMANAS!$B$6:$B$71,0)),0)</f>
        <v>147</v>
      </c>
      <c r="AD1816" s="19" t="n">
        <f aca="false">IF($AC1816&lt;=0,0,$AB1816/$AC1816)</f>
        <v>0</v>
      </c>
      <c r="AE1816" s="8" t="str">
        <f aca="false">IF($K1816="SEM CULTURA","SEM CULTURA",IF($AA1816&lt;=0,"DADO PENDENTE",IF($AD1816&gt;LIMITE_CRITICO,"INVIAVEL",IF($AD1816&gt;LIMITE_ATENCAO,"CRITICO",IF($AD1816&gt;LIMITE_CONFORTAVEL,"ATENCAO","OK")))))</f>
        <v>OK</v>
      </c>
      <c r="AF1816" s="8" t="str">
        <f aca="false">$B1816&amp;"|"&amp;TEXT($AD1816,"0.000000")</f>
        <v>29|0.000000</v>
      </c>
      <c r="AG1816" s="18" t="n">
        <f aca="false">IF($K1816="SEM CULTURA",0,$T1816*$H1816)</f>
        <v>1721.61354814815</v>
      </c>
      <c r="AH1816" s="18" t="n">
        <f aca="false">IF($K1816="SEM CULTURA",0,$V1816*$H1816)</f>
        <v>4467.01248</v>
      </c>
      <c r="AI1816" s="18" t="n">
        <f aca="false">IF($K1816="SEM CULTURA",0,$W1816*$H1816)</f>
        <v>0</v>
      </c>
      <c r="AJ1816" s="18" t="n">
        <f aca="false">IF($K1816="SEM CULTURA",0,$S1816*$H1816)</f>
        <v>4828.068</v>
      </c>
      <c r="AK1816" s="8" t="str">
        <f aca="false">$E1816&amp;"|"&amp;TEXT($AD1816,"0.000000")</f>
        <v>PV 124|0.000000</v>
      </c>
    </row>
    <row r="1817" customFormat="false" ht="15" hidden="false" customHeight="false" outlineLevel="0" collapsed="false">
      <c r="B1817" s="16" t="n">
        <v>30</v>
      </c>
      <c r="C1817" s="17" t="n">
        <f aca="false">DATA_INICIO_SAFRA+($B1817-1)*DIAS_POR_SEMANA</f>
        <v>46468</v>
      </c>
      <c r="D1817" s="17" t="n">
        <f aca="false">$C1817+DIAS_POR_SEMANA-1</f>
        <v>46474</v>
      </c>
      <c r="E1817" s="15" t="s">
        <v>286</v>
      </c>
      <c r="F1817" s="8" t="str">
        <f aca="false">IFERROR(INDEX(CADASTRO_PIVOS!$C$6:$C$41,MATCH($E1817,CADASTRO_PIVOS!$B$6:$B$41,0)),"?")</f>
        <v>RM07</v>
      </c>
      <c r="G1817" s="8" t="str">
        <f aca="false">IFERROR(INDEX(CADASTRO_PIVOS!$D$6:$D$41,MATCH($E1817,CADASTRO_PIVOS!$B$6:$B$41,0)),"?")</f>
        <v>TR07</v>
      </c>
      <c r="H1817" s="20" t="n">
        <f aca="false">IFERROR(INDEX(CADASTRO_PIVOS!$E$6:$E$41,MATCH($E1817,CADASTRO_PIVOS!$B$6:$B$41,0)),0)</f>
        <v>149.94</v>
      </c>
      <c r="I1817" s="16" t="n">
        <f aca="false">IFERROR(SUMIFS(ROTACAO_RDM!$B$6:$B$71,ROTACAO_RDM!$D$6:$D$71,$E1817,ROTACAO_RDM!$I$6:$I$71,"&lt;="&amp;$C1817+INT(DIAS_POR_SEMANA/2),ROTACAO_RDM!$J$6:$J$71,"&gt;="&amp;$C1817+INT(DIAS_POR_SEMANA/2)),0)</f>
        <v>45</v>
      </c>
      <c r="J1817" s="16" t="n">
        <f aca="false">IFERROR(MATCH($I1817,ROTACAO_RDM!$B$6:$B$71,0),0)</f>
        <v>45</v>
      </c>
      <c r="K1817" s="8" t="str">
        <f aca="false">IF($J1817=0,"SEM CULTURA",INDEX(ROTACAO_RDM!$F$6:$F$71,$J1817))</f>
        <v>ALGODAO</v>
      </c>
      <c r="L1817" s="8" t="str">
        <f aca="false">IF($J1817=0,"",INDEX(ROTACAO_RDM!$G$6:$G$71,$J1817))</f>
        <v>FM 911 GLTP</v>
      </c>
      <c r="M1817" s="17" t="n">
        <f aca="false">IF($J1817=0,"",INDEX(ROTACAO_RDM!$I$6:$I$71,$J1817))</f>
        <v>46433</v>
      </c>
      <c r="N1817" s="16" t="n">
        <f aca="false">IF($J1817=0,0,MAX(0,$C1817+INT(DIAS_POR_SEMANA/2)-INDEX(ROTACAO_RDM!$I$6:$I$71,$J1817)))</f>
        <v>38</v>
      </c>
      <c r="O1817" s="19" t="n">
        <f aca="false">IF($J1817=0,0,MIN(1,$N1817/MAX(1,INDEX(ROTACAO_RDM!$K$6:$K$71,$J1817))))</f>
        <v>0.211111111111111</v>
      </c>
      <c r="P1817" s="16" t="n">
        <f aca="false">IF($J1817=0,0,IFERROR(MATCH(INDEX(ROTACAO_RDM!$N$6:$N$71,$J1817),PARAMETROS_CULTURAS!$B$6:$B$28,0),0))</f>
        <v>4</v>
      </c>
      <c r="Q1817" s="8" t="str">
        <f aca="false">IF($P1817=0,"-",IF($O1817&lt;=INDEX(PARAMETROS_CULTURAS!$F$6:$F$28,$P1817),"INICIAL",IF($O1817&lt;=INDEX(PARAMETROS_CULTURAS!$F$6:$F$28,$P1817)+INDEX(PARAMETROS_CULTURAS!$G$6:$G$28,$P1817),"DESENVOLVIMENTO",IF($O1817&lt;=INDEX(PARAMETROS_CULTURAS!$F$6:$F$28,$P1817)+INDEX(PARAMETROS_CULTURAS!$G$6:$G$28,$P1817)+INDEX(PARAMETROS_CULTURAS!$H$6:$H$28,$P1817),"MEDIA","FINAL"))))</f>
        <v>DESENVOLVIMENTO</v>
      </c>
      <c r="R1817" s="24" t="n">
        <f aca="false">IF($P1817=0,0,IF($O1817&lt;=INDEX(PARAMETROS_CULTURAS!$F$6:$F$28,$P1817),INDEX(PARAMETROS_CULTURAS!$K$6:$K$28,$P1817),IF($O1817&lt;=INDEX(PARAMETROS_CULTURAS!$F$6:$F$28,$P1817)+INDEX(PARAMETROS_CULTURAS!$G$6:$G$28,$P1817),INDEX(PARAMETROS_CULTURAS!$K$6:$K$28,$P1817)+(INDEX(PARAMETROS_CULTURAS!$L$6:$L$28,$P1817)-INDEX(PARAMETROS_CULTURAS!$K$6:$K$28,$P1817))*($O1817-INDEX(PARAMETROS_CULTURAS!$F$6:$F$28,$P1817))/MAX(INDEX(PARAMETROS_CULTURAS!$G$6:$G$28,$P1817),0.0001),IF($O1817&lt;=INDEX(PARAMETROS_CULTURAS!$F$6:$F$28,$P1817)+INDEX(PARAMETROS_CULTURAS!$G$6:$G$28,$P1817)+INDEX(PARAMETROS_CULTURAS!$H$6:$H$28,$P1817),INDEX(PARAMETROS_CULTURAS!$L$6:$L$28,$P1817),INDEX(PARAMETROS_CULTURAS!$L$6:$L$28,$P1817)+(INDEX(PARAMETROS_CULTURAS!$M$6:$M$28,$P1817)-INDEX(PARAMETROS_CULTURAS!$L$6:$L$28,$P1817))*($O1817-INDEX(PARAMETROS_CULTURAS!$F$6:$F$28,$P1817)-INDEX(PARAMETROS_CULTURAS!$G$6:$G$28,$P1817)-INDEX(PARAMETROS_CULTURAS!$H$6:$H$28,$P1817))/MAX(INDEX(PARAMETROS_CULTURAS!$I$6:$I$28,$P1817),0.0001)))))</f>
        <v>0.471810699588477</v>
      </c>
      <c r="S1817" s="18" t="n">
        <f aca="false">IFERROR(INDEX(SEMANAS!$H$6:$H$71,MATCH($B1817,SEMANAS!$B$6:$B$71,0)),0)</f>
        <v>32.2</v>
      </c>
      <c r="T1817" s="18" t="n">
        <f aca="false">$R1817*$S1817</f>
        <v>15.192304526749</v>
      </c>
      <c r="U1817" s="18" t="n">
        <f aca="false">IFERROR(INDEX(SEMANAS!$I$6:$I$71,MATCH($B1817,SEMANAS!$B$6:$B$71,0)),0)</f>
        <v>37.24</v>
      </c>
      <c r="V1817" s="18" t="n">
        <f aca="false">IFERROR(INDEX(SEMANAS!$J$6:$J$71,MATCH($B1817,SEMANAS!$B$6:$B$71,0)),0)</f>
        <v>29.792</v>
      </c>
      <c r="W1817" s="18" t="n">
        <f aca="false">MAX(0,$T1817-$V1817)</f>
        <v>0</v>
      </c>
      <c r="X1817" s="19" t="n">
        <f aca="false">IFERROR(INDEX(CADASTRO_PIVOS!$K$6:$K$41,MATCH($E1817,CADASTRO_PIVOS!$B$6:$B$41,0)),EFICIENCIA_PADRAO)</f>
        <v>0.85</v>
      </c>
      <c r="Y1817" s="18" t="n">
        <f aca="false">IF($X1817&lt;=0,0,$W1817/$X1817)</f>
        <v>0</v>
      </c>
      <c r="Z1817" s="16" t="n">
        <f aca="false">$Y1817*$H1817*MM_PARA_M3_HA</f>
        <v>0</v>
      </c>
      <c r="AA1817" s="18" t="n">
        <f aca="false">IFERROR(INDEX(CADASTRO_PIVOS!$I$6:$I$41,MATCH($E1817,CADASTRO_PIVOS!$B$6:$B$41,0)),0)</f>
        <v>1071</v>
      </c>
      <c r="AB1817" s="18" t="n">
        <f aca="false">IF($Z1817&lt;=0,0,$Z1817/$AA1817)</f>
        <v>0</v>
      </c>
      <c r="AC1817" s="16" t="n">
        <f aca="false">IFERROR(INDEX(SEMANAS!$K$6:$K$71,MATCH($B1817,SEMANAS!$B$6:$B$71,0)),0)</f>
        <v>147</v>
      </c>
      <c r="AD1817" s="19" t="n">
        <f aca="false">IF($AC1817&lt;=0,0,$AB1817/$AC1817)</f>
        <v>0</v>
      </c>
      <c r="AE1817" s="8" t="str">
        <f aca="false">IF($K1817="SEM CULTURA","SEM CULTURA",IF($AA1817&lt;=0,"DADO PENDENTE",IF($AD1817&gt;LIMITE_CRITICO,"INVIAVEL",IF($AD1817&gt;LIMITE_ATENCAO,"CRITICO",IF($AD1817&gt;LIMITE_CONFORTAVEL,"ATENCAO","OK")))))</f>
        <v>OK</v>
      </c>
      <c r="AF1817" s="8" t="str">
        <f aca="false">$B1817&amp;"|"&amp;TEXT($AD1817,"0.000000")</f>
        <v>30|0.000000</v>
      </c>
      <c r="AG1817" s="18" t="n">
        <f aca="false">IF($K1817="SEM CULTURA",0,$T1817*$H1817)</f>
        <v>2277.93414074074</v>
      </c>
      <c r="AH1817" s="18" t="n">
        <f aca="false">IF($K1817="SEM CULTURA",0,$V1817*$H1817)</f>
        <v>4467.01248</v>
      </c>
      <c r="AI1817" s="18" t="n">
        <f aca="false">IF($K1817="SEM CULTURA",0,$W1817*$H1817)</f>
        <v>0</v>
      </c>
      <c r="AJ1817" s="18" t="n">
        <f aca="false">IF($K1817="SEM CULTURA",0,$S1817*$H1817)</f>
        <v>4828.068</v>
      </c>
      <c r="AK1817" s="8" t="str">
        <f aca="false">$E1817&amp;"|"&amp;TEXT($AD1817,"0.000000")</f>
        <v>PV 124|0.000000</v>
      </c>
    </row>
    <row r="1818" customFormat="false" ht="15" hidden="false" customHeight="false" outlineLevel="0" collapsed="false">
      <c r="B1818" s="16" t="n">
        <v>31</v>
      </c>
      <c r="C1818" s="17" t="n">
        <f aca="false">DATA_INICIO_SAFRA+($B1818-1)*DIAS_POR_SEMANA</f>
        <v>46475</v>
      </c>
      <c r="D1818" s="17" t="n">
        <f aca="false">$C1818+DIAS_POR_SEMANA-1</f>
        <v>46481</v>
      </c>
      <c r="E1818" s="15" t="s">
        <v>286</v>
      </c>
      <c r="F1818" s="8" t="str">
        <f aca="false">IFERROR(INDEX(CADASTRO_PIVOS!$C$6:$C$41,MATCH($E1818,CADASTRO_PIVOS!$B$6:$B$41,0)),"?")</f>
        <v>RM07</v>
      </c>
      <c r="G1818" s="8" t="str">
        <f aca="false">IFERROR(INDEX(CADASTRO_PIVOS!$D$6:$D$41,MATCH($E1818,CADASTRO_PIVOS!$B$6:$B$41,0)),"?")</f>
        <v>TR07</v>
      </c>
      <c r="H1818" s="20" t="n">
        <f aca="false">IFERROR(INDEX(CADASTRO_PIVOS!$E$6:$E$41,MATCH($E1818,CADASTRO_PIVOS!$B$6:$B$41,0)),0)</f>
        <v>149.94</v>
      </c>
      <c r="I1818" s="16" t="n">
        <f aca="false">IFERROR(SUMIFS(ROTACAO_RDM!$B$6:$B$71,ROTACAO_RDM!$D$6:$D$71,$E1818,ROTACAO_RDM!$I$6:$I$71,"&lt;="&amp;$C1818+INT(DIAS_POR_SEMANA/2),ROTACAO_RDM!$J$6:$J$71,"&gt;="&amp;$C1818+INT(DIAS_POR_SEMANA/2)),0)</f>
        <v>45</v>
      </c>
      <c r="J1818" s="16" t="n">
        <f aca="false">IFERROR(MATCH($I1818,ROTACAO_RDM!$B$6:$B$71,0),0)</f>
        <v>45</v>
      </c>
      <c r="K1818" s="8" t="str">
        <f aca="false">IF($J1818=0,"SEM CULTURA",INDEX(ROTACAO_RDM!$F$6:$F$71,$J1818))</f>
        <v>ALGODAO</v>
      </c>
      <c r="L1818" s="8" t="str">
        <f aca="false">IF($J1818=0,"",INDEX(ROTACAO_RDM!$G$6:$G$71,$J1818))</f>
        <v>FM 911 GLTP</v>
      </c>
      <c r="M1818" s="17" t="n">
        <f aca="false">IF($J1818=0,"",INDEX(ROTACAO_RDM!$I$6:$I$71,$J1818))</f>
        <v>46433</v>
      </c>
      <c r="N1818" s="16" t="n">
        <f aca="false">IF($J1818=0,0,MAX(0,$C1818+INT(DIAS_POR_SEMANA/2)-INDEX(ROTACAO_RDM!$I$6:$I$71,$J1818)))</f>
        <v>45</v>
      </c>
      <c r="O1818" s="19" t="n">
        <f aca="false">IF($J1818=0,0,MIN(1,$N1818/MAX(1,INDEX(ROTACAO_RDM!$K$6:$K$71,$J1818))))</f>
        <v>0.25</v>
      </c>
      <c r="P1818" s="16" t="n">
        <f aca="false">IF($J1818=0,0,IFERROR(MATCH(INDEX(ROTACAO_RDM!$N$6:$N$71,$J1818),PARAMETROS_CULTURAS!$B$6:$B$28,0),0))</f>
        <v>4</v>
      </c>
      <c r="Q1818" s="8" t="str">
        <f aca="false">IF($P1818=0,"-",IF($O1818&lt;=INDEX(PARAMETROS_CULTURAS!$F$6:$F$28,$P1818),"INICIAL",IF($O1818&lt;=INDEX(PARAMETROS_CULTURAS!$F$6:$F$28,$P1818)+INDEX(PARAMETROS_CULTURAS!$G$6:$G$28,$P1818),"DESENVOLVIMENTO",IF($O1818&lt;=INDEX(PARAMETROS_CULTURAS!$F$6:$F$28,$P1818)+INDEX(PARAMETROS_CULTURAS!$G$6:$G$28,$P1818)+INDEX(PARAMETROS_CULTURAS!$H$6:$H$28,$P1818),"MEDIA","FINAL"))))</f>
        <v>DESENVOLVIMENTO</v>
      </c>
      <c r="R1818" s="24" t="n">
        <f aca="false">IF($P1818=0,0,IF($O1818&lt;=INDEX(PARAMETROS_CULTURAS!$F$6:$F$28,$P1818),INDEX(PARAMETROS_CULTURAS!$K$6:$K$28,$P1818),IF($O1818&lt;=INDEX(PARAMETROS_CULTURAS!$F$6:$F$28,$P1818)+INDEX(PARAMETROS_CULTURAS!$G$6:$G$28,$P1818),INDEX(PARAMETROS_CULTURAS!$K$6:$K$28,$P1818)+(INDEX(PARAMETROS_CULTURAS!$L$6:$L$28,$P1818)-INDEX(PARAMETROS_CULTURAS!$K$6:$K$28,$P1818))*($O1818-INDEX(PARAMETROS_CULTURAS!$F$6:$F$28,$P1818))/MAX(INDEX(PARAMETROS_CULTURAS!$G$6:$G$28,$P1818),0.0001),IF($O1818&lt;=INDEX(PARAMETROS_CULTURAS!$F$6:$F$28,$P1818)+INDEX(PARAMETROS_CULTURAS!$G$6:$G$28,$P1818)+INDEX(PARAMETROS_CULTURAS!$H$6:$H$28,$P1818),INDEX(PARAMETROS_CULTURAS!$L$6:$L$28,$P1818),INDEX(PARAMETROS_CULTURAS!$L$6:$L$28,$P1818)+(INDEX(PARAMETROS_CULTURAS!$M$6:$M$28,$P1818)-INDEX(PARAMETROS_CULTURAS!$L$6:$L$28,$P1818))*($O1818-INDEX(PARAMETROS_CULTURAS!$F$6:$F$28,$P1818)-INDEX(PARAMETROS_CULTURAS!$G$6:$G$28,$P1818)-INDEX(PARAMETROS_CULTURAS!$H$6:$H$28,$P1818))/MAX(INDEX(PARAMETROS_CULTURAS!$I$6:$I$28,$P1818),0.0001)))))</f>
        <v>0.587037037037037</v>
      </c>
      <c r="S1818" s="18" t="n">
        <f aca="false">IFERROR(INDEX(SEMANAS!$H$6:$H$71,MATCH($B1818,SEMANAS!$B$6:$B$71,0)),0)</f>
        <v>31.8</v>
      </c>
      <c r="T1818" s="18" t="n">
        <f aca="false">$R1818*$S1818</f>
        <v>18.6677777777778</v>
      </c>
      <c r="U1818" s="18" t="n">
        <f aca="false">IFERROR(INDEX(SEMANAS!$I$6:$I$71,MATCH($B1818,SEMANAS!$B$6:$B$71,0)),0)</f>
        <v>25.28</v>
      </c>
      <c r="V1818" s="18" t="n">
        <f aca="false">IFERROR(INDEX(SEMANAS!$J$6:$J$71,MATCH($B1818,SEMANAS!$B$6:$B$71,0)),0)</f>
        <v>20.224</v>
      </c>
      <c r="W1818" s="18" t="n">
        <f aca="false">MAX(0,$T1818-$V1818)</f>
        <v>0</v>
      </c>
      <c r="X1818" s="19" t="n">
        <f aca="false">IFERROR(INDEX(CADASTRO_PIVOS!$K$6:$K$41,MATCH($E1818,CADASTRO_PIVOS!$B$6:$B$41,0)),EFICIENCIA_PADRAO)</f>
        <v>0.85</v>
      </c>
      <c r="Y1818" s="18" t="n">
        <f aca="false">IF($X1818&lt;=0,0,$W1818/$X1818)</f>
        <v>0</v>
      </c>
      <c r="Z1818" s="16" t="n">
        <f aca="false">$Y1818*$H1818*MM_PARA_M3_HA</f>
        <v>0</v>
      </c>
      <c r="AA1818" s="18" t="n">
        <f aca="false">IFERROR(INDEX(CADASTRO_PIVOS!$I$6:$I$41,MATCH($E1818,CADASTRO_PIVOS!$B$6:$B$41,0)),0)</f>
        <v>1071</v>
      </c>
      <c r="AB1818" s="18" t="n">
        <f aca="false">IF($Z1818&lt;=0,0,$Z1818/$AA1818)</f>
        <v>0</v>
      </c>
      <c r="AC1818" s="16" t="n">
        <f aca="false">IFERROR(INDEX(SEMANAS!$K$6:$K$71,MATCH($B1818,SEMANAS!$B$6:$B$71,0)),0)</f>
        <v>147</v>
      </c>
      <c r="AD1818" s="19" t="n">
        <f aca="false">IF($AC1818&lt;=0,0,$AB1818/$AC1818)</f>
        <v>0</v>
      </c>
      <c r="AE1818" s="8" t="str">
        <f aca="false">IF($K1818="SEM CULTURA","SEM CULTURA",IF($AA1818&lt;=0,"DADO PENDENTE",IF($AD1818&gt;LIMITE_CRITICO,"INVIAVEL",IF($AD1818&gt;LIMITE_ATENCAO,"CRITICO",IF($AD1818&gt;LIMITE_CONFORTAVEL,"ATENCAO","OK")))))</f>
        <v>OK</v>
      </c>
      <c r="AF1818" s="8" t="str">
        <f aca="false">$B1818&amp;"|"&amp;TEXT($AD1818,"0.000000")</f>
        <v>31|0.000000</v>
      </c>
      <c r="AG1818" s="18" t="n">
        <f aca="false">IF($K1818="SEM CULTURA",0,$T1818*$H1818)</f>
        <v>2799.0466</v>
      </c>
      <c r="AH1818" s="18" t="n">
        <f aca="false">IF($K1818="SEM CULTURA",0,$V1818*$H1818)</f>
        <v>3032.38656</v>
      </c>
      <c r="AI1818" s="18" t="n">
        <f aca="false">IF($K1818="SEM CULTURA",0,$W1818*$H1818)</f>
        <v>0</v>
      </c>
      <c r="AJ1818" s="18" t="n">
        <f aca="false">IF($K1818="SEM CULTURA",0,$S1818*$H1818)</f>
        <v>4768.092</v>
      </c>
      <c r="AK1818" s="8" t="str">
        <f aca="false">$E1818&amp;"|"&amp;TEXT($AD1818,"0.000000")</f>
        <v>PV 124|0.000000</v>
      </c>
    </row>
    <row r="1819" customFormat="false" ht="15" hidden="false" customHeight="false" outlineLevel="0" collapsed="false">
      <c r="B1819" s="16" t="n">
        <v>32</v>
      </c>
      <c r="C1819" s="17" t="n">
        <f aca="false">DATA_INICIO_SAFRA+($B1819-1)*DIAS_POR_SEMANA</f>
        <v>46482</v>
      </c>
      <c r="D1819" s="17" t="n">
        <f aca="false">$C1819+DIAS_POR_SEMANA-1</f>
        <v>46488</v>
      </c>
      <c r="E1819" s="15" t="s">
        <v>286</v>
      </c>
      <c r="F1819" s="8" t="str">
        <f aca="false">IFERROR(INDEX(CADASTRO_PIVOS!$C$6:$C$41,MATCH($E1819,CADASTRO_PIVOS!$B$6:$B$41,0)),"?")</f>
        <v>RM07</v>
      </c>
      <c r="G1819" s="8" t="str">
        <f aca="false">IFERROR(INDEX(CADASTRO_PIVOS!$D$6:$D$41,MATCH($E1819,CADASTRO_PIVOS!$B$6:$B$41,0)),"?")</f>
        <v>TR07</v>
      </c>
      <c r="H1819" s="20" t="n">
        <f aca="false">IFERROR(INDEX(CADASTRO_PIVOS!$E$6:$E$41,MATCH($E1819,CADASTRO_PIVOS!$B$6:$B$41,0)),0)</f>
        <v>149.94</v>
      </c>
      <c r="I1819" s="16" t="n">
        <f aca="false">IFERROR(SUMIFS(ROTACAO_RDM!$B$6:$B$71,ROTACAO_RDM!$D$6:$D$71,$E1819,ROTACAO_RDM!$I$6:$I$71,"&lt;="&amp;$C1819+INT(DIAS_POR_SEMANA/2),ROTACAO_RDM!$J$6:$J$71,"&gt;="&amp;$C1819+INT(DIAS_POR_SEMANA/2)),0)</f>
        <v>45</v>
      </c>
      <c r="J1819" s="16" t="n">
        <f aca="false">IFERROR(MATCH($I1819,ROTACAO_RDM!$B$6:$B$71,0),0)</f>
        <v>45</v>
      </c>
      <c r="K1819" s="8" t="str">
        <f aca="false">IF($J1819=0,"SEM CULTURA",INDEX(ROTACAO_RDM!$F$6:$F$71,$J1819))</f>
        <v>ALGODAO</v>
      </c>
      <c r="L1819" s="8" t="str">
        <f aca="false">IF($J1819=0,"",INDEX(ROTACAO_RDM!$G$6:$G$71,$J1819))</f>
        <v>FM 911 GLTP</v>
      </c>
      <c r="M1819" s="17" t="n">
        <f aca="false">IF($J1819=0,"",INDEX(ROTACAO_RDM!$I$6:$I$71,$J1819))</f>
        <v>46433</v>
      </c>
      <c r="N1819" s="16" t="n">
        <f aca="false">IF($J1819=0,0,MAX(0,$C1819+INT(DIAS_POR_SEMANA/2)-INDEX(ROTACAO_RDM!$I$6:$I$71,$J1819)))</f>
        <v>52</v>
      </c>
      <c r="O1819" s="19" t="n">
        <f aca="false">IF($J1819=0,0,MIN(1,$N1819/MAX(1,INDEX(ROTACAO_RDM!$K$6:$K$71,$J1819))))</f>
        <v>0.288888888888889</v>
      </c>
      <c r="P1819" s="16" t="n">
        <f aca="false">IF($J1819=0,0,IFERROR(MATCH(INDEX(ROTACAO_RDM!$N$6:$N$71,$J1819),PARAMETROS_CULTURAS!$B$6:$B$28,0),0))</f>
        <v>4</v>
      </c>
      <c r="Q1819" s="8" t="str">
        <f aca="false">IF($P1819=0,"-",IF($O1819&lt;=INDEX(PARAMETROS_CULTURAS!$F$6:$F$28,$P1819),"INICIAL",IF($O1819&lt;=INDEX(PARAMETROS_CULTURAS!$F$6:$F$28,$P1819)+INDEX(PARAMETROS_CULTURAS!$G$6:$G$28,$P1819),"DESENVOLVIMENTO",IF($O1819&lt;=INDEX(PARAMETROS_CULTURAS!$F$6:$F$28,$P1819)+INDEX(PARAMETROS_CULTURAS!$G$6:$G$28,$P1819)+INDEX(PARAMETROS_CULTURAS!$H$6:$H$28,$P1819),"MEDIA","FINAL"))))</f>
        <v>DESENVOLVIMENTO</v>
      </c>
      <c r="R1819" s="24" t="n">
        <f aca="false">IF($P1819=0,0,IF($O1819&lt;=INDEX(PARAMETROS_CULTURAS!$F$6:$F$28,$P1819),INDEX(PARAMETROS_CULTURAS!$K$6:$K$28,$P1819),IF($O1819&lt;=INDEX(PARAMETROS_CULTURAS!$F$6:$F$28,$P1819)+INDEX(PARAMETROS_CULTURAS!$G$6:$G$28,$P1819),INDEX(PARAMETROS_CULTURAS!$K$6:$K$28,$P1819)+(INDEX(PARAMETROS_CULTURAS!$L$6:$L$28,$P1819)-INDEX(PARAMETROS_CULTURAS!$K$6:$K$28,$P1819))*($O1819-INDEX(PARAMETROS_CULTURAS!$F$6:$F$28,$P1819))/MAX(INDEX(PARAMETROS_CULTURAS!$G$6:$G$28,$P1819),0.0001),IF($O1819&lt;=INDEX(PARAMETROS_CULTURAS!$F$6:$F$28,$P1819)+INDEX(PARAMETROS_CULTURAS!$G$6:$G$28,$P1819)+INDEX(PARAMETROS_CULTURAS!$H$6:$H$28,$P1819),INDEX(PARAMETROS_CULTURAS!$L$6:$L$28,$P1819),INDEX(PARAMETROS_CULTURAS!$L$6:$L$28,$P1819)+(INDEX(PARAMETROS_CULTURAS!$M$6:$M$28,$P1819)-INDEX(PARAMETROS_CULTURAS!$L$6:$L$28,$P1819))*($O1819-INDEX(PARAMETROS_CULTURAS!$F$6:$F$28,$P1819)-INDEX(PARAMETROS_CULTURAS!$G$6:$G$28,$P1819)-INDEX(PARAMETROS_CULTURAS!$H$6:$H$28,$P1819))/MAX(INDEX(PARAMETROS_CULTURAS!$I$6:$I$28,$P1819),0.0001)))))</f>
        <v>0.702263374485597</v>
      </c>
      <c r="S1819" s="18" t="n">
        <f aca="false">IFERROR(INDEX(SEMANAS!$H$6:$H$71,MATCH($B1819,SEMANAS!$B$6:$B$71,0)),0)</f>
        <v>31.5</v>
      </c>
      <c r="T1819" s="18" t="n">
        <f aca="false">$R1819*$S1819</f>
        <v>22.1212962962963</v>
      </c>
      <c r="U1819" s="18" t="n">
        <f aca="false">IFERROR(INDEX(SEMANAS!$I$6:$I$71,MATCH($B1819,SEMANAS!$B$6:$B$71,0)),0)</f>
        <v>16.31</v>
      </c>
      <c r="V1819" s="18" t="n">
        <f aca="false">IFERROR(INDEX(SEMANAS!$J$6:$J$71,MATCH($B1819,SEMANAS!$B$6:$B$71,0)),0)</f>
        <v>13.048</v>
      </c>
      <c r="W1819" s="18" t="n">
        <f aca="false">MAX(0,$T1819-$V1819)</f>
        <v>9.07329629629629</v>
      </c>
      <c r="X1819" s="19" t="n">
        <f aca="false">IFERROR(INDEX(CADASTRO_PIVOS!$K$6:$K$41,MATCH($E1819,CADASTRO_PIVOS!$B$6:$B$41,0)),EFICIENCIA_PADRAO)</f>
        <v>0.85</v>
      </c>
      <c r="Y1819" s="18" t="n">
        <f aca="false">IF($X1819&lt;=0,0,$W1819/$X1819)</f>
        <v>10.6744662309368</v>
      </c>
      <c r="Z1819" s="16" t="n">
        <f aca="false">$Y1819*$H1819*MM_PARA_M3_HA</f>
        <v>16005.2946666667</v>
      </c>
      <c r="AA1819" s="18" t="n">
        <f aca="false">IFERROR(INDEX(CADASTRO_PIVOS!$I$6:$I$41,MATCH($E1819,CADASTRO_PIVOS!$B$6:$B$41,0)),0)</f>
        <v>1071</v>
      </c>
      <c r="AB1819" s="18" t="n">
        <f aca="false">IF($Z1819&lt;=0,0,$Z1819/$AA1819)</f>
        <v>14.9442527233115</v>
      </c>
      <c r="AC1819" s="16" t="n">
        <f aca="false">IFERROR(INDEX(SEMANAS!$K$6:$K$71,MATCH($B1819,SEMANAS!$B$6:$B$71,0)),0)</f>
        <v>147</v>
      </c>
      <c r="AD1819" s="19" t="n">
        <f aca="false">IF($AC1819&lt;=0,0,$AB1819/$AC1819)</f>
        <v>0.101661583151779</v>
      </c>
      <c r="AE1819" s="8" t="str">
        <f aca="false">IF($K1819="SEM CULTURA","SEM CULTURA",IF($AA1819&lt;=0,"DADO PENDENTE",IF($AD1819&gt;LIMITE_CRITICO,"INVIAVEL",IF($AD1819&gt;LIMITE_ATENCAO,"CRITICO",IF($AD1819&gt;LIMITE_CONFORTAVEL,"ATENCAO","OK")))))</f>
        <v>OK</v>
      </c>
      <c r="AF1819" s="8" t="str">
        <f aca="false">$B1819&amp;"|"&amp;TEXT($AD1819,"0.000000")</f>
        <v>32|0.101662</v>
      </c>
      <c r="AG1819" s="18" t="n">
        <f aca="false">IF($K1819="SEM CULTURA",0,$T1819*$H1819)</f>
        <v>3316.86716666667</v>
      </c>
      <c r="AH1819" s="18" t="n">
        <f aca="false">IF($K1819="SEM CULTURA",0,$V1819*$H1819)</f>
        <v>1956.41712</v>
      </c>
      <c r="AI1819" s="18" t="n">
        <f aca="false">IF($K1819="SEM CULTURA",0,$W1819*$H1819)</f>
        <v>1360.45004666667</v>
      </c>
      <c r="AJ1819" s="18" t="n">
        <f aca="false">IF($K1819="SEM CULTURA",0,$S1819*$H1819)</f>
        <v>4723.11</v>
      </c>
      <c r="AK1819" s="8" t="str">
        <f aca="false">$E1819&amp;"|"&amp;TEXT($AD1819,"0.000000")</f>
        <v>PV 124|0.101662</v>
      </c>
    </row>
    <row r="1820" customFormat="false" ht="15" hidden="false" customHeight="false" outlineLevel="0" collapsed="false">
      <c r="B1820" s="16" t="n">
        <v>33</v>
      </c>
      <c r="C1820" s="17" t="n">
        <f aca="false">DATA_INICIO_SAFRA+($B1820-1)*DIAS_POR_SEMANA</f>
        <v>46489</v>
      </c>
      <c r="D1820" s="17" t="n">
        <f aca="false">$C1820+DIAS_POR_SEMANA-1</f>
        <v>46495</v>
      </c>
      <c r="E1820" s="15" t="s">
        <v>286</v>
      </c>
      <c r="F1820" s="8" t="str">
        <f aca="false">IFERROR(INDEX(CADASTRO_PIVOS!$C$6:$C$41,MATCH($E1820,CADASTRO_PIVOS!$B$6:$B$41,0)),"?")</f>
        <v>RM07</v>
      </c>
      <c r="G1820" s="8" t="str">
        <f aca="false">IFERROR(INDEX(CADASTRO_PIVOS!$D$6:$D$41,MATCH($E1820,CADASTRO_PIVOS!$B$6:$B$41,0)),"?")</f>
        <v>TR07</v>
      </c>
      <c r="H1820" s="20" t="n">
        <f aca="false">IFERROR(INDEX(CADASTRO_PIVOS!$E$6:$E$41,MATCH($E1820,CADASTRO_PIVOS!$B$6:$B$41,0)),0)</f>
        <v>149.94</v>
      </c>
      <c r="I1820" s="16" t="n">
        <f aca="false">IFERROR(SUMIFS(ROTACAO_RDM!$B$6:$B$71,ROTACAO_RDM!$D$6:$D$71,$E1820,ROTACAO_RDM!$I$6:$I$71,"&lt;="&amp;$C1820+INT(DIAS_POR_SEMANA/2),ROTACAO_RDM!$J$6:$J$71,"&gt;="&amp;$C1820+INT(DIAS_POR_SEMANA/2)),0)</f>
        <v>45</v>
      </c>
      <c r="J1820" s="16" t="n">
        <f aca="false">IFERROR(MATCH($I1820,ROTACAO_RDM!$B$6:$B$71,0),0)</f>
        <v>45</v>
      </c>
      <c r="K1820" s="8" t="str">
        <f aca="false">IF($J1820=0,"SEM CULTURA",INDEX(ROTACAO_RDM!$F$6:$F$71,$J1820))</f>
        <v>ALGODAO</v>
      </c>
      <c r="L1820" s="8" t="str">
        <f aca="false">IF($J1820=0,"",INDEX(ROTACAO_RDM!$G$6:$G$71,$J1820))</f>
        <v>FM 911 GLTP</v>
      </c>
      <c r="M1820" s="17" t="n">
        <f aca="false">IF($J1820=0,"",INDEX(ROTACAO_RDM!$I$6:$I$71,$J1820))</f>
        <v>46433</v>
      </c>
      <c r="N1820" s="16" t="n">
        <f aca="false">IF($J1820=0,0,MAX(0,$C1820+INT(DIAS_POR_SEMANA/2)-INDEX(ROTACAO_RDM!$I$6:$I$71,$J1820)))</f>
        <v>59</v>
      </c>
      <c r="O1820" s="19" t="n">
        <f aca="false">IF($J1820=0,0,MIN(1,$N1820/MAX(1,INDEX(ROTACAO_RDM!$K$6:$K$71,$J1820))))</f>
        <v>0.327777777777778</v>
      </c>
      <c r="P1820" s="16" t="n">
        <f aca="false">IF($J1820=0,0,IFERROR(MATCH(INDEX(ROTACAO_RDM!$N$6:$N$71,$J1820),PARAMETROS_CULTURAS!$B$6:$B$28,0),0))</f>
        <v>4</v>
      </c>
      <c r="Q1820" s="8" t="str">
        <f aca="false">IF($P1820=0,"-",IF($O1820&lt;=INDEX(PARAMETROS_CULTURAS!$F$6:$F$28,$P1820),"INICIAL",IF($O1820&lt;=INDEX(PARAMETROS_CULTURAS!$F$6:$F$28,$P1820)+INDEX(PARAMETROS_CULTURAS!$G$6:$G$28,$P1820),"DESENVOLVIMENTO",IF($O1820&lt;=INDEX(PARAMETROS_CULTURAS!$F$6:$F$28,$P1820)+INDEX(PARAMETROS_CULTURAS!$G$6:$G$28,$P1820)+INDEX(PARAMETROS_CULTURAS!$H$6:$H$28,$P1820),"MEDIA","FINAL"))))</f>
        <v>DESENVOLVIMENTO</v>
      </c>
      <c r="R1820" s="24" t="n">
        <f aca="false">IF($P1820=0,0,IF($O1820&lt;=INDEX(PARAMETROS_CULTURAS!$F$6:$F$28,$P1820),INDEX(PARAMETROS_CULTURAS!$K$6:$K$28,$P1820),IF($O1820&lt;=INDEX(PARAMETROS_CULTURAS!$F$6:$F$28,$P1820)+INDEX(PARAMETROS_CULTURAS!$G$6:$G$28,$P1820),INDEX(PARAMETROS_CULTURAS!$K$6:$K$28,$P1820)+(INDEX(PARAMETROS_CULTURAS!$L$6:$L$28,$P1820)-INDEX(PARAMETROS_CULTURAS!$K$6:$K$28,$P1820))*($O1820-INDEX(PARAMETROS_CULTURAS!$F$6:$F$28,$P1820))/MAX(INDEX(PARAMETROS_CULTURAS!$G$6:$G$28,$P1820),0.0001),IF($O1820&lt;=INDEX(PARAMETROS_CULTURAS!$F$6:$F$28,$P1820)+INDEX(PARAMETROS_CULTURAS!$G$6:$G$28,$P1820)+INDEX(PARAMETROS_CULTURAS!$H$6:$H$28,$P1820),INDEX(PARAMETROS_CULTURAS!$L$6:$L$28,$P1820),INDEX(PARAMETROS_CULTURAS!$L$6:$L$28,$P1820)+(INDEX(PARAMETROS_CULTURAS!$M$6:$M$28,$P1820)-INDEX(PARAMETROS_CULTURAS!$L$6:$L$28,$P1820))*($O1820-INDEX(PARAMETROS_CULTURAS!$F$6:$F$28,$P1820)-INDEX(PARAMETROS_CULTURAS!$G$6:$G$28,$P1820)-INDEX(PARAMETROS_CULTURAS!$H$6:$H$28,$P1820))/MAX(INDEX(PARAMETROS_CULTURAS!$I$6:$I$28,$P1820),0.0001)))))</f>
        <v>0.817489711934156</v>
      </c>
      <c r="S1820" s="18" t="n">
        <f aca="false">IFERROR(INDEX(SEMANAS!$H$6:$H$71,MATCH($B1820,SEMANAS!$B$6:$B$71,0)),0)</f>
        <v>31.5</v>
      </c>
      <c r="T1820" s="18" t="n">
        <f aca="false">$R1820*$S1820</f>
        <v>25.7509259259259</v>
      </c>
      <c r="U1820" s="18" t="n">
        <f aca="false">IFERROR(INDEX(SEMANAS!$I$6:$I$71,MATCH($B1820,SEMANAS!$B$6:$B$71,0)),0)</f>
        <v>16.31</v>
      </c>
      <c r="V1820" s="18" t="n">
        <f aca="false">IFERROR(INDEX(SEMANAS!$J$6:$J$71,MATCH($B1820,SEMANAS!$B$6:$B$71,0)),0)</f>
        <v>13.048</v>
      </c>
      <c r="W1820" s="18" t="n">
        <f aca="false">MAX(0,$T1820-$V1820)</f>
        <v>12.7029259259259</v>
      </c>
      <c r="X1820" s="19" t="n">
        <f aca="false">IFERROR(INDEX(CADASTRO_PIVOS!$K$6:$K$41,MATCH($E1820,CADASTRO_PIVOS!$B$6:$B$41,0)),EFICIENCIA_PADRAO)</f>
        <v>0.85</v>
      </c>
      <c r="Y1820" s="18" t="n">
        <f aca="false">IF($X1820&lt;=0,0,$W1820/$X1820)</f>
        <v>14.9446187363834</v>
      </c>
      <c r="Z1820" s="16" t="n">
        <f aca="false">$Y1820*$H1820*MM_PARA_M3_HA</f>
        <v>22407.9613333333</v>
      </c>
      <c r="AA1820" s="18" t="n">
        <f aca="false">IFERROR(INDEX(CADASTRO_PIVOS!$I$6:$I$41,MATCH($E1820,CADASTRO_PIVOS!$B$6:$B$41,0)),0)</f>
        <v>1071</v>
      </c>
      <c r="AB1820" s="18" t="n">
        <f aca="false">IF($Z1820&lt;=0,0,$Z1820/$AA1820)</f>
        <v>20.9224662309368</v>
      </c>
      <c r="AC1820" s="16" t="n">
        <f aca="false">IFERROR(INDEX(SEMANAS!$K$6:$K$71,MATCH($B1820,SEMANAS!$B$6:$B$71,0)),0)</f>
        <v>147</v>
      </c>
      <c r="AD1820" s="19" t="n">
        <f aca="false">IF($AC1820&lt;=0,0,$AB1820/$AC1820)</f>
        <v>0.142329702251271</v>
      </c>
      <c r="AE1820" s="8" t="str">
        <f aca="false">IF($K1820="SEM CULTURA","SEM CULTURA",IF($AA1820&lt;=0,"DADO PENDENTE",IF($AD1820&gt;LIMITE_CRITICO,"INVIAVEL",IF($AD1820&gt;LIMITE_ATENCAO,"CRITICO",IF($AD1820&gt;LIMITE_CONFORTAVEL,"ATENCAO","OK")))))</f>
        <v>OK</v>
      </c>
      <c r="AF1820" s="8" t="str">
        <f aca="false">$B1820&amp;"|"&amp;TEXT($AD1820,"0.000000")</f>
        <v>33|0.142330</v>
      </c>
      <c r="AG1820" s="18" t="n">
        <f aca="false">IF($K1820="SEM CULTURA",0,$T1820*$H1820)</f>
        <v>3861.09383333333</v>
      </c>
      <c r="AH1820" s="18" t="n">
        <f aca="false">IF($K1820="SEM CULTURA",0,$V1820*$H1820)</f>
        <v>1956.41712</v>
      </c>
      <c r="AI1820" s="18" t="n">
        <f aca="false">IF($K1820="SEM CULTURA",0,$W1820*$H1820)</f>
        <v>1904.67671333333</v>
      </c>
      <c r="AJ1820" s="18" t="n">
        <f aca="false">IF($K1820="SEM CULTURA",0,$S1820*$H1820)</f>
        <v>4723.11</v>
      </c>
      <c r="AK1820" s="8" t="str">
        <f aca="false">$E1820&amp;"|"&amp;TEXT($AD1820,"0.000000")</f>
        <v>PV 124|0.142330</v>
      </c>
    </row>
    <row r="1821" customFormat="false" ht="15" hidden="false" customHeight="false" outlineLevel="0" collapsed="false">
      <c r="B1821" s="16" t="n">
        <v>34</v>
      </c>
      <c r="C1821" s="17" t="n">
        <f aca="false">DATA_INICIO_SAFRA+($B1821-1)*DIAS_POR_SEMANA</f>
        <v>46496</v>
      </c>
      <c r="D1821" s="17" t="n">
        <f aca="false">$C1821+DIAS_POR_SEMANA-1</f>
        <v>46502</v>
      </c>
      <c r="E1821" s="15" t="s">
        <v>286</v>
      </c>
      <c r="F1821" s="8" t="str">
        <f aca="false">IFERROR(INDEX(CADASTRO_PIVOS!$C$6:$C$41,MATCH($E1821,CADASTRO_PIVOS!$B$6:$B$41,0)),"?")</f>
        <v>RM07</v>
      </c>
      <c r="G1821" s="8" t="str">
        <f aca="false">IFERROR(INDEX(CADASTRO_PIVOS!$D$6:$D$41,MATCH($E1821,CADASTRO_PIVOS!$B$6:$B$41,0)),"?")</f>
        <v>TR07</v>
      </c>
      <c r="H1821" s="20" t="n">
        <f aca="false">IFERROR(INDEX(CADASTRO_PIVOS!$E$6:$E$41,MATCH($E1821,CADASTRO_PIVOS!$B$6:$B$41,0)),0)</f>
        <v>149.94</v>
      </c>
      <c r="I1821" s="16" t="n">
        <f aca="false">IFERROR(SUMIFS(ROTACAO_RDM!$B$6:$B$71,ROTACAO_RDM!$D$6:$D$71,$E1821,ROTACAO_RDM!$I$6:$I$71,"&lt;="&amp;$C1821+INT(DIAS_POR_SEMANA/2),ROTACAO_RDM!$J$6:$J$71,"&gt;="&amp;$C1821+INT(DIAS_POR_SEMANA/2)),0)</f>
        <v>45</v>
      </c>
      <c r="J1821" s="16" t="n">
        <f aca="false">IFERROR(MATCH($I1821,ROTACAO_RDM!$B$6:$B$71,0),0)</f>
        <v>45</v>
      </c>
      <c r="K1821" s="8" t="str">
        <f aca="false">IF($J1821=0,"SEM CULTURA",INDEX(ROTACAO_RDM!$F$6:$F$71,$J1821))</f>
        <v>ALGODAO</v>
      </c>
      <c r="L1821" s="8" t="str">
        <f aca="false">IF($J1821=0,"",INDEX(ROTACAO_RDM!$G$6:$G$71,$J1821))</f>
        <v>FM 911 GLTP</v>
      </c>
      <c r="M1821" s="17" t="n">
        <f aca="false">IF($J1821=0,"",INDEX(ROTACAO_RDM!$I$6:$I$71,$J1821))</f>
        <v>46433</v>
      </c>
      <c r="N1821" s="16" t="n">
        <f aca="false">IF($J1821=0,0,MAX(0,$C1821+INT(DIAS_POR_SEMANA/2)-INDEX(ROTACAO_RDM!$I$6:$I$71,$J1821)))</f>
        <v>66</v>
      </c>
      <c r="O1821" s="19" t="n">
        <f aca="false">IF($J1821=0,0,MIN(1,$N1821/MAX(1,INDEX(ROTACAO_RDM!$K$6:$K$71,$J1821))))</f>
        <v>0.366666666666667</v>
      </c>
      <c r="P1821" s="16" t="n">
        <f aca="false">IF($J1821=0,0,IFERROR(MATCH(INDEX(ROTACAO_RDM!$N$6:$N$71,$J1821),PARAMETROS_CULTURAS!$B$6:$B$28,0),0))</f>
        <v>4</v>
      </c>
      <c r="Q1821" s="8" t="str">
        <f aca="false">IF($P1821=0,"-",IF($O1821&lt;=INDEX(PARAMETROS_CULTURAS!$F$6:$F$28,$P1821),"INICIAL",IF($O1821&lt;=INDEX(PARAMETROS_CULTURAS!$F$6:$F$28,$P1821)+INDEX(PARAMETROS_CULTURAS!$G$6:$G$28,$P1821),"DESENVOLVIMENTO",IF($O1821&lt;=INDEX(PARAMETROS_CULTURAS!$F$6:$F$28,$P1821)+INDEX(PARAMETROS_CULTURAS!$G$6:$G$28,$P1821)+INDEX(PARAMETROS_CULTURAS!$H$6:$H$28,$P1821),"MEDIA","FINAL"))))</f>
        <v>DESENVOLVIMENTO</v>
      </c>
      <c r="R1821" s="24" t="n">
        <f aca="false">IF($P1821=0,0,IF($O1821&lt;=INDEX(PARAMETROS_CULTURAS!$F$6:$F$28,$P1821),INDEX(PARAMETROS_CULTURAS!$K$6:$K$28,$P1821),IF($O1821&lt;=INDEX(PARAMETROS_CULTURAS!$F$6:$F$28,$P1821)+INDEX(PARAMETROS_CULTURAS!$G$6:$G$28,$P1821),INDEX(PARAMETROS_CULTURAS!$K$6:$K$28,$P1821)+(INDEX(PARAMETROS_CULTURAS!$L$6:$L$28,$P1821)-INDEX(PARAMETROS_CULTURAS!$K$6:$K$28,$P1821))*($O1821-INDEX(PARAMETROS_CULTURAS!$F$6:$F$28,$P1821))/MAX(INDEX(PARAMETROS_CULTURAS!$G$6:$G$28,$P1821),0.0001),IF($O1821&lt;=INDEX(PARAMETROS_CULTURAS!$F$6:$F$28,$P1821)+INDEX(PARAMETROS_CULTURAS!$G$6:$G$28,$P1821)+INDEX(PARAMETROS_CULTURAS!$H$6:$H$28,$P1821),INDEX(PARAMETROS_CULTURAS!$L$6:$L$28,$P1821),INDEX(PARAMETROS_CULTURAS!$L$6:$L$28,$P1821)+(INDEX(PARAMETROS_CULTURAS!$M$6:$M$28,$P1821)-INDEX(PARAMETROS_CULTURAS!$L$6:$L$28,$P1821))*($O1821-INDEX(PARAMETROS_CULTURAS!$F$6:$F$28,$P1821)-INDEX(PARAMETROS_CULTURAS!$G$6:$G$28,$P1821)-INDEX(PARAMETROS_CULTURAS!$H$6:$H$28,$P1821))/MAX(INDEX(PARAMETROS_CULTURAS!$I$6:$I$28,$P1821),0.0001)))))</f>
        <v>0.932716049382716</v>
      </c>
      <c r="S1821" s="18" t="n">
        <f aca="false">IFERROR(INDEX(SEMANAS!$H$6:$H$71,MATCH($B1821,SEMANAS!$B$6:$B$71,0)),0)</f>
        <v>31.5</v>
      </c>
      <c r="T1821" s="18" t="n">
        <f aca="false">$R1821*$S1821</f>
        <v>29.3805555555556</v>
      </c>
      <c r="U1821" s="18" t="n">
        <f aca="false">IFERROR(INDEX(SEMANAS!$I$6:$I$71,MATCH($B1821,SEMANAS!$B$6:$B$71,0)),0)</f>
        <v>16.31</v>
      </c>
      <c r="V1821" s="18" t="n">
        <f aca="false">IFERROR(INDEX(SEMANAS!$J$6:$J$71,MATCH($B1821,SEMANAS!$B$6:$B$71,0)),0)</f>
        <v>13.048</v>
      </c>
      <c r="W1821" s="18" t="n">
        <f aca="false">MAX(0,$T1821-$V1821)</f>
        <v>16.3325555555556</v>
      </c>
      <c r="X1821" s="19" t="n">
        <f aca="false">IFERROR(INDEX(CADASTRO_PIVOS!$K$6:$K$41,MATCH($E1821,CADASTRO_PIVOS!$B$6:$B$41,0)),EFICIENCIA_PADRAO)</f>
        <v>0.85</v>
      </c>
      <c r="Y1821" s="18" t="n">
        <f aca="false">IF($X1821&lt;=0,0,$W1821/$X1821)</f>
        <v>19.2147712418301</v>
      </c>
      <c r="Z1821" s="16" t="n">
        <f aca="false">$Y1821*$H1821*MM_PARA_M3_HA</f>
        <v>28810.628</v>
      </c>
      <c r="AA1821" s="18" t="n">
        <f aca="false">IFERROR(INDEX(CADASTRO_PIVOS!$I$6:$I$41,MATCH($E1821,CADASTRO_PIVOS!$B$6:$B$41,0)),0)</f>
        <v>1071</v>
      </c>
      <c r="AB1821" s="18" t="n">
        <f aca="false">IF($Z1821&lt;=0,0,$Z1821/$AA1821)</f>
        <v>26.9006797385621</v>
      </c>
      <c r="AC1821" s="16" t="n">
        <f aca="false">IFERROR(INDEX(SEMANAS!$K$6:$K$71,MATCH($B1821,SEMANAS!$B$6:$B$71,0)),0)</f>
        <v>147</v>
      </c>
      <c r="AD1821" s="19" t="n">
        <f aca="false">IF($AC1821&lt;=0,0,$AB1821/$AC1821)</f>
        <v>0.182997821350762</v>
      </c>
      <c r="AE1821" s="8" t="str">
        <f aca="false">IF($K1821="SEM CULTURA","SEM CULTURA",IF($AA1821&lt;=0,"DADO PENDENTE",IF($AD1821&gt;LIMITE_CRITICO,"INVIAVEL",IF($AD1821&gt;LIMITE_ATENCAO,"CRITICO",IF($AD1821&gt;LIMITE_CONFORTAVEL,"ATENCAO","OK")))))</f>
        <v>OK</v>
      </c>
      <c r="AF1821" s="8" t="str">
        <f aca="false">$B1821&amp;"|"&amp;TEXT($AD1821,"0.000000")</f>
        <v>34|0.182998</v>
      </c>
      <c r="AG1821" s="18" t="n">
        <f aca="false">IF($K1821="SEM CULTURA",0,$T1821*$H1821)</f>
        <v>4405.3205</v>
      </c>
      <c r="AH1821" s="18" t="n">
        <f aca="false">IF($K1821="SEM CULTURA",0,$V1821*$H1821)</f>
        <v>1956.41712</v>
      </c>
      <c r="AI1821" s="18" t="n">
        <f aca="false">IF($K1821="SEM CULTURA",0,$W1821*$H1821)</f>
        <v>2448.90338</v>
      </c>
      <c r="AJ1821" s="18" t="n">
        <f aca="false">IF($K1821="SEM CULTURA",0,$S1821*$H1821)</f>
        <v>4723.11</v>
      </c>
      <c r="AK1821" s="8" t="str">
        <f aca="false">$E1821&amp;"|"&amp;TEXT($AD1821,"0.000000")</f>
        <v>PV 124|0.182998</v>
      </c>
    </row>
    <row r="1822" customFormat="false" ht="15" hidden="false" customHeight="false" outlineLevel="0" collapsed="false">
      <c r="B1822" s="16" t="n">
        <v>35</v>
      </c>
      <c r="C1822" s="17" t="n">
        <f aca="false">DATA_INICIO_SAFRA+($B1822-1)*DIAS_POR_SEMANA</f>
        <v>46503</v>
      </c>
      <c r="D1822" s="17" t="n">
        <f aca="false">$C1822+DIAS_POR_SEMANA-1</f>
        <v>46509</v>
      </c>
      <c r="E1822" s="15" t="s">
        <v>286</v>
      </c>
      <c r="F1822" s="8" t="str">
        <f aca="false">IFERROR(INDEX(CADASTRO_PIVOS!$C$6:$C$41,MATCH($E1822,CADASTRO_PIVOS!$B$6:$B$41,0)),"?")</f>
        <v>RM07</v>
      </c>
      <c r="G1822" s="8" t="str">
        <f aca="false">IFERROR(INDEX(CADASTRO_PIVOS!$D$6:$D$41,MATCH($E1822,CADASTRO_PIVOS!$B$6:$B$41,0)),"?")</f>
        <v>TR07</v>
      </c>
      <c r="H1822" s="20" t="n">
        <f aca="false">IFERROR(INDEX(CADASTRO_PIVOS!$E$6:$E$41,MATCH($E1822,CADASTRO_PIVOS!$B$6:$B$41,0)),0)</f>
        <v>149.94</v>
      </c>
      <c r="I1822" s="16" t="n">
        <f aca="false">IFERROR(SUMIFS(ROTACAO_RDM!$B$6:$B$71,ROTACAO_RDM!$D$6:$D$71,$E1822,ROTACAO_RDM!$I$6:$I$71,"&lt;="&amp;$C1822+INT(DIAS_POR_SEMANA/2),ROTACAO_RDM!$J$6:$J$71,"&gt;="&amp;$C1822+INT(DIAS_POR_SEMANA/2)),0)</f>
        <v>45</v>
      </c>
      <c r="J1822" s="16" t="n">
        <f aca="false">IFERROR(MATCH($I1822,ROTACAO_RDM!$B$6:$B$71,0),0)</f>
        <v>45</v>
      </c>
      <c r="K1822" s="8" t="str">
        <f aca="false">IF($J1822=0,"SEM CULTURA",INDEX(ROTACAO_RDM!$F$6:$F$71,$J1822))</f>
        <v>ALGODAO</v>
      </c>
      <c r="L1822" s="8" t="str">
        <f aca="false">IF($J1822=0,"",INDEX(ROTACAO_RDM!$G$6:$G$71,$J1822))</f>
        <v>FM 911 GLTP</v>
      </c>
      <c r="M1822" s="17" t="n">
        <f aca="false">IF($J1822=0,"",INDEX(ROTACAO_RDM!$I$6:$I$71,$J1822))</f>
        <v>46433</v>
      </c>
      <c r="N1822" s="16" t="n">
        <f aca="false">IF($J1822=0,0,MAX(0,$C1822+INT(DIAS_POR_SEMANA/2)-INDEX(ROTACAO_RDM!$I$6:$I$71,$J1822)))</f>
        <v>73</v>
      </c>
      <c r="O1822" s="19" t="n">
        <f aca="false">IF($J1822=0,0,MIN(1,$N1822/MAX(1,INDEX(ROTACAO_RDM!$K$6:$K$71,$J1822))))</f>
        <v>0.405555555555556</v>
      </c>
      <c r="P1822" s="16" t="n">
        <f aca="false">IF($J1822=0,0,IFERROR(MATCH(INDEX(ROTACAO_RDM!$N$6:$N$71,$J1822),PARAMETROS_CULTURAS!$B$6:$B$28,0),0))</f>
        <v>4</v>
      </c>
      <c r="Q1822" s="8" t="str">
        <f aca="false">IF($P1822=0,"-",IF($O1822&lt;=INDEX(PARAMETROS_CULTURAS!$F$6:$F$28,$P1822),"INICIAL",IF($O1822&lt;=INDEX(PARAMETROS_CULTURAS!$F$6:$F$28,$P1822)+INDEX(PARAMETROS_CULTURAS!$G$6:$G$28,$P1822),"DESENVOLVIMENTO",IF($O1822&lt;=INDEX(PARAMETROS_CULTURAS!$F$6:$F$28,$P1822)+INDEX(PARAMETROS_CULTURAS!$G$6:$G$28,$P1822)+INDEX(PARAMETROS_CULTURAS!$H$6:$H$28,$P1822),"MEDIA","FINAL"))))</f>
        <v>DESENVOLVIMENTO</v>
      </c>
      <c r="R1822" s="24" t="n">
        <f aca="false">IF($P1822=0,0,IF($O1822&lt;=INDEX(PARAMETROS_CULTURAS!$F$6:$F$28,$P1822),INDEX(PARAMETROS_CULTURAS!$K$6:$K$28,$P1822),IF($O1822&lt;=INDEX(PARAMETROS_CULTURAS!$F$6:$F$28,$P1822)+INDEX(PARAMETROS_CULTURAS!$G$6:$G$28,$P1822),INDEX(PARAMETROS_CULTURAS!$K$6:$K$28,$P1822)+(INDEX(PARAMETROS_CULTURAS!$L$6:$L$28,$P1822)-INDEX(PARAMETROS_CULTURAS!$K$6:$K$28,$P1822))*($O1822-INDEX(PARAMETROS_CULTURAS!$F$6:$F$28,$P1822))/MAX(INDEX(PARAMETROS_CULTURAS!$G$6:$G$28,$P1822),0.0001),IF($O1822&lt;=INDEX(PARAMETROS_CULTURAS!$F$6:$F$28,$P1822)+INDEX(PARAMETROS_CULTURAS!$G$6:$G$28,$P1822)+INDEX(PARAMETROS_CULTURAS!$H$6:$H$28,$P1822),INDEX(PARAMETROS_CULTURAS!$L$6:$L$28,$P1822),INDEX(PARAMETROS_CULTURAS!$L$6:$L$28,$P1822)+(INDEX(PARAMETROS_CULTURAS!$M$6:$M$28,$P1822)-INDEX(PARAMETROS_CULTURAS!$L$6:$L$28,$P1822))*($O1822-INDEX(PARAMETROS_CULTURAS!$F$6:$F$28,$P1822)-INDEX(PARAMETROS_CULTURAS!$G$6:$G$28,$P1822)-INDEX(PARAMETROS_CULTURAS!$H$6:$H$28,$P1822))/MAX(INDEX(PARAMETROS_CULTURAS!$I$6:$I$28,$P1822),0.0001)))))</f>
        <v>1.04794238683128</v>
      </c>
      <c r="S1822" s="18" t="n">
        <f aca="false">IFERROR(INDEX(SEMANAS!$H$6:$H$71,MATCH($B1822,SEMANAS!$B$6:$B$71,0)),0)</f>
        <v>30.9</v>
      </c>
      <c r="T1822" s="18" t="n">
        <f aca="false">$R1822*$S1822</f>
        <v>32.3814197530864</v>
      </c>
      <c r="U1822" s="18" t="n">
        <f aca="false">IFERROR(INDEX(SEMANAS!$I$6:$I$71,MATCH($B1822,SEMANAS!$B$6:$B$71,0)),0)</f>
        <v>12.61</v>
      </c>
      <c r="V1822" s="18" t="n">
        <f aca="false">IFERROR(INDEX(SEMANAS!$J$6:$J$71,MATCH($B1822,SEMANAS!$B$6:$B$71,0)),0)</f>
        <v>10.088</v>
      </c>
      <c r="W1822" s="18" t="n">
        <f aca="false">MAX(0,$T1822-$V1822)</f>
        <v>22.2934197530864</v>
      </c>
      <c r="X1822" s="19" t="n">
        <f aca="false">IFERROR(INDEX(CADASTRO_PIVOS!$K$6:$K$41,MATCH($E1822,CADASTRO_PIVOS!$B$6:$B$41,0)),EFICIENCIA_PADRAO)</f>
        <v>0.85</v>
      </c>
      <c r="Y1822" s="18" t="n">
        <f aca="false">IF($X1822&lt;=0,0,$W1822/$X1822)</f>
        <v>26.2275526506899</v>
      </c>
      <c r="Z1822" s="16" t="n">
        <f aca="false">$Y1822*$H1822*MM_PARA_M3_HA</f>
        <v>39325.5924444444</v>
      </c>
      <c r="AA1822" s="18" t="n">
        <f aca="false">IFERROR(INDEX(CADASTRO_PIVOS!$I$6:$I$41,MATCH($E1822,CADASTRO_PIVOS!$B$6:$B$41,0)),0)</f>
        <v>1071</v>
      </c>
      <c r="AB1822" s="18" t="n">
        <f aca="false">IF($Z1822&lt;=0,0,$Z1822/$AA1822)</f>
        <v>36.7185737109658</v>
      </c>
      <c r="AC1822" s="16" t="n">
        <f aca="false">IFERROR(INDEX(SEMANAS!$K$6:$K$71,MATCH($B1822,SEMANAS!$B$6:$B$71,0)),0)</f>
        <v>147</v>
      </c>
      <c r="AD1822" s="19" t="n">
        <f aca="false">IF($AC1822&lt;=0,0,$AB1822/$AC1822)</f>
        <v>0.249786215720856</v>
      </c>
      <c r="AE1822" s="8" t="str">
        <f aca="false">IF($K1822="SEM CULTURA","SEM CULTURA",IF($AA1822&lt;=0,"DADO PENDENTE",IF($AD1822&gt;LIMITE_CRITICO,"INVIAVEL",IF($AD1822&gt;LIMITE_ATENCAO,"CRITICO",IF($AD1822&gt;LIMITE_CONFORTAVEL,"ATENCAO","OK")))))</f>
        <v>OK</v>
      </c>
      <c r="AF1822" s="8" t="str">
        <f aca="false">$B1822&amp;"|"&amp;TEXT($AD1822,"0.000000")</f>
        <v>35|0.249786</v>
      </c>
      <c r="AG1822" s="18" t="n">
        <f aca="false">IF($K1822="SEM CULTURA",0,$T1822*$H1822)</f>
        <v>4855.27007777778</v>
      </c>
      <c r="AH1822" s="18" t="n">
        <f aca="false">IF($K1822="SEM CULTURA",0,$V1822*$H1822)</f>
        <v>1512.59472</v>
      </c>
      <c r="AI1822" s="18" t="n">
        <f aca="false">IF($K1822="SEM CULTURA",0,$W1822*$H1822)</f>
        <v>3342.67535777778</v>
      </c>
      <c r="AJ1822" s="18" t="n">
        <f aca="false">IF($K1822="SEM CULTURA",0,$S1822*$H1822)</f>
        <v>4633.146</v>
      </c>
      <c r="AK1822" s="8" t="str">
        <f aca="false">$E1822&amp;"|"&amp;TEXT($AD1822,"0.000000")</f>
        <v>PV 124|0.249786</v>
      </c>
    </row>
    <row r="1823" customFormat="false" ht="15" hidden="false" customHeight="false" outlineLevel="0" collapsed="false">
      <c r="B1823" s="16" t="n">
        <v>36</v>
      </c>
      <c r="C1823" s="17" t="n">
        <f aca="false">DATA_INICIO_SAFRA+($B1823-1)*DIAS_POR_SEMANA</f>
        <v>46510</v>
      </c>
      <c r="D1823" s="17" t="n">
        <f aca="false">$C1823+DIAS_POR_SEMANA-1</f>
        <v>46516</v>
      </c>
      <c r="E1823" s="15" t="s">
        <v>286</v>
      </c>
      <c r="F1823" s="8" t="str">
        <f aca="false">IFERROR(INDEX(CADASTRO_PIVOS!$C$6:$C$41,MATCH($E1823,CADASTRO_PIVOS!$B$6:$B$41,0)),"?")</f>
        <v>RM07</v>
      </c>
      <c r="G1823" s="8" t="str">
        <f aca="false">IFERROR(INDEX(CADASTRO_PIVOS!$D$6:$D$41,MATCH($E1823,CADASTRO_PIVOS!$B$6:$B$41,0)),"?")</f>
        <v>TR07</v>
      </c>
      <c r="H1823" s="20" t="n">
        <f aca="false">IFERROR(INDEX(CADASTRO_PIVOS!$E$6:$E$41,MATCH($E1823,CADASTRO_PIVOS!$B$6:$B$41,0)),0)</f>
        <v>149.94</v>
      </c>
      <c r="I1823" s="16" t="n">
        <f aca="false">IFERROR(SUMIFS(ROTACAO_RDM!$B$6:$B$71,ROTACAO_RDM!$D$6:$D$71,$E1823,ROTACAO_RDM!$I$6:$I$71,"&lt;="&amp;$C1823+INT(DIAS_POR_SEMANA/2),ROTACAO_RDM!$J$6:$J$71,"&gt;="&amp;$C1823+INT(DIAS_POR_SEMANA/2)),0)</f>
        <v>45</v>
      </c>
      <c r="J1823" s="16" t="n">
        <f aca="false">IFERROR(MATCH($I1823,ROTACAO_RDM!$B$6:$B$71,0),0)</f>
        <v>45</v>
      </c>
      <c r="K1823" s="8" t="str">
        <f aca="false">IF($J1823=0,"SEM CULTURA",INDEX(ROTACAO_RDM!$F$6:$F$71,$J1823))</f>
        <v>ALGODAO</v>
      </c>
      <c r="L1823" s="8" t="str">
        <f aca="false">IF($J1823=0,"",INDEX(ROTACAO_RDM!$G$6:$G$71,$J1823))</f>
        <v>FM 911 GLTP</v>
      </c>
      <c r="M1823" s="17" t="n">
        <f aca="false">IF($J1823=0,"",INDEX(ROTACAO_RDM!$I$6:$I$71,$J1823))</f>
        <v>46433</v>
      </c>
      <c r="N1823" s="16" t="n">
        <f aca="false">IF($J1823=0,0,MAX(0,$C1823+INT(DIAS_POR_SEMANA/2)-INDEX(ROTACAO_RDM!$I$6:$I$71,$J1823)))</f>
        <v>80</v>
      </c>
      <c r="O1823" s="19" t="n">
        <f aca="false">IF($J1823=0,0,MIN(1,$N1823/MAX(1,INDEX(ROTACAO_RDM!$K$6:$K$71,$J1823))))</f>
        <v>0.444444444444444</v>
      </c>
      <c r="P1823" s="16" t="n">
        <f aca="false">IF($J1823=0,0,IFERROR(MATCH(INDEX(ROTACAO_RDM!$N$6:$N$71,$J1823),PARAMETROS_CULTURAS!$B$6:$B$28,0),0))</f>
        <v>4</v>
      </c>
      <c r="Q1823" s="8" t="str">
        <f aca="false">IF($P1823=0,"-",IF($O1823&lt;=INDEX(PARAMETROS_CULTURAS!$F$6:$F$28,$P1823),"INICIAL",IF($O1823&lt;=INDEX(PARAMETROS_CULTURAS!$F$6:$F$28,$P1823)+INDEX(PARAMETROS_CULTURAS!$G$6:$G$28,$P1823),"DESENVOLVIMENTO",IF($O1823&lt;=INDEX(PARAMETROS_CULTURAS!$F$6:$F$28,$P1823)+INDEX(PARAMETROS_CULTURAS!$G$6:$G$28,$P1823)+INDEX(PARAMETROS_CULTURAS!$H$6:$H$28,$P1823),"MEDIA","FINAL"))))</f>
        <v>MEDIA</v>
      </c>
      <c r="R1823" s="24" t="n">
        <f aca="false">IF($P1823=0,0,IF($O1823&lt;=INDEX(PARAMETROS_CULTURAS!$F$6:$F$28,$P1823),INDEX(PARAMETROS_CULTURAS!$K$6:$K$28,$P1823),IF($O1823&lt;=INDEX(PARAMETROS_CULTURAS!$F$6:$F$28,$P1823)+INDEX(PARAMETROS_CULTURAS!$G$6:$G$28,$P1823),INDEX(PARAMETROS_CULTURAS!$K$6:$K$28,$P1823)+(INDEX(PARAMETROS_CULTURAS!$L$6:$L$28,$P1823)-INDEX(PARAMETROS_CULTURAS!$K$6:$K$28,$P1823))*($O1823-INDEX(PARAMETROS_CULTURAS!$F$6:$F$28,$P1823))/MAX(INDEX(PARAMETROS_CULTURAS!$G$6:$G$28,$P1823),0.0001),IF($O1823&lt;=INDEX(PARAMETROS_CULTURAS!$F$6:$F$28,$P1823)+INDEX(PARAMETROS_CULTURAS!$G$6:$G$28,$P1823)+INDEX(PARAMETROS_CULTURAS!$H$6:$H$28,$P1823),INDEX(PARAMETROS_CULTURAS!$L$6:$L$28,$P1823),INDEX(PARAMETROS_CULTURAS!$L$6:$L$28,$P1823)+(INDEX(PARAMETROS_CULTURAS!$M$6:$M$28,$P1823)-INDEX(PARAMETROS_CULTURAS!$L$6:$L$28,$P1823))*($O1823-INDEX(PARAMETROS_CULTURAS!$F$6:$F$28,$P1823)-INDEX(PARAMETROS_CULTURAS!$G$6:$G$28,$P1823)-INDEX(PARAMETROS_CULTURAS!$H$6:$H$28,$P1823))/MAX(INDEX(PARAMETROS_CULTURAS!$I$6:$I$28,$P1823),0.0001)))))</f>
        <v>1.15</v>
      </c>
      <c r="S1823" s="18" t="n">
        <f aca="false">IFERROR(INDEX(SEMANAS!$H$6:$H$71,MATCH($B1823,SEMANAS!$B$6:$B$71,0)),0)</f>
        <v>29.4</v>
      </c>
      <c r="T1823" s="18" t="n">
        <f aca="false">$R1823*$S1823</f>
        <v>33.81</v>
      </c>
      <c r="U1823" s="18" t="n">
        <f aca="false">IFERROR(INDEX(SEMANAS!$I$6:$I$71,MATCH($B1823,SEMANAS!$B$6:$B$71,0)),0)</f>
        <v>3.36</v>
      </c>
      <c r="V1823" s="18" t="n">
        <f aca="false">IFERROR(INDEX(SEMANAS!$J$6:$J$71,MATCH($B1823,SEMANAS!$B$6:$B$71,0)),0)</f>
        <v>2.688</v>
      </c>
      <c r="W1823" s="18" t="n">
        <f aca="false">MAX(0,$T1823-$V1823)</f>
        <v>31.122</v>
      </c>
      <c r="X1823" s="19" t="n">
        <f aca="false">IFERROR(INDEX(CADASTRO_PIVOS!$K$6:$K$41,MATCH($E1823,CADASTRO_PIVOS!$B$6:$B$41,0)),EFICIENCIA_PADRAO)</f>
        <v>0.85</v>
      </c>
      <c r="Y1823" s="18" t="n">
        <f aca="false">IF($X1823&lt;=0,0,$W1823/$X1823)</f>
        <v>36.6141176470588</v>
      </c>
      <c r="Z1823" s="16" t="n">
        <f aca="false">$Y1823*$H1823*MM_PARA_M3_HA</f>
        <v>54899.208</v>
      </c>
      <c r="AA1823" s="18" t="n">
        <f aca="false">IFERROR(INDEX(CADASTRO_PIVOS!$I$6:$I$41,MATCH($E1823,CADASTRO_PIVOS!$B$6:$B$41,0)),0)</f>
        <v>1071</v>
      </c>
      <c r="AB1823" s="18" t="n">
        <f aca="false">IF($Z1823&lt;=0,0,$Z1823/$AA1823)</f>
        <v>51.2597647058824</v>
      </c>
      <c r="AC1823" s="16" t="n">
        <f aca="false">IFERROR(INDEX(SEMANAS!$K$6:$K$71,MATCH($B1823,SEMANAS!$B$6:$B$71,0)),0)</f>
        <v>147</v>
      </c>
      <c r="AD1823" s="19" t="n">
        <f aca="false">IF($AC1823&lt;=0,0,$AB1823/$AC1823)</f>
        <v>0.348705882352941</v>
      </c>
      <c r="AE1823" s="8" t="str">
        <f aca="false">IF($K1823="SEM CULTURA","SEM CULTURA",IF($AA1823&lt;=0,"DADO PENDENTE",IF($AD1823&gt;LIMITE_CRITICO,"INVIAVEL",IF($AD1823&gt;LIMITE_ATENCAO,"CRITICO",IF($AD1823&gt;LIMITE_CONFORTAVEL,"ATENCAO","OK")))))</f>
        <v>OK</v>
      </c>
      <c r="AF1823" s="8" t="str">
        <f aca="false">$B1823&amp;"|"&amp;TEXT($AD1823,"0.000000")</f>
        <v>36|0.348706</v>
      </c>
      <c r="AG1823" s="18" t="n">
        <f aca="false">IF($K1823="SEM CULTURA",0,$T1823*$H1823)</f>
        <v>5069.4714</v>
      </c>
      <c r="AH1823" s="18" t="n">
        <f aca="false">IF($K1823="SEM CULTURA",0,$V1823*$H1823)</f>
        <v>403.03872</v>
      </c>
      <c r="AI1823" s="18" t="n">
        <f aca="false">IF($K1823="SEM CULTURA",0,$W1823*$H1823)</f>
        <v>4666.43268</v>
      </c>
      <c r="AJ1823" s="18" t="n">
        <f aca="false">IF($K1823="SEM CULTURA",0,$S1823*$H1823)</f>
        <v>4408.236</v>
      </c>
      <c r="AK1823" s="8" t="str">
        <f aca="false">$E1823&amp;"|"&amp;TEXT($AD1823,"0.000000")</f>
        <v>PV 124|0.348706</v>
      </c>
    </row>
    <row r="1824" customFormat="false" ht="15" hidden="false" customHeight="false" outlineLevel="0" collapsed="false">
      <c r="B1824" s="16" t="n">
        <v>37</v>
      </c>
      <c r="C1824" s="17" t="n">
        <f aca="false">DATA_INICIO_SAFRA+($B1824-1)*DIAS_POR_SEMANA</f>
        <v>46517</v>
      </c>
      <c r="D1824" s="17" t="n">
        <f aca="false">$C1824+DIAS_POR_SEMANA-1</f>
        <v>46523</v>
      </c>
      <c r="E1824" s="15" t="s">
        <v>286</v>
      </c>
      <c r="F1824" s="8" t="str">
        <f aca="false">IFERROR(INDEX(CADASTRO_PIVOS!$C$6:$C$41,MATCH($E1824,CADASTRO_PIVOS!$B$6:$B$41,0)),"?")</f>
        <v>RM07</v>
      </c>
      <c r="G1824" s="8" t="str">
        <f aca="false">IFERROR(INDEX(CADASTRO_PIVOS!$D$6:$D$41,MATCH($E1824,CADASTRO_PIVOS!$B$6:$B$41,0)),"?")</f>
        <v>TR07</v>
      </c>
      <c r="H1824" s="20" t="n">
        <f aca="false">IFERROR(INDEX(CADASTRO_PIVOS!$E$6:$E$41,MATCH($E1824,CADASTRO_PIVOS!$B$6:$B$41,0)),0)</f>
        <v>149.94</v>
      </c>
      <c r="I1824" s="16" t="n">
        <f aca="false">IFERROR(SUMIFS(ROTACAO_RDM!$B$6:$B$71,ROTACAO_RDM!$D$6:$D$71,$E1824,ROTACAO_RDM!$I$6:$I$71,"&lt;="&amp;$C1824+INT(DIAS_POR_SEMANA/2),ROTACAO_RDM!$J$6:$J$71,"&gt;="&amp;$C1824+INT(DIAS_POR_SEMANA/2)),0)</f>
        <v>45</v>
      </c>
      <c r="J1824" s="16" t="n">
        <f aca="false">IFERROR(MATCH($I1824,ROTACAO_RDM!$B$6:$B$71,0),0)</f>
        <v>45</v>
      </c>
      <c r="K1824" s="8" t="str">
        <f aca="false">IF($J1824=0,"SEM CULTURA",INDEX(ROTACAO_RDM!$F$6:$F$71,$J1824))</f>
        <v>ALGODAO</v>
      </c>
      <c r="L1824" s="8" t="str">
        <f aca="false">IF($J1824=0,"",INDEX(ROTACAO_RDM!$G$6:$G$71,$J1824))</f>
        <v>FM 911 GLTP</v>
      </c>
      <c r="M1824" s="17" t="n">
        <f aca="false">IF($J1824=0,"",INDEX(ROTACAO_RDM!$I$6:$I$71,$J1824))</f>
        <v>46433</v>
      </c>
      <c r="N1824" s="16" t="n">
        <f aca="false">IF($J1824=0,0,MAX(0,$C1824+INT(DIAS_POR_SEMANA/2)-INDEX(ROTACAO_RDM!$I$6:$I$71,$J1824)))</f>
        <v>87</v>
      </c>
      <c r="O1824" s="19" t="n">
        <f aca="false">IF($J1824=0,0,MIN(1,$N1824/MAX(1,INDEX(ROTACAO_RDM!$K$6:$K$71,$J1824))))</f>
        <v>0.483333333333333</v>
      </c>
      <c r="P1824" s="16" t="n">
        <f aca="false">IF($J1824=0,0,IFERROR(MATCH(INDEX(ROTACAO_RDM!$N$6:$N$71,$J1824),PARAMETROS_CULTURAS!$B$6:$B$28,0),0))</f>
        <v>4</v>
      </c>
      <c r="Q1824" s="8" t="str">
        <f aca="false">IF($P1824=0,"-",IF($O1824&lt;=INDEX(PARAMETROS_CULTURAS!$F$6:$F$28,$P1824),"INICIAL",IF($O1824&lt;=INDEX(PARAMETROS_CULTURAS!$F$6:$F$28,$P1824)+INDEX(PARAMETROS_CULTURAS!$G$6:$G$28,$P1824),"DESENVOLVIMENTO",IF($O1824&lt;=INDEX(PARAMETROS_CULTURAS!$F$6:$F$28,$P1824)+INDEX(PARAMETROS_CULTURAS!$G$6:$G$28,$P1824)+INDEX(PARAMETROS_CULTURAS!$H$6:$H$28,$P1824),"MEDIA","FINAL"))))</f>
        <v>MEDIA</v>
      </c>
      <c r="R1824" s="24" t="n">
        <f aca="false">IF($P1824=0,0,IF($O1824&lt;=INDEX(PARAMETROS_CULTURAS!$F$6:$F$28,$P1824),INDEX(PARAMETROS_CULTURAS!$K$6:$K$28,$P1824),IF($O1824&lt;=INDEX(PARAMETROS_CULTURAS!$F$6:$F$28,$P1824)+INDEX(PARAMETROS_CULTURAS!$G$6:$G$28,$P1824),INDEX(PARAMETROS_CULTURAS!$K$6:$K$28,$P1824)+(INDEX(PARAMETROS_CULTURAS!$L$6:$L$28,$P1824)-INDEX(PARAMETROS_CULTURAS!$K$6:$K$28,$P1824))*($O1824-INDEX(PARAMETROS_CULTURAS!$F$6:$F$28,$P1824))/MAX(INDEX(PARAMETROS_CULTURAS!$G$6:$G$28,$P1824),0.0001),IF($O1824&lt;=INDEX(PARAMETROS_CULTURAS!$F$6:$F$28,$P1824)+INDEX(PARAMETROS_CULTURAS!$G$6:$G$28,$P1824)+INDEX(PARAMETROS_CULTURAS!$H$6:$H$28,$P1824),INDEX(PARAMETROS_CULTURAS!$L$6:$L$28,$P1824),INDEX(PARAMETROS_CULTURAS!$L$6:$L$28,$P1824)+(INDEX(PARAMETROS_CULTURAS!$M$6:$M$28,$P1824)-INDEX(PARAMETROS_CULTURAS!$L$6:$L$28,$P1824))*($O1824-INDEX(PARAMETROS_CULTURAS!$F$6:$F$28,$P1824)-INDEX(PARAMETROS_CULTURAS!$G$6:$G$28,$P1824)-INDEX(PARAMETROS_CULTURAS!$H$6:$H$28,$P1824))/MAX(INDEX(PARAMETROS_CULTURAS!$I$6:$I$28,$P1824),0.0001)))))</f>
        <v>1.15</v>
      </c>
      <c r="S1824" s="18" t="n">
        <f aca="false">IFERROR(INDEX(SEMANAS!$H$6:$H$71,MATCH($B1824,SEMANAS!$B$6:$B$71,0)),0)</f>
        <v>29.4</v>
      </c>
      <c r="T1824" s="18" t="n">
        <f aca="false">$R1824*$S1824</f>
        <v>33.81</v>
      </c>
      <c r="U1824" s="18" t="n">
        <f aca="false">IFERROR(INDEX(SEMANAS!$I$6:$I$71,MATCH($B1824,SEMANAS!$B$6:$B$71,0)),0)</f>
        <v>3.36</v>
      </c>
      <c r="V1824" s="18" t="n">
        <f aca="false">IFERROR(INDEX(SEMANAS!$J$6:$J$71,MATCH($B1824,SEMANAS!$B$6:$B$71,0)),0)</f>
        <v>2.688</v>
      </c>
      <c r="W1824" s="18" t="n">
        <f aca="false">MAX(0,$T1824-$V1824)</f>
        <v>31.122</v>
      </c>
      <c r="X1824" s="19" t="n">
        <f aca="false">IFERROR(INDEX(CADASTRO_PIVOS!$K$6:$K$41,MATCH($E1824,CADASTRO_PIVOS!$B$6:$B$41,0)),EFICIENCIA_PADRAO)</f>
        <v>0.85</v>
      </c>
      <c r="Y1824" s="18" t="n">
        <f aca="false">IF($X1824&lt;=0,0,$W1824/$X1824)</f>
        <v>36.6141176470588</v>
      </c>
      <c r="Z1824" s="16" t="n">
        <f aca="false">$Y1824*$H1824*MM_PARA_M3_HA</f>
        <v>54899.208</v>
      </c>
      <c r="AA1824" s="18" t="n">
        <f aca="false">IFERROR(INDEX(CADASTRO_PIVOS!$I$6:$I$41,MATCH($E1824,CADASTRO_PIVOS!$B$6:$B$41,0)),0)</f>
        <v>1071</v>
      </c>
      <c r="AB1824" s="18" t="n">
        <f aca="false">IF($Z1824&lt;=0,0,$Z1824/$AA1824)</f>
        <v>51.2597647058824</v>
      </c>
      <c r="AC1824" s="16" t="n">
        <f aca="false">IFERROR(INDEX(SEMANAS!$K$6:$K$71,MATCH($B1824,SEMANAS!$B$6:$B$71,0)),0)</f>
        <v>147</v>
      </c>
      <c r="AD1824" s="19" t="n">
        <f aca="false">IF($AC1824&lt;=0,0,$AB1824/$AC1824)</f>
        <v>0.348705882352941</v>
      </c>
      <c r="AE1824" s="8" t="str">
        <f aca="false">IF($K1824="SEM CULTURA","SEM CULTURA",IF($AA1824&lt;=0,"DADO PENDENTE",IF($AD1824&gt;LIMITE_CRITICO,"INVIAVEL",IF($AD1824&gt;LIMITE_ATENCAO,"CRITICO",IF($AD1824&gt;LIMITE_CONFORTAVEL,"ATENCAO","OK")))))</f>
        <v>OK</v>
      </c>
      <c r="AF1824" s="8" t="str">
        <f aca="false">$B1824&amp;"|"&amp;TEXT($AD1824,"0.000000")</f>
        <v>37|0.348706</v>
      </c>
      <c r="AG1824" s="18" t="n">
        <f aca="false">IF($K1824="SEM CULTURA",0,$T1824*$H1824)</f>
        <v>5069.4714</v>
      </c>
      <c r="AH1824" s="18" t="n">
        <f aca="false">IF($K1824="SEM CULTURA",0,$V1824*$H1824)</f>
        <v>403.03872</v>
      </c>
      <c r="AI1824" s="18" t="n">
        <f aca="false">IF($K1824="SEM CULTURA",0,$W1824*$H1824)</f>
        <v>4666.43268</v>
      </c>
      <c r="AJ1824" s="18" t="n">
        <f aca="false">IF($K1824="SEM CULTURA",0,$S1824*$H1824)</f>
        <v>4408.236</v>
      </c>
      <c r="AK1824" s="8" t="str">
        <f aca="false">$E1824&amp;"|"&amp;TEXT($AD1824,"0.000000")</f>
        <v>PV 124|0.348706</v>
      </c>
    </row>
    <row r="1825" customFormat="false" ht="15" hidden="false" customHeight="false" outlineLevel="0" collapsed="false">
      <c r="B1825" s="16" t="n">
        <v>38</v>
      </c>
      <c r="C1825" s="17" t="n">
        <f aca="false">DATA_INICIO_SAFRA+($B1825-1)*DIAS_POR_SEMANA</f>
        <v>46524</v>
      </c>
      <c r="D1825" s="17" t="n">
        <f aca="false">$C1825+DIAS_POR_SEMANA-1</f>
        <v>46530</v>
      </c>
      <c r="E1825" s="15" t="s">
        <v>286</v>
      </c>
      <c r="F1825" s="8" t="str">
        <f aca="false">IFERROR(INDEX(CADASTRO_PIVOS!$C$6:$C$41,MATCH($E1825,CADASTRO_PIVOS!$B$6:$B$41,0)),"?")</f>
        <v>RM07</v>
      </c>
      <c r="G1825" s="8" t="str">
        <f aca="false">IFERROR(INDEX(CADASTRO_PIVOS!$D$6:$D$41,MATCH($E1825,CADASTRO_PIVOS!$B$6:$B$41,0)),"?")</f>
        <v>TR07</v>
      </c>
      <c r="H1825" s="20" t="n">
        <f aca="false">IFERROR(INDEX(CADASTRO_PIVOS!$E$6:$E$41,MATCH($E1825,CADASTRO_PIVOS!$B$6:$B$41,0)),0)</f>
        <v>149.94</v>
      </c>
      <c r="I1825" s="16" t="n">
        <f aca="false">IFERROR(SUMIFS(ROTACAO_RDM!$B$6:$B$71,ROTACAO_RDM!$D$6:$D$71,$E1825,ROTACAO_RDM!$I$6:$I$71,"&lt;="&amp;$C1825+INT(DIAS_POR_SEMANA/2),ROTACAO_RDM!$J$6:$J$71,"&gt;="&amp;$C1825+INT(DIAS_POR_SEMANA/2)),0)</f>
        <v>45</v>
      </c>
      <c r="J1825" s="16" t="n">
        <f aca="false">IFERROR(MATCH($I1825,ROTACAO_RDM!$B$6:$B$71,0),0)</f>
        <v>45</v>
      </c>
      <c r="K1825" s="8" t="str">
        <f aca="false">IF($J1825=0,"SEM CULTURA",INDEX(ROTACAO_RDM!$F$6:$F$71,$J1825))</f>
        <v>ALGODAO</v>
      </c>
      <c r="L1825" s="8" t="str">
        <f aca="false">IF($J1825=0,"",INDEX(ROTACAO_RDM!$G$6:$G$71,$J1825))</f>
        <v>FM 911 GLTP</v>
      </c>
      <c r="M1825" s="17" t="n">
        <f aca="false">IF($J1825=0,"",INDEX(ROTACAO_RDM!$I$6:$I$71,$J1825))</f>
        <v>46433</v>
      </c>
      <c r="N1825" s="16" t="n">
        <f aca="false">IF($J1825=0,0,MAX(0,$C1825+INT(DIAS_POR_SEMANA/2)-INDEX(ROTACAO_RDM!$I$6:$I$71,$J1825)))</f>
        <v>94</v>
      </c>
      <c r="O1825" s="19" t="n">
        <f aca="false">IF($J1825=0,0,MIN(1,$N1825/MAX(1,INDEX(ROTACAO_RDM!$K$6:$K$71,$J1825))))</f>
        <v>0.522222222222222</v>
      </c>
      <c r="P1825" s="16" t="n">
        <f aca="false">IF($J1825=0,0,IFERROR(MATCH(INDEX(ROTACAO_RDM!$N$6:$N$71,$J1825),PARAMETROS_CULTURAS!$B$6:$B$28,0),0))</f>
        <v>4</v>
      </c>
      <c r="Q1825" s="8" t="str">
        <f aca="false">IF($P1825=0,"-",IF($O1825&lt;=INDEX(PARAMETROS_CULTURAS!$F$6:$F$28,$P1825),"INICIAL",IF($O1825&lt;=INDEX(PARAMETROS_CULTURAS!$F$6:$F$28,$P1825)+INDEX(PARAMETROS_CULTURAS!$G$6:$G$28,$P1825),"DESENVOLVIMENTO",IF($O1825&lt;=INDEX(PARAMETROS_CULTURAS!$F$6:$F$28,$P1825)+INDEX(PARAMETROS_CULTURAS!$G$6:$G$28,$P1825)+INDEX(PARAMETROS_CULTURAS!$H$6:$H$28,$P1825),"MEDIA","FINAL"))))</f>
        <v>MEDIA</v>
      </c>
      <c r="R1825" s="24" t="n">
        <f aca="false">IF($P1825=0,0,IF($O1825&lt;=INDEX(PARAMETROS_CULTURAS!$F$6:$F$28,$P1825),INDEX(PARAMETROS_CULTURAS!$K$6:$K$28,$P1825),IF($O1825&lt;=INDEX(PARAMETROS_CULTURAS!$F$6:$F$28,$P1825)+INDEX(PARAMETROS_CULTURAS!$G$6:$G$28,$P1825),INDEX(PARAMETROS_CULTURAS!$K$6:$K$28,$P1825)+(INDEX(PARAMETROS_CULTURAS!$L$6:$L$28,$P1825)-INDEX(PARAMETROS_CULTURAS!$K$6:$K$28,$P1825))*($O1825-INDEX(PARAMETROS_CULTURAS!$F$6:$F$28,$P1825))/MAX(INDEX(PARAMETROS_CULTURAS!$G$6:$G$28,$P1825),0.0001),IF($O1825&lt;=INDEX(PARAMETROS_CULTURAS!$F$6:$F$28,$P1825)+INDEX(PARAMETROS_CULTURAS!$G$6:$G$28,$P1825)+INDEX(PARAMETROS_CULTURAS!$H$6:$H$28,$P1825),INDEX(PARAMETROS_CULTURAS!$L$6:$L$28,$P1825),INDEX(PARAMETROS_CULTURAS!$L$6:$L$28,$P1825)+(INDEX(PARAMETROS_CULTURAS!$M$6:$M$28,$P1825)-INDEX(PARAMETROS_CULTURAS!$L$6:$L$28,$P1825))*($O1825-INDEX(PARAMETROS_CULTURAS!$F$6:$F$28,$P1825)-INDEX(PARAMETROS_CULTURAS!$G$6:$G$28,$P1825)-INDEX(PARAMETROS_CULTURAS!$H$6:$H$28,$P1825))/MAX(INDEX(PARAMETROS_CULTURAS!$I$6:$I$28,$P1825),0.0001)))))</f>
        <v>1.15</v>
      </c>
      <c r="S1825" s="18" t="n">
        <f aca="false">IFERROR(INDEX(SEMANAS!$H$6:$H$71,MATCH($B1825,SEMANAS!$B$6:$B$71,0)),0)</f>
        <v>29.4</v>
      </c>
      <c r="T1825" s="18" t="n">
        <f aca="false">$R1825*$S1825</f>
        <v>33.81</v>
      </c>
      <c r="U1825" s="18" t="n">
        <f aca="false">IFERROR(INDEX(SEMANAS!$I$6:$I$71,MATCH($B1825,SEMANAS!$B$6:$B$71,0)),0)</f>
        <v>3.36</v>
      </c>
      <c r="V1825" s="18" t="n">
        <f aca="false">IFERROR(INDEX(SEMANAS!$J$6:$J$71,MATCH($B1825,SEMANAS!$B$6:$B$71,0)),0)</f>
        <v>2.688</v>
      </c>
      <c r="W1825" s="18" t="n">
        <f aca="false">MAX(0,$T1825-$V1825)</f>
        <v>31.122</v>
      </c>
      <c r="X1825" s="19" t="n">
        <f aca="false">IFERROR(INDEX(CADASTRO_PIVOS!$K$6:$K$41,MATCH($E1825,CADASTRO_PIVOS!$B$6:$B$41,0)),EFICIENCIA_PADRAO)</f>
        <v>0.85</v>
      </c>
      <c r="Y1825" s="18" t="n">
        <f aca="false">IF($X1825&lt;=0,0,$W1825/$X1825)</f>
        <v>36.6141176470588</v>
      </c>
      <c r="Z1825" s="16" t="n">
        <f aca="false">$Y1825*$H1825*MM_PARA_M3_HA</f>
        <v>54899.208</v>
      </c>
      <c r="AA1825" s="18" t="n">
        <f aca="false">IFERROR(INDEX(CADASTRO_PIVOS!$I$6:$I$41,MATCH($E1825,CADASTRO_PIVOS!$B$6:$B$41,0)),0)</f>
        <v>1071</v>
      </c>
      <c r="AB1825" s="18" t="n">
        <f aca="false">IF($Z1825&lt;=0,0,$Z1825/$AA1825)</f>
        <v>51.2597647058824</v>
      </c>
      <c r="AC1825" s="16" t="n">
        <f aca="false">IFERROR(INDEX(SEMANAS!$K$6:$K$71,MATCH($B1825,SEMANAS!$B$6:$B$71,0)),0)</f>
        <v>147</v>
      </c>
      <c r="AD1825" s="19" t="n">
        <f aca="false">IF($AC1825&lt;=0,0,$AB1825/$AC1825)</f>
        <v>0.348705882352941</v>
      </c>
      <c r="AE1825" s="8" t="str">
        <f aca="false">IF($K1825="SEM CULTURA","SEM CULTURA",IF($AA1825&lt;=0,"DADO PENDENTE",IF($AD1825&gt;LIMITE_CRITICO,"INVIAVEL",IF($AD1825&gt;LIMITE_ATENCAO,"CRITICO",IF($AD1825&gt;LIMITE_CONFORTAVEL,"ATENCAO","OK")))))</f>
        <v>OK</v>
      </c>
      <c r="AF1825" s="8" t="str">
        <f aca="false">$B1825&amp;"|"&amp;TEXT($AD1825,"0.000000")</f>
        <v>38|0.348706</v>
      </c>
      <c r="AG1825" s="18" t="n">
        <f aca="false">IF($K1825="SEM CULTURA",0,$T1825*$H1825)</f>
        <v>5069.4714</v>
      </c>
      <c r="AH1825" s="18" t="n">
        <f aca="false">IF($K1825="SEM CULTURA",0,$V1825*$H1825)</f>
        <v>403.03872</v>
      </c>
      <c r="AI1825" s="18" t="n">
        <f aca="false">IF($K1825="SEM CULTURA",0,$W1825*$H1825)</f>
        <v>4666.43268</v>
      </c>
      <c r="AJ1825" s="18" t="n">
        <f aca="false">IF($K1825="SEM CULTURA",0,$S1825*$H1825)</f>
        <v>4408.236</v>
      </c>
      <c r="AK1825" s="8" t="str">
        <f aca="false">$E1825&amp;"|"&amp;TEXT($AD1825,"0.000000")</f>
        <v>PV 124|0.348706</v>
      </c>
    </row>
    <row r="1826" customFormat="false" ht="15" hidden="false" customHeight="false" outlineLevel="0" collapsed="false">
      <c r="B1826" s="16" t="n">
        <v>39</v>
      </c>
      <c r="C1826" s="17" t="n">
        <f aca="false">DATA_INICIO_SAFRA+($B1826-1)*DIAS_POR_SEMANA</f>
        <v>46531</v>
      </c>
      <c r="D1826" s="17" t="n">
        <f aca="false">$C1826+DIAS_POR_SEMANA-1</f>
        <v>46537</v>
      </c>
      <c r="E1826" s="15" t="s">
        <v>286</v>
      </c>
      <c r="F1826" s="8" t="str">
        <f aca="false">IFERROR(INDEX(CADASTRO_PIVOS!$C$6:$C$41,MATCH($E1826,CADASTRO_PIVOS!$B$6:$B$41,0)),"?")</f>
        <v>RM07</v>
      </c>
      <c r="G1826" s="8" t="str">
        <f aca="false">IFERROR(INDEX(CADASTRO_PIVOS!$D$6:$D$41,MATCH($E1826,CADASTRO_PIVOS!$B$6:$B$41,0)),"?")</f>
        <v>TR07</v>
      </c>
      <c r="H1826" s="20" t="n">
        <f aca="false">IFERROR(INDEX(CADASTRO_PIVOS!$E$6:$E$41,MATCH($E1826,CADASTRO_PIVOS!$B$6:$B$41,0)),0)</f>
        <v>149.94</v>
      </c>
      <c r="I1826" s="16" t="n">
        <f aca="false">IFERROR(SUMIFS(ROTACAO_RDM!$B$6:$B$71,ROTACAO_RDM!$D$6:$D$71,$E1826,ROTACAO_RDM!$I$6:$I$71,"&lt;="&amp;$C1826+INT(DIAS_POR_SEMANA/2),ROTACAO_RDM!$J$6:$J$71,"&gt;="&amp;$C1826+INT(DIAS_POR_SEMANA/2)),0)</f>
        <v>45</v>
      </c>
      <c r="J1826" s="16" t="n">
        <f aca="false">IFERROR(MATCH($I1826,ROTACAO_RDM!$B$6:$B$71,0),0)</f>
        <v>45</v>
      </c>
      <c r="K1826" s="8" t="str">
        <f aca="false">IF($J1826=0,"SEM CULTURA",INDEX(ROTACAO_RDM!$F$6:$F$71,$J1826))</f>
        <v>ALGODAO</v>
      </c>
      <c r="L1826" s="8" t="str">
        <f aca="false">IF($J1826=0,"",INDEX(ROTACAO_RDM!$G$6:$G$71,$J1826))</f>
        <v>FM 911 GLTP</v>
      </c>
      <c r="M1826" s="17" t="n">
        <f aca="false">IF($J1826=0,"",INDEX(ROTACAO_RDM!$I$6:$I$71,$J1826))</f>
        <v>46433</v>
      </c>
      <c r="N1826" s="16" t="n">
        <f aca="false">IF($J1826=0,0,MAX(0,$C1826+INT(DIAS_POR_SEMANA/2)-INDEX(ROTACAO_RDM!$I$6:$I$71,$J1826)))</f>
        <v>101</v>
      </c>
      <c r="O1826" s="19" t="n">
        <f aca="false">IF($J1826=0,0,MIN(1,$N1826/MAX(1,INDEX(ROTACAO_RDM!$K$6:$K$71,$J1826))))</f>
        <v>0.561111111111111</v>
      </c>
      <c r="P1826" s="16" t="n">
        <f aca="false">IF($J1826=0,0,IFERROR(MATCH(INDEX(ROTACAO_RDM!$N$6:$N$71,$J1826),PARAMETROS_CULTURAS!$B$6:$B$28,0),0))</f>
        <v>4</v>
      </c>
      <c r="Q1826" s="8" t="str">
        <f aca="false">IF($P1826=0,"-",IF($O1826&lt;=INDEX(PARAMETROS_CULTURAS!$F$6:$F$28,$P1826),"INICIAL",IF($O1826&lt;=INDEX(PARAMETROS_CULTURAS!$F$6:$F$28,$P1826)+INDEX(PARAMETROS_CULTURAS!$G$6:$G$28,$P1826),"DESENVOLVIMENTO",IF($O1826&lt;=INDEX(PARAMETROS_CULTURAS!$F$6:$F$28,$P1826)+INDEX(PARAMETROS_CULTURAS!$G$6:$G$28,$P1826)+INDEX(PARAMETROS_CULTURAS!$H$6:$H$28,$P1826),"MEDIA","FINAL"))))</f>
        <v>MEDIA</v>
      </c>
      <c r="R1826" s="24" t="n">
        <f aca="false">IF($P1826=0,0,IF($O1826&lt;=INDEX(PARAMETROS_CULTURAS!$F$6:$F$28,$P1826),INDEX(PARAMETROS_CULTURAS!$K$6:$K$28,$P1826),IF($O1826&lt;=INDEX(PARAMETROS_CULTURAS!$F$6:$F$28,$P1826)+INDEX(PARAMETROS_CULTURAS!$G$6:$G$28,$P1826),INDEX(PARAMETROS_CULTURAS!$K$6:$K$28,$P1826)+(INDEX(PARAMETROS_CULTURAS!$L$6:$L$28,$P1826)-INDEX(PARAMETROS_CULTURAS!$K$6:$K$28,$P1826))*($O1826-INDEX(PARAMETROS_CULTURAS!$F$6:$F$28,$P1826))/MAX(INDEX(PARAMETROS_CULTURAS!$G$6:$G$28,$P1826),0.0001),IF($O1826&lt;=INDEX(PARAMETROS_CULTURAS!$F$6:$F$28,$P1826)+INDEX(PARAMETROS_CULTURAS!$G$6:$G$28,$P1826)+INDEX(PARAMETROS_CULTURAS!$H$6:$H$28,$P1826),INDEX(PARAMETROS_CULTURAS!$L$6:$L$28,$P1826),INDEX(PARAMETROS_CULTURAS!$L$6:$L$28,$P1826)+(INDEX(PARAMETROS_CULTURAS!$M$6:$M$28,$P1826)-INDEX(PARAMETROS_CULTURAS!$L$6:$L$28,$P1826))*($O1826-INDEX(PARAMETROS_CULTURAS!$F$6:$F$28,$P1826)-INDEX(PARAMETROS_CULTURAS!$G$6:$G$28,$P1826)-INDEX(PARAMETROS_CULTURAS!$H$6:$H$28,$P1826))/MAX(INDEX(PARAMETROS_CULTURAS!$I$6:$I$28,$P1826),0.0001)))))</f>
        <v>1.15</v>
      </c>
      <c r="S1826" s="18" t="n">
        <f aca="false">IFERROR(INDEX(SEMANAS!$H$6:$H$71,MATCH($B1826,SEMANAS!$B$6:$B$71,0)),0)</f>
        <v>29.4</v>
      </c>
      <c r="T1826" s="18" t="n">
        <f aca="false">$R1826*$S1826</f>
        <v>33.81</v>
      </c>
      <c r="U1826" s="18" t="n">
        <f aca="false">IFERROR(INDEX(SEMANAS!$I$6:$I$71,MATCH($B1826,SEMANAS!$B$6:$B$71,0)),0)</f>
        <v>3.36</v>
      </c>
      <c r="V1826" s="18" t="n">
        <f aca="false">IFERROR(INDEX(SEMANAS!$J$6:$J$71,MATCH($B1826,SEMANAS!$B$6:$B$71,0)),0)</f>
        <v>2.688</v>
      </c>
      <c r="W1826" s="18" t="n">
        <f aca="false">MAX(0,$T1826-$V1826)</f>
        <v>31.122</v>
      </c>
      <c r="X1826" s="19" t="n">
        <f aca="false">IFERROR(INDEX(CADASTRO_PIVOS!$K$6:$K$41,MATCH($E1826,CADASTRO_PIVOS!$B$6:$B$41,0)),EFICIENCIA_PADRAO)</f>
        <v>0.85</v>
      </c>
      <c r="Y1826" s="18" t="n">
        <f aca="false">IF($X1826&lt;=0,0,$W1826/$X1826)</f>
        <v>36.6141176470588</v>
      </c>
      <c r="Z1826" s="16" t="n">
        <f aca="false">$Y1826*$H1826*MM_PARA_M3_HA</f>
        <v>54899.208</v>
      </c>
      <c r="AA1826" s="18" t="n">
        <f aca="false">IFERROR(INDEX(CADASTRO_PIVOS!$I$6:$I$41,MATCH($E1826,CADASTRO_PIVOS!$B$6:$B$41,0)),0)</f>
        <v>1071</v>
      </c>
      <c r="AB1826" s="18" t="n">
        <f aca="false">IF($Z1826&lt;=0,0,$Z1826/$AA1826)</f>
        <v>51.2597647058824</v>
      </c>
      <c r="AC1826" s="16" t="n">
        <f aca="false">IFERROR(INDEX(SEMANAS!$K$6:$K$71,MATCH($B1826,SEMANAS!$B$6:$B$71,0)),0)</f>
        <v>147</v>
      </c>
      <c r="AD1826" s="19" t="n">
        <f aca="false">IF($AC1826&lt;=0,0,$AB1826/$AC1826)</f>
        <v>0.348705882352941</v>
      </c>
      <c r="AE1826" s="8" t="str">
        <f aca="false">IF($K1826="SEM CULTURA","SEM CULTURA",IF($AA1826&lt;=0,"DADO PENDENTE",IF($AD1826&gt;LIMITE_CRITICO,"INVIAVEL",IF($AD1826&gt;LIMITE_ATENCAO,"CRITICO",IF($AD1826&gt;LIMITE_CONFORTAVEL,"ATENCAO","OK")))))</f>
        <v>OK</v>
      </c>
      <c r="AF1826" s="8" t="str">
        <f aca="false">$B1826&amp;"|"&amp;TEXT($AD1826,"0.000000")</f>
        <v>39|0.348706</v>
      </c>
      <c r="AG1826" s="18" t="n">
        <f aca="false">IF($K1826="SEM CULTURA",0,$T1826*$H1826)</f>
        <v>5069.4714</v>
      </c>
      <c r="AH1826" s="18" t="n">
        <f aca="false">IF($K1826="SEM CULTURA",0,$V1826*$H1826)</f>
        <v>403.03872</v>
      </c>
      <c r="AI1826" s="18" t="n">
        <f aca="false">IF($K1826="SEM CULTURA",0,$W1826*$H1826)</f>
        <v>4666.43268</v>
      </c>
      <c r="AJ1826" s="18" t="n">
        <f aca="false">IF($K1826="SEM CULTURA",0,$S1826*$H1826)</f>
        <v>4408.236</v>
      </c>
      <c r="AK1826" s="8" t="str">
        <f aca="false">$E1826&amp;"|"&amp;TEXT($AD1826,"0.000000")</f>
        <v>PV 124|0.348706</v>
      </c>
    </row>
    <row r="1827" customFormat="false" ht="15" hidden="false" customHeight="false" outlineLevel="0" collapsed="false">
      <c r="B1827" s="16" t="n">
        <v>40</v>
      </c>
      <c r="C1827" s="17" t="n">
        <f aca="false">DATA_INICIO_SAFRA+($B1827-1)*DIAS_POR_SEMANA</f>
        <v>46538</v>
      </c>
      <c r="D1827" s="17" t="n">
        <f aca="false">$C1827+DIAS_POR_SEMANA-1</f>
        <v>46544</v>
      </c>
      <c r="E1827" s="15" t="s">
        <v>286</v>
      </c>
      <c r="F1827" s="8" t="str">
        <f aca="false">IFERROR(INDEX(CADASTRO_PIVOS!$C$6:$C$41,MATCH($E1827,CADASTRO_PIVOS!$B$6:$B$41,0)),"?")</f>
        <v>RM07</v>
      </c>
      <c r="G1827" s="8" t="str">
        <f aca="false">IFERROR(INDEX(CADASTRO_PIVOS!$D$6:$D$41,MATCH($E1827,CADASTRO_PIVOS!$B$6:$B$41,0)),"?")</f>
        <v>TR07</v>
      </c>
      <c r="H1827" s="20" t="n">
        <f aca="false">IFERROR(INDEX(CADASTRO_PIVOS!$E$6:$E$41,MATCH($E1827,CADASTRO_PIVOS!$B$6:$B$41,0)),0)</f>
        <v>149.94</v>
      </c>
      <c r="I1827" s="16" t="n">
        <f aca="false">IFERROR(SUMIFS(ROTACAO_RDM!$B$6:$B$71,ROTACAO_RDM!$D$6:$D$71,$E1827,ROTACAO_RDM!$I$6:$I$71,"&lt;="&amp;$C1827+INT(DIAS_POR_SEMANA/2),ROTACAO_RDM!$J$6:$J$71,"&gt;="&amp;$C1827+INT(DIAS_POR_SEMANA/2)),0)</f>
        <v>45</v>
      </c>
      <c r="J1827" s="16" t="n">
        <f aca="false">IFERROR(MATCH($I1827,ROTACAO_RDM!$B$6:$B$71,0),0)</f>
        <v>45</v>
      </c>
      <c r="K1827" s="8" t="str">
        <f aca="false">IF($J1827=0,"SEM CULTURA",INDEX(ROTACAO_RDM!$F$6:$F$71,$J1827))</f>
        <v>ALGODAO</v>
      </c>
      <c r="L1827" s="8" t="str">
        <f aca="false">IF($J1827=0,"",INDEX(ROTACAO_RDM!$G$6:$G$71,$J1827))</f>
        <v>FM 911 GLTP</v>
      </c>
      <c r="M1827" s="17" t="n">
        <f aca="false">IF($J1827=0,"",INDEX(ROTACAO_RDM!$I$6:$I$71,$J1827))</f>
        <v>46433</v>
      </c>
      <c r="N1827" s="16" t="n">
        <f aca="false">IF($J1827=0,0,MAX(0,$C1827+INT(DIAS_POR_SEMANA/2)-INDEX(ROTACAO_RDM!$I$6:$I$71,$J1827)))</f>
        <v>108</v>
      </c>
      <c r="O1827" s="19" t="n">
        <f aca="false">IF($J1827=0,0,MIN(1,$N1827/MAX(1,INDEX(ROTACAO_RDM!$K$6:$K$71,$J1827))))</f>
        <v>0.6</v>
      </c>
      <c r="P1827" s="16" t="n">
        <f aca="false">IF($J1827=0,0,IFERROR(MATCH(INDEX(ROTACAO_RDM!$N$6:$N$71,$J1827),PARAMETROS_CULTURAS!$B$6:$B$28,0),0))</f>
        <v>4</v>
      </c>
      <c r="Q1827" s="8" t="str">
        <f aca="false">IF($P1827=0,"-",IF($O1827&lt;=INDEX(PARAMETROS_CULTURAS!$F$6:$F$28,$P1827),"INICIAL",IF($O1827&lt;=INDEX(PARAMETROS_CULTURAS!$F$6:$F$28,$P1827)+INDEX(PARAMETROS_CULTURAS!$G$6:$G$28,$P1827),"DESENVOLVIMENTO",IF($O1827&lt;=INDEX(PARAMETROS_CULTURAS!$F$6:$F$28,$P1827)+INDEX(PARAMETROS_CULTURAS!$G$6:$G$28,$P1827)+INDEX(PARAMETROS_CULTURAS!$H$6:$H$28,$P1827),"MEDIA","FINAL"))))</f>
        <v>MEDIA</v>
      </c>
      <c r="R1827" s="24" t="n">
        <f aca="false">IF($P1827=0,0,IF($O1827&lt;=INDEX(PARAMETROS_CULTURAS!$F$6:$F$28,$P1827),INDEX(PARAMETROS_CULTURAS!$K$6:$K$28,$P1827),IF($O1827&lt;=INDEX(PARAMETROS_CULTURAS!$F$6:$F$28,$P1827)+INDEX(PARAMETROS_CULTURAS!$G$6:$G$28,$P1827),INDEX(PARAMETROS_CULTURAS!$K$6:$K$28,$P1827)+(INDEX(PARAMETROS_CULTURAS!$L$6:$L$28,$P1827)-INDEX(PARAMETROS_CULTURAS!$K$6:$K$28,$P1827))*($O1827-INDEX(PARAMETROS_CULTURAS!$F$6:$F$28,$P1827))/MAX(INDEX(PARAMETROS_CULTURAS!$G$6:$G$28,$P1827),0.0001),IF($O1827&lt;=INDEX(PARAMETROS_CULTURAS!$F$6:$F$28,$P1827)+INDEX(PARAMETROS_CULTURAS!$G$6:$G$28,$P1827)+INDEX(PARAMETROS_CULTURAS!$H$6:$H$28,$P1827),INDEX(PARAMETROS_CULTURAS!$L$6:$L$28,$P1827),INDEX(PARAMETROS_CULTURAS!$L$6:$L$28,$P1827)+(INDEX(PARAMETROS_CULTURAS!$M$6:$M$28,$P1827)-INDEX(PARAMETROS_CULTURAS!$L$6:$L$28,$P1827))*($O1827-INDEX(PARAMETROS_CULTURAS!$F$6:$F$28,$P1827)-INDEX(PARAMETROS_CULTURAS!$G$6:$G$28,$P1827)-INDEX(PARAMETROS_CULTURAS!$H$6:$H$28,$P1827))/MAX(INDEX(PARAMETROS_CULTURAS!$I$6:$I$28,$P1827),0.0001)))))</f>
        <v>1.15</v>
      </c>
      <c r="S1827" s="18" t="n">
        <f aca="false">IFERROR(INDEX(SEMANAS!$H$6:$H$71,MATCH($B1827,SEMANAS!$B$6:$B$71,0)),0)</f>
        <v>28.2</v>
      </c>
      <c r="T1827" s="18" t="n">
        <f aca="false">$R1827*$S1827</f>
        <v>32.43</v>
      </c>
      <c r="U1827" s="18" t="n">
        <f aca="false">IFERROR(INDEX(SEMANAS!$I$6:$I$71,MATCH($B1827,SEMANAS!$B$6:$B$71,0)),0)</f>
        <v>1.5</v>
      </c>
      <c r="V1827" s="18" t="n">
        <f aca="false">IFERROR(INDEX(SEMANAS!$J$6:$J$71,MATCH($B1827,SEMANAS!$B$6:$B$71,0)),0)</f>
        <v>1.2</v>
      </c>
      <c r="W1827" s="18" t="n">
        <f aca="false">MAX(0,$T1827-$V1827)</f>
        <v>31.23</v>
      </c>
      <c r="X1827" s="19" t="n">
        <f aca="false">IFERROR(INDEX(CADASTRO_PIVOS!$K$6:$K$41,MATCH($E1827,CADASTRO_PIVOS!$B$6:$B$41,0)),EFICIENCIA_PADRAO)</f>
        <v>0.85</v>
      </c>
      <c r="Y1827" s="18" t="n">
        <f aca="false">IF($X1827&lt;=0,0,$W1827/$X1827)</f>
        <v>36.7411764705882</v>
      </c>
      <c r="Z1827" s="16" t="n">
        <f aca="false">$Y1827*$H1827*MM_PARA_M3_HA</f>
        <v>55089.72</v>
      </c>
      <c r="AA1827" s="18" t="n">
        <f aca="false">IFERROR(INDEX(CADASTRO_PIVOS!$I$6:$I$41,MATCH($E1827,CADASTRO_PIVOS!$B$6:$B$41,0)),0)</f>
        <v>1071</v>
      </c>
      <c r="AB1827" s="18" t="n">
        <f aca="false">IF($Z1827&lt;=0,0,$Z1827/$AA1827)</f>
        <v>51.4376470588235</v>
      </c>
      <c r="AC1827" s="16" t="n">
        <f aca="false">IFERROR(INDEX(SEMANAS!$K$6:$K$71,MATCH($B1827,SEMANAS!$B$6:$B$71,0)),0)</f>
        <v>147</v>
      </c>
      <c r="AD1827" s="19" t="n">
        <f aca="false">IF($AC1827&lt;=0,0,$AB1827/$AC1827)</f>
        <v>0.349915966386555</v>
      </c>
      <c r="AE1827" s="8" t="str">
        <f aca="false">IF($K1827="SEM CULTURA","SEM CULTURA",IF($AA1827&lt;=0,"DADO PENDENTE",IF($AD1827&gt;LIMITE_CRITICO,"INVIAVEL",IF($AD1827&gt;LIMITE_ATENCAO,"CRITICO",IF($AD1827&gt;LIMITE_CONFORTAVEL,"ATENCAO","OK")))))</f>
        <v>OK</v>
      </c>
      <c r="AF1827" s="8" t="str">
        <f aca="false">$B1827&amp;"|"&amp;TEXT($AD1827,"0.000000")</f>
        <v>40|0.349916</v>
      </c>
      <c r="AG1827" s="18" t="n">
        <f aca="false">IF($K1827="SEM CULTURA",0,$T1827*$H1827)</f>
        <v>4862.5542</v>
      </c>
      <c r="AH1827" s="18" t="n">
        <f aca="false">IF($K1827="SEM CULTURA",0,$V1827*$H1827)</f>
        <v>179.928</v>
      </c>
      <c r="AI1827" s="18" t="n">
        <f aca="false">IF($K1827="SEM CULTURA",0,$W1827*$H1827)</f>
        <v>4682.6262</v>
      </c>
      <c r="AJ1827" s="18" t="n">
        <f aca="false">IF($K1827="SEM CULTURA",0,$S1827*$H1827)</f>
        <v>4228.308</v>
      </c>
      <c r="AK1827" s="8" t="str">
        <f aca="false">$E1827&amp;"|"&amp;TEXT($AD1827,"0.000000")</f>
        <v>PV 124|0.349916</v>
      </c>
    </row>
    <row r="1828" customFormat="false" ht="15" hidden="false" customHeight="false" outlineLevel="0" collapsed="false">
      <c r="B1828" s="16" t="n">
        <v>41</v>
      </c>
      <c r="C1828" s="17" t="n">
        <f aca="false">DATA_INICIO_SAFRA+($B1828-1)*DIAS_POR_SEMANA</f>
        <v>46545</v>
      </c>
      <c r="D1828" s="17" t="n">
        <f aca="false">$C1828+DIAS_POR_SEMANA-1</f>
        <v>46551</v>
      </c>
      <c r="E1828" s="15" t="s">
        <v>286</v>
      </c>
      <c r="F1828" s="8" t="str">
        <f aca="false">IFERROR(INDEX(CADASTRO_PIVOS!$C$6:$C$41,MATCH($E1828,CADASTRO_PIVOS!$B$6:$B$41,0)),"?")</f>
        <v>RM07</v>
      </c>
      <c r="G1828" s="8" t="str">
        <f aca="false">IFERROR(INDEX(CADASTRO_PIVOS!$D$6:$D$41,MATCH($E1828,CADASTRO_PIVOS!$B$6:$B$41,0)),"?")</f>
        <v>TR07</v>
      </c>
      <c r="H1828" s="20" t="n">
        <f aca="false">IFERROR(INDEX(CADASTRO_PIVOS!$E$6:$E$41,MATCH($E1828,CADASTRO_PIVOS!$B$6:$B$41,0)),0)</f>
        <v>149.94</v>
      </c>
      <c r="I1828" s="16" t="n">
        <f aca="false">IFERROR(SUMIFS(ROTACAO_RDM!$B$6:$B$71,ROTACAO_RDM!$D$6:$D$71,$E1828,ROTACAO_RDM!$I$6:$I$71,"&lt;="&amp;$C1828+INT(DIAS_POR_SEMANA/2),ROTACAO_RDM!$J$6:$J$71,"&gt;="&amp;$C1828+INT(DIAS_POR_SEMANA/2)),0)</f>
        <v>45</v>
      </c>
      <c r="J1828" s="16" t="n">
        <f aca="false">IFERROR(MATCH($I1828,ROTACAO_RDM!$B$6:$B$71,0),0)</f>
        <v>45</v>
      </c>
      <c r="K1828" s="8" t="str">
        <f aca="false">IF($J1828=0,"SEM CULTURA",INDEX(ROTACAO_RDM!$F$6:$F$71,$J1828))</f>
        <v>ALGODAO</v>
      </c>
      <c r="L1828" s="8" t="str">
        <f aca="false">IF($J1828=0,"",INDEX(ROTACAO_RDM!$G$6:$G$71,$J1828))</f>
        <v>FM 911 GLTP</v>
      </c>
      <c r="M1828" s="17" t="n">
        <f aca="false">IF($J1828=0,"",INDEX(ROTACAO_RDM!$I$6:$I$71,$J1828))</f>
        <v>46433</v>
      </c>
      <c r="N1828" s="16" t="n">
        <f aca="false">IF($J1828=0,0,MAX(0,$C1828+INT(DIAS_POR_SEMANA/2)-INDEX(ROTACAO_RDM!$I$6:$I$71,$J1828)))</f>
        <v>115</v>
      </c>
      <c r="O1828" s="19" t="n">
        <f aca="false">IF($J1828=0,0,MIN(1,$N1828/MAX(1,INDEX(ROTACAO_RDM!$K$6:$K$71,$J1828))))</f>
        <v>0.638888888888889</v>
      </c>
      <c r="P1828" s="16" t="n">
        <f aca="false">IF($J1828=0,0,IFERROR(MATCH(INDEX(ROTACAO_RDM!$N$6:$N$71,$J1828),PARAMETROS_CULTURAS!$B$6:$B$28,0),0))</f>
        <v>4</v>
      </c>
      <c r="Q1828" s="8" t="str">
        <f aca="false">IF($P1828=0,"-",IF($O1828&lt;=INDEX(PARAMETROS_CULTURAS!$F$6:$F$28,$P1828),"INICIAL",IF($O1828&lt;=INDEX(PARAMETROS_CULTURAS!$F$6:$F$28,$P1828)+INDEX(PARAMETROS_CULTURAS!$G$6:$G$28,$P1828),"DESENVOLVIMENTO",IF($O1828&lt;=INDEX(PARAMETROS_CULTURAS!$F$6:$F$28,$P1828)+INDEX(PARAMETROS_CULTURAS!$G$6:$G$28,$P1828)+INDEX(PARAMETROS_CULTURAS!$H$6:$H$28,$P1828),"MEDIA","FINAL"))))</f>
        <v>MEDIA</v>
      </c>
      <c r="R1828" s="24" t="n">
        <f aca="false">IF($P1828=0,0,IF($O1828&lt;=INDEX(PARAMETROS_CULTURAS!$F$6:$F$28,$P1828),INDEX(PARAMETROS_CULTURAS!$K$6:$K$28,$P1828),IF($O1828&lt;=INDEX(PARAMETROS_CULTURAS!$F$6:$F$28,$P1828)+INDEX(PARAMETROS_CULTURAS!$G$6:$G$28,$P1828),INDEX(PARAMETROS_CULTURAS!$K$6:$K$28,$P1828)+(INDEX(PARAMETROS_CULTURAS!$L$6:$L$28,$P1828)-INDEX(PARAMETROS_CULTURAS!$K$6:$K$28,$P1828))*($O1828-INDEX(PARAMETROS_CULTURAS!$F$6:$F$28,$P1828))/MAX(INDEX(PARAMETROS_CULTURAS!$G$6:$G$28,$P1828),0.0001),IF($O1828&lt;=INDEX(PARAMETROS_CULTURAS!$F$6:$F$28,$P1828)+INDEX(PARAMETROS_CULTURAS!$G$6:$G$28,$P1828)+INDEX(PARAMETROS_CULTURAS!$H$6:$H$28,$P1828),INDEX(PARAMETROS_CULTURAS!$L$6:$L$28,$P1828),INDEX(PARAMETROS_CULTURAS!$L$6:$L$28,$P1828)+(INDEX(PARAMETROS_CULTURAS!$M$6:$M$28,$P1828)-INDEX(PARAMETROS_CULTURAS!$L$6:$L$28,$P1828))*($O1828-INDEX(PARAMETROS_CULTURAS!$F$6:$F$28,$P1828)-INDEX(PARAMETROS_CULTURAS!$G$6:$G$28,$P1828)-INDEX(PARAMETROS_CULTURAS!$H$6:$H$28,$P1828))/MAX(INDEX(PARAMETROS_CULTURAS!$I$6:$I$28,$P1828),0.0001)))))</f>
        <v>1.15</v>
      </c>
      <c r="S1828" s="18" t="n">
        <f aca="false">IFERROR(INDEX(SEMANAS!$H$6:$H$71,MATCH($B1828,SEMANAS!$B$6:$B$71,0)),0)</f>
        <v>28</v>
      </c>
      <c r="T1828" s="18" t="n">
        <f aca="false">$R1828*$S1828</f>
        <v>32.2</v>
      </c>
      <c r="U1828" s="18" t="n">
        <f aca="false">IFERROR(INDEX(SEMANAS!$I$6:$I$71,MATCH($B1828,SEMANAS!$B$6:$B$71,0)),0)</f>
        <v>1.19</v>
      </c>
      <c r="V1828" s="18" t="n">
        <f aca="false">IFERROR(INDEX(SEMANAS!$J$6:$J$71,MATCH($B1828,SEMANAS!$B$6:$B$71,0)),0)</f>
        <v>0.952</v>
      </c>
      <c r="W1828" s="18" t="n">
        <f aca="false">MAX(0,$T1828-$V1828)</f>
        <v>31.248</v>
      </c>
      <c r="X1828" s="19" t="n">
        <f aca="false">IFERROR(INDEX(CADASTRO_PIVOS!$K$6:$K$41,MATCH($E1828,CADASTRO_PIVOS!$B$6:$B$41,0)),EFICIENCIA_PADRAO)</f>
        <v>0.85</v>
      </c>
      <c r="Y1828" s="18" t="n">
        <f aca="false">IF($X1828&lt;=0,0,$W1828/$X1828)</f>
        <v>36.7623529411765</v>
      </c>
      <c r="Z1828" s="16" t="n">
        <f aca="false">$Y1828*$H1828*MM_PARA_M3_HA</f>
        <v>55121.472</v>
      </c>
      <c r="AA1828" s="18" t="n">
        <f aca="false">IFERROR(INDEX(CADASTRO_PIVOS!$I$6:$I$41,MATCH($E1828,CADASTRO_PIVOS!$B$6:$B$41,0)),0)</f>
        <v>1071</v>
      </c>
      <c r="AB1828" s="18" t="n">
        <f aca="false">IF($Z1828&lt;=0,0,$Z1828/$AA1828)</f>
        <v>51.4672941176471</v>
      </c>
      <c r="AC1828" s="16" t="n">
        <f aca="false">IFERROR(INDEX(SEMANAS!$K$6:$K$71,MATCH($B1828,SEMANAS!$B$6:$B$71,0)),0)</f>
        <v>147</v>
      </c>
      <c r="AD1828" s="19" t="n">
        <f aca="false">IF($AC1828&lt;=0,0,$AB1828/$AC1828)</f>
        <v>0.350117647058824</v>
      </c>
      <c r="AE1828" s="8" t="str">
        <f aca="false">IF($K1828="SEM CULTURA","SEM CULTURA",IF($AA1828&lt;=0,"DADO PENDENTE",IF($AD1828&gt;LIMITE_CRITICO,"INVIAVEL",IF($AD1828&gt;LIMITE_ATENCAO,"CRITICO",IF($AD1828&gt;LIMITE_CONFORTAVEL,"ATENCAO","OK")))))</f>
        <v>OK</v>
      </c>
      <c r="AF1828" s="8" t="str">
        <f aca="false">$B1828&amp;"|"&amp;TEXT($AD1828,"0.000000")</f>
        <v>41|0.350118</v>
      </c>
      <c r="AG1828" s="18" t="n">
        <f aca="false">IF($K1828="SEM CULTURA",0,$T1828*$H1828)</f>
        <v>4828.068</v>
      </c>
      <c r="AH1828" s="18" t="n">
        <f aca="false">IF($K1828="SEM CULTURA",0,$V1828*$H1828)</f>
        <v>142.74288</v>
      </c>
      <c r="AI1828" s="18" t="n">
        <f aca="false">IF($K1828="SEM CULTURA",0,$W1828*$H1828)</f>
        <v>4685.32512</v>
      </c>
      <c r="AJ1828" s="18" t="n">
        <f aca="false">IF($K1828="SEM CULTURA",0,$S1828*$H1828)</f>
        <v>4198.32</v>
      </c>
      <c r="AK1828" s="8" t="str">
        <f aca="false">$E1828&amp;"|"&amp;TEXT($AD1828,"0.000000")</f>
        <v>PV 124|0.350118</v>
      </c>
    </row>
    <row r="1829" customFormat="false" ht="15" hidden="false" customHeight="false" outlineLevel="0" collapsed="false">
      <c r="B1829" s="16" t="n">
        <v>42</v>
      </c>
      <c r="C1829" s="17" t="n">
        <f aca="false">DATA_INICIO_SAFRA+($B1829-1)*DIAS_POR_SEMANA</f>
        <v>46552</v>
      </c>
      <c r="D1829" s="17" t="n">
        <f aca="false">$C1829+DIAS_POR_SEMANA-1</f>
        <v>46558</v>
      </c>
      <c r="E1829" s="15" t="s">
        <v>286</v>
      </c>
      <c r="F1829" s="8" t="str">
        <f aca="false">IFERROR(INDEX(CADASTRO_PIVOS!$C$6:$C$41,MATCH($E1829,CADASTRO_PIVOS!$B$6:$B$41,0)),"?")</f>
        <v>RM07</v>
      </c>
      <c r="G1829" s="8" t="str">
        <f aca="false">IFERROR(INDEX(CADASTRO_PIVOS!$D$6:$D$41,MATCH($E1829,CADASTRO_PIVOS!$B$6:$B$41,0)),"?")</f>
        <v>TR07</v>
      </c>
      <c r="H1829" s="20" t="n">
        <f aca="false">IFERROR(INDEX(CADASTRO_PIVOS!$E$6:$E$41,MATCH($E1829,CADASTRO_PIVOS!$B$6:$B$41,0)),0)</f>
        <v>149.94</v>
      </c>
      <c r="I1829" s="16" t="n">
        <f aca="false">IFERROR(SUMIFS(ROTACAO_RDM!$B$6:$B$71,ROTACAO_RDM!$D$6:$D$71,$E1829,ROTACAO_RDM!$I$6:$I$71,"&lt;="&amp;$C1829+INT(DIAS_POR_SEMANA/2),ROTACAO_RDM!$J$6:$J$71,"&gt;="&amp;$C1829+INT(DIAS_POR_SEMANA/2)),0)</f>
        <v>45</v>
      </c>
      <c r="J1829" s="16" t="n">
        <f aca="false">IFERROR(MATCH($I1829,ROTACAO_RDM!$B$6:$B$71,0),0)</f>
        <v>45</v>
      </c>
      <c r="K1829" s="8" t="str">
        <f aca="false">IF($J1829=0,"SEM CULTURA",INDEX(ROTACAO_RDM!$F$6:$F$71,$J1829))</f>
        <v>ALGODAO</v>
      </c>
      <c r="L1829" s="8" t="str">
        <f aca="false">IF($J1829=0,"",INDEX(ROTACAO_RDM!$G$6:$G$71,$J1829))</f>
        <v>FM 911 GLTP</v>
      </c>
      <c r="M1829" s="17" t="n">
        <f aca="false">IF($J1829=0,"",INDEX(ROTACAO_RDM!$I$6:$I$71,$J1829))</f>
        <v>46433</v>
      </c>
      <c r="N1829" s="16" t="n">
        <f aca="false">IF($J1829=0,0,MAX(0,$C1829+INT(DIAS_POR_SEMANA/2)-INDEX(ROTACAO_RDM!$I$6:$I$71,$J1829)))</f>
        <v>122</v>
      </c>
      <c r="O1829" s="19" t="n">
        <f aca="false">IF($J1829=0,0,MIN(1,$N1829/MAX(1,INDEX(ROTACAO_RDM!$K$6:$K$71,$J1829))))</f>
        <v>0.677777777777778</v>
      </c>
      <c r="P1829" s="16" t="n">
        <f aca="false">IF($J1829=0,0,IFERROR(MATCH(INDEX(ROTACAO_RDM!$N$6:$N$71,$J1829),PARAMETROS_CULTURAS!$B$6:$B$28,0),0))</f>
        <v>4</v>
      </c>
      <c r="Q1829" s="8" t="str">
        <f aca="false">IF($P1829=0,"-",IF($O1829&lt;=INDEX(PARAMETROS_CULTURAS!$F$6:$F$28,$P1829),"INICIAL",IF($O1829&lt;=INDEX(PARAMETROS_CULTURAS!$F$6:$F$28,$P1829)+INDEX(PARAMETROS_CULTURAS!$G$6:$G$28,$P1829),"DESENVOLVIMENTO",IF($O1829&lt;=INDEX(PARAMETROS_CULTURAS!$F$6:$F$28,$P1829)+INDEX(PARAMETROS_CULTURAS!$G$6:$G$28,$P1829)+INDEX(PARAMETROS_CULTURAS!$H$6:$H$28,$P1829),"MEDIA","FINAL"))))</f>
        <v>MEDIA</v>
      </c>
      <c r="R1829" s="24" t="n">
        <f aca="false">IF($P1829=0,0,IF($O1829&lt;=INDEX(PARAMETROS_CULTURAS!$F$6:$F$28,$P1829),INDEX(PARAMETROS_CULTURAS!$K$6:$K$28,$P1829),IF($O1829&lt;=INDEX(PARAMETROS_CULTURAS!$F$6:$F$28,$P1829)+INDEX(PARAMETROS_CULTURAS!$G$6:$G$28,$P1829),INDEX(PARAMETROS_CULTURAS!$K$6:$K$28,$P1829)+(INDEX(PARAMETROS_CULTURAS!$L$6:$L$28,$P1829)-INDEX(PARAMETROS_CULTURAS!$K$6:$K$28,$P1829))*($O1829-INDEX(PARAMETROS_CULTURAS!$F$6:$F$28,$P1829))/MAX(INDEX(PARAMETROS_CULTURAS!$G$6:$G$28,$P1829),0.0001),IF($O1829&lt;=INDEX(PARAMETROS_CULTURAS!$F$6:$F$28,$P1829)+INDEX(PARAMETROS_CULTURAS!$G$6:$G$28,$P1829)+INDEX(PARAMETROS_CULTURAS!$H$6:$H$28,$P1829),INDEX(PARAMETROS_CULTURAS!$L$6:$L$28,$P1829),INDEX(PARAMETROS_CULTURAS!$L$6:$L$28,$P1829)+(INDEX(PARAMETROS_CULTURAS!$M$6:$M$28,$P1829)-INDEX(PARAMETROS_CULTURAS!$L$6:$L$28,$P1829))*($O1829-INDEX(PARAMETROS_CULTURAS!$F$6:$F$28,$P1829)-INDEX(PARAMETROS_CULTURAS!$G$6:$G$28,$P1829)-INDEX(PARAMETROS_CULTURAS!$H$6:$H$28,$P1829))/MAX(INDEX(PARAMETROS_CULTURAS!$I$6:$I$28,$P1829),0.0001)))))</f>
        <v>1.15</v>
      </c>
      <c r="S1829" s="18" t="n">
        <f aca="false">IFERROR(INDEX(SEMANAS!$H$6:$H$71,MATCH($B1829,SEMANAS!$B$6:$B$71,0)),0)</f>
        <v>28</v>
      </c>
      <c r="T1829" s="18" t="n">
        <f aca="false">$R1829*$S1829</f>
        <v>32.2</v>
      </c>
      <c r="U1829" s="18" t="n">
        <f aca="false">IFERROR(INDEX(SEMANAS!$I$6:$I$71,MATCH($B1829,SEMANAS!$B$6:$B$71,0)),0)</f>
        <v>1.19</v>
      </c>
      <c r="V1829" s="18" t="n">
        <f aca="false">IFERROR(INDEX(SEMANAS!$J$6:$J$71,MATCH($B1829,SEMANAS!$B$6:$B$71,0)),0)</f>
        <v>0.952</v>
      </c>
      <c r="W1829" s="18" t="n">
        <f aca="false">MAX(0,$T1829-$V1829)</f>
        <v>31.248</v>
      </c>
      <c r="X1829" s="19" t="n">
        <f aca="false">IFERROR(INDEX(CADASTRO_PIVOS!$K$6:$K$41,MATCH($E1829,CADASTRO_PIVOS!$B$6:$B$41,0)),EFICIENCIA_PADRAO)</f>
        <v>0.85</v>
      </c>
      <c r="Y1829" s="18" t="n">
        <f aca="false">IF($X1829&lt;=0,0,$W1829/$X1829)</f>
        <v>36.7623529411765</v>
      </c>
      <c r="Z1829" s="16" t="n">
        <f aca="false">$Y1829*$H1829*MM_PARA_M3_HA</f>
        <v>55121.472</v>
      </c>
      <c r="AA1829" s="18" t="n">
        <f aca="false">IFERROR(INDEX(CADASTRO_PIVOS!$I$6:$I$41,MATCH($E1829,CADASTRO_PIVOS!$B$6:$B$41,0)),0)</f>
        <v>1071</v>
      </c>
      <c r="AB1829" s="18" t="n">
        <f aca="false">IF($Z1829&lt;=0,0,$Z1829/$AA1829)</f>
        <v>51.4672941176471</v>
      </c>
      <c r="AC1829" s="16" t="n">
        <f aca="false">IFERROR(INDEX(SEMANAS!$K$6:$K$71,MATCH($B1829,SEMANAS!$B$6:$B$71,0)),0)</f>
        <v>147</v>
      </c>
      <c r="AD1829" s="19" t="n">
        <f aca="false">IF($AC1829&lt;=0,0,$AB1829/$AC1829)</f>
        <v>0.350117647058824</v>
      </c>
      <c r="AE1829" s="8" t="str">
        <f aca="false">IF($K1829="SEM CULTURA","SEM CULTURA",IF($AA1829&lt;=0,"DADO PENDENTE",IF($AD1829&gt;LIMITE_CRITICO,"INVIAVEL",IF($AD1829&gt;LIMITE_ATENCAO,"CRITICO",IF($AD1829&gt;LIMITE_CONFORTAVEL,"ATENCAO","OK")))))</f>
        <v>OK</v>
      </c>
      <c r="AF1829" s="8" t="str">
        <f aca="false">$B1829&amp;"|"&amp;TEXT($AD1829,"0.000000")</f>
        <v>42|0.350118</v>
      </c>
      <c r="AG1829" s="18" t="n">
        <f aca="false">IF($K1829="SEM CULTURA",0,$T1829*$H1829)</f>
        <v>4828.068</v>
      </c>
      <c r="AH1829" s="18" t="n">
        <f aca="false">IF($K1829="SEM CULTURA",0,$V1829*$H1829)</f>
        <v>142.74288</v>
      </c>
      <c r="AI1829" s="18" t="n">
        <f aca="false">IF($K1829="SEM CULTURA",0,$W1829*$H1829)</f>
        <v>4685.32512</v>
      </c>
      <c r="AJ1829" s="18" t="n">
        <f aca="false">IF($K1829="SEM CULTURA",0,$S1829*$H1829)</f>
        <v>4198.32</v>
      </c>
      <c r="AK1829" s="8" t="str">
        <f aca="false">$E1829&amp;"|"&amp;TEXT($AD1829,"0.000000")</f>
        <v>PV 124|0.350118</v>
      </c>
    </row>
    <row r="1830" customFormat="false" ht="15" hidden="false" customHeight="false" outlineLevel="0" collapsed="false">
      <c r="B1830" s="16" t="n">
        <v>43</v>
      </c>
      <c r="C1830" s="17" t="n">
        <f aca="false">DATA_INICIO_SAFRA+($B1830-1)*DIAS_POR_SEMANA</f>
        <v>46559</v>
      </c>
      <c r="D1830" s="17" t="n">
        <f aca="false">$C1830+DIAS_POR_SEMANA-1</f>
        <v>46565</v>
      </c>
      <c r="E1830" s="15" t="s">
        <v>286</v>
      </c>
      <c r="F1830" s="8" t="str">
        <f aca="false">IFERROR(INDEX(CADASTRO_PIVOS!$C$6:$C$41,MATCH($E1830,CADASTRO_PIVOS!$B$6:$B$41,0)),"?")</f>
        <v>RM07</v>
      </c>
      <c r="G1830" s="8" t="str">
        <f aca="false">IFERROR(INDEX(CADASTRO_PIVOS!$D$6:$D$41,MATCH($E1830,CADASTRO_PIVOS!$B$6:$B$41,0)),"?")</f>
        <v>TR07</v>
      </c>
      <c r="H1830" s="20" t="n">
        <f aca="false">IFERROR(INDEX(CADASTRO_PIVOS!$E$6:$E$41,MATCH($E1830,CADASTRO_PIVOS!$B$6:$B$41,0)),0)</f>
        <v>149.94</v>
      </c>
      <c r="I1830" s="16" t="n">
        <f aca="false">IFERROR(SUMIFS(ROTACAO_RDM!$B$6:$B$71,ROTACAO_RDM!$D$6:$D$71,$E1830,ROTACAO_RDM!$I$6:$I$71,"&lt;="&amp;$C1830+INT(DIAS_POR_SEMANA/2),ROTACAO_RDM!$J$6:$J$71,"&gt;="&amp;$C1830+INT(DIAS_POR_SEMANA/2)),0)</f>
        <v>45</v>
      </c>
      <c r="J1830" s="16" t="n">
        <f aca="false">IFERROR(MATCH($I1830,ROTACAO_RDM!$B$6:$B$71,0),0)</f>
        <v>45</v>
      </c>
      <c r="K1830" s="8" t="str">
        <f aca="false">IF($J1830=0,"SEM CULTURA",INDEX(ROTACAO_RDM!$F$6:$F$71,$J1830))</f>
        <v>ALGODAO</v>
      </c>
      <c r="L1830" s="8" t="str">
        <f aca="false">IF($J1830=0,"",INDEX(ROTACAO_RDM!$G$6:$G$71,$J1830))</f>
        <v>FM 911 GLTP</v>
      </c>
      <c r="M1830" s="17" t="n">
        <f aca="false">IF($J1830=0,"",INDEX(ROTACAO_RDM!$I$6:$I$71,$J1830))</f>
        <v>46433</v>
      </c>
      <c r="N1830" s="16" t="n">
        <f aca="false">IF($J1830=0,0,MAX(0,$C1830+INT(DIAS_POR_SEMANA/2)-INDEX(ROTACAO_RDM!$I$6:$I$71,$J1830)))</f>
        <v>129</v>
      </c>
      <c r="O1830" s="19" t="n">
        <f aca="false">IF($J1830=0,0,MIN(1,$N1830/MAX(1,INDEX(ROTACAO_RDM!$K$6:$K$71,$J1830))))</f>
        <v>0.716666666666667</v>
      </c>
      <c r="P1830" s="16" t="n">
        <f aca="false">IF($J1830=0,0,IFERROR(MATCH(INDEX(ROTACAO_RDM!$N$6:$N$71,$J1830),PARAMETROS_CULTURAS!$B$6:$B$28,0),0))</f>
        <v>4</v>
      </c>
      <c r="Q1830" s="8" t="str">
        <f aca="false">IF($P1830=0,"-",IF($O1830&lt;=INDEX(PARAMETROS_CULTURAS!$F$6:$F$28,$P1830),"INICIAL",IF($O1830&lt;=INDEX(PARAMETROS_CULTURAS!$F$6:$F$28,$P1830)+INDEX(PARAMETROS_CULTURAS!$G$6:$G$28,$P1830),"DESENVOLVIMENTO",IF($O1830&lt;=INDEX(PARAMETROS_CULTURAS!$F$6:$F$28,$P1830)+INDEX(PARAMETROS_CULTURAS!$G$6:$G$28,$P1830)+INDEX(PARAMETROS_CULTURAS!$H$6:$H$28,$P1830),"MEDIA","FINAL"))))</f>
        <v>MEDIA</v>
      </c>
      <c r="R1830" s="24" t="n">
        <f aca="false">IF($P1830=0,0,IF($O1830&lt;=INDEX(PARAMETROS_CULTURAS!$F$6:$F$28,$P1830),INDEX(PARAMETROS_CULTURAS!$K$6:$K$28,$P1830),IF($O1830&lt;=INDEX(PARAMETROS_CULTURAS!$F$6:$F$28,$P1830)+INDEX(PARAMETROS_CULTURAS!$G$6:$G$28,$P1830),INDEX(PARAMETROS_CULTURAS!$K$6:$K$28,$P1830)+(INDEX(PARAMETROS_CULTURAS!$L$6:$L$28,$P1830)-INDEX(PARAMETROS_CULTURAS!$K$6:$K$28,$P1830))*($O1830-INDEX(PARAMETROS_CULTURAS!$F$6:$F$28,$P1830))/MAX(INDEX(PARAMETROS_CULTURAS!$G$6:$G$28,$P1830),0.0001),IF($O1830&lt;=INDEX(PARAMETROS_CULTURAS!$F$6:$F$28,$P1830)+INDEX(PARAMETROS_CULTURAS!$G$6:$G$28,$P1830)+INDEX(PARAMETROS_CULTURAS!$H$6:$H$28,$P1830),INDEX(PARAMETROS_CULTURAS!$L$6:$L$28,$P1830),INDEX(PARAMETROS_CULTURAS!$L$6:$L$28,$P1830)+(INDEX(PARAMETROS_CULTURAS!$M$6:$M$28,$P1830)-INDEX(PARAMETROS_CULTURAS!$L$6:$L$28,$P1830))*($O1830-INDEX(PARAMETROS_CULTURAS!$F$6:$F$28,$P1830)-INDEX(PARAMETROS_CULTURAS!$G$6:$G$28,$P1830)-INDEX(PARAMETROS_CULTURAS!$H$6:$H$28,$P1830))/MAX(INDEX(PARAMETROS_CULTURAS!$I$6:$I$28,$P1830),0.0001)))))</f>
        <v>1.15</v>
      </c>
      <c r="S1830" s="18" t="n">
        <f aca="false">IFERROR(INDEX(SEMANAS!$H$6:$H$71,MATCH($B1830,SEMANAS!$B$6:$B$71,0)),0)</f>
        <v>28</v>
      </c>
      <c r="T1830" s="18" t="n">
        <f aca="false">$R1830*$S1830</f>
        <v>32.2</v>
      </c>
      <c r="U1830" s="18" t="n">
        <f aca="false">IFERROR(INDEX(SEMANAS!$I$6:$I$71,MATCH($B1830,SEMANAS!$B$6:$B$71,0)),0)</f>
        <v>1.19</v>
      </c>
      <c r="V1830" s="18" t="n">
        <f aca="false">IFERROR(INDEX(SEMANAS!$J$6:$J$71,MATCH($B1830,SEMANAS!$B$6:$B$71,0)),0)</f>
        <v>0.952</v>
      </c>
      <c r="W1830" s="18" t="n">
        <f aca="false">MAX(0,$T1830-$V1830)</f>
        <v>31.248</v>
      </c>
      <c r="X1830" s="19" t="n">
        <f aca="false">IFERROR(INDEX(CADASTRO_PIVOS!$K$6:$K$41,MATCH($E1830,CADASTRO_PIVOS!$B$6:$B$41,0)),EFICIENCIA_PADRAO)</f>
        <v>0.85</v>
      </c>
      <c r="Y1830" s="18" t="n">
        <f aca="false">IF($X1830&lt;=0,0,$W1830/$X1830)</f>
        <v>36.7623529411765</v>
      </c>
      <c r="Z1830" s="16" t="n">
        <f aca="false">$Y1830*$H1830*MM_PARA_M3_HA</f>
        <v>55121.472</v>
      </c>
      <c r="AA1830" s="18" t="n">
        <f aca="false">IFERROR(INDEX(CADASTRO_PIVOS!$I$6:$I$41,MATCH($E1830,CADASTRO_PIVOS!$B$6:$B$41,0)),0)</f>
        <v>1071</v>
      </c>
      <c r="AB1830" s="18" t="n">
        <f aca="false">IF($Z1830&lt;=0,0,$Z1830/$AA1830)</f>
        <v>51.4672941176471</v>
      </c>
      <c r="AC1830" s="16" t="n">
        <f aca="false">IFERROR(INDEX(SEMANAS!$K$6:$K$71,MATCH($B1830,SEMANAS!$B$6:$B$71,0)),0)</f>
        <v>147</v>
      </c>
      <c r="AD1830" s="19" t="n">
        <f aca="false">IF($AC1830&lt;=0,0,$AB1830/$AC1830)</f>
        <v>0.350117647058824</v>
      </c>
      <c r="AE1830" s="8" t="str">
        <f aca="false">IF($K1830="SEM CULTURA","SEM CULTURA",IF($AA1830&lt;=0,"DADO PENDENTE",IF($AD1830&gt;LIMITE_CRITICO,"INVIAVEL",IF($AD1830&gt;LIMITE_ATENCAO,"CRITICO",IF($AD1830&gt;LIMITE_CONFORTAVEL,"ATENCAO","OK")))))</f>
        <v>OK</v>
      </c>
      <c r="AF1830" s="8" t="str">
        <f aca="false">$B1830&amp;"|"&amp;TEXT($AD1830,"0.000000")</f>
        <v>43|0.350118</v>
      </c>
      <c r="AG1830" s="18" t="n">
        <f aca="false">IF($K1830="SEM CULTURA",0,$T1830*$H1830)</f>
        <v>4828.068</v>
      </c>
      <c r="AH1830" s="18" t="n">
        <f aca="false">IF($K1830="SEM CULTURA",0,$V1830*$H1830)</f>
        <v>142.74288</v>
      </c>
      <c r="AI1830" s="18" t="n">
        <f aca="false">IF($K1830="SEM CULTURA",0,$W1830*$H1830)</f>
        <v>4685.32512</v>
      </c>
      <c r="AJ1830" s="18" t="n">
        <f aca="false">IF($K1830="SEM CULTURA",0,$S1830*$H1830)</f>
        <v>4198.32</v>
      </c>
      <c r="AK1830" s="8" t="str">
        <f aca="false">$E1830&amp;"|"&amp;TEXT($AD1830,"0.000000")</f>
        <v>PV 124|0.350118</v>
      </c>
    </row>
    <row r="1831" customFormat="false" ht="15" hidden="false" customHeight="false" outlineLevel="0" collapsed="false">
      <c r="B1831" s="16" t="n">
        <v>44</v>
      </c>
      <c r="C1831" s="17" t="n">
        <f aca="false">DATA_INICIO_SAFRA+($B1831-1)*DIAS_POR_SEMANA</f>
        <v>46566</v>
      </c>
      <c r="D1831" s="17" t="n">
        <f aca="false">$C1831+DIAS_POR_SEMANA-1</f>
        <v>46572</v>
      </c>
      <c r="E1831" s="15" t="s">
        <v>286</v>
      </c>
      <c r="F1831" s="8" t="str">
        <f aca="false">IFERROR(INDEX(CADASTRO_PIVOS!$C$6:$C$41,MATCH($E1831,CADASTRO_PIVOS!$B$6:$B$41,0)),"?")</f>
        <v>RM07</v>
      </c>
      <c r="G1831" s="8" t="str">
        <f aca="false">IFERROR(INDEX(CADASTRO_PIVOS!$D$6:$D$41,MATCH($E1831,CADASTRO_PIVOS!$B$6:$B$41,0)),"?")</f>
        <v>TR07</v>
      </c>
      <c r="H1831" s="20" t="n">
        <f aca="false">IFERROR(INDEX(CADASTRO_PIVOS!$E$6:$E$41,MATCH($E1831,CADASTRO_PIVOS!$B$6:$B$41,0)),0)</f>
        <v>149.94</v>
      </c>
      <c r="I1831" s="16" t="n">
        <f aca="false">IFERROR(SUMIFS(ROTACAO_RDM!$B$6:$B$71,ROTACAO_RDM!$D$6:$D$71,$E1831,ROTACAO_RDM!$I$6:$I$71,"&lt;="&amp;$C1831+INT(DIAS_POR_SEMANA/2),ROTACAO_RDM!$J$6:$J$71,"&gt;="&amp;$C1831+INT(DIAS_POR_SEMANA/2)),0)</f>
        <v>45</v>
      </c>
      <c r="J1831" s="16" t="n">
        <f aca="false">IFERROR(MATCH($I1831,ROTACAO_RDM!$B$6:$B$71,0),0)</f>
        <v>45</v>
      </c>
      <c r="K1831" s="8" t="str">
        <f aca="false">IF($J1831=0,"SEM CULTURA",INDEX(ROTACAO_RDM!$F$6:$F$71,$J1831))</f>
        <v>ALGODAO</v>
      </c>
      <c r="L1831" s="8" t="str">
        <f aca="false">IF($J1831=0,"",INDEX(ROTACAO_RDM!$G$6:$G$71,$J1831))</f>
        <v>FM 911 GLTP</v>
      </c>
      <c r="M1831" s="17" t="n">
        <f aca="false">IF($J1831=0,"",INDEX(ROTACAO_RDM!$I$6:$I$71,$J1831))</f>
        <v>46433</v>
      </c>
      <c r="N1831" s="16" t="n">
        <f aca="false">IF($J1831=0,0,MAX(0,$C1831+INT(DIAS_POR_SEMANA/2)-INDEX(ROTACAO_RDM!$I$6:$I$71,$J1831)))</f>
        <v>136</v>
      </c>
      <c r="O1831" s="19" t="n">
        <f aca="false">IF($J1831=0,0,MIN(1,$N1831/MAX(1,INDEX(ROTACAO_RDM!$K$6:$K$71,$J1831))))</f>
        <v>0.755555555555556</v>
      </c>
      <c r="P1831" s="16" t="n">
        <f aca="false">IF($J1831=0,0,IFERROR(MATCH(INDEX(ROTACAO_RDM!$N$6:$N$71,$J1831),PARAMETROS_CULTURAS!$B$6:$B$28,0),0))</f>
        <v>4</v>
      </c>
      <c r="Q1831" s="8" t="str">
        <f aca="false">IF($P1831=0,"-",IF($O1831&lt;=INDEX(PARAMETROS_CULTURAS!$F$6:$F$28,$P1831),"INICIAL",IF($O1831&lt;=INDEX(PARAMETROS_CULTURAS!$F$6:$F$28,$P1831)+INDEX(PARAMETROS_CULTURAS!$G$6:$G$28,$P1831),"DESENVOLVIMENTO",IF($O1831&lt;=INDEX(PARAMETROS_CULTURAS!$F$6:$F$28,$P1831)+INDEX(PARAMETROS_CULTURAS!$G$6:$G$28,$P1831)+INDEX(PARAMETROS_CULTURAS!$H$6:$H$28,$P1831),"MEDIA","FINAL"))))</f>
        <v>FINAL</v>
      </c>
      <c r="R1831" s="24" t="n">
        <f aca="false">IF($P1831=0,0,IF($O1831&lt;=INDEX(PARAMETROS_CULTURAS!$F$6:$F$28,$P1831),INDEX(PARAMETROS_CULTURAS!$K$6:$K$28,$P1831),IF($O1831&lt;=INDEX(PARAMETROS_CULTURAS!$F$6:$F$28,$P1831)+INDEX(PARAMETROS_CULTURAS!$G$6:$G$28,$P1831),INDEX(PARAMETROS_CULTURAS!$K$6:$K$28,$P1831)+(INDEX(PARAMETROS_CULTURAS!$L$6:$L$28,$P1831)-INDEX(PARAMETROS_CULTURAS!$K$6:$K$28,$P1831))*($O1831-INDEX(PARAMETROS_CULTURAS!$F$6:$F$28,$P1831))/MAX(INDEX(PARAMETROS_CULTURAS!$G$6:$G$28,$P1831),0.0001),IF($O1831&lt;=INDEX(PARAMETROS_CULTURAS!$F$6:$F$28,$P1831)+INDEX(PARAMETROS_CULTURAS!$G$6:$G$28,$P1831)+INDEX(PARAMETROS_CULTURAS!$H$6:$H$28,$P1831),INDEX(PARAMETROS_CULTURAS!$L$6:$L$28,$P1831),INDEX(PARAMETROS_CULTURAS!$L$6:$L$28,$P1831)+(INDEX(PARAMETROS_CULTURAS!$M$6:$M$28,$P1831)-INDEX(PARAMETROS_CULTURAS!$L$6:$L$28,$P1831))*($O1831-INDEX(PARAMETROS_CULTURAS!$F$6:$F$28,$P1831)-INDEX(PARAMETROS_CULTURAS!$G$6:$G$28,$P1831)-INDEX(PARAMETROS_CULTURAS!$H$6:$H$28,$P1831))/MAX(INDEX(PARAMETROS_CULTURAS!$I$6:$I$28,$P1831),0.0001)))))</f>
        <v>1.13777777777778</v>
      </c>
      <c r="S1831" s="18" t="n">
        <f aca="false">IFERROR(INDEX(SEMANAS!$H$6:$H$71,MATCH($B1831,SEMANAS!$B$6:$B$71,0)),0)</f>
        <v>29.2</v>
      </c>
      <c r="T1831" s="18" t="n">
        <f aca="false">$R1831*$S1831</f>
        <v>33.2231111111111</v>
      </c>
      <c r="U1831" s="18" t="n">
        <f aca="false">IFERROR(INDEX(SEMANAS!$I$6:$I$71,MATCH($B1831,SEMANAS!$B$6:$B$71,0)),0)</f>
        <v>0.91</v>
      </c>
      <c r="V1831" s="18" t="n">
        <f aca="false">IFERROR(INDEX(SEMANAS!$J$6:$J$71,MATCH($B1831,SEMANAS!$B$6:$B$71,0)),0)</f>
        <v>0.728</v>
      </c>
      <c r="W1831" s="18" t="n">
        <f aca="false">MAX(0,$T1831-$V1831)</f>
        <v>32.4951111111111</v>
      </c>
      <c r="X1831" s="19" t="n">
        <f aca="false">IFERROR(INDEX(CADASTRO_PIVOS!$K$6:$K$41,MATCH($E1831,CADASTRO_PIVOS!$B$6:$B$41,0)),EFICIENCIA_PADRAO)</f>
        <v>0.85</v>
      </c>
      <c r="Y1831" s="18" t="n">
        <f aca="false">IF($X1831&lt;=0,0,$W1831/$X1831)</f>
        <v>38.2295424836601</v>
      </c>
      <c r="Z1831" s="16" t="n">
        <f aca="false">$Y1831*$H1831*MM_PARA_M3_HA</f>
        <v>57321.376</v>
      </c>
      <c r="AA1831" s="18" t="n">
        <f aca="false">IFERROR(INDEX(CADASTRO_PIVOS!$I$6:$I$41,MATCH($E1831,CADASTRO_PIVOS!$B$6:$B$41,0)),0)</f>
        <v>1071</v>
      </c>
      <c r="AB1831" s="18" t="n">
        <f aca="false">IF($Z1831&lt;=0,0,$Z1831/$AA1831)</f>
        <v>53.5213594771242</v>
      </c>
      <c r="AC1831" s="16" t="n">
        <f aca="false">IFERROR(INDEX(SEMANAS!$K$6:$K$71,MATCH($B1831,SEMANAS!$B$6:$B$71,0)),0)</f>
        <v>147</v>
      </c>
      <c r="AD1831" s="19" t="n">
        <f aca="false">IF($AC1831&lt;=0,0,$AB1831/$AC1831)</f>
        <v>0.364090880796763</v>
      </c>
      <c r="AE1831" s="8" t="str">
        <f aca="false">IF($K1831="SEM CULTURA","SEM CULTURA",IF($AA1831&lt;=0,"DADO PENDENTE",IF($AD1831&gt;LIMITE_CRITICO,"INVIAVEL",IF($AD1831&gt;LIMITE_ATENCAO,"CRITICO",IF($AD1831&gt;LIMITE_CONFORTAVEL,"ATENCAO","OK")))))</f>
        <v>OK</v>
      </c>
      <c r="AF1831" s="8" t="str">
        <f aca="false">$B1831&amp;"|"&amp;TEXT($AD1831,"0.000000")</f>
        <v>44|0.364091</v>
      </c>
      <c r="AG1831" s="18" t="n">
        <f aca="false">IF($K1831="SEM CULTURA",0,$T1831*$H1831)</f>
        <v>4981.47328</v>
      </c>
      <c r="AH1831" s="18" t="n">
        <f aca="false">IF($K1831="SEM CULTURA",0,$V1831*$H1831)</f>
        <v>109.15632</v>
      </c>
      <c r="AI1831" s="18" t="n">
        <f aca="false">IF($K1831="SEM CULTURA",0,$W1831*$H1831)</f>
        <v>4872.31696</v>
      </c>
      <c r="AJ1831" s="18" t="n">
        <f aca="false">IF($K1831="SEM CULTURA",0,$S1831*$H1831)</f>
        <v>4378.248</v>
      </c>
      <c r="AK1831" s="8" t="str">
        <f aca="false">$E1831&amp;"|"&amp;TEXT($AD1831,"0.000000")</f>
        <v>PV 124|0.364091</v>
      </c>
    </row>
    <row r="1832" customFormat="false" ht="15" hidden="false" customHeight="false" outlineLevel="0" collapsed="false">
      <c r="B1832" s="16" t="n">
        <v>45</v>
      </c>
      <c r="C1832" s="17" t="n">
        <f aca="false">DATA_INICIO_SAFRA+($B1832-1)*DIAS_POR_SEMANA</f>
        <v>46573</v>
      </c>
      <c r="D1832" s="17" t="n">
        <f aca="false">$C1832+DIAS_POR_SEMANA-1</f>
        <v>46579</v>
      </c>
      <c r="E1832" s="15" t="s">
        <v>286</v>
      </c>
      <c r="F1832" s="8" t="str">
        <f aca="false">IFERROR(INDEX(CADASTRO_PIVOS!$C$6:$C$41,MATCH($E1832,CADASTRO_PIVOS!$B$6:$B$41,0)),"?")</f>
        <v>RM07</v>
      </c>
      <c r="G1832" s="8" t="str">
        <f aca="false">IFERROR(INDEX(CADASTRO_PIVOS!$D$6:$D$41,MATCH($E1832,CADASTRO_PIVOS!$B$6:$B$41,0)),"?")</f>
        <v>TR07</v>
      </c>
      <c r="H1832" s="20" t="n">
        <f aca="false">IFERROR(INDEX(CADASTRO_PIVOS!$E$6:$E$41,MATCH($E1832,CADASTRO_PIVOS!$B$6:$B$41,0)),0)</f>
        <v>149.94</v>
      </c>
      <c r="I1832" s="16" t="n">
        <f aca="false">IFERROR(SUMIFS(ROTACAO_RDM!$B$6:$B$71,ROTACAO_RDM!$D$6:$D$71,$E1832,ROTACAO_RDM!$I$6:$I$71,"&lt;="&amp;$C1832+INT(DIAS_POR_SEMANA/2),ROTACAO_RDM!$J$6:$J$71,"&gt;="&amp;$C1832+INT(DIAS_POR_SEMANA/2)),0)</f>
        <v>45</v>
      </c>
      <c r="J1832" s="16" t="n">
        <f aca="false">IFERROR(MATCH($I1832,ROTACAO_RDM!$B$6:$B$71,0),0)</f>
        <v>45</v>
      </c>
      <c r="K1832" s="8" t="str">
        <f aca="false">IF($J1832=0,"SEM CULTURA",INDEX(ROTACAO_RDM!$F$6:$F$71,$J1832))</f>
        <v>ALGODAO</v>
      </c>
      <c r="L1832" s="8" t="str">
        <f aca="false">IF($J1832=0,"",INDEX(ROTACAO_RDM!$G$6:$G$71,$J1832))</f>
        <v>FM 911 GLTP</v>
      </c>
      <c r="M1832" s="17" t="n">
        <f aca="false">IF($J1832=0,"",INDEX(ROTACAO_RDM!$I$6:$I$71,$J1832))</f>
        <v>46433</v>
      </c>
      <c r="N1832" s="16" t="n">
        <f aca="false">IF($J1832=0,0,MAX(0,$C1832+INT(DIAS_POR_SEMANA/2)-INDEX(ROTACAO_RDM!$I$6:$I$71,$J1832)))</f>
        <v>143</v>
      </c>
      <c r="O1832" s="19" t="n">
        <f aca="false">IF($J1832=0,0,MIN(1,$N1832/MAX(1,INDEX(ROTACAO_RDM!$K$6:$K$71,$J1832))))</f>
        <v>0.794444444444444</v>
      </c>
      <c r="P1832" s="16" t="n">
        <f aca="false">IF($J1832=0,0,IFERROR(MATCH(INDEX(ROTACAO_RDM!$N$6:$N$71,$J1832),PARAMETROS_CULTURAS!$B$6:$B$28,0),0))</f>
        <v>4</v>
      </c>
      <c r="Q1832" s="8" t="str">
        <f aca="false">IF($P1832=0,"-",IF($O1832&lt;=INDEX(PARAMETROS_CULTURAS!$F$6:$F$28,$P1832),"INICIAL",IF($O1832&lt;=INDEX(PARAMETROS_CULTURAS!$F$6:$F$28,$P1832)+INDEX(PARAMETROS_CULTURAS!$G$6:$G$28,$P1832),"DESENVOLVIMENTO",IF($O1832&lt;=INDEX(PARAMETROS_CULTURAS!$F$6:$F$28,$P1832)+INDEX(PARAMETROS_CULTURAS!$G$6:$G$28,$P1832)+INDEX(PARAMETROS_CULTURAS!$H$6:$H$28,$P1832),"MEDIA","FINAL"))))</f>
        <v>FINAL</v>
      </c>
      <c r="R1832" s="24" t="n">
        <f aca="false">IF($P1832=0,0,IF($O1832&lt;=INDEX(PARAMETROS_CULTURAS!$F$6:$F$28,$P1832),INDEX(PARAMETROS_CULTURAS!$K$6:$K$28,$P1832),IF($O1832&lt;=INDEX(PARAMETROS_CULTURAS!$F$6:$F$28,$P1832)+INDEX(PARAMETROS_CULTURAS!$G$6:$G$28,$P1832),INDEX(PARAMETROS_CULTURAS!$K$6:$K$28,$P1832)+(INDEX(PARAMETROS_CULTURAS!$L$6:$L$28,$P1832)-INDEX(PARAMETROS_CULTURAS!$K$6:$K$28,$P1832))*($O1832-INDEX(PARAMETROS_CULTURAS!$F$6:$F$28,$P1832))/MAX(INDEX(PARAMETROS_CULTURAS!$G$6:$G$28,$P1832),0.0001),IF($O1832&lt;=INDEX(PARAMETROS_CULTURAS!$F$6:$F$28,$P1832)+INDEX(PARAMETROS_CULTURAS!$G$6:$G$28,$P1832)+INDEX(PARAMETROS_CULTURAS!$H$6:$H$28,$P1832),INDEX(PARAMETROS_CULTURAS!$L$6:$L$28,$P1832),INDEX(PARAMETROS_CULTURAS!$L$6:$L$28,$P1832)+(INDEX(PARAMETROS_CULTURAS!$M$6:$M$28,$P1832)-INDEX(PARAMETROS_CULTURAS!$L$6:$L$28,$P1832))*($O1832-INDEX(PARAMETROS_CULTURAS!$F$6:$F$28,$P1832)-INDEX(PARAMETROS_CULTURAS!$G$6:$G$28,$P1832)-INDEX(PARAMETROS_CULTURAS!$H$6:$H$28,$P1832))/MAX(INDEX(PARAMETROS_CULTURAS!$I$6:$I$28,$P1832),0.0001)))))</f>
        <v>1.05222222222222</v>
      </c>
      <c r="S1832" s="18" t="n">
        <f aca="false">IFERROR(INDEX(SEMANAS!$H$6:$H$71,MATCH($B1832,SEMANAS!$B$6:$B$71,0)),0)</f>
        <v>30.1</v>
      </c>
      <c r="T1832" s="18" t="n">
        <f aca="false">$R1832*$S1832</f>
        <v>31.6718888888889</v>
      </c>
      <c r="U1832" s="18" t="n">
        <f aca="false">IFERROR(INDEX(SEMANAS!$I$6:$I$71,MATCH($B1832,SEMANAS!$B$6:$B$71,0)),0)</f>
        <v>0.7</v>
      </c>
      <c r="V1832" s="18" t="n">
        <f aca="false">IFERROR(INDEX(SEMANAS!$J$6:$J$71,MATCH($B1832,SEMANAS!$B$6:$B$71,0)),0)</f>
        <v>0.56</v>
      </c>
      <c r="W1832" s="18" t="n">
        <f aca="false">MAX(0,$T1832-$V1832)</f>
        <v>31.1118888888889</v>
      </c>
      <c r="X1832" s="19" t="n">
        <f aca="false">IFERROR(INDEX(CADASTRO_PIVOS!$K$6:$K$41,MATCH($E1832,CADASTRO_PIVOS!$B$6:$B$41,0)),EFICIENCIA_PADRAO)</f>
        <v>0.85</v>
      </c>
      <c r="Y1832" s="18" t="n">
        <f aca="false">IF($X1832&lt;=0,0,$W1832/$X1832)</f>
        <v>36.6022222222222</v>
      </c>
      <c r="Z1832" s="16" t="n">
        <f aca="false">$Y1832*$H1832*MM_PARA_M3_HA</f>
        <v>54881.372</v>
      </c>
      <c r="AA1832" s="18" t="n">
        <f aca="false">IFERROR(INDEX(CADASTRO_PIVOS!$I$6:$I$41,MATCH($E1832,CADASTRO_PIVOS!$B$6:$B$41,0)),0)</f>
        <v>1071</v>
      </c>
      <c r="AB1832" s="18" t="n">
        <f aca="false">IF($Z1832&lt;=0,0,$Z1832/$AA1832)</f>
        <v>51.2431111111111</v>
      </c>
      <c r="AC1832" s="16" t="n">
        <f aca="false">IFERROR(INDEX(SEMANAS!$K$6:$K$71,MATCH($B1832,SEMANAS!$B$6:$B$71,0)),0)</f>
        <v>147</v>
      </c>
      <c r="AD1832" s="19" t="n">
        <f aca="false">IF($AC1832&lt;=0,0,$AB1832/$AC1832)</f>
        <v>0.348592592592593</v>
      </c>
      <c r="AE1832" s="8" t="str">
        <f aca="false">IF($K1832="SEM CULTURA","SEM CULTURA",IF($AA1832&lt;=0,"DADO PENDENTE",IF($AD1832&gt;LIMITE_CRITICO,"INVIAVEL",IF($AD1832&gt;LIMITE_ATENCAO,"CRITICO",IF($AD1832&gt;LIMITE_CONFORTAVEL,"ATENCAO","OK")))))</f>
        <v>OK</v>
      </c>
      <c r="AF1832" s="8" t="str">
        <f aca="false">$B1832&amp;"|"&amp;TEXT($AD1832,"0.000000")</f>
        <v>45|0.348593</v>
      </c>
      <c r="AG1832" s="18" t="n">
        <f aca="false">IF($K1832="SEM CULTURA",0,$T1832*$H1832)</f>
        <v>4748.88302</v>
      </c>
      <c r="AH1832" s="18" t="n">
        <f aca="false">IF($K1832="SEM CULTURA",0,$V1832*$H1832)</f>
        <v>83.9664</v>
      </c>
      <c r="AI1832" s="18" t="n">
        <f aca="false">IF($K1832="SEM CULTURA",0,$W1832*$H1832)</f>
        <v>4664.91662</v>
      </c>
      <c r="AJ1832" s="18" t="n">
        <f aca="false">IF($K1832="SEM CULTURA",0,$S1832*$H1832)</f>
        <v>4513.194</v>
      </c>
      <c r="AK1832" s="8" t="str">
        <f aca="false">$E1832&amp;"|"&amp;TEXT($AD1832,"0.000000")</f>
        <v>PV 124|0.348593</v>
      </c>
    </row>
    <row r="1833" customFormat="false" ht="15" hidden="false" customHeight="false" outlineLevel="0" collapsed="false">
      <c r="B1833" s="16" t="n">
        <v>46</v>
      </c>
      <c r="C1833" s="17" t="n">
        <f aca="false">DATA_INICIO_SAFRA+($B1833-1)*DIAS_POR_SEMANA</f>
        <v>46580</v>
      </c>
      <c r="D1833" s="17" t="n">
        <f aca="false">$C1833+DIAS_POR_SEMANA-1</f>
        <v>46586</v>
      </c>
      <c r="E1833" s="15" t="s">
        <v>286</v>
      </c>
      <c r="F1833" s="8" t="str">
        <f aca="false">IFERROR(INDEX(CADASTRO_PIVOS!$C$6:$C$41,MATCH($E1833,CADASTRO_PIVOS!$B$6:$B$41,0)),"?")</f>
        <v>RM07</v>
      </c>
      <c r="G1833" s="8" t="str">
        <f aca="false">IFERROR(INDEX(CADASTRO_PIVOS!$D$6:$D$41,MATCH($E1833,CADASTRO_PIVOS!$B$6:$B$41,0)),"?")</f>
        <v>TR07</v>
      </c>
      <c r="H1833" s="20" t="n">
        <f aca="false">IFERROR(INDEX(CADASTRO_PIVOS!$E$6:$E$41,MATCH($E1833,CADASTRO_PIVOS!$B$6:$B$41,0)),0)</f>
        <v>149.94</v>
      </c>
      <c r="I1833" s="16" t="n">
        <f aca="false">IFERROR(SUMIFS(ROTACAO_RDM!$B$6:$B$71,ROTACAO_RDM!$D$6:$D$71,$E1833,ROTACAO_RDM!$I$6:$I$71,"&lt;="&amp;$C1833+INT(DIAS_POR_SEMANA/2),ROTACAO_RDM!$J$6:$J$71,"&gt;="&amp;$C1833+INT(DIAS_POR_SEMANA/2)),0)</f>
        <v>45</v>
      </c>
      <c r="J1833" s="16" t="n">
        <f aca="false">IFERROR(MATCH($I1833,ROTACAO_RDM!$B$6:$B$71,0),0)</f>
        <v>45</v>
      </c>
      <c r="K1833" s="8" t="str">
        <f aca="false">IF($J1833=0,"SEM CULTURA",INDEX(ROTACAO_RDM!$F$6:$F$71,$J1833))</f>
        <v>ALGODAO</v>
      </c>
      <c r="L1833" s="8" t="str">
        <f aca="false">IF($J1833=0,"",INDEX(ROTACAO_RDM!$G$6:$G$71,$J1833))</f>
        <v>FM 911 GLTP</v>
      </c>
      <c r="M1833" s="17" t="n">
        <f aca="false">IF($J1833=0,"",INDEX(ROTACAO_RDM!$I$6:$I$71,$J1833))</f>
        <v>46433</v>
      </c>
      <c r="N1833" s="16" t="n">
        <f aca="false">IF($J1833=0,0,MAX(0,$C1833+INT(DIAS_POR_SEMANA/2)-INDEX(ROTACAO_RDM!$I$6:$I$71,$J1833)))</f>
        <v>150</v>
      </c>
      <c r="O1833" s="19" t="n">
        <f aca="false">IF($J1833=0,0,MIN(1,$N1833/MAX(1,INDEX(ROTACAO_RDM!$K$6:$K$71,$J1833))))</f>
        <v>0.833333333333333</v>
      </c>
      <c r="P1833" s="16" t="n">
        <f aca="false">IF($J1833=0,0,IFERROR(MATCH(INDEX(ROTACAO_RDM!$N$6:$N$71,$J1833),PARAMETROS_CULTURAS!$B$6:$B$28,0),0))</f>
        <v>4</v>
      </c>
      <c r="Q1833" s="8" t="str">
        <f aca="false">IF($P1833=0,"-",IF($O1833&lt;=INDEX(PARAMETROS_CULTURAS!$F$6:$F$28,$P1833),"INICIAL",IF($O1833&lt;=INDEX(PARAMETROS_CULTURAS!$F$6:$F$28,$P1833)+INDEX(PARAMETROS_CULTURAS!$G$6:$G$28,$P1833),"DESENVOLVIMENTO",IF($O1833&lt;=INDEX(PARAMETROS_CULTURAS!$F$6:$F$28,$P1833)+INDEX(PARAMETROS_CULTURAS!$G$6:$G$28,$P1833)+INDEX(PARAMETROS_CULTURAS!$H$6:$H$28,$P1833),"MEDIA","FINAL"))))</f>
        <v>FINAL</v>
      </c>
      <c r="R1833" s="24" t="n">
        <f aca="false">IF($P1833=0,0,IF($O1833&lt;=INDEX(PARAMETROS_CULTURAS!$F$6:$F$28,$P1833),INDEX(PARAMETROS_CULTURAS!$K$6:$K$28,$P1833),IF($O1833&lt;=INDEX(PARAMETROS_CULTURAS!$F$6:$F$28,$P1833)+INDEX(PARAMETROS_CULTURAS!$G$6:$G$28,$P1833),INDEX(PARAMETROS_CULTURAS!$K$6:$K$28,$P1833)+(INDEX(PARAMETROS_CULTURAS!$L$6:$L$28,$P1833)-INDEX(PARAMETROS_CULTURAS!$K$6:$K$28,$P1833))*($O1833-INDEX(PARAMETROS_CULTURAS!$F$6:$F$28,$P1833))/MAX(INDEX(PARAMETROS_CULTURAS!$G$6:$G$28,$P1833),0.0001),IF($O1833&lt;=INDEX(PARAMETROS_CULTURAS!$F$6:$F$28,$P1833)+INDEX(PARAMETROS_CULTURAS!$G$6:$G$28,$P1833)+INDEX(PARAMETROS_CULTURAS!$H$6:$H$28,$P1833),INDEX(PARAMETROS_CULTURAS!$L$6:$L$28,$P1833),INDEX(PARAMETROS_CULTURAS!$L$6:$L$28,$P1833)+(INDEX(PARAMETROS_CULTURAS!$M$6:$M$28,$P1833)-INDEX(PARAMETROS_CULTURAS!$L$6:$L$28,$P1833))*($O1833-INDEX(PARAMETROS_CULTURAS!$F$6:$F$28,$P1833)-INDEX(PARAMETROS_CULTURAS!$G$6:$G$28,$P1833)-INDEX(PARAMETROS_CULTURAS!$H$6:$H$28,$P1833))/MAX(INDEX(PARAMETROS_CULTURAS!$I$6:$I$28,$P1833),0.0001)))))</f>
        <v>0.966666666666667</v>
      </c>
      <c r="S1833" s="18" t="n">
        <f aca="false">IFERROR(INDEX(SEMANAS!$H$6:$H$71,MATCH($B1833,SEMANAS!$B$6:$B$71,0)),0)</f>
        <v>30.1</v>
      </c>
      <c r="T1833" s="18" t="n">
        <f aca="false">$R1833*$S1833</f>
        <v>29.0966666666667</v>
      </c>
      <c r="U1833" s="18" t="n">
        <f aca="false">IFERROR(INDEX(SEMANAS!$I$6:$I$71,MATCH($B1833,SEMANAS!$B$6:$B$71,0)),0)</f>
        <v>0.7</v>
      </c>
      <c r="V1833" s="18" t="n">
        <f aca="false">IFERROR(INDEX(SEMANAS!$J$6:$J$71,MATCH($B1833,SEMANAS!$B$6:$B$71,0)),0)</f>
        <v>0.56</v>
      </c>
      <c r="W1833" s="18" t="n">
        <f aca="false">MAX(0,$T1833-$V1833)</f>
        <v>28.5366666666667</v>
      </c>
      <c r="X1833" s="19" t="n">
        <f aca="false">IFERROR(INDEX(CADASTRO_PIVOS!$K$6:$K$41,MATCH($E1833,CADASTRO_PIVOS!$B$6:$B$41,0)),EFICIENCIA_PADRAO)</f>
        <v>0.85</v>
      </c>
      <c r="Y1833" s="18" t="n">
        <f aca="false">IF($X1833&lt;=0,0,$W1833/$X1833)</f>
        <v>33.5725490196078</v>
      </c>
      <c r="Z1833" s="16" t="n">
        <f aca="false">$Y1833*$H1833*MM_PARA_M3_HA</f>
        <v>50338.68</v>
      </c>
      <c r="AA1833" s="18" t="n">
        <f aca="false">IFERROR(INDEX(CADASTRO_PIVOS!$I$6:$I$41,MATCH($E1833,CADASTRO_PIVOS!$B$6:$B$41,0)),0)</f>
        <v>1071</v>
      </c>
      <c r="AB1833" s="18" t="n">
        <f aca="false">IF($Z1833&lt;=0,0,$Z1833/$AA1833)</f>
        <v>47.001568627451</v>
      </c>
      <c r="AC1833" s="16" t="n">
        <f aca="false">IFERROR(INDEX(SEMANAS!$K$6:$K$71,MATCH($B1833,SEMANAS!$B$6:$B$71,0)),0)</f>
        <v>147</v>
      </c>
      <c r="AD1833" s="19" t="n">
        <f aca="false">IF($AC1833&lt;=0,0,$AB1833/$AC1833)</f>
        <v>0.319738562091503</v>
      </c>
      <c r="AE1833" s="8" t="str">
        <f aca="false">IF($K1833="SEM CULTURA","SEM CULTURA",IF($AA1833&lt;=0,"DADO PENDENTE",IF($AD1833&gt;LIMITE_CRITICO,"INVIAVEL",IF($AD1833&gt;LIMITE_ATENCAO,"CRITICO",IF($AD1833&gt;LIMITE_CONFORTAVEL,"ATENCAO","OK")))))</f>
        <v>OK</v>
      </c>
      <c r="AF1833" s="8" t="str">
        <f aca="false">$B1833&amp;"|"&amp;TEXT($AD1833,"0.000000")</f>
        <v>46|0.319739</v>
      </c>
      <c r="AG1833" s="18" t="n">
        <f aca="false">IF($K1833="SEM CULTURA",0,$T1833*$H1833)</f>
        <v>4362.7542</v>
      </c>
      <c r="AH1833" s="18" t="n">
        <f aca="false">IF($K1833="SEM CULTURA",0,$V1833*$H1833)</f>
        <v>83.9664</v>
      </c>
      <c r="AI1833" s="18" t="n">
        <f aca="false">IF($K1833="SEM CULTURA",0,$W1833*$H1833)</f>
        <v>4278.7878</v>
      </c>
      <c r="AJ1833" s="18" t="n">
        <f aca="false">IF($K1833="SEM CULTURA",0,$S1833*$H1833)</f>
        <v>4513.194</v>
      </c>
      <c r="AK1833" s="8" t="str">
        <f aca="false">$E1833&amp;"|"&amp;TEXT($AD1833,"0.000000")</f>
        <v>PV 124|0.319739</v>
      </c>
    </row>
    <row r="1834" customFormat="false" ht="15" hidden="false" customHeight="false" outlineLevel="0" collapsed="false">
      <c r="B1834" s="16" t="n">
        <v>47</v>
      </c>
      <c r="C1834" s="17" t="n">
        <f aca="false">DATA_INICIO_SAFRA+($B1834-1)*DIAS_POR_SEMANA</f>
        <v>46587</v>
      </c>
      <c r="D1834" s="17" t="n">
        <f aca="false">$C1834+DIAS_POR_SEMANA-1</f>
        <v>46593</v>
      </c>
      <c r="E1834" s="15" t="s">
        <v>286</v>
      </c>
      <c r="F1834" s="8" t="str">
        <f aca="false">IFERROR(INDEX(CADASTRO_PIVOS!$C$6:$C$41,MATCH($E1834,CADASTRO_PIVOS!$B$6:$B$41,0)),"?")</f>
        <v>RM07</v>
      </c>
      <c r="G1834" s="8" t="str">
        <f aca="false">IFERROR(INDEX(CADASTRO_PIVOS!$D$6:$D$41,MATCH($E1834,CADASTRO_PIVOS!$B$6:$B$41,0)),"?")</f>
        <v>TR07</v>
      </c>
      <c r="H1834" s="20" t="n">
        <f aca="false">IFERROR(INDEX(CADASTRO_PIVOS!$E$6:$E$41,MATCH($E1834,CADASTRO_PIVOS!$B$6:$B$41,0)),0)</f>
        <v>149.94</v>
      </c>
      <c r="I1834" s="16" t="n">
        <f aca="false">IFERROR(SUMIFS(ROTACAO_RDM!$B$6:$B$71,ROTACAO_RDM!$D$6:$D$71,$E1834,ROTACAO_RDM!$I$6:$I$71,"&lt;="&amp;$C1834+INT(DIAS_POR_SEMANA/2),ROTACAO_RDM!$J$6:$J$71,"&gt;="&amp;$C1834+INT(DIAS_POR_SEMANA/2)),0)</f>
        <v>45</v>
      </c>
      <c r="J1834" s="16" t="n">
        <f aca="false">IFERROR(MATCH($I1834,ROTACAO_RDM!$B$6:$B$71,0),0)</f>
        <v>45</v>
      </c>
      <c r="K1834" s="8" t="str">
        <f aca="false">IF($J1834=0,"SEM CULTURA",INDEX(ROTACAO_RDM!$F$6:$F$71,$J1834))</f>
        <v>ALGODAO</v>
      </c>
      <c r="L1834" s="8" t="str">
        <f aca="false">IF($J1834=0,"",INDEX(ROTACAO_RDM!$G$6:$G$71,$J1834))</f>
        <v>FM 911 GLTP</v>
      </c>
      <c r="M1834" s="17" t="n">
        <f aca="false">IF($J1834=0,"",INDEX(ROTACAO_RDM!$I$6:$I$71,$J1834))</f>
        <v>46433</v>
      </c>
      <c r="N1834" s="16" t="n">
        <f aca="false">IF($J1834=0,0,MAX(0,$C1834+INT(DIAS_POR_SEMANA/2)-INDEX(ROTACAO_RDM!$I$6:$I$71,$J1834)))</f>
        <v>157</v>
      </c>
      <c r="O1834" s="19" t="n">
        <f aca="false">IF($J1834=0,0,MIN(1,$N1834/MAX(1,INDEX(ROTACAO_RDM!$K$6:$K$71,$J1834))))</f>
        <v>0.872222222222222</v>
      </c>
      <c r="P1834" s="16" t="n">
        <f aca="false">IF($J1834=0,0,IFERROR(MATCH(INDEX(ROTACAO_RDM!$N$6:$N$71,$J1834),PARAMETROS_CULTURAS!$B$6:$B$28,0),0))</f>
        <v>4</v>
      </c>
      <c r="Q1834" s="8" t="str">
        <f aca="false">IF($P1834=0,"-",IF($O1834&lt;=INDEX(PARAMETROS_CULTURAS!$F$6:$F$28,$P1834),"INICIAL",IF($O1834&lt;=INDEX(PARAMETROS_CULTURAS!$F$6:$F$28,$P1834)+INDEX(PARAMETROS_CULTURAS!$G$6:$G$28,$P1834),"DESENVOLVIMENTO",IF($O1834&lt;=INDEX(PARAMETROS_CULTURAS!$F$6:$F$28,$P1834)+INDEX(PARAMETROS_CULTURAS!$G$6:$G$28,$P1834)+INDEX(PARAMETROS_CULTURAS!$H$6:$H$28,$P1834),"MEDIA","FINAL"))))</f>
        <v>FINAL</v>
      </c>
      <c r="R1834" s="24" t="n">
        <f aca="false">IF($P1834=0,0,IF($O1834&lt;=INDEX(PARAMETROS_CULTURAS!$F$6:$F$28,$P1834),INDEX(PARAMETROS_CULTURAS!$K$6:$K$28,$P1834),IF($O1834&lt;=INDEX(PARAMETROS_CULTURAS!$F$6:$F$28,$P1834)+INDEX(PARAMETROS_CULTURAS!$G$6:$G$28,$P1834),INDEX(PARAMETROS_CULTURAS!$K$6:$K$28,$P1834)+(INDEX(PARAMETROS_CULTURAS!$L$6:$L$28,$P1834)-INDEX(PARAMETROS_CULTURAS!$K$6:$K$28,$P1834))*($O1834-INDEX(PARAMETROS_CULTURAS!$F$6:$F$28,$P1834))/MAX(INDEX(PARAMETROS_CULTURAS!$G$6:$G$28,$P1834),0.0001),IF($O1834&lt;=INDEX(PARAMETROS_CULTURAS!$F$6:$F$28,$P1834)+INDEX(PARAMETROS_CULTURAS!$G$6:$G$28,$P1834)+INDEX(PARAMETROS_CULTURAS!$H$6:$H$28,$P1834),INDEX(PARAMETROS_CULTURAS!$L$6:$L$28,$P1834),INDEX(PARAMETROS_CULTURAS!$L$6:$L$28,$P1834)+(INDEX(PARAMETROS_CULTURAS!$M$6:$M$28,$P1834)-INDEX(PARAMETROS_CULTURAS!$L$6:$L$28,$P1834))*($O1834-INDEX(PARAMETROS_CULTURAS!$F$6:$F$28,$P1834)-INDEX(PARAMETROS_CULTURAS!$G$6:$G$28,$P1834)-INDEX(PARAMETROS_CULTURAS!$H$6:$H$28,$P1834))/MAX(INDEX(PARAMETROS_CULTURAS!$I$6:$I$28,$P1834),0.0001)))))</f>
        <v>0.881111111111111</v>
      </c>
      <c r="S1834" s="18" t="n">
        <f aca="false">IFERROR(INDEX(SEMANAS!$H$6:$H$71,MATCH($B1834,SEMANAS!$B$6:$B$71,0)),0)</f>
        <v>30.1</v>
      </c>
      <c r="T1834" s="18" t="n">
        <f aca="false">$R1834*$S1834</f>
        <v>26.5214444444444</v>
      </c>
      <c r="U1834" s="18" t="n">
        <f aca="false">IFERROR(INDEX(SEMANAS!$I$6:$I$71,MATCH($B1834,SEMANAS!$B$6:$B$71,0)),0)</f>
        <v>0.7</v>
      </c>
      <c r="V1834" s="18" t="n">
        <f aca="false">IFERROR(INDEX(SEMANAS!$J$6:$J$71,MATCH($B1834,SEMANAS!$B$6:$B$71,0)),0)</f>
        <v>0.56</v>
      </c>
      <c r="W1834" s="18" t="n">
        <f aca="false">MAX(0,$T1834-$V1834)</f>
        <v>25.9614444444444</v>
      </c>
      <c r="X1834" s="19" t="n">
        <f aca="false">IFERROR(INDEX(CADASTRO_PIVOS!$K$6:$K$41,MATCH($E1834,CADASTRO_PIVOS!$B$6:$B$41,0)),EFICIENCIA_PADRAO)</f>
        <v>0.85</v>
      </c>
      <c r="Y1834" s="18" t="n">
        <f aca="false">IF($X1834&lt;=0,0,$W1834/$X1834)</f>
        <v>30.5428758169935</v>
      </c>
      <c r="Z1834" s="16" t="n">
        <f aca="false">$Y1834*$H1834*MM_PARA_M3_HA</f>
        <v>45795.988</v>
      </c>
      <c r="AA1834" s="18" t="n">
        <f aca="false">IFERROR(INDEX(CADASTRO_PIVOS!$I$6:$I$41,MATCH($E1834,CADASTRO_PIVOS!$B$6:$B$41,0)),0)</f>
        <v>1071</v>
      </c>
      <c r="AB1834" s="18" t="n">
        <f aca="false">IF($Z1834&lt;=0,0,$Z1834/$AA1834)</f>
        <v>42.7600261437908</v>
      </c>
      <c r="AC1834" s="16" t="n">
        <f aca="false">IFERROR(INDEX(SEMANAS!$K$6:$K$71,MATCH($B1834,SEMANAS!$B$6:$B$71,0)),0)</f>
        <v>147</v>
      </c>
      <c r="AD1834" s="19" t="n">
        <f aca="false">IF($AC1834&lt;=0,0,$AB1834/$AC1834)</f>
        <v>0.290884531590414</v>
      </c>
      <c r="AE1834" s="8" t="str">
        <f aca="false">IF($K1834="SEM CULTURA","SEM CULTURA",IF($AA1834&lt;=0,"DADO PENDENTE",IF($AD1834&gt;LIMITE_CRITICO,"INVIAVEL",IF($AD1834&gt;LIMITE_ATENCAO,"CRITICO",IF($AD1834&gt;LIMITE_CONFORTAVEL,"ATENCAO","OK")))))</f>
        <v>OK</v>
      </c>
      <c r="AF1834" s="8" t="str">
        <f aca="false">$B1834&amp;"|"&amp;TEXT($AD1834,"0.000000")</f>
        <v>47|0.290885</v>
      </c>
      <c r="AG1834" s="18" t="n">
        <f aca="false">IF($K1834="SEM CULTURA",0,$T1834*$H1834)</f>
        <v>3976.62538</v>
      </c>
      <c r="AH1834" s="18" t="n">
        <f aca="false">IF($K1834="SEM CULTURA",0,$V1834*$H1834)</f>
        <v>83.9664</v>
      </c>
      <c r="AI1834" s="18" t="n">
        <f aca="false">IF($K1834="SEM CULTURA",0,$W1834*$H1834)</f>
        <v>3892.65898</v>
      </c>
      <c r="AJ1834" s="18" t="n">
        <f aca="false">IF($K1834="SEM CULTURA",0,$S1834*$H1834)</f>
        <v>4513.194</v>
      </c>
      <c r="AK1834" s="8" t="str">
        <f aca="false">$E1834&amp;"|"&amp;TEXT($AD1834,"0.000000")</f>
        <v>PV 124|0.290885</v>
      </c>
    </row>
    <row r="1835" customFormat="false" ht="15" hidden="false" customHeight="false" outlineLevel="0" collapsed="false">
      <c r="B1835" s="16" t="n">
        <v>48</v>
      </c>
      <c r="C1835" s="17" t="n">
        <f aca="false">DATA_INICIO_SAFRA+($B1835-1)*DIAS_POR_SEMANA</f>
        <v>46594</v>
      </c>
      <c r="D1835" s="17" t="n">
        <f aca="false">$C1835+DIAS_POR_SEMANA-1</f>
        <v>46600</v>
      </c>
      <c r="E1835" s="15" t="s">
        <v>286</v>
      </c>
      <c r="F1835" s="8" t="str">
        <f aca="false">IFERROR(INDEX(CADASTRO_PIVOS!$C$6:$C$41,MATCH($E1835,CADASTRO_PIVOS!$B$6:$B$41,0)),"?")</f>
        <v>RM07</v>
      </c>
      <c r="G1835" s="8" t="str">
        <f aca="false">IFERROR(INDEX(CADASTRO_PIVOS!$D$6:$D$41,MATCH($E1835,CADASTRO_PIVOS!$B$6:$B$41,0)),"?")</f>
        <v>TR07</v>
      </c>
      <c r="H1835" s="20" t="n">
        <f aca="false">IFERROR(INDEX(CADASTRO_PIVOS!$E$6:$E$41,MATCH($E1835,CADASTRO_PIVOS!$B$6:$B$41,0)),0)</f>
        <v>149.94</v>
      </c>
      <c r="I1835" s="16" t="n">
        <f aca="false">IFERROR(SUMIFS(ROTACAO_RDM!$B$6:$B$71,ROTACAO_RDM!$D$6:$D$71,$E1835,ROTACAO_RDM!$I$6:$I$71,"&lt;="&amp;$C1835+INT(DIAS_POR_SEMANA/2),ROTACAO_RDM!$J$6:$J$71,"&gt;="&amp;$C1835+INT(DIAS_POR_SEMANA/2)),0)</f>
        <v>45</v>
      </c>
      <c r="J1835" s="16" t="n">
        <f aca="false">IFERROR(MATCH($I1835,ROTACAO_RDM!$B$6:$B$71,0),0)</f>
        <v>45</v>
      </c>
      <c r="K1835" s="8" t="str">
        <f aca="false">IF($J1835=0,"SEM CULTURA",INDEX(ROTACAO_RDM!$F$6:$F$71,$J1835))</f>
        <v>ALGODAO</v>
      </c>
      <c r="L1835" s="8" t="str">
        <f aca="false">IF($J1835=0,"",INDEX(ROTACAO_RDM!$G$6:$G$71,$J1835))</f>
        <v>FM 911 GLTP</v>
      </c>
      <c r="M1835" s="17" t="n">
        <f aca="false">IF($J1835=0,"",INDEX(ROTACAO_RDM!$I$6:$I$71,$J1835))</f>
        <v>46433</v>
      </c>
      <c r="N1835" s="16" t="n">
        <f aca="false">IF($J1835=0,0,MAX(0,$C1835+INT(DIAS_POR_SEMANA/2)-INDEX(ROTACAO_RDM!$I$6:$I$71,$J1835)))</f>
        <v>164</v>
      </c>
      <c r="O1835" s="19" t="n">
        <f aca="false">IF($J1835=0,0,MIN(1,$N1835/MAX(1,INDEX(ROTACAO_RDM!$K$6:$K$71,$J1835))))</f>
        <v>0.911111111111111</v>
      </c>
      <c r="P1835" s="16" t="n">
        <f aca="false">IF($J1835=0,0,IFERROR(MATCH(INDEX(ROTACAO_RDM!$N$6:$N$71,$J1835),PARAMETROS_CULTURAS!$B$6:$B$28,0),0))</f>
        <v>4</v>
      </c>
      <c r="Q1835" s="8" t="str">
        <f aca="false">IF($P1835=0,"-",IF($O1835&lt;=INDEX(PARAMETROS_CULTURAS!$F$6:$F$28,$P1835),"INICIAL",IF($O1835&lt;=INDEX(PARAMETROS_CULTURAS!$F$6:$F$28,$P1835)+INDEX(PARAMETROS_CULTURAS!$G$6:$G$28,$P1835),"DESENVOLVIMENTO",IF($O1835&lt;=INDEX(PARAMETROS_CULTURAS!$F$6:$F$28,$P1835)+INDEX(PARAMETROS_CULTURAS!$G$6:$G$28,$P1835)+INDEX(PARAMETROS_CULTURAS!$H$6:$H$28,$P1835),"MEDIA","FINAL"))))</f>
        <v>FINAL</v>
      </c>
      <c r="R1835" s="24" t="n">
        <f aca="false">IF($P1835=0,0,IF($O1835&lt;=INDEX(PARAMETROS_CULTURAS!$F$6:$F$28,$P1835),INDEX(PARAMETROS_CULTURAS!$K$6:$K$28,$P1835),IF($O1835&lt;=INDEX(PARAMETROS_CULTURAS!$F$6:$F$28,$P1835)+INDEX(PARAMETROS_CULTURAS!$G$6:$G$28,$P1835),INDEX(PARAMETROS_CULTURAS!$K$6:$K$28,$P1835)+(INDEX(PARAMETROS_CULTURAS!$L$6:$L$28,$P1835)-INDEX(PARAMETROS_CULTURAS!$K$6:$K$28,$P1835))*($O1835-INDEX(PARAMETROS_CULTURAS!$F$6:$F$28,$P1835))/MAX(INDEX(PARAMETROS_CULTURAS!$G$6:$G$28,$P1835),0.0001),IF($O1835&lt;=INDEX(PARAMETROS_CULTURAS!$F$6:$F$28,$P1835)+INDEX(PARAMETROS_CULTURAS!$G$6:$G$28,$P1835)+INDEX(PARAMETROS_CULTURAS!$H$6:$H$28,$P1835),INDEX(PARAMETROS_CULTURAS!$L$6:$L$28,$P1835),INDEX(PARAMETROS_CULTURAS!$L$6:$L$28,$P1835)+(INDEX(PARAMETROS_CULTURAS!$M$6:$M$28,$P1835)-INDEX(PARAMETROS_CULTURAS!$L$6:$L$28,$P1835))*($O1835-INDEX(PARAMETROS_CULTURAS!$F$6:$F$28,$P1835)-INDEX(PARAMETROS_CULTURAS!$G$6:$G$28,$P1835)-INDEX(PARAMETROS_CULTURAS!$H$6:$H$28,$P1835))/MAX(INDEX(PARAMETROS_CULTURAS!$I$6:$I$28,$P1835),0.0001)))))</f>
        <v>0.795555555555556</v>
      </c>
      <c r="S1835" s="18" t="n">
        <f aca="false">IFERROR(INDEX(SEMANAS!$H$6:$H$71,MATCH($B1835,SEMANAS!$B$6:$B$71,0)),0)</f>
        <v>31</v>
      </c>
      <c r="T1835" s="18" t="n">
        <f aca="false">$R1835*$S1835</f>
        <v>24.6622222222222</v>
      </c>
      <c r="U1835" s="18" t="n">
        <f aca="false">IFERROR(INDEX(SEMANAS!$I$6:$I$71,MATCH($B1835,SEMANAS!$B$6:$B$71,0)),0)</f>
        <v>0.76</v>
      </c>
      <c r="V1835" s="18" t="n">
        <f aca="false">IFERROR(INDEX(SEMANAS!$J$6:$J$71,MATCH($B1835,SEMANAS!$B$6:$B$71,0)),0)</f>
        <v>0.608</v>
      </c>
      <c r="W1835" s="18" t="n">
        <f aca="false">MAX(0,$T1835-$V1835)</f>
        <v>24.0542222222222</v>
      </c>
      <c r="X1835" s="19" t="n">
        <f aca="false">IFERROR(INDEX(CADASTRO_PIVOS!$K$6:$K$41,MATCH($E1835,CADASTRO_PIVOS!$B$6:$B$41,0)),EFICIENCIA_PADRAO)</f>
        <v>0.85</v>
      </c>
      <c r="Y1835" s="18" t="n">
        <f aca="false">IF($X1835&lt;=0,0,$W1835/$X1835)</f>
        <v>28.2990849673203</v>
      </c>
      <c r="Z1835" s="16" t="n">
        <f aca="false">$Y1835*$H1835*MM_PARA_M3_HA</f>
        <v>42431.648</v>
      </c>
      <c r="AA1835" s="18" t="n">
        <f aca="false">IFERROR(INDEX(CADASTRO_PIVOS!$I$6:$I$41,MATCH($E1835,CADASTRO_PIVOS!$B$6:$B$41,0)),0)</f>
        <v>1071</v>
      </c>
      <c r="AB1835" s="18" t="n">
        <f aca="false">IF($Z1835&lt;=0,0,$Z1835/$AA1835)</f>
        <v>39.6187189542484</v>
      </c>
      <c r="AC1835" s="16" t="n">
        <f aca="false">IFERROR(INDEX(SEMANAS!$K$6:$K$71,MATCH($B1835,SEMANAS!$B$6:$B$71,0)),0)</f>
        <v>147</v>
      </c>
      <c r="AD1835" s="19" t="n">
        <f aca="false">IF($AC1835&lt;=0,0,$AB1835/$AC1835)</f>
        <v>0.26951509492686</v>
      </c>
      <c r="AE1835" s="8" t="str">
        <f aca="false">IF($K1835="SEM CULTURA","SEM CULTURA",IF($AA1835&lt;=0,"DADO PENDENTE",IF($AD1835&gt;LIMITE_CRITICO,"INVIAVEL",IF($AD1835&gt;LIMITE_ATENCAO,"CRITICO",IF($AD1835&gt;LIMITE_CONFORTAVEL,"ATENCAO","OK")))))</f>
        <v>OK</v>
      </c>
      <c r="AF1835" s="8" t="str">
        <f aca="false">$B1835&amp;"|"&amp;TEXT($AD1835,"0.000000")</f>
        <v>48|0.269515</v>
      </c>
      <c r="AG1835" s="18" t="n">
        <f aca="false">IF($K1835="SEM CULTURA",0,$T1835*$H1835)</f>
        <v>3697.8536</v>
      </c>
      <c r="AH1835" s="18" t="n">
        <f aca="false">IF($K1835="SEM CULTURA",0,$V1835*$H1835)</f>
        <v>91.16352</v>
      </c>
      <c r="AI1835" s="18" t="n">
        <f aca="false">IF($K1835="SEM CULTURA",0,$W1835*$H1835)</f>
        <v>3606.69008</v>
      </c>
      <c r="AJ1835" s="18" t="n">
        <f aca="false">IF($K1835="SEM CULTURA",0,$S1835*$H1835)</f>
        <v>4648.14</v>
      </c>
      <c r="AK1835" s="8" t="str">
        <f aca="false">$E1835&amp;"|"&amp;TEXT($AD1835,"0.000000")</f>
        <v>PV 124|0.269515</v>
      </c>
    </row>
    <row r="1836" customFormat="false" ht="15" hidden="false" customHeight="false" outlineLevel="0" collapsed="false">
      <c r="B1836" s="16" t="n">
        <v>49</v>
      </c>
      <c r="C1836" s="17" t="n">
        <f aca="false">DATA_INICIO_SAFRA+($B1836-1)*DIAS_POR_SEMANA</f>
        <v>46601</v>
      </c>
      <c r="D1836" s="17" t="n">
        <f aca="false">$C1836+DIAS_POR_SEMANA-1</f>
        <v>46607</v>
      </c>
      <c r="E1836" s="15" t="s">
        <v>286</v>
      </c>
      <c r="F1836" s="8" t="str">
        <f aca="false">IFERROR(INDEX(CADASTRO_PIVOS!$C$6:$C$41,MATCH($E1836,CADASTRO_PIVOS!$B$6:$B$41,0)),"?")</f>
        <v>RM07</v>
      </c>
      <c r="G1836" s="8" t="str">
        <f aca="false">IFERROR(INDEX(CADASTRO_PIVOS!$D$6:$D$41,MATCH($E1836,CADASTRO_PIVOS!$B$6:$B$41,0)),"?")</f>
        <v>TR07</v>
      </c>
      <c r="H1836" s="20" t="n">
        <f aca="false">IFERROR(INDEX(CADASTRO_PIVOS!$E$6:$E$41,MATCH($E1836,CADASTRO_PIVOS!$B$6:$B$41,0)),0)</f>
        <v>149.94</v>
      </c>
      <c r="I1836" s="16" t="n">
        <f aca="false">IFERROR(SUMIFS(ROTACAO_RDM!$B$6:$B$71,ROTACAO_RDM!$D$6:$D$71,$E1836,ROTACAO_RDM!$I$6:$I$71,"&lt;="&amp;$C1836+INT(DIAS_POR_SEMANA/2),ROTACAO_RDM!$J$6:$J$71,"&gt;="&amp;$C1836+INT(DIAS_POR_SEMANA/2)),0)</f>
        <v>45</v>
      </c>
      <c r="J1836" s="16" t="n">
        <f aca="false">IFERROR(MATCH($I1836,ROTACAO_RDM!$B$6:$B$71,0),0)</f>
        <v>45</v>
      </c>
      <c r="K1836" s="8" t="str">
        <f aca="false">IF($J1836=0,"SEM CULTURA",INDEX(ROTACAO_RDM!$F$6:$F$71,$J1836))</f>
        <v>ALGODAO</v>
      </c>
      <c r="L1836" s="8" t="str">
        <f aca="false">IF($J1836=0,"",INDEX(ROTACAO_RDM!$G$6:$G$71,$J1836))</f>
        <v>FM 911 GLTP</v>
      </c>
      <c r="M1836" s="17" t="n">
        <f aca="false">IF($J1836=0,"",INDEX(ROTACAO_RDM!$I$6:$I$71,$J1836))</f>
        <v>46433</v>
      </c>
      <c r="N1836" s="16" t="n">
        <f aca="false">IF($J1836=0,0,MAX(0,$C1836+INT(DIAS_POR_SEMANA/2)-INDEX(ROTACAO_RDM!$I$6:$I$71,$J1836)))</f>
        <v>171</v>
      </c>
      <c r="O1836" s="19" t="n">
        <f aca="false">IF($J1836=0,0,MIN(1,$N1836/MAX(1,INDEX(ROTACAO_RDM!$K$6:$K$71,$J1836))))</f>
        <v>0.95</v>
      </c>
      <c r="P1836" s="16" t="n">
        <f aca="false">IF($J1836=0,0,IFERROR(MATCH(INDEX(ROTACAO_RDM!$N$6:$N$71,$J1836),PARAMETROS_CULTURAS!$B$6:$B$28,0),0))</f>
        <v>4</v>
      </c>
      <c r="Q1836" s="8" t="str">
        <f aca="false">IF($P1836=0,"-",IF($O1836&lt;=INDEX(PARAMETROS_CULTURAS!$F$6:$F$28,$P1836),"INICIAL",IF($O1836&lt;=INDEX(PARAMETROS_CULTURAS!$F$6:$F$28,$P1836)+INDEX(PARAMETROS_CULTURAS!$G$6:$G$28,$P1836),"DESENVOLVIMENTO",IF($O1836&lt;=INDEX(PARAMETROS_CULTURAS!$F$6:$F$28,$P1836)+INDEX(PARAMETROS_CULTURAS!$G$6:$G$28,$P1836)+INDEX(PARAMETROS_CULTURAS!$H$6:$H$28,$P1836),"MEDIA","FINAL"))))</f>
        <v>FINAL</v>
      </c>
      <c r="R1836" s="24" t="n">
        <f aca="false">IF($P1836=0,0,IF($O1836&lt;=INDEX(PARAMETROS_CULTURAS!$F$6:$F$28,$P1836),INDEX(PARAMETROS_CULTURAS!$K$6:$K$28,$P1836),IF($O1836&lt;=INDEX(PARAMETROS_CULTURAS!$F$6:$F$28,$P1836)+INDEX(PARAMETROS_CULTURAS!$G$6:$G$28,$P1836),INDEX(PARAMETROS_CULTURAS!$K$6:$K$28,$P1836)+(INDEX(PARAMETROS_CULTURAS!$L$6:$L$28,$P1836)-INDEX(PARAMETROS_CULTURAS!$K$6:$K$28,$P1836))*($O1836-INDEX(PARAMETROS_CULTURAS!$F$6:$F$28,$P1836))/MAX(INDEX(PARAMETROS_CULTURAS!$G$6:$G$28,$P1836),0.0001),IF($O1836&lt;=INDEX(PARAMETROS_CULTURAS!$F$6:$F$28,$P1836)+INDEX(PARAMETROS_CULTURAS!$G$6:$G$28,$P1836)+INDEX(PARAMETROS_CULTURAS!$H$6:$H$28,$P1836),INDEX(PARAMETROS_CULTURAS!$L$6:$L$28,$P1836),INDEX(PARAMETROS_CULTURAS!$L$6:$L$28,$P1836)+(INDEX(PARAMETROS_CULTURAS!$M$6:$M$28,$P1836)-INDEX(PARAMETROS_CULTURAS!$L$6:$L$28,$P1836))*($O1836-INDEX(PARAMETROS_CULTURAS!$F$6:$F$28,$P1836)-INDEX(PARAMETROS_CULTURAS!$G$6:$G$28,$P1836)-INDEX(PARAMETROS_CULTURAS!$H$6:$H$28,$P1836))/MAX(INDEX(PARAMETROS_CULTURAS!$I$6:$I$28,$P1836),0.0001)))))</f>
        <v>0.71</v>
      </c>
      <c r="S1836" s="18" t="n">
        <f aca="false">IFERROR(INDEX(SEMANAS!$H$6:$H$71,MATCH($B1836,SEMANAS!$B$6:$B$71,0)),0)</f>
        <v>36.4</v>
      </c>
      <c r="T1836" s="18" t="n">
        <f aca="false">$R1836*$S1836</f>
        <v>25.844</v>
      </c>
      <c r="U1836" s="18" t="n">
        <f aca="false">IFERROR(INDEX(SEMANAS!$I$6:$I$71,MATCH($B1836,SEMANAS!$B$6:$B$71,0)),0)</f>
        <v>1.12</v>
      </c>
      <c r="V1836" s="18" t="n">
        <f aca="false">IFERROR(INDEX(SEMANAS!$J$6:$J$71,MATCH($B1836,SEMANAS!$B$6:$B$71,0)),0)</f>
        <v>0.896</v>
      </c>
      <c r="W1836" s="18" t="n">
        <f aca="false">MAX(0,$T1836-$V1836)</f>
        <v>24.948</v>
      </c>
      <c r="X1836" s="19" t="n">
        <f aca="false">IFERROR(INDEX(CADASTRO_PIVOS!$K$6:$K$41,MATCH($E1836,CADASTRO_PIVOS!$B$6:$B$41,0)),EFICIENCIA_PADRAO)</f>
        <v>0.85</v>
      </c>
      <c r="Y1836" s="18" t="n">
        <f aca="false">IF($X1836&lt;=0,0,$W1836/$X1836)</f>
        <v>29.3505882352941</v>
      </c>
      <c r="Z1836" s="16" t="n">
        <f aca="false">$Y1836*$H1836*MM_PARA_M3_HA</f>
        <v>44008.272</v>
      </c>
      <c r="AA1836" s="18" t="n">
        <f aca="false">IFERROR(INDEX(CADASTRO_PIVOS!$I$6:$I$41,MATCH($E1836,CADASTRO_PIVOS!$B$6:$B$41,0)),0)</f>
        <v>1071</v>
      </c>
      <c r="AB1836" s="18" t="n">
        <f aca="false">IF($Z1836&lt;=0,0,$Z1836/$AA1836)</f>
        <v>41.0908235294118</v>
      </c>
      <c r="AC1836" s="16" t="n">
        <f aca="false">IFERROR(INDEX(SEMANAS!$K$6:$K$71,MATCH($B1836,SEMANAS!$B$6:$B$71,0)),0)</f>
        <v>147</v>
      </c>
      <c r="AD1836" s="19" t="n">
        <f aca="false">IF($AC1836&lt;=0,0,$AB1836/$AC1836)</f>
        <v>0.279529411764706</v>
      </c>
      <c r="AE1836" s="8" t="str">
        <f aca="false">IF($K1836="SEM CULTURA","SEM CULTURA",IF($AA1836&lt;=0,"DADO PENDENTE",IF($AD1836&gt;LIMITE_CRITICO,"INVIAVEL",IF($AD1836&gt;LIMITE_ATENCAO,"CRITICO",IF($AD1836&gt;LIMITE_CONFORTAVEL,"ATENCAO","OK")))))</f>
        <v>OK</v>
      </c>
      <c r="AF1836" s="8" t="str">
        <f aca="false">$B1836&amp;"|"&amp;TEXT($AD1836,"0.000000")</f>
        <v>49|0.279529</v>
      </c>
      <c r="AG1836" s="18" t="n">
        <f aca="false">IF($K1836="SEM CULTURA",0,$T1836*$H1836)</f>
        <v>3875.04936</v>
      </c>
      <c r="AH1836" s="18" t="n">
        <f aca="false">IF($K1836="SEM CULTURA",0,$V1836*$H1836)</f>
        <v>134.34624</v>
      </c>
      <c r="AI1836" s="18" t="n">
        <f aca="false">IF($K1836="SEM CULTURA",0,$W1836*$H1836)</f>
        <v>3740.70312</v>
      </c>
      <c r="AJ1836" s="18" t="n">
        <f aca="false">IF($K1836="SEM CULTURA",0,$S1836*$H1836)</f>
        <v>5457.816</v>
      </c>
      <c r="AK1836" s="8" t="str">
        <f aca="false">$E1836&amp;"|"&amp;TEXT($AD1836,"0.000000")</f>
        <v>PV 124|0.279529</v>
      </c>
    </row>
    <row r="1837" customFormat="false" ht="15" hidden="false" customHeight="false" outlineLevel="0" collapsed="false">
      <c r="B1837" s="16" t="n">
        <v>50</v>
      </c>
      <c r="C1837" s="17" t="n">
        <f aca="false">DATA_INICIO_SAFRA+($B1837-1)*DIAS_POR_SEMANA</f>
        <v>46608</v>
      </c>
      <c r="D1837" s="17" t="n">
        <f aca="false">$C1837+DIAS_POR_SEMANA-1</f>
        <v>46614</v>
      </c>
      <c r="E1837" s="15" t="s">
        <v>286</v>
      </c>
      <c r="F1837" s="8" t="str">
        <f aca="false">IFERROR(INDEX(CADASTRO_PIVOS!$C$6:$C$41,MATCH($E1837,CADASTRO_PIVOS!$B$6:$B$41,0)),"?")</f>
        <v>RM07</v>
      </c>
      <c r="G1837" s="8" t="str">
        <f aca="false">IFERROR(INDEX(CADASTRO_PIVOS!$D$6:$D$41,MATCH($E1837,CADASTRO_PIVOS!$B$6:$B$41,0)),"?")</f>
        <v>TR07</v>
      </c>
      <c r="H1837" s="20" t="n">
        <f aca="false">IFERROR(INDEX(CADASTRO_PIVOS!$E$6:$E$41,MATCH($E1837,CADASTRO_PIVOS!$B$6:$B$41,0)),0)</f>
        <v>149.94</v>
      </c>
      <c r="I1837" s="16" t="n">
        <f aca="false">IFERROR(SUMIFS(ROTACAO_RDM!$B$6:$B$71,ROTACAO_RDM!$D$6:$D$71,$E1837,ROTACAO_RDM!$I$6:$I$71,"&lt;="&amp;$C1837+INT(DIAS_POR_SEMANA/2),ROTACAO_RDM!$J$6:$J$71,"&gt;="&amp;$C1837+INT(DIAS_POR_SEMANA/2)),0)</f>
        <v>45</v>
      </c>
      <c r="J1837" s="16" t="n">
        <f aca="false">IFERROR(MATCH($I1837,ROTACAO_RDM!$B$6:$B$71,0),0)</f>
        <v>45</v>
      </c>
      <c r="K1837" s="8" t="str">
        <f aca="false">IF($J1837=0,"SEM CULTURA",INDEX(ROTACAO_RDM!$F$6:$F$71,$J1837))</f>
        <v>ALGODAO</v>
      </c>
      <c r="L1837" s="8" t="str">
        <f aca="false">IF($J1837=0,"",INDEX(ROTACAO_RDM!$G$6:$G$71,$J1837))</f>
        <v>FM 911 GLTP</v>
      </c>
      <c r="M1837" s="17" t="n">
        <f aca="false">IF($J1837=0,"",INDEX(ROTACAO_RDM!$I$6:$I$71,$J1837))</f>
        <v>46433</v>
      </c>
      <c r="N1837" s="16" t="n">
        <f aca="false">IF($J1837=0,0,MAX(0,$C1837+INT(DIAS_POR_SEMANA/2)-INDEX(ROTACAO_RDM!$I$6:$I$71,$J1837)))</f>
        <v>178</v>
      </c>
      <c r="O1837" s="19" t="n">
        <f aca="false">IF($J1837=0,0,MIN(1,$N1837/MAX(1,INDEX(ROTACAO_RDM!$K$6:$K$71,$J1837))))</f>
        <v>0.988888888888889</v>
      </c>
      <c r="P1837" s="16" t="n">
        <f aca="false">IF($J1837=0,0,IFERROR(MATCH(INDEX(ROTACAO_RDM!$N$6:$N$71,$J1837),PARAMETROS_CULTURAS!$B$6:$B$28,0),0))</f>
        <v>4</v>
      </c>
      <c r="Q1837" s="8" t="str">
        <f aca="false">IF($P1837=0,"-",IF($O1837&lt;=INDEX(PARAMETROS_CULTURAS!$F$6:$F$28,$P1837),"INICIAL",IF($O1837&lt;=INDEX(PARAMETROS_CULTURAS!$F$6:$F$28,$P1837)+INDEX(PARAMETROS_CULTURAS!$G$6:$G$28,$P1837),"DESENVOLVIMENTO",IF($O1837&lt;=INDEX(PARAMETROS_CULTURAS!$F$6:$F$28,$P1837)+INDEX(PARAMETROS_CULTURAS!$G$6:$G$28,$P1837)+INDEX(PARAMETROS_CULTURAS!$H$6:$H$28,$P1837),"MEDIA","FINAL"))))</f>
        <v>FINAL</v>
      </c>
      <c r="R1837" s="24" t="n">
        <f aca="false">IF($P1837=0,0,IF($O1837&lt;=INDEX(PARAMETROS_CULTURAS!$F$6:$F$28,$P1837),INDEX(PARAMETROS_CULTURAS!$K$6:$K$28,$P1837),IF($O1837&lt;=INDEX(PARAMETROS_CULTURAS!$F$6:$F$28,$P1837)+INDEX(PARAMETROS_CULTURAS!$G$6:$G$28,$P1837),INDEX(PARAMETROS_CULTURAS!$K$6:$K$28,$P1837)+(INDEX(PARAMETROS_CULTURAS!$L$6:$L$28,$P1837)-INDEX(PARAMETROS_CULTURAS!$K$6:$K$28,$P1837))*($O1837-INDEX(PARAMETROS_CULTURAS!$F$6:$F$28,$P1837))/MAX(INDEX(PARAMETROS_CULTURAS!$G$6:$G$28,$P1837),0.0001),IF($O1837&lt;=INDEX(PARAMETROS_CULTURAS!$F$6:$F$28,$P1837)+INDEX(PARAMETROS_CULTURAS!$G$6:$G$28,$P1837)+INDEX(PARAMETROS_CULTURAS!$H$6:$H$28,$P1837),INDEX(PARAMETROS_CULTURAS!$L$6:$L$28,$P1837),INDEX(PARAMETROS_CULTURAS!$L$6:$L$28,$P1837)+(INDEX(PARAMETROS_CULTURAS!$M$6:$M$28,$P1837)-INDEX(PARAMETROS_CULTURAS!$L$6:$L$28,$P1837))*($O1837-INDEX(PARAMETROS_CULTURAS!$F$6:$F$28,$P1837)-INDEX(PARAMETROS_CULTURAS!$G$6:$G$28,$P1837)-INDEX(PARAMETROS_CULTURAS!$H$6:$H$28,$P1837))/MAX(INDEX(PARAMETROS_CULTURAS!$I$6:$I$28,$P1837),0.0001)))))</f>
        <v>0.624444444444445</v>
      </c>
      <c r="S1837" s="18" t="n">
        <f aca="false">IFERROR(INDEX(SEMANAS!$H$6:$H$71,MATCH($B1837,SEMANAS!$B$6:$B$71,0)),0)</f>
        <v>36.4</v>
      </c>
      <c r="T1837" s="18" t="n">
        <f aca="false">$R1837*$S1837</f>
        <v>22.7297777777778</v>
      </c>
      <c r="U1837" s="18" t="n">
        <f aca="false">IFERROR(INDEX(SEMANAS!$I$6:$I$71,MATCH($B1837,SEMANAS!$B$6:$B$71,0)),0)</f>
        <v>1.12</v>
      </c>
      <c r="V1837" s="18" t="n">
        <f aca="false">IFERROR(INDEX(SEMANAS!$J$6:$J$71,MATCH($B1837,SEMANAS!$B$6:$B$71,0)),0)</f>
        <v>0.896</v>
      </c>
      <c r="W1837" s="18" t="n">
        <f aca="false">MAX(0,$T1837-$V1837)</f>
        <v>21.8337777777778</v>
      </c>
      <c r="X1837" s="19" t="n">
        <f aca="false">IFERROR(INDEX(CADASTRO_PIVOS!$K$6:$K$41,MATCH($E1837,CADASTRO_PIVOS!$B$6:$B$41,0)),EFICIENCIA_PADRAO)</f>
        <v>0.85</v>
      </c>
      <c r="Y1837" s="18" t="n">
        <f aca="false">IF($X1837&lt;=0,0,$W1837/$X1837)</f>
        <v>25.6867973856209</v>
      </c>
      <c r="Z1837" s="16" t="n">
        <f aca="false">$Y1837*$H1837*MM_PARA_M3_HA</f>
        <v>38514.784</v>
      </c>
      <c r="AA1837" s="18" t="n">
        <f aca="false">IFERROR(INDEX(CADASTRO_PIVOS!$I$6:$I$41,MATCH($E1837,CADASTRO_PIVOS!$B$6:$B$41,0)),0)</f>
        <v>1071</v>
      </c>
      <c r="AB1837" s="18" t="n">
        <f aca="false">IF($Z1837&lt;=0,0,$Z1837/$AA1837)</f>
        <v>35.9615163398693</v>
      </c>
      <c r="AC1837" s="16" t="n">
        <f aca="false">IFERROR(INDEX(SEMANAS!$K$6:$K$71,MATCH($B1837,SEMANAS!$B$6:$B$71,0)),0)</f>
        <v>147</v>
      </c>
      <c r="AD1837" s="19" t="n">
        <f aca="false">IF($AC1837&lt;=0,0,$AB1837/$AC1837)</f>
        <v>0.244636165577342</v>
      </c>
      <c r="AE1837" s="8" t="str">
        <f aca="false">IF($K1837="SEM CULTURA","SEM CULTURA",IF($AA1837&lt;=0,"DADO PENDENTE",IF($AD1837&gt;LIMITE_CRITICO,"INVIAVEL",IF($AD1837&gt;LIMITE_ATENCAO,"CRITICO",IF($AD1837&gt;LIMITE_CONFORTAVEL,"ATENCAO","OK")))))</f>
        <v>OK</v>
      </c>
      <c r="AF1837" s="8" t="str">
        <f aca="false">$B1837&amp;"|"&amp;TEXT($AD1837,"0.000000")</f>
        <v>50|0.244636</v>
      </c>
      <c r="AG1837" s="18" t="n">
        <f aca="false">IF($K1837="SEM CULTURA",0,$T1837*$H1837)</f>
        <v>3408.10288</v>
      </c>
      <c r="AH1837" s="18" t="n">
        <f aca="false">IF($K1837="SEM CULTURA",0,$V1837*$H1837)</f>
        <v>134.34624</v>
      </c>
      <c r="AI1837" s="18" t="n">
        <f aca="false">IF($K1837="SEM CULTURA",0,$W1837*$H1837)</f>
        <v>3273.75664</v>
      </c>
      <c r="AJ1837" s="18" t="n">
        <f aca="false">IF($K1837="SEM CULTURA",0,$S1837*$H1837)</f>
        <v>5457.816</v>
      </c>
      <c r="AK1837" s="8" t="str">
        <f aca="false">$E1837&amp;"|"&amp;TEXT($AD1837,"0.000000")</f>
        <v>PV 124|0.244636</v>
      </c>
    </row>
    <row r="1838" customFormat="false" ht="15" hidden="false" customHeight="false" outlineLevel="0" collapsed="false">
      <c r="B1838" s="16" t="n">
        <v>51</v>
      </c>
      <c r="C1838" s="17" t="n">
        <f aca="false">DATA_INICIO_SAFRA+($B1838-1)*DIAS_POR_SEMANA</f>
        <v>46615</v>
      </c>
      <c r="D1838" s="17" t="n">
        <f aca="false">$C1838+DIAS_POR_SEMANA-1</f>
        <v>46621</v>
      </c>
      <c r="E1838" s="15" t="s">
        <v>286</v>
      </c>
      <c r="F1838" s="8" t="str">
        <f aca="false">IFERROR(INDEX(CADASTRO_PIVOS!$C$6:$C$41,MATCH($E1838,CADASTRO_PIVOS!$B$6:$B$41,0)),"?")</f>
        <v>RM07</v>
      </c>
      <c r="G1838" s="8" t="str">
        <f aca="false">IFERROR(INDEX(CADASTRO_PIVOS!$D$6:$D$41,MATCH($E1838,CADASTRO_PIVOS!$B$6:$B$41,0)),"?")</f>
        <v>TR07</v>
      </c>
      <c r="H1838" s="20" t="n">
        <f aca="false">IFERROR(INDEX(CADASTRO_PIVOS!$E$6:$E$41,MATCH($E1838,CADASTRO_PIVOS!$B$6:$B$41,0)),0)</f>
        <v>149.94</v>
      </c>
      <c r="I1838" s="16" t="n">
        <f aca="false">IFERROR(SUMIFS(ROTACAO_RDM!$B$6:$B$71,ROTACAO_RDM!$D$6:$D$71,$E1838,ROTACAO_RDM!$I$6:$I$71,"&lt;="&amp;$C1838+INT(DIAS_POR_SEMANA/2),ROTACAO_RDM!$J$6:$J$71,"&gt;="&amp;$C1838+INT(DIAS_POR_SEMANA/2)),0)</f>
        <v>0</v>
      </c>
      <c r="J1838" s="16" t="n">
        <f aca="false">IFERROR(MATCH($I1838,ROTACAO_RDM!$B$6:$B$71,0),0)</f>
        <v>0</v>
      </c>
      <c r="K1838" s="8" t="str">
        <f aca="false">IF($J1838=0,"SEM CULTURA",INDEX(ROTACAO_RDM!$F$6:$F$71,$J1838))</f>
        <v>SEM CULTURA</v>
      </c>
      <c r="L1838" s="8" t="str">
        <f aca="false">IF($J1838=0,"",INDEX(ROTACAO_RDM!$G$6:$G$71,$J1838))</f>
        <v/>
      </c>
      <c r="M1838" s="17" t="str">
        <f aca="false">IF($J1838=0,"",INDEX(ROTACAO_RDM!$I$6:$I$71,$J1838))</f>
        <v/>
      </c>
      <c r="N1838" s="16" t="n">
        <f aca="false">IF($J1838=0,0,MAX(0,$C1838+INT(DIAS_POR_SEMANA/2)-INDEX(ROTACAO_RDM!$I$6:$I$71,$J1838)))</f>
        <v>0</v>
      </c>
      <c r="O1838" s="19" t="n">
        <f aca="false">IF($J1838=0,0,MIN(1,$N1838/MAX(1,INDEX(ROTACAO_RDM!$K$6:$K$71,$J1838))))</f>
        <v>0</v>
      </c>
      <c r="P1838" s="16" t="n">
        <f aca="false">IF($J1838=0,0,IFERROR(MATCH(INDEX(ROTACAO_RDM!$N$6:$N$71,$J1838),PARAMETROS_CULTURAS!$B$6:$B$28,0),0))</f>
        <v>0</v>
      </c>
      <c r="Q1838" s="8" t="str">
        <f aca="false">IF($P1838=0,"-",IF($O1838&lt;=INDEX(PARAMETROS_CULTURAS!$F$6:$F$28,$P1838),"INICIAL",IF($O1838&lt;=INDEX(PARAMETROS_CULTURAS!$F$6:$F$28,$P1838)+INDEX(PARAMETROS_CULTURAS!$G$6:$G$28,$P1838),"DESENVOLVIMENTO",IF($O1838&lt;=INDEX(PARAMETROS_CULTURAS!$F$6:$F$28,$P1838)+INDEX(PARAMETROS_CULTURAS!$G$6:$G$28,$P1838)+INDEX(PARAMETROS_CULTURAS!$H$6:$H$28,$P1838),"MEDIA","FINAL"))))</f>
        <v>-</v>
      </c>
      <c r="R1838" s="24" t="n">
        <f aca="false">IF($P1838=0,0,IF($O1838&lt;=INDEX(PARAMETROS_CULTURAS!$F$6:$F$28,$P1838),INDEX(PARAMETROS_CULTURAS!$K$6:$K$28,$P1838),IF($O1838&lt;=INDEX(PARAMETROS_CULTURAS!$F$6:$F$28,$P1838)+INDEX(PARAMETROS_CULTURAS!$G$6:$G$28,$P1838),INDEX(PARAMETROS_CULTURAS!$K$6:$K$28,$P1838)+(INDEX(PARAMETROS_CULTURAS!$L$6:$L$28,$P1838)-INDEX(PARAMETROS_CULTURAS!$K$6:$K$28,$P1838))*($O1838-INDEX(PARAMETROS_CULTURAS!$F$6:$F$28,$P1838))/MAX(INDEX(PARAMETROS_CULTURAS!$G$6:$G$28,$P1838),0.0001),IF($O1838&lt;=INDEX(PARAMETROS_CULTURAS!$F$6:$F$28,$P1838)+INDEX(PARAMETROS_CULTURAS!$G$6:$G$28,$P1838)+INDEX(PARAMETROS_CULTURAS!$H$6:$H$28,$P1838),INDEX(PARAMETROS_CULTURAS!$L$6:$L$28,$P1838),INDEX(PARAMETROS_CULTURAS!$L$6:$L$28,$P1838)+(INDEX(PARAMETROS_CULTURAS!$M$6:$M$28,$P1838)-INDEX(PARAMETROS_CULTURAS!$L$6:$L$28,$P1838))*($O1838-INDEX(PARAMETROS_CULTURAS!$F$6:$F$28,$P1838)-INDEX(PARAMETROS_CULTURAS!$G$6:$G$28,$P1838)-INDEX(PARAMETROS_CULTURAS!$H$6:$H$28,$P1838))/MAX(INDEX(PARAMETROS_CULTURAS!$I$6:$I$28,$P1838),0.0001)))))</f>
        <v>0</v>
      </c>
      <c r="S1838" s="18" t="n">
        <f aca="false">IFERROR(INDEX(SEMANAS!$H$6:$H$71,MATCH($B1838,SEMANAS!$B$6:$B$71,0)),0)</f>
        <v>36.4</v>
      </c>
      <c r="T1838" s="18" t="n">
        <f aca="false">$R1838*$S1838</f>
        <v>0</v>
      </c>
      <c r="U1838" s="18" t="n">
        <f aca="false">IFERROR(INDEX(SEMANAS!$I$6:$I$71,MATCH($B1838,SEMANAS!$B$6:$B$71,0)),0)</f>
        <v>1.12</v>
      </c>
      <c r="V1838" s="18" t="n">
        <f aca="false">IFERROR(INDEX(SEMANAS!$J$6:$J$71,MATCH($B1838,SEMANAS!$B$6:$B$71,0)),0)</f>
        <v>0.896</v>
      </c>
      <c r="W1838" s="18" t="n">
        <f aca="false">MAX(0,$T1838-$V1838)</f>
        <v>0</v>
      </c>
      <c r="X1838" s="19" t="n">
        <f aca="false">IFERROR(INDEX(CADASTRO_PIVOS!$K$6:$K$41,MATCH($E1838,CADASTRO_PIVOS!$B$6:$B$41,0)),EFICIENCIA_PADRAO)</f>
        <v>0.85</v>
      </c>
      <c r="Y1838" s="18" t="n">
        <f aca="false">IF($X1838&lt;=0,0,$W1838/$X1838)</f>
        <v>0</v>
      </c>
      <c r="Z1838" s="16" t="n">
        <f aca="false">$Y1838*$H1838*MM_PARA_M3_HA</f>
        <v>0</v>
      </c>
      <c r="AA1838" s="18" t="n">
        <f aca="false">IFERROR(INDEX(CADASTRO_PIVOS!$I$6:$I$41,MATCH($E1838,CADASTRO_PIVOS!$B$6:$B$41,0)),0)</f>
        <v>1071</v>
      </c>
      <c r="AB1838" s="18" t="n">
        <f aca="false">IF($Z1838&lt;=0,0,$Z1838/$AA1838)</f>
        <v>0</v>
      </c>
      <c r="AC1838" s="16" t="n">
        <f aca="false">IFERROR(INDEX(SEMANAS!$K$6:$K$71,MATCH($B1838,SEMANAS!$B$6:$B$71,0)),0)</f>
        <v>147</v>
      </c>
      <c r="AD1838" s="19" t="n">
        <f aca="false">IF($AC1838&lt;=0,0,$AB1838/$AC1838)</f>
        <v>0</v>
      </c>
      <c r="AE1838" s="8" t="str">
        <f aca="false">IF($K1838="SEM CULTURA","SEM CULTURA",IF($AA1838&lt;=0,"DADO PENDENTE",IF($AD1838&gt;LIMITE_CRITICO,"INVIAVEL",IF($AD1838&gt;LIMITE_ATENCAO,"CRITICO",IF($AD1838&gt;LIMITE_CONFORTAVEL,"ATENCAO","OK")))))</f>
        <v>SEM CULTURA</v>
      </c>
      <c r="AF1838" s="8" t="str">
        <f aca="false">$B1838&amp;"|"&amp;TEXT($AD1838,"0.000000")</f>
        <v>51|0.000000</v>
      </c>
      <c r="AG1838" s="18" t="n">
        <f aca="false">IF($K1838="SEM CULTURA",0,$T1838*$H1838)</f>
        <v>0</v>
      </c>
      <c r="AH1838" s="18" t="n">
        <f aca="false">IF($K1838="SEM CULTURA",0,$V1838*$H1838)</f>
        <v>0</v>
      </c>
      <c r="AI1838" s="18" t="n">
        <f aca="false">IF($K1838="SEM CULTURA",0,$W1838*$H1838)</f>
        <v>0</v>
      </c>
      <c r="AJ1838" s="18" t="n">
        <f aca="false">IF($K1838="SEM CULTURA",0,$S1838*$H1838)</f>
        <v>0</v>
      </c>
      <c r="AK1838" s="8" t="str">
        <f aca="false">$E1838&amp;"|"&amp;TEXT($AD1838,"0.000000")</f>
        <v>PV 124|0.000000</v>
      </c>
    </row>
    <row r="1839" customFormat="false" ht="15" hidden="false" customHeight="false" outlineLevel="0" collapsed="false">
      <c r="B1839" s="16" t="n">
        <v>52</v>
      </c>
      <c r="C1839" s="17" t="n">
        <f aca="false">DATA_INICIO_SAFRA+($B1839-1)*DIAS_POR_SEMANA</f>
        <v>46622</v>
      </c>
      <c r="D1839" s="17" t="n">
        <f aca="false">$C1839+DIAS_POR_SEMANA-1</f>
        <v>46628</v>
      </c>
      <c r="E1839" s="15" t="s">
        <v>286</v>
      </c>
      <c r="F1839" s="8" t="str">
        <f aca="false">IFERROR(INDEX(CADASTRO_PIVOS!$C$6:$C$41,MATCH($E1839,CADASTRO_PIVOS!$B$6:$B$41,0)),"?")</f>
        <v>RM07</v>
      </c>
      <c r="G1839" s="8" t="str">
        <f aca="false">IFERROR(INDEX(CADASTRO_PIVOS!$D$6:$D$41,MATCH($E1839,CADASTRO_PIVOS!$B$6:$B$41,0)),"?")</f>
        <v>TR07</v>
      </c>
      <c r="H1839" s="20" t="n">
        <f aca="false">IFERROR(INDEX(CADASTRO_PIVOS!$E$6:$E$41,MATCH($E1839,CADASTRO_PIVOS!$B$6:$B$41,0)),0)</f>
        <v>149.94</v>
      </c>
      <c r="I1839" s="16" t="n">
        <f aca="false">IFERROR(SUMIFS(ROTACAO_RDM!$B$6:$B$71,ROTACAO_RDM!$D$6:$D$71,$E1839,ROTACAO_RDM!$I$6:$I$71,"&lt;="&amp;$C1839+INT(DIAS_POR_SEMANA/2),ROTACAO_RDM!$J$6:$J$71,"&gt;="&amp;$C1839+INT(DIAS_POR_SEMANA/2)),0)</f>
        <v>0</v>
      </c>
      <c r="J1839" s="16" t="n">
        <f aca="false">IFERROR(MATCH($I1839,ROTACAO_RDM!$B$6:$B$71,0),0)</f>
        <v>0</v>
      </c>
      <c r="K1839" s="8" t="str">
        <f aca="false">IF($J1839=0,"SEM CULTURA",INDEX(ROTACAO_RDM!$F$6:$F$71,$J1839))</f>
        <v>SEM CULTURA</v>
      </c>
      <c r="L1839" s="8" t="str">
        <f aca="false">IF($J1839=0,"",INDEX(ROTACAO_RDM!$G$6:$G$71,$J1839))</f>
        <v/>
      </c>
      <c r="M1839" s="17" t="str">
        <f aca="false">IF($J1839=0,"",INDEX(ROTACAO_RDM!$I$6:$I$71,$J1839))</f>
        <v/>
      </c>
      <c r="N1839" s="16" t="n">
        <f aca="false">IF($J1839=0,0,MAX(0,$C1839+INT(DIAS_POR_SEMANA/2)-INDEX(ROTACAO_RDM!$I$6:$I$71,$J1839)))</f>
        <v>0</v>
      </c>
      <c r="O1839" s="19" t="n">
        <f aca="false">IF($J1839=0,0,MIN(1,$N1839/MAX(1,INDEX(ROTACAO_RDM!$K$6:$K$71,$J1839))))</f>
        <v>0</v>
      </c>
      <c r="P1839" s="16" t="n">
        <f aca="false">IF($J1839=0,0,IFERROR(MATCH(INDEX(ROTACAO_RDM!$N$6:$N$71,$J1839),PARAMETROS_CULTURAS!$B$6:$B$28,0),0))</f>
        <v>0</v>
      </c>
      <c r="Q1839" s="8" t="str">
        <f aca="false">IF($P1839=0,"-",IF($O1839&lt;=INDEX(PARAMETROS_CULTURAS!$F$6:$F$28,$P1839),"INICIAL",IF($O1839&lt;=INDEX(PARAMETROS_CULTURAS!$F$6:$F$28,$P1839)+INDEX(PARAMETROS_CULTURAS!$G$6:$G$28,$P1839),"DESENVOLVIMENTO",IF($O1839&lt;=INDEX(PARAMETROS_CULTURAS!$F$6:$F$28,$P1839)+INDEX(PARAMETROS_CULTURAS!$G$6:$G$28,$P1839)+INDEX(PARAMETROS_CULTURAS!$H$6:$H$28,$P1839),"MEDIA","FINAL"))))</f>
        <v>-</v>
      </c>
      <c r="R1839" s="24" t="n">
        <f aca="false">IF($P1839=0,0,IF($O1839&lt;=INDEX(PARAMETROS_CULTURAS!$F$6:$F$28,$P1839),INDEX(PARAMETROS_CULTURAS!$K$6:$K$28,$P1839),IF($O1839&lt;=INDEX(PARAMETROS_CULTURAS!$F$6:$F$28,$P1839)+INDEX(PARAMETROS_CULTURAS!$G$6:$G$28,$P1839),INDEX(PARAMETROS_CULTURAS!$K$6:$K$28,$P1839)+(INDEX(PARAMETROS_CULTURAS!$L$6:$L$28,$P1839)-INDEX(PARAMETROS_CULTURAS!$K$6:$K$28,$P1839))*($O1839-INDEX(PARAMETROS_CULTURAS!$F$6:$F$28,$P1839))/MAX(INDEX(PARAMETROS_CULTURAS!$G$6:$G$28,$P1839),0.0001),IF($O1839&lt;=INDEX(PARAMETROS_CULTURAS!$F$6:$F$28,$P1839)+INDEX(PARAMETROS_CULTURAS!$G$6:$G$28,$P1839)+INDEX(PARAMETROS_CULTURAS!$H$6:$H$28,$P1839),INDEX(PARAMETROS_CULTURAS!$L$6:$L$28,$P1839),INDEX(PARAMETROS_CULTURAS!$L$6:$L$28,$P1839)+(INDEX(PARAMETROS_CULTURAS!$M$6:$M$28,$P1839)-INDEX(PARAMETROS_CULTURAS!$L$6:$L$28,$P1839))*($O1839-INDEX(PARAMETROS_CULTURAS!$F$6:$F$28,$P1839)-INDEX(PARAMETROS_CULTURAS!$G$6:$G$28,$P1839)-INDEX(PARAMETROS_CULTURAS!$H$6:$H$28,$P1839))/MAX(INDEX(PARAMETROS_CULTURAS!$I$6:$I$28,$P1839),0.0001)))))</f>
        <v>0</v>
      </c>
      <c r="S1839" s="18" t="n">
        <f aca="false">IFERROR(INDEX(SEMANAS!$H$6:$H$71,MATCH($B1839,SEMANAS!$B$6:$B$71,0)),0)</f>
        <v>36.4</v>
      </c>
      <c r="T1839" s="18" t="n">
        <f aca="false">$R1839*$S1839</f>
        <v>0</v>
      </c>
      <c r="U1839" s="18" t="n">
        <f aca="false">IFERROR(INDEX(SEMANAS!$I$6:$I$71,MATCH($B1839,SEMANAS!$B$6:$B$71,0)),0)</f>
        <v>1.12</v>
      </c>
      <c r="V1839" s="18" t="n">
        <f aca="false">IFERROR(INDEX(SEMANAS!$J$6:$J$71,MATCH($B1839,SEMANAS!$B$6:$B$71,0)),0)</f>
        <v>0.896</v>
      </c>
      <c r="W1839" s="18" t="n">
        <f aca="false">MAX(0,$T1839-$V1839)</f>
        <v>0</v>
      </c>
      <c r="X1839" s="19" t="n">
        <f aca="false">IFERROR(INDEX(CADASTRO_PIVOS!$K$6:$K$41,MATCH($E1839,CADASTRO_PIVOS!$B$6:$B$41,0)),EFICIENCIA_PADRAO)</f>
        <v>0.85</v>
      </c>
      <c r="Y1839" s="18" t="n">
        <f aca="false">IF($X1839&lt;=0,0,$W1839/$X1839)</f>
        <v>0</v>
      </c>
      <c r="Z1839" s="16" t="n">
        <f aca="false">$Y1839*$H1839*MM_PARA_M3_HA</f>
        <v>0</v>
      </c>
      <c r="AA1839" s="18" t="n">
        <f aca="false">IFERROR(INDEX(CADASTRO_PIVOS!$I$6:$I$41,MATCH($E1839,CADASTRO_PIVOS!$B$6:$B$41,0)),0)</f>
        <v>1071</v>
      </c>
      <c r="AB1839" s="18" t="n">
        <f aca="false">IF($Z1839&lt;=0,0,$Z1839/$AA1839)</f>
        <v>0</v>
      </c>
      <c r="AC1839" s="16" t="n">
        <f aca="false">IFERROR(INDEX(SEMANAS!$K$6:$K$71,MATCH($B1839,SEMANAS!$B$6:$B$71,0)),0)</f>
        <v>147</v>
      </c>
      <c r="AD1839" s="19" t="n">
        <f aca="false">IF($AC1839&lt;=0,0,$AB1839/$AC1839)</f>
        <v>0</v>
      </c>
      <c r="AE1839" s="8" t="str">
        <f aca="false">IF($K1839="SEM CULTURA","SEM CULTURA",IF($AA1839&lt;=0,"DADO PENDENTE",IF($AD1839&gt;LIMITE_CRITICO,"INVIAVEL",IF($AD1839&gt;LIMITE_ATENCAO,"CRITICO",IF($AD1839&gt;LIMITE_CONFORTAVEL,"ATENCAO","OK")))))</f>
        <v>SEM CULTURA</v>
      </c>
      <c r="AF1839" s="8" t="str">
        <f aca="false">$B1839&amp;"|"&amp;TEXT($AD1839,"0.000000")</f>
        <v>52|0.000000</v>
      </c>
      <c r="AG1839" s="18" t="n">
        <f aca="false">IF($K1839="SEM CULTURA",0,$T1839*$H1839)</f>
        <v>0</v>
      </c>
      <c r="AH1839" s="18" t="n">
        <f aca="false">IF($K1839="SEM CULTURA",0,$V1839*$H1839)</f>
        <v>0</v>
      </c>
      <c r="AI1839" s="18" t="n">
        <f aca="false">IF($K1839="SEM CULTURA",0,$W1839*$H1839)</f>
        <v>0</v>
      </c>
      <c r="AJ1839" s="18" t="n">
        <f aca="false">IF($K1839="SEM CULTURA",0,$S1839*$H1839)</f>
        <v>0</v>
      </c>
      <c r="AK1839" s="8" t="str">
        <f aca="false">$E1839&amp;"|"&amp;TEXT($AD1839,"0.000000")</f>
        <v>PV 124|0.000000</v>
      </c>
    </row>
    <row r="1840" customFormat="false" ht="15" hidden="false" customHeight="false" outlineLevel="0" collapsed="false">
      <c r="B1840" s="16" t="n">
        <v>53</v>
      </c>
      <c r="C1840" s="17" t="n">
        <f aca="false">DATA_INICIO_SAFRA+($B1840-1)*DIAS_POR_SEMANA</f>
        <v>46629</v>
      </c>
      <c r="D1840" s="17" t="n">
        <f aca="false">$C1840+DIAS_POR_SEMANA-1</f>
        <v>46635</v>
      </c>
      <c r="E1840" s="15" t="s">
        <v>286</v>
      </c>
      <c r="F1840" s="8" t="str">
        <f aca="false">IFERROR(INDEX(CADASTRO_PIVOS!$C$6:$C$41,MATCH($E1840,CADASTRO_PIVOS!$B$6:$B$41,0)),"?")</f>
        <v>RM07</v>
      </c>
      <c r="G1840" s="8" t="str">
        <f aca="false">IFERROR(INDEX(CADASTRO_PIVOS!$D$6:$D$41,MATCH($E1840,CADASTRO_PIVOS!$B$6:$B$41,0)),"?")</f>
        <v>TR07</v>
      </c>
      <c r="H1840" s="20" t="n">
        <f aca="false">IFERROR(INDEX(CADASTRO_PIVOS!$E$6:$E$41,MATCH($E1840,CADASTRO_PIVOS!$B$6:$B$41,0)),0)</f>
        <v>149.94</v>
      </c>
      <c r="I1840" s="16" t="n">
        <f aca="false">IFERROR(SUMIFS(ROTACAO_RDM!$B$6:$B$71,ROTACAO_RDM!$D$6:$D$71,$E1840,ROTACAO_RDM!$I$6:$I$71,"&lt;="&amp;$C1840+INT(DIAS_POR_SEMANA/2),ROTACAO_RDM!$J$6:$J$71,"&gt;="&amp;$C1840+INT(DIAS_POR_SEMANA/2)),0)</f>
        <v>0</v>
      </c>
      <c r="J1840" s="16" t="n">
        <f aca="false">IFERROR(MATCH($I1840,ROTACAO_RDM!$B$6:$B$71,0),0)</f>
        <v>0</v>
      </c>
      <c r="K1840" s="8" t="str">
        <f aca="false">IF($J1840=0,"SEM CULTURA",INDEX(ROTACAO_RDM!$F$6:$F$71,$J1840))</f>
        <v>SEM CULTURA</v>
      </c>
      <c r="L1840" s="8" t="str">
        <f aca="false">IF($J1840=0,"",INDEX(ROTACAO_RDM!$G$6:$G$71,$J1840))</f>
        <v/>
      </c>
      <c r="M1840" s="17" t="str">
        <f aca="false">IF($J1840=0,"",INDEX(ROTACAO_RDM!$I$6:$I$71,$J1840))</f>
        <v/>
      </c>
      <c r="N1840" s="16" t="n">
        <f aca="false">IF($J1840=0,0,MAX(0,$C1840+INT(DIAS_POR_SEMANA/2)-INDEX(ROTACAO_RDM!$I$6:$I$71,$J1840)))</f>
        <v>0</v>
      </c>
      <c r="O1840" s="19" t="n">
        <f aca="false">IF($J1840=0,0,MIN(1,$N1840/MAX(1,INDEX(ROTACAO_RDM!$K$6:$K$71,$J1840))))</f>
        <v>0</v>
      </c>
      <c r="P1840" s="16" t="n">
        <f aca="false">IF($J1840=0,0,IFERROR(MATCH(INDEX(ROTACAO_RDM!$N$6:$N$71,$J1840),PARAMETROS_CULTURAS!$B$6:$B$28,0),0))</f>
        <v>0</v>
      </c>
      <c r="Q1840" s="8" t="str">
        <f aca="false">IF($P1840=0,"-",IF($O1840&lt;=INDEX(PARAMETROS_CULTURAS!$F$6:$F$28,$P1840),"INICIAL",IF($O1840&lt;=INDEX(PARAMETROS_CULTURAS!$F$6:$F$28,$P1840)+INDEX(PARAMETROS_CULTURAS!$G$6:$G$28,$P1840),"DESENVOLVIMENTO",IF($O1840&lt;=INDEX(PARAMETROS_CULTURAS!$F$6:$F$28,$P1840)+INDEX(PARAMETROS_CULTURAS!$G$6:$G$28,$P1840)+INDEX(PARAMETROS_CULTURAS!$H$6:$H$28,$P1840),"MEDIA","FINAL"))))</f>
        <v>-</v>
      </c>
      <c r="R1840" s="24" t="n">
        <f aca="false">IF($P1840=0,0,IF($O1840&lt;=INDEX(PARAMETROS_CULTURAS!$F$6:$F$28,$P1840),INDEX(PARAMETROS_CULTURAS!$K$6:$K$28,$P1840),IF($O1840&lt;=INDEX(PARAMETROS_CULTURAS!$F$6:$F$28,$P1840)+INDEX(PARAMETROS_CULTURAS!$G$6:$G$28,$P1840),INDEX(PARAMETROS_CULTURAS!$K$6:$K$28,$P1840)+(INDEX(PARAMETROS_CULTURAS!$L$6:$L$28,$P1840)-INDEX(PARAMETROS_CULTURAS!$K$6:$K$28,$P1840))*($O1840-INDEX(PARAMETROS_CULTURAS!$F$6:$F$28,$P1840))/MAX(INDEX(PARAMETROS_CULTURAS!$G$6:$G$28,$P1840),0.0001),IF($O1840&lt;=INDEX(PARAMETROS_CULTURAS!$F$6:$F$28,$P1840)+INDEX(PARAMETROS_CULTURAS!$G$6:$G$28,$P1840)+INDEX(PARAMETROS_CULTURAS!$H$6:$H$28,$P1840),INDEX(PARAMETROS_CULTURAS!$L$6:$L$28,$P1840),INDEX(PARAMETROS_CULTURAS!$L$6:$L$28,$P1840)+(INDEX(PARAMETROS_CULTURAS!$M$6:$M$28,$P1840)-INDEX(PARAMETROS_CULTURAS!$L$6:$L$28,$P1840))*($O1840-INDEX(PARAMETROS_CULTURAS!$F$6:$F$28,$P1840)-INDEX(PARAMETROS_CULTURAS!$G$6:$G$28,$P1840)-INDEX(PARAMETROS_CULTURAS!$H$6:$H$28,$P1840))/MAX(INDEX(PARAMETROS_CULTURAS!$I$6:$I$28,$P1840),0.0001)))))</f>
        <v>0</v>
      </c>
      <c r="S1840" s="18" t="n">
        <f aca="false">IFERROR(INDEX(SEMANAS!$H$6:$H$71,MATCH($B1840,SEMANAS!$B$6:$B$71,0)),0)</f>
        <v>39.4</v>
      </c>
      <c r="T1840" s="18" t="n">
        <f aca="false">$R1840*$S1840</f>
        <v>0</v>
      </c>
      <c r="U1840" s="18" t="n">
        <f aca="false">IFERROR(INDEX(SEMANAS!$I$6:$I$71,MATCH($B1840,SEMANAS!$B$6:$B$71,0)),0)</f>
        <v>5.32</v>
      </c>
      <c r="V1840" s="18" t="n">
        <f aca="false">IFERROR(INDEX(SEMANAS!$J$6:$J$71,MATCH($B1840,SEMANAS!$B$6:$B$71,0)),0)</f>
        <v>4.256</v>
      </c>
      <c r="W1840" s="18" t="n">
        <f aca="false">MAX(0,$T1840-$V1840)</f>
        <v>0</v>
      </c>
      <c r="X1840" s="19" t="n">
        <f aca="false">IFERROR(INDEX(CADASTRO_PIVOS!$K$6:$K$41,MATCH($E1840,CADASTRO_PIVOS!$B$6:$B$41,0)),EFICIENCIA_PADRAO)</f>
        <v>0.85</v>
      </c>
      <c r="Y1840" s="18" t="n">
        <f aca="false">IF($X1840&lt;=0,0,$W1840/$X1840)</f>
        <v>0</v>
      </c>
      <c r="Z1840" s="16" t="n">
        <f aca="false">$Y1840*$H1840*MM_PARA_M3_HA</f>
        <v>0</v>
      </c>
      <c r="AA1840" s="18" t="n">
        <f aca="false">IFERROR(INDEX(CADASTRO_PIVOS!$I$6:$I$41,MATCH($E1840,CADASTRO_PIVOS!$B$6:$B$41,0)),0)</f>
        <v>1071</v>
      </c>
      <c r="AB1840" s="18" t="n">
        <f aca="false">IF($Z1840&lt;=0,0,$Z1840/$AA1840)</f>
        <v>0</v>
      </c>
      <c r="AC1840" s="16" t="n">
        <f aca="false">IFERROR(INDEX(SEMANAS!$K$6:$K$71,MATCH($B1840,SEMANAS!$B$6:$B$71,0)),0)</f>
        <v>147</v>
      </c>
      <c r="AD1840" s="19" t="n">
        <f aca="false">IF($AC1840&lt;=0,0,$AB1840/$AC1840)</f>
        <v>0</v>
      </c>
      <c r="AE1840" s="8" t="str">
        <f aca="false">IF($K1840="SEM CULTURA","SEM CULTURA",IF($AA1840&lt;=0,"DADO PENDENTE",IF($AD1840&gt;LIMITE_CRITICO,"INVIAVEL",IF($AD1840&gt;LIMITE_ATENCAO,"CRITICO",IF($AD1840&gt;LIMITE_CONFORTAVEL,"ATENCAO","OK")))))</f>
        <v>SEM CULTURA</v>
      </c>
      <c r="AF1840" s="8" t="str">
        <f aca="false">$B1840&amp;"|"&amp;TEXT($AD1840,"0.000000")</f>
        <v>53|0.000000</v>
      </c>
      <c r="AG1840" s="18" t="n">
        <f aca="false">IF($K1840="SEM CULTURA",0,$T1840*$H1840)</f>
        <v>0</v>
      </c>
      <c r="AH1840" s="18" t="n">
        <f aca="false">IF($K1840="SEM CULTURA",0,$V1840*$H1840)</f>
        <v>0</v>
      </c>
      <c r="AI1840" s="18" t="n">
        <f aca="false">IF($K1840="SEM CULTURA",0,$W1840*$H1840)</f>
        <v>0</v>
      </c>
      <c r="AJ1840" s="18" t="n">
        <f aca="false">IF($K1840="SEM CULTURA",0,$S1840*$H1840)</f>
        <v>0</v>
      </c>
      <c r="AK1840" s="8" t="str">
        <f aca="false">$E1840&amp;"|"&amp;TEXT($AD1840,"0.000000")</f>
        <v>PV 124|0.000000</v>
      </c>
    </row>
    <row r="1841" customFormat="false" ht="15" hidden="false" customHeight="false" outlineLevel="0" collapsed="false">
      <c r="B1841" s="16" t="n">
        <v>54</v>
      </c>
      <c r="C1841" s="17" t="n">
        <f aca="false">DATA_INICIO_SAFRA+($B1841-1)*DIAS_POR_SEMANA</f>
        <v>46636</v>
      </c>
      <c r="D1841" s="17" t="n">
        <f aca="false">$C1841+DIAS_POR_SEMANA-1</f>
        <v>46642</v>
      </c>
      <c r="E1841" s="15" t="s">
        <v>286</v>
      </c>
      <c r="F1841" s="8" t="str">
        <f aca="false">IFERROR(INDEX(CADASTRO_PIVOS!$C$6:$C$41,MATCH($E1841,CADASTRO_PIVOS!$B$6:$B$41,0)),"?")</f>
        <v>RM07</v>
      </c>
      <c r="G1841" s="8" t="str">
        <f aca="false">IFERROR(INDEX(CADASTRO_PIVOS!$D$6:$D$41,MATCH($E1841,CADASTRO_PIVOS!$B$6:$B$41,0)),"?")</f>
        <v>TR07</v>
      </c>
      <c r="H1841" s="20" t="n">
        <f aca="false">IFERROR(INDEX(CADASTRO_PIVOS!$E$6:$E$41,MATCH($E1841,CADASTRO_PIVOS!$B$6:$B$41,0)),0)</f>
        <v>149.94</v>
      </c>
      <c r="I1841" s="16" t="n">
        <f aca="false">IFERROR(SUMIFS(ROTACAO_RDM!$B$6:$B$71,ROTACAO_RDM!$D$6:$D$71,$E1841,ROTACAO_RDM!$I$6:$I$71,"&lt;="&amp;$C1841+INT(DIAS_POR_SEMANA/2),ROTACAO_RDM!$J$6:$J$71,"&gt;="&amp;$C1841+INT(DIAS_POR_SEMANA/2)),0)</f>
        <v>0</v>
      </c>
      <c r="J1841" s="16" t="n">
        <f aca="false">IFERROR(MATCH($I1841,ROTACAO_RDM!$B$6:$B$71,0),0)</f>
        <v>0</v>
      </c>
      <c r="K1841" s="8" t="str">
        <f aca="false">IF($J1841=0,"SEM CULTURA",INDEX(ROTACAO_RDM!$F$6:$F$71,$J1841))</f>
        <v>SEM CULTURA</v>
      </c>
      <c r="L1841" s="8" t="str">
        <f aca="false">IF($J1841=0,"",INDEX(ROTACAO_RDM!$G$6:$G$71,$J1841))</f>
        <v/>
      </c>
      <c r="M1841" s="17" t="str">
        <f aca="false">IF($J1841=0,"",INDEX(ROTACAO_RDM!$I$6:$I$71,$J1841))</f>
        <v/>
      </c>
      <c r="N1841" s="16" t="n">
        <f aca="false">IF($J1841=0,0,MAX(0,$C1841+INT(DIAS_POR_SEMANA/2)-INDEX(ROTACAO_RDM!$I$6:$I$71,$J1841)))</f>
        <v>0</v>
      </c>
      <c r="O1841" s="19" t="n">
        <f aca="false">IF($J1841=0,0,MIN(1,$N1841/MAX(1,INDEX(ROTACAO_RDM!$K$6:$K$71,$J1841))))</f>
        <v>0</v>
      </c>
      <c r="P1841" s="16" t="n">
        <f aca="false">IF($J1841=0,0,IFERROR(MATCH(INDEX(ROTACAO_RDM!$N$6:$N$71,$J1841),PARAMETROS_CULTURAS!$B$6:$B$28,0),0))</f>
        <v>0</v>
      </c>
      <c r="Q1841" s="8" t="str">
        <f aca="false">IF($P1841=0,"-",IF($O1841&lt;=INDEX(PARAMETROS_CULTURAS!$F$6:$F$28,$P1841),"INICIAL",IF($O1841&lt;=INDEX(PARAMETROS_CULTURAS!$F$6:$F$28,$P1841)+INDEX(PARAMETROS_CULTURAS!$G$6:$G$28,$P1841),"DESENVOLVIMENTO",IF($O1841&lt;=INDEX(PARAMETROS_CULTURAS!$F$6:$F$28,$P1841)+INDEX(PARAMETROS_CULTURAS!$G$6:$G$28,$P1841)+INDEX(PARAMETROS_CULTURAS!$H$6:$H$28,$P1841),"MEDIA","FINAL"))))</f>
        <v>-</v>
      </c>
      <c r="R1841" s="24" t="n">
        <f aca="false">IF($P1841=0,0,IF($O1841&lt;=INDEX(PARAMETROS_CULTURAS!$F$6:$F$28,$P1841),INDEX(PARAMETROS_CULTURAS!$K$6:$K$28,$P1841),IF($O1841&lt;=INDEX(PARAMETROS_CULTURAS!$F$6:$F$28,$P1841)+INDEX(PARAMETROS_CULTURAS!$G$6:$G$28,$P1841),INDEX(PARAMETROS_CULTURAS!$K$6:$K$28,$P1841)+(INDEX(PARAMETROS_CULTURAS!$L$6:$L$28,$P1841)-INDEX(PARAMETROS_CULTURAS!$K$6:$K$28,$P1841))*($O1841-INDEX(PARAMETROS_CULTURAS!$F$6:$F$28,$P1841))/MAX(INDEX(PARAMETROS_CULTURAS!$G$6:$G$28,$P1841),0.0001),IF($O1841&lt;=INDEX(PARAMETROS_CULTURAS!$F$6:$F$28,$P1841)+INDEX(PARAMETROS_CULTURAS!$G$6:$G$28,$P1841)+INDEX(PARAMETROS_CULTURAS!$H$6:$H$28,$P1841),INDEX(PARAMETROS_CULTURAS!$L$6:$L$28,$P1841),INDEX(PARAMETROS_CULTURAS!$L$6:$L$28,$P1841)+(INDEX(PARAMETROS_CULTURAS!$M$6:$M$28,$P1841)-INDEX(PARAMETROS_CULTURAS!$L$6:$L$28,$P1841))*($O1841-INDEX(PARAMETROS_CULTURAS!$F$6:$F$28,$P1841)-INDEX(PARAMETROS_CULTURAS!$G$6:$G$28,$P1841)-INDEX(PARAMETROS_CULTURAS!$H$6:$H$28,$P1841))/MAX(INDEX(PARAMETROS_CULTURAS!$I$6:$I$28,$P1841),0.0001)))))</f>
        <v>0</v>
      </c>
      <c r="S1841" s="18" t="n">
        <f aca="false">IFERROR(INDEX(SEMANAS!$H$6:$H$71,MATCH($B1841,SEMANAS!$B$6:$B$71,0)),0)</f>
        <v>40.6</v>
      </c>
      <c r="T1841" s="18" t="n">
        <f aca="false">$R1841*$S1841</f>
        <v>0</v>
      </c>
      <c r="U1841" s="18" t="n">
        <f aca="false">IFERROR(INDEX(SEMANAS!$I$6:$I$71,MATCH($B1841,SEMANAS!$B$6:$B$71,0)),0)</f>
        <v>7</v>
      </c>
      <c r="V1841" s="18" t="n">
        <f aca="false">IFERROR(INDEX(SEMANAS!$J$6:$J$71,MATCH($B1841,SEMANAS!$B$6:$B$71,0)),0)</f>
        <v>5.6</v>
      </c>
      <c r="W1841" s="18" t="n">
        <f aca="false">MAX(0,$T1841-$V1841)</f>
        <v>0</v>
      </c>
      <c r="X1841" s="19" t="n">
        <f aca="false">IFERROR(INDEX(CADASTRO_PIVOS!$K$6:$K$41,MATCH($E1841,CADASTRO_PIVOS!$B$6:$B$41,0)),EFICIENCIA_PADRAO)</f>
        <v>0.85</v>
      </c>
      <c r="Y1841" s="18" t="n">
        <f aca="false">IF($X1841&lt;=0,0,$W1841/$X1841)</f>
        <v>0</v>
      </c>
      <c r="Z1841" s="16" t="n">
        <f aca="false">$Y1841*$H1841*MM_PARA_M3_HA</f>
        <v>0</v>
      </c>
      <c r="AA1841" s="18" t="n">
        <f aca="false">IFERROR(INDEX(CADASTRO_PIVOS!$I$6:$I$41,MATCH($E1841,CADASTRO_PIVOS!$B$6:$B$41,0)),0)</f>
        <v>1071</v>
      </c>
      <c r="AB1841" s="18" t="n">
        <f aca="false">IF($Z1841&lt;=0,0,$Z1841/$AA1841)</f>
        <v>0</v>
      </c>
      <c r="AC1841" s="16" t="n">
        <f aca="false">IFERROR(INDEX(SEMANAS!$K$6:$K$71,MATCH($B1841,SEMANAS!$B$6:$B$71,0)),0)</f>
        <v>147</v>
      </c>
      <c r="AD1841" s="19" t="n">
        <f aca="false">IF($AC1841&lt;=0,0,$AB1841/$AC1841)</f>
        <v>0</v>
      </c>
      <c r="AE1841" s="8" t="str">
        <f aca="false">IF($K1841="SEM CULTURA","SEM CULTURA",IF($AA1841&lt;=0,"DADO PENDENTE",IF($AD1841&gt;LIMITE_CRITICO,"INVIAVEL",IF($AD1841&gt;LIMITE_ATENCAO,"CRITICO",IF($AD1841&gt;LIMITE_CONFORTAVEL,"ATENCAO","OK")))))</f>
        <v>SEM CULTURA</v>
      </c>
      <c r="AF1841" s="8" t="str">
        <f aca="false">$B1841&amp;"|"&amp;TEXT($AD1841,"0.000000")</f>
        <v>54|0.000000</v>
      </c>
      <c r="AG1841" s="18" t="n">
        <f aca="false">IF($K1841="SEM CULTURA",0,$T1841*$H1841)</f>
        <v>0</v>
      </c>
      <c r="AH1841" s="18" t="n">
        <f aca="false">IF($K1841="SEM CULTURA",0,$V1841*$H1841)</f>
        <v>0</v>
      </c>
      <c r="AI1841" s="18" t="n">
        <f aca="false">IF($K1841="SEM CULTURA",0,$W1841*$H1841)</f>
        <v>0</v>
      </c>
      <c r="AJ1841" s="18" t="n">
        <f aca="false">IF($K1841="SEM CULTURA",0,$S1841*$H1841)</f>
        <v>0</v>
      </c>
      <c r="AK1841" s="8" t="str">
        <f aca="false">$E1841&amp;"|"&amp;TEXT($AD1841,"0.000000")</f>
        <v>PV 124|0.000000</v>
      </c>
    </row>
    <row r="1842" customFormat="false" ht="15" hidden="false" customHeight="false" outlineLevel="0" collapsed="false">
      <c r="B1842" s="16" t="n">
        <v>55</v>
      </c>
      <c r="C1842" s="17" t="n">
        <f aca="false">DATA_INICIO_SAFRA+($B1842-1)*DIAS_POR_SEMANA</f>
        <v>46643</v>
      </c>
      <c r="D1842" s="17" t="n">
        <f aca="false">$C1842+DIAS_POR_SEMANA-1</f>
        <v>46649</v>
      </c>
      <c r="E1842" s="15" t="s">
        <v>286</v>
      </c>
      <c r="F1842" s="8" t="str">
        <f aca="false">IFERROR(INDEX(CADASTRO_PIVOS!$C$6:$C$41,MATCH($E1842,CADASTRO_PIVOS!$B$6:$B$41,0)),"?")</f>
        <v>RM07</v>
      </c>
      <c r="G1842" s="8" t="str">
        <f aca="false">IFERROR(INDEX(CADASTRO_PIVOS!$D$6:$D$41,MATCH($E1842,CADASTRO_PIVOS!$B$6:$B$41,0)),"?")</f>
        <v>TR07</v>
      </c>
      <c r="H1842" s="20" t="n">
        <f aca="false">IFERROR(INDEX(CADASTRO_PIVOS!$E$6:$E$41,MATCH($E1842,CADASTRO_PIVOS!$B$6:$B$41,0)),0)</f>
        <v>149.94</v>
      </c>
      <c r="I1842" s="16" t="n">
        <f aca="false">IFERROR(SUMIFS(ROTACAO_RDM!$B$6:$B$71,ROTACAO_RDM!$D$6:$D$71,$E1842,ROTACAO_RDM!$I$6:$I$71,"&lt;="&amp;$C1842+INT(DIAS_POR_SEMANA/2),ROTACAO_RDM!$J$6:$J$71,"&gt;="&amp;$C1842+INT(DIAS_POR_SEMANA/2)),0)</f>
        <v>0</v>
      </c>
      <c r="J1842" s="16" t="n">
        <f aca="false">IFERROR(MATCH($I1842,ROTACAO_RDM!$B$6:$B$71,0),0)</f>
        <v>0</v>
      </c>
      <c r="K1842" s="8" t="str">
        <f aca="false">IF($J1842=0,"SEM CULTURA",INDEX(ROTACAO_RDM!$F$6:$F$71,$J1842))</f>
        <v>SEM CULTURA</v>
      </c>
      <c r="L1842" s="8" t="str">
        <f aca="false">IF($J1842=0,"",INDEX(ROTACAO_RDM!$G$6:$G$71,$J1842))</f>
        <v/>
      </c>
      <c r="M1842" s="17" t="str">
        <f aca="false">IF($J1842=0,"",INDEX(ROTACAO_RDM!$I$6:$I$71,$J1842))</f>
        <v/>
      </c>
      <c r="N1842" s="16" t="n">
        <f aca="false">IF($J1842=0,0,MAX(0,$C1842+INT(DIAS_POR_SEMANA/2)-INDEX(ROTACAO_RDM!$I$6:$I$71,$J1842)))</f>
        <v>0</v>
      </c>
      <c r="O1842" s="19" t="n">
        <f aca="false">IF($J1842=0,0,MIN(1,$N1842/MAX(1,INDEX(ROTACAO_RDM!$K$6:$K$71,$J1842))))</f>
        <v>0</v>
      </c>
      <c r="P1842" s="16" t="n">
        <f aca="false">IF($J1842=0,0,IFERROR(MATCH(INDEX(ROTACAO_RDM!$N$6:$N$71,$J1842),PARAMETROS_CULTURAS!$B$6:$B$28,0),0))</f>
        <v>0</v>
      </c>
      <c r="Q1842" s="8" t="str">
        <f aca="false">IF($P1842=0,"-",IF($O1842&lt;=INDEX(PARAMETROS_CULTURAS!$F$6:$F$28,$P1842),"INICIAL",IF($O1842&lt;=INDEX(PARAMETROS_CULTURAS!$F$6:$F$28,$P1842)+INDEX(PARAMETROS_CULTURAS!$G$6:$G$28,$P1842),"DESENVOLVIMENTO",IF($O1842&lt;=INDEX(PARAMETROS_CULTURAS!$F$6:$F$28,$P1842)+INDEX(PARAMETROS_CULTURAS!$G$6:$G$28,$P1842)+INDEX(PARAMETROS_CULTURAS!$H$6:$H$28,$P1842),"MEDIA","FINAL"))))</f>
        <v>-</v>
      </c>
      <c r="R1842" s="24" t="n">
        <f aca="false">IF($P1842=0,0,IF($O1842&lt;=INDEX(PARAMETROS_CULTURAS!$F$6:$F$28,$P1842),INDEX(PARAMETROS_CULTURAS!$K$6:$K$28,$P1842),IF($O1842&lt;=INDEX(PARAMETROS_CULTURAS!$F$6:$F$28,$P1842)+INDEX(PARAMETROS_CULTURAS!$G$6:$G$28,$P1842),INDEX(PARAMETROS_CULTURAS!$K$6:$K$28,$P1842)+(INDEX(PARAMETROS_CULTURAS!$L$6:$L$28,$P1842)-INDEX(PARAMETROS_CULTURAS!$K$6:$K$28,$P1842))*($O1842-INDEX(PARAMETROS_CULTURAS!$F$6:$F$28,$P1842))/MAX(INDEX(PARAMETROS_CULTURAS!$G$6:$G$28,$P1842),0.0001),IF($O1842&lt;=INDEX(PARAMETROS_CULTURAS!$F$6:$F$28,$P1842)+INDEX(PARAMETROS_CULTURAS!$G$6:$G$28,$P1842)+INDEX(PARAMETROS_CULTURAS!$H$6:$H$28,$P1842),INDEX(PARAMETROS_CULTURAS!$L$6:$L$28,$P1842),INDEX(PARAMETROS_CULTURAS!$L$6:$L$28,$P1842)+(INDEX(PARAMETROS_CULTURAS!$M$6:$M$28,$P1842)-INDEX(PARAMETROS_CULTURAS!$L$6:$L$28,$P1842))*($O1842-INDEX(PARAMETROS_CULTURAS!$F$6:$F$28,$P1842)-INDEX(PARAMETROS_CULTURAS!$G$6:$G$28,$P1842)-INDEX(PARAMETROS_CULTURAS!$H$6:$H$28,$P1842))/MAX(INDEX(PARAMETROS_CULTURAS!$I$6:$I$28,$P1842),0.0001)))))</f>
        <v>0</v>
      </c>
      <c r="S1842" s="18" t="n">
        <f aca="false">IFERROR(INDEX(SEMANAS!$H$6:$H$71,MATCH($B1842,SEMANAS!$B$6:$B$71,0)),0)</f>
        <v>40.6</v>
      </c>
      <c r="T1842" s="18" t="n">
        <f aca="false">$R1842*$S1842</f>
        <v>0</v>
      </c>
      <c r="U1842" s="18" t="n">
        <f aca="false">IFERROR(INDEX(SEMANAS!$I$6:$I$71,MATCH($B1842,SEMANAS!$B$6:$B$71,0)),0)</f>
        <v>7</v>
      </c>
      <c r="V1842" s="18" t="n">
        <f aca="false">IFERROR(INDEX(SEMANAS!$J$6:$J$71,MATCH($B1842,SEMANAS!$B$6:$B$71,0)),0)</f>
        <v>5.6</v>
      </c>
      <c r="W1842" s="18" t="n">
        <f aca="false">MAX(0,$T1842-$V1842)</f>
        <v>0</v>
      </c>
      <c r="X1842" s="19" t="n">
        <f aca="false">IFERROR(INDEX(CADASTRO_PIVOS!$K$6:$K$41,MATCH($E1842,CADASTRO_PIVOS!$B$6:$B$41,0)),EFICIENCIA_PADRAO)</f>
        <v>0.85</v>
      </c>
      <c r="Y1842" s="18" t="n">
        <f aca="false">IF($X1842&lt;=0,0,$W1842/$X1842)</f>
        <v>0</v>
      </c>
      <c r="Z1842" s="16" t="n">
        <f aca="false">$Y1842*$H1842*MM_PARA_M3_HA</f>
        <v>0</v>
      </c>
      <c r="AA1842" s="18" t="n">
        <f aca="false">IFERROR(INDEX(CADASTRO_PIVOS!$I$6:$I$41,MATCH($E1842,CADASTRO_PIVOS!$B$6:$B$41,0)),0)</f>
        <v>1071</v>
      </c>
      <c r="AB1842" s="18" t="n">
        <f aca="false">IF($Z1842&lt;=0,0,$Z1842/$AA1842)</f>
        <v>0</v>
      </c>
      <c r="AC1842" s="16" t="n">
        <f aca="false">IFERROR(INDEX(SEMANAS!$K$6:$K$71,MATCH($B1842,SEMANAS!$B$6:$B$71,0)),0)</f>
        <v>147</v>
      </c>
      <c r="AD1842" s="19" t="n">
        <f aca="false">IF($AC1842&lt;=0,0,$AB1842/$AC1842)</f>
        <v>0</v>
      </c>
      <c r="AE1842" s="8" t="str">
        <f aca="false">IF($K1842="SEM CULTURA","SEM CULTURA",IF($AA1842&lt;=0,"DADO PENDENTE",IF($AD1842&gt;LIMITE_CRITICO,"INVIAVEL",IF($AD1842&gt;LIMITE_ATENCAO,"CRITICO",IF($AD1842&gt;LIMITE_CONFORTAVEL,"ATENCAO","OK")))))</f>
        <v>SEM CULTURA</v>
      </c>
      <c r="AF1842" s="8" t="str">
        <f aca="false">$B1842&amp;"|"&amp;TEXT($AD1842,"0.000000")</f>
        <v>55|0.000000</v>
      </c>
      <c r="AG1842" s="18" t="n">
        <f aca="false">IF($K1842="SEM CULTURA",0,$T1842*$H1842)</f>
        <v>0</v>
      </c>
      <c r="AH1842" s="18" t="n">
        <f aca="false">IF($K1842="SEM CULTURA",0,$V1842*$H1842)</f>
        <v>0</v>
      </c>
      <c r="AI1842" s="18" t="n">
        <f aca="false">IF($K1842="SEM CULTURA",0,$W1842*$H1842)</f>
        <v>0</v>
      </c>
      <c r="AJ1842" s="18" t="n">
        <f aca="false">IF($K1842="SEM CULTURA",0,$S1842*$H1842)</f>
        <v>0</v>
      </c>
      <c r="AK1842" s="8" t="str">
        <f aca="false">$E1842&amp;"|"&amp;TEXT($AD1842,"0.000000")</f>
        <v>PV 124|0.000000</v>
      </c>
    </row>
    <row r="1843" customFormat="false" ht="15" hidden="false" customHeight="false" outlineLevel="0" collapsed="false">
      <c r="B1843" s="16" t="n">
        <v>56</v>
      </c>
      <c r="C1843" s="17" t="n">
        <f aca="false">DATA_INICIO_SAFRA+($B1843-1)*DIAS_POR_SEMANA</f>
        <v>46650</v>
      </c>
      <c r="D1843" s="17" t="n">
        <f aca="false">$C1843+DIAS_POR_SEMANA-1</f>
        <v>46656</v>
      </c>
      <c r="E1843" s="15" t="s">
        <v>286</v>
      </c>
      <c r="F1843" s="8" t="str">
        <f aca="false">IFERROR(INDEX(CADASTRO_PIVOS!$C$6:$C$41,MATCH($E1843,CADASTRO_PIVOS!$B$6:$B$41,0)),"?")</f>
        <v>RM07</v>
      </c>
      <c r="G1843" s="8" t="str">
        <f aca="false">IFERROR(INDEX(CADASTRO_PIVOS!$D$6:$D$41,MATCH($E1843,CADASTRO_PIVOS!$B$6:$B$41,0)),"?")</f>
        <v>TR07</v>
      </c>
      <c r="H1843" s="20" t="n">
        <f aca="false">IFERROR(INDEX(CADASTRO_PIVOS!$E$6:$E$41,MATCH($E1843,CADASTRO_PIVOS!$B$6:$B$41,0)),0)</f>
        <v>149.94</v>
      </c>
      <c r="I1843" s="16" t="n">
        <f aca="false">IFERROR(SUMIFS(ROTACAO_RDM!$B$6:$B$71,ROTACAO_RDM!$D$6:$D$71,$E1843,ROTACAO_RDM!$I$6:$I$71,"&lt;="&amp;$C1843+INT(DIAS_POR_SEMANA/2),ROTACAO_RDM!$J$6:$J$71,"&gt;="&amp;$C1843+INT(DIAS_POR_SEMANA/2)),0)</f>
        <v>0</v>
      </c>
      <c r="J1843" s="16" t="n">
        <f aca="false">IFERROR(MATCH($I1843,ROTACAO_RDM!$B$6:$B$71,0),0)</f>
        <v>0</v>
      </c>
      <c r="K1843" s="8" t="str">
        <f aca="false">IF($J1843=0,"SEM CULTURA",INDEX(ROTACAO_RDM!$F$6:$F$71,$J1843))</f>
        <v>SEM CULTURA</v>
      </c>
      <c r="L1843" s="8" t="str">
        <f aca="false">IF($J1843=0,"",INDEX(ROTACAO_RDM!$G$6:$G$71,$J1843))</f>
        <v/>
      </c>
      <c r="M1843" s="17" t="str">
        <f aca="false">IF($J1843=0,"",INDEX(ROTACAO_RDM!$I$6:$I$71,$J1843))</f>
        <v/>
      </c>
      <c r="N1843" s="16" t="n">
        <f aca="false">IF($J1843=0,0,MAX(0,$C1843+INT(DIAS_POR_SEMANA/2)-INDEX(ROTACAO_RDM!$I$6:$I$71,$J1843)))</f>
        <v>0</v>
      </c>
      <c r="O1843" s="19" t="n">
        <f aca="false">IF($J1843=0,0,MIN(1,$N1843/MAX(1,INDEX(ROTACAO_RDM!$K$6:$K$71,$J1843))))</f>
        <v>0</v>
      </c>
      <c r="P1843" s="16" t="n">
        <f aca="false">IF($J1843=0,0,IFERROR(MATCH(INDEX(ROTACAO_RDM!$N$6:$N$71,$J1843),PARAMETROS_CULTURAS!$B$6:$B$28,0),0))</f>
        <v>0</v>
      </c>
      <c r="Q1843" s="8" t="str">
        <f aca="false">IF($P1843=0,"-",IF($O1843&lt;=INDEX(PARAMETROS_CULTURAS!$F$6:$F$28,$P1843),"INICIAL",IF($O1843&lt;=INDEX(PARAMETROS_CULTURAS!$F$6:$F$28,$P1843)+INDEX(PARAMETROS_CULTURAS!$G$6:$G$28,$P1843),"DESENVOLVIMENTO",IF($O1843&lt;=INDEX(PARAMETROS_CULTURAS!$F$6:$F$28,$P1843)+INDEX(PARAMETROS_CULTURAS!$G$6:$G$28,$P1843)+INDEX(PARAMETROS_CULTURAS!$H$6:$H$28,$P1843),"MEDIA","FINAL"))))</f>
        <v>-</v>
      </c>
      <c r="R1843" s="24" t="n">
        <f aca="false">IF($P1843=0,0,IF($O1843&lt;=INDEX(PARAMETROS_CULTURAS!$F$6:$F$28,$P1843),INDEX(PARAMETROS_CULTURAS!$K$6:$K$28,$P1843),IF($O1843&lt;=INDEX(PARAMETROS_CULTURAS!$F$6:$F$28,$P1843)+INDEX(PARAMETROS_CULTURAS!$G$6:$G$28,$P1843),INDEX(PARAMETROS_CULTURAS!$K$6:$K$28,$P1843)+(INDEX(PARAMETROS_CULTURAS!$L$6:$L$28,$P1843)-INDEX(PARAMETROS_CULTURAS!$K$6:$K$28,$P1843))*($O1843-INDEX(PARAMETROS_CULTURAS!$F$6:$F$28,$P1843))/MAX(INDEX(PARAMETROS_CULTURAS!$G$6:$G$28,$P1843),0.0001),IF($O1843&lt;=INDEX(PARAMETROS_CULTURAS!$F$6:$F$28,$P1843)+INDEX(PARAMETROS_CULTURAS!$G$6:$G$28,$P1843)+INDEX(PARAMETROS_CULTURAS!$H$6:$H$28,$P1843),INDEX(PARAMETROS_CULTURAS!$L$6:$L$28,$P1843),INDEX(PARAMETROS_CULTURAS!$L$6:$L$28,$P1843)+(INDEX(PARAMETROS_CULTURAS!$M$6:$M$28,$P1843)-INDEX(PARAMETROS_CULTURAS!$L$6:$L$28,$P1843))*($O1843-INDEX(PARAMETROS_CULTURAS!$F$6:$F$28,$P1843)-INDEX(PARAMETROS_CULTURAS!$G$6:$G$28,$P1843)-INDEX(PARAMETROS_CULTURAS!$H$6:$H$28,$P1843))/MAX(INDEX(PARAMETROS_CULTURAS!$I$6:$I$28,$P1843),0.0001)))))</f>
        <v>0</v>
      </c>
      <c r="S1843" s="18" t="n">
        <f aca="false">IFERROR(INDEX(SEMANAS!$H$6:$H$71,MATCH($B1843,SEMANAS!$B$6:$B$71,0)),0)</f>
        <v>40.6</v>
      </c>
      <c r="T1843" s="18" t="n">
        <f aca="false">$R1843*$S1843</f>
        <v>0</v>
      </c>
      <c r="U1843" s="18" t="n">
        <f aca="false">IFERROR(INDEX(SEMANAS!$I$6:$I$71,MATCH($B1843,SEMANAS!$B$6:$B$71,0)),0)</f>
        <v>7</v>
      </c>
      <c r="V1843" s="18" t="n">
        <f aca="false">IFERROR(INDEX(SEMANAS!$J$6:$J$71,MATCH($B1843,SEMANAS!$B$6:$B$71,0)),0)</f>
        <v>5.6</v>
      </c>
      <c r="W1843" s="18" t="n">
        <f aca="false">MAX(0,$T1843-$V1843)</f>
        <v>0</v>
      </c>
      <c r="X1843" s="19" t="n">
        <f aca="false">IFERROR(INDEX(CADASTRO_PIVOS!$K$6:$K$41,MATCH($E1843,CADASTRO_PIVOS!$B$6:$B$41,0)),EFICIENCIA_PADRAO)</f>
        <v>0.85</v>
      </c>
      <c r="Y1843" s="18" t="n">
        <f aca="false">IF($X1843&lt;=0,0,$W1843/$X1843)</f>
        <v>0</v>
      </c>
      <c r="Z1843" s="16" t="n">
        <f aca="false">$Y1843*$H1843*MM_PARA_M3_HA</f>
        <v>0</v>
      </c>
      <c r="AA1843" s="18" t="n">
        <f aca="false">IFERROR(INDEX(CADASTRO_PIVOS!$I$6:$I$41,MATCH($E1843,CADASTRO_PIVOS!$B$6:$B$41,0)),0)</f>
        <v>1071</v>
      </c>
      <c r="AB1843" s="18" t="n">
        <f aca="false">IF($Z1843&lt;=0,0,$Z1843/$AA1843)</f>
        <v>0</v>
      </c>
      <c r="AC1843" s="16" t="n">
        <f aca="false">IFERROR(INDEX(SEMANAS!$K$6:$K$71,MATCH($B1843,SEMANAS!$B$6:$B$71,0)),0)</f>
        <v>147</v>
      </c>
      <c r="AD1843" s="19" t="n">
        <f aca="false">IF($AC1843&lt;=0,0,$AB1843/$AC1843)</f>
        <v>0</v>
      </c>
      <c r="AE1843" s="8" t="str">
        <f aca="false">IF($K1843="SEM CULTURA","SEM CULTURA",IF($AA1843&lt;=0,"DADO PENDENTE",IF($AD1843&gt;LIMITE_CRITICO,"INVIAVEL",IF($AD1843&gt;LIMITE_ATENCAO,"CRITICO",IF($AD1843&gt;LIMITE_CONFORTAVEL,"ATENCAO","OK")))))</f>
        <v>SEM CULTURA</v>
      </c>
      <c r="AF1843" s="8" t="str">
        <f aca="false">$B1843&amp;"|"&amp;TEXT($AD1843,"0.000000")</f>
        <v>56|0.000000</v>
      </c>
      <c r="AG1843" s="18" t="n">
        <f aca="false">IF($K1843="SEM CULTURA",0,$T1843*$H1843)</f>
        <v>0</v>
      </c>
      <c r="AH1843" s="18" t="n">
        <f aca="false">IF($K1843="SEM CULTURA",0,$V1843*$H1843)</f>
        <v>0</v>
      </c>
      <c r="AI1843" s="18" t="n">
        <f aca="false">IF($K1843="SEM CULTURA",0,$W1843*$H1843)</f>
        <v>0</v>
      </c>
      <c r="AJ1843" s="18" t="n">
        <f aca="false">IF($K1843="SEM CULTURA",0,$S1843*$H1843)</f>
        <v>0</v>
      </c>
      <c r="AK1843" s="8" t="str">
        <f aca="false">$E1843&amp;"|"&amp;TEXT($AD1843,"0.000000")</f>
        <v>PV 124|0.000000</v>
      </c>
    </row>
    <row r="1844" customFormat="false" ht="15" hidden="false" customHeight="false" outlineLevel="0" collapsed="false">
      <c r="B1844" s="16" t="n">
        <v>57</v>
      </c>
      <c r="C1844" s="17" t="n">
        <f aca="false">DATA_INICIO_SAFRA+($B1844-1)*DIAS_POR_SEMANA</f>
        <v>46657</v>
      </c>
      <c r="D1844" s="17" t="n">
        <f aca="false">$C1844+DIAS_POR_SEMANA-1</f>
        <v>46663</v>
      </c>
      <c r="E1844" s="15" t="s">
        <v>286</v>
      </c>
      <c r="F1844" s="8" t="str">
        <f aca="false">IFERROR(INDEX(CADASTRO_PIVOS!$C$6:$C$41,MATCH($E1844,CADASTRO_PIVOS!$B$6:$B$41,0)),"?")</f>
        <v>RM07</v>
      </c>
      <c r="G1844" s="8" t="str">
        <f aca="false">IFERROR(INDEX(CADASTRO_PIVOS!$D$6:$D$41,MATCH($E1844,CADASTRO_PIVOS!$B$6:$B$41,0)),"?")</f>
        <v>TR07</v>
      </c>
      <c r="H1844" s="20" t="n">
        <f aca="false">IFERROR(INDEX(CADASTRO_PIVOS!$E$6:$E$41,MATCH($E1844,CADASTRO_PIVOS!$B$6:$B$41,0)),0)</f>
        <v>149.94</v>
      </c>
      <c r="I1844" s="16" t="n">
        <f aca="false">IFERROR(SUMIFS(ROTACAO_RDM!$B$6:$B$71,ROTACAO_RDM!$D$6:$D$71,$E1844,ROTACAO_RDM!$I$6:$I$71,"&lt;="&amp;$C1844+INT(DIAS_POR_SEMANA/2),ROTACAO_RDM!$J$6:$J$71,"&gt;="&amp;$C1844+INT(DIAS_POR_SEMANA/2)),0)</f>
        <v>0</v>
      </c>
      <c r="J1844" s="16" t="n">
        <f aca="false">IFERROR(MATCH($I1844,ROTACAO_RDM!$B$6:$B$71,0),0)</f>
        <v>0</v>
      </c>
      <c r="K1844" s="8" t="str">
        <f aca="false">IF($J1844=0,"SEM CULTURA",INDEX(ROTACAO_RDM!$F$6:$F$71,$J1844))</f>
        <v>SEM CULTURA</v>
      </c>
      <c r="L1844" s="8" t="str">
        <f aca="false">IF($J1844=0,"",INDEX(ROTACAO_RDM!$G$6:$G$71,$J1844))</f>
        <v/>
      </c>
      <c r="M1844" s="17" t="str">
        <f aca="false">IF($J1844=0,"",INDEX(ROTACAO_RDM!$I$6:$I$71,$J1844))</f>
        <v/>
      </c>
      <c r="N1844" s="16" t="n">
        <f aca="false">IF($J1844=0,0,MAX(0,$C1844+INT(DIAS_POR_SEMANA/2)-INDEX(ROTACAO_RDM!$I$6:$I$71,$J1844)))</f>
        <v>0</v>
      </c>
      <c r="O1844" s="19" t="n">
        <f aca="false">IF($J1844=0,0,MIN(1,$N1844/MAX(1,INDEX(ROTACAO_RDM!$K$6:$K$71,$J1844))))</f>
        <v>0</v>
      </c>
      <c r="P1844" s="16" t="n">
        <f aca="false">IF($J1844=0,0,IFERROR(MATCH(INDEX(ROTACAO_RDM!$N$6:$N$71,$J1844),PARAMETROS_CULTURAS!$B$6:$B$28,0),0))</f>
        <v>0</v>
      </c>
      <c r="Q1844" s="8" t="str">
        <f aca="false">IF($P1844=0,"-",IF($O1844&lt;=INDEX(PARAMETROS_CULTURAS!$F$6:$F$28,$P1844),"INICIAL",IF($O1844&lt;=INDEX(PARAMETROS_CULTURAS!$F$6:$F$28,$P1844)+INDEX(PARAMETROS_CULTURAS!$G$6:$G$28,$P1844),"DESENVOLVIMENTO",IF($O1844&lt;=INDEX(PARAMETROS_CULTURAS!$F$6:$F$28,$P1844)+INDEX(PARAMETROS_CULTURAS!$G$6:$G$28,$P1844)+INDEX(PARAMETROS_CULTURAS!$H$6:$H$28,$P1844),"MEDIA","FINAL"))))</f>
        <v>-</v>
      </c>
      <c r="R1844" s="24" t="n">
        <f aca="false">IF($P1844=0,0,IF($O1844&lt;=INDEX(PARAMETROS_CULTURAS!$F$6:$F$28,$P1844),INDEX(PARAMETROS_CULTURAS!$K$6:$K$28,$P1844),IF($O1844&lt;=INDEX(PARAMETROS_CULTURAS!$F$6:$F$28,$P1844)+INDEX(PARAMETROS_CULTURAS!$G$6:$G$28,$P1844),INDEX(PARAMETROS_CULTURAS!$K$6:$K$28,$P1844)+(INDEX(PARAMETROS_CULTURAS!$L$6:$L$28,$P1844)-INDEX(PARAMETROS_CULTURAS!$K$6:$K$28,$P1844))*($O1844-INDEX(PARAMETROS_CULTURAS!$F$6:$F$28,$P1844))/MAX(INDEX(PARAMETROS_CULTURAS!$G$6:$G$28,$P1844),0.0001),IF($O1844&lt;=INDEX(PARAMETROS_CULTURAS!$F$6:$F$28,$P1844)+INDEX(PARAMETROS_CULTURAS!$G$6:$G$28,$P1844)+INDEX(PARAMETROS_CULTURAS!$H$6:$H$28,$P1844),INDEX(PARAMETROS_CULTURAS!$L$6:$L$28,$P1844),INDEX(PARAMETROS_CULTURAS!$L$6:$L$28,$P1844)+(INDEX(PARAMETROS_CULTURAS!$M$6:$M$28,$P1844)-INDEX(PARAMETROS_CULTURAS!$L$6:$L$28,$P1844))*($O1844-INDEX(PARAMETROS_CULTURAS!$F$6:$F$28,$P1844)-INDEX(PARAMETROS_CULTURAS!$G$6:$G$28,$P1844)-INDEX(PARAMETROS_CULTURAS!$H$6:$H$28,$P1844))/MAX(INDEX(PARAMETROS_CULTURAS!$I$6:$I$28,$P1844),0.0001)))))</f>
        <v>0</v>
      </c>
      <c r="S1844" s="18" t="n">
        <f aca="false">IFERROR(INDEX(SEMANAS!$H$6:$H$71,MATCH($B1844,SEMANAS!$B$6:$B$71,0)),0)</f>
        <v>40</v>
      </c>
      <c r="T1844" s="18" t="n">
        <f aca="false">$R1844*$S1844</f>
        <v>0</v>
      </c>
      <c r="U1844" s="18" t="n">
        <f aca="false">IFERROR(INDEX(SEMANAS!$I$6:$I$71,MATCH($B1844,SEMANAS!$B$6:$B$71,0)),0)</f>
        <v>15.61</v>
      </c>
      <c r="V1844" s="18" t="n">
        <f aca="false">IFERROR(INDEX(SEMANAS!$J$6:$J$71,MATCH($B1844,SEMANAS!$B$6:$B$71,0)),0)</f>
        <v>12.488</v>
      </c>
      <c r="W1844" s="18" t="n">
        <f aca="false">MAX(0,$T1844-$V1844)</f>
        <v>0</v>
      </c>
      <c r="X1844" s="19" t="n">
        <f aca="false">IFERROR(INDEX(CADASTRO_PIVOS!$K$6:$K$41,MATCH($E1844,CADASTRO_PIVOS!$B$6:$B$41,0)),EFICIENCIA_PADRAO)</f>
        <v>0.85</v>
      </c>
      <c r="Y1844" s="18" t="n">
        <f aca="false">IF($X1844&lt;=0,0,$W1844/$X1844)</f>
        <v>0</v>
      </c>
      <c r="Z1844" s="16" t="n">
        <f aca="false">$Y1844*$H1844*MM_PARA_M3_HA</f>
        <v>0</v>
      </c>
      <c r="AA1844" s="18" t="n">
        <f aca="false">IFERROR(INDEX(CADASTRO_PIVOS!$I$6:$I$41,MATCH($E1844,CADASTRO_PIVOS!$B$6:$B$41,0)),0)</f>
        <v>1071</v>
      </c>
      <c r="AB1844" s="18" t="n">
        <f aca="false">IF($Z1844&lt;=0,0,$Z1844/$AA1844)</f>
        <v>0</v>
      </c>
      <c r="AC1844" s="16" t="n">
        <f aca="false">IFERROR(INDEX(SEMANAS!$K$6:$K$71,MATCH($B1844,SEMANAS!$B$6:$B$71,0)),0)</f>
        <v>147</v>
      </c>
      <c r="AD1844" s="19" t="n">
        <f aca="false">IF($AC1844&lt;=0,0,$AB1844/$AC1844)</f>
        <v>0</v>
      </c>
      <c r="AE1844" s="8" t="str">
        <f aca="false">IF($K1844="SEM CULTURA","SEM CULTURA",IF($AA1844&lt;=0,"DADO PENDENTE",IF($AD1844&gt;LIMITE_CRITICO,"INVIAVEL",IF($AD1844&gt;LIMITE_ATENCAO,"CRITICO",IF($AD1844&gt;LIMITE_CONFORTAVEL,"ATENCAO","OK")))))</f>
        <v>SEM CULTURA</v>
      </c>
      <c r="AF1844" s="8" t="str">
        <f aca="false">$B1844&amp;"|"&amp;TEXT($AD1844,"0.000000")</f>
        <v>57|0.000000</v>
      </c>
      <c r="AG1844" s="18" t="n">
        <f aca="false">IF($K1844="SEM CULTURA",0,$T1844*$H1844)</f>
        <v>0</v>
      </c>
      <c r="AH1844" s="18" t="n">
        <f aca="false">IF($K1844="SEM CULTURA",0,$V1844*$H1844)</f>
        <v>0</v>
      </c>
      <c r="AI1844" s="18" t="n">
        <f aca="false">IF($K1844="SEM CULTURA",0,$W1844*$H1844)</f>
        <v>0</v>
      </c>
      <c r="AJ1844" s="18" t="n">
        <f aca="false">IF($K1844="SEM CULTURA",0,$S1844*$H1844)</f>
        <v>0</v>
      </c>
      <c r="AK1844" s="8" t="str">
        <f aca="false">$E1844&amp;"|"&amp;TEXT($AD1844,"0.000000")</f>
        <v>PV 124|0.000000</v>
      </c>
    </row>
    <row r="1845" customFormat="false" ht="15" hidden="false" customHeight="false" outlineLevel="0" collapsed="false">
      <c r="B1845" s="16" t="n">
        <v>58</v>
      </c>
      <c r="C1845" s="17" t="n">
        <f aca="false">DATA_INICIO_SAFRA+($B1845-1)*DIAS_POR_SEMANA</f>
        <v>46664</v>
      </c>
      <c r="D1845" s="17" t="n">
        <f aca="false">$C1845+DIAS_POR_SEMANA-1</f>
        <v>46670</v>
      </c>
      <c r="E1845" s="15" t="s">
        <v>286</v>
      </c>
      <c r="F1845" s="8" t="str">
        <f aca="false">IFERROR(INDEX(CADASTRO_PIVOS!$C$6:$C$41,MATCH($E1845,CADASTRO_PIVOS!$B$6:$B$41,0)),"?")</f>
        <v>RM07</v>
      </c>
      <c r="G1845" s="8" t="str">
        <f aca="false">IFERROR(INDEX(CADASTRO_PIVOS!$D$6:$D$41,MATCH($E1845,CADASTRO_PIVOS!$B$6:$B$41,0)),"?")</f>
        <v>TR07</v>
      </c>
      <c r="H1845" s="20" t="n">
        <f aca="false">IFERROR(INDEX(CADASTRO_PIVOS!$E$6:$E$41,MATCH($E1845,CADASTRO_PIVOS!$B$6:$B$41,0)),0)</f>
        <v>149.94</v>
      </c>
      <c r="I1845" s="16" t="n">
        <f aca="false">IFERROR(SUMIFS(ROTACAO_RDM!$B$6:$B$71,ROTACAO_RDM!$D$6:$D$71,$E1845,ROTACAO_RDM!$I$6:$I$71,"&lt;="&amp;$C1845+INT(DIAS_POR_SEMANA/2),ROTACAO_RDM!$J$6:$J$71,"&gt;="&amp;$C1845+INT(DIAS_POR_SEMANA/2)),0)</f>
        <v>0</v>
      </c>
      <c r="J1845" s="16" t="n">
        <f aca="false">IFERROR(MATCH($I1845,ROTACAO_RDM!$B$6:$B$71,0),0)</f>
        <v>0</v>
      </c>
      <c r="K1845" s="8" t="str">
        <f aca="false">IF($J1845=0,"SEM CULTURA",INDEX(ROTACAO_RDM!$F$6:$F$71,$J1845))</f>
        <v>SEM CULTURA</v>
      </c>
      <c r="L1845" s="8" t="str">
        <f aca="false">IF($J1845=0,"",INDEX(ROTACAO_RDM!$G$6:$G$71,$J1845))</f>
        <v/>
      </c>
      <c r="M1845" s="17" t="str">
        <f aca="false">IF($J1845=0,"",INDEX(ROTACAO_RDM!$I$6:$I$71,$J1845))</f>
        <v/>
      </c>
      <c r="N1845" s="16" t="n">
        <f aca="false">IF($J1845=0,0,MAX(0,$C1845+INT(DIAS_POR_SEMANA/2)-INDEX(ROTACAO_RDM!$I$6:$I$71,$J1845)))</f>
        <v>0</v>
      </c>
      <c r="O1845" s="19" t="n">
        <f aca="false">IF($J1845=0,0,MIN(1,$N1845/MAX(1,INDEX(ROTACAO_RDM!$K$6:$K$71,$J1845))))</f>
        <v>0</v>
      </c>
      <c r="P1845" s="16" t="n">
        <f aca="false">IF($J1845=0,0,IFERROR(MATCH(INDEX(ROTACAO_RDM!$N$6:$N$71,$J1845),PARAMETROS_CULTURAS!$B$6:$B$28,0),0))</f>
        <v>0</v>
      </c>
      <c r="Q1845" s="8" t="str">
        <f aca="false">IF($P1845=0,"-",IF($O1845&lt;=INDEX(PARAMETROS_CULTURAS!$F$6:$F$28,$P1845),"INICIAL",IF($O1845&lt;=INDEX(PARAMETROS_CULTURAS!$F$6:$F$28,$P1845)+INDEX(PARAMETROS_CULTURAS!$G$6:$G$28,$P1845),"DESENVOLVIMENTO",IF($O1845&lt;=INDEX(PARAMETROS_CULTURAS!$F$6:$F$28,$P1845)+INDEX(PARAMETROS_CULTURAS!$G$6:$G$28,$P1845)+INDEX(PARAMETROS_CULTURAS!$H$6:$H$28,$P1845),"MEDIA","FINAL"))))</f>
        <v>-</v>
      </c>
      <c r="R1845" s="24" t="n">
        <f aca="false">IF($P1845=0,0,IF($O1845&lt;=INDEX(PARAMETROS_CULTURAS!$F$6:$F$28,$P1845),INDEX(PARAMETROS_CULTURAS!$K$6:$K$28,$P1845),IF($O1845&lt;=INDEX(PARAMETROS_CULTURAS!$F$6:$F$28,$P1845)+INDEX(PARAMETROS_CULTURAS!$G$6:$G$28,$P1845),INDEX(PARAMETROS_CULTURAS!$K$6:$K$28,$P1845)+(INDEX(PARAMETROS_CULTURAS!$L$6:$L$28,$P1845)-INDEX(PARAMETROS_CULTURAS!$K$6:$K$28,$P1845))*($O1845-INDEX(PARAMETROS_CULTURAS!$F$6:$F$28,$P1845))/MAX(INDEX(PARAMETROS_CULTURAS!$G$6:$G$28,$P1845),0.0001),IF($O1845&lt;=INDEX(PARAMETROS_CULTURAS!$F$6:$F$28,$P1845)+INDEX(PARAMETROS_CULTURAS!$G$6:$G$28,$P1845)+INDEX(PARAMETROS_CULTURAS!$H$6:$H$28,$P1845),INDEX(PARAMETROS_CULTURAS!$L$6:$L$28,$P1845),INDEX(PARAMETROS_CULTURAS!$L$6:$L$28,$P1845)+(INDEX(PARAMETROS_CULTURAS!$M$6:$M$28,$P1845)-INDEX(PARAMETROS_CULTURAS!$L$6:$L$28,$P1845))*($O1845-INDEX(PARAMETROS_CULTURAS!$F$6:$F$28,$P1845)-INDEX(PARAMETROS_CULTURAS!$G$6:$G$28,$P1845)-INDEX(PARAMETROS_CULTURAS!$H$6:$H$28,$P1845))/MAX(INDEX(PARAMETROS_CULTURAS!$I$6:$I$28,$P1845),0.0001)))))</f>
        <v>0</v>
      </c>
      <c r="S1845" s="18" t="n">
        <f aca="false">IFERROR(INDEX(SEMANAS!$H$6:$H$71,MATCH($B1845,SEMANAS!$B$6:$B$71,0)),0)</f>
        <v>39.2</v>
      </c>
      <c r="T1845" s="18" t="n">
        <f aca="false">$R1845*$S1845</f>
        <v>0</v>
      </c>
      <c r="U1845" s="18" t="n">
        <f aca="false">IFERROR(INDEX(SEMANAS!$I$6:$I$71,MATCH($B1845,SEMANAS!$B$6:$B$71,0)),0)</f>
        <v>27.09</v>
      </c>
      <c r="V1845" s="18" t="n">
        <f aca="false">IFERROR(INDEX(SEMANAS!$J$6:$J$71,MATCH($B1845,SEMANAS!$B$6:$B$71,0)),0)</f>
        <v>21.672</v>
      </c>
      <c r="W1845" s="18" t="n">
        <f aca="false">MAX(0,$T1845-$V1845)</f>
        <v>0</v>
      </c>
      <c r="X1845" s="19" t="n">
        <f aca="false">IFERROR(INDEX(CADASTRO_PIVOS!$K$6:$K$41,MATCH($E1845,CADASTRO_PIVOS!$B$6:$B$41,0)),EFICIENCIA_PADRAO)</f>
        <v>0.85</v>
      </c>
      <c r="Y1845" s="18" t="n">
        <f aca="false">IF($X1845&lt;=0,0,$W1845/$X1845)</f>
        <v>0</v>
      </c>
      <c r="Z1845" s="16" t="n">
        <f aca="false">$Y1845*$H1845*MM_PARA_M3_HA</f>
        <v>0</v>
      </c>
      <c r="AA1845" s="18" t="n">
        <f aca="false">IFERROR(INDEX(CADASTRO_PIVOS!$I$6:$I$41,MATCH($E1845,CADASTRO_PIVOS!$B$6:$B$41,0)),0)</f>
        <v>1071</v>
      </c>
      <c r="AB1845" s="18" t="n">
        <f aca="false">IF($Z1845&lt;=0,0,$Z1845/$AA1845)</f>
        <v>0</v>
      </c>
      <c r="AC1845" s="16" t="n">
        <f aca="false">IFERROR(INDEX(SEMANAS!$K$6:$K$71,MATCH($B1845,SEMANAS!$B$6:$B$71,0)),0)</f>
        <v>147</v>
      </c>
      <c r="AD1845" s="19" t="n">
        <f aca="false">IF($AC1845&lt;=0,0,$AB1845/$AC1845)</f>
        <v>0</v>
      </c>
      <c r="AE1845" s="8" t="str">
        <f aca="false">IF($K1845="SEM CULTURA","SEM CULTURA",IF($AA1845&lt;=0,"DADO PENDENTE",IF($AD1845&gt;LIMITE_CRITICO,"INVIAVEL",IF($AD1845&gt;LIMITE_ATENCAO,"CRITICO",IF($AD1845&gt;LIMITE_CONFORTAVEL,"ATENCAO","OK")))))</f>
        <v>SEM CULTURA</v>
      </c>
      <c r="AF1845" s="8" t="str">
        <f aca="false">$B1845&amp;"|"&amp;TEXT($AD1845,"0.000000")</f>
        <v>58|0.000000</v>
      </c>
      <c r="AG1845" s="18" t="n">
        <f aca="false">IF($K1845="SEM CULTURA",0,$T1845*$H1845)</f>
        <v>0</v>
      </c>
      <c r="AH1845" s="18" t="n">
        <f aca="false">IF($K1845="SEM CULTURA",0,$V1845*$H1845)</f>
        <v>0</v>
      </c>
      <c r="AI1845" s="18" t="n">
        <f aca="false">IF($K1845="SEM CULTURA",0,$W1845*$H1845)</f>
        <v>0</v>
      </c>
      <c r="AJ1845" s="18" t="n">
        <f aca="false">IF($K1845="SEM CULTURA",0,$S1845*$H1845)</f>
        <v>0</v>
      </c>
      <c r="AK1845" s="8" t="str">
        <f aca="false">$E1845&amp;"|"&amp;TEXT($AD1845,"0.000000")</f>
        <v>PV 124|0.000000</v>
      </c>
    </row>
    <row r="1846" customFormat="false" ht="15" hidden="false" customHeight="false" outlineLevel="0" collapsed="false">
      <c r="B1846" s="16" t="n">
        <v>59</v>
      </c>
      <c r="C1846" s="17" t="n">
        <f aca="false">DATA_INICIO_SAFRA+($B1846-1)*DIAS_POR_SEMANA</f>
        <v>46671</v>
      </c>
      <c r="D1846" s="17" t="n">
        <f aca="false">$C1846+DIAS_POR_SEMANA-1</f>
        <v>46677</v>
      </c>
      <c r="E1846" s="15" t="s">
        <v>286</v>
      </c>
      <c r="F1846" s="8" t="str">
        <f aca="false">IFERROR(INDEX(CADASTRO_PIVOS!$C$6:$C$41,MATCH($E1846,CADASTRO_PIVOS!$B$6:$B$41,0)),"?")</f>
        <v>RM07</v>
      </c>
      <c r="G1846" s="8" t="str">
        <f aca="false">IFERROR(INDEX(CADASTRO_PIVOS!$D$6:$D$41,MATCH($E1846,CADASTRO_PIVOS!$B$6:$B$41,0)),"?")</f>
        <v>TR07</v>
      </c>
      <c r="H1846" s="20" t="n">
        <f aca="false">IFERROR(INDEX(CADASTRO_PIVOS!$E$6:$E$41,MATCH($E1846,CADASTRO_PIVOS!$B$6:$B$41,0)),0)</f>
        <v>149.94</v>
      </c>
      <c r="I1846" s="16" t="n">
        <f aca="false">IFERROR(SUMIFS(ROTACAO_RDM!$B$6:$B$71,ROTACAO_RDM!$D$6:$D$71,$E1846,ROTACAO_RDM!$I$6:$I$71,"&lt;="&amp;$C1846+INT(DIAS_POR_SEMANA/2),ROTACAO_RDM!$J$6:$J$71,"&gt;="&amp;$C1846+INT(DIAS_POR_SEMANA/2)),0)</f>
        <v>0</v>
      </c>
      <c r="J1846" s="16" t="n">
        <f aca="false">IFERROR(MATCH($I1846,ROTACAO_RDM!$B$6:$B$71,0),0)</f>
        <v>0</v>
      </c>
      <c r="K1846" s="8" t="str">
        <f aca="false">IF($J1846=0,"SEM CULTURA",INDEX(ROTACAO_RDM!$F$6:$F$71,$J1846))</f>
        <v>SEM CULTURA</v>
      </c>
      <c r="L1846" s="8" t="str">
        <f aca="false">IF($J1846=0,"",INDEX(ROTACAO_RDM!$G$6:$G$71,$J1846))</f>
        <v/>
      </c>
      <c r="M1846" s="17" t="str">
        <f aca="false">IF($J1846=0,"",INDEX(ROTACAO_RDM!$I$6:$I$71,$J1846))</f>
        <v/>
      </c>
      <c r="N1846" s="16" t="n">
        <f aca="false">IF($J1846=0,0,MAX(0,$C1846+INT(DIAS_POR_SEMANA/2)-INDEX(ROTACAO_RDM!$I$6:$I$71,$J1846)))</f>
        <v>0</v>
      </c>
      <c r="O1846" s="19" t="n">
        <f aca="false">IF($J1846=0,0,MIN(1,$N1846/MAX(1,INDEX(ROTACAO_RDM!$K$6:$K$71,$J1846))))</f>
        <v>0</v>
      </c>
      <c r="P1846" s="16" t="n">
        <f aca="false">IF($J1846=0,0,IFERROR(MATCH(INDEX(ROTACAO_RDM!$N$6:$N$71,$J1846),PARAMETROS_CULTURAS!$B$6:$B$28,0),0))</f>
        <v>0</v>
      </c>
      <c r="Q1846" s="8" t="str">
        <f aca="false">IF($P1846=0,"-",IF($O1846&lt;=INDEX(PARAMETROS_CULTURAS!$F$6:$F$28,$P1846),"INICIAL",IF($O1846&lt;=INDEX(PARAMETROS_CULTURAS!$F$6:$F$28,$P1846)+INDEX(PARAMETROS_CULTURAS!$G$6:$G$28,$P1846),"DESENVOLVIMENTO",IF($O1846&lt;=INDEX(PARAMETROS_CULTURAS!$F$6:$F$28,$P1846)+INDEX(PARAMETROS_CULTURAS!$G$6:$G$28,$P1846)+INDEX(PARAMETROS_CULTURAS!$H$6:$H$28,$P1846),"MEDIA","FINAL"))))</f>
        <v>-</v>
      </c>
      <c r="R1846" s="24" t="n">
        <f aca="false">IF($P1846=0,0,IF($O1846&lt;=INDEX(PARAMETROS_CULTURAS!$F$6:$F$28,$P1846),INDEX(PARAMETROS_CULTURAS!$K$6:$K$28,$P1846),IF($O1846&lt;=INDEX(PARAMETROS_CULTURAS!$F$6:$F$28,$P1846)+INDEX(PARAMETROS_CULTURAS!$G$6:$G$28,$P1846),INDEX(PARAMETROS_CULTURAS!$K$6:$K$28,$P1846)+(INDEX(PARAMETROS_CULTURAS!$L$6:$L$28,$P1846)-INDEX(PARAMETROS_CULTURAS!$K$6:$K$28,$P1846))*($O1846-INDEX(PARAMETROS_CULTURAS!$F$6:$F$28,$P1846))/MAX(INDEX(PARAMETROS_CULTURAS!$G$6:$G$28,$P1846),0.0001),IF($O1846&lt;=INDEX(PARAMETROS_CULTURAS!$F$6:$F$28,$P1846)+INDEX(PARAMETROS_CULTURAS!$G$6:$G$28,$P1846)+INDEX(PARAMETROS_CULTURAS!$H$6:$H$28,$P1846),INDEX(PARAMETROS_CULTURAS!$L$6:$L$28,$P1846),INDEX(PARAMETROS_CULTURAS!$L$6:$L$28,$P1846)+(INDEX(PARAMETROS_CULTURAS!$M$6:$M$28,$P1846)-INDEX(PARAMETROS_CULTURAS!$L$6:$L$28,$P1846))*($O1846-INDEX(PARAMETROS_CULTURAS!$F$6:$F$28,$P1846)-INDEX(PARAMETROS_CULTURAS!$G$6:$G$28,$P1846)-INDEX(PARAMETROS_CULTURAS!$H$6:$H$28,$P1846))/MAX(INDEX(PARAMETROS_CULTURAS!$I$6:$I$28,$P1846),0.0001)))))</f>
        <v>0</v>
      </c>
      <c r="S1846" s="18" t="n">
        <f aca="false">IFERROR(INDEX(SEMANAS!$H$6:$H$71,MATCH($B1846,SEMANAS!$B$6:$B$71,0)),0)</f>
        <v>39.2</v>
      </c>
      <c r="T1846" s="18" t="n">
        <f aca="false">$R1846*$S1846</f>
        <v>0</v>
      </c>
      <c r="U1846" s="18" t="n">
        <f aca="false">IFERROR(INDEX(SEMANAS!$I$6:$I$71,MATCH($B1846,SEMANAS!$B$6:$B$71,0)),0)</f>
        <v>27.09</v>
      </c>
      <c r="V1846" s="18" t="n">
        <f aca="false">IFERROR(INDEX(SEMANAS!$J$6:$J$71,MATCH($B1846,SEMANAS!$B$6:$B$71,0)),0)</f>
        <v>21.672</v>
      </c>
      <c r="W1846" s="18" t="n">
        <f aca="false">MAX(0,$T1846-$V1846)</f>
        <v>0</v>
      </c>
      <c r="X1846" s="19" t="n">
        <f aca="false">IFERROR(INDEX(CADASTRO_PIVOS!$K$6:$K$41,MATCH($E1846,CADASTRO_PIVOS!$B$6:$B$41,0)),EFICIENCIA_PADRAO)</f>
        <v>0.85</v>
      </c>
      <c r="Y1846" s="18" t="n">
        <f aca="false">IF($X1846&lt;=0,0,$W1846/$X1846)</f>
        <v>0</v>
      </c>
      <c r="Z1846" s="16" t="n">
        <f aca="false">$Y1846*$H1846*MM_PARA_M3_HA</f>
        <v>0</v>
      </c>
      <c r="AA1846" s="18" t="n">
        <f aca="false">IFERROR(INDEX(CADASTRO_PIVOS!$I$6:$I$41,MATCH($E1846,CADASTRO_PIVOS!$B$6:$B$41,0)),0)</f>
        <v>1071</v>
      </c>
      <c r="AB1846" s="18" t="n">
        <f aca="false">IF($Z1846&lt;=0,0,$Z1846/$AA1846)</f>
        <v>0</v>
      </c>
      <c r="AC1846" s="16" t="n">
        <f aca="false">IFERROR(INDEX(SEMANAS!$K$6:$K$71,MATCH($B1846,SEMANAS!$B$6:$B$71,0)),0)</f>
        <v>147</v>
      </c>
      <c r="AD1846" s="19" t="n">
        <f aca="false">IF($AC1846&lt;=0,0,$AB1846/$AC1846)</f>
        <v>0</v>
      </c>
      <c r="AE1846" s="8" t="str">
        <f aca="false">IF($K1846="SEM CULTURA","SEM CULTURA",IF($AA1846&lt;=0,"DADO PENDENTE",IF($AD1846&gt;LIMITE_CRITICO,"INVIAVEL",IF($AD1846&gt;LIMITE_ATENCAO,"CRITICO",IF($AD1846&gt;LIMITE_CONFORTAVEL,"ATENCAO","OK")))))</f>
        <v>SEM CULTURA</v>
      </c>
      <c r="AF1846" s="8" t="str">
        <f aca="false">$B1846&amp;"|"&amp;TEXT($AD1846,"0.000000")</f>
        <v>59|0.000000</v>
      </c>
      <c r="AG1846" s="18" t="n">
        <f aca="false">IF($K1846="SEM CULTURA",0,$T1846*$H1846)</f>
        <v>0</v>
      </c>
      <c r="AH1846" s="18" t="n">
        <f aca="false">IF($K1846="SEM CULTURA",0,$V1846*$H1846)</f>
        <v>0</v>
      </c>
      <c r="AI1846" s="18" t="n">
        <f aca="false">IF($K1846="SEM CULTURA",0,$W1846*$H1846)</f>
        <v>0</v>
      </c>
      <c r="AJ1846" s="18" t="n">
        <f aca="false">IF($K1846="SEM CULTURA",0,$S1846*$H1846)</f>
        <v>0</v>
      </c>
      <c r="AK1846" s="8" t="str">
        <f aca="false">$E1846&amp;"|"&amp;TEXT($AD1846,"0.000000")</f>
        <v>PV 124|0.000000</v>
      </c>
    </row>
    <row r="1847" customFormat="false" ht="15" hidden="false" customHeight="false" outlineLevel="0" collapsed="false">
      <c r="B1847" s="16" t="n">
        <v>60</v>
      </c>
      <c r="C1847" s="17" t="n">
        <f aca="false">DATA_INICIO_SAFRA+($B1847-1)*DIAS_POR_SEMANA</f>
        <v>46678</v>
      </c>
      <c r="D1847" s="17" t="n">
        <f aca="false">$C1847+DIAS_POR_SEMANA-1</f>
        <v>46684</v>
      </c>
      <c r="E1847" s="15" t="s">
        <v>286</v>
      </c>
      <c r="F1847" s="8" t="str">
        <f aca="false">IFERROR(INDEX(CADASTRO_PIVOS!$C$6:$C$41,MATCH($E1847,CADASTRO_PIVOS!$B$6:$B$41,0)),"?")</f>
        <v>RM07</v>
      </c>
      <c r="G1847" s="8" t="str">
        <f aca="false">IFERROR(INDEX(CADASTRO_PIVOS!$D$6:$D$41,MATCH($E1847,CADASTRO_PIVOS!$B$6:$B$41,0)),"?")</f>
        <v>TR07</v>
      </c>
      <c r="H1847" s="20" t="n">
        <f aca="false">IFERROR(INDEX(CADASTRO_PIVOS!$E$6:$E$41,MATCH($E1847,CADASTRO_PIVOS!$B$6:$B$41,0)),0)</f>
        <v>149.94</v>
      </c>
      <c r="I1847" s="16" t="n">
        <f aca="false">IFERROR(SUMIFS(ROTACAO_RDM!$B$6:$B$71,ROTACAO_RDM!$D$6:$D$71,$E1847,ROTACAO_RDM!$I$6:$I$71,"&lt;="&amp;$C1847+INT(DIAS_POR_SEMANA/2),ROTACAO_RDM!$J$6:$J$71,"&gt;="&amp;$C1847+INT(DIAS_POR_SEMANA/2)),0)</f>
        <v>0</v>
      </c>
      <c r="J1847" s="16" t="n">
        <f aca="false">IFERROR(MATCH($I1847,ROTACAO_RDM!$B$6:$B$71,0),0)</f>
        <v>0</v>
      </c>
      <c r="K1847" s="8" t="str">
        <f aca="false">IF($J1847=0,"SEM CULTURA",INDEX(ROTACAO_RDM!$F$6:$F$71,$J1847))</f>
        <v>SEM CULTURA</v>
      </c>
      <c r="L1847" s="8" t="str">
        <f aca="false">IF($J1847=0,"",INDEX(ROTACAO_RDM!$G$6:$G$71,$J1847))</f>
        <v/>
      </c>
      <c r="M1847" s="17" t="str">
        <f aca="false">IF($J1847=0,"",INDEX(ROTACAO_RDM!$I$6:$I$71,$J1847))</f>
        <v/>
      </c>
      <c r="N1847" s="16" t="n">
        <f aca="false">IF($J1847=0,0,MAX(0,$C1847+INT(DIAS_POR_SEMANA/2)-INDEX(ROTACAO_RDM!$I$6:$I$71,$J1847)))</f>
        <v>0</v>
      </c>
      <c r="O1847" s="19" t="n">
        <f aca="false">IF($J1847=0,0,MIN(1,$N1847/MAX(1,INDEX(ROTACAO_RDM!$K$6:$K$71,$J1847))))</f>
        <v>0</v>
      </c>
      <c r="P1847" s="16" t="n">
        <f aca="false">IF($J1847=0,0,IFERROR(MATCH(INDEX(ROTACAO_RDM!$N$6:$N$71,$J1847),PARAMETROS_CULTURAS!$B$6:$B$28,0),0))</f>
        <v>0</v>
      </c>
      <c r="Q1847" s="8" t="str">
        <f aca="false">IF($P1847=0,"-",IF($O1847&lt;=INDEX(PARAMETROS_CULTURAS!$F$6:$F$28,$P1847),"INICIAL",IF($O1847&lt;=INDEX(PARAMETROS_CULTURAS!$F$6:$F$28,$P1847)+INDEX(PARAMETROS_CULTURAS!$G$6:$G$28,$P1847),"DESENVOLVIMENTO",IF($O1847&lt;=INDEX(PARAMETROS_CULTURAS!$F$6:$F$28,$P1847)+INDEX(PARAMETROS_CULTURAS!$G$6:$G$28,$P1847)+INDEX(PARAMETROS_CULTURAS!$H$6:$H$28,$P1847),"MEDIA","FINAL"))))</f>
        <v>-</v>
      </c>
      <c r="R1847" s="24" t="n">
        <f aca="false">IF($P1847=0,0,IF($O1847&lt;=INDEX(PARAMETROS_CULTURAS!$F$6:$F$28,$P1847),INDEX(PARAMETROS_CULTURAS!$K$6:$K$28,$P1847),IF($O1847&lt;=INDEX(PARAMETROS_CULTURAS!$F$6:$F$28,$P1847)+INDEX(PARAMETROS_CULTURAS!$G$6:$G$28,$P1847),INDEX(PARAMETROS_CULTURAS!$K$6:$K$28,$P1847)+(INDEX(PARAMETROS_CULTURAS!$L$6:$L$28,$P1847)-INDEX(PARAMETROS_CULTURAS!$K$6:$K$28,$P1847))*($O1847-INDEX(PARAMETROS_CULTURAS!$F$6:$F$28,$P1847))/MAX(INDEX(PARAMETROS_CULTURAS!$G$6:$G$28,$P1847),0.0001),IF($O1847&lt;=INDEX(PARAMETROS_CULTURAS!$F$6:$F$28,$P1847)+INDEX(PARAMETROS_CULTURAS!$G$6:$G$28,$P1847)+INDEX(PARAMETROS_CULTURAS!$H$6:$H$28,$P1847),INDEX(PARAMETROS_CULTURAS!$L$6:$L$28,$P1847),INDEX(PARAMETROS_CULTURAS!$L$6:$L$28,$P1847)+(INDEX(PARAMETROS_CULTURAS!$M$6:$M$28,$P1847)-INDEX(PARAMETROS_CULTURAS!$L$6:$L$28,$P1847))*($O1847-INDEX(PARAMETROS_CULTURAS!$F$6:$F$28,$P1847)-INDEX(PARAMETROS_CULTURAS!$G$6:$G$28,$P1847)-INDEX(PARAMETROS_CULTURAS!$H$6:$H$28,$P1847))/MAX(INDEX(PARAMETROS_CULTURAS!$I$6:$I$28,$P1847),0.0001)))))</f>
        <v>0</v>
      </c>
      <c r="S1847" s="18" t="n">
        <f aca="false">IFERROR(INDEX(SEMANAS!$H$6:$H$71,MATCH($B1847,SEMANAS!$B$6:$B$71,0)),0)</f>
        <v>39.2</v>
      </c>
      <c r="T1847" s="18" t="n">
        <f aca="false">$R1847*$S1847</f>
        <v>0</v>
      </c>
      <c r="U1847" s="18" t="n">
        <f aca="false">IFERROR(INDEX(SEMANAS!$I$6:$I$71,MATCH($B1847,SEMANAS!$B$6:$B$71,0)),0)</f>
        <v>27.09</v>
      </c>
      <c r="V1847" s="18" t="n">
        <f aca="false">IFERROR(INDEX(SEMANAS!$J$6:$J$71,MATCH($B1847,SEMANAS!$B$6:$B$71,0)),0)</f>
        <v>21.672</v>
      </c>
      <c r="W1847" s="18" t="n">
        <f aca="false">MAX(0,$T1847-$V1847)</f>
        <v>0</v>
      </c>
      <c r="X1847" s="19" t="n">
        <f aca="false">IFERROR(INDEX(CADASTRO_PIVOS!$K$6:$K$41,MATCH($E1847,CADASTRO_PIVOS!$B$6:$B$41,0)),EFICIENCIA_PADRAO)</f>
        <v>0.85</v>
      </c>
      <c r="Y1847" s="18" t="n">
        <f aca="false">IF($X1847&lt;=0,0,$W1847/$X1847)</f>
        <v>0</v>
      </c>
      <c r="Z1847" s="16" t="n">
        <f aca="false">$Y1847*$H1847*MM_PARA_M3_HA</f>
        <v>0</v>
      </c>
      <c r="AA1847" s="18" t="n">
        <f aca="false">IFERROR(INDEX(CADASTRO_PIVOS!$I$6:$I$41,MATCH($E1847,CADASTRO_PIVOS!$B$6:$B$41,0)),0)</f>
        <v>1071</v>
      </c>
      <c r="AB1847" s="18" t="n">
        <f aca="false">IF($Z1847&lt;=0,0,$Z1847/$AA1847)</f>
        <v>0</v>
      </c>
      <c r="AC1847" s="16" t="n">
        <f aca="false">IFERROR(INDEX(SEMANAS!$K$6:$K$71,MATCH($B1847,SEMANAS!$B$6:$B$71,0)),0)</f>
        <v>147</v>
      </c>
      <c r="AD1847" s="19" t="n">
        <f aca="false">IF($AC1847&lt;=0,0,$AB1847/$AC1847)</f>
        <v>0</v>
      </c>
      <c r="AE1847" s="8" t="str">
        <f aca="false">IF($K1847="SEM CULTURA","SEM CULTURA",IF($AA1847&lt;=0,"DADO PENDENTE",IF($AD1847&gt;LIMITE_CRITICO,"INVIAVEL",IF($AD1847&gt;LIMITE_ATENCAO,"CRITICO",IF($AD1847&gt;LIMITE_CONFORTAVEL,"ATENCAO","OK")))))</f>
        <v>SEM CULTURA</v>
      </c>
      <c r="AF1847" s="8" t="str">
        <f aca="false">$B1847&amp;"|"&amp;TEXT($AD1847,"0.000000")</f>
        <v>60|0.000000</v>
      </c>
      <c r="AG1847" s="18" t="n">
        <f aca="false">IF($K1847="SEM CULTURA",0,$T1847*$H1847)</f>
        <v>0</v>
      </c>
      <c r="AH1847" s="18" t="n">
        <f aca="false">IF($K1847="SEM CULTURA",0,$V1847*$H1847)</f>
        <v>0</v>
      </c>
      <c r="AI1847" s="18" t="n">
        <f aca="false">IF($K1847="SEM CULTURA",0,$W1847*$H1847)</f>
        <v>0</v>
      </c>
      <c r="AJ1847" s="18" t="n">
        <f aca="false">IF($K1847="SEM CULTURA",0,$S1847*$H1847)</f>
        <v>0</v>
      </c>
      <c r="AK1847" s="8" t="str">
        <f aca="false">$E1847&amp;"|"&amp;TEXT($AD1847,"0.000000")</f>
        <v>PV 124|0.000000</v>
      </c>
    </row>
    <row r="1848" customFormat="false" ht="15" hidden="false" customHeight="false" outlineLevel="0" collapsed="false">
      <c r="B1848" s="16" t="n">
        <v>61</v>
      </c>
      <c r="C1848" s="17" t="n">
        <f aca="false">DATA_INICIO_SAFRA+($B1848-1)*DIAS_POR_SEMANA</f>
        <v>46685</v>
      </c>
      <c r="D1848" s="17" t="n">
        <f aca="false">$C1848+DIAS_POR_SEMANA-1</f>
        <v>46691</v>
      </c>
      <c r="E1848" s="15" t="s">
        <v>286</v>
      </c>
      <c r="F1848" s="8" t="str">
        <f aca="false">IFERROR(INDEX(CADASTRO_PIVOS!$C$6:$C$41,MATCH($E1848,CADASTRO_PIVOS!$B$6:$B$41,0)),"?")</f>
        <v>RM07</v>
      </c>
      <c r="G1848" s="8" t="str">
        <f aca="false">IFERROR(INDEX(CADASTRO_PIVOS!$D$6:$D$41,MATCH($E1848,CADASTRO_PIVOS!$B$6:$B$41,0)),"?")</f>
        <v>TR07</v>
      </c>
      <c r="H1848" s="20" t="n">
        <f aca="false">IFERROR(INDEX(CADASTRO_PIVOS!$E$6:$E$41,MATCH($E1848,CADASTRO_PIVOS!$B$6:$B$41,0)),0)</f>
        <v>149.94</v>
      </c>
      <c r="I1848" s="16" t="n">
        <f aca="false">IFERROR(SUMIFS(ROTACAO_RDM!$B$6:$B$71,ROTACAO_RDM!$D$6:$D$71,$E1848,ROTACAO_RDM!$I$6:$I$71,"&lt;="&amp;$C1848+INT(DIAS_POR_SEMANA/2),ROTACAO_RDM!$J$6:$J$71,"&gt;="&amp;$C1848+INT(DIAS_POR_SEMANA/2)),0)</f>
        <v>0</v>
      </c>
      <c r="J1848" s="16" t="n">
        <f aca="false">IFERROR(MATCH($I1848,ROTACAO_RDM!$B$6:$B$71,0),0)</f>
        <v>0</v>
      </c>
      <c r="K1848" s="8" t="str">
        <f aca="false">IF($J1848=0,"SEM CULTURA",INDEX(ROTACAO_RDM!$F$6:$F$71,$J1848))</f>
        <v>SEM CULTURA</v>
      </c>
      <c r="L1848" s="8" t="str">
        <f aca="false">IF($J1848=0,"",INDEX(ROTACAO_RDM!$G$6:$G$71,$J1848))</f>
        <v/>
      </c>
      <c r="M1848" s="17" t="str">
        <f aca="false">IF($J1848=0,"",INDEX(ROTACAO_RDM!$I$6:$I$71,$J1848))</f>
        <v/>
      </c>
      <c r="N1848" s="16" t="n">
        <f aca="false">IF($J1848=0,0,MAX(0,$C1848+INT(DIAS_POR_SEMANA/2)-INDEX(ROTACAO_RDM!$I$6:$I$71,$J1848)))</f>
        <v>0</v>
      </c>
      <c r="O1848" s="19" t="n">
        <f aca="false">IF($J1848=0,0,MIN(1,$N1848/MAX(1,INDEX(ROTACAO_RDM!$K$6:$K$71,$J1848))))</f>
        <v>0</v>
      </c>
      <c r="P1848" s="16" t="n">
        <f aca="false">IF($J1848=0,0,IFERROR(MATCH(INDEX(ROTACAO_RDM!$N$6:$N$71,$J1848),PARAMETROS_CULTURAS!$B$6:$B$28,0),0))</f>
        <v>0</v>
      </c>
      <c r="Q1848" s="8" t="str">
        <f aca="false">IF($P1848=0,"-",IF($O1848&lt;=INDEX(PARAMETROS_CULTURAS!$F$6:$F$28,$P1848),"INICIAL",IF($O1848&lt;=INDEX(PARAMETROS_CULTURAS!$F$6:$F$28,$P1848)+INDEX(PARAMETROS_CULTURAS!$G$6:$G$28,$P1848),"DESENVOLVIMENTO",IF($O1848&lt;=INDEX(PARAMETROS_CULTURAS!$F$6:$F$28,$P1848)+INDEX(PARAMETROS_CULTURAS!$G$6:$G$28,$P1848)+INDEX(PARAMETROS_CULTURAS!$H$6:$H$28,$P1848),"MEDIA","FINAL"))))</f>
        <v>-</v>
      </c>
      <c r="R1848" s="24" t="n">
        <f aca="false">IF($P1848=0,0,IF($O1848&lt;=INDEX(PARAMETROS_CULTURAS!$F$6:$F$28,$P1848),INDEX(PARAMETROS_CULTURAS!$K$6:$K$28,$P1848),IF($O1848&lt;=INDEX(PARAMETROS_CULTURAS!$F$6:$F$28,$P1848)+INDEX(PARAMETROS_CULTURAS!$G$6:$G$28,$P1848),INDEX(PARAMETROS_CULTURAS!$K$6:$K$28,$P1848)+(INDEX(PARAMETROS_CULTURAS!$L$6:$L$28,$P1848)-INDEX(PARAMETROS_CULTURAS!$K$6:$K$28,$P1848))*($O1848-INDEX(PARAMETROS_CULTURAS!$F$6:$F$28,$P1848))/MAX(INDEX(PARAMETROS_CULTURAS!$G$6:$G$28,$P1848),0.0001),IF($O1848&lt;=INDEX(PARAMETROS_CULTURAS!$F$6:$F$28,$P1848)+INDEX(PARAMETROS_CULTURAS!$G$6:$G$28,$P1848)+INDEX(PARAMETROS_CULTURAS!$H$6:$H$28,$P1848),INDEX(PARAMETROS_CULTURAS!$L$6:$L$28,$P1848),INDEX(PARAMETROS_CULTURAS!$L$6:$L$28,$P1848)+(INDEX(PARAMETROS_CULTURAS!$M$6:$M$28,$P1848)-INDEX(PARAMETROS_CULTURAS!$L$6:$L$28,$P1848))*($O1848-INDEX(PARAMETROS_CULTURAS!$F$6:$F$28,$P1848)-INDEX(PARAMETROS_CULTURAS!$G$6:$G$28,$P1848)-INDEX(PARAMETROS_CULTURAS!$H$6:$H$28,$P1848))/MAX(INDEX(PARAMETROS_CULTURAS!$I$6:$I$28,$P1848),0.0001)))))</f>
        <v>0</v>
      </c>
      <c r="S1848" s="18" t="n">
        <f aca="false">IFERROR(INDEX(SEMANAS!$H$6:$H$71,MATCH($B1848,SEMANAS!$B$6:$B$71,0)),0)</f>
        <v>39.2</v>
      </c>
      <c r="T1848" s="18" t="n">
        <f aca="false">$R1848*$S1848</f>
        <v>0</v>
      </c>
      <c r="U1848" s="18" t="n">
        <f aca="false">IFERROR(INDEX(SEMANAS!$I$6:$I$71,MATCH($B1848,SEMANAS!$B$6:$B$71,0)),0)</f>
        <v>27.09</v>
      </c>
      <c r="V1848" s="18" t="n">
        <f aca="false">IFERROR(INDEX(SEMANAS!$J$6:$J$71,MATCH($B1848,SEMANAS!$B$6:$B$71,0)),0)</f>
        <v>21.672</v>
      </c>
      <c r="W1848" s="18" t="n">
        <f aca="false">MAX(0,$T1848-$V1848)</f>
        <v>0</v>
      </c>
      <c r="X1848" s="19" t="n">
        <f aca="false">IFERROR(INDEX(CADASTRO_PIVOS!$K$6:$K$41,MATCH($E1848,CADASTRO_PIVOS!$B$6:$B$41,0)),EFICIENCIA_PADRAO)</f>
        <v>0.85</v>
      </c>
      <c r="Y1848" s="18" t="n">
        <f aca="false">IF($X1848&lt;=0,0,$W1848/$X1848)</f>
        <v>0</v>
      </c>
      <c r="Z1848" s="16" t="n">
        <f aca="false">$Y1848*$H1848*MM_PARA_M3_HA</f>
        <v>0</v>
      </c>
      <c r="AA1848" s="18" t="n">
        <f aca="false">IFERROR(INDEX(CADASTRO_PIVOS!$I$6:$I$41,MATCH($E1848,CADASTRO_PIVOS!$B$6:$B$41,0)),0)</f>
        <v>1071</v>
      </c>
      <c r="AB1848" s="18" t="n">
        <f aca="false">IF($Z1848&lt;=0,0,$Z1848/$AA1848)</f>
        <v>0</v>
      </c>
      <c r="AC1848" s="16" t="n">
        <f aca="false">IFERROR(INDEX(SEMANAS!$K$6:$K$71,MATCH($B1848,SEMANAS!$B$6:$B$71,0)),0)</f>
        <v>147</v>
      </c>
      <c r="AD1848" s="19" t="n">
        <f aca="false">IF($AC1848&lt;=0,0,$AB1848/$AC1848)</f>
        <v>0</v>
      </c>
      <c r="AE1848" s="8" t="str">
        <f aca="false">IF($K1848="SEM CULTURA","SEM CULTURA",IF($AA1848&lt;=0,"DADO PENDENTE",IF($AD1848&gt;LIMITE_CRITICO,"INVIAVEL",IF($AD1848&gt;LIMITE_ATENCAO,"CRITICO",IF($AD1848&gt;LIMITE_CONFORTAVEL,"ATENCAO","OK")))))</f>
        <v>SEM CULTURA</v>
      </c>
      <c r="AF1848" s="8" t="str">
        <f aca="false">$B1848&amp;"|"&amp;TEXT($AD1848,"0.000000")</f>
        <v>61|0.000000</v>
      </c>
      <c r="AG1848" s="18" t="n">
        <f aca="false">IF($K1848="SEM CULTURA",0,$T1848*$H1848)</f>
        <v>0</v>
      </c>
      <c r="AH1848" s="18" t="n">
        <f aca="false">IF($K1848="SEM CULTURA",0,$V1848*$H1848)</f>
        <v>0</v>
      </c>
      <c r="AI1848" s="18" t="n">
        <f aca="false">IF($K1848="SEM CULTURA",0,$W1848*$H1848)</f>
        <v>0</v>
      </c>
      <c r="AJ1848" s="18" t="n">
        <f aca="false">IF($K1848="SEM CULTURA",0,$S1848*$H1848)</f>
        <v>0</v>
      </c>
      <c r="AK1848" s="8" t="str">
        <f aca="false">$E1848&amp;"|"&amp;TEXT($AD1848,"0.000000")</f>
        <v>PV 124|0.000000</v>
      </c>
    </row>
    <row r="1849" customFormat="false" ht="15" hidden="false" customHeight="false" outlineLevel="0" collapsed="false">
      <c r="B1849" s="16" t="n">
        <v>62</v>
      </c>
      <c r="C1849" s="17" t="n">
        <f aca="false">DATA_INICIO_SAFRA+($B1849-1)*DIAS_POR_SEMANA</f>
        <v>46692</v>
      </c>
      <c r="D1849" s="17" t="n">
        <f aca="false">$C1849+DIAS_POR_SEMANA-1</f>
        <v>46698</v>
      </c>
      <c r="E1849" s="15" t="s">
        <v>286</v>
      </c>
      <c r="F1849" s="8" t="str">
        <f aca="false">IFERROR(INDEX(CADASTRO_PIVOS!$C$6:$C$41,MATCH($E1849,CADASTRO_PIVOS!$B$6:$B$41,0)),"?")</f>
        <v>RM07</v>
      </c>
      <c r="G1849" s="8" t="str">
        <f aca="false">IFERROR(INDEX(CADASTRO_PIVOS!$D$6:$D$41,MATCH($E1849,CADASTRO_PIVOS!$B$6:$B$41,0)),"?")</f>
        <v>TR07</v>
      </c>
      <c r="H1849" s="20" t="n">
        <f aca="false">IFERROR(INDEX(CADASTRO_PIVOS!$E$6:$E$41,MATCH($E1849,CADASTRO_PIVOS!$B$6:$B$41,0)),0)</f>
        <v>149.94</v>
      </c>
      <c r="I1849" s="16" t="n">
        <f aca="false">IFERROR(SUMIFS(ROTACAO_RDM!$B$6:$B$71,ROTACAO_RDM!$D$6:$D$71,$E1849,ROTACAO_RDM!$I$6:$I$71,"&lt;="&amp;$C1849+INT(DIAS_POR_SEMANA/2),ROTACAO_RDM!$J$6:$J$71,"&gt;="&amp;$C1849+INT(DIAS_POR_SEMANA/2)),0)</f>
        <v>0</v>
      </c>
      <c r="J1849" s="16" t="n">
        <f aca="false">IFERROR(MATCH($I1849,ROTACAO_RDM!$B$6:$B$71,0),0)</f>
        <v>0</v>
      </c>
      <c r="K1849" s="8" t="str">
        <f aca="false">IF($J1849=0,"SEM CULTURA",INDEX(ROTACAO_RDM!$F$6:$F$71,$J1849))</f>
        <v>SEM CULTURA</v>
      </c>
      <c r="L1849" s="8" t="str">
        <f aca="false">IF($J1849=0,"",INDEX(ROTACAO_RDM!$G$6:$G$71,$J1849))</f>
        <v/>
      </c>
      <c r="M1849" s="17" t="str">
        <f aca="false">IF($J1849=0,"",INDEX(ROTACAO_RDM!$I$6:$I$71,$J1849))</f>
        <v/>
      </c>
      <c r="N1849" s="16" t="n">
        <f aca="false">IF($J1849=0,0,MAX(0,$C1849+INT(DIAS_POR_SEMANA/2)-INDEX(ROTACAO_RDM!$I$6:$I$71,$J1849)))</f>
        <v>0</v>
      </c>
      <c r="O1849" s="19" t="n">
        <f aca="false">IF($J1849=0,0,MIN(1,$N1849/MAX(1,INDEX(ROTACAO_RDM!$K$6:$K$71,$J1849))))</f>
        <v>0</v>
      </c>
      <c r="P1849" s="16" t="n">
        <f aca="false">IF($J1849=0,0,IFERROR(MATCH(INDEX(ROTACAO_RDM!$N$6:$N$71,$J1849),PARAMETROS_CULTURAS!$B$6:$B$28,0),0))</f>
        <v>0</v>
      </c>
      <c r="Q1849" s="8" t="str">
        <f aca="false">IF($P1849=0,"-",IF($O1849&lt;=INDEX(PARAMETROS_CULTURAS!$F$6:$F$28,$P1849),"INICIAL",IF($O1849&lt;=INDEX(PARAMETROS_CULTURAS!$F$6:$F$28,$P1849)+INDEX(PARAMETROS_CULTURAS!$G$6:$G$28,$P1849),"DESENVOLVIMENTO",IF($O1849&lt;=INDEX(PARAMETROS_CULTURAS!$F$6:$F$28,$P1849)+INDEX(PARAMETROS_CULTURAS!$G$6:$G$28,$P1849)+INDEX(PARAMETROS_CULTURAS!$H$6:$H$28,$P1849),"MEDIA","FINAL"))))</f>
        <v>-</v>
      </c>
      <c r="R1849" s="24" t="n">
        <f aca="false">IF($P1849=0,0,IF($O1849&lt;=INDEX(PARAMETROS_CULTURAS!$F$6:$F$28,$P1849),INDEX(PARAMETROS_CULTURAS!$K$6:$K$28,$P1849),IF($O1849&lt;=INDEX(PARAMETROS_CULTURAS!$F$6:$F$28,$P1849)+INDEX(PARAMETROS_CULTURAS!$G$6:$G$28,$P1849),INDEX(PARAMETROS_CULTURAS!$K$6:$K$28,$P1849)+(INDEX(PARAMETROS_CULTURAS!$L$6:$L$28,$P1849)-INDEX(PARAMETROS_CULTURAS!$K$6:$K$28,$P1849))*($O1849-INDEX(PARAMETROS_CULTURAS!$F$6:$F$28,$P1849))/MAX(INDEX(PARAMETROS_CULTURAS!$G$6:$G$28,$P1849),0.0001),IF($O1849&lt;=INDEX(PARAMETROS_CULTURAS!$F$6:$F$28,$P1849)+INDEX(PARAMETROS_CULTURAS!$G$6:$G$28,$P1849)+INDEX(PARAMETROS_CULTURAS!$H$6:$H$28,$P1849),INDEX(PARAMETROS_CULTURAS!$L$6:$L$28,$P1849),INDEX(PARAMETROS_CULTURAS!$L$6:$L$28,$P1849)+(INDEX(PARAMETROS_CULTURAS!$M$6:$M$28,$P1849)-INDEX(PARAMETROS_CULTURAS!$L$6:$L$28,$P1849))*($O1849-INDEX(PARAMETROS_CULTURAS!$F$6:$F$28,$P1849)-INDEX(PARAMETROS_CULTURAS!$G$6:$G$28,$P1849)-INDEX(PARAMETROS_CULTURAS!$H$6:$H$28,$P1849))/MAX(INDEX(PARAMETROS_CULTURAS!$I$6:$I$28,$P1849),0.0001)))))</f>
        <v>0</v>
      </c>
      <c r="S1849" s="18" t="n">
        <f aca="false">IFERROR(INDEX(SEMANAS!$H$6:$H$71,MATCH($B1849,SEMANAS!$B$6:$B$71,0)),0)</f>
        <v>34.3</v>
      </c>
      <c r="T1849" s="18" t="n">
        <f aca="false">$R1849*$S1849</f>
        <v>0</v>
      </c>
      <c r="U1849" s="18" t="n">
        <f aca="false">IFERROR(INDEX(SEMANAS!$I$6:$I$71,MATCH($B1849,SEMANAS!$B$6:$B$71,0)),0)</f>
        <v>46.69</v>
      </c>
      <c r="V1849" s="18" t="n">
        <f aca="false">IFERROR(INDEX(SEMANAS!$J$6:$J$71,MATCH($B1849,SEMANAS!$B$6:$B$71,0)),0)</f>
        <v>37.352</v>
      </c>
      <c r="W1849" s="18" t="n">
        <f aca="false">MAX(0,$T1849-$V1849)</f>
        <v>0</v>
      </c>
      <c r="X1849" s="19" t="n">
        <f aca="false">IFERROR(INDEX(CADASTRO_PIVOS!$K$6:$K$41,MATCH($E1849,CADASTRO_PIVOS!$B$6:$B$41,0)),EFICIENCIA_PADRAO)</f>
        <v>0.85</v>
      </c>
      <c r="Y1849" s="18" t="n">
        <f aca="false">IF($X1849&lt;=0,0,$W1849/$X1849)</f>
        <v>0</v>
      </c>
      <c r="Z1849" s="16" t="n">
        <f aca="false">$Y1849*$H1849*MM_PARA_M3_HA</f>
        <v>0</v>
      </c>
      <c r="AA1849" s="18" t="n">
        <f aca="false">IFERROR(INDEX(CADASTRO_PIVOS!$I$6:$I$41,MATCH($E1849,CADASTRO_PIVOS!$B$6:$B$41,0)),0)</f>
        <v>1071</v>
      </c>
      <c r="AB1849" s="18" t="n">
        <f aca="false">IF($Z1849&lt;=0,0,$Z1849/$AA1849)</f>
        <v>0</v>
      </c>
      <c r="AC1849" s="16" t="n">
        <f aca="false">IFERROR(INDEX(SEMANAS!$K$6:$K$71,MATCH($B1849,SEMANAS!$B$6:$B$71,0)),0)</f>
        <v>147</v>
      </c>
      <c r="AD1849" s="19" t="n">
        <f aca="false">IF($AC1849&lt;=0,0,$AB1849/$AC1849)</f>
        <v>0</v>
      </c>
      <c r="AE1849" s="8" t="str">
        <f aca="false">IF($K1849="SEM CULTURA","SEM CULTURA",IF($AA1849&lt;=0,"DADO PENDENTE",IF($AD1849&gt;LIMITE_CRITICO,"INVIAVEL",IF($AD1849&gt;LIMITE_ATENCAO,"CRITICO",IF($AD1849&gt;LIMITE_CONFORTAVEL,"ATENCAO","OK")))))</f>
        <v>SEM CULTURA</v>
      </c>
      <c r="AF1849" s="8" t="str">
        <f aca="false">$B1849&amp;"|"&amp;TEXT($AD1849,"0.000000")</f>
        <v>62|0.000000</v>
      </c>
      <c r="AG1849" s="18" t="n">
        <f aca="false">IF($K1849="SEM CULTURA",0,$T1849*$H1849)</f>
        <v>0</v>
      </c>
      <c r="AH1849" s="18" t="n">
        <f aca="false">IF($K1849="SEM CULTURA",0,$V1849*$H1849)</f>
        <v>0</v>
      </c>
      <c r="AI1849" s="18" t="n">
        <f aca="false">IF($K1849="SEM CULTURA",0,$W1849*$H1849)</f>
        <v>0</v>
      </c>
      <c r="AJ1849" s="18" t="n">
        <f aca="false">IF($K1849="SEM CULTURA",0,$S1849*$H1849)</f>
        <v>0</v>
      </c>
      <c r="AK1849" s="8" t="str">
        <f aca="false">$E1849&amp;"|"&amp;TEXT($AD1849,"0.000000")</f>
        <v>PV 124|0.000000</v>
      </c>
    </row>
    <row r="1850" customFormat="false" ht="15" hidden="false" customHeight="false" outlineLevel="0" collapsed="false">
      <c r="B1850" s="16" t="n">
        <v>63</v>
      </c>
      <c r="C1850" s="17" t="n">
        <f aca="false">DATA_INICIO_SAFRA+($B1850-1)*DIAS_POR_SEMANA</f>
        <v>46699</v>
      </c>
      <c r="D1850" s="17" t="n">
        <f aca="false">$C1850+DIAS_POR_SEMANA-1</f>
        <v>46705</v>
      </c>
      <c r="E1850" s="15" t="s">
        <v>286</v>
      </c>
      <c r="F1850" s="8" t="str">
        <f aca="false">IFERROR(INDEX(CADASTRO_PIVOS!$C$6:$C$41,MATCH($E1850,CADASTRO_PIVOS!$B$6:$B$41,0)),"?")</f>
        <v>RM07</v>
      </c>
      <c r="G1850" s="8" t="str">
        <f aca="false">IFERROR(INDEX(CADASTRO_PIVOS!$D$6:$D$41,MATCH($E1850,CADASTRO_PIVOS!$B$6:$B$41,0)),"?")</f>
        <v>TR07</v>
      </c>
      <c r="H1850" s="20" t="n">
        <f aca="false">IFERROR(INDEX(CADASTRO_PIVOS!$E$6:$E$41,MATCH($E1850,CADASTRO_PIVOS!$B$6:$B$41,0)),0)</f>
        <v>149.94</v>
      </c>
      <c r="I1850" s="16" t="n">
        <f aca="false">IFERROR(SUMIFS(ROTACAO_RDM!$B$6:$B$71,ROTACAO_RDM!$D$6:$D$71,$E1850,ROTACAO_RDM!$I$6:$I$71,"&lt;="&amp;$C1850+INT(DIAS_POR_SEMANA/2),ROTACAO_RDM!$J$6:$J$71,"&gt;="&amp;$C1850+INT(DIAS_POR_SEMANA/2)),0)</f>
        <v>0</v>
      </c>
      <c r="J1850" s="16" t="n">
        <f aca="false">IFERROR(MATCH($I1850,ROTACAO_RDM!$B$6:$B$71,0),0)</f>
        <v>0</v>
      </c>
      <c r="K1850" s="8" t="str">
        <f aca="false">IF($J1850=0,"SEM CULTURA",INDEX(ROTACAO_RDM!$F$6:$F$71,$J1850))</f>
        <v>SEM CULTURA</v>
      </c>
      <c r="L1850" s="8" t="str">
        <f aca="false">IF($J1850=0,"",INDEX(ROTACAO_RDM!$G$6:$G$71,$J1850))</f>
        <v/>
      </c>
      <c r="M1850" s="17" t="str">
        <f aca="false">IF($J1850=0,"",INDEX(ROTACAO_RDM!$I$6:$I$71,$J1850))</f>
        <v/>
      </c>
      <c r="N1850" s="16" t="n">
        <f aca="false">IF($J1850=0,0,MAX(0,$C1850+INT(DIAS_POR_SEMANA/2)-INDEX(ROTACAO_RDM!$I$6:$I$71,$J1850)))</f>
        <v>0</v>
      </c>
      <c r="O1850" s="19" t="n">
        <f aca="false">IF($J1850=0,0,MIN(1,$N1850/MAX(1,INDEX(ROTACAO_RDM!$K$6:$K$71,$J1850))))</f>
        <v>0</v>
      </c>
      <c r="P1850" s="16" t="n">
        <f aca="false">IF($J1850=0,0,IFERROR(MATCH(INDEX(ROTACAO_RDM!$N$6:$N$71,$J1850),PARAMETROS_CULTURAS!$B$6:$B$28,0),0))</f>
        <v>0</v>
      </c>
      <c r="Q1850" s="8" t="str">
        <f aca="false">IF($P1850=0,"-",IF($O1850&lt;=INDEX(PARAMETROS_CULTURAS!$F$6:$F$28,$P1850),"INICIAL",IF($O1850&lt;=INDEX(PARAMETROS_CULTURAS!$F$6:$F$28,$P1850)+INDEX(PARAMETROS_CULTURAS!$G$6:$G$28,$P1850),"DESENVOLVIMENTO",IF($O1850&lt;=INDEX(PARAMETROS_CULTURAS!$F$6:$F$28,$P1850)+INDEX(PARAMETROS_CULTURAS!$G$6:$G$28,$P1850)+INDEX(PARAMETROS_CULTURAS!$H$6:$H$28,$P1850),"MEDIA","FINAL"))))</f>
        <v>-</v>
      </c>
      <c r="R1850" s="24" t="n">
        <f aca="false">IF($P1850=0,0,IF($O1850&lt;=INDEX(PARAMETROS_CULTURAS!$F$6:$F$28,$P1850),INDEX(PARAMETROS_CULTURAS!$K$6:$K$28,$P1850),IF($O1850&lt;=INDEX(PARAMETROS_CULTURAS!$F$6:$F$28,$P1850)+INDEX(PARAMETROS_CULTURAS!$G$6:$G$28,$P1850),INDEX(PARAMETROS_CULTURAS!$K$6:$K$28,$P1850)+(INDEX(PARAMETROS_CULTURAS!$L$6:$L$28,$P1850)-INDEX(PARAMETROS_CULTURAS!$K$6:$K$28,$P1850))*($O1850-INDEX(PARAMETROS_CULTURAS!$F$6:$F$28,$P1850))/MAX(INDEX(PARAMETROS_CULTURAS!$G$6:$G$28,$P1850),0.0001),IF($O1850&lt;=INDEX(PARAMETROS_CULTURAS!$F$6:$F$28,$P1850)+INDEX(PARAMETROS_CULTURAS!$G$6:$G$28,$P1850)+INDEX(PARAMETROS_CULTURAS!$H$6:$H$28,$P1850),INDEX(PARAMETROS_CULTURAS!$L$6:$L$28,$P1850),INDEX(PARAMETROS_CULTURAS!$L$6:$L$28,$P1850)+(INDEX(PARAMETROS_CULTURAS!$M$6:$M$28,$P1850)-INDEX(PARAMETROS_CULTURAS!$L$6:$L$28,$P1850))*($O1850-INDEX(PARAMETROS_CULTURAS!$F$6:$F$28,$P1850)-INDEX(PARAMETROS_CULTURAS!$G$6:$G$28,$P1850)-INDEX(PARAMETROS_CULTURAS!$H$6:$H$28,$P1850))/MAX(INDEX(PARAMETROS_CULTURAS!$I$6:$I$28,$P1850),0.0001)))))</f>
        <v>0</v>
      </c>
      <c r="S1850" s="18" t="n">
        <f aca="false">IFERROR(INDEX(SEMANAS!$H$6:$H$71,MATCH($B1850,SEMANAS!$B$6:$B$71,0)),0)</f>
        <v>34.3</v>
      </c>
      <c r="T1850" s="18" t="n">
        <f aca="false">$R1850*$S1850</f>
        <v>0</v>
      </c>
      <c r="U1850" s="18" t="n">
        <f aca="false">IFERROR(INDEX(SEMANAS!$I$6:$I$71,MATCH($B1850,SEMANAS!$B$6:$B$71,0)),0)</f>
        <v>46.69</v>
      </c>
      <c r="V1850" s="18" t="n">
        <f aca="false">IFERROR(INDEX(SEMANAS!$J$6:$J$71,MATCH($B1850,SEMANAS!$B$6:$B$71,0)),0)</f>
        <v>37.352</v>
      </c>
      <c r="W1850" s="18" t="n">
        <f aca="false">MAX(0,$T1850-$V1850)</f>
        <v>0</v>
      </c>
      <c r="X1850" s="19" t="n">
        <f aca="false">IFERROR(INDEX(CADASTRO_PIVOS!$K$6:$K$41,MATCH($E1850,CADASTRO_PIVOS!$B$6:$B$41,0)),EFICIENCIA_PADRAO)</f>
        <v>0.85</v>
      </c>
      <c r="Y1850" s="18" t="n">
        <f aca="false">IF($X1850&lt;=0,0,$W1850/$X1850)</f>
        <v>0</v>
      </c>
      <c r="Z1850" s="16" t="n">
        <f aca="false">$Y1850*$H1850*MM_PARA_M3_HA</f>
        <v>0</v>
      </c>
      <c r="AA1850" s="18" t="n">
        <f aca="false">IFERROR(INDEX(CADASTRO_PIVOS!$I$6:$I$41,MATCH($E1850,CADASTRO_PIVOS!$B$6:$B$41,0)),0)</f>
        <v>1071</v>
      </c>
      <c r="AB1850" s="18" t="n">
        <f aca="false">IF($Z1850&lt;=0,0,$Z1850/$AA1850)</f>
        <v>0</v>
      </c>
      <c r="AC1850" s="16" t="n">
        <f aca="false">IFERROR(INDEX(SEMANAS!$K$6:$K$71,MATCH($B1850,SEMANAS!$B$6:$B$71,0)),0)</f>
        <v>147</v>
      </c>
      <c r="AD1850" s="19" t="n">
        <f aca="false">IF($AC1850&lt;=0,0,$AB1850/$AC1850)</f>
        <v>0</v>
      </c>
      <c r="AE1850" s="8" t="str">
        <f aca="false">IF($K1850="SEM CULTURA","SEM CULTURA",IF($AA1850&lt;=0,"DADO PENDENTE",IF($AD1850&gt;LIMITE_CRITICO,"INVIAVEL",IF($AD1850&gt;LIMITE_ATENCAO,"CRITICO",IF($AD1850&gt;LIMITE_CONFORTAVEL,"ATENCAO","OK")))))</f>
        <v>SEM CULTURA</v>
      </c>
      <c r="AF1850" s="8" t="str">
        <f aca="false">$B1850&amp;"|"&amp;TEXT($AD1850,"0.000000")</f>
        <v>63|0.000000</v>
      </c>
      <c r="AG1850" s="18" t="n">
        <f aca="false">IF($K1850="SEM CULTURA",0,$T1850*$H1850)</f>
        <v>0</v>
      </c>
      <c r="AH1850" s="18" t="n">
        <f aca="false">IF($K1850="SEM CULTURA",0,$V1850*$H1850)</f>
        <v>0</v>
      </c>
      <c r="AI1850" s="18" t="n">
        <f aca="false">IF($K1850="SEM CULTURA",0,$W1850*$H1850)</f>
        <v>0</v>
      </c>
      <c r="AJ1850" s="18" t="n">
        <f aca="false">IF($K1850="SEM CULTURA",0,$S1850*$H1850)</f>
        <v>0</v>
      </c>
      <c r="AK1850" s="8" t="str">
        <f aca="false">$E1850&amp;"|"&amp;TEXT($AD1850,"0.000000")</f>
        <v>PV 124|0.000000</v>
      </c>
    </row>
    <row r="1851" customFormat="false" ht="15" hidden="false" customHeight="false" outlineLevel="0" collapsed="false">
      <c r="B1851" s="16" t="n">
        <v>64</v>
      </c>
      <c r="C1851" s="17" t="n">
        <f aca="false">DATA_INICIO_SAFRA+($B1851-1)*DIAS_POR_SEMANA</f>
        <v>46706</v>
      </c>
      <c r="D1851" s="17" t="n">
        <f aca="false">$C1851+DIAS_POR_SEMANA-1</f>
        <v>46712</v>
      </c>
      <c r="E1851" s="15" t="s">
        <v>286</v>
      </c>
      <c r="F1851" s="8" t="str">
        <f aca="false">IFERROR(INDEX(CADASTRO_PIVOS!$C$6:$C$41,MATCH($E1851,CADASTRO_PIVOS!$B$6:$B$41,0)),"?")</f>
        <v>RM07</v>
      </c>
      <c r="G1851" s="8" t="str">
        <f aca="false">IFERROR(INDEX(CADASTRO_PIVOS!$D$6:$D$41,MATCH($E1851,CADASTRO_PIVOS!$B$6:$B$41,0)),"?")</f>
        <v>TR07</v>
      </c>
      <c r="H1851" s="20" t="n">
        <f aca="false">IFERROR(INDEX(CADASTRO_PIVOS!$E$6:$E$41,MATCH($E1851,CADASTRO_PIVOS!$B$6:$B$41,0)),0)</f>
        <v>149.94</v>
      </c>
      <c r="I1851" s="16" t="n">
        <f aca="false">IFERROR(SUMIFS(ROTACAO_RDM!$B$6:$B$71,ROTACAO_RDM!$D$6:$D$71,$E1851,ROTACAO_RDM!$I$6:$I$71,"&lt;="&amp;$C1851+INT(DIAS_POR_SEMANA/2),ROTACAO_RDM!$J$6:$J$71,"&gt;="&amp;$C1851+INT(DIAS_POR_SEMANA/2)),0)</f>
        <v>0</v>
      </c>
      <c r="J1851" s="16" t="n">
        <f aca="false">IFERROR(MATCH($I1851,ROTACAO_RDM!$B$6:$B$71,0),0)</f>
        <v>0</v>
      </c>
      <c r="K1851" s="8" t="str">
        <f aca="false">IF($J1851=0,"SEM CULTURA",INDEX(ROTACAO_RDM!$F$6:$F$71,$J1851))</f>
        <v>SEM CULTURA</v>
      </c>
      <c r="L1851" s="8" t="str">
        <f aca="false">IF($J1851=0,"",INDEX(ROTACAO_RDM!$G$6:$G$71,$J1851))</f>
        <v/>
      </c>
      <c r="M1851" s="17" t="str">
        <f aca="false">IF($J1851=0,"",INDEX(ROTACAO_RDM!$I$6:$I$71,$J1851))</f>
        <v/>
      </c>
      <c r="N1851" s="16" t="n">
        <f aca="false">IF($J1851=0,0,MAX(0,$C1851+INT(DIAS_POR_SEMANA/2)-INDEX(ROTACAO_RDM!$I$6:$I$71,$J1851)))</f>
        <v>0</v>
      </c>
      <c r="O1851" s="19" t="n">
        <f aca="false">IF($J1851=0,0,MIN(1,$N1851/MAX(1,INDEX(ROTACAO_RDM!$K$6:$K$71,$J1851))))</f>
        <v>0</v>
      </c>
      <c r="P1851" s="16" t="n">
        <f aca="false">IF($J1851=0,0,IFERROR(MATCH(INDEX(ROTACAO_RDM!$N$6:$N$71,$J1851),PARAMETROS_CULTURAS!$B$6:$B$28,0),0))</f>
        <v>0</v>
      </c>
      <c r="Q1851" s="8" t="str">
        <f aca="false">IF($P1851=0,"-",IF($O1851&lt;=INDEX(PARAMETROS_CULTURAS!$F$6:$F$28,$P1851),"INICIAL",IF($O1851&lt;=INDEX(PARAMETROS_CULTURAS!$F$6:$F$28,$P1851)+INDEX(PARAMETROS_CULTURAS!$G$6:$G$28,$P1851),"DESENVOLVIMENTO",IF($O1851&lt;=INDEX(PARAMETROS_CULTURAS!$F$6:$F$28,$P1851)+INDEX(PARAMETROS_CULTURAS!$G$6:$G$28,$P1851)+INDEX(PARAMETROS_CULTURAS!$H$6:$H$28,$P1851),"MEDIA","FINAL"))))</f>
        <v>-</v>
      </c>
      <c r="R1851" s="24" t="n">
        <f aca="false">IF($P1851=0,0,IF($O1851&lt;=INDEX(PARAMETROS_CULTURAS!$F$6:$F$28,$P1851),INDEX(PARAMETROS_CULTURAS!$K$6:$K$28,$P1851),IF($O1851&lt;=INDEX(PARAMETROS_CULTURAS!$F$6:$F$28,$P1851)+INDEX(PARAMETROS_CULTURAS!$G$6:$G$28,$P1851),INDEX(PARAMETROS_CULTURAS!$K$6:$K$28,$P1851)+(INDEX(PARAMETROS_CULTURAS!$L$6:$L$28,$P1851)-INDEX(PARAMETROS_CULTURAS!$K$6:$K$28,$P1851))*($O1851-INDEX(PARAMETROS_CULTURAS!$F$6:$F$28,$P1851))/MAX(INDEX(PARAMETROS_CULTURAS!$G$6:$G$28,$P1851),0.0001),IF($O1851&lt;=INDEX(PARAMETROS_CULTURAS!$F$6:$F$28,$P1851)+INDEX(PARAMETROS_CULTURAS!$G$6:$G$28,$P1851)+INDEX(PARAMETROS_CULTURAS!$H$6:$H$28,$P1851),INDEX(PARAMETROS_CULTURAS!$L$6:$L$28,$P1851),INDEX(PARAMETROS_CULTURAS!$L$6:$L$28,$P1851)+(INDEX(PARAMETROS_CULTURAS!$M$6:$M$28,$P1851)-INDEX(PARAMETROS_CULTURAS!$L$6:$L$28,$P1851))*($O1851-INDEX(PARAMETROS_CULTURAS!$F$6:$F$28,$P1851)-INDEX(PARAMETROS_CULTURAS!$G$6:$G$28,$P1851)-INDEX(PARAMETROS_CULTURAS!$H$6:$H$28,$P1851))/MAX(INDEX(PARAMETROS_CULTURAS!$I$6:$I$28,$P1851),0.0001)))))</f>
        <v>0</v>
      </c>
      <c r="S1851" s="18" t="n">
        <f aca="false">IFERROR(INDEX(SEMANAS!$H$6:$H$71,MATCH($B1851,SEMANAS!$B$6:$B$71,0)),0)</f>
        <v>34.3</v>
      </c>
      <c r="T1851" s="18" t="n">
        <f aca="false">$R1851*$S1851</f>
        <v>0</v>
      </c>
      <c r="U1851" s="18" t="n">
        <f aca="false">IFERROR(INDEX(SEMANAS!$I$6:$I$71,MATCH($B1851,SEMANAS!$B$6:$B$71,0)),0)</f>
        <v>46.69</v>
      </c>
      <c r="V1851" s="18" t="n">
        <f aca="false">IFERROR(INDEX(SEMANAS!$J$6:$J$71,MATCH($B1851,SEMANAS!$B$6:$B$71,0)),0)</f>
        <v>37.352</v>
      </c>
      <c r="W1851" s="18" t="n">
        <f aca="false">MAX(0,$T1851-$V1851)</f>
        <v>0</v>
      </c>
      <c r="X1851" s="19" t="n">
        <f aca="false">IFERROR(INDEX(CADASTRO_PIVOS!$K$6:$K$41,MATCH($E1851,CADASTRO_PIVOS!$B$6:$B$41,0)),EFICIENCIA_PADRAO)</f>
        <v>0.85</v>
      </c>
      <c r="Y1851" s="18" t="n">
        <f aca="false">IF($X1851&lt;=0,0,$W1851/$X1851)</f>
        <v>0</v>
      </c>
      <c r="Z1851" s="16" t="n">
        <f aca="false">$Y1851*$H1851*MM_PARA_M3_HA</f>
        <v>0</v>
      </c>
      <c r="AA1851" s="18" t="n">
        <f aca="false">IFERROR(INDEX(CADASTRO_PIVOS!$I$6:$I$41,MATCH($E1851,CADASTRO_PIVOS!$B$6:$B$41,0)),0)</f>
        <v>1071</v>
      </c>
      <c r="AB1851" s="18" t="n">
        <f aca="false">IF($Z1851&lt;=0,0,$Z1851/$AA1851)</f>
        <v>0</v>
      </c>
      <c r="AC1851" s="16" t="n">
        <f aca="false">IFERROR(INDEX(SEMANAS!$K$6:$K$71,MATCH($B1851,SEMANAS!$B$6:$B$71,0)),0)</f>
        <v>147</v>
      </c>
      <c r="AD1851" s="19" t="n">
        <f aca="false">IF($AC1851&lt;=0,0,$AB1851/$AC1851)</f>
        <v>0</v>
      </c>
      <c r="AE1851" s="8" t="str">
        <f aca="false">IF($K1851="SEM CULTURA","SEM CULTURA",IF($AA1851&lt;=0,"DADO PENDENTE",IF($AD1851&gt;LIMITE_CRITICO,"INVIAVEL",IF($AD1851&gt;LIMITE_ATENCAO,"CRITICO",IF($AD1851&gt;LIMITE_CONFORTAVEL,"ATENCAO","OK")))))</f>
        <v>SEM CULTURA</v>
      </c>
      <c r="AF1851" s="8" t="str">
        <f aca="false">$B1851&amp;"|"&amp;TEXT($AD1851,"0.000000")</f>
        <v>64|0.000000</v>
      </c>
      <c r="AG1851" s="18" t="n">
        <f aca="false">IF($K1851="SEM CULTURA",0,$T1851*$H1851)</f>
        <v>0</v>
      </c>
      <c r="AH1851" s="18" t="n">
        <f aca="false">IF($K1851="SEM CULTURA",0,$V1851*$H1851)</f>
        <v>0</v>
      </c>
      <c r="AI1851" s="18" t="n">
        <f aca="false">IF($K1851="SEM CULTURA",0,$W1851*$H1851)</f>
        <v>0</v>
      </c>
      <c r="AJ1851" s="18" t="n">
        <f aca="false">IF($K1851="SEM CULTURA",0,$S1851*$H1851)</f>
        <v>0</v>
      </c>
      <c r="AK1851" s="8" t="str">
        <f aca="false">$E1851&amp;"|"&amp;TEXT($AD1851,"0.000000")</f>
        <v>PV 124|0.000000</v>
      </c>
    </row>
    <row r="1852" customFormat="false" ht="15" hidden="false" customHeight="false" outlineLevel="0" collapsed="false">
      <c r="B1852" s="16" t="n">
        <v>65</v>
      </c>
      <c r="C1852" s="17" t="n">
        <f aca="false">DATA_INICIO_SAFRA+($B1852-1)*DIAS_POR_SEMANA</f>
        <v>46713</v>
      </c>
      <c r="D1852" s="17" t="n">
        <f aca="false">$C1852+DIAS_POR_SEMANA-1</f>
        <v>46719</v>
      </c>
      <c r="E1852" s="15" t="s">
        <v>286</v>
      </c>
      <c r="F1852" s="8" t="str">
        <f aca="false">IFERROR(INDEX(CADASTRO_PIVOS!$C$6:$C$41,MATCH($E1852,CADASTRO_PIVOS!$B$6:$B$41,0)),"?")</f>
        <v>RM07</v>
      </c>
      <c r="G1852" s="8" t="str">
        <f aca="false">IFERROR(INDEX(CADASTRO_PIVOS!$D$6:$D$41,MATCH($E1852,CADASTRO_PIVOS!$B$6:$B$41,0)),"?")</f>
        <v>TR07</v>
      </c>
      <c r="H1852" s="20" t="n">
        <f aca="false">IFERROR(INDEX(CADASTRO_PIVOS!$E$6:$E$41,MATCH($E1852,CADASTRO_PIVOS!$B$6:$B$41,0)),0)</f>
        <v>149.94</v>
      </c>
      <c r="I1852" s="16" t="n">
        <f aca="false">IFERROR(SUMIFS(ROTACAO_RDM!$B$6:$B$71,ROTACAO_RDM!$D$6:$D$71,$E1852,ROTACAO_RDM!$I$6:$I$71,"&lt;="&amp;$C1852+INT(DIAS_POR_SEMANA/2),ROTACAO_RDM!$J$6:$J$71,"&gt;="&amp;$C1852+INT(DIAS_POR_SEMANA/2)),0)</f>
        <v>0</v>
      </c>
      <c r="J1852" s="16" t="n">
        <f aca="false">IFERROR(MATCH($I1852,ROTACAO_RDM!$B$6:$B$71,0),0)</f>
        <v>0</v>
      </c>
      <c r="K1852" s="8" t="str">
        <f aca="false">IF($J1852=0,"SEM CULTURA",INDEX(ROTACAO_RDM!$F$6:$F$71,$J1852))</f>
        <v>SEM CULTURA</v>
      </c>
      <c r="L1852" s="8" t="str">
        <f aca="false">IF($J1852=0,"",INDEX(ROTACAO_RDM!$G$6:$G$71,$J1852))</f>
        <v/>
      </c>
      <c r="M1852" s="17" t="str">
        <f aca="false">IF($J1852=0,"",INDEX(ROTACAO_RDM!$I$6:$I$71,$J1852))</f>
        <v/>
      </c>
      <c r="N1852" s="16" t="n">
        <f aca="false">IF($J1852=0,0,MAX(0,$C1852+INT(DIAS_POR_SEMANA/2)-INDEX(ROTACAO_RDM!$I$6:$I$71,$J1852)))</f>
        <v>0</v>
      </c>
      <c r="O1852" s="19" t="n">
        <f aca="false">IF($J1852=0,0,MIN(1,$N1852/MAX(1,INDEX(ROTACAO_RDM!$K$6:$K$71,$J1852))))</f>
        <v>0</v>
      </c>
      <c r="P1852" s="16" t="n">
        <f aca="false">IF($J1852=0,0,IFERROR(MATCH(INDEX(ROTACAO_RDM!$N$6:$N$71,$J1852),PARAMETROS_CULTURAS!$B$6:$B$28,0),0))</f>
        <v>0</v>
      </c>
      <c r="Q1852" s="8" t="str">
        <f aca="false">IF($P1852=0,"-",IF($O1852&lt;=INDEX(PARAMETROS_CULTURAS!$F$6:$F$28,$P1852),"INICIAL",IF($O1852&lt;=INDEX(PARAMETROS_CULTURAS!$F$6:$F$28,$P1852)+INDEX(PARAMETROS_CULTURAS!$G$6:$G$28,$P1852),"DESENVOLVIMENTO",IF($O1852&lt;=INDEX(PARAMETROS_CULTURAS!$F$6:$F$28,$P1852)+INDEX(PARAMETROS_CULTURAS!$G$6:$G$28,$P1852)+INDEX(PARAMETROS_CULTURAS!$H$6:$H$28,$P1852),"MEDIA","FINAL"))))</f>
        <v>-</v>
      </c>
      <c r="R1852" s="24" t="n">
        <f aca="false">IF($P1852=0,0,IF($O1852&lt;=INDEX(PARAMETROS_CULTURAS!$F$6:$F$28,$P1852),INDEX(PARAMETROS_CULTURAS!$K$6:$K$28,$P1852),IF($O1852&lt;=INDEX(PARAMETROS_CULTURAS!$F$6:$F$28,$P1852)+INDEX(PARAMETROS_CULTURAS!$G$6:$G$28,$P1852),INDEX(PARAMETROS_CULTURAS!$K$6:$K$28,$P1852)+(INDEX(PARAMETROS_CULTURAS!$L$6:$L$28,$P1852)-INDEX(PARAMETROS_CULTURAS!$K$6:$K$28,$P1852))*($O1852-INDEX(PARAMETROS_CULTURAS!$F$6:$F$28,$P1852))/MAX(INDEX(PARAMETROS_CULTURAS!$G$6:$G$28,$P1852),0.0001),IF($O1852&lt;=INDEX(PARAMETROS_CULTURAS!$F$6:$F$28,$P1852)+INDEX(PARAMETROS_CULTURAS!$G$6:$G$28,$P1852)+INDEX(PARAMETROS_CULTURAS!$H$6:$H$28,$P1852),INDEX(PARAMETROS_CULTURAS!$L$6:$L$28,$P1852),INDEX(PARAMETROS_CULTURAS!$L$6:$L$28,$P1852)+(INDEX(PARAMETROS_CULTURAS!$M$6:$M$28,$P1852)-INDEX(PARAMETROS_CULTURAS!$L$6:$L$28,$P1852))*($O1852-INDEX(PARAMETROS_CULTURAS!$F$6:$F$28,$P1852)-INDEX(PARAMETROS_CULTURAS!$G$6:$G$28,$P1852)-INDEX(PARAMETROS_CULTURAS!$H$6:$H$28,$P1852))/MAX(INDEX(PARAMETROS_CULTURAS!$I$6:$I$28,$P1852),0.0001)))))</f>
        <v>0</v>
      </c>
      <c r="S1852" s="18" t="n">
        <f aca="false">IFERROR(INDEX(SEMANAS!$H$6:$H$71,MATCH($B1852,SEMANAS!$B$6:$B$71,0)),0)</f>
        <v>34.3</v>
      </c>
      <c r="T1852" s="18" t="n">
        <f aca="false">$R1852*$S1852</f>
        <v>0</v>
      </c>
      <c r="U1852" s="18" t="n">
        <f aca="false">IFERROR(INDEX(SEMANAS!$I$6:$I$71,MATCH($B1852,SEMANAS!$B$6:$B$71,0)),0)</f>
        <v>46.69</v>
      </c>
      <c r="V1852" s="18" t="n">
        <f aca="false">IFERROR(INDEX(SEMANAS!$J$6:$J$71,MATCH($B1852,SEMANAS!$B$6:$B$71,0)),0)</f>
        <v>37.352</v>
      </c>
      <c r="W1852" s="18" t="n">
        <f aca="false">MAX(0,$T1852-$V1852)</f>
        <v>0</v>
      </c>
      <c r="X1852" s="19" t="n">
        <f aca="false">IFERROR(INDEX(CADASTRO_PIVOS!$K$6:$K$41,MATCH($E1852,CADASTRO_PIVOS!$B$6:$B$41,0)),EFICIENCIA_PADRAO)</f>
        <v>0.85</v>
      </c>
      <c r="Y1852" s="18" t="n">
        <f aca="false">IF($X1852&lt;=0,0,$W1852/$X1852)</f>
        <v>0</v>
      </c>
      <c r="Z1852" s="16" t="n">
        <f aca="false">$Y1852*$H1852*MM_PARA_M3_HA</f>
        <v>0</v>
      </c>
      <c r="AA1852" s="18" t="n">
        <f aca="false">IFERROR(INDEX(CADASTRO_PIVOS!$I$6:$I$41,MATCH($E1852,CADASTRO_PIVOS!$B$6:$B$41,0)),0)</f>
        <v>1071</v>
      </c>
      <c r="AB1852" s="18" t="n">
        <f aca="false">IF($Z1852&lt;=0,0,$Z1852/$AA1852)</f>
        <v>0</v>
      </c>
      <c r="AC1852" s="16" t="n">
        <f aca="false">IFERROR(INDEX(SEMANAS!$K$6:$K$71,MATCH($B1852,SEMANAS!$B$6:$B$71,0)),0)</f>
        <v>147</v>
      </c>
      <c r="AD1852" s="19" t="n">
        <f aca="false">IF($AC1852&lt;=0,0,$AB1852/$AC1852)</f>
        <v>0</v>
      </c>
      <c r="AE1852" s="8" t="str">
        <f aca="false">IF($K1852="SEM CULTURA","SEM CULTURA",IF($AA1852&lt;=0,"DADO PENDENTE",IF($AD1852&gt;LIMITE_CRITICO,"INVIAVEL",IF($AD1852&gt;LIMITE_ATENCAO,"CRITICO",IF($AD1852&gt;LIMITE_CONFORTAVEL,"ATENCAO","OK")))))</f>
        <v>SEM CULTURA</v>
      </c>
      <c r="AF1852" s="8" t="str">
        <f aca="false">$B1852&amp;"|"&amp;TEXT($AD1852,"0.000000")</f>
        <v>65|0.000000</v>
      </c>
      <c r="AG1852" s="18" t="n">
        <f aca="false">IF($K1852="SEM CULTURA",0,$T1852*$H1852)</f>
        <v>0</v>
      </c>
      <c r="AH1852" s="18" t="n">
        <f aca="false">IF($K1852="SEM CULTURA",0,$V1852*$H1852)</f>
        <v>0</v>
      </c>
      <c r="AI1852" s="18" t="n">
        <f aca="false">IF($K1852="SEM CULTURA",0,$W1852*$H1852)</f>
        <v>0</v>
      </c>
      <c r="AJ1852" s="18" t="n">
        <f aca="false">IF($K1852="SEM CULTURA",0,$S1852*$H1852)</f>
        <v>0</v>
      </c>
      <c r="AK1852" s="8" t="str">
        <f aca="false">$E1852&amp;"|"&amp;TEXT($AD1852,"0.000000")</f>
        <v>PV 124|0.000000</v>
      </c>
    </row>
    <row r="1853" customFormat="false" ht="15" hidden="false" customHeight="false" outlineLevel="0" collapsed="false">
      <c r="B1853" s="16" t="n">
        <v>66</v>
      </c>
      <c r="C1853" s="17" t="n">
        <f aca="false">DATA_INICIO_SAFRA+($B1853-1)*DIAS_POR_SEMANA</f>
        <v>46720</v>
      </c>
      <c r="D1853" s="17" t="n">
        <f aca="false">$C1853+DIAS_POR_SEMANA-1</f>
        <v>46726</v>
      </c>
      <c r="E1853" s="15" t="s">
        <v>286</v>
      </c>
      <c r="F1853" s="8" t="str">
        <f aca="false">IFERROR(INDEX(CADASTRO_PIVOS!$C$6:$C$41,MATCH($E1853,CADASTRO_PIVOS!$B$6:$B$41,0)),"?")</f>
        <v>RM07</v>
      </c>
      <c r="G1853" s="8" t="str">
        <f aca="false">IFERROR(INDEX(CADASTRO_PIVOS!$D$6:$D$41,MATCH($E1853,CADASTRO_PIVOS!$B$6:$B$41,0)),"?")</f>
        <v>TR07</v>
      </c>
      <c r="H1853" s="20" t="n">
        <f aca="false">IFERROR(INDEX(CADASTRO_PIVOS!$E$6:$E$41,MATCH($E1853,CADASTRO_PIVOS!$B$6:$B$41,0)),0)</f>
        <v>149.94</v>
      </c>
      <c r="I1853" s="16" t="n">
        <f aca="false">IFERROR(SUMIFS(ROTACAO_RDM!$B$6:$B$71,ROTACAO_RDM!$D$6:$D$71,$E1853,ROTACAO_RDM!$I$6:$I$71,"&lt;="&amp;$C1853+INT(DIAS_POR_SEMANA/2),ROTACAO_RDM!$J$6:$J$71,"&gt;="&amp;$C1853+INT(DIAS_POR_SEMANA/2)),0)</f>
        <v>0</v>
      </c>
      <c r="J1853" s="16" t="n">
        <f aca="false">IFERROR(MATCH($I1853,ROTACAO_RDM!$B$6:$B$71,0),0)</f>
        <v>0</v>
      </c>
      <c r="K1853" s="8" t="str">
        <f aca="false">IF($J1853=0,"SEM CULTURA",INDEX(ROTACAO_RDM!$F$6:$F$71,$J1853))</f>
        <v>SEM CULTURA</v>
      </c>
      <c r="L1853" s="8" t="str">
        <f aca="false">IF($J1853=0,"",INDEX(ROTACAO_RDM!$G$6:$G$71,$J1853))</f>
        <v/>
      </c>
      <c r="M1853" s="17" t="str">
        <f aca="false">IF($J1853=0,"",INDEX(ROTACAO_RDM!$I$6:$I$71,$J1853))</f>
        <v/>
      </c>
      <c r="N1853" s="16" t="n">
        <f aca="false">IF($J1853=0,0,MAX(0,$C1853+INT(DIAS_POR_SEMANA/2)-INDEX(ROTACAO_RDM!$I$6:$I$71,$J1853)))</f>
        <v>0</v>
      </c>
      <c r="O1853" s="19" t="n">
        <f aca="false">IF($J1853=0,0,MIN(1,$N1853/MAX(1,INDEX(ROTACAO_RDM!$K$6:$K$71,$J1853))))</f>
        <v>0</v>
      </c>
      <c r="P1853" s="16" t="n">
        <f aca="false">IF($J1853=0,0,IFERROR(MATCH(INDEX(ROTACAO_RDM!$N$6:$N$71,$J1853),PARAMETROS_CULTURAS!$B$6:$B$28,0),0))</f>
        <v>0</v>
      </c>
      <c r="Q1853" s="8" t="str">
        <f aca="false">IF($P1853=0,"-",IF($O1853&lt;=INDEX(PARAMETROS_CULTURAS!$F$6:$F$28,$P1853),"INICIAL",IF($O1853&lt;=INDEX(PARAMETROS_CULTURAS!$F$6:$F$28,$P1853)+INDEX(PARAMETROS_CULTURAS!$G$6:$G$28,$P1853),"DESENVOLVIMENTO",IF($O1853&lt;=INDEX(PARAMETROS_CULTURAS!$F$6:$F$28,$P1853)+INDEX(PARAMETROS_CULTURAS!$G$6:$G$28,$P1853)+INDEX(PARAMETROS_CULTURAS!$H$6:$H$28,$P1853),"MEDIA","FINAL"))))</f>
        <v>-</v>
      </c>
      <c r="R1853" s="24" t="n">
        <f aca="false">IF($P1853=0,0,IF($O1853&lt;=INDEX(PARAMETROS_CULTURAS!$F$6:$F$28,$P1853),INDEX(PARAMETROS_CULTURAS!$K$6:$K$28,$P1853),IF($O1853&lt;=INDEX(PARAMETROS_CULTURAS!$F$6:$F$28,$P1853)+INDEX(PARAMETROS_CULTURAS!$G$6:$G$28,$P1853),INDEX(PARAMETROS_CULTURAS!$K$6:$K$28,$P1853)+(INDEX(PARAMETROS_CULTURAS!$L$6:$L$28,$P1853)-INDEX(PARAMETROS_CULTURAS!$K$6:$K$28,$P1853))*($O1853-INDEX(PARAMETROS_CULTURAS!$F$6:$F$28,$P1853))/MAX(INDEX(PARAMETROS_CULTURAS!$G$6:$G$28,$P1853),0.0001),IF($O1853&lt;=INDEX(PARAMETROS_CULTURAS!$F$6:$F$28,$P1853)+INDEX(PARAMETROS_CULTURAS!$G$6:$G$28,$P1853)+INDEX(PARAMETROS_CULTURAS!$H$6:$H$28,$P1853),INDEX(PARAMETROS_CULTURAS!$L$6:$L$28,$P1853),INDEX(PARAMETROS_CULTURAS!$L$6:$L$28,$P1853)+(INDEX(PARAMETROS_CULTURAS!$M$6:$M$28,$P1853)-INDEX(PARAMETROS_CULTURAS!$L$6:$L$28,$P1853))*($O1853-INDEX(PARAMETROS_CULTURAS!$F$6:$F$28,$P1853)-INDEX(PARAMETROS_CULTURAS!$G$6:$G$28,$P1853)-INDEX(PARAMETROS_CULTURAS!$H$6:$H$28,$P1853))/MAX(INDEX(PARAMETROS_CULTURAS!$I$6:$I$28,$P1853),0.0001)))))</f>
        <v>0</v>
      </c>
      <c r="S1853" s="18" t="n">
        <f aca="false">IFERROR(INDEX(SEMANAS!$H$6:$H$71,MATCH($B1853,SEMANAS!$B$6:$B$71,0)),0)</f>
        <v>33.3</v>
      </c>
      <c r="T1853" s="18" t="n">
        <f aca="false">$R1853*$S1853</f>
        <v>0</v>
      </c>
      <c r="U1853" s="18" t="n">
        <f aca="false">IFERROR(INDEX(SEMANAS!$I$6:$I$71,MATCH($B1853,SEMANAS!$B$6:$B$71,0)),0)</f>
        <v>48.04</v>
      </c>
      <c r="V1853" s="18" t="n">
        <f aca="false">IFERROR(INDEX(SEMANAS!$J$6:$J$71,MATCH($B1853,SEMANAS!$B$6:$B$71,0)),0)</f>
        <v>38.432</v>
      </c>
      <c r="W1853" s="18" t="n">
        <f aca="false">MAX(0,$T1853-$V1853)</f>
        <v>0</v>
      </c>
      <c r="X1853" s="19" t="n">
        <f aca="false">IFERROR(INDEX(CADASTRO_PIVOS!$K$6:$K$41,MATCH($E1853,CADASTRO_PIVOS!$B$6:$B$41,0)),EFICIENCIA_PADRAO)</f>
        <v>0.85</v>
      </c>
      <c r="Y1853" s="18" t="n">
        <f aca="false">IF($X1853&lt;=0,0,$W1853/$X1853)</f>
        <v>0</v>
      </c>
      <c r="Z1853" s="16" t="n">
        <f aca="false">$Y1853*$H1853*MM_PARA_M3_HA</f>
        <v>0</v>
      </c>
      <c r="AA1853" s="18" t="n">
        <f aca="false">IFERROR(INDEX(CADASTRO_PIVOS!$I$6:$I$41,MATCH($E1853,CADASTRO_PIVOS!$B$6:$B$41,0)),0)</f>
        <v>1071</v>
      </c>
      <c r="AB1853" s="18" t="n">
        <f aca="false">IF($Z1853&lt;=0,0,$Z1853/$AA1853)</f>
        <v>0</v>
      </c>
      <c r="AC1853" s="16" t="n">
        <f aca="false">IFERROR(INDEX(SEMANAS!$K$6:$K$71,MATCH($B1853,SEMANAS!$B$6:$B$71,0)),0)</f>
        <v>147</v>
      </c>
      <c r="AD1853" s="19" t="n">
        <f aca="false">IF($AC1853&lt;=0,0,$AB1853/$AC1853)</f>
        <v>0</v>
      </c>
      <c r="AE1853" s="8" t="str">
        <f aca="false">IF($K1853="SEM CULTURA","SEM CULTURA",IF($AA1853&lt;=0,"DADO PENDENTE",IF($AD1853&gt;LIMITE_CRITICO,"INVIAVEL",IF($AD1853&gt;LIMITE_ATENCAO,"CRITICO",IF($AD1853&gt;LIMITE_CONFORTAVEL,"ATENCAO","OK")))))</f>
        <v>SEM CULTURA</v>
      </c>
      <c r="AF1853" s="8" t="str">
        <f aca="false">$B1853&amp;"|"&amp;TEXT($AD1853,"0.000000")</f>
        <v>66|0.000000</v>
      </c>
      <c r="AG1853" s="18" t="n">
        <f aca="false">IF($K1853="SEM CULTURA",0,$T1853*$H1853)</f>
        <v>0</v>
      </c>
      <c r="AH1853" s="18" t="n">
        <f aca="false">IF($K1853="SEM CULTURA",0,$V1853*$H1853)</f>
        <v>0</v>
      </c>
      <c r="AI1853" s="18" t="n">
        <f aca="false">IF($K1853="SEM CULTURA",0,$W1853*$H1853)</f>
        <v>0</v>
      </c>
      <c r="AJ1853" s="18" t="n">
        <f aca="false">IF($K1853="SEM CULTURA",0,$S1853*$H1853)</f>
        <v>0</v>
      </c>
      <c r="AK1853" s="8" t="str">
        <f aca="false">$E1853&amp;"|"&amp;TEXT($AD1853,"0.000000")</f>
        <v>PV 124|0.000000</v>
      </c>
    </row>
    <row r="1854" customFormat="false" ht="15" hidden="false" customHeight="false" outlineLevel="0" collapsed="false">
      <c r="B1854" s="16" t="n">
        <v>1</v>
      </c>
      <c r="C1854" s="17" t="n">
        <f aca="false">DATA_INICIO_SAFRA+($B1854-1)*DIAS_POR_SEMANA</f>
        <v>46265</v>
      </c>
      <c r="D1854" s="17" t="n">
        <f aca="false">$C1854+DIAS_POR_SEMANA-1</f>
        <v>46271</v>
      </c>
      <c r="E1854" s="15" t="s">
        <v>287</v>
      </c>
      <c r="F1854" s="8" t="str">
        <f aca="false">IFERROR(INDEX(CADASTRO_PIVOS!$C$6:$C$41,MATCH($E1854,CADASTRO_PIVOS!$B$6:$B$41,0)),"?")</f>
        <v>RM07</v>
      </c>
      <c r="G1854" s="8" t="str">
        <f aca="false">IFERROR(INDEX(CADASTRO_PIVOS!$D$6:$D$41,MATCH($E1854,CADASTRO_PIVOS!$B$6:$B$41,0)),"?")</f>
        <v>TR07</v>
      </c>
      <c r="H1854" s="20" t="n">
        <f aca="false">IFERROR(INDEX(CADASTRO_PIVOS!$E$6:$E$41,MATCH($E1854,CADASTRO_PIVOS!$B$6:$B$41,0)),0)</f>
        <v>99.48</v>
      </c>
      <c r="I1854" s="16" t="n">
        <f aca="false">IFERROR(SUMIFS(ROTACAO_RDM!$B$6:$B$71,ROTACAO_RDM!$D$6:$D$71,$E1854,ROTACAO_RDM!$I$6:$I$71,"&lt;="&amp;$C1854+INT(DIAS_POR_SEMANA/2),ROTACAO_RDM!$J$6:$J$71,"&gt;="&amp;$C1854+INT(DIAS_POR_SEMANA/2)),0)</f>
        <v>46</v>
      </c>
      <c r="J1854" s="16" t="n">
        <f aca="false">IFERROR(MATCH($I1854,ROTACAO_RDM!$B$6:$B$71,0),0)</f>
        <v>46</v>
      </c>
      <c r="K1854" s="8" t="str">
        <f aca="false">IF($J1854=0,"SEM CULTURA",INDEX(ROTACAO_RDM!$F$6:$F$71,$J1854))</f>
        <v>MILHO_SEMENTE</v>
      </c>
      <c r="L1854" s="8" t="str">
        <f aca="false">IF($J1854=0,"",INDEX(ROTACAO_RDM!$G$6:$G$71,$J1854))</f>
        <v>Syngenta</v>
      </c>
      <c r="M1854" s="17" t="n">
        <f aca="false">IF($J1854=0,"",INDEX(ROTACAO_RDM!$I$6:$I$71,$J1854))</f>
        <v>46140</v>
      </c>
      <c r="N1854" s="16" t="n">
        <f aca="false">IF($J1854=0,0,MAX(0,$C1854+INT(DIAS_POR_SEMANA/2)-INDEX(ROTACAO_RDM!$I$6:$I$71,$J1854)))</f>
        <v>128</v>
      </c>
      <c r="O1854" s="19" t="n">
        <f aca="false">IF($J1854=0,0,MIN(1,$N1854/MAX(1,INDEX(ROTACAO_RDM!$K$6:$K$71,$J1854))))</f>
        <v>0.8</v>
      </c>
      <c r="P1854" s="16" t="n">
        <f aca="false">IF($J1854=0,0,IFERROR(MATCH(INDEX(ROTACAO_RDM!$N$6:$N$71,$J1854),PARAMETROS_CULTURAS!$B$6:$B$28,0),0))</f>
        <v>7</v>
      </c>
      <c r="Q1854" s="8" t="str">
        <f aca="false">IF($P1854=0,"-",IF($O1854&lt;=INDEX(PARAMETROS_CULTURAS!$F$6:$F$28,$P1854),"INICIAL",IF($O1854&lt;=INDEX(PARAMETROS_CULTURAS!$F$6:$F$28,$P1854)+INDEX(PARAMETROS_CULTURAS!$G$6:$G$28,$P1854),"DESENVOLVIMENTO",IF($O1854&lt;=INDEX(PARAMETROS_CULTURAS!$F$6:$F$28,$P1854)+INDEX(PARAMETROS_CULTURAS!$G$6:$G$28,$P1854)+INDEX(PARAMETROS_CULTURAS!$H$6:$H$28,$P1854),"MEDIA","FINAL"))))</f>
        <v>FINAL</v>
      </c>
      <c r="R1854" s="24" t="n">
        <f aca="false">IF($P1854=0,0,IF($O1854&lt;=INDEX(PARAMETROS_CULTURAS!$F$6:$F$28,$P1854),INDEX(PARAMETROS_CULTURAS!$K$6:$K$28,$P1854),IF($O1854&lt;=INDEX(PARAMETROS_CULTURAS!$F$6:$F$28,$P1854)+INDEX(PARAMETROS_CULTURAS!$G$6:$G$28,$P1854),INDEX(PARAMETROS_CULTURAS!$K$6:$K$28,$P1854)+(INDEX(PARAMETROS_CULTURAS!$L$6:$L$28,$P1854)-INDEX(PARAMETROS_CULTURAS!$K$6:$K$28,$P1854))*($O1854-INDEX(PARAMETROS_CULTURAS!$F$6:$F$28,$P1854))/MAX(INDEX(PARAMETROS_CULTURAS!$G$6:$G$28,$P1854),0.0001),IF($O1854&lt;=INDEX(PARAMETROS_CULTURAS!$F$6:$F$28,$P1854)+INDEX(PARAMETROS_CULTURAS!$G$6:$G$28,$P1854)+INDEX(PARAMETROS_CULTURAS!$H$6:$H$28,$P1854),INDEX(PARAMETROS_CULTURAS!$L$6:$L$28,$P1854),INDEX(PARAMETROS_CULTURAS!$L$6:$L$28,$P1854)+(INDEX(PARAMETROS_CULTURAS!$M$6:$M$28,$P1854)-INDEX(PARAMETROS_CULTURAS!$L$6:$L$28,$P1854))*($O1854-INDEX(PARAMETROS_CULTURAS!$F$6:$F$28,$P1854)-INDEX(PARAMETROS_CULTURAS!$G$6:$G$28,$P1854)-INDEX(PARAMETROS_CULTURAS!$H$6:$H$28,$P1854))/MAX(INDEX(PARAMETROS_CULTURAS!$I$6:$I$28,$P1854),0.0001)))))</f>
        <v>1.04</v>
      </c>
      <c r="S1854" s="18" t="n">
        <f aca="false">IFERROR(INDEX(SEMANAS!$H$6:$H$71,MATCH($B1854,SEMANAS!$B$6:$B$71,0)),0)</f>
        <v>40</v>
      </c>
      <c r="T1854" s="18" t="n">
        <f aca="false">$R1854*$S1854</f>
        <v>41.6</v>
      </c>
      <c r="U1854" s="18" t="n">
        <f aca="false">IFERROR(INDEX(SEMANAS!$I$6:$I$71,MATCH($B1854,SEMANAS!$B$6:$B$71,0)),0)</f>
        <v>6.16</v>
      </c>
      <c r="V1854" s="18" t="n">
        <f aca="false">IFERROR(INDEX(SEMANAS!$J$6:$J$71,MATCH($B1854,SEMANAS!$B$6:$B$71,0)),0)</f>
        <v>4.928</v>
      </c>
      <c r="W1854" s="18" t="n">
        <f aca="false">MAX(0,$T1854-$V1854)</f>
        <v>36.672</v>
      </c>
      <c r="X1854" s="19" t="n">
        <f aca="false">IFERROR(INDEX(CADASTRO_PIVOS!$K$6:$K$41,MATCH($E1854,CADASTRO_PIVOS!$B$6:$B$41,0)),EFICIENCIA_PADRAO)</f>
        <v>0.85</v>
      </c>
      <c r="Y1854" s="18" t="n">
        <f aca="false">IF($X1854&lt;=0,0,$W1854/$X1854)</f>
        <v>43.1435294117647</v>
      </c>
      <c r="Z1854" s="16" t="n">
        <f aca="false">$Y1854*$H1854*MM_PARA_M3_HA</f>
        <v>42919.1830588235</v>
      </c>
      <c r="AA1854" s="18" t="n">
        <f aca="false">IFERROR(INDEX(CADASTRO_PIVOS!$I$6:$I$41,MATCH($E1854,CADASTRO_PIVOS!$B$6:$B$41,0)),0)</f>
        <v>710.571428571429</v>
      </c>
      <c r="AB1854" s="18" t="n">
        <f aca="false">IF($Z1854&lt;=0,0,$Z1854/$AA1854)</f>
        <v>60.4009411764706</v>
      </c>
      <c r="AC1854" s="16" t="n">
        <f aca="false">IFERROR(INDEX(SEMANAS!$K$6:$K$71,MATCH($B1854,SEMANAS!$B$6:$B$71,0)),0)</f>
        <v>147</v>
      </c>
      <c r="AD1854" s="19" t="n">
        <f aca="false">IF($AC1854&lt;=0,0,$AB1854/$AC1854)</f>
        <v>0.410890756302521</v>
      </c>
      <c r="AE1854" s="8" t="str">
        <f aca="false">IF($K1854="SEM CULTURA","SEM CULTURA",IF($AA1854&lt;=0,"DADO PENDENTE",IF($AD1854&gt;LIMITE_CRITICO,"INVIAVEL",IF($AD1854&gt;LIMITE_ATENCAO,"CRITICO",IF($AD1854&gt;LIMITE_CONFORTAVEL,"ATENCAO","OK")))))</f>
        <v>OK</v>
      </c>
      <c r="AF1854" s="8" t="str">
        <f aca="false">$B1854&amp;"|"&amp;TEXT($AD1854,"0.000000")</f>
        <v>1|0.410891</v>
      </c>
      <c r="AG1854" s="18" t="n">
        <f aca="false">IF($K1854="SEM CULTURA",0,$T1854*$H1854)</f>
        <v>4138.368</v>
      </c>
      <c r="AH1854" s="18" t="n">
        <f aca="false">IF($K1854="SEM CULTURA",0,$V1854*$H1854)</f>
        <v>490.23744</v>
      </c>
      <c r="AI1854" s="18" t="n">
        <f aca="false">IF($K1854="SEM CULTURA",0,$W1854*$H1854)</f>
        <v>3648.13056</v>
      </c>
      <c r="AJ1854" s="18" t="n">
        <f aca="false">IF($K1854="SEM CULTURA",0,$S1854*$H1854)</f>
        <v>3979.2</v>
      </c>
      <c r="AK1854" s="8" t="str">
        <f aca="false">$E1854&amp;"|"&amp;TEXT($AD1854,"0.000000")</f>
        <v>PV 125|0.410891</v>
      </c>
    </row>
    <row r="1855" customFormat="false" ht="15" hidden="false" customHeight="false" outlineLevel="0" collapsed="false">
      <c r="B1855" s="16" t="n">
        <v>2</v>
      </c>
      <c r="C1855" s="17" t="n">
        <f aca="false">DATA_INICIO_SAFRA+($B1855-1)*DIAS_POR_SEMANA</f>
        <v>46272</v>
      </c>
      <c r="D1855" s="17" t="n">
        <f aca="false">$C1855+DIAS_POR_SEMANA-1</f>
        <v>46278</v>
      </c>
      <c r="E1855" s="15" t="s">
        <v>287</v>
      </c>
      <c r="F1855" s="8" t="str">
        <f aca="false">IFERROR(INDEX(CADASTRO_PIVOS!$C$6:$C$41,MATCH($E1855,CADASTRO_PIVOS!$B$6:$B$41,0)),"?")</f>
        <v>RM07</v>
      </c>
      <c r="G1855" s="8" t="str">
        <f aca="false">IFERROR(INDEX(CADASTRO_PIVOS!$D$6:$D$41,MATCH($E1855,CADASTRO_PIVOS!$B$6:$B$41,0)),"?")</f>
        <v>TR07</v>
      </c>
      <c r="H1855" s="20" t="n">
        <f aca="false">IFERROR(INDEX(CADASTRO_PIVOS!$E$6:$E$41,MATCH($E1855,CADASTRO_PIVOS!$B$6:$B$41,0)),0)</f>
        <v>99.48</v>
      </c>
      <c r="I1855" s="16" t="n">
        <f aca="false">IFERROR(SUMIFS(ROTACAO_RDM!$B$6:$B$71,ROTACAO_RDM!$D$6:$D$71,$E1855,ROTACAO_RDM!$I$6:$I$71,"&lt;="&amp;$C1855+INT(DIAS_POR_SEMANA/2),ROTACAO_RDM!$J$6:$J$71,"&gt;="&amp;$C1855+INT(DIAS_POR_SEMANA/2)),0)</f>
        <v>46</v>
      </c>
      <c r="J1855" s="16" t="n">
        <f aca="false">IFERROR(MATCH($I1855,ROTACAO_RDM!$B$6:$B$71,0),0)</f>
        <v>46</v>
      </c>
      <c r="K1855" s="8" t="str">
        <f aca="false">IF($J1855=0,"SEM CULTURA",INDEX(ROTACAO_RDM!$F$6:$F$71,$J1855))</f>
        <v>MILHO_SEMENTE</v>
      </c>
      <c r="L1855" s="8" t="str">
        <f aca="false">IF($J1855=0,"",INDEX(ROTACAO_RDM!$G$6:$G$71,$J1855))</f>
        <v>Syngenta</v>
      </c>
      <c r="M1855" s="17" t="n">
        <f aca="false">IF($J1855=0,"",INDEX(ROTACAO_RDM!$I$6:$I$71,$J1855))</f>
        <v>46140</v>
      </c>
      <c r="N1855" s="16" t="n">
        <f aca="false">IF($J1855=0,0,MAX(0,$C1855+INT(DIAS_POR_SEMANA/2)-INDEX(ROTACAO_RDM!$I$6:$I$71,$J1855)))</f>
        <v>135</v>
      </c>
      <c r="O1855" s="19" t="n">
        <f aca="false">IF($J1855=0,0,MIN(1,$N1855/MAX(1,INDEX(ROTACAO_RDM!$K$6:$K$71,$J1855))))</f>
        <v>0.84375</v>
      </c>
      <c r="P1855" s="16" t="n">
        <f aca="false">IF($J1855=0,0,IFERROR(MATCH(INDEX(ROTACAO_RDM!$N$6:$N$71,$J1855),PARAMETROS_CULTURAS!$B$6:$B$28,0),0))</f>
        <v>7</v>
      </c>
      <c r="Q1855" s="8" t="str">
        <f aca="false">IF($P1855=0,"-",IF($O1855&lt;=INDEX(PARAMETROS_CULTURAS!$F$6:$F$28,$P1855),"INICIAL",IF($O1855&lt;=INDEX(PARAMETROS_CULTURAS!$F$6:$F$28,$P1855)+INDEX(PARAMETROS_CULTURAS!$G$6:$G$28,$P1855),"DESENVOLVIMENTO",IF($O1855&lt;=INDEX(PARAMETROS_CULTURAS!$F$6:$F$28,$P1855)+INDEX(PARAMETROS_CULTURAS!$G$6:$G$28,$P1855)+INDEX(PARAMETROS_CULTURAS!$H$6:$H$28,$P1855),"MEDIA","FINAL"))))</f>
        <v>FINAL</v>
      </c>
      <c r="R1855" s="24" t="n">
        <f aca="false">IF($P1855=0,0,IF($O1855&lt;=INDEX(PARAMETROS_CULTURAS!$F$6:$F$28,$P1855),INDEX(PARAMETROS_CULTURAS!$K$6:$K$28,$P1855),IF($O1855&lt;=INDEX(PARAMETROS_CULTURAS!$F$6:$F$28,$P1855)+INDEX(PARAMETROS_CULTURAS!$G$6:$G$28,$P1855),INDEX(PARAMETROS_CULTURAS!$K$6:$K$28,$P1855)+(INDEX(PARAMETROS_CULTURAS!$L$6:$L$28,$P1855)-INDEX(PARAMETROS_CULTURAS!$K$6:$K$28,$P1855))*($O1855-INDEX(PARAMETROS_CULTURAS!$F$6:$F$28,$P1855))/MAX(INDEX(PARAMETROS_CULTURAS!$G$6:$G$28,$P1855),0.0001),IF($O1855&lt;=INDEX(PARAMETROS_CULTURAS!$F$6:$F$28,$P1855)+INDEX(PARAMETROS_CULTURAS!$G$6:$G$28,$P1855)+INDEX(PARAMETROS_CULTURAS!$H$6:$H$28,$P1855),INDEX(PARAMETROS_CULTURAS!$L$6:$L$28,$P1855),INDEX(PARAMETROS_CULTURAS!$L$6:$L$28,$P1855)+(INDEX(PARAMETROS_CULTURAS!$M$6:$M$28,$P1855)-INDEX(PARAMETROS_CULTURAS!$L$6:$L$28,$P1855))*($O1855-INDEX(PARAMETROS_CULTURAS!$F$6:$F$28,$P1855)-INDEX(PARAMETROS_CULTURAS!$G$6:$G$28,$P1855)-INDEX(PARAMETROS_CULTURAS!$H$6:$H$28,$P1855))/MAX(INDEX(PARAMETROS_CULTURAS!$I$6:$I$28,$P1855),0.0001)))))</f>
        <v>0.94375</v>
      </c>
      <c r="S1855" s="18" t="n">
        <f aca="false">IFERROR(INDEX(SEMANAS!$H$6:$H$71,MATCH($B1855,SEMANAS!$B$6:$B$71,0)),0)</f>
        <v>40.6</v>
      </c>
      <c r="T1855" s="18" t="n">
        <f aca="false">$R1855*$S1855</f>
        <v>38.31625</v>
      </c>
      <c r="U1855" s="18" t="n">
        <f aca="false">IFERROR(INDEX(SEMANAS!$I$6:$I$71,MATCH($B1855,SEMANAS!$B$6:$B$71,0)),0)</f>
        <v>7</v>
      </c>
      <c r="V1855" s="18" t="n">
        <f aca="false">IFERROR(INDEX(SEMANAS!$J$6:$J$71,MATCH($B1855,SEMANAS!$B$6:$B$71,0)),0)</f>
        <v>5.6</v>
      </c>
      <c r="W1855" s="18" t="n">
        <f aca="false">MAX(0,$T1855-$V1855)</f>
        <v>32.71625</v>
      </c>
      <c r="X1855" s="19" t="n">
        <f aca="false">IFERROR(INDEX(CADASTRO_PIVOS!$K$6:$K$41,MATCH($E1855,CADASTRO_PIVOS!$B$6:$B$41,0)),EFICIENCIA_PADRAO)</f>
        <v>0.85</v>
      </c>
      <c r="Y1855" s="18" t="n">
        <f aca="false">IF($X1855&lt;=0,0,$W1855/$X1855)</f>
        <v>38.4897058823529</v>
      </c>
      <c r="Z1855" s="16" t="n">
        <f aca="false">$Y1855*$H1855*MM_PARA_M3_HA</f>
        <v>38289.5594117647</v>
      </c>
      <c r="AA1855" s="18" t="n">
        <f aca="false">IFERROR(INDEX(CADASTRO_PIVOS!$I$6:$I$41,MATCH($E1855,CADASTRO_PIVOS!$B$6:$B$41,0)),0)</f>
        <v>710.571428571429</v>
      </c>
      <c r="AB1855" s="18" t="n">
        <f aca="false">IF($Z1855&lt;=0,0,$Z1855/$AA1855)</f>
        <v>53.8855882352941</v>
      </c>
      <c r="AC1855" s="16" t="n">
        <f aca="false">IFERROR(INDEX(SEMANAS!$K$6:$K$71,MATCH($B1855,SEMANAS!$B$6:$B$71,0)),0)</f>
        <v>147</v>
      </c>
      <c r="AD1855" s="19" t="n">
        <f aca="false">IF($AC1855&lt;=0,0,$AB1855/$AC1855)</f>
        <v>0.36656862745098</v>
      </c>
      <c r="AE1855" s="8" t="str">
        <f aca="false">IF($K1855="SEM CULTURA","SEM CULTURA",IF($AA1855&lt;=0,"DADO PENDENTE",IF($AD1855&gt;LIMITE_CRITICO,"INVIAVEL",IF($AD1855&gt;LIMITE_ATENCAO,"CRITICO",IF($AD1855&gt;LIMITE_CONFORTAVEL,"ATENCAO","OK")))))</f>
        <v>OK</v>
      </c>
      <c r="AF1855" s="8" t="str">
        <f aca="false">$B1855&amp;"|"&amp;TEXT($AD1855,"0.000000")</f>
        <v>2|0.366569</v>
      </c>
      <c r="AG1855" s="18" t="n">
        <f aca="false">IF($K1855="SEM CULTURA",0,$T1855*$H1855)</f>
        <v>3811.70055</v>
      </c>
      <c r="AH1855" s="18" t="n">
        <f aca="false">IF($K1855="SEM CULTURA",0,$V1855*$H1855)</f>
        <v>557.088</v>
      </c>
      <c r="AI1855" s="18" t="n">
        <f aca="false">IF($K1855="SEM CULTURA",0,$W1855*$H1855)</f>
        <v>3254.61255</v>
      </c>
      <c r="AJ1855" s="18" t="n">
        <f aca="false">IF($K1855="SEM CULTURA",0,$S1855*$H1855)</f>
        <v>4038.888</v>
      </c>
      <c r="AK1855" s="8" t="str">
        <f aca="false">$E1855&amp;"|"&amp;TEXT($AD1855,"0.000000")</f>
        <v>PV 125|0.366569</v>
      </c>
    </row>
    <row r="1856" customFormat="false" ht="15" hidden="false" customHeight="false" outlineLevel="0" collapsed="false">
      <c r="B1856" s="16" t="n">
        <v>3</v>
      </c>
      <c r="C1856" s="17" t="n">
        <f aca="false">DATA_INICIO_SAFRA+($B1856-1)*DIAS_POR_SEMANA</f>
        <v>46279</v>
      </c>
      <c r="D1856" s="17" t="n">
        <f aca="false">$C1856+DIAS_POR_SEMANA-1</f>
        <v>46285</v>
      </c>
      <c r="E1856" s="15" t="s">
        <v>287</v>
      </c>
      <c r="F1856" s="8" t="str">
        <f aca="false">IFERROR(INDEX(CADASTRO_PIVOS!$C$6:$C$41,MATCH($E1856,CADASTRO_PIVOS!$B$6:$B$41,0)),"?")</f>
        <v>RM07</v>
      </c>
      <c r="G1856" s="8" t="str">
        <f aca="false">IFERROR(INDEX(CADASTRO_PIVOS!$D$6:$D$41,MATCH($E1856,CADASTRO_PIVOS!$B$6:$B$41,0)),"?")</f>
        <v>TR07</v>
      </c>
      <c r="H1856" s="20" t="n">
        <f aca="false">IFERROR(INDEX(CADASTRO_PIVOS!$E$6:$E$41,MATCH($E1856,CADASTRO_PIVOS!$B$6:$B$41,0)),0)</f>
        <v>99.48</v>
      </c>
      <c r="I1856" s="16" t="n">
        <f aca="false">IFERROR(SUMIFS(ROTACAO_RDM!$B$6:$B$71,ROTACAO_RDM!$D$6:$D$71,$E1856,ROTACAO_RDM!$I$6:$I$71,"&lt;="&amp;$C1856+INT(DIAS_POR_SEMANA/2),ROTACAO_RDM!$J$6:$J$71,"&gt;="&amp;$C1856+INT(DIAS_POR_SEMANA/2)),0)</f>
        <v>46</v>
      </c>
      <c r="J1856" s="16" t="n">
        <f aca="false">IFERROR(MATCH($I1856,ROTACAO_RDM!$B$6:$B$71,0),0)</f>
        <v>46</v>
      </c>
      <c r="K1856" s="8" t="str">
        <f aca="false">IF($J1856=0,"SEM CULTURA",INDEX(ROTACAO_RDM!$F$6:$F$71,$J1856))</f>
        <v>MILHO_SEMENTE</v>
      </c>
      <c r="L1856" s="8" t="str">
        <f aca="false">IF($J1856=0,"",INDEX(ROTACAO_RDM!$G$6:$G$71,$J1856))</f>
        <v>Syngenta</v>
      </c>
      <c r="M1856" s="17" t="n">
        <f aca="false">IF($J1856=0,"",INDEX(ROTACAO_RDM!$I$6:$I$71,$J1856))</f>
        <v>46140</v>
      </c>
      <c r="N1856" s="16" t="n">
        <f aca="false">IF($J1856=0,0,MAX(0,$C1856+INT(DIAS_POR_SEMANA/2)-INDEX(ROTACAO_RDM!$I$6:$I$71,$J1856)))</f>
        <v>142</v>
      </c>
      <c r="O1856" s="19" t="n">
        <f aca="false">IF($J1856=0,0,MIN(1,$N1856/MAX(1,INDEX(ROTACAO_RDM!$K$6:$K$71,$J1856))))</f>
        <v>0.8875</v>
      </c>
      <c r="P1856" s="16" t="n">
        <f aca="false">IF($J1856=0,0,IFERROR(MATCH(INDEX(ROTACAO_RDM!$N$6:$N$71,$J1856),PARAMETROS_CULTURAS!$B$6:$B$28,0),0))</f>
        <v>7</v>
      </c>
      <c r="Q1856" s="8" t="str">
        <f aca="false">IF($P1856=0,"-",IF($O1856&lt;=INDEX(PARAMETROS_CULTURAS!$F$6:$F$28,$P1856),"INICIAL",IF($O1856&lt;=INDEX(PARAMETROS_CULTURAS!$F$6:$F$28,$P1856)+INDEX(PARAMETROS_CULTURAS!$G$6:$G$28,$P1856),"DESENVOLVIMENTO",IF($O1856&lt;=INDEX(PARAMETROS_CULTURAS!$F$6:$F$28,$P1856)+INDEX(PARAMETROS_CULTURAS!$G$6:$G$28,$P1856)+INDEX(PARAMETROS_CULTURAS!$H$6:$H$28,$P1856),"MEDIA","FINAL"))))</f>
        <v>FINAL</v>
      </c>
      <c r="R1856" s="24" t="n">
        <f aca="false">IF($P1856=0,0,IF($O1856&lt;=INDEX(PARAMETROS_CULTURAS!$F$6:$F$28,$P1856),INDEX(PARAMETROS_CULTURAS!$K$6:$K$28,$P1856),IF($O1856&lt;=INDEX(PARAMETROS_CULTURAS!$F$6:$F$28,$P1856)+INDEX(PARAMETROS_CULTURAS!$G$6:$G$28,$P1856),INDEX(PARAMETROS_CULTURAS!$K$6:$K$28,$P1856)+(INDEX(PARAMETROS_CULTURAS!$L$6:$L$28,$P1856)-INDEX(PARAMETROS_CULTURAS!$K$6:$K$28,$P1856))*($O1856-INDEX(PARAMETROS_CULTURAS!$F$6:$F$28,$P1856))/MAX(INDEX(PARAMETROS_CULTURAS!$G$6:$G$28,$P1856),0.0001),IF($O1856&lt;=INDEX(PARAMETROS_CULTURAS!$F$6:$F$28,$P1856)+INDEX(PARAMETROS_CULTURAS!$G$6:$G$28,$P1856)+INDEX(PARAMETROS_CULTURAS!$H$6:$H$28,$P1856),INDEX(PARAMETROS_CULTURAS!$L$6:$L$28,$P1856),INDEX(PARAMETROS_CULTURAS!$L$6:$L$28,$P1856)+(INDEX(PARAMETROS_CULTURAS!$M$6:$M$28,$P1856)-INDEX(PARAMETROS_CULTURAS!$L$6:$L$28,$P1856))*($O1856-INDEX(PARAMETROS_CULTURAS!$F$6:$F$28,$P1856)-INDEX(PARAMETROS_CULTURAS!$G$6:$G$28,$P1856)-INDEX(PARAMETROS_CULTURAS!$H$6:$H$28,$P1856))/MAX(INDEX(PARAMETROS_CULTURAS!$I$6:$I$28,$P1856),0.0001)))))</f>
        <v>0.8475</v>
      </c>
      <c r="S1856" s="18" t="n">
        <f aca="false">IFERROR(INDEX(SEMANAS!$H$6:$H$71,MATCH($B1856,SEMANAS!$B$6:$B$71,0)),0)</f>
        <v>40.6</v>
      </c>
      <c r="T1856" s="18" t="n">
        <f aca="false">$R1856*$S1856</f>
        <v>34.4085</v>
      </c>
      <c r="U1856" s="18" t="n">
        <f aca="false">IFERROR(INDEX(SEMANAS!$I$6:$I$71,MATCH($B1856,SEMANAS!$B$6:$B$71,0)),0)</f>
        <v>7</v>
      </c>
      <c r="V1856" s="18" t="n">
        <f aca="false">IFERROR(INDEX(SEMANAS!$J$6:$J$71,MATCH($B1856,SEMANAS!$B$6:$B$71,0)),0)</f>
        <v>5.6</v>
      </c>
      <c r="W1856" s="18" t="n">
        <f aca="false">MAX(0,$T1856-$V1856)</f>
        <v>28.8085</v>
      </c>
      <c r="X1856" s="19" t="n">
        <f aca="false">IFERROR(INDEX(CADASTRO_PIVOS!$K$6:$K$41,MATCH($E1856,CADASTRO_PIVOS!$B$6:$B$41,0)),EFICIENCIA_PADRAO)</f>
        <v>0.85</v>
      </c>
      <c r="Y1856" s="18" t="n">
        <f aca="false">IF($X1856&lt;=0,0,$W1856/$X1856)</f>
        <v>33.8923529411765</v>
      </c>
      <c r="Z1856" s="16" t="n">
        <f aca="false">$Y1856*$H1856*MM_PARA_M3_HA</f>
        <v>33716.1127058824</v>
      </c>
      <c r="AA1856" s="18" t="n">
        <f aca="false">IFERROR(INDEX(CADASTRO_PIVOS!$I$6:$I$41,MATCH($E1856,CADASTRO_PIVOS!$B$6:$B$41,0)),0)</f>
        <v>710.571428571429</v>
      </c>
      <c r="AB1856" s="18" t="n">
        <f aca="false">IF($Z1856&lt;=0,0,$Z1856/$AA1856)</f>
        <v>47.4492941176471</v>
      </c>
      <c r="AC1856" s="16" t="n">
        <f aca="false">IFERROR(INDEX(SEMANAS!$K$6:$K$71,MATCH($B1856,SEMANAS!$B$6:$B$71,0)),0)</f>
        <v>147</v>
      </c>
      <c r="AD1856" s="19" t="n">
        <f aca="false">IF($AC1856&lt;=0,0,$AB1856/$AC1856)</f>
        <v>0.32278431372549</v>
      </c>
      <c r="AE1856" s="8" t="str">
        <f aca="false">IF($K1856="SEM CULTURA","SEM CULTURA",IF($AA1856&lt;=0,"DADO PENDENTE",IF($AD1856&gt;LIMITE_CRITICO,"INVIAVEL",IF($AD1856&gt;LIMITE_ATENCAO,"CRITICO",IF($AD1856&gt;LIMITE_CONFORTAVEL,"ATENCAO","OK")))))</f>
        <v>OK</v>
      </c>
      <c r="AF1856" s="8" t="str">
        <f aca="false">$B1856&amp;"|"&amp;TEXT($AD1856,"0.000000")</f>
        <v>3|0.322784</v>
      </c>
      <c r="AG1856" s="18" t="n">
        <f aca="false">IF($K1856="SEM CULTURA",0,$T1856*$H1856)</f>
        <v>3422.95758</v>
      </c>
      <c r="AH1856" s="18" t="n">
        <f aca="false">IF($K1856="SEM CULTURA",0,$V1856*$H1856)</f>
        <v>557.088</v>
      </c>
      <c r="AI1856" s="18" t="n">
        <f aca="false">IF($K1856="SEM CULTURA",0,$W1856*$H1856)</f>
        <v>2865.86958</v>
      </c>
      <c r="AJ1856" s="18" t="n">
        <f aca="false">IF($K1856="SEM CULTURA",0,$S1856*$H1856)</f>
        <v>4038.888</v>
      </c>
      <c r="AK1856" s="8" t="str">
        <f aca="false">$E1856&amp;"|"&amp;TEXT($AD1856,"0.000000")</f>
        <v>PV 125|0.322784</v>
      </c>
    </row>
    <row r="1857" customFormat="false" ht="15" hidden="false" customHeight="false" outlineLevel="0" collapsed="false">
      <c r="B1857" s="16" t="n">
        <v>4</v>
      </c>
      <c r="C1857" s="17" t="n">
        <f aca="false">DATA_INICIO_SAFRA+($B1857-1)*DIAS_POR_SEMANA</f>
        <v>46286</v>
      </c>
      <c r="D1857" s="17" t="n">
        <f aca="false">$C1857+DIAS_POR_SEMANA-1</f>
        <v>46292</v>
      </c>
      <c r="E1857" s="15" t="s">
        <v>287</v>
      </c>
      <c r="F1857" s="8" t="str">
        <f aca="false">IFERROR(INDEX(CADASTRO_PIVOS!$C$6:$C$41,MATCH($E1857,CADASTRO_PIVOS!$B$6:$B$41,0)),"?")</f>
        <v>RM07</v>
      </c>
      <c r="G1857" s="8" t="str">
        <f aca="false">IFERROR(INDEX(CADASTRO_PIVOS!$D$6:$D$41,MATCH($E1857,CADASTRO_PIVOS!$B$6:$B$41,0)),"?")</f>
        <v>TR07</v>
      </c>
      <c r="H1857" s="20" t="n">
        <f aca="false">IFERROR(INDEX(CADASTRO_PIVOS!$E$6:$E$41,MATCH($E1857,CADASTRO_PIVOS!$B$6:$B$41,0)),0)</f>
        <v>99.48</v>
      </c>
      <c r="I1857" s="16" t="n">
        <f aca="false">IFERROR(SUMIFS(ROTACAO_RDM!$B$6:$B$71,ROTACAO_RDM!$D$6:$D$71,$E1857,ROTACAO_RDM!$I$6:$I$71,"&lt;="&amp;$C1857+INT(DIAS_POR_SEMANA/2),ROTACAO_RDM!$J$6:$J$71,"&gt;="&amp;$C1857+INT(DIAS_POR_SEMANA/2)),0)</f>
        <v>46</v>
      </c>
      <c r="J1857" s="16" t="n">
        <f aca="false">IFERROR(MATCH($I1857,ROTACAO_RDM!$B$6:$B$71,0),0)</f>
        <v>46</v>
      </c>
      <c r="K1857" s="8" t="str">
        <f aca="false">IF($J1857=0,"SEM CULTURA",INDEX(ROTACAO_RDM!$F$6:$F$71,$J1857))</f>
        <v>MILHO_SEMENTE</v>
      </c>
      <c r="L1857" s="8" t="str">
        <f aca="false">IF($J1857=0,"",INDEX(ROTACAO_RDM!$G$6:$G$71,$J1857))</f>
        <v>Syngenta</v>
      </c>
      <c r="M1857" s="17" t="n">
        <f aca="false">IF($J1857=0,"",INDEX(ROTACAO_RDM!$I$6:$I$71,$J1857))</f>
        <v>46140</v>
      </c>
      <c r="N1857" s="16" t="n">
        <f aca="false">IF($J1857=0,0,MAX(0,$C1857+INT(DIAS_POR_SEMANA/2)-INDEX(ROTACAO_RDM!$I$6:$I$71,$J1857)))</f>
        <v>149</v>
      </c>
      <c r="O1857" s="19" t="n">
        <f aca="false">IF($J1857=0,0,MIN(1,$N1857/MAX(1,INDEX(ROTACAO_RDM!$K$6:$K$71,$J1857))))</f>
        <v>0.93125</v>
      </c>
      <c r="P1857" s="16" t="n">
        <f aca="false">IF($J1857=0,0,IFERROR(MATCH(INDEX(ROTACAO_RDM!$N$6:$N$71,$J1857),PARAMETROS_CULTURAS!$B$6:$B$28,0),0))</f>
        <v>7</v>
      </c>
      <c r="Q1857" s="8" t="str">
        <f aca="false">IF($P1857=0,"-",IF($O1857&lt;=INDEX(PARAMETROS_CULTURAS!$F$6:$F$28,$P1857),"INICIAL",IF($O1857&lt;=INDEX(PARAMETROS_CULTURAS!$F$6:$F$28,$P1857)+INDEX(PARAMETROS_CULTURAS!$G$6:$G$28,$P1857),"DESENVOLVIMENTO",IF($O1857&lt;=INDEX(PARAMETROS_CULTURAS!$F$6:$F$28,$P1857)+INDEX(PARAMETROS_CULTURAS!$G$6:$G$28,$P1857)+INDEX(PARAMETROS_CULTURAS!$H$6:$H$28,$P1857),"MEDIA","FINAL"))))</f>
        <v>FINAL</v>
      </c>
      <c r="R1857" s="24" t="n">
        <f aca="false">IF($P1857=0,0,IF($O1857&lt;=INDEX(PARAMETROS_CULTURAS!$F$6:$F$28,$P1857),INDEX(PARAMETROS_CULTURAS!$K$6:$K$28,$P1857),IF($O1857&lt;=INDEX(PARAMETROS_CULTURAS!$F$6:$F$28,$P1857)+INDEX(PARAMETROS_CULTURAS!$G$6:$G$28,$P1857),INDEX(PARAMETROS_CULTURAS!$K$6:$K$28,$P1857)+(INDEX(PARAMETROS_CULTURAS!$L$6:$L$28,$P1857)-INDEX(PARAMETROS_CULTURAS!$K$6:$K$28,$P1857))*($O1857-INDEX(PARAMETROS_CULTURAS!$F$6:$F$28,$P1857))/MAX(INDEX(PARAMETROS_CULTURAS!$G$6:$G$28,$P1857),0.0001),IF($O1857&lt;=INDEX(PARAMETROS_CULTURAS!$F$6:$F$28,$P1857)+INDEX(PARAMETROS_CULTURAS!$G$6:$G$28,$P1857)+INDEX(PARAMETROS_CULTURAS!$H$6:$H$28,$P1857),INDEX(PARAMETROS_CULTURAS!$L$6:$L$28,$P1857),INDEX(PARAMETROS_CULTURAS!$L$6:$L$28,$P1857)+(INDEX(PARAMETROS_CULTURAS!$M$6:$M$28,$P1857)-INDEX(PARAMETROS_CULTURAS!$L$6:$L$28,$P1857))*($O1857-INDEX(PARAMETROS_CULTURAS!$F$6:$F$28,$P1857)-INDEX(PARAMETROS_CULTURAS!$G$6:$G$28,$P1857)-INDEX(PARAMETROS_CULTURAS!$H$6:$H$28,$P1857))/MAX(INDEX(PARAMETROS_CULTURAS!$I$6:$I$28,$P1857),0.0001)))))</f>
        <v>0.75125</v>
      </c>
      <c r="S1857" s="18" t="n">
        <f aca="false">IFERROR(INDEX(SEMANAS!$H$6:$H$71,MATCH($B1857,SEMANAS!$B$6:$B$71,0)),0)</f>
        <v>40.6</v>
      </c>
      <c r="T1857" s="18" t="n">
        <f aca="false">$R1857*$S1857</f>
        <v>30.50075</v>
      </c>
      <c r="U1857" s="18" t="n">
        <f aca="false">IFERROR(INDEX(SEMANAS!$I$6:$I$71,MATCH($B1857,SEMANAS!$B$6:$B$71,0)),0)</f>
        <v>7</v>
      </c>
      <c r="V1857" s="18" t="n">
        <f aca="false">IFERROR(INDEX(SEMANAS!$J$6:$J$71,MATCH($B1857,SEMANAS!$B$6:$B$71,0)),0)</f>
        <v>5.6</v>
      </c>
      <c r="W1857" s="18" t="n">
        <f aca="false">MAX(0,$T1857-$V1857)</f>
        <v>24.90075</v>
      </c>
      <c r="X1857" s="19" t="n">
        <f aca="false">IFERROR(INDEX(CADASTRO_PIVOS!$K$6:$K$41,MATCH($E1857,CADASTRO_PIVOS!$B$6:$B$41,0)),EFICIENCIA_PADRAO)</f>
        <v>0.85</v>
      </c>
      <c r="Y1857" s="18" t="n">
        <f aca="false">IF($X1857&lt;=0,0,$W1857/$X1857)</f>
        <v>29.295</v>
      </c>
      <c r="Z1857" s="16" t="n">
        <f aca="false">$Y1857*$H1857*MM_PARA_M3_HA</f>
        <v>29142.666</v>
      </c>
      <c r="AA1857" s="18" t="n">
        <f aca="false">IFERROR(INDEX(CADASTRO_PIVOS!$I$6:$I$41,MATCH($E1857,CADASTRO_PIVOS!$B$6:$B$41,0)),0)</f>
        <v>710.571428571429</v>
      </c>
      <c r="AB1857" s="18" t="n">
        <f aca="false">IF($Z1857&lt;=0,0,$Z1857/$AA1857)</f>
        <v>41.013</v>
      </c>
      <c r="AC1857" s="16" t="n">
        <f aca="false">IFERROR(INDEX(SEMANAS!$K$6:$K$71,MATCH($B1857,SEMANAS!$B$6:$B$71,0)),0)</f>
        <v>147</v>
      </c>
      <c r="AD1857" s="19" t="n">
        <f aca="false">IF($AC1857&lt;=0,0,$AB1857/$AC1857)</f>
        <v>0.279</v>
      </c>
      <c r="AE1857" s="8" t="str">
        <f aca="false">IF($K1857="SEM CULTURA","SEM CULTURA",IF($AA1857&lt;=0,"DADO PENDENTE",IF($AD1857&gt;LIMITE_CRITICO,"INVIAVEL",IF($AD1857&gt;LIMITE_ATENCAO,"CRITICO",IF($AD1857&gt;LIMITE_CONFORTAVEL,"ATENCAO","OK")))))</f>
        <v>OK</v>
      </c>
      <c r="AF1857" s="8" t="str">
        <f aca="false">$B1857&amp;"|"&amp;TEXT($AD1857,"0.000000")</f>
        <v>4|0.279000</v>
      </c>
      <c r="AG1857" s="18" t="n">
        <f aca="false">IF($K1857="SEM CULTURA",0,$T1857*$H1857)</f>
        <v>3034.21461</v>
      </c>
      <c r="AH1857" s="18" t="n">
        <f aca="false">IF($K1857="SEM CULTURA",0,$V1857*$H1857)</f>
        <v>557.088</v>
      </c>
      <c r="AI1857" s="18" t="n">
        <f aca="false">IF($K1857="SEM CULTURA",0,$W1857*$H1857)</f>
        <v>2477.12661</v>
      </c>
      <c r="AJ1857" s="18" t="n">
        <f aca="false">IF($K1857="SEM CULTURA",0,$S1857*$H1857)</f>
        <v>4038.888</v>
      </c>
      <c r="AK1857" s="8" t="str">
        <f aca="false">$E1857&amp;"|"&amp;TEXT($AD1857,"0.000000")</f>
        <v>PV 125|0.279000</v>
      </c>
    </row>
    <row r="1858" customFormat="false" ht="15" hidden="false" customHeight="false" outlineLevel="0" collapsed="false">
      <c r="B1858" s="16" t="n">
        <v>5</v>
      </c>
      <c r="C1858" s="17" t="n">
        <f aca="false">DATA_INICIO_SAFRA+($B1858-1)*DIAS_POR_SEMANA</f>
        <v>46293</v>
      </c>
      <c r="D1858" s="17" t="n">
        <f aca="false">$C1858+DIAS_POR_SEMANA-1</f>
        <v>46299</v>
      </c>
      <c r="E1858" s="15" t="s">
        <v>287</v>
      </c>
      <c r="F1858" s="8" t="str">
        <f aca="false">IFERROR(INDEX(CADASTRO_PIVOS!$C$6:$C$41,MATCH($E1858,CADASTRO_PIVOS!$B$6:$B$41,0)),"?")</f>
        <v>RM07</v>
      </c>
      <c r="G1858" s="8" t="str">
        <f aca="false">IFERROR(INDEX(CADASTRO_PIVOS!$D$6:$D$41,MATCH($E1858,CADASTRO_PIVOS!$B$6:$B$41,0)),"?")</f>
        <v>TR07</v>
      </c>
      <c r="H1858" s="20" t="n">
        <f aca="false">IFERROR(INDEX(CADASTRO_PIVOS!$E$6:$E$41,MATCH($E1858,CADASTRO_PIVOS!$B$6:$B$41,0)),0)</f>
        <v>99.48</v>
      </c>
      <c r="I1858" s="16" t="n">
        <f aca="false">IFERROR(SUMIFS(ROTACAO_RDM!$B$6:$B$71,ROTACAO_RDM!$D$6:$D$71,$E1858,ROTACAO_RDM!$I$6:$I$71,"&lt;="&amp;$C1858+INT(DIAS_POR_SEMANA/2),ROTACAO_RDM!$J$6:$J$71,"&gt;="&amp;$C1858+INT(DIAS_POR_SEMANA/2)),0)</f>
        <v>46</v>
      </c>
      <c r="J1858" s="16" t="n">
        <f aca="false">IFERROR(MATCH($I1858,ROTACAO_RDM!$B$6:$B$71,0),0)</f>
        <v>46</v>
      </c>
      <c r="K1858" s="8" t="str">
        <f aca="false">IF($J1858=0,"SEM CULTURA",INDEX(ROTACAO_RDM!$F$6:$F$71,$J1858))</f>
        <v>MILHO_SEMENTE</v>
      </c>
      <c r="L1858" s="8" t="str">
        <f aca="false">IF($J1858=0,"",INDEX(ROTACAO_RDM!$G$6:$G$71,$J1858))</f>
        <v>Syngenta</v>
      </c>
      <c r="M1858" s="17" t="n">
        <f aca="false">IF($J1858=0,"",INDEX(ROTACAO_RDM!$I$6:$I$71,$J1858))</f>
        <v>46140</v>
      </c>
      <c r="N1858" s="16" t="n">
        <f aca="false">IF($J1858=0,0,MAX(0,$C1858+INT(DIAS_POR_SEMANA/2)-INDEX(ROTACAO_RDM!$I$6:$I$71,$J1858)))</f>
        <v>156</v>
      </c>
      <c r="O1858" s="19" t="n">
        <f aca="false">IF($J1858=0,0,MIN(1,$N1858/MAX(1,INDEX(ROTACAO_RDM!$K$6:$K$71,$J1858))))</f>
        <v>0.975</v>
      </c>
      <c r="P1858" s="16" t="n">
        <f aca="false">IF($J1858=0,0,IFERROR(MATCH(INDEX(ROTACAO_RDM!$N$6:$N$71,$J1858),PARAMETROS_CULTURAS!$B$6:$B$28,0),0))</f>
        <v>7</v>
      </c>
      <c r="Q1858" s="8" t="str">
        <f aca="false">IF($P1858=0,"-",IF($O1858&lt;=INDEX(PARAMETROS_CULTURAS!$F$6:$F$28,$P1858),"INICIAL",IF($O1858&lt;=INDEX(PARAMETROS_CULTURAS!$F$6:$F$28,$P1858)+INDEX(PARAMETROS_CULTURAS!$G$6:$G$28,$P1858),"DESENVOLVIMENTO",IF($O1858&lt;=INDEX(PARAMETROS_CULTURAS!$F$6:$F$28,$P1858)+INDEX(PARAMETROS_CULTURAS!$G$6:$G$28,$P1858)+INDEX(PARAMETROS_CULTURAS!$H$6:$H$28,$P1858),"MEDIA","FINAL"))))</f>
        <v>FINAL</v>
      </c>
      <c r="R1858" s="24" t="n">
        <f aca="false">IF($P1858=0,0,IF($O1858&lt;=INDEX(PARAMETROS_CULTURAS!$F$6:$F$28,$P1858),INDEX(PARAMETROS_CULTURAS!$K$6:$K$28,$P1858),IF($O1858&lt;=INDEX(PARAMETROS_CULTURAS!$F$6:$F$28,$P1858)+INDEX(PARAMETROS_CULTURAS!$G$6:$G$28,$P1858),INDEX(PARAMETROS_CULTURAS!$K$6:$K$28,$P1858)+(INDEX(PARAMETROS_CULTURAS!$L$6:$L$28,$P1858)-INDEX(PARAMETROS_CULTURAS!$K$6:$K$28,$P1858))*($O1858-INDEX(PARAMETROS_CULTURAS!$F$6:$F$28,$P1858))/MAX(INDEX(PARAMETROS_CULTURAS!$G$6:$G$28,$P1858),0.0001),IF($O1858&lt;=INDEX(PARAMETROS_CULTURAS!$F$6:$F$28,$P1858)+INDEX(PARAMETROS_CULTURAS!$G$6:$G$28,$P1858)+INDEX(PARAMETROS_CULTURAS!$H$6:$H$28,$P1858),INDEX(PARAMETROS_CULTURAS!$L$6:$L$28,$P1858),INDEX(PARAMETROS_CULTURAS!$L$6:$L$28,$P1858)+(INDEX(PARAMETROS_CULTURAS!$M$6:$M$28,$P1858)-INDEX(PARAMETROS_CULTURAS!$L$6:$L$28,$P1858))*($O1858-INDEX(PARAMETROS_CULTURAS!$F$6:$F$28,$P1858)-INDEX(PARAMETROS_CULTURAS!$G$6:$G$28,$P1858)-INDEX(PARAMETROS_CULTURAS!$H$6:$H$28,$P1858))/MAX(INDEX(PARAMETROS_CULTURAS!$I$6:$I$28,$P1858),0.0001)))))</f>
        <v>0.655</v>
      </c>
      <c r="S1858" s="18" t="n">
        <f aca="false">IFERROR(INDEX(SEMANAS!$H$6:$H$71,MATCH($B1858,SEMANAS!$B$6:$B$71,0)),0)</f>
        <v>39.8</v>
      </c>
      <c r="T1858" s="18" t="n">
        <f aca="false">$R1858*$S1858</f>
        <v>26.069</v>
      </c>
      <c r="U1858" s="18" t="n">
        <f aca="false">IFERROR(INDEX(SEMANAS!$I$6:$I$71,MATCH($B1858,SEMANAS!$B$6:$B$71,0)),0)</f>
        <v>18.48</v>
      </c>
      <c r="V1858" s="18" t="n">
        <f aca="false">IFERROR(INDEX(SEMANAS!$J$6:$J$71,MATCH($B1858,SEMANAS!$B$6:$B$71,0)),0)</f>
        <v>14.784</v>
      </c>
      <c r="W1858" s="18" t="n">
        <f aca="false">MAX(0,$T1858-$V1858)</f>
        <v>11.285</v>
      </c>
      <c r="X1858" s="19" t="n">
        <f aca="false">IFERROR(INDEX(CADASTRO_PIVOS!$K$6:$K$41,MATCH($E1858,CADASTRO_PIVOS!$B$6:$B$41,0)),EFICIENCIA_PADRAO)</f>
        <v>0.85</v>
      </c>
      <c r="Y1858" s="18" t="n">
        <f aca="false">IF($X1858&lt;=0,0,$W1858/$X1858)</f>
        <v>13.2764705882353</v>
      </c>
      <c r="Z1858" s="16" t="n">
        <f aca="false">$Y1858*$H1858*MM_PARA_M3_HA</f>
        <v>13207.4329411765</v>
      </c>
      <c r="AA1858" s="18" t="n">
        <f aca="false">IFERROR(INDEX(CADASTRO_PIVOS!$I$6:$I$41,MATCH($E1858,CADASTRO_PIVOS!$B$6:$B$41,0)),0)</f>
        <v>710.571428571429</v>
      </c>
      <c r="AB1858" s="18" t="n">
        <f aca="false">IF($Z1858&lt;=0,0,$Z1858/$AA1858)</f>
        <v>18.5870588235294</v>
      </c>
      <c r="AC1858" s="16" t="n">
        <f aca="false">IFERROR(INDEX(SEMANAS!$K$6:$K$71,MATCH($B1858,SEMANAS!$B$6:$B$71,0)),0)</f>
        <v>147</v>
      </c>
      <c r="AD1858" s="19" t="n">
        <f aca="false">IF($AC1858&lt;=0,0,$AB1858/$AC1858)</f>
        <v>0.126442577030812</v>
      </c>
      <c r="AE1858" s="8" t="str">
        <f aca="false">IF($K1858="SEM CULTURA","SEM CULTURA",IF($AA1858&lt;=0,"DADO PENDENTE",IF($AD1858&gt;LIMITE_CRITICO,"INVIAVEL",IF($AD1858&gt;LIMITE_ATENCAO,"CRITICO",IF($AD1858&gt;LIMITE_CONFORTAVEL,"ATENCAO","OK")))))</f>
        <v>OK</v>
      </c>
      <c r="AF1858" s="8" t="str">
        <f aca="false">$B1858&amp;"|"&amp;TEXT($AD1858,"0.000000")</f>
        <v>5|0.126443</v>
      </c>
      <c r="AG1858" s="18" t="n">
        <f aca="false">IF($K1858="SEM CULTURA",0,$T1858*$H1858)</f>
        <v>2593.34412</v>
      </c>
      <c r="AH1858" s="18" t="n">
        <f aca="false">IF($K1858="SEM CULTURA",0,$V1858*$H1858)</f>
        <v>1470.71232</v>
      </c>
      <c r="AI1858" s="18" t="n">
        <f aca="false">IF($K1858="SEM CULTURA",0,$W1858*$H1858)</f>
        <v>1122.6318</v>
      </c>
      <c r="AJ1858" s="18" t="n">
        <f aca="false">IF($K1858="SEM CULTURA",0,$S1858*$H1858)</f>
        <v>3959.304</v>
      </c>
      <c r="AK1858" s="8" t="str">
        <f aca="false">$E1858&amp;"|"&amp;TEXT($AD1858,"0.000000")</f>
        <v>PV 125|0.126443</v>
      </c>
    </row>
    <row r="1859" customFormat="false" ht="15" hidden="false" customHeight="false" outlineLevel="0" collapsed="false">
      <c r="B1859" s="16" t="n">
        <v>6</v>
      </c>
      <c r="C1859" s="17" t="n">
        <f aca="false">DATA_INICIO_SAFRA+($B1859-1)*DIAS_POR_SEMANA</f>
        <v>46300</v>
      </c>
      <c r="D1859" s="17" t="n">
        <f aca="false">$C1859+DIAS_POR_SEMANA-1</f>
        <v>46306</v>
      </c>
      <c r="E1859" s="15" t="s">
        <v>287</v>
      </c>
      <c r="F1859" s="8" t="str">
        <f aca="false">IFERROR(INDEX(CADASTRO_PIVOS!$C$6:$C$41,MATCH($E1859,CADASTRO_PIVOS!$B$6:$B$41,0)),"?")</f>
        <v>RM07</v>
      </c>
      <c r="G1859" s="8" t="str">
        <f aca="false">IFERROR(INDEX(CADASTRO_PIVOS!$D$6:$D$41,MATCH($E1859,CADASTRO_PIVOS!$B$6:$B$41,0)),"?")</f>
        <v>TR07</v>
      </c>
      <c r="H1859" s="20" t="n">
        <f aca="false">IFERROR(INDEX(CADASTRO_PIVOS!$E$6:$E$41,MATCH($E1859,CADASTRO_PIVOS!$B$6:$B$41,0)),0)</f>
        <v>99.48</v>
      </c>
      <c r="I1859" s="16" t="n">
        <f aca="false">IFERROR(SUMIFS(ROTACAO_RDM!$B$6:$B$71,ROTACAO_RDM!$D$6:$D$71,$E1859,ROTACAO_RDM!$I$6:$I$71,"&lt;="&amp;$C1859+INT(DIAS_POR_SEMANA/2),ROTACAO_RDM!$J$6:$J$71,"&gt;="&amp;$C1859+INT(DIAS_POR_SEMANA/2)),0)</f>
        <v>0</v>
      </c>
      <c r="J1859" s="16" t="n">
        <f aca="false">IFERROR(MATCH($I1859,ROTACAO_RDM!$B$6:$B$71,0),0)</f>
        <v>0</v>
      </c>
      <c r="K1859" s="8" t="str">
        <f aca="false">IF($J1859=0,"SEM CULTURA",INDEX(ROTACAO_RDM!$F$6:$F$71,$J1859))</f>
        <v>SEM CULTURA</v>
      </c>
      <c r="L1859" s="8" t="str">
        <f aca="false">IF($J1859=0,"",INDEX(ROTACAO_RDM!$G$6:$G$71,$J1859))</f>
        <v/>
      </c>
      <c r="M1859" s="17" t="str">
        <f aca="false">IF($J1859=0,"",INDEX(ROTACAO_RDM!$I$6:$I$71,$J1859))</f>
        <v/>
      </c>
      <c r="N1859" s="16" t="n">
        <f aca="false">IF($J1859=0,0,MAX(0,$C1859+INT(DIAS_POR_SEMANA/2)-INDEX(ROTACAO_RDM!$I$6:$I$71,$J1859)))</f>
        <v>0</v>
      </c>
      <c r="O1859" s="19" t="n">
        <f aca="false">IF($J1859=0,0,MIN(1,$N1859/MAX(1,INDEX(ROTACAO_RDM!$K$6:$K$71,$J1859))))</f>
        <v>0</v>
      </c>
      <c r="P1859" s="16" t="n">
        <f aca="false">IF($J1859=0,0,IFERROR(MATCH(INDEX(ROTACAO_RDM!$N$6:$N$71,$J1859),PARAMETROS_CULTURAS!$B$6:$B$28,0),0))</f>
        <v>0</v>
      </c>
      <c r="Q1859" s="8" t="str">
        <f aca="false">IF($P1859=0,"-",IF($O1859&lt;=INDEX(PARAMETROS_CULTURAS!$F$6:$F$28,$P1859),"INICIAL",IF($O1859&lt;=INDEX(PARAMETROS_CULTURAS!$F$6:$F$28,$P1859)+INDEX(PARAMETROS_CULTURAS!$G$6:$G$28,$P1859),"DESENVOLVIMENTO",IF($O1859&lt;=INDEX(PARAMETROS_CULTURAS!$F$6:$F$28,$P1859)+INDEX(PARAMETROS_CULTURAS!$G$6:$G$28,$P1859)+INDEX(PARAMETROS_CULTURAS!$H$6:$H$28,$P1859),"MEDIA","FINAL"))))</f>
        <v>-</v>
      </c>
      <c r="R1859" s="24" t="n">
        <f aca="false">IF($P1859=0,0,IF($O1859&lt;=INDEX(PARAMETROS_CULTURAS!$F$6:$F$28,$P1859),INDEX(PARAMETROS_CULTURAS!$K$6:$K$28,$P1859),IF($O1859&lt;=INDEX(PARAMETROS_CULTURAS!$F$6:$F$28,$P1859)+INDEX(PARAMETROS_CULTURAS!$G$6:$G$28,$P1859),INDEX(PARAMETROS_CULTURAS!$K$6:$K$28,$P1859)+(INDEX(PARAMETROS_CULTURAS!$L$6:$L$28,$P1859)-INDEX(PARAMETROS_CULTURAS!$K$6:$K$28,$P1859))*($O1859-INDEX(PARAMETROS_CULTURAS!$F$6:$F$28,$P1859))/MAX(INDEX(PARAMETROS_CULTURAS!$G$6:$G$28,$P1859),0.0001),IF($O1859&lt;=INDEX(PARAMETROS_CULTURAS!$F$6:$F$28,$P1859)+INDEX(PARAMETROS_CULTURAS!$G$6:$G$28,$P1859)+INDEX(PARAMETROS_CULTURAS!$H$6:$H$28,$P1859),INDEX(PARAMETROS_CULTURAS!$L$6:$L$28,$P1859),INDEX(PARAMETROS_CULTURAS!$L$6:$L$28,$P1859)+(INDEX(PARAMETROS_CULTURAS!$M$6:$M$28,$P1859)-INDEX(PARAMETROS_CULTURAS!$L$6:$L$28,$P1859))*($O1859-INDEX(PARAMETROS_CULTURAS!$F$6:$F$28,$P1859)-INDEX(PARAMETROS_CULTURAS!$G$6:$G$28,$P1859)-INDEX(PARAMETROS_CULTURAS!$H$6:$H$28,$P1859))/MAX(INDEX(PARAMETROS_CULTURAS!$I$6:$I$28,$P1859),0.0001)))))</f>
        <v>0</v>
      </c>
      <c r="S1859" s="18" t="n">
        <f aca="false">IFERROR(INDEX(SEMANAS!$H$6:$H$71,MATCH($B1859,SEMANAS!$B$6:$B$71,0)),0)</f>
        <v>39.2</v>
      </c>
      <c r="T1859" s="18" t="n">
        <f aca="false">$R1859*$S1859</f>
        <v>0</v>
      </c>
      <c r="U1859" s="18" t="n">
        <f aca="false">IFERROR(INDEX(SEMANAS!$I$6:$I$71,MATCH($B1859,SEMANAS!$B$6:$B$71,0)),0)</f>
        <v>27.09</v>
      </c>
      <c r="V1859" s="18" t="n">
        <f aca="false">IFERROR(INDEX(SEMANAS!$J$6:$J$71,MATCH($B1859,SEMANAS!$B$6:$B$71,0)),0)</f>
        <v>21.672</v>
      </c>
      <c r="W1859" s="18" t="n">
        <f aca="false">MAX(0,$T1859-$V1859)</f>
        <v>0</v>
      </c>
      <c r="X1859" s="19" t="n">
        <f aca="false">IFERROR(INDEX(CADASTRO_PIVOS!$K$6:$K$41,MATCH($E1859,CADASTRO_PIVOS!$B$6:$B$41,0)),EFICIENCIA_PADRAO)</f>
        <v>0.85</v>
      </c>
      <c r="Y1859" s="18" t="n">
        <f aca="false">IF($X1859&lt;=0,0,$W1859/$X1859)</f>
        <v>0</v>
      </c>
      <c r="Z1859" s="16" t="n">
        <f aca="false">$Y1859*$H1859*MM_PARA_M3_HA</f>
        <v>0</v>
      </c>
      <c r="AA1859" s="18" t="n">
        <f aca="false">IFERROR(INDEX(CADASTRO_PIVOS!$I$6:$I$41,MATCH($E1859,CADASTRO_PIVOS!$B$6:$B$41,0)),0)</f>
        <v>710.571428571429</v>
      </c>
      <c r="AB1859" s="18" t="n">
        <f aca="false">IF($Z1859&lt;=0,0,$Z1859/$AA1859)</f>
        <v>0</v>
      </c>
      <c r="AC1859" s="16" t="n">
        <f aca="false">IFERROR(INDEX(SEMANAS!$K$6:$K$71,MATCH($B1859,SEMANAS!$B$6:$B$71,0)),0)</f>
        <v>147</v>
      </c>
      <c r="AD1859" s="19" t="n">
        <f aca="false">IF($AC1859&lt;=0,0,$AB1859/$AC1859)</f>
        <v>0</v>
      </c>
      <c r="AE1859" s="8" t="str">
        <f aca="false">IF($K1859="SEM CULTURA","SEM CULTURA",IF($AA1859&lt;=0,"DADO PENDENTE",IF($AD1859&gt;LIMITE_CRITICO,"INVIAVEL",IF($AD1859&gt;LIMITE_ATENCAO,"CRITICO",IF($AD1859&gt;LIMITE_CONFORTAVEL,"ATENCAO","OK")))))</f>
        <v>SEM CULTURA</v>
      </c>
      <c r="AF1859" s="8" t="str">
        <f aca="false">$B1859&amp;"|"&amp;TEXT($AD1859,"0.000000")</f>
        <v>6|0.000000</v>
      </c>
      <c r="AG1859" s="18" t="n">
        <f aca="false">IF($K1859="SEM CULTURA",0,$T1859*$H1859)</f>
        <v>0</v>
      </c>
      <c r="AH1859" s="18" t="n">
        <f aca="false">IF($K1859="SEM CULTURA",0,$V1859*$H1859)</f>
        <v>0</v>
      </c>
      <c r="AI1859" s="18" t="n">
        <f aca="false">IF($K1859="SEM CULTURA",0,$W1859*$H1859)</f>
        <v>0</v>
      </c>
      <c r="AJ1859" s="18" t="n">
        <f aca="false">IF($K1859="SEM CULTURA",0,$S1859*$H1859)</f>
        <v>0</v>
      </c>
      <c r="AK1859" s="8" t="str">
        <f aca="false">$E1859&amp;"|"&amp;TEXT($AD1859,"0.000000")</f>
        <v>PV 125|0.000000</v>
      </c>
    </row>
    <row r="1860" customFormat="false" ht="15" hidden="false" customHeight="false" outlineLevel="0" collapsed="false">
      <c r="B1860" s="16" t="n">
        <v>7</v>
      </c>
      <c r="C1860" s="17" t="n">
        <f aca="false">DATA_INICIO_SAFRA+($B1860-1)*DIAS_POR_SEMANA</f>
        <v>46307</v>
      </c>
      <c r="D1860" s="17" t="n">
        <f aca="false">$C1860+DIAS_POR_SEMANA-1</f>
        <v>46313</v>
      </c>
      <c r="E1860" s="15" t="s">
        <v>287</v>
      </c>
      <c r="F1860" s="8" t="str">
        <f aca="false">IFERROR(INDEX(CADASTRO_PIVOS!$C$6:$C$41,MATCH($E1860,CADASTRO_PIVOS!$B$6:$B$41,0)),"?")</f>
        <v>RM07</v>
      </c>
      <c r="G1860" s="8" t="str">
        <f aca="false">IFERROR(INDEX(CADASTRO_PIVOS!$D$6:$D$41,MATCH($E1860,CADASTRO_PIVOS!$B$6:$B$41,0)),"?")</f>
        <v>TR07</v>
      </c>
      <c r="H1860" s="20" t="n">
        <f aca="false">IFERROR(INDEX(CADASTRO_PIVOS!$E$6:$E$41,MATCH($E1860,CADASTRO_PIVOS!$B$6:$B$41,0)),0)</f>
        <v>99.48</v>
      </c>
      <c r="I1860" s="16" t="n">
        <f aca="false">IFERROR(SUMIFS(ROTACAO_RDM!$B$6:$B$71,ROTACAO_RDM!$D$6:$D$71,$E1860,ROTACAO_RDM!$I$6:$I$71,"&lt;="&amp;$C1860+INT(DIAS_POR_SEMANA/2),ROTACAO_RDM!$J$6:$J$71,"&gt;="&amp;$C1860+INT(DIAS_POR_SEMANA/2)),0)</f>
        <v>0</v>
      </c>
      <c r="J1860" s="16" t="n">
        <f aca="false">IFERROR(MATCH($I1860,ROTACAO_RDM!$B$6:$B$71,0),0)</f>
        <v>0</v>
      </c>
      <c r="K1860" s="8" t="str">
        <f aca="false">IF($J1860=0,"SEM CULTURA",INDEX(ROTACAO_RDM!$F$6:$F$71,$J1860))</f>
        <v>SEM CULTURA</v>
      </c>
      <c r="L1860" s="8" t="str">
        <f aca="false">IF($J1860=0,"",INDEX(ROTACAO_RDM!$G$6:$G$71,$J1860))</f>
        <v/>
      </c>
      <c r="M1860" s="17" t="str">
        <f aca="false">IF($J1860=0,"",INDEX(ROTACAO_RDM!$I$6:$I$71,$J1860))</f>
        <v/>
      </c>
      <c r="N1860" s="16" t="n">
        <f aca="false">IF($J1860=0,0,MAX(0,$C1860+INT(DIAS_POR_SEMANA/2)-INDEX(ROTACAO_RDM!$I$6:$I$71,$J1860)))</f>
        <v>0</v>
      </c>
      <c r="O1860" s="19" t="n">
        <f aca="false">IF($J1860=0,0,MIN(1,$N1860/MAX(1,INDEX(ROTACAO_RDM!$K$6:$K$71,$J1860))))</f>
        <v>0</v>
      </c>
      <c r="P1860" s="16" t="n">
        <f aca="false">IF($J1860=0,0,IFERROR(MATCH(INDEX(ROTACAO_RDM!$N$6:$N$71,$J1860),PARAMETROS_CULTURAS!$B$6:$B$28,0),0))</f>
        <v>0</v>
      </c>
      <c r="Q1860" s="8" t="str">
        <f aca="false">IF($P1860=0,"-",IF($O1860&lt;=INDEX(PARAMETROS_CULTURAS!$F$6:$F$28,$P1860),"INICIAL",IF($O1860&lt;=INDEX(PARAMETROS_CULTURAS!$F$6:$F$28,$P1860)+INDEX(PARAMETROS_CULTURAS!$G$6:$G$28,$P1860),"DESENVOLVIMENTO",IF($O1860&lt;=INDEX(PARAMETROS_CULTURAS!$F$6:$F$28,$P1860)+INDEX(PARAMETROS_CULTURAS!$G$6:$G$28,$P1860)+INDEX(PARAMETROS_CULTURAS!$H$6:$H$28,$P1860),"MEDIA","FINAL"))))</f>
        <v>-</v>
      </c>
      <c r="R1860" s="24" t="n">
        <f aca="false">IF($P1860=0,0,IF($O1860&lt;=INDEX(PARAMETROS_CULTURAS!$F$6:$F$28,$P1860),INDEX(PARAMETROS_CULTURAS!$K$6:$K$28,$P1860),IF($O1860&lt;=INDEX(PARAMETROS_CULTURAS!$F$6:$F$28,$P1860)+INDEX(PARAMETROS_CULTURAS!$G$6:$G$28,$P1860),INDEX(PARAMETROS_CULTURAS!$K$6:$K$28,$P1860)+(INDEX(PARAMETROS_CULTURAS!$L$6:$L$28,$P1860)-INDEX(PARAMETROS_CULTURAS!$K$6:$K$28,$P1860))*($O1860-INDEX(PARAMETROS_CULTURAS!$F$6:$F$28,$P1860))/MAX(INDEX(PARAMETROS_CULTURAS!$G$6:$G$28,$P1860),0.0001),IF($O1860&lt;=INDEX(PARAMETROS_CULTURAS!$F$6:$F$28,$P1860)+INDEX(PARAMETROS_CULTURAS!$G$6:$G$28,$P1860)+INDEX(PARAMETROS_CULTURAS!$H$6:$H$28,$P1860),INDEX(PARAMETROS_CULTURAS!$L$6:$L$28,$P1860),INDEX(PARAMETROS_CULTURAS!$L$6:$L$28,$P1860)+(INDEX(PARAMETROS_CULTURAS!$M$6:$M$28,$P1860)-INDEX(PARAMETROS_CULTURAS!$L$6:$L$28,$P1860))*($O1860-INDEX(PARAMETROS_CULTURAS!$F$6:$F$28,$P1860)-INDEX(PARAMETROS_CULTURAS!$G$6:$G$28,$P1860)-INDEX(PARAMETROS_CULTURAS!$H$6:$H$28,$P1860))/MAX(INDEX(PARAMETROS_CULTURAS!$I$6:$I$28,$P1860),0.0001)))))</f>
        <v>0</v>
      </c>
      <c r="S1860" s="18" t="n">
        <f aca="false">IFERROR(INDEX(SEMANAS!$H$6:$H$71,MATCH($B1860,SEMANAS!$B$6:$B$71,0)),0)</f>
        <v>39.2</v>
      </c>
      <c r="T1860" s="18" t="n">
        <f aca="false">$R1860*$S1860</f>
        <v>0</v>
      </c>
      <c r="U1860" s="18" t="n">
        <f aca="false">IFERROR(INDEX(SEMANAS!$I$6:$I$71,MATCH($B1860,SEMANAS!$B$6:$B$71,0)),0)</f>
        <v>27.09</v>
      </c>
      <c r="V1860" s="18" t="n">
        <f aca="false">IFERROR(INDEX(SEMANAS!$J$6:$J$71,MATCH($B1860,SEMANAS!$B$6:$B$71,0)),0)</f>
        <v>21.672</v>
      </c>
      <c r="W1860" s="18" t="n">
        <f aca="false">MAX(0,$T1860-$V1860)</f>
        <v>0</v>
      </c>
      <c r="X1860" s="19" t="n">
        <f aca="false">IFERROR(INDEX(CADASTRO_PIVOS!$K$6:$K$41,MATCH($E1860,CADASTRO_PIVOS!$B$6:$B$41,0)),EFICIENCIA_PADRAO)</f>
        <v>0.85</v>
      </c>
      <c r="Y1860" s="18" t="n">
        <f aca="false">IF($X1860&lt;=0,0,$W1860/$X1860)</f>
        <v>0</v>
      </c>
      <c r="Z1860" s="16" t="n">
        <f aca="false">$Y1860*$H1860*MM_PARA_M3_HA</f>
        <v>0</v>
      </c>
      <c r="AA1860" s="18" t="n">
        <f aca="false">IFERROR(INDEX(CADASTRO_PIVOS!$I$6:$I$41,MATCH($E1860,CADASTRO_PIVOS!$B$6:$B$41,0)),0)</f>
        <v>710.571428571429</v>
      </c>
      <c r="AB1860" s="18" t="n">
        <f aca="false">IF($Z1860&lt;=0,0,$Z1860/$AA1860)</f>
        <v>0</v>
      </c>
      <c r="AC1860" s="16" t="n">
        <f aca="false">IFERROR(INDEX(SEMANAS!$K$6:$K$71,MATCH($B1860,SEMANAS!$B$6:$B$71,0)),0)</f>
        <v>147</v>
      </c>
      <c r="AD1860" s="19" t="n">
        <f aca="false">IF($AC1860&lt;=0,0,$AB1860/$AC1860)</f>
        <v>0</v>
      </c>
      <c r="AE1860" s="8" t="str">
        <f aca="false">IF($K1860="SEM CULTURA","SEM CULTURA",IF($AA1860&lt;=0,"DADO PENDENTE",IF($AD1860&gt;LIMITE_CRITICO,"INVIAVEL",IF($AD1860&gt;LIMITE_ATENCAO,"CRITICO",IF($AD1860&gt;LIMITE_CONFORTAVEL,"ATENCAO","OK")))))</f>
        <v>SEM CULTURA</v>
      </c>
      <c r="AF1860" s="8" t="str">
        <f aca="false">$B1860&amp;"|"&amp;TEXT($AD1860,"0.000000")</f>
        <v>7|0.000000</v>
      </c>
      <c r="AG1860" s="18" t="n">
        <f aca="false">IF($K1860="SEM CULTURA",0,$T1860*$H1860)</f>
        <v>0</v>
      </c>
      <c r="AH1860" s="18" t="n">
        <f aca="false">IF($K1860="SEM CULTURA",0,$V1860*$H1860)</f>
        <v>0</v>
      </c>
      <c r="AI1860" s="18" t="n">
        <f aca="false">IF($K1860="SEM CULTURA",0,$W1860*$H1860)</f>
        <v>0</v>
      </c>
      <c r="AJ1860" s="18" t="n">
        <f aca="false">IF($K1860="SEM CULTURA",0,$S1860*$H1860)</f>
        <v>0</v>
      </c>
      <c r="AK1860" s="8" t="str">
        <f aca="false">$E1860&amp;"|"&amp;TEXT($AD1860,"0.000000")</f>
        <v>PV 125|0.000000</v>
      </c>
    </row>
    <row r="1861" customFormat="false" ht="15" hidden="false" customHeight="false" outlineLevel="0" collapsed="false">
      <c r="B1861" s="16" t="n">
        <v>8</v>
      </c>
      <c r="C1861" s="17" t="n">
        <f aca="false">DATA_INICIO_SAFRA+($B1861-1)*DIAS_POR_SEMANA</f>
        <v>46314</v>
      </c>
      <c r="D1861" s="17" t="n">
        <f aca="false">$C1861+DIAS_POR_SEMANA-1</f>
        <v>46320</v>
      </c>
      <c r="E1861" s="15" t="s">
        <v>287</v>
      </c>
      <c r="F1861" s="8" t="str">
        <f aca="false">IFERROR(INDEX(CADASTRO_PIVOS!$C$6:$C$41,MATCH($E1861,CADASTRO_PIVOS!$B$6:$B$41,0)),"?")</f>
        <v>RM07</v>
      </c>
      <c r="G1861" s="8" t="str">
        <f aca="false">IFERROR(INDEX(CADASTRO_PIVOS!$D$6:$D$41,MATCH($E1861,CADASTRO_PIVOS!$B$6:$B$41,0)),"?")</f>
        <v>TR07</v>
      </c>
      <c r="H1861" s="20" t="n">
        <f aca="false">IFERROR(INDEX(CADASTRO_PIVOS!$E$6:$E$41,MATCH($E1861,CADASTRO_PIVOS!$B$6:$B$41,0)),0)</f>
        <v>99.48</v>
      </c>
      <c r="I1861" s="16" t="n">
        <f aca="false">IFERROR(SUMIFS(ROTACAO_RDM!$B$6:$B$71,ROTACAO_RDM!$D$6:$D$71,$E1861,ROTACAO_RDM!$I$6:$I$71,"&lt;="&amp;$C1861+INT(DIAS_POR_SEMANA/2),ROTACAO_RDM!$J$6:$J$71,"&gt;="&amp;$C1861+INT(DIAS_POR_SEMANA/2)),0)</f>
        <v>0</v>
      </c>
      <c r="J1861" s="16" t="n">
        <f aca="false">IFERROR(MATCH($I1861,ROTACAO_RDM!$B$6:$B$71,0),0)</f>
        <v>0</v>
      </c>
      <c r="K1861" s="8" t="str">
        <f aca="false">IF($J1861=0,"SEM CULTURA",INDEX(ROTACAO_RDM!$F$6:$F$71,$J1861))</f>
        <v>SEM CULTURA</v>
      </c>
      <c r="L1861" s="8" t="str">
        <f aca="false">IF($J1861=0,"",INDEX(ROTACAO_RDM!$G$6:$G$71,$J1861))</f>
        <v/>
      </c>
      <c r="M1861" s="17" t="str">
        <f aca="false">IF($J1861=0,"",INDEX(ROTACAO_RDM!$I$6:$I$71,$J1861))</f>
        <v/>
      </c>
      <c r="N1861" s="16" t="n">
        <f aca="false">IF($J1861=0,0,MAX(0,$C1861+INT(DIAS_POR_SEMANA/2)-INDEX(ROTACAO_RDM!$I$6:$I$71,$J1861)))</f>
        <v>0</v>
      </c>
      <c r="O1861" s="19" t="n">
        <f aca="false">IF($J1861=0,0,MIN(1,$N1861/MAX(1,INDEX(ROTACAO_RDM!$K$6:$K$71,$J1861))))</f>
        <v>0</v>
      </c>
      <c r="P1861" s="16" t="n">
        <f aca="false">IF($J1861=0,0,IFERROR(MATCH(INDEX(ROTACAO_RDM!$N$6:$N$71,$J1861),PARAMETROS_CULTURAS!$B$6:$B$28,0),0))</f>
        <v>0</v>
      </c>
      <c r="Q1861" s="8" t="str">
        <f aca="false">IF($P1861=0,"-",IF($O1861&lt;=INDEX(PARAMETROS_CULTURAS!$F$6:$F$28,$P1861),"INICIAL",IF($O1861&lt;=INDEX(PARAMETROS_CULTURAS!$F$6:$F$28,$P1861)+INDEX(PARAMETROS_CULTURAS!$G$6:$G$28,$P1861),"DESENVOLVIMENTO",IF($O1861&lt;=INDEX(PARAMETROS_CULTURAS!$F$6:$F$28,$P1861)+INDEX(PARAMETROS_CULTURAS!$G$6:$G$28,$P1861)+INDEX(PARAMETROS_CULTURAS!$H$6:$H$28,$P1861),"MEDIA","FINAL"))))</f>
        <v>-</v>
      </c>
      <c r="R1861" s="24" t="n">
        <f aca="false">IF($P1861=0,0,IF($O1861&lt;=INDEX(PARAMETROS_CULTURAS!$F$6:$F$28,$P1861),INDEX(PARAMETROS_CULTURAS!$K$6:$K$28,$P1861),IF($O1861&lt;=INDEX(PARAMETROS_CULTURAS!$F$6:$F$28,$P1861)+INDEX(PARAMETROS_CULTURAS!$G$6:$G$28,$P1861),INDEX(PARAMETROS_CULTURAS!$K$6:$K$28,$P1861)+(INDEX(PARAMETROS_CULTURAS!$L$6:$L$28,$P1861)-INDEX(PARAMETROS_CULTURAS!$K$6:$K$28,$P1861))*($O1861-INDEX(PARAMETROS_CULTURAS!$F$6:$F$28,$P1861))/MAX(INDEX(PARAMETROS_CULTURAS!$G$6:$G$28,$P1861),0.0001),IF($O1861&lt;=INDEX(PARAMETROS_CULTURAS!$F$6:$F$28,$P1861)+INDEX(PARAMETROS_CULTURAS!$G$6:$G$28,$P1861)+INDEX(PARAMETROS_CULTURAS!$H$6:$H$28,$P1861),INDEX(PARAMETROS_CULTURAS!$L$6:$L$28,$P1861),INDEX(PARAMETROS_CULTURAS!$L$6:$L$28,$P1861)+(INDEX(PARAMETROS_CULTURAS!$M$6:$M$28,$P1861)-INDEX(PARAMETROS_CULTURAS!$L$6:$L$28,$P1861))*($O1861-INDEX(PARAMETROS_CULTURAS!$F$6:$F$28,$P1861)-INDEX(PARAMETROS_CULTURAS!$G$6:$G$28,$P1861)-INDEX(PARAMETROS_CULTURAS!$H$6:$H$28,$P1861))/MAX(INDEX(PARAMETROS_CULTURAS!$I$6:$I$28,$P1861),0.0001)))))</f>
        <v>0</v>
      </c>
      <c r="S1861" s="18" t="n">
        <f aca="false">IFERROR(INDEX(SEMANAS!$H$6:$H$71,MATCH($B1861,SEMANAS!$B$6:$B$71,0)),0)</f>
        <v>39.2</v>
      </c>
      <c r="T1861" s="18" t="n">
        <f aca="false">$R1861*$S1861</f>
        <v>0</v>
      </c>
      <c r="U1861" s="18" t="n">
        <f aca="false">IFERROR(INDEX(SEMANAS!$I$6:$I$71,MATCH($B1861,SEMANAS!$B$6:$B$71,0)),0)</f>
        <v>27.09</v>
      </c>
      <c r="V1861" s="18" t="n">
        <f aca="false">IFERROR(INDEX(SEMANAS!$J$6:$J$71,MATCH($B1861,SEMANAS!$B$6:$B$71,0)),0)</f>
        <v>21.672</v>
      </c>
      <c r="W1861" s="18" t="n">
        <f aca="false">MAX(0,$T1861-$V1861)</f>
        <v>0</v>
      </c>
      <c r="X1861" s="19" t="n">
        <f aca="false">IFERROR(INDEX(CADASTRO_PIVOS!$K$6:$K$41,MATCH($E1861,CADASTRO_PIVOS!$B$6:$B$41,0)),EFICIENCIA_PADRAO)</f>
        <v>0.85</v>
      </c>
      <c r="Y1861" s="18" t="n">
        <f aca="false">IF($X1861&lt;=0,0,$W1861/$X1861)</f>
        <v>0</v>
      </c>
      <c r="Z1861" s="16" t="n">
        <f aca="false">$Y1861*$H1861*MM_PARA_M3_HA</f>
        <v>0</v>
      </c>
      <c r="AA1861" s="18" t="n">
        <f aca="false">IFERROR(INDEX(CADASTRO_PIVOS!$I$6:$I$41,MATCH($E1861,CADASTRO_PIVOS!$B$6:$B$41,0)),0)</f>
        <v>710.571428571429</v>
      </c>
      <c r="AB1861" s="18" t="n">
        <f aca="false">IF($Z1861&lt;=0,0,$Z1861/$AA1861)</f>
        <v>0</v>
      </c>
      <c r="AC1861" s="16" t="n">
        <f aca="false">IFERROR(INDEX(SEMANAS!$K$6:$K$71,MATCH($B1861,SEMANAS!$B$6:$B$71,0)),0)</f>
        <v>147</v>
      </c>
      <c r="AD1861" s="19" t="n">
        <f aca="false">IF($AC1861&lt;=0,0,$AB1861/$AC1861)</f>
        <v>0</v>
      </c>
      <c r="AE1861" s="8" t="str">
        <f aca="false">IF($K1861="SEM CULTURA","SEM CULTURA",IF($AA1861&lt;=0,"DADO PENDENTE",IF($AD1861&gt;LIMITE_CRITICO,"INVIAVEL",IF($AD1861&gt;LIMITE_ATENCAO,"CRITICO",IF($AD1861&gt;LIMITE_CONFORTAVEL,"ATENCAO","OK")))))</f>
        <v>SEM CULTURA</v>
      </c>
      <c r="AF1861" s="8" t="str">
        <f aca="false">$B1861&amp;"|"&amp;TEXT($AD1861,"0.000000")</f>
        <v>8|0.000000</v>
      </c>
      <c r="AG1861" s="18" t="n">
        <f aca="false">IF($K1861="SEM CULTURA",0,$T1861*$H1861)</f>
        <v>0</v>
      </c>
      <c r="AH1861" s="18" t="n">
        <f aca="false">IF($K1861="SEM CULTURA",0,$V1861*$H1861)</f>
        <v>0</v>
      </c>
      <c r="AI1861" s="18" t="n">
        <f aca="false">IF($K1861="SEM CULTURA",0,$W1861*$H1861)</f>
        <v>0</v>
      </c>
      <c r="AJ1861" s="18" t="n">
        <f aca="false">IF($K1861="SEM CULTURA",0,$S1861*$H1861)</f>
        <v>0</v>
      </c>
      <c r="AK1861" s="8" t="str">
        <f aca="false">$E1861&amp;"|"&amp;TEXT($AD1861,"0.000000")</f>
        <v>PV 125|0.000000</v>
      </c>
    </row>
    <row r="1862" customFormat="false" ht="15" hidden="false" customHeight="false" outlineLevel="0" collapsed="false">
      <c r="B1862" s="16" t="n">
        <v>9</v>
      </c>
      <c r="C1862" s="17" t="n">
        <f aca="false">DATA_INICIO_SAFRA+($B1862-1)*DIAS_POR_SEMANA</f>
        <v>46321</v>
      </c>
      <c r="D1862" s="17" t="n">
        <f aca="false">$C1862+DIAS_POR_SEMANA-1</f>
        <v>46327</v>
      </c>
      <c r="E1862" s="15" t="s">
        <v>287</v>
      </c>
      <c r="F1862" s="8" t="str">
        <f aca="false">IFERROR(INDEX(CADASTRO_PIVOS!$C$6:$C$41,MATCH($E1862,CADASTRO_PIVOS!$B$6:$B$41,0)),"?")</f>
        <v>RM07</v>
      </c>
      <c r="G1862" s="8" t="str">
        <f aca="false">IFERROR(INDEX(CADASTRO_PIVOS!$D$6:$D$41,MATCH($E1862,CADASTRO_PIVOS!$B$6:$B$41,0)),"?")</f>
        <v>TR07</v>
      </c>
      <c r="H1862" s="20" t="n">
        <f aca="false">IFERROR(INDEX(CADASTRO_PIVOS!$E$6:$E$41,MATCH($E1862,CADASTRO_PIVOS!$B$6:$B$41,0)),0)</f>
        <v>99.48</v>
      </c>
      <c r="I1862" s="16" t="n">
        <f aca="false">IFERROR(SUMIFS(ROTACAO_RDM!$B$6:$B$71,ROTACAO_RDM!$D$6:$D$71,$E1862,ROTACAO_RDM!$I$6:$I$71,"&lt;="&amp;$C1862+INT(DIAS_POR_SEMANA/2),ROTACAO_RDM!$J$6:$J$71,"&gt;="&amp;$C1862+INT(DIAS_POR_SEMANA/2)),0)</f>
        <v>0</v>
      </c>
      <c r="J1862" s="16" t="n">
        <f aca="false">IFERROR(MATCH($I1862,ROTACAO_RDM!$B$6:$B$71,0),0)</f>
        <v>0</v>
      </c>
      <c r="K1862" s="8" t="str">
        <f aca="false">IF($J1862=0,"SEM CULTURA",INDEX(ROTACAO_RDM!$F$6:$F$71,$J1862))</f>
        <v>SEM CULTURA</v>
      </c>
      <c r="L1862" s="8" t="str">
        <f aca="false">IF($J1862=0,"",INDEX(ROTACAO_RDM!$G$6:$G$71,$J1862))</f>
        <v/>
      </c>
      <c r="M1862" s="17" t="str">
        <f aca="false">IF($J1862=0,"",INDEX(ROTACAO_RDM!$I$6:$I$71,$J1862))</f>
        <v/>
      </c>
      <c r="N1862" s="16" t="n">
        <f aca="false">IF($J1862=0,0,MAX(0,$C1862+INT(DIAS_POR_SEMANA/2)-INDEX(ROTACAO_RDM!$I$6:$I$71,$J1862)))</f>
        <v>0</v>
      </c>
      <c r="O1862" s="19" t="n">
        <f aca="false">IF($J1862=0,0,MIN(1,$N1862/MAX(1,INDEX(ROTACAO_RDM!$K$6:$K$71,$J1862))))</f>
        <v>0</v>
      </c>
      <c r="P1862" s="16" t="n">
        <f aca="false">IF($J1862=0,0,IFERROR(MATCH(INDEX(ROTACAO_RDM!$N$6:$N$71,$J1862),PARAMETROS_CULTURAS!$B$6:$B$28,0),0))</f>
        <v>0</v>
      </c>
      <c r="Q1862" s="8" t="str">
        <f aca="false">IF($P1862=0,"-",IF($O1862&lt;=INDEX(PARAMETROS_CULTURAS!$F$6:$F$28,$P1862),"INICIAL",IF($O1862&lt;=INDEX(PARAMETROS_CULTURAS!$F$6:$F$28,$P1862)+INDEX(PARAMETROS_CULTURAS!$G$6:$G$28,$P1862),"DESENVOLVIMENTO",IF($O1862&lt;=INDEX(PARAMETROS_CULTURAS!$F$6:$F$28,$P1862)+INDEX(PARAMETROS_CULTURAS!$G$6:$G$28,$P1862)+INDEX(PARAMETROS_CULTURAS!$H$6:$H$28,$P1862),"MEDIA","FINAL"))))</f>
        <v>-</v>
      </c>
      <c r="R1862" s="24" t="n">
        <f aca="false">IF($P1862=0,0,IF($O1862&lt;=INDEX(PARAMETROS_CULTURAS!$F$6:$F$28,$P1862),INDEX(PARAMETROS_CULTURAS!$K$6:$K$28,$P1862),IF($O1862&lt;=INDEX(PARAMETROS_CULTURAS!$F$6:$F$28,$P1862)+INDEX(PARAMETROS_CULTURAS!$G$6:$G$28,$P1862),INDEX(PARAMETROS_CULTURAS!$K$6:$K$28,$P1862)+(INDEX(PARAMETROS_CULTURAS!$L$6:$L$28,$P1862)-INDEX(PARAMETROS_CULTURAS!$K$6:$K$28,$P1862))*($O1862-INDEX(PARAMETROS_CULTURAS!$F$6:$F$28,$P1862))/MAX(INDEX(PARAMETROS_CULTURAS!$G$6:$G$28,$P1862),0.0001),IF($O1862&lt;=INDEX(PARAMETROS_CULTURAS!$F$6:$F$28,$P1862)+INDEX(PARAMETROS_CULTURAS!$G$6:$G$28,$P1862)+INDEX(PARAMETROS_CULTURAS!$H$6:$H$28,$P1862),INDEX(PARAMETROS_CULTURAS!$L$6:$L$28,$P1862),INDEX(PARAMETROS_CULTURAS!$L$6:$L$28,$P1862)+(INDEX(PARAMETROS_CULTURAS!$M$6:$M$28,$P1862)-INDEX(PARAMETROS_CULTURAS!$L$6:$L$28,$P1862))*($O1862-INDEX(PARAMETROS_CULTURAS!$F$6:$F$28,$P1862)-INDEX(PARAMETROS_CULTURAS!$G$6:$G$28,$P1862)-INDEX(PARAMETROS_CULTURAS!$H$6:$H$28,$P1862))/MAX(INDEX(PARAMETROS_CULTURAS!$I$6:$I$28,$P1862),0.0001)))))</f>
        <v>0</v>
      </c>
      <c r="S1862" s="18" t="n">
        <f aca="false">IFERROR(INDEX(SEMANAS!$H$6:$H$71,MATCH($B1862,SEMANAS!$B$6:$B$71,0)),0)</f>
        <v>38.5</v>
      </c>
      <c r="T1862" s="18" t="n">
        <f aca="false">$R1862*$S1862</f>
        <v>0</v>
      </c>
      <c r="U1862" s="18" t="n">
        <f aca="false">IFERROR(INDEX(SEMANAS!$I$6:$I$71,MATCH($B1862,SEMANAS!$B$6:$B$71,0)),0)</f>
        <v>29.89</v>
      </c>
      <c r="V1862" s="18" t="n">
        <f aca="false">IFERROR(INDEX(SEMANAS!$J$6:$J$71,MATCH($B1862,SEMANAS!$B$6:$B$71,0)),0)</f>
        <v>23.912</v>
      </c>
      <c r="W1862" s="18" t="n">
        <f aca="false">MAX(0,$T1862-$V1862)</f>
        <v>0</v>
      </c>
      <c r="X1862" s="19" t="n">
        <f aca="false">IFERROR(INDEX(CADASTRO_PIVOS!$K$6:$K$41,MATCH($E1862,CADASTRO_PIVOS!$B$6:$B$41,0)),EFICIENCIA_PADRAO)</f>
        <v>0.85</v>
      </c>
      <c r="Y1862" s="18" t="n">
        <f aca="false">IF($X1862&lt;=0,0,$W1862/$X1862)</f>
        <v>0</v>
      </c>
      <c r="Z1862" s="16" t="n">
        <f aca="false">$Y1862*$H1862*MM_PARA_M3_HA</f>
        <v>0</v>
      </c>
      <c r="AA1862" s="18" t="n">
        <f aca="false">IFERROR(INDEX(CADASTRO_PIVOS!$I$6:$I$41,MATCH($E1862,CADASTRO_PIVOS!$B$6:$B$41,0)),0)</f>
        <v>710.571428571429</v>
      </c>
      <c r="AB1862" s="18" t="n">
        <f aca="false">IF($Z1862&lt;=0,0,$Z1862/$AA1862)</f>
        <v>0</v>
      </c>
      <c r="AC1862" s="16" t="n">
        <f aca="false">IFERROR(INDEX(SEMANAS!$K$6:$K$71,MATCH($B1862,SEMANAS!$B$6:$B$71,0)),0)</f>
        <v>147</v>
      </c>
      <c r="AD1862" s="19" t="n">
        <f aca="false">IF($AC1862&lt;=0,0,$AB1862/$AC1862)</f>
        <v>0</v>
      </c>
      <c r="AE1862" s="8" t="str">
        <f aca="false">IF($K1862="SEM CULTURA","SEM CULTURA",IF($AA1862&lt;=0,"DADO PENDENTE",IF($AD1862&gt;LIMITE_CRITICO,"INVIAVEL",IF($AD1862&gt;LIMITE_ATENCAO,"CRITICO",IF($AD1862&gt;LIMITE_CONFORTAVEL,"ATENCAO","OK")))))</f>
        <v>SEM CULTURA</v>
      </c>
      <c r="AF1862" s="8" t="str">
        <f aca="false">$B1862&amp;"|"&amp;TEXT($AD1862,"0.000000")</f>
        <v>9|0.000000</v>
      </c>
      <c r="AG1862" s="18" t="n">
        <f aca="false">IF($K1862="SEM CULTURA",0,$T1862*$H1862)</f>
        <v>0</v>
      </c>
      <c r="AH1862" s="18" t="n">
        <f aca="false">IF($K1862="SEM CULTURA",0,$V1862*$H1862)</f>
        <v>0</v>
      </c>
      <c r="AI1862" s="18" t="n">
        <f aca="false">IF($K1862="SEM CULTURA",0,$W1862*$H1862)</f>
        <v>0</v>
      </c>
      <c r="AJ1862" s="18" t="n">
        <f aca="false">IF($K1862="SEM CULTURA",0,$S1862*$H1862)</f>
        <v>0</v>
      </c>
      <c r="AK1862" s="8" t="str">
        <f aca="false">$E1862&amp;"|"&amp;TEXT($AD1862,"0.000000")</f>
        <v>PV 125|0.000000</v>
      </c>
    </row>
    <row r="1863" customFormat="false" ht="15" hidden="false" customHeight="false" outlineLevel="0" collapsed="false">
      <c r="B1863" s="16" t="n">
        <v>10</v>
      </c>
      <c r="C1863" s="17" t="n">
        <f aca="false">DATA_INICIO_SAFRA+($B1863-1)*DIAS_POR_SEMANA</f>
        <v>46328</v>
      </c>
      <c r="D1863" s="17" t="n">
        <f aca="false">$C1863+DIAS_POR_SEMANA-1</f>
        <v>46334</v>
      </c>
      <c r="E1863" s="15" t="s">
        <v>287</v>
      </c>
      <c r="F1863" s="8" t="str">
        <f aca="false">IFERROR(INDEX(CADASTRO_PIVOS!$C$6:$C$41,MATCH($E1863,CADASTRO_PIVOS!$B$6:$B$41,0)),"?")</f>
        <v>RM07</v>
      </c>
      <c r="G1863" s="8" t="str">
        <f aca="false">IFERROR(INDEX(CADASTRO_PIVOS!$D$6:$D$41,MATCH($E1863,CADASTRO_PIVOS!$B$6:$B$41,0)),"?")</f>
        <v>TR07</v>
      </c>
      <c r="H1863" s="20" t="n">
        <f aca="false">IFERROR(INDEX(CADASTRO_PIVOS!$E$6:$E$41,MATCH($E1863,CADASTRO_PIVOS!$B$6:$B$41,0)),0)</f>
        <v>99.48</v>
      </c>
      <c r="I1863" s="16" t="n">
        <f aca="false">IFERROR(SUMIFS(ROTACAO_RDM!$B$6:$B$71,ROTACAO_RDM!$D$6:$D$71,$E1863,ROTACAO_RDM!$I$6:$I$71,"&lt;="&amp;$C1863+INT(DIAS_POR_SEMANA/2),ROTACAO_RDM!$J$6:$J$71,"&gt;="&amp;$C1863+INT(DIAS_POR_SEMANA/2)),0)</f>
        <v>0</v>
      </c>
      <c r="J1863" s="16" t="n">
        <f aca="false">IFERROR(MATCH($I1863,ROTACAO_RDM!$B$6:$B$71,0),0)</f>
        <v>0</v>
      </c>
      <c r="K1863" s="8" t="str">
        <f aca="false">IF($J1863=0,"SEM CULTURA",INDEX(ROTACAO_RDM!$F$6:$F$71,$J1863))</f>
        <v>SEM CULTURA</v>
      </c>
      <c r="L1863" s="8" t="str">
        <f aca="false">IF($J1863=0,"",INDEX(ROTACAO_RDM!$G$6:$G$71,$J1863))</f>
        <v/>
      </c>
      <c r="M1863" s="17" t="str">
        <f aca="false">IF($J1863=0,"",INDEX(ROTACAO_RDM!$I$6:$I$71,$J1863))</f>
        <v/>
      </c>
      <c r="N1863" s="16" t="n">
        <f aca="false">IF($J1863=0,0,MAX(0,$C1863+INT(DIAS_POR_SEMANA/2)-INDEX(ROTACAO_RDM!$I$6:$I$71,$J1863)))</f>
        <v>0</v>
      </c>
      <c r="O1863" s="19" t="n">
        <f aca="false">IF($J1863=0,0,MIN(1,$N1863/MAX(1,INDEX(ROTACAO_RDM!$K$6:$K$71,$J1863))))</f>
        <v>0</v>
      </c>
      <c r="P1863" s="16" t="n">
        <f aca="false">IF($J1863=0,0,IFERROR(MATCH(INDEX(ROTACAO_RDM!$N$6:$N$71,$J1863),PARAMETROS_CULTURAS!$B$6:$B$28,0),0))</f>
        <v>0</v>
      </c>
      <c r="Q1863" s="8" t="str">
        <f aca="false">IF($P1863=0,"-",IF($O1863&lt;=INDEX(PARAMETROS_CULTURAS!$F$6:$F$28,$P1863),"INICIAL",IF($O1863&lt;=INDEX(PARAMETROS_CULTURAS!$F$6:$F$28,$P1863)+INDEX(PARAMETROS_CULTURAS!$G$6:$G$28,$P1863),"DESENVOLVIMENTO",IF($O1863&lt;=INDEX(PARAMETROS_CULTURAS!$F$6:$F$28,$P1863)+INDEX(PARAMETROS_CULTURAS!$G$6:$G$28,$P1863)+INDEX(PARAMETROS_CULTURAS!$H$6:$H$28,$P1863),"MEDIA","FINAL"))))</f>
        <v>-</v>
      </c>
      <c r="R1863" s="24" t="n">
        <f aca="false">IF($P1863=0,0,IF($O1863&lt;=INDEX(PARAMETROS_CULTURAS!$F$6:$F$28,$P1863),INDEX(PARAMETROS_CULTURAS!$K$6:$K$28,$P1863),IF($O1863&lt;=INDEX(PARAMETROS_CULTURAS!$F$6:$F$28,$P1863)+INDEX(PARAMETROS_CULTURAS!$G$6:$G$28,$P1863),INDEX(PARAMETROS_CULTURAS!$K$6:$K$28,$P1863)+(INDEX(PARAMETROS_CULTURAS!$L$6:$L$28,$P1863)-INDEX(PARAMETROS_CULTURAS!$K$6:$K$28,$P1863))*($O1863-INDEX(PARAMETROS_CULTURAS!$F$6:$F$28,$P1863))/MAX(INDEX(PARAMETROS_CULTURAS!$G$6:$G$28,$P1863),0.0001),IF($O1863&lt;=INDEX(PARAMETROS_CULTURAS!$F$6:$F$28,$P1863)+INDEX(PARAMETROS_CULTURAS!$G$6:$G$28,$P1863)+INDEX(PARAMETROS_CULTURAS!$H$6:$H$28,$P1863),INDEX(PARAMETROS_CULTURAS!$L$6:$L$28,$P1863),INDEX(PARAMETROS_CULTURAS!$L$6:$L$28,$P1863)+(INDEX(PARAMETROS_CULTURAS!$M$6:$M$28,$P1863)-INDEX(PARAMETROS_CULTURAS!$L$6:$L$28,$P1863))*($O1863-INDEX(PARAMETROS_CULTURAS!$F$6:$F$28,$P1863)-INDEX(PARAMETROS_CULTURAS!$G$6:$G$28,$P1863)-INDEX(PARAMETROS_CULTURAS!$H$6:$H$28,$P1863))/MAX(INDEX(PARAMETROS_CULTURAS!$I$6:$I$28,$P1863),0.0001)))))</f>
        <v>0</v>
      </c>
      <c r="S1863" s="18" t="n">
        <f aca="false">IFERROR(INDEX(SEMANAS!$H$6:$H$71,MATCH($B1863,SEMANAS!$B$6:$B$71,0)),0)</f>
        <v>34.3</v>
      </c>
      <c r="T1863" s="18" t="n">
        <f aca="false">$R1863*$S1863</f>
        <v>0</v>
      </c>
      <c r="U1863" s="18" t="n">
        <f aca="false">IFERROR(INDEX(SEMANAS!$I$6:$I$71,MATCH($B1863,SEMANAS!$B$6:$B$71,0)),0)</f>
        <v>46.69</v>
      </c>
      <c r="V1863" s="18" t="n">
        <f aca="false">IFERROR(INDEX(SEMANAS!$J$6:$J$71,MATCH($B1863,SEMANAS!$B$6:$B$71,0)),0)</f>
        <v>37.352</v>
      </c>
      <c r="W1863" s="18" t="n">
        <f aca="false">MAX(0,$T1863-$V1863)</f>
        <v>0</v>
      </c>
      <c r="X1863" s="19" t="n">
        <f aca="false">IFERROR(INDEX(CADASTRO_PIVOS!$K$6:$K$41,MATCH($E1863,CADASTRO_PIVOS!$B$6:$B$41,0)),EFICIENCIA_PADRAO)</f>
        <v>0.85</v>
      </c>
      <c r="Y1863" s="18" t="n">
        <f aca="false">IF($X1863&lt;=0,0,$W1863/$X1863)</f>
        <v>0</v>
      </c>
      <c r="Z1863" s="16" t="n">
        <f aca="false">$Y1863*$H1863*MM_PARA_M3_HA</f>
        <v>0</v>
      </c>
      <c r="AA1863" s="18" t="n">
        <f aca="false">IFERROR(INDEX(CADASTRO_PIVOS!$I$6:$I$41,MATCH($E1863,CADASTRO_PIVOS!$B$6:$B$41,0)),0)</f>
        <v>710.571428571429</v>
      </c>
      <c r="AB1863" s="18" t="n">
        <f aca="false">IF($Z1863&lt;=0,0,$Z1863/$AA1863)</f>
        <v>0</v>
      </c>
      <c r="AC1863" s="16" t="n">
        <f aca="false">IFERROR(INDEX(SEMANAS!$K$6:$K$71,MATCH($B1863,SEMANAS!$B$6:$B$71,0)),0)</f>
        <v>147</v>
      </c>
      <c r="AD1863" s="19" t="n">
        <f aca="false">IF($AC1863&lt;=0,0,$AB1863/$AC1863)</f>
        <v>0</v>
      </c>
      <c r="AE1863" s="8" t="str">
        <f aca="false">IF($K1863="SEM CULTURA","SEM CULTURA",IF($AA1863&lt;=0,"DADO PENDENTE",IF($AD1863&gt;LIMITE_CRITICO,"INVIAVEL",IF($AD1863&gt;LIMITE_ATENCAO,"CRITICO",IF($AD1863&gt;LIMITE_CONFORTAVEL,"ATENCAO","OK")))))</f>
        <v>SEM CULTURA</v>
      </c>
      <c r="AF1863" s="8" t="str">
        <f aca="false">$B1863&amp;"|"&amp;TEXT($AD1863,"0.000000")</f>
        <v>10|0.000000</v>
      </c>
      <c r="AG1863" s="18" t="n">
        <f aca="false">IF($K1863="SEM CULTURA",0,$T1863*$H1863)</f>
        <v>0</v>
      </c>
      <c r="AH1863" s="18" t="n">
        <f aca="false">IF($K1863="SEM CULTURA",0,$V1863*$H1863)</f>
        <v>0</v>
      </c>
      <c r="AI1863" s="18" t="n">
        <f aca="false">IF($K1863="SEM CULTURA",0,$W1863*$H1863)</f>
        <v>0</v>
      </c>
      <c r="AJ1863" s="18" t="n">
        <f aca="false">IF($K1863="SEM CULTURA",0,$S1863*$H1863)</f>
        <v>0</v>
      </c>
      <c r="AK1863" s="8" t="str">
        <f aca="false">$E1863&amp;"|"&amp;TEXT($AD1863,"0.000000")</f>
        <v>PV 125|0.000000</v>
      </c>
    </row>
    <row r="1864" customFormat="false" ht="15" hidden="false" customHeight="false" outlineLevel="0" collapsed="false">
      <c r="B1864" s="16" t="n">
        <v>11</v>
      </c>
      <c r="C1864" s="17" t="n">
        <f aca="false">DATA_INICIO_SAFRA+($B1864-1)*DIAS_POR_SEMANA</f>
        <v>46335</v>
      </c>
      <c r="D1864" s="17" t="n">
        <f aca="false">$C1864+DIAS_POR_SEMANA-1</f>
        <v>46341</v>
      </c>
      <c r="E1864" s="15" t="s">
        <v>287</v>
      </c>
      <c r="F1864" s="8" t="str">
        <f aca="false">IFERROR(INDEX(CADASTRO_PIVOS!$C$6:$C$41,MATCH($E1864,CADASTRO_PIVOS!$B$6:$B$41,0)),"?")</f>
        <v>RM07</v>
      </c>
      <c r="G1864" s="8" t="str">
        <f aca="false">IFERROR(INDEX(CADASTRO_PIVOS!$D$6:$D$41,MATCH($E1864,CADASTRO_PIVOS!$B$6:$B$41,0)),"?")</f>
        <v>TR07</v>
      </c>
      <c r="H1864" s="20" t="n">
        <f aca="false">IFERROR(INDEX(CADASTRO_PIVOS!$E$6:$E$41,MATCH($E1864,CADASTRO_PIVOS!$B$6:$B$41,0)),0)</f>
        <v>99.48</v>
      </c>
      <c r="I1864" s="16" t="n">
        <f aca="false">IFERROR(SUMIFS(ROTACAO_RDM!$B$6:$B$71,ROTACAO_RDM!$D$6:$D$71,$E1864,ROTACAO_RDM!$I$6:$I$71,"&lt;="&amp;$C1864+INT(DIAS_POR_SEMANA/2),ROTACAO_RDM!$J$6:$J$71,"&gt;="&amp;$C1864+INT(DIAS_POR_SEMANA/2)),0)</f>
        <v>0</v>
      </c>
      <c r="J1864" s="16" t="n">
        <f aca="false">IFERROR(MATCH($I1864,ROTACAO_RDM!$B$6:$B$71,0),0)</f>
        <v>0</v>
      </c>
      <c r="K1864" s="8" t="str">
        <f aca="false">IF($J1864=0,"SEM CULTURA",INDEX(ROTACAO_RDM!$F$6:$F$71,$J1864))</f>
        <v>SEM CULTURA</v>
      </c>
      <c r="L1864" s="8" t="str">
        <f aca="false">IF($J1864=0,"",INDEX(ROTACAO_RDM!$G$6:$G$71,$J1864))</f>
        <v/>
      </c>
      <c r="M1864" s="17" t="str">
        <f aca="false">IF($J1864=0,"",INDEX(ROTACAO_RDM!$I$6:$I$71,$J1864))</f>
        <v/>
      </c>
      <c r="N1864" s="16" t="n">
        <f aca="false">IF($J1864=0,0,MAX(0,$C1864+INT(DIAS_POR_SEMANA/2)-INDEX(ROTACAO_RDM!$I$6:$I$71,$J1864)))</f>
        <v>0</v>
      </c>
      <c r="O1864" s="19" t="n">
        <f aca="false">IF($J1864=0,0,MIN(1,$N1864/MAX(1,INDEX(ROTACAO_RDM!$K$6:$K$71,$J1864))))</f>
        <v>0</v>
      </c>
      <c r="P1864" s="16" t="n">
        <f aca="false">IF($J1864=0,0,IFERROR(MATCH(INDEX(ROTACAO_RDM!$N$6:$N$71,$J1864),PARAMETROS_CULTURAS!$B$6:$B$28,0),0))</f>
        <v>0</v>
      </c>
      <c r="Q1864" s="8" t="str">
        <f aca="false">IF($P1864=0,"-",IF($O1864&lt;=INDEX(PARAMETROS_CULTURAS!$F$6:$F$28,$P1864),"INICIAL",IF($O1864&lt;=INDEX(PARAMETROS_CULTURAS!$F$6:$F$28,$P1864)+INDEX(PARAMETROS_CULTURAS!$G$6:$G$28,$P1864),"DESENVOLVIMENTO",IF($O1864&lt;=INDEX(PARAMETROS_CULTURAS!$F$6:$F$28,$P1864)+INDEX(PARAMETROS_CULTURAS!$G$6:$G$28,$P1864)+INDEX(PARAMETROS_CULTURAS!$H$6:$H$28,$P1864),"MEDIA","FINAL"))))</f>
        <v>-</v>
      </c>
      <c r="R1864" s="24" t="n">
        <f aca="false">IF($P1864=0,0,IF($O1864&lt;=INDEX(PARAMETROS_CULTURAS!$F$6:$F$28,$P1864),INDEX(PARAMETROS_CULTURAS!$K$6:$K$28,$P1864),IF($O1864&lt;=INDEX(PARAMETROS_CULTURAS!$F$6:$F$28,$P1864)+INDEX(PARAMETROS_CULTURAS!$G$6:$G$28,$P1864),INDEX(PARAMETROS_CULTURAS!$K$6:$K$28,$P1864)+(INDEX(PARAMETROS_CULTURAS!$L$6:$L$28,$P1864)-INDEX(PARAMETROS_CULTURAS!$K$6:$K$28,$P1864))*($O1864-INDEX(PARAMETROS_CULTURAS!$F$6:$F$28,$P1864))/MAX(INDEX(PARAMETROS_CULTURAS!$G$6:$G$28,$P1864),0.0001),IF($O1864&lt;=INDEX(PARAMETROS_CULTURAS!$F$6:$F$28,$P1864)+INDEX(PARAMETROS_CULTURAS!$G$6:$G$28,$P1864)+INDEX(PARAMETROS_CULTURAS!$H$6:$H$28,$P1864),INDEX(PARAMETROS_CULTURAS!$L$6:$L$28,$P1864),INDEX(PARAMETROS_CULTURAS!$L$6:$L$28,$P1864)+(INDEX(PARAMETROS_CULTURAS!$M$6:$M$28,$P1864)-INDEX(PARAMETROS_CULTURAS!$L$6:$L$28,$P1864))*($O1864-INDEX(PARAMETROS_CULTURAS!$F$6:$F$28,$P1864)-INDEX(PARAMETROS_CULTURAS!$G$6:$G$28,$P1864)-INDEX(PARAMETROS_CULTURAS!$H$6:$H$28,$P1864))/MAX(INDEX(PARAMETROS_CULTURAS!$I$6:$I$28,$P1864),0.0001)))))</f>
        <v>0</v>
      </c>
      <c r="S1864" s="18" t="n">
        <f aca="false">IFERROR(INDEX(SEMANAS!$H$6:$H$71,MATCH($B1864,SEMANAS!$B$6:$B$71,0)),0)</f>
        <v>34.3</v>
      </c>
      <c r="T1864" s="18" t="n">
        <f aca="false">$R1864*$S1864</f>
        <v>0</v>
      </c>
      <c r="U1864" s="18" t="n">
        <f aca="false">IFERROR(INDEX(SEMANAS!$I$6:$I$71,MATCH($B1864,SEMANAS!$B$6:$B$71,0)),0)</f>
        <v>46.69</v>
      </c>
      <c r="V1864" s="18" t="n">
        <f aca="false">IFERROR(INDEX(SEMANAS!$J$6:$J$71,MATCH($B1864,SEMANAS!$B$6:$B$71,0)),0)</f>
        <v>37.352</v>
      </c>
      <c r="W1864" s="18" t="n">
        <f aca="false">MAX(0,$T1864-$V1864)</f>
        <v>0</v>
      </c>
      <c r="X1864" s="19" t="n">
        <f aca="false">IFERROR(INDEX(CADASTRO_PIVOS!$K$6:$K$41,MATCH($E1864,CADASTRO_PIVOS!$B$6:$B$41,0)),EFICIENCIA_PADRAO)</f>
        <v>0.85</v>
      </c>
      <c r="Y1864" s="18" t="n">
        <f aca="false">IF($X1864&lt;=0,0,$W1864/$X1864)</f>
        <v>0</v>
      </c>
      <c r="Z1864" s="16" t="n">
        <f aca="false">$Y1864*$H1864*MM_PARA_M3_HA</f>
        <v>0</v>
      </c>
      <c r="AA1864" s="18" t="n">
        <f aca="false">IFERROR(INDEX(CADASTRO_PIVOS!$I$6:$I$41,MATCH($E1864,CADASTRO_PIVOS!$B$6:$B$41,0)),0)</f>
        <v>710.571428571429</v>
      </c>
      <c r="AB1864" s="18" t="n">
        <f aca="false">IF($Z1864&lt;=0,0,$Z1864/$AA1864)</f>
        <v>0</v>
      </c>
      <c r="AC1864" s="16" t="n">
        <f aca="false">IFERROR(INDEX(SEMANAS!$K$6:$K$71,MATCH($B1864,SEMANAS!$B$6:$B$71,0)),0)</f>
        <v>147</v>
      </c>
      <c r="AD1864" s="19" t="n">
        <f aca="false">IF($AC1864&lt;=0,0,$AB1864/$AC1864)</f>
        <v>0</v>
      </c>
      <c r="AE1864" s="8" t="str">
        <f aca="false">IF($K1864="SEM CULTURA","SEM CULTURA",IF($AA1864&lt;=0,"DADO PENDENTE",IF($AD1864&gt;LIMITE_CRITICO,"INVIAVEL",IF($AD1864&gt;LIMITE_ATENCAO,"CRITICO",IF($AD1864&gt;LIMITE_CONFORTAVEL,"ATENCAO","OK")))))</f>
        <v>SEM CULTURA</v>
      </c>
      <c r="AF1864" s="8" t="str">
        <f aca="false">$B1864&amp;"|"&amp;TEXT($AD1864,"0.000000")</f>
        <v>11|0.000000</v>
      </c>
      <c r="AG1864" s="18" t="n">
        <f aca="false">IF($K1864="SEM CULTURA",0,$T1864*$H1864)</f>
        <v>0</v>
      </c>
      <c r="AH1864" s="18" t="n">
        <f aca="false">IF($K1864="SEM CULTURA",0,$V1864*$H1864)</f>
        <v>0</v>
      </c>
      <c r="AI1864" s="18" t="n">
        <f aca="false">IF($K1864="SEM CULTURA",0,$W1864*$H1864)</f>
        <v>0</v>
      </c>
      <c r="AJ1864" s="18" t="n">
        <f aca="false">IF($K1864="SEM CULTURA",0,$S1864*$H1864)</f>
        <v>0</v>
      </c>
      <c r="AK1864" s="8" t="str">
        <f aca="false">$E1864&amp;"|"&amp;TEXT($AD1864,"0.000000")</f>
        <v>PV 125|0.000000</v>
      </c>
    </row>
    <row r="1865" customFormat="false" ht="15" hidden="false" customHeight="false" outlineLevel="0" collapsed="false">
      <c r="B1865" s="16" t="n">
        <v>12</v>
      </c>
      <c r="C1865" s="17" t="n">
        <f aca="false">DATA_INICIO_SAFRA+($B1865-1)*DIAS_POR_SEMANA</f>
        <v>46342</v>
      </c>
      <c r="D1865" s="17" t="n">
        <f aca="false">$C1865+DIAS_POR_SEMANA-1</f>
        <v>46348</v>
      </c>
      <c r="E1865" s="15" t="s">
        <v>287</v>
      </c>
      <c r="F1865" s="8" t="str">
        <f aca="false">IFERROR(INDEX(CADASTRO_PIVOS!$C$6:$C$41,MATCH($E1865,CADASTRO_PIVOS!$B$6:$B$41,0)),"?")</f>
        <v>RM07</v>
      </c>
      <c r="G1865" s="8" t="str">
        <f aca="false">IFERROR(INDEX(CADASTRO_PIVOS!$D$6:$D$41,MATCH($E1865,CADASTRO_PIVOS!$B$6:$B$41,0)),"?")</f>
        <v>TR07</v>
      </c>
      <c r="H1865" s="20" t="n">
        <f aca="false">IFERROR(INDEX(CADASTRO_PIVOS!$E$6:$E$41,MATCH($E1865,CADASTRO_PIVOS!$B$6:$B$41,0)),0)</f>
        <v>99.48</v>
      </c>
      <c r="I1865" s="16" t="n">
        <f aca="false">IFERROR(SUMIFS(ROTACAO_RDM!$B$6:$B$71,ROTACAO_RDM!$D$6:$D$71,$E1865,ROTACAO_RDM!$I$6:$I$71,"&lt;="&amp;$C1865+INT(DIAS_POR_SEMANA/2),ROTACAO_RDM!$J$6:$J$71,"&gt;="&amp;$C1865+INT(DIAS_POR_SEMANA/2)),0)</f>
        <v>0</v>
      </c>
      <c r="J1865" s="16" t="n">
        <f aca="false">IFERROR(MATCH($I1865,ROTACAO_RDM!$B$6:$B$71,0),0)</f>
        <v>0</v>
      </c>
      <c r="K1865" s="8" t="str">
        <f aca="false">IF($J1865=0,"SEM CULTURA",INDEX(ROTACAO_RDM!$F$6:$F$71,$J1865))</f>
        <v>SEM CULTURA</v>
      </c>
      <c r="L1865" s="8" t="str">
        <f aca="false">IF($J1865=0,"",INDEX(ROTACAO_RDM!$G$6:$G$71,$J1865))</f>
        <v/>
      </c>
      <c r="M1865" s="17" t="str">
        <f aca="false">IF($J1865=0,"",INDEX(ROTACAO_RDM!$I$6:$I$71,$J1865))</f>
        <v/>
      </c>
      <c r="N1865" s="16" t="n">
        <f aca="false">IF($J1865=0,0,MAX(0,$C1865+INT(DIAS_POR_SEMANA/2)-INDEX(ROTACAO_RDM!$I$6:$I$71,$J1865)))</f>
        <v>0</v>
      </c>
      <c r="O1865" s="19" t="n">
        <f aca="false">IF($J1865=0,0,MIN(1,$N1865/MAX(1,INDEX(ROTACAO_RDM!$K$6:$K$71,$J1865))))</f>
        <v>0</v>
      </c>
      <c r="P1865" s="16" t="n">
        <f aca="false">IF($J1865=0,0,IFERROR(MATCH(INDEX(ROTACAO_RDM!$N$6:$N$71,$J1865),PARAMETROS_CULTURAS!$B$6:$B$28,0),0))</f>
        <v>0</v>
      </c>
      <c r="Q1865" s="8" t="str">
        <f aca="false">IF($P1865=0,"-",IF($O1865&lt;=INDEX(PARAMETROS_CULTURAS!$F$6:$F$28,$P1865),"INICIAL",IF($O1865&lt;=INDEX(PARAMETROS_CULTURAS!$F$6:$F$28,$P1865)+INDEX(PARAMETROS_CULTURAS!$G$6:$G$28,$P1865),"DESENVOLVIMENTO",IF($O1865&lt;=INDEX(PARAMETROS_CULTURAS!$F$6:$F$28,$P1865)+INDEX(PARAMETROS_CULTURAS!$G$6:$G$28,$P1865)+INDEX(PARAMETROS_CULTURAS!$H$6:$H$28,$P1865),"MEDIA","FINAL"))))</f>
        <v>-</v>
      </c>
      <c r="R1865" s="24" t="n">
        <f aca="false">IF($P1865=0,0,IF($O1865&lt;=INDEX(PARAMETROS_CULTURAS!$F$6:$F$28,$P1865),INDEX(PARAMETROS_CULTURAS!$K$6:$K$28,$P1865),IF($O1865&lt;=INDEX(PARAMETROS_CULTURAS!$F$6:$F$28,$P1865)+INDEX(PARAMETROS_CULTURAS!$G$6:$G$28,$P1865),INDEX(PARAMETROS_CULTURAS!$K$6:$K$28,$P1865)+(INDEX(PARAMETROS_CULTURAS!$L$6:$L$28,$P1865)-INDEX(PARAMETROS_CULTURAS!$K$6:$K$28,$P1865))*($O1865-INDEX(PARAMETROS_CULTURAS!$F$6:$F$28,$P1865))/MAX(INDEX(PARAMETROS_CULTURAS!$G$6:$G$28,$P1865),0.0001),IF($O1865&lt;=INDEX(PARAMETROS_CULTURAS!$F$6:$F$28,$P1865)+INDEX(PARAMETROS_CULTURAS!$G$6:$G$28,$P1865)+INDEX(PARAMETROS_CULTURAS!$H$6:$H$28,$P1865),INDEX(PARAMETROS_CULTURAS!$L$6:$L$28,$P1865),INDEX(PARAMETROS_CULTURAS!$L$6:$L$28,$P1865)+(INDEX(PARAMETROS_CULTURAS!$M$6:$M$28,$P1865)-INDEX(PARAMETROS_CULTURAS!$L$6:$L$28,$P1865))*($O1865-INDEX(PARAMETROS_CULTURAS!$F$6:$F$28,$P1865)-INDEX(PARAMETROS_CULTURAS!$G$6:$G$28,$P1865)-INDEX(PARAMETROS_CULTURAS!$H$6:$H$28,$P1865))/MAX(INDEX(PARAMETROS_CULTURAS!$I$6:$I$28,$P1865),0.0001)))))</f>
        <v>0</v>
      </c>
      <c r="S1865" s="18" t="n">
        <f aca="false">IFERROR(INDEX(SEMANAS!$H$6:$H$71,MATCH($B1865,SEMANAS!$B$6:$B$71,0)),0)</f>
        <v>34.3</v>
      </c>
      <c r="T1865" s="18" t="n">
        <f aca="false">$R1865*$S1865</f>
        <v>0</v>
      </c>
      <c r="U1865" s="18" t="n">
        <f aca="false">IFERROR(INDEX(SEMANAS!$I$6:$I$71,MATCH($B1865,SEMANAS!$B$6:$B$71,0)),0)</f>
        <v>46.69</v>
      </c>
      <c r="V1865" s="18" t="n">
        <f aca="false">IFERROR(INDEX(SEMANAS!$J$6:$J$71,MATCH($B1865,SEMANAS!$B$6:$B$71,0)),0)</f>
        <v>37.352</v>
      </c>
      <c r="W1865" s="18" t="n">
        <f aca="false">MAX(0,$T1865-$V1865)</f>
        <v>0</v>
      </c>
      <c r="X1865" s="19" t="n">
        <f aca="false">IFERROR(INDEX(CADASTRO_PIVOS!$K$6:$K$41,MATCH($E1865,CADASTRO_PIVOS!$B$6:$B$41,0)),EFICIENCIA_PADRAO)</f>
        <v>0.85</v>
      </c>
      <c r="Y1865" s="18" t="n">
        <f aca="false">IF($X1865&lt;=0,0,$W1865/$X1865)</f>
        <v>0</v>
      </c>
      <c r="Z1865" s="16" t="n">
        <f aca="false">$Y1865*$H1865*MM_PARA_M3_HA</f>
        <v>0</v>
      </c>
      <c r="AA1865" s="18" t="n">
        <f aca="false">IFERROR(INDEX(CADASTRO_PIVOS!$I$6:$I$41,MATCH($E1865,CADASTRO_PIVOS!$B$6:$B$41,0)),0)</f>
        <v>710.571428571429</v>
      </c>
      <c r="AB1865" s="18" t="n">
        <f aca="false">IF($Z1865&lt;=0,0,$Z1865/$AA1865)</f>
        <v>0</v>
      </c>
      <c r="AC1865" s="16" t="n">
        <f aca="false">IFERROR(INDEX(SEMANAS!$K$6:$K$71,MATCH($B1865,SEMANAS!$B$6:$B$71,0)),0)</f>
        <v>147</v>
      </c>
      <c r="AD1865" s="19" t="n">
        <f aca="false">IF($AC1865&lt;=0,0,$AB1865/$AC1865)</f>
        <v>0</v>
      </c>
      <c r="AE1865" s="8" t="str">
        <f aca="false">IF($K1865="SEM CULTURA","SEM CULTURA",IF($AA1865&lt;=0,"DADO PENDENTE",IF($AD1865&gt;LIMITE_CRITICO,"INVIAVEL",IF($AD1865&gt;LIMITE_ATENCAO,"CRITICO",IF($AD1865&gt;LIMITE_CONFORTAVEL,"ATENCAO","OK")))))</f>
        <v>SEM CULTURA</v>
      </c>
      <c r="AF1865" s="8" t="str">
        <f aca="false">$B1865&amp;"|"&amp;TEXT($AD1865,"0.000000")</f>
        <v>12|0.000000</v>
      </c>
      <c r="AG1865" s="18" t="n">
        <f aca="false">IF($K1865="SEM CULTURA",0,$T1865*$H1865)</f>
        <v>0</v>
      </c>
      <c r="AH1865" s="18" t="n">
        <f aca="false">IF($K1865="SEM CULTURA",0,$V1865*$H1865)</f>
        <v>0</v>
      </c>
      <c r="AI1865" s="18" t="n">
        <f aca="false">IF($K1865="SEM CULTURA",0,$W1865*$H1865)</f>
        <v>0</v>
      </c>
      <c r="AJ1865" s="18" t="n">
        <f aca="false">IF($K1865="SEM CULTURA",0,$S1865*$H1865)</f>
        <v>0</v>
      </c>
      <c r="AK1865" s="8" t="str">
        <f aca="false">$E1865&amp;"|"&amp;TEXT($AD1865,"0.000000")</f>
        <v>PV 125|0.000000</v>
      </c>
    </row>
    <row r="1866" customFormat="false" ht="15" hidden="false" customHeight="false" outlineLevel="0" collapsed="false">
      <c r="B1866" s="16" t="n">
        <v>13</v>
      </c>
      <c r="C1866" s="17" t="n">
        <f aca="false">DATA_INICIO_SAFRA+($B1866-1)*DIAS_POR_SEMANA</f>
        <v>46349</v>
      </c>
      <c r="D1866" s="17" t="n">
        <f aca="false">$C1866+DIAS_POR_SEMANA-1</f>
        <v>46355</v>
      </c>
      <c r="E1866" s="15" t="s">
        <v>287</v>
      </c>
      <c r="F1866" s="8" t="str">
        <f aca="false">IFERROR(INDEX(CADASTRO_PIVOS!$C$6:$C$41,MATCH($E1866,CADASTRO_PIVOS!$B$6:$B$41,0)),"?")</f>
        <v>RM07</v>
      </c>
      <c r="G1866" s="8" t="str">
        <f aca="false">IFERROR(INDEX(CADASTRO_PIVOS!$D$6:$D$41,MATCH($E1866,CADASTRO_PIVOS!$B$6:$B$41,0)),"?")</f>
        <v>TR07</v>
      </c>
      <c r="H1866" s="20" t="n">
        <f aca="false">IFERROR(INDEX(CADASTRO_PIVOS!$E$6:$E$41,MATCH($E1866,CADASTRO_PIVOS!$B$6:$B$41,0)),0)</f>
        <v>99.48</v>
      </c>
      <c r="I1866" s="16" t="n">
        <f aca="false">IFERROR(SUMIFS(ROTACAO_RDM!$B$6:$B$71,ROTACAO_RDM!$D$6:$D$71,$E1866,ROTACAO_RDM!$I$6:$I$71,"&lt;="&amp;$C1866+INT(DIAS_POR_SEMANA/2),ROTACAO_RDM!$J$6:$J$71,"&gt;="&amp;$C1866+INT(DIAS_POR_SEMANA/2)),0)</f>
        <v>0</v>
      </c>
      <c r="J1866" s="16" t="n">
        <f aca="false">IFERROR(MATCH($I1866,ROTACAO_RDM!$B$6:$B$71,0),0)</f>
        <v>0</v>
      </c>
      <c r="K1866" s="8" t="str">
        <f aca="false">IF($J1866=0,"SEM CULTURA",INDEX(ROTACAO_RDM!$F$6:$F$71,$J1866))</f>
        <v>SEM CULTURA</v>
      </c>
      <c r="L1866" s="8" t="str">
        <f aca="false">IF($J1866=0,"",INDEX(ROTACAO_RDM!$G$6:$G$71,$J1866))</f>
        <v/>
      </c>
      <c r="M1866" s="17" t="str">
        <f aca="false">IF($J1866=0,"",INDEX(ROTACAO_RDM!$I$6:$I$71,$J1866))</f>
        <v/>
      </c>
      <c r="N1866" s="16" t="n">
        <f aca="false">IF($J1866=0,0,MAX(0,$C1866+INT(DIAS_POR_SEMANA/2)-INDEX(ROTACAO_RDM!$I$6:$I$71,$J1866)))</f>
        <v>0</v>
      </c>
      <c r="O1866" s="19" t="n">
        <f aca="false">IF($J1866=0,0,MIN(1,$N1866/MAX(1,INDEX(ROTACAO_RDM!$K$6:$K$71,$J1866))))</f>
        <v>0</v>
      </c>
      <c r="P1866" s="16" t="n">
        <f aca="false">IF($J1866=0,0,IFERROR(MATCH(INDEX(ROTACAO_RDM!$N$6:$N$71,$J1866),PARAMETROS_CULTURAS!$B$6:$B$28,0),0))</f>
        <v>0</v>
      </c>
      <c r="Q1866" s="8" t="str">
        <f aca="false">IF($P1866=0,"-",IF($O1866&lt;=INDEX(PARAMETROS_CULTURAS!$F$6:$F$28,$P1866),"INICIAL",IF($O1866&lt;=INDEX(PARAMETROS_CULTURAS!$F$6:$F$28,$P1866)+INDEX(PARAMETROS_CULTURAS!$G$6:$G$28,$P1866),"DESENVOLVIMENTO",IF($O1866&lt;=INDEX(PARAMETROS_CULTURAS!$F$6:$F$28,$P1866)+INDEX(PARAMETROS_CULTURAS!$G$6:$G$28,$P1866)+INDEX(PARAMETROS_CULTURAS!$H$6:$H$28,$P1866),"MEDIA","FINAL"))))</f>
        <v>-</v>
      </c>
      <c r="R1866" s="24" t="n">
        <f aca="false">IF($P1866=0,0,IF($O1866&lt;=INDEX(PARAMETROS_CULTURAS!$F$6:$F$28,$P1866),INDEX(PARAMETROS_CULTURAS!$K$6:$K$28,$P1866),IF($O1866&lt;=INDEX(PARAMETROS_CULTURAS!$F$6:$F$28,$P1866)+INDEX(PARAMETROS_CULTURAS!$G$6:$G$28,$P1866),INDEX(PARAMETROS_CULTURAS!$K$6:$K$28,$P1866)+(INDEX(PARAMETROS_CULTURAS!$L$6:$L$28,$P1866)-INDEX(PARAMETROS_CULTURAS!$K$6:$K$28,$P1866))*($O1866-INDEX(PARAMETROS_CULTURAS!$F$6:$F$28,$P1866))/MAX(INDEX(PARAMETROS_CULTURAS!$G$6:$G$28,$P1866),0.0001),IF($O1866&lt;=INDEX(PARAMETROS_CULTURAS!$F$6:$F$28,$P1866)+INDEX(PARAMETROS_CULTURAS!$G$6:$G$28,$P1866)+INDEX(PARAMETROS_CULTURAS!$H$6:$H$28,$P1866),INDEX(PARAMETROS_CULTURAS!$L$6:$L$28,$P1866),INDEX(PARAMETROS_CULTURAS!$L$6:$L$28,$P1866)+(INDEX(PARAMETROS_CULTURAS!$M$6:$M$28,$P1866)-INDEX(PARAMETROS_CULTURAS!$L$6:$L$28,$P1866))*($O1866-INDEX(PARAMETROS_CULTURAS!$F$6:$F$28,$P1866)-INDEX(PARAMETROS_CULTURAS!$G$6:$G$28,$P1866)-INDEX(PARAMETROS_CULTURAS!$H$6:$H$28,$P1866))/MAX(INDEX(PARAMETROS_CULTURAS!$I$6:$I$28,$P1866),0.0001)))))</f>
        <v>0</v>
      </c>
      <c r="S1866" s="18" t="n">
        <f aca="false">IFERROR(INDEX(SEMANAS!$H$6:$H$71,MATCH($B1866,SEMANAS!$B$6:$B$71,0)),0)</f>
        <v>34.3</v>
      </c>
      <c r="T1866" s="18" t="n">
        <f aca="false">$R1866*$S1866</f>
        <v>0</v>
      </c>
      <c r="U1866" s="18" t="n">
        <f aca="false">IFERROR(INDEX(SEMANAS!$I$6:$I$71,MATCH($B1866,SEMANAS!$B$6:$B$71,0)),0)</f>
        <v>46.69</v>
      </c>
      <c r="V1866" s="18" t="n">
        <f aca="false">IFERROR(INDEX(SEMANAS!$J$6:$J$71,MATCH($B1866,SEMANAS!$B$6:$B$71,0)),0)</f>
        <v>37.352</v>
      </c>
      <c r="W1866" s="18" t="n">
        <f aca="false">MAX(0,$T1866-$V1866)</f>
        <v>0</v>
      </c>
      <c r="X1866" s="19" t="n">
        <f aca="false">IFERROR(INDEX(CADASTRO_PIVOS!$K$6:$K$41,MATCH($E1866,CADASTRO_PIVOS!$B$6:$B$41,0)),EFICIENCIA_PADRAO)</f>
        <v>0.85</v>
      </c>
      <c r="Y1866" s="18" t="n">
        <f aca="false">IF($X1866&lt;=0,0,$W1866/$X1866)</f>
        <v>0</v>
      </c>
      <c r="Z1866" s="16" t="n">
        <f aca="false">$Y1866*$H1866*MM_PARA_M3_HA</f>
        <v>0</v>
      </c>
      <c r="AA1866" s="18" t="n">
        <f aca="false">IFERROR(INDEX(CADASTRO_PIVOS!$I$6:$I$41,MATCH($E1866,CADASTRO_PIVOS!$B$6:$B$41,0)),0)</f>
        <v>710.571428571429</v>
      </c>
      <c r="AB1866" s="18" t="n">
        <f aca="false">IF($Z1866&lt;=0,0,$Z1866/$AA1866)</f>
        <v>0</v>
      </c>
      <c r="AC1866" s="16" t="n">
        <f aca="false">IFERROR(INDEX(SEMANAS!$K$6:$K$71,MATCH($B1866,SEMANAS!$B$6:$B$71,0)),0)</f>
        <v>147</v>
      </c>
      <c r="AD1866" s="19" t="n">
        <f aca="false">IF($AC1866&lt;=0,0,$AB1866/$AC1866)</f>
        <v>0</v>
      </c>
      <c r="AE1866" s="8" t="str">
        <f aca="false">IF($K1866="SEM CULTURA","SEM CULTURA",IF($AA1866&lt;=0,"DADO PENDENTE",IF($AD1866&gt;LIMITE_CRITICO,"INVIAVEL",IF($AD1866&gt;LIMITE_ATENCAO,"CRITICO",IF($AD1866&gt;LIMITE_CONFORTAVEL,"ATENCAO","OK")))))</f>
        <v>SEM CULTURA</v>
      </c>
      <c r="AF1866" s="8" t="str">
        <f aca="false">$B1866&amp;"|"&amp;TEXT($AD1866,"0.000000")</f>
        <v>13|0.000000</v>
      </c>
      <c r="AG1866" s="18" t="n">
        <f aca="false">IF($K1866="SEM CULTURA",0,$T1866*$H1866)</f>
        <v>0</v>
      </c>
      <c r="AH1866" s="18" t="n">
        <f aca="false">IF($K1866="SEM CULTURA",0,$V1866*$H1866)</f>
        <v>0</v>
      </c>
      <c r="AI1866" s="18" t="n">
        <f aca="false">IF($K1866="SEM CULTURA",0,$W1866*$H1866)</f>
        <v>0</v>
      </c>
      <c r="AJ1866" s="18" t="n">
        <f aca="false">IF($K1866="SEM CULTURA",0,$S1866*$H1866)</f>
        <v>0</v>
      </c>
      <c r="AK1866" s="8" t="str">
        <f aca="false">$E1866&amp;"|"&amp;TEXT($AD1866,"0.000000")</f>
        <v>PV 125|0.000000</v>
      </c>
    </row>
    <row r="1867" customFormat="false" ht="15" hidden="false" customHeight="false" outlineLevel="0" collapsed="false">
      <c r="B1867" s="16" t="n">
        <v>14</v>
      </c>
      <c r="C1867" s="17" t="n">
        <f aca="false">DATA_INICIO_SAFRA+($B1867-1)*DIAS_POR_SEMANA</f>
        <v>46356</v>
      </c>
      <c r="D1867" s="17" t="n">
        <f aca="false">$C1867+DIAS_POR_SEMANA-1</f>
        <v>46362</v>
      </c>
      <c r="E1867" s="15" t="s">
        <v>287</v>
      </c>
      <c r="F1867" s="8" t="str">
        <f aca="false">IFERROR(INDEX(CADASTRO_PIVOS!$C$6:$C$41,MATCH($E1867,CADASTRO_PIVOS!$B$6:$B$41,0)),"?")</f>
        <v>RM07</v>
      </c>
      <c r="G1867" s="8" t="str">
        <f aca="false">IFERROR(INDEX(CADASTRO_PIVOS!$D$6:$D$41,MATCH($E1867,CADASTRO_PIVOS!$B$6:$B$41,0)),"?")</f>
        <v>TR07</v>
      </c>
      <c r="H1867" s="20" t="n">
        <f aca="false">IFERROR(INDEX(CADASTRO_PIVOS!$E$6:$E$41,MATCH($E1867,CADASTRO_PIVOS!$B$6:$B$41,0)),0)</f>
        <v>99.48</v>
      </c>
      <c r="I1867" s="16" t="n">
        <f aca="false">IFERROR(SUMIFS(ROTACAO_RDM!$B$6:$B$71,ROTACAO_RDM!$D$6:$D$71,$E1867,ROTACAO_RDM!$I$6:$I$71,"&lt;="&amp;$C1867+INT(DIAS_POR_SEMANA/2),ROTACAO_RDM!$J$6:$J$71,"&gt;="&amp;$C1867+INT(DIAS_POR_SEMANA/2)),0)</f>
        <v>47</v>
      </c>
      <c r="J1867" s="16" t="n">
        <f aca="false">IFERROR(MATCH($I1867,ROTACAO_RDM!$B$6:$B$71,0),0)</f>
        <v>47</v>
      </c>
      <c r="K1867" s="8" t="str">
        <f aca="false">IF($J1867=0,"SEM CULTURA",INDEX(ROTACAO_RDM!$F$6:$F$71,$J1867))</f>
        <v>ALGODAO</v>
      </c>
      <c r="L1867" s="8" t="str">
        <f aca="false">IF($J1867=0,"",INDEX(ROTACAO_RDM!$G$6:$G$71,$J1867))</f>
        <v>FM 974 GLT</v>
      </c>
      <c r="M1867" s="17" t="n">
        <f aca="false">IF($J1867=0,"",INDEX(ROTACAO_RDM!$I$6:$I$71,$J1867))</f>
        <v>46357</v>
      </c>
      <c r="N1867" s="16" t="n">
        <f aca="false">IF($J1867=0,0,MAX(0,$C1867+INT(DIAS_POR_SEMANA/2)-INDEX(ROTACAO_RDM!$I$6:$I$71,$J1867)))</f>
        <v>2</v>
      </c>
      <c r="O1867" s="19" t="n">
        <f aca="false">IF($J1867=0,0,MIN(1,$N1867/MAX(1,INDEX(ROTACAO_RDM!$K$6:$K$71,$J1867))))</f>
        <v>0.0102564102564103</v>
      </c>
      <c r="P1867" s="16" t="n">
        <f aca="false">IF($J1867=0,0,IFERROR(MATCH(INDEX(ROTACAO_RDM!$N$6:$N$71,$J1867),PARAMETROS_CULTURAS!$B$6:$B$28,0),0))</f>
        <v>5</v>
      </c>
      <c r="Q1867" s="8" t="str">
        <f aca="false">IF($P1867=0,"-",IF($O1867&lt;=INDEX(PARAMETROS_CULTURAS!$F$6:$F$28,$P1867),"INICIAL",IF($O1867&lt;=INDEX(PARAMETROS_CULTURAS!$F$6:$F$28,$P1867)+INDEX(PARAMETROS_CULTURAS!$G$6:$G$28,$P1867),"DESENVOLVIMENTO",IF($O1867&lt;=INDEX(PARAMETROS_CULTURAS!$F$6:$F$28,$P1867)+INDEX(PARAMETROS_CULTURAS!$G$6:$G$28,$P1867)+INDEX(PARAMETROS_CULTURAS!$H$6:$H$28,$P1867),"MEDIA","FINAL"))))</f>
        <v>INICIAL</v>
      </c>
      <c r="R1867" s="24" t="n">
        <f aca="false">IF($P1867=0,0,IF($O1867&lt;=INDEX(PARAMETROS_CULTURAS!$F$6:$F$28,$P1867),INDEX(PARAMETROS_CULTURAS!$K$6:$K$28,$P1867),IF($O1867&lt;=INDEX(PARAMETROS_CULTURAS!$F$6:$F$28,$P1867)+INDEX(PARAMETROS_CULTURAS!$G$6:$G$28,$P1867),INDEX(PARAMETROS_CULTURAS!$K$6:$K$28,$P1867)+(INDEX(PARAMETROS_CULTURAS!$L$6:$L$28,$P1867)-INDEX(PARAMETROS_CULTURAS!$K$6:$K$28,$P1867))*($O1867-INDEX(PARAMETROS_CULTURAS!$F$6:$F$28,$P1867))/MAX(INDEX(PARAMETROS_CULTURAS!$G$6:$G$28,$P1867),0.0001),IF($O1867&lt;=INDEX(PARAMETROS_CULTURAS!$F$6:$F$28,$P1867)+INDEX(PARAMETROS_CULTURAS!$G$6:$G$28,$P1867)+INDEX(PARAMETROS_CULTURAS!$H$6:$H$28,$P1867),INDEX(PARAMETROS_CULTURAS!$L$6:$L$28,$P1867),INDEX(PARAMETROS_CULTURAS!$L$6:$L$28,$P1867)+(INDEX(PARAMETROS_CULTURAS!$M$6:$M$28,$P1867)-INDEX(PARAMETROS_CULTURAS!$L$6:$L$28,$P1867))*($O1867-INDEX(PARAMETROS_CULTURAS!$F$6:$F$28,$P1867)-INDEX(PARAMETROS_CULTURAS!$G$6:$G$28,$P1867)-INDEX(PARAMETROS_CULTURAS!$H$6:$H$28,$P1867))/MAX(INDEX(PARAMETROS_CULTURAS!$I$6:$I$28,$P1867),0.0001)))))</f>
        <v>0.35</v>
      </c>
      <c r="S1867" s="18" t="n">
        <f aca="false">IFERROR(INDEX(SEMANAS!$H$6:$H$71,MATCH($B1867,SEMANAS!$B$6:$B$71,0)),0)</f>
        <v>33.1</v>
      </c>
      <c r="T1867" s="18" t="n">
        <f aca="false">$R1867*$S1867</f>
        <v>11.585</v>
      </c>
      <c r="U1867" s="18" t="n">
        <f aca="false">IFERROR(INDEX(SEMANAS!$I$6:$I$71,MATCH($B1867,SEMANAS!$B$6:$B$71,0)),0)</f>
        <v>48.31</v>
      </c>
      <c r="V1867" s="18" t="n">
        <f aca="false">IFERROR(INDEX(SEMANAS!$J$6:$J$71,MATCH($B1867,SEMANAS!$B$6:$B$71,0)),0)</f>
        <v>38.648</v>
      </c>
      <c r="W1867" s="18" t="n">
        <f aca="false">MAX(0,$T1867-$V1867)</f>
        <v>0</v>
      </c>
      <c r="X1867" s="19" t="n">
        <f aca="false">IFERROR(INDEX(CADASTRO_PIVOS!$K$6:$K$41,MATCH($E1867,CADASTRO_PIVOS!$B$6:$B$41,0)),EFICIENCIA_PADRAO)</f>
        <v>0.85</v>
      </c>
      <c r="Y1867" s="18" t="n">
        <f aca="false">IF($X1867&lt;=0,0,$W1867/$X1867)</f>
        <v>0</v>
      </c>
      <c r="Z1867" s="16" t="n">
        <f aca="false">$Y1867*$H1867*MM_PARA_M3_HA</f>
        <v>0</v>
      </c>
      <c r="AA1867" s="18" t="n">
        <f aca="false">IFERROR(INDEX(CADASTRO_PIVOS!$I$6:$I$41,MATCH($E1867,CADASTRO_PIVOS!$B$6:$B$41,0)),0)</f>
        <v>710.571428571429</v>
      </c>
      <c r="AB1867" s="18" t="n">
        <f aca="false">IF($Z1867&lt;=0,0,$Z1867/$AA1867)</f>
        <v>0</v>
      </c>
      <c r="AC1867" s="16" t="n">
        <f aca="false">IFERROR(INDEX(SEMANAS!$K$6:$K$71,MATCH($B1867,SEMANAS!$B$6:$B$71,0)),0)</f>
        <v>147</v>
      </c>
      <c r="AD1867" s="19" t="n">
        <f aca="false">IF($AC1867&lt;=0,0,$AB1867/$AC1867)</f>
        <v>0</v>
      </c>
      <c r="AE1867" s="8" t="str">
        <f aca="false">IF($K1867="SEM CULTURA","SEM CULTURA",IF($AA1867&lt;=0,"DADO PENDENTE",IF($AD1867&gt;LIMITE_CRITICO,"INVIAVEL",IF($AD1867&gt;LIMITE_ATENCAO,"CRITICO",IF($AD1867&gt;LIMITE_CONFORTAVEL,"ATENCAO","OK")))))</f>
        <v>OK</v>
      </c>
      <c r="AF1867" s="8" t="str">
        <f aca="false">$B1867&amp;"|"&amp;TEXT($AD1867,"0.000000")</f>
        <v>14|0.000000</v>
      </c>
      <c r="AG1867" s="18" t="n">
        <f aca="false">IF($K1867="SEM CULTURA",0,$T1867*$H1867)</f>
        <v>1152.4758</v>
      </c>
      <c r="AH1867" s="18" t="n">
        <f aca="false">IF($K1867="SEM CULTURA",0,$V1867*$H1867)</f>
        <v>3844.70304</v>
      </c>
      <c r="AI1867" s="18" t="n">
        <f aca="false">IF($K1867="SEM CULTURA",0,$W1867*$H1867)</f>
        <v>0</v>
      </c>
      <c r="AJ1867" s="18" t="n">
        <f aca="false">IF($K1867="SEM CULTURA",0,$S1867*$H1867)</f>
        <v>3292.788</v>
      </c>
      <c r="AK1867" s="8" t="str">
        <f aca="false">$E1867&amp;"|"&amp;TEXT($AD1867,"0.000000")</f>
        <v>PV 125|0.000000</v>
      </c>
    </row>
    <row r="1868" customFormat="false" ht="15" hidden="false" customHeight="false" outlineLevel="0" collapsed="false">
      <c r="B1868" s="16" t="n">
        <v>15</v>
      </c>
      <c r="C1868" s="17" t="n">
        <f aca="false">DATA_INICIO_SAFRA+($B1868-1)*DIAS_POR_SEMANA</f>
        <v>46363</v>
      </c>
      <c r="D1868" s="17" t="n">
        <f aca="false">$C1868+DIAS_POR_SEMANA-1</f>
        <v>46369</v>
      </c>
      <c r="E1868" s="15" t="s">
        <v>287</v>
      </c>
      <c r="F1868" s="8" t="str">
        <f aca="false">IFERROR(INDEX(CADASTRO_PIVOS!$C$6:$C$41,MATCH($E1868,CADASTRO_PIVOS!$B$6:$B$41,0)),"?")</f>
        <v>RM07</v>
      </c>
      <c r="G1868" s="8" t="str">
        <f aca="false">IFERROR(INDEX(CADASTRO_PIVOS!$D$6:$D$41,MATCH($E1868,CADASTRO_PIVOS!$B$6:$B$41,0)),"?")</f>
        <v>TR07</v>
      </c>
      <c r="H1868" s="20" t="n">
        <f aca="false">IFERROR(INDEX(CADASTRO_PIVOS!$E$6:$E$41,MATCH($E1868,CADASTRO_PIVOS!$B$6:$B$41,0)),0)</f>
        <v>99.48</v>
      </c>
      <c r="I1868" s="16" t="n">
        <f aca="false">IFERROR(SUMIFS(ROTACAO_RDM!$B$6:$B$71,ROTACAO_RDM!$D$6:$D$71,$E1868,ROTACAO_RDM!$I$6:$I$71,"&lt;="&amp;$C1868+INT(DIAS_POR_SEMANA/2),ROTACAO_RDM!$J$6:$J$71,"&gt;="&amp;$C1868+INT(DIAS_POR_SEMANA/2)),0)</f>
        <v>47</v>
      </c>
      <c r="J1868" s="16" t="n">
        <f aca="false">IFERROR(MATCH($I1868,ROTACAO_RDM!$B$6:$B$71,0),0)</f>
        <v>47</v>
      </c>
      <c r="K1868" s="8" t="str">
        <f aca="false">IF($J1868=0,"SEM CULTURA",INDEX(ROTACAO_RDM!$F$6:$F$71,$J1868))</f>
        <v>ALGODAO</v>
      </c>
      <c r="L1868" s="8" t="str">
        <f aca="false">IF($J1868=0,"",INDEX(ROTACAO_RDM!$G$6:$G$71,$J1868))</f>
        <v>FM 974 GLT</v>
      </c>
      <c r="M1868" s="17" t="n">
        <f aca="false">IF($J1868=0,"",INDEX(ROTACAO_RDM!$I$6:$I$71,$J1868))</f>
        <v>46357</v>
      </c>
      <c r="N1868" s="16" t="n">
        <f aca="false">IF($J1868=0,0,MAX(0,$C1868+INT(DIAS_POR_SEMANA/2)-INDEX(ROTACAO_RDM!$I$6:$I$71,$J1868)))</f>
        <v>9</v>
      </c>
      <c r="O1868" s="19" t="n">
        <f aca="false">IF($J1868=0,0,MIN(1,$N1868/MAX(1,INDEX(ROTACAO_RDM!$K$6:$K$71,$J1868))))</f>
        <v>0.0461538461538462</v>
      </c>
      <c r="P1868" s="16" t="n">
        <f aca="false">IF($J1868=0,0,IFERROR(MATCH(INDEX(ROTACAO_RDM!$N$6:$N$71,$J1868),PARAMETROS_CULTURAS!$B$6:$B$28,0),0))</f>
        <v>5</v>
      </c>
      <c r="Q1868" s="8" t="str">
        <f aca="false">IF($P1868=0,"-",IF($O1868&lt;=INDEX(PARAMETROS_CULTURAS!$F$6:$F$28,$P1868),"INICIAL",IF($O1868&lt;=INDEX(PARAMETROS_CULTURAS!$F$6:$F$28,$P1868)+INDEX(PARAMETROS_CULTURAS!$G$6:$G$28,$P1868),"DESENVOLVIMENTO",IF($O1868&lt;=INDEX(PARAMETROS_CULTURAS!$F$6:$F$28,$P1868)+INDEX(PARAMETROS_CULTURAS!$G$6:$G$28,$P1868)+INDEX(PARAMETROS_CULTURAS!$H$6:$H$28,$P1868),"MEDIA","FINAL"))))</f>
        <v>INICIAL</v>
      </c>
      <c r="R1868" s="24" t="n">
        <f aca="false">IF($P1868=0,0,IF($O1868&lt;=INDEX(PARAMETROS_CULTURAS!$F$6:$F$28,$P1868),INDEX(PARAMETROS_CULTURAS!$K$6:$K$28,$P1868),IF($O1868&lt;=INDEX(PARAMETROS_CULTURAS!$F$6:$F$28,$P1868)+INDEX(PARAMETROS_CULTURAS!$G$6:$G$28,$P1868),INDEX(PARAMETROS_CULTURAS!$K$6:$K$28,$P1868)+(INDEX(PARAMETROS_CULTURAS!$L$6:$L$28,$P1868)-INDEX(PARAMETROS_CULTURAS!$K$6:$K$28,$P1868))*($O1868-INDEX(PARAMETROS_CULTURAS!$F$6:$F$28,$P1868))/MAX(INDEX(PARAMETROS_CULTURAS!$G$6:$G$28,$P1868),0.0001),IF($O1868&lt;=INDEX(PARAMETROS_CULTURAS!$F$6:$F$28,$P1868)+INDEX(PARAMETROS_CULTURAS!$G$6:$G$28,$P1868)+INDEX(PARAMETROS_CULTURAS!$H$6:$H$28,$P1868),INDEX(PARAMETROS_CULTURAS!$L$6:$L$28,$P1868),INDEX(PARAMETROS_CULTURAS!$L$6:$L$28,$P1868)+(INDEX(PARAMETROS_CULTURAS!$M$6:$M$28,$P1868)-INDEX(PARAMETROS_CULTURAS!$L$6:$L$28,$P1868))*($O1868-INDEX(PARAMETROS_CULTURAS!$F$6:$F$28,$P1868)-INDEX(PARAMETROS_CULTURAS!$G$6:$G$28,$P1868)-INDEX(PARAMETROS_CULTURAS!$H$6:$H$28,$P1868))/MAX(INDEX(PARAMETROS_CULTURAS!$I$6:$I$28,$P1868),0.0001)))))</f>
        <v>0.35</v>
      </c>
      <c r="S1868" s="18" t="n">
        <f aca="false">IFERROR(INDEX(SEMANAS!$H$6:$H$71,MATCH($B1868,SEMANAS!$B$6:$B$71,0)),0)</f>
        <v>32.9</v>
      </c>
      <c r="T1868" s="18" t="n">
        <f aca="false">$R1868*$S1868</f>
        <v>11.515</v>
      </c>
      <c r="U1868" s="18" t="n">
        <f aca="false">IFERROR(INDEX(SEMANAS!$I$6:$I$71,MATCH($B1868,SEMANAS!$B$6:$B$71,0)),0)</f>
        <v>48.58</v>
      </c>
      <c r="V1868" s="18" t="n">
        <f aca="false">IFERROR(INDEX(SEMANAS!$J$6:$J$71,MATCH($B1868,SEMANAS!$B$6:$B$71,0)),0)</f>
        <v>38.864</v>
      </c>
      <c r="W1868" s="18" t="n">
        <f aca="false">MAX(0,$T1868-$V1868)</f>
        <v>0</v>
      </c>
      <c r="X1868" s="19" t="n">
        <f aca="false">IFERROR(INDEX(CADASTRO_PIVOS!$K$6:$K$41,MATCH($E1868,CADASTRO_PIVOS!$B$6:$B$41,0)),EFICIENCIA_PADRAO)</f>
        <v>0.85</v>
      </c>
      <c r="Y1868" s="18" t="n">
        <f aca="false">IF($X1868&lt;=0,0,$W1868/$X1868)</f>
        <v>0</v>
      </c>
      <c r="Z1868" s="16" t="n">
        <f aca="false">$Y1868*$H1868*MM_PARA_M3_HA</f>
        <v>0</v>
      </c>
      <c r="AA1868" s="18" t="n">
        <f aca="false">IFERROR(INDEX(CADASTRO_PIVOS!$I$6:$I$41,MATCH($E1868,CADASTRO_PIVOS!$B$6:$B$41,0)),0)</f>
        <v>710.571428571429</v>
      </c>
      <c r="AB1868" s="18" t="n">
        <f aca="false">IF($Z1868&lt;=0,0,$Z1868/$AA1868)</f>
        <v>0</v>
      </c>
      <c r="AC1868" s="16" t="n">
        <f aca="false">IFERROR(INDEX(SEMANAS!$K$6:$K$71,MATCH($B1868,SEMANAS!$B$6:$B$71,0)),0)</f>
        <v>147</v>
      </c>
      <c r="AD1868" s="19" t="n">
        <f aca="false">IF($AC1868&lt;=0,0,$AB1868/$AC1868)</f>
        <v>0</v>
      </c>
      <c r="AE1868" s="8" t="str">
        <f aca="false">IF($K1868="SEM CULTURA","SEM CULTURA",IF($AA1868&lt;=0,"DADO PENDENTE",IF($AD1868&gt;LIMITE_CRITICO,"INVIAVEL",IF($AD1868&gt;LIMITE_ATENCAO,"CRITICO",IF($AD1868&gt;LIMITE_CONFORTAVEL,"ATENCAO","OK")))))</f>
        <v>OK</v>
      </c>
      <c r="AF1868" s="8" t="str">
        <f aca="false">$B1868&amp;"|"&amp;TEXT($AD1868,"0.000000")</f>
        <v>15|0.000000</v>
      </c>
      <c r="AG1868" s="18" t="n">
        <f aca="false">IF($K1868="SEM CULTURA",0,$T1868*$H1868)</f>
        <v>1145.5122</v>
      </c>
      <c r="AH1868" s="18" t="n">
        <f aca="false">IF($K1868="SEM CULTURA",0,$V1868*$H1868)</f>
        <v>3866.19072</v>
      </c>
      <c r="AI1868" s="18" t="n">
        <f aca="false">IF($K1868="SEM CULTURA",0,$W1868*$H1868)</f>
        <v>0</v>
      </c>
      <c r="AJ1868" s="18" t="n">
        <f aca="false">IF($K1868="SEM CULTURA",0,$S1868*$H1868)</f>
        <v>3272.892</v>
      </c>
      <c r="AK1868" s="8" t="str">
        <f aca="false">$E1868&amp;"|"&amp;TEXT($AD1868,"0.000000")</f>
        <v>PV 125|0.000000</v>
      </c>
    </row>
    <row r="1869" customFormat="false" ht="15" hidden="false" customHeight="false" outlineLevel="0" collapsed="false">
      <c r="B1869" s="16" t="n">
        <v>16</v>
      </c>
      <c r="C1869" s="17" t="n">
        <f aca="false">DATA_INICIO_SAFRA+($B1869-1)*DIAS_POR_SEMANA</f>
        <v>46370</v>
      </c>
      <c r="D1869" s="17" t="n">
        <f aca="false">$C1869+DIAS_POR_SEMANA-1</f>
        <v>46376</v>
      </c>
      <c r="E1869" s="15" t="s">
        <v>287</v>
      </c>
      <c r="F1869" s="8" t="str">
        <f aca="false">IFERROR(INDEX(CADASTRO_PIVOS!$C$6:$C$41,MATCH($E1869,CADASTRO_PIVOS!$B$6:$B$41,0)),"?")</f>
        <v>RM07</v>
      </c>
      <c r="G1869" s="8" t="str">
        <f aca="false">IFERROR(INDEX(CADASTRO_PIVOS!$D$6:$D$41,MATCH($E1869,CADASTRO_PIVOS!$B$6:$B$41,0)),"?")</f>
        <v>TR07</v>
      </c>
      <c r="H1869" s="20" t="n">
        <f aca="false">IFERROR(INDEX(CADASTRO_PIVOS!$E$6:$E$41,MATCH($E1869,CADASTRO_PIVOS!$B$6:$B$41,0)),0)</f>
        <v>99.48</v>
      </c>
      <c r="I1869" s="16" t="n">
        <f aca="false">IFERROR(SUMIFS(ROTACAO_RDM!$B$6:$B$71,ROTACAO_RDM!$D$6:$D$71,$E1869,ROTACAO_RDM!$I$6:$I$71,"&lt;="&amp;$C1869+INT(DIAS_POR_SEMANA/2),ROTACAO_RDM!$J$6:$J$71,"&gt;="&amp;$C1869+INT(DIAS_POR_SEMANA/2)),0)</f>
        <v>47</v>
      </c>
      <c r="J1869" s="16" t="n">
        <f aca="false">IFERROR(MATCH($I1869,ROTACAO_RDM!$B$6:$B$71,0),0)</f>
        <v>47</v>
      </c>
      <c r="K1869" s="8" t="str">
        <f aca="false">IF($J1869=0,"SEM CULTURA",INDEX(ROTACAO_RDM!$F$6:$F$71,$J1869))</f>
        <v>ALGODAO</v>
      </c>
      <c r="L1869" s="8" t="str">
        <f aca="false">IF($J1869=0,"",INDEX(ROTACAO_RDM!$G$6:$G$71,$J1869))</f>
        <v>FM 974 GLT</v>
      </c>
      <c r="M1869" s="17" t="n">
        <f aca="false">IF($J1869=0,"",INDEX(ROTACAO_RDM!$I$6:$I$71,$J1869))</f>
        <v>46357</v>
      </c>
      <c r="N1869" s="16" t="n">
        <f aca="false">IF($J1869=0,0,MAX(0,$C1869+INT(DIAS_POR_SEMANA/2)-INDEX(ROTACAO_RDM!$I$6:$I$71,$J1869)))</f>
        <v>16</v>
      </c>
      <c r="O1869" s="19" t="n">
        <f aca="false">IF($J1869=0,0,MIN(1,$N1869/MAX(1,INDEX(ROTACAO_RDM!$K$6:$K$71,$J1869))))</f>
        <v>0.0820512820512821</v>
      </c>
      <c r="P1869" s="16" t="n">
        <f aca="false">IF($J1869=0,0,IFERROR(MATCH(INDEX(ROTACAO_RDM!$N$6:$N$71,$J1869),PARAMETROS_CULTURAS!$B$6:$B$28,0),0))</f>
        <v>5</v>
      </c>
      <c r="Q1869" s="8" t="str">
        <f aca="false">IF($P1869=0,"-",IF($O1869&lt;=INDEX(PARAMETROS_CULTURAS!$F$6:$F$28,$P1869),"INICIAL",IF($O1869&lt;=INDEX(PARAMETROS_CULTURAS!$F$6:$F$28,$P1869)+INDEX(PARAMETROS_CULTURAS!$G$6:$G$28,$P1869),"DESENVOLVIMENTO",IF($O1869&lt;=INDEX(PARAMETROS_CULTURAS!$F$6:$F$28,$P1869)+INDEX(PARAMETROS_CULTURAS!$G$6:$G$28,$P1869)+INDEX(PARAMETROS_CULTURAS!$H$6:$H$28,$P1869),"MEDIA","FINAL"))))</f>
        <v>INICIAL</v>
      </c>
      <c r="R1869" s="24" t="n">
        <f aca="false">IF($P1869=0,0,IF($O1869&lt;=INDEX(PARAMETROS_CULTURAS!$F$6:$F$28,$P1869),INDEX(PARAMETROS_CULTURAS!$K$6:$K$28,$P1869),IF($O1869&lt;=INDEX(PARAMETROS_CULTURAS!$F$6:$F$28,$P1869)+INDEX(PARAMETROS_CULTURAS!$G$6:$G$28,$P1869),INDEX(PARAMETROS_CULTURAS!$K$6:$K$28,$P1869)+(INDEX(PARAMETROS_CULTURAS!$L$6:$L$28,$P1869)-INDEX(PARAMETROS_CULTURAS!$K$6:$K$28,$P1869))*($O1869-INDEX(PARAMETROS_CULTURAS!$F$6:$F$28,$P1869))/MAX(INDEX(PARAMETROS_CULTURAS!$G$6:$G$28,$P1869),0.0001),IF($O1869&lt;=INDEX(PARAMETROS_CULTURAS!$F$6:$F$28,$P1869)+INDEX(PARAMETROS_CULTURAS!$G$6:$G$28,$P1869)+INDEX(PARAMETROS_CULTURAS!$H$6:$H$28,$P1869),INDEX(PARAMETROS_CULTURAS!$L$6:$L$28,$P1869),INDEX(PARAMETROS_CULTURAS!$L$6:$L$28,$P1869)+(INDEX(PARAMETROS_CULTURAS!$M$6:$M$28,$P1869)-INDEX(PARAMETROS_CULTURAS!$L$6:$L$28,$P1869))*($O1869-INDEX(PARAMETROS_CULTURAS!$F$6:$F$28,$P1869)-INDEX(PARAMETROS_CULTURAS!$G$6:$G$28,$P1869)-INDEX(PARAMETROS_CULTURAS!$H$6:$H$28,$P1869))/MAX(INDEX(PARAMETROS_CULTURAS!$I$6:$I$28,$P1869),0.0001)))))</f>
        <v>0.35</v>
      </c>
      <c r="S1869" s="18" t="n">
        <f aca="false">IFERROR(INDEX(SEMANAS!$H$6:$H$71,MATCH($B1869,SEMANAS!$B$6:$B$71,0)),0)</f>
        <v>32.9</v>
      </c>
      <c r="T1869" s="18" t="n">
        <f aca="false">$R1869*$S1869</f>
        <v>11.515</v>
      </c>
      <c r="U1869" s="18" t="n">
        <f aca="false">IFERROR(INDEX(SEMANAS!$I$6:$I$71,MATCH($B1869,SEMANAS!$B$6:$B$71,0)),0)</f>
        <v>48.58</v>
      </c>
      <c r="V1869" s="18" t="n">
        <f aca="false">IFERROR(INDEX(SEMANAS!$J$6:$J$71,MATCH($B1869,SEMANAS!$B$6:$B$71,0)),0)</f>
        <v>38.864</v>
      </c>
      <c r="W1869" s="18" t="n">
        <f aca="false">MAX(0,$T1869-$V1869)</f>
        <v>0</v>
      </c>
      <c r="X1869" s="19" t="n">
        <f aca="false">IFERROR(INDEX(CADASTRO_PIVOS!$K$6:$K$41,MATCH($E1869,CADASTRO_PIVOS!$B$6:$B$41,0)),EFICIENCIA_PADRAO)</f>
        <v>0.85</v>
      </c>
      <c r="Y1869" s="18" t="n">
        <f aca="false">IF($X1869&lt;=0,0,$W1869/$X1869)</f>
        <v>0</v>
      </c>
      <c r="Z1869" s="16" t="n">
        <f aca="false">$Y1869*$H1869*MM_PARA_M3_HA</f>
        <v>0</v>
      </c>
      <c r="AA1869" s="18" t="n">
        <f aca="false">IFERROR(INDEX(CADASTRO_PIVOS!$I$6:$I$41,MATCH($E1869,CADASTRO_PIVOS!$B$6:$B$41,0)),0)</f>
        <v>710.571428571429</v>
      </c>
      <c r="AB1869" s="18" t="n">
        <f aca="false">IF($Z1869&lt;=0,0,$Z1869/$AA1869)</f>
        <v>0</v>
      </c>
      <c r="AC1869" s="16" t="n">
        <f aca="false">IFERROR(INDEX(SEMANAS!$K$6:$K$71,MATCH($B1869,SEMANAS!$B$6:$B$71,0)),0)</f>
        <v>147</v>
      </c>
      <c r="AD1869" s="19" t="n">
        <f aca="false">IF($AC1869&lt;=0,0,$AB1869/$AC1869)</f>
        <v>0</v>
      </c>
      <c r="AE1869" s="8" t="str">
        <f aca="false">IF($K1869="SEM CULTURA","SEM CULTURA",IF($AA1869&lt;=0,"DADO PENDENTE",IF($AD1869&gt;LIMITE_CRITICO,"INVIAVEL",IF($AD1869&gt;LIMITE_ATENCAO,"CRITICO",IF($AD1869&gt;LIMITE_CONFORTAVEL,"ATENCAO","OK")))))</f>
        <v>OK</v>
      </c>
      <c r="AF1869" s="8" t="str">
        <f aca="false">$B1869&amp;"|"&amp;TEXT($AD1869,"0.000000")</f>
        <v>16|0.000000</v>
      </c>
      <c r="AG1869" s="18" t="n">
        <f aca="false">IF($K1869="SEM CULTURA",0,$T1869*$H1869)</f>
        <v>1145.5122</v>
      </c>
      <c r="AH1869" s="18" t="n">
        <f aca="false">IF($K1869="SEM CULTURA",0,$V1869*$H1869)</f>
        <v>3866.19072</v>
      </c>
      <c r="AI1869" s="18" t="n">
        <f aca="false">IF($K1869="SEM CULTURA",0,$W1869*$H1869)</f>
        <v>0</v>
      </c>
      <c r="AJ1869" s="18" t="n">
        <f aca="false">IF($K1869="SEM CULTURA",0,$S1869*$H1869)</f>
        <v>3272.892</v>
      </c>
      <c r="AK1869" s="8" t="str">
        <f aca="false">$E1869&amp;"|"&amp;TEXT($AD1869,"0.000000")</f>
        <v>PV 125|0.000000</v>
      </c>
    </row>
    <row r="1870" customFormat="false" ht="15" hidden="false" customHeight="false" outlineLevel="0" collapsed="false">
      <c r="B1870" s="16" t="n">
        <v>17</v>
      </c>
      <c r="C1870" s="17" t="n">
        <f aca="false">DATA_INICIO_SAFRA+($B1870-1)*DIAS_POR_SEMANA</f>
        <v>46377</v>
      </c>
      <c r="D1870" s="17" t="n">
        <f aca="false">$C1870+DIAS_POR_SEMANA-1</f>
        <v>46383</v>
      </c>
      <c r="E1870" s="15" t="s">
        <v>287</v>
      </c>
      <c r="F1870" s="8" t="str">
        <f aca="false">IFERROR(INDEX(CADASTRO_PIVOS!$C$6:$C$41,MATCH($E1870,CADASTRO_PIVOS!$B$6:$B$41,0)),"?")</f>
        <v>RM07</v>
      </c>
      <c r="G1870" s="8" t="str">
        <f aca="false">IFERROR(INDEX(CADASTRO_PIVOS!$D$6:$D$41,MATCH($E1870,CADASTRO_PIVOS!$B$6:$B$41,0)),"?")</f>
        <v>TR07</v>
      </c>
      <c r="H1870" s="20" t="n">
        <f aca="false">IFERROR(INDEX(CADASTRO_PIVOS!$E$6:$E$41,MATCH($E1870,CADASTRO_PIVOS!$B$6:$B$41,0)),0)</f>
        <v>99.48</v>
      </c>
      <c r="I1870" s="16" t="n">
        <f aca="false">IFERROR(SUMIFS(ROTACAO_RDM!$B$6:$B$71,ROTACAO_RDM!$D$6:$D$71,$E1870,ROTACAO_RDM!$I$6:$I$71,"&lt;="&amp;$C1870+INT(DIAS_POR_SEMANA/2),ROTACAO_RDM!$J$6:$J$71,"&gt;="&amp;$C1870+INT(DIAS_POR_SEMANA/2)),0)</f>
        <v>47</v>
      </c>
      <c r="J1870" s="16" t="n">
        <f aca="false">IFERROR(MATCH($I1870,ROTACAO_RDM!$B$6:$B$71,0),0)</f>
        <v>47</v>
      </c>
      <c r="K1870" s="8" t="str">
        <f aca="false">IF($J1870=0,"SEM CULTURA",INDEX(ROTACAO_RDM!$F$6:$F$71,$J1870))</f>
        <v>ALGODAO</v>
      </c>
      <c r="L1870" s="8" t="str">
        <f aca="false">IF($J1870=0,"",INDEX(ROTACAO_RDM!$G$6:$G$71,$J1870))</f>
        <v>FM 974 GLT</v>
      </c>
      <c r="M1870" s="17" t="n">
        <f aca="false">IF($J1870=0,"",INDEX(ROTACAO_RDM!$I$6:$I$71,$J1870))</f>
        <v>46357</v>
      </c>
      <c r="N1870" s="16" t="n">
        <f aca="false">IF($J1870=0,0,MAX(0,$C1870+INT(DIAS_POR_SEMANA/2)-INDEX(ROTACAO_RDM!$I$6:$I$71,$J1870)))</f>
        <v>23</v>
      </c>
      <c r="O1870" s="19" t="n">
        <f aca="false">IF($J1870=0,0,MIN(1,$N1870/MAX(1,INDEX(ROTACAO_RDM!$K$6:$K$71,$J1870))))</f>
        <v>0.117948717948718</v>
      </c>
      <c r="P1870" s="16" t="n">
        <f aca="false">IF($J1870=0,0,IFERROR(MATCH(INDEX(ROTACAO_RDM!$N$6:$N$71,$J1870),PARAMETROS_CULTURAS!$B$6:$B$28,0),0))</f>
        <v>5</v>
      </c>
      <c r="Q1870" s="8" t="str">
        <f aca="false">IF($P1870=0,"-",IF($O1870&lt;=INDEX(PARAMETROS_CULTURAS!$F$6:$F$28,$P1870),"INICIAL",IF($O1870&lt;=INDEX(PARAMETROS_CULTURAS!$F$6:$F$28,$P1870)+INDEX(PARAMETROS_CULTURAS!$G$6:$G$28,$P1870),"DESENVOLVIMENTO",IF($O1870&lt;=INDEX(PARAMETROS_CULTURAS!$F$6:$F$28,$P1870)+INDEX(PARAMETROS_CULTURAS!$G$6:$G$28,$P1870)+INDEX(PARAMETROS_CULTURAS!$H$6:$H$28,$P1870),"MEDIA","FINAL"))))</f>
        <v>INICIAL</v>
      </c>
      <c r="R1870" s="24" t="n">
        <f aca="false">IF($P1870=0,0,IF($O1870&lt;=INDEX(PARAMETROS_CULTURAS!$F$6:$F$28,$P1870),INDEX(PARAMETROS_CULTURAS!$K$6:$K$28,$P1870),IF($O1870&lt;=INDEX(PARAMETROS_CULTURAS!$F$6:$F$28,$P1870)+INDEX(PARAMETROS_CULTURAS!$G$6:$G$28,$P1870),INDEX(PARAMETROS_CULTURAS!$K$6:$K$28,$P1870)+(INDEX(PARAMETROS_CULTURAS!$L$6:$L$28,$P1870)-INDEX(PARAMETROS_CULTURAS!$K$6:$K$28,$P1870))*($O1870-INDEX(PARAMETROS_CULTURAS!$F$6:$F$28,$P1870))/MAX(INDEX(PARAMETROS_CULTURAS!$G$6:$G$28,$P1870),0.0001),IF($O1870&lt;=INDEX(PARAMETROS_CULTURAS!$F$6:$F$28,$P1870)+INDEX(PARAMETROS_CULTURAS!$G$6:$G$28,$P1870)+INDEX(PARAMETROS_CULTURAS!$H$6:$H$28,$P1870),INDEX(PARAMETROS_CULTURAS!$L$6:$L$28,$P1870),INDEX(PARAMETROS_CULTURAS!$L$6:$L$28,$P1870)+(INDEX(PARAMETROS_CULTURAS!$M$6:$M$28,$P1870)-INDEX(PARAMETROS_CULTURAS!$L$6:$L$28,$P1870))*($O1870-INDEX(PARAMETROS_CULTURAS!$F$6:$F$28,$P1870)-INDEX(PARAMETROS_CULTURAS!$G$6:$G$28,$P1870)-INDEX(PARAMETROS_CULTURAS!$H$6:$H$28,$P1870))/MAX(INDEX(PARAMETROS_CULTURAS!$I$6:$I$28,$P1870),0.0001)))))</f>
        <v>0.35</v>
      </c>
      <c r="S1870" s="18" t="n">
        <f aca="false">IFERROR(INDEX(SEMANAS!$H$6:$H$71,MATCH($B1870,SEMANAS!$B$6:$B$71,0)),0)</f>
        <v>32.9</v>
      </c>
      <c r="T1870" s="18" t="n">
        <f aca="false">$R1870*$S1870</f>
        <v>11.515</v>
      </c>
      <c r="U1870" s="18" t="n">
        <f aca="false">IFERROR(INDEX(SEMANAS!$I$6:$I$71,MATCH($B1870,SEMANAS!$B$6:$B$71,0)),0)</f>
        <v>48.58</v>
      </c>
      <c r="V1870" s="18" t="n">
        <f aca="false">IFERROR(INDEX(SEMANAS!$J$6:$J$71,MATCH($B1870,SEMANAS!$B$6:$B$71,0)),0)</f>
        <v>38.864</v>
      </c>
      <c r="W1870" s="18" t="n">
        <f aca="false">MAX(0,$T1870-$V1870)</f>
        <v>0</v>
      </c>
      <c r="X1870" s="19" t="n">
        <f aca="false">IFERROR(INDEX(CADASTRO_PIVOS!$K$6:$K$41,MATCH($E1870,CADASTRO_PIVOS!$B$6:$B$41,0)),EFICIENCIA_PADRAO)</f>
        <v>0.85</v>
      </c>
      <c r="Y1870" s="18" t="n">
        <f aca="false">IF($X1870&lt;=0,0,$W1870/$X1870)</f>
        <v>0</v>
      </c>
      <c r="Z1870" s="16" t="n">
        <f aca="false">$Y1870*$H1870*MM_PARA_M3_HA</f>
        <v>0</v>
      </c>
      <c r="AA1870" s="18" t="n">
        <f aca="false">IFERROR(INDEX(CADASTRO_PIVOS!$I$6:$I$41,MATCH($E1870,CADASTRO_PIVOS!$B$6:$B$41,0)),0)</f>
        <v>710.571428571429</v>
      </c>
      <c r="AB1870" s="18" t="n">
        <f aca="false">IF($Z1870&lt;=0,0,$Z1870/$AA1870)</f>
        <v>0</v>
      </c>
      <c r="AC1870" s="16" t="n">
        <f aca="false">IFERROR(INDEX(SEMANAS!$K$6:$K$71,MATCH($B1870,SEMANAS!$B$6:$B$71,0)),0)</f>
        <v>147</v>
      </c>
      <c r="AD1870" s="19" t="n">
        <f aca="false">IF($AC1870&lt;=0,0,$AB1870/$AC1870)</f>
        <v>0</v>
      </c>
      <c r="AE1870" s="8" t="str">
        <f aca="false">IF($K1870="SEM CULTURA","SEM CULTURA",IF($AA1870&lt;=0,"DADO PENDENTE",IF($AD1870&gt;LIMITE_CRITICO,"INVIAVEL",IF($AD1870&gt;LIMITE_ATENCAO,"CRITICO",IF($AD1870&gt;LIMITE_CONFORTAVEL,"ATENCAO","OK")))))</f>
        <v>OK</v>
      </c>
      <c r="AF1870" s="8" t="str">
        <f aca="false">$B1870&amp;"|"&amp;TEXT($AD1870,"0.000000")</f>
        <v>17|0.000000</v>
      </c>
      <c r="AG1870" s="18" t="n">
        <f aca="false">IF($K1870="SEM CULTURA",0,$T1870*$H1870)</f>
        <v>1145.5122</v>
      </c>
      <c r="AH1870" s="18" t="n">
        <f aca="false">IF($K1870="SEM CULTURA",0,$V1870*$H1870)</f>
        <v>3866.19072</v>
      </c>
      <c r="AI1870" s="18" t="n">
        <f aca="false">IF($K1870="SEM CULTURA",0,$W1870*$H1870)</f>
        <v>0</v>
      </c>
      <c r="AJ1870" s="18" t="n">
        <f aca="false">IF($K1870="SEM CULTURA",0,$S1870*$H1870)</f>
        <v>3272.892</v>
      </c>
      <c r="AK1870" s="8" t="str">
        <f aca="false">$E1870&amp;"|"&amp;TEXT($AD1870,"0.000000")</f>
        <v>PV 125|0.000000</v>
      </c>
    </row>
    <row r="1871" customFormat="false" ht="15" hidden="false" customHeight="false" outlineLevel="0" collapsed="false">
      <c r="B1871" s="16" t="n">
        <v>18</v>
      </c>
      <c r="C1871" s="17" t="n">
        <f aca="false">DATA_INICIO_SAFRA+($B1871-1)*DIAS_POR_SEMANA</f>
        <v>46384</v>
      </c>
      <c r="D1871" s="17" t="n">
        <f aca="false">$C1871+DIAS_POR_SEMANA-1</f>
        <v>46390</v>
      </c>
      <c r="E1871" s="15" t="s">
        <v>287</v>
      </c>
      <c r="F1871" s="8" t="str">
        <f aca="false">IFERROR(INDEX(CADASTRO_PIVOS!$C$6:$C$41,MATCH($E1871,CADASTRO_PIVOS!$B$6:$B$41,0)),"?")</f>
        <v>RM07</v>
      </c>
      <c r="G1871" s="8" t="str">
        <f aca="false">IFERROR(INDEX(CADASTRO_PIVOS!$D$6:$D$41,MATCH($E1871,CADASTRO_PIVOS!$B$6:$B$41,0)),"?")</f>
        <v>TR07</v>
      </c>
      <c r="H1871" s="20" t="n">
        <f aca="false">IFERROR(INDEX(CADASTRO_PIVOS!$E$6:$E$41,MATCH($E1871,CADASTRO_PIVOS!$B$6:$B$41,0)),0)</f>
        <v>99.48</v>
      </c>
      <c r="I1871" s="16" t="n">
        <f aca="false">IFERROR(SUMIFS(ROTACAO_RDM!$B$6:$B$71,ROTACAO_RDM!$D$6:$D$71,$E1871,ROTACAO_RDM!$I$6:$I$71,"&lt;="&amp;$C1871+INT(DIAS_POR_SEMANA/2),ROTACAO_RDM!$J$6:$J$71,"&gt;="&amp;$C1871+INT(DIAS_POR_SEMANA/2)),0)</f>
        <v>47</v>
      </c>
      <c r="J1871" s="16" t="n">
        <f aca="false">IFERROR(MATCH($I1871,ROTACAO_RDM!$B$6:$B$71,0),0)</f>
        <v>47</v>
      </c>
      <c r="K1871" s="8" t="str">
        <f aca="false">IF($J1871=0,"SEM CULTURA",INDEX(ROTACAO_RDM!$F$6:$F$71,$J1871))</f>
        <v>ALGODAO</v>
      </c>
      <c r="L1871" s="8" t="str">
        <f aca="false">IF($J1871=0,"",INDEX(ROTACAO_RDM!$G$6:$G$71,$J1871))</f>
        <v>FM 974 GLT</v>
      </c>
      <c r="M1871" s="17" t="n">
        <f aca="false">IF($J1871=0,"",INDEX(ROTACAO_RDM!$I$6:$I$71,$J1871))</f>
        <v>46357</v>
      </c>
      <c r="N1871" s="16" t="n">
        <f aca="false">IF($J1871=0,0,MAX(0,$C1871+INT(DIAS_POR_SEMANA/2)-INDEX(ROTACAO_RDM!$I$6:$I$71,$J1871)))</f>
        <v>30</v>
      </c>
      <c r="O1871" s="19" t="n">
        <f aca="false">IF($J1871=0,0,MIN(1,$N1871/MAX(1,INDEX(ROTACAO_RDM!$K$6:$K$71,$J1871))))</f>
        <v>0.153846153846154</v>
      </c>
      <c r="P1871" s="16" t="n">
        <f aca="false">IF($J1871=0,0,IFERROR(MATCH(INDEX(ROTACAO_RDM!$N$6:$N$71,$J1871),PARAMETROS_CULTURAS!$B$6:$B$28,0),0))</f>
        <v>5</v>
      </c>
      <c r="Q1871" s="8" t="str">
        <f aca="false">IF($P1871=0,"-",IF($O1871&lt;=INDEX(PARAMETROS_CULTURAS!$F$6:$F$28,$P1871),"INICIAL",IF($O1871&lt;=INDEX(PARAMETROS_CULTURAS!$F$6:$F$28,$P1871)+INDEX(PARAMETROS_CULTURAS!$G$6:$G$28,$P1871),"DESENVOLVIMENTO",IF($O1871&lt;=INDEX(PARAMETROS_CULTURAS!$F$6:$F$28,$P1871)+INDEX(PARAMETROS_CULTURAS!$G$6:$G$28,$P1871)+INDEX(PARAMETROS_CULTURAS!$H$6:$H$28,$P1871),"MEDIA","FINAL"))))</f>
        <v>DESENVOLVIMENTO</v>
      </c>
      <c r="R1871" s="24" t="n">
        <f aca="false">IF($P1871=0,0,IF($O1871&lt;=INDEX(PARAMETROS_CULTURAS!$F$6:$F$28,$P1871),INDEX(PARAMETROS_CULTURAS!$K$6:$K$28,$P1871),IF($O1871&lt;=INDEX(PARAMETROS_CULTURAS!$F$6:$F$28,$P1871)+INDEX(PARAMETROS_CULTURAS!$G$6:$G$28,$P1871),INDEX(PARAMETROS_CULTURAS!$K$6:$K$28,$P1871)+(INDEX(PARAMETROS_CULTURAS!$L$6:$L$28,$P1871)-INDEX(PARAMETROS_CULTURAS!$K$6:$K$28,$P1871))*($O1871-INDEX(PARAMETROS_CULTURAS!$F$6:$F$28,$P1871))/MAX(INDEX(PARAMETROS_CULTURAS!$G$6:$G$28,$P1871),0.0001),IF($O1871&lt;=INDEX(PARAMETROS_CULTURAS!$F$6:$F$28,$P1871)+INDEX(PARAMETROS_CULTURAS!$G$6:$G$28,$P1871)+INDEX(PARAMETROS_CULTURAS!$H$6:$H$28,$P1871),INDEX(PARAMETROS_CULTURAS!$L$6:$L$28,$P1871),INDEX(PARAMETROS_CULTURAS!$L$6:$L$28,$P1871)+(INDEX(PARAMETROS_CULTURAS!$M$6:$M$28,$P1871)-INDEX(PARAMETROS_CULTURAS!$L$6:$L$28,$P1871))*($O1871-INDEX(PARAMETROS_CULTURAS!$F$6:$F$28,$P1871)-INDEX(PARAMETROS_CULTURAS!$G$6:$G$28,$P1871)-INDEX(PARAMETROS_CULTURAS!$H$6:$H$28,$P1871))/MAX(INDEX(PARAMETROS_CULTURAS!$I$6:$I$28,$P1871),0.0001)))))</f>
        <v>0.361834319526627</v>
      </c>
      <c r="S1871" s="18" t="n">
        <f aca="false">IFERROR(INDEX(SEMANAS!$H$6:$H$71,MATCH($B1871,SEMANAS!$B$6:$B$71,0)),0)</f>
        <v>33.2</v>
      </c>
      <c r="T1871" s="18" t="n">
        <f aca="false">$R1871*$S1871</f>
        <v>12.012899408284</v>
      </c>
      <c r="U1871" s="18" t="n">
        <f aca="false">IFERROR(INDEX(SEMANAS!$I$6:$I$71,MATCH($B1871,SEMANAS!$B$6:$B$71,0)),0)</f>
        <v>47.11</v>
      </c>
      <c r="V1871" s="18" t="n">
        <f aca="false">IFERROR(INDEX(SEMANAS!$J$6:$J$71,MATCH($B1871,SEMANAS!$B$6:$B$71,0)),0)</f>
        <v>37.688</v>
      </c>
      <c r="W1871" s="18" t="n">
        <f aca="false">MAX(0,$T1871-$V1871)</f>
        <v>0</v>
      </c>
      <c r="X1871" s="19" t="n">
        <f aca="false">IFERROR(INDEX(CADASTRO_PIVOS!$K$6:$K$41,MATCH($E1871,CADASTRO_PIVOS!$B$6:$B$41,0)),EFICIENCIA_PADRAO)</f>
        <v>0.85</v>
      </c>
      <c r="Y1871" s="18" t="n">
        <f aca="false">IF($X1871&lt;=0,0,$W1871/$X1871)</f>
        <v>0</v>
      </c>
      <c r="Z1871" s="16" t="n">
        <f aca="false">$Y1871*$H1871*MM_PARA_M3_HA</f>
        <v>0</v>
      </c>
      <c r="AA1871" s="18" t="n">
        <f aca="false">IFERROR(INDEX(CADASTRO_PIVOS!$I$6:$I$41,MATCH($E1871,CADASTRO_PIVOS!$B$6:$B$41,0)),0)</f>
        <v>710.571428571429</v>
      </c>
      <c r="AB1871" s="18" t="n">
        <f aca="false">IF($Z1871&lt;=0,0,$Z1871/$AA1871)</f>
        <v>0</v>
      </c>
      <c r="AC1871" s="16" t="n">
        <f aca="false">IFERROR(INDEX(SEMANAS!$K$6:$K$71,MATCH($B1871,SEMANAS!$B$6:$B$71,0)),0)</f>
        <v>147</v>
      </c>
      <c r="AD1871" s="19" t="n">
        <f aca="false">IF($AC1871&lt;=0,0,$AB1871/$AC1871)</f>
        <v>0</v>
      </c>
      <c r="AE1871" s="8" t="str">
        <f aca="false">IF($K1871="SEM CULTURA","SEM CULTURA",IF($AA1871&lt;=0,"DADO PENDENTE",IF($AD1871&gt;LIMITE_CRITICO,"INVIAVEL",IF($AD1871&gt;LIMITE_ATENCAO,"CRITICO",IF($AD1871&gt;LIMITE_CONFORTAVEL,"ATENCAO","OK")))))</f>
        <v>OK</v>
      </c>
      <c r="AF1871" s="8" t="str">
        <f aca="false">$B1871&amp;"|"&amp;TEXT($AD1871,"0.000000")</f>
        <v>18|0.000000</v>
      </c>
      <c r="AG1871" s="18" t="n">
        <f aca="false">IF($K1871="SEM CULTURA",0,$T1871*$H1871)</f>
        <v>1195.0432331361</v>
      </c>
      <c r="AH1871" s="18" t="n">
        <f aca="false">IF($K1871="SEM CULTURA",0,$V1871*$H1871)</f>
        <v>3749.20224</v>
      </c>
      <c r="AI1871" s="18" t="n">
        <f aca="false">IF($K1871="SEM CULTURA",0,$W1871*$H1871)</f>
        <v>0</v>
      </c>
      <c r="AJ1871" s="18" t="n">
        <f aca="false">IF($K1871="SEM CULTURA",0,$S1871*$H1871)</f>
        <v>3302.736</v>
      </c>
      <c r="AK1871" s="8" t="str">
        <f aca="false">$E1871&amp;"|"&amp;TEXT($AD1871,"0.000000")</f>
        <v>PV 125|0.000000</v>
      </c>
    </row>
    <row r="1872" customFormat="false" ht="15" hidden="false" customHeight="false" outlineLevel="0" collapsed="false">
      <c r="B1872" s="16" t="n">
        <v>19</v>
      </c>
      <c r="C1872" s="17" t="n">
        <f aca="false">DATA_INICIO_SAFRA+($B1872-1)*DIAS_POR_SEMANA</f>
        <v>46391</v>
      </c>
      <c r="D1872" s="17" t="n">
        <f aca="false">$C1872+DIAS_POR_SEMANA-1</f>
        <v>46397</v>
      </c>
      <c r="E1872" s="15" t="s">
        <v>287</v>
      </c>
      <c r="F1872" s="8" t="str">
        <f aca="false">IFERROR(INDEX(CADASTRO_PIVOS!$C$6:$C$41,MATCH($E1872,CADASTRO_PIVOS!$B$6:$B$41,0)),"?")</f>
        <v>RM07</v>
      </c>
      <c r="G1872" s="8" t="str">
        <f aca="false">IFERROR(INDEX(CADASTRO_PIVOS!$D$6:$D$41,MATCH($E1872,CADASTRO_PIVOS!$B$6:$B$41,0)),"?")</f>
        <v>TR07</v>
      </c>
      <c r="H1872" s="20" t="n">
        <f aca="false">IFERROR(INDEX(CADASTRO_PIVOS!$E$6:$E$41,MATCH($E1872,CADASTRO_PIVOS!$B$6:$B$41,0)),0)</f>
        <v>99.48</v>
      </c>
      <c r="I1872" s="16" t="n">
        <f aca="false">IFERROR(SUMIFS(ROTACAO_RDM!$B$6:$B$71,ROTACAO_RDM!$D$6:$D$71,$E1872,ROTACAO_RDM!$I$6:$I$71,"&lt;="&amp;$C1872+INT(DIAS_POR_SEMANA/2),ROTACAO_RDM!$J$6:$J$71,"&gt;="&amp;$C1872+INT(DIAS_POR_SEMANA/2)),0)</f>
        <v>47</v>
      </c>
      <c r="J1872" s="16" t="n">
        <f aca="false">IFERROR(MATCH($I1872,ROTACAO_RDM!$B$6:$B$71,0),0)</f>
        <v>47</v>
      </c>
      <c r="K1872" s="8" t="str">
        <f aca="false">IF($J1872=0,"SEM CULTURA",INDEX(ROTACAO_RDM!$F$6:$F$71,$J1872))</f>
        <v>ALGODAO</v>
      </c>
      <c r="L1872" s="8" t="str">
        <f aca="false">IF($J1872=0,"",INDEX(ROTACAO_RDM!$G$6:$G$71,$J1872))</f>
        <v>FM 974 GLT</v>
      </c>
      <c r="M1872" s="17" t="n">
        <f aca="false">IF($J1872=0,"",INDEX(ROTACAO_RDM!$I$6:$I$71,$J1872))</f>
        <v>46357</v>
      </c>
      <c r="N1872" s="16" t="n">
        <f aca="false">IF($J1872=0,0,MAX(0,$C1872+INT(DIAS_POR_SEMANA/2)-INDEX(ROTACAO_RDM!$I$6:$I$71,$J1872)))</f>
        <v>37</v>
      </c>
      <c r="O1872" s="19" t="n">
        <f aca="false">IF($J1872=0,0,MIN(1,$N1872/MAX(1,INDEX(ROTACAO_RDM!$K$6:$K$71,$J1872))))</f>
        <v>0.18974358974359</v>
      </c>
      <c r="P1872" s="16" t="n">
        <f aca="false">IF($J1872=0,0,IFERROR(MATCH(INDEX(ROTACAO_RDM!$N$6:$N$71,$J1872),PARAMETROS_CULTURAS!$B$6:$B$28,0),0))</f>
        <v>5</v>
      </c>
      <c r="Q1872" s="8" t="str">
        <f aca="false">IF($P1872=0,"-",IF($O1872&lt;=INDEX(PARAMETROS_CULTURAS!$F$6:$F$28,$P1872),"INICIAL",IF($O1872&lt;=INDEX(PARAMETROS_CULTURAS!$F$6:$F$28,$P1872)+INDEX(PARAMETROS_CULTURAS!$G$6:$G$28,$P1872),"DESENVOLVIMENTO",IF($O1872&lt;=INDEX(PARAMETROS_CULTURAS!$F$6:$F$28,$P1872)+INDEX(PARAMETROS_CULTURAS!$G$6:$G$28,$P1872)+INDEX(PARAMETROS_CULTURAS!$H$6:$H$28,$P1872),"MEDIA","FINAL"))))</f>
        <v>DESENVOLVIMENTO</v>
      </c>
      <c r="R1872" s="24" t="n">
        <f aca="false">IF($P1872=0,0,IF($O1872&lt;=INDEX(PARAMETROS_CULTURAS!$F$6:$F$28,$P1872),INDEX(PARAMETROS_CULTURAS!$K$6:$K$28,$P1872),IF($O1872&lt;=INDEX(PARAMETROS_CULTURAS!$F$6:$F$28,$P1872)+INDEX(PARAMETROS_CULTURAS!$G$6:$G$28,$P1872),INDEX(PARAMETROS_CULTURAS!$K$6:$K$28,$P1872)+(INDEX(PARAMETROS_CULTURAS!$L$6:$L$28,$P1872)-INDEX(PARAMETROS_CULTURAS!$K$6:$K$28,$P1872))*($O1872-INDEX(PARAMETROS_CULTURAS!$F$6:$F$28,$P1872))/MAX(INDEX(PARAMETROS_CULTURAS!$G$6:$G$28,$P1872),0.0001),IF($O1872&lt;=INDEX(PARAMETROS_CULTURAS!$F$6:$F$28,$P1872)+INDEX(PARAMETROS_CULTURAS!$G$6:$G$28,$P1872)+INDEX(PARAMETROS_CULTURAS!$H$6:$H$28,$P1872),INDEX(PARAMETROS_CULTURAS!$L$6:$L$28,$P1872),INDEX(PARAMETROS_CULTURAS!$L$6:$L$28,$P1872)+(INDEX(PARAMETROS_CULTURAS!$M$6:$M$28,$P1872)-INDEX(PARAMETROS_CULTURAS!$L$6:$L$28,$P1872))*($O1872-INDEX(PARAMETROS_CULTURAS!$F$6:$F$28,$P1872)-INDEX(PARAMETROS_CULTURAS!$G$6:$G$28,$P1872)-INDEX(PARAMETROS_CULTURAS!$H$6:$H$28,$P1872))/MAX(INDEX(PARAMETROS_CULTURAS!$I$6:$I$28,$P1872),0.0001)))))</f>
        <v>0.472287968441815</v>
      </c>
      <c r="S1872" s="18" t="n">
        <f aca="false">IFERROR(INDEX(SEMANAS!$H$6:$H$71,MATCH($B1872,SEMANAS!$B$6:$B$71,0)),0)</f>
        <v>33.6</v>
      </c>
      <c r="T1872" s="18" t="n">
        <f aca="false">$R1872*$S1872</f>
        <v>15.868875739645</v>
      </c>
      <c r="U1872" s="18" t="n">
        <f aca="false">IFERROR(INDEX(SEMANAS!$I$6:$I$71,MATCH($B1872,SEMANAS!$B$6:$B$71,0)),0)</f>
        <v>45.15</v>
      </c>
      <c r="V1872" s="18" t="n">
        <f aca="false">IFERROR(INDEX(SEMANAS!$J$6:$J$71,MATCH($B1872,SEMANAS!$B$6:$B$71,0)),0)</f>
        <v>36.12</v>
      </c>
      <c r="W1872" s="18" t="n">
        <f aca="false">MAX(0,$T1872-$V1872)</f>
        <v>0</v>
      </c>
      <c r="X1872" s="19" t="n">
        <f aca="false">IFERROR(INDEX(CADASTRO_PIVOS!$K$6:$K$41,MATCH($E1872,CADASTRO_PIVOS!$B$6:$B$41,0)),EFICIENCIA_PADRAO)</f>
        <v>0.85</v>
      </c>
      <c r="Y1872" s="18" t="n">
        <f aca="false">IF($X1872&lt;=0,0,$W1872/$X1872)</f>
        <v>0</v>
      </c>
      <c r="Z1872" s="16" t="n">
        <f aca="false">$Y1872*$H1872*MM_PARA_M3_HA</f>
        <v>0</v>
      </c>
      <c r="AA1872" s="18" t="n">
        <f aca="false">IFERROR(INDEX(CADASTRO_PIVOS!$I$6:$I$41,MATCH($E1872,CADASTRO_PIVOS!$B$6:$B$41,0)),0)</f>
        <v>710.571428571429</v>
      </c>
      <c r="AB1872" s="18" t="n">
        <f aca="false">IF($Z1872&lt;=0,0,$Z1872/$AA1872)</f>
        <v>0</v>
      </c>
      <c r="AC1872" s="16" t="n">
        <f aca="false">IFERROR(INDEX(SEMANAS!$K$6:$K$71,MATCH($B1872,SEMANAS!$B$6:$B$71,0)),0)</f>
        <v>147</v>
      </c>
      <c r="AD1872" s="19" t="n">
        <f aca="false">IF($AC1872&lt;=0,0,$AB1872/$AC1872)</f>
        <v>0</v>
      </c>
      <c r="AE1872" s="8" t="str">
        <f aca="false">IF($K1872="SEM CULTURA","SEM CULTURA",IF($AA1872&lt;=0,"DADO PENDENTE",IF($AD1872&gt;LIMITE_CRITICO,"INVIAVEL",IF($AD1872&gt;LIMITE_ATENCAO,"CRITICO",IF($AD1872&gt;LIMITE_CONFORTAVEL,"ATENCAO","OK")))))</f>
        <v>OK</v>
      </c>
      <c r="AF1872" s="8" t="str">
        <f aca="false">$B1872&amp;"|"&amp;TEXT($AD1872,"0.000000")</f>
        <v>19|0.000000</v>
      </c>
      <c r="AG1872" s="18" t="n">
        <f aca="false">IF($K1872="SEM CULTURA",0,$T1872*$H1872)</f>
        <v>1578.63575857988</v>
      </c>
      <c r="AH1872" s="18" t="n">
        <f aca="false">IF($K1872="SEM CULTURA",0,$V1872*$H1872)</f>
        <v>3593.2176</v>
      </c>
      <c r="AI1872" s="18" t="n">
        <f aca="false">IF($K1872="SEM CULTURA",0,$W1872*$H1872)</f>
        <v>0</v>
      </c>
      <c r="AJ1872" s="18" t="n">
        <f aca="false">IF($K1872="SEM CULTURA",0,$S1872*$H1872)</f>
        <v>3342.528</v>
      </c>
      <c r="AK1872" s="8" t="str">
        <f aca="false">$E1872&amp;"|"&amp;TEXT($AD1872,"0.000000")</f>
        <v>PV 125|0.000000</v>
      </c>
    </row>
    <row r="1873" customFormat="false" ht="15" hidden="false" customHeight="false" outlineLevel="0" collapsed="false">
      <c r="B1873" s="16" t="n">
        <v>20</v>
      </c>
      <c r="C1873" s="17" t="n">
        <f aca="false">DATA_INICIO_SAFRA+($B1873-1)*DIAS_POR_SEMANA</f>
        <v>46398</v>
      </c>
      <c r="D1873" s="17" t="n">
        <f aca="false">$C1873+DIAS_POR_SEMANA-1</f>
        <v>46404</v>
      </c>
      <c r="E1873" s="15" t="s">
        <v>287</v>
      </c>
      <c r="F1873" s="8" t="str">
        <f aca="false">IFERROR(INDEX(CADASTRO_PIVOS!$C$6:$C$41,MATCH($E1873,CADASTRO_PIVOS!$B$6:$B$41,0)),"?")</f>
        <v>RM07</v>
      </c>
      <c r="G1873" s="8" t="str">
        <f aca="false">IFERROR(INDEX(CADASTRO_PIVOS!$D$6:$D$41,MATCH($E1873,CADASTRO_PIVOS!$B$6:$B$41,0)),"?")</f>
        <v>TR07</v>
      </c>
      <c r="H1873" s="20" t="n">
        <f aca="false">IFERROR(INDEX(CADASTRO_PIVOS!$E$6:$E$41,MATCH($E1873,CADASTRO_PIVOS!$B$6:$B$41,0)),0)</f>
        <v>99.48</v>
      </c>
      <c r="I1873" s="16" t="n">
        <f aca="false">IFERROR(SUMIFS(ROTACAO_RDM!$B$6:$B$71,ROTACAO_RDM!$D$6:$D$71,$E1873,ROTACAO_RDM!$I$6:$I$71,"&lt;="&amp;$C1873+INT(DIAS_POR_SEMANA/2),ROTACAO_RDM!$J$6:$J$71,"&gt;="&amp;$C1873+INT(DIAS_POR_SEMANA/2)),0)</f>
        <v>47</v>
      </c>
      <c r="J1873" s="16" t="n">
        <f aca="false">IFERROR(MATCH($I1873,ROTACAO_RDM!$B$6:$B$71,0),0)</f>
        <v>47</v>
      </c>
      <c r="K1873" s="8" t="str">
        <f aca="false">IF($J1873=0,"SEM CULTURA",INDEX(ROTACAO_RDM!$F$6:$F$71,$J1873))</f>
        <v>ALGODAO</v>
      </c>
      <c r="L1873" s="8" t="str">
        <f aca="false">IF($J1873=0,"",INDEX(ROTACAO_RDM!$G$6:$G$71,$J1873))</f>
        <v>FM 974 GLT</v>
      </c>
      <c r="M1873" s="17" t="n">
        <f aca="false">IF($J1873=0,"",INDEX(ROTACAO_RDM!$I$6:$I$71,$J1873))</f>
        <v>46357</v>
      </c>
      <c r="N1873" s="16" t="n">
        <f aca="false">IF($J1873=0,0,MAX(0,$C1873+INT(DIAS_POR_SEMANA/2)-INDEX(ROTACAO_RDM!$I$6:$I$71,$J1873)))</f>
        <v>44</v>
      </c>
      <c r="O1873" s="19" t="n">
        <f aca="false">IF($J1873=0,0,MIN(1,$N1873/MAX(1,INDEX(ROTACAO_RDM!$K$6:$K$71,$J1873))))</f>
        <v>0.225641025641026</v>
      </c>
      <c r="P1873" s="16" t="n">
        <f aca="false">IF($J1873=0,0,IFERROR(MATCH(INDEX(ROTACAO_RDM!$N$6:$N$71,$J1873),PARAMETROS_CULTURAS!$B$6:$B$28,0),0))</f>
        <v>5</v>
      </c>
      <c r="Q1873" s="8" t="str">
        <f aca="false">IF($P1873=0,"-",IF($O1873&lt;=INDEX(PARAMETROS_CULTURAS!$F$6:$F$28,$P1873),"INICIAL",IF($O1873&lt;=INDEX(PARAMETROS_CULTURAS!$F$6:$F$28,$P1873)+INDEX(PARAMETROS_CULTURAS!$G$6:$G$28,$P1873),"DESENVOLVIMENTO",IF($O1873&lt;=INDEX(PARAMETROS_CULTURAS!$F$6:$F$28,$P1873)+INDEX(PARAMETROS_CULTURAS!$G$6:$G$28,$P1873)+INDEX(PARAMETROS_CULTURAS!$H$6:$H$28,$P1873),"MEDIA","FINAL"))))</f>
        <v>DESENVOLVIMENTO</v>
      </c>
      <c r="R1873" s="24" t="n">
        <f aca="false">IF($P1873=0,0,IF($O1873&lt;=INDEX(PARAMETROS_CULTURAS!$F$6:$F$28,$P1873),INDEX(PARAMETROS_CULTURAS!$K$6:$K$28,$P1873),IF($O1873&lt;=INDEX(PARAMETROS_CULTURAS!$F$6:$F$28,$P1873)+INDEX(PARAMETROS_CULTURAS!$G$6:$G$28,$P1873),INDEX(PARAMETROS_CULTURAS!$K$6:$K$28,$P1873)+(INDEX(PARAMETROS_CULTURAS!$L$6:$L$28,$P1873)-INDEX(PARAMETROS_CULTURAS!$K$6:$K$28,$P1873))*($O1873-INDEX(PARAMETROS_CULTURAS!$F$6:$F$28,$P1873))/MAX(INDEX(PARAMETROS_CULTURAS!$G$6:$G$28,$P1873),0.0001),IF($O1873&lt;=INDEX(PARAMETROS_CULTURAS!$F$6:$F$28,$P1873)+INDEX(PARAMETROS_CULTURAS!$G$6:$G$28,$P1873)+INDEX(PARAMETROS_CULTURAS!$H$6:$H$28,$P1873),INDEX(PARAMETROS_CULTURAS!$L$6:$L$28,$P1873),INDEX(PARAMETROS_CULTURAS!$L$6:$L$28,$P1873)+(INDEX(PARAMETROS_CULTURAS!$M$6:$M$28,$P1873)-INDEX(PARAMETROS_CULTURAS!$L$6:$L$28,$P1873))*($O1873-INDEX(PARAMETROS_CULTURAS!$F$6:$F$28,$P1873)-INDEX(PARAMETROS_CULTURAS!$G$6:$G$28,$P1873)-INDEX(PARAMETROS_CULTURAS!$H$6:$H$28,$P1873))/MAX(INDEX(PARAMETROS_CULTURAS!$I$6:$I$28,$P1873),0.0001)))))</f>
        <v>0.582741617357002</v>
      </c>
      <c r="S1873" s="18" t="n">
        <f aca="false">IFERROR(INDEX(SEMANAS!$H$6:$H$71,MATCH($B1873,SEMANAS!$B$6:$B$71,0)),0)</f>
        <v>33.6</v>
      </c>
      <c r="T1873" s="18" t="n">
        <f aca="false">$R1873*$S1873</f>
        <v>19.5801183431953</v>
      </c>
      <c r="U1873" s="18" t="n">
        <f aca="false">IFERROR(INDEX(SEMANAS!$I$6:$I$71,MATCH($B1873,SEMANAS!$B$6:$B$71,0)),0)</f>
        <v>45.15</v>
      </c>
      <c r="V1873" s="18" t="n">
        <f aca="false">IFERROR(INDEX(SEMANAS!$J$6:$J$71,MATCH($B1873,SEMANAS!$B$6:$B$71,0)),0)</f>
        <v>36.12</v>
      </c>
      <c r="W1873" s="18" t="n">
        <f aca="false">MAX(0,$T1873-$V1873)</f>
        <v>0</v>
      </c>
      <c r="X1873" s="19" t="n">
        <f aca="false">IFERROR(INDEX(CADASTRO_PIVOS!$K$6:$K$41,MATCH($E1873,CADASTRO_PIVOS!$B$6:$B$41,0)),EFICIENCIA_PADRAO)</f>
        <v>0.85</v>
      </c>
      <c r="Y1873" s="18" t="n">
        <f aca="false">IF($X1873&lt;=0,0,$W1873/$X1873)</f>
        <v>0</v>
      </c>
      <c r="Z1873" s="16" t="n">
        <f aca="false">$Y1873*$H1873*MM_PARA_M3_HA</f>
        <v>0</v>
      </c>
      <c r="AA1873" s="18" t="n">
        <f aca="false">IFERROR(INDEX(CADASTRO_PIVOS!$I$6:$I$41,MATCH($E1873,CADASTRO_PIVOS!$B$6:$B$41,0)),0)</f>
        <v>710.571428571429</v>
      </c>
      <c r="AB1873" s="18" t="n">
        <f aca="false">IF($Z1873&lt;=0,0,$Z1873/$AA1873)</f>
        <v>0</v>
      </c>
      <c r="AC1873" s="16" t="n">
        <f aca="false">IFERROR(INDEX(SEMANAS!$K$6:$K$71,MATCH($B1873,SEMANAS!$B$6:$B$71,0)),0)</f>
        <v>147</v>
      </c>
      <c r="AD1873" s="19" t="n">
        <f aca="false">IF($AC1873&lt;=0,0,$AB1873/$AC1873)</f>
        <v>0</v>
      </c>
      <c r="AE1873" s="8" t="str">
        <f aca="false">IF($K1873="SEM CULTURA","SEM CULTURA",IF($AA1873&lt;=0,"DADO PENDENTE",IF($AD1873&gt;LIMITE_CRITICO,"INVIAVEL",IF($AD1873&gt;LIMITE_ATENCAO,"CRITICO",IF($AD1873&gt;LIMITE_CONFORTAVEL,"ATENCAO","OK")))))</f>
        <v>OK</v>
      </c>
      <c r="AF1873" s="8" t="str">
        <f aca="false">$B1873&amp;"|"&amp;TEXT($AD1873,"0.000000")</f>
        <v>20|0.000000</v>
      </c>
      <c r="AG1873" s="18" t="n">
        <f aca="false">IF($K1873="SEM CULTURA",0,$T1873*$H1873)</f>
        <v>1947.83017278107</v>
      </c>
      <c r="AH1873" s="18" t="n">
        <f aca="false">IF($K1873="SEM CULTURA",0,$V1873*$H1873)</f>
        <v>3593.2176</v>
      </c>
      <c r="AI1873" s="18" t="n">
        <f aca="false">IF($K1873="SEM CULTURA",0,$W1873*$H1873)</f>
        <v>0</v>
      </c>
      <c r="AJ1873" s="18" t="n">
        <f aca="false">IF($K1873="SEM CULTURA",0,$S1873*$H1873)</f>
        <v>3342.528</v>
      </c>
      <c r="AK1873" s="8" t="str">
        <f aca="false">$E1873&amp;"|"&amp;TEXT($AD1873,"0.000000")</f>
        <v>PV 125|0.000000</v>
      </c>
    </row>
    <row r="1874" customFormat="false" ht="15" hidden="false" customHeight="false" outlineLevel="0" collapsed="false">
      <c r="B1874" s="16" t="n">
        <v>21</v>
      </c>
      <c r="C1874" s="17" t="n">
        <f aca="false">DATA_INICIO_SAFRA+($B1874-1)*DIAS_POR_SEMANA</f>
        <v>46405</v>
      </c>
      <c r="D1874" s="17" t="n">
        <f aca="false">$C1874+DIAS_POR_SEMANA-1</f>
        <v>46411</v>
      </c>
      <c r="E1874" s="15" t="s">
        <v>287</v>
      </c>
      <c r="F1874" s="8" t="str">
        <f aca="false">IFERROR(INDEX(CADASTRO_PIVOS!$C$6:$C$41,MATCH($E1874,CADASTRO_PIVOS!$B$6:$B$41,0)),"?")</f>
        <v>RM07</v>
      </c>
      <c r="G1874" s="8" t="str">
        <f aca="false">IFERROR(INDEX(CADASTRO_PIVOS!$D$6:$D$41,MATCH($E1874,CADASTRO_PIVOS!$B$6:$B$41,0)),"?")</f>
        <v>TR07</v>
      </c>
      <c r="H1874" s="20" t="n">
        <f aca="false">IFERROR(INDEX(CADASTRO_PIVOS!$E$6:$E$41,MATCH($E1874,CADASTRO_PIVOS!$B$6:$B$41,0)),0)</f>
        <v>99.48</v>
      </c>
      <c r="I1874" s="16" t="n">
        <f aca="false">IFERROR(SUMIFS(ROTACAO_RDM!$B$6:$B$71,ROTACAO_RDM!$D$6:$D$71,$E1874,ROTACAO_RDM!$I$6:$I$71,"&lt;="&amp;$C1874+INT(DIAS_POR_SEMANA/2),ROTACAO_RDM!$J$6:$J$71,"&gt;="&amp;$C1874+INT(DIAS_POR_SEMANA/2)),0)</f>
        <v>47</v>
      </c>
      <c r="J1874" s="16" t="n">
        <f aca="false">IFERROR(MATCH($I1874,ROTACAO_RDM!$B$6:$B$71,0),0)</f>
        <v>47</v>
      </c>
      <c r="K1874" s="8" t="str">
        <f aca="false">IF($J1874=0,"SEM CULTURA",INDEX(ROTACAO_RDM!$F$6:$F$71,$J1874))</f>
        <v>ALGODAO</v>
      </c>
      <c r="L1874" s="8" t="str">
        <f aca="false">IF($J1874=0,"",INDEX(ROTACAO_RDM!$G$6:$G$71,$J1874))</f>
        <v>FM 974 GLT</v>
      </c>
      <c r="M1874" s="17" t="n">
        <f aca="false">IF($J1874=0,"",INDEX(ROTACAO_RDM!$I$6:$I$71,$J1874))</f>
        <v>46357</v>
      </c>
      <c r="N1874" s="16" t="n">
        <f aca="false">IF($J1874=0,0,MAX(0,$C1874+INT(DIAS_POR_SEMANA/2)-INDEX(ROTACAO_RDM!$I$6:$I$71,$J1874)))</f>
        <v>51</v>
      </c>
      <c r="O1874" s="19" t="n">
        <f aca="false">IF($J1874=0,0,MIN(1,$N1874/MAX(1,INDEX(ROTACAO_RDM!$K$6:$K$71,$J1874))))</f>
        <v>0.261538461538462</v>
      </c>
      <c r="P1874" s="16" t="n">
        <f aca="false">IF($J1874=0,0,IFERROR(MATCH(INDEX(ROTACAO_RDM!$N$6:$N$71,$J1874),PARAMETROS_CULTURAS!$B$6:$B$28,0),0))</f>
        <v>5</v>
      </c>
      <c r="Q1874" s="8" t="str">
        <f aca="false">IF($P1874=0,"-",IF($O1874&lt;=INDEX(PARAMETROS_CULTURAS!$F$6:$F$28,$P1874),"INICIAL",IF($O1874&lt;=INDEX(PARAMETROS_CULTURAS!$F$6:$F$28,$P1874)+INDEX(PARAMETROS_CULTURAS!$G$6:$G$28,$P1874),"DESENVOLVIMENTO",IF($O1874&lt;=INDEX(PARAMETROS_CULTURAS!$F$6:$F$28,$P1874)+INDEX(PARAMETROS_CULTURAS!$G$6:$G$28,$P1874)+INDEX(PARAMETROS_CULTURAS!$H$6:$H$28,$P1874),"MEDIA","FINAL"))))</f>
        <v>DESENVOLVIMENTO</v>
      </c>
      <c r="R1874" s="24" t="n">
        <f aca="false">IF($P1874=0,0,IF($O1874&lt;=INDEX(PARAMETROS_CULTURAS!$F$6:$F$28,$P1874),INDEX(PARAMETROS_CULTURAS!$K$6:$K$28,$P1874),IF($O1874&lt;=INDEX(PARAMETROS_CULTURAS!$F$6:$F$28,$P1874)+INDEX(PARAMETROS_CULTURAS!$G$6:$G$28,$P1874),INDEX(PARAMETROS_CULTURAS!$K$6:$K$28,$P1874)+(INDEX(PARAMETROS_CULTURAS!$L$6:$L$28,$P1874)-INDEX(PARAMETROS_CULTURAS!$K$6:$K$28,$P1874))*($O1874-INDEX(PARAMETROS_CULTURAS!$F$6:$F$28,$P1874))/MAX(INDEX(PARAMETROS_CULTURAS!$G$6:$G$28,$P1874),0.0001),IF($O1874&lt;=INDEX(PARAMETROS_CULTURAS!$F$6:$F$28,$P1874)+INDEX(PARAMETROS_CULTURAS!$G$6:$G$28,$P1874)+INDEX(PARAMETROS_CULTURAS!$H$6:$H$28,$P1874),INDEX(PARAMETROS_CULTURAS!$L$6:$L$28,$P1874),INDEX(PARAMETROS_CULTURAS!$L$6:$L$28,$P1874)+(INDEX(PARAMETROS_CULTURAS!$M$6:$M$28,$P1874)-INDEX(PARAMETROS_CULTURAS!$L$6:$L$28,$P1874))*($O1874-INDEX(PARAMETROS_CULTURAS!$F$6:$F$28,$P1874)-INDEX(PARAMETROS_CULTURAS!$G$6:$G$28,$P1874)-INDEX(PARAMETROS_CULTURAS!$H$6:$H$28,$P1874))/MAX(INDEX(PARAMETROS_CULTURAS!$I$6:$I$28,$P1874),0.0001)))))</f>
        <v>0.693195266272189</v>
      </c>
      <c r="S1874" s="18" t="n">
        <f aca="false">IFERROR(INDEX(SEMANAS!$H$6:$H$71,MATCH($B1874,SEMANAS!$B$6:$B$71,0)),0)</f>
        <v>33.6</v>
      </c>
      <c r="T1874" s="18" t="n">
        <f aca="false">$R1874*$S1874</f>
        <v>23.2913609467456</v>
      </c>
      <c r="U1874" s="18" t="n">
        <f aca="false">IFERROR(INDEX(SEMANAS!$I$6:$I$71,MATCH($B1874,SEMANAS!$B$6:$B$71,0)),0)</f>
        <v>45.15</v>
      </c>
      <c r="V1874" s="18" t="n">
        <f aca="false">IFERROR(INDEX(SEMANAS!$J$6:$J$71,MATCH($B1874,SEMANAS!$B$6:$B$71,0)),0)</f>
        <v>36.12</v>
      </c>
      <c r="W1874" s="18" t="n">
        <f aca="false">MAX(0,$T1874-$V1874)</f>
        <v>0</v>
      </c>
      <c r="X1874" s="19" t="n">
        <f aca="false">IFERROR(INDEX(CADASTRO_PIVOS!$K$6:$K$41,MATCH($E1874,CADASTRO_PIVOS!$B$6:$B$41,0)),EFICIENCIA_PADRAO)</f>
        <v>0.85</v>
      </c>
      <c r="Y1874" s="18" t="n">
        <f aca="false">IF($X1874&lt;=0,0,$W1874/$X1874)</f>
        <v>0</v>
      </c>
      <c r="Z1874" s="16" t="n">
        <f aca="false">$Y1874*$H1874*MM_PARA_M3_HA</f>
        <v>0</v>
      </c>
      <c r="AA1874" s="18" t="n">
        <f aca="false">IFERROR(INDEX(CADASTRO_PIVOS!$I$6:$I$41,MATCH($E1874,CADASTRO_PIVOS!$B$6:$B$41,0)),0)</f>
        <v>710.571428571429</v>
      </c>
      <c r="AB1874" s="18" t="n">
        <f aca="false">IF($Z1874&lt;=0,0,$Z1874/$AA1874)</f>
        <v>0</v>
      </c>
      <c r="AC1874" s="16" t="n">
        <f aca="false">IFERROR(INDEX(SEMANAS!$K$6:$K$71,MATCH($B1874,SEMANAS!$B$6:$B$71,0)),0)</f>
        <v>147</v>
      </c>
      <c r="AD1874" s="19" t="n">
        <f aca="false">IF($AC1874&lt;=0,0,$AB1874/$AC1874)</f>
        <v>0</v>
      </c>
      <c r="AE1874" s="8" t="str">
        <f aca="false">IF($K1874="SEM CULTURA","SEM CULTURA",IF($AA1874&lt;=0,"DADO PENDENTE",IF($AD1874&gt;LIMITE_CRITICO,"INVIAVEL",IF($AD1874&gt;LIMITE_ATENCAO,"CRITICO",IF($AD1874&gt;LIMITE_CONFORTAVEL,"ATENCAO","OK")))))</f>
        <v>OK</v>
      </c>
      <c r="AF1874" s="8" t="str">
        <f aca="false">$B1874&amp;"|"&amp;TEXT($AD1874,"0.000000")</f>
        <v>21|0.000000</v>
      </c>
      <c r="AG1874" s="18" t="n">
        <f aca="false">IF($K1874="SEM CULTURA",0,$T1874*$H1874)</f>
        <v>2317.02458698225</v>
      </c>
      <c r="AH1874" s="18" t="n">
        <f aca="false">IF($K1874="SEM CULTURA",0,$V1874*$H1874)</f>
        <v>3593.2176</v>
      </c>
      <c r="AI1874" s="18" t="n">
        <f aca="false">IF($K1874="SEM CULTURA",0,$W1874*$H1874)</f>
        <v>0</v>
      </c>
      <c r="AJ1874" s="18" t="n">
        <f aca="false">IF($K1874="SEM CULTURA",0,$S1874*$H1874)</f>
        <v>3342.528</v>
      </c>
      <c r="AK1874" s="8" t="str">
        <f aca="false">$E1874&amp;"|"&amp;TEXT($AD1874,"0.000000")</f>
        <v>PV 125|0.000000</v>
      </c>
    </row>
    <row r="1875" customFormat="false" ht="15" hidden="false" customHeight="false" outlineLevel="0" collapsed="false">
      <c r="B1875" s="16" t="n">
        <v>22</v>
      </c>
      <c r="C1875" s="17" t="n">
        <f aca="false">DATA_INICIO_SAFRA+($B1875-1)*DIAS_POR_SEMANA</f>
        <v>46412</v>
      </c>
      <c r="D1875" s="17" t="n">
        <f aca="false">$C1875+DIAS_POR_SEMANA-1</f>
        <v>46418</v>
      </c>
      <c r="E1875" s="15" t="s">
        <v>287</v>
      </c>
      <c r="F1875" s="8" t="str">
        <f aca="false">IFERROR(INDEX(CADASTRO_PIVOS!$C$6:$C$41,MATCH($E1875,CADASTRO_PIVOS!$B$6:$B$41,0)),"?")</f>
        <v>RM07</v>
      </c>
      <c r="G1875" s="8" t="str">
        <f aca="false">IFERROR(INDEX(CADASTRO_PIVOS!$D$6:$D$41,MATCH($E1875,CADASTRO_PIVOS!$B$6:$B$41,0)),"?")</f>
        <v>TR07</v>
      </c>
      <c r="H1875" s="20" t="n">
        <f aca="false">IFERROR(INDEX(CADASTRO_PIVOS!$E$6:$E$41,MATCH($E1875,CADASTRO_PIVOS!$B$6:$B$41,0)),0)</f>
        <v>99.48</v>
      </c>
      <c r="I1875" s="16" t="n">
        <f aca="false">IFERROR(SUMIFS(ROTACAO_RDM!$B$6:$B$71,ROTACAO_RDM!$D$6:$D$71,$E1875,ROTACAO_RDM!$I$6:$I$71,"&lt;="&amp;$C1875+INT(DIAS_POR_SEMANA/2),ROTACAO_RDM!$J$6:$J$71,"&gt;="&amp;$C1875+INT(DIAS_POR_SEMANA/2)),0)</f>
        <v>47</v>
      </c>
      <c r="J1875" s="16" t="n">
        <f aca="false">IFERROR(MATCH($I1875,ROTACAO_RDM!$B$6:$B$71,0),0)</f>
        <v>47</v>
      </c>
      <c r="K1875" s="8" t="str">
        <f aca="false">IF($J1875=0,"SEM CULTURA",INDEX(ROTACAO_RDM!$F$6:$F$71,$J1875))</f>
        <v>ALGODAO</v>
      </c>
      <c r="L1875" s="8" t="str">
        <f aca="false">IF($J1875=0,"",INDEX(ROTACAO_RDM!$G$6:$G$71,$J1875))</f>
        <v>FM 974 GLT</v>
      </c>
      <c r="M1875" s="17" t="n">
        <f aca="false">IF($J1875=0,"",INDEX(ROTACAO_RDM!$I$6:$I$71,$J1875))</f>
        <v>46357</v>
      </c>
      <c r="N1875" s="16" t="n">
        <f aca="false">IF($J1875=0,0,MAX(0,$C1875+INT(DIAS_POR_SEMANA/2)-INDEX(ROTACAO_RDM!$I$6:$I$71,$J1875)))</f>
        <v>58</v>
      </c>
      <c r="O1875" s="19" t="n">
        <f aca="false">IF($J1875=0,0,MIN(1,$N1875/MAX(1,INDEX(ROTACAO_RDM!$K$6:$K$71,$J1875))))</f>
        <v>0.297435897435897</v>
      </c>
      <c r="P1875" s="16" t="n">
        <f aca="false">IF($J1875=0,0,IFERROR(MATCH(INDEX(ROTACAO_RDM!$N$6:$N$71,$J1875),PARAMETROS_CULTURAS!$B$6:$B$28,0),0))</f>
        <v>5</v>
      </c>
      <c r="Q1875" s="8" t="str">
        <f aca="false">IF($P1875=0,"-",IF($O1875&lt;=INDEX(PARAMETROS_CULTURAS!$F$6:$F$28,$P1875),"INICIAL",IF($O1875&lt;=INDEX(PARAMETROS_CULTURAS!$F$6:$F$28,$P1875)+INDEX(PARAMETROS_CULTURAS!$G$6:$G$28,$P1875),"DESENVOLVIMENTO",IF($O1875&lt;=INDEX(PARAMETROS_CULTURAS!$F$6:$F$28,$P1875)+INDEX(PARAMETROS_CULTURAS!$G$6:$G$28,$P1875)+INDEX(PARAMETROS_CULTURAS!$H$6:$H$28,$P1875),"MEDIA","FINAL"))))</f>
        <v>DESENVOLVIMENTO</v>
      </c>
      <c r="R1875" s="24" t="n">
        <f aca="false">IF($P1875=0,0,IF($O1875&lt;=INDEX(PARAMETROS_CULTURAS!$F$6:$F$28,$P1875),INDEX(PARAMETROS_CULTURAS!$K$6:$K$28,$P1875),IF($O1875&lt;=INDEX(PARAMETROS_CULTURAS!$F$6:$F$28,$P1875)+INDEX(PARAMETROS_CULTURAS!$G$6:$G$28,$P1875),INDEX(PARAMETROS_CULTURAS!$K$6:$K$28,$P1875)+(INDEX(PARAMETROS_CULTURAS!$L$6:$L$28,$P1875)-INDEX(PARAMETROS_CULTURAS!$K$6:$K$28,$P1875))*($O1875-INDEX(PARAMETROS_CULTURAS!$F$6:$F$28,$P1875))/MAX(INDEX(PARAMETROS_CULTURAS!$G$6:$G$28,$P1875),0.0001),IF($O1875&lt;=INDEX(PARAMETROS_CULTURAS!$F$6:$F$28,$P1875)+INDEX(PARAMETROS_CULTURAS!$G$6:$G$28,$P1875)+INDEX(PARAMETROS_CULTURAS!$H$6:$H$28,$P1875),INDEX(PARAMETROS_CULTURAS!$L$6:$L$28,$P1875),INDEX(PARAMETROS_CULTURAS!$L$6:$L$28,$P1875)+(INDEX(PARAMETROS_CULTURAS!$M$6:$M$28,$P1875)-INDEX(PARAMETROS_CULTURAS!$L$6:$L$28,$P1875))*($O1875-INDEX(PARAMETROS_CULTURAS!$F$6:$F$28,$P1875)-INDEX(PARAMETROS_CULTURAS!$G$6:$G$28,$P1875)-INDEX(PARAMETROS_CULTURAS!$H$6:$H$28,$P1875))/MAX(INDEX(PARAMETROS_CULTURAS!$I$6:$I$28,$P1875),0.0001)))))</f>
        <v>0.803648915187377</v>
      </c>
      <c r="S1875" s="18" t="n">
        <f aca="false">IFERROR(INDEX(SEMANAS!$H$6:$H$71,MATCH($B1875,SEMANAS!$B$6:$B$71,0)),0)</f>
        <v>33.6</v>
      </c>
      <c r="T1875" s="18" t="n">
        <f aca="false">$R1875*$S1875</f>
        <v>27.0026035502959</v>
      </c>
      <c r="U1875" s="18" t="n">
        <f aca="false">IFERROR(INDEX(SEMANAS!$I$6:$I$71,MATCH($B1875,SEMANAS!$B$6:$B$71,0)),0)</f>
        <v>45.15</v>
      </c>
      <c r="V1875" s="18" t="n">
        <f aca="false">IFERROR(INDEX(SEMANAS!$J$6:$J$71,MATCH($B1875,SEMANAS!$B$6:$B$71,0)),0)</f>
        <v>36.12</v>
      </c>
      <c r="W1875" s="18" t="n">
        <f aca="false">MAX(0,$T1875-$V1875)</f>
        <v>0</v>
      </c>
      <c r="X1875" s="19" t="n">
        <f aca="false">IFERROR(INDEX(CADASTRO_PIVOS!$K$6:$K$41,MATCH($E1875,CADASTRO_PIVOS!$B$6:$B$41,0)),EFICIENCIA_PADRAO)</f>
        <v>0.85</v>
      </c>
      <c r="Y1875" s="18" t="n">
        <f aca="false">IF($X1875&lt;=0,0,$W1875/$X1875)</f>
        <v>0</v>
      </c>
      <c r="Z1875" s="16" t="n">
        <f aca="false">$Y1875*$H1875*MM_PARA_M3_HA</f>
        <v>0</v>
      </c>
      <c r="AA1875" s="18" t="n">
        <f aca="false">IFERROR(INDEX(CADASTRO_PIVOS!$I$6:$I$41,MATCH($E1875,CADASTRO_PIVOS!$B$6:$B$41,0)),0)</f>
        <v>710.571428571429</v>
      </c>
      <c r="AB1875" s="18" t="n">
        <f aca="false">IF($Z1875&lt;=0,0,$Z1875/$AA1875)</f>
        <v>0</v>
      </c>
      <c r="AC1875" s="16" t="n">
        <f aca="false">IFERROR(INDEX(SEMANAS!$K$6:$K$71,MATCH($B1875,SEMANAS!$B$6:$B$71,0)),0)</f>
        <v>147</v>
      </c>
      <c r="AD1875" s="19" t="n">
        <f aca="false">IF($AC1875&lt;=0,0,$AB1875/$AC1875)</f>
        <v>0</v>
      </c>
      <c r="AE1875" s="8" t="str">
        <f aca="false">IF($K1875="SEM CULTURA","SEM CULTURA",IF($AA1875&lt;=0,"DADO PENDENTE",IF($AD1875&gt;LIMITE_CRITICO,"INVIAVEL",IF($AD1875&gt;LIMITE_ATENCAO,"CRITICO",IF($AD1875&gt;LIMITE_CONFORTAVEL,"ATENCAO","OK")))))</f>
        <v>OK</v>
      </c>
      <c r="AF1875" s="8" t="str">
        <f aca="false">$B1875&amp;"|"&amp;TEXT($AD1875,"0.000000")</f>
        <v>22|0.000000</v>
      </c>
      <c r="AG1875" s="18" t="n">
        <f aca="false">IF($K1875="SEM CULTURA",0,$T1875*$H1875)</f>
        <v>2686.21900118343</v>
      </c>
      <c r="AH1875" s="18" t="n">
        <f aca="false">IF($K1875="SEM CULTURA",0,$V1875*$H1875)</f>
        <v>3593.2176</v>
      </c>
      <c r="AI1875" s="18" t="n">
        <f aca="false">IF($K1875="SEM CULTURA",0,$W1875*$H1875)</f>
        <v>0</v>
      </c>
      <c r="AJ1875" s="18" t="n">
        <f aca="false">IF($K1875="SEM CULTURA",0,$S1875*$H1875)</f>
        <v>3342.528</v>
      </c>
      <c r="AK1875" s="8" t="str">
        <f aca="false">$E1875&amp;"|"&amp;TEXT($AD1875,"0.000000")</f>
        <v>PV 125|0.000000</v>
      </c>
    </row>
    <row r="1876" customFormat="false" ht="15" hidden="false" customHeight="false" outlineLevel="0" collapsed="false">
      <c r="B1876" s="16" t="n">
        <v>23</v>
      </c>
      <c r="C1876" s="17" t="n">
        <f aca="false">DATA_INICIO_SAFRA+($B1876-1)*DIAS_POR_SEMANA</f>
        <v>46419</v>
      </c>
      <c r="D1876" s="17" t="n">
        <f aca="false">$C1876+DIAS_POR_SEMANA-1</f>
        <v>46425</v>
      </c>
      <c r="E1876" s="15" t="s">
        <v>287</v>
      </c>
      <c r="F1876" s="8" t="str">
        <f aca="false">IFERROR(INDEX(CADASTRO_PIVOS!$C$6:$C$41,MATCH($E1876,CADASTRO_PIVOS!$B$6:$B$41,0)),"?")</f>
        <v>RM07</v>
      </c>
      <c r="G1876" s="8" t="str">
        <f aca="false">IFERROR(INDEX(CADASTRO_PIVOS!$D$6:$D$41,MATCH($E1876,CADASTRO_PIVOS!$B$6:$B$41,0)),"?")</f>
        <v>TR07</v>
      </c>
      <c r="H1876" s="20" t="n">
        <f aca="false">IFERROR(INDEX(CADASTRO_PIVOS!$E$6:$E$41,MATCH($E1876,CADASTRO_PIVOS!$B$6:$B$41,0)),0)</f>
        <v>99.48</v>
      </c>
      <c r="I1876" s="16" t="n">
        <f aca="false">IFERROR(SUMIFS(ROTACAO_RDM!$B$6:$B$71,ROTACAO_RDM!$D$6:$D$71,$E1876,ROTACAO_RDM!$I$6:$I$71,"&lt;="&amp;$C1876+INT(DIAS_POR_SEMANA/2),ROTACAO_RDM!$J$6:$J$71,"&gt;="&amp;$C1876+INT(DIAS_POR_SEMANA/2)),0)</f>
        <v>47</v>
      </c>
      <c r="J1876" s="16" t="n">
        <f aca="false">IFERROR(MATCH($I1876,ROTACAO_RDM!$B$6:$B$71,0),0)</f>
        <v>47</v>
      </c>
      <c r="K1876" s="8" t="str">
        <f aca="false">IF($J1876=0,"SEM CULTURA",INDEX(ROTACAO_RDM!$F$6:$F$71,$J1876))</f>
        <v>ALGODAO</v>
      </c>
      <c r="L1876" s="8" t="str">
        <f aca="false">IF($J1876=0,"",INDEX(ROTACAO_RDM!$G$6:$G$71,$J1876))</f>
        <v>FM 974 GLT</v>
      </c>
      <c r="M1876" s="17" t="n">
        <f aca="false">IF($J1876=0,"",INDEX(ROTACAO_RDM!$I$6:$I$71,$J1876))</f>
        <v>46357</v>
      </c>
      <c r="N1876" s="16" t="n">
        <f aca="false">IF($J1876=0,0,MAX(0,$C1876+INT(DIAS_POR_SEMANA/2)-INDEX(ROTACAO_RDM!$I$6:$I$71,$J1876)))</f>
        <v>65</v>
      </c>
      <c r="O1876" s="19" t="n">
        <f aca="false">IF($J1876=0,0,MIN(1,$N1876/MAX(1,INDEX(ROTACAO_RDM!$K$6:$K$71,$J1876))))</f>
        <v>0.333333333333333</v>
      </c>
      <c r="P1876" s="16" t="n">
        <f aca="false">IF($J1876=0,0,IFERROR(MATCH(INDEX(ROTACAO_RDM!$N$6:$N$71,$J1876),PARAMETROS_CULTURAS!$B$6:$B$28,0),0))</f>
        <v>5</v>
      </c>
      <c r="Q1876" s="8" t="str">
        <f aca="false">IF($P1876=0,"-",IF($O1876&lt;=INDEX(PARAMETROS_CULTURAS!$F$6:$F$28,$P1876),"INICIAL",IF($O1876&lt;=INDEX(PARAMETROS_CULTURAS!$F$6:$F$28,$P1876)+INDEX(PARAMETROS_CULTURAS!$G$6:$G$28,$P1876),"DESENVOLVIMENTO",IF($O1876&lt;=INDEX(PARAMETROS_CULTURAS!$F$6:$F$28,$P1876)+INDEX(PARAMETROS_CULTURAS!$G$6:$G$28,$P1876)+INDEX(PARAMETROS_CULTURAS!$H$6:$H$28,$P1876),"MEDIA","FINAL"))))</f>
        <v>DESENVOLVIMENTO</v>
      </c>
      <c r="R1876" s="24" t="n">
        <f aca="false">IF($P1876=0,0,IF($O1876&lt;=INDEX(PARAMETROS_CULTURAS!$F$6:$F$28,$P1876),INDEX(PARAMETROS_CULTURAS!$K$6:$K$28,$P1876),IF($O1876&lt;=INDEX(PARAMETROS_CULTURAS!$F$6:$F$28,$P1876)+INDEX(PARAMETROS_CULTURAS!$G$6:$G$28,$P1876),INDEX(PARAMETROS_CULTURAS!$K$6:$K$28,$P1876)+(INDEX(PARAMETROS_CULTURAS!$L$6:$L$28,$P1876)-INDEX(PARAMETROS_CULTURAS!$K$6:$K$28,$P1876))*($O1876-INDEX(PARAMETROS_CULTURAS!$F$6:$F$28,$P1876))/MAX(INDEX(PARAMETROS_CULTURAS!$G$6:$G$28,$P1876),0.0001),IF($O1876&lt;=INDEX(PARAMETROS_CULTURAS!$F$6:$F$28,$P1876)+INDEX(PARAMETROS_CULTURAS!$G$6:$G$28,$P1876)+INDEX(PARAMETROS_CULTURAS!$H$6:$H$28,$P1876),INDEX(PARAMETROS_CULTURAS!$L$6:$L$28,$P1876),INDEX(PARAMETROS_CULTURAS!$L$6:$L$28,$P1876)+(INDEX(PARAMETROS_CULTURAS!$M$6:$M$28,$P1876)-INDEX(PARAMETROS_CULTURAS!$L$6:$L$28,$P1876))*($O1876-INDEX(PARAMETROS_CULTURAS!$F$6:$F$28,$P1876)-INDEX(PARAMETROS_CULTURAS!$G$6:$G$28,$P1876)-INDEX(PARAMETROS_CULTURAS!$H$6:$H$28,$P1876))/MAX(INDEX(PARAMETROS_CULTURAS!$I$6:$I$28,$P1876),0.0001)))))</f>
        <v>0.914102564102564</v>
      </c>
      <c r="S1876" s="18" t="n">
        <f aca="false">IFERROR(INDEX(SEMANAS!$H$6:$H$71,MATCH($B1876,SEMANAS!$B$6:$B$71,0)),0)</f>
        <v>32.9</v>
      </c>
      <c r="T1876" s="18" t="n">
        <f aca="false">$R1876*$S1876</f>
        <v>30.0739743589744</v>
      </c>
      <c r="U1876" s="18" t="n">
        <f aca="false">IFERROR(INDEX(SEMANAS!$I$6:$I$71,MATCH($B1876,SEMANAS!$B$6:$B$71,0)),0)</f>
        <v>39.97</v>
      </c>
      <c r="V1876" s="18" t="n">
        <f aca="false">IFERROR(INDEX(SEMANAS!$J$6:$J$71,MATCH($B1876,SEMANAS!$B$6:$B$71,0)),0)</f>
        <v>31.976</v>
      </c>
      <c r="W1876" s="18" t="n">
        <f aca="false">MAX(0,$T1876-$V1876)</f>
        <v>0</v>
      </c>
      <c r="X1876" s="19" t="n">
        <f aca="false">IFERROR(INDEX(CADASTRO_PIVOS!$K$6:$K$41,MATCH($E1876,CADASTRO_PIVOS!$B$6:$B$41,0)),EFICIENCIA_PADRAO)</f>
        <v>0.85</v>
      </c>
      <c r="Y1876" s="18" t="n">
        <f aca="false">IF($X1876&lt;=0,0,$W1876/$X1876)</f>
        <v>0</v>
      </c>
      <c r="Z1876" s="16" t="n">
        <f aca="false">$Y1876*$H1876*MM_PARA_M3_HA</f>
        <v>0</v>
      </c>
      <c r="AA1876" s="18" t="n">
        <f aca="false">IFERROR(INDEX(CADASTRO_PIVOS!$I$6:$I$41,MATCH($E1876,CADASTRO_PIVOS!$B$6:$B$41,0)),0)</f>
        <v>710.571428571429</v>
      </c>
      <c r="AB1876" s="18" t="n">
        <f aca="false">IF($Z1876&lt;=0,0,$Z1876/$AA1876)</f>
        <v>0</v>
      </c>
      <c r="AC1876" s="16" t="n">
        <f aca="false">IFERROR(INDEX(SEMANAS!$K$6:$K$71,MATCH($B1876,SEMANAS!$B$6:$B$71,0)),0)</f>
        <v>147</v>
      </c>
      <c r="AD1876" s="19" t="n">
        <f aca="false">IF($AC1876&lt;=0,0,$AB1876/$AC1876)</f>
        <v>0</v>
      </c>
      <c r="AE1876" s="8" t="str">
        <f aca="false">IF($K1876="SEM CULTURA","SEM CULTURA",IF($AA1876&lt;=0,"DADO PENDENTE",IF($AD1876&gt;LIMITE_CRITICO,"INVIAVEL",IF($AD1876&gt;LIMITE_ATENCAO,"CRITICO",IF($AD1876&gt;LIMITE_CONFORTAVEL,"ATENCAO","OK")))))</f>
        <v>OK</v>
      </c>
      <c r="AF1876" s="8" t="str">
        <f aca="false">$B1876&amp;"|"&amp;TEXT($AD1876,"0.000000")</f>
        <v>23|0.000000</v>
      </c>
      <c r="AG1876" s="18" t="n">
        <f aca="false">IF($K1876="SEM CULTURA",0,$T1876*$H1876)</f>
        <v>2991.75896923077</v>
      </c>
      <c r="AH1876" s="18" t="n">
        <f aca="false">IF($K1876="SEM CULTURA",0,$V1876*$H1876)</f>
        <v>3180.97248</v>
      </c>
      <c r="AI1876" s="18" t="n">
        <f aca="false">IF($K1876="SEM CULTURA",0,$W1876*$H1876)</f>
        <v>0</v>
      </c>
      <c r="AJ1876" s="18" t="n">
        <f aca="false">IF($K1876="SEM CULTURA",0,$S1876*$H1876)</f>
        <v>3272.892</v>
      </c>
      <c r="AK1876" s="8" t="str">
        <f aca="false">$E1876&amp;"|"&amp;TEXT($AD1876,"0.000000")</f>
        <v>PV 125|0.000000</v>
      </c>
    </row>
    <row r="1877" customFormat="false" ht="15" hidden="false" customHeight="false" outlineLevel="0" collapsed="false">
      <c r="B1877" s="16" t="n">
        <v>24</v>
      </c>
      <c r="C1877" s="17" t="n">
        <f aca="false">DATA_INICIO_SAFRA+($B1877-1)*DIAS_POR_SEMANA</f>
        <v>46426</v>
      </c>
      <c r="D1877" s="17" t="n">
        <f aca="false">$C1877+DIAS_POR_SEMANA-1</f>
        <v>46432</v>
      </c>
      <c r="E1877" s="15" t="s">
        <v>287</v>
      </c>
      <c r="F1877" s="8" t="str">
        <f aca="false">IFERROR(INDEX(CADASTRO_PIVOS!$C$6:$C$41,MATCH($E1877,CADASTRO_PIVOS!$B$6:$B$41,0)),"?")</f>
        <v>RM07</v>
      </c>
      <c r="G1877" s="8" t="str">
        <f aca="false">IFERROR(INDEX(CADASTRO_PIVOS!$D$6:$D$41,MATCH($E1877,CADASTRO_PIVOS!$B$6:$B$41,0)),"?")</f>
        <v>TR07</v>
      </c>
      <c r="H1877" s="20" t="n">
        <f aca="false">IFERROR(INDEX(CADASTRO_PIVOS!$E$6:$E$41,MATCH($E1877,CADASTRO_PIVOS!$B$6:$B$41,0)),0)</f>
        <v>99.48</v>
      </c>
      <c r="I1877" s="16" t="n">
        <f aca="false">IFERROR(SUMIFS(ROTACAO_RDM!$B$6:$B$71,ROTACAO_RDM!$D$6:$D$71,$E1877,ROTACAO_RDM!$I$6:$I$71,"&lt;="&amp;$C1877+INT(DIAS_POR_SEMANA/2),ROTACAO_RDM!$J$6:$J$71,"&gt;="&amp;$C1877+INT(DIAS_POR_SEMANA/2)),0)</f>
        <v>47</v>
      </c>
      <c r="J1877" s="16" t="n">
        <f aca="false">IFERROR(MATCH($I1877,ROTACAO_RDM!$B$6:$B$71,0),0)</f>
        <v>47</v>
      </c>
      <c r="K1877" s="8" t="str">
        <f aca="false">IF($J1877=0,"SEM CULTURA",INDEX(ROTACAO_RDM!$F$6:$F$71,$J1877))</f>
        <v>ALGODAO</v>
      </c>
      <c r="L1877" s="8" t="str">
        <f aca="false">IF($J1877=0,"",INDEX(ROTACAO_RDM!$G$6:$G$71,$J1877))</f>
        <v>FM 974 GLT</v>
      </c>
      <c r="M1877" s="17" t="n">
        <f aca="false">IF($J1877=0,"",INDEX(ROTACAO_RDM!$I$6:$I$71,$J1877))</f>
        <v>46357</v>
      </c>
      <c r="N1877" s="16" t="n">
        <f aca="false">IF($J1877=0,0,MAX(0,$C1877+INT(DIAS_POR_SEMANA/2)-INDEX(ROTACAO_RDM!$I$6:$I$71,$J1877)))</f>
        <v>72</v>
      </c>
      <c r="O1877" s="19" t="n">
        <f aca="false">IF($J1877=0,0,MIN(1,$N1877/MAX(1,INDEX(ROTACAO_RDM!$K$6:$K$71,$J1877))))</f>
        <v>0.369230769230769</v>
      </c>
      <c r="P1877" s="16" t="n">
        <f aca="false">IF($J1877=0,0,IFERROR(MATCH(INDEX(ROTACAO_RDM!$N$6:$N$71,$J1877),PARAMETROS_CULTURAS!$B$6:$B$28,0),0))</f>
        <v>5</v>
      </c>
      <c r="Q1877" s="8" t="str">
        <f aca="false">IF($P1877=0,"-",IF($O1877&lt;=INDEX(PARAMETROS_CULTURAS!$F$6:$F$28,$P1877),"INICIAL",IF($O1877&lt;=INDEX(PARAMETROS_CULTURAS!$F$6:$F$28,$P1877)+INDEX(PARAMETROS_CULTURAS!$G$6:$G$28,$P1877),"DESENVOLVIMENTO",IF($O1877&lt;=INDEX(PARAMETROS_CULTURAS!$F$6:$F$28,$P1877)+INDEX(PARAMETROS_CULTURAS!$G$6:$G$28,$P1877)+INDEX(PARAMETROS_CULTURAS!$H$6:$H$28,$P1877),"MEDIA","FINAL"))))</f>
        <v>DESENVOLVIMENTO</v>
      </c>
      <c r="R1877" s="24" t="n">
        <f aca="false">IF($P1877=0,0,IF($O1877&lt;=INDEX(PARAMETROS_CULTURAS!$F$6:$F$28,$P1877),INDEX(PARAMETROS_CULTURAS!$K$6:$K$28,$P1877),IF($O1877&lt;=INDEX(PARAMETROS_CULTURAS!$F$6:$F$28,$P1877)+INDEX(PARAMETROS_CULTURAS!$G$6:$G$28,$P1877),INDEX(PARAMETROS_CULTURAS!$K$6:$K$28,$P1877)+(INDEX(PARAMETROS_CULTURAS!$L$6:$L$28,$P1877)-INDEX(PARAMETROS_CULTURAS!$K$6:$K$28,$P1877))*($O1877-INDEX(PARAMETROS_CULTURAS!$F$6:$F$28,$P1877))/MAX(INDEX(PARAMETROS_CULTURAS!$G$6:$G$28,$P1877),0.0001),IF($O1877&lt;=INDEX(PARAMETROS_CULTURAS!$F$6:$F$28,$P1877)+INDEX(PARAMETROS_CULTURAS!$G$6:$G$28,$P1877)+INDEX(PARAMETROS_CULTURAS!$H$6:$H$28,$P1877),INDEX(PARAMETROS_CULTURAS!$L$6:$L$28,$P1877),INDEX(PARAMETROS_CULTURAS!$L$6:$L$28,$P1877)+(INDEX(PARAMETROS_CULTURAS!$M$6:$M$28,$P1877)-INDEX(PARAMETROS_CULTURAS!$L$6:$L$28,$P1877))*($O1877-INDEX(PARAMETROS_CULTURAS!$F$6:$F$28,$P1877)-INDEX(PARAMETROS_CULTURAS!$G$6:$G$28,$P1877)-INDEX(PARAMETROS_CULTURAS!$H$6:$H$28,$P1877))/MAX(INDEX(PARAMETROS_CULTURAS!$I$6:$I$28,$P1877),0.0001)))))</f>
        <v>1.02455621301775</v>
      </c>
      <c r="S1877" s="18" t="n">
        <f aca="false">IFERROR(INDEX(SEMANAS!$H$6:$H$71,MATCH($B1877,SEMANAS!$B$6:$B$71,0)),0)</f>
        <v>32.9</v>
      </c>
      <c r="T1877" s="18" t="n">
        <f aca="false">$R1877*$S1877</f>
        <v>33.707899408284</v>
      </c>
      <c r="U1877" s="18" t="n">
        <f aca="false">IFERROR(INDEX(SEMANAS!$I$6:$I$71,MATCH($B1877,SEMANAS!$B$6:$B$71,0)),0)</f>
        <v>39.97</v>
      </c>
      <c r="V1877" s="18" t="n">
        <f aca="false">IFERROR(INDEX(SEMANAS!$J$6:$J$71,MATCH($B1877,SEMANAS!$B$6:$B$71,0)),0)</f>
        <v>31.976</v>
      </c>
      <c r="W1877" s="18" t="n">
        <f aca="false">MAX(0,$T1877-$V1877)</f>
        <v>1.73189940828402</v>
      </c>
      <c r="X1877" s="19" t="n">
        <f aca="false">IFERROR(INDEX(CADASTRO_PIVOS!$K$6:$K$41,MATCH($E1877,CADASTRO_PIVOS!$B$6:$B$41,0)),EFICIENCIA_PADRAO)</f>
        <v>0.85</v>
      </c>
      <c r="Y1877" s="18" t="n">
        <f aca="false">IF($X1877&lt;=0,0,$W1877/$X1877)</f>
        <v>2.03752871562826</v>
      </c>
      <c r="Z1877" s="16" t="n">
        <f aca="false">$Y1877*$H1877*MM_PARA_M3_HA</f>
        <v>2026.93356630699</v>
      </c>
      <c r="AA1877" s="18" t="n">
        <f aca="false">IFERROR(INDEX(CADASTRO_PIVOS!$I$6:$I$41,MATCH($E1877,CADASTRO_PIVOS!$B$6:$B$41,0)),0)</f>
        <v>710.571428571429</v>
      </c>
      <c r="AB1877" s="18" t="n">
        <f aca="false">IF($Z1877&lt;=0,0,$Z1877/$AA1877)</f>
        <v>2.85254020187956</v>
      </c>
      <c r="AC1877" s="16" t="n">
        <f aca="false">IFERROR(INDEX(SEMANAS!$K$6:$K$71,MATCH($B1877,SEMANAS!$B$6:$B$71,0)),0)</f>
        <v>147</v>
      </c>
      <c r="AD1877" s="19" t="n">
        <f aca="false">IF($AC1877&lt;=0,0,$AB1877/$AC1877)</f>
        <v>0.0194050353869358</v>
      </c>
      <c r="AE1877" s="8" t="str">
        <f aca="false">IF($K1877="SEM CULTURA","SEM CULTURA",IF($AA1877&lt;=0,"DADO PENDENTE",IF($AD1877&gt;LIMITE_CRITICO,"INVIAVEL",IF($AD1877&gt;LIMITE_ATENCAO,"CRITICO",IF($AD1877&gt;LIMITE_CONFORTAVEL,"ATENCAO","OK")))))</f>
        <v>OK</v>
      </c>
      <c r="AF1877" s="8" t="str">
        <f aca="false">$B1877&amp;"|"&amp;TEXT($AD1877,"0.000000")</f>
        <v>24|0.019405</v>
      </c>
      <c r="AG1877" s="18" t="n">
        <f aca="false">IF($K1877="SEM CULTURA",0,$T1877*$H1877)</f>
        <v>3353.26183313609</v>
      </c>
      <c r="AH1877" s="18" t="n">
        <f aca="false">IF($K1877="SEM CULTURA",0,$V1877*$H1877)</f>
        <v>3180.97248</v>
      </c>
      <c r="AI1877" s="18" t="n">
        <f aca="false">IF($K1877="SEM CULTURA",0,$W1877*$H1877)</f>
        <v>172.289353136094</v>
      </c>
      <c r="AJ1877" s="18" t="n">
        <f aca="false">IF($K1877="SEM CULTURA",0,$S1877*$H1877)</f>
        <v>3272.892</v>
      </c>
      <c r="AK1877" s="8" t="str">
        <f aca="false">$E1877&amp;"|"&amp;TEXT($AD1877,"0.000000")</f>
        <v>PV 125|0.019405</v>
      </c>
    </row>
    <row r="1878" customFormat="false" ht="15" hidden="false" customHeight="false" outlineLevel="0" collapsed="false">
      <c r="B1878" s="16" t="n">
        <v>25</v>
      </c>
      <c r="C1878" s="17" t="n">
        <f aca="false">DATA_INICIO_SAFRA+($B1878-1)*DIAS_POR_SEMANA</f>
        <v>46433</v>
      </c>
      <c r="D1878" s="17" t="n">
        <f aca="false">$C1878+DIAS_POR_SEMANA-1</f>
        <v>46439</v>
      </c>
      <c r="E1878" s="15" t="s">
        <v>287</v>
      </c>
      <c r="F1878" s="8" t="str">
        <f aca="false">IFERROR(INDEX(CADASTRO_PIVOS!$C$6:$C$41,MATCH($E1878,CADASTRO_PIVOS!$B$6:$B$41,0)),"?")</f>
        <v>RM07</v>
      </c>
      <c r="G1878" s="8" t="str">
        <f aca="false">IFERROR(INDEX(CADASTRO_PIVOS!$D$6:$D$41,MATCH($E1878,CADASTRO_PIVOS!$B$6:$B$41,0)),"?")</f>
        <v>TR07</v>
      </c>
      <c r="H1878" s="20" t="n">
        <f aca="false">IFERROR(INDEX(CADASTRO_PIVOS!$E$6:$E$41,MATCH($E1878,CADASTRO_PIVOS!$B$6:$B$41,0)),0)</f>
        <v>99.48</v>
      </c>
      <c r="I1878" s="16" t="n">
        <f aca="false">IFERROR(SUMIFS(ROTACAO_RDM!$B$6:$B$71,ROTACAO_RDM!$D$6:$D$71,$E1878,ROTACAO_RDM!$I$6:$I$71,"&lt;="&amp;$C1878+INT(DIAS_POR_SEMANA/2),ROTACAO_RDM!$J$6:$J$71,"&gt;="&amp;$C1878+INT(DIAS_POR_SEMANA/2)),0)</f>
        <v>47</v>
      </c>
      <c r="J1878" s="16" t="n">
        <f aca="false">IFERROR(MATCH($I1878,ROTACAO_RDM!$B$6:$B$71,0),0)</f>
        <v>47</v>
      </c>
      <c r="K1878" s="8" t="str">
        <f aca="false">IF($J1878=0,"SEM CULTURA",INDEX(ROTACAO_RDM!$F$6:$F$71,$J1878))</f>
        <v>ALGODAO</v>
      </c>
      <c r="L1878" s="8" t="str">
        <f aca="false">IF($J1878=0,"",INDEX(ROTACAO_RDM!$G$6:$G$71,$J1878))</f>
        <v>FM 974 GLT</v>
      </c>
      <c r="M1878" s="17" t="n">
        <f aca="false">IF($J1878=0,"",INDEX(ROTACAO_RDM!$I$6:$I$71,$J1878))</f>
        <v>46357</v>
      </c>
      <c r="N1878" s="16" t="n">
        <f aca="false">IF($J1878=0,0,MAX(0,$C1878+INT(DIAS_POR_SEMANA/2)-INDEX(ROTACAO_RDM!$I$6:$I$71,$J1878)))</f>
        <v>79</v>
      </c>
      <c r="O1878" s="19" t="n">
        <f aca="false">IF($J1878=0,0,MIN(1,$N1878/MAX(1,INDEX(ROTACAO_RDM!$K$6:$K$71,$J1878))))</f>
        <v>0.405128205128205</v>
      </c>
      <c r="P1878" s="16" t="n">
        <f aca="false">IF($J1878=0,0,IFERROR(MATCH(INDEX(ROTACAO_RDM!$N$6:$N$71,$J1878),PARAMETROS_CULTURAS!$B$6:$B$28,0),0))</f>
        <v>5</v>
      </c>
      <c r="Q1878" s="8" t="str">
        <f aca="false">IF($P1878=0,"-",IF($O1878&lt;=INDEX(PARAMETROS_CULTURAS!$F$6:$F$28,$P1878),"INICIAL",IF($O1878&lt;=INDEX(PARAMETROS_CULTURAS!$F$6:$F$28,$P1878)+INDEX(PARAMETROS_CULTURAS!$G$6:$G$28,$P1878),"DESENVOLVIMENTO",IF($O1878&lt;=INDEX(PARAMETROS_CULTURAS!$F$6:$F$28,$P1878)+INDEX(PARAMETROS_CULTURAS!$G$6:$G$28,$P1878)+INDEX(PARAMETROS_CULTURAS!$H$6:$H$28,$P1878),"MEDIA","FINAL"))))</f>
        <v>DESENVOLVIMENTO</v>
      </c>
      <c r="R1878" s="24" t="n">
        <f aca="false">IF($P1878=0,0,IF($O1878&lt;=INDEX(PARAMETROS_CULTURAS!$F$6:$F$28,$P1878),INDEX(PARAMETROS_CULTURAS!$K$6:$K$28,$P1878),IF($O1878&lt;=INDEX(PARAMETROS_CULTURAS!$F$6:$F$28,$P1878)+INDEX(PARAMETROS_CULTURAS!$G$6:$G$28,$P1878),INDEX(PARAMETROS_CULTURAS!$K$6:$K$28,$P1878)+(INDEX(PARAMETROS_CULTURAS!$L$6:$L$28,$P1878)-INDEX(PARAMETROS_CULTURAS!$K$6:$K$28,$P1878))*($O1878-INDEX(PARAMETROS_CULTURAS!$F$6:$F$28,$P1878))/MAX(INDEX(PARAMETROS_CULTURAS!$G$6:$G$28,$P1878),0.0001),IF($O1878&lt;=INDEX(PARAMETROS_CULTURAS!$F$6:$F$28,$P1878)+INDEX(PARAMETROS_CULTURAS!$G$6:$G$28,$P1878)+INDEX(PARAMETROS_CULTURAS!$H$6:$H$28,$P1878),INDEX(PARAMETROS_CULTURAS!$L$6:$L$28,$P1878),INDEX(PARAMETROS_CULTURAS!$L$6:$L$28,$P1878)+(INDEX(PARAMETROS_CULTURAS!$M$6:$M$28,$P1878)-INDEX(PARAMETROS_CULTURAS!$L$6:$L$28,$P1878))*($O1878-INDEX(PARAMETROS_CULTURAS!$F$6:$F$28,$P1878)-INDEX(PARAMETROS_CULTURAS!$G$6:$G$28,$P1878)-INDEX(PARAMETROS_CULTURAS!$H$6:$H$28,$P1878))/MAX(INDEX(PARAMETROS_CULTURAS!$I$6:$I$28,$P1878),0.0001)))))</f>
        <v>1.13500986193294</v>
      </c>
      <c r="S1878" s="18" t="n">
        <f aca="false">IFERROR(INDEX(SEMANAS!$H$6:$H$71,MATCH($B1878,SEMANAS!$B$6:$B$71,0)),0)</f>
        <v>32.9</v>
      </c>
      <c r="T1878" s="18" t="n">
        <f aca="false">$R1878*$S1878</f>
        <v>37.3418244575937</v>
      </c>
      <c r="U1878" s="18" t="n">
        <f aca="false">IFERROR(INDEX(SEMANAS!$I$6:$I$71,MATCH($B1878,SEMANAS!$B$6:$B$71,0)),0)</f>
        <v>39.97</v>
      </c>
      <c r="V1878" s="18" t="n">
        <f aca="false">IFERROR(INDEX(SEMANAS!$J$6:$J$71,MATCH($B1878,SEMANAS!$B$6:$B$71,0)),0)</f>
        <v>31.976</v>
      </c>
      <c r="W1878" s="18" t="n">
        <f aca="false">MAX(0,$T1878-$V1878)</f>
        <v>5.36582445759368</v>
      </c>
      <c r="X1878" s="19" t="n">
        <f aca="false">IFERROR(INDEX(CADASTRO_PIVOS!$K$6:$K$41,MATCH($E1878,CADASTRO_PIVOS!$B$6:$B$41,0)),EFICIENCIA_PADRAO)</f>
        <v>0.85</v>
      </c>
      <c r="Y1878" s="18" t="n">
        <f aca="false">IF($X1878&lt;=0,0,$W1878/$X1878)</f>
        <v>6.31273465599256</v>
      </c>
      <c r="Z1878" s="16" t="n">
        <f aca="false">$Y1878*$H1878*MM_PARA_M3_HA</f>
        <v>6279.9084357814</v>
      </c>
      <c r="AA1878" s="18" t="n">
        <f aca="false">IFERROR(INDEX(CADASTRO_PIVOS!$I$6:$I$41,MATCH($E1878,CADASTRO_PIVOS!$B$6:$B$41,0)),0)</f>
        <v>710.571428571429</v>
      </c>
      <c r="AB1878" s="18" t="n">
        <f aca="false">IF($Z1878&lt;=0,0,$Z1878/$AA1878)</f>
        <v>8.83782851838959</v>
      </c>
      <c r="AC1878" s="16" t="n">
        <f aca="false">IFERROR(INDEX(SEMANAS!$K$6:$K$71,MATCH($B1878,SEMANAS!$B$6:$B$71,0)),0)</f>
        <v>147</v>
      </c>
      <c r="AD1878" s="19" t="n">
        <f aca="false">IF($AC1878&lt;=0,0,$AB1878/$AC1878)</f>
        <v>0.0601212824380244</v>
      </c>
      <c r="AE1878" s="8" t="str">
        <f aca="false">IF($K1878="SEM CULTURA","SEM CULTURA",IF($AA1878&lt;=0,"DADO PENDENTE",IF($AD1878&gt;LIMITE_CRITICO,"INVIAVEL",IF($AD1878&gt;LIMITE_ATENCAO,"CRITICO",IF($AD1878&gt;LIMITE_CONFORTAVEL,"ATENCAO","OK")))))</f>
        <v>OK</v>
      </c>
      <c r="AF1878" s="8" t="str">
        <f aca="false">$B1878&amp;"|"&amp;TEXT($AD1878,"0.000000")</f>
        <v>25|0.060121</v>
      </c>
      <c r="AG1878" s="18" t="n">
        <f aca="false">IF($K1878="SEM CULTURA",0,$T1878*$H1878)</f>
        <v>3714.76469704142</v>
      </c>
      <c r="AH1878" s="18" t="n">
        <f aca="false">IF($K1878="SEM CULTURA",0,$V1878*$H1878)</f>
        <v>3180.97248</v>
      </c>
      <c r="AI1878" s="18" t="n">
        <f aca="false">IF($K1878="SEM CULTURA",0,$W1878*$H1878)</f>
        <v>533.792217041419</v>
      </c>
      <c r="AJ1878" s="18" t="n">
        <f aca="false">IF($K1878="SEM CULTURA",0,$S1878*$H1878)</f>
        <v>3272.892</v>
      </c>
      <c r="AK1878" s="8" t="str">
        <f aca="false">$E1878&amp;"|"&amp;TEXT($AD1878,"0.000000")</f>
        <v>PV 125|0.060121</v>
      </c>
    </row>
    <row r="1879" customFormat="false" ht="15" hidden="false" customHeight="false" outlineLevel="0" collapsed="false">
      <c r="B1879" s="16" t="n">
        <v>26</v>
      </c>
      <c r="C1879" s="17" t="n">
        <f aca="false">DATA_INICIO_SAFRA+($B1879-1)*DIAS_POR_SEMANA</f>
        <v>46440</v>
      </c>
      <c r="D1879" s="17" t="n">
        <f aca="false">$C1879+DIAS_POR_SEMANA-1</f>
        <v>46446</v>
      </c>
      <c r="E1879" s="15" t="s">
        <v>287</v>
      </c>
      <c r="F1879" s="8" t="str">
        <f aca="false">IFERROR(INDEX(CADASTRO_PIVOS!$C$6:$C$41,MATCH($E1879,CADASTRO_PIVOS!$B$6:$B$41,0)),"?")</f>
        <v>RM07</v>
      </c>
      <c r="G1879" s="8" t="str">
        <f aca="false">IFERROR(INDEX(CADASTRO_PIVOS!$D$6:$D$41,MATCH($E1879,CADASTRO_PIVOS!$B$6:$B$41,0)),"?")</f>
        <v>TR07</v>
      </c>
      <c r="H1879" s="20" t="n">
        <f aca="false">IFERROR(INDEX(CADASTRO_PIVOS!$E$6:$E$41,MATCH($E1879,CADASTRO_PIVOS!$B$6:$B$41,0)),0)</f>
        <v>99.48</v>
      </c>
      <c r="I1879" s="16" t="n">
        <f aca="false">IFERROR(SUMIFS(ROTACAO_RDM!$B$6:$B$71,ROTACAO_RDM!$D$6:$D$71,$E1879,ROTACAO_RDM!$I$6:$I$71,"&lt;="&amp;$C1879+INT(DIAS_POR_SEMANA/2),ROTACAO_RDM!$J$6:$J$71,"&gt;="&amp;$C1879+INT(DIAS_POR_SEMANA/2)),0)</f>
        <v>47</v>
      </c>
      <c r="J1879" s="16" t="n">
        <f aca="false">IFERROR(MATCH($I1879,ROTACAO_RDM!$B$6:$B$71,0),0)</f>
        <v>47</v>
      </c>
      <c r="K1879" s="8" t="str">
        <f aca="false">IF($J1879=0,"SEM CULTURA",INDEX(ROTACAO_RDM!$F$6:$F$71,$J1879))</f>
        <v>ALGODAO</v>
      </c>
      <c r="L1879" s="8" t="str">
        <f aca="false">IF($J1879=0,"",INDEX(ROTACAO_RDM!$G$6:$G$71,$J1879))</f>
        <v>FM 974 GLT</v>
      </c>
      <c r="M1879" s="17" t="n">
        <f aca="false">IF($J1879=0,"",INDEX(ROTACAO_RDM!$I$6:$I$71,$J1879))</f>
        <v>46357</v>
      </c>
      <c r="N1879" s="16" t="n">
        <f aca="false">IF($J1879=0,0,MAX(0,$C1879+INT(DIAS_POR_SEMANA/2)-INDEX(ROTACAO_RDM!$I$6:$I$71,$J1879)))</f>
        <v>86</v>
      </c>
      <c r="O1879" s="19" t="n">
        <f aca="false">IF($J1879=0,0,MIN(1,$N1879/MAX(1,INDEX(ROTACAO_RDM!$K$6:$K$71,$J1879))))</f>
        <v>0.441025641025641</v>
      </c>
      <c r="P1879" s="16" t="n">
        <f aca="false">IF($J1879=0,0,IFERROR(MATCH(INDEX(ROTACAO_RDM!$N$6:$N$71,$J1879),PARAMETROS_CULTURAS!$B$6:$B$28,0),0))</f>
        <v>5</v>
      </c>
      <c r="Q1879" s="8" t="str">
        <f aca="false">IF($P1879=0,"-",IF($O1879&lt;=INDEX(PARAMETROS_CULTURAS!$F$6:$F$28,$P1879),"INICIAL",IF($O1879&lt;=INDEX(PARAMETROS_CULTURAS!$F$6:$F$28,$P1879)+INDEX(PARAMETROS_CULTURAS!$G$6:$G$28,$P1879),"DESENVOLVIMENTO",IF($O1879&lt;=INDEX(PARAMETROS_CULTURAS!$F$6:$F$28,$P1879)+INDEX(PARAMETROS_CULTURAS!$G$6:$G$28,$P1879)+INDEX(PARAMETROS_CULTURAS!$H$6:$H$28,$P1879),"MEDIA","FINAL"))))</f>
        <v>MEDIA</v>
      </c>
      <c r="R1879" s="24" t="n">
        <f aca="false">IF($P1879=0,0,IF($O1879&lt;=INDEX(PARAMETROS_CULTURAS!$F$6:$F$28,$P1879),INDEX(PARAMETROS_CULTURAS!$K$6:$K$28,$P1879),IF($O1879&lt;=INDEX(PARAMETROS_CULTURAS!$F$6:$F$28,$P1879)+INDEX(PARAMETROS_CULTURAS!$G$6:$G$28,$P1879),INDEX(PARAMETROS_CULTURAS!$K$6:$K$28,$P1879)+(INDEX(PARAMETROS_CULTURAS!$L$6:$L$28,$P1879)-INDEX(PARAMETROS_CULTURAS!$K$6:$K$28,$P1879))*($O1879-INDEX(PARAMETROS_CULTURAS!$F$6:$F$28,$P1879))/MAX(INDEX(PARAMETROS_CULTURAS!$G$6:$G$28,$P1879),0.0001),IF($O1879&lt;=INDEX(PARAMETROS_CULTURAS!$F$6:$F$28,$P1879)+INDEX(PARAMETROS_CULTURAS!$G$6:$G$28,$P1879)+INDEX(PARAMETROS_CULTURAS!$H$6:$H$28,$P1879),INDEX(PARAMETROS_CULTURAS!$L$6:$L$28,$P1879),INDEX(PARAMETROS_CULTURAS!$L$6:$L$28,$P1879)+(INDEX(PARAMETROS_CULTURAS!$M$6:$M$28,$P1879)-INDEX(PARAMETROS_CULTURAS!$L$6:$L$28,$P1879))*($O1879-INDEX(PARAMETROS_CULTURAS!$F$6:$F$28,$P1879)-INDEX(PARAMETROS_CULTURAS!$G$6:$G$28,$P1879)-INDEX(PARAMETROS_CULTURAS!$H$6:$H$28,$P1879))/MAX(INDEX(PARAMETROS_CULTURAS!$I$6:$I$28,$P1879),0.0001)))))</f>
        <v>1.15</v>
      </c>
      <c r="S1879" s="18" t="n">
        <f aca="false">IFERROR(INDEX(SEMANAS!$H$6:$H$71,MATCH($B1879,SEMANAS!$B$6:$B$71,0)),0)</f>
        <v>32.9</v>
      </c>
      <c r="T1879" s="18" t="n">
        <f aca="false">$R1879*$S1879</f>
        <v>37.835</v>
      </c>
      <c r="U1879" s="18" t="n">
        <f aca="false">IFERROR(INDEX(SEMANAS!$I$6:$I$71,MATCH($B1879,SEMANAS!$B$6:$B$71,0)),0)</f>
        <v>39.97</v>
      </c>
      <c r="V1879" s="18" t="n">
        <f aca="false">IFERROR(INDEX(SEMANAS!$J$6:$J$71,MATCH($B1879,SEMANAS!$B$6:$B$71,0)),0)</f>
        <v>31.976</v>
      </c>
      <c r="W1879" s="18" t="n">
        <f aca="false">MAX(0,$T1879-$V1879)</f>
        <v>5.85899999999999</v>
      </c>
      <c r="X1879" s="19" t="n">
        <f aca="false">IFERROR(INDEX(CADASTRO_PIVOS!$K$6:$K$41,MATCH($E1879,CADASTRO_PIVOS!$B$6:$B$41,0)),EFICIENCIA_PADRAO)</f>
        <v>0.85</v>
      </c>
      <c r="Y1879" s="18" t="n">
        <f aca="false">IF($X1879&lt;=0,0,$W1879/$X1879)</f>
        <v>6.89294117647058</v>
      </c>
      <c r="Z1879" s="16" t="n">
        <f aca="false">$Y1879*$H1879*MM_PARA_M3_HA</f>
        <v>6857.09788235293</v>
      </c>
      <c r="AA1879" s="18" t="n">
        <f aca="false">IFERROR(INDEX(CADASTRO_PIVOS!$I$6:$I$41,MATCH($E1879,CADASTRO_PIVOS!$B$6:$B$41,0)),0)</f>
        <v>710.571428571429</v>
      </c>
      <c r="AB1879" s="18" t="n">
        <f aca="false">IF($Z1879&lt;=0,0,$Z1879/$AA1879)</f>
        <v>9.65011764705881</v>
      </c>
      <c r="AC1879" s="16" t="n">
        <f aca="false">IFERROR(INDEX(SEMANAS!$K$6:$K$71,MATCH($B1879,SEMANAS!$B$6:$B$71,0)),0)</f>
        <v>147</v>
      </c>
      <c r="AD1879" s="19" t="n">
        <f aca="false">IF($AC1879&lt;=0,0,$AB1879/$AC1879)</f>
        <v>0.0656470588235293</v>
      </c>
      <c r="AE1879" s="8" t="str">
        <f aca="false">IF($K1879="SEM CULTURA","SEM CULTURA",IF($AA1879&lt;=0,"DADO PENDENTE",IF($AD1879&gt;LIMITE_CRITICO,"INVIAVEL",IF($AD1879&gt;LIMITE_ATENCAO,"CRITICO",IF($AD1879&gt;LIMITE_CONFORTAVEL,"ATENCAO","OK")))))</f>
        <v>OK</v>
      </c>
      <c r="AF1879" s="8" t="str">
        <f aca="false">$B1879&amp;"|"&amp;TEXT($AD1879,"0.000000")</f>
        <v>26|0.065647</v>
      </c>
      <c r="AG1879" s="18" t="n">
        <f aca="false">IF($K1879="SEM CULTURA",0,$T1879*$H1879)</f>
        <v>3763.8258</v>
      </c>
      <c r="AH1879" s="18" t="n">
        <f aca="false">IF($K1879="SEM CULTURA",0,$V1879*$H1879)</f>
        <v>3180.97248</v>
      </c>
      <c r="AI1879" s="18" t="n">
        <f aca="false">IF($K1879="SEM CULTURA",0,$W1879*$H1879)</f>
        <v>582.853319999999</v>
      </c>
      <c r="AJ1879" s="18" t="n">
        <f aca="false">IF($K1879="SEM CULTURA",0,$S1879*$H1879)</f>
        <v>3272.892</v>
      </c>
      <c r="AK1879" s="8" t="str">
        <f aca="false">$E1879&amp;"|"&amp;TEXT($AD1879,"0.000000")</f>
        <v>PV 125|0.065647</v>
      </c>
    </row>
    <row r="1880" customFormat="false" ht="15" hidden="false" customHeight="false" outlineLevel="0" collapsed="false">
      <c r="B1880" s="16" t="n">
        <v>27</v>
      </c>
      <c r="C1880" s="17" t="n">
        <f aca="false">DATA_INICIO_SAFRA+($B1880-1)*DIAS_POR_SEMANA</f>
        <v>46447</v>
      </c>
      <c r="D1880" s="17" t="n">
        <f aca="false">$C1880+DIAS_POR_SEMANA-1</f>
        <v>46453</v>
      </c>
      <c r="E1880" s="15" t="s">
        <v>287</v>
      </c>
      <c r="F1880" s="8" t="str">
        <f aca="false">IFERROR(INDEX(CADASTRO_PIVOS!$C$6:$C$41,MATCH($E1880,CADASTRO_PIVOS!$B$6:$B$41,0)),"?")</f>
        <v>RM07</v>
      </c>
      <c r="G1880" s="8" t="str">
        <f aca="false">IFERROR(INDEX(CADASTRO_PIVOS!$D$6:$D$41,MATCH($E1880,CADASTRO_PIVOS!$B$6:$B$41,0)),"?")</f>
        <v>TR07</v>
      </c>
      <c r="H1880" s="20" t="n">
        <f aca="false">IFERROR(INDEX(CADASTRO_PIVOS!$E$6:$E$41,MATCH($E1880,CADASTRO_PIVOS!$B$6:$B$41,0)),0)</f>
        <v>99.48</v>
      </c>
      <c r="I1880" s="16" t="n">
        <f aca="false">IFERROR(SUMIFS(ROTACAO_RDM!$B$6:$B$71,ROTACAO_RDM!$D$6:$D$71,$E1880,ROTACAO_RDM!$I$6:$I$71,"&lt;="&amp;$C1880+INT(DIAS_POR_SEMANA/2),ROTACAO_RDM!$J$6:$J$71,"&gt;="&amp;$C1880+INT(DIAS_POR_SEMANA/2)),0)</f>
        <v>47</v>
      </c>
      <c r="J1880" s="16" t="n">
        <f aca="false">IFERROR(MATCH($I1880,ROTACAO_RDM!$B$6:$B$71,0),0)</f>
        <v>47</v>
      </c>
      <c r="K1880" s="8" t="str">
        <f aca="false">IF($J1880=0,"SEM CULTURA",INDEX(ROTACAO_RDM!$F$6:$F$71,$J1880))</f>
        <v>ALGODAO</v>
      </c>
      <c r="L1880" s="8" t="str">
        <f aca="false">IF($J1880=0,"",INDEX(ROTACAO_RDM!$G$6:$G$71,$J1880))</f>
        <v>FM 974 GLT</v>
      </c>
      <c r="M1880" s="17" t="n">
        <f aca="false">IF($J1880=0,"",INDEX(ROTACAO_RDM!$I$6:$I$71,$J1880))</f>
        <v>46357</v>
      </c>
      <c r="N1880" s="16" t="n">
        <f aca="false">IF($J1880=0,0,MAX(0,$C1880+INT(DIAS_POR_SEMANA/2)-INDEX(ROTACAO_RDM!$I$6:$I$71,$J1880)))</f>
        <v>93</v>
      </c>
      <c r="O1880" s="19" t="n">
        <f aca="false">IF($J1880=0,0,MIN(1,$N1880/MAX(1,INDEX(ROTACAO_RDM!$K$6:$K$71,$J1880))))</f>
        <v>0.476923076923077</v>
      </c>
      <c r="P1880" s="16" t="n">
        <f aca="false">IF($J1880=0,0,IFERROR(MATCH(INDEX(ROTACAO_RDM!$N$6:$N$71,$J1880),PARAMETROS_CULTURAS!$B$6:$B$28,0),0))</f>
        <v>5</v>
      </c>
      <c r="Q1880" s="8" t="str">
        <f aca="false">IF($P1880=0,"-",IF($O1880&lt;=INDEX(PARAMETROS_CULTURAS!$F$6:$F$28,$P1880),"INICIAL",IF($O1880&lt;=INDEX(PARAMETROS_CULTURAS!$F$6:$F$28,$P1880)+INDEX(PARAMETROS_CULTURAS!$G$6:$G$28,$P1880),"DESENVOLVIMENTO",IF($O1880&lt;=INDEX(PARAMETROS_CULTURAS!$F$6:$F$28,$P1880)+INDEX(PARAMETROS_CULTURAS!$G$6:$G$28,$P1880)+INDEX(PARAMETROS_CULTURAS!$H$6:$H$28,$P1880),"MEDIA","FINAL"))))</f>
        <v>MEDIA</v>
      </c>
      <c r="R1880" s="24" t="n">
        <f aca="false">IF($P1880=0,0,IF($O1880&lt;=INDEX(PARAMETROS_CULTURAS!$F$6:$F$28,$P1880),INDEX(PARAMETROS_CULTURAS!$K$6:$K$28,$P1880),IF($O1880&lt;=INDEX(PARAMETROS_CULTURAS!$F$6:$F$28,$P1880)+INDEX(PARAMETROS_CULTURAS!$G$6:$G$28,$P1880),INDEX(PARAMETROS_CULTURAS!$K$6:$K$28,$P1880)+(INDEX(PARAMETROS_CULTURAS!$L$6:$L$28,$P1880)-INDEX(PARAMETROS_CULTURAS!$K$6:$K$28,$P1880))*($O1880-INDEX(PARAMETROS_CULTURAS!$F$6:$F$28,$P1880))/MAX(INDEX(PARAMETROS_CULTURAS!$G$6:$G$28,$P1880),0.0001),IF($O1880&lt;=INDEX(PARAMETROS_CULTURAS!$F$6:$F$28,$P1880)+INDEX(PARAMETROS_CULTURAS!$G$6:$G$28,$P1880)+INDEX(PARAMETROS_CULTURAS!$H$6:$H$28,$P1880),INDEX(PARAMETROS_CULTURAS!$L$6:$L$28,$P1880),INDEX(PARAMETROS_CULTURAS!$L$6:$L$28,$P1880)+(INDEX(PARAMETROS_CULTURAS!$M$6:$M$28,$P1880)-INDEX(PARAMETROS_CULTURAS!$L$6:$L$28,$P1880))*($O1880-INDEX(PARAMETROS_CULTURAS!$F$6:$F$28,$P1880)-INDEX(PARAMETROS_CULTURAS!$G$6:$G$28,$P1880)-INDEX(PARAMETROS_CULTURAS!$H$6:$H$28,$P1880))/MAX(INDEX(PARAMETROS_CULTURAS!$I$6:$I$28,$P1880),0.0001)))))</f>
        <v>1.15</v>
      </c>
      <c r="S1880" s="18" t="n">
        <f aca="false">IFERROR(INDEX(SEMANAS!$H$6:$H$71,MATCH($B1880,SEMANAS!$B$6:$B$71,0)),0)</f>
        <v>32.2</v>
      </c>
      <c r="T1880" s="18" t="n">
        <f aca="false">$R1880*$S1880</f>
        <v>37.03</v>
      </c>
      <c r="U1880" s="18" t="n">
        <f aca="false">IFERROR(INDEX(SEMANAS!$I$6:$I$71,MATCH($B1880,SEMANAS!$B$6:$B$71,0)),0)</f>
        <v>37.24</v>
      </c>
      <c r="V1880" s="18" t="n">
        <f aca="false">IFERROR(INDEX(SEMANAS!$J$6:$J$71,MATCH($B1880,SEMANAS!$B$6:$B$71,0)),0)</f>
        <v>29.792</v>
      </c>
      <c r="W1880" s="18" t="n">
        <f aca="false">MAX(0,$T1880-$V1880)</f>
        <v>7.23799999999999</v>
      </c>
      <c r="X1880" s="19" t="n">
        <f aca="false">IFERROR(INDEX(CADASTRO_PIVOS!$K$6:$K$41,MATCH($E1880,CADASTRO_PIVOS!$B$6:$B$41,0)),EFICIENCIA_PADRAO)</f>
        <v>0.85</v>
      </c>
      <c r="Y1880" s="18" t="n">
        <f aca="false">IF($X1880&lt;=0,0,$W1880/$X1880)</f>
        <v>8.51529411764705</v>
      </c>
      <c r="Z1880" s="16" t="n">
        <f aca="false">$Y1880*$H1880*MM_PARA_M3_HA</f>
        <v>8471.01458823529</v>
      </c>
      <c r="AA1880" s="18" t="n">
        <f aca="false">IFERROR(INDEX(CADASTRO_PIVOS!$I$6:$I$41,MATCH($E1880,CADASTRO_PIVOS!$B$6:$B$41,0)),0)</f>
        <v>710.571428571429</v>
      </c>
      <c r="AB1880" s="18" t="n">
        <f aca="false">IF($Z1880&lt;=0,0,$Z1880/$AA1880)</f>
        <v>11.9214117647059</v>
      </c>
      <c r="AC1880" s="16" t="n">
        <f aca="false">IFERROR(INDEX(SEMANAS!$K$6:$K$71,MATCH($B1880,SEMANAS!$B$6:$B$71,0)),0)</f>
        <v>147</v>
      </c>
      <c r="AD1880" s="19" t="n">
        <f aca="false">IF($AC1880&lt;=0,0,$AB1880/$AC1880)</f>
        <v>0.0810980392156862</v>
      </c>
      <c r="AE1880" s="8" t="str">
        <f aca="false">IF($K1880="SEM CULTURA","SEM CULTURA",IF($AA1880&lt;=0,"DADO PENDENTE",IF($AD1880&gt;LIMITE_CRITICO,"INVIAVEL",IF($AD1880&gt;LIMITE_ATENCAO,"CRITICO",IF($AD1880&gt;LIMITE_CONFORTAVEL,"ATENCAO","OK")))))</f>
        <v>OK</v>
      </c>
      <c r="AF1880" s="8" t="str">
        <f aca="false">$B1880&amp;"|"&amp;TEXT($AD1880,"0.000000")</f>
        <v>27|0.081098</v>
      </c>
      <c r="AG1880" s="18" t="n">
        <f aca="false">IF($K1880="SEM CULTURA",0,$T1880*$H1880)</f>
        <v>3683.7444</v>
      </c>
      <c r="AH1880" s="18" t="n">
        <f aca="false">IF($K1880="SEM CULTURA",0,$V1880*$H1880)</f>
        <v>2963.70816</v>
      </c>
      <c r="AI1880" s="18" t="n">
        <f aca="false">IF($K1880="SEM CULTURA",0,$W1880*$H1880)</f>
        <v>720.036239999999</v>
      </c>
      <c r="AJ1880" s="18" t="n">
        <f aca="false">IF($K1880="SEM CULTURA",0,$S1880*$H1880)</f>
        <v>3203.256</v>
      </c>
      <c r="AK1880" s="8" t="str">
        <f aca="false">$E1880&amp;"|"&amp;TEXT($AD1880,"0.000000")</f>
        <v>PV 125|0.081098</v>
      </c>
    </row>
    <row r="1881" customFormat="false" ht="15" hidden="false" customHeight="false" outlineLevel="0" collapsed="false">
      <c r="B1881" s="16" t="n">
        <v>28</v>
      </c>
      <c r="C1881" s="17" t="n">
        <f aca="false">DATA_INICIO_SAFRA+($B1881-1)*DIAS_POR_SEMANA</f>
        <v>46454</v>
      </c>
      <c r="D1881" s="17" t="n">
        <f aca="false">$C1881+DIAS_POR_SEMANA-1</f>
        <v>46460</v>
      </c>
      <c r="E1881" s="15" t="s">
        <v>287</v>
      </c>
      <c r="F1881" s="8" t="str">
        <f aca="false">IFERROR(INDEX(CADASTRO_PIVOS!$C$6:$C$41,MATCH($E1881,CADASTRO_PIVOS!$B$6:$B$41,0)),"?")</f>
        <v>RM07</v>
      </c>
      <c r="G1881" s="8" t="str">
        <f aca="false">IFERROR(INDEX(CADASTRO_PIVOS!$D$6:$D$41,MATCH($E1881,CADASTRO_PIVOS!$B$6:$B$41,0)),"?")</f>
        <v>TR07</v>
      </c>
      <c r="H1881" s="20" t="n">
        <f aca="false">IFERROR(INDEX(CADASTRO_PIVOS!$E$6:$E$41,MATCH($E1881,CADASTRO_PIVOS!$B$6:$B$41,0)),0)</f>
        <v>99.48</v>
      </c>
      <c r="I1881" s="16" t="n">
        <f aca="false">IFERROR(SUMIFS(ROTACAO_RDM!$B$6:$B$71,ROTACAO_RDM!$D$6:$D$71,$E1881,ROTACAO_RDM!$I$6:$I$71,"&lt;="&amp;$C1881+INT(DIAS_POR_SEMANA/2),ROTACAO_RDM!$J$6:$J$71,"&gt;="&amp;$C1881+INT(DIAS_POR_SEMANA/2)),0)</f>
        <v>47</v>
      </c>
      <c r="J1881" s="16" t="n">
        <f aca="false">IFERROR(MATCH($I1881,ROTACAO_RDM!$B$6:$B$71,0),0)</f>
        <v>47</v>
      </c>
      <c r="K1881" s="8" t="str">
        <f aca="false">IF($J1881=0,"SEM CULTURA",INDEX(ROTACAO_RDM!$F$6:$F$71,$J1881))</f>
        <v>ALGODAO</v>
      </c>
      <c r="L1881" s="8" t="str">
        <f aca="false">IF($J1881=0,"",INDEX(ROTACAO_RDM!$G$6:$G$71,$J1881))</f>
        <v>FM 974 GLT</v>
      </c>
      <c r="M1881" s="17" t="n">
        <f aca="false">IF($J1881=0,"",INDEX(ROTACAO_RDM!$I$6:$I$71,$J1881))</f>
        <v>46357</v>
      </c>
      <c r="N1881" s="16" t="n">
        <f aca="false">IF($J1881=0,0,MAX(0,$C1881+INT(DIAS_POR_SEMANA/2)-INDEX(ROTACAO_RDM!$I$6:$I$71,$J1881)))</f>
        <v>100</v>
      </c>
      <c r="O1881" s="19" t="n">
        <f aca="false">IF($J1881=0,0,MIN(1,$N1881/MAX(1,INDEX(ROTACAO_RDM!$K$6:$K$71,$J1881))))</f>
        <v>0.512820512820513</v>
      </c>
      <c r="P1881" s="16" t="n">
        <f aca="false">IF($J1881=0,0,IFERROR(MATCH(INDEX(ROTACAO_RDM!$N$6:$N$71,$J1881),PARAMETROS_CULTURAS!$B$6:$B$28,0),0))</f>
        <v>5</v>
      </c>
      <c r="Q1881" s="8" t="str">
        <f aca="false">IF($P1881=0,"-",IF($O1881&lt;=INDEX(PARAMETROS_CULTURAS!$F$6:$F$28,$P1881),"INICIAL",IF($O1881&lt;=INDEX(PARAMETROS_CULTURAS!$F$6:$F$28,$P1881)+INDEX(PARAMETROS_CULTURAS!$G$6:$G$28,$P1881),"DESENVOLVIMENTO",IF($O1881&lt;=INDEX(PARAMETROS_CULTURAS!$F$6:$F$28,$P1881)+INDEX(PARAMETROS_CULTURAS!$G$6:$G$28,$P1881)+INDEX(PARAMETROS_CULTURAS!$H$6:$H$28,$P1881),"MEDIA","FINAL"))))</f>
        <v>MEDIA</v>
      </c>
      <c r="R1881" s="24" t="n">
        <f aca="false">IF($P1881=0,0,IF($O1881&lt;=INDEX(PARAMETROS_CULTURAS!$F$6:$F$28,$P1881),INDEX(PARAMETROS_CULTURAS!$K$6:$K$28,$P1881),IF($O1881&lt;=INDEX(PARAMETROS_CULTURAS!$F$6:$F$28,$P1881)+INDEX(PARAMETROS_CULTURAS!$G$6:$G$28,$P1881),INDEX(PARAMETROS_CULTURAS!$K$6:$K$28,$P1881)+(INDEX(PARAMETROS_CULTURAS!$L$6:$L$28,$P1881)-INDEX(PARAMETROS_CULTURAS!$K$6:$K$28,$P1881))*($O1881-INDEX(PARAMETROS_CULTURAS!$F$6:$F$28,$P1881))/MAX(INDEX(PARAMETROS_CULTURAS!$G$6:$G$28,$P1881),0.0001),IF($O1881&lt;=INDEX(PARAMETROS_CULTURAS!$F$6:$F$28,$P1881)+INDEX(PARAMETROS_CULTURAS!$G$6:$G$28,$P1881)+INDEX(PARAMETROS_CULTURAS!$H$6:$H$28,$P1881),INDEX(PARAMETROS_CULTURAS!$L$6:$L$28,$P1881),INDEX(PARAMETROS_CULTURAS!$L$6:$L$28,$P1881)+(INDEX(PARAMETROS_CULTURAS!$M$6:$M$28,$P1881)-INDEX(PARAMETROS_CULTURAS!$L$6:$L$28,$P1881))*($O1881-INDEX(PARAMETROS_CULTURAS!$F$6:$F$28,$P1881)-INDEX(PARAMETROS_CULTURAS!$G$6:$G$28,$P1881)-INDEX(PARAMETROS_CULTURAS!$H$6:$H$28,$P1881))/MAX(INDEX(PARAMETROS_CULTURAS!$I$6:$I$28,$P1881),0.0001)))))</f>
        <v>1.15</v>
      </c>
      <c r="S1881" s="18" t="n">
        <f aca="false">IFERROR(INDEX(SEMANAS!$H$6:$H$71,MATCH($B1881,SEMANAS!$B$6:$B$71,0)),0)</f>
        <v>32.2</v>
      </c>
      <c r="T1881" s="18" t="n">
        <f aca="false">$R1881*$S1881</f>
        <v>37.03</v>
      </c>
      <c r="U1881" s="18" t="n">
        <f aca="false">IFERROR(INDEX(SEMANAS!$I$6:$I$71,MATCH($B1881,SEMANAS!$B$6:$B$71,0)),0)</f>
        <v>37.24</v>
      </c>
      <c r="V1881" s="18" t="n">
        <f aca="false">IFERROR(INDEX(SEMANAS!$J$6:$J$71,MATCH($B1881,SEMANAS!$B$6:$B$71,0)),0)</f>
        <v>29.792</v>
      </c>
      <c r="W1881" s="18" t="n">
        <f aca="false">MAX(0,$T1881-$V1881)</f>
        <v>7.23799999999999</v>
      </c>
      <c r="X1881" s="19" t="n">
        <f aca="false">IFERROR(INDEX(CADASTRO_PIVOS!$K$6:$K$41,MATCH($E1881,CADASTRO_PIVOS!$B$6:$B$41,0)),EFICIENCIA_PADRAO)</f>
        <v>0.85</v>
      </c>
      <c r="Y1881" s="18" t="n">
        <f aca="false">IF($X1881&lt;=0,0,$W1881/$X1881)</f>
        <v>8.51529411764705</v>
      </c>
      <c r="Z1881" s="16" t="n">
        <f aca="false">$Y1881*$H1881*MM_PARA_M3_HA</f>
        <v>8471.01458823529</v>
      </c>
      <c r="AA1881" s="18" t="n">
        <f aca="false">IFERROR(INDEX(CADASTRO_PIVOS!$I$6:$I$41,MATCH($E1881,CADASTRO_PIVOS!$B$6:$B$41,0)),0)</f>
        <v>710.571428571429</v>
      </c>
      <c r="AB1881" s="18" t="n">
        <f aca="false">IF($Z1881&lt;=0,0,$Z1881/$AA1881)</f>
        <v>11.9214117647059</v>
      </c>
      <c r="AC1881" s="16" t="n">
        <f aca="false">IFERROR(INDEX(SEMANAS!$K$6:$K$71,MATCH($B1881,SEMANAS!$B$6:$B$71,0)),0)</f>
        <v>147</v>
      </c>
      <c r="AD1881" s="19" t="n">
        <f aca="false">IF($AC1881&lt;=0,0,$AB1881/$AC1881)</f>
        <v>0.0810980392156862</v>
      </c>
      <c r="AE1881" s="8" t="str">
        <f aca="false">IF($K1881="SEM CULTURA","SEM CULTURA",IF($AA1881&lt;=0,"DADO PENDENTE",IF($AD1881&gt;LIMITE_CRITICO,"INVIAVEL",IF($AD1881&gt;LIMITE_ATENCAO,"CRITICO",IF($AD1881&gt;LIMITE_CONFORTAVEL,"ATENCAO","OK")))))</f>
        <v>OK</v>
      </c>
      <c r="AF1881" s="8" t="str">
        <f aca="false">$B1881&amp;"|"&amp;TEXT($AD1881,"0.000000")</f>
        <v>28|0.081098</v>
      </c>
      <c r="AG1881" s="18" t="n">
        <f aca="false">IF($K1881="SEM CULTURA",0,$T1881*$H1881)</f>
        <v>3683.7444</v>
      </c>
      <c r="AH1881" s="18" t="n">
        <f aca="false">IF($K1881="SEM CULTURA",0,$V1881*$H1881)</f>
        <v>2963.70816</v>
      </c>
      <c r="AI1881" s="18" t="n">
        <f aca="false">IF($K1881="SEM CULTURA",0,$W1881*$H1881)</f>
        <v>720.036239999999</v>
      </c>
      <c r="AJ1881" s="18" t="n">
        <f aca="false">IF($K1881="SEM CULTURA",0,$S1881*$H1881)</f>
        <v>3203.256</v>
      </c>
      <c r="AK1881" s="8" t="str">
        <f aca="false">$E1881&amp;"|"&amp;TEXT($AD1881,"0.000000")</f>
        <v>PV 125|0.081098</v>
      </c>
    </row>
    <row r="1882" customFormat="false" ht="15" hidden="false" customHeight="false" outlineLevel="0" collapsed="false">
      <c r="B1882" s="16" t="n">
        <v>29</v>
      </c>
      <c r="C1882" s="17" t="n">
        <f aca="false">DATA_INICIO_SAFRA+($B1882-1)*DIAS_POR_SEMANA</f>
        <v>46461</v>
      </c>
      <c r="D1882" s="17" t="n">
        <f aca="false">$C1882+DIAS_POR_SEMANA-1</f>
        <v>46467</v>
      </c>
      <c r="E1882" s="15" t="s">
        <v>287</v>
      </c>
      <c r="F1882" s="8" t="str">
        <f aca="false">IFERROR(INDEX(CADASTRO_PIVOS!$C$6:$C$41,MATCH($E1882,CADASTRO_PIVOS!$B$6:$B$41,0)),"?")</f>
        <v>RM07</v>
      </c>
      <c r="G1882" s="8" t="str">
        <f aca="false">IFERROR(INDEX(CADASTRO_PIVOS!$D$6:$D$41,MATCH($E1882,CADASTRO_PIVOS!$B$6:$B$41,0)),"?")</f>
        <v>TR07</v>
      </c>
      <c r="H1882" s="20" t="n">
        <f aca="false">IFERROR(INDEX(CADASTRO_PIVOS!$E$6:$E$41,MATCH($E1882,CADASTRO_PIVOS!$B$6:$B$41,0)),0)</f>
        <v>99.48</v>
      </c>
      <c r="I1882" s="16" t="n">
        <f aca="false">IFERROR(SUMIFS(ROTACAO_RDM!$B$6:$B$71,ROTACAO_RDM!$D$6:$D$71,$E1882,ROTACAO_RDM!$I$6:$I$71,"&lt;="&amp;$C1882+INT(DIAS_POR_SEMANA/2),ROTACAO_RDM!$J$6:$J$71,"&gt;="&amp;$C1882+INT(DIAS_POR_SEMANA/2)),0)</f>
        <v>47</v>
      </c>
      <c r="J1882" s="16" t="n">
        <f aca="false">IFERROR(MATCH($I1882,ROTACAO_RDM!$B$6:$B$71,0),0)</f>
        <v>47</v>
      </c>
      <c r="K1882" s="8" t="str">
        <f aca="false">IF($J1882=0,"SEM CULTURA",INDEX(ROTACAO_RDM!$F$6:$F$71,$J1882))</f>
        <v>ALGODAO</v>
      </c>
      <c r="L1882" s="8" t="str">
        <f aca="false">IF($J1882=0,"",INDEX(ROTACAO_RDM!$G$6:$G$71,$J1882))</f>
        <v>FM 974 GLT</v>
      </c>
      <c r="M1882" s="17" t="n">
        <f aca="false">IF($J1882=0,"",INDEX(ROTACAO_RDM!$I$6:$I$71,$J1882))</f>
        <v>46357</v>
      </c>
      <c r="N1882" s="16" t="n">
        <f aca="false">IF($J1882=0,0,MAX(0,$C1882+INT(DIAS_POR_SEMANA/2)-INDEX(ROTACAO_RDM!$I$6:$I$71,$J1882)))</f>
        <v>107</v>
      </c>
      <c r="O1882" s="19" t="n">
        <f aca="false">IF($J1882=0,0,MIN(1,$N1882/MAX(1,INDEX(ROTACAO_RDM!$K$6:$K$71,$J1882))))</f>
        <v>0.548717948717949</v>
      </c>
      <c r="P1882" s="16" t="n">
        <f aca="false">IF($J1882=0,0,IFERROR(MATCH(INDEX(ROTACAO_RDM!$N$6:$N$71,$J1882),PARAMETROS_CULTURAS!$B$6:$B$28,0),0))</f>
        <v>5</v>
      </c>
      <c r="Q1882" s="8" t="str">
        <f aca="false">IF($P1882=0,"-",IF($O1882&lt;=INDEX(PARAMETROS_CULTURAS!$F$6:$F$28,$P1882),"INICIAL",IF($O1882&lt;=INDEX(PARAMETROS_CULTURAS!$F$6:$F$28,$P1882)+INDEX(PARAMETROS_CULTURAS!$G$6:$G$28,$P1882),"DESENVOLVIMENTO",IF($O1882&lt;=INDEX(PARAMETROS_CULTURAS!$F$6:$F$28,$P1882)+INDEX(PARAMETROS_CULTURAS!$G$6:$G$28,$P1882)+INDEX(PARAMETROS_CULTURAS!$H$6:$H$28,$P1882),"MEDIA","FINAL"))))</f>
        <v>MEDIA</v>
      </c>
      <c r="R1882" s="24" t="n">
        <f aca="false">IF($P1882=0,0,IF($O1882&lt;=INDEX(PARAMETROS_CULTURAS!$F$6:$F$28,$P1882),INDEX(PARAMETROS_CULTURAS!$K$6:$K$28,$P1882),IF($O1882&lt;=INDEX(PARAMETROS_CULTURAS!$F$6:$F$28,$P1882)+INDEX(PARAMETROS_CULTURAS!$G$6:$G$28,$P1882),INDEX(PARAMETROS_CULTURAS!$K$6:$K$28,$P1882)+(INDEX(PARAMETROS_CULTURAS!$L$6:$L$28,$P1882)-INDEX(PARAMETROS_CULTURAS!$K$6:$K$28,$P1882))*($O1882-INDEX(PARAMETROS_CULTURAS!$F$6:$F$28,$P1882))/MAX(INDEX(PARAMETROS_CULTURAS!$G$6:$G$28,$P1882),0.0001),IF($O1882&lt;=INDEX(PARAMETROS_CULTURAS!$F$6:$F$28,$P1882)+INDEX(PARAMETROS_CULTURAS!$G$6:$G$28,$P1882)+INDEX(PARAMETROS_CULTURAS!$H$6:$H$28,$P1882),INDEX(PARAMETROS_CULTURAS!$L$6:$L$28,$P1882),INDEX(PARAMETROS_CULTURAS!$L$6:$L$28,$P1882)+(INDEX(PARAMETROS_CULTURAS!$M$6:$M$28,$P1882)-INDEX(PARAMETROS_CULTURAS!$L$6:$L$28,$P1882))*($O1882-INDEX(PARAMETROS_CULTURAS!$F$6:$F$28,$P1882)-INDEX(PARAMETROS_CULTURAS!$G$6:$G$28,$P1882)-INDEX(PARAMETROS_CULTURAS!$H$6:$H$28,$P1882))/MAX(INDEX(PARAMETROS_CULTURAS!$I$6:$I$28,$P1882),0.0001)))))</f>
        <v>1.15</v>
      </c>
      <c r="S1882" s="18" t="n">
        <f aca="false">IFERROR(INDEX(SEMANAS!$H$6:$H$71,MATCH($B1882,SEMANAS!$B$6:$B$71,0)),0)</f>
        <v>32.2</v>
      </c>
      <c r="T1882" s="18" t="n">
        <f aca="false">$R1882*$S1882</f>
        <v>37.03</v>
      </c>
      <c r="U1882" s="18" t="n">
        <f aca="false">IFERROR(INDEX(SEMANAS!$I$6:$I$71,MATCH($B1882,SEMANAS!$B$6:$B$71,0)),0)</f>
        <v>37.24</v>
      </c>
      <c r="V1882" s="18" t="n">
        <f aca="false">IFERROR(INDEX(SEMANAS!$J$6:$J$71,MATCH($B1882,SEMANAS!$B$6:$B$71,0)),0)</f>
        <v>29.792</v>
      </c>
      <c r="W1882" s="18" t="n">
        <f aca="false">MAX(0,$T1882-$V1882)</f>
        <v>7.23799999999999</v>
      </c>
      <c r="X1882" s="19" t="n">
        <f aca="false">IFERROR(INDEX(CADASTRO_PIVOS!$K$6:$K$41,MATCH($E1882,CADASTRO_PIVOS!$B$6:$B$41,0)),EFICIENCIA_PADRAO)</f>
        <v>0.85</v>
      </c>
      <c r="Y1882" s="18" t="n">
        <f aca="false">IF($X1882&lt;=0,0,$W1882/$X1882)</f>
        <v>8.51529411764705</v>
      </c>
      <c r="Z1882" s="16" t="n">
        <f aca="false">$Y1882*$H1882*MM_PARA_M3_HA</f>
        <v>8471.01458823529</v>
      </c>
      <c r="AA1882" s="18" t="n">
        <f aca="false">IFERROR(INDEX(CADASTRO_PIVOS!$I$6:$I$41,MATCH($E1882,CADASTRO_PIVOS!$B$6:$B$41,0)),0)</f>
        <v>710.571428571429</v>
      </c>
      <c r="AB1882" s="18" t="n">
        <f aca="false">IF($Z1882&lt;=0,0,$Z1882/$AA1882)</f>
        <v>11.9214117647059</v>
      </c>
      <c r="AC1882" s="16" t="n">
        <f aca="false">IFERROR(INDEX(SEMANAS!$K$6:$K$71,MATCH($B1882,SEMANAS!$B$6:$B$71,0)),0)</f>
        <v>147</v>
      </c>
      <c r="AD1882" s="19" t="n">
        <f aca="false">IF($AC1882&lt;=0,0,$AB1882/$AC1882)</f>
        <v>0.0810980392156862</v>
      </c>
      <c r="AE1882" s="8" t="str">
        <f aca="false">IF($K1882="SEM CULTURA","SEM CULTURA",IF($AA1882&lt;=0,"DADO PENDENTE",IF($AD1882&gt;LIMITE_CRITICO,"INVIAVEL",IF($AD1882&gt;LIMITE_ATENCAO,"CRITICO",IF($AD1882&gt;LIMITE_CONFORTAVEL,"ATENCAO","OK")))))</f>
        <v>OK</v>
      </c>
      <c r="AF1882" s="8" t="str">
        <f aca="false">$B1882&amp;"|"&amp;TEXT($AD1882,"0.000000")</f>
        <v>29|0.081098</v>
      </c>
      <c r="AG1882" s="18" t="n">
        <f aca="false">IF($K1882="SEM CULTURA",0,$T1882*$H1882)</f>
        <v>3683.7444</v>
      </c>
      <c r="AH1882" s="18" t="n">
        <f aca="false">IF($K1882="SEM CULTURA",0,$V1882*$H1882)</f>
        <v>2963.70816</v>
      </c>
      <c r="AI1882" s="18" t="n">
        <f aca="false">IF($K1882="SEM CULTURA",0,$W1882*$H1882)</f>
        <v>720.036239999999</v>
      </c>
      <c r="AJ1882" s="18" t="n">
        <f aca="false">IF($K1882="SEM CULTURA",0,$S1882*$H1882)</f>
        <v>3203.256</v>
      </c>
      <c r="AK1882" s="8" t="str">
        <f aca="false">$E1882&amp;"|"&amp;TEXT($AD1882,"0.000000")</f>
        <v>PV 125|0.081098</v>
      </c>
    </row>
    <row r="1883" customFormat="false" ht="15" hidden="false" customHeight="false" outlineLevel="0" collapsed="false">
      <c r="B1883" s="16" t="n">
        <v>30</v>
      </c>
      <c r="C1883" s="17" t="n">
        <f aca="false">DATA_INICIO_SAFRA+($B1883-1)*DIAS_POR_SEMANA</f>
        <v>46468</v>
      </c>
      <c r="D1883" s="17" t="n">
        <f aca="false">$C1883+DIAS_POR_SEMANA-1</f>
        <v>46474</v>
      </c>
      <c r="E1883" s="15" t="s">
        <v>287</v>
      </c>
      <c r="F1883" s="8" t="str">
        <f aca="false">IFERROR(INDEX(CADASTRO_PIVOS!$C$6:$C$41,MATCH($E1883,CADASTRO_PIVOS!$B$6:$B$41,0)),"?")</f>
        <v>RM07</v>
      </c>
      <c r="G1883" s="8" t="str">
        <f aca="false">IFERROR(INDEX(CADASTRO_PIVOS!$D$6:$D$41,MATCH($E1883,CADASTRO_PIVOS!$B$6:$B$41,0)),"?")</f>
        <v>TR07</v>
      </c>
      <c r="H1883" s="20" t="n">
        <f aca="false">IFERROR(INDEX(CADASTRO_PIVOS!$E$6:$E$41,MATCH($E1883,CADASTRO_PIVOS!$B$6:$B$41,0)),0)</f>
        <v>99.48</v>
      </c>
      <c r="I1883" s="16" t="n">
        <f aca="false">IFERROR(SUMIFS(ROTACAO_RDM!$B$6:$B$71,ROTACAO_RDM!$D$6:$D$71,$E1883,ROTACAO_RDM!$I$6:$I$71,"&lt;="&amp;$C1883+INT(DIAS_POR_SEMANA/2),ROTACAO_RDM!$J$6:$J$71,"&gt;="&amp;$C1883+INT(DIAS_POR_SEMANA/2)),0)</f>
        <v>47</v>
      </c>
      <c r="J1883" s="16" t="n">
        <f aca="false">IFERROR(MATCH($I1883,ROTACAO_RDM!$B$6:$B$71,0),0)</f>
        <v>47</v>
      </c>
      <c r="K1883" s="8" t="str">
        <f aca="false">IF($J1883=0,"SEM CULTURA",INDEX(ROTACAO_RDM!$F$6:$F$71,$J1883))</f>
        <v>ALGODAO</v>
      </c>
      <c r="L1883" s="8" t="str">
        <f aca="false">IF($J1883=0,"",INDEX(ROTACAO_RDM!$G$6:$G$71,$J1883))</f>
        <v>FM 974 GLT</v>
      </c>
      <c r="M1883" s="17" t="n">
        <f aca="false">IF($J1883=0,"",INDEX(ROTACAO_RDM!$I$6:$I$71,$J1883))</f>
        <v>46357</v>
      </c>
      <c r="N1883" s="16" t="n">
        <f aca="false">IF($J1883=0,0,MAX(0,$C1883+INT(DIAS_POR_SEMANA/2)-INDEX(ROTACAO_RDM!$I$6:$I$71,$J1883)))</f>
        <v>114</v>
      </c>
      <c r="O1883" s="19" t="n">
        <f aca="false">IF($J1883=0,0,MIN(1,$N1883/MAX(1,INDEX(ROTACAO_RDM!$K$6:$K$71,$J1883))))</f>
        <v>0.584615384615385</v>
      </c>
      <c r="P1883" s="16" t="n">
        <f aca="false">IF($J1883=0,0,IFERROR(MATCH(INDEX(ROTACAO_RDM!$N$6:$N$71,$J1883),PARAMETROS_CULTURAS!$B$6:$B$28,0),0))</f>
        <v>5</v>
      </c>
      <c r="Q1883" s="8" t="str">
        <f aca="false">IF($P1883=0,"-",IF($O1883&lt;=INDEX(PARAMETROS_CULTURAS!$F$6:$F$28,$P1883),"INICIAL",IF($O1883&lt;=INDEX(PARAMETROS_CULTURAS!$F$6:$F$28,$P1883)+INDEX(PARAMETROS_CULTURAS!$G$6:$G$28,$P1883),"DESENVOLVIMENTO",IF($O1883&lt;=INDEX(PARAMETROS_CULTURAS!$F$6:$F$28,$P1883)+INDEX(PARAMETROS_CULTURAS!$G$6:$G$28,$P1883)+INDEX(PARAMETROS_CULTURAS!$H$6:$H$28,$P1883),"MEDIA","FINAL"))))</f>
        <v>MEDIA</v>
      </c>
      <c r="R1883" s="24" t="n">
        <f aca="false">IF($P1883=0,0,IF($O1883&lt;=INDEX(PARAMETROS_CULTURAS!$F$6:$F$28,$P1883),INDEX(PARAMETROS_CULTURAS!$K$6:$K$28,$P1883),IF($O1883&lt;=INDEX(PARAMETROS_CULTURAS!$F$6:$F$28,$P1883)+INDEX(PARAMETROS_CULTURAS!$G$6:$G$28,$P1883),INDEX(PARAMETROS_CULTURAS!$K$6:$K$28,$P1883)+(INDEX(PARAMETROS_CULTURAS!$L$6:$L$28,$P1883)-INDEX(PARAMETROS_CULTURAS!$K$6:$K$28,$P1883))*($O1883-INDEX(PARAMETROS_CULTURAS!$F$6:$F$28,$P1883))/MAX(INDEX(PARAMETROS_CULTURAS!$G$6:$G$28,$P1883),0.0001),IF($O1883&lt;=INDEX(PARAMETROS_CULTURAS!$F$6:$F$28,$P1883)+INDEX(PARAMETROS_CULTURAS!$G$6:$G$28,$P1883)+INDEX(PARAMETROS_CULTURAS!$H$6:$H$28,$P1883),INDEX(PARAMETROS_CULTURAS!$L$6:$L$28,$P1883),INDEX(PARAMETROS_CULTURAS!$L$6:$L$28,$P1883)+(INDEX(PARAMETROS_CULTURAS!$M$6:$M$28,$P1883)-INDEX(PARAMETROS_CULTURAS!$L$6:$L$28,$P1883))*($O1883-INDEX(PARAMETROS_CULTURAS!$F$6:$F$28,$P1883)-INDEX(PARAMETROS_CULTURAS!$G$6:$G$28,$P1883)-INDEX(PARAMETROS_CULTURAS!$H$6:$H$28,$P1883))/MAX(INDEX(PARAMETROS_CULTURAS!$I$6:$I$28,$P1883),0.0001)))))</f>
        <v>1.15</v>
      </c>
      <c r="S1883" s="18" t="n">
        <f aca="false">IFERROR(INDEX(SEMANAS!$H$6:$H$71,MATCH($B1883,SEMANAS!$B$6:$B$71,0)),0)</f>
        <v>32.2</v>
      </c>
      <c r="T1883" s="18" t="n">
        <f aca="false">$R1883*$S1883</f>
        <v>37.03</v>
      </c>
      <c r="U1883" s="18" t="n">
        <f aca="false">IFERROR(INDEX(SEMANAS!$I$6:$I$71,MATCH($B1883,SEMANAS!$B$6:$B$71,0)),0)</f>
        <v>37.24</v>
      </c>
      <c r="V1883" s="18" t="n">
        <f aca="false">IFERROR(INDEX(SEMANAS!$J$6:$J$71,MATCH($B1883,SEMANAS!$B$6:$B$71,0)),0)</f>
        <v>29.792</v>
      </c>
      <c r="W1883" s="18" t="n">
        <f aca="false">MAX(0,$T1883-$V1883)</f>
        <v>7.23799999999999</v>
      </c>
      <c r="X1883" s="19" t="n">
        <f aca="false">IFERROR(INDEX(CADASTRO_PIVOS!$K$6:$K$41,MATCH($E1883,CADASTRO_PIVOS!$B$6:$B$41,0)),EFICIENCIA_PADRAO)</f>
        <v>0.85</v>
      </c>
      <c r="Y1883" s="18" t="n">
        <f aca="false">IF($X1883&lt;=0,0,$W1883/$X1883)</f>
        <v>8.51529411764705</v>
      </c>
      <c r="Z1883" s="16" t="n">
        <f aca="false">$Y1883*$H1883*MM_PARA_M3_HA</f>
        <v>8471.01458823529</v>
      </c>
      <c r="AA1883" s="18" t="n">
        <f aca="false">IFERROR(INDEX(CADASTRO_PIVOS!$I$6:$I$41,MATCH($E1883,CADASTRO_PIVOS!$B$6:$B$41,0)),0)</f>
        <v>710.571428571429</v>
      </c>
      <c r="AB1883" s="18" t="n">
        <f aca="false">IF($Z1883&lt;=0,0,$Z1883/$AA1883)</f>
        <v>11.9214117647059</v>
      </c>
      <c r="AC1883" s="16" t="n">
        <f aca="false">IFERROR(INDEX(SEMANAS!$K$6:$K$71,MATCH($B1883,SEMANAS!$B$6:$B$71,0)),0)</f>
        <v>147</v>
      </c>
      <c r="AD1883" s="19" t="n">
        <f aca="false">IF($AC1883&lt;=0,0,$AB1883/$AC1883)</f>
        <v>0.0810980392156862</v>
      </c>
      <c r="AE1883" s="8" t="str">
        <f aca="false">IF($K1883="SEM CULTURA","SEM CULTURA",IF($AA1883&lt;=0,"DADO PENDENTE",IF($AD1883&gt;LIMITE_CRITICO,"INVIAVEL",IF($AD1883&gt;LIMITE_ATENCAO,"CRITICO",IF($AD1883&gt;LIMITE_CONFORTAVEL,"ATENCAO","OK")))))</f>
        <v>OK</v>
      </c>
      <c r="AF1883" s="8" t="str">
        <f aca="false">$B1883&amp;"|"&amp;TEXT($AD1883,"0.000000")</f>
        <v>30|0.081098</v>
      </c>
      <c r="AG1883" s="18" t="n">
        <f aca="false">IF($K1883="SEM CULTURA",0,$T1883*$H1883)</f>
        <v>3683.7444</v>
      </c>
      <c r="AH1883" s="18" t="n">
        <f aca="false">IF($K1883="SEM CULTURA",0,$V1883*$H1883)</f>
        <v>2963.70816</v>
      </c>
      <c r="AI1883" s="18" t="n">
        <f aca="false">IF($K1883="SEM CULTURA",0,$W1883*$H1883)</f>
        <v>720.036239999999</v>
      </c>
      <c r="AJ1883" s="18" t="n">
        <f aca="false">IF($K1883="SEM CULTURA",0,$S1883*$H1883)</f>
        <v>3203.256</v>
      </c>
      <c r="AK1883" s="8" t="str">
        <f aca="false">$E1883&amp;"|"&amp;TEXT($AD1883,"0.000000")</f>
        <v>PV 125|0.081098</v>
      </c>
    </row>
    <row r="1884" customFormat="false" ht="15" hidden="false" customHeight="false" outlineLevel="0" collapsed="false">
      <c r="B1884" s="16" t="n">
        <v>31</v>
      </c>
      <c r="C1884" s="17" t="n">
        <f aca="false">DATA_INICIO_SAFRA+($B1884-1)*DIAS_POR_SEMANA</f>
        <v>46475</v>
      </c>
      <c r="D1884" s="17" t="n">
        <f aca="false">$C1884+DIAS_POR_SEMANA-1</f>
        <v>46481</v>
      </c>
      <c r="E1884" s="15" t="s">
        <v>287</v>
      </c>
      <c r="F1884" s="8" t="str">
        <f aca="false">IFERROR(INDEX(CADASTRO_PIVOS!$C$6:$C$41,MATCH($E1884,CADASTRO_PIVOS!$B$6:$B$41,0)),"?")</f>
        <v>RM07</v>
      </c>
      <c r="G1884" s="8" t="str">
        <f aca="false">IFERROR(INDEX(CADASTRO_PIVOS!$D$6:$D$41,MATCH($E1884,CADASTRO_PIVOS!$B$6:$B$41,0)),"?")</f>
        <v>TR07</v>
      </c>
      <c r="H1884" s="20" t="n">
        <f aca="false">IFERROR(INDEX(CADASTRO_PIVOS!$E$6:$E$41,MATCH($E1884,CADASTRO_PIVOS!$B$6:$B$41,0)),0)</f>
        <v>99.48</v>
      </c>
      <c r="I1884" s="16" t="n">
        <f aca="false">IFERROR(SUMIFS(ROTACAO_RDM!$B$6:$B$71,ROTACAO_RDM!$D$6:$D$71,$E1884,ROTACAO_RDM!$I$6:$I$71,"&lt;="&amp;$C1884+INT(DIAS_POR_SEMANA/2),ROTACAO_RDM!$J$6:$J$71,"&gt;="&amp;$C1884+INT(DIAS_POR_SEMANA/2)),0)</f>
        <v>47</v>
      </c>
      <c r="J1884" s="16" t="n">
        <f aca="false">IFERROR(MATCH($I1884,ROTACAO_RDM!$B$6:$B$71,0),0)</f>
        <v>47</v>
      </c>
      <c r="K1884" s="8" t="str">
        <f aca="false">IF($J1884=0,"SEM CULTURA",INDEX(ROTACAO_RDM!$F$6:$F$71,$J1884))</f>
        <v>ALGODAO</v>
      </c>
      <c r="L1884" s="8" t="str">
        <f aca="false">IF($J1884=0,"",INDEX(ROTACAO_RDM!$G$6:$G$71,$J1884))</f>
        <v>FM 974 GLT</v>
      </c>
      <c r="M1884" s="17" t="n">
        <f aca="false">IF($J1884=0,"",INDEX(ROTACAO_RDM!$I$6:$I$71,$J1884))</f>
        <v>46357</v>
      </c>
      <c r="N1884" s="16" t="n">
        <f aca="false">IF($J1884=0,0,MAX(0,$C1884+INT(DIAS_POR_SEMANA/2)-INDEX(ROTACAO_RDM!$I$6:$I$71,$J1884)))</f>
        <v>121</v>
      </c>
      <c r="O1884" s="19" t="n">
        <f aca="false">IF($J1884=0,0,MIN(1,$N1884/MAX(1,INDEX(ROTACAO_RDM!$K$6:$K$71,$J1884))))</f>
        <v>0.620512820512821</v>
      </c>
      <c r="P1884" s="16" t="n">
        <f aca="false">IF($J1884=0,0,IFERROR(MATCH(INDEX(ROTACAO_RDM!$N$6:$N$71,$J1884),PARAMETROS_CULTURAS!$B$6:$B$28,0),0))</f>
        <v>5</v>
      </c>
      <c r="Q1884" s="8" t="str">
        <f aca="false">IF($P1884=0,"-",IF($O1884&lt;=INDEX(PARAMETROS_CULTURAS!$F$6:$F$28,$P1884),"INICIAL",IF($O1884&lt;=INDEX(PARAMETROS_CULTURAS!$F$6:$F$28,$P1884)+INDEX(PARAMETROS_CULTURAS!$G$6:$G$28,$P1884),"DESENVOLVIMENTO",IF($O1884&lt;=INDEX(PARAMETROS_CULTURAS!$F$6:$F$28,$P1884)+INDEX(PARAMETROS_CULTURAS!$G$6:$G$28,$P1884)+INDEX(PARAMETROS_CULTURAS!$H$6:$H$28,$P1884),"MEDIA","FINAL"))))</f>
        <v>MEDIA</v>
      </c>
      <c r="R1884" s="24" t="n">
        <f aca="false">IF($P1884=0,0,IF($O1884&lt;=INDEX(PARAMETROS_CULTURAS!$F$6:$F$28,$P1884),INDEX(PARAMETROS_CULTURAS!$K$6:$K$28,$P1884),IF($O1884&lt;=INDEX(PARAMETROS_CULTURAS!$F$6:$F$28,$P1884)+INDEX(PARAMETROS_CULTURAS!$G$6:$G$28,$P1884),INDEX(PARAMETROS_CULTURAS!$K$6:$K$28,$P1884)+(INDEX(PARAMETROS_CULTURAS!$L$6:$L$28,$P1884)-INDEX(PARAMETROS_CULTURAS!$K$6:$K$28,$P1884))*($O1884-INDEX(PARAMETROS_CULTURAS!$F$6:$F$28,$P1884))/MAX(INDEX(PARAMETROS_CULTURAS!$G$6:$G$28,$P1884),0.0001),IF($O1884&lt;=INDEX(PARAMETROS_CULTURAS!$F$6:$F$28,$P1884)+INDEX(PARAMETROS_CULTURAS!$G$6:$G$28,$P1884)+INDEX(PARAMETROS_CULTURAS!$H$6:$H$28,$P1884),INDEX(PARAMETROS_CULTURAS!$L$6:$L$28,$P1884),INDEX(PARAMETROS_CULTURAS!$L$6:$L$28,$P1884)+(INDEX(PARAMETROS_CULTURAS!$M$6:$M$28,$P1884)-INDEX(PARAMETROS_CULTURAS!$L$6:$L$28,$P1884))*($O1884-INDEX(PARAMETROS_CULTURAS!$F$6:$F$28,$P1884)-INDEX(PARAMETROS_CULTURAS!$G$6:$G$28,$P1884)-INDEX(PARAMETROS_CULTURAS!$H$6:$H$28,$P1884))/MAX(INDEX(PARAMETROS_CULTURAS!$I$6:$I$28,$P1884),0.0001)))))</f>
        <v>1.15</v>
      </c>
      <c r="S1884" s="18" t="n">
        <f aca="false">IFERROR(INDEX(SEMANAS!$H$6:$H$71,MATCH($B1884,SEMANAS!$B$6:$B$71,0)),0)</f>
        <v>31.8</v>
      </c>
      <c r="T1884" s="18" t="n">
        <f aca="false">$R1884*$S1884</f>
        <v>36.57</v>
      </c>
      <c r="U1884" s="18" t="n">
        <f aca="false">IFERROR(INDEX(SEMANAS!$I$6:$I$71,MATCH($B1884,SEMANAS!$B$6:$B$71,0)),0)</f>
        <v>25.28</v>
      </c>
      <c r="V1884" s="18" t="n">
        <f aca="false">IFERROR(INDEX(SEMANAS!$J$6:$J$71,MATCH($B1884,SEMANAS!$B$6:$B$71,0)),0)</f>
        <v>20.224</v>
      </c>
      <c r="W1884" s="18" t="n">
        <f aca="false">MAX(0,$T1884-$V1884)</f>
        <v>16.346</v>
      </c>
      <c r="X1884" s="19" t="n">
        <f aca="false">IFERROR(INDEX(CADASTRO_PIVOS!$K$6:$K$41,MATCH($E1884,CADASTRO_PIVOS!$B$6:$B$41,0)),EFICIENCIA_PADRAO)</f>
        <v>0.85</v>
      </c>
      <c r="Y1884" s="18" t="n">
        <f aca="false">IF($X1884&lt;=0,0,$W1884/$X1884)</f>
        <v>19.2305882352941</v>
      </c>
      <c r="Z1884" s="16" t="n">
        <f aca="false">$Y1884*$H1884*MM_PARA_M3_HA</f>
        <v>19130.5891764706</v>
      </c>
      <c r="AA1884" s="18" t="n">
        <f aca="false">IFERROR(INDEX(CADASTRO_PIVOS!$I$6:$I$41,MATCH($E1884,CADASTRO_PIVOS!$B$6:$B$41,0)),0)</f>
        <v>710.571428571429</v>
      </c>
      <c r="AB1884" s="18" t="n">
        <f aca="false">IF($Z1884&lt;=0,0,$Z1884/$AA1884)</f>
        <v>26.9228235294118</v>
      </c>
      <c r="AC1884" s="16" t="n">
        <f aca="false">IFERROR(INDEX(SEMANAS!$K$6:$K$71,MATCH($B1884,SEMANAS!$B$6:$B$71,0)),0)</f>
        <v>147</v>
      </c>
      <c r="AD1884" s="19" t="n">
        <f aca="false">IF($AC1884&lt;=0,0,$AB1884/$AC1884)</f>
        <v>0.183148459383753</v>
      </c>
      <c r="AE1884" s="8" t="str">
        <f aca="false">IF($K1884="SEM CULTURA","SEM CULTURA",IF($AA1884&lt;=0,"DADO PENDENTE",IF($AD1884&gt;LIMITE_CRITICO,"INVIAVEL",IF($AD1884&gt;LIMITE_ATENCAO,"CRITICO",IF($AD1884&gt;LIMITE_CONFORTAVEL,"ATENCAO","OK")))))</f>
        <v>OK</v>
      </c>
      <c r="AF1884" s="8" t="str">
        <f aca="false">$B1884&amp;"|"&amp;TEXT($AD1884,"0.000000")</f>
        <v>31|0.183148</v>
      </c>
      <c r="AG1884" s="18" t="n">
        <f aca="false">IF($K1884="SEM CULTURA",0,$T1884*$H1884)</f>
        <v>3637.9836</v>
      </c>
      <c r="AH1884" s="18" t="n">
        <f aca="false">IF($K1884="SEM CULTURA",0,$V1884*$H1884)</f>
        <v>2011.88352</v>
      </c>
      <c r="AI1884" s="18" t="n">
        <f aca="false">IF($K1884="SEM CULTURA",0,$W1884*$H1884)</f>
        <v>1626.10008</v>
      </c>
      <c r="AJ1884" s="18" t="n">
        <f aca="false">IF($K1884="SEM CULTURA",0,$S1884*$H1884)</f>
        <v>3163.464</v>
      </c>
      <c r="AK1884" s="8" t="str">
        <f aca="false">$E1884&amp;"|"&amp;TEXT($AD1884,"0.000000")</f>
        <v>PV 125|0.183148</v>
      </c>
    </row>
    <row r="1885" customFormat="false" ht="15" hidden="false" customHeight="false" outlineLevel="0" collapsed="false">
      <c r="B1885" s="16" t="n">
        <v>32</v>
      </c>
      <c r="C1885" s="17" t="n">
        <f aca="false">DATA_INICIO_SAFRA+($B1885-1)*DIAS_POR_SEMANA</f>
        <v>46482</v>
      </c>
      <c r="D1885" s="17" t="n">
        <f aca="false">$C1885+DIAS_POR_SEMANA-1</f>
        <v>46488</v>
      </c>
      <c r="E1885" s="15" t="s">
        <v>287</v>
      </c>
      <c r="F1885" s="8" t="str">
        <f aca="false">IFERROR(INDEX(CADASTRO_PIVOS!$C$6:$C$41,MATCH($E1885,CADASTRO_PIVOS!$B$6:$B$41,0)),"?")</f>
        <v>RM07</v>
      </c>
      <c r="G1885" s="8" t="str">
        <f aca="false">IFERROR(INDEX(CADASTRO_PIVOS!$D$6:$D$41,MATCH($E1885,CADASTRO_PIVOS!$B$6:$B$41,0)),"?")</f>
        <v>TR07</v>
      </c>
      <c r="H1885" s="20" t="n">
        <f aca="false">IFERROR(INDEX(CADASTRO_PIVOS!$E$6:$E$41,MATCH($E1885,CADASTRO_PIVOS!$B$6:$B$41,0)),0)</f>
        <v>99.48</v>
      </c>
      <c r="I1885" s="16" t="n">
        <f aca="false">IFERROR(SUMIFS(ROTACAO_RDM!$B$6:$B$71,ROTACAO_RDM!$D$6:$D$71,$E1885,ROTACAO_RDM!$I$6:$I$71,"&lt;="&amp;$C1885+INT(DIAS_POR_SEMANA/2),ROTACAO_RDM!$J$6:$J$71,"&gt;="&amp;$C1885+INT(DIAS_POR_SEMANA/2)),0)</f>
        <v>47</v>
      </c>
      <c r="J1885" s="16" t="n">
        <f aca="false">IFERROR(MATCH($I1885,ROTACAO_RDM!$B$6:$B$71,0),0)</f>
        <v>47</v>
      </c>
      <c r="K1885" s="8" t="str">
        <f aca="false">IF($J1885=0,"SEM CULTURA",INDEX(ROTACAO_RDM!$F$6:$F$71,$J1885))</f>
        <v>ALGODAO</v>
      </c>
      <c r="L1885" s="8" t="str">
        <f aca="false">IF($J1885=0,"",INDEX(ROTACAO_RDM!$G$6:$G$71,$J1885))</f>
        <v>FM 974 GLT</v>
      </c>
      <c r="M1885" s="17" t="n">
        <f aca="false">IF($J1885=0,"",INDEX(ROTACAO_RDM!$I$6:$I$71,$J1885))</f>
        <v>46357</v>
      </c>
      <c r="N1885" s="16" t="n">
        <f aca="false">IF($J1885=0,0,MAX(0,$C1885+INT(DIAS_POR_SEMANA/2)-INDEX(ROTACAO_RDM!$I$6:$I$71,$J1885)))</f>
        <v>128</v>
      </c>
      <c r="O1885" s="19" t="n">
        <f aca="false">IF($J1885=0,0,MIN(1,$N1885/MAX(1,INDEX(ROTACAO_RDM!$K$6:$K$71,$J1885))))</f>
        <v>0.656410256410256</v>
      </c>
      <c r="P1885" s="16" t="n">
        <f aca="false">IF($J1885=0,0,IFERROR(MATCH(INDEX(ROTACAO_RDM!$N$6:$N$71,$J1885),PARAMETROS_CULTURAS!$B$6:$B$28,0),0))</f>
        <v>5</v>
      </c>
      <c r="Q1885" s="8" t="str">
        <f aca="false">IF($P1885=0,"-",IF($O1885&lt;=INDEX(PARAMETROS_CULTURAS!$F$6:$F$28,$P1885),"INICIAL",IF($O1885&lt;=INDEX(PARAMETROS_CULTURAS!$F$6:$F$28,$P1885)+INDEX(PARAMETROS_CULTURAS!$G$6:$G$28,$P1885),"DESENVOLVIMENTO",IF($O1885&lt;=INDEX(PARAMETROS_CULTURAS!$F$6:$F$28,$P1885)+INDEX(PARAMETROS_CULTURAS!$G$6:$G$28,$P1885)+INDEX(PARAMETROS_CULTURAS!$H$6:$H$28,$P1885),"MEDIA","FINAL"))))</f>
        <v>MEDIA</v>
      </c>
      <c r="R1885" s="24" t="n">
        <f aca="false">IF($P1885=0,0,IF($O1885&lt;=INDEX(PARAMETROS_CULTURAS!$F$6:$F$28,$P1885),INDEX(PARAMETROS_CULTURAS!$K$6:$K$28,$P1885),IF($O1885&lt;=INDEX(PARAMETROS_CULTURAS!$F$6:$F$28,$P1885)+INDEX(PARAMETROS_CULTURAS!$G$6:$G$28,$P1885),INDEX(PARAMETROS_CULTURAS!$K$6:$K$28,$P1885)+(INDEX(PARAMETROS_CULTURAS!$L$6:$L$28,$P1885)-INDEX(PARAMETROS_CULTURAS!$K$6:$K$28,$P1885))*($O1885-INDEX(PARAMETROS_CULTURAS!$F$6:$F$28,$P1885))/MAX(INDEX(PARAMETROS_CULTURAS!$G$6:$G$28,$P1885),0.0001),IF($O1885&lt;=INDEX(PARAMETROS_CULTURAS!$F$6:$F$28,$P1885)+INDEX(PARAMETROS_CULTURAS!$G$6:$G$28,$P1885)+INDEX(PARAMETROS_CULTURAS!$H$6:$H$28,$P1885),INDEX(PARAMETROS_CULTURAS!$L$6:$L$28,$P1885),INDEX(PARAMETROS_CULTURAS!$L$6:$L$28,$P1885)+(INDEX(PARAMETROS_CULTURAS!$M$6:$M$28,$P1885)-INDEX(PARAMETROS_CULTURAS!$L$6:$L$28,$P1885))*($O1885-INDEX(PARAMETROS_CULTURAS!$F$6:$F$28,$P1885)-INDEX(PARAMETROS_CULTURAS!$G$6:$G$28,$P1885)-INDEX(PARAMETROS_CULTURAS!$H$6:$H$28,$P1885))/MAX(INDEX(PARAMETROS_CULTURAS!$I$6:$I$28,$P1885),0.0001)))))</f>
        <v>1.15</v>
      </c>
      <c r="S1885" s="18" t="n">
        <f aca="false">IFERROR(INDEX(SEMANAS!$H$6:$H$71,MATCH($B1885,SEMANAS!$B$6:$B$71,0)),0)</f>
        <v>31.5</v>
      </c>
      <c r="T1885" s="18" t="n">
        <f aca="false">$R1885*$S1885</f>
        <v>36.225</v>
      </c>
      <c r="U1885" s="18" t="n">
        <f aca="false">IFERROR(INDEX(SEMANAS!$I$6:$I$71,MATCH($B1885,SEMANAS!$B$6:$B$71,0)),0)</f>
        <v>16.31</v>
      </c>
      <c r="V1885" s="18" t="n">
        <f aca="false">IFERROR(INDEX(SEMANAS!$J$6:$J$71,MATCH($B1885,SEMANAS!$B$6:$B$71,0)),0)</f>
        <v>13.048</v>
      </c>
      <c r="W1885" s="18" t="n">
        <f aca="false">MAX(0,$T1885-$V1885)</f>
        <v>23.177</v>
      </c>
      <c r="X1885" s="19" t="n">
        <f aca="false">IFERROR(INDEX(CADASTRO_PIVOS!$K$6:$K$41,MATCH($E1885,CADASTRO_PIVOS!$B$6:$B$41,0)),EFICIENCIA_PADRAO)</f>
        <v>0.85</v>
      </c>
      <c r="Y1885" s="18" t="n">
        <f aca="false">IF($X1885&lt;=0,0,$W1885/$X1885)</f>
        <v>27.2670588235294</v>
      </c>
      <c r="Z1885" s="16" t="n">
        <f aca="false">$Y1885*$H1885*MM_PARA_M3_HA</f>
        <v>27125.2701176471</v>
      </c>
      <c r="AA1885" s="18" t="n">
        <f aca="false">IFERROR(INDEX(CADASTRO_PIVOS!$I$6:$I$41,MATCH($E1885,CADASTRO_PIVOS!$B$6:$B$41,0)),0)</f>
        <v>710.571428571429</v>
      </c>
      <c r="AB1885" s="18" t="n">
        <f aca="false">IF($Z1885&lt;=0,0,$Z1885/$AA1885)</f>
        <v>38.1738823529412</v>
      </c>
      <c r="AC1885" s="16" t="n">
        <f aca="false">IFERROR(INDEX(SEMANAS!$K$6:$K$71,MATCH($B1885,SEMANAS!$B$6:$B$71,0)),0)</f>
        <v>147</v>
      </c>
      <c r="AD1885" s="19" t="n">
        <f aca="false">IF($AC1885&lt;=0,0,$AB1885/$AC1885)</f>
        <v>0.259686274509804</v>
      </c>
      <c r="AE1885" s="8" t="str">
        <f aca="false">IF($K1885="SEM CULTURA","SEM CULTURA",IF($AA1885&lt;=0,"DADO PENDENTE",IF($AD1885&gt;LIMITE_CRITICO,"INVIAVEL",IF($AD1885&gt;LIMITE_ATENCAO,"CRITICO",IF($AD1885&gt;LIMITE_CONFORTAVEL,"ATENCAO","OK")))))</f>
        <v>OK</v>
      </c>
      <c r="AF1885" s="8" t="str">
        <f aca="false">$B1885&amp;"|"&amp;TEXT($AD1885,"0.000000")</f>
        <v>32|0.259686</v>
      </c>
      <c r="AG1885" s="18" t="n">
        <f aca="false">IF($K1885="SEM CULTURA",0,$T1885*$H1885)</f>
        <v>3603.663</v>
      </c>
      <c r="AH1885" s="18" t="n">
        <f aca="false">IF($K1885="SEM CULTURA",0,$V1885*$H1885)</f>
        <v>1298.01504</v>
      </c>
      <c r="AI1885" s="18" t="n">
        <f aca="false">IF($K1885="SEM CULTURA",0,$W1885*$H1885)</f>
        <v>2305.64796</v>
      </c>
      <c r="AJ1885" s="18" t="n">
        <f aca="false">IF($K1885="SEM CULTURA",0,$S1885*$H1885)</f>
        <v>3133.62</v>
      </c>
      <c r="AK1885" s="8" t="str">
        <f aca="false">$E1885&amp;"|"&amp;TEXT($AD1885,"0.000000")</f>
        <v>PV 125|0.259686</v>
      </c>
    </row>
    <row r="1886" customFormat="false" ht="15" hidden="false" customHeight="false" outlineLevel="0" collapsed="false">
      <c r="B1886" s="16" t="n">
        <v>33</v>
      </c>
      <c r="C1886" s="17" t="n">
        <f aca="false">DATA_INICIO_SAFRA+($B1886-1)*DIAS_POR_SEMANA</f>
        <v>46489</v>
      </c>
      <c r="D1886" s="17" t="n">
        <f aca="false">$C1886+DIAS_POR_SEMANA-1</f>
        <v>46495</v>
      </c>
      <c r="E1886" s="15" t="s">
        <v>287</v>
      </c>
      <c r="F1886" s="8" t="str">
        <f aca="false">IFERROR(INDEX(CADASTRO_PIVOS!$C$6:$C$41,MATCH($E1886,CADASTRO_PIVOS!$B$6:$B$41,0)),"?")</f>
        <v>RM07</v>
      </c>
      <c r="G1886" s="8" t="str">
        <f aca="false">IFERROR(INDEX(CADASTRO_PIVOS!$D$6:$D$41,MATCH($E1886,CADASTRO_PIVOS!$B$6:$B$41,0)),"?")</f>
        <v>TR07</v>
      </c>
      <c r="H1886" s="20" t="n">
        <f aca="false">IFERROR(INDEX(CADASTRO_PIVOS!$E$6:$E$41,MATCH($E1886,CADASTRO_PIVOS!$B$6:$B$41,0)),0)</f>
        <v>99.48</v>
      </c>
      <c r="I1886" s="16" t="n">
        <f aca="false">IFERROR(SUMIFS(ROTACAO_RDM!$B$6:$B$71,ROTACAO_RDM!$D$6:$D$71,$E1886,ROTACAO_RDM!$I$6:$I$71,"&lt;="&amp;$C1886+INT(DIAS_POR_SEMANA/2),ROTACAO_RDM!$J$6:$J$71,"&gt;="&amp;$C1886+INT(DIAS_POR_SEMANA/2)),0)</f>
        <v>47</v>
      </c>
      <c r="J1886" s="16" t="n">
        <f aca="false">IFERROR(MATCH($I1886,ROTACAO_RDM!$B$6:$B$71,0),0)</f>
        <v>47</v>
      </c>
      <c r="K1886" s="8" t="str">
        <f aca="false">IF($J1886=0,"SEM CULTURA",INDEX(ROTACAO_RDM!$F$6:$F$71,$J1886))</f>
        <v>ALGODAO</v>
      </c>
      <c r="L1886" s="8" t="str">
        <f aca="false">IF($J1886=0,"",INDEX(ROTACAO_RDM!$G$6:$G$71,$J1886))</f>
        <v>FM 974 GLT</v>
      </c>
      <c r="M1886" s="17" t="n">
        <f aca="false">IF($J1886=0,"",INDEX(ROTACAO_RDM!$I$6:$I$71,$J1886))</f>
        <v>46357</v>
      </c>
      <c r="N1886" s="16" t="n">
        <f aca="false">IF($J1886=0,0,MAX(0,$C1886+INT(DIAS_POR_SEMANA/2)-INDEX(ROTACAO_RDM!$I$6:$I$71,$J1886)))</f>
        <v>135</v>
      </c>
      <c r="O1886" s="19" t="n">
        <f aca="false">IF($J1886=0,0,MIN(1,$N1886/MAX(1,INDEX(ROTACAO_RDM!$K$6:$K$71,$J1886))))</f>
        <v>0.692307692307692</v>
      </c>
      <c r="P1886" s="16" t="n">
        <f aca="false">IF($J1886=0,0,IFERROR(MATCH(INDEX(ROTACAO_RDM!$N$6:$N$71,$J1886),PARAMETROS_CULTURAS!$B$6:$B$28,0),0))</f>
        <v>5</v>
      </c>
      <c r="Q1886" s="8" t="str">
        <f aca="false">IF($P1886=0,"-",IF($O1886&lt;=INDEX(PARAMETROS_CULTURAS!$F$6:$F$28,$P1886),"INICIAL",IF($O1886&lt;=INDEX(PARAMETROS_CULTURAS!$F$6:$F$28,$P1886)+INDEX(PARAMETROS_CULTURAS!$G$6:$G$28,$P1886),"DESENVOLVIMENTO",IF($O1886&lt;=INDEX(PARAMETROS_CULTURAS!$F$6:$F$28,$P1886)+INDEX(PARAMETROS_CULTURAS!$G$6:$G$28,$P1886)+INDEX(PARAMETROS_CULTURAS!$H$6:$H$28,$P1886),"MEDIA","FINAL"))))</f>
        <v>MEDIA</v>
      </c>
      <c r="R1886" s="24" t="n">
        <f aca="false">IF($P1886=0,0,IF($O1886&lt;=INDEX(PARAMETROS_CULTURAS!$F$6:$F$28,$P1886),INDEX(PARAMETROS_CULTURAS!$K$6:$K$28,$P1886),IF($O1886&lt;=INDEX(PARAMETROS_CULTURAS!$F$6:$F$28,$P1886)+INDEX(PARAMETROS_CULTURAS!$G$6:$G$28,$P1886),INDEX(PARAMETROS_CULTURAS!$K$6:$K$28,$P1886)+(INDEX(PARAMETROS_CULTURAS!$L$6:$L$28,$P1886)-INDEX(PARAMETROS_CULTURAS!$K$6:$K$28,$P1886))*($O1886-INDEX(PARAMETROS_CULTURAS!$F$6:$F$28,$P1886))/MAX(INDEX(PARAMETROS_CULTURAS!$G$6:$G$28,$P1886),0.0001),IF($O1886&lt;=INDEX(PARAMETROS_CULTURAS!$F$6:$F$28,$P1886)+INDEX(PARAMETROS_CULTURAS!$G$6:$G$28,$P1886)+INDEX(PARAMETROS_CULTURAS!$H$6:$H$28,$P1886),INDEX(PARAMETROS_CULTURAS!$L$6:$L$28,$P1886),INDEX(PARAMETROS_CULTURAS!$L$6:$L$28,$P1886)+(INDEX(PARAMETROS_CULTURAS!$M$6:$M$28,$P1886)-INDEX(PARAMETROS_CULTURAS!$L$6:$L$28,$P1886))*($O1886-INDEX(PARAMETROS_CULTURAS!$F$6:$F$28,$P1886)-INDEX(PARAMETROS_CULTURAS!$G$6:$G$28,$P1886)-INDEX(PARAMETROS_CULTURAS!$H$6:$H$28,$P1886))/MAX(INDEX(PARAMETROS_CULTURAS!$I$6:$I$28,$P1886),0.0001)))))</f>
        <v>1.15</v>
      </c>
      <c r="S1886" s="18" t="n">
        <f aca="false">IFERROR(INDEX(SEMANAS!$H$6:$H$71,MATCH($B1886,SEMANAS!$B$6:$B$71,0)),0)</f>
        <v>31.5</v>
      </c>
      <c r="T1886" s="18" t="n">
        <f aca="false">$R1886*$S1886</f>
        <v>36.225</v>
      </c>
      <c r="U1886" s="18" t="n">
        <f aca="false">IFERROR(INDEX(SEMANAS!$I$6:$I$71,MATCH($B1886,SEMANAS!$B$6:$B$71,0)),0)</f>
        <v>16.31</v>
      </c>
      <c r="V1886" s="18" t="n">
        <f aca="false">IFERROR(INDEX(SEMANAS!$J$6:$J$71,MATCH($B1886,SEMANAS!$B$6:$B$71,0)),0)</f>
        <v>13.048</v>
      </c>
      <c r="W1886" s="18" t="n">
        <f aca="false">MAX(0,$T1886-$V1886)</f>
        <v>23.177</v>
      </c>
      <c r="X1886" s="19" t="n">
        <f aca="false">IFERROR(INDEX(CADASTRO_PIVOS!$K$6:$K$41,MATCH($E1886,CADASTRO_PIVOS!$B$6:$B$41,0)),EFICIENCIA_PADRAO)</f>
        <v>0.85</v>
      </c>
      <c r="Y1886" s="18" t="n">
        <f aca="false">IF($X1886&lt;=0,0,$W1886/$X1886)</f>
        <v>27.2670588235294</v>
      </c>
      <c r="Z1886" s="16" t="n">
        <f aca="false">$Y1886*$H1886*MM_PARA_M3_HA</f>
        <v>27125.2701176471</v>
      </c>
      <c r="AA1886" s="18" t="n">
        <f aca="false">IFERROR(INDEX(CADASTRO_PIVOS!$I$6:$I$41,MATCH($E1886,CADASTRO_PIVOS!$B$6:$B$41,0)),0)</f>
        <v>710.571428571429</v>
      </c>
      <c r="AB1886" s="18" t="n">
        <f aca="false">IF($Z1886&lt;=0,0,$Z1886/$AA1886)</f>
        <v>38.1738823529412</v>
      </c>
      <c r="AC1886" s="16" t="n">
        <f aca="false">IFERROR(INDEX(SEMANAS!$K$6:$K$71,MATCH($B1886,SEMANAS!$B$6:$B$71,0)),0)</f>
        <v>147</v>
      </c>
      <c r="AD1886" s="19" t="n">
        <f aca="false">IF($AC1886&lt;=0,0,$AB1886/$AC1886)</f>
        <v>0.259686274509804</v>
      </c>
      <c r="AE1886" s="8" t="str">
        <f aca="false">IF($K1886="SEM CULTURA","SEM CULTURA",IF($AA1886&lt;=0,"DADO PENDENTE",IF($AD1886&gt;LIMITE_CRITICO,"INVIAVEL",IF($AD1886&gt;LIMITE_ATENCAO,"CRITICO",IF($AD1886&gt;LIMITE_CONFORTAVEL,"ATENCAO","OK")))))</f>
        <v>OK</v>
      </c>
      <c r="AF1886" s="8" t="str">
        <f aca="false">$B1886&amp;"|"&amp;TEXT($AD1886,"0.000000")</f>
        <v>33|0.259686</v>
      </c>
      <c r="AG1886" s="18" t="n">
        <f aca="false">IF($K1886="SEM CULTURA",0,$T1886*$H1886)</f>
        <v>3603.663</v>
      </c>
      <c r="AH1886" s="18" t="n">
        <f aca="false">IF($K1886="SEM CULTURA",0,$V1886*$H1886)</f>
        <v>1298.01504</v>
      </c>
      <c r="AI1886" s="18" t="n">
        <f aca="false">IF($K1886="SEM CULTURA",0,$W1886*$H1886)</f>
        <v>2305.64796</v>
      </c>
      <c r="AJ1886" s="18" t="n">
        <f aca="false">IF($K1886="SEM CULTURA",0,$S1886*$H1886)</f>
        <v>3133.62</v>
      </c>
      <c r="AK1886" s="8" t="str">
        <f aca="false">$E1886&amp;"|"&amp;TEXT($AD1886,"0.000000")</f>
        <v>PV 125|0.259686</v>
      </c>
    </row>
    <row r="1887" customFormat="false" ht="15" hidden="false" customHeight="false" outlineLevel="0" collapsed="false">
      <c r="B1887" s="16" t="n">
        <v>34</v>
      </c>
      <c r="C1887" s="17" t="n">
        <f aca="false">DATA_INICIO_SAFRA+($B1887-1)*DIAS_POR_SEMANA</f>
        <v>46496</v>
      </c>
      <c r="D1887" s="17" t="n">
        <f aca="false">$C1887+DIAS_POR_SEMANA-1</f>
        <v>46502</v>
      </c>
      <c r="E1887" s="15" t="s">
        <v>287</v>
      </c>
      <c r="F1887" s="8" t="str">
        <f aca="false">IFERROR(INDEX(CADASTRO_PIVOS!$C$6:$C$41,MATCH($E1887,CADASTRO_PIVOS!$B$6:$B$41,0)),"?")</f>
        <v>RM07</v>
      </c>
      <c r="G1887" s="8" t="str">
        <f aca="false">IFERROR(INDEX(CADASTRO_PIVOS!$D$6:$D$41,MATCH($E1887,CADASTRO_PIVOS!$B$6:$B$41,0)),"?")</f>
        <v>TR07</v>
      </c>
      <c r="H1887" s="20" t="n">
        <f aca="false">IFERROR(INDEX(CADASTRO_PIVOS!$E$6:$E$41,MATCH($E1887,CADASTRO_PIVOS!$B$6:$B$41,0)),0)</f>
        <v>99.48</v>
      </c>
      <c r="I1887" s="16" t="n">
        <f aca="false">IFERROR(SUMIFS(ROTACAO_RDM!$B$6:$B$71,ROTACAO_RDM!$D$6:$D$71,$E1887,ROTACAO_RDM!$I$6:$I$71,"&lt;="&amp;$C1887+INT(DIAS_POR_SEMANA/2),ROTACAO_RDM!$J$6:$J$71,"&gt;="&amp;$C1887+INT(DIAS_POR_SEMANA/2)),0)</f>
        <v>47</v>
      </c>
      <c r="J1887" s="16" t="n">
        <f aca="false">IFERROR(MATCH($I1887,ROTACAO_RDM!$B$6:$B$71,0),0)</f>
        <v>47</v>
      </c>
      <c r="K1887" s="8" t="str">
        <f aca="false">IF($J1887=0,"SEM CULTURA",INDEX(ROTACAO_RDM!$F$6:$F$71,$J1887))</f>
        <v>ALGODAO</v>
      </c>
      <c r="L1887" s="8" t="str">
        <f aca="false">IF($J1887=0,"",INDEX(ROTACAO_RDM!$G$6:$G$71,$J1887))</f>
        <v>FM 974 GLT</v>
      </c>
      <c r="M1887" s="17" t="n">
        <f aca="false">IF($J1887=0,"",INDEX(ROTACAO_RDM!$I$6:$I$71,$J1887))</f>
        <v>46357</v>
      </c>
      <c r="N1887" s="16" t="n">
        <f aca="false">IF($J1887=0,0,MAX(0,$C1887+INT(DIAS_POR_SEMANA/2)-INDEX(ROTACAO_RDM!$I$6:$I$71,$J1887)))</f>
        <v>142</v>
      </c>
      <c r="O1887" s="19" t="n">
        <f aca="false">IF($J1887=0,0,MIN(1,$N1887/MAX(1,INDEX(ROTACAO_RDM!$K$6:$K$71,$J1887))))</f>
        <v>0.728205128205128</v>
      </c>
      <c r="P1887" s="16" t="n">
        <f aca="false">IF($J1887=0,0,IFERROR(MATCH(INDEX(ROTACAO_RDM!$N$6:$N$71,$J1887),PARAMETROS_CULTURAS!$B$6:$B$28,0),0))</f>
        <v>5</v>
      </c>
      <c r="Q1887" s="8" t="str">
        <f aca="false">IF($P1887=0,"-",IF($O1887&lt;=INDEX(PARAMETROS_CULTURAS!$F$6:$F$28,$P1887),"INICIAL",IF($O1887&lt;=INDEX(PARAMETROS_CULTURAS!$F$6:$F$28,$P1887)+INDEX(PARAMETROS_CULTURAS!$G$6:$G$28,$P1887),"DESENVOLVIMENTO",IF($O1887&lt;=INDEX(PARAMETROS_CULTURAS!$F$6:$F$28,$P1887)+INDEX(PARAMETROS_CULTURAS!$G$6:$G$28,$P1887)+INDEX(PARAMETROS_CULTURAS!$H$6:$H$28,$P1887),"MEDIA","FINAL"))))</f>
        <v>FINAL</v>
      </c>
      <c r="R1887" s="24" t="n">
        <f aca="false">IF($P1887=0,0,IF($O1887&lt;=INDEX(PARAMETROS_CULTURAS!$F$6:$F$28,$P1887),INDEX(PARAMETROS_CULTURAS!$K$6:$K$28,$P1887),IF($O1887&lt;=INDEX(PARAMETROS_CULTURAS!$F$6:$F$28,$P1887)+INDEX(PARAMETROS_CULTURAS!$G$6:$G$28,$P1887),INDEX(PARAMETROS_CULTURAS!$K$6:$K$28,$P1887)+(INDEX(PARAMETROS_CULTURAS!$L$6:$L$28,$P1887)-INDEX(PARAMETROS_CULTURAS!$K$6:$K$28,$P1887))*($O1887-INDEX(PARAMETROS_CULTURAS!$F$6:$F$28,$P1887))/MAX(INDEX(PARAMETROS_CULTURAS!$G$6:$G$28,$P1887),0.0001),IF($O1887&lt;=INDEX(PARAMETROS_CULTURAS!$F$6:$F$28,$P1887)+INDEX(PARAMETROS_CULTURAS!$G$6:$G$28,$P1887)+INDEX(PARAMETROS_CULTURAS!$H$6:$H$28,$P1887),INDEX(PARAMETROS_CULTURAS!$L$6:$L$28,$P1887),INDEX(PARAMETROS_CULTURAS!$L$6:$L$28,$P1887)+(INDEX(PARAMETROS_CULTURAS!$M$6:$M$28,$P1887)-INDEX(PARAMETROS_CULTURAS!$L$6:$L$28,$P1887))*($O1887-INDEX(PARAMETROS_CULTURAS!$F$6:$F$28,$P1887)-INDEX(PARAMETROS_CULTURAS!$G$6:$G$28,$P1887)-INDEX(PARAMETROS_CULTURAS!$H$6:$H$28,$P1887))/MAX(INDEX(PARAMETROS_CULTURAS!$I$6:$I$28,$P1887),0.0001)))))</f>
        <v>1.13388278388278</v>
      </c>
      <c r="S1887" s="18" t="n">
        <f aca="false">IFERROR(INDEX(SEMANAS!$H$6:$H$71,MATCH($B1887,SEMANAS!$B$6:$B$71,0)),0)</f>
        <v>31.5</v>
      </c>
      <c r="T1887" s="18" t="n">
        <f aca="false">$R1887*$S1887</f>
        <v>35.7173076923077</v>
      </c>
      <c r="U1887" s="18" t="n">
        <f aca="false">IFERROR(INDEX(SEMANAS!$I$6:$I$71,MATCH($B1887,SEMANAS!$B$6:$B$71,0)),0)</f>
        <v>16.31</v>
      </c>
      <c r="V1887" s="18" t="n">
        <f aca="false">IFERROR(INDEX(SEMANAS!$J$6:$J$71,MATCH($B1887,SEMANAS!$B$6:$B$71,0)),0)</f>
        <v>13.048</v>
      </c>
      <c r="W1887" s="18" t="n">
        <f aca="false">MAX(0,$T1887-$V1887)</f>
        <v>22.6693076923077</v>
      </c>
      <c r="X1887" s="19" t="n">
        <f aca="false">IFERROR(INDEX(CADASTRO_PIVOS!$K$6:$K$41,MATCH($E1887,CADASTRO_PIVOS!$B$6:$B$41,0)),EFICIENCIA_PADRAO)</f>
        <v>0.85</v>
      </c>
      <c r="Y1887" s="18" t="n">
        <f aca="false">IF($X1887&lt;=0,0,$W1887/$X1887)</f>
        <v>26.6697737556561</v>
      </c>
      <c r="Z1887" s="16" t="n">
        <f aca="false">$Y1887*$H1887*MM_PARA_M3_HA</f>
        <v>26531.0909321267</v>
      </c>
      <c r="AA1887" s="18" t="n">
        <f aca="false">IFERROR(INDEX(CADASTRO_PIVOS!$I$6:$I$41,MATCH($E1887,CADASTRO_PIVOS!$B$6:$B$41,0)),0)</f>
        <v>710.571428571429</v>
      </c>
      <c r="AB1887" s="18" t="n">
        <f aca="false">IF($Z1887&lt;=0,0,$Z1887/$AA1887)</f>
        <v>37.3376832579186</v>
      </c>
      <c r="AC1887" s="16" t="n">
        <f aca="false">IFERROR(INDEX(SEMANAS!$K$6:$K$71,MATCH($B1887,SEMANAS!$B$6:$B$71,0)),0)</f>
        <v>147</v>
      </c>
      <c r="AD1887" s="19" t="n">
        <f aca="false">IF($AC1887&lt;=0,0,$AB1887/$AC1887)</f>
        <v>0.253997845291963</v>
      </c>
      <c r="AE1887" s="8" t="str">
        <f aca="false">IF($K1887="SEM CULTURA","SEM CULTURA",IF($AA1887&lt;=0,"DADO PENDENTE",IF($AD1887&gt;LIMITE_CRITICO,"INVIAVEL",IF($AD1887&gt;LIMITE_ATENCAO,"CRITICO",IF($AD1887&gt;LIMITE_CONFORTAVEL,"ATENCAO","OK")))))</f>
        <v>OK</v>
      </c>
      <c r="AF1887" s="8" t="str">
        <f aca="false">$B1887&amp;"|"&amp;TEXT($AD1887,"0.000000")</f>
        <v>34|0.253998</v>
      </c>
      <c r="AG1887" s="18" t="n">
        <f aca="false">IF($K1887="SEM CULTURA",0,$T1887*$H1887)</f>
        <v>3553.15776923077</v>
      </c>
      <c r="AH1887" s="18" t="n">
        <f aca="false">IF($K1887="SEM CULTURA",0,$V1887*$H1887)</f>
        <v>1298.01504</v>
      </c>
      <c r="AI1887" s="18" t="n">
        <f aca="false">IF($K1887="SEM CULTURA",0,$W1887*$H1887)</f>
        <v>2255.14272923077</v>
      </c>
      <c r="AJ1887" s="18" t="n">
        <f aca="false">IF($K1887="SEM CULTURA",0,$S1887*$H1887)</f>
        <v>3133.62</v>
      </c>
      <c r="AK1887" s="8" t="str">
        <f aca="false">$E1887&amp;"|"&amp;TEXT($AD1887,"0.000000")</f>
        <v>PV 125|0.253998</v>
      </c>
    </row>
    <row r="1888" customFormat="false" ht="15" hidden="false" customHeight="false" outlineLevel="0" collapsed="false">
      <c r="B1888" s="16" t="n">
        <v>35</v>
      </c>
      <c r="C1888" s="17" t="n">
        <f aca="false">DATA_INICIO_SAFRA+($B1888-1)*DIAS_POR_SEMANA</f>
        <v>46503</v>
      </c>
      <c r="D1888" s="17" t="n">
        <f aca="false">$C1888+DIAS_POR_SEMANA-1</f>
        <v>46509</v>
      </c>
      <c r="E1888" s="15" t="s">
        <v>287</v>
      </c>
      <c r="F1888" s="8" t="str">
        <f aca="false">IFERROR(INDEX(CADASTRO_PIVOS!$C$6:$C$41,MATCH($E1888,CADASTRO_PIVOS!$B$6:$B$41,0)),"?")</f>
        <v>RM07</v>
      </c>
      <c r="G1888" s="8" t="str">
        <f aca="false">IFERROR(INDEX(CADASTRO_PIVOS!$D$6:$D$41,MATCH($E1888,CADASTRO_PIVOS!$B$6:$B$41,0)),"?")</f>
        <v>TR07</v>
      </c>
      <c r="H1888" s="20" t="n">
        <f aca="false">IFERROR(INDEX(CADASTRO_PIVOS!$E$6:$E$41,MATCH($E1888,CADASTRO_PIVOS!$B$6:$B$41,0)),0)</f>
        <v>99.48</v>
      </c>
      <c r="I1888" s="16" t="n">
        <f aca="false">IFERROR(SUMIFS(ROTACAO_RDM!$B$6:$B$71,ROTACAO_RDM!$D$6:$D$71,$E1888,ROTACAO_RDM!$I$6:$I$71,"&lt;="&amp;$C1888+INT(DIAS_POR_SEMANA/2),ROTACAO_RDM!$J$6:$J$71,"&gt;="&amp;$C1888+INT(DIAS_POR_SEMANA/2)),0)</f>
        <v>47</v>
      </c>
      <c r="J1888" s="16" t="n">
        <f aca="false">IFERROR(MATCH($I1888,ROTACAO_RDM!$B$6:$B$71,0),0)</f>
        <v>47</v>
      </c>
      <c r="K1888" s="8" t="str">
        <f aca="false">IF($J1888=0,"SEM CULTURA",INDEX(ROTACAO_RDM!$F$6:$F$71,$J1888))</f>
        <v>ALGODAO</v>
      </c>
      <c r="L1888" s="8" t="str">
        <f aca="false">IF($J1888=0,"",INDEX(ROTACAO_RDM!$G$6:$G$71,$J1888))</f>
        <v>FM 974 GLT</v>
      </c>
      <c r="M1888" s="17" t="n">
        <f aca="false">IF($J1888=0,"",INDEX(ROTACAO_RDM!$I$6:$I$71,$J1888))</f>
        <v>46357</v>
      </c>
      <c r="N1888" s="16" t="n">
        <f aca="false">IF($J1888=0,0,MAX(0,$C1888+INT(DIAS_POR_SEMANA/2)-INDEX(ROTACAO_RDM!$I$6:$I$71,$J1888)))</f>
        <v>149</v>
      </c>
      <c r="O1888" s="19" t="n">
        <f aca="false">IF($J1888=0,0,MIN(1,$N1888/MAX(1,INDEX(ROTACAO_RDM!$K$6:$K$71,$J1888))))</f>
        <v>0.764102564102564</v>
      </c>
      <c r="P1888" s="16" t="n">
        <f aca="false">IF($J1888=0,0,IFERROR(MATCH(INDEX(ROTACAO_RDM!$N$6:$N$71,$J1888),PARAMETROS_CULTURAS!$B$6:$B$28,0),0))</f>
        <v>5</v>
      </c>
      <c r="Q1888" s="8" t="str">
        <f aca="false">IF($P1888=0,"-",IF($O1888&lt;=INDEX(PARAMETROS_CULTURAS!$F$6:$F$28,$P1888),"INICIAL",IF($O1888&lt;=INDEX(PARAMETROS_CULTURAS!$F$6:$F$28,$P1888)+INDEX(PARAMETROS_CULTURAS!$G$6:$G$28,$P1888),"DESENVOLVIMENTO",IF($O1888&lt;=INDEX(PARAMETROS_CULTURAS!$F$6:$F$28,$P1888)+INDEX(PARAMETROS_CULTURAS!$G$6:$G$28,$P1888)+INDEX(PARAMETROS_CULTURAS!$H$6:$H$28,$P1888),"MEDIA","FINAL"))))</f>
        <v>FINAL</v>
      </c>
      <c r="R1888" s="24" t="n">
        <f aca="false">IF($P1888=0,0,IF($O1888&lt;=INDEX(PARAMETROS_CULTURAS!$F$6:$F$28,$P1888),INDEX(PARAMETROS_CULTURAS!$K$6:$K$28,$P1888),IF($O1888&lt;=INDEX(PARAMETROS_CULTURAS!$F$6:$F$28,$P1888)+INDEX(PARAMETROS_CULTURAS!$G$6:$G$28,$P1888),INDEX(PARAMETROS_CULTURAS!$K$6:$K$28,$P1888)+(INDEX(PARAMETROS_CULTURAS!$L$6:$L$28,$P1888)-INDEX(PARAMETROS_CULTURAS!$K$6:$K$28,$P1888))*($O1888-INDEX(PARAMETROS_CULTURAS!$F$6:$F$28,$P1888))/MAX(INDEX(PARAMETROS_CULTURAS!$G$6:$G$28,$P1888),0.0001),IF($O1888&lt;=INDEX(PARAMETROS_CULTURAS!$F$6:$F$28,$P1888)+INDEX(PARAMETROS_CULTURAS!$G$6:$G$28,$P1888)+INDEX(PARAMETROS_CULTURAS!$H$6:$H$28,$P1888),INDEX(PARAMETROS_CULTURAS!$L$6:$L$28,$P1888),INDEX(PARAMETROS_CULTURAS!$L$6:$L$28,$P1888)+(INDEX(PARAMETROS_CULTURAS!$M$6:$M$28,$P1888)-INDEX(PARAMETROS_CULTURAS!$L$6:$L$28,$P1888))*($O1888-INDEX(PARAMETROS_CULTURAS!$F$6:$F$28,$P1888)-INDEX(PARAMETROS_CULTURAS!$G$6:$G$28,$P1888)-INDEX(PARAMETROS_CULTURAS!$H$6:$H$28,$P1888))/MAX(INDEX(PARAMETROS_CULTURAS!$I$6:$I$28,$P1888),0.0001)))))</f>
        <v>1.06336996336996</v>
      </c>
      <c r="S1888" s="18" t="n">
        <f aca="false">IFERROR(INDEX(SEMANAS!$H$6:$H$71,MATCH($B1888,SEMANAS!$B$6:$B$71,0)),0)</f>
        <v>30.9</v>
      </c>
      <c r="T1888" s="18" t="n">
        <f aca="false">$R1888*$S1888</f>
        <v>32.8581318681319</v>
      </c>
      <c r="U1888" s="18" t="n">
        <f aca="false">IFERROR(INDEX(SEMANAS!$I$6:$I$71,MATCH($B1888,SEMANAS!$B$6:$B$71,0)),0)</f>
        <v>12.61</v>
      </c>
      <c r="V1888" s="18" t="n">
        <f aca="false">IFERROR(INDEX(SEMANAS!$J$6:$J$71,MATCH($B1888,SEMANAS!$B$6:$B$71,0)),0)</f>
        <v>10.088</v>
      </c>
      <c r="W1888" s="18" t="n">
        <f aca="false">MAX(0,$T1888-$V1888)</f>
        <v>22.7701318681319</v>
      </c>
      <c r="X1888" s="19" t="n">
        <f aca="false">IFERROR(INDEX(CADASTRO_PIVOS!$K$6:$K$41,MATCH($E1888,CADASTRO_PIVOS!$B$6:$B$41,0)),EFICIENCIA_PADRAO)</f>
        <v>0.85</v>
      </c>
      <c r="Y1888" s="18" t="n">
        <f aca="false">IF($X1888&lt;=0,0,$W1888/$X1888)</f>
        <v>26.7883904330963</v>
      </c>
      <c r="Z1888" s="16" t="n">
        <f aca="false">$Y1888*$H1888*MM_PARA_M3_HA</f>
        <v>26649.0908028442</v>
      </c>
      <c r="AA1888" s="18" t="n">
        <f aca="false">IFERROR(INDEX(CADASTRO_PIVOS!$I$6:$I$41,MATCH($E1888,CADASTRO_PIVOS!$B$6:$B$41,0)),0)</f>
        <v>710.571428571429</v>
      </c>
      <c r="AB1888" s="18" t="n">
        <f aca="false">IF($Z1888&lt;=0,0,$Z1888/$AA1888)</f>
        <v>37.5037466063348</v>
      </c>
      <c r="AC1888" s="16" t="n">
        <f aca="false">IFERROR(INDEX(SEMANAS!$K$6:$K$71,MATCH($B1888,SEMANAS!$B$6:$B$71,0)),0)</f>
        <v>147</v>
      </c>
      <c r="AD1888" s="19" t="n">
        <f aca="false">IF($AC1888&lt;=0,0,$AB1888/$AC1888)</f>
        <v>0.255127527934251</v>
      </c>
      <c r="AE1888" s="8" t="str">
        <f aca="false">IF($K1888="SEM CULTURA","SEM CULTURA",IF($AA1888&lt;=0,"DADO PENDENTE",IF($AD1888&gt;LIMITE_CRITICO,"INVIAVEL",IF($AD1888&gt;LIMITE_ATENCAO,"CRITICO",IF($AD1888&gt;LIMITE_CONFORTAVEL,"ATENCAO","OK")))))</f>
        <v>OK</v>
      </c>
      <c r="AF1888" s="8" t="str">
        <f aca="false">$B1888&amp;"|"&amp;TEXT($AD1888,"0.000000")</f>
        <v>35|0.255128</v>
      </c>
      <c r="AG1888" s="18" t="n">
        <f aca="false">IF($K1888="SEM CULTURA",0,$T1888*$H1888)</f>
        <v>3268.72695824176</v>
      </c>
      <c r="AH1888" s="18" t="n">
        <f aca="false">IF($K1888="SEM CULTURA",0,$V1888*$H1888)</f>
        <v>1003.55424</v>
      </c>
      <c r="AI1888" s="18" t="n">
        <f aca="false">IF($K1888="SEM CULTURA",0,$W1888*$H1888)</f>
        <v>2265.17271824176</v>
      </c>
      <c r="AJ1888" s="18" t="n">
        <f aca="false">IF($K1888="SEM CULTURA",0,$S1888*$H1888)</f>
        <v>3073.932</v>
      </c>
      <c r="AK1888" s="8" t="str">
        <f aca="false">$E1888&amp;"|"&amp;TEXT($AD1888,"0.000000")</f>
        <v>PV 125|0.255128</v>
      </c>
    </row>
    <row r="1889" customFormat="false" ht="15" hidden="false" customHeight="false" outlineLevel="0" collapsed="false">
      <c r="B1889" s="16" t="n">
        <v>36</v>
      </c>
      <c r="C1889" s="17" t="n">
        <f aca="false">DATA_INICIO_SAFRA+($B1889-1)*DIAS_POR_SEMANA</f>
        <v>46510</v>
      </c>
      <c r="D1889" s="17" t="n">
        <f aca="false">$C1889+DIAS_POR_SEMANA-1</f>
        <v>46516</v>
      </c>
      <c r="E1889" s="15" t="s">
        <v>287</v>
      </c>
      <c r="F1889" s="8" t="str">
        <f aca="false">IFERROR(INDEX(CADASTRO_PIVOS!$C$6:$C$41,MATCH($E1889,CADASTRO_PIVOS!$B$6:$B$41,0)),"?")</f>
        <v>RM07</v>
      </c>
      <c r="G1889" s="8" t="str">
        <f aca="false">IFERROR(INDEX(CADASTRO_PIVOS!$D$6:$D$41,MATCH($E1889,CADASTRO_PIVOS!$B$6:$B$41,0)),"?")</f>
        <v>TR07</v>
      </c>
      <c r="H1889" s="20" t="n">
        <f aca="false">IFERROR(INDEX(CADASTRO_PIVOS!$E$6:$E$41,MATCH($E1889,CADASTRO_PIVOS!$B$6:$B$41,0)),0)</f>
        <v>99.48</v>
      </c>
      <c r="I1889" s="16" t="n">
        <f aca="false">IFERROR(SUMIFS(ROTACAO_RDM!$B$6:$B$71,ROTACAO_RDM!$D$6:$D$71,$E1889,ROTACAO_RDM!$I$6:$I$71,"&lt;="&amp;$C1889+INT(DIAS_POR_SEMANA/2),ROTACAO_RDM!$J$6:$J$71,"&gt;="&amp;$C1889+INT(DIAS_POR_SEMANA/2)),0)</f>
        <v>47</v>
      </c>
      <c r="J1889" s="16" t="n">
        <f aca="false">IFERROR(MATCH($I1889,ROTACAO_RDM!$B$6:$B$71,0),0)</f>
        <v>47</v>
      </c>
      <c r="K1889" s="8" t="str">
        <f aca="false">IF($J1889=0,"SEM CULTURA",INDEX(ROTACAO_RDM!$F$6:$F$71,$J1889))</f>
        <v>ALGODAO</v>
      </c>
      <c r="L1889" s="8" t="str">
        <f aca="false">IF($J1889=0,"",INDEX(ROTACAO_RDM!$G$6:$G$71,$J1889))</f>
        <v>FM 974 GLT</v>
      </c>
      <c r="M1889" s="17" t="n">
        <f aca="false">IF($J1889=0,"",INDEX(ROTACAO_RDM!$I$6:$I$71,$J1889))</f>
        <v>46357</v>
      </c>
      <c r="N1889" s="16" t="n">
        <f aca="false">IF($J1889=0,0,MAX(0,$C1889+INT(DIAS_POR_SEMANA/2)-INDEX(ROTACAO_RDM!$I$6:$I$71,$J1889)))</f>
        <v>156</v>
      </c>
      <c r="O1889" s="19" t="n">
        <f aca="false">IF($J1889=0,0,MIN(1,$N1889/MAX(1,INDEX(ROTACAO_RDM!$K$6:$K$71,$J1889))))</f>
        <v>0.8</v>
      </c>
      <c r="P1889" s="16" t="n">
        <f aca="false">IF($J1889=0,0,IFERROR(MATCH(INDEX(ROTACAO_RDM!$N$6:$N$71,$J1889),PARAMETROS_CULTURAS!$B$6:$B$28,0),0))</f>
        <v>5</v>
      </c>
      <c r="Q1889" s="8" t="str">
        <f aca="false">IF($P1889=0,"-",IF($O1889&lt;=INDEX(PARAMETROS_CULTURAS!$F$6:$F$28,$P1889),"INICIAL",IF($O1889&lt;=INDEX(PARAMETROS_CULTURAS!$F$6:$F$28,$P1889)+INDEX(PARAMETROS_CULTURAS!$G$6:$G$28,$P1889),"DESENVOLVIMENTO",IF($O1889&lt;=INDEX(PARAMETROS_CULTURAS!$F$6:$F$28,$P1889)+INDEX(PARAMETROS_CULTURAS!$G$6:$G$28,$P1889)+INDEX(PARAMETROS_CULTURAS!$H$6:$H$28,$P1889),"MEDIA","FINAL"))))</f>
        <v>FINAL</v>
      </c>
      <c r="R1889" s="24" t="n">
        <f aca="false">IF($P1889=0,0,IF($O1889&lt;=INDEX(PARAMETROS_CULTURAS!$F$6:$F$28,$P1889),INDEX(PARAMETROS_CULTURAS!$K$6:$K$28,$P1889),IF($O1889&lt;=INDEX(PARAMETROS_CULTURAS!$F$6:$F$28,$P1889)+INDEX(PARAMETROS_CULTURAS!$G$6:$G$28,$P1889),INDEX(PARAMETROS_CULTURAS!$K$6:$K$28,$P1889)+(INDEX(PARAMETROS_CULTURAS!$L$6:$L$28,$P1889)-INDEX(PARAMETROS_CULTURAS!$K$6:$K$28,$P1889))*($O1889-INDEX(PARAMETROS_CULTURAS!$F$6:$F$28,$P1889))/MAX(INDEX(PARAMETROS_CULTURAS!$G$6:$G$28,$P1889),0.0001),IF($O1889&lt;=INDEX(PARAMETROS_CULTURAS!$F$6:$F$28,$P1889)+INDEX(PARAMETROS_CULTURAS!$G$6:$G$28,$P1889)+INDEX(PARAMETROS_CULTURAS!$H$6:$H$28,$P1889),INDEX(PARAMETROS_CULTURAS!$L$6:$L$28,$P1889),INDEX(PARAMETROS_CULTURAS!$L$6:$L$28,$P1889)+(INDEX(PARAMETROS_CULTURAS!$M$6:$M$28,$P1889)-INDEX(PARAMETROS_CULTURAS!$L$6:$L$28,$P1889))*($O1889-INDEX(PARAMETROS_CULTURAS!$F$6:$F$28,$P1889)-INDEX(PARAMETROS_CULTURAS!$G$6:$G$28,$P1889)-INDEX(PARAMETROS_CULTURAS!$H$6:$H$28,$P1889))/MAX(INDEX(PARAMETROS_CULTURAS!$I$6:$I$28,$P1889),0.0001)))))</f>
        <v>0.992857142857143</v>
      </c>
      <c r="S1889" s="18" t="n">
        <f aca="false">IFERROR(INDEX(SEMANAS!$H$6:$H$71,MATCH($B1889,SEMANAS!$B$6:$B$71,0)),0)</f>
        <v>29.4</v>
      </c>
      <c r="T1889" s="18" t="n">
        <f aca="false">$R1889*$S1889</f>
        <v>29.19</v>
      </c>
      <c r="U1889" s="18" t="n">
        <f aca="false">IFERROR(INDEX(SEMANAS!$I$6:$I$71,MATCH($B1889,SEMANAS!$B$6:$B$71,0)),0)</f>
        <v>3.36</v>
      </c>
      <c r="V1889" s="18" t="n">
        <f aca="false">IFERROR(INDEX(SEMANAS!$J$6:$J$71,MATCH($B1889,SEMANAS!$B$6:$B$71,0)),0)</f>
        <v>2.688</v>
      </c>
      <c r="W1889" s="18" t="n">
        <f aca="false">MAX(0,$T1889-$V1889)</f>
        <v>26.502</v>
      </c>
      <c r="X1889" s="19" t="n">
        <f aca="false">IFERROR(INDEX(CADASTRO_PIVOS!$K$6:$K$41,MATCH($E1889,CADASTRO_PIVOS!$B$6:$B$41,0)),EFICIENCIA_PADRAO)</f>
        <v>0.85</v>
      </c>
      <c r="Y1889" s="18" t="n">
        <f aca="false">IF($X1889&lt;=0,0,$W1889/$X1889)</f>
        <v>31.1788235294118</v>
      </c>
      <c r="Z1889" s="16" t="n">
        <f aca="false">$Y1889*$H1889*MM_PARA_M3_HA</f>
        <v>31016.6936470588</v>
      </c>
      <c r="AA1889" s="18" t="n">
        <f aca="false">IFERROR(INDEX(CADASTRO_PIVOS!$I$6:$I$41,MATCH($E1889,CADASTRO_PIVOS!$B$6:$B$41,0)),0)</f>
        <v>710.571428571429</v>
      </c>
      <c r="AB1889" s="18" t="n">
        <f aca="false">IF($Z1889&lt;=0,0,$Z1889/$AA1889)</f>
        <v>43.6503529411765</v>
      </c>
      <c r="AC1889" s="16" t="n">
        <f aca="false">IFERROR(INDEX(SEMANAS!$K$6:$K$71,MATCH($B1889,SEMANAS!$B$6:$B$71,0)),0)</f>
        <v>147</v>
      </c>
      <c r="AD1889" s="19" t="n">
        <f aca="false">IF($AC1889&lt;=0,0,$AB1889/$AC1889)</f>
        <v>0.296941176470588</v>
      </c>
      <c r="AE1889" s="8" t="str">
        <f aca="false">IF($K1889="SEM CULTURA","SEM CULTURA",IF($AA1889&lt;=0,"DADO PENDENTE",IF($AD1889&gt;LIMITE_CRITICO,"INVIAVEL",IF($AD1889&gt;LIMITE_ATENCAO,"CRITICO",IF($AD1889&gt;LIMITE_CONFORTAVEL,"ATENCAO","OK")))))</f>
        <v>OK</v>
      </c>
      <c r="AF1889" s="8" t="str">
        <f aca="false">$B1889&amp;"|"&amp;TEXT($AD1889,"0.000000")</f>
        <v>36|0.296941</v>
      </c>
      <c r="AG1889" s="18" t="n">
        <f aca="false">IF($K1889="SEM CULTURA",0,$T1889*$H1889)</f>
        <v>2903.8212</v>
      </c>
      <c r="AH1889" s="18" t="n">
        <f aca="false">IF($K1889="SEM CULTURA",0,$V1889*$H1889)</f>
        <v>267.40224</v>
      </c>
      <c r="AI1889" s="18" t="n">
        <f aca="false">IF($K1889="SEM CULTURA",0,$W1889*$H1889)</f>
        <v>2636.41896</v>
      </c>
      <c r="AJ1889" s="18" t="n">
        <f aca="false">IF($K1889="SEM CULTURA",0,$S1889*$H1889)</f>
        <v>2924.712</v>
      </c>
      <c r="AK1889" s="8" t="str">
        <f aca="false">$E1889&amp;"|"&amp;TEXT($AD1889,"0.000000")</f>
        <v>PV 125|0.296941</v>
      </c>
    </row>
    <row r="1890" customFormat="false" ht="15" hidden="false" customHeight="false" outlineLevel="0" collapsed="false">
      <c r="B1890" s="16" t="n">
        <v>37</v>
      </c>
      <c r="C1890" s="17" t="n">
        <f aca="false">DATA_INICIO_SAFRA+($B1890-1)*DIAS_POR_SEMANA</f>
        <v>46517</v>
      </c>
      <c r="D1890" s="17" t="n">
        <f aca="false">$C1890+DIAS_POR_SEMANA-1</f>
        <v>46523</v>
      </c>
      <c r="E1890" s="15" t="s">
        <v>287</v>
      </c>
      <c r="F1890" s="8" t="str">
        <f aca="false">IFERROR(INDEX(CADASTRO_PIVOS!$C$6:$C$41,MATCH($E1890,CADASTRO_PIVOS!$B$6:$B$41,0)),"?")</f>
        <v>RM07</v>
      </c>
      <c r="G1890" s="8" t="str">
        <f aca="false">IFERROR(INDEX(CADASTRO_PIVOS!$D$6:$D$41,MATCH($E1890,CADASTRO_PIVOS!$B$6:$B$41,0)),"?")</f>
        <v>TR07</v>
      </c>
      <c r="H1890" s="20" t="n">
        <f aca="false">IFERROR(INDEX(CADASTRO_PIVOS!$E$6:$E$41,MATCH($E1890,CADASTRO_PIVOS!$B$6:$B$41,0)),0)</f>
        <v>99.48</v>
      </c>
      <c r="I1890" s="16" t="n">
        <f aca="false">IFERROR(SUMIFS(ROTACAO_RDM!$B$6:$B$71,ROTACAO_RDM!$D$6:$D$71,$E1890,ROTACAO_RDM!$I$6:$I$71,"&lt;="&amp;$C1890+INT(DIAS_POR_SEMANA/2),ROTACAO_RDM!$J$6:$J$71,"&gt;="&amp;$C1890+INT(DIAS_POR_SEMANA/2)),0)</f>
        <v>47</v>
      </c>
      <c r="J1890" s="16" t="n">
        <f aca="false">IFERROR(MATCH($I1890,ROTACAO_RDM!$B$6:$B$71,0),0)</f>
        <v>47</v>
      </c>
      <c r="K1890" s="8" t="str">
        <f aca="false">IF($J1890=0,"SEM CULTURA",INDEX(ROTACAO_RDM!$F$6:$F$71,$J1890))</f>
        <v>ALGODAO</v>
      </c>
      <c r="L1890" s="8" t="str">
        <f aca="false">IF($J1890=0,"",INDEX(ROTACAO_RDM!$G$6:$G$71,$J1890))</f>
        <v>FM 974 GLT</v>
      </c>
      <c r="M1890" s="17" t="n">
        <f aca="false">IF($J1890=0,"",INDEX(ROTACAO_RDM!$I$6:$I$71,$J1890))</f>
        <v>46357</v>
      </c>
      <c r="N1890" s="16" t="n">
        <f aca="false">IF($J1890=0,0,MAX(0,$C1890+INT(DIAS_POR_SEMANA/2)-INDEX(ROTACAO_RDM!$I$6:$I$71,$J1890)))</f>
        <v>163</v>
      </c>
      <c r="O1890" s="19" t="n">
        <f aca="false">IF($J1890=0,0,MIN(1,$N1890/MAX(1,INDEX(ROTACAO_RDM!$K$6:$K$71,$J1890))))</f>
        <v>0.835897435897436</v>
      </c>
      <c r="P1890" s="16" t="n">
        <f aca="false">IF($J1890=0,0,IFERROR(MATCH(INDEX(ROTACAO_RDM!$N$6:$N$71,$J1890),PARAMETROS_CULTURAS!$B$6:$B$28,0),0))</f>
        <v>5</v>
      </c>
      <c r="Q1890" s="8" t="str">
        <f aca="false">IF($P1890=0,"-",IF($O1890&lt;=INDEX(PARAMETROS_CULTURAS!$F$6:$F$28,$P1890),"INICIAL",IF($O1890&lt;=INDEX(PARAMETROS_CULTURAS!$F$6:$F$28,$P1890)+INDEX(PARAMETROS_CULTURAS!$G$6:$G$28,$P1890),"DESENVOLVIMENTO",IF($O1890&lt;=INDEX(PARAMETROS_CULTURAS!$F$6:$F$28,$P1890)+INDEX(PARAMETROS_CULTURAS!$G$6:$G$28,$P1890)+INDEX(PARAMETROS_CULTURAS!$H$6:$H$28,$P1890),"MEDIA","FINAL"))))</f>
        <v>FINAL</v>
      </c>
      <c r="R1890" s="24" t="n">
        <f aca="false">IF($P1890=0,0,IF($O1890&lt;=INDEX(PARAMETROS_CULTURAS!$F$6:$F$28,$P1890),INDEX(PARAMETROS_CULTURAS!$K$6:$K$28,$P1890),IF($O1890&lt;=INDEX(PARAMETROS_CULTURAS!$F$6:$F$28,$P1890)+INDEX(PARAMETROS_CULTURAS!$G$6:$G$28,$P1890),INDEX(PARAMETROS_CULTURAS!$K$6:$K$28,$P1890)+(INDEX(PARAMETROS_CULTURAS!$L$6:$L$28,$P1890)-INDEX(PARAMETROS_CULTURAS!$K$6:$K$28,$P1890))*($O1890-INDEX(PARAMETROS_CULTURAS!$F$6:$F$28,$P1890))/MAX(INDEX(PARAMETROS_CULTURAS!$G$6:$G$28,$P1890),0.0001),IF($O1890&lt;=INDEX(PARAMETROS_CULTURAS!$F$6:$F$28,$P1890)+INDEX(PARAMETROS_CULTURAS!$G$6:$G$28,$P1890)+INDEX(PARAMETROS_CULTURAS!$H$6:$H$28,$P1890),INDEX(PARAMETROS_CULTURAS!$L$6:$L$28,$P1890),INDEX(PARAMETROS_CULTURAS!$L$6:$L$28,$P1890)+(INDEX(PARAMETROS_CULTURAS!$M$6:$M$28,$P1890)-INDEX(PARAMETROS_CULTURAS!$L$6:$L$28,$P1890))*($O1890-INDEX(PARAMETROS_CULTURAS!$F$6:$F$28,$P1890)-INDEX(PARAMETROS_CULTURAS!$G$6:$G$28,$P1890)-INDEX(PARAMETROS_CULTURAS!$H$6:$H$28,$P1890))/MAX(INDEX(PARAMETROS_CULTURAS!$I$6:$I$28,$P1890),0.0001)))))</f>
        <v>0.922344322344322</v>
      </c>
      <c r="S1890" s="18" t="n">
        <f aca="false">IFERROR(INDEX(SEMANAS!$H$6:$H$71,MATCH($B1890,SEMANAS!$B$6:$B$71,0)),0)</f>
        <v>29.4</v>
      </c>
      <c r="T1890" s="18" t="n">
        <f aca="false">$R1890*$S1890</f>
        <v>27.1169230769231</v>
      </c>
      <c r="U1890" s="18" t="n">
        <f aca="false">IFERROR(INDEX(SEMANAS!$I$6:$I$71,MATCH($B1890,SEMANAS!$B$6:$B$71,0)),0)</f>
        <v>3.36</v>
      </c>
      <c r="V1890" s="18" t="n">
        <f aca="false">IFERROR(INDEX(SEMANAS!$J$6:$J$71,MATCH($B1890,SEMANAS!$B$6:$B$71,0)),0)</f>
        <v>2.688</v>
      </c>
      <c r="W1890" s="18" t="n">
        <f aca="false">MAX(0,$T1890-$V1890)</f>
        <v>24.4289230769231</v>
      </c>
      <c r="X1890" s="19" t="n">
        <f aca="false">IFERROR(INDEX(CADASTRO_PIVOS!$K$6:$K$41,MATCH($E1890,CADASTRO_PIVOS!$B$6:$B$41,0)),EFICIENCIA_PADRAO)</f>
        <v>0.85</v>
      </c>
      <c r="Y1890" s="18" t="n">
        <f aca="false">IF($X1890&lt;=0,0,$W1890/$X1890)</f>
        <v>28.7399095022624</v>
      </c>
      <c r="Z1890" s="16" t="n">
        <f aca="false">$Y1890*$H1890*MM_PARA_M3_HA</f>
        <v>28590.4619728507</v>
      </c>
      <c r="AA1890" s="18" t="n">
        <f aca="false">IFERROR(INDEX(CADASTRO_PIVOS!$I$6:$I$41,MATCH($E1890,CADASTRO_PIVOS!$B$6:$B$41,0)),0)</f>
        <v>710.571428571429</v>
      </c>
      <c r="AB1890" s="18" t="n">
        <f aca="false">IF($Z1890&lt;=0,0,$Z1890/$AA1890)</f>
        <v>40.2358733031674</v>
      </c>
      <c r="AC1890" s="16" t="n">
        <f aca="false">IFERROR(INDEX(SEMANAS!$K$6:$K$71,MATCH($B1890,SEMANAS!$B$6:$B$71,0)),0)</f>
        <v>147</v>
      </c>
      <c r="AD1890" s="19" t="n">
        <f aca="false">IF($AC1890&lt;=0,0,$AB1890/$AC1890)</f>
        <v>0.273713423831071</v>
      </c>
      <c r="AE1890" s="8" t="str">
        <f aca="false">IF($K1890="SEM CULTURA","SEM CULTURA",IF($AA1890&lt;=0,"DADO PENDENTE",IF($AD1890&gt;LIMITE_CRITICO,"INVIAVEL",IF($AD1890&gt;LIMITE_ATENCAO,"CRITICO",IF($AD1890&gt;LIMITE_CONFORTAVEL,"ATENCAO","OK")))))</f>
        <v>OK</v>
      </c>
      <c r="AF1890" s="8" t="str">
        <f aca="false">$B1890&amp;"|"&amp;TEXT($AD1890,"0.000000")</f>
        <v>37|0.273713</v>
      </c>
      <c r="AG1890" s="18" t="n">
        <f aca="false">IF($K1890="SEM CULTURA",0,$T1890*$H1890)</f>
        <v>2697.59150769231</v>
      </c>
      <c r="AH1890" s="18" t="n">
        <f aca="false">IF($K1890="SEM CULTURA",0,$V1890*$H1890)</f>
        <v>267.40224</v>
      </c>
      <c r="AI1890" s="18" t="n">
        <f aca="false">IF($K1890="SEM CULTURA",0,$W1890*$H1890)</f>
        <v>2430.18926769231</v>
      </c>
      <c r="AJ1890" s="18" t="n">
        <f aca="false">IF($K1890="SEM CULTURA",0,$S1890*$H1890)</f>
        <v>2924.712</v>
      </c>
      <c r="AK1890" s="8" t="str">
        <f aca="false">$E1890&amp;"|"&amp;TEXT($AD1890,"0.000000")</f>
        <v>PV 125|0.273713</v>
      </c>
    </row>
    <row r="1891" customFormat="false" ht="15" hidden="false" customHeight="false" outlineLevel="0" collapsed="false">
      <c r="B1891" s="16" t="n">
        <v>38</v>
      </c>
      <c r="C1891" s="17" t="n">
        <f aca="false">DATA_INICIO_SAFRA+($B1891-1)*DIAS_POR_SEMANA</f>
        <v>46524</v>
      </c>
      <c r="D1891" s="17" t="n">
        <f aca="false">$C1891+DIAS_POR_SEMANA-1</f>
        <v>46530</v>
      </c>
      <c r="E1891" s="15" t="s">
        <v>287</v>
      </c>
      <c r="F1891" s="8" t="str">
        <f aca="false">IFERROR(INDEX(CADASTRO_PIVOS!$C$6:$C$41,MATCH($E1891,CADASTRO_PIVOS!$B$6:$B$41,0)),"?")</f>
        <v>RM07</v>
      </c>
      <c r="G1891" s="8" t="str">
        <f aca="false">IFERROR(INDEX(CADASTRO_PIVOS!$D$6:$D$41,MATCH($E1891,CADASTRO_PIVOS!$B$6:$B$41,0)),"?")</f>
        <v>TR07</v>
      </c>
      <c r="H1891" s="20" t="n">
        <f aca="false">IFERROR(INDEX(CADASTRO_PIVOS!$E$6:$E$41,MATCH($E1891,CADASTRO_PIVOS!$B$6:$B$41,0)),0)</f>
        <v>99.48</v>
      </c>
      <c r="I1891" s="16" t="n">
        <f aca="false">IFERROR(SUMIFS(ROTACAO_RDM!$B$6:$B$71,ROTACAO_RDM!$D$6:$D$71,$E1891,ROTACAO_RDM!$I$6:$I$71,"&lt;="&amp;$C1891+INT(DIAS_POR_SEMANA/2),ROTACAO_RDM!$J$6:$J$71,"&gt;="&amp;$C1891+INT(DIAS_POR_SEMANA/2)),0)</f>
        <v>47</v>
      </c>
      <c r="J1891" s="16" t="n">
        <f aca="false">IFERROR(MATCH($I1891,ROTACAO_RDM!$B$6:$B$71,0),0)</f>
        <v>47</v>
      </c>
      <c r="K1891" s="8" t="str">
        <f aca="false">IF($J1891=0,"SEM CULTURA",INDEX(ROTACAO_RDM!$F$6:$F$71,$J1891))</f>
        <v>ALGODAO</v>
      </c>
      <c r="L1891" s="8" t="str">
        <f aca="false">IF($J1891=0,"",INDEX(ROTACAO_RDM!$G$6:$G$71,$J1891))</f>
        <v>FM 974 GLT</v>
      </c>
      <c r="M1891" s="17" t="n">
        <f aca="false">IF($J1891=0,"",INDEX(ROTACAO_RDM!$I$6:$I$71,$J1891))</f>
        <v>46357</v>
      </c>
      <c r="N1891" s="16" t="n">
        <f aca="false">IF($J1891=0,0,MAX(0,$C1891+INT(DIAS_POR_SEMANA/2)-INDEX(ROTACAO_RDM!$I$6:$I$71,$J1891)))</f>
        <v>170</v>
      </c>
      <c r="O1891" s="19" t="n">
        <f aca="false">IF($J1891=0,0,MIN(1,$N1891/MAX(1,INDEX(ROTACAO_RDM!$K$6:$K$71,$J1891))))</f>
        <v>0.871794871794872</v>
      </c>
      <c r="P1891" s="16" t="n">
        <f aca="false">IF($J1891=0,0,IFERROR(MATCH(INDEX(ROTACAO_RDM!$N$6:$N$71,$J1891),PARAMETROS_CULTURAS!$B$6:$B$28,0),0))</f>
        <v>5</v>
      </c>
      <c r="Q1891" s="8" t="str">
        <f aca="false">IF($P1891=0,"-",IF($O1891&lt;=INDEX(PARAMETROS_CULTURAS!$F$6:$F$28,$P1891),"INICIAL",IF($O1891&lt;=INDEX(PARAMETROS_CULTURAS!$F$6:$F$28,$P1891)+INDEX(PARAMETROS_CULTURAS!$G$6:$G$28,$P1891),"DESENVOLVIMENTO",IF($O1891&lt;=INDEX(PARAMETROS_CULTURAS!$F$6:$F$28,$P1891)+INDEX(PARAMETROS_CULTURAS!$G$6:$G$28,$P1891)+INDEX(PARAMETROS_CULTURAS!$H$6:$H$28,$P1891),"MEDIA","FINAL"))))</f>
        <v>FINAL</v>
      </c>
      <c r="R1891" s="24" t="n">
        <f aca="false">IF($P1891=0,0,IF($O1891&lt;=INDEX(PARAMETROS_CULTURAS!$F$6:$F$28,$P1891),INDEX(PARAMETROS_CULTURAS!$K$6:$K$28,$P1891),IF($O1891&lt;=INDEX(PARAMETROS_CULTURAS!$F$6:$F$28,$P1891)+INDEX(PARAMETROS_CULTURAS!$G$6:$G$28,$P1891),INDEX(PARAMETROS_CULTURAS!$K$6:$K$28,$P1891)+(INDEX(PARAMETROS_CULTURAS!$L$6:$L$28,$P1891)-INDEX(PARAMETROS_CULTURAS!$K$6:$K$28,$P1891))*($O1891-INDEX(PARAMETROS_CULTURAS!$F$6:$F$28,$P1891))/MAX(INDEX(PARAMETROS_CULTURAS!$G$6:$G$28,$P1891),0.0001),IF($O1891&lt;=INDEX(PARAMETROS_CULTURAS!$F$6:$F$28,$P1891)+INDEX(PARAMETROS_CULTURAS!$G$6:$G$28,$P1891)+INDEX(PARAMETROS_CULTURAS!$H$6:$H$28,$P1891),INDEX(PARAMETROS_CULTURAS!$L$6:$L$28,$P1891),INDEX(PARAMETROS_CULTURAS!$L$6:$L$28,$P1891)+(INDEX(PARAMETROS_CULTURAS!$M$6:$M$28,$P1891)-INDEX(PARAMETROS_CULTURAS!$L$6:$L$28,$P1891))*($O1891-INDEX(PARAMETROS_CULTURAS!$F$6:$F$28,$P1891)-INDEX(PARAMETROS_CULTURAS!$G$6:$G$28,$P1891)-INDEX(PARAMETROS_CULTURAS!$H$6:$H$28,$P1891))/MAX(INDEX(PARAMETROS_CULTURAS!$I$6:$I$28,$P1891),0.0001)))))</f>
        <v>0.851831501831502</v>
      </c>
      <c r="S1891" s="18" t="n">
        <f aca="false">IFERROR(INDEX(SEMANAS!$H$6:$H$71,MATCH($B1891,SEMANAS!$B$6:$B$71,0)),0)</f>
        <v>29.4</v>
      </c>
      <c r="T1891" s="18" t="n">
        <f aca="false">$R1891*$S1891</f>
        <v>25.0438461538462</v>
      </c>
      <c r="U1891" s="18" t="n">
        <f aca="false">IFERROR(INDEX(SEMANAS!$I$6:$I$71,MATCH($B1891,SEMANAS!$B$6:$B$71,0)),0)</f>
        <v>3.36</v>
      </c>
      <c r="V1891" s="18" t="n">
        <f aca="false">IFERROR(INDEX(SEMANAS!$J$6:$J$71,MATCH($B1891,SEMANAS!$B$6:$B$71,0)),0)</f>
        <v>2.688</v>
      </c>
      <c r="W1891" s="18" t="n">
        <f aca="false">MAX(0,$T1891-$V1891)</f>
        <v>22.3558461538462</v>
      </c>
      <c r="X1891" s="19" t="n">
        <f aca="false">IFERROR(INDEX(CADASTRO_PIVOS!$K$6:$K$41,MATCH($E1891,CADASTRO_PIVOS!$B$6:$B$41,0)),EFICIENCIA_PADRAO)</f>
        <v>0.85</v>
      </c>
      <c r="Y1891" s="18" t="n">
        <f aca="false">IF($X1891&lt;=0,0,$W1891/$X1891)</f>
        <v>26.3009954751131</v>
      </c>
      <c r="Z1891" s="16" t="n">
        <f aca="false">$Y1891*$H1891*MM_PARA_M3_HA</f>
        <v>26164.2302986425</v>
      </c>
      <c r="AA1891" s="18" t="n">
        <f aca="false">IFERROR(INDEX(CADASTRO_PIVOS!$I$6:$I$41,MATCH($E1891,CADASTRO_PIVOS!$B$6:$B$41,0)),0)</f>
        <v>710.571428571429</v>
      </c>
      <c r="AB1891" s="18" t="n">
        <f aca="false">IF($Z1891&lt;=0,0,$Z1891/$AA1891)</f>
        <v>36.8213936651584</v>
      </c>
      <c r="AC1891" s="16" t="n">
        <f aca="false">IFERROR(INDEX(SEMANAS!$K$6:$K$71,MATCH($B1891,SEMANAS!$B$6:$B$71,0)),0)</f>
        <v>147</v>
      </c>
      <c r="AD1891" s="19" t="n">
        <f aca="false">IF($AC1891&lt;=0,0,$AB1891/$AC1891)</f>
        <v>0.250485671191554</v>
      </c>
      <c r="AE1891" s="8" t="str">
        <f aca="false">IF($K1891="SEM CULTURA","SEM CULTURA",IF($AA1891&lt;=0,"DADO PENDENTE",IF($AD1891&gt;LIMITE_CRITICO,"INVIAVEL",IF($AD1891&gt;LIMITE_ATENCAO,"CRITICO",IF($AD1891&gt;LIMITE_CONFORTAVEL,"ATENCAO","OK")))))</f>
        <v>OK</v>
      </c>
      <c r="AF1891" s="8" t="str">
        <f aca="false">$B1891&amp;"|"&amp;TEXT($AD1891,"0.000000")</f>
        <v>38|0.250486</v>
      </c>
      <c r="AG1891" s="18" t="n">
        <f aca="false">IF($K1891="SEM CULTURA",0,$T1891*$H1891)</f>
        <v>2491.36181538462</v>
      </c>
      <c r="AH1891" s="18" t="n">
        <f aca="false">IF($K1891="SEM CULTURA",0,$V1891*$H1891)</f>
        <v>267.40224</v>
      </c>
      <c r="AI1891" s="18" t="n">
        <f aca="false">IF($K1891="SEM CULTURA",0,$W1891*$H1891)</f>
        <v>2223.95957538462</v>
      </c>
      <c r="AJ1891" s="18" t="n">
        <f aca="false">IF($K1891="SEM CULTURA",0,$S1891*$H1891)</f>
        <v>2924.712</v>
      </c>
      <c r="AK1891" s="8" t="str">
        <f aca="false">$E1891&amp;"|"&amp;TEXT($AD1891,"0.000000")</f>
        <v>PV 125|0.250486</v>
      </c>
    </row>
    <row r="1892" customFormat="false" ht="15" hidden="false" customHeight="false" outlineLevel="0" collapsed="false">
      <c r="B1892" s="16" t="n">
        <v>39</v>
      </c>
      <c r="C1892" s="17" t="n">
        <f aca="false">DATA_INICIO_SAFRA+($B1892-1)*DIAS_POR_SEMANA</f>
        <v>46531</v>
      </c>
      <c r="D1892" s="17" t="n">
        <f aca="false">$C1892+DIAS_POR_SEMANA-1</f>
        <v>46537</v>
      </c>
      <c r="E1892" s="15" t="s">
        <v>287</v>
      </c>
      <c r="F1892" s="8" t="str">
        <f aca="false">IFERROR(INDEX(CADASTRO_PIVOS!$C$6:$C$41,MATCH($E1892,CADASTRO_PIVOS!$B$6:$B$41,0)),"?")</f>
        <v>RM07</v>
      </c>
      <c r="G1892" s="8" t="str">
        <f aca="false">IFERROR(INDEX(CADASTRO_PIVOS!$D$6:$D$41,MATCH($E1892,CADASTRO_PIVOS!$B$6:$B$41,0)),"?")</f>
        <v>TR07</v>
      </c>
      <c r="H1892" s="20" t="n">
        <f aca="false">IFERROR(INDEX(CADASTRO_PIVOS!$E$6:$E$41,MATCH($E1892,CADASTRO_PIVOS!$B$6:$B$41,0)),0)</f>
        <v>99.48</v>
      </c>
      <c r="I1892" s="16" t="n">
        <f aca="false">IFERROR(SUMIFS(ROTACAO_RDM!$B$6:$B$71,ROTACAO_RDM!$D$6:$D$71,$E1892,ROTACAO_RDM!$I$6:$I$71,"&lt;="&amp;$C1892+INT(DIAS_POR_SEMANA/2),ROTACAO_RDM!$J$6:$J$71,"&gt;="&amp;$C1892+INT(DIAS_POR_SEMANA/2)),0)</f>
        <v>47</v>
      </c>
      <c r="J1892" s="16" t="n">
        <f aca="false">IFERROR(MATCH($I1892,ROTACAO_RDM!$B$6:$B$71,0),0)</f>
        <v>47</v>
      </c>
      <c r="K1892" s="8" t="str">
        <f aca="false">IF($J1892=0,"SEM CULTURA",INDEX(ROTACAO_RDM!$F$6:$F$71,$J1892))</f>
        <v>ALGODAO</v>
      </c>
      <c r="L1892" s="8" t="str">
        <f aca="false">IF($J1892=0,"",INDEX(ROTACAO_RDM!$G$6:$G$71,$J1892))</f>
        <v>FM 974 GLT</v>
      </c>
      <c r="M1892" s="17" t="n">
        <f aca="false">IF($J1892=0,"",INDEX(ROTACAO_RDM!$I$6:$I$71,$J1892))</f>
        <v>46357</v>
      </c>
      <c r="N1892" s="16" t="n">
        <f aca="false">IF($J1892=0,0,MAX(0,$C1892+INT(DIAS_POR_SEMANA/2)-INDEX(ROTACAO_RDM!$I$6:$I$71,$J1892)))</f>
        <v>177</v>
      </c>
      <c r="O1892" s="19" t="n">
        <f aca="false">IF($J1892=0,0,MIN(1,$N1892/MAX(1,INDEX(ROTACAO_RDM!$K$6:$K$71,$J1892))))</f>
        <v>0.907692307692308</v>
      </c>
      <c r="P1892" s="16" t="n">
        <f aca="false">IF($J1892=0,0,IFERROR(MATCH(INDEX(ROTACAO_RDM!$N$6:$N$71,$J1892),PARAMETROS_CULTURAS!$B$6:$B$28,0),0))</f>
        <v>5</v>
      </c>
      <c r="Q1892" s="8" t="str">
        <f aca="false">IF($P1892=0,"-",IF($O1892&lt;=INDEX(PARAMETROS_CULTURAS!$F$6:$F$28,$P1892),"INICIAL",IF($O1892&lt;=INDEX(PARAMETROS_CULTURAS!$F$6:$F$28,$P1892)+INDEX(PARAMETROS_CULTURAS!$G$6:$G$28,$P1892),"DESENVOLVIMENTO",IF($O1892&lt;=INDEX(PARAMETROS_CULTURAS!$F$6:$F$28,$P1892)+INDEX(PARAMETROS_CULTURAS!$G$6:$G$28,$P1892)+INDEX(PARAMETROS_CULTURAS!$H$6:$H$28,$P1892),"MEDIA","FINAL"))))</f>
        <v>FINAL</v>
      </c>
      <c r="R1892" s="24" t="n">
        <f aca="false">IF($P1892=0,0,IF($O1892&lt;=INDEX(PARAMETROS_CULTURAS!$F$6:$F$28,$P1892),INDEX(PARAMETROS_CULTURAS!$K$6:$K$28,$P1892),IF($O1892&lt;=INDEX(PARAMETROS_CULTURAS!$F$6:$F$28,$P1892)+INDEX(PARAMETROS_CULTURAS!$G$6:$G$28,$P1892),INDEX(PARAMETROS_CULTURAS!$K$6:$K$28,$P1892)+(INDEX(PARAMETROS_CULTURAS!$L$6:$L$28,$P1892)-INDEX(PARAMETROS_CULTURAS!$K$6:$K$28,$P1892))*($O1892-INDEX(PARAMETROS_CULTURAS!$F$6:$F$28,$P1892))/MAX(INDEX(PARAMETROS_CULTURAS!$G$6:$G$28,$P1892),0.0001),IF($O1892&lt;=INDEX(PARAMETROS_CULTURAS!$F$6:$F$28,$P1892)+INDEX(PARAMETROS_CULTURAS!$G$6:$G$28,$P1892)+INDEX(PARAMETROS_CULTURAS!$H$6:$H$28,$P1892),INDEX(PARAMETROS_CULTURAS!$L$6:$L$28,$P1892),INDEX(PARAMETROS_CULTURAS!$L$6:$L$28,$P1892)+(INDEX(PARAMETROS_CULTURAS!$M$6:$M$28,$P1892)-INDEX(PARAMETROS_CULTURAS!$L$6:$L$28,$P1892))*($O1892-INDEX(PARAMETROS_CULTURAS!$F$6:$F$28,$P1892)-INDEX(PARAMETROS_CULTURAS!$G$6:$G$28,$P1892)-INDEX(PARAMETROS_CULTURAS!$H$6:$H$28,$P1892))/MAX(INDEX(PARAMETROS_CULTURAS!$I$6:$I$28,$P1892),0.0001)))))</f>
        <v>0.781318681318681</v>
      </c>
      <c r="S1892" s="18" t="n">
        <f aca="false">IFERROR(INDEX(SEMANAS!$H$6:$H$71,MATCH($B1892,SEMANAS!$B$6:$B$71,0)),0)</f>
        <v>29.4</v>
      </c>
      <c r="T1892" s="18" t="n">
        <f aca="false">$R1892*$S1892</f>
        <v>22.9707692307692</v>
      </c>
      <c r="U1892" s="18" t="n">
        <f aca="false">IFERROR(INDEX(SEMANAS!$I$6:$I$71,MATCH($B1892,SEMANAS!$B$6:$B$71,0)),0)</f>
        <v>3.36</v>
      </c>
      <c r="V1892" s="18" t="n">
        <f aca="false">IFERROR(INDEX(SEMANAS!$J$6:$J$71,MATCH($B1892,SEMANAS!$B$6:$B$71,0)),0)</f>
        <v>2.688</v>
      </c>
      <c r="W1892" s="18" t="n">
        <f aca="false">MAX(0,$T1892-$V1892)</f>
        <v>20.2827692307692</v>
      </c>
      <c r="X1892" s="19" t="n">
        <f aca="false">IFERROR(INDEX(CADASTRO_PIVOS!$K$6:$K$41,MATCH($E1892,CADASTRO_PIVOS!$B$6:$B$41,0)),EFICIENCIA_PADRAO)</f>
        <v>0.85</v>
      </c>
      <c r="Y1892" s="18" t="n">
        <f aca="false">IF($X1892&lt;=0,0,$W1892/$X1892)</f>
        <v>23.8620814479638</v>
      </c>
      <c r="Z1892" s="16" t="n">
        <f aca="false">$Y1892*$H1892*MM_PARA_M3_HA</f>
        <v>23737.9986244344</v>
      </c>
      <c r="AA1892" s="18" t="n">
        <f aca="false">IFERROR(INDEX(CADASTRO_PIVOS!$I$6:$I$41,MATCH($E1892,CADASTRO_PIVOS!$B$6:$B$41,0)),0)</f>
        <v>710.571428571429</v>
      </c>
      <c r="AB1892" s="18" t="n">
        <f aca="false">IF($Z1892&lt;=0,0,$Z1892/$AA1892)</f>
        <v>33.4069140271493</v>
      </c>
      <c r="AC1892" s="16" t="n">
        <f aca="false">IFERROR(INDEX(SEMANAS!$K$6:$K$71,MATCH($B1892,SEMANAS!$B$6:$B$71,0)),0)</f>
        <v>147</v>
      </c>
      <c r="AD1892" s="19" t="n">
        <f aca="false">IF($AC1892&lt;=0,0,$AB1892/$AC1892)</f>
        <v>0.227257918552036</v>
      </c>
      <c r="AE1892" s="8" t="str">
        <f aca="false">IF($K1892="SEM CULTURA","SEM CULTURA",IF($AA1892&lt;=0,"DADO PENDENTE",IF($AD1892&gt;LIMITE_CRITICO,"INVIAVEL",IF($AD1892&gt;LIMITE_ATENCAO,"CRITICO",IF($AD1892&gt;LIMITE_CONFORTAVEL,"ATENCAO","OK")))))</f>
        <v>OK</v>
      </c>
      <c r="AF1892" s="8" t="str">
        <f aca="false">$B1892&amp;"|"&amp;TEXT($AD1892,"0.000000")</f>
        <v>39|0.227258</v>
      </c>
      <c r="AG1892" s="18" t="n">
        <f aca="false">IF($K1892="SEM CULTURA",0,$T1892*$H1892)</f>
        <v>2285.13212307692</v>
      </c>
      <c r="AH1892" s="18" t="n">
        <f aca="false">IF($K1892="SEM CULTURA",0,$V1892*$H1892)</f>
        <v>267.40224</v>
      </c>
      <c r="AI1892" s="18" t="n">
        <f aca="false">IF($K1892="SEM CULTURA",0,$W1892*$H1892)</f>
        <v>2017.72988307692</v>
      </c>
      <c r="AJ1892" s="18" t="n">
        <f aca="false">IF($K1892="SEM CULTURA",0,$S1892*$H1892)</f>
        <v>2924.712</v>
      </c>
      <c r="AK1892" s="8" t="str">
        <f aca="false">$E1892&amp;"|"&amp;TEXT($AD1892,"0.000000")</f>
        <v>PV 125|0.227258</v>
      </c>
    </row>
    <row r="1893" customFormat="false" ht="15" hidden="false" customHeight="false" outlineLevel="0" collapsed="false">
      <c r="B1893" s="16" t="n">
        <v>40</v>
      </c>
      <c r="C1893" s="17" t="n">
        <f aca="false">DATA_INICIO_SAFRA+($B1893-1)*DIAS_POR_SEMANA</f>
        <v>46538</v>
      </c>
      <c r="D1893" s="17" t="n">
        <f aca="false">$C1893+DIAS_POR_SEMANA-1</f>
        <v>46544</v>
      </c>
      <c r="E1893" s="15" t="s">
        <v>287</v>
      </c>
      <c r="F1893" s="8" t="str">
        <f aca="false">IFERROR(INDEX(CADASTRO_PIVOS!$C$6:$C$41,MATCH($E1893,CADASTRO_PIVOS!$B$6:$B$41,0)),"?")</f>
        <v>RM07</v>
      </c>
      <c r="G1893" s="8" t="str">
        <f aca="false">IFERROR(INDEX(CADASTRO_PIVOS!$D$6:$D$41,MATCH($E1893,CADASTRO_PIVOS!$B$6:$B$41,0)),"?")</f>
        <v>TR07</v>
      </c>
      <c r="H1893" s="20" t="n">
        <f aca="false">IFERROR(INDEX(CADASTRO_PIVOS!$E$6:$E$41,MATCH($E1893,CADASTRO_PIVOS!$B$6:$B$41,0)),0)</f>
        <v>99.48</v>
      </c>
      <c r="I1893" s="16" t="n">
        <f aca="false">IFERROR(SUMIFS(ROTACAO_RDM!$B$6:$B$71,ROTACAO_RDM!$D$6:$D$71,$E1893,ROTACAO_RDM!$I$6:$I$71,"&lt;="&amp;$C1893+INT(DIAS_POR_SEMANA/2),ROTACAO_RDM!$J$6:$J$71,"&gt;="&amp;$C1893+INT(DIAS_POR_SEMANA/2)),0)</f>
        <v>47</v>
      </c>
      <c r="J1893" s="16" t="n">
        <f aca="false">IFERROR(MATCH($I1893,ROTACAO_RDM!$B$6:$B$71,0),0)</f>
        <v>47</v>
      </c>
      <c r="K1893" s="8" t="str">
        <f aca="false">IF($J1893=0,"SEM CULTURA",INDEX(ROTACAO_RDM!$F$6:$F$71,$J1893))</f>
        <v>ALGODAO</v>
      </c>
      <c r="L1893" s="8" t="str">
        <f aca="false">IF($J1893=0,"",INDEX(ROTACAO_RDM!$G$6:$G$71,$J1893))</f>
        <v>FM 974 GLT</v>
      </c>
      <c r="M1893" s="17" t="n">
        <f aca="false">IF($J1893=0,"",INDEX(ROTACAO_RDM!$I$6:$I$71,$J1893))</f>
        <v>46357</v>
      </c>
      <c r="N1893" s="16" t="n">
        <f aca="false">IF($J1893=0,0,MAX(0,$C1893+INT(DIAS_POR_SEMANA/2)-INDEX(ROTACAO_RDM!$I$6:$I$71,$J1893)))</f>
        <v>184</v>
      </c>
      <c r="O1893" s="19" t="n">
        <f aca="false">IF($J1893=0,0,MIN(1,$N1893/MAX(1,INDEX(ROTACAO_RDM!$K$6:$K$71,$J1893))))</f>
        <v>0.943589743589744</v>
      </c>
      <c r="P1893" s="16" t="n">
        <f aca="false">IF($J1893=0,0,IFERROR(MATCH(INDEX(ROTACAO_RDM!$N$6:$N$71,$J1893),PARAMETROS_CULTURAS!$B$6:$B$28,0),0))</f>
        <v>5</v>
      </c>
      <c r="Q1893" s="8" t="str">
        <f aca="false">IF($P1893=0,"-",IF($O1893&lt;=INDEX(PARAMETROS_CULTURAS!$F$6:$F$28,$P1893),"INICIAL",IF($O1893&lt;=INDEX(PARAMETROS_CULTURAS!$F$6:$F$28,$P1893)+INDEX(PARAMETROS_CULTURAS!$G$6:$G$28,$P1893),"DESENVOLVIMENTO",IF($O1893&lt;=INDEX(PARAMETROS_CULTURAS!$F$6:$F$28,$P1893)+INDEX(PARAMETROS_CULTURAS!$G$6:$G$28,$P1893)+INDEX(PARAMETROS_CULTURAS!$H$6:$H$28,$P1893),"MEDIA","FINAL"))))</f>
        <v>FINAL</v>
      </c>
      <c r="R1893" s="24" t="n">
        <f aca="false">IF($P1893=0,0,IF($O1893&lt;=INDEX(PARAMETROS_CULTURAS!$F$6:$F$28,$P1893),INDEX(PARAMETROS_CULTURAS!$K$6:$K$28,$P1893),IF($O1893&lt;=INDEX(PARAMETROS_CULTURAS!$F$6:$F$28,$P1893)+INDEX(PARAMETROS_CULTURAS!$G$6:$G$28,$P1893),INDEX(PARAMETROS_CULTURAS!$K$6:$K$28,$P1893)+(INDEX(PARAMETROS_CULTURAS!$L$6:$L$28,$P1893)-INDEX(PARAMETROS_CULTURAS!$K$6:$K$28,$P1893))*($O1893-INDEX(PARAMETROS_CULTURAS!$F$6:$F$28,$P1893))/MAX(INDEX(PARAMETROS_CULTURAS!$G$6:$G$28,$P1893),0.0001),IF($O1893&lt;=INDEX(PARAMETROS_CULTURAS!$F$6:$F$28,$P1893)+INDEX(PARAMETROS_CULTURAS!$G$6:$G$28,$P1893)+INDEX(PARAMETROS_CULTURAS!$H$6:$H$28,$P1893),INDEX(PARAMETROS_CULTURAS!$L$6:$L$28,$P1893),INDEX(PARAMETROS_CULTURAS!$L$6:$L$28,$P1893)+(INDEX(PARAMETROS_CULTURAS!$M$6:$M$28,$P1893)-INDEX(PARAMETROS_CULTURAS!$L$6:$L$28,$P1893))*($O1893-INDEX(PARAMETROS_CULTURAS!$F$6:$F$28,$P1893)-INDEX(PARAMETROS_CULTURAS!$G$6:$G$28,$P1893)-INDEX(PARAMETROS_CULTURAS!$H$6:$H$28,$P1893))/MAX(INDEX(PARAMETROS_CULTURAS!$I$6:$I$28,$P1893),0.0001)))))</f>
        <v>0.710805860805861</v>
      </c>
      <c r="S1893" s="18" t="n">
        <f aca="false">IFERROR(INDEX(SEMANAS!$H$6:$H$71,MATCH($B1893,SEMANAS!$B$6:$B$71,0)),0)</f>
        <v>28.2</v>
      </c>
      <c r="T1893" s="18" t="n">
        <f aca="false">$R1893*$S1893</f>
        <v>20.0447252747253</v>
      </c>
      <c r="U1893" s="18" t="n">
        <f aca="false">IFERROR(INDEX(SEMANAS!$I$6:$I$71,MATCH($B1893,SEMANAS!$B$6:$B$71,0)),0)</f>
        <v>1.5</v>
      </c>
      <c r="V1893" s="18" t="n">
        <f aca="false">IFERROR(INDEX(SEMANAS!$J$6:$J$71,MATCH($B1893,SEMANAS!$B$6:$B$71,0)),0)</f>
        <v>1.2</v>
      </c>
      <c r="W1893" s="18" t="n">
        <f aca="false">MAX(0,$T1893-$V1893)</f>
        <v>18.8447252747253</v>
      </c>
      <c r="X1893" s="19" t="n">
        <f aca="false">IFERROR(INDEX(CADASTRO_PIVOS!$K$6:$K$41,MATCH($E1893,CADASTRO_PIVOS!$B$6:$B$41,0)),EFICIENCIA_PADRAO)</f>
        <v>0.85</v>
      </c>
      <c r="Y1893" s="18" t="n">
        <f aca="false">IF($X1893&lt;=0,0,$W1893/$X1893)</f>
        <v>22.1702650290886</v>
      </c>
      <c r="Z1893" s="16" t="n">
        <f aca="false">$Y1893*$H1893*MM_PARA_M3_HA</f>
        <v>22054.9796509373</v>
      </c>
      <c r="AA1893" s="18" t="n">
        <f aca="false">IFERROR(INDEX(CADASTRO_PIVOS!$I$6:$I$41,MATCH($E1893,CADASTRO_PIVOS!$B$6:$B$41,0)),0)</f>
        <v>710.571428571429</v>
      </c>
      <c r="AB1893" s="18" t="n">
        <f aca="false">IF($Z1893&lt;=0,0,$Z1893/$AA1893)</f>
        <v>31.038371040724</v>
      </c>
      <c r="AC1893" s="16" t="n">
        <f aca="false">IFERROR(INDEX(SEMANAS!$K$6:$K$71,MATCH($B1893,SEMANAS!$B$6:$B$71,0)),0)</f>
        <v>147</v>
      </c>
      <c r="AD1893" s="19" t="n">
        <f aca="false">IF($AC1893&lt;=0,0,$AB1893/$AC1893)</f>
        <v>0.211145381229415</v>
      </c>
      <c r="AE1893" s="8" t="str">
        <f aca="false">IF($K1893="SEM CULTURA","SEM CULTURA",IF($AA1893&lt;=0,"DADO PENDENTE",IF($AD1893&gt;LIMITE_CRITICO,"INVIAVEL",IF($AD1893&gt;LIMITE_ATENCAO,"CRITICO",IF($AD1893&gt;LIMITE_CONFORTAVEL,"ATENCAO","OK")))))</f>
        <v>OK</v>
      </c>
      <c r="AF1893" s="8" t="str">
        <f aca="false">$B1893&amp;"|"&amp;TEXT($AD1893,"0.000000")</f>
        <v>40|0.211145</v>
      </c>
      <c r="AG1893" s="18" t="n">
        <f aca="false">IF($K1893="SEM CULTURA",0,$T1893*$H1893)</f>
        <v>1994.04927032967</v>
      </c>
      <c r="AH1893" s="18" t="n">
        <f aca="false">IF($K1893="SEM CULTURA",0,$V1893*$H1893)</f>
        <v>119.376</v>
      </c>
      <c r="AI1893" s="18" t="n">
        <f aca="false">IF($K1893="SEM CULTURA",0,$W1893*$H1893)</f>
        <v>1874.67327032967</v>
      </c>
      <c r="AJ1893" s="18" t="n">
        <f aca="false">IF($K1893="SEM CULTURA",0,$S1893*$H1893)</f>
        <v>2805.336</v>
      </c>
      <c r="AK1893" s="8" t="str">
        <f aca="false">$E1893&amp;"|"&amp;TEXT($AD1893,"0.000000")</f>
        <v>PV 125|0.211145</v>
      </c>
    </row>
    <row r="1894" customFormat="false" ht="15" hidden="false" customHeight="false" outlineLevel="0" collapsed="false">
      <c r="B1894" s="16" t="n">
        <v>41</v>
      </c>
      <c r="C1894" s="17" t="n">
        <f aca="false">DATA_INICIO_SAFRA+($B1894-1)*DIAS_POR_SEMANA</f>
        <v>46545</v>
      </c>
      <c r="D1894" s="17" t="n">
        <f aca="false">$C1894+DIAS_POR_SEMANA-1</f>
        <v>46551</v>
      </c>
      <c r="E1894" s="15" t="s">
        <v>287</v>
      </c>
      <c r="F1894" s="8" t="str">
        <f aca="false">IFERROR(INDEX(CADASTRO_PIVOS!$C$6:$C$41,MATCH($E1894,CADASTRO_PIVOS!$B$6:$B$41,0)),"?")</f>
        <v>RM07</v>
      </c>
      <c r="G1894" s="8" t="str">
        <f aca="false">IFERROR(INDEX(CADASTRO_PIVOS!$D$6:$D$41,MATCH($E1894,CADASTRO_PIVOS!$B$6:$B$41,0)),"?")</f>
        <v>TR07</v>
      </c>
      <c r="H1894" s="20" t="n">
        <f aca="false">IFERROR(INDEX(CADASTRO_PIVOS!$E$6:$E$41,MATCH($E1894,CADASTRO_PIVOS!$B$6:$B$41,0)),0)</f>
        <v>99.48</v>
      </c>
      <c r="I1894" s="16" t="n">
        <f aca="false">IFERROR(SUMIFS(ROTACAO_RDM!$B$6:$B$71,ROTACAO_RDM!$D$6:$D$71,$E1894,ROTACAO_RDM!$I$6:$I$71,"&lt;="&amp;$C1894+INT(DIAS_POR_SEMANA/2),ROTACAO_RDM!$J$6:$J$71,"&gt;="&amp;$C1894+INT(DIAS_POR_SEMANA/2)),0)</f>
        <v>47</v>
      </c>
      <c r="J1894" s="16" t="n">
        <f aca="false">IFERROR(MATCH($I1894,ROTACAO_RDM!$B$6:$B$71,0),0)</f>
        <v>47</v>
      </c>
      <c r="K1894" s="8" t="str">
        <f aca="false">IF($J1894=0,"SEM CULTURA",INDEX(ROTACAO_RDM!$F$6:$F$71,$J1894))</f>
        <v>ALGODAO</v>
      </c>
      <c r="L1894" s="8" t="str">
        <f aca="false">IF($J1894=0,"",INDEX(ROTACAO_RDM!$G$6:$G$71,$J1894))</f>
        <v>FM 974 GLT</v>
      </c>
      <c r="M1894" s="17" t="n">
        <f aca="false">IF($J1894=0,"",INDEX(ROTACAO_RDM!$I$6:$I$71,$J1894))</f>
        <v>46357</v>
      </c>
      <c r="N1894" s="16" t="n">
        <f aca="false">IF($J1894=0,0,MAX(0,$C1894+INT(DIAS_POR_SEMANA/2)-INDEX(ROTACAO_RDM!$I$6:$I$71,$J1894)))</f>
        <v>191</v>
      </c>
      <c r="O1894" s="19" t="n">
        <f aca="false">IF($J1894=0,0,MIN(1,$N1894/MAX(1,INDEX(ROTACAO_RDM!$K$6:$K$71,$J1894))))</f>
        <v>0.979487179487179</v>
      </c>
      <c r="P1894" s="16" t="n">
        <f aca="false">IF($J1894=0,0,IFERROR(MATCH(INDEX(ROTACAO_RDM!$N$6:$N$71,$J1894),PARAMETROS_CULTURAS!$B$6:$B$28,0),0))</f>
        <v>5</v>
      </c>
      <c r="Q1894" s="8" t="str">
        <f aca="false">IF($P1894=0,"-",IF($O1894&lt;=INDEX(PARAMETROS_CULTURAS!$F$6:$F$28,$P1894),"INICIAL",IF($O1894&lt;=INDEX(PARAMETROS_CULTURAS!$F$6:$F$28,$P1894)+INDEX(PARAMETROS_CULTURAS!$G$6:$G$28,$P1894),"DESENVOLVIMENTO",IF($O1894&lt;=INDEX(PARAMETROS_CULTURAS!$F$6:$F$28,$P1894)+INDEX(PARAMETROS_CULTURAS!$G$6:$G$28,$P1894)+INDEX(PARAMETROS_CULTURAS!$H$6:$H$28,$P1894),"MEDIA","FINAL"))))</f>
        <v>FINAL</v>
      </c>
      <c r="R1894" s="24" t="n">
        <f aca="false">IF($P1894=0,0,IF($O1894&lt;=INDEX(PARAMETROS_CULTURAS!$F$6:$F$28,$P1894),INDEX(PARAMETROS_CULTURAS!$K$6:$K$28,$P1894),IF($O1894&lt;=INDEX(PARAMETROS_CULTURAS!$F$6:$F$28,$P1894)+INDEX(PARAMETROS_CULTURAS!$G$6:$G$28,$P1894),INDEX(PARAMETROS_CULTURAS!$K$6:$K$28,$P1894)+(INDEX(PARAMETROS_CULTURAS!$L$6:$L$28,$P1894)-INDEX(PARAMETROS_CULTURAS!$K$6:$K$28,$P1894))*($O1894-INDEX(PARAMETROS_CULTURAS!$F$6:$F$28,$P1894))/MAX(INDEX(PARAMETROS_CULTURAS!$G$6:$G$28,$P1894),0.0001),IF($O1894&lt;=INDEX(PARAMETROS_CULTURAS!$F$6:$F$28,$P1894)+INDEX(PARAMETROS_CULTURAS!$G$6:$G$28,$P1894)+INDEX(PARAMETROS_CULTURAS!$H$6:$H$28,$P1894),INDEX(PARAMETROS_CULTURAS!$L$6:$L$28,$P1894),INDEX(PARAMETROS_CULTURAS!$L$6:$L$28,$P1894)+(INDEX(PARAMETROS_CULTURAS!$M$6:$M$28,$P1894)-INDEX(PARAMETROS_CULTURAS!$L$6:$L$28,$P1894))*($O1894-INDEX(PARAMETROS_CULTURAS!$F$6:$F$28,$P1894)-INDEX(PARAMETROS_CULTURAS!$G$6:$G$28,$P1894)-INDEX(PARAMETROS_CULTURAS!$H$6:$H$28,$P1894))/MAX(INDEX(PARAMETROS_CULTURAS!$I$6:$I$28,$P1894),0.0001)))))</f>
        <v>0.640293040293041</v>
      </c>
      <c r="S1894" s="18" t="n">
        <f aca="false">IFERROR(INDEX(SEMANAS!$H$6:$H$71,MATCH($B1894,SEMANAS!$B$6:$B$71,0)),0)</f>
        <v>28</v>
      </c>
      <c r="T1894" s="18" t="n">
        <f aca="false">$R1894*$S1894</f>
        <v>17.9282051282051</v>
      </c>
      <c r="U1894" s="18" t="n">
        <f aca="false">IFERROR(INDEX(SEMANAS!$I$6:$I$71,MATCH($B1894,SEMANAS!$B$6:$B$71,0)),0)</f>
        <v>1.19</v>
      </c>
      <c r="V1894" s="18" t="n">
        <f aca="false">IFERROR(INDEX(SEMANAS!$J$6:$J$71,MATCH($B1894,SEMANAS!$B$6:$B$71,0)),0)</f>
        <v>0.952</v>
      </c>
      <c r="W1894" s="18" t="n">
        <f aca="false">MAX(0,$T1894-$V1894)</f>
        <v>16.9762051282051</v>
      </c>
      <c r="X1894" s="19" t="n">
        <f aca="false">IFERROR(INDEX(CADASTRO_PIVOS!$K$6:$K$41,MATCH($E1894,CADASTRO_PIVOS!$B$6:$B$41,0)),EFICIENCIA_PADRAO)</f>
        <v>0.85</v>
      </c>
      <c r="Y1894" s="18" t="n">
        <f aca="false">IF($X1894&lt;=0,0,$W1894/$X1894)</f>
        <v>19.9720060331825</v>
      </c>
      <c r="Z1894" s="16" t="n">
        <f aca="false">$Y1894*$H1894*MM_PARA_M3_HA</f>
        <v>19868.15160181</v>
      </c>
      <c r="AA1894" s="18" t="n">
        <f aca="false">IFERROR(INDEX(CADASTRO_PIVOS!$I$6:$I$41,MATCH($E1894,CADASTRO_PIVOS!$B$6:$B$41,0)),0)</f>
        <v>710.571428571429</v>
      </c>
      <c r="AB1894" s="18" t="n">
        <f aca="false">IF($Z1894&lt;=0,0,$Z1894/$AA1894)</f>
        <v>27.9608084464555</v>
      </c>
      <c r="AC1894" s="16" t="n">
        <f aca="false">IFERROR(INDEX(SEMANAS!$K$6:$K$71,MATCH($B1894,SEMANAS!$B$6:$B$71,0)),0)</f>
        <v>147</v>
      </c>
      <c r="AD1894" s="19" t="n">
        <f aca="false">IF($AC1894&lt;=0,0,$AB1894/$AC1894)</f>
        <v>0.190209581268405</v>
      </c>
      <c r="AE1894" s="8" t="str">
        <f aca="false">IF($K1894="SEM CULTURA","SEM CULTURA",IF($AA1894&lt;=0,"DADO PENDENTE",IF($AD1894&gt;LIMITE_CRITICO,"INVIAVEL",IF($AD1894&gt;LIMITE_ATENCAO,"CRITICO",IF($AD1894&gt;LIMITE_CONFORTAVEL,"ATENCAO","OK")))))</f>
        <v>OK</v>
      </c>
      <c r="AF1894" s="8" t="str">
        <f aca="false">$B1894&amp;"|"&amp;TEXT($AD1894,"0.000000")</f>
        <v>41|0.190210</v>
      </c>
      <c r="AG1894" s="18" t="n">
        <f aca="false">IF($K1894="SEM CULTURA",0,$T1894*$H1894)</f>
        <v>1783.49784615385</v>
      </c>
      <c r="AH1894" s="18" t="n">
        <f aca="false">IF($K1894="SEM CULTURA",0,$V1894*$H1894)</f>
        <v>94.70496</v>
      </c>
      <c r="AI1894" s="18" t="n">
        <f aca="false">IF($K1894="SEM CULTURA",0,$W1894*$H1894)</f>
        <v>1688.79288615385</v>
      </c>
      <c r="AJ1894" s="18" t="n">
        <f aca="false">IF($K1894="SEM CULTURA",0,$S1894*$H1894)</f>
        <v>2785.44</v>
      </c>
      <c r="AK1894" s="8" t="str">
        <f aca="false">$E1894&amp;"|"&amp;TEXT($AD1894,"0.000000")</f>
        <v>PV 125|0.190210</v>
      </c>
    </row>
    <row r="1895" customFormat="false" ht="15" hidden="false" customHeight="false" outlineLevel="0" collapsed="false">
      <c r="B1895" s="16" t="n">
        <v>42</v>
      </c>
      <c r="C1895" s="17" t="n">
        <f aca="false">DATA_INICIO_SAFRA+($B1895-1)*DIAS_POR_SEMANA</f>
        <v>46552</v>
      </c>
      <c r="D1895" s="17" t="n">
        <f aca="false">$C1895+DIAS_POR_SEMANA-1</f>
        <v>46558</v>
      </c>
      <c r="E1895" s="15" t="s">
        <v>287</v>
      </c>
      <c r="F1895" s="8" t="str">
        <f aca="false">IFERROR(INDEX(CADASTRO_PIVOS!$C$6:$C$41,MATCH($E1895,CADASTRO_PIVOS!$B$6:$B$41,0)),"?")</f>
        <v>RM07</v>
      </c>
      <c r="G1895" s="8" t="str">
        <f aca="false">IFERROR(INDEX(CADASTRO_PIVOS!$D$6:$D$41,MATCH($E1895,CADASTRO_PIVOS!$B$6:$B$41,0)),"?")</f>
        <v>TR07</v>
      </c>
      <c r="H1895" s="20" t="n">
        <f aca="false">IFERROR(INDEX(CADASTRO_PIVOS!$E$6:$E$41,MATCH($E1895,CADASTRO_PIVOS!$B$6:$B$41,0)),0)</f>
        <v>99.48</v>
      </c>
      <c r="I1895" s="16" t="n">
        <f aca="false">IFERROR(SUMIFS(ROTACAO_RDM!$B$6:$B$71,ROTACAO_RDM!$D$6:$D$71,$E1895,ROTACAO_RDM!$I$6:$I$71,"&lt;="&amp;$C1895+INT(DIAS_POR_SEMANA/2),ROTACAO_RDM!$J$6:$J$71,"&gt;="&amp;$C1895+INT(DIAS_POR_SEMANA/2)),0)</f>
        <v>0</v>
      </c>
      <c r="J1895" s="16" t="n">
        <f aca="false">IFERROR(MATCH($I1895,ROTACAO_RDM!$B$6:$B$71,0),0)</f>
        <v>0</v>
      </c>
      <c r="K1895" s="8" t="str">
        <f aca="false">IF($J1895=0,"SEM CULTURA",INDEX(ROTACAO_RDM!$F$6:$F$71,$J1895))</f>
        <v>SEM CULTURA</v>
      </c>
      <c r="L1895" s="8" t="str">
        <f aca="false">IF($J1895=0,"",INDEX(ROTACAO_RDM!$G$6:$G$71,$J1895))</f>
        <v/>
      </c>
      <c r="M1895" s="17" t="str">
        <f aca="false">IF($J1895=0,"",INDEX(ROTACAO_RDM!$I$6:$I$71,$J1895))</f>
        <v/>
      </c>
      <c r="N1895" s="16" t="n">
        <f aca="false">IF($J1895=0,0,MAX(0,$C1895+INT(DIAS_POR_SEMANA/2)-INDEX(ROTACAO_RDM!$I$6:$I$71,$J1895)))</f>
        <v>0</v>
      </c>
      <c r="O1895" s="19" t="n">
        <f aca="false">IF($J1895=0,0,MIN(1,$N1895/MAX(1,INDEX(ROTACAO_RDM!$K$6:$K$71,$J1895))))</f>
        <v>0</v>
      </c>
      <c r="P1895" s="16" t="n">
        <f aca="false">IF($J1895=0,0,IFERROR(MATCH(INDEX(ROTACAO_RDM!$N$6:$N$71,$J1895),PARAMETROS_CULTURAS!$B$6:$B$28,0),0))</f>
        <v>0</v>
      </c>
      <c r="Q1895" s="8" t="str">
        <f aca="false">IF($P1895=0,"-",IF($O1895&lt;=INDEX(PARAMETROS_CULTURAS!$F$6:$F$28,$P1895),"INICIAL",IF($O1895&lt;=INDEX(PARAMETROS_CULTURAS!$F$6:$F$28,$P1895)+INDEX(PARAMETROS_CULTURAS!$G$6:$G$28,$P1895),"DESENVOLVIMENTO",IF($O1895&lt;=INDEX(PARAMETROS_CULTURAS!$F$6:$F$28,$P1895)+INDEX(PARAMETROS_CULTURAS!$G$6:$G$28,$P1895)+INDEX(PARAMETROS_CULTURAS!$H$6:$H$28,$P1895),"MEDIA","FINAL"))))</f>
        <v>-</v>
      </c>
      <c r="R1895" s="24" t="n">
        <f aca="false">IF($P1895=0,0,IF($O1895&lt;=INDEX(PARAMETROS_CULTURAS!$F$6:$F$28,$P1895),INDEX(PARAMETROS_CULTURAS!$K$6:$K$28,$P1895),IF($O1895&lt;=INDEX(PARAMETROS_CULTURAS!$F$6:$F$28,$P1895)+INDEX(PARAMETROS_CULTURAS!$G$6:$G$28,$P1895),INDEX(PARAMETROS_CULTURAS!$K$6:$K$28,$P1895)+(INDEX(PARAMETROS_CULTURAS!$L$6:$L$28,$P1895)-INDEX(PARAMETROS_CULTURAS!$K$6:$K$28,$P1895))*($O1895-INDEX(PARAMETROS_CULTURAS!$F$6:$F$28,$P1895))/MAX(INDEX(PARAMETROS_CULTURAS!$G$6:$G$28,$P1895),0.0001),IF($O1895&lt;=INDEX(PARAMETROS_CULTURAS!$F$6:$F$28,$P1895)+INDEX(PARAMETROS_CULTURAS!$G$6:$G$28,$P1895)+INDEX(PARAMETROS_CULTURAS!$H$6:$H$28,$P1895),INDEX(PARAMETROS_CULTURAS!$L$6:$L$28,$P1895),INDEX(PARAMETROS_CULTURAS!$L$6:$L$28,$P1895)+(INDEX(PARAMETROS_CULTURAS!$M$6:$M$28,$P1895)-INDEX(PARAMETROS_CULTURAS!$L$6:$L$28,$P1895))*($O1895-INDEX(PARAMETROS_CULTURAS!$F$6:$F$28,$P1895)-INDEX(PARAMETROS_CULTURAS!$G$6:$G$28,$P1895)-INDEX(PARAMETROS_CULTURAS!$H$6:$H$28,$P1895))/MAX(INDEX(PARAMETROS_CULTURAS!$I$6:$I$28,$P1895),0.0001)))))</f>
        <v>0</v>
      </c>
      <c r="S1895" s="18" t="n">
        <f aca="false">IFERROR(INDEX(SEMANAS!$H$6:$H$71,MATCH($B1895,SEMANAS!$B$6:$B$71,0)),0)</f>
        <v>28</v>
      </c>
      <c r="T1895" s="18" t="n">
        <f aca="false">$R1895*$S1895</f>
        <v>0</v>
      </c>
      <c r="U1895" s="18" t="n">
        <f aca="false">IFERROR(INDEX(SEMANAS!$I$6:$I$71,MATCH($B1895,SEMANAS!$B$6:$B$71,0)),0)</f>
        <v>1.19</v>
      </c>
      <c r="V1895" s="18" t="n">
        <f aca="false">IFERROR(INDEX(SEMANAS!$J$6:$J$71,MATCH($B1895,SEMANAS!$B$6:$B$71,0)),0)</f>
        <v>0.952</v>
      </c>
      <c r="W1895" s="18" t="n">
        <f aca="false">MAX(0,$T1895-$V1895)</f>
        <v>0</v>
      </c>
      <c r="X1895" s="19" t="n">
        <f aca="false">IFERROR(INDEX(CADASTRO_PIVOS!$K$6:$K$41,MATCH($E1895,CADASTRO_PIVOS!$B$6:$B$41,0)),EFICIENCIA_PADRAO)</f>
        <v>0.85</v>
      </c>
      <c r="Y1895" s="18" t="n">
        <f aca="false">IF($X1895&lt;=0,0,$W1895/$X1895)</f>
        <v>0</v>
      </c>
      <c r="Z1895" s="16" t="n">
        <f aca="false">$Y1895*$H1895*MM_PARA_M3_HA</f>
        <v>0</v>
      </c>
      <c r="AA1895" s="18" t="n">
        <f aca="false">IFERROR(INDEX(CADASTRO_PIVOS!$I$6:$I$41,MATCH($E1895,CADASTRO_PIVOS!$B$6:$B$41,0)),0)</f>
        <v>710.571428571429</v>
      </c>
      <c r="AB1895" s="18" t="n">
        <f aca="false">IF($Z1895&lt;=0,0,$Z1895/$AA1895)</f>
        <v>0</v>
      </c>
      <c r="AC1895" s="16" t="n">
        <f aca="false">IFERROR(INDEX(SEMANAS!$K$6:$K$71,MATCH($B1895,SEMANAS!$B$6:$B$71,0)),0)</f>
        <v>147</v>
      </c>
      <c r="AD1895" s="19" t="n">
        <f aca="false">IF($AC1895&lt;=0,0,$AB1895/$AC1895)</f>
        <v>0</v>
      </c>
      <c r="AE1895" s="8" t="str">
        <f aca="false">IF($K1895="SEM CULTURA","SEM CULTURA",IF($AA1895&lt;=0,"DADO PENDENTE",IF($AD1895&gt;LIMITE_CRITICO,"INVIAVEL",IF($AD1895&gt;LIMITE_ATENCAO,"CRITICO",IF($AD1895&gt;LIMITE_CONFORTAVEL,"ATENCAO","OK")))))</f>
        <v>SEM CULTURA</v>
      </c>
      <c r="AF1895" s="8" t="str">
        <f aca="false">$B1895&amp;"|"&amp;TEXT($AD1895,"0.000000")</f>
        <v>42|0.000000</v>
      </c>
      <c r="AG1895" s="18" t="n">
        <f aca="false">IF($K1895="SEM CULTURA",0,$T1895*$H1895)</f>
        <v>0</v>
      </c>
      <c r="AH1895" s="18" t="n">
        <f aca="false">IF($K1895="SEM CULTURA",0,$V1895*$H1895)</f>
        <v>0</v>
      </c>
      <c r="AI1895" s="18" t="n">
        <f aca="false">IF($K1895="SEM CULTURA",0,$W1895*$H1895)</f>
        <v>0</v>
      </c>
      <c r="AJ1895" s="18" t="n">
        <f aca="false">IF($K1895="SEM CULTURA",0,$S1895*$H1895)</f>
        <v>0</v>
      </c>
      <c r="AK1895" s="8" t="str">
        <f aca="false">$E1895&amp;"|"&amp;TEXT($AD1895,"0.000000")</f>
        <v>PV 125|0.000000</v>
      </c>
    </row>
    <row r="1896" customFormat="false" ht="15" hidden="false" customHeight="false" outlineLevel="0" collapsed="false">
      <c r="B1896" s="16" t="n">
        <v>43</v>
      </c>
      <c r="C1896" s="17" t="n">
        <f aca="false">DATA_INICIO_SAFRA+($B1896-1)*DIAS_POR_SEMANA</f>
        <v>46559</v>
      </c>
      <c r="D1896" s="17" t="n">
        <f aca="false">$C1896+DIAS_POR_SEMANA-1</f>
        <v>46565</v>
      </c>
      <c r="E1896" s="15" t="s">
        <v>287</v>
      </c>
      <c r="F1896" s="8" t="str">
        <f aca="false">IFERROR(INDEX(CADASTRO_PIVOS!$C$6:$C$41,MATCH($E1896,CADASTRO_PIVOS!$B$6:$B$41,0)),"?")</f>
        <v>RM07</v>
      </c>
      <c r="G1896" s="8" t="str">
        <f aca="false">IFERROR(INDEX(CADASTRO_PIVOS!$D$6:$D$41,MATCH($E1896,CADASTRO_PIVOS!$B$6:$B$41,0)),"?")</f>
        <v>TR07</v>
      </c>
      <c r="H1896" s="20" t="n">
        <f aca="false">IFERROR(INDEX(CADASTRO_PIVOS!$E$6:$E$41,MATCH($E1896,CADASTRO_PIVOS!$B$6:$B$41,0)),0)</f>
        <v>99.48</v>
      </c>
      <c r="I1896" s="16" t="n">
        <f aca="false">IFERROR(SUMIFS(ROTACAO_RDM!$B$6:$B$71,ROTACAO_RDM!$D$6:$D$71,$E1896,ROTACAO_RDM!$I$6:$I$71,"&lt;="&amp;$C1896+INT(DIAS_POR_SEMANA/2),ROTACAO_RDM!$J$6:$J$71,"&gt;="&amp;$C1896+INT(DIAS_POR_SEMANA/2)),0)</f>
        <v>48</v>
      </c>
      <c r="J1896" s="16" t="n">
        <f aca="false">IFERROR(MATCH($I1896,ROTACAO_RDM!$B$6:$B$71,0),0)</f>
        <v>48</v>
      </c>
      <c r="K1896" s="8" t="str">
        <f aca="false">IF($J1896=0,"SEM CULTURA",INDEX(ROTACAO_RDM!$F$6:$F$71,$J1896))</f>
        <v>MILHO_SEMENTE</v>
      </c>
      <c r="L1896" s="8" t="n">
        <f aca="false">IF($J1896=0,"",INDEX(ROTACAO_RDM!$G$6:$G$71,$J1896))</f>
        <v>0</v>
      </c>
      <c r="M1896" s="17" t="n">
        <f aca="false">IF($J1896=0,"",INDEX(ROTACAO_RDM!$I$6:$I$71,$J1896))</f>
        <v>46562</v>
      </c>
      <c r="N1896" s="16" t="n">
        <f aca="false">IF($J1896=0,0,MAX(0,$C1896+INT(DIAS_POR_SEMANA/2)-INDEX(ROTACAO_RDM!$I$6:$I$71,$J1896)))</f>
        <v>0</v>
      </c>
      <c r="O1896" s="19" t="n">
        <f aca="false">IF($J1896=0,0,MIN(1,$N1896/MAX(1,INDEX(ROTACAO_RDM!$K$6:$K$71,$J1896))))</f>
        <v>0</v>
      </c>
      <c r="P1896" s="16" t="n">
        <f aca="false">IF($J1896=0,0,IFERROR(MATCH(INDEX(ROTACAO_RDM!$N$6:$N$71,$J1896),PARAMETROS_CULTURAS!$B$6:$B$28,0),0))</f>
        <v>7</v>
      </c>
      <c r="Q1896" s="8" t="str">
        <f aca="false">IF($P1896=0,"-",IF($O1896&lt;=INDEX(PARAMETROS_CULTURAS!$F$6:$F$28,$P1896),"INICIAL",IF($O1896&lt;=INDEX(PARAMETROS_CULTURAS!$F$6:$F$28,$P1896)+INDEX(PARAMETROS_CULTURAS!$G$6:$G$28,$P1896),"DESENVOLVIMENTO",IF($O1896&lt;=INDEX(PARAMETROS_CULTURAS!$F$6:$F$28,$P1896)+INDEX(PARAMETROS_CULTURAS!$G$6:$G$28,$P1896)+INDEX(PARAMETROS_CULTURAS!$H$6:$H$28,$P1896),"MEDIA","FINAL"))))</f>
        <v>INICIAL</v>
      </c>
      <c r="R1896" s="24" t="n">
        <f aca="false">IF($P1896=0,0,IF($O1896&lt;=INDEX(PARAMETROS_CULTURAS!$F$6:$F$28,$P1896),INDEX(PARAMETROS_CULTURAS!$K$6:$K$28,$P1896),IF($O1896&lt;=INDEX(PARAMETROS_CULTURAS!$F$6:$F$28,$P1896)+INDEX(PARAMETROS_CULTURAS!$G$6:$G$28,$P1896),INDEX(PARAMETROS_CULTURAS!$K$6:$K$28,$P1896)+(INDEX(PARAMETROS_CULTURAS!$L$6:$L$28,$P1896)-INDEX(PARAMETROS_CULTURAS!$K$6:$K$28,$P1896))*($O1896-INDEX(PARAMETROS_CULTURAS!$F$6:$F$28,$P1896))/MAX(INDEX(PARAMETROS_CULTURAS!$G$6:$G$28,$P1896),0.0001),IF($O1896&lt;=INDEX(PARAMETROS_CULTURAS!$F$6:$F$28,$P1896)+INDEX(PARAMETROS_CULTURAS!$G$6:$G$28,$P1896)+INDEX(PARAMETROS_CULTURAS!$H$6:$H$28,$P1896),INDEX(PARAMETROS_CULTURAS!$L$6:$L$28,$P1896),INDEX(PARAMETROS_CULTURAS!$L$6:$L$28,$P1896)+(INDEX(PARAMETROS_CULTURAS!$M$6:$M$28,$P1896)-INDEX(PARAMETROS_CULTURAS!$L$6:$L$28,$P1896))*($O1896-INDEX(PARAMETROS_CULTURAS!$F$6:$F$28,$P1896)-INDEX(PARAMETROS_CULTURAS!$G$6:$G$28,$P1896)-INDEX(PARAMETROS_CULTURAS!$H$6:$H$28,$P1896))/MAX(INDEX(PARAMETROS_CULTURAS!$I$6:$I$28,$P1896),0.0001)))))</f>
        <v>0.3</v>
      </c>
      <c r="S1896" s="18" t="n">
        <f aca="false">IFERROR(INDEX(SEMANAS!$H$6:$H$71,MATCH($B1896,SEMANAS!$B$6:$B$71,0)),0)</f>
        <v>28</v>
      </c>
      <c r="T1896" s="18" t="n">
        <f aca="false">$R1896*$S1896</f>
        <v>8.4</v>
      </c>
      <c r="U1896" s="18" t="n">
        <f aca="false">IFERROR(INDEX(SEMANAS!$I$6:$I$71,MATCH($B1896,SEMANAS!$B$6:$B$71,0)),0)</f>
        <v>1.19</v>
      </c>
      <c r="V1896" s="18" t="n">
        <f aca="false">IFERROR(INDEX(SEMANAS!$J$6:$J$71,MATCH($B1896,SEMANAS!$B$6:$B$71,0)),0)</f>
        <v>0.952</v>
      </c>
      <c r="W1896" s="18" t="n">
        <f aca="false">MAX(0,$T1896-$V1896)</f>
        <v>7.448</v>
      </c>
      <c r="X1896" s="19" t="n">
        <f aca="false">IFERROR(INDEX(CADASTRO_PIVOS!$K$6:$K$41,MATCH($E1896,CADASTRO_PIVOS!$B$6:$B$41,0)),EFICIENCIA_PADRAO)</f>
        <v>0.85</v>
      </c>
      <c r="Y1896" s="18" t="n">
        <f aca="false">IF($X1896&lt;=0,0,$W1896/$X1896)</f>
        <v>8.76235294117647</v>
      </c>
      <c r="Z1896" s="16" t="n">
        <f aca="false">$Y1896*$H1896*MM_PARA_M3_HA</f>
        <v>8716.78870588235</v>
      </c>
      <c r="AA1896" s="18" t="n">
        <f aca="false">IFERROR(INDEX(CADASTRO_PIVOS!$I$6:$I$41,MATCH($E1896,CADASTRO_PIVOS!$B$6:$B$41,0)),0)</f>
        <v>710.571428571429</v>
      </c>
      <c r="AB1896" s="18" t="n">
        <f aca="false">IF($Z1896&lt;=0,0,$Z1896/$AA1896)</f>
        <v>12.2672941176471</v>
      </c>
      <c r="AC1896" s="16" t="n">
        <f aca="false">IFERROR(INDEX(SEMANAS!$K$6:$K$71,MATCH($B1896,SEMANAS!$B$6:$B$71,0)),0)</f>
        <v>147</v>
      </c>
      <c r="AD1896" s="19" t="n">
        <f aca="false">IF($AC1896&lt;=0,0,$AB1896/$AC1896)</f>
        <v>0.0834509803921569</v>
      </c>
      <c r="AE1896" s="8" t="str">
        <f aca="false">IF($K1896="SEM CULTURA","SEM CULTURA",IF($AA1896&lt;=0,"DADO PENDENTE",IF($AD1896&gt;LIMITE_CRITICO,"INVIAVEL",IF($AD1896&gt;LIMITE_ATENCAO,"CRITICO",IF($AD1896&gt;LIMITE_CONFORTAVEL,"ATENCAO","OK")))))</f>
        <v>OK</v>
      </c>
      <c r="AF1896" s="8" t="str">
        <f aca="false">$B1896&amp;"|"&amp;TEXT($AD1896,"0.000000")</f>
        <v>43|0.083451</v>
      </c>
      <c r="AG1896" s="18" t="n">
        <f aca="false">IF($K1896="SEM CULTURA",0,$T1896*$H1896)</f>
        <v>835.632</v>
      </c>
      <c r="AH1896" s="18" t="n">
        <f aca="false">IF($K1896="SEM CULTURA",0,$V1896*$H1896)</f>
        <v>94.70496</v>
      </c>
      <c r="AI1896" s="18" t="n">
        <f aca="false">IF($K1896="SEM CULTURA",0,$W1896*$H1896)</f>
        <v>740.92704</v>
      </c>
      <c r="AJ1896" s="18" t="n">
        <f aca="false">IF($K1896="SEM CULTURA",0,$S1896*$H1896)</f>
        <v>2785.44</v>
      </c>
      <c r="AK1896" s="8" t="str">
        <f aca="false">$E1896&amp;"|"&amp;TEXT($AD1896,"0.000000")</f>
        <v>PV 125|0.083451</v>
      </c>
    </row>
    <row r="1897" customFormat="false" ht="15" hidden="false" customHeight="false" outlineLevel="0" collapsed="false">
      <c r="B1897" s="16" t="n">
        <v>44</v>
      </c>
      <c r="C1897" s="17" t="n">
        <f aca="false">DATA_INICIO_SAFRA+($B1897-1)*DIAS_POR_SEMANA</f>
        <v>46566</v>
      </c>
      <c r="D1897" s="17" t="n">
        <f aca="false">$C1897+DIAS_POR_SEMANA-1</f>
        <v>46572</v>
      </c>
      <c r="E1897" s="15" t="s">
        <v>287</v>
      </c>
      <c r="F1897" s="8" t="str">
        <f aca="false">IFERROR(INDEX(CADASTRO_PIVOS!$C$6:$C$41,MATCH($E1897,CADASTRO_PIVOS!$B$6:$B$41,0)),"?")</f>
        <v>RM07</v>
      </c>
      <c r="G1897" s="8" t="str">
        <f aca="false">IFERROR(INDEX(CADASTRO_PIVOS!$D$6:$D$41,MATCH($E1897,CADASTRO_PIVOS!$B$6:$B$41,0)),"?")</f>
        <v>TR07</v>
      </c>
      <c r="H1897" s="20" t="n">
        <f aca="false">IFERROR(INDEX(CADASTRO_PIVOS!$E$6:$E$41,MATCH($E1897,CADASTRO_PIVOS!$B$6:$B$41,0)),0)</f>
        <v>99.48</v>
      </c>
      <c r="I1897" s="16" t="n">
        <f aca="false">IFERROR(SUMIFS(ROTACAO_RDM!$B$6:$B$71,ROTACAO_RDM!$D$6:$D$71,$E1897,ROTACAO_RDM!$I$6:$I$71,"&lt;="&amp;$C1897+INT(DIAS_POR_SEMANA/2),ROTACAO_RDM!$J$6:$J$71,"&gt;="&amp;$C1897+INT(DIAS_POR_SEMANA/2)),0)</f>
        <v>48</v>
      </c>
      <c r="J1897" s="16" t="n">
        <f aca="false">IFERROR(MATCH($I1897,ROTACAO_RDM!$B$6:$B$71,0),0)</f>
        <v>48</v>
      </c>
      <c r="K1897" s="8" t="str">
        <f aca="false">IF($J1897=0,"SEM CULTURA",INDEX(ROTACAO_RDM!$F$6:$F$71,$J1897))</f>
        <v>MILHO_SEMENTE</v>
      </c>
      <c r="L1897" s="8" t="n">
        <f aca="false">IF($J1897=0,"",INDEX(ROTACAO_RDM!$G$6:$G$71,$J1897))</f>
        <v>0</v>
      </c>
      <c r="M1897" s="17" t="n">
        <f aca="false">IF($J1897=0,"",INDEX(ROTACAO_RDM!$I$6:$I$71,$J1897))</f>
        <v>46562</v>
      </c>
      <c r="N1897" s="16" t="n">
        <f aca="false">IF($J1897=0,0,MAX(0,$C1897+INT(DIAS_POR_SEMANA/2)-INDEX(ROTACAO_RDM!$I$6:$I$71,$J1897)))</f>
        <v>7</v>
      </c>
      <c r="O1897" s="19" t="n">
        <f aca="false">IF($J1897=0,0,MIN(1,$N1897/MAX(1,INDEX(ROTACAO_RDM!$K$6:$K$71,$J1897))))</f>
        <v>0.0482758620689655</v>
      </c>
      <c r="P1897" s="16" t="n">
        <f aca="false">IF($J1897=0,0,IFERROR(MATCH(INDEX(ROTACAO_RDM!$N$6:$N$71,$J1897),PARAMETROS_CULTURAS!$B$6:$B$28,0),0))</f>
        <v>7</v>
      </c>
      <c r="Q1897" s="8" t="str">
        <f aca="false">IF($P1897=0,"-",IF($O1897&lt;=INDEX(PARAMETROS_CULTURAS!$F$6:$F$28,$P1897),"INICIAL",IF($O1897&lt;=INDEX(PARAMETROS_CULTURAS!$F$6:$F$28,$P1897)+INDEX(PARAMETROS_CULTURAS!$G$6:$G$28,$P1897),"DESENVOLVIMENTO",IF($O1897&lt;=INDEX(PARAMETROS_CULTURAS!$F$6:$F$28,$P1897)+INDEX(PARAMETROS_CULTURAS!$G$6:$G$28,$P1897)+INDEX(PARAMETROS_CULTURAS!$H$6:$H$28,$P1897),"MEDIA","FINAL"))))</f>
        <v>INICIAL</v>
      </c>
      <c r="R1897" s="24" t="n">
        <f aca="false">IF($P1897=0,0,IF($O1897&lt;=INDEX(PARAMETROS_CULTURAS!$F$6:$F$28,$P1897),INDEX(PARAMETROS_CULTURAS!$K$6:$K$28,$P1897),IF($O1897&lt;=INDEX(PARAMETROS_CULTURAS!$F$6:$F$28,$P1897)+INDEX(PARAMETROS_CULTURAS!$G$6:$G$28,$P1897),INDEX(PARAMETROS_CULTURAS!$K$6:$K$28,$P1897)+(INDEX(PARAMETROS_CULTURAS!$L$6:$L$28,$P1897)-INDEX(PARAMETROS_CULTURAS!$K$6:$K$28,$P1897))*($O1897-INDEX(PARAMETROS_CULTURAS!$F$6:$F$28,$P1897))/MAX(INDEX(PARAMETROS_CULTURAS!$G$6:$G$28,$P1897),0.0001),IF($O1897&lt;=INDEX(PARAMETROS_CULTURAS!$F$6:$F$28,$P1897)+INDEX(PARAMETROS_CULTURAS!$G$6:$G$28,$P1897)+INDEX(PARAMETROS_CULTURAS!$H$6:$H$28,$P1897),INDEX(PARAMETROS_CULTURAS!$L$6:$L$28,$P1897),INDEX(PARAMETROS_CULTURAS!$L$6:$L$28,$P1897)+(INDEX(PARAMETROS_CULTURAS!$M$6:$M$28,$P1897)-INDEX(PARAMETROS_CULTURAS!$L$6:$L$28,$P1897))*($O1897-INDEX(PARAMETROS_CULTURAS!$F$6:$F$28,$P1897)-INDEX(PARAMETROS_CULTURAS!$G$6:$G$28,$P1897)-INDEX(PARAMETROS_CULTURAS!$H$6:$H$28,$P1897))/MAX(INDEX(PARAMETROS_CULTURAS!$I$6:$I$28,$P1897),0.0001)))))</f>
        <v>0.3</v>
      </c>
      <c r="S1897" s="18" t="n">
        <f aca="false">IFERROR(INDEX(SEMANAS!$H$6:$H$71,MATCH($B1897,SEMANAS!$B$6:$B$71,0)),0)</f>
        <v>29.2</v>
      </c>
      <c r="T1897" s="18" t="n">
        <f aca="false">$R1897*$S1897</f>
        <v>8.76</v>
      </c>
      <c r="U1897" s="18" t="n">
        <f aca="false">IFERROR(INDEX(SEMANAS!$I$6:$I$71,MATCH($B1897,SEMANAS!$B$6:$B$71,0)),0)</f>
        <v>0.91</v>
      </c>
      <c r="V1897" s="18" t="n">
        <f aca="false">IFERROR(INDEX(SEMANAS!$J$6:$J$71,MATCH($B1897,SEMANAS!$B$6:$B$71,0)),0)</f>
        <v>0.728</v>
      </c>
      <c r="W1897" s="18" t="n">
        <f aca="false">MAX(0,$T1897-$V1897)</f>
        <v>8.032</v>
      </c>
      <c r="X1897" s="19" t="n">
        <f aca="false">IFERROR(INDEX(CADASTRO_PIVOS!$K$6:$K$41,MATCH($E1897,CADASTRO_PIVOS!$B$6:$B$41,0)),EFICIENCIA_PADRAO)</f>
        <v>0.85</v>
      </c>
      <c r="Y1897" s="18" t="n">
        <f aca="false">IF($X1897&lt;=0,0,$W1897/$X1897)</f>
        <v>9.44941176470588</v>
      </c>
      <c r="Z1897" s="16" t="n">
        <f aca="false">$Y1897*$H1897*MM_PARA_M3_HA</f>
        <v>9400.27482352941</v>
      </c>
      <c r="AA1897" s="18" t="n">
        <f aca="false">IFERROR(INDEX(CADASTRO_PIVOS!$I$6:$I$41,MATCH($E1897,CADASTRO_PIVOS!$B$6:$B$41,0)),0)</f>
        <v>710.571428571429</v>
      </c>
      <c r="AB1897" s="18" t="n">
        <f aca="false">IF($Z1897&lt;=0,0,$Z1897/$AA1897)</f>
        <v>13.2291764705882</v>
      </c>
      <c r="AC1897" s="16" t="n">
        <f aca="false">IFERROR(INDEX(SEMANAS!$K$6:$K$71,MATCH($B1897,SEMANAS!$B$6:$B$71,0)),0)</f>
        <v>147</v>
      </c>
      <c r="AD1897" s="19" t="n">
        <f aca="false">IF($AC1897&lt;=0,0,$AB1897/$AC1897)</f>
        <v>0.0899943977591037</v>
      </c>
      <c r="AE1897" s="8" t="str">
        <f aca="false">IF($K1897="SEM CULTURA","SEM CULTURA",IF($AA1897&lt;=0,"DADO PENDENTE",IF($AD1897&gt;LIMITE_CRITICO,"INVIAVEL",IF($AD1897&gt;LIMITE_ATENCAO,"CRITICO",IF($AD1897&gt;LIMITE_CONFORTAVEL,"ATENCAO","OK")))))</f>
        <v>OK</v>
      </c>
      <c r="AF1897" s="8" t="str">
        <f aca="false">$B1897&amp;"|"&amp;TEXT($AD1897,"0.000000")</f>
        <v>44|0.089994</v>
      </c>
      <c r="AG1897" s="18" t="n">
        <f aca="false">IF($K1897="SEM CULTURA",0,$T1897*$H1897)</f>
        <v>871.4448</v>
      </c>
      <c r="AH1897" s="18" t="n">
        <f aca="false">IF($K1897="SEM CULTURA",0,$V1897*$H1897)</f>
        <v>72.42144</v>
      </c>
      <c r="AI1897" s="18" t="n">
        <f aca="false">IF($K1897="SEM CULTURA",0,$W1897*$H1897)</f>
        <v>799.02336</v>
      </c>
      <c r="AJ1897" s="18" t="n">
        <f aca="false">IF($K1897="SEM CULTURA",0,$S1897*$H1897)</f>
        <v>2904.816</v>
      </c>
      <c r="AK1897" s="8" t="str">
        <f aca="false">$E1897&amp;"|"&amp;TEXT($AD1897,"0.000000")</f>
        <v>PV 125|0.089994</v>
      </c>
    </row>
    <row r="1898" customFormat="false" ht="15" hidden="false" customHeight="false" outlineLevel="0" collapsed="false">
      <c r="B1898" s="16" t="n">
        <v>45</v>
      </c>
      <c r="C1898" s="17" t="n">
        <f aca="false">DATA_INICIO_SAFRA+($B1898-1)*DIAS_POR_SEMANA</f>
        <v>46573</v>
      </c>
      <c r="D1898" s="17" t="n">
        <f aca="false">$C1898+DIAS_POR_SEMANA-1</f>
        <v>46579</v>
      </c>
      <c r="E1898" s="15" t="s">
        <v>287</v>
      </c>
      <c r="F1898" s="8" t="str">
        <f aca="false">IFERROR(INDEX(CADASTRO_PIVOS!$C$6:$C$41,MATCH($E1898,CADASTRO_PIVOS!$B$6:$B$41,0)),"?")</f>
        <v>RM07</v>
      </c>
      <c r="G1898" s="8" t="str">
        <f aca="false">IFERROR(INDEX(CADASTRO_PIVOS!$D$6:$D$41,MATCH($E1898,CADASTRO_PIVOS!$B$6:$B$41,0)),"?")</f>
        <v>TR07</v>
      </c>
      <c r="H1898" s="20" t="n">
        <f aca="false">IFERROR(INDEX(CADASTRO_PIVOS!$E$6:$E$41,MATCH($E1898,CADASTRO_PIVOS!$B$6:$B$41,0)),0)</f>
        <v>99.48</v>
      </c>
      <c r="I1898" s="16" t="n">
        <f aca="false">IFERROR(SUMIFS(ROTACAO_RDM!$B$6:$B$71,ROTACAO_RDM!$D$6:$D$71,$E1898,ROTACAO_RDM!$I$6:$I$71,"&lt;="&amp;$C1898+INT(DIAS_POR_SEMANA/2),ROTACAO_RDM!$J$6:$J$71,"&gt;="&amp;$C1898+INT(DIAS_POR_SEMANA/2)),0)</f>
        <v>48</v>
      </c>
      <c r="J1898" s="16" t="n">
        <f aca="false">IFERROR(MATCH($I1898,ROTACAO_RDM!$B$6:$B$71,0),0)</f>
        <v>48</v>
      </c>
      <c r="K1898" s="8" t="str">
        <f aca="false">IF($J1898=0,"SEM CULTURA",INDEX(ROTACAO_RDM!$F$6:$F$71,$J1898))</f>
        <v>MILHO_SEMENTE</v>
      </c>
      <c r="L1898" s="8" t="n">
        <f aca="false">IF($J1898=0,"",INDEX(ROTACAO_RDM!$G$6:$G$71,$J1898))</f>
        <v>0</v>
      </c>
      <c r="M1898" s="17" t="n">
        <f aca="false">IF($J1898=0,"",INDEX(ROTACAO_RDM!$I$6:$I$71,$J1898))</f>
        <v>46562</v>
      </c>
      <c r="N1898" s="16" t="n">
        <f aca="false">IF($J1898=0,0,MAX(0,$C1898+INT(DIAS_POR_SEMANA/2)-INDEX(ROTACAO_RDM!$I$6:$I$71,$J1898)))</f>
        <v>14</v>
      </c>
      <c r="O1898" s="19" t="n">
        <f aca="false">IF($J1898=0,0,MIN(1,$N1898/MAX(1,INDEX(ROTACAO_RDM!$K$6:$K$71,$J1898))))</f>
        <v>0.096551724137931</v>
      </c>
      <c r="P1898" s="16" t="n">
        <f aca="false">IF($J1898=0,0,IFERROR(MATCH(INDEX(ROTACAO_RDM!$N$6:$N$71,$J1898),PARAMETROS_CULTURAS!$B$6:$B$28,0),0))</f>
        <v>7</v>
      </c>
      <c r="Q1898" s="8" t="str">
        <f aca="false">IF($P1898=0,"-",IF($O1898&lt;=INDEX(PARAMETROS_CULTURAS!$F$6:$F$28,$P1898),"INICIAL",IF($O1898&lt;=INDEX(PARAMETROS_CULTURAS!$F$6:$F$28,$P1898)+INDEX(PARAMETROS_CULTURAS!$G$6:$G$28,$P1898),"DESENVOLVIMENTO",IF($O1898&lt;=INDEX(PARAMETROS_CULTURAS!$F$6:$F$28,$P1898)+INDEX(PARAMETROS_CULTURAS!$G$6:$G$28,$P1898)+INDEX(PARAMETROS_CULTURAS!$H$6:$H$28,$P1898),"MEDIA","FINAL"))))</f>
        <v>INICIAL</v>
      </c>
      <c r="R1898" s="24" t="n">
        <f aca="false">IF($P1898=0,0,IF($O1898&lt;=INDEX(PARAMETROS_CULTURAS!$F$6:$F$28,$P1898),INDEX(PARAMETROS_CULTURAS!$K$6:$K$28,$P1898),IF($O1898&lt;=INDEX(PARAMETROS_CULTURAS!$F$6:$F$28,$P1898)+INDEX(PARAMETROS_CULTURAS!$G$6:$G$28,$P1898),INDEX(PARAMETROS_CULTURAS!$K$6:$K$28,$P1898)+(INDEX(PARAMETROS_CULTURAS!$L$6:$L$28,$P1898)-INDEX(PARAMETROS_CULTURAS!$K$6:$K$28,$P1898))*($O1898-INDEX(PARAMETROS_CULTURAS!$F$6:$F$28,$P1898))/MAX(INDEX(PARAMETROS_CULTURAS!$G$6:$G$28,$P1898),0.0001),IF($O1898&lt;=INDEX(PARAMETROS_CULTURAS!$F$6:$F$28,$P1898)+INDEX(PARAMETROS_CULTURAS!$G$6:$G$28,$P1898)+INDEX(PARAMETROS_CULTURAS!$H$6:$H$28,$P1898),INDEX(PARAMETROS_CULTURAS!$L$6:$L$28,$P1898),INDEX(PARAMETROS_CULTURAS!$L$6:$L$28,$P1898)+(INDEX(PARAMETROS_CULTURAS!$M$6:$M$28,$P1898)-INDEX(PARAMETROS_CULTURAS!$L$6:$L$28,$P1898))*($O1898-INDEX(PARAMETROS_CULTURAS!$F$6:$F$28,$P1898)-INDEX(PARAMETROS_CULTURAS!$G$6:$G$28,$P1898)-INDEX(PARAMETROS_CULTURAS!$H$6:$H$28,$P1898))/MAX(INDEX(PARAMETROS_CULTURAS!$I$6:$I$28,$P1898),0.0001)))))</f>
        <v>0.3</v>
      </c>
      <c r="S1898" s="18" t="n">
        <f aca="false">IFERROR(INDEX(SEMANAS!$H$6:$H$71,MATCH($B1898,SEMANAS!$B$6:$B$71,0)),0)</f>
        <v>30.1</v>
      </c>
      <c r="T1898" s="18" t="n">
        <f aca="false">$R1898*$S1898</f>
        <v>9.03</v>
      </c>
      <c r="U1898" s="18" t="n">
        <f aca="false">IFERROR(INDEX(SEMANAS!$I$6:$I$71,MATCH($B1898,SEMANAS!$B$6:$B$71,0)),0)</f>
        <v>0.7</v>
      </c>
      <c r="V1898" s="18" t="n">
        <f aca="false">IFERROR(INDEX(SEMANAS!$J$6:$J$71,MATCH($B1898,SEMANAS!$B$6:$B$71,0)),0)</f>
        <v>0.56</v>
      </c>
      <c r="W1898" s="18" t="n">
        <f aca="false">MAX(0,$T1898-$V1898)</f>
        <v>8.47</v>
      </c>
      <c r="X1898" s="19" t="n">
        <f aca="false">IFERROR(INDEX(CADASTRO_PIVOS!$K$6:$K$41,MATCH($E1898,CADASTRO_PIVOS!$B$6:$B$41,0)),EFICIENCIA_PADRAO)</f>
        <v>0.85</v>
      </c>
      <c r="Y1898" s="18" t="n">
        <f aca="false">IF($X1898&lt;=0,0,$W1898/$X1898)</f>
        <v>9.96470588235294</v>
      </c>
      <c r="Z1898" s="16" t="n">
        <f aca="false">$Y1898*$H1898*MM_PARA_M3_HA</f>
        <v>9912.8894117647</v>
      </c>
      <c r="AA1898" s="18" t="n">
        <f aca="false">IFERROR(INDEX(CADASTRO_PIVOS!$I$6:$I$41,MATCH($E1898,CADASTRO_PIVOS!$B$6:$B$41,0)),0)</f>
        <v>710.571428571429</v>
      </c>
      <c r="AB1898" s="18" t="n">
        <f aca="false">IF($Z1898&lt;=0,0,$Z1898/$AA1898)</f>
        <v>13.9505882352941</v>
      </c>
      <c r="AC1898" s="16" t="n">
        <f aca="false">IFERROR(INDEX(SEMANAS!$K$6:$K$71,MATCH($B1898,SEMANAS!$B$6:$B$71,0)),0)</f>
        <v>147</v>
      </c>
      <c r="AD1898" s="19" t="n">
        <f aca="false">IF($AC1898&lt;=0,0,$AB1898/$AC1898)</f>
        <v>0.0949019607843137</v>
      </c>
      <c r="AE1898" s="8" t="str">
        <f aca="false">IF($K1898="SEM CULTURA","SEM CULTURA",IF($AA1898&lt;=0,"DADO PENDENTE",IF($AD1898&gt;LIMITE_CRITICO,"INVIAVEL",IF($AD1898&gt;LIMITE_ATENCAO,"CRITICO",IF($AD1898&gt;LIMITE_CONFORTAVEL,"ATENCAO","OK")))))</f>
        <v>OK</v>
      </c>
      <c r="AF1898" s="8" t="str">
        <f aca="false">$B1898&amp;"|"&amp;TEXT($AD1898,"0.000000")</f>
        <v>45|0.094902</v>
      </c>
      <c r="AG1898" s="18" t="n">
        <f aca="false">IF($K1898="SEM CULTURA",0,$T1898*$H1898)</f>
        <v>898.3044</v>
      </c>
      <c r="AH1898" s="18" t="n">
        <f aca="false">IF($K1898="SEM CULTURA",0,$V1898*$H1898)</f>
        <v>55.7088</v>
      </c>
      <c r="AI1898" s="18" t="n">
        <f aca="false">IF($K1898="SEM CULTURA",0,$W1898*$H1898)</f>
        <v>842.5956</v>
      </c>
      <c r="AJ1898" s="18" t="n">
        <f aca="false">IF($K1898="SEM CULTURA",0,$S1898*$H1898)</f>
        <v>2994.348</v>
      </c>
      <c r="AK1898" s="8" t="str">
        <f aca="false">$E1898&amp;"|"&amp;TEXT($AD1898,"0.000000")</f>
        <v>PV 125|0.094902</v>
      </c>
    </row>
    <row r="1899" customFormat="false" ht="15" hidden="false" customHeight="false" outlineLevel="0" collapsed="false">
      <c r="B1899" s="16" t="n">
        <v>46</v>
      </c>
      <c r="C1899" s="17" t="n">
        <f aca="false">DATA_INICIO_SAFRA+($B1899-1)*DIAS_POR_SEMANA</f>
        <v>46580</v>
      </c>
      <c r="D1899" s="17" t="n">
        <f aca="false">$C1899+DIAS_POR_SEMANA-1</f>
        <v>46586</v>
      </c>
      <c r="E1899" s="15" t="s">
        <v>287</v>
      </c>
      <c r="F1899" s="8" t="str">
        <f aca="false">IFERROR(INDEX(CADASTRO_PIVOS!$C$6:$C$41,MATCH($E1899,CADASTRO_PIVOS!$B$6:$B$41,0)),"?")</f>
        <v>RM07</v>
      </c>
      <c r="G1899" s="8" t="str">
        <f aca="false">IFERROR(INDEX(CADASTRO_PIVOS!$D$6:$D$41,MATCH($E1899,CADASTRO_PIVOS!$B$6:$B$41,0)),"?")</f>
        <v>TR07</v>
      </c>
      <c r="H1899" s="20" t="n">
        <f aca="false">IFERROR(INDEX(CADASTRO_PIVOS!$E$6:$E$41,MATCH($E1899,CADASTRO_PIVOS!$B$6:$B$41,0)),0)</f>
        <v>99.48</v>
      </c>
      <c r="I1899" s="16" t="n">
        <f aca="false">IFERROR(SUMIFS(ROTACAO_RDM!$B$6:$B$71,ROTACAO_RDM!$D$6:$D$71,$E1899,ROTACAO_RDM!$I$6:$I$71,"&lt;="&amp;$C1899+INT(DIAS_POR_SEMANA/2),ROTACAO_RDM!$J$6:$J$71,"&gt;="&amp;$C1899+INT(DIAS_POR_SEMANA/2)),0)</f>
        <v>48</v>
      </c>
      <c r="J1899" s="16" t="n">
        <f aca="false">IFERROR(MATCH($I1899,ROTACAO_RDM!$B$6:$B$71,0),0)</f>
        <v>48</v>
      </c>
      <c r="K1899" s="8" t="str">
        <f aca="false">IF($J1899=0,"SEM CULTURA",INDEX(ROTACAO_RDM!$F$6:$F$71,$J1899))</f>
        <v>MILHO_SEMENTE</v>
      </c>
      <c r="L1899" s="8" t="n">
        <f aca="false">IF($J1899=0,"",INDEX(ROTACAO_RDM!$G$6:$G$71,$J1899))</f>
        <v>0</v>
      </c>
      <c r="M1899" s="17" t="n">
        <f aca="false">IF($J1899=0,"",INDEX(ROTACAO_RDM!$I$6:$I$71,$J1899))</f>
        <v>46562</v>
      </c>
      <c r="N1899" s="16" t="n">
        <f aca="false">IF($J1899=0,0,MAX(0,$C1899+INT(DIAS_POR_SEMANA/2)-INDEX(ROTACAO_RDM!$I$6:$I$71,$J1899)))</f>
        <v>21</v>
      </c>
      <c r="O1899" s="19" t="n">
        <f aca="false">IF($J1899=0,0,MIN(1,$N1899/MAX(1,INDEX(ROTACAO_RDM!$K$6:$K$71,$J1899))))</f>
        <v>0.144827586206897</v>
      </c>
      <c r="P1899" s="16" t="n">
        <f aca="false">IF($J1899=0,0,IFERROR(MATCH(INDEX(ROTACAO_RDM!$N$6:$N$71,$J1899),PARAMETROS_CULTURAS!$B$6:$B$28,0),0))</f>
        <v>7</v>
      </c>
      <c r="Q1899" s="8" t="str">
        <f aca="false">IF($P1899=0,"-",IF($O1899&lt;=INDEX(PARAMETROS_CULTURAS!$F$6:$F$28,$P1899),"INICIAL",IF($O1899&lt;=INDEX(PARAMETROS_CULTURAS!$F$6:$F$28,$P1899)+INDEX(PARAMETROS_CULTURAS!$G$6:$G$28,$P1899),"DESENVOLVIMENTO",IF($O1899&lt;=INDEX(PARAMETROS_CULTURAS!$F$6:$F$28,$P1899)+INDEX(PARAMETROS_CULTURAS!$G$6:$G$28,$P1899)+INDEX(PARAMETROS_CULTURAS!$H$6:$H$28,$P1899),"MEDIA","FINAL"))))</f>
        <v>INICIAL</v>
      </c>
      <c r="R1899" s="24" t="n">
        <f aca="false">IF($P1899=0,0,IF($O1899&lt;=INDEX(PARAMETROS_CULTURAS!$F$6:$F$28,$P1899),INDEX(PARAMETROS_CULTURAS!$K$6:$K$28,$P1899),IF($O1899&lt;=INDEX(PARAMETROS_CULTURAS!$F$6:$F$28,$P1899)+INDEX(PARAMETROS_CULTURAS!$G$6:$G$28,$P1899),INDEX(PARAMETROS_CULTURAS!$K$6:$K$28,$P1899)+(INDEX(PARAMETROS_CULTURAS!$L$6:$L$28,$P1899)-INDEX(PARAMETROS_CULTURAS!$K$6:$K$28,$P1899))*($O1899-INDEX(PARAMETROS_CULTURAS!$F$6:$F$28,$P1899))/MAX(INDEX(PARAMETROS_CULTURAS!$G$6:$G$28,$P1899),0.0001),IF($O1899&lt;=INDEX(PARAMETROS_CULTURAS!$F$6:$F$28,$P1899)+INDEX(PARAMETROS_CULTURAS!$G$6:$G$28,$P1899)+INDEX(PARAMETROS_CULTURAS!$H$6:$H$28,$P1899),INDEX(PARAMETROS_CULTURAS!$L$6:$L$28,$P1899),INDEX(PARAMETROS_CULTURAS!$L$6:$L$28,$P1899)+(INDEX(PARAMETROS_CULTURAS!$M$6:$M$28,$P1899)-INDEX(PARAMETROS_CULTURAS!$L$6:$L$28,$P1899))*($O1899-INDEX(PARAMETROS_CULTURAS!$F$6:$F$28,$P1899)-INDEX(PARAMETROS_CULTURAS!$G$6:$G$28,$P1899)-INDEX(PARAMETROS_CULTURAS!$H$6:$H$28,$P1899))/MAX(INDEX(PARAMETROS_CULTURAS!$I$6:$I$28,$P1899),0.0001)))))</f>
        <v>0.3</v>
      </c>
      <c r="S1899" s="18" t="n">
        <f aca="false">IFERROR(INDEX(SEMANAS!$H$6:$H$71,MATCH($B1899,SEMANAS!$B$6:$B$71,0)),0)</f>
        <v>30.1</v>
      </c>
      <c r="T1899" s="18" t="n">
        <f aca="false">$R1899*$S1899</f>
        <v>9.03</v>
      </c>
      <c r="U1899" s="18" t="n">
        <f aca="false">IFERROR(INDEX(SEMANAS!$I$6:$I$71,MATCH($B1899,SEMANAS!$B$6:$B$71,0)),0)</f>
        <v>0.7</v>
      </c>
      <c r="V1899" s="18" t="n">
        <f aca="false">IFERROR(INDEX(SEMANAS!$J$6:$J$71,MATCH($B1899,SEMANAS!$B$6:$B$71,0)),0)</f>
        <v>0.56</v>
      </c>
      <c r="W1899" s="18" t="n">
        <f aca="false">MAX(0,$T1899-$V1899)</f>
        <v>8.47</v>
      </c>
      <c r="X1899" s="19" t="n">
        <f aca="false">IFERROR(INDEX(CADASTRO_PIVOS!$K$6:$K$41,MATCH($E1899,CADASTRO_PIVOS!$B$6:$B$41,0)),EFICIENCIA_PADRAO)</f>
        <v>0.85</v>
      </c>
      <c r="Y1899" s="18" t="n">
        <f aca="false">IF($X1899&lt;=0,0,$W1899/$X1899)</f>
        <v>9.96470588235294</v>
      </c>
      <c r="Z1899" s="16" t="n">
        <f aca="false">$Y1899*$H1899*MM_PARA_M3_HA</f>
        <v>9912.8894117647</v>
      </c>
      <c r="AA1899" s="18" t="n">
        <f aca="false">IFERROR(INDEX(CADASTRO_PIVOS!$I$6:$I$41,MATCH($E1899,CADASTRO_PIVOS!$B$6:$B$41,0)),0)</f>
        <v>710.571428571429</v>
      </c>
      <c r="AB1899" s="18" t="n">
        <f aca="false">IF($Z1899&lt;=0,0,$Z1899/$AA1899)</f>
        <v>13.9505882352941</v>
      </c>
      <c r="AC1899" s="16" t="n">
        <f aca="false">IFERROR(INDEX(SEMANAS!$K$6:$K$71,MATCH($B1899,SEMANAS!$B$6:$B$71,0)),0)</f>
        <v>147</v>
      </c>
      <c r="AD1899" s="19" t="n">
        <f aca="false">IF($AC1899&lt;=0,0,$AB1899/$AC1899)</f>
        <v>0.0949019607843137</v>
      </c>
      <c r="AE1899" s="8" t="str">
        <f aca="false">IF($K1899="SEM CULTURA","SEM CULTURA",IF($AA1899&lt;=0,"DADO PENDENTE",IF($AD1899&gt;LIMITE_CRITICO,"INVIAVEL",IF($AD1899&gt;LIMITE_ATENCAO,"CRITICO",IF($AD1899&gt;LIMITE_CONFORTAVEL,"ATENCAO","OK")))))</f>
        <v>OK</v>
      </c>
      <c r="AF1899" s="8" t="str">
        <f aca="false">$B1899&amp;"|"&amp;TEXT($AD1899,"0.000000")</f>
        <v>46|0.094902</v>
      </c>
      <c r="AG1899" s="18" t="n">
        <f aca="false">IF($K1899="SEM CULTURA",0,$T1899*$H1899)</f>
        <v>898.3044</v>
      </c>
      <c r="AH1899" s="18" t="n">
        <f aca="false">IF($K1899="SEM CULTURA",0,$V1899*$H1899)</f>
        <v>55.7088</v>
      </c>
      <c r="AI1899" s="18" t="n">
        <f aca="false">IF($K1899="SEM CULTURA",0,$W1899*$H1899)</f>
        <v>842.5956</v>
      </c>
      <c r="AJ1899" s="18" t="n">
        <f aca="false">IF($K1899="SEM CULTURA",0,$S1899*$H1899)</f>
        <v>2994.348</v>
      </c>
      <c r="AK1899" s="8" t="str">
        <f aca="false">$E1899&amp;"|"&amp;TEXT($AD1899,"0.000000")</f>
        <v>PV 125|0.094902</v>
      </c>
    </row>
    <row r="1900" customFormat="false" ht="15" hidden="false" customHeight="false" outlineLevel="0" collapsed="false">
      <c r="B1900" s="16" t="n">
        <v>47</v>
      </c>
      <c r="C1900" s="17" t="n">
        <f aca="false">DATA_INICIO_SAFRA+($B1900-1)*DIAS_POR_SEMANA</f>
        <v>46587</v>
      </c>
      <c r="D1900" s="17" t="n">
        <f aca="false">$C1900+DIAS_POR_SEMANA-1</f>
        <v>46593</v>
      </c>
      <c r="E1900" s="15" t="s">
        <v>287</v>
      </c>
      <c r="F1900" s="8" t="str">
        <f aca="false">IFERROR(INDEX(CADASTRO_PIVOS!$C$6:$C$41,MATCH($E1900,CADASTRO_PIVOS!$B$6:$B$41,0)),"?")</f>
        <v>RM07</v>
      </c>
      <c r="G1900" s="8" t="str">
        <f aca="false">IFERROR(INDEX(CADASTRO_PIVOS!$D$6:$D$41,MATCH($E1900,CADASTRO_PIVOS!$B$6:$B$41,0)),"?")</f>
        <v>TR07</v>
      </c>
      <c r="H1900" s="20" t="n">
        <f aca="false">IFERROR(INDEX(CADASTRO_PIVOS!$E$6:$E$41,MATCH($E1900,CADASTRO_PIVOS!$B$6:$B$41,0)),0)</f>
        <v>99.48</v>
      </c>
      <c r="I1900" s="16" t="n">
        <f aca="false">IFERROR(SUMIFS(ROTACAO_RDM!$B$6:$B$71,ROTACAO_RDM!$D$6:$D$71,$E1900,ROTACAO_RDM!$I$6:$I$71,"&lt;="&amp;$C1900+INT(DIAS_POR_SEMANA/2),ROTACAO_RDM!$J$6:$J$71,"&gt;="&amp;$C1900+INT(DIAS_POR_SEMANA/2)),0)</f>
        <v>48</v>
      </c>
      <c r="J1900" s="16" t="n">
        <f aca="false">IFERROR(MATCH($I1900,ROTACAO_RDM!$B$6:$B$71,0),0)</f>
        <v>48</v>
      </c>
      <c r="K1900" s="8" t="str">
        <f aca="false">IF($J1900=0,"SEM CULTURA",INDEX(ROTACAO_RDM!$F$6:$F$71,$J1900))</f>
        <v>MILHO_SEMENTE</v>
      </c>
      <c r="L1900" s="8" t="n">
        <f aca="false">IF($J1900=0,"",INDEX(ROTACAO_RDM!$G$6:$G$71,$J1900))</f>
        <v>0</v>
      </c>
      <c r="M1900" s="17" t="n">
        <f aca="false">IF($J1900=0,"",INDEX(ROTACAO_RDM!$I$6:$I$71,$J1900))</f>
        <v>46562</v>
      </c>
      <c r="N1900" s="16" t="n">
        <f aca="false">IF($J1900=0,0,MAX(0,$C1900+INT(DIAS_POR_SEMANA/2)-INDEX(ROTACAO_RDM!$I$6:$I$71,$J1900)))</f>
        <v>28</v>
      </c>
      <c r="O1900" s="19" t="n">
        <f aca="false">IF($J1900=0,0,MIN(1,$N1900/MAX(1,INDEX(ROTACAO_RDM!$K$6:$K$71,$J1900))))</f>
        <v>0.193103448275862</v>
      </c>
      <c r="P1900" s="16" t="n">
        <f aca="false">IF($J1900=0,0,IFERROR(MATCH(INDEX(ROTACAO_RDM!$N$6:$N$71,$J1900),PARAMETROS_CULTURAS!$B$6:$B$28,0),0))</f>
        <v>7</v>
      </c>
      <c r="Q1900" s="8" t="str">
        <f aca="false">IF($P1900=0,"-",IF($O1900&lt;=INDEX(PARAMETROS_CULTURAS!$F$6:$F$28,$P1900),"INICIAL",IF($O1900&lt;=INDEX(PARAMETROS_CULTURAS!$F$6:$F$28,$P1900)+INDEX(PARAMETROS_CULTURAS!$G$6:$G$28,$P1900),"DESENVOLVIMENTO",IF($O1900&lt;=INDEX(PARAMETROS_CULTURAS!$F$6:$F$28,$P1900)+INDEX(PARAMETROS_CULTURAS!$G$6:$G$28,$P1900)+INDEX(PARAMETROS_CULTURAS!$H$6:$H$28,$P1900),"MEDIA","FINAL"))))</f>
        <v>DESENVOLVIMENTO</v>
      </c>
      <c r="R1900" s="24" t="n">
        <f aca="false">IF($P1900=0,0,IF($O1900&lt;=INDEX(PARAMETROS_CULTURAS!$F$6:$F$28,$P1900),INDEX(PARAMETROS_CULTURAS!$K$6:$K$28,$P1900),IF($O1900&lt;=INDEX(PARAMETROS_CULTURAS!$F$6:$F$28,$P1900)+INDEX(PARAMETROS_CULTURAS!$G$6:$G$28,$P1900),INDEX(PARAMETROS_CULTURAS!$K$6:$K$28,$P1900)+(INDEX(PARAMETROS_CULTURAS!$L$6:$L$28,$P1900)-INDEX(PARAMETROS_CULTURAS!$K$6:$K$28,$P1900))*($O1900-INDEX(PARAMETROS_CULTURAS!$F$6:$F$28,$P1900))/MAX(INDEX(PARAMETROS_CULTURAS!$G$6:$G$28,$P1900),0.0001),IF($O1900&lt;=INDEX(PARAMETROS_CULTURAS!$F$6:$F$28,$P1900)+INDEX(PARAMETROS_CULTURAS!$G$6:$G$28,$P1900)+INDEX(PARAMETROS_CULTURAS!$H$6:$H$28,$P1900),INDEX(PARAMETROS_CULTURAS!$L$6:$L$28,$P1900),INDEX(PARAMETROS_CULTURAS!$L$6:$L$28,$P1900)+(INDEX(PARAMETROS_CULTURAS!$M$6:$M$28,$P1900)-INDEX(PARAMETROS_CULTURAS!$L$6:$L$28,$P1900))*($O1900-INDEX(PARAMETROS_CULTURAS!$F$6:$F$28,$P1900)-INDEX(PARAMETROS_CULTURAS!$G$6:$G$28,$P1900)-INDEX(PARAMETROS_CULTURAS!$H$6:$H$28,$P1900))/MAX(INDEX(PARAMETROS_CULTURAS!$I$6:$I$28,$P1900),0.0001)))))</f>
        <v>0.310551724137931</v>
      </c>
      <c r="S1900" s="18" t="n">
        <f aca="false">IFERROR(INDEX(SEMANAS!$H$6:$H$71,MATCH($B1900,SEMANAS!$B$6:$B$71,0)),0)</f>
        <v>30.1</v>
      </c>
      <c r="T1900" s="18" t="n">
        <f aca="false">$R1900*$S1900</f>
        <v>9.34760689655172</v>
      </c>
      <c r="U1900" s="18" t="n">
        <f aca="false">IFERROR(INDEX(SEMANAS!$I$6:$I$71,MATCH($B1900,SEMANAS!$B$6:$B$71,0)),0)</f>
        <v>0.7</v>
      </c>
      <c r="V1900" s="18" t="n">
        <f aca="false">IFERROR(INDEX(SEMANAS!$J$6:$J$71,MATCH($B1900,SEMANAS!$B$6:$B$71,0)),0)</f>
        <v>0.56</v>
      </c>
      <c r="W1900" s="18" t="n">
        <f aca="false">MAX(0,$T1900-$V1900)</f>
        <v>8.78760689655172</v>
      </c>
      <c r="X1900" s="19" t="n">
        <f aca="false">IFERROR(INDEX(CADASTRO_PIVOS!$K$6:$K$41,MATCH($E1900,CADASTRO_PIVOS!$B$6:$B$41,0)),EFICIENCIA_PADRAO)</f>
        <v>0.85</v>
      </c>
      <c r="Y1900" s="18" t="n">
        <f aca="false">IF($X1900&lt;=0,0,$W1900/$X1900)</f>
        <v>10.3383610547667</v>
      </c>
      <c r="Z1900" s="16" t="n">
        <f aca="false">$Y1900*$H1900*MM_PARA_M3_HA</f>
        <v>10284.6015772819</v>
      </c>
      <c r="AA1900" s="18" t="n">
        <f aca="false">IFERROR(INDEX(CADASTRO_PIVOS!$I$6:$I$41,MATCH($E1900,CADASTRO_PIVOS!$B$6:$B$41,0)),0)</f>
        <v>710.571428571429</v>
      </c>
      <c r="AB1900" s="18" t="n">
        <f aca="false">IF($Z1900&lt;=0,0,$Z1900/$AA1900)</f>
        <v>14.4737054766734</v>
      </c>
      <c r="AC1900" s="16" t="n">
        <f aca="false">IFERROR(INDEX(SEMANAS!$K$6:$K$71,MATCH($B1900,SEMANAS!$B$6:$B$71,0)),0)</f>
        <v>147</v>
      </c>
      <c r="AD1900" s="19" t="n">
        <f aca="false">IF($AC1900&lt;=0,0,$AB1900/$AC1900)</f>
        <v>0.0984605814739689</v>
      </c>
      <c r="AE1900" s="8" t="str">
        <f aca="false">IF($K1900="SEM CULTURA","SEM CULTURA",IF($AA1900&lt;=0,"DADO PENDENTE",IF($AD1900&gt;LIMITE_CRITICO,"INVIAVEL",IF($AD1900&gt;LIMITE_ATENCAO,"CRITICO",IF($AD1900&gt;LIMITE_CONFORTAVEL,"ATENCAO","OK")))))</f>
        <v>OK</v>
      </c>
      <c r="AF1900" s="8" t="str">
        <f aca="false">$B1900&amp;"|"&amp;TEXT($AD1900,"0.000000")</f>
        <v>47|0.098461</v>
      </c>
      <c r="AG1900" s="18" t="n">
        <f aca="false">IF($K1900="SEM CULTURA",0,$T1900*$H1900)</f>
        <v>929.899934068965</v>
      </c>
      <c r="AH1900" s="18" t="n">
        <f aca="false">IF($K1900="SEM CULTURA",0,$V1900*$H1900)</f>
        <v>55.7088</v>
      </c>
      <c r="AI1900" s="18" t="n">
        <f aca="false">IF($K1900="SEM CULTURA",0,$W1900*$H1900)</f>
        <v>874.191134068965</v>
      </c>
      <c r="AJ1900" s="18" t="n">
        <f aca="false">IF($K1900="SEM CULTURA",0,$S1900*$H1900)</f>
        <v>2994.348</v>
      </c>
      <c r="AK1900" s="8" t="str">
        <f aca="false">$E1900&amp;"|"&amp;TEXT($AD1900,"0.000000")</f>
        <v>PV 125|0.098461</v>
      </c>
    </row>
    <row r="1901" customFormat="false" ht="15" hidden="false" customHeight="false" outlineLevel="0" collapsed="false">
      <c r="B1901" s="16" t="n">
        <v>48</v>
      </c>
      <c r="C1901" s="17" t="n">
        <f aca="false">DATA_INICIO_SAFRA+($B1901-1)*DIAS_POR_SEMANA</f>
        <v>46594</v>
      </c>
      <c r="D1901" s="17" t="n">
        <f aca="false">$C1901+DIAS_POR_SEMANA-1</f>
        <v>46600</v>
      </c>
      <c r="E1901" s="15" t="s">
        <v>287</v>
      </c>
      <c r="F1901" s="8" t="str">
        <f aca="false">IFERROR(INDEX(CADASTRO_PIVOS!$C$6:$C$41,MATCH($E1901,CADASTRO_PIVOS!$B$6:$B$41,0)),"?")</f>
        <v>RM07</v>
      </c>
      <c r="G1901" s="8" t="str">
        <f aca="false">IFERROR(INDEX(CADASTRO_PIVOS!$D$6:$D$41,MATCH($E1901,CADASTRO_PIVOS!$B$6:$B$41,0)),"?")</f>
        <v>TR07</v>
      </c>
      <c r="H1901" s="20" t="n">
        <f aca="false">IFERROR(INDEX(CADASTRO_PIVOS!$E$6:$E$41,MATCH($E1901,CADASTRO_PIVOS!$B$6:$B$41,0)),0)</f>
        <v>99.48</v>
      </c>
      <c r="I1901" s="16" t="n">
        <f aca="false">IFERROR(SUMIFS(ROTACAO_RDM!$B$6:$B$71,ROTACAO_RDM!$D$6:$D$71,$E1901,ROTACAO_RDM!$I$6:$I$71,"&lt;="&amp;$C1901+INT(DIAS_POR_SEMANA/2),ROTACAO_RDM!$J$6:$J$71,"&gt;="&amp;$C1901+INT(DIAS_POR_SEMANA/2)),0)</f>
        <v>48</v>
      </c>
      <c r="J1901" s="16" t="n">
        <f aca="false">IFERROR(MATCH($I1901,ROTACAO_RDM!$B$6:$B$71,0),0)</f>
        <v>48</v>
      </c>
      <c r="K1901" s="8" t="str">
        <f aca="false">IF($J1901=0,"SEM CULTURA",INDEX(ROTACAO_RDM!$F$6:$F$71,$J1901))</f>
        <v>MILHO_SEMENTE</v>
      </c>
      <c r="L1901" s="8" t="n">
        <f aca="false">IF($J1901=0,"",INDEX(ROTACAO_RDM!$G$6:$G$71,$J1901))</f>
        <v>0</v>
      </c>
      <c r="M1901" s="17" t="n">
        <f aca="false">IF($J1901=0,"",INDEX(ROTACAO_RDM!$I$6:$I$71,$J1901))</f>
        <v>46562</v>
      </c>
      <c r="N1901" s="16" t="n">
        <f aca="false">IF($J1901=0,0,MAX(0,$C1901+INT(DIAS_POR_SEMANA/2)-INDEX(ROTACAO_RDM!$I$6:$I$71,$J1901)))</f>
        <v>35</v>
      </c>
      <c r="O1901" s="19" t="n">
        <f aca="false">IF($J1901=0,0,MIN(1,$N1901/MAX(1,INDEX(ROTACAO_RDM!$K$6:$K$71,$J1901))))</f>
        <v>0.241379310344828</v>
      </c>
      <c r="P1901" s="16" t="n">
        <f aca="false">IF($J1901=0,0,IFERROR(MATCH(INDEX(ROTACAO_RDM!$N$6:$N$71,$J1901),PARAMETROS_CULTURAS!$B$6:$B$28,0),0))</f>
        <v>7</v>
      </c>
      <c r="Q1901" s="8" t="str">
        <f aca="false">IF($P1901=0,"-",IF($O1901&lt;=INDEX(PARAMETROS_CULTURAS!$F$6:$F$28,$P1901),"INICIAL",IF($O1901&lt;=INDEX(PARAMETROS_CULTURAS!$F$6:$F$28,$P1901)+INDEX(PARAMETROS_CULTURAS!$G$6:$G$28,$P1901),"DESENVOLVIMENTO",IF($O1901&lt;=INDEX(PARAMETROS_CULTURAS!$F$6:$F$28,$P1901)+INDEX(PARAMETROS_CULTURAS!$G$6:$G$28,$P1901)+INDEX(PARAMETROS_CULTURAS!$H$6:$H$28,$P1901),"MEDIA","FINAL"))))</f>
        <v>DESENVOLVIMENTO</v>
      </c>
      <c r="R1901" s="24" t="n">
        <f aca="false">IF($P1901=0,0,IF($O1901&lt;=INDEX(PARAMETROS_CULTURAS!$F$6:$F$28,$P1901),INDEX(PARAMETROS_CULTURAS!$K$6:$K$28,$P1901),IF($O1901&lt;=INDEX(PARAMETROS_CULTURAS!$F$6:$F$28,$P1901)+INDEX(PARAMETROS_CULTURAS!$G$6:$G$28,$P1901),INDEX(PARAMETROS_CULTURAS!$K$6:$K$28,$P1901)+(INDEX(PARAMETROS_CULTURAS!$L$6:$L$28,$P1901)-INDEX(PARAMETROS_CULTURAS!$K$6:$K$28,$P1901))*($O1901-INDEX(PARAMETROS_CULTURAS!$F$6:$F$28,$P1901))/MAX(INDEX(PARAMETROS_CULTURAS!$G$6:$G$28,$P1901),0.0001),IF($O1901&lt;=INDEX(PARAMETROS_CULTURAS!$F$6:$F$28,$P1901)+INDEX(PARAMETROS_CULTURAS!$G$6:$G$28,$P1901)+INDEX(PARAMETROS_CULTURAS!$H$6:$H$28,$P1901),INDEX(PARAMETROS_CULTURAS!$L$6:$L$28,$P1901),INDEX(PARAMETROS_CULTURAS!$L$6:$L$28,$P1901)+(INDEX(PARAMETROS_CULTURAS!$M$6:$M$28,$P1901)-INDEX(PARAMETROS_CULTURAS!$L$6:$L$28,$P1901))*($O1901-INDEX(PARAMETROS_CULTURAS!$F$6:$F$28,$P1901)-INDEX(PARAMETROS_CULTURAS!$G$6:$G$28,$P1901)-INDEX(PARAMETROS_CULTURAS!$H$6:$H$28,$P1901))/MAX(INDEX(PARAMETROS_CULTURAS!$I$6:$I$28,$P1901),0.0001)))))</f>
        <v>0.474689655172414</v>
      </c>
      <c r="S1901" s="18" t="n">
        <f aca="false">IFERROR(INDEX(SEMANAS!$H$6:$H$71,MATCH($B1901,SEMANAS!$B$6:$B$71,0)),0)</f>
        <v>31</v>
      </c>
      <c r="T1901" s="18" t="n">
        <f aca="false">$R1901*$S1901</f>
        <v>14.7153793103448</v>
      </c>
      <c r="U1901" s="18" t="n">
        <f aca="false">IFERROR(INDEX(SEMANAS!$I$6:$I$71,MATCH($B1901,SEMANAS!$B$6:$B$71,0)),0)</f>
        <v>0.76</v>
      </c>
      <c r="V1901" s="18" t="n">
        <f aca="false">IFERROR(INDEX(SEMANAS!$J$6:$J$71,MATCH($B1901,SEMANAS!$B$6:$B$71,0)),0)</f>
        <v>0.608</v>
      </c>
      <c r="W1901" s="18" t="n">
        <f aca="false">MAX(0,$T1901-$V1901)</f>
        <v>14.1073793103448</v>
      </c>
      <c r="X1901" s="19" t="n">
        <f aca="false">IFERROR(INDEX(CADASTRO_PIVOS!$K$6:$K$41,MATCH($E1901,CADASTRO_PIVOS!$B$6:$B$41,0)),EFICIENCIA_PADRAO)</f>
        <v>0.85</v>
      </c>
      <c r="Y1901" s="18" t="n">
        <f aca="false">IF($X1901&lt;=0,0,$W1901/$X1901)</f>
        <v>16.5969168356998</v>
      </c>
      <c r="Z1901" s="16" t="n">
        <f aca="false">$Y1901*$H1901*MM_PARA_M3_HA</f>
        <v>16510.6128681542</v>
      </c>
      <c r="AA1901" s="18" t="n">
        <f aca="false">IFERROR(INDEX(CADASTRO_PIVOS!$I$6:$I$41,MATCH($E1901,CADASTRO_PIVOS!$B$6:$B$41,0)),0)</f>
        <v>710.571428571429</v>
      </c>
      <c r="AB1901" s="18" t="n">
        <f aca="false">IF($Z1901&lt;=0,0,$Z1901/$AA1901)</f>
        <v>23.2356835699797</v>
      </c>
      <c r="AC1901" s="16" t="n">
        <f aca="false">IFERROR(INDEX(SEMANAS!$K$6:$K$71,MATCH($B1901,SEMANAS!$B$6:$B$71,0)),0)</f>
        <v>147</v>
      </c>
      <c r="AD1901" s="19" t="n">
        <f aca="false">IF($AC1901&lt;=0,0,$AB1901/$AC1901)</f>
        <v>0.158065874625712</v>
      </c>
      <c r="AE1901" s="8" t="str">
        <f aca="false">IF($K1901="SEM CULTURA","SEM CULTURA",IF($AA1901&lt;=0,"DADO PENDENTE",IF($AD1901&gt;LIMITE_CRITICO,"INVIAVEL",IF($AD1901&gt;LIMITE_ATENCAO,"CRITICO",IF($AD1901&gt;LIMITE_CONFORTAVEL,"ATENCAO","OK")))))</f>
        <v>OK</v>
      </c>
      <c r="AF1901" s="8" t="str">
        <f aca="false">$B1901&amp;"|"&amp;TEXT($AD1901,"0.000000")</f>
        <v>48|0.158066</v>
      </c>
      <c r="AG1901" s="18" t="n">
        <f aca="false">IF($K1901="SEM CULTURA",0,$T1901*$H1901)</f>
        <v>1463.8859337931</v>
      </c>
      <c r="AH1901" s="18" t="n">
        <f aca="false">IF($K1901="SEM CULTURA",0,$V1901*$H1901)</f>
        <v>60.48384</v>
      </c>
      <c r="AI1901" s="18" t="n">
        <f aca="false">IF($K1901="SEM CULTURA",0,$W1901*$H1901)</f>
        <v>1403.4020937931</v>
      </c>
      <c r="AJ1901" s="18" t="n">
        <f aca="false">IF($K1901="SEM CULTURA",0,$S1901*$H1901)</f>
        <v>3083.88</v>
      </c>
      <c r="AK1901" s="8" t="str">
        <f aca="false">$E1901&amp;"|"&amp;TEXT($AD1901,"0.000000")</f>
        <v>PV 125|0.158066</v>
      </c>
    </row>
    <row r="1902" customFormat="false" ht="15" hidden="false" customHeight="false" outlineLevel="0" collapsed="false">
      <c r="B1902" s="16" t="n">
        <v>49</v>
      </c>
      <c r="C1902" s="17" t="n">
        <f aca="false">DATA_INICIO_SAFRA+($B1902-1)*DIAS_POR_SEMANA</f>
        <v>46601</v>
      </c>
      <c r="D1902" s="17" t="n">
        <f aca="false">$C1902+DIAS_POR_SEMANA-1</f>
        <v>46607</v>
      </c>
      <c r="E1902" s="15" t="s">
        <v>287</v>
      </c>
      <c r="F1902" s="8" t="str">
        <f aca="false">IFERROR(INDEX(CADASTRO_PIVOS!$C$6:$C$41,MATCH($E1902,CADASTRO_PIVOS!$B$6:$B$41,0)),"?")</f>
        <v>RM07</v>
      </c>
      <c r="G1902" s="8" t="str">
        <f aca="false">IFERROR(INDEX(CADASTRO_PIVOS!$D$6:$D$41,MATCH($E1902,CADASTRO_PIVOS!$B$6:$B$41,0)),"?")</f>
        <v>TR07</v>
      </c>
      <c r="H1902" s="20" t="n">
        <f aca="false">IFERROR(INDEX(CADASTRO_PIVOS!$E$6:$E$41,MATCH($E1902,CADASTRO_PIVOS!$B$6:$B$41,0)),0)</f>
        <v>99.48</v>
      </c>
      <c r="I1902" s="16" t="n">
        <f aca="false">IFERROR(SUMIFS(ROTACAO_RDM!$B$6:$B$71,ROTACAO_RDM!$D$6:$D$71,$E1902,ROTACAO_RDM!$I$6:$I$71,"&lt;="&amp;$C1902+INT(DIAS_POR_SEMANA/2),ROTACAO_RDM!$J$6:$J$71,"&gt;="&amp;$C1902+INT(DIAS_POR_SEMANA/2)),0)</f>
        <v>48</v>
      </c>
      <c r="J1902" s="16" t="n">
        <f aca="false">IFERROR(MATCH($I1902,ROTACAO_RDM!$B$6:$B$71,0),0)</f>
        <v>48</v>
      </c>
      <c r="K1902" s="8" t="str">
        <f aca="false">IF($J1902=0,"SEM CULTURA",INDEX(ROTACAO_RDM!$F$6:$F$71,$J1902))</f>
        <v>MILHO_SEMENTE</v>
      </c>
      <c r="L1902" s="8" t="n">
        <f aca="false">IF($J1902=0,"",INDEX(ROTACAO_RDM!$G$6:$G$71,$J1902))</f>
        <v>0</v>
      </c>
      <c r="M1902" s="17" t="n">
        <f aca="false">IF($J1902=0,"",INDEX(ROTACAO_RDM!$I$6:$I$71,$J1902))</f>
        <v>46562</v>
      </c>
      <c r="N1902" s="16" t="n">
        <f aca="false">IF($J1902=0,0,MAX(0,$C1902+INT(DIAS_POR_SEMANA/2)-INDEX(ROTACAO_RDM!$I$6:$I$71,$J1902)))</f>
        <v>42</v>
      </c>
      <c r="O1902" s="19" t="n">
        <f aca="false">IF($J1902=0,0,MIN(1,$N1902/MAX(1,INDEX(ROTACAO_RDM!$K$6:$K$71,$J1902))))</f>
        <v>0.289655172413793</v>
      </c>
      <c r="P1902" s="16" t="n">
        <f aca="false">IF($J1902=0,0,IFERROR(MATCH(INDEX(ROTACAO_RDM!$N$6:$N$71,$J1902),PARAMETROS_CULTURAS!$B$6:$B$28,0),0))</f>
        <v>7</v>
      </c>
      <c r="Q1902" s="8" t="str">
        <f aca="false">IF($P1902=0,"-",IF($O1902&lt;=INDEX(PARAMETROS_CULTURAS!$F$6:$F$28,$P1902),"INICIAL",IF($O1902&lt;=INDEX(PARAMETROS_CULTURAS!$F$6:$F$28,$P1902)+INDEX(PARAMETROS_CULTURAS!$G$6:$G$28,$P1902),"DESENVOLVIMENTO",IF($O1902&lt;=INDEX(PARAMETROS_CULTURAS!$F$6:$F$28,$P1902)+INDEX(PARAMETROS_CULTURAS!$G$6:$G$28,$P1902)+INDEX(PARAMETROS_CULTURAS!$H$6:$H$28,$P1902),"MEDIA","FINAL"))))</f>
        <v>DESENVOLVIMENTO</v>
      </c>
      <c r="R1902" s="24" t="n">
        <f aca="false">IF($P1902=0,0,IF($O1902&lt;=INDEX(PARAMETROS_CULTURAS!$F$6:$F$28,$P1902),INDEX(PARAMETROS_CULTURAS!$K$6:$K$28,$P1902),IF($O1902&lt;=INDEX(PARAMETROS_CULTURAS!$F$6:$F$28,$P1902)+INDEX(PARAMETROS_CULTURAS!$G$6:$G$28,$P1902),INDEX(PARAMETROS_CULTURAS!$K$6:$K$28,$P1902)+(INDEX(PARAMETROS_CULTURAS!$L$6:$L$28,$P1902)-INDEX(PARAMETROS_CULTURAS!$K$6:$K$28,$P1902))*($O1902-INDEX(PARAMETROS_CULTURAS!$F$6:$F$28,$P1902))/MAX(INDEX(PARAMETROS_CULTURAS!$G$6:$G$28,$P1902),0.0001),IF($O1902&lt;=INDEX(PARAMETROS_CULTURAS!$F$6:$F$28,$P1902)+INDEX(PARAMETROS_CULTURAS!$G$6:$G$28,$P1902)+INDEX(PARAMETROS_CULTURAS!$H$6:$H$28,$P1902),INDEX(PARAMETROS_CULTURAS!$L$6:$L$28,$P1902),INDEX(PARAMETROS_CULTURAS!$L$6:$L$28,$P1902)+(INDEX(PARAMETROS_CULTURAS!$M$6:$M$28,$P1902)-INDEX(PARAMETROS_CULTURAS!$L$6:$L$28,$P1902))*($O1902-INDEX(PARAMETROS_CULTURAS!$F$6:$F$28,$P1902)-INDEX(PARAMETROS_CULTURAS!$G$6:$G$28,$P1902)-INDEX(PARAMETROS_CULTURAS!$H$6:$H$28,$P1902))/MAX(INDEX(PARAMETROS_CULTURAS!$I$6:$I$28,$P1902),0.0001)))))</f>
        <v>0.638827586206897</v>
      </c>
      <c r="S1902" s="18" t="n">
        <f aca="false">IFERROR(INDEX(SEMANAS!$H$6:$H$71,MATCH($B1902,SEMANAS!$B$6:$B$71,0)),0)</f>
        <v>36.4</v>
      </c>
      <c r="T1902" s="18" t="n">
        <f aca="false">$R1902*$S1902</f>
        <v>23.253324137931</v>
      </c>
      <c r="U1902" s="18" t="n">
        <f aca="false">IFERROR(INDEX(SEMANAS!$I$6:$I$71,MATCH($B1902,SEMANAS!$B$6:$B$71,0)),0)</f>
        <v>1.12</v>
      </c>
      <c r="V1902" s="18" t="n">
        <f aca="false">IFERROR(INDEX(SEMANAS!$J$6:$J$71,MATCH($B1902,SEMANAS!$B$6:$B$71,0)),0)</f>
        <v>0.896</v>
      </c>
      <c r="W1902" s="18" t="n">
        <f aca="false">MAX(0,$T1902-$V1902)</f>
        <v>22.357324137931</v>
      </c>
      <c r="X1902" s="19" t="n">
        <f aca="false">IFERROR(INDEX(CADASTRO_PIVOS!$K$6:$K$41,MATCH($E1902,CADASTRO_PIVOS!$B$6:$B$41,0)),EFICIENCIA_PADRAO)</f>
        <v>0.85</v>
      </c>
      <c r="Y1902" s="18" t="n">
        <f aca="false">IF($X1902&lt;=0,0,$W1902/$X1902)</f>
        <v>26.3027342799189</v>
      </c>
      <c r="Z1902" s="16" t="n">
        <f aca="false">$Y1902*$H1902*MM_PARA_M3_HA</f>
        <v>26165.9600616633</v>
      </c>
      <c r="AA1902" s="18" t="n">
        <f aca="false">IFERROR(INDEX(CADASTRO_PIVOS!$I$6:$I$41,MATCH($E1902,CADASTRO_PIVOS!$B$6:$B$41,0)),0)</f>
        <v>710.571428571429</v>
      </c>
      <c r="AB1902" s="18" t="n">
        <f aca="false">IF($Z1902&lt;=0,0,$Z1902/$AA1902)</f>
        <v>36.8238279918864</v>
      </c>
      <c r="AC1902" s="16" t="n">
        <f aca="false">IFERROR(INDEX(SEMANAS!$K$6:$K$71,MATCH($B1902,SEMANAS!$B$6:$B$71,0)),0)</f>
        <v>147</v>
      </c>
      <c r="AD1902" s="19" t="n">
        <f aca="false">IF($AC1902&lt;=0,0,$AB1902/$AC1902)</f>
        <v>0.250502231237323</v>
      </c>
      <c r="AE1902" s="8" t="str">
        <f aca="false">IF($K1902="SEM CULTURA","SEM CULTURA",IF($AA1902&lt;=0,"DADO PENDENTE",IF($AD1902&gt;LIMITE_CRITICO,"INVIAVEL",IF($AD1902&gt;LIMITE_ATENCAO,"CRITICO",IF($AD1902&gt;LIMITE_CONFORTAVEL,"ATENCAO","OK")))))</f>
        <v>OK</v>
      </c>
      <c r="AF1902" s="8" t="str">
        <f aca="false">$B1902&amp;"|"&amp;TEXT($AD1902,"0.000000")</f>
        <v>49|0.250502</v>
      </c>
      <c r="AG1902" s="18" t="n">
        <f aca="false">IF($K1902="SEM CULTURA",0,$T1902*$H1902)</f>
        <v>2313.24068524138</v>
      </c>
      <c r="AH1902" s="18" t="n">
        <f aca="false">IF($K1902="SEM CULTURA",0,$V1902*$H1902)</f>
        <v>89.13408</v>
      </c>
      <c r="AI1902" s="18" t="n">
        <f aca="false">IF($K1902="SEM CULTURA",0,$W1902*$H1902)</f>
        <v>2224.10660524138</v>
      </c>
      <c r="AJ1902" s="18" t="n">
        <f aca="false">IF($K1902="SEM CULTURA",0,$S1902*$H1902)</f>
        <v>3621.072</v>
      </c>
      <c r="AK1902" s="8" t="str">
        <f aca="false">$E1902&amp;"|"&amp;TEXT($AD1902,"0.000000")</f>
        <v>PV 125|0.250502</v>
      </c>
    </row>
    <row r="1903" customFormat="false" ht="15" hidden="false" customHeight="false" outlineLevel="0" collapsed="false">
      <c r="B1903" s="16" t="n">
        <v>50</v>
      </c>
      <c r="C1903" s="17" t="n">
        <f aca="false">DATA_INICIO_SAFRA+($B1903-1)*DIAS_POR_SEMANA</f>
        <v>46608</v>
      </c>
      <c r="D1903" s="17" t="n">
        <f aca="false">$C1903+DIAS_POR_SEMANA-1</f>
        <v>46614</v>
      </c>
      <c r="E1903" s="15" t="s">
        <v>287</v>
      </c>
      <c r="F1903" s="8" t="str">
        <f aca="false">IFERROR(INDEX(CADASTRO_PIVOS!$C$6:$C$41,MATCH($E1903,CADASTRO_PIVOS!$B$6:$B$41,0)),"?")</f>
        <v>RM07</v>
      </c>
      <c r="G1903" s="8" t="str">
        <f aca="false">IFERROR(INDEX(CADASTRO_PIVOS!$D$6:$D$41,MATCH($E1903,CADASTRO_PIVOS!$B$6:$B$41,0)),"?")</f>
        <v>TR07</v>
      </c>
      <c r="H1903" s="20" t="n">
        <f aca="false">IFERROR(INDEX(CADASTRO_PIVOS!$E$6:$E$41,MATCH($E1903,CADASTRO_PIVOS!$B$6:$B$41,0)),0)</f>
        <v>99.48</v>
      </c>
      <c r="I1903" s="16" t="n">
        <f aca="false">IFERROR(SUMIFS(ROTACAO_RDM!$B$6:$B$71,ROTACAO_RDM!$D$6:$D$71,$E1903,ROTACAO_RDM!$I$6:$I$71,"&lt;="&amp;$C1903+INT(DIAS_POR_SEMANA/2),ROTACAO_RDM!$J$6:$J$71,"&gt;="&amp;$C1903+INT(DIAS_POR_SEMANA/2)),0)</f>
        <v>48</v>
      </c>
      <c r="J1903" s="16" t="n">
        <f aca="false">IFERROR(MATCH($I1903,ROTACAO_RDM!$B$6:$B$71,0),0)</f>
        <v>48</v>
      </c>
      <c r="K1903" s="8" t="str">
        <f aca="false">IF($J1903=0,"SEM CULTURA",INDEX(ROTACAO_RDM!$F$6:$F$71,$J1903))</f>
        <v>MILHO_SEMENTE</v>
      </c>
      <c r="L1903" s="8" t="n">
        <f aca="false">IF($J1903=0,"",INDEX(ROTACAO_RDM!$G$6:$G$71,$J1903))</f>
        <v>0</v>
      </c>
      <c r="M1903" s="17" t="n">
        <f aca="false">IF($J1903=0,"",INDEX(ROTACAO_RDM!$I$6:$I$71,$J1903))</f>
        <v>46562</v>
      </c>
      <c r="N1903" s="16" t="n">
        <f aca="false">IF($J1903=0,0,MAX(0,$C1903+INT(DIAS_POR_SEMANA/2)-INDEX(ROTACAO_RDM!$I$6:$I$71,$J1903)))</f>
        <v>49</v>
      </c>
      <c r="O1903" s="19" t="n">
        <f aca="false">IF($J1903=0,0,MIN(1,$N1903/MAX(1,INDEX(ROTACAO_RDM!$K$6:$K$71,$J1903))))</f>
        <v>0.337931034482759</v>
      </c>
      <c r="P1903" s="16" t="n">
        <f aca="false">IF($J1903=0,0,IFERROR(MATCH(INDEX(ROTACAO_RDM!$N$6:$N$71,$J1903),PARAMETROS_CULTURAS!$B$6:$B$28,0),0))</f>
        <v>7</v>
      </c>
      <c r="Q1903" s="8" t="str">
        <f aca="false">IF($P1903=0,"-",IF($O1903&lt;=INDEX(PARAMETROS_CULTURAS!$F$6:$F$28,$P1903),"INICIAL",IF($O1903&lt;=INDEX(PARAMETROS_CULTURAS!$F$6:$F$28,$P1903)+INDEX(PARAMETROS_CULTURAS!$G$6:$G$28,$P1903),"DESENVOLVIMENTO",IF($O1903&lt;=INDEX(PARAMETROS_CULTURAS!$F$6:$F$28,$P1903)+INDEX(PARAMETROS_CULTURAS!$G$6:$G$28,$P1903)+INDEX(PARAMETROS_CULTURAS!$H$6:$H$28,$P1903),"MEDIA","FINAL"))))</f>
        <v>DESENVOLVIMENTO</v>
      </c>
      <c r="R1903" s="24" t="n">
        <f aca="false">IF($P1903=0,0,IF($O1903&lt;=INDEX(PARAMETROS_CULTURAS!$F$6:$F$28,$P1903),INDEX(PARAMETROS_CULTURAS!$K$6:$K$28,$P1903),IF($O1903&lt;=INDEX(PARAMETROS_CULTURAS!$F$6:$F$28,$P1903)+INDEX(PARAMETROS_CULTURAS!$G$6:$G$28,$P1903),INDEX(PARAMETROS_CULTURAS!$K$6:$K$28,$P1903)+(INDEX(PARAMETROS_CULTURAS!$L$6:$L$28,$P1903)-INDEX(PARAMETROS_CULTURAS!$K$6:$K$28,$P1903))*($O1903-INDEX(PARAMETROS_CULTURAS!$F$6:$F$28,$P1903))/MAX(INDEX(PARAMETROS_CULTURAS!$G$6:$G$28,$P1903),0.0001),IF($O1903&lt;=INDEX(PARAMETROS_CULTURAS!$F$6:$F$28,$P1903)+INDEX(PARAMETROS_CULTURAS!$G$6:$G$28,$P1903)+INDEX(PARAMETROS_CULTURAS!$H$6:$H$28,$P1903),INDEX(PARAMETROS_CULTURAS!$L$6:$L$28,$P1903),INDEX(PARAMETROS_CULTURAS!$L$6:$L$28,$P1903)+(INDEX(PARAMETROS_CULTURAS!$M$6:$M$28,$P1903)-INDEX(PARAMETROS_CULTURAS!$L$6:$L$28,$P1903))*($O1903-INDEX(PARAMETROS_CULTURAS!$F$6:$F$28,$P1903)-INDEX(PARAMETROS_CULTURAS!$G$6:$G$28,$P1903)-INDEX(PARAMETROS_CULTURAS!$H$6:$H$28,$P1903))/MAX(INDEX(PARAMETROS_CULTURAS!$I$6:$I$28,$P1903),0.0001)))))</f>
        <v>0.802965517241379</v>
      </c>
      <c r="S1903" s="18" t="n">
        <f aca="false">IFERROR(INDEX(SEMANAS!$H$6:$H$71,MATCH($B1903,SEMANAS!$B$6:$B$71,0)),0)</f>
        <v>36.4</v>
      </c>
      <c r="T1903" s="18" t="n">
        <f aca="false">$R1903*$S1903</f>
        <v>29.2279448275862</v>
      </c>
      <c r="U1903" s="18" t="n">
        <f aca="false">IFERROR(INDEX(SEMANAS!$I$6:$I$71,MATCH($B1903,SEMANAS!$B$6:$B$71,0)),0)</f>
        <v>1.12</v>
      </c>
      <c r="V1903" s="18" t="n">
        <f aca="false">IFERROR(INDEX(SEMANAS!$J$6:$J$71,MATCH($B1903,SEMANAS!$B$6:$B$71,0)),0)</f>
        <v>0.896</v>
      </c>
      <c r="W1903" s="18" t="n">
        <f aca="false">MAX(0,$T1903-$V1903)</f>
        <v>28.3319448275862</v>
      </c>
      <c r="X1903" s="19" t="n">
        <f aca="false">IFERROR(INDEX(CADASTRO_PIVOS!$K$6:$K$41,MATCH($E1903,CADASTRO_PIVOS!$B$6:$B$41,0)),EFICIENCIA_PADRAO)</f>
        <v>0.85</v>
      </c>
      <c r="Y1903" s="18" t="n">
        <f aca="false">IF($X1903&lt;=0,0,$W1903/$X1903)</f>
        <v>33.3316997971602</v>
      </c>
      <c r="Z1903" s="16" t="n">
        <f aca="false">$Y1903*$H1903*MM_PARA_M3_HA</f>
        <v>33158.374958215</v>
      </c>
      <c r="AA1903" s="18" t="n">
        <f aca="false">IFERROR(INDEX(CADASTRO_PIVOS!$I$6:$I$41,MATCH($E1903,CADASTRO_PIVOS!$B$6:$B$41,0)),0)</f>
        <v>710.571428571429</v>
      </c>
      <c r="AB1903" s="18" t="n">
        <f aca="false">IF($Z1903&lt;=0,0,$Z1903/$AA1903)</f>
        <v>46.6643797160243</v>
      </c>
      <c r="AC1903" s="16" t="n">
        <f aca="false">IFERROR(INDEX(SEMANAS!$K$6:$K$71,MATCH($B1903,SEMANAS!$B$6:$B$71,0)),0)</f>
        <v>147</v>
      </c>
      <c r="AD1903" s="19" t="n">
        <f aca="false">IF($AC1903&lt;=0,0,$AB1903/$AC1903)</f>
        <v>0.317444759972955</v>
      </c>
      <c r="AE1903" s="8" t="str">
        <f aca="false">IF($K1903="SEM CULTURA","SEM CULTURA",IF($AA1903&lt;=0,"DADO PENDENTE",IF($AD1903&gt;LIMITE_CRITICO,"INVIAVEL",IF($AD1903&gt;LIMITE_ATENCAO,"CRITICO",IF($AD1903&gt;LIMITE_CONFORTAVEL,"ATENCAO","OK")))))</f>
        <v>OK</v>
      </c>
      <c r="AF1903" s="8" t="str">
        <f aca="false">$B1903&amp;"|"&amp;TEXT($AD1903,"0.000000")</f>
        <v>50|0.317445</v>
      </c>
      <c r="AG1903" s="18" t="n">
        <f aca="false">IF($K1903="SEM CULTURA",0,$T1903*$H1903)</f>
        <v>2907.59595144828</v>
      </c>
      <c r="AH1903" s="18" t="n">
        <f aca="false">IF($K1903="SEM CULTURA",0,$V1903*$H1903)</f>
        <v>89.13408</v>
      </c>
      <c r="AI1903" s="18" t="n">
        <f aca="false">IF($K1903="SEM CULTURA",0,$W1903*$H1903)</f>
        <v>2818.46187144828</v>
      </c>
      <c r="AJ1903" s="18" t="n">
        <f aca="false">IF($K1903="SEM CULTURA",0,$S1903*$H1903)</f>
        <v>3621.072</v>
      </c>
      <c r="AK1903" s="8" t="str">
        <f aca="false">$E1903&amp;"|"&amp;TEXT($AD1903,"0.000000")</f>
        <v>PV 125|0.317445</v>
      </c>
    </row>
    <row r="1904" customFormat="false" ht="15" hidden="false" customHeight="false" outlineLevel="0" collapsed="false">
      <c r="B1904" s="16" t="n">
        <v>51</v>
      </c>
      <c r="C1904" s="17" t="n">
        <f aca="false">DATA_INICIO_SAFRA+($B1904-1)*DIAS_POR_SEMANA</f>
        <v>46615</v>
      </c>
      <c r="D1904" s="17" t="n">
        <f aca="false">$C1904+DIAS_POR_SEMANA-1</f>
        <v>46621</v>
      </c>
      <c r="E1904" s="15" t="s">
        <v>287</v>
      </c>
      <c r="F1904" s="8" t="str">
        <f aca="false">IFERROR(INDEX(CADASTRO_PIVOS!$C$6:$C$41,MATCH($E1904,CADASTRO_PIVOS!$B$6:$B$41,0)),"?")</f>
        <v>RM07</v>
      </c>
      <c r="G1904" s="8" t="str">
        <f aca="false">IFERROR(INDEX(CADASTRO_PIVOS!$D$6:$D$41,MATCH($E1904,CADASTRO_PIVOS!$B$6:$B$41,0)),"?")</f>
        <v>TR07</v>
      </c>
      <c r="H1904" s="20" t="n">
        <f aca="false">IFERROR(INDEX(CADASTRO_PIVOS!$E$6:$E$41,MATCH($E1904,CADASTRO_PIVOS!$B$6:$B$41,0)),0)</f>
        <v>99.48</v>
      </c>
      <c r="I1904" s="16" t="n">
        <f aca="false">IFERROR(SUMIFS(ROTACAO_RDM!$B$6:$B$71,ROTACAO_RDM!$D$6:$D$71,$E1904,ROTACAO_RDM!$I$6:$I$71,"&lt;="&amp;$C1904+INT(DIAS_POR_SEMANA/2),ROTACAO_RDM!$J$6:$J$71,"&gt;="&amp;$C1904+INT(DIAS_POR_SEMANA/2)),0)</f>
        <v>48</v>
      </c>
      <c r="J1904" s="16" t="n">
        <f aca="false">IFERROR(MATCH($I1904,ROTACAO_RDM!$B$6:$B$71,0),0)</f>
        <v>48</v>
      </c>
      <c r="K1904" s="8" t="str">
        <f aca="false">IF($J1904=0,"SEM CULTURA",INDEX(ROTACAO_RDM!$F$6:$F$71,$J1904))</f>
        <v>MILHO_SEMENTE</v>
      </c>
      <c r="L1904" s="8" t="n">
        <f aca="false">IF($J1904=0,"",INDEX(ROTACAO_RDM!$G$6:$G$71,$J1904))</f>
        <v>0</v>
      </c>
      <c r="M1904" s="17" t="n">
        <f aca="false">IF($J1904=0,"",INDEX(ROTACAO_RDM!$I$6:$I$71,$J1904))</f>
        <v>46562</v>
      </c>
      <c r="N1904" s="16" t="n">
        <f aca="false">IF($J1904=0,0,MAX(0,$C1904+INT(DIAS_POR_SEMANA/2)-INDEX(ROTACAO_RDM!$I$6:$I$71,$J1904)))</f>
        <v>56</v>
      </c>
      <c r="O1904" s="19" t="n">
        <f aca="false">IF($J1904=0,0,MIN(1,$N1904/MAX(1,INDEX(ROTACAO_RDM!$K$6:$K$71,$J1904))))</f>
        <v>0.386206896551724</v>
      </c>
      <c r="P1904" s="16" t="n">
        <f aca="false">IF($J1904=0,0,IFERROR(MATCH(INDEX(ROTACAO_RDM!$N$6:$N$71,$J1904),PARAMETROS_CULTURAS!$B$6:$B$28,0),0))</f>
        <v>7</v>
      </c>
      <c r="Q1904" s="8" t="str">
        <f aca="false">IF($P1904=0,"-",IF($O1904&lt;=INDEX(PARAMETROS_CULTURAS!$F$6:$F$28,$P1904),"INICIAL",IF($O1904&lt;=INDEX(PARAMETROS_CULTURAS!$F$6:$F$28,$P1904)+INDEX(PARAMETROS_CULTURAS!$G$6:$G$28,$P1904),"DESENVOLVIMENTO",IF($O1904&lt;=INDEX(PARAMETROS_CULTURAS!$F$6:$F$28,$P1904)+INDEX(PARAMETROS_CULTURAS!$G$6:$G$28,$P1904)+INDEX(PARAMETROS_CULTURAS!$H$6:$H$28,$P1904),"MEDIA","FINAL"))))</f>
        <v>DESENVOLVIMENTO</v>
      </c>
      <c r="R1904" s="24" t="n">
        <f aca="false">IF($P1904=0,0,IF($O1904&lt;=INDEX(PARAMETROS_CULTURAS!$F$6:$F$28,$P1904),INDEX(PARAMETROS_CULTURAS!$K$6:$K$28,$P1904),IF($O1904&lt;=INDEX(PARAMETROS_CULTURAS!$F$6:$F$28,$P1904)+INDEX(PARAMETROS_CULTURAS!$G$6:$G$28,$P1904),INDEX(PARAMETROS_CULTURAS!$K$6:$K$28,$P1904)+(INDEX(PARAMETROS_CULTURAS!$L$6:$L$28,$P1904)-INDEX(PARAMETROS_CULTURAS!$K$6:$K$28,$P1904))*($O1904-INDEX(PARAMETROS_CULTURAS!$F$6:$F$28,$P1904))/MAX(INDEX(PARAMETROS_CULTURAS!$G$6:$G$28,$P1904),0.0001),IF($O1904&lt;=INDEX(PARAMETROS_CULTURAS!$F$6:$F$28,$P1904)+INDEX(PARAMETROS_CULTURAS!$G$6:$G$28,$P1904)+INDEX(PARAMETROS_CULTURAS!$H$6:$H$28,$P1904),INDEX(PARAMETROS_CULTURAS!$L$6:$L$28,$P1904),INDEX(PARAMETROS_CULTURAS!$L$6:$L$28,$P1904)+(INDEX(PARAMETROS_CULTURAS!$M$6:$M$28,$P1904)-INDEX(PARAMETROS_CULTURAS!$L$6:$L$28,$P1904))*($O1904-INDEX(PARAMETROS_CULTURAS!$F$6:$F$28,$P1904)-INDEX(PARAMETROS_CULTURAS!$G$6:$G$28,$P1904)-INDEX(PARAMETROS_CULTURAS!$H$6:$H$28,$P1904))/MAX(INDEX(PARAMETROS_CULTURAS!$I$6:$I$28,$P1904),0.0001)))))</f>
        <v>0.967103448275862</v>
      </c>
      <c r="S1904" s="18" t="n">
        <f aca="false">IFERROR(INDEX(SEMANAS!$H$6:$H$71,MATCH($B1904,SEMANAS!$B$6:$B$71,0)),0)</f>
        <v>36.4</v>
      </c>
      <c r="T1904" s="18" t="n">
        <f aca="false">$R1904*$S1904</f>
        <v>35.2025655172414</v>
      </c>
      <c r="U1904" s="18" t="n">
        <f aca="false">IFERROR(INDEX(SEMANAS!$I$6:$I$71,MATCH($B1904,SEMANAS!$B$6:$B$71,0)),0)</f>
        <v>1.12</v>
      </c>
      <c r="V1904" s="18" t="n">
        <f aca="false">IFERROR(INDEX(SEMANAS!$J$6:$J$71,MATCH($B1904,SEMANAS!$B$6:$B$71,0)),0)</f>
        <v>0.896</v>
      </c>
      <c r="W1904" s="18" t="n">
        <f aca="false">MAX(0,$T1904-$V1904)</f>
        <v>34.3065655172414</v>
      </c>
      <c r="X1904" s="19" t="n">
        <f aca="false">IFERROR(INDEX(CADASTRO_PIVOS!$K$6:$K$41,MATCH($E1904,CADASTRO_PIVOS!$B$6:$B$41,0)),EFICIENCIA_PADRAO)</f>
        <v>0.85</v>
      </c>
      <c r="Y1904" s="18" t="n">
        <f aca="false">IF($X1904&lt;=0,0,$W1904/$X1904)</f>
        <v>40.3606653144016</v>
      </c>
      <c r="Z1904" s="16" t="n">
        <f aca="false">$Y1904*$H1904*MM_PARA_M3_HA</f>
        <v>40150.7898547667</v>
      </c>
      <c r="AA1904" s="18" t="n">
        <f aca="false">IFERROR(INDEX(CADASTRO_PIVOS!$I$6:$I$41,MATCH($E1904,CADASTRO_PIVOS!$B$6:$B$41,0)),0)</f>
        <v>710.571428571429</v>
      </c>
      <c r="AB1904" s="18" t="n">
        <f aca="false">IF($Z1904&lt;=0,0,$Z1904/$AA1904)</f>
        <v>56.5049314401623</v>
      </c>
      <c r="AC1904" s="16" t="n">
        <f aca="false">IFERROR(INDEX(SEMANAS!$K$6:$K$71,MATCH($B1904,SEMANAS!$B$6:$B$71,0)),0)</f>
        <v>147</v>
      </c>
      <c r="AD1904" s="19" t="n">
        <f aca="false">IF($AC1904&lt;=0,0,$AB1904/$AC1904)</f>
        <v>0.384387288708587</v>
      </c>
      <c r="AE1904" s="8" t="str">
        <f aca="false">IF($K1904="SEM CULTURA","SEM CULTURA",IF($AA1904&lt;=0,"DADO PENDENTE",IF($AD1904&gt;LIMITE_CRITICO,"INVIAVEL",IF($AD1904&gt;LIMITE_ATENCAO,"CRITICO",IF($AD1904&gt;LIMITE_CONFORTAVEL,"ATENCAO","OK")))))</f>
        <v>OK</v>
      </c>
      <c r="AF1904" s="8" t="str">
        <f aca="false">$B1904&amp;"|"&amp;TEXT($AD1904,"0.000000")</f>
        <v>51|0.384387</v>
      </c>
      <c r="AG1904" s="18" t="n">
        <f aca="false">IF($K1904="SEM CULTURA",0,$T1904*$H1904)</f>
        <v>3501.95121765517</v>
      </c>
      <c r="AH1904" s="18" t="n">
        <f aca="false">IF($K1904="SEM CULTURA",0,$V1904*$H1904)</f>
        <v>89.13408</v>
      </c>
      <c r="AI1904" s="18" t="n">
        <f aca="false">IF($K1904="SEM CULTURA",0,$W1904*$H1904)</f>
        <v>3412.81713765517</v>
      </c>
      <c r="AJ1904" s="18" t="n">
        <f aca="false">IF($K1904="SEM CULTURA",0,$S1904*$H1904)</f>
        <v>3621.072</v>
      </c>
      <c r="AK1904" s="8" t="str">
        <f aca="false">$E1904&amp;"|"&amp;TEXT($AD1904,"0.000000")</f>
        <v>PV 125|0.384387</v>
      </c>
    </row>
    <row r="1905" customFormat="false" ht="15" hidden="false" customHeight="false" outlineLevel="0" collapsed="false">
      <c r="B1905" s="16" t="n">
        <v>52</v>
      </c>
      <c r="C1905" s="17" t="n">
        <f aca="false">DATA_INICIO_SAFRA+($B1905-1)*DIAS_POR_SEMANA</f>
        <v>46622</v>
      </c>
      <c r="D1905" s="17" t="n">
        <f aca="false">$C1905+DIAS_POR_SEMANA-1</f>
        <v>46628</v>
      </c>
      <c r="E1905" s="15" t="s">
        <v>287</v>
      </c>
      <c r="F1905" s="8" t="str">
        <f aca="false">IFERROR(INDEX(CADASTRO_PIVOS!$C$6:$C$41,MATCH($E1905,CADASTRO_PIVOS!$B$6:$B$41,0)),"?")</f>
        <v>RM07</v>
      </c>
      <c r="G1905" s="8" t="str">
        <f aca="false">IFERROR(INDEX(CADASTRO_PIVOS!$D$6:$D$41,MATCH($E1905,CADASTRO_PIVOS!$B$6:$B$41,0)),"?")</f>
        <v>TR07</v>
      </c>
      <c r="H1905" s="20" t="n">
        <f aca="false">IFERROR(INDEX(CADASTRO_PIVOS!$E$6:$E$41,MATCH($E1905,CADASTRO_PIVOS!$B$6:$B$41,0)),0)</f>
        <v>99.48</v>
      </c>
      <c r="I1905" s="16" t="n">
        <f aca="false">IFERROR(SUMIFS(ROTACAO_RDM!$B$6:$B$71,ROTACAO_RDM!$D$6:$D$71,$E1905,ROTACAO_RDM!$I$6:$I$71,"&lt;="&amp;$C1905+INT(DIAS_POR_SEMANA/2),ROTACAO_RDM!$J$6:$J$71,"&gt;="&amp;$C1905+INT(DIAS_POR_SEMANA/2)),0)</f>
        <v>48</v>
      </c>
      <c r="J1905" s="16" t="n">
        <f aca="false">IFERROR(MATCH($I1905,ROTACAO_RDM!$B$6:$B$71,0),0)</f>
        <v>48</v>
      </c>
      <c r="K1905" s="8" t="str">
        <f aca="false">IF($J1905=0,"SEM CULTURA",INDEX(ROTACAO_RDM!$F$6:$F$71,$J1905))</f>
        <v>MILHO_SEMENTE</v>
      </c>
      <c r="L1905" s="8" t="n">
        <f aca="false">IF($J1905=0,"",INDEX(ROTACAO_RDM!$G$6:$G$71,$J1905))</f>
        <v>0</v>
      </c>
      <c r="M1905" s="17" t="n">
        <f aca="false">IF($J1905=0,"",INDEX(ROTACAO_RDM!$I$6:$I$71,$J1905))</f>
        <v>46562</v>
      </c>
      <c r="N1905" s="16" t="n">
        <f aca="false">IF($J1905=0,0,MAX(0,$C1905+INT(DIAS_POR_SEMANA/2)-INDEX(ROTACAO_RDM!$I$6:$I$71,$J1905)))</f>
        <v>63</v>
      </c>
      <c r="O1905" s="19" t="n">
        <f aca="false">IF($J1905=0,0,MIN(1,$N1905/MAX(1,INDEX(ROTACAO_RDM!$K$6:$K$71,$J1905))))</f>
        <v>0.43448275862069</v>
      </c>
      <c r="P1905" s="16" t="n">
        <f aca="false">IF($J1905=0,0,IFERROR(MATCH(INDEX(ROTACAO_RDM!$N$6:$N$71,$J1905),PARAMETROS_CULTURAS!$B$6:$B$28,0),0))</f>
        <v>7</v>
      </c>
      <c r="Q1905" s="8" t="str">
        <f aca="false">IF($P1905=0,"-",IF($O1905&lt;=INDEX(PARAMETROS_CULTURAS!$F$6:$F$28,$P1905),"INICIAL",IF($O1905&lt;=INDEX(PARAMETROS_CULTURAS!$F$6:$F$28,$P1905)+INDEX(PARAMETROS_CULTURAS!$G$6:$G$28,$P1905),"DESENVOLVIMENTO",IF($O1905&lt;=INDEX(PARAMETROS_CULTURAS!$F$6:$F$28,$P1905)+INDEX(PARAMETROS_CULTURAS!$G$6:$G$28,$P1905)+INDEX(PARAMETROS_CULTURAS!$H$6:$H$28,$P1905),"MEDIA","FINAL"))))</f>
        <v>DESENVOLVIMENTO</v>
      </c>
      <c r="R1905" s="24" t="n">
        <f aca="false">IF($P1905=0,0,IF($O1905&lt;=INDEX(PARAMETROS_CULTURAS!$F$6:$F$28,$P1905),INDEX(PARAMETROS_CULTURAS!$K$6:$K$28,$P1905),IF($O1905&lt;=INDEX(PARAMETROS_CULTURAS!$F$6:$F$28,$P1905)+INDEX(PARAMETROS_CULTURAS!$G$6:$G$28,$P1905),INDEX(PARAMETROS_CULTURAS!$K$6:$K$28,$P1905)+(INDEX(PARAMETROS_CULTURAS!$L$6:$L$28,$P1905)-INDEX(PARAMETROS_CULTURAS!$K$6:$K$28,$P1905))*($O1905-INDEX(PARAMETROS_CULTURAS!$F$6:$F$28,$P1905))/MAX(INDEX(PARAMETROS_CULTURAS!$G$6:$G$28,$P1905),0.0001),IF($O1905&lt;=INDEX(PARAMETROS_CULTURAS!$F$6:$F$28,$P1905)+INDEX(PARAMETROS_CULTURAS!$G$6:$G$28,$P1905)+INDEX(PARAMETROS_CULTURAS!$H$6:$H$28,$P1905),INDEX(PARAMETROS_CULTURAS!$L$6:$L$28,$P1905),INDEX(PARAMETROS_CULTURAS!$L$6:$L$28,$P1905)+(INDEX(PARAMETROS_CULTURAS!$M$6:$M$28,$P1905)-INDEX(PARAMETROS_CULTURAS!$L$6:$L$28,$P1905))*($O1905-INDEX(PARAMETROS_CULTURAS!$F$6:$F$28,$P1905)-INDEX(PARAMETROS_CULTURAS!$G$6:$G$28,$P1905)-INDEX(PARAMETROS_CULTURAS!$H$6:$H$28,$P1905))/MAX(INDEX(PARAMETROS_CULTURAS!$I$6:$I$28,$P1905),0.0001)))))</f>
        <v>1.13124137931034</v>
      </c>
      <c r="S1905" s="18" t="n">
        <f aca="false">IFERROR(INDEX(SEMANAS!$H$6:$H$71,MATCH($B1905,SEMANAS!$B$6:$B$71,0)),0)</f>
        <v>36.4</v>
      </c>
      <c r="T1905" s="18" t="n">
        <f aca="false">$R1905*$S1905</f>
        <v>41.1771862068965</v>
      </c>
      <c r="U1905" s="18" t="n">
        <f aca="false">IFERROR(INDEX(SEMANAS!$I$6:$I$71,MATCH($B1905,SEMANAS!$B$6:$B$71,0)),0)</f>
        <v>1.12</v>
      </c>
      <c r="V1905" s="18" t="n">
        <f aca="false">IFERROR(INDEX(SEMANAS!$J$6:$J$71,MATCH($B1905,SEMANAS!$B$6:$B$71,0)),0)</f>
        <v>0.896</v>
      </c>
      <c r="W1905" s="18" t="n">
        <f aca="false">MAX(0,$T1905-$V1905)</f>
        <v>40.2811862068965</v>
      </c>
      <c r="X1905" s="19" t="n">
        <f aca="false">IFERROR(INDEX(CADASTRO_PIVOS!$K$6:$K$41,MATCH($E1905,CADASTRO_PIVOS!$B$6:$B$41,0)),EFICIENCIA_PADRAO)</f>
        <v>0.85</v>
      </c>
      <c r="Y1905" s="18" t="n">
        <f aca="false">IF($X1905&lt;=0,0,$W1905/$X1905)</f>
        <v>47.389630831643</v>
      </c>
      <c r="Z1905" s="16" t="n">
        <f aca="false">$Y1905*$H1905*MM_PARA_M3_HA</f>
        <v>47143.2047513184</v>
      </c>
      <c r="AA1905" s="18" t="n">
        <f aca="false">IFERROR(INDEX(CADASTRO_PIVOS!$I$6:$I$41,MATCH($E1905,CADASTRO_PIVOS!$B$6:$B$41,0)),0)</f>
        <v>710.571428571429</v>
      </c>
      <c r="AB1905" s="18" t="n">
        <f aca="false">IF($Z1905&lt;=0,0,$Z1905/$AA1905)</f>
        <v>66.3454831643002</v>
      </c>
      <c r="AC1905" s="16" t="n">
        <f aca="false">IFERROR(INDEX(SEMANAS!$K$6:$K$71,MATCH($B1905,SEMANAS!$B$6:$B$71,0)),0)</f>
        <v>147</v>
      </c>
      <c r="AD1905" s="19" t="n">
        <f aca="false">IF($AC1905&lt;=0,0,$AB1905/$AC1905)</f>
        <v>0.451329817444219</v>
      </c>
      <c r="AE1905" s="8" t="str">
        <f aca="false">IF($K1905="SEM CULTURA","SEM CULTURA",IF($AA1905&lt;=0,"DADO PENDENTE",IF($AD1905&gt;LIMITE_CRITICO,"INVIAVEL",IF($AD1905&gt;LIMITE_ATENCAO,"CRITICO",IF($AD1905&gt;LIMITE_CONFORTAVEL,"ATENCAO","OK")))))</f>
        <v>OK</v>
      </c>
      <c r="AF1905" s="8" t="str">
        <f aca="false">$B1905&amp;"|"&amp;TEXT($AD1905,"0.000000")</f>
        <v>52|0.451330</v>
      </c>
      <c r="AG1905" s="18" t="n">
        <f aca="false">IF($K1905="SEM CULTURA",0,$T1905*$H1905)</f>
        <v>4096.30648386207</v>
      </c>
      <c r="AH1905" s="18" t="n">
        <f aca="false">IF($K1905="SEM CULTURA",0,$V1905*$H1905)</f>
        <v>89.13408</v>
      </c>
      <c r="AI1905" s="18" t="n">
        <f aca="false">IF($K1905="SEM CULTURA",0,$W1905*$H1905)</f>
        <v>4007.17240386207</v>
      </c>
      <c r="AJ1905" s="18" t="n">
        <f aca="false">IF($K1905="SEM CULTURA",0,$S1905*$H1905)</f>
        <v>3621.072</v>
      </c>
      <c r="AK1905" s="8" t="str">
        <f aca="false">$E1905&amp;"|"&amp;TEXT($AD1905,"0.000000")</f>
        <v>PV 125|0.451330</v>
      </c>
    </row>
    <row r="1906" customFormat="false" ht="15" hidden="false" customHeight="false" outlineLevel="0" collapsed="false">
      <c r="B1906" s="16" t="n">
        <v>53</v>
      </c>
      <c r="C1906" s="17" t="n">
        <f aca="false">DATA_INICIO_SAFRA+($B1906-1)*DIAS_POR_SEMANA</f>
        <v>46629</v>
      </c>
      <c r="D1906" s="17" t="n">
        <f aca="false">$C1906+DIAS_POR_SEMANA-1</f>
        <v>46635</v>
      </c>
      <c r="E1906" s="15" t="s">
        <v>287</v>
      </c>
      <c r="F1906" s="8" t="str">
        <f aca="false">IFERROR(INDEX(CADASTRO_PIVOS!$C$6:$C$41,MATCH($E1906,CADASTRO_PIVOS!$B$6:$B$41,0)),"?")</f>
        <v>RM07</v>
      </c>
      <c r="G1906" s="8" t="str">
        <f aca="false">IFERROR(INDEX(CADASTRO_PIVOS!$D$6:$D$41,MATCH($E1906,CADASTRO_PIVOS!$B$6:$B$41,0)),"?")</f>
        <v>TR07</v>
      </c>
      <c r="H1906" s="20" t="n">
        <f aca="false">IFERROR(INDEX(CADASTRO_PIVOS!$E$6:$E$41,MATCH($E1906,CADASTRO_PIVOS!$B$6:$B$41,0)),0)</f>
        <v>99.48</v>
      </c>
      <c r="I1906" s="16" t="n">
        <f aca="false">IFERROR(SUMIFS(ROTACAO_RDM!$B$6:$B$71,ROTACAO_RDM!$D$6:$D$71,$E1906,ROTACAO_RDM!$I$6:$I$71,"&lt;="&amp;$C1906+INT(DIAS_POR_SEMANA/2),ROTACAO_RDM!$J$6:$J$71,"&gt;="&amp;$C1906+INT(DIAS_POR_SEMANA/2)),0)</f>
        <v>48</v>
      </c>
      <c r="J1906" s="16" t="n">
        <f aca="false">IFERROR(MATCH($I1906,ROTACAO_RDM!$B$6:$B$71,0),0)</f>
        <v>48</v>
      </c>
      <c r="K1906" s="8" t="str">
        <f aca="false">IF($J1906=0,"SEM CULTURA",INDEX(ROTACAO_RDM!$F$6:$F$71,$J1906))</f>
        <v>MILHO_SEMENTE</v>
      </c>
      <c r="L1906" s="8" t="n">
        <f aca="false">IF($J1906=0,"",INDEX(ROTACAO_RDM!$G$6:$G$71,$J1906))</f>
        <v>0</v>
      </c>
      <c r="M1906" s="17" t="n">
        <f aca="false">IF($J1906=0,"",INDEX(ROTACAO_RDM!$I$6:$I$71,$J1906))</f>
        <v>46562</v>
      </c>
      <c r="N1906" s="16" t="n">
        <f aca="false">IF($J1906=0,0,MAX(0,$C1906+INT(DIAS_POR_SEMANA/2)-INDEX(ROTACAO_RDM!$I$6:$I$71,$J1906)))</f>
        <v>70</v>
      </c>
      <c r="O1906" s="19" t="n">
        <f aca="false">IF($J1906=0,0,MIN(1,$N1906/MAX(1,INDEX(ROTACAO_RDM!$K$6:$K$71,$J1906))))</f>
        <v>0.482758620689655</v>
      </c>
      <c r="P1906" s="16" t="n">
        <f aca="false">IF($J1906=0,0,IFERROR(MATCH(INDEX(ROTACAO_RDM!$N$6:$N$71,$J1906),PARAMETROS_CULTURAS!$B$6:$B$28,0),0))</f>
        <v>7</v>
      </c>
      <c r="Q1906" s="8" t="str">
        <f aca="false">IF($P1906=0,"-",IF($O1906&lt;=INDEX(PARAMETROS_CULTURAS!$F$6:$F$28,$P1906),"INICIAL",IF($O1906&lt;=INDEX(PARAMETROS_CULTURAS!$F$6:$F$28,$P1906)+INDEX(PARAMETROS_CULTURAS!$G$6:$G$28,$P1906),"DESENVOLVIMENTO",IF($O1906&lt;=INDEX(PARAMETROS_CULTURAS!$F$6:$F$28,$P1906)+INDEX(PARAMETROS_CULTURAS!$G$6:$G$28,$P1906)+INDEX(PARAMETROS_CULTURAS!$H$6:$H$28,$P1906),"MEDIA","FINAL"))))</f>
        <v>MEDIA</v>
      </c>
      <c r="R1906" s="24" t="n">
        <f aca="false">IF($P1906=0,0,IF($O1906&lt;=INDEX(PARAMETROS_CULTURAS!$F$6:$F$28,$P1906),INDEX(PARAMETROS_CULTURAS!$K$6:$K$28,$P1906),IF($O1906&lt;=INDEX(PARAMETROS_CULTURAS!$F$6:$F$28,$P1906)+INDEX(PARAMETROS_CULTURAS!$G$6:$G$28,$P1906),INDEX(PARAMETROS_CULTURAS!$K$6:$K$28,$P1906)+(INDEX(PARAMETROS_CULTURAS!$L$6:$L$28,$P1906)-INDEX(PARAMETROS_CULTURAS!$K$6:$K$28,$P1906))*($O1906-INDEX(PARAMETROS_CULTURAS!$F$6:$F$28,$P1906))/MAX(INDEX(PARAMETROS_CULTURAS!$G$6:$G$28,$P1906),0.0001),IF($O1906&lt;=INDEX(PARAMETROS_CULTURAS!$F$6:$F$28,$P1906)+INDEX(PARAMETROS_CULTURAS!$G$6:$G$28,$P1906)+INDEX(PARAMETROS_CULTURAS!$H$6:$H$28,$P1906),INDEX(PARAMETROS_CULTURAS!$L$6:$L$28,$P1906),INDEX(PARAMETROS_CULTURAS!$L$6:$L$28,$P1906)+(INDEX(PARAMETROS_CULTURAS!$M$6:$M$28,$P1906)-INDEX(PARAMETROS_CULTURAS!$L$6:$L$28,$P1906))*($O1906-INDEX(PARAMETROS_CULTURAS!$F$6:$F$28,$P1906)-INDEX(PARAMETROS_CULTURAS!$G$6:$G$28,$P1906)-INDEX(PARAMETROS_CULTURAS!$H$6:$H$28,$P1906))/MAX(INDEX(PARAMETROS_CULTURAS!$I$6:$I$28,$P1906),0.0001)))))</f>
        <v>1.15</v>
      </c>
      <c r="S1906" s="18" t="n">
        <f aca="false">IFERROR(INDEX(SEMANAS!$H$6:$H$71,MATCH($B1906,SEMANAS!$B$6:$B$71,0)),0)</f>
        <v>39.4</v>
      </c>
      <c r="T1906" s="18" t="n">
        <f aca="false">$R1906*$S1906</f>
        <v>45.31</v>
      </c>
      <c r="U1906" s="18" t="n">
        <f aca="false">IFERROR(INDEX(SEMANAS!$I$6:$I$71,MATCH($B1906,SEMANAS!$B$6:$B$71,0)),0)</f>
        <v>5.32</v>
      </c>
      <c r="V1906" s="18" t="n">
        <f aca="false">IFERROR(INDEX(SEMANAS!$J$6:$J$71,MATCH($B1906,SEMANAS!$B$6:$B$71,0)),0)</f>
        <v>4.256</v>
      </c>
      <c r="W1906" s="18" t="n">
        <f aca="false">MAX(0,$T1906-$V1906)</f>
        <v>41.054</v>
      </c>
      <c r="X1906" s="19" t="n">
        <f aca="false">IFERROR(INDEX(CADASTRO_PIVOS!$K$6:$K$41,MATCH($E1906,CADASTRO_PIVOS!$B$6:$B$41,0)),EFICIENCIA_PADRAO)</f>
        <v>0.85</v>
      </c>
      <c r="Y1906" s="18" t="n">
        <f aca="false">IF($X1906&lt;=0,0,$W1906/$X1906)</f>
        <v>48.2988235294118</v>
      </c>
      <c r="Z1906" s="16" t="n">
        <f aca="false">$Y1906*$H1906*MM_PARA_M3_HA</f>
        <v>48047.6696470588</v>
      </c>
      <c r="AA1906" s="18" t="n">
        <f aca="false">IFERROR(INDEX(CADASTRO_PIVOS!$I$6:$I$41,MATCH($E1906,CADASTRO_PIVOS!$B$6:$B$41,0)),0)</f>
        <v>710.571428571429</v>
      </c>
      <c r="AB1906" s="18" t="n">
        <f aca="false">IF($Z1906&lt;=0,0,$Z1906/$AA1906)</f>
        <v>67.6183529411765</v>
      </c>
      <c r="AC1906" s="16" t="n">
        <f aca="false">IFERROR(INDEX(SEMANAS!$K$6:$K$71,MATCH($B1906,SEMANAS!$B$6:$B$71,0)),0)</f>
        <v>147</v>
      </c>
      <c r="AD1906" s="19" t="n">
        <f aca="false">IF($AC1906&lt;=0,0,$AB1906/$AC1906)</f>
        <v>0.459988795518207</v>
      </c>
      <c r="AE1906" s="8" t="str">
        <f aca="false">IF($K1906="SEM CULTURA","SEM CULTURA",IF($AA1906&lt;=0,"DADO PENDENTE",IF($AD1906&gt;LIMITE_CRITICO,"INVIAVEL",IF($AD1906&gt;LIMITE_ATENCAO,"CRITICO",IF($AD1906&gt;LIMITE_CONFORTAVEL,"ATENCAO","OK")))))</f>
        <v>OK</v>
      </c>
      <c r="AF1906" s="8" t="str">
        <f aca="false">$B1906&amp;"|"&amp;TEXT($AD1906,"0.000000")</f>
        <v>53|0.459989</v>
      </c>
      <c r="AG1906" s="18" t="n">
        <f aca="false">IF($K1906="SEM CULTURA",0,$T1906*$H1906)</f>
        <v>4507.4388</v>
      </c>
      <c r="AH1906" s="18" t="n">
        <f aca="false">IF($K1906="SEM CULTURA",0,$V1906*$H1906)</f>
        <v>423.38688</v>
      </c>
      <c r="AI1906" s="18" t="n">
        <f aca="false">IF($K1906="SEM CULTURA",0,$W1906*$H1906)</f>
        <v>4084.05192</v>
      </c>
      <c r="AJ1906" s="18" t="n">
        <f aca="false">IF($K1906="SEM CULTURA",0,$S1906*$H1906)</f>
        <v>3919.512</v>
      </c>
      <c r="AK1906" s="8" t="str">
        <f aca="false">$E1906&amp;"|"&amp;TEXT($AD1906,"0.000000")</f>
        <v>PV 125|0.459989</v>
      </c>
    </row>
    <row r="1907" customFormat="false" ht="15" hidden="false" customHeight="false" outlineLevel="0" collapsed="false">
      <c r="B1907" s="16" t="n">
        <v>54</v>
      </c>
      <c r="C1907" s="17" t="n">
        <f aca="false">DATA_INICIO_SAFRA+($B1907-1)*DIAS_POR_SEMANA</f>
        <v>46636</v>
      </c>
      <c r="D1907" s="17" t="n">
        <f aca="false">$C1907+DIAS_POR_SEMANA-1</f>
        <v>46642</v>
      </c>
      <c r="E1907" s="15" t="s">
        <v>287</v>
      </c>
      <c r="F1907" s="8" t="str">
        <f aca="false">IFERROR(INDEX(CADASTRO_PIVOS!$C$6:$C$41,MATCH($E1907,CADASTRO_PIVOS!$B$6:$B$41,0)),"?")</f>
        <v>RM07</v>
      </c>
      <c r="G1907" s="8" t="str">
        <f aca="false">IFERROR(INDEX(CADASTRO_PIVOS!$D$6:$D$41,MATCH($E1907,CADASTRO_PIVOS!$B$6:$B$41,0)),"?")</f>
        <v>TR07</v>
      </c>
      <c r="H1907" s="20" t="n">
        <f aca="false">IFERROR(INDEX(CADASTRO_PIVOS!$E$6:$E$41,MATCH($E1907,CADASTRO_PIVOS!$B$6:$B$41,0)),0)</f>
        <v>99.48</v>
      </c>
      <c r="I1907" s="16" t="n">
        <f aca="false">IFERROR(SUMIFS(ROTACAO_RDM!$B$6:$B$71,ROTACAO_RDM!$D$6:$D$71,$E1907,ROTACAO_RDM!$I$6:$I$71,"&lt;="&amp;$C1907+INT(DIAS_POR_SEMANA/2),ROTACAO_RDM!$J$6:$J$71,"&gt;="&amp;$C1907+INT(DIAS_POR_SEMANA/2)),0)</f>
        <v>48</v>
      </c>
      <c r="J1907" s="16" t="n">
        <f aca="false">IFERROR(MATCH($I1907,ROTACAO_RDM!$B$6:$B$71,0),0)</f>
        <v>48</v>
      </c>
      <c r="K1907" s="8" t="str">
        <f aca="false">IF($J1907=0,"SEM CULTURA",INDEX(ROTACAO_RDM!$F$6:$F$71,$J1907))</f>
        <v>MILHO_SEMENTE</v>
      </c>
      <c r="L1907" s="8" t="n">
        <f aca="false">IF($J1907=0,"",INDEX(ROTACAO_RDM!$G$6:$G$71,$J1907))</f>
        <v>0</v>
      </c>
      <c r="M1907" s="17" t="n">
        <f aca="false">IF($J1907=0,"",INDEX(ROTACAO_RDM!$I$6:$I$71,$J1907))</f>
        <v>46562</v>
      </c>
      <c r="N1907" s="16" t="n">
        <f aca="false">IF($J1907=0,0,MAX(0,$C1907+INT(DIAS_POR_SEMANA/2)-INDEX(ROTACAO_RDM!$I$6:$I$71,$J1907)))</f>
        <v>77</v>
      </c>
      <c r="O1907" s="19" t="n">
        <f aca="false">IF($J1907=0,0,MIN(1,$N1907/MAX(1,INDEX(ROTACAO_RDM!$K$6:$K$71,$J1907))))</f>
        <v>0.531034482758621</v>
      </c>
      <c r="P1907" s="16" t="n">
        <f aca="false">IF($J1907=0,0,IFERROR(MATCH(INDEX(ROTACAO_RDM!$N$6:$N$71,$J1907),PARAMETROS_CULTURAS!$B$6:$B$28,0),0))</f>
        <v>7</v>
      </c>
      <c r="Q1907" s="8" t="str">
        <f aca="false">IF($P1907=0,"-",IF($O1907&lt;=INDEX(PARAMETROS_CULTURAS!$F$6:$F$28,$P1907),"INICIAL",IF($O1907&lt;=INDEX(PARAMETROS_CULTURAS!$F$6:$F$28,$P1907)+INDEX(PARAMETROS_CULTURAS!$G$6:$G$28,$P1907),"DESENVOLVIMENTO",IF($O1907&lt;=INDEX(PARAMETROS_CULTURAS!$F$6:$F$28,$P1907)+INDEX(PARAMETROS_CULTURAS!$G$6:$G$28,$P1907)+INDEX(PARAMETROS_CULTURAS!$H$6:$H$28,$P1907),"MEDIA","FINAL"))))</f>
        <v>MEDIA</v>
      </c>
      <c r="R1907" s="24" t="n">
        <f aca="false">IF($P1907=0,0,IF($O1907&lt;=INDEX(PARAMETROS_CULTURAS!$F$6:$F$28,$P1907),INDEX(PARAMETROS_CULTURAS!$K$6:$K$28,$P1907),IF($O1907&lt;=INDEX(PARAMETROS_CULTURAS!$F$6:$F$28,$P1907)+INDEX(PARAMETROS_CULTURAS!$G$6:$G$28,$P1907),INDEX(PARAMETROS_CULTURAS!$K$6:$K$28,$P1907)+(INDEX(PARAMETROS_CULTURAS!$L$6:$L$28,$P1907)-INDEX(PARAMETROS_CULTURAS!$K$6:$K$28,$P1907))*($O1907-INDEX(PARAMETROS_CULTURAS!$F$6:$F$28,$P1907))/MAX(INDEX(PARAMETROS_CULTURAS!$G$6:$G$28,$P1907),0.0001),IF($O1907&lt;=INDEX(PARAMETROS_CULTURAS!$F$6:$F$28,$P1907)+INDEX(PARAMETROS_CULTURAS!$G$6:$G$28,$P1907)+INDEX(PARAMETROS_CULTURAS!$H$6:$H$28,$P1907),INDEX(PARAMETROS_CULTURAS!$L$6:$L$28,$P1907),INDEX(PARAMETROS_CULTURAS!$L$6:$L$28,$P1907)+(INDEX(PARAMETROS_CULTURAS!$M$6:$M$28,$P1907)-INDEX(PARAMETROS_CULTURAS!$L$6:$L$28,$P1907))*($O1907-INDEX(PARAMETROS_CULTURAS!$F$6:$F$28,$P1907)-INDEX(PARAMETROS_CULTURAS!$G$6:$G$28,$P1907)-INDEX(PARAMETROS_CULTURAS!$H$6:$H$28,$P1907))/MAX(INDEX(PARAMETROS_CULTURAS!$I$6:$I$28,$P1907),0.0001)))))</f>
        <v>1.15</v>
      </c>
      <c r="S1907" s="18" t="n">
        <f aca="false">IFERROR(INDEX(SEMANAS!$H$6:$H$71,MATCH($B1907,SEMANAS!$B$6:$B$71,0)),0)</f>
        <v>40.6</v>
      </c>
      <c r="T1907" s="18" t="n">
        <f aca="false">$R1907*$S1907</f>
        <v>46.69</v>
      </c>
      <c r="U1907" s="18" t="n">
        <f aca="false">IFERROR(INDEX(SEMANAS!$I$6:$I$71,MATCH($B1907,SEMANAS!$B$6:$B$71,0)),0)</f>
        <v>7</v>
      </c>
      <c r="V1907" s="18" t="n">
        <f aca="false">IFERROR(INDEX(SEMANAS!$J$6:$J$71,MATCH($B1907,SEMANAS!$B$6:$B$71,0)),0)</f>
        <v>5.6</v>
      </c>
      <c r="W1907" s="18" t="n">
        <f aca="false">MAX(0,$T1907-$V1907)</f>
        <v>41.09</v>
      </c>
      <c r="X1907" s="19" t="n">
        <f aca="false">IFERROR(INDEX(CADASTRO_PIVOS!$K$6:$K$41,MATCH($E1907,CADASTRO_PIVOS!$B$6:$B$41,0)),EFICIENCIA_PADRAO)</f>
        <v>0.85</v>
      </c>
      <c r="Y1907" s="18" t="n">
        <f aca="false">IF($X1907&lt;=0,0,$W1907/$X1907)</f>
        <v>48.3411764705882</v>
      </c>
      <c r="Z1907" s="16" t="n">
        <f aca="false">$Y1907*$H1907*MM_PARA_M3_HA</f>
        <v>48089.8023529412</v>
      </c>
      <c r="AA1907" s="18" t="n">
        <f aca="false">IFERROR(INDEX(CADASTRO_PIVOS!$I$6:$I$41,MATCH($E1907,CADASTRO_PIVOS!$B$6:$B$41,0)),0)</f>
        <v>710.571428571429</v>
      </c>
      <c r="AB1907" s="18" t="n">
        <f aca="false">IF($Z1907&lt;=0,0,$Z1907/$AA1907)</f>
        <v>67.6776470588235</v>
      </c>
      <c r="AC1907" s="16" t="n">
        <f aca="false">IFERROR(INDEX(SEMANAS!$K$6:$K$71,MATCH($B1907,SEMANAS!$B$6:$B$71,0)),0)</f>
        <v>147</v>
      </c>
      <c r="AD1907" s="19" t="n">
        <f aca="false">IF($AC1907&lt;=0,0,$AB1907/$AC1907)</f>
        <v>0.460392156862745</v>
      </c>
      <c r="AE1907" s="8" t="str">
        <f aca="false">IF($K1907="SEM CULTURA","SEM CULTURA",IF($AA1907&lt;=0,"DADO PENDENTE",IF($AD1907&gt;LIMITE_CRITICO,"INVIAVEL",IF($AD1907&gt;LIMITE_ATENCAO,"CRITICO",IF($AD1907&gt;LIMITE_CONFORTAVEL,"ATENCAO","OK")))))</f>
        <v>OK</v>
      </c>
      <c r="AF1907" s="8" t="str">
        <f aca="false">$B1907&amp;"|"&amp;TEXT($AD1907,"0.000000")</f>
        <v>54|0.460392</v>
      </c>
      <c r="AG1907" s="18" t="n">
        <f aca="false">IF($K1907="SEM CULTURA",0,$T1907*$H1907)</f>
        <v>4644.7212</v>
      </c>
      <c r="AH1907" s="18" t="n">
        <f aca="false">IF($K1907="SEM CULTURA",0,$V1907*$H1907)</f>
        <v>557.088</v>
      </c>
      <c r="AI1907" s="18" t="n">
        <f aca="false">IF($K1907="SEM CULTURA",0,$W1907*$H1907)</f>
        <v>4087.6332</v>
      </c>
      <c r="AJ1907" s="18" t="n">
        <f aca="false">IF($K1907="SEM CULTURA",0,$S1907*$H1907)</f>
        <v>4038.888</v>
      </c>
      <c r="AK1907" s="8" t="str">
        <f aca="false">$E1907&amp;"|"&amp;TEXT($AD1907,"0.000000")</f>
        <v>PV 125|0.460392</v>
      </c>
    </row>
    <row r="1908" customFormat="false" ht="15" hidden="false" customHeight="false" outlineLevel="0" collapsed="false">
      <c r="B1908" s="16" t="n">
        <v>55</v>
      </c>
      <c r="C1908" s="17" t="n">
        <f aca="false">DATA_INICIO_SAFRA+($B1908-1)*DIAS_POR_SEMANA</f>
        <v>46643</v>
      </c>
      <c r="D1908" s="17" t="n">
        <f aca="false">$C1908+DIAS_POR_SEMANA-1</f>
        <v>46649</v>
      </c>
      <c r="E1908" s="15" t="s">
        <v>287</v>
      </c>
      <c r="F1908" s="8" t="str">
        <f aca="false">IFERROR(INDEX(CADASTRO_PIVOS!$C$6:$C$41,MATCH($E1908,CADASTRO_PIVOS!$B$6:$B$41,0)),"?")</f>
        <v>RM07</v>
      </c>
      <c r="G1908" s="8" t="str">
        <f aca="false">IFERROR(INDEX(CADASTRO_PIVOS!$D$6:$D$41,MATCH($E1908,CADASTRO_PIVOS!$B$6:$B$41,0)),"?")</f>
        <v>TR07</v>
      </c>
      <c r="H1908" s="20" t="n">
        <f aca="false">IFERROR(INDEX(CADASTRO_PIVOS!$E$6:$E$41,MATCH($E1908,CADASTRO_PIVOS!$B$6:$B$41,0)),0)</f>
        <v>99.48</v>
      </c>
      <c r="I1908" s="16" t="n">
        <f aca="false">IFERROR(SUMIFS(ROTACAO_RDM!$B$6:$B$71,ROTACAO_RDM!$D$6:$D$71,$E1908,ROTACAO_RDM!$I$6:$I$71,"&lt;="&amp;$C1908+INT(DIAS_POR_SEMANA/2),ROTACAO_RDM!$J$6:$J$71,"&gt;="&amp;$C1908+INT(DIAS_POR_SEMANA/2)),0)</f>
        <v>48</v>
      </c>
      <c r="J1908" s="16" t="n">
        <f aca="false">IFERROR(MATCH($I1908,ROTACAO_RDM!$B$6:$B$71,0),0)</f>
        <v>48</v>
      </c>
      <c r="K1908" s="8" t="str">
        <f aca="false">IF($J1908=0,"SEM CULTURA",INDEX(ROTACAO_RDM!$F$6:$F$71,$J1908))</f>
        <v>MILHO_SEMENTE</v>
      </c>
      <c r="L1908" s="8" t="n">
        <f aca="false">IF($J1908=0,"",INDEX(ROTACAO_RDM!$G$6:$G$71,$J1908))</f>
        <v>0</v>
      </c>
      <c r="M1908" s="17" t="n">
        <f aca="false">IF($J1908=0,"",INDEX(ROTACAO_RDM!$I$6:$I$71,$J1908))</f>
        <v>46562</v>
      </c>
      <c r="N1908" s="16" t="n">
        <f aca="false">IF($J1908=0,0,MAX(0,$C1908+INT(DIAS_POR_SEMANA/2)-INDEX(ROTACAO_RDM!$I$6:$I$71,$J1908)))</f>
        <v>84</v>
      </c>
      <c r="O1908" s="19" t="n">
        <f aca="false">IF($J1908=0,0,MIN(1,$N1908/MAX(1,INDEX(ROTACAO_RDM!$K$6:$K$71,$J1908))))</f>
        <v>0.579310344827586</v>
      </c>
      <c r="P1908" s="16" t="n">
        <f aca="false">IF($J1908=0,0,IFERROR(MATCH(INDEX(ROTACAO_RDM!$N$6:$N$71,$J1908),PARAMETROS_CULTURAS!$B$6:$B$28,0),0))</f>
        <v>7</v>
      </c>
      <c r="Q1908" s="8" t="str">
        <f aca="false">IF($P1908=0,"-",IF($O1908&lt;=INDEX(PARAMETROS_CULTURAS!$F$6:$F$28,$P1908),"INICIAL",IF($O1908&lt;=INDEX(PARAMETROS_CULTURAS!$F$6:$F$28,$P1908)+INDEX(PARAMETROS_CULTURAS!$G$6:$G$28,$P1908),"DESENVOLVIMENTO",IF($O1908&lt;=INDEX(PARAMETROS_CULTURAS!$F$6:$F$28,$P1908)+INDEX(PARAMETROS_CULTURAS!$G$6:$G$28,$P1908)+INDEX(PARAMETROS_CULTURAS!$H$6:$H$28,$P1908),"MEDIA","FINAL"))))</f>
        <v>MEDIA</v>
      </c>
      <c r="R1908" s="24" t="n">
        <f aca="false">IF($P1908=0,0,IF($O1908&lt;=INDEX(PARAMETROS_CULTURAS!$F$6:$F$28,$P1908),INDEX(PARAMETROS_CULTURAS!$K$6:$K$28,$P1908),IF($O1908&lt;=INDEX(PARAMETROS_CULTURAS!$F$6:$F$28,$P1908)+INDEX(PARAMETROS_CULTURAS!$G$6:$G$28,$P1908),INDEX(PARAMETROS_CULTURAS!$K$6:$K$28,$P1908)+(INDEX(PARAMETROS_CULTURAS!$L$6:$L$28,$P1908)-INDEX(PARAMETROS_CULTURAS!$K$6:$K$28,$P1908))*($O1908-INDEX(PARAMETROS_CULTURAS!$F$6:$F$28,$P1908))/MAX(INDEX(PARAMETROS_CULTURAS!$G$6:$G$28,$P1908),0.0001),IF($O1908&lt;=INDEX(PARAMETROS_CULTURAS!$F$6:$F$28,$P1908)+INDEX(PARAMETROS_CULTURAS!$G$6:$G$28,$P1908)+INDEX(PARAMETROS_CULTURAS!$H$6:$H$28,$P1908),INDEX(PARAMETROS_CULTURAS!$L$6:$L$28,$P1908),INDEX(PARAMETROS_CULTURAS!$L$6:$L$28,$P1908)+(INDEX(PARAMETROS_CULTURAS!$M$6:$M$28,$P1908)-INDEX(PARAMETROS_CULTURAS!$L$6:$L$28,$P1908))*($O1908-INDEX(PARAMETROS_CULTURAS!$F$6:$F$28,$P1908)-INDEX(PARAMETROS_CULTURAS!$G$6:$G$28,$P1908)-INDEX(PARAMETROS_CULTURAS!$H$6:$H$28,$P1908))/MAX(INDEX(PARAMETROS_CULTURAS!$I$6:$I$28,$P1908),0.0001)))))</f>
        <v>1.15</v>
      </c>
      <c r="S1908" s="18" t="n">
        <f aca="false">IFERROR(INDEX(SEMANAS!$H$6:$H$71,MATCH($B1908,SEMANAS!$B$6:$B$71,0)),0)</f>
        <v>40.6</v>
      </c>
      <c r="T1908" s="18" t="n">
        <f aca="false">$R1908*$S1908</f>
        <v>46.69</v>
      </c>
      <c r="U1908" s="18" t="n">
        <f aca="false">IFERROR(INDEX(SEMANAS!$I$6:$I$71,MATCH($B1908,SEMANAS!$B$6:$B$71,0)),0)</f>
        <v>7</v>
      </c>
      <c r="V1908" s="18" t="n">
        <f aca="false">IFERROR(INDEX(SEMANAS!$J$6:$J$71,MATCH($B1908,SEMANAS!$B$6:$B$71,0)),0)</f>
        <v>5.6</v>
      </c>
      <c r="W1908" s="18" t="n">
        <f aca="false">MAX(0,$T1908-$V1908)</f>
        <v>41.09</v>
      </c>
      <c r="X1908" s="19" t="n">
        <f aca="false">IFERROR(INDEX(CADASTRO_PIVOS!$K$6:$K$41,MATCH($E1908,CADASTRO_PIVOS!$B$6:$B$41,0)),EFICIENCIA_PADRAO)</f>
        <v>0.85</v>
      </c>
      <c r="Y1908" s="18" t="n">
        <f aca="false">IF($X1908&lt;=0,0,$W1908/$X1908)</f>
        <v>48.3411764705882</v>
      </c>
      <c r="Z1908" s="16" t="n">
        <f aca="false">$Y1908*$H1908*MM_PARA_M3_HA</f>
        <v>48089.8023529412</v>
      </c>
      <c r="AA1908" s="18" t="n">
        <f aca="false">IFERROR(INDEX(CADASTRO_PIVOS!$I$6:$I$41,MATCH($E1908,CADASTRO_PIVOS!$B$6:$B$41,0)),0)</f>
        <v>710.571428571429</v>
      </c>
      <c r="AB1908" s="18" t="n">
        <f aca="false">IF($Z1908&lt;=0,0,$Z1908/$AA1908)</f>
        <v>67.6776470588235</v>
      </c>
      <c r="AC1908" s="16" t="n">
        <f aca="false">IFERROR(INDEX(SEMANAS!$K$6:$K$71,MATCH($B1908,SEMANAS!$B$6:$B$71,0)),0)</f>
        <v>147</v>
      </c>
      <c r="AD1908" s="19" t="n">
        <f aca="false">IF($AC1908&lt;=0,0,$AB1908/$AC1908)</f>
        <v>0.460392156862745</v>
      </c>
      <c r="AE1908" s="8" t="str">
        <f aca="false">IF($K1908="SEM CULTURA","SEM CULTURA",IF($AA1908&lt;=0,"DADO PENDENTE",IF($AD1908&gt;LIMITE_CRITICO,"INVIAVEL",IF($AD1908&gt;LIMITE_ATENCAO,"CRITICO",IF($AD1908&gt;LIMITE_CONFORTAVEL,"ATENCAO","OK")))))</f>
        <v>OK</v>
      </c>
      <c r="AF1908" s="8" t="str">
        <f aca="false">$B1908&amp;"|"&amp;TEXT($AD1908,"0.000000")</f>
        <v>55|0.460392</v>
      </c>
      <c r="AG1908" s="18" t="n">
        <f aca="false">IF($K1908="SEM CULTURA",0,$T1908*$H1908)</f>
        <v>4644.7212</v>
      </c>
      <c r="AH1908" s="18" t="n">
        <f aca="false">IF($K1908="SEM CULTURA",0,$V1908*$H1908)</f>
        <v>557.088</v>
      </c>
      <c r="AI1908" s="18" t="n">
        <f aca="false">IF($K1908="SEM CULTURA",0,$W1908*$H1908)</f>
        <v>4087.6332</v>
      </c>
      <c r="AJ1908" s="18" t="n">
        <f aca="false">IF($K1908="SEM CULTURA",0,$S1908*$H1908)</f>
        <v>4038.888</v>
      </c>
      <c r="AK1908" s="8" t="str">
        <f aca="false">$E1908&amp;"|"&amp;TEXT($AD1908,"0.000000")</f>
        <v>PV 125|0.460392</v>
      </c>
    </row>
    <row r="1909" customFormat="false" ht="15" hidden="false" customHeight="false" outlineLevel="0" collapsed="false">
      <c r="B1909" s="16" t="n">
        <v>56</v>
      </c>
      <c r="C1909" s="17" t="n">
        <f aca="false">DATA_INICIO_SAFRA+($B1909-1)*DIAS_POR_SEMANA</f>
        <v>46650</v>
      </c>
      <c r="D1909" s="17" t="n">
        <f aca="false">$C1909+DIAS_POR_SEMANA-1</f>
        <v>46656</v>
      </c>
      <c r="E1909" s="15" t="s">
        <v>287</v>
      </c>
      <c r="F1909" s="8" t="str">
        <f aca="false">IFERROR(INDEX(CADASTRO_PIVOS!$C$6:$C$41,MATCH($E1909,CADASTRO_PIVOS!$B$6:$B$41,0)),"?")</f>
        <v>RM07</v>
      </c>
      <c r="G1909" s="8" t="str">
        <f aca="false">IFERROR(INDEX(CADASTRO_PIVOS!$D$6:$D$41,MATCH($E1909,CADASTRO_PIVOS!$B$6:$B$41,0)),"?")</f>
        <v>TR07</v>
      </c>
      <c r="H1909" s="20" t="n">
        <f aca="false">IFERROR(INDEX(CADASTRO_PIVOS!$E$6:$E$41,MATCH($E1909,CADASTRO_PIVOS!$B$6:$B$41,0)),0)</f>
        <v>99.48</v>
      </c>
      <c r="I1909" s="16" t="n">
        <f aca="false">IFERROR(SUMIFS(ROTACAO_RDM!$B$6:$B$71,ROTACAO_RDM!$D$6:$D$71,$E1909,ROTACAO_RDM!$I$6:$I$71,"&lt;="&amp;$C1909+INT(DIAS_POR_SEMANA/2),ROTACAO_RDM!$J$6:$J$71,"&gt;="&amp;$C1909+INT(DIAS_POR_SEMANA/2)),0)</f>
        <v>48</v>
      </c>
      <c r="J1909" s="16" t="n">
        <f aca="false">IFERROR(MATCH($I1909,ROTACAO_RDM!$B$6:$B$71,0),0)</f>
        <v>48</v>
      </c>
      <c r="K1909" s="8" t="str">
        <f aca="false">IF($J1909=0,"SEM CULTURA",INDEX(ROTACAO_RDM!$F$6:$F$71,$J1909))</f>
        <v>MILHO_SEMENTE</v>
      </c>
      <c r="L1909" s="8" t="n">
        <f aca="false">IF($J1909=0,"",INDEX(ROTACAO_RDM!$G$6:$G$71,$J1909))</f>
        <v>0</v>
      </c>
      <c r="M1909" s="17" t="n">
        <f aca="false">IF($J1909=0,"",INDEX(ROTACAO_RDM!$I$6:$I$71,$J1909))</f>
        <v>46562</v>
      </c>
      <c r="N1909" s="16" t="n">
        <f aca="false">IF($J1909=0,0,MAX(0,$C1909+INT(DIAS_POR_SEMANA/2)-INDEX(ROTACAO_RDM!$I$6:$I$71,$J1909)))</f>
        <v>91</v>
      </c>
      <c r="O1909" s="19" t="n">
        <f aca="false">IF($J1909=0,0,MIN(1,$N1909/MAX(1,INDEX(ROTACAO_RDM!$K$6:$K$71,$J1909))))</f>
        <v>0.627586206896552</v>
      </c>
      <c r="P1909" s="16" t="n">
        <f aca="false">IF($J1909=0,0,IFERROR(MATCH(INDEX(ROTACAO_RDM!$N$6:$N$71,$J1909),PARAMETROS_CULTURAS!$B$6:$B$28,0),0))</f>
        <v>7</v>
      </c>
      <c r="Q1909" s="8" t="str">
        <f aca="false">IF($P1909=0,"-",IF($O1909&lt;=INDEX(PARAMETROS_CULTURAS!$F$6:$F$28,$P1909),"INICIAL",IF($O1909&lt;=INDEX(PARAMETROS_CULTURAS!$F$6:$F$28,$P1909)+INDEX(PARAMETROS_CULTURAS!$G$6:$G$28,$P1909),"DESENVOLVIMENTO",IF($O1909&lt;=INDEX(PARAMETROS_CULTURAS!$F$6:$F$28,$P1909)+INDEX(PARAMETROS_CULTURAS!$G$6:$G$28,$P1909)+INDEX(PARAMETROS_CULTURAS!$H$6:$H$28,$P1909),"MEDIA","FINAL"))))</f>
        <v>MEDIA</v>
      </c>
      <c r="R1909" s="24" t="n">
        <f aca="false">IF($P1909=0,0,IF($O1909&lt;=INDEX(PARAMETROS_CULTURAS!$F$6:$F$28,$P1909),INDEX(PARAMETROS_CULTURAS!$K$6:$K$28,$P1909),IF($O1909&lt;=INDEX(PARAMETROS_CULTURAS!$F$6:$F$28,$P1909)+INDEX(PARAMETROS_CULTURAS!$G$6:$G$28,$P1909),INDEX(PARAMETROS_CULTURAS!$K$6:$K$28,$P1909)+(INDEX(PARAMETROS_CULTURAS!$L$6:$L$28,$P1909)-INDEX(PARAMETROS_CULTURAS!$K$6:$K$28,$P1909))*($O1909-INDEX(PARAMETROS_CULTURAS!$F$6:$F$28,$P1909))/MAX(INDEX(PARAMETROS_CULTURAS!$G$6:$G$28,$P1909),0.0001),IF($O1909&lt;=INDEX(PARAMETROS_CULTURAS!$F$6:$F$28,$P1909)+INDEX(PARAMETROS_CULTURAS!$G$6:$G$28,$P1909)+INDEX(PARAMETROS_CULTURAS!$H$6:$H$28,$P1909),INDEX(PARAMETROS_CULTURAS!$L$6:$L$28,$P1909),INDEX(PARAMETROS_CULTURAS!$L$6:$L$28,$P1909)+(INDEX(PARAMETROS_CULTURAS!$M$6:$M$28,$P1909)-INDEX(PARAMETROS_CULTURAS!$L$6:$L$28,$P1909))*($O1909-INDEX(PARAMETROS_CULTURAS!$F$6:$F$28,$P1909)-INDEX(PARAMETROS_CULTURAS!$G$6:$G$28,$P1909)-INDEX(PARAMETROS_CULTURAS!$H$6:$H$28,$P1909))/MAX(INDEX(PARAMETROS_CULTURAS!$I$6:$I$28,$P1909),0.0001)))))</f>
        <v>1.15</v>
      </c>
      <c r="S1909" s="18" t="n">
        <f aca="false">IFERROR(INDEX(SEMANAS!$H$6:$H$71,MATCH($B1909,SEMANAS!$B$6:$B$71,0)),0)</f>
        <v>40.6</v>
      </c>
      <c r="T1909" s="18" t="n">
        <f aca="false">$R1909*$S1909</f>
        <v>46.69</v>
      </c>
      <c r="U1909" s="18" t="n">
        <f aca="false">IFERROR(INDEX(SEMANAS!$I$6:$I$71,MATCH($B1909,SEMANAS!$B$6:$B$71,0)),0)</f>
        <v>7</v>
      </c>
      <c r="V1909" s="18" t="n">
        <f aca="false">IFERROR(INDEX(SEMANAS!$J$6:$J$71,MATCH($B1909,SEMANAS!$B$6:$B$71,0)),0)</f>
        <v>5.6</v>
      </c>
      <c r="W1909" s="18" t="n">
        <f aca="false">MAX(0,$T1909-$V1909)</f>
        <v>41.09</v>
      </c>
      <c r="X1909" s="19" t="n">
        <f aca="false">IFERROR(INDEX(CADASTRO_PIVOS!$K$6:$K$41,MATCH($E1909,CADASTRO_PIVOS!$B$6:$B$41,0)),EFICIENCIA_PADRAO)</f>
        <v>0.85</v>
      </c>
      <c r="Y1909" s="18" t="n">
        <f aca="false">IF($X1909&lt;=0,0,$W1909/$X1909)</f>
        <v>48.3411764705882</v>
      </c>
      <c r="Z1909" s="16" t="n">
        <f aca="false">$Y1909*$H1909*MM_PARA_M3_HA</f>
        <v>48089.8023529412</v>
      </c>
      <c r="AA1909" s="18" t="n">
        <f aca="false">IFERROR(INDEX(CADASTRO_PIVOS!$I$6:$I$41,MATCH($E1909,CADASTRO_PIVOS!$B$6:$B$41,0)),0)</f>
        <v>710.571428571429</v>
      </c>
      <c r="AB1909" s="18" t="n">
        <f aca="false">IF($Z1909&lt;=0,0,$Z1909/$AA1909)</f>
        <v>67.6776470588235</v>
      </c>
      <c r="AC1909" s="16" t="n">
        <f aca="false">IFERROR(INDEX(SEMANAS!$K$6:$K$71,MATCH($B1909,SEMANAS!$B$6:$B$71,0)),0)</f>
        <v>147</v>
      </c>
      <c r="AD1909" s="19" t="n">
        <f aca="false">IF($AC1909&lt;=0,0,$AB1909/$AC1909)</f>
        <v>0.460392156862745</v>
      </c>
      <c r="AE1909" s="8" t="str">
        <f aca="false">IF($K1909="SEM CULTURA","SEM CULTURA",IF($AA1909&lt;=0,"DADO PENDENTE",IF($AD1909&gt;LIMITE_CRITICO,"INVIAVEL",IF($AD1909&gt;LIMITE_ATENCAO,"CRITICO",IF($AD1909&gt;LIMITE_CONFORTAVEL,"ATENCAO","OK")))))</f>
        <v>OK</v>
      </c>
      <c r="AF1909" s="8" t="str">
        <f aca="false">$B1909&amp;"|"&amp;TEXT($AD1909,"0.000000")</f>
        <v>56|0.460392</v>
      </c>
      <c r="AG1909" s="18" t="n">
        <f aca="false">IF($K1909="SEM CULTURA",0,$T1909*$H1909)</f>
        <v>4644.7212</v>
      </c>
      <c r="AH1909" s="18" t="n">
        <f aca="false">IF($K1909="SEM CULTURA",0,$V1909*$H1909)</f>
        <v>557.088</v>
      </c>
      <c r="AI1909" s="18" t="n">
        <f aca="false">IF($K1909="SEM CULTURA",0,$W1909*$H1909)</f>
        <v>4087.6332</v>
      </c>
      <c r="AJ1909" s="18" t="n">
        <f aca="false">IF($K1909="SEM CULTURA",0,$S1909*$H1909)</f>
        <v>4038.888</v>
      </c>
      <c r="AK1909" s="8" t="str">
        <f aca="false">$E1909&amp;"|"&amp;TEXT($AD1909,"0.000000")</f>
        <v>PV 125|0.460392</v>
      </c>
    </row>
    <row r="1910" customFormat="false" ht="15" hidden="false" customHeight="false" outlineLevel="0" collapsed="false">
      <c r="B1910" s="16" t="n">
        <v>57</v>
      </c>
      <c r="C1910" s="17" t="n">
        <f aca="false">DATA_INICIO_SAFRA+($B1910-1)*DIAS_POR_SEMANA</f>
        <v>46657</v>
      </c>
      <c r="D1910" s="17" t="n">
        <f aca="false">$C1910+DIAS_POR_SEMANA-1</f>
        <v>46663</v>
      </c>
      <c r="E1910" s="15" t="s">
        <v>287</v>
      </c>
      <c r="F1910" s="8" t="str">
        <f aca="false">IFERROR(INDEX(CADASTRO_PIVOS!$C$6:$C$41,MATCH($E1910,CADASTRO_PIVOS!$B$6:$B$41,0)),"?")</f>
        <v>RM07</v>
      </c>
      <c r="G1910" s="8" t="str">
        <f aca="false">IFERROR(INDEX(CADASTRO_PIVOS!$D$6:$D$41,MATCH($E1910,CADASTRO_PIVOS!$B$6:$B$41,0)),"?")</f>
        <v>TR07</v>
      </c>
      <c r="H1910" s="20" t="n">
        <f aca="false">IFERROR(INDEX(CADASTRO_PIVOS!$E$6:$E$41,MATCH($E1910,CADASTRO_PIVOS!$B$6:$B$41,0)),0)</f>
        <v>99.48</v>
      </c>
      <c r="I1910" s="16" t="n">
        <f aca="false">IFERROR(SUMIFS(ROTACAO_RDM!$B$6:$B$71,ROTACAO_RDM!$D$6:$D$71,$E1910,ROTACAO_RDM!$I$6:$I$71,"&lt;="&amp;$C1910+INT(DIAS_POR_SEMANA/2),ROTACAO_RDM!$J$6:$J$71,"&gt;="&amp;$C1910+INT(DIAS_POR_SEMANA/2)),0)</f>
        <v>48</v>
      </c>
      <c r="J1910" s="16" t="n">
        <f aca="false">IFERROR(MATCH($I1910,ROTACAO_RDM!$B$6:$B$71,0),0)</f>
        <v>48</v>
      </c>
      <c r="K1910" s="8" t="str">
        <f aca="false">IF($J1910=0,"SEM CULTURA",INDEX(ROTACAO_RDM!$F$6:$F$71,$J1910))</f>
        <v>MILHO_SEMENTE</v>
      </c>
      <c r="L1910" s="8" t="n">
        <f aca="false">IF($J1910=0,"",INDEX(ROTACAO_RDM!$G$6:$G$71,$J1910))</f>
        <v>0</v>
      </c>
      <c r="M1910" s="17" t="n">
        <f aca="false">IF($J1910=0,"",INDEX(ROTACAO_RDM!$I$6:$I$71,$J1910))</f>
        <v>46562</v>
      </c>
      <c r="N1910" s="16" t="n">
        <f aca="false">IF($J1910=0,0,MAX(0,$C1910+INT(DIAS_POR_SEMANA/2)-INDEX(ROTACAO_RDM!$I$6:$I$71,$J1910)))</f>
        <v>98</v>
      </c>
      <c r="O1910" s="19" t="n">
        <f aca="false">IF($J1910=0,0,MIN(1,$N1910/MAX(1,INDEX(ROTACAO_RDM!$K$6:$K$71,$J1910))))</f>
        <v>0.675862068965517</v>
      </c>
      <c r="P1910" s="16" t="n">
        <f aca="false">IF($J1910=0,0,IFERROR(MATCH(INDEX(ROTACAO_RDM!$N$6:$N$71,$J1910),PARAMETROS_CULTURAS!$B$6:$B$28,0),0))</f>
        <v>7</v>
      </c>
      <c r="Q1910" s="8" t="str">
        <f aca="false">IF($P1910=0,"-",IF($O1910&lt;=INDEX(PARAMETROS_CULTURAS!$F$6:$F$28,$P1910),"INICIAL",IF($O1910&lt;=INDEX(PARAMETROS_CULTURAS!$F$6:$F$28,$P1910)+INDEX(PARAMETROS_CULTURAS!$G$6:$G$28,$P1910),"DESENVOLVIMENTO",IF($O1910&lt;=INDEX(PARAMETROS_CULTURAS!$F$6:$F$28,$P1910)+INDEX(PARAMETROS_CULTURAS!$G$6:$G$28,$P1910)+INDEX(PARAMETROS_CULTURAS!$H$6:$H$28,$P1910),"MEDIA","FINAL"))))</f>
        <v>MEDIA</v>
      </c>
      <c r="R1910" s="24" t="n">
        <f aca="false">IF($P1910=0,0,IF($O1910&lt;=INDEX(PARAMETROS_CULTURAS!$F$6:$F$28,$P1910),INDEX(PARAMETROS_CULTURAS!$K$6:$K$28,$P1910),IF($O1910&lt;=INDEX(PARAMETROS_CULTURAS!$F$6:$F$28,$P1910)+INDEX(PARAMETROS_CULTURAS!$G$6:$G$28,$P1910),INDEX(PARAMETROS_CULTURAS!$K$6:$K$28,$P1910)+(INDEX(PARAMETROS_CULTURAS!$L$6:$L$28,$P1910)-INDEX(PARAMETROS_CULTURAS!$K$6:$K$28,$P1910))*($O1910-INDEX(PARAMETROS_CULTURAS!$F$6:$F$28,$P1910))/MAX(INDEX(PARAMETROS_CULTURAS!$G$6:$G$28,$P1910),0.0001),IF($O1910&lt;=INDEX(PARAMETROS_CULTURAS!$F$6:$F$28,$P1910)+INDEX(PARAMETROS_CULTURAS!$G$6:$G$28,$P1910)+INDEX(PARAMETROS_CULTURAS!$H$6:$H$28,$P1910),INDEX(PARAMETROS_CULTURAS!$L$6:$L$28,$P1910),INDEX(PARAMETROS_CULTURAS!$L$6:$L$28,$P1910)+(INDEX(PARAMETROS_CULTURAS!$M$6:$M$28,$P1910)-INDEX(PARAMETROS_CULTURAS!$L$6:$L$28,$P1910))*($O1910-INDEX(PARAMETROS_CULTURAS!$F$6:$F$28,$P1910)-INDEX(PARAMETROS_CULTURAS!$G$6:$G$28,$P1910)-INDEX(PARAMETROS_CULTURAS!$H$6:$H$28,$P1910))/MAX(INDEX(PARAMETROS_CULTURAS!$I$6:$I$28,$P1910),0.0001)))))</f>
        <v>1.15</v>
      </c>
      <c r="S1910" s="18" t="n">
        <f aca="false">IFERROR(INDEX(SEMANAS!$H$6:$H$71,MATCH($B1910,SEMANAS!$B$6:$B$71,0)),0)</f>
        <v>40</v>
      </c>
      <c r="T1910" s="18" t="n">
        <f aca="false">$R1910*$S1910</f>
        <v>46</v>
      </c>
      <c r="U1910" s="18" t="n">
        <f aca="false">IFERROR(INDEX(SEMANAS!$I$6:$I$71,MATCH($B1910,SEMANAS!$B$6:$B$71,0)),0)</f>
        <v>15.61</v>
      </c>
      <c r="V1910" s="18" t="n">
        <f aca="false">IFERROR(INDEX(SEMANAS!$J$6:$J$71,MATCH($B1910,SEMANAS!$B$6:$B$71,0)),0)</f>
        <v>12.488</v>
      </c>
      <c r="W1910" s="18" t="n">
        <f aca="false">MAX(0,$T1910-$V1910)</f>
        <v>33.512</v>
      </c>
      <c r="X1910" s="19" t="n">
        <f aca="false">IFERROR(INDEX(CADASTRO_PIVOS!$K$6:$K$41,MATCH($E1910,CADASTRO_PIVOS!$B$6:$B$41,0)),EFICIENCIA_PADRAO)</f>
        <v>0.85</v>
      </c>
      <c r="Y1910" s="18" t="n">
        <f aca="false">IF($X1910&lt;=0,0,$W1910/$X1910)</f>
        <v>39.4258823529412</v>
      </c>
      <c r="Z1910" s="16" t="n">
        <f aca="false">$Y1910*$H1910*MM_PARA_M3_HA</f>
        <v>39220.8677647059</v>
      </c>
      <c r="AA1910" s="18" t="n">
        <f aca="false">IFERROR(INDEX(CADASTRO_PIVOS!$I$6:$I$41,MATCH($E1910,CADASTRO_PIVOS!$B$6:$B$41,0)),0)</f>
        <v>710.571428571429</v>
      </c>
      <c r="AB1910" s="18" t="n">
        <f aca="false">IF($Z1910&lt;=0,0,$Z1910/$AA1910)</f>
        <v>55.1962352941177</v>
      </c>
      <c r="AC1910" s="16" t="n">
        <f aca="false">IFERROR(INDEX(SEMANAS!$K$6:$K$71,MATCH($B1910,SEMANAS!$B$6:$B$71,0)),0)</f>
        <v>147</v>
      </c>
      <c r="AD1910" s="19" t="n">
        <f aca="false">IF($AC1910&lt;=0,0,$AB1910/$AC1910)</f>
        <v>0.375484593837535</v>
      </c>
      <c r="AE1910" s="8" t="str">
        <f aca="false">IF($K1910="SEM CULTURA","SEM CULTURA",IF($AA1910&lt;=0,"DADO PENDENTE",IF($AD1910&gt;LIMITE_CRITICO,"INVIAVEL",IF($AD1910&gt;LIMITE_ATENCAO,"CRITICO",IF($AD1910&gt;LIMITE_CONFORTAVEL,"ATENCAO","OK")))))</f>
        <v>OK</v>
      </c>
      <c r="AF1910" s="8" t="str">
        <f aca="false">$B1910&amp;"|"&amp;TEXT($AD1910,"0.000000")</f>
        <v>57|0.375485</v>
      </c>
      <c r="AG1910" s="18" t="n">
        <f aca="false">IF($K1910="SEM CULTURA",0,$T1910*$H1910)</f>
        <v>4576.08</v>
      </c>
      <c r="AH1910" s="18" t="n">
        <f aca="false">IF($K1910="SEM CULTURA",0,$V1910*$H1910)</f>
        <v>1242.30624</v>
      </c>
      <c r="AI1910" s="18" t="n">
        <f aca="false">IF($K1910="SEM CULTURA",0,$W1910*$H1910)</f>
        <v>3333.77376</v>
      </c>
      <c r="AJ1910" s="18" t="n">
        <f aca="false">IF($K1910="SEM CULTURA",0,$S1910*$H1910)</f>
        <v>3979.2</v>
      </c>
      <c r="AK1910" s="8" t="str">
        <f aca="false">$E1910&amp;"|"&amp;TEXT($AD1910,"0.000000")</f>
        <v>PV 125|0.375485</v>
      </c>
    </row>
    <row r="1911" customFormat="false" ht="15" hidden="false" customHeight="false" outlineLevel="0" collapsed="false">
      <c r="B1911" s="16" t="n">
        <v>58</v>
      </c>
      <c r="C1911" s="17" t="n">
        <f aca="false">DATA_INICIO_SAFRA+($B1911-1)*DIAS_POR_SEMANA</f>
        <v>46664</v>
      </c>
      <c r="D1911" s="17" t="n">
        <f aca="false">$C1911+DIAS_POR_SEMANA-1</f>
        <v>46670</v>
      </c>
      <c r="E1911" s="15" t="s">
        <v>287</v>
      </c>
      <c r="F1911" s="8" t="str">
        <f aca="false">IFERROR(INDEX(CADASTRO_PIVOS!$C$6:$C$41,MATCH($E1911,CADASTRO_PIVOS!$B$6:$B$41,0)),"?")</f>
        <v>RM07</v>
      </c>
      <c r="G1911" s="8" t="str">
        <f aca="false">IFERROR(INDEX(CADASTRO_PIVOS!$D$6:$D$41,MATCH($E1911,CADASTRO_PIVOS!$B$6:$B$41,0)),"?")</f>
        <v>TR07</v>
      </c>
      <c r="H1911" s="20" t="n">
        <f aca="false">IFERROR(INDEX(CADASTRO_PIVOS!$E$6:$E$41,MATCH($E1911,CADASTRO_PIVOS!$B$6:$B$41,0)),0)</f>
        <v>99.48</v>
      </c>
      <c r="I1911" s="16" t="n">
        <f aca="false">IFERROR(SUMIFS(ROTACAO_RDM!$B$6:$B$71,ROTACAO_RDM!$D$6:$D$71,$E1911,ROTACAO_RDM!$I$6:$I$71,"&lt;="&amp;$C1911+INT(DIAS_POR_SEMANA/2),ROTACAO_RDM!$J$6:$J$71,"&gt;="&amp;$C1911+INT(DIAS_POR_SEMANA/2)),0)</f>
        <v>48</v>
      </c>
      <c r="J1911" s="16" t="n">
        <f aca="false">IFERROR(MATCH($I1911,ROTACAO_RDM!$B$6:$B$71,0),0)</f>
        <v>48</v>
      </c>
      <c r="K1911" s="8" t="str">
        <f aca="false">IF($J1911=0,"SEM CULTURA",INDEX(ROTACAO_RDM!$F$6:$F$71,$J1911))</f>
        <v>MILHO_SEMENTE</v>
      </c>
      <c r="L1911" s="8" t="n">
        <f aca="false">IF($J1911=0,"",INDEX(ROTACAO_RDM!$G$6:$G$71,$J1911))</f>
        <v>0</v>
      </c>
      <c r="M1911" s="17" t="n">
        <f aca="false">IF($J1911=0,"",INDEX(ROTACAO_RDM!$I$6:$I$71,$J1911))</f>
        <v>46562</v>
      </c>
      <c r="N1911" s="16" t="n">
        <f aca="false">IF($J1911=0,0,MAX(0,$C1911+INT(DIAS_POR_SEMANA/2)-INDEX(ROTACAO_RDM!$I$6:$I$71,$J1911)))</f>
        <v>105</v>
      </c>
      <c r="O1911" s="19" t="n">
        <f aca="false">IF($J1911=0,0,MIN(1,$N1911/MAX(1,INDEX(ROTACAO_RDM!$K$6:$K$71,$J1911))))</f>
        <v>0.724137931034483</v>
      </c>
      <c r="P1911" s="16" t="n">
        <f aca="false">IF($J1911=0,0,IFERROR(MATCH(INDEX(ROTACAO_RDM!$N$6:$N$71,$J1911),PARAMETROS_CULTURAS!$B$6:$B$28,0),0))</f>
        <v>7</v>
      </c>
      <c r="Q1911" s="8" t="str">
        <f aca="false">IF($P1911=0,"-",IF($O1911&lt;=INDEX(PARAMETROS_CULTURAS!$F$6:$F$28,$P1911),"INICIAL",IF($O1911&lt;=INDEX(PARAMETROS_CULTURAS!$F$6:$F$28,$P1911)+INDEX(PARAMETROS_CULTURAS!$G$6:$G$28,$P1911),"DESENVOLVIMENTO",IF($O1911&lt;=INDEX(PARAMETROS_CULTURAS!$F$6:$F$28,$P1911)+INDEX(PARAMETROS_CULTURAS!$G$6:$G$28,$P1911)+INDEX(PARAMETROS_CULTURAS!$H$6:$H$28,$P1911),"MEDIA","FINAL"))))</f>
        <v>MEDIA</v>
      </c>
      <c r="R1911" s="24" t="n">
        <f aca="false">IF($P1911=0,0,IF($O1911&lt;=INDEX(PARAMETROS_CULTURAS!$F$6:$F$28,$P1911),INDEX(PARAMETROS_CULTURAS!$K$6:$K$28,$P1911),IF($O1911&lt;=INDEX(PARAMETROS_CULTURAS!$F$6:$F$28,$P1911)+INDEX(PARAMETROS_CULTURAS!$G$6:$G$28,$P1911),INDEX(PARAMETROS_CULTURAS!$K$6:$K$28,$P1911)+(INDEX(PARAMETROS_CULTURAS!$L$6:$L$28,$P1911)-INDEX(PARAMETROS_CULTURAS!$K$6:$K$28,$P1911))*($O1911-INDEX(PARAMETROS_CULTURAS!$F$6:$F$28,$P1911))/MAX(INDEX(PARAMETROS_CULTURAS!$G$6:$G$28,$P1911),0.0001),IF($O1911&lt;=INDEX(PARAMETROS_CULTURAS!$F$6:$F$28,$P1911)+INDEX(PARAMETROS_CULTURAS!$G$6:$G$28,$P1911)+INDEX(PARAMETROS_CULTURAS!$H$6:$H$28,$P1911),INDEX(PARAMETROS_CULTURAS!$L$6:$L$28,$P1911),INDEX(PARAMETROS_CULTURAS!$L$6:$L$28,$P1911)+(INDEX(PARAMETROS_CULTURAS!$M$6:$M$28,$P1911)-INDEX(PARAMETROS_CULTURAS!$L$6:$L$28,$P1911))*($O1911-INDEX(PARAMETROS_CULTURAS!$F$6:$F$28,$P1911)-INDEX(PARAMETROS_CULTURAS!$G$6:$G$28,$P1911)-INDEX(PARAMETROS_CULTURAS!$H$6:$H$28,$P1911))/MAX(INDEX(PARAMETROS_CULTURAS!$I$6:$I$28,$P1911),0.0001)))))</f>
        <v>1.15</v>
      </c>
      <c r="S1911" s="18" t="n">
        <f aca="false">IFERROR(INDEX(SEMANAS!$H$6:$H$71,MATCH($B1911,SEMANAS!$B$6:$B$71,0)),0)</f>
        <v>39.2</v>
      </c>
      <c r="T1911" s="18" t="n">
        <f aca="false">$R1911*$S1911</f>
        <v>45.08</v>
      </c>
      <c r="U1911" s="18" t="n">
        <f aca="false">IFERROR(INDEX(SEMANAS!$I$6:$I$71,MATCH($B1911,SEMANAS!$B$6:$B$71,0)),0)</f>
        <v>27.09</v>
      </c>
      <c r="V1911" s="18" t="n">
        <f aca="false">IFERROR(INDEX(SEMANAS!$J$6:$J$71,MATCH($B1911,SEMANAS!$B$6:$B$71,0)),0)</f>
        <v>21.672</v>
      </c>
      <c r="W1911" s="18" t="n">
        <f aca="false">MAX(0,$T1911-$V1911)</f>
        <v>23.408</v>
      </c>
      <c r="X1911" s="19" t="n">
        <f aca="false">IFERROR(INDEX(CADASTRO_PIVOS!$K$6:$K$41,MATCH($E1911,CADASTRO_PIVOS!$B$6:$B$41,0)),EFICIENCIA_PADRAO)</f>
        <v>0.85</v>
      </c>
      <c r="Y1911" s="18" t="n">
        <f aca="false">IF($X1911&lt;=0,0,$W1911/$X1911)</f>
        <v>27.5388235294118</v>
      </c>
      <c r="Z1911" s="16" t="n">
        <f aca="false">$Y1911*$H1911*MM_PARA_M3_HA</f>
        <v>27395.6216470588</v>
      </c>
      <c r="AA1911" s="18" t="n">
        <f aca="false">IFERROR(INDEX(CADASTRO_PIVOS!$I$6:$I$41,MATCH($E1911,CADASTRO_PIVOS!$B$6:$B$41,0)),0)</f>
        <v>710.571428571429</v>
      </c>
      <c r="AB1911" s="18" t="n">
        <f aca="false">IF($Z1911&lt;=0,0,$Z1911/$AA1911)</f>
        <v>38.5543529411765</v>
      </c>
      <c r="AC1911" s="16" t="n">
        <f aca="false">IFERROR(INDEX(SEMANAS!$K$6:$K$71,MATCH($B1911,SEMANAS!$B$6:$B$71,0)),0)</f>
        <v>147</v>
      </c>
      <c r="AD1911" s="19" t="n">
        <f aca="false">IF($AC1911&lt;=0,0,$AB1911/$AC1911)</f>
        <v>0.262274509803922</v>
      </c>
      <c r="AE1911" s="8" t="str">
        <f aca="false">IF($K1911="SEM CULTURA","SEM CULTURA",IF($AA1911&lt;=0,"DADO PENDENTE",IF($AD1911&gt;LIMITE_CRITICO,"INVIAVEL",IF($AD1911&gt;LIMITE_ATENCAO,"CRITICO",IF($AD1911&gt;LIMITE_CONFORTAVEL,"ATENCAO","OK")))))</f>
        <v>OK</v>
      </c>
      <c r="AF1911" s="8" t="str">
        <f aca="false">$B1911&amp;"|"&amp;TEXT($AD1911,"0.000000")</f>
        <v>58|0.262275</v>
      </c>
      <c r="AG1911" s="18" t="n">
        <f aca="false">IF($K1911="SEM CULTURA",0,$T1911*$H1911)</f>
        <v>4484.5584</v>
      </c>
      <c r="AH1911" s="18" t="n">
        <f aca="false">IF($K1911="SEM CULTURA",0,$V1911*$H1911)</f>
        <v>2155.93056</v>
      </c>
      <c r="AI1911" s="18" t="n">
        <f aca="false">IF($K1911="SEM CULTURA",0,$W1911*$H1911)</f>
        <v>2328.62784</v>
      </c>
      <c r="AJ1911" s="18" t="n">
        <f aca="false">IF($K1911="SEM CULTURA",0,$S1911*$H1911)</f>
        <v>3899.616</v>
      </c>
      <c r="AK1911" s="8" t="str">
        <f aca="false">$E1911&amp;"|"&amp;TEXT($AD1911,"0.000000")</f>
        <v>PV 125|0.262275</v>
      </c>
    </row>
    <row r="1912" customFormat="false" ht="15" hidden="false" customHeight="false" outlineLevel="0" collapsed="false">
      <c r="B1912" s="16" t="n">
        <v>59</v>
      </c>
      <c r="C1912" s="17" t="n">
        <f aca="false">DATA_INICIO_SAFRA+($B1912-1)*DIAS_POR_SEMANA</f>
        <v>46671</v>
      </c>
      <c r="D1912" s="17" t="n">
        <f aca="false">$C1912+DIAS_POR_SEMANA-1</f>
        <v>46677</v>
      </c>
      <c r="E1912" s="15" t="s">
        <v>287</v>
      </c>
      <c r="F1912" s="8" t="str">
        <f aca="false">IFERROR(INDEX(CADASTRO_PIVOS!$C$6:$C$41,MATCH($E1912,CADASTRO_PIVOS!$B$6:$B$41,0)),"?")</f>
        <v>RM07</v>
      </c>
      <c r="G1912" s="8" t="str">
        <f aca="false">IFERROR(INDEX(CADASTRO_PIVOS!$D$6:$D$41,MATCH($E1912,CADASTRO_PIVOS!$B$6:$B$41,0)),"?")</f>
        <v>TR07</v>
      </c>
      <c r="H1912" s="20" t="n">
        <f aca="false">IFERROR(INDEX(CADASTRO_PIVOS!$E$6:$E$41,MATCH($E1912,CADASTRO_PIVOS!$B$6:$B$41,0)),0)</f>
        <v>99.48</v>
      </c>
      <c r="I1912" s="16" t="n">
        <f aca="false">IFERROR(SUMIFS(ROTACAO_RDM!$B$6:$B$71,ROTACAO_RDM!$D$6:$D$71,$E1912,ROTACAO_RDM!$I$6:$I$71,"&lt;="&amp;$C1912+INT(DIAS_POR_SEMANA/2),ROTACAO_RDM!$J$6:$J$71,"&gt;="&amp;$C1912+INT(DIAS_POR_SEMANA/2)),0)</f>
        <v>48</v>
      </c>
      <c r="J1912" s="16" t="n">
        <f aca="false">IFERROR(MATCH($I1912,ROTACAO_RDM!$B$6:$B$71,0),0)</f>
        <v>48</v>
      </c>
      <c r="K1912" s="8" t="str">
        <f aca="false">IF($J1912=0,"SEM CULTURA",INDEX(ROTACAO_RDM!$F$6:$F$71,$J1912))</f>
        <v>MILHO_SEMENTE</v>
      </c>
      <c r="L1912" s="8" t="n">
        <f aca="false">IF($J1912=0,"",INDEX(ROTACAO_RDM!$G$6:$G$71,$J1912))</f>
        <v>0</v>
      </c>
      <c r="M1912" s="17" t="n">
        <f aca="false">IF($J1912=0,"",INDEX(ROTACAO_RDM!$I$6:$I$71,$J1912))</f>
        <v>46562</v>
      </c>
      <c r="N1912" s="16" t="n">
        <f aca="false">IF($J1912=0,0,MAX(0,$C1912+INT(DIAS_POR_SEMANA/2)-INDEX(ROTACAO_RDM!$I$6:$I$71,$J1912)))</f>
        <v>112</v>
      </c>
      <c r="O1912" s="19" t="n">
        <f aca="false">IF($J1912=0,0,MIN(1,$N1912/MAX(1,INDEX(ROTACAO_RDM!$K$6:$K$71,$J1912))))</f>
        <v>0.772413793103448</v>
      </c>
      <c r="P1912" s="16" t="n">
        <f aca="false">IF($J1912=0,0,IFERROR(MATCH(INDEX(ROTACAO_RDM!$N$6:$N$71,$J1912),PARAMETROS_CULTURAS!$B$6:$B$28,0),0))</f>
        <v>7</v>
      </c>
      <c r="Q1912" s="8" t="str">
        <f aca="false">IF($P1912=0,"-",IF($O1912&lt;=INDEX(PARAMETROS_CULTURAS!$F$6:$F$28,$P1912),"INICIAL",IF($O1912&lt;=INDEX(PARAMETROS_CULTURAS!$F$6:$F$28,$P1912)+INDEX(PARAMETROS_CULTURAS!$G$6:$G$28,$P1912),"DESENVOLVIMENTO",IF($O1912&lt;=INDEX(PARAMETROS_CULTURAS!$F$6:$F$28,$P1912)+INDEX(PARAMETROS_CULTURAS!$G$6:$G$28,$P1912)+INDEX(PARAMETROS_CULTURAS!$H$6:$H$28,$P1912),"MEDIA","FINAL"))))</f>
        <v>FINAL</v>
      </c>
      <c r="R1912" s="24" t="n">
        <f aca="false">IF($P1912=0,0,IF($O1912&lt;=INDEX(PARAMETROS_CULTURAS!$F$6:$F$28,$P1912),INDEX(PARAMETROS_CULTURAS!$K$6:$K$28,$P1912),IF($O1912&lt;=INDEX(PARAMETROS_CULTURAS!$F$6:$F$28,$P1912)+INDEX(PARAMETROS_CULTURAS!$G$6:$G$28,$P1912),INDEX(PARAMETROS_CULTURAS!$K$6:$K$28,$P1912)+(INDEX(PARAMETROS_CULTURAS!$L$6:$L$28,$P1912)-INDEX(PARAMETROS_CULTURAS!$K$6:$K$28,$P1912))*($O1912-INDEX(PARAMETROS_CULTURAS!$F$6:$F$28,$P1912))/MAX(INDEX(PARAMETROS_CULTURAS!$G$6:$G$28,$P1912),0.0001),IF($O1912&lt;=INDEX(PARAMETROS_CULTURAS!$F$6:$F$28,$P1912)+INDEX(PARAMETROS_CULTURAS!$G$6:$G$28,$P1912)+INDEX(PARAMETROS_CULTURAS!$H$6:$H$28,$P1912),INDEX(PARAMETROS_CULTURAS!$L$6:$L$28,$P1912),INDEX(PARAMETROS_CULTURAS!$L$6:$L$28,$P1912)+(INDEX(PARAMETROS_CULTURAS!$M$6:$M$28,$P1912)-INDEX(PARAMETROS_CULTURAS!$L$6:$L$28,$P1912))*($O1912-INDEX(PARAMETROS_CULTURAS!$F$6:$F$28,$P1912)-INDEX(PARAMETROS_CULTURAS!$G$6:$G$28,$P1912)-INDEX(PARAMETROS_CULTURAS!$H$6:$H$28,$P1912))/MAX(INDEX(PARAMETROS_CULTURAS!$I$6:$I$28,$P1912),0.0001)))))</f>
        <v>1.10068965517241</v>
      </c>
      <c r="S1912" s="18" t="n">
        <f aca="false">IFERROR(INDEX(SEMANAS!$H$6:$H$71,MATCH($B1912,SEMANAS!$B$6:$B$71,0)),0)</f>
        <v>39.2</v>
      </c>
      <c r="T1912" s="18" t="n">
        <f aca="false">$R1912*$S1912</f>
        <v>43.1470344827586</v>
      </c>
      <c r="U1912" s="18" t="n">
        <f aca="false">IFERROR(INDEX(SEMANAS!$I$6:$I$71,MATCH($B1912,SEMANAS!$B$6:$B$71,0)),0)</f>
        <v>27.09</v>
      </c>
      <c r="V1912" s="18" t="n">
        <f aca="false">IFERROR(INDEX(SEMANAS!$J$6:$J$71,MATCH($B1912,SEMANAS!$B$6:$B$71,0)),0)</f>
        <v>21.672</v>
      </c>
      <c r="W1912" s="18" t="n">
        <f aca="false">MAX(0,$T1912-$V1912)</f>
        <v>21.4750344827586</v>
      </c>
      <c r="X1912" s="19" t="n">
        <f aca="false">IFERROR(INDEX(CADASTRO_PIVOS!$K$6:$K$41,MATCH($E1912,CADASTRO_PIVOS!$B$6:$B$41,0)),EFICIENCIA_PADRAO)</f>
        <v>0.85</v>
      </c>
      <c r="Y1912" s="18" t="n">
        <f aca="false">IF($X1912&lt;=0,0,$W1912/$X1912)</f>
        <v>25.2647464503043</v>
      </c>
      <c r="Z1912" s="16" t="n">
        <f aca="false">$Y1912*$H1912*MM_PARA_M3_HA</f>
        <v>25133.3697687627</v>
      </c>
      <c r="AA1912" s="18" t="n">
        <f aca="false">IFERROR(INDEX(CADASTRO_PIVOS!$I$6:$I$41,MATCH($E1912,CADASTRO_PIVOS!$B$6:$B$41,0)),0)</f>
        <v>710.571428571429</v>
      </c>
      <c r="AB1912" s="18" t="n">
        <f aca="false">IF($Z1912&lt;=0,0,$Z1912/$AA1912)</f>
        <v>35.370645030426</v>
      </c>
      <c r="AC1912" s="16" t="n">
        <f aca="false">IFERROR(INDEX(SEMANAS!$K$6:$K$71,MATCH($B1912,SEMANAS!$B$6:$B$71,0)),0)</f>
        <v>147</v>
      </c>
      <c r="AD1912" s="19" t="n">
        <f aca="false">IF($AC1912&lt;=0,0,$AB1912/$AC1912)</f>
        <v>0.240616632860041</v>
      </c>
      <c r="AE1912" s="8" t="str">
        <f aca="false">IF($K1912="SEM CULTURA","SEM CULTURA",IF($AA1912&lt;=0,"DADO PENDENTE",IF($AD1912&gt;LIMITE_CRITICO,"INVIAVEL",IF($AD1912&gt;LIMITE_ATENCAO,"CRITICO",IF($AD1912&gt;LIMITE_CONFORTAVEL,"ATENCAO","OK")))))</f>
        <v>OK</v>
      </c>
      <c r="AF1912" s="8" t="str">
        <f aca="false">$B1912&amp;"|"&amp;TEXT($AD1912,"0.000000")</f>
        <v>59|0.240617</v>
      </c>
      <c r="AG1912" s="18" t="n">
        <f aca="false">IF($K1912="SEM CULTURA",0,$T1912*$H1912)</f>
        <v>4292.26699034483</v>
      </c>
      <c r="AH1912" s="18" t="n">
        <f aca="false">IF($K1912="SEM CULTURA",0,$V1912*$H1912)</f>
        <v>2155.93056</v>
      </c>
      <c r="AI1912" s="18" t="n">
        <f aca="false">IF($K1912="SEM CULTURA",0,$W1912*$H1912)</f>
        <v>2136.33643034483</v>
      </c>
      <c r="AJ1912" s="18" t="n">
        <f aca="false">IF($K1912="SEM CULTURA",0,$S1912*$H1912)</f>
        <v>3899.616</v>
      </c>
      <c r="AK1912" s="8" t="str">
        <f aca="false">$E1912&amp;"|"&amp;TEXT($AD1912,"0.000000")</f>
        <v>PV 125|0.240617</v>
      </c>
    </row>
    <row r="1913" customFormat="false" ht="15" hidden="false" customHeight="false" outlineLevel="0" collapsed="false">
      <c r="B1913" s="16" t="n">
        <v>60</v>
      </c>
      <c r="C1913" s="17" t="n">
        <f aca="false">DATA_INICIO_SAFRA+($B1913-1)*DIAS_POR_SEMANA</f>
        <v>46678</v>
      </c>
      <c r="D1913" s="17" t="n">
        <f aca="false">$C1913+DIAS_POR_SEMANA-1</f>
        <v>46684</v>
      </c>
      <c r="E1913" s="15" t="s">
        <v>287</v>
      </c>
      <c r="F1913" s="8" t="str">
        <f aca="false">IFERROR(INDEX(CADASTRO_PIVOS!$C$6:$C$41,MATCH($E1913,CADASTRO_PIVOS!$B$6:$B$41,0)),"?")</f>
        <v>RM07</v>
      </c>
      <c r="G1913" s="8" t="str">
        <f aca="false">IFERROR(INDEX(CADASTRO_PIVOS!$D$6:$D$41,MATCH($E1913,CADASTRO_PIVOS!$B$6:$B$41,0)),"?")</f>
        <v>TR07</v>
      </c>
      <c r="H1913" s="20" t="n">
        <f aca="false">IFERROR(INDEX(CADASTRO_PIVOS!$E$6:$E$41,MATCH($E1913,CADASTRO_PIVOS!$B$6:$B$41,0)),0)</f>
        <v>99.48</v>
      </c>
      <c r="I1913" s="16" t="n">
        <f aca="false">IFERROR(SUMIFS(ROTACAO_RDM!$B$6:$B$71,ROTACAO_RDM!$D$6:$D$71,$E1913,ROTACAO_RDM!$I$6:$I$71,"&lt;="&amp;$C1913+INT(DIAS_POR_SEMANA/2),ROTACAO_RDM!$J$6:$J$71,"&gt;="&amp;$C1913+INT(DIAS_POR_SEMANA/2)),0)</f>
        <v>48</v>
      </c>
      <c r="J1913" s="16" t="n">
        <f aca="false">IFERROR(MATCH($I1913,ROTACAO_RDM!$B$6:$B$71,0),0)</f>
        <v>48</v>
      </c>
      <c r="K1913" s="8" t="str">
        <f aca="false">IF($J1913=0,"SEM CULTURA",INDEX(ROTACAO_RDM!$F$6:$F$71,$J1913))</f>
        <v>MILHO_SEMENTE</v>
      </c>
      <c r="L1913" s="8" t="n">
        <f aca="false">IF($J1913=0,"",INDEX(ROTACAO_RDM!$G$6:$G$71,$J1913))</f>
        <v>0</v>
      </c>
      <c r="M1913" s="17" t="n">
        <f aca="false">IF($J1913=0,"",INDEX(ROTACAO_RDM!$I$6:$I$71,$J1913))</f>
        <v>46562</v>
      </c>
      <c r="N1913" s="16" t="n">
        <f aca="false">IF($J1913=0,0,MAX(0,$C1913+INT(DIAS_POR_SEMANA/2)-INDEX(ROTACAO_RDM!$I$6:$I$71,$J1913)))</f>
        <v>119</v>
      </c>
      <c r="O1913" s="19" t="n">
        <f aca="false">IF($J1913=0,0,MIN(1,$N1913/MAX(1,INDEX(ROTACAO_RDM!$K$6:$K$71,$J1913))))</f>
        <v>0.820689655172414</v>
      </c>
      <c r="P1913" s="16" t="n">
        <f aca="false">IF($J1913=0,0,IFERROR(MATCH(INDEX(ROTACAO_RDM!$N$6:$N$71,$J1913),PARAMETROS_CULTURAS!$B$6:$B$28,0),0))</f>
        <v>7</v>
      </c>
      <c r="Q1913" s="8" t="str">
        <f aca="false">IF($P1913=0,"-",IF($O1913&lt;=INDEX(PARAMETROS_CULTURAS!$F$6:$F$28,$P1913),"INICIAL",IF($O1913&lt;=INDEX(PARAMETROS_CULTURAS!$F$6:$F$28,$P1913)+INDEX(PARAMETROS_CULTURAS!$G$6:$G$28,$P1913),"DESENVOLVIMENTO",IF($O1913&lt;=INDEX(PARAMETROS_CULTURAS!$F$6:$F$28,$P1913)+INDEX(PARAMETROS_CULTURAS!$G$6:$G$28,$P1913)+INDEX(PARAMETROS_CULTURAS!$H$6:$H$28,$P1913),"MEDIA","FINAL"))))</f>
        <v>FINAL</v>
      </c>
      <c r="R1913" s="24" t="n">
        <f aca="false">IF($P1913=0,0,IF($O1913&lt;=INDEX(PARAMETROS_CULTURAS!$F$6:$F$28,$P1913),INDEX(PARAMETROS_CULTURAS!$K$6:$K$28,$P1913),IF($O1913&lt;=INDEX(PARAMETROS_CULTURAS!$F$6:$F$28,$P1913)+INDEX(PARAMETROS_CULTURAS!$G$6:$G$28,$P1913),INDEX(PARAMETROS_CULTURAS!$K$6:$K$28,$P1913)+(INDEX(PARAMETROS_CULTURAS!$L$6:$L$28,$P1913)-INDEX(PARAMETROS_CULTURAS!$K$6:$K$28,$P1913))*($O1913-INDEX(PARAMETROS_CULTURAS!$F$6:$F$28,$P1913))/MAX(INDEX(PARAMETROS_CULTURAS!$G$6:$G$28,$P1913),0.0001),IF($O1913&lt;=INDEX(PARAMETROS_CULTURAS!$F$6:$F$28,$P1913)+INDEX(PARAMETROS_CULTURAS!$G$6:$G$28,$P1913)+INDEX(PARAMETROS_CULTURAS!$H$6:$H$28,$P1913),INDEX(PARAMETROS_CULTURAS!$L$6:$L$28,$P1913),INDEX(PARAMETROS_CULTURAS!$L$6:$L$28,$P1913)+(INDEX(PARAMETROS_CULTURAS!$M$6:$M$28,$P1913)-INDEX(PARAMETROS_CULTURAS!$L$6:$L$28,$P1913))*($O1913-INDEX(PARAMETROS_CULTURAS!$F$6:$F$28,$P1913)-INDEX(PARAMETROS_CULTURAS!$G$6:$G$28,$P1913)-INDEX(PARAMETROS_CULTURAS!$H$6:$H$28,$P1913))/MAX(INDEX(PARAMETROS_CULTURAS!$I$6:$I$28,$P1913),0.0001)))))</f>
        <v>0.99448275862069</v>
      </c>
      <c r="S1913" s="18" t="n">
        <f aca="false">IFERROR(INDEX(SEMANAS!$H$6:$H$71,MATCH($B1913,SEMANAS!$B$6:$B$71,0)),0)</f>
        <v>39.2</v>
      </c>
      <c r="T1913" s="18" t="n">
        <f aca="false">$R1913*$S1913</f>
        <v>38.983724137931</v>
      </c>
      <c r="U1913" s="18" t="n">
        <f aca="false">IFERROR(INDEX(SEMANAS!$I$6:$I$71,MATCH($B1913,SEMANAS!$B$6:$B$71,0)),0)</f>
        <v>27.09</v>
      </c>
      <c r="V1913" s="18" t="n">
        <f aca="false">IFERROR(INDEX(SEMANAS!$J$6:$J$71,MATCH($B1913,SEMANAS!$B$6:$B$71,0)),0)</f>
        <v>21.672</v>
      </c>
      <c r="W1913" s="18" t="n">
        <f aca="false">MAX(0,$T1913-$V1913)</f>
        <v>17.311724137931</v>
      </c>
      <c r="X1913" s="19" t="n">
        <f aca="false">IFERROR(INDEX(CADASTRO_PIVOS!$K$6:$K$41,MATCH($E1913,CADASTRO_PIVOS!$B$6:$B$41,0)),EFICIENCIA_PADRAO)</f>
        <v>0.85</v>
      </c>
      <c r="Y1913" s="18" t="n">
        <f aca="false">IF($X1913&lt;=0,0,$W1913/$X1913)</f>
        <v>20.3667342799189</v>
      </c>
      <c r="Z1913" s="16" t="n">
        <f aca="false">$Y1913*$H1913*MM_PARA_M3_HA</f>
        <v>20260.8272616633</v>
      </c>
      <c r="AA1913" s="18" t="n">
        <f aca="false">IFERROR(INDEX(CADASTRO_PIVOS!$I$6:$I$41,MATCH($E1913,CADASTRO_PIVOS!$B$6:$B$41,0)),0)</f>
        <v>710.571428571429</v>
      </c>
      <c r="AB1913" s="18" t="n">
        <f aca="false">IF($Z1913&lt;=0,0,$Z1913/$AA1913)</f>
        <v>28.5134279918864</v>
      </c>
      <c r="AC1913" s="16" t="n">
        <f aca="false">IFERROR(INDEX(SEMANAS!$K$6:$K$71,MATCH($B1913,SEMANAS!$B$6:$B$71,0)),0)</f>
        <v>147</v>
      </c>
      <c r="AD1913" s="19" t="n">
        <f aca="false">IF($AC1913&lt;=0,0,$AB1913/$AC1913)</f>
        <v>0.193968897903989</v>
      </c>
      <c r="AE1913" s="8" t="str">
        <f aca="false">IF($K1913="SEM CULTURA","SEM CULTURA",IF($AA1913&lt;=0,"DADO PENDENTE",IF($AD1913&gt;LIMITE_CRITICO,"INVIAVEL",IF($AD1913&gt;LIMITE_ATENCAO,"CRITICO",IF($AD1913&gt;LIMITE_CONFORTAVEL,"ATENCAO","OK")))))</f>
        <v>OK</v>
      </c>
      <c r="AF1913" s="8" t="str">
        <f aca="false">$B1913&amp;"|"&amp;TEXT($AD1913,"0.000000")</f>
        <v>60|0.193969</v>
      </c>
      <c r="AG1913" s="18" t="n">
        <f aca="false">IF($K1913="SEM CULTURA",0,$T1913*$H1913)</f>
        <v>3878.10087724138</v>
      </c>
      <c r="AH1913" s="18" t="n">
        <f aca="false">IF($K1913="SEM CULTURA",0,$V1913*$H1913)</f>
        <v>2155.93056</v>
      </c>
      <c r="AI1913" s="18" t="n">
        <f aca="false">IF($K1913="SEM CULTURA",0,$W1913*$H1913)</f>
        <v>1722.17031724138</v>
      </c>
      <c r="AJ1913" s="18" t="n">
        <f aca="false">IF($K1913="SEM CULTURA",0,$S1913*$H1913)</f>
        <v>3899.616</v>
      </c>
      <c r="AK1913" s="8" t="str">
        <f aca="false">$E1913&amp;"|"&amp;TEXT($AD1913,"0.000000")</f>
        <v>PV 125|0.193969</v>
      </c>
    </row>
    <row r="1914" customFormat="false" ht="15" hidden="false" customHeight="false" outlineLevel="0" collapsed="false">
      <c r="B1914" s="16" t="n">
        <v>61</v>
      </c>
      <c r="C1914" s="17" t="n">
        <f aca="false">DATA_INICIO_SAFRA+($B1914-1)*DIAS_POR_SEMANA</f>
        <v>46685</v>
      </c>
      <c r="D1914" s="17" t="n">
        <f aca="false">$C1914+DIAS_POR_SEMANA-1</f>
        <v>46691</v>
      </c>
      <c r="E1914" s="15" t="s">
        <v>287</v>
      </c>
      <c r="F1914" s="8" t="str">
        <f aca="false">IFERROR(INDEX(CADASTRO_PIVOS!$C$6:$C$41,MATCH($E1914,CADASTRO_PIVOS!$B$6:$B$41,0)),"?")</f>
        <v>RM07</v>
      </c>
      <c r="G1914" s="8" t="str">
        <f aca="false">IFERROR(INDEX(CADASTRO_PIVOS!$D$6:$D$41,MATCH($E1914,CADASTRO_PIVOS!$B$6:$B$41,0)),"?")</f>
        <v>TR07</v>
      </c>
      <c r="H1914" s="20" t="n">
        <f aca="false">IFERROR(INDEX(CADASTRO_PIVOS!$E$6:$E$41,MATCH($E1914,CADASTRO_PIVOS!$B$6:$B$41,0)),0)</f>
        <v>99.48</v>
      </c>
      <c r="I1914" s="16" t="n">
        <f aca="false">IFERROR(SUMIFS(ROTACAO_RDM!$B$6:$B$71,ROTACAO_RDM!$D$6:$D$71,$E1914,ROTACAO_RDM!$I$6:$I$71,"&lt;="&amp;$C1914+INT(DIAS_POR_SEMANA/2),ROTACAO_RDM!$J$6:$J$71,"&gt;="&amp;$C1914+INT(DIAS_POR_SEMANA/2)),0)</f>
        <v>48</v>
      </c>
      <c r="J1914" s="16" t="n">
        <f aca="false">IFERROR(MATCH($I1914,ROTACAO_RDM!$B$6:$B$71,0),0)</f>
        <v>48</v>
      </c>
      <c r="K1914" s="8" t="str">
        <f aca="false">IF($J1914=0,"SEM CULTURA",INDEX(ROTACAO_RDM!$F$6:$F$71,$J1914))</f>
        <v>MILHO_SEMENTE</v>
      </c>
      <c r="L1914" s="8" t="n">
        <f aca="false">IF($J1914=0,"",INDEX(ROTACAO_RDM!$G$6:$G$71,$J1914))</f>
        <v>0</v>
      </c>
      <c r="M1914" s="17" t="n">
        <f aca="false">IF($J1914=0,"",INDEX(ROTACAO_RDM!$I$6:$I$71,$J1914))</f>
        <v>46562</v>
      </c>
      <c r="N1914" s="16" t="n">
        <f aca="false">IF($J1914=0,0,MAX(0,$C1914+INT(DIAS_POR_SEMANA/2)-INDEX(ROTACAO_RDM!$I$6:$I$71,$J1914)))</f>
        <v>126</v>
      </c>
      <c r="O1914" s="19" t="n">
        <f aca="false">IF($J1914=0,0,MIN(1,$N1914/MAX(1,INDEX(ROTACAO_RDM!$K$6:$K$71,$J1914))))</f>
        <v>0.868965517241379</v>
      </c>
      <c r="P1914" s="16" t="n">
        <f aca="false">IF($J1914=0,0,IFERROR(MATCH(INDEX(ROTACAO_RDM!$N$6:$N$71,$J1914),PARAMETROS_CULTURAS!$B$6:$B$28,0),0))</f>
        <v>7</v>
      </c>
      <c r="Q1914" s="8" t="str">
        <f aca="false">IF($P1914=0,"-",IF($O1914&lt;=INDEX(PARAMETROS_CULTURAS!$F$6:$F$28,$P1914),"INICIAL",IF($O1914&lt;=INDEX(PARAMETROS_CULTURAS!$F$6:$F$28,$P1914)+INDEX(PARAMETROS_CULTURAS!$G$6:$G$28,$P1914),"DESENVOLVIMENTO",IF($O1914&lt;=INDEX(PARAMETROS_CULTURAS!$F$6:$F$28,$P1914)+INDEX(PARAMETROS_CULTURAS!$G$6:$G$28,$P1914)+INDEX(PARAMETROS_CULTURAS!$H$6:$H$28,$P1914),"MEDIA","FINAL"))))</f>
        <v>FINAL</v>
      </c>
      <c r="R1914" s="24" t="n">
        <f aca="false">IF($P1914=0,0,IF($O1914&lt;=INDEX(PARAMETROS_CULTURAS!$F$6:$F$28,$P1914),INDEX(PARAMETROS_CULTURAS!$K$6:$K$28,$P1914),IF($O1914&lt;=INDEX(PARAMETROS_CULTURAS!$F$6:$F$28,$P1914)+INDEX(PARAMETROS_CULTURAS!$G$6:$G$28,$P1914),INDEX(PARAMETROS_CULTURAS!$K$6:$K$28,$P1914)+(INDEX(PARAMETROS_CULTURAS!$L$6:$L$28,$P1914)-INDEX(PARAMETROS_CULTURAS!$K$6:$K$28,$P1914))*($O1914-INDEX(PARAMETROS_CULTURAS!$F$6:$F$28,$P1914))/MAX(INDEX(PARAMETROS_CULTURAS!$G$6:$G$28,$P1914),0.0001),IF($O1914&lt;=INDEX(PARAMETROS_CULTURAS!$F$6:$F$28,$P1914)+INDEX(PARAMETROS_CULTURAS!$G$6:$G$28,$P1914)+INDEX(PARAMETROS_CULTURAS!$H$6:$H$28,$P1914),INDEX(PARAMETROS_CULTURAS!$L$6:$L$28,$P1914),INDEX(PARAMETROS_CULTURAS!$L$6:$L$28,$P1914)+(INDEX(PARAMETROS_CULTURAS!$M$6:$M$28,$P1914)-INDEX(PARAMETROS_CULTURAS!$L$6:$L$28,$P1914))*($O1914-INDEX(PARAMETROS_CULTURAS!$F$6:$F$28,$P1914)-INDEX(PARAMETROS_CULTURAS!$G$6:$G$28,$P1914)-INDEX(PARAMETROS_CULTURAS!$H$6:$H$28,$P1914))/MAX(INDEX(PARAMETROS_CULTURAS!$I$6:$I$28,$P1914),0.0001)))))</f>
        <v>0.888275862068966</v>
      </c>
      <c r="S1914" s="18" t="n">
        <f aca="false">IFERROR(INDEX(SEMANAS!$H$6:$H$71,MATCH($B1914,SEMANAS!$B$6:$B$71,0)),0)</f>
        <v>39.2</v>
      </c>
      <c r="T1914" s="18" t="n">
        <f aca="false">$R1914*$S1914</f>
        <v>34.8204137931034</v>
      </c>
      <c r="U1914" s="18" t="n">
        <f aca="false">IFERROR(INDEX(SEMANAS!$I$6:$I$71,MATCH($B1914,SEMANAS!$B$6:$B$71,0)),0)</f>
        <v>27.09</v>
      </c>
      <c r="V1914" s="18" t="n">
        <f aca="false">IFERROR(INDEX(SEMANAS!$J$6:$J$71,MATCH($B1914,SEMANAS!$B$6:$B$71,0)),0)</f>
        <v>21.672</v>
      </c>
      <c r="W1914" s="18" t="n">
        <f aca="false">MAX(0,$T1914-$V1914)</f>
        <v>13.1484137931034</v>
      </c>
      <c r="X1914" s="19" t="n">
        <f aca="false">IFERROR(INDEX(CADASTRO_PIVOS!$K$6:$K$41,MATCH($E1914,CADASTRO_PIVOS!$B$6:$B$41,0)),EFICIENCIA_PADRAO)</f>
        <v>0.85</v>
      </c>
      <c r="Y1914" s="18" t="n">
        <f aca="false">IF($X1914&lt;=0,0,$W1914/$X1914)</f>
        <v>15.4687221095335</v>
      </c>
      <c r="Z1914" s="16" t="n">
        <f aca="false">$Y1914*$H1914*MM_PARA_M3_HA</f>
        <v>15388.2847545639</v>
      </c>
      <c r="AA1914" s="18" t="n">
        <f aca="false">IFERROR(INDEX(CADASTRO_PIVOS!$I$6:$I$41,MATCH($E1914,CADASTRO_PIVOS!$B$6:$B$41,0)),0)</f>
        <v>710.571428571429</v>
      </c>
      <c r="AB1914" s="18" t="n">
        <f aca="false">IF($Z1914&lt;=0,0,$Z1914/$AA1914)</f>
        <v>21.6562109533468</v>
      </c>
      <c r="AC1914" s="16" t="n">
        <f aca="false">IFERROR(INDEX(SEMANAS!$K$6:$K$71,MATCH($B1914,SEMANAS!$B$6:$B$71,0)),0)</f>
        <v>147</v>
      </c>
      <c r="AD1914" s="19" t="n">
        <f aca="false">IF($AC1914&lt;=0,0,$AB1914/$AC1914)</f>
        <v>0.147321162947938</v>
      </c>
      <c r="AE1914" s="8" t="str">
        <f aca="false">IF($K1914="SEM CULTURA","SEM CULTURA",IF($AA1914&lt;=0,"DADO PENDENTE",IF($AD1914&gt;LIMITE_CRITICO,"INVIAVEL",IF($AD1914&gt;LIMITE_ATENCAO,"CRITICO",IF($AD1914&gt;LIMITE_CONFORTAVEL,"ATENCAO","OK")))))</f>
        <v>OK</v>
      </c>
      <c r="AF1914" s="8" t="str">
        <f aca="false">$B1914&amp;"|"&amp;TEXT($AD1914,"0.000000")</f>
        <v>61|0.147321</v>
      </c>
      <c r="AG1914" s="18" t="n">
        <f aca="false">IF($K1914="SEM CULTURA",0,$T1914*$H1914)</f>
        <v>3463.93476413793</v>
      </c>
      <c r="AH1914" s="18" t="n">
        <f aca="false">IF($K1914="SEM CULTURA",0,$V1914*$H1914)</f>
        <v>2155.93056</v>
      </c>
      <c r="AI1914" s="18" t="n">
        <f aca="false">IF($K1914="SEM CULTURA",0,$W1914*$H1914)</f>
        <v>1308.00420413793</v>
      </c>
      <c r="AJ1914" s="18" t="n">
        <f aca="false">IF($K1914="SEM CULTURA",0,$S1914*$H1914)</f>
        <v>3899.616</v>
      </c>
      <c r="AK1914" s="8" t="str">
        <f aca="false">$E1914&amp;"|"&amp;TEXT($AD1914,"0.000000")</f>
        <v>PV 125|0.147321</v>
      </c>
    </row>
    <row r="1915" customFormat="false" ht="15" hidden="false" customHeight="false" outlineLevel="0" collapsed="false">
      <c r="B1915" s="16" t="n">
        <v>62</v>
      </c>
      <c r="C1915" s="17" t="n">
        <f aca="false">DATA_INICIO_SAFRA+($B1915-1)*DIAS_POR_SEMANA</f>
        <v>46692</v>
      </c>
      <c r="D1915" s="17" t="n">
        <f aca="false">$C1915+DIAS_POR_SEMANA-1</f>
        <v>46698</v>
      </c>
      <c r="E1915" s="15" t="s">
        <v>287</v>
      </c>
      <c r="F1915" s="8" t="str">
        <f aca="false">IFERROR(INDEX(CADASTRO_PIVOS!$C$6:$C$41,MATCH($E1915,CADASTRO_PIVOS!$B$6:$B$41,0)),"?")</f>
        <v>RM07</v>
      </c>
      <c r="G1915" s="8" t="str">
        <f aca="false">IFERROR(INDEX(CADASTRO_PIVOS!$D$6:$D$41,MATCH($E1915,CADASTRO_PIVOS!$B$6:$B$41,0)),"?")</f>
        <v>TR07</v>
      </c>
      <c r="H1915" s="20" t="n">
        <f aca="false">IFERROR(INDEX(CADASTRO_PIVOS!$E$6:$E$41,MATCH($E1915,CADASTRO_PIVOS!$B$6:$B$41,0)),0)</f>
        <v>99.48</v>
      </c>
      <c r="I1915" s="16" t="n">
        <f aca="false">IFERROR(SUMIFS(ROTACAO_RDM!$B$6:$B$71,ROTACAO_RDM!$D$6:$D$71,$E1915,ROTACAO_RDM!$I$6:$I$71,"&lt;="&amp;$C1915+INT(DIAS_POR_SEMANA/2),ROTACAO_RDM!$J$6:$J$71,"&gt;="&amp;$C1915+INT(DIAS_POR_SEMANA/2)),0)</f>
        <v>48</v>
      </c>
      <c r="J1915" s="16" t="n">
        <f aca="false">IFERROR(MATCH($I1915,ROTACAO_RDM!$B$6:$B$71,0),0)</f>
        <v>48</v>
      </c>
      <c r="K1915" s="8" t="str">
        <f aca="false">IF($J1915=0,"SEM CULTURA",INDEX(ROTACAO_RDM!$F$6:$F$71,$J1915))</f>
        <v>MILHO_SEMENTE</v>
      </c>
      <c r="L1915" s="8" t="n">
        <f aca="false">IF($J1915=0,"",INDEX(ROTACAO_RDM!$G$6:$G$71,$J1915))</f>
        <v>0</v>
      </c>
      <c r="M1915" s="17" t="n">
        <f aca="false">IF($J1915=0,"",INDEX(ROTACAO_RDM!$I$6:$I$71,$J1915))</f>
        <v>46562</v>
      </c>
      <c r="N1915" s="16" t="n">
        <f aca="false">IF($J1915=0,0,MAX(0,$C1915+INT(DIAS_POR_SEMANA/2)-INDEX(ROTACAO_RDM!$I$6:$I$71,$J1915)))</f>
        <v>133</v>
      </c>
      <c r="O1915" s="19" t="n">
        <f aca="false">IF($J1915=0,0,MIN(1,$N1915/MAX(1,INDEX(ROTACAO_RDM!$K$6:$K$71,$J1915))))</f>
        <v>0.917241379310345</v>
      </c>
      <c r="P1915" s="16" t="n">
        <f aca="false">IF($J1915=0,0,IFERROR(MATCH(INDEX(ROTACAO_RDM!$N$6:$N$71,$J1915),PARAMETROS_CULTURAS!$B$6:$B$28,0),0))</f>
        <v>7</v>
      </c>
      <c r="Q1915" s="8" t="str">
        <f aca="false">IF($P1915=0,"-",IF($O1915&lt;=INDEX(PARAMETROS_CULTURAS!$F$6:$F$28,$P1915),"INICIAL",IF($O1915&lt;=INDEX(PARAMETROS_CULTURAS!$F$6:$F$28,$P1915)+INDEX(PARAMETROS_CULTURAS!$G$6:$G$28,$P1915),"DESENVOLVIMENTO",IF($O1915&lt;=INDEX(PARAMETROS_CULTURAS!$F$6:$F$28,$P1915)+INDEX(PARAMETROS_CULTURAS!$G$6:$G$28,$P1915)+INDEX(PARAMETROS_CULTURAS!$H$6:$H$28,$P1915),"MEDIA","FINAL"))))</f>
        <v>FINAL</v>
      </c>
      <c r="R1915" s="24" t="n">
        <f aca="false">IF($P1915=0,0,IF($O1915&lt;=INDEX(PARAMETROS_CULTURAS!$F$6:$F$28,$P1915),INDEX(PARAMETROS_CULTURAS!$K$6:$K$28,$P1915),IF($O1915&lt;=INDEX(PARAMETROS_CULTURAS!$F$6:$F$28,$P1915)+INDEX(PARAMETROS_CULTURAS!$G$6:$G$28,$P1915),INDEX(PARAMETROS_CULTURAS!$K$6:$K$28,$P1915)+(INDEX(PARAMETROS_CULTURAS!$L$6:$L$28,$P1915)-INDEX(PARAMETROS_CULTURAS!$K$6:$K$28,$P1915))*($O1915-INDEX(PARAMETROS_CULTURAS!$F$6:$F$28,$P1915))/MAX(INDEX(PARAMETROS_CULTURAS!$G$6:$G$28,$P1915),0.0001),IF($O1915&lt;=INDEX(PARAMETROS_CULTURAS!$F$6:$F$28,$P1915)+INDEX(PARAMETROS_CULTURAS!$G$6:$G$28,$P1915)+INDEX(PARAMETROS_CULTURAS!$H$6:$H$28,$P1915),INDEX(PARAMETROS_CULTURAS!$L$6:$L$28,$P1915),INDEX(PARAMETROS_CULTURAS!$L$6:$L$28,$P1915)+(INDEX(PARAMETROS_CULTURAS!$M$6:$M$28,$P1915)-INDEX(PARAMETROS_CULTURAS!$L$6:$L$28,$P1915))*($O1915-INDEX(PARAMETROS_CULTURAS!$F$6:$F$28,$P1915)-INDEX(PARAMETROS_CULTURAS!$G$6:$G$28,$P1915)-INDEX(PARAMETROS_CULTURAS!$H$6:$H$28,$P1915))/MAX(INDEX(PARAMETROS_CULTURAS!$I$6:$I$28,$P1915),0.0001)))))</f>
        <v>0.782068965517242</v>
      </c>
      <c r="S1915" s="18" t="n">
        <f aca="false">IFERROR(INDEX(SEMANAS!$H$6:$H$71,MATCH($B1915,SEMANAS!$B$6:$B$71,0)),0)</f>
        <v>34.3</v>
      </c>
      <c r="T1915" s="18" t="n">
        <f aca="false">$R1915*$S1915</f>
        <v>26.8249655172414</v>
      </c>
      <c r="U1915" s="18" t="n">
        <f aca="false">IFERROR(INDEX(SEMANAS!$I$6:$I$71,MATCH($B1915,SEMANAS!$B$6:$B$71,0)),0)</f>
        <v>46.69</v>
      </c>
      <c r="V1915" s="18" t="n">
        <f aca="false">IFERROR(INDEX(SEMANAS!$J$6:$J$71,MATCH($B1915,SEMANAS!$B$6:$B$71,0)),0)</f>
        <v>37.352</v>
      </c>
      <c r="W1915" s="18" t="n">
        <f aca="false">MAX(0,$T1915-$V1915)</f>
        <v>0</v>
      </c>
      <c r="X1915" s="19" t="n">
        <f aca="false">IFERROR(INDEX(CADASTRO_PIVOS!$K$6:$K$41,MATCH($E1915,CADASTRO_PIVOS!$B$6:$B$41,0)),EFICIENCIA_PADRAO)</f>
        <v>0.85</v>
      </c>
      <c r="Y1915" s="18" t="n">
        <f aca="false">IF($X1915&lt;=0,0,$W1915/$X1915)</f>
        <v>0</v>
      </c>
      <c r="Z1915" s="16" t="n">
        <f aca="false">$Y1915*$H1915*MM_PARA_M3_HA</f>
        <v>0</v>
      </c>
      <c r="AA1915" s="18" t="n">
        <f aca="false">IFERROR(INDEX(CADASTRO_PIVOS!$I$6:$I$41,MATCH($E1915,CADASTRO_PIVOS!$B$6:$B$41,0)),0)</f>
        <v>710.571428571429</v>
      </c>
      <c r="AB1915" s="18" t="n">
        <f aca="false">IF($Z1915&lt;=0,0,$Z1915/$AA1915)</f>
        <v>0</v>
      </c>
      <c r="AC1915" s="16" t="n">
        <f aca="false">IFERROR(INDEX(SEMANAS!$K$6:$K$71,MATCH($B1915,SEMANAS!$B$6:$B$71,0)),0)</f>
        <v>147</v>
      </c>
      <c r="AD1915" s="19" t="n">
        <f aca="false">IF($AC1915&lt;=0,0,$AB1915/$AC1915)</f>
        <v>0</v>
      </c>
      <c r="AE1915" s="8" t="str">
        <f aca="false">IF($K1915="SEM CULTURA","SEM CULTURA",IF($AA1915&lt;=0,"DADO PENDENTE",IF($AD1915&gt;LIMITE_CRITICO,"INVIAVEL",IF($AD1915&gt;LIMITE_ATENCAO,"CRITICO",IF($AD1915&gt;LIMITE_CONFORTAVEL,"ATENCAO","OK")))))</f>
        <v>OK</v>
      </c>
      <c r="AF1915" s="8" t="str">
        <f aca="false">$B1915&amp;"|"&amp;TEXT($AD1915,"0.000000")</f>
        <v>62|0.000000</v>
      </c>
      <c r="AG1915" s="18" t="n">
        <f aca="false">IF($K1915="SEM CULTURA",0,$T1915*$H1915)</f>
        <v>2668.54756965517</v>
      </c>
      <c r="AH1915" s="18" t="n">
        <f aca="false">IF($K1915="SEM CULTURA",0,$V1915*$H1915)</f>
        <v>3715.77696</v>
      </c>
      <c r="AI1915" s="18" t="n">
        <f aca="false">IF($K1915="SEM CULTURA",0,$W1915*$H1915)</f>
        <v>0</v>
      </c>
      <c r="AJ1915" s="18" t="n">
        <f aca="false">IF($K1915="SEM CULTURA",0,$S1915*$H1915)</f>
        <v>3412.164</v>
      </c>
      <c r="AK1915" s="8" t="str">
        <f aca="false">$E1915&amp;"|"&amp;TEXT($AD1915,"0.000000")</f>
        <v>PV 125|0.000000</v>
      </c>
    </row>
    <row r="1916" customFormat="false" ht="15" hidden="false" customHeight="false" outlineLevel="0" collapsed="false">
      <c r="B1916" s="16" t="n">
        <v>63</v>
      </c>
      <c r="C1916" s="17" t="n">
        <f aca="false">DATA_INICIO_SAFRA+($B1916-1)*DIAS_POR_SEMANA</f>
        <v>46699</v>
      </c>
      <c r="D1916" s="17" t="n">
        <f aca="false">$C1916+DIAS_POR_SEMANA-1</f>
        <v>46705</v>
      </c>
      <c r="E1916" s="15" t="s">
        <v>287</v>
      </c>
      <c r="F1916" s="8" t="str">
        <f aca="false">IFERROR(INDEX(CADASTRO_PIVOS!$C$6:$C$41,MATCH($E1916,CADASTRO_PIVOS!$B$6:$B$41,0)),"?")</f>
        <v>RM07</v>
      </c>
      <c r="G1916" s="8" t="str">
        <f aca="false">IFERROR(INDEX(CADASTRO_PIVOS!$D$6:$D$41,MATCH($E1916,CADASTRO_PIVOS!$B$6:$B$41,0)),"?")</f>
        <v>TR07</v>
      </c>
      <c r="H1916" s="20" t="n">
        <f aca="false">IFERROR(INDEX(CADASTRO_PIVOS!$E$6:$E$41,MATCH($E1916,CADASTRO_PIVOS!$B$6:$B$41,0)),0)</f>
        <v>99.48</v>
      </c>
      <c r="I1916" s="16" t="n">
        <f aca="false">IFERROR(SUMIFS(ROTACAO_RDM!$B$6:$B$71,ROTACAO_RDM!$D$6:$D$71,$E1916,ROTACAO_RDM!$I$6:$I$71,"&lt;="&amp;$C1916+INT(DIAS_POR_SEMANA/2),ROTACAO_RDM!$J$6:$J$71,"&gt;="&amp;$C1916+INT(DIAS_POR_SEMANA/2)),0)</f>
        <v>48</v>
      </c>
      <c r="J1916" s="16" t="n">
        <f aca="false">IFERROR(MATCH($I1916,ROTACAO_RDM!$B$6:$B$71,0),0)</f>
        <v>48</v>
      </c>
      <c r="K1916" s="8" t="str">
        <f aca="false">IF($J1916=0,"SEM CULTURA",INDEX(ROTACAO_RDM!$F$6:$F$71,$J1916))</f>
        <v>MILHO_SEMENTE</v>
      </c>
      <c r="L1916" s="8" t="n">
        <f aca="false">IF($J1916=0,"",INDEX(ROTACAO_RDM!$G$6:$G$71,$J1916))</f>
        <v>0</v>
      </c>
      <c r="M1916" s="17" t="n">
        <f aca="false">IF($J1916=0,"",INDEX(ROTACAO_RDM!$I$6:$I$71,$J1916))</f>
        <v>46562</v>
      </c>
      <c r="N1916" s="16" t="n">
        <f aca="false">IF($J1916=0,0,MAX(0,$C1916+INT(DIAS_POR_SEMANA/2)-INDEX(ROTACAO_RDM!$I$6:$I$71,$J1916)))</f>
        <v>140</v>
      </c>
      <c r="O1916" s="19" t="n">
        <f aca="false">IF($J1916=0,0,MIN(1,$N1916/MAX(1,INDEX(ROTACAO_RDM!$K$6:$K$71,$J1916))))</f>
        <v>0.96551724137931</v>
      </c>
      <c r="P1916" s="16" t="n">
        <f aca="false">IF($J1916=0,0,IFERROR(MATCH(INDEX(ROTACAO_RDM!$N$6:$N$71,$J1916),PARAMETROS_CULTURAS!$B$6:$B$28,0),0))</f>
        <v>7</v>
      </c>
      <c r="Q1916" s="8" t="str">
        <f aca="false">IF($P1916=0,"-",IF($O1916&lt;=INDEX(PARAMETROS_CULTURAS!$F$6:$F$28,$P1916),"INICIAL",IF($O1916&lt;=INDEX(PARAMETROS_CULTURAS!$F$6:$F$28,$P1916)+INDEX(PARAMETROS_CULTURAS!$G$6:$G$28,$P1916),"DESENVOLVIMENTO",IF($O1916&lt;=INDEX(PARAMETROS_CULTURAS!$F$6:$F$28,$P1916)+INDEX(PARAMETROS_CULTURAS!$G$6:$G$28,$P1916)+INDEX(PARAMETROS_CULTURAS!$H$6:$H$28,$P1916),"MEDIA","FINAL"))))</f>
        <v>FINAL</v>
      </c>
      <c r="R1916" s="24" t="n">
        <f aca="false">IF($P1916=0,0,IF($O1916&lt;=INDEX(PARAMETROS_CULTURAS!$F$6:$F$28,$P1916),INDEX(PARAMETROS_CULTURAS!$K$6:$K$28,$P1916),IF($O1916&lt;=INDEX(PARAMETROS_CULTURAS!$F$6:$F$28,$P1916)+INDEX(PARAMETROS_CULTURAS!$G$6:$G$28,$P1916),INDEX(PARAMETROS_CULTURAS!$K$6:$K$28,$P1916)+(INDEX(PARAMETROS_CULTURAS!$L$6:$L$28,$P1916)-INDEX(PARAMETROS_CULTURAS!$K$6:$K$28,$P1916))*($O1916-INDEX(PARAMETROS_CULTURAS!$F$6:$F$28,$P1916))/MAX(INDEX(PARAMETROS_CULTURAS!$G$6:$G$28,$P1916),0.0001),IF($O1916&lt;=INDEX(PARAMETROS_CULTURAS!$F$6:$F$28,$P1916)+INDEX(PARAMETROS_CULTURAS!$G$6:$G$28,$P1916)+INDEX(PARAMETROS_CULTURAS!$H$6:$H$28,$P1916),INDEX(PARAMETROS_CULTURAS!$L$6:$L$28,$P1916),INDEX(PARAMETROS_CULTURAS!$L$6:$L$28,$P1916)+(INDEX(PARAMETROS_CULTURAS!$M$6:$M$28,$P1916)-INDEX(PARAMETROS_CULTURAS!$L$6:$L$28,$P1916))*($O1916-INDEX(PARAMETROS_CULTURAS!$F$6:$F$28,$P1916)-INDEX(PARAMETROS_CULTURAS!$G$6:$G$28,$P1916)-INDEX(PARAMETROS_CULTURAS!$H$6:$H$28,$P1916))/MAX(INDEX(PARAMETROS_CULTURAS!$I$6:$I$28,$P1916),0.0001)))))</f>
        <v>0.675862068965517</v>
      </c>
      <c r="S1916" s="18" t="n">
        <f aca="false">IFERROR(INDEX(SEMANAS!$H$6:$H$71,MATCH($B1916,SEMANAS!$B$6:$B$71,0)),0)</f>
        <v>34.3</v>
      </c>
      <c r="T1916" s="18" t="n">
        <f aca="false">$R1916*$S1916</f>
        <v>23.1820689655172</v>
      </c>
      <c r="U1916" s="18" t="n">
        <f aca="false">IFERROR(INDEX(SEMANAS!$I$6:$I$71,MATCH($B1916,SEMANAS!$B$6:$B$71,0)),0)</f>
        <v>46.69</v>
      </c>
      <c r="V1916" s="18" t="n">
        <f aca="false">IFERROR(INDEX(SEMANAS!$J$6:$J$71,MATCH($B1916,SEMANAS!$B$6:$B$71,0)),0)</f>
        <v>37.352</v>
      </c>
      <c r="W1916" s="18" t="n">
        <f aca="false">MAX(0,$T1916-$V1916)</f>
        <v>0</v>
      </c>
      <c r="X1916" s="19" t="n">
        <f aca="false">IFERROR(INDEX(CADASTRO_PIVOS!$K$6:$K$41,MATCH($E1916,CADASTRO_PIVOS!$B$6:$B$41,0)),EFICIENCIA_PADRAO)</f>
        <v>0.85</v>
      </c>
      <c r="Y1916" s="18" t="n">
        <f aca="false">IF($X1916&lt;=0,0,$W1916/$X1916)</f>
        <v>0</v>
      </c>
      <c r="Z1916" s="16" t="n">
        <f aca="false">$Y1916*$H1916*MM_PARA_M3_HA</f>
        <v>0</v>
      </c>
      <c r="AA1916" s="18" t="n">
        <f aca="false">IFERROR(INDEX(CADASTRO_PIVOS!$I$6:$I$41,MATCH($E1916,CADASTRO_PIVOS!$B$6:$B$41,0)),0)</f>
        <v>710.571428571429</v>
      </c>
      <c r="AB1916" s="18" t="n">
        <f aca="false">IF($Z1916&lt;=0,0,$Z1916/$AA1916)</f>
        <v>0</v>
      </c>
      <c r="AC1916" s="16" t="n">
        <f aca="false">IFERROR(INDEX(SEMANAS!$K$6:$K$71,MATCH($B1916,SEMANAS!$B$6:$B$71,0)),0)</f>
        <v>147</v>
      </c>
      <c r="AD1916" s="19" t="n">
        <f aca="false">IF($AC1916&lt;=0,0,$AB1916/$AC1916)</f>
        <v>0</v>
      </c>
      <c r="AE1916" s="8" t="str">
        <f aca="false">IF($K1916="SEM CULTURA","SEM CULTURA",IF($AA1916&lt;=0,"DADO PENDENTE",IF($AD1916&gt;LIMITE_CRITICO,"INVIAVEL",IF($AD1916&gt;LIMITE_ATENCAO,"CRITICO",IF($AD1916&gt;LIMITE_CONFORTAVEL,"ATENCAO","OK")))))</f>
        <v>OK</v>
      </c>
      <c r="AF1916" s="8" t="str">
        <f aca="false">$B1916&amp;"|"&amp;TEXT($AD1916,"0.000000")</f>
        <v>63|0.000000</v>
      </c>
      <c r="AG1916" s="18" t="n">
        <f aca="false">IF($K1916="SEM CULTURA",0,$T1916*$H1916)</f>
        <v>2306.15222068966</v>
      </c>
      <c r="AH1916" s="18" t="n">
        <f aca="false">IF($K1916="SEM CULTURA",0,$V1916*$H1916)</f>
        <v>3715.77696</v>
      </c>
      <c r="AI1916" s="18" t="n">
        <f aca="false">IF($K1916="SEM CULTURA",0,$W1916*$H1916)</f>
        <v>0</v>
      </c>
      <c r="AJ1916" s="18" t="n">
        <f aca="false">IF($K1916="SEM CULTURA",0,$S1916*$H1916)</f>
        <v>3412.164</v>
      </c>
      <c r="AK1916" s="8" t="str">
        <f aca="false">$E1916&amp;"|"&amp;TEXT($AD1916,"0.000000")</f>
        <v>PV 125|0.000000</v>
      </c>
    </row>
    <row r="1917" customFormat="false" ht="15" hidden="false" customHeight="false" outlineLevel="0" collapsed="false">
      <c r="B1917" s="16" t="n">
        <v>64</v>
      </c>
      <c r="C1917" s="17" t="n">
        <f aca="false">DATA_INICIO_SAFRA+($B1917-1)*DIAS_POR_SEMANA</f>
        <v>46706</v>
      </c>
      <c r="D1917" s="17" t="n">
        <f aca="false">$C1917+DIAS_POR_SEMANA-1</f>
        <v>46712</v>
      </c>
      <c r="E1917" s="15" t="s">
        <v>287</v>
      </c>
      <c r="F1917" s="8" t="str">
        <f aca="false">IFERROR(INDEX(CADASTRO_PIVOS!$C$6:$C$41,MATCH($E1917,CADASTRO_PIVOS!$B$6:$B$41,0)),"?")</f>
        <v>RM07</v>
      </c>
      <c r="G1917" s="8" t="str">
        <f aca="false">IFERROR(INDEX(CADASTRO_PIVOS!$D$6:$D$41,MATCH($E1917,CADASTRO_PIVOS!$B$6:$B$41,0)),"?")</f>
        <v>TR07</v>
      </c>
      <c r="H1917" s="20" t="n">
        <f aca="false">IFERROR(INDEX(CADASTRO_PIVOS!$E$6:$E$41,MATCH($E1917,CADASTRO_PIVOS!$B$6:$B$41,0)),0)</f>
        <v>99.48</v>
      </c>
      <c r="I1917" s="16" t="n">
        <f aca="false">IFERROR(SUMIFS(ROTACAO_RDM!$B$6:$B$71,ROTACAO_RDM!$D$6:$D$71,$E1917,ROTACAO_RDM!$I$6:$I$71,"&lt;="&amp;$C1917+INT(DIAS_POR_SEMANA/2),ROTACAO_RDM!$J$6:$J$71,"&gt;="&amp;$C1917+INT(DIAS_POR_SEMANA/2)),0)</f>
        <v>0</v>
      </c>
      <c r="J1917" s="16" t="n">
        <f aca="false">IFERROR(MATCH($I1917,ROTACAO_RDM!$B$6:$B$71,0),0)</f>
        <v>0</v>
      </c>
      <c r="K1917" s="8" t="str">
        <f aca="false">IF($J1917=0,"SEM CULTURA",INDEX(ROTACAO_RDM!$F$6:$F$71,$J1917))</f>
        <v>SEM CULTURA</v>
      </c>
      <c r="L1917" s="8" t="str">
        <f aca="false">IF($J1917=0,"",INDEX(ROTACAO_RDM!$G$6:$G$71,$J1917))</f>
        <v/>
      </c>
      <c r="M1917" s="17" t="str">
        <f aca="false">IF($J1917=0,"",INDEX(ROTACAO_RDM!$I$6:$I$71,$J1917))</f>
        <v/>
      </c>
      <c r="N1917" s="16" t="n">
        <f aca="false">IF($J1917=0,0,MAX(0,$C1917+INT(DIAS_POR_SEMANA/2)-INDEX(ROTACAO_RDM!$I$6:$I$71,$J1917)))</f>
        <v>0</v>
      </c>
      <c r="O1917" s="19" t="n">
        <f aca="false">IF($J1917=0,0,MIN(1,$N1917/MAX(1,INDEX(ROTACAO_RDM!$K$6:$K$71,$J1917))))</f>
        <v>0</v>
      </c>
      <c r="P1917" s="16" t="n">
        <f aca="false">IF($J1917=0,0,IFERROR(MATCH(INDEX(ROTACAO_RDM!$N$6:$N$71,$J1917),PARAMETROS_CULTURAS!$B$6:$B$28,0),0))</f>
        <v>0</v>
      </c>
      <c r="Q1917" s="8" t="str">
        <f aca="false">IF($P1917=0,"-",IF($O1917&lt;=INDEX(PARAMETROS_CULTURAS!$F$6:$F$28,$P1917),"INICIAL",IF($O1917&lt;=INDEX(PARAMETROS_CULTURAS!$F$6:$F$28,$P1917)+INDEX(PARAMETROS_CULTURAS!$G$6:$G$28,$P1917),"DESENVOLVIMENTO",IF($O1917&lt;=INDEX(PARAMETROS_CULTURAS!$F$6:$F$28,$P1917)+INDEX(PARAMETROS_CULTURAS!$G$6:$G$28,$P1917)+INDEX(PARAMETROS_CULTURAS!$H$6:$H$28,$P1917),"MEDIA","FINAL"))))</f>
        <v>-</v>
      </c>
      <c r="R1917" s="24" t="n">
        <f aca="false">IF($P1917=0,0,IF($O1917&lt;=INDEX(PARAMETROS_CULTURAS!$F$6:$F$28,$P1917),INDEX(PARAMETROS_CULTURAS!$K$6:$K$28,$P1917),IF($O1917&lt;=INDEX(PARAMETROS_CULTURAS!$F$6:$F$28,$P1917)+INDEX(PARAMETROS_CULTURAS!$G$6:$G$28,$P1917),INDEX(PARAMETROS_CULTURAS!$K$6:$K$28,$P1917)+(INDEX(PARAMETROS_CULTURAS!$L$6:$L$28,$P1917)-INDEX(PARAMETROS_CULTURAS!$K$6:$K$28,$P1917))*($O1917-INDEX(PARAMETROS_CULTURAS!$F$6:$F$28,$P1917))/MAX(INDEX(PARAMETROS_CULTURAS!$G$6:$G$28,$P1917),0.0001),IF($O1917&lt;=INDEX(PARAMETROS_CULTURAS!$F$6:$F$28,$P1917)+INDEX(PARAMETROS_CULTURAS!$G$6:$G$28,$P1917)+INDEX(PARAMETROS_CULTURAS!$H$6:$H$28,$P1917),INDEX(PARAMETROS_CULTURAS!$L$6:$L$28,$P1917),INDEX(PARAMETROS_CULTURAS!$L$6:$L$28,$P1917)+(INDEX(PARAMETROS_CULTURAS!$M$6:$M$28,$P1917)-INDEX(PARAMETROS_CULTURAS!$L$6:$L$28,$P1917))*($O1917-INDEX(PARAMETROS_CULTURAS!$F$6:$F$28,$P1917)-INDEX(PARAMETROS_CULTURAS!$G$6:$G$28,$P1917)-INDEX(PARAMETROS_CULTURAS!$H$6:$H$28,$P1917))/MAX(INDEX(PARAMETROS_CULTURAS!$I$6:$I$28,$P1917),0.0001)))))</f>
        <v>0</v>
      </c>
      <c r="S1917" s="18" t="n">
        <f aca="false">IFERROR(INDEX(SEMANAS!$H$6:$H$71,MATCH($B1917,SEMANAS!$B$6:$B$71,0)),0)</f>
        <v>34.3</v>
      </c>
      <c r="T1917" s="18" t="n">
        <f aca="false">$R1917*$S1917</f>
        <v>0</v>
      </c>
      <c r="U1917" s="18" t="n">
        <f aca="false">IFERROR(INDEX(SEMANAS!$I$6:$I$71,MATCH($B1917,SEMANAS!$B$6:$B$71,0)),0)</f>
        <v>46.69</v>
      </c>
      <c r="V1917" s="18" t="n">
        <f aca="false">IFERROR(INDEX(SEMANAS!$J$6:$J$71,MATCH($B1917,SEMANAS!$B$6:$B$71,0)),0)</f>
        <v>37.352</v>
      </c>
      <c r="W1917" s="18" t="n">
        <f aca="false">MAX(0,$T1917-$V1917)</f>
        <v>0</v>
      </c>
      <c r="X1917" s="19" t="n">
        <f aca="false">IFERROR(INDEX(CADASTRO_PIVOS!$K$6:$K$41,MATCH($E1917,CADASTRO_PIVOS!$B$6:$B$41,0)),EFICIENCIA_PADRAO)</f>
        <v>0.85</v>
      </c>
      <c r="Y1917" s="18" t="n">
        <f aca="false">IF($X1917&lt;=0,0,$W1917/$X1917)</f>
        <v>0</v>
      </c>
      <c r="Z1917" s="16" t="n">
        <f aca="false">$Y1917*$H1917*MM_PARA_M3_HA</f>
        <v>0</v>
      </c>
      <c r="AA1917" s="18" t="n">
        <f aca="false">IFERROR(INDEX(CADASTRO_PIVOS!$I$6:$I$41,MATCH($E1917,CADASTRO_PIVOS!$B$6:$B$41,0)),0)</f>
        <v>710.571428571429</v>
      </c>
      <c r="AB1917" s="18" t="n">
        <f aca="false">IF($Z1917&lt;=0,0,$Z1917/$AA1917)</f>
        <v>0</v>
      </c>
      <c r="AC1917" s="16" t="n">
        <f aca="false">IFERROR(INDEX(SEMANAS!$K$6:$K$71,MATCH($B1917,SEMANAS!$B$6:$B$71,0)),0)</f>
        <v>147</v>
      </c>
      <c r="AD1917" s="19" t="n">
        <f aca="false">IF($AC1917&lt;=0,0,$AB1917/$AC1917)</f>
        <v>0</v>
      </c>
      <c r="AE1917" s="8" t="str">
        <f aca="false">IF($K1917="SEM CULTURA","SEM CULTURA",IF($AA1917&lt;=0,"DADO PENDENTE",IF($AD1917&gt;LIMITE_CRITICO,"INVIAVEL",IF($AD1917&gt;LIMITE_ATENCAO,"CRITICO",IF($AD1917&gt;LIMITE_CONFORTAVEL,"ATENCAO","OK")))))</f>
        <v>SEM CULTURA</v>
      </c>
      <c r="AF1917" s="8" t="str">
        <f aca="false">$B1917&amp;"|"&amp;TEXT($AD1917,"0.000000")</f>
        <v>64|0.000000</v>
      </c>
      <c r="AG1917" s="18" t="n">
        <f aca="false">IF($K1917="SEM CULTURA",0,$T1917*$H1917)</f>
        <v>0</v>
      </c>
      <c r="AH1917" s="18" t="n">
        <f aca="false">IF($K1917="SEM CULTURA",0,$V1917*$H1917)</f>
        <v>0</v>
      </c>
      <c r="AI1917" s="18" t="n">
        <f aca="false">IF($K1917="SEM CULTURA",0,$W1917*$H1917)</f>
        <v>0</v>
      </c>
      <c r="AJ1917" s="18" t="n">
        <f aca="false">IF($K1917="SEM CULTURA",0,$S1917*$H1917)</f>
        <v>0</v>
      </c>
      <c r="AK1917" s="8" t="str">
        <f aca="false">$E1917&amp;"|"&amp;TEXT($AD1917,"0.000000")</f>
        <v>PV 125|0.000000</v>
      </c>
    </row>
    <row r="1918" customFormat="false" ht="15" hidden="false" customHeight="false" outlineLevel="0" collapsed="false">
      <c r="B1918" s="16" t="n">
        <v>65</v>
      </c>
      <c r="C1918" s="17" t="n">
        <f aca="false">DATA_INICIO_SAFRA+($B1918-1)*DIAS_POR_SEMANA</f>
        <v>46713</v>
      </c>
      <c r="D1918" s="17" t="n">
        <f aca="false">$C1918+DIAS_POR_SEMANA-1</f>
        <v>46719</v>
      </c>
      <c r="E1918" s="15" t="s">
        <v>287</v>
      </c>
      <c r="F1918" s="8" t="str">
        <f aca="false">IFERROR(INDEX(CADASTRO_PIVOS!$C$6:$C$41,MATCH($E1918,CADASTRO_PIVOS!$B$6:$B$41,0)),"?")</f>
        <v>RM07</v>
      </c>
      <c r="G1918" s="8" t="str">
        <f aca="false">IFERROR(INDEX(CADASTRO_PIVOS!$D$6:$D$41,MATCH($E1918,CADASTRO_PIVOS!$B$6:$B$41,0)),"?")</f>
        <v>TR07</v>
      </c>
      <c r="H1918" s="20" t="n">
        <f aca="false">IFERROR(INDEX(CADASTRO_PIVOS!$E$6:$E$41,MATCH($E1918,CADASTRO_PIVOS!$B$6:$B$41,0)),0)</f>
        <v>99.48</v>
      </c>
      <c r="I1918" s="16" t="n">
        <f aca="false">IFERROR(SUMIFS(ROTACAO_RDM!$B$6:$B$71,ROTACAO_RDM!$D$6:$D$71,$E1918,ROTACAO_RDM!$I$6:$I$71,"&lt;="&amp;$C1918+INT(DIAS_POR_SEMANA/2),ROTACAO_RDM!$J$6:$J$71,"&gt;="&amp;$C1918+INT(DIAS_POR_SEMANA/2)),0)</f>
        <v>0</v>
      </c>
      <c r="J1918" s="16" t="n">
        <f aca="false">IFERROR(MATCH($I1918,ROTACAO_RDM!$B$6:$B$71,0),0)</f>
        <v>0</v>
      </c>
      <c r="K1918" s="8" t="str">
        <f aca="false">IF($J1918=0,"SEM CULTURA",INDEX(ROTACAO_RDM!$F$6:$F$71,$J1918))</f>
        <v>SEM CULTURA</v>
      </c>
      <c r="L1918" s="8" t="str">
        <f aca="false">IF($J1918=0,"",INDEX(ROTACAO_RDM!$G$6:$G$71,$J1918))</f>
        <v/>
      </c>
      <c r="M1918" s="17" t="str">
        <f aca="false">IF($J1918=0,"",INDEX(ROTACAO_RDM!$I$6:$I$71,$J1918))</f>
        <v/>
      </c>
      <c r="N1918" s="16" t="n">
        <f aca="false">IF($J1918=0,0,MAX(0,$C1918+INT(DIAS_POR_SEMANA/2)-INDEX(ROTACAO_RDM!$I$6:$I$71,$J1918)))</f>
        <v>0</v>
      </c>
      <c r="O1918" s="19" t="n">
        <f aca="false">IF($J1918=0,0,MIN(1,$N1918/MAX(1,INDEX(ROTACAO_RDM!$K$6:$K$71,$J1918))))</f>
        <v>0</v>
      </c>
      <c r="P1918" s="16" t="n">
        <f aca="false">IF($J1918=0,0,IFERROR(MATCH(INDEX(ROTACAO_RDM!$N$6:$N$71,$J1918),PARAMETROS_CULTURAS!$B$6:$B$28,0),0))</f>
        <v>0</v>
      </c>
      <c r="Q1918" s="8" t="str">
        <f aca="false">IF($P1918=0,"-",IF($O1918&lt;=INDEX(PARAMETROS_CULTURAS!$F$6:$F$28,$P1918),"INICIAL",IF($O1918&lt;=INDEX(PARAMETROS_CULTURAS!$F$6:$F$28,$P1918)+INDEX(PARAMETROS_CULTURAS!$G$6:$G$28,$P1918),"DESENVOLVIMENTO",IF($O1918&lt;=INDEX(PARAMETROS_CULTURAS!$F$6:$F$28,$P1918)+INDEX(PARAMETROS_CULTURAS!$G$6:$G$28,$P1918)+INDEX(PARAMETROS_CULTURAS!$H$6:$H$28,$P1918),"MEDIA","FINAL"))))</f>
        <v>-</v>
      </c>
      <c r="R1918" s="24" t="n">
        <f aca="false">IF($P1918=0,0,IF($O1918&lt;=INDEX(PARAMETROS_CULTURAS!$F$6:$F$28,$P1918),INDEX(PARAMETROS_CULTURAS!$K$6:$K$28,$P1918),IF($O1918&lt;=INDEX(PARAMETROS_CULTURAS!$F$6:$F$28,$P1918)+INDEX(PARAMETROS_CULTURAS!$G$6:$G$28,$P1918),INDEX(PARAMETROS_CULTURAS!$K$6:$K$28,$P1918)+(INDEX(PARAMETROS_CULTURAS!$L$6:$L$28,$P1918)-INDEX(PARAMETROS_CULTURAS!$K$6:$K$28,$P1918))*($O1918-INDEX(PARAMETROS_CULTURAS!$F$6:$F$28,$P1918))/MAX(INDEX(PARAMETROS_CULTURAS!$G$6:$G$28,$P1918),0.0001),IF($O1918&lt;=INDEX(PARAMETROS_CULTURAS!$F$6:$F$28,$P1918)+INDEX(PARAMETROS_CULTURAS!$G$6:$G$28,$P1918)+INDEX(PARAMETROS_CULTURAS!$H$6:$H$28,$P1918),INDEX(PARAMETROS_CULTURAS!$L$6:$L$28,$P1918),INDEX(PARAMETROS_CULTURAS!$L$6:$L$28,$P1918)+(INDEX(PARAMETROS_CULTURAS!$M$6:$M$28,$P1918)-INDEX(PARAMETROS_CULTURAS!$L$6:$L$28,$P1918))*($O1918-INDEX(PARAMETROS_CULTURAS!$F$6:$F$28,$P1918)-INDEX(PARAMETROS_CULTURAS!$G$6:$G$28,$P1918)-INDEX(PARAMETROS_CULTURAS!$H$6:$H$28,$P1918))/MAX(INDEX(PARAMETROS_CULTURAS!$I$6:$I$28,$P1918),0.0001)))))</f>
        <v>0</v>
      </c>
      <c r="S1918" s="18" t="n">
        <f aca="false">IFERROR(INDEX(SEMANAS!$H$6:$H$71,MATCH($B1918,SEMANAS!$B$6:$B$71,0)),0)</f>
        <v>34.3</v>
      </c>
      <c r="T1918" s="18" t="n">
        <f aca="false">$R1918*$S1918</f>
        <v>0</v>
      </c>
      <c r="U1918" s="18" t="n">
        <f aca="false">IFERROR(INDEX(SEMANAS!$I$6:$I$71,MATCH($B1918,SEMANAS!$B$6:$B$71,0)),0)</f>
        <v>46.69</v>
      </c>
      <c r="V1918" s="18" t="n">
        <f aca="false">IFERROR(INDEX(SEMANAS!$J$6:$J$71,MATCH($B1918,SEMANAS!$B$6:$B$71,0)),0)</f>
        <v>37.352</v>
      </c>
      <c r="W1918" s="18" t="n">
        <f aca="false">MAX(0,$T1918-$V1918)</f>
        <v>0</v>
      </c>
      <c r="X1918" s="19" t="n">
        <f aca="false">IFERROR(INDEX(CADASTRO_PIVOS!$K$6:$K$41,MATCH($E1918,CADASTRO_PIVOS!$B$6:$B$41,0)),EFICIENCIA_PADRAO)</f>
        <v>0.85</v>
      </c>
      <c r="Y1918" s="18" t="n">
        <f aca="false">IF($X1918&lt;=0,0,$W1918/$X1918)</f>
        <v>0</v>
      </c>
      <c r="Z1918" s="16" t="n">
        <f aca="false">$Y1918*$H1918*MM_PARA_M3_HA</f>
        <v>0</v>
      </c>
      <c r="AA1918" s="18" t="n">
        <f aca="false">IFERROR(INDEX(CADASTRO_PIVOS!$I$6:$I$41,MATCH($E1918,CADASTRO_PIVOS!$B$6:$B$41,0)),0)</f>
        <v>710.571428571429</v>
      </c>
      <c r="AB1918" s="18" t="n">
        <f aca="false">IF($Z1918&lt;=0,0,$Z1918/$AA1918)</f>
        <v>0</v>
      </c>
      <c r="AC1918" s="16" t="n">
        <f aca="false">IFERROR(INDEX(SEMANAS!$K$6:$K$71,MATCH($B1918,SEMANAS!$B$6:$B$71,0)),0)</f>
        <v>147</v>
      </c>
      <c r="AD1918" s="19" t="n">
        <f aca="false">IF($AC1918&lt;=0,0,$AB1918/$AC1918)</f>
        <v>0</v>
      </c>
      <c r="AE1918" s="8" t="str">
        <f aca="false">IF($K1918="SEM CULTURA","SEM CULTURA",IF($AA1918&lt;=0,"DADO PENDENTE",IF($AD1918&gt;LIMITE_CRITICO,"INVIAVEL",IF($AD1918&gt;LIMITE_ATENCAO,"CRITICO",IF($AD1918&gt;LIMITE_CONFORTAVEL,"ATENCAO","OK")))))</f>
        <v>SEM CULTURA</v>
      </c>
      <c r="AF1918" s="8" t="str">
        <f aca="false">$B1918&amp;"|"&amp;TEXT($AD1918,"0.000000")</f>
        <v>65|0.000000</v>
      </c>
      <c r="AG1918" s="18" t="n">
        <f aca="false">IF($K1918="SEM CULTURA",0,$T1918*$H1918)</f>
        <v>0</v>
      </c>
      <c r="AH1918" s="18" t="n">
        <f aca="false">IF($K1918="SEM CULTURA",0,$V1918*$H1918)</f>
        <v>0</v>
      </c>
      <c r="AI1918" s="18" t="n">
        <f aca="false">IF($K1918="SEM CULTURA",0,$W1918*$H1918)</f>
        <v>0</v>
      </c>
      <c r="AJ1918" s="18" t="n">
        <f aca="false">IF($K1918="SEM CULTURA",0,$S1918*$H1918)</f>
        <v>0</v>
      </c>
      <c r="AK1918" s="8" t="str">
        <f aca="false">$E1918&amp;"|"&amp;TEXT($AD1918,"0.000000")</f>
        <v>PV 125|0.000000</v>
      </c>
    </row>
    <row r="1919" customFormat="false" ht="15" hidden="false" customHeight="false" outlineLevel="0" collapsed="false">
      <c r="B1919" s="16" t="n">
        <v>66</v>
      </c>
      <c r="C1919" s="17" t="n">
        <f aca="false">DATA_INICIO_SAFRA+($B1919-1)*DIAS_POR_SEMANA</f>
        <v>46720</v>
      </c>
      <c r="D1919" s="17" t="n">
        <f aca="false">$C1919+DIAS_POR_SEMANA-1</f>
        <v>46726</v>
      </c>
      <c r="E1919" s="15" t="s">
        <v>287</v>
      </c>
      <c r="F1919" s="8" t="str">
        <f aca="false">IFERROR(INDEX(CADASTRO_PIVOS!$C$6:$C$41,MATCH($E1919,CADASTRO_PIVOS!$B$6:$B$41,0)),"?")</f>
        <v>RM07</v>
      </c>
      <c r="G1919" s="8" t="str">
        <f aca="false">IFERROR(INDEX(CADASTRO_PIVOS!$D$6:$D$41,MATCH($E1919,CADASTRO_PIVOS!$B$6:$B$41,0)),"?")</f>
        <v>TR07</v>
      </c>
      <c r="H1919" s="20" t="n">
        <f aca="false">IFERROR(INDEX(CADASTRO_PIVOS!$E$6:$E$41,MATCH($E1919,CADASTRO_PIVOS!$B$6:$B$41,0)),0)</f>
        <v>99.48</v>
      </c>
      <c r="I1919" s="16" t="n">
        <f aca="false">IFERROR(SUMIFS(ROTACAO_RDM!$B$6:$B$71,ROTACAO_RDM!$D$6:$D$71,$E1919,ROTACAO_RDM!$I$6:$I$71,"&lt;="&amp;$C1919+INT(DIAS_POR_SEMANA/2),ROTACAO_RDM!$J$6:$J$71,"&gt;="&amp;$C1919+INT(DIAS_POR_SEMANA/2)),0)</f>
        <v>0</v>
      </c>
      <c r="J1919" s="16" t="n">
        <f aca="false">IFERROR(MATCH($I1919,ROTACAO_RDM!$B$6:$B$71,0),0)</f>
        <v>0</v>
      </c>
      <c r="K1919" s="8" t="str">
        <f aca="false">IF($J1919=0,"SEM CULTURA",INDEX(ROTACAO_RDM!$F$6:$F$71,$J1919))</f>
        <v>SEM CULTURA</v>
      </c>
      <c r="L1919" s="8" t="str">
        <f aca="false">IF($J1919=0,"",INDEX(ROTACAO_RDM!$G$6:$G$71,$J1919))</f>
        <v/>
      </c>
      <c r="M1919" s="17" t="str">
        <f aca="false">IF($J1919=0,"",INDEX(ROTACAO_RDM!$I$6:$I$71,$J1919))</f>
        <v/>
      </c>
      <c r="N1919" s="16" t="n">
        <f aca="false">IF($J1919=0,0,MAX(0,$C1919+INT(DIAS_POR_SEMANA/2)-INDEX(ROTACAO_RDM!$I$6:$I$71,$J1919)))</f>
        <v>0</v>
      </c>
      <c r="O1919" s="19" t="n">
        <f aca="false">IF($J1919=0,0,MIN(1,$N1919/MAX(1,INDEX(ROTACAO_RDM!$K$6:$K$71,$J1919))))</f>
        <v>0</v>
      </c>
      <c r="P1919" s="16" t="n">
        <f aca="false">IF($J1919=0,0,IFERROR(MATCH(INDEX(ROTACAO_RDM!$N$6:$N$71,$J1919),PARAMETROS_CULTURAS!$B$6:$B$28,0),0))</f>
        <v>0</v>
      </c>
      <c r="Q1919" s="8" t="str">
        <f aca="false">IF($P1919=0,"-",IF($O1919&lt;=INDEX(PARAMETROS_CULTURAS!$F$6:$F$28,$P1919),"INICIAL",IF($O1919&lt;=INDEX(PARAMETROS_CULTURAS!$F$6:$F$28,$P1919)+INDEX(PARAMETROS_CULTURAS!$G$6:$G$28,$P1919),"DESENVOLVIMENTO",IF($O1919&lt;=INDEX(PARAMETROS_CULTURAS!$F$6:$F$28,$P1919)+INDEX(PARAMETROS_CULTURAS!$G$6:$G$28,$P1919)+INDEX(PARAMETROS_CULTURAS!$H$6:$H$28,$P1919),"MEDIA","FINAL"))))</f>
        <v>-</v>
      </c>
      <c r="R1919" s="24" t="n">
        <f aca="false">IF($P1919=0,0,IF($O1919&lt;=INDEX(PARAMETROS_CULTURAS!$F$6:$F$28,$P1919),INDEX(PARAMETROS_CULTURAS!$K$6:$K$28,$P1919),IF($O1919&lt;=INDEX(PARAMETROS_CULTURAS!$F$6:$F$28,$P1919)+INDEX(PARAMETROS_CULTURAS!$G$6:$G$28,$P1919),INDEX(PARAMETROS_CULTURAS!$K$6:$K$28,$P1919)+(INDEX(PARAMETROS_CULTURAS!$L$6:$L$28,$P1919)-INDEX(PARAMETROS_CULTURAS!$K$6:$K$28,$P1919))*($O1919-INDEX(PARAMETROS_CULTURAS!$F$6:$F$28,$P1919))/MAX(INDEX(PARAMETROS_CULTURAS!$G$6:$G$28,$P1919),0.0001),IF($O1919&lt;=INDEX(PARAMETROS_CULTURAS!$F$6:$F$28,$P1919)+INDEX(PARAMETROS_CULTURAS!$G$6:$G$28,$P1919)+INDEX(PARAMETROS_CULTURAS!$H$6:$H$28,$P1919),INDEX(PARAMETROS_CULTURAS!$L$6:$L$28,$P1919),INDEX(PARAMETROS_CULTURAS!$L$6:$L$28,$P1919)+(INDEX(PARAMETROS_CULTURAS!$M$6:$M$28,$P1919)-INDEX(PARAMETROS_CULTURAS!$L$6:$L$28,$P1919))*($O1919-INDEX(PARAMETROS_CULTURAS!$F$6:$F$28,$P1919)-INDEX(PARAMETROS_CULTURAS!$G$6:$G$28,$P1919)-INDEX(PARAMETROS_CULTURAS!$H$6:$H$28,$P1919))/MAX(INDEX(PARAMETROS_CULTURAS!$I$6:$I$28,$P1919),0.0001)))))</f>
        <v>0</v>
      </c>
      <c r="S1919" s="18" t="n">
        <f aca="false">IFERROR(INDEX(SEMANAS!$H$6:$H$71,MATCH($B1919,SEMANAS!$B$6:$B$71,0)),0)</f>
        <v>33.3</v>
      </c>
      <c r="T1919" s="18" t="n">
        <f aca="false">$R1919*$S1919</f>
        <v>0</v>
      </c>
      <c r="U1919" s="18" t="n">
        <f aca="false">IFERROR(INDEX(SEMANAS!$I$6:$I$71,MATCH($B1919,SEMANAS!$B$6:$B$71,0)),0)</f>
        <v>48.04</v>
      </c>
      <c r="V1919" s="18" t="n">
        <f aca="false">IFERROR(INDEX(SEMANAS!$J$6:$J$71,MATCH($B1919,SEMANAS!$B$6:$B$71,0)),0)</f>
        <v>38.432</v>
      </c>
      <c r="W1919" s="18" t="n">
        <f aca="false">MAX(0,$T1919-$V1919)</f>
        <v>0</v>
      </c>
      <c r="X1919" s="19" t="n">
        <f aca="false">IFERROR(INDEX(CADASTRO_PIVOS!$K$6:$K$41,MATCH($E1919,CADASTRO_PIVOS!$B$6:$B$41,0)),EFICIENCIA_PADRAO)</f>
        <v>0.85</v>
      </c>
      <c r="Y1919" s="18" t="n">
        <f aca="false">IF($X1919&lt;=0,0,$W1919/$X1919)</f>
        <v>0</v>
      </c>
      <c r="Z1919" s="16" t="n">
        <f aca="false">$Y1919*$H1919*MM_PARA_M3_HA</f>
        <v>0</v>
      </c>
      <c r="AA1919" s="18" t="n">
        <f aca="false">IFERROR(INDEX(CADASTRO_PIVOS!$I$6:$I$41,MATCH($E1919,CADASTRO_PIVOS!$B$6:$B$41,0)),0)</f>
        <v>710.571428571429</v>
      </c>
      <c r="AB1919" s="18" t="n">
        <f aca="false">IF($Z1919&lt;=0,0,$Z1919/$AA1919)</f>
        <v>0</v>
      </c>
      <c r="AC1919" s="16" t="n">
        <f aca="false">IFERROR(INDEX(SEMANAS!$K$6:$K$71,MATCH($B1919,SEMANAS!$B$6:$B$71,0)),0)</f>
        <v>147</v>
      </c>
      <c r="AD1919" s="19" t="n">
        <f aca="false">IF($AC1919&lt;=0,0,$AB1919/$AC1919)</f>
        <v>0</v>
      </c>
      <c r="AE1919" s="8" t="str">
        <f aca="false">IF($K1919="SEM CULTURA","SEM CULTURA",IF($AA1919&lt;=0,"DADO PENDENTE",IF($AD1919&gt;LIMITE_CRITICO,"INVIAVEL",IF($AD1919&gt;LIMITE_ATENCAO,"CRITICO",IF($AD1919&gt;LIMITE_CONFORTAVEL,"ATENCAO","OK")))))</f>
        <v>SEM CULTURA</v>
      </c>
      <c r="AF1919" s="8" t="str">
        <f aca="false">$B1919&amp;"|"&amp;TEXT($AD1919,"0.000000")</f>
        <v>66|0.000000</v>
      </c>
      <c r="AG1919" s="18" t="n">
        <f aca="false">IF($K1919="SEM CULTURA",0,$T1919*$H1919)</f>
        <v>0</v>
      </c>
      <c r="AH1919" s="18" t="n">
        <f aca="false">IF($K1919="SEM CULTURA",0,$V1919*$H1919)</f>
        <v>0</v>
      </c>
      <c r="AI1919" s="18" t="n">
        <f aca="false">IF($K1919="SEM CULTURA",0,$W1919*$H1919)</f>
        <v>0</v>
      </c>
      <c r="AJ1919" s="18" t="n">
        <f aca="false">IF($K1919="SEM CULTURA",0,$S1919*$H1919)</f>
        <v>0</v>
      </c>
      <c r="AK1919" s="8" t="str">
        <f aca="false">$E1919&amp;"|"&amp;TEXT($AD1919,"0.000000")</f>
        <v>PV 125|0.000000</v>
      </c>
    </row>
    <row r="1920" customFormat="false" ht="15" hidden="false" customHeight="false" outlineLevel="0" collapsed="false">
      <c r="B1920" s="16" t="n">
        <v>1</v>
      </c>
      <c r="C1920" s="17" t="n">
        <f aca="false">DATA_INICIO_SAFRA+($B1920-1)*DIAS_POR_SEMANA</f>
        <v>46265</v>
      </c>
      <c r="D1920" s="17" t="n">
        <f aca="false">$C1920+DIAS_POR_SEMANA-1</f>
        <v>46271</v>
      </c>
      <c r="E1920" s="15" t="s">
        <v>288</v>
      </c>
      <c r="F1920" s="8" t="str">
        <f aca="false">IFERROR(INDEX(CADASTRO_PIVOS!$C$6:$C$41,MATCH($E1920,CADASTRO_PIVOS!$B$6:$B$41,0)),"?")</f>
        <v>RM07</v>
      </c>
      <c r="G1920" s="8" t="str">
        <f aca="false">IFERROR(INDEX(CADASTRO_PIVOS!$D$6:$D$41,MATCH($E1920,CADASTRO_PIVOS!$B$6:$B$41,0)),"?")</f>
        <v>TR07</v>
      </c>
      <c r="H1920" s="20" t="n">
        <f aca="false">IFERROR(INDEX(CADASTRO_PIVOS!$E$6:$E$41,MATCH($E1920,CADASTRO_PIVOS!$B$6:$B$41,0)),0)</f>
        <v>139.94</v>
      </c>
      <c r="I1920" s="16" t="n">
        <f aca="false">IFERROR(SUMIFS(ROTACAO_RDM!$B$6:$B$71,ROTACAO_RDM!$D$6:$D$71,$E1920,ROTACAO_RDM!$I$6:$I$71,"&lt;="&amp;$C1920+INT(DIAS_POR_SEMANA/2),ROTACAO_RDM!$J$6:$J$71,"&gt;="&amp;$C1920+INT(DIAS_POR_SEMANA/2)),0)</f>
        <v>0</v>
      </c>
      <c r="J1920" s="16" t="n">
        <f aca="false">IFERROR(MATCH($I1920,ROTACAO_RDM!$B$6:$B$71,0),0)</f>
        <v>0</v>
      </c>
      <c r="K1920" s="8" t="str">
        <f aca="false">IF($J1920=0,"SEM CULTURA",INDEX(ROTACAO_RDM!$F$6:$F$71,$J1920))</f>
        <v>SEM CULTURA</v>
      </c>
      <c r="L1920" s="8" t="str">
        <f aca="false">IF($J1920=0,"",INDEX(ROTACAO_RDM!$G$6:$G$71,$J1920))</f>
        <v/>
      </c>
      <c r="M1920" s="17" t="str">
        <f aca="false">IF($J1920=0,"",INDEX(ROTACAO_RDM!$I$6:$I$71,$J1920))</f>
        <v/>
      </c>
      <c r="N1920" s="16" t="n">
        <f aca="false">IF($J1920=0,0,MAX(0,$C1920+INT(DIAS_POR_SEMANA/2)-INDEX(ROTACAO_RDM!$I$6:$I$71,$J1920)))</f>
        <v>0</v>
      </c>
      <c r="O1920" s="19" t="n">
        <f aca="false">IF($J1920=0,0,MIN(1,$N1920/MAX(1,INDEX(ROTACAO_RDM!$K$6:$K$71,$J1920))))</f>
        <v>0</v>
      </c>
      <c r="P1920" s="16" t="n">
        <f aca="false">IF($J1920=0,0,IFERROR(MATCH(INDEX(ROTACAO_RDM!$N$6:$N$71,$J1920),PARAMETROS_CULTURAS!$B$6:$B$28,0),0))</f>
        <v>0</v>
      </c>
      <c r="Q1920" s="8" t="str">
        <f aca="false">IF($P1920=0,"-",IF($O1920&lt;=INDEX(PARAMETROS_CULTURAS!$F$6:$F$28,$P1920),"INICIAL",IF($O1920&lt;=INDEX(PARAMETROS_CULTURAS!$F$6:$F$28,$P1920)+INDEX(PARAMETROS_CULTURAS!$G$6:$G$28,$P1920),"DESENVOLVIMENTO",IF($O1920&lt;=INDEX(PARAMETROS_CULTURAS!$F$6:$F$28,$P1920)+INDEX(PARAMETROS_CULTURAS!$G$6:$G$28,$P1920)+INDEX(PARAMETROS_CULTURAS!$H$6:$H$28,$P1920),"MEDIA","FINAL"))))</f>
        <v>-</v>
      </c>
      <c r="R1920" s="24" t="n">
        <f aca="false">IF($P1920=0,0,IF($O1920&lt;=INDEX(PARAMETROS_CULTURAS!$F$6:$F$28,$P1920),INDEX(PARAMETROS_CULTURAS!$K$6:$K$28,$P1920),IF($O1920&lt;=INDEX(PARAMETROS_CULTURAS!$F$6:$F$28,$P1920)+INDEX(PARAMETROS_CULTURAS!$G$6:$G$28,$P1920),INDEX(PARAMETROS_CULTURAS!$K$6:$K$28,$P1920)+(INDEX(PARAMETROS_CULTURAS!$L$6:$L$28,$P1920)-INDEX(PARAMETROS_CULTURAS!$K$6:$K$28,$P1920))*($O1920-INDEX(PARAMETROS_CULTURAS!$F$6:$F$28,$P1920))/MAX(INDEX(PARAMETROS_CULTURAS!$G$6:$G$28,$P1920),0.0001),IF($O1920&lt;=INDEX(PARAMETROS_CULTURAS!$F$6:$F$28,$P1920)+INDEX(PARAMETROS_CULTURAS!$G$6:$G$28,$P1920)+INDEX(PARAMETROS_CULTURAS!$H$6:$H$28,$P1920),INDEX(PARAMETROS_CULTURAS!$L$6:$L$28,$P1920),INDEX(PARAMETROS_CULTURAS!$L$6:$L$28,$P1920)+(INDEX(PARAMETROS_CULTURAS!$M$6:$M$28,$P1920)-INDEX(PARAMETROS_CULTURAS!$L$6:$L$28,$P1920))*($O1920-INDEX(PARAMETROS_CULTURAS!$F$6:$F$28,$P1920)-INDEX(PARAMETROS_CULTURAS!$G$6:$G$28,$P1920)-INDEX(PARAMETROS_CULTURAS!$H$6:$H$28,$P1920))/MAX(INDEX(PARAMETROS_CULTURAS!$I$6:$I$28,$P1920),0.0001)))))</f>
        <v>0</v>
      </c>
      <c r="S1920" s="18" t="n">
        <f aca="false">IFERROR(INDEX(SEMANAS!$H$6:$H$71,MATCH($B1920,SEMANAS!$B$6:$B$71,0)),0)</f>
        <v>40</v>
      </c>
      <c r="T1920" s="18" t="n">
        <f aca="false">$R1920*$S1920</f>
        <v>0</v>
      </c>
      <c r="U1920" s="18" t="n">
        <f aca="false">IFERROR(INDEX(SEMANAS!$I$6:$I$71,MATCH($B1920,SEMANAS!$B$6:$B$71,0)),0)</f>
        <v>6.16</v>
      </c>
      <c r="V1920" s="18" t="n">
        <f aca="false">IFERROR(INDEX(SEMANAS!$J$6:$J$71,MATCH($B1920,SEMANAS!$B$6:$B$71,0)),0)</f>
        <v>4.928</v>
      </c>
      <c r="W1920" s="18" t="n">
        <f aca="false">MAX(0,$T1920-$V1920)</f>
        <v>0</v>
      </c>
      <c r="X1920" s="19" t="n">
        <f aca="false">IFERROR(INDEX(CADASTRO_PIVOS!$K$6:$K$41,MATCH($E1920,CADASTRO_PIVOS!$B$6:$B$41,0)),EFICIENCIA_PADRAO)</f>
        <v>0.85</v>
      </c>
      <c r="Y1920" s="18" t="n">
        <f aca="false">IF($X1920&lt;=0,0,$W1920/$X1920)</f>
        <v>0</v>
      </c>
      <c r="Z1920" s="16" t="n">
        <f aca="false">$Y1920*$H1920*MM_PARA_M3_HA</f>
        <v>0</v>
      </c>
      <c r="AA1920" s="18" t="n">
        <f aca="false">IFERROR(INDEX(CADASTRO_PIVOS!$I$6:$I$41,MATCH($E1920,CADASTRO_PIVOS!$B$6:$B$41,0)),0)</f>
        <v>932.933333333333</v>
      </c>
      <c r="AB1920" s="18" t="n">
        <f aca="false">IF($Z1920&lt;=0,0,$Z1920/$AA1920)</f>
        <v>0</v>
      </c>
      <c r="AC1920" s="16" t="n">
        <f aca="false">IFERROR(INDEX(SEMANAS!$K$6:$K$71,MATCH($B1920,SEMANAS!$B$6:$B$71,0)),0)</f>
        <v>147</v>
      </c>
      <c r="AD1920" s="19" t="n">
        <f aca="false">IF($AC1920&lt;=0,0,$AB1920/$AC1920)</f>
        <v>0</v>
      </c>
      <c r="AE1920" s="8" t="str">
        <f aca="false">IF($K1920="SEM CULTURA","SEM CULTURA",IF($AA1920&lt;=0,"DADO PENDENTE",IF($AD1920&gt;LIMITE_CRITICO,"INVIAVEL",IF($AD1920&gt;LIMITE_ATENCAO,"CRITICO",IF($AD1920&gt;LIMITE_CONFORTAVEL,"ATENCAO","OK")))))</f>
        <v>SEM CULTURA</v>
      </c>
      <c r="AF1920" s="8" t="str">
        <f aca="false">$B1920&amp;"|"&amp;TEXT($AD1920,"0.000000")</f>
        <v>1|0.000000</v>
      </c>
      <c r="AG1920" s="18" t="n">
        <f aca="false">IF($K1920="SEM CULTURA",0,$T1920*$H1920)</f>
        <v>0</v>
      </c>
      <c r="AH1920" s="18" t="n">
        <f aca="false">IF($K1920="SEM CULTURA",0,$V1920*$H1920)</f>
        <v>0</v>
      </c>
      <c r="AI1920" s="18" t="n">
        <f aca="false">IF($K1920="SEM CULTURA",0,$W1920*$H1920)</f>
        <v>0</v>
      </c>
      <c r="AJ1920" s="18" t="n">
        <f aca="false">IF($K1920="SEM CULTURA",0,$S1920*$H1920)</f>
        <v>0</v>
      </c>
      <c r="AK1920" s="8" t="str">
        <f aca="false">$E1920&amp;"|"&amp;TEXT($AD1920,"0.000000")</f>
        <v>PV 126|0.000000</v>
      </c>
    </row>
    <row r="1921" customFormat="false" ht="15" hidden="false" customHeight="false" outlineLevel="0" collapsed="false">
      <c r="B1921" s="16" t="n">
        <v>2</v>
      </c>
      <c r="C1921" s="17" t="n">
        <f aca="false">DATA_INICIO_SAFRA+($B1921-1)*DIAS_POR_SEMANA</f>
        <v>46272</v>
      </c>
      <c r="D1921" s="17" t="n">
        <f aca="false">$C1921+DIAS_POR_SEMANA-1</f>
        <v>46278</v>
      </c>
      <c r="E1921" s="15" t="s">
        <v>288</v>
      </c>
      <c r="F1921" s="8" t="str">
        <f aca="false">IFERROR(INDEX(CADASTRO_PIVOS!$C$6:$C$41,MATCH($E1921,CADASTRO_PIVOS!$B$6:$B$41,0)),"?")</f>
        <v>RM07</v>
      </c>
      <c r="G1921" s="8" t="str">
        <f aca="false">IFERROR(INDEX(CADASTRO_PIVOS!$D$6:$D$41,MATCH($E1921,CADASTRO_PIVOS!$B$6:$B$41,0)),"?")</f>
        <v>TR07</v>
      </c>
      <c r="H1921" s="20" t="n">
        <f aca="false">IFERROR(INDEX(CADASTRO_PIVOS!$E$6:$E$41,MATCH($E1921,CADASTRO_PIVOS!$B$6:$B$41,0)),0)</f>
        <v>139.94</v>
      </c>
      <c r="I1921" s="16" t="n">
        <f aca="false">IFERROR(SUMIFS(ROTACAO_RDM!$B$6:$B$71,ROTACAO_RDM!$D$6:$D$71,$E1921,ROTACAO_RDM!$I$6:$I$71,"&lt;="&amp;$C1921+INT(DIAS_POR_SEMANA/2),ROTACAO_RDM!$J$6:$J$71,"&gt;="&amp;$C1921+INT(DIAS_POR_SEMANA/2)),0)</f>
        <v>0</v>
      </c>
      <c r="J1921" s="16" t="n">
        <f aca="false">IFERROR(MATCH($I1921,ROTACAO_RDM!$B$6:$B$71,0),0)</f>
        <v>0</v>
      </c>
      <c r="K1921" s="8" t="str">
        <f aca="false">IF($J1921=0,"SEM CULTURA",INDEX(ROTACAO_RDM!$F$6:$F$71,$J1921))</f>
        <v>SEM CULTURA</v>
      </c>
      <c r="L1921" s="8" t="str">
        <f aca="false">IF($J1921=0,"",INDEX(ROTACAO_RDM!$G$6:$G$71,$J1921))</f>
        <v/>
      </c>
      <c r="M1921" s="17" t="str">
        <f aca="false">IF($J1921=0,"",INDEX(ROTACAO_RDM!$I$6:$I$71,$J1921))</f>
        <v/>
      </c>
      <c r="N1921" s="16" t="n">
        <f aca="false">IF($J1921=0,0,MAX(0,$C1921+INT(DIAS_POR_SEMANA/2)-INDEX(ROTACAO_RDM!$I$6:$I$71,$J1921)))</f>
        <v>0</v>
      </c>
      <c r="O1921" s="19" t="n">
        <f aca="false">IF($J1921=0,0,MIN(1,$N1921/MAX(1,INDEX(ROTACAO_RDM!$K$6:$K$71,$J1921))))</f>
        <v>0</v>
      </c>
      <c r="P1921" s="16" t="n">
        <f aca="false">IF($J1921=0,0,IFERROR(MATCH(INDEX(ROTACAO_RDM!$N$6:$N$71,$J1921),PARAMETROS_CULTURAS!$B$6:$B$28,0),0))</f>
        <v>0</v>
      </c>
      <c r="Q1921" s="8" t="str">
        <f aca="false">IF($P1921=0,"-",IF($O1921&lt;=INDEX(PARAMETROS_CULTURAS!$F$6:$F$28,$P1921),"INICIAL",IF($O1921&lt;=INDEX(PARAMETROS_CULTURAS!$F$6:$F$28,$P1921)+INDEX(PARAMETROS_CULTURAS!$G$6:$G$28,$P1921),"DESENVOLVIMENTO",IF($O1921&lt;=INDEX(PARAMETROS_CULTURAS!$F$6:$F$28,$P1921)+INDEX(PARAMETROS_CULTURAS!$G$6:$G$28,$P1921)+INDEX(PARAMETROS_CULTURAS!$H$6:$H$28,$P1921),"MEDIA","FINAL"))))</f>
        <v>-</v>
      </c>
      <c r="R1921" s="24" t="n">
        <f aca="false">IF($P1921=0,0,IF($O1921&lt;=INDEX(PARAMETROS_CULTURAS!$F$6:$F$28,$P1921),INDEX(PARAMETROS_CULTURAS!$K$6:$K$28,$P1921),IF($O1921&lt;=INDEX(PARAMETROS_CULTURAS!$F$6:$F$28,$P1921)+INDEX(PARAMETROS_CULTURAS!$G$6:$G$28,$P1921),INDEX(PARAMETROS_CULTURAS!$K$6:$K$28,$P1921)+(INDEX(PARAMETROS_CULTURAS!$L$6:$L$28,$P1921)-INDEX(PARAMETROS_CULTURAS!$K$6:$K$28,$P1921))*($O1921-INDEX(PARAMETROS_CULTURAS!$F$6:$F$28,$P1921))/MAX(INDEX(PARAMETROS_CULTURAS!$G$6:$G$28,$P1921),0.0001),IF($O1921&lt;=INDEX(PARAMETROS_CULTURAS!$F$6:$F$28,$P1921)+INDEX(PARAMETROS_CULTURAS!$G$6:$G$28,$P1921)+INDEX(PARAMETROS_CULTURAS!$H$6:$H$28,$P1921),INDEX(PARAMETROS_CULTURAS!$L$6:$L$28,$P1921),INDEX(PARAMETROS_CULTURAS!$L$6:$L$28,$P1921)+(INDEX(PARAMETROS_CULTURAS!$M$6:$M$28,$P1921)-INDEX(PARAMETROS_CULTURAS!$L$6:$L$28,$P1921))*($O1921-INDEX(PARAMETROS_CULTURAS!$F$6:$F$28,$P1921)-INDEX(PARAMETROS_CULTURAS!$G$6:$G$28,$P1921)-INDEX(PARAMETROS_CULTURAS!$H$6:$H$28,$P1921))/MAX(INDEX(PARAMETROS_CULTURAS!$I$6:$I$28,$P1921),0.0001)))))</f>
        <v>0</v>
      </c>
      <c r="S1921" s="18" t="n">
        <f aca="false">IFERROR(INDEX(SEMANAS!$H$6:$H$71,MATCH($B1921,SEMANAS!$B$6:$B$71,0)),0)</f>
        <v>40.6</v>
      </c>
      <c r="T1921" s="18" t="n">
        <f aca="false">$R1921*$S1921</f>
        <v>0</v>
      </c>
      <c r="U1921" s="18" t="n">
        <f aca="false">IFERROR(INDEX(SEMANAS!$I$6:$I$71,MATCH($B1921,SEMANAS!$B$6:$B$71,0)),0)</f>
        <v>7</v>
      </c>
      <c r="V1921" s="18" t="n">
        <f aca="false">IFERROR(INDEX(SEMANAS!$J$6:$J$71,MATCH($B1921,SEMANAS!$B$6:$B$71,0)),0)</f>
        <v>5.6</v>
      </c>
      <c r="W1921" s="18" t="n">
        <f aca="false">MAX(0,$T1921-$V1921)</f>
        <v>0</v>
      </c>
      <c r="X1921" s="19" t="n">
        <f aca="false">IFERROR(INDEX(CADASTRO_PIVOS!$K$6:$K$41,MATCH($E1921,CADASTRO_PIVOS!$B$6:$B$41,0)),EFICIENCIA_PADRAO)</f>
        <v>0.85</v>
      </c>
      <c r="Y1921" s="18" t="n">
        <f aca="false">IF($X1921&lt;=0,0,$W1921/$X1921)</f>
        <v>0</v>
      </c>
      <c r="Z1921" s="16" t="n">
        <f aca="false">$Y1921*$H1921*MM_PARA_M3_HA</f>
        <v>0</v>
      </c>
      <c r="AA1921" s="18" t="n">
        <f aca="false">IFERROR(INDEX(CADASTRO_PIVOS!$I$6:$I$41,MATCH($E1921,CADASTRO_PIVOS!$B$6:$B$41,0)),0)</f>
        <v>932.933333333333</v>
      </c>
      <c r="AB1921" s="18" t="n">
        <f aca="false">IF($Z1921&lt;=0,0,$Z1921/$AA1921)</f>
        <v>0</v>
      </c>
      <c r="AC1921" s="16" t="n">
        <f aca="false">IFERROR(INDEX(SEMANAS!$K$6:$K$71,MATCH($B1921,SEMANAS!$B$6:$B$71,0)),0)</f>
        <v>147</v>
      </c>
      <c r="AD1921" s="19" t="n">
        <f aca="false">IF($AC1921&lt;=0,0,$AB1921/$AC1921)</f>
        <v>0</v>
      </c>
      <c r="AE1921" s="8" t="str">
        <f aca="false">IF($K1921="SEM CULTURA","SEM CULTURA",IF($AA1921&lt;=0,"DADO PENDENTE",IF($AD1921&gt;LIMITE_CRITICO,"INVIAVEL",IF($AD1921&gt;LIMITE_ATENCAO,"CRITICO",IF($AD1921&gt;LIMITE_CONFORTAVEL,"ATENCAO","OK")))))</f>
        <v>SEM CULTURA</v>
      </c>
      <c r="AF1921" s="8" t="str">
        <f aca="false">$B1921&amp;"|"&amp;TEXT($AD1921,"0.000000")</f>
        <v>2|0.000000</v>
      </c>
      <c r="AG1921" s="18" t="n">
        <f aca="false">IF($K1921="SEM CULTURA",0,$T1921*$H1921)</f>
        <v>0</v>
      </c>
      <c r="AH1921" s="18" t="n">
        <f aca="false">IF($K1921="SEM CULTURA",0,$V1921*$H1921)</f>
        <v>0</v>
      </c>
      <c r="AI1921" s="18" t="n">
        <f aca="false">IF($K1921="SEM CULTURA",0,$W1921*$H1921)</f>
        <v>0</v>
      </c>
      <c r="AJ1921" s="18" t="n">
        <f aca="false">IF($K1921="SEM CULTURA",0,$S1921*$H1921)</f>
        <v>0</v>
      </c>
      <c r="AK1921" s="8" t="str">
        <f aca="false">$E1921&amp;"|"&amp;TEXT($AD1921,"0.000000")</f>
        <v>PV 126|0.000000</v>
      </c>
    </row>
    <row r="1922" customFormat="false" ht="15" hidden="false" customHeight="false" outlineLevel="0" collapsed="false">
      <c r="B1922" s="16" t="n">
        <v>3</v>
      </c>
      <c r="C1922" s="17" t="n">
        <f aca="false">DATA_INICIO_SAFRA+($B1922-1)*DIAS_POR_SEMANA</f>
        <v>46279</v>
      </c>
      <c r="D1922" s="17" t="n">
        <f aca="false">$C1922+DIAS_POR_SEMANA-1</f>
        <v>46285</v>
      </c>
      <c r="E1922" s="15" t="s">
        <v>288</v>
      </c>
      <c r="F1922" s="8" t="str">
        <f aca="false">IFERROR(INDEX(CADASTRO_PIVOS!$C$6:$C$41,MATCH($E1922,CADASTRO_PIVOS!$B$6:$B$41,0)),"?")</f>
        <v>RM07</v>
      </c>
      <c r="G1922" s="8" t="str">
        <f aca="false">IFERROR(INDEX(CADASTRO_PIVOS!$D$6:$D$41,MATCH($E1922,CADASTRO_PIVOS!$B$6:$B$41,0)),"?")</f>
        <v>TR07</v>
      </c>
      <c r="H1922" s="20" t="n">
        <f aca="false">IFERROR(INDEX(CADASTRO_PIVOS!$E$6:$E$41,MATCH($E1922,CADASTRO_PIVOS!$B$6:$B$41,0)),0)</f>
        <v>139.94</v>
      </c>
      <c r="I1922" s="16" t="n">
        <f aca="false">IFERROR(SUMIFS(ROTACAO_RDM!$B$6:$B$71,ROTACAO_RDM!$D$6:$D$71,$E1922,ROTACAO_RDM!$I$6:$I$71,"&lt;="&amp;$C1922+INT(DIAS_POR_SEMANA/2),ROTACAO_RDM!$J$6:$J$71,"&gt;="&amp;$C1922+INT(DIAS_POR_SEMANA/2)),0)</f>
        <v>0</v>
      </c>
      <c r="J1922" s="16" t="n">
        <f aca="false">IFERROR(MATCH($I1922,ROTACAO_RDM!$B$6:$B$71,0),0)</f>
        <v>0</v>
      </c>
      <c r="K1922" s="8" t="str">
        <f aca="false">IF($J1922=0,"SEM CULTURA",INDEX(ROTACAO_RDM!$F$6:$F$71,$J1922))</f>
        <v>SEM CULTURA</v>
      </c>
      <c r="L1922" s="8" t="str">
        <f aca="false">IF($J1922=0,"",INDEX(ROTACAO_RDM!$G$6:$G$71,$J1922))</f>
        <v/>
      </c>
      <c r="M1922" s="17" t="str">
        <f aca="false">IF($J1922=0,"",INDEX(ROTACAO_RDM!$I$6:$I$71,$J1922))</f>
        <v/>
      </c>
      <c r="N1922" s="16" t="n">
        <f aca="false">IF($J1922=0,0,MAX(0,$C1922+INT(DIAS_POR_SEMANA/2)-INDEX(ROTACAO_RDM!$I$6:$I$71,$J1922)))</f>
        <v>0</v>
      </c>
      <c r="O1922" s="19" t="n">
        <f aca="false">IF($J1922=0,0,MIN(1,$N1922/MAX(1,INDEX(ROTACAO_RDM!$K$6:$K$71,$J1922))))</f>
        <v>0</v>
      </c>
      <c r="P1922" s="16" t="n">
        <f aca="false">IF($J1922=0,0,IFERROR(MATCH(INDEX(ROTACAO_RDM!$N$6:$N$71,$J1922),PARAMETROS_CULTURAS!$B$6:$B$28,0),0))</f>
        <v>0</v>
      </c>
      <c r="Q1922" s="8" t="str">
        <f aca="false">IF($P1922=0,"-",IF($O1922&lt;=INDEX(PARAMETROS_CULTURAS!$F$6:$F$28,$P1922),"INICIAL",IF($O1922&lt;=INDEX(PARAMETROS_CULTURAS!$F$6:$F$28,$P1922)+INDEX(PARAMETROS_CULTURAS!$G$6:$G$28,$P1922),"DESENVOLVIMENTO",IF($O1922&lt;=INDEX(PARAMETROS_CULTURAS!$F$6:$F$28,$P1922)+INDEX(PARAMETROS_CULTURAS!$G$6:$G$28,$P1922)+INDEX(PARAMETROS_CULTURAS!$H$6:$H$28,$P1922),"MEDIA","FINAL"))))</f>
        <v>-</v>
      </c>
      <c r="R1922" s="24" t="n">
        <f aca="false">IF($P1922=0,0,IF($O1922&lt;=INDEX(PARAMETROS_CULTURAS!$F$6:$F$28,$P1922),INDEX(PARAMETROS_CULTURAS!$K$6:$K$28,$P1922),IF($O1922&lt;=INDEX(PARAMETROS_CULTURAS!$F$6:$F$28,$P1922)+INDEX(PARAMETROS_CULTURAS!$G$6:$G$28,$P1922),INDEX(PARAMETROS_CULTURAS!$K$6:$K$28,$P1922)+(INDEX(PARAMETROS_CULTURAS!$L$6:$L$28,$P1922)-INDEX(PARAMETROS_CULTURAS!$K$6:$K$28,$P1922))*($O1922-INDEX(PARAMETROS_CULTURAS!$F$6:$F$28,$P1922))/MAX(INDEX(PARAMETROS_CULTURAS!$G$6:$G$28,$P1922),0.0001),IF($O1922&lt;=INDEX(PARAMETROS_CULTURAS!$F$6:$F$28,$P1922)+INDEX(PARAMETROS_CULTURAS!$G$6:$G$28,$P1922)+INDEX(PARAMETROS_CULTURAS!$H$6:$H$28,$P1922),INDEX(PARAMETROS_CULTURAS!$L$6:$L$28,$P1922),INDEX(PARAMETROS_CULTURAS!$L$6:$L$28,$P1922)+(INDEX(PARAMETROS_CULTURAS!$M$6:$M$28,$P1922)-INDEX(PARAMETROS_CULTURAS!$L$6:$L$28,$P1922))*($O1922-INDEX(PARAMETROS_CULTURAS!$F$6:$F$28,$P1922)-INDEX(PARAMETROS_CULTURAS!$G$6:$G$28,$P1922)-INDEX(PARAMETROS_CULTURAS!$H$6:$H$28,$P1922))/MAX(INDEX(PARAMETROS_CULTURAS!$I$6:$I$28,$P1922),0.0001)))))</f>
        <v>0</v>
      </c>
      <c r="S1922" s="18" t="n">
        <f aca="false">IFERROR(INDEX(SEMANAS!$H$6:$H$71,MATCH($B1922,SEMANAS!$B$6:$B$71,0)),0)</f>
        <v>40.6</v>
      </c>
      <c r="T1922" s="18" t="n">
        <f aca="false">$R1922*$S1922</f>
        <v>0</v>
      </c>
      <c r="U1922" s="18" t="n">
        <f aca="false">IFERROR(INDEX(SEMANAS!$I$6:$I$71,MATCH($B1922,SEMANAS!$B$6:$B$71,0)),0)</f>
        <v>7</v>
      </c>
      <c r="V1922" s="18" t="n">
        <f aca="false">IFERROR(INDEX(SEMANAS!$J$6:$J$71,MATCH($B1922,SEMANAS!$B$6:$B$71,0)),0)</f>
        <v>5.6</v>
      </c>
      <c r="W1922" s="18" t="n">
        <f aca="false">MAX(0,$T1922-$V1922)</f>
        <v>0</v>
      </c>
      <c r="X1922" s="19" t="n">
        <f aca="false">IFERROR(INDEX(CADASTRO_PIVOS!$K$6:$K$41,MATCH($E1922,CADASTRO_PIVOS!$B$6:$B$41,0)),EFICIENCIA_PADRAO)</f>
        <v>0.85</v>
      </c>
      <c r="Y1922" s="18" t="n">
        <f aca="false">IF($X1922&lt;=0,0,$W1922/$X1922)</f>
        <v>0</v>
      </c>
      <c r="Z1922" s="16" t="n">
        <f aca="false">$Y1922*$H1922*MM_PARA_M3_HA</f>
        <v>0</v>
      </c>
      <c r="AA1922" s="18" t="n">
        <f aca="false">IFERROR(INDEX(CADASTRO_PIVOS!$I$6:$I$41,MATCH($E1922,CADASTRO_PIVOS!$B$6:$B$41,0)),0)</f>
        <v>932.933333333333</v>
      </c>
      <c r="AB1922" s="18" t="n">
        <f aca="false">IF($Z1922&lt;=0,0,$Z1922/$AA1922)</f>
        <v>0</v>
      </c>
      <c r="AC1922" s="16" t="n">
        <f aca="false">IFERROR(INDEX(SEMANAS!$K$6:$K$71,MATCH($B1922,SEMANAS!$B$6:$B$71,0)),0)</f>
        <v>147</v>
      </c>
      <c r="AD1922" s="19" t="n">
        <f aca="false">IF($AC1922&lt;=0,0,$AB1922/$AC1922)</f>
        <v>0</v>
      </c>
      <c r="AE1922" s="8" t="str">
        <f aca="false">IF($K1922="SEM CULTURA","SEM CULTURA",IF($AA1922&lt;=0,"DADO PENDENTE",IF($AD1922&gt;LIMITE_CRITICO,"INVIAVEL",IF($AD1922&gt;LIMITE_ATENCAO,"CRITICO",IF($AD1922&gt;LIMITE_CONFORTAVEL,"ATENCAO","OK")))))</f>
        <v>SEM CULTURA</v>
      </c>
      <c r="AF1922" s="8" t="str">
        <f aca="false">$B1922&amp;"|"&amp;TEXT($AD1922,"0.000000")</f>
        <v>3|0.000000</v>
      </c>
      <c r="AG1922" s="18" t="n">
        <f aca="false">IF($K1922="SEM CULTURA",0,$T1922*$H1922)</f>
        <v>0</v>
      </c>
      <c r="AH1922" s="18" t="n">
        <f aca="false">IF($K1922="SEM CULTURA",0,$V1922*$H1922)</f>
        <v>0</v>
      </c>
      <c r="AI1922" s="18" t="n">
        <f aca="false">IF($K1922="SEM CULTURA",0,$W1922*$H1922)</f>
        <v>0</v>
      </c>
      <c r="AJ1922" s="18" t="n">
        <f aca="false">IF($K1922="SEM CULTURA",0,$S1922*$H1922)</f>
        <v>0</v>
      </c>
      <c r="AK1922" s="8" t="str">
        <f aca="false">$E1922&amp;"|"&amp;TEXT($AD1922,"0.000000")</f>
        <v>PV 126|0.000000</v>
      </c>
    </row>
    <row r="1923" customFormat="false" ht="15" hidden="false" customHeight="false" outlineLevel="0" collapsed="false">
      <c r="B1923" s="16" t="n">
        <v>4</v>
      </c>
      <c r="C1923" s="17" t="n">
        <f aca="false">DATA_INICIO_SAFRA+($B1923-1)*DIAS_POR_SEMANA</f>
        <v>46286</v>
      </c>
      <c r="D1923" s="17" t="n">
        <f aca="false">$C1923+DIAS_POR_SEMANA-1</f>
        <v>46292</v>
      </c>
      <c r="E1923" s="15" t="s">
        <v>288</v>
      </c>
      <c r="F1923" s="8" t="str">
        <f aca="false">IFERROR(INDEX(CADASTRO_PIVOS!$C$6:$C$41,MATCH($E1923,CADASTRO_PIVOS!$B$6:$B$41,0)),"?")</f>
        <v>RM07</v>
      </c>
      <c r="G1923" s="8" t="str">
        <f aca="false">IFERROR(INDEX(CADASTRO_PIVOS!$D$6:$D$41,MATCH($E1923,CADASTRO_PIVOS!$B$6:$B$41,0)),"?")</f>
        <v>TR07</v>
      </c>
      <c r="H1923" s="20" t="n">
        <f aca="false">IFERROR(INDEX(CADASTRO_PIVOS!$E$6:$E$41,MATCH($E1923,CADASTRO_PIVOS!$B$6:$B$41,0)),0)</f>
        <v>139.94</v>
      </c>
      <c r="I1923" s="16" t="n">
        <f aca="false">IFERROR(SUMIFS(ROTACAO_RDM!$B$6:$B$71,ROTACAO_RDM!$D$6:$D$71,$E1923,ROTACAO_RDM!$I$6:$I$71,"&lt;="&amp;$C1923+INT(DIAS_POR_SEMANA/2),ROTACAO_RDM!$J$6:$J$71,"&gt;="&amp;$C1923+INT(DIAS_POR_SEMANA/2)),0)</f>
        <v>0</v>
      </c>
      <c r="J1923" s="16" t="n">
        <f aca="false">IFERROR(MATCH($I1923,ROTACAO_RDM!$B$6:$B$71,0),0)</f>
        <v>0</v>
      </c>
      <c r="K1923" s="8" t="str">
        <f aca="false">IF($J1923=0,"SEM CULTURA",INDEX(ROTACAO_RDM!$F$6:$F$71,$J1923))</f>
        <v>SEM CULTURA</v>
      </c>
      <c r="L1923" s="8" t="str">
        <f aca="false">IF($J1923=0,"",INDEX(ROTACAO_RDM!$G$6:$G$71,$J1923))</f>
        <v/>
      </c>
      <c r="M1923" s="17" t="str">
        <f aca="false">IF($J1923=0,"",INDEX(ROTACAO_RDM!$I$6:$I$71,$J1923))</f>
        <v/>
      </c>
      <c r="N1923" s="16" t="n">
        <f aca="false">IF($J1923=0,0,MAX(0,$C1923+INT(DIAS_POR_SEMANA/2)-INDEX(ROTACAO_RDM!$I$6:$I$71,$J1923)))</f>
        <v>0</v>
      </c>
      <c r="O1923" s="19" t="n">
        <f aca="false">IF($J1923=0,0,MIN(1,$N1923/MAX(1,INDEX(ROTACAO_RDM!$K$6:$K$71,$J1923))))</f>
        <v>0</v>
      </c>
      <c r="P1923" s="16" t="n">
        <f aca="false">IF($J1923=0,0,IFERROR(MATCH(INDEX(ROTACAO_RDM!$N$6:$N$71,$J1923),PARAMETROS_CULTURAS!$B$6:$B$28,0),0))</f>
        <v>0</v>
      </c>
      <c r="Q1923" s="8" t="str">
        <f aca="false">IF($P1923=0,"-",IF($O1923&lt;=INDEX(PARAMETROS_CULTURAS!$F$6:$F$28,$P1923),"INICIAL",IF($O1923&lt;=INDEX(PARAMETROS_CULTURAS!$F$6:$F$28,$P1923)+INDEX(PARAMETROS_CULTURAS!$G$6:$G$28,$P1923),"DESENVOLVIMENTO",IF($O1923&lt;=INDEX(PARAMETROS_CULTURAS!$F$6:$F$28,$P1923)+INDEX(PARAMETROS_CULTURAS!$G$6:$G$28,$P1923)+INDEX(PARAMETROS_CULTURAS!$H$6:$H$28,$P1923),"MEDIA","FINAL"))))</f>
        <v>-</v>
      </c>
      <c r="R1923" s="24" t="n">
        <f aca="false">IF($P1923=0,0,IF($O1923&lt;=INDEX(PARAMETROS_CULTURAS!$F$6:$F$28,$P1923),INDEX(PARAMETROS_CULTURAS!$K$6:$K$28,$P1923),IF($O1923&lt;=INDEX(PARAMETROS_CULTURAS!$F$6:$F$28,$P1923)+INDEX(PARAMETROS_CULTURAS!$G$6:$G$28,$P1923),INDEX(PARAMETROS_CULTURAS!$K$6:$K$28,$P1923)+(INDEX(PARAMETROS_CULTURAS!$L$6:$L$28,$P1923)-INDEX(PARAMETROS_CULTURAS!$K$6:$K$28,$P1923))*($O1923-INDEX(PARAMETROS_CULTURAS!$F$6:$F$28,$P1923))/MAX(INDEX(PARAMETROS_CULTURAS!$G$6:$G$28,$P1923),0.0001),IF($O1923&lt;=INDEX(PARAMETROS_CULTURAS!$F$6:$F$28,$P1923)+INDEX(PARAMETROS_CULTURAS!$G$6:$G$28,$P1923)+INDEX(PARAMETROS_CULTURAS!$H$6:$H$28,$P1923),INDEX(PARAMETROS_CULTURAS!$L$6:$L$28,$P1923),INDEX(PARAMETROS_CULTURAS!$L$6:$L$28,$P1923)+(INDEX(PARAMETROS_CULTURAS!$M$6:$M$28,$P1923)-INDEX(PARAMETROS_CULTURAS!$L$6:$L$28,$P1923))*($O1923-INDEX(PARAMETROS_CULTURAS!$F$6:$F$28,$P1923)-INDEX(PARAMETROS_CULTURAS!$G$6:$G$28,$P1923)-INDEX(PARAMETROS_CULTURAS!$H$6:$H$28,$P1923))/MAX(INDEX(PARAMETROS_CULTURAS!$I$6:$I$28,$P1923),0.0001)))))</f>
        <v>0</v>
      </c>
      <c r="S1923" s="18" t="n">
        <f aca="false">IFERROR(INDEX(SEMANAS!$H$6:$H$71,MATCH($B1923,SEMANAS!$B$6:$B$71,0)),0)</f>
        <v>40.6</v>
      </c>
      <c r="T1923" s="18" t="n">
        <f aca="false">$R1923*$S1923</f>
        <v>0</v>
      </c>
      <c r="U1923" s="18" t="n">
        <f aca="false">IFERROR(INDEX(SEMANAS!$I$6:$I$71,MATCH($B1923,SEMANAS!$B$6:$B$71,0)),0)</f>
        <v>7</v>
      </c>
      <c r="V1923" s="18" t="n">
        <f aca="false">IFERROR(INDEX(SEMANAS!$J$6:$J$71,MATCH($B1923,SEMANAS!$B$6:$B$71,0)),0)</f>
        <v>5.6</v>
      </c>
      <c r="W1923" s="18" t="n">
        <f aca="false">MAX(0,$T1923-$V1923)</f>
        <v>0</v>
      </c>
      <c r="X1923" s="19" t="n">
        <f aca="false">IFERROR(INDEX(CADASTRO_PIVOS!$K$6:$K$41,MATCH($E1923,CADASTRO_PIVOS!$B$6:$B$41,0)),EFICIENCIA_PADRAO)</f>
        <v>0.85</v>
      </c>
      <c r="Y1923" s="18" t="n">
        <f aca="false">IF($X1923&lt;=0,0,$W1923/$X1923)</f>
        <v>0</v>
      </c>
      <c r="Z1923" s="16" t="n">
        <f aca="false">$Y1923*$H1923*MM_PARA_M3_HA</f>
        <v>0</v>
      </c>
      <c r="AA1923" s="18" t="n">
        <f aca="false">IFERROR(INDEX(CADASTRO_PIVOS!$I$6:$I$41,MATCH($E1923,CADASTRO_PIVOS!$B$6:$B$41,0)),0)</f>
        <v>932.933333333333</v>
      </c>
      <c r="AB1923" s="18" t="n">
        <f aca="false">IF($Z1923&lt;=0,0,$Z1923/$AA1923)</f>
        <v>0</v>
      </c>
      <c r="AC1923" s="16" t="n">
        <f aca="false">IFERROR(INDEX(SEMANAS!$K$6:$K$71,MATCH($B1923,SEMANAS!$B$6:$B$71,0)),0)</f>
        <v>147</v>
      </c>
      <c r="AD1923" s="19" t="n">
        <f aca="false">IF($AC1923&lt;=0,0,$AB1923/$AC1923)</f>
        <v>0</v>
      </c>
      <c r="AE1923" s="8" t="str">
        <f aca="false">IF($K1923="SEM CULTURA","SEM CULTURA",IF($AA1923&lt;=0,"DADO PENDENTE",IF($AD1923&gt;LIMITE_CRITICO,"INVIAVEL",IF($AD1923&gt;LIMITE_ATENCAO,"CRITICO",IF($AD1923&gt;LIMITE_CONFORTAVEL,"ATENCAO","OK")))))</f>
        <v>SEM CULTURA</v>
      </c>
      <c r="AF1923" s="8" t="str">
        <f aca="false">$B1923&amp;"|"&amp;TEXT($AD1923,"0.000000")</f>
        <v>4|0.000000</v>
      </c>
      <c r="AG1923" s="18" t="n">
        <f aca="false">IF($K1923="SEM CULTURA",0,$T1923*$H1923)</f>
        <v>0</v>
      </c>
      <c r="AH1923" s="18" t="n">
        <f aca="false">IF($K1923="SEM CULTURA",0,$V1923*$H1923)</f>
        <v>0</v>
      </c>
      <c r="AI1923" s="18" t="n">
        <f aca="false">IF($K1923="SEM CULTURA",0,$W1923*$H1923)</f>
        <v>0</v>
      </c>
      <c r="AJ1923" s="18" t="n">
        <f aca="false">IF($K1923="SEM CULTURA",0,$S1923*$H1923)</f>
        <v>0</v>
      </c>
      <c r="AK1923" s="8" t="str">
        <f aca="false">$E1923&amp;"|"&amp;TEXT($AD1923,"0.000000")</f>
        <v>PV 126|0.000000</v>
      </c>
    </row>
    <row r="1924" customFormat="false" ht="15" hidden="false" customHeight="false" outlineLevel="0" collapsed="false">
      <c r="B1924" s="16" t="n">
        <v>5</v>
      </c>
      <c r="C1924" s="17" t="n">
        <f aca="false">DATA_INICIO_SAFRA+($B1924-1)*DIAS_POR_SEMANA</f>
        <v>46293</v>
      </c>
      <c r="D1924" s="17" t="n">
        <f aca="false">$C1924+DIAS_POR_SEMANA-1</f>
        <v>46299</v>
      </c>
      <c r="E1924" s="15" t="s">
        <v>288</v>
      </c>
      <c r="F1924" s="8" t="str">
        <f aca="false">IFERROR(INDEX(CADASTRO_PIVOS!$C$6:$C$41,MATCH($E1924,CADASTRO_PIVOS!$B$6:$B$41,0)),"?")</f>
        <v>RM07</v>
      </c>
      <c r="G1924" s="8" t="str">
        <f aca="false">IFERROR(INDEX(CADASTRO_PIVOS!$D$6:$D$41,MATCH($E1924,CADASTRO_PIVOS!$B$6:$B$41,0)),"?")</f>
        <v>TR07</v>
      </c>
      <c r="H1924" s="20" t="n">
        <f aca="false">IFERROR(INDEX(CADASTRO_PIVOS!$E$6:$E$41,MATCH($E1924,CADASTRO_PIVOS!$B$6:$B$41,0)),0)</f>
        <v>139.94</v>
      </c>
      <c r="I1924" s="16" t="n">
        <f aca="false">IFERROR(SUMIFS(ROTACAO_RDM!$B$6:$B$71,ROTACAO_RDM!$D$6:$D$71,$E1924,ROTACAO_RDM!$I$6:$I$71,"&lt;="&amp;$C1924+INT(DIAS_POR_SEMANA/2),ROTACAO_RDM!$J$6:$J$71,"&gt;="&amp;$C1924+INT(DIAS_POR_SEMANA/2)),0)</f>
        <v>0</v>
      </c>
      <c r="J1924" s="16" t="n">
        <f aca="false">IFERROR(MATCH($I1924,ROTACAO_RDM!$B$6:$B$71,0),0)</f>
        <v>0</v>
      </c>
      <c r="K1924" s="8" t="str">
        <f aca="false">IF($J1924=0,"SEM CULTURA",INDEX(ROTACAO_RDM!$F$6:$F$71,$J1924))</f>
        <v>SEM CULTURA</v>
      </c>
      <c r="L1924" s="8" t="str">
        <f aca="false">IF($J1924=0,"",INDEX(ROTACAO_RDM!$G$6:$G$71,$J1924))</f>
        <v/>
      </c>
      <c r="M1924" s="17" t="str">
        <f aca="false">IF($J1924=0,"",INDEX(ROTACAO_RDM!$I$6:$I$71,$J1924))</f>
        <v/>
      </c>
      <c r="N1924" s="16" t="n">
        <f aca="false">IF($J1924=0,0,MAX(0,$C1924+INT(DIAS_POR_SEMANA/2)-INDEX(ROTACAO_RDM!$I$6:$I$71,$J1924)))</f>
        <v>0</v>
      </c>
      <c r="O1924" s="19" t="n">
        <f aca="false">IF($J1924=0,0,MIN(1,$N1924/MAX(1,INDEX(ROTACAO_RDM!$K$6:$K$71,$J1924))))</f>
        <v>0</v>
      </c>
      <c r="P1924" s="16" t="n">
        <f aca="false">IF($J1924=0,0,IFERROR(MATCH(INDEX(ROTACAO_RDM!$N$6:$N$71,$J1924),PARAMETROS_CULTURAS!$B$6:$B$28,0),0))</f>
        <v>0</v>
      </c>
      <c r="Q1924" s="8" t="str">
        <f aca="false">IF($P1924=0,"-",IF($O1924&lt;=INDEX(PARAMETROS_CULTURAS!$F$6:$F$28,$P1924),"INICIAL",IF($O1924&lt;=INDEX(PARAMETROS_CULTURAS!$F$6:$F$28,$P1924)+INDEX(PARAMETROS_CULTURAS!$G$6:$G$28,$P1924),"DESENVOLVIMENTO",IF($O1924&lt;=INDEX(PARAMETROS_CULTURAS!$F$6:$F$28,$P1924)+INDEX(PARAMETROS_CULTURAS!$G$6:$G$28,$P1924)+INDEX(PARAMETROS_CULTURAS!$H$6:$H$28,$P1924),"MEDIA","FINAL"))))</f>
        <v>-</v>
      </c>
      <c r="R1924" s="24" t="n">
        <f aca="false">IF($P1924=0,0,IF($O1924&lt;=INDEX(PARAMETROS_CULTURAS!$F$6:$F$28,$P1924),INDEX(PARAMETROS_CULTURAS!$K$6:$K$28,$P1924),IF($O1924&lt;=INDEX(PARAMETROS_CULTURAS!$F$6:$F$28,$P1924)+INDEX(PARAMETROS_CULTURAS!$G$6:$G$28,$P1924),INDEX(PARAMETROS_CULTURAS!$K$6:$K$28,$P1924)+(INDEX(PARAMETROS_CULTURAS!$L$6:$L$28,$P1924)-INDEX(PARAMETROS_CULTURAS!$K$6:$K$28,$P1924))*($O1924-INDEX(PARAMETROS_CULTURAS!$F$6:$F$28,$P1924))/MAX(INDEX(PARAMETROS_CULTURAS!$G$6:$G$28,$P1924),0.0001),IF($O1924&lt;=INDEX(PARAMETROS_CULTURAS!$F$6:$F$28,$P1924)+INDEX(PARAMETROS_CULTURAS!$G$6:$G$28,$P1924)+INDEX(PARAMETROS_CULTURAS!$H$6:$H$28,$P1924),INDEX(PARAMETROS_CULTURAS!$L$6:$L$28,$P1924),INDEX(PARAMETROS_CULTURAS!$L$6:$L$28,$P1924)+(INDEX(PARAMETROS_CULTURAS!$M$6:$M$28,$P1924)-INDEX(PARAMETROS_CULTURAS!$L$6:$L$28,$P1924))*($O1924-INDEX(PARAMETROS_CULTURAS!$F$6:$F$28,$P1924)-INDEX(PARAMETROS_CULTURAS!$G$6:$G$28,$P1924)-INDEX(PARAMETROS_CULTURAS!$H$6:$H$28,$P1924))/MAX(INDEX(PARAMETROS_CULTURAS!$I$6:$I$28,$P1924),0.0001)))))</f>
        <v>0</v>
      </c>
      <c r="S1924" s="18" t="n">
        <f aca="false">IFERROR(INDEX(SEMANAS!$H$6:$H$71,MATCH($B1924,SEMANAS!$B$6:$B$71,0)),0)</f>
        <v>39.8</v>
      </c>
      <c r="T1924" s="18" t="n">
        <f aca="false">$R1924*$S1924</f>
        <v>0</v>
      </c>
      <c r="U1924" s="18" t="n">
        <f aca="false">IFERROR(INDEX(SEMANAS!$I$6:$I$71,MATCH($B1924,SEMANAS!$B$6:$B$71,0)),0)</f>
        <v>18.48</v>
      </c>
      <c r="V1924" s="18" t="n">
        <f aca="false">IFERROR(INDEX(SEMANAS!$J$6:$J$71,MATCH($B1924,SEMANAS!$B$6:$B$71,0)),0)</f>
        <v>14.784</v>
      </c>
      <c r="W1924" s="18" t="n">
        <f aca="false">MAX(0,$T1924-$V1924)</f>
        <v>0</v>
      </c>
      <c r="X1924" s="19" t="n">
        <f aca="false">IFERROR(INDEX(CADASTRO_PIVOS!$K$6:$K$41,MATCH($E1924,CADASTRO_PIVOS!$B$6:$B$41,0)),EFICIENCIA_PADRAO)</f>
        <v>0.85</v>
      </c>
      <c r="Y1924" s="18" t="n">
        <f aca="false">IF($X1924&lt;=0,0,$W1924/$X1924)</f>
        <v>0</v>
      </c>
      <c r="Z1924" s="16" t="n">
        <f aca="false">$Y1924*$H1924*MM_PARA_M3_HA</f>
        <v>0</v>
      </c>
      <c r="AA1924" s="18" t="n">
        <f aca="false">IFERROR(INDEX(CADASTRO_PIVOS!$I$6:$I$41,MATCH($E1924,CADASTRO_PIVOS!$B$6:$B$41,0)),0)</f>
        <v>932.933333333333</v>
      </c>
      <c r="AB1924" s="18" t="n">
        <f aca="false">IF($Z1924&lt;=0,0,$Z1924/$AA1924)</f>
        <v>0</v>
      </c>
      <c r="AC1924" s="16" t="n">
        <f aca="false">IFERROR(INDEX(SEMANAS!$K$6:$K$71,MATCH($B1924,SEMANAS!$B$6:$B$71,0)),0)</f>
        <v>147</v>
      </c>
      <c r="AD1924" s="19" t="n">
        <f aca="false">IF($AC1924&lt;=0,0,$AB1924/$AC1924)</f>
        <v>0</v>
      </c>
      <c r="AE1924" s="8" t="str">
        <f aca="false">IF($K1924="SEM CULTURA","SEM CULTURA",IF($AA1924&lt;=0,"DADO PENDENTE",IF($AD1924&gt;LIMITE_CRITICO,"INVIAVEL",IF($AD1924&gt;LIMITE_ATENCAO,"CRITICO",IF($AD1924&gt;LIMITE_CONFORTAVEL,"ATENCAO","OK")))))</f>
        <v>SEM CULTURA</v>
      </c>
      <c r="AF1924" s="8" t="str">
        <f aca="false">$B1924&amp;"|"&amp;TEXT($AD1924,"0.000000")</f>
        <v>5|0.000000</v>
      </c>
      <c r="AG1924" s="18" t="n">
        <f aca="false">IF($K1924="SEM CULTURA",0,$T1924*$H1924)</f>
        <v>0</v>
      </c>
      <c r="AH1924" s="18" t="n">
        <f aca="false">IF($K1924="SEM CULTURA",0,$V1924*$H1924)</f>
        <v>0</v>
      </c>
      <c r="AI1924" s="18" t="n">
        <f aca="false">IF($K1924="SEM CULTURA",0,$W1924*$H1924)</f>
        <v>0</v>
      </c>
      <c r="AJ1924" s="18" t="n">
        <f aca="false">IF($K1924="SEM CULTURA",0,$S1924*$H1924)</f>
        <v>0</v>
      </c>
      <c r="AK1924" s="8" t="str">
        <f aca="false">$E1924&amp;"|"&amp;TEXT($AD1924,"0.000000")</f>
        <v>PV 126|0.000000</v>
      </c>
    </row>
    <row r="1925" customFormat="false" ht="15" hidden="false" customHeight="false" outlineLevel="0" collapsed="false">
      <c r="B1925" s="16" t="n">
        <v>6</v>
      </c>
      <c r="C1925" s="17" t="n">
        <f aca="false">DATA_INICIO_SAFRA+($B1925-1)*DIAS_POR_SEMANA</f>
        <v>46300</v>
      </c>
      <c r="D1925" s="17" t="n">
        <f aca="false">$C1925+DIAS_POR_SEMANA-1</f>
        <v>46306</v>
      </c>
      <c r="E1925" s="15" t="s">
        <v>288</v>
      </c>
      <c r="F1925" s="8" t="str">
        <f aca="false">IFERROR(INDEX(CADASTRO_PIVOS!$C$6:$C$41,MATCH($E1925,CADASTRO_PIVOS!$B$6:$B$41,0)),"?")</f>
        <v>RM07</v>
      </c>
      <c r="G1925" s="8" t="str">
        <f aca="false">IFERROR(INDEX(CADASTRO_PIVOS!$D$6:$D$41,MATCH($E1925,CADASTRO_PIVOS!$B$6:$B$41,0)),"?")</f>
        <v>TR07</v>
      </c>
      <c r="H1925" s="20" t="n">
        <f aca="false">IFERROR(INDEX(CADASTRO_PIVOS!$E$6:$E$41,MATCH($E1925,CADASTRO_PIVOS!$B$6:$B$41,0)),0)</f>
        <v>139.94</v>
      </c>
      <c r="I1925" s="16" t="n">
        <f aca="false">IFERROR(SUMIFS(ROTACAO_RDM!$B$6:$B$71,ROTACAO_RDM!$D$6:$D$71,$E1925,ROTACAO_RDM!$I$6:$I$71,"&lt;="&amp;$C1925+INT(DIAS_POR_SEMANA/2),ROTACAO_RDM!$J$6:$J$71,"&gt;="&amp;$C1925+INT(DIAS_POR_SEMANA/2)),0)</f>
        <v>0</v>
      </c>
      <c r="J1925" s="16" t="n">
        <f aca="false">IFERROR(MATCH($I1925,ROTACAO_RDM!$B$6:$B$71,0),0)</f>
        <v>0</v>
      </c>
      <c r="K1925" s="8" t="str">
        <f aca="false">IF($J1925=0,"SEM CULTURA",INDEX(ROTACAO_RDM!$F$6:$F$71,$J1925))</f>
        <v>SEM CULTURA</v>
      </c>
      <c r="L1925" s="8" t="str">
        <f aca="false">IF($J1925=0,"",INDEX(ROTACAO_RDM!$G$6:$G$71,$J1925))</f>
        <v/>
      </c>
      <c r="M1925" s="17" t="str">
        <f aca="false">IF($J1925=0,"",INDEX(ROTACAO_RDM!$I$6:$I$71,$J1925))</f>
        <v/>
      </c>
      <c r="N1925" s="16" t="n">
        <f aca="false">IF($J1925=0,0,MAX(0,$C1925+INT(DIAS_POR_SEMANA/2)-INDEX(ROTACAO_RDM!$I$6:$I$71,$J1925)))</f>
        <v>0</v>
      </c>
      <c r="O1925" s="19" t="n">
        <f aca="false">IF($J1925=0,0,MIN(1,$N1925/MAX(1,INDEX(ROTACAO_RDM!$K$6:$K$71,$J1925))))</f>
        <v>0</v>
      </c>
      <c r="P1925" s="16" t="n">
        <f aca="false">IF($J1925=0,0,IFERROR(MATCH(INDEX(ROTACAO_RDM!$N$6:$N$71,$J1925),PARAMETROS_CULTURAS!$B$6:$B$28,0),0))</f>
        <v>0</v>
      </c>
      <c r="Q1925" s="8" t="str">
        <f aca="false">IF($P1925=0,"-",IF($O1925&lt;=INDEX(PARAMETROS_CULTURAS!$F$6:$F$28,$P1925),"INICIAL",IF($O1925&lt;=INDEX(PARAMETROS_CULTURAS!$F$6:$F$28,$P1925)+INDEX(PARAMETROS_CULTURAS!$G$6:$G$28,$P1925),"DESENVOLVIMENTO",IF($O1925&lt;=INDEX(PARAMETROS_CULTURAS!$F$6:$F$28,$P1925)+INDEX(PARAMETROS_CULTURAS!$G$6:$G$28,$P1925)+INDEX(PARAMETROS_CULTURAS!$H$6:$H$28,$P1925),"MEDIA","FINAL"))))</f>
        <v>-</v>
      </c>
      <c r="R1925" s="24" t="n">
        <f aca="false">IF($P1925=0,0,IF($O1925&lt;=INDEX(PARAMETROS_CULTURAS!$F$6:$F$28,$P1925),INDEX(PARAMETROS_CULTURAS!$K$6:$K$28,$P1925),IF($O1925&lt;=INDEX(PARAMETROS_CULTURAS!$F$6:$F$28,$P1925)+INDEX(PARAMETROS_CULTURAS!$G$6:$G$28,$P1925),INDEX(PARAMETROS_CULTURAS!$K$6:$K$28,$P1925)+(INDEX(PARAMETROS_CULTURAS!$L$6:$L$28,$P1925)-INDEX(PARAMETROS_CULTURAS!$K$6:$K$28,$P1925))*($O1925-INDEX(PARAMETROS_CULTURAS!$F$6:$F$28,$P1925))/MAX(INDEX(PARAMETROS_CULTURAS!$G$6:$G$28,$P1925),0.0001),IF($O1925&lt;=INDEX(PARAMETROS_CULTURAS!$F$6:$F$28,$P1925)+INDEX(PARAMETROS_CULTURAS!$G$6:$G$28,$P1925)+INDEX(PARAMETROS_CULTURAS!$H$6:$H$28,$P1925),INDEX(PARAMETROS_CULTURAS!$L$6:$L$28,$P1925),INDEX(PARAMETROS_CULTURAS!$L$6:$L$28,$P1925)+(INDEX(PARAMETROS_CULTURAS!$M$6:$M$28,$P1925)-INDEX(PARAMETROS_CULTURAS!$L$6:$L$28,$P1925))*($O1925-INDEX(PARAMETROS_CULTURAS!$F$6:$F$28,$P1925)-INDEX(PARAMETROS_CULTURAS!$G$6:$G$28,$P1925)-INDEX(PARAMETROS_CULTURAS!$H$6:$H$28,$P1925))/MAX(INDEX(PARAMETROS_CULTURAS!$I$6:$I$28,$P1925),0.0001)))))</f>
        <v>0</v>
      </c>
      <c r="S1925" s="18" t="n">
        <f aca="false">IFERROR(INDEX(SEMANAS!$H$6:$H$71,MATCH($B1925,SEMANAS!$B$6:$B$71,0)),0)</f>
        <v>39.2</v>
      </c>
      <c r="T1925" s="18" t="n">
        <f aca="false">$R1925*$S1925</f>
        <v>0</v>
      </c>
      <c r="U1925" s="18" t="n">
        <f aca="false">IFERROR(INDEX(SEMANAS!$I$6:$I$71,MATCH($B1925,SEMANAS!$B$6:$B$71,0)),0)</f>
        <v>27.09</v>
      </c>
      <c r="V1925" s="18" t="n">
        <f aca="false">IFERROR(INDEX(SEMANAS!$J$6:$J$71,MATCH($B1925,SEMANAS!$B$6:$B$71,0)),0)</f>
        <v>21.672</v>
      </c>
      <c r="W1925" s="18" t="n">
        <f aca="false">MAX(0,$T1925-$V1925)</f>
        <v>0</v>
      </c>
      <c r="X1925" s="19" t="n">
        <f aca="false">IFERROR(INDEX(CADASTRO_PIVOS!$K$6:$K$41,MATCH($E1925,CADASTRO_PIVOS!$B$6:$B$41,0)),EFICIENCIA_PADRAO)</f>
        <v>0.85</v>
      </c>
      <c r="Y1925" s="18" t="n">
        <f aca="false">IF($X1925&lt;=0,0,$W1925/$X1925)</f>
        <v>0</v>
      </c>
      <c r="Z1925" s="16" t="n">
        <f aca="false">$Y1925*$H1925*MM_PARA_M3_HA</f>
        <v>0</v>
      </c>
      <c r="AA1925" s="18" t="n">
        <f aca="false">IFERROR(INDEX(CADASTRO_PIVOS!$I$6:$I$41,MATCH($E1925,CADASTRO_PIVOS!$B$6:$B$41,0)),0)</f>
        <v>932.933333333333</v>
      </c>
      <c r="AB1925" s="18" t="n">
        <f aca="false">IF($Z1925&lt;=0,0,$Z1925/$AA1925)</f>
        <v>0</v>
      </c>
      <c r="AC1925" s="16" t="n">
        <f aca="false">IFERROR(INDEX(SEMANAS!$K$6:$K$71,MATCH($B1925,SEMANAS!$B$6:$B$71,0)),0)</f>
        <v>147</v>
      </c>
      <c r="AD1925" s="19" t="n">
        <f aca="false">IF($AC1925&lt;=0,0,$AB1925/$AC1925)</f>
        <v>0</v>
      </c>
      <c r="AE1925" s="8" t="str">
        <f aca="false">IF($K1925="SEM CULTURA","SEM CULTURA",IF($AA1925&lt;=0,"DADO PENDENTE",IF($AD1925&gt;LIMITE_CRITICO,"INVIAVEL",IF($AD1925&gt;LIMITE_ATENCAO,"CRITICO",IF($AD1925&gt;LIMITE_CONFORTAVEL,"ATENCAO","OK")))))</f>
        <v>SEM CULTURA</v>
      </c>
      <c r="AF1925" s="8" t="str">
        <f aca="false">$B1925&amp;"|"&amp;TEXT($AD1925,"0.000000")</f>
        <v>6|0.000000</v>
      </c>
      <c r="AG1925" s="18" t="n">
        <f aca="false">IF($K1925="SEM CULTURA",0,$T1925*$H1925)</f>
        <v>0</v>
      </c>
      <c r="AH1925" s="18" t="n">
        <f aca="false">IF($K1925="SEM CULTURA",0,$V1925*$H1925)</f>
        <v>0</v>
      </c>
      <c r="AI1925" s="18" t="n">
        <f aca="false">IF($K1925="SEM CULTURA",0,$W1925*$H1925)</f>
        <v>0</v>
      </c>
      <c r="AJ1925" s="18" t="n">
        <f aca="false">IF($K1925="SEM CULTURA",0,$S1925*$H1925)</f>
        <v>0</v>
      </c>
      <c r="AK1925" s="8" t="str">
        <f aca="false">$E1925&amp;"|"&amp;TEXT($AD1925,"0.000000")</f>
        <v>PV 126|0.000000</v>
      </c>
    </row>
    <row r="1926" customFormat="false" ht="15" hidden="false" customHeight="false" outlineLevel="0" collapsed="false">
      <c r="B1926" s="16" t="n">
        <v>7</v>
      </c>
      <c r="C1926" s="17" t="n">
        <f aca="false">DATA_INICIO_SAFRA+($B1926-1)*DIAS_POR_SEMANA</f>
        <v>46307</v>
      </c>
      <c r="D1926" s="17" t="n">
        <f aca="false">$C1926+DIAS_POR_SEMANA-1</f>
        <v>46313</v>
      </c>
      <c r="E1926" s="15" t="s">
        <v>288</v>
      </c>
      <c r="F1926" s="8" t="str">
        <f aca="false">IFERROR(INDEX(CADASTRO_PIVOS!$C$6:$C$41,MATCH($E1926,CADASTRO_PIVOS!$B$6:$B$41,0)),"?")</f>
        <v>RM07</v>
      </c>
      <c r="G1926" s="8" t="str">
        <f aca="false">IFERROR(INDEX(CADASTRO_PIVOS!$D$6:$D$41,MATCH($E1926,CADASTRO_PIVOS!$B$6:$B$41,0)),"?")</f>
        <v>TR07</v>
      </c>
      <c r="H1926" s="20" t="n">
        <f aca="false">IFERROR(INDEX(CADASTRO_PIVOS!$E$6:$E$41,MATCH($E1926,CADASTRO_PIVOS!$B$6:$B$41,0)),0)</f>
        <v>139.94</v>
      </c>
      <c r="I1926" s="16" t="n">
        <f aca="false">IFERROR(SUMIFS(ROTACAO_RDM!$B$6:$B$71,ROTACAO_RDM!$D$6:$D$71,$E1926,ROTACAO_RDM!$I$6:$I$71,"&lt;="&amp;$C1926+INT(DIAS_POR_SEMANA/2),ROTACAO_RDM!$J$6:$J$71,"&gt;="&amp;$C1926+INT(DIAS_POR_SEMANA/2)),0)</f>
        <v>0</v>
      </c>
      <c r="J1926" s="16" t="n">
        <f aca="false">IFERROR(MATCH($I1926,ROTACAO_RDM!$B$6:$B$71,0),0)</f>
        <v>0</v>
      </c>
      <c r="K1926" s="8" t="str">
        <f aca="false">IF($J1926=0,"SEM CULTURA",INDEX(ROTACAO_RDM!$F$6:$F$71,$J1926))</f>
        <v>SEM CULTURA</v>
      </c>
      <c r="L1926" s="8" t="str">
        <f aca="false">IF($J1926=0,"",INDEX(ROTACAO_RDM!$G$6:$G$71,$J1926))</f>
        <v/>
      </c>
      <c r="M1926" s="17" t="str">
        <f aca="false">IF($J1926=0,"",INDEX(ROTACAO_RDM!$I$6:$I$71,$J1926))</f>
        <v/>
      </c>
      <c r="N1926" s="16" t="n">
        <f aca="false">IF($J1926=0,0,MAX(0,$C1926+INT(DIAS_POR_SEMANA/2)-INDEX(ROTACAO_RDM!$I$6:$I$71,$J1926)))</f>
        <v>0</v>
      </c>
      <c r="O1926" s="19" t="n">
        <f aca="false">IF($J1926=0,0,MIN(1,$N1926/MAX(1,INDEX(ROTACAO_RDM!$K$6:$K$71,$J1926))))</f>
        <v>0</v>
      </c>
      <c r="P1926" s="16" t="n">
        <f aca="false">IF($J1926=0,0,IFERROR(MATCH(INDEX(ROTACAO_RDM!$N$6:$N$71,$J1926),PARAMETROS_CULTURAS!$B$6:$B$28,0),0))</f>
        <v>0</v>
      </c>
      <c r="Q1926" s="8" t="str">
        <f aca="false">IF($P1926=0,"-",IF($O1926&lt;=INDEX(PARAMETROS_CULTURAS!$F$6:$F$28,$P1926),"INICIAL",IF($O1926&lt;=INDEX(PARAMETROS_CULTURAS!$F$6:$F$28,$P1926)+INDEX(PARAMETROS_CULTURAS!$G$6:$G$28,$P1926),"DESENVOLVIMENTO",IF($O1926&lt;=INDEX(PARAMETROS_CULTURAS!$F$6:$F$28,$P1926)+INDEX(PARAMETROS_CULTURAS!$G$6:$G$28,$P1926)+INDEX(PARAMETROS_CULTURAS!$H$6:$H$28,$P1926),"MEDIA","FINAL"))))</f>
        <v>-</v>
      </c>
      <c r="R1926" s="24" t="n">
        <f aca="false">IF($P1926=0,0,IF($O1926&lt;=INDEX(PARAMETROS_CULTURAS!$F$6:$F$28,$P1926),INDEX(PARAMETROS_CULTURAS!$K$6:$K$28,$P1926),IF($O1926&lt;=INDEX(PARAMETROS_CULTURAS!$F$6:$F$28,$P1926)+INDEX(PARAMETROS_CULTURAS!$G$6:$G$28,$P1926),INDEX(PARAMETROS_CULTURAS!$K$6:$K$28,$P1926)+(INDEX(PARAMETROS_CULTURAS!$L$6:$L$28,$P1926)-INDEX(PARAMETROS_CULTURAS!$K$6:$K$28,$P1926))*($O1926-INDEX(PARAMETROS_CULTURAS!$F$6:$F$28,$P1926))/MAX(INDEX(PARAMETROS_CULTURAS!$G$6:$G$28,$P1926),0.0001),IF($O1926&lt;=INDEX(PARAMETROS_CULTURAS!$F$6:$F$28,$P1926)+INDEX(PARAMETROS_CULTURAS!$G$6:$G$28,$P1926)+INDEX(PARAMETROS_CULTURAS!$H$6:$H$28,$P1926),INDEX(PARAMETROS_CULTURAS!$L$6:$L$28,$P1926),INDEX(PARAMETROS_CULTURAS!$L$6:$L$28,$P1926)+(INDEX(PARAMETROS_CULTURAS!$M$6:$M$28,$P1926)-INDEX(PARAMETROS_CULTURAS!$L$6:$L$28,$P1926))*($O1926-INDEX(PARAMETROS_CULTURAS!$F$6:$F$28,$P1926)-INDEX(PARAMETROS_CULTURAS!$G$6:$G$28,$P1926)-INDEX(PARAMETROS_CULTURAS!$H$6:$H$28,$P1926))/MAX(INDEX(PARAMETROS_CULTURAS!$I$6:$I$28,$P1926),0.0001)))))</f>
        <v>0</v>
      </c>
      <c r="S1926" s="18" t="n">
        <f aca="false">IFERROR(INDEX(SEMANAS!$H$6:$H$71,MATCH($B1926,SEMANAS!$B$6:$B$71,0)),0)</f>
        <v>39.2</v>
      </c>
      <c r="T1926" s="18" t="n">
        <f aca="false">$R1926*$S1926</f>
        <v>0</v>
      </c>
      <c r="U1926" s="18" t="n">
        <f aca="false">IFERROR(INDEX(SEMANAS!$I$6:$I$71,MATCH($B1926,SEMANAS!$B$6:$B$71,0)),0)</f>
        <v>27.09</v>
      </c>
      <c r="V1926" s="18" t="n">
        <f aca="false">IFERROR(INDEX(SEMANAS!$J$6:$J$71,MATCH($B1926,SEMANAS!$B$6:$B$71,0)),0)</f>
        <v>21.672</v>
      </c>
      <c r="W1926" s="18" t="n">
        <f aca="false">MAX(0,$T1926-$V1926)</f>
        <v>0</v>
      </c>
      <c r="X1926" s="19" t="n">
        <f aca="false">IFERROR(INDEX(CADASTRO_PIVOS!$K$6:$K$41,MATCH($E1926,CADASTRO_PIVOS!$B$6:$B$41,0)),EFICIENCIA_PADRAO)</f>
        <v>0.85</v>
      </c>
      <c r="Y1926" s="18" t="n">
        <f aca="false">IF($X1926&lt;=0,0,$W1926/$X1926)</f>
        <v>0</v>
      </c>
      <c r="Z1926" s="16" t="n">
        <f aca="false">$Y1926*$H1926*MM_PARA_M3_HA</f>
        <v>0</v>
      </c>
      <c r="AA1926" s="18" t="n">
        <f aca="false">IFERROR(INDEX(CADASTRO_PIVOS!$I$6:$I$41,MATCH($E1926,CADASTRO_PIVOS!$B$6:$B$41,0)),0)</f>
        <v>932.933333333333</v>
      </c>
      <c r="AB1926" s="18" t="n">
        <f aca="false">IF($Z1926&lt;=0,0,$Z1926/$AA1926)</f>
        <v>0</v>
      </c>
      <c r="AC1926" s="16" t="n">
        <f aca="false">IFERROR(INDEX(SEMANAS!$K$6:$K$71,MATCH($B1926,SEMANAS!$B$6:$B$71,0)),0)</f>
        <v>147</v>
      </c>
      <c r="AD1926" s="19" t="n">
        <f aca="false">IF($AC1926&lt;=0,0,$AB1926/$AC1926)</f>
        <v>0</v>
      </c>
      <c r="AE1926" s="8" t="str">
        <f aca="false">IF($K1926="SEM CULTURA","SEM CULTURA",IF($AA1926&lt;=0,"DADO PENDENTE",IF($AD1926&gt;LIMITE_CRITICO,"INVIAVEL",IF($AD1926&gt;LIMITE_ATENCAO,"CRITICO",IF($AD1926&gt;LIMITE_CONFORTAVEL,"ATENCAO","OK")))))</f>
        <v>SEM CULTURA</v>
      </c>
      <c r="AF1926" s="8" t="str">
        <f aca="false">$B1926&amp;"|"&amp;TEXT($AD1926,"0.000000")</f>
        <v>7|0.000000</v>
      </c>
      <c r="AG1926" s="18" t="n">
        <f aca="false">IF($K1926="SEM CULTURA",0,$T1926*$H1926)</f>
        <v>0</v>
      </c>
      <c r="AH1926" s="18" t="n">
        <f aca="false">IF($K1926="SEM CULTURA",0,$V1926*$H1926)</f>
        <v>0</v>
      </c>
      <c r="AI1926" s="18" t="n">
        <f aca="false">IF($K1926="SEM CULTURA",0,$W1926*$H1926)</f>
        <v>0</v>
      </c>
      <c r="AJ1926" s="18" t="n">
        <f aca="false">IF($K1926="SEM CULTURA",0,$S1926*$H1926)</f>
        <v>0</v>
      </c>
      <c r="AK1926" s="8" t="str">
        <f aca="false">$E1926&amp;"|"&amp;TEXT($AD1926,"0.000000")</f>
        <v>PV 126|0.000000</v>
      </c>
    </row>
    <row r="1927" customFormat="false" ht="15" hidden="false" customHeight="false" outlineLevel="0" collapsed="false">
      <c r="B1927" s="16" t="n">
        <v>8</v>
      </c>
      <c r="C1927" s="17" t="n">
        <f aca="false">DATA_INICIO_SAFRA+($B1927-1)*DIAS_POR_SEMANA</f>
        <v>46314</v>
      </c>
      <c r="D1927" s="17" t="n">
        <f aca="false">$C1927+DIAS_POR_SEMANA-1</f>
        <v>46320</v>
      </c>
      <c r="E1927" s="15" t="s">
        <v>288</v>
      </c>
      <c r="F1927" s="8" t="str">
        <f aca="false">IFERROR(INDEX(CADASTRO_PIVOS!$C$6:$C$41,MATCH($E1927,CADASTRO_PIVOS!$B$6:$B$41,0)),"?")</f>
        <v>RM07</v>
      </c>
      <c r="G1927" s="8" t="str">
        <f aca="false">IFERROR(INDEX(CADASTRO_PIVOS!$D$6:$D$41,MATCH($E1927,CADASTRO_PIVOS!$B$6:$B$41,0)),"?")</f>
        <v>TR07</v>
      </c>
      <c r="H1927" s="20" t="n">
        <f aca="false">IFERROR(INDEX(CADASTRO_PIVOS!$E$6:$E$41,MATCH($E1927,CADASTRO_PIVOS!$B$6:$B$41,0)),0)</f>
        <v>139.94</v>
      </c>
      <c r="I1927" s="16" t="n">
        <f aca="false">IFERROR(SUMIFS(ROTACAO_RDM!$B$6:$B$71,ROTACAO_RDM!$D$6:$D$71,$E1927,ROTACAO_RDM!$I$6:$I$71,"&lt;="&amp;$C1927+INT(DIAS_POR_SEMANA/2),ROTACAO_RDM!$J$6:$J$71,"&gt;="&amp;$C1927+INT(DIAS_POR_SEMANA/2)),0)</f>
        <v>0</v>
      </c>
      <c r="J1927" s="16" t="n">
        <f aca="false">IFERROR(MATCH($I1927,ROTACAO_RDM!$B$6:$B$71,0),0)</f>
        <v>0</v>
      </c>
      <c r="K1927" s="8" t="str">
        <f aca="false">IF($J1927=0,"SEM CULTURA",INDEX(ROTACAO_RDM!$F$6:$F$71,$J1927))</f>
        <v>SEM CULTURA</v>
      </c>
      <c r="L1927" s="8" t="str">
        <f aca="false">IF($J1927=0,"",INDEX(ROTACAO_RDM!$G$6:$G$71,$J1927))</f>
        <v/>
      </c>
      <c r="M1927" s="17" t="str">
        <f aca="false">IF($J1927=0,"",INDEX(ROTACAO_RDM!$I$6:$I$71,$J1927))</f>
        <v/>
      </c>
      <c r="N1927" s="16" t="n">
        <f aca="false">IF($J1927=0,0,MAX(0,$C1927+INT(DIAS_POR_SEMANA/2)-INDEX(ROTACAO_RDM!$I$6:$I$71,$J1927)))</f>
        <v>0</v>
      </c>
      <c r="O1927" s="19" t="n">
        <f aca="false">IF($J1927=0,0,MIN(1,$N1927/MAX(1,INDEX(ROTACAO_RDM!$K$6:$K$71,$J1927))))</f>
        <v>0</v>
      </c>
      <c r="P1927" s="16" t="n">
        <f aca="false">IF($J1927=0,0,IFERROR(MATCH(INDEX(ROTACAO_RDM!$N$6:$N$71,$J1927),PARAMETROS_CULTURAS!$B$6:$B$28,0),0))</f>
        <v>0</v>
      </c>
      <c r="Q1927" s="8" t="str">
        <f aca="false">IF($P1927=0,"-",IF($O1927&lt;=INDEX(PARAMETROS_CULTURAS!$F$6:$F$28,$P1927),"INICIAL",IF($O1927&lt;=INDEX(PARAMETROS_CULTURAS!$F$6:$F$28,$P1927)+INDEX(PARAMETROS_CULTURAS!$G$6:$G$28,$P1927),"DESENVOLVIMENTO",IF($O1927&lt;=INDEX(PARAMETROS_CULTURAS!$F$6:$F$28,$P1927)+INDEX(PARAMETROS_CULTURAS!$G$6:$G$28,$P1927)+INDEX(PARAMETROS_CULTURAS!$H$6:$H$28,$P1927),"MEDIA","FINAL"))))</f>
        <v>-</v>
      </c>
      <c r="R1927" s="24" t="n">
        <f aca="false">IF($P1927=0,0,IF($O1927&lt;=INDEX(PARAMETROS_CULTURAS!$F$6:$F$28,$P1927),INDEX(PARAMETROS_CULTURAS!$K$6:$K$28,$P1927),IF($O1927&lt;=INDEX(PARAMETROS_CULTURAS!$F$6:$F$28,$P1927)+INDEX(PARAMETROS_CULTURAS!$G$6:$G$28,$P1927),INDEX(PARAMETROS_CULTURAS!$K$6:$K$28,$P1927)+(INDEX(PARAMETROS_CULTURAS!$L$6:$L$28,$P1927)-INDEX(PARAMETROS_CULTURAS!$K$6:$K$28,$P1927))*($O1927-INDEX(PARAMETROS_CULTURAS!$F$6:$F$28,$P1927))/MAX(INDEX(PARAMETROS_CULTURAS!$G$6:$G$28,$P1927),0.0001),IF($O1927&lt;=INDEX(PARAMETROS_CULTURAS!$F$6:$F$28,$P1927)+INDEX(PARAMETROS_CULTURAS!$G$6:$G$28,$P1927)+INDEX(PARAMETROS_CULTURAS!$H$6:$H$28,$P1927),INDEX(PARAMETROS_CULTURAS!$L$6:$L$28,$P1927),INDEX(PARAMETROS_CULTURAS!$L$6:$L$28,$P1927)+(INDEX(PARAMETROS_CULTURAS!$M$6:$M$28,$P1927)-INDEX(PARAMETROS_CULTURAS!$L$6:$L$28,$P1927))*($O1927-INDEX(PARAMETROS_CULTURAS!$F$6:$F$28,$P1927)-INDEX(PARAMETROS_CULTURAS!$G$6:$G$28,$P1927)-INDEX(PARAMETROS_CULTURAS!$H$6:$H$28,$P1927))/MAX(INDEX(PARAMETROS_CULTURAS!$I$6:$I$28,$P1927),0.0001)))))</f>
        <v>0</v>
      </c>
      <c r="S1927" s="18" t="n">
        <f aca="false">IFERROR(INDEX(SEMANAS!$H$6:$H$71,MATCH($B1927,SEMANAS!$B$6:$B$71,0)),0)</f>
        <v>39.2</v>
      </c>
      <c r="T1927" s="18" t="n">
        <f aca="false">$R1927*$S1927</f>
        <v>0</v>
      </c>
      <c r="U1927" s="18" t="n">
        <f aca="false">IFERROR(INDEX(SEMANAS!$I$6:$I$71,MATCH($B1927,SEMANAS!$B$6:$B$71,0)),0)</f>
        <v>27.09</v>
      </c>
      <c r="V1927" s="18" t="n">
        <f aca="false">IFERROR(INDEX(SEMANAS!$J$6:$J$71,MATCH($B1927,SEMANAS!$B$6:$B$71,0)),0)</f>
        <v>21.672</v>
      </c>
      <c r="W1927" s="18" t="n">
        <f aca="false">MAX(0,$T1927-$V1927)</f>
        <v>0</v>
      </c>
      <c r="X1927" s="19" t="n">
        <f aca="false">IFERROR(INDEX(CADASTRO_PIVOS!$K$6:$K$41,MATCH($E1927,CADASTRO_PIVOS!$B$6:$B$41,0)),EFICIENCIA_PADRAO)</f>
        <v>0.85</v>
      </c>
      <c r="Y1927" s="18" t="n">
        <f aca="false">IF($X1927&lt;=0,0,$W1927/$X1927)</f>
        <v>0</v>
      </c>
      <c r="Z1927" s="16" t="n">
        <f aca="false">$Y1927*$H1927*MM_PARA_M3_HA</f>
        <v>0</v>
      </c>
      <c r="AA1927" s="18" t="n">
        <f aca="false">IFERROR(INDEX(CADASTRO_PIVOS!$I$6:$I$41,MATCH($E1927,CADASTRO_PIVOS!$B$6:$B$41,0)),0)</f>
        <v>932.933333333333</v>
      </c>
      <c r="AB1927" s="18" t="n">
        <f aca="false">IF($Z1927&lt;=0,0,$Z1927/$AA1927)</f>
        <v>0</v>
      </c>
      <c r="AC1927" s="16" t="n">
        <f aca="false">IFERROR(INDEX(SEMANAS!$K$6:$K$71,MATCH($B1927,SEMANAS!$B$6:$B$71,0)),0)</f>
        <v>147</v>
      </c>
      <c r="AD1927" s="19" t="n">
        <f aca="false">IF($AC1927&lt;=0,0,$AB1927/$AC1927)</f>
        <v>0</v>
      </c>
      <c r="AE1927" s="8" t="str">
        <f aca="false">IF($K1927="SEM CULTURA","SEM CULTURA",IF($AA1927&lt;=0,"DADO PENDENTE",IF($AD1927&gt;LIMITE_CRITICO,"INVIAVEL",IF($AD1927&gt;LIMITE_ATENCAO,"CRITICO",IF($AD1927&gt;LIMITE_CONFORTAVEL,"ATENCAO","OK")))))</f>
        <v>SEM CULTURA</v>
      </c>
      <c r="AF1927" s="8" t="str">
        <f aca="false">$B1927&amp;"|"&amp;TEXT($AD1927,"0.000000")</f>
        <v>8|0.000000</v>
      </c>
      <c r="AG1927" s="18" t="n">
        <f aca="false">IF($K1927="SEM CULTURA",0,$T1927*$H1927)</f>
        <v>0</v>
      </c>
      <c r="AH1927" s="18" t="n">
        <f aca="false">IF($K1927="SEM CULTURA",0,$V1927*$H1927)</f>
        <v>0</v>
      </c>
      <c r="AI1927" s="18" t="n">
        <f aca="false">IF($K1927="SEM CULTURA",0,$W1927*$H1927)</f>
        <v>0</v>
      </c>
      <c r="AJ1927" s="18" t="n">
        <f aca="false">IF($K1927="SEM CULTURA",0,$S1927*$H1927)</f>
        <v>0</v>
      </c>
      <c r="AK1927" s="8" t="str">
        <f aca="false">$E1927&amp;"|"&amp;TEXT($AD1927,"0.000000")</f>
        <v>PV 126|0.000000</v>
      </c>
    </row>
    <row r="1928" customFormat="false" ht="15" hidden="false" customHeight="false" outlineLevel="0" collapsed="false">
      <c r="B1928" s="16" t="n">
        <v>9</v>
      </c>
      <c r="C1928" s="17" t="n">
        <f aca="false">DATA_INICIO_SAFRA+($B1928-1)*DIAS_POR_SEMANA</f>
        <v>46321</v>
      </c>
      <c r="D1928" s="17" t="n">
        <f aca="false">$C1928+DIAS_POR_SEMANA-1</f>
        <v>46327</v>
      </c>
      <c r="E1928" s="15" t="s">
        <v>288</v>
      </c>
      <c r="F1928" s="8" t="str">
        <f aca="false">IFERROR(INDEX(CADASTRO_PIVOS!$C$6:$C$41,MATCH($E1928,CADASTRO_PIVOS!$B$6:$B$41,0)),"?")</f>
        <v>RM07</v>
      </c>
      <c r="G1928" s="8" t="str">
        <f aca="false">IFERROR(INDEX(CADASTRO_PIVOS!$D$6:$D$41,MATCH($E1928,CADASTRO_PIVOS!$B$6:$B$41,0)),"?")</f>
        <v>TR07</v>
      </c>
      <c r="H1928" s="20" t="n">
        <f aca="false">IFERROR(INDEX(CADASTRO_PIVOS!$E$6:$E$41,MATCH($E1928,CADASTRO_PIVOS!$B$6:$B$41,0)),0)</f>
        <v>139.94</v>
      </c>
      <c r="I1928" s="16" t="n">
        <f aca="false">IFERROR(SUMIFS(ROTACAO_RDM!$B$6:$B$71,ROTACAO_RDM!$D$6:$D$71,$E1928,ROTACAO_RDM!$I$6:$I$71,"&lt;="&amp;$C1928+INT(DIAS_POR_SEMANA/2),ROTACAO_RDM!$J$6:$J$71,"&gt;="&amp;$C1928+INT(DIAS_POR_SEMANA/2)),0)</f>
        <v>0</v>
      </c>
      <c r="J1928" s="16" t="n">
        <f aca="false">IFERROR(MATCH($I1928,ROTACAO_RDM!$B$6:$B$71,0),0)</f>
        <v>0</v>
      </c>
      <c r="K1928" s="8" t="str">
        <f aca="false">IF($J1928=0,"SEM CULTURA",INDEX(ROTACAO_RDM!$F$6:$F$71,$J1928))</f>
        <v>SEM CULTURA</v>
      </c>
      <c r="L1928" s="8" t="str">
        <f aca="false">IF($J1928=0,"",INDEX(ROTACAO_RDM!$G$6:$G$71,$J1928))</f>
        <v/>
      </c>
      <c r="M1928" s="17" t="str">
        <f aca="false">IF($J1928=0,"",INDEX(ROTACAO_RDM!$I$6:$I$71,$J1928))</f>
        <v/>
      </c>
      <c r="N1928" s="16" t="n">
        <f aca="false">IF($J1928=0,0,MAX(0,$C1928+INT(DIAS_POR_SEMANA/2)-INDEX(ROTACAO_RDM!$I$6:$I$71,$J1928)))</f>
        <v>0</v>
      </c>
      <c r="O1928" s="19" t="n">
        <f aca="false">IF($J1928=0,0,MIN(1,$N1928/MAX(1,INDEX(ROTACAO_RDM!$K$6:$K$71,$J1928))))</f>
        <v>0</v>
      </c>
      <c r="P1928" s="16" t="n">
        <f aca="false">IF($J1928=0,0,IFERROR(MATCH(INDEX(ROTACAO_RDM!$N$6:$N$71,$J1928),PARAMETROS_CULTURAS!$B$6:$B$28,0),0))</f>
        <v>0</v>
      </c>
      <c r="Q1928" s="8" t="str">
        <f aca="false">IF($P1928=0,"-",IF($O1928&lt;=INDEX(PARAMETROS_CULTURAS!$F$6:$F$28,$P1928),"INICIAL",IF($O1928&lt;=INDEX(PARAMETROS_CULTURAS!$F$6:$F$28,$P1928)+INDEX(PARAMETROS_CULTURAS!$G$6:$G$28,$P1928),"DESENVOLVIMENTO",IF($O1928&lt;=INDEX(PARAMETROS_CULTURAS!$F$6:$F$28,$P1928)+INDEX(PARAMETROS_CULTURAS!$G$6:$G$28,$P1928)+INDEX(PARAMETROS_CULTURAS!$H$6:$H$28,$P1928),"MEDIA","FINAL"))))</f>
        <v>-</v>
      </c>
      <c r="R1928" s="24" t="n">
        <f aca="false">IF($P1928=0,0,IF($O1928&lt;=INDEX(PARAMETROS_CULTURAS!$F$6:$F$28,$P1928),INDEX(PARAMETROS_CULTURAS!$K$6:$K$28,$P1928),IF($O1928&lt;=INDEX(PARAMETROS_CULTURAS!$F$6:$F$28,$P1928)+INDEX(PARAMETROS_CULTURAS!$G$6:$G$28,$P1928),INDEX(PARAMETROS_CULTURAS!$K$6:$K$28,$P1928)+(INDEX(PARAMETROS_CULTURAS!$L$6:$L$28,$P1928)-INDEX(PARAMETROS_CULTURAS!$K$6:$K$28,$P1928))*($O1928-INDEX(PARAMETROS_CULTURAS!$F$6:$F$28,$P1928))/MAX(INDEX(PARAMETROS_CULTURAS!$G$6:$G$28,$P1928),0.0001),IF($O1928&lt;=INDEX(PARAMETROS_CULTURAS!$F$6:$F$28,$P1928)+INDEX(PARAMETROS_CULTURAS!$G$6:$G$28,$P1928)+INDEX(PARAMETROS_CULTURAS!$H$6:$H$28,$P1928),INDEX(PARAMETROS_CULTURAS!$L$6:$L$28,$P1928),INDEX(PARAMETROS_CULTURAS!$L$6:$L$28,$P1928)+(INDEX(PARAMETROS_CULTURAS!$M$6:$M$28,$P1928)-INDEX(PARAMETROS_CULTURAS!$L$6:$L$28,$P1928))*($O1928-INDEX(PARAMETROS_CULTURAS!$F$6:$F$28,$P1928)-INDEX(PARAMETROS_CULTURAS!$G$6:$G$28,$P1928)-INDEX(PARAMETROS_CULTURAS!$H$6:$H$28,$P1928))/MAX(INDEX(PARAMETROS_CULTURAS!$I$6:$I$28,$P1928),0.0001)))))</f>
        <v>0</v>
      </c>
      <c r="S1928" s="18" t="n">
        <f aca="false">IFERROR(INDEX(SEMANAS!$H$6:$H$71,MATCH($B1928,SEMANAS!$B$6:$B$71,0)),0)</f>
        <v>38.5</v>
      </c>
      <c r="T1928" s="18" t="n">
        <f aca="false">$R1928*$S1928</f>
        <v>0</v>
      </c>
      <c r="U1928" s="18" t="n">
        <f aca="false">IFERROR(INDEX(SEMANAS!$I$6:$I$71,MATCH($B1928,SEMANAS!$B$6:$B$71,0)),0)</f>
        <v>29.89</v>
      </c>
      <c r="V1928" s="18" t="n">
        <f aca="false">IFERROR(INDEX(SEMANAS!$J$6:$J$71,MATCH($B1928,SEMANAS!$B$6:$B$71,0)),0)</f>
        <v>23.912</v>
      </c>
      <c r="W1928" s="18" t="n">
        <f aca="false">MAX(0,$T1928-$V1928)</f>
        <v>0</v>
      </c>
      <c r="X1928" s="19" t="n">
        <f aca="false">IFERROR(INDEX(CADASTRO_PIVOS!$K$6:$K$41,MATCH($E1928,CADASTRO_PIVOS!$B$6:$B$41,0)),EFICIENCIA_PADRAO)</f>
        <v>0.85</v>
      </c>
      <c r="Y1928" s="18" t="n">
        <f aca="false">IF($X1928&lt;=0,0,$W1928/$X1928)</f>
        <v>0</v>
      </c>
      <c r="Z1928" s="16" t="n">
        <f aca="false">$Y1928*$H1928*MM_PARA_M3_HA</f>
        <v>0</v>
      </c>
      <c r="AA1928" s="18" t="n">
        <f aca="false">IFERROR(INDEX(CADASTRO_PIVOS!$I$6:$I$41,MATCH($E1928,CADASTRO_PIVOS!$B$6:$B$41,0)),0)</f>
        <v>932.933333333333</v>
      </c>
      <c r="AB1928" s="18" t="n">
        <f aca="false">IF($Z1928&lt;=0,0,$Z1928/$AA1928)</f>
        <v>0</v>
      </c>
      <c r="AC1928" s="16" t="n">
        <f aca="false">IFERROR(INDEX(SEMANAS!$K$6:$K$71,MATCH($B1928,SEMANAS!$B$6:$B$71,0)),0)</f>
        <v>147</v>
      </c>
      <c r="AD1928" s="19" t="n">
        <f aca="false">IF($AC1928&lt;=0,0,$AB1928/$AC1928)</f>
        <v>0</v>
      </c>
      <c r="AE1928" s="8" t="str">
        <f aca="false">IF($K1928="SEM CULTURA","SEM CULTURA",IF($AA1928&lt;=0,"DADO PENDENTE",IF($AD1928&gt;LIMITE_CRITICO,"INVIAVEL",IF($AD1928&gt;LIMITE_ATENCAO,"CRITICO",IF($AD1928&gt;LIMITE_CONFORTAVEL,"ATENCAO","OK")))))</f>
        <v>SEM CULTURA</v>
      </c>
      <c r="AF1928" s="8" t="str">
        <f aca="false">$B1928&amp;"|"&amp;TEXT($AD1928,"0.000000")</f>
        <v>9|0.000000</v>
      </c>
      <c r="AG1928" s="18" t="n">
        <f aca="false">IF($K1928="SEM CULTURA",0,$T1928*$H1928)</f>
        <v>0</v>
      </c>
      <c r="AH1928" s="18" t="n">
        <f aca="false">IF($K1928="SEM CULTURA",0,$V1928*$H1928)</f>
        <v>0</v>
      </c>
      <c r="AI1928" s="18" t="n">
        <f aca="false">IF($K1928="SEM CULTURA",0,$W1928*$H1928)</f>
        <v>0</v>
      </c>
      <c r="AJ1928" s="18" t="n">
        <f aca="false">IF($K1928="SEM CULTURA",0,$S1928*$H1928)</f>
        <v>0</v>
      </c>
      <c r="AK1928" s="8" t="str">
        <f aca="false">$E1928&amp;"|"&amp;TEXT($AD1928,"0.000000")</f>
        <v>PV 126|0.000000</v>
      </c>
    </row>
    <row r="1929" customFormat="false" ht="15" hidden="false" customHeight="false" outlineLevel="0" collapsed="false">
      <c r="B1929" s="16" t="n">
        <v>10</v>
      </c>
      <c r="C1929" s="17" t="n">
        <f aca="false">DATA_INICIO_SAFRA+($B1929-1)*DIAS_POR_SEMANA</f>
        <v>46328</v>
      </c>
      <c r="D1929" s="17" t="n">
        <f aca="false">$C1929+DIAS_POR_SEMANA-1</f>
        <v>46334</v>
      </c>
      <c r="E1929" s="15" t="s">
        <v>288</v>
      </c>
      <c r="F1929" s="8" t="str">
        <f aca="false">IFERROR(INDEX(CADASTRO_PIVOS!$C$6:$C$41,MATCH($E1929,CADASTRO_PIVOS!$B$6:$B$41,0)),"?")</f>
        <v>RM07</v>
      </c>
      <c r="G1929" s="8" t="str">
        <f aca="false">IFERROR(INDEX(CADASTRO_PIVOS!$D$6:$D$41,MATCH($E1929,CADASTRO_PIVOS!$B$6:$B$41,0)),"?")</f>
        <v>TR07</v>
      </c>
      <c r="H1929" s="20" t="n">
        <f aca="false">IFERROR(INDEX(CADASTRO_PIVOS!$E$6:$E$41,MATCH($E1929,CADASTRO_PIVOS!$B$6:$B$41,0)),0)</f>
        <v>139.94</v>
      </c>
      <c r="I1929" s="16" t="n">
        <f aca="false">IFERROR(SUMIFS(ROTACAO_RDM!$B$6:$B$71,ROTACAO_RDM!$D$6:$D$71,$E1929,ROTACAO_RDM!$I$6:$I$71,"&lt;="&amp;$C1929+INT(DIAS_POR_SEMANA/2),ROTACAO_RDM!$J$6:$J$71,"&gt;="&amp;$C1929+INT(DIAS_POR_SEMANA/2)),0)</f>
        <v>0</v>
      </c>
      <c r="J1929" s="16" t="n">
        <f aca="false">IFERROR(MATCH($I1929,ROTACAO_RDM!$B$6:$B$71,0),0)</f>
        <v>0</v>
      </c>
      <c r="K1929" s="8" t="str">
        <f aca="false">IF($J1929=0,"SEM CULTURA",INDEX(ROTACAO_RDM!$F$6:$F$71,$J1929))</f>
        <v>SEM CULTURA</v>
      </c>
      <c r="L1929" s="8" t="str">
        <f aca="false">IF($J1929=0,"",INDEX(ROTACAO_RDM!$G$6:$G$71,$J1929))</f>
        <v/>
      </c>
      <c r="M1929" s="17" t="str">
        <f aca="false">IF($J1929=0,"",INDEX(ROTACAO_RDM!$I$6:$I$71,$J1929))</f>
        <v/>
      </c>
      <c r="N1929" s="16" t="n">
        <f aca="false">IF($J1929=0,0,MAX(0,$C1929+INT(DIAS_POR_SEMANA/2)-INDEX(ROTACAO_RDM!$I$6:$I$71,$J1929)))</f>
        <v>0</v>
      </c>
      <c r="O1929" s="19" t="n">
        <f aca="false">IF($J1929=0,0,MIN(1,$N1929/MAX(1,INDEX(ROTACAO_RDM!$K$6:$K$71,$J1929))))</f>
        <v>0</v>
      </c>
      <c r="P1929" s="16" t="n">
        <f aca="false">IF($J1929=0,0,IFERROR(MATCH(INDEX(ROTACAO_RDM!$N$6:$N$71,$J1929),PARAMETROS_CULTURAS!$B$6:$B$28,0),0))</f>
        <v>0</v>
      </c>
      <c r="Q1929" s="8" t="str">
        <f aca="false">IF($P1929=0,"-",IF($O1929&lt;=INDEX(PARAMETROS_CULTURAS!$F$6:$F$28,$P1929),"INICIAL",IF($O1929&lt;=INDEX(PARAMETROS_CULTURAS!$F$6:$F$28,$P1929)+INDEX(PARAMETROS_CULTURAS!$G$6:$G$28,$P1929),"DESENVOLVIMENTO",IF($O1929&lt;=INDEX(PARAMETROS_CULTURAS!$F$6:$F$28,$P1929)+INDEX(PARAMETROS_CULTURAS!$G$6:$G$28,$P1929)+INDEX(PARAMETROS_CULTURAS!$H$6:$H$28,$P1929),"MEDIA","FINAL"))))</f>
        <v>-</v>
      </c>
      <c r="R1929" s="24" t="n">
        <f aca="false">IF($P1929=0,0,IF($O1929&lt;=INDEX(PARAMETROS_CULTURAS!$F$6:$F$28,$P1929),INDEX(PARAMETROS_CULTURAS!$K$6:$K$28,$P1929),IF($O1929&lt;=INDEX(PARAMETROS_CULTURAS!$F$6:$F$28,$P1929)+INDEX(PARAMETROS_CULTURAS!$G$6:$G$28,$P1929),INDEX(PARAMETROS_CULTURAS!$K$6:$K$28,$P1929)+(INDEX(PARAMETROS_CULTURAS!$L$6:$L$28,$P1929)-INDEX(PARAMETROS_CULTURAS!$K$6:$K$28,$P1929))*($O1929-INDEX(PARAMETROS_CULTURAS!$F$6:$F$28,$P1929))/MAX(INDEX(PARAMETROS_CULTURAS!$G$6:$G$28,$P1929),0.0001),IF($O1929&lt;=INDEX(PARAMETROS_CULTURAS!$F$6:$F$28,$P1929)+INDEX(PARAMETROS_CULTURAS!$G$6:$G$28,$P1929)+INDEX(PARAMETROS_CULTURAS!$H$6:$H$28,$P1929),INDEX(PARAMETROS_CULTURAS!$L$6:$L$28,$P1929),INDEX(PARAMETROS_CULTURAS!$L$6:$L$28,$P1929)+(INDEX(PARAMETROS_CULTURAS!$M$6:$M$28,$P1929)-INDEX(PARAMETROS_CULTURAS!$L$6:$L$28,$P1929))*($O1929-INDEX(PARAMETROS_CULTURAS!$F$6:$F$28,$P1929)-INDEX(PARAMETROS_CULTURAS!$G$6:$G$28,$P1929)-INDEX(PARAMETROS_CULTURAS!$H$6:$H$28,$P1929))/MAX(INDEX(PARAMETROS_CULTURAS!$I$6:$I$28,$P1929),0.0001)))))</f>
        <v>0</v>
      </c>
      <c r="S1929" s="18" t="n">
        <f aca="false">IFERROR(INDEX(SEMANAS!$H$6:$H$71,MATCH($B1929,SEMANAS!$B$6:$B$71,0)),0)</f>
        <v>34.3</v>
      </c>
      <c r="T1929" s="18" t="n">
        <f aca="false">$R1929*$S1929</f>
        <v>0</v>
      </c>
      <c r="U1929" s="18" t="n">
        <f aca="false">IFERROR(INDEX(SEMANAS!$I$6:$I$71,MATCH($B1929,SEMANAS!$B$6:$B$71,0)),0)</f>
        <v>46.69</v>
      </c>
      <c r="V1929" s="18" t="n">
        <f aca="false">IFERROR(INDEX(SEMANAS!$J$6:$J$71,MATCH($B1929,SEMANAS!$B$6:$B$71,0)),0)</f>
        <v>37.352</v>
      </c>
      <c r="W1929" s="18" t="n">
        <f aca="false">MAX(0,$T1929-$V1929)</f>
        <v>0</v>
      </c>
      <c r="X1929" s="19" t="n">
        <f aca="false">IFERROR(INDEX(CADASTRO_PIVOS!$K$6:$K$41,MATCH($E1929,CADASTRO_PIVOS!$B$6:$B$41,0)),EFICIENCIA_PADRAO)</f>
        <v>0.85</v>
      </c>
      <c r="Y1929" s="18" t="n">
        <f aca="false">IF($X1929&lt;=0,0,$W1929/$X1929)</f>
        <v>0</v>
      </c>
      <c r="Z1929" s="16" t="n">
        <f aca="false">$Y1929*$H1929*MM_PARA_M3_HA</f>
        <v>0</v>
      </c>
      <c r="AA1929" s="18" t="n">
        <f aca="false">IFERROR(INDEX(CADASTRO_PIVOS!$I$6:$I$41,MATCH($E1929,CADASTRO_PIVOS!$B$6:$B$41,0)),0)</f>
        <v>932.933333333333</v>
      </c>
      <c r="AB1929" s="18" t="n">
        <f aca="false">IF($Z1929&lt;=0,0,$Z1929/$AA1929)</f>
        <v>0</v>
      </c>
      <c r="AC1929" s="16" t="n">
        <f aca="false">IFERROR(INDEX(SEMANAS!$K$6:$K$71,MATCH($B1929,SEMANAS!$B$6:$B$71,0)),0)</f>
        <v>147</v>
      </c>
      <c r="AD1929" s="19" t="n">
        <f aca="false">IF($AC1929&lt;=0,0,$AB1929/$AC1929)</f>
        <v>0</v>
      </c>
      <c r="AE1929" s="8" t="str">
        <f aca="false">IF($K1929="SEM CULTURA","SEM CULTURA",IF($AA1929&lt;=0,"DADO PENDENTE",IF($AD1929&gt;LIMITE_CRITICO,"INVIAVEL",IF($AD1929&gt;LIMITE_ATENCAO,"CRITICO",IF($AD1929&gt;LIMITE_CONFORTAVEL,"ATENCAO","OK")))))</f>
        <v>SEM CULTURA</v>
      </c>
      <c r="AF1929" s="8" t="str">
        <f aca="false">$B1929&amp;"|"&amp;TEXT($AD1929,"0.000000")</f>
        <v>10|0.000000</v>
      </c>
      <c r="AG1929" s="18" t="n">
        <f aca="false">IF($K1929="SEM CULTURA",0,$T1929*$H1929)</f>
        <v>0</v>
      </c>
      <c r="AH1929" s="18" t="n">
        <f aca="false">IF($K1929="SEM CULTURA",0,$V1929*$H1929)</f>
        <v>0</v>
      </c>
      <c r="AI1929" s="18" t="n">
        <f aca="false">IF($K1929="SEM CULTURA",0,$W1929*$H1929)</f>
        <v>0</v>
      </c>
      <c r="AJ1929" s="18" t="n">
        <f aca="false">IF($K1929="SEM CULTURA",0,$S1929*$H1929)</f>
        <v>0</v>
      </c>
      <c r="AK1929" s="8" t="str">
        <f aca="false">$E1929&amp;"|"&amp;TEXT($AD1929,"0.000000")</f>
        <v>PV 126|0.000000</v>
      </c>
    </row>
    <row r="1930" customFormat="false" ht="15" hidden="false" customHeight="false" outlineLevel="0" collapsed="false">
      <c r="B1930" s="16" t="n">
        <v>11</v>
      </c>
      <c r="C1930" s="17" t="n">
        <f aca="false">DATA_INICIO_SAFRA+($B1930-1)*DIAS_POR_SEMANA</f>
        <v>46335</v>
      </c>
      <c r="D1930" s="17" t="n">
        <f aca="false">$C1930+DIAS_POR_SEMANA-1</f>
        <v>46341</v>
      </c>
      <c r="E1930" s="15" t="s">
        <v>288</v>
      </c>
      <c r="F1930" s="8" t="str">
        <f aca="false">IFERROR(INDEX(CADASTRO_PIVOS!$C$6:$C$41,MATCH($E1930,CADASTRO_PIVOS!$B$6:$B$41,0)),"?")</f>
        <v>RM07</v>
      </c>
      <c r="G1930" s="8" t="str">
        <f aca="false">IFERROR(INDEX(CADASTRO_PIVOS!$D$6:$D$41,MATCH($E1930,CADASTRO_PIVOS!$B$6:$B$41,0)),"?")</f>
        <v>TR07</v>
      </c>
      <c r="H1930" s="20" t="n">
        <f aca="false">IFERROR(INDEX(CADASTRO_PIVOS!$E$6:$E$41,MATCH($E1930,CADASTRO_PIVOS!$B$6:$B$41,0)),0)</f>
        <v>139.94</v>
      </c>
      <c r="I1930" s="16" t="n">
        <f aca="false">IFERROR(SUMIFS(ROTACAO_RDM!$B$6:$B$71,ROTACAO_RDM!$D$6:$D$71,$E1930,ROTACAO_RDM!$I$6:$I$71,"&lt;="&amp;$C1930+INT(DIAS_POR_SEMANA/2),ROTACAO_RDM!$J$6:$J$71,"&gt;="&amp;$C1930+INT(DIAS_POR_SEMANA/2)),0)</f>
        <v>0</v>
      </c>
      <c r="J1930" s="16" t="n">
        <f aca="false">IFERROR(MATCH($I1930,ROTACAO_RDM!$B$6:$B$71,0),0)</f>
        <v>0</v>
      </c>
      <c r="K1930" s="8" t="str">
        <f aca="false">IF($J1930=0,"SEM CULTURA",INDEX(ROTACAO_RDM!$F$6:$F$71,$J1930))</f>
        <v>SEM CULTURA</v>
      </c>
      <c r="L1930" s="8" t="str">
        <f aca="false">IF($J1930=0,"",INDEX(ROTACAO_RDM!$G$6:$G$71,$J1930))</f>
        <v/>
      </c>
      <c r="M1930" s="17" t="str">
        <f aca="false">IF($J1930=0,"",INDEX(ROTACAO_RDM!$I$6:$I$71,$J1930))</f>
        <v/>
      </c>
      <c r="N1930" s="16" t="n">
        <f aca="false">IF($J1930=0,0,MAX(0,$C1930+INT(DIAS_POR_SEMANA/2)-INDEX(ROTACAO_RDM!$I$6:$I$71,$J1930)))</f>
        <v>0</v>
      </c>
      <c r="O1930" s="19" t="n">
        <f aca="false">IF($J1930=0,0,MIN(1,$N1930/MAX(1,INDEX(ROTACAO_RDM!$K$6:$K$71,$J1930))))</f>
        <v>0</v>
      </c>
      <c r="P1930" s="16" t="n">
        <f aca="false">IF($J1930=0,0,IFERROR(MATCH(INDEX(ROTACAO_RDM!$N$6:$N$71,$J1930),PARAMETROS_CULTURAS!$B$6:$B$28,0),0))</f>
        <v>0</v>
      </c>
      <c r="Q1930" s="8" t="str">
        <f aca="false">IF($P1930=0,"-",IF($O1930&lt;=INDEX(PARAMETROS_CULTURAS!$F$6:$F$28,$P1930),"INICIAL",IF($O1930&lt;=INDEX(PARAMETROS_CULTURAS!$F$6:$F$28,$P1930)+INDEX(PARAMETROS_CULTURAS!$G$6:$G$28,$P1930),"DESENVOLVIMENTO",IF($O1930&lt;=INDEX(PARAMETROS_CULTURAS!$F$6:$F$28,$P1930)+INDEX(PARAMETROS_CULTURAS!$G$6:$G$28,$P1930)+INDEX(PARAMETROS_CULTURAS!$H$6:$H$28,$P1930),"MEDIA","FINAL"))))</f>
        <v>-</v>
      </c>
      <c r="R1930" s="24" t="n">
        <f aca="false">IF($P1930=0,0,IF($O1930&lt;=INDEX(PARAMETROS_CULTURAS!$F$6:$F$28,$P1930),INDEX(PARAMETROS_CULTURAS!$K$6:$K$28,$P1930),IF($O1930&lt;=INDEX(PARAMETROS_CULTURAS!$F$6:$F$28,$P1930)+INDEX(PARAMETROS_CULTURAS!$G$6:$G$28,$P1930),INDEX(PARAMETROS_CULTURAS!$K$6:$K$28,$P1930)+(INDEX(PARAMETROS_CULTURAS!$L$6:$L$28,$P1930)-INDEX(PARAMETROS_CULTURAS!$K$6:$K$28,$P1930))*($O1930-INDEX(PARAMETROS_CULTURAS!$F$6:$F$28,$P1930))/MAX(INDEX(PARAMETROS_CULTURAS!$G$6:$G$28,$P1930),0.0001),IF($O1930&lt;=INDEX(PARAMETROS_CULTURAS!$F$6:$F$28,$P1930)+INDEX(PARAMETROS_CULTURAS!$G$6:$G$28,$P1930)+INDEX(PARAMETROS_CULTURAS!$H$6:$H$28,$P1930),INDEX(PARAMETROS_CULTURAS!$L$6:$L$28,$P1930),INDEX(PARAMETROS_CULTURAS!$L$6:$L$28,$P1930)+(INDEX(PARAMETROS_CULTURAS!$M$6:$M$28,$P1930)-INDEX(PARAMETROS_CULTURAS!$L$6:$L$28,$P1930))*($O1930-INDEX(PARAMETROS_CULTURAS!$F$6:$F$28,$P1930)-INDEX(PARAMETROS_CULTURAS!$G$6:$G$28,$P1930)-INDEX(PARAMETROS_CULTURAS!$H$6:$H$28,$P1930))/MAX(INDEX(PARAMETROS_CULTURAS!$I$6:$I$28,$P1930),0.0001)))))</f>
        <v>0</v>
      </c>
      <c r="S1930" s="18" t="n">
        <f aca="false">IFERROR(INDEX(SEMANAS!$H$6:$H$71,MATCH($B1930,SEMANAS!$B$6:$B$71,0)),0)</f>
        <v>34.3</v>
      </c>
      <c r="T1930" s="18" t="n">
        <f aca="false">$R1930*$S1930</f>
        <v>0</v>
      </c>
      <c r="U1930" s="18" t="n">
        <f aca="false">IFERROR(INDEX(SEMANAS!$I$6:$I$71,MATCH($B1930,SEMANAS!$B$6:$B$71,0)),0)</f>
        <v>46.69</v>
      </c>
      <c r="V1930" s="18" t="n">
        <f aca="false">IFERROR(INDEX(SEMANAS!$J$6:$J$71,MATCH($B1930,SEMANAS!$B$6:$B$71,0)),0)</f>
        <v>37.352</v>
      </c>
      <c r="W1930" s="18" t="n">
        <f aca="false">MAX(0,$T1930-$V1930)</f>
        <v>0</v>
      </c>
      <c r="X1930" s="19" t="n">
        <f aca="false">IFERROR(INDEX(CADASTRO_PIVOS!$K$6:$K$41,MATCH($E1930,CADASTRO_PIVOS!$B$6:$B$41,0)),EFICIENCIA_PADRAO)</f>
        <v>0.85</v>
      </c>
      <c r="Y1930" s="18" t="n">
        <f aca="false">IF($X1930&lt;=0,0,$W1930/$X1930)</f>
        <v>0</v>
      </c>
      <c r="Z1930" s="16" t="n">
        <f aca="false">$Y1930*$H1930*MM_PARA_M3_HA</f>
        <v>0</v>
      </c>
      <c r="AA1930" s="18" t="n">
        <f aca="false">IFERROR(INDEX(CADASTRO_PIVOS!$I$6:$I$41,MATCH($E1930,CADASTRO_PIVOS!$B$6:$B$41,0)),0)</f>
        <v>932.933333333333</v>
      </c>
      <c r="AB1930" s="18" t="n">
        <f aca="false">IF($Z1930&lt;=0,0,$Z1930/$AA1930)</f>
        <v>0</v>
      </c>
      <c r="AC1930" s="16" t="n">
        <f aca="false">IFERROR(INDEX(SEMANAS!$K$6:$K$71,MATCH($B1930,SEMANAS!$B$6:$B$71,0)),0)</f>
        <v>147</v>
      </c>
      <c r="AD1930" s="19" t="n">
        <f aca="false">IF($AC1930&lt;=0,0,$AB1930/$AC1930)</f>
        <v>0</v>
      </c>
      <c r="AE1930" s="8" t="str">
        <f aca="false">IF($K1930="SEM CULTURA","SEM CULTURA",IF($AA1930&lt;=0,"DADO PENDENTE",IF($AD1930&gt;LIMITE_CRITICO,"INVIAVEL",IF($AD1930&gt;LIMITE_ATENCAO,"CRITICO",IF($AD1930&gt;LIMITE_CONFORTAVEL,"ATENCAO","OK")))))</f>
        <v>SEM CULTURA</v>
      </c>
      <c r="AF1930" s="8" t="str">
        <f aca="false">$B1930&amp;"|"&amp;TEXT($AD1930,"0.000000")</f>
        <v>11|0.000000</v>
      </c>
      <c r="AG1930" s="18" t="n">
        <f aca="false">IF($K1930="SEM CULTURA",0,$T1930*$H1930)</f>
        <v>0</v>
      </c>
      <c r="AH1930" s="18" t="n">
        <f aca="false">IF($K1930="SEM CULTURA",0,$V1930*$H1930)</f>
        <v>0</v>
      </c>
      <c r="AI1930" s="18" t="n">
        <f aca="false">IF($K1930="SEM CULTURA",0,$W1930*$H1930)</f>
        <v>0</v>
      </c>
      <c r="AJ1930" s="18" t="n">
        <f aca="false">IF($K1930="SEM CULTURA",0,$S1930*$H1930)</f>
        <v>0</v>
      </c>
      <c r="AK1930" s="8" t="str">
        <f aca="false">$E1930&amp;"|"&amp;TEXT($AD1930,"0.000000")</f>
        <v>PV 126|0.000000</v>
      </c>
    </row>
    <row r="1931" customFormat="false" ht="15" hidden="false" customHeight="false" outlineLevel="0" collapsed="false">
      <c r="B1931" s="16" t="n">
        <v>12</v>
      </c>
      <c r="C1931" s="17" t="n">
        <f aca="false">DATA_INICIO_SAFRA+($B1931-1)*DIAS_POR_SEMANA</f>
        <v>46342</v>
      </c>
      <c r="D1931" s="17" t="n">
        <f aca="false">$C1931+DIAS_POR_SEMANA-1</f>
        <v>46348</v>
      </c>
      <c r="E1931" s="15" t="s">
        <v>288</v>
      </c>
      <c r="F1931" s="8" t="str">
        <f aca="false">IFERROR(INDEX(CADASTRO_PIVOS!$C$6:$C$41,MATCH($E1931,CADASTRO_PIVOS!$B$6:$B$41,0)),"?")</f>
        <v>RM07</v>
      </c>
      <c r="G1931" s="8" t="str">
        <f aca="false">IFERROR(INDEX(CADASTRO_PIVOS!$D$6:$D$41,MATCH($E1931,CADASTRO_PIVOS!$B$6:$B$41,0)),"?")</f>
        <v>TR07</v>
      </c>
      <c r="H1931" s="20" t="n">
        <f aca="false">IFERROR(INDEX(CADASTRO_PIVOS!$E$6:$E$41,MATCH($E1931,CADASTRO_PIVOS!$B$6:$B$41,0)),0)</f>
        <v>139.94</v>
      </c>
      <c r="I1931" s="16" t="n">
        <f aca="false">IFERROR(SUMIFS(ROTACAO_RDM!$B$6:$B$71,ROTACAO_RDM!$D$6:$D$71,$E1931,ROTACAO_RDM!$I$6:$I$71,"&lt;="&amp;$C1931+INT(DIAS_POR_SEMANA/2),ROTACAO_RDM!$J$6:$J$71,"&gt;="&amp;$C1931+INT(DIAS_POR_SEMANA/2)),0)</f>
        <v>0</v>
      </c>
      <c r="J1931" s="16" t="n">
        <f aca="false">IFERROR(MATCH($I1931,ROTACAO_RDM!$B$6:$B$71,0),0)</f>
        <v>0</v>
      </c>
      <c r="K1931" s="8" t="str">
        <f aca="false">IF($J1931=0,"SEM CULTURA",INDEX(ROTACAO_RDM!$F$6:$F$71,$J1931))</f>
        <v>SEM CULTURA</v>
      </c>
      <c r="L1931" s="8" t="str">
        <f aca="false">IF($J1931=0,"",INDEX(ROTACAO_RDM!$G$6:$G$71,$J1931))</f>
        <v/>
      </c>
      <c r="M1931" s="17" t="str">
        <f aca="false">IF($J1931=0,"",INDEX(ROTACAO_RDM!$I$6:$I$71,$J1931))</f>
        <v/>
      </c>
      <c r="N1931" s="16" t="n">
        <f aca="false">IF($J1931=0,0,MAX(0,$C1931+INT(DIAS_POR_SEMANA/2)-INDEX(ROTACAO_RDM!$I$6:$I$71,$J1931)))</f>
        <v>0</v>
      </c>
      <c r="O1931" s="19" t="n">
        <f aca="false">IF($J1931=0,0,MIN(1,$N1931/MAX(1,INDEX(ROTACAO_RDM!$K$6:$K$71,$J1931))))</f>
        <v>0</v>
      </c>
      <c r="P1931" s="16" t="n">
        <f aca="false">IF($J1931=0,0,IFERROR(MATCH(INDEX(ROTACAO_RDM!$N$6:$N$71,$J1931),PARAMETROS_CULTURAS!$B$6:$B$28,0),0))</f>
        <v>0</v>
      </c>
      <c r="Q1931" s="8" t="str">
        <f aca="false">IF($P1931=0,"-",IF($O1931&lt;=INDEX(PARAMETROS_CULTURAS!$F$6:$F$28,$P1931),"INICIAL",IF($O1931&lt;=INDEX(PARAMETROS_CULTURAS!$F$6:$F$28,$P1931)+INDEX(PARAMETROS_CULTURAS!$G$6:$G$28,$P1931),"DESENVOLVIMENTO",IF($O1931&lt;=INDEX(PARAMETROS_CULTURAS!$F$6:$F$28,$P1931)+INDEX(PARAMETROS_CULTURAS!$G$6:$G$28,$P1931)+INDEX(PARAMETROS_CULTURAS!$H$6:$H$28,$P1931),"MEDIA","FINAL"))))</f>
        <v>-</v>
      </c>
      <c r="R1931" s="24" t="n">
        <f aca="false">IF($P1931=0,0,IF($O1931&lt;=INDEX(PARAMETROS_CULTURAS!$F$6:$F$28,$P1931),INDEX(PARAMETROS_CULTURAS!$K$6:$K$28,$P1931),IF($O1931&lt;=INDEX(PARAMETROS_CULTURAS!$F$6:$F$28,$P1931)+INDEX(PARAMETROS_CULTURAS!$G$6:$G$28,$P1931),INDEX(PARAMETROS_CULTURAS!$K$6:$K$28,$P1931)+(INDEX(PARAMETROS_CULTURAS!$L$6:$L$28,$P1931)-INDEX(PARAMETROS_CULTURAS!$K$6:$K$28,$P1931))*($O1931-INDEX(PARAMETROS_CULTURAS!$F$6:$F$28,$P1931))/MAX(INDEX(PARAMETROS_CULTURAS!$G$6:$G$28,$P1931),0.0001),IF($O1931&lt;=INDEX(PARAMETROS_CULTURAS!$F$6:$F$28,$P1931)+INDEX(PARAMETROS_CULTURAS!$G$6:$G$28,$P1931)+INDEX(PARAMETROS_CULTURAS!$H$6:$H$28,$P1931),INDEX(PARAMETROS_CULTURAS!$L$6:$L$28,$P1931),INDEX(PARAMETROS_CULTURAS!$L$6:$L$28,$P1931)+(INDEX(PARAMETROS_CULTURAS!$M$6:$M$28,$P1931)-INDEX(PARAMETROS_CULTURAS!$L$6:$L$28,$P1931))*($O1931-INDEX(PARAMETROS_CULTURAS!$F$6:$F$28,$P1931)-INDEX(PARAMETROS_CULTURAS!$G$6:$G$28,$P1931)-INDEX(PARAMETROS_CULTURAS!$H$6:$H$28,$P1931))/MAX(INDEX(PARAMETROS_CULTURAS!$I$6:$I$28,$P1931),0.0001)))))</f>
        <v>0</v>
      </c>
      <c r="S1931" s="18" t="n">
        <f aca="false">IFERROR(INDEX(SEMANAS!$H$6:$H$71,MATCH($B1931,SEMANAS!$B$6:$B$71,0)),0)</f>
        <v>34.3</v>
      </c>
      <c r="T1931" s="18" t="n">
        <f aca="false">$R1931*$S1931</f>
        <v>0</v>
      </c>
      <c r="U1931" s="18" t="n">
        <f aca="false">IFERROR(INDEX(SEMANAS!$I$6:$I$71,MATCH($B1931,SEMANAS!$B$6:$B$71,0)),0)</f>
        <v>46.69</v>
      </c>
      <c r="V1931" s="18" t="n">
        <f aca="false">IFERROR(INDEX(SEMANAS!$J$6:$J$71,MATCH($B1931,SEMANAS!$B$6:$B$71,0)),0)</f>
        <v>37.352</v>
      </c>
      <c r="W1931" s="18" t="n">
        <f aca="false">MAX(0,$T1931-$V1931)</f>
        <v>0</v>
      </c>
      <c r="X1931" s="19" t="n">
        <f aca="false">IFERROR(INDEX(CADASTRO_PIVOS!$K$6:$K$41,MATCH($E1931,CADASTRO_PIVOS!$B$6:$B$41,0)),EFICIENCIA_PADRAO)</f>
        <v>0.85</v>
      </c>
      <c r="Y1931" s="18" t="n">
        <f aca="false">IF($X1931&lt;=0,0,$W1931/$X1931)</f>
        <v>0</v>
      </c>
      <c r="Z1931" s="16" t="n">
        <f aca="false">$Y1931*$H1931*MM_PARA_M3_HA</f>
        <v>0</v>
      </c>
      <c r="AA1931" s="18" t="n">
        <f aca="false">IFERROR(INDEX(CADASTRO_PIVOS!$I$6:$I$41,MATCH($E1931,CADASTRO_PIVOS!$B$6:$B$41,0)),0)</f>
        <v>932.933333333333</v>
      </c>
      <c r="AB1931" s="18" t="n">
        <f aca="false">IF($Z1931&lt;=0,0,$Z1931/$AA1931)</f>
        <v>0</v>
      </c>
      <c r="AC1931" s="16" t="n">
        <f aca="false">IFERROR(INDEX(SEMANAS!$K$6:$K$71,MATCH($B1931,SEMANAS!$B$6:$B$71,0)),0)</f>
        <v>147</v>
      </c>
      <c r="AD1931" s="19" t="n">
        <f aca="false">IF($AC1931&lt;=0,0,$AB1931/$AC1931)</f>
        <v>0</v>
      </c>
      <c r="AE1931" s="8" t="str">
        <f aca="false">IF($K1931="SEM CULTURA","SEM CULTURA",IF($AA1931&lt;=0,"DADO PENDENTE",IF($AD1931&gt;LIMITE_CRITICO,"INVIAVEL",IF($AD1931&gt;LIMITE_ATENCAO,"CRITICO",IF($AD1931&gt;LIMITE_CONFORTAVEL,"ATENCAO","OK")))))</f>
        <v>SEM CULTURA</v>
      </c>
      <c r="AF1931" s="8" t="str">
        <f aca="false">$B1931&amp;"|"&amp;TEXT($AD1931,"0.000000")</f>
        <v>12|0.000000</v>
      </c>
      <c r="AG1931" s="18" t="n">
        <f aca="false">IF($K1931="SEM CULTURA",0,$T1931*$H1931)</f>
        <v>0</v>
      </c>
      <c r="AH1931" s="18" t="n">
        <f aca="false">IF($K1931="SEM CULTURA",0,$V1931*$H1931)</f>
        <v>0</v>
      </c>
      <c r="AI1931" s="18" t="n">
        <f aca="false">IF($K1931="SEM CULTURA",0,$W1931*$H1931)</f>
        <v>0</v>
      </c>
      <c r="AJ1931" s="18" t="n">
        <f aca="false">IF($K1931="SEM CULTURA",0,$S1931*$H1931)</f>
        <v>0</v>
      </c>
      <c r="AK1931" s="8" t="str">
        <f aca="false">$E1931&amp;"|"&amp;TEXT($AD1931,"0.000000")</f>
        <v>PV 126|0.000000</v>
      </c>
    </row>
    <row r="1932" customFormat="false" ht="15" hidden="false" customHeight="false" outlineLevel="0" collapsed="false">
      <c r="B1932" s="16" t="n">
        <v>13</v>
      </c>
      <c r="C1932" s="17" t="n">
        <f aca="false">DATA_INICIO_SAFRA+($B1932-1)*DIAS_POR_SEMANA</f>
        <v>46349</v>
      </c>
      <c r="D1932" s="17" t="n">
        <f aca="false">$C1932+DIAS_POR_SEMANA-1</f>
        <v>46355</v>
      </c>
      <c r="E1932" s="15" t="s">
        <v>288</v>
      </c>
      <c r="F1932" s="8" t="str">
        <f aca="false">IFERROR(INDEX(CADASTRO_PIVOS!$C$6:$C$41,MATCH($E1932,CADASTRO_PIVOS!$B$6:$B$41,0)),"?")</f>
        <v>RM07</v>
      </c>
      <c r="G1932" s="8" t="str">
        <f aca="false">IFERROR(INDEX(CADASTRO_PIVOS!$D$6:$D$41,MATCH($E1932,CADASTRO_PIVOS!$B$6:$B$41,0)),"?")</f>
        <v>TR07</v>
      </c>
      <c r="H1932" s="20" t="n">
        <f aca="false">IFERROR(INDEX(CADASTRO_PIVOS!$E$6:$E$41,MATCH($E1932,CADASTRO_PIVOS!$B$6:$B$41,0)),0)</f>
        <v>139.94</v>
      </c>
      <c r="I1932" s="16" t="n">
        <f aca="false">IFERROR(SUMIFS(ROTACAO_RDM!$B$6:$B$71,ROTACAO_RDM!$D$6:$D$71,$E1932,ROTACAO_RDM!$I$6:$I$71,"&lt;="&amp;$C1932+INT(DIAS_POR_SEMANA/2),ROTACAO_RDM!$J$6:$J$71,"&gt;="&amp;$C1932+INT(DIAS_POR_SEMANA/2)),0)</f>
        <v>0</v>
      </c>
      <c r="J1932" s="16" t="n">
        <f aca="false">IFERROR(MATCH($I1932,ROTACAO_RDM!$B$6:$B$71,0),0)</f>
        <v>0</v>
      </c>
      <c r="K1932" s="8" t="str">
        <f aca="false">IF($J1932=0,"SEM CULTURA",INDEX(ROTACAO_RDM!$F$6:$F$71,$J1932))</f>
        <v>SEM CULTURA</v>
      </c>
      <c r="L1932" s="8" t="str">
        <f aca="false">IF($J1932=0,"",INDEX(ROTACAO_RDM!$G$6:$G$71,$J1932))</f>
        <v/>
      </c>
      <c r="M1932" s="17" t="str">
        <f aca="false">IF($J1932=0,"",INDEX(ROTACAO_RDM!$I$6:$I$71,$J1932))</f>
        <v/>
      </c>
      <c r="N1932" s="16" t="n">
        <f aca="false">IF($J1932=0,0,MAX(0,$C1932+INT(DIAS_POR_SEMANA/2)-INDEX(ROTACAO_RDM!$I$6:$I$71,$J1932)))</f>
        <v>0</v>
      </c>
      <c r="O1932" s="19" t="n">
        <f aca="false">IF($J1932=0,0,MIN(1,$N1932/MAX(1,INDEX(ROTACAO_RDM!$K$6:$K$71,$J1932))))</f>
        <v>0</v>
      </c>
      <c r="P1932" s="16" t="n">
        <f aca="false">IF($J1932=0,0,IFERROR(MATCH(INDEX(ROTACAO_RDM!$N$6:$N$71,$J1932),PARAMETROS_CULTURAS!$B$6:$B$28,0),0))</f>
        <v>0</v>
      </c>
      <c r="Q1932" s="8" t="str">
        <f aca="false">IF($P1932=0,"-",IF($O1932&lt;=INDEX(PARAMETROS_CULTURAS!$F$6:$F$28,$P1932),"INICIAL",IF($O1932&lt;=INDEX(PARAMETROS_CULTURAS!$F$6:$F$28,$P1932)+INDEX(PARAMETROS_CULTURAS!$G$6:$G$28,$P1932),"DESENVOLVIMENTO",IF($O1932&lt;=INDEX(PARAMETROS_CULTURAS!$F$6:$F$28,$P1932)+INDEX(PARAMETROS_CULTURAS!$G$6:$G$28,$P1932)+INDEX(PARAMETROS_CULTURAS!$H$6:$H$28,$P1932),"MEDIA","FINAL"))))</f>
        <v>-</v>
      </c>
      <c r="R1932" s="24" t="n">
        <f aca="false">IF($P1932=0,0,IF($O1932&lt;=INDEX(PARAMETROS_CULTURAS!$F$6:$F$28,$P1932),INDEX(PARAMETROS_CULTURAS!$K$6:$K$28,$P1932),IF($O1932&lt;=INDEX(PARAMETROS_CULTURAS!$F$6:$F$28,$P1932)+INDEX(PARAMETROS_CULTURAS!$G$6:$G$28,$P1932),INDEX(PARAMETROS_CULTURAS!$K$6:$K$28,$P1932)+(INDEX(PARAMETROS_CULTURAS!$L$6:$L$28,$P1932)-INDEX(PARAMETROS_CULTURAS!$K$6:$K$28,$P1932))*($O1932-INDEX(PARAMETROS_CULTURAS!$F$6:$F$28,$P1932))/MAX(INDEX(PARAMETROS_CULTURAS!$G$6:$G$28,$P1932),0.0001),IF($O1932&lt;=INDEX(PARAMETROS_CULTURAS!$F$6:$F$28,$P1932)+INDEX(PARAMETROS_CULTURAS!$G$6:$G$28,$P1932)+INDEX(PARAMETROS_CULTURAS!$H$6:$H$28,$P1932),INDEX(PARAMETROS_CULTURAS!$L$6:$L$28,$P1932),INDEX(PARAMETROS_CULTURAS!$L$6:$L$28,$P1932)+(INDEX(PARAMETROS_CULTURAS!$M$6:$M$28,$P1932)-INDEX(PARAMETROS_CULTURAS!$L$6:$L$28,$P1932))*($O1932-INDEX(PARAMETROS_CULTURAS!$F$6:$F$28,$P1932)-INDEX(PARAMETROS_CULTURAS!$G$6:$G$28,$P1932)-INDEX(PARAMETROS_CULTURAS!$H$6:$H$28,$P1932))/MAX(INDEX(PARAMETROS_CULTURAS!$I$6:$I$28,$P1932),0.0001)))))</f>
        <v>0</v>
      </c>
      <c r="S1932" s="18" t="n">
        <f aca="false">IFERROR(INDEX(SEMANAS!$H$6:$H$71,MATCH($B1932,SEMANAS!$B$6:$B$71,0)),0)</f>
        <v>34.3</v>
      </c>
      <c r="T1932" s="18" t="n">
        <f aca="false">$R1932*$S1932</f>
        <v>0</v>
      </c>
      <c r="U1932" s="18" t="n">
        <f aca="false">IFERROR(INDEX(SEMANAS!$I$6:$I$71,MATCH($B1932,SEMANAS!$B$6:$B$71,0)),0)</f>
        <v>46.69</v>
      </c>
      <c r="V1932" s="18" t="n">
        <f aca="false">IFERROR(INDEX(SEMANAS!$J$6:$J$71,MATCH($B1932,SEMANAS!$B$6:$B$71,0)),0)</f>
        <v>37.352</v>
      </c>
      <c r="W1932" s="18" t="n">
        <f aca="false">MAX(0,$T1932-$V1932)</f>
        <v>0</v>
      </c>
      <c r="X1932" s="19" t="n">
        <f aca="false">IFERROR(INDEX(CADASTRO_PIVOS!$K$6:$K$41,MATCH($E1932,CADASTRO_PIVOS!$B$6:$B$41,0)),EFICIENCIA_PADRAO)</f>
        <v>0.85</v>
      </c>
      <c r="Y1932" s="18" t="n">
        <f aca="false">IF($X1932&lt;=0,0,$W1932/$X1932)</f>
        <v>0</v>
      </c>
      <c r="Z1932" s="16" t="n">
        <f aca="false">$Y1932*$H1932*MM_PARA_M3_HA</f>
        <v>0</v>
      </c>
      <c r="AA1932" s="18" t="n">
        <f aca="false">IFERROR(INDEX(CADASTRO_PIVOS!$I$6:$I$41,MATCH($E1932,CADASTRO_PIVOS!$B$6:$B$41,0)),0)</f>
        <v>932.933333333333</v>
      </c>
      <c r="AB1932" s="18" t="n">
        <f aca="false">IF($Z1932&lt;=0,0,$Z1932/$AA1932)</f>
        <v>0</v>
      </c>
      <c r="AC1932" s="16" t="n">
        <f aca="false">IFERROR(INDEX(SEMANAS!$K$6:$K$71,MATCH($B1932,SEMANAS!$B$6:$B$71,0)),0)</f>
        <v>147</v>
      </c>
      <c r="AD1932" s="19" t="n">
        <f aca="false">IF($AC1932&lt;=0,0,$AB1932/$AC1932)</f>
        <v>0</v>
      </c>
      <c r="AE1932" s="8" t="str">
        <f aca="false">IF($K1932="SEM CULTURA","SEM CULTURA",IF($AA1932&lt;=0,"DADO PENDENTE",IF($AD1932&gt;LIMITE_CRITICO,"INVIAVEL",IF($AD1932&gt;LIMITE_ATENCAO,"CRITICO",IF($AD1932&gt;LIMITE_CONFORTAVEL,"ATENCAO","OK")))))</f>
        <v>SEM CULTURA</v>
      </c>
      <c r="AF1932" s="8" t="str">
        <f aca="false">$B1932&amp;"|"&amp;TEXT($AD1932,"0.000000")</f>
        <v>13|0.000000</v>
      </c>
      <c r="AG1932" s="18" t="n">
        <f aca="false">IF($K1932="SEM CULTURA",0,$T1932*$H1932)</f>
        <v>0</v>
      </c>
      <c r="AH1932" s="18" t="n">
        <f aca="false">IF($K1932="SEM CULTURA",0,$V1932*$H1932)</f>
        <v>0</v>
      </c>
      <c r="AI1932" s="18" t="n">
        <f aca="false">IF($K1932="SEM CULTURA",0,$W1932*$H1932)</f>
        <v>0</v>
      </c>
      <c r="AJ1932" s="18" t="n">
        <f aca="false">IF($K1932="SEM CULTURA",0,$S1932*$H1932)</f>
        <v>0</v>
      </c>
      <c r="AK1932" s="8" t="str">
        <f aca="false">$E1932&amp;"|"&amp;TEXT($AD1932,"0.000000")</f>
        <v>PV 126|0.000000</v>
      </c>
    </row>
    <row r="1933" customFormat="false" ht="15" hidden="false" customHeight="false" outlineLevel="0" collapsed="false">
      <c r="B1933" s="16" t="n">
        <v>14</v>
      </c>
      <c r="C1933" s="17" t="n">
        <f aca="false">DATA_INICIO_SAFRA+($B1933-1)*DIAS_POR_SEMANA</f>
        <v>46356</v>
      </c>
      <c r="D1933" s="17" t="n">
        <f aca="false">$C1933+DIAS_POR_SEMANA-1</f>
        <v>46362</v>
      </c>
      <c r="E1933" s="15" t="s">
        <v>288</v>
      </c>
      <c r="F1933" s="8" t="str">
        <f aca="false">IFERROR(INDEX(CADASTRO_PIVOS!$C$6:$C$41,MATCH($E1933,CADASTRO_PIVOS!$B$6:$B$41,0)),"?")</f>
        <v>RM07</v>
      </c>
      <c r="G1933" s="8" t="str">
        <f aca="false">IFERROR(INDEX(CADASTRO_PIVOS!$D$6:$D$41,MATCH($E1933,CADASTRO_PIVOS!$B$6:$B$41,0)),"?")</f>
        <v>TR07</v>
      </c>
      <c r="H1933" s="20" t="n">
        <f aca="false">IFERROR(INDEX(CADASTRO_PIVOS!$E$6:$E$41,MATCH($E1933,CADASTRO_PIVOS!$B$6:$B$41,0)),0)</f>
        <v>139.94</v>
      </c>
      <c r="I1933" s="16" t="n">
        <f aca="false">IFERROR(SUMIFS(ROTACAO_RDM!$B$6:$B$71,ROTACAO_RDM!$D$6:$D$71,$E1933,ROTACAO_RDM!$I$6:$I$71,"&lt;="&amp;$C1933+INT(DIAS_POR_SEMANA/2),ROTACAO_RDM!$J$6:$J$71,"&gt;="&amp;$C1933+INT(DIAS_POR_SEMANA/2)),0)</f>
        <v>0</v>
      </c>
      <c r="J1933" s="16" t="n">
        <f aca="false">IFERROR(MATCH($I1933,ROTACAO_RDM!$B$6:$B$71,0),0)</f>
        <v>0</v>
      </c>
      <c r="K1933" s="8" t="str">
        <f aca="false">IF($J1933=0,"SEM CULTURA",INDEX(ROTACAO_RDM!$F$6:$F$71,$J1933))</f>
        <v>SEM CULTURA</v>
      </c>
      <c r="L1933" s="8" t="str">
        <f aca="false">IF($J1933=0,"",INDEX(ROTACAO_RDM!$G$6:$G$71,$J1933))</f>
        <v/>
      </c>
      <c r="M1933" s="17" t="str">
        <f aca="false">IF($J1933=0,"",INDEX(ROTACAO_RDM!$I$6:$I$71,$J1933))</f>
        <v/>
      </c>
      <c r="N1933" s="16" t="n">
        <f aca="false">IF($J1933=0,0,MAX(0,$C1933+INT(DIAS_POR_SEMANA/2)-INDEX(ROTACAO_RDM!$I$6:$I$71,$J1933)))</f>
        <v>0</v>
      </c>
      <c r="O1933" s="19" t="n">
        <f aca="false">IF($J1933=0,0,MIN(1,$N1933/MAX(1,INDEX(ROTACAO_RDM!$K$6:$K$71,$J1933))))</f>
        <v>0</v>
      </c>
      <c r="P1933" s="16" t="n">
        <f aca="false">IF($J1933=0,0,IFERROR(MATCH(INDEX(ROTACAO_RDM!$N$6:$N$71,$J1933),PARAMETROS_CULTURAS!$B$6:$B$28,0),0))</f>
        <v>0</v>
      </c>
      <c r="Q1933" s="8" t="str">
        <f aca="false">IF($P1933=0,"-",IF($O1933&lt;=INDEX(PARAMETROS_CULTURAS!$F$6:$F$28,$P1933),"INICIAL",IF($O1933&lt;=INDEX(PARAMETROS_CULTURAS!$F$6:$F$28,$P1933)+INDEX(PARAMETROS_CULTURAS!$G$6:$G$28,$P1933),"DESENVOLVIMENTO",IF($O1933&lt;=INDEX(PARAMETROS_CULTURAS!$F$6:$F$28,$P1933)+INDEX(PARAMETROS_CULTURAS!$G$6:$G$28,$P1933)+INDEX(PARAMETROS_CULTURAS!$H$6:$H$28,$P1933),"MEDIA","FINAL"))))</f>
        <v>-</v>
      </c>
      <c r="R1933" s="24" t="n">
        <f aca="false">IF($P1933=0,0,IF($O1933&lt;=INDEX(PARAMETROS_CULTURAS!$F$6:$F$28,$P1933),INDEX(PARAMETROS_CULTURAS!$K$6:$K$28,$P1933),IF($O1933&lt;=INDEX(PARAMETROS_CULTURAS!$F$6:$F$28,$P1933)+INDEX(PARAMETROS_CULTURAS!$G$6:$G$28,$P1933),INDEX(PARAMETROS_CULTURAS!$K$6:$K$28,$P1933)+(INDEX(PARAMETROS_CULTURAS!$L$6:$L$28,$P1933)-INDEX(PARAMETROS_CULTURAS!$K$6:$K$28,$P1933))*($O1933-INDEX(PARAMETROS_CULTURAS!$F$6:$F$28,$P1933))/MAX(INDEX(PARAMETROS_CULTURAS!$G$6:$G$28,$P1933),0.0001),IF($O1933&lt;=INDEX(PARAMETROS_CULTURAS!$F$6:$F$28,$P1933)+INDEX(PARAMETROS_CULTURAS!$G$6:$G$28,$P1933)+INDEX(PARAMETROS_CULTURAS!$H$6:$H$28,$P1933),INDEX(PARAMETROS_CULTURAS!$L$6:$L$28,$P1933),INDEX(PARAMETROS_CULTURAS!$L$6:$L$28,$P1933)+(INDEX(PARAMETROS_CULTURAS!$M$6:$M$28,$P1933)-INDEX(PARAMETROS_CULTURAS!$L$6:$L$28,$P1933))*($O1933-INDEX(PARAMETROS_CULTURAS!$F$6:$F$28,$P1933)-INDEX(PARAMETROS_CULTURAS!$G$6:$G$28,$P1933)-INDEX(PARAMETROS_CULTURAS!$H$6:$H$28,$P1933))/MAX(INDEX(PARAMETROS_CULTURAS!$I$6:$I$28,$P1933),0.0001)))))</f>
        <v>0</v>
      </c>
      <c r="S1933" s="18" t="n">
        <f aca="false">IFERROR(INDEX(SEMANAS!$H$6:$H$71,MATCH($B1933,SEMANAS!$B$6:$B$71,0)),0)</f>
        <v>33.1</v>
      </c>
      <c r="T1933" s="18" t="n">
        <f aca="false">$R1933*$S1933</f>
        <v>0</v>
      </c>
      <c r="U1933" s="18" t="n">
        <f aca="false">IFERROR(INDEX(SEMANAS!$I$6:$I$71,MATCH($B1933,SEMANAS!$B$6:$B$71,0)),0)</f>
        <v>48.31</v>
      </c>
      <c r="V1933" s="18" t="n">
        <f aca="false">IFERROR(INDEX(SEMANAS!$J$6:$J$71,MATCH($B1933,SEMANAS!$B$6:$B$71,0)),0)</f>
        <v>38.648</v>
      </c>
      <c r="W1933" s="18" t="n">
        <f aca="false">MAX(0,$T1933-$V1933)</f>
        <v>0</v>
      </c>
      <c r="X1933" s="19" t="n">
        <f aca="false">IFERROR(INDEX(CADASTRO_PIVOS!$K$6:$K$41,MATCH($E1933,CADASTRO_PIVOS!$B$6:$B$41,0)),EFICIENCIA_PADRAO)</f>
        <v>0.85</v>
      </c>
      <c r="Y1933" s="18" t="n">
        <f aca="false">IF($X1933&lt;=0,0,$W1933/$X1933)</f>
        <v>0</v>
      </c>
      <c r="Z1933" s="16" t="n">
        <f aca="false">$Y1933*$H1933*MM_PARA_M3_HA</f>
        <v>0</v>
      </c>
      <c r="AA1933" s="18" t="n">
        <f aca="false">IFERROR(INDEX(CADASTRO_PIVOS!$I$6:$I$41,MATCH($E1933,CADASTRO_PIVOS!$B$6:$B$41,0)),0)</f>
        <v>932.933333333333</v>
      </c>
      <c r="AB1933" s="18" t="n">
        <f aca="false">IF($Z1933&lt;=0,0,$Z1933/$AA1933)</f>
        <v>0</v>
      </c>
      <c r="AC1933" s="16" t="n">
        <f aca="false">IFERROR(INDEX(SEMANAS!$K$6:$K$71,MATCH($B1933,SEMANAS!$B$6:$B$71,0)),0)</f>
        <v>147</v>
      </c>
      <c r="AD1933" s="19" t="n">
        <f aca="false">IF($AC1933&lt;=0,0,$AB1933/$AC1933)</f>
        <v>0</v>
      </c>
      <c r="AE1933" s="8" t="str">
        <f aca="false">IF($K1933="SEM CULTURA","SEM CULTURA",IF($AA1933&lt;=0,"DADO PENDENTE",IF($AD1933&gt;LIMITE_CRITICO,"INVIAVEL",IF($AD1933&gt;LIMITE_ATENCAO,"CRITICO",IF($AD1933&gt;LIMITE_CONFORTAVEL,"ATENCAO","OK")))))</f>
        <v>SEM CULTURA</v>
      </c>
      <c r="AF1933" s="8" t="str">
        <f aca="false">$B1933&amp;"|"&amp;TEXT($AD1933,"0.000000")</f>
        <v>14|0.000000</v>
      </c>
      <c r="AG1933" s="18" t="n">
        <f aca="false">IF($K1933="SEM CULTURA",0,$T1933*$H1933)</f>
        <v>0</v>
      </c>
      <c r="AH1933" s="18" t="n">
        <f aca="false">IF($K1933="SEM CULTURA",0,$V1933*$H1933)</f>
        <v>0</v>
      </c>
      <c r="AI1933" s="18" t="n">
        <f aca="false">IF($K1933="SEM CULTURA",0,$W1933*$H1933)</f>
        <v>0</v>
      </c>
      <c r="AJ1933" s="18" t="n">
        <f aca="false">IF($K1933="SEM CULTURA",0,$S1933*$H1933)</f>
        <v>0</v>
      </c>
      <c r="AK1933" s="8" t="str">
        <f aca="false">$E1933&amp;"|"&amp;TEXT($AD1933,"0.000000")</f>
        <v>PV 126|0.000000</v>
      </c>
    </row>
    <row r="1934" customFormat="false" ht="15" hidden="false" customHeight="false" outlineLevel="0" collapsed="false">
      <c r="B1934" s="16" t="n">
        <v>15</v>
      </c>
      <c r="C1934" s="17" t="n">
        <f aca="false">DATA_INICIO_SAFRA+($B1934-1)*DIAS_POR_SEMANA</f>
        <v>46363</v>
      </c>
      <c r="D1934" s="17" t="n">
        <f aca="false">$C1934+DIAS_POR_SEMANA-1</f>
        <v>46369</v>
      </c>
      <c r="E1934" s="15" t="s">
        <v>288</v>
      </c>
      <c r="F1934" s="8" t="str">
        <f aca="false">IFERROR(INDEX(CADASTRO_PIVOS!$C$6:$C$41,MATCH($E1934,CADASTRO_PIVOS!$B$6:$B$41,0)),"?")</f>
        <v>RM07</v>
      </c>
      <c r="G1934" s="8" t="str">
        <f aca="false">IFERROR(INDEX(CADASTRO_PIVOS!$D$6:$D$41,MATCH($E1934,CADASTRO_PIVOS!$B$6:$B$41,0)),"?")</f>
        <v>TR07</v>
      </c>
      <c r="H1934" s="20" t="n">
        <f aca="false">IFERROR(INDEX(CADASTRO_PIVOS!$E$6:$E$41,MATCH($E1934,CADASTRO_PIVOS!$B$6:$B$41,0)),0)</f>
        <v>139.94</v>
      </c>
      <c r="I1934" s="16" t="n">
        <f aca="false">IFERROR(SUMIFS(ROTACAO_RDM!$B$6:$B$71,ROTACAO_RDM!$D$6:$D$71,$E1934,ROTACAO_RDM!$I$6:$I$71,"&lt;="&amp;$C1934+INT(DIAS_POR_SEMANA/2),ROTACAO_RDM!$J$6:$J$71,"&gt;="&amp;$C1934+INT(DIAS_POR_SEMANA/2)),0)</f>
        <v>0</v>
      </c>
      <c r="J1934" s="16" t="n">
        <f aca="false">IFERROR(MATCH($I1934,ROTACAO_RDM!$B$6:$B$71,0),0)</f>
        <v>0</v>
      </c>
      <c r="K1934" s="8" t="str">
        <f aca="false">IF($J1934=0,"SEM CULTURA",INDEX(ROTACAO_RDM!$F$6:$F$71,$J1934))</f>
        <v>SEM CULTURA</v>
      </c>
      <c r="L1934" s="8" t="str">
        <f aca="false">IF($J1934=0,"",INDEX(ROTACAO_RDM!$G$6:$G$71,$J1934))</f>
        <v/>
      </c>
      <c r="M1934" s="17" t="str">
        <f aca="false">IF($J1934=0,"",INDEX(ROTACAO_RDM!$I$6:$I$71,$J1934))</f>
        <v/>
      </c>
      <c r="N1934" s="16" t="n">
        <f aca="false">IF($J1934=0,0,MAX(0,$C1934+INT(DIAS_POR_SEMANA/2)-INDEX(ROTACAO_RDM!$I$6:$I$71,$J1934)))</f>
        <v>0</v>
      </c>
      <c r="O1934" s="19" t="n">
        <f aca="false">IF($J1934=0,0,MIN(1,$N1934/MAX(1,INDEX(ROTACAO_RDM!$K$6:$K$71,$J1934))))</f>
        <v>0</v>
      </c>
      <c r="P1934" s="16" t="n">
        <f aca="false">IF($J1934=0,0,IFERROR(MATCH(INDEX(ROTACAO_RDM!$N$6:$N$71,$J1934),PARAMETROS_CULTURAS!$B$6:$B$28,0),0))</f>
        <v>0</v>
      </c>
      <c r="Q1934" s="8" t="str">
        <f aca="false">IF($P1934=0,"-",IF($O1934&lt;=INDEX(PARAMETROS_CULTURAS!$F$6:$F$28,$P1934),"INICIAL",IF($O1934&lt;=INDEX(PARAMETROS_CULTURAS!$F$6:$F$28,$P1934)+INDEX(PARAMETROS_CULTURAS!$G$6:$G$28,$P1934),"DESENVOLVIMENTO",IF($O1934&lt;=INDEX(PARAMETROS_CULTURAS!$F$6:$F$28,$P1934)+INDEX(PARAMETROS_CULTURAS!$G$6:$G$28,$P1934)+INDEX(PARAMETROS_CULTURAS!$H$6:$H$28,$P1934),"MEDIA","FINAL"))))</f>
        <v>-</v>
      </c>
      <c r="R1934" s="24" t="n">
        <f aca="false">IF($P1934=0,0,IF($O1934&lt;=INDEX(PARAMETROS_CULTURAS!$F$6:$F$28,$P1934),INDEX(PARAMETROS_CULTURAS!$K$6:$K$28,$P1934),IF($O1934&lt;=INDEX(PARAMETROS_CULTURAS!$F$6:$F$28,$P1934)+INDEX(PARAMETROS_CULTURAS!$G$6:$G$28,$P1934),INDEX(PARAMETROS_CULTURAS!$K$6:$K$28,$P1934)+(INDEX(PARAMETROS_CULTURAS!$L$6:$L$28,$P1934)-INDEX(PARAMETROS_CULTURAS!$K$6:$K$28,$P1934))*($O1934-INDEX(PARAMETROS_CULTURAS!$F$6:$F$28,$P1934))/MAX(INDEX(PARAMETROS_CULTURAS!$G$6:$G$28,$P1934),0.0001),IF($O1934&lt;=INDEX(PARAMETROS_CULTURAS!$F$6:$F$28,$P1934)+INDEX(PARAMETROS_CULTURAS!$G$6:$G$28,$P1934)+INDEX(PARAMETROS_CULTURAS!$H$6:$H$28,$P1934),INDEX(PARAMETROS_CULTURAS!$L$6:$L$28,$P1934),INDEX(PARAMETROS_CULTURAS!$L$6:$L$28,$P1934)+(INDEX(PARAMETROS_CULTURAS!$M$6:$M$28,$P1934)-INDEX(PARAMETROS_CULTURAS!$L$6:$L$28,$P1934))*($O1934-INDEX(PARAMETROS_CULTURAS!$F$6:$F$28,$P1934)-INDEX(PARAMETROS_CULTURAS!$G$6:$G$28,$P1934)-INDEX(PARAMETROS_CULTURAS!$H$6:$H$28,$P1934))/MAX(INDEX(PARAMETROS_CULTURAS!$I$6:$I$28,$P1934),0.0001)))))</f>
        <v>0</v>
      </c>
      <c r="S1934" s="18" t="n">
        <f aca="false">IFERROR(INDEX(SEMANAS!$H$6:$H$71,MATCH($B1934,SEMANAS!$B$6:$B$71,0)),0)</f>
        <v>32.9</v>
      </c>
      <c r="T1934" s="18" t="n">
        <f aca="false">$R1934*$S1934</f>
        <v>0</v>
      </c>
      <c r="U1934" s="18" t="n">
        <f aca="false">IFERROR(INDEX(SEMANAS!$I$6:$I$71,MATCH($B1934,SEMANAS!$B$6:$B$71,0)),0)</f>
        <v>48.58</v>
      </c>
      <c r="V1934" s="18" t="n">
        <f aca="false">IFERROR(INDEX(SEMANAS!$J$6:$J$71,MATCH($B1934,SEMANAS!$B$6:$B$71,0)),0)</f>
        <v>38.864</v>
      </c>
      <c r="W1934" s="18" t="n">
        <f aca="false">MAX(0,$T1934-$V1934)</f>
        <v>0</v>
      </c>
      <c r="X1934" s="19" t="n">
        <f aca="false">IFERROR(INDEX(CADASTRO_PIVOS!$K$6:$K$41,MATCH($E1934,CADASTRO_PIVOS!$B$6:$B$41,0)),EFICIENCIA_PADRAO)</f>
        <v>0.85</v>
      </c>
      <c r="Y1934" s="18" t="n">
        <f aca="false">IF($X1934&lt;=0,0,$W1934/$X1934)</f>
        <v>0</v>
      </c>
      <c r="Z1934" s="16" t="n">
        <f aca="false">$Y1934*$H1934*MM_PARA_M3_HA</f>
        <v>0</v>
      </c>
      <c r="AA1934" s="18" t="n">
        <f aca="false">IFERROR(INDEX(CADASTRO_PIVOS!$I$6:$I$41,MATCH($E1934,CADASTRO_PIVOS!$B$6:$B$41,0)),0)</f>
        <v>932.933333333333</v>
      </c>
      <c r="AB1934" s="18" t="n">
        <f aca="false">IF($Z1934&lt;=0,0,$Z1934/$AA1934)</f>
        <v>0</v>
      </c>
      <c r="AC1934" s="16" t="n">
        <f aca="false">IFERROR(INDEX(SEMANAS!$K$6:$K$71,MATCH($B1934,SEMANAS!$B$6:$B$71,0)),0)</f>
        <v>147</v>
      </c>
      <c r="AD1934" s="19" t="n">
        <f aca="false">IF($AC1934&lt;=0,0,$AB1934/$AC1934)</f>
        <v>0</v>
      </c>
      <c r="AE1934" s="8" t="str">
        <f aca="false">IF($K1934="SEM CULTURA","SEM CULTURA",IF($AA1934&lt;=0,"DADO PENDENTE",IF($AD1934&gt;LIMITE_CRITICO,"INVIAVEL",IF($AD1934&gt;LIMITE_ATENCAO,"CRITICO",IF($AD1934&gt;LIMITE_CONFORTAVEL,"ATENCAO","OK")))))</f>
        <v>SEM CULTURA</v>
      </c>
      <c r="AF1934" s="8" t="str">
        <f aca="false">$B1934&amp;"|"&amp;TEXT($AD1934,"0.000000")</f>
        <v>15|0.000000</v>
      </c>
      <c r="AG1934" s="18" t="n">
        <f aca="false">IF($K1934="SEM CULTURA",0,$T1934*$H1934)</f>
        <v>0</v>
      </c>
      <c r="AH1934" s="18" t="n">
        <f aca="false">IF($K1934="SEM CULTURA",0,$V1934*$H1934)</f>
        <v>0</v>
      </c>
      <c r="AI1934" s="18" t="n">
        <f aca="false">IF($K1934="SEM CULTURA",0,$W1934*$H1934)</f>
        <v>0</v>
      </c>
      <c r="AJ1934" s="18" t="n">
        <f aca="false">IF($K1934="SEM CULTURA",0,$S1934*$H1934)</f>
        <v>0</v>
      </c>
      <c r="AK1934" s="8" t="str">
        <f aca="false">$E1934&amp;"|"&amp;TEXT($AD1934,"0.000000")</f>
        <v>PV 126|0.000000</v>
      </c>
    </row>
    <row r="1935" customFormat="false" ht="15" hidden="false" customHeight="false" outlineLevel="0" collapsed="false">
      <c r="B1935" s="16" t="n">
        <v>16</v>
      </c>
      <c r="C1935" s="17" t="n">
        <f aca="false">DATA_INICIO_SAFRA+($B1935-1)*DIAS_POR_SEMANA</f>
        <v>46370</v>
      </c>
      <c r="D1935" s="17" t="n">
        <f aca="false">$C1935+DIAS_POR_SEMANA-1</f>
        <v>46376</v>
      </c>
      <c r="E1935" s="15" t="s">
        <v>288</v>
      </c>
      <c r="F1935" s="8" t="str">
        <f aca="false">IFERROR(INDEX(CADASTRO_PIVOS!$C$6:$C$41,MATCH($E1935,CADASTRO_PIVOS!$B$6:$B$41,0)),"?")</f>
        <v>RM07</v>
      </c>
      <c r="G1935" s="8" t="str">
        <f aca="false">IFERROR(INDEX(CADASTRO_PIVOS!$D$6:$D$41,MATCH($E1935,CADASTRO_PIVOS!$B$6:$B$41,0)),"?")</f>
        <v>TR07</v>
      </c>
      <c r="H1935" s="20" t="n">
        <f aca="false">IFERROR(INDEX(CADASTRO_PIVOS!$E$6:$E$41,MATCH($E1935,CADASTRO_PIVOS!$B$6:$B$41,0)),0)</f>
        <v>139.94</v>
      </c>
      <c r="I1935" s="16" t="n">
        <f aca="false">IFERROR(SUMIFS(ROTACAO_RDM!$B$6:$B$71,ROTACAO_RDM!$D$6:$D$71,$E1935,ROTACAO_RDM!$I$6:$I$71,"&lt;="&amp;$C1935+INT(DIAS_POR_SEMANA/2),ROTACAO_RDM!$J$6:$J$71,"&gt;="&amp;$C1935+INT(DIAS_POR_SEMANA/2)),0)</f>
        <v>49</v>
      </c>
      <c r="J1935" s="16" t="n">
        <f aca="false">IFERROR(MATCH($I1935,ROTACAO_RDM!$B$6:$B$71,0),0)</f>
        <v>49</v>
      </c>
      <c r="K1935" s="8" t="str">
        <f aca="false">IF($J1935=0,"SEM CULTURA",INDEX(ROTACAO_RDM!$F$6:$F$71,$J1935))</f>
        <v>TABACO</v>
      </c>
      <c r="L1935" s="8" t="str">
        <f aca="false">IF($J1935=0,"",INDEX(ROTACAO_RDM!$G$6:$G$71,$J1935))</f>
        <v>PVH-2343</v>
      </c>
      <c r="M1935" s="17" t="n">
        <f aca="false">IF($J1935=0,"",INDEX(ROTACAO_RDM!$I$6:$I$71,$J1935))</f>
        <v>46371</v>
      </c>
      <c r="N1935" s="16" t="n">
        <f aca="false">IF($J1935=0,0,MAX(0,$C1935+INT(DIAS_POR_SEMANA/2)-INDEX(ROTACAO_RDM!$I$6:$I$71,$J1935)))</f>
        <v>2</v>
      </c>
      <c r="O1935" s="19" t="n">
        <f aca="false">IF($J1935=0,0,MIN(1,$N1935/MAX(1,INDEX(ROTACAO_RDM!$K$6:$K$71,$J1935))))</f>
        <v>0.0125</v>
      </c>
      <c r="P1935" s="16" t="n">
        <f aca="false">IF($J1935=0,0,IFERROR(MATCH(INDEX(ROTACAO_RDM!$N$6:$N$71,$J1935),PARAMETROS_CULTURAS!$B$6:$B$28,0),0))</f>
        <v>9</v>
      </c>
      <c r="Q1935" s="8" t="str">
        <f aca="false">IF($P1935=0,"-",IF($O1935&lt;=INDEX(PARAMETROS_CULTURAS!$F$6:$F$28,$P1935),"INICIAL",IF($O1935&lt;=INDEX(PARAMETROS_CULTURAS!$F$6:$F$28,$P1935)+INDEX(PARAMETROS_CULTURAS!$G$6:$G$28,$P1935),"DESENVOLVIMENTO",IF($O1935&lt;=INDEX(PARAMETROS_CULTURAS!$F$6:$F$28,$P1935)+INDEX(PARAMETROS_CULTURAS!$G$6:$G$28,$P1935)+INDEX(PARAMETROS_CULTURAS!$H$6:$H$28,$P1935),"MEDIA","FINAL"))))</f>
        <v>INICIAL</v>
      </c>
      <c r="R1935" s="24" t="n">
        <f aca="false">IF($P1935=0,0,IF($O1935&lt;=INDEX(PARAMETROS_CULTURAS!$F$6:$F$28,$P1935),INDEX(PARAMETROS_CULTURAS!$K$6:$K$28,$P1935),IF($O1935&lt;=INDEX(PARAMETROS_CULTURAS!$F$6:$F$28,$P1935)+INDEX(PARAMETROS_CULTURAS!$G$6:$G$28,$P1935),INDEX(PARAMETROS_CULTURAS!$K$6:$K$28,$P1935)+(INDEX(PARAMETROS_CULTURAS!$L$6:$L$28,$P1935)-INDEX(PARAMETROS_CULTURAS!$K$6:$K$28,$P1935))*($O1935-INDEX(PARAMETROS_CULTURAS!$F$6:$F$28,$P1935))/MAX(INDEX(PARAMETROS_CULTURAS!$G$6:$G$28,$P1935),0.0001),IF($O1935&lt;=INDEX(PARAMETROS_CULTURAS!$F$6:$F$28,$P1935)+INDEX(PARAMETROS_CULTURAS!$G$6:$G$28,$P1935)+INDEX(PARAMETROS_CULTURAS!$H$6:$H$28,$P1935),INDEX(PARAMETROS_CULTURAS!$L$6:$L$28,$P1935),INDEX(PARAMETROS_CULTURAS!$L$6:$L$28,$P1935)+(INDEX(PARAMETROS_CULTURAS!$M$6:$M$28,$P1935)-INDEX(PARAMETROS_CULTURAS!$L$6:$L$28,$P1935))*($O1935-INDEX(PARAMETROS_CULTURAS!$F$6:$F$28,$P1935)-INDEX(PARAMETROS_CULTURAS!$G$6:$G$28,$P1935)-INDEX(PARAMETROS_CULTURAS!$H$6:$H$28,$P1935))/MAX(INDEX(PARAMETROS_CULTURAS!$I$6:$I$28,$P1935),0.0001)))))</f>
        <v>0.35</v>
      </c>
      <c r="S1935" s="18" t="n">
        <f aca="false">IFERROR(INDEX(SEMANAS!$H$6:$H$71,MATCH($B1935,SEMANAS!$B$6:$B$71,0)),0)</f>
        <v>32.9</v>
      </c>
      <c r="T1935" s="18" t="n">
        <f aca="false">$R1935*$S1935</f>
        <v>11.515</v>
      </c>
      <c r="U1935" s="18" t="n">
        <f aca="false">IFERROR(INDEX(SEMANAS!$I$6:$I$71,MATCH($B1935,SEMANAS!$B$6:$B$71,0)),0)</f>
        <v>48.58</v>
      </c>
      <c r="V1935" s="18" t="n">
        <f aca="false">IFERROR(INDEX(SEMANAS!$J$6:$J$71,MATCH($B1935,SEMANAS!$B$6:$B$71,0)),0)</f>
        <v>38.864</v>
      </c>
      <c r="W1935" s="18" t="n">
        <f aca="false">MAX(0,$T1935-$V1935)</f>
        <v>0</v>
      </c>
      <c r="X1935" s="19" t="n">
        <f aca="false">IFERROR(INDEX(CADASTRO_PIVOS!$K$6:$K$41,MATCH($E1935,CADASTRO_PIVOS!$B$6:$B$41,0)),EFICIENCIA_PADRAO)</f>
        <v>0.85</v>
      </c>
      <c r="Y1935" s="18" t="n">
        <f aca="false">IF($X1935&lt;=0,0,$W1935/$X1935)</f>
        <v>0</v>
      </c>
      <c r="Z1935" s="16" t="n">
        <f aca="false">$Y1935*$H1935*MM_PARA_M3_HA</f>
        <v>0</v>
      </c>
      <c r="AA1935" s="18" t="n">
        <f aca="false">IFERROR(INDEX(CADASTRO_PIVOS!$I$6:$I$41,MATCH($E1935,CADASTRO_PIVOS!$B$6:$B$41,0)),0)</f>
        <v>932.933333333333</v>
      </c>
      <c r="AB1935" s="18" t="n">
        <f aca="false">IF($Z1935&lt;=0,0,$Z1935/$AA1935)</f>
        <v>0</v>
      </c>
      <c r="AC1935" s="16" t="n">
        <f aca="false">IFERROR(INDEX(SEMANAS!$K$6:$K$71,MATCH($B1935,SEMANAS!$B$6:$B$71,0)),0)</f>
        <v>147</v>
      </c>
      <c r="AD1935" s="19" t="n">
        <f aca="false">IF($AC1935&lt;=0,0,$AB1935/$AC1935)</f>
        <v>0</v>
      </c>
      <c r="AE1935" s="8" t="str">
        <f aca="false">IF($K1935="SEM CULTURA","SEM CULTURA",IF($AA1935&lt;=0,"DADO PENDENTE",IF($AD1935&gt;LIMITE_CRITICO,"INVIAVEL",IF($AD1935&gt;LIMITE_ATENCAO,"CRITICO",IF($AD1935&gt;LIMITE_CONFORTAVEL,"ATENCAO","OK")))))</f>
        <v>OK</v>
      </c>
      <c r="AF1935" s="8" t="str">
        <f aca="false">$B1935&amp;"|"&amp;TEXT($AD1935,"0.000000")</f>
        <v>16|0.000000</v>
      </c>
      <c r="AG1935" s="18" t="n">
        <f aca="false">IF($K1935="SEM CULTURA",0,$T1935*$H1935)</f>
        <v>1611.4091</v>
      </c>
      <c r="AH1935" s="18" t="n">
        <f aca="false">IF($K1935="SEM CULTURA",0,$V1935*$H1935)</f>
        <v>5438.62816</v>
      </c>
      <c r="AI1935" s="18" t="n">
        <f aca="false">IF($K1935="SEM CULTURA",0,$W1935*$H1935)</f>
        <v>0</v>
      </c>
      <c r="AJ1935" s="18" t="n">
        <f aca="false">IF($K1935="SEM CULTURA",0,$S1935*$H1935)</f>
        <v>4604.026</v>
      </c>
      <c r="AK1935" s="8" t="str">
        <f aca="false">$E1935&amp;"|"&amp;TEXT($AD1935,"0.000000")</f>
        <v>PV 126|0.000000</v>
      </c>
    </row>
    <row r="1936" customFormat="false" ht="15" hidden="false" customHeight="false" outlineLevel="0" collapsed="false">
      <c r="B1936" s="16" t="n">
        <v>17</v>
      </c>
      <c r="C1936" s="17" t="n">
        <f aca="false">DATA_INICIO_SAFRA+($B1936-1)*DIAS_POR_SEMANA</f>
        <v>46377</v>
      </c>
      <c r="D1936" s="17" t="n">
        <f aca="false">$C1936+DIAS_POR_SEMANA-1</f>
        <v>46383</v>
      </c>
      <c r="E1936" s="15" t="s">
        <v>288</v>
      </c>
      <c r="F1936" s="8" t="str">
        <f aca="false">IFERROR(INDEX(CADASTRO_PIVOS!$C$6:$C$41,MATCH($E1936,CADASTRO_PIVOS!$B$6:$B$41,0)),"?")</f>
        <v>RM07</v>
      </c>
      <c r="G1936" s="8" t="str">
        <f aca="false">IFERROR(INDEX(CADASTRO_PIVOS!$D$6:$D$41,MATCH($E1936,CADASTRO_PIVOS!$B$6:$B$41,0)),"?")</f>
        <v>TR07</v>
      </c>
      <c r="H1936" s="20" t="n">
        <f aca="false">IFERROR(INDEX(CADASTRO_PIVOS!$E$6:$E$41,MATCH($E1936,CADASTRO_PIVOS!$B$6:$B$41,0)),0)</f>
        <v>139.94</v>
      </c>
      <c r="I1936" s="16" t="n">
        <f aca="false">IFERROR(SUMIFS(ROTACAO_RDM!$B$6:$B$71,ROTACAO_RDM!$D$6:$D$71,$E1936,ROTACAO_RDM!$I$6:$I$71,"&lt;="&amp;$C1936+INT(DIAS_POR_SEMANA/2),ROTACAO_RDM!$J$6:$J$71,"&gt;="&amp;$C1936+INT(DIAS_POR_SEMANA/2)),0)</f>
        <v>49</v>
      </c>
      <c r="J1936" s="16" t="n">
        <f aca="false">IFERROR(MATCH($I1936,ROTACAO_RDM!$B$6:$B$71,0),0)</f>
        <v>49</v>
      </c>
      <c r="K1936" s="8" t="str">
        <f aca="false">IF($J1936=0,"SEM CULTURA",INDEX(ROTACAO_RDM!$F$6:$F$71,$J1936))</f>
        <v>TABACO</v>
      </c>
      <c r="L1936" s="8" t="str">
        <f aca="false">IF($J1936=0,"",INDEX(ROTACAO_RDM!$G$6:$G$71,$J1936))</f>
        <v>PVH-2343</v>
      </c>
      <c r="M1936" s="17" t="n">
        <f aca="false">IF($J1936=0,"",INDEX(ROTACAO_RDM!$I$6:$I$71,$J1936))</f>
        <v>46371</v>
      </c>
      <c r="N1936" s="16" t="n">
        <f aca="false">IF($J1936=0,0,MAX(0,$C1936+INT(DIAS_POR_SEMANA/2)-INDEX(ROTACAO_RDM!$I$6:$I$71,$J1936)))</f>
        <v>9</v>
      </c>
      <c r="O1936" s="19" t="n">
        <f aca="false">IF($J1936=0,0,MIN(1,$N1936/MAX(1,INDEX(ROTACAO_RDM!$K$6:$K$71,$J1936))))</f>
        <v>0.05625</v>
      </c>
      <c r="P1936" s="16" t="n">
        <f aca="false">IF($J1936=0,0,IFERROR(MATCH(INDEX(ROTACAO_RDM!$N$6:$N$71,$J1936),PARAMETROS_CULTURAS!$B$6:$B$28,0),0))</f>
        <v>9</v>
      </c>
      <c r="Q1936" s="8" t="str">
        <f aca="false">IF($P1936=0,"-",IF($O1936&lt;=INDEX(PARAMETROS_CULTURAS!$F$6:$F$28,$P1936),"INICIAL",IF($O1936&lt;=INDEX(PARAMETROS_CULTURAS!$F$6:$F$28,$P1936)+INDEX(PARAMETROS_CULTURAS!$G$6:$G$28,$P1936),"DESENVOLVIMENTO",IF($O1936&lt;=INDEX(PARAMETROS_CULTURAS!$F$6:$F$28,$P1936)+INDEX(PARAMETROS_CULTURAS!$G$6:$G$28,$P1936)+INDEX(PARAMETROS_CULTURAS!$H$6:$H$28,$P1936),"MEDIA","FINAL"))))</f>
        <v>INICIAL</v>
      </c>
      <c r="R1936" s="24" t="n">
        <f aca="false">IF($P1936=0,0,IF($O1936&lt;=INDEX(PARAMETROS_CULTURAS!$F$6:$F$28,$P1936),INDEX(PARAMETROS_CULTURAS!$K$6:$K$28,$P1936),IF($O1936&lt;=INDEX(PARAMETROS_CULTURAS!$F$6:$F$28,$P1936)+INDEX(PARAMETROS_CULTURAS!$G$6:$G$28,$P1936),INDEX(PARAMETROS_CULTURAS!$K$6:$K$28,$P1936)+(INDEX(PARAMETROS_CULTURAS!$L$6:$L$28,$P1936)-INDEX(PARAMETROS_CULTURAS!$K$6:$K$28,$P1936))*($O1936-INDEX(PARAMETROS_CULTURAS!$F$6:$F$28,$P1936))/MAX(INDEX(PARAMETROS_CULTURAS!$G$6:$G$28,$P1936),0.0001),IF($O1936&lt;=INDEX(PARAMETROS_CULTURAS!$F$6:$F$28,$P1936)+INDEX(PARAMETROS_CULTURAS!$G$6:$G$28,$P1936)+INDEX(PARAMETROS_CULTURAS!$H$6:$H$28,$P1936),INDEX(PARAMETROS_CULTURAS!$L$6:$L$28,$P1936),INDEX(PARAMETROS_CULTURAS!$L$6:$L$28,$P1936)+(INDEX(PARAMETROS_CULTURAS!$M$6:$M$28,$P1936)-INDEX(PARAMETROS_CULTURAS!$L$6:$L$28,$P1936))*($O1936-INDEX(PARAMETROS_CULTURAS!$F$6:$F$28,$P1936)-INDEX(PARAMETROS_CULTURAS!$G$6:$G$28,$P1936)-INDEX(PARAMETROS_CULTURAS!$H$6:$H$28,$P1936))/MAX(INDEX(PARAMETROS_CULTURAS!$I$6:$I$28,$P1936),0.0001)))))</f>
        <v>0.35</v>
      </c>
      <c r="S1936" s="18" t="n">
        <f aca="false">IFERROR(INDEX(SEMANAS!$H$6:$H$71,MATCH($B1936,SEMANAS!$B$6:$B$71,0)),0)</f>
        <v>32.9</v>
      </c>
      <c r="T1936" s="18" t="n">
        <f aca="false">$R1936*$S1936</f>
        <v>11.515</v>
      </c>
      <c r="U1936" s="18" t="n">
        <f aca="false">IFERROR(INDEX(SEMANAS!$I$6:$I$71,MATCH($B1936,SEMANAS!$B$6:$B$71,0)),0)</f>
        <v>48.58</v>
      </c>
      <c r="V1936" s="18" t="n">
        <f aca="false">IFERROR(INDEX(SEMANAS!$J$6:$J$71,MATCH($B1936,SEMANAS!$B$6:$B$71,0)),0)</f>
        <v>38.864</v>
      </c>
      <c r="W1936" s="18" t="n">
        <f aca="false">MAX(0,$T1936-$V1936)</f>
        <v>0</v>
      </c>
      <c r="X1936" s="19" t="n">
        <f aca="false">IFERROR(INDEX(CADASTRO_PIVOS!$K$6:$K$41,MATCH($E1936,CADASTRO_PIVOS!$B$6:$B$41,0)),EFICIENCIA_PADRAO)</f>
        <v>0.85</v>
      </c>
      <c r="Y1936" s="18" t="n">
        <f aca="false">IF($X1936&lt;=0,0,$W1936/$X1936)</f>
        <v>0</v>
      </c>
      <c r="Z1936" s="16" t="n">
        <f aca="false">$Y1936*$H1936*MM_PARA_M3_HA</f>
        <v>0</v>
      </c>
      <c r="AA1936" s="18" t="n">
        <f aca="false">IFERROR(INDEX(CADASTRO_PIVOS!$I$6:$I$41,MATCH($E1936,CADASTRO_PIVOS!$B$6:$B$41,0)),0)</f>
        <v>932.933333333333</v>
      </c>
      <c r="AB1936" s="18" t="n">
        <f aca="false">IF($Z1936&lt;=0,0,$Z1936/$AA1936)</f>
        <v>0</v>
      </c>
      <c r="AC1936" s="16" t="n">
        <f aca="false">IFERROR(INDEX(SEMANAS!$K$6:$K$71,MATCH($B1936,SEMANAS!$B$6:$B$71,0)),0)</f>
        <v>147</v>
      </c>
      <c r="AD1936" s="19" t="n">
        <f aca="false">IF($AC1936&lt;=0,0,$AB1936/$AC1936)</f>
        <v>0</v>
      </c>
      <c r="AE1936" s="8" t="str">
        <f aca="false">IF($K1936="SEM CULTURA","SEM CULTURA",IF($AA1936&lt;=0,"DADO PENDENTE",IF($AD1936&gt;LIMITE_CRITICO,"INVIAVEL",IF($AD1936&gt;LIMITE_ATENCAO,"CRITICO",IF($AD1936&gt;LIMITE_CONFORTAVEL,"ATENCAO","OK")))))</f>
        <v>OK</v>
      </c>
      <c r="AF1936" s="8" t="str">
        <f aca="false">$B1936&amp;"|"&amp;TEXT($AD1936,"0.000000")</f>
        <v>17|0.000000</v>
      </c>
      <c r="AG1936" s="18" t="n">
        <f aca="false">IF($K1936="SEM CULTURA",0,$T1936*$H1936)</f>
        <v>1611.4091</v>
      </c>
      <c r="AH1936" s="18" t="n">
        <f aca="false">IF($K1936="SEM CULTURA",0,$V1936*$H1936)</f>
        <v>5438.62816</v>
      </c>
      <c r="AI1936" s="18" t="n">
        <f aca="false">IF($K1936="SEM CULTURA",0,$W1936*$H1936)</f>
        <v>0</v>
      </c>
      <c r="AJ1936" s="18" t="n">
        <f aca="false">IF($K1936="SEM CULTURA",0,$S1936*$H1936)</f>
        <v>4604.026</v>
      </c>
      <c r="AK1936" s="8" t="str">
        <f aca="false">$E1936&amp;"|"&amp;TEXT($AD1936,"0.000000")</f>
        <v>PV 126|0.000000</v>
      </c>
    </row>
    <row r="1937" customFormat="false" ht="15" hidden="false" customHeight="false" outlineLevel="0" collapsed="false">
      <c r="B1937" s="16" t="n">
        <v>18</v>
      </c>
      <c r="C1937" s="17" t="n">
        <f aca="false">DATA_INICIO_SAFRA+($B1937-1)*DIAS_POR_SEMANA</f>
        <v>46384</v>
      </c>
      <c r="D1937" s="17" t="n">
        <f aca="false">$C1937+DIAS_POR_SEMANA-1</f>
        <v>46390</v>
      </c>
      <c r="E1937" s="15" t="s">
        <v>288</v>
      </c>
      <c r="F1937" s="8" t="str">
        <f aca="false">IFERROR(INDEX(CADASTRO_PIVOS!$C$6:$C$41,MATCH($E1937,CADASTRO_PIVOS!$B$6:$B$41,0)),"?")</f>
        <v>RM07</v>
      </c>
      <c r="G1937" s="8" t="str">
        <f aca="false">IFERROR(INDEX(CADASTRO_PIVOS!$D$6:$D$41,MATCH($E1937,CADASTRO_PIVOS!$B$6:$B$41,0)),"?")</f>
        <v>TR07</v>
      </c>
      <c r="H1937" s="20" t="n">
        <f aca="false">IFERROR(INDEX(CADASTRO_PIVOS!$E$6:$E$41,MATCH($E1937,CADASTRO_PIVOS!$B$6:$B$41,0)),0)</f>
        <v>139.94</v>
      </c>
      <c r="I1937" s="16" t="n">
        <f aca="false">IFERROR(SUMIFS(ROTACAO_RDM!$B$6:$B$71,ROTACAO_RDM!$D$6:$D$71,$E1937,ROTACAO_RDM!$I$6:$I$71,"&lt;="&amp;$C1937+INT(DIAS_POR_SEMANA/2),ROTACAO_RDM!$J$6:$J$71,"&gt;="&amp;$C1937+INT(DIAS_POR_SEMANA/2)),0)</f>
        <v>49</v>
      </c>
      <c r="J1937" s="16" t="n">
        <f aca="false">IFERROR(MATCH($I1937,ROTACAO_RDM!$B$6:$B$71,0),0)</f>
        <v>49</v>
      </c>
      <c r="K1937" s="8" t="str">
        <f aca="false">IF($J1937=0,"SEM CULTURA",INDEX(ROTACAO_RDM!$F$6:$F$71,$J1937))</f>
        <v>TABACO</v>
      </c>
      <c r="L1937" s="8" t="str">
        <f aca="false">IF($J1937=0,"",INDEX(ROTACAO_RDM!$G$6:$G$71,$J1937))</f>
        <v>PVH-2343</v>
      </c>
      <c r="M1937" s="17" t="n">
        <f aca="false">IF($J1937=0,"",INDEX(ROTACAO_RDM!$I$6:$I$71,$J1937))</f>
        <v>46371</v>
      </c>
      <c r="N1937" s="16" t="n">
        <f aca="false">IF($J1937=0,0,MAX(0,$C1937+INT(DIAS_POR_SEMANA/2)-INDEX(ROTACAO_RDM!$I$6:$I$71,$J1937)))</f>
        <v>16</v>
      </c>
      <c r="O1937" s="19" t="n">
        <f aca="false">IF($J1937=0,0,MIN(1,$N1937/MAX(1,INDEX(ROTACAO_RDM!$K$6:$K$71,$J1937))))</f>
        <v>0.1</v>
      </c>
      <c r="P1937" s="16" t="n">
        <f aca="false">IF($J1937=0,0,IFERROR(MATCH(INDEX(ROTACAO_RDM!$N$6:$N$71,$J1937),PARAMETROS_CULTURAS!$B$6:$B$28,0),0))</f>
        <v>9</v>
      </c>
      <c r="Q1937" s="8" t="str">
        <f aca="false">IF($P1937=0,"-",IF($O1937&lt;=INDEX(PARAMETROS_CULTURAS!$F$6:$F$28,$P1937),"INICIAL",IF($O1937&lt;=INDEX(PARAMETROS_CULTURAS!$F$6:$F$28,$P1937)+INDEX(PARAMETROS_CULTURAS!$G$6:$G$28,$P1937),"DESENVOLVIMENTO",IF($O1937&lt;=INDEX(PARAMETROS_CULTURAS!$F$6:$F$28,$P1937)+INDEX(PARAMETROS_CULTURAS!$G$6:$G$28,$P1937)+INDEX(PARAMETROS_CULTURAS!$H$6:$H$28,$P1937),"MEDIA","FINAL"))))</f>
        <v>INICIAL</v>
      </c>
      <c r="R1937" s="24" t="n">
        <f aca="false">IF($P1937=0,0,IF($O1937&lt;=INDEX(PARAMETROS_CULTURAS!$F$6:$F$28,$P1937),INDEX(PARAMETROS_CULTURAS!$K$6:$K$28,$P1937),IF($O1937&lt;=INDEX(PARAMETROS_CULTURAS!$F$6:$F$28,$P1937)+INDEX(PARAMETROS_CULTURAS!$G$6:$G$28,$P1937),INDEX(PARAMETROS_CULTURAS!$K$6:$K$28,$P1937)+(INDEX(PARAMETROS_CULTURAS!$L$6:$L$28,$P1937)-INDEX(PARAMETROS_CULTURAS!$K$6:$K$28,$P1937))*($O1937-INDEX(PARAMETROS_CULTURAS!$F$6:$F$28,$P1937))/MAX(INDEX(PARAMETROS_CULTURAS!$G$6:$G$28,$P1937),0.0001),IF($O1937&lt;=INDEX(PARAMETROS_CULTURAS!$F$6:$F$28,$P1937)+INDEX(PARAMETROS_CULTURAS!$G$6:$G$28,$P1937)+INDEX(PARAMETROS_CULTURAS!$H$6:$H$28,$P1937),INDEX(PARAMETROS_CULTURAS!$L$6:$L$28,$P1937),INDEX(PARAMETROS_CULTURAS!$L$6:$L$28,$P1937)+(INDEX(PARAMETROS_CULTURAS!$M$6:$M$28,$P1937)-INDEX(PARAMETROS_CULTURAS!$L$6:$L$28,$P1937))*($O1937-INDEX(PARAMETROS_CULTURAS!$F$6:$F$28,$P1937)-INDEX(PARAMETROS_CULTURAS!$G$6:$G$28,$P1937)-INDEX(PARAMETROS_CULTURAS!$H$6:$H$28,$P1937))/MAX(INDEX(PARAMETROS_CULTURAS!$I$6:$I$28,$P1937),0.0001)))))</f>
        <v>0.35</v>
      </c>
      <c r="S1937" s="18" t="n">
        <f aca="false">IFERROR(INDEX(SEMANAS!$H$6:$H$71,MATCH($B1937,SEMANAS!$B$6:$B$71,0)),0)</f>
        <v>33.2</v>
      </c>
      <c r="T1937" s="18" t="n">
        <f aca="false">$R1937*$S1937</f>
        <v>11.62</v>
      </c>
      <c r="U1937" s="18" t="n">
        <f aca="false">IFERROR(INDEX(SEMANAS!$I$6:$I$71,MATCH($B1937,SEMANAS!$B$6:$B$71,0)),0)</f>
        <v>47.11</v>
      </c>
      <c r="V1937" s="18" t="n">
        <f aca="false">IFERROR(INDEX(SEMANAS!$J$6:$J$71,MATCH($B1937,SEMANAS!$B$6:$B$71,0)),0)</f>
        <v>37.688</v>
      </c>
      <c r="W1937" s="18" t="n">
        <f aca="false">MAX(0,$T1937-$V1937)</f>
        <v>0</v>
      </c>
      <c r="X1937" s="19" t="n">
        <f aca="false">IFERROR(INDEX(CADASTRO_PIVOS!$K$6:$K$41,MATCH($E1937,CADASTRO_PIVOS!$B$6:$B$41,0)),EFICIENCIA_PADRAO)</f>
        <v>0.85</v>
      </c>
      <c r="Y1937" s="18" t="n">
        <f aca="false">IF($X1937&lt;=0,0,$W1937/$X1937)</f>
        <v>0</v>
      </c>
      <c r="Z1937" s="16" t="n">
        <f aca="false">$Y1937*$H1937*MM_PARA_M3_HA</f>
        <v>0</v>
      </c>
      <c r="AA1937" s="18" t="n">
        <f aca="false">IFERROR(INDEX(CADASTRO_PIVOS!$I$6:$I$41,MATCH($E1937,CADASTRO_PIVOS!$B$6:$B$41,0)),0)</f>
        <v>932.933333333333</v>
      </c>
      <c r="AB1937" s="18" t="n">
        <f aca="false">IF($Z1937&lt;=0,0,$Z1937/$AA1937)</f>
        <v>0</v>
      </c>
      <c r="AC1937" s="16" t="n">
        <f aca="false">IFERROR(INDEX(SEMANAS!$K$6:$K$71,MATCH($B1937,SEMANAS!$B$6:$B$71,0)),0)</f>
        <v>147</v>
      </c>
      <c r="AD1937" s="19" t="n">
        <f aca="false">IF($AC1937&lt;=0,0,$AB1937/$AC1937)</f>
        <v>0</v>
      </c>
      <c r="AE1937" s="8" t="str">
        <f aca="false">IF($K1937="SEM CULTURA","SEM CULTURA",IF($AA1937&lt;=0,"DADO PENDENTE",IF($AD1937&gt;LIMITE_CRITICO,"INVIAVEL",IF($AD1937&gt;LIMITE_ATENCAO,"CRITICO",IF($AD1937&gt;LIMITE_CONFORTAVEL,"ATENCAO","OK")))))</f>
        <v>OK</v>
      </c>
      <c r="AF1937" s="8" t="str">
        <f aca="false">$B1937&amp;"|"&amp;TEXT($AD1937,"0.000000")</f>
        <v>18|0.000000</v>
      </c>
      <c r="AG1937" s="18" t="n">
        <f aca="false">IF($K1937="SEM CULTURA",0,$T1937*$H1937)</f>
        <v>1626.1028</v>
      </c>
      <c r="AH1937" s="18" t="n">
        <f aca="false">IF($K1937="SEM CULTURA",0,$V1937*$H1937)</f>
        <v>5274.05872</v>
      </c>
      <c r="AI1937" s="18" t="n">
        <f aca="false">IF($K1937="SEM CULTURA",0,$W1937*$H1937)</f>
        <v>0</v>
      </c>
      <c r="AJ1937" s="18" t="n">
        <f aca="false">IF($K1937="SEM CULTURA",0,$S1937*$H1937)</f>
        <v>4646.008</v>
      </c>
      <c r="AK1937" s="8" t="str">
        <f aca="false">$E1937&amp;"|"&amp;TEXT($AD1937,"0.000000")</f>
        <v>PV 126|0.000000</v>
      </c>
    </row>
    <row r="1938" customFormat="false" ht="15" hidden="false" customHeight="false" outlineLevel="0" collapsed="false">
      <c r="B1938" s="16" t="n">
        <v>19</v>
      </c>
      <c r="C1938" s="17" t="n">
        <f aca="false">DATA_INICIO_SAFRA+($B1938-1)*DIAS_POR_SEMANA</f>
        <v>46391</v>
      </c>
      <c r="D1938" s="17" t="n">
        <f aca="false">$C1938+DIAS_POR_SEMANA-1</f>
        <v>46397</v>
      </c>
      <c r="E1938" s="15" t="s">
        <v>288</v>
      </c>
      <c r="F1938" s="8" t="str">
        <f aca="false">IFERROR(INDEX(CADASTRO_PIVOS!$C$6:$C$41,MATCH($E1938,CADASTRO_PIVOS!$B$6:$B$41,0)),"?")</f>
        <v>RM07</v>
      </c>
      <c r="G1938" s="8" t="str">
        <f aca="false">IFERROR(INDEX(CADASTRO_PIVOS!$D$6:$D$41,MATCH($E1938,CADASTRO_PIVOS!$B$6:$B$41,0)),"?")</f>
        <v>TR07</v>
      </c>
      <c r="H1938" s="20" t="n">
        <f aca="false">IFERROR(INDEX(CADASTRO_PIVOS!$E$6:$E$41,MATCH($E1938,CADASTRO_PIVOS!$B$6:$B$41,0)),0)</f>
        <v>139.94</v>
      </c>
      <c r="I1938" s="16" t="n">
        <f aca="false">IFERROR(SUMIFS(ROTACAO_RDM!$B$6:$B$71,ROTACAO_RDM!$D$6:$D$71,$E1938,ROTACAO_RDM!$I$6:$I$71,"&lt;="&amp;$C1938+INT(DIAS_POR_SEMANA/2),ROTACAO_RDM!$J$6:$J$71,"&gt;="&amp;$C1938+INT(DIAS_POR_SEMANA/2)),0)</f>
        <v>49</v>
      </c>
      <c r="J1938" s="16" t="n">
        <f aca="false">IFERROR(MATCH($I1938,ROTACAO_RDM!$B$6:$B$71,0),0)</f>
        <v>49</v>
      </c>
      <c r="K1938" s="8" t="str">
        <f aca="false">IF($J1938=0,"SEM CULTURA",INDEX(ROTACAO_RDM!$F$6:$F$71,$J1938))</f>
        <v>TABACO</v>
      </c>
      <c r="L1938" s="8" t="str">
        <f aca="false">IF($J1938=0,"",INDEX(ROTACAO_RDM!$G$6:$G$71,$J1938))</f>
        <v>PVH-2343</v>
      </c>
      <c r="M1938" s="17" t="n">
        <f aca="false">IF($J1938=0,"",INDEX(ROTACAO_RDM!$I$6:$I$71,$J1938))</f>
        <v>46371</v>
      </c>
      <c r="N1938" s="16" t="n">
        <f aca="false">IF($J1938=0,0,MAX(0,$C1938+INT(DIAS_POR_SEMANA/2)-INDEX(ROTACAO_RDM!$I$6:$I$71,$J1938)))</f>
        <v>23</v>
      </c>
      <c r="O1938" s="19" t="n">
        <f aca="false">IF($J1938=0,0,MIN(1,$N1938/MAX(1,INDEX(ROTACAO_RDM!$K$6:$K$71,$J1938))))</f>
        <v>0.14375</v>
      </c>
      <c r="P1938" s="16" t="n">
        <f aca="false">IF($J1938=0,0,IFERROR(MATCH(INDEX(ROTACAO_RDM!$N$6:$N$71,$J1938),PARAMETROS_CULTURAS!$B$6:$B$28,0),0))</f>
        <v>9</v>
      </c>
      <c r="Q1938" s="8" t="str">
        <f aca="false">IF($P1938=0,"-",IF($O1938&lt;=INDEX(PARAMETROS_CULTURAS!$F$6:$F$28,$P1938),"INICIAL",IF($O1938&lt;=INDEX(PARAMETROS_CULTURAS!$F$6:$F$28,$P1938)+INDEX(PARAMETROS_CULTURAS!$G$6:$G$28,$P1938),"DESENVOLVIMENTO",IF($O1938&lt;=INDEX(PARAMETROS_CULTURAS!$F$6:$F$28,$P1938)+INDEX(PARAMETROS_CULTURAS!$G$6:$G$28,$P1938)+INDEX(PARAMETROS_CULTURAS!$H$6:$H$28,$P1938),"MEDIA","FINAL"))))</f>
        <v>INICIAL</v>
      </c>
      <c r="R1938" s="24" t="n">
        <f aca="false">IF($P1938=0,0,IF($O1938&lt;=INDEX(PARAMETROS_CULTURAS!$F$6:$F$28,$P1938),INDEX(PARAMETROS_CULTURAS!$K$6:$K$28,$P1938),IF($O1938&lt;=INDEX(PARAMETROS_CULTURAS!$F$6:$F$28,$P1938)+INDEX(PARAMETROS_CULTURAS!$G$6:$G$28,$P1938),INDEX(PARAMETROS_CULTURAS!$K$6:$K$28,$P1938)+(INDEX(PARAMETROS_CULTURAS!$L$6:$L$28,$P1938)-INDEX(PARAMETROS_CULTURAS!$K$6:$K$28,$P1938))*($O1938-INDEX(PARAMETROS_CULTURAS!$F$6:$F$28,$P1938))/MAX(INDEX(PARAMETROS_CULTURAS!$G$6:$G$28,$P1938),0.0001),IF($O1938&lt;=INDEX(PARAMETROS_CULTURAS!$F$6:$F$28,$P1938)+INDEX(PARAMETROS_CULTURAS!$G$6:$G$28,$P1938)+INDEX(PARAMETROS_CULTURAS!$H$6:$H$28,$P1938),INDEX(PARAMETROS_CULTURAS!$L$6:$L$28,$P1938),INDEX(PARAMETROS_CULTURAS!$L$6:$L$28,$P1938)+(INDEX(PARAMETROS_CULTURAS!$M$6:$M$28,$P1938)-INDEX(PARAMETROS_CULTURAS!$L$6:$L$28,$P1938))*($O1938-INDEX(PARAMETROS_CULTURAS!$F$6:$F$28,$P1938)-INDEX(PARAMETROS_CULTURAS!$G$6:$G$28,$P1938)-INDEX(PARAMETROS_CULTURAS!$H$6:$H$28,$P1938))/MAX(INDEX(PARAMETROS_CULTURAS!$I$6:$I$28,$P1938),0.0001)))))</f>
        <v>0.35</v>
      </c>
      <c r="S1938" s="18" t="n">
        <f aca="false">IFERROR(INDEX(SEMANAS!$H$6:$H$71,MATCH($B1938,SEMANAS!$B$6:$B$71,0)),0)</f>
        <v>33.6</v>
      </c>
      <c r="T1938" s="18" t="n">
        <f aca="false">$R1938*$S1938</f>
        <v>11.76</v>
      </c>
      <c r="U1938" s="18" t="n">
        <f aca="false">IFERROR(INDEX(SEMANAS!$I$6:$I$71,MATCH($B1938,SEMANAS!$B$6:$B$71,0)),0)</f>
        <v>45.15</v>
      </c>
      <c r="V1938" s="18" t="n">
        <f aca="false">IFERROR(INDEX(SEMANAS!$J$6:$J$71,MATCH($B1938,SEMANAS!$B$6:$B$71,0)),0)</f>
        <v>36.12</v>
      </c>
      <c r="W1938" s="18" t="n">
        <f aca="false">MAX(0,$T1938-$V1938)</f>
        <v>0</v>
      </c>
      <c r="X1938" s="19" t="n">
        <f aca="false">IFERROR(INDEX(CADASTRO_PIVOS!$K$6:$K$41,MATCH($E1938,CADASTRO_PIVOS!$B$6:$B$41,0)),EFICIENCIA_PADRAO)</f>
        <v>0.85</v>
      </c>
      <c r="Y1938" s="18" t="n">
        <f aca="false">IF($X1938&lt;=0,0,$W1938/$X1938)</f>
        <v>0</v>
      </c>
      <c r="Z1938" s="16" t="n">
        <f aca="false">$Y1938*$H1938*MM_PARA_M3_HA</f>
        <v>0</v>
      </c>
      <c r="AA1938" s="18" t="n">
        <f aca="false">IFERROR(INDEX(CADASTRO_PIVOS!$I$6:$I$41,MATCH($E1938,CADASTRO_PIVOS!$B$6:$B$41,0)),0)</f>
        <v>932.933333333333</v>
      </c>
      <c r="AB1938" s="18" t="n">
        <f aca="false">IF($Z1938&lt;=0,0,$Z1938/$AA1938)</f>
        <v>0</v>
      </c>
      <c r="AC1938" s="16" t="n">
        <f aca="false">IFERROR(INDEX(SEMANAS!$K$6:$K$71,MATCH($B1938,SEMANAS!$B$6:$B$71,0)),0)</f>
        <v>147</v>
      </c>
      <c r="AD1938" s="19" t="n">
        <f aca="false">IF($AC1938&lt;=0,0,$AB1938/$AC1938)</f>
        <v>0</v>
      </c>
      <c r="AE1938" s="8" t="str">
        <f aca="false">IF($K1938="SEM CULTURA","SEM CULTURA",IF($AA1938&lt;=0,"DADO PENDENTE",IF($AD1938&gt;LIMITE_CRITICO,"INVIAVEL",IF($AD1938&gt;LIMITE_ATENCAO,"CRITICO",IF($AD1938&gt;LIMITE_CONFORTAVEL,"ATENCAO","OK")))))</f>
        <v>OK</v>
      </c>
      <c r="AF1938" s="8" t="str">
        <f aca="false">$B1938&amp;"|"&amp;TEXT($AD1938,"0.000000")</f>
        <v>19|0.000000</v>
      </c>
      <c r="AG1938" s="18" t="n">
        <f aca="false">IF($K1938="SEM CULTURA",0,$T1938*$H1938)</f>
        <v>1645.6944</v>
      </c>
      <c r="AH1938" s="18" t="n">
        <f aca="false">IF($K1938="SEM CULTURA",0,$V1938*$H1938)</f>
        <v>5054.6328</v>
      </c>
      <c r="AI1938" s="18" t="n">
        <f aca="false">IF($K1938="SEM CULTURA",0,$W1938*$H1938)</f>
        <v>0</v>
      </c>
      <c r="AJ1938" s="18" t="n">
        <f aca="false">IF($K1938="SEM CULTURA",0,$S1938*$H1938)</f>
        <v>4701.984</v>
      </c>
      <c r="AK1938" s="8" t="str">
        <f aca="false">$E1938&amp;"|"&amp;TEXT($AD1938,"0.000000")</f>
        <v>PV 126|0.000000</v>
      </c>
    </row>
    <row r="1939" customFormat="false" ht="15" hidden="false" customHeight="false" outlineLevel="0" collapsed="false">
      <c r="B1939" s="16" t="n">
        <v>20</v>
      </c>
      <c r="C1939" s="17" t="n">
        <f aca="false">DATA_INICIO_SAFRA+($B1939-1)*DIAS_POR_SEMANA</f>
        <v>46398</v>
      </c>
      <c r="D1939" s="17" t="n">
        <f aca="false">$C1939+DIAS_POR_SEMANA-1</f>
        <v>46404</v>
      </c>
      <c r="E1939" s="15" t="s">
        <v>288</v>
      </c>
      <c r="F1939" s="8" t="str">
        <f aca="false">IFERROR(INDEX(CADASTRO_PIVOS!$C$6:$C$41,MATCH($E1939,CADASTRO_PIVOS!$B$6:$B$41,0)),"?")</f>
        <v>RM07</v>
      </c>
      <c r="G1939" s="8" t="str">
        <f aca="false">IFERROR(INDEX(CADASTRO_PIVOS!$D$6:$D$41,MATCH($E1939,CADASTRO_PIVOS!$B$6:$B$41,0)),"?")</f>
        <v>TR07</v>
      </c>
      <c r="H1939" s="20" t="n">
        <f aca="false">IFERROR(INDEX(CADASTRO_PIVOS!$E$6:$E$41,MATCH($E1939,CADASTRO_PIVOS!$B$6:$B$41,0)),0)</f>
        <v>139.94</v>
      </c>
      <c r="I1939" s="16" t="n">
        <f aca="false">IFERROR(SUMIFS(ROTACAO_RDM!$B$6:$B$71,ROTACAO_RDM!$D$6:$D$71,$E1939,ROTACAO_RDM!$I$6:$I$71,"&lt;="&amp;$C1939+INT(DIAS_POR_SEMANA/2),ROTACAO_RDM!$J$6:$J$71,"&gt;="&amp;$C1939+INT(DIAS_POR_SEMANA/2)),0)</f>
        <v>49</v>
      </c>
      <c r="J1939" s="16" t="n">
        <f aca="false">IFERROR(MATCH($I1939,ROTACAO_RDM!$B$6:$B$71,0),0)</f>
        <v>49</v>
      </c>
      <c r="K1939" s="8" t="str">
        <f aca="false">IF($J1939=0,"SEM CULTURA",INDEX(ROTACAO_RDM!$F$6:$F$71,$J1939))</f>
        <v>TABACO</v>
      </c>
      <c r="L1939" s="8" t="str">
        <f aca="false">IF($J1939=0,"",INDEX(ROTACAO_RDM!$G$6:$G$71,$J1939))</f>
        <v>PVH-2343</v>
      </c>
      <c r="M1939" s="17" t="n">
        <f aca="false">IF($J1939=0,"",INDEX(ROTACAO_RDM!$I$6:$I$71,$J1939))</f>
        <v>46371</v>
      </c>
      <c r="N1939" s="16" t="n">
        <f aca="false">IF($J1939=0,0,MAX(0,$C1939+INT(DIAS_POR_SEMANA/2)-INDEX(ROTACAO_RDM!$I$6:$I$71,$J1939)))</f>
        <v>30</v>
      </c>
      <c r="O1939" s="19" t="n">
        <f aca="false">IF($J1939=0,0,MIN(1,$N1939/MAX(1,INDEX(ROTACAO_RDM!$K$6:$K$71,$J1939))))</f>
        <v>0.1875</v>
      </c>
      <c r="P1939" s="16" t="n">
        <f aca="false">IF($J1939=0,0,IFERROR(MATCH(INDEX(ROTACAO_RDM!$N$6:$N$71,$J1939),PARAMETROS_CULTURAS!$B$6:$B$28,0),0))</f>
        <v>9</v>
      </c>
      <c r="Q1939" s="8" t="str">
        <f aca="false">IF($P1939=0,"-",IF($O1939&lt;=INDEX(PARAMETROS_CULTURAS!$F$6:$F$28,$P1939),"INICIAL",IF($O1939&lt;=INDEX(PARAMETROS_CULTURAS!$F$6:$F$28,$P1939)+INDEX(PARAMETROS_CULTURAS!$G$6:$G$28,$P1939),"DESENVOLVIMENTO",IF($O1939&lt;=INDEX(PARAMETROS_CULTURAS!$F$6:$F$28,$P1939)+INDEX(PARAMETROS_CULTURAS!$G$6:$G$28,$P1939)+INDEX(PARAMETROS_CULTURAS!$H$6:$H$28,$P1939),"MEDIA","FINAL"))))</f>
        <v>DESENVOLVIMENTO</v>
      </c>
      <c r="R1939" s="24" t="n">
        <f aca="false">IF($P1939=0,0,IF($O1939&lt;=INDEX(PARAMETROS_CULTURAS!$F$6:$F$28,$P1939),INDEX(PARAMETROS_CULTURAS!$K$6:$K$28,$P1939),IF($O1939&lt;=INDEX(PARAMETROS_CULTURAS!$F$6:$F$28,$P1939)+INDEX(PARAMETROS_CULTURAS!$G$6:$G$28,$P1939),INDEX(PARAMETROS_CULTURAS!$K$6:$K$28,$P1939)+(INDEX(PARAMETROS_CULTURAS!$L$6:$L$28,$P1939)-INDEX(PARAMETROS_CULTURAS!$K$6:$K$28,$P1939))*($O1939-INDEX(PARAMETROS_CULTURAS!$F$6:$F$28,$P1939))/MAX(INDEX(PARAMETROS_CULTURAS!$G$6:$G$28,$P1939),0.0001),IF($O1939&lt;=INDEX(PARAMETROS_CULTURAS!$F$6:$F$28,$P1939)+INDEX(PARAMETROS_CULTURAS!$G$6:$G$28,$P1939)+INDEX(PARAMETROS_CULTURAS!$H$6:$H$28,$P1939),INDEX(PARAMETROS_CULTURAS!$L$6:$L$28,$P1939),INDEX(PARAMETROS_CULTURAS!$L$6:$L$28,$P1939)+(INDEX(PARAMETROS_CULTURAS!$M$6:$M$28,$P1939)-INDEX(PARAMETROS_CULTURAS!$L$6:$L$28,$P1939))*($O1939-INDEX(PARAMETROS_CULTURAS!$F$6:$F$28,$P1939)-INDEX(PARAMETROS_CULTURAS!$G$6:$G$28,$P1939)-INDEX(PARAMETROS_CULTURAS!$H$6:$H$28,$P1939))/MAX(INDEX(PARAMETROS_CULTURAS!$I$6:$I$28,$P1939),0.0001)))))</f>
        <v>0.370833333333333</v>
      </c>
      <c r="S1939" s="18" t="n">
        <f aca="false">IFERROR(INDEX(SEMANAS!$H$6:$H$71,MATCH($B1939,SEMANAS!$B$6:$B$71,0)),0)</f>
        <v>33.6</v>
      </c>
      <c r="T1939" s="18" t="n">
        <f aca="false">$R1939*$S1939</f>
        <v>12.46</v>
      </c>
      <c r="U1939" s="18" t="n">
        <f aca="false">IFERROR(INDEX(SEMANAS!$I$6:$I$71,MATCH($B1939,SEMANAS!$B$6:$B$71,0)),0)</f>
        <v>45.15</v>
      </c>
      <c r="V1939" s="18" t="n">
        <f aca="false">IFERROR(INDEX(SEMANAS!$J$6:$J$71,MATCH($B1939,SEMANAS!$B$6:$B$71,0)),0)</f>
        <v>36.12</v>
      </c>
      <c r="W1939" s="18" t="n">
        <f aca="false">MAX(0,$T1939-$V1939)</f>
        <v>0</v>
      </c>
      <c r="X1939" s="19" t="n">
        <f aca="false">IFERROR(INDEX(CADASTRO_PIVOS!$K$6:$K$41,MATCH($E1939,CADASTRO_PIVOS!$B$6:$B$41,0)),EFICIENCIA_PADRAO)</f>
        <v>0.85</v>
      </c>
      <c r="Y1939" s="18" t="n">
        <f aca="false">IF($X1939&lt;=0,0,$W1939/$X1939)</f>
        <v>0</v>
      </c>
      <c r="Z1939" s="16" t="n">
        <f aca="false">$Y1939*$H1939*MM_PARA_M3_HA</f>
        <v>0</v>
      </c>
      <c r="AA1939" s="18" t="n">
        <f aca="false">IFERROR(INDEX(CADASTRO_PIVOS!$I$6:$I$41,MATCH($E1939,CADASTRO_PIVOS!$B$6:$B$41,0)),0)</f>
        <v>932.933333333333</v>
      </c>
      <c r="AB1939" s="18" t="n">
        <f aca="false">IF($Z1939&lt;=0,0,$Z1939/$AA1939)</f>
        <v>0</v>
      </c>
      <c r="AC1939" s="16" t="n">
        <f aca="false">IFERROR(INDEX(SEMANAS!$K$6:$K$71,MATCH($B1939,SEMANAS!$B$6:$B$71,0)),0)</f>
        <v>147</v>
      </c>
      <c r="AD1939" s="19" t="n">
        <f aca="false">IF($AC1939&lt;=0,0,$AB1939/$AC1939)</f>
        <v>0</v>
      </c>
      <c r="AE1939" s="8" t="str">
        <f aca="false">IF($K1939="SEM CULTURA","SEM CULTURA",IF($AA1939&lt;=0,"DADO PENDENTE",IF($AD1939&gt;LIMITE_CRITICO,"INVIAVEL",IF($AD1939&gt;LIMITE_ATENCAO,"CRITICO",IF($AD1939&gt;LIMITE_CONFORTAVEL,"ATENCAO","OK")))))</f>
        <v>OK</v>
      </c>
      <c r="AF1939" s="8" t="str">
        <f aca="false">$B1939&amp;"|"&amp;TEXT($AD1939,"0.000000")</f>
        <v>20|0.000000</v>
      </c>
      <c r="AG1939" s="18" t="n">
        <f aca="false">IF($K1939="SEM CULTURA",0,$T1939*$H1939)</f>
        <v>1743.6524</v>
      </c>
      <c r="AH1939" s="18" t="n">
        <f aca="false">IF($K1939="SEM CULTURA",0,$V1939*$H1939)</f>
        <v>5054.6328</v>
      </c>
      <c r="AI1939" s="18" t="n">
        <f aca="false">IF($K1939="SEM CULTURA",0,$W1939*$H1939)</f>
        <v>0</v>
      </c>
      <c r="AJ1939" s="18" t="n">
        <f aca="false">IF($K1939="SEM CULTURA",0,$S1939*$H1939)</f>
        <v>4701.984</v>
      </c>
      <c r="AK1939" s="8" t="str">
        <f aca="false">$E1939&amp;"|"&amp;TEXT($AD1939,"0.000000")</f>
        <v>PV 126|0.000000</v>
      </c>
    </row>
    <row r="1940" customFormat="false" ht="15" hidden="false" customHeight="false" outlineLevel="0" collapsed="false">
      <c r="B1940" s="16" t="n">
        <v>21</v>
      </c>
      <c r="C1940" s="17" t="n">
        <f aca="false">DATA_INICIO_SAFRA+($B1940-1)*DIAS_POR_SEMANA</f>
        <v>46405</v>
      </c>
      <c r="D1940" s="17" t="n">
        <f aca="false">$C1940+DIAS_POR_SEMANA-1</f>
        <v>46411</v>
      </c>
      <c r="E1940" s="15" t="s">
        <v>288</v>
      </c>
      <c r="F1940" s="8" t="str">
        <f aca="false">IFERROR(INDEX(CADASTRO_PIVOS!$C$6:$C$41,MATCH($E1940,CADASTRO_PIVOS!$B$6:$B$41,0)),"?")</f>
        <v>RM07</v>
      </c>
      <c r="G1940" s="8" t="str">
        <f aca="false">IFERROR(INDEX(CADASTRO_PIVOS!$D$6:$D$41,MATCH($E1940,CADASTRO_PIVOS!$B$6:$B$41,0)),"?")</f>
        <v>TR07</v>
      </c>
      <c r="H1940" s="20" t="n">
        <f aca="false">IFERROR(INDEX(CADASTRO_PIVOS!$E$6:$E$41,MATCH($E1940,CADASTRO_PIVOS!$B$6:$B$41,0)),0)</f>
        <v>139.94</v>
      </c>
      <c r="I1940" s="16" t="n">
        <f aca="false">IFERROR(SUMIFS(ROTACAO_RDM!$B$6:$B$71,ROTACAO_RDM!$D$6:$D$71,$E1940,ROTACAO_RDM!$I$6:$I$71,"&lt;="&amp;$C1940+INT(DIAS_POR_SEMANA/2),ROTACAO_RDM!$J$6:$J$71,"&gt;="&amp;$C1940+INT(DIAS_POR_SEMANA/2)),0)</f>
        <v>49</v>
      </c>
      <c r="J1940" s="16" t="n">
        <f aca="false">IFERROR(MATCH($I1940,ROTACAO_RDM!$B$6:$B$71,0),0)</f>
        <v>49</v>
      </c>
      <c r="K1940" s="8" t="str">
        <f aca="false">IF($J1940=0,"SEM CULTURA",INDEX(ROTACAO_RDM!$F$6:$F$71,$J1940))</f>
        <v>TABACO</v>
      </c>
      <c r="L1940" s="8" t="str">
        <f aca="false">IF($J1940=0,"",INDEX(ROTACAO_RDM!$G$6:$G$71,$J1940))</f>
        <v>PVH-2343</v>
      </c>
      <c r="M1940" s="17" t="n">
        <f aca="false">IF($J1940=0,"",INDEX(ROTACAO_RDM!$I$6:$I$71,$J1940))</f>
        <v>46371</v>
      </c>
      <c r="N1940" s="16" t="n">
        <f aca="false">IF($J1940=0,0,MAX(0,$C1940+INT(DIAS_POR_SEMANA/2)-INDEX(ROTACAO_RDM!$I$6:$I$71,$J1940)))</f>
        <v>37</v>
      </c>
      <c r="O1940" s="19" t="n">
        <f aca="false">IF($J1940=0,0,MIN(1,$N1940/MAX(1,INDEX(ROTACAO_RDM!$K$6:$K$71,$J1940))))</f>
        <v>0.23125</v>
      </c>
      <c r="P1940" s="16" t="n">
        <f aca="false">IF($J1940=0,0,IFERROR(MATCH(INDEX(ROTACAO_RDM!$N$6:$N$71,$J1940),PARAMETROS_CULTURAS!$B$6:$B$28,0),0))</f>
        <v>9</v>
      </c>
      <c r="Q1940" s="8" t="str">
        <f aca="false">IF($P1940=0,"-",IF($O1940&lt;=INDEX(PARAMETROS_CULTURAS!$F$6:$F$28,$P1940),"INICIAL",IF($O1940&lt;=INDEX(PARAMETROS_CULTURAS!$F$6:$F$28,$P1940)+INDEX(PARAMETROS_CULTURAS!$G$6:$G$28,$P1940),"DESENVOLVIMENTO",IF($O1940&lt;=INDEX(PARAMETROS_CULTURAS!$F$6:$F$28,$P1940)+INDEX(PARAMETROS_CULTURAS!$G$6:$G$28,$P1940)+INDEX(PARAMETROS_CULTURAS!$H$6:$H$28,$P1940),"MEDIA","FINAL"))))</f>
        <v>DESENVOLVIMENTO</v>
      </c>
      <c r="R1940" s="24" t="n">
        <f aca="false">IF($P1940=0,0,IF($O1940&lt;=INDEX(PARAMETROS_CULTURAS!$F$6:$F$28,$P1940),INDEX(PARAMETROS_CULTURAS!$K$6:$K$28,$P1940),IF($O1940&lt;=INDEX(PARAMETROS_CULTURAS!$F$6:$F$28,$P1940)+INDEX(PARAMETROS_CULTURAS!$G$6:$G$28,$P1940),INDEX(PARAMETROS_CULTURAS!$K$6:$K$28,$P1940)+(INDEX(PARAMETROS_CULTURAS!$L$6:$L$28,$P1940)-INDEX(PARAMETROS_CULTURAS!$K$6:$K$28,$P1940))*($O1940-INDEX(PARAMETROS_CULTURAS!$F$6:$F$28,$P1940))/MAX(INDEX(PARAMETROS_CULTURAS!$G$6:$G$28,$P1940),0.0001),IF($O1940&lt;=INDEX(PARAMETROS_CULTURAS!$F$6:$F$28,$P1940)+INDEX(PARAMETROS_CULTURAS!$G$6:$G$28,$P1940)+INDEX(PARAMETROS_CULTURAS!$H$6:$H$28,$P1940),INDEX(PARAMETROS_CULTURAS!$L$6:$L$28,$P1940),INDEX(PARAMETROS_CULTURAS!$L$6:$L$28,$P1940)+(INDEX(PARAMETROS_CULTURAS!$M$6:$M$28,$P1940)-INDEX(PARAMETROS_CULTURAS!$L$6:$L$28,$P1940))*($O1940-INDEX(PARAMETROS_CULTURAS!$F$6:$F$28,$P1940)-INDEX(PARAMETROS_CULTURAS!$G$6:$G$28,$P1940)-INDEX(PARAMETROS_CULTURAS!$H$6:$H$28,$P1940))/MAX(INDEX(PARAMETROS_CULTURAS!$I$6:$I$28,$P1940),0.0001)))))</f>
        <v>0.492361111111111</v>
      </c>
      <c r="S1940" s="18" t="n">
        <f aca="false">IFERROR(INDEX(SEMANAS!$H$6:$H$71,MATCH($B1940,SEMANAS!$B$6:$B$71,0)),0)</f>
        <v>33.6</v>
      </c>
      <c r="T1940" s="18" t="n">
        <f aca="false">$R1940*$S1940</f>
        <v>16.5433333333333</v>
      </c>
      <c r="U1940" s="18" t="n">
        <f aca="false">IFERROR(INDEX(SEMANAS!$I$6:$I$71,MATCH($B1940,SEMANAS!$B$6:$B$71,0)),0)</f>
        <v>45.15</v>
      </c>
      <c r="V1940" s="18" t="n">
        <f aca="false">IFERROR(INDEX(SEMANAS!$J$6:$J$71,MATCH($B1940,SEMANAS!$B$6:$B$71,0)),0)</f>
        <v>36.12</v>
      </c>
      <c r="W1940" s="18" t="n">
        <f aca="false">MAX(0,$T1940-$V1940)</f>
        <v>0</v>
      </c>
      <c r="X1940" s="19" t="n">
        <f aca="false">IFERROR(INDEX(CADASTRO_PIVOS!$K$6:$K$41,MATCH($E1940,CADASTRO_PIVOS!$B$6:$B$41,0)),EFICIENCIA_PADRAO)</f>
        <v>0.85</v>
      </c>
      <c r="Y1940" s="18" t="n">
        <f aca="false">IF($X1940&lt;=0,0,$W1940/$X1940)</f>
        <v>0</v>
      </c>
      <c r="Z1940" s="16" t="n">
        <f aca="false">$Y1940*$H1940*MM_PARA_M3_HA</f>
        <v>0</v>
      </c>
      <c r="AA1940" s="18" t="n">
        <f aca="false">IFERROR(INDEX(CADASTRO_PIVOS!$I$6:$I$41,MATCH($E1940,CADASTRO_PIVOS!$B$6:$B$41,0)),0)</f>
        <v>932.933333333333</v>
      </c>
      <c r="AB1940" s="18" t="n">
        <f aca="false">IF($Z1940&lt;=0,0,$Z1940/$AA1940)</f>
        <v>0</v>
      </c>
      <c r="AC1940" s="16" t="n">
        <f aca="false">IFERROR(INDEX(SEMANAS!$K$6:$K$71,MATCH($B1940,SEMANAS!$B$6:$B$71,0)),0)</f>
        <v>147</v>
      </c>
      <c r="AD1940" s="19" t="n">
        <f aca="false">IF($AC1940&lt;=0,0,$AB1940/$AC1940)</f>
        <v>0</v>
      </c>
      <c r="AE1940" s="8" t="str">
        <f aca="false">IF($K1940="SEM CULTURA","SEM CULTURA",IF($AA1940&lt;=0,"DADO PENDENTE",IF($AD1940&gt;LIMITE_CRITICO,"INVIAVEL",IF($AD1940&gt;LIMITE_ATENCAO,"CRITICO",IF($AD1940&gt;LIMITE_CONFORTAVEL,"ATENCAO","OK")))))</f>
        <v>OK</v>
      </c>
      <c r="AF1940" s="8" t="str">
        <f aca="false">$B1940&amp;"|"&amp;TEXT($AD1940,"0.000000")</f>
        <v>21|0.000000</v>
      </c>
      <c r="AG1940" s="18" t="n">
        <f aca="false">IF($K1940="SEM CULTURA",0,$T1940*$H1940)</f>
        <v>2315.07406666667</v>
      </c>
      <c r="AH1940" s="18" t="n">
        <f aca="false">IF($K1940="SEM CULTURA",0,$V1940*$H1940)</f>
        <v>5054.6328</v>
      </c>
      <c r="AI1940" s="18" t="n">
        <f aca="false">IF($K1940="SEM CULTURA",0,$W1940*$H1940)</f>
        <v>0</v>
      </c>
      <c r="AJ1940" s="18" t="n">
        <f aca="false">IF($K1940="SEM CULTURA",0,$S1940*$H1940)</f>
        <v>4701.984</v>
      </c>
      <c r="AK1940" s="8" t="str">
        <f aca="false">$E1940&amp;"|"&amp;TEXT($AD1940,"0.000000")</f>
        <v>PV 126|0.000000</v>
      </c>
    </row>
    <row r="1941" customFormat="false" ht="15" hidden="false" customHeight="false" outlineLevel="0" collapsed="false">
      <c r="B1941" s="16" t="n">
        <v>22</v>
      </c>
      <c r="C1941" s="17" t="n">
        <f aca="false">DATA_INICIO_SAFRA+($B1941-1)*DIAS_POR_SEMANA</f>
        <v>46412</v>
      </c>
      <c r="D1941" s="17" t="n">
        <f aca="false">$C1941+DIAS_POR_SEMANA-1</f>
        <v>46418</v>
      </c>
      <c r="E1941" s="15" t="s">
        <v>288</v>
      </c>
      <c r="F1941" s="8" t="str">
        <f aca="false">IFERROR(INDEX(CADASTRO_PIVOS!$C$6:$C$41,MATCH($E1941,CADASTRO_PIVOS!$B$6:$B$41,0)),"?")</f>
        <v>RM07</v>
      </c>
      <c r="G1941" s="8" t="str">
        <f aca="false">IFERROR(INDEX(CADASTRO_PIVOS!$D$6:$D$41,MATCH($E1941,CADASTRO_PIVOS!$B$6:$B$41,0)),"?")</f>
        <v>TR07</v>
      </c>
      <c r="H1941" s="20" t="n">
        <f aca="false">IFERROR(INDEX(CADASTRO_PIVOS!$E$6:$E$41,MATCH($E1941,CADASTRO_PIVOS!$B$6:$B$41,0)),0)</f>
        <v>139.94</v>
      </c>
      <c r="I1941" s="16" t="n">
        <f aca="false">IFERROR(SUMIFS(ROTACAO_RDM!$B$6:$B$71,ROTACAO_RDM!$D$6:$D$71,$E1941,ROTACAO_RDM!$I$6:$I$71,"&lt;="&amp;$C1941+INT(DIAS_POR_SEMANA/2),ROTACAO_RDM!$J$6:$J$71,"&gt;="&amp;$C1941+INT(DIAS_POR_SEMANA/2)),0)</f>
        <v>49</v>
      </c>
      <c r="J1941" s="16" t="n">
        <f aca="false">IFERROR(MATCH($I1941,ROTACAO_RDM!$B$6:$B$71,0),0)</f>
        <v>49</v>
      </c>
      <c r="K1941" s="8" t="str">
        <f aca="false">IF($J1941=0,"SEM CULTURA",INDEX(ROTACAO_RDM!$F$6:$F$71,$J1941))</f>
        <v>TABACO</v>
      </c>
      <c r="L1941" s="8" t="str">
        <f aca="false">IF($J1941=0,"",INDEX(ROTACAO_RDM!$G$6:$G$71,$J1941))</f>
        <v>PVH-2343</v>
      </c>
      <c r="M1941" s="17" t="n">
        <f aca="false">IF($J1941=0,"",INDEX(ROTACAO_RDM!$I$6:$I$71,$J1941))</f>
        <v>46371</v>
      </c>
      <c r="N1941" s="16" t="n">
        <f aca="false">IF($J1941=0,0,MAX(0,$C1941+INT(DIAS_POR_SEMANA/2)-INDEX(ROTACAO_RDM!$I$6:$I$71,$J1941)))</f>
        <v>44</v>
      </c>
      <c r="O1941" s="19" t="n">
        <f aca="false">IF($J1941=0,0,MIN(1,$N1941/MAX(1,INDEX(ROTACAO_RDM!$K$6:$K$71,$J1941))))</f>
        <v>0.275</v>
      </c>
      <c r="P1941" s="16" t="n">
        <f aca="false">IF($J1941=0,0,IFERROR(MATCH(INDEX(ROTACAO_RDM!$N$6:$N$71,$J1941),PARAMETROS_CULTURAS!$B$6:$B$28,0),0))</f>
        <v>9</v>
      </c>
      <c r="Q1941" s="8" t="str">
        <f aca="false">IF($P1941=0,"-",IF($O1941&lt;=INDEX(PARAMETROS_CULTURAS!$F$6:$F$28,$P1941),"INICIAL",IF($O1941&lt;=INDEX(PARAMETROS_CULTURAS!$F$6:$F$28,$P1941)+INDEX(PARAMETROS_CULTURAS!$G$6:$G$28,$P1941),"DESENVOLVIMENTO",IF($O1941&lt;=INDEX(PARAMETROS_CULTURAS!$F$6:$F$28,$P1941)+INDEX(PARAMETROS_CULTURAS!$G$6:$G$28,$P1941)+INDEX(PARAMETROS_CULTURAS!$H$6:$H$28,$P1941),"MEDIA","FINAL"))))</f>
        <v>DESENVOLVIMENTO</v>
      </c>
      <c r="R1941" s="24" t="n">
        <f aca="false">IF($P1941=0,0,IF($O1941&lt;=INDEX(PARAMETROS_CULTURAS!$F$6:$F$28,$P1941),INDEX(PARAMETROS_CULTURAS!$K$6:$K$28,$P1941),IF($O1941&lt;=INDEX(PARAMETROS_CULTURAS!$F$6:$F$28,$P1941)+INDEX(PARAMETROS_CULTURAS!$G$6:$G$28,$P1941),INDEX(PARAMETROS_CULTURAS!$K$6:$K$28,$P1941)+(INDEX(PARAMETROS_CULTURAS!$L$6:$L$28,$P1941)-INDEX(PARAMETROS_CULTURAS!$K$6:$K$28,$P1941))*($O1941-INDEX(PARAMETROS_CULTURAS!$F$6:$F$28,$P1941))/MAX(INDEX(PARAMETROS_CULTURAS!$G$6:$G$28,$P1941),0.0001),IF($O1941&lt;=INDEX(PARAMETROS_CULTURAS!$F$6:$F$28,$P1941)+INDEX(PARAMETROS_CULTURAS!$G$6:$G$28,$P1941)+INDEX(PARAMETROS_CULTURAS!$H$6:$H$28,$P1941),INDEX(PARAMETROS_CULTURAS!$L$6:$L$28,$P1941),INDEX(PARAMETROS_CULTURAS!$L$6:$L$28,$P1941)+(INDEX(PARAMETROS_CULTURAS!$M$6:$M$28,$P1941)-INDEX(PARAMETROS_CULTURAS!$L$6:$L$28,$P1941))*($O1941-INDEX(PARAMETROS_CULTURAS!$F$6:$F$28,$P1941)-INDEX(PARAMETROS_CULTURAS!$G$6:$G$28,$P1941)-INDEX(PARAMETROS_CULTURAS!$H$6:$H$28,$P1941))/MAX(INDEX(PARAMETROS_CULTURAS!$I$6:$I$28,$P1941),0.0001)))))</f>
        <v>0.613888888888889</v>
      </c>
      <c r="S1941" s="18" t="n">
        <f aca="false">IFERROR(INDEX(SEMANAS!$H$6:$H$71,MATCH($B1941,SEMANAS!$B$6:$B$71,0)),0)</f>
        <v>33.6</v>
      </c>
      <c r="T1941" s="18" t="n">
        <f aca="false">$R1941*$S1941</f>
        <v>20.6266666666667</v>
      </c>
      <c r="U1941" s="18" t="n">
        <f aca="false">IFERROR(INDEX(SEMANAS!$I$6:$I$71,MATCH($B1941,SEMANAS!$B$6:$B$71,0)),0)</f>
        <v>45.15</v>
      </c>
      <c r="V1941" s="18" t="n">
        <f aca="false">IFERROR(INDEX(SEMANAS!$J$6:$J$71,MATCH($B1941,SEMANAS!$B$6:$B$71,0)),0)</f>
        <v>36.12</v>
      </c>
      <c r="W1941" s="18" t="n">
        <f aca="false">MAX(0,$T1941-$V1941)</f>
        <v>0</v>
      </c>
      <c r="X1941" s="19" t="n">
        <f aca="false">IFERROR(INDEX(CADASTRO_PIVOS!$K$6:$K$41,MATCH($E1941,CADASTRO_PIVOS!$B$6:$B$41,0)),EFICIENCIA_PADRAO)</f>
        <v>0.85</v>
      </c>
      <c r="Y1941" s="18" t="n">
        <f aca="false">IF($X1941&lt;=0,0,$W1941/$X1941)</f>
        <v>0</v>
      </c>
      <c r="Z1941" s="16" t="n">
        <f aca="false">$Y1941*$H1941*MM_PARA_M3_HA</f>
        <v>0</v>
      </c>
      <c r="AA1941" s="18" t="n">
        <f aca="false">IFERROR(INDEX(CADASTRO_PIVOS!$I$6:$I$41,MATCH($E1941,CADASTRO_PIVOS!$B$6:$B$41,0)),0)</f>
        <v>932.933333333333</v>
      </c>
      <c r="AB1941" s="18" t="n">
        <f aca="false">IF($Z1941&lt;=0,0,$Z1941/$AA1941)</f>
        <v>0</v>
      </c>
      <c r="AC1941" s="16" t="n">
        <f aca="false">IFERROR(INDEX(SEMANAS!$K$6:$K$71,MATCH($B1941,SEMANAS!$B$6:$B$71,0)),0)</f>
        <v>147</v>
      </c>
      <c r="AD1941" s="19" t="n">
        <f aca="false">IF($AC1941&lt;=0,0,$AB1941/$AC1941)</f>
        <v>0</v>
      </c>
      <c r="AE1941" s="8" t="str">
        <f aca="false">IF($K1941="SEM CULTURA","SEM CULTURA",IF($AA1941&lt;=0,"DADO PENDENTE",IF($AD1941&gt;LIMITE_CRITICO,"INVIAVEL",IF($AD1941&gt;LIMITE_ATENCAO,"CRITICO",IF($AD1941&gt;LIMITE_CONFORTAVEL,"ATENCAO","OK")))))</f>
        <v>OK</v>
      </c>
      <c r="AF1941" s="8" t="str">
        <f aca="false">$B1941&amp;"|"&amp;TEXT($AD1941,"0.000000")</f>
        <v>22|0.000000</v>
      </c>
      <c r="AG1941" s="18" t="n">
        <f aca="false">IF($K1941="SEM CULTURA",0,$T1941*$H1941)</f>
        <v>2886.49573333333</v>
      </c>
      <c r="AH1941" s="18" t="n">
        <f aca="false">IF($K1941="SEM CULTURA",0,$V1941*$H1941)</f>
        <v>5054.6328</v>
      </c>
      <c r="AI1941" s="18" t="n">
        <f aca="false">IF($K1941="SEM CULTURA",0,$W1941*$H1941)</f>
        <v>0</v>
      </c>
      <c r="AJ1941" s="18" t="n">
        <f aca="false">IF($K1941="SEM CULTURA",0,$S1941*$H1941)</f>
        <v>4701.984</v>
      </c>
      <c r="AK1941" s="8" t="str">
        <f aca="false">$E1941&amp;"|"&amp;TEXT($AD1941,"0.000000")</f>
        <v>PV 126|0.000000</v>
      </c>
    </row>
    <row r="1942" customFormat="false" ht="15" hidden="false" customHeight="false" outlineLevel="0" collapsed="false">
      <c r="B1942" s="16" t="n">
        <v>23</v>
      </c>
      <c r="C1942" s="17" t="n">
        <f aca="false">DATA_INICIO_SAFRA+($B1942-1)*DIAS_POR_SEMANA</f>
        <v>46419</v>
      </c>
      <c r="D1942" s="17" t="n">
        <f aca="false">$C1942+DIAS_POR_SEMANA-1</f>
        <v>46425</v>
      </c>
      <c r="E1942" s="15" t="s">
        <v>288</v>
      </c>
      <c r="F1942" s="8" t="str">
        <f aca="false">IFERROR(INDEX(CADASTRO_PIVOS!$C$6:$C$41,MATCH($E1942,CADASTRO_PIVOS!$B$6:$B$41,0)),"?")</f>
        <v>RM07</v>
      </c>
      <c r="G1942" s="8" t="str">
        <f aca="false">IFERROR(INDEX(CADASTRO_PIVOS!$D$6:$D$41,MATCH($E1942,CADASTRO_PIVOS!$B$6:$B$41,0)),"?")</f>
        <v>TR07</v>
      </c>
      <c r="H1942" s="20" t="n">
        <f aca="false">IFERROR(INDEX(CADASTRO_PIVOS!$E$6:$E$41,MATCH($E1942,CADASTRO_PIVOS!$B$6:$B$41,0)),0)</f>
        <v>139.94</v>
      </c>
      <c r="I1942" s="16" t="n">
        <f aca="false">IFERROR(SUMIFS(ROTACAO_RDM!$B$6:$B$71,ROTACAO_RDM!$D$6:$D$71,$E1942,ROTACAO_RDM!$I$6:$I$71,"&lt;="&amp;$C1942+INT(DIAS_POR_SEMANA/2),ROTACAO_RDM!$J$6:$J$71,"&gt;="&amp;$C1942+INT(DIAS_POR_SEMANA/2)),0)</f>
        <v>49</v>
      </c>
      <c r="J1942" s="16" t="n">
        <f aca="false">IFERROR(MATCH($I1942,ROTACAO_RDM!$B$6:$B$71,0),0)</f>
        <v>49</v>
      </c>
      <c r="K1942" s="8" t="str">
        <f aca="false">IF($J1942=0,"SEM CULTURA",INDEX(ROTACAO_RDM!$F$6:$F$71,$J1942))</f>
        <v>TABACO</v>
      </c>
      <c r="L1942" s="8" t="str">
        <f aca="false">IF($J1942=0,"",INDEX(ROTACAO_RDM!$G$6:$G$71,$J1942))</f>
        <v>PVH-2343</v>
      </c>
      <c r="M1942" s="17" t="n">
        <f aca="false">IF($J1942=0,"",INDEX(ROTACAO_RDM!$I$6:$I$71,$J1942))</f>
        <v>46371</v>
      </c>
      <c r="N1942" s="16" t="n">
        <f aca="false">IF($J1942=0,0,MAX(0,$C1942+INT(DIAS_POR_SEMANA/2)-INDEX(ROTACAO_RDM!$I$6:$I$71,$J1942)))</f>
        <v>51</v>
      </c>
      <c r="O1942" s="19" t="n">
        <f aca="false">IF($J1942=0,0,MIN(1,$N1942/MAX(1,INDEX(ROTACAO_RDM!$K$6:$K$71,$J1942))))</f>
        <v>0.31875</v>
      </c>
      <c r="P1942" s="16" t="n">
        <f aca="false">IF($J1942=0,0,IFERROR(MATCH(INDEX(ROTACAO_RDM!$N$6:$N$71,$J1942),PARAMETROS_CULTURAS!$B$6:$B$28,0),0))</f>
        <v>9</v>
      </c>
      <c r="Q1942" s="8" t="str">
        <f aca="false">IF($P1942=0,"-",IF($O1942&lt;=INDEX(PARAMETROS_CULTURAS!$F$6:$F$28,$P1942),"INICIAL",IF($O1942&lt;=INDEX(PARAMETROS_CULTURAS!$F$6:$F$28,$P1942)+INDEX(PARAMETROS_CULTURAS!$G$6:$G$28,$P1942),"DESENVOLVIMENTO",IF($O1942&lt;=INDEX(PARAMETROS_CULTURAS!$F$6:$F$28,$P1942)+INDEX(PARAMETROS_CULTURAS!$G$6:$G$28,$P1942)+INDEX(PARAMETROS_CULTURAS!$H$6:$H$28,$P1942),"MEDIA","FINAL"))))</f>
        <v>DESENVOLVIMENTO</v>
      </c>
      <c r="R1942" s="24" t="n">
        <f aca="false">IF($P1942=0,0,IF($O1942&lt;=INDEX(PARAMETROS_CULTURAS!$F$6:$F$28,$P1942),INDEX(PARAMETROS_CULTURAS!$K$6:$K$28,$P1942),IF($O1942&lt;=INDEX(PARAMETROS_CULTURAS!$F$6:$F$28,$P1942)+INDEX(PARAMETROS_CULTURAS!$G$6:$G$28,$P1942),INDEX(PARAMETROS_CULTURAS!$K$6:$K$28,$P1942)+(INDEX(PARAMETROS_CULTURAS!$L$6:$L$28,$P1942)-INDEX(PARAMETROS_CULTURAS!$K$6:$K$28,$P1942))*($O1942-INDEX(PARAMETROS_CULTURAS!$F$6:$F$28,$P1942))/MAX(INDEX(PARAMETROS_CULTURAS!$G$6:$G$28,$P1942),0.0001),IF($O1942&lt;=INDEX(PARAMETROS_CULTURAS!$F$6:$F$28,$P1942)+INDEX(PARAMETROS_CULTURAS!$G$6:$G$28,$P1942)+INDEX(PARAMETROS_CULTURAS!$H$6:$H$28,$P1942),INDEX(PARAMETROS_CULTURAS!$L$6:$L$28,$P1942),INDEX(PARAMETROS_CULTURAS!$L$6:$L$28,$P1942)+(INDEX(PARAMETROS_CULTURAS!$M$6:$M$28,$P1942)-INDEX(PARAMETROS_CULTURAS!$L$6:$L$28,$P1942))*($O1942-INDEX(PARAMETROS_CULTURAS!$F$6:$F$28,$P1942)-INDEX(PARAMETROS_CULTURAS!$G$6:$G$28,$P1942)-INDEX(PARAMETROS_CULTURAS!$H$6:$H$28,$P1942))/MAX(INDEX(PARAMETROS_CULTURAS!$I$6:$I$28,$P1942),0.0001)))))</f>
        <v>0.735416666666667</v>
      </c>
      <c r="S1942" s="18" t="n">
        <f aca="false">IFERROR(INDEX(SEMANAS!$H$6:$H$71,MATCH($B1942,SEMANAS!$B$6:$B$71,0)),0)</f>
        <v>32.9</v>
      </c>
      <c r="T1942" s="18" t="n">
        <f aca="false">$R1942*$S1942</f>
        <v>24.1952083333333</v>
      </c>
      <c r="U1942" s="18" t="n">
        <f aca="false">IFERROR(INDEX(SEMANAS!$I$6:$I$71,MATCH($B1942,SEMANAS!$B$6:$B$71,0)),0)</f>
        <v>39.97</v>
      </c>
      <c r="V1942" s="18" t="n">
        <f aca="false">IFERROR(INDEX(SEMANAS!$J$6:$J$71,MATCH($B1942,SEMANAS!$B$6:$B$71,0)),0)</f>
        <v>31.976</v>
      </c>
      <c r="W1942" s="18" t="n">
        <f aca="false">MAX(0,$T1942-$V1942)</f>
        <v>0</v>
      </c>
      <c r="X1942" s="19" t="n">
        <f aca="false">IFERROR(INDEX(CADASTRO_PIVOS!$K$6:$K$41,MATCH($E1942,CADASTRO_PIVOS!$B$6:$B$41,0)),EFICIENCIA_PADRAO)</f>
        <v>0.85</v>
      </c>
      <c r="Y1942" s="18" t="n">
        <f aca="false">IF($X1942&lt;=0,0,$W1942/$X1942)</f>
        <v>0</v>
      </c>
      <c r="Z1942" s="16" t="n">
        <f aca="false">$Y1942*$H1942*MM_PARA_M3_HA</f>
        <v>0</v>
      </c>
      <c r="AA1942" s="18" t="n">
        <f aca="false">IFERROR(INDEX(CADASTRO_PIVOS!$I$6:$I$41,MATCH($E1942,CADASTRO_PIVOS!$B$6:$B$41,0)),0)</f>
        <v>932.933333333333</v>
      </c>
      <c r="AB1942" s="18" t="n">
        <f aca="false">IF($Z1942&lt;=0,0,$Z1942/$AA1942)</f>
        <v>0</v>
      </c>
      <c r="AC1942" s="16" t="n">
        <f aca="false">IFERROR(INDEX(SEMANAS!$K$6:$K$71,MATCH($B1942,SEMANAS!$B$6:$B$71,0)),0)</f>
        <v>147</v>
      </c>
      <c r="AD1942" s="19" t="n">
        <f aca="false">IF($AC1942&lt;=0,0,$AB1942/$AC1942)</f>
        <v>0</v>
      </c>
      <c r="AE1942" s="8" t="str">
        <f aca="false">IF($K1942="SEM CULTURA","SEM CULTURA",IF($AA1942&lt;=0,"DADO PENDENTE",IF($AD1942&gt;LIMITE_CRITICO,"INVIAVEL",IF($AD1942&gt;LIMITE_ATENCAO,"CRITICO",IF($AD1942&gt;LIMITE_CONFORTAVEL,"ATENCAO","OK")))))</f>
        <v>OK</v>
      </c>
      <c r="AF1942" s="8" t="str">
        <f aca="false">$B1942&amp;"|"&amp;TEXT($AD1942,"0.000000")</f>
        <v>23|0.000000</v>
      </c>
      <c r="AG1942" s="18" t="n">
        <f aca="false">IF($K1942="SEM CULTURA",0,$T1942*$H1942)</f>
        <v>3385.87745416667</v>
      </c>
      <c r="AH1942" s="18" t="n">
        <f aca="false">IF($K1942="SEM CULTURA",0,$V1942*$H1942)</f>
        <v>4474.72144</v>
      </c>
      <c r="AI1942" s="18" t="n">
        <f aca="false">IF($K1942="SEM CULTURA",0,$W1942*$H1942)</f>
        <v>0</v>
      </c>
      <c r="AJ1942" s="18" t="n">
        <f aca="false">IF($K1942="SEM CULTURA",0,$S1942*$H1942)</f>
        <v>4604.026</v>
      </c>
      <c r="AK1942" s="8" t="str">
        <f aca="false">$E1942&amp;"|"&amp;TEXT($AD1942,"0.000000")</f>
        <v>PV 126|0.000000</v>
      </c>
    </row>
    <row r="1943" customFormat="false" ht="15" hidden="false" customHeight="false" outlineLevel="0" collapsed="false">
      <c r="B1943" s="16" t="n">
        <v>24</v>
      </c>
      <c r="C1943" s="17" t="n">
        <f aca="false">DATA_INICIO_SAFRA+($B1943-1)*DIAS_POR_SEMANA</f>
        <v>46426</v>
      </c>
      <c r="D1943" s="17" t="n">
        <f aca="false">$C1943+DIAS_POR_SEMANA-1</f>
        <v>46432</v>
      </c>
      <c r="E1943" s="15" t="s">
        <v>288</v>
      </c>
      <c r="F1943" s="8" t="str">
        <f aca="false">IFERROR(INDEX(CADASTRO_PIVOS!$C$6:$C$41,MATCH($E1943,CADASTRO_PIVOS!$B$6:$B$41,0)),"?")</f>
        <v>RM07</v>
      </c>
      <c r="G1943" s="8" t="str">
        <f aca="false">IFERROR(INDEX(CADASTRO_PIVOS!$D$6:$D$41,MATCH($E1943,CADASTRO_PIVOS!$B$6:$B$41,0)),"?")</f>
        <v>TR07</v>
      </c>
      <c r="H1943" s="20" t="n">
        <f aca="false">IFERROR(INDEX(CADASTRO_PIVOS!$E$6:$E$41,MATCH($E1943,CADASTRO_PIVOS!$B$6:$B$41,0)),0)</f>
        <v>139.94</v>
      </c>
      <c r="I1943" s="16" t="n">
        <f aca="false">IFERROR(SUMIFS(ROTACAO_RDM!$B$6:$B$71,ROTACAO_RDM!$D$6:$D$71,$E1943,ROTACAO_RDM!$I$6:$I$71,"&lt;="&amp;$C1943+INT(DIAS_POR_SEMANA/2),ROTACAO_RDM!$J$6:$J$71,"&gt;="&amp;$C1943+INT(DIAS_POR_SEMANA/2)),0)</f>
        <v>49</v>
      </c>
      <c r="J1943" s="16" t="n">
        <f aca="false">IFERROR(MATCH($I1943,ROTACAO_RDM!$B$6:$B$71,0),0)</f>
        <v>49</v>
      </c>
      <c r="K1943" s="8" t="str">
        <f aca="false">IF($J1943=0,"SEM CULTURA",INDEX(ROTACAO_RDM!$F$6:$F$71,$J1943))</f>
        <v>TABACO</v>
      </c>
      <c r="L1943" s="8" t="str">
        <f aca="false">IF($J1943=0,"",INDEX(ROTACAO_RDM!$G$6:$G$71,$J1943))</f>
        <v>PVH-2343</v>
      </c>
      <c r="M1943" s="17" t="n">
        <f aca="false">IF($J1943=0,"",INDEX(ROTACAO_RDM!$I$6:$I$71,$J1943))</f>
        <v>46371</v>
      </c>
      <c r="N1943" s="16" t="n">
        <f aca="false">IF($J1943=0,0,MAX(0,$C1943+INT(DIAS_POR_SEMANA/2)-INDEX(ROTACAO_RDM!$I$6:$I$71,$J1943)))</f>
        <v>58</v>
      </c>
      <c r="O1943" s="19" t="n">
        <f aca="false">IF($J1943=0,0,MIN(1,$N1943/MAX(1,INDEX(ROTACAO_RDM!$K$6:$K$71,$J1943))))</f>
        <v>0.3625</v>
      </c>
      <c r="P1943" s="16" t="n">
        <f aca="false">IF($J1943=0,0,IFERROR(MATCH(INDEX(ROTACAO_RDM!$N$6:$N$71,$J1943),PARAMETROS_CULTURAS!$B$6:$B$28,0),0))</f>
        <v>9</v>
      </c>
      <c r="Q1943" s="8" t="str">
        <f aca="false">IF($P1943=0,"-",IF($O1943&lt;=INDEX(PARAMETROS_CULTURAS!$F$6:$F$28,$P1943),"INICIAL",IF($O1943&lt;=INDEX(PARAMETROS_CULTURAS!$F$6:$F$28,$P1943)+INDEX(PARAMETROS_CULTURAS!$G$6:$G$28,$P1943),"DESENVOLVIMENTO",IF($O1943&lt;=INDEX(PARAMETROS_CULTURAS!$F$6:$F$28,$P1943)+INDEX(PARAMETROS_CULTURAS!$G$6:$G$28,$P1943)+INDEX(PARAMETROS_CULTURAS!$H$6:$H$28,$P1943),"MEDIA","FINAL"))))</f>
        <v>DESENVOLVIMENTO</v>
      </c>
      <c r="R1943" s="24" t="n">
        <f aca="false">IF($P1943=0,0,IF($O1943&lt;=INDEX(PARAMETROS_CULTURAS!$F$6:$F$28,$P1943),INDEX(PARAMETROS_CULTURAS!$K$6:$K$28,$P1943),IF($O1943&lt;=INDEX(PARAMETROS_CULTURAS!$F$6:$F$28,$P1943)+INDEX(PARAMETROS_CULTURAS!$G$6:$G$28,$P1943),INDEX(PARAMETROS_CULTURAS!$K$6:$K$28,$P1943)+(INDEX(PARAMETROS_CULTURAS!$L$6:$L$28,$P1943)-INDEX(PARAMETROS_CULTURAS!$K$6:$K$28,$P1943))*($O1943-INDEX(PARAMETROS_CULTURAS!$F$6:$F$28,$P1943))/MAX(INDEX(PARAMETROS_CULTURAS!$G$6:$G$28,$P1943),0.0001),IF($O1943&lt;=INDEX(PARAMETROS_CULTURAS!$F$6:$F$28,$P1943)+INDEX(PARAMETROS_CULTURAS!$G$6:$G$28,$P1943)+INDEX(PARAMETROS_CULTURAS!$H$6:$H$28,$P1943),INDEX(PARAMETROS_CULTURAS!$L$6:$L$28,$P1943),INDEX(PARAMETROS_CULTURAS!$L$6:$L$28,$P1943)+(INDEX(PARAMETROS_CULTURAS!$M$6:$M$28,$P1943)-INDEX(PARAMETROS_CULTURAS!$L$6:$L$28,$P1943))*($O1943-INDEX(PARAMETROS_CULTURAS!$F$6:$F$28,$P1943)-INDEX(PARAMETROS_CULTURAS!$G$6:$G$28,$P1943)-INDEX(PARAMETROS_CULTURAS!$H$6:$H$28,$P1943))/MAX(INDEX(PARAMETROS_CULTURAS!$I$6:$I$28,$P1943),0.0001)))))</f>
        <v>0.856944444444445</v>
      </c>
      <c r="S1943" s="18" t="n">
        <f aca="false">IFERROR(INDEX(SEMANAS!$H$6:$H$71,MATCH($B1943,SEMANAS!$B$6:$B$71,0)),0)</f>
        <v>32.9</v>
      </c>
      <c r="T1943" s="18" t="n">
        <f aca="false">$R1943*$S1943</f>
        <v>28.1934722222222</v>
      </c>
      <c r="U1943" s="18" t="n">
        <f aca="false">IFERROR(INDEX(SEMANAS!$I$6:$I$71,MATCH($B1943,SEMANAS!$B$6:$B$71,0)),0)</f>
        <v>39.97</v>
      </c>
      <c r="V1943" s="18" t="n">
        <f aca="false">IFERROR(INDEX(SEMANAS!$J$6:$J$71,MATCH($B1943,SEMANAS!$B$6:$B$71,0)),0)</f>
        <v>31.976</v>
      </c>
      <c r="W1943" s="18" t="n">
        <f aca="false">MAX(0,$T1943-$V1943)</f>
        <v>0</v>
      </c>
      <c r="X1943" s="19" t="n">
        <f aca="false">IFERROR(INDEX(CADASTRO_PIVOS!$K$6:$K$41,MATCH($E1943,CADASTRO_PIVOS!$B$6:$B$41,0)),EFICIENCIA_PADRAO)</f>
        <v>0.85</v>
      </c>
      <c r="Y1943" s="18" t="n">
        <f aca="false">IF($X1943&lt;=0,0,$W1943/$X1943)</f>
        <v>0</v>
      </c>
      <c r="Z1943" s="16" t="n">
        <f aca="false">$Y1943*$H1943*MM_PARA_M3_HA</f>
        <v>0</v>
      </c>
      <c r="AA1943" s="18" t="n">
        <f aca="false">IFERROR(INDEX(CADASTRO_PIVOS!$I$6:$I$41,MATCH($E1943,CADASTRO_PIVOS!$B$6:$B$41,0)),0)</f>
        <v>932.933333333333</v>
      </c>
      <c r="AB1943" s="18" t="n">
        <f aca="false">IF($Z1943&lt;=0,0,$Z1943/$AA1943)</f>
        <v>0</v>
      </c>
      <c r="AC1943" s="16" t="n">
        <f aca="false">IFERROR(INDEX(SEMANAS!$K$6:$K$71,MATCH($B1943,SEMANAS!$B$6:$B$71,0)),0)</f>
        <v>147</v>
      </c>
      <c r="AD1943" s="19" t="n">
        <f aca="false">IF($AC1943&lt;=0,0,$AB1943/$AC1943)</f>
        <v>0</v>
      </c>
      <c r="AE1943" s="8" t="str">
        <f aca="false">IF($K1943="SEM CULTURA","SEM CULTURA",IF($AA1943&lt;=0,"DADO PENDENTE",IF($AD1943&gt;LIMITE_CRITICO,"INVIAVEL",IF($AD1943&gt;LIMITE_ATENCAO,"CRITICO",IF($AD1943&gt;LIMITE_CONFORTAVEL,"ATENCAO","OK")))))</f>
        <v>OK</v>
      </c>
      <c r="AF1943" s="8" t="str">
        <f aca="false">$B1943&amp;"|"&amp;TEXT($AD1943,"0.000000")</f>
        <v>24|0.000000</v>
      </c>
      <c r="AG1943" s="18" t="n">
        <f aca="false">IF($K1943="SEM CULTURA",0,$T1943*$H1943)</f>
        <v>3945.39450277778</v>
      </c>
      <c r="AH1943" s="18" t="n">
        <f aca="false">IF($K1943="SEM CULTURA",0,$V1943*$H1943)</f>
        <v>4474.72144</v>
      </c>
      <c r="AI1943" s="18" t="n">
        <f aca="false">IF($K1943="SEM CULTURA",0,$W1943*$H1943)</f>
        <v>0</v>
      </c>
      <c r="AJ1943" s="18" t="n">
        <f aca="false">IF($K1943="SEM CULTURA",0,$S1943*$H1943)</f>
        <v>4604.026</v>
      </c>
      <c r="AK1943" s="8" t="str">
        <f aca="false">$E1943&amp;"|"&amp;TEXT($AD1943,"0.000000")</f>
        <v>PV 126|0.000000</v>
      </c>
    </row>
    <row r="1944" customFormat="false" ht="15" hidden="false" customHeight="false" outlineLevel="0" collapsed="false">
      <c r="B1944" s="16" t="n">
        <v>25</v>
      </c>
      <c r="C1944" s="17" t="n">
        <f aca="false">DATA_INICIO_SAFRA+($B1944-1)*DIAS_POR_SEMANA</f>
        <v>46433</v>
      </c>
      <c r="D1944" s="17" t="n">
        <f aca="false">$C1944+DIAS_POR_SEMANA-1</f>
        <v>46439</v>
      </c>
      <c r="E1944" s="15" t="s">
        <v>288</v>
      </c>
      <c r="F1944" s="8" t="str">
        <f aca="false">IFERROR(INDEX(CADASTRO_PIVOS!$C$6:$C$41,MATCH($E1944,CADASTRO_PIVOS!$B$6:$B$41,0)),"?")</f>
        <v>RM07</v>
      </c>
      <c r="G1944" s="8" t="str">
        <f aca="false">IFERROR(INDEX(CADASTRO_PIVOS!$D$6:$D$41,MATCH($E1944,CADASTRO_PIVOS!$B$6:$B$41,0)),"?")</f>
        <v>TR07</v>
      </c>
      <c r="H1944" s="20" t="n">
        <f aca="false">IFERROR(INDEX(CADASTRO_PIVOS!$E$6:$E$41,MATCH($E1944,CADASTRO_PIVOS!$B$6:$B$41,0)),0)</f>
        <v>139.94</v>
      </c>
      <c r="I1944" s="16" t="n">
        <f aca="false">IFERROR(SUMIFS(ROTACAO_RDM!$B$6:$B$71,ROTACAO_RDM!$D$6:$D$71,$E1944,ROTACAO_RDM!$I$6:$I$71,"&lt;="&amp;$C1944+INT(DIAS_POR_SEMANA/2),ROTACAO_RDM!$J$6:$J$71,"&gt;="&amp;$C1944+INT(DIAS_POR_SEMANA/2)),0)</f>
        <v>49</v>
      </c>
      <c r="J1944" s="16" t="n">
        <f aca="false">IFERROR(MATCH($I1944,ROTACAO_RDM!$B$6:$B$71,0),0)</f>
        <v>49</v>
      </c>
      <c r="K1944" s="8" t="str">
        <f aca="false">IF($J1944=0,"SEM CULTURA",INDEX(ROTACAO_RDM!$F$6:$F$71,$J1944))</f>
        <v>TABACO</v>
      </c>
      <c r="L1944" s="8" t="str">
        <f aca="false">IF($J1944=0,"",INDEX(ROTACAO_RDM!$G$6:$G$71,$J1944))</f>
        <v>PVH-2343</v>
      </c>
      <c r="M1944" s="17" t="n">
        <f aca="false">IF($J1944=0,"",INDEX(ROTACAO_RDM!$I$6:$I$71,$J1944))</f>
        <v>46371</v>
      </c>
      <c r="N1944" s="16" t="n">
        <f aca="false">IF($J1944=0,0,MAX(0,$C1944+INT(DIAS_POR_SEMANA/2)-INDEX(ROTACAO_RDM!$I$6:$I$71,$J1944)))</f>
        <v>65</v>
      </c>
      <c r="O1944" s="19" t="n">
        <f aca="false">IF($J1944=0,0,MIN(1,$N1944/MAX(1,INDEX(ROTACAO_RDM!$K$6:$K$71,$J1944))))</f>
        <v>0.40625</v>
      </c>
      <c r="P1944" s="16" t="n">
        <f aca="false">IF($J1944=0,0,IFERROR(MATCH(INDEX(ROTACAO_RDM!$N$6:$N$71,$J1944),PARAMETROS_CULTURAS!$B$6:$B$28,0),0))</f>
        <v>9</v>
      </c>
      <c r="Q1944" s="8" t="str">
        <f aca="false">IF($P1944=0,"-",IF($O1944&lt;=INDEX(PARAMETROS_CULTURAS!$F$6:$F$28,$P1944),"INICIAL",IF($O1944&lt;=INDEX(PARAMETROS_CULTURAS!$F$6:$F$28,$P1944)+INDEX(PARAMETROS_CULTURAS!$G$6:$G$28,$P1944),"DESENVOLVIMENTO",IF($O1944&lt;=INDEX(PARAMETROS_CULTURAS!$F$6:$F$28,$P1944)+INDEX(PARAMETROS_CULTURAS!$G$6:$G$28,$P1944)+INDEX(PARAMETROS_CULTURAS!$H$6:$H$28,$P1944),"MEDIA","FINAL"))))</f>
        <v>DESENVOLVIMENTO</v>
      </c>
      <c r="R1944" s="24" t="n">
        <f aca="false">IF($P1944=0,0,IF($O1944&lt;=INDEX(PARAMETROS_CULTURAS!$F$6:$F$28,$P1944),INDEX(PARAMETROS_CULTURAS!$K$6:$K$28,$P1944),IF($O1944&lt;=INDEX(PARAMETROS_CULTURAS!$F$6:$F$28,$P1944)+INDEX(PARAMETROS_CULTURAS!$G$6:$G$28,$P1944),INDEX(PARAMETROS_CULTURAS!$K$6:$K$28,$P1944)+(INDEX(PARAMETROS_CULTURAS!$L$6:$L$28,$P1944)-INDEX(PARAMETROS_CULTURAS!$K$6:$K$28,$P1944))*($O1944-INDEX(PARAMETROS_CULTURAS!$F$6:$F$28,$P1944))/MAX(INDEX(PARAMETROS_CULTURAS!$G$6:$G$28,$P1944),0.0001),IF($O1944&lt;=INDEX(PARAMETROS_CULTURAS!$F$6:$F$28,$P1944)+INDEX(PARAMETROS_CULTURAS!$G$6:$G$28,$P1944)+INDEX(PARAMETROS_CULTURAS!$H$6:$H$28,$P1944),INDEX(PARAMETROS_CULTURAS!$L$6:$L$28,$P1944),INDEX(PARAMETROS_CULTURAS!$L$6:$L$28,$P1944)+(INDEX(PARAMETROS_CULTURAS!$M$6:$M$28,$P1944)-INDEX(PARAMETROS_CULTURAS!$L$6:$L$28,$P1944))*($O1944-INDEX(PARAMETROS_CULTURAS!$F$6:$F$28,$P1944)-INDEX(PARAMETROS_CULTURAS!$G$6:$G$28,$P1944)-INDEX(PARAMETROS_CULTURAS!$H$6:$H$28,$P1944))/MAX(INDEX(PARAMETROS_CULTURAS!$I$6:$I$28,$P1944),0.0001)))))</f>
        <v>0.978472222222222</v>
      </c>
      <c r="S1944" s="18" t="n">
        <f aca="false">IFERROR(INDEX(SEMANAS!$H$6:$H$71,MATCH($B1944,SEMANAS!$B$6:$B$71,0)),0)</f>
        <v>32.9</v>
      </c>
      <c r="T1944" s="18" t="n">
        <f aca="false">$R1944*$S1944</f>
        <v>32.1917361111111</v>
      </c>
      <c r="U1944" s="18" t="n">
        <f aca="false">IFERROR(INDEX(SEMANAS!$I$6:$I$71,MATCH($B1944,SEMANAS!$B$6:$B$71,0)),0)</f>
        <v>39.97</v>
      </c>
      <c r="V1944" s="18" t="n">
        <f aca="false">IFERROR(INDEX(SEMANAS!$J$6:$J$71,MATCH($B1944,SEMANAS!$B$6:$B$71,0)),0)</f>
        <v>31.976</v>
      </c>
      <c r="W1944" s="18" t="n">
        <f aca="false">MAX(0,$T1944-$V1944)</f>
        <v>0.215736111111109</v>
      </c>
      <c r="X1944" s="19" t="n">
        <f aca="false">IFERROR(INDEX(CADASTRO_PIVOS!$K$6:$K$41,MATCH($E1944,CADASTRO_PIVOS!$B$6:$B$41,0)),EFICIENCIA_PADRAO)</f>
        <v>0.85</v>
      </c>
      <c r="Y1944" s="18" t="n">
        <f aca="false">IF($X1944&lt;=0,0,$W1944/$X1944)</f>
        <v>0.253807189542482</v>
      </c>
      <c r="Z1944" s="16" t="n">
        <f aca="false">$Y1944*$H1944*MM_PARA_M3_HA</f>
        <v>355.177781045749</v>
      </c>
      <c r="AA1944" s="18" t="n">
        <f aca="false">IFERROR(INDEX(CADASTRO_PIVOS!$I$6:$I$41,MATCH($E1944,CADASTRO_PIVOS!$B$6:$B$41,0)),0)</f>
        <v>932.933333333333</v>
      </c>
      <c r="AB1944" s="18" t="n">
        <f aca="false">IF($Z1944&lt;=0,0,$Z1944/$AA1944)</f>
        <v>0.380710784313722</v>
      </c>
      <c r="AC1944" s="16" t="n">
        <f aca="false">IFERROR(INDEX(SEMANAS!$K$6:$K$71,MATCH($B1944,SEMANAS!$B$6:$B$71,0)),0)</f>
        <v>147</v>
      </c>
      <c r="AD1944" s="19" t="n">
        <f aca="false">IF($AC1944&lt;=0,0,$AB1944/$AC1944)</f>
        <v>0.00258986928104573</v>
      </c>
      <c r="AE1944" s="8" t="str">
        <f aca="false">IF($K1944="SEM CULTURA","SEM CULTURA",IF($AA1944&lt;=0,"DADO PENDENTE",IF($AD1944&gt;LIMITE_CRITICO,"INVIAVEL",IF($AD1944&gt;LIMITE_ATENCAO,"CRITICO",IF($AD1944&gt;LIMITE_CONFORTAVEL,"ATENCAO","OK")))))</f>
        <v>OK</v>
      </c>
      <c r="AF1944" s="8" t="str">
        <f aca="false">$B1944&amp;"|"&amp;TEXT($AD1944,"0.000000")</f>
        <v>25|0.002590</v>
      </c>
      <c r="AG1944" s="18" t="n">
        <f aca="false">IF($K1944="SEM CULTURA",0,$T1944*$H1944)</f>
        <v>4504.91155138889</v>
      </c>
      <c r="AH1944" s="18" t="n">
        <f aca="false">IF($K1944="SEM CULTURA",0,$V1944*$H1944)</f>
        <v>4474.72144</v>
      </c>
      <c r="AI1944" s="18" t="n">
        <f aca="false">IF($K1944="SEM CULTURA",0,$W1944*$H1944)</f>
        <v>30.1901113888886</v>
      </c>
      <c r="AJ1944" s="18" t="n">
        <f aca="false">IF($K1944="SEM CULTURA",0,$S1944*$H1944)</f>
        <v>4604.026</v>
      </c>
      <c r="AK1944" s="8" t="str">
        <f aca="false">$E1944&amp;"|"&amp;TEXT($AD1944,"0.000000")</f>
        <v>PV 126|0.002590</v>
      </c>
    </row>
    <row r="1945" customFormat="false" ht="15" hidden="false" customHeight="false" outlineLevel="0" collapsed="false">
      <c r="B1945" s="16" t="n">
        <v>26</v>
      </c>
      <c r="C1945" s="17" t="n">
        <f aca="false">DATA_INICIO_SAFRA+($B1945-1)*DIAS_POR_SEMANA</f>
        <v>46440</v>
      </c>
      <c r="D1945" s="17" t="n">
        <f aca="false">$C1945+DIAS_POR_SEMANA-1</f>
        <v>46446</v>
      </c>
      <c r="E1945" s="15" t="s">
        <v>288</v>
      </c>
      <c r="F1945" s="8" t="str">
        <f aca="false">IFERROR(INDEX(CADASTRO_PIVOS!$C$6:$C$41,MATCH($E1945,CADASTRO_PIVOS!$B$6:$B$41,0)),"?")</f>
        <v>RM07</v>
      </c>
      <c r="G1945" s="8" t="str">
        <f aca="false">IFERROR(INDEX(CADASTRO_PIVOS!$D$6:$D$41,MATCH($E1945,CADASTRO_PIVOS!$B$6:$B$41,0)),"?")</f>
        <v>TR07</v>
      </c>
      <c r="H1945" s="20" t="n">
        <f aca="false">IFERROR(INDEX(CADASTRO_PIVOS!$E$6:$E$41,MATCH($E1945,CADASTRO_PIVOS!$B$6:$B$41,0)),0)</f>
        <v>139.94</v>
      </c>
      <c r="I1945" s="16" t="n">
        <f aca="false">IFERROR(SUMIFS(ROTACAO_RDM!$B$6:$B$71,ROTACAO_RDM!$D$6:$D$71,$E1945,ROTACAO_RDM!$I$6:$I$71,"&lt;="&amp;$C1945+INT(DIAS_POR_SEMANA/2),ROTACAO_RDM!$J$6:$J$71,"&gt;="&amp;$C1945+INT(DIAS_POR_SEMANA/2)),0)</f>
        <v>49</v>
      </c>
      <c r="J1945" s="16" t="n">
        <f aca="false">IFERROR(MATCH($I1945,ROTACAO_RDM!$B$6:$B$71,0),0)</f>
        <v>49</v>
      </c>
      <c r="K1945" s="8" t="str">
        <f aca="false">IF($J1945=0,"SEM CULTURA",INDEX(ROTACAO_RDM!$F$6:$F$71,$J1945))</f>
        <v>TABACO</v>
      </c>
      <c r="L1945" s="8" t="str">
        <f aca="false">IF($J1945=0,"",INDEX(ROTACAO_RDM!$G$6:$G$71,$J1945))</f>
        <v>PVH-2343</v>
      </c>
      <c r="M1945" s="17" t="n">
        <f aca="false">IF($J1945=0,"",INDEX(ROTACAO_RDM!$I$6:$I$71,$J1945))</f>
        <v>46371</v>
      </c>
      <c r="N1945" s="16" t="n">
        <f aca="false">IF($J1945=0,0,MAX(0,$C1945+INT(DIAS_POR_SEMANA/2)-INDEX(ROTACAO_RDM!$I$6:$I$71,$J1945)))</f>
        <v>72</v>
      </c>
      <c r="O1945" s="19" t="n">
        <f aca="false">IF($J1945=0,0,MIN(1,$N1945/MAX(1,INDEX(ROTACAO_RDM!$K$6:$K$71,$J1945))))</f>
        <v>0.45</v>
      </c>
      <c r="P1945" s="16" t="n">
        <f aca="false">IF($J1945=0,0,IFERROR(MATCH(INDEX(ROTACAO_RDM!$N$6:$N$71,$J1945),PARAMETROS_CULTURAS!$B$6:$B$28,0),0))</f>
        <v>9</v>
      </c>
      <c r="Q1945" s="8" t="str">
        <f aca="false">IF($P1945=0,"-",IF($O1945&lt;=INDEX(PARAMETROS_CULTURAS!$F$6:$F$28,$P1945),"INICIAL",IF($O1945&lt;=INDEX(PARAMETROS_CULTURAS!$F$6:$F$28,$P1945)+INDEX(PARAMETROS_CULTURAS!$G$6:$G$28,$P1945),"DESENVOLVIMENTO",IF($O1945&lt;=INDEX(PARAMETROS_CULTURAS!$F$6:$F$28,$P1945)+INDEX(PARAMETROS_CULTURAS!$G$6:$G$28,$P1945)+INDEX(PARAMETROS_CULTURAS!$H$6:$H$28,$P1945),"MEDIA","FINAL"))))</f>
        <v>DESENVOLVIMENTO</v>
      </c>
      <c r="R1945" s="24" t="n">
        <f aca="false">IF($P1945=0,0,IF($O1945&lt;=INDEX(PARAMETROS_CULTURAS!$F$6:$F$28,$P1945),INDEX(PARAMETROS_CULTURAS!$K$6:$K$28,$P1945),IF($O1945&lt;=INDEX(PARAMETROS_CULTURAS!$F$6:$F$28,$P1945)+INDEX(PARAMETROS_CULTURAS!$G$6:$G$28,$P1945),INDEX(PARAMETROS_CULTURAS!$K$6:$K$28,$P1945)+(INDEX(PARAMETROS_CULTURAS!$L$6:$L$28,$P1945)-INDEX(PARAMETROS_CULTURAS!$K$6:$K$28,$P1945))*($O1945-INDEX(PARAMETROS_CULTURAS!$F$6:$F$28,$P1945))/MAX(INDEX(PARAMETROS_CULTURAS!$G$6:$G$28,$P1945),0.0001),IF($O1945&lt;=INDEX(PARAMETROS_CULTURAS!$F$6:$F$28,$P1945)+INDEX(PARAMETROS_CULTURAS!$G$6:$G$28,$P1945)+INDEX(PARAMETROS_CULTURAS!$H$6:$H$28,$P1945),INDEX(PARAMETROS_CULTURAS!$L$6:$L$28,$P1945),INDEX(PARAMETROS_CULTURAS!$L$6:$L$28,$P1945)+(INDEX(PARAMETROS_CULTURAS!$M$6:$M$28,$P1945)-INDEX(PARAMETROS_CULTURAS!$L$6:$L$28,$P1945))*($O1945-INDEX(PARAMETROS_CULTURAS!$F$6:$F$28,$P1945)-INDEX(PARAMETROS_CULTURAS!$G$6:$G$28,$P1945)-INDEX(PARAMETROS_CULTURAS!$H$6:$H$28,$P1945))/MAX(INDEX(PARAMETROS_CULTURAS!$I$6:$I$28,$P1945),0.0001)))))</f>
        <v>1.1</v>
      </c>
      <c r="S1945" s="18" t="n">
        <f aca="false">IFERROR(INDEX(SEMANAS!$H$6:$H$71,MATCH($B1945,SEMANAS!$B$6:$B$71,0)),0)</f>
        <v>32.9</v>
      </c>
      <c r="T1945" s="18" t="n">
        <f aca="false">$R1945*$S1945</f>
        <v>36.19</v>
      </c>
      <c r="U1945" s="18" t="n">
        <f aca="false">IFERROR(INDEX(SEMANAS!$I$6:$I$71,MATCH($B1945,SEMANAS!$B$6:$B$71,0)),0)</f>
        <v>39.97</v>
      </c>
      <c r="V1945" s="18" t="n">
        <f aca="false">IFERROR(INDEX(SEMANAS!$J$6:$J$71,MATCH($B1945,SEMANAS!$B$6:$B$71,0)),0)</f>
        <v>31.976</v>
      </c>
      <c r="W1945" s="18" t="n">
        <f aca="false">MAX(0,$T1945-$V1945)</f>
        <v>4.214</v>
      </c>
      <c r="X1945" s="19" t="n">
        <f aca="false">IFERROR(INDEX(CADASTRO_PIVOS!$K$6:$K$41,MATCH($E1945,CADASTRO_PIVOS!$B$6:$B$41,0)),EFICIENCIA_PADRAO)</f>
        <v>0.85</v>
      </c>
      <c r="Y1945" s="18" t="n">
        <f aca="false">IF($X1945&lt;=0,0,$W1945/$X1945)</f>
        <v>4.95764705882353</v>
      </c>
      <c r="Z1945" s="16" t="n">
        <f aca="false">$Y1945*$H1945*MM_PARA_M3_HA</f>
        <v>6937.73129411765</v>
      </c>
      <c r="AA1945" s="18" t="n">
        <f aca="false">IFERROR(INDEX(CADASTRO_PIVOS!$I$6:$I$41,MATCH($E1945,CADASTRO_PIVOS!$B$6:$B$41,0)),0)</f>
        <v>932.933333333333</v>
      </c>
      <c r="AB1945" s="18" t="n">
        <f aca="false">IF($Z1945&lt;=0,0,$Z1945/$AA1945)</f>
        <v>7.4364705882353</v>
      </c>
      <c r="AC1945" s="16" t="n">
        <f aca="false">IFERROR(INDEX(SEMANAS!$K$6:$K$71,MATCH($B1945,SEMANAS!$B$6:$B$71,0)),0)</f>
        <v>147</v>
      </c>
      <c r="AD1945" s="19" t="n">
        <f aca="false">IF($AC1945&lt;=0,0,$AB1945/$AC1945)</f>
        <v>0.0505882352941177</v>
      </c>
      <c r="AE1945" s="8" t="str">
        <f aca="false">IF($K1945="SEM CULTURA","SEM CULTURA",IF($AA1945&lt;=0,"DADO PENDENTE",IF($AD1945&gt;LIMITE_CRITICO,"INVIAVEL",IF($AD1945&gt;LIMITE_ATENCAO,"CRITICO",IF($AD1945&gt;LIMITE_CONFORTAVEL,"ATENCAO","OK")))))</f>
        <v>OK</v>
      </c>
      <c r="AF1945" s="8" t="str">
        <f aca="false">$B1945&amp;"|"&amp;TEXT($AD1945,"0.000000")</f>
        <v>26|0.050588</v>
      </c>
      <c r="AG1945" s="18" t="n">
        <f aca="false">IF($K1945="SEM CULTURA",0,$T1945*$H1945)</f>
        <v>5064.4286</v>
      </c>
      <c r="AH1945" s="18" t="n">
        <f aca="false">IF($K1945="SEM CULTURA",0,$V1945*$H1945)</f>
        <v>4474.72144</v>
      </c>
      <c r="AI1945" s="18" t="n">
        <f aca="false">IF($K1945="SEM CULTURA",0,$W1945*$H1945)</f>
        <v>589.70716</v>
      </c>
      <c r="AJ1945" s="18" t="n">
        <f aca="false">IF($K1945="SEM CULTURA",0,$S1945*$H1945)</f>
        <v>4604.026</v>
      </c>
      <c r="AK1945" s="8" t="str">
        <f aca="false">$E1945&amp;"|"&amp;TEXT($AD1945,"0.000000")</f>
        <v>PV 126|0.050588</v>
      </c>
    </row>
    <row r="1946" customFormat="false" ht="15" hidden="false" customHeight="false" outlineLevel="0" collapsed="false">
      <c r="B1946" s="16" t="n">
        <v>27</v>
      </c>
      <c r="C1946" s="17" t="n">
        <f aca="false">DATA_INICIO_SAFRA+($B1946-1)*DIAS_POR_SEMANA</f>
        <v>46447</v>
      </c>
      <c r="D1946" s="17" t="n">
        <f aca="false">$C1946+DIAS_POR_SEMANA-1</f>
        <v>46453</v>
      </c>
      <c r="E1946" s="15" t="s">
        <v>288</v>
      </c>
      <c r="F1946" s="8" t="str">
        <f aca="false">IFERROR(INDEX(CADASTRO_PIVOS!$C$6:$C$41,MATCH($E1946,CADASTRO_PIVOS!$B$6:$B$41,0)),"?")</f>
        <v>RM07</v>
      </c>
      <c r="G1946" s="8" t="str">
        <f aca="false">IFERROR(INDEX(CADASTRO_PIVOS!$D$6:$D$41,MATCH($E1946,CADASTRO_PIVOS!$B$6:$B$41,0)),"?")</f>
        <v>TR07</v>
      </c>
      <c r="H1946" s="20" t="n">
        <f aca="false">IFERROR(INDEX(CADASTRO_PIVOS!$E$6:$E$41,MATCH($E1946,CADASTRO_PIVOS!$B$6:$B$41,0)),0)</f>
        <v>139.94</v>
      </c>
      <c r="I1946" s="16" t="n">
        <f aca="false">IFERROR(SUMIFS(ROTACAO_RDM!$B$6:$B$71,ROTACAO_RDM!$D$6:$D$71,$E1946,ROTACAO_RDM!$I$6:$I$71,"&lt;="&amp;$C1946+INT(DIAS_POR_SEMANA/2),ROTACAO_RDM!$J$6:$J$71,"&gt;="&amp;$C1946+INT(DIAS_POR_SEMANA/2)),0)</f>
        <v>49</v>
      </c>
      <c r="J1946" s="16" t="n">
        <f aca="false">IFERROR(MATCH($I1946,ROTACAO_RDM!$B$6:$B$71,0),0)</f>
        <v>49</v>
      </c>
      <c r="K1946" s="8" t="str">
        <f aca="false">IF($J1946=0,"SEM CULTURA",INDEX(ROTACAO_RDM!$F$6:$F$71,$J1946))</f>
        <v>TABACO</v>
      </c>
      <c r="L1946" s="8" t="str">
        <f aca="false">IF($J1946=0,"",INDEX(ROTACAO_RDM!$G$6:$G$71,$J1946))</f>
        <v>PVH-2343</v>
      </c>
      <c r="M1946" s="17" t="n">
        <f aca="false">IF($J1946=0,"",INDEX(ROTACAO_RDM!$I$6:$I$71,$J1946))</f>
        <v>46371</v>
      </c>
      <c r="N1946" s="16" t="n">
        <f aca="false">IF($J1946=0,0,MAX(0,$C1946+INT(DIAS_POR_SEMANA/2)-INDEX(ROTACAO_RDM!$I$6:$I$71,$J1946)))</f>
        <v>79</v>
      </c>
      <c r="O1946" s="19" t="n">
        <f aca="false">IF($J1946=0,0,MIN(1,$N1946/MAX(1,INDEX(ROTACAO_RDM!$K$6:$K$71,$J1946))))</f>
        <v>0.49375</v>
      </c>
      <c r="P1946" s="16" t="n">
        <f aca="false">IF($J1946=0,0,IFERROR(MATCH(INDEX(ROTACAO_RDM!$N$6:$N$71,$J1946),PARAMETROS_CULTURAS!$B$6:$B$28,0),0))</f>
        <v>9</v>
      </c>
      <c r="Q1946" s="8" t="str">
        <f aca="false">IF($P1946=0,"-",IF($O1946&lt;=INDEX(PARAMETROS_CULTURAS!$F$6:$F$28,$P1946),"INICIAL",IF($O1946&lt;=INDEX(PARAMETROS_CULTURAS!$F$6:$F$28,$P1946)+INDEX(PARAMETROS_CULTURAS!$G$6:$G$28,$P1946),"DESENVOLVIMENTO",IF($O1946&lt;=INDEX(PARAMETROS_CULTURAS!$F$6:$F$28,$P1946)+INDEX(PARAMETROS_CULTURAS!$G$6:$G$28,$P1946)+INDEX(PARAMETROS_CULTURAS!$H$6:$H$28,$P1946),"MEDIA","FINAL"))))</f>
        <v>MEDIA</v>
      </c>
      <c r="R1946" s="24" t="n">
        <f aca="false">IF($P1946=0,0,IF($O1946&lt;=INDEX(PARAMETROS_CULTURAS!$F$6:$F$28,$P1946),INDEX(PARAMETROS_CULTURAS!$K$6:$K$28,$P1946),IF($O1946&lt;=INDEX(PARAMETROS_CULTURAS!$F$6:$F$28,$P1946)+INDEX(PARAMETROS_CULTURAS!$G$6:$G$28,$P1946),INDEX(PARAMETROS_CULTURAS!$K$6:$K$28,$P1946)+(INDEX(PARAMETROS_CULTURAS!$L$6:$L$28,$P1946)-INDEX(PARAMETROS_CULTURAS!$K$6:$K$28,$P1946))*($O1946-INDEX(PARAMETROS_CULTURAS!$F$6:$F$28,$P1946))/MAX(INDEX(PARAMETROS_CULTURAS!$G$6:$G$28,$P1946),0.0001),IF($O1946&lt;=INDEX(PARAMETROS_CULTURAS!$F$6:$F$28,$P1946)+INDEX(PARAMETROS_CULTURAS!$G$6:$G$28,$P1946)+INDEX(PARAMETROS_CULTURAS!$H$6:$H$28,$P1946),INDEX(PARAMETROS_CULTURAS!$L$6:$L$28,$P1946),INDEX(PARAMETROS_CULTURAS!$L$6:$L$28,$P1946)+(INDEX(PARAMETROS_CULTURAS!$M$6:$M$28,$P1946)-INDEX(PARAMETROS_CULTURAS!$L$6:$L$28,$P1946))*($O1946-INDEX(PARAMETROS_CULTURAS!$F$6:$F$28,$P1946)-INDEX(PARAMETROS_CULTURAS!$G$6:$G$28,$P1946)-INDEX(PARAMETROS_CULTURAS!$H$6:$H$28,$P1946))/MAX(INDEX(PARAMETROS_CULTURAS!$I$6:$I$28,$P1946),0.0001)))))</f>
        <v>1.1</v>
      </c>
      <c r="S1946" s="18" t="n">
        <f aca="false">IFERROR(INDEX(SEMANAS!$H$6:$H$71,MATCH($B1946,SEMANAS!$B$6:$B$71,0)),0)</f>
        <v>32.2</v>
      </c>
      <c r="T1946" s="18" t="n">
        <f aca="false">$R1946*$S1946</f>
        <v>35.42</v>
      </c>
      <c r="U1946" s="18" t="n">
        <f aca="false">IFERROR(INDEX(SEMANAS!$I$6:$I$71,MATCH($B1946,SEMANAS!$B$6:$B$71,0)),0)</f>
        <v>37.24</v>
      </c>
      <c r="V1946" s="18" t="n">
        <f aca="false">IFERROR(INDEX(SEMANAS!$J$6:$J$71,MATCH($B1946,SEMANAS!$B$6:$B$71,0)),0)</f>
        <v>29.792</v>
      </c>
      <c r="W1946" s="18" t="n">
        <f aca="false">MAX(0,$T1946-$V1946)</f>
        <v>5.628</v>
      </c>
      <c r="X1946" s="19" t="n">
        <f aca="false">IFERROR(INDEX(CADASTRO_PIVOS!$K$6:$K$41,MATCH($E1946,CADASTRO_PIVOS!$B$6:$B$41,0)),EFICIENCIA_PADRAO)</f>
        <v>0.85</v>
      </c>
      <c r="Y1946" s="18" t="n">
        <f aca="false">IF($X1946&lt;=0,0,$W1946/$X1946)</f>
        <v>6.62117647058824</v>
      </c>
      <c r="Z1946" s="16" t="n">
        <f aca="false">$Y1946*$H1946*MM_PARA_M3_HA</f>
        <v>9265.67435294118</v>
      </c>
      <c r="AA1946" s="18" t="n">
        <f aca="false">IFERROR(INDEX(CADASTRO_PIVOS!$I$6:$I$41,MATCH($E1946,CADASTRO_PIVOS!$B$6:$B$41,0)),0)</f>
        <v>932.933333333333</v>
      </c>
      <c r="AB1946" s="18" t="n">
        <f aca="false">IF($Z1946&lt;=0,0,$Z1946/$AA1946)</f>
        <v>9.93176470588235</v>
      </c>
      <c r="AC1946" s="16" t="n">
        <f aca="false">IFERROR(INDEX(SEMANAS!$K$6:$K$71,MATCH($B1946,SEMANAS!$B$6:$B$71,0)),0)</f>
        <v>147</v>
      </c>
      <c r="AD1946" s="19" t="n">
        <f aca="false">IF($AC1946&lt;=0,0,$AB1946/$AC1946)</f>
        <v>0.067563025210084</v>
      </c>
      <c r="AE1946" s="8" t="str">
        <f aca="false">IF($K1946="SEM CULTURA","SEM CULTURA",IF($AA1946&lt;=0,"DADO PENDENTE",IF($AD1946&gt;LIMITE_CRITICO,"INVIAVEL",IF($AD1946&gt;LIMITE_ATENCAO,"CRITICO",IF($AD1946&gt;LIMITE_CONFORTAVEL,"ATENCAO","OK")))))</f>
        <v>OK</v>
      </c>
      <c r="AF1946" s="8" t="str">
        <f aca="false">$B1946&amp;"|"&amp;TEXT($AD1946,"0.000000")</f>
        <v>27|0.067563</v>
      </c>
      <c r="AG1946" s="18" t="n">
        <f aca="false">IF($K1946="SEM CULTURA",0,$T1946*$H1946)</f>
        <v>4956.6748</v>
      </c>
      <c r="AH1946" s="18" t="n">
        <f aca="false">IF($K1946="SEM CULTURA",0,$V1946*$H1946)</f>
        <v>4169.09248</v>
      </c>
      <c r="AI1946" s="18" t="n">
        <f aca="false">IF($K1946="SEM CULTURA",0,$W1946*$H1946)</f>
        <v>787.58232</v>
      </c>
      <c r="AJ1946" s="18" t="n">
        <f aca="false">IF($K1946="SEM CULTURA",0,$S1946*$H1946)</f>
        <v>4506.068</v>
      </c>
      <c r="AK1946" s="8" t="str">
        <f aca="false">$E1946&amp;"|"&amp;TEXT($AD1946,"0.000000")</f>
        <v>PV 126|0.067563</v>
      </c>
    </row>
    <row r="1947" customFormat="false" ht="15" hidden="false" customHeight="false" outlineLevel="0" collapsed="false">
      <c r="B1947" s="16" t="n">
        <v>28</v>
      </c>
      <c r="C1947" s="17" t="n">
        <f aca="false">DATA_INICIO_SAFRA+($B1947-1)*DIAS_POR_SEMANA</f>
        <v>46454</v>
      </c>
      <c r="D1947" s="17" t="n">
        <f aca="false">$C1947+DIAS_POR_SEMANA-1</f>
        <v>46460</v>
      </c>
      <c r="E1947" s="15" t="s">
        <v>288</v>
      </c>
      <c r="F1947" s="8" t="str">
        <f aca="false">IFERROR(INDEX(CADASTRO_PIVOS!$C$6:$C$41,MATCH($E1947,CADASTRO_PIVOS!$B$6:$B$41,0)),"?")</f>
        <v>RM07</v>
      </c>
      <c r="G1947" s="8" t="str">
        <f aca="false">IFERROR(INDEX(CADASTRO_PIVOS!$D$6:$D$41,MATCH($E1947,CADASTRO_PIVOS!$B$6:$B$41,0)),"?")</f>
        <v>TR07</v>
      </c>
      <c r="H1947" s="20" t="n">
        <f aca="false">IFERROR(INDEX(CADASTRO_PIVOS!$E$6:$E$41,MATCH($E1947,CADASTRO_PIVOS!$B$6:$B$41,0)),0)</f>
        <v>139.94</v>
      </c>
      <c r="I1947" s="16" t="n">
        <f aca="false">IFERROR(SUMIFS(ROTACAO_RDM!$B$6:$B$71,ROTACAO_RDM!$D$6:$D$71,$E1947,ROTACAO_RDM!$I$6:$I$71,"&lt;="&amp;$C1947+INT(DIAS_POR_SEMANA/2),ROTACAO_RDM!$J$6:$J$71,"&gt;="&amp;$C1947+INT(DIAS_POR_SEMANA/2)),0)</f>
        <v>49</v>
      </c>
      <c r="J1947" s="16" t="n">
        <f aca="false">IFERROR(MATCH($I1947,ROTACAO_RDM!$B$6:$B$71,0),0)</f>
        <v>49</v>
      </c>
      <c r="K1947" s="8" t="str">
        <f aca="false">IF($J1947=0,"SEM CULTURA",INDEX(ROTACAO_RDM!$F$6:$F$71,$J1947))</f>
        <v>TABACO</v>
      </c>
      <c r="L1947" s="8" t="str">
        <f aca="false">IF($J1947=0,"",INDEX(ROTACAO_RDM!$G$6:$G$71,$J1947))</f>
        <v>PVH-2343</v>
      </c>
      <c r="M1947" s="17" t="n">
        <f aca="false">IF($J1947=0,"",INDEX(ROTACAO_RDM!$I$6:$I$71,$J1947))</f>
        <v>46371</v>
      </c>
      <c r="N1947" s="16" t="n">
        <f aca="false">IF($J1947=0,0,MAX(0,$C1947+INT(DIAS_POR_SEMANA/2)-INDEX(ROTACAO_RDM!$I$6:$I$71,$J1947)))</f>
        <v>86</v>
      </c>
      <c r="O1947" s="19" t="n">
        <f aca="false">IF($J1947=0,0,MIN(1,$N1947/MAX(1,INDEX(ROTACAO_RDM!$K$6:$K$71,$J1947))))</f>
        <v>0.5375</v>
      </c>
      <c r="P1947" s="16" t="n">
        <f aca="false">IF($J1947=0,0,IFERROR(MATCH(INDEX(ROTACAO_RDM!$N$6:$N$71,$J1947),PARAMETROS_CULTURAS!$B$6:$B$28,0),0))</f>
        <v>9</v>
      </c>
      <c r="Q1947" s="8" t="str">
        <f aca="false">IF($P1947=0,"-",IF($O1947&lt;=INDEX(PARAMETROS_CULTURAS!$F$6:$F$28,$P1947),"INICIAL",IF($O1947&lt;=INDEX(PARAMETROS_CULTURAS!$F$6:$F$28,$P1947)+INDEX(PARAMETROS_CULTURAS!$G$6:$G$28,$P1947),"DESENVOLVIMENTO",IF($O1947&lt;=INDEX(PARAMETROS_CULTURAS!$F$6:$F$28,$P1947)+INDEX(PARAMETROS_CULTURAS!$G$6:$G$28,$P1947)+INDEX(PARAMETROS_CULTURAS!$H$6:$H$28,$P1947),"MEDIA","FINAL"))))</f>
        <v>MEDIA</v>
      </c>
      <c r="R1947" s="24" t="n">
        <f aca="false">IF($P1947=0,0,IF($O1947&lt;=INDEX(PARAMETROS_CULTURAS!$F$6:$F$28,$P1947),INDEX(PARAMETROS_CULTURAS!$K$6:$K$28,$P1947),IF($O1947&lt;=INDEX(PARAMETROS_CULTURAS!$F$6:$F$28,$P1947)+INDEX(PARAMETROS_CULTURAS!$G$6:$G$28,$P1947),INDEX(PARAMETROS_CULTURAS!$K$6:$K$28,$P1947)+(INDEX(PARAMETROS_CULTURAS!$L$6:$L$28,$P1947)-INDEX(PARAMETROS_CULTURAS!$K$6:$K$28,$P1947))*($O1947-INDEX(PARAMETROS_CULTURAS!$F$6:$F$28,$P1947))/MAX(INDEX(PARAMETROS_CULTURAS!$G$6:$G$28,$P1947),0.0001),IF($O1947&lt;=INDEX(PARAMETROS_CULTURAS!$F$6:$F$28,$P1947)+INDEX(PARAMETROS_CULTURAS!$G$6:$G$28,$P1947)+INDEX(PARAMETROS_CULTURAS!$H$6:$H$28,$P1947),INDEX(PARAMETROS_CULTURAS!$L$6:$L$28,$P1947),INDEX(PARAMETROS_CULTURAS!$L$6:$L$28,$P1947)+(INDEX(PARAMETROS_CULTURAS!$M$6:$M$28,$P1947)-INDEX(PARAMETROS_CULTURAS!$L$6:$L$28,$P1947))*($O1947-INDEX(PARAMETROS_CULTURAS!$F$6:$F$28,$P1947)-INDEX(PARAMETROS_CULTURAS!$G$6:$G$28,$P1947)-INDEX(PARAMETROS_CULTURAS!$H$6:$H$28,$P1947))/MAX(INDEX(PARAMETROS_CULTURAS!$I$6:$I$28,$P1947),0.0001)))))</f>
        <v>1.1</v>
      </c>
      <c r="S1947" s="18" t="n">
        <f aca="false">IFERROR(INDEX(SEMANAS!$H$6:$H$71,MATCH($B1947,SEMANAS!$B$6:$B$71,0)),0)</f>
        <v>32.2</v>
      </c>
      <c r="T1947" s="18" t="n">
        <f aca="false">$R1947*$S1947</f>
        <v>35.42</v>
      </c>
      <c r="U1947" s="18" t="n">
        <f aca="false">IFERROR(INDEX(SEMANAS!$I$6:$I$71,MATCH($B1947,SEMANAS!$B$6:$B$71,0)),0)</f>
        <v>37.24</v>
      </c>
      <c r="V1947" s="18" t="n">
        <f aca="false">IFERROR(INDEX(SEMANAS!$J$6:$J$71,MATCH($B1947,SEMANAS!$B$6:$B$71,0)),0)</f>
        <v>29.792</v>
      </c>
      <c r="W1947" s="18" t="n">
        <f aca="false">MAX(0,$T1947-$V1947)</f>
        <v>5.628</v>
      </c>
      <c r="X1947" s="19" t="n">
        <f aca="false">IFERROR(INDEX(CADASTRO_PIVOS!$K$6:$K$41,MATCH($E1947,CADASTRO_PIVOS!$B$6:$B$41,0)),EFICIENCIA_PADRAO)</f>
        <v>0.85</v>
      </c>
      <c r="Y1947" s="18" t="n">
        <f aca="false">IF($X1947&lt;=0,0,$W1947/$X1947)</f>
        <v>6.62117647058824</v>
      </c>
      <c r="Z1947" s="16" t="n">
        <f aca="false">$Y1947*$H1947*MM_PARA_M3_HA</f>
        <v>9265.67435294118</v>
      </c>
      <c r="AA1947" s="18" t="n">
        <f aca="false">IFERROR(INDEX(CADASTRO_PIVOS!$I$6:$I$41,MATCH($E1947,CADASTRO_PIVOS!$B$6:$B$41,0)),0)</f>
        <v>932.933333333333</v>
      </c>
      <c r="AB1947" s="18" t="n">
        <f aca="false">IF($Z1947&lt;=0,0,$Z1947/$AA1947)</f>
        <v>9.93176470588235</v>
      </c>
      <c r="AC1947" s="16" t="n">
        <f aca="false">IFERROR(INDEX(SEMANAS!$K$6:$K$71,MATCH($B1947,SEMANAS!$B$6:$B$71,0)),0)</f>
        <v>147</v>
      </c>
      <c r="AD1947" s="19" t="n">
        <f aca="false">IF($AC1947&lt;=0,0,$AB1947/$AC1947)</f>
        <v>0.067563025210084</v>
      </c>
      <c r="AE1947" s="8" t="str">
        <f aca="false">IF($K1947="SEM CULTURA","SEM CULTURA",IF($AA1947&lt;=0,"DADO PENDENTE",IF($AD1947&gt;LIMITE_CRITICO,"INVIAVEL",IF($AD1947&gt;LIMITE_ATENCAO,"CRITICO",IF($AD1947&gt;LIMITE_CONFORTAVEL,"ATENCAO","OK")))))</f>
        <v>OK</v>
      </c>
      <c r="AF1947" s="8" t="str">
        <f aca="false">$B1947&amp;"|"&amp;TEXT($AD1947,"0.000000")</f>
        <v>28|0.067563</v>
      </c>
      <c r="AG1947" s="18" t="n">
        <f aca="false">IF($K1947="SEM CULTURA",0,$T1947*$H1947)</f>
        <v>4956.6748</v>
      </c>
      <c r="AH1947" s="18" t="n">
        <f aca="false">IF($K1947="SEM CULTURA",0,$V1947*$H1947)</f>
        <v>4169.09248</v>
      </c>
      <c r="AI1947" s="18" t="n">
        <f aca="false">IF($K1947="SEM CULTURA",0,$W1947*$H1947)</f>
        <v>787.58232</v>
      </c>
      <c r="AJ1947" s="18" t="n">
        <f aca="false">IF($K1947="SEM CULTURA",0,$S1947*$H1947)</f>
        <v>4506.068</v>
      </c>
      <c r="AK1947" s="8" t="str">
        <f aca="false">$E1947&amp;"|"&amp;TEXT($AD1947,"0.000000")</f>
        <v>PV 126|0.067563</v>
      </c>
    </row>
    <row r="1948" customFormat="false" ht="15" hidden="false" customHeight="false" outlineLevel="0" collapsed="false">
      <c r="B1948" s="16" t="n">
        <v>29</v>
      </c>
      <c r="C1948" s="17" t="n">
        <f aca="false">DATA_INICIO_SAFRA+($B1948-1)*DIAS_POR_SEMANA</f>
        <v>46461</v>
      </c>
      <c r="D1948" s="17" t="n">
        <f aca="false">$C1948+DIAS_POR_SEMANA-1</f>
        <v>46467</v>
      </c>
      <c r="E1948" s="15" t="s">
        <v>288</v>
      </c>
      <c r="F1948" s="8" t="str">
        <f aca="false">IFERROR(INDEX(CADASTRO_PIVOS!$C$6:$C$41,MATCH($E1948,CADASTRO_PIVOS!$B$6:$B$41,0)),"?")</f>
        <v>RM07</v>
      </c>
      <c r="G1948" s="8" t="str">
        <f aca="false">IFERROR(INDEX(CADASTRO_PIVOS!$D$6:$D$41,MATCH($E1948,CADASTRO_PIVOS!$B$6:$B$41,0)),"?")</f>
        <v>TR07</v>
      </c>
      <c r="H1948" s="20" t="n">
        <f aca="false">IFERROR(INDEX(CADASTRO_PIVOS!$E$6:$E$41,MATCH($E1948,CADASTRO_PIVOS!$B$6:$B$41,0)),0)</f>
        <v>139.94</v>
      </c>
      <c r="I1948" s="16" t="n">
        <f aca="false">IFERROR(SUMIFS(ROTACAO_RDM!$B$6:$B$71,ROTACAO_RDM!$D$6:$D$71,$E1948,ROTACAO_RDM!$I$6:$I$71,"&lt;="&amp;$C1948+INT(DIAS_POR_SEMANA/2),ROTACAO_RDM!$J$6:$J$71,"&gt;="&amp;$C1948+INT(DIAS_POR_SEMANA/2)),0)</f>
        <v>49</v>
      </c>
      <c r="J1948" s="16" t="n">
        <f aca="false">IFERROR(MATCH($I1948,ROTACAO_RDM!$B$6:$B$71,0),0)</f>
        <v>49</v>
      </c>
      <c r="K1948" s="8" t="str">
        <f aca="false">IF($J1948=0,"SEM CULTURA",INDEX(ROTACAO_RDM!$F$6:$F$71,$J1948))</f>
        <v>TABACO</v>
      </c>
      <c r="L1948" s="8" t="str">
        <f aca="false">IF($J1948=0,"",INDEX(ROTACAO_RDM!$G$6:$G$71,$J1948))</f>
        <v>PVH-2343</v>
      </c>
      <c r="M1948" s="17" t="n">
        <f aca="false">IF($J1948=0,"",INDEX(ROTACAO_RDM!$I$6:$I$71,$J1948))</f>
        <v>46371</v>
      </c>
      <c r="N1948" s="16" t="n">
        <f aca="false">IF($J1948=0,0,MAX(0,$C1948+INT(DIAS_POR_SEMANA/2)-INDEX(ROTACAO_RDM!$I$6:$I$71,$J1948)))</f>
        <v>93</v>
      </c>
      <c r="O1948" s="19" t="n">
        <f aca="false">IF($J1948=0,0,MIN(1,$N1948/MAX(1,INDEX(ROTACAO_RDM!$K$6:$K$71,$J1948))))</f>
        <v>0.58125</v>
      </c>
      <c r="P1948" s="16" t="n">
        <f aca="false">IF($J1948=0,0,IFERROR(MATCH(INDEX(ROTACAO_RDM!$N$6:$N$71,$J1948),PARAMETROS_CULTURAS!$B$6:$B$28,0),0))</f>
        <v>9</v>
      </c>
      <c r="Q1948" s="8" t="str">
        <f aca="false">IF($P1948=0,"-",IF($O1948&lt;=INDEX(PARAMETROS_CULTURAS!$F$6:$F$28,$P1948),"INICIAL",IF($O1948&lt;=INDEX(PARAMETROS_CULTURAS!$F$6:$F$28,$P1948)+INDEX(PARAMETROS_CULTURAS!$G$6:$G$28,$P1948),"DESENVOLVIMENTO",IF($O1948&lt;=INDEX(PARAMETROS_CULTURAS!$F$6:$F$28,$P1948)+INDEX(PARAMETROS_CULTURAS!$G$6:$G$28,$P1948)+INDEX(PARAMETROS_CULTURAS!$H$6:$H$28,$P1948),"MEDIA","FINAL"))))</f>
        <v>MEDIA</v>
      </c>
      <c r="R1948" s="24" t="n">
        <f aca="false">IF($P1948=0,0,IF($O1948&lt;=INDEX(PARAMETROS_CULTURAS!$F$6:$F$28,$P1948),INDEX(PARAMETROS_CULTURAS!$K$6:$K$28,$P1948),IF($O1948&lt;=INDEX(PARAMETROS_CULTURAS!$F$6:$F$28,$P1948)+INDEX(PARAMETROS_CULTURAS!$G$6:$G$28,$P1948),INDEX(PARAMETROS_CULTURAS!$K$6:$K$28,$P1948)+(INDEX(PARAMETROS_CULTURAS!$L$6:$L$28,$P1948)-INDEX(PARAMETROS_CULTURAS!$K$6:$K$28,$P1948))*($O1948-INDEX(PARAMETROS_CULTURAS!$F$6:$F$28,$P1948))/MAX(INDEX(PARAMETROS_CULTURAS!$G$6:$G$28,$P1948),0.0001),IF($O1948&lt;=INDEX(PARAMETROS_CULTURAS!$F$6:$F$28,$P1948)+INDEX(PARAMETROS_CULTURAS!$G$6:$G$28,$P1948)+INDEX(PARAMETROS_CULTURAS!$H$6:$H$28,$P1948),INDEX(PARAMETROS_CULTURAS!$L$6:$L$28,$P1948),INDEX(PARAMETROS_CULTURAS!$L$6:$L$28,$P1948)+(INDEX(PARAMETROS_CULTURAS!$M$6:$M$28,$P1948)-INDEX(PARAMETROS_CULTURAS!$L$6:$L$28,$P1948))*($O1948-INDEX(PARAMETROS_CULTURAS!$F$6:$F$28,$P1948)-INDEX(PARAMETROS_CULTURAS!$G$6:$G$28,$P1948)-INDEX(PARAMETROS_CULTURAS!$H$6:$H$28,$P1948))/MAX(INDEX(PARAMETROS_CULTURAS!$I$6:$I$28,$P1948),0.0001)))))</f>
        <v>1.1</v>
      </c>
      <c r="S1948" s="18" t="n">
        <f aca="false">IFERROR(INDEX(SEMANAS!$H$6:$H$71,MATCH($B1948,SEMANAS!$B$6:$B$71,0)),0)</f>
        <v>32.2</v>
      </c>
      <c r="T1948" s="18" t="n">
        <f aca="false">$R1948*$S1948</f>
        <v>35.42</v>
      </c>
      <c r="U1948" s="18" t="n">
        <f aca="false">IFERROR(INDEX(SEMANAS!$I$6:$I$71,MATCH($B1948,SEMANAS!$B$6:$B$71,0)),0)</f>
        <v>37.24</v>
      </c>
      <c r="V1948" s="18" t="n">
        <f aca="false">IFERROR(INDEX(SEMANAS!$J$6:$J$71,MATCH($B1948,SEMANAS!$B$6:$B$71,0)),0)</f>
        <v>29.792</v>
      </c>
      <c r="W1948" s="18" t="n">
        <f aca="false">MAX(0,$T1948-$V1948)</f>
        <v>5.628</v>
      </c>
      <c r="X1948" s="19" t="n">
        <f aca="false">IFERROR(INDEX(CADASTRO_PIVOS!$K$6:$K$41,MATCH($E1948,CADASTRO_PIVOS!$B$6:$B$41,0)),EFICIENCIA_PADRAO)</f>
        <v>0.85</v>
      </c>
      <c r="Y1948" s="18" t="n">
        <f aca="false">IF($X1948&lt;=0,0,$W1948/$X1948)</f>
        <v>6.62117647058824</v>
      </c>
      <c r="Z1948" s="16" t="n">
        <f aca="false">$Y1948*$H1948*MM_PARA_M3_HA</f>
        <v>9265.67435294118</v>
      </c>
      <c r="AA1948" s="18" t="n">
        <f aca="false">IFERROR(INDEX(CADASTRO_PIVOS!$I$6:$I$41,MATCH($E1948,CADASTRO_PIVOS!$B$6:$B$41,0)),0)</f>
        <v>932.933333333333</v>
      </c>
      <c r="AB1948" s="18" t="n">
        <f aca="false">IF($Z1948&lt;=0,0,$Z1948/$AA1948)</f>
        <v>9.93176470588235</v>
      </c>
      <c r="AC1948" s="16" t="n">
        <f aca="false">IFERROR(INDEX(SEMANAS!$K$6:$K$71,MATCH($B1948,SEMANAS!$B$6:$B$71,0)),0)</f>
        <v>147</v>
      </c>
      <c r="AD1948" s="19" t="n">
        <f aca="false">IF($AC1948&lt;=0,0,$AB1948/$AC1948)</f>
        <v>0.067563025210084</v>
      </c>
      <c r="AE1948" s="8" t="str">
        <f aca="false">IF($K1948="SEM CULTURA","SEM CULTURA",IF($AA1948&lt;=0,"DADO PENDENTE",IF($AD1948&gt;LIMITE_CRITICO,"INVIAVEL",IF($AD1948&gt;LIMITE_ATENCAO,"CRITICO",IF($AD1948&gt;LIMITE_CONFORTAVEL,"ATENCAO","OK")))))</f>
        <v>OK</v>
      </c>
      <c r="AF1948" s="8" t="str">
        <f aca="false">$B1948&amp;"|"&amp;TEXT($AD1948,"0.000000")</f>
        <v>29|0.067563</v>
      </c>
      <c r="AG1948" s="18" t="n">
        <f aca="false">IF($K1948="SEM CULTURA",0,$T1948*$H1948)</f>
        <v>4956.6748</v>
      </c>
      <c r="AH1948" s="18" t="n">
        <f aca="false">IF($K1948="SEM CULTURA",0,$V1948*$H1948)</f>
        <v>4169.09248</v>
      </c>
      <c r="AI1948" s="18" t="n">
        <f aca="false">IF($K1948="SEM CULTURA",0,$W1948*$H1948)</f>
        <v>787.58232</v>
      </c>
      <c r="AJ1948" s="18" t="n">
        <f aca="false">IF($K1948="SEM CULTURA",0,$S1948*$H1948)</f>
        <v>4506.068</v>
      </c>
      <c r="AK1948" s="8" t="str">
        <f aca="false">$E1948&amp;"|"&amp;TEXT($AD1948,"0.000000")</f>
        <v>PV 126|0.067563</v>
      </c>
    </row>
    <row r="1949" customFormat="false" ht="15" hidden="false" customHeight="false" outlineLevel="0" collapsed="false">
      <c r="B1949" s="16" t="n">
        <v>30</v>
      </c>
      <c r="C1949" s="17" t="n">
        <f aca="false">DATA_INICIO_SAFRA+($B1949-1)*DIAS_POR_SEMANA</f>
        <v>46468</v>
      </c>
      <c r="D1949" s="17" t="n">
        <f aca="false">$C1949+DIAS_POR_SEMANA-1</f>
        <v>46474</v>
      </c>
      <c r="E1949" s="15" t="s">
        <v>288</v>
      </c>
      <c r="F1949" s="8" t="str">
        <f aca="false">IFERROR(INDEX(CADASTRO_PIVOS!$C$6:$C$41,MATCH($E1949,CADASTRO_PIVOS!$B$6:$B$41,0)),"?")</f>
        <v>RM07</v>
      </c>
      <c r="G1949" s="8" t="str">
        <f aca="false">IFERROR(INDEX(CADASTRO_PIVOS!$D$6:$D$41,MATCH($E1949,CADASTRO_PIVOS!$B$6:$B$41,0)),"?")</f>
        <v>TR07</v>
      </c>
      <c r="H1949" s="20" t="n">
        <f aca="false">IFERROR(INDEX(CADASTRO_PIVOS!$E$6:$E$41,MATCH($E1949,CADASTRO_PIVOS!$B$6:$B$41,0)),0)</f>
        <v>139.94</v>
      </c>
      <c r="I1949" s="16" t="n">
        <f aca="false">IFERROR(SUMIFS(ROTACAO_RDM!$B$6:$B$71,ROTACAO_RDM!$D$6:$D$71,$E1949,ROTACAO_RDM!$I$6:$I$71,"&lt;="&amp;$C1949+INT(DIAS_POR_SEMANA/2),ROTACAO_RDM!$J$6:$J$71,"&gt;="&amp;$C1949+INT(DIAS_POR_SEMANA/2)),0)</f>
        <v>49</v>
      </c>
      <c r="J1949" s="16" t="n">
        <f aca="false">IFERROR(MATCH($I1949,ROTACAO_RDM!$B$6:$B$71,0),0)</f>
        <v>49</v>
      </c>
      <c r="K1949" s="8" t="str">
        <f aca="false">IF($J1949=0,"SEM CULTURA",INDEX(ROTACAO_RDM!$F$6:$F$71,$J1949))</f>
        <v>TABACO</v>
      </c>
      <c r="L1949" s="8" t="str">
        <f aca="false">IF($J1949=0,"",INDEX(ROTACAO_RDM!$G$6:$G$71,$J1949))</f>
        <v>PVH-2343</v>
      </c>
      <c r="M1949" s="17" t="n">
        <f aca="false">IF($J1949=0,"",INDEX(ROTACAO_RDM!$I$6:$I$71,$J1949))</f>
        <v>46371</v>
      </c>
      <c r="N1949" s="16" t="n">
        <f aca="false">IF($J1949=0,0,MAX(0,$C1949+INT(DIAS_POR_SEMANA/2)-INDEX(ROTACAO_RDM!$I$6:$I$71,$J1949)))</f>
        <v>100</v>
      </c>
      <c r="O1949" s="19" t="n">
        <f aca="false">IF($J1949=0,0,MIN(1,$N1949/MAX(1,INDEX(ROTACAO_RDM!$K$6:$K$71,$J1949))))</f>
        <v>0.625</v>
      </c>
      <c r="P1949" s="16" t="n">
        <f aca="false">IF($J1949=0,0,IFERROR(MATCH(INDEX(ROTACAO_RDM!$N$6:$N$71,$J1949),PARAMETROS_CULTURAS!$B$6:$B$28,0),0))</f>
        <v>9</v>
      </c>
      <c r="Q1949" s="8" t="str">
        <f aca="false">IF($P1949=0,"-",IF($O1949&lt;=INDEX(PARAMETROS_CULTURAS!$F$6:$F$28,$P1949),"INICIAL",IF($O1949&lt;=INDEX(PARAMETROS_CULTURAS!$F$6:$F$28,$P1949)+INDEX(PARAMETROS_CULTURAS!$G$6:$G$28,$P1949),"DESENVOLVIMENTO",IF($O1949&lt;=INDEX(PARAMETROS_CULTURAS!$F$6:$F$28,$P1949)+INDEX(PARAMETROS_CULTURAS!$G$6:$G$28,$P1949)+INDEX(PARAMETROS_CULTURAS!$H$6:$H$28,$P1949),"MEDIA","FINAL"))))</f>
        <v>MEDIA</v>
      </c>
      <c r="R1949" s="24" t="n">
        <f aca="false">IF($P1949=0,0,IF($O1949&lt;=INDEX(PARAMETROS_CULTURAS!$F$6:$F$28,$P1949),INDEX(PARAMETROS_CULTURAS!$K$6:$K$28,$P1949),IF($O1949&lt;=INDEX(PARAMETROS_CULTURAS!$F$6:$F$28,$P1949)+INDEX(PARAMETROS_CULTURAS!$G$6:$G$28,$P1949),INDEX(PARAMETROS_CULTURAS!$K$6:$K$28,$P1949)+(INDEX(PARAMETROS_CULTURAS!$L$6:$L$28,$P1949)-INDEX(PARAMETROS_CULTURAS!$K$6:$K$28,$P1949))*($O1949-INDEX(PARAMETROS_CULTURAS!$F$6:$F$28,$P1949))/MAX(INDEX(PARAMETROS_CULTURAS!$G$6:$G$28,$P1949),0.0001),IF($O1949&lt;=INDEX(PARAMETROS_CULTURAS!$F$6:$F$28,$P1949)+INDEX(PARAMETROS_CULTURAS!$G$6:$G$28,$P1949)+INDEX(PARAMETROS_CULTURAS!$H$6:$H$28,$P1949),INDEX(PARAMETROS_CULTURAS!$L$6:$L$28,$P1949),INDEX(PARAMETROS_CULTURAS!$L$6:$L$28,$P1949)+(INDEX(PARAMETROS_CULTURAS!$M$6:$M$28,$P1949)-INDEX(PARAMETROS_CULTURAS!$L$6:$L$28,$P1949))*($O1949-INDEX(PARAMETROS_CULTURAS!$F$6:$F$28,$P1949)-INDEX(PARAMETROS_CULTURAS!$G$6:$G$28,$P1949)-INDEX(PARAMETROS_CULTURAS!$H$6:$H$28,$P1949))/MAX(INDEX(PARAMETROS_CULTURAS!$I$6:$I$28,$P1949),0.0001)))))</f>
        <v>1.1</v>
      </c>
      <c r="S1949" s="18" t="n">
        <f aca="false">IFERROR(INDEX(SEMANAS!$H$6:$H$71,MATCH($B1949,SEMANAS!$B$6:$B$71,0)),0)</f>
        <v>32.2</v>
      </c>
      <c r="T1949" s="18" t="n">
        <f aca="false">$R1949*$S1949</f>
        <v>35.42</v>
      </c>
      <c r="U1949" s="18" t="n">
        <f aca="false">IFERROR(INDEX(SEMANAS!$I$6:$I$71,MATCH($B1949,SEMANAS!$B$6:$B$71,0)),0)</f>
        <v>37.24</v>
      </c>
      <c r="V1949" s="18" t="n">
        <f aca="false">IFERROR(INDEX(SEMANAS!$J$6:$J$71,MATCH($B1949,SEMANAS!$B$6:$B$71,0)),0)</f>
        <v>29.792</v>
      </c>
      <c r="W1949" s="18" t="n">
        <f aca="false">MAX(0,$T1949-$V1949)</f>
        <v>5.628</v>
      </c>
      <c r="X1949" s="19" t="n">
        <f aca="false">IFERROR(INDEX(CADASTRO_PIVOS!$K$6:$K$41,MATCH($E1949,CADASTRO_PIVOS!$B$6:$B$41,0)),EFICIENCIA_PADRAO)</f>
        <v>0.85</v>
      </c>
      <c r="Y1949" s="18" t="n">
        <f aca="false">IF($X1949&lt;=0,0,$W1949/$X1949)</f>
        <v>6.62117647058824</v>
      </c>
      <c r="Z1949" s="16" t="n">
        <f aca="false">$Y1949*$H1949*MM_PARA_M3_HA</f>
        <v>9265.67435294118</v>
      </c>
      <c r="AA1949" s="18" t="n">
        <f aca="false">IFERROR(INDEX(CADASTRO_PIVOS!$I$6:$I$41,MATCH($E1949,CADASTRO_PIVOS!$B$6:$B$41,0)),0)</f>
        <v>932.933333333333</v>
      </c>
      <c r="AB1949" s="18" t="n">
        <f aca="false">IF($Z1949&lt;=0,0,$Z1949/$AA1949)</f>
        <v>9.93176470588235</v>
      </c>
      <c r="AC1949" s="16" t="n">
        <f aca="false">IFERROR(INDEX(SEMANAS!$K$6:$K$71,MATCH($B1949,SEMANAS!$B$6:$B$71,0)),0)</f>
        <v>147</v>
      </c>
      <c r="AD1949" s="19" t="n">
        <f aca="false">IF($AC1949&lt;=0,0,$AB1949/$AC1949)</f>
        <v>0.067563025210084</v>
      </c>
      <c r="AE1949" s="8" t="str">
        <f aca="false">IF($K1949="SEM CULTURA","SEM CULTURA",IF($AA1949&lt;=0,"DADO PENDENTE",IF($AD1949&gt;LIMITE_CRITICO,"INVIAVEL",IF($AD1949&gt;LIMITE_ATENCAO,"CRITICO",IF($AD1949&gt;LIMITE_CONFORTAVEL,"ATENCAO","OK")))))</f>
        <v>OK</v>
      </c>
      <c r="AF1949" s="8" t="str">
        <f aca="false">$B1949&amp;"|"&amp;TEXT($AD1949,"0.000000")</f>
        <v>30|0.067563</v>
      </c>
      <c r="AG1949" s="18" t="n">
        <f aca="false">IF($K1949="SEM CULTURA",0,$T1949*$H1949)</f>
        <v>4956.6748</v>
      </c>
      <c r="AH1949" s="18" t="n">
        <f aca="false">IF($K1949="SEM CULTURA",0,$V1949*$H1949)</f>
        <v>4169.09248</v>
      </c>
      <c r="AI1949" s="18" t="n">
        <f aca="false">IF($K1949="SEM CULTURA",0,$W1949*$H1949)</f>
        <v>787.58232</v>
      </c>
      <c r="AJ1949" s="18" t="n">
        <f aca="false">IF($K1949="SEM CULTURA",0,$S1949*$H1949)</f>
        <v>4506.068</v>
      </c>
      <c r="AK1949" s="8" t="str">
        <f aca="false">$E1949&amp;"|"&amp;TEXT($AD1949,"0.000000")</f>
        <v>PV 126|0.067563</v>
      </c>
    </row>
    <row r="1950" customFormat="false" ht="15" hidden="false" customHeight="false" outlineLevel="0" collapsed="false">
      <c r="B1950" s="16" t="n">
        <v>31</v>
      </c>
      <c r="C1950" s="17" t="n">
        <f aca="false">DATA_INICIO_SAFRA+($B1950-1)*DIAS_POR_SEMANA</f>
        <v>46475</v>
      </c>
      <c r="D1950" s="17" t="n">
        <f aca="false">$C1950+DIAS_POR_SEMANA-1</f>
        <v>46481</v>
      </c>
      <c r="E1950" s="15" t="s">
        <v>288</v>
      </c>
      <c r="F1950" s="8" t="str">
        <f aca="false">IFERROR(INDEX(CADASTRO_PIVOS!$C$6:$C$41,MATCH($E1950,CADASTRO_PIVOS!$B$6:$B$41,0)),"?")</f>
        <v>RM07</v>
      </c>
      <c r="G1950" s="8" t="str">
        <f aca="false">IFERROR(INDEX(CADASTRO_PIVOS!$D$6:$D$41,MATCH($E1950,CADASTRO_PIVOS!$B$6:$B$41,0)),"?")</f>
        <v>TR07</v>
      </c>
      <c r="H1950" s="20" t="n">
        <f aca="false">IFERROR(INDEX(CADASTRO_PIVOS!$E$6:$E$41,MATCH($E1950,CADASTRO_PIVOS!$B$6:$B$41,0)),0)</f>
        <v>139.94</v>
      </c>
      <c r="I1950" s="16" t="n">
        <f aca="false">IFERROR(SUMIFS(ROTACAO_RDM!$B$6:$B$71,ROTACAO_RDM!$D$6:$D$71,$E1950,ROTACAO_RDM!$I$6:$I$71,"&lt;="&amp;$C1950+INT(DIAS_POR_SEMANA/2),ROTACAO_RDM!$J$6:$J$71,"&gt;="&amp;$C1950+INT(DIAS_POR_SEMANA/2)),0)</f>
        <v>49</v>
      </c>
      <c r="J1950" s="16" t="n">
        <f aca="false">IFERROR(MATCH($I1950,ROTACAO_RDM!$B$6:$B$71,0),0)</f>
        <v>49</v>
      </c>
      <c r="K1950" s="8" t="str">
        <f aca="false">IF($J1950=0,"SEM CULTURA",INDEX(ROTACAO_RDM!$F$6:$F$71,$J1950))</f>
        <v>TABACO</v>
      </c>
      <c r="L1950" s="8" t="str">
        <f aca="false">IF($J1950=0,"",INDEX(ROTACAO_RDM!$G$6:$G$71,$J1950))</f>
        <v>PVH-2343</v>
      </c>
      <c r="M1950" s="17" t="n">
        <f aca="false">IF($J1950=0,"",INDEX(ROTACAO_RDM!$I$6:$I$71,$J1950))</f>
        <v>46371</v>
      </c>
      <c r="N1950" s="16" t="n">
        <f aca="false">IF($J1950=0,0,MAX(0,$C1950+INT(DIAS_POR_SEMANA/2)-INDEX(ROTACAO_RDM!$I$6:$I$71,$J1950)))</f>
        <v>107</v>
      </c>
      <c r="O1950" s="19" t="n">
        <f aca="false">IF($J1950=0,0,MIN(1,$N1950/MAX(1,INDEX(ROTACAO_RDM!$K$6:$K$71,$J1950))))</f>
        <v>0.66875</v>
      </c>
      <c r="P1950" s="16" t="n">
        <f aca="false">IF($J1950=0,0,IFERROR(MATCH(INDEX(ROTACAO_RDM!$N$6:$N$71,$J1950),PARAMETROS_CULTURAS!$B$6:$B$28,0),0))</f>
        <v>9</v>
      </c>
      <c r="Q1950" s="8" t="str">
        <f aca="false">IF($P1950=0,"-",IF($O1950&lt;=INDEX(PARAMETROS_CULTURAS!$F$6:$F$28,$P1950),"INICIAL",IF($O1950&lt;=INDEX(PARAMETROS_CULTURAS!$F$6:$F$28,$P1950)+INDEX(PARAMETROS_CULTURAS!$G$6:$G$28,$P1950),"DESENVOLVIMENTO",IF($O1950&lt;=INDEX(PARAMETROS_CULTURAS!$F$6:$F$28,$P1950)+INDEX(PARAMETROS_CULTURAS!$G$6:$G$28,$P1950)+INDEX(PARAMETROS_CULTURAS!$H$6:$H$28,$P1950),"MEDIA","FINAL"))))</f>
        <v>MEDIA</v>
      </c>
      <c r="R1950" s="24" t="n">
        <f aca="false">IF($P1950=0,0,IF($O1950&lt;=INDEX(PARAMETROS_CULTURAS!$F$6:$F$28,$P1950),INDEX(PARAMETROS_CULTURAS!$K$6:$K$28,$P1950),IF($O1950&lt;=INDEX(PARAMETROS_CULTURAS!$F$6:$F$28,$P1950)+INDEX(PARAMETROS_CULTURAS!$G$6:$G$28,$P1950),INDEX(PARAMETROS_CULTURAS!$K$6:$K$28,$P1950)+(INDEX(PARAMETROS_CULTURAS!$L$6:$L$28,$P1950)-INDEX(PARAMETROS_CULTURAS!$K$6:$K$28,$P1950))*($O1950-INDEX(PARAMETROS_CULTURAS!$F$6:$F$28,$P1950))/MAX(INDEX(PARAMETROS_CULTURAS!$G$6:$G$28,$P1950),0.0001),IF($O1950&lt;=INDEX(PARAMETROS_CULTURAS!$F$6:$F$28,$P1950)+INDEX(PARAMETROS_CULTURAS!$G$6:$G$28,$P1950)+INDEX(PARAMETROS_CULTURAS!$H$6:$H$28,$P1950),INDEX(PARAMETROS_CULTURAS!$L$6:$L$28,$P1950),INDEX(PARAMETROS_CULTURAS!$L$6:$L$28,$P1950)+(INDEX(PARAMETROS_CULTURAS!$M$6:$M$28,$P1950)-INDEX(PARAMETROS_CULTURAS!$L$6:$L$28,$P1950))*($O1950-INDEX(PARAMETROS_CULTURAS!$F$6:$F$28,$P1950)-INDEX(PARAMETROS_CULTURAS!$G$6:$G$28,$P1950)-INDEX(PARAMETROS_CULTURAS!$H$6:$H$28,$P1950))/MAX(INDEX(PARAMETROS_CULTURAS!$I$6:$I$28,$P1950),0.0001)))))</f>
        <v>1.1</v>
      </c>
      <c r="S1950" s="18" t="n">
        <f aca="false">IFERROR(INDEX(SEMANAS!$H$6:$H$71,MATCH($B1950,SEMANAS!$B$6:$B$71,0)),0)</f>
        <v>31.8</v>
      </c>
      <c r="T1950" s="18" t="n">
        <f aca="false">$R1950*$S1950</f>
        <v>34.98</v>
      </c>
      <c r="U1950" s="18" t="n">
        <f aca="false">IFERROR(INDEX(SEMANAS!$I$6:$I$71,MATCH($B1950,SEMANAS!$B$6:$B$71,0)),0)</f>
        <v>25.28</v>
      </c>
      <c r="V1950" s="18" t="n">
        <f aca="false">IFERROR(INDEX(SEMANAS!$J$6:$J$71,MATCH($B1950,SEMANAS!$B$6:$B$71,0)),0)</f>
        <v>20.224</v>
      </c>
      <c r="W1950" s="18" t="n">
        <f aca="false">MAX(0,$T1950-$V1950)</f>
        <v>14.756</v>
      </c>
      <c r="X1950" s="19" t="n">
        <f aca="false">IFERROR(INDEX(CADASTRO_PIVOS!$K$6:$K$41,MATCH($E1950,CADASTRO_PIVOS!$B$6:$B$41,0)),EFICIENCIA_PADRAO)</f>
        <v>0.85</v>
      </c>
      <c r="Y1950" s="18" t="n">
        <f aca="false">IF($X1950&lt;=0,0,$W1950/$X1950)</f>
        <v>17.36</v>
      </c>
      <c r="Z1950" s="16" t="n">
        <f aca="false">$Y1950*$H1950*MM_PARA_M3_HA</f>
        <v>24293.584</v>
      </c>
      <c r="AA1950" s="18" t="n">
        <f aca="false">IFERROR(INDEX(CADASTRO_PIVOS!$I$6:$I$41,MATCH($E1950,CADASTRO_PIVOS!$B$6:$B$41,0)),0)</f>
        <v>932.933333333333</v>
      </c>
      <c r="AB1950" s="18" t="n">
        <f aca="false">IF($Z1950&lt;=0,0,$Z1950/$AA1950)</f>
        <v>26.04</v>
      </c>
      <c r="AC1950" s="16" t="n">
        <f aca="false">IFERROR(INDEX(SEMANAS!$K$6:$K$71,MATCH($B1950,SEMANAS!$B$6:$B$71,0)),0)</f>
        <v>147</v>
      </c>
      <c r="AD1950" s="19" t="n">
        <f aca="false">IF($AC1950&lt;=0,0,$AB1950/$AC1950)</f>
        <v>0.177142857142857</v>
      </c>
      <c r="AE1950" s="8" t="str">
        <f aca="false">IF($K1950="SEM CULTURA","SEM CULTURA",IF($AA1950&lt;=0,"DADO PENDENTE",IF($AD1950&gt;LIMITE_CRITICO,"INVIAVEL",IF($AD1950&gt;LIMITE_ATENCAO,"CRITICO",IF($AD1950&gt;LIMITE_CONFORTAVEL,"ATENCAO","OK")))))</f>
        <v>OK</v>
      </c>
      <c r="AF1950" s="8" t="str">
        <f aca="false">$B1950&amp;"|"&amp;TEXT($AD1950,"0.000000")</f>
        <v>31|0.177143</v>
      </c>
      <c r="AG1950" s="18" t="n">
        <f aca="false">IF($K1950="SEM CULTURA",0,$T1950*$H1950)</f>
        <v>4895.1012</v>
      </c>
      <c r="AH1950" s="18" t="n">
        <f aca="false">IF($K1950="SEM CULTURA",0,$V1950*$H1950)</f>
        <v>2830.14656</v>
      </c>
      <c r="AI1950" s="18" t="n">
        <f aca="false">IF($K1950="SEM CULTURA",0,$W1950*$H1950)</f>
        <v>2064.95464</v>
      </c>
      <c r="AJ1950" s="18" t="n">
        <f aca="false">IF($K1950="SEM CULTURA",0,$S1950*$H1950)</f>
        <v>4450.092</v>
      </c>
      <c r="AK1950" s="8" t="str">
        <f aca="false">$E1950&amp;"|"&amp;TEXT($AD1950,"0.000000")</f>
        <v>PV 126|0.177143</v>
      </c>
    </row>
    <row r="1951" customFormat="false" ht="15" hidden="false" customHeight="false" outlineLevel="0" collapsed="false">
      <c r="B1951" s="16" t="n">
        <v>32</v>
      </c>
      <c r="C1951" s="17" t="n">
        <f aca="false">DATA_INICIO_SAFRA+($B1951-1)*DIAS_POR_SEMANA</f>
        <v>46482</v>
      </c>
      <c r="D1951" s="17" t="n">
        <f aca="false">$C1951+DIAS_POR_SEMANA-1</f>
        <v>46488</v>
      </c>
      <c r="E1951" s="15" t="s">
        <v>288</v>
      </c>
      <c r="F1951" s="8" t="str">
        <f aca="false">IFERROR(INDEX(CADASTRO_PIVOS!$C$6:$C$41,MATCH($E1951,CADASTRO_PIVOS!$B$6:$B$41,0)),"?")</f>
        <v>RM07</v>
      </c>
      <c r="G1951" s="8" t="str">
        <f aca="false">IFERROR(INDEX(CADASTRO_PIVOS!$D$6:$D$41,MATCH($E1951,CADASTRO_PIVOS!$B$6:$B$41,0)),"?")</f>
        <v>TR07</v>
      </c>
      <c r="H1951" s="20" t="n">
        <f aca="false">IFERROR(INDEX(CADASTRO_PIVOS!$E$6:$E$41,MATCH($E1951,CADASTRO_PIVOS!$B$6:$B$41,0)),0)</f>
        <v>139.94</v>
      </c>
      <c r="I1951" s="16" t="n">
        <f aca="false">IFERROR(SUMIFS(ROTACAO_RDM!$B$6:$B$71,ROTACAO_RDM!$D$6:$D$71,$E1951,ROTACAO_RDM!$I$6:$I$71,"&lt;="&amp;$C1951+INT(DIAS_POR_SEMANA/2),ROTACAO_RDM!$J$6:$J$71,"&gt;="&amp;$C1951+INT(DIAS_POR_SEMANA/2)),0)</f>
        <v>49</v>
      </c>
      <c r="J1951" s="16" t="n">
        <f aca="false">IFERROR(MATCH($I1951,ROTACAO_RDM!$B$6:$B$71,0),0)</f>
        <v>49</v>
      </c>
      <c r="K1951" s="8" t="str">
        <f aca="false">IF($J1951=0,"SEM CULTURA",INDEX(ROTACAO_RDM!$F$6:$F$71,$J1951))</f>
        <v>TABACO</v>
      </c>
      <c r="L1951" s="8" t="str">
        <f aca="false">IF($J1951=0,"",INDEX(ROTACAO_RDM!$G$6:$G$71,$J1951))</f>
        <v>PVH-2343</v>
      </c>
      <c r="M1951" s="17" t="n">
        <f aca="false">IF($J1951=0,"",INDEX(ROTACAO_RDM!$I$6:$I$71,$J1951))</f>
        <v>46371</v>
      </c>
      <c r="N1951" s="16" t="n">
        <f aca="false">IF($J1951=0,0,MAX(0,$C1951+INT(DIAS_POR_SEMANA/2)-INDEX(ROTACAO_RDM!$I$6:$I$71,$J1951)))</f>
        <v>114</v>
      </c>
      <c r="O1951" s="19" t="n">
        <f aca="false">IF($J1951=0,0,MIN(1,$N1951/MAX(1,INDEX(ROTACAO_RDM!$K$6:$K$71,$J1951))))</f>
        <v>0.7125</v>
      </c>
      <c r="P1951" s="16" t="n">
        <f aca="false">IF($J1951=0,0,IFERROR(MATCH(INDEX(ROTACAO_RDM!$N$6:$N$71,$J1951),PARAMETROS_CULTURAS!$B$6:$B$28,0),0))</f>
        <v>9</v>
      </c>
      <c r="Q1951" s="8" t="str">
        <f aca="false">IF($P1951=0,"-",IF($O1951&lt;=INDEX(PARAMETROS_CULTURAS!$F$6:$F$28,$P1951),"INICIAL",IF($O1951&lt;=INDEX(PARAMETROS_CULTURAS!$F$6:$F$28,$P1951)+INDEX(PARAMETROS_CULTURAS!$G$6:$G$28,$P1951),"DESENVOLVIMENTO",IF($O1951&lt;=INDEX(PARAMETROS_CULTURAS!$F$6:$F$28,$P1951)+INDEX(PARAMETROS_CULTURAS!$G$6:$G$28,$P1951)+INDEX(PARAMETROS_CULTURAS!$H$6:$H$28,$P1951),"MEDIA","FINAL"))))</f>
        <v>MEDIA</v>
      </c>
      <c r="R1951" s="24" t="n">
        <f aca="false">IF($P1951=0,0,IF($O1951&lt;=INDEX(PARAMETROS_CULTURAS!$F$6:$F$28,$P1951),INDEX(PARAMETROS_CULTURAS!$K$6:$K$28,$P1951),IF($O1951&lt;=INDEX(PARAMETROS_CULTURAS!$F$6:$F$28,$P1951)+INDEX(PARAMETROS_CULTURAS!$G$6:$G$28,$P1951),INDEX(PARAMETROS_CULTURAS!$K$6:$K$28,$P1951)+(INDEX(PARAMETROS_CULTURAS!$L$6:$L$28,$P1951)-INDEX(PARAMETROS_CULTURAS!$K$6:$K$28,$P1951))*($O1951-INDEX(PARAMETROS_CULTURAS!$F$6:$F$28,$P1951))/MAX(INDEX(PARAMETROS_CULTURAS!$G$6:$G$28,$P1951),0.0001),IF($O1951&lt;=INDEX(PARAMETROS_CULTURAS!$F$6:$F$28,$P1951)+INDEX(PARAMETROS_CULTURAS!$G$6:$G$28,$P1951)+INDEX(PARAMETROS_CULTURAS!$H$6:$H$28,$P1951),INDEX(PARAMETROS_CULTURAS!$L$6:$L$28,$P1951),INDEX(PARAMETROS_CULTURAS!$L$6:$L$28,$P1951)+(INDEX(PARAMETROS_CULTURAS!$M$6:$M$28,$P1951)-INDEX(PARAMETROS_CULTURAS!$L$6:$L$28,$P1951))*($O1951-INDEX(PARAMETROS_CULTURAS!$F$6:$F$28,$P1951)-INDEX(PARAMETROS_CULTURAS!$G$6:$G$28,$P1951)-INDEX(PARAMETROS_CULTURAS!$H$6:$H$28,$P1951))/MAX(INDEX(PARAMETROS_CULTURAS!$I$6:$I$28,$P1951),0.0001)))))</f>
        <v>1.1</v>
      </c>
      <c r="S1951" s="18" t="n">
        <f aca="false">IFERROR(INDEX(SEMANAS!$H$6:$H$71,MATCH($B1951,SEMANAS!$B$6:$B$71,0)),0)</f>
        <v>31.5</v>
      </c>
      <c r="T1951" s="18" t="n">
        <f aca="false">$R1951*$S1951</f>
        <v>34.65</v>
      </c>
      <c r="U1951" s="18" t="n">
        <f aca="false">IFERROR(INDEX(SEMANAS!$I$6:$I$71,MATCH($B1951,SEMANAS!$B$6:$B$71,0)),0)</f>
        <v>16.31</v>
      </c>
      <c r="V1951" s="18" t="n">
        <f aca="false">IFERROR(INDEX(SEMANAS!$J$6:$J$71,MATCH($B1951,SEMANAS!$B$6:$B$71,0)),0)</f>
        <v>13.048</v>
      </c>
      <c r="W1951" s="18" t="n">
        <f aca="false">MAX(0,$T1951-$V1951)</f>
        <v>21.602</v>
      </c>
      <c r="X1951" s="19" t="n">
        <f aca="false">IFERROR(INDEX(CADASTRO_PIVOS!$K$6:$K$41,MATCH($E1951,CADASTRO_PIVOS!$B$6:$B$41,0)),EFICIENCIA_PADRAO)</f>
        <v>0.85</v>
      </c>
      <c r="Y1951" s="18" t="n">
        <f aca="false">IF($X1951&lt;=0,0,$W1951/$X1951)</f>
        <v>25.4141176470588</v>
      </c>
      <c r="Z1951" s="16" t="n">
        <f aca="false">$Y1951*$H1951*MM_PARA_M3_HA</f>
        <v>35564.5162352941</v>
      </c>
      <c r="AA1951" s="18" t="n">
        <f aca="false">IFERROR(INDEX(CADASTRO_PIVOS!$I$6:$I$41,MATCH($E1951,CADASTRO_PIVOS!$B$6:$B$41,0)),0)</f>
        <v>932.933333333333</v>
      </c>
      <c r="AB1951" s="18" t="n">
        <f aca="false">IF($Z1951&lt;=0,0,$Z1951/$AA1951)</f>
        <v>38.1211764705882</v>
      </c>
      <c r="AC1951" s="16" t="n">
        <f aca="false">IFERROR(INDEX(SEMANAS!$K$6:$K$71,MATCH($B1951,SEMANAS!$B$6:$B$71,0)),0)</f>
        <v>147</v>
      </c>
      <c r="AD1951" s="19" t="n">
        <f aca="false">IF($AC1951&lt;=0,0,$AB1951/$AC1951)</f>
        <v>0.259327731092437</v>
      </c>
      <c r="AE1951" s="8" t="str">
        <f aca="false">IF($K1951="SEM CULTURA","SEM CULTURA",IF($AA1951&lt;=0,"DADO PENDENTE",IF($AD1951&gt;LIMITE_CRITICO,"INVIAVEL",IF($AD1951&gt;LIMITE_ATENCAO,"CRITICO",IF($AD1951&gt;LIMITE_CONFORTAVEL,"ATENCAO","OK")))))</f>
        <v>OK</v>
      </c>
      <c r="AF1951" s="8" t="str">
        <f aca="false">$B1951&amp;"|"&amp;TEXT($AD1951,"0.000000")</f>
        <v>32|0.259328</v>
      </c>
      <c r="AG1951" s="18" t="n">
        <f aca="false">IF($K1951="SEM CULTURA",0,$T1951*$H1951)</f>
        <v>4848.921</v>
      </c>
      <c r="AH1951" s="18" t="n">
        <f aca="false">IF($K1951="SEM CULTURA",0,$V1951*$H1951)</f>
        <v>1825.93712</v>
      </c>
      <c r="AI1951" s="18" t="n">
        <f aca="false">IF($K1951="SEM CULTURA",0,$W1951*$H1951)</f>
        <v>3022.98388</v>
      </c>
      <c r="AJ1951" s="18" t="n">
        <f aca="false">IF($K1951="SEM CULTURA",0,$S1951*$H1951)</f>
        <v>4408.11</v>
      </c>
      <c r="AK1951" s="8" t="str">
        <f aca="false">$E1951&amp;"|"&amp;TEXT($AD1951,"0.000000")</f>
        <v>PV 126|0.259328</v>
      </c>
    </row>
    <row r="1952" customFormat="false" ht="15" hidden="false" customHeight="false" outlineLevel="0" collapsed="false">
      <c r="B1952" s="16" t="n">
        <v>33</v>
      </c>
      <c r="C1952" s="17" t="n">
        <f aca="false">DATA_INICIO_SAFRA+($B1952-1)*DIAS_POR_SEMANA</f>
        <v>46489</v>
      </c>
      <c r="D1952" s="17" t="n">
        <f aca="false">$C1952+DIAS_POR_SEMANA-1</f>
        <v>46495</v>
      </c>
      <c r="E1952" s="15" t="s">
        <v>288</v>
      </c>
      <c r="F1952" s="8" t="str">
        <f aca="false">IFERROR(INDEX(CADASTRO_PIVOS!$C$6:$C$41,MATCH($E1952,CADASTRO_PIVOS!$B$6:$B$41,0)),"?")</f>
        <v>RM07</v>
      </c>
      <c r="G1952" s="8" t="str">
        <f aca="false">IFERROR(INDEX(CADASTRO_PIVOS!$D$6:$D$41,MATCH($E1952,CADASTRO_PIVOS!$B$6:$B$41,0)),"?")</f>
        <v>TR07</v>
      </c>
      <c r="H1952" s="20" t="n">
        <f aca="false">IFERROR(INDEX(CADASTRO_PIVOS!$E$6:$E$41,MATCH($E1952,CADASTRO_PIVOS!$B$6:$B$41,0)),0)</f>
        <v>139.94</v>
      </c>
      <c r="I1952" s="16" t="n">
        <f aca="false">IFERROR(SUMIFS(ROTACAO_RDM!$B$6:$B$71,ROTACAO_RDM!$D$6:$D$71,$E1952,ROTACAO_RDM!$I$6:$I$71,"&lt;="&amp;$C1952+INT(DIAS_POR_SEMANA/2),ROTACAO_RDM!$J$6:$J$71,"&gt;="&amp;$C1952+INT(DIAS_POR_SEMANA/2)),0)</f>
        <v>49</v>
      </c>
      <c r="J1952" s="16" t="n">
        <f aca="false">IFERROR(MATCH($I1952,ROTACAO_RDM!$B$6:$B$71,0),0)</f>
        <v>49</v>
      </c>
      <c r="K1952" s="8" t="str">
        <f aca="false">IF($J1952=0,"SEM CULTURA",INDEX(ROTACAO_RDM!$F$6:$F$71,$J1952))</f>
        <v>TABACO</v>
      </c>
      <c r="L1952" s="8" t="str">
        <f aca="false">IF($J1952=0,"",INDEX(ROTACAO_RDM!$G$6:$G$71,$J1952))</f>
        <v>PVH-2343</v>
      </c>
      <c r="M1952" s="17" t="n">
        <f aca="false">IF($J1952=0,"",INDEX(ROTACAO_RDM!$I$6:$I$71,$J1952))</f>
        <v>46371</v>
      </c>
      <c r="N1952" s="16" t="n">
        <f aca="false">IF($J1952=0,0,MAX(0,$C1952+INT(DIAS_POR_SEMANA/2)-INDEX(ROTACAO_RDM!$I$6:$I$71,$J1952)))</f>
        <v>121</v>
      </c>
      <c r="O1952" s="19" t="n">
        <f aca="false">IF($J1952=0,0,MIN(1,$N1952/MAX(1,INDEX(ROTACAO_RDM!$K$6:$K$71,$J1952))))</f>
        <v>0.75625</v>
      </c>
      <c r="P1952" s="16" t="n">
        <f aca="false">IF($J1952=0,0,IFERROR(MATCH(INDEX(ROTACAO_RDM!$N$6:$N$71,$J1952),PARAMETROS_CULTURAS!$B$6:$B$28,0),0))</f>
        <v>9</v>
      </c>
      <c r="Q1952" s="8" t="str">
        <f aca="false">IF($P1952=0,"-",IF($O1952&lt;=INDEX(PARAMETROS_CULTURAS!$F$6:$F$28,$P1952),"INICIAL",IF($O1952&lt;=INDEX(PARAMETROS_CULTURAS!$F$6:$F$28,$P1952)+INDEX(PARAMETROS_CULTURAS!$G$6:$G$28,$P1952),"DESENVOLVIMENTO",IF($O1952&lt;=INDEX(PARAMETROS_CULTURAS!$F$6:$F$28,$P1952)+INDEX(PARAMETROS_CULTURAS!$G$6:$G$28,$P1952)+INDEX(PARAMETROS_CULTURAS!$H$6:$H$28,$P1952),"MEDIA","FINAL"))))</f>
        <v>FINAL</v>
      </c>
      <c r="R1952" s="24" t="n">
        <f aca="false">IF($P1952=0,0,IF($O1952&lt;=INDEX(PARAMETROS_CULTURAS!$F$6:$F$28,$P1952),INDEX(PARAMETROS_CULTURAS!$K$6:$K$28,$P1952),IF($O1952&lt;=INDEX(PARAMETROS_CULTURAS!$F$6:$F$28,$P1952)+INDEX(PARAMETROS_CULTURAS!$G$6:$G$28,$P1952),INDEX(PARAMETROS_CULTURAS!$K$6:$K$28,$P1952)+(INDEX(PARAMETROS_CULTURAS!$L$6:$L$28,$P1952)-INDEX(PARAMETROS_CULTURAS!$K$6:$K$28,$P1952))*($O1952-INDEX(PARAMETROS_CULTURAS!$F$6:$F$28,$P1952))/MAX(INDEX(PARAMETROS_CULTURAS!$G$6:$G$28,$P1952),0.0001),IF($O1952&lt;=INDEX(PARAMETROS_CULTURAS!$F$6:$F$28,$P1952)+INDEX(PARAMETROS_CULTURAS!$G$6:$G$28,$P1952)+INDEX(PARAMETROS_CULTURAS!$H$6:$H$28,$P1952),INDEX(PARAMETROS_CULTURAS!$L$6:$L$28,$P1952),INDEX(PARAMETROS_CULTURAS!$L$6:$L$28,$P1952)+(INDEX(PARAMETROS_CULTURAS!$M$6:$M$28,$P1952)-INDEX(PARAMETROS_CULTURAS!$L$6:$L$28,$P1952))*($O1952-INDEX(PARAMETROS_CULTURAS!$F$6:$F$28,$P1952)-INDEX(PARAMETROS_CULTURAS!$G$6:$G$28,$P1952)-INDEX(PARAMETROS_CULTURAS!$H$6:$H$28,$P1952))/MAX(INDEX(PARAMETROS_CULTURAS!$I$6:$I$28,$P1952),0.0001)))))</f>
        <v>1.06116071428571</v>
      </c>
      <c r="S1952" s="18" t="n">
        <f aca="false">IFERROR(INDEX(SEMANAS!$H$6:$H$71,MATCH($B1952,SEMANAS!$B$6:$B$71,0)),0)</f>
        <v>31.5</v>
      </c>
      <c r="T1952" s="18" t="n">
        <f aca="false">$R1952*$S1952</f>
        <v>33.4265625</v>
      </c>
      <c r="U1952" s="18" t="n">
        <f aca="false">IFERROR(INDEX(SEMANAS!$I$6:$I$71,MATCH($B1952,SEMANAS!$B$6:$B$71,0)),0)</f>
        <v>16.31</v>
      </c>
      <c r="V1952" s="18" t="n">
        <f aca="false">IFERROR(INDEX(SEMANAS!$J$6:$J$71,MATCH($B1952,SEMANAS!$B$6:$B$71,0)),0)</f>
        <v>13.048</v>
      </c>
      <c r="W1952" s="18" t="n">
        <f aca="false">MAX(0,$T1952-$V1952)</f>
        <v>20.3785625</v>
      </c>
      <c r="X1952" s="19" t="n">
        <f aca="false">IFERROR(INDEX(CADASTRO_PIVOS!$K$6:$K$41,MATCH($E1952,CADASTRO_PIVOS!$B$6:$B$41,0)),EFICIENCIA_PADRAO)</f>
        <v>0.85</v>
      </c>
      <c r="Y1952" s="18" t="n">
        <f aca="false">IF($X1952&lt;=0,0,$W1952/$X1952)</f>
        <v>23.9747794117647</v>
      </c>
      <c r="Z1952" s="16" t="n">
        <f aca="false">$Y1952*$H1952*MM_PARA_M3_HA</f>
        <v>33550.3063088235</v>
      </c>
      <c r="AA1952" s="18" t="n">
        <f aca="false">IFERROR(INDEX(CADASTRO_PIVOS!$I$6:$I$41,MATCH($E1952,CADASTRO_PIVOS!$B$6:$B$41,0)),0)</f>
        <v>932.933333333333</v>
      </c>
      <c r="AB1952" s="18" t="n">
        <f aca="false">IF($Z1952&lt;=0,0,$Z1952/$AA1952)</f>
        <v>35.9621691176471</v>
      </c>
      <c r="AC1952" s="16" t="n">
        <f aca="false">IFERROR(INDEX(SEMANAS!$K$6:$K$71,MATCH($B1952,SEMANAS!$B$6:$B$71,0)),0)</f>
        <v>147</v>
      </c>
      <c r="AD1952" s="19" t="n">
        <f aca="false">IF($AC1952&lt;=0,0,$AB1952/$AC1952)</f>
        <v>0.244640606242497</v>
      </c>
      <c r="AE1952" s="8" t="str">
        <f aca="false">IF($K1952="SEM CULTURA","SEM CULTURA",IF($AA1952&lt;=0,"DADO PENDENTE",IF($AD1952&gt;LIMITE_CRITICO,"INVIAVEL",IF($AD1952&gt;LIMITE_ATENCAO,"CRITICO",IF($AD1952&gt;LIMITE_CONFORTAVEL,"ATENCAO","OK")))))</f>
        <v>OK</v>
      </c>
      <c r="AF1952" s="8" t="str">
        <f aca="false">$B1952&amp;"|"&amp;TEXT($AD1952,"0.000000")</f>
        <v>33|0.244641</v>
      </c>
      <c r="AG1952" s="18" t="n">
        <f aca="false">IF($K1952="SEM CULTURA",0,$T1952*$H1952)</f>
        <v>4677.71315625</v>
      </c>
      <c r="AH1952" s="18" t="n">
        <f aca="false">IF($K1952="SEM CULTURA",0,$V1952*$H1952)</f>
        <v>1825.93712</v>
      </c>
      <c r="AI1952" s="18" t="n">
        <f aca="false">IF($K1952="SEM CULTURA",0,$W1952*$H1952)</f>
        <v>2851.77603625</v>
      </c>
      <c r="AJ1952" s="18" t="n">
        <f aca="false">IF($K1952="SEM CULTURA",0,$S1952*$H1952)</f>
        <v>4408.11</v>
      </c>
      <c r="AK1952" s="8" t="str">
        <f aca="false">$E1952&amp;"|"&amp;TEXT($AD1952,"0.000000")</f>
        <v>PV 126|0.244641</v>
      </c>
    </row>
    <row r="1953" customFormat="false" ht="15" hidden="false" customHeight="false" outlineLevel="0" collapsed="false">
      <c r="B1953" s="16" t="n">
        <v>34</v>
      </c>
      <c r="C1953" s="17" t="n">
        <f aca="false">DATA_INICIO_SAFRA+($B1953-1)*DIAS_POR_SEMANA</f>
        <v>46496</v>
      </c>
      <c r="D1953" s="17" t="n">
        <f aca="false">$C1953+DIAS_POR_SEMANA-1</f>
        <v>46502</v>
      </c>
      <c r="E1953" s="15" t="s">
        <v>288</v>
      </c>
      <c r="F1953" s="8" t="str">
        <f aca="false">IFERROR(INDEX(CADASTRO_PIVOS!$C$6:$C$41,MATCH($E1953,CADASTRO_PIVOS!$B$6:$B$41,0)),"?")</f>
        <v>RM07</v>
      </c>
      <c r="G1953" s="8" t="str">
        <f aca="false">IFERROR(INDEX(CADASTRO_PIVOS!$D$6:$D$41,MATCH($E1953,CADASTRO_PIVOS!$B$6:$B$41,0)),"?")</f>
        <v>TR07</v>
      </c>
      <c r="H1953" s="20" t="n">
        <f aca="false">IFERROR(INDEX(CADASTRO_PIVOS!$E$6:$E$41,MATCH($E1953,CADASTRO_PIVOS!$B$6:$B$41,0)),0)</f>
        <v>139.94</v>
      </c>
      <c r="I1953" s="16" t="n">
        <f aca="false">IFERROR(SUMIFS(ROTACAO_RDM!$B$6:$B$71,ROTACAO_RDM!$D$6:$D$71,$E1953,ROTACAO_RDM!$I$6:$I$71,"&lt;="&amp;$C1953+INT(DIAS_POR_SEMANA/2),ROTACAO_RDM!$J$6:$J$71,"&gt;="&amp;$C1953+INT(DIAS_POR_SEMANA/2)),0)</f>
        <v>49</v>
      </c>
      <c r="J1953" s="16" t="n">
        <f aca="false">IFERROR(MATCH($I1953,ROTACAO_RDM!$B$6:$B$71,0),0)</f>
        <v>49</v>
      </c>
      <c r="K1953" s="8" t="str">
        <f aca="false">IF($J1953=0,"SEM CULTURA",INDEX(ROTACAO_RDM!$F$6:$F$71,$J1953))</f>
        <v>TABACO</v>
      </c>
      <c r="L1953" s="8" t="str">
        <f aca="false">IF($J1953=0,"",INDEX(ROTACAO_RDM!$G$6:$G$71,$J1953))</f>
        <v>PVH-2343</v>
      </c>
      <c r="M1953" s="17" t="n">
        <f aca="false">IF($J1953=0,"",INDEX(ROTACAO_RDM!$I$6:$I$71,$J1953))</f>
        <v>46371</v>
      </c>
      <c r="N1953" s="16" t="n">
        <f aca="false">IF($J1953=0,0,MAX(0,$C1953+INT(DIAS_POR_SEMANA/2)-INDEX(ROTACAO_RDM!$I$6:$I$71,$J1953)))</f>
        <v>128</v>
      </c>
      <c r="O1953" s="19" t="n">
        <f aca="false">IF($J1953=0,0,MIN(1,$N1953/MAX(1,INDEX(ROTACAO_RDM!$K$6:$K$71,$J1953))))</f>
        <v>0.8</v>
      </c>
      <c r="P1953" s="16" t="n">
        <f aca="false">IF($J1953=0,0,IFERROR(MATCH(INDEX(ROTACAO_RDM!$N$6:$N$71,$J1953),PARAMETROS_CULTURAS!$B$6:$B$28,0),0))</f>
        <v>9</v>
      </c>
      <c r="Q1953" s="8" t="str">
        <f aca="false">IF($P1953=0,"-",IF($O1953&lt;=INDEX(PARAMETROS_CULTURAS!$F$6:$F$28,$P1953),"INICIAL",IF($O1953&lt;=INDEX(PARAMETROS_CULTURAS!$F$6:$F$28,$P1953)+INDEX(PARAMETROS_CULTURAS!$G$6:$G$28,$P1953),"DESENVOLVIMENTO",IF($O1953&lt;=INDEX(PARAMETROS_CULTURAS!$F$6:$F$28,$P1953)+INDEX(PARAMETROS_CULTURAS!$G$6:$G$28,$P1953)+INDEX(PARAMETROS_CULTURAS!$H$6:$H$28,$P1953),"MEDIA","FINAL"))))</f>
        <v>FINAL</v>
      </c>
      <c r="R1953" s="24" t="n">
        <f aca="false">IF($P1953=0,0,IF($O1953&lt;=INDEX(PARAMETROS_CULTURAS!$F$6:$F$28,$P1953),INDEX(PARAMETROS_CULTURAS!$K$6:$K$28,$P1953),IF($O1953&lt;=INDEX(PARAMETROS_CULTURAS!$F$6:$F$28,$P1953)+INDEX(PARAMETROS_CULTURAS!$G$6:$G$28,$P1953),INDEX(PARAMETROS_CULTURAS!$K$6:$K$28,$P1953)+(INDEX(PARAMETROS_CULTURAS!$L$6:$L$28,$P1953)-INDEX(PARAMETROS_CULTURAS!$K$6:$K$28,$P1953))*($O1953-INDEX(PARAMETROS_CULTURAS!$F$6:$F$28,$P1953))/MAX(INDEX(PARAMETROS_CULTURAS!$G$6:$G$28,$P1953),0.0001),IF($O1953&lt;=INDEX(PARAMETROS_CULTURAS!$F$6:$F$28,$P1953)+INDEX(PARAMETROS_CULTURAS!$G$6:$G$28,$P1953)+INDEX(PARAMETROS_CULTURAS!$H$6:$H$28,$P1953),INDEX(PARAMETROS_CULTURAS!$L$6:$L$28,$P1953),INDEX(PARAMETROS_CULTURAS!$L$6:$L$28,$P1953)+(INDEX(PARAMETROS_CULTURAS!$M$6:$M$28,$P1953)-INDEX(PARAMETROS_CULTURAS!$L$6:$L$28,$P1953))*($O1953-INDEX(PARAMETROS_CULTURAS!$F$6:$F$28,$P1953)-INDEX(PARAMETROS_CULTURAS!$G$6:$G$28,$P1953)-INDEX(PARAMETROS_CULTURAS!$H$6:$H$28,$P1953))/MAX(INDEX(PARAMETROS_CULTURAS!$I$6:$I$28,$P1953),0.0001)))))</f>
        <v>1.01428571428571</v>
      </c>
      <c r="S1953" s="18" t="n">
        <f aca="false">IFERROR(INDEX(SEMANAS!$H$6:$H$71,MATCH($B1953,SEMANAS!$B$6:$B$71,0)),0)</f>
        <v>31.5</v>
      </c>
      <c r="T1953" s="18" t="n">
        <f aca="false">$R1953*$S1953</f>
        <v>31.95</v>
      </c>
      <c r="U1953" s="18" t="n">
        <f aca="false">IFERROR(INDEX(SEMANAS!$I$6:$I$71,MATCH($B1953,SEMANAS!$B$6:$B$71,0)),0)</f>
        <v>16.31</v>
      </c>
      <c r="V1953" s="18" t="n">
        <f aca="false">IFERROR(INDEX(SEMANAS!$J$6:$J$71,MATCH($B1953,SEMANAS!$B$6:$B$71,0)),0)</f>
        <v>13.048</v>
      </c>
      <c r="W1953" s="18" t="n">
        <f aca="false">MAX(0,$T1953-$V1953)</f>
        <v>18.902</v>
      </c>
      <c r="X1953" s="19" t="n">
        <f aca="false">IFERROR(INDEX(CADASTRO_PIVOS!$K$6:$K$41,MATCH($E1953,CADASTRO_PIVOS!$B$6:$B$41,0)),EFICIENCIA_PADRAO)</f>
        <v>0.85</v>
      </c>
      <c r="Y1953" s="18" t="n">
        <f aca="false">IF($X1953&lt;=0,0,$W1953/$X1953)</f>
        <v>22.2376470588235</v>
      </c>
      <c r="Z1953" s="16" t="n">
        <f aca="false">$Y1953*$H1953*MM_PARA_M3_HA</f>
        <v>31119.3632941176</v>
      </c>
      <c r="AA1953" s="18" t="n">
        <f aca="false">IFERROR(INDEX(CADASTRO_PIVOS!$I$6:$I$41,MATCH($E1953,CADASTRO_PIVOS!$B$6:$B$41,0)),0)</f>
        <v>932.933333333333</v>
      </c>
      <c r="AB1953" s="18" t="n">
        <f aca="false">IF($Z1953&lt;=0,0,$Z1953/$AA1953)</f>
        <v>33.3564705882353</v>
      </c>
      <c r="AC1953" s="16" t="n">
        <f aca="false">IFERROR(INDEX(SEMANAS!$K$6:$K$71,MATCH($B1953,SEMANAS!$B$6:$B$71,0)),0)</f>
        <v>147</v>
      </c>
      <c r="AD1953" s="19" t="n">
        <f aca="false">IF($AC1953&lt;=0,0,$AB1953/$AC1953)</f>
        <v>0.226914765906363</v>
      </c>
      <c r="AE1953" s="8" t="str">
        <f aca="false">IF($K1953="SEM CULTURA","SEM CULTURA",IF($AA1953&lt;=0,"DADO PENDENTE",IF($AD1953&gt;LIMITE_CRITICO,"INVIAVEL",IF($AD1953&gt;LIMITE_ATENCAO,"CRITICO",IF($AD1953&gt;LIMITE_CONFORTAVEL,"ATENCAO","OK")))))</f>
        <v>OK</v>
      </c>
      <c r="AF1953" s="8" t="str">
        <f aca="false">$B1953&amp;"|"&amp;TEXT($AD1953,"0.000000")</f>
        <v>34|0.226915</v>
      </c>
      <c r="AG1953" s="18" t="n">
        <f aca="false">IF($K1953="SEM CULTURA",0,$T1953*$H1953)</f>
        <v>4471.083</v>
      </c>
      <c r="AH1953" s="18" t="n">
        <f aca="false">IF($K1953="SEM CULTURA",0,$V1953*$H1953)</f>
        <v>1825.93712</v>
      </c>
      <c r="AI1953" s="18" t="n">
        <f aca="false">IF($K1953="SEM CULTURA",0,$W1953*$H1953)</f>
        <v>2645.14588</v>
      </c>
      <c r="AJ1953" s="18" t="n">
        <f aca="false">IF($K1953="SEM CULTURA",0,$S1953*$H1953)</f>
        <v>4408.11</v>
      </c>
      <c r="AK1953" s="8" t="str">
        <f aca="false">$E1953&amp;"|"&amp;TEXT($AD1953,"0.000000")</f>
        <v>PV 126|0.226915</v>
      </c>
    </row>
    <row r="1954" customFormat="false" ht="15" hidden="false" customHeight="false" outlineLevel="0" collapsed="false">
      <c r="B1954" s="16" t="n">
        <v>35</v>
      </c>
      <c r="C1954" s="17" t="n">
        <f aca="false">DATA_INICIO_SAFRA+($B1954-1)*DIAS_POR_SEMANA</f>
        <v>46503</v>
      </c>
      <c r="D1954" s="17" t="n">
        <f aca="false">$C1954+DIAS_POR_SEMANA-1</f>
        <v>46509</v>
      </c>
      <c r="E1954" s="15" t="s">
        <v>288</v>
      </c>
      <c r="F1954" s="8" t="str">
        <f aca="false">IFERROR(INDEX(CADASTRO_PIVOS!$C$6:$C$41,MATCH($E1954,CADASTRO_PIVOS!$B$6:$B$41,0)),"?")</f>
        <v>RM07</v>
      </c>
      <c r="G1954" s="8" t="str">
        <f aca="false">IFERROR(INDEX(CADASTRO_PIVOS!$D$6:$D$41,MATCH($E1954,CADASTRO_PIVOS!$B$6:$B$41,0)),"?")</f>
        <v>TR07</v>
      </c>
      <c r="H1954" s="20" t="n">
        <f aca="false">IFERROR(INDEX(CADASTRO_PIVOS!$E$6:$E$41,MATCH($E1954,CADASTRO_PIVOS!$B$6:$B$41,0)),0)</f>
        <v>139.94</v>
      </c>
      <c r="I1954" s="16" t="n">
        <f aca="false">IFERROR(SUMIFS(ROTACAO_RDM!$B$6:$B$71,ROTACAO_RDM!$D$6:$D$71,$E1954,ROTACAO_RDM!$I$6:$I$71,"&lt;="&amp;$C1954+INT(DIAS_POR_SEMANA/2),ROTACAO_RDM!$J$6:$J$71,"&gt;="&amp;$C1954+INT(DIAS_POR_SEMANA/2)),0)</f>
        <v>49</v>
      </c>
      <c r="J1954" s="16" t="n">
        <f aca="false">IFERROR(MATCH($I1954,ROTACAO_RDM!$B$6:$B$71,0),0)</f>
        <v>49</v>
      </c>
      <c r="K1954" s="8" t="str">
        <f aca="false">IF($J1954=0,"SEM CULTURA",INDEX(ROTACAO_RDM!$F$6:$F$71,$J1954))</f>
        <v>TABACO</v>
      </c>
      <c r="L1954" s="8" t="str">
        <f aca="false">IF($J1954=0,"",INDEX(ROTACAO_RDM!$G$6:$G$71,$J1954))</f>
        <v>PVH-2343</v>
      </c>
      <c r="M1954" s="17" t="n">
        <f aca="false">IF($J1954=0,"",INDEX(ROTACAO_RDM!$I$6:$I$71,$J1954))</f>
        <v>46371</v>
      </c>
      <c r="N1954" s="16" t="n">
        <f aca="false">IF($J1954=0,0,MAX(0,$C1954+INT(DIAS_POR_SEMANA/2)-INDEX(ROTACAO_RDM!$I$6:$I$71,$J1954)))</f>
        <v>135</v>
      </c>
      <c r="O1954" s="19" t="n">
        <f aca="false">IF($J1954=0,0,MIN(1,$N1954/MAX(1,INDEX(ROTACAO_RDM!$K$6:$K$71,$J1954))))</f>
        <v>0.84375</v>
      </c>
      <c r="P1954" s="16" t="n">
        <f aca="false">IF($J1954=0,0,IFERROR(MATCH(INDEX(ROTACAO_RDM!$N$6:$N$71,$J1954),PARAMETROS_CULTURAS!$B$6:$B$28,0),0))</f>
        <v>9</v>
      </c>
      <c r="Q1954" s="8" t="str">
        <f aca="false">IF($P1954=0,"-",IF($O1954&lt;=INDEX(PARAMETROS_CULTURAS!$F$6:$F$28,$P1954),"INICIAL",IF($O1954&lt;=INDEX(PARAMETROS_CULTURAS!$F$6:$F$28,$P1954)+INDEX(PARAMETROS_CULTURAS!$G$6:$G$28,$P1954),"DESENVOLVIMENTO",IF($O1954&lt;=INDEX(PARAMETROS_CULTURAS!$F$6:$F$28,$P1954)+INDEX(PARAMETROS_CULTURAS!$G$6:$G$28,$P1954)+INDEX(PARAMETROS_CULTURAS!$H$6:$H$28,$P1954),"MEDIA","FINAL"))))</f>
        <v>FINAL</v>
      </c>
      <c r="R1954" s="24" t="n">
        <f aca="false">IF($P1954=0,0,IF($O1954&lt;=INDEX(PARAMETROS_CULTURAS!$F$6:$F$28,$P1954),INDEX(PARAMETROS_CULTURAS!$K$6:$K$28,$P1954),IF($O1954&lt;=INDEX(PARAMETROS_CULTURAS!$F$6:$F$28,$P1954)+INDEX(PARAMETROS_CULTURAS!$G$6:$G$28,$P1954),INDEX(PARAMETROS_CULTURAS!$K$6:$K$28,$P1954)+(INDEX(PARAMETROS_CULTURAS!$L$6:$L$28,$P1954)-INDEX(PARAMETROS_CULTURAS!$K$6:$K$28,$P1954))*($O1954-INDEX(PARAMETROS_CULTURAS!$F$6:$F$28,$P1954))/MAX(INDEX(PARAMETROS_CULTURAS!$G$6:$G$28,$P1954),0.0001),IF($O1954&lt;=INDEX(PARAMETROS_CULTURAS!$F$6:$F$28,$P1954)+INDEX(PARAMETROS_CULTURAS!$G$6:$G$28,$P1954)+INDEX(PARAMETROS_CULTURAS!$H$6:$H$28,$P1954),INDEX(PARAMETROS_CULTURAS!$L$6:$L$28,$P1954),INDEX(PARAMETROS_CULTURAS!$L$6:$L$28,$P1954)+(INDEX(PARAMETROS_CULTURAS!$M$6:$M$28,$P1954)-INDEX(PARAMETROS_CULTURAS!$L$6:$L$28,$P1954))*($O1954-INDEX(PARAMETROS_CULTURAS!$F$6:$F$28,$P1954)-INDEX(PARAMETROS_CULTURAS!$G$6:$G$28,$P1954)-INDEX(PARAMETROS_CULTURAS!$H$6:$H$28,$P1954))/MAX(INDEX(PARAMETROS_CULTURAS!$I$6:$I$28,$P1954),0.0001)))))</f>
        <v>0.967410714285714</v>
      </c>
      <c r="S1954" s="18" t="n">
        <f aca="false">IFERROR(INDEX(SEMANAS!$H$6:$H$71,MATCH($B1954,SEMANAS!$B$6:$B$71,0)),0)</f>
        <v>30.9</v>
      </c>
      <c r="T1954" s="18" t="n">
        <f aca="false">$R1954*$S1954</f>
        <v>29.8929910714286</v>
      </c>
      <c r="U1954" s="18" t="n">
        <f aca="false">IFERROR(INDEX(SEMANAS!$I$6:$I$71,MATCH($B1954,SEMANAS!$B$6:$B$71,0)),0)</f>
        <v>12.61</v>
      </c>
      <c r="V1954" s="18" t="n">
        <f aca="false">IFERROR(INDEX(SEMANAS!$J$6:$J$71,MATCH($B1954,SEMANAS!$B$6:$B$71,0)),0)</f>
        <v>10.088</v>
      </c>
      <c r="W1954" s="18" t="n">
        <f aca="false">MAX(0,$T1954-$V1954)</f>
        <v>19.8049910714286</v>
      </c>
      <c r="X1954" s="19" t="n">
        <f aca="false">IFERROR(INDEX(CADASTRO_PIVOS!$K$6:$K$41,MATCH($E1954,CADASTRO_PIVOS!$B$6:$B$41,0)),EFICIENCIA_PADRAO)</f>
        <v>0.85</v>
      </c>
      <c r="Y1954" s="18" t="n">
        <f aca="false">IF($X1954&lt;=0,0,$W1954/$X1954)</f>
        <v>23.2999894957983</v>
      </c>
      <c r="Z1954" s="16" t="n">
        <f aca="false">$Y1954*$H1954*MM_PARA_M3_HA</f>
        <v>32606.0053004202</v>
      </c>
      <c r="AA1954" s="18" t="n">
        <f aca="false">IFERROR(INDEX(CADASTRO_PIVOS!$I$6:$I$41,MATCH($E1954,CADASTRO_PIVOS!$B$6:$B$41,0)),0)</f>
        <v>932.933333333333</v>
      </c>
      <c r="AB1954" s="18" t="n">
        <f aca="false">IF($Z1954&lt;=0,0,$Z1954/$AA1954)</f>
        <v>34.9499842436975</v>
      </c>
      <c r="AC1954" s="16" t="n">
        <f aca="false">IFERROR(INDEX(SEMANAS!$K$6:$K$71,MATCH($B1954,SEMANAS!$B$6:$B$71,0)),0)</f>
        <v>147</v>
      </c>
      <c r="AD1954" s="19" t="n">
        <f aca="false">IF($AC1954&lt;=0,0,$AB1954/$AC1954)</f>
        <v>0.237754994855085</v>
      </c>
      <c r="AE1954" s="8" t="str">
        <f aca="false">IF($K1954="SEM CULTURA","SEM CULTURA",IF($AA1954&lt;=0,"DADO PENDENTE",IF($AD1954&gt;LIMITE_CRITICO,"INVIAVEL",IF($AD1954&gt;LIMITE_ATENCAO,"CRITICO",IF($AD1954&gt;LIMITE_CONFORTAVEL,"ATENCAO","OK")))))</f>
        <v>OK</v>
      </c>
      <c r="AF1954" s="8" t="str">
        <f aca="false">$B1954&amp;"|"&amp;TEXT($AD1954,"0.000000")</f>
        <v>35|0.237755</v>
      </c>
      <c r="AG1954" s="18" t="n">
        <f aca="false">IF($K1954="SEM CULTURA",0,$T1954*$H1954)</f>
        <v>4183.22517053571</v>
      </c>
      <c r="AH1954" s="18" t="n">
        <f aca="false">IF($K1954="SEM CULTURA",0,$V1954*$H1954)</f>
        <v>1411.71472</v>
      </c>
      <c r="AI1954" s="18" t="n">
        <f aca="false">IF($K1954="SEM CULTURA",0,$W1954*$H1954)</f>
        <v>2771.51045053571</v>
      </c>
      <c r="AJ1954" s="18" t="n">
        <f aca="false">IF($K1954="SEM CULTURA",0,$S1954*$H1954)</f>
        <v>4324.146</v>
      </c>
      <c r="AK1954" s="8" t="str">
        <f aca="false">$E1954&amp;"|"&amp;TEXT($AD1954,"0.000000")</f>
        <v>PV 126|0.237755</v>
      </c>
    </row>
    <row r="1955" customFormat="false" ht="15" hidden="false" customHeight="false" outlineLevel="0" collapsed="false">
      <c r="B1955" s="16" t="n">
        <v>36</v>
      </c>
      <c r="C1955" s="17" t="n">
        <f aca="false">DATA_INICIO_SAFRA+($B1955-1)*DIAS_POR_SEMANA</f>
        <v>46510</v>
      </c>
      <c r="D1955" s="17" t="n">
        <f aca="false">$C1955+DIAS_POR_SEMANA-1</f>
        <v>46516</v>
      </c>
      <c r="E1955" s="15" t="s">
        <v>288</v>
      </c>
      <c r="F1955" s="8" t="str">
        <f aca="false">IFERROR(INDEX(CADASTRO_PIVOS!$C$6:$C$41,MATCH($E1955,CADASTRO_PIVOS!$B$6:$B$41,0)),"?")</f>
        <v>RM07</v>
      </c>
      <c r="G1955" s="8" t="str">
        <f aca="false">IFERROR(INDEX(CADASTRO_PIVOS!$D$6:$D$41,MATCH($E1955,CADASTRO_PIVOS!$B$6:$B$41,0)),"?")</f>
        <v>TR07</v>
      </c>
      <c r="H1955" s="20" t="n">
        <f aca="false">IFERROR(INDEX(CADASTRO_PIVOS!$E$6:$E$41,MATCH($E1955,CADASTRO_PIVOS!$B$6:$B$41,0)),0)</f>
        <v>139.94</v>
      </c>
      <c r="I1955" s="16" t="n">
        <f aca="false">IFERROR(SUMIFS(ROTACAO_RDM!$B$6:$B$71,ROTACAO_RDM!$D$6:$D$71,$E1955,ROTACAO_RDM!$I$6:$I$71,"&lt;="&amp;$C1955+INT(DIAS_POR_SEMANA/2),ROTACAO_RDM!$J$6:$J$71,"&gt;="&amp;$C1955+INT(DIAS_POR_SEMANA/2)),0)</f>
        <v>49</v>
      </c>
      <c r="J1955" s="16" t="n">
        <f aca="false">IFERROR(MATCH($I1955,ROTACAO_RDM!$B$6:$B$71,0),0)</f>
        <v>49</v>
      </c>
      <c r="K1955" s="8" t="str">
        <f aca="false">IF($J1955=0,"SEM CULTURA",INDEX(ROTACAO_RDM!$F$6:$F$71,$J1955))</f>
        <v>TABACO</v>
      </c>
      <c r="L1955" s="8" t="str">
        <f aca="false">IF($J1955=0,"",INDEX(ROTACAO_RDM!$G$6:$G$71,$J1955))</f>
        <v>PVH-2343</v>
      </c>
      <c r="M1955" s="17" t="n">
        <f aca="false">IF($J1955=0,"",INDEX(ROTACAO_RDM!$I$6:$I$71,$J1955))</f>
        <v>46371</v>
      </c>
      <c r="N1955" s="16" t="n">
        <f aca="false">IF($J1955=0,0,MAX(0,$C1955+INT(DIAS_POR_SEMANA/2)-INDEX(ROTACAO_RDM!$I$6:$I$71,$J1955)))</f>
        <v>142</v>
      </c>
      <c r="O1955" s="19" t="n">
        <f aca="false">IF($J1955=0,0,MIN(1,$N1955/MAX(1,INDEX(ROTACAO_RDM!$K$6:$K$71,$J1955))))</f>
        <v>0.8875</v>
      </c>
      <c r="P1955" s="16" t="n">
        <f aca="false">IF($J1955=0,0,IFERROR(MATCH(INDEX(ROTACAO_RDM!$N$6:$N$71,$J1955),PARAMETROS_CULTURAS!$B$6:$B$28,0),0))</f>
        <v>9</v>
      </c>
      <c r="Q1955" s="8" t="str">
        <f aca="false">IF($P1955=0,"-",IF($O1955&lt;=INDEX(PARAMETROS_CULTURAS!$F$6:$F$28,$P1955),"INICIAL",IF($O1955&lt;=INDEX(PARAMETROS_CULTURAS!$F$6:$F$28,$P1955)+INDEX(PARAMETROS_CULTURAS!$G$6:$G$28,$P1955),"DESENVOLVIMENTO",IF($O1955&lt;=INDEX(PARAMETROS_CULTURAS!$F$6:$F$28,$P1955)+INDEX(PARAMETROS_CULTURAS!$G$6:$G$28,$P1955)+INDEX(PARAMETROS_CULTURAS!$H$6:$H$28,$P1955),"MEDIA","FINAL"))))</f>
        <v>FINAL</v>
      </c>
      <c r="R1955" s="24" t="n">
        <f aca="false">IF($P1955=0,0,IF($O1955&lt;=INDEX(PARAMETROS_CULTURAS!$F$6:$F$28,$P1955),INDEX(PARAMETROS_CULTURAS!$K$6:$K$28,$P1955),IF($O1955&lt;=INDEX(PARAMETROS_CULTURAS!$F$6:$F$28,$P1955)+INDEX(PARAMETROS_CULTURAS!$G$6:$G$28,$P1955),INDEX(PARAMETROS_CULTURAS!$K$6:$K$28,$P1955)+(INDEX(PARAMETROS_CULTURAS!$L$6:$L$28,$P1955)-INDEX(PARAMETROS_CULTURAS!$K$6:$K$28,$P1955))*($O1955-INDEX(PARAMETROS_CULTURAS!$F$6:$F$28,$P1955))/MAX(INDEX(PARAMETROS_CULTURAS!$G$6:$G$28,$P1955),0.0001),IF($O1955&lt;=INDEX(PARAMETROS_CULTURAS!$F$6:$F$28,$P1955)+INDEX(PARAMETROS_CULTURAS!$G$6:$G$28,$P1955)+INDEX(PARAMETROS_CULTURAS!$H$6:$H$28,$P1955),INDEX(PARAMETROS_CULTURAS!$L$6:$L$28,$P1955),INDEX(PARAMETROS_CULTURAS!$L$6:$L$28,$P1955)+(INDEX(PARAMETROS_CULTURAS!$M$6:$M$28,$P1955)-INDEX(PARAMETROS_CULTURAS!$L$6:$L$28,$P1955))*($O1955-INDEX(PARAMETROS_CULTURAS!$F$6:$F$28,$P1955)-INDEX(PARAMETROS_CULTURAS!$G$6:$G$28,$P1955)-INDEX(PARAMETROS_CULTURAS!$H$6:$H$28,$P1955))/MAX(INDEX(PARAMETROS_CULTURAS!$I$6:$I$28,$P1955),0.0001)))))</f>
        <v>0.920535714285714</v>
      </c>
      <c r="S1955" s="18" t="n">
        <f aca="false">IFERROR(INDEX(SEMANAS!$H$6:$H$71,MATCH($B1955,SEMANAS!$B$6:$B$71,0)),0)</f>
        <v>29.4</v>
      </c>
      <c r="T1955" s="18" t="n">
        <f aca="false">$R1955*$S1955</f>
        <v>27.06375</v>
      </c>
      <c r="U1955" s="18" t="n">
        <f aca="false">IFERROR(INDEX(SEMANAS!$I$6:$I$71,MATCH($B1955,SEMANAS!$B$6:$B$71,0)),0)</f>
        <v>3.36</v>
      </c>
      <c r="V1955" s="18" t="n">
        <f aca="false">IFERROR(INDEX(SEMANAS!$J$6:$J$71,MATCH($B1955,SEMANAS!$B$6:$B$71,0)),0)</f>
        <v>2.688</v>
      </c>
      <c r="W1955" s="18" t="n">
        <f aca="false">MAX(0,$T1955-$V1955)</f>
        <v>24.37575</v>
      </c>
      <c r="X1955" s="19" t="n">
        <f aca="false">IFERROR(INDEX(CADASTRO_PIVOS!$K$6:$K$41,MATCH($E1955,CADASTRO_PIVOS!$B$6:$B$41,0)),EFICIENCIA_PADRAO)</f>
        <v>0.85</v>
      </c>
      <c r="Y1955" s="18" t="n">
        <f aca="false">IF($X1955&lt;=0,0,$W1955/$X1955)</f>
        <v>28.6773529411765</v>
      </c>
      <c r="Z1955" s="16" t="n">
        <f aca="false">$Y1955*$H1955*MM_PARA_M3_HA</f>
        <v>40131.0877058824</v>
      </c>
      <c r="AA1955" s="18" t="n">
        <f aca="false">IFERROR(INDEX(CADASTRO_PIVOS!$I$6:$I$41,MATCH($E1955,CADASTRO_PIVOS!$B$6:$B$41,0)),0)</f>
        <v>932.933333333333</v>
      </c>
      <c r="AB1955" s="18" t="n">
        <f aca="false">IF($Z1955&lt;=0,0,$Z1955/$AA1955)</f>
        <v>43.0160294117647</v>
      </c>
      <c r="AC1955" s="16" t="n">
        <f aca="false">IFERROR(INDEX(SEMANAS!$K$6:$K$71,MATCH($B1955,SEMANAS!$B$6:$B$71,0)),0)</f>
        <v>147</v>
      </c>
      <c r="AD1955" s="19" t="n">
        <f aca="false">IF($AC1955&lt;=0,0,$AB1955/$AC1955)</f>
        <v>0.292626050420168</v>
      </c>
      <c r="AE1955" s="8" t="str">
        <f aca="false">IF($K1955="SEM CULTURA","SEM CULTURA",IF($AA1955&lt;=0,"DADO PENDENTE",IF($AD1955&gt;LIMITE_CRITICO,"INVIAVEL",IF($AD1955&gt;LIMITE_ATENCAO,"CRITICO",IF($AD1955&gt;LIMITE_CONFORTAVEL,"ATENCAO","OK")))))</f>
        <v>OK</v>
      </c>
      <c r="AF1955" s="8" t="str">
        <f aca="false">$B1955&amp;"|"&amp;TEXT($AD1955,"0.000000")</f>
        <v>36|0.292626</v>
      </c>
      <c r="AG1955" s="18" t="n">
        <f aca="false">IF($K1955="SEM CULTURA",0,$T1955*$H1955)</f>
        <v>3787.301175</v>
      </c>
      <c r="AH1955" s="18" t="n">
        <f aca="false">IF($K1955="SEM CULTURA",0,$V1955*$H1955)</f>
        <v>376.15872</v>
      </c>
      <c r="AI1955" s="18" t="n">
        <f aca="false">IF($K1955="SEM CULTURA",0,$W1955*$H1955)</f>
        <v>3411.142455</v>
      </c>
      <c r="AJ1955" s="18" t="n">
        <f aca="false">IF($K1955="SEM CULTURA",0,$S1955*$H1955)</f>
        <v>4114.236</v>
      </c>
      <c r="AK1955" s="8" t="str">
        <f aca="false">$E1955&amp;"|"&amp;TEXT($AD1955,"0.000000")</f>
        <v>PV 126|0.292626</v>
      </c>
    </row>
    <row r="1956" customFormat="false" ht="15" hidden="false" customHeight="false" outlineLevel="0" collapsed="false">
      <c r="B1956" s="16" t="n">
        <v>37</v>
      </c>
      <c r="C1956" s="17" t="n">
        <f aca="false">DATA_INICIO_SAFRA+($B1956-1)*DIAS_POR_SEMANA</f>
        <v>46517</v>
      </c>
      <c r="D1956" s="17" t="n">
        <f aca="false">$C1956+DIAS_POR_SEMANA-1</f>
        <v>46523</v>
      </c>
      <c r="E1956" s="15" t="s">
        <v>288</v>
      </c>
      <c r="F1956" s="8" t="str">
        <f aca="false">IFERROR(INDEX(CADASTRO_PIVOS!$C$6:$C$41,MATCH($E1956,CADASTRO_PIVOS!$B$6:$B$41,0)),"?")</f>
        <v>RM07</v>
      </c>
      <c r="G1956" s="8" t="str">
        <f aca="false">IFERROR(INDEX(CADASTRO_PIVOS!$D$6:$D$41,MATCH($E1956,CADASTRO_PIVOS!$B$6:$B$41,0)),"?")</f>
        <v>TR07</v>
      </c>
      <c r="H1956" s="20" t="n">
        <f aca="false">IFERROR(INDEX(CADASTRO_PIVOS!$E$6:$E$41,MATCH($E1956,CADASTRO_PIVOS!$B$6:$B$41,0)),0)</f>
        <v>139.94</v>
      </c>
      <c r="I1956" s="16" t="n">
        <f aca="false">IFERROR(SUMIFS(ROTACAO_RDM!$B$6:$B$71,ROTACAO_RDM!$D$6:$D$71,$E1956,ROTACAO_RDM!$I$6:$I$71,"&lt;="&amp;$C1956+INT(DIAS_POR_SEMANA/2),ROTACAO_RDM!$J$6:$J$71,"&gt;="&amp;$C1956+INT(DIAS_POR_SEMANA/2)),0)</f>
        <v>49</v>
      </c>
      <c r="J1956" s="16" t="n">
        <f aca="false">IFERROR(MATCH($I1956,ROTACAO_RDM!$B$6:$B$71,0),0)</f>
        <v>49</v>
      </c>
      <c r="K1956" s="8" t="str">
        <f aca="false">IF($J1956=0,"SEM CULTURA",INDEX(ROTACAO_RDM!$F$6:$F$71,$J1956))</f>
        <v>TABACO</v>
      </c>
      <c r="L1956" s="8" t="str">
        <f aca="false">IF($J1956=0,"",INDEX(ROTACAO_RDM!$G$6:$G$71,$J1956))</f>
        <v>PVH-2343</v>
      </c>
      <c r="M1956" s="17" t="n">
        <f aca="false">IF($J1956=0,"",INDEX(ROTACAO_RDM!$I$6:$I$71,$J1956))</f>
        <v>46371</v>
      </c>
      <c r="N1956" s="16" t="n">
        <f aca="false">IF($J1956=0,0,MAX(0,$C1956+INT(DIAS_POR_SEMANA/2)-INDEX(ROTACAO_RDM!$I$6:$I$71,$J1956)))</f>
        <v>149</v>
      </c>
      <c r="O1956" s="19" t="n">
        <f aca="false">IF($J1956=0,0,MIN(1,$N1956/MAX(1,INDEX(ROTACAO_RDM!$K$6:$K$71,$J1956))))</f>
        <v>0.93125</v>
      </c>
      <c r="P1956" s="16" t="n">
        <f aca="false">IF($J1956=0,0,IFERROR(MATCH(INDEX(ROTACAO_RDM!$N$6:$N$71,$J1956),PARAMETROS_CULTURAS!$B$6:$B$28,0),0))</f>
        <v>9</v>
      </c>
      <c r="Q1956" s="8" t="str">
        <f aca="false">IF($P1956=0,"-",IF($O1956&lt;=INDEX(PARAMETROS_CULTURAS!$F$6:$F$28,$P1956),"INICIAL",IF($O1956&lt;=INDEX(PARAMETROS_CULTURAS!$F$6:$F$28,$P1956)+INDEX(PARAMETROS_CULTURAS!$G$6:$G$28,$P1956),"DESENVOLVIMENTO",IF($O1956&lt;=INDEX(PARAMETROS_CULTURAS!$F$6:$F$28,$P1956)+INDEX(PARAMETROS_CULTURAS!$G$6:$G$28,$P1956)+INDEX(PARAMETROS_CULTURAS!$H$6:$H$28,$P1956),"MEDIA","FINAL"))))</f>
        <v>FINAL</v>
      </c>
      <c r="R1956" s="24" t="n">
        <f aca="false">IF($P1956=0,0,IF($O1956&lt;=INDEX(PARAMETROS_CULTURAS!$F$6:$F$28,$P1956),INDEX(PARAMETROS_CULTURAS!$K$6:$K$28,$P1956),IF($O1956&lt;=INDEX(PARAMETROS_CULTURAS!$F$6:$F$28,$P1956)+INDEX(PARAMETROS_CULTURAS!$G$6:$G$28,$P1956),INDEX(PARAMETROS_CULTURAS!$K$6:$K$28,$P1956)+(INDEX(PARAMETROS_CULTURAS!$L$6:$L$28,$P1956)-INDEX(PARAMETROS_CULTURAS!$K$6:$K$28,$P1956))*($O1956-INDEX(PARAMETROS_CULTURAS!$F$6:$F$28,$P1956))/MAX(INDEX(PARAMETROS_CULTURAS!$G$6:$G$28,$P1956),0.0001),IF($O1956&lt;=INDEX(PARAMETROS_CULTURAS!$F$6:$F$28,$P1956)+INDEX(PARAMETROS_CULTURAS!$G$6:$G$28,$P1956)+INDEX(PARAMETROS_CULTURAS!$H$6:$H$28,$P1956),INDEX(PARAMETROS_CULTURAS!$L$6:$L$28,$P1956),INDEX(PARAMETROS_CULTURAS!$L$6:$L$28,$P1956)+(INDEX(PARAMETROS_CULTURAS!$M$6:$M$28,$P1956)-INDEX(PARAMETROS_CULTURAS!$L$6:$L$28,$P1956))*($O1956-INDEX(PARAMETROS_CULTURAS!$F$6:$F$28,$P1956)-INDEX(PARAMETROS_CULTURAS!$G$6:$G$28,$P1956)-INDEX(PARAMETROS_CULTURAS!$H$6:$H$28,$P1956))/MAX(INDEX(PARAMETROS_CULTURAS!$I$6:$I$28,$P1956),0.0001)))))</f>
        <v>0.873660714285715</v>
      </c>
      <c r="S1956" s="18" t="n">
        <f aca="false">IFERROR(INDEX(SEMANAS!$H$6:$H$71,MATCH($B1956,SEMANAS!$B$6:$B$71,0)),0)</f>
        <v>29.4</v>
      </c>
      <c r="T1956" s="18" t="n">
        <f aca="false">$R1956*$S1956</f>
        <v>25.685625</v>
      </c>
      <c r="U1956" s="18" t="n">
        <f aca="false">IFERROR(INDEX(SEMANAS!$I$6:$I$71,MATCH($B1956,SEMANAS!$B$6:$B$71,0)),0)</f>
        <v>3.36</v>
      </c>
      <c r="V1956" s="18" t="n">
        <f aca="false">IFERROR(INDEX(SEMANAS!$J$6:$J$71,MATCH($B1956,SEMANAS!$B$6:$B$71,0)),0)</f>
        <v>2.688</v>
      </c>
      <c r="W1956" s="18" t="n">
        <f aca="false">MAX(0,$T1956-$V1956)</f>
        <v>22.997625</v>
      </c>
      <c r="X1956" s="19" t="n">
        <f aca="false">IFERROR(INDEX(CADASTRO_PIVOS!$K$6:$K$41,MATCH($E1956,CADASTRO_PIVOS!$B$6:$B$41,0)),EFICIENCIA_PADRAO)</f>
        <v>0.85</v>
      </c>
      <c r="Y1956" s="18" t="n">
        <f aca="false">IF($X1956&lt;=0,0,$W1956/$X1956)</f>
        <v>27.0560294117647</v>
      </c>
      <c r="Z1956" s="16" t="n">
        <f aca="false">$Y1956*$H1956*MM_PARA_M3_HA</f>
        <v>37862.2075588235</v>
      </c>
      <c r="AA1956" s="18" t="n">
        <f aca="false">IFERROR(INDEX(CADASTRO_PIVOS!$I$6:$I$41,MATCH($E1956,CADASTRO_PIVOS!$B$6:$B$41,0)),0)</f>
        <v>932.933333333333</v>
      </c>
      <c r="AB1956" s="18" t="n">
        <f aca="false">IF($Z1956&lt;=0,0,$Z1956/$AA1956)</f>
        <v>40.5840441176471</v>
      </c>
      <c r="AC1956" s="16" t="n">
        <f aca="false">IFERROR(INDEX(SEMANAS!$K$6:$K$71,MATCH($B1956,SEMANAS!$B$6:$B$71,0)),0)</f>
        <v>147</v>
      </c>
      <c r="AD1956" s="19" t="n">
        <f aca="false">IF($AC1956&lt;=0,0,$AB1956/$AC1956)</f>
        <v>0.276081932773109</v>
      </c>
      <c r="AE1956" s="8" t="str">
        <f aca="false">IF($K1956="SEM CULTURA","SEM CULTURA",IF($AA1956&lt;=0,"DADO PENDENTE",IF($AD1956&gt;LIMITE_CRITICO,"INVIAVEL",IF($AD1956&gt;LIMITE_ATENCAO,"CRITICO",IF($AD1956&gt;LIMITE_CONFORTAVEL,"ATENCAO","OK")))))</f>
        <v>OK</v>
      </c>
      <c r="AF1956" s="8" t="str">
        <f aca="false">$B1956&amp;"|"&amp;TEXT($AD1956,"0.000000")</f>
        <v>37|0.276082</v>
      </c>
      <c r="AG1956" s="18" t="n">
        <f aca="false">IF($K1956="SEM CULTURA",0,$T1956*$H1956)</f>
        <v>3594.4463625</v>
      </c>
      <c r="AH1956" s="18" t="n">
        <f aca="false">IF($K1956="SEM CULTURA",0,$V1956*$H1956)</f>
        <v>376.15872</v>
      </c>
      <c r="AI1956" s="18" t="n">
        <f aca="false">IF($K1956="SEM CULTURA",0,$W1956*$H1956)</f>
        <v>3218.2876425</v>
      </c>
      <c r="AJ1956" s="18" t="n">
        <f aca="false">IF($K1956="SEM CULTURA",0,$S1956*$H1956)</f>
        <v>4114.236</v>
      </c>
      <c r="AK1956" s="8" t="str">
        <f aca="false">$E1956&amp;"|"&amp;TEXT($AD1956,"0.000000")</f>
        <v>PV 126|0.276082</v>
      </c>
    </row>
    <row r="1957" customFormat="false" ht="15" hidden="false" customHeight="false" outlineLevel="0" collapsed="false">
      <c r="B1957" s="16" t="n">
        <v>38</v>
      </c>
      <c r="C1957" s="17" t="n">
        <f aca="false">DATA_INICIO_SAFRA+($B1957-1)*DIAS_POR_SEMANA</f>
        <v>46524</v>
      </c>
      <c r="D1957" s="17" t="n">
        <f aca="false">$C1957+DIAS_POR_SEMANA-1</f>
        <v>46530</v>
      </c>
      <c r="E1957" s="15" t="s">
        <v>288</v>
      </c>
      <c r="F1957" s="8" t="str">
        <f aca="false">IFERROR(INDEX(CADASTRO_PIVOS!$C$6:$C$41,MATCH($E1957,CADASTRO_PIVOS!$B$6:$B$41,0)),"?")</f>
        <v>RM07</v>
      </c>
      <c r="G1957" s="8" t="str">
        <f aca="false">IFERROR(INDEX(CADASTRO_PIVOS!$D$6:$D$41,MATCH($E1957,CADASTRO_PIVOS!$B$6:$B$41,0)),"?")</f>
        <v>TR07</v>
      </c>
      <c r="H1957" s="20" t="n">
        <f aca="false">IFERROR(INDEX(CADASTRO_PIVOS!$E$6:$E$41,MATCH($E1957,CADASTRO_PIVOS!$B$6:$B$41,0)),0)</f>
        <v>139.94</v>
      </c>
      <c r="I1957" s="16" t="n">
        <f aca="false">IFERROR(SUMIFS(ROTACAO_RDM!$B$6:$B$71,ROTACAO_RDM!$D$6:$D$71,$E1957,ROTACAO_RDM!$I$6:$I$71,"&lt;="&amp;$C1957+INT(DIAS_POR_SEMANA/2),ROTACAO_RDM!$J$6:$J$71,"&gt;="&amp;$C1957+INT(DIAS_POR_SEMANA/2)),0)</f>
        <v>49</v>
      </c>
      <c r="J1957" s="16" t="n">
        <f aca="false">IFERROR(MATCH($I1957,ROTACAO_RDM!$B$6:$B$71,0),0)</f>
        <v>49</v>
      </c>
      <c r="K1957" s="8" t="str">
        <f aca="false">IF($J1957=0,"SEM CULTURA",INDEX(ROTACAO_RDM!$F$6:$F$71,$J1957))</f>
        <v>TABACO</v>
      </c>
      <c r="L1957" s="8" t="str">
        <f aca="false">IF($J1957=0,"",INDEX(ROTACAO_RDM!$G$6:$G$71,$J1957))</f>
        <v>PVH-2343</v>
      </c>
      <c r="M1957" s="17" t="n">
        <f aca="false">IF($J1957=0,"",INDEX(ROTACAO_RDM!$I$6:$I$71,$J1957))</f>
        <v>46371</v>
      </c>
      <c r="N1957" s="16" t="n">
        <f aca="false">IF($J1957=0,0,MAX(0,$C1957+INT(DIAS_POR_SEMANA/2)-INDEX(ROTACAO_RDM!$I$6:$I$71,$J1957)))</f>
        <v>156</v>
      </c>
      <c r="O1957" s="19" t="n">
        <f aca="false">IF($J1957=0,0,MIN(1,$N1957/MAX(1,INDEX(ROTACAO_RDM!$K$6:$K$71,$J1957))))</f>
        <v>0.975</v>
      </c>
      <c r="P1957" s="16" t="n">
        <f aca="false">IF($J1957=0,0,IFERROR(MATCH(INDEX(ROTACAO_RDM!$N$6:$N$71,$J1957),PARAMETROS_CULTURAS!$B$6:$B$28,0),0))</f>
        <v>9</v>
      </c>
      <c r="Q1957" s="8" t="str">
        <f aca="false">IF($P1957=0,"-",IF($O1957&lt;=INDEX(PARAMETROS_CULTURAS!$F$6:$F$28,$P1957),"INICIAL",IF($O1957&lt;=INDEX(PARAMETROS_CULTURAS!$F$6:$F$28,$P1957)+INDEX(PARAMETROS_CULTURAS!$G$6:$G$28,$P1957),"DESENVOLVIMENTO",IF($O1957&lt;=INDEX(PARAMETROS_CULTURAS!$F$6:$F$28,$P1957)+INDEX(PARAMETROS_CULTURAS!$G$6:$G$28,$P1957)+INDEX(PARAMETROS_CULTURAS!$H$6:$H$28,$P1957),"MEDIA","FINAL"))))</f>
        <v>FINAL</v>
      </c>
      <c r="R1957" s="24" t="n">
        <f aca="false">IF($P1957=0,0,IF($O1957&lt;=INDEX(PARAMETROS_CULTURAS!$F$6:$F$28,$P1957),INDEX(PARAMETROS_CULTURAS!$K$6:$K$28,$P1957),IF($O1957&lt;=INDEX(PARAMETROS_CULTURAS!$F$6:$F$28,$P1957)+INDEX(PARAMETROS_CULTURAS!$G$6:$G$28,$P1957),INDEX(PARAMETROS_CULTURAS!$K$6:$K$28,$P1957)+(INDEX(PARAMETROS_CULTURAS!$L$6:$L$28,$P1957)-INDEX(PARAMETROS_CULTURAS!$K$6:$K$28,$P1957))*($O1957-INDEX(PARAMETROS_CULTURAS!$F$6:$F$28,$P1957))/MAX(INDEX(PARAMETROS_CULTURAS!$G$6:$G$28,$P1957),0.0001),IF($O1957&lt;=INDEX(PARAMETROS_CULTURAS!$F$6:$F$28,$P1957)+INDEX(PARAMETROS_CULTURAS!$G$6:$G$28,$P1957)+INDEX(PARAMETROS_CULTURAS!$H$6:$H$28,$P1957),INDEX(PARAMETROS_CULTURAS!$L$6:$L$28,$P1957),INDEX(PARAMETROS_CULTURAS!$L$6:$L$28,$P1957)+(INDEX(PARAMETROS_CULTURAS!$M$6:$M$28,$P1957)-INDEX(PARAMETROS_CULTURAS!$L$6:$L$28,$P1957))*($O1957-INDEX(PARAMETROS_CULTURAS!$F$6:$F$28,$P1957)-INDEX(PARAMETROS_CULTURAS!$G$6:$G$28,$P1957)-INDEX(PARAMETROS_CULTURAS!$H$6:$H$28,$P1957))/MAX(INDEX(PARAMETROS_CULTURAS!$I$6:$I$28,$P1957),0.0001)))))</f>
        <v>0.826785714285715</v>
      </c>
      <c r="S1957" s="18" t="n">
        <f aca="false">IFERROR(INDEX(SEMANAS!$H$6:$H$71,MATCH($B1957,SEMANAS!$B$6:$B$71,0)),0)</f>
        <v>29.4</v>
      </c>
      <c r="T1957" s="18" t="n">
        <f aca="false">$R1957*$S1957</f>
        <v>24.3075</v>
      </c>
      <c r="U1957" s="18" t="n">
        <f aca="false">IFERROR(INDEX(SEMANAS!$I$6:$I$71,MATCH($B1957,SEMANAS!$B$6:$B$71,0)),0)</f>
        <v>3.36</v>
      </c>
      <c r="V1957" s="18" t="n">
        <f aca="false">IFERROR(INDEX(SEMANAS!$J$6:$J$71,MATCH($B1957,SEMANAS!$B$6:$B$71,0)),0)</f>
        <v>2.688</v>
      </c>
      <c r="W1957" s="18" t="n">
        <f aca="false">MAX(0,$T1957-$V1957)</f>
        <v>21.6195</v>
      </c>
      <c r="X1957" s="19" t="n">
        <f aca="false">IFERROR(INDEX(CADASTRO_PIVOS!$K$6:$K$41,MATCH($E1957,CADASTRO_PIVOS!$B$6:$B$41,0)),EFICIENCIA_PADRAO)</f>
        <v>0.85</v>
      </c>
      <c r="Y1957" s="18" t="n">
        <f aca="false">IF($X1957&lt;=0,0,$W1957/$X1957)</f>
        <v>25.434705882353</v>
      </c>
      <c r="Z1957" s="16" t="n">
        <f aca="false">$Y1957*$H1957*MM_PARA_M3_HA</f>
        <v>35593.3274117647</v>
      </c>
      <c r="AA1957" s="18" t="n">
        <f aca="false">IFERROR(INDEX(CADASTRO_PIVOS!$I$6:$I$41,MATCH($E1957,CADASTRO_PIVOS!$B$6:$B$41,0)),0)</f>
        <v>932.933333333333</v>
      </c>
      <c r="AB1957" s="18" t="n">
        <f aca="false">IF($Z1957&lt;=0,0,$Z1957/$AA1957)</f>
        <v>38.1520588235294</v>
      </c>
      <c r="AC1957" s="16" t="n">
        <f aca="false">IFERROR(INDEX(SEMANAS!$K$6:$K$71,MATCH($B1957,SEMANAS!$B$6:$B$71,0)),0)</f>
        <v>147</v>
      </c>
      <c r="AD1957" s="19" t="n">
        <f aca="false">IF($AC1957&lt;=0,0,$AB1957/$AC1957)</f>
        <v>0.259537815126051</v>
      </c>
      <c r="AE1957" s="8" t="str">
        <f aca="false">IF($K1957="SEM CULTURA","SEM CULTURA",IF($AA1957&lt;=0,"DADO PENDENTE",IF($AD1957&gt;LIMITE_CRITICO,"INVIAVEL",IF($AD1957&gt;LIMITE_ATENCAO,"CRITICO",IF($AD1957&gt;LIMITE_CONFORTAVEL,"ATENCAO","OK")))))</f>
        <v>OK</v>
      </c>
      <c r="AF1957" s="8" t="str">
        <f aca="false">$B1957&amp;"|"&amp;TEXT($AD1957,"0.000000")</f>
        <v>38|0.259538</v>
      </c>
      <c r="AG1957" s="18" t="n">
        <f aca="false">IF($K1957="SEM CULTURA",0,$T1957*$H1957)</f>
        <v>3401.59155</v>
      </c>
      <c r="AH1957" s="18" t="n">
        <f aca="false">IF($K1957="SEM CULTURA",0,$V1957*$H1957)</f>
        <v>376.15872</v>
      </c>
      <c r="AI1957" s="18" t="n">
        <f aca="false">IF($K1957="SEM CULTURA",0,$W1957*$H1957)</f>
        <v>3025.43283</v>
      </c>
      <c r="AJ1957" s="18" t="n">
        <f aca="false">IF($K1957="SEM CULTURA",0,$S1957*$H1957)</f>
        <v>4114.236</v>
      </c>
      <c r="AK1957" s="8" t="str">
        <f aca="false">$E1957&amp;"|"&amp;TEXT($AD1957,"0.000000")</f>
        <v>PV 126|0.259538</v>
      </c>
    </row>
    <row r="1958" customFormat="false" ht="15" hidden="false" customHeight="false" outlineLevel="0" collapsed="false">
      <c r="B1958" s="16" t="n">
        <v>39</v>
      </c>
      <c r="C1958" s="17" t="n">
        <f aca="false">DATA_INICIO_SAFRA+($B1958-1)*DIAS_POR_SEMANA</f>
        <v>46531</v>
      </c>
      <c r="D1958" s="17" t="n">
        <f aca="false">$C1958+DIAS_POR_SEMANA-1</f>
        <v>46537</v>
      </c>
      <c r="E1958" s="15" t="s">
        <v>288</v>
      </c>
      <c r="F1958" s="8" t="str">
        <f aca="false">IFERROR(INDEX(CADASTRO_PIVOS!$C$6:$C$41,MATCH($E1958,CADASTRO_PIVOS!$B$6:$B$41,0)),"?")</f>
        <v>RM07</v>
      </c>
      <c r="G1958" s="8" t="str">
        <f aca="false">IFERROR(INDEX(CADASTRO_PIVOS!$D$6:$D$41,MATCH($E1958,CADASTRO_PIVOS!$B$6:$B$41,0)),"?")</f>
        <v>TR07</v>
      </c>
      <c r="H1958" s="20" t="n">
        <f aca="false">IFERROR(INDEX(CADASTRO_PIVOS!$E$6:$E$41,MATCH($E1958,CADASTRO_PIVOS!$B$6:$B$41,0)),0)</f>
        <v>139.94</v>
      </c>
      <c r="I1958" s="16" t="n">
        <f aca="false">IFERROR(SUMIFS(ROTACAO_RDM!$B$6:$B$71,ROTACAO_RDM!$D$6:$D$71,$E1958,ROTACAO_RDM!$I$6:$I$71,"&lt;="&amp;$C1958+INT(DIAS_POR_SEMANA/2),ROTACAO_RDM!$J$6:$J$71,"&gt;="&amp;$C1958+INT(DIAS_POR_SEMANA/2)),0)</f>
        <v>0</v>
      </c>
      <c r="J1958" s="16" t="n">
        <f aca="false">IFERROR(MATCH($I1958,ROTACAO_RDM!$B$6:$B$71,0),0)</f>
        <v>0</v>
      </c>
      <c r="K1958" s="8" t="str">
        <f aca="false">IF($J1958=0,"SEM CULTURA",INDEX(ROTACAO_RDM!$F$6:$F$71,$J1958))</f>
        <v>SEM CULTURA</v>
      </c>
      <c r="L1958" s="8" t="str">
        <f aca="false">IF($J1958=0,"",INDEX(ROTACAO_RDM!$G$6:$G$71,$J1958))</f>
        <v/>
      </c>
      <c r="M1958" s="17" t="str">
        <f aca="false">IF($J1958=0,"",INDEX(ROTACAO_RDM!$I$6:$I$71,$J1958))</f>
        <v/>
      </c>
      <c r="N1958" s="16" t="n">
        <f aca="false">IF($J1958=0,0,MAX(0,$C1958+INT(DIAS_POR_SEMANA/2)-INDEX(ROTACAO_RDM!$I$6:$I$71,$J1958)))</f>
        <v>0</v>
      </c>
      <c r="O1958" s="19" t="n">
        <f aca="false">IF($J1958=0,0,MIN(1,$N1958/MAX(1,INDEX(ROTACAO_RDM!$K$6:$K$71,$J1958))))</f>
        <v>0</v>
      </c>
      <c r="P1958" s="16" t="n">
        <f aca="false">IF($J1958=0,0,IFERROR(MATCH(INDEX(ROTACAO_RDM!$N$6:$N$71,$J1958),PARAMETROS_CULTURAS!$B$6:$B$28,0),0))</f>
        <v>0</v>
      </c>
      <c r="Q1958" s="8" t="str">
        <f aca="false">IF($P1958=0,"-",IF($O1958&lt;=INDEX(PARAMETROS_CULTURAS!$F$6:$F$28,$P1958),"INICIAL",IF($O1958&lt;=INDEX(PARAMETROS_CULTURAS!$F$6:$F$28,$P1958)+INDEX(PARAMETROS_CULTURAS!$G$6:$G$28,$P1958),"DESENVOLVIMENTO",IF($O1958&lt;=INDEX(PARAMETROS_CULTURAS!$F$6:$F$28,$P1958)+INDEX(PARAMETROS_CULTURAS!$G$6:$G$28,$P1958)+INDEX(PARAMETROS_CULTURAS!$H$6:$H$28,$P1958),"MEDIA","FINAL"))))</f>
        <v>-</v>
      </c>
      <c r="R1958" s="24" t="n">
        <f aca="false">IF($P1958=0,0,IF($O1958&lt;=INDEX(PARAMETROS_CULTURAS!$F$6:$F$28,$P1958),INDEX(PARAMETROS_CULTURAS!$K$6:$K$28,$P1958),IF($O1958&lt;=INDEX(PARAMETROS_CULTURAS!$F$6:$F$28,$P1958)+INDEX(PARAMETROS_CULTURAS!$G$6:$G$28,$P1958),INDEX(PARAMETROS_CULTURAS!$K$6:$K$28,$P1958)+(INDEX(PARAMETROS_CULTURAS!$L$6:$L$28,$P1958)-INDEX(PARAMETROS_CULTURAS!$K$6:$K$28,$P1958))*($O1958-INDEX(PARAMETROS_CULTURAS!$F$6:$F$28,$P1958))/MAX(INDEX(PARAMETROS_CULTURAS!$G$6:$G$28,$P1958),0.0001),IF($O1958&lt;=INDEX(PARAMETROS_CULTURAS!$F$6:$F$28,$P1958)+INDEX(PARAMETROS_CULTURAS!$G$6:$G$28,$P1958)+INDEX(PARAMETROS_CULTURAS!$H$6:$H$28,$P1958),INDEX(PARAMETROS_CULTURAS!$L$6:$L$28,$P1958),INDEX(PARAMETROS_CULTURAS!$L$6:$L$28,$P1958)+(INDEX(PARAMETROS_CULTURAS!$M$6:$M$28,$P1958)-INDEX(PARAMETROS_CULTURAS!$L$6:$L$28,$P1958))*($O1958-INDEX(PARAMETROS_CULTURAS!$F$6:$F$28,$P1958)-INDEX(PARAMETROS_CULTURAS!$G$6:$G$28,$P1958)-INDEX(PARAMETROS_CULTURAS!$H$6:$H$28,$P1958))/MAX(INDEX(PARAMETROS_CULTURAS!$I$6:$I$28,$P1958),0.0001)))))</f>
        <v>0</v>
      </c>
      <c r="S1958" s="18" t="n">
        <f aca="false">IFERROR(INDEX(SEMANAS!$H$6:$H$71,MATCH($B1958,SEMANAS!$B$6:$B$71,0)),0)</f>
        <v>29.4</v>
      </c>
      <c r="T1958" s="18" t="n">
        <f aca="false">$R1958*$S1958</f>
        <v>0</v>
      </c>
      <c r="U1958" s="18" t="n">
        <f aca="false">IFERROR(INDEX(SEMANAS!$I$6:$I$71,MATCH($B1958,SEMANAS!$B$6:$B$71,0)),0)</f>
        <v>3.36</v>
      </c>
      <c r="V1958" s="18" t="n">
        <f aca="false">IFERROR(INDEX(SEMANAS!$J$6:$J$71,MATCH($B1958,SEMANAS!$B$6:$B$71,0)),0)</f>
        <v>2.688</v>
      </c>
      <c r="W1958" s="18" t="n">
        <f aca="false">MAX(0,$T1958-$V1958)</f>
        <v>0</v>
      </c>
      <c r="X1958" s="19" t="n">
        <f aca="false">IFERROR(INDEX(CADASTRO_PIVOS!$K$6:$K$41,MATCH($E1958,CADASTRO_PIVOS!$B$6:$B$41,0)),EFICIENCIA_PADRAO)</f>
        <v>0.85</v>
      </c>
      <c r="Y1958" s="18" t="n">
        <f aca="false">IF($X1958&lt;=0,0,$W1958/$X1958)</f>
        <v>0</v>
      </c>
      <c r="Z1958" s="16" t="n">
        <f aca="false">$Y1958*$H1958*MM_PARA_M3_HA</f>
        <v>0</v>
      </c>
      <c r="AA1958" s="18" t="n">
        <f aca="false">IFERROR(INDEX(CADASTRO_PIVOS!$I$6:$I$41,MATCH($E1958,CADASTRO_PIVOS!$B$6:$B$41,0)),0)</f>
        <v>932.933333333333</v>
      </c>
      <c r="AB1958" s="18" t="n">
        <f aca="false">IF($Z1958&lt;=0,0,$Z1958/$AA1958)</f>
        <v>0</v>
      </c>
      <c r="AC1958" s="16" t="n">
        <f aca="false">IFERROR(INDEX(SEMANAS!$K$6:$K$71,MATCH($B1958,SEMANAS!$B$6:$B$71,0)),0)</f>
        <v>147</v>
      </c>
      <c r="AD1958" s="19" t="n">
        <f aca="false">IF($AC1958&lt;=0,0,$AB1958/$AC1958)</f>
        <v>0</v>
      </c>
      <c r="AE1958" s="8" t="str">
        <f aca="false">IF($K1958="SEM CULTURA","SEM CULTURA",IF($AA1958&lt;=0,"DADO PENDENTE",IF($AD1958&gt;LIMITE_CRITICO,"INVIAVEL",IF($AD1958&gt;LIMITE_ATENCAO,"CRITICO",IF($AD1958&gt;LIMITE_CONFORTAVEL,"ATENCAO","OK")))))</f>
        <v>SEM CULTURA</v>
      </c>
      <c r="AF1958" s="8" t="str">
        <f aca="false">$B1958&amp;"|"&amp;TEXT($AD1958,"0.000000")</f>
        <v>39|0.000000</v>
      </c>
      <c r="AG1958" s="18" t="n">
        <f aca="false">IF($K1958="SEM CULTURA",0,$T1958*$H1958)</f>
        <v>0</v>
      </c>
      <c r="AH1958" s="18" t="n">
        <f aca="false">IF($K1958="SEM CULTURA",0,$V1958*$H1958)</f>
        <v>0</v>
      </c>
      <c r="AI1958" s="18" t="n">
        <f aca="false">IF($K1958="SEM CULTURA",0,$W1958*$H1958)</f>
        <v>0</v>
      </c>
      <c r="AJ1958" s="18" t="n">
        <f aca="false">IF($K1958="SEM CULTURA",0,$S1958*$H1958)</f>
        <v>0</v>
      </c>
      <c r="AK1958" s="8" t="str">
        <f aca="false">$E1958&amp;"|"&amp;TEXT($AD1958,"0.000000")</f>
        <v>PV 126|0.000000</v>
      </c>
    </row>
    <row r="1959" customFormat="false" ht="15" hidden="false" customHeight="false" outlineLevel="0" collapsed="false">
      <c r="B1959" s="16" t="n">
        <v>40</v>
      </c>
      <c r="C1959" s="17" t="n">
        <f aca="false">DATA_INICIO_SAFRA+($B1959-1)*DIAS_POR_SEMANA</f>
        <v>46538</v>
      </c>
      <c r="D1959" s="17" t="n">
        <f aca="false">$C1959+DIAS_POR_SEMANA-1</f>
        <v>46544</v>
      </c>
      <c r="E1959" s="15" t="s">
        <v>288</v>
      </c>
      <c r="F1959" s="8" t="str">
        <f aca="false">IFERROR(INDEX(CADASTRO_PIVOS!$C$6:$C$41,MATCH($E1959,CADASTRO_PIVOS!$B$6:$B$41,0)),"?")</f>
        <v>RM07</v>
      </c>
      <c r="G1959" s="8" t="str">
        <f aca="false">IFERROR(INDEX(CADASTRO_PIVOS!$D$6:$D$41,MATCH($E1959,CADASTRO_PIVOS!$B$6:$B$41,0)),"?")</f>
        <v>TR07</v>
      </c>
      <c r="H1959" s="20" t="n">
        <f aca="false">IFERROR(INDEX(CADASTRO_PIVOS!$E$6:$E$41,MATCH($E1959,CADASTRO_PIVOS!$B$6:$B$41,0)),0)</f>
        <v>139.94</v>
      </c>
      <c r="I1959" s="16" t="n">
        <f aca="false">IFERROR(SUMIFS(ROTACAO_RDM!$B$6:$B$71,ROTACAO_RDM!$D$6:$D$71,$E1959,ROTACAO_RDM!$I$6:$I$71,"&lt;="&amp;$C1959+INT(DIAS_POR_SEMANA/2),ROTACAO_RDM!$J$6:$J$71,"&gt;="&amp;$C1959+INT(DIAS_POR_SEMANA/2)),0)</f>
        <v>50</v>
      </c>
      <c r="J1959" s="16" t="n">
        <f aca="false">IFERROR(MATCH($I1959,ROTACAO_RDM!$B$6:$B$71,0),0)</f>
        <v>50</v>
      </c>
      <c r="K1959" s="8" t="str">
        <f aca="false">IF($J1959=0,"SEM CULTURA",INDEX(ROTACAO_RDM!$F$6:$F$71,$J1959))</f>
        <v>MILHO_GRAO</v>
      </c>
      <c r="L1959" s="8" t="n">
        <f aca="false">IF($J1959=0,"",INDEX(ROTACAO_RDM!$G$6:$G$71,$J1959))</f>
        <v>0</v>
      </c>
      <c r="M1959" s="17" t="n">
        <f aca="false">IF($J1959=0,"",INDEX(ROTACAO_RDM!$I$6:$I$71,$J1959))</f>
        <v>46541</v>
      </c>
      <c r="N1959" s="16" t="n">
        <f aca="false">IF($J1959=0,0,MAX(0,$C1959+INT(DIAS_POR_SEMANA/2)-INDEX(ROTACAO_RDM!$I$6:$I$71,$J1959)))</f>
        <v>0</v>
      </c>
      <c r="O1959" s="19" t="n">
        <f aca="false">IF($J1959=0,0,MIN(1,$N1959/MAX(1,INDEX(ROTACAO_RDM!$K$6:$K$71,$J1959))))</f>
        <v>0</v>
      </c>
      <c r="P1959" s="16" t="n">
        <f aca="false">IF($J1959=0,0,IFERROR(MATCH(INDEX(ROTACAO_RDM!$N$6:$N$71,$J1959),PARAMETROS_CULTURAS!$B$6:$B$28,0),0))</f>
        <v>8</v>
      </c>
      <c r="Q1959" s="8" t="str">
        <f aca="false">IF($P1959=0,"-",IF($O1959&lt;=INDEX(PARAMETROS_CULTURAS!$F$6:$F$28,$P1959),"INICIAL",IF($O1959&lt;=INDEX(PARAMETROS_CULTURAS!$F$6:$F$28,$P1959)+INDEX(PARAMETROS_CULTURAS!$G$6:$G$28,$P1959),"DESENVOLVIMENTO",IF($O1959&lt;=INDEX(PARAMETROS_CULTURAS!$F$6:$F$28,$P1959)+INDEX(PARAMETROS_CULTURAS!$G$6:$G$28,$P1959)+INDEX(PARAMETROS_CULTURAS!$H$6:$H$28,$P1959),"MEDIA","FINAL"))))</f>
        <v>INICIAL</v>
      </c>
      <c r="R1959" s="24" t="n">
        <f aca="false">IF($P1959=0,0,IF($O1959&lt;=INDEX(PARAMETROS_CULTURAS!$F$6:$F$28,$P1959),INDEX(PARAMETROS_CULTURAS!$K$6:$K$28,$P1959),IF($O1959&lt;=INDEX(PARAMETROS_CULTURAS!$F$6:$F$28,$P1959)+INDEX(PARAMETROS_CULTURAS!$G$6:$G$28,$P1959),INDEX(PARAMETROS_CULTURAS!$K$6:$K$28,$P1959)+(INDEX(PARAMETROS_CULTURAS!$L$6:$L$28,$P1959)-INDEX(PARAMETROS_CULTURAS!$K$6:$K$28,$P1959))*($O1959-INDEX(PARAMETROS_CULTURAS!$F$6:$F$28,$P1959))/MAX(INDEX(PARAMETROS_CULTURAS!$G$6:$G$28,$P1959),0.0001),IF($O1959&lt;=INDEX(PARAMETROS_CULTURAS!$F$6:$F$28,$P1959)+INDEX(PARAMETROS_CULTURAS!$G$6:$G$28,$P1959)+INDEX(PARAMETROS_CULTURAS!$H$6:$H$28,$P1959),INDEX(PARAMETROS_CULTURAS!$L$6:$L$28,$P1959),INDEX(PARAMETROS_CULTURAS!$L$6:$L$28,$P1959)+(INDEX(PARAMETROS_CULTURAS!$M$6:$M$28,$P1959)-INDEX(PARAMETROS_CULTURAS!$L$6:$L$28,$P1959))*($O1959-INDEX(PARAMETROS_CULTURAS!$F$6:$F$28,$P1959)-INDEX(PARAMETROS_CULTURAS!$G$6:$G$28,$P1959)-INDEX(PARAMETROS_CULTURAS!$H$6:$H$28,$P1959))/MAX(INDEX(PARAMETROS_CULTURAS!$I$6:$I$28,$P1959),0.0001)))))</f>
        <v>0.3</v>
      </c>
      <c r="S1959" s="18" t="n">
        <f aca="false">IFERROR(INDEX(SEMANAS!$H$6:$H$71,MATCH($B1959,SEMANAS!$B$6:$B$71,0)),0)</f>
        <v>28.2</v>
      </c>
      <c r="T1959" s="18" t="n">
        <f aca="false">$R1959*$S1959</f>
        <v>8.46</v>
      </c>
      <c r="U1959" s="18" t="n">
        <f aca="false">IFERROR(INDEX(SEMANAS!$I$6:$I$71,MATCH($B1959,SEMANAS!$B$6:$B$71,0)),0)</f>
        <v>1.5</v>
      </c>
      <c r="V1959" s="18" t="n">
        <f aca="false">IFERROR(INDEX(SEMANAS!$J$6:$J$71,MATCH($B1959,SEMANAS!$B$6:$B$71,0)),0)</f>
        <v>1.2</v>
      </c>
      <c r="W1959" s="18" t="n">
        <f aca="false">MAX(0,$T1959-$V1959)</f>
        <v>7.26</v>
      </c>
      <c r="X1959" s="19" t="n">
        <f aca="false">IFERROR(INDEX(CADASTRO_PIVOS!$K$6:$K$41,MATCH($E1959,CADASTRO_PIVOS!$B$6:$B$41,0)),EFICIENCIA_PADRAO)</f>
        <v>0.85</v>
      </c>
      <c r="Y1959" s="18" t="n">
        <f aca="false">IF($X1959&lt;=0,0,$W1959/$X1959)</f>
        <v>8.54117647058823</v>
      </c>
      <c r="Z1959" s="16" t="n">
        <f aca="false">$Y1959*$H1959*MM_PARA_M3_HA</f>
        <v>11952.5223529412</v>
      </c>
      <c r="AA1959" s="18" t="n">
        <f aca="false">IFERROR(INDEX(CADASTRO_PIVOS!$I$6:$I$41,MATCH($E1959,CADASTRO_PIVOS!$B$6:$B$41,0)),0)</f>
        <v>932.933333333333</v>
      </c>
      <c r="AB1959" s="18" t="n">
        <f aca="false">IF($Z1959&lt;=0,0,$Z1959/$AA1959)</f>
        <v>12.8117647058824</v>
      </c>
      <c r="AC1959" s="16" t="n">
        <f aca="false">IFERROR(INDEX(SEMANAS!$K$6:$K$71,MATCH($B1959,SEMANAS!$B$6:$B$71,0)),0)</f>
        <v>147</v>
      </c>
      <c r="AD1959" s="19" t="n">
        <f aca="false">IF($AC1959&lt;=0,0,$AB1959/$AC1959)</f>
        <v>0.0871548619447779</v>
      </c>
      <c r="AE1959" s="8" t="str">
        <f aca="false">IF($K1959="SEM CULTURA","SEM CULTURA",IF($AA1959&lt;=0,"DADO PENDENTE",IF($AD1959&gt;LIMITE_CRITICO,"INVIAVEL",IF($AD1959&gt;LIMITE_ATENCAO,"CRITICO",IF($AD1959&gt;LIMITE_CONFORTAVEL,"ATENCAO","OK")))))</f>
        <v>OK</v>
      </c>
      <c r="AF1959" s="8" t="str">
        <f aca="false">$B1959&amp;"|"&amp;TEXT($AD1959,"0.000000")</f>
        <v>40|0.087155</v>
      </c>
      <c r="AG1959" s="18" t="n">
        <f aca="false">IF($K1959="SEM CULTURA",0,$T1959*$H1959)</f>
        <v>1183.8924</v>
      </c>
      <c r="AH1959" s="18" t="n">
        <f aca="false">IF($K1959="SEM CULTURA",0,$V1959*$H1959)</f>
        <v>167.928</v>
      </c>
      <c r="AI1959" s="18" t="n">
        <f aca="false">IF($K1959="SEM CULTURA",0,$W1959*$H1959)</f>
        <v>1015.9644</v>
      </c>
      <c r="AJ1959" s="18" t="n">
        <f aca="false">IF($K1959="SEM CULTURA",0,$S1959*$H1959)</f>
        <v>3946.308</v>
      </c>
      <c r="AK1959" s="8" t="str">
        <f aca="false">$E1959&amp;"|"&amp;TEXT($AD1959,"0.000000")</f>
        <v>PV 126|0.087155</v>
      </c>
    </row>
    <row r="1960" customFormat="false" ht="15" hidden="false" customHeight="false" outlineLevel="0" collapsed="false">
      <c r="B1960" s="16" t="n">
        <v>41</v>
      </c>
      <c r="C1960" s="17" t="n">
        <f aca="false">DATA_INICIO_SAFRA+($B1960-1)*DIAS_POR_SEMANA</f>
        <v>46545</v>
      </c>
      <c r="D1960" s="17" t="n">
        <f aca="false">$C1960+DIAS_POR_SEMANA-1</f>
        <v>46551</v>
      </c>
      <c r="E1960" s="15" t="s">
        <v>288</v>
      </c>
      <c r="F1960" s="8" t="str">
        <f aca="false">IFERROR(INDEX(CADASTRO_PIVOS!$C$6:$C$41,MATCH($E1960,CADASTRO_PIVOS!$B$6:$B$41,0)),"?")</f>
        <v>RM07</v>
      </c>
      <c r="G1960" s="8" t="str">
        <f aca="false">IFERROR(INDEX(CADASTRO_PIVOS!$D$6:$D$41,MATCH($E1960,CADASTRO_PIVOS!$B$6:$B$41,0)),"?")</f>
        <v>TR07</v>
      </c>
      <c r="H1960" s="20" t="n">
        <f aca="false">IFERROR(INDEX(CADASTRO_PIVOS!$E$6:$E$41,MATCH($E1960,CADASTRO_PIVOS!$B$6:$B$41,0)),0)</f>
        <v>139.94</v>
      </c>
      <c r="I1960" s="16" t="n">
        <f aca="false">IFERROR(SUMIFS(ROTACAO_RDM!$B$6:$B$71,ROTACAO_RDM!$D$6:$D$71,$E1960,ROTACAO_RDM!$I$6:$I$71,"&lt;="&amp;$C1960+INT(DIAS_POR_SEMANA/2),ROTACAO_RDM!$J$6:$J$71,"&gt;="&amp;$C1960+INT(DIAS_POR_SEMANA/2)),0)</f>
        <v>50</v>
      </c>
      <c r="J1960" s="16" t="n">
        <f aca="false">IFERROR(MATCH($I1960,ROTACAO_RDM!$B$6:$B$71,0),0)</f>
        <v>50</v>
      </c>
      <c r="K1960" s="8" t="str">
        <f aca="false">IF($J1960=0,"SEM CULTURA",INDEX(ROTACAO_RDM!$F$6:$F$71,$J1960))</f>
        <v>MILHO_GRAO</v>
      </c>
      <c r="L1960" s="8" t="n">
        <f aca="false">IF($J1960=0,"",INDEX(ROTACAO_RDM!$G$6:$G$71,$J1960))</f>
        <v>0</v>
      </c>
      <c r="M1960" s="17" t="n">
        <f aca="false">IF($J1960=0,"",INDEX(ROTACAO_RDM!$I$6:$I$71,$J1960))</f>
        <v>46541</v>
      </c>
      <c r="N1960" s="16" t="n">
        <f aca="false">IF($J1960=0,0,MAX(0,$C1960+INT(DIAS_POR_SEMANA/2)-INDEX(ROTACAO_RDM!$I$6:$I$71,$J1960)))</f>
        <v>7</v>
      </c>
      <c r="O1960" s="19" t="n">
        <f aca="false">IF($J1960=0,0,MIN(1,$N1960/MAX(1,INDEX(ROTACAO_RDM!$K$6:$K$71,$J1960))))</f>
        <v>0.04375</v>
      </c>
      <c r="P1960" s="16" t="n">
        <f aca="false">IF($J1960=0,0,IFERROR(MATCH(INDEX(ROTACAO_RDM!$N$6:$N$71,$J1960),PARAMETROS_CULTURAS!$B$6:$B$28,0),0))</f>
        <v>8</v>
      </c>
      <c r="Q1960" s="8" t="str">
        <f aca="false">IF($P1960=0,"-",IF($O1960&lt;=INDEX(PARAMETROS_CULTURAS!$F$6:$F$28,$P1960),"INICIAL",IF($O1960&lt;=INDEX(PARAMETROS_CULTURAS!$F$6:$F$28,$P1960)+INDEX(PARAMETROS_CULTURAS!$G$6:$G$28,$P1960),"DESENVOLVIMENTO",IF($O1960&lt;=INDEX(PARAMETROS_CULTURAS!$F$6:$F$28,$P1960)+INDEX(PARAMETROS_CULTURAS!$G$6:$G$28,$P1960)+INDEX(PARAMETROS_CULTURAS!$H$6:$H$28,$P1960),"MEDIA","FINAL"))))</f>
        <v>INICIAL</v>
      </c>
      <c r="R1960" s="24" t="n">
        <f aca="false">IF($P1960=0,0,IF($O1960&lt;=INDEX(PARAMETROS_CULTURAS!$F$6:$F$28,$P1960),INDEX(PARAMETROS_CULTURAS!$K$6:$K$28,$P1960),IF($O1960&lt;=INDEX(PARAMETROS_CULTURAS!$F$6:$F$28,$P1960)+INDEX(PARAMETROS_CULTURAS!$G$6:$G$28,$P1960),INDEX(PARAMETROS_CULTURAS!$K$6:$K$28,$P1960)+(INDEX(PARAMETROS_CULTURAS!$L$6:$L$28,$P1960)-INDEX(PARAMETROS_CULTURAS!$K$6:$K$28,$P1960))*($O1960-INDEX(PARAMETROS_CULTURAS!$F$6:$F$28,$P1960))/MAX(INDEX(PARAMETROS_CULTURAS!$G$6:$G$28,$P1960),0.0001),IF($O1960&lt;=INDEX(PARAMETROS_CULTURAS!$F$6:$F$28,$P1960)+INDEX(PARAMETROS_CULTURAS!$G$6:$G$28,$P1960)+INDEX(PARAMETROS_CULTURAS!$H$6:$H$28,$P1960),INDEX(PARAMETROS_CULTURAS!$L$6:$L$28,$P1960),INDEX(PARAMETROS_CULTURAS!$L$6:$L$28,$P1960)+(INDEX(PARAMETROS_CULTURAS!$M$6:$M$28,$P1960)-INDEX(PARAMETROS_CULTURAS!$L$6:$L$28,$P1960))*($O1960-INDEX(PARAMETROS_CULTURAS!$F$6:$F$28,$P1960)-INDEX(PARAMETROS_CULTURAS!$G$6:$G$28,$P1960)-INDEX(PARAMETROS_CULTURAS!$H$6:$H$28,$P1960))/MAX(INDEX(PARAMETROS_CULTURAS!$I$6:$I$28,$P1960),0.0001)))))</f>
        <v>0.3</v>
      </c>
      <c r="S1960" s="18" t="n">
        <f aca="false">IFERROR(INDEX(SEMANAS!$H$6:$H$71,MATCH($B1960,SEMANAS!$B$6:$B$71,0)),0)</f>
        <v>28</v>
      </c>
      <c r="T1960" s="18" t="n">
        <f aca="false">$R1960*$S1960</f>
        <v>8.4</v>
      </c>
      <c r="U1960" s="18" t="n">
        <f aca="false">IFERROR(INDEX(SEMANAS!$I$6:$I$71,MATCH($B1960,SEMANAS!$B$6:$B$71,0)),0)</f>
        <v>1.19</v>
      </c>
      <c r="V1960" s="18" t="n">
        <f aca="false">IFERROR(INDEX(SEMANAS!$J$6:$J$71,MATCH($B1960,SEMANAS!$B$6:$B$71,0)),0)</f>
        <v>0.952</v>
      </c>
      <c r="W1960" s="18" t="n">
        <f aca="false">MAX(0,$T1960-$V1960)</f>
        <v>7.448</v>
      </c>
      <c r="X1960" s="19" t="n">
        <f aca="false">IFERROR(INDEX(CADASTRO_PIVOS!$K$6:$K$41,MATCH($E1960,CADASTRO_PIVOS!$B$6:$B$41,0)),EFICIENCIA_PADRAO)</f>
        <v>0.85</v>
      </c>
      <c r="Y1960" s="18" t="n">
        <f aca="false">IF($X1960&lt;=0,0,$W1960/$X1960)</f>
        <v>8.76235294117647</v>
      </c>
      <c r="Z1960" s="16" t="n">
        <f aca="false">$Y1960*$H1960*MM_PARA_M3_HA</f>
        <v>12262.0367058824</v>
      </c>
      <c r="AA1960" s="18" t="n">
        <f aca="false">IFERROR(INDEX(CADASTRO_PIVOS!$I$6:$I$41,MATCH($E1960,CADASTRO_PIVOS!$B$6:$B$41,0)),0)</f>
        <v>932.933333333333</v>
      </c>
      <c r="AB1960" s="18" t="n">
        <f aca="false">IF($Z1960&lt;=0,0,$Z1960/$AA1960)</f>
        <v>13.1435294117647</v>
      </c>
      <c r="AC1960" s="16" t="n">
        <f aca="false">IFERROR(INDEX(SEMANAS!$K$6:$K$71,MATCH($B1960,SEMANAS!$B$6:$B$71,0)),0)</f>
        <v>147</v>
      </c>
      <c r="AD1960" s="19" t="n">
        <f aca="false">IF($AC1960&lt;=0,0,$AB1960/$AC1960)</f>
        <v>0.0894117647058824</v>
      </c>
      <c r="AE1960" s="8" t="str">
        <f aca="false">IF($K1960="SEM CULTURA","SEM CULTURA",IF($AA1960&lt;=0,"DADO PENDENTE",IF($AD1960&gt;LIMITE_CRITICO,"INVIAVEL",IF($AD1960&gt;LIMITE_ATENCAO,"CRITICO",IF($AD1960&gt;LIMITE_CONFORTAVEL,"ATENCAO","OK")))))</f>
        <v>OK</v>
      </c>
      <c r="AF1960" s="8" t="str">
        <f aca="false">$B1960&amp;"|"&amp;TEXT($AD1960,"0.000000")</f>
        <v>41|0.089412</v>
      </c>
      <c r="AG1960" s="18" t="n">
        <f aca="false">IF($K1960="SEM CULTURA",0,$T1960*$H1960)</f>
        <v>1175.496</v>
      </c>
      <c r="AH1960" s="18" t="n">
        <f aca="false">IF($K1960="SEM CULTURA",0,$V1960*$H1960)</f>
        <v>133.22288</v>
      </c>
      <c r="AI1960" s="18" t="n">
        <f aca="false">IF($K1960="SEM CULTURA",0,$W1960*$H1960)</f>
        <v>1042.27312</v>
      </c>
      <c r="AJ1960" s="18" t="n">
        <f aca="false">IF($K1960="SEM CULTURA",0,$S1960*$H1960)</f>
        <v>3918.32</v>
      </c>
      <c r="AK1960" s="8" t="str">
        <f aca="false">$E1960&amp;"|"&amp;TEXT($AD1960,"0.000000")</f>
        <v>PV 126|0.089412</v>
      </c>
    </row>
    <row r="1961" customFormat="false" ht="15" hidden="false" customHeight="false" outlineLevel="0" collapsed="false">
      <c r="B1961" s="16" t="n">
        <v>42</v>
      </c>
      <c r="C1961" s="17" t="n">
        <f aca="false">DATA_INICIO_SAFRA+($B1961-1)*DIAS_POR_SEMANA</f>
        <v>46552</v>
      </c>
      <c r="D1961" s="17" t="n">
        <f aca="false">$C1961+DIAS_POR_SEMANA-1</f>
        <v>46558</v>
      </c>
      <c r="E1961" s="15" t="s">
        <v>288</v>
      </c>
      <c r="F1961" s="8" t="str">
        <f aca="false">IFERROR(INDEX(CADASTRO_PIVOS!$C$6:$C$41,MATCH($E1961,CADASTRO_PIVOS!$B$6:$B$41,0)),"?")</f>
        <v>RM07</v>
      </c>
      <c r="G1961" s="8" t="str">
        <f aca="false">IFERROR(INDEX(CADASTRO_PIVOS!$D$6:$D$41,MATCH($E1961,CADASTRO_PIVOS!$B$6:$B$41,0)),"?")</f>
        <v>TR07</v>
      </c>
      <c r="H1961" s="20" t="n">
        <f aca="false">IFERROR(INDEX(CADASTRO_PIVOS!$E$6:$E$41,MATCH($E1961,CADASTRO_PIVOS!$B$6:$B$41,0)),0)</f>
        <v>139.94</v>
      </c>
      <c r="I1961" s="16" t="n">
        <f aca="false">IFERROR(SUMIFS(ROTACAO_RDM!$B$6:$B$71,ROTACAO_RDM!$D$6:$D$71,$E1961,ROTACAO_RDM!$I$6:$I$71,"&lt;="&amp;$C1961+INT(DIAS_POR_SEMANA/2),ROTACAO_RDM!$J$6:$J$71,"&gt;="&amp;$C1961+INT(DIAS_POR_SEMANA/2)),0)</f>
        <v>50</v>
      </c>
      <c r="J1961" s="16" t="n">
        <f aca="false">IFERROR(MATCH($I1961,ROTACAO_RDM!$B$6:$B$71,0),0)</f>
        <v>50</v>
      </c>
      <c r="K1961" s="8" t="str">
        <f aca="false">IF($J1961=0,"SEM CULTURA",INDEX(ROTACAO_RDM!$F$6:$F$71,$J1961))</f>
        <v>MILHO_GRAO</v>
      </c>
      <c r="L1961" s="8" t="n">
        <f aca="false">IF($J1961=0,"",INDEX(ROTACAO_RDM!$G$6:$G$71,$J1961))</f>
        <v>0</v>
      </c>
      <c r="M1961" s="17" t="n">
        <f aca="false">IF($J1961=0,"",INDEX(ROTACAO_RDM!$I$6:$I$71,$J1961))</f>
        <v>46541</v>
      </c>
      <c r="N1961" s="16" t="n">
        <f aca="false">IF($J1961=0,0,MAX(0,$C1961+INT(DIAS_POR_SEMANA/2)-INDEX(ROTACAO_RDM!$I$6:$I$71,$J1961)))</f>
        <v>14</v>
      </c>
      <c r="O1961" s="19" t="n">
        <f aca="false">IF($J1961=0,0,MIN(1,$N1961/MAX(1,INDEX(ROTACAO_RDM!$K$6:$K$71,$J1961))))</f>
        <v>0.0875</v>
      </c>
      <c r="P1961" s="16" t="n">
        <f aca="false">IF($J1961=0,0,IFERROR(MATCH(INDEX(ROTACAO_RDM!$N$6:$N$71,$J1961),PARAMETROS_CULTURAS!$B$6:$B$28,0),0))</f>
        <v>8</v>
      </c>
      <c r="Q1961" s="8" t="str">
        <f aca="false">IF($P1961=0,"-",IF($O1961&lt;=INDEX(PARAMETROS_CULTURAS!$F$6:$F$28,$P1961),"INICIAL",IF($O1961&lt;=INDEX(PARAMETROS_CULTURAS!$F$6:$F$28,$P1961)+INDEX(PARAMETROS_CULTURAS!$G$6:$G$28,$P1961),"DESENVOLVIMENTO",IF($O1961&lt;=INDEX(PARAMETROS_CULTURAS!$F$6:$F$28,$P1961)+INDEX(PARAMETROS_CULTURAS!$G$6:$G$28,$P1961)+INDEX(PARAMETROS_CULTURAS!$H$6:$H$28,$P1961),"MEDIA","FINAL"))))</f>
        <v>INICIAL</v>
      </c>
      <c r="R1961" s="24" t="n">
        <f aca="false">IF($P1961=0,0,IF($O1961&lt;=INDEX(PARAMETROS_CULTURAS!$F$6:$F$28,$P1961),INDEX(PARAMETROS_CULTURAS!$K$6:$K$28,$P1961),IF($O1961&lt;=INDEX(PARAMETROS_CULTURAS!$F$6:$F$28,$P1961)+INDEX(PARAMETROS_CULTURAS!$G$6:$G$28,$P1961),INDEX(PARAMETROS_CULTURAS!$K$6:$K$28,$P1961)+(INDEX(PARAMETROS_CULTURAS!$L$6:$L$28,$P1961)-INDEX(PARAMETROS_CULTURAS!$K$6:$K$28,$P1961))*($O1961-INDEX(PARAMETROS_CULTURAS!$F$6:$F$28,$P1961))/MAX(INDEX(PARAMETROS_CULTURAS!$G$6:$G$28,$P1961),0.0001),IF($O1961&lt;=INDEX(PARAMETROS_CULTURAS!$F$6:$F$28,$P1961)+INDEX(PARAMETROS_CULTURAS!$G$6:$G$28,$P1961)+INDEX(PARAMETROS_CULTURAS!$H$6:$H$28,$P1961),INDEX(PARAMETROS_CULTURAS!$L$6:$L$28,$P1961),INDEX(PARAMETROS_CULTURAS!$L$6:$L$28,$P1961)+(INDEX(PARAMETROS_CULTURAS!$M$6:$M$28,$P1961)-INDEX(PARAMETROS_CULTURAS!$L$6:$L$28,$P1961))*($O1961-INDEX(PARAMETROS_CULTURAS!$F$6:$F$28,$P1961)-INDEX(PARAMETROS_CULTURAS!$G$6:$G$28,$P1961)-INDEX(PARAMETROS_CULTURAS!$H$6:$H$28,$P1961))/MAX(INDEX(PARAMETROS_CULTURAS!$I$6:$I$28,$P1961),0.0001)))))</f>
        <v>0.3</v>
      </c>
      <c r="S1961" s="18" t="n">
        <f aca="false">IFERROR(INDEX(SEMANAS!$H$6:$H$71,MATCH($B1961,SEMANAS!$B$6:$B$71,0)),0)</f>
        <v>28</v>
      </c>
      <c r="T1961" s="18" t="n">
        <f aca="false">$R1961*$S1961</f>
        <v>8.4</v>
      </c>
      <c r="U1961" s="18" t="n">
        <f aca="false">IFERROR(INDEX(SEMANAS!$I$6:$I$71,MATCH($B1961,SEMANAS!$B$6:$B$71,0)),0)</f>
        <v>1.19</v>
      </c>
      <c r="V1961" s="18" t="n">
        <f aca="false">IFERROR(INDEX(SEMANAS!$J$6:$J$71,MATCH($B1961,SEMANAS!$B$6:$B$71,0)),0)</f>
        <v>0.952</v>
      </c>
      <c r="W1961" s="18" t="n">
        <f aca="false">MAX(0,$T1961-$V1961)</f>
        <v>7.448</v>
      </c>
      <c r="X1961" s="19" t="n">
        <f aca="false">IFERROR(INDEX(CADASTRO_PIVOS!$K$6:$K$41,MATCH($E1961,CADASTRO_PIVOS!$B$6:$B$41,0)),EFICIENCIA_PADRAO)</f>
        <v>0.85</v>
      </c>
      <c r="Y1961" s="18" t="n">
        <f aca="false">IF($X1961&lt;=0,0,$W1961/$X1961)</f>
        <v>8.76235294117647</v>
      </c>
      <c r="Z1961" s="16" t="n">
        <f aca="false">$Y1961*$H1961*MM_PARA_M3_HA</f>
        <v>12262.0367058824</v>
      </c>
      <c r="AA1961" s="18" t="n">
        <f aca="false">IFERROR(INDEX(CADASTRO_PIVOS!$I$6:$I$41,MATCH($E1961,CADASTRO_PIVOS!$B$6:$B$41,0)),0)</f>
        <v>932.933333333333</v>
      </c>
      <c r="AB1961" s="18" t="n">
        <f aca="false">IF($Z1961&lt;=0,0,$Z1961/$AA1961)</f>
        <v>13.1435294117647</v>
      </c>
      <c r="AC1961" s="16" t="n">
        <f aca="false">IFERROR(INDEX(SEMANAS!$K$6:$K$71,MATCH($B1961,SEMANAS!$B$6:$B$71,0)),0)</f>
        <v>147</v>
      </c>
      <c r="AD1961" s="19" t="n">
        <f aca="false">IF($AC1961&lt;=0,0,$AB1961/$AC1961)</f>
        <v>0.0894117647058824</v>
      </c>
      <c r="AE1961" s="8" t="str">
        <f aca="false">IF($K1961="SEM CULTURA","SEM CULTURA",IF($AA1961&lt;=0,"DADO PENDENTE",IF($AD1961&gt;LIMITE_CRITICO,"INVIAVEL",IF($AD1961&gt;LIMITE_ATENCAO,"CRITICO",IF($AD1961&gt;LIMITE_CONFORTAVEL,"ATENCAO","OK")))))</f>
        <v>OK</v>
      </c>
      <c r="AF1961" s="8" t="str">
        <f aca="false">$B1961&amp;"|"&amp;TEXT($AD1961,"0.000000")</f>
        <v>42|0.089412</v>
      </c>
      <c r="AG1961" s="18" t="n">
        <f aca="false">IF($K1961="SEM CULTURA",0,$T1961*$H1961)</f>
        <v>1175.496</v>
      </c>
      <c r="AH1961" s="18" t="n">
        <f aca="false">IF($K1961="SEM CULTURA",0,$V1961*$H1961)</f>
        <v>133.22288</v>
      </c>
      <c r="AI1961" s="18" t="n">
        <f aca="false">IF($K1961="SEM CULTURA",0,$W1961*$H1961)</f>
        <v>1042.27312</v>
      </c>
      <c r="AJ1961" s="18" t="n">
        <f aca="false">IF($K1961="SEM CULTURA",0,$S1961*$H1961)</f>
        <v>3918.32</v>
      </c>
      <c r="AK1961" s="8" t="str">
        <f aca="false">$E1961&amp;"|"&amp;TEXT($AD1961,"0.000000")</f>
        <v>PV 126|0.089412</v>
      </c>
    </row>
    <row r="1962" customFormat="false" ht="15" hidden="false" customHeight="false" outlineLevel="0" collapsed="false">
      <c r="B1962" s="16" t="n">
        <v>43</v>
      </c>
      <c r="C1962" s="17" t="n">
        <f aca="false">DATA_INICIO_SAFRA+($B1962-1)*DIAS_POR_SEMANA</f>
        <v>46559</v>
      </c>
      <c r="D1962" s="17" t="n">
        <f aca="false">$C1962+DIAS_POR_SEMANA-1</f>
        <v>46565</v>
      </c>
      <c r="E1962" s="15" t="s">
        <v>288</v>
      </c>
      <c r="F1962" s="8" t="str">
        <f aca="false">IFERROR(INDEX(CADASTRO_PIVOS!$C$6:$C$41,MATCH($E1962,CADASTRO_PIVOS!$B$6:$B$41,0)),"?")</f>
        <v>RM07</v>
      </c>
      <c r="G1962" s="8" t="str">
        <f aca="false">IFERROR(INDEX(CADASTRO_PIVOS!$D$6:$D$41,MATCH($E1962,CADASTRO_PIVOS!$B$6:$B$41,0)),"?")</f>
        <v>TR07</v>
      </c>
      <c r="H1962" s="20" t="n">
        <f aca="false">IFERROR(INDEX(CADASTRO_PIVOS!$E$6:$E$41,MATCH($E1962,CADASTRO_PIVOS!$B$6:$B$41,0)),0)</f>
        <v>139.94</v>
      </c>
      <c r="I1962" s="16" t="n">
        <f aca="false">IFERROR(SUMIFS(ROTACAO_RDM!$B$6:$B$71,ROTACAO_RDM!$D$6:$D$71,$E1962,ROTACAO_RDM!$I$6:$I$71,"&lt;="&amp;$C1962+INT(DIAS_POR_SEMANA/2),ROTACAO_RDM!$J$6:$J$71,"&gt;="&amp;$C1962+INT(DIAS_POR_SEMANA/2)),0)</f>
        <v>50</v>
      </c>
      <c r="J1962" s="16" t="n">
        <f aca="false">IFERROR(MATCH($I1962,ROTACAO_RDM!$B$6:$B$71,0),0)</f>
        <v>50</v>
      </c>
      <c r="K1962" s="8" t="str">
        <f aca="false">IF($J1962=0,"SEM CULTURA",INDEX(ROTACAO_RDM!$F$6:$F$71,$J1962))</f>
        <v>MILHO_GRAO</v>
      </c>
      <c r="L1962" s="8" t="n">
        <f aca="false">IF($J1962=0,"",INDEX(ROTACAO_RDM!$G$6:$G$71,$J1962))</f>
        <v>0</v>
      </c>
      <c r="M1962" s="17" t="n">
        <f aca="false">IF($J1962=0,"",INDEX(ROTACAO_RDM!$I$6:$I$71,$J1962))</f>
        <v>46541</v>
      </c>
      <c r="N1962" s="16" t="n">
        <f aca="false">IF($J1962=0,0,MAX(0,$C1962+INT(DIAS_POR_SEMANA/2)-INDEX(ROTACAO_RDM!$I$6:$I$71,$J1962)))</f>
        <v>21</v>
      </c>
      <c r="O1962" s="19" t="n">
        <f aca="false">IF($J1962=0,0,MIN(1,$N1962/MAX(1,INDEX(ROTACAO_RDM!$K$6:$K$71,$J1962))))</f>
        <v>0.13125</v>
      </c>
      <c r="P1962" s="16" t="n">
        <f aca="false">IF($J1962=0,0,IFERROR(MATCH(INDEX(ROTACAO_RDM!$N$6:$N$71,$J1962),PARAMETROS_CULTURAS!$B$6:$B$28,0),0))</f>
        <v>8</v>
      </c>
      <c r="Q1962" s="8" t="str">
        <f aca="false">IF($P1962=0,"-",IF($O1962&lt;=INDEX(PARAMETROS_CULTURAS!$F$6:$F$28,$P1962),"INICIAL",IF($O1962&lt;=INDEX(PARAMETROS_CULTURAS!$F$6:$F$28,$P1962)+INDEX(PARAMETROS_CULTURAS!$G$6:$G$28,$P1962),"DESENVOLVIMENTO",IF($O1962&lt;=INDEX(PARAMETROS_CULTURAS!$F$6:$F$28,$P1962)+INDEX(PARAMETROS_CULTURAS!$G$6:$G$28,$P1962)+INDEX(PARAMETROS_CULTURAS!$H$6:$H$28,$P1962),"MEDIA","FINAL"))))</f>
        <v>INICIAL</v>
      </c>
      <c r="R1962" s="24" t="n">
        <f aca="false">IF($P1962=0,0,IF($O1962&lt;=INDEX(PARAMETROS_CULTURAS!$F$6:$F$28,$P1962),INDEX(PARAMETROS_CULTURAS!$K$6:$K$28,$P1962),IF($O1962&lt;=INDEX(PARAMETROS_CULTURAS!$F$6:$F$28,$P1962)+INDEX(PARAMETROS_CULTURAS!$G$6:$G$28,$P1962),INDEX(PARAMETROS_CULTURAS!$K$6:$K$28,$P1962)+(INDEX(PARAMETROS_CULTURAS!$L$6:$L$28,$P1962)-INDEX(PARAMETROS_CULTURAS!$K$6:$K$28,$P1962))*($O1962-INDEX(PARAMETROS_CULTURAS!$F$6:$F$28,$P1962))/MAX(INDEX(PARAMETROS_CULTURAS!$G$6:$G$28,$P1962),0.0001),IF($O1962&lt;=INDEX(PARAMETROS_CULTURAS!$F$6:$F$28,$P1962)+INDEX(PARAMETROS_CULTURAS!$G$6:$G$28,$P1962)+INDEX(PARAMETROS_CULTURAS!$H$6:$H$28,$P1962),INDEX(PARAMETROS_CULTURAS!$L$6:$L$28,$P1962),INDEX(PARAMETROS_CULTURAS!$L$6:$L$28,$P1962)+(INDEX(PARAMETROS_CULTURAS!$M$6:$M$28,$P1962)-INDEX(PARAMETROS_CULTURAS!$L$6:$L$28,$P1962))*($O1962-INDEX(PARAMETROS_CULTURAS!$F$6:$F$28,$P1962)-INDEX(PARAMETROS_CULTURAS!$G$6:$G$28,$P1962)-INDEX(PARAMETROS_CULTURAS!$H$6:$H$28,$P1962))/MAX(INDEX(PARAMETROS_CULTURAS!$I$6:$I$28,$P1962),0.0001)))))</f>
        <v>0.3</v>
      </c>
      <c r="S1962" s="18" t="n">
        <f aca="false">IFERROR(INDEX(SEMANAS!$H$6:$H$71,MATCH($B1962,SEMANAS!$B$6:$B$71,0)),0)</f>
        <v>28</v>
      </c>
      <c r="T1962" s="18" t="n">
        <f aca="false">$R1962*$S1962</f>
        <v>8.4</v>
      </c>
      <c r="U1962" s="18" t="n">
        <f aca="false">IFERROR(INDEX(SEMANAS!$I$6:$I$71,MATCH($B1962,SEMANAS!$B$6:$B$71,0)),0)</f>
        <v>1.19</v>
      </c>
      <c r="V1962" s="18" t="n">
        <f aca="false">IFERROR(INDEX(SEMANAS!$J$6:$J$71,MATCH($B1962,SEMANAS!$B$6:$B$71,0)),0)</f>
        <v>0.952</v>
      </c>
      <c r="W1962" s="18" t="n">
        <f aca="false">MAX(0,$T1962-$V1962)</f>
        <v>7.448</v>
      </c>
      <c r="X1962" s="19" t="n">
        <f aca="false">IFERROR(INDEX(CADASTRO_PIVOS!$K$6:$K$41,MATCH($E1962,CADASTRO_PIVOS!$B$6:$B$41,0)),EFICIENCIA_PADRAO)</f>
        <v>0.85</v>
      </c>
      <c r="Y1962" s="18" t="n">
        <f aca="false">IF($X1962&lt;=0,0,$W1962/$X1962)</f>
        <v>8.76235294117647</v>
      </c>
      <c r="Z1962" s="16" t="n">
        <f aca="false">$Y1962*$H1962*MM_PARA_M3_HA</f>
        <v>12262.0367058824</v>
      </c>
      <c r="AA1962" s="18" t="n">
        <f aca="false">IFERROR(INDEX(CADASTRO_PIVOS!$I$6:$I$41,MATCH($E1962,CADASTRO_PIVOS!$B$6:$B$41,0)),0)</f>
        <v>932.933333333333</v>
      </c>
      <c r="AB1962" s="18" t="n">
        <f aca="false">IF($Z1962&lt;=0,0,$Z1962/$AA1962)</f>
        <v>13.1435294117647</v>
      </c>
      <c r="AC1962" s="16" t="n">
        <f aca="false">IFERROR(INDEX(SEMANAS!$K$6:$K$71,MATCH($B1962,SEMANAS!$B$6:$B$71,0)),0)</f>
        <v>147</v>
      </c>
      <c r="AD1962" s="19" t="n">
        <f aca="false">IF($AC1962&lt;=0,0,$AB1962/$AC1962)</f>
        <v>0.0894117647058824</v>
      </c>
      <c r="AE1962" s="8" t="str">
        <f aca="false">IF($K1962="SEM CULTURA","SEM CULTURA",IF($AA1962&lt;=0,"DADO PENDENTE",IF($AD1962&gt;LIMITE_CRITICO,"INVIAVEL",IF($AD1962&gt;LIMITE_ATENCAO,"CRITICO",IF($AD1962&gt;LIMITE_CONFORTAVEL,"ATENCAO","OK")))))</f>
        <v>OK</v>
      </c>
      <c r="AF1962" s="8" t="str">
        <f aca="false">$B1962&amp;"|"&amp;TEXT($AD1962,"0.000000")</f>
        <v>43|0.089412</v>
      </c>
      <c r="AG1962" s="18" t="n">
        <f aca="false">IF($K1962="SEM CULTURA",0,$T1962*$H1962)</f>
        <v>1175.496</v>
      </c>
      <c r="AH1962" s="18" t="n">
        <f aca="false">IF($K1962="SEM CULTURA",0,$V1962*$H1962)</f>
        <v>133.22288</v>
      </c>
      <c r="AI1962" s="18" t="n">
        <f aca="false">IF($K1962="SEM CULTURA",0,$W1962*$H1962)</f>
        <v>1042.27312</v>
      </c>
      <c r="AJ1962" s="18" t="n">
        <f aca="false">IF($K1962="SEM CULTURA",0,$S1962*$H1962)</f>
        <v>3918.32</v>
      </c>
      <c r="AK1962" s="8" t="str">
        <f aca="false">$E1962&amp;"|"&amp;TEXT($AD1962,"0.000000")</f>
        <v>PV 126|0.089412</v>
      </c>
    </row>
    <row r="1963" customFormat="false" ht="15" hidden="false" customHeight="false" outlineLevel="0" collapsed="false">
      <c r="B1963" s="16" t="n">
        <v>44</v>
      </c>
      <c r="C1963" s="17" t="n">
        <f aca="false">DATA_INICIO_SAFRA+($B1963-1)*DIAS_POR_SEMANA</f>
        <v>46566</v>
      </c>
      <c r="D1963" s="17" t="n">
        <f aca="false">$C1963+DIAS_POR_SEMANA-1</f>
        <v>46572</v>
      </c>
      <c r="E1963" s="15" t="s">
        <v>288</v>
      </c>
      <c r="F1963" s="8" t="str">
        <f aca="false">IFERROR(INDEX(CADASTRO_PIVOS!$C$6:$C$41,MATCH($E1963,CADASTRO_PIVOS!$B$6:$B$41,0)),"?")</f>
        <v>RM07</v>
      </c>
      <c r="G1963" s="8" t="str">
        <f aca="false">IFERROR(INDEX(CADASTRO_PIVOS!$D$6:$D$41,MATCH($E1963,CADASTRO_PIVOS!$B$6:$B$41,0)),"?")</f>
        <v>TR07</v>
      </c>
      <c r="H1963" s="20" t="n">
        <f aca="false">IFERROR(INDEX(CADASTRO_PIVOS!$E$6:$E$41,MATCH($E1963,CADASTRO_PIVOS!$B$6:$B$41,0)),0)</f>
        <v>139.94</v>
      </c>
      <c r="I1963" s="16" t="n">
        <f aca="false">IFERROR(SUMIFS(ROTACAO_RDM!$B$6:$B$71,ROTACAO_RDM!$D$6:$D$71,$E1963,ROTACAO_RDM!$I$6:$I$71,"&lt;="&amp;$C1963+INT(DIAS_POR_SEMANA/2),ROTACAO_RDM!$J$6:$J$71,"&gt;="&amp;$C1963+INT(DIAS_POR_SEMANA/2)),0)</f>
        <v>50</v>
      </c>
      <c r="J1963" s="16" t="n">
        <f aca="false">IFERROR(MATCH($I1963,ROTACAO_RDM!$B$6:$B$71,0),0)</f>
        <v>50</v>
      </c>
      <c r="K1963" s="8" t="str">
        <f aca="false">IF($J1963=0,"SEM CULTURA",INDEX(ROTACAO_RDM!$F$6:$F$71,$J1963))</f>
        <v>MILHO_GRAO</v>
      </c>
      <c r="L1963" s="8" t="n">
        <f aca="false">IF($J1963=0,"",INDEX(ROTACAO_RDM!$G$6:$G$71,$J1963))</f>
        <v>0</v>
      </c>
      <c r="M1963" s="17" t="n">
        <f aca="false">IF($J1963=0,"",INDEX(ROTACAO_RDM!$I$6:$I$71,$J1963))</f>
        <v>46541</v>
      </c>
      <c r="N1963" s="16" t="n">
        <f aca="false">IF($J1963=0,0,MAX(0,$C1963+INT(DIAS_POR_SEMANA/2)-INDEX(ROTACAO_RDM!$I$6:$I$71,$J1963)))</f>
        <v>28</v>
      </c>
      <c r="O1963" s="19" t="n">
        <f aca="false">IF($J1963=0,0,MIN(1,$N1963/MAX(1,INDEX(ROTACAO_RDM!$K$6:$K$71,$J1963))))</f>
        <v>0.175</v>
      </c>
      <c r="P1963" s="16" t="n">
        <f aca="false">IF($J1963=0,0,IFERROR(MATCH(INDEX(ROTACAO_RDM!$N$6:$N$71,$J1963),PARAMETROS_CULTURAS!$B$6:$B$28,0),0))</f>
        <v>8</v>
      </c>
      <c r="Q1963" s="8" t="str">
        <f aca="false">IF($P1963=0,"-",IF($O1963&lt;=INDEX(PARAMETROS_CULTURAS!$F$6:$F$28,$P1963),"INICIAL",IF($O1963&lt;=INDEX(PARAMETROS_CULTURAS!$F$6:$F$28,$P1963)+INDEX(PARAMETROS_CULTURAS!$G$6:$G$28,$P1963),"DESENVOLVIMENTO",IF($O1963&lt;=INDEX(PARAMETROS_CULTURAS!$F$6:$F$28,$P1963)+INDEX(PARAMETROS_CULTURAS!$G$6:$G$28,$P1963)+INDEX(PARAMETROS_CULTURAS!$H$6:$H$28,$P1963),"MEDIA","FINAL"))))</f>
        <v>INICIAL</v>
      </c>
      <c r="R1963" s="24" t="n">
        <f aca="false">IF($P1963=0,0,IF($O1963&lt;=INDEX(PARAMETROS_CULTURAS!$F$6:$F$28,$P1963),INDEX(PARAMETROS_CULTURAS!$K$6:$K$28,$P1963),IF($O1963&lt;=INDEX(PARAMETROS_CULTURAS!$F$6:$F$28,$P1963)+INDEX(PARAMETROS_CULTURAS!$G$6:$G$28,$P1963),INDEX(PARAMETROS_CULTURAS!$K$6:$K$28,$P1963)+(INDEX(PARAMETROS_CULTURAS!$L$6:$L$28,$P1963)-INDEX(PARAMETROS_CULTURAS!$K$6:$K$28,$P1963))*($O1963-INDEX(PARAMETROS_CULTURAS!$F$6:$F$28,$P1963))/MAX(INDEX(PARAMETROS_CULTURAS!$G$6:$G$28,$P1963),0.0001),IF($O1963&lt;=INDEX(PARAMETROS_CULTURAS!$F$6:$F$28,$P1963)+INDEX(PARAMETROS_CULTURAS!$G$6:$G$28,$P1963)+INDEX(PARAMETROS_CULTURAS!$H$6:$H$28,$P1963),INDEX(PARAMETROS_CULTURAS!$L$6:$L$28,$P1963),INDEX(PARAMETROS_CULTURAS!$L$6:$L$28,$P1963)+(INDEX(PARAMETROS_CULTURAS!$M$6:$M$28,$P1963)-INDEX(PARAMETROS_CULTURAS!$L$6:$L$28,$P1963))*($O1963-INDEX(PARAMETROS_CULTURAS!$F$6:$F$28,$P1963)-INDEX(PARAMETROS_CULTURAS!$G$6:$G$28,$P1963)-INDEX(PARAMETROS_CULTURAS!$H$6:$H$28,$P1963))/MAX(INDEX(PARAMETROS_CULTURAS!$I$6:$I$28,$P1963),0.0001)))))</f>
        <v>0.3</v>
      </c>
      <c r="S1963" s="18" t="n">
        <f aca="false">IFERROR(INDEX(SEMANAS!$H$6:$H$71,MATCH($B1963,SEMANAS!$B$6:$B$71,0)),0)</f>
        <v>29.2</v>
      </c>
      <c r="T1963" s="18" t="n">
        <f aca="false">$R1963*$S1963</f>
        <v>8.76</v>
      </c>
      <c r="U1963" s="18" t="n">
        <f aca="false">IFERROR(INDEX(SEMANAS!$I$6:$I$71,MATCH($B1963,SEMANAS!$B$6:$B$71,0)),0)</f>
        <v>0.91</v>
      </c>
      <c r="V1963" s="18" t="n">
        <f aca="false">IFERROR(INDEX(SEMANAS!$J$6:$J$71,MATCH($B1963,SEMANAS!$B$6:$B$71,0)),0)</f>
        <v>0.728</v>
      </c>
      <c r="W1963" s="18" t="n">
        <f aca="false">MAX(0,$T1963-$V1963)</f>
        <v>8.032</v>
      </c>
      <c r="X1963" s="19" t="n">
        <f aca="false">IFERROR(INDEX(CADASTRO_PIVOS!$K$6:$K$41,MATCH($E1963,CADASTRO_PIVOS!$B$6:$B$41,0)),EFICIENCIA_PADRAO)</f>
        <v>0.85</v>
      </c>
      <c r="Y1963" s="18" t="n">
        <f aca="false">IF($X1963&lt;=0,0,$W1963/$X1963)</f>
        <v>9.44941176470588</v>
      </c>
      <c r="Z1963" s="16" t="n">
        <f aca="false">$Y1963*$H1963*MM_PARA_M3_HA</f>
        <v>13223.5068235294</v>
      </c>
      <c r="AA1963" s="18" t="n">
        <f aca="false">IFERROR(INDEX(CADASTRO_PIVOS!$I$6:$I$41,MATCH($E1963,CADASTRO_PIVOS!$B$6:$B$41,0)),0)</f>
        <v>932.933333333333</v>
      </c>
      <c r="AB1963" s="18" t="n">
        <f aca="false">IF($Z1963&lt;=0,0,$Z1963/$AA1963)</f>
        <v>14.1741176470588</v>
      </c>
      <c r="AC1963" s="16" t="n">
        <f aca="false">IFERROR(INDEX(SEMANAS!$K$6:$K$71,MATCH($B1963,SEMANAS!$B$6:$B$71,0)),0)</f>
        <v>147</v>
      </c>
      <c r="AD1963" s="19" t="n">
        <f aca="false">IF($AC1963&lt;=0,0,$AB1963/$AC1963)</f>
        <v>0.096422569027611</v>
      </c>
      <c r="AE1963" s="8" t="str">
        <f aca="false">IF($K1963="SEM CULTURA","SEM CULTURA",IF($AA1963&lt;=0,"DADO PENDENTE",IF($AD1963&gt;LIMITE_CRITICO,"INVIAVEL",IF($AD1963&gt;LIMITE_ATENCAO,"CRITICO",IF($AD1963&gt;LIMITE_CONFORTAVEL,"ATENCAO","OK")))))</f>
        <v>OK</v>
      </c>
      <c r="AF1963" s="8" t="str">
        <f aca="false">$B1963&amp;"|"&amp;TEXT($AD1963,"0.000000")</f>
        <v>44|0.096423</v>
      </c>
      <c r="AG1963" s="18" t="n">
        <f aca="false">IF($K1963="SEM CULTURA",0,$T1963*$H1963)</f>
        <v>1225.8744</v>
      </c>
      <c r="AH1963" s="18" t="n">
        <f aca="false">IF($K1963="SEM CULTURA",0,$V1963*$H1963)</f>
        <v>101.87632</v>
      </c>
      <c r="AI1963" s="18" t="n">
        <f aca="false">IF($K1963="SEM CULTURA",0,$W1963*$H1963)</f>
        <v>1123.99808</v>
      </c>
      <c r="AJ1963" s="18" t="n">
        <f aca="false">IF($K1963="SEM CULTURA",0,$S1963*$H1963)</f>
        <v>4086.248</v>
      </c>
      <c r="AK1963" s="8" t="str">
        <f aca="false">$E1963&amp;"|"&amp;TEXT($AD1963,"0.000000")</f>
        <v>PV 126|0.096423</v>
      </c>
    </row>
    <row r="1964" customFormat="false" ht="15" hidden="false" customHeight="false" outlineLevel="0" collapsed="false">
      <c r="B1964" s="16" t="n">
        <v>45</v>
      </c>
      <c r="C1964" s="17" t="n">
        <f aca="false">DATA_INICIO_SAFRA+($B1964-1)*DIAS_POR_SEMANA</f>
        <v>46573</v>
      </c>
      <c r="D1964" s="17" t="n">
        <f aca="false">$C1964+DIAS_POR_SEMANA-1</f>
        <v>46579</v>
      </c>
      <c r="E1964" s="15" t="s">
        <v>288</v>
      </c>
      <c r="F1964" s="8" t="str">
        <f aca="false">IFERROR(INDEX(CADASTRO_PIVOS!$C$6:$C$41,MATCH($E1964,CADASTRO_PIVOS!$B$6:$B$41,0)),"?")</f>
        <v>RM07</v>
      </c>
      <c r="G1964" s="8" t="str">
        <f aca="false">IFERROR(INDEX(CADASTRO_PIVOS!$D$6:$D$41,MATCH($E1964,CADASTRO_PIVOS!$B$6:$B$41,0)),"?")</f>
        <v>TR07</v>
      </c>
      <c r="H1964" s="20" t="n">
        <f aca="false">IFERROR(INDEX(CADASTRO_PIVOS!$E$6:$E$41,MATCH($E1964,CADASTRO_PIVOS!$B$6:$B$41,0)),0)</f>
        <v>139.94</v>
      </c>
      <c r="I1964" s="16" t="n">
        <f aca="false">IFERROR(SUMIFS(ROTACAO_RDM!$B$6:$B$71,ROTACAO_RDM!$D$6:$D$71,$E1964,ROTACAO_RDM!$I$6:$I$71,"&lt;="&amp;$C1964+INT(DIAS_POR_SEMANA/2),ROTACAO_RDM!$J$6:$J$71,"&gt;="&amp;$C1964+INT(DIAS_POR_SEMANA/2)),0)</f>
        <v>50</v>
      </c>
      <c r="J1964" s="16" t="n">
        <f aca="false">IFERROR(MATCH($I1964,ROTACAO_RDM!$B$6:$B$71,0),0)</f>
        <v>50</v>
      </c>
      <c r="K1964" s="8" t="str">
        <f aca="false">IF($J1964=0,"SEM CULTURA",INDEX(ROTACAO_RDM!$F$6:$F$71,$J1964))</f>
        <v>MILHO_GRAO</v>
      </c>
      <c r="L1964" s="8" t="n">
        <f aca="false">IF($J1964=0,"",INDEX(ROTACAO_RDM!$G$6:$G$71,$J1964))</f>
        <v>0</v>
      </c>
      <c r="M1964" s="17" t="n">
        <f aca="false">IF($J1964=0,"",INDEX(ROTACAO_RDM!$I$6:$I$71,$J1964))</f>
        <v>46541</v>
      </c>
      <c r="N1964" s="16" t="n">
        <f aca="false">IF($J1964=0,0,MAX(0,$C1964+INT(DIAS_POR_SEMANA/2)-INDEX(ROTACAO_RDM!$I$6:$I$71,$J1964)))</f>
        <v>35</v>
      </c>
      <c r="O1964" s="19" t="n">
        <f aca="false">IF($J1964=0,0,MIN(1,$N1964/MAX(1,INDEX(ROTACAO_RDM!$K$6:$K$71,$J1964))))</f>
        <v>0.21875</v>
      </c>
      <c r="P1964" s="16" t="n">
        <f aca="false">IF($J1964=0,0,IFERROR(MATCH(INDEX(ROTACAO_RDM!$N$6:$N$71,$J1964),PARAMETROS_CULTURAS!$B$6:$B$28,0),0))</f>
        <v>8</v>
      </c>
      <c r="Q1964" s="8" t="str">
        <f aca="false">IF($P1964=0,"-",IF($O1964&lt;=INDEX(PARAMETROS_CULTURAS!$F$6:$F$28,$P1964),"INICIAL",IF($O1964&lt;=INDEX(PARAMETROS_CULTURAS!$F$6:$F$28,$P1964)+INDEX(PARAMETROS_CULTURAS!$G$6:$G$28,$P1964),"DESENVOLVIMENTO",IF($O1964&lt;=INDEX(PARAMETROS_CULTURAS!$F$6:$F$28,$P1964)+INDEX(PARAMETROS_CULTURAS!$G$6:$G$28,$P1964)+INDEX(PARAMETROS_CULTURAS!$H$6:$H$28,$P1964),"MEDIA","FINAL"))))</f>
        <v>DESENVOLVIMENTO</v>
      </c>
      <c r="R1964" s="24" t="n">
        <f aca="false">IF($P1964=0,0,IF($O1964&lt;=INDEX(PARAMETROS_CULTURAS!$F$6:$F$28,$P1964),INDEX(PARAMETROS_CULTURAS!$K$6:$K$28,$P1964),IF($O1964&lt;=INDEX(PARAMETROS_CULTURAS!$F$6:$F$28,$P1964)+INDEX(PARAMETROS_CULTURAS!$G$6:$G$28,$P1964),INDEX(PARAMETROS_CULTURAS!$K$6:$K$28,$P1964)+(INDEX(PARAMETROS_CULTURAS!$L$6:$L$28,$P1964)-INDEX(PARAMETROS_CULTURAS!$K$6:$K$28,$P1964))*($O1964-INDEX(PARAMETROS_CULTURAS!$F$6:$F$28,$P1964))/MAX(INDEX(PARAMETROS_CULTURAS!$G$6:$G$28,$P1964),0.0001),IF($O1964&lt;=INDEX(PARAMETROS_CULTURAS!$F$6:$F$28,$P1964)+INDEX(PARAMETROS_CULTURAS!$G$6:$G$28,$P1964)+INDEX(PARAMETROS_CULTURAS!$H$6:$H$28,$P1964),INDEX(PARAMETROS_CULTURAS!$L$6:$L$28,$P1964),INDEX(PARAMETROS_CULTURAS!$L$6:$L$28,$P1964)+(INDEX(PARAMETROS_CULTURAS!$M$6:$M$28,$P1964)-INDEX(PARAMETROS_CULTURAS!$L$6:$L$28,$P1964))*($O1964-INDEX(PARAMETROS_CULTURAS!$F$6:$F$28,$P1964)-INDEX(PARAMETROS_CULTURAS!$G$6:$G$28,$P1964)-INDEX(PARAMETROS_CULTURAS!$H$6:$H$28,$P1964))/MAX(INDEX(PARAMETROS_CULTURAS!$I$6:$I$28,$P1964),0.0001)))))</f>
        <v>0.4035</v>
      </c>
      <c r="S1964" s="18" t="n">
        <f aca="false">IFERROR(INDEX(SEMANAS!$H$6:$H$71,MATCH($B1964,SEMANAS!$B$6:$B$71,0)),0)</f>
        <v>30.1</v>
      </c>
      <c r="T1964" s="18" t="n">
        <f aca="false">$R1964*$S1964</f>
        <v>12.14535</v>
      </c>
      <c r="U1964" s="18" t="n">
        <f aca="false">IFERROR(INDEX(SEMANAS!$I$6:$I$71,MATCH($B1964,SEMANAS!$B$6:$B$71,0)),0)</f>
        <v>0.7</v>
      </c>
      <c r="V1964" s="18" t="n">
        <f aca="false">IFERROR(INDEX(SEMANAS!$J$6:$J$71,MATCH($B1964,SEMANAS!$B$6:$B$71,0)),0)</f>
        <v>0.56</v>
      </c>
      <c r="W1964" s="18" t="n">
        <f aca="false">MAX(0,$T1964-$V1964)</f>
        <v>11.58535</v>
      </c>
      <c r="X1964" s="19" t="n">
        <f aca="false">IFERROR(INDEX(CADASTRO_PIVOS!$K$6:$K$41,MATCH($E1964,CADASTRO_PIVOS!$B$6:$B$41,0)),EFICIENCIA_PADRAO)</f>
        <v>0.85</v>
      </c>
      <c r="Y1964" s="18" t="n">
        <f aca="false">IF($X1964&lt;=0,0,$W1964/$X1964)</f>
        <v>13.6298235294118</v>
      </c>
      <c r="Z1964" s="16" t="n">
        <f aca="false">$Y1964*$H1964*MM_PARA_M3_HA</f>
        <v>19073.5750470588</v>
      </c>
      <c r="AA1964" s="18" t="n">
        <f aca="false">IFERROR(INDEX(CADASTRO_PIVOS!$I$6:$I$41,MATCH($E1964,CADASTRO_PIVOS!$B$6:$B$41,0)),0)</f>
        <v>932.933333333333</v>
      </c>
      <c r="AB1964" s="18" t="n">
        <f aca="false">IF($Z1964&lt;=0,0,$Z1964/$AA1964)</f>
        <v>20.4447352941176</v>
      </c>
      <c r="AC1964" s="16" t="n">
        <f aca="false">IFERROR(INDEX(SEMANAS!$K$6:$K$71,MATCH($B1964,SEMANAS!$B$6:$B$71,0)),0)</f>
        <v>147</v>
      </c>
      <c r="AD1964" s="19" t="n">
        <f aca="false">IF($AC1964&lt;=0,0,$AB1964/$AC1964)</f>
        <v>0.139079831932773</v>
      </c>
      <c r="AE1964" s="8" t="str">
        <f aca="false">IF($K1964="SEM CULTURA","SEM CULTURA",IF($AA1964&lt;=0,"DADO PENDENTE",IF($AD1964&gt;LIMITE_CRITICO,"INVIAVEL",IF($AD1964&gt;LIMITE_ATENCAO,"CRITICO",IF($AD1964&gt;LIMITE_CONFORTAVEL,"ATENCAO","OK")))))</f>
        <v>OK</v>
      </c>
      <c r="AF1964" s="8" t="str">
        <f aca="false">$B1964&amp;"|"&amp;TEXT($AD1964,"0.000000")</f>
        <v>45|0.139080</v>
      </c>
      <c r="AG1964" s="18" t="n">
        <f aca="false">IF($K1964="SEM CULTURA",0,$T1964*$H1964)</f>
        <v>1699.620279</v>
      </c>
      <c r="AH1964" s="18" t="n">
        <f aca="false">IF($K1964="SEM CULTURA",0,$V1964*$H1964)</f>
        <v>78.3664</v>
      </c>
      <c r="AI1964" s="18" t="n">
        <f aca="false">IF($K1964="SEM CULTURA",0,$W1964*$H1964)</f>
        <v>1621.253879</v>
      </c>
      <c r="AJ1964" s="18" t="n">
        <f aca="false">IF($K1964="SEM CULTURA",0,$S1964*$H1964)</f>
        <v>4212.194</v>
      </c>
      <c r="AK1964" s="8" t="str">
        <f aca="false">$E1964&amp;"|"&amp;TEXT($AD1964,"0.000000")</f>
        <v>PV 126|0.139080</v>
      </c>
    </row>
    <row r="1965" customFormat="false" ht="15" hidden="false" customHeight="false" outlineLevel="0" collapsed="false">
      <c r="B1965" s="16" t="n">
        <v>46</v>
      </c>
      <c r="C1965" s="17" t="n">
        <f aca="false">DATA_INICIO_SAFRA+($B1965-1)*DIAS_POR_SEMANA</f>
        <v>46580</v>
      </c>
      <c r="D1965" s="17" t="n">
        <f aca="false">$C1965+DIAS_POR_SEMANA-1</f>
        <v>46586</v>
      </c>
      <c r="E1965" s="15" t="s">
        <v>288</v>
      </c>
      <c r="F1965" s="8" t="str">
        <f aca="false">IFERROR(INDEX(CADASTRO_PIVOS!$C$6:$C$41,MATCH($E1965,CADASTRO_PIVOS!$B$6:$B$41,0)),"?")</f>
        <v>RM07</v>
      </c>
      <c r="G1965" s="8" t="str">
        <f aca="false">IFERROR(INDEX(CADASTRO_PIVOS!$D$6:$D$41,MATCH($E1965,CADASTRO_PIVOS!$B$6:$B$41,0)),"?")</f>
        <v>TR07</v>
      </c>
      <c r="H1965" s="20" t="n">
        <f aca="false">IFERROR(INDEX(CADASTRO_PIVOS!$E$6:$E$41,MATCH($E1965,CADASTRO_PIVOS!$B$6:$B$41,0)),0)</f>
        <v>139.94</v>
      </c>
      <c r="I1965" s="16" t="n">
        <f aca="false">IFERROR(SUMIFS(ROTACAO_RDM!$B$6:$B$71,ROTACAO_RDM!$D$6:$D$71,$E1965,ROTACAO_RDM!$I$6:$I$71,"&lt;="&amp;$C1965+INT(DIAS_POR_SEMANA/2),ROTACAO_RDM!$J$6:$J$71,"&gt;="&amp;$C1965+INT(DIAS_POR_SEMANA/2)),0)</f>
        <v>50</v>
      </c>
      <c r="J1965" s="16" t="n">
        <f aca="false">IFERROR(MATCH($I1965,ROTACAO_RDM!$B$6:$B$71,0),0)</f>
        <v>50</v>
      </c>
      <c r="K1965" s="8" t="str">
        <f aca="false">IF($J1965=0,"SEM CULTURA",INDEX(ROTACAO_RDM!$F$6:$F$71,$J1965))</f>
        <v>MILHO_GRAO</v>
      </c>
      <c r="L1965" s="8" t="n">
        <f aca="false">IF($J1965=0,"",INDEX(ROTACAO_RDM!$G$6:$G$71,$J1965))</f>
        <v>0</v>
      </c>
      <c r="M1965" s="17" t="n">
        <f aca="false">IF($J1965=0,"",INDEX(ROTACAO_RDM!$I$6:$I$71,$J1965))</f>
        <v>46541</v>
      </c>
      <c r="N1965" s="16" t="n">
        <f aca="false">IF($J1965=0,0,MAX(0,$C1965+INT(DIAS_POR_SEMANA/2)-INDEX(ROTACAO_RDM!$I$6:$I$71,$J1965)))</f>
        <v>42</v>
      </c>
      <c r="O1965" s="19" t="n">
        <f aca="false">IF($J1965=0,0,MIN(1,$N1965/MAX(1,INDEX(ROTACAO_RDM!$K$6:$K$71,$J1965))))</f>
        <v>0.2625</v>
      </c>
      <c r="P1965" s="16" t="n">
        <f aca="false">IF($J1965=0,0,IFERROR(MATCH(INDEX(ROTACAO_RDM!$N$6:$N$71,$J1965),PARAMETROS_CULTURAS!$B$6:$B$28,0),0))</f>
        <v>8</v>
      </c>
      <c r="Q1965" s="8" t="str">
        <f aca="false">IF($P1965=0,"-",IF($O1965&lt;=INDEX(PARAMETROS_CULTURAS!$F$6:$F$28,$P1965),"INICIAL",IF($O1965&lt;=INDEX(PARAMETROS_CULTURAS!$F$6:$F$28,$P1965)+INDEX(PARAMETROS_CULTURAS!$G$6:$G$28,$P1965),"DESENVOLVIMENTO",IF($O1965&lt;=INDEX(PARAMETROS_CULTURAS!$F$6:$F$28,$P1965)+INDEX(PARAMETROS_CULTURAS!$G$6:$G$28,$P1965)+INDEX(PARAMETROS_CULTURAS!$H$6:$H$28,$P1965),"MEDIA","FINAL"))))</f>
        <v>DESENVOLVIMENTO</v>
      </c>
      <c r="R1965" s="24" t="n">
        <f aca="false">IF($P1965=0,0,IF($O1965&lt;=INDEX(PARAMETROS_CULTURAS!$F$6:$F$28,$P1965),INDEX(PARAMETROS_CULTURAS!$K$6:$K$28,$P1965),IF($O1965&lt;=INDEX(PARAMETROS_CULTURAS!$F$6:$F$28,$P1965)+INDEX(PARAMETROS_CULTURAS!$G$6:$G$28,$P1965),INDEX(PARAMETROS_CULTURAS!$K$6:$K$28,$P1965)+(INDEX(PARAMETROS_CULTURAS!$L$6:$L$28,$P1965)-INDEX(PARAMETROS_CULTURAS!$K$6:$K$28,$P1965))*($O1965-INDEX(PARAMETROS_CULTURAS!$F$6:$F$28,$P1965))/MAX(INDEX(PARAMETROS_CULTURAS!$G$6:$G$28,$P1965),0.0001),IF($O1965&lt;=INDEX(PARAMETROS_CULTURAS!$F$6:$F$28,$P1965)+INDEX(PARAMETROS_CULTURAS!$G$6:$G$28,$P1965)+INDEX(PARAMETROS_CULTURAS!$H$6:$H$28,$P1965),INDEX(PARAMETROS_CULTURAS!$L$6:$L$28,$P1965),INDEX(PARAMETROS_CULTURAS!$L$6:$L$28,$P1965)+(INDEX(PARAMETROS_CULTURAS!$M$6:$M$28,$P1965)-INDEX(PARAMETROS_CULTURAS!$L$6:$L$28,$P1965))*($O1965-INDEX(PARAMETROS_CULTURAS!$F$6:$F$28,$P1965)-INDEX(PARAMETROS_CULTURAS!$G$6:$G$28,$P1965)-INDEX(PARAMETROS_CULTURAS!$H$6:$H$28,$P1965))/MAX(INDEX(PARAMETROS_CULTURAS!$I$6:$I$28,$P1965),0.0001)))))</f>
        <v>0.561</v>
      </c>
      <c r="S1965" s="18" t="n">
        <f aca="false">IFERROR(INDEX(SEMANAS!$H$6:$H$71,MATCH($B1965,SEMANAS!$B$6:$B$71,0)),0)</f>
        <v>30.1</v>
      </c>
      <c r="T1965" s="18" t="n">
        <f aca="false">$R1965*$S1965</f>
        <v>16.8861</v>
      </c>
      <c r="U1965" s="18" t="n">
        <f aca="false">IFERROR(INDEX(SEMANAS!$I$6:$I$71,MATCH($B1965,SEMANAS!$B$6:$B$71,0)),0)</f>
        <v>0.7</v>
      </c>
      <c r="V1965" s="18" t="n">
        <f aca="false">IFERROR(INDEX(SEMANAS!$J$6:$J$71,MATCH($B1965,SEMANAS!$B$6:$B$71,0)),0)</f>
        <v>0.56</v>
      </c>
      <c r="W1965" s="18" t="n">
        <f aca="false">MAX(0,$T1965-$V1965)</f>
        <v>16.3261</v>
      </c>
      <c r="X1965" s="19" t="n">
        <f aca="false">IFERROR(INDEX(CADASTRO_PIVOS!$K$6:$K$41,MATCH($E1965,CADASTRO_PIVOS!$B$6:$B$41,0)),EFICIENCIA_PADRAO)</f>
        <v>0.85</v>
      </c>
      <c r="Y1965" s="18" t="n">
        <f aca="false">IF($X1965&lt;=0,0,$W1965/$X1965)</f>
        <v>19.2071764705882</v>
      </c>
      <c r="Z1965" s="16" t="n">
        <f aca="false">$Y1965*$H1965*MM_PARA_M3_HA</f>
        <v>26878.5227529412</v>
      </c>
      <c r="AA1965" s="18" t="n">
        <f aca="false">IFERROR(INDEX(CADASTRO_PIVOS!$I$6:$I$41,MATCH($E1965,CADASTRO_PIVOS!$B$6:$B$41,0)),0)</f>
        <v>932.933333333333</v>
      </c>
      <c r="AB1965" s="18" t="n">
        <f aca="false">IF($Z1965&lt;=0,0,$Z1965/$AA1965)</f>
        <v>28.8107647058823</v>
      </c>
      <c r="AC1965" s="16" t="n">
        <f aca="false">IFERROR(INDEX(SEMANAS!$K$6:$K$71,MATCH($B1965,SEMANAS!$B$6:$B$71,0)),0)</f>
        <v>147</v>
      </c>
      <c r="AD1965" s="19" t="n">
        <f aca="false">IF($AC1965&lt;=0,0,$AB1965/$AC1965)</f>
        <v>0.195991596638655</v>
      </c>
      <c r="AE1965" s="8" t="str">
        <f aca="false">IF($K1965="SEM CULTURA","SEM CULTURA",IF($AA1965&lt;=0,"DADO PENDENTE",IF($AD1965&gt;LIMITE_CRITICO,"INVIAVEL",IF($AD1965&gt;LIMITE_ATENCAO,"CRITICO",IF($AD1965&gt;LIMITE_CONFORTAVEL,"ATENCAO","OK")))))</f>
        <v>OK</v>
      </c>
      <c r="AF1965" s="8" t="str">
        <f aca="false">$B1965&amp;"|"&amp;TEXT($AD1965,"0.000000")</f>
        <v>46|0.195992</v>
      </c>
      <c r="AG1965" s="18" t="n">
        <f aca="false">IF($K1965="SEM CULTURA",0,$T1965*$H1965)</f>
        <v>2363.040834</v>
      </c>
      <c r="AH1965" s="18" t="n">
        <f aca="false">IF($K1965="SEM CULTURA",0,$V1965*$H1965)</f>
        <v>78.3664</v>
      </c>
      <c r="AI1965" s="18" t="n">
        <f aca="false">IF($K1965="SEM CULTURA",0,$W1965*$H1965)</f>
        <v>2284.674434</v>
      </c>
      <c r="AJ1965" s="18" t="n">
        <f aca="false">IF($K1965="SEM CULTURA",0,$S1965*$H1965)</f>
        <v>4212.194</v>
      </c>
      <c r="AK1965" s="8" t="str">
        <f aca="false">$E1965&amp;"|"&amp;TEXT($AD1965,"0.000000")</f>
        <v>PV 126|0.195992</v>
      </c>
    </row>
    <row r="1966" customFormat="false" ht="15" hidden="false" customHeight="false" outlineLevel="0" collapsed="false">
      <c r="B1966" s="16" t="n">
        <v>47</v>
      </c>
      <c r="C1966" s="17" t="n">
        <f aca="false">DATA_INICIO_SAFRA+($B1966-1)*DIAS_POR_SEMANA</f>
        <v>46587</v>
      </c>
      <c r="D1966" s="17" t="n">
        <f aca="false">$C1966+DIAS_POR_SEMANA-1</f>
        <v>46593</v>
      </c>
      <c r="E1966" s="15" t="s">
        <v>288</v>
      </c>
      <c r="F1966" s="8" t="str">
        <f aca="false">IFERROR(INDEX(CADASTRO_PIVOS!$C$6:$C$41,MATCH($E1966,CADASTRO_PIVOS!$B$6:$B$41,0)),"?")</f>
        <v>RM07</v>
      </c>
      <c r="G1966" s="8" t="str">
        <f aca="false">IFERROR(INDEX(CADASTRO_PIVOS!$D$6:$D$41,MATCH($E1966,CADASTRO_PIVOS!$B$6:$B$41,0)),"?")</f>
        <v>TR07</v>
      </c>
      <c r="H1966" s="20" t="n">
        <f aca="false">IFERROR(INDEX(CADASTRO_PIVOS!$E$6:$E$41,MATCH($E1966,CADASTRO_PIVOS!$B$6:$B$41,0)),0)</f>
        <v>139.94</v>
      </c>
      <c r="I1966" s="16" t="n">
        <f aca="false">IFERROR(SUMIFS(ROTACAO_RDM!$B$6:$B$71,ROTACAO_RDM!$D$6:$D$71,$E1966,ROTACAO_RDM!$I$6:$I$71,"&lt;="&amp;$C1966+INT(DIAS_POR_SEMANA/2),ROTACAO_RDM!$J$6:$J$71,"&gt;="&amp;$C1966+INT(DIAS_POR_SEMANA/2)),0)</f>
        <v>50</v>
      </c>
      <c r="J1966" s="16" t="n">
        <f aca="false">IFERROR(MATCH($I1966,ROTACAO_RDM!$B$6:$B$71,0),0)</f>
        <v>50</v>
      </c>
      <c r="K1966" s="8" t="str">
        <f aca="false">IF($J1966=0,"SEM CULTURA",INDEX(ROTACAO_RDM!$F$6:$F$71,$J1966))</f>
        <v>MILHO_GRAO</v>
      </c>
      <c r="L1966" s="8" t="n">
        <f aca="false">IF($J1966=0,"",INDEX(ROTACAO_RDM!$G$6:$G$71,$J1966))</f>
        <v>0</v>
      </c>
      <c r="M1966" s="17" t="n">
        <f aca="false">IF($J1966=0,"",INDEX(ROTACAO_RDM!$I$6:$I$71,$J1966))</f>
        <v>46541</v>
      </c>
      <c r="N1966" s="16" t="n">
        <f aca="false">IF($J1966=0,0,MAX(0,$C1966+INT(DIAS_POR_SEMANA/2)-INDEX(ROTACAO_RDM!$I$6:$I$71,$J1966)))</f>
        <v>49</v>
      </c>
      <c r="O1966" s="19" t="n">
        <f aca="false">IF($J1966=0,0,MIN(1,$N1966/MAX(1,INDEX(ROTACAO_RDM!$K$6:$K$71,$J1966))))</f>
        <v>0.30625</v>
      </c>
      <c r="P1966" s="16" t="n">
        <f aca="false">IF($J1966=0,0,IFERROR(MATCH(INDEX(ROTACAO_RDM!$N$6:$N$71,$J1966),PARAMETROS_CULTURAS!$B$6:$B$28,0),0))</f>
        <v>8</v>
      </c>
      <c r="Q1966" s="8" t="str">
        <f aca="false">IF($P1966=0,"-",IF($O1966&lt;=INDEX(PARAMETROS_CULTURAS!$F$6:$F$28,$P1966),"INICIAL",IF($O1966&lt;=INDEX(PARAMETROS_CULTURAS!$F$6:$F$28,$P1966)+INDEX(PARAMETROS_CULTURAS!$G$6:$G$28,$P1966),"DESENVOLVIMENTO",IF($O1966&lt;=INDEX(PARAMETROS_CULTURAS!$F$6:$F$28,$P1966)+INDEX(PARAMETROS_CULTURAS!$G$6:$G$28,$P1966)+INDEX(PARAMETROS_CULTURAS!$H$6:$H$28,$P1966),"MEDIA","FINAL"))))</f>
        <v>DESENVOLVIMENTO</v>
      </c>
      <c r="R1966" s="24" t="n">
        <f aca="false">IF($P1966=0,0,IF($O1966&lt;=INDEX(PARAMETROS_CULTURAS!$F$6:$F$28,$P1966),INDEX(PARAMETROS_CULTURAS!$K$6:$K$28,$P1966),IF($O1966&lt;=INDEX(PARAMETROS_CULTURAS!$F$6:$F$28,$P1966)+INDEX(PARAMETROS_CULTURAS!$G$6:$G$28,$P1966),INDEX(PARAMETROS_CULTURAS!$K$6:$K$28,$P1966)+(INDEX(PARAMETROS_CULTURAS!$L$6:$L$28,$P1966)-INDEX(PARAMETROS_CULTURAS!$K$6:$K$28,$P1966))*($O1966-INDEX(PARAMETROS_CULTURAS!$F$6:$F$28,$P1966))/MAX(INDEX(PARAMETROS_CULTURAS!$G$6:$G$28,$P1966),0.0001),IF($O1966&lt;=INDEX(PARAMETROS_CULTURAS!$F$6:$F$28,$P1966)+INDEX(PARAMETROS_CULTURAS!$G$6:$G$28,$P1966)+INDEX(PARAMETROS_CULTURAS!$H$6:$H$28,$P1966),INDEX(PARAMETROS_CULTURAS!$L$6:$L$28,$P1966),INDEX(PARAMETROS_CULTURAS!$L$6:$L$28,$P1966)+(INDEX(PARAMETROS_CULTURAS!$M$6:$M$28,$P1966)-INDEX(PARAMETROS_CULTURAS!$L$6:$L$28,$P1966))*($O1966-INDEX(PARAMETROS_CULTURAS!$F$6:$F$28,$P1966)-INDEX(PARAMETROS_CULTURAS!$G$6:$G$28,$P1966)-INDEX(PARAMETROS_CULTURAS!$H$6:$H$28,$P1966))/MAX(INDEX(PARAMETROS_CULTURAS!$I$6:$I$28,$P1966),0.0001)))))</f>
        <v>0.7185</v>
      </c>
      <c r="S1966" s="18" t="n">
        <f aca="false">IFERROR(INDEX(SEMANAS!$H$6:$H$71,MATCH($B1966,SEMANAS!$B$6:$B$71,0)),0)</f>
        <v>30.1</v>
      </c>
      <c r="T1966" s="18" t="n">
        <f aca="false">$R1966*$S1966</f>
        <v>21.62685</v>
      </c>
      <c r="U1966" s="18" t="n">
        <f aca="false">IFERROR(INDEX(SEMANAS!$I$6:$I$71,MATCH($B1966,SEMANAS!$B$6:$B$71,0)),0)</f>
        <v>0.7</v>
      </c>
      <c r="V1966" s="18" t="n">
        <f aca="false">IFERROR(INDEX(SEMANAS!$J$6:$J$71,MATCH($B1966,SEMANAS!$B$6:$B$71,0)),0)</f>
        <v>0.56</v>
      </c>
      <c r="W1966" s="18" t="n">
        <f aca="false">MAX(0,$T1966-$V1966)</f>
        <v>21.06685</v>
      </c>
      <c r="X1966" s="19" t="n">
        <f aca="false">IFERROR(INDEX(CADASTRO_PIVOS!$K$6:$K$41,MATCH($E1966,CADASTRO_PIVOS!$B$6:$B$41,0)),EFICIENCIA_PADRAO)</f>
        <v>0.85</v>
      </c>
      <c r="Y1966" s="18" t="n">
        <f aca="false">IF($X1966&lt;=0,0,$W1966/$X1966)</f>
        <v>24.7845294117647</v>
      </c>
      <c r="Z1966" s="16" t="n">
        <f aca="false">$Y1966*$H1966*MM_PARA_M3_HA</f>
        <v>34683.4704588235</v>
      </c>
      <c r="AA1966" s="18" t="n">
        <f aca="false">IFERROR(INDEX(CADASTRO_PIVOS!$I$6:$I$41,MATCH($E1966,CADASTRO_PIVOS!$B$6:$B$41,0)),0)</f>
        <v>932.933333333333</v>
      </c>
      <c r="AB1966" s="18" t="n">
        <f aca="false">IF($Z1966&lt;=0,0,$Z1966/$AA1966)</f>
        <v>37.1767941176471</v>
      </c>
      <c r="AC1966" s="16" t="n">
        <f aca="false">IFERROR(INDEX(SEMANAS!$K$6:$K$71,MATCH($B1966,SEMANAS!$B$6:$B$71,0)),0)</f>
        <v>147</v>
      </c>
      <c r="AD1966" s="19" t="n">
        <f aca="false">IF($AC1966&lt;=0,0,$AB1966/$AC1966)</f>
        <v>0.252903361344538</v>
      </c>
      <c r="AE1966" s="8" t="str">
        <f aca="false">IF($K1966="SEM CULTURA","SEM CULTURA",IF($AA1966&lt;=0,"DADO PENDENTE",IF($AD1966&gt;LIMITE_CRITICO,"INVIAVEL",IF($AD1966&gt;LIMITE_ATENCAO,"CRITICO",IF($AD1966&gt;LIMITE_CONFORTAVEL,"ATENCAO","OK")))))</f>
        <v>OK</v>
      </c>
      <c r="AF1966" s="8" t="str">
        <f aca="false">$B1966&amp;"|"&amp;TEXT($AD1966,"0.000000")</f>
        <v>47|0.252903</v>
      </c>
      <c r="AG1966" s="18" t="n">
        <f aca="false">IF($K1966="SEM CULTURA",0,$T1966*$H1966)</f>
        <v>3026.461389</v>
      </c>
      <c r="AH1966" s="18" t="n">
        <f aca="false">IF($K1966="SEM CULTURA",0,$V1966*$H1966)</f>
        <v>78.3664</v>
      </c>
      <c r="AI1966" s="18" t="n">
        <f aca="false">IF($K1966="SEM CULTURA",0,$W1966*$H1966)</f>
        <v>2948.094989</v>
      </c>
      <c r="AJ1966" s="18" t="n">
        <f aca="false">IF($K1966="SEM CULTURA",0,$S1966*$H1966)</f>
        <v>4212.194</v>
      </c>
      <c r="AK1966" s="8" t="str">
        <f aca="false">$E1966&amp;"|"&amp;TEXT($AD1966,"0.000000")</f>
        <v>PV 126|0.252903</v>
      </c>
    </row>
    <row r="1967" customFormat="false" ht="15" hidden="false" customHeight="false" outlineLevel="0" collapsed="false">
      <c r="B1967" s="16" t="n">
        <v>48</v>
      </c>
      <c r="C1967" s="17" t="n">
        <f aca="false">DATA_INICIO_SAFRA+($B1967-1)*DIAS_POR_SEMANA</f>
        <v>46594</v>
      </c>
      <c r="D1967" s="17" t="n">
        <f aca="false">$C1967+DIAS_POR_SEMANA-1</f>
        <v>46600</v>
      </c>
      <c r="E1967" s="15" t="s">
        <v>288</v>
      </c>
      <c r="F1967" s="8" t="str">
        <f aca="false">IFERROR(INDEX(CADASTRO_PIVOS!$C$6:$C$41,MATCH($E1967,CADASTRO_PIVOS!$B$6:$B$41,0)),"?")</f>
        <v>RM07</v>
      </c>
      <c r="G1967" s="8" t="str">
        <f aca="false">IFERROR(INDEX(CADASTRO_PIVOS!$D$6:$D$41,MATCH($E1967,CADASTRO_PIVOS!$B$6:$B$41,0)),"?")</f>
        <v>TR07</v>
      </c>
      <c r="H1967" s="20" t="n">
        <f aca="false">IFERROR(INDEX(CADASTRO_PIVOS!$E$6:$E$41,MATCH($E1967,CADASTRO_PIVOS!$B$6:$B$41,0)),0)</f>
        <v>139.94</v>
      </c>
      <c r="I1967" s="16" t="n">
        <f aca="false">IFERROR(SUMIFS(ROTACAO_RDM!$B$6:$B$71,ROTACAO_RDM!$D$6:$D$71,$E1967,ROTACAO_RDM!$I$6:$I$71,"&lt;="&amp;$C1967+INT(DIAS_POR_SEMANA/2),ROTACAO_RDM!$J$6:$J$71,"&gt;="&amp;$C1967+INT(DIAS_POR_SEMANA/2)),0)</f>
        <v>50</v>
      </c>
      <c r="J1967" s="16" t="n">
        <f aca="false">IFERROR(MATCH($I1967,ROTACAO_RDM!$B$6:$B$71,0),0)</f>
        <v>50</v>
      </c>
      <c r="K1967" s="8" t="str">
        <f aca="false">IF($J1967=0,"SEM CULTURA",INDEX(ROTACAO_RDM!$F$6:$F$71,$J1967))</f>
        <v>MILHO_GRAO</v>
      </c>
      <c r="L1967" s="8" t="n">
        <f aca="false">IF($J1967=0,"",INDEX(ROTACAO_RDM!$G$6:$G$71,$J1967))</f>
        <v>0</v>
      </c>
      <c r="M1967" s="17" t="n">
        <f aca="false">IF($J1967=0,"",INDEX(ROTACAO_RDM!$I$6:$I$71,$J1967))</f>
        <v>46541</v>
      </c>
      <c r="N1967" s="16" t="n">
        <f aca="false">IF($J1967=0,0,MAX(0,$C1967+INT(DIAS_POR_SEMANA/2)-INDEX(ROTACAO_RDM!$I$6:$I$71,$J1967)))</f>
        <v>56</v>
      </c>
      <c r="O1967" s="19" t="n">
        <f aca="false">IF($J1967=0,0,MIN(1,$N1967/MAX(1,INDEX(ROTACAO_RDM!$K$6:$K$71,$J1967))))</f>
        <v>0.35</v>
      </c>
      <c r="P1967" s="16" t="n">
        <f aca="false">IF($J1967=0,0,IFERROR(MATCH(INDEX(ROTACAO_RDM!$N$6:$N$71,$J1967),PARAMETROS_CULTURAS!$B$6:$B$28,0),0))</f>
        <v>8</v>
      </c>
      <c r="Q1967" s="8" t="str">
        <f aca="false">IF($P1967=0,"-",IF($O1967&lt;=INDEX(PARAMETROS_CULTURAS!$F$6:$F$28,$P1967),"INICIAL",IF($O1967&lt;=INDEX(PARAMETROS_CULTURAS!$F$6:$F$28,$P1967)+INDEX(PARAMETROS_CULTURAS!$G$6:$G$28,$P1967),"DESENVOLVIMENTO",IF($O1967&lt;=INDEX(PARAMETROS_CULTURAS!$F$6:$F$28,$P1967)+INDEX(PARAMETROS_CULTURAS!$G$6:$G$28,$P1967)+INDEX(PARAMETROS_CULTURAS!$H$6:$H$28,$P1967),"MEDIA","FINAL"))))</f>
        <v>DESENVOLVIMENTO</v>
      </c>
      <c r="R1967" s="24" t="n">
        <f aca="false">IF($P1967=0,0,IF($O1967&lt;=INDEX(PARAMETROS_CULTURAS!$F$6:$F$28,$P1967),INDEX(PARAMETROS_CULTURAS!$K$6:$K$28,$P1967),IF($O1967&lt;=INDEX(PARAMETROS_CULTURAS!$F$6:$F$28,$P1967)+INDEX(PARAMETROS_CULTURAS!$G$6:$G$28,$P1967),INDEX(PARAMETROS_CULTURAS!$K$6:$K$28,$P1967)+(INDEX(PARAMETROS_CULTURAS!$L$6:$L$28,$P1967)-INDEX(PARAMETROS_CULTURAS!$K$6:$K$28,$P1967))*($O1967-INDEX(PARAMETROS_CULTURAS!$F$6:$F$28,$P1967))/MAX(INDEX(PARAMETROS_CULTURAS!$G$6:$G$28,$P1967),0.0001),IF($O1967&lt;=INDEX(PARAMETROS_CULTURAS!$F$6:$F$28,$P1967)+INDEX(PARAMETROS_CULTURAS!$G$6:$G$28,$P1967)+INDEX(PARAMETROS_CULTURAS!$H$6:$H$28,$P1967),INDEX(PARAMETROS_CULTURAS!$L$6:$L$28,$P1967),INDEX(PARAMETROS_CULTURAS!$L$6:$L$28,$P1967)+(INDEX(PARAMETROS_CULTURAS!$M$6:$M$28,$P1967)-INDEX(PARAMETROS_CULTURAS!$L$6:$L$28,$P1967))*($O1967-INDEX(PARAMETROS_CULTURAS!$F$6:$F$28,$P1967)-INDEX(PARAMETROS_CULTURAS!$G$6:$G$28,$P1967)-INDEX(PARAMETROS_CULTURAS!$H$6:$H$28,$P1967))/MAX(INDEX(PARAMETROS_CULTURAS!$I$6:$I$28,$P1967),0.0001)))))</f>
        <v>0.876</v>
      </c>
      <c r="S1967" s="18" t="n">
        <f aca="false">IFERROR(INDEX(SEMANAS!$H$6:$H$71,MATCH($B1967,SEMANAS!$B$6:$B$71,0)),0)</f>
        <v>31</v>
      </c>
      <c r="T1967" s="18" t="n">
        <f aca="false">$R1967*$S1967</f>
        <v>27.156</v>
      </c>
      <c r="U1967" s="18" t="n">
        <f aca="false">IFERROR(INDEX(SEMANAS!$I$6:$I$71,MATCH($B1967,SEMANAS!$B$6:$B$71,0)),0)</f>
        <v>0.76</v>
      </c>
      <c r="V1967" s="18" t="n">
        <f aca="false">IFERROR(INDEX(SEMANAS!$J$6:$J$71,MATCH($B1967,SEMANAS!$B$6:$B$71,0)),0)</f>
        <v>0.608</v>
      </c>
      <c r="W1967" s="18" t="n">
        <f aca="false">MAX(0,$T1967-$V1967)</f>
        <v>26.548</v>
      </c>
      <c r="X1967" s="19" t="n">
        <f aca="false">IFERROR(INDEX(CADASTRO_PIVOS!$K$6:$K$41,MATCH($E1967,CADASTRO_PIVOS!$B$6:$B$41,0)),EFICIENCIA_PADRAO)</f>
        <v>0.85</v>
      </c>
      <c r="Y1967" s="18" t="n">
        <f aca="false">IF($X1967&lt;=0,0,$W1967/$X1967)</f>
        <v>31.2329411764706</v>
      </c>
      <c r="Z1967" s="16" t="n">
        <f aca="false">$Y1967*$H1967*MM_PARA_M3_HA</f>
        <v>43707.3778823529</v>
      </c>
      <c r="AA1967" s="18" t="n">
        <f aca="false">IFERROR(INDEX(CADASTRO_PIVOS!$I$6:$I$41,MATCH($E1967,CADASTRO_PIVOS!$B$6:$B$41,0)),0)</f>
        <v>932.933333333333</v>
      </c>
      <c r="AB1967" s="18" t="n">
        <f aca="false">IF($Z1967&lt;=0,0,$Z1967/$AA1967)</f>
        <v>46.8494117647059</v>
      </c>
      <c r="AC1967" s="16" t="n">
        <f aca="false">IFERROR(INDEX(SEMANAS!$K$6:$K$71,MATCH($B1967,SEMANAS!$B$6:$B$71,0)),0)</f>
        <v>147</v>
      </c>
      <c r="AD1967" s="19" t="n">
        <f aca="false">IF($AC1967&lt;=0,0,$AB1967/$AC1967)</f>
        <v>0.318703481392557</v>
      </c>
      <c r="AE1967" s="8" t="str">
        <f aca="false">IF($K1967="SEM CULTURA","SEM CULTURA",IF($AA1967&lt;=0,"DADO PENDENTE",IF($AD1967&gt;LIMITE_CRITICO,"INVIAVEL",IF($AD1967&gt;LIMITE_ATENCAO,"CRITICO",IF($AD1967&gt;LIMITE_CONFORTAVEL,"ATENCAO","OK")))))</f>
        <v>OK</v>
      </c>
      <c r="AF1967" s="8" t="str">
        <f aca="false">$B1967&amp;"|"&amp;TEXT($AD1967,"0.000000")</f>
        <v>48|0.318703</v>
      </c>
      <c r="AG1967" s="18" t="n">
        <f aca="false">IF($K1967="SEM CULTURA",0,$T1967*$H1967)</f>
        <v>3800.21064</v>
      </c>
      <c r="AH1967" s="18" t="n">
        <f aca="false">IF($K1967="SEM CULTURA",0,$V1967*$H1967)</f>
        <v>85.08352</v>
      </c>
      <c r="AI1967" s="18" t="n">
        <f aca="false">IF($K1967="SEM CULTURA",0,$W1967*$H1967)</f>
        <v>3715.12712</v>
      </c>
      <c r="AJ1967" s="18" t="n">
        <f aca="false">IF($K1967="SEM CULTURA",0,$S1967*$H1967)</f>
        <v>4338.14</v>
      </c>
      <c r="AK1967" s="8" t="str">
        <f aca="false">$E1967&amp;"|"&amp;TEXT($AD1967,"0.000000")</f>
        <v>PV 126|0.318703</v>
      </c>
    </row>
    <row r="1968" customFormat="false" ht="15" hidden="false" customHeight="false" outlineLevel="0" collapsed="false">
      <c r="B1968" s="16" t="n">
        <v>49</v>
      </c>
      <c r="C1968" s="17" t="n">
        <f aca="false">DATA_INICIO_SAFRA+($B1968-1)*DIAS_POR_SEMANA</f>
        <v>46601</v>
      </c>
      <c r="D1968" s="17" t="n">
        <f aca="false">$C1968+DIAS_POR_SEMANA-1</f>
        <v>46607</v>
      </c>
      <c r="E1968" s="15" t="s">
        <v>288</v>
      </c>
      <c r="F1968" s="8" t="str">
        <f aca="false">IFERROR(INDEX(CADASTRO_PIVOS!$C$6:$C$41,MATCH($E1968,CADASTRO_PIVOS!$B$6:$B$41,0)),"?")</f>
        <v>RM07</v>
      </c>
      <c r="G1968" s="8" t="str">
        <f aca="false">IFERROR(INDEX(CADASTRO_PIVOS!$D$6:$D$41,MATCH($E1968,CADASTRO_PIVOS!$B$6:$B$41,0)),"?")</f>
        <v>TR07</v>
      </c>
      <c r="H1968" s="20" t="n">
        <f aca="false">IFERROR(INDEX(CADASTRO_PIVOS!$E$6:$E$41,MATCH($E1968,CADASTRO_PIVOS!$B$6:$B$41,0)),0)</f>
        <v>139.94</v>
      </c>
      <c r="I1968" s="16" t="n">
        <f aca="false">IFERROR(SUMIFS(ROTACAO_RDM!$B$6:$B$71,ROTACAO_RDM!$D$6:$D$71,$E1968,ROTACAO_RDM!$I$6:$I$71,"&lt;="&amp;$C1968+INT(DIAS_POR_SEMANA/2),ROTACAO_RDM!$J$6:$J$71,"&gt;="&amp;$C1968+INT(DIAS_POR_SEMANA/2)),0)</f>
        <v>50</v>
      </c>
      <c r="J1968" s="16" t="n">
        <f aca="false">IFERROR(MATCH($I1968,ROTACAO_RDM!$B$6:$B$71,0),0)</f>
        <v>50</v>
      </c>
      <c r="K1968" s="8" t="str">
        <f aca="false">IF($J1968=0,"SEM CULTURA",INDEX(ROTACAO_RDM!$F$6:$F$71,$J1968))</f>
        <v>MILHO_GRAO</v>
      </c>
      <c r="L1968" s="8" t="n">
        <f aca="false">IF($J1968=0,"",INDEX(ROTACAO_RDM!$G$6:$G$71,$J1968))</f>
        <v>0</v>
      </c>
      <c r="M1968" s="17" t="n">
        <f aca="false">IF($J1968=0,"",INDEX(ROTACAO_RDM!$I$6:$I$71,$J1968))</f>
        <v>46541</v>
      </c>
      <c r="N1968" s="16" t="n">
        <f aca="false">IF($J1968=0,0,MAX(0,$C1968+INT(DIAS_POR_SEMANA/2)-INDEX(ROTACAO_RDM!$I$6:$I$71,$J1968)))</f>
        <v>63</v>
      </c>
      <c r="O1968" s="19" t="n">
        <f aca="false">IF($J1968=0,0,MIN(1,$N1968/MAX(1,INDEX(ROTACAO_RDM!$K$6:$K$71,$J1968))))</f>
        <v>0.39375</v>
      </c>
      <c r="P1968" s="16" t="n">
        <f aca="false">IF($J1968=0,0,IFERROR(MATCH(INDEX(ROTACAO_RDM!$N$6:$N$71,$J1968),PARAMETROS_CULTURAS!$B$6:$B$28,0),0))</f>
        <v>8</v>
      </c>
      <c r="Q1968" s="8" t="str">
        <f aca="false">IF($P1968=0,"-",IF($O1968&lt;=INDEX(PARAMETROS_CULTURAS!$F$6:$F$28,$P1968),"INICIAL",IF($O1968&lt;=INDEX(PARAMETROS_CULTURAS!$F$6:$F$28,$P1968)+INDEX(PARAMETROS_CULTURAS!$G$6:$G$28,$P1968),"DESENVOLVIMENTO",IF($O1968&lt;=INDEX(PARAMETROS_CULTURAS!$F$6:$F$28,$P1968)+INDEX(PARAMETROS_CULTURAS!$G$6:$G$28,$P1968)+INDEX(PARAMETROS_CULTURAS!$H$6:$H$28,$P1968),"MEDIA","FINAL"))))</f>
        <v>DESENVOLVIMENTO</v>
      </c>
      <c r="R1968" s="24" t="n">
        <f aca="false">IF($P1968=0,0,IF($O1968&lt;=INDEX(PARAMETROS_CULTURAS!$F$6:$F$28,$P1968),INDEX(PARAMETROS_CULTURAS!$K$6:$K$28,$P1968),IF($O1968&lt;=INDEX(PARAMETROS_CULTURAS!$F$6:$F$28,$P1968)+INDEX(PARAMETROS_CULTURAS!$G$6:$G$28,$P1968),INDEX(PARAMETROS_CULTURAS!$K$6:$K$28,$P1968)+(INDEX(PARAMETROS_CULTURAS!$L$6:$L$28,$P1968)-INDEX(PARAMETROS_CULTURAS!$K$6:$K$28,$P1968))*($O1968-INDEX(PARAMETROS_CULTURAS!$F$6:$F$28,$P1968))/MAX(INDEX(PARAMETROS_CULTURAS!$G$6:$G$28,$P1968),0.0001),IF($O1968&lt;=INDEX(PARAMETROS_CULTURAS!$F$6:$F$28,$P1968)+INDEX(PARAMETROS_CULTURAS!$G$6:$G$28,$P1968)+INDEX(PARAMETROS_CULTURAS!$H$6:$H$28,$P1968),INDEX(PARAMETROS_CULTURAS!$L$6:$L$28,$P1968),INDEX(PARAMETROS_CULTURAS!$L$6:$L$28,$P1968)+(INDEX(PARAMETROS_CULTURAS!$M$6:$M$28,$P1968)-INDEX(PARAMETROS_CULTURAS!$L$6:$L$28,$P1968))*($O1968-INDEX(PARAMETROS_CULTURAS!$F$6:$F$28,$P1968)-INDEX(PARAMETROS_CULTURAS!$G$6:$G$28,$P1968)-INDEX(PARAMETROS_CULTURAS!$H$6:$H$28,$P1968))/MAX(INDEX(PARAMETROS_CULTURAS!$I$6:$I$28,$P1968),0.0001)))))</f>
        <v>1.0335</v>
      </c>
      <c r="S1968" s="18" t="n">
        <f aca="false">IFERROR(INDEX(SEMANAS!$H$6:$H$71,MATCH($B1968,SEMANAS!$B$6:$B$71,0)),0)</f>
        <v>36.4</v>
      </c>
      <c r="T1968" s="18" t="n">
        <f aca="false">$R1968*$S1968</f>
        <v>37.6194</v>
      </c>
      <c r="U1968" s="18" t="n">
        <f aca="false">IFERROR(INDEX(SEMANAS!$I$6:$I$71,MATCH($B1968,SEMANAS!$B$6:$B$71,0)),0)</f>
        <v>1.12</v>
      </c>
      <c r="V1968" s="18" t="n">
        <f aca="false">IFERROR(INDEX(SEMANAS!$J$6:$J$71,MATCH($B1968,SEMANAS!$B$6:$B$71,0)),0)</f>
        <v>0.896</v>
      </c>
      <c r="W1968" s="18" t="n">
        <f aca="false">MAX(0,$T1968-$V1968)</f>
        <v>36.7234</v>
      </c>
      <c r="X1968" s="19" t="n">
        <f aca="false">IFERROR(INDEX(CADASTRO_PIVOS!$K$6:$K$41,MATCH($E1968,CADASTRO_PIVOS!$B$6:$B$41,0)),EFICIENCIA_PADRAO)</f>
        <v>0.85</v>
      </c>
      <c r="Y1968" s="18" t="n">
        <f aca="false">IF($X1968&lt;=0,0,$W1968/$X1968)</f>
        <v>43.204</v>
      </c>
      <c r="Z1968" s="16" t="n">
        <f aca="false">$Y1968*$H1968*MM_PARA_M3_HA</f>
        <v>60459.6776</v>
      </c>
      <c r="AA1968" s="18" t="n">
        <f aca="false">IFERROR(INDEX(CADASTRO_PIVOS!$I$6:$I$41,MATCH($E1968,CADASTRO_PIVOS!$B$6:$B$41,0)),0)</f>
        <v>932.933333333333</v>
      </c>
      <c r="AB1968" s="18" t="n">
        <f aca="false">IF($Z1968&lt;=0,0,$Z1968/$AA1968)</f>
        <v>64.806</v>
      </c>
      <c r="AC1968" s="16" t="n">
        <f aca="false">IFERROR(INDEX(SEMANAS!$K$6:$K$71,MATCH($B1968,SEMANAS!$B$6:$B$71,0)),0)</f>
        <v>147</v>
      </c>
      <c r="AD1968" s="19" t="n">
        <f aca="false">IF($AC1968&lt;=0,0,$AB1968/$AC1968)</f>
        <v>0.440857142857143</v>
      </c>
      <c r="AE1968" s="8" t="str">
        <f aca="false">IF($K1968="SEM CULTURA","SEM CULTURA",IF($AA1968&lt;=0,"DADO PENDENTE",IF($AD1968&gt;LIMITE_CRITICO,"INVIAVEL",IF($AD1968&gt;LIMITE_ATENCAO,"CRITICO",IF($AD1968&gt;LIMITE_CONFORTAVEL,"ATENCAO","OK")))))</f>
        <v>OK</v>
      </c>
      <c r="AF1968" s="8" t="str">
        <f aca="false">$B1968&amp;"|"&amp;TEXT($AD1968,"0.000000")</f>
        <v>49|0.440857</v>
      </c>
      <c r="AG1968" s="18" t="n">
        <f aca="false">IF($K1968="SEM CULTURA",0,$T1968*$H1968)</f>
        <v>5264.458836</v>
      </c>
      <c r="AH1968" s="18" t="n">
        <f aca="false">IF($K1968="SEM CULTURA",0,$V1968*$H1968)</f>
        <v>125.38624</v>
      </c>
      <c r="AI1968" s="18" t="n">
        <f aca="false">IF($K1968="SEM CULTURA",0,$W1968*$H1968)</f>
        <v>5139.072596</v>
      </c>
      <c r="AJ1968" s="18" t="n">
        <f aca="false">IF($K1968="SEM CULTURA",0,$S1968*$H1968)</f>
        <v>5093.816</v>
      </c>
      <c r="AK1968" s="8" t="str">
        <f aca="false">$E1968&amp;"|"&amp;TEXT($AD1968,"0.000000")</f>
        <v>PV 126|0.440857</v>
      </c>
    </row>
    <row r="1969" customFormat="false" ht="15" hidden="false" customHeight="false" outlineLevel="0" collapsed="false">
      <c r="B1969" s="16" t="n">
        <v>50</v>
      </c>
      <c r="C1969" s="17" t="n">
        <f aca="false">DATA_INICIO_SAFRA+($B1969-1)*DIAS_POR_SEMANA</f>
        <v>46608</v>
      </c>
      <c r="D1969" s="17" t="n">
        <f aca="false">$C1969+DIAS_POR_SEMANA-1</f>
        <v>46614</v>
      </c>
      <c r="E1969" s="15" t="s">
        <v>288</v>
      </c>
      <c r="F1969" s="8" t="str">
        <f aca="false">IFERROR(INDEX(CADASTRO_PIVOS!$C$6:$C$41,MATCH($E1969,CADASTRO_PIVOS!$B$6:$B$41,0)),"?")</f>
        <v>RM07</v>
      </c>
      <c r="G1969" s="8" t="str">
        <f aca="false">IFERROR(INDEX(CADASTRO_PIVOS!$D$6:$D$41,MATCH($E1969,CADASTRO_PIVOS!$B$6:$B$41,0)),"?")</f>
        <v>TR07</v>
      </c>
      <c r="H1969" s="20" t="n">
        <f aca="false">IFERROR(INDEX(CADASTRO_PIVOS!$E$6:$E$41,MATCH($E1969,CADASTRO_PIVOS!$B$6:$B$41,0)),0)</f>
        <v>139.94</v>
      </c>
      <c r="I1969" s="16" t="n">
        <f aca="false">IFERROR(SUMIFS(ROTACAO_RDM!$B$6:$B$71,ROTACAO_RDM!$D$6:$D$71,$E1969,ROTACAO_RDM!$I$6:$I$71,"&lt;="&amp;$C1969+INT(DIAS_POR_SEMANA/2),ROTACAO_RDM!$J$6:$J$71,"&gt;="&amp;$C1969+INT(DIAS_POR_SEMANA/2)),0)</f>
        <v>50</v>
      </c>
      <c r="J1969" s="16" t="n">
        <f aca="false">IFERROR(MATCH($I1969,ROTACAO_RDM!$B$6:$B$71,0),0)</f>
        <v>50</v>
      </c>
      <c r="K1969" s="8" t="str">
        <f aca="false">IF($J1969=0,"SEM CULTURA",INDEX(ROTACAO_RDM!$F$6:$F$71,$J1969))</f>
        <v>MILHO_GRAO</v>
      </c>
      <c r="L1969" s="8" t="n">
        <f aca="false">IF($J1969=0,"",INDEX(ROTACAO_RDM!$G$6:$G$71,$J1969))</f>
        <v>0</v>
      </c>
      <c r="M1969" s="17" t="n">
        <f aca="false">IF($J1969=0,"",INDEX(ROTACAO_RDM!$I$6:$I$71,$J1969))</f>
        <v>46541</v>
      </c>
      <c r="N1969" s="16" t="n">
        <f aca="false">IF($J1969=0,0,MAX(0,$C1969+INT(DIAS_POR_SEMANA/2)-INDEX(ROTACAO_RDM!$I$6:$I$71,$J1969)))</f>
        <v>70</v>
      </c>
      <c r="O1969" s="19" t="n">
        <f aca="false">IF($J1969=0,0,MIN(1,$N1969/MAX(1,INDEX(ROTACAO_RDM!$K$6:$K$71,$J1969))))</f>
        <v>0.4375</v>
      </c>
      <c r="P1969" s="16" t="n">
        <f aca="false">IF($J1969=0,0,IFERROR(MATCH(INDEX(ROTACAO_RDM!$N$6:$N$71,$J1969),PARAMETROS_CULTURAS!$B$6:$B$28,0),0))</f>
        <v>8</v>
      </c>
      <c r="Q1969" s="8" t="str">
        <f aca="false">IF($P1969=0,"-",IF($O1969&lt;=INDEX(PARAMETROS_CULTURAS!$F$6:$F$28,$P1969),"INICIAL",IF($O1969&lt;=INDEX(PARAMETROS_CULTURAS!$F$6:$F$28,$P1969)+INDEX(PARAMETROS_CULTURAS!$G$6:$G$28,$P1969),"DESENVOLVIMENTO",IF($O1969&lt;=INDEX(PARAMETROS_CULTURAS!$F$6:$F$28,$P1969)+INDEX(PARAMETROS_CULTURAS!$G$6:$G$28,$P1969)+INDEX(PARAMETROS_CULTURAS!$H$6:$H$28,$P1969),"MEDIA","FINAL"))))</f>
        <v>DESENVOLVIMENTO</v>
      </c>
      <c r="R1969" s="24" t="n">
        <f aca="false">IF($P1969=0,0,IF($O1969&lt;=INDEX(PARAMETROS_CULTURAS!$F$6:$F$28,$P1969),INDEX(PARAMETROS_CULTURAS!$K$6:$K$28,$P1969),IF($O1969&lt;=INDEX(PARAMETROS_CULTURAS!$F$6:$F$28,$P1969)+INDEX(PARAMETROS_CULTURAS!$G$6:$G$28,$P1969),INDEX(PARAMETROS_CULTURAS!$K$6:$K$28,$P1969)+(INDEX(PARAMETROS_CULTURAS!$L$6:$L$28,$P1969)-INDEX(PARAMETROS_CULTURAS!$K$6:$K$28,$P1969))*($O1969-INDEX(PARAMETROS_CULTURAS!$F$6:$F$28,$P1969))/MAX(INDEX(PARAMETROS_CULTURAS!$G$6:$G$28,$P1969),0.0001),IF($O1969&lt;=INDEX(PARAMETROS_CULTURAS!$F$6:$F$28,$P1969)+INDEX(PARAMETROS_CULTURAS!$G$6:$G$28,$P1969)+INDEX(PARAMETROS_CULTURAS!$H$6:$H$28,$P1969),INDEX(PARAMETROS_CULTURAS!$L$6:$L$28,$P1969),INDEX(PARAMETROS_CULTURAS!$L$6:$L$28,$P1969)+(INDEX(PARAMETROS_CULTURAS!$M$6:$M$28,$P1969)-INDEX(PARAMETROS_CULTURAS!$L$6:$L$28,$P1969))*($O1969-INDEX(PARAMETROS_CULTURAS!$F$6:$F$28,$P1969)-INDEX(PARAMETROS_CULTURAS!$G$6:$G$28,$P1969)-INDEX(PARAMETROS_CULTURAS!$H$6:$H$28,$P1969))/MAX(INDEX(PARAMETROS_CULTURAS!$I$6:$I$28,$P1969),0.0001)))))</f>
        <v>1.191</v>
      </c>
      <c r="S1969" s="18" t="n">
        <f aca="false">IFERROR(INDEX(SEMANAS!$H$6:$H$71,MATCH($B1969,SEMANAS!$B$6:$B$71,0)),0)</f>
        <v>36.4</v>
      </c>
      <c r="T1969" s="18" t="n">
        <f aca="false">$R1969*$S1969</f>
        <v>43.3524</v>
      </c>
      <c r="U1969" s="18" t="n">
        <f aca="false">IFERROR(INDEX(SEMANAS!$I$6:$I$71,MATCH($B1969,SEMANAS!$B$6:$B$71,0)),0)</f>
        <v>1.12</v>
      </c>
      <c r="V1969" s="18" t="n">
        <f aca="false">IFERROR(INDEX(SEMANAS!$J$6:$J$71,MATCH($B1969,SEMANAS!$B$6:$B$71,0)),0)</f>
        <v>0.896</v>
      </c>
      <c r="W1969" s="18" t="n">
        <f aca="false">MAX(0,$T1969-$V1969)</f>
        <v>42.4564</v>
      </c>
      <c r="X1969" s="19" t="n">
        <f aca="false">IFERROR(INDEX(CADASTRO_PIVOS!$K$6:$K$41,MATCH($E1969,CADASTRO_PIVOS!$B$6:$B$41,0)),EFICIENCIA_PADRAO)</f>
        <v>0.85</v>
      </c>
      <c r="Y1969" s="18" t="n">
        <f aca="false">IF($X1969&lt;=0,0,$W1969/$X1969)</f>
        <v>49.9487058823529</v>
      </c>
      <c r="Z1969" s="16" t="n">
        <f aca="false">$Y1969*$H1969*MM_PARA_M3_HA</f>
        <v>69898.2190117647</v>
      </c>
      <c r="AA1969" s="18" t="n">
        <f aca="false">IFERROR(INDEX(CADASTRO_PIVOS!$I$6:$I$41,MATCH($E1969,CADASTRO_PIVOS!$B$6:$B$41,0)),0)</f>
        <v>932.933333333333</v>
      </c>
      <c r="AB1969" s="18" t="n">
        <f aca="false">IF($Z1969&lt;=0,0,$Z1969/$AA1969)</f>
        <v>74.9230588235294</v>
      </c>
      <c r="AC1969" s="16" t="n">
        <f aca="false">IFERROR(INDEX(SEMANAS!$K$6:$K$71,MATCH($B1969,SEMANAS!$B$6:$B$71,0)),0)</f>
        <v>147</v>
      </c>
      <c r="AD1969" s="19" t="n">
        <f aca="false">IF($AC1969&lt;=0,0,$AB1969/$AC1969)</f>
        <v>0.509680672268908</v>
      </c>
      <c r="AE1969" s="8" t="str">
        <f aca="false">IF($K1969="SEM CULTURA","SEM CULTURA",IF($AA1969&lt;=0,"DADO PENDENTE",IF($AD1969&gt;LIMITE_CRITICO,"INVIAVEL",IF($AD1969&gt;LIMITE_ATENCAO,"CRITICO",IF($AD1969&gt;LIMITE_CONFORTAVEL,"ATENCAO","OK")))))</f>
        <v>OK</v>
      </c>
      <c r="AF1969" s="8" t="str">
        <f aca="false">$B1969&amp;"|"&amp;TEXT($AD1969,"0.000000")</f>
        <v>50|0.509681</v>
      </c>
      <c r="AG1969" s="18" t="n">
        <f aca="false">IF($K1969="SEM CULTURA",0,$T1969*$H1969)</f>
        <v>6066.734856</v>
      </c>
      <c r="AH1969" s="18" t="n">
        <f aca="false">IF($K1969="SEM CULTURA",0,$V1969*$H1969)</f>
        <v>125.38624</v>
      </c>
      <c r="AI1969" s="18" t="n">
        <f aca="false">IF($K1969="SEM CULTURA",0,$W1969*$H1969)</f>
        <v>5941.348616</v>
      </c>
      <c r="AJ1969" s="18" t="n">
        <f aca="false">IF($K1969="SEM CULTURA",0,$S1969*$H1969)</f>
        <v>5093.816</v>
      </c>
      <c r="AK1969" s="8" t="str">
        <f aca="false">$E1969&amp;"|"&amp;TEXT($AD1969,"0.000000")</f>
        <v>PV 126|0.509681</v>
      </c>
    </row>
    <row r="1970" customFormat="false" ht="15" hidden="false" customHeight="false" outlineLevel="0" collapsed="false">
      <c r="B1970" s="16" t="n">
        <v>51</v>
      </c>
      <c r="C1970" s="17" t="n">
        <f aca="false">DATA_INICIO_SAFRA+($B1970-1)*DIAS_POR_SEMANA</f>
        <v>46615</v>
      </c>
      <c r="D1970" s="17" t="n">
        <f aca="false">$C1970+DIAS_POR_SEMANA-1</f>
        <v>46621</v>
      </c>
      <c r="E1970" s="15" t="s">
        <v>288</v>
      </c>
      <c r="F1970" s="8" t="str">
        <f aca="false">IFERROR(INDEX(CADASTRO_PIVOS!$C$6:$C$41,MATCH($E1970,CADASTRO_PIVOS!$B$6:$B$41,0)),"?")</f>
        <v>RM07</v>
      </c>
      <c r="G1970" s="8" t="str">
        <f aca="false">IFERROR(INDEX(CADASTRO_PIVOS!$D$6:$D$41,MATCH($E1970,CADASTRO_PIVOS!$B$6:$B$41,0)),"?")</f>
        <v>TR07</v>
      </c>
      <c r="H1970" s="20" t="n">
        <f aca="false">IFERROR(INDEX(CADASTRO_PIVOS!$E$6:$E$41,MATCH($E1970,CADASTRO_PIVOS!$B$6:$B$41,0)),0)</f>
        <v>139.94</v>
      </c>
      <c r="I1970" s="16" t="n">
        <f aca="false">IFERROR(SUMIFS(ROTACAO_RDM!$B$6:$B$71,ROTACAO_RDM!$D$6:$D$71,$E1970,ROTACAO_RDM!$I$6:$I$71,"&lt;="&amp;$C1970+INT(DIAS_POR_SEMANA/2),ROTACAO_RDM!$J$6:$J$71,"&gt;="&amp;$C1970+INT(DIAS_POR_SEMANA/2)),0)</f>
        <v>50</v>
      </c>
      <c r="J1970" s="16" t="n">
        <f aca="false">IFERROR(MATCH($I1970,ROTACAO_RDM!$B$6:$B$71,0),0)</f>
        <v>50</v>
      </c>
      <c r="K1970" s="8" t="str">
        <f aca="false">IF($J1970=0,"SEM CULTURA",INDEX(ROTACAO_RDM!$F$6:$F$71,$J1970))</f>
        <v>MILHO_GRAO</v>
      </c>
      <c r="L1970" s="8" t="n">
        <f aca="false">IF($J1970=0,"",INDEX(ROTACAO_RDM!$G$6:$G$71,$J1970))</f>
        <v>0</v>
      </c>
      <c r="M1970" s="17" t="n">
        <f aca="false">IF($J1970=0,"",INDEX(ROTACAO_RDM!$I$6:$I$71,$J1970))</f>
        <v>46541</v>
      </c>
      <c r="N1970" s="16" t="n">
        <f aca="false">IF($J1970=0,0,MAX(0,$C1970+INT(DIAS_POR_SEMANA/2)-INDEX(ROTACAO_RDM!$I$6:$I$71,$J1970)))</f>
        <v>77</v>
      </c>
      <c r="O1970" s="19" t="n">
        <f aca="false">IF($J1970=0,0,MIN(1,$N1970/MAX(1,INDEX(ROTACAO_RDM!$K$6:$K$71,$J1970))))</f>
        <v>0.48125</v>
      </c>
      <c r="P1970" s="16" t="n">
        <f aca="false">IF($J1970=0,0,IFERROR(MATCH(INDEX(ROTACAO_RDM!$N$6:$N$71,$J1970),PARAMETROS_CULTURAS!$B$6:$B$28,0),0))</f>
        <v>8</v>
      </c>
      <c r="Q1970" s="8" t="str">
        <f aca="false">IF($P1970=0,"-",IF($O1970&lt;=INDEX(PARAMETROS_CULTURAS!$F$6:$F$28,$P1970),"INICIAL",IF($O1970&lt;=INDEX(PARAMETROS_CULTURAS!$F$6:$F$28,$P1970)+INDEX(PARAMETROS_CULTURAS!$G$6:$G$28,$P1970),"DESENVOLVIMENTO",IF($O1970&lt;=INDEX(PARAMETROS_CULTURAS!$F$6:$F$28,$P1970)+INDEX(PARAMETROS_CULTURAS!$G$6:$G$28,$P1970)+INDEX(PARAMETROS_CULTURAS!$H$6:$H$28,$P1970),"MEDIA","FINAL"))))</f>
        <v>MEDIA</v>
      </c>
      <c r="R1970" s="24" t="n">
        <f aca="false">IF($P1970=0,0,IF($O1970&lt;=INDEX(PARAMETROS_CULTURAS!$F$6:$F$28,$P1970),INDEX(PARAMETROS_CULTURAS!$K$6:$K$28,$P1970),IF($O1970&lt;=INDEX(PARAMETROS_CULTURAS!$F$6:$F$28,$P1970)+INDEX(PARAMETROS_CULTURAS!$G$6:$G$28,$P1970),INDEX(PARAMETROS_CULTURAS!$K$6:$K$28,$P1970)+(INDEX(PARAMETROS_CULTURAS!$L$6:$L$28,$P1970)-INDEX(PARAMETROS_CULTURAS!$K$6:$K$28,$P1970))*($O1970-INDEX(PARAMETROS_CULTURAS!$F$6:$F$28,$P1970))/MAX(INDEX(PARAMETROS_CULTURAS!$G$6:$G$28,$P1970),0.0001),IF($O1970&lt;=INDEX(PARAMETROS_CULTURAS!$F$6:$F$28,$P1970)+INDEX(PARAMETROS_CULTURAS!$G$6:$G$28,$P1970)+INDEX(PARAMETROS_CULTURAS!$H$6:$H$28,$P1970),INDEX(PARAMETROS_CULTURAS!$L$6:$L$28,$P1970),INDEX(PARAMETROS_CULTURAS!$L$6:$L$28,$P1970)+(INDEX(PARAMETROS_CULTURAS!$M$6:$M$28,$P1970)-INDEX(PARAMETROS_CULTURAS!$L$6:$L$28,$P1970))*($O1970-INDEX(PARAMETROS_CULTURAS!$F$6:$F$28,$P1970)-INDEX(PARAMETROS_CULTURAS!$G$6:$G$28,$P1970)-INDEX(PARAMETROS_CULTURAS!$H$6:$H$28,$P1970))/MAX(INDEX(PARAMETROS_CULTURAS!$I$6:$I$28,$P1970),0.0001)))))</f>
        <v>1.2</v>
      </c>
      <c r="S1970" s="18" t="n">
        <f aca="false">IFERROR(INDEX(SEMANAS!$H$6:$H$71,MATCH($B1970,SEMANAS!$B$6:$B$71,0)),0)</f>
        <v>36.4</v>
      </c>
      <c r="T1970" s="18" t="n">
        <f aca="false">$R1970*$S1970</f>
        <v>43.68</v>
      </c>
      <c r="U1970" s="18" t="n">
        <f aca="false">IFERROR(INDEX(SEMANAS!$I$6:$I$71,MATCH($B1970,SEMANAS!$B$6:$B$71,0)),0)</f>
        <v>1.12</v>
      </c>
      <c r="V1970" s="18" t="n">
        <f aca="false">IFERROR(INDEX(SEMANAS!$J$6:$J$71,MATCH($B1970,SEMANAS!$B$6:$B$71,0)),0)</f>
        <v>0.896</v>
      </c>
      <c r="W1970" s="18" t="n">
        <f aca="false">MAX(0,$T1970-$V1970)</f>
        <v>42.784</v>
      </c>
      <c r="X1970" s="19" t="n">
        <f aca="false">IFERROR(INDEX(CADASTRO_PIVOS!$K$6:$K$41,MATCH($E1970,CADASTRO_PIVOS!$B$6:$B$41,0)),EFICIENCIA_PADRAO)</f>
        <v>0.85</v>
      </c>
      <c r="Y1970" s="18" t="n">
        <f aca="false">IF($X1970&lt;=0,0,$W1970/$X1970)</f>
        <v>50.3341176470588</v>
      </c>
      <c r="Z1970" s="16" t="n">
        <f aca="false">$Y1970*$H1970*MM_PARA_M3_HA</f>
        <v>70437.5642352941</v>
      </c>
      <c r="AA1970" s="18" t="n">
        <f aca="false">IFERROR(INDEX(CADASTRO_PIVOS!$I$6:$I$41,MATCH($E1970,CADASTRO_PIVOS!$B$6:$B$41,0)),0)</f>
        <v>932.933333333333</v>
      </c>
      <c r="AB1970" s="18" t="n">
        <f aca="false">IF($Z1970&lt;=0,0,$Z1970/$AA1970)</f>
        <v>75.5011764705883</v>
      </c>
      <c r="AC1970" s="16" t="n">
        <f aca="false">IFERROR(INDEX(SEMANAS!$K$6:$K$71,MATCH($B1970,SEMANAS!$B$6:$B$71,0)),0)</f>
        <v>147</v>
      </c>
      <c r="AD1970" s="19" t="n">
        <f aca="false">IF($AC1970&lt;=0,0,$AB1970/$AC1970)</f>
        <v>0.513613445378151</v>
      </c>
      <c r="AE1970" s="8" t="str">
        <f aca="false">IF($K1970="SEM CULTURA","SEM CULTURA",IF($AA1970&lt;=0,"DADO PENDENTE",IF($AD1970&gt;LIMITE_CRITICO,"INVIAVEL",IF($AD1970&gt;LIMITE_ATENCAO,"CRITICO",IF($AD1970&gt;LIMITE_CONFORTAVEL,"ATENCAO","OK")))))</f>
        <v>OK</v>
      </c>
      <c r="AF1970" s="8" t="str">
        <f aca="false">$B1970&amp;"|"&amp;TEXT($AD1970,"0.000000")</f>
        <v>51|0.513613</v>
      </c>
      <c r="AG1970" s="18" t="n">
        <f aca="false">IF($K1970="SEM CULTURA",0,$T1970*$H1970)</f>
        <v>6112.5792</v>
      </c>
      <c r="AH1970" s="18" t="n">
        <f aca="false">IF($K1970="SEM CULTURA",0,$V1970*$H1970)</f>
        <v>125.38624</v>
      </c>
      <c r="AI1970" s="18" t="n">
        <f aca="false">IF($K1970="SEM CULTURA",0,$W1970*$H1970)</f>
        <v>5987.19296</v>
      </c>
      <c r="AJ1970" s="18" t="n">
        <f aca="false">IF($K1970="SEM CULTURA",0,$S1970*$H1970)</f>
        <v>5093.816</v>
      </c>
      <c r="AK1970" s="8" t="str">
        <f aca="false">$E1970&amp;"|"&amp;TEXT($AD1970,"0.000000")</f>
        <v>PV 126|0.513613</v>
      </c>
    </row>
    <row r="1971" customFormat="false" ht="15" hidden="false" customHeight="false" outlineLevel="0" collapsed="false">
      <c r="B1971" s="16" t="n">
        <v>52</v>
      </c>
      <c r="C1971" s="17" t="n">
        <f aca="false">DATA_INICIO_SAFRA+($B1971-1)*DIAS_POR_SEMANA</f>
        <v>46622</v>
      </c>
      <c r="D1971" s="17" t="n">
        <f aca="false">$C1971+DIAS_POR_SEMANA-1</f>
        <v>46628</v>
      </c>
      <c r="E1971" s="15" t="s">
        <v>288</v>
      </c>
      <c r="F1971" s="8" t="str">
        <f aca="false">IFERROR(INDEX(CADASTRO_PIVOS!$C$6:$C$41,MATCH($E1971,CADASTRO_PIVOS!$B$6:$B$41,0)),"?")</f>
        <v>RM07</v>
      </c>
      <c r="G1971" s="8" t="str">
        <f aca="false">IFERROR(INDEX(CADASTRO_PIVOS!$D$6:$D$41,MATCH($E1971,CADASTRO_PIVOS!$B$6:$B$41,0)),"?")</f>
        <v>TR07</v>
      </c>
      <c r="H1971" s="20" t="n">
        <f aca="false">IFERROR(INDEX(CADASTRO_PIVOS!$E$6:$E$41,MATCH($E1971,CADASTRO_PIVOS!$B$6:$B$41,0)),0)</f>
        <v>139.94</v>
      </c>
      <c r="I1971" s="16" t="n">
        <f aca="false">IFERROR(SUMIFS(ROTACAO_RDM!$B$6:$B$71,ROTACAO_RDM!$D$6:$D$71,$E1971,ROTACAO_RDM!$I$6:$I$71,"&lt;="&amp;$C1971+INT(DIAS_POR_SEMANA/2),ROTACAO_RDM!$J$6:$J$71,"&gt;="&amp;$C1971+INT(DIAS_POR_SEMANA/2)),0)</f>
        <v>50</v>
      </c>
      <c r="J1971" s="16" t="n">
        <f aca="false">IFERROR(MATCH($I1971,ROTACAO_RDM!$B$6:$B$71,0),0)</f>
        <v>50</v>
      </c>
      <c r="K1971" s="8" t="str">
        <f aca="false">IF($J1971=0,"SEM CULTURA",INDEX(ROTACAO_RDM!$F$6:$F$71,$J1971))</f>
        <v>MILHO_GRAO</v>
      </c>
      <c r="L1971" s="8" t="n">
        <f aca="false">IF($J1971=0,"",INDEX(ROTACAO_RDM!$G$6:$G$71,$J1971))</f>
        <v>0</v>
      </c>
      <c r="M1971" s="17" t="n">
        <f aca="false">IF($J1971=0,"",INDEX(ROTACAO_RDM!$I$6:$I$71,$J1971))</f>
        <v>46541</v>
      </c>
      <c r="N1971" s="16" t="n">
        <f aca="false">IF($J1971=0,0,MAX(0,$C1971+INT(DIAS_POR_SEMANA/2)-INDEX(ROTACAO_RDM!$I$6:$I$71,$J1971)))</f>
        <v>84</v>
      </c>
      <c r="O1971" s="19" t="n">
        <f aca="false">IF($J1971=0,0,MIN(1,$N1971/MAX(1,INDEX(ROTACAO_RDM!$K$6:$K$71,$J1971))))</f>
        <v>0.525</v>
      </c>
      <c r="P1971" s="16" t="n">
        <f aca="false">IF($J1971=0,0,IFERROR(MATCH(INDEX(ROTACAO_RDM!$N$6:$N$71,$J1971),PARAMETROS_CULTURAS!$B$6:$B$28,0),0))</f>
        <v>8</v>
      </c>
      <c r="Q1971" s="8" t="str">
        <f aca="false">IF($P1971=0,"-",IF($O1971&lt;=INDEX(PARAMETROS_CULTURAS!$F$6:$F$28,$P1971),"INICIAL",IF($O1971&lt;=INDEX(PARAMETROS_CULTURAS!$F$6:$F$28,$P1971)+INDEX(PARAMETROS_CULTURAS!$G$6:$G$28,$P1971),"DESENVOLVIMENTO",IF($O1971&lt;=INDEX(PARAMETROS_CULTURAS!$F$6:$F$28,$P1971)+INDEX(PARAMETROS_CULTURAS!$G$6:$G$28,$P1971)+INDEX(PARAMETROS_CULTURAS!$H$6:$H$28,$P1971),"MEDIA","FINAL"))))</f>
        <v>MEDIA</v>
      </c>
      <c r="R1971" s="24" t="n">
        <f aca="false">IF($P1971=0,0,IF($O1971&lt;=INDEX(PARAMETROS_CULTURAS!$F$6:$F$28,$P1971),INDEX(PARAMETROS_CULTURAS!$K$6:$K$28,$P1971),IF($O1971&lt;=INDEX(PARAMETROS_CULTURAS!$F$6:$F$28,$P1971)+INDEX(PARAMETROS_CULTURAS!$G$6:$G$28,$P1971),INDEX(PARAMETROS_CULTURAS!$K$6:$K$28,$P1971)+(INDEX(PARAMETROS_CULTURAS!$L$6:$L$28,$P1971)-INDEX(PARAMETROS_CULTURAS!$K$6:$K$28,$P1971))*($O1971-INDEX(PARAMETROS_CULTURAS!$F$6:$F$28,$P1971))/MAX(INDEX(PARAMETROS_CULTURAS!$G$6:$G$28,$P1971),0.0001),IF($O1971&lt;=INDEX(PARAMETROS_CULTURAS!$F$6:$F$28,$P1971)+INDEX(PARAMETROS_CULTURAS!$G$6:$G$28,$P1971)+INDEX(PARAMETROS_CULTURAS!$H$6:$H$28,$P1971),INDEX(PARAMETROS_CULTURAS!$L$6:$L$28,$P1971),INDEX(PARAMETROS_CULTURAS!$L$6:$L$28,$P1971)+(INDEX(PARAMETROS_CULTURAS!$M$6:$M$28,$P1971)-INDEX(PARAMETROS_CULTURAS!$L$6:$L$28,$P1971))*($O1971-INDEX(PARAMETROS_CULTURAS!$F$6:$F$28,$P1971)-INDEX(PARAMETROS_CULTURAS!$G$6:$G$28,$P1971)-INDEX(PARAMETROS_CULTURAS!$H$6:$H$28,$P1971))/MAX(INDEX(PARAMETROS_CULTURAS!$I$6:$I$28,$P1971),0.0001)))))</f>
        <v>1.2</v>
      </c>
      <c r="S1971" s="18" t="n">
        <f aca="false">IFERROR(INDEX(SEMANAS!$H$6:$H$71,MATCH($B1971,SEMANAS!$B$6:$B$71,0)),0)</f>
        <v>36.4</v>
      </c>
      <c r="T1971" s="18" t="n">
        <f aca="false">$R1971*$S1971</f>
        <v>43.68</v>
      </c>
      <c r="U1971" s="18" t="n">
        <f aca="false">IFERROR(INDEX(SEMANAS!$I$6:$I$71,MATCH($B1971,SEMANAS!$B$6:$B$71,0)),0)</f>
        <v>1.12</v>
      </c>
      <c r="V1971" s="18" t="n">
        <f aca="false">IFERROR(INDEX(SEMANAS!$J$6:$J$71,MATCH($B1971,SEMANAS!$B$6:$B$71,0)),0)</f>
        <v>0.896</v>
      </c>
      <c r="W1971" s="18" t="n">
        <f aca="false">MAX(0,$T1971-$V1971)</f>
        <v>42.784</v>
      </c>
      <c r="X1971" s="19" t="n">
        <f aca="false">IFERROR(INDEX(CADASTRO_PIVOS!$K$6:$K$41,MATCH($E1971,CADASTRO_PIVOS!$B$6:$B$41,0)),EFICIENCIA_PADRAO)</f>
        <v>0.85</v>
      </c>
      <c r="Y1971" s="18" t="n">
        <f aca="false">IF($X1971&lt;=0,0,$W1971/$X1971)</f>
        <v>50.3341176470588</v>
      </c>
      <c r="Z1971" s="16" t="n">
        <f aca="false">$Y1971*$H1971*MM_PARA_M3_HA</f>
        <v>70437.5642352941</v>
      </c>
      <c r="AA1971" s="18" t="n">
        <f aca="false">IFERROR(INDEX(CADASTRO_PIVOS!$I$6:$I$41,MATCH($E1971,CADASTRO_PIVOS!$B$6:$B$41,0)),0)</f>
        <v>932.933333333333</v>
      </c>
      <c r="AB1971" s="18" t="n">
        <f aca="false">IF($Z1971&lt;=0,0,$Z1971/$AA1971)</f>
        <v>75.5011764705883</v>
      </c>
      <c r="AC1971" s="16" t="n">
        <f aca="false">IFERROR(INDEX(SEMANAS!$K$6:$K$71,MATCH($B1971,SEMANAS!$B$6:$B$71,0)),0)</f>
        <v>147</v>
      </c>
      <c r="AD1971" s="19" t="n">
        <f aca="false">IF($AC1971&lt;=0,0,$AB1971/$AC1971)</f>
        <v>0.513613445378151</v>
      </c>
      <c r="AE1971" s="8" t="str">
        <f aca="false">IF($K1971="SEM CULTURA","SEM CULTURA",IF($AA1971&lt;=0,"DADO PENDENTE",IF($AD1971&gt;LIMITE_CRITICO,"INVIAVEL",IF($AD1971&gt;LIMITE_ATENCAO,"CRITICO",IF($AD1971&gt;LIMITE_CONFORTAVEL,"ATENCAO","OK")))))</f>
        <v>OK</v>
      </c>
      <c r="AF1971" s="8" t="str">
        <f aca="false">$B1971&amp;"|"&amp;TEXT($AD1971,"0.000000")</f>
        <v>52|0.513613</v>
      </c>
      <c r="AG1971" s="18" t="n">
        <f aca="false">IF($K1971="SEM CULTURA",0,$T1971*$H1971)</f>
        <v>6112.5792</v>
      </c>
      <c r="AH1971" s="18" t="n">
        <f aca="false">IF($K1971="SEM CULTURA",0,$V1971*$H1971)</f>
        <v>125.38624</v>
      </c>
      <c r="AI1971" s="18" t="n">
        <f aca="false">IF($K1971="SEM CULTURA",0,$W1971*$H1971)</f>
        <v>5987.19296</v>
      </c>
      <c r="AJ1971" s="18" t="n">
        <f aca="false">IF($K1971="SEM CULTURA",0,$S1971*$H1971)</f>
        <v>5093.816</v>
      </c>
      <c r="AK1971" s="8" t="str">
        <f aca="false">$E1971&amp;"|"&amp;TEXT($AD1971,"0.000000")</f>
        <v>PV 126|0.513613</v>
      </c>
    </row>
    <row r="1972" customFormat="false" ht="15" hidden="false" customHeight="false" outlineLevel="0" collapsed="false">
      <c r="B1972" s="16" t="n">
        <v>53</v>
      </c>
      <c r="C1972" s="17" t="n">
        <f aca="false">DATA_INICIO_SAFRA+($B1972-1)*DIAS_POR_SEMANA</f>
        <v>46629</v>
      </c>
      <c r="D1972" s="17" t="n">
        <f aca="false">$C1972+DIAS_POR_SEMANA-1</f>
        <v>46635</v>
      </c>
      <c r="E1972" s="15" t="s">
        <v>288</v>
      </c>
      <c r="F1972" s="8" t="str">
        <f aca="false">IFERROR(INDEX(CADASTRO_PIVOS!$C$6:$C$41,MATCH($E1972,CADASTRO_PIVOS!$B$6:$B$41,0)),"?")</f>
        <v>RM07</v>
      </c>
      <c r="G1972" s="8" t="str">
        <f aca="false">IFERROR(INDEX(CADASTRO_PIVOS!$D$6:$D$41,MATCH($E1972,CADASTRO_PIVOS!$B$6:$B$41,0)),"?")</f>
        <v>TR07</v>
      </c>
      <c r="H1972" s="20" t="n">
        <f aca="false">IFERROR(INDEX(CADASTRO_PIVOS!$E$6:$E$41,MATCH($E1972,CADASTRO_PIVOS!$B$6:$B$41,0)),0)</f>
        <v>139.94</v>
      </c>
      <c r="I1972" s="16" t="n">
        <f aca="false">IFERROR(SUMIFS(ROTACAO_RDM!$B$6:$B$71,ROTACAO_RDM!$D$6:$D$71,$E1972,ROTACAO_RDM!$I$6:$I$71,"&lt;="&amp;$C1972+INT(DIAS_POR_SEMANA/2),ROTACAO_RDM!$J$6:$J$71,"&gt;="&amp;$C1972+INT(DIAS_POR_SEMANA/2)),0)</f>
        <v>50</v>
      </c>
      <c r="J1972" s="16" t="n">
        <f aca="false">IFERROR(MATCH($I1972,ROTACAO_RDM!$B$6:$B$71,0),0)</f>
        <v>50</v>
      </c>
      <c r="K1972" s="8" t="str">
        <f aca="false">IF($J1972=0,"SEM CULTURA",INDEX(ROTACAO_RDM!$F$6:$F$71,$J1972))</f>
        <v>MILHO_GRAO</v>
      </c>
      <c r="L1972" s="8" t="n">
        <f aca="false">IF($J1972=0,"",INDEX(ROTACAO_RDM!$G$6:$G$71,$J1972))</f>
        <v>0</v>
      </c>
      <c r="M1972" s="17" t="n">
        <f aca="false">IF($J1972=0,"",INDEX(ROTACAO_RDM!$I$6:$I$71,$J1972))</f>
        <v>46541</v>
      </c>
      <c r="N1972" s="16" t="n">
        <f aca="false">IF($J1972=0,0,MAX(0,$C1972+INT(DIAS_POR_SEMANA/2)-INDEX(ROTACAO_RDM!$I$6:$I$71,$J1972)))</f>
        <v>91</v>
      </c>
      <c r="O1972" s="19" t="n">
        <f aca="false">IF($J1972=0,0,MIN(1,$N1972/MAX(1,INDEX(ROTACAO_RDM!$K$6:$K$71,$J1972))))</f>
        <v>0.56875</v>
      </c>
      <c r="P1972" s="16" t="n">
        <f aca="false">IF($J1972=0,0,IFERROR(MATCH(INDEX(ROTACAO_RDM!$N$6:$N$71,$J1972),PARAMETROS_CULTURAS!$B$6:$B$28,0),0))</f>
        <v>8</v>
      </c>
      <c r="Q1972" s="8" t="str">
        <f aca="false">IF($P1972=0,"-",IF($O1972&lt;=INDEX(PARAMETROS_CULTURAS!$F$6:$F$28,$P1972),"INICIAL",IF($O1972&lt;=INDEX(PARAMETROS_CULTURAS!$F$6:$F$28,$P1972)+INDEX(PARAMETROS_CULTURAS!$G$6:$G$28,$P1972),"DESENVOLVIMENTO",IF($O1972&lt;=INDEX(PARAMETROS_CULTURAS!$F$6:$F$28,$P1972)+INDEX(PARAMETROS_CULTURAS!$G$6:$G$28,$P1972)+INDEX(PARAMETROS_CULTURAS!$H$6:$H$28,$P1972),"MEDIA","FINAL"))))</f>
        <v>MEDIA</v>
      </c>
      <c r="R1972" s="24" t="n">
        <f aca="false">IF($P1972=0,0,IF($O1972&lt;=INDEX(PARAMETROS_CULTURAS!$F$6:$F$28,$P1972),INDEX(PARAMETROS_CULTURAS!$K$6:$K$28,$P1972),IF($O1972&lt;=INDEX(PARAMETROS_CULTURAS!$F$6:$F$28,$P1972)+INDEX(PARAMETROS_CULTURAS!$G$6:$G$28,$P1972),INDEX(PARAMETROS_CULTURAS!$K$6:$K$28,$P1972)+(INDEX(PARAMETROS_CULTURAS!$L$6:$L$28,$P1972)-INDEX(PARAMETROS_CULTURAS!$K$6:$K$28,$P1972))*($O1972-INDEX(PARAMETROS_CULTURAS!$F$6:$F$28,$P1972))/MAX(INDEX(PARAMETROS_CULTURAS!$G$6:$G$28,$P1972),0.0001),IF($O1972&lt;=INDEX(PARAMETROS_CULTURAS!$F$6:$F$28,$P1972)+INDEX(PARAMETROS_CULTURAS!$G$6:$G$28,$P1972)+INDEX(PARAMETROS_CULTURAS!$H$6:$H$28,$P1972),INDEX(PARAMETROS_CULTURAS!$L$6:$L$28,$P1972),INDEX(PARAMETROS_CULTURAS!$L$6:$L$28,$P1972)+(INDEX(PARAMETROS_CULTURAS!$M$6:$M$28,$P1972)-INDEX(PARAMETROS_CULTURAS!$L$6:$L$28,$P1972))*($O1972-INDEX(PARAMETROS_CULTURAS!$F$6:$F$28,$P1972)-INDEX(PARAMETROS_CULTURAS!$G$6:$G$28,$P1972)-INDEX(PARAMETROS_CULTURAS!$H$6:$H$28,$P1972))/MAX(INDEX(PARAMETROS_CULTURAS!$I$6:$I$28,$P1972),0.0001)))))</f>
        <v>1.2</v>
      </c>
      <c r="S1972" s="18" t="n">
        <f aca="false">IFERROR(INDEX(SEMANAS!$H$6:$H$71,MATCH($B1972,SEMANAS!$B$6:$B$71,0)),0)</f>
        <v>39.4</v>
      </c>
      <c r="T1972" s="18" t="n">
        <f aca="false">$R1972*$S1972</f>
        <v>47.28</v>
      </c>
      <c r="U1972" s="18" t="n">
        <f aca="false">IFERROR(INDEX(SEMANAS!$I$6:$I$71,MATCH($B1972,SEMANAS!$B$6:$B$71,0)),0)</f>
        <v>5.32</v>
      </c>
      <c r="V1972" s="18" t="n">
        <f aca="false">IFERROR(INDEX(SEMANAS!$J$6:$J$71,MATCH($B1972,SEMANAS!$B$6:$B$71,0)),0)</f>
        <v>4.256</v>
      </c>
      <c r="W1972" s="18" t="n">
        <f aca="false">MAX(0,$T1972-$V1972)</f>
        <v>43.024</v>
      </c>
      <c r="X1972" s="19" t="n">
        <f aca="false">IFERROR(INDEX(CADASTRO_PIVOS!$K$6:$K$41,MATCH($E1972,CADASTRO_PIVOS!$B$6:$B$41,0)),EFICIENCIA_PADRAO)</f>
        <v>0.85</v>
      </c>
      <c r="Y1972" s="18" t="n">
        <f aca="false">IF($X1972&lt;=0,0,$W1972/$X1972)</f>
        <v>50.6164705882353</v>
      </c>
      <c r="Z1972" s="16" t="n">
        <f aca="false">$Y1972*$H1972*MM_PARA_M3_HA</f>
        <v>70832.6889411765</v>
      </c>
      <c r="AA1972" s="18" t="n">
        <f aca="false">IFERROR(INDEX(CADASTRO_PIVOS!$I$6:$I$41,MATCH($E1972,CADASTRO_PIVOS!$B$6:$B$41,0)),0)</f>
        <v>932.933333333333</v>
      </c>
      <c r="AB1972" s="18" t="n">
        <f aca="false">IF($Z1972&lt;=0,0,$Z1972/$AA1972)</f>
        <v>75.9247058823529</v>
      </c>
      <c r="AC1972" s="16" t="n">
        <f aca="false">IFERROR(INDEX(SEMANAS!$K$6:$K$71,MATCH($B1972,SEMANAS!$B$6:$B$71,0)),0)</f>
        <v>147</v>
      </c>
      <c r="AD1972" s="19" t="n">
        <f aca="false">IF($AC1972&lt;=0,0,$AB1972/$AC1972)</f>
        <v>0.516494597839136</v>
      </c>
      <c r="AE1972" s="8" t="str">
        <f aca="false">IF($K1972="SEM CULTURA","SEM CULTURA",IF($AA1972&lt;=0,"DADO PENDENTE",IF($AD1972&gt;LIMITE_CRITICO,"INVIAVEL",IF($AD1972&gt;LIMITE_ATENCAO,"CRITICO",IF($AD1972&gt;LIMITE_CONFORTAVEL,"ATENCAO","OK")))))</f>
        <v>OK</v>
      </c>
      <c r="AF1972" s="8" t="str">
        <f aca="false">$B1972&amp;"|"&amp;TEXT($AD1972,"0.000000")</f>
        <v>53|0.516495</v>
      </c>
      <c r="AG1972" s="18" t="n">
        <f aca="false">IF($K1972="SEM CULTURA",0,$T1972*$H1972)</f>
        <v>6616.3632</v>
      </c>
      <c r="AH1972" s="18" t="n">
        <f aca="false">IF($K1972="SEM CULTURA",0,$V1972*$H1972)</f>
        <v>595.58464</v>
      </c>
      <c r="AI1972" s="18" t="n">
        <f aca="false">IF($K1972="SEM CULTURA",0,$W1972*$H1972)</f>
        <v>6020.77856</v>
      </c>
      <c r="AJ1972" s="18" t="n">
        <f aca="false">IF($K1972="SEM CULTURA",0,$S1972*$H1972)</f>
        <v>5513.636</v>
      </c>
      <c r="AK1972" s="8" t="str">
        <f aca="false">$E1972&amp;"|"&amp;TEXT($AD1972,"0.000000")</f>
        <v>PV 126|0.516495</v>
      </c>
    </row>
    <row r="1973" customFormat="false" ht="15" hidden="false" customHeight="false" outlineLevel="0" collapsed="false">
      <c r="B1973" s="16" t="n">
        <v>54</v>
      </c>
      <c r="C1973" s="17" t="n">
        <f aca="false">DATA_INICIO_SAFRA+($B1973-1)*DIAS_POR_SEMANA</f>
        <v>46636</v>
      </c>
      <c r="D1973" s="17" t="n">
        <f aca="false">$C1973+DIAS_POR_SEMANA-1</f>
        <v>46642</v>
      </c>
      <c r="E1973" s="15" t="s">
        <v>288</v>
      </c>
      <c r="F1973" s="8" t="str">
        <f aca="false">IFERROR(INDEX(CADASTRO_PIVOS!$C$6:$C$41,MATCH($E1973,CADASTRO_PIVOS!$B$6:$B$41,0)),"?")</f>
        <v>RM07</v>
      </c>
      <c r="G1973" s="8" t="str">
        <f aca="false">IFERROR(INDEX(CADASTRO_PIVOS!$D$6:$D$41,MATCH($E1973,CADASTRO_PIVOS!$B$6:$B$41,0)),"?")</f>
        <v>TR07</v>
      </c>
      <c r="H1973" s="20" t="n">
        <f aca="false">IFERROR(INDEX(CADASTRO_PIVOS!$E$6:$E$41,MATCH($E1973,CADASTRO_PIVOS!$B$6:$B$41,0)),0)</f>
        <v>139.94</v>
      </c>
      <c r="I1973" s="16" t="n">
        <f aca="false">IFERROR(SUMIFS(ROTACAO_RDM!$B$6:$B$71,ROTACAO_RDM!$D$6:$D$71,$E1973,ROTACAO_RDM!$I$6:$I$71,"&lt;="&amp;$C1973+INT(DIAS_POR_SEMANA/2),ROTACAO_RDM!$J$6:$J$71,"&gt;="&amp;$C1973+INT(DIAS_POR_SEMANA/2)),0)</f>
        <v>50</v>
      </c>
      <c r="J1973" s="16" t="n">
        <f aca="false">IFERROR(MATCH($I1973,ROTACAO_RDM!$B$6:$B$71,0),0)</f>
        <v>50</v>
      </c>
      <c r="K1973" s="8" t="str">
        <f aca="false">IF($J1973=0,"SEM CULTURA",INDEX(ROTACAO_RDM!$F$6:$F$71,$J1973))</f>
        <v>MILHO_GRAO</v>
      </c>
      <c r="L1973" s="8" t="n">
        <f aca="false">IF($J1973=0,"",INDEX(ROTACAO_RDM!$G$6:$G$71,$J1973))</f>
        <v>0</v>
      </c>
      <c r="M1973" s="17" t="n">
        <f aca="false">IF($J1973=0,"",INDEX(ROTACAO_RDM!$I$6:$I$71,$J1973))</f>
        <v>46541</v>
      </c>
      <c r="N1973" s="16" t="n">
        <f aca="false">IF($J1973=0,0,MAX(0,$C1973+INT(DIAS_POR_SEMANA/2)-INDEX(ROTACAO_RDM!$I$6:$I$71,$J1973)))</f>
        <v>98</v>
      </c>
      <c r="O1973" s="19" t="n">
        <f aca="false">IF($J1973=0,0,MIN(1,$N1973/MAX(1,INDEX(ROTACAO_RDM!$K$6:$K$71,$J1973))))</f>
        <v>0.6125</v>
      </c>
      <c r="P1973" s="16" t="n">
        <f aca="false">IF($J1973=0,0,IFERROR(MATCH(INDEX(ROTACAO_RDM!$N$6:$N$71,$J1973),PARAMETROS_CULTURAS!$B$6:$B$28,0),0))</f>
        <v>8</v>
      </c>
      <c r="Q1973" s="8" t="str">
        <f aca="false">IF($P1973=0,"-",IF($O1973&lt;=INDEX(PARAMETROS_CULTURAS!$F$6:$F$28,$P1973),"INICIAL",IF($O1973&lt;=INDEX(PARAMETROS_CULTURAS!$F$6:$F$28,$P1973)+INDEX(PARAMETROS_CULTURAS!$G$6:$G$28,$P1973),"DESENVOLVIMENTO",IF($O1973&lt;=INDEX(PARAMETROS_CULTURAS!$F$6:$F$28,$P1973)+INDEX(PARAMETROS_CULTURAS!$G$6:$G$28,$P1973)+INDEX(PARAMETROS_CULTURAS!$H$6:$H$28,$P1973),"MEDIA","FINAL"))))</f>
        <v>MEDIA</v>
      </c>
      <c r="R1973" s="24" t="n">
        <f aca="false">IF($P1973=0,0,IF($O1973&lt;=INDEX(PARAMETROS_CULTURAS!$F$6:$F$28,$P1973),INDEX(PARAMETROS_CULTURAS!$K$6:$K$28,$P1973),IF($O1973&lt;=INDEX(PARAMETROS_CULTURAS!$F$6:$F$28,$P1973)+INDEX(PARAMETROS_CULTURAS!$G$6:$G$28,$P1973),INDEX(PARAMETROS_CULTURAS!$K$6:$K$28,$P1973)+(INDEX(PARAMETROS_CULTURAS!$L$6:$L$28,$P1973)-INDEX(PARAMETROS_CULTURAS!$K$6:$K$28,$P1973))*($O1973-INDEX(PARAMETROS_CULTURAS!$F$6:$F$28,$P1973))/MAX(INDEX(PARAMETROS_CULTURAS!$G$6:$G$28,$P1973),0.0001),IF($O1973&lt;=INDEX(PARAMETROS_CULTURAS!$F$6:$F$28,$P1973)+INDEX(PARAMETROS_CULTURAS!$G$6:$G$28,$P1973)+INDEX(PARAMETROS_CULTURAS!$H$6:$H$28,$P1973),INDEX(PARAMETROS_CULTURAS!$L$6:$L$28,$P1973),INDEX(PARAMETROS_CULTURAS!$L$6:$L$28,$P1973)+(INDEX(PARAMETROS_CULTURAS!$M$6:$M$28,$P1973)-INDEX(PARAMETROS_CULTURAS!$L$6:$L$28,$P1973))*($O1973-INDEX(PARAMETROS_CULTURAS!$F$6:$F$28,$P1973)-INDEX(PARAMETROS_CULTURAS!$G$6:$G$28,$P1973)-INDEX(PARAMETROS_CULTURAS!$H$6:$H$28,$P1973))/MAX(INDEX(PARAMETROS_CULTURAS!$I$6:$I$28,$P1973),0.0001)))))</f>
        <v>1.2</v>
      </c>
      <c r="S1973" s="18" t="n">
        <f aca="false">IFERROR(INDEX(SEMANAS!$H$6:$H$71,MATCH($B1973,SEMANAS!$B$6:$B$71,0)),0)</f>
        <v>40.6</v>
      </c>
      <c r="T1973" s="18" t="n">
        <f aca="false">$R1973*$S1973</f>
        <v>48.72</v>
      </c>
      <c r="U1973" s="18" t="n">
        <f aca="false">IFERROR(INDEX(SEMANAS!$I$6:$I$71,MATCH($B1973,SEMANAS!$B$6:$B$71,0)),0)</f>
        <v>7</v>
      </c>
      <c r="V1973" s="18" t="n">
        <f aca="false">IFERROR(INDEX(SEMANAS!$J$6:$J$71,MATCH($B1973,SEMANAS!$B$6:$B$71,0)),0)</f>
        <v>5.6</v>
      </c>
      <c r="W1973" s="18" t="n">
        <f aca="false">MAX(0,$T1973-$V1973)</f>
        <v>43.12</v>
      </c>
      <c r="X1973" s="19" t="n">
        <f aca="false">IFERROR(INDEX(CADASTRO_PIVOS!$K$6:$K$41,MATCH($E1973,CADASTRO_PIVOS!$B$6:$B$41,0)),EFICIENCIA_PADRAO)</f>
        <v>0.85</v>
      </c>
      <c r="Y1973" s="18" t="n">
        <f aca="false">IF($X1973&lt;=0,0,$W1973/$X1973)</f>
        <v>50.7294117647059</v>
      </c>
      <c r="Z1973" s="16" t="n">
        <f aca="false">$Y1973*$H1973*MM_PARA_M3_HA</f>
        <v>70990.7388235294</v>
      </c>
      <c r="AA1973" s="18" t="n">
        <f aca="false">IFERROR(INDEX(CADASTRO_PIVOS!$I$6:$I$41,MATCH($E1973,CADASTRO_PIVOS!$B$6:$B$41,0)),0)</f>
        <v>932.933333333333</v>
      </c>
      <c r="AB1973" s="18" t="n">
        <f aca="false">IF($Z1973&lt;=0,0,$Z1973/$AA1973)</f>
        <v>76.0941176470588</v>
      </c>
      <c r="AC1973" s="16" t="n">
        <f aca="false">IFERROR(INDEX(SEMANAS!$K$6:$K$71,MATCH($B1973,SEMANAS!$B$6:$B$71,0)),0)</f>
        <v>147</v>
      </c>
      <c r="AD1973" s="19" t="n">
        <f aca="false">IF($AC1973&lt;=0,0,$AB1973/$AC1973)</f>
        <v>0.51764705882353</v>
      </c>
      <c r="AE1973" s="8" t="str">
        <f aca="false">IF($K1973="SEM CULTURA","SEM CULTURA",IF($AA1973&lt;=0,"DADO PENDENTE",IF($AD1973&gt;LIMITE_CRITICO,"INVIAVEL",IF($AD1973&gt;LIMITE_ATENCAO,"CRITICO",IF($AD1973&gt;LIMITE_CONFORTAVEL,"ATENCAO","OK")))))</f>
        <v>OK</v>
      </c>
      <c r="AF1973" s="8" t="str">
        <f aca="false">$B1973&amp;"|"&amp;TEXT($AD1973,"0.000000")</f>
        <v>54|0.517647</v>
      </c>
      <c r="AG1973" s="18" t="n">
        <f aca="false">IF($K1973="SEM CULTURA",0,$T1973*$H1973)</f>
        <v>6817.8768</v>
      </c>
      <c r="AH1973" s="18" t="n">
        <f aca="false">IF($K1973="SEM CULTURA",0,$V1973*$H1973)</f>
        <v>783.664</v>
      </c>
      <c r="AI1973" s="18" t="n">
        <f aca="false">IF($K1973="SEM CULTURA",0,$W1973*$H1973)</f>
        <v>6034.2128</v>
      </c>
      <c r="AJ1973" s="18" t="n">
        <f aca="false">IF($K1973="SEM CULTURA",0,$S1973*$H1973)</f>
        <v>5681.564</v>
      </c>
      <c r="AK1973" s="8" t="str">
        <f aca="false">$E1973&amp;"|"&amp;TEXT($AD1973,"0.000000")</f>
        <v>PV 126|0.517647</v>
      </c>
    </row>
    <row r="1974" customFormat="false" ht="15" hidden="false" customHeight="false" outlineLevel="0" collapsed="false">
      <c r="B1974" s="16" t="n">
        <v>55</v>
      </c>
      <c r="C1974" s="17" t="n">
        <f aca="false">DATA_INICIO_SAFRA+($B1974-1)*DIAS_POR_SEMANA</f>
        <v>46643</v>
      </c>
      <c r="D1974" s="17" t="n">
        <f aca="false">$C1974+DIAS_POR_SEMANA-1</f>
        <v>46649</v>
      </c>
      <c r="E1974" s="15" t="s">
        <v>288</v>
      </c>
      <c r="F1974" s="8" t="str">
        <f aca="false">IFERROR(INDEX(CADASTRO_PIVOS!$C$6:$C$41,MATCH($E1974,CADASTRO_PIVOS!$B$6:$B$41,0)),"?")</f>
        <v>RM07</v>
      </c>
      <c r="G1974" s="8" t="str">
        <f aca="false">IFERROR(INDEX(CADASTRO_PIVOS!$D$6:$D$41,MATCH($E1974,CADASTRO_PIVOS!$B$6:$B$41,0)),"?")</f>
        <v>TR07</v>
      </c>
      <c r="H1974" s="20" t="n">
        <f aca="false">IFERROR(INDEX(CADASTRO_PIVOS!$E$6:$E$41,MATCH($E1974,CADASTRO_PIVOS!$B$6:$B$41,0)),0)</f>
        <v>139.94</v>
      </c>
      <c r="I1974" s="16" t="n">
        <f aca="false">IFERROR(SUMIFS(ROTACAO_RDM!$B$6:$B$71,ROTACAO_RDM!$D$6:$D$71,$E1974,ROTACAO_RDM!$I$6:$I$71,"&lt;="&amp;$C1974+INT(DIAS_POR_SEMANA/2),ROTACAO_RDM!$J$6:$J$71,"&gt;="&amp;$C1974+INT(DIAS_POR_SEMANA/2)),0)</f>
        <v>50</v>
      </c>
      <c r="J1974" s="16" t="n">
        <f aca="false">IFERROR(MATCH($I1974,ROTACAO_RDM!$B$6:$B$71,0),0)</f>
        <v>50</v>
      </c>
      <c r="K1974" s="8" t="str">
        <f aca="false">IF($J1974=0,"SEM CULTURA",INDEX(ROTACAO_RDM!$F$6:$F$71,$J1974))</f>
        <v>MILHO_GRAO</v>
      </c>
      <c r="L1974" s="8" t="n">
        <f aca="false">IF($J1974=0,"",INDEX(ROTACAO_RDM!$G$6:$G$71,$J1974))</f>
        <v>0</v>
      </c>
      <c r="M1974" s="17" t="n">
        <f aca="false">IF($J1974=0,"",INDEX(ROTACAO_RDM!$I$6:$I$71,$J1974))</f>
        <v>46541</v>
      </c>
      <c r="N1974" s="16" t="n">
        <f aca="false">IF($J1974=0,0,MAX(0,$C1974+INT(DIAS_POR_SEMANA/2)-INDEX(ROTACAO_RDM!$I$6:$I$71,$J1974)))</f>
        <v>105</v>
      </c>
      <c r="O1974" s="19" t="n">
        <f aca="false">IF($J1974=0,0,MIN(1,$N1974/MAX(1,INDEX(ROTACAO_RDM!$K$6:$K$71,$J1974))))</f>
        <v>0.65625</v>
      </c>
      <c r="P1974" s="16" t="n">
        <f aca="false">IF($J1974=0,0,IFERROR(MATCH(INDEX(ROTACAO_RDM!$N$6:$N$71,$J1974),PARAMETROS_CULTURAS!$B$6:$B$28,0),0))</f>
        <v>8</v>
      </c>
      <c r="Q1974" s="8" t="str">
        <f aca="false">IF($P1974=0,"-",IF($O1974&lt;=INDEX(PARAMETROS_CULTURAS!$F$6:$F$28,$P1974),"INICIAL",IF($O1974&lt;=INDEX(PARAMETROS_CULTURAS!$F$6:$F$28,$P1974)+INDEX(PARAMETROS_CULTURAS!$G$6:$G$28,$P1974),"DESENVOLVIMENTO",IF($O1974&lt;=INDEX(PARAMETROS_CULTURAS!$F$6:$F$28,$P1974)+INDEX(PARAMETROS_CULTURAS!$G$6:$G$28,$P1974)+INDEX(PARAMETROS_CULTURAS!$H$6:$H$28,$P1974),"MEDIA","FINAL"))))</f>
        <v>MEDIA</v>
      </c>
      <c r="R1974" s="24" t="n">
        <f aca="false">IF($P1974=0,0,IF($O1974&lt;=INDEX(PARAMETROS_CULTURAS!$F$6:$F$28,$P1974),INDEX(PARAMETROS_CULTURAS!$K$6:$K$28,$P1974),IF($O1974&lt;=INDEX(PARAMETROS_CULTURAS!$F$6:$F$28,$P1974)+INDEX(PARAMETROS_CULTURAS!$G$6:$G$28,$P1974),INDEX(PARAMETROS_CULTURAS!$K$6:$K$28,$P1974)+(INDEX(PARAMETROS_CULTURAS!$L$6:$L$28,$P1974)-INDEX(PARAMETROS_CULTURAS!$K$6:$K$28,$P1974))*($O1974-INDEX(PARAMETROS_CULTURAS!$F$6:$F$28,$P1974))/MAX(INDEX(PARAMETROS_CULTURAS!$G$6:$G$28,$P1974),0.0001),IF($O1974&lt;=INDEX(PARAMETROS_CULTURAS!$F$6:$F$28,$P1974)+INDEX(PARAMETROS_CULTURAS!$G$6:$G$28,$P1974)+INDEX(PARAMETROS_CULTURAS!$H$6:$H$28,$P1974),INDEX(PARAMETROS_CULTURAS!$L$6:$L$28,$P1974),INDEX(PARAMETROS_CULTURAS!$L$6:$L$28,$P1974)+(INDEX(PARAMETROS_CULTURAS!$M$6:$M$28,$P1974)-INDEX(PARAMETROS_CULTURAS!$L$6:$L$28,$P1974))*($O1974-INDEX(PARAMETROS_CULTURAS!$F$6:$F$28,$P1974)-INDEX(PARAMETROS_CULTURAS!$G$6:$G$28,$P1974)-INDEX(PARAMETROS_CULTURAS!$H$6:$H$28,$P1974))/MAX(INDEX(PARAMETROS_CULTURAS!$I$6:$I$28,$P1974),0.0001)))))</f>
        <v>1.2</v>
      </c>
      <c r="S1974" s="18" t="n">
        <f aca="false">IFERROR(INDEX(SEMANAS!$H$6:$H$71,MATCH($B1974,SEMANAS!$B$6:$B$71,0)),0)</f>
        <v>40.6</v>
      </c>
      <c r="T1974" s="18" t="n">
        <f aca="false">$R1974*$S1974</f>
        <v>48.72</v>
      </c>
      <c r="U1974" s="18" t="n">
        <f aca="false">IFERROR(INDEX(SEMANAS!$I$6:$I$71,MATCH($B1974,SEMANAS!$B$6:$B$71,0)),0)</f>
        <v>7</v>
      </c>
      <c r="V1974" s="18" t="n">
        <f aca="false">IFERROR(INDEX(SEMANAS!$J$6:$J$71,MATCH($B1974,SEMANAS!$B$6:$B$71,0)),0)</f>
        <v>5.6</v>
      </c>
      <c r="W1974" s="18" t="n">
        <f aca="false">MAX(0,$T1974-$V1974)</f>
        <v>43.12</v>
      </c>
      <c r="X1974" s="19" t="n">
        <f aca="false">IFERROR(INDEX(CADASTRO_PIVOS!$K$6:$K$41,MATCH($E1974,CADASTRO_PIVOS!$B$6:$B$41,0)),EFICIENCIA_PADRAO)</f>
        <v>0.85</v>
      </c>
      <c r="Y1974" s="18" t="n">
        <f aca="false">IF($X1974&lt;=0,0,$W1974/$X1974)</f>
        <v>50.7294117647059</v>
      </c>
      <c r="Z1974" s="16" t="n">
        <f aca="false">$Y1974*$H1974*MM_PARA_M3_HA</f>
        <v>70990.7388235294</v>
      </c>
      <c r="AA1974" s="18" t="n">
        <f aca="false">IFERROR(INDEX(CADASTRO_PIVOS!$I$6:$I$41,MATCH($E1974,CADASTRO_PIVOS!$B$6:$B$41,0)),0)</f>
        <v>932.933333333333</v>
      </c>
      <c r="AB1974" s="18" t="n">
        <f aca="false">IF($Z1974&lt;=0,0,$Z1974/$AA1974)</f>
        <v>76.0941176470588</v>
      </c>
      <c r="AC1974" s="16" t="n">
        <f aca="false">IFERROR(INDEX(SEMANAS!$K$6:$K$71,MATCH($B1974,SEMANAS!$B$6:$B$71,0)),0)</f>
        <v>147</v>
      </c>
      <c r="AD1974" s="19" t="n">
        <f aca="false">IF($AC1974&lt;=0,0,$AB1974/$AC1974)</f>
        <v>0.51764705882353</v>
      </c>
      <c r="AE1974" s="8" t="str">
        <f aca="false">IF($K1974="SEM CULTURA","SEM CULTURA",IF($AA1974&lt;=0,"DADO PENDENTE",IF($AD1974&gt;LIMITE_CRITICO,"INVIAVEL",IF($AD1974&gt;LIMITE_ATENCAO,"CRITICO",IF($AD1974&gt;LIMITE_CONFORTAVEL,"ATENCAO","OK")))))</f>
        <v>OK</v>
      </c>
      <c r="AF1974" s="8" t="str">
        <f aca="false">$B1974&amp;"|"&amp;TEXT($AD1974,"0.000000")</f>
        <v>55|0.517647</v>
      </c>
      <c r="AG1974" s="18" t="n">
        <f aca="false">IF($K1974="SEM CULTURA",0,$T1974*$H1974)</f>
        <v>6817.8768</v>
      </c>
      <c r="AH1974" s="18" t="n">
        <f aca="false">IF($K1974="SEM CULTURA",0,$V1974*$H1974)</f>
        <v>783.664</v>
      </c>
      <c r="AI1974" s="18" t="n">
        <f aca="false">IF($K1974="SEM CULTURA",0,$W1974*$H1974)</f>
        <v>6034.2128</v>
      </c>
      <c r="AJ1974" s="18" t="n">
        <f aca="false">IF($K1974="SEM CULTURA",0,$S1974*$H1974)</f>
        <v>5681.564</v>
      </c>
      <c r="AK1974" s="8" t="str">
        <f aca="false">$E1974&amp;"|"&amp;TEXT($AD1974,"0.000000")</f>
        <v>PV 126|0.517647</v>
      </c>
    </row>
    <row r="1975" customFormat="false" ht="15" hidden="false" customHeight="false" outlineLevel="0" collapsed="false">
      <c r="B1975" s="16" t="n">
        <v>56</v>
      </c>
      <c r="C1975" s="17" t="n">
        <f aca="false">DATA_INICIO_SAFRA+($B1975-1)*DIAS_POR_SEMANA</f>
        <v>46650</v>
      </c>
      <c r="D1975" s="17" t="n">
        <f aca="false">$C1975+DIAS_POR_SEMANA-1</f>
        <v>46656</v>
      </c>
      <c r="E1975" s="15" t="s">
        <v>288</v>
      </c>
      <c r="F1975" s="8" t="str">
        <f aca="false">IFERROR(INDEX(CADASTRO_PIVOS!$C$6:$C$41,MATCH($E1975,CADASTRO_PIVOS!$B$6:$B$41,0)),"?")</f>
        <v>RM07</v>
      </c>
      <c r="G1975" s="8" t="str">
        <f aca="false">IFERROR(INDEX(CADASTRO_PIVOS!$D$6:$D$41,MATCH($E1975,CADASTRO_PIVOS!$B$6:$B$41,0)),"?")</f>
        <v>TR07</v>
      </c>
      <c r="H1975" s="20" t="n">
        <f aca="false">IFERROR(INDEX(CADASTRO_PIVOS!$E$6:$E$41,MATCH($E1975,CADASTRO_PIVOS!$B$6:$B$41,0)),0)</f>
        <v>139.94</v>
      </c>
      <c r="I1975" s="16" t="n">
        <f aca="false">IFERROR(SUMIFS(ROTACAO_RDM!$B$6:$B$71,ROTACAO_RDM!$D$6:$D$71,$E1975,ROTACAO_RDM!$I$6:$I$71,"&lt;="&amp;$C1975+INT(DIAS_POR_SEMANA/2),ROTACAO_RDM!$J$6:$J$71,"&gt;="&amp;$C1975+INT(DIAS_POR_SEMANA/2)),0)</f>
        <v>50</v>
      </c>
      <c r="J1975" s="16" t="n">
        <f aca="false">IFERROR(MATCH($I1975,ROTACAO_RDM!$B$6:$B$71,0),0)</f>
        <v>50</v>
      </c>
      <c r="K1975" s="8" t="str">
        <f aca="false">IF($J1975=0,"SEM CULTURA",INDEX(ROTACAO_RDM!$F$6:$F$71,$J1975))</f>
        <v>MILHO_GRAO</v>
      </c>
      <c r="L1975" s="8" t="n">
        <f aca="false">IF($J1975=0,"",INDEX(ROTACAO_RDM!$G$6:$G$71,$J1975))</f>
        <v>0</v>
      </c>
      <c r="M1975" s="17" t="n">
        <f aca="false">IF($J1975=0,"",INDEX(ROTACAO_RDM!$I$6:$I$71,$J1975))</f>
        <v>46541</v>
      </c>
      <c r="N1975" s="16" t="n">
        <f aca="false">IF($J1975=0,0,MAX(0,$C1975+INT(DIAS_POR_SEMANA/2)-INDEX(ROTACAO_RDM!$I$6:$I$71,$J1975)))</f>
        <v>112</v>
      </c>
      <c r="O1975" s="19" t="n">
        <f aca="false">IF($J1975=0,0,MIN(1,$N1975/MAX(1,INDEX(ROTACAO_RDM!$K$6:$K$71,$J1975))))</f>
        <v>0.7</v>
      </c>
      <c r="P1975" s="16" t="n">
        <f aca="false">IF($J1975=0,0,IFERROR(MATCH(INDEX(ROTACAO_RDM!$N$6:$N$71,$J1975),PARAMETROS_CULTURAS!$B$6:$B$28,0),0))</f>
        <v>8</v>
      </c>
      <c r="Q1975" s="8" t="str">
        <f aca="false">IF($P1975=0,"-",IF($O1975&lt;=INDEX(PARAMETROS_CULTURAS!$F$6:$F$28,$P1975),"INICIAL",IF($O1975&lt;=INDEX(PARAMETROS_CULTURAS!$F$6:$F$28,$P1975)+INDEX(PARAMETROS_CULTURAS!$G$6:$G$28,$P1975),"DESENVOLVIMENTO",IF($O1975&lt;=INDEX(PARAMETROS_CULTURAS!$F$6:$F$28,$P1975)+INDEX(PARAMETROS_CULTURAS!$G$6:$G$28,$P1975)+INDEX(PARAMETROS_CULTURAS!$H$6:$H$28,$P1975),"MEDIA","FINAL"))))</f>
        <v>MEDIA</v>
      </c>
      <c r="R1975" s="24" t="n">
        <f aca="false">IF($P1975=0,0,IF($O1975&lt;=INDEX(PARAMETROS_CULTURAS!$F$6:$F$28,$P1975),INDEX(PARAMETROS_CULTURAS!$K$6:$K$28,$P1975),IF($O1975&lt;=INDEX(PARAMETROS_CULTURAS!$F$6:$F$28,$P1975)+INDEX(PARAMETROS_CULTURAS!$G$6:$G$28,$P1975),INDEX(PARAMETROS_CULTURAS!$K$6:$K$28,$P1975)+(INDEX(PARAMETROS_CULTURAS!$L$6:$L$28,$P1975)-INDEX(PARAMETROS_CULTURAS!$K$6:$K$28,$P1975))*($O1975-INDEX(PARAMETROS_CULTURAS!$F$6:$F$28,$P1975))/MAX(INDEX(PARAMETROS_CULTURAS!$G$6:$G$28,$P1975),0.0001),IF($O1975&lt;=INDEX(PARAMETROS_CULTURAS!$F$6:$F$28,$P1975)+INDEX(PARAMETROS_CULTURAS!$G$6:$G$28,$P1975)+INDEX(PARAMETROS_CULTURAS!$H$6:$H$28,$P1975),INDEX(PARAMETROS_CULTURAS!$L$6:$L$28,$P1975),INDEX(PARAMETROS_CULTURAS!$L$6:$L$28,$P1975)+(INDEX(PARAMETROS_CULTURAS!$M$6:$M$28,$P1975)-INDEX(PARAMETROS_CULTURAS!$L$6:$L$28,$P1975))*($O1975-INDEX(PARAMETROS_CULTURAS!$F$6:$F$28,$P1975)-INDEX(PARAMETROS_CULTURAS!$G$6:$G$28,$P1975)-INDEX(PARAMETROS_CULTURAS!$H$6:$H$28,$P1975))/MAX(INDEX(PARAMETROS_CULTURAS!$I$6:$I$28,$P1975),0.0001)))))</f>
        <v>1.2</v>
      </c>
      <c r="S1975" s="18" t="n">
        <f aca="false">IFERROR(INDEX(SEMANAS!$H$6:$H$71,MATCH($B1975,SEMANAS!$B$6:$B$71,0)),0)</f>
        <v>40.6</v>
      </c>
      <c r="T1975" s="18" t="n">
        <f aca="false">$R1975*$S1975</f>
        <v>48.72</v>
      </c>
      <c r="U1975" s="18" t="n">
        <f aca="false">IFERROR(INDEX(SEMANAS!$I$6:$I$71,MATCH($B1975,SEMANAS!$B$6:$B$71,0)),0)</f>
        <v>7</v>
      </c>
      <c r="V1975" s="18" t="n">
        <f aca="false">IFERROR(INDEX(SEMANAS!$J$6:$J$71,MATCH($B1975,SEMANAS!$B$6:$B$71,0)),0)</f>
        <v>5.6</v>
      </c>
      <c r="W1975" s="18" t="n">
        <f aca="false">MAX(0,$T1975-$V1975)</f>
        <v>43.12</v>
      </c>
      <c r="X1975" s="19" t="n">
        <f aca="false">IFERROR(INDEX(CADASTRO_PIVOS!$K$6:$K$41,MATCH($E1975,CADASTRO_PIVOS!$B$6:$B$41,0)),EFICIENCIA_PADRAO)</f>
        <v>0.85</v>
      </c>
      <c r="Y1975" s="18" t="n">
        <f aca="false">IF($X1975&lt;=0,0,$W1975/$X1975)</f>
        <v>50.7294117647059</v>
      </c>
      <c r="Z1975" s="16" t="n">
        <f aca="false">$Y1975*$H1975*MM_PARA_M3_HA</f>
        <v>70990.7388235294</v>
      </c>
      <c r="AA1975" s="18" t="n">
        <f aca="false">IFERROR(INDEX(CADASTRO_PIVOS!$I$6:$I$41,MATCH($E1975,CADASTRO_PIVOS!$B$6:$B$41,0)),0)</f>
        <v>932.933333333333</v>
      </c>
      <c r="AB1975" s="18" t="n">
        <f aca="false">IF($Z1975&lt;=0,0,$Z1975/$AA1975)</f>
        <v>76.0941176470588</v>
      </c>
      <c r="AC1975" s="16" t="n">
        <f aca="false">IFERROR(INDEX(SEMANAS!$K$6:$K$71,MATCH($B1975,SEMANAS!$B$6:$B$71,0)),0)</f>
        <v>147</v>
      </c>
      <c r="AD1975" s="19" t="n">
        <f aca="false">IF($AC1975&lt;=0,0,$AB1975/$AC1975)</f>
        <v>0.51764705882353</v>
      </c>
      <c r="AE1975" s="8" t="str">
        <f aca="false">IF($K1975="SEM CULTURA","SEM CULTURA",IF($AA1975&lt;=0,"DADO PENDENTE",IF($AD1975&gt;LIMITE_CRITICO,"INVIAVEL",IF($AD1975&gt;LIMITE_ATENCAO,"CRITICO",IF($AD1975&gt;LIMITE_CONFORTAVEL,"ATENCAO","OK")))))</f>
        <v>OK</v>
      </c>
      <c r="AF1975" s="8" t="str">
        <f aca="false">$B1975&amp;"|"&amp;TEXT($AD1975,"0.000000")</f>
        <v>56|0.517647</v>
      </c>
      <c r="AG1975" s="18" t="n">
        <f aca="false">IF($K1975="SEM CULTURA",0,$T1975*$H1975)</f>
        <v>6817.8768</v>
      </c>
      <c r="AH1975" s="18" t="n">
        <f aca="false">IF($K1975="SEM CULTURA",0,$V1975*$H1975)</f>
        <v>783.664</v>
      </c>
      <c r="AI1975" s="18" t="n">
        <f aca="false">IF($K1975="SEM CULTURA",0,$W1975*$H1975)</f>
        <v>6034.2128</v>
      </c>
      <c r="AJ1975" s="18" t="n">
        <f aca="false">IF($K1975="SEM CULTURA",0,$S1975*$H1975)</f>
        <v>5681.564</v>
      </c>
      <c r="AK1975" s="8" t="str">
        <f aca="false">$E1975&amp;"|"&amp;TEXT($AD1975,"0.000000")</f>
        <v>PV 126|0.517647</v>
      </c>
    </row>
    <row r="1976" customFormat="false" ht="15" hidden="false" customHeight="false" outlineLevel="0" collapsed="false">
      <c r="B1976" s="16" t="n">
        <v>57</v>
      </c>
      <c r="C1976" s="17" t="n">
        <f aca="false">DATA_INICIO_SAFRA+($B1976-1)*DIAS_POR_SEMANA</f>
        <v>46657</v>
      </c>
      <c r="D1976" s="17" t="n">
        <f aca="false">$C1976+DIAS_POR_SEMANA-1</f>
        <v>46663</v>
      </c>
      <c r="E1976" s="15" t="s">
        <v>288</v>
      </c>
      <c r="F1976" s="8" t="str">
        <f aca="false">IFERROR(INDEX(CADASTRO_PIVOS!$C$6:$C$41,MATCH($E1976,CADASTRO_PIVOS!$B$6:$B$41,0)),"?")</f>
        <v>RM07</v>
      </c>
      <c r="G1976" s="8" t="str">
        <f aca="false">IFERROR(INDEX(CADASTRO_PIVOS!$D$6:$D$41,MATCH($E1976,CADASTRO_PIVOS!$B$6:$B$41,0)),"?")</f>
        <v>TR07</v>
      </c>
      <c r="H1976" s="20" t="n">
        <f aca="false">IFERROR(INDEX(CADASTRO_PIVOS!$E$6:$E$41,MATCH($E1976,CADASTRO_PIVOS!$B$6:$B$41,0)),0)</f>
        <v>139.94</v>
      </c>
      <c r="I1976" s="16" t="n">
        <f aca="false">IFERROR(SUMIFS(ROTACAO_RDM!$B$6:$B$71,ROTACAO_RDM!$D$6:$D$71,$E1976,ROTACAO_RDM!$I$6:$I$71,"&lt;="&amp;$C1976+INT(DIAS_POR_SEMANA/2),ROTACAO_RDM!$J$6:$J$71,"&gt;="&amp;$C1976+INT(DIAS_POR_SEMANA/2)),0)</f>
        <v>50</v>
      </c>
      <c r="J1976" s="16" t="n">
        <f aca="false">IFERROR(MATCH($I1976,ROTACAO_RDM!$B$6:$B$71,0),0)</f>
        <v>50</v>
      </c>
      <c r="K1976" s="8" t="str">
        <f aca="false">IF($J1976=0,"SEM CULTURA",INDEX(ROTACAO_RDM!$F$6:$F$71,$J1976))</f>
        <v>MILHO_GRAO</v>
      </c>
      <c r="L1976" s="8" t="n">
        <f aca="false">IF($J1976=0,"",INDEX(ROTACAO_RDM!$G$6:$G$71,$J1976))</f>
        <v>0</v>
      </c>
      <c r="M1976" s="17" t="n">
        <f aca="false">IF($J1976=0,"",INDEX(ROTACAO_RDM!$I$6:$I$71,$J1976))</f>
        <v>46541</v>
      </c>
      <c r="N1976" s="16" t="n">
        <f aca="false">IF($J1976=0,0,MAX(0,$C1976+INT(DIAS_POR_SEMANA/2)-INDEX(ROTACAO_RDM!$I$6:$I$71,$J1976)))</f>
        <v>119</v>
      </c>
      <c r="O1976" s="19" t="n">
        <f aca="false">IF($J1976=0,0,MIN(1,$N1976/MAX(1,INDEX(ROTACAO_RDM!$K$6:$K$71,$J1976))))</f>
        <v>0.74375</v>
      </c>
      <c r="P1976" s="16" t="n">
        <f aca="false">IF($J1976=0,0,IFERROR(MATCH(INDEX(ROTACAO_RDM!$N$6:$N$71,$J1976),PARAMETROS_CULTURAS!$B$6:$B$28,0),0))</f>
        <v>8</v>
      </c>
      <c r="Q1976" s="8" t="str">
        <f aca="false">IF($P1976=0,"-",IF($O1976&lt;=INDEX(PARAMETROS_CULTURAS!$F$6:$F$28,$P1976),"INICIAL",IF($O1976&lt;=INDEX(PARAMETROS_CULTURAS!$F$6:$F$28,$P1976)+INDEX(PARAMETROS_CULTURAS!$G$6:$G$28,$P1976),"DESENVOLVIMENTO",IF($O1976&lt;=INDEX(PARAMETROS_CULTURAS!$F$6:$F$28,$P1976)+INDEX(PARAMETROS_CULTURAS!$G$6:$G$28,$P1976)+INDEX(PARAMETROS_CULTURAS!$H$6:$H$28,$P1976),"MEDIA","FINAL"))))</f>
        <v>MEDIA</v>
      </c>
      <c r="R1976" s="24" t="n">
        <f aca="false">IF($P1976=0,0,IF($O1976&lt;=INDEX(PARAMETROS_CULTURAS!$F$6:$F$28,$P1976),INDEX(PARAMETROS_CULTURAS!$K$6:$K$28,$P1976),IF($O1976&lt;=INDEX(PARAMETROS_CULTURAS!$F$6:$F$28,$P1976)+INDEX(PARAMETROS_CULTURAS!$G$6:$G$28,$P1976),INDEX(PARAMETROS_CULTURAS!$K$6:$K$28,$P1976)+(INDEX(PARAMETROS_CULTURAS!$L$6:$L$28,$P1976)-INDEX(PARAMETROS_CULTURAS!$K$6:$K$28,$P1976))*($O1976-INDEX(PARAMETROS_CULTURAS!$F$6:$F$28,$P1976))/MAX(INDEX(PARAMETROS_CULTURAS!$G$6:$G$28,$P1976),0.0001),IF($O1976&lt;=INDEX(PARAMETROS_CULTURAS!$F$6:$F$28,$P1976)+INDEX(PARAMETROS_CULTURAS!$G$6:$G$28,$P1976)+INDEX(PARAMETROS_CULTURAS!$H$6:$H$28,$P1976),INDEX(PARAMETROS_CULTURAS!$L$6:$L$28,$P1976),INDEX(PARAMETROS_CULTURAS!$L$6:$L$28,$P1976)+(INDEX(PARAMETROS_CULTURAS!$M$6:$M$28,$P1976)-INDEX(PARAMETROS_CULTURAS!$L$6:$L$28,$P1976))*($O1976-INDEX(PARAMETROS_CULTURAS!$F$6:$F$28,$P1976)-INDEX(PARAMETROS_CULTURAS!$G$6:$G$28,$P1976)-INDEX(PARAMETROS_CULTURAS!$H$6:$H$28,$P1976))/MAX(INDEX(PARAMETROS_CULTURAS!$I$6:$I$28,$P1976),0.0001)))))</f>
        <v>1.2</v>
      </c>
      <c r="S1976" s="18" t="n">
        <f aca="false">IFERROR(INDEX(SEMANAS!$H$6:$H$71,MATCH($B1976,SEMANAS!$B$6:$B$71,0)),0)</f>
        <v>40</v>
      </c>
      <c r="T1976" s="18" t="n">
        <f aca="false">$R1976*$S1976</f>
        <v>48</v>
      </c>
      <c r="U1976" s="18" t="n">
        <f aca="false">IFERROR(INDEX(SEMANAS!$I$6:$I$71,MATCH($B1976,SEMANAS!$B$6:$B$71,0)),0)</f>
        <v>15.61</v>
      </c>
      <c r="V1976" s="18" t="n">
        <f aca="false">IFERROR(INDEX(SEMANAS!$J$6:$J$71,MATCH($B1976,SEMANAS!$B$6:$B$71,0)),0)</f>
        <v>12.488</v>
      </c>
      <c r="W1976" s="18" t="n">
        <f aca="false">MAX(0,$T1976-$V1976)</f>
        <v>35.512</v>
      </c>
      <c r="X1976" s="19" t="n">
        <f aca="false">IFERROR(INDEX(CADASTRO_PIVOS!$K$6:$K$41,MATCH($E1976,CADASTRO_PIVOS!$B$6:$B$41,0)),EFICIENCIA_PADRAO)</f>
        <v>0.85</v>
      </c>
      <c r="Y1976" s="18" t="n">
        <f aca="false">IF($X1976&lt;=0,0,$W1976/$X1976)</f>
        <v>41.7788235294118</v>
      </c>
      <c r="Z1976" s="16" t="n">
        <f aca="false">$Y1976*$H1976*MM_PARA_M3_HA</f>
        <v>58465.2856470588</v>
      </c>
      <c r="AA1976" s="18" t="n">
        <f aca="false">IFERROR(INDEX(CADASTRO_PIVOS!$I$6:$I$41,MATCH($E1976,CADASTRO_PIVOS!$B$6:$B$41,0)),0)</f>
        <v>932.933333333333</v>
      </c>
      <c r="AB1976" s="18" t="n">
        <f aca="false">IF($Z1976&lt;=0,0,$Z1976/$AA1976)</f>
        <v>62.6682352941177</v>
      </c>
      <c r="AC1976" s="16" t="n">
        <f aca="false">IFERROR(INDEX(SEMANAS!$K$6:$K$71,MATCH($B1976,SEMANAS!$B$6:$B$71,0)),0)</f>
        <v>147</v>
      </c>
      <c r="AD1976" s="19" t="n">
        <f aca="false">IF($AC1976&lt;=0,0,$AB1976/$AC1976)</f>
        <v>0.426314525810324</v>
      </c>
      <c r="AE1976" s="8" t="str">
        <f aca="false">IF($K1976="SEM CULTURA","SEM CULTURA",IF($AA1976&lt;=0,"DADO PENDENTE",IF($AD1976&gt;LIMITE_CRITICO,"INVIAVEL",IF($AD1976&gt;LIMITE_ATENCAO,"CRITICO",IF($AD1976&gt;LIMITE_CONFORTAVEL,"ATENCAO","OK")))))</f>
        <v>OK</v>
      </c>
      <c r="AF1976" s="8" t="str">
        <f aca="false">$B1976&amp;"|"&amp;TEXT($AD1976,"0.000000")</f>
        <v>57|0.426315</v>
      </c>
      <c r="AG1976" s="18" t="n">
        <f aca="false">IF($K1976="SEM CULTURA",0,$T1976*$H1976)</f>
        <v>6717.12</v>
      </c>
      <c r="AH1976" s="18" t="n">
        <f aca="false">IF($K1976="SEM CULTURA",0,$V1976*$H1976)</f>
        <v>1747.57072</v>
      </c>
      <c r="AI1976" s="18" t="n">
        <f aca="false">IF($K1976="SEM CULTURA",0,$W1976*$H1976)</f>
        <v>4969.54928</v>
      </c>
      <c r="AJ1976" s="18" t="n">
        <f aca="false">IF($K1976="SEM CULTURA",0,$S1976*$H1976)</f>
        <v>5597.6</v>
      </c>
      <c r="AK1976" s="8" t="str">
        <f aca="false">$E1976&amp;"|"&amp;TEXT($AD1976,"0.000000")</f>
        <v>PV 126|0.426315</v>
      </c>
    </row>
    <row r="1977" customFormat="false" ht="15" hidden="false" customHeight="false" outlineLevel="0" collapsed="false">
      <c r="B1977" s="16" t="n">
        <v>58</v>
      </c>
      <c r="C1977" s="17" t="n">
        <f aca="false">DATA_INICIO_SAFRA+($B1977-1)*DIAS_POR_SEMANA</f>
        <v>46664</v>
      </c>
      <c r="D1977" s="17" t="n">
        <f aca="false">$C1977+DIAS_POR_SEMANA-1</f>
        <v>46670</v>
      </c>
      <c r="E1977" s="15" t="s">
        <v>288</v>
      </c>
      <c r="F1977" s="8" t="str">
        <f aca="false">IFERROR(INDEX(CADASTRO_PIVOS!$C$6:$C$41,MATCH($E1977,CADASTRO_PIVOS!$B$6:$B$41,0)),"?")</f>
        <v>RM07</v>
      </c>
      <c r="G1977" s="8" t="str">
        <f aca="false">IFERROR(INDEX(CADASTRO_PIVOS!$D$6:$D$41,MATCH($E1977,CADASTRO_PIVOS!$B$6:$B$41,0)),"?")</f>
        <v>TR07</v>
      </c>
      <c r="H1977" s="20" t="n">
        <f aca="false">IFERROR(INDEX(CADASTRO_PIVOS!$E$6:$E$41,MATCH($E1977,CADASTRO_PIVOS!$B$6:$B$41,0)),0)</f>
        <v>139.94</v>
      </c>
      <c r="I1977" s="16" t="n">
        <f aca="false">IFERROR(SUMIFS(ROTACAO_RDM!$B$6:$B$71,ROTACAO_RDM!$D$6:$D$71,$E1977,ROTACAO_RDM!$I$6:$I$71,"&lt;="&amp;$C1977+INT(DIAS_POR_SEMANA/2),ROTACAO_RDM!$J$6:$J$71,"&gt;="&amp;$C1977+INT(DIAS_POR_SEMANA/2)),0)</f>
        <v>50</v>
      </c>
      <c r="J1977" s="16" t="n">
        <f aca="false">IFERROR(MATCH($I1977,ROTACAO_RDM!$B$6:$B$71,0),0)</f>
        <v>50</v>
      </c>
      <c r="K1977" s="8" t="str">
        <f aca="false">IF($J1977=0,"SEM CULTURA",INDEX(ROTACAO_RDM!$F$6:$F$71,$J1977))</f>
        <v>MILHO_GRAO</v>
      </c>
      <c r="L1977" s="8" t="n">
        <f aca="false">IF($J1977=0,"",INDEX(ROTACAO_RDM!$G$6:$G$71,$J1977))</f>
        <v>0</v>
      </c>
      <c r="M1977" s="17" t="n">
        <f aca="false">IF($J1977=0,"",INDEX(ROTACAO_RDM!$I$6:$I$71,$J1977))</f>
        <v>46541</v>
      </c>
      <c r="N1977" s="16" t="n">
        <f aca="false">IF($J1977=0,0,MAX(0,$C1977+INT(DIAS_POR_SEMANA/2)-INDEX(ROTACAO_RDM!$I$6:$I$71,$J1977)))</f>
        <v>126</v>
      </c>
      <c r="O1977" s="19" t="n">
        <f aca="false">IF($J1977=0,0,MIN(1,$N1977/MAX(1,INDEX(ROTACAO_RDM!$K$6:$K$71,$J1977))))</f>
        <v>0.7875</v>
      </c>
      <c r="P1977" s="16" t="n">
        <f aca="false">IF($J1977=0,0,IFERROR(MATCH(INDEX(ROTACAO_RDM!$N$6:$N$71,$J1977),PARAMETROS_CULTURAS!$B$6:$B$28,0),0))</f>
        <v>8</v>
      </c>
      <c r="Q1977" s="8" t="str">
        <f aca="false">IF($P1977=0,"-",IF($O1977&lt;=INDEX(PARAMETROS_CULTURAS!$F$6:$F$28,$P1977),"INICIAL",IF($O1977&lt;=INDEX(PARAMETROS_CULTURAS!$F$6:$F$28,$P1977)+INDEX(PARAMETROS_CULTURAS!$G$6:$G$28,$P1977),"DESENVOLVIMENTO",IF($O1977&lt;=INDEX(PARAMETROS_CULTURAS!$F$6:$F$28,$P1977)+INDEX(PARAMETROS_CULTURAS!$G$6:$G$28,$P1977)+INDEX(PARAMETROS_CULTURAS!$H$6:$H$28,$P1977),"MEDIA","FINAL"))))</f>
        <v>FINAL</v>
      </c>
      <c r="R1977" s="24" t="n">
        <f aca="false">IF($P1977=0,0,IF($O1977&lt;=INDEX(PARAMETROS_CULTURAS!$F$6:$F$28,$P1977),INDEX(PARAMETROS_CULTURAS!$K$6:$K$28,$P1977),IF($O1977&lt;=INDEX(PARAMETROS_CULTURAS!$F$6:$F$28,$P1977)+INDEX(PARAMETROS_CULTURAS!$G$6:$G$28,$P1977),INDEX(PARAMETROS_CULTURAS!$K$6:$K$28,$P1977)+(INDEX(PARAMETROS_CULTURAS!$L$6:$L$28,$P1977)-INDEX(PARAMETROS_CULTURAS!$K$6:$K$28,$P1977))*($O1977-INDEX(PARAMETROS_CULTURAS!$F$6:$F$28,$P1977))/MAX(INDEX(PARAMETROS_CULTURAS!$G$6:$G$28,$P1977),0.0001),IF($O1977&lt;=INDEX(PARAMETROS_CULTURAS!$F$6:$F$28,$P1977)+INDEX(PARAMETROS_CULTURAS!$G$6:$G$28,$P1977)+INDEX(PARAMETROS_CULTURAS!$H$6:$H$28,$P1977),INDEX(PARAMETROS_CULTURAS!$L$6:$L$28,$P1977),INDEX(PARAMETROS_CULTURAS!$L$6:$L$28,$P1977)+(INDEX(PARAMETROS_CULTURAS!$M$6:$M$28,$P1977)-INDEX(PARAMETROS_CULTURAS!$L$6:$L$28,$P1977))*($O1977-INDEX(PARAMETROS_CULTURAS!$F$6:$F$28,$P1977)-INDEX(PARAMETROS_CULTURAS!$G$6:$G$28,$P1977)-INDEX(PARAMETROS_CULTURAS!$H$6:$H$28,$P1977))/MAX(INDEX(PARAMETROS_CULTURAS!$I$6:$I$28,$P1977),0.0001)))))</f>
        <v>1.11</v>
      </c>
      <c r="S1977" s="18" t="n">
        <f aca="false">IFERROR(INDEX(SEMANAS!$H$6:$H$71,MATCH($B1977,SEMANAS!$B$6:$B$71,0)),0)</f>
        <v>39.2</v>
      </c>
      <c r="T1977" s="18" t="n">
        <f aca="false">$R1977*$S1977</f>
        <v>43.512</v>
      </c>
      <c r="U1977" s="18" t="n">
        <f aca="false">IFERROR(INDEX(SEMANAS!$I$6:$I$71,MATCH($B1977,SEMANAS!$B$6:$B$71,0)),0)</f>
        <v>27.09</v>
      </c>
      <c r="V1977" s="18" t="n">
        <f aca="false">IFERROR(INDEX(SEMANAS!$J$6:$J$71,MATCH($B1977,SEMANAS!$B$6:$B$71,0)),0)</f>
        <v>21.672</v>
      </c>
      <c r="W1977" s="18" t="n">
        <f aca="false">MAX(0,$T1977-$V1977)</f>
        <v>21.84</v>
      </c>
      <c r="X1977" s="19" t="n">
        <f aca="false">IFERROR(INDEX(CADASTRO_PIVOS!$K$6:$K$41,MATCH($E1977,CADASTRO_PIVOS!$B$6:$B$41,0)),EFICIENCIA_PADRAO)</f>
        <v>0.85</v>
      </c>
      <c r="Y1977" s="18" t="n">
        <f aca="false">IF($X1977&lt;=0,0,$W1977/$X1977)</f>
        <v>25.6941176470588</v>
      </c>
      <c r="Z1977" s="16" t="n">
        <f aca="false">$Y1977*$H1977*MM_PARA_M3_HA</f>
        <v>35956.3482352941</v>
      </c>
      <c r="AA1977" s="18" t="n">
        <f aca="false">IFERROR(INDEX(CADASTRO_PIVOS!$I$6:$I$41,MATCH($E1977,CADASTRO_PIVOS!$B$6:$B$41,0)),0)</f>
        <v>932.933333333333</v>
      </c>
      <c r="AB1977" s="18" t="n">
        <f aca="false">IF($Z1977&lt;=0,0,$Z1977/$AA1977)</f>
        <v>38.5411764705882</v>
      </c>
      <c r="AC1977" s="16" t="n">
        <f aca="false">IFERROR(INDEX(SEMANAS!$K$6:$K$71,MATCH($B1977,SEMANAS!$B$6:$B$71,0)),0)</f>
        <v>147</v>
      </c>
      <c r="AD1977" s="19" t="n">
        <f aca="false">IF($AC1977&lt;=0,0,$AB1977/$AC1977)</f>
        <v>0.26218487394958</v>
      </c>
      <c r="AE1977" s="8" t="str">
        <f aca="false">IF($K1977="SEM CULTURA","SEM CULTURA",IF($AA1977&lt;=0,"DADO PENDENTE",IF($AD1977&gt;LIMITE_CRITICO,"INVIAVEL",IF($AD1977&gt;LIMITE_ATENCAO,"CRITICO",IF($AD1977&gt;LIMITE_CONFORTAVEL,"ATENCAO","OK")))))</f>
        <v>OK</v>
      </c>
      <c r="AF1977" s="8" t="str">
        <f aca="false">$B1977&amp;"|"&amp;TEXT($AD1977,"0.000000")</f>
        <v>58|0.262185</v>
      </c>
      <c r="AG1977" s="18" t="n">
        <f aca="false">IF($K1977="SEM CULTURA",0,$T1977*$H1977)</f>
        <v>6089.06928</v>
      </c>
      <c r="AH1977" s="18" t="n">
        <f aca="false">IF($K1977="SEM CULTURA",0,$V1977*$H1977)</f>
        <v>3032.77968</v>
      </c>
      <c r="AI1977" s="18" t="n">
        <f aca="false">IF($K1977="SEM CULTURA",0,$W1977*$H1977)</f>
        <v>3056.2896</v>
      </c>
      <c r="AJ1977" s="18" t="n">
        <f aca="false">IF($K1977="SEM CULTURA",0,$S1977*$H1977)</f>
        <v>5485.648</v>
      </c>
      <c r="AK1977" s="8" t="str">
        <f aca="false">$E1977&amp;"|"&amp;TEXT($AD1977,"0.000000")</f>
        <v>PV 126|0.262185</v>
      </c>
    </row>
    <row r="1978" customFormat="false" ht="15" hidden="false" customHeight="false" outlineLevel="0" collapsed="false">
      <c r="B1978" s="16" t="n">
        <v>59</v>
      </c>
      <c r="C1978" s="17" t="n">
        <f aca="false">DATA_INICIO_SAFRA+($B1978-1)*DIAS_POR_SEMANA</f>
        <v>46671</v>
      </c>
      <c r="D1978" s="17" t="n">
        <f aca="false">$C1978+DIAS_POR_SEMANA-1</f>
        <v>46677</v>
      </c>
      <c r="E1978" s="15" t="s">
        <v>288</v>
      </c>
      <c r="F1978" s="8" t="str">
        <f aca="false">IFERROR(INDEX(CADASTRO_PIVOS!$C$6:$C$41,MATCH($E1978,CADASTRO_PIVOS!$B$6:$B$41,0)),"?")</f>
        <v>RM07</v>
      </c>
      <c r="G1978" s="8" t="str">
        <f aca="false">IFERROR(INDEX(CADASTRO_PIVOS!$D$6:$D$41,MATCH($E1978,CADASTRO_PIVOS!$B$6:$B$41,0)),"?")</f>
        <v>TR07</v>
      </c>
      <c r="H1978" s="20" t="n">
        <f aca="false">IFERROR(INDEX(CADASTRO_PIVOS!$E$6:$E$41,MATCH($E1978,CADASTRO_PIVOS!$B$6:$B$41,0)),0)</f>
        <v>139.94</v>
      </c>
      <c r="I1978" s="16" t="n">
        <f aca="false">IFERROR(SUMIFS(ROTACAO_RDM!$B$6:$B$71,ROTACAO_RDM!$D$6:$D$71,$E1978,ROTACAO_RDM!$I$6:$I$71,"&lt;="&amp;$C1978+INT(DIAS_POR_SEMANA/2),ROTACAO_RDM!$J$6:$J$71,"&gt;="&amp;$C1978+INT(DIAS_POR_SEMANA/2)),0)</f>
        <v>50</v>
      </c>
      <c r="J1978" s="16" t="n">
        <f aca="false">IFERROR(MATCH($I1978,ROTACAO_RDM!$B$6:$B$71,0),0)</f>
        <v>50</v>
      </c>
      <c r="K1978" s="8" t="str">
        <f aca="false">IF($J1978=0,"SEM CULTURA",INDEX(ROTACAO_RDM!$F$6:$F$71,$J1978))</f>
        <v>MILHO_GRAO</v>
      </c>
      <c r="L1978" s="8" t="n">
        <f aca="false">IF($J1978=0,"",INDEX(ROTACAO_RDM!$G$6:$G$71,$J1978))</f>
        <v>0</v>
      </c>
      <c r="M1978" s="17" t="n">
        <f aca="false">IF($J1978=0,"",INDEX(ROTACAO_RDM!$I$6:$I$71,$J1978))</f>
        <v>46541</v>
      </c>
      <c r="N1978" s="16" t="n">
        <f aca="false">IF($J1978=0,0,MAX(0,$C1978+INT(DIAS_POR_SEMANA/2)-INDEX(ROTACAO_RDM!$I$6:$I$71,$J1978)))</f>
        <v>133</v>
      </c>
      <c r="O1978" s="19" t="n">
        <f aca="false">IF($J1978=0,0,MIN(1,$N1978/MAX(1,INDEX(ROTACAO_RDM!$K$6:$K$71,$J1978))))</f>
        <v>0.83125</v>
      </c>
      <c r="P1978" s="16" t="n">
        <f aca="false">IF($J1978=0,0,IFERROR(MATCH(INDEX(ROTACAO_RDM!$N$6:$N$71,$J1978),PARAMETROS_CULTURAS!$B$6:$B$28,0),0))</f>
        <v>8</v>
      </c>
      <c r="Q1978" s="8" t="str">
        <f aca="false">IF($P1978=0,"-",IF($O1978&lt;=INDEX(PARAMETROS_CULTURAS!$F$6:$F$28,$P1978),"INICIAL",IF($O1978&lt;=INDEX(PARAMETROS_CULTURAS!$F$6:$F$28,$P1978)+INDEX(PARAMETROS_CULTURAS!$G$6:$G$28,$P1978),"DESENVOLVIMENTO",IF($O1978&lt;=INDEX(PARAMETROS_CULTURAS!$F$6:$F$28,$P1978)+INDEX(PARAMETROS_CULTURAS!$G$6:$G$28,$P1978)+INDEX(PARAMETROS_CULTURAS!$H$6:$H$28,$P1978),"MEDIA","FINAL"))))</f>
        <v>FINAL</v>
      </c>
      <c r="R1978" s="24" t="n">
        <f aca="false">IF($P1978=0,0,IF($O1978&lt;=INDEX(PARAMETROS_CULTURAS!$F$6:$F$28,$P1978),INDEX(PARAMETROS_CULTURAS!$K$6:$K$28,$P1978),IF($O1978&lt;=INDEX(PARAMETROS_CULTURAS!$F$6:$F$28,$P1978)+INDEX(PARAMETROS_CULTURAS!$G$6:$G$28,$P1978),INDEX(PARAMETROS_CULTURAS!$K$6:$K$28,$P1978)+(INDEX(PARAMETROS_CULTURAS!$L$6:$L$28,$P1978)-INDEX(PARAMETROS_CULTURAS!$K$6:$K$28,$P1978))*($O1978-INDEX(PARAMETROS_CULTURAS!$F$6:$F$28,$P1978))/MAX(INDEX(PARAMETROS_CULTURAS!$G$6:$G$28,$P1978),0.0001),IF($O1978&lt;=INDEX(PARAMETROS_CULTURAS!$F$6:$F$28,$P1978)+INDEX(PARAMETROS_CULTURAS!$G$6:$G$28,$P1978)+INDEX(PARAMETROS_CULTURAS!$H$6:$H$28,$P1978),INDEX(PARAMETROS_CULTURAS!$L$6:$L$28,$P1978),INDEX(PARAMETROS_CULTURAS!$L$6:$L$28,$P1978)+(INDEX(PARAMETROS_CULTURAS!$M$6:$M$28,$P1978)-INDEX(PARAMETROS_CULTURAS!$L$6:$L$28,$P1978))*($O1978-INDEX(PARAMETROS_CULTURAS!$F$6:$F$28,$P1978)-INDEX(PARAMETROS_CULTURAS!$G$6:$G$28,$P1978)-INDEX(PARAMETROS_CULTURAS!$H$6:$H$28,$P1978))/MAX(INDEX(PARAMETROS_CULTURAS!$I$6:$I$28,$P1978),0.0001)))))</f>
        <v>1.005</v>
      </c>
      <c r="S1978" s="18" t="n">
        <f aca="false">IFERROR(INDEX(SEMANAS!$H$6:$H$71,MATCH($B1978,SEMANAS!$B$6:$B$71,0)),0)</f>
        <v>39.2</v>
      </c>
      <c r="T1978" s="18" t="n">
        <f aca="false">$R1978*$S1978</f>
        <v>39.396</v>
      </c>
      <c r="U1978" s="18" t="n">
        <f aca="false">IFERROR(INDEX(SEMANAS!$I$6:$I$71,MATCH($B1978,SEMANAS!$B$6:$B$71,0)),0)</f>
        <v>27.09</v>
      </c>
      <c r="V1978" s="18" t="n">
        <f aca="false">IFERROR(INDEX(SEMANAS!$J$6:$J$71,MATCH($B1978,SEMANAS!$B$6:$B$71,0)),0)</f>
        <v>21.672</v>
      </c>
      <c r="W1978" s="18" t="n">
        <f aca="false">MAX(0,$T1978-$V1978)</f>
        <v>17.724</v>
      </c>
      <c r="X1978" s="19" t="n">
        <f aca="false">IFERROR(INDEX(CADASTRO_PIVOS!$K$6:$K$41,MATCH($E1978,CADASTRO_PIVOS!$B$6:$B$41,0)),EFICIENCIA_PADRAO)</f>
        <v>0.85</v>
      </c>
      <c r="Y1978" s="18" t="n">
        <f aca="false">IF($X1978&lt;=0,0,$W1978/$X1978)</f>
        <v>20.8517647058823</v>
      </c>
      <c r="Z1978" s="16" t="n">
        <f aca="false">$Y1978*$H1978*MM_PARA_M3_HA</f>
        <v>29179.9595294117</v>
      </c>
      <c r="AA1978" s="18" t="n">
        <f aca="false">IFERROR(INDEX(CADASTRO_PIVOS!$I$6:$I$41,MATCH($E1978,CADASTRO_PIVOS!$B$6:$B$41,0)),0)</f>
        <v>932.933333333333</v>
      </c>
      <c r="AB1978" s="18" t="n">
        <f aca="false">IF($Z1978&lt;=0,0,$Z1978/$AA1978)</f>
        <v>31.2776470588235</v>
      </c>
      <c r="AC1978" s="16" t="n">
        <f aca="false">IFERROR(INDEX(SEMANAS!$K$6:$K$71,MATCH($B1978,SEMANAS!$B$6:$B$71,0)),0)</f>
        <v>147</v>
      </c>
      <c r="AD1978" s="19" t="n">
        <f aca="false">IF($AC1978&lt;=0,0,$AB1978/$AC1978)</f>
        <v>0.212773109243697</v>
      </c>
      <c r="AE1978" s="8" t="str">
        <f aca="false">IF($K1978="SEM CULTURA","SEM CULTURA",IF($AA1978&lt;=0,"DADO PENDENTE",IF($AD1978&gt;LIMITE_CRITICO,"INVIAVEL",IF($AD1978&gt;LIMITE_ATENCAO,"CRITICO",IF($AD1978&gt;LIMITE_CONFORTAVEL,"ATENCAO","OK")))))</f>
        <v>OK</v>
      </c>
      <c r="AF1978" s="8" t="str">
        <f aca="false">$B1978&amp;"|"&amp;TEXT($AD1978,"0.000000")</f>
        <v>59|0.212773</v>
      </c>
      <c r="AG1978" s="18" t="n">
        <f aca="false">IF($K1978="SEM CULTURA",0,$T1978*$H1978)</f>
        <v>5513.07624</v>
      </c>
      <c r="AH1978" s="18" t="n">
        <f aca="false">IF($K1978="SEM CULTURA",0,$V1978*$H1978)</f>
        <v>3032.77968</v>
      </c>
      <c r="AI1978" s="18" t="n">
        <f aca="false">IF($K1978="SEM CULTURA",0,$W1978*$H1978)</f>
        <v>2480.29656</v>
      </c>
      <c r="AJ1978" s="18" t="n">
        <f aca="false">IF($K1978="SEM CULTURA",0,$S1978*$H1978)</f>
        <v>5485.648</v>
      </c>
      <c r="AK1978" s="8" t="str">
        <f aca="false">$E1978&amp;"|"&amp;TEXT($AD1978,"0.000000")</f>
        <v>PV 126|0.212773</v>
      </c>
    </row>
    <row r="1979" customFormat="false" ht="15" hidden="false" customHeight="false" outlineLevel="0" collapsed="false">
      <c r="B1979" s="16" t="n">
        <v>60</v>
      </c>
      <c r="C1979" s="17" t="n">
        <f aca="false">DATA_INICIO_SAFRA+($B1979-1)*DIAS_POR_SEMANA</f>
        <v>46678</v>
      </c>
      <c r="D1979" s="17" t="n">
        <f aca="false">$C1979+DIAS_POR_SEMANA-1</f>
        <v>46684</v>
      </c>
      <c r="E1979" s="15" t="s">
        <v>288</v>
      </c>
      <c r="F1979" s="8" t="str">
        <f aca="false">IFERROR(INDEX(CADASTRO_PIVOS!$C$6:$C$41,MATCH($E1979,CADASTRO_PIVOS!$B$6:$B$41,0)),"?")</f>
        <v>RM07</v>
      </c>
      <c r="G1979" s="8" t="str">
        <f aca="false">IFERROR(INDEX(CADASTRO_PIVOS!$D$6:$D$41,MATCH($E1979,CADASTRO_PIVOS!$B$6:$B$41,0)),"?")</f>
        <v>TR07</v>
      </c>
      <c r="H1979" s="20" t="n">
        <f aca="false">IFERROR(INDEX(CADASTRO_PIVOS!$E$6:$E$41,MATCH($E1979,CADASTRO_PIVOS!$B$6:$B$41,0)),0)</f>
        <v>139.94</v>
      </c>
      <c r="I1979" s="16" t="n">
        <f aca="false">IFERROR(SUMIFS(ROTACAO_RDM!$B$6:$B$71,ROTACAO_RDM!$D$6:$D$71,$E1979,ROTACAO_RDM!$I$6:$I$71,"&lt;="&amp;$C1979+INT(DIAS_POR_SEMANA/2),ROTACAO_RDM!$J$6:$J$71,"&gt;="&amp;$C1979+INT(DIAS_POR_SEMANA/2)),0)</f>
        <v>50</v>
      </c>
      <c r="J1979" s="16" t="n">
        <f aca="false">IFERROR(MATCH($I1979,ROTACAO_RDM!$B$6:$B$71,0),0)</f>
        <v>50</v>
      </c>
      <c r="K1979" s="8" t="str">
        <f aca="false">IF($J1979=0,"SEM CULTURA",INDEX(ROTACAO_RDM!$F$6:$F$71,$J1979))</f>
        <v>MILHO_GRAO</v>
      </c>
      <c r="L1979" s="8" t="n">
        <f aca="false">IF($J1979=0,"",INDEX(ROTACAO_RDM!$G$6:$G$71,$J1979))</f>
        <v>0</v>
      </c>
      <c r="M1979" s="17" t="n">
        <f aca="false">IF($J1979=0,"",INDEX(ROTACAO_RDM!$I$6:$I$71,$J1979))</f>
        <v>46541</v>
      </c>
      <c r="N1979" s="16" t="n">
        <f aca="false">IF($J1979=0,0,MAX(0,$C1979+INT(DIAS_POR_SEMANA/2)-INDEX(ROTACAO_RDM!$I$6:$I$71,$J1979)))</f>
        <v>140</v>
      </c>
      <c r="O1979" s="19" t="n">
        <f aca="false">IF($J1979=0,0,MIN(1,$N1979/MAX(1,INDEX(ROTACAO_RDM!$K$6:$K$71,$J1979))))</f>
        <v>0.875</v>
      </c>
      <c r="P1979" s="16" t="n">
        <f aca="false">IF($J1979=0,0,IFERROR(MATCH(INDEX(ROTACAO_RDM!$N$6:$N$71,$J1979),PARAMETROS_CULTURAS!$B$6:$B$28,0),0))</f>
        <v>8</v>
      </c>
      <c r="Q1979" s="8" t="str">
        <f aca="false">IF($P1979=0,"-",IF($O1979&lt;=INDEX(PARAMETROS_CULTURAS!$F$6:$F$28,$P1979),"INICIAL",IF($O1979&lt;=INDEX(PARAMETROS_CULTURAS!$F$6:$F$28,$P1979)+INDEX(PARAMETROS_CULTURAS!$G$6:$G$28,$P1979),"DESENVOLVIMENTO",IF($O1979&lt;=INDEX(PARAMETROS_CULTURAS!$F$6:$F$28,$P1979)+INDEX(PARAMETROS_CULTURAS!$G$6:$G$28,$P1979)+INDEX(PARAMETROS_CULTURAS!$H$6:$H$28,$P1979),"MEDIA","FINAL"))))</f>
        <v>FINAL</v>
      </c>
      <c r="R1979" s="24" t="n">
        <f aca="false">IF($P1979=0,0,IF($O1979&lt;=INDEX(PARAMETROS_CULTURAS!$F$6:$F$28,$P1979),INDEX(PARAMETROS_CULTURAS!$K$6:$K$28,$P1979),IF($O1979&lt;=INDEX(PARAMETROS_CULTURAS!$F$6:$F$28,$P1979)+INDEX(PARAMETROS_CULTURAS!$G$6:$G$28,$P1979),INDEX(PARAMETROS_CULTURAS!$K$6:$K$28,$P1979)+(INDEX(PARAMETROS_CULTURAS!$L$6:$L$28,$P1979)-INDEX(PARAMETROS_CULTURAS!$K$6:$K$28,$P1979))*($O1979-INDEX(PARAMETROS_CULTURAS!$F$6:$F$28,$P1979))/MAX(INDEX(PARAMETROS_CULTURAS!$G$6:$G$28,$P1979),0.0001),IF($O1979&lt;=INDEX(PARAMETROS_CULTURAS!$F$6:$F$28,$P1979)+INDEX(PARAMETROS_CULTURAS!$G$6:$G$28,$P1979)+INDEX(PARAMETROS_CULTURAS!$H$6:$H$28,$P1979),INDEX(PARAMETROS_CULTURAS!$L$6:$L$28,$P1979),INDEX(PARAMETROS_CULTURAS!$L$6:$L$28,$P1979)+(INDEX(PARAMETROS_CULTURAS!$M$6:$M$28,$P1979)-INDEX(PARAMETROS_CULTURAS!$L$6:$L$28,$P1979))*($O1979-INDEX(PARAMETROS_CULTURAS!$F$6:$F$28,$P1979)-INDEX(PARAMETROS_CULTURAS!$G$6:$G$28,$P1979)-INDEX(PARAMETROS_CULTURAS!$H$6:$H$28,$P1979))/MAX(INDEX(PARAMETROS_CULTURAS!$I$6:$I$28,$P1979),0.0001)))))</f>
        <v>0.9</v>
      </c>
      <c r="S1979" s="18" t="n">
        <f aca="false">IFERROR(INDEX(SEMANAS!$H$6:$H$71,MATCH($B1979,SEMANAS!$B$6:$B$71,0)),0)</f>
        <v>39.2</v>
      </c>
      <c r="T1979" s="18" t="n">
        <f aca="false">$R1979*$S1979</f>
        <v>35.28</v>
      </c>
      <c r="U1979" s="18" t="n">
        <f aca="false">IFERROR(INDEX(SEMANAS!$I$6:$I$71,MATCH($B1979,SEMANAS!$B$6:$B$71,0)),0)</f>
        <v>27.09</v>
      </c>
      <c r="V1979" s="18" t="n">
        <f aca="false">IFERROR(INDEX(SEMANAS!$J$6:$J$71,MATCH($B1979,SEMANAS!$B$6:$B$71,0)),0)</f>
        <v>21.672</v>
      </c>
      <c r="W1979" s="18" t="n">
        <f aca="false">MAX(0,$T1979-$V1979)</f>
        <v>13.608</v>
      </c>
      <c r="X1979" s="19" t="n">
        <f aca="false">IFERROR(INDEX(CADASTRO_PIVOS!$K$6:$K$41,MATCH($E1979,CADASTRO_PIVOS!$B$6:$B$41,0)),EFICIENCIA_PADRAO)</f>
        <v>0.85</v>
      </c>
      <c r="Y1979" s="18" t="n">
        <f aca="false">IF($X1979&lt;=0,0,$W1979/$X1979)</f>
        <v>16.0094117647059</v>
      </c>
      <c r="Z1979" s="16" t="n">
        <f aca="false">$Y1979*$H1979*MM_PARA_M3_HA</f>
        <v>22403.5708235294</v>
      </c>
      <c r="AA1979" s="18" t="n">
        <f aca="false">IFERROR(INDEX(CADASTRO_PIVOS!$I$6:$I$41,MATCH($E1979,CADASTRO_PIVOS!$B$6:$B$41,0)),0)</f>
        <v>932.933333333333</v>
      </c>
      <c r="AB1979" s="18" t="n">
        <f aca="false">IF($Z1979&lt;=0,0,$Z1979/$AA1979)</f>
        <v>24.0141176470588</v>
      </c>
      <c r="AC1979" s="16" t="n">
        <f aca="false">IFERROR(INDEX(SEMANAS!$K$6:$K$71,MATCH($B1979,SEMANAS!$B$6:$B$71,0)),0)</f>
        <v>147</v>
      </c>
      <c r="AD1979" s="19" t="n">
        <f aca="false">IF($AC1979&lt;=0,0,$AB1979/$AC1979)</f>
        <v>0.163361344537815</v>
      </c>
      <c r="AE1979" s="8" t="str">
        <f aca="false">IF($K1979="SEM CULTURA","SEM CULTURA",IF($AA1979&lt;=0,"DADO PENDENTE",IF($AD1979&gt;LIMITE_CRITICO,"INVIAVEL",IF($AD1979&gt;LIMITE_ATENCAO,"CRITICO",IF($AD1979&gt;LIMITE_CONFORTAVEL,"ATENCAO","OK")))))</f>
        <v>OK</v>
      </c>
      <c r="AF1979" s="8" t="str">
        <f aca="false">$B1979&amp;"|"&amp;TEXT($AD1979,"0.000000")</f>
        <v>60|0.163361</v>
      </c>
      <c r="AG1979" s="18" t="n">
        <f aca="false">IF($K1979="SEM CULTURA",0,$T1979*$H1979)</f>
        <v>4937.0832</v>
      </c>
      <c r="AH1979" s="18" t="n">
        <f aca="false">IF($K1979="SEM CULTURA",0,$V1979*$H1979)</f>
        <v>3032.77968</v>
      </c>
      <c r="AI1979" s="18" t="n">
        <f aca="false">IF($K1979="SEM CULTURA",0,$W1979*$H1979)</f>
        <v>1904.30352</v>
      </c>
      <c r="AJ1979" s="18" t="n">
        <f aca="false">IF($K1979="SEM CULTURA",0,$S1979*$H1979)</f>
        <v>5485.648</v>
      </c>
      <c r="AK1979" s="8" t="str">
        <f aca="false">$E1979&amp;"|"&amp;TEXT($AD1979,"0.000000")</f>
        <v>PV 126|0.163361</v>
      </c>
    </row>
    <row r="1980" customFormat="false" ht="15" hidden="false" customHeight="false" outlineLevel="0" collapsed="false">
      <c r="B1980" s="16" t="n">
        <v>61</v>
      </c>
      <c r="C1980" s="17" t="n">
        <f aca="false">DATA_INICIO_SAFRA+($B1980-1)*DIAS_POR_SEMANA</f>
        <v>46685</v>
      </c>
      <c r="D1980" s="17" t="n">
        <f aca="false">$C1980+DIAS_POR_SEMANA-1</f>
        <v>46691</v>
      </c>
      <c r="E1980" s="15" t="s">
        <v>288</v>
      </c>
      <c r="F1980" s="8" t="str">
        <f aca="false">IFERROR(INDEX(CADASTRO_PIVOS!$C$6:$C$41,MATCH($E1980,CADASTRO_PIVOS!$B$6:$B$41,0)),"?")</f>
        <v>RM07</v>
      </c>
      <c r="G1980" s="8" t="str">
        <f aca="false">IFERROR(INDEX(CADASTRO_PIVOS!$D$6:$D$41,MATCH($E1980,CADASTRO_PIVOS!$B$6:$B$41,0)),"?")</f>
        <v>TR07</v>
      </c>
      <c r="H1980" s="20" t="n">
        <f aca="false">IFERROR(INDEX(CADASTRO_PIVOS!$E$6:$E$41,MATCH($E1980,CADASTRO_PIVOS!$B$6:$B$41,0)),0)</f>
        <v>139.94</v>
      </c>
      <c r="I1980" s="16" t="n">
        <f aca="false">IFERROR(SUMIFS(ROTACAO_RDM!$B$6:$B$71,ROTACAO_RDM!$D$6:$D$71,$E1980,ROTACAO_RDM!$I$6:$I$71,"&lt;="&amp;$C1980+INT(DIAS_POR_SEMANA/2),ROTACAO_RDM!$J$6:$J$71,"&gt;="&amp;$C1980+INT(DIAS_POR_SEMANA/2)),0)</f>
        <v>50</v>
      </c>
      <c r="J1980" s="16" t="n">
        <f aca="false">IFERROR(MATCH($I1980,ROTACAO_RDM!$B$6:$B$71,0),0)</f>
        <v>50</v>
      </c>
      <c r="K1980" s="8" t="str">
        <f aca="false">IF($J1980=0,"SEM CULTURA",INDEX(ROTACAO_RDM!$F$6:$F$71,$J1980))</f>
        <v>MILHO_GRAO</v>
      </c>
      <c r="L1980" s="8" t="n">
        <f aca="false">IF($J1980=0,"",INDEX(ROTACAO_RDM!$G$6:$G$71,$J1980))</f>
        <v>0</v>
      </c>
      <c r="M1980" s="17" t="n">
        <f aca="false">IF($J1980=0,"",INDEX(ROTACAO_RDM!$I$6:$I$71,$J1980))</f>
        <v>46541</v>
      </c>
      <c r="N1980" s="16" t="n">
        <f aca="false">IF($J1980=0,0,MAX(0,$C1980+INT(DIAS_POR_SEMANA/2)-INDEX(ROTACAO_RDM!$I$6:$I$71,$J1980)))</f>
        <v>147</v>
      </c>
      <c r="O1980" s="19" t="n">
        <f aca="false">IF($J1980=0,0,MIN(1,$N1980/MAX(1,INDEX(ROTACAO_RDM!$K$6:$K$71,$J1980))))</f>
        <v>0.91875</v>
      </c>
      <c r="P1980" s="16" t="n">
        <f aca="false">IF($J1980=0,0,IFERROR(MATCH(INDEX(ROTACAO_RDM!$N$6:$N$71,$J1980),PARAMETROS_CULTURAS!$B$6:$B$28,0),0))</f>
        <v>8</v>
      </c>
      <c r="Q1980" s="8" t="str">
        <f aca="false">IF($P1980=0,"-",IF($O1980&lt;=INDEX(PARAMETROS_CULTURAS!$F$6:$F$28,$P1980),"INICIAL",IF($O1980&lt;=INDEX(PARAMETROS_CULTURAS!$F$6:$F$28,$P1980)+INDEX(PARAMETROS_CULTURAS!$G$6:$G$28,$P1980),"DESENVOLVIMENTO",IF($O1980&lt;=INDEX(PARAMETROS_CULTURAS!$F$6:$F$28,$P1980)+INDEX(PARAMETROS_CULTURAS!$G$6:$G$28,$P1980)+INDEX(PARAMETROS_CULTURAS!$H$6:$H$28,$P1980),"MEDIA","FINAL"))))</f>
        <v>FINAL</v>
      </c>
      <c r="R1980" s="24" t="n">
        <f aca="false">IF($P1980=0,0,IF($O1980&lt;=INDEX(PARAMETROS_CULTURAS!$F$6:$F$28,$P1980),INDEX(PARAMETROS_CULTURAS!$K$6:$K$28,$P1980),IF($O1980&lt;=INDEX(PARAMETROS_CULTURAS!$F$6:$F$28,$P1980)+INDEX(PARAMETROS_CULTURAS!$G$6:$G$28,$P1980),INDEX(PARAMETROS_CULTURAS!$K$6:$K$28,$P1980)+(INDEX(PARAMETROS_CULTURAS!$L$6:$L$28,$P1980)-INDEX(PARAMETROS_CULTURAS!$K$6:$K$28,$P1980))*($O1980-INDEX(PARAMETROS_CULTURAS!$F$6:$F$28,$P1980))/MAX(INDEX(PARAMETROS_CULTURAS!$G$6:$G$28,$P1980),0.0001),IF($O1980&lt;=INDEX(PARAMETROS_CULTURAS!$F$6:$F$28,$P1980)+INDEX(PARAMETROS_CULTURAS!$G$6:$G$28,$P1980)+INDEX(PARAMETROS_CULTURAS!$H$6:$H$28,$P1980),INDEX(PARAMETROS_CULTURAS!$L$6:$L$28,$P1980),INDEX(PARAMETROS_CULTURAS!$L$6:$L$28,$P1980)+(INDEX(PARAMETROS_CULTURAS!$M$6:$M$28,$P1980)-INDEX(PARAMETROS_CULTURAS!$L$6:$L$28,$P1980))*($O1980-INDEX(PARAMETROS_CULTURAS!$F$6:$F$28,$P1980)-INDEX(PARAMETROS_CULTURAS!$G$6:$G$28,$P1980)-INDEX(PARAMETROS_CULTURAS!$H$6:$H$28,$P1980))/MAX(INDEX(PARAMETROS_CULTURAS!$I$6:$I$28,$P1980),0.0001)))))</f>
        <v>0.795</v>
      </c>
      <c r="S1980" s="18" t="n">
        <f aca="false">IFERROR(INDEX(SEMANAS!$H$6:$H$71,MATCH($B1980,SEMANAS!$B$6:$B$71,0)),0)</f>
        <v>39.2</v>
      </c>
      <c r="T1980" s="18" t="n">
        <f aca="false">$R1980*$S1980</f>
        <v>31.164</v>
      </c>
      <c r="U1980" s="18" t="n">
        <f aca="false">IFERROR(INDEX(SEMANAS!$I$6:$I$71,MATCH($B1980,SEMANAS!$B$6:$B$71,0)),0)</f>
        <v>27.09</v>
      </c>
      <c r="V1980" s="18" t="n">
        <f aca="false">IFERROR(INDEX(SEMANAS!$J$6:$J$71,MATCH($B1980,SEMANAS!$B$6:$B$71,0)),0)</f>
        <v>21.672</v>
      </c>
      <c r="W1980" s="18" t="n">
        <f aca="false">MAX(0,$T1980-$V1980)</f>
        <v>9.49199999999999</v>
      </c>
      <c r="X1980" s="19" t="n">
        <f aca="false">IFERROR(INDEX(CADASTRO_PIVOS!$K$6:$K$41,MATCH($E1980,CADASTRO_PIVOS!$B$6:$B$41,0)),EFICIENCIA_PADRAO)</f>
        <v>0.85</v>
      </c>
      <c r="Y1980" s="18" t="n">
        <f aca="false">IF($X1980&lt;=0,0,$W1980/$X1980)</f>
        <v>11.1670588235294</v>
      </c>
      <c r="Z1980" s="16" t="n">
        <f aca="false">$Y1980*$H1980*MM_PARA_M3_HA</f>
        <v>15627.1821176471</v>
      </c>
      <c r="AA1980" s="18" t="n">
        <f aca="false">IFERROR(INDEX(CADASTRO_PIVOS!$I$6:$I$41,MATCH($E1980,CADASTRO_PIVOS!$B$6:$B$41,0)),0)</f>
        <v>932.933333333333</v>
      </c>
      <c r="AB1980" s="18" t="n">
        <f aca="false">IF($Z1980&lt;=0,0,$Z1980/$AA1980)</f>
        <v>16.7505882352941</v>
      </c>
      <c r="AC1980" s="16" t="n">
        <f aca="false">IFERROR(INDEX(SEMANAS!$K$6:$K$71,MATCH($B1980,SEMANAS!$B$6:$B$71,0)),0)</f>
        <v>147</v>
      </c>
      <c r="AD1980" s="19" t="n">
        <f aca="false">IF($AC1980&lt;=0,0,$AB1980/$AC1980)</f>
        <v>0.113949579831933</v>
      </c>
      <c r="AE1980" s="8" t="str">
        <f aca="false">IF($K1980="SEM CULTURA","SEM CULTURA",IF($AA1980&lt;=0,"DADO PENDENTE",IF($AD1980&gt;LIMITE_CRITICO,"INVIAVEL",IF($AD1980&gt;LIMITE_ATENCAO,"CRITICO",IF($AD1980&gt;LIMITE_CONFORTAVEL,"ATENCAO","OK")))))</f>
        <v>OK</v>
      </c>
      <c r="AF1980" s="8" t="str">
        <f aca="false">$B1980&amp;"|"&amp;TEXT($AD1980,"0.000000")</f>
        <v>61|0.113950</v>
      </c>
      <c r="AG1980" s="18" t="n">
        <f aca="false">IF($K1980="SEM CULTURA",0,$T1980*$H1980)</f>
        <v>4361.09016</v>
      </c>
      <c r="AH1980" s="18" t="n">
        <f aca="false">IF($K1980="SEM CULTURA",0,$V1980*$H1980)</f>
        <v>3032.77968</v>
      </c>
      <c r="AI1980" s="18" t="n">
        <f aca="false">IF($K1980="SEM CULTURA",0,$W1980*$H1980)</f>
        <v>1328.31048</v>
      </c>
      <c r="AJ1980" s="18" t="n">
        <f aca="false">IF($K1980="SEM CULTURA",0,$S1980*$H1980)</f>
        <v>5485.648</v>
      </c>
      <c r="AK1980" s="8" t="str">
        <f aca="false">$E1980&amp;"|"&amp;TEXT($AD1980,"0.000000")</f>
        <v>PV 126|0.113950</v>
      </c>
    </row>
    <row r="1981" customFormat="false" ht="15" hidden="false" customHeight="false" outlineLevel="0" collapsed="false">
      <c r="B1981" s="16" t="n">
        <v>62</v>
      </c>
      <c r="C1981" s="17" t="n">
        <f aca="false">DATA_INICIO_SAFRA+($B1981-1)*DIAS_POR_SEMANA</f>
        <v>46692</v>
      </c>
      <c r="D1981" s="17" t="n">
        <f aca="false">$C1981+DIAS_POR_SEMANA-1</f>
        <v>46698</v>
      </c>
      <c r="E1981" s="15" t="s">
        <v>288</v>
      </c>
      <c r="F1981" s="8" t="str">
        <f aca="false">IFERROR(INDEX(CADASTRO_PIVOS!$C$6:$C$41,MATCH($E1981,CADASTRO_PIVOS!$B$6:$B$41,0)),"?")</f>
        <v>RM07</v>
      </c>
      <c r="G1981" s="8" t="str">
        <f aca="false">IFERROR(INDEX(CADASTRO_PIVOS!$D$6:$D$41,MATCH($E1981,CADASTRO_PIVOS!$B$6:$B$41,0)),"?")</f>
        <v>TR07</v>
      </c>
      <c r="H1981" s="20" t="n">
        <f aca="false">IFERROR(INDEX(CADASTRO_PIVOS!$E$6:$E$41,MATCH($E1981,CADASTRO_PIVOS!$B$6:$B$41,0)),0)</f>
        <v>139.94</v>
      </c>
      <c r="I1981" s="16" t="n">
        <f aca="false">IFERROR(SUMIFS(ROTACAO_RDM!$B$6:$B$71,ROTACAO_RDM!$D$6:$D$71,$E1981,ROTACAO_RDM!$I$6:$I$71,"&lt;="&amp;$C1981+INT(DIAS_POR_SEMANA/2),ROTACAO_RDM!$J$6:$J$71,"&gt;="&amp;$C1981+INT(DIAS_POR_SEMANA/2)),0)</f>
        <v>50</v>
      </c>
      <c r="J1981" s="16" t="n">
        <f aca="false">IFERROR(MATCH($I1981,ROTACAO_RDM!$B$6:$B$71,0),0)</f>
        <v>50</v>
      </c>
      <c r="K1981" s="8" t="str">
        <f aca="false">IF($J1981=0,"SEM CULTURA",INDEX(ROTACAO_RDM!$F$6:$F$71,$J1981))</f>
        <v>MILHO_GRAO</v>
      </c>
      <c r="L1981" s="8" t="n">
        <f aca="false">IF($J1981=0,"",INDEX(ROTACAO_RDM!$G$6:$G$71,$J1981))</f>
        <v>0</v>
      </c>
      <c r="M1981" s="17" t="n">
        <f aca="false">IF($J1981=0,"",INDEX(ROTACAO_RDM!$I$6:$I$71,$J1981))</f>
        <v>46541</v>
      </c>
      <c r="N1981" s="16" t="n">
        <f aca="false">IF($J1981=0,0,MAX(0,$C1981+INT(DIAS_POR_SEMANA/2)-INDEX(ROTACAO_RDM!$I$6:$I$71,$J1981)))</f>
        <v>154</v>
      </c>
      <c r="O1981" s="19" t="n">
        <f aca="false">IF($J1981=0,0,MIN(1,$N1981/MAX(1,INDEX(ROTACAO_RDM!$K$6:$K$71,$J1981))))</f>
        <v>0.9625</v>
      </c>
      <c r="P1981" s="16" t="n">
        <f aca="false">IF($J1981=0,0,IFERROR(MATCH(INDEX(ROTACAO_RDM!$N$6:$N$71,$J1981),PARAMETROS_CULTURAS!$B$6:$B$28,0),0))</f>
        <v>8</v>
      </c>
      <c r="Q1981" s="8" t="str">
        <f aca="false">IF($P1981=0,"-",IF($O1981&lt;=INDEX(PARAMETROS_CULTURAS!$F$6:$F$28,$P1981),"INICIAL",IF($O1981&lt;=INDEX(PARAMETROS_CULTURAS!$F$6:$F$28,$P1981)+INDEX(PARAMETROS_CULTURAS!$G$6:$G$28,$P1981),"DESENVOLVIMENTO",IF($O1981&lt;=INDEX(PARAMETROS_CULTURAS!$F$6:$F$28,$P1981)+INDEX(PARAMETROS_CULTURAS!$G$6:$G$28,$P1981)+INDEX(PARAMETROS_CULTURAS!$H$6:$H$28,$P1981),"MEDIA","FINAL"))))</f>
        <v>FINAL</v>
      </c>
      <c r="R1981" s="24" t="n">
        <f aca="false">IF($P1981=0,0,IF($O1981&lt;=INDEX(PARAMETROS_CULTURAS!$F$6:$F$28,$P1981),INDEX(PARAMETROS_CULTURAS!$K$6:$K$28,$P1981),IF($O1981&lt;=INDEX(PARAMETROS_CULTURAS!$F$6:$F$28,$P1981)+INDEX(PARAMETROS_CULTURAS!$G$6:$G$28,$P1981),INDEX(PARAMETROS_CULTURAS!$K$6:$K$28,$P1981)+(INDEX(PARAMETROS_CULTURAS!$L$6:$L$28,$P1981)-INDEX(PARAMETROS_CULTURAS!$K$6:$K$28,$P1981))*($O1981-INDEX(PARAMETROS_CULTURAS!$F$6:$F$28,$P1981))/MAX(INDEX(PARAMETROS_CULTURAS!$G$6:$G$28,$P1981),0.0001),IF($O1981&lt;=INDEX(PARAMETROS_CULTURAS!$F$6:$F$28,$P1981)+INDEX(PARAMETROS_CULTURAS!$G$6:$G$28,$P1981)+INDEX(PARAMETROS_CULTURAS!$H$6:$H$28,$P1981),INDEX(PARAMETROS_CULTURAS!$L$6:$L$28,$P1981),INDEX(PARAMETROS_CULTURAS!$L$6:$L$28,$P1981)+(INDEX(PARAMETROS_CULTURAS!$M$6:$M$28,$P1981)-INDEX(PARAMETROS_CULTURAS!$L$6:$L$28,$P1981))*($O1981-INDEX(PARAMETROS_CULTURAS!$F$6:$F$28,$P1981)-INDEX(PARAMETROS_CULTURAS!$G$6:$G$28,$P1981)-INDEX(PARAMETROS_CULTURAS!$H$6:$H$28,$P1981))/MAX(INDEX(PARAMETROS_CULTURAS!$I$6:$I$28,$P1981),0.0001)))))</f>
        <v>0.69</v>
      </c>
      <c r="S1981" s="18" t="n">
        <f aca="false">IFERROR(INDEX(SEMANAS!$H$6:$H$71,MATCH($B1981,SEMANAS!$B$6:$B$71,0)),0)</f>
        <v>34.3</v>
      </c>
      <c r="T1981" s="18" t="n">
        <f aca="false">$R1981*$S1981</f>
        <v>23.667</v>
      </c>
      <c r="U1981" s="18" t="n">
        <f aca="false">IFERROR(INDEX(SEMANAS!$I$6:$I$71,MATCH($B1981,SEMANAS!$B$6:$B$71,0)),0)</f>
        <v>46.69</v>
      </c>
      <c r="V1981" s="18" t="n">
        <f aca="false">IFERROR(INDEX(SEMANAS!$J$6:$J$71,MATCH($B1981,SEMANAS!$B$6:$B$71,0)),0)</f>
        <v>37.352</v>
      </c>
      <c r="W1981" s="18" t="n">
        <f aca="false">MAX(0,$T1981-$V1981)</f>
        <v>0</v>
      </c>
      <c r="X1981" s="19" t="n">
        <f aca="false">IFERROR(INDEX(CADASTRO_PIVOS!$K$6:$K$41,MATCH($E1981,CADASTRO_PIVOS!$B$6:$B$41,0)),EFICIENCIA_PADRAO)</f>
        <v>0.85</v>
      </c>
      <c r="Y1981" s="18" t="n">
        <f aca="false">IF($X1981&lt;=0,0,$W1981/$X1981)</f>
        <v>0</v>
      </c>
      <c r="Z1981" s="16" t="n">
        <f aca="false">$Y1981*$H1981*MM_PARA_M3_HA</f>
        <v>0</v>
      </c>
      <c r="AA1981" s="18" t="n">
        <f aca="false">IFERROR(INDEX(CADASTRO_PIVOS!$I$6:$I$41,MATCH($E1981,CADASTRO_PIVOS!$B$6:$B$41,0)),0)</f>
        <v>932.933333333333</v>
      </c>
      <c r="AB1981" s="18" t="n">
        <f aca="false">IF($Z1981&lt;=0,0,$Z1981/$AA1981)</f>
        <v>0</v>
      </c>
      <c r="AC1981" s="16" t="n">
        <f aca="false">IFERROR(INDEX(SEMANAS!$K$6:$K$71,MATCH($B1981,SEMANAS!$B$6:$B$71,0)),0)</f>
        <v>147</v>
      </c>
      <c r="AD1981" s="19" t="n">
        <f aca="false">IF($AC1981&lt;=0,0,$AB1981/$AC1981)</f>
        <v>0</v>
      </c>
      <c r="AE1981" s="8" t="str">
        <f aca="false">IF($K1981="SEM CULTURA","SEM CULTURA",IF($AA1981&lt;=0,"DADO PENDENTE",IF($AD1981&gt;LIMITE_CRITICO,"INVIAVEL",IF($AD1981&gt;LIMITE_ATENCAO,"CRITICO",IF($AD1981&gt;LIMITE_CONFORTAVEL,"ATENCAO","OK")))))</f>
        <v>OK</v>
      </c>
      <c r="AF1981" s="8" t="str">
        <f aca="false">$B1981&amp;"|"&amp;TEXT($AD1981,"0.000000")</f>
        <v>62|0.000000</v>
      </c>
      <c r="AG1981" s="18" t="n">
        <f aca="false">IF($K1981="SEM CULTURA",0,$T1981*$H1981)</f>
        <v>3311.95998</v>
      </c>
      <c r="AH1981" s="18" t="n">
        <f aca="false">IF($K1981="SEM CULTURA",0,$V1981*$H1981)</f>
        <v>5227.03888</v>
      </c>
      <c r="AI1981" s="18" t="n">
        <f aca="false">IF($K1981="SEM CULTURA",0,$W1981*$H1981)</f>
        <v>0</v>
      </c>
      <c r="AJ1981" s="18" t="n">
        <f aca="false">IF($K1981="SEM CULTURA",0,$S1981*$H1981)</f>
        <v>4799.942</v>
      </c>
      <c r="AK1981" s="8" t="str">
        <f aca="false">$E1981&amp;"|"&amp;TEXT($AD1981,"0.000000")</f>
        <v>PV 126|0.000000</v>
      </c>
    </row>
    <row r="1982" customFormat="false" ht="15" hidden="false" customHeight="false" outlineLevel="0" collapsed="false">
      <c r="B1982" s="16" t="n">
        <v>63</v>
      </c>
      <c r="C1982" s="17" t="n">
        <f aca="false">DATA_INICIO_SAFRA+($B1982-1)*DIAS_POR_SEMANA</f>
        <v>46699</v>
      </c>
      <c r="D1982" s="17" t="n">
        <f aca="false">$C1982+DIAS_POR_SEMANA-1</f>
        <v>46705</v>
      </c>
      <c r="E1982" s="15" t="s">
        <v>288</v>
      </c>
      <c r="F1982" s="8" t="str">
        <f aca="false">IFERROR(INDEX(CADASTRO_PIVOS!$C$6:$C$41,MATCH($E1982,CADASTRO_PIVOS!$B$6:$B$41,0)),"?")</f>
        <v>RM07</v>
      </c>
      <c r="G1982" s="8" t="str">
        <f aca="false">IFERROR(INDEX(CADASTRO_PIVOS!$D$6:$D$41,MATCH($E1982,CADASTRO_PIVOS!$B$6:$B$41,0)),"?")</f>
        <v>TR07</v>
      </c>
      <c r="H1982" s="20" t="n">
        <f aca="false">IFERROR(INDEX(CADASTRO_PIVOS!$E$6:$E$41,MATCH($E1982,CADASTRO_PIVOS!$B$6:$B$41,0)),0)</f>
        <v>139.94</v>
      </c>
      <c r="I1982" s="16" t="n">
        <f aca="false">IFERROR(SUMIFS(ROTACAO_RDM!$B$6:$B$71,ROTACAO_RDM!$D$6:$D$71,$E1982,ROTACAO_RDM!$I$6:$I$71,"&lt;="&amp;$C1982+INT(DIAS_POR_SEMANA/2),ROTACAO_RDM!$J$6:$J$71,"&gt;="&amp;$C1982+INT(DIAS_POR_SEMANA/2)),0)</f>
        <v>0</v>
      </c>
      <c r="J1982" s="16" t="n">
        <f aca="false">IFERROR(MATCH($I1982,ROTACAO_RDM!$B$6:$B$71,0),0)</f>
        <v>0</v>
      </c>
      <c r="K1982" s="8" t="str">
        <f aca="false">IF($J1982=0,"SEM CULTURA",INDEX(ROTACAO_RDM!$F$6:$F$71,$J1982))</f>
        <v>SEM CULTURA</v>
      </c>
      <c r="L1982" s="8" t="str">
        <f aca="false">IF($J1982=0,"",INDEX(ROTACAO_RDM!$G$6:$G$71,$J1982))</f>
        <v/>
      </c>
      <c r="M1982" s="17" t="str">
        <f aca="false">IF($J1982=0,"",INDEX(ROTACAO_RDM!$I$6:$I$71,$J1982))</f>
        <v/>
      </c>
      <c r="N1982" s="16" t="n">
        <f aca="false">IF($J1982=0,0,MAX(0,$C1982+INT(DIAS_POR_SEMANA/2)-INDEX(ROTACAO_RDM!$I$6:$I$71,$J1982)))</f>
        <v>0</v>
      </c>
      <c r="O1982" s="19" t="n">
        <f aca="false">IF($J1982=0,0,MIN(1,$N1982/MAX(1,INDEX(ROTACAO_RDM!$K$6:$K$71,$J1982))))</f>
        <v>0</v>
      </c>
      <c r="P1982" s="16" t="n">
        <f aca="false">IF($J1982=0,0,IFERROR(MATCH(INDEX(ROTACAO_RDM!$N$6:$N$71,$J1982),PARAMETROS_CULTURAS!$B$6:$B$28,0),0))</f>
        <v>0</v>
      </c>
      <c r="Q1982" s="8" t="str">
        <f aca="false">IF($P1982=0,"-",IF($O1982&lt;=INDEX(PARAMETROS_CULTURAS!$F$6:$F$28,$P1982),"INICIAL",IF($O1982&lt;=INDEX(PARAMETROS_CULTURAS!$F$6:$F$28,$P1982)+INDEX(PARAMETROS_CULTURAS!$G$6:$G$28,$P1982),"DESENVOLVIMENTO",IF($O1982&lt;=INDEX(PARAMETROS_CULTURAS!$F$6:$F$28,$P1982)+INDEX(PARAMETROS_CULTURAS!$G$6:$G$28,$P1982)+INDEX(PARAMETROS_CULTURAS!$H$6:$H$28,$P1982),"MEDIA","FINAL"))))</f>
        <v>-</v>
      </c>
      <c r="R1982" s="24" t="n">
        <f aca="false">IF($P1982=0,0,IF($O1982&lt;=INDEX(PARAMETROS_CULTURAS!$F$6:$F$28,$P1982),INDEX(PARAMETROS_CULTURAS!$K$6:$K$28,$P1982),IF($O1982&lt;=INDEX(PARAMETROS_CULTURAS!$F$6:$F$28,$P1982)+INDEX(PARAMETROS_CULTURAS!$G$6:$G$28,$P1982),INDEX(PARAMETROS_CULTURAS!$K$6:$K$28,$P1982)+(INDEX(PARAMETROS_CULTURAS!$L$6:$L$28,$P1982)-INDEX(PARAMETROS_CULTURAS!$K$6:$K$28,$P1982))*($O1982-INDEX(PARAMETROS_CULTURAS!$F$6:$F$28,$P1982))/MAX(INDEX(PARAMETROS_CULTURAS!$G$6:$G$28,$P1982),0.0001),IF($O1982&lt;=INDEX(PARAMETROS_CULTURAS!$F$6:$F$28,$P1982)+INDEX(PARAMETROS_CULTURAS!$G$6:$G$28,$P1982)+INDEX(PARAMETROS_CULTURAS!$H$6:$H$28,$P1982),INDEX(PARAMETROS_CULTURAS!$L$6:$L$28,$P1982),INDEX(PARAMETROS_CULTURAS!$L$6:$L$28,$P1982)+(INDEX(PARAMETROS_CULTURAS!$M$6:$M$28,$P1982)-INDEX(PARAMETROS_CULTURAS!$L$6:$L$28,$P1982))*($O1982-INDEX(PARAMETROS_CULTURAS!$F$6:$F$28,$P1982)-INDEX(PARAMETROS_CULTURAS!$G$6:$G$28,$P1982)-INDEX(PARAMETROS_CULTURAS!$H$6:$H$28,$P1982))/MAX(INDEX(PARAMETROS_CULTURAS!$I$6:$I$28,$P1982),0.0001)))))</f>
        <v>0</v>
      </c>
      <c r="S1982" s="18" t="n">
        <f aca="false">IFERROR(INDEX(SEMANAS!$H$6:$H$71,MATCH($B1982,SEMANAS!$B$6:$B$71,0)),0)</f>
        <v>34.3</v>
      </c>
      <c r="T1982" s="18" t="n">
        <f aca="false">$R1982*$S1982</f>
        <v>0</v>
      </c>
      <c r="U1982" s="18" t="n">
        <f aca="false">IFERROR(INDEX(SEMANAS!$I$6:$I$71,MATCH($B1982,SEMANAS!$B$6:$B$71,0)),0)</f>
        <v>46.69</v>
      </c>
      <c r="V1982" s="18" t="n">
        <f aca="false">IFERROR(INDEX(SEMANAS!$J$6:$J$71,MATCH($B1982,SEMANAS!$B$6:$B$71,0)),0)</f>
        <v>37.352</v>
      </c>
      <c r="W1982" s="18" t="n">
        <f aca="false">MAX(0,$T1982-$V1982)</f>
        <v>0</v>
      </c>
      <c r="X1982" s="19" t="n">
        <f aca="false">IFERROR(INDEX(CADASTRO_PIVOS!$K$6:$K$41,MATCH($E1982,CADASTRO_PIVOS!$B$6:$B$41,0)),EFICIENCIA_PADRAO)</f>
        <v>0.85</v>
      </c>
      <c r="Y1982" s="18" t="n">
        <f aca="false">IF($X1982&lt;=0,0,$W1982/$X1982)</f>
        <v>0</v>
      </c>
      <c r="Z1982" s="16" t="n">
        <f aca="false">$Y1982*$H1982*MM_PARA_M3_HA</f>
        <v>0</v>
      </c>
      <c r="AA1982" s="18" t="n">
        <f aca="false">IFERROR(INDEX(CADASTRO_PIVOS!$I$6:$I$41,MATCH($E1982,CADASTRO_PIVOS!$B$6:$B$41,0)),0)</f>
        <v>932.933333333333</v>
      </c>
      <c r="AB1982" s="18" t="n">
        <f aca="false">IF($Z1982&lt;=0,0,$Z1982/$AA1982)</f>
        <v>0</v>
      </c>
      <c r="AC1982" s="16" t="n">
        <f aca="false">IFERROR(INDEX(SEMANAS!$K$6:$K$71,MATCH($B1982,SEMANAS!$B$6:$B$71,0)),0)</f>
        <v>147</v>
      </c>
      <c r="AD1982" s="19" t="n">
        <f aca="false">IF($AC1982&lt;=0,0,$AB1982/$AC1982)</f>
        <v>0</v>
      </c>
      <c r="AE1982" s="8" t="str">
        <f aca="false">IF($K1982="SEM CULTURA","SEM CULTURA",IF($AA1982&lt;=0,"DADO PENDENTE",IF($AD1982&gt;LIMITE_CRITICO,"INVIAVEL",IF($AD1982&gt;LIMITE_ATENCAO,"CRITICO",IF($AD1982&gt;LIMITE_CONFORTAVEL,"ATENCAO","OK")))))</f>
        <v>SEM CULTURA</v>
      </c>
      <c r="AF1982" s="8" t="str">
        <f aca="false">$B1982&amp;"|"&amp;TEXT($AD1982,"0.000000")</f>
        <v>63|0.000000</v>
      </c>
      <c r="AG1982" s="18" t="n">
        <f aca="false">IF($K1982="SEM CULTURA",0,$T1982*$H1982)</f>
        <v>0</v>
      </c>
      <c r="AH1982" s="18" t="n">
        <f aca="false">IF($K1982="SEM CULTURA",0,$V1982*$H1982)</f>
        <v>0</v>
      </c>
      <c r="AI1982" s="18" t="n">
        <f aca="false">IF($K1982="SEM CULTURA",0,$W1982*$H1982)</f>
        <v>0</v>
      </c>
      <c r="AJ1982" s="18" t="n">
        <f aca="false">IF($K1982="SEM CULTURA",0,$S1982*$H1982)</f>
        <v>0</v>
      </c>
      <c r="AK1982" s="8" t="str">
        <f aca="false">$E1982&amp;"|"&amp;TEXT($AD1982,"0.000000")</f>
        <v>PV 126|0.000000</v>
      </c>
    </row>
    <row r="1983" customFormat="false" ht="15" hidden="false" customHeight="false" outlineLevel="0" collapsed="false">
      <c r="B1983" s="16" t="n">
        <v>64</v>
      </c>
      <c r="C1983" s="17" t="n">
        <f aca="false">DATA_INICIO_SAFRA+($B1983-1)*DIAS_POR_SEMANA</f>
        <v>46706</v>
      </c>
      <c r="D1983" s="17" t="n">
        <f aca="false">$C1983+DIAS_POR_SEMANA-1</f>
        <v>46712</v>
      </c>
      <c r="E1983" s="15" t="s">
        <v>288</v>
      </c>
      <c r="F1983" s="8" t="str">
        <f aca="false">IFERROR(INDEX(CADASTRO_PIVOS!$C$6:$C$41,MATCH($E1983,CADASTRO_PIVOS!$B$6:$B$41,0)),"?")</f>
        <v>RM07</v>
      </c>
      <c r="G1983" s="8" t="str">
        <f aca="false">IFERROR(INDEX(CADASTRO_PIVOS!$D$6:$D$41,MATCH($E1983,CADASTRO_PIVOS!$B$6:$B$41,0)),"?")</f>
        <v>TR07</v>
      </c>
      <c r="H1983" s="20" t="n">
        <f aca="false">IFERROR(INDEX(CADASTRO_PIVOS!$E$6:$E$41,MATCH($E1983,CADASTRO_PIVOS!$B$6:$B$41,0)),0)</f>
        <v>139.94</v>
      </c>
      <c r="I1983" s="16" t="n">
        <f aca="false">IFERROR(SUMIFS(ROTACAO_RDM!$B$6:$B$71,ROTACAO_RDM!$D$6:$D$71,$E1983,ROTACAO_RDM!$I$6:$I$71,"&lt;="&amp;$C1983+INT(DIAS_POR_SEMANA/2),ROTACAO_RDM!$J$6:$J$71,"&gt;="&amp;$C1983+INT(DIAS_POR_SEMANA/2)),0)</f>
        <v>0</v>
      </c>
      <c r="J1983" s="16" t="n">
        <f aca="false">IFERROR(MATCH($I1983,ROTACAO_RDM!$B$6:$B$71,0),0)</f>
        <v>0</v>
      </c>
      <c r="K1983" s="8" t="str">
        <f aca="false">IF($J1983=0,"SEM CULTURA",INDEX(ROTACAO_RDM!$F$6:$F$71,$J1983))</f>
        <v>SEM CULTURA</v>
      </c>
      <c r="L1983" s="8" t="str">
        <f aca="false">IF($J1983=0,"",INDEX(ROTACAO_RDM!$G$6:$G$71,$J1983))</f>
        <v/>
      </c>
      <c r="M1983" s="17" t="str">
        <f aca="false">IF($J1983=0,"",INDEX(ROTACAO_RDM!$I$6:$I$71,$J1983))</f>
        <v/>
      </c>
      <c r="N1983" s="16" t="n">
        <f aca="false">IF($J1983=0,0,MAX(0,$C1983+INT(DIAS_POR_SEMANA/2)-INDEX(ROTACAO_RDM!$I$6:$I$71,$J1983)))</f>
        <v>0</v>
      </c>
      <c r="O1983" s="19" t="n">
        <f aca="false">IF($J1983=0,0,MIN(1,$N1983/MAX(1,INDEX(ROTACAO_RDM!$K$6:$K$71,$J1983))))</f>
        <v>0</v>
      </c>
      <c r="P1983" s="16" t="n">
        <f aca="false">IF($J1983=0,0,IFERROR(MATCH(INDEX(ROTACAO_RDM!$N$6:$N$71,$J1983),PARAMETROS_CULTURAS!$B$6:$B$28,0),0))</f>
        <v>0</v>
      </c>
      <c r="Q1983" s="8" t="str">
        <f aca="false">IF($P1983=0,"-",IF($O1983&lt;=INDEX(PARAMETROS_CULTURAS!$F$6:$F$28,$P1983),"INICIAL",IF($O1983&lt;=INDEX(PARAMETROS_CULTURAS!$F$6:$F$28,$P1983)+INDEX(PARAMETROS_CULTURAS!$G$6:$G$28,$P1983),"DESENVOLVIMENTO",IF($O1983&lt;=INDEX(PARAMETROS_CULTURAS!$F$6:$F$28,$P1983)+INDEX(PARAMETROS_CULTURAS!$G$6:$G$28,$P1983)+INDEX(PARAMETROS_CULTURAS!$H$6:$H$28,$P1983),"MEDIA","FINAL"))))</f>
        <v>-</v>
      </c>
      <c r="R1983" s="24" t="n">
        <f aca="false">IF($P1983=0,0,IF($O1983&lt;=INDEX(PARAMETROS_CULTURAS!$F$6:$F$28,$P1983),INDEX(PARAMETROS_CULTURAS!$K$6:$K$28,$P1983),IF($O1983&lt;=INDEX(PARAMETROS_CULTURAS!$F$6:$F$28,$P1983)+INDEX(PARAMETROS_CULTURAS!$G$6:$G$28,$P1983),INDEX(PARAMETROS_CULTURAS!$K$6:$K$28,$P1983)+(INDEX(PARAMETROS_CULTURAS!$L$6:$L$28,$P1983)-INDEX(PARAMETROS_CULTURAS!$K$6:$K$28,$P1983))*($O1983-INDEX(PARAMETROS_CULTURAS!$F$6:$F$28,$P1983))/MAX(INDEX(PARAMETROS_CULTURAS!$G$6:$G$28,$P1983),0.0001),IF($O1983&lt;=INDEX(PARAMETROS_CULTURAS!$F$6:$F$28,$P1983)+INDEX(PARAMETROS_CULTURAS!$G$6:$G$28,$P1983)+INDEX(PARAMETROS_CULTURAS!$H$6:$H$28,$P1983),INDEX(PARAMETROS_CULTURAS!$L$6:$L$28,$P1983),INDEX(PARAMETROS_CULTURAS!$L$6:$L$28,$P1983)+(INDEX(PARAMETROS_CULTURAS!$M$6:$M$28,$P1983)-INDEX(PARAMETROS_CULTURAS!$L$6:$L$28,$P1983))*($O1983-INDEX(PARAMETROS_CULTURAS!$F$6:$F$28,$P1983)-INDEX(PARAMETROS_CULTURAS!$G$6:$G$28,$P1983)-INDEX(PARAMETROS_CULTURAS!$H$6:$H$28,$P1983))/MAX(INDEX(PARAMETROS_CULTURAS!$I$6:$I$28,$P1983),0.0001)))))</f>
        <v>0</v>
      </c>
      <c r="S1983" s="18" t="n">
        <f aca="false">IFERROR(INDEX(SEMANAS!$H$6:$H$71,MATCH($B1983,SEMANAS!$B$6:$B$71,0)),0)</f>
        <v>34.3</v>
      </c>
      <c r="T1983" s="18" t="n">
        <f aca="false">$R1983*$S1983</f>
        <v>0</v>
      </c>
      <c r="U1983" s="18" t="n">
        <f aca="false">IFERROR(INDEX(SEMANAS!$I$6:$I$71,MATCH($B1983,SEMANAS!$B$6:$B$71,0)),0)</f>
        <v>46.69</v>
      </c>
      <c r="V1983" s="18" t="n">
        <f aca="false">IFERROR(INDEX(SEMANAS!$J$6:$J$71,MATCH($B1983,SEMANAS!$B$6:$B$71,0)),0)</f>
        <v>37.352</v>
      </c>
      <c r="W1983" s="18" t="n">
        <f aca="false">MAX(0,$T1983-$V1983)</f>
        <v>0</v>
      </c>
      <c r="X1983" s="19" t="n">
        <f aca="false">IFERROR(INDEX(CADASTRO_PIVOS!$K$6:$K$41,MATCH($E1983,CADASTRO_PIVOS!$B$6:$B$41,0)),EFICIENCIA_PADRAO)</f>
        <v>0.85</v>
      </c>
      <c r="Y1983" s="18" t="n">
        <f aca="false">IF($X1983&lt;=0,0,$W1983/$X1983)</f>
        <v>0</v>
      </c>
      <c r="Z1983" s="16" t="n">
        <f aca="false">$Y1983*$H1983*MM_PARA_M3_HA</f>
        <v>0</v>
      </c>
      <c r="AA1983" s="18" t="n">
        <f aca="false">IFERROR(INDEX(CADASTRO_PIVOS!$I$6:$I$41,MATCH($E1983,CADASTRO_PIVOS!$B$6:$B$41,0)),0)</f>
        <v>932.933333333333</v>
      </c>
      <c r="AB1983" s="18" t="n">
        <f aca="false">IF($Z1983&lt;=0,0,$Z1983/$AA1983)</f>
        <v>0</v>
      </c>
      <c r="AC1983" s="16" t="n">
        <f aca="false">IFERROR(INDEX(SEMANAS!$K$6:$K$71,MATCH($B1983,SEMANAS!$B$6:$B$71,0)),0)</f>
        <v>147</v>
      </c>
      <c r="AD1983" s="19" t="n">
        <f aca="false">IF($AC1983&lt;=0,0,$AB1983/$AC1983)</f>
        <v>0</v>
      </c>
      <c r="AE1983" s="8" t="str">
        <f aca="false">IF($K1983="SEM CULTURA","SEM CULTURA",IF($AA1983&lt;=0,"DADO PENDENTE",IF($AD1983&gt;LIMITE_CRITICO,"INVIAVEL",IF($AD1983&gt;LIMITE_ATENCAO,"CRITICO",IF($AD1983&gt;LIMITE_CONFORTAVEL,"ATENCAO","OK")))))</f>
        <v>SEM CULTURA</v>
      </c>
      <c r="AF1983" s="8" t="str">
        <f aca="false">$B1983&amp;"|"&amp;TEXT($AD1983,"0.000000")</f>
        <v>64|0.000000</v>
      </c>
      <c r="AG1983" s="18" t="n">
        <f aca="false">IF($K1983="SEM CULTURA",0,$T1983*$H1983)</f>
        <v>0</v>
      </c>
      <c r="AH1983" s="18" t="n">
        <f aca="false">IF($K1983="SEM CULTURA",0,$V1983*$H1983)</f>
        <v>0</v>
      </c>
      <c r="AI1983" s="18" t="n">
        <f aca="false">IF($K1983="SEM CULTURA",0,$W1983*$H1983)</f>
        <v>0</v>
      </c>
      <c r="AJ1983" s="18" t="n">
        <f aca="false">IF($K1983="SEM CULTURA",0,$S1983*$H1983)</f>
        <v>0</v>
      </c>
      <c r="AK1983" s="8" t="str">
        <f aca="false">$E1983&amp;"|"&amp;TEXT($AD1983,"0.000000")</f>
        <v>PV 126|0.000000</v>
      </c>
    </row>
    <row r="1984" customFormat="false" ht="15" hidden="false" customHeight="false" outlineLevel="0" collapsed="false">
      <c r="B1984" s="16" t="n">
        <v>65</v>
      </c>
      <c r="C1984" s="17" t="n">
        <f aca="false">DATA_INICIO_SAFRA+($B1984-1)*DIAS_POR_SEMANA</f>
        <v>46713</v>
      </c>
      <c r="D1984" s="17" t="n">
        <f aca="false">$C1984+DIAS_POR_SEMANA-1</f>
        <v>46719</v>
      </c>
      <c r="E1984" s="15" t="s">
        <v>288</v>
      </c>
      <c r="F1984" s="8" t="str">
        <f aca="false">IFERROR(INDEX(CADASTRO_PIVOS!$C$6:$C$41,MATCH($E1984,CADASTRO_PIVOS!$B$6:$B$41,0)),"?")</f>
        <v>RM07</v>
      </c>
      <c r="G1984" s="8" t="str">
        <f aca="false">IFERROR(INDEX(CADASTRO_PIVOS!$D$6:$D$41,MATCH($E1984,CADASTRO_PIVOS!$B$6:$B$41,0)),"?")</f>
        <v>TR07</v>
      </c>
      <c r="H1984" s="20" t="n">
        <f aca="false">IFERROR(INDEX(CADASTRO_PIVOS!$E$6:$E$41,MATCH($E1984,CADASTRO_PIVOS!$B$6:$B$41,0)),0)</f>
        <v>139.94</v>
      </c>
      <c r="I1984" s="16" t="n">
        <f aca="false">IFERROR(SUMIFS(ROTACAO_RDM!$B$6:$B$71,ROTACAO_RDM!$D$6:$D$71,$E1984,ROTACAO_RDM!$I$6:$I$71,"&lt;="&amp;$C1984+INT(DIAS_POR_SEMANA/2),ROTACAO_RDM!$J$6:$J$71,"&gt;="&amp;$C1984+INT(DIAS_POR_SEMANA/2)),0)</f>
        <v>0</v>
      </c>
      <c r="J1984" s="16" t="n">
        <f aca="false">IFERROR(MATCH($I1984,ROTACAO_RDM!$B$6:$B$71,0),0)</f>
        <v>0</v>
      </c>
      <c r="K1984" s="8" t="str">
        <f aca="false">IF($J1984=0,"SEM CULTURA",INDEX(ROTACAO_RDM!$F$6:$F$71,$J1984))</f>
        <v>SEM CULTURA</v>
      </c>
      <c r="L1984" s="8" t="str">
        <f aca="false">IF($J1984=0,"",INDEX(ROTACAO_RDM!$G$6:$G$71,$J1984))</f>
        <v/>
      </c>
      <c r="M1984" s="17" t="str">
        <f aca="false">IF($J1984=0,"",INDEX(ROTACAO_RDM!$I$6:$I$71,$J1984))</f>
        <v/>
      </c>
      <c r="N1984" s="16" t="n">
        <f aca="false">IF($J1984=0,0,MAX(0,$C1984+INT(DIAS_POR_SEMANA/2)-INDEX(ROTACAO_RDM!$I$6:$I$71,$J1984)))</f>
        <v>0</v>
      </c>
      <c r="O1984" s="19" t="n">
        <f aca="false">IF($J1984=0,0,MIN(1,$N1984/MAX(1,INDEX(ROTACAO_RDM!$K$6:$K$71,$J1984))))</f>
        <v>0</v>
      </c>
      <c r="P1984" s="16" t="n">
        <f aca="false">IF($J1984=0,0,IFERROR(MATCH(INDEX(ROTACAO_RDM!$N$6:$N$71,$J1984),PARAMETROS_CULTURAS!$B$6:$B$28,0),0))</f>
        <v>0</v>
      </c>
      <c r="Q1984" s="8" t="str">
        <f aca="false">IF($P1984=0,"-",IF($O1984&lt;=INDEX(PARAMETROS_CULTURAS!$F$6:$F$28,$P1984),"INICIAL",IF($O1984&lt;=INDEX(PARAMETROS_CULTURAS!$F$6:$F$28,$P1984)+INDEX(PARAMETROS_CULTURAS!$G$6:$G$28,$P1984),"DESENVOLVIMENTO",IF($O1984&lt;=INDEX(PARAMETROS_CULTURAS!$F$6:$F$28,$P1984)+INDEX(PARAMETROS_CULTURAS!$G$6:$G$28,$P1984)+INDEX(PARAMETROS_CULTURAS!$H$6:$H$28,$P1984),"MEDIA","FINAL"))))</f>
        <v>-</v>
      </c>
      <c r="R1984" s="24" t="n">
        <f aca="false">IF($P1984=0,0,IF($O1984&lt;=INDEX(PARAMETROS_CULTURAS!$F$6:$F$28,$P1984),INDEX(PARAMETROS_CULTURAS!$K$6:$K$28,$P1984),IF($O1984&lt;=INDEX(PARAMETROS_CULTURAS!$F$6:$F$28,$P1984)+INDEX(PARAMETROS_CULTURAS!$G$6:$G$28,$P1984),INDEX(PARAMETROS_CULTURAS!$K$6:$K$28,$P1984)+(INDEX(PARAMETROS_CULTURAS!$L$6:$L$28,$P1984)-INDEX(PARAMETROS_CULTURAS!$K$6:$K$28,$P1984))*($O1984-INDEX(PARAMETROS_CULTURAS!$F$6:$F$28,$P1984))/MAX(INDEX(PARAMETROS_CULTURAS!$G$6:$G$28,$P1984),0.0001),IF($O1984&lt;=INDEX(PARAMETROS_CULTURAS!$F$6:$F$28,$P1984)+INDEX(PARAMETROS_CULTURAS!$G$6:$G$28,$P1984)+INDEX(PARAMETROS_CULTURAS!$H$6:$H$28,$P1984),INDEX(PARAMETROS_CULTURAS!$L$6:$L$28,$P1984),INDEX(PARAMETROS_CULTURAS!$L$6:$L$28,$P1984)+(INDEX(PARAMETROS_CULTURAS!$M$6:$M$28,$P1984)-INDEX(PARAMETROS_CULTURAS!$L$6:$L$28,$P1984))*($O1984-INDEX(PARAMETROS_CULTURAS!$F$6:$F$28,$P1984)-INDEX(PARAMETROS_CULTURAS!$G$6:$G$28,$P1984)-INDEX(PARAMETROS_CULTURAS!$H$6:$H$28,$P1984))/MAX(INDEX(PARAMETROS_CULTURAS!$I$6:$I$28,$P1984),0.0001)))))</f>
        <v>0</v>
      </c>
      <c r="S1984" s="18" t="n">
        <f aca="false">IFERROR(INDEX(SEMANAS!$H$6:$H$71,MATCH($B1984,SEMANAS!$B$6:$B$71,0)),0)</f>
        <v>34.3</v>
      </c>
      <c r="T1984" s="18" t="n">
        <f aca="false">$R1984*$S1984</f>
        <v>0</v>
      </c>
      <c r="U1984" s="18" t="n">
        <f aca="false">IFERROR(INDEX(SEMANAS!$I$6:$I$71,MATCH($B1984,SEMANAS!$B$6:$B$71,0)),0)</f>
        <v>46.69</v>
      </c>
      <c r="V1984" s="18" t="n">
        <f aca="false">IFERROR(INDEX(SEMANAS!$J$6:$J$71,MATCH($B1984,SEMANAS!$B$6:$B$71,0)),0)</f>
        <v>37.352</v>
      </c>
      <c r="W1984" s="18" t="n">
        <f aca="false">MAX(0,$T1984-$V1984)</f>
        <v>0</v>
      </c>
      <c r="X1984" s="19" t="n">
        <f aca="false">IFERROR(INDEX(CADASTRO_PIVOS!$K$6:$K$41,MATCH($E1984,CADASTRO_PIVOS!$B$6:$B$41,0)),EFICIENCIA_PADRAO)</f>
        <v>0.85</v>
      </c>
      <c r="Y1984" s="18" t="n">
        <f aca="false">IF($X1984&lt;=0,0,$W1984/$X1984)</f>
        <v>0</v>
      </c>
      <c r="Z1984" s="16" t="n">
        <f aca="false">$Y1984*$H1984*MM_PARA_M3_HA</f>
        <v>0</v>
      </c>
      <c r="AA1984" s="18" t="n">
        <f aca="false">IFERROR(INDEX(CADASTRO_PIVOS!$I$6:$I$41,MATCH($E1984,CADASTRO_PIVOS!$B$6:$B$41,0)),0)</f>
        <v>932.933333333333</v>
      </c>
      <c r="AB1984" s="18" t="n">
        <f aca="false">IF($Z1984&lt;=0,0,$Z1984/$AA1984)</f>
        <v>0</v>
      </c>
      <c r="AC1984" s="16" t="n">
        <f aca="false">IFERROR(INDEX(SEMANAS!$K$6:$K$71,MATCH($B1984,SEMANAS!$B$6:$B$71,0)),0)</f>
        <v>147</v>
      </c>
      <c r="AD1984" s="19" t="n">
        <f aca="false">IF($AC1984&lt;=0,0,$AB1984/$AC1984)</f>
        <v>0</v>
      </c>
      <c r="AE1984" s="8" t="str">
        <f aca="false">IF($K1984="SEM CULTURA","SEM CULTURA",IF($AA1984&lt;=0,"DADO PENDENTE",IF($AD1984&gt;LIMITE_CRITICO,"INVIAVEL",IF($AD1984&gt;LIMITE_ATENCAO,"CRITICO",IF($AD1984&gt;LIMITE_CONFORTAVEL,"ATENCAO","OK")))))</f>
        <v>SEM CULTURA</v>
      </c>
      <c r="AF1984" s="8" t="str">
        <f aca="false">$B1984&amp;"|"&amp;TEXT($AD1984,"0.000000")</f>
        <v>65|0.000000</v>
      </c>
      <c r="AG1984" s="18" t="n">
        <f aca="false">IF($K1984="SEM CULTURA",0,$T1984*$H1984)</f>
        <v>0</v>
      </c>
      <c r="AH1984" s="18" t="n">
        <f aca="false">IF($K1984="SEM CULTURA",0,$V1984*$H1984)</f>
        <v>0</v>
      </c>
      <c r="AI1984" s="18" t="n">
        <f aca="false">IF($K1984="SEM CULTURA",0,$W1984*$H1984)</f>
        <v>0</v>
      </c>
      <c r="AJ1984" s="18" t="n">
        <f aca="false">IF($K1984="SEM CULTURA",0,$S1984*$H1984)</f>
        <v>0</v>
      </c>
      <c r="AK1984" s="8" t="str">
        <f aca="false">$E1984&amp;"|"&amp;TEXT($AD1984,"0.000000")</f>
        <v>PV 126|0.000000</v>
      </c>
    </row>
    <row r="1985" customFormat="false" ht="15" hidden="false" customHeight="false" outlineLevel="0" collapsed="false">
      <c r="B1985" s="16" t="n">
        <v>66</v>
      </c>
      <c r="C1985" s="17" t="n">
        <f aca="false">DATA_INICIO_SAFRA+($B1985-1)*DIAS_POR_SEMANA</f>
        <v>46720</v>
      </c>
      <c r="D1985" s="17" t="n">
        <f aca="false">$C1985+DIAS_POR_SEMANA-1</f>
        <v>46726</v>
      </c>
      <c r="E1985" s="15" t="s">
        <v>288</v>
      </c>
      <c r="F1985" s="8" t="str">
        <f aca="false">IFERROR(INDEX(CADASTRO_PIVOS!$C$6:$C$41,MATCH($E1985,CADASTRO_PIVOS!$B$6:$B$41,0)),"?")</f>
        <v>RM07</v>
      </c>
      <c r="G1985" s="8" t="str">
        <f aca="false">IFERROR(INDEX(CADASTRO_PIVOS!$D$6:$D$41,MATCH($E1985,CADASTRO_PIVOS!$B$6:$B$41,0)),"?")</f>
        <v>TR07</v>
      </c>
      <c r="H1985" s="20" t="n">
        <f aca="false">IFERROR(INDEX(CADASTRO_PIVOS!$E$6:$E$41,MATCH($E1985,CADASTRO_PIVOS!$B$6:$B$41,0)),0)</f>
        <v>139.94</v>
      </c>
      <c r="I1985" s="16" t="n">
        <f aca="false">IFERROR(SUMIFS(ROTACAO_RDM!$B$6:$B$71,ROTACAO_RDM!$D$6:$D$71,$E1985,ROTACAO_RDM!$I$6:$I$71,"&lt;="&amp;$C1985+INT(DIAS_POR_SEMANA/2),ROTACAO_RDM!$J$6:$J$71,"&gt;="&amp;$C1985+INT(DIAS_POR_SEMANA/2)),0)</f>
        <v>0</v>
      </c>
      <c r="J1985" s="16" t="n">
        <f aca="false">IFERROR(MATCH($I1985,ROTACAO_RDM!$B$6:$B$71,0),0)</f>
        <v>0</v>
      </c>
      <c r="K1985" s="8" t="str">
        <f aca="false">IF($J1985=0,"SEM CULTURA",INDEX(ROTACAO_RDM!$F$6:$F$71,$J1985))</f>
        <v>SEM CULTURA</v>
      </c>
      <c r="L1985" s="8" t="str">
        <f aca="false">IF($J1985=0,"",INDEX(ROTACAO_RDM!$G$6:$G$71,$J1985))</f>
        <v/>
      </c>
      <c r="M1985" s="17" t="str">
        <f aca="false">IF($J1985=0,"",INDEX(ROTACAO_RDM!$I$6:$I$71,$J1985))</f>
        <v/>
      </c>
      <c r="N1985" s="16" t="n">
        <f aca="false">IF($J1985=0,0,MAX(0,$C1985+INT(DIAS_POR_SEMANA/2)-INDEX(ROTACAO_RDM!$I$6:$I$71,$J1985)))</f>
        <v>0</v>
      </c>
      <c r="O1985" s="19" t="n">
        <f aca="false">IF($J1985=0,0,MIN(1,$N1985/MAX(1,INDEX(ROTACAO_RDM!$K$6:$K$71,$J1985))))</f>
        <v>0</v>
      </c>
      <c r="P1985" s="16" t="n">
        <f aca="false">IF($J1985=0,0,IFERROR(MATCH(INDEX(ROTACAO_RDM!$N$6:$N$71,$J1985),PARAMETROS_CULTURAS!$B$6:$B$28,0),0))</f>
        <v>0</v>
      </c>
      <c r="Q1985" s="8" t="str">
        <f aca="false">IF($P1985=0,"-",IF($O1985&lt;=INDEX(PARAMETROS_CULTURAS!$F$6:$F$28,$P1985),"INICIAL",IF($O1985&lt;=INDEX(PARAMETROS_CULTURAS!$F$6:$F$28,$P1985)+INDEX(PARAMETROS_CULTURAS!$G$6:$G$28,$P1985),"DESENVOLVIMENTO",IF($O1985&lt;=INDEX(PARAMETROS_CULTURAS!$F$6:$F$28,$P1985)+INDEX(PARAMETROS_CULTURAS!$G$6:$G$28,$P1985)+INDEX(PARAMETROS_CULTURAS!$H$6:$H$28,$P1985),"MEDIA","FINAL"))))</f>
        <v>-</v>
      </c>
      <c r="R1985" s="24" t="n">
        <f aca="false">IF($P1985=0,0,IF($O1985&lt;=INDEX(PARAMETROS_CULTURAS!$F$6:$F$28,$P1985),INDEX(PARAMETROS_CULTURAS!$K$6:$K$28,$P1985),IF($O1985&lt;=INDEX(PARAMETROS_CULTURAS!$F$6:$F$28,$P1985)+INDEX(PARAMETROS_CULTURAS!$G$6:$G$28,$P1985),INDEX(PARAMETROS_CULTURAS!$K$6:$K$28,$P1985)+(INDEX(PARAMETROS_CULTURAS!$L$6:$L$28,$P1985)-INDEX(PARAMETROS_CULTURAS!$K$6:$K$28,$P1985))*($O1985-INDEX(PARAMETROS_CULTURAS!$F$6:$F$28,$P1985))/MAX(INDEX(PARAMETROS_CULTURAS!$G$6:$G$28,$P1985),0.0001),IF($O1985&lt;=INDEX(PARAMETROS_CULTURAS!$F$6:$F$28,$P1985)+INDEX(PARAMETROS_CULTURAS!$G$6:$G$28,$P1985)+INDEX(PARAMETROS_CULTURAS!$H$6:$H$28,$P1985),INDEX(PARAMETROS_CULTURAS!$L$6:$L$28,$P1985),INDEX(PARAMETROS_CULTURAS!$L$6:$L$28,$P1985)+(INDEX(PARAMETROS_CULTURAS!$M$6:$M$28,$P1985)-INDEX(PARAMETROS_CULTURAS!$L$6:$L$28,$P1985))*($O1985-INDEX(PARAMETROS_CULTURAS!$F$6:$F$28,$P1985)-INDEX(PARAMETROS_CULTURAS!$G$6:$G$28,$P1985)-INDEX(PARAMETROS_CULTURAS!$H$6:$H$28,$P1985))/MAX(INDEX(PARAMETROS_CULTURAS!$I$6:$I$28,$P1985),0.0001)))))</f>
        <v>0</v>
      </c>
      <c r="S1985" s="18" t="n">
        <f aca="false">IFERROR(INDEX(SEMANAS!$H$6:$H$71,MATCH($B1985,SEMANAS!$B$6:$B$71,0)),0)</f>
        <v>33.3</v>
      </c>
      <c r="T1985" s="18" t="n">
        <f aca="false">$R1985*$S1985</f>
        <v>0</v>
      </c>
      <c r="U1985" s="18" t="n">
        <f aca="false">IFERROR(INDEX(SEMANAS!$I$6:$I$71,MATCH($B1985,SEMANAS!$B$6:$B$71,0)),0)</f>
        <v>48.04</v>
      </c>
      <c r="V1985" s="18" t="n">
        <f aca="false">IFERROR(INDEX(SEMANAS!$J$6:$J$71,MATCH($B1985,SEMANAS!$B$6:$B$71,0)),0)</f>
        <v>38.432</v>
      </c>
      <c r="W1985" s="18" t="n">
        <f aca="false">MAX(0,$T1985-$V1985)</f>
        <v>0</v>
      </c>
      <c r="X1985" s="19" t="n">
        <f aca="false">IFERROR(INDEX(CADASTRO_PIVOS!$K$6:$K$41,MATCH($E1985,CADASTRO_PIVOS!$B$6:$B$41,0)),EFICIENCIA_PADRAO)</f>
        <v>0.85</v>
      </c>
      <c r="Y1985" s="18" t="n">
        <f aca="false">IF($X1985&lt;=0,0,$W1985/$X1985)</f>
        <v>0</v>
      </c>
      <c r="Z1985" s="16" t="n">
        <f aca="false">$Y1985*$H1985*MM_PARA_M3_HA</f>
        <v>0</v>
      </c>
      <c r="AA1985" s="18" t="n">
        <f aca="false">IFERROR(INDEX(CADASTRO_PIVOS!$I$6:$I$41,MATCH($E1985,CADASTRO_PIVOS!$B$6:$B$41,0)),0)</f>
        <v>932.933333333333</v>
      </c>
      <c r="AB1985" s="18" t="n">
        <f aca="false">IF($Z1985&lt;=0,0,$Z1985/$AA1985)</f>
        <v>0</v>
      </c>
      <c r="AC1985" s="16" t="n">
        <f aca="false">IFERROR(INDEX(SEMANAS!$K$6:$K$71,MATCH($B1985,SEMANAS!$B$6:$B$71,0)),0)</f>
        <v>147</v>
      </c>
      <c r="AD1985" s="19" t="n">
        <f aca="false">IF($AC1985&lt;=0,0,$AB1985/$AC1985)</f>
        <v>0</v>
      </c>
      <c r="AE1985" s="8" t="str">
        <f aca="false">IF($K1985="SEM CULTURA","SEM CULTURA",IF($AA1985&lt;=0,"DADO PENDENTE",IF($AD1985&gt;LIMITE_CRITICO,"INVIAVEL",IF($AD1985&gt;LIMITE_ATENCAO,"CRITICO",IF($AD1985&gt;LIMITE_CONFORTAVEL,"ATENCAO","OK")))))</f>
        <v>SEM CULTURA</v>
      </c>
      <c r="AF1985" s="8" t="str">
        <f aca="false">$B1985&amp;"|"&amp;TEXT($AD1985,"0.000000")</f>
        <v>66|0.000000</v>
      </c>
      <c r="AG1985" s="18" t="n">
        <f aca="false">IF($K1985="SEM CULTURA",0,$T1985*$H1985)</f>
        <v>0</v>
      </c>
      <c r="AH1985" s="18" t="n">
        <f aca="false">IF($K1985="SEM CULTURA",0,$V1985*$H1985)</f>
        <v>0</v>
      </c>
      <c r="AI1985" s="18" t="n">
        <f aca="false">IF($K1985="SEM CULTURA",0,$W1985*$H1985)</f>
        <v>0</v>
      </c>
      <c r="AJ1985" s="18" t="n">
        <f aca="false">IF($K1985="SEM CULTURA",0,$S1985*$H1985)</f>
        <v>0</v>
      </c>
      <c r="AK1985" s="8" t="str">
        <f aca="false">$E1985&amp;"|"&amp;TEXT($AD1985,"0.000000")</f>
        <v>PV 126|0.000000</v>
      </c>
    </row>
    <row r="1986" customFormat="false" ht="15" hidden="false" customHeight="false" outlineLevel="0" collapsed="false">
      <c r="B1986" s="16" t="n">
        <v>1</v>
      </c>
      <c r="C1986" s="17" t="n">
        <f aca="false">DATA_INICIO_SAFRA+($B1986-1)*DIAS_POR_SEMANA</f>
        <v>46265</v>
      </c>
      <c r="D1986" s="17" t="n">
        <f aca="false">$C1986+DIAS_POR_SEMANA-1</f>
        <v>46271</v>
      </c>
      <c r="E1986" s="15" t="s">
        <v>289</v>
      </c>
      <c r="F1986" s="8" t="str">
        <f aca="false">IFERROR(INDEX(CADASTRO_PIVOS!$C$6:$C$41,MATCH($E1986,CADASTRO_PIVOS!$B$6:$B$41,0)),"?")</f>
        <v>RM07</v>
      </c>
      <c r="G1986" s="8" t="str">
        <f aca="false">IFERROR(INDEX(CADASTRO_PIVOS!$D$6:$D$41,MATCH($E1986,CADASTRO_PIVOS!$B$6:$B$41,0)),"?")</f>
        <v>TR07</v>
      </c>
      <c r="H1986" s="20" t="n">
        <f aca="false">IFERROR(INDEX(CADASTRO_PIVOS!$E$6:$E$41,MATCH($E1986,CADASTRO_PIVOS!$B$6:$B$41,0)),0)</f>
        <v>99.48</v>
      </c>
      <c r="I1986" s="16" t="n">
        <f aca="false">IFERROR(SUMIFS(ROTACAO_RDM!$B$6:$B$71,ROTACAO_RDM!$D$6:$D$71,$E1986,ROTACAO_RDM!$I$6:$I$71,"&lt;="&amp;$C1986+INT(DIAS_POR_SEMANA/2),ROTACAO_RDM!$J$6:$J$71,"&gt;="&amp;$C1986+INT(DIAS_POR_SEMANA/2)),0)</f>
        <v>0</v>
      </c>
      <c r="J1986" s="16" t="n">
        <f aca="false">IFERROR(MATCH($I1986,ROTACAO_RDM!$B$6:$B$71,0),0)</f>
        <v>0</v>
      </c>
      <c r="K1986" s="8" t="str">
        <f aca="false">IF($J1986=0,"SEM CULTURA",INDEX(ROTACAO_RDM!$F$6:$F$71,$J1986))</f>
        <v>SEM CULTURA</v>
      </c>
      <c r="L1986" s="8" t="str">
        <f aca="false">IF($J1986=0,"",INDEX(ROTACAO_RDM!$G$6:$G$71,$J1986))</f>
        <v/>
      </c>
      <c r="M1986" s="17" t="str">
        <f aca="false">IF($J1986=0,"",INDEX(ROTACAO_RDM!$I$6:$I$71,$J1986))</f>
        <v/>
      </c>
      <c r="N1986" s="16" t="n">
        <f aca="false">IF($J1986=0,0,MAX(0,$C1986+INT(DIAS_POR_SEMANA/2)-INDEX(ROTACAO_RDM!$I$6:$I$71,$J1986)))</f>
        <v>0</v>
      </c>
      <c r="O1986" s="19" t="n">
        <f aca="false">IF($J1986=0,0,MIN(1,$N1986/MAX(1,INDEX(ROTACAO_RDM!$K$6:$K$71,$J1986))))</f>
        <v>0</v>
      </c>
      <c r="P1986" s="16" t="n">
        <f aca="false">IF($J1986=0,0,IFERROR(MATCH(INDEX(ROTACAO_RDM!$N$6:$N$71,$J1986),PARAMETROS_CULTURAS!$B$6:$B$28,0),0))</f>
        <v>0</v>
      </c>
      <c r="Q1986" s="8" t="str">
        <f aca="false">IF($P1986=0,"-",IF($O1986&lt;=INDEX(PARAMETROS_CULTURAS!$F$6:$F$28,$P1986),"INICIAL",IF($O1986&lt;=INDEX(PARAMETROS_CULTURAS!$F$6:$F$28,$P1986)+INDEX(PARAMETROS_CULTURAS!$G$6:$G$28,$P1986),"DESENVOLVIMENTO",IF($O1986&lt;=INDEX(PARAMETROS_CULTURAS!$F$6:$F$28,$P1986)+INDEX(PARAMETROS_CULTURAS!$G$6:$G$28,$P1986)+INDEX(PARAMETROS_CULTURAS!$H$6:$H$28,$P1986),"MEDIA","FINAL"))))</f>
        <v>-</v>
      </c>
      <c r="R1986" s="24" t="n">
        <f aca="false">IF($P1986=0,0,IF($O1986&lt;=INDEX(PARAMETROS_CULTURAS!$F$6:$F$28,$P1986),INDEX(PARAMETROS_CULTURAS!$K$6:$K$28,$P1986),IF($O1986&lt;=INDEX(PARAMETROS_CULTURAS!$F$6:$F$28,$P1986)+INDEX(PARAMETROS_CULTURAS!$G$6:$G$28,$P1986),INDEX(PARAMETROS_CULTURAS!$K$6:$K$28,$P1986)+(INDEX(PARAMETROS_CULTURAS!$L$6:$L$28,$P1986)-INDEX(PARAMETROS_CULTURAS!$K$6:$K$28,$P1986))*($O1986-INDEX(PARAMETROS_CULTURAS!$F$6:$F$28,$P1986))/MAX(INDEX(PARAMETROS_CULTURAS!$G$6:$G$28,$P1986),0.0001),IF($O1986&lt;=INDEX(PARAMETROS_CULTURAS!$F$6:$F$28,$P1986)+INDEX(PARAMETROS_CULTURAS!$G$6:$G$28,$P1986)+INDEX(PARAMETROS_CULTURAS!$H$6:$H$28,$P1986),INDEX(PARAMETROS_CULTURAS!$L$6:$L$28,$P1986),INDEX(PARAMETROS_CULTURAS!$L$6:$L$28,$P1986)+(INDEX(PARAMETROS_CULTURAS!$M$6:$M$28,$P1986)-INDEX(PARAMETROS_CULTURAS!$L$6:$L$28,$P1986))*($O1986-INDEX(PARAMETROS_CULTURAS!$F$6:$F$28,$P1986)-INDEX(PARAMETROS_CULTURAS!$G$6:$G$28,$P1986)-INDEX(PARAMETROS_CULTURAS!$H$6:$H$28,$P1986))/MAX(INDEX(PARAMETROS_CULTURAS!$I$6:$I$28,$P1986),0.0001)))))</f>
        <v>0</v>
      </c>
      <c r="S1986" s="18" t="n">
        <f aca="false">IFERROR(INDEX(SEMANAS!$H$6:$H$71,MATCH($B1986,SEMANAS!$B$6:$B$71,0)),0)</f>
        <v>40</v>
      </c>
      <c r="T1986" s="18" t="n">
        <f aca="false">$R1986*$S1986</f>
        <v>0</v>
      </c>
      <c r="U1986" s="18" t="n">
        <f aca="false">IFERROR(INDEX(SEMANAS!$I$6:$I$71,MATCH($B1986,SEMANAS!$B$6:$B$71,0)),0)</f>
        <v>6.16</v>
      </c>
      <c r="V1986" s="18" t="n">
        <f aca="false">IFERROR(INDEX(SEMANAS!$J$6:$J$71,MATCH($B1986,SEMANAS!$B$6:$B$71,0)),0)</f>
        <v>4.928</v>
      </c>
      <c r="W1986" s="18" t="n">
        <f aca="false">MAX(0,$T1986-$V1986)</f>
        <v>0</v>
      </c>
      <c r="X1986" s="19" t="n">
        <f aca="false">IFERROR(INDEX(CADASTRO_PIVOS!$K$6:$K$41,MATCH($E1986,CADASTRO_PIVOS!$B$6:$B$41,0)),EFICIENCIA_PADRAO)</f>
        <v>0.85</v>
      </c>
      <c r="Y1986" s="18" t="n">
        <f aca="false">IF($X1986&lt;=0,0,$W1986/$X1986)</f>
        <v>0</v>
      </c>
      <c r="Z1986" s="16" t="n">
        <f aca="false">$Y1986*$H1986*MM_PARA_M3_HA</f>
        <v>0</v>
      </c>
      <c r="AA1986" s="18" t="n">
        <f aca="false">IFERROR(INDEX(CADASTRO_PIVOS!$I$6:$I$41,MATCH($E1986,CADASTRO_PIVOS!$B$6:$B$41,0)),0)</f>
        <v>710.571428571429</v>
      </c>
      <c r="AB1986" s="18" t="n">
        <f aca="false">IF($Z1986&lt;=0,0,$Z1986/$AA1986)</f>
        <v>0</v>
      </c>
      <c r="AC1986" s="16" t="n">
        <f aca="false">IFERROR(INDEX(SEMANAS!$K$6:$K$71,MATCH($B1986,SEMANAS!$B$6:$B$71,0)),0)</f>
        <v>147</v>
      </c>
      <c r="AD1986" s="19" t="n">
        <f aca="false">IF($AC1986&lt;=0,0,$AB1986/$AC1986)</f>
        <v>0</v>
      </c>
      <c r="AE1986" s="8" t="str">
        <f aca="false">IF($K1986="SEM CULTURA","SEM CULTURA",IF($AA1986&lt;=0,"DADO PENDENTE",IF($AD1986&gt;LIMITE_CRITICO,"INVIAVEL",IF($AD1986&gt;LIMITE_ATENCAO,"CRITICO",IF($AD1986&gt;LIMITE_CONFORTAVEL,"ATENCAO","OK")))))</f>
        <v>SEM CULTURA</v>
      </c>
      <c r="AF1986" s="8" t="str">
        <f aca="false">$B1986&amp;"|"&amp;TEXT($AD1986,"0.000000")</f>
        <v>1|0.000000</v>
      </c>
      <c r="AG1986" s="18" t="n">
        <f aca="false">IF($K1986="SEM CULTURA",0,$T1986*$H1986)</f>
        <v>0</v>
      </c>
      <c r="AH1986" s="18" t="n">
        <f aca="false">IF($K1986="SEM CULTURA",0,$V1986*$H1986)</f>
        <v>0</v>
      </c>
      <c r="AI1986" s="18" t="n">
        <f aca="false">IF($K1986="SEM CULTURA",0,$W1986*$H1986)</f>
        <v>0</v>
      </c>
      <c r="AJ1986" s="18" t="n">
        <f aca="false">IF($K1986="SEM CULTURA",0,$S1986*$H1986)</f>
        <v>0</v>
      </c>
      <c r="AK1986" s="8" t="str">
        <f aca="false">$E1986&amp;"|"&amp;TEXT($AD1986,"0.000000")</f>
        <v>PV 127|0.000000</v>
      </c>
    </row>
    <row r="1987" customFormat="false" ht="15" hidden="false" customHeight="false" outlineLevel="0" collapsed="false">
      <c r="B1987" s="16" t="n">
        <v>2</v>
      </c>
      <c r="C1987" s="17" t="n">
        <f aca="false">DATA_INICIO_SAFRA+($B1987-1)*DIAS_POR_SEMANA</f>
        <v>46272</v>
      </c>
      <c r="D1987" s="17" t="n">
        <f aca="false">$C1987+DIAS_POR_SEMANA-1</f>
        <v>46278</v>
      </c>
      <c r="E1987" s="15" t="s">
        <v>289</v>
      </c>
      <c r="F1987" s="8" t="str">
        <f aca="false">IFERROR(INDEX(CADASTRO_PIVOS!$C$6:$C$41,MATCH($E1987,CADASTRO_PIVOS!$B$6:$B$41,0)),"?")</f>
        <v>RM07</v>
      </c>
      <c r="G1987" s="8" t="str">
        <f aca="false">IFERROR(INDEX(CADASTRO_PIVOS!$D$6:$D$41,MATCH($E1987,CADASTRO_PIVOS!$B$6:$B$41,0)),"?")</f>
        <v>TR07</v>
      </c>
      <c r="H1987" s="20" t="n">
        <f aca="false">IFERROR(INDEX(CADASTRO_PIVOS!$E$6:$E$41,MATCH($E1987,CADASTRO_PIVOS!$B$6:$B$41,0)),0)</f>
        <v>99.48</v>
      </c>
      <c r="I1987" s="16" t="n">
        <f aca="false">IFERROR(SUMIFS(ROTACAO_RDM!$B$6:$B$71,ROTACAO_RDM!$D$6:$D$71,$E1987,ROTACAO_RDM!$I$6:$I$71,"&lt;="&amp;$C1987+INT(DIAS_POR_SEMANA/2),ROTACAO_RDM!$J$6:$J$71,"&gt;="&amp;$C1987+INT(DIAS_POR_SEMANA/2)),0)</f>
        <v>0</v>
      </c>
      <c r="J1987" s="16" t="n">
        <f aca="false">IFERROR(MATCH($I1987,ROTACAO_RDM!$B$6:$B$71,0),0)</f>
        <v>0</v>
      </c>
      <c r="K1987" s="8" t="str">
        <f aca="false">IF($J1987=0,"SEM CULTURA",INDEX(ROTACAO_RDM!$F$6:$F$71,$J1987))</f>
        <v>SEM CULTURA</v>
      </c>
      <c r="L1987" s="8" t="str">
        <f aca="false">IF($J1987=0,"",INDEX(ROTACAO_RDM!$G$6:$G$71,$J1987))</f>
        <v/>
      </c>
      <c r="M1987" s="17" t="str">
        <f aca="false">IF($J1987=0,"",INDEX(ROTACAO_RDM!$I$6:$I$71,$J1987))</f>
        <v/>
      </c>
      <c r="N1987" s="16" t="n">
        <f aca="false">IF($J1987=0,0,MAX(0,$C1987+INT(DIAS_POR_SEMANA/2)-INDEX(ROTACAO_RDM!$I$6:$I$71,$J1987)))</f>
        <v>0</v>
      </c>
      <c r="O1987" s="19" t="n">
        <f aca="false">IF($J1987=0,0,MIN(1,$N1987/MAX(1,INDEX(ROTACAO_RDM!$K$6:$K$71,$J1987))))</f>
        <v>0</v>
      </c>
      <c r="P1987" s="16" t="n">
        <f aca="false">IF($J1987=0,0,IFERROR(MATCH(INDEX(ROTACAO_RDM!$N$6:$N$71,$J1987),PARAMETROS_CULTURAS!$B$6:$B$28,0),0))</f>
        <v>0</v>
      </c>
      <c r="Q1987" s="8" t="str">
        <f aca="false">IF($P1987=0,"-",IF($O1987&lt;=INDEX(PARAMETROS_CULTURAS!$F$6:$F$28,$P1987),"INICIAL",IF($O1987&lt;=INDEX(PARAMETROS_CULTURAS!$F$6:$F$28,$P1987)+INDEX(PARAMETROS_CULTURAS!$G$6:$G$28,$P1987),"DESENVOLVIMENTO",IF($O1987&lt;=INDEX(PARAMETROS_CULTURAS!$F$6:$F$28,$P1987)+INDEX(PARAMETROS_CULTURAS!$G$6:$G$28,$P1987)+INDEX(PARAMETROS_CULTURAS!$H$6:$H$28,$P1987),"MEDIA","FINAL"))))</f>
        <v>-</v>
      </c>
      <c r="R1987" s="24" t="n">
        <f aca="false">IF($P1987=0,0,IF($O1987&lt;=INDEX(PARAMETROS_CULTURAS!$F$6:$F$28,$P1987),INDEX(PARAMETROS_CULTURAS!$K$6:$K$28,$P1987),IF($O1987&lt;=INDEX(PARAMETROS_CULTURAS!$F$6:$F$28,$P1987)+INDEX(PARAMETROS_CULTURAS!$G$6:$G$28,$P1987),INDEX(PARAMETROS_CULTURAS!$K$6:$K$28,$P1987)+(INDEX(PARAMETROS_CULTURAS!$L$6:$L$28,$P1987)-INDEX(PARAMETROS_CULTURAS!$K$6:$K$28,$P1987))*($O1987-INDEX(PARAMETROS_CULTURAS!$F$6:$F$28,$P1987))/MAX(INDEX(PARAMETROS_CULTURAS!$G$6:$G$28,$P1987),0.0001),IF($O1987&lt;=INDEX(PARAMETROS_CULTURAS!$F$6:$F$28,$P1987)+INDEX(PARAMETROS_CULTURAS!$G$6:$G$28,$P1987)+INDEX(PARAMETROS_CULTURAS!$H$6:$H$28,$P1987),INDEX(PARAMETROS_CULTURAS!$L$6:$L$28,$P1987),INDEX(PARAMETROS_CULTURAS!$L$6:$L$28,$P1987)+(INDEX(PARAMETROS_CULTURAS!$M$6:$M$28,$P1987)-INDEX(PARAMETROS_CULTURAS!$L$6:$L$28,$P1987))*($O1987-INDEX(PARAMETROS_CULTURAS!$F$6:$F$28,$P1987)-INDEX(PARAMETROS_CULTURAS!$G$6:$G$28,$P1987)-INDEX(PARAMETROS_CULTURAS!$H$6:$H$28,$P1987))/MAX(INDEX(PARAMETROS_CULTURAS!$I$6:$I$28,$P1987),0.0001)))))</f>
        <v>0</v>
      </c>
      <c r="S1987" s="18" t="n">
        <f aca="false">IFERROR(INDEX(SEMANAS!$H$6:$H$71,MATCH($B1987,SEMANAS!$B$6:$B$71,0)),0)</f>
        <v>40.6</v>
      </c>
      <c r="T1987" s="18" t="n">
        <f aca="false">$R1987*$S1987</f>
        <v>0</v>
      </c>
      <c r="U1987" s="18" t="n">
        <f aca="false">IFERROR(INDEX(SEMANAS!$I$6:$I$71,MATCH($B1987,SEMANAS!$B$6:$B$71,0)),0)</f>
        <v>7</v>
      </c>
      <c r="V1987" s="18" t="n">
        <f aca="false">IFERROR(INDEX(SEMANAS!$J$6:$J$71,MATCH($B1987,SEMANAS!$B$6:$B$71,0)),0)</f>
        <v>5.6</v>
      </c>
      <c r="W1987" s="18" t="n">
        <f aca="false">MAX(0,$T1987-$V1987)</f>
        <v>0</v>
      </c>
      <c r="X1987" s="19" t="n">
        <f aca="false">IFERROR(INDEX(CADASTRO_PIVOS!$K$6:$K$41,MATCH($E1987,CADASTRO_PIVOS!$B$6:$B$41,0)),EFICIENCIA_PADRAO)</f>
        <v>0.85</v>
      </c>
      <c r="Y1987" s="18" t="n">
        <f aca="false">IF($X1987&lt;=0,0,$W1987/$X1987)</f>
        <v>0</v>
      </c>
      <c r="Z1987" s="16" t="n">
        <f aca="false">$Y1987*$H1987*MM_PARA_M3_HA</f>
        <v>0</v>
      </c>
      <c r="AA1987" s="18" t="n">
        <f aca="false">IFERROR(INDEX(CADASTRO_PIVOS!$I$6:$I$41,MATCH($E1987,CADASTRO_PIVOS!$B$6:$B$41,0)),0)</f>
        <v>710.571428571429</v>
      </c>
      <c r="AB1987" s="18" t="n">
        <f aca="false">IF($Z1987&lt;=0,0,$Z1987/$AA1987)</f>
        <v>0</v>
      </c>
      <c r="AC1987" s="16" t="n">
        <f aca="false">IFERROR(INDEX(SEMANAS!$K$6:$K$71,MATCH($B1987,SEMANAS!$B$6:$B$71,0)),0)</f>
        <v>147</v>
      </c>
      <c r="AD1987" s="19" t="n">
        <f aca="false">IF($AC1987&lt;=0,0,$AB1987/$AC1987)</f>
        <v>0</v>
      </c>
      <c r="AE1987" s="8" t="str">
        <f aca="false">IF($K1987="SEM CULTURA","SEM CULTURA",IF($AA1987&lt;=0,"DADO PENDENTE",IF($AD1987&gt;LIMITE_CRITICO,"INVIAVEL",IF($AD1987&gt;LIMITE_ATENCAO,"CRITICO",IF($AD1987&gt;LIMITE_CONFORTAVEL,"ATENCAO","OK")))))</f>
        <v>SEM CULTURA</v>
      </c>
      <c r="AF1987" s="8" t="str">
        <f aca="false">$B1987&amp;"|"&amp;TEXT($AD1987,"0.000000")</f>
        <v>2|0.000000</v>
      </c>
      <c r="AG1987" s="18" t="n">
        <f aca="false">IF($K1987="SEM CULTURA",0,$T1987*$H1987)</f>
        <v>0</v>
      </c>
      <c r="AH1987" s="18" t="n">
        <f aca="false">IF($K1987="SEM CULTURA",0,$V1987*$H1987)</f>
        <v>0</v>
      </c>
      <c r="AI1987" s="18" t="n">
        <f aca="false">IF($K1987="SEM CULTURA",0,$W1987*$H1987)</f>
        <v>0</v>
      </c>
      <c r="AJ1987" s="18" t="n">
        <f aca="false">IF($K1987="SEM CULTURA",0,$S1987*$H1987)</f>
        <v>0</v>
      </c>
      <c r="AK1987" s="8" t="str">
        <f aca="false">$E1987&amp;"|"&amp;TEXT($AD1987,"0.000000")</f>
        <v>PV 127|0.000000</v>
      </c>
    </row>
    <row r="1988" customFormat="false" ht="15" hidden="false" customHeight="false" outlineLevel="0" collapsed="false">
      <c r="B1988" s="16" t="n">
        <v>3</v>
      </c>
      <c r="C1988" s="17" t="n">
        <f aca="false">DATA_INICIO_SAFRA+($B1988-1)*DIAS_POR_SEMANA</f>
        <v>46279</v>
      </c>
      <c r="D1988" s="17" t="n">
        <f aca="false">$C1988+DIAS_POR_SEMANA-1</f>
        <v>46285</v>
      </c>
      <c r="E1988" s="15" t="s">
        <v>289</v>
      </c>
      <c r="F1988" s="8" t="str">
        <f aca="false">IFERROR(INDEX(CADASTRO_PIVOS!$C$6:$C$41,MATCH($E1988,CADASTRO_PIVOS!$B$6:$B$41,0)),"?")</f>
        <v>RM07</v>
      </c>
      <c r="G1988" s="8" t="str">
        <f aca="false">IFERROR(INDEX(CADASTRO_PIVOS!$D$6:$D$41,MATCH($E1988,CADASTRO_PIVOS!$B$6:$B$41,0)),"?")</f>
        <v>TR07</v>
      </c>
      <c r="H1988" s="20" t="n">
        <f aca="false">IFERROR(INDEX(CADASTRO_PIVOS!$E$6:$E$41,MATCH($E1988,CADASTRO_PIVOS!$B$6:$B$41,0)),0)</f>
        <v>99.48</v>
      </c>
      <c r="I1988" s="16" t="n">
        <f aca="false">IFERROR(SUMIFS(ROTACAO_RDM!$B$6:$B$71,ROTACAO_RDM!$D$6:$D$71,$E1988,ROTACAO_RDM!$I$6:$I$71,"&lt;="&amp;$C1988+INT(DIAS_POR_SEMANA/2),ROTACAO_RDM!$J$6:$J$71,"&gt;="&amp;$C1988+INT(DIAS_POR_SEMANA/2)),0)</f>
        <v>0</v>
      </c>
      <c r="J1988" s="16" t="n">
        <f aca="false">IFERROR(MATCH($I1988,ROTACAO_RDM!$B$6:$B$71,0),0)</f>
        <v>0</v>
      </c>
      <c r="K1988" s="8" t="str">
        <f aca="false">IF($J1988=0,"SEM CULTURA",INDEX(ROTACAO_RDM!$F$6:$F$71,$J1988))</f>
        <v>SEM CULTURA</v>
      </c>
      <c r="L1988" s="8" t="str">
        <f aca="false">IF($J1988=0,"",INDEX(ROTACAO_RDM!$G$6:$G$71,$J1988))</f>
        <v/>
      </c>
      <c r="M1988" s="17" t="str">
        <f aca="false">IF($J1988=0,"",INDEX(ROTACAO_RDM!$I$6:$I$71,$J1988))</f>
        <v/>
      </c>
      <c r="N1988" s="16" t="n">
        <f aca="false">IF($J1988=0,0,MAX(0,$C1988+INT(DIAS_POR_SEMANA/2)-INDEX(ROTACAO_RDM!$I$6:$I$71,$J1988)))</f>
        <v>0</v>
      </c>
      <c r="O1988" s="19" t="n">
        <f aca="false">IF($J1988=0,0,MIN(1,$N1988/MAX(1,INDEX(ROTACAO_RDM!$K$6:$K$71,$J1988))))</f>
        <v>0</v>
      </c>
      <c r="P1988" s="16" t="n">
        <f aca="false">IF($J1988=0,0,IFERROR(MATCH(INDEX(ROTACAO_RDM!$N$6:$N$71,$J1988),PARAMETROS_CULTURAS!$B$6:$B$28,0),0))</f>
        <v>0</v>
      </c>
      <c r="Q1988" s="8" t="str">
        <f aca="false">IF($P1988=0,"-",IF($O1988&lt;=INDEX(PARAMETROS_CULTURAS!$F$6:$F$28,$P1988),"INICIAL",IF($O1988&lt;=INDEX(PARAMETROS_CULTURAS!$F$6:$F$28,$P1988)+INDEX(PARAMETROS_CULTURAS!$G$6:$G$28,$P1988),"DESENVOLVIMENTO",IF($O1988&lt;=INDEX(PARAMETROS_CULTURAS!$F$6:$F$28,$P1988)+INDEX(PARAMETROS_CULTURAS!$G$6:$G$28,$P1988)+INDEX(PARAMETROS_CULTURAS!$H$6:$H$28,$P1988),"MEDIA","FINAL"))))</f>
        <v>-</v>
      </c>
      <c r="R1988" s="24" t="n">
        <f aca="false">IF($P1988=0,0,IF($O1988&lt;=INDEX(PARAMETROS_CULTURAS!$F$6:$F$28,$P1988),INDEX(PARAMETROS_CULTURAS!$K$6:$K$28,$P1988),IF($O1988&lt;=INDEX(PARAMETROS_CULTURAS!$F$6:$F$28,$P1988)+INDEX(PARAMETROS_CULTURAS!$G$6:$G$28,$P1988),INDEX(PARAMETROS_CULTURAS!$K$6:$K$28,$P1988)+(INDEX(PARAMETROS_CULTURAS!$L$6:$L$28,$P1988)-INDEX(PARAMETROS_CULTURAS!$K$6:$K$28,$P1988))*($O1988-INDEX(PARAMETROS_CULTURAS!$F$6:$F$28,$P1988))/MAX(INDEX(PARAMETROS_CULTURAS!$G$6:$G$28,$P1988),0.0001),IF($O1988&lt;=INDEX(PARAMETROS_CULTURAS!$F$6:$F$28,$P1988)+INDEX(PARAMETROS_CULTURAS!$G$6:$G$28,$P1988)+INDEX(PARAMETROS_CULTURAS!$H$6:$H$28,$P1988),INDEX(PARAMETROS_CULTURAS!$L$6:$L$28,$P1988),INDEX(PARAMETROS_CULTURAS!$L$6:$L$28,$P1988)+(INDEX(PARAMETROS_CULTURAS!$M$6:$M$28,$P1988)-INDEX(PARAMETROS_CULTURAS!$L$6:$L$28,$P1988))*($O1988-INDEX(PARAMETROS_CULTURAS!$F$6:$F$28,$P1988)-INDEX(PARAMETROS_CULTURAS!$G$6:$G$28,$P1988)-INDEX(PARAMETROS_CULTURAS!$H$6:$H$28,$P1988))/MAX(INDEX(PARAMETROS_CULTURAS!$I$6:$I$28,$P1988),0.0001)))))</f>
        <v>0</v>
      </c>
      <c r="S1988" s="18" t="n">
        <f aca="false">IFERROR(INDEX(SEMANAS!$H$6:$H$71,MATCH($B1988,SEMANAS!$B$6:$B$71,0)),0)</f>
        <v>40.6</v>
      </c>
      <c r="T1988" s="18" t="n">
        <f aca="false">$R1988*$S1988</f>
        <v>0</v>
      </c>
      <c r="U1988" s="18" t="n">
        <f aca="false">IFERROR(INDEX(SEMANAS!$I$6:$I$71,MATCH($B1988,SEMANAS!$B$6:$B$71,0)),0)</f>
        <v>7</v>
      </c>
      <c r="V1988" s="18" t="n">
        <f aca="false">IFERROR(INDEX(SEMANAS!$J$6:$J$71,MATCH($B1988,SEMANAS!$B$6:$B$71,0)),0)</f>
        <v>5.6</v>
      </c>
      <c r="W1988" s="18" t="n">
        <f aca="false">MAX(0,$T1988-$V1988)</f>
        <v>0</v>
      </c>
      <c r="X1988" s="19" t="n">
        <f aca="false">IFERROR(INDEX(CADASTRO_PIVOS!$K$6:$K$41,MATCH($E1988,CADASTRO_PIVOS!$B$6:$B$41,0)),EFICIENCIA_PADRAO)</f>
        <v>0.85</v>
      </c>
      <c r="Y1988" s="18" t="n">
        <f aca="false">IF($X1988&lt;=0,0,$W1988/$X1988)</f>
        <v>0</v>
      </c>
      <c r="Z1988" s="16" t="n">
        <f aca="false">$Y1988*$H1988*MM_PARA_M3_HA</f>
        <v>0</v>
      </c>
      <c r="AA1988" s="18" t="n">
        <f aca="false">IFERROR(INDEX(CADASTRO_PIVOS!$I$6:$I$41,MATCH($E1988,CADASTRO_PIVOS!$B$6:$B$41,0)),0)</f>
        <v>710.571428571429</v>
      </c>
      <c r="AB1988" s="18" t="n">
        <f aca="false">IF($Z1988&lt;=0,0,$Z1988/$AA1988)</f>
        <v>0</v>
      </c>
      <c r="AC1988" s="16" t="n">
        <f aca="false">IFERROR(INDEX(SEMANAS!$K$6:$K$71,MATCH($B1988,SEMANAS!$B$6:$B$71,0)),0)</f>
        <v>147</v>
      </c>
      <c r="AD1988" s="19" t="n">
        <f aca="false">IF($AC1988&lt;=0,0,$AB1988/$AC1988)</f>
        <v>0</v>
      </c>
      <c r="AE1988" s="8" t="str">
        <f aca="false">IF($K1988="SEM CULTURA","SEM CULTURA",IF($AA1988&lt;=0,"DADO PENDENTE",IF($AD1988&gt;LIMITE_CRITICO,"INVIAVEL",IF($AD1988&gt;LIMITE_ATENCAO,"CRITICO",IF($AD1988&gt;LIMITE_CONFORTAVEL,"ATENCAO","OK")))))</f>
        <v>SEM CULTURA</v>
      </c>
      <c r="AF1988" s="8" t="str">
        <f aca="false">$B1988&amp;"|"&amp;TEXT($AD1988,"0.000000")</f>
        <v>3|0.000000</v>
      </c>
      <c r="AG1988" s="18" t="n">
        <f aca="false">IF($K1988="SEM CULTURA",0,$T1988*$H1988)</f>
        <v>0</v>
      </c>
      <c r="AH1988" s="18" t="n">
        <f aca="false">IF($K1988="SEM CULTURA",0,$V1988*$H1988)</f>
        <v>0</v>
      </c>
      <c r="AI1988" s="18" t="n">
        <f aca="false">IF($K1988="SEM CULTURA",0,$W1988*$H1988)</f>
        <v>0</v>
      </c>
      <c r="AJ1988" s="18" t="n">
        <f aca="false">IF($K1988="SEM CULTURA",0,$S1988*$H1988)</f>
        <v>0</v>
      </c>
      <c r="AK1988" s="8" t="str">
        <f aca="false">$E1988&amp;"|"&amp;TEXT($AD1988,"0.000000")</f>
        <v>PV 127|0.000000</v>
      </c>
    </row>
    <row r="1989" customFormat="false" ht="15" hidden="false" customHeight="false" outlineLevel="0" collapsed="false">
      <c r="B1989" s="16" t="n">
        <v>4</v>
      </c>
      <c r="C1989" s="17" t="n">
        <f aca="false">DATA_INICIO_SAFRA+($B1989-1)*DIAS_POR_SEMANA</f>
        <v>46286</v>
      </c>
      <c r="D1989" s="17" t="n">
        <f aca="false">$C1989+DIAS_POR_SEMANA-1</f>
        <v>46292</v>
      </c>
      <c r="E1989" s="15" t="s">
        <v>289</v>
      </c>
      <c r="F1989" s="8" t="str">
        <f aca="false">IFERROR(INDEX(CADASTRO_PIVOS!$C$6:$C$41,MATCH($E1989,CADASTRO_PIVOS!$B$6:$B$41,0)),"?")</f>
        <v>RM07</v>
      </c>
      <c r="G1989" s="8" t="str">
        <f aca="false">IFERROR(INDEX(CADASTRO_PIVOS!$D$6:$D$41,MATCH($E1989,CADASTRO_PIVOS!$B$6:$B$41,0)),"?")</f>
        <v>TR07</v>
      </c>
      <c r="H1989" s="20" t="n">
        <f aca="false">IFERROR(INDEX(CADASTRO_PIVOS!$E$6:$E$41,MATCH($E1989,CADASTRO_PIVOS!$B$6:$B$41,0)),0)</f>
        <v>99.48</v>
      </c>
      <c r="I1989" s="16" t="n">
        <f aca="false">IFERROR(SUMIFS(ROTACAO_RDM!$B$6:$B$71,ROTACAO_RDM!$D$6:$D$71,$E1989,ROTACAO_RDM!$I$6:$I$71,"&lt;="&amp;$C1989+INT(DIAS_POR_SEMANA/2),ROTACAO_RDM!$J$6:$J$71,"&gt;="&amp;$C1989+INT(DIAS_POR_SEMANA/2)),0)</f>
        <v>0</v>
      </c>
      <c r="J1989" s="16" t="n">
        <f aca="false">IFERROR(MATCH($I1989,ROTACAO_RDM!$B$6:$B$71,0),0)</f>
        <v>0</v>
      </c>
      <c r="K1989" s="8" t="str">
        <f aca="false">IF($J1989=0,"SEM CULTURA",INDEX(ROTACAO_RDM!$F$6:$F$71,$J1989))</f>
        <v>SEM CULTURA</v>
      </c>
      <c r="L1989" s="8" t="str">
        <f aca="false">IF($J1989=0,"",INDEX(ROTACAO_RDM!$G$6:$G$71,$J1989))</f>
        <v/>
      </c>
      <c r="M1989" s="17" t="str">
        <f aca="false">IF($J1989=0,"",INDEX(ROTACAO_RDM!$I$6:$I$71,$J1989))</f>
        <v/>
      </c>
      <c r="N1989" s="16" t="n">
        <f aca="false">IF($J1989=0,0,MAX(0,$C1989+INT(DIAS_POR_SEMANA/2)-INDEX(ROTACAO_RDM!$I$6:$I$71,$J1989)))</f>
        <v>0</v>
      </c>
      <c r="O1989" s="19" t="n">
        <f aca="false">IF($J1989=0,0,MIN(1,$N1989/MAX(1,INDEX(ROTACAO_RDM!$K$6:$K$71,$J1989))))</f>
        <v>0</v>
      </c>
      <c r="P1989" s="16" t="n">
        <f aca="false">IF($J1989=0,0,IFERROR(MATCH(INDEX(ROTACAO_RDM!$N$6:$N$71,$J1989),PARAMETROS_CULTURAS!$B$6:$B$28,0),0))</f>
        <v>0</v>
      </c>
      <c r="Q1989" s="8" t="str">
        <f aca="false">IF($P1989=0,"-",IF($O1989&lt;=INDEX(PARAMETROS_CULTURAS!$F$6:$F$28,$P1989),"INICIAL",IF($O1989&lt;=INDEX(PARAMETROS_CULTURAS!$F$6:$F$28,$P1989)+INDEX(PARAMETROS_CULTURAS!$G$6:$G$28,$P1989),"DESENVOLVIMENTO",IF($O1989&lt;=INDEX(PARAMETROS_CULTURAS!$F$6:$F$28,$P1989)+INDEX(PARAMETROS_CULTURAS!$G$6:$G$28,$P1989)+INDEX(PARAMETROS_CULTURAS!$H$6:$H$28,$P1989),"MEDIA","FINAL"))))</f>
        <v>-</v>
      </c>
      <c r="R1989" s="24" t="n">
        <f aca="false">IF($P1989=0,0,IF($O1989&lt;=INDEX(PARAMETROS_CULTURAS!$F$6:$F$28,$P1989),INDEX(PARAMETROS_CULTURAS!$K$6:$K$28,$P1989),IF($O1989&lt;=INDEX(PARAMETROS_CULTURAS!$F$6:$F$28,$P1989)+INDEX(PARAMETROS_CULTURAS!$G$6:$G$28,$P1989),INDEX(PARAMETROS_CULTURAS!$K$6:$K$28,$P1989)+(INDEX(PARAMETROS_CULTURAS!$L$6:$L$28,$P1989)-INDEX(PARAMETROS_CULTURAS!$K$6:$K$28,$P1989))*($O1989-INDEX(PARAMETROS_CULTURAS!$F$6:$F$28,$P1989))/MAX(INDEX(PARAMETROS_CULTURAS!$G$6:$G$28,$P1989),0.0001),IF($O1989&lt;=INDEX(PARAMETROS_CULTURAS!$F$6:$F$28,$P1989)+INDEX(PARAMETROS_CULTURAS!$G$6:$G$28,$P1989)+INDEX(PARAMETROS_CULTURAS!$H$6:$H$28,$P1989),INDEX(PARAMETROS_CULTURAS!$L$6:$L$28,$P1989),INDEX(PARAMETROS_CULTURAS!$L$6:$L$28,$P1989)+(INDEX(PARAMETROS_CULTURAS!$M$6:$M$28,$P1989)-INDEX(PARAMETROS_CULTURAS!$L$6:$L$28,$P1989))*($O1989-INDEX(PARAMETROS_CULTURAS!$F$6:$F$28,$P1989)-INDEX(PARAMETROS_CULTURAS!$G$6:$G$28,$P1989)-INDEX(PARAMETROS_CULTURAS!$H$6:$H$28,$P1989))/MAX(INDEX(PARAMETROS_CULTURAS!$I$6:$I$28,$P1989),0.0001)))))</f>
        <v>0</v>
      </c>
      <c r="S1989" s="18" t="n">
        <f aca="false">IFERROR(INDEX(SEMANAS!$H$6:$H$71,MATCH($B1989,SEMANAS!$B$6:$B$71,0)),0)</f>
        <v>40.6</v>
      </c>
      <c r="T1989" s="18" t="n">
        <f aca="false">$R1989*$S1989</f>
        <v>0</v>
      </c>
      <c r="U1989" s="18" t="n">
        <f aca="false">IFERROR(INDEX(SEMANAS!$I$6:$I$71,MATCH($B1989,SEMANAS!$B$6:$B$71,0)),0)</f>
        <v>7</v>
      </c>
      <c r="V1989" s="18" t="n">
        <f aca="false">IFERROR(INDEX(SEMANAS!$J$6:$J$71,MATCH($B1989,SEMANAS!$B$6:$B$71,0)),0)</f>
        <v>5.6</v>
      </c>
      <c r="W1989" s="18" t="n">
        <f aca="false">MAX(0,$T1989-$V1989)</f>
        <v>0</v>
      </c>
      <c r="X1989" s="19" t="n">
        <f aca="false">IFERROR(INDEX(CADASTRO_PIVOS!$K$6:$K$41,MATCH($E1989,CADASTRO_PIVOS!$B$6:$B$41,0)),EFICIENCIA_PADRAO)</f>
        <v>0.85</v>
      </c>
      <c r="Y1989" s="18" t="n">
        <f aca="false">IF($X1989&lt;=0,0,$W1989/$X1989)</f>
        <v>0</v>
      </c>
      <c r="Z1989" s="16" t="n">
        <f aca="false">$Y1989*$H1989*MM_PARA_M3_HA</f>
        <v>0</v>
      </c>
      <c r="AA1989" s="18" t="n">
        <f aca="false">IFERROR(INDEX(CADASTRO_PIVOS!$I$6:$I$41,MATCH($E1989,CADASTRO_PIVOS!$B$6:$B$41,0)),0)</f>
        <v>710.571428571429</v>
      </c>
      <c r="AB1989" s="18" t="n">
        <f aca="false">IF($Z1989&lt;=0,0,$Z1989/$AA1989)</f>
        <v>0</v>
      </c>
      <c r="AC1989" s="16" t="n">
        <f aca="false">IFERROR(INDEX(SEMANAS!$K$6:$K$71,MATCH($B1989,SEMANAS!$B$6:$B$71,0)),0)</f>
        <v>147</v>
      </c>
      <c r="AD1989" s="19" t="n">
        <f aca="false">IF($AC1989&lt;=0,0,$AB1989/$AC1989)</f>
        <v>0</v>
      </c>
      <c r="AE1989" s="8" t="str">
        <f aca="false">IF($K1989="SEM CULTURA","SEM CULTURA",IF($AA1989&lt;=0,"DADO PENDENTE",IF($AD1989&gt;LIMITE_CRITICO,"INVIAVEL",IF($AD1989&gt;LIMITE_ATENCAO,"CRITICO",IF($AD1989&gt;LIMITE_CONFORTAVEL,"ATENCAO","OK")))))</f>
        <v>SEM CULTURA</v>
      </c>
      <c r="AF1989" s="8" t="str">
        <f aca="false">$B1989&amp;"|"&amp;TEXT($AD1989,"0.000000")</f>
        <v>4|0.000000</v>
      </c>
      <c r="AG1989" s="18" t="n">
        <f aca="false">IF($K1989="SEM CULTURA",0,$T1989*$H1989)</f>
        <v>0</v>
      </c>
      <c r="AH1989" s="18" t="n">
        <f aca="false">IF($K1989="SEM CULTURA",0,$V1989*$H1989)</f>
        <v>0</v>
      </c>
      <c r="AI1989" s="18" t="n">
        <f aca="false">IF($K1989="SEM CULTURA",0,$W1989*$H1989)</f>
        <v>0</v>
      </c>
      <c r="AJ1989" s="18" t="n">
        <f aca="false">IF($K1989="SEM CULTURA",0,$S1989*$H1989)</f>
        <v>0</v>
      </c>
      <c r="AK1989" s="8" t="str">
        <f aca="false">$E1989&amp;"|"&amp;TEXT($AD1989,"0.000000")</f>
        <v>PV 127|0.000000</v>
      </c>
    </row>
    <row r="1990" customFormat="false" ht="15" hidden="false" customHeight="false" outlineLevel="0" collapsed="false">
      <c r="B1990" s="16" t="n">
        <v>5</v>
      </c>
      <c r="C1990" s="17" t="n">
        <f aca="false">DATA_INICIO_SAFRA+($B1990-1)*DIAS_POR_SEMANA</f>
        <v>46293</v>
      </c>
      <c r="D1990" s="17" t="n">
        <f aca="false">$C1990+DIAS_POR_SEMANA-1</f>
        <v>46299</v>
      </c>
      <c r="E1990" s="15" t="s">
        <v>289</v>
      </c>
      <c r="F1990" s="8" t="str">
        <f aca="false">IFERROR(INDEX(CADASTRO_PIVOS!$C$6:$C$41,MATCH($E1990,CADASTRO_PIVOS!$B$6:$B$41,0)),"?")</f>
        <v>RM07</v>
      </c>
      <c r="G1990" s="8" t="str">
        <f aca="false">IFERROR(INDEX(CADASTRO_PIVOS!$D$6:$D$41,MATCH($E1990,CADASTRO_PIVOS!$B$6:$B$41,0)),"?")</f>
        <v>TR07</v>
      </c>
      <c r="H1990" s="20" t="n">
        <f aca="false">IFERROR(INDEX(CADASTRO_PIVOS!$E$6:$E$41,MATCH($E1990,CADASTRO_PIVOS!$B$6:$B$41,0)),0)</f>
        <v>99.48</v>
      </c>
      <c r="I1990" s="16" t="n">
        <f aca="false">IFERROR(SUMIFS(ROTACAO_RDM!$B$6:$B$71,ROTACAO_RDM!$D$6:$D$71,$E1990,ROTACAO_RDM!$I$6:$I$71,"&lt;="&amp;$C1990+INT(DIAS_POR_SEMANA/2),ROTACAO_RDM!$J$6:$J$71,"&gt;="&amp;$C1990+INT(DIAS_POR_SEMANA/2)),0)</f>
        <v>0</v>
      </c>
      <c r="J1990" s="16" t="n">
        <f aca="false">IFERROR(MATCH($I1990,ROTACAO_RDM!$B$6:$B$71,0),0)</f>
        <v>0</v>
      </c>
      <c r="K1990" s="8" t="str">
        <f aca="false">IF($J1990=0,"SEM CULTURA",INDEX(ROTACAO_RDM!$F$6:$F$71,$J1990))</f>
        <v>SEM CULTURA</v>
      </c>
      <c r="L1990" s="8" t="str">
        <f aca="false">IF($J1990=0,"",INDEX(ROTACAO_RDM!$G$6:$G$71,$J1990))</f>
        <v/>
      </c>
      <c r="M1990" s="17" t="str">
        <f aca="false">IF($J1990=0,"",INDEX(ROTACAO_RDM!$I$6:$I$71,$J1990))</f>
        <v/>
      </c>
      <c r="N1990" s="16" t="n">
        <f aca="false">IF($J1990=0,0,MAX(0,$C1990+INT(DIAS_POR_SEMANA/2)-INDEX(ROTACAO_RDM!$I$6:$I$71,$J1990)))</f>
        <v>0</v>
      </c>
      <c r="O1990" s="19" t="n">
        <f aca="false">IF($J1990=0,0,MIN(1,$N1990/MAX(1,INDEX(ROTACAO_RDM!$K$6:$K$71,$J1990))))</f>
        <v>0</v>
      </c>
      <c r="P1990" s="16" t="n">
        <f aca="false">IF($J1990=0,0,IFERROR(MATCH(INDEX(ROTACAO_RDM!$N$6:$N$71,$J1990),PARAMETROS_CULTURAS!$B$6:$B$28,0),0))</f>
        <v>0</v>
      </c>
      <c r="Q1990" s="8" t="str">
        <f aca="false">IF($P1990=0,"-",IF($O1990&lt;=INDEX(PARAMETROS_CULTURAS!$F$6:$F$28,$P1990),"INICIAL",IF($O1990&lt;=INDEX(PARAMETROS_CULTURAS!$F$6:$F$28,$P1990)+INDEX(PARAMETROS_CULTURAS!$G$6:$G$28,$P1990),"DESENVOLVIMENTO",IF($O1990&lt;=INDEX(PARAMETROS_CULTURAS!$F$6:$F$28,$P1990)+INDEX(PARAMETROS_CULTURAS!$G$6:$G$28,$P1990)+INDEX(PARAMETROS_CULTURAS!$H$6:$H$28,$P1990),"MEDIA","FINAL"))))</f>
        <v>-</v>
      </c>
      <c r="R1990" s="24" t="n">
        <f aca="false">IF($P1990=0,0,IF($O1990&lt;=INDEX(PARAMETROS_CULTURAS!$F$6:$F$28,$P1990),INDEX(PARAMETROS_CULTURAS!$K$6:$K$28,$P1990),IF($O1990&lt;=INDEX(PARAMETROS_CULTURAS!$F$6:$F$28,$P1990)+INDEX(PARAMETROS_CULTURAS!$G$6:$G$28,$P1990),INDEX(PARAMETROS_CULTURAS!$K$6:$K$28,$P1990)+(INDEX(PARAMETROS_CULTURAS!$L$6:$L$28,$P1990)-INDEX(PARAMETROS_CULTURAS!$K$6:$K$28,$P1990))*($O1990-INDEX(PARAMETROS_CULTURAS!$F$6:$F$28,$P1990))/MAX(INDEX(PARAMETROS_CULTURAS!$G$6:$G$28,$P1990),0.0001),IF($O1990&lt;=INDEX(PARAMETROS_CULTURAS!$F$6:$F$28,$P1990)+INDEX(PARAMETROS_CULTURAS!$G$6:$G$28,$P1990)+INDEX(PARAMETROS_CULTURAS!$H$6:$H$28,$P1990),INDEX(PARAMETROS_CULTURAS!$L$6:$L$28,$P1990),INDEX(PARAMETROS_CULTURAS!$L$6:$L$28,$P1990)+(INDEX(PARAMETROS_CULTURAS!$M$6:$M$28,$P1990)-INDEX(PARAMETROS_CULTURAS!$L$6:$L$28,$P1990))*($O1990-INDEX(PARAMETROS_CULTURAS!$F$6:$F$28,$P1990)-INDEX(PARAMETROS_CULTURAS!$G$6:$G$28,$P1990)-INDEX(PARAMETROS_CULTURAS!$H$6:$H$28,$P1990))/MAX(INDEX(PARAMETROS_CULTURAS!$I$6:$I$28,$P1990),0.0001)))))</f>
        <v>0</v>
      </c>
      <c r="S1990" s="18" t="n">
        <f aca="false">IFERROR(INDEX(SEMANAS!$H$6:$H$71,MATCH($B1990,SEMANAS!$B$6:$B$71,0)),0)</f>
        <v>39.8</v>
      </c>
      <c r="T1990" s="18" t="n">
        <f aca="false">$R1990*$S1990</f>
        <v>0</v>
      </c>
      <c r="U1990" s="18" t="n">
        <f aca="false">IFERROR(INDEX(SEMANAS!$I$6:$I$71,MATCH($B1990,SEMANAS!$B$6:$B$71,0)),0)</f>
        <v>18.48</v>
      </c>
      <c r="V1990" s="18" t="n">
        <f aca="false">IFERROR(INDEX(SEMANAS!$J$6:$J$71,MATCH($B1990,SEMANAS!$B$6:$B$71,0)),0)</f>
        <v>14.784</v>
      </c>
      <c r="W1990" s="18" t="n">
        <f aca="false">MAX(0,$T1990-$V1990)</f>
        <v>0</v>
      </c>
      <c r="X1990" s="19" t="n">
        <f aca="false">IFERROR(INDEX(CADASTRO_PIVOS!$K$6:$K$41,MATCH($E1990,CADASTRO_PIVOS!$B$6:$B$41,0)),EFICIENCIA_PADRAO)</f>
        <v>0.85</v>
      </c>
      <c r="Y1990" s="18" t="n">
        <f aca="false">IF($X1990&lt;=0,0,$W1990/$X1990)</f>
        <v>0</v>
      </c>
      <c r="Z1990" s="16" t="n">
        <f aca="false">$Y1990*$H1990*MM_PARA_M3_HA</f>
        <v>0</v>
      </c>
      <c r="AA1990" s="18" t="n">
        <f aca="false">IFERROR(INDEX(CADASTRO_PIVOS!$I$6:$I$41,MATCH($E1990,CADASTRO_PIVOS!$B$6:$B$41,0)),0)</f>
        <v>710.571428571429</v>
      </c>
      <c r="AB1990" s="18" t="n">
        <f aca="false">IF($Z1990&lt;=0,0,$Z1990/$AA1990)</f>
        <v>0</v>
      </c>
      <c r="AC1990" s="16" t="n">
        <f aca="false">IFERROR(INDEX(SEMANAS!$K$6:$K$71,MATCH($B1990,SEMANAS!$B$6:$B$71,0)),0)</f>
        <v>147</v>
      </c>
      <c r="AD1990" s="19" t="n">
        <f aca="false">IF($AC1990&lt;=0,0,$AB1990/$AC1990)</f>
        <v>0</v>
      </c>
      <c r="AE1990" s="8" t="str">
        <f aca="false">IF($K1990="SEM CULTURA","SEM CULTURA",IF($AA1990&lt;=0,"DADO PENDENTE",IF($AD1990&gt;LIMITE_CRITICO,"INVIAVEL",IF($AD1990&gt;LIMITE_ATENCAO,"CRITICO",IF($AD1990&gt;LIMITE_CONFORTAVEL,"ATENCAO","OK")))))</f>
        <v>SEM CULTURA</v>
      </c>
      <c r="AF1990" s="8" t="str">
        <f aca="false">$B1990&amp;"|"&amp;TEXT($AD1990,"0.000000")</f>
        <v>5|0.000000</v>
      </c>
      <c r="AG1990" s="18" t="n">
        <f aca="false">IF($K1990="SEM CULTURA",0,$T1990*$H1990)</f>
        <v>0</v>
      </c>
      <c r="AH1990" s="18" t="n">
        <f aca="false">IF($K1990="SEM CULTURA",0,$V1990*$H1990)</f>
        <v>0</v>
      </c>
      <c r="AI1990" s="18" t="n">
        <f aca="false">IF($K1990="SEM CULTURA",0,$W1990*$H1990)</f>
        <v>0</v>
      </c>
      <c r="AJ1990" s="18" t="n">
        <f aca="false">IF($K1990="SEM CULTURA",0,$S1990*$H1990)</f>
        <v>0</v>
      </c>
      <c r="AK1990" s="8" t="str">
        <f aca="false">$E1990&amp;"|"&amp;TEXT($AD1990,"0.000000")</f>
        <v>PV 127|0.000000</v>
      </c>
    </row>
    <row r="1991" customFormat="false" ht="15" hidden="false" customHeight="false" outlineLevel="0" collapsed="false">
      <c r="B1991" s="16" t="n">
        <v>6</v>
      </c>
      <c r="C1991" s="17" t="n">
        <f aca="false">DATA_INICIO_SAFRA+($B1991-1)*DIAS_POR_SEMANA</f>
        <v>46300</v>
      </c>
      <c r="D1991" s="17" t="n">
        <f aca="false">$C1991+DIAS_POR_SEMANA-1</f>
        <v>46306</v>
      </c>
      <c r="E1991" s="15" t="s">
        <v>289</v>
      </c>
      <c r="F1991" s="8" t="str">
        <f aca="false">IFERROR(INDEX(CADASTRO_PIVOS!$C$6:$C$41,MATCH($E1991,CADASTRO_PIVOS!$B$6:$B$41,0)),"?")</f>
        <v>RM07</v>
      </c>
      <c r="G1991" s="8" t="str">
        <f aca="false">IFERROR(INDEX(CADASTRO_PIVOS!$D$6:$D$41,MATCH($E1991,CADASTRO_PIVOS!$B$6:$B$41,0)),"?")</f>
        <v>TR07</v>
      </c>
      <c r="H1991" s="20" t="n">
        <f aca="false">IFERROR(INDEX(CADASTRO_PIVOS!$E$6:$E$41,MATCH($E1991,CADASTRO_PIVOS!$B$6:$B$41,0)),0)</f>
        <v>99.48</v>
      </c>
      <c r="I1991" s="16" t="n">
        <f aca="false">IFERROR(SUMIFS(ROTACAO_RDM!$B$6:$B$71,ROTACAO_RDM!$D$6:$D$71,$E1991,ROTACAO_RDM!$I$6:$I$71,"&lt;="&amp;$C1991+INT(DIAS_POR_SEMANA/2),ROTACAO_RDM!$J$6:$J$71,"&gt;="&amp;$C1991+INT(DIAS_POR_SEMANA/2)),0)</f>
        <v>0</v>
      </c>
      <c r="J1991" s="16" t="n">
        <f aca="false">IFERROR(MATCH($I1991,ROTACAO_RDM!$B$6:$B$71,0),0)</f>
        <v>0</v>
      </c>
      <c r="K1991" s="8" t="str">
        <f aca="false">IF($J1991=0,"SEM CULTURA",INDEX(ROTACAO_RDM!$F$6:$F$71,$J1991))</f>
        <v>SEM CULTURA</v>
      </c>
      <c r="L1991" s="8" t="str">
        <f aca="false">IF($J1991=0,"",INDEX(ROTACAO_RDM!$G$6:$G$71,$J1991))</f>
        <v/>
      </c>
      <c r="M1991" s="17" t="str">
        <f aca="false">IF($J1991=0,"",INDEX(ROTACAO_RDM!$I$6:$I$71,$J1991))</f>
        <v/>
      </c>
      <c r="N1991" s="16" t="n">
        <f aca="false">IF($J1991=0,0,MAX(0,$C1991+INT(DIAS_POR_SEMANA/2)-INDEX(ROTACAO_RDM!$I$6:$I$71,$J1991)))</f>
        <v>0</v>
      </c>
      <c r="O1991" s="19" t="n">
        <f aca="false">IF($J1991=0,0,MIN(1,$N1991/MAX(1,INDEX(ROTACAO_RDM!$K$6:$K$71,$J1991))))</f>
        <v>0</v>
      </c>
      <c r="P1991" s="16" t="n">
        <f aca="false">IF($J1991=0,0,IFERROR(MATCH(INDEX(ROTACAO_RDM!$N$6:$N$71,$J1991),PARAMETROS_CULTURAS!$B$6:$B$28,0),0))</f>
        <v>0</v>
      </c>
      <c r="Q1991" s="8" t="str">
        <f aca="false">IF($P1991=0,"-",IF($O1991&lt;=INDEX(PARAMETROS_CULTURAS!$F$6:$F$28,$P1991),"INICIAL",IF($O1991&lt;=INDEX(PARAMETROS_CULTURAS!$F$6:$F$28,$P1991)+INDEX(PARAMETROS_CULTURAS!$G$6:$G$28,$P1991),"DESENVOLVIMENTO",IF($O1991&lt;=INDEX(PARAMETROS_CULTURAS!$F$6:$F$28,$P1991)+INDEX(PARAMETROS_CULTURAS!$G$6:$G$28,$P1991)+INDEX(PARAMETROS_CULTURAS!$H$6:$H$28,$P1991),"MEDIA","FINAL"))))</f>
        <v>-</v>
      </c>
      <c r="R1991" s="24" t="n">
        <f aca="false">IF($P1991=0,0,IF($O1991&lt;=INDEX(PARAMETROS_CULTURAS!$F$6:$F$28,$P1991),INDEX(PARAMETROS_CULTURAS!$K$6:$K$28,$P1991),IF($O1991&lt;=INDEX(PARAMETROS_CULTURAS!$F$6:$F$28,$P1991)+INDEX(PARAMETROS_CULTURAS!$G$6:$G$28,$P1991),INDEX(PARAMETROS_CULTURAS!$K$6:$K$28,$P1991)+(INDEX(PARAMETROS_CULTURAS!$L$6:$L$28,$P1991)-INDEX(PARAMETROS_CULTURAS!$K$6:$K$28,$P1991))*($O1991-INDEX(PARAMETROS_CULTURAS!$F$6:$F$28,$P1991))/MAX(INDEX(PARAMETROS_CULTURAS!$G$6:$G$28,$P1991),0.0001),IF($O1991&lt;=INDEX(PARAMETROS_CULTURAS!$F$6:$F$28,$P1991)+INDEX(PARAMETROS_CULTURAS!$G$6:$G$28,$P1991)+INDEX(PARAMETROS_CULTURAS!$H$6:$H$28,$P1991),INDEX(PARAMETROS_CULTURAS!$L$6:$L$28,$P1991),INDEX(PARAMETROS_CULTURAS!$L$6:$L$28,$P1991)+(INDEX(PARAMETROS_CULTURAS!$M$6:$M$28,$P1991)-INDEX(PARAMETROS_CULTURAS!$L$6:$L$28,$P1991))*($O1991-INDEX(PARAMETROS_CULTURAS!$F$6:$F$28,$P1991)-INDEX(PARAMETROS_CULTURAS!$G$6:$G$28,$P1991)-INDEX(PARAMETROS_CULTURAS!$H$6:$H$28,$P1991))/MAX(INDEX(PARAMETROS_CULTURAS!$I$6:$I$28,$P1991),0.0001)))))</f>
        <v>0</v>
      </c>
      <c r="S1991" s="18" t="n">
        <f aca="false">IFERROR(INDEX(SEMANAS!$H$6:$H$71,MATCH($B1991,SEMANAS!$B$6:$B$71,0)),0)</f>
        <v>39.2</v>
      </c>
      <c r="T1991" s="18" t="n">
        <f aca="false">$R1991*$S1991</f>
        <v>0</v>
      </c>
      <c r="U1991" s="18" t="n">
        <f aca="false">IFERROR(INDEX(SEMANAS!$I$6:$I$71,MATCH($B1991,SEMANAS!$B$6:$B$71,0)),0)</f>
        <v>27.09</v>
      </c>
      <c r="V1991" s="18" t="n">
        <f aca="false">IFERROR(INDEX(SEMANAS!$J$6:$J$71,MATCH($B1991,SEMANAS!$B$6:$B$71,0)),0)</f>
        <v>21.672</v>
      </c>
      <c r="W1991" s="18" t="n">
        <f aca="false">MAX(0,$T1991-$V1991)</f>
        <v>0</v>
      </c>
      <c r="X1991" s="19" t="n">
        <f aca="false">IFERROR(INDEX(CADASTRO_PIVOS!$K$6:$K$41,MATCH($E1991,CADASTRO_PIVOS!$B$6:$B$41,0)),EFICIENCIA_PADRAO)</f>
        <v>0.85</v>
      </c>
      <c r="Y1991" s="18" t="n">
        <f aca="false">IF($X1991&lt;=0,0,$W1991/$X1991)</f>
        <v>0</v>
      </c>
      <c r="Z1991" s="16" t="n">
        <f aca="false">$Y1991*$H1991*MM_PARA_M3_HA</f>
        <v>0</v>
      </c>
      <c r="AA1991" s="18" t="n">
        <f aca="false">IFERROR(INDEX(CADASTRO_PIVOS!$I$6:$I$41,MATCH($E1991,CADASTRO_PIVOS!$B$6:$B$41,0)),0)</f>
        <v>710.571428571429</v>
      </c>
      <c r="AB1991" s="18" t="n">
        <f aca="false">IF($Z1991&lt;=0,0,$Z1991/$AA1991)</f>
        <v>0</v>
      </c>
      <c r="AC1991" s="16" t="n">
        <f aca="false">IFERROR(INDEX(SEMANAS!$K$6:$K$71,MATCH($B1991,SEMANAS!$B$6:$B$71,0)),0)</f>
        <v>147</v>
      </c>
      <c r="AD1991" s="19" t="n">
        <f aca="false">IF($AC1991&lt;=0,0,$AB1991/$AC1991)</f>
        <v>0</v>
      </c>
      <c r="AE1991" s="8" t="str">
        <f aca="false">IF($K1991="SEM CULTURA","SEM CULTURA",IF($AA1991&lt;=0,"DADO PENDENTE",IF($AD1991&gt;LIMITE_CRITICO,"INVIAVEL",IF($AD1991&gt;LIMITE_ATENCAO,"CRITICO",IF($AD1991&gt;LIMITE_CONFORTAVEL,"ATENCAO","OK")))))</f>
        <v>SEM CULTURA</v>
      </c>
      <c r="AF1991" s="8" t="str">
        <f aca="false">$B1991&amp;"|"&amp;TEXT($AD1991,"0.000000")</f>
        <v>6|0.000000</v>
      </c>
      <c r="AG1991" s="18" t="n">
        <f aca="false">IF($K1991="SEM CULTURA",0,$T1991*$H1991)</f>
        <v>0</v>
      </c>
      <c r="AH1991" s="18" t="n">
        <f aca="false">IF($K1991="SEM CULTURA",0,$V1991*$H1991)</f>
        <v>0</v>
      </c>
      <c r="AI1991" s="18" t="n">
        <f aca="false">IF($K1991="SEM CULTURA",0,$W1991*$H1991)</f>
        <v>0</v>
      </c>
      <c r="AJ1991" s="18" t="n">
        <f aca="false">IF($K1991="SEM CULTURA",0,$S1991*$H1991)</f>
        <v>0</v>
      </c>
      <c r="AK1991" s="8" t="str">
        <f aca="false">$E1991&amp;"|"&amp;TEXT($AD1991,"0.000000")</f>
        <v>PV 127|0.000000</v>
      </c>
    </row>
    <row r="1992" customFormat="false" ht="15" hidden="false" customHeight="false" outlineLevel="0" collapsed="false">
      <c r="B1992" s="16" t="n">
        <v>7</v>
      </c>
      <c r="C1992" s="17" t="n">
        <f aca="false">DATA_INICIO_SAFRA+($B1992-1)*DIAS_POR_SEMANA</f>
        <v>46307</v>
      </c>
      <c r="D1992" s="17" t="n">
        <f aca="false">$C1992+DIAS_POR_SEMANA-1</f>
        <v>46313</v>
      </c>
      <c r="E1992" s="15" t="s">
        <v>289</v>
      </c>
      <c r="F1992" s="8" t="str">
        <f aca="false">IFERROR(INDEX(CADASTRO_PIVOS!$C$6:$C$41,MATCH($E1992,CADASTRO_PIVOS!$B$6:$B$41,0)),"?")</f>
        <v>RM07</v>
      </c>
      <c r="G1992" s="8" t="str">
        <f aca="false">IFERROR(INDEX(CADASTRO_PIVOS!$D$6:$D$41,MATCH($E1992,CADASTRO_PIVOS!$B$6:$B$41,0)),"?")</f>
        <v>TR07</v>
      </c>
      <c r="H1992" s="20" t="n">
        <f aca="false">IFERROR(INDEX(CADASTRO_PIVOS!$E$6:$E$41,MATCH($E1992,CADASTRO_PIVOS!$B$6:$B$41,0)),0)</f>
        <v>99.48</v>
      </c>
      <c r="I1992" s="16" t="n">
        <f aca="false">IFERROR(SUMIFS(ROTACAO_RDM!$B$6:$B$71,ROTACAO_RDM!$D$6:$D$71,$E1992,ROTACAO_RDM!$I$6:$I$71,"&lt;="&amp;$C1992+INT(DIAS_POR_SEMANA/2),ROTACAO_RDM!$J$6:$J$71,"&gt;="&amp;$C1992+INT(DIAS_POR_SEMANA/2)),0)</f>
        <v>51</v>
      </c>
      <c r="J1992" s="16" t="n">
        <f aca="false">IFERROR(MATCH($I1992,ROTACAO_RDM!$B$6:$B$71,0),0)</f>
        <v>51</v>
      </c>
      <c r="K1992" s="8" t="str">
        <f aca="false">IF($J1992=0,"SEM CULTURA",INDEX(ROTACAO_RDM!$F$6:$F$71,$J1992))</f>
        <v>SOJA</v>
      </c>
      <c r="L1992" s="8" t="str">
        <f aca="false">IF($J1992=0,"",INDEX(ROTACAO_RDM!$G$6:$G$71,$J1992))</f>
        <v>NEO 761 I2X</v>
      </c>
      <c r="M1992" s="17" t="n">
        <f aca="false">IF($J1992=0,"",INDEX(ROTACAO_RDM!$I$6:$I$71,$J1992))</f>
        <v>46308</v>
      </c>
      <c r="N1992" s="16" t="n">
        <f aca="false">IF($J1992=0,0,MAX(0,$C1992+INT(DIAS_POR_SEMANA/2)-INDEX(ROTACAO_RDM!$I$6:$I$71,$J1992)))</f>
        <v>2</v>
      </c>
      <c r="O1992" s="19" t="n">
        <f aca="false">IF($J1992=0,0,MIN(1,$N1992/MAX(1,INDEX(ROTACAO_RDM!$K$6:$K$71,$J1992))))</f>
        <v>0.0172413793103448</v>
      </c>
      <c r="P1992" s="16" t="n">
        <f aca="false">IF($J1992=0,0,IFERROR(MATCH(INDEX(ROTACAO_RDM!$N$6:$N$71,$J1992),PARAMETROS_CULTURAS!$B$6:$B$28,0),0))</f>
        <v>2</v>
      </c>
      <c r="Q1992" s="8" t="str">
        <f aca="false">IF($P1992=0,"-",IF($O1992&lt;=INDEX(PARAMETROS_CULTURAS!$F$6:$F$28,$P1992),"INICIAL",IF($O1992&lt;=INDEX(PARAMETROS_CULTURAS!$F$6:$F$28,$P1992)+INDEX(PARAMETROS_CULTURAS!$G$6:$G$28,$P1992),"DESENVOLVIMENTO",IF($O1992&lt;=INDEX(PARAMETROS_CULTURAS!$F$6:$F$28,$P1992)+INDEX(PARAMETROS_CULTURAS!$G$6:$G$28,$P1992)+INDEX(PARAMETROS_CULTURAS!$H$6:$H$28,$P1992),"MEDIA","FINAL"))))</f>
        <v>INICIAL</v>
      </c>
      <c r="R1992" s="24" t="n">
        <f aca="false">IF($P1992=0,0,IF($O1992&lt;=INDEX(PARAMETROS_CULTURAS!$F$6:$F$28,$P1992),INDEX(PARAMETROS_CULTURAS!$K$6:$K$28,$P1992),IF($O1992&lt;=INDEX(PARAMETROS_CULTURAS!$F$6:$F$28,$P1992)+INDEX(PARAMETROS_CULTURAS!$G$6:$G$28,$P1992),INDEX(PARAMETROS_CULTURAS!$K$6:$K$28,$P1992)+(INDEX(PARAMETROS_CULTURAS!$L$6:$L$28,$P1992)-INDEX(PARAMETROS_CULTURAS!$K$6:$K$28,$P1992))*($O1992-INDEX(PARAMETROS_CULTURAS!$F$6:$F$28,$P1992))/MAX(INDEX(PARAMETROS_CULTURAS!$G$6:$G$28,$P1992),0.0001),IF($O1992&lt;=INDEX(PARAMETROS_CULTURAS!$F$6:$F$28,$P1992)+INDEX(PARAMETROS_CULTURAS!$G$6:$G$28,$P1992)+INDEX(PARAMETROS_CULTURAS!$H$6:$H$28,$P1992),INDEX(PARAMETROS_CULTURAS!$L$6:$L$28,$P1992),INDEX(PARAMETROS_CULTURAS!$L$6:$L$28,$P1992)+(INDEX(PARAMETROS_CULTURAS!$M$6:$M$28,$P1992)-INDEX(PARAMETROS_CULTURAS!$L$6:$L$28,$P1992))*($O1992-INDEX(PARAMETROS_CULTURAS!$F$6:$F$28,$P1992)-INDEX(PARAMETROS_CULTURAS!$G$6:$G$28,$P1992)-INDEX(PARAMETROS_CULTURAS!$H$6:$H$28,$P1992))/MAX(INDEX(PARAMETROS_CULTURAS!$I$6:$I$28,$P1992),0.0001)))))</f>
        <v>0.4</v>
      </c>
      <c r="S1992" s="18" t="n">
        <f aca="false">IFERROR(INDEX(SEMANAS!$H$6:$H$71,MATCH($B1992,SEMANAS!$B$6:$B$71,0)),0)</f>
        <v>39.2</v>
      </c>
      <c r="T1992" s="18" t="n">
        <f aca="false">$R1992*$S1992</f>
        <v>15.68</v>
      </c>
      <c r="U1992" s="18" t="n">
        <f aca="false">IFERROR(INDEX(SEMANAS!$I$6:$I$71,MATCH($B1992,SEMANAS!$B$6:$B$71,0)),0)</f>
        <v>27.09</v>
      </c>
      <c r="V1992" s="18" t="n">
        <f aca="false">IFERROR(INDEX(SEMANAS!$J$6:$J$71,MATCH($B1992,SEMANAS!$B$6:$B$71,0)),0)</f>
        <v>21.672</v>
      </c>
      <c r="W1992" s="18" t="n">
        <f aca="false">MAX(0,$T1992-$V1992)</f>
        <v>0</v>
      </c>
      <c r="X1992" s="19" t="n">
        <f aca="false">IFERROR(INDEX(CADASTRO_PIVOS!$K$6:$K$41,MATCH($E1992,CADASTRO_PIVOS!$B$6:$B$41,0)),EFICIENCIA_PADRAO)</f>
        <v>0.85</v>
      </c>
      <c r="Y1992" s="18" t="n">
        <f aca="false">IF($X1992&lt;=0,0,$W1992/$X1992)</f>
        <v>0</v>
      </c>
      <c r="Z1992" s="16" t="n">
        <f aca="false">$Y1992*$H1992*MM_PARA_M3_HA</f>
        <v>0</v>
      </c>
      <c r="AA1992" s="18" t="n">
        <f aca="false">IFERROR(INDEX(CADASTRO_PIVOS!$I$6:$I$41,MATCH($E1992,CADASTRO_PIVOS!$B$6:$B$41,0)),0)</f>
        <v>710.571428571429</v>
      </c>
      <c r="AB1992" s="18" t="n">
        <f aca="false">IF($Z1992&lt;=0,0,$Z1992/$AA1992)</f>
        <v>0</v>
      </c>
      <c r="AC1992" s="16" t="n">
        <f aca="false">IFERROR(INDEX(SEMANAS!$K$6:$K$71,MATCH($B1992,SEMANAS!$B$6:$B$71,0)),0)</f>
        <v>147</v>
      </c>
      <c r="AD1992" s="19" t="n">
        <f aca="false">IF($AC1992&lt;=0,0,$AB1992/$AC1992)</f>
        <v>0</v>
      </c>
      <c r="AE1992" s="8" t="str">
        <f aca="false">IF($K1992="SEM CULTURA","SEM CULTURA",IF($AA1992&lt;=0,"DADO PENDENTE",IF($AD1992&gt;LIMITE_CRITICO,"INVIAVEL",IF($AD1992&gt;LIMITE_ATENCAO,"CRITICO",IF($AD1992&gt;LIMITE_CONFORTAVEL,"ATENCAO","OK")))))</f>
        <v>OK</v>
      </c>
      <c r="AF1992" s="8" t="str">
        <f aca="false">$B1992&amp;"|"&amp;TEXT($AD1992,"0.000000")</f>
        <v>7|0.000000</v>
      </c>
      <c r="AG1992" s="18" t="n">
        <f aca="false">IF($K1992="SEM CULTURA",0,$T1992*$H1992)</f>
        <v>1559.8464</v>
      </c>
      <c r="AH1992" s="18" t="n">
        <f aca="false">IF($K1992="SEM CULTURA",0,$V1992*$H1992)</f>
        <v>2155.93056</v>
      </c>
      <c r="AI1992" s="18" t="n">
        <f aca="false">IF($K1992="SEM CULTURA",0,$W1992*$H1992)</f>
        <v>0</v>
      </c>
      <c r="AJ1992" s="18" t="n">
        <f aca="false">IF($K1992="SEM CULTURA",0,$S1992*$H1992)</f>
        <v>3899.616</v>
      </c>
      <c r="AK1992" s="8" t="str">
        <f aca="false">$E1992&amp;"|"&amp;TEXT($AD1992,"0.000000")</f>
        <v>PV 127|0.000000</v>
      </c>
    </row>
    <row r="1993" customFormat="false" ht="15" hidden="false" customHeight="false" outlineLevel="0" collapsed="false">
      <c r="B1993" s="16" t="n">
        <v>8</v>
      </c>
      <c r="C1993" s="17" t="n">
        <f aca="false">DATA_INICIO_SAFRA+($B1993-1)*DIAS_POR_SEMANA</f>
        <v>46314</v>
      </c>
      <c r="D1993" s="17" t="n">
        <f aca="false">$C1993+DIAS_POR_SEMANA-1</f>
        <v>46320</v>
      </c>
      <c r="E1993" s="15" t="s">
        <v>289</v>
      </c>
      <c r="F1993" s="8" t="str">
        <f aca="false">IFERROR(INDEX(CADASTRO_PIVOS!$C$6:$C$41,MATCH($E1993,CADASTRO_PIVOS!$B$6:$B$41,0)),"?")</f>
        <v>RM07</v>
      </c>
      <c r="G1993" s="8" t="str">
        <f aca="false">IFERROR(INDEX(CADASTRO_PIVOS!$D$6:$D$41,MATCH($E1993,CADASTRO_PIVOS!$B$6:$B$41,0)),"?")</f>
        <v>TR07</v>
      </c>
      <c r="H1993" s="20" t="n">
        <f aca="false">IFERROR(INDEX(CADASTRO_PIVOS!$E$6:$E$41,MATCH($E1993,CADASTRO_PIVOS!$B$6:$B$41,0)),0)</f>
        <v>99.48</v>
      </c>
      <c r="I1993" s="16" t="n">
        <f aca="false">IFERROR(SUMIFS(ROTACAO_RDM!$B$6:$B$71,ROTACAO_RDM!$D$6:$D$71,$E1993,ROTACAO_RDM!$I$6:$I$71,"&lt;="&amp;$C1993+INT(DIAS_POR_SEMANA/2),ROTACAO_RDM!$J$6:$J$71,"&gt;="&amp;$C1993+INT(DIAS_POR_SEMANA/2)),0)</f>
        <v>51</v>
      </c>
      <c r="J1993" s="16" t="n">
        <f aca="false">IFERROR(MATCH($I1993,ROTACAO_RDM!$B$6:$B$71,0),0)</f>
        <v>51</v>
      </c>
      <c r="K1993" s="8" t="str">
        <f aca="false">IF($J1993=0,"SEM CULTURA",INDEX(ROTACAO_RDM!$F$6:$F$71,$J1993))</f>
        <v>SOJA</v>
      </c>
      <c r="L1993" s="8" t="str">
        <f aca="false">IF($J1993=0,"",INDEX(ROTACAO_RDM!$G$6:$G$71,$J1993))</f>
        <v>NEO 761 I2X</v>
      </c>
      <c r="M1993" s="17" t="n">
        <f aca="false">IF($J1993=0,"",INDEX(ROTACAO_RDM!$I$6:$I$71,$J1993))</f>
        <v>46308</v>
      </c>
      <c r="N1993" s="16" t="n">
        <f aca="false">IF($J1993=0,0,MAX(0,$C1993+INT(DIAS_POR_SEMANA/2)-INDEX(ROTACAO_RDM!$I$6:$I$71,$J1993)))</f>
        <v>9</v>
      </c>
      <c r="O1993" s="19" t="n">
        <f aca="false">IF($J1993=0,0,MIN(1,$N1993/MAX(1,INDEX(ROTACAO_RDM!$K$6:$K$71,$J1993))))</f>
        <v>0.0775862068965517</v>
      </c>
      <c r="P1993" s="16" t="n">
        <f aca="false">IF($J1993=0,0,IFERROR(MATCH(INDEX(ROTACAO_RDM!$N$6:$N$71,$J1993),PARAMETROS_CULTURAS!$B$6:$B$28,0),0))</f>
        <v>2</v>
      </c>
      <c r="Q1993" s="8" t="str">
        <f aca="false">IF($P1993=0,"-",IF($O1993&lt;=INDEX(PARAMETROS_CULTURAS!$F$6:$F$28,$P1993),"INICIAL",IF($O1993&lt;=INDEX(PARAMETROS_CULTURAS!$F$6:$F$28,$P1993)+INDEX(PARAMETROS_CULTURAS!$G$6:$G$28,$P1993),"DESENVOLVIMENTO",IF($O1993&lt;=INDEX(PARAMETROS_CULTURAS!$F$6:$F$28,$P1993)+INDEX(PARAMETROS_CULTURAS!$G$6:$G$28,$P1993)+INDEX(PARAMETROS_CULTURAS!$H$6:$H$28,$P1993),"MEDIA","FINAL"))))</f>
        <v>INICIAL</v>
      </c>
      <c r="R1993" s="24" t="n">
        <f aca="false">IF($P1993=0,0,IF($O1993&lt;=INDEX(PARAMETROS_CULTURAS!$F$6:$F$28,$P1993),INDEX(PARAMETROS_CULTURAS!$K$6:$K$28,$P1993),IF($O1993&lt;=INDEX(PARAMETROS_CULTURAS!$F$6:$F$28,$P1993)+INDEX(PARAMETROS_CULTURAS!$G$6:$G$28,$P1993),INDEX(PARAMETROS_CULTURAS!$K$6:$K$28,$P1993)+(INDEX(PARAMETROS_CULTURAS!$L$6:$L$28,$P1993)-INDEX(PARAMETROS_CULTURAS!$K$6:$K$28,$P1993))*($O1993-INDEX(PARAMETROS_CULTURAS!$F$6:$F$28,$P1993))/MAX(INDEX(PARAMETROS_CULTURAS!$G$6:$G$28,$P1993),0.0001),IF($O1993&lt;=INDEX(PARAMETROS_CULTURAS!$F$6:$F$28,$P1993)+INDEX(PARAMETROS_CULTURAS!$G$6:$G$28,$P1993)+INDEX(PARAMETROS_CULTURAS!$H$6:$H$28,$P1993),INDEX(PARAMETROS_CULTURAS!$L$6:$L$28,$P1993),INDEX(PARAMETROS_CULTURAS!$L$6:$L$28,$P1993)+(INDEX(PARAMETROS_CULTURAS!$M$6:$M$28,$P1993)-INDEX(PARAMETROS_CULTURAS!$L$6:$L$28,$P1993))*($O1993-INDEX(PARAMETROS_CULTURAS!$F$6:$F$28,$P1993)-INDEX(PARAMETROS_CULTURAS!$G$6:$G$28,$P1993)-INDEX(PARAMETROS_CULTURAS!$H$6:$H$28,$P1993))/MAX(INDEX(PARAMETROS_CULTURAS!$I$6:$I$28,$P1993),0.0001)))))</f>
        <v>0.4</v>
      </c>
      <c r="S1993" s="18" t="n">
        <f aca="false">IFERROR(INDEX(SEMANAS!$H$6:$H$71,MATCH($B1993,SEMANAS!$B$6:$B$71,0)),0)</f>
        <v>39.2</v>
      </c>
      <c r="T1993" s="18" t="n">
        <f aca="false">$R1993*$S1993</f>
        <v>15.68</v>
      </c>
      <c r="U1993" s="18" t="n">
        <f aca="false">IFERROR(INDEX(SEMANAS!$I$6:$I$71,MATCH($B1993,SEMANAS!$B$6:$B$71,0)),0)</f>
        <v>27.09</v>
      </c>
      <c r="V1993" s="18" t="n">
        <f aca="false">IFERROR(INDEX(SEMANAS!$J$6:$J$71,MATCH($B1993,SEMANAS!$B$6:$B$71,0)),0)</f>
        <v>21.672</v>
      </c>
      <c r="W1993" s="18" t="n">
        <f aca="false">MAX(0,$T1993-$V1993)</f>
        <v>0</v>
      </c>
      <c r="X1993" s="19" t="n">
        <f aca="false">IFERROR(INDEX(CADASTRO_PIVOS!$K$6:$K$41,MATCH($E1993,CADASTRO_PIVOS!$B$6:$B$41,0)),EFICIENCIA_PADRAO)</f>
        <v>0.85</v>
      </c>
      <c r="Y1993" s="18" t="n">
        <f aca="false">IF($X1993&lt;=0,0,$W1993/$X1993)</f>
        <v>0</v>
      </c>
      <c r="Z1993" s="16" t="n">
        <f aca="false">$Y1993*$H1993*MM_PARA_M3_HA</f>
        <v>0</v>
      </c>
      <c r="AA1993" s="18" t="n">
        <f aca="false">IFERROR(INDEX(CADASTRO_PIVOS!$I$6:$I$41,MATCH($E1993,CADASTRO_PIVOS!$B$6:$B$41,0)),0)</f>
        <v>710.571428571429</v>
      </c>
      <c r="AB1993" s="18" t="n">
        <f aca="false">IF($Z1993&lt;=0,0,$Z1993/$AA1993)</f>
        <v>0</v>
      </c>
      <c r="AC1993" s="16" t="n">
        <f aca="false">IFERROR(INDEX(SEMANAS!$K$6:$K$71,MATCH($B1993,SEMANAS!$B$6:$B$71,0)),0)</f>
        <v>147</v>
      </c>
      <c r="AD1993" s="19" t="n">
        <f aca="false">IF($AC1993&lt;=0,0,$AB1993/$AC1993)</f>
        <v>0</v>
      </c>
      <c r="AE1993" s="8" t="str">
        <f aca="false">IF($K1993="SEM CULTURA","SEM CULTURA",IF($AA1993&lt;=0,"DADO PENDENTE",IF($AD1993&gt;LIMITE_CRITICO,"INVIAVEL",IF($AD1993&gt;LIMITE_ATENCAO,"CRITICO",IF($AD1993&gt;LIMITE_CONFORTAVEL,"ATENCAO","OK")))))</f>
        <v>OK</v>
      </c>
      <c r="AF1993" s="8" t="str">
        <f aca="false">$B1993&amp;"|"&amp;TEXT($AD1993,"0.000000")</f>
        <v>8|0.000000</v>
      </c>
      <c r="AG1993" s="18" t="n">
        <f aca="false">IF($K1993="SEM CULTURA",0,$T1993*$H1993)</f>
        <v>1559.8464</v>
      </c>
      <c r="AH1993" s="18" t="n">
        <f aca="false">IF($K1993="SEM CULTURA",0,$V1993*$H1993)</f>
        <v>2155.93056</v>
      </c>
      <c r="AI1993" s="18" t="n">
        <f aca="false">IF($K1993="SEM CULTURA",0,$W1993*$H1993)</f>
        <v>0</v>
      </c>
      <c r="AJ1993" s="18" t="n">
        <f aca="false">IF($K1993="SEM CULTURA",0,$S1993*$H1993)</f>
        <v>3899.616</v>
      </c>
      <c r="AK1993" s="8" t="str">
        <f aca="false">$E1993&amp;"|"&amp;TEXT($AD1993,"0.000000")</f>
        <v>PV 127|0.000000</v>
      </c>
    </row>
    <row r="1994" customFormat="false" ht="15" hidden="false" customHeight="false" outlineLevel="0" collapsed="false">
      <c r="B1994" s="16" t="n">
        <v>9</v>
      </c>
      <c r="C1994" s="17" t="n">
        <f aca="false">DATA_INICIO_SAFRA+($B1994-1)*DIAS_POR_SEMANA</f>
        <v>46321</v>
      </c>
      <c r="D1994" s="17" t="n">
        <f aca="false">$C1994+DIAS_POR_SEMANA-1</f>
        <v>46327</v>
      </c>
      <c r="E1994" s="15" t="s">
        <v>289</v>
      </c>
      <c r="F1994" s="8" t="str">
        <f aca="false">IFERROR(INDEX(CADASTRO_PIVOS!$C$6:$C$41,MATCH($E1994,CADASTRO_PIVOS!$B$6:$B$41,0)),"?")</f>
        <v>RM07</v>
      </c>
      <c r="G1994" s="8" t="str">
        <f aca="false">IFERROR(INDEX(CADASTRO_PIVOS!$D$6:$D$41,MATCH($E1994,CADASTRO_PIVOS!$B$6:$B$41,0)),"?")</f>
        <v>TR07</v>
      </c>
      <c r="H1994" s="20" t="n">
        <f aca="false">IFERROR(INDEX(CADASTRO_PIVOS!$E$6:$E$41,MATCH($E1994,CADASTRO_PIVOS!$B$6:$B$41,0)),0)</f>
        <v>99.48</v>
      </c>
      <c r="I1994" s="16" t="n">
        <f aca="false">IFERROR(SUMIFS(ROTACAO_RDM!$B$6:$B$71,ROTACAO_RDM!$D$6:$D$71,$E1994,ROTACAO_RDM!$I$6:$I$71,"&lt;="&amp;$C1994+INT(DIAS_POR_SEMANA/2),ROTACAO_RDM!$J$6:$J$71,"&gt;="&amp;$C1994+INT(DIAS_POR_SEMANA/2)),0)</f>
        <v>51</v>
      </c>
      <c r="J1994" s="16" t="n">
        <f aca="false">IFERROR(MATCH($I1994,ROTACAO_RDM!$B$6:$B$71,0),0)</f>
        <v>51</v>
      </c>
      <c r="K1994" s="8" t="str">
        <f aca="false">IF($J1994=0,"SEM CULTURA",INDEX(ROTACAO_RDM!$F$6:$F$71,$J1994))</f>
        <v>SOJA</v>
      </c>
      <c r="L1994" s="8" t="str">
        <f aca="false">IF($J1994=0,"",INDEX(ROTACAO_RDM!$G$6:$G$71,$J1994))</f>
        <v>NEO 761 I2X</v>
      </c>
      <c r="M1994" s="17" t="n">
        <f aca="false">IF($J1994=0,"",INDEX(ROTACAO_RDM!$I$6:$I$71,$J1994))</f>
        <v>46308</v>
      </c>
      <c r="N1994" s="16" t="n">
        <f aca="false">IF($J1994=0,0,MAX(0,$C1994+INT(DIAS_POR_SEMANA/2)-INDEX(ROTACAO_RDM!$I$6:$I$71,$J1994)))</f>
        <v>16</v>
      </c>
      <c r="O1994" s="19" t="n">
        <f aca="false">IF($J1994=0,0,MIN(1,$N1994/MAX(1,INDEX(ROTACAO_RDM!$K$6:$K$71,$J1994))))</f>
        <v>0.137931034482759</v>
      </c>
      <c r="P1994" s="16" t="n">
        <f aca="false">IF($J1994=0,0,IFERROR(MATCH(INDEX(ROTACAO_RDM!$N$6:$N$71,$J1994),PARAMETROS_CULTURAS!$B$6:$B$28,0),0))</f>
        <v>2</v>
      </c>
      <c r="Q1994" s="8" t="str">
        <f aca="false">IF($P1994=0,"-",IF($O1994&lt;=INDEX(PARAMETROS_CULTURAS!$F$6:$F$28,$P1994),"INICIAL",IF($O1994&lt;=INDEX(PARAMETROS_CULTURAS!$F$6:$F$28,$P1994)+INDEX(PARAMETROS_CULTURAS!$G$6:$G$28,$P1994),"DESENVOLVIMENTO",IF($O1994&lt;=INDEX(PARAMETROS_CULTURAS!$F$6:$F$28,$P1994)+INDEX(PARAMETROS_CULTURAS!$G$6:$G$28,$P1994)+INDEX(PARAMETROS_CULTURAS!$H$6:$H$28,$P1994),"MEDIA","FINAL"))))</f>
        <v>INICIAL</v>
      </c>
      <c r="R1994" s="24" t="n">
        <f aca="false">IF($P1994=0,0,IF($O1994&lt;=INDEX(PARAMETROS_CULTURAS!$F$6:$F$28,$P1994),INDEX(PARAMETROS_CULTURAS!$K$6:$K$28,$P1994),IF($O1994&lt;=INDEX(PARAMETROS_CULTURAS!$F$6:$F$28,$P1994)+INDEX(PARAMETROS_CULTURAS!$G$6:$G$28,$P1994),INDEX(PARAMETROS_CULTURAS!$K$6:$K$28,$P1994)+(INDEX(PARAMETROS_CULTURAS!$L$6:$L$28,$P1994)-INDEX(PARAMETROS_CULTURAS!$K$6:$K$28,$P1994))*($O1994-INDEX(PARAMETROS_CULTURAS!$F$6:$F$28,$P1994))/MAX(INDEX(PARAMETROS_CULTURAS!$G$6:$G$28,$P1994),0.0001),IF($O1994&lt;=INDEX(PARAMETROS_CULTURAS!$F$6:$F$28,$P1994)+INDEX(PARAMETROS_CULTURAS!$G$6:$G$28,$P1994)+INDEX(PARAMETROS_CULTURAS!$H$6:$H$28,$P1994),INDEX(PARAMETROS_CULTURAS!$L$6:$L$28,$P1994),INDEX(PARAMETROS_CULTURAS!$L$6:$L$28,$P1994)+(INDEX(PARAMETROS_CULTURAS!$M$6:$M$28,$P1994)-INDEX(PARAMETROS_CULTURAS!$L$6:$L$28,$P1994))*($O1994-INDEX(PARAMETROS_CULTURAS!$F$6:$F$28,$P1994)-INDEX(PARAMETROS_CULTURAS!$G$6:$G$28,$P1994)-INDEX(PARAMETROS_CULTURAS!$H$6:$H$28,$P1994))/MAX(INDEX(PARAMETROS_CULTURAS!$I$6:$I$28,$P1994),0.0001)))))</f>
        <v>0.4</v>
      </c>
      <c r="S1994" s="18" t="n">
        <f aca="false">IFERROR(INDEX(SEMANAS!$H$6:$H$71,MATCH($B1994,SEMANAS!$B$6:$B$71,0)),0)</f>
        <v>38.5</v>
      </c>
      <c r="T1994" s="18" t="n">
        <f aca="false">$R1994*$S1994</f>
        <v>15.4</v>
      </c>
      <c r="U1994" s="18" t="n">
        <f aca="false">IFERROR(INDEX(SEMANAS!$I$6:$I$71,MATCH($B1994,SEMANAS!$B$6:$B$71,0)),0)</f>
        <v>29.89</v>
      </c>
      <c r="V1994" s="18" t="n">
        <f aca="false">IFERROR(INDEX(SEMANAS!$J$6:$J$71,MATCH($B1994,SEMANAS!$B$6:$B$71,0)),0)</f>
        <v>23.912</v>
      </c>
      <c r="W1994" s="18" t="n">
        <f aca="false">MAX(0,$T1994-$V1994)</f>
        <v>0</v>
      </c>
      <c r="X1994" s="19" t="n">
        <f aca="false">IFERROR(INDEX(CADASTRO_PIVOS!$K$6:$K$41,MATCH($E1994,CADASTRO_PIVOS!$B$6:$B$41,0)),EFICIENCIA_PADRAO)</f>
        <v>0.85</v>
      </c>
      <c r="Y1994" s="18" t="n">
        <f aca="false">IF($X1994&lt;=0,0,$W1994/$X1994)</f>
        <v>0</v>
      </c>
      <c r="Z1994" s="16" t="n">
        <f aca="false">$Y1994*$H1994*MM_PARA_M3_HA</f>
        <v>0</v>
      </c>
      <c r="AA1994" s="18" t="n">
        <f aca="false">IFERROR(INDEX(CADASTRO_PIVOS!$I$6:$I$41,MATCH($E1994,CADASTRO_PIVOS!$B$6:$B$41,0)),0)</f>
        <v>710.571428571429</v>
      </c>
      <c r="AB1994" s="18" t="n">
        <f aca="false">IF($Z1994&lt;=0,0,$Z1994/$AA1994)</f>
        <v>0</v>
      </c>
      <c r="AC1994" s="16" t="n">
        <f aca="false">IFERROR(INDEX(SEMANAS!$K$6:$K$71,MATCH($B1994,SEMANAS!$B$6:$B$71,0)),0)</f>
        <v>147</v>
      </c>
      <c r="AD1994" s="19" t="n">
        <f aca="false">IF($AC1994&lt;=0,0,$AB1994/$AC1994)</f>
        <v>0</v>
      </c>
      <c r="AE1994" s="8" t="str">
        <f aca="false">IF($K1994="SEM CULTURA","SEM CULTURA",IF($AA1994&lt;=0,"DADO PENDENTE",IF($AD1994&gt;LIMITE_CRITICO,"INVIAVEL",IF($AD1994&gt;LIMITE_ATENCAO,"CRITICO",IF($AD1994&gt;LIMITE_CONFORTAVEL,"ATENCAO","OK")))))</f>
        <v>OK</v>
      </c>
      <c r="AF1994" s="8" t="str">
        <f aca="false">$B1994&amp;"|"&amp;TEXT($AD1994,"0.000000")</f>
        <v>9|0.000000</v>
      </c>
      <c r="AG1994" s="18" t="n">
        <f aca="false">IF($K1994="SEM CULTURA",0,$T1994*$H1994)</f>
        <v>1531.992</v>
      </c>
      <c r="AH1994" s="18" t="n">
        <f aca="false">IF($K1994="SEM CULTURA",0,$V1994*$H1994)</f>
        <v>2378.76576</v>
      </c>
      <c r="AI1994" s="18" t="n">
        <f aca="false">IF($K1994="SEM CULTURA",0,$W1994*$H1994)</f>
        <v>0</v>
      </c>
      <c r="AJ1994" s="18" t="n">
        <f aca="false">IF($K1994="SEM CULTURA",0,$S1994*$H1994)</f>
        <v>3829.98</v>
      </c>
      <c r="AK1994" s="8" t="str">
        <f aca="false">$E1994&amp;"|"&amp;TEXT($AD1994,"0.000000")</f>
        <v>PV 127|0.000000</v>
      </c>
    </row>
    <row r="1995" customFormat="false" ht="15" hidden="false" customHeight="false" outlineLevel="0" collapsed="false">
      <c r="B1995" s="16" t="n">
        <v>10</v>
      </c>
      <c r="C1995" s="17" t="n">
        <f aca="false">DATA_INICIO_SAFRA+($B1995-1)*DIAS_POR_SEMANA</f>
        <v>46328</v>
      </c>
      <c r="D1995" s="17" t="n">
        <f aca="false">$C1995+DIAS_POR_SEMANA-1</f>
        <v>46334</v>
      </c>
      <c r="E1995" s="15" t="s">
        <v>289</v>
      </c>
      <c r="F1995" s="8" t="str">
        <f aca="false">IFERROR(INDEX(CADASTRO_PIVOS!$C$6:$C$41,MATCH($E1995,CADASTRO_PIVOS!$B$6:$B$41,0)),"?")</f>
        <v>RM07</v>
      </c>
      <c r="G1995" s="8" t="str">
        <f aca="false">IFERROR(INDEX(CADASTRO_PIVOS!$D$6:$D$41,MATCH($E1995,CADASTRO_PIVOS!$B$6:$B$41,0)),"?")</f>
        <v>TR07</v>
      </c>
      <c r="H1995" s="20" t="n">
        <f aca="false">IFERROR(INDEX(CADASTRO_PIVOS!$E$6:$E$41,MATCH($E1995,CADASTRO_PIVOS!$B$6:$B$41,0)),0)</f>
        <v>99.48</v>
      </c>
      <c r="I1995" s="16" t="n">
        <f aca="false">IFERROR(SUMIFS(ROTACAO_RDM!$B$6:$B$71,ROTACAO_RDM!$D$6:$D$71,$E1995,ROTACAO_RDM!$I$6:$I$71,"&lt;="&amp;$C1995+INT(DIAS_POR_SEMANA/2),ROTACAO_RDM!$J$6:$J$71,"&gt;="&amp;$C1995+INT(DIAS_POR_SEMANA/2)),0)</f>
        <v>51</v>
      </c>
      <c r="J1995" s="16" t="n">
        <f aca="false">IFERROR(MATCH($I1995,ROTACAO_RDM!$B$6:$B$71,0),0)</f>
        <v>51</v>
      </c>
      <c r="K1995" s="8" t="str">
        <f aca="false">IF($J1995=0,"SEM CULTURA",INDEX(ROTACAO_RDM!$F$6:$F$71,$J1995))</f>
        <v>SOJA</v>
      </c>
      <c r="L1995" s="8" t="str">
        <f aca="false">IF($J1995=0,"",INDEX(ROTACAO_RDM!$G$6:$G$71,$J1995))</f>
        <v>NEO 761 I2X</v>
      </c>
      <c r="M1995" s="17" t="n">
        <f aca="false">IF($J1995=0,"",INDEX(ROTACAO_RDM!$I$6:$I$71,$J1995))</f>
        <v>46308</v>
      </c>
      <c r="N1995" s="16" t="n">
        <f aca="false">IF($J1995=0,0,MAX(0,$C1995+INT(DIAS_POR_SEMANA/2)-INDEX(ROTACAO_RDM!$I$6:$I$71,$J1995)))</f>
        <v>23</v>
      </c>
      <c r="O1995" s="19" t="n">
        <f aca="false">IF($J1995=0,0,MIN(1,$N1995/MAX(1,INDEX(ROTACAO_RDM!$K$6:$K$71,$J1995))))</f>
        <v>0.198275862068966</v>
      </c>
      <c r="P1995" s="16" t="n">
        <f aca="false">IF($J1995=0,0,IFERROR(MATCH(INDEX(ROTACAO_RDM!$N$6:$N$71,$J1995),PARAMETROS_CULTURAS!$B$6:$B$28,0),0))</f>
        <v>2</v>
      </c>
      <c r="Q1995" s="8" t="str">
        <f aca="false">IF($P1995=0,"-",IF($O1995&lt;=INDEX(PARAMETROS_CULTURAS!$F$6:$F$28,$P1995),"INICIAL",IF($O1995&lt;=INDEX(PARAMETROS_CULTURAS!$F$6:$F$28,$P1995)+INDEX(PARAMETROS_CULTURAS!$G$6:$G$28,$P1995),"DESENVOLVIMENTO",IF($O1995&lt;=INDEX(PARAMETROS_CULTURAS!$F$6:$F$28,$P1995)+INDEX(PARAMETROS_CULTURAS!$G$6:$G$28,$P1995)+INDEX(PARAMETROS_CULTURAS!$H$6:$H$28,$P1995),"MEDIA","FINAL"))))</f>
        <v>DESENVOLVIMENTO</v>
      </c>
      <c r="R1995" s="24" t="n">
        <f aca="false">IF($P1995=0,0,IF($O1995&lt;=INDEX(PARAMETROS_CULTURAS!$F$6:$F$28,$P1995),INDEX(PARAMETROS_CULTURAS!$K$6:$K$28,$P1995),IF($O1995&lt;=INDEX(PARAMETROS_CULTURAS!$F$6:$F$28,$P1995)+INDEX(PARAMETROS_CULTURAS!$G$6:$G$28,$P1995),INDEX(PARAMETROS_CULTURAS!$K$6:$K$28,$P1995)+(INDEX(PARAMETROS_CULTURAS!$L$6:$L$28,$P1995)-INDEX(PARAMETROS_CULTURAS!$K$6:$K$28,$P1995))*($O1995-INDEX(PARAMETROS_CULTURAS!$F$6:$F$28,$P1995))/MAX(INDEX(PARAMETROS_CULTURAS!$G$6:$G$28,$P1995),0.0001),IF($O1995&lt;=INDEX(PARAMETROS_CULTURAS!$F$6:$F$28,$P1995)+INDEX(PARAMETROS_CULTURAS!$G$6:$G$28,$P1995)+INDEX(PARAMETROS_CULTURAS!$H$6:$H$28,$P1995),INDEX(PARAMETROS_CULTURAS!$L$6:$L$28,$P1995),INDEX(PARAMETROS_CULTURAS!$L$6:$L$28,$P1995)+(INDEX(PARAMETROS_CULTURAS!$M$6:$M$28,$P1995)-INDEX(PARAMETROS_CULTURAS!$L$6:$L$28,$P1995))*($O1995-INDEX(PARAMETROS_CULTURAS!$F$6:$F$28,$P1995)-INDEX(PARAMETROS_CULTURAS!$G$6:$G$28,$P1995)-INDEX(PARAMETROS_CULTURAS!$H$6:$H$28,$P1995))/MAX(INDEX(PARAMETROS_CULTURAS!$I$6:$I$28,$P1995),0.0001)))))</f>
        <v>0.524812593703149</v>
      </c>
      <c r="S1995" s="18" t="n">
        <f aca="false">IFERROR(INDEX(SEMANAS!$H$6:$H$71,MATCH($B1995,SEMANAS!$B$6:$B$71,0)),0)</f>
        <v>34.3</v>
      </c>
      <c r="T1995" s="18" t="n">
        <f aca="false">$R1995*$S1995</f>
        <v>18.001071964018</v>
      </c>
      <c r="U1995" s="18" t="n">
        <f aca="false">IFERROR(INDEX(SEMANAS!$I$6:$I$71,MATCH($B1995,SEMANAS!$B$6:$B$71,0)),0)</f>
        <v>46.69</v>
      </c>
      <c r="V1995" s="18" t="n">
        <f aca="false">IFERROR(INDEX(SEMANAS!$J$6:$J$71,MATCH($B1995,SEMANAS!$B$6:$B$71,0)),0)</f>
        <v>37.352</v>
      </c>
      <c r="W1995" s="18" t="n">
        <f aca="false">MAX(0,$T1995-$V1995)</f>
        <v>0</v>
      </c>
      <c r="X1995" s="19" t="n">
        <f aca="false">IFERROR(INDEX(CADASTRO_PIVOS!$K$6:$K$41,MATCH($E1995,CADASTRO_PIVOS!$B$6:$B$41,0)),EFICIENCIA_PADRAO)</f>
        <v>0.85</v>
      </c>
      <c r="Y1995" s="18" t="n">
        <f aca="false">IF($X1995&lt;=0,0,$W1995/$X1995)</f>
        <v>0</v>
      </c>
      <c r="Z1995" s="16" t="n">
        <f aca="false">$Y1995*$H1995*MM_PARA_M3_HA</f>
        <v>0</v>
      </c>
      <c r="AA1995" s="18" t="n">
        <f aca="false">IFERROR(INDEX(CADASTRO_PIVOS!$I$6:$I$41,MATCH($E1995,CADASTRO_PIVOS!$B$6:$B$41,0)),0)</f>
        <v>710.571428571429</v>
      </c>
      <c r="AB1995" s="18" t="n">
        <f aca="false">IF($Z1995&lt;=0,0,$Z1995/$AA1995)</f>
        <v>0</v>
      </c>
      <c r="AC1995" s="16" t="n">
        <f aca="false">IFERROR(INDEX(SEMANAS!$K$6:$K$71,MATCH($B1995,SEMANAS!$B$6:$B$71,0)),0)</f>
        <v>147</v>
      </c>
      <c r="AD1995" s="19" t="n">
        <f aca="false">IF($AC1995&lt;=0,0,$AB1995/$AC1995)</f>
        <v>0</v>
      </c>
      <c r="AE1995" s="8" t="str">
        <f aca="false">IF($K1995="SEM CULTURA","SEM CULTURA",IF($AA1995&lt;=0,"DADO PENDENTE",IF($AD1995&gt;LIMITE_CRITICO,"INVIAVEL",IF($AD1995&gt;LIMITE_ATENCAO,"CRITICO",IF($AD1995&gt;LIMITE_CONFORTAVEL,"ATENCAO","OK")))))</f>
        <v>OK</v>
      </c>
      <c r="AF1995" s="8" t="str">
        <f aca="false">$B1995&amp;"|"&amp;TEXT($AD1995,"0.000000")</f>
        <v>10|0.000000</v>
      </c>
      <c r="AG1995" s="18" t="n">
        <f aca="false">IF($K1995="SEM CULTURA",0,$T1995*$H1995)</f>
        <v>1790.74663898051</v>
      </c>
      <c r="AH1995" s="18" t="n">
        <f aca="false">IF($K1995="SEM CULTURA",0,$V1995*$H1995)</f>
        <v>3715.77696</v>
      </c>
      <c r="AI1995" s="18" t="n">
        <f aca="false">IF($K1995="SEM CULTURA",0,$W1995*$H1995)</f>
        <v>0</v>
      </c>
      <c r="AJ1995" s="18" t="n">
        <f aca="false">IF($K1995="SEM CULTURA",0,$S1995*$H1995)</f>
        <v>3412.164</v>
      </c>
      <c r="AK1995" s="8" t="str">
        <f aca="false">$E1995&amp;"|"&amp;TEXT($AD1995,"0.000000")</f>
        <v>PV 127|0.000000</v>
      </c>
    </row>
    <row r="1996" customFormat="false" ht="15" hidden="false" customHeight="false" outlineLevel="0" collapsed="false">
      <c r="B1996" s="16" t="n">
        <v>11</v>
      </c>
      <c r="C1996" s="17" t="n">
        <f aca="false">DATA_INICIO_SAFRA+($B1996-1)*DIAS_POR_SEMANA</f>
        <v>46335</v>
      </c>
      <c r="D1996" s="17" t="n">
        <f aca="false">$C1996+DIAS_POR_SEMANA-1</f>
        <v>46341</v>
      </c>
      <c r="E1996" s="15" t="s">
        <v>289</v>
      </c>
      <c r="F1996" s="8" t="str">
        <f aca="false">IFERROR(INDEX(CADASTRO_PIVOS!$C$6:$C$41,MATCH($E1996,CADASTRO_PIVOS!$B$6:$B$41,0)),"?")</f>
        <v>RM07</v>
      </c>
      <c r="G1996" s="8" t="str">
        <f aca="false">IFERROR(INDEX(CADASTRO_PIVOS!$D$6:$D$41,MATCH($E1996,CADASTRO_PIVOS!$B$6:$B$41,0)),"?")</f>
        <v>TR07</v>
      </c>
      <c r="H1996" s="20" t="n">
        <f aca="false">IFERROR(INDEX(CADASTRO_PIVOS!$E$6:$E$41,MATCH($E1996,CADASTRO_PIVOS!$B$6:$B$41,0)),0)</f>
        <v>99.48</v>
      </c>
      <c r="I1996" s="16" t="n">
        <f aca="false">IFERROR(SUMIFS(ROTACAO_RDM!$B$6:$B$71,ROTACAO_RDM!$D$6:$D$71,$E1996,ROTACAO_RDM!$I$6:$I$71,"&lt;="&amp;$C1996+INT(DIAS_POR_SEMANA/2),ROTACAO_RDM!$J$6:$J$71,"&gt;="&amp;$C1996+INT(DIAS_POR_SEMANA/2)),0)</f>
        <v>51</v>
      </c>
      <c r="J1996" s="16" t="n">
        <f aca="false">IFERROR(MATCH($I1996,ROTACAO_RDM!$B$6:$B$71,0),0)</f>
        <v>51</v>
      </c>
      <c r="K1996" s="8" t="str">
        <f aca="false">IF($J1996=0,"SEM CULTURA",INDEX(ROTACAO_RDM!$F$6:$F$71,$J1996))</f>
        <v>SOJA</v>
      </c>
      <c r="L1996" s="8" t="str">
        <f aca="false">IF($J1996=0,"",INDEX(ROTACAO_RDM!$G$6:$G$71,$J1996))</f>
        <v>NEO 761 I2X</v>
      </c>
      <c r="M1996" s="17" t="n">
        <f aca="false">IF($J1996=0,"",INDEX(ROTACAO_RDM!$I$6:$I$71,$J1996))</f>
        <v>46308</v>
      </c>
      <c r="N1996" s="16" t="n">
        <f aca="false">IF($J1996=0,0,MAX(0,$C1996+INT(DIAS_POR_SEMANA/2)-INDEX(ROTACAO_RDM!$I$6:$I$71,$J1996)))</f>
        <v>30</v>
      </c>
      <c r="O1996" s="19" t="n">
        <f aca="false">IF($J1996=0,0,MIN(1,$N1996/MAX(1,INDEX(ROTACAO_RDM!$K$6:$K$71,$J1996))))</f>
        <v>0.258620689655172</v>
      </c>
      <c r="P1996" s="16" t="n">
        <f aca="false">IF($J1996=0,0,IFERROR(MATCH(INDEX(ROTACAO_RDM!$N$6:$N$71,$J1996),PARAMETROS_CULTURAS!$B$6:$B$28,0),0))</f>
        <v>2</v>
      </c>
      <c r="Q1996" s="8" t="str">
        <f aca="false">IF($P1996=0,"-",IF($O1996&lt;=INDEX(PARAMETROS_CULTURAS!$F$6:$F$28,$P1996),"INICIAL",IF($O1996&lt;=INDEX(PARAMETROS_CULTURAS!$F$6:$F$28,$P1996)+INDEX(PARAMETROS_CULTURAS!$G$6:$G$28,$P1996),"DESENVOLVIMENTO",IF($O1996&lt;=INDEX(PARAMETROS_CULTURAS!$F$6:$F$28,$P1996)+INDEX(PARAMETROS_CULTURAS!$G$6:$G$28,$P1996)+INDEX(PARAMETROS_CULTURAS!$H$6:$H$28,$P1996),"MEDIA","FINAL"))))</f>
        <v>DESENVOLVIMENTO</v>
      </c>
      <c r="R1996" s="24" t="n">
        <f aca="false">IF($P1996=0,0,IF($O1996&lt;=INDEX(PARAMETROS_CULTURAS!$F$6:$F$28,$P1996),INDEX(PARAMETROS_CULTURAS!$K$6:$K$28,$P1996),IF($O1996&lt;=INDEX(PARAMETROS_CULTURAS!$F$6:$F$28,$P1996)+INDEX(PARAMETROS_CULTURAS!$G$6:$G$28,$P1996),INDEX(PARAMETROS_CULTURAS!$K$6:$K$28,$P1996)+(INDEX(PARAMETROS_CULTURAS!$L$6:$L$28,$P1996)-INDEX(PARAMETROS_CULTURAS!$K$6:$K$28,$P1996))*($O1996-INDEX(PARAMETROS_CULTURAS!$F$6:$F$28,$P1996))/MAX(INDEX(PARAMETROS_CULTURAS!$G$6:$G$28,$P1996),0.0001),IF($O1996&lt;=INDEX(PARAMETROS_CULTURAS!$F$6:$F$28,$P1996)+INDEX(PARAMETROS_CULTURAS!$G$6:$G$28,$P1996)+INDEX(PARAMETROS_CULTURAS!$H$6:$H$28,$P1996),INDEX(PARAMETROS_CULTURAS!$L$6:$L$28,$P1996),INDEX(PARAMETROS_CULTURAS!$L$6:$L$28,$P1996)+(INDEX(PARAMETROS_CULTURAS!$M$6:$M$28,$P1996)-INDEX(PARAMETROS_CULTURAS!$L$6:$L$28,$P1996))*($O1996-INDEX(PARAMETROS_CULTURAS!$F$6:$F$28,$P1996)-INDEX(PARAMETROS_CULTURAS!$G$6:$G$28,$P1996)-INDEX(PARAMETROS_CULTURAS!$H$6:$H$28,$P1996))/MAX(INDEX(PARAMETROS_CULTURAS!$I$6:$I$28,$P1996),0.0001)))))</f>
        <v>0.721589205397301</v>
      </c>
      <c r="S1996" s="18" t="n">
        <f aca="false">IFERROR(INDEX(SEMANAS!$H$6:$H$71,MATCH($B1996,SEMANAS!$B$6:$B$71,0)),0)</f>
        <v>34.3</v>
      </c>
      <c r="T1996" s="18" t="n">
        <f aca="false">$R1996*$S1996</f>
        <v>24.7505097451274</v>
      </c>
      <c r="U1996" s="18" t="n">
        <f aca="false">IFERROR(INDEX(SEMANAS!$I$6:$I$71,MATCH($B1996,SEMANAS!$B$6:$B$71,0)),0)</f>
        <v>46.69</v>
      </c>
      <c r="V1996" s="18" t="n">
        <f aca="false">IFERROR(INDEX(SEMANAS!$J$6:$J$71,MATCH($B1996,SEMANAS!$B$6:$B$71,0)),0)</f>
        <v>37.352</v>
      </c>
      <c r="W1996" s="18" t="n">
        <f aca="false">MAX(0,$T1996-$V1996)</f>
        <v>0</v>
      </c>
      <c r="X1996" s="19" t="n">
        <f aca="false">IFERROR(INDEX(CADASTRO_PIVOS!$K$6:$K$41,MATCH($E1996,CADASTRO_PIVOS!$B$6:$B$41,0)),EFICIENCIA_PADRAO)</f>
        <v>0.85</v>
      </c>
      <c r="Y1996" s="18" t="n">
        <f aca="false">IF($X1996&lt;=0,0,$W1996/$X1996)</f>
        <v>0</v>
      </c>
      <c r="Z1996" s="16" t="n">
        <f aca="false">$Y1996*$H1996*MM_PARA_M3_HA</f>
        <v>0</v>
      </c>
      <c r="AA1996" s="18" t="n">
        <f aca="false">IFERROR(INDEX(CADASTRO_PIVOS!$I$6:$I$41,MATCH($E1996,CADASTRO_PIVOS!$B$6:$B$41,0)),0)</f>
        <v>710.571428571429</v>
      </c>
      <c r="AB1996" s="18" t="n">
        <f aca="false">IF($Z1996&lt;=0,0,$Z1996/$AA1996)</f>
        <v>0</v>
      </c>
      <c r="AC1996" s="16" t="n">
        <f aca="false">IFERROR(INDEX(SEMANAS!$K$6:$K$71,MATCH($B1996,SEMANAS!$B$6:$B$71,0)),0)</f>
        <v>147</v>
      </c>
      <c r="AD1996" s="19" t="n">
        <f aca="false">IF($AC1996&lt;=0,0,$AB1996/$AC1996)</f>
        <v>0</v>
      </c>
      <c r="AE1996" s="8" t="str">
        <f aca="false">IF($K1996="SEM CULTURA","SEM CULTURA",IF($AA1996&lt;=0,"DADO PENDENTE",IF($AD1996&gt;LIMITE_CRITICO,"INVIAVEL",IF($AD1996&gt;LIMITE_ATENCAO,"CRITICO",IF($AD1996&gt;LIMITE_CONFORTAVEL,"ATENCAO","OK")))))</f>
        <v>OK</v>
      </c>
      <c r="AF1996" s="8" t="str">
        <f aca="false">$B1996&amp;"|"&amp;TEXT($AD1996,"0.000000")</f>
        <v>11|0.000000</v>
      </c>
      <c r="AG1996" s="18" t="n">
        <f aca="false">IF($K1996="SEM CULTURA",0,$T1996*$H1996)</f>
        <v>2462.18070944528</v>
      </c>
      <c r="AH1996" s="18" t="n">
        <f aca="false">IF($K1996="SEM CULTURA",0,$V1996*$H1996)</f>
        <v>3715.77696</v>
      </c>
      <c r="AI1996" s="18" t="n">
        <f aca="false">IF($K1996="SEM CULTURA",0,$W1996*$H1996)</f>
        <v>0</v>
      </c>
      <c r="AJ1996" s="18" t="n">
        <f aca="false">IF($K1996="SEM CULTURA",0,$S1996*$H1996)</f>
        <v>3412.164</v>
      </c>
      <c r="AK1996" s="8" t="str">
        <f aca="false">$E1996&amp;"|"&amp;TEXT($AD1996,"0.000000")</f>
        <v>PV 127|0.000000</v>
      </c>
    </row>
    <row r="1997" customFormat="false" ht="15" hidden="false" customHeight="false" outlineLevel="0" collapsed="false">
      <c r="B1997" s="16" t="n">
        <v>12</v>
      </c>
      <c r="C1997" s="17" t="n">
        <f aca="false">DATA_INICIO_SAFRA+($B1997-1)*DIAS_POR_SEMANA</f>
        <v>46342</v>
      </c>
      <c r="D1997" s="17" t="n">
        <f aca="false">$C1997+DIAS_POR_SEMANA-1</f>
        <v>46348</v>
      </c>
      <c r="E1997" s="15" t="s">
        <v>289</v>
      </c>
      <c r="F1997" s="8" t="str">
        <f aca="false">IFERROR(INDEX(CADASTRO_PIVOS!$C$6:$C$41,MATCH($E1997,CADASTRO_PIVOS!$B$6:$B$41,0)),"?")</f>
        <v>RM07</v>
      </c>
      <c r="G1997" s="8" t="str">
        <f aca="false">IFERROR(INDEX(CADASTRO_PIVOS!$D$6:$D$41,MATCH($E1997,CADASTRO_PIVOS!$B$6:$B$41,0)),"?")</f>
        <v>TR07</v>
      </c>
      <c r="H1997" s="20" t="n">
        <f aca="false">IFERROR(INDEX(CADASTRO_PIVOS!$E$6:$E$41,MATCH($E1997,CADASTRO_PIVOS!$B$6:$B$41,0)),0)</f>
        <v>99.48</v>
      </c>
      <c r="I1997" s="16" t="n">
        <f aca="false">IFERROR(SUMIFS(ROTACAO_RDM!$B$6:$B$71,ROTACAO_RDM!$D$6:$D$71,$E1997,ROTACAO_RDM!$I$6:$I$71,"&lt;="&amp;$C1997+INT(DIAS_POR_SEMANA/2),ROTACAO_RDM!$J$6:$J$71,"&gt;="&amp;$C1997+INT(DIAS_POR_SEMANA/2)),0)</f>
        <v>51</v>
      </c>
      <c r="J1997" s="16" t="n">
        <f aca="false">IFERROR(MATCH($I1997,ROTACAO_RDM!$B$6:$B$71,0),0)</f>
        <v>51</v>
      </c>
      <c r="K1997" s="8" t="str">
        <f aca="false">IF($J1997=0,"SEM CULTURA",INDEX(ROTACAO_RDM!$F$6:$F$71,$J1997))</f>
        <v>SOJA</v>
      </c>
      <c r="L1997" s="8" t="str">
        <f aca="false">IF($J1997=0,"",INDEX(ROTACAO_RDM!$G$6:$G$71,$J1997))</f>
        <v>NEO 761 I2X</v>
      </c>
      <c r="M1997" s="17" t="n">
        <f aca="false">IF($J1997=0,"",INDEX(ROTACAO_RDM!$I$6:$I$71,$J1997))</f>
        <v>46308</v>
      </c>
      <c r="N1997" s="16" t="n">
        <f aca="false">IF($J1997=0,0,MAX(0,$C1997+INT(DIAS_POR_SEMANA/2)-INDEX(ROTACAO_RDM!$I$6:$I$71,$J1997)))</f>
        <v>37</v>
      </c>
      <c r="O1997" s="19" t="n">
        <f aca="false">IF($J1997=0,0,MIN(1,$N1997/MAX(1,INDEX(ROTACAO_RDM!$K$6:$K$71,$J1997))))</f>
        <v>0.318965517241379</v>
      </c>
      <c r="P1997" s="16" t="n">
        <f aca="false">IF($J1997=0,0,IFERROR(MATCH(INDEX(ROTACAO_RDM!$N$6:$N$71,$J1997),PARAMETROS_CULTURAS!$B$6:$B$28,0),0))</f>
        <v>2</v>
      </c>
      <c r="Q1997" s="8" t="str">
        <f aca="false">IF($P1997=0,"-",IF($O1997&lt;=INDEX(PARAMETROS_CULTURAS!$F$6:$F$28,$P1997),"INICIAL",IF($O1997&lt;=INDEX(PARAMETROS_CULTURAS!$F$6:$F$28,$P1997)+INDEX(PARAMETROS_CULTURAS!$G$6:$G$28,$P1997),"DESENVOLVIMENTO",IF($O1997&lt;=INDEX(PARAMETROS_CULTURAS!$F$6:$F$28,$P1997)+INDEX(PARAMETROS_CULTURAS!$G$6:$G$28,$P1997)+INDEX(PARAMETROS_CULTURAS!$H$6:$H$28,$P1997),"MEDIA","FINAL"))))</f>
        <v>DESENVOLVIMENTO</v>
      </c>
      <c r="R1997" s="24" t="n">
        <f aca="false">IF($P1997=0,0,IF($O1997&lt;=INDEX(PARAMETROS_CULTURAS!$F$6:$F$28,$P1997),INDEX(PARAMETROS_CULTURAS!$K$6:$K$28,$P1997),IF($O1997&lt;=INDEX(PARAMETROS_CULTURAS!$F$6:$F$28,$P1997)+INDEX(PARAMETROS_CULTURAS!$G$6:$G$28,$P1997),INDEX(PARAMETROS_CULTURAS!$K$6:$K$28,$P1997)+(INDEX(PARAMETROS_CULTURAS!$L$6:$L$28,$P1997)-INDEX(PARAMETROS_CULTURAS!$K$6:$K$28,$P1997))*($O1997-INDEX(PARAMETROS_CULTURAS!$F$6:$F$28,$P1997))/MAX(INDEX(PARAMETROS_CULTURAS!$G$6:$G$28,$P1997),0.0001),IF($O1997&lt;=INDEX(PARAMETROS_CULTURAS!$F$6:$F$28,$P1997)+INDEX(PARAMETROS_CULTURAS!$G$6:$G$28,$P1997)+INDEX(PARAMETROS_CULTURAS!$H$6:$H$28,$P1997),INDEX(PARAMETROS_CULTURAS!$L$6:$L$28,$P1997),INDEX(PARAMETROS_CULTURAS!$L$6:$L$28,$P1997)+(INDEX(PARAMETROS_CULTURAS!$M$6:$M$28,$P1997)-INDEX(PARAMETROS_CULTURAS!$L$6:$L$28,$P1997))*($O1997-INDEX(PARAMETROS_CULTURAS!$F$6:$F$28,$P1997)-INDEX(PARAMETROS_CULTURAS!$G$6:$G$28,$P1997)-INDEX(PARAMETROS_CULTURAS!$H$6:$H$28,$P1997))/MAX(INDEX(PARAMETROS_CULTURAS!$I$6:$I$28,$P1997),0.0001)))))</f>
        <v>0.918365817091454</v>
      </c>
      <c r="S1997" s="18" t="n">
        <f aca="false">IFERROR(INDEX(SEMANAS!$H$6:$H$71,MATCH($B1997,SEMANAS!$B$6:$B$71,0)),0)</f>
        <v>34.3</v>
      </c>
      <c r="T1997" s="18" t="n">
        <f aca="false">$R1997*$S1997</f>
        <v>31.4999475262369</v>
      </c>
      <c r="U1997" s="18" t="n">
        <f aca="false">IFERROR(INDEX(SEMANAS!$I$6:$I$71,MATCH($B1997,SEMANAS!$B$6:$B$71,0)),0)</f>
        <v>46.69</v>
      </c>
      <c r="V1997" s="18" t="n">
        <f aca="false">IFERROR(INDEX(SEMANAS!$J$6:$J$71,MATCH($B1997,SEMANAS!$B$6:$B$71,0)),0)</f>
        <v>37.352</v>
      </c>
      <c r="W1997" s="18" t="n">
        <f aca="false">MAX(0,$T1997-$V1997)</f>
        <v>0</v>
      </c>
      <c r="X1997" s="19" t="n">
        <f aca="false">IFERROR(INDEX(CADASTRO_PIVOS!$K$6:$K$41,MATCH($E1997,CADASTRO_PIVOS!$B$6:$B$41,0)),EFICIENCIA_PADRAO)</f>
        <v>0.85</v>
      </c>
      <c r="Y1997" s="18" t="n">
        <f aca="false">IF($X1997&lt;=0,0,$W1997/$X1997)</f>
        <v>0</v>
      </c>
      <c r="Z1997" s="16" t="n">
        <f aca="false">$Y1997*$H1997*MM_PARA_M3_HA</f>
        <v>0</v>
      </c>
      <c r="AA1997" s="18" t="n">
        <f aca="false">IFERROR(INDEX(CADASTRO_PIVOS!$I$6:$I$41,MATCH($E1997,CADASTRO_PIVOS!$B$6:$B$41,0)),0)</f>
        <v>710.571428571429</v>
      </c>
      <c r="AB1997" s="18" t="n">
        <f aca="false">IF($Z1997&lt;=0,0,$Z1997/$AA1997)</f>
        <v>0</v>
      </c>
      <c r="AC1997" s="16" t="n">
        <f aca="false">IFERROR(INDEX(SEMANAS!$K$6:$K$71,MATCH($B1997,SEMANAS!$B$6:$B$71,0)),0)</f>
        <v>147</v>
      </c>
      <c r="AD1997" s="19" t="n">
        <f aca="false">IF($AC1997&lt;=0,0,$AB1997/$AC1997)</f>
        <v>0</v>
      </c>
      <c r="AE1997" s="8" t="str">
        <f aca="false">IF($K1997="SEM CULTURA","SEM CULTURA",IF($AA1997&lt;=0,"DADO PENDENTE",IF($AD1997&gt;LIMITE_CRITICO,"INVIAVEL",IF($AD1997&gt;LIMITE_ATENCAO,"CRITICO",IF($AD1997&gt;LIMITE_CONFORTAVEL,"ATENCAO","OK")))))</f>
        <v>OK</v>
      </c>
      <c r="AF1997" s="8" t="str">
        <f aca="false">$B1997&amp;"|"&amp;TEXT($AD1997,"0.000000")</f>
        <v>12|0.000000</v>
      </c>
      <c r="AG1997" s="18" t="n">
        <f aca="false">IF($K1997="SEM CULTURA",0,$T1997*$H1997)</f>
        <v>3133.61477991005</v>
      </c>
      <c r="AH1997" s="18" t="n">
        <f aca="false">IF($K1997="SEM CULTURA",0,$V1997*$H1997)</f>
        <v>3715.77696</v>
      </c>
      <c r="AI1997" s="18" t="n">
        <f aca="false">IF($K1997="SEM CULTURA",0,$W1997*$H1997)</f>
        <v>0</v>
      </c>
      <c r="AJ1997" s="18" t="n">
        <f aca="false">IF($K1997="SEM CULTURA",0,$S1997*$H1997)</f>
        <v>3412.164</v>
      </c>
      <c r="AK1997" s="8" t="str">
        <f aca="false">$E1997&amp;"|"&amp;TEXT($AD1997,"0.000000")</f>
        <v>PV 127|0.000000</v>
      </c>
    </row>
    <row r="1998" customFormat="false" ht="15" hidden="false" customHeight="false" outlineLevel="0" collapsed="false">
      <c r="B1998" s="16" t="n">
        <v>13</v>
      </c>
      <c r="C1998" s="17" t="n">
        <f aca="false">DATA_INICIO_SAFRA+($B1998-1)*DIAS_POR_SEMANA</f>
        <v>46349</v>
      </c>
      <c r="D1998" s="17" t="n">
        <f aca="false">$C1998+DIAS_POR_SEMANA-1</f>
        <v>46355</v>
      </c>
      <c r="E1998" s="15" t="s">
        <v>289</v>
      </c>
      <c r="F1998" s="8" t="str">
        <f aca="false">IFERROR(INDEX(CADASTRO_PIVOS!$C$6:$C$41,MATCH($E1998,CADASTRO_PIVOS!$B$6:$B$41,0)),"?")</f>
        <v>RM07</v>
      </c>
      <c r="G1998" s="8" t="str">
        <f aca="false">IFERROR(INDEX(CADASTRO_PIVOS!$D$6:$D$41,MATCH($E1998,CADASTRO_PIVOS!$B$6:$B$41,0)),"?")</f>
        <v>TR07</v>
      </c>
      <c r="H1998" s="20" t="n">
        <f aca="false">IFERROR(INDEX(CADASTRO_PIVOS!$E$6:$E$41,MATCH($E1998,CADASTRO_PIVOS!$B$6:$B$41,0)),0)</f>
        <v>99.48</v>
      </c>
      <c r="I1998" s="16" t="n">
        <f aca="false">IFERROR(SUMIFS(ROTACAO_RDM!$B$6:$B$71,ROTACAO_RDM!$D$6:$D$71,$E1998,ROTACAO_RDM!$I$6:$I$71,"&lt;="&amp;$C1998+INT(DIAS_POR_SEMANA/2),ROTACAO_RDM!$J$6:$J$71,"&gt;="&amp;$C1998+INT(DIAS_POR_SEMANA/2)),0)</f>
        <v>51</v>
      </c>
      <c r="J1998" s="16" t="n">
        <f aca="false">IFERROR(MATCH($I1998,ROTACAO_RDM!$B$6:$B$71,0),0)</f>
        <v>51</v>
      </c>
      <c r="K1998" s="8" t="str">
        <f aca="false">IF($J1998=0,"SEM CULTURA",INDEX(ROTACAO_RDM!$F$6:$F$71,$J1998))</f>
        <v>SOJA</v>
      </c>
      <c r="L1998" s="8" t="str">
        <f aca="false">IF($J1998=0,"",INDEX(ROTACAO_RDM!$G$6:$G$71,$J1998))</f>
        <v>NEO 761 I2X</v>
      </c>
      <c r="M1998" s="17" t="n">
        <f aca="false">IF($J1998=0,"",INDEX(ROTACAO_RDM!$I$6:$I$71,$J1998))</f>
        <v>46308</v>
      </c>
      <c r="N1998" s="16" t="n">
        <f aca="false">IF($J1998=0,0,MAX(0,$C1998+INT(DIAS_POR_SEMANA/2)-INDEX(ROTACAO_RDM!$I$6:$I$71,$J1998)))</f>
        <v>44</v>
      </c>
      <c r="O1998" s="19" t="n">
        <f aca="false">IF($J1998=0,0,MIN(1,$N1998/MAX(1,INDEX(ROTACAO_RDM!$K$6:$K$71,$J1998))))</f>
        <v>0.379310344827586</v>
      </c>
      <c r="P1998" s="16" t="n">
        <f aca="false">IF($J1998=0,0,IFERROR(MATCH(INDEX(ROTACAO_RDM!$N$6:$N$71,$J1998),PARAMETROS_CULTURAS!$B$6:$B$28,0),0))</f>
        <v>2</v>
      </c>
      <c r="Q1998" s="8" t="str">
        <f aca="false">IF($P1998=0,"-",IF($O1998&lt;=INDEX(PARAMETROS_CULTURAS!$F$6:$F$28,$P1998),"INICIAL",IF($O1998&lt;=INDEX(PARAMETROS_CULTURAS!$F$6:$F$28,$P1998)+INDEX(PARAMETROS_CULTURAS!$G$6:$G$28,$P1998),"DESENVOLVIMENTO",IF($O1998&lt;=INDEX(PARAMETROS_CULTURAS!$F$6:$F$28,$P1998)+INDEX(PARAMETROS_CULTURAS!$G$6:$G$28,$P1998)+INDEX(PARAMETROS_CULTURAS!$H$6:$H$28,$P1998),"MEDIA","FINAL"))))</f>
        <v>DESENVOLVIMENTO</v>
      </c>
      <c r="R1998" s="24" t="n">
        <f aca="false">IF($P1998=0,0,IF($O1998&lt;=INDEX(PARAMETROS_CULTURAS!$F$6:$F$28,$P1998),INDEX(PARAMETROS_CULTURAS!$K$6:$K$28,$P1998),IF($O1998&lt;=INDEX(PARAMETROS_CULTURAS!$F$6:$F$28,$P1998)+INDEX(PARAMETROS_CULTURAS!$G$6:$G$28,$P1998),INDEX(PARAMETROS_CULTURAS!$K$6:$K$28,$P1998)+(INDEX(PARAMETROS_CULTURAS!$L$6:$L$28,$P1998)-INDEX(PARAMETROS_CULTURAS!$K$6:$K$28,$P1998))*($O1998-INDEX(PARAMETROS_CULTURAS!$F$6:$F$28,$P1998))/MAX(INDEX(PARAMETROS_CULTURAS!$G$6:$G$28,$P1998),0.0001),IF($O1998&lt;=INDEX(PARAMETROS_CULTURAS!$F$6:$F$28,$P1998)+INDEX(PARAMETROS_CULTURAS!$G$6:$G$28,$P1998)+INDEX(PARAMETROS_CULTURAS!$H$6:$H$28,$P1998),INDEX(PARAMETROS_CULTURAS!$L$6:$L$28,$P1998),INDEX(PARAMETROS_CULTURAS!$L$6:$L$28,$P1998)+(INDEX(PARAMETROS_CULTURAS!$M$6:$M$28,$P1998)-INDEX(PARAMETROS_CULTURAS!$L$6:$L$28,$P1998))*($O1998-INDEX(PARAMETROS_CULTURAS!$F$6:$F$28,$P1998)-INDEX(PARAMETROS_CULTURAS!$G$6:$G$28,$P1998)-INDEX(PARAMETROS_CULTURAS!$H$6:$H$28,$P1998))/MAX(INDEX(PARAMETROS_CULTURAS!$I$6:$I$28,$P1998),0.0001)))))</f>
        <v>1.11514242878561</v>
      </c>
      <c r="S1998" s="18" t="n">
        <f aca="false">IFERROR(INDEX(SEMANAS!$H$6:$H$71,MATCH($B1998,SEMANAS!$B$6:$B$71,0)),0)</f>
        <v>34.3</v>
      </c>
      <c r="T1998" s="18" t="n">
        <f aca="false">$R1998*$S1998</f>
        <v>38.2493853073463</v>
      </c>
      <c r="U1998" s="18" t="n">
        <f aca="false">IFERROR(INDEX(SEMANAS!$I$6:$I$71,MATCH($B1998,SEMANAS!$B$6:$B$71,0)),0)</f>
        <v>46.69</v>
      </c>
      <c r="V1998" s="18" t="n">
        <f aca="false">IFERROR(INDEX(SEMANAS!$J$6:$J$71,MATCH($B1998,SEMANAS!$B$6:$B$71,0)),0)</f>
        <v>37.352</v>
      </c>
      <c r="W1998" s="18" t="n">
        <f aca="false">MAX(0,$T1998-$V1998)</f>
        <v>0.897385307346326</v>
      </c>
      <c r="X1998" s="19" t="n">
        <f aca="false">IFERROR(INDEX(CADASTRO_PIVOS!$K$6:$K$41,MATCH($E1998,CADASTRO_PIVOS!$B$6:$B$41,0)),EFICIENCIA_PADRAO)</f>
        <v>0.85</v>
      </c>
      <c r="Y1998" s="18" t="n">
        <f aca="false">IF($X1998&lt;=0,0,$W1998/$X1998)</f>
        <v>1.05574742040744</v>
      </c>
      <c r="Z1998" s="16" t="n">
        <f aca="false">$Y1998*$H1998*MM_PARA_M3_HA</f>
        <v>1050.25753382132</v>
      </c>
      <c r="AA1998" s="18" t="n">
        <f aca="false">IFERROR(INDEX(CADASTRO_PIVOS!$I$6:$I$41,MATCH($E1998,CADASTRO_PIVOS!$B$6:$B$41,0)),0)</f>
        <v>710.571428571429</v>
      </c>
      <c r="AB1998" s="18" t="n">
        <f aca="false">IF($Z1998&lt;=0,0,$Z1998/$AA1998)</f>
        <v>1.47804638857042</v>
      </c>
      <c r="AC1998" s="16" t="n">
        <f aca="false">IFERROR(INDEX(SEMANAS!$K$6:$K$71,MATCH($B1998,SEMANAS!$B$6:$B$71,0)),0)</f>
        <v>147</v>
      </c>
      <c r="AD1998" s="19" t="n">
        <f aca="false">IF($AC1998&lt;=0,0,$AB1998/$AC1998)</f>
        <v>0.0100547373372137</v>
      </c>
      <c r="AE1998" s="8" t="str">
        <f aca="false">IF($K1998="SEM CULTURA","SEM CULTURA",IF($AA1998&lt;=0,"DADO PENDENTE",IF($AD1998&gt;LIMITE_CRITICO,"INVIAVEL",IF($AD1998&gt;LIMITE_ATENCAO,"CRITICO",IF($AD1998&gt;LIMITE_CONFORTAVEL,"ATENCAO","OK")))))</f>
        <v>OK</v>
      </c>
      <c r="AF1998" s="8" t="str">
        <f aca="false">$B1998&amp;"|"&amp;TEXT($AD1998,"0.000000")</f>
        <v>13|0.010055</v>
      </c>
      <c r="AG1998" s="18" t="n">
        <f aca="false">IF($K1998="SEM CULTURA",0,$T1998*$H1998)</f>
        <v>3805.04885037481</v>
      </c>
      <c r="AH1998" s="18" t="n">
        <f aca="false">IF($K1998="SEM CULTURA",0,$V1998*$H1998)</f>
        <v>3715.77696</v>
      </c>
      <c r="AI1998" s="18" t="n">
        <f aca="false">IF($K1998="SEM CULTURA",0,$W1998*$H1998)</f>
        <v>89.2718903748125</v>
      </c>
      <c r="AJ1998" s="18" t="n">
        <f aca="false">IF($K1998="SEM CULTURA",0,$S1998*$H1998)</f>
        <v>3412.164</v>
      </c>
      <c r="AK1998" s="8" t="str">
        <f aca="false">$E1998&amp;"|"&amp;TEXT($AD1998,"0.000000")</f>
        <v>PV 127|0.010055</v>
      </c>
    </row>
    <row r="1999" customFormat="false" ht="15" hidden="false" customHeight="false" outlineLevel="0" collapsed="false">
      <c r="B1999" s="16" t="n">
        <v>14</v>
      </c>
      <c r="C1999" s="17" t="n">
        <f aca="false">DATA_INICIO_SAFRA+($B1999-1)*DIAS_POR_SEMANA</f>
        <v>46356</v>
      </c>
      <c r="D1999" s="17" t="n">
        <f aca="false">$C1999+DIAS_POR_SEMANA-1</f>
        <v>46362</v>
      </c>
      <c r="E1999" s="15" t="s">
        <v>289</v>
      </c>
      <c r="F1999" s="8" t="str">
        <f aca="false">IFERROR(INDEX(CADASTRO_PIVOS!$C$6:$C$41,MATCH($E1999,CADASTRO_PIVOS!$B$6:$B$41,0)),"?")</f>
        <v>RM07</v>
      </c>
      <c r="G1999" s="8" t="str">
        <f aca="false">IFERROR(INDEX(CADASTRO_PIVOS!$D$6:$D$41,MATCH($E1999,CADASTRO_PIVOS!$B$6:$B$41,0)),"?")</f>
        <v>TR07</v>
      </c>
      <c r="H1999" s="20" t="n">
        <f aca="false">IFERROR(INDEX(CADASTRO_PIVOS!$E$6:$E$41,MATCH($E1999,CADASTRO_PIVOS!$B$6:$B$41,0)),0)</f>
        <v>99.48</v>
      </c>
      <c r="I1999" s="16" t="n">
        <f aca="false">IFERROR(SUMIFS(ROTACAO_RDM!$B$6:$B$71,ROTACAO_RDM!$D$6:$D$71,$E1999,ROTACAO_RDM!$I$6:$I$71,"&lt;="&amp;$C1999+INT(DIAS_POR_SEMANA/2),ROTACAO_RDM!$J$6:$J$71,"&gt;="&amp;$C1999+INT(DIAS_POR_SEMANA/2)),0)</f>
        <v>51</v>
      </c>
      <c r="J1999" s="16" t="n">
        <f aca="false">IFERROR(MATCH($I1999,ROTACAO_RDM!$B$6:$B$71,0),0)</f>
        <v>51</v>
      </c>
      <c r="K1999" s="8" t="str">
        <f aca="false">IF($J1999=0,"SEM CULTURA",INDEX(ROTACAO_RDM!$F$6:$F$71,$J1999))</f>
        <v>SOJA</v>
      </c>
      <c r="L1999" s="8" t="str">
        <f aca="false">IF($J1999=0,"",INDEX(ROTACAO_RDM!$G$6:$G$71,$J1999))</f>
        <v>NEO 761 I2X</v>
      </c>
      <c r="M1999" s="17" t="n">
        <f aca="false">IF($J1999=0,"",INDEX(ROTACAO_RDM!$I$6:$I$71,$J1999))</f>
        <v>46308</v>
      </c>
      <c r="N1999" s="16" t="n">
        <f aca="false">IF($J1999=0,0,MAX(0,$C1999+INT(DIAS_POR_SEMANA/2)-INDEX(ROTACAO_RDM!$I$6:$I$71,$J1999)))</f>
        <v>51</v>
      </c>
      <c r="O1999" s="19" t="n">
        <f aca="false">IF($J1999=0,0,MIN(1,$N1999/MAX(1,INDEX(ROTACAO_RDM!$K$6:$K$71,$J1999))))</f>
        <v>0.439655172413793</v>
      </c>
      <c r="P1999" s="16" t="n">
        <f aca="false">IF($J1999=0,0,IFERROR(MATCH(INDEX(ROTACAO_RDM!$N$6:$N$71,$J1999),PARAMETROS_CULTURAS!$B$6:$B$28,0),0))</f>
        <v>2</v>
      </c>
      <c r="Q1999" s="8" t="str">
        <f aca="false">IF($P1999=0,"-",IF($O1999&lt;=INDEX(PARAMETROS_CULTURAS!$F$6:$F$28,$P1999),"INICIAL",IF($O1999&lt;=INDEX(PARAMETROS_CULTURAS!$F$6:$F$28,$P1999)+INDEX(PARAMETROS_CULTURAS!$G$6:$G$28,$P1999),"DESENVOLVIMENTO",IF($O1999&lt;=INDEX(PARAMETROS_CULTURAS!$F$6:$F$28,$P1999)+INDEX(PARAMETROS_CULTURAS!$G$6:$G$28,$P1999)+INDEX(PARAMETROS_CULTURAS!$H$6:$H$28,$P1999),"MEDIA","FINAL"))))</f>
        <v>MEDIA</v>
      </c>
      <c r="R1999" s="24" t="n">
        <f aca="false">IF($P1999=0,0,IF($O1999&lt;=INDEX(PARAMETROS_CULTURAS!$F$6:$F$28,$P1999),INDEX(PARAMETROS_CULTURAS!$K$6:$K$28,$P1999),IF($O1999&lt;=INDEX(PARAMETROS_CULTURAS!$F$6:$F$28,$P1999)+INDEX(PARAMETROS_CULTURAS!$G$6:$G$28,$P1999),INDEX(PARAMETROS_CULTURAS!$K$6:$K$28,$P1999)+(INDEX(PARAMETROS_CULTURAS!$L$6:$L$28,$P1999)-INDEX(PARAMETROS_CULTURAS!$K$6:$K$28,$P1999))*($O1999-INDEX(PARAMETROS_CULTURAS!$F$6:$F$28,$P1999))/MAX(INDEX(PARAMETROS_CULTURAS!$G$6:$G$28,$P1999),0.0001),IF($O1999&lt;=INDEX(PARAMETROS_CULTURAS!$F$6:$F$28,$P1999)+INDEX(PARAMETROS_CULTURAS!$G$6:$G$28,$P1999)+INDEX(PARAMETROS_CULTURAS!$H$6:$H$28,$P1999),INDEX(PARAMETROS_CULTURAS!$L$6:$L$28,$P1999),INDEX(PARAMETROS_CULTURAS!$L$6:$L$28,$P1999)+(INDEX(PARAMETROS_CULTURAS!$M$6:$M$28,$P1999)-INDEX(PARAMETROS_CULTURAS!$L$6:$L$28,$P1999))*($O1999-INDEX(PARAMETROS_CULTURAS!$F$6:$F$28,$P1999)-INDEX(PARAMETROS_CULTURAS!$G$6:$G$28,$P1999)-INDEX(PARAMETROS_CULTURAS!$H$6:$H$28,$P1999))/MAX(INDEX(PARAMETROS_CULTURAS!$I$6:$I$28,$P1999),0.0001)))))</f>
        <v>1.15</v>
      </c>
      <c r="S1999" s="18" t="n">
        <f aca="false">IFERROR(INDEX(SEMANAS!$H$6:$H$71,MATCH($B1999,SEMANAS!$B$6:$B$71,0)),0)</f>
        <v>33.1</v>
      </c>
      <c r="T1999" s="18" t="n">
        <f aca="false">$R1999*$S1999</f>
        <v>38.065</v>
      </c>
      <c r="U1999" s="18" t="n">
        <f aca="false">IFERROR(INDEX(SEMANAS!$I$6:$I$71,MATCH($B1999,SEMANAS!$B$6:$B$71,0)),0)</f>
        <v>48.31</v>
      </c>
      <c r="V1999" s="18" t="n">
        <f aca="false">IFERROR(INDEX(SEMANAS!$J$6:$J$71,MATCH($B1999,SEMANAS!$B$6:$B$71,0)),0)</f>
        <v>38.648</v>
      </c>
      <c r="W1999" s="18" t="n">
        <f aca="false">MAX(0,$T1999-$V1999)</f>
        <v>0</v>
      </c>
      <c r="X1999" s="19" t="n">
        <f aca="false">IFERROR(INDEX(CADASTRO_PIVOS!$K$6:$K$41,MATCH($E1999,CADASTRO_PIVOS!$B$6:$B$41,0)),EFICIENCIA_PADRAO)</f>
        <v>0.85</v>
      </c>
      <c r="Y1999" s="18" t="n">
        <f aca="false">IF($X1999&lt;=0,0,$W1999/$X1999)</f>
        <v>0</v>
      </c>
      <c r="Z1999" s="16" t="n">
        <f aca="false">$Y1999*$H1999*MM_PARA_M3_HA</f>
        <v>0</v>
      </c>
      <c r="AA1999" s="18" t="n">
        <f aca="false">IFERROR(INDEX(CADASTRO_PIVOS!$I$6:$I$41,MATCH($E1999,CADASTRO_PIVOS!$B$6:$B$41,0)),0)</f>
        <v>710.571428571429</v>
      </c>
      <c r="AB1999" s="18" t="n">
        <f aca="false">IF($Z1999&lt;=0,0,$Z1999/$AA1999)</f>
        <v>0</v>
      </c>
      <c r="AC1999" s="16" t="n">
        <f aca="false">IFERROR(INDEX(SEMANAS!$K$6:$K$71,MATCH($B1999,SEMANAS!$B$6:$B$71,0)),0)</f>
        <v>147</v>
      </c>
      <c r="AD1999" s="19" t="n">
        <f aca="false">IF($AC1999&lt;=0,0,$AB1999/$AC1999)</f>
        <v>0</v>
      </c>
      <c r="AE1999" s="8" t="str">
        <f aca="false">IF($K1999="SEM CULTURA","SEM CULTURA",IF($AA1999&lt;=0,"DADO PENDENTE",IF($AD1999&gt;LIMITE_CRITICO,"INVIAVEL",IF($AD1999&gt;LIMITE_ATENCAO,"CRITICO",IF($AD1999&gt;LIMITE_CONFORTAVEL,"ATENCAO","OK")))))</f>
        <v>OK</v>
      </c>
      <c r="AF1999" s="8" t="str">
        <f aca="false">$B1999&amp;"|"&amp;TEXT($AD1999,"0.000000")</f>
        <v>14|0.000000</v>
      </c>
      <c r="AG1999" s="18" t="n">
        <f aca="false">IF($K1999="SEM CULTURA",0,$T1999*$H1999)</f>
        <v>3786.7062</v>
      </c>
      <c r="AH1999" s="18" t="n">
        <f aca="false">IF($K1999="SEM CULTURA",0,$V1999*$H1999)</f>
        <v>3844.70304</v>
      </c>
      <c r="AI1999" s="18" t="n">
        <f aca="false">IF($K1999="SEM CULTURA",0,$W1999*$H1999)</f>
        <v>0</v>
      </c>
      <c r="AJ1999" s="18" t="n">
        <f aca="false">IF($K1999="SEM CULTURA",0,$S1999*$H1999)</f>
        <v>3292.788</v>
      </c>
      <c r="AK1999" s="8" t="str">
        <f aca="false">$E1999&amp;"|"&amp;TEXT($AD1999,"0.000000")</f>
        <v>PV 127|0.000000</v>
      </c>
    </row>
    <row r="2000" customFormat="false" ht="15" hidden="false" customHeight="false" outlineLevel="0" collapsed="false">
      <c r="B2000" s="16" t="n">
        <v>15</v>
      </c>
      <c r="C2000" s="17" t="n">
        <f aca="false">DATA_INICIO_SAFRA+($B2000-1)*DIAS_POR_SEMANA</f>
        <v>46363</v>
      </c>
      <c r="D2000" s="17" t="n">
        <f aca="false">$C2000+DIAS_POR_SEMANA-1</f>
        <v>46369</v>
      </c>
      <c r="E2000" s="15" t="s">
        <v>289</v>
      </c>
      <c r="F2000" s="8" t="str">
        <f aca="false">IFERROR(INDEX(CADASTRO_PIVOS!$C$6:$C$41,MATCH($E2000,CADASTRO_PIVOS!$B$6:$B$41,0)),"?")</f>
        <v>RM07</v>
      </c>
      <c r="G2000" s="8" t="str">
        <f aca="false">IFERROR(INDEX(CADASTRO_PIVOS!$D$6:$D$41,MATCH($E2000,CADASTRO_PIVOS!$B$6:$B$41,0)),"?")</f>
        <v>TR07</v>
      </c>
      <c r="H2000" s="20" t="n">
        <f aca="false">IFERROR(INDEX(CADASTRO_PIVOS!$E$6:$E$41,MATCH($E2000,CADASTRO_PIVOS!$B$6:$B$41,0)),0)</f>
        <v>99.48</v>
      </c>
      <c r="I2000" s="16" t="n">
        <f aca="false">IFERROR(SUMIFS(ROTACAO_RDM!$B$6:$B$71,ROTACAO_RDM!$D$6:$D$71,$E2000,ROTACAO_RDM!$I$6:$I$71,"&lt;="&amp;$C2000+INT(DIAS_POR_SEMANA/2),ROTACAO_RDM!$J$6:$J$71,"&gt;="&amp;$C2000+INT(DIAS_POR_SEMANA/2)),0)</f>
        <v>51</v>
      </c>
      <c r="J2000" s="16" t="n">
        <f aca="false">IFERROR(MATCH($I2000,ROTACAO_RDM!$B$6:$B$71,0),0)</f>
        <v>51</v>
      </c>
      <c r="K2000" s="8" t="str">
        <f aca="false">IF($J2000=0,"SEM CULTURA",INDEX(ROTACAO_RDM!$F$6:$F$71,$J2000))</f>
        <v>SOJA</v>
      </c>
      <c r="L2000" s="8" t="str">
        <f aca="false">IF($J2000=0,"",INDEX(ROTACAO_RDM!$G$6:$G$71,$J2000))</f>
        <v>NEO 761 I2X</v>
      </c>
      <c r="M2000" s="17" t="n">
        <f aca="false">IF($J2000=0,"",INDEX(ROTACAO_RDM!$I$6:$I$71,$J2000))</f>
        <v>46308</v>
      </c>
      <c r="N2000" s="16" t="n">
        <f aca="false">IF($J2000=0,0,MAX(0,$C2000+INT(DIAS_POR_SEMANA/2)-INDEX(ROTACAO_RDM!$I$6:$I$71,$J2000)))</f>
        <v>58</v>
      </c>
      <c r="O2000" s="19" t="n">
        <f aca="false">IF($J2000=0,0,MIN(1,$N2000/MAX(1,INDEX(ROTACAO_RDM!$K$6:$K$71,$J2000))))</f>
        <v>0.5</v>
      </c>
      <c r="P2000" s="16" t="n">
        <f aca="false">IF($J2000=0,0,IFERROR(MATCH(INDEX(ROTACAO_RDM!$N$6:$N$71,$J2000),PARAMETROS_CULTURAS!$B$6:$B$28,0),0))</f>
        <v>2</v>
      </c>
      <c r="Q2000" s="8" t="str">
        <f aca="false">IF($P2000=0,"-",IF($O2000&lt;=INDEX(PARAMETROS_CULTURAS!$F$6:$F$28,$P2000),"INICIAL",IF($O2000&lt;=INDEX(PARAMETROS_CULTURAS!$F$6:$F$28,$P2000)+INDEX(PARAMETROS_CULTURAS!$G$6:$G$28,$P2000),"DESENVOLVIMENTO",IF($O2000&lt;=INDEX(PARAMETROS_CULTURAS!$F$6:$F$28,$P2000)+INDEX(PARAMETROS_CULTURAS!$G$6:$G$28,$P2000)+INDEX(PARAMETROS_CULTURAS!$H$6:$H$28,$P2000),"MEDIA","FINAL"))))</f>
        <v>MEDIA</v>
      </c>
      <c r="R2000" s="24" t="n">
        <f aca="false">IF($P2000=0,0,IF($O2000&lt;=INDEX(PARAMETROS_CULTURAS!$F$6:$F$28,$P2000),INDEX(PARAMETROS_CULTURAS!$K$6:$K$28,$P2000),IF($O2000&lt;=INDEX(PARAMETROS_CULTURAS!$F$6:$F$28,$P2000)+INDEX(PARAMETROS_CULTURAS!$G$6:$G$28,$P2000),INDEX(PARAMETROS_CULTURAS!$K$6:$K$28,$P2000)+(INDEX(PARAMETROS_CULTURAS!$L$6:$L$28,$P2000)-INDEX(PARAMETROS_CULTURAS!$K$6:$K$28,$P2000))*($O2000-INDEX(PARAMETROS_CULTURAS!$F$6:$F$28,$P2000))/MAX(INDEX(PARAMETROS_CULTURAS!$G$6:$G$28,$P2000),0.0001),IF($O2000&lt;=INDEX(PARAMETROS_CULTURAS!$F$6:$F$28,$P2000)+INDEX(PARAMETROS_CULTURAS!$G$6:$G$28,$P2000)+INDEX(PARAMETROS_CULTURAS!$H$6:$H$28,$P2000),INDEX(PARAMETROS_CULTURAS!$L$6:$L$28,$P2000),INDEX(PARAMETROS_CULTURAS!$L$6:$L$28,$P2000)+(INDEX(PARAMETROS_CULTURAS!$M$6:$M$28,$P2000)-INDEX(PARAMETROS_CULTURAS!$L$6:$L$28,$P2000))*($O2000-INDEX(PARAMETROS_CULTURAS!$F$6:$F$28,$P2000)-INDEX(PARAMETROS_CULTURAS!$G$6:$G$28,$P2000)-INDEX(PARAMETROS_CULTURAS!$H$6:$H$28,$P2000))/MAX(INDEX(PARAMETROS_CULTURAS!$I$6:$I$28,$P2000),0.0001)))))</f>
        <v>1.15</v>
      </c>
      <c r="S2000" s="18" t="n">
        <f aca="false">IFERROR(INDEX(SEMANAS!$H$6:$H$71,MATCH($B2000,SEMANAS!$B$6:$B$71,0)),0)</f>
        <v>32.9</v>
      </c>
      <c r="T2000" s="18" t="n">
        <f aca="false">$R2000*$S2000</f>
        <v>37.835</v>
      </c>
      <c r="U2000" s="18" t="n">
        <f aca="false">IFERROR(INDEX(SEMANAS!$I$6:$I$71,MATCH($B2000,SEMANAS!$B$6:$B$71,0)),0)</f>
        <v>48.58</v>
      </c>
      <c r="V2000" s="18" t="n">
        <f aca="false">IFERROR(INDEX(SEMANAS!$J$6:$J$71,MATCH($B2000,SEMANAS!$B$6:$B$71,0)),0)</f>
        <v>38.864</v>
      </c>
      <c r="W2000" s="18" t="n">
        <f aca="false">MAX(0,$T2000-$V2000)</f>
        <v>0</v>
      </c>
      <c r="X2000" s="19" t="n">
        <f aca="false">IFERROR(INDEX(CADASTRO_PIVOS!$K$6:$K$41,MATCH($E2000,CADASTRO_PIVOS!$B$6:$B$41,0)),EFICIENCIA_PADRAO)</f>
        <v>0.85</v>
      </c>
      <c r="Y2000" s="18" t="n">
        <f aca="false">IF($X2000&lt;=0,0,$W2000/$X2000)</f>
        <v>0</v>
      </c>
      <c r="Z2000" s="16" t="n">
        <f aca="false">$Y2000*$H2000*MM_PARA_M3_HA</f>
        <v>0</v>
      </c>
      <c r="AA2000" s="18" t="n">
        <f aca="false">IFERROR(INDEX(CADASTRO_PIVOS!$I$6:$I$41,MATCH($E2000,CADASTRO_PIVOS!$B$6:$B$41,0)),0)</f>
        <v>710.571428571429</v>
      </c>
      <c r="AB2000" s="18" t="n">
        <f aca="false">IF($Z2000&lt;=0,0,$Z2000/$AA2000)</f>
        <v>0</v>
      </c>
      <c r="AC2000" s="16" t="n">
        <f aca="false">IFERROR(INDEX(SEMANAS!$K$6:$K$71,MATCH($B2000,SEMANAS!$B$6:$B$71,0)),0)</f>
        <v>147</v>
      </c>
      <c r="AD2000" s="19" t="n">
        <f aca="false">IF($AC2000&lt;=0,0,$AB2000/$AC2000)</f>
        <v>0</v>
      </c>
      <c r="AE2000" s="8" t="str">
        <f aca="false">IF($K2000="SEM CULTURA","SEM CULTURA",IF($AA2000&lt;=0,"DADO PENDENTE",IF($AD2000&gt;LIMITE_CRITICO,"INVIAVEL",IF($AD2000&gt;LIMITE_ATENCAO,"CRITICO",IF($AD2000&gt;LIMITE_CONFORTAVEL,"ATENCAO","OK")))))</f>
        <v>OK</v>
      </c>
      <c r="AF2000" s="8" t="str">
        <f aca="false">$B2000&amp;"|"&amp;TEXT($AD2000,"0.000000")</f>
        <v>15|0.000000</v>
      </c>
      <c r="AG2000" s="18" t="n">
        <f aca="false">IF($K2000="SEM CULTURA",0,$T2000*$H2000)</f>
        <v>3763.8258</v>
      </c>
      <c r="AH2000" s="18" t="n">
        <f aca="false">IF($K2000="SEM CULTURA",0,$V2000*$H2000)</f>
        <v>3866.19072</v>
      </c>
      <c r="AI2000" s="18" t="n">
        <f aca="false">IF($K2000="SEM CULTURA",0,$W2000*$H2000)</f>
        <v>0</v>
      </c>
      <c r="AJ2000" s="18" t="n">
        <f aca="false">IF($K2000="SEM CULTURA",0,$S2000*$H2000)</f>
        <v>3272.892</v>
      </c>
      <c r="AK2000" s="8" t="str">
        <f aca="false">$E2000&amp;"|"&amp;TEXT($AD2000,"0.000000")</f>
        <v>PV 127|0.000000</v>
      </c>
    </row>
    <row r="2001" customFormat="false" ht="15" hidden="false" customHeight="false" outlineLevel="0" collapsed="false">
      <c r="B2001" s="16" t="n">
        <v>16</v>
      </c>
      <c r="C2001" s="17" t="n">
        <f aca="false">DATA_INICIO_SAFRA+($B2001-1)*DIAS_POR_SEMANA</f>
        <v>46370</v>
      </c>
      <c r="D2001" s="17" t="n">
        <f aca="false">$C2001+DIAS_POR_SEMANA-1</f>
        <v>46376</v>
      </c>
      <c r="E2001" s="15" t="s">
        <v>289</v>
      </c>
      <c r="F2001" s="8" t="str">
        <f aca="false">IFERROR(INDEX(CADASTRO_PIVOS!$C$6:$C$41,MATCH($E2001,CADASTRO_PIVOS!$B$6:$B$41,0)),"?")</f>
        <v>RM07</v>
      </c>
      <c r="G2001" s="8" t="str">
        <f aca="false">IFERROR(INDEX(CADASTRO_PIVOS!$D$6:$D$41,MATCH($E2001,CADASTRO_PIVOS!$B$6:$B$41,0)),"?")</f>
        <v>TR07</v>
      </c>
      <c r="H2001" s="20" t="n">
        <f aca="false">IFERROR(INDEX(CADASTRO_PIVOS!$E$6:$E$41,MATCH($E2001,CADASTRO_PIVOS!$B$6:$B$41,0)),0)</f>
        <v>99.48</v>
      </c>
      <c r="I2001" s="16" t="n">
        <f aca="false">IFERROR(SUMIFS(ROTACAO_RDM!$B$6:$B$71,ROTACAO_RDM!$D$6:$D$71,$E2001,ROTACAO_RDM!$I$6:$I$71,"&lt;="&amp;$C2001+INT(DIAS_POR_SEMANA/2),ROTACAO_RDM!$J$6:$J$71,"&gt;="&amp;$C2001+INT(DIAS_POR_SEMANA/2)),0)</f>
        <v>51</v>
      </c>
      <c r="J2001" s="16" t="n">
        <f aca="false">IFERROR(MATCH($I2001,ROTACAO_RDM!$B$6:$B$71,0),0)</f>
        <v>51</v>
      </c>
      <c r="K2001" s="8" t="str">
        <f aca="false">IF($J2001=0,"SEM CULTURA",INDEX(ROTACAO_RDM!$F$6:$F$71,$J2001))</f>
        <v>SOJA</v>
      </c>
      <c r="L2001" s="8" t="str">
        <f aca="false">IF($J2001=0,"",INDEX(ROTACAO_RDM!$G$6:$G$71,$J2001))</f>
        <v>NEO 761 I2X</v>
      </c>
      <c r="M2001" s="17" t="n">
        <f aca="false">IF($J2001=0,"",INDEX(ROTACAO_RDM!$I$6:$I$71,$J2001))</f>
        <v>46308</v>
      </c>
      <c r="N2001" s="16" t="n">
        <f aca="false">IF($J2001=0,0,MAX(0,$C2001+INT(DIAS_POR_SEMANA/2)-INDEX(ROTACAO_RDM!$I$6:$I$71,$J2001)))</f>
        <v>65</v>
      </c>
      <c r="O2001" s="19" t="n">
        <f aca="false">IF($J2001=0,0,MIN(1,$N2001/MAX(1,INDEX(ROTACAO_RDM!$K$6:$K$71,$J2001))))</f>
        <v>0.560344827586207</v>
      </c>
      <c r="P2001" s="16" t="n">
        <f aca="false">IF($J2001=0,0,IFERROR(MATCH(INDEX(ROTACAO_RDM!$N$6:$N$71,$J2001),PARAMETROS_CULTURAS!$B$6:$B$28,0),0))</f>
        <v>2</v>
      </c>
      <c r="Q2001" s="8" t="str">
        <f aca="false">IF($P2001=0,"-",IF($O2001&lt;=INDEX(PARAMETROS_CULTURAS!$F$6:$F$28,$P2001),"INICIAL",IF($O2001&lt;=INDEX(PARAMETROS_CULTURAS!$F$6:$F$28,$P2001)+INDEX(PARAMETROS_CULTURAS!$G$6:$G$28,$P2001),"DESENVOLVIMENTO",IF($O2001&lt;=INDEX(PARAMETROS_CULTURAS!$F$6:$F$28,$P2001)+INDEX(PARAMETROS_CULTURAS!$G$6:$G$28,$P2001)+INDEX(PARAMETROS_CULTURAS!$H$6:$H$28,$P2001),"MEDIA","FINAL"))))</f>
        <v>MEDIA</v>
      </c>
      <c r="R2001" s="24" t="n">
        <f aca="false">IF($P2001=0,0,IF($O2001&lt;=INDEX(PARAMETROS_CULTURAS!$F$6:$F$28,$P2001),INDEX(PARAMETROS_CULTURAS!$K$6:$K$28,$P2001),IF($O2001&lt;=INDEX(PARAMETROS_CULTURAS!$F$6:$F$28,$P2001)+INDEX(PARAMETROS_CULTURAS!$G$6:$G$28,$P2001),INDEX(PARAMETROS_CULTURAS!$K$6:$K$28,$P2001)+(INDEX(PARAMETROS_CULTURAS!$L$6:$L$28,$P2001)-INDEX(PARAMETROS_CULTURAS!$K$6:$K$28,$P2001))*($O2001-INDEX(PARAMETROS_CULTURAS!$F$6:$F$28,$P2001))/MAX(INDEX(PARAMETROS_CULTURAS!$G$6:$G$28,$P2001),0.0001),IF($O2001&lt;=INDEX(PARAMETROS_CULTURAS!$F$6:$F$28,$P2001)+INDEX(PARAMETROS_CULTURAS!$G$6:$G$28,$P2001)+INDEX(PARAMETROS_CULTURAS!$H$6:$H$28,$P2001),INDEX(PARAMETROS_CULTURAS!$L$6:$L$28,$P2001),INDEX(PARAMETROS_CULTURAS!$L$6:$L$28,$P2001)+(INDEX(PARAMETROS_CULTURAS!$M$6:$M$28,$P2001)-INDEX(PARAMETROS_CULTURAS!$L$6:$L$28,$P2001))*($O2001-INDEX(PARAMETROS_CULTURAS!$F$6:$F$28,$P2001)-INDEX(PARAMETROS_CULTURAS!$G$6:$G$28,$P2001)-INDEX(PARAMETROS_CULTURAS!$H$6:$H$28,$P2001))/MAX(INDEX(PARAMETROS_CULTURAS!$I$6:$I$28,$P2001),0.0001)))))</f>
        <v>1.15</v>
      </c>
      <c r="S2001" s="18" t="n">
        <f aca="false">IFERROR(INDEX(SEMANAS!$H$6:$H$71,MATCH($B2001,SEMANAS!$B$6:$B$71,0)),0)</f>
        <v>32.9</v>
      </c>
      <c r="T2001" s="18" t="n">
        <f aca="false">$R2001*$S2001</f>
        <v>37.835</v>
      </c>
      <c r="U2001" s="18" t="n">
        <f aca="false">IFERROR(INDEX(SEMANAS!$I$6:$I$71,MATCH($B2001,SEMANAS!$B$6:$B$71,0)),0)</f>
        <v>48.58</v>
      </c>
      <c r="V2001" s="18" t="n">
        <f aca="false">IFERROR(INDEX(SEMANAS!$J$6:$J$71,MATCH($B2001,SEMANAS!$B$6:$B$71,0)),0)</f>
        <v>38.864</v>
      </c>
      <c r="W2001" s="18" t="n">
        <f aca="false">MAX(0,$T2001-$V2001)</f>
        <v>0</v>
      </c>
      <c r="X2001" s="19" t="n">
        <f aca="false">IFERROR(INDEX(CADASTRO_PIVOS!$K$6:$K$41,MATCH($E2001,CADASTRO_PIVOS!$B$6:$B$41,0)),EFICIENCIA_PADRAO)</f>
        <v>0.85</v>
      </c>
      <c r="Y2001" s="18" t="n">
        <f aca="false">IF($X2001&lt;=0,0,$W2001/$X2001)</f>
        <v>0</v>
      </c>
      <c r="Z2001" s="16" t="n">
        <f aca="false">$Y2001*$H2001*MM_PARA_M3_HA</f>
        <v>0</v>
      </c>
      <c r="AA2001" s="18" t="n">
        <f aca="false">IFERROR(INDEX(CADASTRO_PIVOS!$I$6:$I$41,MATCH($E2001,CADASTRO_PIVOS!$B$6:$B$41,0)),0)</f>
        <v>710.571428571429</v>
      </c>
      <c r="AB2001" s="18" t="n">
        <f aca="false">IF($Z2001&lt;=0,0,$Z2001/$AA2001)</f>
        <v>0</v>
      </c>
      <c r="AC2001" s="16" t="n">
        <f aca="false">IFERROR(INDEX(SEMANAS!$K$6:$K$71,MATCH($B2001,SEMANAS!$B$6:$B$71,0)),0)</f>
        <v>147</v>
      </c>
      <c r="AD2001" s="19" t="n">
        <f aca="false">IF($AC2001&lt;=0,0,$AB2001/$AC2001)</f>
        <v>0</v>
      </c>
      <c r="AE2001" s="8" t="str">
        <f aca="false">IF($K2001="SEM CULTURA","SEM CULTURA",IF($AA2001&lt;=0,"DADO PENDENTE",IF($AD2001&gt;LIMITE_CRITICO,"INVIAVEL",IF($AD2001&gt;LIMITE_ATENCAO,"CRITICO",IF($AD2001&gt;LIMITE_CONFORTAVEL,"ATENCAO","OK")))))</f>
        <v>OK</v>
      </c>
      <c r="AF2001" s="8" t="str">
        <f aca="false">$B2001&amp;"|"&amp;TEXT($AD2001,"0.000000")</f>
        <v>16|0.000000</v>
      </c>
      <c r="AG2001" s="18" t="n">
        <f aca="false">IF($K2001="SEM CULTURA",0,$T2001*$H2001)</f>
        <v>3763.8258</v>
      </c>
      <c r="AH2001" s="18" t="n">
        <f aca="false">IF($K2001="SEM CULTURA",0,$V2001*$H2001)</f>
        <v>3866.19072</v>
      </c>
      <c r="AI2001" s="18" t="n">
        <f aca="false">IF($K2001="SEM CULTURA",0,$W2001*$H2001)</f>
        <v>0</v>
      </c>
      <c r="AJ2001" s="18" t="n">
        <f aca="false">IF($K2001="SEM CULTURA",0,$S2001*$H2001)</f>
        <v>3272.892</v>
      </c>
      <c r="AK2001" s="8" t="str">
        <f aca="false">$E2001&amp;"|"&amp;TEXT($AD2001,"0.000000")</f>
        <v>PV 127|0.000000</v>
      </c>
    </row>
    <row r="2002" customFormat="false" ht="15" hidden="false" customHeight="false" outlineLevel="0" collapsed="false">
      <c r="B2002" s="16" t="n">
        <v>17</v>
      </c>
      <c r="C2002" s="17" t="n">
        <f aca="false">DATA_INICIO_SAFRA+($B2002-1)*DIAS_POR_SEMANA</f>
        <v>46377</v>
      </c>
      <c r="D2002" s="17" t="n">
        <f aca="false">$C2002+DIAS_POR_SEMANA-1</f>
        <v>46383</v>
      </c>
      <c r="E2002" s="15" t="s">
        <v>289</v>
      </c>
      <c r="F2002" s="8" t="str">
        <f aca="false">IFERROR(INDEX(CADASTRO_PIVOS!$C$6:$C$41,MATCH($E2002,CADASTRO_PIVOS!$B$6:$B$41,0)),"?")</f>
        <v>RM07</v>
      </c>
      <c r="G2002" s="8" t="str">
        <f aca="false">IFERROR(INDEX(CADASTRO_PIVOS!$D$6:$D$41,MATCH($E2002,CADASTRO_PIVOS!$B$6:$B$41,0)),"?")</f>
        <v>TR07</v>
      </c>
      <c r="H2002" s="20" t="n">
        <f aca="false">IFERROR(INDEX(CADASTRO_PIVOS!$E$6:$E$41,MATCH($E2002,CADASTRO_PIVOS!$B$6:$B$41,0)),0)</f>
        <v>99.48</v>
      </c>
      <c r="I2002" s="16" t="n">
        <f aca="false">IFERROR(SUMIFS(ROTACAO_RDM!$B$6:$B$71,ROTACAO_RDM!$D$6:$D$71,$E2002,ROTACAO_RDM!$I$6:$I$71,"&lt;="&amp;$C2002+INT(DIAS_POR_SEMANA/2),ROTACAO_RDM!$J$6:$J$71,"&gt;="&amp;$C2002+INT(DIAS_POR_SEMANA/2)),0)</f>
        <v>51</v>
      </c>
      <c r="J2002" s="16" t="n">
        <f aca="false">IFERROR(MATCH($I2002,ROTACAO_RDM!$B$6:$B$71,0),0)</f>
        <v>51</v>
      </c>
      <c r="K2002" s="8" t="str">
        <f aca="false">IF($J2002=0,"SEM CULTURA",INDEX(ROTACAO_RDM!$F$6:$F$71,$J2002))</f>
        <v>SOJA</v>
      </c>
      <c r="L2002" s="8" t="str">
        <f aca="false">IF($J2002=0,"",INDEX(ROTACAO_RDM!$G$6:$G$71,$J2002))</f>
        <v>NEO 761 I2X</v>
      </c>
      <c r="M2002" s="17" t="n">
        <f aca="false">IF($J2002=0,"",INDEX(ROTACAO_RDM!$I$6:$I$71,$J2002))</f>
        <v>46308</v>
      </c>
      <c r="N2002" s="16" t="n">
        <f aca="false">IF($J2002=0,0,MAX(0,$C2002+INT(DIAS_POR_SEMANA/2)-INDEX(ROTACAO_RDM!$I$6:$I$71,$J2002)))</f>
        <v>72</v>
      </c>
      <c r="O2002" s="19" t="n">
        <f aca="false">IF($J2002=0,0,MIN(1,$N2002/MAX(1,INDEX(ROTACAO_RDM!$K$6:$K$71,$J2002))))</f>
        <v>0.620689655172414</v>
      </c>
      <c r="P2002" s="16" t="n">
        <f aca="false">IF($J2002=0,0,IFERROR(MATCH(INDEX(ROTACAO_RDM!$N$6:$N$71,$J2002),PARAMETROS_CULTURAS!$B$6:$B$28,0),0))</f>
        <v>2</v>
      </c>
      <c r="Q2002" s="8" t="str">
        <f aca="false">IF($P2002=0,"-",IF($O2002&lt;=INDEX(PARAMETROS_CULTURAS!$F$6:$F$28,$P2002),"INICIAL",IF($O2002&lt;=INDEX(PARAMETROS_CULTURAS!$F$6:$F$28,$P2002)+INDEX(PARAMETROS_CULTURAS!$G$6:$G$28,$P2002),"DESENVOLVIMENTO",IF($O2002&lt;=INDEX(PARAMETROS_CULTURAS!$F$6:$F$28,$P2002)+INDEX(PARAMETROS_CULTURAS!$G$6:$G$28,$P2002)+INDEX(PARAMETROS_CULTURAS!$H$6:$H$28,$P2002),"MEDIA","FINAL"))))</f>
        <v>MEDIA</v>
      </c>
      <c r="R2002" s="24" t="n">
        <f aca="false">IF($P2002=0,0,IF($O2002&lt;=INDEX(PARAMETROS_CULTURAS!$F$6:$F$28,$P2002),INDEX(PARAMETROS_CULTURAS!$K$6:$K$28,$P2002),IF($O2002&lt;=INDEX(PARAMETROS_CULTURAS!$F$6:$F$28,$P2002)+INDEX(PARAMETROS_CULTURAS!$G$6:$G$28,$P2002),INDEX(PARAMETROS_CULTURAS!$K$6:$K$28,$P2002)+(INDEX(PARAMETROS_CULTURAS!$L$6:$L$28,$P2002)-INDEX(PARAMETROS_CULTURAS!$K$6:$K$28,$P2002))*($O2002-INDEX(PARAMETROS_CULTURAS!$F$6:$F$28,$P2002))/MAX(INDEX(PARAMETROS_CULTURAS!$G$6:$G$28,$P2002),0.0001),IF($O2002&lt;=INDEX(PARAMETROS_CULTURAS!$F$6:$F$28,$P2002)+INDEX(PARAMETROS_CULTURAS!$G$6:$G$28,$P2002)+INDEX(PARAMETROS_CULTURAS!$H$6:$H$28,$P2002),INDEX(PARAMETROS_CULTURAS!$L$6:$L$28,$P2002),INDEX(PARAMETROS_CULTURAS!$L$6:$L$28,$P2002)+(INDEX(PARAMETROS_CULTURAS!$M$6:$M$28,$P2002)-INDEX(PARAMETROS_CULTURAS!$L$6:$L$28,$P2002))*($O2002-INDEX(PARAMETROS_CULTURAS!$F$6:$F$28,$P2002)-INDEX(PARAMETROS_CULTURAS!$G$6:$G$28,$P2002)-INDEX(PARAMETROS_CULTURAS!$H$6:$H$28,$P2002))/MAX(INDEX(PARAMETROS_CULTURAS!$I$6:$I$28,$P2002),0.0001)))))</f>
        <v>1.15</v>
      </c>
      <c r="S2002" s="18" t="n">
        <f aca="false">IFERROR(INDEX(SEMANAS!$H$6:$H$71,MATCH($B2002,SEMANAS!$B$6:$B$71,0)),0)</f>
        <v>32.9</v>
      </c>
      <c r="T2002" s="18" t="n">
        <f aca="false">$R2002*$S2002</f>
        <v>37.835</v>
      </c>
      <c r="U2002" s="18" t="n">
        <f aca="false">IFERROR(INDEX(SEMANAS!$I$6:$I$71,MATCH($B2002,SEMANAS!$B$6:$B$71,0)),0)</f>
        <v>48.58</v>
      </c>
      <c r="V2002" s="18" t="n">
        <f aca="false">IFERROR(INDEX(SEMANAS!$J$6:$J$71,MATCH($B2002,SEMANAS!$B$6:$B$71,0)),0)</f>
        <v>38.864</v>
      </c>
      <c r="W2002" s="18" t="n">
        <f aca="false">MAX(0,$T2002-$V2002)</f>
        <v>0</v>
      </c>
      <c r="X2002" s="19" t="n">
        <f aca="false">IFERROR(INDEX(CADASTRO_PIVOS!$K$6:$K$41,MATCH($E2002,CADASTRO_PIVOS!$B$6:$B$41,0)),EFICIENCIA_PADRAO)</f>
        <v>0.85</v>
      </c>
      <c r="Y2002" s="18" t="n">
        <f aca="false">IF($X2002&lt;=0,0,$W2002/$X2002)</f>
        <v>0</v>
      </c>
      <c r="Z2002" s="16" t="n">
        <f aca="false">$Y2002*$H2002*MM_PARA_M3_HA</f>
        <v>0</v>
      </c>
      <c r="AA2002" s="18" t="n">
        <f aca="false">IFERROR(INDEX(CADASTRO_PIVOS!$I$6:$I$41,MATCH($E2002,CADASTRO_PIVOS!$B$6:$B$41,0)),0)</f>
        <v>710.571428571429</v>
      </c>
      <c r="AB2002" s="18" t="n">
        <f aca="false">IF($Z2002&lt;=0,0,$Z2002/$AA2002)</f>
        <v>0</v>
      </c>
      <c r="AC2002" s="16" t="n">
        <f aca="false">IFERROR(INDEX(SEMANAS!$K$6:$K$71,MATCH($B2002,SEMANAS!$B$6:$B$71,0)),0)</f>
        <v>147</v>
      </c>
      <c r="AD2002" s="19" t="n">
        <f aca="false">IF($AC2002&lt;=0,0,$AB2002/$AC2002)</f>
        <v>0</v>
      </c>
      <c r="AE2002" s="8" t="str">
        <f aca="false">IF($K2002="SEM CULTURA","SEM CULTURA",IF($AA2002&lt;=0,"DADO PENDENTE",IF($AD2002&gt;LIMITE_CRITICO,"INVIAVEL",IF($AD2002&gt;LIMITE_ATENCAO,"CRITICO",IF($AD2002&gt;LIMITE_CONFORTAVEL,"ATENCAO","OK")))))</f>
        <v>OK</v>
      </c>
      <c r="AF2002" s="8" t="str">
        <f aca="false">$B2002&amp;"|"&amp;TEXT($AD2002,"0.000000")</f>
        <v>17|0.000000</v>
      </c>
      <c r="AG2002" s="18" t="n">
        <f aca="false">IF($K2002="SEM CULTURA",0,$T2002*$H2002)</f>
        <v>3763.8258</v>
      </c>
      <c r="AH2002" s="18" t="n">
        <f aca="false">IF($K2002="SEM CULTURA",0,$V2002*$H2002)</f>
        <v>3866.19072</v>
      </c>
      <c r="AI2002" s="18" t="n">
        <f aca="false">IF($K2002="SEM CULTURA",0,$W2002*$H2002)</f>
        <v>0</v>
      </c>
      <c r="AJ2002" s="18" t="n">
        <f aca="false">IF($K2002="SEM CULTURA",0,$S2002*$H2002)</f>
        <v>3272.892</v>
      </c>
      <c r="AK2002" s="8" t="str">
        <f aca="false">$E2002&amp;"|"&amp;TEXT($AD2002,"0.000000")</f>
        <v>PV 127|0.000000</v>
      </c>
    </row>
    <row r="2003" customFormat="false" ht="15" hidden="false" customHeight="false" outlineLevel="0" collapsed="false">
      <c r="B2003" s="16" t="n">
        <v>18</v>
      </c>
      <c r="C2003" s="17" t="n">
        <f aca="false">DATA_INICIO_SAFRA+($B2003-1)*DIAS_POR_SEMANA</f>
        <v>46384</v>
      </c>
      <c r="D2003" s="17" t="n">
        <f aca="false">$C2003+DIAS_POR_SEMANA-1</f>
        <v>46390</v>
      </c>
      <c r="E2003" s="15" t="s">
        <v>289</v>
      </c>
      <c r="F2003" s="8" t="str">
        <f aca="false">IFERROR(INDEX(CADASTRO_PIVOS!$C$6:$C$41,MATCH($E2003,CADASTRO_PIVOS!$B$6:$B$41,0)),"?")</f>
        <v>RM07</v>
      </c>
      <c r="G2003" s="8" t="str">
        <f aca="false">IFERROR(INDEX(CADASTRO_PIVOS!$D$6:$D$41,MATCH($E2003,CADASTRO_PIVOS!$B$6:$B$41,0)),"?")</f>
        <v>TR07</v>
      </c>
      <c r="H2003" s="20" t="n">
        <f aca="false">IFERROR(INDEX(CADASTRO_PIVOS!$E$6:$E$41,MATCH($E2003,CADASTRO_PIVOS!$B$6:$B$41,0)),0)</f>
        <v>99.48</v>
      </c>
      <c r="I2003" s="16" t="n">
        <f aca="false">IFERROR(SUMIFS(ROTACAO_RDM!$B$6:$B$71,ROTACAO_RDM!$D$6:$D$71,$E2003,ROTACAO_RDM!$I$6:$I$71,"&lt;="&amp;$C2003+INT(DIAS_POR_SEMANA/2),ROTACAO_RDM!$J$6:$J$71,"&gt;="&amp;$C2003+INT(DIAS_POR_SEMANA/2)),0)</f>
        <v>51</v>
      </c>
      <c r="J2003" s="16" t="n">
        <f aca="false">IFERROR(MATCH($I2003,ROTACAO_RDM!$B$6:$B$71,0),0)</f>
        <v>51</v>
      </c>
      <c r="K2003" s="8" t="str">
        <f aca="false">IF($J2003=0,"SEM CULTURA",INDEX(ROTACAO_RDM!$F$6:$F$71,$J2003))</f>
        <v>SOJA</v>
      </c>
      <c r="L2003" s="8" t="str">
        <f aca="false">IF($J2003=0,"",INDEX(ROTACAO_RDM!$G$6:$G$71,$J2003))</f>
        <v>NEO 761 I2X</v>
      </c>
      <c r="M2003" s="17" t="n">
        <f aca="false">IF($J2003=0,"",INDEX(ROTACAO_RDM!$I$6:$I$71,$J2003))</f>
        <v>46308</v>
      </c>
      <c r="N2003" s="16" t="n">
        <f aca="false">IF($J2003=0,0,MAX(0,$C2003+INT(DIAS_POR_SEMANA/2)-INDEX(ROTACAO_RDM!$I$6:$I$71,$J2003)))</f>
        <v>79</v>
      </c>
      <c r="O2003" s="19" t="n">
        <f aca="false">IF($J2003=0,0,MIN(1,$N2003/MAX(1,INDEX(ROTACAO_RDM!$K$6:$K$71,$J2003))))</f>
        <v>0.681034482758621</v>
      </c>
      <c r="P2003" s="16" t="n">
        <f aca="false">IF($J2003=0,0,IFERROR(MATCH(INDEX(ROTACAO_RDM!$N$6:$N$71,$J2003),PARAMETROS_CULTURAS!$B$6:$B$28,0),0))</f>
        <v>2</v>
      </c>
      <c r="Q2003" s="8" t="str">
        <f aca="false">IF($P2003=0,"-",IF($O2003&lt;=INDEX(PARAMETROS_CULTURAS!$F$6:$F$28,$P2003),"INICIAL",IF($O2003&lt;=INDEX(PARAMETROS_CULTURAS!$F$6:$F$28,$P2003)+INDEX(PARAMETROS_CULTURAS!$G$6:$G$28,$P2003),"DESENVOLVIMENTO",IF($O2003&lt;=INDEX(PARAMETROS_CULTURAS!$F$6:$F$28,$P2003)+INDEX(PARAMETROS_CULTURAS!$G$6:$G$28,$P2003)+INDEX(PARAMETROS_CULTURAS!$H$6:$H$28,$P2003),"MEDIA","FINAL"))))</f>
        <v>MEDIA</v>
      </c>
      <c r="R2003" s="24" t="n">
        <f aca="false">IF($P2003=0,0,IF($O2003&lt;=INDEX(PARAMETROS_CULTURAS!$F$6:$F$28,$P2003),INDEX(PARAMETROS_CULTURAS!$K$6:$K$28,$P2003),IF($O2003&lt;=INDEX(PARAMETROS_CULTURAS!$F$6:$F$28,$P2003)+INDEX(PARAMETROS_CULTURAS!$G$6:$G$28,$P2003),INDEX(PARAMETROS_CULTURAS!$K$6:$K$28,$P2003)+(INDEX(PARAMETROS_CULTURAS!$L$6:$L$28,$P2003)-INDEX(PARAMETROS_CULTURAS!$K$6:$K$28,$P2003))*($O2003-INDEX(PARAMETROS_CULTURAS!$F$6:$F$28,$P2003))/MAX(INDEX(PARAMETROS_CULTURAS!$G$6:$G$28,$P2003),0.0001),IF($O2003&lt;=INDEX(PARAMETROS_CULTURAS!$F$6:$F$28,$P2003)+INDEX(PARAMETROS_CULTURAS!$G$6:$G$28,$P2003)+INDEX(PARAMETROS_CULTURAS!$H$6:$H$28,$P2003),INDEX(PARAMETROS_CULTURAS!$L$6:$L$28,$P2003),INDEX(PARAMETROS_CULTURAS!$L$6:$L$28,$P2003)+(INDEX(PARAMETROS_CULTURAS!$M$6:$M$28,$P2003)-INDEX(PARAMETROS_CULTURAS!$L$6:$L$28,$P2003))*($O2003-INDEX(PARAMETROS_CULTURAS!$F$6:$F$28,$P2003)-INDEX(PARAMETROS_CULTURAS!$G$6:$G$28,$P2003)-INDEX(PARAMETROS_CULTURAS!$H$6:$H$28,$P2003))/MAX(INDEX(PARAMETROS_CULTURAS!$I$6:$I$28,$P2003),0.0001)))))</f>
        <v>1.15</v>
      </c>
      <c r="S2003" s="18" t="n">
        <f aca="false">IFERROR(INDEX(SEMANAS!$H$6:$H$71,MATCH($B2003,SEMANAS!$B$6:$B$71,0)),0)</f>
        <v>33.2</v>
      </c>
      <c r="T2003" s="18" t="n">
        <f aca="false">$R2003*$S2003</f>
        <v>38.18</v>
      </c>
      <c r="U2003" s="18" t="n">
        <f aca="false">IFERROR(INDEX(SEMANAS!$I$6:$I$71,MATCH($B2003,SEMANAS!$B$6:$B$71,0)),0)</f>
        <v>47.11</v>
      </c>
      <c r="V2003" s="18" t="n">
        <f aca="false">IFERROR(INDEX(SEMANAS!$J$6:$J$71,MATCH($B2003,SEMANAS!$B$6:$B$71,0)),0)</f>
        <v>37.688</v>
      </c>
      <c r="W2003" s="18" t="n">
        <f aca="false">MAX(0,$T2003-$V2003)</f>
        <v>0.491999999999997</v>
      </c>
      <c r="X2003" s="19" t="n">
        <f aca="false">IFERROR(INDEX(CADASTRO_PIVOS!$K$6:$K$41,MATCH($E2003,CADASTRO_PIVOS!$B$6:$B$41,0)),EFICIENCIA_PADRAO)</f>
        <v>0.85</v>
      </c>
      <c r="Y2003" s="18" t="n">
        <f aca="false">IF($X2003&lt;=0,0,$W2003/$X2003)</f>
        <v>0.578823529411762</v>
      </c>
      <c r="Z2003" s="16" t="n">
        <f aca="false">$Y2003*$H2003*MM_PARA_M3_HA</f>
        <v>575.813647058821</v>
      </c>
      <c r="AA2003" s="18" t="n">
        <f aca="false">IFERROR(INDEX(CADASTRO_PIVOS!$I$6:$I$41,MATCH($E2003,CADASTRO_PIVOS!$B$6:$B$41,0)),0)</f>
        <v>710.571428571429</v>
      </c>
      <c r="AB2003" s="18" t="n">
        <f aca="false">IF($Z2003&lt;=0,0,$Z2003/$AA2003)</f>
        <v>0.810352941176466</v>
      </c>
      <c r="AC2003" s="16" t="n">
        <f aca="false">IFERROR(INDEX(SEMANAS!$K$6:$K$71,MATCH($B2003,SEMANAS!$B$6:$B$71,0)),0)</f>
        <v>147</v>
      </c>
      <c r="AD2003" s="19" t="n">
        <f aca="false">IF($AC2003&lt;=0,0,$AB2003/$AC2003)</f>
        <v>0.00551260504201678</v>
      </c>
      <c r="AE2003" s="8" t="str">
        <f aca="false">IF($K2003="SEM CULTURA","SEM CULTURA",IF($AA2003&lt;=0,"DADO PENDENTE",IF($AD2003&gt;LIMITE_CRITICO,"INVIAVEL",IF($AD2003&gt;LIMITE_ATENCAO,"CRITICO",IF($AD2003&gt;LIMITE_CONFORTAVEL,"ATENCAO","OK")))))</f>
        <v>OK</v>
      </c>
      <c r="AF2003" s="8" t="str">
        <f aca="false">$B2003&amp;"|"&amp;TEXT($AD2003,"0.000000")</f>
        <v>18|0.005513</v>
      </c>
      <c r="AG2003" s="18" t="n">
        <f aca="false">IF($K2003="SEM CULTURA",0,$T2003*$H2003)</f>
        <v>3798.1464</v>
      </c>
      <c r="AH2003" s="18" t="n">
        <f aca="false">IF($K2003="SEM CULTURA",0,$V2003*$H2003)</f>
        <v>3749.20224</v>
      </c>
      <c r="AI2003" s="18" t="n">
        <f aca="false">IF($K2003="SEM CULTURA",0,$W2003*$H2003)</f>
        <v>48.9441599999997</v>
      </c>
      <c r="AJ2003" s="18" t="n">
        <f aca="false">IF($K2003="SEM CULTURA",0,$S2003*$H2003)</f>
        <v>3302.736</v>
      </c>
      <c r="AK2003" s="8" t="str">
        <f aca="false">$E2003&amp;"|"&amp;TEXT($AD2003,"0.000000")</f>
        <v>PV 127|0.005513</v>
      </c>
    </row>
    <row r="2004" customFormat="false" ht="15" hidden="false" customHeight="false" outlineLevel="0" collapsed="false">
      <c r="B2004" s="16" t="n">
        <v>19</v>
      </c>
      <c r="C2004" s="17" t="n">
        <f aca="false">DATA_INICIO_SAFRA+($B2004-1)*DIAS_POR_SEMANA</f>
        <v>46391</v>
      </c>
      <c r="D2004" s="17" t="n">
        <f aca="false">$C2004+DIAS_POR_SEMANA-1</f>
        <v>46397</v>
      </c>
      <c r="E2004" s="15" t="s">
        <v>289</v>
      </c>
      <c r="F2004" s="8" t="str">
        <f aca="false">IFERROR(INDEX(CADASTRO_PIVOS!$C$6:$C$41,MATCH($E2004,CADASTRO_PIVOS!$B$6:$B$41,0)),"?")</f>
        <v>RM07</v>
      </c>
      <c r="G2004" s="8" t="str">
        <f aca="false">IFERROR(INDEX(CADASTRO_PIVOS!$D$6:$D$41,MATCH($E2004,CADASTRO_PIVOS!$B$6:$B$41,0)),"?")</f>
        <v>TR07</v>
      </c>
      <c r="H2004" s="20" t="n">
        <f aca="false">IFERROR(INDEX(CADASTRO_PIVOS!$E$6:$E$41,MATCH($E2004,CADASTRO_PIVOS!$B$6:$B$41,0)),0)</f>
        <v>99.48</v>
      </c>
      <c r="I2004" s="16" t="n">
        <f aca="false">IFERROR(SUMIFS(ROTACAO_RDM!$B$6:$B$71,ROTACAO_RDM!$D$6:$D$71,$E2004,ROTACAO_RDM!$I$6:$I$71,"&lt;="&amp;$C2004+INT(DIAS_POR_SEMANA/2),ROTACAO_RDM!$J$6:$J$71,"&gt;="&amp;$C2004+INT(DIAS_POR_SEMANA/2)),0)</f>
        <v>51</v>
      </c>
      <c r="J2004" s="16" t="n">
        <f aca="false">IFERROR(MATCH($I2004,ROTACAO_RDM!$B$6:$B$71,0),0)</f>
        <v>51</v>
      </c>
      <c r="K2004" s="8" t="str">
        <f aca="false">IF($J2004=0,"SEM CULTURA",INDEX(ROTACAO_RDM!$F$6:$F$71,$J2004))</f>
        <v>SOJA</v>
      </c>
      <c r="L2004" s="8" t="str">
        <f aca="false">IF($J2004=0,"",INDEX(ROTACAO_RDM!$G$6:$G$71,$J2004))</f>
        <v>NEO 761 I2X</v>
      </c>
      <c r="M2004" s="17" t="n">
        <f aca="false">IF($J2004=0,"",INDEX(ROTACAO_RDM!$I$6:$I$71,$J2004))</f>
        <v>46308</v>
      </c>
      <c r="N2004" s="16" t="n">
        <f aca="false">IF($J2004=0,0,MAX(0,$C2004+INT(DIAS_POR_SEMANA/2)-INDEX(ROTACAO_RDM!$I$6:$I$71,$J2004)))</f>
        <v>86</v>
      </c>
      <c r="O2004" s="19" t="n">
        <f aca="false">IF($J2004=0,0,MIN(1,$N2004/MAX(1,INDEX(ROTACAO_RDM!$K$6:$K$71,$J2004))))</f>
        <v>0.741379310344828</v>
      </c>
      <c r="P2004" s="16" t="n">
        <f aca="false">IF($J2004=0,0,IFERROR(MATCH(INDEX(ROTACAO_RDM!$N$6:$N$71,$J2004),PARAMETROS_CULTURAS!$B$6:$B$28,0),0))</f>
        <v>2</v>
      </c>
      <c r="Q2004" s="8" t="str">
        <f aca="false">IF($P2004=0,"-",IF($O2004&lt;=INDEX(PARAMETROS_CULTURAS!$F$6:$F$28,$P2004),"INICIAL",IF($O2004&lt;=INDEX(PARAMETROS_CULTURAS!$F$6:$F$28,$P2004)+INDEX(PARAMETROS_CULTURAS!$G$6:$G$28,$P2004),"DESENVOLVIMENTO",IF($O2004&lt;=INDEX(PARAMETROS_CULTURAS!$F$6:$F$28,$P2004)+INDEX(PARAMETROS_CULTURAS!$G$6:$G$28,$P2004)+INDEX(PARAMETROS_CULTURAS!$H$6:$H$28,$P2004),"MEDIA","FINAL"))))</f>
        <v>MEDIA</v>
      </c>
      <c r="R2004" s="24" t="n">
        <f aca="false">IF($P2004=0,0,IF($O2004&lt;=INDEX(PARAMETROS_CULTURAS!$F$6:$F$28,$P2004),INDEX(PARAMETROS_CULTURAS!$K$6:$K$28,$P2004),IF($O2004&lt;=INDEX(PARAMETROS_CULTURAS!$F$6:$F$28,$P2004)+INDEX(PARAMETROS_CULTURAS!$G$6:$G$28,$P2004),INDEX(PARAMETROS_CULTURAS!$K$6:$K$28,$P2004)+(INDEX(PARAMETROS_CULTURAS!$L$6:$L$28,$P2004)-INDEX(PARAMETROS_CULTURAS!$K$6:$K$28,$P2004))*($O2004-INDEX(PARAMETROS_CULTURAS!$F$6:$F$28,$P2004))/MAX(INDEX(PARAMETROS_CULTURAS!$G$6:$G$28,$P2004),0.0001),IF($O2004&lt;=INDEX(PARAMETROS_CULTURAS!$F$6:$F$28,$P2004)+INDEX(PARAMETROS_CULTURAS!$G$6:$G$28,$P2004)+INDEX(PARAMETROS_CULTURAS!$H$6:$H$28,$P2004),INDEX(PARAMETROS_CULTURAS!$L$6:$L$28,$P2004),INDEX(PARAMETROS_CULTURAS!$L$6:$L$28,$P2004)+(INDEX(PARAMETROS_CULTURAS!$M$6:$M$28,$P2004)-INDEX(PARAMETROS_CULTURAS!$L$6:$L$28,$P2004))*($O2004-INDEX(PARAMETROS_CULTURAS!$F$6:$F$28,$P2004)-INDEX(PARAMETROS_CULTURAS!$G$6:$G$28,$P2004)-INDEX(PARAMETROS_CULTURAS!$H$6:$H$28,$P2004))/MAX(INDEX(PARAMETROS_CULTURAS!$I$6:$I$28,$P2004),0.0001)))))</f>
        <v>1.15</v>
      </c>
      <c r="S2004" s="18" t="n">
        <f aca="false">IFERROR(INDEX(SEMANAS!$H$6:$H$71,MATCH($B2004,SEMANAS!$B$6:$B$71,0)),0)</f>
        <v>33.6</v>
      </c>
      <c r="T2004" s="18" t="n">
        <f aca="false">$R2004*$S2004</f>
        <v>38.64</v>
      </c>
      <c r="U2004" s="18" t="n">
        <f aca="false">IFERROR(INDEX(SEMANAS!$I$6:$I$71,MATCH($B2004,SEMANAS!$B$6:$B$71,0)),0)</f>
        <v>45.15</v>
      </c>
      <c r="V2004" s="18" t="n">
        <f aca="false">IFERROR(INDEX(SEMANAS!$J$6:$J$71,MATCH($B2004,SEMANAS!$B$6:$B$71,0)),0)</f>
        <v>36.12</v>
      </c>
      <c r="W2004" s="18" t="n">
        <f aca="false">MAX(0,$T2004-$V2004)</f>
        <v>2.52</v>
      </c>
      <c r="X2004" s="19" t="n">
        <f aca="false">IFERROR(INDEX(CADASTRO_PIVOS!$K$6:$K$41,MATCH($E2004,CADASTRO_PIVOS!$B$6:$B$41,0)),EFICIENCIA_PADRAO)</f>
        <v>0.85</v>
      </c>
      <c r="Y2004" s="18" t="n">
        <f aca="false">IF($X2004&lt;=0,0,$W2004/$X2004)</f>
        <v>2.96470588235294</v>
      </c>
      <c r="Z2004" s="16" t="n">
        <f aca="false">$Y2004*$H2004*MM_PARA_M3_HA</f>
        <v>2949.2894117647</v>
      </c>
      <c r="AA2004" s="18" t="n">
        <f aca="false">IFERROR(INDEX(CADASTRO_PIVOS!$I$6:$I$41,MATCH($E2004,CADASTRO_PIVOS!$B$6:$B$41,0)),0)</f>
        <v>710.571428571429</v>
      </c>
      <c r="AB2004" s="18" t="n">
        <f aca="false">IF($Z2004&lt;=0,0,$Z2004/$AA2004)</f>
        <v>4.15058823529411</v>
      </c>
      <c r="AC2004" s="16" t="n">
        <f aca="false">IFERROR(INDEX(SEMANAS!$K$6:$K$71,MATCH($B2004,SEMANAS!$B$6:$B$71,0)),0)</f>
        <v>147</v>
      </c>
      <c r="AD2004" s="19" t="n">
        <f aca="false">IF($AC2004&lt;=0,0,$AB2004/$AC2004)</f>
        <v>0.028235294117647</v>
      </c>
      <c r="AE2004" s="8" t="str">
        <f aca="false">IF($K2004="SEM CULTURA","SEM CULTURA",IF($AA2004&lt;=0,"DADO PENDENTE",IF($AD2004&gt;LIMITE_CRITICO,"INVIAVEL",IF($AD2004&gt;LIMITE_ATENCAO,"CRITICO",IF($AD2004&gt;LIMITE_CONFORTAVEL,"ATENCAO","OK")))))</f>
        <v>OK</v>
      </c>
      <c r="AF2004" s="8" t="str">
        <f aca="false">$B2004&amp;"|"&amp;TEXT($AD2004,"0.000000")</f>
        <v>19|0.028235</v>
      </c>
      <c r="AG2004" s="18" t="n">
        <f aca="false">IF($K2004="SEM CULTURA",0,$T2004*$H2004)</f>
        <v>3843.9072</v>
      </c>
      <c r="AH2004" s="18" t="n">
        <f aca="false">IF($K2004="SEM CULTURA",0,$V2004*$H2004)</f>
        <v>3593.2176</v>
      </c>
      <c r="AI2004" s="18" t="n">
        <f aca="false">IF($K2004="SEM CULTURA",0,$W2004*$H2004)</f>
        <v>250.6896</v>
      </c>
      <c r="AJ2004" s="18" t="n">
        <f aca="false">IF($K2004="SEM CULTURA",0,$S2004*$H2004)</f>
        <v>3342.528</v>
      </c>
      <c r="AK2004" s="8" t="str">
        <f aca="false">$E2004&amp;"|"&amp;TEXT($AD2004,"0.000000")</f>
        <v>PV 127|0.028235</v>
      </c>
    </row>
    <row r="2005" customFormat="false" ht="15" hidden="false" customHeight="false" outlineLevel="0" collapsed="false">
      <c r="B2005" s="16" t="n">
        <v>20</v>
      </c>
      <c r="C2005" s="17" t="n">
        <f aca="false">DATA_INICIO_SAFRA+($B2005-1)*DIAS_POR_SEMANA</f>
        <v>46398</v>
      </c>
      <c r="D2005" s="17" t="n">
        <f aca="false">$C2005+DIAS_POR_SEMANA-1</f>
        <v>46404</v>
      </c>
      <c r="E2005" s="15" t="s">
        <v>289</v>
      </c>
      <c r="F2005" s="8" t="str">
        <f aca="false">IFERROR(INDEX(CADASTRO_PIVOS!$C$6:$C$41,MATCH($E2005,CADASTRO_PIVOS!$B$6:$B$41,0)),"?")</f>
        <v>RM07</v>
      </c>
      <c r="G2005" s="8" t="str">
        <f aca="false">IFERROR(INDEX(CADASTRO_PIVOS!$D$6:$D$41,MATCH($E2005,CADASTRO_PIVOS!$B$6:$B$41,0)),"?")</f>
        <v>TR07</v>
      </c>
      <c r="H2005" s="20" t="n">
        <f aca="false">IFERROR(INDEX(CADASTRO_PIVOS!$E$6:$E$41,MATCH($E2005,CADASTRO_PIVOS!$B$6:$B$41,0)),0)</f>
        <v>99.48</v>
      </c>
      <c r="I2005" s="16" t="n">
        <f aca="false">IFERROR(SUMIFS(ROTACAO_RDM!$B$6:$B$71,ROTACAO_RDM!$D$6:$D$71,$E2005,ROTACAO_RDM!$I$6:$I$71,"&lt;="&amp;$C2005+INT(DIAS_POR_SEMANA/2),ROTACAO_RDM!$J$6:$J$71,"&gt;="&amp;$C2005+INT(DIAS_POR_SEMANA/2)),0)</f>
        <v>51</v>
      </c>
      <c r="J2005" s="16" t="n">
        <f aca="false">IFERROR(MATCH($I2005,ROTACAO_RDM!$B$6:$B$71,0),0)</f>
        <v>51</v>
      </c>
      <c r="K2005" s="8" t="str">
        <f aca="false">IF($J2005=0,"SEM CULTURA",INDEX(ROTACAO_RDM!$F$6:$F$71,$J2005))</f>
        <v>SOJA</v>
      </c>
      <c r="L2005" s="8" t="str">
        <f aca="false">IF($J2005=0,"",INDEX(ROTACAO_RDM!$G$6:$G$71,$J2005))</f>
        <v>NEO 761 I2X</v>
      </c>
      <c r="M2005" s="17" t="n">
        <f aca="false">IF($J2005=0,"",INDEX(ROTACAO_RDM!$I$6:$I$71,$J2005))</f>
        <v>46308</v>
      </c>
      <c r="N2005" s="16" t="n">
        <f aca="false">IF($J2005=0,0,MAX(0,$C2005+INT(DIAS_POR_SEMANA/2)-INDEX(ROTACAO_RDM!$I$6:$I$71,$J2005)))</f>
        <v>93</v>
      </c>
      <c r="O2005" s="19" t="n">
        <f aca="false">IF($J2005=0,0,MIN(1,$N2005/MAX(1,INDEX(ROTACAO_RDM!$K$6:$K$71,$J2005))))</f>
        <v>0.801724137931035</v>
      </c>
      <c r="P2005" s="16" t="n">
        <f aca="false">IF($J2005=0,0,IFERROR(MATCH(INDEX(ROTACAO_RDM!$N$6:$N$71,$J2005),PARAMETROS_CULTURAS!$B$6:$B$28,0),0))</f>
        <v>2</v>
      </c>
      <c r="Q2005" s="8" t="str">
        <f aca="false">IF($P2005=0,"-",IF($O2005&lt;=INDEX(PARAMETROS_CULTURAS!$F$6:$F$28,$P2005),"INICIAL",IF($O2005&lt;=INDEX(PARAMETROS_CULTURAS!$F$6:$F$28,$P2005)+INDEX(PARAMETROS_CULTURAS!$G$6:$G$28,$P2005),"DESENVOLVIMENTO",IF($O2005&lt;=INDEX(PARAMETROS_CULTURAS!$F$6:$F$28,$P2005)+INDEX(PARAMETROS_CULTURAS!$G$6:$G$28,$P2005)+INDEX(PARAMETROS_CULTURAS!$H$6:$H$28,$P2005),"MEDIA","FINAL"))))</f>
        <v>MEDIA</v>
      </c>
      <c r="R2005" s="24" t="n">
        <f aca="false">IF($P2005=0,0,IF($O2005&lt;=INDEX(PARAMETROS_CULTURAS!$F$6:$F$28,$P2005),INDEX(PARAMETROS_CULTURAS!$K$6:$K$28,$P2005),IF($O2005&lt;=INDEX(PARAMETROS_CULTURAS!$F$6:$F$28,$P2005)+INDEX(PARAMETROS_CULTURAS!$G$6:$G$28,$P2005),INDEX(PARAMETROS_CULTURAS!$K$6:$K$28,$P2005)+(INDEX(PARAMETROS_CULTURAS!$L$6:$L$28,$P2005)-INDEX(PARAMETROS_CULTURAS!$K$6:$K$28,$P2005))*($O2005-INDEX(PARAMETROS_CULTURAS!$F$6:$F$28,$P2005))/MAX(INDEX(PARAMETROS_CULTURAS!$G$6:$G$28,$P2005),0.0001),IF($O2005&lt;=INDEX(PARAMETROS_CULTURAS!$F$6:$F$28,$P2005)+INDEX(PARAMETROS_CULTURAS!$G$6:$G$28,$P2005)+INDEX(PARAMETROS_CULTURAS!$H$6:$H$28,$P2005),INDEX(PARAMETROS_CULTURAS!$L$6:$L$28,$P2005),INDEX(PARAMETROS_CULTURAS!$L$6:$L$28,$P2005)+(INDEX(PARAMETROS_CULTURAS!$M$6:$M$28,$P2005)-INDEX(PARAMETROS_CULTURAS!$L$6:$L$28,$P2005))*($O2005-INDEX(PARAMETROS_CULTURAS!$F$6:$F$28,$P2005)-INDEX(PARAMETROS_CULTURAS!$G$6:$G$28,$P2005)-INDEX(PARAMETROS_CULTURAS!$H$6:$H$28,$P2005))/MAX(INDEX(PARAMETROS_CULTURAS!$I$6:$I$28,$P2005),0.0001)))))</f>
        <v>1.15</v>
      </c>
      <c r="S2005" s="18" t="n">
        <f aca="false">IFERROR(INDEX(SEMANAS!$H$6:$H$71,MATCH($B2005,SEMANAS!$B$6:$B$71,0)),0)</f>
        <v>33.6</v>
      </c>
      <c r="T2005" s="18" t="n">
        <f aca="false">$R2005*$S2005</f>
        <v>38.64</v>
      </c>
      <c r="U2005" s="18" t="n">
        <f aca="false">IFERROR(INDEX(SEMANAS!$I$6:$I$71,MATCH($B2005,SEMANAS!$B$6:$B$71,0)),0)</f>
        <v>45.15</v>
      </c>
      <c r="V2005" s="18" t="n">
        <f aca="false">IFERROR(INDEX(SEMANAS!$J$6:$J$71,MATCH($B2005,SEMANAS!$B$6:$B$71,0)),0)</f>
        <v>36.12</v>
      </c>
      <c r="W2005" s="18" t="n">
        <f aca="false">MAX(0,$T2005-$V2005)</f>
        <v>2.52</v>
      </c>
      <c r="X2005" s="19" t="n">
        <f aca="false">IFERROR(INDEX(CADASTRO_PIVOS!$K$6:$K$41,MATCH($E2005,CADASTRO_PIVOS!$B$6:$B$41,0)),EFICIENCIA_PADRAO)</f>
        <v>0.85</v>
      </c>
      <c r="Y2005" s="18" t="n">
        <f aca="false">IF($X2005&lt;=0,0,$W2005/$X2005)</f>
        <v>2.96470588235294</v>
      </c>
      <c r="Z2005" s="16" t="n">
        <f aca="false">$Y2005*$H2005*MM_PARA_M3_HA</f>
        <v>2949.2894117647</v>
      </c>
      <c r="AA2005" s="18" t="n">
        <f aca="false">IFERROR(INDEX(CADASTRO_PIVOS!$I$6:$I$41,MATCH($E2005,CADASTRO_PIVOS!$B$6:$B$41,0)),0)</f>
        <v>710.571428571429</v>
      </c>
      <c r="AB2005" s="18" t="n">
        <f aca="false">IF($Z2005&lt;=0,0,$Z2005/$AA2005)</f>
        <v>4.15058823529411</v>
      </c>
      <c r="AC2005" s="16" t="n">
        <f aca="false">IFERROR(INDEX(SEMANAS!$K$6:$K$71,MATCH($B2005,SEMANAS!$B$6:$B$71,0)),0)</f>
        <v>147</v>
      </c>
      <c r="AD2005" s="19" t="n">
        <f aca="false">IF($AC2005&lt;=0,0,$AB2005/$AC2005)</f>
        <v>0.028235294117647</v>
      </c>
      <c r="AE2005" s="8" t="str">
        <f aca="false">IF($K2005="SEM CULTURA","SEM CULTURA",IF($AA2005&lt;=0,"DADO PENDENTE",IF($AD2005&gt;LIMITE_CRITICO,"INVIAVEL",IF($AD2005&gt;LIMITE_ATENCAO,"CRITICO",IF($AD2005&gt;LIMITE_CONFORTAVEL,"ATENCAO","OK")))))</f>
        <v>OK</v>
      </c>
      <c r="AF2005" s="8" t="str">
        <f aca="false">$B2005&amp;"|"&amp;TEXT($AD2005,"0.000000")</f>
        <v>20|0.028235</v>
      </c>
      <c r="AG2005" s="18" t="n">
        <f aca="false">IF($K2005="SEM CULTURA",0,$T2005*$H2005)</f>
        <v>3843.9072</v>
      </c>
      <c r="AH2005" s="18" t="n">
        <f aca="false">IF($K2005="SEM CULTURA",0,$V2005*$H2005)</f>
        <v>3593.2176</v>
      </c>
      <c r="AI2005" s="18" t="n">
        <f aca="false">IF($K2005="SEM CULTURA",0,$W2005*$H2005)</f>
        <v>250.6896</v>
      </c>
      <c r="AJ2005" s="18" t="n">
        <f aca="false">IF($K2005="SEM CULTURA",0,$S2005*$H2005)</f>
        <v>3342.528</v>
      </c>
      <c r="AK2005" s="8" t="str">
        <f aca="false">$E2005&amp;"|"&amp;TEXT($AD2005,"0.000000")</f>
        <v>PV 127|0.028235</v>
      </c>
    </row>
    <row r="2006" customFormat="false" ht="15" hidden="false" customHeight="false" outlineLevel="0" collapsed="false">
      <c r="B2006" s="16" t="n">
        <v>21</v>
      </c>
      <c r="C2006" s="17" t="n">
        <f aca="false">DATA_INICIO_SAFRA+($B2006-1)*DIAS_POR_SEMANA</f>
        <v>46405</v>
      </c>
      <c r="D2006" s="17" t="n">
        <f aca="false">$C2006+DIAS_POR_SEMANA-1</f>
        <v>46411</v>
      </c>
      <c r="E2006" s="15" t="s">
        <v>289</v>
      </c>
      <c r="F2006" s="8" t="str">
        <f aca="false">IFERROR(INDEX(CADASTRO_PIVOS!$C$6:$C$41,MATCH($E2006,CADASTRO_PIVOS!$B$6:$B$41,0)),"?")</f>
        <v>RM07</v>
      </c>
      <c r="G2006" s="8" t="str">
        <f aca="false">IFERROR(INDEX(CADASTRO_PIVOS!$D$6:$D$41,MATCH($E2006,CADASTRO_PIVOS!$B$6:$B$41,0)),"?")</f>
        <v>TR07</v>
      </c>
      <c r="H2006" s="20" t="n">
        <f aca="false">IFERROR(INDEX(CADASTRO_PIVOS!$E$6:$E$41,MATCH($E2006,CADASTRO_PIVOS!$B$6:$B$41,0)),0)</f>
        <v>99.48</v>
      </c>
      <c r="I2006" s="16" t="n">
        <f aca="false">IFERROR(SUMIFS(ROTACAO_RDM!$B$6:$B$71,ROTACAO_RDM!$D$6:$D$71,$E2006,ROTACAO_RDM!$I$6:$I$71,"&lt;="&amp;$C2006+INT(DIAS_POR_SEMANA/2),ROTACAO_RDM!$J$6:$J$71,"&gt;="&amp;$C2006+INT(DIAS_POR_SEMANA/2)),0)</f>
        <v>51</v>
      </c>
      <c r="J2006" s="16" t="n">
        <f aca="false">IFERROR(MATCH($I2006,ROTACAO_RDM!$B$6:$B$71,0),0)</f>
        <v>51</v>
      </c>
      <c r="K2006" s="8" t="str">
        <f aca="false">IF($J2006=0,"SEM CULTURA",INDEX(ROTACAO_RDM!$F$6:$F$71,$J2006))</f>
        <v>SOJA</v>
      </c>
      <c r="L2006" s="8" t="str">
        <f aca="false">IF($J2006=0,"",INDEX(ROTACAO_RDM!$G$6:$G$71,$J2006))</f>
        <v>NEO 761 I2X</v>
      </c>
      <c r="M2006" s="17" t="n">
        <f aca="false">IF($J2006=0,"",INDEX(ROTACAO_RDM!$I$6:$I$71,$J2006))</f>
        <v>46308</v>
      </c>
      <c r="N2006" s="16" t="n">
        <f aca="false">IF($J2006=0,0,MAX(0,$C2006+INT(DIAS_POR_SEMANA/2)-INDEX(ROTACAO_RDM!$I$6:$I$71,$J2006)))</f>
        <v>100</v>
      </c>
      <c r="O2006" s="19" t="n">
        <f aca="false">IF($J2006=0,0,MIN(1,$N2006/MAX(1,INDEX(ROTACAO_RDM!$K$6:$K$71,$J2006))))</f>
        <v>0.862068965517241</v>
      </c>
      <c r="P2006" s="16" t="n">
        <f aca="false">IF($J2006=0,0,IFERROR(MATCH(INDEX(ROTACAO_RDM!$N$6:$N$71,$J2006),PARAMETROS_CULTURAS!$B$6:$B$28,0),0))</f>
        <v>2</v>
      </c>
      <c r="Q2006" s="8" t="str">
        <f aca="false">IF($P2006=0,"-",IF($O2006&lt;=INDEX(PARAMETROS_CULTURAS!$F$6:$F$28,$P2006),"INICIAL",IF($O2006&lt;=INDEX(PARAMETROS_CULTURAS!$F$6:$F$28,$P2006)+INDEX(PARAMETROS_CULTURAS!$G$6:$G$28,$P2006),"DESENVOLVIMENTO",IF($O2006&lt;=INDEX(PARAMETROS_CULTURAS!$F$6:$F$28,$P2006)+INDEX(PARAMETROS_CULTURAS!$G$6:$G$28,$P2006)+INDEX(PARAMETROS_CULTURAS!$H$6:$H$28,$P2006),"MEDIA","FINAL"))))</f>
        <v>FINAL</v>
      </c>
      <c r="R2006" s="24" t="n">
        <f aca="false">IF($P2006=0,0,IF($O2006&lt;=INDEX(PARAMETROS_CULTURAS!$F$6:$F$28,$P2006),INDEX(PARAMETROS_CULTURAS!$K$6:$K$28,$P2006),IF($O2006&lt;=INDEX(PARAMETROS_CULTURAS!$F$6:$F$28,$P2006)+INDEX(PARAMETROS_CULTURAS!$G$6:$G$28,$P2006),INDEX(PARAMETROS_CULTURAS!$K$6:$K$28,$P2006)+(INDEX(PARAMETROS_CULTURAS!$L$6:$L$28,$P2006)-INDEX(PARAMETROS_CULTURAS!$K$6:$K$28,$P2006))*($O2006-INDEX(PARAMETROS_CULTURAS!$F$6:$F$28,$P2006))/MAX(INDEX(PARAMETROS_CULTURAS!$G$6:$G$28,$P2006),0.0001),IF($O2006&lt;=INDEX(PARAMETROS_CULTURAS!$F$6:$F$28,$P2006)+INDEX(PARAMETROS_CULTURAS!$G$6:$G$28,$P2006)+INDEX(PARAMETROS_CULTURAS!$H$6:$H$28,$P2006),INDEX(PARAMETROS_CULTURAS!$L$6:$L$28,$P2006),INDEX(PARAMETROS_CULTURAS!$L$6:$L$28,$P2006)+(INDEX(PARAMETROS_CULTURAS!$M$6:$M$28,$P2006)-INDEX(PARAMETROS_CULTURAS!$L$6:$L$28,$P2006))*($O2006-INDEX(PARAMETROS_CULTURAS!$F$6:$F$28,$P2006)-INDEX(PARAMETROS_CULTURAS!$G$6:$G$28,$P2006)-INDEX(PARAMETROS_CULTURAS!$H$6:$H$28,$P2006))/MAX(INDEX(PARAMETROS_CULTURAS!$I$6:$I$28,$P2006),0.0001)))))</f>
        <v>0.971869328493648</v>
      </c>
      <c r="S2006" s="18" t="n">
        <f aca="false">IFERROR(INDEX(SEMANAS!$H$6:$H$71,MATCH($B2006,SEMANAS!$B$6:$B$71,0)),0)</f>
        <v>33.6</v>
      </c>
      <c r="T2006" s="18" t="n">
        <f aca="false">$R2006*$S2006</f>
        <v>32.6548094373866</v>
      </c>
      <c r="U2006" s="18" t="n">
        <f aca="false">IFERROR(INDEX(SEMANAS!$I$6:$I$71,MATCH($B2006,SEMANAS!$B$6:$B$71,0)),0)</f>
        <v>45.15</v>
      </c>
      <c r="V2006" s="18" t="n">
        <f aca="false">IFERROR(INDEX(SEMANAS!$J$6:$J$71,MATCH($B2006,SEMANAS!$B$6:$B$71,0)),0)</f>
        <v>36.12</v>
      </c>
      <c r="W2006" s="18" t="n">
        <f aca="false">MAX(0,$T2006-$V2006)</f>
        <v>0</v>
      </c>
      <c r="X2006" s="19" t="n">
        <f aca="false">IFERROR(INDEX(CADASTRO_PIVOS!$K$6:$K$41,MATCH($E2006,CADASTRO_PIVOS!$B$6:$B$41,0)),EFICIENCIA_PADRAO)</f>
        <v>0.85</v>
      </c>
      <c r="Y2006" s="18" t="n">
        <f aca="false">IF($X2006&lt;=0,0,$W2006/$X2006)</f>
        <v>0</v>
      </c>
      <c r="Z2006" s="16" t="n">
        <f aca="false">$Y2006*$H2006*MM_PARA_M3_HA</f>
        <v>0</v>
      </c>
      <c r="AA2006" s="18" t="n">
        <f aca="false">IFERROR(INDEX(CADASTRO_PIVOS!$I$6:$I$41,MATCH($E2006,CADASTRO_PIVOS!$B$6:$B$41,0)),0)</f>
        <v>710.571428571429</v>
      </c>
      <c r="AB2006" s="18" t="n">
        <f aca="false">IF($Z2006&lt;=0,0,$Z2006/$AA2006)</f>
        <v>0</v>
      </c>
      <c r="AC2006" s="16" t="n">
        <f aca="false">IFERROR(INDEX(SEMANAS!$K$6:$K$71,MATCH($B2006,SEMANAS!$B$6:$B$71,0)),0)</f>
        <v>147</v>
      </c>
      <c r="AD2006" s="19" t="n">
        <f aca="false">IF($AC2006&lt;=0,0,$AB2006/$AC2006)</f>
        <v>0</v>
      </c>
      <c r="AE2006" s="8" t="str">
        <f aca="false">IF($K2006="SEM CULTURA","SEM CULTURA",IF($AA2006&lt;=0,"DADO PENDENTE",IF($AD2006&gt;LIMITE_CRITICO,"INVIAVEL",IF($AD2006&gt;LIMITE_ATENCAO,"CRITICO",IF($AD2006&gt;LIMITE_CONFORTAVEL,"ATENCAO","OK")))))</f>
        <v>OK</v>
      </c>
      <c r="AF2006" s="8" t="str">
        <f aca="false">$B2006&amp;"|"&amp;TEXT($AD2006,"0.000000")</f>
        <v>21|0.000000</v>
      </c>
      <c r="AG2006" s="18" t="n">
        <f aca="false">IF($K2006="SEM CULTURA",0,$T2006*$H2006)</f>
        <v>3248.50044283122</v>
      </c>
      <c r="AH2006" s="18" t="n">
        <f aca="false">IF($K2006="SEM CULTURA",0,$V2006*$H2006)</f>
        <v>3593.2176</v>
      </c>
      <c r="AI2006" s="18" t="n">
        <f aca="false">IF($K2006="SEM CULTURA",0,$W2006*$H2006)</f>
        <v>0</v>
      </c>
      <c r="AJ2006" s="18" t="n">
        <f aca="false">IF($K2006="SEM CULTURA",0,$S2006*$H2006)</f>
        <v>3342.528</v>
      </c>
      <c r="AK2006" s="8" t="str">
        <f aca="false">$E2006&amp;"|"&amp;TEXT($AD2006,"0.000000")</f>
        <v>PV 127|0.000000</v>
      </c>
    </row>
    <row r="2007" customFormat="false" ht="15" hidden="false" customHeight="false" outlineLevel="0" collapsed="false">
      <c r="B2007" s="16" t="n">
        <v>22</v>
      </c>
      <c r="C2007" s="17" t="n">
        <f aca="false">DATA_INICIO_SAFRA+($B2007-1)*DIAS_POR_SEMANA</f>
        <v>46412</v>
      </c>
      <c r="D2007" s="17" t="n">
        <f aca="false">$C2007+DIAS_POR_SEMANA-1</f>
        <v>46418</v>
      </c>
      <c r="E2007" s="15" t="s">
        <v>289</v>
      </c>
      <c r="F2007" s="8" t="str">
        <f aca="false">IFERROR(INDEX(CADASTRO_PIVOS!$C$6:$C$41,MATCH($E2007,CADASTRO_PIVOS!$B$6:$B$41,0)),"?")</f>
        <v>RM07</v>
      </c>
      <c r="G2007" s="8" t="str">
        <f aca="false">IFERROR(INDEX(CADASTRO_PIVOS!$D$6:$D$41,MATCH($E2007,CADASTRO_PIVOS!$B$6:$B$41,0)),"?")</f>
        <v>TR07</v>
      </c>
      <c r="H2007" s="20" t="n">
        <f aca="false">IFERROR(INDEX(CADASTRO_PIVOS!$E$6:$E$41,MATCH($E2007,CADASTRO_PIVOS!$B$6:$B$41,0)),0)</f>
        <v>99.48</v>
      </c>
      <c r="I2007" s="16" t="n">
        <f aca="false">IFERROR(SUMIFS(ROTACAO_RDM!$B$6:$B$71,ROTACAO_RDM!$D$6:$D$71,$E2007,ROTACAO_RDM!$I$6:$I$71,"&lt;="&amp;$C2007+INT(DIAS_POR_SEMANA/2),ROTACAO_RDM!$J$6:$J$71,"&gt;="&amp;$C2007+INT(DIAS_POR_SEMANA/2)),0)</f>
        <v>51</v>
      </c>
      <c r="J2007" s="16" t="n">
        <f aca="false">IFERROR(MATCH($I2007,ROTACAO_RDM!$B$6:$B$71,0),0)</f>
        <v>51</v>
      </c>
      <c r="K2007" s="8" t="str">
        <f aca="false">IF($J2007=0,"SEM CULTURA",INDEX(ROTACAO_RDM!$F$6:$F$71,$J2007))</f>
        <v>SOJA</v>
      </c>
      <c r="L2007" s="8" t="str">
        <f aca="false">IF($J2007=0,"",INDEX(ROTACAO_RDM!$G$6:$G$71,$J2007))</f>
        <v>NEO 761 I2X</v>
      </c>
      <c r="M2007" s="17" t="n">
        <f aca="false">IF($J2007=0,"",INDEX(ROTACAO_RDM!$I$6:$I$71,$J2007))</f>
        <v>46308</v>
      </c>
      <c r="N2007" s="16" t="n">
        <f aca="false">IF($J2007=0,0,MAX(0,$C2007+INT(DIAS_POR_SEMANA/2)-INDEX(ROTACAO_RDM!$I$6:$I$71,$J2007)))</f>
        <v>107</v>
      </c>
      <c r="O2007" s="19" t="n">
        <f aca="false">IF($J2007=0,0,MIN(1,$N2007/MAX(1,INDEX(ROTACAO_RDM!$K$6:$K$71,$J2007))))</f>
        <v>0.922413793103448</v>
      </c>
      <c r="P2007" s="16" t="n">
        <f aca="false">IF($J2007=0,0,IFERROR(MATCH(INDEX(ROTACAO_RDM!$N$6:$N$71,$J2007),PARAMETROS_CULTURAS!$B$6:$B$28,0),0))</f>
        <v>2</v>
      </c>
      <c r="Q2007" s="8" t="str">
        <f aca="false">IF($P2007=0,"-",IF($O2007&lt;=INDEX(PARAMETROS_CULTURAS!$F$6:$F$28,$P2007),"INICIAL",IF($O2007&lt;=INDEX(PARAMETROS_CULTURAS!$F$6:$F$28,$P2007)+INDEX(PARAMETROS_CULTURAS!$G$6:$G$28,$P2007),"DESENVOLVIMENTO",IF($O2007&lt;=INDEX(PARAMETROS_CULTURAS!$F$6:$F$28,$P2007)+INDEX(PARAMETROS_CULTURAS!$G$6:$G$28,$P2007)+INDEX(PARAMETROS_CULTURAS!$H$6:$H$28,$P2007),"MEDIA","FINAL"))))</f>
        <v>FINAL</v>
      </c>
      <c r="R2007" s="24" t="n">
        <f aca="false">IF($P2007=0,0,IF($O2007&lt;=INDEX(PARAMETROS_CULTURAS!$F$6:$F$28,$P2007),INDEX(PARAMETROS_CULTURAS!$K$6:$K$28,$P2007),IF($O2007&lt;=INDEX(PARAMETROS_CULTURAS!$F$6:$F$28,$P2007)+INDEX(PARAMETROS_CULTURAS!$G$6:$G$28,$P2007),INDEX(PARAMETROS_CULTURAS!$K$6:$K$28,$P2007)+(INDEX(PARAMETROS_CULTURAS!$L$6:$L$28,$P2007)-INDEX(PARAMETROS_CULTURAS!$K$6:$K$28,$P2007))*($O2007-INDEX(PARAMETROS_CULTURAS!$F$6:$F$28,$P2007))/MAX(INDEX(PARAMETROS_CULTURAS!$G$6:$G$28,$P2007),0.0001),IF($O2007&lt;=INDEX(PARAMETROS_CULTURAS!$F$6:$F$28,$P2007)+INDEX(PARAMETROS_CULTURAS!$G$6:$G$28,$P2007)+INDEX(PARAMETROS_CULTURAS!$H$6:$H$28,$P2007),INDEX(PARAMETROS_CULTURAS!$L$6:$L$28,$P2007),INDEX(PARAMETROS_CULTURAS!$L$6:$L$28,$P2007)+(INDEX(PARAMETROS_CULTURAS!$M$6:$M$28,$P2007)-INDEX(PARAMETROS_CULTURAS!$L$6:$L$28,$P2007))*($O2007-INDEX(PARAMETROS_CULTURAS!$F$6:$F$28,$P2007)-INDEX(PARAMETROS_CULTURAS!$G$6:$G$28,$P2007)-INDEX(PARAMETROS_CULTURAS!$H$6:$H$28,$P2007))/MAX(INDEX(PARAMETROS_CULTURAS!$I$6:$I$28,$P2007),0.0001)))))</f>
        <v>0.765426497277677</v>
      </c>
      <c r="S2007" s="18" t="n">
        <f aca="false">IFERROR(INDEX(SEMANAS!$H$6:$H$71,MATCH($B2007,SEMANAS!$B$6:$B$71,0)),0)</f>
        <v>33.6</v>
      </c>
      <c r="T2007" s="18" t="n">
        <f aca="false">$R2007*$S2007</f>
        <v>25.7183303085299</v>
      </c>
      <c r="U2007" s="18" t="n">
        <f aca="false">IFERROR(INDEX(SEMANAS!$I$6:$I$71,MATCH($B2007,SEMANAS!$B$6:$B$71,0)),0)</f>
        <v>45.15</v>
      </c>
      <c r="V2007" s="18" t="n">
        <f aca="false">IFERROR(INDEX(SEMANAS!$J$6:$J$71,MATCH($B2007,SEMANAS!$B$6:$B$71,0)),0)</f>
        <v>36.12</v>
      </c>
      <c r="W2007" s="18" t="n">
        <f aca="false">MAX(0,$T2007-$V2007)</f>
        <v>0</v>
      </c>
      <c r="X2007" s="19" t="n">
        <f aca="false">IFERROR(INDEX(CADASTRO_PIVOS!$K$6:$K$41,MATCH($E2007,CADASTRO_PIVOS!$B$6:$B$41,0)),EFICIENCIA_PADRAO)</f>
        <v>0.85</v>
      </c>
      <c r="Y2007" s="18" t="n">
        <f aca="false">IF($X2007&lt;=0,0,$W2007/$X2007)</f>
        <v>0</v>
      </c>
      <c r="Z2007" s="16" t="n">
        <f aca="false">$Y2007*$H2007*MM_PARA_M3_HA</f>
        <v>0</v>
      </c>
      <c r="AA2007" s="18" t="n">
        <f aca="false">IFERROR(INDEX(CADASTRO_PIVOS!$I$6:$I$41,MATCH($E2007,CADASTRO_PIVOS!$B$6:$B$41,0)),0)</f>
        <v>710.571428571429</v>
      </c>
      <c r="AB2007" s="18" t="n">
        <f aca="false">IF($Z2007&lt;=0,0,$Z2007/$AA2007)</f>
        <v>0</v>
      </c>
      <c r="AC2007" s="16" t="n">
        <f aca="false">IFERROR(INDEX(SEMANAS!$K$6:$K$71,MATCH($B2007,SEMANAS!$B$6:$B$71,0)),0)</f>
        <v>147</v>
      </c>
      <c r="AD2007" s="19" t="n">
        <f aca="false">IF($AC2007&lt;=0,0,$AB2007/$AC2007)</f>
        <v>0</v>
      </c>
      <c r="AE2007" s="8" t="str">
        <f aca="false">IF($K2007="SEM CULTURA","SEM CULTURA",IF($AA2007&lt;=0,"DADO PENDENTE",IF($AD2007&gt;LIMITE_CRITICO,"INVIAVEL",IF($AD2007&gt;LIMITE_ATENCAO,"CRITICO",IF($AD2007&gt;LIMITE_CONFORTAVEL,"ATENCAO","OK")))))</f>
        <v>OK</v>
      </c>
      <c r="AF2007" s="8" t="str">
        <f aca="false">$B2007&amp;"|"&amp;TEXT($AD2007,"0.000000")</f>
        <v>22|0.000000</v>
      </c>
      <c r="AG2007" s="18" t="n">
        <f aca="false">IF($K2007="SEM CULTURA",0,$T2007*$H2007)</f>
        <v>2558.45949909256</v>
      </c>
      <c r="AH2007" s="18" t="n">
        <f aca="false">IF($K2007="SEM CULTURA",0,$V2007*$H2007)</f>
        <v>3593.2176</v>
      </c>
      <c r="AI2007" s="18" t="n">
        <f aca="false">IF($K2007="SEM CULTURA",0,$W2007*$H2007)</f>
        <v>0</v>
      </c>
      <c r="AJ2007" s="18" t="n">
        <f aca="false">IF($K2007="SEM CULTURA",0,$S2007*$H2007)</f>
        <v>3342.528</v>
      </c>
      <c r="AK2007" s="8" t="str">
        <f aca="false">$E2007&amp;"|"&amp;TEXT($AD2007,"0.000000")</f>
        <v>PV 127|0.000000</v>
      </c>
    </row>
    <row r="2008" customFormat="false" ht="15" hidden="false" customHeight="false" outlineLevel="0" collapsed="false">
      <c r="B2008" s="16" t="n">
        <v>23</v>
      </c>
      <c r="C2008" s="17" t="n">
        <f aca="false">DATA_INICIO_SAFRA+($B2008-1)*DIAS_POR_SEMANA</f>
        <v>46419</v>
      </c>
      <c r="D2008" s="17" t="n">
        <f aca="false">$C2008+DIAS_POR_SEMANA-1</f>
        <v>46425</v>
      </c>
      <c r="E2008" s="15" t="s">
        <v>289</v>
      </c>
      <c r="F2008" s="8" t="str">
        <f aca="false">IFERROR(INDEX(CADASTRO_PIVOS!$C$6:$C$41,MATCH($E2008,CADASTRO_PIVOS!$B$6:$B$41,0)),"?")</f>
        <v>RM07</v>
      </c>
      <c r="G2008" s="8" t="str">
        <f aca="false">IFERROR(INDEX(CADASTRO_PIVOS!$D$6:$D$41,MATCH($E2008,CADASTRO_PIVOS!$B$6:$B$41,0)),"?")</f>
        <v>TR07</v>
      </c>
      <c r="H2008" s="20" t="n">
        <f aca="false">IFERROR(INDEX(CADASTRO_PIVOS!$E$6:$E$41,MATCH($E2008,CADASTRO_PIVOS!$B$6:$B$41,0)),0)</f>
        <v>99.48</v>
      </c>
      <c r="I2008" s="16" t="n">
        <f aca="false">IFERROR(SUMIFS(ROTACAO_RDM!$B$6:$B$71,ROTACAO_RDM!$D$6:$D$71,$E2008,ROTACAO_RDM!$I$6:$I$71,"&lt;="&amp;$C2008+INT(DIAS_POR_SEMANA/2),ROTACAO_RDM!$J$6:$J$71,"&gt;="&amp;$C2008+INT(DIAS_POR_SEMANA/2)),0)</f>
        <v>51</v>
      </c>
      <c r="J2008" s="16" t="n">
        <f aca="false">IFERROR(MATCH($I2008,ROTACAO_RDM!$B$6:$B$71,0),0)</f>
        <v>51</v>
      </c>
      <c r="K2008" s="8" t="str">
        <f aca="false">IF($J2008=0,"SEM CULTURA",INDEX(ROTACAO_RDM!$F$6:$F$71,$J2008))</f>
        <v>SOJA</v>
      </c>
      <c r="L2008" s="8" t="str">
        <f aca="false">IF($J2008=0,"",INDEX(ROTACAO_RDM!$G$6:$G$71,$J2008))</f>
        <v>NEO 761 I2X</v>
      </c>
      <c r="M2008" s="17" t="n">
        <f aca="false">IF($J2008=0,"",INDEX(ROTACAO_RDM!$I$6:$I$71,$J2008))</f>
        <v>46308</v>
      </c>
      <c r="N2008" s="16" t="n">
        <f aca="false">IF($J2008=0,0,MAX(0,$C2008+INT(DIAS_POR_SEMANA/2)-INDEX(ROTACAO_RDM!$I$6:$I$71,$J2008)))</f>
        <v>114</v>
      </c>
      <c r="O2008" s="19" t="n">
        <f aca="false">IF($J2008=0,0,MIN(1,$N2008/MAX(1,INDEX(ROTACAO_RDM!$K$6:$K$71,$J2008))))</f>
        <v>0.982758620689655</v>
      </c>
      <c r="P2008" s="16" t="n">
        <f aca="false">IF($J2008=0,0,IFERROR(MATCH(INDEX(ROTACAO_RDM!$N$6:$N$71,$J2008),PARAMETROS_CULTURAS!$B$6:$B$28,0),0))</f>
        <v>2</v>
      </c>
      <c r="Q2008" s="8" t="str">
        <f aca="false">IF($P2008=0,"-",IF($O2008&lt;=INDEX(PARAMETROS_CULTURAS!$F$6:$F$28,$P2008),"INICIAL",IF($O2008&lt;=INDEX(PARAMETROS_CULTURAS!$F$6:$F$28,$P2008)+INDEX(PARAMETROS_CULTURAS!$G$6:$G$28,$P2008),"DESENVOLVIMENTO",IF($O2008&lt;=INDEX(PARAMETROS_CULTURAS!$F$6:$F$28,$P2008)+INDEX(PARAMETROS_CULTURAS!$G$6:$G$28,$P2008)+INDEX(PARAMETROS_CULTURAS!$H$6:$H$28,$P2008),"MEDIA","FINAL"))))</f>
        <v>FINAL</v>
      </c>
      <c r="R2008" s="24" t="n">
        <f aca="false">IF($P2008=0,0,IF($O2008&lt;=INDEX(PARAMETROS_CULTURAS!$F$6:$F$28,$P2008),INDEX(PARAMETROS_CULTURAS!$K$6:$K$28,$P2008),IF($O2008&lt;=INDEX(PARAMETROS_CULTURAS!$F$6:$F$28,$P2008)+INDEX(PARAMETROS_CULTURAS!$G$6:$G$28,$P2008),INDEX(PARAMETROS_CULTURAS!$K$6:$K$28,$P2008)+(INDEX(PARAMETROS_CULTURAS!$L$6:$L$28,$P2008)-INDEX(PARAMETROS_CULTURAS!$K$6:$K$28,$P2008))*($O2008-INDEX(PARAMETROS_CULTURAS!$F$6:$F$28,$P2008))/MAX(INDEX(PARAMETROS_CULTURAS!$G$6:$G$28,$P2008),0.0001),IF($O2008&lt;=INDEX(PARAMETROS_CULTURAS!$F$6:$F$28,$P2008)+INDEX(PARAMETROS_CULTURAS!$G$6:$G$28,$P2008)+INDEX(PARAMETROS_CULTURAS!$H$6:$H$28,$P2008),INDEX(PARAMETROS_CULTURAS!$L$6:$L$28,$P2008),INDEX(PARAMETROS_CULTURAS!$L$6:$L$28,$P2008)+(INDEX(PARAMETROS_CULTURAS!$M$6:$M$28,$P2008)-INDEX(PARAMETROS_CULTURAS!$L$6:$L$28,$P2008))*($O2008-INDEX(PARAMETROS_CULTURAS!$F$6:$F$28,$P2008)-INDEX(PARAMETROS_CULTURAS!$G$6:$G$28,$P2008)-INDEX(PARAMETROS_CULTURAS!$H$6:$H$28,$P2008))/MAX(INDEX(PARAMETROS_CULTURAS!$I$6:$I$28,$P2008),0.0001)))))</f>
        <v>0.558983666061706</v>
      </c>
      <c r="S2008" s="18" t="n">
        <f aca="false">IFERROR(INDEX(SEMANAS!$H$6:$H$71,MATCH($B2008,SEMANAS!$B$6:$B$71,0)),0)</f>
        <v>32.9</v>
      </c>
      <c r="T2008" s="18" t="n">
        <f aca="false">$R2008*$S2008</f>
        <v>18.3905626134301</v>
      </c>
      <c r="U2008" s="18" t="n">
        <f aca="false">IFERROR(INDEX(SEMANAS!$I$6:$I$71,MATCH($B2008,SEMANAS!$B$6:$B$71,0)),0)</f>
        <v>39.97</v>
      </c>
      <c r="V2008" s="18" t="n">
        <f aca="false">IFERROR(INDEX(SEMANAS!$J$6:$J$71,MATCH($B2008,SEMANAS!$B$6:$B$71,0)),0)</f>
        <v>31.976</v>
      </c>
      <c r="W2008" s="18" t="n">
        <f aca="false">MAX(0,$T2008-$V2008)</f>
        <v>0</v>
      </c>
      <c r="X2008" s="19" t="n">
        <f aca="false">IFERROR(INDEX(CADASTRO_PIVOS!$K$6:$K$41,MATCH($E2008,CADASTRO_PIVOS!$B$6:$B$41,0)),EFICIENCIA_PADRAO)</f>
        <v>0.85</v>
      </c>
      <c r="Y2008" s="18" t="n">
        <f aca="false">IF($X2008&lt;=0,0,$W2008/$X2008)</f>
        <v>0</v>
      </c>
      <c r="Z2008" s="16" t="n">
        <f aca="false">$Y2008*$H2008*MM_PARA_M3_HA</f>
        <v>0</v>
      </c>
      <c r="AA2008" s="18" t="n">
        <f aca="false">IFERROR(INDEX(CADASTRO_PIVOS!$I$6:$I$41,MATCH($E2008,CADASTRO_PIVOS!$B$6:$B$41,0)),0)</f>
        <v>710.571428571429</v>
      </c>
      <c r="AB2008" s="18" t="n">
        <f aca="false">IF($Z2008&lt;=0,0,$Z2008/$AA2008)</f>
        <v>0</v>
      </c>
      <c r="AC2008" s="16" t="n">
        <f aca="false">IFERROR(INDEX(SEMANAS!$K$6:$K$71,MATCH($B2008,SEMANAS!$B$6:$B$71,0)),0)</f>
        <v>147</v>
      </c>
      <c r="AD2008" s="19" t="n">
        <f aca="false">IF($AC2008&lt;=0,0,$AB2008/$AC2008)</f>
        <v>0</v>
      </c>
      <c r="AE2008" s="8" t="str">
        <f aca="false">IF($K2008="SEM CULTURA","SEM CULTURA",IF($AA2008&lt;=0,"DADO PENDENTE",IF($AD2008&gt;LIMITE_CRITICO,"INVIAVEL",IF($AD2008&gt;LIMITE_ATENCAO,"CRITICO",IF($AD2008&gt;LIMITE_CONFORTAVEL,"ATENCAO","OK")))))</f>
        <v>OK</v>
      </c>
      <c r="AF2008" s="8" t="str">
        <f aca="false">$B2008&amp;"|"&amp;TEXT($AD2008,"0.000000")</f>
        <v>23|0.000000</v>
      </c>
      <c r="AG2008" s="18" t="n">
        <f aca="false">IF($K2008="SEM CULTURA",0,$T2008*$H2008)</f>
        <v>1829.49316878403</v>
      </c>
      <c r="AH2008" s="18" t="n">
        <f aca="false">IF($K2008="SEM CULTURA",0,$V2008*$H2008)</f>
        <v>3180.97248</v>
      </c>
      <c r="AI2008" s="18" t="n">
        <f aca="false">IF($K2008="SEM CULTURA",0,$W2008*$H2008)</f>
        <v>0</v>
      </c>
      <c r="AJ2008" s="18" t="n">
        <f aca="false">IF($K2008="SEM CULTURA",0,$S2008*$H2008)</f>
        <v>3272.892</v>
      </c>
      <c r="AK2008" s="8" t="str">
        <f aca="false">$E2008&amp;"|"&amp;TEXT($AD2008,"0.000000")</f>
        <v>PV 127|0.000000</v>
      </c>
    </row>
    <row r="2009" customFormat="false" ht="15" hidden="false" customHeight="false" outlineLevel="0" collapsed="false">
      <c r="B2009" s="16" t="n">
        <v>24</v>
      </c>
      <c r="C2009" s="17" t="n">
        <f aca="false">DATA_INICIO_SAFRA+($B2009-1)*DIAS_POR_SEMANA</f>
        <v>46426</v>
      </c>
      <c r="D2009" s="17" t="n">
        <f aca="false">$C2009+DIAS_POR_SEMANA-1</f>
        <v>46432</v>
      </c>
      <c r="E2009" s="15" t="s">
        <v>289</v>
      </c>
      <c r="F2009" s="8" t="str">
        <f aca="false">IFERROR(INDEX(CADASTRO_PIVOS!$C$6:$C$41,MATCH($E2009,CADASTRO_PIVOS!$B$6:$B$41,0)),"?")</f>
        <v>RM07</v>
      </c>
      <c r="G2009" s="8" t="str">
        <f aca="false">IFERROR(INDEX(CADASTRO_PIVOS!$D$6:$D$41,MATCH($E2009,CADASTRO_PIVOS!$B$6:$B$41,0)),"?")</f>
        <v>TR07</v>
      </c>
      <c r="H2009" s="20" t="n">
        <f aca="false">IFERROR(INDEX(CADASTRO_PIVOS!$E$6:$E$41,MATCH($E2009,CADASTRO_PIVOS!$B$6:$B$41,0)),0)</f>
        <v>99.48</v>
      </c>
      <c r="I2009" s="16" t="n">
        <f aca="false">IFERROR(SUMIFS(ROTACAO_RDM!$B$6:$B$71,ROTACAO_RDM!$D$6:$D$71,$E2009,ROTACAO_RDM!$I$6:$I$71,"&lt;="&amp;$C2009+INT(DIAS_POR_SEMANA/2),ROTACAO_RDM!$J$6:$J$71,"&gt;="&amp;$C2009+INT(DIAS_POR_SEMANA/2)),0)</f>
        <v>52</v>
      </c>
      <c r="J2009" s="16" t="n">
        <f aca="false">IFERROR(MATCH($I2009,ROTACAO_RDM!$B$6:$B$71,0),0)</f>
        <v>52</v>
      </c>
      <c r="K2009" s="8" t="str">
        <f aca="false">IF($J2009=0,"SEM CULTURA",INDEX(ROTACAO_RDM!$F$6:$F$71,$J2009))</f>
        <v>ALGODAO</v>
      </c>
      <c r="L2009" s="8" t="str">
        <f aca="false">IF($J2009=0,"",INDEX(ROTACAO_RDM!$G$6:$G$71,$J2009))</f>
        <v>DP 2111 B3RF</v>
      </c>
      <c r="M2009" s="17" t="n">
        <f aca="false">IF($J2009=0,"",INDEX(ROTACAO_RDM!$I$6:$I$71,$J2009))</f>
        <v>46426</v>
      </c>
      <c r="N2009" s="16" t="n">
        <f aca="false">IF($J2009=0,0,MAX(0,$C2009+INT(DIAS_POR_SEMANA/2)-INDEX(ROTACAO_RDM!$I$6:$I$71,$J2009)))</f>
        <v>3</v>
      </c>
      <c r="O2009" s="19" t="n">
        <f aca="false">IF($J2009=0,0,MIN(1,$N2009/MAX(1,INDEX(ROTACAO_RDM!$K$6:$K$71,$J2009))))</f>
        <v>0.0166666666666667</v>
      </c>
      <c r="P2009" s="16" t="n">
        <f aca="false">IF($J2009=0,0,IFERROR(MATCH(INDEX(ROTACAO_RDM!$N$6:$N$71,$J2009),PARAMETROS_CULTURAS!$B$6:$B$28,0),0))</f>
        <v>4</v>
      </c>
      <c r="Q2009" s="8" t="str">
        <f aca="false">IF($P2009=0,"-",IF($O2009&lt;=INDEX(PARAMETROS_CULTURAS!$F$6:$F$28,$P2009),"INICIAL",IF($O2009&lt;=INDEX(PARAMETROS_CULTURAS!$F$6:$F$28,$P2009)+INDEX(PARAMETROS_CULTURAS!$G$6:$G$28,$P2009),"DESENVOLVIMENTO",IF($O2009&lt;=INDEX(PARAMETROS_CULTURAS!$F$6:$F$28,$P2009)+INDEX(PARAMETROS_CULTURAS!$G$6:$G$28,$P2009)+INDEX(PARAMETROS_CULTURAS!$H$6:$H$28,$P2009),"MEDIA","FINAL"))))</f>
        <v>INICIAL</v>
      </c>
      <c r="R2009" s="24" t="n">
        <f aca="false">IF($P2009=0,0,IF($O2009&lt;=INDEX(PARAMETROS_CULTURAS!$F$6:$F$28,$P2009),INDEX(PARAMETROS_CULTURAS!$K$6:$K$28,$P2009),IF($O2009&lt;=INDEX(PARAMETROS_CULTURAS!$F$6:$F$28,$P2009)+INDEX(PARAMETROS_CULTURAS!$G$6:$G$28,$P2009),INDEX(PARAMETROS_CULTURAS!$K$6:$K$28,$P2009)+(INDEX(PARAMETROS_CULTURAS!$L$6:$L$28,$P2009)-INDEX(PARAMETROS_CULTURAS!$K$6:$K$28,$P2009))*($O2009-INDEX(PARAMETROS_CULTURAS!$F$6:$F$28,$P2009))/MAX(INDEX(PARAMETROS_CULTURAS!$G$6:$G$28,$P2009),0.0001),IF($O2009&lt;=INDEX(PARAMETROS_CULTURAS!$F$6:$F$28,$P2009)+INDEX(PARAMETROS_CULTURAS!$G$6:$G$28,$P2009)+INDEX(PARAMETROS_CULTURAS!$H$6:$H$28,$P2009),INDEX(PARAMETROS_CULTURAS!$L$6:$L$28,$P2009),INDEX(PARAMETROS_CULTURAS!$L$6:$L$28,$P2009)+(INDEX(PARAMETROS_CULTURAS!$M$6:$M$28,$P2009)-INDEX(PARAMETROS_CULTURAS!$L$6:$L$28,$P2009))*($O2009-INDEX(PARAMETROS_CULTURAS!$F$6:$F$28,$P2009)-INDEX(PARAMETROS_CULTURAS!$G$6:$G$28,$P2009)-INDEX(PARAMETROS_CULTURAS!$H$6:$H$28,$P2009))/MAX(INDEX(PARAMETROS_CULTURAS!$I$6:$I$28,$P2009),0.0001)))))</f>
        <v>0.35</v>
      </c>
      <c r="S2009" s="18" t="n">
        <f aca="false">IFERROR(INDEX(SEMANAS!$H$6:$H$71,MATCH($B2009,SEMANAS!$B$6:$B$71,0)),0)</f>
        <v>32.9</v>
      </c>
      <c r="T2009" s="18" t="n">
        <f aca="false">$R2009*$S2009</f>
        <v>11.515</v>
      </c>
      <c r="U2009" s="18" t="n">
        <f aca="false">IFERROR(INDEX(SEMANAS!$I$6:$I$71,MATCH($B2009,SEMANAS!$B$6:$B$71,0)),0)</f>
        <v>39.97</v>
      </c>
      <c r="V2009" s="18" t="n">
        <f aca="false">IFERROR(INDEX(SEMANAS!$J$6:$J$71,MATCH($B2009,SEMANAS!$B$6:$B$71,0)),0)</f>
        <v>31.976</v>
      </c>
      <c r="W2009" s="18" t="n">
        <f aca="false">MAX(0,$T2009-$V2009)</f>
        <v>0</v>
      </c>
      <c r="X2009" s="19" t="n">
        <f aca="false">IFERROR(INDEX(CADASTRO_PIVOS!$K$6:$K$41,MATCH($E2009,CADASTRO_PIVOS!$B$6:$B$41,0)),EFICIENCIA_PADRAO)</f>
        <v>0.85</v>
      </c>
      <c r="Y2009" s="18" t="n">
        <f aca="false">IF($X2009&lt;=0,0,$W2009/$X2009)</f>
        <v>0</v>
      </c>
      <c r="Z2009" s="16" t="n">
        <f aca="false">$Y2009*$H2009*MM_PARA_M3_HA</f>
        <v>0</v>
      </c>
      <c r="AA2009" s="18" t="n">
        <f aca="false">IFERROR(INDEX(CADASTRO_PIVOS!$I$6:$I$41,MATCH($E2009,CADASTRO_PIVOS!$B$6:$B$41,0)),0)</f>
        <v>710.571428571429</v>
      </c>
      <c r="AB2009" s="18" t="n">
        <f aca="false">IF($Z2009&lt;=0,0,$Z2009/$AA2009)</f>
        <v>0</v>
      </c>
      <c r="AC2009" s="16" t="n">
        <f aca="false">IFERROR(INDEX(SEMANAS!$K$6:$K$71,MATCH($B2009,SEMANAS!$B$6:$B$71,0)),0)</f>
        <v>147</v>
      </c>
      <c r="AD2009" s="19" t="n">
        <f aca="false">IF($AC2009&lt;=0,0,$AB2009/$AC2009)</f>
        <v>0</v>
      </c>
      <c r="AE2009" s="8" t="str">
        <f aca="false">IF($K2009="SEM CULTURA","SEM CULTURA",IF($AA2009&lt;=0,"DADO PENDENTE",IF($AD2009&gt;LIMITE_CRITICO,"INVIAVEL",IF($AD2009&gt;LIMITE_ATENCAO,"CRITICO",IF($AD2009&gt;LIMITE_CONFORTAVEL,"ATENCAO","OK")))))</f>
        <v>OK</v>
      </c>
      <c r="AF2009" s="8" t="str">
        <f aca="false">$B2009&amp;"|"&amp;TEXT($AD2009,"0.000000")</f>
        <v>24|0.000000</v>
      </c>
      <c r="AG2009" s="18" t="n">
        <f aca="false">IF($K2009="SEM CULTURA",0,$T2009*$H2009)</f>
        <v>1145.5122</v>
      </c>
      <c r="AH2009" s="18" t="n">
        <f aca="false">IF($K2009="SEM CULTURA",0,$V2009*$H2009)</f>
        <v>3180.97248</v>
      </c>
      <c r="AI2009" s="18" t="n">
        <f aca="false">IF($K2009="SEM CULTURA",0,$W2009*$H2009)</f>
        <v>0</v>
      </c>
      <c r="AJ2009" s="18" t="n">
        <f aca="false">IF($K2009="SEM CULTURA",0,$S2009*$H2009)</f>
        <v>3272.892</v>
      </c>
      <c r="AK2009" s="8" t="str">
        <f aca="false">$E2009&amp;"|"&amp;TEXT($AD2009,"0.000000")</f>
        <v>PV 127|0.000000</v>
      </c>
    </row>
    <row r="2010" customFormat="false" ht="15" hidden="false" customHeight="false" outlineLevel="0" collapsed="false">
      <c r="B2010" s="16" t="n">
        <v>25</v>
      </c>
      <c r="C2010" s="17" t="n">
        <f aca="false">DATA_INICIO_SAFRA+($B2010-1)*DIAS_POR_SEMANA</f>
        <v>46433</v>
      </c>
      <c r="D2010" s="17" t="n">
        <f aca="false">$C2010+DIAS_POR_SEMANA-1</f>
        <v>46439</v>
      </c>
      <c r="E2010" s="15" t="s">
        <v>289</v>
      </c>
      <c r="F2010" s="8" t="str">
        <f aca="false">IFERROR(INDEX(CADASTRO_PIVOS!$C$6:$C$41,MATCH($E2010,CADASTRO_PIVOS!$B$6:$B$41,0)),"?")</f>
        <v>RM07</v>
      </c>
      <c r="G2010" s="8" t="str">
        <f aca="false">IFERROR(INDEX(CADASTRO_PIVOS!$D$6:$D$41,MATCH($E2010,CADASTRO_PIVOS!$B$6:$B$41,0)),"?")</f>
        <v>TR07</v>
      </c>
      <c r="H2010" s="20" t="n">
        <f aca="false">IFERROR(INDEX(CADASTRO_PIVOS!$E$6:$E$41,MATCH($E2010,CADASTRO_PIVOS!$B$6:$B$41,0)),0)</f>
        <v>99.48</v>
      </c>
      <c r="I2010" s="16" t="n">
        <f aca="false">IFERROR(SUMIFS(ROTACAO_RDM!$B$6:$B$71,ROTACAO_RDM!$D$6:$D$71,$E2010,ROTACAO_RDM!$I$6:$I$71,"&lt;="&amp;$C2010+INT(DIAS_POR_SEMANA/2),ROTACAO_RDM!$J$6:$J$71,"&gt;="&amp;$C2010+INT(DIAS_POR_SEMANA/2)),0)</f>
        <v>52</v>
      </c>
      <c r="J2010" s="16" t="n">
        <f aca="false">IFERROR(MATCH($I2010,ROTACAO_RDM!$B$6:$B$71,0),0)</f>
        <v>52</v>
      </c>
      <c r="K2010" s="8" t="str">
        <f aca="false">IF($J2010=0,"SEM CULTURA",INDEX(ROTACAO_RDM!$F$6:$F$71,$J2010))</f>
        <v>ALGODAO</v>
      </c>
      <c r="L2010" s="8" t="str">
        <f aca="false">IF($J2010=0,"",INDEX(ROTACAO_RDM!$G$6:$G$71,$J2010))</f>
        <v>DP 2111 B3RF</v>
      </c>
      <c r="M2010" s="17" t="n">
        <f aca="false">IF($J2010=0,"",INDEX(ROTACAO_RDM!$I$6:$I$71,$J2010))</f>
        <v>46426</v>
      </c>
      <c r="N2010" s="16" t="n">
        <f aca="false">IF($J2010=0,0,MAX(0,$C2010+INT(DIAS_POR_SEMANA/2)-INDEX(ROTACAO_RDM!$I$6:$I$71,$J2010)))</f>
        <v>10</v>
      </c>
      <c r="O2010" s="19" t="n">
        <f aca="false">IF($J2010=0,0,MIN(1,$N2010/MAX(1,INDEX(ROTACAO_RDM!$K$6:$K$71,$J2010))))</f>
        <v>0.0555555555555556</v>
      </c>
      <c r="P2010" s="16" t="n">
        <f aca="false">IF($J2010=0,0,IFERROR(MATCH(INDEX(ROTACAO_RDM!$N$6:$N$71,$J2010),PARAMETROS_CULTURAS!$B$6:$B$28,0),0))</f>
        <v>4</v>
      </c>
      <c r="Q2010" s="8" t="str">
        <f aca="false">IF($P2010=0,"-",IF($O2010&lt;=INDEX(PARAMETROS_CULTURAS!$F$6:$F$28,$P2010),"INICIAL",IF($O2010&lt;=INDEX(PARAMETROS_CULTURAS!$F$6:$F$28,$P2010)+INDEX(PARAMETROS_CULTURAS!$G$6:$G$28,$P2010),"DESENVOLVIMENTO",IF($O2010&lt;=INDEX(PARAMETROS_CULTURAS!$F$6:$F$28,$P2010)+INDEX(PARAMETROS_CULTURAS!$G$6:$G$28,$P2010)+INDEX(PARAMETROS_CULTURAS!$H$6:$H$28,$P2010),"MEDIA","FINAL"))))</f>
        <v>INICIAL</v>
      </c>
      <c r="R2010" s="24" t="n">
        <f aca="false">IF($P2010=0,0,IF($O2010&lt;=INDEX(PARAMETROS_CULTURAS!$F$6:$F$28,$P2010),INDEX(PARAMETROS_CULTURAS!$K$6:$K$28,$P2010),IF($O2010&lt;=INDEX(PARAMETROS_CULTURAS!$F$6:$F$28,$P2010)+INDEX(PARAMETROS_CULTURAS!$G$6:$G$28,$P2010),INDEX(PARAMETROS_CULTURAS!$K$6:$K$28,$P2010)+(INDEX(PARAMETROS_CULTURAS!$L$6:$L$28,$P2010)-INDEX(PARAMETROS_CULTURAS!$K$6:$K$28,$P2010))*($O2010-INDEX(PARAMETROS_CULTURAS!$F$6:$F$28,$P2010))/MAX(INDEX(PARAMETROS_CULTURAS!$G$6:$G$28,$P2010),0.0001),IF($O2010&lt;=INDEX(PARAMETROS_CULTURAS!$F$6:$F$28,$P2010)+INDEX(PARAMETROS_CULTURAS!$G$6:$G$28,$P2010)+INDEX(PARAMETROS_CULTURAS!$H$6:$H$28,$P2010),INDEX(PARAMETROS_CULTURAS!$L$6:$L$28,$P2010),INDEX(PARAMETROS_CULTURAS!$L$6:$L$28,$P2010)+(INDEX(PARAMETROS_CULTURAS!$M$6:$M$28,$P2010)-INDEX(PARAMETROS_CULTURAS!$L$6:$L$28,$P2010))*($O2010-INDEX(PARAMETROS_CULTURAS!$F$6:$F$28,$P2010)-INDEX(PARAMETROS_CULTURAS!$G$6:$G$28,$P2010)-INDEX(PARAMETROS_CULTURAS!$H$6:$H$28,$P2010))/MAX(INDEX(PARAMETROS_CULTURAS!$I$6:$I$28,$P2010),0.0001)))))</f>
        <v>0.35</v>
      </c>
      <c r="S2010" s="18" t="n">
        <f aca="false">IFERROR(INDEX(SEMANAS!$H$6:$H$71,MATCH($B2010,SEMANAS!$B$6:$B$71,0)),0)</f>
        <v>32.9</v>
      </c>
      <c r="T2010" s="18" t="n">
        <f aca="false">$R2010*$S2010</f>
        <v>11.515</v>
      </c>
      <c r="U2010" s="18" t="n">
        <f aca="false">IFERROR(INDEX(SEMANAS!$I$6:$I$71,MATCH($B2010,SEMANAS!$B$6:$B$71,0)),0)</f>
        <v>39.97</v>
      </c>
      <c r="V2010" s="18" t="n">
        <f aca="false">IFERROR(INDEX(SEMANAS!$J$6:$J$71,MATCH($B2010,SEMANAS!$B$6:$B$71,0)),0)</f>
        <v>31.976</v>
      </c>
      <c r="W2010" s="18" t="n">
        <f aca="false">MAX(0,$T2010-$V2010)</f>
        <v>0</v>
      </c>
      <c r="X2010" s="19" t="n">
        <f aca="false">IFERROR(INDEX(CADASTRO_PIVOS!$K$6:$K$41,MATCH($E2010,CADASTRO_PIVOS!$B$6:$B$41,0)),EFICIENCIA_PADRAO)</f>
        <v>0.85</v>
      </c>
      <c r="Y2010" s="18" t="n">
        <f aca="false">IF($X2010&lt;=0,0,$W2010/$X2010)</f>
        <v>0</v>
      </c>
      <c r="Z2010" s="16" t="n">
        <f aca="false">$Y2010*$H2010*MM_PARA_M3_HA</f>
        <v>0</v>
      </c>
      <c r="AA2010" s="18" t="n">
        <f aca="false">IFERROR(INDEX(CADASTRO_PIVOS!$I$6:$I$41,MATCH($E2010,CADASTRO_PIVOS!$B$6:$B$41,0)),0)</f>
        <v>710.571428571429</v>
      </c>
      <c r="AB2010" s="18" t="n">
        <f aca="false">IF($Z2010&lt;=0,0,$Z2010/$AA2010)</f>
        <v>0</v>
      </c>
      <c r="AC2010" s="16" t="n">
        <f aca="false">IFERROR(INDEX(SEMANAS!$K$6:$K$71,MATCH($B2010,SEMANAS!$B$6:$B$71,0)),0)</f>
        <v>147</v>
      </c>
      <c r="AD2010" s="19" t="n">
        <f aca="false">IF($AC2010&lt;=0,0,$AB2010/$AC2010)</f>
        <v>0</v>
      </c>
      <c r="AE2010" s="8" t="str">
        <f aca="false">IF($K2010="SEM CULTURA","SEM CULTURA",IF($AA2010&lt;=0,"DADO PENDENTE",IF($AD2010&gt;LIMITE_CRITICO,"INVIAVEL",IF($AD2010&gt;LIMITE_ATENCAO,"CRITICO",IF($AD2010&gt;LIMITE_CONFORTAVEL,"ATENCAO","OK")))))</f>
        <v>OK</v>
      </c>
      <c r="AF2010" s="8" t="str">
        <f aca="false">$B2010&amp;"|"&amp;TEXT($AD2010,"0.000000")</f>
        <v>25|0.000000</v>
      </c>
      <c r="AG2010" s="18" t="n">
        <f aca="false">IF($K2010="SEM CULTURA",0,$T2010*$H2010)</f>
        <v>1145.5122</v>
      </c>
      <c r="AH2010" s="18" t="n">
        <f aca="false">IF($K2010="SEM CULTURA",0,$V2010*$H2010)</f>
        <v>3180.97248</v>
      </c>
      <c r="AI2010" s="18" t="n">
        <f aca="false">IF($K2010="SEM CULTURA",0,$W2010*$H2010)</f>
        <v>0</v>
      </c>
      <c r="AJ2010" s="18" t="n">
        <f aca="false">IF($K2010="SEM CULTURA",0,$S2010*$H2010)</f>
        <v>3272.892</v>
      </c>
      <c r="AK2010" s="8" t="str">
        <f aca="false">$E2010&amp;"|"&amp;TEXT($AD2010,"0.000000")</f>
        <v>PV 127|0.000000</v>
      </c>
    </row>
    <row r="2011" customFormat="false" ht="15" hidden="false" customHeight="false" outlineLevel="0" collapsed="false">
      <c r="B2011" s="16" t="n">
        <v>26</v>
      </c>
      <c r="C2011" s="17" t="n">
        <f aca="false">DATA_INICIO_SAFRA+($B2011-1)*DIAS_POR_SEMANA</f>
        <v>46440</v>
      </c>
      <c r="D2011" s="17" t="n">
        <f aca="false">$C2011+DIAS_POR_SEMANA-1</f>
        <v>46446</v>
      </c>
      <c r="E2011" s="15" t="s">
        <v>289</v>
      </c>
      <c r="F2011" s="8" t="str">
        <f aca="false">IFERROR(INDEX(CADASTRO_PIVOS!$C$6:$C$41,MATCH($E2011,CADASTRO_PIVOS!$B$6:$B$41,0)),"?")</f>
        <v>RM07</v>
      </c>
      <c r="G2011" s="8" t="str">
        <f aca="false">IFERROR(INDEX(CADASTRO_PIVOS!$D$6:$D$41,MATCH($E2011,CADASTRO_PIVOS!$B$6:$B$41,0)),"?")</f>
        <v>TR07</v>
      </c>
      <c r="H2011" s="20" t="n">
        <f aca="false">IFERROR(INDEX(CADASTRO_PIVOS!$E$6:$E$41,MATCH($E2011,CADASTRO_PIVOS!$B$6:$B$41,0)),0)</f>
        <v>99.48</v>
      </c>
      <c r="I2011" s="16" t="n">
        <f aca="false">IFERROR(SUMIFS(ROTACAO_RDM!$B$6:$B$71,ROTACAO_RDM!$D$6:$D$71,$E2011,ROTACAO_RDM!$I$6:$I$71,"&lt;="&amp;$C2011+INT(DIAS_POR_SEMANA/2),ROTACAO_RDM!$J$6:$J$71,"&gt;="&amp;$C2011+INT(DIAS_POR_SEMANA/2)),0)</f>
        <v>52</v>
      </c>
      <c r="J2011" s="16" t="n">
        <f aca="false">IFERROR(MATCH($I2011,ROTACAO_RDM!$B$6:$B$71,0),0)</f>
        <v>52</v>
      </c>
      <c r="K2011" s="8" t="str">
        <f aca="false">IF($J2011=0,"SEM CULTURA",INDEX(ROTACAO_RDM!$F$6:$F$71,$J2011))</f>
        <v>ALGODAO</v>
      </c>
      <c r="L2011" s="8" t="str">
        <f aca="false">IF($J2011=0,"",INDEX(ROTACAO_RDM!$G$6:$G$71,$J2011))</f>
        <v>DP 2111 B3RF</v>
      </c>
      <c r="M2011" s="17" t="n">
        <f aca="false">IF($J2011=0,"",INDEX(ROTACAO_RDM!$I$6:$I$71,$J2011))</f>
        <v>46426</v>
      </c>
      <c r="N2011" s="16" t="n">
        <f aca="false">IF($J2011=0,0,MAX(0,$C2011+INT(DIAS_POR_SEMANA/2)-INDEX(ROTACAO_RDM!$I$6:$I$71,$J2011)))</f>
        <v>17</v>
      </c>
      <c r="O2011" s="19" t="n">
        <f aca="false">IF($J2011=0,0,MIN(1,$N2011/MAX(1,INDEX(ROTACAO_RDM!$K$6:$K$71,$J2011))))</f>
        <v>0.0944444444444444</v>
      </c>
      <c r="P2011" s="16" t="n">
        <f aca="false">IF($J2011=0,0,IFERROR(MATCH(INDEX(ROTACAO_RDM!$N$6:$N$71,$J2011),PARAMETROS_CULTURAS!$B$6:$B$28,0),0))</f>
        <v>4</v>
      </c>
      <c r="Q2011" s="8" t="str">
        <f aca="false">IF($P2011=0,"-",IF($O2011&lt;=INDEX(PARAMETROS_CULTURAS!$F$6:$F$28,$P2011),"INICIAL",IF($O2011&lt;=INDEX(PARAMETROS_CULTURAS!$F$6:$F$28,$P2011)+INDEX(PARAMETROS_CULTURAS!$G$6:$G$28,$P2011),"DESENVOLVIMENTO",IF($O2011&lt;=INDEX(PARAMETROS_CULTURAS!$F$6:$F$28,$P2011)+INDEX(PARAMETROS_CULTURAS!$G$6:$G$28,$P2011)+INDEX(PARAMETROS_CULTURAS!$H$6:$H$28,$P2011),"MEDIA","FINAL"))))</f>
        <v>INICIAL</v>
      </c>
      <c r="R2011" s="24" t="n">
        <f aca="false">IF($P2011=0,0,IF($O2011&lt;=INDEX(PARAMETROS_CULTURAS!$F$6:$F$28,$P2011),INDEX(PARAMETROS_CULTURAS!$K$6:$K$28,$P2011),IF($O2011&lt;=INDEX(PARAMETROS_CULTURAS!$F$6:$F$28,$P2011)+INDEX(PARAMETROS_CULTURAS!$G$6:$G$28,$P2011),INDEX(PARAMETROS_CULTURAS!$K$6:$K$28,$P2011)+(INDEX(PARAMETROS_CULTURAS!$L$6:$L$28,$P2011)-INDEX(PARAMETROS_CULTURAS!$K$6:$K$28,$P2011))*($O2011-INDEX(PARAMETROS_CULTURAS!$F$6:$F$28,$P2011))/MAX(INDEX(PARAMETROS_CULTURAS!$G$6:$G$28,$P2011),0.0001),IF($O2011&lt;=INDEX(PARAMETROS_CULTURAS!$F$6:$F$28,$P2011)+INDEX(PARAMETROS_CULTURAS!$G$6:$G$28,$P2011)+INDEX(PARAMETROS_CULTURAS!$H$6:$H$28,$P2011),INDEX(PARAMETROS_CULTURAS!$L$6:$L$28,$P2011),INDEX(PARAMETROS_CULTURAS!$L$6:$L$28,$P2011)+(INDEX(PARAMETROS_CULTURAS!$M$6:$M$28,$P2011)-INDEX(PARAMETROS_CULTURAS!$L$6:$L$28,$P2011))*($O2011-INDEX(PARAMETROS_CULTURAS!$F$6:$F$28,$P2011)-INDEX(PARAMETROS_CULTURAS!$G$6:$G$28,$P2011)-INDEX(PARAMETROS_CULTURAS!$H$6:$H$28,$P2011))/MAX(INDEX(PARAMETROS_CULTURAS!$I$6:$I$28,$P2011),0.0001)))))</f>
        <v>0.35</v>
      </c>
      <c r="S2011" s="18" t="n">
        <f aca="false">IFERROR(INDEX(SEMANAS!$H$6:$H$71,MATCH($B2011,SEMANAS!$B$6:$B$71,0)),0)</f>
        <v>32.9</v>
      </c>
      <c r="T2011" s="18" t="n">
        <f aca="false">$R2011*$S2011</f>
        <v>11.515</v>
      </c>
      <c r="U2011" s="18" t="n">
        <f aca="false">IFERROR(INDEX(SEMANAS!$I$6:$I$71,MATCH($B2011,SEMANAS!$B$6:$B$71,0)),0)</f>
        <v>39.97</v>
      </c>
      <c r="V2011" s="18" t="n">
        <f aca="false">IFERROR(INDEX(SEMANAS!$J$6:$J$71,MATCH($B2011,SEMANAS!$B$6:$B$71,0)),0)</f>
        <v>31.976</v>
      </c>
      <c r="W2011" s="18" t="n">
        <f aca="false">MAX(0,$T2011-$V2011)</f>
        <v>0</v>
      </c>
      <c r="X2011" s="19" t="n">
        <f aca="false">IFERROR(INDEX(CADASTRO_PIVOS!$K$6:$K$41,MATCH($E2011,CADASTRO_PIVOS!$B$6:$B$41,0)),EFICIENCIA_PADRAO)</f>
        <v>0.85</v>
      </c>
      <c r="Y2011" s="18" t="n">
        <f aca="false">IF($X2011&lt;=0,0,$W2011/$X2011)</f>
        <v>0</v>
      </c>
      <c r="Z2011" s="16" t="n">
        <f aca="false">$Y2011*$H2011*MM_PARA_M3_HA</f>
        <v>0</v>
      </c>
      <c r="AA2011" s="18" t="n">
        <f aca="false">IFERROR(INDEX(CADASTRO_PIVOS!$I$6:$I$41,MATCH($E2011,CADASTRO_PIVOS!$B$6:$B$41,0)),0)</f>
        <v>710.571428571429</v>
      </c>
      <c r="AB2011" s="18" t="n">
        <f aca="false">IF($Z2011&lt;=0,0,$Z2011/$AA2011)</f>
        <v>0</v>
      </c>
      <c r="AC2011" s="16" t="n">
        <f aca="false">IFERROR(INDEX(SEMANAS!$K$6:$K$71,MATCH($B2011,SEMANAS!$B$6:$B$71,0)),0)</f>
        <v>147</v>
      </c>
      <c r="AD2011" s="19" t="n">
        <f aca="false">IF($AC2011&lt;=0,0,$AB2011/$AC2011)</f>
        <v>0</v>
      </c>
      <c r="AE2011" s="8" t="str">
        <f aca="false">IF($K2011="SEM CULTURA","SEM CULTURA",IF($AA2011&lt;=0,"DADO PENDENTE",IF($AD2011&gt;LIMITE_CRITICO,"INVIAVEL",IF($AD2011&gt;LIMITE_ATENCAO,"CRITICO",IF($AD2011&gt;LIMITE_CONFORTAVEL,"ATENCAO","OK")))))</f>
        <v>OK</v>
      </c>
      <c r="AF2011" s="8" t="str">
        <f aca="false">$B2011&amp;"|"&amp;TEXT($AD2011,"0.000000")</f>
        <v>26|0.000000</v>
      </c>
      <c r="AG2011" s="18" t="n">
        <f aca="false">IF($K2011="SEM CULTURA",0,$T2011*$H2011)</f>
        <v>1145.5122</v>
      </c>
      <c r="AH2011" s="18" t="n">
        <f aca="false">IF($K2011="SEM CULTURA",0,$V2011*$H2011)</f>
        <v>3180.97248</v>
      </c>
      <c r="AI2011" s="18" t="n">
        <f aca="false">IF($K2011="SEM CULTURA",0,$W2011*$H2011)</f>
        <v>0</v>
      </c>
      <c r="AJ2011" s="18" t="n">
        <f aca="false">IF($K2011="SEM CULTURA",0,$S2011*$H2011)</f>
        <v>3272.892</v>
      </c>
      <c r="AK2011" s="8" t="str">
        <f aca="false">$E2011&amp;"|"&amp;TEXT($AD2011,"0.000000")</f>
        <v>PV 127|0.000000</v>
      </c>
    </row>
    <row r="2012" customFormat="false" ht="15" hidden="false" customHeight="false" outlineLevel="0" collapsed="false">
      <c r="B2012" s="16" t="n">
        <v>27</v>
      </c>
      <c r="C2012" s="17" t="n">
        <f aca="false">DATA_INICIO_SAFRA+($B2012-1)*DIAS_POR_SEMANA</f>
        <v>46447</v>
      </c>
      <c r="D2012" s="17" t="n">
        <f aca="false">$C2012+DIAS_POR_SEMANA-1</f>
        <v>46453</v>
      </c>
      <c r="E2012" s="15" t="s">
        <v>289</v>
      </c>
      <c r="F2012" s="8" t="str">
        <f aca="false">IFERROR(INDEX(CADASTRO_PIVOS!$C$6:$C$41,MATCH($E2012,CADASTRO_PIVOS!$B$6:$B$41,0)),"?")</f>
        <v>RM07</v>
      </c>
      <c r="G2012" s="8" t="str">
        <f aca="false">IFERROR(INDEX(CADASTRO_PIVOS!$D$6:$D$41,MATCH($E2012,CADASTRO_PIVOS!$B$6:$B$41,0)),"?")</f>
        <v>TR07</v>
      </c>
      <c r="H2012" s="20" t="n">
        <f aca="false">IFERROR(INDEX(CADASTRO_PIVOS!$E$6:$E$41,MATCH($E2012,CADASTRO_PIVOS!$B$6:$B$41,0)),0)</f>
        <v>99.48</v>
      </c>
      <c r="I2012" s="16" t="n">
        <f aca="false">IFERROR(SUMIFS(ROTACAO_RDM!$B$6:$B$71,ROTACAO_RDM!$D$6:$D$71,$E2012,ROTACAO_RDM!$I$6:$I$71,"&lt;="&amp;$C2012+INT(DIAS_POR_SEMANA/2),ROTACAO_RDM!$J$6:$J$71,"&gt;="&amp;$C2012+INT(DIAS_POR_SEMANA/2)),0)</f>
        <v>52</v>
      </c>
      <c r="J2012" s="16" t="n">
        <f aca="false">IFERROR(MATCH($I2012,ROTACAO_RDM!$B$6:$B$71,0),0)</f>
        <v>52</v>
      </c>
      <c r="K2012" s="8" t="str">
        <f aca="false">IF($J2012=0,"SEM CULTURA",INDEX(ROTACAO_RDM!$F$6:$F$71,$J2012))</f>
        <v>ALGODAO</v>
      </c>
      <c r="L2012" s="8" t="str">
        <f aca="false">IF($J2012=0,"",INDEX(ROTACAO_RDM!$G$6:$G$71,$J2012))</f>
        <v>DP 2111 B3RF</v>
      </c>
      <c r="M2012" s="17" t="n">
        <f aca="false">IF($J2012=0,"",INDEX(ROTACAO_RDM!$I$6:$I$71,$J2012))</f>
        <v>46426</v>
      </c>
      <c r="N2012" s="16" t="n">
        <f aca="false">IF($J2012=0,0,MAX(0,$C2012+INT(DIAS_POR_SEMANA/2)-INDEX(ROTACAO_RDM!$I$6:$I$71,$J2012)))</f>
        <v>24</v>
      </c>
      <c r="O2012" s="19" t="n">
        <f aca="false">IF($J2012=0,0,MIN(1,$N2012/MAX(1,INDEX(ROTACAO_RDM!$K$6:$K$71,$J2012))))</f>
        <v>0.133333333333333</v>
      </c>
      <c r="P2012" s="16" t="n">
        <f aca="false">IF($J2012=0,0,IFERROR(MATCH(INDEX(ROTACAO_RDM!$N$6:$N$71,$J2012),PARAMETROS_CULTURAS!$B$6:$B$28,0),0))</f>
        <v>4</v>
      </c>
      <c r="Q2012" s="8" t="str">
        <f aca="false">IF($P2012=0,"-",IF($O2012&lt;=INDEX(PARAMETROS_CULTURAS!$F$6:$F$28,$P2012),"INICIAL",IF($O2012&lt;=INDEX(PARAMETROS_CULTURAS!$F$6:$F$28,$P2012)+INDEX(PARAMETROS_CULTURAS!$G$6:$G$28,$P2012),"DESENVOLVIMENTO",IF($O2012&lt;=INDEX(PARAMETROS_CULTURAS!$F$6:$F$28,$P2012)+INDEX(PARAMETROS_CULTURAS!$G$6:$G$28,$P2012)+INDEX(PARAMETROS_CULTURAS!$H$6:$H$28,$P2012),"MEDIA","FINAL"))))</f>
        <v>INICIAL</v>
      </c>
      <c r="R2012" s="24" t="n">
        <f aca="false">IF($P2012=0,0,IF($O2012&lt;=INDEX(PARAMETROS_CULTURAS!$F$6:$F$28,$P2012),INDEX(PARAMETROS_CULTURAS!$K$6:$K$28,$P2012),IF($O2012&lt;=INDEX(PARAMETROS_CULTURAS!$F$6:$F$28,$P2012)+INDEX(PARAMETROS_CULTURAS!$G$6:$G$28,$P2012),INDEX(PARAMETROS_CULTURAS!$K$6:$K$28,$P2012)+(INDEX(PARAMETROS_CULTURAS!$L$6:$L$28,$P2012)-INDEX(PARAMETROS_CULTURAS!$K$6:$K$28,$P2012))*($O2012-INDEX(PARAMETROS_CULTURAS!$F$6:$F$28,$P2012))/MAX(INDEX(PARAMETROS_CULTURAS!$G$6:$G$28,$P2012),0.0001),IF($O2012&lt;=INDEX(PARAMETROS_CULTURAS!$F$6:$F$28,$P2012)+INDEX(PARAMETROS_CULTURAS!$G$6:$G$28,$P2012)+INDEX(PARAMETROS_CULTURAS!$H$6:$H$28,$P2012),INDEX(PARAMETROS_CULTURAS!$L$6:$L$28,$P2012),INDEX(PARAMETROS_CULTURAS!$L$6:$L$28,$P2012)+(INDEX(PARAMETROS_CULTURAS!$M$6:$M$28,$P2012)-INDEX(PARAMETROS_CULTURAS!$L$6:$L$28,$P2012))*($O2012-INDEX(PARAMETROS_CULTURAS!$F$6:$F$28,$P2012)-INDEX(PARAMETROS_CULTURAS!$G$6:$G$28,$P2012)-INDEX(PARAMETROS_CULTURAS!$H$6:$H$28,$P2012))/MAX(INDEX(PARAMETROS_CULTURAS!$I$6:$I$28,$P2012),0.0001)))))</f>
        <v>0.35</v>
      </c>
      <c r="S2012" s="18" t="n">
        <f aca="false">IFERROR(INDEX(SEMANAS!$H$6:$H$71,MATCH($B2012,SEMANAS!$B$6:$B$71,0)),0)</f>
        <v>32.2</v>
      </c>
      <c r="T2012" s="18" t="n">
        <f aca="false">$R2012*$S2012</f>
        <v>11.27</v>
      </c>
      <c r="U2012" s="18" t="n">
        <f aca="false">IFERROR(INDEX(SEMANAS!$I$6:$I$71,MATCH($B2012,SEMANAS!$B$6:$B$71,0)),0)</f>
        <v>37.24</v>
      </c>
      <c r="V2012" s="18" t="n">
        <f aca="false">IFERROR(INDEX(SEMANAS!$J$6:$J$71,MATCH($B2012,SEMANAS!$B$6:$B$71,0)),0)</f>
        <v>29.792</v>
      </c>
      <c r="W2012" s="18" t="n">
        <f aca="false">MAX(0,$T2012-$V2012)</f>
        <v>0</v>
      </c>
      <c r="X2012" s="19" t="n">
        <f aca="false">IFERROR(INDEX(CADASTRO_PIVOS!$K$6:$K$41,MATCH($E2012,CADASTRO_PIVOS!$B$6:$B$41,0)),EFICIENCIA_PADRAO)</f>
        <v>0.85</v>
      </c>
      <c r="Y2012" s="18" t="n">
        <f aca="false">IF($X2012&lt;=0,0,$W2012/$X2012)</f>
        <v>0</v>
      </c>
      <c r="Z2012" s="16" t="n">
        <f aca="false">$Y2012*$H2012*MM_PARA_M3_HA</f>
        <v>0</v>
      </c>
      <c r="AA2012" s="18" t="n">
        <f aca="false">IFERROR(INDEX(CADASTRO_PIVOS!$I$6:$I$41,MATCH($E2012,CADASTRO_PIVOS!$B$6:$B$41,0)),0)</f>
        <v>710.571428571429</v>
      </c>
      <c r="AB2012" s="18" t="n">
        <f aca="false">IF($Z2012&lt;=0,0,$Z2012/$AA2012)</f>
        <v>0</v>
      </c>
      <c r="AC2012" s="16" t="n">
        <f aca="false">IFERROR(INDEX(SEMANAS!$K$6:$K$71,MATCH($B2012,SEMANAS!$B$6:$B$71,0)),0)</f>
        <v>147</v>
      </c>
      <c r="AD2012" s="19" t="n">
        <f aca="false">IF($AC2012&lt;=0,0,$AB2012/$AC2012)</f>
        <v>0</v>
      </c>
      <c r="AE2012" s="8" t="str">
        <f aca="false">IF($K2012="SEM CULTURA","SEM CULTURA",IF($AA2012&lt;=0,"DADO PENDENTE",IF($AD2012&gt;LIMITE_CRITICO,"INVIAVEL",IF($AD2012&gt;LIMITE_ATENCAO,"CRITICO",IF($AD2012&gt;LIMITE_CONFORTAVEL,"ATENCAO","OK")))))</f>
        <v>OK</v>
      </c>
      <c r="AF2012" s="8" t="str">
        <f aca="false">$B2012&amp;"|"&amp;TEXT($AD2012,"0.000000")</f>
        <v>27|0.000000</v>
      </c>
      <c r="AG2012" s="18" t="n">
        <f aca="false">IF($K2012="SEM CULTURA",0,$T2012*$H2012)</f>
        <v>1121.1396</v>
      </c>
      <c r="AH2012" s="18" t="n">
        <f aca="false">IF($K2012="SEM CULTURA",0,$V2012*$H2012)</f>
        <v>2963.70816</v>
      </c>
      <c r="AI2012" s="18" t="n">
        <f aca="false">IF($K2012="SEM CULTURA",0,$W2012*$H2012)</f>
        <v>0</v>
      </c>
      <c r="AJ2012" s="18" t="n">
        <f aca="false">IF($K2012="SEM CULTURA",0,$S2012*$H2012)</f>
        <v>3203.256</v>
      </c>
      <c r="AK2012" s="8" t="str">
        <f aca="false">$E2012&amp;"|"&amp;TEXT($AD2012,"0.000000")</f>
        <v>PV 127|0.000000</v>
      </c>
    </row>
    <row r="2013" customFormat="false" ht="15" hidden="false" customHeight="false" outlineLevel="0" collapsed="false">
      <c r="B2013" s="16" t="n">
        <v>28</v>
      </c>
      <c r="C2013" s="17" t="n">
        <f aca="false">DATA_INICIO_SAFRA+($B2013-1)*DIAS_POR_SEMANA</f>
        <v>46454</v>
      </c>
      <c r="D2013" s="17" t="n">
        <f aca="false">$C2013+DIAS_POR_SEMANA-1</f>
        <v>46460</v>
      </c>
      <c r="E2013" s="15" t="s">
        <v>289</v>
      </c>
      <c r="F2013" s="8" t="str">
        <f aca="false">IFERROR(INDEX(CADASTRO_PIVOS!$C$6:$C$41,MATCH($E2013,CADASTRO_PIVOS!$B$6:$B$41,0)),"?")</f>
        <v>RM07</v>
      </c>
      <c r="G2013" s="8" t="str">
        <f aca="false">IFERROR(INDEX(CADASTRO_PIVOS!$D$6:$D$41,MATCH($E2013,CADASTRO_PIVOS!$B$6:$B$41,0)),"?")</f>
        <v>TR07</v>
      </c>
      <c r="H2013" s="20" t="n">
        <f aca="false">IFERROR(INDEX(CADASTRO_PIVOS!$E$6:$E$41,MATCH($E2013,CADASTRO_PIVOS!$B$6:$B$41,0)),0)</f>
        <v>99.48</v>
      </c>
      <c r="I2013" s="16" t="n">
        <f aca="false">IFERROR(SUMIFS(ROTACAO_RDM!$B$6:$B$71,ROTACAO_RDM!$D$6:$D$71,$E2013,ROTACAO_RDM!$I$6:$I$71,"&lt;="&amp;$C2013+INT(DIAS_POR_SEMANA/2),ROTACAO_RDM!$J$6:$J$71,"&gt;="&amp;$C2013+INT(DIAS_POR_SEMANA/2)),0)</f>
        <v>52</v>
      </c>
      <c r="J2013" s="16" t="n">
        <f aca="false">IFERROR(MATCH($I2013,ROTACAO_RDM!$B$6:$B$71,0),0)</f>
        <v>52</v>
      </c>
      <c r="K2013" s="8" t="str">
        <f aca="false">IF($J2013=0,"SEM CULTURA",INDEX(ROTACAO_RDM!$F$6:$F$71,$J2013))</f>
        <v>ALGODAO</v>
      </c>
      <c r="L2013" s="8" t="str">
        <f aca="false">IF($J2013=0,"",INDEX(ROTACAO_RDM!$G$6:$G$71,$J2013))</f>
        <v>DP 2111 B3RF</v>
      </c>
      <c r="M2013" s="17" t="n">
        <f aca="false">IF($J2013=0,"",INDEX(ROTACAO_RDM!$I$6:$I$71,$J2013))</f>
        <v>46426</v>
      </c>
      <c r="N2013" s="16" t="n">
        <f aca="false">IF($J2013=0,0,MAX(0,$C2013+INT(DIAS_POR_SEMANA/2)-INDEX(ROTACAO_RDM!$I$6:$I$71,$J2013)))</f>
        <v>31</v>
      </c>
      <c r="O2013" s="19" t="n">
        <f aca="false">IF($J2013=0,0,MIN(1,$N2013/MAX(1,INDEX(ROTACAO_RDM!$K$6:$K$71,$J2013))))</f>
        <v>0.172222222222222</v>
      </c>
      <c r="P2013" s="16" t="n">
        <f aca="false">IF($J2013=0,0,IFERROR(MATCH(INDEX(ROTACAO_RDM!$N$6:$N$71,$J2013),PARAMETROS_CULTURAS!$B$6:$B$28,0),0))</f>
        <v>4</v>
      </c>
      <c r="Q2013" s="8" t="str">
        <f aca="false">IF($P2013=0,"-",IF($O2013&lt;=INDEX(PARAMETROS_CULTURAS!$F$6:$F$28,$P2013),"INICIAL",IF($O2013&lt;=INDEX(PARAMETROS_CULTURAS!$F$6:$F$28,$P2013)+INDEX(PARAMETROS_CULTURAS!$G$6:$G$28,$P2013),"DESENVOLVIMENTO",IF($O2013&lt;=INDEX(PARAMETROS_CULTURAS!$F$6:$F$28,$P2013)+INDEX(PARAMETROS_CULTURAS!$G$6:$G$28,$P2013)+INDEX(PARAMETROS_CULTURAS!$H$6:$H$28,$P2013),"MEDIA","FINAL"))))</f>
        <v>DESENVOLVIMENTO</v>
      </c>
      <c r="R2013" s="24" t="n">
        <f aca="false">IF($P2013=0,0,IF($O2013&lt;=INDEX(PARAMETROS_CULTURAS!$F$6:$F$28,$P2013),INDEX(PARAMETROS_CULTURAS!$K$6:$K$28,$P2013),IF($O2013&lt;=INDEX(PARAMETROS_CULTURAS!$F$6:$F$28,$P2013)+INDEX(PARAMETROS_CULTURAS!$G$6:$G$28,$P2013),INDEX(PARAMETROS_CULTURAS!$K$6:$K$28,$P2013)+(INDEX(PARAMETROS_CULTURAS!$L$6:$L$28,$P2013)-INDEX(PARAMETROS_CULTURAS!$K$6:$K$28,$P2013))*($O2013-INDEX(PARAMETROS_CULTURAS!$F$6:$F$28,$P2013))/MAX(INDEX(PARAMETROS_CULTURAS!$G$6:$G$28,$P2013),0.0001),IF($O2013&lt;=INDEX(PARAMETROS_CULTURAS!$F$6:$F$28,$P2013)+INDEX(PARAMETROS_CULTURAS!$G$6:$G$28,$P2013)+INDEX(PARAMETROS_CULTURAS!$H$6:$H$28,$P2013),INDEX(PARAMETROS_CULTURAS!$L$6:$L$28,$P2013),INDEX(PARAMETROS_CULTURAS!$L$6:$L$28,$P2013)+(INDEX(PARAMETROS_CULTURAS!$M$6:$M$28,$P2013)-INDEX(PARAMETROS_CULTURAS!$L$6:$L$28,$P2013))*($O2013-INDEX(PARAMETROS_CULTURAS!$F$6:$F$28,$P2013)-INDEX(PARAMETROS_CULTURAS!$G$6:$G$28,$P2013)-INDEX(PARAMETROS_CULTURAS!$H$6:$H$28,$P2013))/MAX(INDEX(PARAMETROS_CULTURAS!$I$6:$I$28,$P2013),0.0001)))))</f>
        <v>0.356584362139918</v>
      </c>
      <c r="S2013" s="18" t="n">
        <f aca="false">IFERROR(INDEX(SEMANAS!$H$6:$H$71,MATCH($B2013,SEMANAS!$B$6:$B$71,0)),0)</f>
        <v>32.2</v>
      </c>
      <c r="T2013" s="18" t="n">
        <f aca="false">$R2013*$S2013</f>
        <v>11.4820164609053</v>
      </c>
      <c r="U2013" s="18" t="n">
        <f aca="false">IFERROR(INDEX(SEMANAS!$I$6:$I$71,MATCH($B2013,SEMANAS!$B$6:$B$71,0)),0)</f>
        <v>37.24</v>
      </c>
      <c r="V2013" s="18" t="n">
        <f aca="false">IFERROR(INDEX(SEMANAS!$J$6:$J$71,MATCH($B2013,SEMANAS!$B$6:$B$71,0)),0)</f>
        <v>29.792</v>
      </c>
      <c r="W2013" s="18" t="n">
        <f aca="false">MAX(0,$T2013-$V2013)</f>
        <v>0</v>
      </c>
      <c r="X2013" s="19" t="n">
        <f aca="false">IFERROR(INDEX(CADASTRO_PIVOS!$K$6:$K$41,MATCH($E2013,CADASTRO_PIVOS!$B$6:$B$41,0)),EFICIENCIA_PADRAO)</f>
        <v>0.85</v>
      </c>
      <c r="Y2013" s="18" t="n">
        <f aca="false">IF($X2013&lt;=0,0,$W2013/$X2013)</f>
        <v>0</v>
      </c>
      <c r="Z2013" s="16" t="n">
        <f aca="false">$Y2013*$H2013*MM_PARA_M3_HA</f>
        <v>0</v>
      </c>
      <c r="AA2013" s="18" t="n">
        <f aca="false">IFERROR(INDEX(CADASTRO_PIVOS!$I$6:$I$41,MATCH($E2013,CADASTRO_PIVOS!$B$6:$B$41,0)),0)</f>
        <v>710.571428571429</v>
      </c>
      <c r="AB2013" s="18" t="n">
        <f aca="false">IF($Z2013&lt;=0,0,$Z2013/$AA2013)</f>
        <v>0</v>
      </c>
      <c r="AC2013" s="16" t="n">
        <f aca="false">IFERROR(INDEX(SEMANAS!$K$6:$K$71,MATCH($B2013,SEMANAS!$B$6:$B$71,0)),0)</f>
        <v>147</v>
      </c>
      <c r="AD2013" s="19" t="n">
        <f aca="false">IF($AC2013&lt;=0,0,$AB2013/$AC2013)</f>
        <v>0</v>
      </c>
      <c r="AE2013" s="8" t="str">
        <f aca="false">IF($K2013="SEM CULTURA","SEM CULTURA",IF($AA2013&lt;=0,"DADO PENDENTE",IF($AD2013&gt;LIMITE_CRITICO,"INVIAVEL",IF($AD2013&gt;LIMITE_ATENCAO,"CRITICO",IF($AD2013&gt;LIMITE_CONFORTAVEL,"ATENCAO","OK")))))</f>
        <v>OK</v>
      </c>
      <c r="AF2013" s="8" t="str">
        <f aca="false">$B2013&amp;"|"&amp;TEXT($AD2013,"0.000000")</f>
        <v>28|0.000000</v>
      </c>
      <c r="AG2013" s="18" t="n">
        <f aca="false">IF($K2013="SEM CULTURA",0,$T2013*$H2013)</f>
        <v>1142.23099753086</v>
      </c>
      <c r="AH2013" s="18" t="n">
        <f aca="false">IF($K2013="SEM CULTURA",0,$V2013*$H2013)</f>
        <v>2963.70816</v>
      </c>
      <c r="AI2013" s="18" t="n">
        <f aca="false">IF($K2013="SEM CULTURA",0,$W2013*$H2013)</f>
        <v>0</v>
      </c>
      <c r="AJ2013" s="18" t="n">
        <f aca="false">IF($K2013="SEM CULTURA",0,$S2013*$H2013)</f>
        <v>3203.256</v>
      </c>
      <c r="AK2013" s="8" t="str">
        <f aca="false">$E2013&amp;"|"&amp;TEXT($AD2013,"0.000000")</f>
        <v>PV 127|0.000000</v>
      </c>
    </row>
    <row r="2014" customFormat="false" ht="15" hidden="false" customHeight="false" outlineLevel="0" collapsed="false">
      <c r="B2014" s="16" t="n">
        <v>29</v>
      </c>
      <c r="C2014" s="17" t="n">
        <f aca="false">DATA_INICIO_SAFRA+($B2014-1)*DIAS_POR_SEMANA</f>
        <v>46461</v>
      </c>
      <c r="D2014" s="17" t="n">
        <f aca="false">$C2014+DIAS_POR_SEMANA-1</f>
        <v>46467</v>
      </c>
      <c r="E2014" s="15" t="s">
        <v>289</v>
      </c>
      <c r="F2014" s="8" t="str">
        <f aca="false">IFERROR(INDEX(CADASTRO_PIVOS!$C$6:$C$41,MATCH($E2014,CADASTRO_PIVOS!$B$6:$B$41,0)),"?")</f>
        <v>RM07</v>
      </c>
      <c r="G2014" s="8" t="str">
        <f aca="false">IFERROR(INDEX(CADASTRO_PIVOS!$D$6:$D$41,MATCH($E2014,CADASTRO_PIVOS!$B$6:$B$41,0)),"?")</f>
        <v>TR07</v>
      </c>
      <c r="H2014" s="20" t="n">
        <f aca="false">IFERROR(INDEX(CADASTRO_PIVOS!$E$6:$E$41,MATCH($E2014,CADASTRO_PIVOS!$B$6:$B$41,0)),0)</f>
        <v>99.48</v>
      </c>
      <c r="I2014" s="16" t="n">
        <f aca="false">IFERROR(SUMIFS(ROTACAO_RDM!$B$6:$B$71,ROTACAO_RDM!$D$6:$D$71,$E2014,ROTACAO_RDM!$I$6:$I$71,"&lt;="&amp;$C2014+INT(DIAS_POR_SEMANA/2),ROTACAO_RDM!$J$6:$J$71,"&gt;="&amp;$C2014+INT(DIAS_POR_SEMANA/2)),0)</f>
        <v>52</v>
      </c>
      <c r="J2014" s="16" t="n">
        <f aca="false">IFERROR(MATCH($I2014,ROTACAO_RDM!$B$6:$B$71,0),0)</f>
        <v>52</v>
      </c>
      <c r="K2014" s="8" t="str">
        <f aca="false">IF($J2014=0,"SEM CULTURA",INDEX(ROTACAO_RDM!$F$6:$F$71,$J2014))</f>
        <v>ALGODAO</v>
      </c>
      <c r="L2014" s="8" t="str">
        <f aca="false">IF($J2014=0,"",INDEX(ROTACAO_RDM!$G$6:$G$71,$J2014))</f>
        <v>DP 2111 B3RF</v>
      </c>
      <c r="M2014" s="17" t="n">
        <f aca="false">IF($J2014=0,"",INDEX(ROTACAO_RDM!$I$6:$I$71,$J2014))</f>
        <v>46426</v>
      </c>
      <c r="N2014" s="16" t="n">
        <f aca="false">IF($J2014=0,0,MAX(0,$C2014+INT(DIAS_POR_SEMANA/2)-INDEX(ROTACAO_RDM!$I$6:$I$71,$J2014)))</f>
        <v>38</v>
      </c>
      <c r="O2014" s="19" t="n">
        <f aca="false">IF($J2014=0,0,MIN(1,$N2014/MAX(1,INDEX(ROTACAO_RDM!$K$6:$K$71,$J2014))))</f>
        <v>0.211111111111111</v>
      </c>
      <c r="P2014" s="16" t="n">
        <f aca="false">IF($J2014=0,0,IFERROR(MATCH(INDEX(ROTACAO_RDM!$N$6:$N$71,$J2014),PARAMETROS_CULTURAS!$B$6:$B$28,0),0))</f>
        <v>4</v>
      </c>
      <c r="Q2014" s="8" t="str">
        <f aca="false">IF($P2014=0,"-",IF($O2014&lt;=INDEX(PARAMETROS_CULTURAS!$F$6:$F$28,$P2014),"INICIAL",IF($O2014&lt;=INDEX(PARAMETROS_CULTURAS!$F$6:$F$28,$P2014)+INDEX(PARAMETROS_CULTURAS!$G$6:$G$28,$P2014),"DESENVOLVIMENTO",IF($O2014&lt;=INDEX(PARAMETROS_CULTURAS!$F$6:$F$28,$P2014)+INDEX(PARAMETROS_CULTURAS!$G$6:$G$28,$P2014)+INDEX(PARAMETROS_CULTURAS!$H$6:$H$28,$P2014),"MEDIA","FINAL"))))</f>
        <v>DESENVOLVIMENTO</v>
      </c>
      <c r="R2014" s="24" t="n">
        <f aca="false">IF($P2014=0,0,IF($O2014&lt;=INDEX(PARAMETROS_CULTURAS!$F$6:$F$28,$P2014),INDEX(PARAMETROS_CULTURAS!$K$6:$K$28,$P2014),IF($O2014&lt;=INDEX(PARAMETROS_CULTURAS!$F$6:$F$28,$P2014)+INDEX(PARAMETROS_CULTURAS!$G$6:$G$28,$P2014),INDEX(PARAMETROS_CULTURAS!$K$6:$K$28,$P2014)+(INDEX(PARAMETROS_CULTURAS!$L$6:$L$28,$P2014)-INDEX(PARAMETROS_CULTURAS!$K$6:$K$28,$P2014))*($O2014-INDEX(PARAMETROS_CULTURAS!$F$6:$F$28,$P2014))/MAX(INDEX(PARAMETROS_CULTURAS!$G$6:$G$28,$P2014),0.0001),IF($O2014&lt;=INDEX(PARAMETROS_CULTURAS!$F$6:$F$28,$P2014)+INDEX(PARAMETROS_CULTURAS!$G$6:$G$28,$P2014)+INDEX(PARAMETROS_CULTURAS!$H$6:$H$28,$P2014),INDEX(PARAMETROS_CULTURAS!$L$6:$L$28,$P2014),INDEX(PARAMETROS_CULTURAS!$L$6:$L$28,$P2014)+(INDEX(PARAMETROS_CULTURAS!$M$6:$M$28,$P2014)-INDEX(PARAMETROS_CULTURAS!$L$6:$L$28,$P2014))*($O2014-INDEX(PARAMETROS_CULTURAS!$F$6:$F$28,$P2014)-INDEX(PARAMETROS_CULTURAS!$G$6:$G$28,$P2014)-INDEX(PARAMETROS_CULTURAS!$H$6:$H$28,$P2014))/MAX(INDEX(PARAMETROS_CULTURAS!$I$6:$I$28,$P2014),0.0001)))))</f>
        <v>0.471810699588477</v>
      </c>
      <c r="S2014" s="18" t="n">
        <f aca="false">IFERROR(INDEX(SEMANAS!$H$6:$H$71,MATCH($B2014,SEMANAS!$B$6:$B$71,0)),0)</f>
        <v>32.2</v>
      </c>
      <c r="T2014" s="18" t="n">
        <f aca="false">$R2014*$S2014</f>
        <v>15.192304526749</v>
      </c>
      <c r="U2014" s="18" t="n">
        <f aca="false">IFERROR(INDEX(SEMANAS!$I$6:$I$71,MATCH($B2014,SEMANAS!$B$6:$B$71,0)),0)</f>
        <v>37.24</v>
      </c>
      <c r="V2014" s="18" t="n">
        <f aca="false">IFERROR(INDEX(SEMANAS!$J$6:$J$71,MATCH($B2014,SEMANAS!$B$6:$B$71,0)),0)</f>
        <v>29.792</v>
      </c>
      <c r="W2014" s="18" t="n">
        <f aca="false">MAX(0,$T2014-$V2014)</f>
        <v>0</v>
      </c>
      <c r="X2014" s="19" t="n">
        <f aca="false">IFERROR(INDEX(CADASTRO_PIVOS!$K$6:$K$41,MATCH($E2014,CADASTRO_PIVOS!$B$6:$B$41,0)),EFICIENCIA_PADRAO)</f>
        <v>0.85</v>
      </c>
      <c r="Y2014" s="18" t="n">
        <f aca="false">IF($X2014&lt;=0,0,$W2014/$X2014)</f>
        <v>0</v>
      </c>
      <c r="Z2014" s="16" t="n">
        <f aca="false">$Y2014*$H2014*MM_PARA_M3_HA</f>
        <v>0</v>
      </c>
      <c r="AA2014" s="18" t="n">
        <f aca="false">IFERROR(INDEX(CADASTRO_PIVOS!$I$6:$I$41,MATCH($E2014,CADASTRO_PIVOS!$B$6:$B$41,0)),0)</f>
        <v>710.571428571429</v>
      </c>
      <c r="AB2014" s="18" t="n">
        <f aca="false">IF($Z2014&lt;=0,0,$Z2014/$AA2014)</f>
        <v>0</v>
      </c>
      <c r="AC2014" s="16" t="n">
        <f aca="false">IFERROR(INDEX(SEMANAS!$K$6:$K$71,MATCH($B2014,SEMANAS!$B$6:$B$71,0)),0)</f>
        <v>147</v>
      </c>
      <c r="AD2014" s="19" t="n">
        <f aca="false">IF($AC2014&lt;=0,0,$AB2014/$AC2014)</f>
        <v>0</v>
      </c>
      <c r="AE2014" s="8" t="str">
        <f aca="false">IF($K2014="SEM CULTURA","SEM CULTURA",IF($AA2014&lt;=0,"DADO PENDENTE",IF($AD2014&gt;LIMITE_CRITICO,"INVIAVEL",IF($AD2014&gt;LIMITE_ATENCAO,"CRITICO",IF($AD2014&gt;LIMITE_CONFORTAVEL,"ATENCAO","OK")))))</f>
        <v>OK</v>
      </c>
      <c r="AF2014" s="8" t="str">
        <f aca="false">$B2014&amp;"|"&amp;TEXT($AD2014,"0.000000")</f>
        <v>29|0.000000</v>
      </c>
      <c r="AG2014" s="18" t="n">
        <f aca="false">IF($K2014="SEM CULTURA",0,$T2014*$H2014)</f>
        <v>1511.33045432099</v>
      </c>
      <c r="AH2014" s="18" t="n">
        <f aca="false">IF($K2014="SEM CULTURA",0,$V2014*$H2014)</f>
        <v>2963.70816</v>
      </c>
      <c r="AI2014" s="18" t="n">
        <f aca="false">IF($K2014="SEM CULTURA",0,$W2014*$H2014)</f>
        <v>0</v>
      </c>
      <c r="AJ2014" s="18" t="n">
        <f aca="false">IF($K2014="SEM CULTURA",0,$S2014*$H2014)</f>
        <v>3203.256</v>
      </c>
      <c r="AK2014" s="8" t="str">
        <f aca="false">$E2014&amp;"|"&amp;TEXT($AD2014,"0.000000")</f>
        <v>PV 127|0.000000</v>
      </c>
    </row>
    <row r="2015" customFormat="false" ht="15" hidden="false" customHeight="false" outlineLevel="0" collapsed="false">
      <c r="B2015" s="16" t="n">
        <v>30</v>
      </c>
      <c r="C2015" s="17" t="n">
        <f aca="false">DATA_INICIO_SAFRA+($B2015-1)*DIAS_POR_SEMANA</f>
        <v>46468</v>
      </c>
      <c r="D2015" s="17" t="n">
        <f aca="false">$C2015+DIAS_POR_SEMANA-1</f>
        <v>46474</v>
      </c>
      <c r="E2015" s="15" t="s">
        <v>289</v>
      </c>
      <c r="F2015" s="8" t="str">
        <f aca="false">IFERROR(INDEX(CADASTRO_PIVOS!$C$6:$C$41,MATCH($E2015,CADASTRO_PIVOS!$B$6:$B$41,0)),"?")</f>
        <v>RM07</v>
      </c>
      <c r="G2015" s="8" t="str">
        <f aca="false">IFERROR(INDEX(CADASTRO_PIVOS!$D$6:$D$41,MATCH($E2015,CADASTRO_PIVOS!$B$6:$B$41,0)),"?")</f>
        <v>TR07</v>
      </c>
      <c r="H2015" s="20" t="n">
        <f aca="false">IFERROR(INDEX(CADASTRO_PIVOS!$E$6:$E$41,MATCH($E2015,CADASTRO_PIVOS!$B$6:$B$41,0)),0)</f>
        <v>99.48</v>
      </c>
      <c r="I2015" s="16" t="n">
        <f aca="false">IFERROR(SUMIFS(ROTACAO_RDM!$B$6:$B$71,ROTACAO_RDM!$D$6:$D$71,$E2015,ROTACAO_RDM!$I$6:$I$71,"&lt;="&amp;$C2015+INT(DIAS_POR_SEMANA/2),ROTACAO_RDM!$J$6:$J$71,"&gt;="&amp;$C2015+INT(DIAS_POR_SEMANA/2)),0)</f>
        <v>52</v>
      </c>
      <c r="J2015" s="16" t="n">
        <f aca="false">IFERROR(MATCH($I2015,ROTACAO_RDM!$B$6:$B$71,0),0)</f>
        <v>52</v>
      </c>
      <c r="K2015" s="8" t="str">
        <f aca="false">IF($J2015=0,"SEM CULTURA",INDEX(ROTACAO_RDM!$F$6:$F$71,$J2015))</f>
        <v>ALGODAO</v>
      </c>
      <c r="L2015" s="8" t="str">
        <f aca="false">IF($J2015=0,"",INDEX(ROTACAO_RDM!$G$6:$G$71,$J2015))</f>
        <v>DP 2111 B3RF</v>
      </c>
      <c r="M2015" s="17" t="n">
        <f aca="false">IF($J2015=0,"",INDEX(ROTACAO_RDM!$I$6:$I$71,$J2015))</f>
        <v>46426</v>
      </c>
      <c r="N2015" s="16" t="n">
        <f aca="false">IF($J2015=0,0,MAX(0,$C2015+INT(DIAS_POR_SEMANA/2)-INDEX(ROTACAO_RDM!$I$6:$I$71,$J2015)))</f>
        <v>45</v>
      </c>
      <c r="O2015" s="19" t="n">
        <f aca="false">IF($J2015=0,0,MIN(1,$N2015/MAX(1,INDEX(ROTACAO_RDM!$K$6:$K$71,$J2015))))</f>
        <v>0.25</v>
      </c>
      <c r="P2015" s="16" t="n">
        <f aca="false">IF($J2015=0,0,IFERROR(MATCH(INDEX(ROTACAO_RDM!$N$6:$N$71,$J2015),PARAMETROS_CULTURAS!$B$6:$B$28,0),0))</f>
        <v>4</v>
      </c>
      <c r="Q2015" s="8" t="str">
        <f aca="false">IF($P2015=0,"-",IF($O2015&lt;=INDEX(PARAMETROS_CULTURAS!$F$6:$F$28,$P2015),"INICIAL",IF($O2015&lt;=INDEX(PARAMETROS_CULTURAS!$F$6:$F$28,$P2015)+INDEX(PARAMETROS_CULTURAS!$G$6:$G$28,$P2015),"DESENVOLVIMENTO",IF($O2015&lt;=INDEX(PARAMETROS_CULTURAS!$F$6:$F$28,$P2015)+INDEX(PARAMETROS_CULTURAS!$G$6:$G$28,$P2015)+INDEX(PARAMETROS_CULTURAS!$H$6:$H$28,$P2015),"MEDIA","FINAL"))))</f>
        <v>DESENVOLVIMENTO</v>
      </c>
      <c r="R2015" s="24" t="n">
        <f aca="false">IF($P2015=0,0,IF($O2015&lt;=INDEX(PARAMETROS_CULTURAS!$F$6:$F$28,$P2015),INDEX(PARAMETROS_CULTURAS!$K$6:$K$28,$P2015),IF($O2015&lt;=INDEX(PARAMETROS_CULTURAS!$F$6:$F$28,$P2015)+INDEX(PARAMETROS_CULTURAS!$G$6:$G$28,$P2015),INDEX(PARAMETROS_CULTURAS!$K$6:$K$28,$P2015)+(INDEX(PARAMETROS_CULTURAS!$L$6:$L$28,$P2015)-INDEX(PARAMETROS_CULTURAS!$K$6:$K$28,$P2015))*($O2015-INDEX(PARAMETROS_CULTURAS!$F$6:$F$28,$P2015))/MAX(INDEX(PARAMETROS_CULTURAS!$G$6:$G$28,$P2015),0.0001),IF($O2015&lt;=INDEX(PARAMETROS_CULTURAS!$F$6:$F$28,$P2015)+INDEX(PARAMETROS_CULTURAS!$G$6:$G$28,$P2015)+INDEX(PARAMETROS_CULTURAS!$H$6:$H$28,$P2015),INDEX(PARAMETROS_CULTURAS!$L$6:$L$28,$P2015),INDEX(PARAMETROS_CULTURAS!$L$6:$L$28,$P2015)+(INDEX(PARAMETROS_CULTURAS!$M$6:$M$28,$P2015)-INDEX(PARAMETROS_CULTURAS!$L$6:$L$28,$P2015))*($O2015-INDEX(PARAMETROS_CULTURAS!$F$6:$F$28,$P2015)-INDEX(PARAMETROS_CULTURAS!$G$6:$G$28,$P2015)-INDEX(PARAMETROS_CULTURAS!$H$6:$H$28,$P2015))/MAX(INDEX(PARAMETROS_CULTURAS!$I$6:$I$28,$P2015),0.0001)))))</f>
        <v>0.587037037037037</v>
      </c>
      <c r="S2015" s="18" t="n">
        <f aca="false">IFERROR(INDEX(SEMANAS!$H$6:$H$71,MATCH($B2015,SEMANAS!$B$6:$B$71,0)),0)</f>
        <v>32.2</v>
      </c>
      <c r="T2015" s="18" t="n">
        <f aca="false">$R2015*$S2015</f>
        <v>18.9025925925926</v>
      </c>
      <c r="U2015" s="18" t="n">
        <f aca="false">IFERROR(INDEX(SEMANAS!$I$6:$I$71,MATCH($B2015,SEMANAS!$B$6:$B$71,0)),0)</f>
        <v>37.24</v>
      </c>
      <c r="V2015" s="18" t="n">
        <f aca="false">IFERROR(INDEX(SEMANAS!$J$6:$J$71,MATCH($B2015,SEMANAS!$B$6:$B$71,0)),0)</f>
        <v>29.792</v>
      </c>
      <c r="W2015" s="18" t="n">
        <f aca="false">MAX(0,$T2015-$V2015)</f>
        <v>0</v>
      </c>
      <c r="X2015" s="19" t="n">
        <f aca="false">IFERROR(INDEX(CADASTRO_PIVOS!$K$6:$K$41,MATCH($E2015,CADASTRO_PIVOS!$B$6:$B$41,0)),EFICIENCIA_PADRAO)</f>
        <v>0.85</v>
      </c>
      <c r="Y2015" s="18" t="n">
        <f aca="false">IF($X2015&lt;=0,0,$W2015/$X2015)</f>
        <v>0</v>
      </c>
      <c r="Z2015" s="16" t="n">
        <f aca="false">$Y2015*$H2015*MM_PARA_M3_HA</f>
        <v>0</v>
      </c>
      <c r="AA2015" s="18" t="n">
        <f aca="false">IFERROR(INDEX(CADASTRO_PIVOS!$I$6:$I$41,MATCH($E2015,CADASTRO_PIVOS!$B$6:$B$41,0)),0)</f>
        <v>710.571428571429</v>
      </c>
      <c r="AB2015" s="18" t="n">
        <f aca="false">IF($Z2015&lt;=0,0,$Z2015/$AA2015)</f>
        <v>0</v>
      </c>
      <c r="AC2015" s="16" t="n">
        <f aca="false">IFERROR(INDEX(SEMANAS!$K$6:$K$71,MATCH($B2015,SEMANAS!$B$6:$B$71,0)),0)</f>
        <v>147</v>
      </c>
      <c r="AD2015" s="19" t="n">
        <f aca="false">IF($AC2015&lt;=0,0,$AB2015/$AC2015)</f>
        <v>0</v>
      </c>
      <c r="AE2015" s="8" t="str">
        <f aca="false">IF($K2015="SEM CULTURA","SEM CULTURA",IF($AA2015&lt;=0,"DADO PENDENTE",IF($AD2015&gt;LIMITE_CRITICO,"INVIAVEL",IF($AD2015&gt;LIMITE_ATENCAO,"CRITICO",IF($AD2015&gt;LIMITE_CONFORTAVEL,"ATENCAO","OK")))))</f>
        <v>OK</v>
      </c>
      <c r="AF2015" s="8" t="str">
        <f aca="false">$B2015&amp;"|"&amp;TEXT($AD2015,"0.000000")</f>
        <v>30|0.000000</v>
      </c>
      <c r="AG2015" s="18" t="n">
        <f aca="false">IF($K2015="SEM CULTURA",0,$T2015*$H2015)</f>
        <v>1880.42991111111</v>
      </c>
      <c r="AH2015" s="18" t="n">
        <f aca="false">IF($K2015="SEM CULTURA",0,$V2015*$H2015)</f>
        <v>2963.70816</v>
      </c>
      <c r="AI2015" s="18" t="n">
        <f aca="false">IF($K2015="SEM CULTURA",0,$W2015*$H2015)</f>
        <v>0</v>
      </c>
      <c r="AJ2015" s="18" t="n">
        <f aca="false">IF($K2015="SEM CULTURA",0,$S2015*$H2015)</f>
        <v>3203.256</v>
      </c>
      <c r="AK2015" s="8" t="str">
        <f aca="false">$E2015&amp;"|"&amp;TEXT($AD2015,"0.000000")</f>
        <v>PV 127|0.000000</v>
      </c>
    </row>
    <row r="2016" customFormat="false" ht="15" hidden="false" customHeight="false" outlineLevel="0" collapsed="false">
      <c r="B2016" s="16" t="n">
        <v>31</v>
      </c>
      <c r="C2016" s="17" t="n">
        <f aca="false">DATA_INICIO_SAFRA+($B2016-1)*DIAS_POR_SEMANA</f>
        <v>46475</v>
      </c>
      <c r="D2016" s="17" t="n">
        <f aca="false">$C2016+DIAS_POR_SEMANA-1</f>
        <v>46481</v>
      </c>
      <c r="E2016" s="15" t="s">
        <v>289</v>
      </c>
      <c r="F2016" s="8" t="str">
        <f aca="false">IFERROR(INDEX(CADASTRO_PIVOS!$C$6:$C$41,MATCH($E2016,CADASTRO_PIVOS!$B$6:$B$41,0)),"?")</f>
        <v>RM07</v>
      </c>
      <c r="G2016" s="8" t="str">
        <f aca="false">IFERROR(INDEX(CADASTRO_PIVOS!$D$6:$D$41,MATCH($E2016,CADASTRO_PIVOS!$B$6:$B$41,0)),"?")</f>
        <v>TR07</v>
      </c>
      <c r="H2016" s="20" t="n">
        <f aca="false">IFERROR(INDEX(CADASTRO_PIVOS!$E$6:$E$41,MATCH($E2016,CADASTRO_PIVOS!$B$6:$B$41,0)),0)</f>
        <v>99.48</v>
      </c>
      <c r="I2016" s="16" t="n">
        <f aca="false">IFERROR(SUMIFS(ROTACAO_RDM!$B$6:$B$71,ROTACAO_RDM!$D$6:$D$71,$E2016,ROTACAO_RDM!$I$6:$I$71,"&lt;="&amp;$C2016+INT(DIAS_POR_SEMANA/2),ROTACAO_RDM!$J$6:$J$71,"&gt;="&amp;$C2016+INT(DIAS_POR_SEMANA/2)),0)</f>
        <v>52</v>
      </c>
      <c r="J2016" s="16" t="n">
        <f aca="false">IFERROR(MATCH($I2016,ROTACAO_RDM!$B$6:$B$71,0),0)</f>
        <v>52</v>
      </c>
      <c r="K2016" s="8" t="str">
        <f aca="false">IF($J2016=0,"SEM CULTURA",INDEX(ROTACAO_RDM!$F$6:$F$71,$J2016))</f>
        <v>ALGODAO</v>
      </c>
      <c r="L2016" s="8" t="str">
        <f aca="false">IF($J2016=0,"",INDEX(ROTACAO_RDM!$G$6:$G$71,$J2016))</f>
        <v>DP 2111 B3RF</v>
      </c>
      <c r="M2016" s="17" t="n">
        <f aca="false">IF($J2016=0,"",INDEX(ROTACAO_RDM!$I$6:$I$71,$J2016))</f>
        <v>46426</v>
      </c>
      <c r="N2016" s="16" t="n">
        <f aca="false">IF($J2016=0,0,MAX(0,$C2016+INT(DIAS_POR_SEMANA/2)-INDEX(ROTACAO_RDM!$I$6:$I$71,$J2016)))</f>
        <v>52</v>
      </c>
      <c r="O2016" s="19" t="n">
        <f aca="false">IF($J2016=0,0,MIN(1,$N2016/MAX(1,INDEX(ROTACAO_RDM!$K$6:$K$71,$J2016))))</f>
        <v>0.288888888888889</v>
      </c>
      <c r="P2016" s="16" t="n">
        <f aca="false">IF($J2016=0,0,IFERROR(MATCH(INDEX(ROTACAO_RDM!$N$6:$N$71,$J2016),PARAMETROS_CULTURAS!$B$6:$B$28,0),0))</f>
        <v>4</v>
      </c>
      <c r="Q2016" s="8" t="str">
        <f aca="false">IF($P2016=0,"-",IF($O2016&lt;=INDEX(PARAMETROS_CULTURAS!$F$6:$F$28,$P2016),"INICIAL",IF($O2016&lt;=INDEX(PARAMETROS_CULTURAS!$F$6:$F$28,$P2016)+INDEX(PARAMETROS_CULTURAS!$G$6:$G$28,$P2016),"DESENVOLVIMENTO",IF($O2016&lt;=INDEX(PARAMETROS_CULTURAS!$F$6:$F$28,$P2016)+INDEX(PARAMETROS_CULTURAS!$G$6:$G$28,$P2016)+INDEX(PARAMETROS_CULTURAS!$H$6:$H$28,$P2016),"MEDIA","FINAL"))))</f>
        <v>DESENVOLVIMENTO</v>
      </c>
      <c r="R2016" s="24" t="n">
        <f aca="false">IF($P2016=0,0,IF($O2016&lt;=INDEX(PARAMETROS_CULTURAS!$F$6:$F$28,$P2016),INDEX(PARAMETROS_CULTURAS!$K$6:$K$28,$P2016),IF($O2016&lt;=INDEX(PARAMETROS_CULTURAS!$F$6:$F$28,$P2016)+INDEX(PARAMETROS_CULTURAS!$G$6:$G$28,$P2016),INDEX(PARAMETROS_CULTURAS!$K$6:$K$28,$P2016)+(INDEX(PARAMETROS_CULTURAS!$L$6:$L$28,$P2016)-INDEX(PARAMETROS_CULTURAS!$K$6:$K$28,$P2016))*($O2016-INDEX(PARAMETROS_CULTURAS!$F$6:$F$28,$P2016))/MAX(INDEX(PARAMETROS_CULTURAS!$G$6:$G$28,$P2016),0.0001),IF($O2016&lt;=INDEX(PARAMETROS_CULTURAS!$F$6:$F$28,$P2016)+INDEX(PARAMETROS_CULTURAS!$G$6:$G$28,$P2016)+INDEX(PARAMETROS_CULTURAS!$H$6:$H$28,$P2016),INDEX(PARAMETROS_CULTURAS!$L$6:$L$28,$P2016),INDEX(PARAMETROS_CULTURAS!$L$6:$L$28,$P2016)+(INDEX(PARAMETROS_CULTURAS!$M$6:$M$28,$P2016)-INDEX(PARAMETROS_CULTURAS!$L$6:$L$28,$P2016))*($O2016-INDEX(PARAMETROS_CULTURAS!$F$6:$F$28,$P2016)-INDEX(PARAMETROS_CULTURAS!$G$6:$G$28,$P2016)-INDEX(PARAMETROS_CULTURAS!$H$6:$H$28,$P2016))/MAX(INDEX(PARAMETROS_CULTURAS!$I$6:$I$28,$P2016),0.0001)))))</f>
        <v>0.702263374485597</v>
      </c>
      <c r="S2016" s="18" t="n">
        <f aca="false">IFERROR(INDEX(SEMANAS!$H$6:$H$71,MATCH($B2016,SEMANAS!$B$6:$B$71,0)),0)</f>
        <v>31.8</v>
      </c>
      <c r="T2016" s="18" t="n">
        <f aca="false">$R2016*$S2016</f>
        <v>22.331975308642</v>
      </c>
      <c r="U2016" s="18" t="n">
        <f aca="false">IFERROR(INDEX(SEMANAS!$I$6:$I$71,MATCH($B2016,SEMANAS!$B$6:$B$71,0)),0)</f>
        <v>25.28</v>
      </c>
      <c r="V2016" s="18" t="n">
        <f aca="false">IFERROR(INDEX(SEMANAS!$J$6:$J$71,MATCH($B2016,SEMANAS!$B$6:$B$71,0)),0)</f>
        <v>20.224</v>
      </c>
      <c r="W2016" s="18" t="n">
        <f aca="false">MAX(0,$T2016-$V2016)</f>
        <v>2.10797530864197</v>
      </c>
      <c r="X2016" s="19" t="n">
        <f aca="false">IFERROR(INDEX(CADASTRO_PIVOS!$K$6:$K$41,MATCH($E2016,CADASTRO_PIVOS!$B$6:$B$41,0)),EFICIENCIA_PADRAO)</f>
        <v>0.85</v>
      </c>
      <c r="Y2016" s="18" t="n">
        <f aca="false">IF($X2016&lt;=0,0,$W2016/$X2016)</f>
        <v>2.47997095134349</v>
      </c>
      <c r="Z2016" s="16" t="n">
        <f aca="false">$Y2016*$H2016*MM_PARA_M3_HA</f>
        <v>2467.07510239651</v>
      </c>
      <c r="AA2016" s="18" t="n">
        <f aca="false">IFERROR(INDEX(CADASTRO_PIVOS!$I$6:$I$41,MATCH($E2016,CADASTRO_PIVOS!$B$6:$B$41,0)),0)</f>
        <v>710.571428571429</v>
      </c>
      <c r="AB2016" s="18" t="n">
        <f aca="false">IF($Z2016&lt;=0,0,$Z2016/$AA2016)</f>
        <v>3.47195933188089</v>
      </c>
      <c r="AC2016" s="16" t="n">
        <f aca="false">IFERROR(INDEX(SEMANAS!$K$6:$K$71,MATCH($B2016,SEMANAS!$B$6:$B$71,0)),0)</f>
        <v>147</v>
      </c>
      <c r="AD2016" s="19" t="n">
        <f aca="false">IF($AC2016&lt;=0,0,$AB2016/$AC2016)</f>
        <v>0.0236187709651761</v>
      </c>
      <c r="AE2016" s="8" t="str">
        <f aca="false">IF($K2016="SEM CULTURA","SEM CULTURA",IF($AA2016&lt;=0,"DADO PENDENTE",IF($AD2016&gt;LIMITE_CRITICO,"INVIAVEL",IF($AD2016&gt;LIMITE_ATENCAO,"CRITICO",IF($AD2016&gt;LIMITE_CONFORTAVEL,"ATENCAO","OK")))))</f>
        <v>OK</v>
      </c>
      <c r="AF2016" s="8" t="str">
        <f aca="false">$B2016&amp;"|"&amp;TEXT($AD2016,"0.000000")</f>
        <v>31|0.023619</v>
      </c>
      <c r="AG2016" s="18" t="n">
        <f aca="false">IF($K2016="SEM CULTURA",0,$T2016*$H2016)</f>
        <v>2221.5849037037</v>
      </c>
      <c r="AH2016" s="18" t="n">
        <f aca="false">IF($K2016="SEM CULTURA",0,$V2016*$H2016)</f>
        <v>2011.88352</v>
      </c>
      <c r="AI2016" s="18" t="n">
        <f aca="false">IF($K2016="SEM CULTURA",0,$W2016*$H2016)</f>
        <v>209.701383703703</v>
      </c>
      <c r="AJ2016" s="18" t="n">
        <f aca="false">IF($K2016="SEM CULTURA",0,$S2016*$H2016)</f>
        <v>3163.464</v>
      </c>
      <c r="AK2016" s="8" t="str">
        <f aca="false">$E2016&amp;"|"&amp;TEXT($AD2016,"0.000000")</f>
        <v>PV 127|0.023619</v>
      </c>
    </row>
    <row r="2017" customFormat="false" ht="15" hidden="false" customHeight="false" outlineLevel="0" collapsed="false">
      <c r="B2017" s="16" t="n">
        <v>32</v>
      </c>
      <c r="C2017" s="17" t="n">
        <f aca="false">DATA_INICIO_SAFRA+($B2017-1)*DIAS_POR_SEMANA</f>
        <v>46482</v>
      </c>
      <c r="D2017" s="17" t="n">
        <f aca="false">$C2017+DIAS_POR_SEMANA-1</f>
        <v>46488</v>
      </c>
      <c r="E2017" s="15" t="s">
        <v>289</v>
      </c>
      <c r="F2017" s="8" t="str">
        <f aca="false">IFERROR(INDEX(CADASTRO_PIVOS!$C$6:$C$41,MATCH($E2017,CADASTRO_PIVOS!$B$6:$B$41,0)),"?")</f>
        <v>RM07</v>
      </c>
      <c r="G2017" s="8" t="str">
        <f aca="false">IFERROR(INDEX(CADASTRO_PIVOS!$D$6:$D$41,MATCH($E2017,CADASTRO_PIVOS!$B$6:$B$41,0)),"?")</f>
        <v>TR07</v>
      </c>
      <c r="H2017" s="20" t="n">
        <f aca="false">IFERROR(INDEX(CADASTRO_PIVOS!$E$6:$E$41,MATCH($E2017,CADASTRO_PIVOS!$B$6:$B$41,0)),0)</f>
        <v>99.48</v>
      </c>
      <c r="I2017" s="16" t="n">
        <f aca="false">IFERROR(SUMIFS(ROTACAO_RDM!$B$6:$B$71,ROTACAO_RDM!$D$6:$D$71,$E2017,ROTACAO_RDM!$I$6:$I$71,"&lt;="&amp;$C2017+INT(DIAS_POR_SEMANA/2),ROTACAO_RDM!$J$6:$J$71,"&gt;="&amp;$C2017+INT(DIAS_POR_SEMANA/2)),0)</f>
        <v>52</v>
      </c>
      <c r="J2017" s="16" t="n">
        <f aca="false">IFERROR(MATCH($I2017,ROTACAO_RDM!$B$6:$B$71,0),0)</f>
        <v>52</v>
      </c>
      <c r="K2017" s="8" t="str">
        <f aca="false">IF($J2017=0,"SEM CULTURA",INDEX(ROTACAO_RDM!$F$6:$F$71,$J2017))</f>
        <v>ALGODAO</v>
      </c>
      <c r="L2017" s="8" t="str">
        <f aca="false">IF($J2017=0,"",INDEX(ROTACAO_RDM!$G$6:$G$71,$J2017))</f>
        <v>DP 2111 B3RF</v>
      </c>
      <c r="M2017" s="17" t="n">
        <f aca="false">IF($J2017=0,"",INDEX(ROTACAO_RDM!$I$6:$I$71,$J2017))</f>
        <v>46426</v>
      </c>
      <c r="N2017" s="16" t="n">
        <f aca="false">IF($J2017=0,0,MAX(0,$C2017+INT(DIAS_POR_SEMANA/2)-INDEX(ROTACAO_RDM!$I$6:$I$71,$J2017)))</f>
        <v>59</v>
      </c>
      <c r="O2017" s="19" t="n">
        <f aca="false">IF($J2017=0,0,MIN(1,$N2017/MAX(1,INDEX(ROTACAO_RDM!$K$6:$K$71,$J2017))))</f>
        <v>0.327777777777778</v>
      </c>
      <c r="P2017" s="16" t="n">
        <f aca="false">IF($J2017=0,0,IFERROR(MATCH(INDEX(ROTACAO_RDM!$N$6:$N$71,$J2017),PARAMETROS_CULTURAS!$B$6:$B$28,0),0))</f>
        <v>4</v>
      </c>
      <c r="Q2017" s="8" t="str">
        <f aca="false">IF($P2017=0,"-",IF($O2017&lt;=INDEX(PARAMETROS_CULTURAS!$F$6:$F$28,$P2017),"INICIAL",IF($O2017&lt;=INDEX(PARAMETROS_CULTURAS!$F$6:$F$28,$P2017)+INDEX(PARAMETROS_CULTURAS!$G$6:$G$28,$P2017),"DESENVOLVIMENTO",IF($O2017&lt;=INDEX(PARAMETROS_CULTURAS!$F$6:$F$28,$P2017)+INDEX(PARAMETROS_CULTURAS!$G$6:$G$28,$P2017)+INDEX(PARAMETROS_CULTURAS!$H$6:$H$28,$P2017),"MEDIA","FINAL"))))</f>
        <v>DESENVOLVIMENTO</v>
      </c>
      <c r="R2017" s="24" t="n">
        <f aca="false">IF($P2017=0,0,IF($O2017&lt;=INDEX(PARAMETROS_CULTURAS!$F$6:$F$28,$P2017),INDEX(PARAMETROS_CULTURAS!$K$6:$K$28,$P2017),IF($O2017&lt;=INDEX(PARAMETROS_CULTURAS!$F$6:$F$28,$P2017)+INDEX(PARAMETROS_CULTURAS!$G$6:$G$28,$P2017),INDEX(PARAMETROS_CULTURAS!$K$6:$K$28,$P2017)+(INDEX(PARAMETROS_CULTURAS!$L$6:$L$28,$P2017)-INDEX(PARAMETROS_CULTURAS!$K$6:$K$28,$P2017))*($O2017-INDEX(PARAMETROS_CULTURAS!$F$6:$F$28,$P2017))/MAX(INDEX(PARAMETROS_CULTURAS!$G$6:$G$28,$P2017),0.0001),IF($O2017&lt;=INDEX(PARAMETROS_CULTURAS!$F$6:$F$28,$P2017)+INDEX(PARAMETROS_CULTURAS!$G$6:$G$28,$P2017)+INDEX(PARAMETROS_CULTURAS!$H$6:$H$28,$P2017),INDEX(PARAMETROS_CULTURAS!$L$6:$L$28,$P2017),INDEX(PARAMETROS_CULTURAS!$L$6:$L$28,$P2017)+(INDEX(PARAMETROS_CULTURAS!$M$6:$M$28,$P2017)-INDEX(PARAMETROS_CULTURAS!$L$6:$L$28,$P2017))*($O2017-INDEX(PARAMETROS_CULTURAS!$F$6:$F$28,$P2017)-INDEX(PARAMETROS_CULTURAS!$G$6:$G$28,$P2017)-INDEX(PARAMETROS_CULTURAS!$H$6:$H$28,$P2017))/MAX(INDEX(PARAMETROS_CULTURAS!$I$6:$I$28,$P2017),0.0001)))))</f>
        <v>0.817489711934156</v>
      </c>
      <c r="S2017" s="18" t="n">
        <f aca="false">IFERROR(INDEX(SEMANAS!$H$6:$H$71,MATCH($B2017,SEMANAS!$B$6:$B$71,0)),0)</f>
        <v>31.5</v>
      </c>
      <c r="T2017" s="18" t="n">
        <f aca="false">$R2017*$S2017</f>
        <v>25.7509259259259</v>
      </c>
      <c r="U2017" s="18" t="n">
        <f aca="false">IFERROR(INDEX(SEMANAS!$I$6:$I$71,MATCH($B2017,SEMANAS!$B$6:$B$71,0)),0)</f>
        <v>16.31</v>
      </c>
      <c r="V2017" s="18" t="n">
        <f aca="false">IFERROR(INDEX(SEMANAS!$J$6:$J$71,MATCH($B2017,SEMANAS!$B$6:$B$71,0)),0)</f>
        <v>13.048</v>
      </c>
      <c r="W2017" s="18" t="n">
        <f aca="false">MAX(0,$T2017-$V2017)</f>
        <v>12.7029259259259</v>
      </c>
      <c r="X2017" s="19" t="n">
        <f aca="false">IFERROR(INDEX(CADASTRO_PIVOS!$K$6:$K$41,MATCH($E2017,CADASTRO_PIVOS!$B$6:$B$41,0)),EFICIENCIA_PADRAO)</f>
        <v>0.85</v>
      </c>
      <c r="Y2017" s="18" t="n">
        <f aca="false">IF($X2017&lt;=0,0,$W2017/$X2017)</f>
        <v>14.9446187363834</v>
      </c>
      <c r="Z2017" s="16" t="n">
        <f aca="false">$Y2017*$H2017*MM_PARA_M3_HA</f>
        <v>14866.9067189542</v>
      </c>
      <c r="AA2017" s="18" t="n">
        <f aca="false">IFERROR(INDEX(CADASTRO_PIVOS!$I$6:$I$41,MATCH($E2017,CADASTRO_PIVOS!$B$6:$B$41,0)),0)</f>
        <v>710.571428571429</v>
      </c>
      <c r="AB2017" s="18" t="n">
        <f aca="false">IF($Z2017&lt;=0,0,$Z2017/$AA2017)</f>
        <v>20.9224662309368</v>
      </c>
      <c r="AC2017" s="16" t="n">
        <f aca="false">IFERROR(INDEX(SEMANAS!$K$6:$K$71,MATCH($B2017,SEMANAS!$B$6:$B$71,0)),0)</f>
        <v>147</v>
      </c>
      <c r="AD2017" s="19" t="n">
        <f aca="false">IF($AC2017&lt;=0,0,$AB2017/$AC2017)</f>
        <v>0.142329702251271</v>
      </c>
      <c r="AE2017" s="8" t="str">
        <f aca="false">IF($K2017="SEM CULTURA","SEM CULTURA",IF($AA2017&lt;=0,"DADO PENDENTE",IF($AD2017&gt;LIMITE_CRITICO,"INVIAVEL",IF($AD2017&gt;LIMITE_ATENCAO,"CRITICO",IF($AD2017&gt;LIMITE_CONFORTAVEL,"ATENCAO","OK")))))</f>
        <v>OK</v>
      </c>
      <c r="AF2017" s="8" t="str">
        <f aca="false">$B2017&amp;"|"&amp;TEXT($AD2017,"0.000000")</f>
        <v>32|0.142330</v>
      </c>
      <c r="AG2017" s="18" t="n">
        <f aca="false">IF($K2017="SEM CULTURA",0,$T2017*$H2017)</f>
        <v>2561.70211111111</v>
      </c>
      <c r="AH2017" s="18" t="n">
        <f aca="false">IF($K2017="SEM CULTURA",0,$V2017*$H2017)</f>
        <v>1298.01504</v>
      </c>
      <c r="AI2017" s="18" t="n">
        <f aca="false">IF($K2017="SEM CULTURA",0,$W2017*$H2017)</f>
        <v>1263.68707111111</v>
      </c>
      <c r="AJ2017" s="18" t="n">
        <f aca="false">IF($K2017="SEM CULTURA",0,$S2017*$H2017)</f>
        <v>3133.62</v>
      </c>
      <c r="AK2017" s="8" t="str">
        <f aca="false">$E2017&amp;"|"&amp;TEXT($AD2017,"0.000000")</f>
        <v>PV 127|0.142330</v>
      </c>
    </row>
    <row r="2018" customFormat="false" ht="15" hidden="false" customHeight="false" outlineLevel="0" collapsed="false">
      <c r="B2018" s="16" t="n">
        <v>33</v>
      </c>
      <c r="C2018" s="17" t="n">
        <f aca="false">DATA_INICIO_SAFRA+($B2018-1)*DIAS_POR_SEMANA</f>
        <v>46489</v>
      </c>
      <c r="D2018" s="17" t="n">
        <f aca="false">$C2018+DIAS_POR_SEMANA-1</f>
        <v>46495</v>
      </c>
      <c r="E2018" s="15" t="s">
        <v>289</v>
      </c>
      <c r="F2018" s="8" t="str">
        <f aca="false">IFERROR(INDEX(CADASTRO_PIVOS!$C$6:$C$41,MATCH($E2018,CADASTRO_PIVOS!$B$6:$B$41,0)),"?")</f>
        <v>RM07</v>
      </c>
      <c r="G2018" s="8" t="str">
        <f aca="false">IFERROR(INDEX(CADASTRO_PIVOS!$D$6:$D$41,MATCH($E2018,CADASTRO_PIVOS!$B$6:$B$41,0)),"?")</f>
        <v>TR07</v>
      </c>
      <c r="H2018" s="20" t="n">
        <f aca="false">IFERROR(INDEX(CADASTRO_PIVOS!$E$6:$E$41,MATCH($E2018,CADASTRO_PIVOS!$B$6:$B$41,0)),0)</f>
        <v>99.48</v>
      </c>
      <c r="I2018" s="16" t="n">
        <f aca="false">IFERROR(SUMIFS(ROTACAO_RDM!$B$6:$B$71,ROTACAO_RDM!$D$6:$D$71,$E2018,ROTACAO_RDM!$I$6:$I$71,"&lt;="&amp;$C2018+INT(DIAS_POR_SEMANA/2),ROTACAO_RDM!$J$6:$J$71,"&gt;="&amp;$C2018+INT(DIAS_POR_SEMANA/2)),0)</f>
        <v>52</v>
      </c>
      <c r="J2018" s="16" t="n">
        <f aca="false">IFERROR(MATCH($I2018,ROTACAO_RDM!$B$6:$B$71,0),0)</f>
        <v>52</v>
      </c>
      <c r="K2018" s="8" t="str">
        <f aca="false">IF($J2018=0,"SEM CULTURA",INDEX(ROTACAO_RDM!$F$6:$F$71,$J2018))</f>
        <v>ALGODAO</v>
      </c>
      <c r="L2018" s="8" t="str">
        <f aca="false">IF($J2018=0,"",INDEX(ROTACAO_RDM!$G$6:$G$71,$J2018))</f>
        <v>DP 2111 B3RF</v>
      </c>
      <c r="M2018" s="17" t="n">
        <f aca="false">IF($J2018=0,"",INDEX(ROTACAO_RDM!$I$6:$I$71,$J2018))</f>
        <v>46426</v>
      </c>
      <c r="N2018" s="16" t="n">
        <f aca="false">IF($J2018=0,0,MAX(0,$C2018+INT(DIAS_POR_SEMANA/2)-INDEX(ROTACAO_RDM!$I$6:$I$71,$J2018)))</f>
        <v>66</v>
      </c>
      <c r="O2018" s="19" t="n">
        <f aca="false">IF($J2018=0,0,MIN(1,$N2018/MAX(1,INDEX(ROTACAO_RDM!$K$6:$K$71,$J2018))))</f>
        <v>0.366666666666667</v>
      </c>
      <c r="P2018" s="16" t="n">
        <f aca="false">IF($J2018=0,0,IFERROR(MATCH(INDEX(ROTACAO_RDM!$N$6:$N$71,$J2018),PARAMETROS_CULTURAS!$B$6:$B$28,0),0))</f>
        <v>4</v>
      </c>
      <c r="Q2018" s="8" t="str">
        <f aca="false">IF($P2018=0,"-",IF($O2018&lt;=INDEX(PARAMETROS_CULTURAS!$F$6:$F$28,$P2018),"INICIAL",IF($O2018&lt;=INDEX(PARAMETROS_CULTURAS!$F$6:$F$28,$P2018)+INDEX(PARAMETROS_CULTURAS!$G$6:$G$28,$P2018),"DESENVOLVIMENTO",IF($O2018&lt;=INDEX(PARAMETROS_CULTURAS!$F$6:$F$28,$P2018)+INDEX(PARAMETROS_CULTURAS!$G$6:$G$28,$P2018)+INDEX(PARAMETROS_CULTURAS!$H$6:$H$28,$P2018),"MEDIA","FINAL"))))</f>
        <v>DESENVOLVIMENTO</v>
      </c>
      <c r="R2018" s="24" t="n">
        <f aca="false">IF($P2018=0,0,IF($O2018&lt;=INDEX(PARAMETROS_CULTURAS!$F$6:$F$28,$P2018),INDEX(PARAMETROS_CULTURAS!$K$6:$K$28,$P2018),IF($O2018&lt;=INDEX(PARAMETROS_CULTURAS!$F$6:$F$28,$P2018)+INDEX(PARAMETROS_CULTURAS!$G$6:$G$28,$P2018),INDEX(PARAMETROS_CULTURAS!$K$6:$K$28,$P2018)+(INDEX(PARAMETROS_CULTURAS!$L$6:$L$28,$P2018)-INDEX(PARAMETROS_CULTURAS!$K$6:$K$28,$P2018))*($O2018-INDEX(PARAMETROS_CULTURAS!$F$6:$F$28,$P2018))/MAX(INDEX(PARAMETROS_CULTURAS!$G$6:$G$28,$P2018),0.0001),IF($O2018&lt;=INDEX(PARAMETROS_CULTURAS!$F$6:$F$28,$P2018)+INDEX(PARAMETROS_CULTURAS!$G$6:$G$28,$P2018)+INDEX(PARAMETROS_CULTURAS!$H$6:$H$28,$P2018),INDEX(PARAMETROS_CULTURAS!$L$6:$L$28,$P2018),INDEX(PARAMETROS_CULTURAS!$L$6:$L$28,$P2018)+(INDEX(PARAMETROS_CULTURAS!$M$6:$M$28,$P2018)-INDEX(PARAMETROS_CULTURAS!$L$6:$L$28,$P2018))*($O2018-INDEX(PARAMETROS_CULTURAS!$F$6:$F$28,$P2018)-INDEX(PARAMETROS_CULTURAS!$G$6:$G$28,$P2018)-INDEX(PARAMETROS_CULTURAS!$H$6:$H$28,$P2018))/MAX(INDEX(PARAMETROS_CULTURAS!$I$6:$I$28,$P2018),0.0001)))))</f>
        <v>0.932716049382716</v>
      </c>
      <c r="S2018" s="18" t="n">
        <f aca="false">IFERROR(INDEX(SEMANAS!$H$6:$H$71,MATCH($B2018,SEMANAS!$B$6:$B$71,0)),0)</f>
        <v>31.5</v>
      </c>
      <c r="T2018" s="18" t="n">
        <f aca="false">$R2018*$S2018</f>
        <v>29.3805555555556</v>
      </c>
      <c r="U2018" s="18" t="n">
        <f aca="false">IFERROR(INDEX(SEMANAS!$I$6:$I$71,MATCH($B2018,SEMANAS!$B$6:$B$71,0)),0)</f>
        <v>16.31</v>
      </c>
      <c r="V2018" s="18" t="n">
        <f aca="false">IFERROR(INDEX(SEMANAS!$J$6:$J$71,MATCH($B2018,SEMANAS!$B$6:$B$71,0)),0)</f>
        <v>13.048</v>
      </c>
      <c r="W2018" s="18" t="n">
        <f aca="false">MAX(0,$T2018-$V2018)</f>
        <v>16.3325555555556</v>
      </c>
      <c r="X2018" s="19" t="n">
        <f aca="false">IFERROR(INDEX(CADASTRO_PIVOS!$K$6:$K$41,MATCH($E2018,CADASTRO_PIVOS!$B$6:$B$41,0)),EFICIENCIA_PADRAO)</f>
        <v>0.85</v>
      </c>
      <c r="Y2018" s="18" t="n">
        <f aca="false">IF($X2018&lt;=0,0,$W2018/$X2018)</f>
        <v>19.2147712418301</v>
      </c>
      <c r="Z2018" s="16" t="n">
        <f aca="false">$Y2018*$H2018*MM_PARA_M3_HA</f>
        <v>19114.8544313725</v>
      </c>
      <c r="AA2018" s="18" t="n">
        <f aca="false">IFERROR(INDEX(CADASTRO_PIVOS!$I$6:$I$41,MATCH($E2018,CADASTRO_PIVOS!$B$6:$B$41,0)),0)</f>
        <v>710.571428571429</v>
      </c>
      <c r="AB2018" s="18" t="n">
        <f aca="false">IF($Z2018&lt;=0,0,$Z2018/$AA2018)</f>
        <v>26.9006797385621</v>
      </c>
      <c r="AC2018" s="16" t="n">
        <f aca="false">IFERROR(INDEX(SEMANAS!$K$6:$K$71,MATCH($B2018,SEMANAS!$B$6:$B$71,0)),0)</f>
        <v>147</v>
      </c>
      <c r="AD2018" s="19" t="n">
        <f aca="false">IF($AC2018&lt;=0,0,$AB2018/$AC2018)</f>
        <v>0.182997821350763</v>
      </c>
      <c r="AE2018" s="8" t="str">
        <f aca="false">IF($K2018="SEM CULTURA","SEM CULTURA",IF($AA2018&lt;=0,"DADO PENDENTE",IF($AD2018&gt;LIMITE_CRITICO,"INVIAVEL",IF($AD2018&gt;LIMITE_ATENCAO,"CRITICO",IF($AD2018&gt;LIMITE_CONFORTAVEL,"ATENCAO","OK")))))</f>
        <v>OK</v>
      </c>
      <c r="AF2018" s="8" t="str">
        <f aca="false">$B2018&amp;"|"&amp;TEXT($AD2018,"0.000000")</f>
        <v>33|0.182998</v>
      </c>
      <c r="AG2018" s="18" t="n">
        <f aca="false">IF($K2018="SEM CULTURA",0,$T2018*$H2018)</f>
        <v>2922.77766666667</v>
      </c>
      <c r="AH2018" s="18" t="n">
        <f aca="false">IF($K2018="SEM CULTURA",0,$V2018*$H2018)</f>
        <v>1298.01504</v>
      </c>
      <c r="AI2018" s="18" t="n">
        <f aca="false">IF($K2018="SEM CULTURA",0,$W2018*$H2018)</f>
        <v>1624.76262666667</v>
      </c>
      <c r="AJ2018" s="18" t="n">
        <f aca="false">IF($K2018="SEM CULTURA",0,$S2018*$H2018)</f>
        <v>3133.62</v>
      </c>
      <c r="AK2018" s="8" t="str">
        <f aca="false">$E2018&amp;"|"&amp;TEXT($AD2018,"0.000000")</f>
        <v>PV 127|0.182998</v>
      </c>
    </row>
    <row r="2019" customFormat="false" ht="15" hidden="false" customHeight="false" outlineLevel="0" collapsed="false">
      <c r="B2019" s="16" t="n">
        <v>34</v>
      </c>
      <c r="C2019" s="17" t="n">
        <f aca="false">DATA_INICIO_SAFRA+($B2019-1)*DIAS_POR_SEMANA</f>
        <v>46496</v>
      </c>
      <c r="D2019" s="17" t="n">
        <f aca="false">$C2019+DIAS_POR_SEMANA-1</f>
        <v>46502</v>
      </c>
      <c r="E2019" s="15" t="s">
        <v>289</v>
      </c>
      <c r="F2019" s="8" t="str">
        <f aca="false">IFERROR(INDEX(CADASTRO_PIVOS!$C$6:$C$41,MATCH($E2019,CADASTRO_PIVOS!$B$6:$B$41,0)),"?")</f>
        <v>RM07</v>
      </c>
      <c r="G2019" s="8" t="str">
        <f aca="false">IFERROR(INDEX(CADASTRO_PIVOS!$D$6:$D$41,MATCH($E2019,CADASTRO_PIVOS!$B$6:$B$41,0)),"?")</f>
        <v>TR07</v>
      </c>
      <c r="H2019" s="20" t="n">
        <f aca="false">IFERROR(INDEX(CADASTRO_PIVOS!$E$6:$E$41,MATCH($E2019,CADASTRO_PIVOS!$B$6:$B$41,0)),0)</f>
        <v>99.48</v>
      </c>
      <c r="I2019" s="16" t="n">
        <f aca="false">IFERROR(SUMIFS(ROTACAO_RDM!$B$6:$B$71,ROTACAO_RDM!$D$6:$D$71,$E2019,ROTACAO_RDM!$I$6:$I$71,"&lt;="&amp;$C2019+INT(DIAS_POR_SEMANA/2),ROTACAO_RDM!$J$6:$J$71,"&gt;="&amp;$C2019+INT(DIAS_POR_SEMANA/2)),0)</f>
        <v>52</v>
      </c>
      <c r="J2019" s="16" t="n">
        <f aca="false">IFERROR(MATCH($I2019,ROTACAO_RDM!$B$6:$B$71,0),0)</f>
        <v>52</v>
      </c>
      <c r="K2019" s="8" t="str">
        <f aca="false">IF($J2019=0,"SEM CULTURA",INDEX(ROTACAO_RDM!$F$6:$F$71,$J2019))</f>
        <v>ALGODAO</v>
      </c>
      <c r="L2019" s="8" t="str">
        <f aca="false">IF($J2019=0,"",INDEX(ROTACAO_RDM!$G$6:$G$71,$J2019))</f>
        <v>DP 2111 B3RF</v>
      </c>
      <c r="M2019" s="17" t="n">
        <f aca="false">IF($J2019=0,"",INDEX(ROTACAO_RDM!$I$6:$I$71,$J2019))</f>
        <v>46426</v>
      </c>
      <c r="N2019" s="16" t="n">
        <f aca="false">IF($J2019=0,0,MAX(0,$C2019+INT(DIAS_POR_SEMANA/2)-INDEX(ROTACAO_RDM!$I$6:$I$71,$J2019)))</f>
        <v>73</v>
      </c>
      <c r="O2019" s="19" t="n">
        <f aca="false">IF($J2019=0,0,MIN(1,$N2019/MAX(1,INDEX(ROTACAO_RDM!$K$6:$K$71,$J2019))))</f>
        <v>0.405555555555556</v>
      </c>
      <c r="P2019" s="16" t="n">
        <f aca="false">IF($J2019=0,0,IFERROR(MATCH(INDEX(ROTACAO_RDM!$N$6:$N$71,$J2019),PARAMETROS_CULTURAS!$B$6:$B$28,0),0))</f>
        <v>4</v>
      </c>
      <c r="Q2019" s="8" t="str">
        <f aca="false">IF($P2019=0,"-",IF($O2019&lt;=INDEX(PARAMETROS_CULTURAS!$F$6:$F$28,$P2019),"INICIAL",IF($O2019&lt;=INDEX(PARAMETROS_CULTURAS!$F$6:$F$28,$P2019)+INDEX(PARAMETROS_CULTURAS!$G$6:$G$28,$P2019),"DESENVOLVIMENTO",IF($O2019&lt;=INDEX(PARAMETROS_CULTURAS!$F$6:$F$28,$P2019)+INDEX(PARAMETROS_CULTURAS!$G$6:$G$28,$P2019)+INDEX(PARAMETROS_CULTURAS!$H$6:$H$28,$P2019),"MEDIA","FINAL"))))</f>
        <v>DESENVOLVIMENTO</v>
      </c>
      <c r="R2019" s="24" t="n">
        <f aca="false">IF($P2019=0,0,IF($O2019&lt;=INDEX(PARAMETROS_CULTURAS!$F$6:$F$28,$P2019),INDEX(PARAMETROS_CULTURAS!$K$6:$K$28,$P2019),IF($O2019&lt;=INDEX(PARAMETROS_CULTURAS!$F$6:$F$28,$P2019)+INDEX(PARAMETROS_CULTURAS!$G$6:$G$28,$P2019),INDEX(PARAMETROS_CULTURAS!$K$6:$K$28,$P2019)+(INDEX(PARAMETROS_CULTURAS!$L$6:$L$28,$P2019)-INDEX(PARAMETROS_CULTURAS!$K$6:$K$28,$P2019))*($O2019-INDEX(PARAMETROS_CULTURAS!$F$6:$F$28,$P2019))/MAX(INDEX(PARAMETROS_CULTURAS!$G$6:$G$28,$P2019),0.0001),IF($O2019&lt;=INDEX(PARAMETROS_CULTURAS!$F$6:$F$28,$P2019)+INDEX(PARAMETROS_CULTURAS!$G$6:$G$28,$P2019)+INDEX(PARAMETROS_CULTURAS!$H$6:$H$28,$P2019),INDEX(PARAMETROS_CULTURAS!$L$6:$L$28,$P2019),INDEX(PARAMETROS_CULTURAS!$L$6:$L$28,$P2019)+(INDEX(PARAMETROS_CULTURAS!$M$6:$M$28,$P2019)-INDEX(PARAMETROS_CULTURAS!$L$6:$L$28,$P2019))*($O2019-INDEX(PARAMETROS_CULTURAS!$F$6:$F$28,$P2019)-INDEX(PARAMETROS_CULTURAS!$G$6:$G$28,$P2019)-INDEX(PARAMETROS_CULTURAS!$H$6:$H$28,$P2019))/MAX(INDEX(PARAMETROS_CULTURAS!$I$6:$I$28,$P2019),0.0001)))))</f>
        <v>1.04794238683128</v>
      </c>
      <c r="S2019" s="18" t="n">
        <f aca="false">IFERROR(INDEX(SEMANAS!$H$6:$H$71,MATCH($B2019,SEMANAS!$B$6:$B$71,0)),0)</f>
        <v>31.5</v>
      </c>
      <c r="T2019" s="18" t="n">
        <f aca="false">$R2019*$S2019</f>
        <v>33.0101851851852</v>
      </c>
      <c r="U2019" s="18" t="n">
        <f aca="false">IFERROR(INDEX(SEMANAS!$I$6:$I$71,MATCH($B2019,SEMANAS!$B$6:$B$71,0)),0)</f>
        <v>16.31</v>
      </c>
      <c r="V2019" s="18" t="n">
        <f aca="false">IFERROR(INDEX(SEMANAS!$J$6:$J$71,MATCH($B2019,SEMANAS!$B$6:$B$71,0)),0)</f>
        <v>13.048</v>
      </c>
      <c r="W2019" s="18" t="n">
        <f aca="false">MAX(0,$T2019-$V2019)</f>
        <v>19.9621851851852</v>
      </c>
      <c r="X2019" s="19" t="n">
        <f aca="false">IFERROR(INDEX(CADASTRO_PIVOS!$K$6:$K$41,MATCH($E2019,CADASTRO_PIVOS!$B$6:$B$41,0)),EFICIENCIA_PADRAO)</f>
        <v>0.85</v>
      </c>
      <c r="Y2019" s="18" t="n">
        <f aca="false">IF($X2019&lt;=0,0,$W2019/$X2019)</f>
        <v>23.4849237472767</v>
      </c>
      <c r="Z2019" s="16" t="n">
        <f aca="false">$Y2019*$H2019*MM_PARA_M3_HA</f>
        <v>23362.8021437908</v>
      </c>
      <c r="AA2019" s="18" t="n">
        <f aca="false">IFERROR(INDEX(CADASTRO_PIVOS!$I$6:$I$41,MATCH($E2019,CADASTRO_PIVOS!$B$6:$B$41,0)),0)</f>
        <v>710.571428571429</v>
      </c>
      <c r="AB2019" s="18" t="n">
        <f aca="false">IF($Z2019&lt;=0,0,$Z2019/$AA2019)</f>
        <v>32.8788932461873</v>
      </c>
      <c r="AC2019" s="16" t="n">
        <f aca="false">IFERROR(INDEX(SEMANAS!$K$6:$K$71,MATCH($B2019,SEMANAS!$B$6:$B$71,0)),0)</f>
        <v>147</v>
      </c>
      <c r="AD2019" s="19" t="n">
        <f aca="false">IF($AC2019&lt;=0,0,$AB2019/$AC2019)</f>
        <v>0.223665940450254</v>
      </c>
      <c r="AE2019" s="8" t="str">
        <f aca="false">IF($K2019="SEM CULTURA","SEM CULTURA",IF($AA2019&lt;=0,"DADO PENDENTE",IF($AD2019&gt;LIMITE_CRITICO,"INVIAVEL",IF($AD2019&gt;LIMITE_ATENCAO,"CRITICO",IF($AD2019&gt;LIMITE_CONFORTAVEL,"ATENCAO","OK")))))</f>
        <v>OK</v>
      </c>
      <c r="AF2019" s="8" t="str">
        <f aca="false">$B2019&amp;"|"&amp;TEXT($AD2019,"0.000000")</f>
        <v>34|0.223666</v>
      </c>
      <c r="AG2019" s="18" t="n">
        <f aca="false">IF($K2019="SEM CULTURA",0,$T2019*$H2019)</f>
        <v>3283.85322222222</v>
      </c>
      <c r="AH2019" s="18" t="n">
        <f aca="false">IF($K2019="SEM CULTURA",0,$V2019*$H2019)</f>
        <v>1298.01504</v>
      </c>
      <c r="AI2019" s="18" t="n">
        <f aca="false">IF($K2019="SEM CULTURA",0,$W2019*$H2019)</f>
        <v>1985.83818222222</v>
      </c>
      <c r="AJ2019" s="18" t="n">
        <f aca="false">IF($K2019="SEM CULTURA",0,$S2019*$H2019)</f>
        <v>3133.62</v>
      </c>
      <c r="AK2019" s="8" t="str">
        <f aca="false">$E2019&amp;"|"&amp;TEXT($AD2019,"0.000000")</f>
        <v>PV 127|0.223666</v>
      </c>
    </row>
    <row r="2020" customFormat="false" ht="15" hidden="false" customHeight="false" outlineLevel="0" collapsed="false">
      <c r="B2020" s="16" t="n">
        <v>35</v>
      </c>
      <c r="C2020" s="17" t="n">
        <f aca="false">DATA_INICIO_SAFRA+($B2020-1)*DIAS_POR_SEMANA</f>
        <v>46503</v>
      </c>
      <c r="D2020" s="17" t="n">
        <f aca="false">$C2020+DIAS_POR_SEMANA-1</f>
        <v>46509</v>
      </c>
      <c r="E2020" s="15" t="s">
        <v>289</v>
      </c>
      <c r="F2020" s="8" t="str">
        <f aca="false">IFERROR(INDEX(CADASTRO_PIVOS!$C$6:$C$41,MATCH($E2020,CADASTRO_PIVOS!$B$6:$B$41,0)),"?")</f>
        <v>RM07</v>
      </c>
      <c r="G2020" s="8" t="str">
        <f aca="false">IFERROR(INDEX(CADASTRO_PIVOS!$D$6:$D$41,MATCH($E2020,CADASTRO_PIVOS!$B$6:$B$41,0)),"?")</f>
        <v>TR07</v>
      </c>
      <c r="H2020" s="20" t="n">
        <f aca="false">IFERROR(INDEX(CADASTRO_PIVOS!$E$6:$E$41,MATCH($E2020,CADASTRO_PIVOS!$B$6:$B$41,0)),0)</f>
        <v>99.48</v>
      </c>
      <c r="I2020" s="16" t="n">
        <f aca="false">IFERROR(SUMIFS(ROTACAO_RDM!$B$6:$B$71,ROTACAO_RDM!$D$6:$D$71,$E2020,ROTACAO_RDM!$I$6:$I$71,"&lt;="&amp;$C2020+INT(DIAS_POR_SEMANA/2),ROTACAO_RDM!$J$6:$J$71,"&gt;="&amp;$C2020+INT(DIAS_POR_SEMANA/2)),0)</f>
        <v>52</v>
      </c>
      <c r="J2020" s="16" t="n">
        <f aca="false">IFERROR(MATCH($I2020,ROTACAO_RDM!$B$6:$B$71,0),0)</f>
        <v>52</v>
      </c>
      <c r="K2020" s="8" t="str">
        <f aca="false">IF($J2020=0,"SEM CULTURA",INDEX(ROTACAO_RDM!$F$6:$F$71,$J2020))</f>
        <v>ALGODAO</v>
      </c>
      <c r="L2020" s="8" t="str">
        <f aca="false">IF($J2020=0,"",INDEX(ROTACAO_RDM!$G$6:$G$71,$J2020))</f>
        <v>DP 2111 B3RF</v>
      </c>
      <c r="M2020" s="17" t="n">
        <f aca="false">IF($J2020=0,"",INDEX(ROTACAO_RDM!$I$6:$I$71,$J2020))</f>
        <v>46426</v>
      </c>
      <c r="N2020" s="16" t="n">
        <f aca="false">IF($J2020=0,0,MAX(0,$C2020+INT(DIAS_POR_SEMANA/2)-INDEX(ROTACAO_RDM!$I$6:$I$71,$J2020)))</f>
        <v>80</v>
      </c>
      <c r="O2020" s="19" t="n">
        <f aca="false">IF($J2020=0,0,MIN(1,$N2020/MAX(1,INDEX(ROTACAO_RDM!$K$6:$K$71,$J2020))))</f>
        <v>0.444444444444444</v>
      </c>
      <c r="P2020" s="16" t="n">
        <f aca="false">IF($J2020=0,0,IFERROR(MATCH(INDEX(ROTACAO_RDM!$N$6:$N$71,$J2020),PARAMETROS_CULTURAS!$B$6:$B$28,0),0))</f>
        <v>4</v>
      </c>
      <c r="Q2020" s="8" t="str">
        <f aca="false">IF($P2020=0,"-",IF($O2020&lt;=INDEX(PARAMETROS_CULTURAS!$F$6:$F$28,$P2020),"INICIAL",IF($O2020&lt;=INDEX(PARAMETROS_CULTURAS!$F$6:$F$28,$P2020)+INDEX(PARAMETROS_CULTURAS!$G$6:$G$28,$P2020),"DESENVOLVIMENTO",IF($O2020&lt;=INDEX(PARAMETROS_CULTURAS!$F$6:$F$28,$P2020)+INDEX(PARAMETROS_CULTURAS!$G$6:$G$28,$P2020)+INDEX(PARAMETROS_CULTURAS!$H$6:$H$28,$P2020),"MEDIA","FINAL"))))</f>
        <v>MEDIA</v>
      </c>
      <c r="R2020" s="24" t="n">
        <f aca="false">IF($P2020=0,0,IF($O2020&lt;=INDEX(PARAMETROS_CULTURAS!$F$6:$F$28,$P2020),INDEX(PARAMETROS_CULTURAS!$K$6:$K$28,$P2020),IF($O2020&lt;=INDEX(PARAMETROS_CULTURAS!$F$6:$F$28,$P2020)+INDEX(PARAMETROS_CULTURAS!$G$6:$G$28,$P2020),INDEX(PARAMETROS_CULTURAS!$K$6:$K$28,$P2020)+(INDEX(PARAMETROS_CULTURAS!$L$6:$L$28,$P2020)-INDEX(PARAMETROS_CULTURAS!$K$6:$K$28,$P2020))*($O2020-INDEX(PARAMETROS_CULTURAS!$F$6:$F$28,$P2020))/MAX(INDEX(PARAMETROS_CULTURAS!$G$6:$G$28,$P2020),0.0001),IF($O2020&lt;=INDEX(PARAMETROS_CULTURAS!$F$6:$F$28,$P2020)+INDEX(PARAMETROS_CULTURAS!$G$6:$G$28,$P2020)+INDEX(PARAMETROS_CULTURAS!$H$6:$H$28,$P2020),INDEX(PARAMETROS_CULTURAS!$L$6:$L$28,$P2020),INDEX(PARAMETROS_CULTURAS!$L$6:$L$28,$P2020)+(INDEX(PARAMETROS_CULTURAS!$M$6:$M$28,$P2020)-INDEX(PARAMETROS_CULTURAS!$L$6:$L$28,$P2020))*($O2020-INDEX(PARAMETROS_CULTURAS!$F$6:$F$28,$P2020)-INDEX(PARAMETROS_CULTURAS!$G$6:$G$28,$P2020)-INDEX(PARAMETROS_CULTURAS!$H$6:$H$28,$P2020))/MAX(INDEX(PARAMETROS_CULTURAS!$I$6:$I$28,$P2020),0.0001)))))</f>
        <v>1.15</v>
      </c>
      <c r="S2020" s="18" t="n">
        <f aca="false">IFERROR(INDEX(SEMANAS!$H$6:$H$71,MATCH($B2020,SEMANAS!$B$6:$B$71,0)),0)</f>
        <v>30.9</v>
      </c>
      <c r="T2020" s="18" t="n">
        <f aca="false">$R2020*$S2020</f>
        <v>35.535</v>
      </c>
      <c r="U2020" s="18" t="n">
        <f aca="false">IFERROR(INDEX(SEMANAS!$I$6:$I$71,MATCH($B2020,SEMANAS!$B$6:$B$71,0)),0)</f>
        <v>12.61</v>
      </c>
      <c r="V2020" s="18" t="n">
        <f aca="false">IFERROR(INDEX(SEMANAS!$J$6:$J$71,MATCH($B2020,SEMANAS!$B$6:$B$71,0)),0)</f>
        <v>10.088</v>
      </c>
      <c r="W2020" s="18" t="n">
        <f aca="false">MAX(0,$T2020-$V2020)</f>
        <v>25.447</v>
      </c>
      <c r="X2020" s="19" t="n">
        <f aca="false">IFERROR(INDEX(CADASTRO_PIVOS!$K$6:$K$41,MATCH($E2020,CADASTRO_PIVOS!$B$6:$B$41,0)),EFICIENCIA_PADRAO)</f>
        <v>0.85</v>
      </c>
      <c r="Y2020" s="18" t="n">
        <f aca="false">IF($X2020&lt;=0,0,$W2020/$X2020)</f>
        <v>29.9376470588235</v>
      </c>
      <c r="Z2020" s="16" t="n">
        <f aca="false">$Y2020*$H2020*MM_PARA_M3_HA</f>
        <v>29781.9712941176</v>
      </c>
      <c r="AA2020" s="18" t="n">
        <f aca="false">IFERROR(INDEX(CADASTRO_PIVOS!$I$6:$I$41,MATCH($E2020,CADASTRO_PIVOS!$B$6:$B$41,0)),0)</f>
        <v>710.571428571429</v>
      </c>
      <c r="AB2020" s="18" t="n">
        <f aca="false">IF($Z2020&lt;=0,0,$Z2020/$AA2020)</f>
        <v>41.9127058823529</v>
      </c>
      <c r="AC2020" s="16" t="n">
        <f aca="false">IFERROR(INDEX(SEMANAS!$K$6:$K$71,MATCH($B2020,SEMANAS!$B$6:$B$71,0)),0)</f>
        <v>147</v>
      </c>
      <c r="AD2020" s="19" t="n">
        <f aca="false">IF($AC2020&lt;=0,0,$AB2020/$AC2020)</f>
        <v>0.285120448179272</v>
      </c>
      <c r="AE2020" s="8" t="str">
        <f aca="false">IF($K2020="SEM CULTURA","SEM CULTURA",IF($AA2020&lt;=0,"DADO PENDENTE",IF($AD2020&gt;LIMITE_CRITICO,"INVIAVEL",IF($AD2020&gt;LIMITE_ATENCAO,"CRITICO",IF($AD2020&gt;LIMITE_CONFORTAVEL,"ATENCAO","OK")))))</f>
        <v>OK</v>
      </c>
      <c r="AF2020" s="8" t="str">
        <f aca="false">$B2020&amp;"|"&amp;TEXT($AD2020,"0.000000")</f>
        <v>35|0.285120</v>
      </c>
      <c r="AG2020" s="18" t="n">
        <f aca="false">IF($K2020="SEM CULTURA",0,$T2020*$H2020)</f>
        <v>3535.0218</v>
      </c>
      <c r="AH2020" s="18" t="n">
        <f aca="false">IF($K2020="SEM CULTURA",0,$V2020*$H2020)</f>
        <v>1003.55424</v>
      </c>
      <c r="AI2020" s="18" t="n">
        <f aca="false">IF($K2020="SEM CULTURA",0,$W2020*$H2020)</f>
        <v>2531.46756</v>
      </c>
      <c r="AJ2020" s="18" t="n">
        <f aca="false">IF($K2020="SEM CULTURA",0,$S2020*$H2020)</f>
        <v>3073.932</v>
      </c>
      <c r="AK2020" s="8" t="str">
        <f aca="false">$E2020&amp;"|"&amp;TEXT($AD2020,"0.000000")</f>
        <v>PV 127|0.285120</v>
      </c>
    </row>
    <row r="2021" customFormat="false" ht="15" hidden="false" customHeight="false" outlineLevel="0" collapsed="false">
      <c r="B2021" s="16" t="n">
        <v>36</v>
      </c>
      <c r="C2021" s="17" t="n">
        <f aca="false">DATA_INICIO_SAFRA+($B2021-1)*DIAS_POR_SEMANA</f>
        <v>46510</v>
      </c>
      <c r="D2021" s="17" t="n">
        <f aca="false">$C2021+DIAS_POR_SEMANA-1</f>
        <v>46516</v>
      </c>
      <c r="E2021" s="15" t="s">
        <v>289</v>
      </c>
      <c r="F2021" s="8" t="str">
        <f aca="false">IFERROR(INDEX(CADASTRO_PIVOS!$C$6:$C$41,MATCH($E2021,CADASTRO_PIVOS!$B$6:$B$41,0)),"?")</f>
        <v>RM07</v>
      </c>
      <c r="G2021" s="8" t="str">
        <f aca="false">IFERROR(INDEX(CADASTRO_PIVOS!$D$6:$D$41,MATCH($E2021,CADASTRO_PIVOS!$B$6:$B$41,0)),"?")</f>
        <v>TR07</v>
      </c>
      <c r="H2021" s="20" t="n">
        <f aca="false">IFERROR(INDEX(CADASTRO_PIVOS!$E$6:$E$41,MATCH($E2021,CADASTRO_PIVOS!$B$6:$B$41,0)),0)</f>
        <v>99.48</v>
      </c>
      <c r="I2021" s="16" t="n">
        <f aca="false">IFERROR(SUMIFS(ROTACAO_RDM!$B$6:$B$71,ROTACAO_RDM!$D$6:$D$71,$E2021,ROTACAO_RDM!$I$6:$I$71,"&lt;="&amp;$C2021+INT(DIAS_POR_SEMANA/2),ROTACAO_RDM!$J$6:$J$71,"&gt;="&amp;$C2021+INT(DIAS_POR_SEMANA/2)),0)</f>
        <v>52</v>
      </c>
      <c r="J2021" s="16" t="n">
        <f aca="false">IFERROR(MATCH($I2021,ROTACAO_RDM!$B$6:$B$71,0),0)</f>
        <v>52</v>
      </c>
      <c r="K2021" s="8" t="str">
        <f aca="false">IF($J2021=0,"SEM CULTURA",INDEX(ROTACAO_RDM!$F$6:$F$71,$J2021))</f>
        <v>ALGODAO</v>
      </c>
      <c r="L2021" s="8" t="str">
        <f aca="false">IF($J2021=0,"",INDEX(ROTACAO_RDM!$G$6:$G$71,$J2021))</f>
        <v>DP 2111 B3RF</v>
      </c>
      <c r="M2021" s="17" t="n">
        <f aca="false">IF($J2021=0,"",INDEX(ROTACAO_RDM!$I$6:$I$71,$J2021))</f>
        <v>46426</v>
      </c>
      <c r="N2021" s="16" t="n">
        <f aca="false">IF($J2021=0,0,MAX(0,$C2021+INT(DIAS_POR_SEMANA/2)-INDEX(ROTACAO_RDM!$I$6:$I$71,$J2021)))</f>
        <v>87</v>
      </c>
      <c r="O2021" s="19" t="n">
        <f aca="false">IF($J2021=0,0,MIN(1,$N2021/MAX(1,INDEX(ROTACAO_RDM!$K$6:$K$71,$J2021))))</f>
        <v>0.483333333333333</v>
      </c>
      <c r="P2021" s="16" t="n">
        <f aca="false">IF($J2021=0,0,IFERROR(MATCH(INDEX(ROTACAO_RDM!$N$6:$N$71,$J2021),PARAMETROS_CULTURAS!$B$6:$B$28,0),0))</f>
        <v>4</v>
      </c>
      <c r="Q2021" s="8" t="str">
        <f aca="false">IF($P2021=0,"-",IF($O2021&lt;=INDEX(PARAMETROS_CULTURAS!$F$6:$F$28,$P2021),"INICIAL",IF($O2021&lt;=INDEX(PARAMETROS_CULTURAS!$F$6:$F$28,$P2021)+INDEX(PARAMETROS_CULTURAS!$G$6:$G$28,$P2021),"DESENVOLVIMENTO",IF($O2021&lt;=INDEX(PARAMETROS_CULTURAS!$F$6:$F$28,$P2021)+INDEX(PARAMETROS_CULTURAS!$G$6:$G$28,$P2021)+INDEX(PARAMETROS_CULTURAS!$H$6:$H$28,$P2021),"MEDIA","FINAL"))))</f>
        <v>MEDIA</v>
      </c>
      <c r="R2021" s="24" t="n">
        <f aca="false">IF($P2021=0,0,IF($O2021&lt;=INDEX(PARAMETROS_CULTURAS!$F$6:$F$28,$P2021),INDEX(PARAMETROS_CULTURAS!$K$6:$K$28,$P2021),IF($O2021&lt;=INDEX(PARAMETROS_CULTURAS!$F$6:$F$28,$P2021)+INDEX(PARAMETROS_CULTURAS!$G$6:$G$28,$P2021),INDEX(PARAMETROS_CULTURAS!$K$6:$K$28,$P2021)+(INDEX(PARAMETROS_CULTURAS!$L$6:$L$28,$P2021)-INDEX(PARAMETROS_CULTURAS!$K$6:$K$28,$P2021))*($O2021-INDEX(PARAMETROS_CULTURAS!$F$6:$F$28,$P2021))/MAX(INDEX(PARAMETROS_CULTURAS!$G$6:$G$28,$P2021),0.0001),IF($O2021&lt;=INDEX(PARAMETROS_CULTURAS!$F$6:$F$28,$P2021)+INDEX(PARAMETROS_CULTURAS!$G$6:$G$28,$P2021)+INDEX(PARAMETROS_CULTURAS!$H$6:$H$28,$P2021),INDEX(PARAMETROS_CULTURAS!$L$6:$L$28,$P2021),INDEX(PARAMETROS_CULTURAS!$L$6:$L$28,$P2021)+(INDEX(PARAMETROS_CULTURAS!$M$6:$M$28,$P2021)-INDEX(PARAMETROS_CULTURAS!$L$6:$L$28,$P2021))*($O2021-INDEX(PARAMETROS_CULTURAS!$F$6:$F$28,$P2021)-INDEX(PARAMETROS_CULTURAS!$G$6:$G$28,$P2021)-INDEX(PARAMETROS_CULTURAS!$H$6:$H$28,$P2021))/MAX(INDEX(PARAMETROS_CULTURAS!$I$6:$I$28,$P2021),0.0001)))))</f>
        <v>1.15</v>
      </c>
      <c r="S2021" s="18" t="n">
        <f aca="false">IFERROR(INDEX(SEMANAS!$H$6:$H$71,MATCH($B2021,SEMANAS!$B$6:$B$71,0)),0)</f>
        <v>29.4</v>
      </c>
      <c r="T2021" s="18" t="n">
        <f aca="false">$R2021*$S2021</f>
        <v>33.81</v>
      </c>
      <c r="U2021" s="18" t="n">
        <f aca="false">IFERROR(INDEX(SEMANAS!$I$6:$I$71,MATCH($B2021,SEMANAS!$B$6:$B$71,0)),0)</f>
        <v>3.36</v>
      </c>
      <c r="V2021" s="18" t="n">
        <f aca="false">IFERROR(INDEX(SEMANAS!$J$6:$J$71,MATCH($B2021,SEMANAS!$B$6:$B$71,0)),0)</f>
        <v>2.688</v>
      </c>
      <c r="W2021" s="18" t="n">
        <f aca="false">MAX(0,$T2021-$V2021)</f>
        <v>31.122</v>
      </c>
      <c r="X2021" s="19" t="n">
        <f aca="false">IFERROR(INDEX(CADASTRO_PIVOS!$K$6:$K$41,MATCH($E2021,CADASTRO_PIVOS!$B$6:$B$41,0)),EFICIENCIA_PADRAO)</f>
        <v>0.85</v>
      </c>
      <c r="Y2021" s="18" t="n">
        <f aca="false">IF($X2021&lt;=0,0,$W2021/$X2021)</f>
        <v>36.6141176470588</v>
      </c>
      <c r="Z2021" s="16" t="n">
        <f aca="false">$Y2021*$H2021*MM_PARA_M3_HA</f>
        <v>36423.7242352941</v>
      </c>
      <c r="AA2021" s="18" t="n">
        <f aca="false">IFERROR(INDEX(CADASTRO_PIVOS!$I$6:$I$41,MATCH($E2021,CADASTRO_PIVOS!$B$6:$B$41,0)),0)</f>
        <v>710.571428571429</v>
      </c>
      <c r="AB2021" s="18" t="n">
        <f aca="false">IF($Z2021&lt;=0,0,$Z2021/$AA2021)</f>
        <v>51.2597647058824</v>
      </c>
      <c r="AC2021" s="16" t="n">
        <f aca="false">IFERROR(INDEX(SEMANAS!$K$6:$K$71,MATCH($B2021,SEMANAS!$B$6:$B$71,0)),0)</f>
        <v>147</v>
      </c>
      <c r="AD2021" s="19" t="n">
        <f aca="false">IF($AC2021&lt;=0,0,$AB2021/$AC2021)</f>
        <v>0.348705882352941</v>
      </c>
      <c r="AE2021" s="8" t="str">
        <f aca="false">IF($K2021="SEM CULTURA","SEM CULTURA",IF($AA2021&lt;=0,"DADO PENDENTE",IF($AD2021&gt;LIMITE_CRITICO,"INVIAVEL",IF($AD2021&gt;LIMITE_ATENCAO,"CRITICO",IF($AD2021&gt;LIMITE_CONFORTAVEL,"ATENCAO","OK")))))</f>
        <v>OK</v>
      </c>
      <c r="AF2021" s="8" t="str">
        <f aca="false">$B2021&amp;"|"&amp;TEXT($AD2021,"0.000000")</f>
        <v>36|0.348706</v>
      </c>
      <c r="AG2021" s="18" t="n">
        <f aca="false">IF($K2021="SEM CULTURA",0,$T2021*$H2021)</f>
        <v>3363.4188</v>
      </c>
      <c r="AH2021" s="18" t="n">
        <f aca="false">IF($K2021="SEM CULTURA",0,$V2021*$H2021)</f>
        <v>267.40224</v>
      </c>
      <c r="AI2021" s="18" t="n">
        <f aca="false">IF($K2021="SEM CULTURA",0,$W2021*$H2021)</f>
        <v>3096.01656</v>
      </c>
      <c r="AJ2021" s="18" t="n">
        <f aca="false">IF($K2021="SEM CULTURA",0,$S2021*$H2021)</f>
        <v>2924.712</v>
      </c>
      <c r="AK2021" s="8" t="str">
        <f aca="false">$E2021&amp;"|"&amp;TEXT($AD2021,"0.000000")</f>
        <v>PV 127|0.348706</v>
      </c>
    </row>
    <row r="2022" customFormat="false" ht="15" hidden="false" customHeight="false" outlineLevel="0" collapsed="false">
      <c r="B2022" s="16" t="n">
        <v>37</v>
      </c>
      <c r="C2022" s="17" t="n">
        <f aca="false">DATA_INICIO_SAFRA+($B2022-1)*DIAS_POR_SEMANA</f>
        <v>46517</v>
      </c>
      <c r="D2022" s="17" t="n">
        <f aca="false">$C2022+DIAS_POR_SEMANA-1</f>
        <v>46523</v>
      </c>
      <c r="E2022" s="15" t="s">
        <v>289</v>
      </c>
      <c r="F2022" s="8" t="str">
        <f aca="false">IFERROR(INDEX(CADASTRO_PIVOS!$C$6:$C$41,MATCH($E2022,CADASTRO_PIVOS!$B$6:$B$41,0)),"?")</f>
        <v>RM07</v>
      </c>
      <c r="G2022" s="8" t="str">
        <f aca="false">IFERROR(INDEX(CADASTRO_PIVOS!$D$6:$D$41,MATCH($E2022,CADASTRO_PIVOS!$B$6:$B$41,0)),"?")</f>
        <v>TR07</v>
      </c>
      <c r="H2022" s="20" t="n">
        <f aca="false">IFERROR(INDEX(CADASTRO_PIVOS!$E$6:$E$41,MATCH($E2022,CADASTRO_PIVOS!$B$6:$B$41,0)),0)</f>
        <v>99.48</v>
      </c>
      <c r="I2022" s="16" t="n">
        <f aca="false">IFERROR(SUMIFS(ROTACAO_RDM!$B$6:$B$71,ROTACAO_RDM!$D$6:$D$71,$E2022,ROTACAO_RDM!$I$6:$I$71,"&lt;="&amp;$C2022+INT(DIAS_POR_SEMANA/2),ROTACAO_RDM!$J$6:$J$71,"&gt;="&amp;$C2022+INT(DIAS_POR_SEMANA/2)),0)</f>
        <v>52</v>
      </c>
      <c r="J2022" s="16" t="n">
        <f aca="false">IFERROR(MATCH($I2022,ROTACAO_RDM!$B$6:$B$71,0),0)</f>
        <v>52</v>
      </c>
      <c r="K2022" s="8" t="str">
        <f aca="false">IF($J2022=0,"SEM CULTURA",INDEX(ROTACAO_RDM!$F$6:$F$71,$J2022))</f>
        <v>ALGODAO</v>
      </c>
      <c r="L2022" s="8" t="str">
        <f aca="false">IF($J2022=0,"",INDEX(ROTACAO_RDM!$G$6:$G$71,$J2022))</f>
        <v>DP 2111 B3RF</v>
      </c>
      <c r="M2022" s="17" t="n">
        <f aca="false">IF($J2022=0,"",INDEX(ROTACAO_RDM!$I$6:$I$71,$J2022))</f>
        <v>46426</v>
      </c>
      <c r="N2022" s="16" t="n">
        <f aca="false">IF($J2022=0,0,MAX(0,$C2022+INT(DIAS_POR_SEMANA/2)-INDEX(ROTACAO_RDM!$I$6:$I$71,$J2022)))</f>
        <v>94</v>
      </c>
      <c r="O2022" s="19" t="n">
        <f aca="false">IF($J2022=0,0,MIN(1,$N2022/MAX(1,INDEX(ROTACAO_RDM!$K$6:$K$71,$J2022))))</f>
        <v>0.522222222222222</v>
      </c>
      <c r="P2022" s="16" t="n">
        <f aca="false">IF($J2022=0,0,IFERROR(MATCH(INDEX(ROTACAO_RDM!$N$6:$N$71,$J2022),PARAMETROS_CULTURAS!$B$6:$B$28,0),0))</f>
        <v>4</v>
      </c>
      <c r="Q2022" s="8" t="str">
        <f aca="false">IF($P2022=0,"-",IF($O2022&lt;=INDEX(PARAMETROS_CULTURAS!$F$6:$F$28,$P2022),"INICIAL",IF($O2022&lt;=INDEX(PARAMETROS_CULTURAS!$F$6:$F$28,$P2022)+INDEX(PARAMETROS_CULTURAS!$G$6:$G$28,$P2022),"DESENVOLVIMENTO",IF($O2022&lt;=INDEX(PARAMETROS_CULTURAS!$F$6:$F$28,$P2022)+INDEX(PARAMETROS_CULTURAS!$G$6:$G$28,$P2022)+INDEX(PARAMETROS_CULTURAS!$H$6:$H$28,$P2022),"MEDIA","FINAL"))))</f>
        <v>MEDIA</v>
      </c>
      <c r="R2022" s="24" t="n">
        <f aca="false">IF($P2022=0,0,IF($O2022&lt;=INDEX(PARAMETROS_CULTURAS!$F$6:$F$28,$P2022),INDEX(PARAMETROS_CULTURAS!$K$6:$K$28,$P2022),IF($O2022&lt;=INDEX(PARAMETROS_CULTURAS!$F$6:$F$28,$P2022)+INDEX(PARAMETROS_CULTURAS!$G$6:$G$28,$P2022),INDEX(PARAMETROS_CULTURAS!$K$6:$K$28,$P2022)+(INDEX(PARAMETROS_CULTURAS!$L$6:$L$28,$P2022)-INDEX(PARAMETROS_CULTURAS!$K$6:$K$28,$P2022))*($O2022-INDEX(PARAMETROS_CULTURAS!$F$6:$F$28,$P2022))/MAX(INDEX(PARAMETROS_CULTURAS!$G$6:$G$28,$P2022),0.0001),IF($O2022&lt;=INDEX(PARAMETROS_CULTURAS!$F$6:$F$28,$P2022)+INDEX(PARAMETROS_CULTURAS!$G$6:$G$28,$P2022)+INDEX(PARAMETROS_CULTURAS!$H$6:$H$28,$P2022),INDEX(PARAMETROS_CULTURAS!$L$6:$L$28,$P2022),INDEX(PARAMETROS_CULTURAS!$L$6:$L$28,$P2022)+(INDEX(PARAMETROS_CULTURAS!$M$6:$M$28,$P2022)-INDEX(PARAMETROS_CULTURAS!$L$6:$L$28,$P2022))*($O2022-INDEX(PARAMETROS_CULTURAS!$F$6:$F$28,$P2022)-INDEX(PARAMETROS_CULTURAS!$G$6:$G$28,$P2022)-INDEX(PARAMETROS_CULTURAS!$H$6:$H$28,$P2022))/MAX(INDEX(PARAMETROS_CULTURAS!$I$6:$I$28,$P2022),0.0001)))))</f>
        <v>1.15</v>
      </c>
      <c r="S2022" s="18" t="n">
        <f aca="false">IFERROR(INDEX(SEMANAS!$H$6:$H$71,MATCH($B2022,SEMANAS!$B$6:$B$71,0)),0)</f>
        <v>29.4</v>
      </c>
      <c r="T2022" s="18" t="n">
        <f aca="false">$R2022*$S2022</f>
        <v>33.81</v>
      </c>
      <c r="U2022" s="18" t="n">
        <f aca="false">IFERROR(INDEX(SEMANAS!$I$6:$I$71,MATCH($B2022,SEMANAS!$B$6:$B$71,0)),0)</f>
        <v>3.36</v>
      </c>
      <c r="V2022" s="18" t="n">
        <f aca="false">IFERROR(INDEX(SEMANAS!$J$6:$J$71,MATCH($B2022,SEMANAS!$B$6:$B$71,0)),0)</f>
        <v>2.688</v>
      </c>
      <c r="W2022" s="18" t="n">
        <f aca="false">MAX(0,$T2022-$V2022)</f>
        <v>31.122</v>
      </c>
      <c r="X2022" s="19" t="n">
        <f aca="false">IFERROR(INDEX(CADASTRO_PIVOS!$K$6:$K$41,MATCH($E2022,CADASTRO_PIVOS!$B$6:$B$41,0)),EFICIENCIA_PADRAO)</f>
        <v>0.85</v>
      </c>
      <c r="Y2022" s="18" t="n">
        <f aca="false">IF($X2022&lt;=0,0,$W2022/$X2022)</f>
        <v>36.6141176470588</v>
      </c>
      <c r="Z2022" s="16" t="n">
        <f aca="false">$Y2022*$H2022*MM_PARA_M3_HA</f>
        <v>36423.7242352941</v>
      </c>
      <c r="AA2022" s="18" t="n">
        <f aca="false">IFERROR(INDEX(CADASTRO_PIVOS!$I$6:$I$41,MATCH($E2022,CADASTRO_PIVOS!$B$6:$B$41,0)),0)</f>
        <v>710.571428571429</v>
      </c>
      <c r="AB2022" s="18" t="n">
        <f aca="false">IF($Z2022&lt;=0,0,$Z2022/$AA2022)</f>
        <v>51.2597647058824</v>
      </c>
      <c r="AC2022" s="16" t="n">
        <f aca="false">IFERROR(INDEX(SEMANAS!$K$6:$K$71,MATCH($B2022,SEMANAS!$B$6:$B$71,0)),0)</f>
        <v>147</v>
      </c>
      <c r="AD2022" s="19" t="n">
        <f aca="false">IF($AC2022&lt;=0,0,$AB2022/$AC2022)</f>
        <v>0.348705882352941</v>
      </c>
      <c r="AE2022" s="8" t="str">
        <f aca="false">IF($K2022="SEM CULTURA","SEM CULTURA",IF($AA2022&lt;=0,"DADO PENDENTE",IF($AD2022&gt;LIMITE_CRITICO,"INVIAVEL",IF($AD2022&gt;LIMITE_ATENCAO,"CRITICO",IF($AD2022&gt;LIMITE_CONFORTAVEL,"ATENCAO","OK")))))</f>
        <v>OK</v>
      </c>
      <c r="AF2022" s="8" t="str">
        <f aca="false">$B2022&amp;"|"&amp;TEXT($AD2022,"0.000000")</f>
        <v>37|0.348706</v>
      </c>
      <c r="AG2022" s="18" t="n">
        <f aca="false">IF($K2022="SEM CULTURA",0,$T2022*$H2022)</f>
        <v>3363.4188</v>
      </c>
      <c r="AH2022" s="18" t="n">
        <f aca="false">IF($K2022="SEM CULTURA",0,$V2022*$H2022)</f>
        <v>267.40224</v>
      </c>
      <c r="AI2022" s="18" t="n">
        <f aca="false">IF($K2022="SEM CULTURA",0,$W2022*$H2022)</f>
        <v>3096.01656</v>
      </c>
      <c r="AJ2022" s="18" t="n">
        <f aca="false">IF($K2022="SEM CULTURA",0,$S2022*$H2022)</f>
        <v>2924.712</v>
      </c>
      <c r="AK2022" s="8" t="str">
        <f aca="false">$E2022&amp;"|"&amp;TEXT($AD2022,"0.000000")</f>
        <v>PV 127|0.348706</v>
      </c>
    </row>
    <row r="2023" customFormat="false" ht="15" hidden="false" customHeight="false" outlineLevel="0" collapsed="false">
      <c r="B2023" s="16" t="n">
        <v>38</v>
      </c>
      <c r="C2023" s="17" t="n">
        <f aca="false">DATA_INICIO_SAFRA+($B2023-1)*DIAS_POR_SEMANA</f>
        <v>46524</v>
      </c>
      <c r="D2023" s="17" t="n">
        <f aca="false">$C2023+DIAS_POR_SEMANA-1</f>
        <v>46530</v>
      </c>
      <c r="E2023" s="15" t="s">
        <v>289</v>
      </c>
      <c r="F2023" s="8" t="str">
        <f aca="false">IFERROR(INDEX(CADASTRO_PIVOS!$C$6:$C$41,MATCH($E2023,CADASTRO_PIVOS!$B$6:$B$41,0)),"?")</f>
        <v>RM07</v>
      </c>
      <c r="G2023" s="8" t="str">
        <f aca="false">IFERROR(INDEX(CADASTRO_PIVOS!$D$6:$D$41,MATCH($E2023,CADASTRO_PIVOS!$B$6:$B$41,0)),"?")</f>
        <v>TR07</v>
      </c>
      <c r="H2023" s="20" t="n">
        <f aca="false">IFERROR(INDEX(CADASTRO_PIVOS!$E$6:$E$41,MATCH($E2023,CADASTRO_PIVOS!$B$6:$B$41,0)),0)</f>
        <v>99.48</v>
      </c>
      <c r="I2023" s="16" t="n">
        <f aca="false">IFERROR(SUMIFS(ROTACAO_RDM!$B$6:$B$71,ROTACAO_RDM!$D$6:$D$71,$E2023,ROTACAO_RDM!$I$6:$I$71,"&lt;="&amp;$C2023+INT(DIAS_POR_SEMANA/2),ROTACAO_RDM!$J$6:$J$71,"&gt;="&amp;$C2023+INT(DIAS_POR_SEMANA/2)),0)</f>
        <v>52</v>
      </c>
      <c r="J2023" s="16" t="n">
        <f aca="false">IFERROR(MATCH($I2023,ROTACAO_RDM!$B$6:$B$71,0),0)</f>
        <v>52</v>
      </c>
      <c r="K2023" s="8" t="str">
        <f aca="false">IF($J2023=0,"SEM CULTURA",INDEX(ROTACAO_RDM!$F$6:$F$71,$J2023))</f>
        <v>ALGODAO</v>
      </c>
      <c r="L2023" s="8" t="str">
        <f aca="false">IF($J2023=0,"",INDEX(ROTACAO_RDM!$G$6:$G$71,$J2023))</f>
        <v>DP 2111 B3RF</v>
      </c>
      <c r="M2023" s="17" t="n">
        <f aca="false">IF($J2023=0,"",INDEX(ROTACAO_RDM!$I$6:$I$71,$J2023))</f>
        <v>46426</v>
      </c>
      <c r="N2023" s="16" t="n">
        <f aca="false">IF($J2023=0,0,MAX(0,$C2023+INT(DIAS_POR_SEMANA/2)-INDEX(ROTACAO_RDM!$I$6:$I$71,$J2023)))</f>
        <v>101</v>
      </c>
      <c r="O2023" s="19" t="n">
        <f aca="false">IF($J2023=0,0,MIN(1,$N2023/MAX(1,INDEX(ROTACAO_RDM!$K$6:$K$71,$J2023))))</f>
        <v>0.561111111111111</v>
      </c>
      <c r="P2023" s="16" t="n">
        <f aca="false">IF($J2023=0,0,IFERROR(MATCH(INDEX(ROTACAO_RDM!$N$6:$N$71,$J2023),PARAMETROS_CULTURAS!$B$6:$B$28,0),0))</f>
        <v>4</v>
      </c>
      <c r="Q2023" s="8" t="str">
        <f aca="false">IF($P2023=0,"-",IF($O2023&lt;=INDEX(PARAMETROS_CULTURAS!$F$6:$F$28,$P2023),"INICIAL",IF($O2023&lt;=INDEX(PARAMETROS_CULTURAS!$F$6:$F$28,$P2023)+INDEX(PARAMETROS_CULTURAS!$G$6:$G$28,$P2023),"DESENVOLVIMENTO",IF($O2023&lt;=INDEX(PARAMETROS_CULTURAS!$F$6:$F$28,$P2023)+INDEX(PARAMETROS_CULTURAS!$G$6:$G$28,$P2023)+INDEX(PARAMETROS_CULTURAS!$H$6:$H$28,$P2023),"MEDIA","FINAL"))))</f>
        <v>MEDIA</v>
      </c>
      <c r="R2023" s="24" t="n">
        <f aca="false">IF($P2023=0,0,IF($O2023&lt;=INDEX(PARAMETROS_CULTURAS!$F$6:$F$28,$P2023),INDEX(PARAMETROS_CULTURAS!$K$6:$K$28,$P2023),IF($O2023&lt;=INDEX(PARAMETROS_CULTURAS!$F$6:$F$28,$P2023)+INDEX(PARAMETROS_CULTURAS!$G$6:$G$28,$P2023),INDEX(PARAMETROS_CULTURAS!$K$6:$K$28,$P2023)+(INDEX(PARAMETROS_CULTURAS!$L$6:$L$28,$P2023)-INDEX(PARAMETROS_CULTURAS!$K$6:$K$28,$P2023))*($O2023-INDEX(PARAMETROS_CULTURAS!$F$6:$F$28,$P2023))/MAX(INDEX(PARAMETROS_CULTURAS!$G$6:$G$28,$P2023),0.0001),IF($O2023&lt;=INDEX(PARAMETROS_CULTURAS!$F$6:$F$28,$P2023)+INDEX(PARAMETROS_CULTURAS!$G$6:$G$28,$P2023)+INDEX(PARAMETROS_CULTURAS!$H$6:$H$28,$P2023),INDEX(PARAMETROS_CULTURAS!$L$6:$L$28,$P2023),INDEX(PARAMETROS_CULTURAS!$L$6:$L$28,$P2023)+(INDEX(PARAMETROS_CULTURAS!$M$6:$M$28,$P2023)-INDEX(PARAMETROS_CULTURAS!$L$6:$L$28,$P2023))*($O2023-INDEX(PARAMETROS_CULTURAS!$F$6:$F$28,$P2023)-INDEX(PARAMETROS_CULTURAS!$G$6:$G$28,$P2023)-INDEX(PARAMETROS_CULTURAS!$H$6:$H$28,$P2023))/MAX(INDEX(PARAMETROS_CULTURAS!$I$6:$I$28,$P2023),0.0001)))))</f>
        <v>1.15</v>
      </c>
      <c r="S2023" s="18" t="n">
        <f aca="false">IFERROR(INDEX(SEMANAS!$H$6:$H$71,MATCH($B2023,SEMANAS!$B$6:$B$71,0)),0)</f>
        <v>29.4</v>
      </c>
      <c r="T2023" s="18" t="n">
        <f aca="false">$R2023*$S2023</f>
        <v>33.81</v>
      </c>
      <c r="U2023" s="18" t="n">
        <f aca="false">IFERROR(INDEX(SEMANAS!$I$6:$I$71,MATCH($B2023,SEMANAS!$B$6:$B$71,0)),0)</f>
        <v>3.36</v>
      </c>
      <c r="V2023" s="18" t="n">
        <f aca="false">IFERROR(INDEX(SEMANAS!$J$6:$J$71,MATCH($B2023,SEMANAS!$B$6:$B$71,0)),0)</f>
        <v>2.688</v>
      </c>
      <c r="W2023" s="18" t="n">
        <f aca="false">MAX(0,$T2023-$V2023)</f>
        <v>31.122</v>
      </c>
      <c r="X2023" s="19" t="n">
        <f aca="false">IFERROR(INDEX(CADASTRO_PIVOS!$K$6:$K$41,MATCH($E2023,CADASTRO_PIVOS!$B$6:$B$41,0)),EFICIENCIA_PADRAO)</f>
        <v>0.85</v>
      </c>
      <c r="Y2023" s="18" t="n">
        <f aca="false">IF($X2023&lt;=0,0,$W2023/$X2023)</f>
        <v>36.6141176470588</v>
      </c>
      <c r="Z2023" s="16" t="n">
        <f aca="false">$Y2023*$H2023*MM_PARA_M3_HA</f>
        <v>36423.7242352941</v>
      </c>
      <c r="AA2023" s="18" t="n">
        <f aca="false">IFERROR(INDEX(CADASTRO_PIVOS!$I$6:$I$41,MATCH($E2023,CADASTRO_PIVOS!$B$6:$B$41,0)),0)</f>
        <v>710.571428571429</v>
      </c>
      <c r="AB2023" s="18" t="n">
        <f aca="false">IF($Z2023&lt;=0,0,$Z2023/$AA2023)</f>
        <v>51.2597647058824</v>
      </c>
      <c r="AC2023" s="16" t="n">
        <f aca="false">IFERROR(INDEX(SEMANAS!$K$6:$K$71,MATCH($B2023,SEMANAS!$B$6:$B$71,0)),0)</f>
        <v>147</v>
      </c>
      <c r="AD2023" s="19" t="n">
        <f aca="false">IF($AC2023&lt;=0,0,$AB2023/$AC2023)</f>
        <v>0.348705882352941</v>
      </c>
      <c r="AE2023" s="8" t="str">
        <f aca="false">IF($K2023="SEM CULTURA","SEM CULTURA",IF($AA2023&lt;=0,"DADO PENDENTE",IF($AD2023&gt;LIMITE_CRITICO,"INVIAVEL",IF($AD2023&gt;LIMITE_ATENCAO,"CRITICO",IF($AD2023&gt;LIMITE_CONFORTAVEL,"ATENCAO","OK")))))</f>
        <v>OK</v>
      </c>
      <c r="AF2023" s="8" t="str">
        <f aca="false">$B2023&amp;"|"&amp;TEXT($AD2023,"0.000000")</f>
        <v>38|0.348706</v>
      </c>
      <c r="AG2023" s="18" t="n">
        <f aca="false">IF($K2023="SEM CULTURA",0,$T2023*$H2023)</f>
        <v>3363.4188</v>
      </c>
      <c r="AH2023" s="18" t="n">
        <f aca="false">IF($K2023="SEM CULTURA",0,$V2023*$H2023)</f>
        <v>267.40224</v>
      </c>
      <c r="AI2023" s="18" t="n">
        <f aca="false">IF($K2023="SEM CULTURA",0,$W2023*$H2023)</f>
        <v>3096.01656</v>
      </c>
      <c r="AJ2023" s="18" t="n">
        <f aca="false">IF($K2023="SEM CULTURA",0,$S2023*$H2023)</f>
        <v>2924.712</v>
      </c>
      <c r="AK2023" s="8" t="str">
        <f aca="false">$E2023&amp;"|"&amp;TEXT($AD2023,"0.000000")</f>
        <v>PV 127|0.348706</v>
      </c>
    </row>
    <row r="2024" customFormat="false" ht="15" hidden="false" customHeight="false" outlineLevel="0" collapsed="false">
      <c r="B2024" s="16" t="n">
        <v>39</v>
      </c>
      <c r="C2024" s="17" t="n">
        <f aca="false">DATA_INICIO_SAFRA+($B2024-1)*DIAS_POR_SEMANA</f>
        <v>46531</v>
      </c>
      <c r="D2024" s="17" t="n">
        <f aca="false">$C2024+DIAS_POR_SEMANA-1</f>
        <v>46537</v>
      </c>
      <c r="E2024" s="15" t="s">
        <v>289</v>
      </c>
      <c r="F2024" s="8" t="str">
        <f aca="false">IFERROR(INDEX(CADASTRO_PIVOS!$C$6:$C$41,MATCH($E2024,CADASTRO_PIVOS!$B$6:$B$41,0)),"?")</f>
        <v>RM07</v>
      </c>
      <c r="G2024" s="8" t="str">
        <f aca="false">IFERROR(INDEX(CADASTRO_PIVOS!$D$6:$D$41,MATCH($E2024,CADASTRO_PIVOS!$B$6:$B$41,0)),"?")</f>
        <v>TR07</v>
      </c>
      <c r="H2024" s="20" t="n">
        <f aca="false">IFERROR(INDEX(CADASTRO_PIVOS!$E$6:$E$41,MATCH($E2024,CADASTRO_PIVOS!$B$6:$B$41,0)),0)</f>
        <v>99.48</v>
      </c>
      <c r="I2024" s="16" t="n">
        <f aca="false">IFERROR(SUMIFS(ROTACAO_RDM!$B$6:$B$71,ROTACAO_RDM!$D$6:$D$71,$E2024,ROTACAO_RDM!$I$6:$I$71,"&lt;="&amp;$C2024+INT(DIAS_POR_SEMANA/2),ROTACAO_RDM!$J$6:$J$71,"&gt;="&amp;$C2024+INT(DIAS_POR_SEMANA/2)),0)</f>
        <v>52</v>
      </c>
      <c r="J2024" s="16" t="n">
        <f aca="false">IFERROR(MATCH($I2024,ROTACAO_RDM!$B$6:$B$71,0),0)</f>
        <v>52</v>
      </c>
      <c r="K2024" s="8" t="str">
        <f aca="false">IF($J2024=0,"SEM CULTURA",INDEX(ROTACAO_RDM!$F$6:$F$71,$J2024))</f>
        <v>ALGODAO</v>
      </c>
      <c r="L2024" s="8" t="str">
        <f aca="false">IF($J2024=0,"",INDEX(ROTACAO_RDM!$G$6:$G$71,$J2024))</f>
        <v>DP 2111 B3RF</v>
      </c>
      <c r="M2024" s="17" t="n">
        <f aca="false">IF($J2024=0,"",INDEX(ROTACAO_RDM!$I$6:$I$71,$J2024))</f>
        <v>46426</v>
      </c>
      <c r="N2024" s="16" t="n">
        <f aca="false">IF($J2024=0,0,MAX(0,$C2024+INT(DIAS_POR_SEMANA/2)-INDEX(ROTACAO_RDM!$I$6:$I$71,$J2024)))</f>
        <v>108</v>
      </c>
      <c r="O2024" s="19" t="n">
        <f aca="false">IF($J2024=0,0,MIN(1,$N2024/MAX(1,INDEX(ROTACAO_RDM!$K$6:$K$71,$J2024))))</f>
        <v>0.6</v>
      </c>
      <c r="P2024" s="16" t="n">
        <f aca="false">IF($J2024=0,0,IFERROR(MATCH(INDEX(ROTACAO_RDM!$N$6:$N$71,$J2024),PARAMETROS_CULTURAS!$B$6:$B$28,0),0))</f>
        <v>4</v>
      </c>
      <c r="Q2024" s="8" t="str">
        <f aca="false">IF($P2024=0,"-",IF($O2024&lt;=INDEX(PARAMETROS_CULTURAS!$F$6:$F$28,$P2024),"INICIAL",IF($O2024&lt;=INDEX(PARAMETROS_CULTURAS!$F$6:$F$28,$P2024)+INDEX(PARAMETROS_CULTURAS!$G$6:$G$28,$P2024),"DESENVOLVIMENTO",IF($O2024&lt;=INDEX(PARAMETROS_CULTURAS!$F$6:$F$28,$P2024)+INDEX(PARAMETROS_CULTURAS!$G$6:$G$28,$P2024)+INDEX(PARAMETROS_CULTURAS!$H$6:$H$28,$P2024),"MEDIA","FINAL"))))</f>
        <v>MEDIA</v>
      </c>
      <c r="R2024" s="24" t="n">
        <f aca="false">IF($P2024=0,0,IF($O2024&lt;=INDEX(PARAMETROS_CULTURAS!$F$6:$F$28,$P2024),INDEX(PARAMETROS_CULTURAS!$K$6:$K$28,$P2024),IF($O2024&lt;=INDEX(PARAMETROS_CULTURAS!$F$6:$F$28,$P2024)+INDEX(PARAMETROS_CULTURAS!$G$6:$G$28,$P2024),INDEX(PARAMETROS_CULTURAS!$K$6:$K$28,$P2024)+(INDEX(PARAMETROS_CULTURAS!$L$6:$L$28,$P2024)-INDEX(PARAMETROS_CULTURAS!$K$6:$K$28,$P2024))*($O2024-INDEX(PARAMETROS_CULTURAS!$F$6:$F$28,$P2024))/MAX(INDEX(PARAMETROS_CULTURAS!$G$6:$G$28,$P2024),0.0001),IF($O2024&lt;=INDEX(PARAMETROS_CULTURAS!$F$6:$F$28,$P2024)+INDEX(PARAMETROS_CULTURAS!$G$6:$G$28,$P2024)+INDEX(PARAMETROS_CULTURAS!$H$6:$H$28,$P2024),INDEX(PARAMETROS_CULTURAS!$L$6:$L$28,$P2024),INDEX(PARAMETROS_CULTURAS!$L$6:$L$28,$P2024)+(INDEX(PARAMETROS_CULTURAS!$M$6:$M$28,$P2024)-INDEX(PARAMETROS_CULTURAS!$L$6:$L$28,$P2024))*($O2024-INDEX(PARAMETROS_CULTURAS!$F$6:$F$28,$P2024)-INDEX(PARAMETROS_CULTURAS!$G$6:$G$28,$P2024)-INDEX(PARAMETROS_CULTURAS!$H$6:$H$28,$P2024))/MAX(INDEX(PARAMETROS_CULTURAS!$I$6:$I$28,$P2024),0.0001)))))</f>
        <v>1.15</v>
      </c>
      <c r="S2024" s="18" t="n">
        <f aca="false">IFERROR(INDEX(SEMANAS!$H$6:$H$71,MATCH($B2024,SEMANAS!$B$6:$B$71,0)),0)</f>
        <v>29.4</v>
      </c>
      <c r="T2024" s="18" t="n">
        <f aca="false">$R2024*$S2024</f>
        <v>33.81</v>
      </c>
      <c r="U2024" s="18" t="n">
        <f aca="false">IFERROR(INDEX(SEMANAS!$I$6:$I$71,MATCH($B2024,SEMANAS!$B$6:$B$71,0)),0)</f>
        <v>3.36</v>
      </c>
      <c r="V2024" s="18" t="n">
        <f aca="false">IFERROR(INDEX(SEMANAS!$J$6:$J$71,MATCH($B2024,SEMANAS!$B$6:$B$71,0)),0)</f>
        <v>2.688</v>
      </c>
      <c r="W2024" s="18" t="n">
        <f aca="false">MAX(0,$T2024-$V2024)</f>
        <v>31.122</v>
      </c>
      <c r="X2024" s="19" t="n">
        <f aca="false">IFERROR(INDEX(CADASTRO_PIVOS!$K$6:$K$41,MATCH($E2024,CADASTRO_PIVOS!$B$6:$B$41,0)),EFICIENCIA_PADRAO)</f>
        <v>0.85</v>
      </c>
      <c r="Y2024" s="18" t="n">
        <f aca="false">IF($X2024&lt;=0,0,$W2024/$X2024)</f>
        <v>36.6141176470588</v>
      </c>
      <c r="Z2024" s="16" t="n">
        <f aca="false">$Y2024*$H2024*MM_PARA_M3_HA</f>
        <v>36423.7242352941</v>
      </c>
      <c r="AA2024" s="18" t="n">
        <f aca="false">IFERROR(INDEX(CADASTRO_PIVOS!$I$6:$I$41,MATCH($E2024,CADASTRO_PIVOS!$B$6:$B$41,0)),0)</f>
        <v>710.571428571429</v>
      </c>
      <c r="AB2024" s="18" t="n">
        <f aca="false">IF($Z2024&lt;=0,0,$Z2024/$AA2024)</f>
        <v>51.2597647058824</v>
      </c>
      <c r="AC2024" s="16" t="n">
        <f aca="false">IFERROR(INDEX(SEMANAS!$K$6:$K$71,MATCH($B2024,SEMANAS!$B$6:$B$71,0)),0)</f>
        <v>147</v>
      </c>
      <c r="AD2024" s="19" t="n">
        <f aca="false">IF($AC2024&lt;=0,0,$AB2024/$AC2024)</f>
        <v>0.348705882352941</v>
      </c>
      <c r="AE2024" s="8" t="str">
        <f aca="false">IF($K2024="SEM CULTURA","SEM CULTURA",IF($AA2024&lt;=0,"DADO PENDENTE",IF($AD2024&gt;LIMITE_CRITICO,"INVIAVEL",IF($AD2024&gt;LIMITE_ATENCAO,"CRITICO",IF($AD2024&gt;LIMITE_CONFORTAVEL,"ATENCAO","OK")))))</f>
        <v>OK</v>
      </c>
      <c r="AF2024" s="8" t="str">
        <f aca="false">$B2024&amp;"|"&amp;TEXT($AD2024,"0.000000")</f>
        <v>39|0.348706</v>
      </c>
      <c r="AG2024" s="18" t="n">
        <f aca="false">IF($K2024="SEM CULTURA",0,$T2024*$H2024)</f>
        <v>3363.4188</v>
      </c>
      <c r="AH2024" s="18" t="n">
        <f aca="false">IF($K2024="SEM CULTURA",0,$V2024*$H2024)</f>
        <v>267.40224</v>
      </c>
      <c r="AI2024" s="18" t="n">
        <f aca="false">IF($K2024="SEM CULTURA",0,$W2024*$H2024)</f>
        <v>3096.01656</v>
      </c>
      <c r="AJ2024" s="18" t="n">
        <f aca="false">IF($K2024="SEM CULTURA",0,$S2024*$H2024)</f>
        <v>2924.712</v>
      </c>
      <c r="AK2024" s="8" t="str">
        <f aca="false">$E2024&amp;"|"&amp;TEXT($AD2024,"0.000000")</f>
        <v>PV 127|0.348706</v>
      </c>
    </row>
    <row r="2025" customFormat="false" ht="15" hidden="false" customHeight="false" outlineLevel="0" collapsed="false">
      <c r="B2025" s="16" t="n">
        <v>40</v>
      </c>
      <c r="C2025" s="17" t="n">
        <f aca="false">DATA_INICIO_SAFRA+($B2025-1)*DIAS_POR_SEMANA</f>
        <v>46538</v>
      </c>
      <c r="D2025" s="17" t="n">
        <f aca="false">$C2025+DIAS_POR_SEMANA-1</f>
        <v>46544</v>
      </c>
      <c r="E2025" s="15" t="s">
        <v>289</v>
      </c>
      <c r="F2025" s="8" t="str">
        <f aca="false">IFERROR(INDEX(CADASTRO_PIVOS!$C$6:$C$41,MATCH($E2025,CADASTRO_PIVOS!$B$6:$B$41,0)),"?")</f>
        <v>RM07</v>
      </c>
      <c r="G2025" s="8" t="str">
        <f aca="false">IFERROR(INDEX(CADASTRO_PIVOS!$D$6:$D$41,MATCH($E2025,CADASTRO_PIVOS!$B$6:$B$41,0)),"?")</f>
        <v>TR07</v>
      </c>
      <c r="H2025" s="20" t="n">
        <f aca="false">IFERROR(INDEX(CADASTRO_PIVOS!$E$6:$E$41,MATCH($E2025,CADASTRO_PIVOS!$B$6:$B$41,0)),0)</f>
        <v>99.48</v>
      </c>
      <c r="I2025" s="16" t="n">
        <f aca="false">IFERROR(SUMIFS(ROTACAO_RDM!$B$6:$B$71,ROTACAO_RDM!$D$6:$D$71,$E2025,ROTACAO_RDM!$I$6:$I$71,"&lt;="&amp;$C2025+INT(DIAS_POR_SEMANA/2),ROTACAO_RDM!$J$6:$J$71,"&gt;="&amp;$C2025+INT(DIAS_POR_SEMANA/2)),0)</f>
        <v>52</v>
      </c>
      <c r="J2025" s="16" t="n">
        <f aca="false">IFERROR(MATCH($I2025,ROTACAO_RDM!$B$6:$B$71,0),0)</f>
        <v>52</v>
      </c>
      <c r="K2025" s="8" t="str">
        <f aca="false">IF($J2025=0,"SEM CULTURA",INDEX(ROTACAO_RDM!$F$6:$F$71,$J2025))</f>
        <v>ALGODAO</v>
      </c>
      <c r="L2025" s="8" t="str">
        <f aca="false">IF($J2025=0,"",INDEX(ROTACAO_RDM!$G$6:$G$71,$J2025))</f>
        <v>DP 2111 B3RF</v>
      </c>
      <c r="M2025" s="17" t="n">
        <f aca="false">IF($J2025=0,"",INDEX(ROTACAO_RDM!$I$6:$I$71,$J2025))</f>
        <v>46426</v>
      </c>
      <c r="N2025" s="16" t="n">
        <f aca="false">IF($J2025=0,0,MAX(0,$C2025+INT(DIAS_POR_SEMANA/2)-INDEX(ROTACAO_RDM!$I$6:$I$71,$J2025)))</f>
        <v>115</v>
      </c>
      <c r="O2025" s="19" t="n">
        <f aca="false">IF($J2025=0,0,MIN(1,$N2025/MAX(1,INDEX(ROTACAO_RDM!$K$6:$K$71,$J2025))))</f>
        <v>0.638888888888889</v>
      </c>
      <c r="P2025" s="16" t="n">
        <f aca="false">IF($J2025=0,0,IFERROR(MATCH(INDEX(ROTACAO_RDM!$N$6:$N$71,$J2025),PARAMETROS_CULTURAS!$B$6:$B$28,0),0))</f>
        <v>4</v>
      </c>
      <c r="Q2025" s="8" t="str">
        <f aca="false">IF($P2025=0,"-",IF($O2025&lt;=INDEX(PARAMETROS_CULTURAS!$F$6:$F$28,$P2025),"INICIAL",IF($O2025&lt;=INDEX(PARAMETROS_CULTURAS!$F$6:$F$28,$P2025)+INDEX(PARAMETROS_CULTURAS!$G$6:$G$28,$P2025),"DESENVOLVIMENTO",IF($O2025&lt;=INDEX(PARAMETROS_CULTURAS!$F$6:$F$28,$P2025)+INDEX(PARAMETROS_CULTURAS!$G$6:$G$28,$P2025)+INDEX(PARAMETROS_CULTURAS!$H$6:$H$28,$P2025),"MEDIA","FINAL"))))</f>
        <v>MEDIA</v>
      </c>
      <c r="R2025" s="24" t="n">
        <f aca="false">IF($P2025=0,0,IF($O2025&lt;=INDEX(PARAMETROS_CULTURAS!$F$6:$F$28,$P2025),INDEX(PARAMETROS_CULTURAS!$K$6:$K$28,$P2025),IF($O2025&lt;=INDEX(PARAMETROS_CULTURAS!$F$6:$F$28,$P2025)+INDEX(PARAMETROS_CULTURAS!$G$6:$G$28,$P2025),INDEX(PARAMETROS_CULTURAS!$K$6:$K$28,$P2025)+(INDEX(PARAMETROS_CULTURAS!$L$6:$L$28,$P2025)-INDEX(PARAMETROS_CULTURAS!$K$6:$K$28,$P2025))*($O2025-INDEX(PARAMETROS_CULTURAS!$F$6:$F$28,$P2025))/MAX(INDEX(PARAMETROS_CULTURAS!$G$6:$G$28,$P2025),0.0001),IF($O2025&lt;=INDEX(PARAMETROS_CULTURAS!$F$6:$F$28,$P2025)+INDEX(PARAMETROS_CULTURAS!$G$6:$G$28,$P2025)+INDEX(PARAMETROS_CULTURAS!$H$6:$H$28,$P2025),INDEX(PARAMETROS_CULTURAS!$L$6:$L$28,$P2025),INDEX(PARAMETROS_CULTURAS!$L$6:$L$28,$P2025)+(INDEX(PARAMETROS_CULTURAS!$M$6:$M$28,$P2025)-INDEX(PARAMETROS_CULTURAS!$L$6:$L$28,$P2025))*($O2025-INDEX(PARAMETROS_CULTURAS!$F$6:$F$28,$P2025)-INDEX(PARAMETROS_CULTURAS!$G$6:$G$28,$P2025)-INDEX(PARAMETROS_CULTURAS!$H$6:$H$28,$P2025))/MAX(INDEX(PARAMETROS_CULTURAS!$I$6:$I$28,$P2025),0.0001)))))</f>
        <v>1.15</v>
      </c>
      <c r="S2025" s="18" t="n">
        <f aca="false">IFERROR(INDEX(SEMANAS!$H$6:$H$71,MATCH($B2025,SEMANAS!$B$6:$B$71,0)),0)</f>
        <v>28.2</v>
      </c>
      <c r="T2025" s="18" t="n">
        <f aca="false">$R2025*$S2025</f>
        <v>32.43</v>
      </c>
      <c r="U2025" s="18" t="n">
        <f aca="false">IFERROR(INDEX(SEMANAS!$I$6:$I$71,MATCH($B2025,SEMANAS!$B$6:$B$71,0)),0)</f>
        <v>1.5</v>
      </c>
      <c r="V2025" s="18" t="n">
        <f aca="false">IFERROR(INDEX(SEMANAS!$J$6:$J$71,MATCH($B2025,SEMANAS!$B$6:$B$71,0)),0)</f>
        <v>1.2</v>
      </c>
      <c r="W2025" s="18" t="n">
        <f aca="false">MAX(0,$T2025-$V2025)</f>
        <v>31.23</v>
      </c>
      <c r="X2025" s="19" t="n">
        <f aca="false">IFERROR(INDEX(CADASTRO_PIVOS!$K$6:$K$41,MATCH($E2025,CADASTRO_PIVOS!$B$6:$B$41,0)),EFICIENCIA_PADRAO)</f>
        <v>0.85</v>
      </c>
      <c r="Y2025" s="18" t="n">
        <f aca="false">IF($X2025&lt;=0,0,$W2025/$X2025)</f>
        <v>36.7411764705882</v>
      </c>
      <c r="Z2025" s="16" t="n">
        <f aca="false">$Y2025*$H2025*MM_PARA_M3_HA</f>
        <v>36550.1223529412</v>
      </c>
      <c r="AA2025" s="18" t="n">
        <f aca="false">IFERROR(INDEX(CADASTRO_PIVOS!$I$6:$I$41,MATCH($E2025,CADASTRO_PIVOS!$B$6:$B$41,0)),0)</f>
        <v>710.571428571429</v>
      </c>
      <c r="AB2025" s="18" t="n">
        <f aca="false">IF($Z2025&lt;=0,0,$Z2025/$AA2025)</f>
        <v>51.4376470588235</v>
      </c>
      <c r="AC2025" s="16" t="n">
        <f aca="false">IFERROR(INDEX(SEMANAS!$K$6:$K$71,MATCH($B2025,SEMANAS!$B$6:$B$71,0)),0)</f>
        <v>147</v>
      </c>
      <c r="AD2025" s="19" t="n">
        <f aca="false">IF($AC2025&lt;=0,0,$AB2025/$AC2025)</f>
        <v>0.349915966386555</v>
      </c>
      <c r="AE2025" s="8" t="str">
        <f aca="false">IF($K2025="SEM CULTURA","SEM CULTURA",IF($AA2025&lt;=0,"DADO PENDENTE",IF($AD2025&gt;LIMITE_CRITICO,"INVIAVEL",IF($AD2025&gt;LIMITE_ATENCAO,"CRITICO",IF($AD2025&gt;LIMITE_CONFORTAVEL,"ATENCAO","OK")))))</f>
        <v>OK</v>
      </c>
      <c r="AF2025" s="8" t="str">
        <f aca="false">$B2025&amp;"|"&amp;TEXT($AD2025,"0.000000")</f>
        <v>40|0.349916</v>
      </c>
      <c r="AG2025" s="18" t="n">
        <f aca="false">IF($K2025="SEM CULTURA",0,$T2025*$H2025)</f>
        <v>3226.1364</v>
      </c>
      <c r="AH2025" s="18" t="n">
        <f aca="false">IF($K2025="SEM CULTURA",0,$V2025*$H2025)</f>
        <v>119.376</v>
      </c>
      <c r="AI2025" s="18" t="n">
        <f aca="false">IF($K2025="SEM CULTURA",0,$W2025*$H2025)</f>
        <v>3106.7604</v>
      </c>
      <c r="AJ2025" s="18" t="n">
        <f aca="false">IF($K2025="SEM CULTURA",0,$S2025*$H2025)</f>
        <v>2805.336</v>
      </c>
      <c r="AK2025" s="8" t="str">
        <f aca="false">$E2025&amp;"|"&amp;TEXT($AD2025,"0.000000")</f>
        <v>PV 127|0.349916</v>
      </c>
    </row>
    <row r="2026" customFormat="false" ht="15" hidden="false" customHeight="false" outlineLevel="0" collapsed="false">
      <c r="B2026" s="16" t="n">
        <v>41</v>
      </c>
      <c r="C2026" s="17" t="n">
        <f aca="false">DATA_INICIO_SAFRA+($B2026-1)*DIAS_POR_SEMANA</f>
        <v>46545</v>
      </c>
      <c r="D2026" s="17" t="n">
        <f aca="false">$C2026+DIAS_POR_SEMANA-1</f>
        <v>46551</v>
      </c>
      <c r="E2026" s="15" t="s">
        <v>289</v>
      </c>
      <c r="F2026" s="8" t="str">
        <f aca="false">IFERROR(INDEX(CADASTRO_PIVOS!$C$6:$C$41,MATCH($E2026,CADASTRO_PIVOS!$B$6:$B$41,0)),"?")</f>
        <v>RM07</v>
      </c>
      <c r="G2026" s="8" t="str">
        <f aca="false">IFERROR(INDEX(CADASTRO_PIVOS!$D$6:$D$41,MATCH($E2026,CADASTRO_PIVOS!$B$6:$B$41,0)),"?")</f>
        <v>TR07</v>
      </c>
      <c r="H2026" s="20" t="n">
        <f aca="false">IFERROR(INDEX(CADASTRO_PIVOS!$E$6:$E$41,MATCH($E2026,CADASTRO_PIVOS!$B$6:$B$41,0)),0)</f>
        <v>99.48</v>
      </c>
      <c r="I2026" s="16" t="n">
        <f aca="false">IFERROR(SUMIFS(ROTACAO_RDM!$B$6:$B$71,ROTACAO_RDM!$D$6:$D$71,$E2026,ROTACAO_RDM!$I$6:$I$71,"&lt;="&amp;$C2026+INT(DIAS_POR_SEMANA/2),ROTACAO_RDM!$J$6:$J$71,"&gt;="&amp;$C2026+INT(DIAS_POR_SEMANA/2)),0)</f>
        <v>52</v>
      </c>
      <c r="J2026" s="16" t="n">
        <f aca="false">IFERROR(MATCH($I2026,ROTACAO_RDM!$B$6:$B$71,0),0)</f>
        <v>52</v>
      </c>
      <c r="K2026" s="8" t="str">
        <f aca="false">IF($J2026=0,"SEM CULTURA",INDEX(ROTACAO_RDM!$F$6:$F$71,$J2026))</f>
        <v>ALGODAO</v>
      </c>
      <c r="L2026" s="8" t="str">
        <f aca="false">IF($J2026=0,"",INDEX(ROTACAO_RDM!$G$6:$G$71,$J2026))</f>
        <v>DP 2111 B3RF</v>
      </c>
      <c r="M2026" s="17" t="n">
        <f aca="false">IF($J2026=0,"",INDEX(ROTACAO_RDM!$I$6:$I$71,$J2026))</f>
        <v>46426</v>
      </c>
      <c r="N2026" s="16" t="n">
        <f aca="false">IF($J2026=0,0,MAX(0,$C2026+INT(DIAS_POR_SEMANA/2)-INDEX(ROTACAO_RDM!$I$6:$I$71,$J2026)))</f>
        <v>122</v>
      </c>
      <c r="O2026" s="19" t="n">
        <f aca="false">IF($J2026=0,0,MIN(1,$N2026/MAX(1,INDEX(ROTACAO_RDM!$K$6:$K$71,$J2026))))</f>
        <v>0.677777777777778</v>
      </c>
      <c r="P2026" s="16" t="n">
        <f aca="false">IF($J2026=0,0,IFERROR(MATCH(INDEX(ROTACAO_RDM!$N$6:$N$71,$J2026),PARAMETROS_CULTURAS!$B$6:$B$28,0),0))</f>
        <v>4</v>
      </c>
      <c r="Q2026" s="8" t="str">
        <f aca="false">IF($P2026=0,"-",IF($O2026&lt;=INDEX(PARAMETROS_CULTURAS!$F$6:$F$28,$P2026),"INICIAL",IF($O2026&lt;=INDEX(PARAMETROS_CULTURAS!$F$6:$F$28,$P2026)+INDEX(PARAMETROS_CULTURAS!$G$6:$G$28,$P2026),"DESENVOLVIMENTO",IF($O2026&lt;=INDEX(PARAMETROS_CULTURAS!$F$6:$F$28,$P2026)+INDEX(PARAMETROS_CULTURAS!$G$6:$G$28,$P2026)+INDEX(PARAMETROS_CULTURAS!$H$6:$H$28,$P2026),"MEDIA","FINAL"))))</f>
        <v>MEDIA</v>
      </c>
      <c r="R2026" s="24" t="n">
        <f aca="false">IF($P2026=0,0,IF($O2026&lt;=INDEX(PARAMETROS_CULTURAS!$F$6:$F$28,$P2026),INDEX(PARAMETROS_CULTURAS!$K$6:$K$28,$P2026),IF($O2026&lt;=INDEX(PARAMETROS_CULTURAS!$F$6:$F$28,$P2026)+INDEX(PARAMETROS_CULTURAS!$G$6:$G$28,$P2026),INDEX(PARAMETROS_CULTURAS!$K$6:$K$28,$P2026)+(INDEX(PARAMETROS_CULTURAS!$L$6:$L$28,$P2026)-INDEX(PARAMETROS_CULTURAS!$K$6:$K$28,$P2026))*($O2026-INDEX(PARAMETROS_CULTURAS!$F$6:$F$28,$P2026))/MAX(INDEX(PARAMETROS_CULTURAS!$G$6:$G$28,$P2026),0.0001),IF($O2026&lt;=INDEX(PARAMETROS_CULTURAS!$F$6:$F$28,$P2026)+INDEX(PARAMETROS_CULTURAS!$G$6:$G$28,$P2026)+INDEX(PARAMETROS_CULTURAS!$H$6:$H$28,$P2026),INDEX(PARAMETROS_CULTURAS!$L$6:$L$28,$P2026),INDEX(PARAMETROS_CULTURAS!$L$6:$L$28,$P2026)+(INDEX(PARAMETROS_CULTURAS!$M$6:$M$28,$P2026)-INDEX(PARAMETROS_CULTURAS!$L$6:$L$28,$P2026))*($O2026-INDEX(PARAMETROS_CULTURAS!$F$6:$F$28,$P2026)-INDEX(PARAMETROS_CULTURAS!$G$6:$G$28,$P2026)-INDEX(PARAMETROS_CULTURAS!$H$6:$H$28,$P2026))/MAX(INDEX(PARAMETROS_CULTURAS!$I$6:$I$28,$P2026),0.0001)))))</f>
        <v>1.15</v>
      </c>
      <c r="S2026" s="18" t="n">
        <f aca="false">IFERROR(INDEX(SEMANAS!$H$6:$H$71,MATCH($B2026,SEMANAS!$B$6:$B$71,0)),0)</f>
        <v>28</v>
      </c>
      <c r="T2026" s="18" t="n">
        <f aca="false">$R2026*$S2026</f>
        <v>32.2</v>
      </c>
      <c r="U2026" s="18" t="n">
        <f aca="false">IFERROR(INDEX(SEMANAS!$I$6:$I$71,MATCH($B2026,SEMANAS!$B$6:$B$71,0)),0)</f>
        <v>1.19</v>
      </c>
      <c r="V2026" s="18" t="n">
        <f aca="false">IFERROR(INDEX(SEMANAS!$J$6:$J$71,MATCH($B2026,SEMANAS!$B$6:$B$71,0)),0)</f>
        <v>0.952</v>
      </c>
      <c r="W2026" s="18" t="n">
        <f aca="false">MAX(0,$T2026-$V2026)</f>
        <v>31.248</v>
      </c>
      <c r="X2026" s="19" t="n">
        <f aca="false">IFERROR(INDEX(CADASTRO_PIVOS!$K$6:$K$41,MATCH($E2026,CADASTRO_PIVOS!$B$6:$B$41,0)),EFICIENCIA_PADRAO)</f>
        <v>0.85</v>
      </c>
      <c r="Y2026" s="18" t="n">
        <f aca="false">IF($X2026&lt;=0,0,$W2026/$X2026)</f>
        <v>36.7623529411765</v>
      </c>
      <c r="Z2026" s="16" t="n">
        <f aca="false">$Y2026*$H2026*MM_PARA_M3_HA</f>
        <v>36571.1887058824</v>
      </c>
      <c r="AA2026" s="18" t="n">
        <f aca="false">IFERROR(INDEX(CADASTRO_PIVOS!$I$6:$I$41,MATCH($E2026,CADASTRO_PIVOS!$B$6:$B$41,0)),0)</f>
        <v>710.571428571429</v>
      </c>
      <c r="AB2026" s="18" t="n">
        <f aca="false">IF($Z2026&lt;=0,0,$Z2026/$AA2026)</f>
        <v>51.4672941176471</v>
      </c>
      <c r="AC2026" s="16" t="n">
        <f aca="false">IFERROR(INDEX(SEMANAS!$K$6:$K$71,MATCH($B2026,SEMANAS!$B$6:$B$71,0)),0)</f>
        <v>147</v>
      </c>
      <c r="AD2026" s="19" t="n">
        <f aca="false">IF($AC2026&lt;=0,0,$AB2026/$AC2026)</f>
        <v>0.350117647058824</v>
      </c>
      <c r="AE2026" s="8" t="str">
        <f aca="false">IF($K2026="SEM CULTURA","SEM CULTURA",IF($AA2026&lt;=0,"DADO PENDENTE",IF($AD2026&gt;LIMITE_CRITICO,"INVIAVEL",IF($AD2026&gt;LIMITE_ATENCAO,"CRITICO",IF($AD2026&gt;LIMITE_CONFORTAVEL,"ATENCAO","OK")))))</f>
        <v>OK</v>
      </c>
      <c r="AF2026" s="8" t="str">
        <f aca="false">$B2026&amp;"|"&amp;TEXT($AD2026,"0.000000")</f>
        <v>41|0.350118</v>
      </c>
      <c r="AG2026" s="18" t="n">
        <f aca="false">IF($K2026="SEM CULTURA",0,$T2026*$H2026)</f>
        <v>3203.256</v>
      </c>
      <c r="AH2026" s="18" t="n">
        <f aca="false">IF($K2026="SEM CULTURA",0,$V2026*$H2026)</f>
        <v>94.70496</v>
      </c>
      <c r="AI2026" s="18" t="n">
        <f aca="false">IF($K2026="SEM CULTURA",0,$W2026*$H2026)</f>
        <v>3108.55104</v>
      </c>
      <c r="AJ2026" s="18" t="n">
        <f aca="false">IF($K2026="SEM CULTURA",0,$S2026*$H2026)</f>
        <v>2785.44</v>
      </c>
      <c r="AK2026" s="8" t="str">
        <f aca="false">$E2026&amp;"|"&amp;TEXT($AD2026,"0.000000")</f>
        <v>PV 127|0.350118</v>
      </c>
    </row>
    <row r="2027" customFormat="false" ht="15" hidden="false" customHeight="false" outlineLevel="0" collapsed="false">
      <c r="B2027" s="16" t="n">
        <v>42</v>
      </c>
      <c r="C2027" s="17" t="n">
        <f aca="false">DATA_INICIO_SAFRA+($B2027-1)*DIAS_POR_SEMANA</f>
        <v>46552</v>
      </c>
      <c r="D2027" s="17" t="n">
        <f aca="false">$C2027+DIAS_POR_SEMANA-1</f>
        <v>46558</v>
      </c>
      <c r="E2027" s="15" t="s">
        <v>289</v>
      </c>
      <c r="F2027" s="8" t="str">
        <f aca="false">IFERROR(INDEX(CADASTRO_PIVOS!$C$6:$C$41,MATCH($E2027,CADASTRO_PIVOS!$B$6:$B$41,0)),"?")</f>
        <v>RM07</v>
      </c>
      <c r="G2027" s="8" t="str">
        <f aca="false">IFERROR(INDEX(CADASTRO_PIVOS!$D$6:$D$41,MATCH($E2027,CADASTRO_PIVOS!$B$6:$B$41,0)),"?")</f>
        <v>TR07</v>
      </c>
      <c r="H2027" s="20" t="n">
        <f aca="false">IFERROR(INDEX(CADASTRO_PIVOS!$E$6:$E$41,MATCH($E2027,CADASTRO_PIVOS!$B$6:$B$41,0)),0)</f>
        <v>99.48</v>
      </c>
      <c r="I2027" s="16" t="n">
        <f aca="false">IFERROR(SUMIFS(ROTACAO_RDM!$B$6:$B$71,ROTACAO_RDM!$D$6:$D$71,$E2027,ROTACAO_RDM!$I$6:$I$71,"&lt;="&amp;$C2027+INT(DIAS_POR_SEMANA/2),ROTACAO_RDM!$J$6:$J$71,"&gt;="&amp;$C2027+INT(DIAS_POR_SEMANA/2)),0)</f>
        <v>52</v>
      </c>
      <c r="J2027" s="16" t="n">
        <f aca="false">IFERROR(MATCH($I2027,ROTACAO_RDM!$B$6:$B$71,0),0)</f>
        <v>52</v>
      </c>
      <c r="K2027" s="8" t="str">
        <f aca="false">IF($J2027=0,"SEM CULTURA",INDEX(ROTACAO_RDM!$F$6:$F$71,$J2027))</f>
        <v>ALGODAO</v>
      </c>
      <c r="L2027" s="8" t="str">
        <f aca="false">IF($J2027=0,"",INDEX(ROTACAO_RDM!$G$6:$G$71,$J2027))</f>
        <v>DP 2111 B3RF</v>
      </c>
      <c r="M2027" s="17" t="n">
        <f aca="false">IF($J2027=0,"",INDEX(ROTACAO_RDM!$I$6:$I$71,$J2027))</f>
        <v>46426</v>
      </c>
      <c r="N2027" s="16" t="n">
        <f aca="false">IF($J2027=0,0,MAX(0,$C2027+INT(DIAS_POR_SEMANA/2)-INDEX(ROTACAO_RDM!$I$6:$I$71,$J2027)))</f>
        <v>129</v>
      </c>
      <c r="O2027" s="19" t="n">
        <f aca="false">IF($J2027=0,0,MIN(1,$N2027/MAX(1,INDEX(ROTACAO_RDM!$K$6:$K$71,$J2027))))</f>
        <v>0.716666666666667</v>
      </c>
      <c r="P2027" s="16" t="n">
        <f aca="false">IF($J2027=0,0,IFERROR(MATCH(INDEX(ROTACAO_RDM!$N$6:$N$71,$J2027),PARAMETROS_CULTURAS!$B$6:$B$28,0),0))</f>
        <v>4</v>
      </c>
      <c r="Q2027" s="8" t="str">
        <f aca="false">IF($P2027=0,"-",IF($O2027&lt;=INDEX(PARAMETROS_CULTURAS!$F$6:$F$28,$P2027),"INICIAL",IF($O2027&lt;=INDEX(PARAMETROS_CULTURAS!$F$6:$F$28,$P2027)+INDEX(PARAMETROS_CULTURAS!$G$6:$G$28,$P2027),"DESENVOLVIMENTO",IF($O2027&lt;=INDEX(PARAMETROS_CULTURAS!$F$6:$F$28,$P2027)+INDEX(PARAMETROS_CULTURAS!$G$6:$G$28,$P2027)+INDEX(PARAMETROS_CULTURAS!$H$6:$H$28,$P2027),"MEDIA","FINAL"))))</f>
        <v>MEDIA</v>
      </c>
      <c r="R2027" s="24" t="n">
        <f aca="false">IF($P2027=0,0,IF($O2027&lt;=INDEX(PARAMETROS_CULTURAS!$F$6:$F$28,$P2027),INDEX(PARAMETROS_CULTURAS!$K$6:$K$28,$P2027),IF($O2027&lt;=INDEX(PARAMETROS_CULTURAS!$F$6:$F$28,$P2027)+INDEX(PARAMETROS_CULTURAS!$G$6:$G$28,$P2027),INDEX(PARAMETROS_CULTURAS!$K$6:$K$28,$P2027)+(INDEX(PARAMETROS_CULTURAS!$L$6:$L$28,$P2027)-INDEX(PARAMETROS_CULTURAS!$K$6:$K$28,$P2027))*($O2027-INDEX(PARAMETROS_CULTURAS!$F$6:$F$28,$P2027))/MAX(INDEX(PARAMETROS_CULTURAS!$G$6:$G$28,$P2027),0.0001),IF($O2027&lt;=INDEX(PARAMETROS_CULTURAS!$F$6:$F$28,$P2027)+INDEX(PARAMETROS_CULTURAS!$G$6:$G$28,$P2027)+INDEX(PARAMETROS_CULTURAS!$H$6:$H$28,$P2027),INDEX(PARAMETROS_CULTURAS!$L$6:$L$28,$P2027),INDEX(PARAMETROS_CULTURAS!$L$6:$L$28,$P2027)+(INDEX(PARAMETROS_CULTURAS!$M$6:$M$28,$P2027)-INDEX(PARAMETROS_CULTURAS!$L$6:$L$28,$P2027))*($O2027-INDEX(PARAMETROS_CULTURAS!$F$6:$F$28,$P2027)-INDEX(PARAMETROS_CULTURAS!$G$6:$G$28,$P2027)-INDEX(PARAMETROS_CULTURAS!$H$6:$H$28,$P2027))/MAX(INDEX(PARAMETROS_CULTURAS!$I$6:$I$28,$P2027),0.0001)))))</f>
        <v>1.15</v>
      </c>
      <c r="S2027" s="18" t="n">
        <f aca="false">IFERROR(INDEX(SEMANAS!$H$6:$H$71,MATCH($B2027,SEMANAS!$B$6:$B$71,0)),0)</f>
        <v>28</v>
      </c>
      <c r="T2027" s="18" t="n">
        <f aca="false">$R2027*$S2027</f>
        <v>32.2</v>
      </c>
      <c r="U2027" s="18" t="n">
        <f aca="false">IFERROR(INDEX(SEMANAS!$I$6:$I$71,MATCH($B2027,SEMANAS!$B$6:$B$71,0)),0)</f>
        <v>1.19</v>
      </c>
      <c r="V2027" s="18" t="n">
        <f aca="false">IFERROR(INDEX(SEMANAS!$J$6:$J$71,MATCH($B2027,SEMANAS!$B$6:$B$71,0)),0)</f>
        <v>0.952</v>
      </c>
      <c r="W2027" s="18" t="n">
        <f aca="false">MAX(0,$T2027-$V2027)</f>
        <v>31.248</v>
      </c>
      <c r="X2027" s="19" t="n">
        <f aca="false">IFERROR(INDEX(CADASTRO_PIVOS!$K$6:$K$41,MATCH($E2027,CADASTRO_PIVOS!$B$6:$B$41,0)),EFICIENCIA_PADRAO)</f>
        <v>0.85</v>
      </c>
      <c r="Y2027" s="18" t="n">
        <f aca="false">IF($X2027&lt;=0,0,$W2027/$X2027)</f>
        <v>36.7623529411765</v>
      </c>
      <c r="Z2027" s="16" t="n">
        <f aca="false">$Y2027*$H2027*MM_PARA_M3_HA</f>
        <v>36571.1887058824</v>
      </c>
      <c r="AA2027" s="18" t="n">
        <f aca="false">IFERROR(INDEX(CADASTRO_PIVOS!$I$6:$I$41,MATCH($E2027,CADASTRO_PIVOS!$B$6:$B$41,0)),0)</f>
        <v>710.571428571429</v>
      </c>
      <c r="AB2027" s="18" t="n">
        <f aca="false">IF($Z2027&lt;=0,0,$Z2027/$AA2027)</f>
        <v>51.4672941176471</v>
      </c>
      <c r="AC2027" s="16" t="n">
        <f aca="false">IFERROR(INDEX(SEMANAS!$K$6:$K$71,MATCH($B2027,SEMANAS!$B$6:$B$71,0)),0)</f>
        <v>147</v>
      </c>
      <c r="AD2027" s="19" t="n">
        <f aca="false">IF($AC2027&lt;=0,0,$AB2027/$AC2027)</f>
        <v>0.350117647058824</v>
      </c>
      <c r="AE2027" s="8" t="str">
        <f aca="false">IF($K2027="SEM CULTURA","SEM CULTURA",IF($AA2027&lt;=0,"DADO PENDENTE",IF($AD2027&gt;LIMITE_CRITICO,"INVIAVEL",IF($AD2027&gt;LIMITE_ATENCAO,"CRITICO",IF($AD2027&gt;LIMITE_CONFORTAVEL,"ATENCAO","OK")))))</f>
        <v>OK</v>
      </c>
      <c r="AF2027" s="8" t="str">
        <f aca="false">$B2027&amp;"|"&amp;TEXT($AD2027,"0.000000")</f>
        <v>42|0.350118</v>
      </c>
      <c r="AG2027" s="18" t="n">
        <f aca="false">IF($K2027="SEM CULTURA",0,$T2027*$H2027)</f>
        <v>3203.256</v>
      </c>
      <c r="AH2027" s="18" t="n">
        <f aca="false">IF($K2027="SEM CULTURA",0,$V2027*$H2027)</f>
        <v>94.70496</v>
      </c>
      <c r="AI2027" s="18" t="n">
        <f aca="false">IF($K2027="SEM CULTURA",0,$W2027*$H2027)</f>
        <v>3108.55104</v>
      </c>
      <c r="AJ2027" s="18" t="n">
        <f aca="false">IF($K2027="SEM CULTURA",0,$S2027*$H2027)</f>
        <v>2785.44</v>
      </c>
      <c r="AK2027" s="8" t="str">
        <f aca="false">$E2027&amp;"|"&amp;TEXT($AD2027,"0.000000")</f>
        <v>PV 127|0.350118</v>
      </c>
    </row>
    <row r="2028" customFormat="false" ht="15" hidden="false" customHeight="false" outlineLevel="0" collapsed="false">
      <c r="B2028" s="16" t="n">
        <v>43</v>
      </c>
      <c r="C2028" s="17" t="n">
        <f aca="false">DATA_INICIO_SAFRA+($B2028-1)*DIAS_POR_SEMANA</f>
        <v>46559</v>
      </c>
      <c r="D2028" s="17" t="n">
        <f aca="false">$C2028+DIAS_POR_SEMANA-1</f>
        <v>46565</v>
      </c>
      <c r="E2028" s="15" t="s">
        <v>289</v>
      </c>
      <c r="F2028" s="8" t="str">
        <f aca="false">IFERROR(INDEX(CADASTRO_PIVOS!$C$6:$C$41,MATCH($E2028,CADASTRO_PIVOS!$B$6:$B$41,0)),"?")</f>
        <v>RM07</v>
      </c>
      <c r="G2028" s="8" t="str">
        <f aca="false">IFERROR(INDEX(CADASTRO_PIVOS!$D$6:$D$41,MATCH($E2028,CADASTRO_PIVOS!$B$6:$B$41,0)),"?")</f>
        <v>TR07</v>
      </c>
      <c r="H2028" s="20" t="n">
        <f aca="false">IFERROR(INDEX(CADASTRO_PIVOS!$E$6:$E$41,MATCH($E2028,CADASTRO_PIVOS!$B$6:$B$41,0)),0)</f>
        <v>99.48</v>
      </c>
      <c r="I2028" s="16" t="n">
        <f aca="false">IFERROR(SUMIFS(ROTACAO_RDM!$B$6:$B$71,ROTACAO_RDM!$D$6:$D$71,$E2028,ROTACAO_RDM!$I$6:$I$71,"&lt;="&amp;$C2028+INT(DIAS_POR_SEMANA/2),ROTACAO_RDM!$J$6:$J$71,"&gt;="&amp;$C2028+INT(DIAS_POR_SEMANA/2)),0)</f>
        <v>52</v>
      </c>
      <c r="J2028" s="16" t="n">
        <f aca="false">IFERROR(MATCH($I2028,ROTACAO_RDM!$B$6:$B$71,0),0)</f>
        <v>52</v>
      </c>
      <c r="K2028" s="8" t="str">
        <f aca="false">IF($J2028=0,"SEM CULTURA",INDEX(ROTACAO_RDM!$F$6:$F$71,$J2028))</f>
        <v>ALGODAO</v>
      </c>
      <c r="L2028" s="8" t="str">
        <f aca="false">IF($J2028=0,"",INDEX(ROTACAO_RDM!$G$6:$G$71,$J2028))</f>
        <v>DP 2111 B3RF</v>
      </c>
      <c r="M2028" s="17" t="n">
        <f aca="false">IF($J2028=0,"",INDEX(ROTACAO_RDM!$I$6:$I$71,$J2028))</f>
        <v>46426</v>
      </c>
      <c r="N2028" s="16" t="n">
        <f aca="false">IF($J2028=0,0,MAX(0,$C2028+INT(DIAS_POR_SEMANA/2)-INDEX(ROTACAO_RDM!$I$6:$I$71,$J2028)))</f>
        <v>136</v>
      </c>
      <c r="O2028" s="19" t="n">
        <f aca="false">IF($J2028=0,0,MIN(1,$N2028/MAX(1,INDEX(ROTACAO_RDM!$K$6:$K$71,$J2028))))</f>
        <v>0.755555555555556</v>
      </c>
      <c r="P2028" s="16" t="n">
        <f aca="false">IF($J2028=0,0,IFERROR(MATCH(INDEX(ROTACAO_RDM!$N$6:$N$71,$J2028),PARAMETROS_CULTURAS!$B$6:$B$28,0),0))</f>
        <v>4</v>
      </c>
      <c r="Q2028" s="8" t="str">
        <f aca="false">IF($P2028=0,"-",IF($O2028&lt;=INDEX(PARAMETROS_CULTURAS!$F$6:$F$28,$P2028),"INICIAL",IF($O2028&lt;=INDEX(PARAMETROS_CULTURAS!$F$6:$F$28,$P2028)+INDEX(PARAMETROS_CULTURAS!$G$6:$G$28,$P2028),"DESENVOLVIMENTO",IF($O2028&lt;=INDEX(PARAMETROS_CULTURAS!$F$6:$F$28,$P2028)+INDEX(PARAMETROS_CULTURAS!$G$6:$G$28,$P2028)+INDEX(PARAMETROS_CULTURAS!$H$6:$H$28,$P2028),"MEDIA","FINAL"))))</f>
        <v>FINAL</v>
      </c>
      <c r="R2028" s="24" t="n">
        <f aca="false">IF($P2028=0,0,IF($O2028&lt;=INDEX(PARAMETROS_CULTURAS!$F$6:$F$28,$P2028),INDEX(PARAMETROS_CULTURAS!$K$6:$K$28,$P2028),IF($O2028&lt;=INDEX(PARAMETROS_CULTURAS!$F$6:$F$28,$P2028)+INDEX(PARAMETROS_CULTURAS!$G$6:$G$28,$P2028),INDEX(PARAMETROS_CULTURAS!$K$6:$K$28,$P2028)+(INDEX(PARAMETROS_CULTURAS!$L$6:$L$28,$P2028)-INDEX(PARAMETROS_CULTURAS!$K$6:$K$28,$P2028))*($O2028-INDEX(PARAMETROS_CULTURAS!$F$6:$F$28,$P2028))/MAX(INDEX(PARAMETROS_CULTURAS!$G$6:$G$28,$P2028),0.0001),IF($O2028&lt;=INDEX(PARAMETROS_CULTURAS!$F$6:$F$28,$P2028)+INDEX(PARAMETROS_CULTURAS!$G$6:$G$28,$P2028)+INDEX(PARAMETROS_CULTURAS!$H$6:$H$28,$P2028),INDEX(PARAMETROS_CULTURAS!$L$6:$L$28,$P2028),INDEX(PARAMETROS_CULTURAS!$L$6:$L$28,$P2028)+(INDEX(PARAMETROS_CULTURAS!$M$6:$M$28,$P2028)-INDEX(PARAMETROS_CULTURAS!$L$6:$L$28,$P2028))*($O2028-INDEX(PARAMETROS_CULTURAS!$F$6:$F$28,$P2028)-INDEX(PARAMETROS_CULTURAS!$G$6:$G$28,$P2028)-INDEX(PARAMETROS_CULTURAS!$H$6:$H$28,$P2028))/MAX(INDEX(PARAMETROS_CULTURAS!$I$6:$I$28,$P2028),0.0001)))))</f>
        <v>1.13777777777778</v>
      </c>
      <c r="S2028" s="18" t="n">
        <f aca="false">IFERROR(INDEX(SEMANAS!$H$6:$H$71,MATCH($B2028,SEMANAS!$B$6:$B$71,0)),0)</f>
        <v>28</v>
      </c>
      <c r="T2028" s="18" t="n">
        <f aca="false">$R2028*$S2028</f>
        <v>31.8577777777778</v>
      </c>
      <c r="U2028" s="18" t="n">
        <f aca="false">IFERROR(INDEX(SEMANAS!$I$6:$I$71,MATCH($B2028,SEMANAS!$B$6:$B$71,0)),0)</f>
        <v>1.19</v>
      </c>
      <c r="V2028" s="18" t="n">
        <f aca="false">IFERROR(INDEX(SEMANAS!$J$6:$J$71,MATCH($B2028,SEMANAS!$B$6:$B$71,0)),0)</f>
        <v>0.952</v>
      </c>
      <c r="W2028" s="18" t="n">
        <f aca="false">MAX(0,$T2028-$V2028)</f>
        <v>30.9057777777778</v>
      </c>
      <c r="X2028" s="19" t="n">
        <f aca="false">IFERROR(INDEX(CADASTRO_PIVOS!$K$6:$K$41,MATCH($E2028,CADASTRO_PIVOS!$B$6:$B$41,0)),EFICIENCIA_PADRAO)</f>
        <v>0.85</v>
      </c>
      <c r="Y2028" s="18" t="n">
        <f aca="false">IF($X2028&lt;=0,0,$W2028/$X2028)</f>
        <v>36.3597385620915</v>
      </c>
      <c r="Z2028" s="16" t="n">
        <f aca="false">$Y2028*$H2028*MM_PARA_M3_HA</f>
        <v>36170.6679215686</v>
      </c>
      <c r="AA2028" s="18" t="n">
        <f aca="false">IFERROR(INDEX(CADASTRO_PIVOS!$I$6:$I$41,MATCH($E2028,CADASTRO_PIVOS!$B$6:$B$41,0)),0)</f>
        <v>710.571428571429</v>
      </c>
      <c r="AB2028" s="18" t="n">
        <f aca="false">IF($Z2028&lt;=0,0,$Z2028/$AA2028)</f>
        <v>50.9036339869281</v>
      </c>
      <c r="AC2028" s="16" t="n">
        <f aca="false">IFERROR(INDEX(SEMANAS!$K$6:$K$71,MATCH($B2028,SEMANAS!$B$6:$B$71,0)),0)</f>
        <v>147</v>
      </c>
      <c r="AD2028" s="19" t="n">
        <f aca="false">IF($AC2028&lt;=0,0,$AB2028/$AC2028)</f>
        <v>0.346283224400871</v>
      </c>
      <c r="AE2028" s="8" t="str">
        <f aca="false">IF($K2028="SEM CULTURA","SEM CULTURA",IF($AA2028&lt;=0,"DADO PENDENTE",IF($AD2028&gt;LIMITE_CRITICO,"INVIAVEL",IF($AD2028&gt;LIMITE_ATENCAO,"CRITICO",IF($AD2028&gt;LIMITE_CONFORTAVEL,"ATENCAO","OK")))))</f>
        <v>OK</v>
      </c>
      <c r="AF2028" s="8" t="str">
        <f aca="false">$B2028&amp;"|"&amp;TEXT($AD2028,"0.000000")</f>
        <v>43|0.346283</v>
      </c>
      <c r="AG2028" s="18" t="n">
        <f aca="false">IF($K2028="SEM CULTURA",0,$T2028*$H2028)</f>
        <v>3169.21173333333</v>
      </c>
      <c r="AH2028" s="18" t="n">
        <f aca="false">IF($K2028="SEM CULTURA",0,$V2028*$H2028)</f>
        <v>94.70496</v>
      </c>
      <c r="AI2028" s="18" t="n">
        <f aca="false">IF($K2028="SEM CULTURA",0,$W2028*$H2028)</f>
        <v>3074.50677333333</v>
      </c>
      <c r="AJ2028" s="18" t="n">
        <f aca="false">IF($K2028="SEM CULTURA",0,$S2028*$H2028)</f>
        <v>2785.44</v>
      </c>
      <c r="AK2028" s="8" t="str">
        <f aca="false">$E2028&amp;"|"&amp;TEXT($AD2028,"0.000000")</f>
        <v>PV 127|0.346283</v>
      </c>
    </row>
    <row r="2029" customFormat="false" ht="15" hidden="false" customHeight="false" outlineLevel="0" collapsed="false">
      <c r="B2029" s="16" t="n">
        <v>44</v>
      </c>
      <c r="C2029" s="17" t="n">
        <f aca="false">DATA_INICIO_SAFRA+($B2029-1)*DIAS_POR_SEMANA</f>
        <v>46566</v>
      </c>
      <c r="D2029" s="17" t="n">
        <f aca="false">$C2029+DIAS_POR_SEMANA-1</f>
        <v>46572</v>
      </c>
      <c r="E2029" s="15" t="s">
        <v>289</v>
      </c>
      <c r="F2029" s="8" t="str">
        <f aca="false">IFERROR(INDEX(CADASTRO_PIVOS!$C$6:$C$41,MATCH($E2029,CADASTRO_PIVOS!$B$6:$B$41,0)),"?")</f>
        <v>RM07</v>
      </c>
      <c r="G2029" s="8" t="str">
        <f aca="false">IFERROR(INDEX(CADASTRO_PIVOS!$D$6:$D$41,MATCH($E2029,CADASTRO_PIVOS!$B$6:$B$41,0)),"?")</f>
        <v>TR07</v>
      </c>
      <c r="H2029" s="20" t="n">
        <f aca="false">IFERROR(INDEX(CADASTRO_PIVOS!$E$6:$E$41,MATCH($E2029,CADASTRO_PIVOS!$B$6:$B$41,0)),0)</f>
        <v>99.48</v>
      </c>
      <c r="I2029" s="16" t="n">
        <f aca="false">IFERROR(SUMIFS(ROTACAO_RDM!$B$6:$B$71,ROTACAO_RDM!$D$6:$D$71,$E2029,ROTACAO_RDM!$I$6:$I$71,"&lt;="&amp;$C2029+INT(DIAS_POR_SEMANA/2),ROTACAO_RDM!$J$6:$J$71,"&gt;="&amp;$C2029+INT(DIAS_POR_SEMANA/2)),0)</f>
        <v>52</v>
      </c>
      <c r="J2029" s="16" t="n">
        <f aca="false">IFERROR(MATCH($I2029,ROTACAO_RDM!$B$6:$B$71,0),0)</f>
        <v>52</v>
      </c>
      <c r="K2029" s="8" t="str">
        <f aca="false">IF($J2029=0,"SEM CULTURA",INDEX(ROTACAO_RDM!$F$6:$F$71,$J2029))</f>
        <v>ALGODAO</v>
      </c>
      <c r="L2029" s="8" t="str">
        <f aca="false">IF($J2029=0,"",INDEX(ROTACAO_RDM!$G$6:$G$71,$J2029))</f>
        <v>DP 2111 B3RF</v>
      </c>
      <c r="M2029" s="17" t="n">
        <f aca="false">IF($J2029=0,"",INDEX(ROTACAO_RDM!$I$6:$I$71,$J2029))</f>
        <v>46426</v>
      </c>
      <c r="N2029" s="16" t="n">
        <f aca="false">IF($J2029=0,0,MAX(0,$C2029+INT(DIAS_POR_SEMANA/2)-INDEX(ROTACAO_RDM!$I$6:$I$71,$J2029)))</f>
        <v>143</v>
      </c>
      <c r="O2029" s="19" t="n">
        <f aca="false">IF($J2029=0,0,MIN(1,$N2029/MAX(1,INDEX(ROTACAO_RDM!$K$6:$K$71,$J2029))))</f>
        <v>0.794444444444444</v>
      </c>
      <c r="P2029" s="16" t="n">
        <f aca="false">IF($J2029=0,0,IFERROR(MATCH(INDEX(ROTACAO_RDM!$N$6:$N$71,$J2029),PARAMETROS_CULTURAS!$B$6:$B$28,0),0))</f>
        <v>4</v>
      </c>
      <c r="Q2029" s="8" t="str">
        <f aca="false">IF($P2029=0,"-",IF($O2029&lt;=INDEX(PARAMETROS_CULTURAS!$F$6:$F$28,$P2029),"INICIAL",IF($O2029&lt;=INDEX(PARAMETROS_CULTURAS!$F$6:$F$28,$P2029)+INDEX(PARAMETROS_CULTURAS!$G$6:$G$28,$P2029),"DESENVOLVIMENTO",IF($O2029&lt;=INDEX(PARAMETROS_CULTURAS!$F$6:$F$28,$P2029)+INDEX(PARAMETROS_CULTURAS!$G$6:$G$28,$P2029)+INDEX(PARAMETROS_CULTURAS!$H$6:$H$28,$P2029),"MEDIA","FINAL"))))</f>
        <v>FINAL</v>
      </c>
      <c r="R2029" s="24" t="n">
        <f aca="false">IF($P2029=0,0,IF($O2029&lt;=INDEX(PARAMETROS_CULTURAS!$F$6:$F$28,$P2029),INDEX(PARAMETROS_CULTURAS!$K$6:$K$28,$P2029),IF($O2029&lt;=INDEX(PARAMETROS_CULTURAS!$F$6:$F$28,$P2029)+INDEX(PARAMETROS_CULTURAS!$G$6:$G$28,$P2029),INDEX(PARAMETROS_CULTURAS!$K$6:$K$28,$P2029)+(INDEX(PARAMETROS_CULTURAS!$L$6:$L$28,$P2029)-INDEX(PARAMETROS_CULTURAS!$K$6:$K$28,$P2029))*($O2029-INDEX(PARAMETROS_CULTURAS!$F$6:$F$28,$P2029))/MAX(INDEX(PARAMETROS_CULTURAS!$G$6:$G$28,$P2029),0.0001),IF($O2029&lt;=INDEX(PARAMETROS_CULTURAS!$F$6:$F$28,$P2029)+INDEX(PARAMETROS_CULTURAS!$G$6:$G$28,$P2029)+INDEX(PARAMETROS_CULTURAS!$H$6:$H$28,$P2029),INDEX(PARAMETROS_CULTURAS!$L$6:$L$28,$P2029),INDEX(PARAMETROS_CULTURAS!$L$6:$L$28,$P2029)+(INDEX(PARAMETROS_CULTURAS!$M$6:$M$28,$P2029)-INDEX(PARAMETROS_CULTURAS!$L$6:$L$28,$P2029))*($O2029-INDEX(PARAMETROS_CULTURAS!$F$6:$F$28,$P2029)-INDEX(PARAMETROS_CULTURAS!$G$6:$G$28,$P2029)-INDEX(PARAMETROS_CULTURAS!$H$6:$H$28,$P2029))/MAX(INDEX(PARAMETROS_CULTURAS!$I$6:$I$28,$P2029),0.0001)))))</f>
        <v>1.05222222222222</v>
      </c>
      <c r="S2029" s="18" t="n">
        <f aca="false">IFERROR(INDEX(SEMANAS!$H$6:$H$71,MATCH($B2029,SEMANAS!$B$6:$B$71,0)),0)</f>
        <v>29.2</v>
      </c>
      <c r="T2029" s="18" t="n">
        <f aca="false">$R2029*$S2029</f>
        <v>30.7248888888889</v>
      </c>
      <c r="U2029" s="18" t="n">
        <f aca="false">IFERROR(INDEX(SEMANAS!$I$6:$I$71,MATCH($B2029,SEMANAS!$B$6:$B$71,0)),0)</f>
        <v>0.91</v>
      </c>
      <c r="V2029" s="18" t="n">
        <f aca="false">IFERROR(INDEX(SEMANAS!$J$6:$J$71,MATCH($B2029,SEMANAS!$B$6:$B$71,0)),0)</f>
        <v>0.728</v>
      </c>
      <c r="W2029" s="18" t="n">
        <f aca="false">MAX(0,$T2029-$V2029)</f>
        <v>29.9968888888889</v>
      </c>
      <c r="X2029" s="19" t="n">
        <f aca="false">IFERROR(INDEX(CADASTRO_PIVOS!$K$6:$K$41,MATCH($E2029,CADASTRO_PIVOS!$B$6:$B$41,0)),EFICIENCIA_PADRAO)</f>
        <v>0.85</v>
      </c>
      <c r="Y2029" s="18" t="n">
        <f aca="false">IF($X2029&lt;=0,0,$W2029/$X2029)</f>
        <v>35.2904575163399</v>
      </c>
      <c r="Z2029" s="16" t="n">
        <f aca="false">$Y2029*$H2029*MM_PARA_M3_HA</f>
        <v>35106.9471372549</v>
      </c>
      <c r="AA2029" s="18" t="n">
        <f aca="false">IFERROR(INDEX(CADASTRO_PIVOS!$I$6:$I$41,MATCH($E2029,CADASTRO_PIVOS!$B$6:$B$41,0)),0)</f>
        <v>710.571428571429</v>
      </c>
      <c r="AB2029" s="18" t="n">
        <f aca="false">IF($Z2029&lt;=0,0,$Z2029/$AA2029)</f>
        <v>49.4066405228758</v>
      </c>
      <c r="AC2029" s="16" t="n">
        <f aca="false">IFERROR(INDEX(SEMANAS!$K$6:$K$71,MATCH($B2029,SEMANAS!$B$6:$B$71,0)),0)</f>
        <v>147</v>
      </c>
      <c r="AD2029" s="19" t="n">
        <f aca="false">IF($AC2029&lt;=0,0,$AB2029/$AC2029)</f>
        <v>0.336099595393713</v>
      </c>
      <c r="AE2029" s="8" t="str">
        <f aca="false">IF($K2029="SEM CULTURA","SEM CULTURA",IF($AA2029&lt;=0,"DADO PENDENTE",IF($AD2029&gt;LIMITE_CRITICO,"INVIAVEL",IF($AD2029&gt;LIMITE_ATENCAO,"CRITICO",IF($AD2029&gt;LIMITE_CONFORTAVEL,"ATENCAO","OK")))))</f>
        <v>OK</v>
      </c>
      <c r="AF2029" s="8" t="str">
        <f aca="false">$B2029&amp;"|"&amp;TEXT($AD2029,"0.000000")</f>
        <v>44|0.336100</v>
      </c>
      <c r="AG2029" s="18" t="n">
        <f aca="false">IF($K2029="SEM CULTURA",0,$T2029*$H2029)</f>
        <v>3056.51194666667</v>
      </c>
      <c r="AH2029" s="18" t="n">
        <f aca="false">IF($K2029="SEM CULTURA",0,$V2029*$H2029)</f>
        <v>72.42144</v>
      </c>
      <c r="AI2029" s="18" t="n">
        <f aca="false">IF($K2029="SEM CULTURA",0,$W2029*$H2029)</f>
        <v>2984.09050666667</v>
      </c>
      <c r="AJ2029" s="18" t="n">
        <f aca="false">IF($K2029="SEM CULTURA",0,$S2029*$H2029)</f>
        <v>2904.816</v>
      </c>
      <c r="AK2029" s="8" t="str">
        <f aca="false">$E2029&amp;"|"&amp;TEXT($AD2029,"0.000000")</f>
        <v>PV 127|0.336100</v>
      </c>
    </row>
    <row r="2030" customFormat="false" ht="15" hidden="false" customHeight="false" outlineLevel="0" collapsed="false">
      <c r="B2030" s="16" t="n">
        <v>45</v>
      </c>
      <c r="C2030" s="17" t="n">
        <f aca="false">DATA_INICIO_SAFRA+($B2030-1)*DIAS_POR_SEMANA</f>
        <v>46573</v>
      </c>
      <c r="D2030" s="17" t="n">
        <f aca="false">$C2030+DIAS_POR_SEMANA-1</f>
        <v>46579</v>
      </c>
      <c r="E2030" s="15" t="s">
        <v>289</v>
      </c>
      <c r="F2030" s="8" t="str">
        <f aca="false">IFERROR(INDEX(CADASTRO_PIVOS!$C$6:$C$41,MATCH($E2030,CADASTRO_PIVOS!$B$6:$B$41,0)),"?")</f>
        <v>RM07</v>
      </c>
      <c r="G2030" s="8" t="str">
        <f aca="false">IFERROR(INDEX(CADASTRO_PIVOS!$D$6:$D$41,MATCH($E2030,CADASTRO_PIVOS!$B$6:$B$41,0)),"?")</f>
        <v>TR07</v>
      </c>
      <c r="H2030" s="20" t="n">
        <f aca="false">IFERROR(INDEX(CADASTRO_PIVOS!$E$6:$E$41,MATCH($E2030,CADASTRO_PIVOS!$B$6:$B$41,0)),0)</f>
        <v>99.48</v>
      </c>
      <c r="I2030" s="16" t="n">
        <f aca="false">IFERROR(SUMIFS(ROTACAO_RDM!$B$6:$B$71,ROTACAO_RDM!$D$6:$D$71,$E2030,ROTACAO_RDM!$I$6:$I$71,"&lt;="&amp;$C2030+INT(DIAS_POR_SEMANA/2),ROTACAO_RDM!$J$6:$J$71,"&gt;="&amp;$C2030+INT(DIAS_POR_SEMANA/2)),0)</f>
        <v>52</v>
      </c>
      <c r="J2030" s="16" t="n">
        <f aca="false">IFERROR(MATCH($I2030,ROTACAO_RDM!$B$6:$B$71,0),0)</f>
        <v>52</v>
      </c>
      <c r="K2030" s="8" t="str">
        <f aca="false">IF($J2030=0,"SEM CULTURA",INDEX(ROTACAO_RDM!$F$6:$F$71,$J2030))</f>
        <v>ALGODAO</v>
      </c>
      <c r="L2030" s="8" t="str">
        <f aca="false">IF($J2030=0,"",INDEX(ROTACAO_RDM!$G$6:$G$71,$J2030))</f>
        <v>DP 2111 B3RF</v>
      </c>
      <c r="M2030" s="17" t="n">
        <f aca="false">IF($J2030=0,"",INDEX(ROTACAO_RDM!$I$6:$I$71,$J2030))</f>
        <v>46426</v>
      </c>
      <c r="N2030" s="16" t="n">
        <f aca="false">IF($J2030=0,0,MAX(0,$C2030+INT(DIAS_POR_SEMANA/2)-INDEX(ROTACAO_RDM!$I$6:$I$71,$J2030)))</f>
        <v>150</v>
      </c>
      <c r="O2030" s="19" t="n">
        <f aca="false">IF($J2030=0,0,MIN(1,$N2030/MAX(1,INDEX(ROTACAO_RDM!$K$6:$K$71,$J2030))))</f>
        <v>0.833333333333333</v>
      </c>
      <c r="P2030" s="16" t="n">
        <f aca="false">IF($J2030=0,0,IFERROR(MATCH(INDEX(ROTACAO_RDM!$N$6:$N$71,$J2030),PARAMETROS_CULTURAS!$B$6:$B$28,0),0))</f>
        <v>4</v>
      </c>
      <c r="Q2030" s="8" t="str">
        <f aca="false">IF($P2030=0,"-",IF($O2030&lt;=INDEX(PARAMETROS_CULTURAS!$F$6:$F$28,$P2030),"INICIAL",IF($O2030&lt;=INDEX(PARAMETROS_CULTURAS!$F$6:$F$28,$P2030)+INDEX(PARAMETROS_CULTURAS!$G$6:$G$28,$P2030),"DESENVOLVIMENTO",IF($O2030&lt;=INDEX(PARAMETROS_CULTURAS!$F$6:$F$28,$P2030)+INDEX(PARAMETROS_CULTURAS!$G$6:$G$28,$P2030)+INDEX(PARAMETROS_CULTURAS!$H$6:$H$28,$P2030),"MEDIA","FINAL"))))</f>
        <v>FINAL</v>
      </c>
      <c r="R2030" s="24" t="n">
        <f aca="false">IF($P2030=0,0,IF($O2030&lt;=INDEX(PARAMETROS_CULTURAS!$F$6:$F$28,$P2030),INDEX(PARAMETROS_CULTURAS!$K$6:$K$28,$P2030),IF($O2030&lt;=INDEX(PARAMETROS_CULTURAS!$F$6:$F$28,$P2030)+INDEX(PARAMETROS_CULTURAS!$G$6:$G$28,$P2030),INDEX(PARAMETROS_CULTURAS!$K$6:$K$28,$P2030)+(INDEX(PARAMETROS_CULTURAS!$L$6:$L$28,$P2030)-INDEX(PARAMETROS_CULTURAS!$K$6:$K$28,$P2030))*($O2030-INDEX(PARAMETROS_CULTURAS!$F$6:$F$28,$P2030))/MAX(INDEX(PARAMETROS_CULTURAS!$G$6:$G$28,$P2030),0.0001),IF($O2030&lt;=INDEX(PARAMETROS_CULTURAS!$F$6:$F$28,$P2030)+INDEX(PARAMETROS_CULTURAS!$G$6:$G$28,$P2030)+INDEX(PARAMETROS_CULTURAS!$H$6:$H$28,$P2030),INDEX(PARAMETROS_CULTURAS!$L$6:$L$28,$P2030),INDEX(PARAMETROS_CULTURAS!$L$6:$L$28,$P2030)+(INDEX(PARAMETROS_CULTURAS!$M$6:$M$28,$P2030)-INDEX(PARAMETROS_CULTURAS!$L$6:$L$28,$P2030))*($O2030-INDEX(PARAMETROS_CULTURAS!$F$6:$F$28,$P2030)-INDEX(PARAMETROS_CULTURAS!$G$6:$G$28,$P2030)-INDEX(PARAMETROS_CULTURAS!$H$6:$H$28,$P2030))/MAX(INDEX(PARAMETROS_CULTURAS!$I$6:$I$28,$P2030),0.0001)))))</f>
        <v>0.966666666666667</v>
      </c>
      <c r="S2030" s="18" t="n">
        <f aca="false">IFERROR(INDEX(SEMANAS!$H$6:$H$71,MATCH($B2030,SEMANAS!$B$6:$B$71,0)),0)</f>
        <v>30.1</v>
      </c>
      <c r="T2030" s="18" t="n">
        <f aca="false">$R2030*$S2030</f>
        <v>29.0966666666667</v>
      </c>
      <c r="U2030" s="18" t="n">
        <f aca="false">IFERROR(INDEX(SEMANAS!$I$6:$I$71,MATCH($B2030,SEMANAS!$B$6:$B$71,0)),0)</f>
        <v>0.7</v>
      </c>
      <c r="V2030" s="18" t="n">
        <f aca="false">IFERROR(INDEX(SEMANAS!$J$6:$J$71,MATCH($B2030,SEMANAS!$B$6:$B$71,0)),0)</f>
        <v>0.56</v>
      </c>
      <c r="W2030" s="18" t="n">
        <f aca="false">MAX(0,$T2030-$V2030)</f>
        <v>28.5366666666667</v>
      </c>
      <c r="X2030" s="19" t="n">
        <f aca="false">IFERROR(INDEX(CADASTRO_PIVOS!$K$6:$K$41,MATCH($E2030,CADASTRO_PIVOS!$B$6:$B$41,0)),EFICIENCIA_PADRAO)</f>
        <v>0.85</v>
      </c>
      <c r="Y2030" s="18" t="n">
        <f aca="false">IF($X2030&lt;=0,0,$W2030/$X2030)</f>
        <v>33.5725490196078</v>
      </c>
      <c r="Z2030" s="16" t="n">
        <f aca="false">$Y2030*$H2030*MM_PARA_M3_HA</f>
        <v>33397.9717647059</v>
      </c>
      <c r="AA2030" s="18" t="n">
        <f aca="false">IFERROR(INDEX(CADASTRO_PIVOS!$I$6:$I$41,MATCH($E2030,CADASTRO_PIVOS!$B$6:$B$41,0)),0)</f>
        <v>710.571428571429</v>
      </c>
      <c r="AB2030" s="18" t="n">
        <f aca="false">IF($Z2030&lt;=0,0,$Z2030/$AA2030)</f>
        <v>47.001568627451</v>
      </c>
      <c r="AC2030" s="16" t="n">
        <f aca="false">IFERROR(INDEX(SEMANAS!$K$6:$K$71,MATCH($B2030,SEMANAS!$B$6:$B$71,0)),0)</f>
        <v>147</v>
      </c>
      <c r="AD2030" s="19" t="n">
        <f aca="false">IF($AC2030&lt;=0,0,$AB2030/$AC2030)</f>
        <v>0.319738562091503</v>
      </c>
      <c r="AE2030" s="8" t="str">
        <f aca="false">IF($K2030="SEM CULTURA","SEM CULTURA",IF($AA2030&lt;=0,"DADO PENDENTE",IF($AD2030&gt;LIMITE_CRITICO,"INVIAVEL",IF($AD2030&gt;LIMITE_ATENCAO,"CRITICO",IF($AD2030&gt;LIMITE_CONFORTAVEL,"ATENCAO","OK")))))</f>
        <v>OK</v>
      </c>
      <c r="AF2030" s="8" t="str">
        <f aca="false">$B2030&amp;"|"&amp;TEXT($AD2030,"0.000000")</f>
        <v>45|0.319739</v>
      </c>
      <c r="AG2030" s="18" t="n">
        <f aca="false">IF($K2030="SEM CULTURA",0,$T2030*$H2030)</f>
        <v>2894.5364</v>
      </c>
      <c r="AH2030" s="18" t="n">
        <f aca="false">IF($K2030="SEM CULTURA",0,$V2030*$H2030)</f>
        <v>55.7088</v>
      </c>
      <c r="AI2030" s="18" t="n">
        <f aca="false">IF($K2030="SEM CULTURA",0,$W2030*$H2030)</f>
        <v>2838.8276</v>
      </c>
      <c r="AJ2030" s="18" t="n">
        <f aca="false">IF($K2030="SEM CULTURA",0,$S2030*$H2030)</f>
        <v>2994.348</v>
      </c>
      <c r="AK2030" s="8" t="str">
        <f aca="false">$E2030&amp;"|"&amp;TEXT($AD2030,"0.000000")</f>
        <v>PV 127|0.319739</v>
      </c>
    </row>
    <row r="2031" customFormat="false" ht="15" hidden="false" customHeight="false" outlineLevel="0" collapsed="false">
      <c r="B2031" s="16" t="n">
        <v>46</v>
      </c>
      <c r="C2031" s="17" t="n">
        <f aca="false">DATA_INICIO_SAFRA+($B2031-1)*DIAS_POR_SEMANA</f>
        <v>46580</v>
      </c>
      <c r="D2031" s="17" t="n">
        <f aca="false">$C2031+DIAS_POR_SEMANA-1</f>
        <v>46586</v>
      </c>
      <c r="E2031" s="15" t="s">
        <v>289</v>
      </c>
      <c r="F2031" s="8" t="str">
        <f aca="false">IFERROR(INDEX(CADASTRO_PIVOS!$C$6:$C$41,MATCH($E2031,CADASTRO_PIVOS!$B$6:$B$41,0)),"?")</f>
        <v>RM07</v>
      </c>
      <c r="G2031" s="8" t="str">
        <f aca="false">IFERROR(INDEX(CADASTRO_PIVOS!$D$6:$D$41,MATCH($E2031,CADASTRO_PIVOS!$B$6:$B$41,0)),"?")</f>
        <v>TR07</v>
      </c>
      <c r="H2031" s="20" t="n">
        <f aca="false">IFERROR(INDEX(CADASTRO_PIVOS!$E$6:$E$41,MATCH($E2031,CADASTRO_PIVOS!$B$6:$B$41,0)),0)</f>
        <v>99.48</v>
      </c>
      <c r="I2031" s="16" t="n">
        <f aca="false">IFERROR(SUMIFS(ROTACAO_RDM!$B$6:$B$71,ROTACAO_RDM!$D$6:$D$71,$E2031,ROTACAO_RDM!$I$6:$I$71,"&lt;="&amp;$C2031+INT(DIAS_POR_SEMANA/2),ROTACAO_RDM!$J$6:$J$71,"&gt;="&amp;$C2031+INT(DIAS_POR_SEMANA/2)),0)</f>
        <v>52</v>
      </c>
      <c r="J2031" s="16" t="n">
        <f aca="false">IFERROR(MATCH($I2031,ROTACAO_RDM!$B$6:$B$71,0),0)</f>
        <v>52</v>
      </c>
      <c r="K2031" s="8" t="str">
        <f aca="false">IF($J2031=0,"SEM CULTURA",INDEX(ROTACAO_RDM!$F$6:$F$71,$J2031))</f>
        <v>ALGODAO</v>
      </c>
      <c r="L2031" s="8" t="str">
        <f aca="false">IF($J2031=0,"",INDEX(ROTACAO_RDM!$G$6:$G$71,$J2031))</f>
        <v>DP 2111 B3RF</v>
      </c>
      <c r="M2031" s="17" t="n">
        <f aca="false">IF($J2031=0,"",INDEX(ROTACAO_RDM!$I$6:$I$71,$J2031))</f>
        <v>46426</v>
      </c>
      <c r="N2031" s="16" t="n">
        <f aca="false">IF($J2031=0,0,MAX(0,$C2031+INT(DIAS_POR_SEMANA/2)-INDEX(ROTACAO_RDM!$I$6:$I$71,$J2031)))</f>
        <v>157</v>
      </c>
      <c r="O2031" s="19" t="n">
        <f aca="false">IF($J2031=0,0,MIN(1,$N2031/MAX(1,INDEX(ROTACAO_RDM!$K$6:$K$71,$J2031))))</f>
        <v>0.872222222222222</v>
      </c>
      <c r="P2031" s="16" t="n">
        <f aca="false">IF($J2031=0,0,IFERROR(MATCH(INDEX(ROTACAO_RDM!$N$6:$N$71,$J2031),PARAMETROS_CULTURAS!$B$6:$B$28,0),0))</f>
        <v>4</v>
      </c>
      <c r="Q2031" s="8" t="str">
        <f aca="false">IF($P2031=0,"-",IF($O2031&lt;=INDEX(PARAMETROS_CULTURAS!$F$6:$F$28,$P2031),"INICIAL",IF($O2031&lt;=INDEX(PARAMETROS_CULTURAS!$F$6:$F$28,$P2031)+INDEX(PARAMETROS_CULTURAS!$G$6:$G$28,$P2031),"DESENVOLVIMENTO",IF($O2031&lt;=INDEX(PARAMETROS_CULTURAS!$F$6:$F$28,$P2031)+INDEX(PARAMETROS_CULTURAS!$G$6:$G$28,$P2031)+INDEX(PARAMETROS_CULTURAS!$H$6:$H$28,$P2031),"MEDIA","FINAL"))))</f>
        <v>FINAL</v>
      </c>
      <c r="R2031" s="24" t="n">
        <f aca="false">IF($P2031=0,0,IF($O2031&lt;=INDEX(PARAMETROS_CULTURAS!$F$6:$F$28,$P2031),INDEX(PARAMETROS_CULTURAS!$K$6:$K$28,$P2031),IF($O2031&lt;=INDEX(PARAMETROS_CULTURAS!$F$6:$F$28,$P2031)+INDEX(PARAMETROS_CULTURAS!$G$6:$G$28,$P2031),INDEX(PARAMETROS_CULTURAS!$K$6:$K$28,$P2031)+(INDEX(PARAMETROS_CULTURAS!$L$6:$L$28,$P2031)-INDEX(PARAMETROS_CULTURAS!$K$6:$K$28,$P2031))*($O2031-INDEX(PARAMETROS_CULTURAS!$F$6:$F$28,$P2031))/MAX(INDEX(PARAMETROS_CULTURAS!$G$6:$G$28,$P2031),0.0001),IF($O2031&lt;=INDEX(PARAMETROS_CULTURAS!$F$6:$F$28,$P2031)+INDEX(PARAMETROS_CULTURAS!$G$6:$G$28,$P2031)+INDEX(PARAMETROS_CULTURAS!$H$6:$H$28,$P2031),INDEX(PARAMETROS_CULTURAS!$L$6:$L$28,$P2031),INDEX(PARAMETROS_CULTURAS!$L$6:$L$28,$P2031)+(INDEX(PARAMETROS_CULTURAS!$M$6:$M$28,$P2031)-INDEX(PARAMETROS_CULTURAS!$L$6:$L$28,$P2031))*($O2031-INDEX(PARAMETROS_CULTURAS!$F$6:$F$28,$P2031)-INDEX(PARAMETROS_CULTURAS!$G$6:$G$28,$P2031)-INDEX(PARAMETROS_CULTURAS!$H$6:$H$28,$P2031))/MAX(INDEX(PARAMETROS_CULTURAS!$I$6:$I$28,$P2031),0.0001)))))</f>
        <v>0.881111111111111</v>
      </c>
      <c r="S2031" s="18" t="n">
        <f aca="false">IFERROR(INDEX(SEMANAS!$H$6:$H$71,MATCH($B2031,SEMANAS!$B$6:$B$71,0)),0)</f>
        <v>30.1</v>
      </c>
      <c r="T2031" s="18" t="n">
        <f aca="false">$R2031*$S2031</f>
        <v>26.5214444444444</v>
      </c>
      <c r="U2031" s="18" t="n">
        <f aca="false">IFERROR(INDEX(SEMANAS!$I$6:$I$71,MATCH($B2031,SEMANAS!$B$6:$B$71,0)),0)</f>
        <v>0.7</v>
      </c>
      <c r="V2031" s="18" t="n">
        <f aca="false">IFERROR(INDEX(SEMANAS!$J$6:$J$71,MATCH($B2031,SEMANAS!$B$6:$B$71,0)),0)</f>
        <v>0.56</v>
      </c>
      <c r="W2031" s="18" t="n">
        <f aca="false">MAX(0,$T2031-$V2031)</f>
        <v>25.9614444444444</v>
      </c>
      <c r="X2031" s="19" t="n">
        <f aca="false">IFERROR(INDEX(CADASTRO_PIVOS!$K$6:$K$41,MATCH($E2031,CADASTRO_PIVOS!$B$6:$B$41,0)),EFICIENCIA_PADRAO)</f>
        <v>0.85</v>
      </c>
      <c r="Y2031" s="18" t="n">
        <f aca="false">IF($X2031&lt;=0,0,$W2031/$X2031)</f>
        <v>30.5428758169935</v>
      </c>
      <c r="Z2031" s="16" t="n">
        <f aca="false">$Y2031*$H2031*MM_PARA_M3_HA</f>
        <v>30384.0528627451</v>
      </c>
      <c r="AA2031" s="18" t="n">
        <f aca="false">IFERROR(INDEX(CADASTRO_PIVOS!$I$6:$I$41,MATCH($E2031,CADASTRO_PIVOS!$B$6:$B$41,0)),0)</f>
        <v>710.571428571429</v>
      </c>
      <c r="AB2031" s="18" t="n">
        <f aca="false">IF($Z2031&lt;=0,0,$Z2031/$AA2031)</f>
        <v>42.7600261437909</v>
      </c>
      <c r="AC2031" s="16" t="n">
        <f aca="false">IFERROR(INDEX(SEMANAS!$K$6:$K$71,MATCH($B2031,SEMANAS!$B$6:$B$71,0)),0)</f>
        <v>147</v>
      </c>
      <c r="AD2031" s="19" t="n">
        <f aca="false">IF($AC2031&lt;=0,0,$AB2031/$AC2031)</f>
        <v>0.290884531590414</v>
      </c>
      <c r="AE2031" s="8" t="str">
        <f aca="false">IF($K2031="SEM CULTURA","SEM CULTURA",IF($AA2031&lt;=0,"DADO PENDENTE",IF($AD2031&gt;LIMITE_CRITICO,"INVIAVEL",IF($AD2031&gt;LIMITE_ATENCAO,"CRITICO",IF($AD2031&gt;LIMITE_CONFORTAVEL,"ATENCAO","OK")))))</f>
        <v>OK</v>
      </c>
      <c r="AF2031" s="8" t="str">
        <f aca="false">$B2031&amp;"|"&amp;TEXT($AD2031,"0.000000")</f>
        <v>46|0.290885</v>
      </c>
      <c r="AG2031" s="18" t="n">
        <f aca="false">IF($K2031="SEM CULTURA",0,$T2031*$H2031)</f>
        <v>2638.35329333333</v>
      </c>
      <c r="AH2031" s="18" t="n">
        <f aca="false">IF($K2031="SEM CULTURA",0,$V2031*$H2031)</f>
        <v>55.7088</v>
      </c>
      <c r="AI2031" s="18" t="n">
        <f aca="false">IF($K2031="SEM CULTURA",0,$W2031*$H2031)</f>
        <v>2582.64449333333</v>
      </c>
      <c r="AJ2031" s="18" t="n">
        <f aca="false">IF($K2031="SEM CULTURA",0,$S2031*$H2031)</f>
        <v>2994.348</v>
      </c>
      <c r="AK2031" s="8" t="str">
        <f aca="false">$E2031&amp;"|"&amp;TEXT($AD2031,"0.000000")</f>
        <v>PV 127|0.290885</v>
      </c>
    </row>
    <row r="2032" customFormat="false" ht="15" hidden="false" customHeight="false" outlineLevel="0" collapsed="false">
      <c r="B2032" s="16" t="n">
        <v>47</v>
      </c>
      <c r="C2032" s="17" t="n">
        <f aca="false">DATA_INICIO_SAFRA+($B2032-1)*DIAS_POR_SEMANA</f>
        <v>46587</v>
      </c>
      <c r="D2032" s="17" t="n">
        <f aca="false">$C2032+DIAS_POR_SEMANA-1</f>
        <v>46593</v>
      </c>
      <c r="E2032" s="15" t="s">
        <v>289</v>
      </c>
      <c r="F2032" s="8" t="str">
        <f aca="false">IFERROR(INDEX(CADASTRO_PIVOS!$C$6:$C$41,MATCH($E2032,CADASTRO_PIVOS!$B$6:$B$41,0)),"?")</f>
        <v>RM07</v>
      </c>
      <c r="G2032" s="8" t="str">
        <f aca="false">IFERROR(INDEX(CADASTRO_PIVOS!$D$6:$D$41,MATCH($E2032,CADASTRO_PIVOS!$B$6:$B$41,0)),"?")</f>
        <v>TR07</v>
      </c>
      <c r="H2032" s="20" t="n">
        <f aca="false">IFERROR(INDEX(CADASTRO_PIVOS!$E$6:$E$41,MATCH($E2032,CADASTRO_PIVOS!$B$6:$B$41,0)),0)</f>
        <v>99.48</v>
      </c>
      <c r="I2032" s="16" t="n">
        <f aca="false">IFERROR(SUMIFS(ROTACAO_RDM!$B$6:$B$71,ROTACAO_RDM!$D$6:$D$71,$E2032,ROTACAO_RDM!$I$6:$I$71,"&lt;="&amp;$C2032+INT(DIAS_POR_SEMANA/2),ROTACAO_RDM!$J$6:$J$71,"&gt;="&amp;$C2032+INT(DIAS_POR_SEMANA/2)),0)</f>
        <v>52</v>
      </c>
      <c r="J2032" s="16" t="n">
        <f aca="false">IFERROR(MATCH($I2032,ROTACAO_RDM!$B$6:$B$71,0),0)</f>
        <v>52</v>
      </c>
      <c r="K2032" s="8" t="str">
        <f aca="false">IF($J2032=0,"SEM CULTURA",INDEX(ROTACAO_RDM!$F$6:$F$71,$J2032))</f>
        <v>ALGODAO</v>
      </c>
      <c r="L2032" s="8" t="str">
        <f aca="false">IF($J2032=0,"",INDEX(ROTACAO_RDM!$G$6:$G$71,$J2032))</f>
        <v>DP 2111 B3RF</v>
      </c>
      <c r="M2032" s="17" t="n">
        <f aca="false">IF($J2032=0,"",INDEX(ROTACAO_RDM!$I$6:$I$71,$J2032))</f>
        <v>46426</v>
      </c>
      <c r="N2032" s="16" t="n">
        <f aca="false">IF($J2032=0,0,MAX(0,$C2032+INT(DIAS_POR_SEMANA/2)-INDEX(ROTACAO_RDM!$I$6:$I$71,$J2032)))</f>
        <v>164</v>
      </c>
      <c r="O2032" s="19" t="n">
        <f aca="false">IF($J2032=0,0,MIN(1,$N2032/MAX(1,INDEX(ROTACAO_RDM!$K$6:$K$71,$J2032))))</f>
        <v>0.911111111111111</v>
      </c>
      <c r="P2032" s="16" t="n">
        <f aca="false">IF($J2032=0,0,IFERROR(MATCH(INDEX(ROTACAO_RDM!$N$6:$N$71,$J2032),PARAMETROS_CULTURAS!$B$6:$B$28,0),0))</f>
        <v>4</v>
      </c>
      <c r="Q2032" s="8" t="str">
        <f aca="false">IF($P2032=0,"-",IF($O2032&lt;=INDEX(PARAMETROS_CULTURAS!$F$6:$F$28,$P2032),"INICIAL",IF($O2032&lt;=INDEX(PARAMETROS_CULTURAS!$F$6:$F$28,$P2032)+INDEX(PARAMETROS_CULTURAS!$G$6:$G$28,$P2032),"DESENVOLVIMENTO",IF($O2032&lt;=INDEX(PARAMETROS_CULTURAS!$F$6:$F$28,$P2032)+INDEX(PARAMETROS_CULTURAS!$G$6:$G$28,$P2032)+INDEX(PARAMETROS_CULTURAS!$H$6:$H$28,$P2032),"MEDIA","FINAL"))))</f>
        <v>FINAL</v>
      </c>
      <c r="R2032" s="24" t="n">
        <f aca="false">IF($P2032=0,0,IF($O2032&lt;=INDEX(PARAMETROS_CULTURAS!$F$6:$F$28,$P2032),INDEX(PARAMETROS_CULTURAS!$K$6:$K$28,$P2032),IF($O2032&lt;=INDEX(PARAMETROS_CULTURAS!$F$6:$F$28,$P2032)+INDEX(PARAMETROS_CULTURAS!$G$6:$G$28,$P2032),INDEX(PARAMETROS_CULTURAS!$K$6:$K$28,$P2032)+(INDEX(PARAMETROS_CULTURAS!$L$6:$L$28,$P2032)-INDEX(PARAMETROS_CULTURAS!$K$6:$K$28,$P2032))*($O2032-INDEX(PARAMETROS_CULTURAS!$F$6:$F$28,$P2032))/MAX(INDEX(PARAMETROS_CULTURAS!$G$6:$G$28,$P2032),0.0001),IF($O2032&lt;=INDEX(PARAMETROS_CULTURAS!$F$6:$F$28,$P2032)+INDEX(PARAMETROS_CULTURAS!$G$6:$G$28,$P2032)+INDEX(PARAMETROS_CULTURAS!$H$6:$H$28,$P2032),INDEX(PARAMETROS_CULTURAS!$L$6:$L$28,$P2032),INDEX(PARAMETROS_CULTURAS!$L$6:$L$28,$P2032)+(INDEX(PARAMETROS_CULTURAS!$M$6:$M$28,$P2032)-INDEX(PARAMETROS_CULTURAS!$L$6:$L$28,$P2032))*($O2032-INDEX(PARAMETROS_CULTURAS!$F$6:$F$28,$P2032)-INDEX(PARAMETROS_CULTURAS!$G$6:$G$28,$P2032)-INDEX(PARAMETROS_CULTURAS!$H$6:$H$28,$P2032))/MAX(INDEX(PARAMETROS_CULTURAS!$I$6:$I$28,$P2032),0.0001)))))</f>
        <v>0.795555555555556</v>
      </c>
      <c r="S2032" s="18" t="n">
        <f aca="false">IFERROR(INDEX(SEMANAS!$H$6:$H$71,MATCH($B2032,SEMANAS!$B$6:$B$71,0)),0)</f>
        <v>30.1</v>
      </c>
      <c r="T2032" s="18" t="n">
        <f aca="false">$R2032*$S2032</f>
        <v>23.9462222222222</v>
      </c>
      <c r="U2032" s="18" t="n">
        <f aca="false">IFERROR(INDEX(SEMANAS!$I$6:$I$71,MATCH($B2032,SEMANAS!$B$6:$B$71,0)),0)</f>
        <v>0.7</v>
      </c>
      <c r="V2032" s="18" t="n">
        <f aca="false">IFERROR(INDEX(SEMANAS!$J$6:$J$71,MATCH($B2032,SEMANAS!$B$6:$B$71,0)),0)</f>
        <v>0.56</v>
      </c>
      <c r="W2032" s="18" t="n">
        <f aca="false">MAX(0,$T2032-$V2032)</f>
        <v>23.3862222222222</v>
      </c>
      <c r="X2032" s="19" t="n">
        <f aca="false">IFERROR(INDEX(CADASTRO_PIVOS!$K$6:$K$41,MATCH($E2032,CADASTRO_PIVOS!$B$6:$B$41,0)),EFICIENCIA_PADRAO)</f>
        <v>0.85</v>
      </c>
      <c r="Y2032" s="18" t="n">
        <f aca="false">IF($X2032&lt;=0,0,$W2032/$X2032)</f>
        <v>27.5132026143791</v>
      </c>
      <c r="Z2032" s="16" t="n">
        <f aca="false">$Y2032*$H2032*MM_PARA_M3_HA</f>
        <v>27370.1339607843</v>
      </c>
      <c r="AA2032" s="18" t="n">
        <f aca="false">IFERROR(INDEX(CADASTRO_PIVOS!$I$6:$I$41,MATCH($E2032,CADASTRO_PIVOS!$B$6:$B$41,0)),0)</f>
        <v>710.571428571429</v>
      </c>
      <c r="AB2032" s="18" t="n">
        <f aca="false">IF($Z2032&lt;=0,0,$Z2032/$AA2032)</f>
        <v>38.5184836601307</v>
      </c>
      <c r="AC2032" s="16" t="n">
        <f aca="false">IFERROR(INDEX(SEMANAS!$K$6:$K$71,MATCH($B2032,SEMANAS!$B$6:$B$71,0)),0)</f>
        <v>147</v>
      </c>
      <c r="AD2032" s="19" t="n">
        <f aca="false">IF($AC2032&lt;=0,0,$AB2032/$AC2032)</f>
        <v>0.262030501089325</v>
      </c>
      <c r="AE2032" s="8" t="str">
        <f aca="false">IF($K2032="SEM CULTURA","SEM CULTURA",IF($AA2032&lt;=0,"DADO PENDENTE",IF($AD2032&gt;LIMITE_CRITICO,"INVIAVEL",IF($AD2032&gt;LIMITE_ATENCAO,"CRITICO",IF($AD2032&gt;LIMITE_CONFORTAVEL,"ATENCAO","OK")))))</f>
        <v>OK</v>
      </c>
      <c r="AF2032" s="8" t="str">
        <f aca="false">$B2032&amp;"|"&amp;TEXT($AD2032,"0.000000")</f>
        <v>47|0.262031</v>
      </c>
      <c r="AG2032" s="18" t="n">
        <f aca="false">IF($K2032="SEM CULTURA",0,$T2032*$H2032)</f>
        <v>2382.17018666667</v>
      </c>
      <c r="AH2032" s="18" t="n">
        <f aca="false">IF($K2032="SEM CULTURA",0,$V2032*$H2032)</f>
        <v>55.7088</v>
      </c>
      <c r="AI2032" s="18" t="n">
        <f aca="false">IF($K2032="SEM CULTURA",0,$W2032*$H2032)</f>
        <v>2326.46138666667</v>
      </c>
      <c r="AJ2032" s="18" t="n">
        <f aca="false">IF($K2032="SEM CULTURA",0,$S2032*$H2032)</f>
        <v>2994.348</v>
      </c>
      <c r="AK2032" s="8" t="str">
        <f aca="false">$E2032&amp;"|"&amp;TEXT($AD2032,"0.000000")</f>
        <v>PV 127|0.262031</v>
      </c>
    </row>
    <row r="2033" customFormat="false" ht="15" hidden="false" customHeight="false" outlineLevel="0" collapsed="false">
      <c r="B2033" s="16" t="n">
        <v>48</v>
      </c>
      <c r="C2033" s="17" t="n">
        <f aca="false">DATA_INICIO_SAFRA+($B2033-1)*DIAS_POR_SEMANA</f>
        <v>46594</v>
      </c>
      <c r="D2033" s="17" t="n">
        <f aca="false">$C2033+DIAS_POR_SEMANA-1</f>
        <v>46600</v>
      </c>
      <c r="E2033" s="15" t="s">
        <v>289</v>
      </c>
      <c r="F2033" s="8" t="str">
        <f aca="false">IFERROR(INDEX(CADASTRO_PIVOS!$C$6:$C$41,MATCH($E2033,CADASTRO_PIVOS!$B$6:$B$41,0)),"?")</f>
        <v>RM07</v>
      </c>
      <c r="G2033" s="8" t="str">
        <f aca="false">IFERROR(INDEX(CADASTRO_PIVOS!$D$6:$D$41,MATCH($E2033,CADASTRO_PIVOS!$B$6:$B$41,0)),"?")</f>
        <v>TR07</v>
      </c>
      <c r="H2033" s="20" t="n">
        <f aca="false">IFERROR(INDEX(CADASTRO_PIVOS!$E$6:$E$41,MATCH($E2033,CADASTRO_PIVOS!$B$6:$B$41,0)),0)</f>
        <v>99.48</v>
      </c>
      <c r="I2033" s="16" t="n">
        <f aca="false">IFERROR(SUMIFS(ROTACAO_RDM!$B$6:$B$71,ROTACAO_RDM!$D$6:$D$71,$E2033,ROTACAO_RDM!$I$6:$I$71,"&lt;="&amp;$C2033+INT(DIAS_POR_SEMANA/2),ROTACAO_RDM!$J$6:$J$71,"&gt;="&amp;$C2033+INT(DIAS_POR_SEMANA/2)),0)</f>
        <v>52</v>
      </c>
      <c r="J2033" s="16" t="n">
        <f aca="false">IFERROR(MATCH($I2033,ROTACAO_RDM!$B$6:$B$71,0),0)</f>
        <v>52</v>
      </c>
      <c r="K2033" s="8" t="str">
        <f aca="false">IF($J2033=0,"SEM CULTURA",INDEX(ROTACAO_RDM!$F$6:$F$71,$J2033))</f>
        <v>ALGODAO</v>
      </c>
      <c r="L2033" s="8" t="str">
        <f aca="false">IF($J2033=0,"",INDEX(ROTACAO_RDM!$G$6:$G$71,$J2033))</f>
        <v>DP 2111 B3RF</v>
      </c>
      <c r="M2033" s="17" t="n">
        <f aca="false">IF($J2033=0,"",INDEX(ROTACAO_RDM!$I$6:$I$71,$J2033))</f>
        <v>46426</v>
      </c>
      <c r="N2033" s="16" t="n">
        <f aca="false">IF($J2033=0,0,MAX(0,$C2033+INT(DIAS_POR_SEMANA/2)-INDEX(ROTACAO_RDM!$I$6:$I$71,$J2033)))</f>
        <v>171</v>
      </c>
      <c r="O2033" s="19" t="n">
        <f aca="false">IF($J2033=0,0,MIN(1,$N2033/MAX(1,INDEX(ROTACAO_RDM!$K$6:$K$71,$J2033))))</f>
        <v>0.95</v>
      </c>
      <c r="P2033" s="16" t="n">
        <f aca="false">IF($J2033=0,0,IFERROR(MATCH(INDEX(ROTACAO_RDM!$N$6:$N$71,$J2033),PARAMETROS_CULTURAS!$B$6:$B$28,0),0))</f>
        <v>4</v>
      </c>
      <c r="Q2033" s="8" t="str">
        <f aca="false">IF($P2033=0,"-",IF($O2033&lt;=INDEX(PARAMETROS_CULTURAS!$F$6:$F$28,$P2033),"INICIAL",IF($O2033&lt;=INDEX(PARAMETROS_CULTURAS!$F$6:$F$28,$P2033)+INDEX(PARAMETROS_CULTURAS!$G$6:$G$28,$P2033),"DESENVOLVIMENTO",IF($O2033&lt;=INDEX(PARAMETROS_CULTURAS!$F$6:$F$28,$P2033)+INDEX(PARAMETROS_CULTURAS!$G$6:$G$28,$P2033)+INDEX(PARAMETROS_CULTURAS!$H$6:$H$28,$P2033),"MEDIA","FINAL"))))</f>
        <v>FINAL</v>
      </c>
      <c r="R2033" s="24" t="n">
        <f aca="false">IF($P2033=0,0,IF($O2033&lt;=INDEX(PARAMETROS_CULTURAS!$F$6:$F$28,$P2033),INDEX(PARAMETROS_CULTURAS!$K$6:$K$28,$P2033),IF($O2033&lt;=INDEX(PARAMETROS_CULTURAS!$F$6:$F$28,$P2033)+INDEX(PARAMETROS_CULTURAS!$G$6:$G$28,$P2033),INDEX(PARAMETROS_CULTURAS!$K$6:$K$28,$P2033)+(INDEX(PARAMETROS_CULTURAS!$L$6:$L$28,$P2033)-INDEX(PARAMETROS_CULTURAS!$K$6:$K$28,$P2033))*($O2033-INDEX(PARAMETROS_CULTURAS!$F$6:$F$28,$P2033))/MAX(INDEX(PARAMETROS_CULTURAS!$G$6:$G$28,$P2033),0.0001),IF($O2033&lt;=INDEX(PARAMETROS_CULTURAS!$F$6:$F$28,$P2033)+INDEX(PARAMETROS_CULTURAS!$G$6:$G$28,$P2033)+INDEX(PARAMETROS_CULTURAS!$H$6:$H$28,$P2033),INDEX(PARAMETROS_CULTURAS!$L$6:$L$28,$P2033),INDEX(PARAMETROS_CULTURAS!$L$6:$L$28,$P2033)+(INDEX(PARAMETROS_CULTURAS!$M$6:$M$28,$P2033)-INDEX(PARAMETROS_CULTURAS!$L$6:$L$28,$P2033))*($O2033-INDEX(PARAMETROS_CULTURAS!$F$6:$F$28,$P2033)-INDEX(PARAMETROS_CULTURAS!$G$6:$G$28,$P2033)-INDEX(PARAMETROS_CULTURAS!$H$6:$H$28,$P2033))/MAX(INDEX(PARAMETROS_CULTURAS!$I$6:$I$28,$P2033),0.0001)))))</f>
        <v>0.71</v>
      </c>
      <c r="S2033" s="18" t="n">
        <f aca="false">IFERROR(INDEX(SEMANAS!$H$6:$H$71,MATCH($B2033,SEMANAS!$B$6:$B$71,0)),0)</f>
        <v>31</v>
      </c>
      <c r="T2033" s="18" t="n">
        <f aca="false">$R2033*$S2033</f>
        <v>22.01</v>
      </c>
      <c r="U2033" s="18" t="n">
        <f aca="false">IFERROR(INDEX(SEMANAS!$I$6:$I$71,MATCH($B2033,SEMANAS!$B$6:$B$71,0)),0)</f>
        <v>0.76</v>
      </c>
      <c r="V2033" s="18" t="n">
        <f aca="false">IFERROR(INDEX(SEMANAS!$J$6:$J$71,MATCH($B2033,SEMANAS!$B$6:$B$71,0)),0)</f>
        <v>0.608</v>
      </c>
      <c r="W2033" s="18" t="n">
        <f aca="false">MAX(0,$T2033-$V2033)</f>
        <v>21.402</v>
      </c>
      <c r="X2033" s="19" t="n">
        <f aca="false">IFERROR(INDEX(CADASTRO_PIVOS!$K$6:$K$41,MATCH($E2033,CADASTRO_PIVOS!$B$6:$B$41,0)),EFICIENCIA_PADRAO)</f>
        <v>0.85</v>
      </c>
      <c r="Y2033" s="18" t="n">
        <f aca="false">IF($X2033&lt;=0,0,$W2033/$X2033)</f>
        <v>25.1788235294118</v>
      </c>
      <c r="Z2033" s="16" t="n">
        <f aca="false">$Y2033*$H2033*MM_PARA_M3_HA</f>
        <v>25047.8936470588</v>
      </c>
      <c r="AA2033" s="18" t="n">
        <f aca="false">IFERROR(INDEX(CADASTRO_PIVOS!$I$6:$I$41,MATCH($E2033,CADASTRO_PIVOS!$B$6:$B$41,0)),0)</f>
        <v>710.571428571429</v>
      </c>
      <c r="AB2033" s="18" t="n">
        <f aca="false">IF($Z2033&lt;=0,0,$Z2033/$AA2033)</f>
        <v>35.2503529411765</v>
      </c>
      <c r="AC2033" s="16" t="n">
        <f aca="false">IFERROR(INDEX(SEMANAS!$K$6:$K$71,MATCH($B2033,SEMANAS!$B$6:$B$71,0)),0)</f>
        <v>147</v>
      </c>
      <c r="AD2033" s="19" t="n">
        <f aca="false">IF($AC2033&lt;=0,0,$AB2033/$AC2033)</f>
        <v>0.239798319327731</v>
      </c>
      <c r="AE2033" s="8" t="str">
        <f aca="false">IF($K2033="SEM CULTURA","SEM CULTURA",IF($AA2033&lt;=0,"DADO PENDENTE",IF($AD2033&gt;LIMITE_CRITICO,"INVIAVEL",IF($AD2033&gt;LIMITE_ATENCAO,"CRITICO",IF($AD2033&gt;LIMITE_CONFORTAVEL,"ATENCAO","OK")))))</f>
        <v>OK</v>
      </c>
      <c r="AF2033" s="8" t="str">
        <f aca="false">$B2033&amp;"|"&amp;TEXT($AD2033,"0.000000")</f>
        <v>48|0.239798</v>
      </c>
      <c r="AG2033" s="18" t="n">
        <f aca="false">IF($K2033="SEM CULTURA",0,$T2033*$H2033)</f>
        <v>2189.5548</v>
      </c>
      <c r="AH2033" s="18" t="n">
        <f aca="false">IF($K2033="SEM CULTURA",0,$V2033*$H2033)</f>
        <v>60.48384</v>
      </c>
      <c r="AI2033" s="18" t="n">
        <f aca="false">IF($K2033="SEM CULTURA",0,$W2033*$H2033)</f>
        <v>2129.07096</v>
      </c>
      <c r="AJ2033" s="18" t="n">
        <f aca="false">IF($K2033="SEM CULTURA",0,$S2033*$H2033)</f>
        <v>3083.88</v>
      </c>
      <c r="AK2033" s="8" t="str">
        <f aca="false">$E2033&amp;"|"&amp;TEXT($AD2033,"0.000000")</f>
        <v>PV 127|0.239798</v>
      </c>
    </row>
    <row r="2034" customFormat="false" ht="15" hidden="false" customHeight="false" outlineLevel="0" collapsed="false">
      <c r="B2034" s="16" t="n">
        <v>49</v>
      </c>
      <c r="C2034" s="17" t="n">
        <f aca="false">DATA_INICIO_SAFRA+($B2034-1)*DIAS_POR_SEMANA</f>
        <v>46601</v>
      </c>
      <c r="D2034" s="17" t="n">
        <f aca="false">$C2034+DIAS_POR_SEMANA-1</f>
        <v>46607</v>
      </c>
      <c r="E2034" s="15" t="s">
        <v>289</v>
      </c>
      <c r="F2034" s="8" t="str">
        <f aca="false">IFERROR(INDEX(CADASTRO_PIVOS!$C$6:$C$41,MATCH($E2034,CADASTRO_PIVOS!$B$6:$B$41,0)),"?")</f>
        <v>RM07</v>
      </c>
      <c r="G2034" s="8" t="str">
        <f aca="false">IFERROR(INDEX(CADASTRO_PIVOS!$D$6:$D$41,MATCH($E2034,CADASTRO_PIVOS!$B$6:$B$41,0)),"?")</f>
        <v>TR07</v>
      </c>
      <c r="H2034" s="20" t="n">
        <f aca="false">IFERROR(INDEX(CADASTRO_PIVOS!$E$6:$E$41,MATCH($E2034,CADASTRO_PIVOS!$B$6:$B$41,0)),0)</f>
        <v>99.48</v>
      </c>
      <c r="I2034" s="16" t="n">
        <f aca="false">IFERROR(SUMIFS(ROTACAO_RDM!$B$6:$B$71,ROTACAO_RDM!$D$6:$D$71,$E2034,ROTACAO_RDM!$I$6:$I$71,"&lt;="&amp;$C2034+INT(DIAS_POR_SEMANA/2),ROTACAO_RDM!$J$6:$J$71,"&gt;="&amp;$C2034+INT(DIAS_POR_SEMANA/2)),0)</f>
        <v>52</v>
      </c>
      <c r="J2034" s="16" t="n">
        <f aca="false">IFERROR(MATCH($I2034,ROTACAO_RDM!$B$6:$B$71,0),0)</f>
        <v>52</v>
      </c>
      <c r="K2034" s="8" t="str">
        <f aca="false">IF($J2034=0,"SEM CULTURA",INDEX(ROTACAO_RDM!$F$6:$F$71,$J2034))</f>
        <v>ALGODAO</v>
      </c>
      <c r="L2034" s="8" t="str">
        <f aca="false">IF($J2034=0,"",INDEX(ROTACAO_RDM!$G$6:$G$71,$J2034))</f>
        <v>DP 2111 B3RF</v>
      </c>
      <c r="M2034" s="17" t="n">
        <f aca="false">IF($J2034=0,"",INDEX(ROTACAO_RDM!$I$6:$I$71,$J2034))</f>
        <v>46426</v>
      </c>
      <c r="N2034" s="16" t="n">
        <f aca="false">IF($J2034=0,0,MAX(0,$C2034+INT(DIAS_POR_SEMANA/2)-INDEX(ROTACAO_RDM!$I$6:$I$71,$J2034)))</f>
        <v>178</v>
      </c>
      <c r="O2034" s="19" t="n">
        <f aca="false">IF($J2034=0,0,MIN(1,$N2034/MAX(1,INDEX(ROTACAO_RDM!$K$6:$K$71,$J2034))))</f>
        <v>0.988888888888889</v>
      </c>
      <c r="P2034" s="16" t="n">
        <f aca="false">IF($J2034=0,0,IFERROR(MATCH(INDEX(ROTACAO_RDM!$N$6:$N$71,$J2034),PARAMETROS_CULTURAS!$B$6:$B$28,0),0))</f>
        <v>4</v>
      </c>
      <c r="Q2034" s="8" t="str">
        <f aca="false">IF($P2034=0,"-",IF($O2034&lt;=INDEX(PARAMETROS_CULTURAS!$F$6:$F$28,$P2034),"INICIAL",IF($O2034&lt;=INDEX(PARAMETROS_CULTURAS!$F$6:$F$28,$P2034)+INDEX(PARAMETROS_CULTURAS!$G$6:$G$28,$P2034),"DESENVOLVIMENTO",IF($O2034&lt;=INDEX(PARAMETROS_CULTURAS!$F$6:$F$28,$P2034)+INDEX(PARAMETROS_CULTURAS!$G$6:$G$28,$P2034)+INDEX(PARAMETROS_CULTURAS!$H$6:$H$28,$P2034),"MEDIA","FINAL"))))</f>
        <v>FINAL</v>
      </c>
      <c r="R2034" s="24" t="n">
        <f aca="false">IF($P2034=0,0,IF($O2034&lt;=INDEX(PARAMETROS_CULTURAS!$F$6:$F$28,$P2034),INDEX(PARAMETROS_CULTURAS!$K$6:$K$28,$P2034),IF($O2034&lt;=INDEX(PARAMETROS_CULTURAS!$F$6:$F$28,$P2034)+INDEX(PARAMETROS_CULTURAS!$G$6:$G$28,$P2034),INDEX(PARAMETROS_CULTURAS!$K$6:$K$28,$P2034)+(INDEX(PARAMETROS_CULTURAS!$L$6:$L$28,$P2034)-INDEX(PARAMETROS_CULTURAS!$K$6:$K$28,$P2034))*($O2034-INDEX(PARAMETROS_CULTURAS!$F$6:$F$28,$P2034))/MAX(INDEX(PARAMETROS_CULTURAS!$G$6:$G$28,$P2034),0.0001),IF($O2034&lt;=INDEX(PARAMETROS_CULTURAS!$F$6:$F$28,$P2034)+INDEX(PARAMETROS_CULTURAS!$G$6:$G$28,$P2034)+INDEX(PARAMETROS_CULTURAS!$H$6:$H$28,$P2034),INDEX(PARAMETROS_CULTURAS!$L$6:$L$28,$P2034),INDEX(PARAMETROS_CULTURAS!$L$6:$L$28,$P2034)+(INDEX(PARAMETROS_CULTURAS!$M$6:$M$28,$P2034)-INDEX(PARAMETROS_CULTURAS!$L$6:$L$28,$P2034))*($O2034-INDEX(PARAMETROS_CULTURAS!$F$6:$F$28,$P2034)-INDEX(PARAMETROS_CULTURAS!$G$6:$G$28,$P2034)-INDEX(PARAMETROS_CULTURAS!$H$6:$H$28,$P2034))/MAX(INDEX(PARAMETROS_CULTURAS!$I$6:$I$28,$P2034),0.0001)))))</f>
        <v>0.624444444444445</v>
      </c>
      <c r="S2034" s="18" t="n">
        <f aca="false">IFERROR(INDEX(SEMANAS!$H$6:$H$71,MATCH($B2034,SEMANAS!$B$6:$B$71,0)),0)</f>
        <v>36.4</v>
      </c>
      <c r="T2034" s="18" t="n">
        <f aca="false">$R2034*$S2034</f>
        <v>22.7297777777778</v>
      </c>
      <c r="U2034" s="18" t="n">
        <f aca="false">IFERROR(INDEX(SEMANAS!$I$6:$I$71,MATCH($B2034,SEMANAS!$B$6:$B$71,0)),0)</f>
        <v>1.12</v>
      </c>
      <c r="V2034" s="18" t="n">
        <f aca="false">IFERROR(INDEX(SEMANAS!$J$6:$J$71,MATCH($B2034,SEMANAS!$B$6:$B$71,0)),0)</f>
        <v>0.896</v>
      </c>
      <c r="W2034" s="18" t="n">
        <f aca="false">MAX(0,$T2034-$V2034)</f>
        <v>21.8337777777778</v>
      </c>
      <c r="X2034" s="19" t="n">
        <f aca="false">IFERROR(INDEX(CADASTRO_PIVOS!$K$6:$K$41,MATCH($E2034,CADASTRO_PIVOS!$B$6:$B$41,0)),EFICIENCIA_PADRAO)</f>
        <v>0.85</v>
      </c>
      <c r="Y2034" s="18" t="n">
        <f aca="false">IF($X2034&lt;=0,0,$W2034/$X2034)</f>
        <v>25.6867973856209</v>
      </c>
      <c r="Z2034" s="16" t="n">
        <f aca="false">$Y2034*$H2034*MM_PARA_M3_HA</f>
        <v>25553.2260392157</v>
      </c>
      <c r="AA2034" s="18" t="n">
        <f aca="false">IFERROR(INDEX(CADASTRO_PIVOS!$I$6:$I$41,MATCH($E2034,CADASTRO_PIVOS!$B$6:$B$41,0)),0)</f>
        <v>710.571428571429</v>
      </c>
      <c r="AB2034" s="18" t="n">
        <f aca="false">IF($Z2034&lt;=0,0,$Z2034/$AA2034)</f>
        <v>35.9615163398693</v>
      </c>
      <c r="AC2034" s="16" t="n">
        <f aca="false">IFERROR(INDEX(SEMANAS!$K$6:$K$71,MATCH($B2034,SEMANAS!$B$6:$B$71,0)),0)</f>
        <v>147</v>
      </c>
      <c r="AD2034" s="19" t="n">
        <f aca="false">IF($AC2034&lt;=0,0,$AB2034/$AC2034)</f>
        <v>0.244636165577342</v>
      </c>
      <c r="AE2034" s="8" t="str">
        <f aca="false">IF($K2034="SEM CULTURA","SEM CULTURA",IF($AA2034&lt;=0,"DADO PENDENTE",IF($AD2034&gt;LIMITE_CRITICO,"INVIAVEL",IF($AD2034&gt;LIMITE_ATENCAO,"CRITICO",IF($AD2034&gt;LIMITE_CONFORTAVEL,"ATENCAO","OK")))))</f>
        <v>OK</v>
      </c>
      <c r="AF2034" s="8" t="str">
        <f aca="false">$B2034&amp;"|"&amp;TEXT($AD2034,"0.000000")</f>
        <v>49|0.244636</v>
      </c>
      <c r="AG2034" s="18" t="n">
        <f aca="false">IF($K2034="SEM CULTURA",0,$T2034*$H2034)</f>
        <v>2261.15829333333</v>
      </c>
      <c r="AH2034" s="18" t="n">
        <f aca="false">IF($K2034="SEM CULTURA",0,$V2034*$H2034)</f>
        <v>89.13408</v>
      </c>
      <c r="AI2034" s="18" t="n">
        <f aca="false">IF($K2034="SEM CULTURA",0,$W2034*$H2034)</f>
        <v>2172.02421333333</v>
      </c>
      <c r="AJ2034" s="18" t="n">
        <f aca="false">IF($K2034="SEM CULTURA",0,$S2034*$H2034)</f>
        <v>3621.072</v>
      </c>
      <c r="AK2034" s="8" t="str">
        <f aca="false">$E2034&amp;"|"&amp;TEXT($AD2034,"0.000000")</f>
        <v>PV 127|0.244636</v>
      </c>
    </row>
    <row r="2035" customFormat="false" ht="15" hidden="false" customHeight="false" outlineLevel="0" collapsed="false">
      <c r="B2035" s="16" t="n">
        <v>50</v>
      </c>
      <c r="C2035" s="17" t="n">
        <f aca="false">DATA_INICIO_SAFRA+($B2035-1)*DIAS_POR_SEMANA</f>
        <v>46608</v>
      </c>
      <c r="D2035" s="17" t="n">
        <f aca="false">$C2035+DIAS_POR_SEMANA-1</f>
        <v>46614</v>
      </c>
      <c r="E2035" s="15" t="s">
        <v>289</v>
      </c>
      <c r="F2035" s="8" t="str">
        <f aca="false">IFERROR(INDEX(CADASTRO_PIVOS!$C$6:$C$41,MATCH($E2035,CADASTRO_PIVOS!$B$6:$B$41,0)),"?")</f>
        <v>RM07</v>
      </c>
      <c r="G2035" s="8" t="str">
        <f aca="false">IFERROR(INDEX(CADASTRO_PIVOS!$D$6:$D$41,MATCH($E2035,CADASTRO_PIVOS!$B$6:$B$41,0)),"?")</f>
        <v>TR07</v>
      </c>
      <c r="H2035" s="20" t="n">
        <f aca="false">IFERROR(INDEX(CADASTRO_PIVOS!$E$6:$E$41,MATCH($E2035,CADASTRO_PIVOS!$B$6:$B$41,0)),0)</f>
        <v>99.48</v>
      </c>
      <c r="I2035" s="16" t="n">
        <f aca="false">IFERROR(SUMIFS(ROTACAO_RDM!$B$6:$B$71,ROTACAO_RDM!$D$6:$D$71,$E2035,ROTACAO_RDM!$I$6:$I$71,"&lt;="&amp;$C2035+INT(DIAS_POR_SEMANA/2),ROTACAO_RDM!$J$6:$J$71,"&gt;="&amp;$C2035+INT(DIAS_POR_SEMANA/2)),0)</f>
        <v>0</v>
      </c>
      <c r="J2035" s="16" t="n">
        <f aca="false">IFERROR(MATCH($I2035,ROTACAO_RDM!$B$6:$B$71,0),0)</f>
        <v>0</v>
      </c>
      <c r="K2035" s="8" t="str">
        <f aca="false">IF($J2035=0,"SEM CULTURA",INDEX(ROTACAO_RDM!$F$6:$F$71,$J2035))</f>
        <v>SEM CULTURA</v>
      </c>
      <c r="L2035" s="8" t="str">
        <f aca="false">IF($J2035=0,"",INDEX(ROTACAO_RDM!$G$6:$G$71,$J2035))</f>
        <v/>
      </c>
      <c r="M2035" s="17" t="str">
        <f aca="false">IF($J2035=0,"",INDEX(ROTACAO_RDM!$I$6:$I$71,$J2035))</f>
        <v/>
      </c>
      <c r="N2035" s="16" t="n">
        <f aca="false">IF($J2035=0,0,MAX(0,$C2035+INT(DIAS_POR_SEMANA/2)-INDEX(ROTACAO_RDM!$I$6:$I$71,$J2035)))</f>
        <v>0</v>
      </c>
      <c r="O2035" s="19" t="n">
        <f aca="false">IF($J2035=0,0,MIN(1,$N2035/MAX(1,INDEX(ROTACAO_RDM!$K$6:$K$71,$J2035))))</f>
        <v>0</v>
      </c>
      <c r="P2035" s="16" t="n">
        <f aca="false">IF($J2035=0,0,IFERROR(MATCH(INDEX(ROTACAO_RDM!$N$6:$N$71,$J2035),PARAMETROS_CULTURAS!$B$6:$B$28,0),0))</f>
        <v>0</v>
      </c>
      <c r="Q2035" s="8" t="str">
        <f aca="false">IF($P2035=0,"-",IF($O2035&lt;=INDEX(PARAMETROS_CULTURAS!$F$6:$F$28,$P2035),"INICIAL",IF($O2035&lt;=INDEX(PARAMETROS_CULTURAS!$F$6:$F$28,$P2035)+INDEX(PARAMETROS_CULTURAS!$G$6:$G$28,$P2035),"DESENVOLVIMENTO",IF($O2035&lt;=INDEX(PARAMETROS_CULTURAS!$F$6:$F$28,$P2035)+INDEX(PARAMETROS_CULTURAS!$G$6:$G$28,$P2035)+INDEX(PARAMETROS_CULTURAS!$H$6:$H$28,$P2035),"MEDIA","FINAL"))))</f>
        <v>-</v>
      </c>
      <c r="R2035" s="24" t="n">
        <f aca="false">IF($P2035=0,0,IF($O2035&lt;=INDEX(PARAMETROS_CULTURAS!$F$6:$F$28,$P2035),INDEX(PARAMETROS_CULTURAS!$K$6:$K$28,$P2035),IF($O2035&lt;=INDEX(PARAMETROS_CULTURAS!$F$6:$F$28,$P2035)+INDEX(PARAMETROS_CULTURAS!$G$6:$G$28,$P2035),INDEX(PARAMETROS_CULTURAS!$K$6:$K$28,$P2035)+(INDEX(PARAMETROS_CULTURAS!$L$6:$L$28,$P2035)-INDEX(PARAMETROS_CULTURAS!$K$6:$K$28,$P2035))*($O2035-INDEX(PARAMETROS_CULTURAS!$F$6:$F$28,$P2035))/MAX(INDEX(PARAMETROS_CULTURAS!$G$6:$G$28,$P2035),0.0001),IF($O2035&lt;=INDEX(PARAMETROS_CULTURAS!$F$6:$F$28,$P2035)+INDEX(PARAMETROS_CULTURAS!$G$6:$G$28,$P2035)+INDEX(PARAMETROS_CULTURAS!$H$6:$H$28,$P2035),INDEX(PARAMETROS_CULTURAS!$L$6:$L$28,$P2035),INDEX(PARAMETROS_CULTURAS!$L$6:$L$28,$P2035)+(INDEX(PARAMETROS_CULTURAS!$M$6:$M$28,$P2035)-INDEX(PARAMETROS_CULTURAS!$L$6:$L$28,$P2035))*($O2035-INDEX(PARAMETROS_CULTURAS!$F$6:$F$28,$P2035)-INDEX(PARAMETROS_CULTURAS!$G$6:$G$28,$P2035)-INDEX(PARAMETROS_CULTURAS!$H$6:$H$28,$P2035))/MAX(INDEX(PARAMETROS_CULTURAS!$I$6:$I$28,$P2035),0.0001)))))</f>
        <v>0</v>
      </c>
      <c r="S2035" s="18" t="n">
        <f aca="false">IFERROR(INDEX(SEMANAS!$H$6:$H$71,MATCH($B2035,SEMANAS!$B$6:$B$71,0)),0)</f>
        <v>36.4</v>
      </c>
      <c r="T2035" s="18" t="n">
        <f aca="false">$R2035*$S2035</f>
        <v>0</v>
      </c>
      <c r="U2035" s="18" t="n">
        <f aca="false">IFERROR(INDEX(SEMANAS!$I$6:$I$71,MATCH($B2035,SEMANAS!$B$6:$B$71,0)),0)</f>
        <v>1.12</v>
      </c>
      <c r="V2035" s="18" t="n">
        <f aca="false">IFERROR(INDEX(SEMANAS!$J$6:$J$71,MATCH($B2035,SEMANAS!$B$6:$B$71,0)),0)</f>
        <v>0.896</v>
      </c>
      <c r="W2035" s="18" t="n">
        <f aca="false">MAX(0,$T2035-$V2035)</f>
        <v>0</v>
      </c>
      <c r="X2035" s="19" t="n">
        <f aca="false">IFERROR(INDEX(CADASTRO_PIVOS!$K$6:$K$41,MATCH($E2035,CADASTRO_PIVOS!$B$6:$B$41,0)),EFICIENCIA_PADRAO)</f>
        <v>0.85</v>
      </c>
      <c r="Y2035" s="18" t="n">
        <f aca="false">IF($X2035&lt;=0,0,$W2035/$X2035)</f>
        <v>0</v>
      </c>
      <c r="Z2035" s="16" t="n">
        <f aca="false">$Y2035*$H2035*MM_PARA_M3_HA</f>
        <v>0</v>
      </c>
      <c r="AA2035" s="18" t="n">
        <f aca="false">IFERROR(INDEX(CADASTRO_PIVOS!$I$6:$I$41,MATCH($E2035,CADASTRO_PIVOS!$B$6:$B$41,0)),0)</f>
        <v>710.571428571429</v>
      </c>
      <c r="AB2035" s="18" t="n">
        <f aca="false">IF($Z2035&lt;=0,0,$Z2035/$AA2035)</f>
        <v>0</v>
      </c>
      <c r="AC2035" s="16" t="n">
        <f aca="false">IFERROR(INDEX(SEMANAS!$K$6:$K$71,MATCH($B2035,SEMANAS!$B$6:$B$71,0)),0)</f>
        <v>147</v>
      </c>
      <c r="AD2035" s="19" t="n">
        <f aca="false">IF($AC2035&lt;=0,0,$AB2035/$AC2035)</f>
        <v>0</v>
      </c>
      <c r="AE2035" s="8" t="str">
        <f aca="false">IF($K2035="SEM CULTURA","SEM CULTURA",IF($AA2035&lt;=0,"DADO PENDENTE",IF($AD2035&gt;LIMITE_CRITICO,"INVIAVEL",IF($AD2035&gt;LIMITE_ATENCAO,"CRITICO",IF($AD2035&gt;LIMITE_CONFORTAVEL,"ATENCAO","OK")))))</f>
        <v>SEM CULTURA</v>
      </c>
      <c r="AF2035" s="8" t="str">
        <f aca="false">$B2035&amp;"|"&amp;TEXT($AD2035,"0.000000")</f>
        <v>50|0.000000</v>
      </c>
      <c r="AG2035" s="18" t="n">
        <f aca="false">IF($K2035="SEM CULTURA",0,$T2035*$H2035)</f>
        <v>0</v>
      </c>
      <c r="AH2035" s="18" t="n">
        <f aca="false">IF($K2035="SEM CULTURA",0,$V2035*$H2035)</f>
        <v>0</v>
      </c>
      <c r="AI2035" s="18" t="n">
        <f aca="false">IF($K2035="SEM CULTURA",0,$W2035*$H2035)</f>
        <v>0</v>
      </c>
      <c r="AJ2035" s="18" t="n">
        <f aca="false">IF($K2035="SEM CULTURA",0,$S2035*$H2035)</f>
        <v>0</v>
      </c>
      <c r="AK2035" s="8" t="str">
        <f aca="false">$E2035&amp;"|"&amp;TEXT($AD2035,"0.000000")</f>
        <v>PV 127|0.000000</v>
      </c>
    </row>
    <row r="2036" customFormat="false" ht="15" hidden="false" customHeight="false" outlineLevel="0" collapsed="false">
      <c r="B2036" s="16" t="n">
        <v>51</v>
      </c>
      <c r="C2036" s="17" t="n">
        <f aca="false">DATA_INICIO_SAFRA+($B2036-1)*DIAS_POR_SEMANA</f>
        <v>46615</v>
      </c>
      <c r="D2036" s="17" t="n">
        <f aca="false">$C2036+DIAS_POR_SEMANA-1</f>
        <v>46621</v>
      </c>
      <c r="E2036" s="15" t="s">
        <v>289</v>
      </c>
      <c r="F2036" s="8" t="str">
        <f aca="false">IFERROR(INDEX(CADASTRO_PIVOS!$C$6:$C$41,MATCH($E2036,CADASTRO_PIVOS!$B$6:$B$41,0)),"?")</f>
        <v>RM07</v>
      </c>
      <c r="G2036" s="8" t="str">
        <f aca="false">IFERROR(INDEX(CADASTRO_PIVOS!$D$6:$D$41,MATCH($E2036,CADASTRO_PIVOS!$B$6:$B$41,0)),"?")</f>
        <v>TR07</v>
      </c>
      <c r="H2036" s="20" t="n">
        <f aca="false">IFERROR(INDEX(CADASTRO_PIVOS!$E$6:$E$41,MATCH($E2036,CADASTRO_PIVOS!$B$6:$B$41,0)),0)</f>
        <v>99.48</v>
      </c>
      <c r="I2036" s="16" t="n">
        <f aca="false">IFERROR(SUMIFS(ROTACAO_RDM!$B$6:$B$71,ROTACAO_RDM!$D$6:$D$71,$E2036,ROTACAO_RDM!$I$6:$I$71,"&lt;="&amp;$C2036+INT(DIAS_POR_SEMANA/2),ROTACAO_RDM!$J$6:$J$71,"&gt;="&amp;$C2036+INT(DIAS_POR_SEMANA/2)),0)</f>
        <v>0</v>
      </c>
      <c r="J2036" s="16" t="n">
        <f aca="false">IFERROR(MATCH($I2036,ROTACAO_RDM!$B$6:$B$71,0),0)</f>
        <v>0</v>
      </c>
      <c r="K2036" s="8" t="str">
        <f aca="false">IF($J2036=0,"SEM CULTURA",INDEX(ROTACAO_RDM!$F$6:$F$71,$J2036))</f>
        <v>SEM CULTURA</v>
      </c>
      <c r="L2036" s="8" t="str">
        <f aca="false">IF($J2036=0,"",INDEX(ROTACAO_RDM!$G$6:$G$71,$J2036))</f>
        <v/>
      </c>
      <c r="M2036" s="17" t="str">
        <f aca="false">IF($J2036=0,"",INDEX(ROTACAO_RDM!$I$6:$I$71,$J2036))</f>
        <v/>
      </c>
      <c r="N2036" s="16" t="n">
        <f aca="false">IF($J2036=0,0,MAX(0,$C2036+INT(DIAS_POR_SEMANA/2)-INDEX(ROTACAO_RDM!$I$6:$I$71,$J2036)))</f>
        <v>0</v>
      </c>
      <c r="O2036" s="19" t="n">
        <f aca="false">IF($J2036=0,0,MIN(1,$N2036/MAX(1,INDEX(ROTACAO_RDM!$K$6:$K$71,$J2036))))</f>
        <v>0</v>
      </c>
      <c r="P2036" s="16" t="n">
        <f aca="false">IF($J2036=0,0,IFERROR(MATCH(INDEX(ROTACAO_RDM!$N$6:$N$71,$J2036),PARAMETROS_CULTURAS!$B$6:$B$28,0),0))</f>
        <v>0</v>
      </c>
      <c r="Q2036" s="8" t="str">
        <f aca="false">IF($P2036=0,"-",IF($O2036&lt;=INDEX(PARAMETROS_CULTURAS!$F$6:$F$28,$P2036),"INICIAL",IF($O2036&lt;=INDEX(PARAMETROS_CULTURAS!$F$6:$F$28,$P2036)+INDEX(PARAMETROS_CULTURAS!$G$6:$G$28,$P2036),"DESENVOLVIMENTO",IF($O2036&lt;=INDEX(PARAMETROS_CULTURAS!$F$6:$F$28,$P2036)+INDEX(PARAMETROS_CULTURAS!$G$6:$G$28,$P2036)+INDEX(PARAMETROS_CULTURAS!$H$6:$H$28,$P2036),"MEDIA","FINAL"))))</f>
        <v>-</v>
      </c>
      <c r="R2036" s="24" t="n">
        <f aca="false">IF($P2036=0,0,IF($O2036&lt;=INDEX(PARAMETROS_CULTURAS!$F$6:$F$28,$P2036),INDEX(PARAMETROS_CULTURAS!$K$6:$K$28,$P2036),IF($O2036&lt;=INDEX(PARAMETROS_CULTURAS!$F$6:$F$28,$P2036)+INDEX(PARAMETROS_CULTURAS!$G$6:$G$28,$P2036),INDEX(PARAMETROS_CULTURAS!$K$6:$K$28,$P2036)+(INDEX(PARAMETROS_CULTURAS!$L$6:$L$28,$P2036)-INDEX(PARAMETROS_CULTURAS!$K$6:$K$28,$P2036))*($O2036-INDEX(PARAMETROS_CULTURAS!$F$6:$F$28,$P2036))/MAX(INDEX(PARAMETROS_CULTURAS!$G$6:$G$28,$P2036),0.0001),IF($O2036&lt;=INDEX(PARAMETROS_CULTURAS!$F$6:$F$28,$P2036)+INDEX(PARAMETROS_CULTURAS!$G$6:$G$28,$P2036)+INDEX(PARAMETROS_CULTURAS!$H$6:$H$28,$P2036),INDEX(PARAMETROS_CULTURAS!$L$6:$L$28,$P2036),INDEX(PARAMETROS_CULTURAS!$L$6:$L$28,$P2036)+(INDEX(PARAMETROS_CULTURAS!$M$6:$M$28,$P2036)-INDEX(PARAMETROS_CULTURAS!$L$6:$L$28,$P2036))*($O2036-INDEX(PARAMETROS_CULTURAS!$F$6:$F$28,$P2036)-INDEX(PARAMETROS_CULTURAS!$G$6:$G$28,$P2036)-INDEX(PARAMETROS_CULTURAS!$H$6:$H$28,$P2036))/MAX(INDEX(PARAMETROS_CULTURAS!$I$6:$I$28,$P2036),0.0001)))))</f>
        <v>0</v>
      </c>
      <c r="S2036" s="18" t="n">
        <f aca="false">IFERROR(INDEX(SEMANAS!$H$6:$H$71,MATCH($B2036,SEMANAS!$B$6:$B$71,0)),0)</f>
        <v>36.4</v>
      </c>
      <c r="T2036" s="18" t="n">
        <f aca="false">$R2036*$S2036</f>
        <v>0</v>
      </c>
      <c r="U2036" s="18" t="n">
        <f aca="false">IFERROR(INDEX(SEMANAS!$I$6:$I$71,MATCH($B2036,SEMANAS!$B$6:$B$71,0)),0)</f>
        <v>1.12</v>
      </c>
      <c r="V2036" s="18" t="n">
        <f aca="false">IFERROR(INDEX(SEMANAS!$J$6:$J$71,MATCH($B2036,SEMANAS!$B$6:$B$71,0)),0)</f>
        <v>0.896</v>
      </c>
      <c r="W2036" s="18" t="n">
        <f aca="false">MAX(0,$T2036-$V2036)</f>
        <v>0</v>
      </c>
      <c r="X2036" s="19" t="n">
        <f aca="false">IFERROR(INDEX(CADASTRO_PIVOS!$K$6:$K$41,MATCH($E2036,CADASTRO_PIVOS!$B$6:$B$41,0)),EFICIENCIA_PADRAO)</f>
        <v>0.85</v>
      </c>
      <c r="Y2036" s="18" t="n">
        <f aca="false">IF($X2036&lt;=0,0,$W2036/$X2036)</f>
        <v>0</v>
      </c>
      <c r="Z2036" s="16" t="n">
        <f aca="false">$Y2036*$H2036*MM_PARA_M3_HA</f>
        <v>0</v>
      </c>
      <c r="AA2036" s="18" t="n">
        <f aca="false">IFERROR(INDEX(CADASTRO_PIVOS!$I$6:$I$41,MATCH($E2036,CADASTRO_PIVOS!$B$6:$B$41,0)),0)</f>
        <v>710.571428571429</v>
      </c>
      <c r="AB2036" s="18" t="n">
        <f aca="false">IF($Z2036&lt;=0,0,$Z2036/$AA2036)</f>
        <v>0</v>
      </c>
      <c r="AC2036" s="16" t="n">
        <f aca="false">IFERROR(INDEX(SEMANAS!$K$6:$K$71,MATCH($B2036,SEMANAS!$B$6:$B$71,0)),0)</f>
        <v>147</v>
      </c>
      <c r="AD2036" s="19" t="n">
        <f aca="false">IF($AC2036&lt;=0,0,$AB2036/$AC2036)</f>
        <v>0</v>
      </c>
      <c r="AE2036" s="8" t="str">
        <f aca="false">IF($K2036="SEM CULTURA","SEM CULTURA",IF($AA2036&lt;=0,"DADO PENDENTE",IF($AD2036&gt;LIMITE_CRITICO,"INVIAVEL",IF($AD2036&gt;LIMITE_ATENCAO,"CRITICO",IF($AD2036&gt;LIMITE_CONFORTAVEL,"ATENCAO","OK")))))</f>
        <v>SEM CULTURA</v>
      </c>
      <c r="AF2036" s="8" t="str">
        <f aca="false">$B2036&amp;"|"&amp;TEXT($AD2036,"0.000000")</f>
        <v>51|0.000000</v>
      </c>
      <c r="AG2036" s="18" t="n">
        <f aca="false">IF($K2036="SEM CULTURA",0,$T2036*$H2036)</f>
        <v>0</v>
      </c>
      <c r="AH2036" s="18" t="n">
        <f aca="false">IF($K2036="SEM CULTURA",0,$V2036*$H2036)</f>
        <v>0</v>
      </c>
      <c r="AI2036" s="18" t="n">
        <f aca="false">IF($K2036="SEM CULTURA",0,$W2036*$H2036)</f>
        <v>0</v>
      </c>
      <c r="AJ2036" s="18" t="n">
        <f aca="false">IF($K2036="SEM CULTURA",0,$S2036*$H2036)</f>
        <v>0</v>
      </c>
      <c r="AK2036" s="8" t="str">
        <f aca="false">$E2036&amp;"|"&amp;TEXT($AD2036,"0.000000")</f>
        <v>PV 127|0.000000</v>
      </c>
    </row>
    <row r="2037" customFormat="false" ht="15" hidden="false" customHeight="false" outlineLevel="0" collapsed="false">
      <c r="B2037" s="16" t="n">
        <v>52</v>
      </c>
      <c r="C2037" s="17" t="n">
        <f aca="false">DATA_INICIO_SAFRA+($B2037-1)*DIAS_POR_SEMANA</f>
        <v>46622</v>
      </c>
      <c r="D2037" s="17" t="n">
        <f aca="false">$C2037+DIAS_POR_SEMANA-1</f>
        <v>46628</v>
      </c>
      <c r="E2037" s="15" t="s">
        <v>289</v>
      </c>
      <c r="F2037" s="8" t="str">
        <f aca="false">IFERROR(INDEX(CADASTRO_PIVOS!$C$6:$C$41,MATCH($E2037,CADASTRO_PIVOS!$B$6:$B$41,0)),"?")</f>
        <v>RM07</v>
      </c>
      <c r="G2037" s="8" t="str">
        <f aca="false">IFERROR(INDEX(CADASTRO_PIVOS!$D$6:$D$41,MATCH($E2037,CADASTRO_PIVOS!$B$6:$B$41,0)),"?")</f>
        <v>TR07</v>
      </c>
      <c r="H2037" s="20" t="n">
        <f aca="false">IFERROR(INDEX(CADASTRO_PIVOS!$E$6:$E$41,MATCH($E2037,CADASTRO_PIVOS!$B$6:$B$41,0)),0)</f>
        <v>99.48</v>
      </c>
      <c r="I2037" s="16" t="n">
        <f aca="false">IFERROR(SUMIFS(ROTACAO_RDM!$B$6:$B$71,ROTACAO_RDM!$D$6:$D$71,$E2037,ROTACAO_RDM!$I$6:$I$71,"&lt;="&amp;$C2037+INT(DIAS_POR_SEMANA/2),ROTACAO_RDM!$J$6:$J$71,"&gt;="&amp;$C2037+INT(DIAS_POR_SEMANA/2)),0)</f>
        <v>0</v>
      </c>
      <c r="J2037" s="16" t="n">
        <f aca="false">IFERROR(MATCH($I2037,ROTACAO_RDM!$B$6:$B$71,0),0)</f>
        <v>0</v>
      </c>
      <c r="K2037" s="8" t="str">
        <f aca="false">IF($J2037=0,"SEM CULTURA",INDEX(ROTACAO_RDM!$F$6:$F$71,$J2037))</f>
        <v>SEM CULTURA</v>
      </c>
      <c r="L2037" s="8" t="str">
        <f aca="false">IF($J2037=0,"",INDEX(ROTACAO_RDM!$G$6:$G$71,$J2037))</f>
        <v/>
      </c>
      <c r="M2037" s="17" t="str">
        <f aca="false">IF($J2037=0,"",INDEX(ROTACAO_RDM!$I$6:$I$71,$J2037))</f>
        <v/>
      </c>
      <c r="N2037" s="16" t="n">
        <f aca="false">IF($J2037=0,0,MAX(0,$C2037+INT(DIAS_POR_SEMANA/2)-INDEX(ROTACAO_RDM!$I$6:$I$71,$J2037)))</f>
        <v>0</v>
      </c>
      <c r="O2037" s="19" t="n">
        <f aca="false">IF($J2037=0,0,MIN(1,$N2037/MAX(1,INDEX(ROTACAO_RDM!$K$6:$K$71,$J2037))))</f>
        <v>0</v>
      </c>
      <c r="P2037" s="16" t="n">
        <f aca="false">IF($J2037=0,0,IFERROR(MATCH(INDEX(ROTACAO_RDM!$N$6:$N$71,$J2037),PARAMETROS_CULTURAS!$B$6:$B$28,0),0))</f>
        <v>0</v>
      </c>
      <c r="Q2037" s="8" t="str">
        <f aca="false">IF($P2037=0,"-",IF($O2037&lt;=INDEX(PARAMETROS_CULTURAS!$F$6:$F$28,$P2037),"INICIAL",IF($O2037&lt;=INDEX(PARAMETROS_CULTURAS!$F$6:$F$28,$P2037)+INDEX(PARAMETROS_CULTURAS!$G$6:$G$28,$P2037),"DESENVOLVIMENTO",IF($O2037&lt;=INDEX(PARAMETROS_CULTURAS!$F$6:$F$28,$P2037)+INDEX(PARAMETROS_CULTURAS!$G$6:$G$28,$P2037)+INDEX(PARAMETROS_CULTURAS!$H$6:$H$28,$P2037),"MEDIA","FINAL"))))</f>
        <v>-</v>
      </c>
      <c r="R2037" s="24" t="n">
        <f aca="false">IF($P2037=0,0,IF($O2037&lt;=INDEX(PARAMETROS_CULTURAS!$F$6:$F$28,$P2037),INDEX(PARAMETROS_CULTURAS!$K$6:$K$28,$P2037),IF($O2037&lt;=INDEX(PARAMETROS_CULTURAS!$F$6:$F$28,$P2037)+INDEX(PARAMETROS_CULTURAS!$G$6:$G$28,$P2037),INDEX(PARAMETROS_CULTURAS!$K$6:$K$28,$P2037)+(INDEX(PARAMETROS_CULTURAS!$L$6:$L$28,$P2037)-INDEX(PARAMETROS_CULTURAS!$K$6:$K$28,$P2037))*($O2037-INDEX(PARAMETROS_CULTURAS!$F$6:$F$28,$P2037))/MAX(INDEX(PARAMETROS_CULTURAS!$G$6:$G$28,$P2037),0.0001),IF($O2037&lt;=INDEX(PARAMETROS_CULTURAS!$F$6:$F$28,$P2037)+INDEX(PARAMETROS_CULTURAS!$G$6:$G$28,$P2037)+INDEX(PARAMETROS_CULTURAS!$H$6:$H$28,$P2037),INDEX(PARAMETROS_CULTURAS!$L$6:$L$28,$P2037),INDEX(PARAMETROS_CULTURAS!$L$6:$L$28,$P2037)+(INDEX(PARAMETROS_CULTURAS!$M$6:$M$28,$P2037)-INDEX(PARAMETROS_CULTURAS!$L$6:$L$28,$P2037))*($O2037-INDEX(PARAMETROS_CULTURAS!$F$6:$F$28,$P2037)-INDEX(PARAMETROS_CULTURAS!$G$6:$G$28,$P2037)-INDEX(PARAMETROS_CULTURAS!$H$6:$H$28,$P2037))/MAX(INDEX(PARAMETROS_CULTURAS!$I$6:$I$28,$P2037),0.0001)))))</f>
        <v>0</v>
      </c>
      <c r="S2037" s="18" t="n">
        <f aca="false">IFERROR(INDEX(SEMANAS!$H$6:$H$71,MATCH($B2037,SEMANAS!$B$6:$B$71,0)),0)</f>
        <v>36.4</v>
      </c>
      <c r="T2037" s="18" t="n">
        <f aca="false">$R2037*$S2037</f>
        <v>0</v>
      </c>
      <c r="U2037" s="18" t="n">
        <f aca="false">IFERROR(INDEX(SEMANAS!$I$6:$I$71,MATCH($B2037,SEMANAS!$B$6:$B$71,0)),0)</f>
        <v>1.12</v>
      </c>
      <c r="V2037" s="18" t="n">
        <f aca="false">IFERROR(INDEX(SEMANAS!$J$6:$J$71,MATCH($B2037,SEMANAS!$B$6:$B$71,0)),0)</f>
        <v>0.896</v>
      </c>
      <c r="W2037" s="18" t="n">
        <f aca="false">MAX(0,$T2037-$V2037)</f>
        <v>0</v>
      </c>
      <c r="X2037" s="19" t="n">
        <f aca="false">IFERROR(INDEX(CADASTRO_PIVOS!$K$6:$K$41,MATCH($E2037,CADASTRO_PIVOS!$B$6:$B$41,0)),EFICIENCIA_PADRAO)</f>
        <v>0.85</v>
      </c>
      <c r="Y2037" s="18" t="n">
        <f aca="false">IF($X2037&lt;=0,0,$W2037/$X2037)</f>
        <v>0</v>
      </c>
      <c r="Z2037" s="16" t="n">
        <f aca="false">$Y2037*$H2037*MM_PARA_M3_HA</f>
        <v>0</v>
      </c>
      <c r="AA2037" s="18" t="n">
        <f aca="false">IFERROR(INDEX(CADASTRO_PIVOS!$I$6:$I$41,MATCH($E2037,CADASTRO_PIVOS!$B$6:$B$41,0)),0)</f>
        <v>710.571428571429</v>
      </c>
      <c r="AB2037" s="18" t="n">
        <f aca="false">IF($Z2037&lt;=0,0,$Z2037/$AA2037)</f>
        <v>0</v>
      </c>
      <c r="AC2037" s="16" t="n">
        <f aca="false">IFERROR(INDEX(SEMANAS!$K$6:$K$71,MATCH($B2037,SEMANAS!$B$6:$B$71,0)),0)</f>
        <v>147</v>
      </c>
      <c r="AD2037" s="19" t="n">
        <f aca="false">IF($AC2037&lt;=0,0,$AB2037/$AC2037)</f>
        <v>0</v>
      </c>
      <c r="AE2037" s="8" t="str">
        <f aca="false">IF($K2037="SEM CULTURA","SEM CULTURA",IF($AA2037&lt;=0,"DADO PENDENTE",IF($AD2037&gt;LIMITE_CRITICO,"INVIAVEL",IF($AD2037&gt;LIMITE_ATENCAO,"CRITICO",IF($AD2037&gt;LIMITE_CONFORTAVEL,"ATENCAO","OK")))))</f>
        <v>SEM CULTURA</v>
      </c>
      <c r="AF2037" s="8" t="str">
        <f aca="false">$B2037&amp;"|"&amp;TEXT($AD2037,"0.000000")</f>
        <v>52|0.000000</v>
      </c>
      <c r="AG2037" s="18" t="n">
        <f aca="false">IF($K2037="SEM CULTURA",0,$T2037*$H2037)</f>
        <v>0</v>
      </c>
      <c r="AH2037" s="18" t="n">
        <f aca="false">IF($K2037="SEM CULTURA",0,$V2037*$H2037)</f>
        <v>0</v>
      </c>
      <c r="AI2037" s="18" t="n">
        <f aca="false">IF($K2037="SEM CULTURA",0,$W2037*$H2037)</f>
        <v>0</v>
      </c>
      <c r="AJ2037" s="18" t="n">
        <f aca="false">IF($K2037="SEM CULTURA",0,$S2037*$H2037)</f>
        <v>0</v>
      </c>
      <c r="AK2037" s="8" t="str">
        <f aca="false">$E2037&amp;"|"&amp;TEXT($AD2037,"0.000000")</f>
        <v>PV 127|0.000000</v>
      </c>
    </row>
    <row r="2038" customFormat="false" ht="15" hidden="false" customHeight="false" outlineLevel="0" collapsed="false">
      <c r="B2038" s="16" t="n">
        <v>53</v>
      </c>
      <c r="C2038" s="17" t="n">
        <f aca="false">DATA_INICIO_SAFRA+($B2038-1)*DIAS_POR_SEMANA</f>
        <v>46629</v>
      </c>
      <c r="D2038" s="17" t="n">
        <f aca="false">$C2038+DIAS_POR_SEMANA-1</f>
        <v>46635</v>
      </c>
      <c r="E2038" s="15" t="s">
        <v>289</v>
      </c>
      <c r="F2038" s="8" t="str">
        <f aca="false">IFERROR(INDEX(CADASTRO_PIVOS!$C$6:$C$41,MATCH($E2038,CADASTRO_PIVOS!$B$6:$B$41,0)),"?")</f>
        <v>RM07</v>
      </c>
      <c r="G2038" s="8" t="str">
        <f aca="false">IFERROR(INDEX(CADASTRO_PIVOS!$D$6:$D$41,MATCH($E2038,CADASTRO_PIVOS!$B$6:$B$41,0)),"?")</f>
        <v>TR07</v>
      </c>
      <c r="H2038" s="20" t="n">
        <f aca="false">IFERROR(INDEX(CADASTRO_PIVOS!$E$6:$E$41,MATCH($E2038,CADASTRO_PIVOS!$B$6:$B$41,0)),0)</f>
        <v>99.48</v>
      </c>
      <c r="I2038" s="16" t="n">
        <f aca="false">IFERROR(SUMIFS(ROTACAO_RDM!$B$6:$B$71,ROTACAO_RDM!$D$6:$D$71,$E2038,ROTACAO_RDM!$I$6:$I$71,"&lt;="&amp;$C2038+INT(DIAS_POR_SEMANA/2),ROTACAO_RDM!$J$6:$J$71,"&gt;="&amp;$C2038+INT(DIAS_POR_SEMANA/2)),0)</f>
        <v>0</v>
      </c>
      <c r="J2038" s="16" t="n">
        <f aca="false">IFERROR(MATCH($I2038,ROTACAO_RDM!$B$6:$B$71,0),0)</f>
        <v>0</v>
      </c>
      <c r="K2038" s="8" t="str">
        <f aca="false">IF($J2038=0,"SEM CULTURA",INDEX(ROTACAO_RDM!$F$6:$F$71,$J2038))</f>
        <v>SEM CULTURA</v>
      </c>
      <c r="L2038" s="8" t="str">
        <f aca="false">IF($J2038=0,"",INDEX(ROTACAO_RDM!$G$6:$G$71,$J2038))</f>
        <v/>
      </c>
      <c r="M2038" s="17" t="str">
        <f aca="false">IF($J2038=0,"",INDEX(ROTACAO_RDM!$I$6:$I$71,$J2038))</f>
        <v/>
      </c>
      <c r="N2038" s="16" t="n">
        <f aca="false">IF($J2038=0,0,MAX(0,$C2038+INT(DIAS_POR_SEMANA/2)-INDEX(ROTACAO_RDM!$I$6:$I$71,$J2038)))</f>
        <v>0</v>
      </c>
      <c r="O2038" s="19" t="n">
        <f aca="false">IF($J2038=0,0,MIN(1,$N2038/MAX(1,INDEX(ROTACAO_RDM!$K$6:$K$71,$J2038))))</f>
        <v>0</v>
      </c>
      <c r="P2038" s="16" t="n">
        <f aca="false">IF($J2038=0,0,IFERROR(MATCH(INDEX(ROTACAO_RDM!$N$6:$N$71,$J2038),PARAMETROS_CULTURAS!$B$6:$B$28,0),0))</f>
        <v>0</v>
      </c>
      <c r="Q2038" s="8" t="str">
        <f aca="false">IF($P2038=0,"-",IF($O2038&lt;=INDEX(PARAMETROS_CULTURAS!$F$6:$F$28,$P2038),"INICIAL",IF($O2038&lt;=INDEX(PARAMETROS_CULTURAS!$F$6:$F$28,$P2038)+INDEX(PARAMETROS_CULTURAS!$G$6:$G$28,$P2038),"DESENVOLVIMENTO",IF($O2038&lt;=INDEX(PARAMETROS_CULTURAS!$F$6:$F$28,$P2038)+INDEX(PARAMETROS_CULTURAS!$G$6:$G$28,$P2038)+INDEX(PARAMETROS_CULTURAS!$H$6:$H$28,$P2038),"MEDIA","FINAL"))))</f>
        <v>-</v>
      </c>
      <c r="R2038" s="24" t="n">
        <f aca="false">IF($P2038=0,0,IF($O2038&lt;=INDEX(PARAMETROS_CULTURAS!$F$6:$F$28,$P2038),INDEX(PARAMETROS_CULTURAS!$K$6:$K$28,$P2038),IF($O2038&lt;=INDEX(PARAMETROS_CULTURAS!$F$6:$F$28,$P2038)+INDEX(PARAMETROS_CULTURAS!$G$6:$G$28,$P2038),INDEX(PARAMETROS_CULTURAS!$K$6:$K$28,$P2038)+(INDEX(PARAMETROS_CULTURAS!$L$6:$L$28,$P2038)-INDEX(PARAMETROS_CULTURAS!$K$6:$K$28,$P2038))*($O2038-INDEX(PARAMETROS_CULTURAS!$F$6:$F$28,$P2038))/MAX(INDEX(PARAMETROS_CULTURAS!$G$6:$G$28,$P2038),0.0001),IF($O2038&lt;=INDEX(PARAMETROS_CULTURAS!$F$6:$F$28,$P2038)+INDEX(PARAMETROS_CULTURAS!$G$6:$G$28,$P2038)+INDEX(PARAMETROS_CULTURAS!$H$6:$H$28,$P2038),INDEX(PARAMETROS_CULTURAS!$L$6:$L$28,$P2038),INDEX(PARAMETROS_CULTURAS!$L$6:$L$28,$P2038)+(INDEX(PARAMETROS_CULTURAS!$M$6:$M$28,$P2038)-INDEX(PARAMETROS_CULTURAS!$L$6:$L$28,$P2038))*($O2038-INDEX(PARAMETROS_CULTURAS!$F$6:$F$28,$P2038)-INDEX(PARAMETROS_CULTURAS!$G$6:$G$28,$P2038)-INDEX(PARAMETROS_CULTURAS!$H$6:$H$28,$P2038))/MAX(INDEX(PARAMETROS_CULTURAS!$I$6:$I$28,$P2038),0.0001)))))</f>
        <v>0</v>
      </c>
      <c r="S2038" s="18" t="n">
        <f aca="false">IFERROR(INDEX(SEMANAS!$H$6:$H$71,MATCH($B2038,SEMANAS!$B$6:$B$71,0)),0)</f>
        <v>39.4</v>
      </c>
      <c r="T2038" s="18" t="n">
        <f aca="false">$R2038*$S2038</f>
        <v>0</v>
      </c>
      <c r="U2038" s="18" t="n">
        <f aca="false">IFERROR(INDEX(SEMANAS!$I$6:$I$71,MATCH($B2038,SEMANAS!$B$6:$B$71,0)),0)</f>
        <v>5.32</v>
      </c>
      <c r="V2038" s="18" t="n">
        <f aca="false">IFERROR(INDEX(SEMANAS!$J$6:$J$71,MATCH($B2038,SEMANAS!$B$6:$B$71,0)),0)</f>
        <v>4.256</v>
      </c>
      <c r="W2038" s="18" t="n">
        <f aca="false">MAX(0,$T2038-$V2038)</f>
        <v>0</v>
      </c>
      <c r="X2038" s="19" t="n">
        <f aca="false">IFERROR(INDEX(CADASTRO_PIVOS!$K$6:$K$41,MATCH($E2038,CADASTRO_PIVOS!$B$6:$B$41,0)),EFICIENCIA_PADRAO)</f>
        <v>0.85</v>
      </c>
      <c r="Y2038" s="18" t="n">
        <f aca="false">IF($X2038&lt;=0,0,$W2038/$X2038)</f>
        <v>0</v>
      </c>
      <c r="Z2038" s="16" t="n">
        <f aca="false">$Y2038*$H2038*MM_PARA_M3_HA</f>
        <v>0</v>
      </c>
      <c r="AA2038" s="18" t="n">
        <f aca="false">IFERROR(INDEX(CADASTRO_PIVOS!$I$6:$I$41,MATCH($E2038,CADASTRO_PIVOS!$B$6:$B$41,0)),0)</f>
        <v>710.571428571429</v>
      </c>
      <c r="AB2038" s="18" t="n">
        <f aca="false">IF($Z2038&lt;=0,0,$Z2038/$AA2038)</f>
        <v>0</v>
      </c>
      <c r="AC2038" s="16" t="n">
        <f aca="false">IFERROR(INDEX(SEMANAS!$K$6:$K$71,MATCH($B2038,SEMANAS!$B$6:$B$71,0)),0)</f>
        <v>147</v>
      </c>
      <c r="AD2038" s="19" t="n">
        <f aca="false">IF($AC2038&lt;=0,0,$AB2038/$AC2038)</f>
        <v>0</v>
      </c>
      <c r="AE2038" s="8" t="str">
        <f aca="false">IF($K2038="SEM CULTURA","SEM CULTURA",IF($AA2038&lt;=0,"DADO PENDENTE",IF($AD2038&gt;LIMITE_CRITICO,"INVIAVEL",IF($AD2038&gt;LIMITE_ATENCAO,"CRITICO",IF($AD2038&gt;LIMITE_CONFORTAVEL,"ATENCAO","OK")))))</f>
        <v>SEM CULTURA</v>
      </c>
      <c r="AF2038" s="8" t="str">
        <f aca="false">$B2038&amp;"|"&amp;TEXT($AD2038,"0.000000")</f>
        <v>53|0.000000</v>
      </c>
      <c r="AG2038" s="18" t="n">
        <f aca="false">IF($K2038="SEM CULTURA",0,$T2038*$H2038)</f>
        <v>0</v>
      </c>
      <c r="AH2038" s="18" t="n">
        <f aca="false">IF($K2038="SEM CULTURA",0,$V2038*$H2038)</f>
        <v>0</v>
      </c>
      <c r="AI2038" s="18" t="n">
        <f aca="false">IF($K2038="SEM CULTURA",0,$W2038*$H2038)</f>
        <v>0</v>
      </c>
      <c r="AJ2038" s="18" t="n">
        <f aca="false">IF($K2038="SEM CULTURA",0,$S2038*$H2038)</f>
        <v>0</v>
      </c>
      <c r="AK2038" s="8" t="str">
        <f aca="false">$E2038&amp;"|"&amp;TEXT($AD2038,"0.000000")</f>
        <v>PV 127|0.000000</v>
      </c>
    </row>
    <row r="2039" customFormat="false" ht="15" hidden="false" customHeight="false" outlineLevel="0" collapsed="false">
      <c r="B2039" s="16" t="n">
        <v>54</v>
      </c>
      <c r="C2039" s="17" t="n">
        <f aca="false">DATA_INICIO_SAFRA+($B2039-1)*DIAS_POR_SEMANA</f>
        <v>46636</v>
      </c>
      <c r="D2039" s="17" t="n">
        <f aca="false">$C2039+DIAS_POR_SEMANA-1</f>
        <v>46642</v>
      </c>
      <c r="E2039" s="15" t="s">
        <v>289</v>
      </c>
      <c r="F2039" s="8" t="str">
        <f aca="false">IFERROR(INDEX(CADASTRO_PIVOS!$C$6:$C$41,MATCH($E2039,CADASTRO_PIVOS!$B$6:$B$41,0)),"?")</f>
        <v>RM07</v>
      </c>
      <c r="G2039" s="8" t="str">
        <f aca="false">IFERROR(INDEX(CADASTRO_PIVOS!$D$6:$D$41,MATCH($E2039,CADASTRO_PIVOS!$B$6:$B$41,0)),"?")</f>
        <v>TR07</v>
      </c>
      <c r="H2039" s="20" t="n">
        <f aca="false">IFERROR(INDEX(CADASTRO_PIVOS!$E$6:$E$41,MATCH($E2039,CADASTRO_PIVOS!$B$6:$B$41,0)),0)</f>
        <v>99.48</v>
      </c>
      <c r="I2039" s="16" t="n">
        <f aca="false">IFERROR(SUMIFS(ROTACAO_RDM!$B$6:$B$71,ROTACAO_RDM!$D$6:$D$71,$E2039,ROTACAO_RDM!$I$6:$I$71,"&lt;="&amp;$C2039+INT(DIAS_POR_SEMANA/2),ROTACAO_RDM!$J$6:$J$71,"&gt;="&amp;$C2039+INT(DIAS_POR_SEMANA/2)),0)</f>
        <v>0</v>
      </c>
      <c r="J2039" s="16" t="n">
        <f aca="false">IFERROR(MATCH($I2039,ROTACAO_RDM!$B$6:$B$71,0),0)</f>
        <v>0</v>
      </c>
      <c r="K2039" s="8" t="str">
        <f aca="false">IF($J2039=0,"SEM CULTURA",INDEX(ROTACAO_RDM!$F$6:$F$71,$J2039))</f>
        <v>SEM CULTURA</v>
      </c>
      <c r="L2039" s="8" t="str">
        <f aca="false">IF($J2039=0,"",INDEX(ROTACAO_RDM!$G$6:$G$71,$J2039))</f>
        <v/>
      </c>
      <c r="M2039" s="17" t="str">
        <f aca="false">IF($J2039=0,"",INDEX(ROTACAO_RDM!$I$6:$I$71,$J2039))</f>
        <v/>
      </c>
      <c r="N2039" s="16" t="n">
        <f aca="false">IF($J2039=0,0,MAX(0,$C2039+INT(DIAS_POR_SEMANA/2)-INDEX(ROTACAO_RDM!$I$6:$I$71,$J2039)))</f>
        <v>0</v>
      </c>
      <c r="O2039" s="19" t="n">
        <f aca="false">IF($J2039=0,0,MIN(1,$N2039/MAX(1,INDEX(ROTACAO_RDM!$K$6:$K$71,$J2039))))</f>
        <v>0</v>
      </c>
      <c r="P2039" s="16" t="n">
        <f aca="false">IF($J2039=0,0,IFERROR(MATCH(INDEX(ROTACAO_RDM!$N$6:$N$71,$J2039),PARAMETROS_CULTURAS!$B$6:$B$28,0),0))</f>
        <v>0</v>
      </c>
      <c r="Q2039" s="8" t="str">
        <f aca="false">IF($P2039=0,"-",IF($O2039&lt;=INDEX(PARAMETROS_CULTURAS!$F$6:$F$28,$P2039),"INICIAL",IF($O2039&lt;=INDEX(PARAMETROS_CULTURAS!$F$6:$F$28,$P2039)+INDEX(PARAMETROS_CULTURAS!$G$6:$G$28,$P2039),"DESENVOLVIMENTO",IF($O2039&lt;=INDEX(PARAMETROS_CULTURAS!$F$6:$F$28,$P2039)+INDEX(PARAMETROS_CULTURAS!$G$6:$G$28,$P2039)+INDEX(PARAMETROS_CULTURAS!$H$6:$H$28,$P2039),"MEDIA","FINAL"))))</f>
        <v>-</v>
      </c>
      <c r="R2039" s="24" t="n">
        <f aca="false">IF($P2039=0,0,IF($O2039&lt;=INDEX(PARAMETROS_CULTURAS!$F$6:$F$28,$P2039),INDEX(PARAMETROS_CULTURAS!$K$6:$K$28,$P2039),IF($O2039&lt;=INDEX(PARAMETROS_CULTURAS!$F$6:$F$28,$P2039)+INDEX(PARAMETROS_CULTURAS!$G$6:$G$28,$P2039),INDEX(PARAMETROS_CULTURAS!$K$6:$K$28,$P2039)+(INDEX(PARAMETROS_CULTURAS!$L$6:$L$28,$P2039)-INDEX(PARAMETROS_CULTURAS!$K$6:$K$28,$P2039))*($O2039-INDEX(PARAMETROS_CULTURAS!$F$6:$F$28,$P2039))/MAX(INDEX(PARAMETROS_CULTURAS!$G$6:$G$28,$P2039),0.0001),IF($O2039&lt;=INDEX(PARAMETROS_CULTURAS!$F$6:$F$28,$P2039)+INDEX(PARAMETROS_CULTURAS!$G$6:$G$28,$P2039)+INDEX(PARAMETROS_CULTURAS!$H$6:$H$28,$P2039),INDEX(PARAMETROS_CULTURAS!$L$6:$L$28,$P2039),INDEX(PARAMETROS_CULTURAS!$L$6:$L$28,$P2039)+(INDEX(PARAMETROS_CULTURAS!$M$6:$M$28,$P2039)-INDEX(PARAMETROS_CULTURAS!$L$6:$L$28,$P2039))*($O2039-INDEX(PARAMETROS_CULTURAS!$F$6:$F$28,$P2039)-INDEX(PARAMETROS_CULTURAS!$G$6:$G$28,$P2039)-INDEX(PARAMETROS_CULTURAS!$H$6:$H$28,$P2039))/MAX(INDEX(PARAMETROS_CULTURAS!$I$6:$I$28,$P2039),0.0001)))))</f>
        <v>0</v>
      </c>
      <c r="S2039" s="18" t="n">
        <f aca="false">IFERROR(INDEX(SEMANAS!$H$6:$H$71,MATCH($B2039,SEMANAS!$B$6:$B$71,0)),0)</f>
        <v>40.6</v>
      </c>
      <c r="T2039" s="18" t="n">
        <f aca="false">$R2039*$S2039</f>
        <v>0</v>
      </c>
      <c r="U2039" s="18" t="n">
        <f aca="false">IFERROR(INDEX(SEMANAS!$I$6:$I$71,MATCH($B2039,SEMANAS!$B$6:$B$71,0)),0)</f>
        <v>7</v>
      </c>
      <c r="V2039" s="18" t="n">
        <f aca="false">IFERROR(INDEX(SEMANAS!$J$6:$J$71,MATCH($B2039,SEMANAS!$B$6:$B$71,0)),0)</f>
        <v>5.6</v>
      </c>
      <c r="W2039" s="18" t="n">
        <f aca="false">MAX(0,$T2039-$V2039)</f>
        <v>0</v>
      </c>
      <c r="X2039" s="19" t="n">
        <f aca="false">IFERROR(INDEX(CADASTRO_PIVOS!$K$6:$K$41,MATCH($E2039,CADASTRO_PIVOS!$B$6:$B$41,0)),EFICIENCIA_PADRAO)</f>
        <v>0.85</v>
      </c>
      <c r="Y2039" s="18" t="n">
        <f aca="false">IF($X2039&lt;=0,0,$W2039/$X2039)</f>
        <v>0</v>
      </c>
      <c r="Z2039" s="16" t="n">
        <f aca="false">$Y2039*$H2039*MM_PARA_M3_HA</f>
        <v>0</v>
      </c>
      <c r="AA2039" s="18" t="n">
        <f aca="false">IFERROR(INDEX(CADASTRO_PIVOS!$I$6:$I$41,MATCH($E2039,CADASTRO_PIVOS!$B$6:$B$41,0)),0)</f>
        <v>710.571428571429</v>
      </c>
      <c r="AB2039" s="18" t="n">
        <f aca="false">IF($Z2039&lt;=0,0,$Z2039/$AA2039)</f>
        <v>0</v>
      </c>
      <c r="AC2039" s="16" t="n">
        <f aca="false">IFERROR(INDEX(SEMANAS!$K$6:$K$71,MATCH($B2039,SEMANAS!$B$6:$B$71,0)),0)</f>
        <v>147</v>
      </c>
      <c r="AD2039" s="19" t="n">
        <f aca="false">IF($AC2039&lt;=0,0,$AB2039/$AC2039)</f>
        <v>0</v>
      </c>
      <c r="AE2039" s="8" t="str">
        <f aca="false">IF($K2039="SEM CULTURA","SEM CULTURA",IF($AA2039&lt;=0,"DADO PENDENTE",IF($AD2039&gt;LIMITE_CRITICO,"INVIAVEL",IF($AD2039&gt;LIMITE_ATENCAO,"CRITICO",IF($AD2039&gt;LIMITE_CONFORTAVEL,"ATENCAO","OK")))))</f>
        <v>SEM CULTURA</v>
      </c>
      <c r="AF2039" s="8" t="str">
        <f aca="false">$B2039&amp;"|"&amp;TEXT($AD2039,"0.000000")</f>
        <v>54|0.000000</v>
      </c>
      <c r="AG2039" s="18" t="n">
        <f aca="false">IF($K2039="SEM CULTURA",0,$T2039*$H2039)</f>
        <v>0</v>
      </c>
      <c r="AH2039" s="18" t="n">
        <f aca="false">IF($K2039="SEM CULTURA",0,$V2039*$H2039)</f>
        <v>0</v>
      </c>
      <c r="AI2039" s="18" t="n">
        <f aca="false">IF($K2039="SEM CULTURA",0,$W2039*$H2039)</f>
        <v>0</v>
      </c>
      <c r="AJ2039" s="18" t="n">
        <f aca="false">IF($K2039="SEM CULTURA",0,$S2039*$H2039)</f>
        <v>0</v>
      </c>
      <c r="AK2039" s="8" t="str">
        <f aca="false">$E2039&amp;"|"&amp;TEXT($AD2039,"0.000000")</f>
        <v>PV 127|0.000000</v>
      </c>
    </row>
    <row r="2040" customFormat="false" ht="15" hidden="false" customHeight="false" outlineLevel="0" collapsed="false">
      <c r="B2040" s="16" t="n">
        <v>55</v>
      </c>
      <c r="C2040" s="17" t="n">
        <f aca="false">DATA_INICIO_SAFRA+($B2040-1)*DIAS_POR_SEMANA</f>
        <v>46643</v>
      </c>
      <c r="D2040" s="17" t="n">
        <f aca="false">$C2040+DIAS_POR_SEMANA-1</f>
        <v>46649</v>
      </c>
      <c r="E2040" s="15" t="s">
        <v>289</v>
      </c>
      <c r="F2040" s="8" t="str">
        <f aca="false">IFERROR(INDEX(CADASTRO_PIVOS!$C$6:$C$41,MATCH($E2040,CADASTRO_PIVOS!$B$6:$B$41,0)),"?")</f>
        <v>RM07</v>
      </c>
      <c r="G2040" s="8" t="str">
        <f aca="false">IFERROR(INDEX(CADASTRO_PIVOS!$D$6:$D$41,MATCH($E2040,CADASTRO_PIVOS!$B$6:$B$41,0)),"?")</f>
        <v>TR07</v>
      </c>
      <c r="H2040" s="20" t="n">
        <f aca="false">IFERROR(INDEX(CADASTRO_PIVOS!$E$6:$E$41,MATCH($E2040,CADASTRO_PIVOS!$B$6:$B$41,0)),0)</f>
        <v>99.48</v>
      </c>
      <c r="I2040" s="16" t="n">
        <f aca="false">IFERROR(SUMIFS(ROTACAO_RDM!$B$6:$B$71,ROTACAO_RDM!$D$6:$D$71,$E2040,ROTACAO_RDM!$I$6:$I$71,"&lt;="&amp;$C2040+INT(DIAS_POR_SEMANA/2),ROTACAO_RDM!$J$6:$J$71,"&gt;="&amp;$C2040+INT(DIAS_POR_SEMANA/2)),0)</f>
        <v>0</v>
      </c>
      <c r="J2040" s="16" t="n">
        <f aca="false">IFERROR(MATCH($I2040,ROTACAO_RDM!$B$6:$B$71,0),0)</f>
        <v>0</v>
      </c>
      <c r="K2040" s="8" t="str">
        <f aca="false">IF($J2040=0,"SEM CULTURA",INDEX(ROTACAO_RDM!$F$6:$F$71,$J2040))</f>
        <v>SEM CULTURA</v>
      </c>
      <c r="L2040" s="8" t="str">
        <f aca="false">IF($J2040=0,"",INDEX(ROTACAO_RDM!$G$6:$G$71,$J2040))</f>
        <v/>
      </c>
      <c r="M2040" s="17" t="str">
        <f aca="false">IF($J2040=0,"",INDEX(ROTACAO_RDM!$I$6:$I$71,$J2040))</f>
        <v/>
      </c>
      <c r="N2040" s="16" t="n">
        <f aca="false">IF($J2040=0,0,MAX(0,$C2040+INT(DIAS_POR_SEMANA/2)-INDEX(ROTACAO_RDM!$I$6:$I$71,$J2040)))</f>
        <v>0</v>
      </c>
      <c r="O2040" s="19" t="n">
        <f aca="false">IF($J2040=0,0,MIN(1,$N2040/MAX(1,INDEX(ROTACAO_RDM!$K$6:$K$71,$J2040))))</f>
        <v>0</v>
      </c>
      <c r="P2040" s="16" t="n">
        <f aca="false">IF($J2040=0,0,IFERROR(MATCH(INDEX(ROTACAO_RDM!$N$6:$N$71,$J2040),PARAMETROS_CULTURAS!$B$6:$B$28,0),0))</f>
        <v>0</v>
      </c>
      <c r="Q2040" s="8" t="str">
        <f aca="false">IF($P2040=0,"-",IF($O2040&lt;=INDEX(PARAMETROS_CULTURAS!$F$6:$F$28,$P2040),"INICIAL",IF($O2040&lt;=INDEX(PARAMETROS_CULTURAS!$F$6:$F$28,$P2040)+INDEX(PARAMETROS_CULTURAS!$G$6:$G$28,$P2040),"DESENVOLVIMENTO",IF($O2040&lt;=INDEX(PARAMETROS_CULTURAS!$F$6:$F$28,$P2040)+INDEX(PARAMETROS_CULTURAS!$G$6:$G$28,$P2040)+INDEX(PARAMETROS_CULTURAS!$H$6:$H$28,$P2040),"MEDIA","FINAL"))))</f>
        <v>-</v>
      </c>
      <c r="R2040" s="24" t="n">
        <f aca="false">IF($P2040=0,0,IF($O2040&lt;=INDEX(PARAMETROS_CULTURAS!$F$6:$F$28,$P2040),INDEX(PARAMETROS_CULTURAS!$K$6:$K$28,$P2040),IF($O2040&lt;=INDEX(PARAMETROS_CULTURAS!$F$6:$F$28,$P2040)+INDEX(PARAMETROS_CULTURAS!$G$6:$G$28,$P2040),INDEX(PARAMETROS_CULTURAS!$K$6:$K$28,$P2040)+(INDEX(PARAMETROS_CULTURAS!$L$6:$L$28,$P2040)-INDEX(PARAMETROS_CULTURAS!$K$6:$K$28,$P2040))*($O2040-INDEX(PARAMETROS_CULTURAS!$F$6:$F$28,$P2040))/MAX(INDEX(PARAMETROS_CULTURAS!$G$6:$G$28,$P2040),0.0001),IF($O2040&lt;=INDEX(PARAMETROS_CULTURAS!$F$6:$F$28,$P2040)+INDEX(PARAMETROS_CULTURAS!$G$6:$G$28,$P2040)+INDEX(PARAMETROS_CULTURAS!$H$6:$H$28,$P2040),INDEX(PARAMETROS_CULTURAS!$L$6:$L$28,$P2040),INDEX(PARAMETROS_CULTURAS!$L$6:$L$28,$P2040)+(INDEX(PARAMETROS_CULTURAS!$M$6:$M$28,$P2040)-INDEX(PARAMETROS_CULTURAS!$L$6:$L$28,$P2040))*($O2040-INDEX(PARAMETROS_CULTURAS!$F$6:$F$28,$P2040)-INDEX(PARAMETROS_CULTURAS!$G$6:$G$28,$P2040)-INDEX(PARAMETROS_CULTURAS!$H$6:$H$28,$P2040))/MAX(INDEX(PARAMETROS_CULTURAS!$I$6:$I$28,$P2040),0.0001)))))</f>
        <v>0</v>
      </c>
      <c r="S2040" s="18" t="n">
        <f aca="false">IFERROR(INDEX(SEMANAS!$H$6:$H$71,MATCH($B2040,SEMANAS!$B$6:$B$71,0)),0)</f>
        <v>40.6</v>
      </c>
      <c r="T2040" s="18" t="n">
        <f aca="false">$R2040*$S2040</f>
        <v>0</v>
      </c>
      <c r="U2040" s="18" t="n">
        <f aca="false">IFERROR(INDEX(SEMANAS!$I$6:$I$71,MATCH($B2040,SEMANAS!$B$6:$B$71,0)),0)</f>
        <v>7</v>
      </c>
      <c r="V2040" s="18" t="n">
        <f aca="false">IFERROR(INDEX(SEMANAS!$J$6:$J$71,MATCH($B2040,SEMANAS!$B$6:$B$71,0)),0)</f>
        <v>5.6</v>
      </c>
      <c r="W2040" s="18" t="n">
        <f aca="false">MAX(0,$T2040-$V2040)</f>
        <v>0</v>
      </c>
      <c r="X2040" s="19" t="n">
        <f aca="false">IFERROR(INDEX(CADASTRO_PIVOS!$K$6:$K$41,MATCH($E2040,CADASTRO_PIVOS!$B$6:$B$41,0)),EFICIENCIA_PADRAO)</f>
        <v>0.85</v>
      </c>
      <c r="Y2040" s="18" t="n">
        <f aca="false">IF($X2040&lt;=0,0,$W2040/$X2040)</f>
        <v>0</v>
      </c>
      <c r="Z2040" s="16" t="n">
        <f aca="false">$Y2040*$H2040*MM_PARA_M3_HA</f>
        <v>0</v>
      </c>
      <c r="AA2040" s="18" t="n">
        <f aca="false">IFERROR(INDEX(CADASTRO_PIVOS!$I$6:$I$41,MATCH($E2040,CADASTRO_PIVOS!$B$6:$B$41,0)),0)</f>
        <v>710.571428571429</v>
      </c>
      <c r="AB2040" s="18" t="n">
        <f aca="false">IF($Z2040&lt;=0,0,$Z2040/$AA2040)</f>
        <v>0</v>
      </c>
      <c r="AC2040" s="16" t="n">
        <f aca="false">IFERROR(INDEX(SEMANAS!$K$6:$K$71,MATCH($B2040,SEMANAS!$B$6:$B$71,0)),0)</f>
        <v>147</v>
      </c>
      <c r="AD2040" s="19" t="n">
        <f aca="false">IF($AC2040&lt;=0,0,$AB2040/$AC2040)</f>
        <v>0</v>
      </c>
      <c r="AE2040" s="8" t="str">
        <f aca="false">IF($K2040="SEM CULTURA","SEM CULTURA",IF($AA2040&lt;=0,"DADO PENDENTE",IF($AD2040&gt;LIMITE_CRITICO,"INVIAVEL",IF($AD2040&gt;LIMITE_ATENCAO,"CRITICO",IF($AD2040&gt;LIMITE_CONFORTAVEL,"ATENCAO","OK")))))</f>
        <v>SEM CULTURA</v>
      </c>
      <c r="AF2040" s="8" t="str">
        <f aca="false">$B2040&amp;"|"&amp;TEXT($AD2040,"0.000000")</f>
        <v>55|0.000000</v>
      </c>
      <c r="AG2040" s="18" t="n">
        <f aca="false">IF($K2040="SEM CULTURA",0,$T2040*$H2040)</f>
        <v>0</v>
      </c>
      <c r="AH2040" s="18" t="n">
        <f aca="false">IF($K2040="SEM CULTURA",0,$V2040*$H2040)</f>
        <v>0</v>
      </c>
      <c r="AI2040" s="18" t="n">
        <f aca="false">IF($K2040="SEM CULTURA",0,$W2040*$H2040)</f>
        <v>0</v>
      </c>
      <c r="AJ2040" s="18" t="n">
        <f aca="false">IF($K2040="SEM CULTURA",0,$S2040*$H2040)</f>
        <v>0</v>
      </c>
      <c r="AK2040" s="8" t="str">
        <f aca="false">$E2040&amp;"|"&amp;TEXT($AD2040,"0.000000")</f>
        <v>PV 127|0.000000</v>
      </c>
    </row>
    <row r="2041" customFormat="false" ht="15" hidden="false" customHeight="false" outlineLevel="0" collapsed="false">
      <c r="B2041" s="16" t="n">
        <v>56</v>
      </c>
      <c r="C2041" s="17" t="n">
        <f aca="false">DATA_INICIO_SAFRA+($B2041-1)*DIAS_POR_SEMANA</f>
        <v>46650</v>
      </c>
      <c r="D2041" s="17" t="n">
        <f aca="false">$C2041+DIAS_POR_SEMANA-1</f>
        <v>46656</v>
      </c>
      <c r="E2041" s="15" t="s">
        <v>289</v>
      </c>
      <c r="F2041" s="8" t="str">
        <f aca="false">IFERROR(INDEX(CADASTRO_PIVOS!$C$6:$C$41,MATCH($E2041,CADASTRO_PIVOS!$B$6:$B$41,0)),"?")</f>
        <v>RM07</v>
      </c>
      <c r="G2041" s="8" t="str">
        <f aca="false">IFERROR(INDEX(CADASTRO_PIVOS!$D$6:$D$41,MATCH($E2041,CADASTRO_PIVOS!$B$6:$B$41,0)),"?")</f>
        <v>TR07</v>
      </c>
      <c r="H2041" s="20" t="n">
        <f aca="false">IFERROR(INDEX(CADASTRO_PIVOS!$E$6:$E$41,MATCH($E2041,CADASTRO_PIVOS!$B$6:$B$41,0)),0)</f>
        <v>99.48</v>
      </c>
      <c r="I2041" s="16" t="n">
        <f aca="false">IFERROR(SUMIFS(ROTACAO_RDM!$B$6:$B$71,ROTACAO_RDM!$D$6:$D$71,$E2041,ROTACAO_RDM!$I$6:$I$71,"&lt;="&amp;$C2041+INT(DIAS_POR_SEMANA/2),ROTACAO_RDM!$J$6:$J$71,"&gt;="&amp;$C2041+INT(DIAS_POR_SEMANA/2)),0)</f>
        <v>0</v>
      </c>
      <c r="J2041" s="16" t="n">
        <f aca="false">IFERROR(MATCH($I2041,ROTACAO_RDM!$B$6:$B$71,0),0)</f>
        <v>0</v>
      </c>
      <c r="K2041" s="8" t="str">
        <f aca="false">IF($J2041=0,"SEM CULTURA",INDEX(ROTACAO_RDM!$F$6:$F$71,$J2041))</f>
        <v>SEM CULTURA</v>
      </c>
      <c r="L2041" s="8" t="str">
        <f aca="false">IF($J2041=0,"",INDEX(ROTACAO_RDM!$G$6:$G$71,$J2041))</f>
        <v/>
      </c>
      <c r="M2041" s="17" t="str">
        <f aca="false">IF($J2041=0,"",INDEX(ROTACAO_RDM!$I$6:$I$71,$J2041))</f>
        <v/>
      </c>
      <c r="N2041" s="16" t="n">
        <f aca="false">IF($J2041=0,0,MAX(0,$C2041+INT(DIAS_POR_SEMANA/2)-INDEX(ROTACAO_RDM!$I$6:$I$71,$J2041)))</f>
        <v>0</v>
      </c>
      <c r="O2041" s="19" t="n">
        <f aca="false">IF($J2041=0,0,MIN(1,$N2041/MAX(1,INDEX(ROTACAO_RDM!$K$6:$K$71,$J2041))))</f>
        <v>0</v>
      </c>
      <c r="P2041" s="16" t="n">
        <f aca="false">IF($J2041=0,0,IFERROR(MATCH(INDEX(ROTACAO_RDM!$N$6:$N$71,$J2041),PARAMETROS_CULTURAS!$B$6:$B$28,0),0))</f>
        <v>0</v>
      </c>
      <c r="Q2041" s="8" t="str">
        <f aca="false">IF($P2041=0,"-",IF($O2041&lt;=INDEX(PARAMETROS_CULTURAS!$F$6:$F$28,$P2041),"INICIAL",IF($O2041&lt;=INDEX(PARAMETROS_CULTURAS!$F$6:$F$28,$P2041)+INDEX(PARAMETROS_CULTURAS!$G$6:$G$28,$P2041),"DESENVOLVIMENTO",IF($O2041&lt;=INDEX(PARAMETROS_CULTURAS!$F$6:$F$28,$P2041)+INDEX(PARAMETROS_CULTURAS!$G$6:$G$28,$P2041)+INDEX(PARAMETROS_CULTURAS!$H$6:$H$28,$P2041),"MEDIA","FINAL"))))</f>
        <v>-</v>
      </c>
      <c r="R2041" s="24" t="n">
        <f aca="false">IF($P2041=0,0,IF($O2041&lt;=INDEX(PARAMETROS_CULTURAS!$F$6:$F$28,$P2041),INDEX(PARAMETROS_CULTURAS!$K$6:$K$28,$P2041),IF($O2041&lt;=INDEX(PARAMETROS_CULTURAS!$F$6:$F$28,$P2041)+INDEX(PARAMETROS_CULTURAS!$G$6:$G$28,$P2041),INDEX(PARAMETROS_CULTURAS!$K$6:$K$28,$P2041)+(INDEX(PARAMETROS_CULTURAS!$L$6:$L$28,$P2041)-INDEX(PARAMETROS_CULTURAS!$K$6:$K$28,$P2041))*($O2041-INDEX(PARAMETROS_CULTURAS!$F$6:$F$28,$P2041))/MAX(INDEX(PARAMETROS_CULTURAS!$G$6:$G$28,$P2041),0.0001),IF($O2041&lt;=INDEX(PARAMETROS_CULTURAS!$F$6:$F$28,$P2041)+INDEX(PARAMETROS_CULTURAS!$G$6:$G$28,$P2041)+INDEX(PARAMETROS_CULTURAS!$H$6:$H$28,$P2041),INDEX(PARAMETROS_CULTURAS!$L$6:$L$28,$P2041),INDEX(PARAMETROS_CULTURAS!$L$6:$L$28,$P2041)+(INDEX(PARAMETROS_CULTURAS!$M$6:$M$28,$P2041)-INDEX(PARAMETROS_CULTURAS!$L$6:$L$28,$P2041))*($O2041-INDEX(PARAMETROS_CULTURAS!$F$6:$F$28,$P2041)-INDEX(PARAMETROS_CULTURAS!$G$6:$G$28,$P2041)-INDEX(PARAMETROS_CULTURAS!$H$6:$H$28,$P2041))/MAX(INDEX(PARAMETROS_CULTURAS!$I$6:$I$28,$P2041),0.0001)))))</f>
        <v>0</v>
      </c>
      <c r="S2041" s="18" t="n">
        <f aca="false">IFERROR(INDEX(SEMANAS!$H$6:$H$71,MATCH($B2041,SEMANAS!$B$6:$B$71,0)),0)</f>
        <v>40.6</v>
      </c>
      <c r="T2041" s="18" t="n">
        <f aca="false">$R2041*$S2041</f>
        <v>0</v>
      </c>
      <c r="U2041" s="18" t="n">
        <f aca="false">IFERROR(INDEX(SEMANAS!$I$6:$I$71,MATCH($B2041,SEMANAS!$B$6:$B$71,0)),0)</f>
        <v>7</v>
      </c>
      <c r="V2041" s="18" t="n">
        <f aca="false">IFERROR(INDEX(SEMANAS!$J$6:$J$71,MATCH($B2041,SEMANAS!$B$6:$B$71,0)),0)</f>
        <v>5.6</v>
      </c>
      <c r="W2041" s="18" t="n">
        <f aca="false">MAX(0,$T2041-$V2041)</f>
        <v>0</v>
      </c>
      <c r="X2041" s="19" t="n">
        <f aca="false">IFERROR(INDEX(CADASTRO_PIVOS!$K$6:$K$41,MATCH($E2041,CADASTRO_PIVOS!$B$6:$B$41,0)),EFICIENCIA_PADRAO)</f>
        <v>0.85</v>
      </c>
      <c r="Y2041" s="18" t="n">
        <f aca="false">IF($X2041&lt;=0,0,$W2041/$X2041)</f>
        <v>0</v>
      </c>
      <c r="Z2041" s="16" t="n">
        <f aca="false">$Y2041*$H2041*MM_PARA_M3_HA</f>
        <v>0</v>
      </c>
      <c r="AA2041" s="18" t="n">
        <f aca="false">IFERROR(INDEX(CADASTRO_PIVOS!$I$6:$I$41,MATCH($E2041,CADASTRO_PIVOS!$B$6:$B$41,0)),0)</f>
        <v>710.571428571429</v>
      </c>
      <c r="AB2041" s="18" t="n">
        <f aca="false">IF($Z2041&lt;=0,0,$Z2041/$AA2041)</f>
        <v>0</v>
      </c>
      <c r="AC2041" s="16" t="n">
        <f aca="false">IFERROR(INDEX(SEMANAS!$K$6:$K$71,MATCH($B2041,SEMANAS!$B$6:$B$71,0)),0)</f>
        <v>147</v>
      </c>
      <c r="AD2041" s="19" t="n">
        <f aca="false">IF($AC2041&lt;=0,0,$AB2041/$AC2041)</f>
        <v>0</v>
      </c>
      <c r="AE2041" s="8" t="str">
        <f aca="false">IF($K2041="SEM CULTURA","SEM CULTURA",IF($AA2041&lt;=0,"DADO PENDENTE",IF($AD2041&gt;LIMITE_CRITICO,"INVIAVEL",IF($AD2041&gt;LIMITE_ATENCAO,"CRITICO",IF($AD2041&gt;LIMITE_CONFORTAVEL,"ATENCAO","OK")))))</f>
        <v>SEM CULTURA</v>
      </c>
      <c r="AF2041" s="8" t="str">
        <f aca="false">$B2041&amp;"|"&amp;TEXT($AD2041,"0.000000")</f>
        <v>56|0.000000</v>
      </c>
      <c r="AG2041" s="18" t="n">
        <f aca="false">IF($K2041="SEM CULTURA",0,$T2041*$H2041)</f>
        <v>0</v>
      </c>
      <c r="AH2041" s="18" t="n">
        <f aca="false">IF($K2041="SEM CULTURA",0,$V2041*$H2041)</f>
        <v>0</v>
      </c>
      <c r="AI2041" s="18" t="n">
        <f aca="false">IF($K2041="SEM CULTURA",0,$W2041*$H2041)</f>
        <v>0</v>
      </c>
      <c r="AJ2041" s="18" t="n">
        <f aca="false">IF($K2041="SEM CULTURA",0,$S2041*$H2041)</f>
        <v>0</v>
      </c>
      <c r="AK2041" s="8" t="str">
        <f aca="false">$E2041&amp;"|"&amp;TEXT($AD2041,"0.000000")</f>
        <v>PV 127|0.000000</v>
      </c>
    </row>
    <row r="2042" customFormat="false" ht="15" hidden="false" customHeight="false" outlineLevel="0" collapsed="false">
      <c r="B2042" s="16" t="n">
        <v>57</v>
      </c>
      <c r="C2042" s="17" t="n">
        <f aca="false">DATA_INICIO_SAFRA+($B2042-1)*DIAS_POR_SEMANA</f>
        <v>46657</v>
      </c>
      <c r="D2042" s="17" t="n">
        <f aca="false">$C2042+DIAS_POR_SEMANA-1</f>
        <v>46663</v>
      </c>
      <c r="E2042" s="15" t="s">
        <v>289</v>
      </c>
      <c r="F2042" s="8" t="str">
        <f aca="false">IFERROR(INDEX(CADASTRO_PIVOS!$C$6:$C$41,MATCH($E2042,CADASTRO_PIVOS!$B$6:$B$41,0)),"?")</f>
        <v>RM07</v>
      </c>
      <c r="G2042" s="8" t="str">
        <f aca="false">IFERROR(INDEX(CADASTRO_PIVOS!$D$6:$D$41,MATCH($E2042,CADASTRO_PIVOS!$B$6:$B$41,0)),"?")</f>
        <v>TR07</v>
      </c>
      <c r="H2042" s="20" t="n">
        <f aca="false">IFERROR(INDEX(CADASTRO_PIVOS!$E$6:$E$41,MATCH($E2042,CADASTRO_PIVOS!$B$6:$B$41,0)),0)</f>
        <v>99.48</v>
      </c>
      <c r="I2042" s="16" t="n">
        <f aca="false">IFERROR(SUMIFS(ROTACAO_RDM!$B$6:$B$71,ROTACAO_RDM!$D$6:$D$71,$E2042,ROTACAO_RDM!$I$6:$I$71,"&lt;="&amp;$C2042+INT(DIAS_POR_SEMANA/2),ROTACAO_RDM!$J$6:$J$71,"&gt;="&amp;$C2042+INT(DIAS_POR_SEMANA/2)),0)</f>
        <v>0</v>
      </c>
      <c r="J2042" s="16" t="n">
        <f aca="false">IFERROR(MATCH($I2042,ROTACAO_RDM!$B$6:$B$71,0),0)</f>
        <v>0</v>
      </c>
      <c r="K2042" s="8" t="str">
        <f aca="false">IF($J2042=0,"SEM CULTURA",INDEX(ROTACAO_RDM!$F$6:$F$71,$J2042))</f>
        <v>SEM CULTURA</v>
      </c>
      <c r="L2042" s="8" t="str">
        <f aca="false">IF($J2042=0,"",INDEX(ROTACAO_RDM!$G$6:$G$71,$J2042))</f>
        <v/>
      </c>
      <c r="M2042" s="17" t="str">
        <f aca="false">IF($J2042=0,"",INDEX(ROTACAO_RDM!$I$6:$I$71,$J2042))</f>
        <v/>
      </c>
      <c r="N2042" s="16" t="n">
        <f aca="false">IF($J2042=0,0,MAX(0,$C2042+INT(DIAS_POR_SEMANA/2)-INDEX(ROTACAO_RDM!$I$6:$I$71,$J2042)))</f>
        <v>0</v>
      </c>
      <c r="O2042" s="19" t="n">
        <f aca="false">IF($J2042=0,0,MIN(1,$N2042/MAX(1,INDEX(ROTACAO_RDM!$K$6:$K$71,$J2042))))</f>
        <v>0</v>
      </c>
      <c r="P2042" s="16" t="n">
        <f aca="false">IF($J2042=0,0,IFERROR(MATCH(INDEX(ROTACAO_RDM!$N$6:$N$71,$J2042),PARAMETROS_CULTURAS!$B$6:$B$28,0),0))</f>
        <v>0</v>
      </c>
      <c r="Q2042" s="8" t="str">
        <f aca="false">IF($P2042=0,"-",IF($O2042&lt;=INDEX(PARAMETROS_CULTURAS!$F$6:$F$28,$P2042),"INICIAL",IF($O2042&lt;=INDEX(PARAMETROS_CULTURAS!$F$6:$F$28,$P2042)+INDEX(PARAMETROS_CULTURAS!$G$6:$G$28,$P2042),"DESENVOLVIMENTO",IF($O2042&lt;=INDEX(PARAMETROS_CULTURAS!$F$6:$F$28,$P2042)+INDEX(PARAMETROS_CULTURAS!$G$6:$G$28,$P2042)+INDEX(PARAMETROS_CULTURAS!$H$6:$H$28,$P2042),"MEDIA","FINAL"))))</f>
        <v>-</v>
      </c>
      <c r="R2042" s="24" t="n">
        <f aca="false">IF($P2042=0,0,IF($O2042&lt;=INDEX(PARAMETROS_CULTURAS!$F$6:$F$28,$P2042),INDEX(PARAMETROS_CULTURAS!$K$6:$K$28,$P2042),IF($O2042&lt;=INDEX(PARAMETROS_CULTURAS!$F$6:$F$28,$P2042)+INDEX(PARAMETROS_CULTURAS!$G$6:$G$28,$P2042),INDEX(PARAMETROS_CULTURAS!$K$6:$K$28,$P2042)+(INDEX(PARAMETROS_CULTURAS!$L$6:$L$28,$P2042)-INDEX(PARAMETROS_CULTURAS!$K$6:$K$28,$P2042))*($O2042-INDEX(PARAMETROS_CULTURAS!$F$6:$F$28,$P2042))/MAX(INDEX(PARAMETROS_CULTURAS!$G$6:$G$28,$P2042),0.0001),IF($O2042&lt;=INDEX(PARAMETROS_CULTURAS!$F$6:$F$28,$P2042)+INDEX(PARAMETROS_CULTURAS!$G$6:$G$28,$P2042)+INDEX(PARAMETROS_CULTURAS!$H$6:$H$28,$P2042),INDEX(PARAMETROS_CULTURAS!$L$6:$L$28,$P2042),INDEX(PARAMETROS_CULTURAS!$L$6:$L$28,$P2042)+(INDEX(PARAMETROS_CULTURAS!$M$6:$M$28,$P2042)-INDEX(PARAMETROS_CULTURAS!$L$6:$L$28,$P2042))*($O2042-INDEX(PARAMETROS_CULTURAS!$F$6:$F$28,$P2042)-INDEX(PARAMETROS_CULTURAS!$G$6:$G$28,$P2042)-INDEX(PARAMETROS_CULTURAS!$H$6:$H$28,$P2042))/MAX(INDEX(PARAMETROS_CULTURAS!$I$6:$I$28,$P2042),0.0001)))))</f>
        <v>0</v>
      </c>
      <c r="S2042" s="18" t="n">
        <f aca="false">IFERROR(INDEX(SEMANAS!$H$6:$H$71,MATCH($B2042,SEMANAS!$B$6:$B$71,0)),0)</f>
        <v>40</v>
      </c>
      <c r="T2042" s="18" t="n">
        <f aca="false">$R2042*$S2042</f>
        <v>0</v>
      </c>
      <c r="U2042" s="18" t="n">
        <f aca="false">IFERROR(INDEX(SEMANAS!$I$6:$I$71,MATCH($B2042,SEMANAS!$B$6:$B$71,0)),0)</f>
        <v>15.61</v>
      </c>
      <c r="V2042" s="18" t="n">
        <f aca="false">IFERROR(INDEX(SEMANAS!$J$6:$J$71,MATCH($B2042,SEMANAS!$B$6:$B$71,0)),0)</f>
        <v>12.488</v>
      </c>
      <c r="W2042" s="18" t="n">
        <f aca="false">MAX(0,$T2042-$V2042)</f>
        <v>0</v>
      </c>
      <c r="X2042" s="19" t="n">
        <f aca="false">IFERROR(INDEX(CADASTRO_PIVOS!$K$6:$K$41,MATCH($E2042,CADASTRO_PIVOS!$B$6:$B$41,0)),EFICIENCIA_PADRAO)</f>
        <v>0.85</v>
      </c>
      <c r="Y2042" s="18" t="n">
        <f aca="false">IF($X2042&lt;=0,0,$W2042/$X2042)</f>
        <v>0</v>
      </c>
      <c r="Z2042" s="16" t="n">
        <f aca="false">$Y2042*$H2042*MM_PARA_M3_HA</f>
        <v>0</v>
      </c>
      <c r="AA2042" s="18" t="n">
        <f aca="false">IFERROR(INDEX(CADASTRO_PIVOS!$I$6:$I$41,MATCH($E2042,CADASTRO_PIVOS!$B$6:$B$41,0)),0)</f>
        <v>710.571428571429</v>
      </c>
      <c r="AB2042" s="18" t="n">
        <f aca="false">IF($Z2042&lt;=0,0,$Z2042/$AA2042)</f>
        <v>0</v>
      </c>
      <c r="AC2042" s="16" t="n">
        <f aca="false">IFERROR(INDEX(SEMANAS!$K$6:$K$71,MATCH($B2042,SEMANAS!$B$6:$B$71,0)),0)</f>
        <v>147</v>
      </c>
      <c r="AD2042" s="19" t="n">
        <f aca="false">IF($AC2042&lt;=0,0,$AB2042/$AC2042)</f>
        <v>0</v>
      </c>
      <c r="AE2042" s="8" t="str">
        <f aca="false">IF($K2042="SEM CULTURA","SEM CULTURA",IF($AA2042&lt;=0,"DADO PENDENTE",IF($AD2042&gt;LIMITE_CRITICO,"INVIAVEL",IF($AD2042&gt;LIMITE_ATENCAO,"CRITICO",IF($AD2042&gt;LIMITE_CONFORTAVEL,"ATENCAO","OK")))))</f>
        <v>SEM CULTURA</v>
      </c>
      <c r="AF2042" s="8" t="str">
        <f aca="false">$B2042&amp;"|"&amp;TEXT($AD2042,"0.000000")</f>
        <v>57|0.000000</v>
      </c>
      <c r="AG2042" s="18" t="n">
        <f aca="false">IF($K2042="SEM CULTURA",0,$T2042*$H2042)</f>
        <v>0</v>
      </c>
      <c r="AH2042" s="18" t="n">
        <f aca="false">IF($K2042="SEM CULTURA",0,$V2042*$H2042)</f>
        <v>0</v>
      </c>
      <c r="AI2042" s="18" t="n">
        <f aca="false">IF($K2042="SEM CULTURA",0,$W2042*$H2042)</f>
        <v>0</v>
      </c>
      <c r="AJ2042" s="18" t="n">
        <f aca="false">IF($K2042="SEM CULTURA",0,$S2042*$H2042)</f>
        <v>0</v>
      </c>
      <c r="AK2042" s="8" t="str">
        <f aca="false">$E2042&amp;"|"&amp;TEXT($AD2042,"0.000000")</f>
        <v>PV 127|0.000000</v>
      </c>
    </row>
    <row r="2043" customFormat="false" ht="15" hidden="false" customHeight="false" outlineLevel="0" collapsed="false">
      <c r="B2043" s="16" t="n">
        <v>58</v>
      </c>
      <c r="C2043" s="17" t="n">
        <f aca="false">DATA_INICIO_SAFRA+($B2043-1)*DIAS_POR_SEMANA</f>
        <v>46664</v>
      </c>
      <c r="D2043" s="17" t="n">
        <f aca="false">$C2043+DIAS_POR_SEMANA-1</f>
        <v>46670</v>
      </c>
      <c r="E2043" s="15" t="s">
        <v>289</v>
      </c>
      <c r="F2043" s="8" t="str">
        <f aca="false">IFERROR(INDEX(CADASTRO_PIVOS!$C$6:$C$41,MATCH($E2043,CADASTRO_PIVOS!$B$6:$B$41,0)),"?")</f>
        <v>RM07</v>
      </c>
      <c r="G2043" s="8" t="str">
        <f aca="false">IFERROR(INDEX(CADASTRO_PIVOS!$D$6:$D$41,MATCH($E2043,CADASTRO_PIVOS!$B$6:$B$41,0)),"?")</f>
        <v>TR07</v>
      </c>
      <c r="H2043" s="20" t="n">
        <f aca="false">IFERROR(INDEX(CADASTRO_PIVOS!$E$6:$E$41,MATCH($E2043,CADASTRO_PIVOS!$B$6:$B$41,0)),0)</f>
        <v>99.48</v>
      </c>
      <c r="I2043" s="16" t="n">
        <f aca="false">IFERROR(SUMIFS(ROTACAO_RDM!$B$6:$B$71,ROTACAO_RDM!$D$6:$D$71,$E2043,ROTACAO_RDM!$I$6:$I$71,"&lt;="&amp;$C2043+INT(DIAS_POR_SEMANA/2),ROTACAO_RDM!$J$6:$J$71,"&gt;="&amp;$C2043+INT(DIAS_POR_SEMANA/2)),0)</f>
        <v>0</v>
      </c>
      <c r="J2043" s="16" t="n">
        <f aca="false">IFERROR(MATCH($I2043,ROTACAO_RDM!$B$6:$B$71,0),0)</f>
        <v>0</v>
      </c>
      <c r="K2043" s="8" t="str">
        <f aca="false">IF($J2043=0,"SEM CULTURA",INDEX(ROTACAO_RDM!$F$6:$F$71,$J2043))</f>
        <v>SEM CULTURA</v>
      </c>
      <c r="L2043" s="8" t="str">
        <f aca="false">IF($J2043=0,"",INDEX(ROTACAO_RDM!$G$6:$G$71,$J2043))</f>
        <v/>
      </c>
      <c r="M2043" s="17" t="str">
        <f aca="false">IF($J2043=0,"",INDEX(ROTACAO_RDM!$I$6:$I$71,$J2043))</f>
        <v/>
      </c>
      <c r="N2043" s="16" t="n">
        <f aca="false">IF($J2043=0,0,MAX(0,$C2043+INT(DIAS_POR_SEMANA/2)-INDEX(ROTACAO_RDM!$I$6:$I$71,$J2043)))</f>
        <v>0</v>
      </c>
      <c r="O2043" s="19" t="n">
        <f aca="false">IF($J2043=0,0,MIN(1,$N2043/MAX(1,INDEX(ROTACAO_RDM!$K$6:$K$71,$J2043))))</f>
        <v>0</v>
      </c>
      <c r="P2043" s="16" t="n">
        <f aca="false">IF($J2043=0,0,IFERROR(MATCH(INDEX(ROTACAO_RDM!$N$6:$N$71,$J2043),PARAMETROS_CULTURAS!$B$6:$B$28,0),0))</f>
        <v>0</v>
      </c>
      <c r="Q2043" s="8" t="str">
        <f aca="false">IF($P2043=0,"-",IF($O2043&lt;=INDEX(PARAMETROS_CULTURAS!$F$6:$F$28,$P2043),"INICIAL",IF($O2043&lt;=INDEX(PARAMETROS_CULTURAS!$F$6:$F$28,$P2043)+INDEX(PARAMETROS_CULTURAS!$G$6:$G$28,$P2043),"DESENVOLVIMENTO",IF($O2043&lt;=INDEX(PARAMETROS_CULTURAS!$F$6:$F$28,$P2043)+INDEX(PARAMETROS_CULTURAS!$G$6:$G$28,$P2043)+INDEX(PARAMETROS_CULTURAS!$H$6:$H$28,$P2043),"MEDIA","FINAL"))))</f>
        <v>-</v>
      </c>
      <c r="R2043" s="24" t="n">
        <f aca="false">IF($P2043=0,0,IF($O2043&lt;=INDEX(PARAMETROS_CULTURAS!$F$6:$F$28,$P2043),INDEX(PARAMETROS_CULTURAS!$K$6:$K$28,$P2043),IF($O2043&lt;=INDEX(PARAMETROS_CULTURAS!$F$6:$F$28,$P2043)+INDEX(PARAMETROS_CULTURAS!$G$6:$G$28,$P2043),INDEX(PARAMETROS_CULTURAS!$K$6:$K$28,$P2043)+(INDEX(PARAMETROS_CULTURAS!$L$6:$L$28,$P2043)-INDEX(PARAMETROS_CULTURAS!$K$6:$K$28,$P2043))*($O2043-INDEX(PARAMETROS_CULTURAS!$F$6:$F$28,$P2043))/MAX(INDEX(PARAMETROS_CULTURAS!$G$6:$G$28,$P2043),0.0001),IF($O2043&lt;=INDEX(PARAMETROS_CULTURAS!$F$6:$F$28,$P2043)+INDEX(PARAMETROS_CULTURAS!$G$6:$G$28,$P2043)+INDEX(PARAMETROS_CULTURAS!$H$6:$H$28,$P2043),INDEX(PARAMETROS_CULTURAS!$L$6:$L$28,$P2043),INDEX(PARAMETROS_CULTURAS!$L$6:$L$28,$P2043)+(INDEX(PARAMETROS_CULTURAS!$M$6:$M$28,$P2043)-INDEX(PARAMETROS_CULTURAS!$L$6:$L$28,$P2043))*($O2043-INDEX(PARAMETROS_CULTURAS!$F$6:$F$28,$P2043)-INDEX(PARAMETROS_CULTURAS!$G$6:$G$28,$P2043)-INDEX(PARAMETROS_CULTURAS!$H$6:$H$28,$P2043))/MAX(INDEX(PARAMETROS_CULTURAS!$I$6:$I$28,$P2043),0.0001)))))</f>
        <v>0</v>
      </c>
      <c r="S2043" s="18" t="n">
        <f aca="false">IFERROR(INDEX(SEMANAS!$H$6:$H$71,MATCH($B2043,SEMANAS!$B$6:$B$71,0)),0)</f>
        <v>39.2</v>
      </c>
      <c r="T2043" s="18" t="n">
        <f aca="false">$R2043*$S2043</f>
        <v>0</v>
      </c>
      <c r="U2043" s="18" t="n">
        <f aca="false">IFERROR(INDEX(SEMANAS!$I$6:$I$71,MATCH($B2043,SEMANAS!$B$6:$B$71,0)),0)</f>
        <v>27.09</v>
      </c>
      <c r="V2043" s="18" t="n">
        <f aca="false">IFERROR(INDEX(SEMANAS!$J$6:$J$71,MATCH($B2043,SEMANAS!$B$6:$B$71,0)),0)</f>
        <v>21.672</v>
      </c>
      <c r="W2043" s="18" t="n">
        <f aca="false">MAX(0,$T2043-$V2043)</f>
        <v>0</v>
      </c>
      <c r="X2043" s="19" t="n">
        <f aca="false">IFERROR(INDEX(CADASTRO_PIVOS!$K$6:$K$41,MATCH($E2043,CADASTRO_PIVOS!$B$6:$B$41,0)),EFICIENCIA_PADRAO)</f>
        <v>0.85</v>
      </c>
      <c r="Y2043" s="18" t="n">
        <f aca="false">IF($X2043&lt;=0,0,$W2043/$X2043)</f>
        <v>0</v>
      </c>
      <c r="Z2043" s="16" t="n">
        <f aca="false">$Y2043*$H2043*MM_PARA_M3_HA</f>
        <v>0</v>
      </c>
      <c r="AA2043" s="18" t="n">
        <f aca="false">IFERROR(INDEX(CADASTRO_PIVOS!$I$6:$I$41,MATCH($E2043,CADASTRO_PIVOS!$B$6:$B$41,0)),0)</f>
        <v>710.571428571429</v>
      </c>
      <c r="AB2043" s="18" t="n">
        <f aca="false">IF($Z2043&lt;=0,0,$Z2043/$AA2043)</f>
        <v>0</v>
      </c>
      <c r="AC2043" s="16" t="n">
        <f aca="false">IFERROR(INDEX(SEMANAS!$K$6:$K$71,MATCH($B2043,SEMANAS!$B$6:$B$71,0)),0)</f>
        <v>147</v>
      </c>
      <c r="AD2043" s="19" t="n">
        <f aca="false">IF($AC2043&lt;=0,0,$AB2043/$AC2043)</f>
        <v>0</v>
      </c>
      <c r="AE2043" s="8" t="str">
        <f aca="false">IF($K2043="SEM CULTURA","SEM CULTURA",IF($AA2043&lt;=0,"DADO PENDENTE",IF($AD2043&gt;LIMITE_CRITICO,"INVIAVEL",IF($AD2043&gt;LIMITE_ATENCAO,"CRITICO",IF($AD2043&gt;LIMITE_CONFORTAVEL,"ATENCAO","OK")))))</f>
        <v>SEM CULTURA</v>
      </c>
      <c r="AF2043" s="8" t="str">
        <f aca="false">$B2043&amp;"|"&amp;TEXT($AD2043,"0.000000")</f>
        <v>58|0.000000</v>
      </c>
      <c r="AG2043" s="18" t="n">
        <f aca="false">IF($K2043="SEM CULTURA",0,$T2043*$H2043)</f>
        <v>0</v>
      </c>
      <c r="AH2043" s="18" t="n">
        <f aca="false">IF($K2043="SEM CULTURA",0,$V2043*$H2043)</f>
        <v>0</v>
      </c>
      <c r="AI2043" s="18" t="n">
        <f aca="false">IF($K2043="SEM CULTURA",0,$W2043*$H2043)</f>
        <v>0</v>
      </c>
      <c r="AJ2043" s="18" t="n">
        <f aca="false">IF($K2043="SEM CULTURA",0,$S2043*$H2043)</f>
        <v>0</v>
      </c>
      <c r="AK2043" s="8" t="str">
        <f aca="false">$E2043&amp;"|"&amp;TEXT($AD2043,"0.000000")</f>
        <v>PV 127|0.000000</v>
      </c>
    </row>
    <row r="2044" customFormat="false" ht="15" hidden="false" customHeight="false" outlineLevel="0" collapsed="false">
      <c r="B2044" s="16" t="n">
        <v>59</v>
      </c>
      <c r="C2044" s="17" t="n">
        <f aca="false">DATA_INICIO_SAFRA+($B2044-1)*DIAS_POR_SEMANA</f>
        <v>46671</v>
      </c>
      <c r="D2044" s="17" t="n">
        <f aca="false">$C2044+DIAS_POR_SEMANA-1</f>
        <v>46677</v>
      </c>
      <c r="E2044" s="15" t="s">
        <v>289</v>
      </c>
      <c r="F2044" s="8" t="str">
        <f aca="false">IFERROR(INDEX(CADASTRO_PIVOS!$C$6:$C$41,MATCH($E2044,CADASTRO_PIVOS!$B$6:$B$41,0)),"?")</f>
        <v>RM07</v>
      </c>
      <c r="G2044" s="8" t="str">
        <f aca="false">IFERROR(INDEX(CADASTRO_PIVOS!$D$6:$D$41,MATCH($E2044,CADASTRO_PIVOS!$B$6:$B$41,0)),"?")</f>
        <v>TR07</v>
      </c>
      <c r="H2044" s="20" t="n">
        <f aca="false">IFERROR(INDEX(CADASTRO_PIVOS!$E$6:$E$41,MATCH($E2044,CADASTRO_PIVOS!$B$6:$B$41,0)),0)</f>
        <v>99.48</v>
      </c>
      <c r="I2044" s="16" t="n">
        <f aca="false">IFERROR(SUMIFS(ROTACAO_RDM!$B$6:$B$71,ROTACAO_RDM!$D$6:$D$71,$E2044,ROTACAO_RDM!$I$6:$I$71,"&lt;="&amp;$C2044+INT(DIAS_POR_SEMANA/2),ROTACAO_RDM!$J$6:$J$71,"&gt;="&amp;$C2044+INT(DIAS_POR_SEMANA/2)),0)</f>
        <v>0</v>
      </c>
      <c r="J2044" s="16" t="n">
        <f aca="false">IFERROR(MATCH($I2044,ROTACAO_RDM!$B$6:$B$71,0),0)</f>
        <v>0</v>
      </c>
      <c r="K2044" s="8" t="str">
        <f aca="false">IF($J2044=0,"SEM CULTURA",INDEX(ROTACAO_RDM!$F$6:$F$71,$J2044))</f>
        <v>SEM CULTURA</v>
      </c>
      <c r="L2044" s="8" t="str">
        <f aca="false">IF($J2044=0,"",INDEX(ROTACAO_RDM!$G$6:$G$71,$J2044))</f>
        <v/>
      </c>
      <c r="M2044" s="17" t="str">
        <f aca="false">IF($J2044=0,"",INDEX(ROTACAO_RDM!$I$6:$I$71,$J2044))</f>
        <v/>
      </c>
      <c r="N2044" s="16" t="n">
        <f aca="false">IF($J2044=0,0,MAX(0,$C2044+INT(DIAS_POR_SEMANA/2)-INDEX(ROTACAO_RDM!$I$6:$I$71,$J2044)))</f>
        <v>0</v>
      </c>
      <c r="O2044" s="19" t="n">
        <f aca="false">IF($J2044=0,0,MIN(1,$N2044/MAX(1,INDEX(ROTACAO_RDM!$K$6:$K$71,$J2044))))</f>
        <v>0</v>
      </c>
      <c r="P2044" s="16" t="n">
        <f aca="false">IF($J2044=0,0,IFERROR(MATCH(INDEX(ROTACAO_RDM!$N$6:$N$71,$J2044),PARAMETROS_CULTURAS!$B$6:$B$28,0),0))</f>
        <v>0</v>
      </c>
      <c r="Q2044" s="8" t="str">
        <f aca="false">IF($P2044=0,"-",IF($O2044&lt;=INDEX(PARAMETROS_CULTURAS!$F$6:$F$28,$P2044),"INICIAL",IF($O2044&lt;=INDEX(PARAMETROS_CULTURAS!$F$6:$F$28,$P2044)+INDEX(PARAMETROS_CULTURAS!$G$6:$G$28,$P2044),"DESENVOLVIMENTO",IF($O2044&lt;=INDEX(PARAMETROS_CULTURAS!$F$6:$F$28,$P2044)+INDEX(PARAMETROS_CULTURAS!$G$6:$G$28,$P2044)+INDEX(PARAMETROS_CULTURAS!$H$6:$H$28,$P2044),"MEDIA","FINAL"))))</f>
        <v>-</v>
      </c>
      <c r="R2044" s="24" t="n">
        <f aca="false">IF($P2044=0,0,IF($O2044&lt;=INDEX(PARAMETROS_CULTURAS!$F$6:$F$28,$P2044),INDEX(PARAMETROS_CULTURAS!$K$6:$K$28,$P2044),IF($O2044&lt;=INDEX(PARAMETROS_CULTURAS!$F$6:$F$28,$P2044)+INDEX(PARAMETROS_CULTURAS!$G$6:$G$28,$P2044),INDEX(PARAMETROS_CULTURAS!$K$6:$K$28,$P2044)+(INDEX(PARAMETROS_CULTURAS!$L$6:$L$28,$P2044)-INDEX(PARAMETROS_CULTURAS!$K$6:$K$28,$P2044))*($O2044-INDEX(PARAMETROS_CULTURAS!$F$6:$F$28,$P2044))/MAX(INDEX(PARAMETROS_CULTURAS!$G$6:$G$28,$P2044),0.0001),IF($O2044&lt;=INDEX(PARAMETROS_CULTURAS!$F$6:$F$28,$P2044)+INDEX(PARAMETROS_CULTURAS!$G$6:$G$28,$P2044)+INDEX(PARAMETROS_CULTURAS!$H$6:$H$28,$P2044),INDEX(PARAMETROS_CULTURAS!$L$6:$L$28,$P2044),INDEX(PARAMETROS_CULTURAS!$L$6:$L$28,$P2044)+(INDEX(PARAMETROS_CULTURAS!$M$6:$M$28,$P2044)-INDEX(PARAMETROS_CULTURAS!$L$6:$L$28,$P2044))*($O2044-INDEX(PARAMETROS_CULTURAS!$F$6:$F$28,$P2044)-INDEX(PARAMETROS_CULTURAS!$G$6:$G$28,$P2044)-INDEX(PARAMETROS_CULTURAS!$H$6:$H$28,$P2044))/MAX(INDEX(PARAMETROS_CULTURAS!$I$6:$I$28,$P2044),0.0001)))))</f>
        <v>0</v>
      </c>
      <c r="S2044" s="18" t="n">
        <f aca="false">IFERROR(INDEX(SEMANAS!$H$6:$H$71,MATCH($B2044,SEMANAS!$B$6:$B$71,0)),0)</f>
        <v>39.2</v>
      </c>
      <c r="T2044" s="18" t="n">
        <f aca="false">$R2044*$S2044</f>
        <v>0</v>
      </c>
      <c r="U2044" s="18" t="n">
        <f aca="false">IFERROR(INDEX(SEMANAS!$I$6:$I$71,MATCH($B2044,SEMANAS!$B$6:$B$71,0)),0)</f>
        <v>27.09</v>
      </c>
      <c r="V2044" s="18" t="n">
        <f aca="false">IFERROR(INDEX(SEMANAS!$J$6:$J$71,MATCH($B2044,SEMANAS!$B$6:$B$71,0)),0)</f>
        <v>21.672</v>
      </c>
      <c r="W2044" s="18" t="n">
        <f aca="false">MAX(0,$T2044-$V2044)</f>
        <v>0</v>
      </c>
      <c r="X2044" s="19" t="n">
        <f aca="false">IFERROR(INDEX(CADASTRO_PIVOS!$K$6:$K$41,MATCH($E2044,CADASTRO_PIVOS!$B$6:$B$41,0)),EFICIENCIA_PADRAO)</f>
        <v>0.85</v>
      </c>
      <c r="Y2044" s="18" t="n">
        <f aca="false">IF($X2044&lt;=0,0,$W2044/$X2044)</f>
        <v>0</v>
      </c>
      <c r="Z2044" s="16" t="n">
        <f aca="false">$Y2044*$H2044*MM_PARA_M3_HA</f>
        <v>0</v>
      </c>
      <c r="AA2044" s="18" t="n">
        <f aca="false">IFERROR(INDEX(CADASTRO_PIVOS!$I$6:$I$41,MATCH($E2044,CADASTRO_PIVOS!$B$6:$B$41,0)),0)</f>
        <v>710.571428571429</v>
      </c>
      <c r="AB2044" s="18" t="n">
        <f aca="false">IF($Z2044&lt;=0,0,$Z2044/$AA2044)</f>
        <v>0</v>
      </c>
      <c r="AC2044" s="16" t="n">
        <f aca="false">IFERROR(INDEX(SEMANAS!$K$6:$K$71,MATCH($B2044,SEMANAS!$B$6:$B$71,0)),0)</f>
        <v>147</v>
      </c>
      <c r="AD2044" s="19" t="n">
        <f aca="false">IF($AC2044&lt;=0,0,$AB2044/$AC2044)</f>
        <v>0</v>
      </c>
      <c r="AE2044" s="8" t="str">
        <f aca="false">IF($K2044="SEM CULTURA","SEM CULTURA",IF($AA2044&lt;=0,"DADO PENDENTE",IF($AD2044&gt;LIMITE_CRITICO,"INVIAVEL",IF($AD2044&gt;LIMITE_ATENCAO,"CRITICO",IF($AD2044&gt;LIMITE_CONFORTAVEL,"ATENCAO","OK")))))</f>
        <v>SEM CULTURA</v>
      </c>
      <c r="AF2044" s="8" t="str">
        <f aca="false">$B2044&amp;"|"&amp;TEXT($AD2044,"0.000000")</f>
        <v>59|0.000000</v>
      </c>
      <c r="AG2044" s="18" t="n">
        <f aca="false">IF($K2044="SEM CULTURA",0,$T2044*$H2044)</f>
        <v>0</v>
      </c>
      <c r="AH2044" s="18" t="n">
        <f aca="false">IF($K2044="SEM CULTURA",0,$V2044*$H2044)</f>
        <v>0</v>
      </c>
      <c r="AI2044" s="18" t="n">
        <f aca="false">IF($K2044="SEM CULTURA",0,$W2044*$H2044)</f>
        <v>0</v>
      </c>
      <c r="AJ2044" s="18" t="n">
        <f aca="false">IF($K2044="SEM CULTURA",0,$S2044*$H2044)</f>
        <v>0</v>
      </c>
      <c r="AK2044" s="8" t="str">
        <f aca="false">$E2044&amp;"|"&amp;TEXT($AD2044,"0.000000")</f>
        <v>PV 127|0.000000</v>
      </c>
    </row>
    <row r="2045" customFormat="false" ht="15" hidden="false" customHeight="false" outlineLevel="0" collapsed="false">
      <c r="B2045" s="16" t="n">
        <v>60</v>
      </c>
      <c r="C2045" s="17" t="n">
        <f aca="false">DATA_INICIO_SAFRA+($B2045-1)*DIAS_POR_SEMANA</f>
        <v>46678</v>
      </c>
      <c r="D2045" s="17" t="n">
        <f aca="false">$C2045+DIAS_POR_SEMANA-1</f>
        <v>46684</v>
      </c>
      <c r="E2045" s="15" t="s">
        <v>289</v>
      </c>
      <c r="F2045" s="8" t="str">
        <f aca="false">IFERROR(INDEX(CADASTRO_PIVOS!$C$6:$C$41,MATCH($E2045,CADASTRO_PIVOS!$B$6:$B$41,0)),"?")</f>
        <v>RM07</v>
      </c>
      <c r="G2045" s="8" t="str">
        <f aca="false">IFERROR(INDEX(CADASTRO_PIVOS!$D$6:$D$41,MATCH($E2045,CADASTRO_PIVOS!$B$6:$B$41,0)),"?")</f>
        <v>TR07</v>
      </c>
      <c r="H2045" s="20" t="n">
        <f aca="false">IFERROR(INDEX(CADASTRO_PIVOS!$E$6:$E$41,MATCH($E2045,CADASTRO_PIVOS!$B$6:$B$41,0)),0)</f>
        <v>99.48</v>
      </c>
      <c r="I2045" s="16" t="n">
        <f aca="false">IFERROR(SUMIFS(ROTACAO_RDM!$B$6:$B$71,ROTACAO_RDM!$D$6:$D$71,$E2045,ROTACAO_RDM!$I$6:$I$71,"&lt;="&amp;$C2045+INT(DIAS_POR_SEMANA/2),ROTACAO_RDM!$J$6:$J$71,"&gt;="&amp;$C2045+INT(DIAS_POR_SEMANA/2)),0)</f>
        <v>0</v>
      </c>
      <c r="J2045" s="16" t="n">
        <f aca="false">IFERROR(MATCH($I2045,ROTACAO_RDM!$B$6:$B$71,0),0)</f>
        <v>0</v>
      </c>
      <c r="K2045" s="8" t="str">
        <f aca="false">IF($J2045=0,"SEM CULTURA",INDEX(ROTACAO_RDM!$F$6:$F$71,$J2045))</f>
        <v>SEM CULTURA</v>
      </c>
      <c r="L2045" s="8" t="str">
        <f aca="false">IF($J2045=0,"",INDEX(ROTACAO_RDM!$G$6:$G$71,$J2045))</f>
        <v/>
      </c>
      <c r="M2045" s="17" t="str">
        <f aca="false">IF($J2045=0,"",INDEX(ROTACAO_RDM!$I$6:$I$71,$J2045))</f>
        <v/>
      </c>
      <c r="N2045" s="16" t="n">
        <f aca="false">IF($J2045=0,0,MAX(0,$C2045+INT(DIAS_POR_SEMANA/2)-INDEX(ROTACAO_RDM!$I$6:$I$71,$J2045)))</f>
        <v>0</v>
      </c>
      <c r="O2045" s="19" t="n">
        <f aca="false">IF($J2045=0,0,MIN(1,$N2045/MAX(1,INDEX(ROTACAO_RDM!$K$6:$K$71,$J2045))))</f>
        <v>0</v>
      </c>
      <c r="P2045" s="16" t="n">
        <f aca="false">IF($J2045=0,0,IFERROR(MATCH(INDEX(ROTACAO_RDM!$N$6:$N$71,$J2045),PARAMETROS_CULTURAS!$B$6:$B$28,0),0))</f>
        <v>0</v>
      </c>
      <c r="Q2045" s="8" t="str">
        <f aca="false">IF($P2045=0,"-",IF($O2045&lt;=INDEX(PARAMETROS_CULTURAS!$F$6:$F$28,$P2045),"INICIAL",IF($O2045&lt;=INDEX(PARAMETROS_CULTURAS!$F$6:$F$28,$P2045)+INDEX(PARAMETROS_CULTURAS!$G$6:$G$28,$P2045),"DESENVOLVIMENTO",IF($O2045&lt;=INDEX(PARAMETROS_CULTURAS!$F$6:$F$28,$P2045)+INDEX(PARAMETROS_CULTURAS!$G$6:$G$28,$P2045)+INDEX(PARAMETROS_CULTURAS!$H$6:$H$28,$P2045),"MEDIA","FINAL"))))</f>
        <v>-</v>
      </c>
      <c r="R2045" s="24" t="n">
        <f aca="false">IF($P2045=0,0,IF($O2045&lt;=INDEX(PARAMETROS_CULTURAS!$F$6:$F$28,$P2045),INDEX(PARAMETROS_CULTURAS!$K$6:$K$28,$P2045),IF($O2045&lt;=INDEX(PARAMETROS_CULTURAS!$F$6:$F$28,$P2045)+INDEX(PARAMETROS_CULTURAS!$G$6:$G$28,$P2045),INDEX(PARAMETROS_CULTURAS!$K$6:$K$28,$P2045)+(INDEX(PARAMETROS_CULTURAS!$L$6:$L$28,$P2045)-INDEX(PARAMETROS_CULTURAS!$K$6:$K$28,$P2045))*($O2045-INDEX(PARAMETROS_CULTURAS!$F$6:$F$28,$P2045))/MAX(INDEX(PARAMETROS_CULTURAS!$G$6:$G$28,$P2045),0.0001),IF($O2045&lt;=INDEX(PARAMETROS_CULTURAS!$F$6:$F$28,$P2045)+INDEX(PARAMETROS_CULTURAS!$G$6:$G$28,$P2045)+INDEX(PARAMETROS_CULTURAS!$H$6:$H$28,$P2045),INDEX(PARAMETROS_CULTURAS!$L$6:$L$28,$P2045),INDEX(PARAMETROS_CULTURAS!$L$6:$L$28,$P2045)+(INDEX(PARAMETROS_CULTURAS!$M$6:$M$28,$P2045)-INDEX(PARAMETROS_CULTURAS!$L$6:$L$28,$P2045))*($O2045-INDEX(PARAMETROS_CULTURAS!$F$6:$F$28,$P2045)-INDEX(PARAMETROS_CULTURAS!$G$6:$G$28,$P2045)-INDEX(PARAMETROS_CULTURAS!$H$6:$H$28,$P2045))/MAX(INDEX(PARAMETROS_CULTURAS!$I$6:$I$28,$P2045),0.0001)))))</f>
        <v>0</v>
      </c>
      <c r="S2045" s="18" t="n">
        <f aca="false">IFERROR(INDEX(SEMANAS!$H$6:$H$71,MATCH($B2045,SEMANAS!$B$6:$B$71,0)),0)</f>
        <v>39.2</v>
      </c>
      <c r="T2045" s="18" t="n">
        <f aca="false">$R2045*$S2045</f>
        <v>0</v>
      </c>
      <c r="U2045" s="18" t="n">
        <f aca="false">IFERROR(INDEX(SEMANAS!$I$6:$I$71,MATCH($B2045,SEMANAS!$B$6:$B$71,0)),0)</f>
        <v>27.09</v>
      </c>
      <c r="V2045" s="18" t="n">
        <f aca="false">IFERROR(INDEX(SEMANAS!$J$6:$J$71,MATCH($B2045,SEMANAS!$B$6:$B$71,0)),0)</f>
        <v>21.672</v>
      </c>
      <c r="W2045" s="18" t="n">
        <f aca="false">MAX(0,$T2045-$V2045)</f>
        <v>0</v>
      </c>
      <c r="X2045" s="19" t="n">
        <f aca="false">IFERROR(INDEX(CADASTRO_PIVOS!$K$6:$K$41,MATCH($E2045,CADASTRO_PIVOS!$B$6:$B$41,0)),EFICIENCIA_PADRAO)</f>
        <v>0.85</v>
      </c>
      <c r="Y2045" s="18" t="n">
        <f aca="false">IF($X2045&lt;=0,0,$W2045/$X2045)</f>
        <v>0</v>
      </c>
      <c r="Z2045" s="16" t="n">
        <f aca="false">$Y2045*$H2045*MM_PARA_M3_HA</f>
        <v>0</v>
      </c>
      <c r="AA2045" s="18" t="n">
        <f aca="false">IFERROR(INDEX(CADASTRO_PIVOS!$I$6:$I$41,MATCH($E2045,CADASTRO_PIVOS!$B$6:$B$41,0)),0)</f>
        <v>710.571428571429</v>
      </c>
      <c r="AB2045" s="18" t="n">
        <f aca="false">IF($Z2045&lt;=0,0,$Z2045/$AA2045)</f>
        <v>0</v>
      </c>
      <c r="AC2045" s="16" t="n">
        <f aca="false">IFERROR(INDEX(SEMANAS!$K$6:$K$71,MATCH($B2045,SEMANAS!$B$6:$B$71,0)),0)</f>
        <v>147</v>
      </c>
      <c r="AD2045" s="19" t="n">
        <f aca="false">IF($AC2045&lt;=0,0,$AB2045/$AC2045)</f>
        <v>0</v>
      </c>
      <c r="AE2045" s="8" t="str">
        <f aca="false">IF($K2045="SEM CULTURA","SEM CULTURA",IF($AA2045&lt;=0,"DADO PENDENTE",IF($AD2045&gt;LIMITE_CRITICO,"INVIAVEL",IF($AD2045&gt;LIMITE_ATENCAO,"CRITICO",IF($AD2045&gt;LIMITE_CONFORTAVEL,"ATENCAO","OK")))))</f>
        <v>SEM CULTURA</v>
      </c>
      <c r="AF2045" s="8" t="str">
        <f aca="false">$B2045&amp;"|"&amp;TEXT($AD2045,"0.000000")</f>
        <v>60|0.000000</v>
      </c>
      <c r="AG2045" s="18" t="n">
        <f aca="false">IF($K2045="SEM CULTURA",0,$T2045*$H2045)</f>
        <v>0</v>
      </c>
      <c r="AH2045" s="18" t="n">
        <f aca="false">IF($K2045="SEM CULTURA",0,$V2045*$H2045)</f>
        <v>0</v>
      </c>
      <c r="AI2045" s="18" t="n">
        <f aca="false">IF($K2045="SEM CULTURA",0,$W2045*$H2045)</f>
        <v>0</v>
      </c>
      <c r="AJ2045" s="18" t="n">
        <f aca="false">IF($K2045="SEM CULTURA",0,$S2045*$H2045)</f>
        <v>0</v>
      </c>
      <c r="AK2045" s="8" t="str">
        <f aca="false">$E2045&amp;"|"&amp;TEXT($AD2045,"0.000000")</f>
        <v>PV 127|0.000000</v>
      </c>
    </row>
    <row r="2046" customFormat="false" ht="15" hidden="false" customHeight="false" outlineLevel="0" collapsed="false">
      <c r="B2046" s="16" t="n">
        <v>61</v>
      </c>
      <c r="C2046" s="17" t="n">
        <f aca="false">DATA_INICIO_SAFRA+($B2046-1)*DIAS_POR_SEMANA</f>
        <v>46685</v>
      </c>
      <c r="D2046" s="17" t="n">
        <f aca="false">$C2046+DIAS_POR_SEMANA-1</f>
        <v>46691</v>
      </c>
      <c r="E2046" s="15" t="s">
        <v>289</v>
      </c>
      <c r="F2046" s="8" t="str">
        <f aca="false">IFERROR(INDEX(CADASTRO_PIVOS!$C$6:$C$41,MATCH($E2046,CADASTRO_PIVOS!$B$6:$B$41,0)),"?")</f>
        <v>RM07</v>
      </c>
      <c r="G2046" s="8" t="str">
        <f aca="false">IFERROR(INDEX(CADASTRO_PIVOS!$D$6:$D$41,MATCH($E2046,CADASTRO_PIVOS!$B$6:$B$41,0)),"?")</f>
        <v>TR07</v>
      </c>
      <c r="H2046" s="20" t="n">
        <f aca="false">IFERROR(INDEX(CADASTRO_PIVOS!$E$6:$E$41,MATCH($E2046,CADASTRO_PIVOS!$B$6:$B$41,0)),0)</f>
        <v>99.48</v>
      </c>
      <c r="I2046" s="16" t="n">
        <f aca="false">IFERROR(SUMIFS(ROTACAO_RDM!$B$6:$B$71,ROTACAO_RDM!$D$6:$D$71,$E2046,ROTACAO_RDM!$I$6:$I$71,"&lt;="&amp;$C2046+INT(DIAS_POR_SEMANA/2),ROTACAO_RDM!$J$6:$J$71,"&gt;="&amp;$C2046+INT(DIAS_POR_SEMANA/2)),0)</f>
        <v>0</v>
      </c>
      <c r="J2046" s="16" t="n">
        <f aca="false">IFERROR(MATCH($I2046,ROTACAO_RDM!$B$6:$B$71,0),0)</f>
        <v>0</v>
      </c>
      <c r="K2046" s="8" t="str">
        <f aca="false">IF($J2046=0,"SEM CULTURA",INDEX(ROTACAO_RDM!$F$6:$F$71,$J2046))</f>
        <v>SEM CULTURA</v>
      </c>
      <c r="L2046" s="8" t="str">
        <f aca="false">IF($J2046=0,"",INDEX(ROTACAO_RDM!$G$6:$G$71,$J2046))</f>
        <v/>
      </c>
      <c r="M2046" s="17" t="str">
        <f aca="false">IF($J2046=0,"",INDEX(ROTACAO_RDM!$I$6:$I$71,$J2046))</f>
        <v/>
      </c>
      <c r="N2046" s="16" t="n">
        <f aca="false">IF($J2046=0,0,MAX(0,$C2046+INT(DIAS_POR_SEMANA/2)-INDEX(ROTACAO_RDM!$I$6:$I$71,$J2046)))</f>
        <v>0</v>
      </c>
      <c r="O2046" s="19" t="n">
        <f aca="false">IF($J2046=0,0,MIN(1,$N2046/MAX(1,INDEX(ROTACAO_RDM!$K$6:$K$71,$J2046))))</f>
        <v>0</v>
      </c>
      <c r="P2046" s="16" t="n">
        <f aca="false">IF($J2046=0,0,IFERROR(MATCH(INDEX(ROTACAO_RDM!$N$6:$N$71,$J2046),PARAMETROS_CULTURAS!$B$6:$B$28,0),0))</f>
        <v>0</v>
      </c>
      <c r="Q2046" s="8" t="str">
        <f aca="false">IF($P2046=0,"-",IF($O2046&lt;=INDEX(PARAMETROS_CULTURAS!$F$6:$F$28,$P2046),"INICIAL",IF($O2046&lt;=INDEX(PARAMETROS_CULTURAS!$F$6:$F$28,$P2046)+INDEX(PARAMETROS_CULTURAS!$G$6:$G$28,$P2046),"DESENVOLVIMENTO",IF($O2046&lt;=INDEX(PARAMETROS_CULTURAS!$F$6:$F$28,$P2046)+INDEX(PARAMETROS_CULTURAS!$G$6:$G$28,$P2046)+INDEX(PARAMETROS_CULTURAS!$H$6:$H$28,$P2046),"MEDIA","FINAL"))))</f>
        <v>-</v>
      </c>
      <c r="R2046" s="24" t="n">
        <f aca="false">IF($P2046=0,0,IF($O2046&lt;=INDEX(PARAMETROS_CULTURAS!$F$6:$F$28,$P2046),INDEX(PARAMETROS_CULTURAS!$K$6:$K$28,$P2046),IF($O2046&lt;=INDEX(PARAMETROS_CULTURAS!$F$6:$F$28,$P2046)+INDEX(PARAMETROS_CULTURAS!$G$6:$G$28,$P2046),INDEX(PARAMETROS_CULTURAS!$K$6:$K$28,$P2046)+(INDEX(PARAMETROS_CULTURAS!$L$6:$L$28,$P2046)-INDEX(PARAMETROS_CULTURAS!$K$6:$K$28,$P2046))*($O2046-INDEX(PARAMETROS_CULTURAS!$F$6:$F$28,$P2046))/MAX(INDEX(PARAMETROS_CULTURAS!$G$6:$G$28,$P2046),0.0001),IF($O2046&lt;=INDEX(PARAMETROS_CULTURAS!$F$6:$F$28,$P2046)+INDEX(PARAMETROS_CULTURAS!$G$6:$G$28,$P2046)+INDEX(PARAMETROS_CULTURAS!$H$6:$H$28,$P2046),INDEX(PARAMETROS_CULTURAS!$L$6:$L$28,$P2046),INDEX(PARAMETROS_CULTURAS!$L$6:$L$28,$P2046)+(INDEX(PARAMETROS_CULTURAS!$M$6:$M$28,$P2046)-INDEX(PARAMETROS_CULTURAS!$L$6:$L$28,$P2046))*($O2046-INDEX(PARAMETROS_CULTURAS!$F$6:$F$28,$P2046)-INDEX(PARAMETROS_CULTURAS!$G$6:$G$28,$P2046)-INDEX(PARAMETROS_CULTURAS!$H$6:$H$28,$P2046))/MAX(INDEX(PARAMETROS_CULTURAS!$I$6:$I$28,$P2046),0.0001)))))</f>
        <v>0</v>
      </c>
      <c r="S2046" s="18" t="n">
        <f aca="false">IFERROR(INDEX(SEMANAS!$H$6:$H$71,MATCH($B2046,SEMANAS!$B$6:$B$71,0)),0)</f>
        <v>39.2</v>
      </c>
      <c r="T2046" s="18" t="n">
        <f aca="false">$R2046*$S2046</f>
        <v>0</v>
      </c>
      <c r="U2046" s="18" t="n">
        <f aca="false">IFERROR(INDEX(SEMANAS!$I$6:$I$71,MATCH($B2046,SEMANAS!$B$6:$B$71,0)),0)</f>
        <v>27.09</v>
      </c>
      <c r="V2046" s="18" t="n">
        <f aca="false">IFERROR(INDEX(SEMANAS!$J$6:$J$71,MATCH($B2046,SEMANAS!$B$6:$B$71,0)),0)</f>
        <v>21.672</v>
      </c>
      <c r="W2046" s="18" t="n">
        <f aca="false">MAX(0,$T2046-$V2046)</f>
        <v>0</v>
      </c>
      <c r="X2046" s="19" t="n">
        <f aca="false">IFERROR(INDEX(CADASTRO_PIVOS!$K$6:$K$41,MATCH($E2046,CADASTRO_PIVOS!$B$6:$B$41,0)),EFICIENCIA_PADRAO)</f>
        <v>0.85</v>
      </c>
      <c r="Y2046" s="18" t="n">
        <f aca="false">IF($X2046&lt;=0,0,$W2046/$X2046)</f>
        <v>0</v>
      </c>
      <c r="Z2046" s="16" t="n">
        <f aca="false">$Y2046*$H2046*MM_PARA_M3_HA</f>
        <v>0</v>
      </c>
      <c r="AA2046" s="18" t="n">
        <f aca="false">IFERROR(INDEX(CADASTRO_PIVOS!$I$6:$I$41,MATCH($E2046,CADASTRO_PIVOS!$B$6:$B$41,0)),0)</f>
        <v>710.571428571429</v>
      </c>
      <c r="AB2046" s="18" t="n">
        <f aca="false">IF($Z2046&lt;=0,0,$Z2046/$AA2046)</f>
        <v>0</v>
      </c>
      <c r="AC2046" s="16" t="n">
        <f aca="false">IFERROR(INDEX(SEMANAS!$K$6:$K$71,MATCH($B2046,SEMANAS!$B$6:$B$71,0)),0)</f>
        <v>147</v>
      </c>
      <c r="AD2046" s="19" t="n">
        <f aca="false">IF($AC2046&lt;=0,0,$AB2046/$AC2046)</f>
        <v>0</v>
      </c>
      <c r="AE2046" s="8" t="str">
        <f aca="false">IF($K2046="SEM CULTURA","SEM CULTURA",IF($AA2046&lt;=0,"DADO PENDENTE",IF($AD2046&gt;LIMITE_CRITICO,"INVIAVEL",IF($AD2046&gt;LIMITE_ATENCAO,"CRITICO",IF($AD2046&gt;LIMITE_CONFORTAVEL,"ATENCAO","OK")))))</f>
        <v>SEM CULTURA</v>
      </c>
      <c r="AF2046" s="8" t="str">
        <f aca="false">$B2046&amp;"|"&amp;TEXT($AD2046,"0.000000")</f>
        <v>61|0.000000</v>
      </c>
      <c r="AG2046" s="18" t="n">
        <f aca="false">IF($K2046="SEM CULTURA",0,$T2046*$H2046)</f>
        <v>0</v>
      </c>
      <c r="AH2046" s="18" t="n">
        <f aca="false">IF($K2046="SEM CULTURA",0,$V2046*$H2046)</f>
        <v>0</v>
      </c>
      <c r="AI2046" s="18" t="n">
        <f aca="false">IF($K2046="SEM CULTURA",0,$W2046*$H2046)</f>
        <v>0</v>
      </c>
      <c r="AJ2046" s="18" t="n">
        <f aca="false">IF($K2046="SEM CULTURA",0,$S2046*$H2046)</f>
        <v>0</v>
      </c>
      <c r="AK2046" s="8" t="str">
        <f aca="false">$E2046&amp;"|"&amp;TEXT($AD2046,"0.000000")</f>
        <v>PV 127|0.000000</v>
      </c>
    </row>
    <row r="2047" customFormat="false" ht="15" hidden="false" customHeight="false" outlineLevel="0" collapsed="false">
      <c r="B2047" s="16" t="n">
        <v>62</v>
      </c>
      <c r="C2047" s="17" t="n">
        <f aca="false">DATA_INICIO_SAFRA+($B2047-1)*DIAS_POR_SEMANA</f>
        <v>46692</v>
      </c>
      <c r="D2047" s="17" t="n">
        <f aca="false">$C2047+DIAS_POR_SEMANA-1</f>
        <v>46698</v>
      </c>
      <c r="E2047" s="15" t="s">
        <v>289</v>
      </c>
      <c r="F2047" s="8" t="str">
        <f aca="false">IFERROR(INDEX(CADASTRO_PIVOS!$C$6:$C$41,MATCH($E2047,CADASTRO_PIVOS!$B$6:$B$41,0)),"?")</f>
        <v>RM07</v>
      </c>
      <c r="G2047" s="8" t="str">
        <f aca="false">IFERROR(INDEX(CADASTRO_PIVOS!$D$6:$D$41,MATCH($E2047,CADASTRO_PIVOS!$B$6:$B$41,0)),"?")</f>
        <v>TR07</v>
      </c>
      <c r="H2047" s="20" t="n">
        <f aca="false">IFERROR(INDEX(CADASTRO_PIVOS!$E$6:$E$41,MATCH($E2047,CADASTRO_PIVOS!$B$6:$B$41,0)),0)</f>
        <v>99.48</v>
      </c>
      <c r="I2047" s="16" t="n">
        <f aca="false">IFERROR(SUMIFS(ROTACAO_RDM!$B$6:$B$71,ROTACAO_RDM!$D$6:$D$71,$E2047,ROTACAO_RDM!$I$6:$I$71,"&lt;="&amp;$C2047+INT(DIAS_POR_SEMANA/2),ROTACAO_RDM!$J$6:$J$71,"&gt;="&amp;$C2047+INT(DIAS_POR_SEMANA/2)),0)</f>
        <v>0</v>
      </c>
      <c r="J2047" s="16" t="n">
        <f aca="false">IFERROR(MATCH($I2047,ROTACAO_RDM!$B$6:$B$71,0),0)</f>
        <v>0</v>
      </c>
      <c r="K2047" s="8" t="str">
        <f aca="false">IF($J2047=0,"SEM CULTURA",INDEX(ROTACAO_RDM!$F$6:$F$71,$J2047))</f>
        <v>SEM CULTURA</v>
      </c>
      <c r="L2047" s="8" t="str">
        <f aca="false">IF($J2047=0,"",INDEX(ROTACAO_RDM!$G$6:$G$71,$J2047))</f>
        <v/>
      </c>
      <c r="M2047" s="17" t="str">
        <f aca="false">IF($J2047=0,"",INDEX(ROTACAO_RDM!$I$6:$I$71,$J2047))</f>
        <v/>
      </c>
      <c r="N2047" s="16" t="n">
        <f aca="false">IF($J2047=0,0,MAX(0,$C2047+INT(DIAS_POR_SEMANA/2)-INDEX(ROTACAO_RDM!$I$6:$I$71,$J2047)))</f>
        <v>0</v>
      </c>
      <c r="O2047" s="19" t="n">
        <f aca="false">IF($J2047=0,0,MIN(1,$N2047/MAX(1,INDEX(ROTACAO_RDM!$K$6:$K$71,$J2047))))</f>
        <v>0</v>
      </c>
      <c r="P2047" s="16" t="n">
        <f aca="false">IF($J2047=0,0,IFERROR(MATCH(INDEX(ROTACAO_RDM!$N$6:$N$71,$J2047),PARAMETROS_CULTURAS!$B$6:$B$28,0),0))</f>
        <v>0</v>
      </c>
      <c r="Q2047" s="8" t="str">
        <f aca="false">IF($P2047=0,"-",IF($O2047&lt;=INDEX(PARAMETROS_CULTURAS!$F$6:$F$28,$P2047),"INICIAL",IF($O2047&lt;=INDEX(PARAMETROS_CULTURAS!$F$6:$F$28,$P2047)+INDEX(PARAMETROS_CULTURAS!$G$6:$G$28,$P2047),"DESENVOLVIMENTO",IF($O2047&lt;=INDEX(PARAMETROS_CULTURAS!$F$6:$F$28,$P2047)+INDEX(PARAMETROS_CULTURAS!$G$6:$G$28,$P2047)+INDEX(PARAMETROS_CULTURAS!$H$6:$H$28,$P2047),"MEDIA","FINAL"))))</f>
        <v>-</v>
      </c>
      <c r="R2047" s="24" t="n">
        <f aca="false">IF($P2047=0,0,IF($O2047&lt;=INDEX(PARAMETROS_CULTURAS!$F$6:$F$28,$P2047),INDEX(PARAMETROS_CULTURAS!$K$6:$K$28,$P2047),IF($O2047&lt;=INDEX(PARAMETROS_CULTURAS!$F$6:$F$28,$P2047)+INDEX(PARAMETROS_CULTURAS!$G$6:$G$28,$P2047),INDEX(PARAMETROS_CULTURAS!$K$6:$K$28,$P2047)+(INDEX(PARAMETROS_CULTURAS!$L$6:$L$28,$P2047)-INDEX(PARAMETROS_CULTURAS!$K$6:$K$28,$P2047))*($O2047-INDEX(PARAMETROS_CULTURAS!$F$6:$F$28,$P2047))/MAX(INDEX(PARAMETROS_CULTURAS!$G$6:$G$28,$P2047),0.0001),IF($O2047&lt;=INDEX(PARAMETROS_CULTURAS!$F$6:$F$28,$P2047)+INDEX(PARAMETROS_CULTURAS!$G$6:$G$28,$P2047)+INDEX(PARAMETROS_CULTURAS!$H$6:$H$28,$P2047),INDEX(PARAMETROS_CULTURAS!$L$6:$L$28,$P2047),INDEX(PARAMETROS_CULTURAS!$L$6:$L$28,$P2047)+(INDEX(PARAMETROS_CULTURAS!$M$6:$M$28,$P2047)-INDEX(PARAMETROS_CULTURAS!$L$6:$L$28,$P2047))*($O2047-INDEX(PARAMETROS_CULTURAS!$F$6:$F$28,$P2047)-INDEX(PARAMETROS_CULTURAS!$G$6:$G$28,$P2047)-INDEX(PARAMETROS_CULTURAS!$H$6:$H$28,$P2047))/MAX(INDEX(PARAMETROS_CULTURAS!$I$6:$I$28,$P2047),0.0001)))))</f>
        <v>0</v>
      </c>
      <c r="S2047" s="18" t="n">
        <f aca="false">IFERROR(INDEX(SEMANAS!$H$6:$H$71,MATCH($B2047,SEMANAS!$B$6:$B$71,0)),0)</f>
        <v>34.3</v>
      </c>
      <c r="T2047" s="18" t="n">
        <f aca="false">$R2047*$S2047</f>
        <v>0</v>
      </c>
      <c r="U2047" s="18" t="n">
        <f aca="false">IFERROR(INDEX(SEMANAS!$I$6:$I$71,MATCH($B2047,SEMANAS!$B$6:$B$71,0)),0)</f>
        <v>46.69</v>
      </c>
      <c r="V2047" s="18" t="n">
        <f aca="false">IFERROR(INDEX(SEMANAS!$J$6:$J$71,MATCH($B2047,SEMANAS!$B$6:$B$71,0)),0)</f>
        <v>37.352</v>
      </c>
      <c r="W2047" s="18" t="n">
        <f aca="false">MAX(0,$T2047-$V2047)</f>
        <v>0</v>
      </c>
      <c r="X2047" s="19" t="n">
        <f aca="false">IFERROR(INDEX(CADASTRO_PIVOS!$K$6:$K$41,MATCH($E2047,CADASTRO_PIVOS!$B$6:$B$41,0)),EFICIENCIA_PADRAO)</f>
        <v>0.85</v>
      </c>
      <c r="Y2047" s="18" t="n">
        <f aca="false">IF($X2047&lt;=0,0,$W2047/$X2047)</f>
        <v>0</v>
      </c>
      <c r="Z2047" s="16" t="n">
        <f aca="false">$Y2047*$H2047*MM_PARA_M3_HA</f>
        <v>0</v>
      </c>
      <c r="AA2047" s="18" t="n">
        <f aca="false">IFERROR(INDEX(CADASTRO_PIVOS!$I$6:$I$41,MATCH($E2047,CADASTRO_PIVOS!$B$6:$B$41,0)),0)</f>
        <v>710.571428571429</v>
      </c>
      <c r="AB2047" s="18" t="n">
        <f aca="false">IF($Z2047&lt;=0,0,$Z2047/$AA2047)</f>
        <v>0</v>
      </c>
      <c r="AC2047" s="16" t="n">
        <f aca="false">IFERROR(INDEX(SEMANAS!$K$6:$K$71,MATCH($B2047,SEMANAS!$B$6:$B$71,0)),0)</f>
        <v>147</v>
      </c>
      <c r="AD2047" s="19" t="n">
        <f aca="false">IF($AC2047&lt;=0,0,$AB2047/$AC2047)</f>
        <v>0</v>
      </c>
      <c r="AE2047" s="8" t="str">
        <f aca="false">IF($K2047="SEM CULTURA","SEM CULTURA",IF($AA2047&lt;=0,"DADO PENDENTE",IF($AD2047&gt;LIMITE_CRITICO,"INVIAVEL",IF($AD2047&gt;LIMITE_ATENCAO,"CRITICO",IF($AD2047&gt;LIMITE_CONFORTAVEL,"ATENCAO","OK")))))</f>
        <v>SEM CULTURA</v>
      </c>
      <c r="AF2047" s="8" t="str">
        <f aca="false">$B2047&amp;"|"&amp;TEXT($AD2047,"0.000000")</f>
        <v>62|0.000000</v>
      </c>
      <c r="AG2047" s="18" t="n">
        <f aca="false">IF($K2047="SEM CULTURA",0,$T2047*$H2047)</f>
        <v>0</v>
      </c>
      <c r="AH2047" s="18" t="n">
        <f aca="false">IF($K2047="SEM CULTURA",0,$V2047*$H2047)</f>
        <v>0</v>
      </c>
      <c r="AI2047" s="18" t="n">
        <f aca="false">IF($K2047="SEM CULTURA",0,$W2047*$H2047)</f>
        <v>0</v>
      </c>
      <c r="AJ2047" s="18" t="n">
        <f aca="false">IF($K2047="SEM CULTURA",0,$S2047*$H2047)</f>
        <v>0</v>
      </c>
      <c r="AK2047" s="8" t="str">
        <f aca="false">$E2047&amp;"|"&amp;TEXT($AD2047,"0.000000")</f>
        <v>PV 127|0.000000</v>
      </c>
    </row>
    <row r="2048" customFormat="false" ht="15" hidden="false" customHeight="false" outlineLevel="0" collapsed="false">
      <c r="B2048" s="16" t="n">
        <v>63</v>
      </c>
      <c r="C2048" s="17" t="n">
        <f aca="false">DATA_INICIO_SAFRA+($B2048-1)*DIAS_POR_SEMANA</f>
        <v>46699</v>
      </c>
      <c r="D2048" s="17" t="n">
        <f aca="false">$C2048+DIAS_POR_SEMANA-1</f>
        <v>46705</v>
      </c>
      <c r="E2048" s="15" t="s">
        <v>289</v>
      </c>
      <c r="F2048" s="8" t="str">
        <f aca="false">IFERROR(INDEX(CADASTRO_PIVOS!$C$6:$C$41,MATCH($E2048,CADASTRO_PIVOS!$B$6:$B$41,0)),"?")</f>
        <v>RM07</v>
      </c>
      <c r="G2048" s="8" t="str">
        <f aca="false">IFERROR(INDEX(CADASTRO_PIVOS!$D$6:$D$41,MATCH($E2048,CADASTRO_PIVOS!$B$6:$B$41,0)),"?")</f>
        <v>TR07</v>
      </c>
      <c r="H2048" s="20" t="n">
        <f aca="false">IFERROR(INDEX(CADASTRO_PIVOS!$E$6:$E$41,MATCH($E2048,CADASTRO_PIVOS!$B$6:$B$41,0)),0)</f>
        <v>99.48</v>
      </c>
      <c r="I2048" s="16" t="n">
        <f aca="false">IFERROR(SUMIFS(ROTACAO_RDM!$B$6:$B$71,ROTACAO_RDM!$D$6:$D$71,$E2048,ROTACAO_RDM!$I$6:$I$71,"&lt;="&amp;$C2048+INT(DIAS_POR_SEMANA/2),ROTACAO_RDM!$J$6:$J$71,"&gt;="&amp;$C2048+INT(DIAS_POR_SEMANA/2)),0)</f>
        <v>0</v>
      </c>
      <c r="J2048" s="16" t="n">
        <f aca="false">IFERROR(MATCH($I2048,ROTACAO_RDM!$B$6:$B$71,0),0)</f>
        <v>0</v>
      </c>
      <c r="K2048" s="8" t="str">
        <f aca="false">IF($J2048=0,"SEM CULTURA",INDEX(ROTACAO_RDM!$F$6:$F$71,$J2048))</f>
        <v>SEM CULTURA</v>
      </c>
      <c r="L2048" s="8" t="str">
        <f aca="false">IF($J2048=0,"",INDEX(ROTACAO_RDM!$G$6:$G$71,$J2048))</f>
        <v/>
      </c>
      <c r="M2048" s="17" t="str">
        <f aca="false">IF($J2048=0,"",INDEX(ROTACAO_RDM!$I$6:$I$71,$J2048))</f>
        <v/>
      </c>
      <c r="N2048" s="16" t="n">
        <f aca="false">IF($J2048=0,0,MAX(0,$C2048+INT(DIAS_POR_SEMANA/2)-INDEX(ROTACAO_RDM!$I$6:$I$71,$J2048)))</f>
        <v>0</v>
      </c>
      <c r="O2048" s="19" t="n">
        <f aca="false">IF($J2048=0,0,MIN(1,$N2048/MAX(1,INDEX(ROTACAO_RDM!$K$6:$K$71,$J2048))))</f>
        <v>0</v>
      </c>
      <c r="P2048" s="16" t="n">
        <f aca="false">IF($J2048=0,0,IFERROR(MATCH(INDEX(ROTACAO_RDM!$N$6:$N$71,$J2048),PARAMETROS_CULTURAS!$B$6:$B$28,0),0))</f>
        <v>0</v>
      </c>
      <c r="Q2048" s="8" t="str">
        <f aca="false">IF($P2048=0,"-",IF($O2048&lt;=INDEX(PARAMETROS_CULTURAS!$F$6:$F$28,$P2048),"INICIAL",IF($O2048&lt;=INDEX(PARAMETROS_CULTURAS!$F$6:$F$28,$P2048)+INDEX(PARAMETROS_CULTURAS!$G$6:$G$28,$P2048),"DESENVOLVIMENTO",IF($O2048&lt;=INDEX(PARAMETROS_CULTURAS!$F$6:$F$28,$P2048)+INDEX(PARAMETROS_CULTURAS!$G$6:$G$28,$P2048)+INDEX(PARAMETROS_CULTURAS!$H$6:$H$28,$P2048),"MEDIA","FINAL"))))</f>
        <v>-</v>
      </c>
      <c r="R2048" s="24" t="n">
        <f aca="false">IF($P2048=0,0,IF($O2048&lt;=INDEX(PARAMETROS_CULTURAS!$F$6:$F$28,$P2048),INDEX(PARAMETROS_CULTURAS!$K$6:$K$28,$P2048),IF($O2048&lt;=INDEX(PARAMETROS_CULTURAS!$F$6:$F$28,$P2048)+INDEX(PARAMETROS_CULTURAS!$G$6:$G$28,$P2048),INDEX(PARAMETROS_CULTURAS!$K$6:$K$28,$P2048)+(INDEX(PARAMETROS_CULTURAS!$L$6:$L$28,$P2048)-INDEX(PARAMETROS_CULTURAS!$K$6:$K$28,$P2048))*($O2048-INDEX(PARAMETROS_CULTURAS!$F$6:$F$28,$P2048))/MAX(INDEX(PARAMETROS_CULTURAS!$G$6:$G$28,$P2048),0.0001),IF($O2048&lt;=INDEX(PARAMETROS_CULTURAS!$F$6:$F$28,$P2048)+INDEX(PARAMETROS_CULTURAS!$G$6:$G$28,$P2048)+INDEX(PARAMETROS_CULTURAS!$H$6:$H$28,$P2048),INDEX(PARAMETROS_CULTURAS!$L$6:$L$28,$P2048),INDEX(PARAMETROS_CULTURAS!$L$6:$L$28,$P2048)+(INDEX(PARAMETROS_CULTURAS!$M$6:$M$28,$P2048)-INDEX(PARAMETROS_CULTURAS!$L$6:$L$28,$P2048))*($O2048-INDEX(PARAMETROS_CULTURAS!$F$6:$F$28,$P2048)-INDEX(PARAMETROS_CULTURAS!$G$6:$G$28,$P2048)-INDEX(PARAMETROS_CULTURAS!$H$6:$H$28,$P2048))/MAX(INDEX(PARAMETROS_CULTURAS!$I$6:$I$28,$P2048),0.0001)))))</f>
        <v>0</v>
      </c>
      <c r="S2048" s="18" t="n">
        <f aca="false">IFERROR(INDEX(SEMANAS!$H$6:$H$71,MATCH($B2048,SEMANAS!$B$6:$B$71,0)),0)</f>
        <v>34.3</v>
      </c>
      <c r="T2048" s="18" t="n">
        <f aca="false">$R2048*$S2048</f>
        <v>0</v>
      </c>
      <c r="U2048" s="18" t="n">
        <f aca="false">IFERROR(INDEX(SEMANAS!$I$6:$I$71,MATCH($B2048,SEMANAS!$B$6:$B$71,0)),0)</f>
        <v>46.69</v>
      </c>
      <c r="V2048" s="18" t="n">
        <f aca="false">IFERROR(INDEX(SEMANAS!$J$6:$J$71,MATCH($B2048,SEMANAS!$B$6:$B$71,0)),0)</f>
        <v>37.352</v>
      </c>
      <c r="W2048" s="18" t="n">
        <f aca="false">MAX(0,$T2048-$V2048)</f>
        <v>0</v>
      </c>
      <c r="X2048" s="19" t="n">
        <f aca="false">IFERROR(INDEX(CADASTRO_PIVOS!$K$6:$K$41,MATCH($E2048,CADASTRO_PIVOS!$B$6:$B$41,0)),EFICIENCIA_PADRAO)</f>
        <v>0.85</v>
      </c>
      <c r="Y2048" s="18" t="n">
        <f aca="false">IF($X2048&lt;=0,0,$W2048/$X2048)</f>
        <v>0</v>
      </c>
      <c r="Z2048" s="16" t="n">
        <f aca="false">$Y2048*$H2048*MM_PARA_M3_HA</f>
        <v>0</v>
      </c>
      <c r="AA2048" s="18" t="n">
        <f aca="false">IFERROR(INDEX(CADASTRO_PIVOS!$I$6:$I$41,MATCH($E2048,CADASTRO_PIVOS!$B$6:$B$41,0)),0)</f>
        <v>710.571428571429</v>
      </c>
      <c r="AB2048" s="18" t="n">
        <f aca="false">IF($Z2048&lt;=0,0,$Z2048/$AA2048)</f>
        <v>0</v>
      </c>
      <c r="AC2048" s="16" t="n">
        <f aca="false">IFERROR(INDEX(SEMANAS!$K$6:$K$71,MATCH($B2048,SEMANAS!$B$6:$B$71,0)),0)</f>
        <v>147</v>
      </c>
      <c r="AD2048" s="19" t="n">
        <f aca="false">IF($AC2048&lt;=0,0,$AB2048/$AC2048)</f>
        <v>0</v>
      </c>
      <c r="AE2048" s="8" t="str">
        <f aca="false">IF($K2048="SEM CULTURA","SEM CULTURA",IF($AA2048&lt;=0,"DADO PENDENTE",IF($AD2048&gt;LIMITE_CRITICO,"INVIAVEL",IF($AD2048&gt;LIMITE_ATENCAO,"CRITICO",IF($AD2048&gt;LIMITE_CONFORTAVEL,"ATENCAO","OK")))))</f>
        <v>SEM CULTURA</v>
      </c>
      <c r="AF2048" s="8" t="str">
        <f aca="false">$B2048&amp;"|"&amp;TEXT($AD2048,"0.000000")</f>
        <v>63|0.000000</v>
      </c>
      <c r="AG2048" s="18" t="n">
        <f aca="false">IF($K2048="SEM CULTURA",0,$T2048*$H2048)</f>
        <v>0</v>
      </c>
      <c r="AH2048" s="18" t="n">
        <f aca="false">IF($K2048="SEM CULTURA",0,$V2048*$H2048)</f>
        <v>0</v>
      </c>
      <c r="AI2048" s="18" t="n">
        <f aca="false">IF($K2048="SEM CULTURA",0,$W2048*$H2048)</f>
        <v>0</v>
      </c>
      <c r="AJ2048" s="18" t="n">
        <f aca="false">IF($K2048="SEM CULTURA",0,$S2048*$H2048)</f>
        <v>0</v>
      </c>
      <c r="AK2048" s="8" t="str">
        <f aca="false">$E2048&amp;"|"&amp;TEXT($AD2048,"0.000000")</f>
        <v>PV 127|0.000000</v>
      </c>
    </row>
    <row r="2049" customFormat="false" ht="15" hidden="false" customHeight="false" outlineLevel="0" collapsed="false">
      <c r="B2049" s="16" t="n">
        <v>64</v>
      </c>
      <c r="C2049" s="17" t="n">
        <f aca="false">DATA_INICIO_SAFRA+($B2049-1)*DIAS_POR_SEMANA</f>
        <v>46706</v>
      </c>
      <c r="D2049" s="17" t="n">
        <f aca="false">$C2049+DIAS_POR_SEMANA-1</f>
        <v>46712</v>
      </c>
      <c r="E2049" s="15" t="s">
        <v>289</v>
      </c>
      <c r="F2049" s="8" t="str">
        <f aca="false">IFERROR(INDEX(CADASTRO_PIVOS!$C$6:$C$41,MATCH($E2049,CADASTRO_PIVOS!$B$6:$B$41,0)),"?")</f>
        <v>RM07</v>
      </c>
      <c r="G2049" s="8" t="str">
        <f aca="false">IFERROR(INDEX(CADASTRO_PIVOS!$D$6:$D$41,MATCH($E2049,CADASTRO_PIVOS!$B$6:$B$41,0)),"?")</f>
        <v>TR07</v>
      </c>
      <c r="H2049" s="20" t="n">
        <f aca="false">IFERROR(INDEX(CADASTRO_PIVOS!$E$6:$E$41,MATCH($E2049,CADASTRO_PIVOS!$B$6:$B$41,0)),0)</f>
        <v>99.48</v>
      </c>
      <c r="I2049" s="16" t="n">
        <f aca="false">IFERROR(SUMIFS(ROTACAO_RDM!$B$6:$B$71,ROTACAO_RDM!$D$6:$D$71,$E2049,ROTACAO_RDM!$I$6:$I$71,"&lt;="&amp;$C2049+INT(DIAS_POR_SEMANA/2),ROTACAO_RDM!$J$6:$J$71,"&gt;="&amp;$C2049+INT(DIAS_POR_SEMANA/2)),0)</f>
        <v>0</v>
      </c>
      <c r="J2049" s="16" t="n">
        <f aca="false">IFERROR(MATCH($I2049,ROTACAO_RDM!$B$6:$B$71,0),0)</f>
        <v>0</v>
      </c>
      <c r="K2049" s="8" t="str">
        <f aca="false">IF($J2049=0,"SEM CULTURA",INDEX(ROTACAO_RDM!$F$6:$F$71,$J2049))</f>
        <v>SEM CULTURA</v>
      </c>
      <c r="L2049" s="8" t="str">
        <f aca="false">IF($J2049=0,"",INDEX(ROTACAO_RDM!$G$6:$G$71,$J2049))</f>
        <v/>
      </c>
      <c r="M2049" s="17" t="str">
        <f aca="false">IF($J2049=0,"",INDEX(ROTACAO_RDM!$I$6:$I$71,$J2049))</f>
        <v/>
      </c>
      <c r="N2049" s="16" t="n">
        <f aca="false">IF($J2049=0,0,MAX(0,$C2049+INT(DIAS_POR_SEMANA/2)-INDEX(ROTACAO_RDM!$I$6:$I$71,$J2049)))</f>
        <v>0</v>
      </c>
      <c r="O2049" s="19" t="n">
        <f aca="false">IF($J2049=0,0,MIN(1,$N2049/MAX(1,INDEX(ROTACAO_RDM!$K$6:$K$71,$J2049))))</f>
        <v>0</v>
      </c>
      <c r="P2049" s="16" t="n">
        <f aca="false">IF($J2049=0,0,IFERROR(MATCH(INDEX(ROTACAO_RDM!$N$6:$N$71,$J2049),PARAMETROS_CULTURAS!$B$6:$B$28,0),0))</f>
        <v>0</v>
      </c>
      <c r="Q2049" s="8" t="str">
        <f aca="false">IF($P2049=0,"-",IF($O2049&lt;=INDEX(PARAMETROS_CULTURAS!$F$6:$F$28,$P2049),"INICIAL",IF($O2049&lt;=INDEX(PARAMETROS_CULTURAS!$F$6:$F$28,$P2049)+INDEX(PARAMETROS_CULTURAS!$G$6:$G$28,$P2049),"DESENVOLVIMENTO",IF($O2049&lt;=INDEX(PARAMETROS_CULTURAS!$F$6:$F$28,$P2049)+INDEX(PARAMETROS_CULTURAS!$G$6:$G$28,$P2049)+INDEX(PARAMETROS_CULTURAS!$H$6:$H$28,$P2049),"MEDIA","FINAL"))))</f>
        <v>-</v>
      </c>
      <c r="R2049" s="24" t="n">
        <f aca="false">IF($P2049=0,0,IF($O2049&lt;=INDEX(PARAMETROS_CULTURAS!$F$6:$F$28,$P2049),INDEX(PARAMETROS_CULTURAS!$K$6:$K$28,$P2049),IF($O2049&lt;=INDEX(PARAMETROS_CULTURAS!$F$6:$F$28,$P2049)+INDEX(PARAMETROS_CULTURAS!$G$6:$G$28,$P2049),INDEX(PARAMETROS_CULTURAS!$K$6:$K$28,$P2049)+(INDEX(PARAMETROS_CULTURAS!$L$6:$L$28,$P2049)-INDEX(PARAMETROS_CULTURAS!$K$6:$K$28,$P2049))*($O2049-INDEX(PARAMETROS_CULTURAS!$F$6:$F$28,$P2049))/MAX(INDEX(PARAMETROS_CULTURAS!$G$6:$G$28,$P2049),0.0001),IF($O2049&lt;=INDEX(PARAMETROS_CULTURAS!$F$6:$F$28,$P2049)+INDEX(PARAMETROS_CULTURAS!$G$6:$G$28,$P2049)+INDEX(PARAMETROS_CULTURAS!$H$6:$H$28,$P2049),INDEX(PARAMETROS_CULTURAS!$L$6:$L$28,$P2049),INDEX(PARAMETROS_CULTURAS!$L$6:$L$28,$P2049)+(INDEX(PARAMETROS_CULTURAS!$M$6:$M$28,$P2049)-INDEX(PARAMETROS_CULTURAS!$L$6:$L$28,$P2049))*($O2049-INDEX(PARAMETROS_CULTURAS!$F$6:$F$28,$P2049)-INDEX(PARAMETROS_CULTURAS!$G$6:$G$28,$P2049)-INDEX(PARAMETROS_CULTURAS!$H$6:$H$28,$P2049))/MAX(INDEX(PARAMETROS_CULTURAS!$I$6:$I$28,$P2049),0.0001)))))</f>
        <v>0</v>
      </c>
      <c r="S2049" s="18" t="n">
        <f aca="false">IFERROR(INDEX(SEMANAS!$H$6:$H$71,MATCH($B2049,SEMANAS!$B$6:$B$71,0)),0)</f>
        <v>34.3</v>
      </c>
      <c r="T2049" s="18" t="n">
        <f aca="false">$R2049*$S2049</f>
        <v>0</v>
      </c>
      <c r="U2049" s="18" t="n">
        <f aca="false">IFERROR(INDEX(SEMANAS!$I$6:$I$71,MATCH($B2049,SEMANAS!$B$6:$B$71,0)),0)</f>
        <v>46.69</v>
      </c>
      <c r="V2049" s="18" t="n">
        <f aca="false">IFERROR(INDEX(SEMANAS!$J$6:$J$71,MATCH($B2049,SEMANAS!$B$6:$B$71,0)),0)</f>
        <v>37.352</v>
      </c>
      <c r="W2049" s="18" t="n">
        <f aca="false">MAX(0,$T2049-$V2049)</f>
        <v>0</v>
      </c>
      <c r="X2049" s="19" t="n">
        <f aca="false">IFERROR(INDEX(CADASTRO_PIVOS!$K$6:$K$41,MATCH($E2049,CADASTRO_PIVOS!$B$6:$B$41,0)),EFICIENCIA_PADRAO)</f>
        <v>0.85</v>
      </c>
      <c r="Y2049" s="18" t="n">
        <f aca="false">IF($X2049&lt;=0,0,$W2049/$X2049)</f>
        <v>0</v>
      </c>
      <c r="Z2049" s="16" t="n">
        <f aca="false">$Y2049*$H2049*MM_PARA_M3_HA</f>
        <v>0</v>
      </c>
      <c r="AA2049" s="18" t="n">
        <f aca="false">IFERROR(INDEX(CADASTRO_PIVOS!$I$6:$I$41,MATCH($E2049,CADASTRO_PIVOS!$B$6:$B$41,0)),0)</f>
        <v>710.571428571429</v>
      </c>
      <c r="AB2049" s="18" t="n">
        <f aca="false">IF($Z2049&lt;=0,0,$Z2049/$AA2049)</f>
        <v>0</v>
      </c>
      <c r="AC2049" s="16" t="n">
        <f aca="false">IFERROR(INDEX(SEMANAS!$K$6:$K$71,MATCH($B2049,SEMANAS!$B$6:$B$71,0)),0)</f>
        <v>147</v>
      </c>
      <c r="AD2049" s="19" t="n">
        <f aca="false">IF($AC2049&lt;=0,0,$AB2049/$AC2049)</f>
        <v>0</v>
      </c>
      <c r="AE2049" s="8" t="str">
        <f aca="false">IF($K2049="SEM CULTURA","SEM CULTURA",IF($AA2049&lt;=0,"DADO PENDENTE",IF($AD2049&gt;LIMITE_CRITICO,"INVIAVEL",IF($AD2049&gt;LIMITE_ATENCAO,"CRITICO",IF($AD2049&gt;LIMITE_CONFORTAVEL,"ATENCAO","OK")))))</f>
        <v>SEM CULTURA</v>
      </c>
      <c r="AF2049" s="8" t="str">
        <f aca="false">$B2049&amp;"|"&amp;TEXT($AD2049,"0.000000")</f>
        <v>64|0.000000</v>
      </c>
      <c r="AG2049" s="18" t="n">
        <f aca="false">IF($K2049="SEM CULTURA",0,$T2049*$H2049)</f>
        <v>0</v>
      </c>
      <c r="AH2049" s="18" t="n">
        <f aca="false">IF($K2049="SEM CULTURA",0,$V2049*$H2049)</f>
        <v>0</v>
      </c>
      <c r="AI2049" s="18" t="n">
        <f aca="false">IF($K2049="SEM CULTURA",0,$W2049*$H2049)</f>
        <v>0</v>
      </c>
      <c r="AJ2049" s="18" t="n">
        <f aca="false">IF($K2049="SEM CULTURA",0,$S2049*$H2049)</f>
        <v>0</v>
      </c>
      <c r="AK2049" s="8" t="str">
        <f aca="false">$E2049&amp;"|"&amp;TEXT($AD2049,"0.000000")</f>
        <v>PV 127|0.000000</v>
      </c>
    </row>
    <row r="2050" customFormat="false" ht="15" hidden="false" customHeight="false" outlineLevel="0" collapsed="false">
      <c r="B2050" s="16" t="n">
        <v>65</v>
      </c>
      <c r="C2050" s="17" t="n">
        <f aca="false">DATA_INICIO_SAFRA+($B2050-1)*DIAS_POR_SEMANA</f>
        <v>46713</v>
      </c>
      <c r="D2050" s="17" t="n">
        <f aca="false">$C2050+DIAS_POR_SEMANA-1</f>
        <v>46719</v>
      </c>
      <c r="E2050" s="15" t="s">
        <v>289</v>
      </c>
      <c r="F2050" s="8" t="str">
        <f aca="false">IFERROR(INDEX(CADASTRO_PIVOS!$C$6:$C$41,MATCH($E2050,CADASTRO_PIVOS!$B$6:$B$41,0)),"?")</f>
        <v>RM07</v>
      </c>
      <c r="G2050" s="8" t="str">
        <f aca="false">IFERROR(INDEX(CADASTRO_PIVOS!$D$6:$D$41,MATCH($E2050,CADASTRO_PIVOS!$B$6:$B$41,0)),"?")</f>
        <v>TR07</v>
      </c>
      <c r="H2050" s="20" t="n">
        <f aca="false">IFERROR(INDEX(CADASTRO_PIVOS!$E$6:$E$41,MATCH($E2050,CADASTRO_PIVOS!$B$6:$B$41,0)),0)</f>
        <v>99.48</v>
      </c>
      <c r="I2050" s="16" t="n">
        <f aca="false">IFERROR(SUMIFS(ROTACAO_RDM!$B$6:$B$71,ROTACAO_RDM!$D$6:$D$71,$E2050,ROTACAO_RDM!$I$6:$I$71,"&lt;="&amp;$C2050+INT(DIAS_POR_SEMANA/2),ROTACAO_RDM!$J$6:$J$71,"&gt;="&amp;$C2050+INT(DIAS_POR_SEMANA/2)),0)</f>
        <v>0</v>
      </c>
      <c r="J2050" s="16" t="n">
        <f aca="false">IFERROR(MATCH($I2050,ROTACAO_RDM!$B$6:$B$71,0),0)</f>
        <v>0</v>
      </c>
      <c r="K2050" s="8" t="str">
        <f aca="false">IF($J2050=0,"SEM CULTURA",INDEX(ROTACAO_RDM!$F$6:$F$71,$J2050))</f>
        <v>SEM CULTURA</v>
      </c>
      <c r="L2050" s="8" t="str">
        <f aca="false">IF($J2050=0,"",INDEX(ROTACAO_RDM!$G$6:$G$71,$J2050))</f>
        <v/>
      </c>
      <c r="M2050" s="17" t="str">
        <f aca="false">IF($J2050=0,"",INDEX(ROTACAO_RDM!$I$6:$I$71,$J2050))</f>
        <v/>
      </c>
      <c r="N2050" s="16" t="n">
        <f aca="false">IF($J2050=0,0,MAX(0,$C2050+INT(DIAS_POR_SEMANA/2)-INDEX(ROTACAO_RDM!$I$6:$I$71,$J2050)))</f>
        <v>0</v>
      </c>
      <c r="O2050" s="19" t="n">
        <f aca="false">IF($J2050=0,0,MIN(1,$N2050/MAX(1,INDEX(ROTACAO_RDM!$K$6:$K$71,$J2050))))</f>
        <v>0</v>
      </c>
      <c r="P2050" s="16" t="n">
        <f aca="false">IF($J2050=0,0,IFERROR(MATCH(INDEX(ROTACAO_RDM!$N$6:$N$71,$J2050),PARAMETROS_CULTURAS!$B$6:$B$28,0),0))</f>
        <v>0</v>
      </c>
      <c r="Q2050" s="8" t="str">
        <f aca="false">IF($P2050=0,"-",IF($O2050&lt;=INDEX(PARAMETROS_CULTURAS!$F$6:$F$28,$P2050),"INICIAL",IF($O2050&lt;=INDEX(PARAMETROS_CULTURAS!$F$6:$F$28,$P2050)+INDEX(PARAMETROS_CULTURAS!$G$6:$G$28,$P2050),"DESENVOLVIMENTO",IF($O2050&lt;=INDEX(PARAMETROS_CULTURAS!$F$6:$F$28,$P2050)+INDEX(PARAMETROS_CULTURAS!$G$6:$G$28,$P2050)+INDEX(PARAMETROS_CULTURAS!$H$6:$H$28,$P2050),"MEDIA","FINAL"))))</f>
        <v>-</v>
      </c>
      <c r="R2050" s="24" t="n">
        <f aca="false">IF($P2050=0,0,IF($O2050&lt;=INDEX(PARAMETROS_CULTURAS!$F$6:$F$28,$P2050),INDEX(PARAMETROS_CULTURAS!$K$6:$K$28,$P2050),IF($O2050&lt;=INDEX(PARAMETROS_CULTURAS!$F$6:$F$28,$P2050)+INDEX(PARAMETROS_CULTURAS!$G$6:$G$28,$P2050),INDEX(PARAMETROS_CULTURAS!$K$6:$K$28,$P2050)+(INDEX(PARAMETROS_CULTURAS!$L$6:$L$28,$P2050)-INDEX(PARAMETROS_CULTURAS!$K$6:$K$28,$P2050))*($O2050-INDEX(PARAMETROS_CULTURAS!$F$6:$F$28,$P2050))/MAX(INDEX(PARAMETROS_CULTURAS!$G$6:$G$28,$P2050),0.0001),IF($O2050&lt;=INDEX(PARAMETROS_CULTURAS!$F$6:$F$28,$P2050)+INDEX(PARAMETROS_CULTURAS!$G$6:$G$28,$P2050)+INDEX(PARAMETROS_CULTURAS!$H$6:$H$28,$P2050),INDEX(PARAMETROS_CULTURAS!$L$6:$L$28,$P2050),INDEX(PARAMETROS_CULTURAS!$L$6:$L$28,$P2050)+(INDEX(PARAMETROS_CULTURAS!$M$6:$M$28,$P2050)-INDEX(PARAMETROS_CULTURAS!$L$6:$L$28,$P2050))*($O2050-INDEX(PARAMETROS_CULTURAS!$F$6:$F$28,$P2050)-INDEX(PARAMETROS_CULTURAS!$G$6:$G$28,$P2050)-INDEX(PARAMETROS_CULTURAS!$H$6:$H$28,$P2050))/MAX(INDEX(PARAMETROS_CULTURAS!$I$6:$I$28,$P2050),0.0001)))))</f>
        <v>0</v>
      </c>
      <c r="S2050" s="18" t="n">
        <f aca="false">IFERROR(INDEX(SEMANAS!$H$6:$H$71,MATCH($B2050,SEMANAS!$B$6:$B$71,0)),0)</f>
        <v>34.3</v>
      </c>
      <c r="T2050" s="18" t="n">
        <f aca="false">$R2050*$S2050</f>
        <v>0</v>
      </c>
      <c r="U2050" s="18" t="n">
        <f aca="false">IFERROR(INDEX(SEMANAS!$I$6:$I$71,MATCH($B2050,SEMANAS!$B$6:$B$71,0)),0)</f>
        <v>46.69</v>
      </c>
      <c r="V2050" s="18" t="n">
        <f aca="false">IFERROR(INDEX(SEMANAS!$J$6:$J$71,MATCH($B2050,SEMANAS!$B$6:$B$71,0)),0)</f>
        <v>37.352</v>
      </c>
      <c r="W2050" s="18" t="n">
        <f aca="false">MAX(0,$T2050-$V2050)</f>
        <v>0</v>
      </c>
      <c r="X2050" s="19" t="n">
        <f aca="false">IFERROR(INDEX(CADASTRO_PIVOS!$K$6:$K$41,MATCH($E2050,CADASTRO_PIVOS!$B$6:$B$41,0)),EFICIENCIA_PADRAO)</f>
        <v>0.85</v>
      </c>
      <c r="Y2050" s="18" t="n">
        <f aca="false">IF($X2050&lt;=0,0,$W2050/$X2050)</f>
        <v>0</v>
      </c>
      <c r="Z2050" s="16" t="n">
        <f aca="false">$Y2050*$H2050*MM_PARA_M3_HA</f>
        <v>0</v>
      </c>
      <c r="AA2050" s="18" t="n">
        <f aca="false">IFERROR(INDEX(CADASTRO_PIVOS!$I$6:$I$41,MATCH($E2050,CADASTRO_PIVOS!$B$6:$B$41,0)),0)</f>
        <v>710.571428571429</v>
      </c>
      <c r="AB2050" s="18" t="n">
        <f aca="false">IF($Z2050&lt;=0,0,$Z2050/$AA2050)</f>
        <v>0</v>
      </c>
      <c r="AC2050" s="16" t="n">
        <f aca="false">IFERROR(INDEX(SEMANAS!$K$6:$K$71,MATCH($B2050,SEMANAS!$B$6:$B$71,0)),0)</f>
        <v>147</v>
      </c>
      <c r="AD2050" s="19" t="n">
        <f aca="false">IF($AC2050&lt;=0,0,$AB2050/$AC2050)</f>
        <v>0</v>
      </c>
      <c r="AE2050" s="8" t="str">
        <f aca="false">IF($K2050="SEM CULTURA","SEM CULTURA",IF($AA2050&lt;=0,"DADO PENDENTE",IF($AD2050&gt;LIMITE_CRITICO,"INVIAVEL",IF($AD2050&gt;LIMITE_ATENCAO,"CRITICO",IF($AD2050&gt;LIMITE_CONFORTAVEL,"ATENCAO","OK")))))</f>
        <v>SEM CULTURA</v>
      </c>
      <c r="AF2050" s="8" t="str">
        <f aca="false">$B2050&amp;"|"&amp;TEXT($AD2050,"0.000000")</f>
        <v>65|0.000000</v>
      </c>
      <c r="AG2050" s="18" t="n">
        <f aca="false">IF($K2050="SEM CULTURA",0,$T2050*$H2050)</f>
        <v>0</v>
      </c>
      <c r="AH2050" s="18" t="n">
        <f aca="false">IF($K2050="SEM CULTURA",0,$V2050*$H2050)</f>
        <v>0</v>
      </c>
      <c r="AI2050" s="18" t="n">
        <f aca="false">IF($K2050="SEM CULTURA",0,$W2050*$H2050)</f>
        <v>0</v>
      </c>
      <c r="AJ2050" s="18" t="n">
        <f aca="false">IF($K2050="SEM CULTURA",0,$S2050*$H2050)</f>
        <v>0</v>
      </c>
      <c r="AK2050" s="8" t="str">
        <f aca="false">$E2050&amp;"|"&amp;TEXT($AD2050,"0.000000")</f>
        <v>PV 127|0.000000</v>
      </c>
    </row>
    <row r="2051" customFormat="false" ht="15" hidden="false" customHeight="false" outlineLevel="0" collapsed="false">
      <c r="B2051" s="16" t="n">
        <v>66</v>
      </c>
      <c r="C2051" s="17" t="n">
        <f aca="false">DATA_INICIO_SAFRA+($B2051-1)*DIAS_POR_SEMANA</f>
        <v>46720</v>
      </c>
      <c r="D2051" s="17" t="n">
        <f aca="false">$C2051+DIAS_POR_SEMANA-1</f>
        <v>46726</v>
      </c>
      <c r="E2051" s="15" t="s">
        <v>289</v>
      </c>
      <c r="F2051" s="8" t="str">
        <f aca="false">IFERROR(INDEX(CADASTRO_PIVOS!$C$6:$C$41,MATCH($E2051,CADASTRO_PIVOS!$B$6:$B$41,0)),"?")</f>
        <v>RM07</v>
      </c>
      <c r="G2051" s="8" t="str">
        <f aca="false">IFERROR(INDEX(CADASTRO_PIVOS!$D$6:$D$41,MATCH($E2051,CADASTRO_PIVOS!$B$6:$B$41,0)),"?")</f>
        <v>TR07</v>
      </c>
      <c r="H2051" s="20" t="n">
        <f aca="false">IFERROR(INDEX(CADASTRO_PIVOS!$E$6:$E$41,MATCH($E2051,CADASTRO_PIVOS!$B$6:$B$41,0)),0)</f>
        <v>99.48</v>
      </c>
      <c r="I2051" s="16" t="n">
        <f aca="false">IFERROR(SUMIFS(ROTACAO_RDM!$B$6:$B$71,ROTACAO_RDM!$D$6:$D$71,$E2051,ROTACAO_RDM!$I$6:$I$71,"&lt;="&amp;$C2051+INT(DIAS_POR_SEMANA/2),ROTACAO_RDM!$J$6:$J$71,"&gt;="&amp;$C2051+INT(DIAS_POR_SEMANA/2)),0)</f>
        <v>0</v>
      </c>
      <c r="J2051" s="16" t="n">
        <f aca="false">IFERROR(MATCH($I2051,ROTACAO_RDM!$B$6:$B$71,0),0)</f>
        <v>0</v>
      </c>
      <c r="K2051" s="8" t="str">
        <f aca="false">IF($J2051=0,"SEM CULTURA",INDEX(ROTACAO_RDM!$F$6:$F$71,$J2051))</f>
        <v>SEM CULTURA</v>
      </c>
      <c r="L2051" s="8" t="str">
        <f aca="false">IF($J2051=0,"",INDEX(ROTACAO_RDM!$G$6:$G$71,$J2051))</f>
        <v/>
      </c>
      <c r="M2051" s="17" t="str">
        <f aca="false">IF($J2051=0,"",INDEX(ROTACAO_RDM!$I$6:$I$71,$J2051))</f>
        <v/>
      </c>
      <c r="N2051" s="16" t="n">
        <f aca="false">IF($J2051=0,0,MAX(0,$C2051+INT(DIAS_POR_SEMANA/2)-INDEX(ROTACAO_RDM!$I$6:$I$71,$J2051)))</f>
        <v>0</v>
      </c>
      <c r="O2051" s="19" t="n">
        <f aca="false">IF($J2051=0,0,MIN(1,$N2051/MAX(1,INDEX(ROTACAO_RDM!$K$6:$K$71,$J2051))))</f>
        <v>0</v>
      </c>
      <c r="P2051" s="16" t="n">
        <f aca="false">IF($J2051=0,0,IFERROR(MATCH(INDEX(ROTACAO_RDM!$N$6:$N$71,$J2051),PARAMETROS_CULTURAS!$B$6:$B$28,0),0))</f>
        <v>0</v>
      </c>
      <c r="Q2051" s="8" t="str">
        <f aca="false">IF($P2051=0,"-",IF($O2051&lt;=INDEX(PARAMETROS_CULTURAS!$F$6:$F$28,$P2051),"INICIAL",IF($O2051&lt;=INDEX(PARAMETROS_CULTURAS!$F$6:$F$28,$P2051)+INDEX(PARAMETROS_CULTURAS!$G$6:$G$28,$P2051),"DESENVOLVIMENTO",IF($O2051&lt;=INDEX(PARAMETROS_CULTURAS!$F$6:$F$28,$P2051)+INDEX(PARAMETROS_CULTURAS!$G$6:$G$28,$P2051)+INDEX(PARAMETROS_CULTURAS!$H$6:$H$28,$P2051),"MEDIA","FINAL"))))</f>
        <v>-</v>
      </c>
      <c r="R2051" s="24" t="n">
        <f aca="false">IF($P2051=0,0,IF($O2051&lt;=INDEX(PARAMETROS_CULTURAS!$F$6:$F$28,$P2051),INDEX(PARAMETROS_CULTURAS!$K$6:$K$28,$P2051),IF($O2051&lt;=INDEX(PARAMETROS_CULTURAS!$F$6:$F$28,$P2051)+INDEX(PARAMETROS_CULTURAS!$G$6:$G$28,$P2051),INDEX(PARAMETROS_CULTURAS!$K$6:$K$28,$P2051)+(INDEX(PARAMETROS_CULTURAS!$L$6:$L$28,$P2051)-INDEX(PARAMETROS_CULTURAS!$K$6:$K$28,$P2051))*($O2051-INDEX(PARAMETROS_CULTURAS!$F$6:$F$28,$P2051))/MAX(INDEX(PARAMETROS_CULTURAS!$G$6:$G$28,$P2051),0.0001),IF($O2051&lt;=INDEX(PARAMETROS_CULTURAS!$F$6:$F$28,$P2051)+INDEX(PARAMETROS_CULTURAS!$G$6:$G$28,$P2051)+INDEX(PARAMETROS_CULTURAS!$H$6:$H$28,$P2051),INDEX(PARAMETROS_CULTURAS!$L$6:$L$28,$P2051),INDEX(PARAMETROS_CULTURAS!$L$6:$L$28,$P2051)+(INDEX(PARAMETROS_CULTURAS!$M$6:$M$28,$P2051)-INDEX(PARAMETROS_CULTURAS!$L$6:$L$28,$P2051))*($O2051-INDEX(PARAMETROS_CULTURAS!$F$6:$F$28,$P2051)-INDEX(PARAMETROS_CULTURAS!$G$6:$G$28,$P2051)-INDEX(PARAMETROS_CULTURAS!$H$6:$H$28,$P2051))/MAX(INDEX(PARAMETROS_CULTURAS!$I$6:$I$28,$P2051),0.0001)))))</f>
        <v>0</v>
      </c>
      <c r="S2051" s="18" t="n">
        <f aca="false">IFERROR(INDEX(SEMANAS!$H$6:$H$71,MATCH($B2051,SEMANAS!$B$6:$B$71,0)),0)</f>
        <v>33.3</v>
      </c>
      <c r="T2051" s="18" t="n">
        <f aca="false">$R2051*$S2051</f>
        <v>0</v>
      </c>
      <c r="U2051" s="18" t="n">
        <f aca="false">IFERROR(INDEX(SEMANAS!$I$6:$I$71,MATCH($B2051,SEMANAS!$B$6:$B$71,0)),0)</f>
        <v>48.04</v>
      </c>
      <c r="V2051" s="18" t="n">
        <f aca="false">IFERROR(INDEX(SEMANAS!$J$6:$J$71,MATCH($B2051,SEMANAS!$B$6:$B$71,0)),0)</f>
        <v>38.432</v>
      </c>
      <c r="W2051" s="18" t="n">
        <f aca="false">MAX(0,$T2051-$V2051)</f>
        <v>0</v>
      </c>
      <c r="X2051" s="19" t="n">
        <f aca="false">IFERROR(INDEX(CADASTRO_PIVOS!$K$6:$K$41,MATCH($E2051,CADASTRO_PIVOS!$B$6:$B$41,0)),EFICIENCIA_PADRAO)</f>
        <v>0.85</v>
      </c>
      <c r="Y2051" s="18" t="n">
        <f aca="false">IF($X2051&lt;=0,0,$W2051/$X2051)</f>
        <v>0</v>
      </c>
      <c r="Z2051" s="16" t="n">
        <f aca="false">$Y2051*$H2051*MM_PARA_M3_HA</f>
        <v>0</v>
      </c>
      <c r="AA2051" s="18" t="n">
        <f aca="false">IFERROR(INDEX(CADASTRO_PIVOS!$I$6:$I$41,MATCH($E2051,CADASTRO_PIVOS!$B$6:$B$41,0)),0)</f>
        <v>710.571428571429</v>
      </c>
      <c r="AB2051" s="18" t="n">
        <f aca="false">IF($Z2051&lt;=0,0,$Z2051/$AA2051)</f>
        <v>0</v>
      </c>
      <c r="AC2051" s="16" t="n">
        <f aca="false">IFERROR(INDEX(SEMANAS!$K$6:$K$71,MATCH($B2051,SEMANAS!$B$6:$B$71,0)),0)</f>
        <v>147</v>
      </c>
      <c r="AD2051" s="19" t="n">
        <f aca="false">IF($AC2051&lt;=0,0,$AB2051/$AC2051)</f>
        <v>0</v>
      </c>
      <c r="AE2051" s="8" t="str">
        <f aca="false">IF($K2051="SEM CULTURA","SEM CULTURA",IF($AA2051&lt;=0,"DADO PENDENTE",IF($AD2051&gt;LIMITE_CRITICO,"INVIAVEL",IF($AD2051&gt;LIMITE_ATENCAO,"CRITICO",IF($AD2051&gt;LIMITE_CONFORTAVEL,"ATENCAO","OK")))))</f>
        <v>SEM CULTURA</v>
      </c>
      <c r="AF2051" s="8" t="str">
        <f aca="false">$B2051&amp;"|"&amp;TEXT($AD2051,"0.000000")</f>
        <v>66|0.000000</v>
      </c>
      <c r="AG2051" s="18" t="n">
        <f aca="false">IF($K2051="SEM CULTURA",0,$T2051*$H2051)</f>
        <v>0</v>
      </c>
      <c r="AH2051" s="18" t="n">
        <f aca="false">IF($K2051="SEM CULTURA",0,$V2051*$H2051)</f>
        <v>0</v>
      </c>
      <c r="AI2051" s="18" t="n">
        <f aca="false">IF($K2051="SEM CULTURA",0,$W2051*$H2051)</f>
        <v>0</v>
      </c>
      <c r="AJ2051" s="18" t="n">
        <f aca="false">IF($K2051="SEM CULTURA",0,$S2051*$H2051)</f>
        <v>0</v>
      </c>
      <c r="AK2051" s="8" t="str">
        <f aca="false">$E2051&amp;"|"&amp;TEXT($AD2051,"0.000000")</f>
        <v>PV 127|0.000000</v>
      </c>
    </row>
    <row r="2052" customFormat="false" ht="15" hidden="false" customHeight="false" outlineLevel="0" collapsed="false">
      <c r="B2052" s="16" t="n">
        <v>1</v>
      </c>
      <c r="C2052" s="17" t="n">
        <f aca="false">DATA_INICIO_SAFRA+($B2052-1)*DIAS_POR_SEMANA</f>
        <v>46265</v>
      </c>
      <c r="D2052" s="17" t="n">
        <f aca="false">$C2052+DIAS_POR_SEMANA-1</f>
        <v>46271</v>
      </c>
      <c r="E2052" s="15" t="s">
        <v>290</v>
      </c>
      <c r="F2052" s="8" t="str">
        <f aca="false">IFERROR(INDEX(CADASTRO_PIVOS!$C$6:$C$41,MATCH($E2052,CADASTRO_PIVOS!$B$6:$B$41,0)),"?")</f>
        <v>RM07</v>
      </c>
      <c r="G2052" s="8" t="str">
        <f aca="false">IFERROR(INDEX(CADASTRO_PIVOS!$D$6:$D$41,MATCH($E2052,CADASTRO_PIVOS!$B$6:$B$41,0)),"?")</f>
        <v>TR07</v>
      </c>
      <c r="H2052" s="20" t="n">
        <f aca="false">IFERROR(INDEX(CADASTRO_PIVOS!$E$6:$E$41,MATCH($E2052,CADASTRO_PIVOS!$B$6:$B$41,0)),0)</f>
        <v>99.48</v>
      </c>
      <c r="I2052" s="16" t="n">
        <f aca="false">IFERROR(SUMIFS(ROTACAO_RDM!$B$6:$B$71,ROTACAO_RDM!$D$6:$D$71,$E2052,ROTACAO_RDM!$I$6:$I$71,"&lt;="&amp;$C2052+INT(DIAS_POR_SEMANA/2),ROTACAO_RDM!$J$6:$J$71,"&gt;="&amp;$C2052+INT(DIAS_POR_SEMANA/2)),0)</f>
        <v>65</v>
      </c>
      <c r="J2052" s="16" t="n">
        <f aca="false">IFERROR(MATCH($I2052,ROTACAO_RDM!$B$6:$B$71,0),0)</f>
        <v>65</v>
      </c>
      <c r="K2052" s="8" t="str">
        <f aca="false">IF($J2052=0,"SEM CULTURA",INDEX(ROTACAO_RDM!$F$6:$F$71,$J2052))</f>
        <v>MILHO_SEMENTE</v>
      </c>
      <c r="L2052" s="8" t="str">
        <f aca="false">IF($J2052=0,"",INDEX(ROTACAO_RDM!$G$6:$G$71,$J2052))</f>
        <v>Syngenta</v>
      </c>
      <c r="M2052" s="17" t="n">
        <f aca="false">IF($J2052=0,"",INDEX(ROTACAO_RDM!$I$6:$I$71,$J2052))</f>
        <v>46140</v>
      </c>
      <c r="N2052" s="16" t="n">
        <f aca="false">IF($J2052=0,0,MAX(0,$C2052+INT(DIAS_POR_SEMANA/2)-INDEX(ROTACAO_RDM!$I$6:$I$71,$J2052)))</f>
        <v>128</v>
      </c>
      <c r="O2052" s="19" t="n">
        <f aca="false">IF($J2052=0,0,MIN(1,$N2052/MAX(1,INDEX(ROTACAO_RDM!$K$6:$K$71,$J2052))))</f>
        <v>0.8</v>
      </c>
      <c r="P2052" s="16" t="n">
        <f aca="false">IF($J2052=0,0,IFERROR(MATCH(INDEX(ROTACAO_RDM!$N$6:$N$71,$J2052),PARAMETROS_CULTURAS!$B$6:$B$28,0),0))</f>
        <v>7</v>
      </c>
      <c r="Q2052" s="8" t="str">
        <f aca="false">IF($P2052=0,"-",IF($O2052&lt;=INDEX(PARAMETROS_CULTURAS!$F$6:$F$28,$P2052),"INICIAL",IF($O2052&lt;=INDEX(PARAMETROS_CULTURAS!$F$6:$F$28,$P2052)+INDEX(PARAMETROS_CULTURAS!$G$6:$G$28,$P2052),"DESENVOLVIMENTO",IF($O2052&lt;=INDEX(PARAMETROS_CULTURAS!$F$6:$F$28,$P2052)+INDEX(PARAMETROS_CULTURAS!$G$6:$G$28,$P2052)+INDEX(PARAMETROS_CULTURAS!$H$6:$H$28,$P2052),"MEDIA","FINAL"))))</f>
        <v>FINAL</v>
      </c>
      <c r="R2052" s="24" t="n">
        <f aca="false">IF($P2052=0,0,IF($O2052&lt;=INDEX(PARAMETROS_CULTURAS!$F$6:$F$28,$P2052),INDEX(PARAMETROS_CULTURAS!$K$6:$K$28,$P2052),IF($O2052&lt;=INDEX(PARAMETROS_CULTURAS!$F$6:$F$28,$P2052)+INDEX(PARAMETROS_CULTURAS!$G$6:$G$28,$P2052),INDEX(PARAMETROS_CULTURAS!$K$6:$K$28,$P2052)+(INDEX(PARAMETROS_CULTURAS!$L$6:$L$28,$P2052)-INDEX(PARAMETROS_CULTURAS!$K$6:$K$28,$P2052))*($O2052-INDEX(PARAMETROS_CULTURAS!$F$6:$F$28,$P2052))/MAX(INDEX(PARAMETROS_CULTURAS!$G$6:$G$28,$P2052),0.0001),IF($O2052&lt;=INDEX(PARAMETROS_CULTURAS!$F$6:$F$28,$P2052)+INDEX(PARAMETROS_CULTURAS!$G$6:$G$28,$P2052)+INDEX(PARAMETROS_CULTURAS!$H$6:$H$28,$P2052),INDEX(PARAMETROS_CULTURAS!$L$6:$L$28,$P2052),INDEX(PARAMETROS_CULTURAS!$L$6:$L$28,$P2052)+(INDEX(PARAMETROS_CULTURAS!$M$6:$M$28,$P2052)-INDEX(PARAMETROS_CULTURAS!$L$6:$L$28,$P2052))*($O2052-INDEX(PARAMETROS_CULTURAS!$F$6:$F$28,$P2052)-INDEX(PARAMETROS_CULTURAS!$G$6:$G$28,$P2052)-INDEX(PARAMETROS_CULTURAS!$H$6:$H$28,$P2052))/MAX(INDEX(PARAMETROS_CULTURAS!$I$6:$I$28,$P2052),0.0001)))))</f>
        <v>1.04</v>
      </c>
      <c r="S2052" s="18" t="n">
        <f aca="false">IFERROR(INDEX(SEMANAS!$H$6:$H$71,MATCH($B2052,SEMANAS!$B$6:$B$71,0)),0)</f>
        <v>40</v>
      </c>
      <c r="T2052" s="18" t="n">
        <f aca="false">$R2052*$S2052</f>
        <v>41.6</v>
      </c>
      <c r="U2052" s="18" t="n">
        <f aca="false">IFERROR(INDEX(SEMANAS!$I$6:$I$71,MATCH($B2052,SEMANAS!$B$6:$B$71,0)),0)</f>
        <v>6.16</v>
      </c>
      <c r="V2052" s="18" t="n">
        <f aca="false">IFERROR(INDEX(SEMANAS!$J$6:$J$71,MATCH($B2052,SEMANAS!$B$6:$B$71,0)),0)</f>
        <v>4.928</v>
      </c>
      <c r="W2052" s="18" t="n">
        <f aca="false">MAX(0,$T2052-$V2052)</f>
        <v>36.672</v>
      </c>
      <c r="X2052" s="19" t="n">
        <f aca="false">IFERROR(INDEX(CADASTRO_PIVOS!$K$6:$K$41,MATCH($E2052,CADASTRO_PIVOS!$B$6:$B$41,0)),EFICIENCIA_PADRAO)</f>
        <v>0.85</v>
      </c>
      <c r="Y2052" s="18" t="n">
        <f aca="false">IF($X2052&lt;=0,0,$W2052/$X2052)</f>
        <v>43.1435294117647</v>
      </c>
      <c r="Z2052" s="16" t="n">
        <f aca="false">$Y2052*$H2052*MM_PARA_M3_HA</f>
        <v>42919.1830588235</v>
      </c>
      <c r="AA2052" s="18" t="n">
        <f aca="false">IFERROR(INDEX(CADASTRO_PIVOS!$I$6:$I$41,MATCH($E2052,CADASTRO_PIVOS!$B$6:$B$41,0)),0)</f>
        <v>710.571428571429</v>
      </c>
      <c r="AB2052" s="18" t="n">
        <f aca="false">IF($Z2052&lt;=0,0,$Z2052/$AA2052)</f>
        <v>60.4009411764706</v>
      </c>
      <c r="AC2052" s="16" t="n">
        <f aca="false">IFERROR(INDEX(SEMANAS!$K$6:$K$71,MATCH($B2052,SEMANAS!$B$6:$B$71,0)),0)</f>
        <v>147</v>
      </c>
      <c r="AD2052" s="19" t="n">
        <f aca="false">IF($AC2052&lt;=0,0,$AB2052/$AC2052)</f>
        <v>0.410890756302521</v>
      </c>
      <c r="AE2052" s="8" t="str">
        <f aca="false">IF($K2052="SEM CULTURA","SEM CULTURA",IF($AA2052&lt;=0,"DADO PENDENTE",IF($AD2052&gt;LIMITE_CRITICO,"INVIAVEL",IF($AD2052&gt;LIMITE_ATENCAO,"CRITICO",IF($AD2052&gt;LIMITE_CONFORTAVEL,"ATENCAO","OK")))))</f>
        <v>OK</v>
      </c>
      <c r="AF2052" s="8" t="str">
        <f aca="false">$B2052&amp;"|"&amp;TEXT($AD2052,"0.000000")</f>
        <v>1|0.410891</v>
      </c>
      <c r="AG2052" s="18" t="n">
        <f aca="false">IF($K2052="SEM CULTURA",0,$T2052*$H2052)</f>
        <v>4138.368</v>
      </c>
      <c r="AH2052" s="18" t="n">
        <f aca="false">IF($K2052="SEM CULTURA",0,$V2052*$H2052)</f>
        <v>490.23744</v>
      </c>
      <c r="AI2052" s="18" t="n">
        <f aca="false">IF($K2052="SEM CULTURA",0,$W2052*$H2052)</f>
        <v>3648.13056</v>
      </c>
      <c r="AJ2052" s="18" t="n">
        <f aca="false">IF($K2052="SEM CULTURA",0,$S2052*$H2052)</f>
        <v>3979.2</v>
      </c>
      <c r="AK2052" s="8" t="str">
        <f aca="false">$E2052&amp;"|"&amp;TEXT($AD2052,"0.000000")</f>
        <v>PV 133|0.410891</v>
      </c>
    </row>
    <row r="2053" customFormat="false" ht="15" hidden="false" customHeight="false" outlineLevel="0" collapsed="false">
      <c r="B2053" s="16" t="n">
        <v>2</v>
      </c>
      <c r="C2053" s="17" t="n">
        <f aca="false">DATA_INICIO_SAFRA+($B2053-1)*DIAS_POR_SEMANA</f>
        <v>46272</v>
      </c>
      <c r="D2053" s="17" t="n">
        <f aca="false">$C2053+DIAS_POR_SEMANA-1</f>
        <v>46278</v>
      </c>
      <c r="E2053" s="15" t="s">
        <v>290</v>
      </c>
      <c r="F2053" s="8" t="str">
        <f aca="false">IFERROR(INDEX(CADASTRO_PIVOS!$C$6:$C$41,MATCH($E2053,CADASTRO_PIVOS!$B$6:$B$41,0)),"?")</f>
        <v>RM07</v>
      </c>
      <c r="G2053" s="8" t="str">
        <f aca="false">IFERROR(INDEX(CADASTRO_PIVOS!$D$6:$D$41,MATCH($E2053,CADASTRO_PIVOS!$B$6:$B$41,0)),"?")</f>
        <v>TR07</v>
      </c>
      <c r="H2053" s="20" t="n">
        <f aca="false">IFERROR(INDEX(CADASTRO_PIVOS!$E$6:$E$41,MATCH($E2053,CADASTRO_PIVOS!$B$6:$B$41,0)),0)</f>
        <v>99.48</v>
      </c>
      <c r="I2053" s="16" t="n">
        <f aca="false">IFERROR(SUMIFS(ROTACAO_RDM!$B$6:$B$71,ROTACAO_RDM!$D$6:$D$71,$E2053,ROTACAO_RDM!$I$6:$I$71,"&lt;="&amp;$C2053+INT(DIAS_POR_SEMANA/2),ROTACAO_RDM!$J$6:$J$71,"&gt;="&amp;$C2053+INT(DIAS_POR_SEMANA/2)),0)</f>
        <v>65</v>
      </c>
      <c r="J2053" s="16" t="n">
        <f aca="false">IFERROR(MATCH($I2053,ROTACAO_RDM!$B$6:$B$71,0),0)</f>
        <v>65</v>
      </c>
      <c r="K2053" s="8" t="str">
        <f aca="false">IF($J2053=0,"SEM CULTURA",INDEX(ROTACAO_RDM!$F$6:$F$71,$J2053))</f>
        <v>MILHO_SEMENTE</v>
      </c>
      <c r="L2053" s="8" t="str">
        <f aca="false">IF($J2053=0,"",INDEX(ROTACAO_RDM!$G$6:$G$71,$J2053))</f>
        <v>Syngenta</v>
      </c>
      <c r="M2053" s="17" t="n">
        <f aca="false">IF($J2053=0,"",INDEX(ROTACAO_RDM!$I$6:$I$71,$J2053))</f>
        <v>46140</v>
      </c>
      <c r="N2053" s="16" t="n">
        <f aca="false">IF($J2053=0,0,MAX(0,$C2053+INT(DIAS_POR_SEMANA/2)-INDEX(ROTACAO_RDM!$I$6:$I$71,$J2053)))</f>
        <v>135</v>
      </c>
      <c r="O2053" s="19" t="n">
        <f aca="false">IF($J2053=0,0,MIN(1,$N2053/MAX(1,INDEX(ROTACAO_RDM!$K$6:$K$71,$J2053))))</f>
        <v>0.84375</v>
      </c>
      <c r="P2053" s="16" t="n">
        <f aca="false">IF($J2053=0,0,IFERROR(MATCH(INDEX(ROTACAO_RDM!$N$6:$N$71,$J2053),PARAMETROS_CULTURAS!$B$6:$B$28,0),0))</f>
        <v>7</v>
      </c>
      <c r="Q2053" s="8" t="str">
        <f aca="false">IF($P2053=0,"-",IF($O2053&lt;=INDEX(PARAMETROS_CULTURAS!$F$6:$F$28,$P2053),"INICIAL",IF($O2053&lt;=INDEX(PARAMETROS_CULTURAS!$F$6:$F$28,$P2053)+INDEX(PARAMETROS_CULTURAS!$G$6:$G$28,$P2053),"DESENVOLVIMENTO",IF($O2053&lt;=INDEX(PARAMETROS_CULTURAS!$F$6:$F$28,$P2053)+INDEX(PARAMETROS_CULTURAS!$G$6:$G$28,$P2053)+INDEX(PARAMETROS_CULTURAS!$H$6:$H$28,$P2053),"MEDIA","FINAL"))))</f>
        <v>FINAL</v>
      </c>
      <c r="R2053" s="24" t="n">
        <f aca="false">IF($P2053=0,0,IF($O2053&lt;=INDEX(PARAMETROS_CULTURAS!$F$6:$F$28,$P2053),INDEX(PARAMETROS_CULTURAS!$K$6:$K$28,$P2053),IF($O2053&lt;=INDEX(PARAMETROS_CULTURAS!$F$6:$F$28,$P2053)+INDEX(PARAMETROS_CULTURAS!$G$6:$G$28,$P2053),INDEX(PARAMETROS_CULTURAS!$K$6:$K$28,$P2053)+(INDEX(PARAMETROS_CULTURAS!$L$6:$L$28,$P2053)-INDEX(PARAMETROS_CULTURAS!$K$6:$K$28,$P2053))*($O2053-INDEX(PARAMETROS_CULTURAS!$F$6:$F$28,$P2053))/MAX(INDEX(PARAMETROS_CULTURAS!$G$6:$G$28,$P2053),0.0001),IF($O2053&lt;=INDEX(PARAMETROS_CULTURAS!$F$6:$F$28,$P2053)+INDEX(PARAMETROS_CULTURAS!$G$6:$G$28,$P2053)+INDEX(PARAMETROS_CULTURAS!$H$6:$H$28,$P2053),INDEX(PARAMETROS_CULTURAS!$L$6:$L$28,$P2053),INDEX(PARAMETROS_CULTURAS!$L$6:$L$28,$P2053)+(INDEX(PARAMETROS_CULTURAS!$M$6:$M$28,$P2053)-INDEX(PARAMETROS_CULTURAS!$L$6:$L$28,$P2053))*($O2053-INDEX(PARAMETROS_CULTURAS!$F$6:$F$28,$P2053)-INDEX(PARAMETROS_CULTURAS!$G$6:$G$28,$P2053)-INDEX(PARAMETROS_CULTURAS!$H$6:$H$28,$P2053))/MAX(INDEX(PARAMETROS_CULTURAS!$I$6:$I$28,$P2053),0.0001)))))</f>
        <v>0.94375</v>
      </c>
      <c r="S2053" s="18" t="n">
        <f aca="false">IFERROR(INDEX(SEMANAS!$H$6:$H$71,MATCH($B2053,SEMANAS!$B$6:$B$71,0)),0)</f>
        <v>40.6</v>
      </c>
      <c r="T2053" s="18" t="n">
        <f aca="false">$R2053*$S2053</f>
        <v>38.31625</v>
      </c>
      <c r="U2053" s="18" t="n">
        <f aca="false">IFERROR(INDEX(SEMANAS!$I$6:$I$71,MATCH($B2053,SEMANAS!$B$6:$B$71,0)),0)</f>
        <v>7</v>
      </c>
      <c r="V2053" s="18" t="n">
        <f aca="false">IFERROR(INDEX(SEMANAS!$J$6:$J$71,MATCH($B2053,SEMANAS!$B$6:$B$71,0)),0)</f>
        <v>5.6</v>
      </c>
      <c r="W2053" s="18" t="n">
        <f aca="false">MAX(0,$T2053-$V2053)</f>
        <v>32.71625</v>
      </c>
      <c r="X2053" s="19" t="n">
        <f aca="false">IFERROR(INDEX(CADASTRO_PIVOS!$K$6:$K$41,MATCH($E2053,CADASTRO_PIVOS!$B$6:$B$41,0)),EFICIENCIA_PADRAO)</f>
        <v>0.85</v>
      </c>
      <c r="Y2053" s="18" t="n">
        <f aca="false">IF($X2053&lt;=0,0,$W2053/$X2053)</f>
        <v>38.4897058823529</v>
      </c>
      <c r="Z2053" s="16" t="n">
        <f aca="false">$Y2053*$H2053*MM_PARA_M3_HA</f>
        <v>38289.5594117647</v>
      </c>
      <c r="AA2053" s="18" t="n">
        <f aca="false">IFERROR(INDEX(CADASTRO_PIVOS!$I$6:$I$41,MATCH($E2053,CADASTRO_PIVOS!$B$6:$B$41,0)),0)</f>
        <v>710.571428571429</v>
      </c>
      <c r="AB2053" s="18" t="n">
        <f aca="false">IF($Z2053&lt;=0,0,$Z2053/$AA2053)</f>
        <v>53.8855882352941</v>
      </c>
      <c r="AC2053" s="16" t="n">
        <f aca="false">IFERROR(INDEX(SEMANAS!$K$6:$K$71,MATCH($B2053,SEMANAS!$B$6:$B$71,0)),0)</f>
        <v>147</v>
      </c>
      <c r="AD2053" s="19" t="n">
        <f aca="false">IF($AC2053&lt;=0,0,$AB2053/$AC2053)</f>
        <v>0.36656862745098</v>
      </c>
      <c r="AE2053" s="8" t="str">
        <f aca="false">IF($K2053="SEM CULTURA","SEM CULTURA",IF($AA2053&lt;=0,"DADO PENDENTE",IF($AD2053&gt;LIMITE_CRITICO,"INVIAVEL",IF($AD2053&gt;LIMITE_ATENCAO,"CRITICO",IF($AD2053&gt;LIMITE_CONFORTAVEL,"ATENCAO","OK")))))</f>
        <v>OK</v>
      </c>
      <c r="AF2053" s="8" t="str">
        <f aca="false">$B2053&amp;"|"&amp;TEXT($AD2053,"0.000000")</f>
        <v>2|0.366569</v>
      </c>
      <c r="AG2053" s="18" t="n">
        <f aca="false">IF($K2053="SEM CULTURA",0,$T2053*$H2053)</f>
        <v>3811.70055</v>
      </c>
      <c r="AH2053" s="18" t="n">
        <f aca="false">IF($K2053="SEM CULTURA",0,$V2053*$H2053)</f>
        <v>557.088</v>
      </c>
      <c r="AI2053" s="18" t="n">
        <f aca="false">IF($K2053="SEM CULTURA",0,$W2053*$H2053)</f>
        <v>3254.61255</v>
      </c>
      <c r="AJ2053" s="18" t="n">
        <f aca="false">IF($K2053="SEM CULTURA",0,$S2053*$H2053)</f>
        <v>4038.888</v>
      </c>
      <c r="AK2053" s="8" t="str">
        <f aca="false">$E2053&amp;"|"&amp;TEXT($AD2053,"0.000000")</f>
        <v>PV 133|0.366569</v>
      </c>
    </row>
    <row r="2054" customFormat="false" ht="15" hidden="false" customHeight="false" outlineLevel="0" collapsed="false">
      <c r="B2054" s="16" t="n">
        <v>3</v>
      </c>
      <c r="C2054" s="17" t="n">
        <f aca="false">DATA_INICIO_SAFRA+($B2054-1)*DIAS_POR_SEMANA</f>
        <v>46279</v>
      </c>
      <c r="D2054" s="17" t="n">
        <f aca="false">$C2054+DIAS_POR_SEMANA-1</f>
        <v>46285</v>
      </c>
      <c r="E2054" s="15" t="s">
        <v>290</v>
      </c>
      <c r="F2054" s="8" t="str">
        <f aca="false">IFERROR(INDEX(CADASTRO_PIVOS!$C$6:$C$41,MATCH($E2054,CADASTRO_PIVOS!$B$6:$B$41,0)),"?")</f>
        <v>RM07</v>
      </c>
      <c r="G2054" s="8" t="str">
        <f aca="false">IFERROR(INDEX(CADASTRO_PIVOS!$D$6:$D$41,MATCH($E2054,CADASTRO_PIVOS!$B$6:$B$41,0)),"?")</f>
        <v>TR07</v>
      </c>
      <c r="H2054" s="20" t="n">
        <f aca="false">IFERROR(INDEX(CADASTRO_PIVOS!$E$6:$E$41,MATCH($E2054,CADASTRO_PIVOS!$B$6:$B$41,0)),0)</f>
        <v>99.48</v>
      </c>
      <c r="I2054" s="16" t="n">
        <f aca="false">IFERROR(SUMIFS(ROTACAO_RDM!$B$6:$B$71,ROTACAO_RDM!$D$6:$D$71,$E2054,ROTACAO_RDM!$I$6:$I$71,"&lt;="&amp;$C2054+INT(DIAS_POR_SEMANA/2),ROTACAO_RDM!$J$6:$J$71,"&gt;="&amp;$C2054+INT(DIAS_POR_SEMANA/2)),0)</f>
        <v>65</v>
      </c>
      <c r="J2054" s="16" t="n">
        <f aca="false">IFERROR(MATCH($I2054,ROTACAO_RDM!$B$6:$B$71,0),0)</f>
        <v>65</v>
      </c>
      <c r="K2054" s="8" t="str">
        <f aca="false">IF($J2054=0,"SEM CULTURA",INDEX(ROTACAO_RDM!$F$6:$F$71,$J2054))</f>
        <v>MILHO_SEMENTE</v>
      </c>
      <c r="L2054" s="8" t="str">
        <f aca="false">IF($J2054=0,"",INDEX(ROTACAO_RDM!$G$6:$G$71,$J2054))</f>
        <v>Syngenta</v>
      </c>
      <c r="M2054" s="17" t="n">
        <f aca="false">IF($J2054=0,"",INDEX(ROTACAO_RDM!$I$6:$I$71,$J2054))</f>
        <v>46140</v>
      </c>
      <c r="N2054" s="16" t="n">
        <f aca="false">IF($J2054=0,0,MAX(0,$C2054+INT(DIAS_POR_SEMANA/2)-INDEX(ROTACAO_RDM!$I$6:$I$71,$J2054)))</f>
        <v>142</v>
      </c>
      <c r="O2054" s="19" t="n">
        <f aca="false">IF($J2054=0,0,MIN(1,$N2054/MAX(1,INDEX(ROTACAO_RDM!$K$6:$K$71,$J2054))))</f>
        <v>0.8875</v>
      </c>
      <c r="P2054" s="16" t="n">
        <f aca="false">IF($J2054=0,0,IFERROR(MATCH(INDEX(ROTACAO_RDM!$N$6:$N$71,$J2054),PARAMETROS_CULTURAS!$B$6:$B$28,0),0))</f>
        <v>7</v>
      </c>
      <c r="Q2054" s="8" t="str">
        <f aca="false">IF($P2054=0,"-",IF($O2054&lt;=INDEX(PARAMETROS_CULTURAS!$F$6:$F$28,$P2054),"INICIAL",IF($O2054&lt;=INDEX(PARAMETROS_CULTURAS!$F$6:$F$28,$P2054)+INDEX(PARAMETROS_CULTURAS!$G$6:$G$28,$P2054),"DESENVOLVIMENTO",IF($O2054&lt;=INDEX(PARAMETROS_CULTURAS!$F$6:$F$28,$P2054)+INDEX(PARAMETROS_CULTURAS!$G$6:$G$28,$P2054)+INDEX(PARAMETROS_CULTURAS!$H$6:$H$28,$P2054),"MEDIA","FINAL"))))</f>
        <v>FINAL</v>
      </c>
      <c r="R2054" s="24" t="n">
        <f aca="false">IF($P2054=0,0,IF($O2054&lt;=INDEX(PARAMETROS_CULTURAS!$F$6:$F$28,$P2054),INDEX(PARAMETROS_CULTURAS!$K$6:$K$28,$P2054),IF($O2054&lt;=INDEX(PARAMETROS_CULTURAS!$F$6:$F$28,$P2054)+INDEX(PARAMETROS_CULTURAS!$G$6:$G$28,$P2054),INDEX(PARAMETROS_CULTURAS!$K$6:$K$28,$P2054)+(INDEX(PARAMETROS_CULTURAS!$L$6:$L$28,$P2054)-INDEX(PARAMETROS_CULTURAS!$K$6:$K$28,$P2054))*($O2054-INDEX(PARAMETROS_CULTURAS!$F$6:$F$28,$P2054))/MAX(INDEX(PARAMETROS_CULTURAS!$G$6:$G$28,$P2054),0.0001),IF($O2054&lt;=INDEX(PARAMETROS_CULTURAS!$F$6:$F$28,$P2054)+INDEX(PARAMETROS_CULTURAS!$G$6:$G$28,$P2054)+INDEX(PARAMETROS_CULTURAS!$H$6:$H$28,$P2054),INDEX(PARAMETROS_CULTURAS!$L$6:$L$28,$P2054),INDEX(PARAMETROS_CULTURAS!$L$6:$L$28,$P2054)+(INDEX(PARAMETROS_CULTURAS!$M$6:$M$28,$P2054)-INDEX(PARAMETROS_CULTURAS!$L$6:$L$28,$P2054))*($O2054-INDEX(PARAMETROS_CULTURAS!$F$6:$F$28,$P2054)-INDEX(PARAMETROS_CULTURAS!$G$6:$G$28,$P2054)-INDEX(PARAMETROS_CULTURAS!$H$6:$H$28,$P2054))/MAX(INDEX(PARAMETROS_CULTURAS!$I$6:$I$28,$P2054),0.0001)))))</f>
        <v>0.8475</v>
      </c>
      <c r="S2054" s="18" t="n">
        <f aca="false">IFERROR(INDEX(SEMANAS!$H$6:$H$71,MATCH($B2054,SEMANAS!$B$6:$B$71,0)),0)</f>
        <v>40.6</v>
      </c>
      <c r="T2054" s="18" t="n">
        <f aca="false">$R2054*$S2054</f>
        <v>34.4085</v>
      </c>
      <c r="U2054" s="18" t="n">
        <f aca="false">IFERROR(INDEX(SEMANAS!$I$6:$I$71,MATCH($B2054,SEMANAS!$B$6:$B$71,0)),0)</f>
        <v>7</v>
      </c>
      <c r="V2054" s="18" t="n">
        <f aca="false">IFERROR(INDEX(SEMANAS!$J$6:$J$71,MATCH($B2054,SEMANAS!$B$6:$B$71,0)),0)</f>
        <v>5.6</v>
      </c>
      <c r="W2054" s="18" t="n">
        <f aca="false">MAX(0,$T2054-$V2054)</f>
        <v>28.8085</v>
      </c>
      <c r="X2054" s="19" t="n">
        <f aca="false">IFERROR(INDEX(CADASTRO_PIVOS!$K$6:$K$41,MATCH($E2054,CADASTRO_PIVOS!$B$6:$B$41,0)),EFICIENCIA_PADRAO)</f>
        <v>0.85</v>
      </c>
      <c r="Y2054" s="18" t="n">
        <f aca="false">IF($X2054&lt;=0,0,$W2054/$X2054)</f>
        <v>33.8923529411765</v>
      </c>
      <c r="Z2054" s="16" t="n">
        <f aca="false">$Y2054*$H2054*MM_PARA_M3_HA</f>
        <v>33716.1127058824</v>
      </c>
      <c r="AA2054" s="18" t="n">
        <f aca="false">IFERROR(INDEX(CADASTRO_PIVOS!$I$6:$I$41,MATCH($E2054,CADASTRO_PIVOS!$B$6:$B$41,0)),0)</f>
        <v>710.571428571429</v>
      </c>
      <c r="AB2054" s="18" t="n">
        <f aca="false">IF($Z2054&lt;=0,0,$Z2054/$AA2054)</f>
        <v>47.4492941176471</v>
      </c>
      <c r="AC2054" s="16" t="n">
        <f aca="false">IFERROR(INDEX(SEMANAS!$K$6:$K$71,MATCH($B2054,SEMANAS!$B$6:$B$71,0)),0)</f>
        <v>147</v>
      </c>
      <c r="AD2054" s="19" t="n">
        <f aca="false">IF($AC2054&lt;=0,0,$AB2054/$AC2054)</f>
        <v>0.32278431372549</v>
      </c>
      <c r="AE2054" s="8" t="str">
        <f aca="false">IF($K2054="SEM CULTURA","SEM CULTURA",IF($AA2054&lt;=0,"DADO PENDENTE",IF($AD2054&gt;LIMITE_CRITICO,"INVIAVEL",IF($AD2054&gt;LIMITE_ATENCAO,"CRITICO",IF($AD2054&gt;LIMITE_CONFORTAVEL,"ATENCAO","OK")))))</f>
        <v>OK</v>
      </c>
      <c r="AF2054" s="8" t="str">
        <f aca="false">$B2054&amp;"|"&amp;TEXT($AD2054,"0.000000")</f>
        <v>3|0.322784</v>
      </c>
      <c r="AG2054" s="18" t="n">
        <f aca="false">IF($K2054="SEM CULTURA",0,$T2054*$H2054)</f>
        <v>3422.95758</v>
      </c>
      <c r="AH2054" s="18" t="n">
        <f aca="false">IF($K2054="SEM CULTURA",0,$V2054*$H2054)</f>
        <v>557.088</v>
      </c>
      <c r="AI2054" s="18" t="n">
        <f aca="false">IF($K2054="SEM CULTURA",0,$W2054*$H2054)</f>
        <v>2865.86958</v>
      </c>
      <c r="AJ2054" s="18" t="n">
        <f aca="false">IF($K2054="SEM CULTURA",0,$S2054*$H2054)</f>
        <v>4038.888</v>
      </c>
      <c r="AK2054" s="8" t="str">
        <f aca="false">$E2054&amp;"|"&amp;TEXT($AD2054,"0.000000")</f>
        <v>PV 133|0.322784</v>
      </c>
    </row>
    <row r="2055" customFormat="false" ht="15" hidden="false" customHeight="false" outlineLevel="0" collapsed="false">
      <c r="B2055" s="16" t="n">
        <v>4</v>
      </c>
      <c r="C2055" s="17" t="n">
        <f aca="false">DATA_INICIO_SAFRA+($B2055-1)*DIAS_POR_SEMANA</f>
        <v>46286</v>
      </c>
      <c r="D2055" s="17" t="n">
        <f aca="false">$C2055+DIAS_POR_SEMANA-1</f>
        <v>46292</v>
      </c>
      <c r="E2055" s="15" t="s">
        <v>290</v>
      </c>
      <c r="F2055" s="8" t="str">
        <f aca="false">IFERROR(INDEX(CADASTRO_PIVOS!$C$6:$C$41,MATCH($E2055,CADASTRO_PIVOS!$B$6:$B$41,0)),"?")</f>
        <v>RM07</v>
      </c>
      <c r="G2055" s="8" t="str">
        <f aca="false">IFERROR(INDEX(CADASTRO_PIVOS!$D$6:$D$41,MATCH($E2055,CADASTRO_PIVOS!$B$6:$B$41,0)),"?")</f>
        <v>TR07</v>
      </c>
      <c r="H2055" s="20" t="n">
        <f aca="false">IFERROR(INDEX(CADASTRO_PIVOS!$E$6:$E$41,MATCH($E2055,CADASTRO_PIVOS!$B$6:$B$41,0)),0)</f>
        <v>99.48</v>
      </c>
      <c r="I2055" s="16" t="n">
        <f aca="false">IFERROR(SUMIFS(ROTACAO_RDM!$B$6:$B$71,ROTACAO_RDM!$D$6:$D$71,$E2055,ROTACAO_RDM!$I$6:$I$71,"&lt;="&amp;$C2055+INT(DIAS_POR_SEMANA/2),ROTACAO_RDM!$J$6:$J$71,"&gt;="&amp;$C2055+INT(DIAS_POR_SEMANA/2)),0)</f>
        <v>65</v>
      </c>
      <c r="J2055" s="16" t="n">
        <f aca="false">IFERROR(MATCH($I2055,ROTACAO_RDM!$B$6:$B$71,0),0)</f>
        <v>65</v>
      </c>
      <c r="K2055" s="8" t="str">
        <f aca="false">IF($J2055=0,"SEM CULTURA",INDEX(ROTACAO_RDM!$F$6:$F$71,$J2055))</f>
        <v>MILHO_SEMENTE</v>
      </c>
      <c r="L2055" s="8" t="str">
        <f aca="false">IF($J2055=0,"",INDEX(ROTACAO_RDM!$G$6:$G$71,$J2055))</f>
        <v>Syngenta</v>
      </c>
      <c r="M2055" s="17" t="n">
        <f aca="false">IF($J2055=0,"",INDEX(ROTACAO_RDM!$I$6:$I$71,$J2055))</f>
        <v>46140</v>
      </c>
      <c r="N2055" s="16" t="n">
        <f aca="false">IF($J2055=0,0,MAX(0,$C2055+INT(DIAS_POR_SEMANA/2)-INDEX(ROTACAO_RDM!$I$6:$I$71,$J2055)))</f>
        <v>149</v>
      </c>
      <c r="O2055" s="19" t="n">
        <f aca="false">IF($J2055=0,0,MIN(1,$N2055/MAX(1,INDEX(ROTACAO_RDM!$K$6:$K$71,$J2055))))</f>
        <v>0.93125</v>
      </c>
      <c r="P2055" s="16" t="n">
        <f aca="false">IF($J2055=0,0,IFERROR(MATCH(INDEX(ROTACAO_RDM!$N$6:$N$71,$J2055),PARAMETROS_CULTURAS!$B$6:$B$28,0),0))</f>
        <v>7</v>
      </c>
      <c r="Q2055" s="8" t="str">
        <f aca="false">IF($P2055=0,"-",IF($O2055&lt;=INDEX(PARAMETROS_CULTURAS!$F$6:$F$28,$P2055),"INICIAL",IF($O2055&lt;=INDEX(PARAMETROS_CULTURAS!$F$6:$F$28,$P2055)+INDEX(PARAMETROS_CULTURAS!$G$6:$G$28,$P2055),"DESENVOLVIMENTO",IF($O2055&lt;=INDEX(PARAMETROS_CULTURAS!$F$6:$F$28,$P2055)+INDEX(PARAMETROS_CULTURAS!$G$6:$G$28,$P2055)+INDEX(PARAMETROS_CULTURAS!$H$6:$H$28,$P2055),"MEDIA","FINAL"))))</f>
        <v>FINAL</v>
      </c>
      <c r="R2055" s="24" t="n">
        <f aca="false">IF($P2055=0,0,IF($O2055&lt;=INDEX(PARAMETROS_CULTURAS!$F$6:$F$28,$P2055),INDEX(PARAMETROS_CULTURAS!$K$6:$K$28,$P2055),IF($O2055&lt;=INDEX(PARAMETROS_CULTURAS!$F$6:$F$28,$P2055)+INDEX(PARAMETROS_CULTURAS!$G$6:$G$28,$P2055),INDEX(PARAMETROS_CULTURAS!$K$6:$K$28,$P2055)+(INDEX(PARAMETROS_CULTURAS!$L$6:$L$28,$P2055)-INDEX(PARAMETROS_CULTURAS!$K$6:$K$28,$P2055))*($O2055-INDEX(PARAMETROS_CULTURAS!$F$6:$F$28,$P2055))/MAX(INDEX(PARAMETROS_CULTURAS!$G$6:$G$28,$P2055),0.0001),IF($O2055&lt;=INDEX(PARAMETROS_CULTURAS!$F$6:$F$28,$P2055)+INDEX(PARAMETROS_CULTURAS!$G$6:$G$28,$P2055)+INDEX(PARAMETROS_CULTURAS!$H$6:$H$28,$P2055),INDEX(PARAMETROS_CULTURAS!$L$6:$L$28,$P2055),INDEX(PARAMETROS_CULTURAS!$L$6:$L$28,$P2055)+(INDEX(PARAMETROS_CULTURAS!$M$6:$M$28,$P2055)-INDEX(PARAMETROS_CULTURAS!$L$6:$L$28,$P2055))*($O2055-INDEX(PARAMETROS_CULTURAS!$F$6:$F$28,$P2055)-INDEX(PARAMETROS_CULTURAS!$G$6:$G$28,$P2055)-INDEX(PARAMETROS_CULTURAS!$H$6:$H$28,$P2055))/MAX(INDEX(PARAMETROS_CULTURAS!$I$6:$I$28,$P2055),0.0001)))))</f>
        <v>0.75125</v>
      </c>
      <c r="S2055" s="18" t="n">
        <f aca="false">IFERROR(INDEX(SEMANAS!$H$6:$H$71,MATCH($B2055,SEMANAS!$B$6:$B$71,0)),0)</f>
        <v>40.6</v>
      </c>
      <c r="T2055" s="18" t="n">
        <f aca="false">$R2055*$S2055</f>
        <v>30.50075</v>
      </c>
      <c r="U2055" s="18" t="n">
        <f aca="false">IFERROR(INDEX(SEMANAS!$I$6:$I$71,MATCH($B2055,SEMANAS!$B$6:$B$71,0)),0)</f>
        <v>7</v>
      </c>
      <c r="V2055" s="18" t="n">
        <f aca="false">IFERROR(INDEX(SEMANAS!$J$6:$J$71,MATCH($B2055,SEMANAS!$B$6:$B$71,0)),0)</f>
        <v>5.6</v>
      </c>
      <c r="W2055" s="18" t="n">
        <f aca="false">MAX(0,$T2055-$V2055)</f>
        <v>24.90075</v>
      </c>
      <c r="X2055" s="19" t="n">
        <f aca="false">IFERROR(INDEX(CADASTRO_PIVOS!$K$6:$K$41,MATCH($E2055,CADASTRO_PIVOS!$B$6:$B$41,0)),EFICIENCIA_PADRAO)</f>
        <v>0.85</v>
      </c>
      <c r="Y2055" s="18" t="n">
        <f aca="false">IF($X2055&lt;=0,0,$W2055/$X2055)</f>
        <v>29.295</v>
      </c>
      <c r="Z2055" s="16" t="n">
        <f aca="false">$Y2055*$H2055*MM_PARA_M3_HA</f>
        <v>29142.666</v>
      </c>
      <c r="AA2055" s="18" t="n">
        <f aca="false">IFERROR(INDEX(CADASTRO_PIVOS!$I$6:$I$41,MATCH($E2055,CADASTRO_PIVOS!$B$6:$B$41,0)),0)</f>
        <v>710.571428571429</v>
      </c>
      <c r="AB2055" s="18" t="n">
        <f aca="false">IF($Z2055&lt;=0,0,$Z2055/$AA2055)</f>
        <v>41.013</v>
      </c>
      <c r="AC2055" s="16" t="n">
        <f aca="false">IFERROR(INDEX(SEMANAS!$K$6:$K$71,MATCH($B2055,SEMANAS!$B$6:$B$71,0)),0)</f>
        <v>147</v>
      </c>
      <c r="AD2055" s="19" t="n">
        <f aca="false">IF($AC2055&lt;=0,0,$AB2055/$AC2055)</f>
        <v>0.279</v>
      </c>
      <c r="AE2055" s="8" t="str">
        <f aca="false">IF($K2055="SEM CULTURA","SEM CULTURA",IF($AA2055&lt;=0,"DADO PENDENTE",IF($AD2055&gt;LIMITE_CRITICO,"INVIAVEL",IF($AD2055&gt;LIMITE_ATENCAO,"CRITICO",IF($AD2055&gt;LIMITE_CONFORTAVEL,"ATENCAO","OK")))))</f>
        <v>OK</v>
      </c>
      <c r="AF2055" s="8" t="str">
        <f aca="false">$B2055&amp;"|"&amp;TEXT($AD2055,"0.000000")</f>
        <v>4|0.279000</v>
      </c>
      <c r="AG2055" s="18" t="n">
        <f aca="false">IF($K2055="SEM CULTURA",0,$T2055*$H2055)</f>
        <v>3034.21461</v>
      </c>
      <c r="AH2055" s="18" t="n">
        <f aca="false">IF($K2055="SEM CULTURA",0,$V2055*$H2055)</f>
        <v>557.088</v>
      </c>
      <c r="AI2055" s="18" t="n">
        <f aca="false">IF($K2055="SEM CULTURA",0,$W2055*$H2055)</f>
        <v>2477.12661</v>
      </c>
      <c r="AJ2055" s="18" t="n">
        <f aca="false">IF($K2055="SEM CULTURA",0,$S2055*$H2055)</f>
        <v>4038.888</v>
      </c>
      <c r="AK2055" s="8" t="str">
        <f aca="false">$E2055&amp;"|"&amp;TEXT($AD2055,"0.000000")</f>
        <v>PV 133|0.279000</v>
      </c>
    </row>
    <row r="2056" customFormat="false" ht="15" hidden="false" customHeight="false" outlineLevel="0" collapsed="false">
      <c r="B2056" s="16" t="n">
        <v>5</v>
      </c>
      <c r="C2056" s="17" t="n">
        <f aca="false">DATA_INICIO_SAFRA+($B2056-1)*DIAS_POR_SEMANA</f>
        <v>46293</v>
      </c>
      <c r="D2056" s="17" t="n">
        <f aca="false">$C2056+DIAS_POR_SEMANA-1</f>
        <v>46299</v>
      </c>
      <c r="E2056" s="15" t="s">
        <v>290</v>
      </c>
      <c r="F2056" s="8" t="str">
        <f aca="false">IFERROR(INDEX(CADASTRO_PIVOS!$C$6:$C$41,MATCH($E2056,CADASTRO_PIVOS!$B$6:$B$41,0)),"?")</f>
        <v>RM07</v>
      </c>
      <c r="G2056" s="8" t="str">
        <f aca="false">IFERROR(INDEX(CADASTRO_PIVOS!$D$6:$D$41,MATCH($E2056,CADASTRO_PIVOS!$B$6:$B$41,0)),"?")</f>
        <v>TR07</v>
      </c>
      <c r="H2056" s="20" t="n">
        <f aca="false">IFERROR(INDEX(CADASTRO_PIVOS!$E$6:$E$41,MATCH($E2056,CADASTRO_PIVOS!$B$6:$B$41,0)),0)</f>
        <v>99.48</v>
      </c>
      <c r="I2056" s="16" t="n">
        <f aca="false">IFERROR(SUMIFS(ROTACAO_RDM!$B$6:$B$71,ROTACAO_RDM!$D$6:$D$71,$E2056,ROTACAO_RDM!$I$6:$I$71,"&lt;="&amp;$C2056+INT(DIAS_POR_SEMANA/2),ROTACAO_RDM!$J$6:$J$71,"&gt;="&amp;$C2056+INT(DIAS_POR_SEMANA/2)),0)</f>
        <v>65</v>
      </c>
      <c r="J2056" s="16" t="n">
        <f aca="false">IFERROR(MATCH($I2056,ROTACAO_RDM!$B$6:$B$71,0),0)</f>
        <v>65</v>
      </c>
      <c r="K2056" s="8" t="str">
        <f aca="false">IF($J2056=0,"SEM CULTURA",INDEX(ROTACAO_RDM!$F$6:$F$71,$J2056))</f>
        <v>MILHO_SEMENTE</v>
      </c>
      <c r="L2056" s="8" t="str">
        <f aca="false">IF($J2056=0,"",INDEX(ROTACAO_RDM!$G$6:$G$71,$J2056))</f>
        <v>Syngenta</v>
      </c>
      <c r="M2056" s="17" t="n">
        <f aca="false">IF($J2056=0,"",INDEX(ROTACAO_RDM!$I$6:$I$71,$J2056))</f>
        <v>46140</v>
      </c>
      <c r="N2056" s="16" t="n">
        <f aca="false">IF($J2056=0,0,MAX(0,$C2056+INT(DIAS_POR_SEMANA/2)-INDEX(ROTACAO_RDM!$I$6:$I$71,$J2056)))</f>
        <v>156</v>
      </c>
      <c r="O2056" s="19" t="n">
        <f aca="false">IF($J2056=0,0,MIN(1,$N2056/MAX(1,INDEX(ROTACAO_RDM!$K$6:$K$71,$J2056))))</f>
        <v>0.975</v>
      </c>
      <c r="P2056" s="16" t="n">
        <f aca="false">IF($J2056=0,0,IFERROR(MATCH(INDEX(ROTACAO_RDM!$N$6:$N$71,$J2056),PARAMETROS_CULTURAS!$B$6:$B$28,0),0))</f>
        <v>7</v>
      </c>
      <c r="Q2056" s="8" t="str">
        <f aca="false">IF($P2056=0,"-",IF($O2056&lt;=INDEX(PARAMETROS_CULTURAS!$F$6:$F$28,$P2056),"INICIAL",IF($O2056&lt;=INDEX(PARAMETROS_CULTURAS!$F$6:$F$28,$P2056)+INDEX(PARAMETROS_CULTURAS!$G$6:$G$28,$P2056),"DESENVOLVIMENTO",IF($O2056&lt;=INDEX(PARAMETROS_CULTURAS!$F$6:$F$28,$P2056)+INDEX(PARAMETROS_CULTURAS!$G$6:$G$28,$P2056)+INDEX(PARAMETROS_CULTURAS!$H$6:$H$28,$P2056),"MEDIA","FINAL"))))</f>
        <v>FINAL</v>
      </c>
      <c r="R2056" s="24" t="n">
        <f aca="false">IF($P2056=0,0,IF($O2056&lt;=INDEX(PARAMETROS_CULTURAS!$F$6:$F$28,$P2056),INDEX(PARAMETROS_CULTURAS!$K$6:$K$28,$P2056),IF($O2056&lt;=INDEX(PARAMETROS_CULTURAS!$F$6:$F$28,$P2056)+INDEX(PARAMETROS_CULTURAS!$G$6:$G$28,$P2056),INDEX(PARAMETROS_CULTURAS!$K$6:$K$28,$P2056)+(INDEX(PARAMETROS_CULTURAS!$L$6:$L$28,$P2056)-INDEX(PARAMETROS_CULTURAS!$K$6:$K$28,$P2056))*($O2056-INDEX(PARAMETROS_CULTURAS!$F$6:$F$28,$P2056))/MAX(INDEX(PARAMETROS_CULTURAS!$G$6:$G$28,$P2056),0.0001),IF($O2056&lt;=INDEX(PARAMETROS_CULTURAS!$F$6:$F$28,$P2056)+INDEX(PARAMETROS_CULTURAS!$G$6:$G$28,$P2056)+INDEX(PARAMETROS_CULTURAS!$H$6:$H$28,$P2056),INDEX(PARAMETROS_CULTURAS!$L$6:$L$28,$P2056),INDEX(PARAMETROS_CULTURAS!$L$6:$L$28,$P2056)+(INDEX(PARAMETROS_CULTURAS!$M$6:$M$28,$P2056)-INDEX(PARAMETROS_CULTURAS!$L$6:$L$28,$P2056))*($O2056-INDEX(PARAMETROS_CULTURAS!$F$6:$F$28,$P2056)-INDEX(PARAMETROS_CULTURAS!$G$6:$G$28,$P2056)-INDEX(PARAMETROS_CULTURAS!$H$6:$H$28,$P2056))/MAX(INDEX(PARAMETROS_CULTURAS!$I$6:$I$28,$P2056),0.0001)))))</f>
        <v>0.655</v>
      </c>
      <c r="S2056" s="18" t="n">
        <f aca="false">IFERROR(INDEX(SEMANAS!$H$6:$H$71,MATCH($B2056,SEMANAS!$B$6:$B$71,0)),0)</f>
        <v>39.8</v>
      </c>
      <c r="T2056" s="18" t="n">
        <f aca="false">$R2056*$S2056</f>
        <v>26.069</v>
      </c>
      <c r="U2056" s="18" t="n">
        <f aca="false">IFERROR(INDEX(SEMANAS!$I$6:$I$71,MATCH($B2056,SEMANAS!$B$6:$B$71,0)),0)</f>
        <v>18.48</v>
      </c>
      <c r="V2056" s="18" t="n">
        <f aca="false">IFERROR(INDEX(SEMANAS!$J$6:$J$71,MATCH($B2056,SEMANAS!$B$6:$B$71,0)),0)</f>
        <v>14.784</v>
      </c>
      <c r="W2056" s="18" t="n">
        <f aca="false">MAX(0,$T2056-$V2056)</f>
        <v>11.285</v>
      </c>
      <c r="X2056" s="19" t="n">
        <f aca="false">IFERROR(INDEX(CADASTRO_PIVOS!$K$6:$K$41,MATCH($E2056,CADASTRO_PIVOS!$B$6:$B$41,0)),EFICIENCIA_PADRAO)</f>
        <v>0.85</v>
      </c>
      <c r="Y2056" s="18" t="n">
        <f aca="false">IF($X2056&lt;=0,0,$W2056/$X2056)</f>
        <v>13.2764705882353</v>
      </c>
      <c r="Z2056" s="16" t="n">
        <f aca="false">$Y2056*$H2056*MM_PARA_M3_HA</f>
        <v>13207.4329411765</v>
      </c>
      <c r="AA2056" s="18" t="n">
        <f aca="false">IFERROR(INDEX(CADASTRO_PIVOS!$I$6:$I$41,MATCH($E2056,CADASTRO_PIVOS!$B$6:$B$41,0)),0)</f>
        <v>710.571428571429</v>
      </c>
      <c r="AB2056" s="18" t="n">
        <f aca="false">IF($Z2056&lt;=0,0,$Z2056/$AA2056)</f>
        <v>18.5870588235294</v>
      </c>
      <c r="AC2056" s="16" t="n">
        <f aca="false">IFERROR(INDEX(SEMANAS!$K$6:$K$71,MATCH($B2056,SEMANAS!$B$6:$B$71,0)),0)</f>
        <v>147</v>
      </c>
      <c r="AD2056" s="19" t="n">
        <f aca="false">IF($AC2056&lt;=0,0,$AB2056/$AC2056)</f>
        <v>0.126442577030812</v>
      </c>
      <c r="AE2056" s="8" t="str">
        <f aca="false">IF($K2056="SEM CULTURA","SEM CULTURA",IF($AA2056&lt;=0,"DADO PENDENTE",IF($AD2056&gt;LIMITE_CRITICO,"INVIAVEL",IF($AD2056&gt;LIMITE_ATENCAO,"CRITICO",IF($AD2056&gt;LIMITE_CONFORTAVEL,"ATENCAO","OK")))))</f>
        <v>OK</v>
      </c>
      <c r="AF2056" s="8" t="str">
        <f aca="false">$B2056&amp;"|"&amp;TEXT($AD2056,"0.000000")</f>
        <v>5|0.126443</v>
      </c>
      <c r="AG2056" s="18" t="n">
        <f aca="false">IF($K2056="SEM CULTURA",0,$T2056*$H2056)</f>
        <v>2593.34412</v>
      </c>
      <c r="AH2056" s="18" t="n">
        <f aca="false">IF($K2056="SEM CULTURA",0,$V2056*$H2056)</f>
        <v>1470.71232</v>
      </c>
      <c r="AI2056" s="18" t="n">
        <f aca="false">IF($K2056="SEM CULTURA",0,$W2056*$H2056)</f>
        <v>1122.6318</v>
      </c>
      <c r="AJ2056" s="18" t="n">
        <f aca="false">IF($K2056="SEM CULTURA",0,$S2056*$H2056)</f>
        <v>3959.304</v>
      </c>
      <c r="AK2056" s="8" t="str">
        <f aca="false">$E2056&amp;"|"&amp;TEXT($AD2056,"0.000000")</f>
        <v>PV 133|0.126443</v>
      </c>
    </row>
    <row r="2057" customFormat="false" ht="15" hidden="false" customHeight="false" outlineLevel="0" collapsed="false">
      <c r="B2057" s="16" t="n">
        <v>6</v>
      </c>
      <c r="C2057" s="17" t="n">
        <f aca="false">DATA_INICIO_SAFRA+($B2057-1)*DIAS_POR_SEMANA</f>
        <v>46300</v>
      </c>
      <c r="D2057" s="17" t="n">
        <f aca="false">$C2057+DIAS_POR_SEMANA-1</f>
        <v>46306</v>
      </c>
      <c r="E2057" s="15" t="s">
        <v>290</v>
      </c>
      <c r="F2057" s="8" t="str">
        <f aca="false">IFERROR(INDEX(CADASTRO_PIVOS!$C$6:$C$41,MATCH($E2057,CADASTRO_PIVOS!$B$6:$B$41,0)),"?")</f>
        <v>RM07</v>
      </c>
      <c r="G2057" s="8" t="str">
        <f aca="false">IFERROR(INDEX(CADASTRO_PIVOS!$D$6:$D$41,MATCH($E2057,CADASTRO_PIVOS!$B$6:$B$41,0)),"?")</f>
        <v>TR07</v>
      </c>
      <c r="H2057" s="20" t="n">
        <f aca="false">IFERROR(INDEX(CADASTRO_PIVOS!$E$6:$E$41,MATCH($E2057,CADASTRO_PIVOS!$B$6:$B$41,0)),0)</f>
        <v>99.48</v>
      </c>
      <c r="I2057" s="16" t="n">
        <f aca="false">IFERROR(SUMIFS(ROTACAO_RDM!$B$6:$B$71,ROTACAO_RDM!$D$6:$D$71,$E2057,ROTACAO_RDM!$I$6:$I$71,"&lt;="&amp;$C2057+INT(DIAS_POR_SEMANA/2),ROTACAO_RDM!$J$6:$J$71,"&gt;="&amp;$C2057+INT(DIAS_POR_SEMANA/2)),0)</f>
        <v>0</v>
      </c>
      <c r="J2057" s="16" t="n">
        <f aca="false">IFERROR(MATCH($I2057,ROTACAO_RDM!$B$6:$B$71,0),0)</f>
        <v>0</v>
      </c>
      <c r="K2057" s="8" t="str">
        <f aca="false">IF($J2057=0,"SEM CULTURA",INDEX(ROTACAO_RDM!$F$6:$F$71,$J2057))</f>
        <v>SEM CULTURA</v>
      </c>
      <c r="L2057" s="8" t="str">
        <f aca="false">IF($J2057=0,"",INDEX(ROTACAO_RDM!$G$6:$G$71,$J2057))</f>
        <v/>
      </c>
      <c r="M2057" s="17" t="str">
        <f aca="false">IF($J2057=0,"",INDEX(ROTACAO_RDM!$I$6:$I$71,$J2057))</f>
        <v/>
      </c>
      <c r="N2057" s="16" t="n">
        <f aca="false">IF($J2057=0,0,MAX(0,$C2057+INT(DIAS_POR_SEMANA/2)-INDEX(ROTACAO_RDM!$I$6:$I$71,$J2057)))</f>
        <v>0</v>
      </c>
      <c r="O2057" s="19" t="n">
        <f aca="false">IF($J2057=0,0,MIN(1,$N2057/MAX(1,INDEX(ROTACAO_RDM!$K$6:$K$71,$J2057))))</f>
        <v>0</v>
      </c>
      <c r="P2057" s="16" t="n">
        <f aca="false">IF($J2057=0,0,IFERROR(MATCH(INDEX(ROTACAO_RDM!$N$6:$N$71,$J2057),PARAMETROS_CULTURAS!$B$6:$B$28,0),0))</f>
        <v>0</v>
      </c>
      <c r="Q2057" s="8" t="str">
        <f aca="false">IF($P2057=0,"-",IF($O2057&lt;=INDEX(PARAMETROS_CULTURAS!$F$6:$F$28,$P2057),"INICIAL",IF($O2057&lt;=INDEX(PARAMETROS_CULTURAS!$F$6:$F$28,$P2057)+INDEX(PARAMETROS_CULTURAS!$G$6:$G$28,$P2057),"DESENVOLVIMENTO",IF($O2057&lt;=INDEX(PARAMETROS_CULTURAS!$F$6:$F$28,$P2057)+INDEX(PARAMETROS_CULTURAS!$G$6:$G$28,$P2057)+INDEX(PARAMETROS_CULTURAS!$H$6:$H$28,$P2057),"MEDIA","FINAL"))))</f>
        <v>-</v>
      </c>
      <c r="R2057" s="24" t="n">
        <f aca="false">IF($P2057=0,0,IF($O2057&lt;=INDEX(PARAMETROS_CULTURAS!$F$6:$F$28,$P2057),INDEX(PARAMETROS_CULTURAS!$K$6:$K$28,$P2057),IF($O2057&lt;=INDEX(PARAMETROS_CULTURAS!$F$6:$F$28,$P2057)+INDEX(PARAMETROS_CULTURAS!$G$6:$G$28,$P2057),INDEX(PARAMETROS_CULTURAS!$K$6:$K$28,$P2057)+(INDEX(PARAMETROS_CULTURAS!$L$6:$L$28,$P2057)-INDEX(PARAMETROS_CULTURAS!$K$6:$K$28,$P2057))*($O2057-INDEX(PARAMETROS_CULTURAS!$F$6:$F$28,$P2057))/MAX(INDEX(PARAMETROS_CULTURAS!$G$6:$G$28,$P2057),0.0001),IF($O2057&lt;=INDEX(PARAMETROS_CULTURAS!$F$6:$F$28,$P2057)+INDEX(PARAMETROS_CULTURAS!$G$6:$G$28,$P2057)+INDEX(PARAMETROS_CULTURAS!$H$6:$H$28,$P2057),INDEX(PARAMETROS_CULTURAS!$L$6:$L$28,$P2057),INDEX(PARAMETROS_CULTURAS!$L$6:$L$28,$P2057)+(INDEX(PARAMETROS_CULTURAS!$M$6:$M$28,$P2057)-INDEX(PARAMETROS_CULTURAS!$L$6:$L$28,$P2057))*($O2057-INDEX(PARAMETROS_CULTURAS!$F$6:$F$28,$P2057)-INDEX(PARAMETROS_CULTURAS!$G$6:$G$28,$P2057)-INDEX(PARAMETROS_CULTURAS!$H$6:$H$28,$P2057))/MAX(INDEX(PARAMETROS_CULTURAS!$I$6:$I$28,$P2057),0.0001)))))</f>
        <v>0</v>
      </c>
      <c r="S2057" s="18" t="n">
        <f aca="false">IFERROR(INDEX(SEMANAS!$H$6:$H$71,MATCH($B2057,SEMANAS!$B$6:$B$71,0)),0)</f>
        <v>39.2</v>
      </c>
      <c r="T2057" s="18" t="n">
        <f aca="false">$R2057*$S2057</f>
        <v>0</v>
      </c>
      <c r="U2057" s="18" t="n">
        <f aca="false">IFERROR(INDEX(SEMANAS!$I$6:$I$71,MATCH($B2057,SEMANAS!$B$6:$B$71,0)),0)</f>
        <v>27.09</v>
      </c>
      <c r="V2057" s="18" t="n">
        <f aca="false">IFERROR(INDEX(SEMANAS!$J$6:$J$71,MATCH($B2057,SEMANAS!$B$6:$B$71,0)),0)</f>
        <v>21.672</v>
      </c>
      <c r="W2057" s="18" t="n">
        <f aca="false">MAX(0,$T2057-$V2057)</f>
        <v>0</v>
      </c>
      <c r="X2057" s="19" t="n">
        <f aca="false">IFERROR(INDEX(CADASTRO_PIVOS!$K$6:$K$41,MATCH($E2057,CADASTRO_PIVOS!$B$6:$B$41,0)),EFICIENCIA_PADRAO)</f>
        <v>0.85</v>
      </c>
      <c r="Y2057" s="18" t="n">
        <f aca="false">IF($X2057&lt;=0,0,$W2057/$X2057)</f>
        <v>0</v>
      </c>
      <c r="Z2057" s="16" t="n">
        <f aca="false">$Y2057*$H2057*MM_PARA_M3_HA</f>
        <v>0</v>
      </c>
      <c r="AA2057" s="18" t="n">
        <f aca="false">IFERROR(INDEX(CADASTRO_PIVOS!$I$6:$I$41,MATCH($E2057,CADASTRO_PIVOS!$B$6:$B$41,0)),0)</f>
        <v>710.571428571429</v>
      </c>
      <c r="AB2057" s="18" t="n">
        <f aca="false">IF($Z2057&lt;=0,0,$Z2057/$AA2057)</f>
        <v>0</v>
      </c>
      <c r="AC2057" s="16" t="n">
        <f aca="false">IFERROR(INDEX(SEMANAS!$K$6:$K$71,MATCH($B2057,SEMANAS!$B$6:$B$71,0)),0)</f>
        <v>147</v>
      </c>
      <c r="AD2057" s="19" t="n">
        <f aca="false">IF($AC2057&lt;=0,0,$AB2057/$AC2057)</f>
        <v>0</v>
      </c>
      <c r="AE2057" s="8" t="str">
        <f aca="false">IF($K2057="SEM CULTURA","SEM CULTURA",IF($AA2057&lt;=0,"DADO PENDENTE",IF($AD2057&gt;LIMITE_CRITICO,"INVIAVEL",IF($AD2057&gt;LIMITE_ATENCAO,"CRITICO",IF($AD2057&gt;LIMITE_CONFORTAVEL,"ATENCAO","OK")))))</f>
        <v>SEM CULTURA</v>
      </c>
      <c r="AF2057" s="8" t="str">
        <f aca="false">$B2057&amp;"|"&amp;TEXT($AD2057,"0.000000")</f>
        <v>6|0.000000</v>
      </c>
      <c r="AG2057" s="18" t="n">
        <f aca="false">IF($K2057="SEM CULTURA",0,$T2057*$H2057)</f>
        <v>0</v>
      </c>
      <c r="AH2057" s="18" t="n">
        <f aca="false">IF($K2057="SEM CULTURA",0,$V2057*$H2057)</f>
        <v>0</v>
      </c>
      <c r="AI2057" s="18" t="n">
        <f aca="false">IF($K2057="SEM CULTURA",0,$W2057*$H2057)</f>
        <v>0</v>
      </c>
      <c r="AJ2057" s="18" t="n">
        <f aca="false">IF($K2057="SEM CULTURA",0,$S2057*$H2057)</f>
        <v>0</v>
      </c>
      <c r="AK2057" s="8" t="str">
        <f aca="false">$E2057&amp;"|"&amp;TEXT($AD2057,"0.000000")</f>
        <v>PV 133|0.000000</v>
      </c>
    </row>
    <row r="2058" customFormat="false" ht="15" hidden="false" customHeight="false" outlineLevel="0" collapsed="false">
      <c r="B2058" s="16" t="n">
        <v>7</v>
      </c>
      <c r="C2058" s="17" t="n">
        <f aca="false">DATA_INICIO_SAFRA+($B2058-1)*DIAS_POR_SEMANA</f>
        <v>46307</v>
      </c>
      <c r="D2058" s="17" t="n">
        <f aca="false">$C2058+DIAS_POR_SEMANA-1</f>
        <v>46313</v>
      </c>
      <c r="E2058" s="15" t="s">
        <v>290</v>
      </c>
      <c r="F2058" s="8" t="str">
        <f aca="false">IFERROR(INDEX(CADASTRO_PIVOS!$C$6:$C$41,MATCH($E2058,CADASTRO_PIVOS!$B$6:$B$41,0)),"?")</f>
        <v>RM07</v>
      </c>
      <c r="G2058" s="8" t="str">
        <f aca="false">IFERROR(INDEX(CADASTRO_PIVOS!$D$6:$D$41,MATCH($E2058,CADASTRO_PIVOS!$B$6:$B$41,0)),"?")</f>
        <v>TR07</v>
      </c>
      <c r="H2058" s="20" t="n">
        <f aca="false">IFERROR(INDEX(CADASTRO_PIVOS!$E$6:$E$41,MATCH($E2058,CADASTRO_PIVOS!$B$6:$B$41,0)),0)</f>
        <v>99.48</v>
      </c>
      <c r="I2058" s="16" t="n">
        <f aca="false">IFERROR(SUMIFS(ROTACAO_RDM!$B$6:$B$71,ROTACAO_RDM!$D$6:$D$71,$E2058,ROTACAO_RDM!$I$6:$I$71,"&lt;="&amp;$C2058+INT(DIAS_POR_SEMANA/2),ROTACAO_RDM!$J$6:$J$71,"&gt;="&amp;$C2058+INT(DIAS_POR_SEMANA/2)),0)</f>
        <v>0</v>
      </c>
      <c r="J2058" s="16" t="n">
        <f aca="false">IFERROR(MATCH($I2058,ROTACAO_RDM!$B$6:$B$71,0),0)</f>
        <v>0</v>
      </c>
      <c r="K2058" s="8" t="str">
        <f aca="false">IF($J2058=0,"SEM CULTURA",INDEX(ROTACAO_RDM!$F$6:$F$71,$J2058))</f>
        <v>SEM CULTURA</v>
      </c>
      <c r="L2058" s="8" t="str">
        <f aca="false">IF($J2058=0,"",INDEX(ROTACAO_RDM!$G$6:$G$71,$J2058))</f>
        <v/>
      </c>
      <c r="M2058" s="17" t="str">
        <f aca="false">IF($J2058=0,"",INDEX(ROTACAO_RDM!$I$6:$I$71,$J2058))</f>
        <v/>
      </c>
      <c r="N2058" s="16" t="n">
        <f aca="false">IF($J2058=0,0,MAX(0,$C2058+INT(DIAS_POR_SEMANA/2)-INDEX(ROTACAO_RDM!$I$6:$I$71,$J2058)))</f>
        <v>0</v>
      </c>
      <c r="O2058" s="19" t="n">
        <f aca="false">IF($J2058=0,0,MIN(1,$N2058/MAX(1,INDEX(ROTACAO_RDM!$K$6:$K$71,$J2058))))</f>
        <v>0</v>
      </c>
      <c r="P2058" s="16" t="n">
        <f aca="false">IF($J2058=0,0,IFERROR(MATCH(INDEX(ROTACAO_RDM!$N$6:$N$71,$J2058),PARAMETROS_CULTURAS!$B$6:$B$28,0),0))</f>
        <v>0</v>
      </c>
      <c r="Q2058" s="8" t="str">
        <f aca="false">IF($P2058=0,"-",IF($O2058&lt;=INDEX(PARAMETROS_CULTURAS!$F$6:$F$28,$P2058),"INICIAL",IF($O2058&lt;=INDEX(PARAMETROS_CULTURAS!$F$6:$F$28,$P2058)+INDEX(PARAMETROS_CULTURAS!$G$6:$G$28,$P2058),"DESENVOLVIMENTO",IF($O2058&lt;=INDEX(PARAMETROS_CULTURAS!$F$6:$F$28,$P2058)+INDEX(PARAMETROS_CULTURAS!$G$6:$G$28,$P2058)+INDEX(PARAMETROS_CULTURAS!$H$6:$H$28,$P2058),"MEDIA","FINAL"))))</f>
        <v>-</v>
      </c>
      <c r="R2058" s="24" t="n">
        <f aca="false">IF($P2058=0,0,IF($O2058&lt;=INDEX(PARAMETROS_CULTURAS!$F$6:$F$28,$P2058),INDEX(PARAMETROS_CULTURAS!$K$6:$K$28,$P2058),IF($O2058&lt;=INDEX(PARAMETROS_CULTURAS!$F$6:$F$28,$P2058)+INDEX(PARAMETROS_CULTURAS!$G$6:$G$28,$P2058),INDEX(PARAMETROS_CULTURAS!$K$6:$K$28,$P2058)+(INDEX(PARAMETROS_CULTURAS!$L$6:$L$28,$P2058)-INDEX(PARAMETROS_CULTURAS!$K$6:$K$28,$P2058))*($O2058-INDEX(PARAMETROS_CULTURAS!$F$6:$F$28,$P2058))/MAX(INDEX(PARAMETROS_CULTURAS!$G$6:$G$28,$P2058),0.0001),IF($O2058&lt;=INDEX(PARAMETROS_CULTURAS!$F$6:$F$28,$P2058)+INDEX(PARAMETROS_CULTURAS!$G$6:$G$28,$P2058)+INDEX(PARAMETROS_CULTURAS!$H$6:$H$28,$P2058),INDEX(PARAMETROS_CULTURAS!$L$6:$L$28,$P2058),INDEX(PARAMETROS_CULTURAS!$L$6:$L$28,$P2058)+(INDEX(PARAMETROS_CULTURAS!$M$6:$M$28,$P2058)-INDEX(PARAMETROS_CULTURAS!$L$6:$L$28,$P2058))*($O2058-INDEX(PARAMETROS_CULTURAS!$F$6:$F$28,$P2058)-INDEX(PARAMETROS_CULTURAS!$G$6:$G$28,$P2058)-INDEX(PARAMETROS_CULTURAS!$H$6:$H$28,$P2058))/MAX(INDEX(PARAMETROS_CULTURAS!$I$6:$I$28,$P2058),0.0001)))))</f>
        <v>0</v>
      </c>
      <c r="S2058" s="18" t="n">
        <f aca="false">IFERROR(INDEX(SEMANAS!$H$6:$H$71,MATCH($B2058,SEMANAS!$B$6:$B$71,0)),0)</f>
        <v>39.2</v>
      </c>
      <c r="T2058" s="18" t="n">
        <f aca="false">$R2058*$S2058</f>
        <v>0</v>
      </c>
      <c r="U2058" s="18" t="n">
        <f aca="false">IFERROR(INDEX(SEMANAS!$I$6:$I$71,MATCH($B2058,SEMANAS!$B$6:$B$71,0)),0)</f>
        <v>27.09</v>
      </c>
      <c r="V2058" s="18" t="n">
        <f aca="false">IFERROR(INDEX(SEMANAS!$J$6:$J$71,MATCH($B2058,SEMANAS!$B$6:$B$71,0)),0)</f>
        <v>21.672</v>
      </c>
      <c r="W2058" s="18" t="n">
        <f aca="false">MAX(0,$T2058-$V2058)</f>
        <v>0</v>
      </c>
      <c r="X2058" s="19" t="n">
        <f aca="false">IFERROR(INDEX(CADASTRO_PIVOS!$K$6:$K$41,MATCH($E2058,CADASTRO_PIVOS!$B$6:$B$41,0)),EFICIENCIA_PADRAO)</f>
        <v>0.85</v>
      </c>
      <c r="Y2058" s="18" t="n">
        <f aca="false">IF($X2058&lt;=0,0,$W2058/$X2058)</f>
        <v>0</v>
      </c>
      <c r="Z2058" s="16" t="n">
        <f aca="false">$Y2058*$H2058*MM_PARA_M3_HA</f>
        <v>0</v>
      </c>
      <c r="AA2058" s="18" t="n">
        <f aca="false">IFERROR(INDEX(CADASTRO_PIVOS!$I$6:$I$41,MATCH($E2058,CADASTRO_PIVOS!$B$6:$B$41,0)),0)</f>
        <v>710.571428571429</v>
      </c>
      <c r="AB2058" s="18" t="n">
        <f aca="false">IF($Z2058&lt;=0,0,$Z2058/$AA2058)</f>
        <v>0</v>
      </c>
      <c r="AC2058" s="16" t="n">
        <f aca="false">IFERROR(INDEX(SEMANAS!$K$6:$K$71,MATCH($B2058,SEMANAS!$B$6:$B$71,0)),0)</f>
        <v>147</v>
      </c>
      <c r="AD2058" s="19" t="n">
        <f aca="false">IF($AC2058&lt;=0,0,$AB2058/$AC2058)</f>
        <v>0</v>
      </c>
      <c r="AE2058" s="8" t="str">
        <f aca="false">IF($K2058="SEM CULTURA","SEM CULTURA",IF($AA2058&lt;=0,"DADO PENDENTE",IF($AD2058&gt;LIMITE_CRITICO,"INVIAVEL",IF($AD2058&gt;LIMITE_ATENCAO,"CRITICO",IF($AD2058&gt;LIMITE_CONFORTAVEL,"ATENCAO","OK")))))</f>
        <v>SEM CULTURA</v>
      </c>
      <c r="AF2058" s="8" t="str">
        <f aca="false">$B2058&amp;"|"&amp;TEXT($AD2058,"0.000000")</f>
        <v>7|0.000000</v>
      </c>
      <c r="AG2058" s="18" t="n">
        <f aca="false">IF($K2058="SEM CULTURA",0,$T2058*$H2058)</f>
        <v>0</v>
      </c>
      <c r="AH2058" s="18" t="n">
        <f aca="false">IF($K2058="SEM CULTURA",0,$V2058*$H2058)</f>
        <v>0</v>
      </c>
      <c r="AI2058" s="18" t="n">
        <f aca="false">IF($K2058="SEM CULTURA",0,$W2058*$H2058)</f>
        <v>0</v>
      </c>
      <c r="AJ2058" s="18" t="n">
        <f aca="false">IF($K2058="SEM CULTURA",0,$S2058*$H2058)</f>
        <v>0</v>
      </c>
      <c r="AK2058" s="8" t="str">
        <f aca="false">$E2058&amp;"|"&amp;TEXT($AD2058,"0.000000")</f>
        <v>PV 133|0.000000</v>
      </c>
    </row>
    <row r="2059" customFormat="false" ht="15" hidden="false" customHeight="false" outlineLevel="0" collapsed="false">
      <c r="B2059" s="16" t="n">
        <v>8</v>
      </c>
      <c r="C2059" s="17" t="n">
        <f aca="false">DATA_INICIO_SAFRA+($B2059-1)*DIAS_POR_SEMANA</f>
        <v>46314</v>
      </c>
      <c r="D2059" s="17" t="n">
        <f aca="false">$C2059+DIAS_POR_SEMANA-1</f>
        <v>46320</v>
      </c>
      <c r="E2059" s="15" t="s">
        <v>290</v>
      </c>
      <c r="F2059" s="8" t="str">
        <f aca="false">IFERROR(INDEX(CADASTRO_PIVOS!$C$6:$C$41,MATCH($E2059,CADASTRO_PIVOS!$B$6:$B$41,0)),"?")</f>
        <v>RM07</v>
      </c>
      <c r="G2059" s="8" t="str">
        <f aca="false">IFERROR(INDEX(CADASTRO_PIVOS!$D$6:$D$41,MATCH($E2059,CADASTRO_PIVOS!$B$6:$B$41,0)),"?")</f>
        <v>TR07</v>
      </c>
      <c r="H2059" s="20" t="n">
        <f aca="false">IFERROR(INDEX(CADASTRO_PIVOS!$E$6:$E$41,MATCH($E2059,CADASTRO_PIVOS!$B$6:$B$41,0)),0)</f>
        <v>99.48</v>
      </c>
      <c r="I2059" s="16" t="n">
        <f aca="false">IFERROR(SUMIFS(ROTACAO_RDM!$B$6:$B$71,ROTACAO_RDM!$D$6:$D$71,$E2059,ROTACAO_RDM!$I$6:$I$71,"&lt;="&amp;$C2059+INT(DIAS_POR_SEMANA/2),ROTACAO_RDM!$J$6:$J$71,"&gt;="&amp;$C2059+INT(DIAS_POR_SEMANA/2)),0)</f>
        <v>0</v>
      </c>
      <c r="J2059" s="16" t="n">
        <f aca="false">IFERROR(MATCH($I2059,ROTACAO_RDM!$B$6:$B$71,0),0)</f>
        <v>0</v>
      </c>
      <c r="K2059" s="8" t="str">
        <f aca="false">IF($J2059=0,"SEM CULTURA",INDEX(ROTACAO_RDM!$F$6:$F$71,$J2059))</f>
        <v>SEM CULTURA</v>
      </c>
      <c r="L2059" s="8" t="str">
        <f aca="false">IF($J2059=0,"",INDEX(ROTACAO_RDM!$G$6:$G$71,$J2059))</f>
        <v/>
      </c>
      <c r="M2059" s="17" t="str">
        <f aca="false">IF($J2059=0,"",INDEX(ROTACAO_RDM!$I$6:$I$71,$J2059))</f>
        <v/>
      </c>
      <c r="N2059" s="16" t="n">
        <f aca="false">IF($J2059=0,0,MAX(0,$C2059+INT(DIAS_POR_SEMANA/2)-INDEX(ROTACAO_RDM!$I$6:$I$71,$J2059)))</f>
        <v>0</v>
      </c>
      <c r="O2059" s="19" t="n">
        <f aca="false">IF($J2059=0,0,MIN(1,$N2059/MAX(1,INDEX(ROTACAO_RDM!$K$6:$K$71,$J2059))))</f>
        <v>0</v>
      </c>
      <c r="P2059" s="16" t="n">
        <f aca="false">IF($J2059=0,0,IFERROR(MATCH(INDEX(ROTACAO_RDM!$N$6:$N$71,$J2059),PARAMETROS_CULTURAS!$B$6:$B$28,0),0))</f>
        <v>0</v>
      </c>
      <c r="Q2059" s="8" t="str">
        <f aca="false">IF($P2059=0,"-",IF($O2059&lt;=INDEX(PARAMETROS_CULTURAS!$F$6:$F$28,$P2059),"INICIAL",IF($O2059&lt;=INDEX(PARAMETROS_CULTURAS!$F$6:$F$28,$P2059)+INDEX(PARAMETROS_CULTURAS!$G$6:$G$28,$P2059),"DESENVOLVIMENTO",IF($O2059&lt;=INDEX(PARAMETROS_CULTURAS!$F$6:$F$28,$P2059)+INDEX(PARAMETROS_CULTURAS!$G$6:$G$28,$P2059)+INDEX(PARAMETROS_CULTURAS!$H$6:$H$28,$P2059),"MEDIA","FINAL"))))</f>
        <v>-</v>
      </c>
      <c r="R2059" s="24" t="n">
        <f aca="false">IF($P2059=0,0,IF($O2059&lt;=INDEX(PARAMETROS_CULTURAS!$F$6:$F$28,$P2059),INDEX(PARAMETROS_CULTURAS!$K$6:$K$28,$P2059),IF($O2059&lt;=INDEX(PARAMETROS_CULTURAS!$F$6:$F$28,$P2059)+INDEX(PARAMETROS_CULTURAS!$G$6:$G$28,$P2059),INDEX(PARAMETROS_CULTURAS!$K$6:$K$28,$P2059)+(INDEX(PARAMETROS_CULTURAS!$L$6:$L$28,$P2059)-INDEX(PARAMETROS_CULTURAS!$K$6:$K$28,$P2059))*($O2059-INDEX(PARAMETROS_CULTURAS!$F$6:$F$28,$P2059))/MAX(INDEX(PARAMETROS_CULTURAS!$G$6:$G$28,$P2059),0.0001),IF($O2059&lt;=INDEX(PARAMETROS_CULTURAS!$F$6:$F$28,$P2059)+INDEX(PARAMETROS_CULTURAS!$G$6:$G$28,$P2059)+INDEX(PARAMETROS_CULTURAS!$H$6:$H$28,$P2059),INDEX(PARAMETROS_CULTURAS!$L$6:$L$28,$P2059),INDEX(PARAMETROS_CULTURAS!$L$6:$L$28,$P2059)+(INDEX(PARAMETROS_CULTURAS!$M$6:$M$28,$P2059)-INDEX(PARAMETROS_CULTURAS!$L$6:$L$28,$P2059))*($O2059-INDEX(PARAMETROS_CULTURAS!$F$6:$F$28,$P2059)-INDEX(PARAMETROS_CULTURAS!$G$6:$G$28,$P2059)-INDEX(PARAMETROS_CULTURAS!$H$6:$H$28,$P2059))/MAX(INDEX(PARAMETROS_CULTURAS!$I$6:$I$28,$P2059),0.0001)))))</f>
        <v>0</v>
      </c>
      <c r="S2059" s="18" t="n">
        <f aca="false">IFERROR(INDEX(SEMANAS!$H$6:$H$71,MATCH($B2059,SEMANAS!$B$6:$B$71,0)),0)</f>
        <v>39.2</v>
      </c>
      <c r="T2059" s="18" t="n">
        <f aca="false">$R2059*$S2059</f>
        <v>0</v>
      </c>
      <c r="U2059" s="18" t="n">
        <f aca="false">IFERROR(INDEX(SEMANAS!$I$6:$I$71,MATCH($B2059,SEMANAS!$B$6:$B$71,0)),0)</f>
        <v>27.09</v>
      </c>
      <c r="V2059" s="18" t="n">
        <f aca="false">IFERROR(INDEX(SEMANAS!$J$6:$J$71,MATCH($B2059,SEMANAS!$B$6:$B$71,0)),0)</f>
        <v>21.672</v>
      </c>
      <c r="W2059" s="18" t="n">
        <f aca="false">MAX(0,$T2059-$V2059)</f>
        <v>0</v>
      </c>
      <c r="X2059" s="19" t="n">
        <f aca="false">IFERROR(INDEX(CADASTRO_PIVOS!$K$6:$K$41,MATCH($E2059,CADASTRO_PIVOS!$B$6:$B$41,0)),EFICIENCIA_PADRAO)</f>
        <v>0.85</v>
      </c>
      <c r="Y2059" s="18" t="n">
        <f aca="false">IF($X2059&lt;=0,0,$W2059/$X2059)</f>
        <v>0</v>
      </c>
      <c r="Z2059" s="16" t="n">
        <f aca="false">$Y2059*$H2059*MM_PARA_M3_HA</f>
        <v>0</v>
      </c>
      <c r="AA2059" s="18" t="n">
        <f aca="false">IFERROR(INDEX(CADASTRO_PIVOS!$I$6:$I$41,MATCH($E2059,CADASTRO_PIVOS!$B$6:$B$41,0)),0)</f>
        <v>710.571428571429</v>
      </c>
      <c r="AB2059" s="18" t="n">
        <f aca="false">IF($Z2059&lt;=0,0,$Z2059/$AA2059)</f>
        <v>0</v>
      </c>
      <c r="AC2059" s="16" t="n">
        <f aca="false">IFERROR(INDEX(SEMANAS!$K$6:$K$71,MATCH($B2059,SEMANAS!$B$6:$B$71,0)),0)</f>
        <v>147</v>
      </c>
      <c r="AD2059" s="19" t="n">
        <f aca="false">IF($AC2059&lt;=0,0,$AB2059/$AC2059)</f>
        <v>0</v>
      </c>
      <c r="AE2059" s="8" t="str">
        <f aca="false">IF($K2059="SEM CULTURA","SEM CULTURA",IF($AA2059&lt;=0,"DADO PENDENTE",IF($AD2059&gt;LIMITE_CRITICO,"INVIAVEL",IF($AD2059&gt;LIMITE_ATENCAO,"CRITICO",IF($AD2059&gt;LIMITE_CONFORTAVEL,"ATENCAO","OK")))))</f>
        <v>SEM CULTURA</v>
      </c>
      <c r="AF2059" s="8" t="str">
        <f aca="false">$B2059&amp;"|"&amp;TEXT($AD2059,"0.000000")</f>
        <v>8|0.000000</v>
      </c>
      <c r="AG2059" s="18" t="n">
        <f aca="false">IF($K2059="SEM CULTURA",0,$T2059*$H2059)</f>
        <v>0</v>
      </c>
      <c r="AH2059" s="18" t="n">
        <f aca="false">IF($K2059="SEM CULTURA",0,$V2059*$H2059)</f>
        <v>0</v>
      </c>
      <c r="AI2059" s="18" t="n">
        <f aca="false">IF($K2059="SEM CULTURA",0,$W2059*$H2059)</f>
        <v>0</v>
      </c>
      <c r="AJ2059" s="18" t="n">
        <f aca="false">IF($K2059="SEM CULTURA",0,$S2059*$H2059)</f>
        <v>0</v>
      </c>
      <c r="AK2059" s="8" t="str">
        <f aca="false">$E2059&amp;"|"&amp;TEXT($AD2059,"0.000000")</f>
        <v>PV 133|0.000000</v>
      </c>
    </row>
    <row r="2060" customFormat="false" ht="15" hidden="false" customHeight="false" outlineLevel="0" collapsed="false">
      <c r="B2060" s="16" t="n">
        <v>9</v>
      </c>
      <c r="C2060" s="17" t="n">
        <f aca="false">DATA_INICIO_SAFRA+($B2060-1)*DIAS_POR_SEMANA</f>
        <v>46321</v>
      </c>
      <c r="D2060" s="17" t="n">
        <f aca="false">$C2060+DIAS_POR_SEMANA-1</f>
        <v>46327</v>
      </c>
      <c r="E2060" s="15" t="s">
        <v>290</v>
      </c>
      <c r="F2060" s="8" t="str">
        <f aca="false">IFERROR(INDEX(CADASTRO_PIVOS!$C$6:$C$41,MATCH($E2060,CADASTRO_PIVOS!$B$6:$B$41,0)),"?")</f>
        <v>RM07</v>
      </c>
      <c r="G2060" s="8" t="str">
        <f aca="false">IFERROR(INDEX(CADASTRO_PIVOS!$D$6:$D$41,MATCH($E2060,CADASTRO_PIVOS!$B$6:$B$41,0)),"?")</f>
        <v>TR07</v>
      </c>
      <c r="H2060" s="20" t="n">
        <f aca="false">IFERROR(INDEX(CADASTRO_PIVOS!$E$6:$E$41,MATCH($E2060,CADASTRO_PIVOS!$B$6:$B$41,0)),0)</f>
        <v>99.48</v>
      </c>
      <c r="I2060" s="16" t="n">
        <f aca="false">IFERROR(SUMIFS(ROTACAO_RDM!$B$6:$B$71,ROTACAO_RDM!$D$6:$D$71,$E2060,ROTACAO_RDM!$I$6:$I$71,"&lt;="&amp;$C2060+INT(DIAS_POR_SEMANA/2),ROTACAO_RDM!$J$6:$J$71,"&gt;="&amp;$C2060+INT(DIAS_POR_SEMANA/2)),0)</f>
        <v>0</v>
      </c>
      <c r="J2060" s="16" t="n">
        <f aca="false">IFERROR(MATCH($I2060,ROTACAO_RDM!$B$6:$B$71,0),0)</f>
        <v>0</v>
      </c>
      <c r="K2060" s="8" t="str">
        <f aca="false">IF($J2060=0,"SEM CULTURA",INDEX(ROTACAO_RDM!$F$6:$F$71,$J2060))</f>
        <v>SEM CULTURA</v>
      </c>
      <c r="L2060" s="8" t="str">
        <f aca="false">IF($J2060=0,"",INDEX(ROTACAO_RDM!$G$6:$G$71,$J2060))</f>
        <v/>
      </c>
      <c r="M2060" s="17" t="str">
        <f aca="false">IF($J2060=0,"",INDEX(ROTACAO_RDM!$I$6:$I$71,$J2060))</f>
        <v/>
      </c>
      <c r="N2060" s="16" t="n">
        <f aca="false">IF($J2060=0,0,MAX(0,$C2060+INT(DIAS_POR_SEMANA/2)-INDEX(ROTACAO_RDM!$I$6:$I$71,$J2060)))</f>
        <v>0</v>
      </c>
      <c r="O2060" s="19" t="n">
        <f aca="false">IF($J2060=0,0,MIN(1,$N2060/MAX(1,INDEX(ROTACAO_RDM!$K$6:$K$71,$J2060))))</f>
        <v>0</v>
      </c>
      <c r="P2060" s="16" t="n">
        <f aca="false">IF($J2060=0,0,IFERROR(MATCH(INDEX(ROTACAO_RDM!$N$6:$N$71,$J2060),PARAMETROS_CULTURAS!$B$6:$B$28,0),0))</f>
        <v>0</v>
      </c>
      <c r="Q2060" s="8" t="str">
        <f aca="false">IF($P2060=0,"-",IF($O2060&lt;=INDEX(PARAMETROS_CULTURAS!$F$6:$F$28,$P2060),"INICIAL",IF($O2060&lt;=INDEX(PARAMETROS_CULTURAS!$F$6:$F$28,$P2060)+INDEX(PARAMETROS_CULTURAS!$G$6:$G$28,$P2060),"DESENVOLVIMENTO",IF($O2060&lt;=INDEX(PARAMETROS_CULTURAS!$F$6:$F$28,$P2060)+INDEX(PARAMETROS_CULTURAS!$G$6:$G$28,$P2060)+INDEX(PARAMETROS_CULTURAS!$H$6:$H$28,$P2060),"MEDIA","FINAL"))))</f>
        <v>-</v>
      </c>
      <c r="R2060" s="24" t="n">
        <f aca="false">IF($P2060=0,0,IF($O2060&lt;=INDEX(PARAMETROS_CULTURAS!$F$6:$F$28,$P2060),INDEX(PARAMETROS_CULTURAS!$K$6:$K$28,$P2060),IF($O2060&lt;=INDEX(PARAMETROS_CULTURAS!$F$6:$F$28,$P2060)+INDEX(PARAMETROS_CULTURAS!$G$6:$G$28,$P2060),INDEX(PARAMETROS_CULTURAS!$K$6:$K$28,$P2060)+(INDEX(PARAMETROS_CULTURAS!$L$6:$L$28,$P2060)-INDEX(PARAMETROS_CULTURAS!$K$6:$K$28,$P2060))*($O2060-INDEX(PARAMETROS_CULTURAS!$F$6:$F$28,$P2060))/MAX(INDEX(PARAMETROS_CULTURAS!$G$6:$G$28,$P2060),0.0001),IF($O2060&lt;=INDEX(PARAMETROS_CULTURAS!$F$6:$F$28,$P2060)+INDEX(PARAMETROS_CULTURAS!$G$6:$G$28,$P2060)+INDEX(PARAMETROS_CULTURAS!$H$6:$H$28,$P2060),INDEX(PARAMETROS_CULTURAS!$L$6:$L$28,$P2060),INDEX(PARAMETROS_CULTURAS!$L$6:$L$28,$P2060)+(INDEX(PARAMETROS_CULTURAS!$M$6:$M$28,$P2060)-INDEX(PARAMETROS_CULTURAS!$L$6:$L$28,$P2060))*($O2060-INDEX(PARAMETROS_CULTURAS!$F$6:$F$28,$P2060)-INDEX(PARAMETROS_CULTURAS!$G$6:$G$28,$P2060)-INDEX(PARAMETROS_CULTURAS!$H$6:$H$28,$P2060))/MAX(INDEX(PARAMETROS_CULTURAS!$I$6:$I$28,$P2060),0.0001)))))</f>
        <v>0</v>
      </c>
      <c r="S2060" s="18" t="n">
        <f aca="false">IFERROR(INDEX(SEMANAS!$H$6:$H$71,MATCH($B2060,SEMANAS!$B$6:$B$71,0)),0)</f>
        <v>38.5</v>
      </c>
      <c r="T2060" s="18" t="n">
        <f aca="false">$R2060*$S2060</f>
        <v>0</v>
      </c>
      <c r="U2060" s="18" t="n">
        <f aca="false">IFERROR(INDEX(SEMANAS!$I$6:$I$71,MATCH($B2060,SEMANAS!$B$6:$B$71,0)),0)</f>
        <v>29.89</v>
      </c>
      <c r="V2060" s="18" t="n">
        <f aca="false">IFERROR(INDEX(SEMANAS!$J$6:$J$71,MATCH($B2060,SEMANAS!$B$6:$B$71,0)),0)</f>
        <v>23.912</v>
      </c>
      <c r="W2060" s="18" t="n">
        <f aca="false">MAX(0,$T2060-$V2060)</f>
        <v>0</v>
      </c>
      <c r="X2060" s="19" t="n">
        <f aca="false">IFERROR(INDEX(CADASTRO_PIVOS!$K$6:$K$41,MATCH($E2060,CADASTRO_PIVOS!$B$6:$B$41,0)),EFICIENCIA_PADRAO)</f>
        <v>0.85</v>
      </c>
      <c r="Y2060" s="18" t="n">
        <f aca="false">IF($X2060&lt;=0,0,$W2060/$X2060)</f>
        <v>0</v>
      </c>
      <c r="Z2060" s="16" t="n">
        <f aca="false">$Y2060*$H2060*MM_PARA_M3_HA</f>
        <v>0</v>
      </c>
      <c r="AA2060" s="18" t="n">
        <f aca="false">IFERROR(INDEX(CADASTRO_PIVOS!$I$6:$I$41,MATCH($E2060,CADASTRO_PIVOS!$B$6:$B$41,0)),0)</f>
        <v>710.571428571429</v>
      </c>
      <c r="AB2060" s="18" t="n">
        <f aca="false">IF($Z2060&lt;=0,0,$Z2060/$AA2060)</f>
        <v>0</v>
      </c>
      <c r="AC2060" s="16" t="n">
        <f aca="false">IFERROR(INDEX(SEMANAS!$K$6:$K$71,MATCH($B2060,SEMANAS!$B$6:$B$71,0)),0)</f>
        <v>147</v>
      </c>
      <c r="AD2060" s="19" t="n">
        <f aca="false">IF($AC2060&lt;=0,0,$AB2060/$AC2060)</f>
        <v>0</v>
      </c>
      <c r="AE2060" s="8" t="str">
        <f aca="false">IF($K2060="SEM CULTURA","SEM CULTURA",IF($AA2060&lt;=0,"DADO PENDENTE",IF($AD2060&gt;LIMITE_CRITICO,"INVIAVEL",IF($AD2060&gt;LIMITE_ATENCAO,"CRITICO",IF($AD2060&gt;LIMITE_CONFORTAVEL,"ATENCAO","OK")))))</f>
        <v>SEM CULTURA</v>
      </c>
      <c r="AF2060" s="8" t="str">
        <f aca="false">$B2060&amp;"|"&amp;TEXT($AD2060,"0.000000")</f>
        <v>9|0.000000</v>
      </c>
      <c r="AG2060" s="18" t="n">
        <f aca="false">IF($K2060="SEM CULTURA",0,$T2060*$H2060)</f>
        <v>0</v>
      </c>
      <c r="AH2060" s="18" t="n">
        <f aca="false">IF($K2060="SEM CULTURA",0,$V2060*$H2060)</f>
        <v>0</v>
      </c>
      <c r="AI2060" s="18" t="n">
        <f aca="false">IF($K2060="SEM CULTURA",0,$W2060*$H2060)</f>
        <v>0</v>
      </c>
      <c r="AJ2060" s="18" t="n">
        <f aca="false">IF($K2060="SEM CULTURA",0,$S2060*$H2060)</f>
        <v>0</v>
      </c>
      <c r="AK2060" s="8" t="str">
        <f aca="false">$E2060&amp;"|"&amp;TEXT($AD2060,"0.000000")</f>
        <v>PV 133|0.000000</v>
      </c>
    </row>
    <row r="2061" customFormat="false" ht="15" hidden="false" customHeight="false" outlineLevel="0" collapsed="false">
      <c r="B2061" s="16" t="n">
        <v>10</v>
      </c>
      <c r="C2061" s="17" t="n">
        <f aca="false">DATA_INICIO_SAFRA+($B2061-1)*DIAS_POR_SEMANA</f>
        <v>46328</v>
      </c>
      <c r="D2061" s="17" t="n">
        <f aca="false">$C2061+DIAS_POR_SEMANA-1</f>
        <v>46334</v>
      </c>
      <c r="E2061" s="15" t="s">
        <v>290</v>
      </c>
      <c r="F2061" s="8" t="str">
        <f aca="false">IFERROR(INDEX(CADASTRO_PIVOS!$C$6:$C$41,MATCH($E2061,CADASTRO_PIVOS!$B$6:$B$41,0)),"?")</f>
        <v>RM07</v>
      </c>
      <c r="G2061" s="8" t="str">
        <f aca="false">IFERROR(INDEX(CADASTRO_PIVOS!$D$6:$D$41,MATCH($E2061,CADASTRO_PIVOS!$B$6:$B$41,0)),"?")</f>
        <v>TR07</v>
      </c>
      <c r="H2061" s="20" t="n">
        <f aca="false">IFERROR(INDEX(CADASTRO_PIVOS!$E$6:$E$41,MATCH($E2061,CADASTRO_PIVOS!$B$6:$B$41,0)),0)</f>
        <v>99.48</v>
      </c>
      <c r="I2061" s="16" t="n">
        <f aca="false">IFERROR(SUMIFS(ROTACAO_RDM!$B$6:$B$71,ROTACAO_RDM!$D$6:$D$71,$E2061,ROTACAO_RDM!$I$6:$I$71,"&lt;="&amp;$C2061+INT(DIAS_POR_SEMANA/2),ROTACAO_RDM!$J$6:$J$71,"&gt;="&amp;$C2061+INT(DIAS_POR_SEMANA/2)),0)</f>
        <v>0</v>
      </c>
      <c r="J2061" s="16" t="n">
        <f aca="false">IFERROR(MATCH($I2061,ROTACAO_RDM!$B$6:$B$71,0),0)</f>
        <v>0</v>
      </c>
      <c r="K2061" s="8" t="str">
        <f aca="false">IF($J2061=0,"SEM CULTURA",INDEX(ROTACAO_RDM!$F$6:$F$71,$J2061))</f>
        <v>SEM CULTURA</v>
      </c>
      <c r="L2061" s="8" t="str">
        <f aca="false">IF($J2061=0,"",INDEX(ROTACAO_RDM!$G$6:$G$71,$J2061))</f>
        <v/>
      </c>
      <c r="M2061" s="17" t="str">
        <f aca="false">IF($J2061=0,"",INDEX(ROTACAO_RDM!$I$6:$I$71,$J2061))</f>
        <v/>
      </c>
      <c r="N2061" s="16" t="n">
        <f aca="false">IF($J2061=0,0,MAX(0,$C2061+INT(DIAS_POR_SEMANA/2)-INDEX(ROTACAO_RDM!$I$6:$I$71,$J2061)))</f>
        <v>0</v>
      </c>
      <c r="O2061" s="19" t="n">
        <f aca="false">IF($J2061=0,0,MIN(1,$N2061/MAX(1,INDEX(ROTACAO_RDM!$K$6:$K$71,$J2061))))</f>
        <v>0</v>
      </c>
      <c r="P2061" s="16" t="n">
        <f aca="false">IF($J2061=0,0,IFERROR(MATCH(INDEX(ROTACAO_RDM!$N$6:$N$71,$J2061),PARAMETROS_CULTURAS!$B$6:$B$28,0),0))</f>
        <v>0</v>
      </c>
      <c r="Q2061" s="8" t="str">
        <f aca="false">IF($P2061=0,"-",IF($O2061&lt;=INDEX(PARAMETROS_CULTURAS!$F$6:$F$28,$P2061),"INICIAL",IF($O2061&lt;=INDEX(PARAMETROS_CULTURAS!$F$6:$F$28,$P2061)+INDEX(PARAMETROS_CULTURAS!$G$6:$G$28,$P2061),"DESENVOLVIMENTO",IF($O2061&lt;=INDEX(PARAMETROS_CULTURAS!$F$6:$F$28,$P2061)+INDEX(PARAMETROS_CULTURAS!$G$6:$G$28,$P2061)+INDEX(PARAMETROS_CULTURAS!$H$6:$H$28,$P2061),"MEDIA","FINAL"))))</f>
        <v>-</v>
      </c>
      <c r="R2061" s="24" t="n">
        <f aca="false">IF($P2061=0,0,IF($O2061&lt;=INDEX(PARAMETROS_CULTURAS!$F$6:$F$28,$P2061),INDEX(PARAMETROS_CULTURAS!$K$6:$K$28,$P2061),IF($O2061&lt;=INDEX(PARAMETROS_CULTURAS!$F$6:$F$28,$P2061)+INDEX(PARAMETROS_CULTURAS!$G$6:$G$28,$P2061),INDEX(PARAMETROS_CULTURAS!$K$6:$K$28,$P2061)+(INDEX(PARAMETROS_CULTURAS!$L$6:$L$28,$P2061)-INDEX(PARAMETROS_CULTURAS!$K$6:$K$28,$P2061))*($O2061-INDEX(PARAMETROS_CULTURAS!$F$6:$F$28,$P2061))/MAX(INDEX(PARAMETROS_CULTURAS!$G$6:$G$28,$P2061),0.0001),IF($O2061&lt;=INDEX(PARAMETROS_CULTURAS!$F$6:$F$28,$P2061)+INDEX(PARAMETROS_CULTURAS!$G$6:$G$28,$P2061)+INDEX(PARAMETROS_CULTURAS!$H$6:$H$28,$P2061),INDEX(PARAMETROS_CULTURAS!$L$6:$L$28,$P2061),INDEX(PARAMETROS_CULTURAS!$L$6:$L$28,$P2061)+(INDEX(PARAMETROS_CULTURAS!$M$6:$M$28,$P2061)-INDEX(PARAMETROS_CULTURAS!$L$6:$L$28,$P2061))*($O2061-INDEX(PARAMETROS_CULTURAS!$F$6:$F$28,$P2061)-INDEX(PARAMETROS_CULTURAS!$G$6:$G$28,$P2061)-INDEX(PARAMETROS_CULTURAS!$H$6:$H$28,$P2061))/MAX(INDEX(PARAMETROS_CULTURAS!$I$6:$I$28,$P2061),0.0001)))))</f>
        <v>0</v>
      </c>
      <c r="S2061" s="18" t="n">
        <f aca="false">IFERROR(INDEX(SEMANAS!$H$6:$H$71,MATCH($B2061,SEMANAS!$B$6:$B$71,0)),0)</f>
        <v>34.3</v>
      </c>
      <c r="T2061" s="18" t="n">
        <f aca="false">$R2061*$S2061</f>
        <v>0</v>
      </c>
      <c r="U2061" s="18" t="n">
        <f aca="false">IFERROR(INDEX(SEMANAS!$I$6:$I$71,MATCH($B2061,SEMANAS!$B$6:$B$71,0)),0)</f>
        <v>46.69</v>
      </c>
      <c r="V2061" s="18" t="n">
        <f aca="false">IFERROR(INDEX(SEMANAS!$J$6:$J$71,MATCH($B2061,SEMANAS!$B$6:$B$71,0)),0)</f>
        <v>37.352</v>
      </c>
      <c r="W2061" s="18" t="n">
        <f aca="false">MAX(0,$T2061-$V2061)</f>
        <v>0</v>
      </c>
      <c r="X2061" s="19" t="n">
        <f aca="false">IFERROR(INDEX(CADASTRO_PIVOS!$K$6:$K$41,MATCH($E2061,CADASTRO_PIVOS!$B$6:$B$41,0)),EFICIENCIA_PADRAO)</f>
        <v>0.85</v>
      </c>
      <c r="Y2061" s="18" t="n">
        <f aca="false">IF($X2061&lt;=0,0,$W2061/$X2061)</f>
        <v>0</v>
      </c>
      <c r="Z2061" s="16" t="n">
        <f aca="false">$Y2061*$H2061*MM_PARA_M3_HA</f>
        <v>0</v>
      </c>
      <c r="AA2061" s="18" t="n">
        <f aca="false">IFERROR(INDEX(CADASTRO_PIVOS!$I$6:$I$41,MATCH($E2061,CADASTRO_PIVOS!$B$6:$B$41,0)),0)</f>
        <v>710.571428571429</v>
      </c>
      <c r="AB2061" s="18" t="n">
        <f aca="false">IF($Z2061&lt;=0,0,$Z2061/$AA2061)</f>
        <v>0</v>
      </c>
      <c r="AC2061" s="16" t="n">
        <f aca="false">IFERROR(INDEX(SEMANAS!$K$6:$K$71,MATCH($B2061,SEMANAS!$B$6:$B$71,0)),0)</f>
        <v>147</v>
      </c>
      <c r="AD2061" s="19" t="n">
        <f aca="false">IF($AC2061&lt;=0,0,$AB2061/$AC2061)</f>
        <v>0</v>
      </c>
      <c r="AE2061" s="8" t="str">
        <f aca="false">IF($K2061="SEM CULTURA","SEM CULTURA",IF($AA2061&lt;=0,"DADO PENDENTE",IF($AD2061&gt;LIMITE_CRITICO,"INVIAVEL",IF($AD2061&gt;LIMITE_ATENCAO,"CRITICO",IF($AD2061&gt;LIMITE_CONFORTAVEL,"ATENCAO","OK")))))</f>
        <v>SEM CULTURA</v>
      </c>
      <c r="AF2061" s="8" t="str">
        <f aca="false">$B2061&amp;"|"&amp;TEXT($AD2061,"0.000000")</f>
        <v>10|0.000000</v>
      </c>
      <c r="AG2061" s="18" t="n">
        <f aca="false">IF($K2061="SEM CULTURA",0,$T2061*$H2061)</f>
        <v>0</v>
      </c>
      <c r="AH2061" s="18" t="n">
        <f aca="false">IF($K2061="SEM CULTURA",0,$V2061*$H2061)</f>
        <v>0</v>
      </c>
      <c r="AI2061" s="18" t="n">
        <f aca="false">IF($K2061="SEM CULTURA",0,$W2061*$H2061)</f>
        <v>0</v>
      </c>
      <c r="AJ2061" s="18" t="n">
        <f aca="false">IF($K2061="SEM CULTURA",0,$S2061*$H2061)</f>
        <v>0</v>
      </c>
      <c r="AK2061" s="8" t="str">
        <f aca="false">$E2061&amp;"|"&amp;TEXT($AD2061,"0.000000")</f>
        <v>PV 133|0.000000</v>
      </c>
    </row>
    <row r="2062" customFormat="false" ht="15" hidden="false" customHeight="false" outlineLevel="0" collapsed="false">
      <c r="B2062" s="16" t="n">
        <v>11</v>
      </c>
      <c r="C2062" s="17" t="n">
        <f aca="false">DATA_INICIO_SAFRA+($B2062-1)*DIAS_POR_SEMANA</f>
        <v>46335</v>
      </c>
      <c r="D2062" s="17" t="n">
        <f aca="false">$C2062+DIAS_POR_SEMANA-1</f>
        <v>46341</v>
      </c>
      <c r="E2062" s="15" t="s">
        <v>290</v>
      </c>
      <c r="F2062" s="8" t="str">
        <f aca="false">IFERROR(INDEX(CADASTRO_PIVOS!$C$6:$C$41,MATCH($E2062,CADASTRO_PIVOS!$B$6:$B$41,0)),"?")</f>
        <v>RM07</v>
      </c>
      <c r="G2062" s="8" t="str">
        <f aca="false">IFERROR(INDEX(CADASTRO_PIVOS!$D$6:$D$41,MATCH($E2062,CADASTRO_PIVOS!$B$6:$B$41,0)),"?")</f>
        <v>TR07</v>
      </c>
      <c r="H2062" s="20" t="n">
        <f aca="false">IFERROR(INDEX(CADASTRO_PIVOS!$E$6:$E$41,MATCH($E2062,CADASTRO_PIVOS!$B$6:$B$41,0)),0)</f>
        <v>99.48</v>
      </c>
      <c r="I2062" s="16" t="n">
        <f aca="false">IFERROR(SUMIFS(ROTACAO_RDM!$B$6:$B$71,ROTACAO_RDM!$D$6:$D$71,$E2062,ROTACAO_RDM!$I$6:$I$71,"&lt;="&amp;$C2062+INT(DIAS_POR_SEMANA/2),ROTACAO_RDM!$J$6:$J$71,"&gt;="&amp;$C2062+INT(DIAS_POR_SEMANA/2)),0)</f>
        <v>0</v>
      </c>
      <c r="J2062" s="16" t="n">
        <f aca="false">IFERROR(MATCH($I2062,ROTACAO_RDM!$B$6:$B$71,0),0)</f>
        <v>0</v>
      </c>
      <c r="K2062" s="8" t="str">
        <f aca="false">IF($J2062=0,"SEM CULTURA",INDEX(ROTACAO_RDM!$F$6:$F$71,$J2062))</f>
        <v>SEM CULTURA</v>
      </c>
      <c r="L2062" s="8" t="str">
        <f aca="false">IF($J2062=0,"",INDEX(ROTACAO_RDM!$G$6:$G$71,$J2062))</f>
        <v/>
      </c>
      <c r="M2062" s="17" t="str">
        <f aca="false">IF($J2062=0,"",INDEX(ROTACAO_RDM!$I$6:$I$71,$J2062))</f>
        <v/>
      </c>
      <c r="N2062" s="16" t="n">
        <f aca="false">IF($J2062=0,0,MAX(0,$C2062+INT(DIAS_POR_SEMANA/2)-INDEX(ROTACAO_RDM!$I$6:$I$71,$J2062)))</f>
        <v>0</v>
      </c>
      <c r="O2062" s="19" t="n">
        <f aca="false">IF($J2062=0,0,MIN(1,$N2062/MAX(1,INDEX(ROTACAO_RDM!$K$6:$K$71,$J2062))))</f>
        <v>0</v>
      </c>
      <c r="P2062" s="16" t="n">
        <f aca="false">IF($J2062=0,0,IFERROR(MATCH(INDEX(ROTACAO_RDM!$N$6:$N$71,$J2062),PARAMETROS_CULTURAS!$B$6:$B$28,0),0))</f>
        <v>0</v>
      </c>
      <c r="Q2062" s="8" t="str">
        <f aca="false">IF($P2062=0,"-",IF($O2062&lt;=INDEX(PARAMETROS_CULTURAS!$F$6:$F$28,$P2062),"INICIAL",IF($O2062&lt;=INDEX(PARAMETROS_CULTURAS!$F$6:$F$28,$P2062)+INDEX(PARAMETROS_CULTURAS!$G$6:$G$28,$P2062),"DESENVOLVIMENTO",IF($O2062&lt;=INDEX(PARAMETROS_CULTURAS!$F$6:$F$28,$P2062)+INDEX(PARAMETROS_CULTURAS!$G$6:$G$28,$P2062)+INDEX(PARAMETROS_CULTURAS!$H$6:$H$28,$P2062),"MEDIA","FINAL"))))</f>
        <v>-</v>
      </c>
      <c r="R2062" s="24" t="n">
        <f aca="false">IF($P2062=0,0,IF($O2062&lt;=INDEX(PARAMETROS_CULTURAS!$F$6:$F$28,$P2062),INDEX(PARAMETROS_CULTURAS!$K$6:$K$28,$P2062),IF($O2062&lt;=INDEX(PARAMETROS_CULTURAS!$F$6:$F$28,$P2062)+INDEX(PARAMETROS_CULTURAS!$G$6:$G$28,$P2062),INDEX(PARAMETROS_CULTURAS!$K$6:$K$28,$P2062)+(INDEX(PARAMETROS_CULTURAS!$L$6:$L$28,$P2062)-INDEX(PARAMETROS_CULTURAS!$K$6:$K$28,$P2062))*($O2062-INDEX(PARAMETROS_CULTURAS!$F$6:$F$28,$P2062))/MAX(INDEX(PARAMETROS_CULTURAS!$G$6:$G$28,$P2062),0.0001),IF($O2062&lt;=INDEX(PARAMETROS_CULTURAS!$F$6:$F$28,$P2062)+INDEX(PARAMETROS_CULTURAS!$G$6:$G$28,$P2062)+INDEX(PARAMETROS_CULTURAS!$H$6:$H$28,$P2062),INDEX(PARAMETROS_CULTURAS!$L$6:$L$28,$P2062),INDEX(PARAMETROS_CULTURAS!$L$6:$L$28,$P2062)+(INDEX(PARAMETROS_CULTURAS!$M$6:$M$28,$P2062)-INDEX(PARAMETROS_CULTURAS!$L$6:$L$28,$P2062))*($O2062-INDEX(PARAMETROS_CULTURAS!$F$6:$F$28,$P2062)-INDEX(PARAMETROS_CULTURAS!$G$6:$G$28,$P2062)-INDEX(PARAMETROS_CULTURAS!$H$6:$H$28,$P2062))/MAX(INDEX(PARAMETROS_CULTURAS!$I$6:$I$28,$P2062),0.0001)))))</f>
        <v>0</v>
      </c>
      <c r="S2062" s="18" t="n">
        <f aca="false">IFERROR(INDEX(SEMANAS!$H$6:$H$71,MATCH($B2062,SEMANAS!$B$6:$B$71,0)),0)</f>
        <v>34.3</v>
      </c>
      <c r="T2062" s="18" t="n">
        <f aca="false">$R2062*$S2062</f>
        <v>0</v>
      </c>
      <c r="U2062" s="18" t="n">
        <f aca="false">IFERROR(INDEX(SEMANAS!$I$6:$I$71,MATCH($B2062,SEMANAS!$B$6:$B$71,0)),0)</f>
        <v>46.69</v>
      </c>
      <c r="V2062" s="18" t="n">
        <f aca="false">IFERROR(INDEX(SEMANAS!$J$6:$J$71,MATCH($B2062,SEMANAS!$B$6:$B$71,0)),0)</f>
        <v>37.352</v>
      </c>
      <c r="W2062" s="18" t="n">
        <f aca="false">MAX(0,$T2062-$V2062)</f>
        <v>0</v>
      </c>
      <c r="X2062" s="19" t="n">
        <f aca="false">IFERROR(INDEX(CADASTRO_PIVOS!$K$6:$K$41,MATCH($E2062,CADASTRO_PIVOS!$B$6:$B$41,0)),EFICIENCIA_PADRAO)</f>
        <v>0.85</v>
      </c>
      <c r="Y2062" s="18" t="n">
        <f aca="false">IF($X2062&lt;=0,0,$W2062/$X2062)</f>
        <v>0</v>
      </c>
      <c r="Z2062" s="16" t="n">
        <f aca="false">$Y2062*$H2062*MM_PARA_M3_HA</f>
        <v>0</v>
      </c>
      <c r="AA2062" s="18" t="n">
        <f aca="false">IFERROR(INDEX(CADASTRO_PIVOS!$I$6:$I$41,MATCH($E2062,CADASTRO_PIVOS!$B$6:$B$41,0)),0)</f>
        <v>710.571428571429</v>
      </c>
      <c r="AB2062" s="18" t="n">
        <f aca="false">IF($Z2062&lt;=0,0,$Z2062/$AA2062)</f>
        <v>0</v>
      </c>
      <c r="AC2062" s="16" t="n">
        <f aca="false">IFERROR(INDEX(SEMANAS!$K$6:$K$71,MATCH($B2062,SEMANAS!$B$6:$B$71,0)),0)</f>
        <v>147</v>
      </c>
      <c r="AD2062" s="19" t="n">
        <f aca="false">IF($AC2062&lt;=0,0,$AB2062/$AC2062)</f>
        <v>0</v>
      </c>
      <c r="AE2062" s="8" t="str">
        <f aca="false">IF($K2062="SEM CULTURA","SEM CULTURA",IF($AA2062&lt;=0,"DADO PENDENTE",IF($AD2062&gt;LIMITE_CRITICO,"INVIAVEL",IF($AD2062&gt;LIMITE_ATENCAO,"CRITICO",IF($AD2062&gt;LIMITE_CONFORTAVEL,"ATENCAO","OK")))))</f>
        <v>SEM CULTURA</v>
      </c>
      <c r="AF2062" s="8" t="str">
        <f aca="false">$B2062&amp;"|"&amp;TEXT($AD2062,"0.000000")</f>
        <v>11|0.000000</v>
      </c>
      <c r="AG2062" s="18" t="n">
        <f aca="false">IF($K2062="SEM CULTURA",0,$T2062*$H2062)</f>
        <v>0</v>
      </c>
      <c r="AH2062" s="18" t="n">
        <f aca="false">IF($K2062="SEM CULTURA",0,$V2062*$H2062)</f>
        <v>0</v>
      </c>
      <c r="AI2062" s="18" t="n">
        <f aca="false">IF($K2062="SEM CULTURA",0,$W2062*$H2062)</f>
        <v>0</v>
      </c>
      <c r="AJ2062" s="18" t="n">
        <f aca="false">IF($K2062="SEM CULTURA",0,$S2062*$H2062)</f>
        <v>0</v>
      </c>
      <c r="AK2062" s="8" t="str">
        <f aca="false">$E2062&amp;"|"&amp;TEXT($AD2062,"0.000000")</f>
        <v>PV 133|0.000000</v>
      </c>
    </row>
    <row r="2063" customFormat="false" ht="15" hidden="false" customHeight="false" outlineLevel="0" collapsed="false">
      <c r="B2063" s="16" t="n">
        <v>12</v>
      </c>
      <c r="C2063" s="17" t="n">
        <f aca="false">DATA_INICIO_SAFRA+($B2063-1)*DIAS_POR_SEMANA</f>
        <v>46342</v>
      </c>
      <c r="D2063" s="17" t="n">
        <f aca="false">$C2063+DIAS_POR_SEMANA-1</f>
        <v>46348</v>
      </c>
      <c r="E2063" s="15" t="s">
        <v>290</v>
      </c>
      <c r="F2063" s="8" t="str">
        <f aca="false">IFERROR(INDEX(CADASTRO_PIVOS!$C$6:$C$41,MATCH($E2063,CADASTRO_PIVOS!$B$6:$B$41,0)),"?")</f>
        <v>RM07</v>
      </c>
      <c r="G2063" s="8" t="str">
        <f aca="false">IFERROR(INDEX(CADASTRO_PIVOS!$D$6:$D$41,MATCH($E2063,CADASTRO_PIVOS!$B$6:$B$41,0)),"?")</f>
        <v>TR07</v>
      </c>
      <c r="H2063" s="20" t="n">
        <f aca="false">IFERROR(INDEX(CADASTRO_PIVOS!$E$6:$E$41,MATCH($E2063,CADASTRO_PIVOS!$B$6:$B$41,0)),0)</f>
        <v>99.48</v>
      </c>
      <c r="I2063" s="16" t="n">
        <f aca="false">IFERROR(SUMIFS(ROTACAO_RDM!$B$6:$B$71,ROTACAO_RDM!$D$6:$D$71,$E2063,ROTACAO_RDM!$I$6:$I$71,"&lt;="&amp;$C2063+INT(DIAS_POR_SEMANA/2),ROTACAO_RDM!$J$6:$J$71,"&gt;="&amp;$C2063+INT(DIAS_POR_SEMANA/2)),0)</f>
        <v>0</v>
      </c>
      <c r="J2063" s="16" t="n">
        <f aca="false">IFERROR(MATCH($I2063,ROTACAO_RDM!$B$6:$B$71,0),0)</f>
        <v>0</v>
      </c>
      <c r="K2063" s="8" t="str">
        <f aca="false">IF($J2063=0,"SEM CULTURA",INDEX(ROTACAO_RDM!$F$6:$F$71,$J2063))</f>
        <v>SEM CULTURA</v>
      </c>
      <c r="L2063" s="8" t="str">
        <f aca="false">IF($J2063=0,"",INDEX(ROTACAO_RDM!$G$6:$G$71,$J2063))</f>
        <v/>
      </c>
      <c r="M2063" s="17" t="str">
        <f aca="false">IF($J2063=0,"",INDEX(ROTACAO_RDM!$I$6:$I$71,$J2063))</f>
        <v/>
      </c>
      <c r="N2063" s="16" t="n">
        <f aca="false">IF($J2063=0,0,MAX(0,$C2063+INT(DIAS_POR_SEMANA/2)-INDEX(ROTACAO_RDM!$I$6:$I$71,$J2063)))</f>
        <v>0</v>
      </c>
      <c r="O2063" s="19" t="n">
        <f aca="false">IF($J2063=0,0,MIN(1,$N2063/MAX(1,INDEX(ROTACAO_RDM!$K$6:$K$71,$J2063))))</f>
        <v>0</v>
      </c>
      <c r="P2063" s="16" t="n">
        <f aca="false">IF($J2063=0,0,IFERROR(MATCH(INDEX(ROTACAO_RDM!$N$6:$N$71,$J2063),PARAMETROS_CULTURAS!$B$6:$B$28,0),0))</f>
        <v>0</v>
      </c>
      <c r="Q2063" s="8" t="str">
        <f aca="false">IF($P2063=0,"-",IF($O2063&lt;=INDEX(PARAMETROS_CULTURAS!$F$6:$F$28,$P2063),"INICIAL",IF($O2063&lt;=INDEX(PARAMETROS_CULTURAS!$F$6:$F$28,$P2063)+INDEX(PARAMETROS_CULTURAS!$G$6:$G$28,$P2063),"DESENVOLVIMENTO",IF($O2063&lt;=INDEX(PARAMETROS_CULTURAS!$F$6:$F$28,$P2063)+INDEX(PARAMETROS_CULTURAS!$G$6:$G$28,$P2063)+INDEX(PARAMETROS_CULTURAS!$H$6:$H$28,$P2063),"MEDIA","FINAL"))))</f>
        <v>-</v>
      </c>
      <c r="R2063" s="24" t="n">
        <f aca="false">IF($P2063=0,0,IF($O2063&lt;=INDEX(PARAMETROS_CULTURAS!$F$6:$F$28,$P2063),INDEX(PARAMETROS_CULTURAS!$K$6:$K$28,$P2063),IF($O2063&lt;=INDEX(PARAMETROS_CULTURAS!$F$6:$F$28,$P2063)+INDEX(PARAMETROS_CULTURAS!$G$6:$G$28,$P2063),INDEX(PARAMETROS_CULTURAS!$K$6:$K$28,$P2063)+(INDEX(PARAMETROS_CULTURAS!$L$6:$L$28,$P2063)-INDEX(PARAMETROS_CULTURAS!$K$6:$K$28,$P2063))*($O2063-INDEX(PARAMETROS_CULTURAS!$F$6:$F$28,$P2063))/MAX(INDEX(PARAMETROS_CULTURAS!$G$6:$G$28,$P2063),0.0001),IF($O2063&lt;=INDEX(PARAMETROS_CULTURAS!$F$6:$F$28,$P2063)+INDEX(PARAMETROS_CULTURAS!$G$6:$G$28,$P2063)+INDEX(PARAMETROS_CULTURAS!$H$6:$H$28,$P2063),INDEX(PARAMETROS_CULTURAS!$L$6:$L$28,$P2063),INDEX(PARAMETROS_CULTURAS!$L$6:$L$28,$P2063)+(INDEX(PARAMETROS_CULTURAS!$M$6:$M$28,$P2063)-INDEX(PARAMETROS_CULTURAS!$L$6:$L$28,$P2063))*($O2063-INDEX(PARAMETROS_CULTURAS!$F$6:$F$28,$P2063)-INDEX(PARAMETROS_CULTURAS!$G$6:$G$28,$P2063)-INDEX(PARAMETROS_CULTURAS!$H$6:$H$28,$P2063))/MAX(INDEX(PARAMETROS_CULTURAS!$I$6:$I$28,$P2063),0.0001)))))</f>
        <v>0</v>
      </c>
      <c r="S2063" s="18" t="n">
        <f aca="false">IFERROR(INDEX(SEMANAS!$H$6:$H$71,MATCH($B2063,SEMANAS!$B$6:$B$71,0)),0)</f>
        <v>34.3</v>
      </c>
      <c r="T2063" s="18" t="n">
        <f aca="false">$R2063*$S2063</f>
        <v>0</v>
      </c>
      <c r="U2063" s="18" t="n">
        <f aca="false">IFERROR(INDEX(SEMANAS!$I$6:$I$71,MATCH($B2063,SEMANAS!$B$6:$B$71,0)),0)</f>
        <v>46.69</v>
      </c>
      <c r="V2063" s="18" t="n">
        <f aca="false">IFERROR(INDEX(SEMANAS!$J$6:$J$71,MATCH($B2063,SEMANAS!$B$6:$B$71,0)),0)</f>
        <v>37.352</v>
      </c>
      <c r="W2063" s="18" t="n">
        <f aca="false">MAX(0,$T2063-$V2063)</f>
        <v>0</v>
      </c>
      <c r="X2063" s="19" t="n">
        <f aca="false">IFERROR(INDEX(CADASTRO_PIVOS!$K$6:$K$41,MATCH($E2063,CADASTRO_PIVOS!$B$6:$B$41,0)),EFICIENCIA_PADRAO)</f>
        <v>0.85</v>
      </c>
      <c r="Y2063" s="18" t="n">
        <f aca="false">IF($X2063&lt;=0,0,$W2063/$X2063)</f>
        <v>0</v>
      </c>
      <c r="Z2063" s="16" t="n">
        <f aca="false">$Y2063*$H2063*MM_PARA_M3_HA</f>
        <v>0</v>
      </c>
      <c r="AA2063" s="18" t="n">
        <f aca="false">IFERROR(INDEX(CADASTRO_PIVOS!$I$6:$I$41,MATCH($E2063,CADASTRO_PIVOS!$B$6:$B$41,0)),0)</f>
        <v>710.571428571429</v>
      </c>
      <c r="AB2063" s="18" t="n">
        <f aca="false">IF($Z2063&lt;=0,0,$Z2063/$AA2063)</f>
        <v>0</v>
      </c>
      <c r="AC2063" s="16" t="n">
        <f aca="false">IFERROR(INDEX(SEMANAS!$K$6:$K$71,MATCH($B2063,SEMANAS!$B$6:$B$71,0)),0)</f>
        <v>147</v>
      </c>
      <c r="AD2063" s="19" t="n">
        <f aca="false">IF($AC2063&lt;=0,0,$AB2063/$AC2063)</f>
        <v>0</v>
      </c>
      <c r="AE2063" s="8" t="str">
        <f aca="false">IF($K2063="SEM CULTURA","SEM CULTURA",IF($AA2063&lt;=0,"DADO PENDENTE",IF($AD2063&gt;LIMITE_CRITICO,"INVIAVEL",IF($AD2063&gt;LIMITE_ATENCAO,"CRITICO",IF($AD2063&gt;LIMITE_CONFORTAVEL,"ATENCAO","OK")))))</f>
        <v>SEM CULTURA</v>
      </c>
      <c r="AF2063" s="8" t="str">
        <f aca="false">$B2063&amp;"|"&amp;TEXT($AD2063,"0.000000")</f>
        <v>12|0.000000</v>
      </c>
      <c r="AG2063" s="18" t="n">
        <f aca="false">IF($K2063="SEM CULTURA",0,$T2063*$H2063)</f>
        <v>0</v>
      </c>
      <c r="AH2063" s="18" t="n">
        <f aca="false">IF($K2063="SEM CULTURA",0,$V2063*$H2063)</f>
        <v>0</v>
      </c>
      <c r="AI2063" s="18" t="n">
        <f aca="false">IF($K2063="SEM CULTURA",0,$W2063*$H2063)</f>
        <v>0</v>
      </c>
      <c r="AJ2063" s="18" t="n">
        <f aca="false">IF($K2063="SEM CULTURA",0,$S2063*$H2063)</f>
        <v>0</v>
      </c>
      <c r="AK2063" s="8" t="str">
        <f aca="false">$E2063&amp;"|"&amp;TEXT($AD2063,"0.000000")</f>
        <v>PV 133|0.000000</v>
      </c>
    </row>
    <row r="2064" customFormat="false" ht="15" hidden="false" customHeight="false" outlineLevel="0" collapsed="false">
      <c r="B2064" s="16" t="n">
        <v>13</v>
      </c>
      <c r="C2064" s="17" t="n">
        <f aca="false">DATA_INICIO_SAFRA+($B2064-1)*DIAS_POR_SEMANA</f>
        <v>46349</v>
      </c>
      <c r="D2064" s="17" t="n">
        <f aca="false">$C2064+DIAS_POR_SEMANA-1</f>
        <v>46355</v>
      </c>
      <c r="E2064" s="15" t="s">
        <v>290</v>
      </c>
      <c r="F2064" s="8" t="str">
        <f aca="false">IFERROR(INDEX(CADASTRO_PIVOS!$C$6:$C$41,MATCH($E2064,CADASTRO_PIVOS!$B$6:$B$41,0)),"?")</f>
        <v>RM07</v>
      </c>
      <c r="G2064" s="8" t="str">
        <f aca="false">IFERROR(INDEX(CADASTRO_PIVOS!$D$6:$D$41,MATCH($E2064,CADASTRO_PIVOS!$B$6:$B$41,0)),"?")</f>
        <v>TR07</v>
      </c>
      <c r="H2064" s="20" t="n">
        <f aca="false">IFERROR(INDEX(CADASTRO_PIVOS!$E$6:$E$41,MATCH($E2064,CADASTRO_PIVOS!$B$6:$B$41,0)),0)</f>
        <v>99.48</v>
      </c>
      <c r="I2064" s="16" t="n">
        <f aca="false">IFERROR(SUMIFS(ROTACAO_RDM!$B$6:$B$71,ROTACAO_RDM!$D$6:$D$71,$E2064,ROTACAO_RDM!$I$6:$I$71,"&lt;="&amp;$C2064+INT(DIAS_POR_SEMANA/2),ROTACAO_RDM!$J$6:$J$71,"&gt;="&amp;$C2064+INT(DIAS_POR_SEMANA/2)),0)</f>
        <v>0</v>
      </c>
      <c r="J2064" s="16" t="n">
        <f aca="false">IFERROR(MATCH($I2064,ROTACAO_RDM!$B$6:$B$71,0),0)</f>
        <v>0</v>
      </c>
      <c r="K2064" s="8" t="str">
        <f aca="false">IF($J2064=0,"SEM CULTURA",INDEX(ROTACAO_RDM!$F$6:$F$71,$J2064))</f>
        <v>SEM CULTURA</v>
      </c>
      <c r="L2064" s="8" t="str">
        <f aca="false">IF($J2064=0,"",INDEX(ROTACAO_RDM!$G$6:$G$71,$J2064))</f>
        <v/>
      </c>
      <c r="M2064" s="17" t="str">
        <f aca="false">IF($J2064=0,"",INDEX(ROTACAO_RDM!$I$6:$I$71,$J2064))</f>
        <v/>
      </c>
      <c r="N2064" s="16" t="n">
        <f aca="false">IF($J2064=0,0,MAX(0,$C2064+INT(DIAS_POR_SEMANA/2)-INDEX(ROTACAO_RDM!$I$6:$I$71,$J2064)))</f>
        <v>0</v>
      </c>
      <c r="O2064" s="19" t="n">
        <f aca="false">IF($J2064=0,0,MIN(1,$N2064/MAX(1,INDEX(ROTACAO_RDM!$K$6:$K$71,$J2064))))</f>
        <v>0</v>
      </c>
      <c r="P2064" s="16" t="n">
        <f aca="false">IF($J2064=0,0,IFERROR(MATCH(INDEX(ROTACAO_RDM!$N$6:$N$71,$J2064),PARAMETROS_CULTURAS!$B$6:$B$28,0),0))</f>
        <v>0</v>
      </c>
      <c r="Q2064" s="8" t="str">
        <f aca="false">IF($P2064=0,"-",IF($O2064&lt;=INDEX(PARAMETROS_CULTURAS!$F$6:$F$28,$P2064),"INICIAL",IF($O2064&lt;=INDEX(PARAMETROS_CULTURAS!$F$6:$F$28,$P2064)+INDEX(PARAMETROS_CULTURAS!$G$6:$G$28,$P2064),"DESENVOLVIMENTO",IF($O2064&lt;=INDEX(PARAMETROS_CULTURAS!$F$6:$F$28,$P2064)+INDEX(PARAMETROS_CULTURAS!$G$6:$G$28,$P2064)+INDEX(PARAMETROS_CULTURAS!$H$6:$H$28,$P2064),"MEDIA","FINAL"))))</f>
        <v>-</v>
      </c>
      <c r="R2064" s="24" t="n">
        <f aca="false">IF($P2064=0,0,IF($O2064&lt;=INDEX(PARAMETROS_CULTURAS!$F$6:$F$28,$P2064),INDEX(PARAMETROS_CULTURAS!$K$6:$K$28,$P2064),IF($O2064&lt;=INDEX(PARAMETROS_CULTURAS!$F$6:$F$28,$P2064)+INDEX(PARAMETROS_CULTURAS!$G$6:$G$28,$P2064),INDEX(PARAMETROS_CULTURAS!$K$6:$K$28,$P2064)+(INDEX(PARAMETROS_CULTURAS!$L$6:$L$28,$P2064)-INDEX(PARAMETROS_CULTURAS!$K$6:$K$28,$P2064))*($O2064-INDEX(PARAMETROS_CULTURAS!$F$6:$F$28,$P2064))/MAX(INDEX(PARAMETROS_CULTURAS!$G$6:$G$28,$P2064),0.0001),IF($O2064&lt;=INDEX(PARAMETROS_CULTURAS!$F$6:$F$28,$P2064)+INDEX(PARAMETROS_CULTURAS!$G$6:$G$28,$P2064)+INDEX(PARAMETROS_CULTURAS!$H$6:$H$28,$P2064),INDEX(PARAMETROS_CULTURAS!$L$6:$L$28,$P2064),INDEX(PARAMETROS_CULTURAS!$L$6:$L$28,$P2064)+(INDEX(PARAMETROS_CULTURAS!$M$6:$M$28,$P2064)-INDEX(PARAMETROS_CULTURAS!$L$6:$L$28,$P2064))*($O2064-INDEX(PARAMETROS_CULTURAS!$F$6:$F$28,$P2064)-INDEX(PARAMETROS_CULTURAS!$G$6:$G$28,$P2064)-INDEX(PARAMETROS_CULTURAS!$H$6:$H$28,$P2064))/MAX(INDEX(PARAMETROS_CULTURAS!$I$6:$I$28,$P2064),0.0001)))))</f>
        <v>0</v>
      </c>
      <c r="S2064" s="18" t="n">
        <f aca="false">IFERROR(INDEX(SEMANAS!$H$6:$H$71,MATCH($B2064,SEMANAS!$B$6:$B$71,0)),0)</f>
        <v>34.3</v>
      </c>
      <c r="T2064" s="18" t="n">
        <f aca="false">$R2064*$S2064</f>
        <v>0</v>
      </c>
      <c r="U2064" s="18" t="n">
        <f aca="false">IFERROR(INDEX(SEMANAS!$I$6:$I$71,MATCH($B2064,SEMANAS!$B$6:$B$71,0)),0)</f>
        <v>46.69</v>
      </c>
      <c r="V2064" s="18" t="n">
        <f aca="false">IFERROR(INDEX(SEMANAS!$J$6:$J$71,MATCH($B2064,SEMANAS!$B$6:$B$71,0)),0)</f>
        <v>37.352</v>
      </c>
      <c r="W2064" s="18" t="n">
        <f aca="false">MAX(0,$T2064-$V2064)</f>
        <v>0</v>
      </c>
      <c r="X2064" s="19" t="n">
        <f aca="false">IFERROR(INDEX(CADASTRO_PIVOS!$K$6:$K$41,MATCH($E2064,CADASTRO_PIVOS!$B$6:$B$41,0)),EFICIENCIA_PADRAO)</f>
        <v>0.85</v>
      </c>
      <c r="Y2064" s="18" t="n">
        <f aca="false">IF($X2064&lt;=0,0,$W2064/$X2064)</f>
        <v>0</v>
      </c>
      <c r="Z2064" s="16" t="n">
        <f aca="false">$Y2064*$H2064*MM_PARA_M3_HA</f>
        <v>0</v>
      </c>
      <c r="AA2064" s="18" t="n">
        <f aca="false">IFERROR(INDEX(CADASTRO_PIVOS!$I$6:$I$41,MATCH($E2064,CADASTRO_PIVOS!$B$6:$B$41,0)),0)</f>
        <v>710.571428571429</v>
      </c>
      <c r="AB2064" s="18" t="n">
        <f aca="false">IF($Z2064&lt;=0,0,$Z2064/$AA2064)</f>
        <v>0</v>
      </c>
      <c r="AC2064" s="16" t="n">
        <f aca="false">IFERROR(INDEX(SEMANAS!$K$6:$K$71,MATCH($B2064,SEMANAS!$B$6:$B$71,0)),0)</f>
        <v>147</v>
      </c>
      <c r="AD2064" s="19" t="n">
        <f aca="false">IF($AC2064&lt;=0,0,$AB2064/$AC2064)</f>
        <v>0</v>
      </c>
      <c r="AE2064" s="8" t="str">
        <f aca="false">IF($K2064="SEM CULTURA","SEM CULTURA",IF($AA2064&lt;=0,"DADO PENDENTE",IF($AD2064&gt;LIMITE_CRITICO,"INVIAVEL",IF($AD2064&gt;LIMITE_ATENCAO,"CRITICO",IF($AD2064&gt;LIMITE_CONFORTAVEL,"ATENCAO","OK")))))</f>
        <v>SEM CULTURA</v>
      </c>
      <c r="AF2064" s="8" t="str">
        <f aca="false">$B2064&amp;"|"&amp;TEXT($AD2064,"0.000000")</f>
        <v>13|0.000000</v>
      </c>
      <c r="AG2064" s="18" t="n">
        <f aca="false">IF($K2064="SEM CULTURA",0,$T2064*$H2064)</f>
        <v>0</v>
      </c>
      <c r="AH2064" s="18" t="n">
        <f aca="false">IF($K2064="SEM CULTURA",0,$V2064*$H2064)</f>
        <v>0</v>
      </c>
      <c r="AI2064" s="18" t="n">
        <f aca="false">IF($K2064="SEM CULTURA",0,$W2064*$H2064)</f>
        <v>0</v>
      </c>
      <c r="AJ2064" s="18" t="n">
        <f aca="false">IF($K2064="SEM CULTURA",0,$S2064*$H2064)</f>
        <v>0</v>
      </c>
      <c r="AK2064" s="8" t="str">
        <f aca="false">$E2064&amp;"|"&amp;TEXT($AD2064,"0.000000")</f>
        <v>PV 133|0.000000</v>
      </c>
    </row>
    <row r="2065" customFormat="false" ht="15" hidden="false" customHeight="false" outlineLevel="0" collapsed="false">
      <c r="B2065" s="16" t="n">
        <v>14</v>
      </c>
      <c r="C2065" s="17" t="n">
        <f aca="false">DATA_INICIO_SAFRA+($B2065-1)*DIAS_POR_SEMANA</f>
        <v>46356</v>
      </c>
      <c r="D2065" s="17" t="n">
        <f aca="false">$C2065+DIAS_POR_SEMANA-1</f>
        <v>46362</v>
      </c>
      <c r="E2065" s="15" t="s">
        <v>290</v>
      </c>
      <c r="F2065" s="8" t="str">
        <f aca="false">IFERROR(INDEX(CADASTRO_PIVOS!$C$6:$C$41,MATCH($E2065,CADASTRO_PIVOS!$B$6:$B$41,0)),"?")</f>
        <v>RM07</v>
      </c>
      <c r="G2065" s="8" t="str">
        <f aca="false">IFERROR(INDEX(CADASTRO_PIVOS!$D$6:$D$41,MATCH($E2065,CADASTRO_PIVOS!$B$6:$B$41,0)),"?")</f>
        <v>TR07</v>
      </c>
      <c r="H2065" s="20" t="n">
        <f aca="false">IFERROR(INDEX(CADASTRO_PIVOS!$E$6:$E$41,MATCH($E2065,CADASTRO_PIVOS!$B$6:$B$41,0)),0)</f>
        <v>99.48</v>
      </c>
      <c r="I2065" s="16" t="n">
        <f aca="false">IFERROR(SUMIFS(ROTACAO_RDM!$B$6:$B$71,ROTACAO_RDM!$D$6:$D$71,$E2065,ROTACAO_RDM!$I$6:$I$71,"&lt;="&amp;$C2065+INT(DIAS_POR_SEMANA/2),ROTACAO_RDM!$J$6:$J$71,"&gt;="&amp;$C2065+INT(DIAS_POR_SEMANA/2)),0)</f>
        <v>66</v>
      </c>
      <c r="J2065" s="16" t="n">
        <f aca="false">IFERROR(MATCH($I2065,ROTACAO_RDM!$B$6:$B$71,0),0)</f>
        <v>66</v>
      </c>
      <c r="K2065" s="8" t="str">
        <f aca="false">IF($J2065=0,"SEM CULTURA",INDEX(ROTACAO_RDM!$F$6:$F$71,$J2065))</f>
        <v>ALGODAO</v>
      </c>
      <c r="L2065" s="8" t="str">
        <f aca="false">IF($J2065=0,"",INDEX(ROTACAO_RDM!$G$6:$G$71,$J2065))</f>
        <v>FM 974 GLT</v>
      </c>
      <c r="M2065" s="17" t="n">
        <f aca="false">IF($J2065=0,"",INDEX(ROTACAO_RDM!$I$6:$I$71,$J2065))</f>
        <v>46357</v>
      </c>
      <c r="N2065" s="16" t="n">
        <f aca="false">IF($J2065=0,0,MAX(0,$C2065+INT(DIAS_POR_SEMANA/2)-INDEX(ROTACAO_RDM!$I$6:$I$71,$J2065)))</f>
        <v>2</v>
      </c>
      <c r="O2065" s="19" t="n">
        <f aca="false">IF($J2065=0,0,MIN(1,$N2065/MAX(1,INDEX(ROTACAO_RDM!$K$6:$K$71,$J2065))))</f>
        <v>0.0102564102564103</v>
      </c>
      <c r="P2065" s="16" t="n">
        <f aca="false">IF($J2065=0,0,IFERROR(MATCH(INDEX(ROTACAO_RDM!$N$6:$N$71,$J2065),PARAMETROS_CULTURAS!$B$6:$B$28,0),0))</f>
        <v>5</v>
      </c>
      <c r="Q2065" s="8" t="str">
        <f aca="false">IF($P2065=0,"-",IF($O2065&lt;=INDEX(PARAMETROS_CULTURAS!$F$6:$F$28,$P2065),"INICIAL",IF($O2065&lt;=INDEX(PARAMETROS_CULTURAS!$F$6:$F$28,$P2065)+INDEX(PARAMETROS_CULTURAS!$G$6:$G$28,$P2065),"DESENVOLVIMENTO",IF($O2065&lt;=INDEX(PARAMETROS_CULTURAS!$F$6:$F$28,$P2065)+INDEX(PARAMETROS_CULTURAS!$G$6:$G$28,$P2065)+INDEX(PARAMETROS_CULTURAS!$H$6:$H$28,$P2065),"MEDIA","FINAL"))))</f>
        <v>INICIAL</v>
      </c>
      <c r="R2065" s="24" t="n">
        <f aca="false">IF($P2065=0,0,IF($O2065&lt;=INDEX(PARAMETROS_CULTURAS!$F$6:$F$28,$P2065),INDEX(PARAMETROS_CULTURAS!$K$6:$K$28,$P2065),IF($O2065&lt;=INDEX(PARAMETROS_CULTURAS!$F$6:$F$28,$P2065)+INDEX(PARAMETROS_CULTURAS!$G$6:$G$28,$P2065),INDEX(PARAMETROS_CULTURAS!$K$6:$K$28,$P2065)+(INDEX(PARAMETROS_CULTURAS!$L$6:$L$28,$P2065)-INDEX(PARAMETROS_CULTURAS!$K$6:$K$28,$P2065))*($O2065-INDEX(PARAMETROS_CULTURAS!$F$6:$F$28,$P2065))/MAX(INDEX(PARAMETROS_CULTURAS!$G$6:$G$28,$P2065),0.0001),IF($O2065&lt;=INDEX(PARAMETROS_CULTURAS!$F$6:$F$28,$P2065)+INDEX(PARAMETROS_CULTURAS!$G$6:$G$28,$P2065)+INDEX(PARAMETROS_CULTURAS!$H$6:$H$28,$P2065),INDEX(PARAMETROS_CULTURAS!$L$6:$L$28,$P2065),INDEX(PARAMETROS_CULTURAS!$L$6:$L$28,$P2065)+(INDEX(PARAMETROS_CULTURAS!$M$6:$M$28,$P2065)-INDEX(PARAMETROS_CULTURAS!$L$6:$L$28,$P2065))*($O2065-INDEX(PARAMETROS_CULTURAS!$F$6:$F$28,$P2065)-INDEX(PARAMETROS_CULTURAS!$G$6:$G$28,$P2065)-INDEX(PARAMETROS_CULTURAS!$H$6:$H$28,$P2065))/MAX(INDEX(PARAMETROS_CULTURAS!$I$6:$I$28,$P2065),0.0001)))))</f>
        <v>0.35</v>
      </c>
      <c r="S2065" s="18" t="n">
        <f aca="false">IFERROR(INDEX(SEMANAS!$H$6:$H$71,MATCH($B2065,SEMANAS!$B$6:$B$71,0)),0)</f>
        <v>33.1</v>
      </c>
      <c r="T2065" s="18" t="n">
        <f aca="false">$R2065*$S2065</f>
        <v>11.585</v>
      </c>
      <c r="U2065" s="18" t="n">
        <f aca="false">IFERROR(INDEX(SEMANAS!$I$6:$I$71,MATCH($B2065,SEMANAS!$B$6:$B$71,0)),0)</f>
        <v>48.31</v>
      </c>
      <c r="V2065" s="18" t="n">
        <f aca="false">IFERROR(INDEX(SEMANAS!$J$6:$J$71,MATCH($B2065,SEMANAS!$B$6:$B$71,0)),0)</f>
        <v>38.648</v>
      </c>
      <c r="W2065" s="18" t="n">
        <f aca="false">MAX(0,$T2065-$V2065)</f>
        <v>0</v>
      </c>
      <c r="X2065" s="19" t="n">
        <f aca="false">IFERROR(INDEX(CADASTRO_PIVOS!$K$6:$K$41,MATCH($E2065,CADASTRO_PIVOS!$B$6:$B$41,0)),EFICIENCIA_PADRAO)</f>
        <v>0.85</v>
      </c>
      <c r="Y2065" s="18" t="n">
        <f aca="false">IF($X2065&lt;=0,0,$W2065/$X2065)</f>
        <v>0</v>
      </c>
      <c r="Z2065" s="16" t="n">
        <f aca="false">$Y2065*$H2065*MM_PARA_M3_HA</f>
        <v>0</v>
      </c>
      <c r="AA2065" s="18" t="n">
        <f aca="false">IFERROR(INDEX(CADASTRO_PIVOS!$I$6:$I$41,MATCH($E2065,CADASTRO_PIVOS!$B$6:$B$41,0)),0)</f>
        <v>710.571428571429</v>
      </c>
      <c r="AB2065" s="18" t="n">
        <f aca="false">IF($Z2065&lt;=0,0,$Z2065/$AA2065)</f>
        <v>0</v>
      </c>
      <c r="AC2065" s="16" t="n">
        <f aca="false">IFERROR(INDEX(SEMANAS!$K$6:$K$71,MATCH($B2065,SEMANAS!$B$6:$B$71,0)),0)</f>
        <v>147</v>
      </c>
      <c r="AD2065" s="19" t="n">
        <f aca="false">IF($AC2065&lt;=0,0,$AB2065/$AC2065)</f>
        <v>0</v>
      </c>
      <c r="AE2065" s="8" t="str">
        <f aca="false">IF($K2065="SEM CULTURA","SEM CULTURA",IF($AA2065&lt;=0,"DADO PENDENTE",IF($AD2065&gt;LIMITE_CRITICO,"INVIAVEL",IF($AD2065&gt;LIMITE_ATENCAO,"CRITICO",IF($AD2065&gt;LIMITE_CONFORTAVEL,"ATENCAO","OK")))))</f>
        <v>OK</v>
      </c>
      <c r="AF2065" s="8" t="str">
        <f aca="false">$B2065&amp;"|"&amp;TEXT($AD2065,"0.000000")</f>
        <v>14|0.000000</v>
      </c>
      <c r="AG2065" s="18" t="n">
        <f aca="false">IF($K2065="SEM CULTURA",0,$T2065*$H2065)</f>
        <v>1152.4758</v>
      </c>
      <c r="AH2065" s="18" t="n">
        <f aca="false">IF($K2065="SEM CULTURA",0,$V2065*$H2065)</f>
        <v>3844.70304</v>
      </c>
      <c r="AI2065" s="18" t="n">
        <f aca="false">IF($K2065="SEM CULTURA",0,$W2065*$H2065)</f>
        <v>0</v>
      </c>
      <c r="AJ2065" s="18" t="n">
        <f aca="false">IF($K2065="SEM CULTURA",0,$S2065*$H2065)</f>
        <v>3292.788</v>
      </c>
      <c r="AK2065" s="8" t="str">
        <f aca="false">$E2065&amp;"|"&amp;TEXT($AD2065,"0.000000")</f>
        <v>PV 133|0.000000</v>
      </c>
    </row>
    <row r="2066" customFormat="false" ht="15" hidden="false" customHeight="false" outlineLevel="0" collapsed="false">
      <c r="B2066" s="16" t="n">
        <v>15</v>
      </c>
      <c r="C2066" s="17" t="n">
        <f aca="false">DATA_INICIO_SAFRA+($B2066-1)*DIAS_POR_SEMANA</f>
        <v>46363</v>
      </c>
      <c r="D2066" s="17" t="n">
        <f aca="false">$C2066+DIAS_POR_SEMANA-1</f>
        <v>46369</v>
      </c>
      <c r="E2066" s="15" t="s">
        <v>290</v>
      </c>
      <c r="F2066" s="8" t="str">
        <f aca="false">IFERROR(INDEX(CADASTRO_PIVOS!$C$6:$C$41,MATCH($E2066,CADASTRO_PIVOS!$B$6:$B$41,0)),"?")</f>
        <v>RM07</v>
      </c>
      <c r="G2066" s="8" t="str">
        <f aca="false">IFERROR(INDEX(CADASTRO_PIVOS!$D$6:$D$41,MATCH($E2066,CADASTRO_PIVOS!$B$6:$B$41,0)),"?")</f>
        <v>TR07</v>
      </c>
      <c r="H2066" s="20" t="n">
        <f aca="false">IFERROR(INDEX(CADASTRO_PIVOS!$E$6:$E$41,MATCH($E2066,CADASTRO_PIVOS!$B$6:$B$41,0)),0)</f>
        <v>99.48</v>
      </c>
      <c r="I2066" s="16" t="n">
        <f aca="false">IFERROR(SUMIFS(ROTACAO_RDM!$B$6:$B$71,ROTACAO_RDM!$D$6:$D$71,$E2066,ROTACAO_RDM!$I$6:$I$71,"&lt;="&amp;$C2066+INT(DIAS_POR_SEMANA/2),ROTACAO_RDM!$J$6:$J$71,"&gt;="&amp;$C2066+INT(DIAS_POR_SEMANA/2)),0)</f>
        <v>66</v>
      </c>
      <c r="J2066" s="16" t="n">
        <f aca="false">IFERROR(MATCH($I2066,ROTACAO_RDM!$B$6:$B$71,0),0)</f>
        <v>66</v>
      </c>
      <c r="K2066" s="8" t="str">
        <f aca="false">IF($J2066=0,"SEM CULTURA",INDEX(ROTACAO_RDM!$F$6:$F$71,$J2066))</f>
        <v>ALGODAO</v>
      </c>
      <c r="L2066" s="8" t="str">
        <f aca="false">IF($J2066=0,"",INDEX(ROTACAO_RDM!$G$6:$G$71,$J2066))</f>
        <v>FM 974 GLT</v>
      </c>
      <c r="M2066" s="17" t="n">
        <f aca="false">IF($J2066=0,"",INDEX(ROTACAO_RDM!$I$6:$I$71,$J2066))</f>
        <v>46357</v>
      </c>
      <c r="N2066" s="16" t="n">
        <f aca="false">IF($J2066=0,0,MAX(0,$C2066+INT(DIAS_POR_SEMANA/2)-INDEX(ROTACAO_RDM!$I$6:$I$71,$J2066)))</f>
        <v>9</v>
      </c>
      <c r="O2066" s="19" t="n">
        <f aca="false">IF($J2066=0,0,MIN(1,$N2066/MAX(1,INDEX(ROTACAO_RDM!$K$6:$K$71,$J2066))))</f>
        <v>0.0461538461538462</v>
      </c>
      <c r="P2066" s="16" t="n">
        <f aca="false">IF($J2066=0,0,IFERROR(MATCH(INDEX(ROTACAO_RDM!$N$6:$N$71,$J2066),PARAMETROS_CULTURAS!$B$6:$B$28,0),0))</f>
        <v>5</v>
      </c>
      <c r="Q2066" s="8" t="str">
        <f aca="false">IF($P2066=0,"-",IF($O2066&lt;=INDEX(PARAMETROS_CULTURAS!$F$6:$F$28,$P2066),"INICIAL",IF($O2066&lt;=INDEX(PARAMETROS_CULTURAS!$F$6:$F$28,$P2066)+INDEX(PARAMETROS_CULTURAS!$G$6:$G$28,$P2066),"DESENVOLVIMENTO",IF($O2066&lt;=INDEX(PARAMETROS_CULTURAS!$F$6:$F$28,$P2066)+INDEX(PARAMETROS_CULTURAS!$G$6:$G$28,$P2066)+INDEX(PARAMETROS_CULTURAS!$H$6:$H$28,$P2066),"MEDIA","FINAL"))))</f>
        <v>INICIAL</v>
      </c>
      <c r="R2066" s="24" t="n">
        <f aca="false">IF($P2066=0,0,IF($O2066&lt;=INDEX(PARAMETROS_CULTURAS!$F$6:$F$28,$P2066),INDEX(PARAMETROS_CULTURAS!$K$6:$K$28,$P2066),IF($O2066&lt;=INDEX(PARAMETROS_CULTURAS!$F$6:$F$28,$P2066)+INDEX(PARAMETROS_CULTURAS!$G$6:$G$28,$P2066),INDEX(PARAMETROS_CULTURAS!$K$6:$K$28,$P2066)+(INDEX(PARAMETROS_CULTURAS!$L$6:$L$28,$P2066)-INDEX(PARAMETROS_CULTURAS!$K$6:$K$28,$P2066))*($O2066-INDEX(PARAMETROS_CULTURAS!$F$6:$F$28,$P2066))/MAX(INDEX(PARAMETROS_CULTURAS!$G$6:$G$28,$P2066),0.0001),IF($O2066&lt;=INDEX(PARAMETROS_CULTURAS!$F$6:$F$28,$P2066)+INDEX(PARAMETROS_CULTURAS!$G$6:$G$28,$P2066)+INDEX(PARAMETROS_CULTURAS!$H$6:$H$28,$P2066),INDEX(PARAMETROS_CULTURAS!$L$6:$L$28,$P2066),INDEX(PARAMETROS_CULTURAS!$L$6:$L$28,$P2066)+(INDEX(PARAMETROS_CULTURAS!$M$6:$M$28,$P2066)-INDEX(PARAMETROS_CULTURAS!$L$6:$L$28,$P2066))*($O2066-INDEX(PARAMETROS_CULTURAS!$F$6:$F$28,$P2066)-INDEX(PARAMETROS_CULTURAS!$G$6:$G$28,$P2066)-INDEX(PARAMETROS_CULTURAS!$H$6:$H$28,$P2066))/MAX(INDEX(PARAMETROS_CULTURAS!$I$6:$I$28,$P2066),0.0001)))))</f>
        <v>0.35</v>
      </c>
      <c r="S2066" s="18" t="n">
        <f aca="false">IFERROR(INDEX(SEMANAS!$H$6:$H$71,MATCH($B2066,SEMANAS!$B$6:$B$71,0)),0)</f>
        <v>32.9</v>
      </c>
      <c r="T2066" s="18" t="n">
        <f aca="false">$R2066*$S2066</f>
        <v>11.515</v>
      </c>
      <c r="U2066" s="18" t="n">
        <f aca="false">IFERROR(INDEX(SEMANAS!$I$6:$I$71,MATCH($B2066,SEMANAS!$B$6:$B$71,0)),0)</f>
        <v>48.58</v>
      </c>
      <c r="V2066" s="18" t="n">
        <f aca="false">IFERROR(INDEX(SEMANAS!$J$6:$J$71,MATCH($B2066,SEMANAS!$B$6:$B$71,0)),0)</f>
        <v>38.864</v>
      </c>
      <c r="W2066" s="18" t="n">
        <f aca="false">MAX(0,$T2066-$V2066)</f>
        <v>0</v>
      </c>
      <c r="X2066" s="19" t="n">
        <f aca="false">IFERROR(INDEX(CADASTRO_PIVOS!$K$6:$K$41,MATCH($E2066,CADASTRO_PIVOS!$B$6:$B$41,0)),EFICIENCIA_PADRAO)</f>
        <v>0.85</v>
      </c>
      <c r="Y2066" s="18" t="n">
        <f aca="false">IF($X2066&lt;=0,0,$W2066/$X2066)</f>
        <v>0</v>
      </c>
      <c r="Z2066" s="16" t="n">
        <f aca="false">$Y2066*$H2066*MM_PARA_M3_HA</f>
        <v>0</v>
      </c>
      <c r="AA2066" s="18" t="n">
        <f aca="false">IFERROR(INDEX(CADASTRO_PIVOS!$I$6:$I$41,MATCH($E2066,CADASTRO_PIVOS!$B$6:$B$41,0)),0)</f>
        <v>710.571428571429</v>
      </c>
      <c r="AB2066" s="18" t="n">
        <f aca="false">IF($Z2066&lt;=0,0,$Z2066/$AA2066)</f>
        <v>0</v>
      </c>
      <c r="AC2066" s="16" t="n">
        <f aca="false">IFERROR(INDEX(SEMANAS!$K$6:$K$71,MATCH($B2066,SEMANAS!$B$6:$B$71,0)),0)</f>
        <v>147</v>
      </c>
      <c r="AD2066" s="19" t="n">
        <f aca="false">IF($AC2066&lt;=0,0,$AB2066/$AC2066)</f>
        <v>0</v>
      </c>
      <c r="AE2066" s="8" t="str">
        <f aca="false">IF($K2066="SEM CULTURA","SEM CULTURA",IF($AA2066&lt;=0,"DADO PENDENTE",IF($AD2066&gt;LIMITE_CRITICO,"INVIAVEL",IF($AD2066&gt;LIMITE_ATENCAO,"CRITICO",IF($AD2066&gt;LIMITE_CONFORTAVEL,"ATENCAO","OK")))))</f>
        <v>OK</v>
      </c>
      <c r="AF2066" s="8" t="str">
        <f aca="false">$B2066&amp;"|"&amp;TEXT($AD2066,"0.000000")</f>
        <v>15|0.000000</v>
      </c>
      <c r="AG2066" s="18" t="n">
        <f aca="false">IF($K2066="SEM CULTURA",0,$T2066*$H2066)</f>
        <v>1145.5122</v>
      </c>
      <c r="AH2066" s="18" t="n">
        <f aca="false">IF($K2066="SEM CULTURA",0,$V2066*$H2066)</f>
        <v>3866.19072</v>
      </c>
      <c r="AI2066" s="18" t="n">
        <f aca="false">IF($K2066="SEM CULTURA",0,$W2066*$H2066)</f>
        <v>0</v>
      </c>
      <c r="AJ2066" s="18" t="n">
        <f aca="false">IF($K2066="SEM CULTURA",0,$S2066*$H2066)</f>
        <v>3272.892</v>
      </c>
      <c r="AK2066" s="8" t="str">
        <f aca="false">$E2066&amp;"|"&amp;TEXT($AD2066,"0.000000")</f>
        <v>PV 133|0.000000</v>
      </c>
    </row>
    <row r="2067" customFormat="false" ht="15" hidden="false" customHeight="false" outlineLevel="0" collapsed="false">
      <c r="B2067" s="16" t="n">
        <v>16</v>
      </c>
      <c r="C2067" s="17" t="n">
        <f aca="false">DATA_INICIO_SAFRA+($B2067-1)*DIAS_POR_SEMANA</f>
        <v>46370</v>
      </c>
      <c r="D2067" s="17" t="n">
        <f aca="false">$C2067+DIAS_POR_SEMANA-1</f>
        <v>46376</v>
      </c>
      <c r="E2067" s="15" t="s">
        <v>290</v>
      </c>
      <c r="F2067" s="8" t="str">
        <f aca="false">IFERROR(INDEX(CADASTRO_PIVOS!$C$6:$C$41,MATCH($E2067,CADASTRO_PIVOS!$B$6:$B$41,0)),"?")</f>
        <v>RM07</v>
      </c>
      <c r="G2067" s="8" t="str">
        <f aca="false">IFERROR(INDEX(CADASTRO_PIVOS!$D$6:$D$41,MATCH($E2067,CADASTRO_PIVOS!$B$6:$B$41,0)),"?")</f>
        <v>TR07</v>
      </c>
      <c r="H2067" s="20" t="n">
        <f aca="false">IFERROR(INDEX(CADASTRO_PIVOS!$E$6:$E$41,MATCH($E2067,CADASTRO_PIVOS!$B$6:$B$41,0)),0)</f>
        <v>99.48</v>
      </c>
      <c r="I2067" s="16" t="n">
        <f aca="false">IFERROR(SUMIFS(ROTACAO_RDM!$B$6:$B$71,ROTACAO_RDM!$D$6:$D$71,$E2067,ROTACAO_RDM!$I$6:$I$71,"&lt;="&amp;$C2067+INT(DIAS_POR_SEMANA/2),ROTACAO_RDM!$J$6:$J$71,"&gt;="&amp;$C2067+INT(DIAS_POR_SEMANA/2)),0)</f>
        <v>66</v>
      </c>
      <c r="J2067" s="16" t="n">
        <f aca="false">IFERROR(MATCH($I2067,ROTACAO_RDM!$B$6:$B$71,0),0)</f>
        <v>66</v>
      </c>
      <c r="K2067" s="8" t="str">
        <f aca="false">IF($J2067=0,"SEM CULTURA",INDEX(ROTACAO_RDM!$F$6:$F$71,$J2067))</f>
        <v>ALGODAO</v>
      </c>
      <c r="L2067" s="8" t="str">
        <f aca="false">IF($J2067=0,"",INDEX(ROTACAO_RDM!$G$6:$G$71,$J2067))</f>
        <v>FM 974 GLT</v>
      </c>
      <c r="M2067" s="17" t="n">
        <f aca="false">IF($J2067=0,"",INDEX(ROTACAO_RDM!$I$6:$I$71,$J2067))</f>
        <v>46357</v>
      </c>
      <c r="N2067" s="16" t="n">
        <f aca="false">IF($J2067=0,0,MAX(0,$C2067+INT(DIAS_POR_SEMANA/2)-INDEX(ROTACAO_RDM!$I$6:$I$71,$J2067)))</f>
        <v>16</v>
      </c>
      <c r="O2067" s="19" t="n">
        <f aca="false">IF($J2067=0,0,MIN(1,$N2067/MAX(1,INDEX(ROTACAO_RDM!$K$6:$K$71,$J2067))))</f>
        <v>0.0820512820512821</v>
      </c>
      <c r="P2067" s="16" t="n">
        <f aca="false">IF($J2067=0,0,IFERROR(MATCH(INDEX(ROTACAO_RDM!$N$6:$N$71,$J2067),PARAMETROS_CULTURAS!$B$6:$B$28,0),0))</f>
        <v>5</v>
      </c>
      <c r="Q2067" s="8" t="str">
        <f aca="false">IF($P2067=0,"-",IF($O2067&lt;=INDEX(PARAMETROS_CULTURAS!$F$6:$F$28,$P2067),"INICIAL",IF($O2067&lt;=INDEX(PARAMETROS_CULTURAS!$F$6:$F$28,$P2067)+INDEX(PARAMETROS_CULTURAS!$G$6:$G$28,$P2067),"DESENVOLVIMENTO",IF($O2067&lt;=INDEX(PARAMETROS_CULTURAS!$F$6:$F$28,$P2067)+INDEX(PARAMETROS_CULTURAS!$G$6:$G$28,$P2067)+INDEX(PARAMETROS_CULTURAS!$H$6:$H$28,$P2067),"MEDIA","FINAL"))))</f>
        <v>INICIAL</v>
      </c>
      <c r="R2067" s="24" t="n">
        <f aca="false">IF($P2067=0,0,IF($O2067&lt;=INDEX(PARAMETROS_CULTURAS!$F$6:$F$28,$P2067),INDEX(PARAMETROS_CULTURAS!$K$6:$K$28,$P2067),IF($O2067&lt;=INDEX(PARAMETROS_CULTURAS!$F$6:$F$28,$P2067)+INDEX(PARAMETROS_CULTURAS!$G$6:$G$28,$P2067),INDEX(PARAMETROS_CULTURAS!$K$6:$K$28,$P2067)+(INDEX(PARAMETROS_CULTURAS!$L$6:$L$28,$P2067)-INDEX(PARAMETROS_CULTURAS!$K$6:$K$28,$P2067))*($O2067-INDEX(PARAMETROS_CULTURAS!$F$6:$F$28,$P2067))/MAX(INDEX(PARAMETROS_CULTURAS!$G$6:$G$28,$P2067),0.0001),IF($O2067&lt;=INDEX(PARAMETROS_CULTURAS!$F$6:$F$28,$P2067)+INDEX(PARAMETROS_CULTURAS!$G$6:$G$28,$P2067)+INDEX(PARAMETROS_CULTURAS!$H$6:$H$28,$P2067),INDEX(PARAMETROS_CULTURAS!$L$6:$L$28,$P2067),INDEX(PARAMETROS_CULTURAS!$L$6:$L$28,$P2067)+(INDEX(PARAMETROS_CULTURAS!$M$6:$M$28,$P2067)-INDEX(PARAMETROS_CULTURAS!$L$6:$L$28,$P2067))*($O2067-INDEX(PARAMETROS_CULTURAS!$F$6:$F$28,$P2067)-INDEX(PARAMETROS_CULTURAS!$G$6:$G$28,$P2067)-INDEX(PARAMETROS_CULTURAS!$H$6:$H$28,$P2067))/MAX(INDEX(PARAMETROS_CULTURAS!$I$6:$I$28,$P2067),0.0001)))))</f>
        <v>0.35</v>
      </c>
      <c r="S2067" s="18" t="n">
        <f aca="false">IFERROR(INDEX(SEMANAS!$H$6:$H$71,MATCH($B2067,SEMANAS!$B$6:$B$71,0)),0)</f>
        <v>32.9</v>
      </c>
      <c r="T2067" s="18" t="n">
        <f aca="false">$R2067*$S2067</f>
        <v>11.515</v>
      </c>
      <c r="U2067" s="18" t="n">
        <f aca="false">IFERROR(INDEX(SEMANAS!$I$6:$I$71,MATCH($B2067,SEMANAS!$B$6:$B$71,0)),0)</f>
        <v>48.58</v>
      </c>
      <c r="V2067" s="18" t="n">
        <f aca="false">IFERROR(INDEX(SEMANAS!$J$6:$J$71,MATCH($B2067,SEMANAS!$B$6:$B$71,0)),0)</f>
        <v>38.864</v>
      </c>
      <c r="W2067" s="18" t="n">
        <f aca="false">MAX(0,$T2067-$V2067)</f>
        <v>0</v>
      </c>
      <c r="X2067" s="19" t="n">
        <f aca="false">IFERROR(INDEX(CADASTRO_PIVOS!$K$6:$K$41,MATCH($E2067,CADASTRO_PIVOS!$B$6:$B$41,0)),EFICIENCIA_PADRAO)</f>
        <v>0.85</v>
      </c>
      <c r="Y2067" s="18" t="n">
        <f aca="false">IF($X2067&lt;=0,0,$W2067/$X2067)</f>
        <v>0</v>
      </c>
      <c r="Z2067" s="16" t="n">
        <f aca="false">$Y2067*$H2067*MM_PARA_M3_HA</f>
        <v>0</v>
      </c>
      <c r="AA2067" s="18" t="n">
        <f aca="false">IFERROR(INDEX(CADASTRO_PIVOS!$I$6:$I$41,MATCH($E2067,CADASTRO_PIVOS!$B$6:$B$41,0)),0)</f>
        <v>710.571428571429</v>
      </c>
      <c r="AB2067" s="18" t="n">
        <f aca="false">IF($Z2067&lt;=0,0,$Z2067/$AA2067)</f>
        <v>0</v>
      </c>
      <c r="AC2067" s="16" t="n">
        <f aca="false">IFERROR(INDEX(SEMANAS!$K$6:$K$71,MATCH($B2067,SEMANAS!$B$6:$B$71,0)),0)</f>
        <v>147</v>
      </c>
      <c r="AD2067" s="19" t="n">
        <f aca="false">IF($AC2067&lt;=0,0,$AB2067/$AC2067)</f>
        <v>0</v>
      </c>
      <c r="AE2067" s="8" t="str">
        <f aca="false">IF($K2067="SEM CULTURA","SEM CULTURA",IF($AA2067&lt;=0,"DADO PENDENTE",IF($AD2067&gt;LIMITE_CRITICO,"INVIAVEL",IF($AD2067&gt;LIMITE_ATENCAO,"CRITICO",IF($AD2067&gt;LIMITE_CONFORTAVEL,"ATENCAO","OK")))))</f>
        <v>OK</v>
      </c>
      <c r="AF2067" s="8" t="str">
        <f aca="false">$B2067&amp;"|"&amp;TEXT($AD2067,"0.000000")</f>
        <v>16|0.000000</v>
      </c>
      <c r="AG2067" s="18" t="n">
        <f aca="false">IF($K2067="SEM CULTURA",0,$T2067*$H2067)</f>
        <v>1145.5122</v>
      </c>
      <c r="AH2067" s="18" t="n">
        <f aca="false">IF($K2067="SEM CULTURA",0,$V2067*$H2067)</f>
        <v>3866.19072</v>
      </c>
      <c r="AI2067" s="18" t="n">
        <f aca="false">IF($K2067="SEM CULTURA",0,$W2067*$H2067)</f>
        <v>0</v>
      </c>
      <c r="AJ2067" s="18" t="n">
        <f aca="false">IF($K2067="SEM CULTURA",0,$S2067*$H2067)</f>
        <v>3272.892</v>
      </c>
      <c r="AK2067" s="8" t="str">
        <f aca="false">$E2067&amp;"|"&amp;TEXT($AD2067,"0.000000")</f>
        <v>PV 133|0.000000</v>
      </c>
    </row>
    <row r="2068" customFormat="false" ht="15" hidden="false" customHeight="false" outlineLevel="0" collapsed="false">
      <c r="B2068" s="16" t="n">
        <v>17</v>
      </c>
      <c r="C2068" s="17" t="n">
        <f aca="false">DATA_INICIO_SAFRA+($B2068-1)*DIAS_POR_SEMANA</f>
        <v>46377</v>
      </c>
      <c r="D2068" s="17" t="n">
        <f aca="false">$C2068+DIAS_POR_SEMANA-1</f>
        <v>46383</v>
      </c>
      <c r="E2068" s="15" t="s">
        <v>290</v>
      </c>
      <c r="F2068" s="8" t="str">
        <f aca="false">IFERROR(INDEX(CADASTRO_PIVOS!$C$6:$C$41,MATCH($E2068,CADASTRO_PIVOS!$B$6:$B$41,0)),"?")</f>
        <v>RM07</v>
      </c>
      <c r="G2068" s="8" t="str">
        <f aca="false">IFERROR(INDEX(CADASTRO_PIVOS!$D$6:$D$41,MATCH($E2068,CADASTRO_PIVOS!$B$6:$B$41,0)),"?")</f>
        <v>TR07</v>
      </c>
      <c r="H2068" s="20" t="n">
        <f aca="false">IFERROR(INDEX(CADASTRO_PIVOS!$E$6:$E$41,MATCH($E2068,CADASTRO_PIVOS!$B$6:$B$41,0)),0)</f>
        <v>99.48</v>
      </c>
      <c r="I2068" s="16" t="n">
        <f aca="false">IFERROR(SUMIFS(ROTACAO_RDM!$B$6:$B$71,ROTACAO_RDM!$D$6:$D$71,$E2068,ROTACAO_RDM!$I$6:$I$71,"&lt;="&amp;$C2068+INT(DIAS_POR_SEMANA/2),ROTACAO_RDM!$J$6:$J$71,"&gt;="&amp;$C2068+INT(DIAS_POR_SEMANA/2)),0)</f>
        <v>66</v>
      </c>
      <c r="J2068" s="16" t="n">
        <f aca="false">IFERROR(MATCH($I2068,ROTACAO_RDM!$B$6:$B$71,0),0)</f>
        <v>66</v>
      </c>
      <c r="K2068" s="8" t="str">
        <f aca="false">IF($J2068=0,"SEM CULTURA",INDEX(ROTACAO_RDM!$F$6:$F$71,$J2068))</f>
        <v>ALGODAO</v>
      </c>
      <c r="L2068" s="8" t="str">
        <f aca="false">IF($J2068=0,"",INDEX(ROTACAO_RDM!$G$6:$G$71,$J2068))</f>
        <v>FM 974 GLT</v>
      </c>
      <c r="M2068" s="17" t="n">
        <f aca="false">IF($J2068=0,"",INDEX(ROTACAO_RDM!$I$6:$I$71,$J2068))</f>
        <v>46357</v>
      </c>
      <c r="N2068" s="16" t="n">
        <f aca="false">IF($J2068=0,0,MAX(0,$C2068+INT(DIAS_POR_SEMANA/2)-INDEX(ROTACAO_RDM!$I$6:$I$71,$J2068)))</f>
        <v>23</v>
      </c>
      <c r="O2068" s="19" t="n">
        <f aca="false">IF($J2068=0,0,MIN(1,$N2068/MAX(1,INDEX(ROTACAO_RDM!$K$6:$K$71,$J2068))))</f>
        <v>0.117948717948718</v>
      </c>
      <c r="P2068" s="16" t="n">
        <f aca="false">IF($J2068=0,0,IFERROR(MATCH(INDEX(ROTACAO_RDM!$N$6:$N$71,$J2068),PARAMETROS_CULTURAS!$B$6:$B$28,0),0))</f>
        <v>5</v>
      </c>
      <c r="Q2068" s="8" t="str">
        <f aca="false">IF($P2068=0,"-",IF($O2068&lt;=INDEX(PARAMETROS_CULTURAS!$F$6:$F$28,$P2068),"INICIAL",IF($O2068&lt;=INDEX(PARAMETROS_CULTURAS!$F$6:$F$28,$P2068)+INDEX(PARAMETROS_CULTURAS!$G$6:$G$28,$P2068),"DESENVOLVIMENTO",IF($O2068&lt;=INDEX(PARAMETROS_CULTURAS!$F$6:$F$28,$P2068)+INDEX(PARAMETROS_CULTURAS!$G$6:$G$28,$P2068)+INDEX(PARAMETROS_CULTURAS!$H$6:$H$28,$P2068),"MEDIA","FINAL"))))</f>
        <v>INICIAL</v>
      </c>
      <c r="R2068" s="24" t="n">
        <f aca="false">IF($P2068=0,0,IF($O2068&lt;=INDEX(PARAMETROS_CULTURAS!$F$6:$F$28,$P2068),INDEX(PARAMETROS_CULTURAS!$K$6:$K$28,$P2068),IF($O2068&lt;=INDEX(PARAMETROS_CULTURAS!$F$6:$F$28,$P2068)+INDEX(PARAMETROS_CULTURAS!$G$6:$G$28,$P2068),INDEX(PARAMETROS_CULTURAS!$K$6:$K$28,$P2068)+(INDEX(PARAMETROS_CULTURAS!$L$6:$L$28,$P2068)-INDEX(PARAMETROS_CULTURAS!$K$6:$K$28,$P2068))*($O2068-INDEX(PARAMETROS_CULTURAS!$F$6:$F$28,$P2068))/MAX(INDEX(PARAMETROS_CULTURAS!$G$6:$G$28,$P2068),0.0001),IF($O2068&lt;=INDEX(PARAMETROS_CULTURAS!$F$6:$F$28,$P2068)+INDEX(PARAMETROS_CULTURAS!$G$6:$G$28,$P2068)+INDEX(PARAMETROS_CULTURAS!$H$6:$H$28,$P2068),INDEX(PARAMETROS_CULTURAS!$L$6:$L$28,$P2068),INDEX(PARAMETROS_CULTURAS!$L$6:$L$28,$P2068)+(INDEX(PARAMETROS_CULTURAS!$M$6:$M$28,$P2068)-INDEX(PARAMETROS_CULTURAS!$L$6:$L$28,$P2068))*($O2068-INDEX(PARAMETROS_CULTURAS!$F$6:$F$28,$P2068)-INDEX(PARAMETROS_CULTURAS!$G$6:$G$28,$P2068)-INDEX(PARAMETROS_CULTURAS!$H$6:$H$28,$P2068))/MAX(INDEX(PARAMETROS_CULTURAS!$I$6:$I$28,$P2068),0.0001)))))</f>
        <v>0.35</v>
      </c>
      <c r="S2068" s="18" t="n">
        <f aca="false">IFERROR(INDEX(SEMANAS!$H$6:$H$71,MATCH($B2068,SEMANAS!$B$6:$B$71,0)),0)</f>
        <v>32.9</v>
      </c>
      <c r="T2068" s="18" t="n">
        <f aca="false">$R2068*$S2068</f>
        <v>11.515</v>
      </c>
      <c r="U2068" s="18" t="n">
        <f aca="false">IFERROR(INDEX(SEMANAS!$I$6:$I$71,MATCH($B2068,SEMANAS!$B$6:$B$71,0)),0)</f>
        <v>48.58</v>
      </c>
      <c r="V2068" s="18" t="n">
        <f aca="false">IFERROR(INDEX(SEMANAS!$J$6:$J$71,MATCH($B2068,SEMANAS!$B$6:$B$71,0)),0)</f>
        <v>38.864</v>
      </c>
      <c r="W2068" s="18" t="n">
        <f aca="false">MAX(0,$T2068-$V2068)</f>
        <v>0</v>
      </c>
      <c r="X2068" s="19" t="n">
        <f aca="false">IFERROR(INDEX(CADASTRO_PIVOS!$K$6:$K$41,MATCH($E2068,CADASTRO_PIVOS!$B$6:$B$41,0)),EFICIENCIA_PADRAO)</f>
        <v>0.85</v>
      </c>
      <c r="Y2068" s="18" t="n">
        <f aca="false">IF($X2068&lt;=0,0,$W2068/$X2068)</f>
        <v>0</v>
      </c>
      <c r="Z2068" s="16" t="n">
        <f aca="false">$Y2068*$H2068*MM_PARA_M3_HA</f>
        <v>0</v>
      </c>
      <c r="AA2068" s="18" t="n">
        <f aca="false">IFERROR(INDEX(CADASTRO_PIVOS!$I$6:$I$41,MATCH($E2068,CADASTRO_PIVOS!$B$6:$B$41,0)),0)</f>
        <v>710.571428571429</v>
      </c>
      <c r="AB2068" s="18" t="n">
        <f aca="false">IF($Z2068&lt;=0,0,$Z2068/$AA2068)</f>
        <v>0</v>
      </c>
      <c r="AC2068" s="16" t="n">
        <f aca="false">IFERROR(INDEX(SEMANAS!$K$6:$K$71,MATCH($B2068,SEMANAS!$B$6:$B$71,0)),0)</f>
        <v>147</v>
      </c>
      <c r="AD2068" s="19" t="n">
        <f aca="false">IF($AC2068&lt;=0,0,$AB2068/$AC2068)</f>
        <v>0</v>
      </c>
      <c r="AE2068" s="8" t="str">
        <f aca="false">IF($K2068="SEM CULTURA","SEM CULTURA",IF($AA2068&lt;=0,"DADO PENDENTE",IF($AD2068&gt;LIMITE_CRITICO,"INVIAVEL",IF($AD2068&gt;LIMITE_ATENCAO,"CRITICO",IF($AD2068&gt;LIMITE_CONFORTAVEL,"ATENCAO","OK")))))</f>
        <v>OK</v>
      </c>
      <c r="AF2068" s="8" t="str">
        <f aca="false">$B2068&amp;"|"&amp;TEXT($AD2068,"0.000000")</f>
        <v>17|0.000000</v>
      </c>
      <c r="AG2068" s="18" t="n">
        <f aca="false">IF($K2068="SEM CULTURA",0,$T2068*$H2068)</f>
        <v>1145.5122</v>
      </c>
      <c r="AH2068" s="18" t="n">
        <f aca="false">IF($K2068="SEM CULTURA",0,$V2068*$H2068)</f>
        <v>3866.19072</v>
      </c>
      <c r="AI2068" s="18" t="n">
        <f aca="false">IF($K2068="SEM CULTURA",0,$W2068*$H2068)</f>
        <v>0</v>
      </c>
      <c r="AJ2068" s="18" t="n">
        <f aca="false">IF($K2068="SEM CULTURA",0,$S2068*$H2068)</f>
        <v>3272.892</v>
      </c>
      <c r="AK2068" s="8" t="str">
        <f aca="false">$E2068&amp;"|"&amp;TEXT($AD2068,"0.000000")</f>
        <v>PV 133|0.000000</v>
      </c>
    </row>
    <row r="2069" customFormat="false" ht="15" hidden="false" customHeight="false" outlineLevel="0" collapsed="false">
      <c r="B2069" s="16" t="n">
        <v>18</v>
      </c>
      <c r="C2069" s="17" t="n">
        <f aca="false">DATA_INICIO_SAFRA+($B2069-1)*DIAS_POR_SEMANA</f>
        <v>46384</v>
      </c>
      <c r="D2069" s="17" t="n">
        <f aca="false">$C2069+DIAS_POR_SEMANA-1</f>
        <v>46390</v>
      </c>
      <c r="E2069" s="15" t="s">
        <v>290</v>
      </c>
      <c r="F2069" s="8" t="str">
        <f aca="false">IFERROR(INDEX(CADASTRO_PIVOS!$C$6:$C$41,MATCH($E2069,CADASTRO_PIVOS!$B$6:$B$41,0)),"?")</f>
        <v>RM07</v>
      </c>
      <c r="G2069" s="8" t="str">
        <f aca="false">IFERROR(INDEX(CADASTRO_PIVOS!$D$6:$D$41,MATCH($E2069,CADASTRO_PIVOS!$B$6:$B$41,0)),"?")</f>
        <v>TR07</v>
      </c>
      <c r="H2069" s="20" t="n">
        <f aca="false">IFERROR(INDEX(CADASTRO_PIVOS!$E$6:$E$41,MATCH($E2069,CADASTRO_PIVOS!$B$6:$B$41,0)),0)</f>
        <v>99.48</v>
      </c>
      <c r="I2069" s="16" t="n">
        <f aca="false">IFERROR(SUMIFS(ROTACAO_RDM!$B$6:$B$71,ROTACAO_RDM!$D$6:$D$71,$E2069,ROTACAO_RDM!$I$6:$I$71,"&lt;="&amp;$C2069+INT(DIAS_POR_SEMANA/2),ROTACAO_RDM!$J$6:$J$71,"&gt;="&amp;$C2069+INT(DIAS_POR_SEMANA/2)),0)</f>
        <v>66</v>
      </c>
      <c r="J2069" s="16" t="n">
        <f aca="false">IFERROR(MATCH($I2069,ROTACAO_RDM!$B$6:$B$71,0),0)</f>
        <v>66</v>
      </c>
      <c r="K2069" s="8" t="str">
        <f aca="false">IF($J2069=0,"SEM CULTURA",INDEX(ROTACAO_RDM!$F$6:$F$71,$J2069))</f>
        <v>ALGODAO</v>
      </c>
      <c r="L2069" s="8" t="str">
        <f aca="false">IF($J2069=0,"",INDEX(ROTACAO_RDM!$G$6:$G$71,$J2069))</f>
        <v>FM 974 GLT</v>
      </c>
      <c r="M2069" s="17" t="n">
        <f aca="false">IF($J2069=0,"",INDEX(ROTACAO_RDM!$I$6:$I$71,$J2069))</f>
        <v>46357</v>
      </c>
      <c r="N2069" s="16" t="n">
        <f aca="false">IF($J2069=0,0,MAX(0,$C2069+INT(DIAS_POR_SEMANA/2)-INDEX(ROTACAO_RDM!$I$6:$I$71,$J2069)))</f>
        <v>30</v>
      </c>
      <c r="O2069" s="19" t="n">
        <f aca="false">IF($J2069=0,0,MIN(1,$N2069/MAX(1,INDEX(ROTACAO_RDM!$K$6:$K$71,$J2069))))</f>
        <v>0.153846153846154</v>
      </c>
      <c r="P2069" s="16" t="n">
        <f aca="false">IF($J2069=0,0,IFERROR(MATCH(INDEX(ROTACAO_RDM!$N$6:$N$71,$J2069),PARAMETROS_CULTURAS!$B$6:$B$28,0),0))</f>
        <v>5</v>
      </c>
      <c r="Q2069" s="8" t="str">
        <f aca="false">IF($P2069=0,"-",IF($O2069&lt;=INDEX(PARAMETROS_CULTURAS!$F$6:$F$28,$P2069),"INICIAL",IF($O2069&lt;=INDEX(PARAMETROS_CULTURAS!$F$6:$F$28,$P2069)+INDEX(PARAMETROS_CULTURAS!$G$6:$G$28,$P2069),"DESENVOLVIMENTO",IF($O2069&lt;=INDEX(PARAMETROS_CULTURAS!$F$6:$F$28,$P2069)+INDEX(PARAMETROS_CULTURAS!$G$6:$G$28,$P2069)+INDEX(PARAMETROS_CULTURAS!$H$6:$H$28,$P2069),"MEDIA","FINAL"))))</f>
        <v>DESENVOLVIMENTO</v>
      </c>
      <c r="R2069" s="24" t="n">
        <f aca="false">IF($P2069=0,0,IF($O2069&lt;=INDEX(PARAMETROS_CULTURAS!$F$6:$F$28,$P2069),INDEX(PARAMETROS_CULTURAS!$K$6:$K$28,$P2069),IF($O2069&lt;=INDEX(PARAMETROS_CULTURAS!$F$6:$F$28,$P2069)+INDEX(PARAMETROS_CULTURAS!$G$6:$G$28,$P2069),INDEX(PARAMETROS_CULTURAS!$K$6:$K$28,$P2069)+(INDEX(PARAMETROS_CULTURAS!$L$6:$L$28,$P2069)-INDEX(PARAMETROS_CULTURAS!$K$6:$K$28,$P2069))*($O2069-INDEX(PARAMETROS_CULTURAS!$F$6:$F$28,$P2069))/MAX(INDEX(PARAMETROS_CULTURAS!$G$6:$G$28,$P2069),0.0001),IF($O2069&lt;=INDEX(PARAMETROS_CULTURAS!$F$6:$F$28,$P2069)+INDEX(PARAMETROS_CULTURAS!$G$6:$G$28,$P2069)+INDEX(PARAMETROS_CULTURAS!$H$6:$H$28,$P2069),INDEX(PARAMETROS_CULTURAS!$L$6:$L$28,$P2069),INDEX(PARAMETROS_CULTURAS!$L$6:$L$28,$P2069)+(INDEX(PARAMETROS_CULTURAS!$M$6:$M$28,$P2069)-INDEX(PARAMETROS_CULTURAS!$L$6:$L$28,$P2069))*($O2069-INDEX(PARAMETROS_CULTURAS!$F$6:$F$28,$P2069)-INDEX(PARAMETROS_CULTURAS!$G$6:$G$28,$P2069)-INDEX(PARAMETROS_CULTURAS!$H$6:$H$28,$P2069))/MAX(INDEX(PARAMETROS_CULTURAS!$I$6:$I$28,$P2069),0.0001)))))</f>
        <v>0.361834319526627</v>
      </c>
      <c r="S2069" s="18" t="n">
        <f aca="false">IFERROR(INDEX(SEMANAS!$H$6:$H$71,MATCH($B2069,SEMANAS!$B$6:$B$71,0)),0)</f>
        <v>33.2</v>
      </c>
      <c r="T2069" s="18" t="n">
        <f aca="false">$R2069*$S2069</f>
        <v>12.012899408284</v>
      </c>
      <c r="U2069" s="18" t="n">
        <f aca="false">IFERROR(INDEX(SEMANAS!$I$6:$I$71,MATCH($B2069,SEMANAS!$B$6:$B$71,0)),0)</f>
        <v>47.11</v>
      </c>
      <c r="V2069" s="18" t="n">
        <f aca="false">IFERROR(INDEX(SEMANAS!$J$6:$J$71,MATCH($B2069,SEMANAS!$B$6:$B$71,0)),0)</f>
        <v>37.688</v>
      </c>
      <c r="W2069" s="18" t="n">
        <f aca="false">MAX(0,$T2069-$V2069)</f>
        <v>0</v>
      </c>
      <c r="X2069" s="19" t="n">
        <f aca="false">IFERROR(INDEX(CADASTRO_PIVOS!$K$6:$K$41,MATCH($E2069,CADASTRO_PIVOS!$B$6:$B$41,0)),EFICIENCIA_PADRAO)</f>
        <v>0.85</v>
      </c>
      <c r="Y2069" s="18" t="n">
        <f aca="false">IF($X2069&lt;=0,0,$W2069/$X2069)</f>
        <v>0</v>
      </c>
      <c r="Z2069" s="16" t="n">
        <f aca="false">$Y2069*$H2069*MM_PARA_M3_HA</f>
        <v>0</v>
      </c>
      <c r="AA2069" s="18" t="n">
        <f aca="false">IFERROR(INDEX(CADASTRO_PIVOS!$I$6:$I$41,MATCH($E2069,CADASTRO_PIVOS!$B$6:$B$41,0)),0)</f>
        <v>710.571428571429</v>
      </c>
      <c r="AB2069" s="18" t="n">
        <f aca="false">IF($Z2069&lt;=0,0,$Z2069/$AA2069)</f>
        <v>0</v>
      </c>
      <c r="AC2069" s="16" t="n">
        <f aca="false">IFERROR(INDEX(SEMANAS!$K$6:$K$71,MATCH($B2069,SEMANAS!$B$6:$B$71,0)),0)</f>
        <v>147</v>
      </c>
      <c r="AD2069" s="19" t="n">
        <f aca="false">IF($AC2069&lt;=0,0,$AB2069/$AC2069)</f>
        <v>0</v>
      </c>
      <c r="AE2069" s="8" t="str">
        <f aca="false">IF($K2069="SEM CULTURA","SEM CULTURA",IF($AA2069&lt;=0,"DADO PENDENTE",IF($AD2069&gt;LIMITE_CRITICO,"INVIAVEL",IF($AD2069&gt;LIMITE_ATENCAO,"CRITICO",IF($AD2069&gt;LIMITE_CONFORTAVEL,"ATENCAO","OK")))))</f>
        <v>OK</v>
      </c>
      <c r="AF2069" s="8" t="str">
        <f aca="false">$B2069&amp;"|"&amp;TEXT($AD2069,"0.000000")</f>
        <v>18|0.000000</v>
      </c>
      <c r="AG2069" s="18" t="n">
        <f aca="false">IF($K2069="SEM CULTURA",0,$T2069*$H2069)</f>
        <v>1195.0432331361</v>
      </c>
      <c r="AH2069" s="18" t="n">
        <f aca="false">IF($K2069="SEM CULTURA",0,$V2069*$H2069)</f>
        <v>3749.20224</v>
      </c>
      <c r="AI2069" s="18" t="n">
        <f aca="false">IF($K2069="SEM CULTURA",0,$W2069*$H2069)</f>
        <v>0</v>
      </c>
      <c r="AJ2069" s="18" t="n">
        <f aca="false">IF($K2069="SEM CULTURA",0,$S2069*$H2069)</f>
        <v>3302.736</v>
      </c>
      <c r="AK2069" s="8" t="str">
        <f aca="false">$E2069&amp;"|"&amp;TEXT($AD2069,"0.000000")</f>
        <v>PV 133|0.000000</v>
      </c>
    </row>
    <row r="2070" customFormat="false" ht="15" hidden="false" customHeight="false" outlineLevel="0" collapsed="false">
      <c r="B2070" s="16" t="n">
        <v>19</v>
      </c>
      <c r="C2070" s="17" t="n">
        <f aca="false">DATA_INICIO_SAFRA+($B2070-1)*DIAS_POR_SEMANA</f>
        <v>46391</v>
      </c>
      <c r="D2070" s="17" t="n">
        <f aca="false">$C2070+DIAS_POR_SEMANA-1</f>
        <v>46397</v>
      </c>
      <c r="E2070" s="15" t="s">
        <v>290</v>
      </c>
      <c r="F2070" s="8" t="str">
        <f aca="false">IFERROR(INDEX(CADASTRO_PIVOS!$C$6:$C$41,MATCH($E2070,CADASTRO_PIVOS!$B$6:$B$41,0)),"?")</f>
        <v>RM07</v>
      </c>
      <c r="G2070" s="8" t="str">
        <f aca="false">IFERROR(INDEX(CADASTRO_PIVOS!$D$6:$D$41,MATCH($E2070,CADASTRO_PIVOS!$B$6:$B$41,0)),"?")</f>
        <v>TR07</v>
      </c>
      <c r="H2070" s="20" t="n">
        <f aca="false">IFERROR(INDEX(CADASTRO_PIVOS!$E$6:$E$41,MATCH($E2070,CADASTRO_PIVOS!$B$6:$B$41,0)),0)</f>
        <v>99.48</v>
      </c>
      <c r="I2070" s="16" t="n">
        <f aca="false">IFERROR(SUMIFS(ROTACAO_RDM!$B$6:$B$71,ROTACAO_RDM!$D$6:$D$71,$E2070,ROTACAO_RDM!$I$6:$I$71,"&lt;="&amp;$C2070+INT(DIAS_POR_SEMANA/2),ROTACAO_RDM!$J$6:$J$71,"&gt;="&amp;$C2070+INT(DIAS_POR_SEMANA/2)),0)</f>
        <v>66</v>
      </c>
      <c r="J2070" s="16" t="n">
        <f aca="false">IFERROR(MATCH($I2070,ROTACAO_RDM!$B$6:$B$71,0),0)</f>
        <v>66</v>
      </c>
      <c r="K2070" s="8" t="str">
        <f aca="false">IF($J2070=0,"SEM CULTURA",INDEX(ROTACAO_RDM!$F$6:$F$71,$J2070))</f>
        <v>ALGODAO</v>
      </c>
      <c r="L2070" s="8" t="str">
        <f aca="false">IF($J2070=0,"",INDEX(ROTACAO_RDM!$G$6:$G$71,$J2070))</f>
        <v>FM 974 GLT</v>
      </c>
      <c r="M2070" s="17" t="n">
        <f aca="false">IF($J2070=0,"",INDEX(ROTACAO_RDM!$I$6:$I$71,$J2070))</f>
        <v>46357</v>
      </c>
      <c r="N2070" s="16" t="n">
        <f aca="false">IF($J2070=0,0,MAX(0,$C2070+INT(DIAS_POR_SEMANA/2)-INDEX(ROTACAO_RDM!$I$6:$I$71,$J2070)))</f>
        <v>37</v>
      </c>
      <c r="O2070" s="19" t="n">
        <f aca="false">IF($J2070=0,0,MIN(1,$N2070/MAX(1,INDEX(ROTACAO_RDM!$K$6:$K$71,$J2070))))</f>
        <v>0.18974358974359</v>
      </c>
      <c r="P2070" s="16" t="n">
        <f aca="false">IF($J2070=0,0,IFERROR(MATCH(INDEX(ROTACAO_RDM!$N$6:$N$71,$J2070),PARAMETROS_CULTURAS!$B$6:$B$28,0),0))</f>
        <v>5</v>
      </c>
      <c r="Q2070" s="8" t="str">
        <f aca="false">IF($P2070=0,"-",IF($O2070&lt;=INDEX(PARAMETROS_CULTURAS!$F$6:$F$28,$P2070),"INICIAL",IF($O2070&lt;=INDEX(PARAMETROS_CULTURAS!$F$6:$F$28,$P2070)+INDEX(PARAMETROS_CULTURAS!$G$6:$G$28,$P2070),"DESENVOLVIMENTO",IF($O2070&lt;=INDEX(PARAMETROS_CULTURAS!$F$6:$F$28,$P2070)+INDEX(PARAMETROS_CULTURAS!$G$6:$G$28,$P2070)+INDEX(PARAMETROS_CULTURAS!$H$6:$H$28,$P2070),"MEDIA","FINAL"))))</f>
        <v>DESENVOLVIMENTO</v>
      </c>
      <c r="R2070" s="24" t="n">
        <f aca="false">IF($P2070=0,0,IF($O2070&lt;=INDEX(PARAMETROS_CULTURAS!$F$6:$F$28,$P2070),INDEX(PARAMETROS_CULTURAS!$K$6:$K$28,$P2070),IF($O2070&lt;=INDEX(PARAMETROS_CULTURAS!$F$6:$F$28,$P2070)+INDEX(PARAMETROS_CULTURAS!$G$6:$G$28,$P2070),INDEX(PARAMETROS_CULTURAS!$K$6:$K$28,$P2070)+(INDEX(PARAMETROS_CULTURAS!$L$6:$L$28,$P2070)-INDEX(PARAMETROS_CULTURAS!$K$6:$K$28,$P2070))*($O2070-INDEX(PARAMETROS_CULTURAS!$F$6:$F$28,$P2070))/MAX(INDEX(PARAMETROS_CULTURAS!$G$6:$G$28,$P2070),0.0001),IF($O2070&lt;=INDEX(PARAMETROS_CULTURAS!$F$6:$F$28,$P2070)+INDEX(PARAMETROS_CULTURAS!$G$6:$G$28,$P2070)+INDEX(PARAMETROS_CULTURAS!$H$6:$H$28,$P2070),INDEX(PARAMETROS_CULTURAS!$L$6:$L$28,$P2070),INDEX(PARAMETROS_CULTURAS!$L$6:$L$28,$P2070)+(INDEX(PARAMETROS_CULTURAS!$M$6:$M$28,$P2070)-INDEX(PARAMETROS_CULTURAS!$L$6:$L$28,$P2070))*($O2070-INDEX(PARAMETROS_CULTURAS!$F$6:$F$28,$P2070)-INDEX(PARAMETROS_CULTURAS!$G$6:$G$28,$P2070)-INDEX(PARAMETROS_CULTURAS!$H$6:$H$28,$P2070))/MAX(INDEX(PARAMETROS_CULTURAS!$I$6:$I$28,$P2070),0.0001)))))</f>
        <v>0.472287968441815</v>
      </c>
      <c r="S2070" s="18" t="n">
        <f aca="false">IFERROR(INDEX(SEMANAS!$H$6:$H$71,MATCH($B2070,SEMANAS!$B$6:$B$71,0)),0)</f>
        <v>33.6</v>
      </c>
      <c r="T2070" s="18" t="n">
        <f aca="false">$R2070*$S2070</f>
        <v>15.868875739645</v>
      </c>
      <c r="U2070" s="18" t="n">
        <f aca="false">IFERROR(INDEX(SEMANAS!$I$6:$I$71,MATCH($B2070,SEMANAS!$B$6:$B$71,0)),0)</f>
        <v>45.15</v>
      </c>
      <c r="V2070" s="18" t="n">
        <f aca="false">IFERROR(INDEX(SEMANAS!$J$6:$J$71,MATCH($B2070,SEMANAS!$B$6:$B$71,0)),0)</f>
        <v>36.12</v>
      </c>
      <c r="W2070" s="18" t="n">
        <f aca="false">MAX(0,$T2070-$V2070)</f>
        <v>0</v>
      </c>
      <c r="X2070" s="19" t="n">
        <f aca="false">IFERROR(INDEX(CADASTRO_PIVOS!$K$6:$K$41,MATCH($E2070,CADASTRO_PIVOS!$B$6:$B$41,0)),EFICIENCIA_PADRAO)</f>
        <v>0.85</v>
      </c>
      <c r="Y2070" s="18" t="n">
        <f aca="false">IF($X2070&lt;=0,0,$W2070/$X2070)</f>
        <v>0</v>
      </c>
      <c r="Z2070" s="16" t="n">
        <f aca="false">$Y2070*$H2070*MM_PARA_M3_HA</f>
        <v>0</v>
      </c>
      <c r="AA2070" s="18" t="n">
        <f aca="false">IFERROR(INDEX(CADASTRO_PIVOS!$I$6:$I$41,MATCH($E2070,CADASTRO_PIVOS!$B$6:$B$41,0)),0)</f>
        <v>710.571428571429</v>
      </c>
      <c r="AB2070" s="18" t="n">
        <f aca="false">IF($Z2070&lt;=0,0,$Z2070/$AA2070)</f>
        <v>0</v>
      </c>
      <c r="AC2070" s="16" t="n">
        <f aca="false">IFERROR(INDEX(SEMANAS!$K$6:$K$71,MATCH($B2070,SEMANAS!$B$6:$B$71,0)),0)</f>
        <v>147</v>
      </c>
      <c r="AD2070" s="19" t="n">
        <f aca="false">IF($AC2070&lt;=0,0,$AB2070/$AC2070)</f>
        <v>0</v>
      </c>
      <c r="AE2070" s="8" t="str">
        <f aca="false">IF($K2070="SEM CULTURA","SEM CULTURA",IF($AA2070&lt;=0,"DADO PENDENTE",IF($AD2070&gt;LIMITE_CRITICO,"INVIAVEL",IF($AD2070&gt;LIMITE_ATENCAO,"CRITICO",IF($AD2070&gt;LIMITE_CONFORTAVEL,"ATENCAO","OK")))))</f>
        <v>OK</v>
      </c>
      <c r="AF2070" s="8" t="str">
        <f aca="false">$B2070&amp;"|"&amp;TEXT($AD2070,"0.000000")</f>
        <v>19|0.000000</v>
      </c>
      <c r="AG2070" s="18" t="n">
        <f aca="false">IF($K2070="SEM CULTURA",0,$T2070*$H2070)</f>
        <v>1578.63575857988</v>
      </c>
      <c r="AH2070" s="18" t="n">
        <f aca="false">IF($K2070="SEM CULTURA",0,$V2070*$H2070)</f>
        <v>3593.2176</v>
      </c>
      <c r="AI2070" s="18" t="n">
        <f aca="false">IF($K2070="SEM CULTURA",0,$W2070*$H2070)</f>
        <v>0</v>
      </c>
      <c r="AJ2070" s="18" t="n">
        <f aca="false">IF($K2070="SEM CULTURA",0,$S2070*$H2070)</f>
        <v>3342.528</v>
      </c>
      <c r="AK2070" s="8" t="str">
        <f aca="false">$E2070&amp;"|"&amp;TEXT($AD2070,"0.000000")</f>
        <v>PV 133|0.000000</v>
      </c>
    </row>
    <row r="2071" customFormat="false" ht="15" hidden="false" customHeight="false" outlineLevel="0" collapsed="false">
      <c r="B2071" s="16" t="n">
        <v>20</v>
      </c>
      <c r="C2071" s="17" t="n">
        <f aca="false">DATA_INICIO_SAFRA+($B2071-1)*DIAS_POR_SEMANA</f>
        <v>46398</v>
      </c>
      <c r="D2071" s="17" t="n">
        <f aca="false">$C2071+DIAS_POR_SEMANA-1</f>
        <v>46404</v>
      </c>
      <c r="E2071" s="15" t="s">
        <v>290</v>
      </c>
      <c r="F2071" s="8" t="str">
        <f aca="false">IFERROR(INDEX(CADASTRO_PIVOS!$C$6:$C$41,MATCH($E2071,CADASTRO_PIVOS!$B$6:$B$41,0)),"?")</f>
        <v>RM07</v>
      </c>
      <c r="G2071" s="8" t="str">
        <f aca="false">IFERROR(INDEX(CADASTRO_PIVOS!$D$6:$D$41,MATCH($E2071,CADASTRO_PIVOS!$B$6:$B$41,0)),"?")</f>
        <v>TR07</v>
      </c>
      <c r="H2071" s="20" t="n">
        <f aca="false">IFERROR(INDEX(CADASTRO_PIVOS!$E$6:$E$41,MATCH($E2071,CADASTRO_PIVOS!$B$6:$B$41,0)),0)</f>
        <v>99.48</v>
      </c>
      <c r="I2071" s="16" t="n">
        <f aca="false">IFERROR(SUMIFS(ROTACAO_RDM!$B$6:$B$71,ROTACAO_RDM!$D$6:$D$71,$E2071,ROTACAO_RDM!$I$6:$I$71,"&lt;="&amp;$C2071+INT(DIAS_POR_SEMANA/2),ROTACAO_RDM!$J$6:$J$71,"&gt;="&amp;$C2071+INT(DIAS_POR_SEMANA/2)),0)</f>
        <v>66</v>
      </c>
      <c r="J2071" s="16" t="n">
        <f aca="false">IFERROR(MATCH($I2071,ROTACAO_RDM!$B$6:$B$71,0),0)</f>
        <v>66</v>
      </c>
      <c r="K2071" s="8" t="str">
        <f aca="false">IF($J2071=0,"SEM CULTURA",INDEX(ROTACAO_RDM!$F$6:$F$71,$J2071))</f>
        <v>ALGODAO</v>
      </c>
      <c r="L2071" s="8" t="str">
        <f aca="false">IF($J2071=0,"",INDEX(ROTACAO_RDM!$G$6:$G$71,$J2071))</f>
        <v>FM 974 GLT</v>
      </c>
      <c r="M2071" s="17" t="n">
        <f aca="false">IF($J2071=0,"",INDEX(ROTACAO_RDM!$I$6:$I$71,$J2071))</f>
        <v>46357</v>
      </c>
      <c r="N2071" s="16" t="n">
        <f aca="false">IF($J2071=0,0,MAX(0,$C2071+INT(DIAS_POR_SEMANA/2)-INDEX(ROTACAO_RDM!$I$6:$I$71,$J2071)))</f>
        <v>44</v>
      </c>
      <c r="O2071" s="19" t="n">
        <f aca="false">IF($J2071=0,0,MIN(1,$N2071/MAX(1,INDEX(ROTACAO_RDM!$K$6:$K$71,$J2071))))</f>
        <v>0.225641025641026</v>
      </c>
      <c r="P2071" s="16" t="n">
        <f aca="false">IF($J2071=0,0,IFERROR(MATCH(INDEX(ROTACAO_RDM!$N$6:$N$71,$J2071),PARAMETROS_CULTURAS!$B$6:$B$28,0),0))</f>
        <v>5</v>
      </c>
      <c r="Q2071" s="8" t="str">
        <f aca="false">IF($P2071=0,"-",IF($O2071&lt;=INDEX(PARAMETROS_CULTURAS!$F$6:$F$28,$P2071),"INICIAL",IF($O2071&lt;=INDEX(PARAMETROS_CULTURAS!$F$6:$F$28,$P2071)+INDEX(PARAMETROS_CULTURAS!$G$6:$G$28,$P2071),"DESENVOLVIMENTO",IF($O2071&lt;=INDEX(PARAMETROS_CULTURAS!$F$6:$F$28,$P2071)+INDEX(PARAMETROS_CULTURAS!$G$6:$G$28,$P2071)+INDEX(PARAMETROS_CULTURAS!$H$6:$H$28,$P2071),"MEDIA","FINAL"))))</f>
        <v>DESENVOLVIMENTO</v>
      </c>
      <c r="R2071" s="24" t="n">
        <f aca="false">IF($P2071=0,0,IF($O2071&lt;=INDEX(PARAMETROS_CULTURAS!$F$6:$F$28,$P2071),INDEX(PARAMETROS_CULTURAS!$K$6:$K$28,$P2071),IF($O2071&lt;=INDEX(PARAMETROS_CULTURAS!$F$6:$F$28,$P2071)+INDEX(PARAMETROS_CULTURAS!$G$6:$G$28,$P2071),INDEX(PARAMETROS_CULTURAS!$K$6:$K$28,$P2071)+(INDEX(PARAMETROS_CULTURAS!$L$6:$L$28,$P2071)-INDEX(PARAMETROS_CULTURAS!$K$6:$K$28,$P2071))*($O2071-INDEX(PARAMETROS_CULTURAS!$F$6:$F$28,$P2071))/MAX(INDEX(PARAMETROS_CULTURAS!$G$6:$G$28,$P2071),0.0001),IF($O2071&lt;=INDEX(PARAMETROS_CULTURAS!$F$6:$F$28,$P2071)+INDEX(PARAMETROS_CULTURAS!$G$6:$G$28,$P2071)+INDEX(PARAMETROS_CULTURAS!$H$6:$H$28,$P2071),INDEX(PARAMETROS_CULTURAS!$L$6:$L$28,$P2071),INDEX(PARAMETROS_CULTURAS!$L$6:$L$28,$P2071)+(INDEX(PARAMETROS_CULTURAS!$M$6:$M$28,$P2071)-INDEX(PARAMETROS_CULTURAS!$L$6:$L$28,$P2071))*($O2071-INDEX(PARAMETROS_CULTURAS!$F$6:$F$28,$P2071)-INDEX(PARAMETROS_CULTURAS!$G$6:$G$28,$P2071)-INDEX(PARAMETROS_CULTURAS!$H$6:$H$28,$P2071))/MAX(INDEX(PARAMETROS_CULTURAS!$I$6:$I$28,$P2071),0.0001)))))</f>
        <v>0.582741617357002</v>
      </c>
      <c r="S2071" s="18" t="n">
        <f aca="false">IFERROR(INDEX(SEMANAS!$H$6:$H$71,MATCH($B2071,SEMANAS!$B$6:$B$71,0)),0)</f>
        <v>33.6</v>
      </c>
      <c r="T2071" s="18" t="n">
        <f aca="false">$R2071*$S2071</f>
        <v>19.5801183431953</v>
      </c>
      <c r="U2071" s="18" t="n">
        <f aca="false">IFERROR(INDEX(SEMANAS!$I$6:$I$71,MATCH($B2071,SEMANAS!$B$6:$B$71,0)),0)</f>
        <v>45.15</v>
      </c>
      <c r="V2071" s="18" t="n">
        <f aca="false">IFERROR(INDEX(SEMANAS!$J$6:$J$71,MATCH($B2071,SEMANAS!$B$6:$B$71,0)),0)</f>
        <v>36.12</v>
      </c>
      <c r="W2071" s="18" t="n">
        <f aca="false">MAX(0,$T2071-$V2071)</f>
        <v>0</v>
      </c>
      <c r="X2071" s="19" t="n">
        <f aca="false">IFERROR(INDEX(CADASTRO_PIVOS!$K$6:$K$41,MATCH($E2071,CADASTRO_PIVOS!$B$6:$B$41,0)),EFICIENCIA_PADRAO)</f>
        <v>0.85</v>
      </c>
      <c r="Y2071" s="18" t="n">
        <f aca="false">IF($X2071&lt;=0,0,$W2071/$X2071)</f>
        <v>0</v>
      </c>
      <c r="Z2071" s="16" t="n">
        <f aca="false">$Y2071*$H2071*MM_PARA_M3_HA</f>
        <v>0</v>
      </c>
      <c r="AA2071" s="18" t="n">
        <f aca="false">IFERROR(INDEX(CADASTRO_PIVOS!$I$6:$I$41,MATCH($E2071,CADASTRO_PIVOS!$B$6:$B$41,0)),0)</f>
        <v>710.571428571429</v>
      </c>
      <c r="AB2071" s="18" t="n">
        <f aca="false">IF($Z2071&lt;=0,0,$Z2071/$AA2071)</f>
        <v>0</v>
      </c>
      <c r="AC2071" s="16" t="n">
        <f aca="false">IFERROR(INDEX(SEMANAS!$K$6:$K$71,MATCH($B2071,SEMANAS!$B$6:$B$71,0)),0)</f>
        <v>147</v>
      </c>
      <c r="AD2071" s="19" t="n">
        <f aca="false">IF($AC2071&lt;=0,0,$AB2071/$AC2071)</f>
        <v>0</v>
      </c>
      <c r="AE2071" s="8" t="str">
        <f aca="false">IF($K2071="SEM CULTURA","SEM CULTURA",IF($AA2071&lt;=0,"DADO PENDENTE",IF($AD2071&gt;LIMITE_CRITICO,"INVIAVEL",IF($AD2071&gt;LIMITE_ATENCAO,"CRITICO",IF($AD2071&gt;LIMITE_CONFORTAVEL,"ATENCAO","OK")))))</f>
        <v>OK</v>
      </c>
      <c r="AF2071" s="8" t="str">
        <f aca="false">$B2071&amp;"|"&amp;TEXT($AD2071,"0.000000")</f>
        <v>20|0.000000</v>
      </c>
      <c r="AG2071" s="18" t="n">
        <f aca="false">IF($K2071="SEM CULTURA",0,$T2071*$H2071)</f>
        <v>1947.83017278107</v>
      </c>
      <c r="AH2071" s="18" t="n">
        <f aca="false">IF($K2071="SEM CULTURA",0,$V2071*$H2071)</f>
        <v>3593.2176</v>
      </c>
      <c r="AI2071" s="18" t="n">
        <f aca="false">IF($K2071="SEM CULTURA",0,$W2071*$H2071)</f>
        <v>0</v>
      </c>
      <c r="AJ2071" s="18" t="n">
        <f aca="false">IF($K2071="SEM CULTURA",0,$S2071*$H2071)</f>
        <v>3342.528</v>
      </c>
      <c r="AK2071" s="8" t="str">
        <f aca="false">$E2071&amp;"|"&amp;TEXT($AD2071,"0.000000")</f>
        <v>PV 133|0.000000</v>
      </c>
    </row>
    <row r="2072" customFormat="false" ht="15" hidden="false" customHeight="false" outlineLevel="0" collapsed="false">
      <c r="B2072" s="16" t="n">
        <v>21</v>
      </c>
      <c r="C2072" s="17" t="n">
        <f aca="false">DATA_INICIO_SAFRA+($B2072-1)*DIAS_POR_SEMANA</f>
        <v>46405</v>
      </c>
      <c r="D2072" s="17" t="n">
        <f aca="false">$C2072+DIAS_POR_SEMANA-1</f>
        <v>46411</v>
      </c>
      <c r="E2072" s="15" t="s">
        <v>290</v>
      </c>
      <c r="F2072" s="8" t="str">
        <f aca="false">IFERROR(INDEX(CADASTRO_PIVOS!$C$6:$C$41,MATCH($E2072,CADASTRO_PIVOS!$B$6:$B$41,0)),"?")</f>
        <v>RM07</v>
      </c>
      <c r="G2072" s="8" t="str">
        <f aca="false">IFERROR(INDEX(CADASTRO_PIVOS!$D$6:$D$41,MATCH($E2072,CADASTRO_PIVOS!$B$6:$B$41,0)),"?")</f>
        <v>TR07</v>
      </c>
      <c r="H2072" s="20" t="n">
        <f aca="false">IFERROR(INDEX(CADASTRO_PIVOS!$E$6:$E$41,MATCH($E2072,CADASTRO_PIVOS!$B$6:$B$41,0)),0)</f>
        <v>99.48</v>
      </c>
      <c r="I2072" s="16" t="n">
        <f aca="false">IFERROR(SUMIFS(ROTACAO_RDM!$B$6:$B$71,ROTACAO_RDM!$D$6:$D$71,$E2072,ROTACAO_RDM!$I$6:$I$71,"&lt;="&amp;$C2072+INT(DIAS_POR_SEMANA/2),ROTACAO_RDM!$J$6:$J$71,"&gt;="&amp;$C2072+INT(DIAS_POR_SEMANA/2)),0)</f>
        <v>66</v>
      </c>
      <c r="J2072" s="16" t="n">
        <f aca="false">IFERROR(MATCH($I2072,ROTACAO_RDM!$B$6:$B$71,0),0)</f>
        <v>66</v>
      </c>
      <c r="K2072" s="8" t="str">
        <f aca="false">IF($J2072=0,"SEM CULTURA",INDEX(ROTACAO_RDM!$F$6:$F$71,$J2072))</f>
        <v>ALGODAO</v>
      </c>
      <c r="L2072" s="8" t="str">
        <f aca="false">IF($J2072=0,"",INDEX(ROTACAO_RDM!$G$6:$G$71,$J2072))</f>
        <v>FM 974 GLT</v>
      </c>
      <c r="M2072" s="17" t="n">
        <f aca="false">IF($J2072=0,"",INDEX(ROTACAO_RDM!$I$6:$I$71,$J2072))</f>
        <v>46357</v>
      </c>
      <c r="N2072" s="16" t="n">
        <f aca="false">IF($J2072=0,0,MAX(0,$C2072+INT(DIAS_POR_SEMANA/2)-INDEX(ROTACAO_RDM!$I$6:$I$71,$J2072)))</f>
        <v>51</v>
      </c>
      <c r="O2072" s="19" t="n">
        <f aca="false">IF($J2072=0,0,MIN(1,$N2072/MAX(1,INDEX(ROTACAO_RDM!$K$6:$K$71,$J2072))))</f>
        <v>0.261538461538462</v>
      </c>
      <c r="P2072" s="16" t="n">
        <f aca="false">IF($J2072=0,0,IFERROR(MATCH(INDEX(ROTACAO_RDM!$N$6:$N$71,$J2072),PARAMETROS_CULTURAS!$B$6:$B$28,0),0))</f>
        <v>5</v>
      </c>
      <c r="Q2072" s="8" t="str">
        <f aca="false">IF($P2072=0,"-",IF($O2072&lt;=INDEX(PARAMETROS_CULTURAS!$F$6:$F$28,$P2072),"INICIAL",IF($O2072&lt;=INDEX(PARAMETROS_CULTURAS!$F$6:$F$28,$P2072)+INDEX(PARAMETROS_CULTURAS!$G$6:$G$28,$P2072),"DESENVOLVIMENTO",IF($O2072&lt;=INDEX(PARAMETROS_CULTURAS!$F$6:$F$28,$P2072)+INDEX(PARAMETROS_CULTURAS!$G$6:$G$28,$P2072)+INDEX(PARAMETROS_CULTURAS!$H$6:$H$28,$P2072),"MEDIA","FINAL"))))</f>
        <v>DESENVOLVIMENTO</v>
      </c>
      <c r="R2072" s="24" t="n">
        <f aca="false">IF($P2072=0,0,IF($O2072&lt;=INDEX(PARAMETROS_CULTURAS!$F$6:$F$28,$P2072),INDEX(PARAMETROS_CULTURAS!$K$6:$K$28,$P2072),IF($O2072&lt;=INDEX(PARAMETROS_CULTURAS!$F$6:$F$28,$P2072)+INDEX(PARAMETROS_CULTURAS!$G$6:$G$28,$P2072),INDEX(PARAMETROS_CULTURAS!$K$6:$K$28,$P2072)+(INDEX(PARAMETROS_CULTURAS!$L$6:$L$28,$P2072)-INDEX(PARAMETROS_CULTURAS!$K$6:$K$28,$P2072))*($O2072-INDEX(PARAMETROS_CULTURAS!$F$6:$F$28,$P2072))/MAX(INDEX(PARAMETROS_CULTURAS!$G$6:$G$28,$P2072),0.0001),IF($O2072&lt;=INDEX(PARAMETROS_CULTURAS!$F$6:$F$28,$P2072)+INDEX(PARAMETROS_CULTURAS!$G$6:$G$28,$P2072)+INDEX(PARAMETROS_CULTURAS!$H$6:$H$28,$P2072),INDEX(PARAMETROS_CULTURAS!$L$6:$L$28,$P2072),INDEX(PARAMETROS_CULTURAS!$L$6:$L$28,$P2072)+(INDEX(PARAMETROS_CULTURAS!$M$6:$M$28,$P2072)-INDEX(PARAMETROS_CULTURAS!$L$6:$L$28,$P2072))*($O2072-INDEX(PARAMETROS_CULTURAS!$F$6:$F$28,$P2072)-INDEX(PARAMETROS_CULTURAS!$G$6:$G$28,$P2072)-INDEX(PARAMETROS_CULTURAS!$H$6:$H$28,$P2072))/MAX(INDEX(PARAMETROS_CULTURAS!$I$6:$I$28,$P2072),0.0001)))))</f>
        <v>0.693195266272189</v>
      </c>
      <c r="S2072" s="18" t="n">
        <f aca="false">IFERROR(INDEX(SEMANAS!$H$6:$H$71,MATCH($B2072,SEMANAS!$B$6:$B$71,0)),0)</f>
        <v>33.6</v>
      </c>
      <c r="T2072" s="18" t="n">
        <f aca="false">$R2072*$S2072</f>
        <v>23.2913609467456</v>
      </c>
      <c r="U2072" s="18" t="n">
        <f aca="false">IFERROR(INDEX(SEMANAS!$I$6:$I$71,MATCH($B2072,SEMANAS!$B$6:$B$71,0)),0)</f>
        <v>45.15</v>
      </c>
      <c r="V2072" s="18" t="n">
        <f aca="false">IFERROR(INDEX(SEMANAS!$J$6:$J$71,MATCH($B2072,SEMANAS!$B$6:$B$71,0)),0)</f>
        <v>36.12</v>
      </c>
      <c r="W2072" s="18" t="n">
        <f aca="false">MAX(0,$T2072-$V2072)</f>
        <v>0</v>
      </c>
      <c r="X2072" s="19" t="n">
        <f aca="false">IFERROR(INDEX(CADASTRO_PIVOS!$K$6:$K$41,MATCH($E2072,CADASTRO_PIVOS!$B$6:$B$41,0)),EFICIENCIA_PADRAO)</f>
        <v>0.85</v>
      </c>
      <c r="Y2072" s="18" t="n">
        <f aca="false">IF($X2072&lt;=0,0,$W2072/$X2072)</f>
        <v>0</v>
      </c>
      <c r="Z2072" s="16" t="n">
        <f aca="false">$Y2072*$H2072*MM_PARA_M3_HA</f>
        <v>0</v>
      </c>
      <c r="AA2072" s="18" t="n">
        <f aca="false">IFERROR(INDEX(CADASTRO_PIVOS!$I$6:$I$41,MATCH($E2072,CADASTRO_PIVOS!$B$6:$B$41,0)),0)</f>
        <v>710.571428571429</v>
      </c>
      <c r="AB2072" s="18" t="n">
        <f aca="false">IF($Z2072&lt;=0,0,$Z2072/$AA2072)</f>
        <v>0</v>
      </c>
      <c r="AC2072" s="16" t="n">
        <f aca="false">IFERROR(INDEX(SEMANAS!$K$6:$K$71,MATCH($B2072,SEMANAS!$B$6:$B$71,0)),0)</f>
        <v>147</v>
      </c>
      <c r="AD2072" s="19" t="n">
        <f aca="false">IF($AC2072&lt;=0,0,$AB2072/$AC2072)</f>
        <v>0</v>
      </c>
      <c r="AE2072" s="8" t="str">
        <f aca="false">IF($K2072="SEM CULTURA","SEM CULTURA",IF($AA2072&lt;=0,"DADO PENDENTE",IF($AD2072&gt;LIMITE_CRITICO,"INVIAVEL",IF($AD2072&gt;LIMITE_ATENCAO,"CRITICO",IF($AD2072&gt;LIMITE_CONFORTAVEL,"ATENCAO","OK")))))</f>
        <v>OK</v>
      </c>
      <c r="AF2072" s="8" t="str">
        <f aca="false">$B2072&amp;"|"&amp;TEXT($AD2072,"0.000000")</f>
        <v>21|0.000000</v>
      </c>
      <c r="AG2072" s="18" t="n">
        <f aca="false">IF($K2072="SEM CULTURA",0,$T2072*$H2072)</f>
        <v>2317.02458698225</v>
      </c>
      <c r="AH2072" s="18" t="n">
        <f aca="false">IF($K2072="SEM CULTURA",0,$V2072*$H2072)</f>
        <v>3593.2176</v>
      </c>
      <c r="AI2072" s="18" t="n">
        <f aca="false">IF($K2072="SEM CULTURA",0,$W2072*$H2072)</f>
        <v>0</v>
      </c>
      <c r="AJ2072" s="18" t="n">
        <f aca="false">IF($K2072="SEM CULTURA",0,$S2072*$H2072)</f>
        <v>3342.528</v>
      </c>
      <c r="AK2072" s="8" t="str">
        <f aca="false">$E2072&amp;"|"&amp;TEXT($AD2072,"0.000000")</f>
        <v>PV 133|0.000000</v>
      </c>
    </row>
    <row r="2073" customFormat="false" ht="15" hidden="false" customHeight="false" outlineLevel="0" collapsed="false">
      <c r="B2073" s="16" t="n">
        <v>22</v>
      </c>
      <c r="C2073" s="17" t="n">
        <f aca="false">DATA_INICIO_SAFRA+($B2073-1)*DIAS_POR_SEMANA</f>
        <v>46412</v>
      </c>
      <c r="D2073" s="17" t="n">
        <f aca="false">$C2073+DIAS_POR_SEMANA-1</f>
        <v>46418</v>
      </c>
      <c r="E2073" s="15" t="s">
        <v>290</v>
      </c>
      <c r="F2073" s="8" t="str">
        <f aca="false">IFERROR(INDEX(CADASTRO_PIVOS!$C$6:$C$41,MATCH($E2073,CADASTRO_PIVOS!$B$6:$B$41,0)),"?")</f>
        <v>RM07</v>
      </c>
      <c r="G2073" s="8" t="str">
        <f aca="false">IFERROR(INDEX(CADASTRO_PIVOS!$D$6:$D$41,MATCH($E2073,CADASTRO_PIVOS!$B$6:$B$41,0)),"?")</f>
        <v>TR07</v>
      </c>
      <c r="H2073" s="20" t="n">
        <f aca="false">IFERROR(INDEX(CADASTRO_PIVOS!$E$6:$E$41,MATCH($E2073,CADASTRO_PIVOS!$B$6:$B$41,0)),0)</f>
        <v>99.48</v>
      </c>
      <c r="I2073" s="16" t="n">
        <f aca="false">IFERROR(SUMIFS(ROTACAO_RDM!$B$6:$B$71,ROTACAO_RDM!$D$6:$D$71,$E2073,ROTACAO_RDM!$I$6:$I$71,"&lt;="&amp;$C2073+INT(DIAS_POR_SEMANA/2),ROTACAO_RDM!$J$6:$J$71,"&gt;="&amp;$C2073+INT(DIAS_POR_SEMANA/2)),0)</f>
        <v>66</v>
      </c>
      <c r="J2073" s="16" t="n">
        <f aca="false">IFERROR(MATCH($I2073,ROTACAO_RDM!$B$6:$B$71,0),0)</f>
        <v>66</v>
      </c>
      <c r="K2073" s="8" t="str">
        <f aca="false">IF($J2073=0,"SEM CULTURA",INDEX(ROTACAO_RDM!$F$6:$F$71,$J2073))</f>
        <v>ALGODAO</v>
      </c>
      <c r="L2073" s="8" t="str">
        <f aca="false">IF($J2073=0,"",INDEX(ROTACAO_RDM!$G$6:$G$71,$J2073))</f>
        <v>FM 974 GLT</v>
      </c>
      <c r="M2073" s="17" t="n">
        <f aca="false">IF($J2073=0,"",INDEX(ROTACAO_RDM!$I$6:$I$71,$J2073))</f>
        <v>46357</v>
      </c>
      <c r="N2073" s="16" t="n">
        <f aca="false">IF($J2073=0,0,MAX(0,$C2073+INT(DIAS_POR_SEMANA/2)-INDEX(ROTACAO_RDM!$I$6:$I$71,$J2073)))</f>
        <v>58</v>
      </c>
      <c r="O2073" s="19" t="n">
        <f aca="false">IF($J2073=0,0,MIN(1,$N2073/MAX(1,INDEX(ROTACAO_RDM!$K$6:$K$71,$J2073))))</f>
        <v>0.297435897435897</v>
      </c>
      <c r="P2073" s="16" t="n">
        <f aca="false">IF($J2073=0,0,IFERROR(MATCH(INDEX(ROTACAO_RDM!$N$6:$N$71,$J2073),PARAMETROS_CULTURAS!$B$6:$B$28,0),0))</f>
        <v>5</v>
      </c>
      <c r="Q2073" s="8" t="str">
        <f aca="false">IF($P2073=0,"-",IF($O2073&lt;=INDEX(PARAMETROS_CULTURAS!$F$6:$F$28,$P2073),"INICIAL",IF($O2073&lt;=INDEX(PARAMETROS_CULTURAS!$F$6:$F$28,$P2073)+INDEX(PARAMETROS_CULTURAS!$G$6:$G$28,$P2073),"DESENVOLVIMENTO",IF($O2073&lt;=INDEX(PARAMETROS_CULTURAS!$F$6:$F$28,$P2073)+INDEX(PARAMETROS_CULTURAS!$G$6:$G$28,$P2073)+INDEX(PARAMETROS_CULTURAS!$H$6:$H$28,$P2073),"MEDIA","FINAL"))))</f>
        <v>DESENVOLVIMENTO</v>
      </c>
      <c r="R2073" s="24" t="n">
        <f aca="false">IF($P2073=0,0,IF($O2073&lt;=INDEX(PARAMETROS_CULTURAS!$F$6:$F$28,$P2073),INDEX(PARAMETROS_CULTURAS!$K$6:$K$28,$P2073),IF($O2073&lt;=INDEX(PARAMETROS_CULTURAS!$F$6:$F$28,$P2073)+INDEX(PARAMETROS_CULTURAS!$G$6:$G$28,$P2073),INDEX(PARAMETROS_CULTURAS!$K$6:$K$28,$P2073)+(INDEX(PARAMETROS_CULTURAS!$L$6:$L$28,$P2073)-INDEX(PARAMETROS_CULTURAS!$K$6:$K$28,$P2073))*($O2073-INDEX(PARAMETROS_CULTURAS!$F$6:$F$28,$P2073))/MAX(INDEX(PARAMETROS_CULTURAS!$G$6:$G$28,$P2073),0.0001),IF($O2073&lt;=INDEX(PARAMETROS_CULTURAS!$F$6:$F$28,$P2073)+INDEX(PARAMETROS_CULTURAS!$G$6:$G$28,$P2073)+INDEX(PARAMETROS_CULTURAS!$H$6:$H$28,$P2073),INDEX(PARAMETROS_CULTURAS!$L$6:$L$28,$P2073),INDEX(PARAMETROS_CULTURAS!$L$6:$L$28,$P2073)+(INDEX(PARAMETROS_CULTURAS!$M$6:$M$28,$P2073)-INDEX(PARAMETROS_CULTURAS!$L$6:$L$28,$P2073))*($O2073-INDEX(PARAMETROS_CULTURAS!$F$6:$F$28,$P2073)-INDEX(PARAMETROS_CULTURAS!$G$6:$G$28,$P2073)-INDEX(PARAMETROS_CULTURAS!$H$6:$H$28,$P2073))/MAX(INDEX(PARAMETROS_CULTURAS!$I$6:$I$28,$P2073),0.0001)))))</f>
        <v>0.803648915187377</v>
      </c>
      <c r="S2073" s="18" t="n">
        <f aca="false">IFERROR(INDEX(SEMANAS!$H$6:$H$71,MATCH($B2073,SEMANAS!$B$6:$B$71,0)),0)</f>
        <v>33.6</v>
      </c>
      <c r="T2073" s="18" t="n">
        <f aca="false">$R2073*$S2073</f>
        <v>27.0026035502959</v>
      </c>
      <c r="U2073" s="18" t="n">
        <f aca="false">IFERROR(INDEX(SEMANAS!$I$6:$I$71,MATCH($B2073,SEMANAS!$B$6:$B$71,0)),0)</f>
        <v>45.15</v>
      </c>
      <c r="V2073" s="18" t="n">
        <f aca="false">IFERROR(INDEX(SEMANAS!$J$6:$J$71,MATCH($B2073,SEMANAS!$B$6:$B$71,0)),0)</f>
        <v>36.12</v>
      </c>
      <c r="W2073" s="18" t="n">
        <f aca="false">MAX(0,$T2073-$V2073)</f>
        <v>0</v>
      </c>
      <c r="X2073" s="19" t="n">
        <f aca="false">IFERROR(INDEX(CADASTRO_PIVOS!$K$6:$K$41,MATCH($E2073,CADASTRO_PIVOS!$B$6:$B$41,0)),EFICIENCIA_PADRAO)</f>
        <v>0.85</v>
      </c>
      <c r="Y2073" s="18" t="n">
        <f aca="false">IF($X2073&lt;=0,0,$W2073/$X2073)</f>
        <v>0</v>
      </c>
      <c r="Z2073" s="16" t="n">
        <f aca="false">$Y2073*$H2073*MM_PARA_M3_HA</f>
        <v>0</v>
      </c>
      <c r="AA2073" s="18" t="n">
        <f aca="false">IFERROR(INDEX(CADASTRO_PIVOS!$I$6:$I$41,MATCH($E2073,CADASTRO_PIVOS!$B$6:$B$41,0)),0)</f>
        <v>710.571428571429</v>
      </c>
      <c r="AB2073" s="18" t="n">
        <f aca="false">IF($Z2073&lt;=0,0,$Z2073/$AA2073)</f>
        <v>0</v>
      </c>
      <c r="AC2073" s="16" t="n">
        <f aca="false">IFERROR(INDEX(SEMANAS!$K$6:$K$71,MATCH($B2073,SEMANAS!$B$6:$B$71,0)),0)</f>
        <v>147</v>
      </c>
      <c r="AD2073" s="19" t="n">
        <f aca="false">IF($AC2073&lt;=0,0,$AB2073/$AC2073)</f>
        <v>0</v>
      </c>
      <c r="AE2073" s="8" t="str">
        <f aca="false">IF($K2073="SEM CULTURA","SEM CULTURA",IF($AA2073&lt;=0,"DADO PENDENTE",IF($AD2073&gt;LIMITE_CRITICO,"INVIAVEL",IF($AD2073&gt;LIMITE_ATENCAO,"CRITICO",IF($AD2073&gt;LIMITE_CONFORTAVEL,"ATENCAO","OK")))))</f>
        <v>OK</v>
      </c>
      <c r="AF2073" s="8" t="str">
        <f aca="false">$B2073&amp;"|"&amp;TEXT($AD2073,"0.000000")</f>
        <v>22|0.000000</v>
      </c>
      <c r="AG2073" s="18" t="n">
        <f aca="false">IF($K2073="SEM CULTURA",0,$T2073*$H2073)</f>
        <v>2686.21900118343</v>
      </c>
      <c r="AH2073" s="18" t="n">
        <f aca="false">IF($K2073="SEM CULTURA",0,$V2073*$H2073)</f>
        <v>3593.2176</v>
      </c>
      <c r="AI2073" s="18" t="n">
        <f aca="false">IF($K2073="SEM CULTURA",0,$W2073*$H2073)</f>
        <v>0</v>
      </c>
      <c r="AJ2073" s="18" t="n">
        <f aca="false">IF($K2073="SEM CULTURA",0,$S2073*$H2073)</f>
        <v>3342.528</v>
      </c>
      <c r="AK2073" s="8" t="str">
        <f aca="false">$E2073&amp;"|"&amp;TEXT($AD2073,"0.000000")</f>
        <v>PV 133|0.000000</v>
      </c>
    </row>
    <row r="2074" customFormat="false" ht="15" hidden="false" customHeight="false" outlineLevel="0" collapsed="false">
      <c r="B2074" s="16" t="n">
        <v>23</v>
      </c>
      <c r="C2074" s="17" t="n">
        <f aca="false">DATA_INICIO_SAFRA+($B2074-1)*DIAS_POR_SEMANA</f>
        <v>46419</v>
      </c>
      <c r="D2074" s="17" t="n">
        <f aca="false">$C2074+DIAS_POR_SEMANA-1</f>
        <v>46425</v>
      </c>
      <c r="E2074" s="15" t="s">
        <v>290</v>
      </c>
      <c r="F2074" s="8" t="str">
        <f aca="false">IFERROR(INDEX(CADASTRO_PIVOS!$C$6:$C$41,MATCH($E2074,CADASTRO_PIVOS!$B$6:$B$41,0)),"?")</f>
        <v>RM07</v>
      </c>
      <c r="G2074" s="8" t="str">
        <f aca="false">IFERROR(INDEX(CADASTRO_PIVOS!$D$6:$D$41,MATCH($E2074,CADASTRO_PIVOS!$B$6:$B$41,0)),"?")</f>
        <v>TR07</v>
      </c>
      <c r="H2074" s="20" t="n">
        <f aca="false">IFERROR(INDEX(CADASTRO_PIVOS!$E$6:$E$41,MATCH($E2074,CADASTRO_PIVOS!$B$6:$B$41,0)),0)</f>
        <v>99.48</v>
      </c>
      <c r="I2074" s="16" t="n">
        <f aca="false">IFERROR(SUMIFS(ROTACAO_RDM!$B$6:$B$71,ROTACAO_RDM!$D$6:$D$71,$E2074,ROTACAO_RDM!$I$6:$I$71,"&lt;="&amp;$C2074+INT(DIAS_POR_SEMANA/2),ROTACAO_RDM!$J$6:$J$71,"&gt;="&amp;$C2074+INT(DIAS_POR_SEMANA/2)),0)</f>
        <v>66</v>
      </c>
      <c r="J2074" s="16" t="n">
        <f aca="false">IFERROR(MATCH($I2074,ROTACAO_RDM!$B$6:$B$71,0),0)</f>
        <v>66</v>
      </c>
      <c r="K2074" s="8" t="str">
        <f aca="false">IF($J2074=0,"SEM CULTURA",INDEX(ROTACAO_RDM!$F$6:$F$71,$J2074))</f>
        <v>ALGODAO</v>
      </c>
      <c r="L2074" s="8" t="str">
        <f aca="false">IF($J2074=0,"",INDEX(ROTACAO_RDM!$G$6:$G$71,$J2074))</f>
        <v>FM 974 GLT</v>
      </c>
      <c r="M2074" s="17" t="n">
        <f aca="false">IF($J2074=0,"",INDEX(ROTACAO_RDM!$I$6:$I$71,$J2074))</f>
        <v>46357</v>
      </c>
      <c r="N2074" s="16" t="n">
        <f aca="false">IF($J2074=0,0,MAX(0,$C2074+INT(DIAS_POR_SEMANA/2)-INDEX(ROTACAO_RDM!$I$6:$I$71,$J2074)))</f>
        <v>65</v>
      </c>
      <c r="O2074" s="19" t="n">
        <f aca="false">IF($J2074=0,0,MIN(1,$N2074/MAX(1,INDEX(ROTACAO_RDM!$K$6:$K$71,$J2074))))</f>
        <v>0.333333333333333</v>
      </c>
      <c r="P2074" s="16" t="n">
        <f aca="false">IF($J2074=0,0,IFERROR(MATCH(INDEX(ROTACAO_RDM!$N$6:$N$71,$J2074),PARAMETROS_CULTURAS!$B$6:$B$28,0),0))</f>
        <v>5</v>
      </c>
      <c r="Q2074" s="8" t="str">
        <f aca="false">IF($P2074=0,"-",IF($O2074&lt;=INDEX(PARAMETROS_CULTURAS!$F$6:$F$28,$P2074),"INICIAL",IF($O2074&lt;=INDEX(PARAMETROS_CULTURAS!$F$6:$F$28,$P2074)+INDEX(PARAMETROS_CULTURAS!$G$6:$G$28,$P2074),"DESENVOLVIMENTO",IF($O2074&lt;=INDEX(PARAMETROS_CULTURAS!$F$6:$F$28,$P2074)+INDEX(PARAMETROS_CULTURAS!$G$6:$G$28,$P2074)+INDEX(PARAMETROS_CULTURAS!$H$6:$H$28,$P2074),"MEDIA","FINAL"))))</f>
        <v>DESENVOLVIMENTO</v>
      </c>
      <c r="R2074" s="24" t="n">
        <f aca="false">IF($P2074=0,0,IF($O2074&lt;=INDEX(PARAMETROS_CULTURAS!$F$6:$F$28,$P2074),INDEX(PARAMETROS_CULTURAS!$K$6:$K$28,$P2074),IF($O2074&lt;=INDEX(PARAMETROS_CULTURAS!$F$6:$F$28,$P2074)+INDEX(PARAMETROS_CULTURAS!$G$6:$G$28,$P2074),INDEX(PARAMETROS_CULTURAS!$K$6:$K$28,$P2074)+(INDEX(PARAMETROS_CULTURAS!$L$6:$L$28,$P2074)-INDEX(PARAMETROS_CULTURAS!$K$6:$K$28,$P2074))*($O2074-INDEX(PARAMETROS_CULTURAS!$F$6:$F$28,$P2074))/MAX(INDEX(PARAMETROS_CULTURAS!$G$6:$G$28,$P2074),0.0001),IF($O2074&lt;=INDEX(PARAMETROS_CULTURAS!$F$6:$F$28,$P2074)+INDEX(PARAMETROS_CULTURAS!$G$6:$G$28,$P2074)+INDEX(PARAMETROS_CULTURAS!$H$6:$H$28,$P2074),INDEX(PARAMETROS_CULTURAS!$L$6:$L$28,$P2074),INDEX(PARAMETROS_CULTURAS!$L$6:$L$28,$P2074)+(INDEX(PARAMETROS_CULTURAS!$M$6:$M$28,$P2074)-INDEX(PARAMETROS_CULTURAS!$L$6:$L$28,$P2074))*($O2074-INDEX(PARAMETROS_CULTURAS!$F$6:$F$28,$P2074)-INDEX(PARAMETROS_CULTURAS!$G$6:$G$28,$P2074)-INDEX(PARAMETROS_CULTURAS!$H$6:$H$28,$P2074))/MAX(INDEX(PARAMETROS_CULTURAS!$I$6:$I$28,$P2074),0.0001)))))</f>
        <v>0.914102564102564</v>
      </c>
      <c r="S2074" s="18" t="n">
        <f aca="false">IFERROR(INDEX(SEMANAS!$H$6:$H$71,MATCH($B2074,SEMANAS!$B$6:$B$71,0)),0)</f>
        <v>32.9</v>
      </c>
      <c r="T2074" s="18" t="n">
        <f aca="false">$R2074*$S2074</f>
        <v>30.0739743589744</v>
      </c>
      <c r="U2074" s="18" t="n">
        <f aca="false">IFERROR(INDEX(SEMANAS!$I$6:$I$71,MATCH($B2074,SEMANAS!$B$6:$B$71,0)),0)</f>
        <v>39.97</v>
      </c>
      <c r="V2074" s="18" t="n">
        <f aca="false">IFERROR(INDEX(SEMANAS!$J$6:$J$71,MATCH($B2074,SEMANAS!$B$6:$B$71,0)),0)</f>
        <v>31.976</v>
      </c>
      <c r="W2074" s="18" t="n">
        <f aca="false">MAX(0,$T2074-$V2074)</f>
        <v>0</v>
      </c>
      <c r="X2074" s="19" t="n">
        <f aca="false">IFERROR(INDEX(CADASTRO_PIVOS!$K$6:$K$41,MATCH($E2074,CADASTRO_PIVOS!$B$6:$B$41,0)),EFICIENCIA_PADRAO)</f>
        <v>0.85</v>
      </c>
      <c r="Y2074" s="18" t="n">
        <f aca="false">IF($X2074&lt;=0,0,$W2074/$X2074)</f>
        <v>0</v>
      </c>
      <c r="Z2074" s="16" t="n">
        <f aca="false">$Y2074*$H2074*MM_PARA_M3_HA</f>
        <v>0</v>
      </c>
      <c r="AA2074" s="18" t="n">
        <f aca="false">IFERROR(INDEX(CADASTRO_PIVOS!$I$6:$I$41,MATCH($E2074,CADASTRO_PIVOS!$B$6:$B$41,0)),0)</f>
        <v>710.571428571429</v>
      </c>
      <c r="AB2074" s="18" t="n">
        <f aca="false">IF($Z2074&lt;=0,0,$Z2074/$AA2074)</f>
        <v>0</v>
      </c>
      <c r="AC2074" s="16" t="n">
        <f aca="false">IFERROR(INDEX(SEMANAS!$K$6:$K$71,MATCH($B2074,SEMANAS!$B$6:$B$71,0)),0)</f>
        <v>147</v>
      </c>
      <c r="AD2074" s="19" t="n">
        <f aca="false">IF($AC2074&lt;=0,0,$AB2074/$AC2074)</f>
        <v>0</v>
      </c>
      <c r="AE2074" s="8" t="str">
        <f aca="false">IF($K2074="SEM CULTURA","SEM CULTURA",IF($AA2074&lt;=0,"DADO PENDENTE",IF($AD2074&gt;LIMITE_CRITICO,"INVIAVEL",IF($AD2074&gt;LIMITE_ATENCAO,"CRITICO",IF($AD2074&gt;LIMITE_CONFORTAVEL,"ATENCAO","OK")))))</f>
        <v>OK</v>
      </c>
      <c r="AF2074" s="8" t="str">
        <f aca="false">$B2074&amp;"|"&amp;TEXT($AD2074,"0.000000")</f>
        <v>23|0.000000</v>
      </c>
      <c r="AG2074" s="18" t="n">
        <f aca="false">IF($K2074="SEM CULTURA",0,$T2074*$H2074)</f>
        <v>2991.75896923077</v>
      </c>
      <c r="AH2074" s="18" t="n">
        <f aca="false">IF($K2074="SEM CULTURA",0,$V2074*$H2074)</f>
        <v>3180.97248</v>
      </c>
      <c r="AI2074" s="18" t="n">
        <f aca="false">IF($K2074="SEM CULTURA",0,$W2074*$H2074)</f>
        <v>0</v>
      </c>
      <c r="AJ2074" s="18" t="n">
        <f aca="false">IF($K2074="SEM CULTURA",0,$S2074*$H2074)</f>
        <v>3272.892</v>
      </c>
      <c r="AK2074" s="8" t="str">
        <f aca="false">$E2074&amp;"|"&amp;TEXT($AD2074,"0.000000")</f>
        <v>PV 133|0.000000</v>
      </c>
    </row>
    <row r="2075" customFormat="false" ht="15" hidden="false" customHeight="false" outlineLevel="0" collapsed="false">
      <c r="B2075" s="16" t="n">
        <v>24</v>
      </c>
      <c r="C2075" s="17" t="n">
        <f aca="false">DATA_INICIO_SAFRA+($B2075-1)*DIAS_POR_SEMANA</f>
        <v>46426</v>
      </c>
      <c r="D2075" s="17" t="n">
        <f aca="false">$C2075+DIAS_POR_SEMANA-1</f>
        <v>46432</v>
      </c>
      <c r="E2075" s="15" t="s">
        <v>290</v>
      </c>
      <c r="F2075" s="8" t="str">
        <f aca="false">IFERROR(INDEX(CADASTRO_PIVOS!$C$6:$C$41,MATCH($E2075,CADASTRO_PIVOS!$B$6:$B$41,0)),"?")</f>
        <v>RM07</v>
      </c>
      <c r="G2075" s="8" t="str">
        <f aca="false">IFERROR(INDEX(CADASTRO_PIVOS!$D$6:$D$41,MATCH($E2075,CADASTRO_PIVOS!$B$6:$B$41,0)),"?")</f>
        <v>TR07</v>
      </c>
      <c r="H2075" s="20" t="n">
        <f aca="false">IFERROR(INDEX(CADASTRO_PIVOS!$E$6:$E$41,MATCH($E2075,CADASTRO_PIVOS!$B$6:$B$41,0)),0)</f>
        <v>99.48</v>
      </c>
      <c r="I2075" s="16" t="n">
        <f aca="false">IFERROR(SUMIFS(ROTACAO_RDM!$B$6:$B$71,ROTACAO_RDM!$D$6:$D$71,$E2075,ROTACAO_RDM!$I$6:$I$71,"&lt;="&amp;$C2075+INT(DIAS_POR_SEMANA/2),ROTACAO_RDM!$J$6:$J$71,"&gt;="&amp;$C2075+INT(DIAS_POR_SEMANA/2)),0)</f>
        <v>66</v>
      </c>
      <c r="J2075" s="16" t="n">
        <f aca="false">IFERROR(MATCH($I2075,ROTACAO_RDM!$B$6:$B$71,0),0)</f>
        <v>66</v>
      </c>
      <c r="K2075" s="8" t="str">
        <f aca="false">IF($J2075=0,"SEM CULTURA",INDEX(ROTACAO_RDM!$F$6:$F$71,$J2075))</f>
        <v>ALGODAO</v>
      </c>
      <c r="L2075" s="8" t="str">
        <f aca="false">IF($J2075=0,"",INDEX(ROTACAO_RDM!$G$6:$G$71,$J2075))</f>
        <v>FM 974 GLT</v>
      </c>
      <c r="M2075" s="17" t="n">
        <f aca="false">IF($J2075=0,"",INDEX(ROTACAO_RDM!$I$6:$I$71,$J2075))</f>
        <v>46357</v>
      </c>
      <c r="N2075" s="16" t="n">
        <f aca="false">IF($J2075=0,0,MAX(0,$C2075+INT(DIAS_POR_SEMANA/2)-INDEX(ROTACAO_RDM!$I$6:$I$71,$J2075)))</f>
        <v>72</v>
      </c>
      <c r="O2075" s="19" t="n">
        <f aca="false">IF($J2075=0,0,MIN(1,$N2075/MAX(1,INDEX(ROTACAO_RDM!$K$6:$K$71,$J2075))))</f>
        <v>0.369230769230769</v>
      </c>
      <c r="P2075" s="16" t="n">
        <f aca="false">IF($J2075=0,0,IFERROR(MATCH(INDEX(ROTACAO_RDM!$N$6:$N$71,$J2075),PARAMETROS_CULTURAS!$B$6:$B$28,0),0))</f>
        <v>5</v>
      </c>
      <c r="Q2075" s="8" t="str">
        <f aca="false">IF($P2075=0,"-",IF($O2075&lt;=INDEX(PARAMETROS_CULTURAS!$F$6:$F$28,$P2075),"INICIAL",IF($O2075&lt;=INDEX(PARAMETROS_CULTURAS!$F$6:$F$28,$P2075)+INDEX(PARAMETROS_CULTURAS!$G$6:$G$28,$P2075),"DESENVOLVIMENTO",IF($O2075&lt;=INDEX(PARAMETROS_CULTURAS!$F$6:$F$28,$P2075)+INDEX(PARAMETROS_CULTURAS!$G$6:$G$28,$P2075)+INDEX(PARAMETROS_CULTURAS!$H$6:$H$28,$P2075),"MEDIA","FINAL"))))</f>
        <v>DESENVOLVIMENTO</v>
      </c>
      <c r="R2075" s="24" t="n">
        <f aca="false">IF($P2075=0,0,IF($O2075&lt;=INDEX(PARAMETROS_CULTURAS!$F$6:$F$28,$P2075),INDEX(PARAMETROS_CULTURAS!$K$6:$K$28,$P2075),IF($O2075&lt;=INDEX(PARAMETROS_CULTURAS!$F$6:$F$28,$P2075)+INDEX(PARAMETROS_CULTURAS!$G$6:$G$28,$P2075),INDEX(PARAMETROS_CULTURAS!$K$6:$K$28,$P2075)+(INDEX(PARAMETROS_CULTURAS!$L$6:$L$28,$P2075)-INDEX(PARAMETROS_CULTURAS!$K$6:$K$28,$P2075))*($O2075-INDEX(PARAMETROS_CULTURAS!$F$6:$F$28,$P2075))/MAX(INDEX(PARAMETROS_CULTURAS!$G$6:$G$28,$P2075),0.0001),IF($O2075&lt;=INDEX(PARAMETROS_CULTURAS!$F$6:$F$28,$P2075)+INDEX(PARAMETROS_CULTURAS!$G$6:$G$28,$P2075)+INDEX(PARAMETROS_CULTURAS!$H$6:$H$28,$P2075),INDEX(PARAMETROS_CULTURAS!$L$6:$L$28,$P2075),INDEX(PARAMETROS_CULTURAS!$L$6:$L$28,$P2075)+(INDEX(PARAMETROS_CULTURAS!$M$6:$M$28,$P2075)-INDEX(PARAMETROS_CULTURAS!$L$6:$L$28,$P2075))*($O2075-INDEX(PARAMETROS_CULTURAS!$F$6:$F$28,$P2075)-INDEX(PARAMETROS_CULTURAS!$G$6:$G$28,$P2075)-INDEX(PARAMETROS_CULTURAS!$H$6:$H$28,$P2075))/MAX(INDEX(PARAMETROS_CULTURAS!$I$6:$I$28,$P2075),0.0001)))))</f>
        <v>1.02455621301775</v>
      </c>
      <c r="S2075" s="18" t="n">
        <f aca="false">IFERROR(INDEX(SEMANAS!$H$6:$H$71,MATCH($B2075,SEMANAS!$B$6:$B$71,0)),0)</f>
        <v>32.9</v>
      </c>
      <c r="T2075" s="18" t="n">
        <f aca="false">$R2075*$S2075</f>
        <v>33.707899408284</v>
      </c>
      <c r="U2075" s="18" t="n">
        <f aca="false">IFERROR(INDEX(SEMANAS!$I$6:$I$71,MATCH($B2075,SEMANAS!$B$6:$B$71,0)),0)</f>
        <v>39.97</v>
      </c>
      <c r="V2075" s="18" t="n">
        <f aca="false">IFERROR(INDEX(SEMANAS!$J$6:$J$71,MATCH($B2075,SEMANAS!$B$6:$B$71,0)),0)</f>
        <v>31.976</v>
      </c>
      <c r="W2075" s="18" t="n">
        <f aca="false">MAX(0,$T2075-$V2075)</f>
        <v>1.73189940828402</v>
      </c>
      <c r="X2075" s="19" t="n">
        <f aca="false">IFERROR(INDEX(CADASTRO_PIVOS!$K$6:$K$41,MATCH($E2075,CADASTRO_PIVOS!$B$6:$B$41,0)),EFICIENCIA_PADRAO)</f>
        <v>0.85</v>
      </c>
      <c r="Y2075" s="18" t="n">
        <f aca="false">IF($X2075&lt;=0,0,$W2075/$X2075)</f>
        <v>2.03752871562826</v>
      </c>
      <c r="Z2075" s="16" t="n">
        <f aca="false">$Y2075*$H2075*MM_PARA_M3_HA</f>
        <v>2026.93356630699</v>
      </c>
      <c r="AA2075" s="18" t="n">
        <f aca="false">IFERROR(INDEX(CADASTRO_PIVOS!$I$6:$I$41,MATCH($E2075,CADASTRO_PIVOS!$B$6:$B$41,0)),0)</f>
        <v>710.571428571429</v>
      </c>
      <c r="AB2075" s="18" t="n">
        <f aca="false">IF($Z2075&lt;=0,0,$Z2075/$AA2075)</f>
        <v>2.85254020187956</v>
      </c>
      <c r="AC2075" s="16" t="n">
        <f aca="false">IFERROR(INDEX(SEMANAS!$K$6:$K$71,MATCH($B2075,SEMANAS!$B$6:$B$71,0)),0)</f>
        <v>147</v>
      </c>
      <c r="AD2075" s="19" t="n">
        <f aca="false">IF($AC2075&lt;=0,0,$AB2075/$AC2075)</f>
        <v>0.0194050353869358</v>
      </c>
      <c r="AE2075" s="8" t="str">
        <f aca="false">IF($K2075="SEM CULTURA","SEM CULTURA",IF($AA2075&lt;=0,"DADO PENDENTE",IF($AD2075&gt;LIMITE_CRITICO,"INVIAVEL",IF($AD2075&gt;LIMITE_ATENCAO,"CRITICO",IF($AD2075&gt;LIMITE_CONFORTAVEL,"ATENCAO","OK")))))</f>
        <v>OK</v>
      </c>
      <c r="AF2075" s="8" t="str">
        <f aca="false">$B2075&amp;"|"&amp;TEXT($AD2075,"0.000000")</f>
        <v>24|0.019405</v>
      </c>
      <c r="AG2075" s="18" t="n">
        <f aca="false">IF($K2075="SEM CULTURA",0,$T2075*$H2075)</f>
        <v>3353.26183313609</v>
      </c>
      <c r="AH2075" s="18" t="n">
        <f aca="false">IF($K2075="SEM CULTURA",0,$V2075*$H2075)</f>
        <v>3180.97248</v>
      </c>
      <c r="AI2075" s="18" t="n">
        <f aca="false">IF($K2075="SEM CULTURA",0,$W2075*$H2075)</f>
        <v>172.289353136094</v>
      </c>
      <c r="AJ2075" s="18" t="n">
        <f aca="false">IF($K2075="SEM CULTURA",0,$S2075*$H2075)</f>
        <v>3272.892</v>
      </c>
      <c r="AK2075" s="8" t="str">
        <f aca="false">$E2075&amp;"|"&amp;TEXT($AD2075,"0.000000")</f>
        <v>PV 133|0.019405</v>
      </c>
    </row>
    <row r="2076" customFormat="false" ht="15" hidden="false" customHeight="false" outlineLevel="0" collapsed="false">
      <c r="B2076" s="16" t="n">
        <v>25</v>
      </c>
      <c r="C2076" s="17" t="n">
        <f aca="false">DATA_INICIO_SAFRA+($B2076-1)*DIAS_POR_SEMANA</f>
        <v>46433</v>
      </c>
      <c r="D2076" s="17" t="n">
        <f aca="false">$C2076+DIAS_POR_SEMANA-1</f>
        <v>46439</v>
      </c>
      <c r="E2076" s="15" t="s">
        <v>290</v>
      </c>
      <c r="F2076" s="8" t="str">
        <f aca="false">IFERROR(INDEX(CADASTRO_PIVOS!$C$6:$C$41,MATCH($E2076,CADASTRO_PIVOS!$B$6:$B$41,0)),"?")</f>
        <v>RM07</v>
      </c>
      <c r="G2076" s="8" t="str">
        <f aca="false">IFERROR(INDEX(CADASTRO_PIVOS!$D$6:$D$41,MATCH($E2076,CADASTRO_PIVOS!$B$6:$B$41,0)),"?")</f>
        <v>TR07</v>
      </c>
      <c r="H2076" s="20" t="n">
        <f aca="false">IFERROR(INDEX(CADASTRO_PIVOS!$E$6:$E$41,MATCH($E2076,CADASTRO_PIVOS!$B$6:$B$41,0)),0)</f>
        <v>99.48</v>
      </c>
      <c r="I2076" s="16" t="n">
        <f aca="false">IFERROR(SUMIFS(ROTACAO_RDM!$B$6:$B$71,ROTACAO_RDM!$D$6:$D$71,$E2076,ROTACAO_RDM!$I$6:$I$71,"&lt;="&amp;$C2076+INT(DIAS_POR_SEMANA/2),ROTACAO_RDM!$J$6:$J$71,"&gt;="&amp;$C2076+INT(DIAS_POR_SEMANA/2)),0)</f>
        <v>66</v>
      </c>
      <c r="J2076" s="16" t="n">
        <f aca="false">IFERROR(MATCH($I2076,ROTACAO_RDM!$B$6:$B$71,0),0)</f>
        <v>66</v>
      </c>
      <c r="K2076" s="8" t="str">
        <f aca="false">IF($J2076=0,"SEM CULTURA",INDEX(ROTACAO_RDM!$F$6:$F$71,$J2076))</f>
        <v>ALGODAO</v>
      </c>
      <c r="L2076" s="8" t="str">
        <f aca="false">IF($J2076=0,"",INDEX(ROTACAO_RDM!$G$6:$G$71,$J2076))</f>
        <v>FM 974 GLT</v>
      </c>
      <c r="M2076" s="17" t="n">
        <f aca="false">IF($J2076=0,"",INDEX(ROTACAO_RDM!$I$6:$I$71,$J2076))</f>
        <v>46357</v>
      </c>
      <c r="N2076" s="16" t="n">
        <f aca="false">IF($J2076=0,0,MAX(0,$C2076+INT(DIAS_POR_SEMANA/2)-INDEX(ROTACAO_RDM!$I$6:$I$71,$J2076)))</f>
        <v>79</v>
      </c>
      <c r="O2076" s="19" t="n">
        <f aca="false">IF($J2076=0,0,MIN(1,$N2076/MAX(1,INDEX(ROTACAO_RDM!$K$6:$K$71,$J2076))))</f>
        <v>0.405128205128205</v>
      </c>
      <c r="P2076" s="16" t="n">
        <f aca="false">IF($J2076=0,0,IFERROR(MATCH(INDEX(ROTACAO_RDM!$N$6:$N$71,$J2076),PARAMETROS_CULTURAS!$B$6:$B$28,0),0))</f>
        <v>5</v>
      </c>
      <c r="Q2076" s="8" t="str">
        <f aca="false">IF($P2076=0,"-",IF($O2076&lt;=INDEX(PARAMETROS_CULTURAS!$F$6:$F$28,$P2076),"INICIAL",IF($O2076&lt;=INDEX(PARAMETROS_CULTURAS!$F$6:$F$28,$P2076)+INDEX(PARAMETROS_CULTURAS!$G$6:$G$28,$P2076),"DESENVOLVIMENTO",IF($O2076&lt;=INDEX(PARAMETROS_CULTURAS!$F$6:$F$28,$P2076)+INDEX(PARAMETROS_CULTURAS!$G$6:$G$28,$P2076)+INDEX(PARAMETROS_CULTURAS!$H$6:$H$28,$P2076),"MEDIA","FINAL"))))</f>
        <v>DESENVOLVIMENTO</v>
      </c>
      <c r="R2076" s="24" t="n">
        <f aca="false">IF($P2076=0,0,IF($O2076&lt;=INDEX(PARAMETROS_CULTURAS!$F$6:$F$28,$P2076),INDEX(PARAMETROS_CULTURAS!$K$6:$K$28,$P2076),IF($O2076&lt;=INDEX(PARAMETROS_CULTURAS!$F$6:$F$28,$P2076)+INDEX(PARAMETROS_CULTURAS!$G$6:$G$28,$P2076),INDEX(PARAMETROS_CULTURAS!$K$6:$K$28,$P2076)+(INDEX(PARAMETROS_CULTURAS!$L$6:$L$28,$P2076)-INDEX(PARAMETROS_CULTURAS!$K$6:$K$28,$P2076))*($O2076-INDEX(PARAMETROS_CULTURAS!$F$6:$F$28,$P2076))/MAX(INDEX(PARAMETROS_CULTURAS!$G$6:$G$28,$P2076),0.0001),IF($O2076&lt;=INDEX(PARAMETROS_CULTURAS!$F$6:$F$28,$P2076)+INDEX(PARAMETROS_CULTURAS!$G$6:$G$28,$P2076)+INDEX(PARAMETROS_CULTURAS!$H$6:$H$28,$P2076),INDEX(PARAMETROS_CULTURAS!$L$6:$L$28,$P2076),INDEX(PARAMETROS_CULTURAS!$L$6:$L$28,$P2076)+(INDEX(PARAMETROS_CULTURAS!$M$6:$M$28,$P2076)-INDEX(PARAMETROS_CULTURAS!$L$6:$L$28,$P2076))*($O2076-INDEX(PARAMETROS_CULTURAS!$F$6:$F$28,$P2076)-INDEX(PARAMETROS_CULTURAS!$G$6:$G$28,$P2076)-INDEX(PARAMETROS_CULTURAS!$H$6:$H$28,$P2076))/MAX(INDEX(PARAMETROS_CULTURAS!$I$6:$I$28,$P2076),0.0001)))))</f>
        <v>1.13500986193294</v>
      </c>
      <c r="S2076" s="18" t="n">
        <f aca="false">IFERROR(INDEX(SEMANAS!$H$6:$H$71,MATCH($B2076,SEMANAS!$B$6:$B$71,0)),0)</f>
        <v>32.9</v>
      </c>
      <c r="T2076" s="18" t="n">
        <f aca="false">$R2076*$S2076</f>
        <v>37.3418244575937</v>
      </c>
      <c r="U2076" s="18" t="n">
        <f aca="false">IFERROR(INDEX(SEMANAS!$I$6:$I$71,MATCH($B2076,SEMANAS!$B$6:$B$71,0)),0)</f>
        <v>39.97</v>
      </c>
      <c r="V2076" s="18" t="n">
        <f aca="false">IFERROR(INDEX(SEMANAS!$J$6:$J$71,MATCH($B2076,SEMANAS!$B$6:$B$71,0)),0)</f>
        <v>31.976</v>
      </c>
      <c r="W2076" s="18" t="n">
        <f aca="false">MAX(0,$T2076-$V2076)</f>
        <v>5.36582445759368</v>
      </c>
      <c r="X2076" s="19" t="n">
        <f aca="false">IFERROR(INDEX(CADASTRO_PIVOS!$K$6:$K$41,MATCH($E2076,CADASTRO_PIVOS!$B$6:$B$41,0)),EFICIENCIA_PADRAO)</f>
        <v>0.85</v>
      </c>
      <c r="Y2076" s="18" t="n">
        <f aca="false">IF($X2076&lt;=0,0,$W2076/$X2076)</f>
        <v>6.31273465599256</v>
      </c>
      <c r="Z2076" s="16" t="n">
        <f aca="false">$Y2076*$H2076*MM_PARA_M3_HA</f>
        <v>6279.9084357814</v>
      </c>
      <c r="AA2076" s="18" t="n">
        <f aca="false">IFERROR(INDEX(CADASTRO_PIVOS!$I$6:$I$41,MATCH($E2076,CADASTRO_PIVOS!$B$6:$B$41,0)),0)</f>
        <v>710.571428571429</v>
      </c>
      <c r="AB2076" s="18" t="n">
        <f aca="false">IF($Z2076&lt;=0,0,$Z2076/$AA2076)</f>
        <v>8.83782851838959</v>
      </c>
      <c r="AC2076" s="16" t="n">
        <f aca="false">IFERROR(INDEX(SEMANAS!$K$6:$K$71,MATCH($B2076,SEMANAS!$B$6:$B$71,0)),0)</f>
        <v>147</v>
      </c>
      <c r="AD2076" s="19" t="n">
        <f aca="false">IF($AC2076&lt;=0,0,$AB2076/$AC2076)</f>
        <v>0.0601212824380244</v>
      </c>
      <c r="AE2076" s="8" t="str">
        <f aca="false">IF($K2076="SEM CULTURA","SEM CULTURA",IF($AA2076&lt;=0,"DADO PENDENTE",IF($AD2076&gt;LIMITE_CRITICO,"INVIAVEL",IF($AD2076&gt;LIMITE_ATENCAO,"CRITICO",IF($AD2076&gt;LIMITE_CONFORTAVEL,"ATENCAO","OK")))))</f>
        <v>OK</v>
      </c>
      <c r="AF2076" s="8" t="str">
        <f aca="false">$B2076&amp;"|"&amp;TEXT($AD2076,"0.000000")</f>
        <v>25|0.060121</v>
      </c>
      <c r="AG2076" s="18" t="n">
        <f aca="false">IF($K2076="SEM CULTURA",0,$T2076*$H2076)</f>
        <v>3714.76469704142</v>
      </c>
      <c r="AH2076" s="18" t="n">
        <f aca="false">IF($K2076="SEM CULTURA",0,$V2076*$H2076)</f>
        <v>3180.97248</v>
      </c>
      <c r="AI2076" s="18" t="n">
        <f aca="false">IF($K2076="SEM CULTURA",0,$W2076*$H2076)</f>
        <v>533.792217041419</v>
      </c>
      <c r="AJ2076" s="18" t="n">
        <f aca="false">IF($K2076="SEM CULTURA",0,$S2076*$H2076)</f>
        <v>3272.892</v>
      </c>
      <c r="AK2076" s="8" t="str">
        <f aca="false">$E2076&amp;"|"&amp;TEXT($AD2076,"0.000000")</f>
        <v>PV 133|0.060121</v>
      </c>
    </row>
    <row r="2077" customFormat="false" ht="15" hidden="false" customHeight="false" outlineLevel="0" collapsed="false">
      <c r="B2077" s="16" t="n">
        <v>26</v>
      </c>
      <c r="C2077" s="17" t="n">
        <f aca="false">DATA_INICIO_SAFRA+($B2077-1)*DIAS_POR_SEMANA</f>
        <v>46440</v>
      </c>
      <c r="D2077" s="17" t="n">
        <f aca="false">$C2077+DIAS_POR_SEMANA-1</f>
        <v>46446</v>
      </c>
      <c r="E2077" s="15" t="s">
        <v>290</v>
      </c>
      <c r="F2077" s="8" t="str">
        <f aca="false">IFERROR(INDEX(CADASTRO_PIVOS!$C$6:$C$41,MATCH($E2077,CADASTRO_PIVOS!$B$6:$B$41,0)),"?")</f>
        <v>RM07</v>
      </c>
      <c r="G2077" s="8" t="str">
        <f aca="false">IFERROR(INDEX(CADASTRO_PIVOS!$D$6:$D$41,MATCH($E2077,CADASTRO_PIVOS!$B$6:$B$41,0)),"?")</f>
        <v>TR07</v>
      </c>
      <c r="H2077" s="20" t="n">
        <f aca="false">IFERROR(INDEX(CADASTRO_PIVOS!$E$6:$E$41,MATCH($E2077,CADASTRO_PIVOS!$B$6:$B$41,0)),0)</f>
        <v>99.48</v>
      </c>
      <c r="I2077" s="16" t="n">
        <f aca="false">IFERROR(SUMIFS(ROTACAO_RDM!$B$6:$B$71,ROTACAO_RDM!$D$6:$D$71,$E2077,ROTACAO_RDM!$I$6:$I$71,"&lt;="&amp;$C2077+INT(DIAS_POR_SEMANA/2),ROTACAO_RDM!$J$6:$J$71,"&gt;="&amp;$C2077+INT(DIAS_POR_SEMANA/2)),0)</f>
        <v>66</v>
      </c>
      <c r="J2077" s="16" t="n">
        <f aca="false">IFERROR(MATCH($I2077,ROTACAO_RDM!$B$6:$B$71,0),0)</f>
        <v>66</v>
      </c>
      <c r="K2077" s="8" t="str">
        <f aca="false">IF($J2077=0,"SEM CULTURA",INDEX(ROTACAO_RDM!$F$6:$F$71,$J2077))</f>
        <v>ALGODAO</v>
      </c>
      <c r="L2077" s="8" t="str">
        <f aca="false">IF($J2077=0,"",INDEX(ROTACAO_RDM!$G$6:$G$71,$J2077))</f>
        <v>FM 974 GLT</v>
      </c>
      <c r="M2077" s="17" t="n">
        <f aca="false">IF($J2077=0,"",INDEX(ROTACAO_RDM!$I$6:$I$71,$J2077))</f>
        <v>46357</v>
      </c>
      <c r="N2077" s="16" t="n">
        <f aca="false">IF($J2077=0,0,MAX(0,$C2077+INT(DIAS_POR_SEMANA/2)-INDEX(ROTACAO_RDM!$I$6:$I$71,$J2077)))</f>
        <v>86</v>
      </c>
      <c r="O2077" s="19" t="n">
        <f aca="false">IF($J2077=0,0,MIN(1,$N2077/MAX(1,INDEX(ROTACAO_RDM!$K$6:$K$71,$J2077))))</f>
        <v>0.441025641025641</v>
      </c>
      <c r="P2077" s="16" t="n">
        <f aca="false">IF($J2077=0,0,IFERROR(MATCH(INDEX(ROTACAO_RDM!$N$6:$N$71,$J2077),PARAMETROS_CULTURAS!$B$6:$B$28,0),0))</f>
        <v>5</v>
      </c>
      <c r="Q2077" s="8" t="str">
        <f aca="false">IF($P2077=0,"-",IF($O2077&lt;=INDEX(PARAMETROS_CULTURAS!$F$6:$F$28,$P2077),"INICIAL",IF($O2077&lt;=INDEX(PARAMETROS_CULTURAS!$F$6:$F$28,$P2077)+INDEX(PARAMETROS_CULTURAS!$G$6:$G$28,$P2077),"DESENVOLVIMENTO",IF($O2077&lt;=INDEX(PARAMETROS_CULTURAS!$F$6:$F$28,$P2077)+INDEX(PARAMETROS_CULTURAS!$G$6:$G$28,$P2077)+INDEX(PARAMETROS_CULTURAS!$H$6:$H$28,$P2077),"MEDIA","FINAL"))))</f>
        <v>MEDIA</v>
      </c>
      <c r="R2077" s="24" t="n">
        <f aca="false">IF($P2077=0,0,IF($O2077&lt;=INDEX(PARAMETROS_CULTURAS!$F$6:$F$28,$P2077),INDEX(PARAMETROS_CULTURAS!$K$6:$K$28,$P2077),IF($O2077&lt;=INDEX(PARAMETROS_CULTURAS!$F$6:$F$28,$P2077)+INDEX(PARAMETROS_CULTURAS!$G$6:$G$28,$P2077),INDEX(PARAMETROS_CULTURAS!$K$6:$K$28,$P2077)+(INDEX(PARAMETROS_CULTURAS!$L$6:$L$28,$P2077)-INDEX(PARAMETROS_CULTURAS!$K$6:$K$28,$P2077))*($O2077-INDEX(PARAMETROS_CULTURAS!$F$6:$F$28,$P2077))/MAX(INDEX(PARAMETROS_CULTURAS!$G$6:$G$28,$P2077),0.0001),IF($O2077&lt;=INDEX(PARAMETROS_CULTURAS!$F$6:$F$28,$P2077)+INDEX(PARAMETROS_CULTURAS!$G$6:$G$28,$P2077)+INDEX(PARAMETROS_CULTURAS!$H$6:$H$28,$P2077),INDEX(PARAMETROS_CULTURAS!$L$6:$L$28,$P2077),INDEX(PARAMETROS_CULTURAS!$L$6:$L$28,$P2077)+(INDEX(PARAMETROS_CULTURAS!$M$6:$M$28,$P2077)-INDEX(PARAMETROS_CULTURAS!$L$6:$L$28,$P2077))*($O2077-INDEX(PARAMETROS_CULTURAS!$F$6:$F$28,$P2077)-INDEX(PARAMETROS_CULTURAS!$G$6:$G$28,$P2077)-INDEX(PARAMETROS_CULTURAS!$H$6:$H$28,$P2077))/MAX(INDEX(PARAMETROS_CULTURAS!$I$6:$I$28,$P2077),0.0001)))))</f>
        <v>1.15</v>
      </c>
      <c r="S2077" s="18" t="n">
        <f aca="false">IFERROR(INDEX(SEMANAS!$H$6:$H$71,MATCH($B2077,SEMANAS!$B$6:$B$71,0)),0)</f>
        <v>32.9</v>
      </c>
      <c r="T2077" s="18" t="n">
        <f aca="false">$R2077*$S2077</f>
        <v>37.835</v>
      </c>
      <c r="U2077" s="18" t="n">
        <f aca="false">IFERROR(INDEX(SEMANAS!$I$6:$I$71,MATCH($B2077,SEMANAS!$B$6:$B$71,0)),0)</f>
        <v>39.97</v>
      </c>
      <c r="V2077" s="18" t="n">
        <f aca="false">IFERROR(INDEX(SEMANAS!$J$6:$J$71,MATCH($B2077,SEMANAS!$B$6:$B$71,0)),0)</f>
        <v>31.976</v>
      </c>
      <c r="W2077" s="18" t="n">
        <f aca="false">MAX(0,$T2077-$V2077)</f>
        <v>5.85899999999999</v>
      </c>
      <c r="X2077" s="19" t="n">
        <f aca="false">IFERROR(INDEX(CADASTRO_PIVOS!$K$6:$K$41,MATCH($E2077,CADASTRO_PIVOS!$B$6:$B$41,0)),EFICIENCIA_PADRAO)</f>
        <v>0.85</v>
      </c>
      <c r="Y2077" s="18" t="n">
        <f aca="false">IF($X2077&lt;=0,0,$W2077/$X2077)</f>
        <v>6.89294117647058</v>
      </c>
      <c r="Z2077" s="16" t="n">
        <f aca="false">$Y2077*$H2077*MM_PARA_M3_HA</f>
        <v>6857.09788235293</v>
      </c>
      <c r="AA2077" s="18" t="n">
        <f aca="false">IFERROR(INDEX(CADASTRO_PIVOS!$I$6:$I$41,MATCH($E2077,CADASTRO_PIVOS!$B$6:$B$41,0)),0)</f>
        <v>710.571428571429</v>
      </c>
      <c r="AB2077" s="18" t="n">
        <f aca="false">IF($Z2077&lt;=0,0,$Z2077/$AA2077)</f>
        <v>9.65011764705881</v>
      </c>
      <c r="AC2077" s="16" t="n">
        <f aca="false">IFERROR(INDEX(SEMANAS!$K$6:$K$71,MATCH($B2077,SEMANAS!$B$6:$B$71,0)),0)</f>
        <v>147</v>
      </c>
      <c r="AD2077" s="19" t="n">
        <f aca="false">IF($AC2077&lt;=0,0,$AB2077/$AC2077)</f>
        <v>0.0656470588235293</v>
      </c>
      <c r="AE2077" s="8" t="str">
        <f aca="false">IF($K2077="SEM CULTURA","SEM CULTURA",IF($AA2077&lt;=0,"DADO PENDENTE",IF($AD2077&gt;LIMITE_CRITICO,"INVIAVEL",IF($AD2077&gt;LIMITE_ATENCAO,"CRITICO",IF($AD2077&gt;LIMITE_CONFORTAVEL,"ATENCAO","OK")))))</f>
        <v>OK</v>
      </c>
      <c r="AF2077" s="8" t="str">
        <f aca="false">$B2077&amp;"|"&amp;TEXT($AD2077,"0.000000")</f>
        <v>26|0.065647</v>
      </c>
      <c r="AG2077" s="18" t="n">
        <f aca="false">IF($K2077="SEM CULTURA",0,$T2077*$H2077)</f>
        <v>3763.8258</v>
      </c>
      <c r="AH2077" s="18" t="n">
        <f aca="false">IF($K2077="SEM CULTURA",0,$V2077*$H2077)</f>
        <v>3180.97248</v>
      </c>
      <c r="AI2077" s="18" t="n">
        <f aca="false">IF($K2077="SEM CULTURA",0,$W2077*$H2077)</f>
        <v>582.853319999999</v>
      </c>
      <c r="AJ2077" s="18" t="n">
        <f aca="false">IF($K2077="SEM CULTURA",0,$S2077*$H2077)</f>
        <v>3272.892</v>
      </c>
      <c r="AK2077" s="8" t="str">
        <f aca="false">$E2077&amp;"|"&amp;TEXT($AD2077,"0.000000")</f>
        <v>PV 133|0.065647</v>
      </c>
    </row>
    <row r="2078" customFormat="false" ht="15" hidden="false" customHeight="false" outlineLevel="0" collapsed="false">
      <c r="B2078" s="16" t="n">
        <v>27</v>
      </c>
      <c r="C2078" s="17" t="n">
        <f aca="false">DATA_INICIO_SAFRA+($B2078-1)*DIAS_POR_SEMANA</f>
        <v>46447</v>
      </c>
      <c r="D2078" s="17" t="n">
        <f aca="false">$C2078+DIAS_POR_SEMANA-1</f>
        <v>46453</v>
      </c>
      <c r="E2078" s="15" t="s">
        <v>290</v>
      </c>
      <c r="F2078" s="8" t="str">
        <f aca="false">IFERROR(INDEX(CADASTRO_PIVOS!$C$6:$C$41,MATCH($E2078,CADASTRO_PIVOS!$B$6:$B$41,0)),"?")</f>
        <v>RM07</v>
      </c>
      <c r="G2078" s="8" t="str">
        <f aca="false">IFERROR(INDEX(CADASTRO_PIVOS!$D$6:$D$41,MATCH($E2078,CADASTRO_PIVOS!$B$6:$B$41,0)),"?")</f>
        <v>TR07</v>
      </c>
      <c r="H2078" s="20" t="n">
        <f aca="false">IFERROR(INDEX(CADASTRO_PIVOS!$E$6:$E$41,MATCH($E2078,CADASTRO_PIVOS!$B$6:$B$41,0)),0)</f>
        <v>99.48</v>
      </c>
      <c r="I2078" s="16" t="n">
        <f aca="false">IFERROR(SUMIFS(ROTACAO_RDM!$B$6:$B$71,ROTACAO_RDM!$D$6:$D$71,$E2078,ROTACAO_RDM!$I$6:$I$71,"&lt;="&amp;$C2078+INT(DIAS_POR_SEMANA/2),ROTACAO_RDM!$J$6:$J$71,"&gt;="&amp;$C2078+INT(DIAS_POR_SEMANA/2)),0)</f>
        <v>66</v>
      </c>
      <c r="J2078" s="16" t="n">
        <f aca="false">IFERROR(MATCH($I2078,ROTACAO_RDM!$B$6:$B$71,0),0)</f>
        <v>66</v>
      </c>
      <c r="K2078" s="8" t="str">
        <f aca="false">IF($J2078=0,"SEM CULTURA",INDEX(ROTACAO_RDM!$F$6:$F$71,$J2078))</f>
        <v>ALGODAO</v>
      </c>
      <c r="L2078" s="8" t="str">
        <f aca="false">IF($J2078=0,"",INDEX(ROTACAO_RDM!$G$6:$G$71,$J2078))</f>
        <v>FM 974 GLT</v>
      </c>
      <c r="M2078" s="17" t="n">
        <f aca="false">IF($J2078=0,"",INDEX(ROTACAO_RDM!$I$6:$I$71,$J2078))</f>
        <v>46357</v>
      </c>
      <c r="N2078" s="16" t="n">
        <f aca="false">IF($J2078=0,0,MAX(0,$C2078+INT(DIAS_POR_SEMANA/2)-INDEX(ROTACAO_RDM!$I$6:$I$71,$J2078)))</f>
        <v>93</v>
      </c>
      <c r="O2078" s="19" t="n">
        <f aca="false">IF($J2078=0,0,MIN(1,$N2078/MAX(1,INDEX(ROTACAO_RDM!$K$6:$K$71,$J2078))))</f>
        <v>0.476923076923077</v>
      </c>
      <c r="P2078" s="16" t="n">
        <f aca="false">IF($J2078=0,0,IFERROR(MATCH(INDEX(ROTACAO_RDM!$N$6:$N$71,$J2078),PARAMETROS_CULTURAS!$B$6:$B$28,0),0))</f>
        <v>5</v>
      </c>
      <c r="Q2078" s="8" t="str">
        <f aca="false">IF($P2078=0,"-",IF($O2078&lt;=INDEX(PARAMETROS_CULTURAS!$F$6:$F$28,$P2078),"INICIAL",IF($O2078&lt;=INDEX(PARAMETROS_CULTURAS!$F$6:$F$28,$P2078)+INDEX(PARAMETROS_CULTURAS!$G$6:$G$28,$P2078),"DESENVOLVIMENTO",IF($O2078&lt;=INDEX(PARAMETROS_CULTURAS!$F$6:$F$28,$P2078)+INDEX(PARAMETROS_CULTURAS!$G$6:$G$28,$P2078)+INDEX(PARAMETROS_CULTURAS!$H$6:$H$28,$P2078),"MEDIA","FINAL"))))</f>
        <v>MEDIA</v>
      </c>
      <c r="R2078" s="24" t="n">
        <f aca="false">IF($P2078=0,0,IF($O2078&lt;=INDEX(PARAMETROS_CULTURAS!$F$6:$F$28,$P2078),INDEX(PARAMETROS_CULTURAS!$K$6:$K$28,$P2078),IF($O2078&lt;=INDEX(PARAMETROS_CULTURAS!$F$6:$F$28,$P2078)+INDEX(PARAMETROS_CULTURAS!$G$6:$G$28,$P2078),INDEX(PARAMETROS_CULTURAS!$K$6:$K$28,$P2078)+(INDEX(PARAMETROS_CULTURAS!$L$6:$L$28,$P2078)-INDEX(PARAMETROS_CULTURAS!$K$6:$K$28,$P2078))*($O2078-INDEX(PARAMETROS_CULTURAS!$F$6:$F$28,$P2078))/MAX(INDEX(PARAMETROS_CULTURAS!$G$6:$G$28,$P2078),0.0001),IF($O2078&lt;=INDEX(PARAMETROS_CULTURAS!$F$6:$F$28,$P2078)+INDEX(PARAMETROS_CULTURAS!$G$6:$G$28,$P2078)+INDEX(PARAMETROS_CULTURAS!$H$6:$H$28,$P2078),INDEX(PARAMETROS_CULTURAS!$L$6:$L$28,$P2078),INDEX(PARAMETROS_CULTURAS!$L$6:$L$28,$P2078)+(INDEX(PARAMETROS_CULTURAS!$M$6:$M$28,$P2078)-INDEX(PARAMETROS_CULTURAS!$L$6:$L$28,$P2078))*($O2078-INDEX(PARAMETROS_CULTURAS!$F$6:$F$28,$P2078)-INDEX(PARAMETROS_CULTURAS!$G$6:$G$28,$P2078)-INDEX(PARAMETROS_CULTURAS!$H$6:$H$28,$P2078))/MAX(INDEX(PARAMETROS_CULTURAS!$I$6:$I$28,$P2078),0.0001)))))</f>
        <v>1.15</v>
      </c>
      <c r="S2078" s="18" t="n">
        <f aca="false">IFERROR(INDEX(SEMANAS!$H$6:$H$71,MATCH($B2078,SEMANAS!$B$6:$B$71,0)),0)</f>
        <v>32.2</v>
      </c>
      <c r="T2078" s="18" t="n">
        <f aca="false">$R2078*$S2078</f>
        <v>37.03</v>
      </c>
      <c r="U2078" s="18" t="n">
        <f aca="false">IFERROR(INDEX(SEMANAS!$I$6:$I$71,MATCH($B2078,SEMANAS!$B$6:$B$71,0)),0)</f>
        <v>37.24</v>
      </c>
      <c r="V2078" s="18" t="n">
        <f aca="false">IFERROR(INDEX(SEMANAS!$J$6:$J$71,MATCH($B2078,SEMANAS!$B$6:$B$71,0)),0)</f>
        <v>29.792</v>
      </c>
      <c r="W2078" s="18" t="n">
        <f aca="false">MAX(0,$T2078-$V2078)</f>
        <v>7.23799999999999</v>
      </c>
      <c r="X2078" s="19" t="n">
        <f aca="false">IFERROR(INDEX(CADASTRO_PIVOS!$K$6:$K$41,MATCH($E2078,CADASTRO_PIVOS!$B$6:$B$41,0)),EFICIENCIA_PADRAO)</f>
        <v>0.85</v>
      </c>
      <c r="Y2078" s="18" t="n">
        <f aca="false">IF($X2078&lt;=0,0,$W2078/$X2078)</f>
        <v>8.51529411764705</v>
      </c>
      <c r="Z2078" s="16" t="n">
        <f aca="false">$Y2078*$H2078*MM_PARA_M3_HA</f>
        <v>8471.01458823529</v>
      </c>
      <c r="AA2078" s="18" t="n">
        <f aca="false">IFERROR(INDEX(CADASTRO_PIVOS!$I$6:$I$41,MATCH($E2078,CADASTRO_PIVOS!$B$6:$B$41,0)),0)</f>
        <v>710.571428571429</v>
      </c>
      <c r="AB2078" s="18" t="n">
        <f aca="false">IF($Z2078&lt;=0,0,$Z2078/$AA2078)</f>
        <v>11.9214117647059</v>
      </c>
      <c r="AC2078" s="16" t="n">
        <f aca="false">IFERROR(INDEX(SEMANAS!$K$6:$K$71,MATCH($B2078,SEMANAS!$B$6:$B$71,0)),0)</f>
        <v>147</v>
      </c>
      <c r="AD2078" s="19" t="n">
        <f aca="false">IF($AC2078&lt;=0,0,$AB2078/$AC2078)</f>
        <v>0.0810980392156862</v>
      </c>
      <c r="AE2078" s="8" t="str">
        <f aca="false">IF($K2078="SEM CULTURA","SEM CULTURA",IF($AA2078&lt;=0,"DADO PENDENTE",IF($AD2078&gt;LIMITE_CRITICO,"INVIAVEL",IF($AD2078&gt;LIMITE_ATENCAO,"CRITICO",IF($AD2078&gt;LIMITE_CONFORTAVEL,"ATENCAO","OK")))))</f>
        <v>OK</v>
      </c>
      <c r="AF2078" s="8" t="str">
        <f aca="false">$B2078&amp;"|"&amp;TEXT($AD2078,"0.000000")</f>
        <v>27|0.081098</v>
      </c>
      <c r="AG2078" s="18" t="n">
        <f aca="false">IF($K2078="SEM CULTURA",0,$T2078*$H2078)</f>
        <v>3683.7444</v>
      </c>
      <c r="AH2078" s="18" t="n">
        <f aca="false">IF($K2078="SEM CULTURA",0,$V2078*$H2078)</f>
        <v>2963.70816</v>
      </c>
      <c r="AI2078" s="18" t="n">
        <f aca="false">IF($K2078="SEM CULTURA",0,$W2078*$H2078)</f>
        <v>720.036239999999</v>
      </c>
      <c r="AJ2078" s="18" t="n">
        <f aca="false">IF($K2078="SEM CULTURA",0,$S2078*$H2078)</f>
        <v>3203.256</v>
      </c>
      <c r="AK2078" s="8" t="str">
        <f aca="false">$E2078&amp;"|"&amp;TEXT($AD2078,"0.000000")</f>
        <v>PV 133|0.081098</v>
      </c>
    </row>
    <row r="2079" customFormat="false" ht="15" hidden="false" customHeight="false" outlineLevel="0" collapsed="false">
      <c r="B2079" s="16" t="n">
        <v>28</v>
      </c>
      <c r="C2079" s="17" t="n">
        <f aca="false">DATA_INICIO_SAFRA+($B2079-1)*DIAS_POR_SEMANA</f>
        <v>46454</v>
      </c>
      <c r="D2079" s="17" t="n">
        <f aca="false">$C2079+DIAS_POR_SEMANA-1</f>
        <v>46460</v>
      </c>
      <c r="E2079" s="15" t="s">
        <v>290</v>
      </c>
      <c r="F2079" s="8" t="str">
        <f aca="false">IFERROR(INDEX(CADASTRO_PIVOS!$C$6:$C$41,MATCH($E2079,CADASTRO_PIVOS!$B$6:$B$41,0)),"?")</f>
        <v>RM07</v>
      </c>
      <c r="G2079" s="8" t="str">
        <f aca="false">IFERROR(INDEX(CADASTRO_PIVOS!$D$6:$D$41,MATCH($E2079,CADASTRO_PIVOS!$B$6:$B$41,0)),"?")</f>
        <v>TR07</v>
      </c>
      <c r="H2079" s="20" t="n">
        <f aca="false">IFERROR(INDEX(CADASTRO_PIVOS!$E$6:$E$41,MATCH($E2079,CADASTRO_PIVOS!$B$6:$B$41,0)),0)</f>
        <v>99.48</v>
      </c>
      <c r="I2079" s="16" t="n">
        <f aca="false">IFERROR(SUMIFS(ROTACAO_RDM!$B$6:$B$71,ROTACAO_RDM!$D$6:$D$71,$E2079,ROTACAO_RDM!$I$6:$I$71,"&lt;="&amp;$C2079+INT(DIAS_POR_SEMANA/2),ROTACAO_RDM!$J$6:$J$71,"&gt;="&amp;$C2079+INT(DIAS_POR_SEMANA/2)),0)</f>
        <v>66</v>
      </c>
      <c r="J2079" s="16" t="n">
        <f aca="false">IFERROR(MATCH($I2079,ROTACAO_RDM!$B$6:$B$71,0),0)</f>
        <v>66</v>
      </c>
      <c r="K2079" s="8" t="str">
        <f aca="false">IF($J2079=0,"SEM CULTURA",INDEX(ROTACAO_RDM!$F$6:$F$71,$J2079))</f>
        <v>ALGODAO</v>
      </c>
      <c r="L2079" s="8" t="str">
        <f aca="false">IF($J2079=0,"",INDEX(ROTACAO_RDM!$G$6:$G$71,$J2079))</f>
        <v>FM 974 GLT</v>
      </c>
      <c r="M2079" s="17" t="n">
        <f aca="false">IF($J2079=0,"",INDEX(ROTACAO_RDM!$I$6:$I$71,$J2079))</f>
        <v>46357</v>
      </c>
      <c r="N2079" s="16" t="n">
        <f aca="false">IF($J2079=0,0,MAX(0,$C2079+INT(DIAS_POR_SEMANA/2)-INDEX(ROTACAO_RDM!$I$6:$I$71,$J2079)))</f>
        <v>100</v>
      </c>
      <c r="O2079" s="19" t="n">
        <f aca="false">IF($J2079=0,0,MIN(1,$N2079/MAX(1,INDEX(ROTACAO_RDM!$K$6:$K$71,$J2079))))</f>
        <v>0.512820512820513</v>
      </c>
      <c r="P2079" s="16" t="n">
        <f aca="false">IF($J2079=0,0,IFERROR(MATCH(INDEX(ROTACAO_RDM!$N$6:$N$71,$J2079),PARAMETROS_CULTURAS!$B$6:$B$28,0),0))</f>
        <v>5</v>
      </c>
      <c r="Q2079" s="8" t="str">
        <f aca="false">IF($P2079=0,"-",IF($O2079&lt;=INDEX(PARAMETROS_CULTURAS!$F$6:$F$28,$P2079),"INICIAL",IF($O2079&lt;=INDEX(PARAMETROS_CULTURAS!$F$6:$F$28,$P2079)+INDEX(PARAMETROS_CULTURAS!$G$6:$G$28,$P2079),"DESENVOLVIMENTO",IF($O2079&lt;=INDEX(PARAMETROS_CULTURAS!$F$6:$F$28,$P2079)+INDEX(PARAMETROS_CULTURAS!$G$6:$G$28,$P2079)+INDEX(PARAMETROS_CULTURAS!$H$6:$H$28,$P2079),"MEDIA","FINAL"))))</f>
        <v>MEDIA</v>
      </c>
      <c r="R2079" s="24" t="n">
        <f aca="false">IF($P2079=0,0,IF($O2079&lt;=INDEX(PARAMETROS_CULTURAS!$F$6:$F$28,$P2079),INDEX(PARAMETROS_CULTURAS!$K$6:$K$28,$P2079),IF($O2079&lt;=INDEX(PARAMETROS_CULTURAS!$F$6:$F$28,$P2079)+INDEX(PARAMETROS_CULTURAS!$G$6:$G$28,$P2079),INDEX(PARAMETROS_CULTURAS!$K$6:$K$28,$P2079)+(INDEX(PARAMETROS_CULTURAS!$L$6:$L$28,$P2079)-INDEX(PARAMETROS_CULTURAS!$K$6:$K$28,$P2079))*($O2079-INDEX(PARAMETROS_CULTURAS!$F$6:$F$28,$P2079))/MAX(INDEX(PARAMETROS_CULTURAS!$G$6:$G$28,$P2079),0.0001),IF($O2079&lt;=INDEX(PARAMETROS_CULTURAS!$F$6:$F$28,$P2079)+INDEX(PARAMETROS_CULTURAS!$G$6:$G$28,$P2079)+INDEX(PARAMETROS_CULTURAS!$H$6:$H$28,$P2079),INDEX(PARAMETROS_CULTURAS!$L$6:$L$28,$P2079),INDEX(PARAMETROS_CULTURAS!$L$6:$L$28,$P2079)+(INDEX(PARAMETROS_CULTURAS!$M$6:$M$28,$P2079)-INDEX(PARAMETROS_CULTURAS!$L$6:$L$28,$P2079))*($O2079-INDEX(PARAMETROS_CULTURAS!$F$6:$F$28,$P2079)-INDEX(PARAMETROS_CULTURAS!$G$6:$G$28,$P2079)-INDEX(PARAMETROS_CULTURAS!$H$6:$H$28,$P2079))/MAX(INDEX(PARAMETROS_CULTURAS!$I$6:$I$28,$P2079),0.0001)))))</f>
        <v>1.15</v>
      </c>
      <c r="S2079" s="18" t="n">
        <f aca="false">IFERROR(INDEX(SEMANAS!$H$6:$H$71,MATCH($B2079,SEMANAS!$B$6:$B$71,0)),0)</f>
        <v>32.2</v>
      </c>
      <c r="T2079" s="18" t="n">
        <f aca="false">$R2079*$S2079</f>
        <v>37.03</v>
      </c>
      <c r="U2079" s="18" t="n">
        <f aca="false">IFERROR(INDEX(SEMANAS!$I$6:$I$71,MATCH($B2079,SEMANAS!$B$6:$B$71,0)),0)</f>
        <v>37.24</v>
      </c>
      <c r="V2079" s="18" t="n">
        <f aca="false">IFERROR(INDEX(SEMANAS!$J$6:$J$71,MATCH($B2079,SEMANAS!$B$6:$B$71,0)),0)</f>
        <v>29.792</v>
      </c>
      <c r="W2079" s="18" t="n">
        <f aca="false">MAX(0,$T2079-$V2079)</f>
        <v>7.23799999999999</v>
      </c>
      <c r="X2079" s="19" t="n">
        <f aca="false">IFERROR(INDEX(CADASTRO_PIVOS!$K$6:$K$41,MATCH($E2079,CADASTRO_PIVOS!$B$6:$B$41,0)),EFICIENCIA_PADRAO)</f>
        <v>0.85</v>
      </c>
      <c r="Y2079" s="18" t="n">
        <f aca="false">IF($X2079&lt;=0,0,$W2079/$X2079)</f>
        <v>8.51529411764705</v>
      </c>
      <c r="Z2079" s="16" t="n">
        <f aca="false">$Y2079*$H2079*MM_PARA_M3_HA</f>
        <v>8471.01458823529</v>
      </c>
      <c r="AA2079" s="18" t="n">
        <f aca="false">IFERROR(INDEX(CADASTRO_PIVOS!$I$6:$I$41,MATCH($E2079,CADASTRO_PIVOS!$B$6:$B$41,0)),0)</f>
        <v>710.571428571429</v>
      </c>
      <c r="AB2079" s="18" t="n">
        <f aca="false">IF($Z2079&lt;=0,0,$Z2079/$AA2079)</f>
        <v>11.9214117647059</v>
      </c>
      <c r="AC2079" s="16" t="n">
        <f aca="false">IFERROR(INDEX(SEMANAS!$K$6:$K$71,MATCH($B2079,SEMANAS!$B$6:$B$71,0)),0)</f>
        <v>147</v>
      </c>
      <c r="AD2079" s="19" t="n">
        <f aca="false">IF($AC2079&lt;=0,0,$AB2079/$AC2079)</f>
        <v>0.0810980392156862</v>
      </c>
      <c r="AE2079" s="8" t="str">
        <f aca="false">IF($K2079="SEM CULTURA","SEM CULTURA",IF($AA2079&lt;=0,"DADO PENDENTE",IF($AD2079&gt;LIMITE_CRITICO,"INVIAVEL",IF($AD2079&gt;LIMITE_ATENCAO,"CRITICO",IF($AD2079&gt;LIMITE_CONFORTAVEL,"ATENCAO","OK")))))</f>
        <v>OK</v>
      </c>
      <c r="AF2079" s="8" t="str">
        <f aca="false">$B2079&amp;"|"&amp;TEXT($AD2079,"0.000000")</f>
        <v>28|0.081098</v>
      </c>
      <c r="AG2079" s="18" t="n">
        <f aca="false">IF($K2079="SEM CULTURA",0,$T2079*$H2079)</f>
        <v>3683.7444</v>
      </c>
      <c r="AH2079" s="18" t="n">
        <f aca="false">IF($K2079="SEM CULTURA",0,$V2079*$H2079)</f>
        <v>2963.70816</v>
      </c>
      <c r="AI2079" s="18" t="n">
        <f aca="false">IF($K2079="SEM CULTURA",0,$W2079*$H2079)</f>
        <v>720.036239999999</v>
      </c>
      <c r="AJ2079" s="18" t="n">
        <f aca="false">IF($K2079="SEM CULTURA",0,$S2079*$H2079)</f>
        <v>3203.256</v>
      </c>
      <c r="AK2079" s="8" t="str">
        <f aca="false">$E2079&amp;"|"&amp;TEXT($AD2079,"0.000000")</f>
        <v>PV 133|0.081098</v>
      </c>
    </row>
    <row r="2080" customFormat="false" ht="15" hidden="false" customHeight="false" outlineLevel="0" collapsed="false">
      <c r="B2080" s="16" t="n">
        <v>29</v>
      </c>
      <c r="C2080" s="17" t="n">
        <f aca="false">DATA_INICIO_SAFRA+($B2080-1)*DIAS_POR_SEMANA</f>
        <v>46461</v>
      </c>
      <c r="D2080" s="17" t="n">
        <f aca="false">$C2080+DIAS_POR_SEMANA-1</f>
        <v>46467</v>
      </c>
      <c r="E2080" s="15" t="s">
        <v>290</v>
      </c>
      <c r="F2080" s="8" t="str">
        <f aca="false">IFERROR(INDEX(CADASTRO_PIVOS!$C$6:$C$41,MATCH($E2080,CADASTRO_PIVOS!$B$6:$B$41,0)),"?")</f>
        <v>RM07</v>
      </c>
      <c r="G2080" s="8" t="str">
        <f aca="false">IFERROR(INDEX(CADASTRO_PIVOS!$D$6:$D$41,MATCH($E2080,CADASTRO_PIVOS!$B$6:$B$41,0)),"?")</f>
        <v>TR07</v>
      </c>
      <c r="H2080" s="20" t="n">
        <f aca="false">IFERROR(INDEX(CADASTRO_PIVOS!$E$6:$E$41,MATCH($E2080,CADASTRO_PIVOS!$B$6:$B$41,0)),0)</f>
        <v>99.48</v>
      </c>
      <c r="I2080" s="16" t="n">
        <f aca="false">IFERROR(SUMIFS(ROTACAO_RDM!$B$6:$B$71,ROTACAO_RDM!$D$6:$D$71,$E2080,ROTACAO_RDM!$I$6:$I$71,"&lt;="&amp;$C2080+INT(DIAS_POR_SEMANA/2),ROTACAO_RDM!$J$6:$J$71,"&gt;="&amp;$C2080+INT(DIAS_POR_SEMANA/2)),0)</f>
        <v>66</v>
      </c>
      <c r="J2080" s="16" t="n">
        <f aca="false">IFERROR(MATCH($I2080,ROTACAO_RDM!$B$6:$B$71,0),0)</f>
        <v>66</v>
      </c>
      <c r="K2080" s="8" t="str">
        <f aca="false">IF($J2080=0,"SEM CULTURA",INDEX(ROTACAO_RDM!$F$6:$F$71,$J2080))</f>
        <v>ALGODAO</v>
      </c>
      <c r="L2080" s="8" t="str">
        <f aca="false">IF($J2080=0,"",INDEX(ROTACAO_RDM!$G$6:$G$71,$J2080))</f>
        <v>FM 974 GLT</v>
      </c>
      <c r="M2080" s="17" t="n">
        <f aca="false">IF($J2080=0,"",INDEX(ROTACAO_RDM!$I$6:$I$71,$J2080))</f>
        <v>46357</v>
      </c>
      <c r="N2080" s="16" t="n">
        <f aca="false">IF($J2080=0,0,MAX(0,$C2080+INT(DIAS_POR_SEMANA/2)-INDEX(ROTACAO_RDM!$I$6:$I$71,$J2080)))</f>
        <v>107</v>
      </c>
      <c r="O2080" s="19" t="n">
        <f aca="false">IF($J2080=0,0,MIN(1,$N2080/MAX(1,INDEX(ROTACAO_RDM!$K$6:$K$71,$J2080))))</f>
        <v>0.548717948717949</v>
      </c>
      <c r="P2080" s="16" t="n">
        <f aca="false">IF($J2080=0,0,IFERROR(MATCH(INDEX(ROTACAO_RDM!$N$6:$N$71,$J2080),PARAMETROS_CULTURAS!$B$6:$B$28,0),0))</f>
        <v>5</v>
      </c>
      <c r="Q2080" s="8" t="str">
        <f aca="false">IF($P2080=0,"-",IF($O2080&lt;=INDEX(PARAMETROS_CULTURAS!$F$6:$F$28,$P2080),"INICIAL",IF($O2080&lt;=INDEX(PARAMETROS_CULTURAS!$F$6:$F$28,$P2080)+INDEX(PARAMETROS_CULTURAS!$G$6:$G$28,$P2080),"DESENVOLVIMENTO",IF($O2080&lt;=INDEX(PARAMETROS_CULTURAS!$F$6:$F$28,$P2080)+INDEX(PARAMETROS_CULTURAS!$G$6:$G$28,$P2080)+INDEX(PARAMETROS_CULTURAS!$H$6:$H$28,$P2080),"MEDIA","FINAL"))))</f>
        <v>MEDIA</v>
      </c>
      <c r="R2080" s="24" t="n">
        <f aca="false">IF($P2080=0,0,IF($O2080&lt;=INDEX(PARAMETROS_CULTURAS!$F$6:$F$28,$P2080),INDEX(PARAMETROS_CULTURAS!$K$6:$K$28,$P2080),IF($O2080&lt;=INDEX(PARAMETROS_CULTURAS!$F$6:$F$28,$P2080)+INDEX(PARAMETROS_CULTURAS!$G$6:$G$28,$P2080),INDEX(PARAMETROS_CULTURAS!$K$6:$K$28,$P2080)+(INDEX(PARAMETROS_CULTURAS!$L$6:$L$28,$P2080)-INDEX(PARAMETROS_CULTURAS!$K$6:$K$28,$P2080))*($O2080-INDEX(PARAMETROS_CULTURAS!$F$6:$F$28,$P2080))/MAX(INDEX(PARAMETROS_CULTURAS!$G$6:$G$28,$P2080),0.0001),IF($O2080&lt;=INDEX(PARAMETROS_CULTURAS!$F$6:$F$28,$P2080)+INDEX(PARAMETROS_CULTURAS!$G$6:$G$28,$P2080)+INDEX(PARAMETROS_CULTURAS!$H$6:$H$28,$P2080),INDEX(PARAMETROS_CULTURAS!$L$6:$L$28,$P2080),INDEX(PARAMETROS_CULTURAS!$L$6:$L$28,$P2080)+(INDEX(PARAMETROS_CULTURAS!$M$6:$M$28,$P2080)-INDEX(PARAMETROS_CULTURAS!$L$6:$L$28,$P2080))*($O2080-INDEX(PARAMETROS_CULTURAS!$F$6:$F$28,$P2080)-INDEX(PARAMETROS_CULTURAS!$G$6:$G$28,$P2080)-INDEX(PARAMETROS_CULTURAS!$H$6:$H$28,$P2080))/MAX(INDEX(PARAMETROS_CULTURAS!$I$6:$I$28,$P2080),0.0001)))))</f>
        <v>1.15</v>
      </c>
      <c r="S2080" s="18" t="n">
        <f aca="false">IFERROR(INDEX(SEMANAS!$H$6:$H$71,MATCH($B2080,SEMANAS!$B$6:$B$71,0)),0)</f>
        <v>32.2</v>
      </c>
      <c r="T2080" s="18" t="n">
        <f aca="false">$R2080*$S2080</f>
        <v>37.03</v>
      </c>
      <c r="U2080" s="18" t="n">
        <f aca="false">IFERROR(INDEX(SEMANAS!$I$6:$I$71,MATCH($B2080,SEMANAS!$B$6:$B$71,0)),0)</f>
        <v>37.24</v>
      </c>
      <c r="V2080" s="18" t="n">
        <f aca="false">IFERROR(INDEX(SEMANAS!$J$6:$J$71,MATCH($B2080,SEMANAS!$B$6:$B$71,0)),0)</f>
        <v>29.792</v>
      </c>
      <c r="W2080" s="18" t="n">
        <f aca="false">MAX(0,$T2080-$V2080)</f>
        <v>7.23799999999999</v>
      </c>
      <c r="X2080" s="19" t="n">
        <f aca="false">IFERROR(INDEX(CADASTRO_PIVOS!$K$6:$K$41,MATCH($E2080,CADASTRO_PIVOS!$B$6:$B$41,0)),EFICIENCIA_PADRAO)</f>
        <v>0.85</v>
      </c>
      <c r="Y2080" s="18" t="n">
        <f aca="false">IF($X2080&lt;=0,0,$W2080/$X2080)</f>
        <v>8.51529411764705</v>
      </c>
      <c r="Z2080" s="16" t="n">
        <f aca="false">$Y2080*$H2080*MM_PARA_M3_HA</f>
        <v>8471.01458823529</v>
      </c>
      <c r="AA2080" s="18" t="n">
        <f aca="false">IFERROR(INDEX(CADASTRO_PIVOS!$I$6:$I$41,MATCH($E2080,CADASTRO_PIVOS!$B$6:$B$41,0)),0)</f>
        <v>710.571428571429</v>
      </c>
      <c r="AB2080" s="18" t="n">
        <f aca="false">IF($Z2080&lt;=0,0,$Z2080/$AA2080)</f>
        <v>11.9214117647059</v>
      </c>
      <c r="AC2080" s="16" t="n">
        <f aca="false">IFERROR(INDEX(SEMANAS!$K$6:$K$71,MATCH($B2080,SEMANAS!$B$6:$B$71,0)),0)</f>
        <v>147</v>
      </c>
      <c r="AD2080" s="19" t="n">
        <f aca="false">IF($AC2080&lt;=0,0,$AB2080/$AC2080)</f>
        <v>0.0810980392156862</v>
      </c>
      <c r="AE2080" s="8" t="str">
        <f aca="false">IF($K2080="SEM CULTURA","SEM CULTURA",IF($AA2080&lt;=0,"DADO PENDENTE",IF($AD2080&gt;LIMITE_CRITICO,"INVIAVEL",IF($AD2080&gt;LIMITE_ATENCAO,"CRITICO",IF($AD2080&gt;LIMITE_CONFORTAVEL,"ATENCAO","OK")))))</f>
        <v>OK</v>
      </c>
      <c r="AF2080" s="8" t="str">
        <f aca="false">$B2080&amp;"|"&amp;TEXT($AD2080,"0.000000")</f>
        <v>29|0.081098</v>
      </c>
      <c r="AG2080" s="18" t="n">
        <f aca="false">IF($K2080="SEM CULTURA",0,$T2080*$H2080)</f>
        <v>3683.7444</v>
      </c>
      <c r="AH2080" s="18" t="n">
        <f aca="false">IF($K2080="SEM CULTURA",0,$V2080*$H2080)</f>
        <v>2963.70816</v>
      </c>
      <c r="AI2080" s="18" t="n">
        <f aca="false">IF($K2080="SEM CULTURA",0,$W2080*$H2080)</f>
        <v>720.036239999999</v>
      </c>
      <c r="AJ2080" s="18" t="n">
        <f aca="false">IF($K2080="SEM CULTURA",0,$S2080*$H2080)</f>
        <v>3203.256</v>
      </c>
      <c r="AK2080" s="8" t="str">
        <f aca="false">$E2080&amp;"|"&amp;TEXT($AD2080,"0.000000")</f>
        <v>PV 133|0.081098</v>
      </c>
    </row>
    <row r="2081" customFormat="false" ht="15" hidden="false" customHeight="false" outlineLevel="0" collapsed="false">
      <c r="B2081" s="16" t="n">
        <v>30</v>
      </c>
      <c r="C2081" s="17" t="n">
        <f aca="false">DATA_INICIO_SAFRA+($B2081-1)*DIAS_POR_SEMANA</f>
        <v>46468</v>
      </c>
      <c r="D2081" s="17" t="n">
        <f aca="false">$C2081+DIAS_POR_SEMANA-1</f>
        <v>46474</v>
      </c>
      <c r="E2081" s="15" t="s">
        <v>290</v>
      </c>
      <c r="F2081" s="8" t="str">
        <f aca="false">IFERROR(INDEX(CADASTRO_PIVOS!$C$6:$C$41,MATCH($E2081,CADASTRO_PIVOS!$B$6:$B$41,0)),"?")</f>
        <v>RM07</v>
      </c>
      <c r="G2081" s="8" t="str">
        <f aca="false">IFERROR(INDEX(CADASTRO_PIVOS!$D$6:$D$41,MATCH($E2081,CADASTRO_PIVOS!$B$6:$B$41,0)),"?")</f>
        <v>TR07</v>
      </c>
      <c r="H2081" s="20" t="n">
        <f aca="false">IFERROR(INDEX(CADASTRO_PIVOS!$E$6:$E$41,MATCH($E2081,CADASTRO_PIVOS!$B$6:$B$41,0)),0)</f>
        <v>99.48</v>
      </c>
      <c r="I2081" s="16" t="n">
        <f aca="false">IFERROR(SUMIFS(ROTACAO_RDM!$B$6:$B$71,ROTACAO_RDM!$D$6:$D$71,$E2081,ROTACAO_RDM!$I$6:$I$71,"&lt;="&amp;$C2081+INT(DIAS_POR_SEMANA/2),ROTACAO_RDM!$J$6:$J$71,"&gt;="&amp;$C2081+INT(DIAS_POR_SEMANA/2)),0)</f>
        <v>66</v>
      </c>
      <c r="J2081" s="16" t="n">
        <f aca="false">IFERROR(MATCH($I2081,ROTACAO_RDM!$B$6:$B$71,0),0)</f>
        <v>66</v>
      </c>
      <c r="K2081" s="8" t="str">
        <f aca="false">IF($J2081=0,"SEM CULTURA",INDEX(ROTACAO_RDM!$F$6:$F$71,$J2081))</f>
        <v>ALGODAO</v>
      </c>
      <c r="L2081" s="8" t="str">
        <f aca="false">IF($J2081=0,"",INDEX(ROTACAO_RDM!$G$6:$G$71,$J2081))</f>
        <v>FM 974 GLT</v>
      </c>
      <c r="M2081" s="17" t="n">
        <f aca="false">IF($J2081=0,"",INDEX(ROTACAO_RDM!$I$6:$I$71,$J2081))</f>
        <v>46357</v>
      </c>
      <c r="N2081" s="16" t="n">
        <f aca="false">IF($J2081=0,0,MAX(0,$C2081+INT(DIAS_POR_SEMANA/2)-INDEX(ROTACAO_RDM!$I$6:$I$71,$J2081)))</f>
        <v>114</v>
      </c>
      <c r="O2081" s="19" t="n">
        <f aca="false">IF($J2081=0,0,MIN(1,$N2081/MAX(1,INDEX(ROTACAO_RDM!$K$6:$K$71,$J2081))))</f>
        <v>0.584615384615385</v>
      </c>
      <c r="P2081" s="16" t="n">
        <f aca="false">IF($J2081=0,0,IFERROR(MATCH(INDEX(ROTACAO_RDM!$N$6:$N$71,$J2081),PARAMETROS_CULTURAS!$B$6:$B$28,0),0))</f>
        <v>5</v>
      </c>
      <c r="Q2081" s="8" t="str">
        <f aca="false">IF($P2081=0,"-",IF($O2081&lt;=INDEX(PARAMETROS_CULTURAS!$F$6:$F$28,$P2081),"INICIAL",IF($O2081&lt;=INDEX(PARAMETROS_CULTURAS!$F$6:$F$28,$P2081)+INDEX(PARAMETROS_CULTURAS!$G$6:$G$28,$P2081),"DESENVOLVIMENTO",IF($O2081&lt;=INDEX(PARAMETROS_CULTURAS!$F$6:$F$28,$P2081)+INDEX(PARAMETROS_CULTURAS!$G$6:$G$28,$P2081)+INDEX(PARAMETROS_CULTURAS!$H$6:$H$28,$P2081),"MEDIA","FINAL"))))</f>
        <v>MEDIA</v>
      </c>
      <c r="R2081" s="24" t="n">
        <f aca="false">IF($P2081=0,0,IF($O2081&lt;=INDEX(PARAMETROS_CULTURAS!$F$6:$F$28,$P2081),INDEX(PARAMETROS_CULTURAS!$K$6:$K$28,$P2081),IF($O2081&lt;=INDEX(PARAMETROS_CULTURAS!$F$6:$F$28,$P2081)+INDEX(PARAMETROS_CULTURAS!$G$6:$G$28,$P2081),INDEX(PARAMETROS_CULTURAS!$K$6:$K$28,$P2081)+(INDEX(PARAMETROS_CULTURAS!$L$6:$L$28,$P2081)-INDEX(PARAMETROS_CULTURAS!$K$6:$K$28,$P2081))*($O2081-INDEX(PARAMETROS_CULTURAS!$F$6:$F$28,$P2081))/MAX(INDEX(PARAMETROS_CULTURAS!$G$6:$G$28,$P2081),0.0001),IF($O2081&lt;=INDEX(PARAMETROS_CULTURAS!$F$6:$F$28,$P2081)+INDEX(PARAMETROS_CULTURAS!$G$6:$G$28,$P2081)+INDEX(PARAMETROS_CULTURAS!$H$6:$H$28,$P2081),INDEX(PARAMETROS_CULTURAS!$L$6:$L$28,$P2081),INDEX(PARAMETROS_CULTURAS!$L$6:$L$28,$P2081)+(INDEX(PARAMETROS_CULTURAS!$M$6:$M$28,$P2081)-INDEX(PARAMETROS_CULTURAS!$L$6:$L$28,$P2081))*($O2081-INDEX(PARAMETROS_CULTURAS!$F$6:$F$28,$P2081)-INDEX(PARAMETROS_CULTURAS!$G$6:$G$28,$P2081)-INDEX(PARAMETROS_CULTURAS!$H$6:$H$28,$P2081))/MAX(INDEX(PARAMETROS_CULTURAS!$I$6:$I$28,$P2081),0.0001)))))</f>
        <v>1.15</v>
      </c>
      <c r="S2081" s="18" t="n">
        <f aca="false">IFERROR(INDEX(SEMANAS!$H$6:$H$71,MATCH($B2081,SEMANAS!$B$6:$B$71,0)),0)</f>
        <v>32.2</v>
      </c>
      <c r="T2081" s="18" t="n">
        <f aca="false">$R2081*$S2081</f>
        <v>37.03</v>
      </c>
      <c r="U2081" s="18" t="n">
        <f aca="false">IFERROR(INDEX(SEMANAS!$I$6:$I$71,MATCH($B2081,SEMANAS!$B$6:$B$71,0)),0)</f>
        <v>37.24</v>
      </c>
      <c r="V2081" s="18" t="n">
        <f aca="false">IFERROR(INDEX(SEMANAS!$J$6:$J$71,MATCH($B2081,SEMANAS!$B$6:$B$71,0)),0)</f>
        <v>29.792</v>
      </c>
      <c r="W2081" s="18" t="n">
        <f aca="false">MAX(0,$T2081-$V2081)</f>
        <v>7.23799999999999</v>
      </c>
      <c r="X2081" s="19" t="n">
        <f aca="false">IFERROR(INDEX(CADASTRO_PIVOS!$K$6:$K$41,MATCH($E2081,CADASTRO_PIVOS!$B$6:$B$41,0)),EFICIENCIA_PADRAO)</f>
        <v>0.85</v>
      </c>
      <c r="Y2081" s="18" t="n">
        <f aca="false">IF($X2081&lt;=0,0,$W2081/$X2081)</f>
        <v>8.51529411764705</v>
      </c>
      <c r="Z2081" s="16" t="n">
        <f aca="false">$Y2081*$H2081*MM_PARA_M3_HA</f>
        <v>8471.01458823529</v>
      </c>
      <c r="AA2081" s="18" t="n">
        <f aca="false">IFERROR(INDEX(CADASTRO_PIVOS!$I$6:$I$41,MATCH($E2081,CADASTRO_PIVOS!$B$6:$B$41,0)),0)</f>
        <v>710.571428571429</v>
      </c>
      <c r="AB2081" s="18" t="n">
        <f aca="false">IF($Z2081&lt;=0,0,$Z2081/$AA2081)</f>
        <v>11.9214117647059</v>
      </c>
      <c r="AC2081" s="16" t="n">
        <f aca="false">IFERROR(INDEX(SEMANAS!$K$6:$K$71,MATCH($B2081,SEMANAS!$B$6:$B$71,0)),0)</f>
        <v>147</v>
      </c>
      <c r="AD2081" s="19" t="n">
        <f aca="false">IF($AC2081&lt;=0,0,$AB2081/$AC2081)</f>
        <v>0.0810980392156862</v>
      </c>
      <c r="AE2081" s="8" t="str">
        <f aca="false">IF($K2081="SEM CULTURA","SEM CULTURA",IF($AA2081&lt;=0,"DADO PENDENTE",IF($AD2081&gt;LIMITE_CRITICO,"INVIAVEL",IF($AD2081&gt;LIMITE_ATENCAO,"CRITICO",IF($AD2081&gt;LIMITE_CONFORTAVEL,"ATENCAO","OK")))))</f>
        <v>OK</v>
      </c>
      <c r="AF2081" s="8" t="str">
        <f aca="false">$B2081&amp;"|"&amp;TEXT($AD2081,"0.000000")</f>
        <v>30|0.081098</v>
      </c>
      <c r="AG2081" s="18" t="n">
        <f aca="false">IF($K2081="SEM CULTURA",0,$T2081*$H2081)</f>
        <v>3683.7444</v>
      </c>
      <c r="AH2081" s="18" t="n">
        <f aca="false">IF($K2081="SEM CULTURA",0,$V2081*$H2081)</f>
        <v>2963.70816</v>
      </c>
      <c r="AI2081" s="18" t="n">
        <f aca="false">IF($K2081="SEM CULTURA",0,$W2081*$H2081)</f>
        <v>720.036239999999</v>
      </c>
      <c r="AJ2081" s="18" t="n">
        <f aca="false">IF($K2081="SEM CULTURA",0,$S2081*$H2081)</f>
        <v>3203.256</v>
      </c>
      <c r="AK2081" s="8" t="str">
        <f aca="false">$E2081&amp;"|"&amp;TEXT($AD2081,"0.000000")</f>
        <v>PV 133|0.081098</v>
      </c>
    </row>
    <row r="2082" customFormat="false" ht="15" hidden="false" customHeight="false" outlineLevel="0" collapsed="false">
      <c r="B2082" s="16" t="n">
        <v>31</v>
      </c>
      <c r="C2082" s="17" t="n">
        <f aca="false">DATA_INICIO_SAFRA+($B2082-1)*DIAS_POR_SEMANA</f>
        <v>46475</v>
      </c>
      <c r="D2082" s="17" t="n">
        <f aca="false">$C2082+DIAS_POR_SEMANA-1</f>
        <v>46481</v>
      </c>
      <c r="E2082" s="15" t="s">
        <v>290</v>
      </c>
      <c r="F2082" s="8" t="str">
        <f aca="false">IFERROR(INDEX(CADASTRO_PIVOS!$C$6:$C$41,MATCH($E2082,CADASTRO_PIVOS!$B$6:$B$41,0)),"?")</f>
        <v>RM07</v>
      </c>
      <c r="G2082" s="8" t="str">
        <f aca="false">IFERROR(INDEX(CADASTRO_PIVOS!$D$6:$D$41,MATCH($E2082,CADASTRO_PIVOS!$B$6:$B$41,0)),"?")</f>
        <v>TR07</v>
      </c>
      <c r="H2082" s="20" t="n">
        <f aca="false">IFERROR(INDEX(CADASTRO_PIVOS!$E$6:$E$41,MATCH($E2082,CADASTRO_PIVOS!$B$6:$B$41,0)),0)</f>
        <v>99.48</v>
      </c>
      <c r="I2082" s="16" t="n">
        <f aca="false">IFERROR(SUMIFS(ROTACAO_RDM!$B$6:$B$71,ROTACAO_RDM!$D$6:$D$71,$E2082,ROTACAO_RDM!$I$6:$I$71,"&lt;="&amp;$C2082+INT(DIAS_POR_SEMANA/2),ROTACAO_RDM!$J$6:$J$71,"&gt;="&amp;$C2082+INT(DIAS_POR_SEMANA/2)),0)</f>
        <v>66</v>
      </c>
      <c r="J2082" s="16" t="n">
        <f aca="false">IFERROR(MATCH($I2082,ROTACAO_RDM!$B$6:$B$71,0),0)</f>
        <v>66</v>
      </c>
      <c r="K2082" s="8" t="str">
        <f aca="false">IF($J2082=0,"SEM CULTURA",INDEX(ROTACAO_RDM!$F$6:$F$71,$J2082))</f>
        <v>ALGODAO</v>
      </c>
      <c r="L2082" s="8" t="str">
        <f aca="false">IF($J2082=0,"",INDEX(ROTACAO_RDM!$G$6:$G$71,$J2082))</f>
        <v>FM 974 GLT</v>
      </c>
      <c r="M2082" s="17" t="n">
        <f aca="false">IF($J2082=0,"",INDEX(ROTACAO_RDM!$I$6:$I$71,$J2082))</f>
        <v>46357</v>
      </c>
      <c r="N2082" s="16" t="n">
        <f aca="false">IF($J2082=0,0,MAX(0,$C2082+INT(DIAS_POR_SEMANA/2)-INDEX(ROTACAO_RDM!$I$6:$I$71,$J2082)))</f>
        <v>121</v>
      </c>
      <c r="O2082" s="19" t="n">
        <f aca="false">IF($J2082=0,0,MIN(1,$N2082/MAX(1,INDEX(ROTACAO_RDM!$K$6:$K$71,$J2082))))</f>
        <v>0.620512820512821</v>
      </c>
      <c r="P2082" s="16" t="n">
        <f aca="false">IF($J2082=0,0,IFERROR(MATCH(INDEX(ROTACAO_RDM!$N$6:$N$71,$J2082),PARAMETROS_CULTURAS!$B$6:$B$28,0),0))</f>
        <v>5</v>
      </c>
      <c r="Q2082" s="8" t="str">
        <f aca="false">IF($P2082=0,"-",IF($O2082&lt;=INDEX(PARAMETROS_CULTURAS!$F$6:$F$28,$P2082),"INICIAL",IF($O2082&lt;=INDEX(PARAMETROS_CULTURAS!$F$6:$F$28,$P2082)+INDEX(PARAMETROS_CULTURAS!$G$6:$G$28,$P2082),"DESENVOLVIMENTO",IF($O2082&lt;=INDEX(PARAMETROS_CULTURAS!$F$6:$F$28,$P2082)+INDEX(PARAMETROS_CULTURAS!$G$6:$G$28,$P2082)+INDEX(PARAMETROS_CULTURAS!$H$6:$H$28,$P2082),"MEDIA","FINAL"))))</f>
        <v>MEDIA</v>
      </c>
      <c r="R2082" s="24" t="n">
        <f aca="false">IF($P2082=0,0,IF($O2082&lt;=INDEX(PARAMETROS_CULTURAS!$F$6:$F$28,$P2082),INDEX(PARAMETROS_CULTURAS!$K$6:$K$28,$P2082),IF($O2082&lt;=INDEX(PARAMETROS_CULTURAS!$F$6:$F$28,$P2082)+INDEX(PARAMETROS_CULTURAS!$G$6:$G$28,$P2082),INDEX(PARAMETROS_CULTURAS!$K$6:$K$28,$P2082)+(INDEX(PARAMETROS_CULTURAS!$L$6:$L$28,$P2082)-INDEX(PARAMETROS_CULTURAS!$K$6:$K$28,$P2082))*($O2082-INDEX(PARAMETROS_CULTURAS!$F$6:$F$28,$P2082))/MAX(INDEX(PARAMETROS_CULTURAS!$G$6:$G$28,$P2082),0.0001),IF($O2082&lt;=INDEX(PARAMETROS_CULTURAS!$F$6:$F$28,$P2082)+INDEX(PARAMETROS_CULTURAS!$G$6:$G$28,$P2082)+INDEX(PARAMETROS_CULTURAS!$H$6:$H$28,$P2082),INDEX(PARAMETROS_CULTURAS!$L$6:$L$28,$P2082),INDEX(PARAMETROS_CULTURAS!$L$6:$L$28,$P2082)+(INDEX(PARAMETROS_CULTURAS!$M$6:$M$28,$P2082)-INDEX(PARAMETROS_CULTURAS!$L$6:$L$28,$P2082))*($O2082-INDEX(PARAMETROS_CULTURAS!$F$6:$F$28,$P2082)-INDEX(PARAMETROS_CULTURAS!$G$6:$G$28,$P2082)-INDEX(PARAMETROS_CULTURAS!$H$6:$H$28,$P2082))/MAX(INDEX(PARAMETROS_CULTURAS!$I$6:$I$28,$P2082),0.0001)))))</f>
        <v>1.15</v>
      </c>
      <c r="S2082" s="18" t="n">
        <f aca="false">IFERROR(INDEX(SEMANAS!$H$6:$H$71,MATCH($B2082,SEMANAS!$B$6:$B$71,0)),0)</f>
        <v>31.8</v>
      </c>
      <c r="T2082" s="18" t="n">
        <f aca="false">$R2082*$S2082</f>
        <v>36.57</v>
      </c>
      <c r="U2082" s="18" t="n">
        <f aca="false">IFERROR(INDEX(SEMANAS!$I$6:$I$71,MATCH($B2082,SEMANAS!$B$6:$B$71,0)),0)</f>
        <v>25.28</v>
      </c>
      <c r="V2082" s="18" t="n">
        <f aca="false">IFERROR(INDEX(SEMANAS!$J$6:$J$71,MATCH($B2082,SEMANAS!$B$6:$B$71,0)),0)</f>
        <v>20.224</v>
      </c>
      <c r="W2082" s="18" t="n">
        <f aca="false">MAX(0,$T2082-$V2082)</f>
        <v>16.346</v>
      </c>
      <c r="X2082" s="19" t="n">
        <f aca="false">IFERROR(INDEX(CADASTRO_PIVOS!$K$6:$K$41,MATCH($E2082,CADASTRO_PIVOS!$B$6:$B$41,0)),EFICIENCIA_PADRAO)</f>
        <v>0.85</v>
      </c>
      <c r="Y2082" s="18" t="n">
        <f aca="false">IF($X2082&lt;=0,0,$W2082/$X2082)</f>
        <v>19.2305882352941</v>
      </c>
      <c r="Z2082" s="16" t="n">
        <f aca="false">$Y2082*$H2082*MM_PARA_M3_HA</f>
        <v>19130.5891764706</v>
      </c>
      <c r="AA2082" s="18" t="n">
        <f aca="false">IFERROR(INDEX(CADASTRO_PIVOS!$I$6:$I$41,MATCH($E2082,CADASTRO_PIVOS!$B$6:$B$41,0)),0)</f>
        <v>710.571428571429</v>
      </c>
      <c r="AB2082" s="18" t="n">
        <f aca="false">IF($Z2082&lt;=0,0,$Z2082/$AA2082)</f>
        <v>26.9228235294118</v>
      </c>
      <c r="AC2082" s="16" t="n">
        <f aca="false">IFERROR(INDEX(SEMANAS!$K$6:$K$71,MATCH($B2082,SEMANAS!$B$6:$B$71,0)),0)</f>
        <v>147</v>
      </c>
      <c r="AD2082" s="19" t="n">
        <f aca="false">IF($AC2082&lt;=0,0,$AB2082/$AC2082)</f>
        <v>0.183148459383753</v>
      </c>
      <c r="AE2082" s="8" t="str">
        <f aca="false">IF($K2082="SEM CULTURA","SEM CULTURA",IF($AA2082&lt;=0,"DADO PENDENTE",IF($AD2082&gt;LIMITE_CRITICO,"INVIAVEL",IF($AD2082&gt;LIMITE_ATENCAO,"CRITICO",IF($AD2082&gt;LIMITE_CONFORTAVEL,"ATENCAO","OK")))))</f>
        <v>OK</v>
      </c>
      <c r="AF2082" s="8" t="str">
        <f aca="false">$B2082&amp;"|"&amp;TEXT($AD2082,"0.000000")</f>
        <v>31|0.183148</v>
      </c>
      <c r="AG2082" s="18" t="n">
        <f aca="false">IF($K2082="SEM CULTURA",0,$T2082*$H2082)</f>
        <v>3637.9836</v>
      </c>
      <c r="AH2082" s="18" t="n">
        <f aca="false">IF($K2082="SEM CULTURA",0,$V2082*$H2082)</f>
        <v>2011.88352</v>
      </c>
      <c r="AI2082" s="18" t="n">
        <f aca="false">IF($K2082="SEM CULTURA",0,$W2082*$H2082)</f>
        <v>1626.10008</v>
      </c>
      <c r="AJ2082" s="18" t="n">
        <f aca="false">IF($K2082="SEM CULTURA",0,$S2082*$H2082)</f>
        <v>3163.464</v>
      </c>
      <c r="AK2082" s="8" t="str">
        <f aca="false">$E2082&amp;"|"&amp;TEXT($AD2082,"0.000000")</f>
        <v>PV 133|0.183148</v>
      </c>
    </row>
    <row r="2083" customFormat="false" ht="15" hidden="false" customHeight="false" outlineLevel="0" collapsed="false">
      <c r="B2083" s="16" t="n">
        <v>32</v>
      </c>
      <c r="C2083" s="17" t="n">
        <f aca="false">DATA_INICIO_SAFRA+($B2083-1)*DIAS_POR_SEMANA</f>
        <v>46482</v>
      </c>
      <c r="D2083" s="17" t="n">
        <f aca="false">$C2083+DIAS_POR_SEMANA-1</f>
        <v>46488</v>
      </c>
      <c r="E2083" s="15" t="s">
        <v>290</v>
      </c>
      <c r="F2083" s="8" t="str">
        <f aca="false">IFERROR(INDEX(CADASTRO_PIVOS!$C$6:$C$41,MATCH($E2083,CADASTRO_PIVOS!$B$6:$B$41,0)),"?")</f>
        <v>RM07</v>
      </c>
      <c r="G2083" s="8" t="str">
        <f aca="false">IFERROR(INDEX(CADASTRO_PIVOS!$D$6:$D$41,MATCH($E2083,CADASTRO_PIVOS!$B$6:$B$41,0)),"?")</f>
        <v>TR07</v>
      </c>
      <c r="H2083" s="20" t="n">
        <f aca="false">IFERROR(INDEX(CADASTRO_PIVOS!$E$6:$E$41,MATCH($E2083,CADASTRO_PIVOS!$B$6:$B$41,0)),0)</f>
        <v>99.48</v>
      </c>
      <c r="I2083" s="16" t="n">
        <f aca="false">IFERROR(SUMIFS(ROTACAO_RDM!$B$6:$B$71,ROTACAO_RDM!$D$6:$D$71,$E2083,ROTACAO_RDM!$I$6:$I$71,"&lt;="&amp;$C2083+INT(DIAS_POR_SEMANA/2),ROTACAO_RDM!$J$6:$J$71,"&gt;="&amp;$C2083+INT(DIAS_POR_SEMANA/2)),0)</f>
        <v>66</v>
      </c>
      <c r="J2083" s="16" t="n">
        <f aca="false">IFERROR(MATCH($I2083,ROTACAO_RDM!$B$6:$B$71,0),0)</f>
        <v>66</v>
      </c>
      <c r="K2083" s="8" t="str">
        <f aca="false">IF($J2083=0,"SEM CULTURA",INDEX(ROTACAO_RDM!$F$6:$F$71,$J2083))</f>
        <v>ALGODAO</v>
      </c>
      <c r="L2083" s="8" t="str">
        <f aca="false">IF($J2083=0,"",INDEX(ROTACAO_RDM!$G$6:$G$71,$J2083))</f>
        <v>FM 974 GLT</v>
      </c>
      <c r="M2083" s="17" t="n">
        <f aca="false">IF($J2083=0,"",INDEX(ROTACAO_RDM!$I$6:$I$71,$J2083))</f>
        <v>46357</v>
      </c>
      <c r="N2083" s="16" t="n">
        <f aca="false">IF($J2083=0,0,MAX(0,$C2083+INT(DIAS_POR_SEMANA/2)-INDEX(ROTACAO_RDM!$I$6:$I$71,$J2083)))</f>
        <v>128</v>
      </c>
      <c r="O2083" s="19" t="n">
        <f aca="false">IF($J2083=0,0,MIN(1,$N2083/MAX(1,INDEX(ROTACAO_RDM!$K$6:$K$71,$J2083))))</f>
        <v>0.656410256410256</v>
      </c>
      <c r="P2083" s="16" t="n">
        <f aca="false">IF($J2083=0,0,IFERROR(MATCH(INDEX(ROTACAO_RDM!$N$6:$N$71,$J2083),PARAMETROS_CULTURAS!$B$6:$B$28,0),0))</f>
        <v>5</v>
      </c>
      <c r="Q2083" s="8" t="str">
        <f aca="false">IF($P2083=0,"-",IF($O2083&lt;=INDEX(PARAMETROS_CULTURAS!$F$6:$F$28,$P2083),"INICIAL",IF($O2083&lt;=INDEX(PARAMETROS_CULTURAS!$F$6:$F$28,$P2083)+INDEX(PARAMETROS_CULTURAS!$G$6:$G$28,$P2083),"DESENVOLVIMENTO",IF($O2083&lt;=INDEX(PARAMETROS_CULTURAS!$F$6:$F$28,$P2083)+INDEX(PARAMETROS_CULTURAS!$G$6:$G$28,$P2083)+INDEX(PARAMETROS_CULTURAS!$H$6:$H$28,$P2083),"MEDIA","FINAL"))))</f>
        <v>MEDIA</v>
      </c>
      <c r="R2083" s="24" t="n">
        <f aca="false">IF($P2083=0,0,IF($O2083&lt;=INDEX(PARAMETROS_CULTURAS!$F$6:$F$28,$P2083),INDEX(PARAMETROS_CULTURAS!$K$6:$K$28,$P2083),IF($O2083&lt;=INDEX(PARAMETROS_CULTURAS!$F$6:$F$28,$P2083)+INDEX(PARAMETROS_CULTURAS!$G$6:$G$28,$P2083),INDEX(PARAMETROS_CULTURAS!$K$6:$K$28,$P2083)+(INDEX(PARAMETROS_CULTURAS!$L$6:$L$28,$P2083)-INDEX(PARAMETROS_CULTURAS!$K$6:$K$28,$P2083))*($O2083-INDEX(PARAMETROS_CULTURAS!$F$6:$F$28,$P2083))/MAX(INDEX(PARAMETROS_CULTURAS!$G$6:$G$28,$P2083),0.0001),IF($O2083&lt;=INDEX(PARAMETROS_CULTURAS!$F$6:$F$28,$P2083)+INDEX(PARAMETROS_CULTURAS!$G$6:$G$28,$P2083)+INDEX(PARAMETROS_CULTURAS!$H$6:$H$28,$P2083),INDEX(PARAMETROS_CULTURAS!$L$6:$L$28,$P2083),INDEX(PARAMETROS_CULTURAS!$L$6:$L$28,$P2083)+(INDEX(PARAMETROS_CULTURAS!$M$6:$M$28,$P2083)-INDEX(PARAMETROS_CULTURAS!$L$6:$L$28,$P2083))*($O2083-INDEX(PARAMETROS_CULTURAS!$F$6:$F$28,$P2083)-INDEX(PARAMETROS_CULTURAS!$G$6:$G$28,$P2083)-INDEX(PARAMETROS_CULTURAS!$H$6:$H$28,$P2083))/MAX(INDEX(PARAMETROS_CULTURAS!$I$6:$I$28,$P2083),0.0001)))))</f>
        <v>1.15</v>
      </c>
      <c r="S2083" s="18" t="n">
        <f aca="false">IFERROR(INDEX(SEMANAS!$H$6:$H$71,MATCH($B2083,SEMANAS!$B$6:$B$71,0)),0)</f>
        <v>31.5</v>
      </c>
      <c r="T2083" s="18" t="n">
        <f aca="false">$R2083*$S2083</f>
        <v>36.225</v>
      </c>
      <c r="U2083" s="18" t="n">
        <f aca="false">IFERROR(INDEX(SEMANAS!$I$6:$I$71,MATCH($B2083,SEMANAS!$B$6:$B$71,0)),0)</f>
        <v>16.31</v>
      </c>
      <c r="V2083" s="18" t="n">
        <f aca="false">IFERROR(INDEX(SEMANAS!$J$6:$J$71,MATCH($B2083,SEMANAS!$B$6:$B$71,0)),0)</f>
        <v>13.048</v>
      </c>
      <c r="W2083" s="18" t="n">
        <f aca="false">MAX(0,$T2083-$V2083)</f>
        <v>23.177</v>
      </c>
      <c r="X2083" s="19" t="n">
        <f aca="false">IFERROR(INDEX(CADASTRO_PIVOS!$K$6:$K$41,MATCH($E2083,CADASTRO_PIVOS!$B$6:$B$41,0)),EFICIENCIA_PADRAO)</f>
        <v>0.85</v>
      </c>
      <c r="Y2083" s="18" t="n">
        <f aca="false">IF($X2083&lt;=0,0,$W2083/$X2083)</f>
        <v>27.2670588235294</v>
      </c>
      <c r="Z2083" s="16" t="n">
        <f aca="false">$Y2083*$H2083*MM_PARA_M3_HA</f>
        <v>27125.2701176471</v>
      </c>
      <c r="AA2083" s="18" t="n">
        <f aca="false">IFERROR(INDEX(CADASTRO_PIVOS!$I$6:$I$41,MATCH($E2083,CADASTRO_PIVOS!$B$6:$B$41,0)),0)</f>
        <v>710.571428571429</v>
      </c>
      <c r="AB2083" s="18" t="n">
        <f aca="false">IF($Z2083&lt;=0,0,$Z2083/$AA2083)</f>
        <v>38.1738823529412</v>
      </c>
      <c r="AC2083" s="16" t="n">
        <f aca="false">IFERROR(INDEX(SEMANAS!$K$6:$K$71,MATCH($B2083,SEMANAS!$B$6:$B$71,0)),0)</f>
        <v>147</v>
      </c>
      <c r="AD2083" s="19" t="n">
        <f aca="false">IF($AC2083&lt;=0,0,$AB2083/$AC2083)</f>
        <v>0.259686274509804</v>
      </c>
      <c r="AE2083" s="8" t="str">
        <f aca="false">IF($K2083="SEM CULTURA","SEM CULTURA",IF($AA2083&lt;=0,"DADO PENDENTE",IF($AD2083&gt;LIMITE_CRITICO,"INVIAVEL",IF($AD2083&gt;LIMITE_ATENCAO,"CRITICO",IF($AD2083&gt;LIMITE_CONFORTAVEL,"ATENCAO","OK")))))</f>
        <v>OK</v>
      </c>
      <c r="AF2083" s="8" t="str">
        <f aca="false">$B2083&amp;"|"&amp;TEXT($AD2083,"0.000000")</f>
        <v>32|0.259686</v>
      </c>
      <c r="AG2083" s="18" t="n">
        <f aca="false">IF($K2083="SEM CULTURA",0,$T2083*$H2083)</f>
        <v>3603.663</v>
      </c>
      <c r="AH2083" s="18" t="n">
        <f aca="false">IF($K2083="SEM CULTURA",0,$V2083*$H2083)</f>
        <v>1298.01504</v>
      </c>
      <c r="AI2083" s="18" t="n">
        <f aca="false">IF($K2083="SEM CULTURA",0,$W2083*$H2083)</f>
        <v>2305.64796</v>
      </c>
      <c r="AJ2083" s="18" t="n">
        <f aca="false">IF($K2083="SEM CULTURA",0,$S2083*$H2083)</f>
        <v>3133.62</v>
      </c>
      <c r="AK2083" s="8" t="str">
        <f aca="false">$E2083&amp;"|"&amp;TEXT($AD2083,"0.000000")</f>
        <v>PV 133|0.259686</v>
      </c>
    </row>
    <row r="2084" customFormat="false" ht="15" hidden="false" customHeight="false" outlineLevel="0" collapsed="false">
      <c r="B2084" s="16" t="n">
        <v>33</v>
      </c>
      <c r="C2084" s="17" t="n">
        <f aca="false">DATA_INICIO_SAFRA+($B2084-1)*DIAS_POR_SEMANA</f>
        <v>46489</v>
      </c>
      <c r="D2084" s="17" t="n">
        <f aca="false">$C2084+DIAS_POR_SEMANA-1</f>
        <v>46495</v>
      </c>
      <c r="E2084" s="15" t="s">
        <v>290</v>
      </c>
      <c r="F2084" s="8" t="str">
        <f aca="false">IFERROR(INDEX(CADASTRO_PIVOS!$C$6:$C$41,MATCH($E2084,CADASTRO_PIVOS!$B$6:$B$41,0)),"?")</f>
        <v>RM07</v>
      </c>
      <c r="G2084" s="8" t="str">
        <f aca="false">IFERROR(INDEX(CADASTRO_PIVOS!$D$6:$D$41,MATCH($E2084,CADASTRO_PIVOS!$B$6:$B$41,0)),"?")</f>
        <v>TR07</v>
      </c>
      <c r="H2084" s="20" t="n">
        <f aca="false">IFERROR(INDEX(CADASTRO_PIVOS!$E$6:$E$41,MATCH($E2084,CADASTRO_PIVOS!$B$6:$B$41,0)),0)</f>
        <v>99.48</v>
      </c>
      <c r="I2084" s="16" t="n">
        <f aca="false">IFERROR(SUMIFS(ROTACAO_RDM!$B$6:$B$71,ROTACAO_RDM!$D$6:$D$71,$E2084,ROTACAO_RDM!$I$6:$I$71,"&lt;="&amp;$C2084+INT(DIAS_POR_SEMANA/2),ROTACAO_RDM!$J$6:$J$71,"&gt;="&amp;$C2084+INT(DIAS_POR_SEMANA/2)),0)</f>
        <v>66</v>
      </c>
      <c r="J2084" s="16" t="n">
        <f aca="false">IFERROR(MATCH($I2084,ROTACAO_RDM!$B$6:$B$71,0),0)</f>
        <v>66</v>
      </c>
      <c r="K2084" s="8" t="str">
        <f aca="false">IF($J2084=0,"SEM CULTURA",INDEX(ROTACAO_RDM!$F$6:$F$71,$J2084))</f>
        <v>ALGODAO</v>
      </c>
      <c r="L2084" s="8" t="str">
        <f aca="false">IF($J2084=0,"",INDEX(ROTACAO_RDM!$G$6:$G$71,$J2084))</f>
        <v>FM 974 GLT</v>
      </c>
      <c r="M2084" s="17" t="n">
        <f aca="false">IF($J2084=0,"",INDEX(ROTACAO_RDM!$I$6:$I$71,$J2084))</f>
        <v>46357</v>
      </c>
      <c r="N2084" s="16" t="n">
        <f aca="false">IF($J2084=0,0,MAX(0,$C2084+INT(DIAS_POR_SEMANA/2)-INDEX(ROTACAO_RDM!$I$6:$I$71,$J2084)))</f>
        <v>135</v>
      </c>
      <c r="O2084" s="19" t="n">
        <f aca="false">IF($J2084=0,0,MIN(1,$N2084/MAX(1,INDEX(ROTACAO_RDM!$K$6:$K$71,$J2084))))</f>
        <v>0.692307692307692</v>
      </c>
      <c r="P2084" s="16" t="n">
        <f aca="false">IF($J2084=0,0,IFERROR(MATCH(INDEX(ROTACAO_RDM!$N$6:$N$71,$J2084),PARAMETROS_CULTURAS!$B$6:$B$28,0),0))</f>
        <v>5</v>
      </c>
      <c r="Q2084" s="8" t="str">
        <f aca="false">IF($P2084=0,"-",IF($O2084&lt;=INDEX(PARAMETROS_CULTURAS!$F$6:$F$28,$P2084),"INICIAL",IF($O2084&lt;=INDEX(PARAMETROS_CULTURAS!$F$6:$F$28,$P2084)+INDEX(PARAMETROS_CULTURAS!$G$6:$G$28,$P2084),"DESENVOLVIMENTO",IF($O2084&lt;=INDEX(PARAMETROS_CULTURAS!$F$6:$F$28,$P2084)+INDEX(PARAMETROS_CULTURAS!$G$6:$G$28,$P2084)+INDEX(PARAMETROS_CULTURAS!$H$6:$H$28,$P2084),"MEDIA","FINAL"))))</f>
        <v>MEDIA</v>
      </c>
      <c r="R2084" s="24" t="n">
        <f aca="false">IF($P2084=0,0,IF($O2084&lt;=INDEX(PARAMETROS_CULTURAS!$F$6:$F$28,$P2084),INDEX(PARAMETROS_CULTURAS!$K$6:$K$28,$P2084),IF($O2084&lt;=INDEX(PARAMETROS_CULTURAS!$F$6:$F$28,$P2084)+INDEX(PARAMETROS_CULTURAS!$G$6:$G$28,$P2084),INDEX(PARAMETROS_CULTURAS!$K$6:$K$28,$P2084)+(INDEX(PARAMETROS_CULTURAS!$L$6:$L$28,$P2084)-INDEX(PARAMETROS_CULTURAS!$K$6:$K$28,$P2084))*($O2084-INDEX(PARAMETROS_CULTURAS!$F$6:$F$28,$P2084))/MAX(INDEX(PARAMETROS_CULTURAS!$G$6:$G$28,$P2084),0.0001),IF($O2084&lt;=INDEX(PARAMETROS_CULTURAS!$F$6:$F$28,$P2084)+INDEX(PARAMETROS_CULTURAS!$G$6:$G$28,$P2084)+INDEX(PARAMETROS_CULTURAS!$H$6:$H$28,$P2084),INDEX(PARAMETROS_CULTURAS!$L$6:$L$28,$P2084),INDEX(PARAMETROS_CULTURAS!$L$6:$L$28,$P2084)+(INDEX(PARAMETROS_CULTURAS!$M$6:$M$28,$P2084)-INDEX(PARAMETROS_CULTURAS!$L$6:$L$28,$P2084))*($O2084-INDEX(PARAMETROS_CULTURAS!$F$6:$F$28,$P2084)-INDEX(PARAMETROS_CULTURAS!$G$6:$G$28,$P2084)-INDEX(PARAMETROS_CULTURAS!$H$6:$H$28,$P2084))/MAX(INDEX(PARAMETROS_CULTURAS!$I$6:$I$28,$P2084),0.0001)))))</f>
        <v>1.15</v>
      </c>
      <c r="S2084" s="18" t="n">
        <f aca="false">IFERROR(INDEX(SEMANAS!$H$6:$H$71,MATCH($B2084,SEMANAS!$B$6:$B$71,0)),0)</f>
        <v>31.5</v>
      </c>
      <c r="T2084" s="18" t="n">
        <f aca="false">$R2084*$S2084</f>
        <v>36.225</v>
      </c>
      <c r="U2084" s="18" t="n">
        <f aca="false">IFERROR(INDEX(SEMANAS!$I$6:$I$71,MATCH($B2084,SEMANAS!$B$6:$B$71,0)),0)</f>
        <v>16.31</v>
      </c>
      <c r="V2084" s="18" t="n">
        <f aca="false">IFERROR(INDEX(SEMANAS!$J$6:$J$71,MATCH($B2084,SEMANAS!$B$6:$B$71,0)),0)</f>
        <v>13.048</v>
      </c>
      <c r="W2084" s="18" t="n">
        <f aca="false">MAX(0,$T2084-$V2084)</f>
        <v>23.177</v>
      </c>
      <c r="X2084" s="19" t="n">
        <f aca="false">IFERROR(INDEX(CADASTRO_PIVOS!$K$6:$K$41,MATCH($E2084,CADASTRO_PIVOS!$B$6:$B$41,0)),EFICIENCIA_PADRAO)</f>
        <v>0.85</v>
      </c>
      <c r="Y2084" s="18" t="n">
        <f aca="false">IF($X2084&lt;=0,0,$W2084/$X2084)</f>
        <v>27.2670588235294</v>
      </c>
      <c r="Z2084" s="16" t="n">
        <f aca="false">$Y2084*$H2084*MM_PARA_M3_HA</f>
        <v>27125.2701176471</v>
      </c>
      <c r="AA2084" s="18" t="n">
        <f aca="false">IFERROR(INDEX(CADASTRO_PIVOS!$I$6:$I$41,MATCH($E2084,CADASTRO_PIVOS!$B$6:$B$41,0)),0)</f>
        <v>710.571428571429</v>
      </c>
      <c r="AB2084" s="18" t="n">
        <f aca="false">IF($Z2084&lt;=0,0,$Z2084/$AA2084)</f>
        <v>38.1738823529412</v>
      </c>
      <c r="AC2084" s="16" t="n">
        <f aca="false">IFERROR(INDEX(SEMANAS!$K$6:$K$71,MATCH($B2084,SEMANAS!$B$6:$B$71,0)),0)</f>
        <v>147</v>
      </c>
      <c r="AD2084" s="19" t="n">
        <f aca="false">IF($AC2084&lt;=0,0,$AB2084/$AC2084)</f>
        <v>0.259686274509804</v>
      </c>
      <c r="AE2084" s="8" t="str">
        <f aca="false">IF($K2084="SEM CULTURA","SEM CULTURA",IF($AA2084&lt;=0,"DADO PENDENTE",IF($AD2084&gt;LIMITE_CRITICO,"INVIAVEL",IF($AD2084&gt;LIMITE_ATENCAO,"CRITICO",IF($AD2084&gt;LIMITE_CONFORTAVEL,"ATENCAO","OK")))))</f>
        <v>OK</v>
      </c>
      <c r="AF2084" s="8" t="str">
        <f aca="false">$B2084&amp;"|"&amp;TEXT($AD2084,"0.000000")</f>
        <v>33|0.259686</v>
      </c>
      <c r="AG2084" s="18" t="n">
        <f aca="false">IF($K2084="SEM CULTURA",0,$T2084*$H2084)</f>
        <v>3603.663</v>
      </c>
      <c r="AH2084" s="18" t="n">
        <f aca="false">IF($K2084="SEM CULTURA",0,$V2084*$H2084)</f>
        <v>1298.01504</v>
      </c>
      <c r="AI2084" s="18" t="n">
        <f aca="false">IF($K2084="SEM CULTURA",0,$W2084*$H2084)</f>
        <v>2305.64796</v>
      </c>
      <c r="AJ2084" s="18" t="n">
        <f aca="false">IF($K2084="SEM CULTURA",0,$S2084*$H2084)</f>
        <v>3133.62</v>
      </c>
      <c r="AK2084" s="8" t="str">
        <f aca="false">$E2084&amp;"|"&amp;TEXT($AD2084,"0.000000")</f>
        <v>PV 133|0.259686</v>
      </c>
    </row>
    <row r="2085" customFormat="false" ht="15" hidden="false" customHeight="false" outlineLevel="0" collapsed="false">
      <c r="B2085" s="16" t="n">
        <v>34</v>
      </c>
      <c r="C2085" s="17" t="n">
        <f aca="false">DATA_INICIO_SAFRA+($B2085-1)*DIAS_POR_SEMANA</f>
        <v>46496</v>
      </c>
      <c r="D2085" s="17" t="n">
        <f aca="false">$C2085+DIAS_POR_SEMANA-1</f>
        <v>46502</v>
      </c>
      <c r="E2085" s="15" t="s">
        <v>290</v>
      </c>
      <c r="F2085" s="8" t="str">
        <f aca="false">IFERROR(INDEX(CADASTRO_PIVOS!$C$6:$C$41,MATCH($E2085,CADASTRO_PIVOS!$B$6:$B$41,0)),"?")</f>
        <v>RM07</v>
      </c>
      <c r="G2085" s="8" t="str">
        <f aca="false">IFERROR(INDEX(CADASTRO_PIVOS!$D$6:$D$41,MATCH($E2085,CADASTRO_PIVOS!$B$6:$B$41,0)),"?")</f>
        <v>TR07</v>
      </c>
      <c r="H2085" s="20" t="n">
        <f aca="false">IFERROR(INDEX(CADASTRO_PIVOS!$E$6:$E$41,MATCH($E2085,CADASTRO_PIVOS!$B$6:$B$41,0)),0)</f>
        <v>99.48</v>
      </c>
      <c r="I2085" s="16" t="n">
        <f aca="false">IFERROR(SUMIFS(ROTACAO_RDM!$B$6:$B$71,ROTACAO_RDM!$D$6:$D$71,$E2085,ROTACAO_RDM!$I$6:$I$71,"&lt;="&amp;$C2085+INT(DIAS_POR_SEMANA/2),ROTACAO_RDM!$J$6:$J$71,"&gt;="&amp;$C2085+INT(DIAS_POR_SEMANA/2)),0)</f>
        <v>66</v>
      </c>
      <c r="J2085" s="16" t="n">
        <f aca="false">IFERROR(MATCH($I2085,ROTACAO_RDM!$B$6:$B$71,0),0)</f>
        <v>66</v>
      </c>
      <c r="K2085" s="8" t="str">
        <f aca="false">IF($J2085=0,"SEM CULTURA",INDEX(ROTACAO_RDM!$F$6:$F$71,$J2085))</f>
        <v>ALGODAO</v>
      </c>
      <c r="L2085" s="8" t="str">
        <f aca="false">IF($J2085=0,"",INDEX(ROTACAO_RDM!$G$6:$G$71,$J2085))</f>
        <v>FM 974 GLT</v>
      </c>
      <c r="M2085" s="17" t="n">
        <f aca="false">IF($J2085=0,"",INDEX(ROTACAO_RDM!$I$6:$I$71,$J2085))</f>
        <v>46357</v>
      </c>
      <c r="N2085" s="16" t="n">
        <f aca="false">IF($J2085=0,0,MAX(0,$C2085+INT(DIAS_POR_SEMANA/2)-INDEX(ROTACAO_RDM!$I$6:$I$71,$J2085)))</f>
        <v>142</v>
      </c>
      <c r="O2085" s="19" t="n">
        <f aca="false">IF($J2085=0,0,MIN(1,$N2085/MAX(1,INDEX(ROTACAO_RDM!$K$6:$K$71,$J2085))))</f>
        <v>0.728205128205128</v>
      </c>
      <c r="P2085" s="16" t="n">
        <f aca="false">IF($J2085=0,0,IFERROR(MATCH(INDEX(ROTACAO_RDM!$N$6:$N$71,$J2085),PARAMETROS_CULTURAS!$B$6:$B$28,0),0))</f>
        <v>5</v>
      </c>
      <c r="Q2085" s="8" t="str">
        <f aca="false">IF($P2085=0,"-",IF($O2085&lt;=INDEX(PARAMETROS_CULTURAS!$F$6:$F$28,$P2085),"INICIAL",IF($O2085&lt;=INDEX(PARAMETROS_CULTURAS!$F$6:$F$28,$P2085)+INDEX(PARAMETROS_CULTURAS!$G$6:$G$28,$P2085),"DESENVOLVIMENTO",IF($O2085&lt;=INDEX(PARAMETROS_CULTURAS!$F$6:$F$28,$P2085)+INDEX(PARAMETROS_CULTURAS!$G$6:$G$28,$P2085)+INDEX(PARAMETROS_CULTURAS!$H$6:$H$28,$P2085),"MEDIA","FINAL"))))</f>
        <v>FINAL</v>
      </c>
      <c r="R2085" s="24" t="n">
        <f aca="false">IF($P2085=0,0,IF($O2085&lt;=INDEX(PARAMETROS_CULTURAS!$F$6:$F$28,$P2085),INDEX(PARAMETROS_CULTURAS!$K$6:$K$28,$P2085),IF($O2085&lt;=INDEX(PARAMETROS_CULTURAS!$F$6:$F$28,$P2085)+INDEX(PARAMETROS_CULTURAS!$G$6:$G$28,$P2085),INDEX(PARAMETROS_CULTURAS!$K$6:$K$28,$P2085)+(INDEX(PARAMETROS_CULTURAS!$L$6:$L$28,$P2085)-INDEX(PARAMETROS_CULTURAS!$K$6:$K$28,$P2085))*($O2085-INDEX(PARAMETROS_CULTURAS!$F$6:$F$28,$P2085))/MAX(INDEX(PARAMETROS_CULTURAS!$G$6:$G$28,$P2085),0.0001),IF($O2085&lt;=INDEX(PARAMETROS_CULTURAS!$F$6:$F$28,$P2085)+INDEX(PARAMETROS_CULTURAS!$G$6:$G$28,$P2085)+INDEX(PARAMETROS_CULTURAS!$H$6:$H$28,$P2085),INDEX(PARAMETROS_CULTURAS!$L$6:$L$28,$P2085),INDEX(PARAMETROS_CULTURAS!$L$6:$L$28,$P2085)+(INDEX(PARAMETROS_CULTURAS!$M$6:$M$28,$P2085)-INDEX(PARAMETROS_CULTURAS!$L$6:$L$28,$P2085))*($O2085-INDEX(PARAMETROS_CULTURAS!$F$6:$F$28,$P2085)-INDEX(PARAMETROS_CULTURAS!$G$6:$G$28,$P2085)-INDEX(PARAMETROS_CULTURAS!$H$6:$H$28,$P2085))/MAX(INDEX(PARAMETROS_CULTURAS!$I$6:$I$28,$P2085),0.0001)))))</f>
        <v>1.13388278388278</v>
      </c>
      <c r="S2085" s="18" t="n">
        <f aca="false">IFERROR(INDEX(SEMANAS!$H$6:$H$71,MATCH($B2085,SEMANAS!$B$6:$B$71,0)),0)</f>
        <v>31.5</v>
      </c>
      <c r="T2085" s="18" t="n">
        <f aca="false">$R2085*$S2085</f>
        <v>35.7173076923077</v>
      </c>
      <c r="U2085" s="18" t="n">
        <f aca="false">IFERROR(INDEX(SEMANAS!$I$6:$I$71,MATCH($B2085,SEMANAS!$B$6:$B$71,0)),0)</f>
        <v>16.31</v>
      </c>
      <c r="V2085" s="18" t="n">
        <f aca="false">IFERROR(INDEX(SEMANAS!$J$6:$J$71,MATCH($B2085,SEMANAS!$B$6:$B$71,0)),0)</f>
        <v>13.048</v>
      </c>
      <c r="W2085" s="18" t="n">
        <f aca="false">MAX(0,$T2085-$V2085)</f>
        <v>22.6693076923077</v>
      </c>
      <c r="X2085" s="19" t="n">
        <f aca="false">IFERROR(INDEX(CADASTRO_PIVOS!$K$6:$K$41,MATCH($E2085,CADASTRO_PIVOS!$B$6:$B$41,0)),EFICIENCIA_PADRAO)</f>
        <v>0.85</v>
      </c>
      <c r="Y2085" s="18" t="n">
        <f aca="false">IF($X2085&lt;=0,0,$W2085/$X2085)</f>
        <v>26.6697737556561</v>
      </c>
      <c r="Z2085" s="16" t="n">
        <f aca="false">$Y2085*$H2085*MM_PARA_M3_HA</f>
        <v>26531.0909321267</v>
      </c>
      <c r="AA2085" s="18" t="n">
        <f aca="false">IFERROR(INDEX(CADASTRO_PIVOS!$I$6:$I$41,MATCH($E2085,CADASTRO_PIVOS!$B$6:$B$41,0)),0)</f>
        <v>710.571428571429</v>
      </c>
      <c r="AB2085" s="18" t="n">
        <f aca="false">IF($Z2085&lt;=0,0,$Z2085/$AA2085)</f>
        <v>37.3376832579186</v>
      </c>
      <c r="AC2085" s="16" t="n">
        <f aca="false">IFERROR(INDEX(SEMANAS!$K$6:$K$71,MATCH($B2085,SEMANAS!$B$6:$B$71,0)),0)</f>
        <v>147</v>
      </c>
      <c r="AD2085" s="19" t="n">
        <f aca="false">IF($AC2085&lt;=0,0,$AB2085/$AC2085)</f>
        <v>0.253997845291963</v>
      </c>
      <c r="AE2085" s="8" t="str">
        <f aca="false">IF($K2085="SEM CULTURA","SEM CULTURA",IF($AA2085&lt;=0,"DADO PENDENTE",IF($AD2085&gt;LIMITE_CRITICO,"INVIAVEL",IF($AD2085&gt;LIMITE_ATENCAO,"CRITICO",IF($AD2085&gt;LIMITE_CONFORTAVEL,"ATENCAO","OK")))))</f>
        <v>OK</v>
      </c>
      <c r="AF2085" s="8" t="str">
        <f aca="false">$B2085&amp;"|"&amp;TEXT($AD2085,"0.000000")</f>
        <v>34|0.253998</v>
      </c>
      <c r="AG2085" s="18" t="n">
        <f aca="false">IF($K2085="SEM CULTURA",0,$T2085*$H2085)</f>
        <v>3553.15776923077</v>
      </c>
      <c r="AH2085" s="18" t="n">
        <f aca="false">IF($K2085="SEM CULTURA",0,$V2085*$H2085)</f>
        <v>1298.01504</v>
      </c>
      <c r="AI2085" s="18" t="n">
        <f aca="false">IF($K2085="SEM CULTURA",0,$W2085*$H2085)</f>
        <v>2255.14272923077</v>
      </c>
      <c r="AJ2085" s="18" t="n">
        <f aca="false">IF($K2085="SEM CULTURA",0,$S2085*$H2085)</f>
        <v>3133.62</v>
      </c>
      <c r="AK2085" s="8" t="str">
        <f aca="false">$E2085&amp;"|"&amp;TEXT($AD2085,"0.000000")</f>
        <v>PV 133|0.253998</v>
      </c>
    </row>
    <row r="2086" customFormat="false" ht="15" hidden="false" customHeight="false" outlineLevel="0" collapsed="false">
      <c r="B2086" s="16" t="n">
        <v>35</v>
      </c>
      <c r="C2086" s="17" t="n">
        <f aca="false">DATA_INICIO_SAFRA+($B2086-1)*DIAS_POR_SEMANA</f>
        <v>46503</v>
      </c>
      <c r="D2086" s="17" t="n">
        <f aca="false">$C2086+DIAS_POR_SEMANA-1</f>
        <v>46509</v>
      </c>
      <c r="E2086" s="15" t="s">
        <v>290</v>
      </c>
      <c r="F2086" s="8" t="str">
        <f aca="false">IFERROR(INDEX(CADASTRO_PIVOS!$C$6:$C$41,MATCH($E2086,CADASTRO_PIVOS!$B$6:$B$41,0)),"?")</f>
        <v>RM07</v>
      </c>
      <c r="G2086" s="8" t="str">
        <f aca="false">IFERROR(INDEX(CADASTRO_PIVOS!$D$6:$D$41,MATCH($E2086,CADASTRO_PIVOS!$B$6:$B$41,0)),"?")</f>
        <v>TR07</v>
      </c>
      <c r="H2086" s="20" t="n">
        <f aca="false">IFERROR(INDEX(CADASTRO_PIVOS!$E$6:$E$41,MATCH($E2086,CADASTRO_PIVOS!$B$6:$B$41,0)),0)</f>
        <v>99.48</v>
      </c>
      <c r="I2086" s="16" t="n">
        <f aca="false">IFERROR(SUMIFS(ROTACAO_RDM!$B$6:$B$71,ROTACAO_RDM!$D$6:$D$71,$E2086,ROTACAO_RDM!$I$6:$I$71,"&lt;="&amp;$C2086+INT(DIAS_POR_SEMANA/2),ROTACAO_RDM!$J$6:$J$71,"&gt;="&amp;$C2086+INT(DIAS_POR_SEMANA/2)),0)</f>
        <v>66</v>
      </c>
      <c r="J2086" s="16" t="n">
        <f aca="false">IFERROR(MATCH($I2086,ROTACAO_RDM!$B$6:$B$71,0),0)</f>
        <v>66</v>
      </c>
      <c r="K2086" s="8" t="str">
        <f aca="false">IF($J2086=0,"SEM CULTURA",INDEX(ROTACAO_RDM!$F$6:$F$71,$J2086))</f>
        <v>ALGODAO</v>
      </c>
      <c r="L2086" s="8" t="str">
        <f aca="false">IF($J2086=0,"",INDEX(ROTACAO_RDM!$G$6:$G$71,$J2086))</f>
        <v>FM 974 GLT</v>
      </c>
      <c r="M2086" s="17" t="n">
        <f aca="false">IF($J2086=0,"",INDEX(ROTACAO_RDM!$I$6:$I$71,$J2086))</f>
        <v>46357</v>
      </c>
      <c r="N2086" s="16" t="n">
        <f aca="false">IF($J2086=0,0,MAX(0,$C2086+INT(DIAS_POR_SEMANA/2)-INDEX(ROTACAO_RDM!$I$6:$I$71,$J2086)))</f>
        <v>149</v>
      </c>
      <c r="O2086" s="19" t="n">
        <f aca="false">IF($J2086=0,0,MIN(1,$N2086/MAX(1,INDEX(ROTACAO_RDM!$K$6:$K$71,$J2086))))</f>
        <v>0.764102564102564</v>
      </c>
      <c r="P2086" s="16" t="n">
        <f aca="false">IF($J2086=0,0,IFERROR(MATCH(INDEX(ROTACAO_RDM!$N$6:$N$71,$J2086),PARAMETROS_CULTURAS!$B$6:$B$28,0),0))</f>
        <v>5</v>
      </c>
      <c r="Q2086" s="8" t="str">
        <f aca="false">IF($P2086=0,"-",IF($O2086&lt;=INDEX(PARAMETROS_CULTURAS!$F$6:$F$28,$P2086),"INICIAL",IF($O2086&lt;=INDEX(PARAMETROS_CULTURAS!$F$6:$F$28,$P2086)+INDEX(PARAMETROS_CULTURAS!$G$6:$G$28,$P2086),"DESENVOLVIMENTO",IF($O2086&lt;=INDEX(PARAMETROS_CULTURAS!$F$6:$F$28,$P2086)+INDEX(PARAMETROS_CULTURAS!$G$6:$G$28,$P2086)+INDEX(PARAMETROS_CULTURAS!$H$6:$H$28,$P2086),"MEDIA","FINAL"))))</f>
        <v>FINAL</v>
      </c>
      <c r="R2086" s="24" t="n">
        <f aca="false">IF($P2086=0,0,IF($O2086&lt;=INDEX(PARAMETROS_CULTURAS!$F$6:$F$28,$P2086),INDEX(PARAMETROS_CULTURAS!$K$6:$K$28,$P2086),IF($O2086&lt;=INDEX(PARAMETROS_CULTURAS!$F$6:$F$28,$P2086)+INDEX(PARAMETROS_CULTURAS!$G$6:$G$28,$P2086),INDEX(PARAMETROS_CULTURAS!$K$6:$K$28,$P2086)+(INDEX(PARAMETROS_CULTURAS!$L$6:$L$28,$P2086)-INDEX(PARAMETROS_CULTURAS!$K$6:$K$28,$P2086))*($O2086-INDEX(PARAMETROS_CULTURAS!$F$6:$F$28,$P2086))/MAX(INDEX(PARAMETROS_CULTURAS!$G$6:$G$28,$P2086),0.0001),IF($O2086&lt;=INDEX(PARAMETROS_CULTURAS!$F$6:$F$28,$P2086)+INDEX(PARAMETROS_CULTURAS!$G$6:$G$28,$P2086)+INDEX(PARAMETROS_CULTURAS!$H$6:$H$28,$P2086),INDEX(PARAMETROS_CULTURAS!$L$6:$L$28,$P2086),INDEX(PARAMETROS_CULTURAS!$L$6:$L$28,$P2086)+(INDEX(PARAMETROS_CULTURAS!$M$6:$M$28,$P2086)-INDEX(PARAMETROS_CULTURAS!$L$6:$L$28,$P2086))*($O2086-INDEX(PARAMETROS_CULTURAS!$F$6:$F$28,$P2086)-INDEX(PARAMETROS_CULTURAS!$G$6:$G$28,$P2086)-INDEX(PARAMETROS_CULTURAS!$H$6:$H$28,$P2086))/MAX(INDEX(PARAMETROS_CULTURAS!$I$6:$I$28,$P2086),0.0001)))))</f>
        <v>1.06336996336996</v>
      </c>
      <c r="S2086" s="18" t="n">
        <f aca="false">IFERROR(INDEX(SEMANAS!$H$6:$H$71,MATCH($B2086,SEMANAS!$B$6:$B$71,0)),0)</f>
        <v>30.9</v>
      </c>
      <c r="T2086" s="18" t="n">
        <f aca="false">$R2086*$S2086</f>
        <v>32.8581318681319</v>
      </c>
      <c r="U2086" s="18" t="n">
        <f aca="false">IFERROR(INDEX(SEMANAS!$I$6:$I$71,MATCH($B2086,SEMANAS!$B$6:$B$71,0)),0)</f>
        <v>12.61</v>
      </c>
      <c r="V2086" s="18" t="n">
        <f aca="false">IFERROR(INDEX(SEMANAS!$J$6:$J$71,MATCH($B2086,SEMANAS!$B$6:$B$71,0)),0)</f>
        <v>10.088</v>
      </c>
      <c r="W2086" s="18" t="n">
        <f aca="false">MAX(0,$T2086-$V2086)</f>
        <v>22.7701318681319</v>
      </c>
      <c r="X2086" s="19" t="n">
        <f aca="false">IFERROR(INDEX(CADASTRO_PIVOS!$K$6:$K$41,MATCH($E2086,CADASTRO_PIVOS!$B$6:$B$41,0)),EFICIENCIA_PADRAO)</f>
        <v>0.85</v>
      </c>
      <c r="Y2086" s="18" t="n">
        <f aca="false">IF($X2086&lt;=0,0,$W2086/$X2086)</f>
        <v>26.7883904330963</v>
      </c>
      <c r="Z2086" s="16" t="n">
        <f aca="false">$Y2086*$H2086*MM_PARA_M3_HA</f>
        <v>26649.0908028442</v>
      </c>
      <c r="AA2086" s="18" t="n">
        <f aca="false">IFERROR(INDEX(CADASTRO_PIVOS!$I$6:$I$41,MATCH($E2086,CADASTRO_PIVOS!$B$6:$B$41,0)),0)</f>
        <v>710.571428571429</v>
      </c>
      <c r="AB2086" s="18" t="n">
        <f aca="false">IF($Z2086&lt;=0,0,$Z2086/$AA2086)</f>
        <v>37.5037466063348</v>
      </c>
      <c r="AC2086" s="16" t="n">
        <f aca="false">IFERROR(INDEX(SEMANAS!$K$6:$K$71,MATCH($B2086,SEMANAS!$B$6:$B$71,0)),0)</f>
        <v>147</v>
      </c>
      <c r="AD2086" s="19" t="n">
        <f aca="false">IF($AC2086&lt;=0,0,$AB2086/$AC2086)</f>
        <v>0.255127527934251</v>
      </c>
      <c r="AE2086" s="8" t="str">
        <f aca="false">IF($K2086="SEM CULTURA","SEM CULTURA",IF($AA2086&lt;=0,"DADO PENDENTE",IF($AD2086&gt;LIMITE_CRITICO,"INVIAVEL",IF($AD2086&gt;LIMITE_ATENCAO,"CRITICO",IF($AD2086&gt;LIMITE_CONFORTAVEL,"ATENCAO","OK")))))</f>
        <v>OK</v>
      </c>
      <c r="AF2086" s="8" t="str">
        <f aca="false">$B2086&amp;"|"&amp;TEXT($AD2086,"0.000000")</f>
        <v>35|0.255128</v>
      </c>
      <c r="AG2086" s="18" t="n">
        <f aca="false">IF($K2086="SEM CULTURA",0,$T2086*$H2086)</f>
        <v>3268.72695824176</v>
      </c>
      <c r="AH2086" s="18" t="n">
        <f aca="false">IF($K2086="SEM CULTURA",0,$V2086*$H2086)</f>
        <v>1003.55424</v>
      </c>
      <c r="AI2086" s="18" t="n">
        <f aca="false">IF($K2086="SEM CULTURA",0,$W2086*$H2086)</f>
        <v>2265.17271824176</v>
      </c>
      <c r="AJ2086" s="18" t="n">
        <f aca="false">IF($K2086="SEM CULTURA",0,$S2086*$H2086)</f>
        <v>3073.932</v>
      </c>
      <c r="AK2086" s="8" t="str">
        <f aca="false">$E2086&amp;"|"&amp;TEXT($AD2086,"0.000000")</f>
        <v>PV 133|0.255128</v>
      </c>
    </row>
    <row r="2087" customFormat="false" ht="15" hidden="false" customHeight="false" outlineLevel="0" collapsed="false">
      <c r="B2087" s="16" t="n">
        <v>36</v>
      </c>
      <c r="C2087" s="17" t="n">
        <f aca="false">DATA_INICIO_SAFRA+($B2087-1)*DIAS_POR_SEMANA</f>
        <v>46510</v>
      </c>
      <c r="D2087" s="17" t="n">
        <f aca="false">$C2087+DIAS_POR_SEMANA-1</f>
        <v>46516</v>
      </c>
      <c r="E2087" s="15" t="s">
        <v>290</v>
      </c>
      <c r="F2087" s="8" t="str">
        <f aca="false">IFERROR(INDEX(CADASTRO_PIVOS!$C$6:$C$41,MATCH($E2087,CADASTRO_PIVOS!$B$6:$B$41,0)),"?")</f>
        <v>RM07</v>
      </c>
      <c r="G2087" s="8" t="str">
        <f aca="false">IFERROR(INDEX(CADASTRO_PIVOS!$D$6:$D$41,MATCH($E2087,CADASTRO_PIVOS!$B$6:$B$41,0)),"?")</f>
        <v>TR07</v>
      </c>
      <c r="H2087" s="20" t="n">
        <f aca="false">IFERROR(INDEX(CADASTRO_PIVOS!$E$6:$E$41,MATCH($E2087,CADASTRO_PIVOS!$B$6:$B$41,0)),0)</f>
        <v>99.48</v>
      </c>
      <c r="I2087" s="16" t="n">
        <f aca="false">IFERROR(SUMIFS(ROTACAO_RDM!$B$6:$B$71,ROTACAO_RDM!$D$6:$D$71,$E2087,ROTACAO_RDM!$I$6:$I$71,"&lt;="&amp;$C2087+INT(DIAS_POR_SEMANA/2),ROTACAO_RDM!$J$6:$J$71,"&gt;="&amp;$C2087+INT(DIAS_POR_SEMANA/2)),0)</f>
        <v>66</v>
      </c>
      <c r="J2087" s="16" t="n">
        <f aca="false">IFERROR(MATCH($I2087,ROTACAO_RDM!$B$6:$B$71,0),0)</f>
        <v>66</v>
      </c>
      <c r="K2087" s="8" t="str">
        <f aca="false">IF($J2087=0,"SEM CULTURA",INDEX(ROTACAO_RDM!$F$6:$F$71,$J2087))</f>
        <v>ALGODAO</v>
      </c>
      <c r="L2087" s="8" t="str">
        <f aca="false">IF($J2087=0,"",INDEX(ROTACAO_RDM!$G$6:$G$71,$J2087))</f>
        <v>FM 974 GLT</v>
      </c>
      <c r="M2087" s="17" t="n">
        <f aca="false">IF($J2087=0,"",INDEX(ROTACAO_RDM!$I$6:$I$71,$J2087))</f>
        <v>46357</v>
      </c>
      <c r="N2087" s="16" t="n">
        <f aca="false">IF($J2087=0,0,MAX(0,$C2087+INT(DIAS_POR_SEMANA/2)-INDEX(ROTACAO_RDM!$I$6:$I$71,$J2087)))</f>
        <v>156</v>
      </c>
      <c r="O2087" s="19" t="n">
        <f aca="false">IF($J2087=0,0,MIN(1,$N2087/MAX(1,INDEX(ROTACAO_RDM!$K$6:$K$71,$J2087))))</f>
        <v>0.8</v>
      </c>
      <c r="P2087" s="16" t="n">
        <f aca="false">IF($J2087=0,0,IFERROR(MATCH(INDEX(ROTACAO_RDM!$N$6:$N$71,$J2087),PARAMETROS_CULTURAS!$B$6:$B$28,0),0))</f>
        <v>5</v>
      </c>
      <c r="Q2087" s="8" t="str">
        <f aca="false">IF($P2087=0,"-",IF($O2087&lt;=INDEX(PARAMETROS_CULTURAS!$F$6:$F$28,$P2087),"INICIAL",IF($O2087&lt;=INDEX(PARAMETROS_CULTURAS!$F$6:$F$28,$P2087)+INDEX(PARAMETROS_CULTURAS!$G$6:$G$28,$P2087),"DESENVOLVIMENTO",IF($O2087&lt;=INDEX(PARAMETROS_CULTURAS!$F$6:$F$28,$P2087)+INDEX(PARAMETROS_CULTURAS!$G$6:$G$28,$P2087)+INDEX(PARAMETROS_CULTURAS!$H$6:$H$28,$P2087),"MEDIA","FINAL"))))</f>
        <v>FINAL</v>
      </c>
      <c r="R2087" s="24" t="n">
        <f aca="false">IF($P2087=0,0,IF($O2087&lt;=INDEX(PARAMETROS_CULTURAS!$F$6:$F$28,$P2087),INDEX(PARAMETROS_CULTURAS!$K$6:$K$28,$P2087),IF($O2087&lt;=INDEX(PARAMETROS_CULTURAS!$F$6:$F$28,$P2087)+INDEX(PARAMETROS_CULTURAS!$G$6:$G$28,$P2087),INDEX(PARAMETROS_CULTURAS!$K$6:$K$28,$P2087)+(INDEX(PARAMETROS_CULTURAS!$L$6:$L$28,$P2087)-INDEX(PARAMETROS_CULTURAS!$K$6:$K$28,$P2087))*($O2087-INDEX(PARAMETROS_CULTURAS!$F$6:$F$28,$P2087))/MAX(INDEX(PARAMETROS_CULTURAS!$G$6:$G$28,$P2087),0.0001),IF($O2087&lt;=INDEX(PARAMETROS_CULTURAS!$F$6:$F$28,$P2087)+INDEX(PARAMETROS_CULTURAS!$G$6:$G$28,$P2087)+INDEX(PARAMETROS_CULTURAS!$H$6:$H$28,$P2087),INDEX(PARAMETROS_CULTURAS!$L$6:$L$28,$P2087),INDEX(PARAMETROS_CULTURAS!$L$6:$L$28,$P2087)+(INDEX(PARAMETROS_CULTURAS!$M$6:$M$28,$P2087)-INDEX(PARAMETROS_CULTURAS!$L$6:$L$28,$P2087))*($O2087-INDEX(PARAMETROS_CULTURAS!$F$6:$F$28,$P2087)-INDEX(PARAMETROS_CULTURAS!$G$6:$G$28,$P2087)-INDEX(PARAMETROS_CULTURAS!$H$6:$H$28,$P2087))/MAX(INDEX(PARAMETROS_CULTURAS!$I$6:$I$28,$P2087),0.0001)))))</f>
        <v>0.992857142857143</v>
      </c>
      <c r="S2087" s="18" t="n">
        <f aca="false">IFERROR(INDEX(SEMANAS!$H$6:$H$71,MATCH($B2087,SEMANAS!$B$6:$B$71,0)),0)</f>
        <v>29.4</v>
      </c>
      <c r="T2087" s="18" t="n">
        <f aca="false">$R2087*$S2087</f>
        <v>29.19</v>
      </c>
      <c r="U2087" s="18" t="n">
        <f aca="false">IFERROR(INDEX(SEMANAS!$I$6:$I$71,MATCH($B2087,SEMANAS!$B$6:$B$71,0)),0)</f>
        <v>3.36</v>
      </c>
      <c r="V2087" s="18" t="n">
        <f aca="false">IFERROR(INDEX(SEMANAS!$J$6:$J$71,MATCH($B2087,SEMANAS!$B$6:$B$71,0)),0)</f>
        <v>2.688</v>
      </c>
      <c r="W2087" s="18" t="n">
        <f aca="false">MAX(0,$T2087-$V2087)</f>
        <v>26.502</v>
      </c>
      <c r="X2087" s="19" t="n">
        <f aca="false">IFERROR(INDEX(CADASTRO_PIVOS!$K$6:$K$41,MATCH($E2087,CADASTRO_PIVOS!$B$6:$B$41,0)),EFICIENCIA_PADRAO)</f>
        <v>0.85</v>
      </c>
      <c r="Y2087" s="18" t="n">
        <f aca="false">IF($X2087&lt;=0,0,$W2087/$X2087)</f>
        <v>31.1788235294118</v>
      </c>
      <c r="Z2087" s="16" t="n">
        <f aca="false">$Y2087*$H2087*MM_PARA_M3_HA</f>
        <v>31016.6936470588</v>
      </c>
      <c r="AA2087" s="18" t="n">
        <f aca="false">IFERROR(INDEX(CADASTRO_PIVOS!$I$6:$I$41,MATCH($E2087,CADASTRO_PIVOS!$B$6:$B$41,0)),0)</f>
        <v>710.571428571429</v>
      </c>
      <c r="AB2087" s="18" t="n">
        <f aca="false">IF($Z2087&lt;=0,0,$Z2087/$AA2087)</f>
        <v>43.6503529411765</v>
      </c>
      <c r="AC2087" s="16" t="n">
        <f aca="false">IFERROR(INDEX(SEMANAS!$K$6:$K$71,MATCH($B2087,SEMANAS!$B$6:$B$71,0)),0)</f>
        <v>147</v>
      </c>
      <c r="AD2087" s="19" t="n">
        <f aca="false">IF($AC2087&lt;=0,0,$AB2087/$AC2087)</f>
        <v>0.296941176470588</v>
      </c>
      <c r="AE2087" s="8" t="str">
        <f aca="false">IF($K2087="SEM CULTURA","SEM CULTURA",IF($AA2087&lt;=0,"DADO PENDENTE",IF($AD2087&gt;LIMITE_CRITICO,"INVIAVEL",IF($AD2087&gt;LIMITE_ATENCAO,"CRITICO",IF($AD2087&gt;LIMITE_CONFORTAVEL,"ATENCAO","OK")))))</f>
        <v>OK</v>
      </c>
      <c r="AF2087" s="8" t="str">
        <f aca="false">$B2087&amp;"|"&amp;TEXT($AD2087,"0.000000")</f>
        <v>36|0.296941</v>
      </c>
      <c r="AG2087" s="18" t="n">
        <f aca="false">IF($K2087="SEM CULTURA",0,$T2087*$H2087)</f>
        <v>2903.8212</v>
      </c>
      <c r="AH2087" s="18" t="n">
        <f aca="false">IF($K2087="SEM CULTURA",0,$V2087*$H2087)</f>
        <v>267.40224</v>
      </c>
      <c r="AI2087" s="18" t="n">
        <f aca="false">IF($K2087="SEM CULTURA",0,$W2087*$H2087)</f>
        <v>2636.41896</v>
      </c>
      <c r="AJ2087" s="18" t="n">
        <f aca="false">IF($K2087="SEM CULTURA",0,$S2087*$H2087)</f>
        <v>2924.712</v>
      </c>
      <c r="AK2087" s="8" t="str">
        <f aca="false">$E2087&amp;"|"&amp;TEXT($AD2087,"0.000000")</f>
        <v>PV 133|0.296941</v>
      </c>
    </row>
    <row r="2088" customFormat="false" ht="15" hidden="false" customHeight="false" outlineLevel="0" collapsed="false">
      <c r="B2088" s="16" t="n">
        <v>37</v>
      </c>
      <c r="C2088" s="17" t="n">
        <f aca="false">DATA_INICIO_SAFRA+($B2088-1)*DIAS_POR_SEMANA</f>
        <v>46517</v>
      </c>
      <c r="D2088" s="17" t="n">
        <f aca="false">$C2088+DIAS_POR_SEMANA-1</f>
        <v>46523</v>
      </c>
      <c r="E2088" s="15" t="s">
        <v>290</v>
      </c>
      <c r="F2088" s="8" t="str">
        <f aca="false">IFERROR(INDEX(CADASTRO_PIVOS!$C$6:$C$41,MATCH($E2088,CADASTRO_PIVOS!$B$6:$B$41,0)),"?")</f>
        <v>RM07</v>
      </c>
      <c r="G2088" s="8" t="str">
        <f aca="false">IFERROR(INDEX(CADASTRO_PIVOS!$D$6:$D$41,MATCH($E2088,CADASTRO_PIVOS!$B$6:$B$41,0)),"?")</f>
        <v>TR07</v>
      </c>
      <c r="H2088" s="20" t="n">
        <f aca="false">IFERROR(INDEX(CADASTRO_PIVOS!$E$6:$E$41,MATCH($E2088,CADASTRO_PIVOS!$B$6:$B$41,0)),0)</f>
        <v>99.48</v>
      </c>
      <c r="I2088" s="16" t="n">
        <f aca="false">IFERROR(SUMIFS(ROTACAO_RDM!$B$6:$B$71,ROTACAO_RDM!$D$6:$D$71,$E2088,ROTACAO_RDM!$I$6:$I$71,"&lt;="&amp;$C2088+INT(DIAS_POR_SEMANA/2),ROTACAO_RDM!$J$6:$J$71,"&gt;="&amp;$C2088+INT(DIAS_POR_SEMANA/2)),0)</f>
        <v>66</v>
      </c>
      <c r="J2088" s="16" t="n">
        <f aca="false">IFERROR(MATCH($I2088,ROTACAO_RDM!$B$6:$B$71,0),0)</f>
        <v>66</v>
      </c>
      <c r="K2088" s="8" t="str">
        <f aca="false">IF($J2088=0,"SEM CULTURA",INDEX(ROTACAO_RDM!$F$6:$F$71,$J2088))</f>
        <v>ALGODAO</v>
      </c>
      <c r="L2088" s="8" t="str">
        <f aca="false">IF($J2088=0,"",INDEX(ROTACAO_RDM!$G$6:$G$71,$J2088))</f>
        <v>FM 974 GLT</v>
      </c>
      <c r="M2088" s="17" t="n">
        <f aca="false">IF($J2088=0,"",INDEX(ROTACAO_RDM!$I$6:$I$71,$J2088))</f>
        <v>46357</v>
      </c>
      <c r="N2088" s="16" t="n">
        <f aca="false">IF($J2088=0,0,MAX(0,$C2088+INT(DIAS_POR_SEMANA/2)-INDEX(ROTACAO_RDM!$I$6:$I$71,$J2088)))</f>
        <v>163</v>
      </c>
      <c r="O2088" s="19" t="n">
        <f aca="false">IF($J2088=0,0,MIN(1,$N2088/MAX(1,INDEX(ROTACAO_RDM!$K$6:$K$71,$J2088))))</f>
        <v>0.835897435897436</v>
      </c>
      <c r="P2088" s="16" t="n">
        <f aca="false">IF($J2088=0,0,IFERROR(MATCH(INDEX(ROTACAO_RDM!$N$6:$N$71,$J2088),PARAMETROS_CULTURAS!$B$6:$B$28,0),0))</f>
        <v>5</v>
      </c>
      <c r="Q2088" s="8" t="str">
        <f aca="false">IF($P2088=0,"-",IF($O2088&lt;=INDEX(PARAMETROS_CULTURAS!$F$6:$F$28,$P2088),"INICIAL",IF($O2088&lt;=INDEX(PARAMETROS_CULTURAS!$F$6:$F$28,$P2088)+INDEX(PARAMETROS_CULTURAS!$G$6:$G$28,$P2088),"DESENVOLVIMENTO",IF($O2088&lt;=INDEX(PARAMETROS_CULTURAS!$F$6:$F$28,$P2088)+INDEX(PARAMETROS_CULTURAS!$G$6:$G$28,$P2088)+INDEX(PARAMETROS_CULTURAS!$H$6:$H$28,$P2088),"MEDIA","FINAL"))))</f>
        <v>FINAL</v>
      </c>
      <c r="R2088" s="24" t="n">
        <f aca="false">IF($P2088=0,0,IF($O2088&lt;=INDEX(PARAMETROS_CULTURAS!$F$6:$F$28,$P2088),INDEX(PARAMETROS_CULTURAS!$K$6:$K$28,$P2088),IF($O2088&lt;=INDEX(PARAMETROS_CULTURAS!$F$6:$F$28,$P2088)+INDEX(PARAMETROS_CULTURAS!$G$6:$G$28,$P2088),INDEX(PARAMETROS_CULTURAS!$K$6:$K$28,$P2088)+(INDEX(PARAMETROS_CULTURAS!$L$6:$L$28,$P2088)-INDEX(PARAMETROS_CULTURAS!$K$6:$K$28,$P2088))*($O2088-INDEX(PARAMETROS_CULTURAS!$F$6:$F$28,$P2088))/MAX(INDEX(PARAMETROS_CULTURAS!$G$6:$G$28,$P2088),0.0001),IF($O2088&lt;=INDEX(PARAMETROS_CULTURAS!$F$6:$F$28,$P2088)+INDEX(PARAMETROS_CULTURAS!$G$6:$G$28,$P2088)+INDEX(PARAMETROS_CULTURAS!$H$6:$H$28,$P2088),INDEX(PARAMETROS_CULTURAS!$L$6:$L$28,$P2088),INDEX(PARAMETROS_CULTURAS!$L$6:$L$28,$P2088)+(INDEX(PARAMETROS_CULTURAS!$M$6:$M$28,$P2088)-INDEX(PARAMETROS_CULTURAS!$L$6:$L$28,$P2088))*($O2088-INDEX(PARAMETROS_CULTURAS!$F$6:$F$28,$P2088)-INDEX(PARAMETROS_CULTURAS!$G$6:$G$28,$P2088)-INDEX(PARAMETROS_CULTURAS!$H$6:$H$28,$P2088))/MAX(INDEX(PARAMETROS_CULTURAS!$I$6:$I$28,$P2088),0.0001)))))</f>
        <v>0.922344322344322</v>
      </c>
      <c r="S2088" s="18" t="n">
        <f aca="false">IFERROR(INDEX(SEMANAS!$H$6:$H$71,MATCH($B2088,SEMANAS!$B$6:$B$71,0)),0)</f>
        <v>29.4</v>
      </c>
      <c r="T2088" s="18" t="n">
        <f aca="false">$R2088*$S2088</f>
        <v>27.1169230769231</v>
      </c>
      <c r="U2088" s="18" t="n">
        <f aca="false">IFERROR(INDEX(SEMANAS!$I$6:$I$71,MATCH($B2088,SEMANAS!$B$6:$B$71,0)),0)</f>
        <v>3.36</v>
      </c>
      <c r="V2088" s="18" t="n">
        <f aca="false">IFERROR(INDEX(SEMANAS!$J$6:$J$71,MATCH($B2088,SEMANAS!$B$6:$B$71,0)),0)</f>
        <v>2.688</v>
      </c>
      <c r="W2088" s="18" t="n">
        <f aca="false">MAX(0,$T2088-$V2088)</f>
        <v>24.4289230769231</v>
      </c>
      <c r="X2088" s="19" t="n">
        <f aca="false">IFERROR(INDEX(CADASTRO_PIVOS!$K$6:$K$41,MATCH($E2088,CADASTRO_PIVOS!$B$6:$B$41,0)),EFICIENCIA_PADRAO)</f>
        <v>0.85</v>
      </c>
      <c r="Y2088" s="18" t="n">
        <f aca="false">IF($X2088&lt;=0,0,$W2088/$X2088)</f>
        <v>28.7399095022624</v>
      </c>
      <c r="Z2088" s="16" t="n">
        <f aca="false">$Y2088*$H2088*MM_PARA_M3_HA</f>
        <v>28590.4619728507</v>
      </c>
      <c r="AA2088" s="18" t="n">
        <f aca="false">IFERROR(INDEX(CADASTRO_PIVOS!$I$6:$I$41,MATCH($E2088,CADASTRO_PIVOS!$B$6:$B$41,0)),0)</f>
        <v>710.571428571429</v>
      </c>
      <c r="AB2088" s="18" t="n">
        <f aca="false">IF($Z2088&lt;=0,0,$Z2088/$AA2088)</f>
        <v>40.2358733031674</v>
      </c>
      <c r="AC2088" s="16" t="n">
        <f aca="false">IFERROR(INDEX(SEMANAS!$K$6:$K$71,MATCH($B2088,SEMANAS!$B$6:$B$71,0)),0)</f>
        <v>147</v>
      </c>
      <c r="AD2088" s="19" t="n">
        <f aca="false">IF($AC2088&lt;=0,0,$AB2088/$AC2088)</f>
        <v>0.273713423831071</v>
      </c>
      <c r="AE2088" s="8" t="str">
        <f aca="false">IF($K2088="SEM CULTURA","SEM CULTURA",IF($AA2088&lt;=0,"DADO PENDENTE",IF($AD2088&gt;LIMITE_CRITICO,"INVIAVEL",IF($AD2088&gt;LIMITE_ATENCAO,"CRITICO",IF($AD2088&gt;LIMITE_CONFORTAVEL,"ATENCAO","OK")))))</f>
        <v>OK</v>
      </c>
      <c r="AF2088" s="8" t="str">
        <f aca="false">$B2088&amp;"|"&amp;TEXT($AD2088,"0.000000")</f>
        <v>37|0.273713</v>
      </c>
      <c r="AG2088" s="18" t="n">
        <f aca="false">IF($K2088="SEM CULTURA",0,$T2088*$H2088)</f>
        <v>2697.59150769231</v>
      </c>
      <c r="AH2088" s="18" t="n">
        <f aca="false">IF($K2088="SEM CULTURA",0,$V2088*$H2088)</f>
        <v>267.40224</v>
      </c>
      <c r="AI2088" s="18" t="n">
        <f aca="false">IF($K2088="SEM CULTURA",0,$W2088*$H2088)</f>
        <v>2430.18926769231</v>
      </c>
      <c r="AJ2088" s="18" t="n">
        <f aca="false">IF($K2088="SEM CULTURA",0,$S2088*$H2088)</f>
        <v>2924.712</v>
      </c>
      <c r="AK2088" s="8" t="str">
        <f aca="false">$E2088&amp;"|"&amp;TEXT($AD2088,"0.000000")</f>
        <v>PV 133|0.273713</v>
      </c>
    </row>
    <row r="2089" customFormat="false" ht="15" hidden="false" customHeight="false" outlineLevel="0" collapsed="false">
      <c r="B2089" s="16" t="n">
        <v>38</v>
      </c>
      <c r="C2089" s="17" t="n">
        <f aca="false">DATA_INICIO_SAFRA+($B2089-1)*DIAS_POR_SEMANA</f>
        <v>46524</v>
      </c>
      <c r="D2089" s="17" t="n">
        <f aca="false">$C2089+DIAS_POR_SEMANA-1</f>
        <v>46530</v>
      </c>
      <c r="E2089" s="15" t="s">
        <v>290</v>
      </c>
      <c r="F2089" s="8" t="str">
        <f aca="false">IFERROR(INDEX(CADASTRO_PIVOS!$C$6:$C$41,MATCH($E2089,CADASTRO_PIVOS!$B$6:$B$41,0)),"?")</f>
        <v>RM07</v>
      </c>
      <c r="G2089" s="8" t="str">
        <f aca="false">IFERROR(INDEX(CADASTRO_PIVOS!$D$6:$D$41,MATCH($E2089,CADASTRO_PIVOS!$B$6:$B$41,0)),"?")</f>
        <v>TR07</v>
      </c>
      <c r="H2089" s="20" t="n">
        <f aca="false">IFERROR(INDEX(CADASTRO_PIVOS!$E$6:$E$41,MATCH($E2089,CADASTRO_PIVOS!$B$6:$B$41,0)),0)</f>
        <v>99.48</v>
      </c>
      <c r="I2089" s="16" t="n">
        <f aca="false">IFERROR(SUMIFS(ROTACAO_RDM!$B$6:$B$71,ROTACAO_RDM!$D$6:$D$71,$E2089,ROTACAO_RDM!$I$6:$I$71,"&lt;="&amp;$C2089+INT(DIAS_POR_SEMANA/2),ROTACAO_RDM!$J$6:$J$71,"&gt;="&amp;$C2089+INT(DIAS_POR_SEMANA/2)),0)</f>
        <v>66</v>
      </c>
      <c r="J2089" s="16" t="n">
        <f aca="false">IFERROR(MATCH($I2089,ROTACAO_RDM!$B$6:$B$71,0),0)</f>
        <v>66</v>
      </c>
      <c r="K2089" s="8" t="str">
        <f aca="false">IF($J2089=0,"SEM CULTURA",INDEX(ROTACAO_RDM!$F$6:$F$71,$J2089))</f>
        <v>ALGODAO</v>
      </c>
      <c r="L2089" s="8" t="str">
        <f aca="false">IF($J2089=0,"",INDEX(ROTACAO_RDM!$G$6:$G$71,$J2089))</f>
        <v>FM 974 GLT</v>
      </c>
      <c r="M2089" s="17" t="n">
        <f aca="false">IF($J2089=0,"",INDEX(ROTACAO_RDM!$I$6:$I$71,$J2089))</f>
        <v>46357</v>
      </c>
      <c r="N2089" s="16" t="n">
        <f aca="false">IF($J2089=0,0,MAX(0,$C2089+INT(DIAS_POR_SEMANA/2)-INDEX(ROTACAO_RDM!$I$6:$I$71,$J2089)))</f>
        <v>170</v>
      </c>
      <c r="O2089" s="19" t="n">
        <f aca="false">IF($J2089=0,0,MIN(1,$N2089/MAX(1,INDEX(ROTACAO_RDM!$K$6:$K$71,$J2089))))</f>
        <v>0.871794871794872</v>
      </c>
      <c r="P2089" s="16" t="n">
        <f aca="false">IF($J2089=0,0,IFERROR(MATCH(INDEX(ROTACAO_RDM!$N$6:$N$71,$J2089),PARAMETROS_CULTURAS!$B$6:$B$28,0),0))</f>
        <v>5</v>
      </c>
      <c r="Q2089" s="8" t="str">
        <f aca="false">IF($P2089=0,"-",IF($O2089&lt;=INDEX(PARAMETROS_CULTURAS!$F$6:$F$28,$P2089),"INICIAL",IF($O2089&lt;=INDEX(PARAMETROS_CULTURAS!$F$6:$F$28,$P2089)+INDEX(PARAMETROS_CULTURAS!$G$6:$G$28,$P2089),"DESENVOLVIMENTO",IF($O2089&lt;=INDEX(PARAMETROS_CULTURAS!$F$6:$F$28,$P2089)+INDEX(PARAMETROS_CULTURAS!$G$6:$G$28,$P2089)+INDEX(PARAMETROS_CULTURAS!$H$6:$H$28,$P2089),"MEDIA","FINAL"))))</f>
        <v>FINAL</v>
      </c>
      <c r="R2089" s="24" t="n">
        <f aca="false">IF($P2089=0,0,IF($O2089&lt;=INDEX(PARAMETROS_CULTURAS!$F$6:$F$28,$P2089),INDEX(PARAMETROS_CULTURAS!$K$6:$K$28,$P2089),IF($O2089&lt;=INDEX(PARAMETROS_CULTURAS!$F$6:$F$28,$P2089)+INDEX(PARAMETROS_CULTURAS!$G$6:$G$28,$P2089),INDEX(PARAMETROS_CULTURAS!$K$6:$K$28,$P2089)+(INDEX(PARAMETROS_CULTURAS!$L$6:$L$28,$P2089)-INDEX(PARAMETROS_CULTURAS!$K$6:$K$28,$P2089))*($O2089-INDEX(PARAMETROS_CULTURAS!$F$6:$F$28,$P2089))/MAX(INDEX(PARAMETROS_CULTURAS!$G$6:$G$28,$P2089),0.0001),IF($O2089&lt;=INDEX(PARAMETROS_CULTURAS!$F$6:$F$28,$P2089)+INDEX(PARAMETROS_CULTURAS!$G$6:$G$28,$P2089)+INDEX(PARAMETROS_CULTURAS!$H$6:$H$28,$P2089),INDEX(PARAMETROS_CULTURAS!$L$6:$L$28,$P2089),INDEX(PARAMETROS_CULTURAS!$L$6:$L$28,$P2089)+(INDEX(PARAMETROS_CULTURAS!$M$6:$M$28,$P2089)-INDEX(PARAMETROS_CULTURAS!$L$6:$L$28,$P2089))*($O2089-INDEX(PARAMETROS_CULTURAS!$F$6:$F$28,$P2089)-INDEX(PARAMETROS_CULTURAS!$G$6:$G$28,$P2089)-INDEX(PARAMETROS_CULTURAS!$H$6:$H$28,$P2089))/MAX(INDEX(PARAMETROS_CULTURAS!$I$6:$I$28,$P2089),0.0001)))))</f>
        <v>0.851831501831502</v>
      </c>
      <c r="S2089" s="18" t="n">
        <f aca="false">IFERROR(INDEX(SEMANAS!$H$6:$H$71,MATCH($B2089,SEMANAS!$B$6:$B$71,0)),0)</f>
        <v>29.4</v>
      </c>
      <c r="T2089" s="18" t="n">
        <f aca="false">$R2089*$S2089</f>
        <v>25.0438461538462</v>
      </c>
      <c r="U2089" s="18" t="n">
        <f aca="false">IFERROR(INDEX(SEMANAS!$I$6:$I$71,MATCH($B2089,SEMANAS!$B$6:$B$71,0)),0)</f>
        <v>3.36</v>
      </c>
      <c r="V2089" s="18" t="n">
        <f aca="false">IFERROR(INDEX(SEMANAS!$J$6:$J$71,MATCH($B2089,SEMANAS!$B$6:$B$71,0)),0)</f>
        <v>2.688</v>
      </c>
      <c r="W2089" s="18" t="n">
        <f aca="false">MAX(0,$T2089-$V2089)</f>
        <v>22.3558461538462</v>
      </c>
      <c r="X2089" s="19" t="n">
        <f aca="false">IFERROR(INDEX(CADASTRO_PIVOS!$K$6:$K$41,MATCH($E2089,CADASTRO_PIVOS!$B$6:$B$41,0)),EFICIENCIA_PADRAO)</f>
        <v>0.85</v>
      </c>
      <c r="Y2089" s="18" t="n">
        <f aca="false">IF($X2089&lt;=0,0,$W2089/$X2089)</f>
        <v>26.3009954751131</v>
      </c>
      <c r="Z2089" s="16" t="n">
        <f aca="false">$Y2089*$H2089*MM_PARA_M3_HA</f>
        <v>26164.2302986425</v>
      </c>
      <c r="AA2089" s="18" t="n">
        <f aca="false">IFERROR(INDEX(CADASTRO_PIVOS!$I$6:$I$41,MATCH($E2089,CADASTRO_PIVOS!$B$6:$B$41,0)),0)</f>
        <v>710.571428571429</v>
      </c>
      <c r="AB2089" s="18" t="n">
        <f aca="false">IF($Z2089&lt;=0,0,$Z2089/$AA2089)</f>
        <v>36.8213936651584</v>
      </c>
      <c r="AC2089" s="16" t="n">
        <f aca="false">IFERROR(INDEX(SEMANAS!$K$6:$K$71,MATCH($B2089,SEMANAS!$B$6:$B$71,0)),0)</f>
        <v>147</v>
      </c>
      <c r="AD2089" s="19" t="n">
        <f aca="false">IF($AC2089&lt;=0,0,$AB2089/$AC2089)</f>
        <v>0.250485671191554</v>
      </c>
      <c r="AE2089" s="8" t="str">
        <f aca="false">IF($K2089="SEM CULTURA","SEM CULTURA",IF($AA2089&lt;=0,"DADO PENDENTE",IF($AD2089&gt;LIMITE_CRITICO,"INVIAVEL",IF($AD2089&gt;LIMITE_ATENCAO,"CRITICO",IF($AD2089&gt;LIMITE_CONFORTAVEL,"ATENCAO","OK")))))</f>
        <v>OK</v>
      </c>
      <c r="AF2089" s="8" t="str">
        <f aca="false">$B2089&amp;"|"&amp;TEXT($AD2089,"0.000000")</f>
        <v>38|0.250486</v>
      </c>
      <c r="AG2089" s="18" t="n">
        <f aca="false">IF($K2089="SEM CULTURA",0,$T2089*$H2089)</f>
        <v>2491.36181538462</v>
      </c>
      <c r="AH2089" s="18" t="n">
        <f aca="false">IF($K2089="SEM CULTURA",0,$V2089*$H2089)</f>
        <v>267.40224</v>
      </c>
      <c r="AI2089" s="18" t="n">
        <f aca="false">IF($K2089="SEM CULTURA",0,$W2089*$H2089)</f>
        <v>2223.95957538462</v>
      </c>
      <c r="AJ2089" s="18" t="n">
        <f aca="false">IF($K2089="SEM CULTURA",0,$S2089*$H2089)</f>
        <v>2924.712</v>
      </c>
      <c r="AK2089" s="8" t="str">
        <f aca="false">$E2089&amp;"|"&amp;TEXT($AD2089,"0.000000")</f>
        <v>PV 133|0.250486</v>
      </c>
    </row>
    <row r="2090" customFormat="false" ht="15" hidden="false" customHeight="false" outlineLevel="0" collapsed="false">
      <c r="B2090" s="16" t="n">
        <v>39</v>
      </c>
      <c r="C2090" s="17" t="n">
        <f aca="false">DATA_INICIO_SAFRA+($B2090-1)*DIAS_POR_SEMANA</f>
        <v>46531</v>
      </c>
      <c r="D2090" s="17" t="n">
        <f aca="false">$C2090+DIAS_POR_SEMANA-1</f>
        <v>46537</v>
      </c>
      <c r="E2090" s="15" t="s">
        <v>290</v>
      </c>
      <c r="F2090" s="8" t="str">
        <f aca="false">IFERROR(INDEX(CADASTRO_PIVOS!$C$6:$C$41,MATCH($E2090,CADASTRO_PIVOS!$B$6:$B$41,0)),"?")</f>
        <v>RM07</v>
      </c>
      <c r="G2090" s="8" t="str">
        <f aca="false">IFERROR(INDEX(CADASTRO_PIVOS!$D$6:$D$41,MATCH($E2090,CADASTRO_PIVOS!$B$6:$B$41,0)),"?")</f>
        <v>TR07</v>
      </c>
      <c r="H2090" s="20" t="n">
        <f aca="false">IFERROR(INDEX(CADASTRO_PIVOS!$E$6:$E$41,MATCH($E2090,CADASTRO_PIVOS!$B$6:$B$41,0)),0)</f>
        <v>99.48</v>
      </c>
      <c r="I2090" s="16" t="n">
        <f aca="false">IFERROR(SUMIFS(ROTACAO_RDM!$B$6:$B$71,ROTACAO_RDM!$D$6:$D$71,$E2090,ROTACAO_RDM!$I$6:$I$71,"&lt;="&amp;$C2090+INT(DIAS_POR_SEMANA/2),ROTACAO_RDM!$J$6:$J$71,"&gt;="&amp;$C2090+INT(DIAS_POR_SEMANA/2)),0)</f>
        <v>66</v>
      </c>
      <c r="J2090" s="16" t="n">
        <f aca="false">IFERROR(MATCH($I2090,ROTACAO_RDM!$B$6:$B$71,0),0)</f>
        <v>66</v>
      </c>
      <c r="K2090" s="8" t="str">
        <f aca="false">IF($J2090=0,"SEM CULTURA",INDEX(ROTACAO_RDM!$F$6:$F$71,$J2090))</f>
        <v>ALGODAO</v>
      </c>
      <c r="L2090" s="8" t="str">
        <f aca="false">IF($J2090=0,"",INDEX(ROTACAO_RDM!$G$6:$G$71,$J2090))</f>
        <v>FM 974 GLT</v>
      </c>
      <c r="M2090" s="17" t="n">
        <f aca="false">IF($J2090=0,"",INDEX(ROTACAO_RDM!$I$6:$I$71,$J2090))</f>
        <v>46357</v>
      </c>
      <c r="N2090" s="16" t="n">
        <f aca="false">IF($J2090=0,0,MAX(0,$C2090+INT(DIAS_POR_SEMANA/2)-INDEX(ROTACAO_RDM!$I$6:$I$71,$J2090)))</f>
        <v>177</v>
      </c>
      <c r="O2090" s="19" t="n">
        <f aca="false">IF($J2090=0,0,MIN(1,$N2090/MAX(1,INDEX(ROTACAO_RDM!$K$6:$K$71,$J2090))))</f>
        <v>0.907692307692308</v>
      </c>
      <c r="P2090" s="16" t="n">
        <f aca="false">IF($J2090=0,0,IFERROR(MATCH(INDEX(ROTACAO_RDM!$N$6:$N$71,$J2090),PARAMETROS_CULTURAS!$B$6:$B$28,0),0))</f>
        <v>5</v>
      </c>
      <c r="Q2090" s="8" t="str">
        <f aca="false">IF($P2090=0,"-",IF($O2090&lt;=INDEX(PARAMETROS_CULTURAS!$F$6:$F$28,$P2090),"INICIAL",IF($O2090&lt;=INDEX(PARAMETROS_CULTURAS!$F$6:$F$28,$P2090)+INDEX(PARAMETROS_CULTURAS!$G$6:$G$28,$P2090),"DESENVOLVIMENTO",IF($O2090&lt;=INDEX(PARAMETROS_CULTURAS!$F$6:$F$28,$P2090)+INDEX(PARAMETROS_CULTURAS!$G$6:$G$28,$P2090)+INDEX(PARAMETROS_CULTURAS!$H$6:$H$28,$P2090),"MEDIA","FINAL"))))</f>
        <v>FINAL</v>
      </c>
      <c r="R2090" s="24" t="n">
        <f aca="false">IF($P2090=0,0,IF($O2090&lt;=INDEX(PARAMETROS_CULTURAS!$F$6:$F$28,$P2090),INDEX(PARAMETROS_CULTURAS!$K$6:$K$28,$P2090),IF($O2090&lt;=INDEX(PARAMETROS_CULTURAS!$F$6:$F$28,$P2090)+INDEX(PARAMETROS_CULTURAS!$G$6:$G$28,$P2090),INDEX(PARAMETROS_CULTURAS!$K$6:$K$28,$P2090)+(INDEX(PARAMETROS_CULTURAS!$L$6:$L$28,$P2090)-INDEX(PARAMETROS_CULTURAS!$K$6:$K$28,$P2090))*($O2090-INDEX(PARAMETROS_CULTURAS!$F$6:$F$28,$P2090))/MAX(INDEX(PARAMETROS_CULTURAS!$G$6:$G$28,$P2090),0.0001),IF($O2090&lt;=INDEX(PARAMETROS_CULTURAS!$F$6:$F$28,$P2090)+INDEX(PARAMETROS_CULTURAS!$G$6:$G$28,$P2090)+INDEX(PARAMETROS_CULTURAS!$H$6:$H$28,$P2090),INDEX(PARAMETROS_CULTURAS!$L$6:$L$28,$P2090),INDEX(PARAMETROS_CULTURAS!$L$6:$L$28,$P2090)+(INDEX(PARAMETROS_CULTURAS!$M$6:$M$28,$P2090)-INDEX(PARAMETROS_CULTURAS!$L$6:$L$28,$P2090))*($O2090-INDEX(PARAMETROS_CULTURAS!$F$6:$F$28,$P2090)-INDEX(PARAMETROS_CULTURAS!$G$6:$G$28,$P2090)-INDEX(PARAMETROS_CULTURAS!$H$6:$H$28,$P2090))/MAX(INDEX(PARAMETROS_CULTURAS!$I$6:$I$28,$P2090),0.0001)))))</f>
        <v>0.781318681318681</v>
      </c>
      <c r="S2090" s="18" t="n">
        <f aca="false">IFERROR(INDEX(SEMANAS!$H$6:$H$71,MATCH($B2090,SEMANAS!$B$6:$B$71,0)),0)</f>
        <v>29.4</v>
      </c>
      <c r="T2090" s="18" t="n">
        <f aca="false">$R2090*$S2090</f>
        <v>22.9707692307692</v>
      </c>
      <c r="U2090" s="18" t="n">
        <f aca="false">IFERROR(INDEX(SEMANAS!$I$6:$I$71,MATCH($B2090,SEMANAS!$B$6:$B$71,0)),0)</f>
        <v>3.36</v>
      </c>
      <c r="V2090" s="18" t="n">
        <f aca="false">IFERROR(INDEX(SEMANAS!$J$6:$J$71,MATCH($B2090,SEMANAS!$B$6:$B$71,0)),0)</f>
        <v>2.688</v>
      </c>
      <c r="W2090" s="18" t="n">
        <f aca="false">MAX(0,$T2090-$V2090)</f>
        <v>20.2827692307692</v>
      </c>
      <c r="X2090" s="19" t="n">
        <f aca="false">IFERROR(INDEX(CADASTRO_PIVOS!$K$6:$K$41,MATCH($E2090,CADASTRO_PIVOS!$B$6:$B$41,0)),EFICIENCIA_PADRAO)</f>
        <v>0.85</v>
      </c>
      <c r="Y2090" s="18" t="n">
        <f aca="false">IF($X2090&lt;=0,0,$W2090/$X2090)</f>
        <v>23.8620814479638</v>
      </c>
      <c r="Z2090" s="16" t="n">
        <f aca="false">$Y2090*$H2090*MM_PARA_M3_HA</f>
        <v>23737.9986244344</v>
      </c>
      <c r="AA2090" s="18" t="n">
        <f aca="false">IFERROR(INDEX(CADASTRO_PIVOS!$I$6:$I$41,MATCH($E2090,CADASTRO_PIVOS!$B$6:$B$41,0)),0)</f>
        <v>710.571428571429</v>
      </c>
      <c r="AB2090" s="18" t="n">
        <f aca="false">IF($Z2090&lt;=0,0,$Z2090/$AA2090)</f>
        <v>33.4069140271493</v>
      </c>
      <c r="AC2090" s="16" t="n">
        <f aca="false">IFERROR(INDEX(SEMANAS!$K$6:$K$71,MATCH($B2090,SEMANAS!$B$6:$B$71,0)),0)</f>
        <v>147</v>
      </c>
      <c r="AD2090" s="19" t="n">
        <f aca="false">IF($AC2090&lt;=0,0,$AB2090/$AC2090)</f>
        <v>0.227257918552036</v>
      </c>
      <c r="AE2090" s="8" t="str">
        <f aca="false">IF($K2090="SEM CULTURA","SEM CULTURA",IF($AA2090&lt;=0,"DADO PENDENTE",IF($AD2090&gt;LIMITE_CRITICO,"INVIAVEL",IF($AD2090&gt;LIMITE_ATENCAO,"CRITICO",IF($AD2090&gt;LIMITE_CONFORTAVEL,"ATENCAO","OK")))))</f>
        <v>OK</v>
      </c>
      <c r="AF2090" s="8" t="str">
        <f aca="false">$B2090&amp;"|"&amp;TEXT($AD2090,"0.000000")</f>
        <v>39|0.227258</v>
      </c>
      <c r="AG2090" s="18" t="n">
        <f aca="false">IF($K2090="SEM CULTURA",0,$T2090*$H2090)</f>
        <v>2285.13212307692</v>
      </c>
      <c r="AH2090" s="18" t="n">
        <f aca="false">IF($K2090="SEM CULTURA",0,$V2090*$H2090)</f>
        <v>267.40224</v>
      </c>
      <c r="AI2090" s="18" t="n">
        <f aca="false">IF($K2090="SEM CULTURA",0,$W2090*$H2090)</f>
        <v>2017.72988307692</v>
      </c>
      <c r="AJ2090" s="18" t="n">
        <f aca="false">IF($K2090="SEM CULTURA",0,$S2090*$H2090)</f>
        <v>2924.712</v>
      </c>
      <c r="AK2090" s="8" t="str">
        <f aca="false">$E2090&amp;"|"&amp;TEXT($AD2090,"0.000000")</f>
        <v>PV 133|0.227258</v>
      </c>
    </row>
    <row r="2091" customFormat="false" ht="15" hidden="false" customHeight="false" outlineLevel="0" collapsed="false">
      <c r="B2091" s="16" t="n">
        <v>40</v>
      </c>
      <c r="C2091" s="17" t="n">
        <f aca="false">DATA_INICIO_SAFRA+($B2091-1)*DIAS_POR_SEMANA</f>
        <v>46538</v>
      </c>
      <c r="D2091" s="17" t="n">
        <f aca="false">$C2091+DIAS_POR_SEMANA-1</f>
        <v>46544</v>
      </c>
      <c r="E2091" s="15" t="s">
        <v>290</v>
      </c>
      <c r="F2091" s="8" t="str">
        <f aca="false">IFERROR(INDEX(CADASTRO_PIVOS!$C$6:$C$41,MATCH($E2091,CADASTRO_PIVOS!$B$6:$B$41,0)),"?")</f>
        <v>RM07</v>
      </c>
      <c r="G2091" s="8" t="str">
        <f aca="false">IFERROR(INDEX(CADASTRO_PIVOS!$D$6:$D$41,MATCH($E2091,CADASTRO_PIVOS!$B$6:$B$41,0)),"?")</f>
        <v>TR07</v>
      </c>
      <c r="H2091" s="20" t="n">
        <f aca="false">IFERROR(INDEX(CADASTRO_PIVOS!$E$6:$E$41,MATCH($E2091,CADASTRO_PIVOS!$B$6:$B$41,0)),0)</f>
        <v>99.48</v>
      </c>
      <c r="I2091" s="16" t="n">
        <f aca="false">IFERROR(SUMIFS(ROTACAO_RDM!$B$6:$B$71,ROTACAO_RDM!$D$6:$D$71,$E2091,ROTACAO_RDM!$I$6:$I$71,"&lt;="&amp;$C2091+INT(DIAS_POR_SEMANA/2),ROTACAO_RDM!$J$6:$J$71,"&gt;="&amp;$C2091+INT(DIAS_POR_SEMANA/2)),0)</f>
        <v>66</v>
      </c>
      <c r="J2091" s="16" t="n">
        <f aca="false">IFERROR(MATCH($I2091,ROTACAO_RDM!$B$6:$B$71,0),0)</f>
        <v>66</v>
      </c>
      <c r="K2091" s="8" t="str">
        <f aca="false">IF($J2091=0,"SEM CULTURA",INDEX(ROTACAO_RDM!$F$6:$F$71,$J2091))</f>
        <v>ALGODAO</v>
      </c>
      <c r="L2091" s="8" t="str">
        <f aca="false">IF($J2091=0,"",INDEX(ROTACAO_RDM!$G$6:$G$71,$J2091))</f>
        <v>FM 974 GLT</v>
      </c>
      <c r="M2091" s="17" t="n">
        <f aca="false">IF($J2091=0,"",INDEX(ROTACAO_RDM!$I$6:$I$71,$J2091))</f>
        <v>46357</v>
      </c>
      <c r="N2091" s="16" t="n">
        <f aca="false">IF($J2091=0,0,MAX(0,$C2091+INT(DIAS_POR_SEMANA/2)-INDEX(ROTACAO_RDM!$I$6:$I$71,$J2091)))</f>
        <v>184</v>
      </c>
      <c r="O2091" s="19" t="n">
        <f aca="false">IF($J2091=0,0,MIN(1,$N2091/MAX(1,INDEX(ROTACAO_RDM!$K$6:$K$71,$J2091))))</f>
        <v>0.943589743589744</v>
      </c>
      <c r="P2091" s="16" t="n">
        <f aca="false">IF($J2091=0,0,IFERROR(MATCH(INDEX(ROTACAO_RDM!$N$6:$N$71,$J2091),PARAMETROS_CULTURAS!$B$6:$B$28,0),0))</f>
        <v>5</v>
      </c>
      <c r="Q2091" s="8" t="str">
        <f aca="false">IF($P2091=0,"-",IF($O2091&lt;=INDEX(PARAMETROS_CULTURAS!$F$6:$F$28,$P2091),"INICIAL",IF($O2091&lt;=INDEX(PARAMETROS_CULTURAS!$F$6:$F$28,$P2091)+INDEX(PARAMETROS_CULTURAS!$G$6:$G$28,$P2091),"DESENVOLVIMENTO",IF($O2091&lt;=INDEX(PARAMETROS_CULTURAS!$F$6:$F$28,$P2091)+INDEX(PARAMETROS_CULTURAS!$G$6:$G$28,$P2091)+INDEX(PARAMETROS_CULTURAS!$H$6:$H$28,$P2091),"MEDIA","FINAL"))))</f>
        <v>FINAL</v>
      </c>
      <c r="R2091" s="24" t="n">
        <f aca="false">IF($P2091=0,0,IF($O2091&lt;=INDEX(PARAMETROS_CULTURAS!$F$6:$F$28,$P2091),INDEX(PARAMETROS_CULTURAS!$K$6:$K$28,$P2091),IF($O2091&lt;=INDEX(PARAMETROS_CULTURAS!$F$6:$F$28,$P2091)+INDEX(PARAMETROS_CULTURAS!$G$6:$G$28,$P2091),INDEX(PARAMETROS_CULTURAS!$K$6:$K$28,$P2091)+(INDEX(PARAMETROS_CULTURAS!$L$6:$L$28,$P2091)-INDEX(PARAMETROS_CULTURAS!$K$6:$K$28,$P2091))*($O2091-INDEX(PARAMETROS_CULTURAS!$F$6:$F$28,$P2091))/MAX(INDEX(PARAMETROS_CULTURAS!$G$6:$G$28,$P2091),0.0001),IF($O2091&lt;=INDEX(PARAMETROS_CULTURAS!$F$6:$F$28,$P2091)+INDEX(PARAMETROS_CULTURAS!$G$6:$G$28,$P2091)+INDEX(PARAMETROS_CULTURAS!$H$6:$H$28,$P2091),INDEX(PARAMETROS_CULTURAS!$L$6:$L$28,$P2091),INDEX(PARAMETROS_CULTURAS!$L$6:$L$28,$P2091)+(INDEX(PARAMETROS_CULTURAS!$M$6:$M$28,$P2091)-INDEX(PARAMETROS_CULTURAS!$L$6:$L$28,$P2091))*($O2091-INDEX(PARAMETROS_CULTURAS!$F$6:$F$28,$P2091)-INDEX(PARAMETROS_CULTURAS!$G$6:$G$28,$P2091)-INDEX(PARAMETROS_CULTURAS!$H$6:$H$28,$P2091))/MAX(INDEX(PARAMETROS_CULTURAS!$I$6:$I$28,$P2091),0.0001)))))</f>
        <v>0.710805860805861</v>
      </c>
      <c r="S2091" s="18" t="n">
        <f aca="false">IFERROR(INDEX(SEMANAS!$H$6:$H$71,MATCH($B2091,SEMANAS!$B$6:$B$71,0)),0)</f>
        <v>28.2</v>
      </c>
      <c r="T2091" s="18" t="n">
        <f aca="false">$R2091*$S2091</f>
        <v>20.0447252747253</v>
      </c>
      <c r="U2091" s="18" t="n">
        <f aca="false">IFERROR(INDEX(SEMANAS!$I$6:$I$71,MATCH($B2091,SEMANAS!$B$6:$B$71,0)),0)</f>
        <v>1.5</v>
      </c>
      <c r="V2091" s="18" t="n">
        <f aca="false">IFERROR(INDEX(SEMANAS!$J$6:$J$71,MATCH($B2091,SEMANAS!$B$6:$B$71,0)),0)</f>
        <v>1.2</v>
      </c>
      <c r="W2091" s="18" t="n">
        <f aca="false">MAX(0,$T2091-$V2091)</f>
        <v>18.8447252747253</v>
      </c>
      <c r="X2091" s="19" t="n">
        <f aca="false">IFERROR(INDEX(CADASTRO_PIVOS!$K$6:$K$41,MATCH($E2091,CADASTRO_PIVOS!$B$6:$B$41,0)),EFICIENCIA_PADRAO)</f>
        <v>0.85</v>
      </c>
      <c r="Y2091" s="18" t="n">
        <f aca="false">IF($X2091&lt;=0,0,$W2091/$X2091)</f>
        <v>22.1702650290886</v>
      </c>
      <c r="Z2091" s="16" t="n">
        <f aca="false">$Y2091*$H2091*MM_PARA_M3_HA</f>
        <v>22054.9796509373</v>
      </c>
      <c r="AA2091" s="18" t="n">
        <f aca="false">IFERROR(INDEX(CADASTRO_PIVOS!$I$6:$I$41,MATCH($E2091,CADASTRO_PIVOS!$B$6:$B$41,0)),0)</f>
        <v>710.571428571429</v>
      </c>
      <c r="AB2091" s="18" t="n">
        <f aca="false">IF($Z2091&lt;=0,0,$Z2091/$AA2091)</f>
        <v>31.038371040724</v>
      </c>
      <c r="AC2091" s="16" t="n">
        <f aca="false">IFERROR(INDEX(SEMANAS!$K$6:$K$71,MATCH($B2091,SEMANAS!$B$6:$B$71,0)),0)</f>
        <v>147</v>
      </c>
      <c r="AD2091" s="19" t="n">
        <f aca="false">IF($AC2091&lt;=0,0,$AB2091/$AC2091)</f>
        <v>0.211145381229415</v>
      </c>
      <c r="AE2091" s="8" t="str">
        <f aca="false">IF($K2091="SEM CULTURA","SEM CULTURA",IF($AA2091&lt;=0,"DADO PENDENTE",IF($AD2091&gt;LIMITE_CRITICO,"INVIAVEL",IF($AD2091&gt;LIMITE_ATENCAO,"CRITICO",IF($AD2091&gt;LIMITE_CONFORTAVEL,"ATENCAO","OK")))))</f>
        <v>OK</v>
      </c>
      <c r="AF2091" s="8" t="str">
        <f aca="false">$B2091&amp;"|"&amp;TEXT($AD2091,"0.000000")</f>
        <v>40|0.211145</v>
      </c>
      <c r="AG2091" s="18" t="n">
        <f aca="false">IF($K2091="SEM CULTURA",0,$T2091*$H2091)</f>
        <v>1994.04927032967</v>
      </c>
      <c r="AH2091" s="18" t="n">
        <f aca="false">IF($K2091="SEM CULTURA",0,$V2091*$H2091)</f>
        <v>119.376</v>
      </c>
      <c r="AI2091" s="18" t="n">
        <f aca="false">IF($K2091="SEM CULTURA",0,$W2091*$H2091)</f>
        <v>1874.67327032967</v>
      </c>
      <c r="AJ2091" s="18" t="n">
        <f aca="false">IF($K2091="SEM CULTURA",0,$S2091*$H2091)</f>
        <v>2805.336</v>
      </c>
      <c r="AK2091" s="8" t="str">
        <f aca="false">$E2091&amp;"|"&amp;TEXT($AD2091,"0.000000")</f>
        <v>PV 133|0.211145</v>
      </c>
    </row>
    <row r="2092" customFormat="false" ht="15" hidden="false" customHeight="false" outlineLevel="0" collapsed="false">
      <c r="B2092" s="16" t="n">
        <v>41</v>
      </c>
      <c r="C2092" s="17" t="n">
        <f aca="false">DATA_INICIO_SAFRA+($B2092-1)*DIAS_POR_SEMANA</f>
        <v>46545</v>
      </c>
      <c r="D2092" s="17" t="n">
        <f aca="false">$C2092+DIAS_POR_SEMANA-1</f>
        <v>46551</v>
      </c>
      <c r="E2092" s="15" t="s">
        <v>290</v>
      </c>
      <c r="F2092" s="8" t="str">
        <f aca="false">IFERROR(INDEX(CADASTRO_PIVOS!$C$6:$C$41,MATCH($E2092,CADASTRO_PIVOS!$B$6:$B$41,0)),"?")</f>
        <v>RM07</v>
      </c>
      <c r="G2092" s="8" t="str">
        <f aca="false">IFERROR(INDEX(CADASTRO_PIVOS!$D$6:$D$41,MATCH($E2092,CADASTRO_PIVOS!$B$6:$B$41,0)),"?")</f>
        <v>TR07</v>
      </c>
      <c r="H2092" s="20" t="n">
        <f aca="false">IFERROR(INDEX(CADASTRO_PIVOS!$E$6:$E$41,MATCH($E2092,CADASTRO_PIVOS!$B$6:$B$41,0)),0)</f>
        <v>99.48</v>
      </c>
      <c r="I2092" s="16" t="n">
        <f aca="false">IFERROR(SUMIFS(ROTACAO_RDM!$B$6:$B$71,ROTACAO_RDM!$D$6:$D$71,$E2092,ROTACAO_RDM!$I$6:$I$71,"&lt;="&amp;$C2092+INT(DIAS_POR_SEMANA/2),ROTACAO_RDM!$J$6:$J$71,"&gt;="&amp;$C2092+INT(DIAS_POR_SEMANA/2)),0)</f>
        <v>66</v>
      </c>
      <c r="J2092" s="16" t="n">
        <f aca="false">IFERROR(MATCH($I2092,ROTACAO_RDM!$B$6:$B$71,0),0)</f>
        <v>66</v>
      </c>
      <c r="K2092" s="8" t="str">
        <f aca="false">IF($J2092=0,"SEM CULTURA",INDEX(ROTACAO_RDM!$F$6:$F$71,$J2092))</f>
        <v>ALGODAO</v>
      </c>
      <c r="L2092" s="8" t="str">
        <f aca="false">IF($J2092=0,"",INDEX(ROTACAO_RDM!$G$6:$G$71,$J2092))</f>
        <v>FM 974 GLT</v>
      </c>
      <c r="M2092" s="17" t="n">
        <f aca="false">IF($J2092=0,"",INDEX(ROTACAO_RDM!$I$6:$I$71,$J2092))</f>
        <v>46357</v>
      </c>
      <c r="N2092" s="16" t="n">
        <f aca="false">IF($J2092=0,0,MAX(0,$C2092+INT(DIAS_POR_SEMANA/2)-INDEX(ROTACAO_RDM!$I$6:$I$71,$J2092)))</f>
        <v>191</v>
      </c>
      <c r="O2092" s="19" t="n">
        <f aca="false">IF($J2092=0,0,MIN(1,$N2092/MAX(1,INDEX(ROTACAO_RDM!$K$6:$K$71,$J2092))))</f>
        <v>0.979487179487179</v>
      </c>
      <c r="P2092" s="16" t="n">
        <f aca="false">IF($J2092=0,0,IFERROR(MATCH(INDEX(ROTACAO_RDM!$N$6:$N$71,$J2092),PARAMETROS_CULTURAS!$B$6:$B$28,0),0))</f>
        <v>5</v>
      </c>
      <c r="Q2092" s="8" t="str">
        <f aca="false">IF($P2092=0,"-",IF($O2092&lt;=INDEX(PARAMETROS_CULTURAS!$F$6:$F$28,$P2092),"INICIAL",IF($O2092&lt;=INDEX(PARAMETROS_CULTURAS!$F$6:$F$28,$P2092)+INDEX(PARAMETROS_CULTURAS!$G$6:$G$28,$P2092),"DESENVOLVIMENTO",IF($O2092&lt;=INDEX(PARAMETROS_CULTURAS!$F$6:$F$28,$P2092)+INDEX(PARAMETROS_CULTURAS!$G$6:$G$28,$P2092)+INDEX(PARAMETROS_CULTURAS!$H$6:$H$28,$P2092),"MEDIA","FINAL"))))</f>
        <v>FINAL</v>
      </c>
      <c r="R2092" s="24" t="n">
        <f aca="false">IF($P2092=0,0,IF($O2092&lt;=INDEX(PARAMETROS_CULTURAS!$F$6:$F$28,$P2092),INDEX(PARAMETROS_CULTURAS!$K$6:$K$28,$P2092),IF($O2092&lt;=INDEX(PARAMETROS_CULTURAS!$F$6:$F$28,$P2092)+INDEX(PARAMETROS_CULTURAS!$G$6:$G$28,$P2092),INDEX(PARAMETROS_CULTURAS!$K$6:$K$28,$P2092)+(INDEX(PARAMETROS_CULTURAS!$L$6:$L$28,$P2092)-INDEX(PARAMETROS_CULTURAS!$K$6:$K$28,$P2092))*($O2092-INDEX(PARAMETROS_CULTURAS!$F$6:$F$28,$P2092))/MAX(INDEX(PARAMETROS_CULTURAS!$G$6:$G$28,$P2092),0.0001),IF($O2092&lt;=INDEX(PARAMETROS_CULTURAS!$F$6:$F$28,$P2092)+INDEX(PARAMETROS_CULTURAS!$G$6:$G$28,$P2092)+INDEX(PARAMETROS_CULTURAS!$H$6:$H$28,$P2092),INDEX(PARAMETROS_CULTURAS!$L$6:$L$28,$P2092),INDEX(PARAMETROS_CULTURAS!$L$6:$L$28,$P2092)+(INDEX(PARAMETROS_CULTURAS!$M$6:$M$28,$P2092)-INDEX(PARAMETROS_CULTURAS!$L$6:$L$28,$P2092))*($O2092-INDEX(PARAMETROS_CULTURAS!$F$6:$F$28,$P2092)-INDEX(PARAMETROS_CULTURAS!$G$6:$G$28,$P2092)-INDEX(PARAMETROS_CULTURAS!$H$6:$H$28,$P2092))/MAX(INDEX(PARAMETROS_CULTURAS!$I$6:$I$28,$P2092),0.0001)))))</f>
        <v>0.640293040293041</v>
      </c>
      <c r="S2092" s="18" t="n">
        <f aca="false">IFERROR(INDEX(SEMANAS!$H$6:$H$71,MATCH($B2092,SEMANAS!$B$6:$B$71,0)),0)</f>
        <v>28</v>
      </c>
      <c r="T2092" s="18" t="n">
        <f aca="false">$R2092*$S2092</f>
        <v>17.9282051282051</v>
      </c>
      <c r="U2092" s="18" t="n">
        <f aca="false">IFERROR(INDEX(SEMANAS!$I$6:$I$71,MATCH($B2092,SEMANAS!$B$6:$B$71,0)),0)</f>
        <v>1.19</v>
      </c>
      <c r="V2092" s="18" t="n">
        <f aca="false">IFERROR(INDEX(SEMANAS!$J$6:$J$71,MATCH($B2092,SEMANAS!$B$6:$B$71,0)),0)</f>
        <v>0.952</v>
      </c>
      <c r="W2092" s="18" t="n">
        <f aca="false">MAX(0,$T2092-$V2092)</f>
        <v>16.9762051282051</v>
      </c>
      <c r="X2092" s="19" t="n">
        <f aca="false">IFERROR(INDEX(CADASTRO_PIVOS!$K$6:$K$41,MATCH($E2092,CADASTRO_PIVOS!$B$6:$B$41,0)),EFICIENCIA_PADRAO)</f>
        <v>0.85</v>
      </c>
      <c r="Y2092" s="18" t="n">
        <f aca="false">IF($X2092&lt;=0,0,$W2092/$X2092)</f>
        <v>19.9720060331825</v>
      </c>
      <c r="Z2092" s="16" t="n">
        <f aca="false">$Y2092*$H2092*MM_PARA_M3_HA</f>
        <v>19868.15160181</v>
      </c>
      <c r="AA2092" s="18" t="n">
        <f aca="false">IFERROR(INDEX(CADASTRO_PIVOS!$I$6:$I$41,MATCH($E2092,CADASTRO_PIVOS!$B$6:$B$41,0)),0)</f>
        <v>710.571428571429</v>
      </c>
      <c r="AB2092" s="18" t="n">
        <f aca="false">IF($Z2092&lt;=0,0,$Z2092/$AA2092)</f>
        <v>27.9608084464555</v>
      </c>
      <c r="AC2092" s="16" t="n">
        <f aca="false">IFERROR(INDEX(SEMANAS!$K$6:$K$71,MATCH($B2092,SEMANAS!$B$6:$B$71,0)),0)</f>
        <v>147</v>
      </c>
      <c r="AD2092" s="19" t="n">
        <f aca="false">IF($AC2092&lt;=0,0,$AB2092/$AC2092)</f>
        <v>0.190209581268405</v>
      </c>
      <c r="AE2092" s="8" t="str">
        <f aca="false">IF($K2092="SEM CULTURA","SEM CULTURA",IF($AA2092&lt;=0,"DADO PENDENTE",IF($AD2092&gt;LIMITE_CRITICO,"INVIAVEL",IF($AD2092&gt;LIMITE_ATENCAO,"CRITICO",IF($AD2092&gt;LIMITE_CONFORTAVEL,"ATENCAO","OK")))))</f>
        <v>OK</v>
      </c>
      <c r="AF2092" s="8" t="str">
        <f aca="false">$B2092&amp;"|"&amp;TEXT($AD2092,"0.000000")</f>
        <v>41|0.190210</v>
      </c>
      <c r="AG2092" s="18" t="n">
        <f aca="false">IF($K2092="SEM CULTURA",0,$T2092*$H2092)</f>
        <v>1783.49784615385</v>
      </c>
      <c r="AH2092" s="18" t="n">
        <f aca="false">IF($K2092="SEM CULTURA",0,$V2092*$H2092)</f>
        <v>94.70496</v>
      </c>
      <c r="AI2092" s="18" t="n">
        <f aca="false">IF($K2092="SEM CULTURA",0,$W2092*$H2092)</f>
        <v>1688.79288615385</v>
      </c>
      <c r="AJ2092" s="18" t="n">
        <f aca="false">IF($K2092="SEM CULTURA",0,$S2092*$H2092)</f>
        <v>2785.44</v>
      </c>
      <c r="AK2092" s="8" t="str">
        <f aca="false">$E2092&amp;"|"&amp;TEXT($AD2092,"0.000000")</f>
        <v>PV 133|0.190210</v>
      </c>
    </row>
    <row r="2093" customFormat="false" ht="15" hidden="false" customHeight="false" outlineLevel="0" collapsed="false">
      <c r="B2093" s="16" t="n">
        <v>42</v>
      </c>
      <c r="C2093" s="17" t="n">
        <f aca="false">DATA_INICIO_SAFRA+($B2093-1)*DIAS_POR_SEMANA</f>
        <v>46552</v>
      </c>
      <c r="D2093" s="17" t="n">
        <f aca="false">$C2093+DIAS_POR_SEMANA-1</f>
        <v>46558</v>
      </c>
      <c r="E2093" s="15" t="s">
        <v>290</v>
      </c>
      <c r="F2093" s="8" t="str">
        <f aca="false">IFERROR(INDEX(CADASTRO_PIVOS!$C$6:$C$41,MATCH($E2093,CADASTRO_PIVOS!$B$6:$B$41,0)),"?")</f>
        <v>RM07</v>
      </c>
      <c r="G2093" s="8" t="str">
        <f aca="false">IFERROR(INDEX(CADASTRO_PIVOS!$D$6:$D$41,MATCH($E2093,CADASTRO_PIVOS!$B$6:$B$41,0)),"?")</f>
        <v>TR07</v>
      </c>
      <c r="H2093" s="20" t="n">
        <f aca="false">IFERROR(INDEX(CADASTRO_PIVOS!$E$6:$E$41,MATCH($E2093,CADASTRO_PIVOS!$B$6:$B$41,0)),0)</f>
        <v>99.48</v>
      </c>
      <c r="I2093" s="16" t="n">
        <f aca="false">IFERROR(SUMIFS(ROTACAO_RDM!$B$6:$B$71,ROTACAO_RDM!$D$6:$D$71,$E2093,ROTACAO_RDM!$I$6:$I$71,"&lt;="&amp;$C2093+INT(DIAS_POR_SEMANA/2),ROTACAO_RDM!$J$6:$J$71,"&gt;="&amp;$C2093+INT(DIAS_POR_SEMANA/2)),0)</f>
        <v>0</v>
      </c>
      <c r="J2093" s="16" t="n">
        <f aca="false">IFERROR(MATCH($I2093,ROTACAO_RDM!$B$6:$B$71,0),0)</f>
        <v>0</v>
      </c>
      <c r="K2093" s="8" t="str">
        <f aca="false">IF($J2093=0,"SEM CULTURA",INDEX(ROTACAO_RDM!$F$6:$F$71,$J2093))</f>
        <v>SEM CULTURA</v>
      </c>
      <c r="L2093" s="8" t="str">
        <f aca="false">IF($J2093=0,"",INDEX(ROTACAO_RDM!$G$6:$G$71,$J2093))</f>
        <v/>
      </c>
      <c r="M2093" s="17" t="str">
        <f aca="false">IF($J2093=0,"",INDEX(ROTACAO_RDM!$I$6:$I$71,$J2093))</f>
        <v/>
      </c>
      <c r="N2093" s="16" t="n">
        <f aca="false">IF($J2093=0,0,MAX(0,$C2093+INT(DIAS_POR_SEMANA/2)-INDEX(ROTACAO_RDM!$I$6:$I$71,$J2093)))</f>
        <v>0</v>
      </c>
      <c r="O2093" s="19" t="n">
        <f aca="false">IF($J2093=0,0,MIN(1,$N2093/MAX(1,INDEX(ROTACAO_RDM!$K$6:$K$71,$J2093))))</f>
        <v>0</v>
      </c>
      <c r="P2093" s="16" t="n">
        <f aca="false">IF($J2093=0,0,IFERROR(MATCH(INDEX(ROTACAO_RDM!$N$6:$N$71,$J2093),PARAMETROS_CULTURAS!$B$6:$B$28,0),0))</f>
        <v>0</v>
      </c>
      <c r="Q2093" s="8" t="str">
        <f aca="false">IF($P2093=0,"-",IF($O2093&lt;=INDEX(PARAMETROS_CULTURAS!$F$6:$F$28,$P2093),"INICIAL",IF($O2093&lt;=INDEX(PARAMETROS_CULTURAS!$F$6:$F$28,$P2093)+INDEX(PARAMETROS_CULTURAS!$G$6:$G$28,$P2093),"DESENVOLVIMENTO",IF($O2093&lt;=INDEX(PARAMETROS_CULTURAS!$F$6:$F$28,$P2093)+INDEX(PARAMETROS_CULTURAS!$G$6:$G$28,$P2093)+INDEX(PARAMETROS_CULTURAS!$H$6:$H$28,$P2093),"MEDIA","FINAL"))))</f>
        <v>-</v>
      </c>
      <c r="R2093" s="24" t="n">
        <f aca="false">IF($P2093=0,0,IF($O2093&lt;=INDEX(PARAMETROS_CULTURAS!$F$6:$F$28,$P2093),INDEX(PARAMETROS_CULTURAS!$K$6:$K$28,$P2093),IF($O2093&lt;=INDEX(PARAMETROS_CULTURAS!$F$6:$F$28,$P2093)+INDEX(PARAMETROS_CULTURAS!$G$6:$G$28,$P2093),INDEX(PARAMETROS_CULTURAS!$K$6:$K$28,$P2093)+(INDEX(PARAMETROS_CULTURAS!$L$6:$L$28,$P2093)-INDEX(PARAMETROS_CULTURAS!$K$6:$K$28,$P2093))*($O2093-INDEX(PARAMETROS_CULTURAS!$F$6:$F$28,$P2093))/MAX(INDEX(PARAMETROS_CULTURAS!$G$6:$G$28,$P2093),0.0001),IF($O2093&lt;=INDEX(PARAMETROS_CULTURAS!$F$6:$F$28,$P2093)+INDEX(PARAMETROS_CULTURAS!$G$6:$G$28,$P2093)+INDEX(PARAMETROS_CULTURAS!$H$6:$H$28,$P2093),INDEX(PARAMETROS_CULTURAS!$L$6:$L$28,$P2093),INDEX(PARAMETROS_CULTURAS!$L$6:$L$28,$P2093)+(INDEX(PARAMETROS_CULTURAS!$M$6:$M$28,$P2093)-INDEX(PARAMETROS_CULTURAS!$L$6:$L$28,$P2093))*($O2093-INDEX(PARAMETROS_CULTURAS!$F$6:$F$28,$P2093)-INDEX(PARAMETROS_CULTURAS!$G$6:$G$28,$P2093)-INDEX(PARAMETROS_CULTURAS!$H$6:$H$28,$P2093))/MAX(INDEX(PARAMETROS_CULTURAS!$I$6:$I$28,$P2093),0.0001)))))</f>
        <v>0</v>
      </c>
      <c r="S2093" s="18" t="n">
        <f aca="false">IFERROR(INDEX(SEMANAS!$H$6:$H$71,MATCH($B2093,SEMANAS!$B$6:$B$71,0)),0)</f>
        <v>28</v>
      </c>
      <c r="T2093" s="18" t="n">
        <f aca="false">$R2093*$S2093</f>
        <v>0</v>
      </c>
      <c r="U2093" s="18" t="n">
        <f aca="false">IFERROR(INDEX(SEMANAS!$I$6:$I$71,MATCH($B2093,SEMANAS!$B$6:$B$71,0)),0)</f>
        <v>1.19</v>
      </c>
      <c r="V2093" s="18" t="n">
        <f aca="false">IFERROR(INDEX(SEMANAS!$J$6:$J$71,MATCH($B2093,SEMANAS!$B$6:$B$71,0)),0)</f>
        <v>0.952</v>
      </c>
      <c r="W2093" s="18" t="n">
        <f aca="false">MAX(0,$T2093-$V2093)</f>
        <v>0</v>
      </c>
      <c r="X2093" s="19" t="n">
        <f aca="false">IFERROR(INDEX(CADASTRO_PIVOS!$K$6:$K$41,MATCH($E2093,CADASTRO_PIVOS!$B$6:$B$41,0)),EFICIENCIA_PADRAO)</f>
        <v>0.85</v>
      </c>
      <c r="Y2093" s="18" t="n">
        <f aca="false">IF($X2093&lt;=0,0,$W2093/$X2093)</f>
        <v>0</v>
      </c>
      <c r="Z2093" s="16" t="n">
        <f aca="false">$Y2093*$H2093*MM_PARA_M3_HA</f>
        <v>0</v>
      </c>
      <c r="AA2093" s="18" t="n">
        <f aca="false">IFERROR(INDEX(CADASTRO_PIVOS!$I$6:$I$41,MATCH($E2093,CADASTRO_PIVOS!$B$6:$B$41,0)),0)</f>
        <v>710.571428571429</v>
      </c>
      <c r="AB2093" s="18" t="n">
        <f aca="false">IF($Z2093&lt;=0,0,$Z2093/$AA2093)</f>
        <v>0</v>
      </c>
      <c r="AC2093" s="16" t="n">
        <f aca="false">IFERROR(INDEX(SEMANAS!$K$6:$K$71,MATCH($B2093,SEMANAS!$B$6:$B$71,0)),0)</f>
        <v>147</v>
      </c>
      <c r="AD2093" s="19" t="n">
        <f aca="false">IF($AC2093&lt;=0,0,$AB2093/$AC2093)</f>
        <v>0</v>
      </c>
      <c r="AE2093" s="8" t="str">
        <f aca="false">IF($K2093="SEM CULTURA","SEM CULTURA",IF($AA2093&lt;=0,"DADO PENDENTE",IF($AD2093&gt;LIMITE_CRITICO,"INVIAVEL",IF($AD2093&gt;LIMITE_ATENCAO,"CRITICO",IF($AD2093&gt;LIMITE_CONFORTAVEL,"ATENCAO","OK")))))</f>
        <v>SEM CULTURA</v>
      </c>
      <c r="AF2093" s="8" t="str">
        <f aca="false">$B2093&amp;"|"&amp;TEXT($AD2093,"0.000000")</f>
        <v>42|0.000000</v>
      </c>
      <c r="AG2093" s="18" t="n">
        <f aca="false">IF($K2093="SEM CULTURA",0,$T2093*$H2093)</f>
        <v>0</v>
      </c>
      <c r="AH2093" s="18" t="n">
        <f aca="false">IF($K2093="SEM CULTURA",0,$V2093*$H2093)</f>
        <v>0</v>
      </c>
      <c r="AI2093" s="18" t="n">
        <f aca="false">IF($K2093="SEM CULTURA",0,$W2093*$H2093)</f>
        <v>0</v>
      </c>
      <c r="AJ2093" s="18" t="n">
        <f aca="false">IF($K2093="SEM CULTURA",0,$S2093*$H2093)</f>
        <v>0</v>
      </c>
      <c r="AK2093" s="8" t="str">
        <f aca="false">$E2093&amp;"|"&amp;TEXT($AD2093,"0.000000")</f>
        <v>PV 133|0.000000</v>
      </c>
    </row>
    <row r="2094" customFormat="false" ht="15" hidden="false" customHeight="false" outlineLevel="0" collapsed="false">
      <c r="B2094" s="16" t="n">
        <v>43</v>
      </c>
      <c r="C2094" s="17" t="n">
        <f aca="false">DATA_INICIO_SAFRA+($B2094-1)*DIAS_POR_SEMANA</f>
        <v>46559</v>
      </c>
      <c r="D2094" s="17" t="n">
        <f aca="false">$C2094+DIAS_POR_SEMANA-1</f>
        <v>46565</v>
      </c>
      <c r="E2094" s="15" t="s">
        <v>290</v>
      </c>
      <c r="F2094" s="8" t="str">
        <f aca="false">IFERROR(INDEX(CADASTRO_PIVOS!$C$6:$C$41,MATCH($E2094,CADASTRO_PIVOS!$B$6:$B$41,0)),"?")</f>
        <v>RM07</v>
      </c>
      <c r="G2094" s="8" t="str">
        <f aca="false">IFERROR(INDEX(CADASTRO_PIVOS!$D$6:$D$41,MATCH($E2094,CADASTRO_PIVOS!$B$6:$B$41,0)),"?")</f>
        <v>TR07</v>
      </c>
      <c r="H2094" s="20" t="n">
        <f aca="false">IFERROR(INDEX(CADASTRO_PIVOS!$E$6:$E$41,MATCH($E2094,CADASTRO_PIVOS!$B$6:$B$41,0)),0)</f>
        <v>99.48</v>
      </c>
      <c r="I2094" s="16" t="n">
        <f aca="false">IFERROR(SUMIFS(ROTACAO_RDM!$B$6:$B$71,ROTACAO_RDM!$D$6:$D$71,$E2094,ROTACAO_RDM!$I$6:$I$71,"&lt;="&amp;$C2094+INT(DIAS_POR_SEMANA/2),ROTACAO_RDM!$J$6:$J$71,"&gt;="&amp;$C2094+INT(DIAS_POR_SEMANA/2)),0)</f>
        <v>0</v>
      </c>
      <c r="J2094" s="16" t="n">
        <f aca="false">IFERROR(MATCH($I2094,ROTACAO_RDM!$B$6:$B$71,0),0)</f>
        <v>0</v>
      </c>
      <c r="K2094" s="8" t="str">
        <f aca="false">IF($J2094=0,"SEM CULTURA",INDEX(ROTACAO_RDM!$F$6:$F$71,$J2094))</f>
        <v>SEM CULTURA</v>
      </c>
      <c r="L2094" s="8" t="str">
        <f aca="false">IF($J2094=0,"",INDEX(ROTACAO_RDM!$G$6:$G$71,$J2094))</f>
        <v/>
      </c>
      <c r="M2094" s="17" t="str">
        <f aca="false">IF($J2094=0,"",INDEX(ROTACAO_RDM!$I$6:$I$71,$J2094))</f>
        <v/>
      </c>
      <c r="N2094" s="16" t="n">
        <f aca="false">IF($J2094=0,0,MAX(0,$C2094+INT(DIAS_POR_SEMANA/2)-INDEX(ROTACAO_RDM!$I$6:$I$71,$J2094)))</f>
        <v>0</v>
      </c>
      <c r="O2094" s="19" t="n">
        <f aca="false">IF($J2094=0,0,MIN(1,$N2094/MAX(1,INDEX(ROTACAO_RDM!$K$6:$K$71,$J2094))))</f>
        <v>0</v>
      </c>
      <c r="P2094" s="16" t="n">
        <f aca="false">IF($J2094=0,0,IFERROR(MATCH(INDEX(ROTACAO_RDM!$N$6:$N$71,$J2094),PARAMETROS_CULTURAS!$B$6:$B$28,0),0))</f>
        <v>0</v>
      </c>
      <c r="Q2094" s="8" t="str">
        <f aca="false">IF($P2094=0,"-",IF($O2094&lt;=INDEX(PARAMETROS_CULTURAS!$F$6:$F$28,$P2094),"INICIAL",IF($O2094&lt;=INDEX(PARAMETROS_CULTURAS!$F$6:$F$28,$P2094)+INDEX(PARAMETROS_CULTURAS!$G$6:$G$28,$P2094),"DESENVOLVIMENTO",IF($O2094&lt;=INDEX(PARAMETROS_CULTURAS!$F$6:$F$28,$P2094)+INDEX(PARAMETROS_CULTURAS!$G$6:$G$28,$P2094)+INDEX(PARAMETROS_CULTURAS!$H$6:$H$28,$P2094),"MEDIA","FINAL"))))</f>
        <v>-</v>
      </c>
      <c r="R2094" s="24" t="n">
        <f aca="false">IF($P2094=0,0,IF($O2094&lt;=INDEX(PARAMETROS_CULTURAS!$F$6:$F$28,$P2094),INDEX(PARAMETROS_CULTURAS!$K$6:$K$28,$P2094),IF($O2094&lt;=INDEX(PARAMETROS_CULTURAS!$F$6:$F$28,$P2094)+INDEX(PARAMETROS_CULTURAS!$G$6:$G$28,$P2094),INDEX(PARAMETROS_CULTURAS!$K$6:$K$28,$P2094)+(INDEX(PARAMETROS_CULTURAS!$L$6:$L$28,$P2094)-INDEX(PARAMETROS_CULTURAS!$K$6:$K$28,$P2094))*($O2094-INDEX(PARAMETROS_CULTURAS!$F$6:$F$28,$P2094))/MAX(INDEX(PARAMETROS_CULTURAS!$G$6:$G$28,$P2094),0.0001),IF($O2094&lt;=INDEX(PARAMETROS_CULTURAS!$F$6:$F$28,$P2094)+INDEX(PARAMETROS_CULTURAS!$G$6:$G$28,$P2094)+INDEX(PARAMETROS_CULTURAS!$H$6:$H$28,$P2094),INDEX(PARAMETROS_CULTURAS!$L$6:$L$28,$P2094),INDEX(PARAMETROS_CULTURAS!$L$6:$L$28,$P2094)+(INDEX(PARAMETROS_CULTURAS!$M$6:$M$28,$P2094)-INDEX(PARAMETROS_CULTURAS!$L$6:$L$28,$P2094))*($O2094-INDEX(PARAMETROS_CULTURAS!$F$6:$F$28,$P2094)-INDEX(PARAMETROS_CULTURAS!$G$6:$G$28,$P2094)-INDEX(PARAMETROS_CULTURAS!$H$6:$H$28,$P2094))/MAX(INDEX(PARAMETROS_CULTURAS!$I$6:$I$28,$P2094),0.0001)))))</f>
        <v>0</v>
      </c>
      <c r="S2094" s="18" t="n">
        <f aca="false">IFERROR(INDEX(SEMANAS!$H$6:$H$71,MATCH($B2094,SEMANAS!$B$6:$B$71,0)),0)</f>
        <v>28</v>
      </c>
      <c r="T2094" s="18" t="n">
        <f aca="false">$R2094*$S2094</f>
        <v>0</v>
      </c>
      <c r="U2094" s="18" t="n">
        <f aca="false">IFERROR(INDEX(SEMANAS!$I$6:$I$71,MATCH($B2094,SEMANAS!$B$6:$B$71,0)),0)</f>
        <v>1.19</v>
      </c>
      <c r="V2094" s="18" t="n">
        <f aca="false">IFERROR(INDEX(SEMANAS!$J$6:$J$71,MATCH($B2094,SEMANAS!$B$6:$B$71,0)),0)</f>
        <v>0.952</v>
      </c>
      <c r="W2094" s="18" t="n">
        <f aca="false">MAX(0,$T2094-$V2094)</f>
        <v>0</v>
      </c>
      <c r="X2094" s="19" t="n">
        <f aca="false">IFERROR(INDEX(CADASTRO_PIVOS!$K$6:$K$41,MATCH($E2094,CADASTRO_PIVOS!$B$6:$B$41,0)),EFICIENCIA_PADRAO)</f>
        <v>0.85</v>
      </c>
      <c r="Y2094" s="18" t="n">
        <f aca="false">IF($X2094&lt;=0,0,$W2094/$X2094)</f>
        <v>0</v>
      </c>
      <c r="Z2094" s="16" t="n">
        <f aca="false">$Y2094*$H2094*MM_PARA_M3_HA</f>
        <v>0</v>
      </c>
      <c r="AA2094" s="18" t="n">
        <f aca="false">IFERROR(INDEX(CADASTRO_PIVOS!$I$6:$I$41,MATCH($E2094,CADASTRO_PIVOS!$B$6:$B$41,0)),0)</f>
        <v>710.571428571429</v>
      </c>
      <c r="AB2094" s="18" t="n">
        <f aca="false">IF($Z2094&lt;=0,0,$Z2094/$AA2094)</f>
        <v>0</v>
      </c>
      <c r="AC2094" s="16" t="n">
        <f aca="false">IFERROR(INDEX(SEMANAS!$K$6:$K$71,MATCH($B2094,SEMANAS!$B$6:$B$71,0)),0)</f>
        <v>147</v>
      </c>
      <c r="AD2094" s="19" t="n">
        <f aca="false">IF($AC2094&lt;=0,0,$AB2094/$AC2094)</f>
        <v>0</v>
      </c>
      <c r="AE2094" s="8" t="str">
        <f aca="false">IF($K2094="SEM CULTURA","SEM CULTURA",IF($AA2094&lt;=0,"DADO PENDENTE",IF($AD2094&gt;LIMITE_CRITICO,"INVIAVEL",IF($AD2094&gt;LIMITE_ATENCAO,"CRITICO",IF($AD2094&gt;LIMITE_CONFORTAVEL,"ATENCAO","OK")))))</f>
        <v>SEM CULTURA</v>
      </c>
      <c r="AF2094" s="8" t="str">
        <f aca="false">$B2094&amp;"|"&amp;TEXT($AD2094,"0.000000")</f>
        <v>43|0.000000</v>
      </c>
      <c r="AG2094" s="18" t="n">
        <f aca="false">IF($K2094="SEM CULTURA",0,$T2094*$H2094)</f>
        <v>0</v>
      </c>
      <c r="AH2094" s="18" t="n">
        <f aca="false">IF($K2094="SEM CULTURA",0,$V2094*$H2094)</f>
        <v>0</v>
      </c>
      <c r="AI2094" s="18" t="n">
        <f aca="false">IF($K2094="SEM CULTURA",0,$W2094*$H2094)</f>
        <v>0</v>
      </c>
      <c r="AJ2094" s="18" t="n">
        <f aca="false">IF($K2094="SEM CULTURA",0,$S2094*$H2094)</f>
        <v>0</v>
      </c>
      <c r="AK2094" s="8" t="str">
        <f aca="false">$E2094&amp;"|"&amp;TEXT($AD2094,"0.000000")</f>
        <v>PV 133|0.000000</v>
      </c>
    </row>
    <row r="2095" customFormat="false" ht="15" hidden="false" customHeight="false" outlineLevel="0" collapsed="false">
      <c r="B2095" s="16" t="n">
        <v>44</v>
      </c>
      <c r="C2095" s="17" t="n">
        <f aca="false">DATA_INICIO_SAFRA+($B2095-1)*DIAS_POR_SEMANA</f>
        <v>46566</v>
      </c>
      <c r="D2095" s="17" t="n">
        <f aca="false">$C2095+DIAS_POR_SEMANA-1</f>
        <v>46572</v>
      </c>
      <c r="E2095" s="15" t="s">
        <v>290</v>
      </c>
      <c r="F2095" s="8" t="str">
        <f aca="false">IFERROR(INDEX(CADASTRO_PIVOS!$C$6:$C$41,MATCH($E2095,CADASTRO_PIVOS!$B$6:$B$41,0)),"?")</f>
        <v>RM07</v>
      </c>
      <c r="G2095" s="8" t="str">
        <f aca="false">IFERROR(INDEX(CADASTRO_PIVOS!$D$6:$D$41,MATCH($E2095,CADASTRO_PIVOS!$B$6:$B$41,0)),"?")</f>
        <v>TR07</v>
      </c>
      <c r="H2095" s="20" t="n">
        <f aca="false">IFERROR(INDEX(CADASTRO_PIVOS!$E$6:$E$41,MATCH($E2095,CADASTRO_PIVOS!$B$6:$B$41,0)),0)</f>
        <v>99.48</v>
      </c>
      <c r="I2095" s="16" t="n">
        <f aca="false">IFERROR(SUMIFS(ROTACAO_RDM!$B$6:$B$71,ROTACAO_RDM!$D$6:$D$71,$E2095,ROTACAO_RDM!$I$6:$I$71,"&lt;="&amp;$C2095+INT(DIAS_POR_SEMANA/2),ROTACAO_RDM!$J$6:$J$71,"&gt;="&amp;$C2095+INT(DIAS_POR_SEMANA/2)),0)</f>
        <v>0</v>
      </c>
      <c r="J2095" s="16" t="n">
        <f aca="false">IFERROR(MATCH($I2095,ROTACAO_RDM!$B$6:$B$71,0),0)</f>
        <v>0</v>
      </c>
      <c r="K2095" s="8" t="str">
        <f aca="false">IF($J2095=0,"SEM CULTURA",INDEX(ROTACAO_RDM!$F$6:$F$71,$J2095))</f>
        <v>SEM CULTURA</v>
      </c>
      <c r="L2095" s="8" t="str">
        <f aca="false">IF($J2095=0,"",INDEX(ROTACAO_RDM!$G$6:$G$71,$J2095))</f>
        <v/>
      </c>
      <c r="M2095" s="17" t="str">
        <f aca="false">IF($J2095=0,"",INDEX(ROTACAO_RDM!$I$6:$I$71,$J2095))</f>
        <v/>
      </c>
      <c r="N2095" s="16" t="n">
        <f aca="false">IF($J2095=0,0,MAX(0,$C2095+INT(DIAS_POR_SEMANA/2)-INDEX(ROTACAO_RDM!$I$6:$I$71,$J2095)))</f>
        <v>0</v>
      </c>
      <c r="O2095" s="19" t="n">
        <f aca="false">IF($J2095=0,0,MIN(1,$N2095/MAX(1,INDEX(ROTACAO_RDM!$K$6:$K$71,$J2095))))</f>
        <v>0</v>
      </c>
      <c r="P2095" s="16" t="n">
        <f aca="false">IF($J2095=0,0,IFERROR(MATCH(INDEX(ROTACAO_RDM!$N$6:$N$71,$J2095),PARAMETROS_CULTURAS!$B$6:$B$28,0),0))</f>
        <v>0</v>
      </c>
      <c r="Q2095" s="8" t="str">
        <f aca="false">IF($P2095=0,"-",IF($O2095&lt;=INDEX(PARAMETROS_CULTURAS!$F$6:$F$28,$P2095),"INICIAL",IF($O2095&lt;=INDEX(PARAMETROS_CULTURAS!$F$6:$F$28,$P2095)+INDEX(PARAMETROS_CULTURAS!$G$6:$G$28,$P2095),"DESENVOLVIMENTO",IF($O2095&lt;=INDEX(PARAMETROS_CULTURAS!$F$6:$F$28,$P2095)+INDEX(PARAMETROS_CULTURAS!$G$6:$G$28,$P2095)+INDEX(PARAMETROS_CULTURAS!$H$6:$H$28,$P2095),"MEDIA","FINAL"))))</f>
        <v>-</v>
      </c>
      <c r="R2095" s="24" t="n">
        <f aca="false">IF($P2095=0,0,IF($O2095&lt;=INDEX(PARAMETROS_CULTURAS!$F$6:$F$28,$P2095),INDEX(PARAMETROS_CULTURAS!$K$6:$K$28,$P2095),IF($O2095&lt;=INDEX(PARAMETROS_CULTURAS!$F$6:$F$28,$P2095)+INDEX(PARAMETROS_CULTURAS!$G$6:$G$28,$P2095),INDEX(PARAMETROS_CULTURAS!$K$6:$K$28,$P2095)+(INDEX(PARAMETROS_CULTURAS!$L$6:$L$28,$P2095)-INDEX(PARAMETROS_CULTURAS!$K$6:$K$28,$P2095))*($O2095-INDEX(PARAMETROS_CULTURAS!$F$6:$F$28,$P2095))/MAX(INDEX(PARAMETROS_CULTURAS!$G$6:$G$28,$P2095),0.0001),IF($O2095&lt;=INDEX(PARAMETROS_CULTURAS!$F$6:$F$28,$P2095)+INDEX(PARAMETROS_CULTURAS!$G$6:$G$28,$P2095)+INDEX(PARAMETROS_CULTURAS!$H$6:$H$28,$P2095),INDEX(PARAMETROS_CULTURAS!$L$6:$L$28,$P2095),INDEX(PARAMETROS_CULTURAS!$L$6:$L$28,$P2095)+(INDEX(PARAMETROS_CULTURAS!$M$6:$M$28,$P2095)-INDEX(PARAMETROS_CULTURAS!$L$6:$L$28,$P2095))*($O2095-INDEX(PARAMETROS_CULTURAS!$F$6:$F$28,$P2095)-INDEX(PARAMETROS_CULTURAS!$G$6:$G$28,$P2095)-INDEX(PARAMETROS_CULTURAS!$H$6:$H$28,$P2095))/MAX(INDEX(PARAMETROS_CULTURAS!$I$6:$I$28,$P2095),0.0001)))))</f>
        <v>0</v>
      </c>
      <c r="S2095" s="18" t="n">
        <f aca="false">IFERROR(INDEX(SEMANAS!$H$6:$H$71,MATCH($B2095,SEMANAS!$B$6:$B$71,0)),0)</f>
        <v>29.2</v>
      </c>
      <c r="T2095" s="18" t="n">
        <f aca="false">$R2095*$S2095</f>
        <v>0</v>
      </c>
      <c r="U2095" s="18" t="n">
        <f aca="false">IFERROR(INDEX(SEMANAS!$I$6:$I$71,MATCH($B2095,SEMANAS!$B$6:$B$71,0)),0)</f>
        <v>0.91</v>
      </c>
      <c r="V2095" s="18" t="n">
        <f aca="false">IFERROR(INDEX(SEMANAS!$J$6:$J$71,MATCH($B2095,SEMANAS!$B$6:$B$71,0)),0)</f>
        <v>0.728</v>
      </c>
      <c r="W2095" s="18" t="n">
        <f aca="false">MAX(0,$T2095-$V2095)</f>
        <v>0</v>
      </c>
      <c r="X2095" s="19" t="n">
        <f aca="false">IFERROR(INDEX(CADASTRO_PIVOS!$K$6:$K$41,MATCH($E2095,CADASTRO_PIVOS!$B$6:$B$41,0)),EFICIENCIA_PADRAO)</f>
        <v>0.85</v>
      </c>
      <c r="Y2095" s="18" t="n">
        <f aca="false">IF($X2095&lt;=0,0,$W2095/$X2095)</f>
        <v>0</v>
      </c>
      <c r="Z2095" s="16" t="n">
        <f aca="false">$Y2095*$H2095*MM_PARA_M3_HA</f>
        <v>0</v>
      </c>
      <c r="AA2095" s="18" t="n">
        <f aca="false">IFERROR(INDEX(CADASTRO_PIVOS!$I$6:$I$41,MATCH($E2095,CADASTRO_PIVOS!$B$6:$B$41,0)),0)</f>
        <v>710.571428571429</v>
      </c>
      <c r="AB2095" s="18" t="n">
        <f aca="false">IF($Z2095&lt;=0,0,$Z2095/$AA2095)</f>
        <v>0</v>
      </c>
      <c r="AC2095" s="16" t="n">
        <f aca="false">IFERROR(INDEX(SEMANAS!$K$6:$K$71,MATCH($B2095,SEMANAS!$B$6:$B$71,0)),0)</f>
        <v>147</v>
      </c>
      <c r="AD2095" s="19" t="n">
        <f aca="false">IF($AC2095&lt;=0,0,$AB2095/$AC2095)</f>
        <v>0</v>
      </c>
      <c r="AE2095" s="8" t="str">
        <f aca="false">IF($K2095="SEM CULTURA","SEM CULTURA",IF($AA2095&lt;=0,"DADO PENDENTE",IF($AD2095&gt;LIMITE_CRITICO,"INVIAVEL",IF($AD2095&gt;LIMITE_ATENCAO,"CRITICO",IF($AD2095&gt;LIMITE_CONFORTAVEL,"ATENCAO","OK")))))</f>
        <v>SEM CULTURA</v>
      </c>
      <c r="AF2095" s="8" t="str">
        <f aca="false">$B2095&amp;"|"&amp;TEXT($AD2095,"0.000000")</f>
        <v>44|0.000000</v>
      </c>
      <c r="AG2095" s="18" t="n">
        <f aca="false">IF($K2095="SEM CULTURA",0,$T2095*$H2095)</f>
        <v>0</v>
      </c>
      <c r="AH2095" s="18" t="n">
        <f aca="false">IF($K2095="SEM CULTURA",0,$V2095*$H2095)</f>
        <v>0</v>
      </c>
      <c r="AI2095" s="18" t="n">
        <f aca="false">IF($K2095="SEM CULTURA",0,$W2095*$H2095)</f>
        <v>0</v>
      </c>
      <c r="AJ2095" s="18" t="n">
        <f aca="false">IF($K2095="SEM CULTURA",0,$S2095*$H2095)</f>
        <v>0</v>
      </c>
      <c r="AK2095" s="8" t="str">
        <f aca="false">$E2095&amp;"|"&amp;TEXT($AD2095,"0.000000")</f>
        <v>PV 133|0.000000</v>
      </c>
    </row>
    <row r="2096" customFormat="false" ht="15" hidden="false" customHeight="false" outlineLevel="0" collapsed="false">
      <c r="B2096" s="16" t="n">
        <v>45</v>
      </c>
      <c r="C2096" s="17" t="n">
        <f aca="false">DATA_INICIO_SAFRA+($B2096-1)*DIAS_POR_SEMANA</f>
        <v>46573</v>
      </c>
      <c r="D2096" s="17" t="n">
        <f aca="false">$C2096+DIAS_POR_SEMANA-1</f>
        <v>46579</v>
      </c>
      <c r="E2096" s="15" t="s">
        <v>290</v>
      </c>
      <c r="F2096" s="8" t="str">
        <f aca="false">IFERROR(INDEX(CADASTRO_PIVOS!$C$6:$C$41,MATCH($E2096,CADASTRO_PIVOS!$B$6:$B$41,0)),"?")</f>
        <v>RM07</v>
      </c>
      <c r="G2096" s="8" t="str">
        <f aca="false">IFERROR(INDEX(CADASTRO_PIVOS!$D$6:$D$41,MATCH($E2096,CADASTRO_PIVOS!$B$6:$B$41,0)),"?")</f>
        <v>TR07</v>
      </c>
      <c r="H2096" s="20" t="n">
        <f aca="false">IFERROR(INDEX(CADASTRO_PIVOS!$E$6:$E$41,MATCH($E2096,CADASTRO_PIVOS!$B$6:$B$41,0)),0)</f>
        <v>99.48</v>
      </c>
      <c r="I2096" s="16" t="n">
        <f aca="false">IFERROR(SUMIFS(ROTACAO_RDM!$B$6:$B$71,ROTACAO_RDM!$D$6:$D$71,$E2096,ROTACAO_RDM!$I$6:$I$71,"&lt;="&amp;$C2096+INT(DIAS_POR_SEMANA/2),ROTACAO_RDM!$J$6:$J$71,"&gt;="&amp;$C2096+INT(DIAS_POR_SEMANA/2)),0)</f>
        <v>0</v>
      </c>
      <c r="J2096" s="16" t="n">
        <f aca="false">IFERROR(MATCH($I2096,ROTACAO_RDM!$B$6:$B$71,0),0)</f>
        <v>0</v>
      </c>
      <c r="K2096" s="8" t="str">
        <f aca="false">IF($J2096=0,"SEM CULTURA",INDEX(ROTACAO_RDM!$F$6:$F$71,$J2096))</f>
        <v>SEM CULTURA</v>
      </c>
      <c r="L2096" s="8" t="str">
        <f aca="false">IF($J2096=0,"",INDEX(ROTACAO_RDM!$G$6:$G$71,$J2096))</f>
        <v/>
      </c>
      <c r="M2096" s="17" t="str">
        <f aca="false">IF($J2096=0,"",INDEX(ROTACAO_RDM!$I$6:$I$71,$J2096))</f>
        <v/>
      </c>
      <c r="N2096" s="16" t="n">
        <f aca="false">IF($J2096=0,0,MAX(0,$C2096+INT(DIAS_POR_SEMANA/2)-INDEX(ROTACAO_RDM!$I$6:$I$71,$J2096)))</f>
        <v>0</v>
      </c>
      <c r="O2096" s="19" t="n">
        <f aca="false">IF($J2096=0,0,MIN(1,$N2096/MAX(1,INDEX(ROTACAO_RDM!$K$6:$K$71,$J2096))))</f>
        <v>0</v>
      </c>
      <c r="P2096" s="16" t="n">
        <f aca="false">IF($J2096=0,0,IFERROR(MATCH(INDEX(ROTACAO_RDM!$N$6:$N$71,$J2096),PARAMETROS_CULTURAS!$B$6:$B$28,0),0))</f>
        <v>0</v>
      </c>
      <c r="Q2096" s="8" t="str">
        <f aca="false">IF($P2096=0,"-",IF($O2096&lt;=INDEX(PARAMETROS_CULTURAS!$F$6:$F$28,$P2096),"INICIAL",IF($O2096&lt;=INDEX(PARAMETROS_CULTURAS!$F$6:$F$28,$P2096)+INDEX(PARAMETROS_CULTURAS!$G$6:$G$28,$P2096),"DESENVOLVIMENTO",IF($O2096&lt;=INDEX(PARAMETROS_CULTURAS!$F$6:$F$28,$P2096)+INDEX(PARAMETROS_CULTURAS!$G$6:$G$28,$P2096)+INDEX(PARAMETROS_CULTURAS!$H$6:$H$28,$P2096),"MEDIA","FINAL"))))</f>
        <v>-</v>
      </c>
      <c r="R2096" s="24" t="n">
        <f aca="false">IF($P2096=0,0,IF($O2096&lt;=INDEX(PARAMETROS_CULTURAS!$F$6:$F$28,$P2096),INDEX(PARAMETROS_CULTURAS!$K$6:$K$28,$P2096),IF($O2096&lt;=INDEX(PARAMETROS_CULTURAS!$F$6:$F$28,$P2096)+INDEX(PARAMETROS_CULTURAS!$G$6:$G$28,$P2096),INDEX(PARAMETROS_CULTURAS!$K$6:$K$28,$P2096)+(INDEX(PARAMETROS_CULTURAS!$L$6:$L$28,$P2096)-INDEX(PARAMETROS_CULTURAS!$K$6:$K$28,$P2096))*($O2096-INDEX(PARAMETROS_CULTURAS!$F$6:$F$28,$P2096))/MAX(INDEX(PARAMETROS_CULTURAS!$G$6:$G$28,$P2096),0.0001),IF($O2096&lt;=INDEX(PARAMETROS_CULTURAS!$F$6:$F$28,$P2096)+INDEX(PARAMETROS_CULTURAS!$G$6:$G$28,$P2096)+INDEX(PARAMETROS_CULTURAS!$H$6:$H$28,$P2096),INDEX(PARAMETROS_CULTURAS!$L$6:$L$28,$P2096),INDEX(PARAMETROS_CULTURAS!$L$6:$L$28,$P2096)+(INDEX(PARAMETROS_CULTURAS!$M$6:$M$28,$P2096)-INDEX(PARAMETROS_CULTURAS!$L$6:$L$28,$P2096))*($O2096-INDEX(PARAMETROS_CULTURAS!$F$6:$F$28,$P2096)-INDEX(PARAMETROS_CULTURAS!$G$6:$G$28,$P2096)-INDEX(PARAMETROS_CULTURAS!$H$6:$H$28,$P2096))/MAX(INDEX(PARAMETROS_CULTURAS!$I$6:$I$28,$P2096),0.0001)))))</f>
        <v>0</v>
      </c>
      <c r="S2096" s="18" t="n">
        <f aca="false">IFERROR(INDEX(SEMANAS!$H$6:$H$71,MATCH($B2096,SEMANAS!$B$6:$B$71,0)),0)</f>
        <v>30.1</v>
      </c>
      <c r="T2096" s="18" t="n">
        <f aca="false">$R2096*$S2096</f>
        <v>0</v>
      </c>
      <c r="U2096" s="18" t="n">
        <f aca="false">IFERROR(INDEX(SEMANAS!$I$6:$I$71,MATCH($B2096,SEMANAS!$B$6:$B$71,0)),0)</f>
        <v>0.7</v>
      </c>
      <c r="V2096" s="18" t="n">
        <f aca="false">IFERROR(INDEX(SEMANAS!$J$6:$J$71,MATCH($B2096,SEMANAS!$B$6:$B$71,0)),0)</f>
        <v>0.56</v>
      </c>
      <c r="W2096" s="18" t="n">
        <f aca="false">MAX(0,$T2096-$V2096)</f>
        <v>0</v>
      </c>
      <c r="X2096" s="19" t="n">
        <f aca="false">IFERROR(INDEX(CADASTRO_PIVOS!$K$6:$K$41,MATCH($E2096,CADASTRO_PIVOS!$B$6:$B$41,0)),EFICIENCIA_PADRAO)</f>
        <v>0.85</v>
      </c>
      <c r="Y2096" s="18" t="n">
        <f aca="false">IF($X2096&lt;=0,0,$W2096/$X2096)</f>
        <v>0</v>
      </c>
      <c r="Z2096" s="16" t="n">
        <f aca="false">$Y2096*$H2096*MM_PARA_M3_HA</f>
        <v>0</v>
      </c>
      <c r="AA2096" s="18" t="n">
        <f aca="false">IFERROR(INDEX(CADASTRO_PIVOS!$I$6:$I$41,MATCH($E2096,CADASTRO_PIVOS!$B$6:$B$41,0)),0)</f>
        <v>710.571428571429</v>
      </c>
      <c r="AB2096" s="18" t="n">
        <f aca="false">IF($Z2096&lt;=0,0,$Z2096/$AA2096)</f>
        <v>0</v>
      </c>
      <c r="AC2096" s="16" t="n">
        <f aca="false">IFERROR(INDEX(SEMANAS!$K$6:$K$71,MATCH($B2096,SEMANAS!$B$6:$B$71,0)),0)</f>
        <v>147</v>
      </c>
      <c r="AD2096" s="19" t="n">
        <f aca="false">IF($AC2096&lt;=0,0,$AB2096/$AC2096)</f>
        <v>0</v>
      </c>
      <c r="AE2096" s="8" t="str">
        <f aca="false">IF($K2096="SEM CULTURA","SEM CULTURA",IF($AA2096&lt;=0,"DADO PENDENTE",IF($AD2096&gt;LIMITE_CRITICO,"INVIAVEL",IF($AD2096&gt;LIMITE_ATENCAO,"CRITICO",IF($AD2096&gt;LIMITE_CONFORTAVEL,"ATENCAO","OK")))))</f>
        <v>SEM CULTURA</v>
      </c>
      <c r="AF2096" s="8" t="str">
        <f aca="false">$B2096&amp;"|"&amp;TEXT($AD2096,"0.000000")</f>
        <v>45|0.000000</v>
      </c>
      <c r="AG2096" s="18" t="n">
        <f aca="false">IF($K2096="SEM CULTURA",0,$T2096*$H2096)</f>
        <v>0</v>
      </c>
      <c r="AH2096" s="18" t="n">
        <f aca="false">IF($K2096="SEM CULTURA",0,$V2096*$H2096)</f>
        <v>0</v>
      </c>
      <c r="AI2096" s="18" t="n">
        <f aca="false">IF($K2096="SEM CULTURA",0,$W2096*$H2096)</f>
        <v>0</v>
      </c>
      <c r="AJ2096" s="18" t="n">
        <f aca="false">IF($K2096="SEM CULTURA",0,$S2096*$H2096)</f>
        <v>0</v>
      </c>
      <c r="AK2096" s="8" t="str">
        <f aca="false">$E2096&amp;"|"&amp;TEXT($AD2096,"0.000000")</f>
        <v>PV 133|0.000000</v>
      </c>
    </row>
    <row r="2097" customFormat="false" ht="15" hidden="false" customHeight="false" outlineLevel="0" collapsed="false">
      <c r="B2097" s="16" t="n">
        <v>46</v>
      </c>
      <c r="C2097" s="17" t="n">
        <f aca="false">DATA_INICIO_SAFRA+($B2097-1)*DIAS_POR_SEMANA</f>
        <v>46580</v>
      </c>
      <c r="D2097" s="17" t="n">
        <f aca="false">$C2097+DIAS_POR_SEMANA-1</f>
        <v>46586</v>
      </c>
      <c r="E2097" s="15" t="s">
        <v>290</v>
      </c>
      <c r="F2097" s="8" t="str">
        <f aca="false">IFERROR(INDEX(CADASTRO_PIVOS!$C$6:$C$41,MATCH($E2097,CADASTRO_PIVOS!$B$6:$B$41,0)),"?")</f>
        <v>RM07</v>
      </c>
      <c r="G2097" s="8" t="str">
        <f aca="false">IFERROR(INDEX(CADASTRO_PIVOS!$D$6:$D$41,MATCH($E2097,CADASTRO_PIVOS!$B$6:$B$41,0)),"?")</f>
        <v>TR07</v>
      </c>
      <c r="H2097" s="20" t="n">
        <f aca="false">IFERROR(INDEX(CADASTRO_PIVOS!$E$6:$E$41,MATCH($E2097,CADASTRO_PIVOS!$B$6:$B$41,0)),0)</f>
        <v>99.48</v>
      </c>
      <c r="I2097" s="16" t="n">
        <f aca="false">IFERROR(SUMIFS(ROTACAO_RDM!$B$6:$B$71,ROTACAO_RDM!$D$6:$D$71,$E2097,ROTACAO_RDM!$I$6:$I$71,"&lt;="&amp;$C2097+INT(DIAS_POR_SEMANA/2),ROTACAO_RDM!$J$6:$J$71,"&gt;="&amp;$C2097+INT(DIAS_POR_SEMANA/2)),0)</f>
        <v>0</v>
      </c>
      <c r="J2097" s="16" t="n">
        <f aca="false">IFERROR(MATCH($I2097,ROTACAO_RDM!$B$6:$B$71,0),0)</f>
        <v>0</v>
      </c>
      <c r="K2097" s="8" t="str">
        <f aca="false">IF($J2097=0,"SEM CULTURA",INDEX(ROTACAO_RDM!$F$6:$F$71,$J2097))</f>
        <v>SEM CULTURA</v>
      </c>
      <c r="L2097" s="8" t="str">
        <f aca="false">IF($J2097=0,"",INDEX(ROTACAO_RDM!$G$6:$G$71,$J2097))</f>
        <v/>
      </c>
      <c r="M2097" s="17" t="str">
        <f aca="false">IF($J2097=0,"",INDEX(ROTACAO_RDM!$I$6:$I$71,$J2097))</f>
        <v/>
      </c>
      <c r="N2097" s="16" t="n">
        <f aca="false">IF($J2097=0,0,MAX(0,$C2097+INT(DIAS_POR_SEMANA/2)-INDEX(ROTACAO_RDM!$I$6:$I$71,$J2097)))</f>
        <v>0</v>
      </c>
      <c r="O2097" s="19" t="n">
        <f aca="false">IF($J2097=0,0,MIN(1,$N2097/MAX(1,INDEX(ROTACAO_RDM!$K$6:$K$71,$J2097))))</f>
        <v>0</v>
      </c>
      <c r="P2097" s="16" t="n">
        <f aca="false">IF($J2097=0,0,IFERROR(MATCH(INDEX(ROTACAO_RDM!$N$6:$N$71,$J2097),PARAMETROS_CULTURAS!$B$6:$B$28,0),0))</f>
        <v>0</v>
      </c>
      <c r="Q2097" s="8" t="str">
        <f aca="false">IF($P2097=0,"-",IF($O2097&lt;=INDEX(PARAMETROS_CULTURAS!$F$6:$F$28,$P2097),"INICIAL",IF($O2097&lt;=INDEX(PARAMETROS_CULTURAS!$F$6:$F$28,$P2097)+INDEX(PARAMETROS_CULTURAS!$G$6:$G$28,$P2097),"DESENVOLVIMENTO",IF($O2097&lt;=INDEX(PARAMETROS_CULTURAS!$F$6:$F$28,$P2097)+INDEX(PARAMETROS_CULTURAS!$G$6:$G$28,$P2097)+INDEX(PARAMETROS_CULTURAS!$H$6:$H$28,$P2097),"MEDIA","FINAL"))))</f>
        <v>-</v>
      </c>
      <c r="R2097" s="24" t="n">
        <f aca="false">IF($P2097=0,0,IF($O2097&lt;=INDEX(PARAMETROS_CULTURAS!$F$6:$F$28,$P2097),INDEX(PARAMETROS_CULTURAS!$K$6:$K$28,$P2097),IF($O2097&lt;=INDEX(PARAMETROS_CULTURAS!$F$6:$F$28,$P2097)+INDEX(PARAMETROS_CULTURAS!$G$6:$G$28,$P2097),INDEX(PARAMETROS_CULTURAS!$K$6:$K$28,$P2097)+(INDEX(PARAMETROS_CULTURAS!$L$6:$L$28,$P2097)-INDEX(PARAMETROS_CULTURAS!$K$6:$K$28,$P2097))*($O2097-INDEX(PARAMETROS_CULTURAS!$F$6:$F$28,$P2097))/MAX(INDEX(PARAMETROS_CULTURAS!$G$6:$G$28,$P2097),0.0001),IF($O2097&lt;=INDEX(PARAMETROS_CULTURAS!$F$6:$F$28,$P2097)+INDEX(PARAMETROS_CULTURAS!$G$6:$G$28,$P2097)+INDEX(PARAMETROS_CULTURAS!$H$6:$H$28,$P2097),INDEX(PARAMETROS_CULTURAS!$L$6:$L$28,$P2097),INDEX(PARAMETROS_CULTURAS!$L$6:$L$28,$P2097)+(INDEX(PARAMETROS_CULTURAS!$M$6:$M$28,$P2097)-INDEX(PARAMETROS_CULTURAS!$L$6:$L$28,$P2097))*($O2097-INDEX(PARAMETROS_CULTURAS!$F$6:$F$28,$P2097)-INDEX(PARAMETROS_CULTURAS!$G$6:$G$28,$P2097)-INDEX(PARAMETROS_CULTURAS!$H$6:$H$28,$P2097))/MAX(INDEX(PARAMETROS_CULTURAS!$I$6:$I$28,$P2097),0.0001)))))</f>
        <v>0</v>
      </c>
      <c r="S2097" s="18" t="n">
        <f aca="false">IFERROR(INDEX(SEMANAS!$H$6:$H$71,MATCH($B2097,SEMANAS!$B$6:$B$71,0)),0)</f>
        <v>30.1</v>
      </c>
      <c r="T2097" s="18" t="n">
        <f aca="false">$R2097*$S2097</f>
        <v>0</v>
      </c>
      <c r="U2097" s="18" t="n">
        <f aca="false">IFERROR(INDEX(SEMANAS!$I$6:$I$71,MATCH($B2097,SEMANAS!$B$6:$B$71,0)),0)</f>
        <v>0.7</v>
      </c>
      <c r="V2097" s="18" t="n">
        <f aca="false">IFERROR(INDEX(SEMANAS!$J$6:$J$71,MATCH($B2097,SEMANAS!$B$6:$B$71,0)),0)</f>
        <v>0.56</v>
      </c>
      <c r="W2097" s="18" t="n">
        <f aca="false">MAX(0,$T2097-$V2097)</f>
        <v>0</v>
      </c>
      <c r="X2097" s="19" t="n">
        <f aca="false">IFERROR(INDEX(CADASTRO_PIVOS!$K$6:$K$41,MATCH($E2097,CADASTRO_PIVOS!$B$6:$B$41,0)),EFICIENCIA_PADRAO)</f>
        <v>0.85</v>
      </c>
      <c r="Y2097" s="18" t="n">
        <f aca="false">IF($X2097&lt;=0,0,$W2097/$X2097)</f>
        <v>0</v>
      </c>
      <c r="Z2097" s="16" t="n">
        <f aca="false">$Y2097*$H2097*MM_PARA_M3_HA</f>
        <v>0</v>
      </c>
      <c r="AA2097" s="18" t="n">
        <f aca="false">IFERROR(INDEX(CADASTRO_PIVOS!$I$6:$I$41,MATCH($E2097,CADASTRO_PIVOS!$B$6:$B$41,0)),0)</f>
        <v>710.571428571429</v>
      </c>
      <c r="AB2097" s="18" t="n">
        <f aca="false">IF($Z2097&lt;=0,0,$Z2097/$AA2097)</f>
        <v>0</v>
      </c>
      <c r="AC2097" s="16" t="n">
        <f aca="false">IFERROR(INDEX(SEMANAS!$K$6:$K$71,MATCH($B2097,SEMANAS!$B$6:$B$71,0)),0)</f>
        <v>147</v>
      </c>
      <c r="AD2097" s="19" t="n">
        <f aca="false">IF($AC2097&lt;=0,0,$AB2097/$AC2097)</f>
        <v>0</v>
      </c>
      <c r="AE2097" s="8" t="str">
        <f aca="false">IF($K2097="SEM CULTURA","SEM CULTURA",IF($AA2097&lt;=0,"DADO PENDENTE",IF($AD2097&gt;LIMITE_CRITICO,"INVIAVEL",IF($AD2097&gt;LIMITE_ATENCAO,"CRITICO",IF($AD2097&gt;LIMITE_CONFORTAVEL,"ATENCAO","OK")))))</f>
        <v>SEM CULTURA</v>
      </c>
      <c r="AF2097" s="8" t="str">
        <f aca="false">$B2097&amp;"|"&amp;TEXT($AD2097,"0.000000")</f>
        <v>46|0.000000</v>
      </c>
      <c r="AG2097" s="18" t="n">
        <f aca="false">IF($K2097="SEM CULTURA",0,$T2097*$H2097)</f>
        <v>0</v>
      </c>
      <c r="AH2097" s="18" t="n">
        <f aca="false">IF($K2097="SEM CULTURA",0,$V2097*$H2097)</f>
        <v>0</v>
      </c>
      <c r="AI2097" s="18" t="n">
        <f aca="false">IF($K2097="SEM CULTURA",0,$W2097*$H2097)</f>
        <v>0</v>
      </c>
      <c r="AJ2097" s="18" t="n">
        <f aca="false">IF($K2097="SEM CULTURA",0,$S2097*$H2097)</f>
        <v>0</v>
      </c>
      <c r="AK2097" s="8" t="str">
        <f aca="false">$E2097&amp;"|"&amp;TEXT($AD2097,"0.000000")</f>
        <v>PV 133|0.000000</v>
      </c>
    </row>
    <row r="2098" customFormat="false" ht="15" hidden="false" customHeight="false" outlineLevel="0" collapsed="false">
      <c r="B2098" s="16" t="n">
        <v>47</v>
      </c>
      <c r="C2098" s="17" t="n">
        <f aca="false">DATA_INICIO_SAFRA+($B2098-1)*DIAS_POR_SEMANA</f>
        <v>46587</v>
      </c>
      <c r="D2098" s="17" t="n">
        <f aca="false">$C2098+DIAS_POR_SEMANA-1</f>
        <v>46593</v>
      </c>
      <c r="E2098" s="15" t="s">
        <v>290</v>
      </c>
      <c r="F2098" s="8" t="str">
        <f aca="false">IFERROR(INDEX(CADASTRO_PIVOS!$C$6:$C$41,MATCH($E2098,CADASTRO_PIVOS!$B$6:$B$41,0)),"?")</f>
        <v>RM07</v>
      </c>
      <c r="G2098" s="8" t="str">
        <f aca="false">IFERROR(INDEX(CADASTRO_PIVOS!$D$6:$D$41,MATCH($E2098,CADASTRO_PIVOS!$B$6:$B$41,0)),"?")</f>
        <v>TR07</v>
      </c>
      <c r="H2098" s="20" t="n">
        <f aca="false">IFERROR(INDEX(CADASTRO_PIVOS!$E$6:$E$41,MATCH($E2098,CADASTRO_PIVOS!$B$6:$B$41,0)),0)</f>
        <v>99.48</v>
      </c>
      <c r="I2098" s="16" t="n">
        <f aca="false">IFERROR(SUMIFS(ROTACAO_RDM!$B$6:$B$71,ROTACAO_RDM!$D$6:$D$71,$E2098,ROTACAO_RDM!$I$6:$I$71,"&lt;="&amp;$C2098+INT(DIAS_POR_SEMANA/2),ROTACAO_RDM!$J$6:$J$71,"&gt;="&amp;$C2098+INT(DIAS_POR_SEMANA/2)),0)</f>
        <v>0</v>
      </c>
      <c r="J2098" s="16" t="n">
        <f aca="false">IFERROR(MATCH($I2098,ROTACAO_RDM!$B$6:$B$71,0),0)</f>
        <v>0</v>
      </c>
      <c r="K2098" s="8" t="str">
        <f aca="false">IF($J2098=0,"SEM CULTURA",INDEX(ROTACAO_RDM!$F$6:$F$71,$J2098))</f>
        <v>SEM CULTURA</v>
      </c>
      <c r="L2098" s="8" t="str">
        <f aca="false">IF($J2098=0,"",INDEX(ROTACAO_RDM!$G$6:$G$71,$J2098))</f>
        <v/>
      </c>
      <c r="M2098" s="17" t="str">
        <f aca="false">IF($J2098=0,"",INDEX(ROTACAO_RDM!$I$6:$I$71,$J2098))</f>
        <v/>
      </c>
      <c r="N2098" s="16" t="n">
        <f aca="false">IF($J2098=0,0,MAX(0,$C2098+INT(DIAS_POR_SEMANA/2)-INDEX(ROTACAO_RDM!$I$6:$I$71,$J2098)))</f>
        <v>0</v>
      </c>
      <c r="O2098" s="19" t="n">
        <f aca="false">IF($J2098=0,0,MIN(1,$N2098/MAX(1,INDEX(ROTACAO_RDM!$K$6:$K$71,$J2098))))</f>
        <v>0</v>
      </c>
      <c r="P2098" s="16" t="n">
        <f aca="false">IF($J2098=0,0,IFERROR(MATCH(INDEX(ROTACAO_RDM!$N$6:$N$71,$J2098),PARAMETROS_CULTURAS!$B$6:$B$28,0),0))</f>
        <v>0</v>
      </c>
      <c r="Q2098" s="8" t="str">
        <f aca="false">IF($P2098=0,"-",IF($O2098&lt;=INDEX(PARAMETROS_CULTURAS!$F$6:$F$28,$P2098),"INICIAL",IF($O2098&lt;=INDEX(PARAMETROS_CULTURAS!$F$6:$F$28,$P2098)+INDEX(PARAMETROS_CULTURAS!$G$6:$G$28,$P2098),"DESENVOLVIMENTO",IF($O2098&lt;=INDEX(PARAMETROS_CULTURAS!$F$6:$F$28,$P2098)+INDEX(PARAMETROS_CULTURAS!$G$6:$G$28,$P2098)+INDEX(PARAMETROS_CULTURAS!$H$6:$H$28,$P2098),"MEDIA","FINAL"))))</f>
        <v>-</v>
      </c>
      <c r="R2098" s="24" t="n">
        <f aca="false">IF($P2098=0,0,IF($O2098&lt;=INDEX(PARAMETROS_CULTURAS!$F$6:$F$28,$P2098),INDEX(PARAMETROS_CULTURAS!$K$6:$K$28,$P2098),IF($O2098&lt;=INDEX(PARAMETROS_CULTURAS!$F$6:$F$28,$P2098)+INDEX(PARAMETROS_CULTURAS!$G$6:$G$28,$P2098),INDEX(PARAMETROS_CULTURAS!$K$6:$K$28,$P2098)+(INDEX(PARAMETROS_CULTURAS!$L$6:$L$28,$P2098)-INDEX(PARAMETROS_CULTURAS!$K$6:$K$28,$P2098))*($O2098-INDEX(PARAMETROS_CULTURAS!$F$6:$F$28,$P2098))/MAX(INDEX(PARAMETROS_CULTURAS!$G$6:$G$28,$P2098),0.0001),IF($O2098&lt;=INDEX(PARAMETROS_CULTURAS!$F$6:$F$28,$P2098)+INDEX(PARAMETROS_CULTURAS!$G$6:$G$28,$P2098)+INDEX(PARAMETROS_CULTURAS!$H$6:$H$28,$P2098),INDEX(PARAMETROS_CULTURAS!$L$6:$L$28,$P2098),INDEX(PARAMETROS_CULTURAS!$L$6:$L$28,$P2098)+(INDEX(PARAMETROS_CULTURAS!$M$6:$M$28,$P2098)-INDEX(PARAMETROS_CULTURAS!$L$6:$L$28,$P2098))*($O2098-INDEX(PARAMETROS_CULTURAS!$F$6:$F$28,$P2098)-INDEX(PARAMETROS_CULTURAS!$G$6:$G$28,$P2098)-INDEX(PARAMETROS_CULTURAS!$H$6:$H$28,$P2098))/MAX(INDEX(PARAMETROS_CULTURAS!$I$6:$I$28,$P2098),0.0001)))))</f>
        <v>0</v>
      </c>
      <c r="S2098" s="18" t="n">
        <f aca="false">IFERROR(INDEX(SEMANAS!$H$6:$H$71,MATCH($B2098,SEMANAS!$B$6:$B$71,0)),0)</f>
        <v>30.1</v>
      </c>
      <c r="T2098" s="18" t="n">
        <f aca="false">$R2098*$S2098</f>
        <v>0</v>
      </c>
      <c r="U2098" s="18" t="n">
        <f aca="false">IFERROR(INDEX(SEMANAS!$I$6:$I$71,MATCH($B2098,SEMANAS!$B$6:$B$71,0)),0)</f>
        <v>0.7</v>
      </c>
      <c r="V2098" s="18" t="n">
        <f aca="false">IFERROR(INDEX(SEMANAS!$J$6:$J$71,MATCH($B2098,SEMANAS!$B$6:$B$71,0)),0)</f>
        <v>0.56</v>
      </c>
      <c r="W2098" s="18" t="n">
        <f aca="false">MAX(0,$T2098-$V2098)</f>
        <v>0</v>
      </c>
      <c r="X2098" s="19" t="n">
        <f aca="false">IFERROR(INDEX(CADASTRO_PIVOS!$K$6:$K$41,MATCH($E2098,CADASTRO_PIVOS!$B$6:$B$41,0)),EFICIENCIA_PADRAO)</f>
        <v>0.85</v>
      </c>
      <c r="Y2098" s="18" t="n">
        <f aca="false">IF($X2098&lt;=0,0,$W2098/$X2098)</f>
        <v>0</v>
      </c>
      <c r="Z2098" s="16" t="n">
        <f aca="false">$Y2098*$H2098*MM_PARA_M3_HA</f>
        <v>0</v>
      </c>
      <c r="AA2098" s="18" t="n">
        <f aca="false">IFERROR(INDEX(CADASTRO_PIVOS!$I$6:$I$41,MATCH($E2098,CADASTRO_PIVOS!$B$6:$B$41,0)),0)</f>
        <v>710.571428571429</v>
      </c>
      <c r="AB2098" s="18" t="n">
        <f aca="false">IF($Z2098&lt;=0,0,$Z2098/$AA2098)</f>
        <v>0</v>
      </c>
      <c r="AC2098" s="16" t="n">
        <f aca="false">IFERROR(INDEX(SEMANAS!$K$6:$K$71,MATCH($B2098,SEMANAS!$B$6:$B$71,0)),0)</f>
        <v>147</v>
      </c>
      <c r="AD2098" s="19" t="n">
        <f aca="false">IF($AC2098&lt;=0,0,$AB2098/$AC2098)</f>
        <v>0</v>
      </c>
      <c r="AE2098" s="8" t="str">
        <f aca="false">IF($K2098="SEM CULTURA","SEM CULTURA",IF($AA2098&lt;=0,"DADO PENDENTE",IF($AD2098&gt;LIMITE_CRITICO,"INVIAVEL",IF($AD2098&gt;LIMITE_ATENCAO,"CRITICO",IF($AD2098&gt;LIMITE_CONFORTAVEL,"ATENCAO","OK")))))</f>
        <v>SEM CULTURA</v>
      </c>
      <c r="AF2098" s="8" t="str">
        <f aca="false">$B2098&amp;"|"&amp;TEXT($AD2098,"0.000000")</f>
        <v>47|0.000000</v>
      </c>
      <c r="AG2098" s="18" t="n">
        <f aca="false">IF($K2098="SEM CULTURA",0,$T2098*$H2098)</f>
        <v>0</v>
      </c>
      <c r="AH2098" s="18" t="n">
        <f aca="false">IF($K2098="SEM CULTURA",0,$V2098*$H2098)</f>
        <v>0</v>
      </c>
      <c r="AI2098" s="18" t="n">
        <f aca="false">IF($K2098="SEM CULTURA",0,$W2098*$H2098)</f>
        <v>0</v>
      </c>
      <c r="AJ2098" s="18" t="n">
        <f aca="false">IF($K2098="SEM CULTURA",0,$S2098*$H2098)</f>
        <v>0</v>
      </c>
      <c r="AK2098" s="8" t="str">
        <f aca="false">$E2098&amp;"|"&amp;TEXT($AD2098,"0.000000")</f>
        <v>PV 133|0.000000</v>
      </c>
    </row>
    <row r="2099" customFormat="false" ht="15" hidden="false" customHeight="false" outlineLevel="0" collapsed="false">
      <c r="B2099" s="16" t="n">
        <v>48</v>
      </c>
      <c r="C2099" s="17" t="n">
        <f aca="false">DATA_INICIO_SAFRA+($B2099-1)*DIAS_POR_SEMANA</f>
        <v>46594</v>
      </c>
      <c r="D2099" s="17" t="n">
        <f aca="false">$C2099+DIAS_POR_SEMANA-1</f>
        <v>46600</v>
      </c>
      <c r="E2099" s="15" t="s">
        <v>290</v>
      </c>
      <c r="F2099" s="8" t="str">
        <f aca="false">IFERROR(INDEX(CADASTRO_PIVOS!$C$6:$C$41,MATCH($E2099,CADASTRO_PIVOS!$B$6:$B$41,0)),"?")</f>
        <v>RM07</v>
      </c>
      <c r="G2099" s="8" t="str">
        <f aca="false">IFERROR(INDEX(CADASTRO_PIVOS!$D$6:$D$41,MATCH($E2099,CADASTRO_PIVOS!$B$6:$B$41,0)),"?")</f>
        <v>TR07</v>
      </c>
      <c r="H2099" s="20" t="n">
        <f aca="false">IFERROR(INDEX(CADASTRO_PIVOS!$E$6:$E$41,MATCH($E2099,CADASTRO_PIVOS!$B$6:$B$41,0)),0)</f>
        <v>99.48</v>
      </c>
      <c r="I2099" s="16" t="n">
        <f aca="false">IFERROR(SUMIFS(ROTACAO_RDM!$B$6:$B$71,ROTACAO_RDM!$D$6:$D$71,$E2099,ROTACAO_RDM!$I$6:$I$71,"&lt;="&amp;$C2099+INT(DIAS_POR_SEMANA/2),ROTACAO_RDM!$J$6:$J$71,"&gt;="&amp;$C2099+INT(DIAS_POR_SEMANA/2)),0)</f>
        <v>0</v>
      </c>
      <c r="J2099" s="16" t="n">
        <f aca="false">IFERROR(MATCH($I2099,ROTACAO_RDM!$B$6:$B$71,0),0)</f>
        <v>0</v>
      </c>
      <c r="K2099" s="8" t="str">
        <f aca="false">IF($J2099=0,"SEM CULTURA",INDEX(ROTACAO_RDM!$F$6:$F$71,$J2099))</f>
        <v>SEM CULTURA</v>
      </c>
      <c r="L2099" s="8" t="str">
        <f aca="false">IF($J2099=0,"",INDEX(ROTACAO_RDM!$G$6:$G$71,$J2099))</f>
        <v/>
      </c>
      <c r="M2099" s="17" t="str">
        <f aca="false">IF($J2099=0,"",INDEX(ROTACAO_RDM!$I$6:$I$71,$J2099))</f>
        <v/>
      </c>
      <c r="N2099" s="16" t="n">
        <f aca="false">IF($J2099=0,0,MAX(0,$C2099+INT(DIAS_POR_SEMANA/2)-INDEX(ROTACAO_RDM!$I$6:$I$71,$J2099)))</f>
        <v>0</v>
      </c>
      <c r="O2099" s="19" t="n">
        <f aca="false">IF($J2099=0,0,MIN(1,$N2099/MAX(1,INDEX(ROTACAO_RDM!$K$6:$K$71,$J2099))))</f>
        <v>0</v>
      </c>
      <c r="P2099" s="16" t="n">
        <f aca="false">IF($J2099=0,0,IFERROR(MATCH(INDEX(ROTACAO_RDM!$N$6:$N$71,$J2099),PARAMETROS_CULTURAS!$B$6:$B$28,0),0))</f>
        <v>0</v>
      </c>
      <c r="Q2099" s="8" t="str">
        <f aca="false">IF($P2099=0,"-",IF($O2099&lt;=INDEX(PARAMETROS_CULTURAS!$F$6:$F$28,$P2099),"INICIAL",IF($O2099&lt;=INDEX(PARAMETROS_CULTURAS!$F$6:$F$28,$P2099)+INDEX(PARAMETROS_CULTURAS!$G$6:$G$28,$P2099),"DESENVOLVIMENTO",IF($O2099&lt;=INDEX(PARAMETROS_CULTURAS!$F$6:$F$28,$P2099)+INDEX(PARAMETROS_CULTURAS!$G$6:$G$28,$P2099)+INDEX(PARAMETROS_CULTURAS!$H$6:$H$28,$P2099),"MEDIA","FINAL"))))</f>
        <v>-</v>
      </c>
      <c r="R2099" s="24" t="n">
        <f aca="false">IF($P2099=0,0,IF($O2099&lt;=INDEX(PARAMETROS_CULTURAS!$F$6:$F$28,$P2099),INDEX(PARAMETROS_CULTURAS!$K$6:$K$28,$P2099),IF($O2099&lt;=INDEX(PARAMETROS_CULTURAS!$F$6:$F$28,$P2099)+INDEX(PARAMETROS_CULTURAS!$G$6:$G$28,$P2099),INDEX(PARAMETROS_CULTURAS!$K$6:$K$28,$P2099)+(INDEX(PARAMETROS_CULTURAS!$L$6:$L$28,$P2099)-INDEX(PARAMETROS_CULTURAS!$K$6:$K$28,$P2099))*($O2099-INDEX(PARAMETROS_CULTURAS!$F$6:$F$28,$P2099))/MAX(INDEX(PARAMETROS_CULTURAS!$G$6:$G$28,$P2099),0.0001),IF($O2099&lt;=INDEX(PARAMETROS_CULTURAS!$F$6:$F$28,$P2099)+INDEX(PARAMETROS_CULTURAS!$G$6:$G$28,$P2099)+INDEX(PARAMETROS_CULTURAS!$H$6:$H$28,$P2099),INDEX(PARAMETROS_CULTURAS!$L$6:$L$28,$P2099),INDEX(PARAMETROS_CULTURAS!$L$6:$L$28,$P2099)+(INDEX(PARAMETROS_CULTURAS!$M$6:$M$28,$P2099)-INDEX(PARAMETROS_CULTURAS!$L$6:$L$28,$P2099))*($O2099-INDEX(PARAMETROS_CULTURAS!$F$6:$F$28,$P2099)-INDEX(PARAMETROS_CULTURAS!$G$6:$G$28,$P2099)-INDEX(PARAMETROS_CULTURAS!$H$6:$H$28,$P2099))/MAX(INDEX(PARAMETROS_CULTURAS!$I$6:$I$28,$P2099),0.0001)))))</f>
        <v>0</v>
      </c>
      <c r="S2099" s="18" t="n">
        <f aca="false">IFERROR(INDEX(SEMANAS!$H$6:$H$71,MATCH($B2099,SEMANAS!$B$6:$B$71,0)),0)</f>
        <v>31</v>
      </c>
      <c r="T2099" s="18" t="n">
        <f aca="false">$R2099*$S2099</f>
        <v>0</v>
      </c>
      <c r="U2099" s="18" t="n">
        <f aca="false">IFERROR(INDEX(SEMANAS!$I$6:$I$71,MATCH($B2099,SEMANAS!$B$6:$B$71,0)),0)</f>
        <v>0.76</v>
      </c>
      <c r="V2099" s="18" t="n">
        <f aca="false">IFERROR(INDEX(SEMANAS!$J$6:$J$71,MATCH($B2099,SEMANAS!$B$6:$B$71,0)),0)</f>
        <v>0.608</v>
      </c>
      <c r="W2099" s="18" t="n">
        <f aca="false">MAX(0,$T2099-$V2099)</f>
        <v>0</v>
      </c>
      <c r="X2099" s="19" t="n">
        <f aca="false">IFERROR(INDEX(CADASTRO_PIVOS!$K$6:$K$41,MATCH($E2099,CADASTRO_PIVOS!$B$6:$B$41,0)),EFICIENCIA_PADRAO)</f>
        <v>0.85</v>
      </c>
      <c r="Y2099" s="18" t="n">
        <f aca="false">IF($X2099&lt;=0,0,$W2099/$X2099)</f>
        <v>0</v>
      </c>
      <c r="Z2099" s="16" t="n">
        <f aca="false">$Y2099*$H2099*MM_PARA_M3_HA</f>
        <v>0</v>
      </c>
      <c r="AA2099" s="18" t="n">
        <f aca="false">IFERROR(INDEX(CADASTRO_PIVOS!$I$6:$I$41,MATCH($E2099,CADASTRO_PIVOS!$B$6:$B$41,0)),0)</f>
        <v>710.571428571429</v>
      </c>
      <c r="AB2099" s="18" t="n">
        <f aca="false">IF($Z2099&lt;=0,0,$Z2099/$AA2099)</f>
        <v>0</v>
      </c>
      <c r="AC2099" s="16" t="n">
        <f aca="false">IFERROR(INDEX(SEMANAS!$K$6:$K$71,MATCH($B2099,SEMANAS!$B$6:$B$71,0)),0)</f>
        <v>147</v>
      </c>
      <c r="AD2099" s="19" t="n">
        <f aca="false">IF($AC2099&lt;=0,0,$AB2099/$AC2099)</f>
        <v>0</v>
      </c>
      <c r="AE2099" s="8" t="str">
        <f aca="false">IF($K2099="SEM CULTURA","SEM CULTURA",IF($AA2099&lt;=0,"DADO PENDENTE",IF($AD2099&gt;LIMITE_CRITICO,"INVIAVEL",IF($AD2099&gt;LIMITE_ATENCAO,"CRITICO",IF($AD2099&gt;LIMITE_CONFORTAVEL,"ATENCAO","OK")))))</f>
        <v>SEM CULTURA</v>
      </c>
      <c r="AF2099" s="8" t="str">
        <f aca="false">$B2099&amp;"|"&amp;TEXT($AD2099,"0.000000")</f>
        <v>48|0.000000</v>
      </c>
      <c r="AG2099" s="18" t="n">
        <f aca="false">IF($K2099="SEM CULTURA",0,$T2099*$H2099)</f>
        <v>0</v>
      </c>
      <c r="AH2099" s="18" t="n">
        <f aca="false">IF($K2099="SEM CULTURA",0,$V2099*$H2099)</f>
        <v>0</v>
      </c>
      <c r="AI2099" s="18" t="n">
        <f aca="false">IF($K2099="SEM CULTURA",0,$W2099*$H2099)</f>
        <v>0</v>
      </c>
      <c r="AJ2099" s="18" t="n">
        <f aca="false">IF($K2099="SEM CULTURA",0,$S2099*$H2099)</f>
        <v>0</v>
      </c>
      <c r="AK2099" s="8" t="str">
        <f aca="false">$E2099&amp;"|"&amp;TEXT($AD2099,"0.000000")</f>
        <v>PV 133|0.000000</v>
      </c>
    </row>
    <row r="2100" customFormat="false" ht="15" hidden="false" customHeight="false" outlineLevel="0" collapsed="false">
      <c r="B2100" s="16" t="n">
        <v>49</v>
      </c>
      <c r="C2100" s="17" t="n">
        <f aca="false">DATA_INICIO_SAFRA+($B2100-1)*DIAS_POR_SEMANA</f>
        <v>46601</v>
      </c>
      <c r="D2100" s="17" t="n">
        <f aca="false">$C2100+DIAS_POR_SEMANA-1</f>
        <v>46607</v>
      </c>
      <c r="E2100" s="15" t="s">
        <v>290</v>
      </c>
      <c r="F2100" s="8" t="str">
        <f aca="false">IFERROR(INDEX(CADASTRO_PIVOS!$C$6:$C$41,MATCH($E2100,CADASTRO_PIVOS!$B$6:$B$41,0)),"?")</f>
        <v>RM07</v>
      </c>
      <c r="G2100" s="8" t="str">
        <f aca="false">IFERROR(INDEX(CADASTRO_PIVOS!$D$6:$D$41,MATCH($E2100,CADASTRO_PIVOS!$B$6:$B$41,0)),"?")</f>
        <v>TR07</v>
      </c>
      <c r="H2100" s="20" t="n">
        <f aca="false">IFERROR(INDEX(CADASTRO_PIVOS!$E$6:$E$41,MATCH($E2100,CADASTRO_PIVOS!$B$6:$B$41,0)),0)</f>
        <v>99.48</v>
      </c>
      <c r="I2100" s="16" t="n">
        <f aca="false">IFERROR(SUMIFS(ROTACAO_RDM!$B$6:$B$71,ROTACAO_RDM!$D$6:$D$71,$E2100,ROTACAO_RDM!$I$6:$I$71,"&lt;="&amp;$C2100+INT(DIAS_POR_SEMANA/2),ROTACAO_RDM!$J$6:$J$71,"&gt;="&amp;$C2100+INT(DIAS_POR_SEMANA/2)),0)</f>
        <v>0</v>
      </c>
      <c r="J2100" s="16" t="n">
        <f aca="false">IFERROR(MATCH($I2100,ROTACAO_RDM!$B$6:$B$71,0),0)</f>
        <v>0</v>
      </c>
      <c r="K2100" s="8" t="str">
        <f aca="false">IF($J2100=0,"SEM CULTURA",INDEX(ROTACAO_RDM!$F$6:$F$71,$J2100))</f>
        <v>SEM CULTURA</v>
      </c>
      <c r="L2100" s="8" t="str">
        <f aca="false">IF($J2100=0,"",INDEX(ROTACAO_RDM!$G$6:$G$71,$J2100))</f>
        <v/>
      </c>
      <c r="M2100" s="17" t="str">
        <f aca="false">IF($J2100=0,"",INDEX(ROTACAO_RDM!$I$6:$I$71,$J2100))</f>
        <v/>
      </c>
      <c r="N2100" s="16" t="n">
        <f aca="false">IF($J2100=0,0,MAX(0,$C2100+INT(DIAS_POR_SEMANA/2)-INDEX(ROTACAO_RDM!$I$6:$I$71,$J2100)))</f>
        <v>0</v>
      </c>
      <c r="O2100" s="19" t="n">
        <f aca="false">IF($J2100=0,0,MIN(1,$N2100/MAX(1,INDEX(ROTACAO_RDM!$K$6:$K$71,$J2100))))</f>
        <v>0</v>
      </c>
      <c r="P2100" s="16" t="n">
        <f aca="false">IF($J2100=0,0,IFERROR(MATCH(INDEX(ROTACAO_RDM!$N$6:$N$71,$J2100),PARAMETROS_CULTURAS!$B$6:$B$28,0),0))</f>
        <v>0</v>
      </c>
      <c r="Q2100" s="8" t="str">
        <f aca="false">IF($P2100=0,"-",IF($O2100&lt;=INDEX(PARAMETROS_CULTURAS!$F$6:$F$28,$P2100),"INICIAL",IF($O2100&lt;=INDEX(PARAMETROS_CULTURAS!$F$6:$F$28,$P2100)+INDEX(PARAMETROS_CULTURAS!$G$6:$G$28,$P2100),"DESENVOLVIMENTO",IF($O2100&lt;=INDEX(PARAMETROS_CULTURAS!$F$6:$F$28,$P2100)+INDEX(PARAMETROS_CULTURAS!$G$6:$G$28,$P2100)+INDEX(PARAMETROS_CULTURAS!$H$6:$H$28,$P2100),"MEDIA","FINAL"))))</f>
        <v>-</v>
      </c>
      <c r="R2100" s="24" t="n">
        <f aca="false">IF($P2100=0,0,IF($O2100&lt;=INDEX(PARAMETROS_CULTURAS!$F$6:$F$28,$P2100),INDEX(PARAMETROS_CULTURAS!$K$6:$K$28,$P2100),IF($O2100&lt;=INDEX(PARAMETROS_CULTURAS!$F$6:$F$28,$P2100)+INDEX(PARAMETROS_CULTURAS!$G$6:$G$28,$P2100),INDEX(PARAMETROS_CULTURAS!$K$6:$K$28,$P2100)+(INDEX(PARAMETROS_CULTURAS!$L$6:$L$28,$P2100)-INDEX(PARAMETROS_CULTURAS!$K$6:$K$28,$P2100))*($O2100-INDEX(PARAMETROS_CULTURAS!$F$6:$F$28,$P2100))/MAX(INDEX(PARAMETROS_CULTURAS!$G$6:$G$28,$P2100),0.0001),IF($O2100&lt;=INDEX(PARAMETROS_CULTURAS!$F$6:$F$28,$P2100)+INDEX(PARAMETROS_CULTURAS!$G$6:$G$28,$P2100)+INDEX(PARAMETROS_CULTURAS!$H$6:$H$28,$P2100),INDEX(PARAMETROS_CULTURAS!$L$6:$L$28,$P2100),INDEX(PARAMETROS_CULTURAS!$L$6:$L$28,$P2100)+(INDEX(PARAMETROS_CULTURAS!$M$6:$M$28,$P2100)-INDEX(PARAMETROS_CULTURAS!$L$6:$L$28,$P2100))*($O2100-INDEX(PARAMETROS_CULTURAS!$F$6:$F$28,$P2100)-INDEX(PARAMETROS_CULTURAS!$G$6:$G$28,$P2100)-INDEX(PARAMETROS_CULTURAS!$H$6:$H$28,$P2100))/MAX(INDEX(PARAMETROS_CULTURAS!$I$6:$I$28,$P2100),0.0001)))))</f>
        <v>0</v>
      </c>
      <c r="S2100" s="18" t="n">
        <f aca="false">IFERROR(INDEX(SEMANAS!$H$6:$H$71,MATCH($B2100,SEMANAS!$B$6:$B$71,0)),0)</f>
        <v>36.4</v>
      </c>
      <c r="T2100" s="18" t="n">
        <f aca="false">$R2100*$S2100</f>
        <v>0</v>
      </c>
      <c r="U2100" s="18" t="n">
        <f aca="false">IFERROR(INDEX(SEMANAS!$I$6:$I$71,MATCH($B2100,SEMANAS!$B$6:$B$71,0)),0)</f>
        <v>1.12</v>
      </c>
      <c r="V2100" s="18" t="n">
        <f aca="false">IFERROR(INDEX(SEMANAS!$J$6:$J$71,MATCH($B2100,SEMANAS!$B$6:$B$71,0)),0)</f>
        <v>0.896</v>
      </c>
      <c r="W2100" s="18" t="n">
        <f aca="false">MAX(0,$T2100-$V2100)</f>
        <v>0</v>
      </c>
      <c r="X2100" s="19" t="n">
        <f aca="false">IFERROR(INDEX(CADASTRO_PIVOS!$K$6:$K$41,MATCH($E2100,CADASTRO_PIVOS!$B$6:$B$41,0)),EFICIENCIA_PADRAO)</f>
        <v>0.85</v>
      </c>
      <c r="Y2100" s="18" t="n">
        <f aca="false">IF($X2100&lt;=0,0,$W2100/$X2100)</f>
        <v>0</v>
      </c>
      <c r="Z2100" s="16" t="n">
        <f aca="false">$Y2100*$H2100*MM_PARA_M3_HA</f>
        <v>0</v>
      </c>
      <c r="AA2100" s="18" t="n">
        <f aca="false">IFERROR(INDEX(CADASTRO_PIVOS!$I$6:$I$41,MATCH($E2100,CADASTRO_PIVOS!$B$6:$B$41,0)),0)</f>
        <v>710.571428571429</v>
      </c>
      <c r="AB2100" s="18" t="n">
        <f aca="false">IF($Z2100&lt;=0,0,$Z2100/$AA2100)</f>
        <v>0</v>
      </c>
      <c r="AC2100" s="16" t="n">
        <f aca="false">IFERROR(INDEX(SEMANAS!$K$6:$K$71,MATCH($B2100,SEMANAS!$B$6:$B$71,0)),0)</f>
        <v>147</v>
      </c>
      <c r="AD2100" s="19" t="n">
        <f aca="false">IF($AC2100&lt;=0,0,$AB2100/$AC2100)</f>
        <v>0</v>
      </c>
      <c r="AE2100" s="8" t="str">
        <f aca="false">IF($K2100="SEM CULTURA","SEM CULTURA",IF($AA2100&lt;=0,"DADO PENDENTE",IF($AD2100&gt;LIMITE_CRITICO,"INVIAVEL",IF($AD2100&gt;LIMITE_ATENCAO,"CRITICO",IF($AD2100&gt;LIMITE_CONFORTAVEL,"ATENCAO","OK")))))</f>
        <v>SEM CULTURA</v>
      </c>
      <c r="AF2100" s="8" t="str">
        <f aca="false">$B2100&amp;"|"&amp;TEXT($AD2100,"0.000000")</f>
        <v>49|0.000000</v>
      </c>
      <c r="AG2100" s="18" t="n">
        <f aca="false">IF($K2100="SEM CULTURA",0,$T2100*$H2100)</f>
        <v>0</v>
      </c>
      <c r="AH2100" s="18" t="n">
        <f aca="false">IF($K2100="SEM CULTURA",0,$V2100*$H2100)</f>
        <v>0</v>
      </c>
      <c r="AI2100" s="18" t="n">
        <f aca="false">IF($K2100="SEM CULTURA",0,$W2100*$H2100)</f>
        <v>0</v>
      </c>
      <c r="AJ2100" s="18" t="n">
        <f aca="false">IF($K2100="SEM CULTURA",0,$S2100*$H2100)</f>
        <v>0</v>
      </c>
      <c r="AK2100" s="8" t="str">
        <f aca="false">$E2100&amp;"|"&amp;TEXT($AD2100,"0.000000")</f>
        <v>PV 133|0.000000</v>
      </c>
    </row>
    <row r="2101" customFormat="false" ht="15" hidden="false" customHeight="false" outlineLevel="0" collapsed="false">
      <c r="B2101" s="16" t="n">
        <v>50</v>
      </c>
      <c r="C2101" s="17" t="n">
        <f aca="false">DATA_INICIO_SAFRA+($B2101-1)*DIAS_POR_SEMANA</f>
        <v>46608</v>
      </c>
      <c r="D2101" s="17" t="n">
        <f aca="false">$C2101+DIAS_POR_SEMANA-1</f>
        <v>46614</v>
      </c>
      <c r="E2101" s="15" t="s">
        <v>290</v>
      </c>
      <c r="F2101" s="8" t="str">
        <f aca="false">IFERROR(INDEX(CADASTRO_PIVOS!$C$6:$C$41,MATCH($E2101,CADASTRO_PIVOS!$B$6:$B$41,0)),"?")</f>
        <v>RM07</v>
      </c>
      <c r="G2101" s="8" t="str">
        <f aca="false">IFERROR(INDEX(CADASTRO_PIVOS!$D$6:$D$41,MATCH($E2101,CADASTRO_PIVOS!$B$6:$B$41,0)),"?")</f>
        <v>TR07</v>
      </c>
      <c r="H2101" s="20" t="n">
        <f aca="false">IFERROR(INDEX(CADASTRO_PIVOS!$E$6:$E$41,MATCH($E2101,CADASTRO_PIVOS!$B$6:$B$41,0)),0)</f>
        <v>99.48</v>
      </c>
      <c r="I2101" s="16" t="n">
        <f aca="false">IFERROR(SUMIFS(ROTACAO_RDM!$B$6:$B$71,ROTACAO_RDM!$D$6:$D$71,$E2101,ROTACAO_RDM!$I$6:$I$71,"&lt;="&amp;$C2101+INT(DIAS_POR_SEMANA/2),ROTACAO_RDM!$J$6:$J$71,"&gt;="&amp;$C2101+INT(DIAS_POR_SEMANA/2)),0)</f>
        <v>0</v>
      </c>
      <c r="J2101" s="16" t="n">
        <f aca="false">IFERROR(MATCH($I2101,ROTACAO_RDM!$B$6:$B$71,0),0)</f>
        <v>0</v>
      </c>
      <c r="K2101" s="8" t="str">
        <f aca="false">IF($J2101=0,"SEM CULTURA",INDEX(ROTACAO_RDM!$F$6:$F$71,$J2101))</f>
        <v>SEM CULTURA</v>
      </c>
      <c r="L2101" s="8" t="str">
        <f aca="false">IF($J2101=0,"",INDEX(ROTACAO_RDM!$G$6:$G$71,$J2101))</f>
        <v/>
      </c>
      <c r="M2101" s="17" t="str">
        <f aca="false">IF($J2101=0,"",INDEX(ROTACAO_RDM!$I$6:$I$71,$J2101))</f>
        <v/>
      </c>
      <c r="N2101" s="16" t="n">
        <f aca="false">IF($J2101=0,0,MAX(0,$C2101+INT(DIAS_POR_SEMANA/2)-INDEX(ROTACAO_RDM!$I$6:$I$71,$J2101)))</f>
        <v>0</v>
      </c>
      <c r="O2101" s="19" t="n">
        <f aca="false">IF($J2101=0,0,MIN(1,$N2101/MAX(1,INDEX(ROTACAO_RDM!$K$6:$K$71,$J2101))))</f>
        <v>0</v>
      </c>
      <c r="P2101" s="16" t="n">
        <f aca="false">IF($J2101=0,0,IFERROR(MATCH(INDEX(ROTACAO_RDM!$N$6:$N$71,$J2101),PARAMETROS_CULTURAS!$B$6:$B$28,0),0))</f>
        <v>0</v>
      </c>
      <c r="Q2101" s="8" t="str">
        <f aca="false">IF($P2101=0,"-",IF($O2101&lt;=INDEX(PARAMETROS_CULTURAS!$F$6:$F$28,$P2101),"INICIAL",IF($O2101&lt;=INDEX(PARAMETROS_CULTURAS!$F$6:$F$28,$P2101)+INDEX(PARAMETROS_CULTURAS!$G$6:$G$28,$P2101),"DESENVOLVIMENTO",IF($O2101&lt;=INDEX(PARAMETROS_CULTURAS!$F$6:$F$28,$P2101)+INDEX(PARAMETROS_CULTURAS!$G$6:$G$28,$P2101)+INDEX(PARAMETROS_CULTURAS!$H$6:$H$28,$P2101),"MEDIA","FINAL"))))</f>
        <v>-</v>
      </c>
      <c r="R2101" s="24" t="n">
        <f aca="false">IF($P2101=0,0,IF($O2101&lt;=INDEX(PARAMETROS_CULTURAS!$F$6:$F$28,$P2101),INDEX(PARAMETROS_CULTURAS!$K$6:$K$28,$P2101),IF($O2101&lt;=INDEX(PARAMETROS_CULTURAS!$F$6:$F$28,$P2101)+INDEX(PARAMETROS_CULTURAS!$G$6:$G$28,$P2101),INDEX(PARAMETROS_CULTURAS!$K$6:$K$28,$P2101)+(INDEX(PARAMETROS_CULTURAS!$L$6:$L$28,$P2101)-INDEX(PARAMETROS_CULTURAS!$K$6:$K$28,$P2101))*($O2101-INDEX(PARAMETROS_CULTURAS!$F$6:$F$28,$P2101))/MAX(INDEX(PARAMETROS_CULTURAS!$G$6:$G$28,$P2101),0.0001),IF($O2101&lt;=INDEX(PARAMETROS_CULTURAS!$F$6:$F$28,$P2101)+INDEX(PARAMETROS_CULTURAS!$G$6:$G$28,$P2101)+INDEX(PARAMETROS_CULTURAS!$H$6:$H$28,$P2101),INDEX(PARAMETROS_CULTURAS!$L$6:$L$28,$P2101),INDEX(PARAMETROS_CULTURAS!$L$6:$L$28,$P2101)+(INDEX(PARAMETROS_CULTURAS!$M$6:$M$28,$P2101)-INDEX(PARAMETROS_CULTURAS!$L$6:$L$28,$P2101))*($O2101-INDEX(PARAMETROS_CULTURAS!$F$6:$F$28,$P2101)-INDEX(PARAMETROS_CULTURAS!$G$6:$G$28,$P2101)-INDEX(PARAMETROS_CULTURAS!$H$6:$H$28,$P2101))/MAX(INDEX(PARAMETROS_CULTURAS!$I$6:$I$28,$P2101),0.0001)))))</f>
        <v>0</v>
      </c>
      <c r="S2101" s="18" t="n">
        <f aca="false">IFERROR(INDEX(SEMANAS!$H$6:$H$71,MATCH($B2101,SEMANAS!$B$6:$B$71,0)),0)</f>
        <v>36.4</v>
      </c>
      <c r="T2101" s="18" t="n">
        <f aca="false">$R2101*$S2101</f>
        <v>0</v>
      </c>
      <c r="U2101" s="18" t="n">
        <f aca="false">IFERROR(INDEX(SEMANAS!$I$6:$I$71,MATCH($B2101,SEMANAS!$B$6:$B$71,0)),0)</f>
        <v>1.12</v>
      </c>
      <c r="V2101" s="18" t="n">
        <f aca="false">IFERROR(INDEX(SEMANAS!$J$6:$J$71,MATCH($B2101,SEMANAS!$B$6:$B$71,0)),0)</f>
        <v>0.896</v>
      </c>
      <c r="W2101" s="18" t="n">
        <f aca="false">MAX(0,$T2101-$V2101)</f>
        <v>0</v>
      </c>
      <c r="X2101" s="19" t="n">
        <f aca="false">IFERROR(INDEX(CADASTRO_PIVOS!$K$6:$K$41,MATCH($E2101,CADASTRO_PIVOS!$B$6:$B$41,0)),EFICIENCIA_PADRAO)</f>
        <v>0.85</v>
      </c>
      <c r="Y2101" s="18" t="n">
        <f aca="false">IF($X2101&lt;=0,0,$W2101/$X2101)</f>
        <v>0</v>
      </c>
      <c r="Z2101" s="16" t="n">
        <f aca="false">$Y2101*$H2101*MM_PARA_M3_HA</f>
        <v>0</v>
      </c>
      <c r="AA2101" s="18" t="n">
        <f aca="false">IFERROR(INDEX(CADASTRO_PIVOS!$I$6:$I$41,MATCH($E2101,CADASTRO_PIVOS!$B$6:$B$41,0)),0)</f>
        <v>710.571428571429</v>
      </c>
      <c r="AB2101" s="18" t="n">
        <f aca="false">IF($Z2101&lt;=0,0,$Z2101/$AA2101)</f>
        <v>0</v>
      </c>
      <c r="AC2101" s="16" t="n">
        <f aca="false">IFERROR(INDEX(SEMANAS!$K$6:$K$71,MATCH($B2101,SEMANAS!$B$6:$B$71,0)),0)</f>
        <v>147</v>
      </c>
      <c r="AD2101" s="19" t="n">
        <f aca="false">IF($AC2101&lt;=0,0,$AB2101/$AC2101)</f>
        <v>0</v>
      </c>
      <c r="AE2101" s="8" t="str">
        <f aca="false">IF($K2101="SEM CULTURA","SEM CULTURA",IF($AA2101&lt;=0,"DADO PENDENTE",IF($AD2101&gt;LIMITE_CRITICO,"INVIAVEL",IF($AD2101&gt;LIMITE_ATENCAO,"CRITICO",IF($AD2101&gt;LIMITE_CONFORTAVEL,"ATENCAO","OK")))))</f>
        <v>SEM CULTURA</v>
      </c>
      <c r="AF2101" s="8" t="str">
        <f aca="false">$B2101&amp;"|"&amp;TEXT($AD2101,"0.000000")</f>
        <v>50|0.000000</v>
      </c>
      <c r="AG2101" s="18" t="n">
        <f aca="false">IF($K2101="SEM CULTURA",0,$T2101*$H2101)</f>
        <v>0</v>
      </c>
      <c r="AH2101" s="18" t="n">
        <f aca="false">IF($K2101="SEM CULTURA",0,$V2101*$H2101)</f>
        <v>0</v>
      </c>
      <c r="AI2101" s="18" t="n">
        <f aca="false">IF($K2101="SEM CULTURA",0,$W2101*$H2101)</f>
        <v>0</v>
      </c>
      <c r="AJ2101" s="18" t="n">
        <f aca="false">IF($K2101="SEM CULTURA",0,$S2101*$H2101)</f>
        <v>0</v>
      </c>
      <c r="AK2101" s="8" t="str">
        <f aca="false">$E2101&amp;"|"&amp;TEXT($AD2101,"0.000000")</f>
        <v>PV 133|0.000000</v>
      </c>
    </row>
    <row r="2102" customFormat="false" ht="15" hidden="false" customHeight="false" outlineLevel="0" collapsed="false">
      <c r="B2102" s="16" t="n">
        <v>51</v>
      </c>
      <c r="C2102" s="17" t="n">
        <f aca="false">DATA_INICIO_SAFRA+($B2102-1)*DIAS_POR_SEMANA</f>
        <v>46615</v>
      </c>
      <c r="D2102" s="17" t="n">
        <f aca="false">$C2102+DIAS_POR_SEMANA-1</f>
        <v>46621</v>
      </c>
      <c r="E2102" s="15" t="s">
        <v>290</v>
      </c>
      <c r="F2102" s="8" t="str">
        <f aca="false">IFERROR(INDEX(CADASTRO_PIVOS!$C$6:$C$41,MATCH($E2102,CADASTRO_PIVOS!$B$6:$B$41,0)),"?")</f>
        <v>RM07</v>
      </c>
      <c r="G2102" s="8" t="str">
        <f aca="false">IFERROR(INDEX(CADASTRO_PIVOS!$D$6:$D$41,MATCH($E2102,CADASTRO_PIVOS!$B$6:$B$41,0)),"?")</f>
        <v>TR07</v>
      </c>
      <c r="H2102" s="20" t="n">
        <f aca="false">IFERROR(INDEX(CADASTRO_PIVOS!$E$6:$E$41,MATCH($E2102,CADASTRO_PIVOS!$B$6:$B$41,0)),0)</f>
        <v>99.48</v>
      </c>
      <c r="I2102" s="16" t="n">
        <f aca="false">IFERROR(SUMIFS(ROTACAO_RDM!$B$6:$B$71,ROTACAO_RDM!$D$6:$D$71,$E2102,ROTACAO_RDM!$I$6:$I$71,"&lt;="&amp;$C2102+INT(DIAS_POR_SEMANA/2),ROTACAO_RDM!$J$6:$J$71,"&gt;="&amp;$C2102+INT(DIAS_POR_SEMANA/2)),0)</f>
        <v>0</v>
      </c>
      <c r="J2102" s="16" t="n">
        <f aca="false">IFERROR(MATCH($I2102,ROTACAO_RDM!$B$6:$B$71,0),0)</f>
        <v>0</v>
      </c>
      <c r="K2102" s="8" t="str">
        <f aca="false">IF($J2102=0,"SEM CULTURA",INDEX(ROTACAO_RDM!$F$6:$F$71,$J2102))</f>
        <v>SEM CULTURA</v>
      </c>
      <c r="L2102" s="8" t="str">
        <f aca="false">IF($J2102=0,"",INDEX(ROTACAO_RDM!$G$6:$G$71,$J2102))</f>
        <v/>
      </c>
      <c r="M2102" s="17" t="str">
        <f aca="false">IF($J2102=0,"",INDEX(ROTACAO_RDM!$I$6:$I$71,$J2102))</f>
        <v/>
      </c>
      <c r="N2102" s="16" t="n">
        <f aca="false">IF($J2102=0,0,MAX(0,$C2102+INT(DIAS_POR_SEMANA/2)-INDEX(ROTACAO_RDM!$I$6:$I$71,$J2102)))</f>
        <v>0</v>
      </c>
      <c r="O2102" s="19" t="n">
        <f aca="false">IF($J2102=0,0,MIN(1,$N2102/MAX(1,INDEX(ROTACAO_RDM!$K$6:$K$71,$J2102))))</f>
        <v>0</v>
      </c>
      <c r="P2102" s="16" t="n">
        <f aca="false">IF($J2102=0,0,IFERROR(MATCH(INDEX(ROTACAO_RDM!$N$6:$N$71,$J2102),PARAMETROS_CULTURAS!$B$6:$B$28,0),0))</f>
        <v>0</v>
      </c>
      <c r="Q2102" s="8" t="str">
        <f aca="false">IF($P2102=0,"-",IF($O2102&lt;=INDEX(PARAMETROS_CULTURAS!$F$6:$F$28,$P2102),"INICIAL",IF($O2102&lt;=INDEX(PARAMETROS_CULTURAS!$F$6:$F$28,$P2102)+INDEX(PARAMETROS_CULTURAS!$G$6:$G$28,$P2102),"DESENVOLVIMENTO",IF($O2102&lt;=INDEX(PARAMETROS_CULTURAS!$F$6:$F$28,$P2102)+INDEX(PARAMETROS_CULTURAS!$G$6:$G$28,$P2102)+INDEX(PARAMETROS_CULTURAS!$H$6:$H$28,$P2102),"MEDIA","FINAL"))))</f>
        <v>-</v>
      </c>
      <c r="R2102" s="24" t="n">
        <f aca="false">IF($P2102=0,0,IF($O2102&lt;=INDEX(PARAMETROS_CULTURAS!$F$6:$F$28,$P2102),INDEX(PARAMETROS_CULTURAS!$K$6:$K$28,$P2102),IF($O2102&lt;=INDEX(PARAMETROS_CULTURAS!$F$6:$F$28,$P2102)+INDEX(PARAMETROS_CULTURAS!$G$6:$G$28,$P2102),INDEX(PARAMETROS_CULTURAS!$K$6:$K$28,$P2102)+(INDEX(PARAMETROS_CULTURAS!$L$6:$L$28,$P2102)-INDEX(PARAMETROS_CULTURAS!$K$6:$K$28,$P2102))*($O2102-INDEX(PARAMETROS_CULTURAS!$F$6:$F$28,$P2102))/MAX(INDEX(PARAMETROS_CULTURAS!$G$6:$G$28,$P2102),0.0001),IF($O2102&lt;=INDEX(PARAMETROS_CULTURAS!$F$6:$F$28,$P2102)+INDEX(PARAMETROS_CULTURAS!$G$6:$G$28,$P2102)+INDEX(PARAMETROS_CULTURAS!$H$6:$H$28,$P2102),INDEX(PARAMETROS_CULTURAS!$L$6:$L$28,$P2102),INDEX(PARAMETROS_CULTURAS!$L$6:$L$28,$P2102)+(INDEX(PARAMETROS_CULTURAS!$M$6:$M$28,$P2102)-INDEX(PARAMETROS_CULTURAS!$L$6:$L$28,$P2102))*($O2102-INDEX(PARAMETROS_CULTURAS!$F$6:$F$28,$P2102)-INDEX(PARAMETROS_CULTURAS!$G$6:$G$28,$P2102)-INDEX(PARAMETROS_CULTURAS!$H$6:$H$28,$P2102))/MAX(INDEX(PARAMETROS_CULTURAS!$I$6:$I$28,$P2102),0.0001)))))</f>
        <v>0</v>
      </c>
      <c r="S2102" s="18" t="n">
        <f aca="false">IFERROR(INDEX(SEMANAS!$H$6:$H$71,MATCH($B2102,SEMANAS!$B$6:$B$71,0)),0)</f>
        <v>36.4</v>
      </c>
      <c r="T2102" s="18" t="n">
        <f aca="false">$R2102*$S2102</f>
        <v>0</v>
      </c>
      <c r="U2102" s="18" t="n">
        <f aca="false">IFERROR(INDEX(SEMANAS!$I$6:$I$71,MATCH($B2102,SEMANAS!$B$6:$B$71,0)),0)</f>
        <v>1.12</v>
      </c>
      <c r="V2102" s="18" t="n">
        <f aca="false">IFERROR(INDEX(SEMANAS!$J$6:$J$71,MATCH($B2102,SEMANAS!$B$6:$B$71,0)),0)</f>
        <v>0.896</v>
      </c>
      <c r="W2102" s="18" t="n">
        <f aca="false">MAX(0,$T2102-$V2102)</f>
        <v>0</v>
      </c>
      <c r="X2102" s="19" t="n">
        <f aca="false">IFERROR(INDEX(CADASTRO_PIVOS!$K$6:$K$41,MATCH($E2102,CADASTRO_PIVOS!$B$6:$B$41,0)),EFICIENCIA_PADRAO)</f>
        <v>0.85</v>
      </c>
      <c r="Y2102" s="18" t="n">
        <f aca="false">IF($X2102&lt;=0,0,$W2102/$X2102)</f>
        <v>0</v>
      </c>
      <c r="Z2102" s="16" t="n">
        <f aca="false">$Y2102*$H2102*MM_PARA_M3_HA</f>
        <v>0</v>
      </c>
      <c r="AA2102" s="18" t="n">
        <f aca="false">IFERROR(INDEX(CADASTRO_PIVOS!$I$6:$I$41,MATCH($E2102,CADASTRO_PIVOS!$B$6:$B$41,0)),0)</f>
        <v>710.571428571429</v>
      </c>
      <c r="AB2102" s="18" t="n">
        <f aca="false">IF($Z2102&lt;=0,0,$Z2102/$AA2102)</f>
        <v>0</v>
      </c>
      <c r="AC2102" s="16" t="n">
        <f aca="false">IFERROR(INDEX(SEMANAS!$K$6:$K$71,MATCH($B2102,SEMANAS!$B$6:$B$71,0)),0)</f>
        <v>147</v>
      </c>
      <c r="AD2102" s="19" t="n">
        <f aca="false">IF($AC2102&lt;=0,0,$AB2102/$AC2102)</f>
        <v>0</v>
      </c>
      <c r="AE2102" s="8" t="str">
        <f aca="false">IF($K2102="SEM CULTURA","SEM CULTURA",IF($AA2102&lt;=0,"DADO PENDENTE",IF($AD2102&gt;LIMITE_CRITICO,"INVIAVEL",IF($AD2102&gt;LIMITE_ATENCAO,"CRITICO",IF($AD2102&gt;LIMITE_CONFORTAVEL,"ATENCAO","OK")))))</f>
        <v>SEM CULTURA</v>
      </c>
      <c r="AF2102" s="8" t="str">
        <f aca="false">$B2102&amp;"|"&amp;TEXT($AD2102,"0.000000")</f>
        <v>51|0.000000</v>
      </c>
      <c r="AG2102" s="18" t="n">
        <f aca="false">IF($K2102="SEM CULTURA",0,$T2102*$H2102)</f>
        <v>0</v>
      </c>
      <c r="AH2102" s="18" t="n">
        <f aca="false">IF($K2102="SEM CULTURA",0,$V2102*$H2102)</f>
        <v>0</v>
      </c>
      <c r="AI2102" s="18" t="n">
        <f aca="false">IF($K2102="SEM CULTURA",0,$W2102*$H2102)</f>
        <v>0</v>
      </c>
      <c r="AJ2102" s="18" t="n">
        <f aca="false">IF($K2102="SEM CULTURA",0,$S2102*$H2102)</f>
        <v>0</v>
      </c>
      <c r="AK2102" s="8" t="str">
        <f aca="false">$E2102&amp;"|"&amp;TEXT($AD2102,"0.000000")</f>
        <v>PV 133|0.000000</v>
      </c>
    </row>
    <row r="2103" customFormat="false" ht="15" hidden="false" customHeight="false" outlineLevel="0" collapsed="false">
      <c r="B2103" s="16" t="n">
        <v>52</v>
      </c>
      <c r="C2103" s="17" t="n">
        <f aca="false">DATA_INICIO_SAFRA+($B2103-1)*DIAS_POR_SEMANA</f>
        <v>46622</v>
      </c>
      <c r="D2103" s="17" t="n">
        <f aca="false">$C2103+DIAS_POR_SEMANA-1</f>
        <v>46628</v>
      </c>
      <c r="E2103" s="15" t="s">
        <v>290</v>
      </c>
      <c r="F2103" s="8" t="str">
        <f aca="false">IFERROR(INDEX(CADASTRO_PIVOS!$C$6:$C$41,MATCH($E2103,CADASTRO_PIVOS!$B$6:$B$41,0)),"?")</f>
        <v>RM07</v>
      </c>
      <c r="G2103" s="8" t="str">
        <f aca="false">IFERROR(INDEX(CADASTRO_PIVOS!$D$6:$D$41,MATCH($E2103,CADASTRO_PIVOS!$B$6:$B$41,0)),"?")</f>
        <v>TR07</v>
      </c>
      <c r="H2103" s="20" t="n">
        <f aca="false">IFERROR(INDEX(CADASTRO_PIVOS!$E$6:$E$41,MATCH($E2103,CADASTRO_PIVOS!$B$6:$B$41,0)),0)</f>
        <v>99.48</v>
      </c>
      <c r="I2103" s="16" t="n">
        <f aca="false">IFERROR(SUMIFS(ROTACAO_RDM!$B$6:$B$71,ROTACAO_RDM!$D$6:$D$71,$E2103,ROTACAO_RDM!$I$6:$I$71,"&lt;="&amp;$C2103+INT(DIAS_POR_SEMANA/2),ROTACAO_RDM!$J$6:$J$71,"&gt;="&amp;$C2103+INT(DIAS_POR_SEMANA/2)),0)</f>
        <v>0</v>
      </c>
      <c r="J2103" s="16" t="n">
        <f aca="false">IFERROR(MATCH($I2103,ROTACAO_RDM!$B$6:$B$71,0),0)</f>
        <v>0</v>
      </c>
      <c r="K2103" s="8" t="str">
        <f aca="false">IF($J2103=0,"SEM CULTURA",INDEX(ROTACAO_RDM!$F$6:$F$71,$J2103))</f>
        <v>SEM CULTURA</v>
      </c>
      <c r="L2103" s="8" t="str">
        <f aca="false">IF($J2103=0,"",INDEX(ROTACAO_RDM!$G$6:$G$71,$J2103))</f>
        <v/>
      </c>
      <c r="M2103" s="17" t="str">
        <f aca="false">IF($J2103=0,"",INDEX(ROTACAO_RDM!$I$6:$I$71,$J2103))</f>
        <v/>
      </c>
      <c r="N2103" s="16" t="n">
        <f aca="false">IF($J2103=0,0,MAX(0,$C2103+INT(DIAS_POR_SEMANA/2)-INDEX(ROTACAO_RDM!$I$6:$I$71,$J2103)))</f>
        <v>0</v>
      </c>
      <c r="O2103" s="19" t="n">
        <f aca="false">IF($J2103=0,0,MIN(1,$N2103/MAX(1,INDEX(ROTACAO_RDM!$K$6:$K$71,$J2103))))</f>
        <v>0</v>
      </c>
      <c r="P2103" s="16" t="n">
        <f aca="false">IF($J2103=0,0,IFERROR(MATCH(INDEX(ROTACAO_RDM!$N$6:$N$71,$J2103),PARAMETROS_CULTURAS!$B$6:$B$28,0),0))</f>
        <v>0</v>
      </c>
      <c r="Q2103" s="8" t="str">
        <f aca="false">IF($P2103=0,"-",IF($O2103&lt;=INDEX(PARAMETROS_CULTURAS!$F$6:$F$28,$P2103),"INICIAL",IF($O2103&lt;=INDEX(PARAMETROS_CULTURAS!$F$6:$F$28,$P2103)+INDEX(PARAMETROS_CULTURAS!$G$6:$G$28,$P2103),"DESENVOLVIMENTO",IF($O2103&lt;=INDEX(PARAMETROS_CULTURAS!$F$6:$F$28,$P2103)+INDEX(PARAMETROS_CULTURAS!$G$6:$G$28,$P2103)+INDEX(PARAMETROS_CULTURAS!$H$6:$H$28,$P2103),"MEDIA","FINAL"))))</f>
        <v>-</v>
      </c>
      <c r="R2103" s="24" t="n">
        <f aca="false">IF($P2103=0,0,IF($O2103&lt;=INDEX(PARAMETROS_CULTURAS!$F$6:$F$28,$P2103),INDEX(PARAMETROS_CULTURAS!$K$6:$K$28,$P2103),IF($O2103&lt;=INDEX(PARAMETROS_CULTURAS!$F$6:$F$28,$P2103)+INDEX(PARAMETROS_CULTURAS!$G$6:$G$28,$P2103),INDEX(PARAMETROS_CULTURAS!$K$6:$K$28,$P2103)+(INDEX(PARAMETROS_CULTURAS!$L$6:$L$28,$P2103)-INDEX(PARAMETROS_CULTURAS!$K$6:$K$28,$P2103))*($O2103-INDEX(PARAMETROS_CULTURAS!$F$6:$F$28,$P2103))/MAX(INDEX(PARAMETROS_CULTURAS!$G$6:$G$28,$P2103),0.0001),IF($O2103&lt;=INDEX(PARAMETROS_CULTURAS!$F$6:$F$28,$P2103)+INDEX(PARAMETROS_CULTURAS!$G$6:$G$28,$P2103)+INDEX(PARAMETROS_CULTURAS!$H$6:$H$28,$P2103),INDEX(PARAMETROS_CULTURAS!$L$6:$L$28,$P2103),INDEX(PARAMETROS_CULTURAS!$L$6:$L$28,$P2103)+(INDEX(PARAMETROS_CULTURAS!$M$6:$M$28,$P2103)-INDEX(PARAMETROS_CULTURAS!$L$6:$L$28,$P2103))*($O2103-INDEX(PARAMETROS_CULTURAS!$F$6:$F$28,$P2103)-INDEX(PARAMETROS_CULTURAS!$G$6:$G$28,$P2103)-INDEX(PARAMETROS_CULTURAS!$H$6:$H$28,$P2103))/MAX(INDEX(PARAMETROS_CULTURAS!$I$6:$I$28,$P2103),0.0001)))))</f>
        <v>0</v>
      </c>
      <c r="S2103" s="18" t="n">
        <f aca="false">IFERROR(INDEX(SEMANAS!$H$6:$H$71,MATCH($B2103,SEMANAS!$B$6:$B$71,0)),0)</f>
        <v>36.4</v>
      </c>
      <c r="T2103" s="18" t="n">
        <f aca="false">$R2103*$S2103</f>
        <v>0</v>
      </c>
      <c r="U2103" s="18" t="n">
        <f aca="false">IFERROR(INDEX(SEMANAS!$I$6:$I$71,MATCH($B2103,SEMANAS!$B$6:$B$71,0)),0)</f>
        <v>1.12</v>
      </c>
      <c r="V2103" s="18" t="n">
        <f aca="false">IFERROR(INDEX(SEMANAS!$J$6:$J$71,MATCH($B2103,SEMANAS!$B$6:$B$71,0)),0)</f>
        <v>0.896</v>
      </c>
      <c r="W2103" s="18" t="n">
        <f aca="false">MAX(0,$T2103-$V2103)</f>
        <v>0</v>
      </c>
      <c r="X2103" s="19" t="n">
        <f aca="false">IFERROR(INDEX(CADASTRO_PIVOS!$K$6:$K$41,MATCH($E2103,CADASTRO_PIVOS!$B$6:$B$41,0)),EFICIENCIA_PADRAO)</f>
        <v>0.85</v>
      </c>
      <c r="Y2103" s="18" t="n">
        <f aca="false">IF($X2103&lt;=0,0,$W2103/$X2103)</f>
        <v>0</v>
      </c>
      <c r="Z2103" s="16" t="n">
        <f aca="false">$Y2103*$H2103*MM_PARA_M3_HA</f>
        <v>0</v>
      </c>
      <c r="AA2103" s="18" t="n">
        <f aca="false">IFERROR(INDEX(CADASTRO_PIVOS!$I$6:$I$41,MATCH($E2103,CADASTRO_PIVOS!$B$6:$B$41,0)),0)</f>
        <v>710.571428571429</v>
      </c>
      <c r="AB2103" s="18" t="n">
        <f aca="false">IF($Z2103&lt;=0,0,$Z2103/$AA2103)</f>
        <v>0</v>
      </c>
      <c r="AC2103" s="16" t="n">
        <f aca="false">IFERROR(INDEX(SEMANAS!$K$6:$K$71,MATCH($B2103,SEMANAS!$B$6:$B$71,0)),0)</f>
        <v>147</v>
      </c>
      <c r="AD2103" s="19" t="n">
        <f aca="false">IF($AC2103&lt;=0,0,$AB2103/$AC2103)</f>
        <v>0</v>
      </c>
      <c r="AE2103" s="8" t="str">
        <f aca="false">IF($K2103="SEM CULTURA","SEM CULTURA",IF($AA2103&lt;=0,"DADO PENDENTE",IF($AD2103&gt;LIMITE_CRITICO,"INVIAVEL",IF($AD2103&gt;LIMITE_ATENCAO,"CRITICO",IF($AD2103&gt;LIMITE_CONFORTAVEL,"ATENCAO","OK")))))</f>
        <v>SEM CULTURA</v>
      </c>
      <c r="AF2103" s="8" t="str">
        <f aca="false">$B2103&amp;"|"&amp;TEXT($AD2103,"0.000000")</f>
        <v>52|0.000000</v>
      </c>
      <c r="AG2103" s="18" t="n">
        <f aca="false">IF($K2103="SEM CULTURA",0,$T2103*$H2103)</f>
        <v>0</v>
      </c>
      <c r="AH2103" s="18" t="n">
        <f aca="false">IF($K2103="SEM CULTURA",0,$V2103*$H2103)</f>
        <v>0</v>
      </c>
      <c r="AI2103" s="18" t="n">
        <f aca="false">IF($K2103="SEM CULTURA",0,$W2103*$H2103)</f>
        <v>0</v>
      </c>
      <c r="AJ2103" s="18" t="n">
        <f aca="false">IF($K2103="SEM CULTURA",0,$S2103*$H2103)</f>
        <v>0</v>
      </c>
      <c r="AK2103" s="8" t="str">
        <f aca="false">$E2103&amp;"|"&amp;TEXT($AD2103,"0.000000")</f>
        <v>PV 133|0.000000</v>
      </c>
    </row>
    <row r="2104" customFormat="false" ht="15" hidden="false" customHeight="false" outlineLevel="0" collapsed="false">
      <c r="B2104" s="16" t="n">
        <v>53</v>
      </c>
      <c r="C2104" s="17" t="n">
        <f aca="false">DATA_INICIO_SAFRA+($B2104-1)*DIAS_POR_SEMANA</f>
        <v>46629</v>
      </c>
      <c r="D2104" s="17" t="n">
        <f aca="false">$C2104+DIAS_POR_SEMANA-1</f>
        <v>46635</v>
      </c>
      <c r="E2104" s="15" t="s">
        <v>290</v>
      </c>
      <c r="F2104" s="8" t="str">
        <f aca="false">IFERROR(INDEX(CADASTRO_PIVOS!$C$6:$C$41,MATCH($E2104,CADASTRO_PIVOS!$B$6:$B$41,0)),"?")</f>
        <v>RM07</v>
      </c>
      <c r="G2104" s="8" t="str">
        <f aca="false">IFERROR(INDEX(CADASTRO_PIVOS!$D$6:$D$41,MATCH($E2104,CADASTRO_PIVOS!$B$6:$B$41,0)),"?")</f>
        <v>TR07</v>
      </c>
      <c r="H2104" s="20" t="n">
        <f aca="false">IFERROR(INDEX(CADASTRO_PIVOS!$E$6:$E$41,MATCH($E2104,CADASTRO_PIVOS!$B$6:$B$41,0)),0)</f>
        <v>99.48</v>
      </c>
      <c r="I2104" s="16" t="n">
        <f aca="false">IFERROR(SUMIFS(ROTACAO_RDM!$B$6:$B$71,ROTACAO_RDM!$D$6:$D$71,$E2104,ROTACAO_RDM!$I$6:$I$71,"&lt;="&amp;$C2104+INT(DIAS_POR_SEMANA/2),ROTACAO_RDM!$J$6:$J$71,"&gt;="&amp;$C2104+INT(DIAS_POR_SEMANA/2)),0)</f>
        <v>0</v>
      </c>
      <c r="J2104" s="16" t="n">
        <f aca="false">IFERROR(MATCH($I2104,ROTACAO_RDM!$B$6:$B$71,0),0)</f>
        <v>0</v>
      </c>
      <c r="K2104" s="8" t="str">
        <f aca="false">IF($J2104=0,"SEM CULTURA",INDEX(ROTACAO_RDM!$F$6:$F$71,$J2104))</f>
        <v>SEM CULTURA</v>
      </c>
      <c r="L2104" s="8" t="str">
        <f aca="false">IF($J2104=0,"",INDEX(ROTACAO_RDM!$G$6:$G$71,$J2104))</f>
        <v/>
      </c>
      <c r="M2104" s="17" t="str">
        <f aca="false">IF($J2104=0,"",INDEX(ROTACAO_RDM!$I$6:$I$71,$J2104))</f>
        <v/>
      </c>
      <c r="N2104" s="16" t="n">
        <f aca="false">IF($J2104=0,0,MAX(0,$C2104+INT(DIAS_POR_SEMANA/2)-INDEX(ROTACAO_RDM!$I$6:$I$71,$J2104)))</f>
        <v>0</v>
      </c>
      <c r="O2104" s="19" t="n">
        <f aca="false">IF($J2104=0,0,MIN(1,$N2104/MAX(1,INDEX(ROTACAO_RDM!$K$6:$K$71,$J2104))))</f>
        <v>0</v>
      </c>
      <c r="P2104" s="16" t="n">
        <f aca="false">IF($J2104=0,0,IFERROR(MATCH(INDEX(ROTACAO_RDM!$N$6:$N$71,$J2104),PARAMETROS_CULTURAS!$B$6:$B$28,0),0))</f>
        <v>0</v>
      </c>
      <c r="Q2104" s="8" t="str">
        <f aca="false">IF($P2104=0,"-",IF($O2104&lt;=INDEX(PARAMETROS_CULTURAS!$F$6:$F$28,$P2104),"INICIAL",IF($O2104&lt;=INDEX(PARAMETROS_CULTURAS!$F$6:$F$28,$P2104)+INDEX(PARAMETROS_CULTURAS!$G$6:$G$28,$P2104),"DESENVOLVIMENTO",IF($O2104&lt;=INDEX(PARAMETROS_CULTURAS!$F$6:$F$28,$P2104)+INDEX(PARAMETROS_CULTURAS!$G$6:$G$28,$P2104)+INDEX(PARAMETROS_CULTURAS!$H$6:$H$28,$P2104),"MEDIA","FINAL"))))</f>
        <v>-</v>
      </c>
      <c r="R2104" s="24" t="n">
        <f aca="false">IF($P2104=0,0,IF($O2104&lt;=INDEX(PARAMETROS_CULTURAS!$F$6:$F$28,$P2104),INDEX(PARAMETROS_CULTURAS!$K$6:$K$28,$P2104),IF($O2104&lt;=INDEX(PARAMETROS_CULTURAS!$F$6:$F$28,$P2104)+INDEX(PARAMETROS_CULTURAS!$G$6:$G$28,$P2104),INDEX(PARAMETROS_CULTURAS!$K$6:$K$28,$P2104)+(INDEX(PARAMETROS_CULTURAS!$L$6:$L$28,$P2104)-INDEX(PARAMETROS_CULTURAS!$K$6:$K$28,$P2104))*($O2104-INDEX(PARAMETROS_CULTURAS!$F$6:$F$28,$P2104))/MAX(INDEX(PARAMETROS_CULTURAS!$G$6:$G$28,$P2104),0.0001),IF($O2104&lt;=INDEX(PARAMETROS_CULTURAS!$F$6:$F$28,$P2104)+INDEX(PARAMETROS_CULTURAS!$G$6:$G$28,$P2104)+INDEX(PARAMETROS_CULTURAS!$H$6:$H$28,$P2104),INDEX(PARAMETROS_CULTURAS!$L$6:$L$28,$P2104),INDEX(PARAMETROS_CULTURAS!$L$6:$L$28,$P2104)+(INDEX(PARAMETROS_CULTURAS!$M$6:$M$28,$P2104)-INDEX(PARAMETROS_CULTURAS!$L$6:$L$28,$P2104))*($O2104-INDEX(PARAMETROS_CULTURAS!$F$6:$F$28,$P2104)-INDEX(PARAMETROS_CULTURAS!$G$6:$G$28,$P2104)-INDEX(PARAMETROS_CULTURAS!$H$6:$H$28,$P2104))/MAX(INDEX(PARAMETROS_CULTURAS!$I$6:$I$28,$P2104),0.0001)))))</f>
        <v>0</v>
      </c>
      <c r="S2104" s="18" t="n">
        <f aca="false">IFERROR(INDEX(SEMANAS!$H$6:$H$71,MATCH($B2104,SEMANAS!$B$6:$B$71,0)),0)</f>
        <v>39.4</v>
      </c>
      <c r="T2104" s="18" t="n">
        <f aca="false">$R2104*$S2104</f>
        <v>0</v>
      </c>
      <c r="U2104" s="18" t="n">
        <f aca="false">IFERROR(INDEX(SEMANAS!$I$6:$I$71,MATCH($B2104,SEMANAS!$B$6:$B$71,0)),0)</f>
        <v>5.32</v>
      </c>
      <c r="V2104" s="18" t="n">
        <f aca="false">IFERROR(INDEX(SEMANAS!$J$6:$J$71,MATCH($B2104,SEMANAS!$B$6:$B$71,0)),0)</f>
        <v>4.256</v>
      </c>
      <c r="W2104" s="18" t="n">
        <f aca="false">MAX(0,$T2104-$V2104)</f>
        <v>0</v>
      </c>
      <c r="X2104" s="19" t="n">
        <f aca="false">IFERROR(INDEX(CADASTRO_PIVOS!$K$6:$K$41,MATCH($E2104,CADASTRO_PIVOS!$B$6:$B$41,0)),EFICIENCIA_PADRAO)</f>
        <v>0.85</v>
      </c>
      <c r="Y2104" s="18" t="n">
        <f aca="false">IF($X2104&lt;=0,0,$W2104/$X2104)</f>
        <v>0</v>
      </c>
      <c r="Z2104" s="16" t="n">
        <f aca="false">$Y2104*$H2104*MM_PARA_M3_HA</f>
        <v>0</v>
      </c>
      <c r="AA2104" s="18" t="n">
        <f aca="false">IFERROR(INDEX(CADASTRO_PIVOS!$I$6:$I$41,MATCH($E2104,CADASTRO_PIVOS!$B$6:$B$41,0)),0)</f>
        <v>710.571428571429</v>
      </c>
      <c r="AB2104" s="18" t="n">
        <f aca="false">IF($Z2104&lt;=0,0,$Z2104/$AA2104)</f>
        <v>0</v>
      </c>
      <c r="AC2104" s="16" t="n">
        <f aca="false">IFERROR(INDEX(SEMANAS!$K$6:$K$71,MATCH($B2104,SEMANAS!$B$6:$B$71,0)),0)</f>
        <v>147</v>
      </c>
      <c r="AD2104" s="19" t="n">
        <f aca="false">IF($AC2104&lt;=0,0,$AB2104/$AC2104)</f>
        <v>0</v>
      </c>
      <c r="AE2104" s="8" t="str">
        <f aca="false">IF($K2104="SEM CULTURA","SEM CULTURA",IF($AA2104&lt;=0,"DADO PENDENTE",IF($AD2104&gt;LIMITE_CRITICO,"INVIAVEL",IF($AD2104&gt;LIMITE_ATENCAO,"CRITICO",IF($AD2104&gt;LIMITE_CONFORTAVEL,"ATENCAO","OK")))))</f>
        <v>SEM CULTURA</v>
      </c>
      <c r="AF2104" s="8" t="str">
        <f aca="false">$B2104&amp;"|"&amp;TEXT($AD2104,"0.000000")</f>
        <v>53|0.000000</v>
      </c>
      <c r="AG2104" s="18" t="n">
        <f aca="false">IF($K2104="SEM CULTURA",0,$T2104*$H2104)</f>
        <v>0</v>
      </c>
      <c r="AH2104" s="18" t="n">
        <f aca="false">IF($K2104="SEM CULTURA",0,$V2104*$H2104)</f>
        <v>0</v>
      </c>
      <c r="AI2104" s="18" t="n">
        <f aca="false">IF($K2104="SEM CULTURA",0,$W2104*$H2104)</f>
        <v>0</v>
      </c>
      <c r="AJ2104" s="18" t="n">
        <f aca="false">IF($K2104="SEM CULTURA",0,$S2104*$H2104)</f>
        <v>0</v>
      </c>
      <c r="AK2104" s="8" t="str">
        <f aca="false">$E2104&amp;"|"&amp;TEXT($AD2104,"0.000000")</f>
        <v>PV 133|0.000000</v>
      </c>
    </row>
    <row r="2105" customFormat="false" ht="15" hidden="false" customHeight="false" outlineLevel="0" collapsed="false">
      <c r="B2105" s="16" t="n">
        <v>54</v>
      </c>
      <c r="C2105" s="17" t="n">
        <f aca="false">DATA_INICIO_SAFRA+($B2105-1)*DIAS_POR_SEMANA</f>
        <v>46636</v>
      </c>
      <c r="D2105" s="17" t="n">
        <f aca="false">$C2105+DIAS_POR_SEMANA-1</f>
        <v>46642</v>
      </c>
      <c r="E2105" s="15" t="s">
        <v>290</v>
      </c>
      <c r="F2105" s="8" t="str">
        <f aca="false">IFERROR(INDEX(CADASTRO_PIVOS!$C$6:$C$41,MATCH($E2105,CADASTRO_PIVOS!$B$6:$B$41,0)),"?")</f>
        <v>RM07</v>
      </c>
      <c r="G2105" s="8" t="str">
        <f aca="false">IFERROR(INDEX(CADASTRO_PIVOS!$D$6:$D$41,MATCH($E2105,CADASTRO_PIVOS!$B$6:$B$41,0)),"?")</f>
        <v>TR07</v>
      </c>
      <c r="H2105" s="20" t="n">
        <f aca="false">IFERROR(INDEX(CADASTRO_PIVOS!$E$6:$E$41,MATCH($E2105,CADASTRO_PIVOS!$B$6:$B$41,0)),0)</f>
        <v>99.48</v>
      </c>
      <c r="I2105" s="16" t="n">
        <f aca="false">IFERROR(SUMIFS(ROTACAO_RDM!$B$6:$B$71,ROTACAO_RDM!$D$6:$D$71,$E2105,ROTACAO_RDM!$I$6:$I$71,"&lt;="&amp;$C2105+INT(DIAS_POR_SEMANA/2),ROTACAO_RDM!$J$6:$J$71,"&gt;="&amp;$C2105+INT(DIAS_POR_SEMANA/2)),0)</f>
        <v>0</v>
      </c>
      <c r="J2105" s="16" t="n">
        <f aca="false">IFERROR(MATCH($I2105,ROTACAO_RDM!$B$6:$B$71,0),0)</f>
        <v>0</v>
      </c>
      <c r="K2105" s="8" t="str">
        <f aca="false">IF($J2105=0,"SEM CULTURA",INDEX(ROTACAO_RDM!$F$6:$F$71,$J2105))</f>
        <v>SEM CULTURA</v>
      </c>
      <c r="L2105" s="8" t="str">
        <f aca="false">IF($J2105=0,"",INDEX(ROTACAO_RDM!$G$6:$G$71,$J2105))</f>
        <v/>
      </c>
      <c r="M2105" s="17" t="str">
        <f aca="false">IF($J2105=0,"",INDEX(ROTACAO_RDM!$I$6:$I$71,$J2105))</f>
        <v/>
      </c>
      <c r="N2105" s="16" t="n">
        <f aca="false">IF($J2105=0,0,MAX(0,$C2105+INT(DIAS_POR_SEMANA/2)-INDEX(ROTACAO_RDM!$I$6:$I$71,$J2105)))</f>
        <v>0</v>
      </c>
      <c r="O2105" s="19" t="n">
        <f aca="false">IF($J2105=0,0,MIN(1,$N2105/MAX(1,INDEX(ROTACAO_RDM!$K$6:$K$71,$J2105))))</f>
        <v>0</v>
      </c>
      <c r="P2105" s="16" t="n">
        <f aca="false">IF($J2105=0,0,IFERROR(MATCH(INDEX(ROTACAO_RDM!$N$6:$N$71,$J2105),PARAMETROS_CULTURAS!$B$6:$B$28,0),0))</f>
        <v>0</v>
      </c>
      <c r="Q2105" s="8" t="str">
        <f aca="false">IF($P2105=0,"-",IF($O2105&lt;=INDEX(PARAMETROS_CULTURAS!$F$6:$F$28,$P2105),"INICIAL",IF($O2105&lt;=INDEX(PARAMETROS_CULTURAS!$F$6:$F$28,$P2105)+INDEX(PARAMETROS_CULTURAS!$G$6:$G$28,$P2105),"DESENVOLVIMENTO",IF($O2105&lt;=INDEX(PARAMETROS_CULTURAS!$F$6:$F$28,$P2105)+INDEX(PARAMETROS_CULTURAS!$G$6:$G$28,$P2105)+INDEX(PARAMETROS_CULTURAS!$H$6:$H$28,$P2105),"MEDIA","FINAL"))))</f>
        <v>-</v>
      </c>
      <c r="R2105" s="24" t="n">
        <f aca="false">IF($P2105=0,0,IF($O2105&lt;=INDEX(PARAMETROS_CULTURAS!$F$6:$F$28,$P2105),INDEX(PARAMETROS_CULTURAS!$K$6:$K$28,$P2105),IF($O2105&lt;=INDEX(PARAMETROS_CULTURAS!$F$6:$F$28,$P2105)+INDEX(PARAMETROS_CULTURAS!$G$6:$G$28,$P2105),INDEX(PARAMETROS_CULTURAS!$K$6:$K$28,$P2105)+(INDEX(PARAMETROS_CULTURAS!$L$6:$L$28,$P2105)-INDEX(PARAMETROS_CULTURAS!$K$6:$K$28,$P2105))*($O2105-INDEX(PARAMETROS_CULTURAS!$F$6:$F$28,$P2105))/MAX(INDEX(PARAMETROS_CULTURAS!$G$6:$G$28,$P2105),0.0001),IF($O2105&lt;=INDEX(PARAMETROS_CULTURAS!$F$6:$F$28,$P2105)+INDEX(PARAMETROS_CULTURAS!$G$6:$G$28,$P2105)+INDEX(PARAMETROS_CULTURAS!$H$6:$H$28,$P2105),INDEX(PARAMETROS_CULTURAS!$L$6:$L$28,$P2105),INDEX(PARAMETROS_CULTURAS!$L$6:$L$28,$P2105)+(INDEX(PARAMETROS_CULTURAS!$M$6:$M$28,$P2105)-INDEX(PARAMETROS_CULTURAS!$L$6:$L$28,$P2105))*($O2105-INDEX(PARAMETROS_CULTURAS!$F$6:$F$28,$P2105)-INDEX(PARAMETROS_CULTURAS!$G$6:$G$28,$P2105)-INDEX(PARAMETROS_CULTURAS!$H$6:$H$28,$P2105))/MAX(INDEX(PARAMETROS_CULTURAS!$I$6:$I$28,$P2105),0.0001)))))</f>
        <v>0</v>
      </c>
      <c r="S2105" s="18" t="n">
        <f aca="false">IFERROR(INDEX(SEMANAS!$H$6:$H$71,MATCH($B2105,SEMANAS!$B$6:$B$71,0)),0)</f>
        <v>40.6</v>
      </c>
      <c r="T2105" s="18" t="n">
        <f aca="false">$R2105*$S2105</f>
        <v>0</v>
      </c>
      <c r="U2105" s="18" t="n">
        <f aca="false">IFERROR(INDEX(SEMANAS!$I$6:$I$71,MATCH($B2105,SEMANAS!$B$6:$B$71,0)),0)</f>
        <v>7</v>
      </c>
      <c r="V2105" s="18" t="n">
        <f aca="false">IFERROR(INDEX(SEMANAS!$J$6:$J$71,MATCH($B2105,SEMANAS!$B$6:$B$71,0)),0)</f>
        <v>5.6</v>
      </c>
      <c r="W2105" s="18" t="n">
        <f aca="false">MAX(0,$T2105-$V2105)</f>
        <v>0</v>
      </c>
      <c r="X2105" s="19" t="n">
        <f aca="false">IFERROR(INDEX(CADASTRO_PIVOS!$K$6:$K$41,MATCH($E2105,CADASTRO_PIVOS!$B$6:$B$41,0)),EFICIENCIA_PADRAO)</f>
        <v>0.85</v>
      </c>
      <c r="Y2105" s="18" t="n">
        <f aca="false">IF($X2105&lt;=0,0,$W2105/$X2105)</f>
        <v>0</v>
      </c>
      <c r="Z2105" s="16" t="n">
        <f aca="false">$Y2105*$H2105*MM_PARA_M3_HA</f>
        <v>0</v>
      </c>
      <c r="AA2105" s="18" t="n">
        <f aca="false">IFERROR(INDEX(CADASTRO_PIVOS!$I$6:$I$41,MATCH($E2105,CADASTRO_PIVOS!$B$6:$B$41,0)),0)</f>
        <v>710.571428571429</v>
      </c>
      <c r="AB2105" s="18" t="n">
        <f aca="false">IF($Z2105&lt;=0,0,$Z2105/$AA2105)</f>
        <v>0</v>
      </c>
      <c r="AC2105" s="16" t="n">
        <f aca="false">IFERROR(INDEX(SEMANAS!$K$6:$K$71,MATCH($B2105,SEMANAS!$B$6:$B$71,0)),0)</f>
        <v>147</v>
      </c>
      <c r="AD2105" s="19" t="n">
        <f aca="false">IF($AC2105&lt;=0,0,$AB2105/$AC2105)</f>
        <v>0</v>
      </c>
      <c r="AE2105" s="8" t="str">
        <f aca="false">IF($K2105="SEM CULTURA","SEM CULTURA",IF($AA2105&lt;=0,"DADO PENDENTE",IF($AD2105&gt;LIMITE_CRITICO,"INVIAVEL",IF($AD2105&gt;LIMITE_ATENCAO,"CRITICO",IF($AD2105&gt;LIMITE_CONFORTAVEL,"ATENCAO","OK")))))</f>
        <v>SEM CULTURA</v>
      </c>
      <c r="AF2105" s="8" t="str">
        <f aca="false">$B2105&amp;"|"&amp;TEXT($AD2105,"0.000000")</f>
        <v>54|0.000000</v>
      </c>
      <c r="AG2105" s="18" t="n">
        <f aca="false">IF($K2105="SEM CULTURA",0,$T2105*$H2105)</f>
        <v>0</v>
      </c>
      <c r="AH2105" s="18" t="n">
        <f aca="false">IF($K2105="SEM CULTURA",0,$V2105*$H2105)</f>
        <v>0</v>
      </c>
      <c r="AI2105" s="18" t="n">
        <f aca="false">IF($K2105="SEM CULTURA",0,$W2105*$H2105)</f>
        <v>0</v>
      </c>
      <c r="AJ2105" s="18" t="n">
        <f aca="false">IF($K2105="SEM CULTURA",0,$S2105*$H2105)</f>
        <v>0</v>
      </c>
      <c r="AK2105" s="8" t="str">
        <f aca="false">$E2105&amp;"|"&amp;TEXT($AD2105,"0.000000")</f>
        <v>PV 133|0.000000</v>
      </c>
    </row>
    <row r="2106" customFormat="false" ht="15" hidden="false" customHeight="false" outlineLevel="0" collapsed="false">
      <c r="B2106" s="16" t="n">
        <v>55</v>
      </c>
      <c r="C2106" s="17" t="n">
        <f aca="false">DATA_INICIO_SAFRA+($B2106-1)*DIAS_POR_SEMANA</f>
        <v>46643</v>
      </c>
      <c r="D2106" s="17" t="n">
        <f aca="false">$C2106+DIAS_POR_SEMANA-1</f>
        <v>46649</v>
      </c>
      <c r="E2106" s="15" t="s">
        <v>290</v>
      </c>
      <c r="F2106" s="8" t="str">
        <f aca="false">IFERROR(INDEX(CADASTRO_PIVOS!$C$6:$C$41,MATCH($E2106,CADASTRO_PIVOS!$B$6:$B$41,0)),"?")</f>
        <v>RM07</v>
      </c>
      <c r="G2106" s="8" t="str">
        <f aca="false">IFERROR(INDEX(CADASTRO_PIVOS!$D$6:$D$41,MATCH($E2106,CADASTRO_PIVOS!$B$6:$B$41,0)),"?")</f>
        <v>TR07</v>
      </c>
      <c r="H2106" s="20" t="n">
        <f aca="false">IFERROR(INDEX(CADASTRO_PIVOS!$E$6:$E$41,MATCH($E2106,CADASTRO_PIVOS!$B$6:$B$41,0)),0)</f>
        <v>99.48</v>
      </c>
      <c r="I2106" s="16" t="n">
        <f aca="false">IFERROR(SUMIFS(ROTACAO_RDM!$B$6:$B$71,ROTACAO_RDM!$D$6:$D$71,$E2106,ROTACAO_RDM!$I$6:$I$71,"&lt;="&amp;$C2106+INT(DIAS_POR_SEMANA/2),ROTACAO_RDM!$J$6:$J$71,"&gt;="&amp;$C2106+INT(DIAS_POR_SEMANA/2)),0)</f>
        <v>0</v>
      </c>
      <c r="J2106" s="16" t="n">
        <f aca="false">IFERROR(MATCH($I2106,ROTACAO_RDM!$B$6:$B$71,0),0)</f>
        <v>0</v>
      </c>
      <c r="K2106" s="8" t="str">
        <f aca="false">IF($J2106=0,"SEM CULTURA",INDEX(ROTACAO_RDM!$F$6:$F$71,$J2106))</f>
        <v>SEM CULTURA</v>
      </c>
      <c r="L2106" s="8" t="str">
        <f aca="false">IF($J2106=0,"",INDEX(ROTACAO_RDM!$G$6:$G$71,$J2106))</f>
        <v/>
      </c>
      <c r="M2106" s="17" t="str">
        <f aca="false">IF($J2106=0,"",INDEX(ROTACAO_RDM!$I$6:$I$71,$J2106))</f>
        <v/>
      </c>
      <c r="N2106" s="16" t="n">
        <f aca="false">IF($J2106=0,0,MAX(0,$C2106+INT(DIAS_POR_SEMANA/2)-INDEX(ROTACAO_RDM!$I$6:$I$71,$J2106)))</f>
        <v>0</v>
      </c>
      <c r="O2106" s="19" t="n">
        <f aca="false">IF($J2106=0,0,MIN(1,$N2106/MAX(1,INDEX(ROTACAO_RDM!$K$6:$K$71,$J2106))))</f>
        <v>0</v>
      </c>
      <c r="P2106" s="16" t="n">
        <f aca="false">IF($J2106=0,0,IFERROR(MATCH(INDEX(ROTACAO_RDM!$N$6:$N$71,$J2106),PARAMETROS_CULTURAS!$B$6:$B$28,0),0))</f>
        <v>0</v>
      </c>
      <c r="Q2106" s="8" t="str">
        <f aca="false">IF($P2106=0,"-",IF($O2106&lt;=INDEX(PARAMETROS_CULTURAS!$F$6:$F$28,$P2106),"INICIAL",IF($O2106&lt;=INDEX(PARAMETROS_CULTURAS!$F$6:$F$28,$P2106)+INDEX(PARAMETROS_CULTURAS!$G$6:$G$28,$P2106),"DESENVOLVIMENTO",IF($O2106&lt;=INDEX(PARAMETROS_CULTURAS!$F$6:$F$28,$P2106)+INDEX(PARAMETROS_CULTURAS!$G$6:$G$28,$P2106)+INDEX(PARAMETROS_CULTURAS!$H$6:$H$28,$P2106),"MEDIA","FINAL"))))</f>
        <v>-</v>
      </c>
      <c r="R2106" s="24" t="n">
        <f aca="false">IF($P2106=0,0,IF($O2106&lt;=INDEX(PARAMETROS_CULTURAS!$F$6:$F$28,$P2106),INDEX(PARAMETROS_CULTURAS!$K$6:$K$28,$P2106),IF($O2106&lt;=INDEX(PARAMETROS_CULTURAS!$F$6:$F$28,$P2106)+INDEX(PARAMETROS_CULTURAS!$G$6:$G$28,$P2106),INDEX(PARAMETROS_CULTURAS!$K$6:$K$28,$P2106)+(INDEX(PARAMETROS_CULTURAS!$L$6:$L$28,$P2106)-INDEX(PARAMETROS_CULTURAS!$K$6:$K$28,$P2106))*($O2106-INDEX(PARAMETROS_CULTURAS!$F$6:$F$28,$P2106))/MAX(INDEX(PARAMETROS_CULTURAS!$G$6:$G$28,$P2106),0.0001),IF($O2106&lt;=INDEX(PARAMETROS_CULTURAS!$F$6:$F$28,$P2106)+INDEX(PARAMETROS_CULTURAS!$G$6:$G$28,$P2106)+INDEX(PARAMETROS_CULTURAS!$H$6:$H$28,$P2106),INDEX(PARAMETROS_CULTURAS!$L$6:$L$28,$P2106),INDEX(PARAMETROS_CULTURAS!$L$6:$L$28,$P2106)+(INDEX(PARAMETROS_CULTURAS!$M$6:$M$28,$P2106)-INDEX(PARAMETROS_CULTURAS!$L$6:$L$28,$P2106))*($O2106-INDEX(PARAMETROS_CULTURAS!$F$6:$F$28,$P2106)-INDEX(PARAMETROS_CULTURAS!$G$6:$G$28,$P2106)-INDEX(PARAMETROS_CULTURAS!$H$6:$H$28,$P2106))/MAX(INDEX(PARAMETROS_CULTURAS!$I$6:$I$28,$P2106),0.0001)))))</f>
        <v>0</v>
      </c>
      <c r="S2106" s="18" t="n">
        <f aca="false">IFERROR(INDEX(SEMANAS!$H$6:$H$71,MATCH($B2106,SEMANAS!$B$6:$B$71,0)),0)</f>
        <v>40.6</v>
      </c>
      <c r="T2106" s="18" t="n">
        <f aca="false">$R2106*$S2106</f>
        <v>0</v>
      </c>
      <c r="U2106" s="18" t="n">
        <f aca="false">IFERROR(INDEX(SEMANAS!$I$6:$I$71,MATCH($B2106,SEMANAS!$B$6:$B$71,0)),0)</f>
        <v>7</v>
      </c>
      <c r="V2106" s="18" t="n">
        <f aca="false">IFERROR(INDEX(SEMANAS!$J$6:$J$71,MATCH($B2106,SEMANAS!$B$6:$B$71,0)),0)</f>
        <v>5.6</v>
      </c>
      <c r="W2106" s="18" t="n">
        <f aca="false">MAX(0,$T2106-$V2106)</f>
        <v>0</v>
      </c>
      <c r="X2106" s="19" t="n">
        <f aca="false">IFERROR(INDEX(CADASTRO_PIVOS!$K$6:$K$41,MATCH($E2106,CADASTRO_PIVOS!$B$6:$B$41,0)),EFICIENCIA_PADRAO)</f>
        <v>0.85</v>
      </c>
      <c r="Y2106" s="18" t="n">
        <f aca="false">IF($X2106&lt;=0,0,$W2106/$X2106)</f>
        <v>0</v>
      </c>
      <c r="Z2106" s="16" t="n">
        <f aca="false">$Y2106*$H2106*MM_PARA_M3_HA</f>
        <v>0</v>
      </c>
      <c r="AA2106" s="18" t="n">
        <f aca="false">IFERROR(INDEX(CADASTRO_PIVOS!$I$6:$I$41,MATCH($E2106,CADASTRO_PIVOS!$B$6:$B$41,0)),0)</f>
        <v>710.571428571429</v>
      </c>
      <c r="AB2106" s="18" t="n">
        <f aca="false">IF($Z2106&lt;=0,0,$Z2106/$AA2106)</f>
        <v>0</v>
      </c>
      <c r="AC2106" s="16" t="n">
        <f aca="false">IFERROR(INDEX(SEMANAS!$K$6:$K$71,MATCH($B2106,SEMANAS!$B$6:$B$71,0)),0)</f>
        <v>147</v>
      </c>
      <c r="AD2106" s="19" t="n">
        <f aca="false">IF($AC2106&lt;=0,0,$AB2106/$AC2106)</f>
        <v>0</v>
      </c>
      <c r="AE2106" s="8" t="str">
        <f aca="false">IF($K2106="SEM CULTURA","SEM CULTURA",IF($AA2106&lt;=0,"DADO PENDENTE",IF($AD2106&gt;LIMITE_CRITICO,"INVIAVEL",IF($AD2106&gt;LIMITE_ATENCAO,"CRITICO",IF($AD2106&gt;LIMITE_CONFORTAVEL,"ATENCAO","OK")))))</f>
        <v>SEM CULTURA</v>
      </c>
      <c r="AF2106" s="8" t="str">
        <f aca="false">$B2106&amp;"|"&amp;TEXT($AD2106,"0.000000")</f>
        <v>55|0.000000</v>
      </c>
      <c r="AG2106" s="18" t="n">
        <f aca="false">IF($K2106="SEM CULTURA",0,$T2106*$H2106)</f>
        <v>0</v>
      </c>
      <c r="AH2106" s="18" t="n">
        <f aca="false">IF($K2106="SEM CULTURA",0,$V2106*$H2106)</f>
        <v>0</v>
      </c>
      <c r="AI2106" s="18" t="n">
        <f aca="false">IF($K2106="SEM CULTURA",0,$W2106*$H2106)</f>
        <v>0</v>
      </c>
      <c r="AJ2106" s="18" t="n">
        <f aca="false">IF($K2106="SEM CULTURA",0,$S2106*$H2106)</f>
        <v>0</v>
      </c>
      <c r="AK2106" s="8" t="str">
        <f aca="false">$E2106&amp;"|"&amp;TEXT($AD2106,"0.000000")</f>
        <v>PV 133|0.000000</v>
      </c>
    </row>
    <row r="2107" customFormat="false" ht="15" hidden="false" customHeight="false" outlineLevel="0" collapsed="false">
      <c r="B2107" s="16" t="n">
        <v>56</v>
      </c>
      <c r="C2107" s="17" t="n">
        <f aca="false">DATA_INICIO_SAFRA+($B2107-1)*DIAS_POR_SEMANA</f>
        <v>46650</v>
      </c>
      <c r="D2107" s="17" t="n">
        <f aca="false">$C2107+DIAS_POR_SEMANA-1</f>
        <v>46656</v>
      </c>
      <c r="E2107" s="15" t="s">
        <v>290</v>
      </c>
      <c r="F2107" s="8" t="str">
        <f aca="false">IFERROR(INDEX(CADASTRO_PIVOS!$C$6:$C$41,MATCH($E2107,CADASTRO_PIVOS!$B$6:$B$41,0)),"?")</f>
        <v>RM07</v>
      </c>
      <c r="G2107" s="8" t="str">
        <f aca="false">IFERROR(INDEX(CADASTRO_PIVOS!$D$6:$D$41,MATCH($E2107,CADASTRO_PIVOS!$B$6:$B$41,0)),"?")</f>
        <v>TR07</v>
      </c>
      <c r="H2107" s="20" t="n">
        <f aca="false">IFERROR(INDEX(CADASTRO_PIVOS!$E$6:$E$41,MATCH($E2107,CADASTRO_PIVOS!$B$6:$B$41,0)),0)</f>
        <v>99.48</v>
      </c>
      <c r="I2107" s="16" t="n">
        <f aca="false">IFERROR(SUMIFS(ROTACAO_RDM!$B$6:$B$71,ROTACAO_RDM!$D$6:$D$71,$E2107,ROTACAO_RDM!$I$6:$I$71,"&lt;="&amp;$C2107+INT(DIAS_POR_SEMANA/2),ROTACAO_RDM!$J$6:$J$71,"&gt;="&amp;$C2107+INT(DIAS_POR_SEMANA/2)),0)</f>
        <v>0</v>
      </c>
      <c r="J2107" s="16" t="n">
        <f aca="false">IFERROR(MATCH($I2107,ROTACAO_RDM!$B$6:$B$71,0),0)</f>
        <v>0</v>
      </c>
      <c r="K2107" s="8" t="str">
        <f aca="false">IF($J2107=0,"SEM CULTURA",INDEX(ROTACAO_RDM!$F$6:$F$71,$J2107))</f>
        <v>SEM CULTURA</v>
      </c>
      <c r="L2107" s="8" t="str">
        <f aca="false">IF($J2107=0,"",INDEX(ROTACAO_RDM!$G$6:$G$71,$J2107))</f>
        <v/>
      </c>
      <c r="M2107" s="17" t="str">
        <f aca="false">IF($J2107=0,"",INDEX(ROTACAO_RDM!$I$6:$I$71,$J2107))</f>
        <v/>
      </c>
      <c r="N2107" s="16" t="n">
        <f aca="false">IF($J2107=0,0,MAX(0,$C2107+INT(DIAS_POR_SEMANA/2)-INDEX(ROTACAO_RDM!$I$6:$I$71,$J2107)))</f>
        <v>0</v>
      </c>
      <c r="O2107" s="19" t="n">
        <f aca="false">IF($J2107=0,0,MIN(1,$N2107/MAX(1,INDEX(ROTACAO_RDM!$K$6:$K$71,$J2107))))</f>
        <v>0</v>
      </c>
      <c r="P2107" s="16" t="n">
        <f aca="false">IF($J2107=0,0,IFERROR(MATCH(INDEX(ROTACAO_RDM!$N$6:$N$71,$J2107),PARAMETROS_CULTURAS!$B$6:$B$28,0),0))</f>
        <v>0</v>
      </c>
      <c r="Q2107" s="8" t="str">
        <f aca="false">IF($P2107=0,"-",IF($O2107&lt;=INDEX(PARAMETROS_CULTURAS!$F$6:$F$28,$P2107),"INICIAL",IF($O2107&lt;=INDEX(PARAMETROS_CULTURAS!$F$6:$F$28,$P2107)+INDEX(PARAMETROS_CULTURAS!$G$6:$G$28,$P2107),"DESENVOLVIMENTO",IF($O2107&lt;=INDEX(PARAMETROS_CULTURAS!$F$6:$F$28,$P2107)+INDEX(PARAMETROS_CULTURAS!$G$6:$G$28,$P2107)+INDEX(PARAMETROS_CULTURAS!$H$6:$H$28,$P2107),"MEDIA","FINAL"))))</f>
        <v>-</v>
      </c>
      <c r="R2107" s="24" t="n">
        <f aca="false">IF($P2107=0,0,IF($O2107&lt;=INDEX(PARAMETROS_CULTURAS!$F$6:$F$28,$P2107),INDEX(PARAMETROS_CULTURAS!$K$6:$K$28,$P2107),IF($O2107&lt;=INDEX(PARAMETROS_CULTURAS!$F$6:$F$28,$P2107)+INDEX(PARAMETROS_CULTURAS!$G$6:$G$28,$P2107),INDEX(PARAMETROS_CULTURAS!$K$6:$K$28,$P2107)+(INDEX(PARAMETROS_CULTURAS!$L$6:$L$28,$P2107)-INDEX(PARAMETROS_CULTURAS!$K$6:$K$28,$P2107))*($O2107-INDEX(PARAMETROS_CULTURAS!$F$6:$F$28,$P2107))/MAX(INDEX(PARAMETROS_CULTURAS!$G$6:$G$28,$P2107),0.0001),IF($O2107&lt;=INDEX(PARAMETROS_CULTURAS!$F$6:$F$28,$P2107)+INDEX(PARAMETROS_CULTURAS!$G$6:$G$28,$P2107)+INDEX(PARAMETROS_CULTURAS!$H$6:$H$28,$P2107),INDEX(PARAMETROS_CULTURAS!$L$6:$L$28,$P2107),INDEX(PARAMETROS_CULTURAS!$L$6:$L$28,$P2107)+(INDEX(PARAMETROS_CULTURAS!$M$6:$M$28,$P2107)-INDEX(PARAMETROS_CULTURAS!$L$6:$L$28,$P2107))*($O2107-INDEX(PARAMETROS_CULTURAS!$F$6:$F$28,$P2107)-INDEX(PARAMETROS_CULTURAS!$G$6:$G$28,$P2107)-INDEX(PARAMETROS_CULTURAS!$H$6:$H$28,$P2107))/MAX(INDEX(PARAMETROS_CULTURAS!$I$6:$I$28,$P2107),0.0001)))))</f>
        <v>0</v>
      </c>
      <c r="S2107" s="18" t="n">
        <f aca="false">IFERROR(INDEX(SEMANAS!$H$6:$H$71,MATCH($B2107,SEMANAS!$B$6:$B$71,0)),0)</f>
        <v>40.6</v>
      </c>
      <c r="T2107" s="18" t="n">
        <f aca="false">$R2107*$S2107</f>
        <v>0</v>
      </c>
      <c r="U2107" s="18" t="n">
        <f aca="false">IFERROR(INDEX(SEMANAS!$I$6:$I$71,MATCH($B2107,SEMANAS!$B$6:$B$71,0)),0)</f>
        <v>7</v>
      </c>
      <c r="V2107" s="18" t="n">
        <f aca="false">IFERROR(INDEX(SEMANAS!$J$6:$J$71,MATCH($B2107,SEMANAS!$B$6:$B$71,0)),0)</f>
        <v>5.6</v>
      </c>
      <c r="W2107" s="18" t="n">
        <f aca="false">MAX(0,$T2107-$V2107)</f>
        <v>0</v>
      </c>
      <c r="X2107" s="19" t="n">
        <f aca="false">IFERROR(INDEX(CADASTRO_PIVOS!$K$6:$K$41,MATCH($E2107,CADASTRO_PIVOS!$B$6:$B$41,0)),EFICIENCIA_PADRAO)</f>
        <v>0.85</v>
      </c>
      <c r="Y2107" s="18" t="n">
        <f aca="false">IF($X2107&lt;=0,0,$W2107/$X2107)</f>
        <v>0</v>
      </c>
      <c r="Z2107" s="16" t="n">
        <f aca="false">$Y2107*$H2107*MM_PARA_M3_HA</f>
        <v>0</v>
      </c>
      <c r="AA2107" s="18" t="n">
        <f aca="false">IFERROR(INDEX(CADASTRO_PIVOS!$I$6:$I$41,MATCH($E2107,CADASTRO_PIVOS!$B$6:$B$41,0)),0)</f>
        <v>710.571428571429</v>
      </c>
      <c r="AB2107" s="18" t="n">
        <f aca="false">IF($Z2107&lt;=0,0,$Z2107/$AA2107)</f>
        <v>0</v>
      </c>
      <c r="AC2107" s="16" t="n">
        <f aca="false">IFERROR(INDEX(SEMANAS!$K$6:$K$71,MATCH($B2107,SEMANAS!$B$6:$B$71,0)),0)</f>
        <v>147</v>
      </c>
      <c r="AD2107" s="19" t="n">
        <f aca="false">IF($AC2107&lt;=0,0,$AB2107/$AC2107)</f>
        <v>0</v>
      </c>
      <c r="AE2107" s="8" t="str">
        <f aca="false">IF($K2107="SEM CULTURA","SEM CULTURA",IF($AA2107&lt;=0,"DADO PENDENTE",IF($AD2107&gt;LIMITE_CRITICO,"INVIAVEL",IF($AD2107&gt;LIMITE_ATENCAO,"CRITICO",IF($AD2107&gt;LIMITE_CONFORTAVEL,"ATENCAO","OK")))))</f>
        <v>SEM CULTURA</v>
      </c>
      <c r="AF2107" s="8" t="str">
        <f aca="false">$B2107&amp;"|"&amp;TEXT($AD2107,"0.000000")</f>
        <v>56|0.000000</v>
      </c>
      <c r="AG2107" s="18" t="n">
        <f aca="false">IF($K2107="SEM CULTURA",0,$T2107*$H2107)</f>
        <v>0</v>
      </c>
      <c r="AH2107" s="18" t="n">
        <f aca="false">IF($K2107="SEM CULTURA",0,$V2107*$H2107)</f>
        <v>0</v>
      </c>
      <c r="AI2107" s="18" t="n">
        <f aca="false">IF($K2107="SEM CULTURA",0,$W2107*$H2107)</f>
        <v>0</v>
      </c>
      <c r="AJ2107" s="18" t="n">
        <f aca="false">IF($K2107="SEM CULTURA",0,$S2107*$H2107)</f>
        <v>0</v>
      </c>
      <c r="AK2107" s="8" t="str">
        <f aca="false">$E2107&amp;"|"&amp;TEXT($AD2107,"0.000000")</f>
        <v>PV 133|0.000000</v>
      </c>
    </row>
    <row r="2108" customFormat="false" ht="15" hidden="false" customHeight="false" outlineLevel="0" collapsed="false">
      <c r="B2108" s="16" t="n">
        <v>57</v>
      </c>
      <c r="C2108" s="17" t="n">
        <f aca="false">DATA_INICIO_SAFRA+($B2108-1)*DIAS_POR_SEMANA</f>
        <v>46657</v>
      </c>
      <c r="D2108" s="17" t="n">
        <f aca="false">$C2108+DIAS_POR_SEMANA-1</f>
        <v>46663</v>
      </c>
      <c r="E2108" s="15" t="s">
        <v>290</v>
      </c>
      <c r="F2108" s="8" t="str">
        <f aca="false">IFERROR(INDEX(CADASTRO_PIVOS!$C$6:$C$41,MATCH($E2108,CADASTRO_PIVOS!$B$6:$B$41,0)),"?")</f>
        <v>RM07</v>
      </c>
      <c r="G2108" s="8" t="str">
        <f aca="false">IFERROR(INDEX(CADASTRO_PIVOS!$D$6:$D$41,MATCH($E2108,CADASTRO_PIVOS!$B$6:$B$41,0)),"?")</f>
        <v>TR07</v>
      </c>
      <c r="H2108" s="20" t="n">
        <f aca="false">IFERROR(INDEX(CADASTRO_PIVOS!$E$6:$E$41,MATCH($E2108,CADASTRO_PIVOS!$B$6:$B$41,0)),0)</f>
        <v>99.48</v>
      </c>
      <c r="I2108" s="16" t="n">
        <f aca="false">IFERROR(SUMIFS(ROTACAO_RDM!$B$6:$B$71,ROTACAO_RDM!$D$6:$D$71,$E2108,ROTACAO_RDM!$I$6:$I$71,"&lt;="&amp;$C2108+INT(DIAS_POR_SEMANA/2),ROTACAO_RDM!$J$6:$J$71,"&gt;="&amp;$C2108+INT(DIAS_POR_SEMANA/2)),0)</f>
        <v>0</v>
      </c>
      <c r="J2108" s="16" t="n">
        <f aca="false">IFERROR(MATCH($I2108,ROTACAO_RDM!$B$6:$B$71,0),0)</f>
        <v>0</v>
      </c>
      <c r="K2108" s="8" t="str">
        <f aca="false">IF($J2108=0,"SEM CULTURA",INDEX(ROTACAO_RDM!$F$6:$F$71,$J2108))</f>
        <v>SEM CULTURA</v>
      </c>
      <c r="L2108" s="8" t="str">
        <f aca="false">IF($J2108=0,"",INDEX(ROTACAO_RDM!$G$6:$G$71,$J2108))</f>
        <v/>
      </c>
      <c r="M2108" s="17" t="str">
        <f aca="false">IF($J2108=0,"",INDEX(ROTACAO_RDM!$I$6:$I$71,$J2108))</f>
        <v/>
      </c>
      <c r="N2108" s="16" t="n">
        <f aca="false">IF($J2108=0,0,MAX(0,$C2108+INT(DIAS_POR_SEMANA/2)-INDEX(ROTACAO_RDM!$I$6:$I$71,$J2108)))</f>
        <v>0</v>
      </c>
      <c r="O2108" s="19" t="n">
        <f aca="false">IF($J2108=0,0,MIN(1,$N2108/MAX(1,INDEX(ROTACAO_RDM!$K$6:$K$71,$J2108))))</f>
        <v>0</v>
      </c>
      <c r="P2108" s="16" t="n">
        <f aca="false">IF($J2108=0,0,IFERROR(MATCH(INDEX(ROTACAO_RDM!$N$6:$N$71,$J2108),PARAMETROS_CULTURAS!$B$6:$B$28,0),0))</f>
        <v>0</v>
      </c>
      <c r="Q2108" s="8" t="str">
        <f aca="false">IF($P2108=0,"-",IF($O2108&lt;=INDEX(PARAMETROS_CULTURAS!$F$6:$F$28,$P2108),"INICIAL",IF($O2108&lt;=INDEX(PARAMETROS_CULTURAS!$F$6:$F$28,$P2108)+INDEX(PARAMETROS_CULTURAS!$G$6:$G$28,$P2108),"DESENVOLVIMENTO",IF($O2108&lt;=INDEX(PARAMETROS_CULTURAS!$F$6:$F$28,$P2108)+INDEX(PARAMETROS_CULTURAS!$G$6:$G$28,$P2108)+INDEX(PARAMETROS_CULTURAS!$H$6:$H$28,$P2108),"MEDIA","FINAL"))))</f>
        <v>-</v>
      </c>
      <c r="R2108" s="24" t="n">
        <f aca="false">IF($P2108=0,0,IF($O2108&lt;=INDEX(PARAMETROS_CULTURAS!$F$6:$F$28,$P2108),INDEX(PARAMETROS_CULTURAS!$K$6:$K$28,$P2108),IF($O2108&lt;=INDEX(PARAMETROS_CULTURAS!$F$6:$F$28,$P2108)+INDEX(PARAMETROS_CULTURAS!$G$6:$G$28,$P2108),INDEX(PARAMETROS_CULTURAS!$K$6:$K$28,$P2108)+(INDEX(PARAMETROS_CULTURAS!$L$6:$L$28,$P2108)-INDEX(PARAMETROS_CULTURAS!$K$6:$K$28,$P2108))*($O2108-INDEX(PARAMETROS_CULTURAS!$F$6:$F$28,$P2108))/MAX(INDEX(PARAMETROS_CULTURAS!$G$6:$G$28,$P2108),0.0001),IF($O2108&lt;=INDEX(PARAMETROS_CULTURAS!$F$6:$F$28,$P2108)+INDEX(PARAMETROS_CULTURAS!$G$6:$G$28,$P2108)+INDEX(PARAMETROS_CULTURAS!$H$6:$H$28,$P2108),INDEX(PARAMETROS_CULTURAS!$L$6:$L$28,$P2108),INDEX(PARAMETROS_CULTURAS!$L$6:$L$28,$P2108)+(INDEX(PARAMETROS_CULTURAS!$M$6:$M$28,$P2108)-INDEX(PARAMETROS_CULTURAS!$L$6:$L$28,$P2108))*($O2108-INDEX(PARAMETROS_CULTURAS!$F$6:$F$28,$P2108)-INDEX(PARAMETROS_CULTURAS!$G$6:$G$28,$P2108)-INDEX(PARAMETROS_CULTURAS!$H$6:$H$28,$P2108))/MAX(INDEX(PARAMETROS_CULTURAS!$I$6:$I$28,$P2108),0.0001)))))</f>
        <v>0</v>
      </c>
      <c r="S2108" s="18" t="n">
        <f aca="false">IFERROR(INDEX(SEMANAS!$H$6:$H$71,MATCH($B2108,SEMANAS!$B$6:$B$71,0)),0)</f>
        <v>40</v>
      </c>
      <c r="T2108" s="18" t="n">
        <f aca="false">$R2108*$S2108</f>
        <v>0</v>
      </c>
      <c r="U2108" s="18" t="n">
        <f aca="false">IFERROR(INDEX(SEMANAS!$I$6:$I$71,MATCH($B2108,SEMANAS!$B$6:$B$71,0)),0)</f>
        <v>15.61</v>
      </c>
      <c r="V2108" s="18" t="n">
        <f aca="false">IFERROR(INDEX(SEMANAS!$J$6:$J$71,MATCH($B2108,SEMANAS!$B$6:$B$71,0)),0)</f>
        <v>12.488</v>
      </c>
      <c r="W2108" s="18" t="n">
        <f aca="false">MAX(0,$T2108-$V2108)</f>
        <v>0</v>
      </c>
      <c r="X2108" s="19" t="n">
        <f aca="false">IFERROR(INDEX(CADASTRO_PIVOS!$K$6:$K$41,MATCH($E2108,CADASTRO_PIVOS!$B$6:$B$41,0)),EFICIENCIA_PADRAO)</f>
        <v>0.85</v>
      </c>
      <c r="Y2108" s="18" t="n">
        <f aca="false">IF($X2108&lt;=0,0,$W2108/$X2108)</f>
        <v>0</v>
      </c>
      <c r="Z2108" s="16" t="n">
        <f aca="false">$Y2108*$H2108*MM_PARA_M3_HA</f>
        <v>0</v>
      </c>
      <c r="AA2108" s="18" t="n">
        <f aca="false">IFERROR(INDEX(CADASTRO_PIVOS!$I$6:$I$41,MATCH($E2108,CADASTRO_PIVOS!$B$6:$B$41,0)),0)</f>
        <v>710.571428571429</v>
      </c>
      <c r="AB2108" s="18" t="n">
        <f aca="false">IF($Z2108&lt;=0,0,$Z2108/$AA2108)</f>
        <v>0</v>
      </c>
      <c r="AC2108" s="16" t="n">
        <f aca="false">IFERROR(INDEX(SEMANAS!$K$6:$K$71,MATCH($B2108,SEMANAS!$B$6:$B$71,0)),0)</f>
        <v>147</v>
      </c>
      <c r="AD2108" s="19" t="n">
        <f aca="false">IF($AC2108&lt;=0,0,$AB2108/$AC2108)</f>
        <v>0</v>
      </c>
      <c r="AE2108" s="8" t="str">
        <f aca="false">IF($K2108="SEM CULTURA","SEM CULTURA",IF($AA2108&lt;=0,"DADO PENDENTE",IF($AD2108&gt;LIMITE_CRITICO,"INVIAVEL",IF($AD2108&gt;LIMITE_ATENCAO,"CRITICO",IF($AD2108&gt;LIMITE_CONFORTAVEL,"ATENCAO","OK")))))</f>
        <v>SEM CULTURA</v>
      </c>
      <c r="AF2108" s="8" t="str">
        <f aca="false">$B2108&amp;"|"&amp;TEXT($AD2108,"0.000000")</f>
        <v>57|0.000000</v>
      </c>
      <c r="AG2108" s="18" t="n">
        <f aca="false">IF($K2108="SEM CULTURA",0,$T2108*$H2108)</f>
        <v>0</v>
      </c>
      <c r="AH2108" s="18" t="n">
        <f aca="false">IF($K2108="SEM CULTURA",0,$V2108*$H2108)</f>
        <v>0</v>
      </c>
      <c r="AI2108" s="18" t="n">
        <f aca="false">IF($K2108="SEM CULTURA",0,$W2108*$H2108)</f>
        <v>0</v>
      </c>
      <c r="AJ2108" s="18" t="n">
        <f aca="false">IF($K2108="SEM CULTURA",0,$S2108*$H2108)</f>
        <v>0</v>
      </c>
      <c r="AK2108" s="8" t="str">
        <f aca="false">$E2108&amp;"|"&amp;TEXT($AD2108,"0.000000")</f>
        <v>PV 133|0.000000</v>
      </c>
    </row>
    <row r="2109" customFormat="false" ht="15" hidden="false" customHeight="false" outlineLevel="0" collapsed="false">
      <c r="B2109" s="16" t="n">
        <v>58</v>
      </c>
      <c r="C2109" s="17" t="n">
        <f aca="false">DATA_INICIO_SAFRA+($B2109-1)*DIAS_POR_SEMANA</f>
        <v>46664</v>
      </c>
      <c r="D2109" s="17" t="n">
        <f aca="false">$C2109+DIAS_POR_SEMANA-1</f>
        <v>46670</v>
      </c>
      <c r="E2109" s="15" t="s">
        <v>290</v>
      </c>
      <c r="F2109" s="8" t="str">
        <f aca="false">IFERROR(INDEX(CADASTRO_PIVOS!$C$6:$C$41,MATCH($E2109,CADASTRO_PIVOS!$B$6:$B$41,0)),"?")</f>
        <v>RM07</v>
      </c>
      <c r="G2109" s="8" t="str">
        <f aca="false">IFERROR(INDEX(CADASTRO_PIVOS!$D$6:$D$41,MATCH($E2109,CADASTRO_PIVOS!$B$6:$B$41,0)),"?")</f>
        <v>TR07</v>
      </c>
      <c r="H2109" s="20" t="n">
        <f aca="false">IFERROR(INDEX(CADASTRO_PIVOS!$E$6:$E$41,MATCH($E2109,CADASTRO_PIVOS!$B$6:$B$41,0)),0)</f>
        <v>99.48</v>
      </c>
      <c r="I2109" s="16" t="n">
        <f aca="false">IFERROR(SUMIFS(ROTACAO_RDM!$B$6:$B$71,ROTACAO_RDM!$D$6:$D$71,$E2109,ROTACAO_RDM!$I$6:$I$71,"&lt;="&amp;$C2109+INT(DIAS_POR_SEMANA/2),ROTACAO_RDM!$J$6:$J$71,"&gt;="&amp;$C2109+INT(DIAS_POR_SEMANA/2)),0)</f>
        <v>0</v>
      </c>
      <c r="J2109" s="16" t="n">
        <f aca="false">IFERROR(MATCH($I2109,ROTACAO_RDM!$B$6:$B$71,0),0)</f>
        <v>0</v>
      </c>
      <c r="K2109" s="8" t="str">
        <f aca="false">IF($J2109=0,"SEM CULTURA",INDEX(ROTACAO_RDM!$F$6:$F$71,$J2109))</f>
        <v>SEM CULTURA</v>
      </c>
      <c r="L2109" s="8" t="str">
        <f aca="false">IF($J2109=0,"",INDEX(ROTACAO_RDM!$G$6:$G$71,$J2109))</f>
        <v/>
      </c>
      <c r="M2109" s="17" t="str">
        <f aca="false">IF($J2109=0,"",INDEX(ROTACAO_RDM!$I$6:$I$71,$J2109))</f>
        <v/>
      </c>
      <c r="N2109" s="16" t="n">
        <f aca="false">IF($J2109=0,0,MAX(0,$C2109+INT(DIAS_POR_SEMANA/2)-INDEX(ROTACAO_RDM!$I$6:$I$71,$J2109)))</f>
        <v>0</v>
      </c>
      <c r="O2109" s="19" t="n">
        <f aca="false">IF($J2109=0,0,MIN(1,$N2109/MAX(1,INDEX(ROTACAO_RDM!$K$6:$K$71,$J2109))))</f>
        <v>0</v>
      </c>
      <c r="P2109" s="16" t="n">
        <f aca="false">IF($J2109=0,0,IFERROR(MATCH(INDEX(ROTACAO_RDM!$N$6:$N$71,$J2109),PARAMETROS_CULTURAS!$B$6:$B$28,0),0))</f>
        <v>0</v>
      </c>
      <c r="Q2109" s="8" t="str">
        <f aca="false">IF($P2109=0,"-",IF($O2109&lt;=INDEX(PARAMETROS_CULTURAS!$F$6:$F$28,$P2109),"INICIAL",IF($O2109&lt;=INDEX(PARAMETROS_CULTURAS!$F$6:$F$28,$P2109)+INDEX(PARAMETROS_CULTURAS!$G$6:$G$28,$P2109),"DESENVOLVIMENTO",IF($O2109&lt;=INDEX(PARAMETROS_CULTURAS!$F$6:$F$28,$P2109)+INDEX(PARAMETROS_CULTURAS!$G$6:$G$28,$P2109)+INDEX(PARAMETROS_CULTURAS!$H$6:$H$28,$P2109),"MEDIA","FINAL"))))</f>
        <v>-</v>
      </c>
      <c r="R2109" s="24" t="n">
        <f aca="false">IF($P2109=0,0,IF($O2109&lt;=INDEX(PARAMETROS_CULTURAS!$F$6:$F$28,$P2109),INDEX(PARAMETROS_CULTURAS!$K$6:$K$28,$P2109),IF($O2109&lt;=INDEX(PARAMETROS_CULTURAS!$F$6:$F$28,$P2109)+INDEX(PARAMETROS_CULTURAS!$G$6:$G$28,$P2109),INDEX(PARAMETROS_CULTURAS!$K$6:$K$28,$P2109)+(INDEX(PARAMETROS_CULTURAS!$L$6:$L$28,$P2109)-INDEX(PARAMETROS_CULTURAS!$K$6:$K$28,$P2109))*($O2109-INDEX(PARAMETROS_CULTURAS!$F$6:$F$28,$P2109))/MAX(INDEX(PARAMETROS_CULTURAS!$G$6:$G$28,$P2109),0.0001),IF($O2109&lt;=INDEX(PARAMETROS_CULTURAS!$F$6:$F$28,$P2109)+INDEX(PARAMETROS_CULTURAS!$G$6:$G$28,$P2109)+INDEX(PARAMETROS_CULTURAS!$H$6:$H$28,$P2109),INDEX(PARAMETROS_CULTURAS!$L$6:$L$28,$P2109),INDEX(PARAMETROS_CULTURAS!$L$6:$L$28,$P2109)+(INDEX(PARAMETROS_CULTURAS!$M$6:$M$28,$P2109)-INDEX(PARAMETROS_CULTURAS!$L$6:$L$28,$P2109))*($O2109-INDEX(PARAMETROS_CULTURAS!$F$6:$F$28,$P2109)-INDEX(PARAMETROS_CULTURAS!$G$6:$G$28,$P2109)-INDEX(PARAMETROS_CULTURAS!$H$6:$H$28,$P2109))/MAX(INDEX(PARAMETROS_CULTURAS!$I$6:$I$28,$P2109),0.0001)))))</f>
        <v>0</v>
      </c>
      <c r="S2109" s="18" t="n">
        <f aca="false">IFERROR(INDEX(SEMANAS!$H$6:$H$71,MATCH($B2109,SEMANAS!$B$6:$B$71,0)),0)</f>
        <v>39.2</v>
      </c>
      <c r="T2109" s="18" t="n">
        <f aca="false">$R2109*$S2109</f>
        <v>0</v>
      </c>
      <c r="U2109" s="18" t="n">
        <f aca="false">IFERROR(INDEX(SEMANAS!$I$6:$I$71,MATCH($B2109,SEMANAS!$B$6:$B$71,0)),0)</f>
        <v>27.09</v>
      </c>
      <c r="V2109" s="18" t="n">
        <f aca="false">IFERROR(INDEX(SEMANAS!$J$6:$J$71,MATCH($B2109,SEMANAS!$B$6:$B$71,0)),0)</f>
        <v>21.672</v>
      </c>
      <c r="W2109" s="18" t="n">
        <f aca="false">MAX(0,$T2109-$V2109)</f>
        <v>0</v>
      </c>
      <c r="X2109" s="19" t="n">
        <f aca="false">IFERROR(INDEX(CADASTRO_PIVOS!$K$6:$K$41,MATCH($E2109,CADASTRO_PIVOS!$B$6:$B$41,0)),EFICIENCIA_PADRAO)</f>
        <v>0.85</v>
      </c>
      <c r="Y2109" s="18" t="n">
        <f aca="false">IF($X2109&lt;=0,0,$W2109/$X2109)</f>
        <v>0</v>
      </c>
      <c r="Z2109" s="16" t="n">
        <f aca="false">$Y2109*$H2109*MM_PARA_M3_HA</f>
        <v>0</v>
      </c>
      <c r="AA2109" s="18" t="n">
        <f aca="false">IFERROR(INDEX(CADASTRO_PIVOS!$I$6:$I$41,MATCH($E2109,CADASTRO_PIVOS!$B$6:$B$41,0)),0)</f>
        <v>710.571428571429</v>
      </c>
      <c r="AB2109" s="18" t="n">
        <f aca="false">IF($Z2109&lt;=0,0,$Z2109/$AA2109)</f>
        <v>0</v>
      </c>
      <c r="AC2109" s="16" t="n">
        <f aca="false">IFERROR(INDEX(SEMANAS!$K$6:$K$71,MATCH($B2109,SEMANAS!$B$6:$B$71,0)),0)</f>
        <v>147</v>
      </c>
      <c r="AD2109" s="19" t="n">
        <f aca="false">IF($AC2109&lt;=0,0,$AB2109/$AC2109)</f>
        <v>0</v>
      </c>
      <c r="AE2109" s="8" t="str">
        <f aca="false">IF($K2109="SEM CULTURA","SEM CULTURA",IF($AA2109&lt;=0,"DADO PENDENTE",IF($AD2109&gt;LIMITE_CRITICO,"INVIAVEL",IF($AD2109&gt;LIMITE_ATENCAO,"CRITICO",IF($AD2109&gt;LIMITE_CONFORTAVEL,"ATENCAO","OK")))))</f>
        <v>SEM CULTURA</v>
      </c>
      <c r="AF2109" s="8" t="str">
        <f aca="false">$B2109&amp;"|"&amp;TEXT($AD2109,"0.000000")</f>
        <v>58|0.000000</v>
      </c>
      <c r="AG2109" s="18" t="n">
        <f aca="false">IF($K2109="SEM CULTURA",0,$T2109*$H2109)</f>
        <v>0</v>
      </c>
      <c r="AH2109" s="18" t="n">
        <f aca="false">IF($K2109="SEM CULTURA",0,$V2109*$H2109)</f>
        <v>0</v>
      </c>
      <c r="AI2109" s="18" t="n">
        <f aca="false">IF($K2109="SEM CULTURA",0,$W2109*$H2109)</f>
        <v>0</v>
      </c>
      <c r="AJ2109" s="18" t="n">
        <f aca="false">IF($K2109="SEM CULTURA",0,$S2109*$H2109)</f>
        <v>0</v>
      </c>
      <c r="AK2109" s="8" t="str">
        <f aca="false">$E2109&amp;"|"&amp;TEXT($AD2109,"0.000000")</f>
        <v>PV 133|0.000000</v>
      </c>
    </row>
    <row r="2110" customFormat="false" ht="15" hidden="false" customHeight="false" outlineLevel="0" collapsed="false">
      <c r="B2110" s="16" t="n">
        <v>59</v>
      </c>
      <c r="C2110" s="17" t="n">
        <f aca="false">DATA_INICIO_SAFRA+($B2110-1)*DIAS_POR_SEMANA</f>
        <v>46671</v>
      </c>
      <c r="D2110" s="17" t="n">
        <f aca="false">$C2110+DIAS_POR_SEMANA-1</f>
        <v>46677</v>
      </c>
      <c r="E2110" s="15" t="s">
        <v>290</v>
      </c>
      <c r="F2110" s="8" t="str">
        <f aca="false">IFERROR(INDEX(CADASTRO_PIVOS!$C$6:$C$41,MATCH($E2110,CADASTRO_PIVOS!$B$6:$B$41,0)),"?")</f>
        <v>RM07</v>
      </c>
      <c r="G2110" s="8" t="str">
        <f aca="false">IFERROR(INDEX(CADASTRO_PIVOS!$D$6:$D$41,MATCH($E2110,CADASTRO_PIVOS!$B$6:$B$41,0)),"?")</f>
        <v>TR07</v>
      </c>
      <c r="H2110" s="20" t="n">
        <f aca="false">IFERROR(INDEX(CADASTRO_PIVOS!$E$6:$E$41,MATCH($E2110,CADASTRO_PIVOS!$B$6:$B$41,0)),0)</f>
        <v>99.48</v>
      </c>
      <c r="I2110" s="16" t="n">
        <f aca="false">IFERROR(SUMIFS(ROTACAO_RDM!$B$6:$B$71,ROTACAO_RDM!$D$6:$D$71,$E2110,ROTACAO_RDM!$I$6:$I$71,"&lt;="&amp;$C2110+INT(DIAS_POR_SEMANA/2),ROTACAO_RDM!$J$6:$J$71,"&gt;="&amp;$C2110+INT(DIAS_POR_SEMANA/2)),0)</f>
        <v>0</v>
      </c>
      <c r="J2110" s="16" t="n">
        <f aca="false">IFERROR(MATCH($I2110,ROTACAO_RDM!$B$6:$B$71,0),0)</f>
        <v>0</v>
      </c>
      <c r="K2110" s="8" t="str">
        <f aca="false">IF($J2110=0,"SEM CULTURA",INDEX(ROTACAO_RDM!$F$6:$F$71,$J2110))</f>
        <v>SEM CULTURA</v>
      </c>
      <c r="L2110" s="8" t="str">
        <f aca="false">IF($J2110=0,"",INDEX(ROTACAO_RDM!$G$6:$G$71,$J2110))</f>
        <v/>
      </c>
      <c r="M2110" s="17" t="str">
        <f aca="false">IF($J2110=0,"",INDEX(ROTACAO_RDM!$I$6:$I$71,$J2110))</f>
        <v/>
      </c>
      <c r="N2110" s="16" t="n">
        <f aca="false">IF($J2110=0,0,MAX(0,$C2110+INT(DIAS_POR_SEMANA/2)-INDEX(ROTACAO_RDM!$I$6:$I$71,$J2110)))</f>
        <v>0</v>
      </c>
      <c r="O2110" s="19" t="n">
        <f aca="false">IF($J2110=0,0,MIN(1,$N2110/MAX(1,INDEX(ROTACAO_RDM!$K$6:$K$71,$J2110))))</f>
        <v>0</v>
      </c>
      <c r="P2110" s="16" t="n">
        <f aca="false">IF($J2110=0,0,IFERROR(MATCH(INDEX(ROTACAO_RDM!$N$6:$N$71,$J2110),PARAMETROS_CULTURAS!$B$6:$B$28,0),0))</f>
        <v>0</v>
      </c>
      <c r="Q2110" s="8" t="str">
        <f aca="false">IF($P2110=0,"-",IF($O2110&lt;=INDEX(PARAMETROS_CULTURAS!$F$6:$F$28,$P2110),"INICIAL",IF($O2110&lt;=INDEX(PARAMETROS_CULTURAS!$F$6:$F$28,$P2110)+INDEX(PARAMETROS_CULTURAS!$G$6:$G$28,$P2110),"DESENVOLVIMENTO",IF($O2110&lt;=INDEX(PARAMETROS_CULTURAS!$F$6:$F$28,$P2110)+INDEX(PARAMETROS_CULTURAS!$G$6:$G$28,$P2110)+INDEX(PARAMETROS_CULTURAS!$H$6:$H$28,$P2110),"MEDIA","FINAL"))))</f>
        <v>-</v>
      </c>
      <c r="R2110" s="24" t="n">
        <f aca="false">IF($P2110=0,0,IF($O2110&lt;=INDEX(PARAMETROS_CULTURAS!$F$6:$F$28,$P2110),INDEX(PARAMETROS_CULTURAS!$K$6:$K$28,$P2110),IF($O2110&lt;=INDEX(PARAMETROS_CULTURAS!$F$6:$F$28,$P2110)+INDEX(PARAMETROS_CULTURAS!$G$6:$G$28,$P2110),INDEX(PARAMETROS_CULTURAS!$K$6:$K$28,$P2110)+(INDEX(PARAMETROS_CULTURAS!$L$6:$L$28,$P2110)-INDEX(PARAMETROS_CULTURAS!$K$6:$K$28,$P2110))*($O2110-INDEX(PARAMETROS_CULTURAS!$F$6:$F$28,$P2110))/MAX(INDEX(PARAMETROS_CULTURAS!$G$6:$G$28,$P2110),0.0001),IF($O2110&lt;=INDEX(PARAMETROS_CULTURAS!$F$6:$F$28,$P2110)+INDEX(PARAMETROS_CULTURAS!$G$6:$G$28,$P2110)+INDEX(PARAMETROS_CULTURAS!$H$6:$H$28,$P2110),INDEX(PARAMETROS_CULTURAS!$L$6:$L$28,$P2110),INDEX(PARAMETROS_CULTURAS!$L$6:$L$28,$P2110)+(INDEX(PARAMETROS_CULTURAS!$M$6:$M$28,$P2110)-INDEX(PARAMETROS_CULTURAS!$L$6:$L$28,$P2110))*($O2110-INDEX(PARAMETROS_CULTURAS!$F$6:$F$28,$P2110)-INDEX(PARAMETROS_CULTURAS!$G$6:$G$28,$P2110)-INDEX(PARAMETROS_CULTURAS!$H$6:$H$28,$P2110))/MAX(INDEX(PARAMETROS_CULTURAS!$I$6:$I$28,$P2110),0.0001)))))</f>
        <v>0</v>
      </c>
      <c r="S2110" s="18" t="n">
        <f aca="false">IFERROR(INDEX(SEMANAS!$H$6:$H$71,MATCH($B2110,SEMANAS!$B$6:$B$71,0)),0)</f>
        <v>39.2</v>
      </c>
      <c r="T2110" s="18" t="n">
        <f aca="false">$R2110*$S2110</f>
        <v>0</v>
      </c>
      <c r="U2110" s="18" t="n">
        <f aca="false">IFERROR(INDEX(SEMANAS!$I$6:$I$71,MATCH($B2110,SEMANAS!$B$6:$B$71,0)),0)</f>
        <v>27.09</v>
      </c>
      <c r="V2110" s="18" t="n">
        <f aca="false">IFERROR(INDEX(SEMANAS!$J$6:$J$71,MATCH($B2110,SEMANAS!$B$6:$B$71,0)),0)</f>
        <v>21.672</v>
      </c>
      <c r="W2110" s="18" t="n">
        <f aca="false">MAX(0,$T2110-$V2110)</f>
        <v>0</v>
      </c>
      <c r="X2110" s="19" t="n">
        <f aca="false">IFERROR(INDEX(CADASTRO_PIVOS!$K$6:$K$41,MATCH($E2110,CADASTRO_PIVOS!$B$6:$B$41,0)),EFICIENCIA_PADRAO)</f>
        <v>0.85</v>
      </c>
      <c r="Y2110" s="18" t="n">
        <f aca="false">IF($X2110&lt;=0,0,$W2110/$X2110)</f>
        <v>0</v>
      </c>
      <c r="Z2110" s="16" t="n">
        <f aca="false">$Y2110*$H2110*MM_PARA_M3_HA</f>
        <v>0</v>
      </c>
      <c r="AA2110" s="18" t="n">
        <f aca="false">IFERROR(INDEX(CADASTRO_PIVOS!$I$6:$I$41,MATCH($E2110,CADASTRO_PIVOS!$B$6:$B$41,0)),0)</f>
        <v>710.571428571429</v>
      </c>
      <c r="AB2110" s="18" t="n">
        <f aca="false">IF($Z2110&lt;=0,0,$Z2110/$AA2110)</f>
        <v>0</v>
      </c>
      <c r="AC2110" s="16" t="n">
        <f aca="false">IFERROR(INDEX(SEMANAS!$K$6:$K$71,MATCH($B2110,SEMANAS!$B$6:$B$71,0)),0)</f>
        <v>147</v>
      </c>
      <c r="AD2110" s="19" t="n">
        <f aca="false">IF($AC2110&lt;=0,0,$AB2110/$AC2110)</f>
        <v>0</v>
      </c>
      <c r="AE2110" s="8" t="str">
        <f aca="false">IF($K2110="SEM CULTURA","SEM CULTURA",IF($AA2110&lt;=0,"DADO PENDENTE",IF($AD2110&gt;LIMITE_CRITICO,"INVIAVEL",IF($AD2110&gt;LIMITE_ATENCAO,"CRITICO",IF($AD2110&gt;LIMITE_CONFORTAVEL,"ATENCAO","OK")))))</f>
        <v>SEM CULTURA</v>
      </c>
      <c r="AF2110" s="8" t="str">
        <f aca="false">$B2110&amp;"|"&amp;TEXT($AD2110,"0.000000")</f>
        <v>59|0.000000</v>
      </c>
      <c r="AG2110" s="18" t="n">
        <f aca="false">IF($K2110="SEM CULTURA",0,$T2110*$H2110)</f>
        <v>0</v>
      </c>
      <c r="AH2110" s="18" t="n">
        <f aca="false">IF($K2110="SEM CULTURA",0,$V2110*$H2110)</f>
        <v>0</v>
      </c>
      <c r="AI2110" s="18" t="n">
        <f aca="false">IF($K2110="SEM CULTURA",0,$W2110*$H2110)</f>
        <v>0</v>
      </c>
      <c r="AJ2110" s="18" t="n">
        <f aca="false">IF($K2110="SEM CULTURA",0,$S2110*$H2110)</f>
        <v>0</v>
      </c>
      <c r="AK2110" s="8" t="str">
        <f aca="false">$E2110&amp;"|"&amp;TEXT($AD2110,"0.000000")</f>
        <v>PV 133|0.000000</v>
      </c>
    </row>
    <row r="2111" customFormat="false" ht="15" hidden="false" customHeight="false" outlineLevel="0" collapsed="false">
      <c r="B2111" s="16" t="n">
        <v>60</v>
      </c>
      <c r="C2111" s="17" t="n">
        <f aca="false">DATA_INICIO_SAFRA+($B2111-1)*DIAS_POR_SEMANA</f>
        <v>46678</v>
      </c>
      <c r="D2111" s="17" t="n">
        <f aca="false">$C2111+DIAS_POR_SEMANA-1</f>
        <v>46684</v>
      </c>
      <c r="E2111" s="15" t="s">
        <v>290</v>
      </c>
      <c r="F2111" s="8" t="str">
        <f aca="false">IFERROR(INDEX(CADASTRO_PIVOS!$C$6:$C$41,MATCH($E2111,CADASTRO_PIVOS!$B$6:$B$41,0)),"?")</f>
        <v>RM07</v>
      </c>
      <c r="G2111" s="8" t="str">
        <f aca="false">IFERROR(INDEX(CADASTRO_PIVOS!$D$6:$D$41,MATCH($E2111,CADASTRO_PIVOS!$B$6:$B$41,0)),"?")</f>
        <v>TR07</v>
      </c>
      <c r="H2111" s="20" t="n">
        <f aca="false">IFERROR(INDEX(CADASTRO_PIVOS!$E$6:$E$41,MATCH($E2111,CADASTRO_PIVOS!$B$6:$B$41,0)),0)</f>
        <v>99.48</v>
      </c>
      <c r="I2111" s="16" t="n">
        <f aca="false">IFERROR(SUMIFS(ROTACAO_RDM!$B$6:$B$71,ROTACAO_RDM!$D$6:$D$71,$E2111,ROTACAO_RDM!$I$6:$I$71,"&lt;="&amp;$C2111+INT(DIAS_POR_SEMANA/2),ROTACAO_RDM!$J$6:$J$71,"&gt;="&amp;$C2111+INT(DIAS_POR_SEMANA/2)),0)</f>
        <v>0</v>
      </c>
      <c r="J2111" s="16" t="n">
        <f aca="false">IFERROR(MATCH($I2111,ROTACAO_RDM!$B$6:$B$71,0),0)</f>
        <v>0</v>
      </c>
      <c r="K2111" s="8" t="str">
        <f aca="false">IF($J2111=0,"SEM CULTURA",INDEX(ROTACAO_RDM!$F$6:$F$71,$J2111))</f>
        <v>SEM CULTURA</v>
      </c>
      <c r="L2111" s="8" t="str">
        <f aca="false">IF($J2111=0,"",INDEX(ROTACAO_RDM!$G$6:$G$71,$J2111))</f>
        <v/>
      </c>
      <c r="M2111" s="17" t="str">
        <f aca="false">IF($J2111=0,"",INDEX(ROTACAO_RDM!$I$6:$I$71,$J2111))</f>
        <v/>
      </c>
      <c r="N2111" s="16" t="n">
        <f aca="false">IF($J2111=0,0,MAX(0,$C2111+INT(DIAS_POR_SEMANA/2)-INDEX(ROTACAO_RDM!$I$6:$I$71,$J2111)))</f>
        <v>0</v>
      </c>
      <c r="O2111" s="19" t="n">
        <f aca="false">IF($J2111=0,0,MIN(1,$N2111/MAX(1,INDEX(ROTACAO_RDM!$K$6:$K$71,$J2111))))</f>
        <v>0</v>
      </c>
      <c r="P2111" s="16" t="n">
        <f aca="false">IF($J2111=0,0,IFERROR(MATCH(INDEX(ROTACAO_RDM!$N$6:$N$71,$J2111),PARAMETROS_CULTURAS!$B$6:$B$28,0),0))</f>
        <v>0</v>
      </c>
      <c r="Q2111" s="8" t="str">
        <f aca="false">IF($P2111=0,"-",IF($O2111&lt;=INDEX(PARAMETROS_CULTURAS!$F$6:$F$28,$P2111),"INICIAL",IF($O2111&lt;=INDEX(PARAMETROS_CULTURAS!$F$6:$F$28,$P2111)+INDEX(PARAMETROS_CULTURAS!$G$6:$G$28,$P2111),"DESENVOLVIMENTO",IF($O2111&lt;=INDEX(PARAMETROS_CULTURAS!$F$6:$F$28,$P2111)+INDEX(PARAMETROS_CULTURAS!$G$6:$G$28,$P2111)+INDEX(PARAMETROS_CULTURAS!$H$6:$H$28,$P2111),"MEDIA","FINAL"))))</f>
        <v>-</v>
      </c>
      <c r="R2111" s="24" t="n">
        <f aca="false">IF($P2111=0,0,IF($O2111&lt;=INDEX(PARAMETROS_CULTURAS!$F$6:$F$28,$P2111),INDEX(PARAMETROS_CULTURAS!$K$6:$K$28,$P2111),IF($O2111&lt;=INDEX(PARAMETROS_CULTURAS!$F$6:$F$28,$P2111)+INDEX(PARAMETROS_CULTURAS!$G$6:$G$28,$P2111),INDEX(PARAMETROS_CULTURAS!$K$6:$K$28,$P2111)+(INDEX(PARAMETROS_CULTURAS!$L$6:$L$28,$P2111)-INDEX(PARAMETROS_CULTURAS!$K$6:$K$28,$P2111))*($O2111-INDEX(PARAMETROS_CULTURAS!$F$6:$F$28,$P2111))/MAX(INDEX(PARAMETROS_CULTURAS!$G$6:$G$28,$P2111),0.0001),IF($O2111&lt;=INDEX(PARAMETROS_CULTURAS!$F$6:$F$28,$P2111)+INDEX(PARAMETROS_CULTURAS!$G$6:$G$28,$P2111)+INDEX(PARAMETROS_CULTURAS!$H$6:$H$28,$P2111),INDEX(PARAMETROS_CULTURAS!$L$6:$L$28,$P2111),INDEX(PARAMETROS_CULTURAS!$L$6:$L$28,$P2111)+(INDEX(PARAMETROS_CULTURAS!$M$6:$M$28,$P2111)-INDEX(PARAMETROS_CULTURAS!$L$6:$L$28,$P2111))*($O2111-INDEX(PARAMETROS_CULTURAS!$F$6:$F$28,$P2111)-INDEX(PARAMETROS_CULTURAS!$G$6:$G$28,$P2111)-INDEX(PARAMETROS_CULTURAS!$H$6:$H$28,$P2111))/MAX(INDEX(PARAMETROS_CULTURAS!$I$6:$I$28,$P2111),0.0001)))))</f>
        <v>0</v>
      </c>
      <c r="S2111" s="18" t="n">
        <f aca="false">IFERROR(INDEX(SEMANAS!$H$6:$H$71,MATCH($B2111,SEMANAS!$B$6:$B$71,0)),0)</f>
        <v>39.2</v>
      </c>
      <c r="T2111" s="18" t="n">
        <f aca="false">$R2111*$S2111</f>
        <v>0</v>
      </c>
      <c r="U2111" s="18" t="n">
        <f aca="false">IFERROR(INDEX(SEMANAS!$I$6:$I$71,MATCH($B2111,SEMANAS!$B$6:$B$71,0)),0)</f>
        <v>27.09</v>
      </c>
      <c r="V2111" s="18" t="n">
        <f aca="false">IFERROR(INDEX(SEMANAS!$J$6:$J$71,MATCH($B2111,SEMANAS!$B$6:$B$71,0)),0)</f>
        <v>21.672</v>
      </c>
      <c r="W2111" s="18" t="n">
        <f aca="false">MAX(0,$T2111-$V2111)</f>
        <v>0</v>
      </c>
      <c r="X2111" s="19" t="n">
        <f aca="false">IFERROR(INDEX(CADASTRO_PIVOS!$K$6:$K$41,MATCH($E2111,CADASTRO_PIVOS!$B$6:$B$41,0)),EFICIENCIA_PADRAO)</f>
        <v>0.85</v>
      </c>
      <c r="Y2111" s="18" t="n">
        <f aca="false">IF($X2111&lt;=0,0,$W2111/$X2111)</f>
        <v>0</v>
      </c>
      <c r="Z2111" s="16" t="n">
        <f aca="false">$Y2111*$H2111*MM_PARA_M3_HA</f>
        <v>0</v>
      </c>
      <c r="AA2111" s="18" t="n">
        <f aca="false">IFERROR(INDEX(CADASTRO_PIVOS!$I$6:$I$41,MATCH($E2111,CADASTRO_PIVOS!$B$6:$B$41,0)),0)</f>
        <v>710.571428571429</v>
      </c>
      <c r="AB2111" s="18" t="n">
        <f aca="false">IF($Z2111&lt;=0,0,$Z2111/$AA2111)</f>
        <v>0</v>
      </c>
      <c r="AC2111" s="16" t="n">
        <f aca="false">IFERROR(INDEX(SEMANAS!$K$6:$K$71,MATCH($B2111,SEMANAS!$B$6:$B$71,0)),0)</f>
        <v>147</v>
      </c>
      <c r="AD2111" s="19" t="n">
        <f aca="false">IF($AC2111&lt;=0,0,$AB2111/$AC2111)</f>
        <v>0</v>
      </c>
      <c r="AE2111" s="8" t="str">
        <f aca="false">IF($K2111="SEM CULTURA","SEM CULTURA",IF($AA2111&lt;=0,"DADO PENDENTE",IF($AD2111&gt;LIMITE_CRITICO,"INVIAVEL",IF($AD2111&gt;LIMITE_ATENCAO,"CRITICO",IF($AD2111&gt;LIMITE_CONFORTAVEL,"ATENCAO","OK")))))</f>
        <v>SEM CULTURA</v>
      </c>
      <c r="AF2111" s="8" t="str">
        <f aca="false">$B2111&amp;"|"&amp;TEXT($AD2111,"0.000000")</f>
        <v>60|0.000000</v>
      </c>
      <c r="AG2111" s="18" t="n">
        <f aca="false">IF($K2111="SEM CULTURA",0,$T2111*$H2111)</f>
        <v>0</v>
      </c>
      <c r="AH2111" s="18" t="n">
        <f aca="false">IF($K2111="SEM CULTURA",0,$V2111*$H2111)</f>
        <v>0</v>
      </c>
      <c r="AI2111" s="18" t="n">
        <f aca="false">IF($K2111="SEM CULTURA",0,$W2111*$H2111)</f>
        <v>0</v>
      </c>
      <c r="AJ2111" s="18" t="n">
        <f aca="false">IF($K2111="SEM CULTURA",0,$S2111*$H2111)</f>
        <v>0</v>
      </c>
      <c r="AK2111" s="8" t="str">
        <f aca="false">$E2111&amp;"|"&amp;TEXT($AD2111,"0.000000")</f>
        <v>PV 133|0.000000</v>
      </c>
    </row>
    <row r="2112" customFormat="false" ht="15" hidden="false" customHeight="false" outlineLevel="0" collapsed="false">
      <c r="B2112" s="16" t="n">
        <v>61</v>
      </c>
      <c r="C2112" s="17" t="n">
        <f aca="false">DATA_INICIO_SAFRA+($B2112-1)*DIAS_POR_SEMANA</f>
        <v>46685</v>
      </c>
      <c r="D2112" s="17" t="n">
        <f aca="false">$C2112+DIAS_POR_SEMANA-1</f>
        <v>46691</v>
      </c>
      <c r="E2112" s="15" t="s">
        <v>290</v>
      </c>
      <c r="F2112" s="8" t="str">
        <f aca="false">IFERROR(INDEX(CADASTRO_PIVOS!$C$6:$C$41,MATCH($E2112,CADASTRO_PIVOS!$B$6:$B$41,0)),"?")</f>
        <v>RM07</v>
      </c>
      <c r="G2112" s="8" t="str">
        <f aca="false">IFERROR(INDEX(CADASTRO_PIVOS!$D$6:$D$41,MATCH($E2112,CADASTRO_PIVOS!$B$6:$B$41,0)),"?")</f>
        <v>TR07</v>
      </c>
      <c r="H2112" s="20" t="n">
        <f aca="false">IFERROR(INDEX(CADASTRO_PIVOS!$E$6:$E$41,MATCH($E2112,CADASTRO_PIVOS!$B$6:$B$41,0)),0)</f>
        <v>99.48</v>
      </c>
      <c r="I2112" s="16" t="n">
        <f aca="false">IFERROR(SUMIFS(ROTACAO_RDM!$B$6:$B$71,ROTACAO_RDM!$D$6:$D$71,$E2112,ROTACAO_RDM!$I$6:$I$71,"&lt;="&amp;$C2112+INT(DIAS_POR_SEMANA/2),ROTACAO_RDM!$J$6:$J$71,"&gt;="&amp;$C2112+INT(DIAS_POR_SEMANA/2)),0)</f>
        <v>0</v>
      </c>
      <c r="J2112" s="16" t="n">
        <f aca="false">IFERROR(MATCH($I2112,ROTACAO_RDM!$B$6:$B$71,0),0)</f>
        <v>0</v>
      </c>
      <c r="K2112" s="8" t="str">
        <f aca="false">IF($J2112=0,"SEM CULTURA",INDEX(ROTACAO_RDM!$F$6:$F$71,$J2112))</f>
        <v>SEM CULTURA</v>
      </c>
      <c r="L2112" s="8" t="str">
        <f aca="false">IF($J2112=0,"",INDEX(ROTACAO_RDM!$G$6:$G$71,$J2112))</f>
        <v/>
      </c>
      <c r="M2112" s="17" t="str">
        <f aca="false">IF($J2112=0,"",INDEX(ROTACAO_RDM!$I$6:$I$71,$J2112))</f>
        <v/>
      </c>
      <c r="N2112" s="16" t="n">
        <f aca="false">IF($J2112=0,0,MAX(0,$C2112+INT(DIAS_POR_SEMANA/2)-INDEX(ROTACAO_RDM!$I$6:$I$71,$J2112)))</f>
        <v>0</v>
      </c>
      <c r="O2112" s="19" t="n">
        <f aca="false">IF($J2112=0,0,MIN(1,$N2112/MAX(1,INDEX(ROTACAO_RDM!$K$6:$K$71,$J2112))))</f>
        <v>0</v>
      </c>
      <c r="P2112" s="16" t="n">
        <f aca="false">IF($J2112=0,0,IFERROR(MATCH(INDEX(ROTACAO_RDM!$N$6:$N$71,$J2112),PARAMETROS_CULTURAS!$B$6:$B$28,0),0))</f>
        <v>0</v>
      </c>
      <c r="Q2112" s="8" t="str">
        <f aca="false">IF($P2112=0,"-",IF($O2112&lt;=INDEX(PARAMETROS_CULTURAS!$F$6:$F$28,$P2112),"INICIAL",IF($O2112&lt;=INDEX(PARAMETROS_CULTURAS!$F$6:$F$28,$P2112)+INDEX(PARAMETROS_CULTURAS!$G$6:$G$28,$P2112),"DESENVOLVIMENTO",IF($O2112&lt;=INDEX(PARAMETROS_CULTURAS!$F$6:$F$28,$P2112)+INDEX(PARAMETROS_CULTURAS!$G$6:$G$28,$P2112)+INDEX(PARAMETROS_CULTURAS!$H$6:$H$28,$P2112),"MEDIA","FINAL"))))</f>
        <v>-</v>
      </c>
      <c r="R2112" s="24" t="n">
        <f aca="false">IF($P2112=0,0,IF($O2112&lt;=INDEX(PARAMETROS_CULTURAS!$F$6:$F$28,$P2112),INDEX(PARAMETROS_CULTURAS!$K$6:$K$28,$P2112),IF($O2112&lt;=INDEX(PARAMETROS_CULTURAS!$F$6:$F$28,$P2112)+INDEX(PARAMETROS_CULTURAS!$G$6:$G$28,$P2112),INDEX(PARAMETROS_CULTURAS!$K$6:$K$28,$P2112)+(INDEX(PARAMETROS_CULTURAS!$L$6:$L$28,$P2112)-INDEX(PARAMETROS_CULTURAS!$K$6:$K$28,$P2112))*($O2112-INDEX(PARAMETROS_CULTURAS!$F$6:$F$28,$P2112))/MAX(INDEX(PARAMETROS_CULTURAS!$G$6:$G$28,$P2112),0.0001),IF($O2112&lt;=INDEX(PARAMETROS_CULTURAS!$F$6:$F$28,$P2112)+INDEX(PARAMETROS_CULTURAS!$G$6:$G$28,$P2112)+INDEX(PARAMETROS_CULTURAS!$H$6:$H$28,$P2112),INDEX(PARAMETROS_CULTURAS!$L$6:$L$28,$P2112),INDEX(PARAMETROS_CULTURAS!$L$6:$L$28,$P2112)+(INDEX(PARAMETROS_CULTURAS!$M$6:$M$28,$P2112)-INDEX(PARAMETROS_CULTURAS!$L$6:$L$28,$P2112))*($O2112-INDEX(PARAMETROS_CULTURAS!$F$6:$F$28,$P2112)-INDEX(PARAMETROS_CULTURAS!$G$6:$G$28,$P2112)-INDEX(PARAMETROS_CULTURAS!$H$6:$H$28,$P2112))/MAX(INDEX(PARAMETROS_CULTURAS!$I$6:$I$28,$P2112),0.0001)))))</f>
        <v>0</v>
      </c>
      <c r="S2112" s="18" t="n">
        <f aca="false">IFERROR(INDEX(SEMANAS!$H$6:$H$71,MATCH($B2112,SEMANAS!$B$6:$B$71,0)),0)</f>
        <v>39.2</v>
      </c>
      <c r="T2112" s="18" t="n">
        <f aca="false">$R2112*$S2112</f>
        <v>0</v>
      </c>
      <c r="U2112" s="18" t="n">
        <f aca="false">IFERROR(INDEX(SEMANAS!$I$6:$I$71,MATCH($B2112,SEMANAS!$B$6:$B$71,0)),0)</f>
        <v>27.09</v>
      </c>
      <c r="V2112" s="18" t="n">
        <f aca="false">IFERROR(INDEX(SEMANAS!$J$6:$J$71,MATCH($B2112,SEMANAS!$B$6:$B$71,0)),0)</f>
        <v>21.672</v>
      </c>
      <c r="W2112" s="18" t="n">
        <f aca="false">MAX(0,$T2112-$V2112)</f>
        <v>0</v>
      </c>
      <c r="X2112" s="19" t="n">
        <f aca="false">IFERROR(INDEX(CADASTRO_PIVOS!$K$6:$K$41,MATCH($E2112,CADASTRO_PIVOS!$B$6:$B$41,0)),EFICIENCIA_PADRAO)</f>
        <v>0.85</v>
      </c>
      <c r="Y2112" s="18" t="n">
        <f aca="false">IF($X2112&lt;=0,0,$W2112/$X2112)</f>
        <v>0</v>
      </c>
      <c r="Z2112" s="16" t="n">
        <f aca="false">$Y2112*$H2112*MM_PARA_M3_HA</f>
        <v>0</v>
      </c>
      <c r="AA2112" s="18" t="n">
        <f aca="false">IFERROR(INDEX(CADASTRO_PIVOS!$I$6:$I$41,MATCH($E2112,CADASTRO_PIVOS!$B$6:$B$41,0)),0)</f>
        <v>710.571428571429</v>
      </c>
      <c r="AB2112" s="18" t="n">
        <f aca="false">IF($Z2112&lt;=0,0,$Z2112/$AA2112)</f>
        <v>0</v>
      </c>
      <c r="AC2112" s="16" t="n">
        <f aca="false">IFERROR(INDEX(SEMANAS!$K$6:$K$71,MATCH($B2112,SEMANAS!$B$6:$B$71,0)),0)</f>
        <v>147</v>
      </c>
      <c r="AD2112" s="19" t="n">
        <f aca="false">IF($AC2112&lt;=0,0,$AB2112/$AC2112)</f>
        <v>0</v>
      </c>
      <c r="AE2112" s="8" t="str">
        <f aca="false">IF($K2112="SEM CULTURA","SEM CULTURA",IF($AA2112&lt;=0,"DADO PENDENTE",IF($AD2112&gt;LIMITE_CRITICO,"INVIAVEL",IF($AD2112&gt;LIMITE_ATENCAO,"CRITICO",IF($AD2112&gt;LIMITE_CONFORTAVEL,"ATENCAO","OK")))))</f>
        <v>SEM CULTURA</v>
      </c>
      <c r="AF2112" s="8" t="str">
        <f aca="false">$B2112&amp;"|"&amp;TEXT($AD2112,"0.000000")</f>
        <v>61|0.000000</v>
      </c>
      <c r="AG2112" s="18" t="n">
        <f aca="false">IF($K2112="SEM CULTURA",0,$T2112*$H2112)</f>
        <v>0</v>
      </c>
      <c r="AH2112" s="18" t="n">
        <f aca="false">IF($K2112="SEM CULTURA",0,$V2112*$H2112)</f>
        <v>0</v>
      </c>
      <c r="AI2112" s="18" t="n">
        <f aca="false">IF($K2112="SEM CULTURA",0,$W2112*$H2112)</f>
        <v>0</v>
      </c>
      <c r="AJ2112" s="18" t="n">
        <f aca="false">IF($K2112="SEM CULTURA",0,$S2112*$H2112)</f>
        <v>0</v>
      </c>
      <c r="AK2112" s="8" t="str">
        <f aca="false">$E2112&amp;"|"&amp;TEXT($AD2112,"0.000000")</f>
        <v>PV 133|0.000000</v>
      </c>
    </row>
    <row r="2113" customFormat="false" ht="15" hidden="false" customHeight="false" outlineLevel="0" collapsed="false">
      <c r="B2113" s="16" t="n">
        <v>62</v>
      </c>
      <c r="C2113" s="17" t="n">
        <f aca="false">DATA_INICIO_SAFRA+($B2113-1)*DIAS_POR_SEMANA</f>
        <v>46692</v>
      </c>
      <c r="D2113" s="17" t="n">
        <f aca="false">$C2113+DIAS_POR_SEMANA-1</f>
        <v>46698</v>
      </c>
      <c r="E2113" s="15" t="s">
        <v>290</v>
      </c>
      <c r="F2113" s="8" t="str">
        <f aca="false">IFERROR(INDEX(CADASTRO_PIVOS!$C$6:$C$41,MATCH($E2113,CADASTRO_PIVOS!$B$6:$B$41,0)),"?")</f>
        <v>RM07</v>
      </c>
      <c r="G2113" s="8" t="str">
        <f aca="false">IFERROR(INDEX(CADASTRO_PIVOS!$D$6:$D$41,MATCH($E2113,CADASTRO_PIVOS!$B$6:$B$41,0)),"?")</f>
        <v>TR07</v>
      </c>
      <c r="H2113" s="20" t="n">
        <f aca="false">IFERROR(INDEX(CADASTRO_PIVOS!$E$6:$E$41,MATCH($E2113,CADASTRO_PIVOS!$B$6:$B$41,0)),0)</f>
        <v>99.48</v>
      </c>
      <c r="I2113" s="16" t="n">
        <f aca="false">IFERROR(SUMIFS(ROTACAO_RDM!$B$6:$B$71,ROTACAO_RDM!$D$6:$D$71,$E2113,ROTACAO_RDM!$I$6:$I$71,"&lt;="&amp;$C2113+INT(DIAS_POR_SEMANA/2),ROTACAO_RDM!$J$6:$J$71,"&gt;="&amp;$C2113+INT(DIAS_POR_SEMANA/2)),0)</f>
        <v>0</v>
      </c>
      <c r="J2113" s="16" t="n">
        <f aca="false">IFERROR(MATCH($I2113,ROTACAO_RDM!$B$6:$B$71,0),0)</f>
        <v>0</v>
      </c>
      <c r="K2113" s="8" t="str">
        <f aca="false">IF($J2113=0,"SEM CULTURA",INDEX(ROTACAO_RDM!$F$6:$F$71,$J2113))</f>
        <v>SEM CULTURA</v>
      </c>
      <c r="L2113" s="8" t="str">
        <f aca="false">IF($J2113=0,"",INDEX(ROTACAO_RDM!$G$6:$G$71,$J2113))</f>
        <v/>
      </c>
      <c r="M2113" s="17" t="str">
        <f aca="false">IF($J2113=0,"",INDEX(ROTACAO_RDM!$I$6:$I$71,$J2113))</f>
        <v/>
      </c>
      <c r="N2113" s="16" t="n">
        <f aca="false">IF($J2113=0,0,MAX(0,$C2113+INT(DIAS_POR_SEMANA/2)-INDEX(ROTACAO_RDM!$I$6:$I$71,$J2113)))</f>
        <v>0</v>
      </c>
      <c r="O2113" s="19" t="n">
        <f aca="false">IF($J2113=0,0,MIN(1,$N2113/MAX(1,INDEX(ROTACAO_RDM!$K$6:$K$71,$J2113))))</f>
        <v>0</v>
      </c>
      <c r="P2113" s="16" t="n">
        <f aca="false">IF($J2113=0,0,IFERROR(MATCH(INDEX(ROTACAO_RDM!$N$6:$N$71,$J2113),PARAMETROS_CULTURAS!$B$6:$B$28,0),0))</f>
        <v>0</v>
      </c>
      <c r="Q2113" s="8" t="str">
        <f aca="false">IF($P2113=0,"-",IF($O2113&lt;=INDEX(PARAMETROS_CULTURAS!$F$6:$F$28,$P2113),"INICIAL",IF($O2113&lt;=INDEX(PARAMETROS_CULTURAS!$F$6:$F$28,$P2113)+INDEX(PARAMETROS_CULTURAS!$G$6:$G$28,$P2113),"DESENVOLVIMENTO",IF($O2113&lt;=INDEX(PARAMETROS_CULTURAS!$F$6:$F$28,$P2113)+INDEX(PARAMETROS_CULTURAS!$G$6:$G$28,$P2113)+INDEX(PARAMETROS_CULTURAS!$H$6:$H$28,$P2113),"MEDIA","FINAL"))))</f>
        <v>-</v>
      </c>
      <c r="R2113" s="24" t="n">
        <f aca="false">IF($P2113=0,0,IF($O2113&lt;=INDEX(PARAMETROS_CULTURAS!$F$6:$F$28,$P2113),INDEX(PARAMETROS_CULTURAS!$K$6:$K$28,$P2113),IF($O2113&lt;=INDEX(PARAMETROS_CULTURAS!$F$6:$F$28,$P2113)+INDEX(PARAMETROS_CULTURAS!$G$6:$G$28,$P2113),INDEX(PARAMETROS_CULTURAS!$K$6:$K$28,$P2113)+(INDEX(PARAMETROS_CULTURAS!$L$6:$L$28,$P2113)-INDEX(PARAMETROS_CULTURAS!$K$6:$K$28,$P2113))*($O2113-INDEX(PARAMETROS_CULTURAS!$F$6:$F$28,$P2113))/MAX(INDEX(PARAMETROS_CULTURAS!$G$6:$G$28,$P2113),0.0001),IF($O2113&lt;=INDEX(PARAMETROS_CULTURAS!$F$6:$F$28,$P2113)+INDEX(PARAMETROS_CULTURAS!$G$6:$G$28,$P2113)+INDEX(PARAMETROS_CULTURAS!$H$6:$H$28,$P2113),INDEX(PARAMETROS_CULTURAS!$L$6:$L$28,$P2113),INDEX(PARAMETROS_CULTURAS!$L$6:$L$28,$P2113)+(INDEX(PARAMETROS_CULTURAS!$M$6:$M$28,$P2113)-INDEX(PARAMETROS_CULTURAS!$L$6:$L$28,$P2113))*($O2113-INDEX(PARAMETROS_CULTURAS!$F$6:$F$28,$P2113)-INDEX(PARAMETROS_CULTURAS!$G$6:$G$28,$P2113)-INDEX(PARAMETROS_CULTURAS!$H$6:$H$28,$P2113))/MAX(INDEX(PARAMETROS_CULTURAS!$I$6:$I$28,$P2113),0.0001)))))</f>
        <v>0</v>
      </c>
      <c r="S2113" s="18" t="n">
        <f aca="false">IFERROR(INDEX(SEMANAS!$H$6:$H$71,MATCH($B2113,SEMANAS!$B$6:$B$71,0)),0)</f>
        <v>34.3</v>
      </c>
      <c r="T2113" s="18" t="n">
        <f aca="false">$R2113*$S2113</f>
        <v>0</v>
      </c>
      <c r="U2113" s="18" t="n">
        <f aca="false">IFERROR(INDEX(SEMANAS!$I$6:$I$71,MATCH($B2113,SEMANAS!$B$6:$B$71,0)),0)</f>
        <v>46.69</v>
      </c>
      <c r="V2113" s="18" t="n">
        <f aca="false">IFERROR(INDEX(SEMANAS!$J$6:$J$71,MATCH($B2113,SEMANAS!$B$6:$B$71,0)),0)</f>
        <v>37.352</v>
      </c>
      <c r="W2113" s="18" t="n">
        <f aca="false">MAX(0,$T2113-$V2113)</f>
        <v>0</v>
      </c>
      <c r="X2113" s="19" t="n">
        <f aca="false">IFERROR(INDEX(CADASTRO_PIVOS!$K$6:$K$41,MATCH($E2113,CADASTRO_PIVOS!$B$6:$B$41,0)),EFICIENCIA_PADRAO)</f>
        <v>0.85</v>
      </c>
      <c r="Y2113" s="18" t="n">
        <f aca="false">IF($X2113&lt;=0,0,$W2113/$X2113)</f>
        <v>0</v>
      </c>
      <c r="Z2113" s="16" t="n">
        <f aca="false">$Y2113*$H2113*MM_PARA_M3_HA</f>
        <v>0</v>
      </c>
      <c r="AA2113" s="18" t="n">
        <f aca="false">IFERROR(INDEX(CADASTRO_PIVOS!$I$6:$I$41,MATCH($E2113,CADASTRO_PIVOS!$B$6:$B$41,0)),0)</f>
        <v>710.571428571429</v>
      </c>
      <c r="AB2113" s="18" t="n">
        <f aca="false">IF($Z2113&lt;=0,0,$Z2113/$AA2113)</f>
        <v>0</v>
      </c>
      <c r="AC2113" s="16" t="n">
        <f aca="false">IFERROR(INDEX(SEMANAS!$K$6:$K$71,MATCH($B2113,SEMANAS!$B$6:$B$71,0)),0)</f>
        <v>147</v>
      </c>
      <c r="AD2113" s="19" t="n">
        <f aca="false">IF($AC2113&lt;=0,0,$AB2113/$AC2113)</f>
        <v>0</v>
      </c>
      <c r="AE2113" s="8" t="str">
        <f aca="false">IF($K2113="SEM CULTURA","SEM CULTURA",IF($AA2113&lt;=0,"DADO PENDENTE",IF($AD2113&gt;LIMITE_CRITICO,"INVIAVEL",IF($AD2113&gt;LIMITE_ATENCAO,"CRITICO",IF($AD2113&gt;LIMITE_CONFORTAVEL,"ATENCAO","OK")))))</f>
        <v>SEM CULTURA</v>
      </c>
      <c r="AF2113" s="8" t="str">
        <f aca="false">$B2113&amp;"|"&amp;TEXT($AD2113,"0.000000")</f>
        <v>62|0.000000</v>
      </c>
      <c r="AG2113" s="18" t="n">
        <f aca="false">IF($K2113="SEM CULTURA",0,$T2113*$H2113)</f>
        <v>0</v>
      </c>
      <c r="AH2113" s="18" t="n">
        <f aca="false">IF($K2113="SEM CULTURA",0,$V2113*$H2113)</f>
        <v>0</v>
      </c>
      <c r="AI2113" s="18" t="n">
        <f aca="false">IF($K2113="SEM CULTURA",0,$W2113*$H2113)</f>
        <v>0</v>
      </c>
      <c r="AJ2113" s="18" t="n">
        <f aca="false">IF($K2113="SEM CULTURA",0,$S2113*$H2113)</f>
        <v>0</v>
      </c>
      <c r="AK2113" s="8" t="str">
        <f aca="false">$E2113&amp;"|"&amp;TEXT($AD2113,"0.000000")</f>
        <v>PV 133|0.000000</v>
      </c>
    </row>
    <row r="2114" customFormat="false" ht="15" hidden="false" customHeight="false" outlineLevel="0" collapsed="false">
      <c r="B2114" s="16" t="n">
        <v>63</v>
      </c>
      <c r="C2114" s="17" t="n">
        <f aca="false">DATA_INICIO_SAFRA+($B2114-1)*DIAS_POR_SEMANA</f>
        <v>46699</v>
      </c>
      <c r="D2114" s="17" t="n">
        <f aca="false">$C2114+DIAS_POR_SEMANA-1</f>
        <v>46705</v>
      </c>
      <c r="E2114" s="15" t="s">
        <v>290</v>
      </c>
      <c r="F2114" s="8" t="str">
        <f aca="false">IFERROR(INDEX(CADASTRO_PIVOS!$C$6:$C$41,MATCH($E2114,CADASTRO_PIVOS!$B$6:$B$41,0)),"?")</f>
        <v>RM07</v>
      </c>
      <c r="G2114" s="8" t="str">
        <f aca="false">IFERROR(INDEX(CADASTRO_PIVOS!$D$6:$D$41,MATCH($E2114,CADASTRO_PIVOS!$B$6:$B$41,0)),"?")</f>
        <v>TR07</v>
      </c>
      <c r="H2114" s="20" t="n">
        <f aca="false">IFERROR(INDEX(CADASTRO_PIVOS!$E$6:$E$41,MATCH($E2114,CADASTRO_PIVOS!$B$6:$B$41,0)),0)</f>
        <v>99.48</v>
      </c>
      <c r="I2114" s="16" t="n">
        <f aca="false">IFERROR(SUMIFS(ROTACAO_RDM!$B$6:$B$71,ROTACAO_RDM!$D$6:$D$71,$E2114,ROTACAO_RDM!$I$6:$I$71,"&lt;="&amp;$C2114+INT(DIAS_POR_SEMANA/2),ROTACAO_RDM!$J$6:$J$71,"&gt;="&amp;$C2114+INT(DIAS_POR_SEMANA/2)),0)</f>
        <v>0</v>
      </c>
      <c r="J2114" s="16" t="n">
        <f aca="false">IFERROR(MATCH($I2114,ROTACAO_RDM!$B$6:$B$71,0),0)</f>
        <v>0</v>
      </c>
      <c r="K2114" s="8" t="str">
        <f aca="false">IF($J2114=0,"SEM CULTURA",INDEX(ROTACAO_RDM!$F$6:$F$71,$J2114))</f>
        <v>SEM CULTURA</v>
      </c>
      <c r="L2114" s="8" t="str">
        <f aca="false">IF($J2114=0,"",INDEX(ROTACAO_RDM!$G$6:$G$71,$J2114))</f>
        <v/>
      </c>
      <c r="M2114" s="17" t="str">
        <f aca="false">IF($J2114=0,"",INDEX(ROTACAO_RDM!$I$6:$I$71,$J2114))</f>
        <v/>
      </c>
      <c r="N2114" s="16" t="n">
        <f aca="false">IF($J2114=0,0,MAX(0,$C2114+INT(DIAS_POR_SEMANA/2)-INDEX(ROTACAO_RDM!$I$6:$I$71,$J2114)))</f>
        <v>0</v>
      </c>
      <c r="O2114" s="19" t="n">
        <f aca="false">IF($J2114=0,0,MIN(1,$N2114/MAX(1,INDEX(ROTACAO_RDM!$K$6:$K$71,$J2114))))</f>
        <v>0</v>
      </c>
      <c r="P2114" s="16" t="n">
        <f aca="false">IF($J2114=0,0,IFERROR(MATCH(INDEX(ROTACAO_RDM!$N$6:$N$71,$J2114),PARAMETROS_CULTURAS!$B$6:$B$28,0),0))</f>
        <v>0</v>
      </c>
      <c r="Q2114" s="8" t="str">
        <f aca="false">IF($P2114=0,"-",IF($O2114&lt;=INDEX(PARAMETROS_CULTURAS!$F$6:$F$28,$P2114),"INICIAL",IF($O2114&lt;=INDEX(PARAMETROS_CULTURAS!$F$6:$F$28,$P2114)+INDEX(PARAMETROS_CULTURAS!$G$6:$G$28,$P2114),"DESENVOLVIMENTO",IF($O2114&lt;=INDEX(PARAMETROS_CULTURAS!$F$6:$F$28,$P2114)+INDEX(PARAMETROS_CULTURAS!$G$6:$G$28,$P2114)+INDEX(PARAMETROS_CULTURAS!$H$6:$H$28,$P2114),"MEDIA","FINAL"))))</f>
        <v>-</v>
      </c>
      <c r="R2114" s="24" t="n">
        <f aca="false">IF($P2114=0,0,IF($O2114&lt;=INDEX(PARAMETROS_CULTURAS!$F$6:$F$28,$P2114),INDEX(PARAMETROS_CULTURAS!$K$6:$K$28,$P2114),IF($O2114&lt;=INDEX(PARAMETROS_CULTURAS!$F$6:$F$28,$P2114)+INDEX(PARAMETROS_CULTURAS!$G$6:$G$28,$P2114),INDEX(PARAMETROS_CULTURAS!$K$6:$K$28,$P2114)+(INDEX(PARAMETROS_CULTURAS!$L$6:$L$28,$P2114)-INDEX(PARAMETROS_CULTURAS!$K$6:$K$28,$P2114))*($O2114-INDEX(PARAMETROS_CULTURAS!$F$6:$F$28,$P2114))/MAX(INDEX(PARAMETROS_CULTURAS!$G$6:$G$28,$P2114),0.0001),IF($O2114&lt;=INDEX(PARAMETROS_CULTURAS!$F$6:$F$28,$P2114)+INDEX(PARAMETROS_CULTURAS!$G$6:$G$28,$P2114)+INDEX(PARAMETROS_CULTURAS!$H$6:$H$28,$P2114),INDEX(PARAMETROS_CULTURAS!$L$6:$L$28,$P2114),INDEX(PARAMETROS_CULTURAS!$L$6:$L$28,$P2114)+(INDEX(PARAMETROS_CULTURAS!$M$6:$M$28,$P2114)-INDEX(PARAMETROS_CULTURAS!$L$6:$L$28,$P2114))*($O2114-INDEX(PARAMETROS_CULTURAS!$F$6:$F$28,$P2114)-INDEX(PARAMETROS_CULTURAS!$G$6:$G$28,$P2114)-INDEX(PARAMETROS_CULTURAS!$H$6:$H$28,$P2114))/MAX(INDEX(PARAMETROS_CULTURAS!$I$6:$I$28,$P2114),0.0001)))))</f>
        <v>0</v>
      </c>
      <c r="S2114" s="18" t="n">
        <f aca="false">IFERROR(INDEX(SEMANAS!$H$6:$H$71,MATCH($B2114,SEMANAS!$B$6:$B$71,0)),0)</f>
        <v>34.3</v>
      </c>
      <c r="T2114" s="18" t="n">
        <f aca="false">$R2114*$S2114</f>
        <v>0</v>
      </c>
      <c r="U2114" s="18" t="n">
        <f aca="false">IFERROR(INDEX(SEMANAS!$I$6:$I$71,MATCH($B2114,SEMANAS!$B$6:$B$71,0)),0)</f>
        <v>46.69</v>
      </c>
      <c r="V2114" s="18" t="n">
        <f aca="false">IFERROR(INDEX(SEMANAS!$J$6:$J$71,MATCH($B2114,SEMANAS!$B$6:$B$71,0)),0)</f>
        <v>37.352</v>
      </c>
      <c r="W2114" s="18" t="n">
        <f aca="false">MAX(0,$T2114-$V2114)</f>
        <v>0</v>
      </c>
      <c r="X2114" s="19" t="n">
        <f aca="false">IFERROR(INDEX(CADASTRO_PIVOS!$K$6:$K$41,MATCH($E2114,CADASTRO_PIVOS!$B$6:$B$41,0)),EFICIENCIA_PADRAO)</f>
        <v>0.85</v>
      </c>
      <c r="Y2114" s="18" t="n">
        <f aca="false">IF($X2114&lt;=0,0,$W2114/$X2114)</f>
        <v>0</v>
      </c>
      <c r="Z2114" s="16" t="n">
        <f aca="false">$Y2114*$H2114*MM_PARA_M3_HA</f>
        <v>0</v>
      </c>
      <c r="AA2114" s="18" t="n">
        <f aca="false">IFERROR(INDEX(CADASTRO_PIVOS!$I$6:$I$41,MATCH($E2114,CADASTRO_PIVOS!$B$6:$B$41,0)),0)</f>
        <v>710.571428571429</v>
      </c>
      <c r="AB2114" s="18" t="n">
        <f aca="false">IF($Z2114&lt;=0,0,$Z2114/$AA2114)</f>
        <v>0</v>
      </c>
      <c r="AC2114" s="16" t="n">
        <f aca="false">IFERROR(INDEX(SEMANAS!$K$6:$K$71,MATCH($B2114,SEMANAS!$B$6:$B$71,0)),0)</f>
        <v>147</v>
      </c>
      <c r="AD2114" s="19" t="n">
        <f aca="false">IF($AC2114&lt;=0,0,$AB2114/$AC2114)</f>
        <v>0</v>
      </c>
      <c r="AE2114" s="8" t="str">
        <f aca="false">IF($K2114="SEM CULTURA","SEM CULTURA",IF($AA2114&lt;=0,"DADO PENDENTE",IF($AD2114&gt;LIMITE_CRITICO,"INVIAVEL",IF($AD2114&gt;LIMITE_ATENCAO,"CRITICO",IF($AD2114&gt;LIMITE_CONFORTAVEL,"ATENCAO","OK")))))</f>
        <v>SEM CULTURA</v>
      </c>
      <c r="AF2114" s="8" t="str">
        <f aca="false">$B2114&amp;"|"&amp;TEXT($AD2114,"0.000000")</f>
        <v>63|0.000000</v>
      </c>
      <c r="AG2114" s="18" t="n">
        <f aca="false">IF($K2114="SEM CULTURA",0,$T2114*$H2114)</f>
        <v>0</v>
      </c>
      <c r="AH2114" s="18" t="n">
        <f aca="false">IF($K2114="SEM CULTURA",0,$V2114*$H2114)</f>
        <v>0</v>
      </c>
      <c r="AI2114" s="18" t="n">
        <f aca="false">IF($K2114="SEM CULTURA",0,$W2114*$H2114)</f>
        <v>0</v>
      </c>
      <c r="AJ2114" s="18" t="n">
        <f aca="false">IF($K2114="SEM CULTURA",0,$S2114*$H2114)</f>
        <v>0</v>
      </c>
      <c r="AK2114" s="8" t="str">
        <f aca="false">$E2114&amp;"|"&amp;TEXT($AD2114,"0.000000")</f>
        <v>PV 133|0.000000</v>
      </c>
    </row>
    <row r="2115" customFormat="false" ht="15" hidden="false" customHeight="false" outlineLevel="0" collapsed="false">
      <c r="B2115" s="16" t="n">
        <v>64</v>
      </c>
      <c r="C2115" s="17" t="n">
        <f aca="false">DATA_INICIO_SAFRA+($B2115-1)*DIAS_POR_SEMANA</f>
        <v>46706</v>
      </c>
      <c r="D2115" s="17" t="n">
        <f aca="false">$C2115+DIAS_POR_SEMANA-1</f>
        <v>46712</v>
      </c>
      <c r="E2115" s="15" t="s">
        <v>290</v>
      </c>
      <c r="F2115" s="8" t="str">
        <f aca="false">IFERROR(INDEX(CADASTRO_PIVOS!$C$6:$C$41,MATCH($E2115,CADASTRO_PIVOS!$B$6:$B$41,0)),"?")</f>
        <v>RM07</v>
      </c>
      <c r="G2115" s="8" t="str">
        <f aca="false">IFERROR(INDEX(CADASTRO_PIVOS!$D$6:$D$41,MATCH($E2115,CADASTRO_PIVOS!$B$6:$B$41,0)),"?")</f>
        <v>TR07</v>
      </c>
      <c r="H2115" s="20" t="n">
        <f aca="false">IFERROR(INDEX(CADASTRO_PIVOS!$E$6:$E$41,MATCH($E2115,CADASTRO_PIVOS!$B$6:$B$41,0)),0)</f>
        <v>99.48</v>
      </c>
      <c r="I2115" s="16" t="n">
        <f aca="false">IFERROR(SUMIFS(ROTACAO_RDM!$B$6:$B$71,ROTACAO_RDM!$D$6:$D$71,$E2115,ROTACAO_RDM!$I$6:$I$71,"&lt;="&amp;$C2115+INT(DIAS_POR_SEMANA/2),ROTACAO_RDM!$J$6:$J$71,"&gt;="&amp;$C2115+INT(DIAS_POR_SEMANA/2)),0)</f>
        <v>0</v>
      </c>
      <c r="J2115" s="16" t="n">
        <f aca="false">IFERROR(MATCH($I2115,ROTACAO_RDM!$B$6:$B$71,0),0)</f>
        <v>0</v>
      </c>
      <c r="K2115" s="8" t="str">
        <f aca="false">IF($J2115=0,"SEM CULTURA",INDEX(ROTACAO_RDM!$F$6:$F$71,$J2115))</f>
        <v>SEM CULTURA</v>
      </c>
      <c r="L2115" s="8" t="str">
        <f aca="false">IF($J2115=0,"",INDEX(ROTACAO_RDM!$G$6:$G$71,$J2115))</f>
        <v/>
      </c>
      <c r="M2115" s="17" t="str">
        <f aca="false">IF($J2115=0,"",INDEX(ROTACAO_RDM!$I$6:$I$71,$J2115))</f>
        <v/>
      </c>
      <c r="N2115" s="16" t="n">
        <f aca="false">IF($J2115=0,0,MAX(0,$C2115+INT(DIAS_POR_SEMANA/2)-INDEX(ROTACAO_RDM!$I$6:$I$71,$J2115)))</f>
        <v>0</v>
      </c>
      <c r="O2115" s="19" t="n">
        <f aca="false">IF($J2115=0,0,MIN(1,$N2115/MAX(1,INDEX(ROTACAO_RDM!$K$6:$K$71,$J2115))))</f>
        <v>0</v>
      </c>
      <c r="P2115" s="16" t="n">
        <f aca="false">IF($J2115=0,0,IFERROR(MATCH(INDEX(ROTACAO_RDM!$N$6:$N$71,$J2115),PARAMETROS_CULTURAS!$B$6:$B$28,0),0))</f>
        <v>0</v>
      </c>
      <c r="Q2115" s="8" t="str">
        <f aca="false">IF($P2115=0,"-",IF($O2115&lt;=INDEX(PARAMETROS_CULTURAS!$F$6:$F$28,$P2115),"INICIAL",IF($O2115&lt;=INDEX(PARAMETROS_CULTURAS!$F$6:$F$28,$P2115)+INDEX(PARAMETROS_CULTURAS!$G$6:$G$28,$P2115),"DESENVOLVIMENTO",IF($O2115&lt;=INDEX(PARAMETROS_CULTURAS!$F$6:$F$28,$P2115)+INDEX(PARAMETROS_CULTURAS!$G$6:$G$28,$P2115)+INDEX(PARAMETROS_CULTURAS!$H$6:$H$28,$P2115),"MEDIA","FINAL"))))</f>
        <v>-</v>
      </c>
      <c r="R2115" s="24" t="n">
        <f aca="false">IF($P2115=0,0,IF($O2115&lt;=INDEX(PARAMETROS_CULTURAS!$F$6:$F$28,$P2115),INDEX(PARAMETROS_CULTURAS!$K$6:$K$28,$P2115),IF($O2115&lt;=INDEX(PARAMETROS_CULTURAS!$F$6:$F$28,$P2115)+INDEX(PARAMETROS_CULTURAS!$G$6:$G$28,$P2115),INDEX(PARAMETROS_CULTURAS!$K$6:$K$28,$P2115)+(INDEX(PARAMETROS_CULTURAS!$L$6:$L$28,$P2115)-INDEX(PARAMETROS_CULTURAS!$K$6:$K$28,$P2115))*($O2115-INDEX(PARAMETROS_CULTURAS!$F$6:$F$28,$P2115))/MAX(INDEX(PARAMETROS_CULTURAS!$G$6:$G$28,$P2115),0.0001),IF($O2115&lt;=INDEX(PARAMETROS_CULTURAS!$F$6:$F$28,$P2115)+INDEX(PARAMETROS_CULTURAS!$G$6:$G$28,$P2115)+INDEX(PARAMETROS_CULTURAS!$H$6:$H$28,$P2115),INDEX(PARAMETROS_CULTURAS!$L$6:$L$28,$P2115),INDEX(PARAMETROS_CULTURAS!$L$6:$L$28,$P2115)+(INDEX(PARAMETROS_CULTURAS!$M$6:$M$28,$P2115)-INDEX(PARAMETROS_CULTURAS!$L$6:$L$28,$P2115))*($O2115-INDEX(PARAMETROS_CULTURAS!$F$6:$F$28,$P2115)-INDEX(PARAMETROS_CULTURAS!$G$6:$G$28,$P2115)-INDEX(PARAMETROS_CULTURAS!$H$6:$H$28,$P2115))/MAX(INDEX(PARAMETROS_CULTURAS!$I$6:$I$28,$P2115),0.0001)))))</f>
        <v>0</v>
      </c>
      <c r="S2115" s="18" t="n">
        <f aca="false">IFERROR(INDEX(SEMANAS!$H$6:$H$71,MATCH($B2115,SEMANAS!$B$6:$B$71,0)),0)</f>
        <v>34.3</v>
      </c>
      <c r="T2115" s="18" t="n">
        <f aca="false">$R2115*$S2115</f>
        <v>0</v>
      </c>
      <c r="U2115" s="18" t="n">
        <f aca="false">IFERROR(INDEX(SEMANAS!$I$6:$I$71,MATCH($B2115,SEMANAS!$B$6:$B$71,0)),0)</f>
        <v>46.69</v>
      </c>
      <c r="V2115" s="18" t="n">
        <f aca="false">IFERROR(INDEX(SEMANAS!$J$6:$J$71,MATCH($B2115,SEMANAS!$B$6:$B$71,0)),0)</f>
        <v>37.352</v>
      </c>
      <c r="W2115" s="18" t="n">
        <f aca="false">MAX(0,$T2115-$V2115)</f>
        <v>0</v>
      </c>
      <c r="X2115" s="19" t="n">
        <f aca="false">IFERROR(INDEX(CADASTRO_PIVOS!$K$6:$K$41,MATCH($E2115,CADASTRO_PIVOS!$B$6:$B$41,0)),EFICIENCIA_PADRAO)</f>
        <v>0.85</v>
      </c>
      <c r="Y2115" s="18" t="n">
        <f aca="false">IF($X2115&lt;=0,0,$W2115/$X2115)</f>
        <v>0</v>
      </c>
      <c r="Z2115" s="16" t="n">
        <f aca="false">$Y2115*$H2115*MM_PARA_M3_HA</f>
        <v>0</v>
      </c>
      <c r="AA2115" s="18" t="n">
        <f aca="false">IFERROR(INDEX(CADASTRO_PIVOS!$I$6:$I$41,MATCH($E2115,CADASTRO_PIVOS!$B$6:$B$41,0)),0)</f>
        <v>710.571428571429</v>
      </c>
      <c r="AB2115" s="18" t="n">
        <f aca="false">IF($Z2115&lt;=0,0,$Z2115/$AA2115)</f>
        <v>0</v>
      </c>
      <c r="AC2115" s="16" t="n">
        <f aca="false">IFERROR(INDEX(SEMANAS!$K$6:$K$71,MATCH($B2115,SEMANAS!$B$6:$B$71,0)),0)</f>
        <v>147</v>
      </c>
      <c r="AD2115" s="19" t="n">
        <f aca="false">IF($AC2115&lt;=0,0,$AB2115/$AC2115)</f>
        <v>0</v>
      </c>
      <c r="AE2115" s="8" t="str">
        <f aca="false">IF($K2115="SEM CULTURA","SEM CULTURA",IF($AA2115&lt;=0,"DADO PENDENTE",IF($AD2115&gt;LIMITE_CRITICO,"INVIAVEL",IF($AD2115&gt;LIMITE_ATENCAO,"CRITICO",IF($AD2115&gt;LIMITE_CONFORTAVEL,"ATENCAO","OK")))))</f>
        <v>SEM CULTURA</v>
      </c>
      <c r="AF2115" s="8" t="str">
        <f aca="false">$B2115&amp;"|"&amp;TEXT($AD2115,"0.000000")</f>
        <v>64|0.000000</v>
      </c>
      <c r="AG2115" s="18" t="n">
        <f aca="false">IF($K2115="SEM CULTURA",0,$T2115*$H2115)</f>
        <v>0</v>
      </c>
      <c r="AH2115" s="18" t="n">
        <f aca="false">IF($K2115="SEM CULTURA",0,$V2115*$H2115)</f>
        <v>0</v>
      </c>
      <c r="AI2115" s="18" t="n">
        <f aca="false">IF($K2115="SEM CULTURA",0,$W2115*$H2115)</f>
        <v>0</v>
      </c>
      <c r="AJ2115" s="18" t="n">
        <f aca="false">IF($K2115="SEM CULTURA",0,$S2115*$H2115)</f>
        <v>0</v>
      </c>
      <c r="AK2115" s="8" t="str">
        <f aca="false">$E2115&amp;"|"&amp;TEXT($AD2115,"0.000000")</f>
        <v>PV 133|0.000000</v>
      </c>
    </row>
    <row r="2116" customFormat="false" ht="15" hidden="false" customHeight="false" outlineLevel="0" collapsed="false">
      <c r="B2116" s="16" t="n">
        <v>65</v>
      </c>
      <c r="C2116" s="17" t="n">
        <f aca="false">DATA_INICIO_SAFRA+($B2116-1)*DIAS_POR_SEMANA</f>
        <v>46713</v>
      </c>
      <c r="D2116" s="17" t="n">
        <f aca="false">$C2116+DIAS_POR_SEMANA-1</f>
        <v>46719</v>
      </c>
      <c r="E2116" s="15" t="s">
        <v>290</v>
      </c>
      <c r="F2116" s="8" t="str">
        <f aca="false">IFERROR(INDEX(CADASTRO_PIVOS!$C$6:$C$41,MATCH($E2116,CADASTRO_PIVOS!$B$6:$B$41,0)),"?")</f>
        <v>RM07</v>
      </c>
      <c r="G2116" s="8" t="str">
        <f aca="false">IFERROR(INDEX(CADASTRO_PIVOS!$D$6:$D$41,MATCH($E2116,CADASTRO_PIVOS!$B$6:$B$41,0)),"?")</f>
        <v>TR07</v>
      </c>
      <c r="H2116" s="20" t="n">
        <f aca="false">IFERROR(INDEX(CADASTRO_PIVOS!$E$6:$E$41,MATCH($E2116,CADASTRO_PIVOS!$B$6:$B$41,0)),0)</f>
        <v>99.48</v>
      </c>
      <c r="I2116" s="16" t="n">
        <f aca="false">IFERROR(SUMIFS(ROTACAO_RDM!$B$6:$B$71,ROTACAO_RDM!$D$6:$D$71,$E2116,ROTACAO_RDM!$I$6:$I$71,"&lt;="&amp;$C2116+INT(DIAS_POR_SEMANA/2),ROTACAO_RDM!$J$6:$J$71,"&gt;="&amp;$C2116+INT(DIAS_POR_SEMANA/2)),0)</f>
        <v>0</v>
      </c>
      <c r="J2116" s="16" t="n">
        <f aca="false">IFERROR(MATCH($I2116,ROTACAO_RDM!$B$6:$B$71,0),0)</f>
        <v>0</v>
      </c>
      <c r="K2116" s="8" t="str">
        <f aca="false">IF($J2116=0,"SEM CULTURA",INDEX(ROTACAO_RDM!$F$6:$F$71,$J2116))</f>
        <v>SEM CULTURA</v>
      </c>
      <c r="L2116" s="8" t="str">
        <f aca="false">IF($J2116=0,"",INDEX(ROTACAO_RDM!$G$6:$G$71,$J2116))</f>
        <v/>
      </c>
      <c r="M2116" s="17" t="str">
        <f aca="false">IF($J2116=0,"",INDEX(ROTACAO_RDM!$I$6:$I$71,$J2116))</f>
        <v/>
      </c>
      <c r="N2116" s="16" t="n">
        <f aca="false">IF($J2116=0,0,MAX(0,$C2116+INT(DIAS_POR_SEMANA/2)-INDEX(ROTACAO_RDM!$I$6:$I$71,$J2116)))</f>
        <v>0</v>
      </c>
      <c r="O2116" s="19" t="n">
        <f aca="false">IF($J2116=0,0,MIN(1,$N2116/MAX(1,INDEX(ROTACAO_RDM!$K$6:$K$71,$J2116))))</f>
        <v>0</v>
      </c>
      <c r="P2116" s="16" t="n">
        <f aca="false">IF($J2116=0,0,IFERROR(MATCH(INDEX(ROTACAO_RDM!$N$6:$N$71,$J2116),PARAMETROS_CULTURAS!$B$6:$B$28,0),0))</f>
        <v>0</v>
      </c>
      <c r="Q2116" s="8" t="str">
        <f aca="false">IF($P2116=0,"-",IF($O2116&lt;=INDEX(PARAMETROS_CULTURAS!$F$6:$F$28,$P2116),"INICIAL",IF($O2116&lt;=INDEX(PARAMETROS_CULTURAS!$F$6:$F$28,$P2116)+INDEX(PARAMETROS_CULTURAS!$G$6:$G$28,$P2116),"DESENVOLVIMENTO",IF($O2116&lt;=INDEX(PARAMETROS_CULTURAS!$F$6:$F$28,$P2116)+INDEX(PARAMETROS_CULTURAS!$G$6:$G$28,$P2116)+INDEX(PARAMETROS_CULTURAS!$H$6:$H$28,$P2116),"MEDIA","FINAL"))))</f>
        <v>-</v>
      </c>
      <c r="R2116" s="24" t="n">
        <f aca="false">IF($P2116=0,0,IF($O2116&lt;=INDEX(PARAMETROS_CULTURAS!$F$6:$F$28,$P2116),INDEX(PARAMETROS_CULTURAS!$K$6:$K$28,$P2116),IF($O2116&lt;=INDEX(PARAMETROS_CULTURAS!$F$6:$F$28,$P2116)+INDEX(PARAMETROS_CULTURAS!$G$6:$G$28,$P2116),INDEX(PARAMETROS_CULTURAS!$K$6:$K$28,$P2116)+(INDEX(PARAMETROS_CULTURAS!$L$6:$L$28,$P2116)-INDEX(PARAMETROS_CULTURAS!$K$6:$K$28,$P2116))*($O2116-INDEX(PARAMETROS_CULTURAS!$F$6:$F$28,$P2116))/MAX(INDEX(PARAMETROS_CULTURAS!$G$6:$G$28,$P2116),0.0001),IF($O2116&lt;=INDEX(PARAMETROS_CULTURAS!$F$6:$F$28,$P2116)+INDEX(PARAMETROS_CULTURAS!$G$6:$G$28,$P2116)+INDEX(PARAMETROS_CULTURAS!$H$6:$H$28,$P2116),INDEX(PARAMETROS_CULTURAS!$L$6:$L$28,$P2116),INDEX(PARAMETROS_CULTURAS!$L$6:$L$28,$P2116)+(INDEX(PARAMETROS_CULTURAS!$M$6:$M$28,$P2116)-INDEX(PARAMETROS_CULTURAS!$L$6:$L$28,$P2116))*($O2116-INDEX(PARAMETROS_CULTURAS!$F$6:$F$28,$P2116)-INDEX(PARAMETROS_CULTURAS!$G$6:$G$28,$P2116)-INDEX(PARAMETROS_CULTURAS!$H$6:$H$28,$P2116))/MAX(INDEX(PARAMETROS_CULTURAS!$I$6:$I$28,$P2116),0.0001)))))</f>
        <v>0</v>
      </c>
      <c r="S2116" s="18" t="n">
        <f aca="false">IFERROR(INDEX(SEMANAS!$H$6:$H$71,MATCH($B2116,SEMANAS!$B$6:$B$71,0)),0)</f>
        <v>34.3</v>
      </c>
      <c r="T2116" s="18" t="n">
        <f aca="false">$R2116*$S2116</f>
        <v>0</v>
      </c>
      <c r="U2116" s="18" t="n">
        <f aca="false">IFERROR(INDEX(SEMANAS!$I$6:$I$71,MATCH($B2116,SEMANAS!$B$6:$B$71,0)),0)</f>
        <v>46.69</v>
      </c>
      <c r="V2116" s="18" t="n">
        <f aca="false">IFERROR(INDEX(SEMANAS!$J$6:$J$71,MATCH($B2116,SEMANAS!$B$6:$B$71,0)),0)</f>
        <v>37.352</v>
      </c>
      <c r="W2116" s="18" t="n">
        <f aca="false">MAX(0,$T2116-$V2116)</f>
        <v>0</v>
      </c>
      <c r="X2116" s="19" t="n">
        <f aca="false">IFERROR(INDEX(CADASTRO_PIVOS!$K$6:$K$41,MATCH($E2116,CADASTRO_PIVOS!$B$6:$B$41,0)),EFICIENCIA_PADRAO)</f>
        <v>0.85</v>
      </c>
      <c r="Y2116" s="18" t="n">
        <f aca="false">IF($X2116&lt;=0,0,$W2116/$X2116)</f>
        <v>0</v>
      </c>
      <c r="Z2116" s="16" t="n">
        <f aca="false">$Y2116*$H2116*MM_PARA_M3_HA</f>
        <v>0</v>
      </c>
      <c r="AA2116" s="18" t="n">
        <f aca="false">IFERROR(INDEX(CADASTRO_PIVOS!$I$6:$I$41,MATCH($E2116,CADASTRO_PIVOS!$B$6:$B$41,0)),0)</f>
        <v>710.571428571429</v>
      </c>
      <c r="AB2116" s="18" t="n">
        <f aca="false">IF($Z2116&lt;=0,0,$Z2116/$AA2116)</f>
        <v>0</v>
      </c>
      <c r="AC2116" s="16" t="n">
        <f aca="false">IFERROR(INDEX(SEMANAS!$K$6:$K$71,MATCH($B2116,SEMANAS!$B$6:$B$71,0)),0)</f>
        <v>147</v>
      </c>
      <c r="AD2116" s="19" t="n">
        <f aca="false">IF($AC2116&lt;=0,0,$AB2116/$AC2116)</f>
        <v>0</v>
      </c>
      <c r="AE2116" s="8" t="str">
        <f aca="false">IF($K2116="SEM CULTURA","SEM CULTURA",IF($AA2116&lt;=0,"DADO PENDENTE",IF($AD2116&gt;LIMITE_CRITICO,"INVIAVEL",IF($AD2116&gt;LIMITE_ATENCAO,"CRITICO",IF($AD2116&gt;LIMITE_CONFORTAVEL,"ATENCAO","OK")))))</f>
        <v>SEM CULTURA</v>
      </c>
      <c r="AF2116" s="8" t="str">
        <f aca="false">$B2116&amp;"|"&amp;TEXT($AD2116,"0.000000")</f>
        <v>65|0.000000</v>
      </c>
      <c r="AG2116" s="18" t="n">
        <f aca="false">IF($K2116="SEM CULTURA",0,$T2116*$H2116)</f>
        <v>0</v>
      </c>
      <c r="AH2116" s="18" t="n">
        <f aca="false">IF($K2116="SEM CULTURA",0,$V2116*$H2116)</f>
        <v>0</v>
      </c>
      <c r="AI2116" s="18" t="n">
        <f aca="false">IF($K2116="SEM CULTURA",0,$W2116*$H2116)</f>
        <v>0</v>
      </c>
      <c r="AJ2116" s="18" t="n">
        <f aca="false">IF($K2116="SEM CULTURA",0,$S2116*$H2116)</f>
        <v>0</v>
      </c>
      <c r="AK2116" s="8" t="str">
        <f aca="false">$E2116&amp;"|"&amp;TEXT($AD2116,"0.000000")</f>
        <v>PV 133|0.000000</v>
      </c>
    </row>
    <row r="2117" customFormat="false" ht="15" hidden="false" customHeight="false" outlineLevel="0" collapsed="false">
      <c r="B2117" s="16" t="n">
        <v>66</v>
      </c>
      <c r="C2117" s="17" t="n">
        <f aca="false">DATA_INICIO_SAFRA+($B2117-1)*DIAS_POR_SEMANA</f>
        <v>46720</v>
      </c>
      <c r="D2117" s="17" t="n">
        <f aca="false">$C2117+DIAS_POR_SEMANA-1</f>
        <v>46726</v>
      </c>
      <c r="E2117" s="15" t="s">
        <v>290</v>
      </c>
      <c r="F2117" s="8" t="str">
        <f aca="false">IFERROR(INDEX(CADASTRO_PIVOS!$C$6:$C$41,MATCH($E2117,CADASTRO_PIVOS!$B$6:$B$41,0)),"?")</f>
        <v>RM07</v>
      </c>
      <c r="G2117" s="8" t="str">
        <f aca="false">IFERROR(INDEX(CADASTRO_PIVOS!$D$6:$D$41,MATCH($E2117,CADASTRO_PIVOS!$B$6:$B$41,0)),"?")</f>
        <v>TR07</v>
      </c>
      <c r="H2117" s="20" t="n">
        <f aca="false">IFERROR(INDEX(CADASTRO_PIVOS!$E$6:$E$41,MATCH($E2117,CADASTRO_PIVOS!$B$6:$B$41,0)),0)</f>
        <v>99.48</v>
      </c>
      <c r="I2117" s="16" t="n">
        <f aca="false">IFERROR(SUMIFS(ROTACAO_RDM!$B$6:$B$71,ROTACAO_RDM!$D$6:$D$71,$E2117,ROTACAO_RDM!$I$6:$I$71,"&lt;="&amp;$C2117+INT(DIAS_POR_SEMANA/2),ROTACAO_RDM!$J$6:$J$71,"&gt;="&amp;$C2117+INT(DIAS_POR_SEMANA/2)),0)</f>
        <v>0</v>
      </c>
      <c r="J2117" s="16" t="n">
        <f aca="false">IFERROR(MATCH($I2117,ROTACAO_RDM!$B$6:$B$71,0),0)</f>
        <v>0</v>
      </c>
      <c r="K2117" s="8" t="str">
        <f aca="false">IF($J2117=0,"SEM CULTURA",INDEX(ROTACAO_RDM!$F$6:$F$71,$J2117))</f>
        <v>SEM CULTURA</v>
      </c>
      <c r="L2117" s="8" t="str">
        <f aca="false">IF($J2117=0,"",INDEX(ROTACAO_RDM!$G$6:$G$71,$J2117))</f>
        <v/>
      </c>
      <c r="M2117" s="17" t="str">
        <f aca="false">IF($J2117=0,"",INDEX(ROTACAO_RDM!$I$6:$I$71,$J2117))</f>
        <v/>
      </c>
      <c r="N2117" s="16" t="n">
        <f aca="false">IF($J2117=0,0,MAX(0,$C2117+INT(DIAS_POR_SEMANA/2)-INDEX(ROTACAO_RDM!$I$6:$I$71,$J2117)))</f>
        <v>0</v>
      </c>
      <c r="O2117" s="19" t="n">
        <f aca="false">IF($J2117=0,0,MIN(1,$N2117/MAX(1,INDEX(ROTACAO_RDM!$K$6:$K$71,$J2117))))</f>
        <v>0</v>
      </c>
      <c r="P2117" s="16" t="n">
        <f aca="false">IF($J2117=0,0,IFERROR(MATCH(INDEX(ROTACAO_RDM!$N$6:$N$71,$J2117),PARAMETROS_CULTURAS!$B$6:$B$28,0),0))</f>
        <v>0</v>
      </c>
      <c r="Q2117" s="8" t="str">
        <f aca="false">IF($P2117=0,"-",IF($O2117&lt;=INDEX(PARAMETROS_CULTURAS!$F$6:$F$28,$P2117),"INICIAL",IF($O2117&lt;=INDEX(PARAMETROS_CULTURAS!$F$6:$F$28,$P2117)+INDEX(PARAMETROS_CULTURAS!$G$6:$G$28,$P2117),"DESENVOLVIMENTO",IF($O2117&lt;=INDEX(PARAMETROS_CULTURAS!$F$6:$F$28,$P2117)+INDEX(PARAMETROS_CULTURAS!$G$6:$G$28,$P2117)+INDEX(PARAMETROS_CULTURAS!$H$6:$H$28,$P2117),"MEDIA","FINAL"))))</f>
        <v>-</v>
      </c>
      <c r="R2117" s="24" t="n">
        <f aca="false">IF($P2117=0,0,IF($O2117&lt;=INDEX(PARAMETROS_CULTURAS!$F$6:$F$28,$P2117),INDEX(PARAMETROS_CULTURAS!$K$6:$K$28,$P2117),IF($O2117&lt;=INDEX(PARAMETROS_CULTURAS!$F$6:$F$28,$P2117)+INDEX(PARAMETROS_CULTURAS!$G$6:$G$28,$P2117),INDEX(PARAMETROS_CULTURAS!$K$6:$K$28,$P2117)+(INDEX(PARAMETROS_CULTURAS!$L$6:$L$28,$P2117)-INDEX(PARAMETROS_CULTURAS!$K$6:$K$28,$P2117))*($O2117-INDEX(PARAMETROS_CULTURAS!$F$6:$F$28,$P2117))/MAX(INDEX(PARAMETROS_CULTURAS!$G$6:$G$28,$P2117),0.0001),IF($O2117&lt;=INDEX(PARAMETROS_CULTURAS!$F$6:$F$28,$P2117)+INDEX(PARAMETROS_CULTURAS!$G$6:$G$28,$P2117)+INDEX(PARAMETROS_CULTURAS!$H$6:$H$28,$P2117),INDEX(PARAMETROS_CULTURAS!$L$6:$L$28,$P2117),INDEX(PARAMETROS_CULTURAS!$L$6:$L$28,$P2117)+(INDEX(PARAMETROS_CULTURAS!$M$6:$M$28,$P2117)-INDEX(PARAMETROS_CULTURAS!$L$6:$L$28,$P2117))*($O2117-INDEX(PARAMETROS_CULTURAS!$F$6:$F$28,$P2117)-INDEX(PARAMETROS_CULTURAS!$G$6:$G$28,$P2117)-INDEX(PARAMETROS_CULTURAS!$H$6:$H$28,$P2117))/MAX(INDEX(PARAMETROS_CULTURAS!$I$6:$I$28,$P2117),0.0001)))))</f>
        <v>0</v>
      </c>
      <c r="S2117" s="18" t="n">
        <f aca="false">IFERROR(INDEX(SEMANAS!$H$6:$H$71,MATCH($B2117,SEMANAS!$B$6:$B$71,0)),0)</f>
        <v>33.3</v>
      </c>
      <c r="T2117" s="18" t="n">
        <f aca="false">$R2117*$S2117</f>
        <v>0</v>
      </c>
      <c r="U2117" s="18" t="n">
        <f aca="false">IFERROR(INDEX(SEMANAS!$I$6:$I$71,MATCH($B2117,SEMANAS!$B$6:$B$71,0)),0)</f>
        <v>48.04</v>
      </c>
      <c r="V2117" s="18" t="n">
        <f aca="false">IFERROR(INDEX(SEMANAS!$J$6:$J$71,MATCH($B2117,SEMANAS!$B$6:$B$71,0)),0)</f>
        <v>38.432</v>
      </c>
      <c r="W2117" s="18" t="n">
        <f aca="false">MAX(0,$T2117-$V2117)</f>
        <v>0</v>
      </c>
      <c r="X2117" s="19" t="n">
        <f aca="false">IFERROR(INDEX(CADASTRO_PIVOS!$K$6:$K$41,MATCH($E2117,CADASTRO_PIVOS!$B$6:$B$41,0)),EFICIENCIA_PADRAO)</f>
        <v>0.85</v>
      </c>
      <c r="Y2117" s="18" t="n">
        <f aca="false">IF($X2117&lt;=0,0,$W2117/$X2117)</f>
        <v>0</v>
      </c>
      <c r="Z2117" s="16" t="n">
        <f aca="false">$Y2117*$H2117*MM_PARA_M3_HA</f>
        <v>0</v>
      </c>
      <c r="AA2117" s="18" t="n">
        <f aca="false">IFERROR(INDEX(CADASTRO_PIVOS!$I$6:$I$41,MATCH($E2117,CADASTRO_PIVOS!$B$6:$B$41,0)),0)</f>
        <v>710.571428571429</v>
      </c>
      <c r="AB2117" s="18" t="n">
        <f aca="false">IF($Z2117&lt;=0,0,$Z2117/$AA2117)</f>
        <v>0</v>
      </c>
      <c r="AC2117" s="16" t="n">
        <f aca="false">IFERROR(INDEX(SEMANAS!$K$6:$K$71,MATCH($B2117,SEMANAS!$B$6:$B$71,0)),0)</f>
        <v>147</v>
      </c>
      <c r="AD2117" s="19" t="n">
        <f aca="false">IF($AC2117&lt;=0,0,$AB2117/$AC2117)</f>
        <v>0</v>
      </c>
      <c r="AE2117" s="8" t="str">
        <f aca="false">IF($K2117="SEM CULTURA","SEM CULTURA",IF($AA2117&lt;=0,"DADO PENDENTE",IF($AD2117&gt;LIMITE_CRITICO,"INVIAVEL",IF($AD2117&gt;LIMITE_ATENCAO,"CRITICO",IF($AD2117&gt;LIMITE_CONFORTAVEL,"ATENCAO","OK")))))</f>
        <v>SEM CULTURA</v>
      </c>
      <c r="AF2117" s="8" t="str">
        <f aca="false">$B2117&amp;"|"&amp;TEXT($AD2117,"0.000000")</f>
        <v>66|0.000000</v>
      </c>
      <c r="AG2117" s="18" t="n">
        <f aca="false">IF($K2117="SEM CULTURA",0,$T2117*$H2117)</f>
        <v>0</v>
      </c>
      <c r="AH2117" s="18" t="n">
        <f aca="false">IF($K2117="SEM CULTURA",0,$V2117*$H2117)</f>
        <v>0</v>
      </c>
      <c r="AI2117" s="18" t="n">
        <f aca="false">IF($K2117="SEM CULTURA",0,$W2117*$H2117)</f>
        <v>0</v>
      </c>
      <c r="AJ2117" s="18" t="n">
        <f aca="false">IF($K2117="SEM CULTURA",0,$S2117*$H2117)</f>
        <v>0</v>
      </c>
      <c r="AK2117" s="8" t="str">
        <f aca="false">$E2117&amp;"|"&amp;TEXT($AD2117,"0.000000")</f>
        <v>PV 133|0.000000</v>
      </c>
    </row>
    <row r="2118" customFormat="false" ht="15" hidden="false" customHeight="false" outlineLevel="0" collapsed="false">
      <c r="B2118" s="16" t="n">
        <v>1</v>
      </c>
      <c r="C2118" s="17" t="n">
        <f aca="false">DATA_INICIO_SAFRA+($B2118-1)*DIAS_POR_SEMANA</f>
        <v>46265</v>
      </c>
      <c r="D2118" s="17" t="n">
        <f aca="false">$C2118+DIAS_POR_SEMANA-1</f>
        <v>46271</v>
      </c>
      <c r="E2118" s="15" t="s">
        <v>291</v>
      </c>
      <c r="F2118" s="8" t="str">
        <f aca="false">IFERROR(INDEX(CADASTRO_PIVOS!$C$6:$C$41,MATCH($E2118,CADASTRO_PIVOS!$B$6:$B$41,0)),"?")</f>
        <v>RM08</v>
      </c>
      <c r="G2118" s="8" t="str">
        <f aca="false">IFERROR(INDEX(CADASTRO_PIVOS!$D$6:$D$41,MATCH($E2118,CADASTRO_PIVOS!$B$6:$B$41,0)),"?")</f>
        <v>TR08</v>
      </c>
      <c r="H2118" s="20" t="n">
        <f aca="false">IFERROR(INDEX(CADASTRO_PIVOS!$E$6:$E$41,MATCH($E2118,CADASTRO_PIVOS!$B$6:$B$41,0)),0)</f>
        <v>79</v>
      </c>
      <c r="I2118" s="16" t="n">
        <f aca="false">IFERROR(SUMIFS(ROTACAO_RDM!$B$6:$B$71,ROTACAO_RDM!$D$6:$D$71,$E2118,ROTACAO_RDM!$I$6:$I$71,"&lt;="&amp;$C2118+INT(DIAS_POR_SEMANA/2),ROTACAO_RDM!$J$6:$J$71,"&gt;="&amp;$C2118+INT(DIAS_POR_SEMANA/2)),0)</f>
        <v>0</v>
      </c>
      <c r="J2118" s="16" t="n">
        <f aca="false">IFERROR(MATCH($I2118,ROTACAO_RDM!$B$6:$B$71,0),0)</f>
        <v>0</v>
      </c>
      <c r="K2118" s="8" t="str">
        <f aca="false">IF($J2118=0,"SEM CULTURA",INDEX(ROTACAO_RDM!$F$6:$F$71,$J2118))</f>
        <v>SEM CULTURA</v>
      </c>
      <c r="L2118" s="8" t="str">
        <f aca="false">IF($J2118=0,"",INDEX(ROTACAO_RDM!$G$6:$G$71,$J2118))</f>
        <v/>
      </c>
      <c r="M2118" s="17" t="str">
        <f aca="false">IF($J2118=0,"",INDEX(ROTACAO_RDM!$I$6:$I$71,$J2118))</f>
        <v/>
      </c>
      <c r="N2118" s="16" t="n">
        <f aca="false">IF($J2118=0,0,MAX(0,$C2118+INT(DIAS_POR_SEMANA/2)-INDEX(ROTACAO_RDM!$I$6:$I$71,$J2118)))</f>
        <v>0</v>
      </c>
      <c r="O2118" s="19" t="n">
        <f aca="false">IF($J2118=0,0,MIN(1,$N2118/MAX(1,INDEX(ROTACAO_RDM!$K$6:$K$71,$J2118))))</f>
        <v>0</v>
      </c>
      <c r="P2118" s="16" t="n">
        <f aca="false">IF($J2118=0,0,IFERROR(MATCH(INDEX(ROTACAO_RDM!$N$6:$N$71,$J2118),PARAMETROS_CULTURAS!$B$6:$B$28,0),0))</f>
        <v>0</v>
      </c>
      <c r="Q2118" s="8" t="str">
        <f aca="false">IF($P2118=0,"-",IF($O2118&lt;=INDEX(PARAMETROS_CULTURAS!$F$6:$F$28,$P2118),"INICIAL",IF($O2118&lt;=INDEX(PARAMETROS_CULTURAS!$F$6:$F$28,$P2118)+INDEX(PARAMETROS_CULTURAS!$G$6:$G$28,$P2118),"DESENVOLVIMENTO",IF($O2118&lt;=INDEX(PARAMETROS_CULTURAS!$F$6:$F$28,$P2118)+INDEX(PARAMETROS_CULTURAS!$G$6:$G$28,$P2118)+INDEX(PARAMETROS_CULTURAS!$H$6:$H$28,$P2118),"MEDIA","FINAL"))))</f>
        <v>-</v>
      </c>
      <c r="R2118" s="24" t="n">
        <f aca="false">IF($P2118=0,0,IF($O2118&lt;=INDEX(PARAMETROS_CULTURAS!$F$6:$F$28,$P2118),INDEX(PARAMETROS_CULTURAS!$K$6:$K$28,$P2118),IF($O2118&lt;=INDEX(PARAMETROS_CULTURAS!$F$6:$F$28,$P2118)+INDEX(PARAMETROS_CULTURAS!$G$6:$G$28,$P2118),INDEX(PARAMETROS_CULTURAS!$K$6:$K$28,$P2118)+(INDEX(PARAMETROS_CULTURAS!$L$6:$L$28,$P2118)-INDEX(PARAMETROS_CULTURAS!$K$6:$K$28,$P2118))*($O2118-INDEX(PARAMETROS_CULTURAS!$F$6:$F$28,$P2118))/MAX(INDEX(PARAMETROS_CULTURAS!$G$6:$G$28,$P2118),0.0001),IF($O2118&lt;=INDEX(PARAMETROS_CULTURAS!$F$6:$F$28,$P2118)+INDEX(PARAMETROS_CULTURAS!$G$6:$G$28,$P2118)+INDEX(PARAMETROS_CULTURAS!$H$6:$H$28,$P2118),INDEX(PARAMETROS_CULTURAS!$L$6:$L$28,$P2118),INDEX(PARAMETROS_CULTURAS!$L$6:$L$28,$P2118)+(INDEX(PARAMETROS_CULTURAS!$M$6:$M$28,$P2118)-INDEX(PARAMETROS_CULTURAS!$L$6:$L$28,$P2118))*($O2118-INDEX(PARAMETROS_CULTURAS!$F$6:$F$28,$P2118)-INDEX(PARAMETROS_CULTURAS!$G$6:$G$28,$P2118)-INDEX(PARAMETROS_CULTURAS!$H$6:$H$28,$P2118))/MAX(INDEX(PARAMETROS_CULTURAS!$I$6:$I$28,$P2118),0.0001)))))</f>
        <v>0</v>
      </c>
      <c r="S2118" s="18" t="n">
        <f aca="false">IFERROR(INDEX(SEMANAS!$H$6:$H$71,MATCH($B2118,SEMANAS!$B$6:$B$71,0)),0)</f>
        <v>40</v>
      </c>
      <c r="T2118" s="18" t="n">
        <f aca="false">$R2118*$S2118</f>
        <v>0</v>
      </c>
      <c r="U2118" s="18" t="n">
        <f aca="false">IFERROR(INDEX(SEMANAS!$I$6:$I$71,MATCH($B2118,SEMANAS!$B$6:$B$71,0)),0)</f>
        <v>6.16</v>
      </c>
      <c r="V2118" s="18" t="n">
        <f aca="false">IFERROR(INDEX(SEMANAS!$J$6:$J$71,MATCH($B2118,SEMANAS!$B$6:$B$71,0)),0)</f>
        <v>4.928</v>
      </c>
      <c r="W2118" s="18" t="n">
        <f aca="false">MAX(0,$T2118-$V2118)</f>
        <v>0</v>
      </c>
      <c r="X2118" s="19" t="n">
        <f aca="false">IFERROR(INDEX(CADASTRO_PIVOS!$K$6:$K$41,MATCH($E2118,CADASTRO_PIVOS!$B$6:$B$41,0)),EFICIENCIA_PADRAO)</f>
        <v>0.85</v>
      </c>
      <c r="Y2118" s="18" t="n">
        <f aca="false">IF($X2118&lt;=0,0,$W2118/$X2118)</f>
        <v>0</v>
      </c>
      <c r="Z2118" s="16" t="n">
        <f aca="false">$Y2118*$H2118*MM_PARA_M3_HA</f>
        <v>0</v>
      </c>
      <c r="AA2118" s="18" t="n">
        <f aca="false">IFERROR(INDEX(CADASTRO_PIVOS!$I$6:$I$41,MATCH($E2118,CADASTRO_PIVOS!$B$6:$B$41,0)),0)</f>
        <v>526.666666666667</v>
      </c>
      <c r="AB2118" s="18" t="n">
        <f aca="false">IF($Z2118&lt;=0,0,$Z2118/$AA2118)</f>
        <v>0</v>
      </c>
      <c r="AC2118" s="16" t="n">
        <f aca="false">IFERROR(INDEX(SEMANAS!$K$6:$K$71,MATCH($B2118,SEMANAS!$B$6:$B$71,0)),0)</f>
        <v>147</v>
      </c>
      <c r="AD2118" s="19" t="n">
        <f aca="false">IF($AC2118&lt;=0,0,$AB2118/$AC2118)</f>
        <v>0</v>
      </c>
      <c r="AE2118" s="8" t="str">
        <f aca="false">IF($K2118="SEM CULTURA","SEM CULTURA",IF($AA2118&lt;=0,"DADO PENDENTE",IF($AD2118&gt;LIMITE_CRITICO,"INVIAVEL",IF($AD2118&gt;LIMITE_ATENCAO,"CRITICO",IF($AD2118&gt;LIMITE_CONFORTAVEL,"ATENCAO","OK")))))</f>
        <v>SEM CULTURA</v>
      </c>
      <c r="AF2118" s="8" t="str">
        <f aca="false">$B2118&amp;"|"&amp;TEXT($AD2118,"0.000000")</f>
        <v>1|0.000000</v>
      </c>
      <c r="AG2118" s="18" t="n">
        <f aca="false">IF($K2118="SEM CULTURA",0,$T2118*$H2118)</f>
        <v>0</v>
      </c>
      <c r="AH2118" s="18" t="n">
        <f aca="false">IF($K2118="SEM CULTURA",0,$V2118*$H2118)</f>
        <v>0</v>
      </c>
      <c r="AI2118" s="18" t="n">
        <f aca="false">IF($K2118="SEM CULTURA",0,$W2118*$H2118)</f>
        <v>0</v>
      </c>
      <c r="AJ2118" s="18" t="n">
        <f aca="false">IF($K2118="SEM CULTURA",0,$S2118*$H2118)</f>
        <v>0</v>
      </c>
      <c r="AK2118" s="8" t="str">
        <f aca="false">$E2118&amp;"|"&amp;TEXT($AD2118,"0.000000")</f>
        <v>PV 134|0.000000</v>
      </c>
    </row>
    <row r="2119" customFormat="false" ht="15" hidden="false" customHeight="false" outlineLevel="0" collapsed="false">
      <c r="B2119" s="16" t="n">
        <v>2</v>
      </c>
      <c r="C2119" s="17" t="n">
        <f aca="false">DATA_INICIO_SAFRA+($B2119-1)*DIAS_POR_SEMANA</f>
        <v>46272</v>
      </c>
      <c r="D2119" s="17" t="n">
        <f aca="false">$C2119+DIAS_POR_SEMANA-1</f>
        <v>46278</v>
      </c>
      <c r="E2119" s="15" t="s">
        <v>291</v>
      </c>
      <c r="F2119" s="8" t="str">
        <f aca="false">IFERROR(INDEX(CADASTRO_PIVOS!$C$6:$C$41,MATCH($E2119,CADASTRO_PIVOS!$B$6:$B$41,0)),"?")</f>
        <v>RM08</v>
      </c>
      <c r="G2119" s="8" t="str">
        <f aca="false">IFERROR(INDEX(CADASTRO_PIVOS!$D$6:$D$41,MATCH($E2119,CADASTRO_PIVOS!$B$6:$B$41,0)),"?")</f>
        <v>TR08</v>
      </c>
      <c r="H2119" s="20" t="n">
        <f aca="false">IFERROR(INDEX(CADASTRO_PIVOS!$E$6:$E$41,MATCH($E2119,CADASTRO_PIVOS!$B$6:$B$41,0)),0)</f>
        <v>79</v>
      </c>
      <c r="I2119" s="16" t="n">
        <f aca="false">IFERROR(SUMIFS(ROTACAO_RDM!$B$6:$B$71,ROTACAO_RDM!$D$6:$D$71,$E2119,ROTACAO_RDM!$I$6:$I$71,"&lt;="&amp;$C2119+INT(DIAS_POR_SEMANA/2),ROTACAO_RDM!$J$6:$J$71,"&gt;="&amp;$C2119+INT(DIAS_POR_SEMANA/2)),0)</f>
        <v>0</v>
      </c>
      <c r="J2119" s="16" t="n">
        <f aca="false">IFERROR(MATCH($I2119,ROTACAO_RDM!$B$6:$B$71,0),0)</f>
        <v>0</v>
      </c>
      <c r="K2119" s="8" t="str">
        <f aca="false">IF($J2119=0,"SEM CULTURA",INDEX(ROTACAO_RDM!$F$6:$F$71,$J2119))</f>
        <v>SEM CULTURA</v>
      </c>
      <c r="L2119" s="8" t="str">
        <f aca="false">IF($J2119=0,"",INDEX(ROTACAO_RDM!$G$6:$G$71,$J2119))</f>
        <v/>
      </c>
      <c r="M2119" s="17" t="str">
        <f aca="false">IF($J2119=0,"",INDEX(ROTACAO_RDM!$I$6:$I$71,$J2119))</f>
        <v/>
      </c>
      <c r="N2119" s="16" t="n">
        <f aca="false">IF($J2119=0,0,MAX(0,$C2119+INT(DIAS_POR_SEMANA/2)-INDEX(ROTACAO_RDM!$I$6:$I$71,$J2119)))</f>
        <v>0</v>
      </c>
      <c r="O2119" s="19" t="n">
        <f aca="false">IF($J2119=0,0,MIN(1,$N2119/MAX(1,INDEX(ROTACAO_RDM!$K$6:$K$71,$J2119))))</f>
        <v>0</v>
      </c>
      <c r="P2119" s="16" t="n">
        <f aca="false">IF($J2119=0,0,IFERROR(MATCH(INDEX(ROTACAO_RDM!$N$6:$N$71,$J2119),PARAMETROS_CULTURAS!$B$6:$B$28,0),0))</f>
        <v>0</v>
      </c>
      <c r="Q2119" s="8" t="str">
        <f aca="false">IF($P2119=0,"-",IF($O2119&lt;=INDEX(PARAMETROS_CULTURAS!$F$6:$F$28,$P2119),"INICIAL",IF($O2119&lt;=INDEX(PARAMETROS_CULTURAS!$F$6:$F$28,$P2119)+INDEX(PARAMETROS_CULTURAS!$G$6:$G$28,$P2119),"DESENVOLVIMENTO",IF($O2119&lt;=INDEX(PARAMETROS_CULTURAS!$F$6:$F$28,$P2119)+INDEX(PARAMETROS_CULTURAS!$G$6:$G$28,$P2119)+INDEX(PARAMETROS_CULTURAS!$H$6:$H$28,$P2119),"MEDIA","FINAL"))))</f>
        <v>-</v>
      </c>
      <c r="R2119" s="24" t="n">
        <f aca="false">IF($P2119=0,0,IF($O2119&lt;=INDEX(PARAMETROS_CULTURAS!$F$6:$F$28,$P2119),INDEX(PARAMETROS_CULTURAS!$K$6:$K$28,$P2119),IF($O2119&lt;=INDEX(PARAMETROS_CULTURAS!$F$6:$F$28,$P2119)+INDEX(PARAMETROS_CULTURAS!$G$6:$G$28,$P2119),INDEX(PARAMETROS_CULTURAS!$K$6:$K$28,$P2119)+(INDEX(PARAMETROS_CULTURAS!$L$6:$L$28,$P2119)-INDEX(PARAMETROS_CULTURAS!$K$6:$K$28,$P2119))*($O2119-INDEX(PARAMETROS_CULTURAS!$F$6:$F$28,$P2119))/MAX(INDEX(PARAMETROS_CULTURAS!$G$6:$G$28,$P2119),0.0001),IF($O2119&lt;=INDEX(PARAMETROS_CULTURAS!$F$6:$F$28,$P2119)+INDEX(PARAMETROS_CULTURAS!$G$6:$G$28,$P2119)+INDEX(PARAMETROS_CULTURAS!$H$6:$H$28,$P2119),INDEX(PARAMETROS_CULTURAS!$L$6:$L$28,$P2119),INDEX(PARAMETROS_CULTURAS!$L$6:$L$28,$P2119)+(INDEX(PARAMETROS_CULTURAS!$M$6:$M$28,$P2119)-INDEX(PARAMETROS_CULTURAS!$L$6:$L$28,$P2119))*($O2119-INDEX(PARAMETROS_CULTURAS!$F$6:$F$28,$P2119)-INDEX(PARAMETROS_CULTURAS!$G$6:$G$28,$P2119)-INDEX(PARAMETROS_CULTURAS!$H$6:$H$28,$P2119))/MAX(INDEX(PARAMETROS_CULTURAS!$I$6:$I$28,$P2119),0.0001)))))</f>
        <v>0</v>
      </c>
      <c r="S2119" s="18" t="n">
        <f aca="false">IFERROR(INDEX(SEMANAS!$H$6:$H$71,MATCH($B2119,SEMANAS!$B$6:$B$71,0)),0)</f>
        <v>40.6</v>
      </c>
      <c r="T2119" s="18" t="n">
        <f aca="false">$R2119*$S2119</f>
        <v>0</v>
      </c>
      <c r="U2119" s="18" t="n">
        <f aca="false">IFERROR(INDEX(SEMANAS!$I$6:$I$71,MATCH($B2119,SEMANAS!$B$6:$B$71,0)),0)</f>
        <v>7</v>
      </c>
      <c r="V2119" s="18" t="n">
        <f aca="false">IFERROR(INDEX(SEMANAS!$J$6:$J$71,MATCH($B2119,SEMANAS!$B$6:$B$71,0)),0)</f>
        <v>5.6</v>
      </c>
      <c r="W2119" s="18" t="n">
        <f aca="false">MAX(0,$T2119-$V2119)</f>
        <v>0</v>
      </c>
      <c r="X2119" s="19" t="n">
        <f aca="false">IFERROR(INDEX(CADASTRO_PIVOS!$K$6:$K$41,MATCH($E2119,CADASTRO_PIVOS!$B$6:$B$41,0)),EFICIENCIA_PADRAO)</f>
        <v>0.85</v>
      </c>
      <c r="Y2119" s="18" t="n">
        <f aca="false">IF($X2119&lt;=0,0,$W2119/$X2119)</f>
        <v>0</v>
      </c>
      <c r="Z2119" s="16" t="n">
        <f aca="false">$Y2119*$H2119*MM_PARA_M3_HA</f>
        <v>0</v>
      </c>
      <c r="AA2119" s="18" t="n">
        <f aca="false">IFERROR(INDEX(CADASTRO_PIVOS!$I$6:$I$41,MATCH($E2119,CADASTRO_PIVOS!$B$6:$B$41,0)),0)</f>
        <v>526.666666666667</v>
      </c>
      <c r="AB2119" s="18" t="n">
        <f aca="false">IF($Z2119&lt;=0,0,$Z2119/$AA2119)</f>
        <v>0</v>
      </c>
      <c r="AC2119" s="16" t="n">
        <f aca="false">IFERROR(INDEX(SEMANAS!$K$6:$K$71,MATCH($B2119,SEMANAS!$B$6:$B$71,0)),0)</f>
        <v>147</v>
      </c>
      <c r="AD2119" s="19" t="n">
        <f aca="false">IF($AC2119&lt;=0,0,$AB2119/$AC2119)</f>
        <v>0</v>
      </c>
      <c r="AE2119" s="8" t="str">
        <f aca="false">IF($K2119="SEM CULTURA","SEM CULTURA",IF($AA2119&lt;=0,"DADO PENDENTE",IF($AD2119&gt;LIMITE_CRITICO,"INVIAVEL",IF($AD2119&gt;LIMITE_ATENCAO,"CRITICO",IF($AD2119&gt;LIMITE_CONFORTAVEL,"ATENCAO","OK")))))</f>
        <v>SEM CULTURA</v>
      </c>
      <c r="AF2119" s="8" t="str">
        <f aca="false">$B2119&amp;"|"&amp;TEXT($AD2119,"0.000000")</f>
        <v>2|0.000000</v>
      </c>
      <c r="AG2119" s="18" t="n">
        <f aca="false">IF($K2119="SEM CULTURA",0,$T2119*$H2119)</f>
        <v>0</v>
      </c>
      <c r="AH2119" s="18" t="n">
        <f aca="false">IF($K2119="SEM CULTURA",0,$V2119*$H2119)</f>
        <v>0</v>
      </c>
      <c r="AI2119" s="18" t="n">
        <f aca="false">IF($K2119="SEM CULTURA",0,$W2119*$H2119)</f>
        <v>0</v>
      </c>
      <c r="AJ2119" s="18" t="n">
        <f aca="false">IF($K2119="SEM CULTURA",0,$S2119*$H2119)</f>
        <v>0</v>
      </c>
      <c r="AK2119" s="8" t="str">
        <f aca="false">$E2119&amp;"|"&amp;TEXT($AD2119,"0.000000")</f>
        <v>PV 134|0.000000</v>
      </c>
    </row>
    <row r="2120" customFormat="false" ht="15" hidden="false" customHeight="false" outlineLevel="0" collapsed="false">
      <c r="B2120" s="16" t="n">
        <v>3</v>
      </c>
      <c r="C2120" s="17" t="n">
        <f aca="false">DATA_INICIO_SAFRA+($B2120-1)*DIAS_POR_SEMANA</f>
        <v>46279</v>
      </c>
      <c r="D2120" s="17" t="n">
        <f aca="false">$C2120+DIAS_POR_SEMANA-1</f>
        <v>46285</v>
      </c>
      <c r="E2120" s="15" t="s">
        <v>291</v>
      </c>
      <c r="F2120" s="8" t="str">
        <f aca="false">IFERROR(INDEX(CADASTRO_PIVOS!$C$6:$C$41,MATCH($E2120,CADASTRO_PIVOS!$B$6:$B$41,0)),"?")</f>
        <v>RM08</v>
      </c>
      <c r="G2120" s="8" t="str">
        <f aca="false">IFERROR(INDEX(CADASTRO_PIVOS!$D$6:$D$41,MATCH($E2120,CADASTRO_PIVOS!$B$6:$B$41,0)),"?")</f>
        <v>TR08</v>
      </c>
      <c r="H2120" s="20" t="n">
        <f aca="false">IFERROR(INDEX(CADASTRO_PIVOS!$E$6:$E$41,MATCH($E2120,CADASTRO_PIVOS!$B$6:$B$41,0)),0)</f>
        <v>79</v>
      </c>
      <c r="I2120" s="16" t="n">
        <f aca="false">IFERROR(SUMIFS(ROTACAO_RDM!$B$6:$B$71,ROTACAO_RDM!$D$6:$D$71,$E2120,ROTACAO_RDM!$I$6:$I$71,"&lt;="&amp;$C2120+INT(DIAS_POR_SEMANA/2),ROTACAO_RDM!$J$6:$J$71,"&gt;="&amp;$C2120+INT(DIAS_POR_SEMANA/2)),0)</f>
        <v>0</v>
      </c>
      <c r="J2120" s="16" t="n">
        <f aca="false">IFERROR(MATCH($I2120,ROTACAO_RDM!$B$6:$B$71,0),0)</f>
        <v>0</v>
      </c>
      <c r="K2120" s="8" t="str">
        <f aca="false">IF($J2120=0,"SEM CULTURA",INDEX(ROTACAO_RDM!$F$6:$F$71,$J2120))</f>
        <v>SEM CULTURA</v>
      </c>
      <c r="L2120" s="8" t="str">
        <f aca="false">IF($J2120=0,"",INDEX(ROTACAO_RDM!$G$6:$G$71,$J2120))</f>
        <v/>
      </c>
      <c r="M2120" s="17" t="str">
        <f aca="false">IF($J2120=0,"",INDEX(ROTACAO_RDM!$I$6:$I$71,$J2120))</f>
        <v/>
      </c>
      <c r="N2120" s="16" t="n">
        <f aca="false">IF($J2120=0,0,MAX(0,$C2120+INT(DIAS_POR_SEMANA/2)-INDEX(ROTACAO_RDM!$I$6:$I$71,$J2120)))</f>
        <v>0</v>
      </c>
      <c r="O2120" s="19" t="n">
        <f aca="false">IF($J2120=0,0,MIN(1,$N2120/MAX(1,INDEX(ROTACAO_RDM!$K$6:$K$71,$J2120))))</f>
        <v>0</v>
      </c>
      <c r="P2120" s="16" t="n">
        <f aca="false">IF($J2120=0,0,IFERROR(MATCH(INDEX(ROTACAO_RDM!$N$6:$N$71,$J2120),PARAMETROS_CULTURAS!$B$6:$B$28,0),0))</f>
        <v>0</v>
      </c>
      <c r="Q2120" s="8" t="str">
        <f aca="false">IF($P2120=0,"-",IF($O2120&lt;=INDEX(PARAMETROS_CULTURAS!$F$6:$F$28,$P2120),"INICIAL",IF($O2120&lt;=INDEX(PARAMETROS_CULTURAS!$F$6:$F$28,$P2120)+INDEX(PARAMETROS_CULTURAS!$G$6:$G$28,$P2120),"DESENVOLVIMENTO",IF($O2120&lt;=INDEX(PARAMETROS_CULTURAS!$F$6:$F$28,$P2120)+INDEX(PARAMETROS_CULTURAS!$G$6:$G$28,$P2120)+INDEX(PARAMETROS_CULTURAS!$H$6:$H$28,$P2120),"MEDIA","FINAL"))))</f>
        <v>-</v>
      </c>
      <c r="R2120" s="24" t="n">
        <f aca="false">IF($P2120=0,0,IF($O2120&lt;=INDEX(PARAMETROS_CULTURAS!$F$6:$F$28,$P2120),INDEX(PARAMETROS_CULTURAS!$K$6:$K$28,$P2120),IF($O2120&lt;=INDEX(PARAMETROS_CULTURAS!$F$6:$F$28,$P2120)+INDEX(PARAMETROS_CULTURAS!$G$6:$G$28,$P2120),INDEX(PARAMETROS_CULTURAS!$K$6:$K$28,$P2120)+(INDEX(PARAMETROS_CULTURAS!$L$6:$L$28,$P2120)-INDEX(PARAMETROS_CULTURAS!$K$6:$K$28,$P2120))*($O2120-INDEX(PARAMETROS_CULTURAS!$F$6:$F$28,$P2120))/MAX(INDEX(PARAMETROS_CULTURAS!$G$6:$G$28,$P2120),0.0001),IF($O2120&lt;=INDEX(PARAMETROS_CULTURAS!$F$6:$F$28,$P2120)+INDEX(PARAMETROS_CULTURAS!$G$6:$G$28,$P2120)+INDEX(PARAMETROS_CULTURAS!$H$6:$H$28,$P2120),INDEX(PARAMETROS_CULTURAS!$L$6:$L$28,$P2120),INDEX(PARAMETROS_CULTURAS!$L$6:$L$28,$P2120)+(INDEX(PARAMETROS_CULTURAS!$M$6:$M$28,$P2120)-INDEX(PARAMETROS_CULTURAS!$L$6:$L$28,$P2120))*($O2120-INDEX(PARAMETROS_CULTURAS!$F$6:$F$28,$P2120)-INDEX(PARAMETROS_CULTURAS!$G$6:$G$28,$P2120)-INDEX(PARAMETROS_CULTURAS!$H$6:$H$28,$P2120))/MAX(INDEX(PARAMETROS_CULTURAS!$I$6:$I$28,$P2120),0.0001)))))</f>
        <v>0</v>
      </c>
      <c r="S2120" s="18" t="n">
        <f aca="false">IFERROR(INDEX(SEMANAS!$H$6:$H$71,MATCH($B2120,SEMANAS!$B$6:$B$71,0)),0)</f>
        <v>40.6</v>
      </c>
      <c r="T2120" s="18" t="n">
        <f aca="false">$R2120*$S2120</f>
        <v>0</v>
      </c>
      <c r="U2120" s="18" t="n">
        <f aca="false">IFERROR(INDEX(SEMANAS!$I$6:$I$71,MATCH($B2120,SEMANAS!$B$6:$B$71,0)),0)</f>
        <v>7</v>
      </c>
      <c r="V2120" s="18" t="n">
        <f aca="false">IFERROR(INDEX(SEMANAS!$J$6:$J$71,MATCH($B2120,SEMANAS!$B$6:$B$71,0)),0)</f>
        <v>5.6</v>
      </c>
      <c r="W2120" s="18" t="n">
        <f aca="false">MAX(0,$T2120-$V2120)</f>
        <v>0</v>
      </c>
      <c r="X2120" s="19" t="n">
        <f aca="false">IFERROR(INDEX(CADASTRO_PIVOS!$K$6:$K$41,MATCH($E2120,CADASTRO_PIVOS!$B$6:$B$41,0)),EFICIENCIA_PADRAO)</f>
        <v>0.85</v>
      </c>
      <c r="Y2120" s="18" t="n">
        <f aca="false">IF($X2120&lt;=0,0,$W2120/$X2120)</f>
        <v>0</v>
      </c>
      <c r="Z2120" s="16" t="n">
        <f aca="false">$Y2120*$H2120*MM_PARA_M3_HA</f>
        <v>0</v>
      </c>
      <c r="AA2120" s="18" t="n">
        <f aca="false">IFERROR(INDEX(CADASTRO_PIVOS!$I$6:$I$41,MATCH($E2120,CADASTRO_PIVOS!$B$6:$B$41,0)),0)</f>
        <v>526.666666666667</v>
      </c>
      <c r="AB2120" s="18" t="n">
        <f aca="false">IF($Z2120&lt;=0,0,$Z2120/$AA2120)</f>
        <v>0</v>
      </c>
      <c r="AC2120" s="16" t="n">
        <f aca="false">IFERROR(INDEX(SEMANAS!$K$6:$K$71,MATCH($B2120,SEMANAS!$B$6:$B$71,0)),0)</f>
        <v>147</v>
      </c>
      <c r="AD2120" s="19" t="n">
        <f aca="false">IF($AC2120&lt;=0,0,$AB2120/$AC2120)</f>
        <v>0</v>
      </c>
      <c r="AE2120" s="8" t="str">
        <f aca="false">IF($K2120="SEM CULTURA","SEM CULTURA",IF($AA2120&lt;=0,"DADO PENDENTE",IF($AD2120&gt;LIMITE_CRITICO,"INVIAVEL",IF($AD2120&gt;LIMITE_ATENCAO,"CRITICO",IF($AD2120&gt;LIMITE_CONFORTAVEL,"ATENCAO","OK")))))</f>
        <v>SEM CULTURA</v>
      </c>
      <c r="AF2120" s="8" t="str">
        <f aca="false">$B2120&amp;"|"&amp;TEXT($AD2120,"0.000000")</f>
        <v>3|0.000000</v>
      </c>
      <c r="AG2120" s="18" t="n">
        <f aca="false">IF($K2120="SEM CULTURA",0,$T2120*$H2120)</f>
        <v>0</v>
      </c>
      <c r="AH2120" s="18" t="n">
        <f aca="false">IF($K2120="SEM CULTURA",0,$V2120*$H2120)</f>
        <v>0</v>
      </c>
      <c r="AI2120" s="18" t="n">
        <f aca="false">IF($K2120="SEM CULTURA",0,$W2120*$H2120)</f>
        <v>0</v>
      </c>
      <c r="AJ2120" s="18" t="n">
        <f aca="false">IF($K2120="SEM CULTURA",0,$S2120*$H2120)</f>
        <v>0</v>
      </c>
      <c r="AK2120" s="8" t="str">
        <f aca="false">$E2120&amp;"|"&amp;TEXT($AD2120,"0.000000")</f>
        <v>PV 134|0.000000</v>
      </c>
    </row>
    <row r="2121" customFormat="false" ht="15" hidden="false" customHeight="false" outlineLevel="0" collapsed="false">
      <c r="B2121" s="16" t="n">
        <v>4</v>
      </c>
      <c r="C2121" s="17" t="n">
        <f aca="false">DATA_INICIO_SAFRA+($B2121-1)*DIAS_POR_SEMANA</f>
        <v>46286</v>
      </c>
      <c r="D2121" s="17" t="n">
        <f aca="false">$C2121+DIAS_POR_SEMANA-1</f>
        <v>46292</v>
      </c>
      <c r="E2121" s="15" t="s">
        <v>291</v>
      </c>
      <c r="F2121" s="8" t="str">
        <f aca="false">IFERROR(INDEX(CADASTRO_PIVOS!$C$6:$C$41,MATCH($E2121,CADASTRO_PIVOS!$B$6:$B$41,0)),"?")</f>
        <v>RM08</v>
      </c>
      <c r="G2121" s="8" t="str">
        <f aca="false">IFERROR(INDEX(CADASTRO_PIVOS!$D$6:$D$41,MATCH($E2121,CADASTRO_PIVOS!$B$6:$B$41,0)),"?")</f>
        <v>TR08</v>
      </c>
      <c r="H2121" s="20" t="n">
        <f aca="false">IFERROR(INDEX(CADASTRO_PIVOS!$E$6:$E$41,MATCH($E2121,CADASTRO_PIVOS!$B$6:$B$41,0)),0)</f>
        <v>79</v>
      </c>
      <c r="I2121" s="16" t="n">
        <f aca="false">IFERROR(SUMIFS(ROTACAO_RDM!$B$6:$B$71,ROTACAO_RDM!$D$6:$D$71,$E2121,ROTACAO_RDM!$I$6:$I$71,"&lt;="&amp;$C2121+INT(DIAS_POR_SEMANA/2),ROTACAO_RDM!$J$6:$J$71,"&gt;="&amp;$C2121+INT(DIAS_POR_SEMANA/2)),0)</f>
        <v>0</v>
      </c>
      <c r="J2121" s="16" t="n">
        <f aca="false">IFERROR(MATCH($I2121,ROTACAO_RDM!$B$6:$B$71,0),0)</f>
        <v>0</v>
      </c>
      <c r="K2121" s="8" t="str">
        <f aca="false">IF($J2121=0,"SEM CULTURA",INDEX(ROTACAO_RDM!$F$6:$F$71,$J2121))</f>
        <v>SEM CULTURA</v>
      </c>
      <c r="L2121" s="8" t="str">
        <f aca="false">IF($J2121=0,"",INDEX(ROTACAO_RDM!$G$6:$G$71,$J2121))</f>
        <v/>
      </c>
      <c r="M2121" s="17" t="str">
        <f aca="false">IF($J2121=0,"",INDEX(ROTACAO_RDM!$I$6:$I$71,$J2121))</f>
        <v/>
      </c>
      <c r="N2121" s="16" t="n">
        <f aca="false">IF($J2121=0,0,MAX(0,$C2121+INT(DIAS_POR_SEMANA/2)-INDEX(ROTACAO_RDM!$I$6:$I$71,$J2121)))</f>
        <v>0</v>
      </c>
      <c r="O2121" s="19" t="n">
        <f aca="false">IF($J2121=0,0,MIN(1,$N2121/MAX(1,INDEX(ROTACAO_RDM!$K$6:$K$71,$J2121))))</f>
        <v>0</v>
      </c>
      <c r="P2121" s="16" t="n">
        <f aca="false">IF($J2121=0,0,IFERROR(MATCH(INDEX(ROTACAO_RDM!$N$6:$N$71,$J2121),PARAMETROS_CULTURAS!$B$6:$B$28,0),0))</f>
        <v>0</v>
      </c>
      <c r="Q2121" s="8" t="str">
        <f aca="false">IF($P2121=0,"-",IF($O2121&lt;=INDEX(PARAMETROS_CULTURAS!$F$6:$F$28,$P2121),"INICIAL",IF($O2121&lt;=INDEX(PARAMETROS_CULTURAS!$F$6:$F$28,$P2121)+INDEX(PARAMETROS_CULTURAS!$G$6:$G$28,$P2121),"DESENVOLVIMENTO",IF($O2121&lt;=INDEX(PARAMETROS_CULTURAS!$F$6:$F$28,$P2121)+INDEX(PARAMETROS_CULTURAS!$G$6:$G$28,$P2121)+INDEX(PARAMETROS_CULTURAS!$H$6:$H$28,$P2121),"MEDIA","FINAL"))))</f>
        <v>-</v>
      </c>
      <c r="R2121" s="24" t="n">
        <f aca="false">IF($P2121=0,0,IF($O2121&lt;=INDEX(PARAMETROS_CULTURAS!$F$6:$F$28,$P2121),INDEX(PARAMETROS_CULTURAS!$K$6:$K$28,$P2121),IF($O2121&lt;=INDEX(PARAMETROS_CULTURAS!$F$6:$F$28,$P2121)+INDEX(PARAMETROS_CULTURAS!$G$6:$G$28,$P2121),INDEX(PARAMETROS_CULTURAS!$K$6:$K$28,$P2121)+(INDEX(PARAMETROS_CULTURAS!$L$6:$L$28,$P2121)-INDEX(PARAMETROS_CULTURAS!$K$6:$K$28,$P2121))*($O2121-INDEX(PARAMETROS_CULTURAS!$F$6:$F$28,$P2121))/MAX(INDEX(PARAMETROS_CULTURAS!$G$6:$G$28,$P2121),0.0001),IF($O2121&lt;=INDEX(PARAMETROS_CULTURAS!$F$6:$F$28,$P2121)+INDEX(PARAMETROS_CULTURAS!$G$6:$G$28,$P2121)+INDEX(PARAMETROS_CULTURAS!$H$6:$H$28,$P2121),INDEX(PARAMETROS_CULTURAS!$L$6:$L$28,$P2121),INDEX(PARAMETROS_CULTURAS!$L$6:$L$28,$P2121)+(INDEX(PARAMETROS_CULTURAS!$M$6:$M$28,$P2121)-INDEX(PARAMETROS_CULTURAS!$L$6:$L$28,$P2121))*($O2121-INDEX(PARAMETROS_CULTURAS!$F$6:$F$28,$P2121)-INDEX(PARAMETROS_CULTURAS!$G$6:$G$28,$P2121)-INDEX(PARAMETROS_CULTURAS!$H$6:$H$28,$P2121))/MAX(INDEX(PARAMETROS_CULTURAS!$I$6:$I$28,$P2121),0.0001)))))</f>
        <v>0</v>
      </c>
      <c r="S2121" s="18" t="n">
        <f aca="false">IFERROR(INDEX(SEMANAS!$H$6:$H$71,MATCH($B2121,SEMANAS!$B$6:$B$71,0)),0)</f>
        <v>40.6</v>
      </c>
      <c r="T2121" s="18" t="n">
        <f aca="false">$R2121*$S2121</f>
        <v>0</v>
      </c>
      <c r="U2121" s="18" t="n">
        <f aca="false">IFERROR(INDEX(SEMANAS!$I$6:$I$71,MATCH($B2121,SEMANAS!$B$6:$B$71,0)),0)</f>
        <v>7</v>
      </c>
      <c r="V2121" s="18" t="n">
        <f aca="false">IFERROR(INDEX(SEMANAS!$J$6:$J$71,MATCH($B2121,SEMANAS!$B$6:$B$71,0)),0)</f>
        <v>5.6</v>
      </c>
      <c r="W2121" s="18" t="n">
        <f aca="false">MAX(0,$T2121-$V2121)</f>
        <v>0</v>
      </c>
      <c r="X2121" s="19" t="n">
        <f aca="false">IFERROR(INDEX(CADASTRO_PIVOS!$K$6:$K$41,MATCH($E2121,CADASTRO_PIVOS!$B$6:$B$41,0)),EFICIENCIA_PADRAO)</f>
        <v>0.85</v>
      </c>
      <c r="Y2121" s="18" t="n">
        <f aca="false">IF($X2121&lt;=0,0,$W2121/$X2121)</f>
        <v>0</v>
      </c>
      <c r="Z2121" s="16" t="n">
        <f aca="false">$Y2121*$H2121*MM_PARA_M3_HA</f>
        <v>0</v>
      </c>
      <c r="AA2121" s="18" t="n">
        <f aca="false">IFERROR(INDEX(CADASTRO_PIVOS!$I$6:$I$41,MATCH($E2121,CADASTRO_PIVOS!$B$6:$B$41,0)),0)</f>
        <v>526.666666666667</v>
      </c>
      <c r="AB2121" s="18" t="n">
        <f aca="false">IF($Z2121&lt;=0,0,$Z2121/$AA2121)</f>
        <v>0</v>
      </c>
      <c r="AC2121" s="16" t="n">
        <f aca="false">IFERROR(INDEX(SEMANAS!$K$6:$K$71,MATCH($B2121,SEMANAS!$B$6:$B$71,0)),0)</f>
        <v>147</v>
      </c>
      <c r="AD2121" s="19" t="n">
        <f aca="false">IF($AC2121&lt;=0,0,$AB2121/$AC2121)</f>
        <v>0</v>
      </c>
      <c r="AE2121" s="8" t="str">
        <f aca="false">IF($K2121="SEM CULTURA","SEM CULTURA",IF($AA2121&lt;=0,"DADO PENDENTE",IF($AD2121&gt;LIMITE_CRITICO,"INVIAVEL",IF($AD2121&gt;LIMITE_ATENCAO,"CRITICO",IF($AD2121&gt;LIMITE_CONFORTAVEL,"ATENCAO","OK")))))</f>
        <v>SEM CULTURA</v>
      </c>
      <c r="AF2121" s="8" t="str">
        <f aca="false">$B2121&amp;"|"&amp;TEXT($AD2121,"0.000000")</f>
        <v>4|0.000000</v>
      </c>
      <c r="AG2121" s="18" t="n">
        <f aca="false">IF($K2121="SEM CULTURA",0,$T2121*$H2121)</f>
        <v>0</v>
      </c>
      <c r="AH2121" s="18" t="n">
        <f aca="false">IF($K2121="SEM CULTURA",0,$V2121*$H2121)</f>
        <v>0</v>
      </c>
      <c r="AI2121" s="18" t="n">
        <f aca="false">IF($K2121="SEM CULTURA",0,$W2121*$H2121)</f>
        <v>0</v>
      </c>
      <c r="AJ2121" s="18" t="n">
        <f aca="false">IF($K2121="SEM CULTURA",0,$S2121*$H2121)</f>
        <v>0</v>
      </c>
      <c r="AK2121" s="8" t="str">
        <f aca="false">$E2121&amp;"|"&amp;TEXT($AD2121,"0.000000")</f>
        <v>PV 134|0.000000</v>
      </c>
    </row>
    <row r="2122" customFormat="false" ht="15" hidden="false" customHeight="false" outlineLevel="0" collapsed="false">
      <c r="B2122" s="16" t="n">
        <v>5</v>
      </c>
      <c r="C2122" s="17" t="n">
        <f aca="false">DATA_INICIO_SAFRA+($B2122-1)*DIAS_POR_SEMANA</f>
        <v>46293</v>
      </c>
      <c r="D2122" s="17" t="n">
        <f aca="false">$C2122+DIAS_POR_SEMANA-1</f>
        <v>46299</v>
      </c>
      <c r="E2122" s="15" t="s">
        <v>291</v>
      </c>
      <c r="F2122" s="8" t="str">
        <f aca="false">IFERROR(INDEX(CADASTRO_PIVOS!$C$6:$C$41,MATCH($E2122,CADASTRO_PIVOS!$B$6:$B$41,0)),"?")</f>
        <v>RM08</v>
      </c>
      <c r="G2122" s="8" t="str">
        <f aca="false">IFERROR(INDEX(CADASTRO_PIVOS!$D$6:$D$41,MATCH($E2122,CADASTRO_PIVOS!$B$6:$B$41,0)),"?")</f>
        <v>TR08</v>
      </c>
      <c r="H2122" s="20" t="n">
        <f aca="false">IFERROR(INDEX(CADASTRO_PIVOS!$E$6:$E$41,MATCH($E2122,CADASTRO_PIVOS!$B$6:$B$41,0)),0)</f>
        <v>79</v>
      </c>
      <c r="I2122" s="16" t="n">
        <f aca="false">IFERROR(SUMIFS(ROTACAO_RDM!$B$6:$B$71,ROTACAO_RDM!$D$6:$D$71,$E2122,ROTACAO_RDM!$I$6:$I$71,"&lt;="&amp;$C2122+INT(DIAS_POR_SEMANA/2),ROTACAO_RDM!$J$6:$J$71,"&gt;="&amp;$C2122+INT(DIAS_POR_SEMANA/2)),0)</f>
        <v>0</v>
      </c>
      <c r="J2122" s="16" t="n">
        <f aca="false">IFERROR(MATCH($I2122,ROTACAO_RDM!$B$6:$B$71,0),0)</f>
        <v>0</v>
      </c>
      <c r="K2122" s="8" t="str">
        <f aca="false">IF($J2122=0,"SEM CULTURA",INDEX(ROTACAO_RDM!$F$6:$F$71,$J2122))</f>
        <v>SEM CULTURA</v>
      </c>
      <c r="L2122" s="8" t="str">
        <f aca="false">IF($J2122=0,"",INDEX(ROTACAO_RDM!$G$6:$G$71,$J2122))</f>
        <v/>
      </c>
      <c r="M2122" s="17" t="str">
        <f aca="false">IF($J2122=0,"",INDEX(ROTACAO_RDM!$I$6:$I$71,$J2122))</f>
        <v/>
      </c>
      <c r="N2122" s="16" t="n">
        <f aca="false">IF($J2122=0,0,MAX(0,$C2122+INT(DIAS_POR_SEMANA/2)-INDEX(ROTACAO_RDM!$I$6:$I$71,$J2122)))</f>
        <v>0</v>
      </c>
      <c r="O2122" s="19" t="n">
        <f aca="false">IF($J2122=0,0,MIN(1,$N2122/MAX(1,INDEX(ROTACAO_RDM!$K$6:$K$71,$J2122))))</f>
        <v>0</v>
      </c>
      <c r="P2122" s="16" t="n">
        <f aca="false">IF($J2122=0,0,IFERROR(MATCH(INDEX(ROTACAO_RDM!$N$6:$N$71,$J2122),PARAMETROS_CULTURAS!$B$6:$B$28,0),0))</f>
        <v>0</v>
      </c>
      <c r="Q2122" s="8" t="str">
        <f aca="false">IF($P2122=0,"-",IF($O2122&lt;=INDEX(PARAMETROS_CULTURAS!$F$6:$F$28,$P2122),"INICIAL",IF($O2122&lt;=INDEX(PARAMETROS_CULTURAS!$F$6:$F$28,$P2122)+INDEX(PARAMETROS_CULTURAS!$G$6:$G$28,$P2122),"DESENVOLVIMENTO",IF($O2122&lt;=INDEX(PARAMETROS_CULTURAS!$F$6:$F$28,$P2122)+INDEX(PARAMETROS_CULTURAS!$G$6:$G$28,$P2122)+INDEX(PARAMETROS_CULTURAS!$H$6:$H$28,$P2122),"MEDIA","FINAL"))))</f>
        <v>-</v>
      </c>
      <c r="R2122" s="24" t="n">
        <f aca="false">IF($P2122=0,0,IF($O2122&lt;=INDEX(PARAMETROS_CULTURAS!$F$6:$F$28,$P2122),INDEX(PARAMETROS_CULTURAS!$K$6:$K$28,$P2122),IF($O2122&lt;=INDEX(PARAMETROS_CULTURAS!$F$6:$F$28,$P2122)+INDEX(PARAMETROS_CULTURAS!$G$6:$G$28,$P2122),INDEX(PARAMETROS_CULTURAS!$K$6:$K$28,$P2122)+(INDEX(PARAMETROS_CULTURAS!$L$6:$L$28,$P2122)-INDEX(PARAMETROS_CULTURAS!$K$6:$K$28,$P2122))*($O2122-INDEX(PARAMETROS_CULTURAS!$F$6:$F$28,$P2122))/MAX(INDEX(PARAMETROS_CULTURAS!$G$6:$G$28,$P2122),0.0001),IF($O2122&lt;=INDEX(PARAMETROS_CULTURAS!$F$6:$F$28,$P2122)+INDEX(PARAMETROS_CULTURAS!$G$6:$G$28,$P2122)+INDEX(PARAMETROS_CULTURAS!$H$6:$H$28,$P2122),INDEX(PARAMETROS_CULTURAS!$L$6:$L$28,$P2122),INDEX(PARAMETROS_CULTURAS!$L$6:$L$28,$P2122)+(INDEX(PARAMETROS_CULTURAS!$M$6:$M$28,$P2122)-INDEX(PARAMETROS_CULTURAS!$L$6:$L$28,$P2122))*($O2122-INDEX(PARAMETROS_CULTURAS!$F$6:$F$28,$P2122)-INDEX(PARAMETROS_CULTURAS!$G$6:$G$28,$P2122)-INDEX(PARAMETROS_CULTURAS!$H$6:$H$28,$P2122))/MAX(INDEX(PARAMETROS_CULTURAS!$I$6:$I$28,$P2122),0.0001)))))</f>
        <v>0</v>
      </c>
      <c r="S2122" s="18" t="n">
        <f aca="false">IFERROR(INDEX(SEMANAS!$H$6:$H$71,MATCH($B2122,SEMANAS!$B$6:$B$71,0)),0)</f>
        <v>39.8</v>
      </c>
      <c r="T2122" s="18" t="n">
        <f aca="false">$R2122*$S2122</f>
        <v>0</v>
      </c>
      <c r="U2122" s="18" t="n">
        <f aca="false">IFERROR(INDEX(SEMANAS!$I$6:$I$71,MATCH($B2122,SEMANAS!$B$6:$B$71,0)),0)</f>
        <v>18.48</v>
      </c>
      <c r="V2122" s="18" t="n">
        <f aca="false">IFERROR(INDEX(SEMANAS!$J$6:$J$71,MATCH($B2122,SEMANAS!$B$6:$B$71,0)),0)</f>
        <v>14.784</v>
      </c>
      <c r="W2122" s="18" t="n">
        <f aca="false">MAX(0,$T2122-$V2122)</f>
        <v>0</v>
      </c>
      <c r="X2122" s="19" t="n">
        <f aca="false">IFERROR(INDEX(CADASTRO_PIVOS!$K$6:$K$41,MATCH($E2122,CADASTRO_PIVOS!$B$6:$B$41,0)),EFICIENCIA_PADRAO)</f>
        <v>0.85</v>
      </c>
      <c r="Y2122" s="18" t="n">
        <f aca="false">IF($X2122&lt;=0,0,$W2122/$X2122)</f>
        <v>0</v>
      </c>
      <c r="Z2122" s="16" t="n">
        <f aca="false">$Y2122*$H2122*MM_PARA_M3_HA</f>
        <v>0</v>
      </c>
      <c r="AA2122" s="18" t="n">
        <f aca="false">IFERROR(INDEX(CADASTRO_PIVOS!$I$6:$I$41,MATCH($E2122,CADASTRO_PIVOS!$B$6:$B$41,0)),0)</f>
        <v>526.666666666667</v>
      </c>
      <c r="AB2122" s="18" t="n">
        <f aca="false">IF($Z2122&lt;=0,0,$Z2122/$AA2122)</f>
        <v>0</v>
      </c>
      <c r="AC2122" s="16" t="n">
        <f aca="false">IFERROR(INDEX(SEMANAS!$K$6:$K$71,MATCH($B2122,SEMANAS!$B$6:$B$71,0)),0)</f>
        <v>147</v>
      </c>
      <c r="AD2122" s="19" t="n">
        <f aca="false">IF($AC2122&lt;=0,0,$AB2122/$AC2122)</f>
        <v>0</v>
      </c>
      <c r="AE2122" s="8" t="str">
        <f aca="false">IF($K2122="SEM CULTURA","SEM CULTURA",IF($AA2122&lt;=0,"DADO PENDENTE",IF($AD2122&gt;LIMITE_CRITICO,"INVIAVEL",IF($AD2122&gt;LIMITE_ATENCAO,"CRITICO",IF($AD2122&gt;LIMITE_CONFORTAVEL,"ATENCAO","OK")))))</f>
        <v>SEM CULTURA</v>
      </c>
      <c r="AF2122" s="8" t="str">
        <f aca="false">$B2122&amp;"|"&amp;TEXT($AD2122,"0.000000")</f>
        <v>5|0.000000</v>
      </c>
      <c r="AG2122" s="18" t="n">
        <f aca="false">IF($K2122="SEM CULTURA",0,$T2122*$H2122)</f>
        <v>0</v>
      </c>
      <c r="AH2122" s="18" t="n">
        <f aca="false">IF($K2122="SEM CULTURA",0,$V2122*$H2122)</f>
        <v>0</v>
      </c>
      <c r="AI2122" s="18" t="n">
        <f aca="false">IF($K2122="SEM CULTURA",0,$W2122*$H2122)</f>
        <v>0</v>
      </c>
      <c r="AJ2122" s="18" t="n">
        <f aca="false">IF($K2122="SEM CULTURA",0,$S2122*$H2122)</f>
        <v>0</v>
      </c>
      <c r="AK2122" s="8" t="str">
        <f aca="false">$E2122&amp;"|"&amp;TEXT($AD2122,"0.000000")</f>
        <v>PV 134|0.000000</v>
      </c>
    </row>
    <row r="2123" customFormat="false" ht="15" hidden="false" customHeight="false" outlineLevel="0" collapsed="false">
      <c r="B2123" s="16" t="n">
        <v>6</v>
      </c>
      <c r="C2123" s="17" t="n">
        <f aca="false">DATA_INICIO_SAFRA+($B2123-1)*DIAS_POR_SEMANA</f>
        <v>46300</v>
      </c>
      <c r="D2123" s="17" t="n">
        <f aca="false">$C2123+DIAS_POR_SEMANA-1</f>
        <v>46306</v>
      </c>
      <c r="E2123" s="15" t="s">
        <v>291</v>
      </c>
      <c r="F2123" s="8" t="str">
        <f aca="false">IFERROR(INDEX(CADASTRO_PIVOS!$C$6:$C$41,MATCH($E2123,CADASTRO_PIVOS!$B$6:$B$41,0)),"?")</f>
        <v>RM08</v>
      </c>
      <c r="G2123" s="8" t="str">
        <f aca="false">IFERROR(INDEX(CADASTRO_PIVOS!$D$6:$D$41,MATCH($E2123,CADASTRO_PIVOS!$B$6:$B$41,0)),"?")</f>
        <v>TR08</v>
      </c>
      <c r="H2123" s="20" t="n">
        <f aca="false">IFERROR(INDEX(CADASTRO_PIVOS!$E$6:$E$41,MATCH($E2123,CADASTRO_PIVOS!$B$6:$B$41,0)),0)</f>
        <v>79</v>
      </c>
      <c r="I2123" s="16" t="n">
        <f aca="false">IFERROR(SUMIFS(ROTACAO_RDM!$B$6:$B$71,ROTACAO_RDM!$D$6:$D$71,$E2123,ROTACAO_RDM!$I$6:$I$71,"&lt;="&amp;$C2123+INT(DIAS_POR_SEMANA/2),ROTACAO_RDM!$J$6:$J$71,"&gt;="&amp;$C2123+INT(DIAS_POR_SEMANA/2)),0)</f>
        <v>0</v>
      </c>
      <c r="J2123" s="16" t="n">
        <f aca="false">IFERROR(MATCH($I2123,ROTACAO_RDM!$B$6:$B$71,0),0)</f>
        <v>0</v>
      </c>
      <c r="K2123" s="8" t="str">
        <f aca="false">IF($J2123=0,"SEM CULTURA",INDEX(ROTACAO_RDM!$F$6:$F$71,$J2123))</f>
        <v>SEM CULTURA</v>
      </c>
      <c r="L2123" s="8" t="str">
        <f aca="false">IF($J2123=0,"",INDEX(ROTACAO_RDM!$G$6:$G$71,$J2123))</f>
        <v/>
      </c>
      <c r="M2123" s="17" t="str">
        <f aca="false">IF($J2123=0,"",INDEX(ROTACAO_RDM!$I$6:$I$71,$J2123))</f>
        <v/>
      </c>
      <c r="N2123" s="16" t="n">
        <f aca="false">IF($J2123=0,0,MAX(0,$C2123+INT(DIAS_POR_SEMANA/2)-INDEX(ROTACAO_RDM!$I$6:$I$71,$J2123)))</f>
        <v>0</v>
      </c>
      <c r="O2123" s="19" t="n">
        <f aca="false">IF($J2123=0,0,MIN(1,$N2123/MAX(1,INDEX(ROTACAO_RDM!$K$6:$K$71,$J2123))))</f>
        <v>0</v>
      </c>
      <c r="P2123" s="16" t="n">
        <f aca="false">IF($J2123=0,0,IFERROR(MATCH(INDEX(ROTACAO_RDM!$N$6:$N$71,$J2123),PARAMETROS_CULTURAS!$B$6:$B$28,0),0))</f>
        <v>0</v>
      </c>
      <c r="Q2123" s="8" t="str">
        <f aca="false">IF($P2123=0,"-",IF($O2123&lt;=INDEX(PARAMETROS_CULTURAS!$F$6:$F$28,$P2123),"INICIAL",IF($O2123&lt;=INDEX(PARAMETROS_CULTURAS!$F$6:$F$28,$P2123)+INDEX(PARAMETROS_CULTURAS!$G$6:$G$28,$P2123),"DESENVOLVIMENTO",IF($O2123&lt;=INDEX(PARAMETROS_CULTURAS!$F$6:$F$28,$P2123)+INDEX(PARAMETROS_CULTURAS!$G$6:$G$28,$P2123)+INDEX(PARAMETROS_CULTURAS!$H$6:$H$28,$P2123),"MEDIA","FINAL"))))</f>
        <v>-</v>
      </c>
      <c r="R2123" s="24" t="n">
        <f aca="false">IF($P2123=0,0,IF($O2123&lt;=INDEX(PARAMETROS_CULTURAS!$F$6:$F$28,$P2123),INDEX(PARAMETROS_CULTURAS!$K$6:$K$28,$P2123),IF($O2123&lt;=INDEX(PARAMETROS_CULTURAS!$F$6:$F$28,$P2123)+INDEX(PARAMETROS_CULTURAS!$G$6:$G$28,$P2123),INDEX(PARAMETROS_CULTURAS!$K$6:$K$28,$P2123)+(INDEX(PARAMETROS_CULTURAS!$L$6:$L$28,$P2123)-INDEX(PARAMETROS_CULTURAS!$K$6:$K$28,$P2123))*($O2123-INDEX(PARAMETROS_CULTURAS!$F$6:$F$28,$P2123))/MAX(INDEX(PARAMETROS_CULTURAS!$G$6:$G$28,$P2123),0.0001),IF($O2123&lt;=INDEX(PARAMETROS_CULTURAS!$F$6:$F$28,$P2123)+INDEX(PARAMETROS_CULTURAS!$G$6:$G$28,$P2123)+INDEX(PARAMETROS_CULTURAS!$H$6:$H$28,$P2123),INDEX(PARAMETROS_CULTURAS!$L$6:$L$28,$P2123),INDEX(PARAMETROS_CULTURAS!$L$6:$L$28,$P2123)+(INDEX(PARAMETROS_CULTURAS!$M$6:$M$28,$P2123)-INDEX(PARAMETROS_CULTURAS!$L$6:$L$28,$P2123))*($O2123-INDEX(PARAMETROS_CULTURAS!$F$6:$F$28,$P2123)-INDEX(PARAMETROS_CULTURAS!$G$6:$G$28,$P2123)-INDEX(PARAMETROS_CULTURAS!$H$6:$H$28,$P2123))/MAX(INDEX(PARAMETROS_CULTURAS!$I$6:$I$28,$P2123),0.0001)))))</f>
        <v>0</v>
      </c>
      <c r="S2123" s="18" t="n">
        <f aca="false">IFERROR(INDEX(SEMANAS!$H$6:$H$71,MATCH($B2123,SEMANAS!$B$6:$B$71,0)),0)</f>
        <v>39.2</v>
      </c>
      <c r="T2123" s="18" t="n">
        <f aca="false">$R2123*$S2123</f>
        <v>0</v>
      </c>
      <c r="U2123" s="18" t="n">
        <f aca="false">IFERROR(INDEX(SEMANAS!$I$6:$I$71,MATCH($B2123,SEMANAS!$B$6:$B$71,0)),0)</f>
        <v>27.09</v>
      </c>
      <c r="V2123" s="18" t="n">
        <f aca="false">IFERROR(INDEX(SEMANAS!$J$6:$J$71,MATCH($B2123,SEMANAS!$B$6:$B$71,0)),0)</f>
        <v>21.672</v>
      </c>
      <c r="W2123" s="18" t="n">
        <f aca="false">MAX(0,$T2123-$V2123)</f>
        <v>0</v>
      </c>
      <c r="X2123" s="19" t="n">
        <f aca="false">IFERROR(INDEX(CADASTRO_PIVOS!$K$6:$K$41,MATCH($E2123,CADASTRO_PIVOS!$B$6:$B$41,0)),EFICIENCIA_PADRAO)</f>
        <v>0.85</v>
      </c>
      <c r="Y2123" s="18" t="n">
        <f aca="false">IF($X2123&lt;=0,0,$W2123/$X2123)</f>
        <v>0</v>
      </c>
      <c r="Z2123" s="16" t="n">
        <f aca="false">$Y2123*$H2123*MM_PARA_M3_HA</f>
        <v>0</v>
      </c>
      <c r="AA2123" s="18" t="n">
        <f aca="false">IFERROR(INDEX(CADASTRO_PIVOS!$I$6:$I$41,MATCH($E2123,CADASTRO_PIVOS!$B$6:$B$41,0)),0)</f>
        <v>526.666666666667</v>
      </c>
      <c r="AB2123" s="18" t="n">
        <f aca="false">IF($Z2123&lt;=0,0,$Z2123/$AA2123)</f>
        <v>0</v>
      </c>
      <c r="AC2123" s="16" t="n">
        <f aca="false">IFERROR(INDEX(SEMANAS!$K$6:$K$71,MATCH($B2123,SEMANAS!$B$6:$B$71,0)),0)</f>
        <v>147</v>
      </c>
      <c r="AD2123" s="19" t="n">
        <f aca="false">IF($AC2123&lt;=0,0,$AB2123/$AC2123)</f>
        <v>0</v>
      </c>
      <c r="AE2123" s="8" t="str">
        <f aca="false">IF($K2123="SEM CULTURA","SEM CULTURA",IF($AA2123&lt;=0,"DADO PENDENTE",IF($AD2123&gt;LIMITE_CRITICO,"INVIAVEL",IF($AD2123&gt;LIMITE_ATENCAO,"CRITICO",IF($AD2123&gt;LIMITE_CONFORTAVEL,"ATENCAO","OK")))))</f>
        <v>SEM CULTURA</v>
      </c>
      <c r="AF2123" s="8" t="str">
        <f aca="false">$B2123&amp;"|"&amp;TEXT($AD2123,"0.000000")</f>
        <v>6|0.000000</v>
      </c>
      <c r="AG2123" s="18" t="n">
        <f aca="false">IF($K2123="SEM CULTURA",0,$T2123*$H2123)</f>
        <v>0</v>
      </c>
      <c r="AH2123" s="18" t="n">
        <f aca="false">IF($K2123="SEM CULTURA",0,$V2123*$H2123)</f>
        <v>0</v>
      </c>
      <c r="AI2123" s="18" t="n">
        <f aca="false">IF($K2123="SEM CULTURA",0,$W2123*$H2123)</f>
        <v>0</v>
      </c>
      <c r="AJ2123" s="18" t="n">
        <f aca="false">IF($K2123="SEM CULTURA",0,$S2123*$H2123)</f>
        <v>0</v>
      </c>
      <c r="AK2123" s="8" t="str">
        <f aca="false">$E2123&amp;"|"&amp;TEXT($AD2123,"0.000000")</f>
        <v>PV 134|0.000000</v>
      </c>
    </row>
    <row r="2124" customFormat="false" ht="15" hidden="false" customHeight="false" outlineLevel="0" collapsed="false">
      <c r="B2124" s="16" t="n">
        <v>7</v>
      </c>
      <c r="C2124" s="17" t="n">
        <f aca="false">DATA_INICIO_SAFRA+($B2124-1)*DIAS_POR_SEMANA</f>
        <v>46307</v>
      </c>
      <c r="D2124" s="17" t="n">
        <f aca="false">$C2124+DIAS_POR_SEMANA-1</f>
        <v>46313</v>
      </c>
      <c r="E2124" s="15" t="s">
        <v>291</v>
      </c>
      <c r="F2124" s="8" t="str">
        <f aca="false">IFERROR(INDEX(CADASTRO_PIVOS!$C$6:$C$41,MATCH($E2124,CADASTRO_PIVOS!$B$6:$B$41,0)),"?")</f>
        <v>RM08</v>
      </c>
      <c r="G2124" s="8" t="str">
        <f aca="false">IFERROR(INDEX(CADASTRO_PIVOS!$D$6:$D$41,MATCH($E2124,CADASTRO_PIVOS!$B$6:$B$41,0)),"?")</f>
        <v>TR08</v>
      </c>
      <c r="H2124" s="20" t="n">
        <f aca="false">IFERROR(INDEX(CADASTRO_PIVOS!$E$6:$E$41,MATCH($E2124,CADASTRO_PIVOS!$B$6:$B$41,0)),0)</f>
        <v>79</v>
      </c>
      <c r="I2124" s="16" t="n">
        <f aca="false">IFERROR(SUMIFS(ROTACAO_RDM!$B$6:$B$71,ROTACAO_RDM!$D$6:$D$71,$E2124,ROTACAO_RDM!$I$6:$I$71,"&lt;="&amp;$C2124+INT(DIAS_POR_SEMANA/2),ROTACAO_RDM!$J$6:$J$71,"&gt;="&amp;$C2124+INT(DIAS_POR_SEMANA/2)),0)</f>
        <v>0</v>
      </c>
      <c r="J2124" s="16" t="n">
        <f aca="false">IFERROR(MATCH($I2124,ROTACAO_RDM!$B$6:$B$71,0),0)</f>
        <v>0</v>
      </c>
      <c r="K2124" s="8" t="str">
        <f aca="false">IF($J2124=0,"SEM CULTURA",INDEX(ROTACAO_RDM!$F$6:$F$71,$J2124))</f>
        <v>SEM CULTURA</v>
      </c>
      <c r="L2124" s="8" t="str">
        <f aca="false">IF($J2124=0,"",INDEX(ROTACAO_RDM!$G$6:$G$71,$J2124))</f>
        <v/>
      </c>
      <c r="M2124" s="17" t="str">
        <f aca="false">IF($J2124=0,"",INDEX(ROTACAO_RDM!$I$6:$I$71,$J2124))</f>
        <v/>
      </c>
      <c r="N2124" s="16" t="n">
        <f aca="false">IF($J2124=0,0,MAX(0,$C2124+INT(DIAS_POR_SEMANA/2)-INDEX(ROTACAO_RDM!$I$6:$I$71,$J2124)))</f>
        <v>0</v>
      </c>
      <c r="O2124" s="19" t="n">
        <f aca="false">IF($J2124=0,0,MIN(1,$N2124/MAX(1,INDEX(ROTACAO_RDM!$K$6:$K$71,$J2124))))</f>
        <v>0</v>
      </c>
      <c r="P2124" s="16" t="n">
        <f aca="false">IF($J2124=0,0,IFERROR(MATCH(INDEX(ROTACAO_RDM!$N$6:$N$71,$J2124),PARAMETROS_CULTURAS!$B$6:$B$28,0),0))</f>
        <v>0</v>
      </c>
      <c r="Q2124" s="8" t="str">
        <f aca="false">IF($P2124=0,"-",IF($O2124&lt;=INDEX(PARAMETROS_CULTURAS!$F$6:$F$28,$P2124),"INICIAL",IF($O2124&lt;=INDEX(PARAMETROS_CULTURAS!$F$6:$F$28,$P2124)+INDEX(PARAMETROS_CULTURAS!$G$6:$G$28,$P2124),"DESENVOLVIMENTO",IF($O2124&lt;=INDEX(PARAMETROS_CULTURAS!$F$6:$F$28,$P2124)+INDEX(PARAMETROS_CULTURAS!$G$6:$G$28,$P2124)+INDEX(PARAMETROS_CULTURAS!$H$6:$H$28,$P2124),"MEDIA","FINAL"))))</f>
        <v>-</v>
      </c>
      <c r="R2124" s="24" t="n">
        <f aca="false">IF($P2124=0,0,IF($O2124&lt;=INDEX(PARAMETROS_CULTURAS!$F$6:$F$28,$P2124),INDEX(PARAMETROS_CULTURAS!$K$6:$K$28,$P2124),IF($O2124&lt;=INDEX(PARAMETROS_CULTURAS!$F$6:$F$28,$P2124)+INDEX(PARAMETROS_CULTURAS!$G$6:$G$28,$P2124),INDEX(PARAMETROS_CULTURAS!$K$6:$K$28,$P2124)+(INDEX(PARAMETROS_CULTURAS!$L$6:$L$28,$P2124)-INDEX(PARAMETROS_CULTURAS!$K$6:$K$28,$P2124))*($O2124-INDEX(PARAMETROS_CULTURAS!$F$6:$F$28,$P2124))/MAX(INDEX(PARAMETROS_CULTURAS!$G$6:$G$28,$P2124),0.0001),IF($O2124&lt;=INDEX(PARAMETROS_CULTURAS!$F$6:$F$28,$P2124)+INDEX(PARAMETROS_CULTURAS!$G$6:$G$28,$P2124)+INDEX(PARAMETROS_CULTURAS!$H$6:$H$28,$P2124),INDEX(PARAMETROS_CULTURAS!$L$6:$L$28,$P2124),INDEX(PARAMETROS_CULTURAS!$L$6:$L$28,$P2124)+(INDEX(PARAMETROS_CULTURAS!$M$6:$M$28,$P2124)-INDEX(PARAMETROS_CULTURAS!$L$6:$L$28,$P2124))*($O2124-INDEX(PARAMETROS_CULTURAS!$F$6:$F$28,$P2124)-INDEX(PARAMETROS_CULTURAS!$G$6:$G$28,$P2124)-INDEX(PARAMETROS_CULTURAS!$H$6:$H$28,$P2124))/MAX(INDEX(PARAMETROS_CULTURAS!$I$6:$I$28,$P2124),0.0001)))))</f>
        <v>0</v>
      </c>
      <c r="S2124" s="18" t="n">
        <f aca="false">IFERROR(INDEX(SEMANAS!$H$6:$H$71,MATCH($B2124,SEMANAS!$B$6:$B$71,0)),0)</f>
        <v>39.2</v>
      </c>
      <c r="T2124" s="18" t="n">
        <f aca="false">$R2124*$S2124</f>
        <v>0</v>
      </c>
      <c r="U2124" s="18" t="n">
        <f aca="false">IFERROR(INDEX(SEMANAS!$I$6:$I$71,MATCH($B2124,SEMANAS!$B$6:$B$71,0)),0)</f>
        <v>27.09</v>
      </c>
      <c r="V2124" s="18" t="n">
        <f aca="false">IFERROR(INDEX(SEMANAS!$J$6:$J$71,MATCH($B2124,SEMANAS!$B$6:$B$71,0)),0)</f>
        <v>21.672</v>
      </c>
      <c r="W2124" s="18" t="n">
        <f aca="false">MAX(0,$T2124-$V2124)</f>
        <v>0</v>
      </c>
      <c r="X2124" s="19" t="n">
        <f aca="false">IFERROR(INDEX(CADASTRO_PIVOS!$K$6:$K$41,MATCH($E2124,CADASTRO_PIVOS!$B$6:$B$41,0)),EFICIENCIA_PADRAO)</f>
        <v>0.85</v>
      </c>
      <c r="Y2124" s="18" t="n">
        <f aca="false">IF($X2124&lt;=0,0,$W2124/$X2124)</f>
        <v>0</v>
      </c>
      <c r="Z2124" s="16" t="n">
        <f aca="false">$Y2124*$H2124*MM_PARA_M3_HA</f>
        <v>0</v>
      </c>
      <c r="AA2124" s="18" t="n">
        <f aca="false">IFERROR(INDEX(CADASTRO_PIVOS!$I$6:$I$41,MATCH($E2124,CADASTRO_PIVOS!$B$6:$B$41,0)),0)</f>
        <v>526.666666666667</v>
      </c>
      <c r="AB2124" s="18" t="n">
        <f aca="false">IF($Z2124&lt;=0,0,$Z2124/$AA2124)</f>
        <v>0</v>
      </c>
      <c r="AC2124" s="16" t="n">
        <f aca="false">IFERROR(INDEX(SEMANAS!$K$6:$K$71,MATCH($B2124,SEMANAS!$B$6:$B$71,0)),0)</f>
        <v>147</v>
      </c>
      <c r="AD2124" s="19" t="n">
        <f aca="false">IF($AC2124&lt;=0,0,$AB2124/$AC2124)</f>
        <v>0</v>
      </c>
      <c r="AE2124" s="8" t="str">
        <f aca="false">IF($K2124="SEM CULTURA","SEM CULTURA",IF($AA2124&lt;=0,"DADO PENDENTE",IF($AD2124&gt;LIMITE_CRITICO,"INVIAVEL",IF($AD2124&gt;LIMITE_ATENCAO,"CRITICO",IF($AD2124&gt;LIMITE_CONFORTAVEL,"ATENCAO","OK")))))</f>
        <v>SEM CULTURA</v>
      </c>
      <c r="AF2124" s="8" t="str">
        <f aca="false">$B2124&amp;"|"&amp;TEXT($AD2124,"0.000000")</f>
        <v>7|0.000000</v>
      </c>
      <c r="AG2124" s="18" t="n">
        <f aca="false">IF($K2124="SEM CULTURA",0,$T2124*$H2124)</f>
        <v>0</v>
      </c>
      <c r="AH2124" s="18" t="n">
        <f aca="false">IF($K2124="SEM CULTURA",0,$V2124*$H2124)</f>
        <v>0</v>
      </c>
      <c r="AI2124" s="18" t="n">
        <f aca="false">IF($K2124="SEM CULTURA",0,$W2124*$H2124)</f>
        <v>0</v>
      </c>
      <c r="AJ2124" s="18" t="n">
        <f aca="false">IF($K2124="SEM CULTURA",0,$S2124*$H2124)</f>
        <v>0</v>
      </c>
      <c r="AK2124" s="8" t="str">
        <f aca="false">$E2124&amp;"|"&amp;TEXT($AD2124,"0.000000")</f>
        <v>PV 134|0.000000</v>
      </c>
    </row>
    <row r="2125" customFormat="false" ht="15" hidden="false" customHeight="false" outlineLevel="0" collapsed="false">
      <c r="B2125" s="16" t="n">
        <v>8</v>
      </c>
      <c r="C2125" s="17" t="n">
        <f aca="false">DATA_INICIO_SAFRA+($B2125-1)*DIAS_POR_SEMANA</f>
        <v>46314</v>
      </c>
      <c r="D2125" s="17" t="n">
        <f aca="false">$C2125+DIAS_POR_SEMANA-1</f>
        <v>46320</v>
      </c>
      <c r="E2125" s="15" t="s">
        <v>291</v>
      </c>
      <c r="F2125" s="8" t="str">
        <f aca="false">IFERROR(INDEX(CADASTRO_PIVOS!$C$6:$C$41,MATCH($E2125,CADASTRO_PIVOS!$B$6:$B$41,0)),"?")</f>
        <v>RM08</v>
      </c>
      <c r="G2125" s="8" t="str">
        <f aca="false">IFERROR(INDEX(CADASTRO_PIVOS!$D$6:$D$41,MATCH($E2125,CADASTRO_PIVOS!$B$6:$B$41,0)),"?")</f>
        <v>TR08</v>
      </c>
      <c r="H2125" s="20" t="n">
        <f aca="false">IFERROR(INDEX(CADASTRO_PIVOS!$E$6:$E$41,MATCH($E2125,CADASTRO_PIVOS!$B$6:$B$41,0)),0)</f>
        <v>79</v>
      </c>
      <c r="I2125" s="16" t="n">
        <f aca="false">IFERROR(SUMIFS(ROTACAO_RDM!$B$6:$B$71,ROTACAO_RDM!$D$6:$D$71,$E2125,ROTACAO_RDM!$I$6:$I$71,"&lt;="&amp;$C2125+INT(DIAS_POR_SEMANA/2),ROTACAO_RDM!$J$6:$J$71,"&gt;="&amp;$C2125+INT(DIAS_POR_SEMANA/2)),0)</f>
        <v>0</v>
      </c>
      <c r="J2125" s="16" t="n">
        <f aca="false">IFERROR(MATCH($I2125,ROTACAO_RDM!$B$6:$B$71,0),0)</f>
        <v>0</v>
      </c>
      <c r="K2125" s="8" t="str">
        <f aca="false">IF($J2125=0,"SEM CULTURA",INDEX(ROTACAO_RDM!$F$6:$F$71,$J2125))</f>
        <v>SEM CULTURA</v>
      </c>
      <c r="L2125" s="8" t="str">
        <f aca="false">IF($J2125=0,"",INDEX(ROTACAO_RDM!$G$6:$G$71,$J2125))</f>
        <v/>
      </c>
      <c r="M2125" s="17" t="str">
        <f aca="false">IF($J2125=0,"",INDEX(ROTACAO_RDM!$I$6:$I$71,$J2125))</f>
        <v/>
      </c>
      <c r="N2125" s="16" t="n">
        <f aca="false">IF($J2125=0,0,MAX(0,$C2125+INT(DIAS_POR_SEMANA/2)-INDEX(ROTACAO_RDM!$I$6:$I$71,$J2125)))</f>
        <v>0</v>
      </c>
      <c r="O2125" s="19" t="n">
        <f aca="false">IF($J2125=0,0,MIN(1,$N2125/MAX(1,INDEX(ROTACAO_RDM!$K$6:$K$71,$J2125))))</f>
        <v>0</v>
      </c>
      <c r="P2125" s="16" t="n">
        <f aca="false">IF($J2125=0,0,IFERROR(MATCH(INDEX(ROTACAO_RDM!$N$6:$N$71,$J2125),PARAMETROS_CULTURAS!$B$6:$B$28,0),0))</f>
        <v>0</v>
      </c>
      <c r="Q2125" s="8" t="str">
        <f aca="false">IF($P2125=0,"-",IF($O2125&lt;=INDEX(PARAMETROS_CULTURAS!$F$6:$F$28,$P2125),"INICIAL",IF($O2125&lt;=INDEX(PARAMETROS_CULTURAS!$F$6:$F$28,$P2125)+INDEX(PARAMETROS_CULTURAS!$G$6:$G$28,$P2125),"DESENVOLVIMENTO",IF($O2125&lt;=INDEX(PARAMETROS_CULTURAS!$F$6:$F$28,$P2125)+INDEX(PARAMETROS_CULTURAS!$G$6:$G$28,$P2125)+INDEX(PARAMETROS_CULTURAS!$H$6:$H$28,$P2125),"MEDIA","FINAL"))))</f>
        <v>-</v>
      </c>
      <c r="R2125" s="24" t="n">
        <f aca="false">IF($P2125=0,0,IF($O2125&lt;=INDEX(PARAMETROS_CULTURAS!$F$6:$F$28,$P2125),INDEX(PARAMETROS_CULTURAS!$K$6:$K$28,$P2125),IF($O2125&lt;=INDEX(PARAMETROS_CULTURAS!$F$6:$F$28,$P2125)+INDEX(PARAMETROS_CULTURAS!$G$6:$G$28,$P2125),INDEX(PARAMETROS_CULTURAS!$K$6:$K$28,$P2125)+(INDEX(PARAMETROS_CULTURAS!$L$6:$L$28,$P2125)-INDEX(PARAMETROS_CULTURAS!$K$6:$K$28,$P2125))*($O2125-INDEX(PARAMETROS_CULTURAS!$F$6:$F$28,$P2125))/MAX(INDEX(PARAMETROS_CULTURAS!$G$6:$G$28,$P2125),0.0001),IF($O2125&lt;=INDEX(PARAMETROS_CULTURAS!$F$6:$F$28,$P2125)+INDEX(PARAMETROS_CULTURAS!$G$6:$G$28,$P2125)+INDEX(PARAMETROS_CULTURAS!$H$6:$H$28,$P2125),INDEX(PARAMETROS_CULTURAS!$L$6:$L$28,$P2125),INDEX(PARAMETROS_CULTURAS!$L$6:$L$28,$P2125)+(INDEX(PARAMETROS_CULTURAS!$M$6:$M$28,$P2125)-INDEX(PARAMETROS_CULTURAS!$L$6:$L$28,$P2125))*($O2125-INDEX(PARAMETROS_CULTURAS!$F$6:$F$28,$P2125)-INDEX(PARAMETROS_CULTURAS!$G$6:$G$28,$P2125)-INDEX(PARAMETROS_CULTURAS!$H$6:$H$28,$P2125))/MAX(INDEX(PARAMETROS_CULTURAS!$I$6:$I$28,$P2125),0.0001)))))</f>
        <v>0</v>
      </c>
      <c r="S2125" s="18" t="n">
        <f aca="false">IFERROR(INDEX(SEMANAS!$H$6:$H$71,MATCH($B2125,SEMANAS!$B$6:$B$71,0)),0)</f>
        <v>39.2</v>
      </c>
      <c r="T2125" s="18" t="n">
        <f aca="false">$R2125*$S2125</f>
        <v>0</v>
      </c>
      <c r="U2125" s="18" t="n">
        <f aca="false">IFERROR(INDEX(SEMANAS!$I$6:$I$71,MATCH($B2125,SEMANAS!$B$6:$B$71,0)),0)</f>
        <v>27.09</v>
      </c>
      <c r="V2125" s="18" t="n">
        <f aca="false">IFERROR(INDEX(SEMANAS!$J$6:$J$71,MATCH($B2125,SEMANAS!$B$6:$B$71,0)),0)</f>
        <v>21.672</v>
      </c>
      <c r="W2125" s="18" t="n">
        <f aca="false">MAX(0,$T2125-$V2125)</f>
        <v>0</v>
      </c>
      <c r="X2125" s="19" t="n">
        <f aca="false">IFERROR(INDEX(CADASTRO_PIVOS!$K$6:$K$41,MATCH($E2125,CADASTRO_PIVOS!$B$6:$B$41,0)),EFICIENCIA_PADRAO)</f>
        <v>0.85</v>
      </c>
      <c r="Y2125" s="18" t="n">
        <f aca="false">IF($X2125&lt;=0,0,$W2125/$X2125)</f>
        <v>0</v>
      </c>
      <c r="Z2125" s="16" t="n">
        <f aca="false">$Y2125*$H2125*MM_PARA_M3_HA</f>
        <v>0</v>
      </c>
      <c r="AA2125" s="18" t="n">
        <f aca="false">IFERROR(INDEX(CADASTRO_PIVOS!$I$6:$I$41,MATCH($E2125,CADASTRO_PIVOS!$B$6:$B$41,0)),0)</f>
        <v>526.666666666667</v>
      </c>
      <c r="AB2125" s="18" t="n">
        <f aca="false">IF($Z2125&lt;=0,0,$Z2125/$AA2125)</f>
        <v>0</v>
      </c>
      <c r="AC2125" s="16" t="n">
        <f aca="false">IFERROR(INDEX(SEMANAS!$K$6:$K$71,MATCH($B2125,SEMANAS!$B$6:$B$71,0)),0)</f>
        <v>147</v>
      </c>
      <c r="AD2125" s="19" t="n">
        <f aca="false">IF($AC2125&lt;=0,0,$AB2125/$AC2125)</f>
        <v>0</v>
      </c>
      <c r="AE2125" s="8" t="str">
        <f aca="false">IF($K2125="SEM CULTURA","SEM CULTURA",IF($AA2125&lt;=0,"DADO PENDENTE",IF($AD2125&gt;LIMITE_CRITICO,"INVIAVEL",IF($AD2125&gt;LIMITE_ATENCAO,"CRITICO",IF($AD2125&gt;LIMITE_CONFORTAVEL,"ATENCAO","OK")))))</f>
        <v>SEM CULTURA</v>
      </c>
      <c r="AF2125" s="8" t="str">
        <f aca="false">$B2125&amp;"|"&amp;TEXT($AD2125,"0.000000")</f>
        <v>8|0.000000</v>
      </c>
      <c r="AG2125" s="18" t="n">
        <f aca="false">IF($K2125="SEM CULTURA",0,$T2125*$H2125)</f>
        <v>0</v>
      </c>
      <c r="AH2125" s="18" t="n">
        <f aca="false">IF($K2125="SEM CULTURA",0,$V2125*$H2125)</f>
        <v>0</v>
      </c>
      <c r="AI2125" s="18" t="n">
        <f aca="false">IF($K2125="SEM CULTURA",0,$W2125*$H2125)</f>
        <v>0</v>
      </c>
      <c r="AJ2125" s="18" t="n">
        <f aca="false">IF($K2125="SEM CULTURA",0,$S2125*$H2125)</f>
        <v>0</v>
      </c>
      <c r="AK2125" s="8" t="str">
        <f aca="false">$E2125&amp;"|"&amp;TEXT($AD2125,"0.000000")</f>
        <v>PV 134|0.000000</v>
      </c>
    </row>
    <row r="2126" customFormat="false" ht="15" hidden="false" customHeight="false" outlineLevel="0" collapsed="false">
      <c r="B2126" s="16" t="n">
        <v>9</v>
      </c>
      <c r="C2126" s="17" t="n">
        <f aca="false">DATA_INICIO_SAFRA+($B2126-1)*DIAS_POR_SEMANA</f>
        <v>46321</v>
      </c>
      <c r="D2126" s="17" t="n">
        <f aca="false">$C2126+DIAS_POR_SEMANA-1</f>
        <v>46327</v>
      </c>
      <c r="E2126" s="15" t="s">
        <v>291</v>
      </c>
      <c r="F2126" s="8" t="str">
        <f aca="false">IFERROR(INDEX(CADASTRO_PIVOS!$C$6:$C$41,MATCH($E2126,CADASTRO_PIVOS!$B$6:$B$41,0)),"?")</f>
        <v>RM08</v>
      </c>
      <c r="G2126" s="8" t="str">
        <f aca="false">IFERROR(INDEX(CADASTRO_PIVOS!$D$6:$D$41,MATCH($E2126,CADASTRO_PIVOS!$B$6:$B$41,0)),"?")</f>
        <v>TR08</v>
      </c>
      <c r="H2126" s="20" t="n">
        <f aca="false">IFERROR(INDEX(CADASTRO_PIVOS!$E$6:$E$41,MATCH($E2126,CADASTRO_PIVOS!$B$6:$B$41,0)),0)</f>
        <v>79</v>
      </c>
      <c r="I2126" s="16" t="n">
        <f aca="false">IFERROR(SUMIFS(ROTACAO_RDM!$B$6:$B$71,ROTACAO_RDM!$D$6:$D$71,$E2126,ROTACAO_RDM!$I$6:$I$71,"&lt;="&amp;$C2126+INT(DIAS_POR_SEMANA/2),ROTACAO_RDM!$J$6:$J$71,"&gt;="&amp;$C2126+INT(DIAS_POR_SEMANA/2)),0)</f>
        <v>0</v>
      </c>
      <c r="J2126" s="16" t="n">
        <f aca="false">IFERROR(MATCH($I2126,ROTACAO_RDM!$B$6:$B$71,0),0)</f>
        <v>0</v>
      </c>
      <c r="K2126" s="8" t="str">
        <f aca="false">IF($J2126=0,"SEM CULTURA",INDEX(ROTACAO_RDM!$F$6:$F$71,$J2126))</f>
        <v>SEM CULTURA</v>
      </c>
      <c r="L2126" s="8" t="str">
        <f aca="false">IF($J2126=0,"",INDEX(ROTACAO_RDM!$G$6:$G$71,$J2126))</f>
        <v/>
      </c>
      <c r="M2126" s="17" t="str">
        <f aca="false">IF($J2126=0,"",INDEX(ROTACAO_RDM!$I$6:$I$71,$J2126))</f>
        <v/>
      </c>
      <c r="N2126" s="16" t="n">
        <f aca="false">IF($J2126=0,0,MAX(0,$C2126+INT(DIAS_POR_SEMANA/2)-INDEX(ROTACAO_RDM!$I$6:$I$71,$J2126)))</f>
        <v>0</v>
      </c>
      <c r="O2126" s="19" t="n">
        <f aca="false">IF($J2126=0,0,MIN(1,$N2126/MAX(1,INDEX(ROTACAO_RDM!$K$6:$K$71,$J2126))))</f>
        <v>0</v>
      </c>
      <c r="P2126" s="16" t="n">
        <f aca="false">IF($J2126=0,0,IFERROR(MATCH(INDEX(ROTACAO_RDM!$N$6:$N$71,$J2126),PARAMETROS_CULTURAS!$B$6:$B$28,0),0))</f>
        <v>0</v>
      </c>
      <c r="Q2126" s="8" t="str">
        <f aca="false">IF($P2126=0,"-",IF($O2126&lt;=INDEX(PARAMETROS_CULTURAS!$F$6:$F$28,$P2126),"INICIAL",IF($O2126&lt;=INDEX(PARAMETROS_CULTURAS!$F$6:$F$28,$P2126)+INDEX(PARAMETROS_CULTURAS!$G$6:$G$28,$P2126),"DESENVOLVIMENTO",IF($O2126&lt;=INDEX(PARAMETROS_CULTURAS!$F$6:$F$28,$P2126)+INDEX(PARAMETROS_CULTURAS!$G$6:$G$28,$P2126)+INDEX(PARAMETROS_CULTURAS!$H$6:$H$28,$P2126),"MEDIA","FINAL"))))</f>
        <v>-</v>
      </c>
      <c r="R2126" s="24" t="n">
        <f aca="false">IF($P2126=0,0,IF($O2126&lt;=INDEX(PARAMETROS_CULTURAS!$F$6:$F$28,$P2126),INDEX(PARAMETROS_CULTURAS!$K$6:$K$28,$P2126),IF($O2126&lt;=INDEX(PARAMETROS_CULTURAS!$F$6:$F$28,$P2126)+INDEX(PARAMETROS_CULTURAS!$G$6:$G$28,$P2126),INDEX(PARAMETROS_CULTURAS!$K$6:$K$28,$P2126)+(INDEX(PARAMETROS_CULTURAS!$L$6:$L$28,$P2126)-INDEX(PARAMETROS_CULTURAS!$K$6:$K$28,$P2126))*($O2126-INDEX(PARAMETROS_CULTURAS!$F$6:$F$28,$P2126))/MAX(INDEX(PARAMETROS_CULTURAS!$G$6:$G$28,$P2126),0.0001),IF($O2126&lt;=INDEX(PARAMETROS_CULTURAS!$F$6:$F$28,$P2126)+INDEX(PARAMETROS_CULTURAS!$G$6:$G$28,$P2126)+INDEX(PARAMETROS_CULTURAS!$H$6:$H$28,$P2126),INDEX(PARAMETROS_CULTURAS!$L$6:$L$28,$P2126),INDEX(PARAMETROS_CULTURAS!$L$6:$L$28,$P2126)+(INDEX(PARAMETROS_CULTURAS!$M$6:$M$28,$P2126)-INDEX(PARAMETROS_CULTURAS!$L$6:$L$28,$P2126))*($O2126-INDEX(PARAMETROS_CULTURAS!$F$6:$F$28,$P2126)-INDEX(PARAMETROS_CULTURAS!$G$6:$G$28,$P2126)-INDEX(PARAMETROS_CULTURAS!$H$6:$H$28,$P2126))/MAX(INDEX(PARAMETROS_CULTURAS!$I$6:$I$28,$P2126),0.0001)))))</f>
        <v>0</v>
      </c>
      <c r="S2126" s="18" t="n">
        <f aca="false">IFERROR(INDEX(SEMANAS!$H$6:$H$71,MATCH($B2126,SEMANAS!$B$6:$B$71,0)),0)</f>
        <v>38.5</v>
      </c>
      <c r="T2126" s="18" t="n">
        <f aca="false">$R2126*$S2126</f>
        <v>0</v>
      </c>
      <c r="U2126" s="18" t="n">
        <f aca="false">IFERROR(INDEX(SEMANAS!$I$6:$I$71,MATCH($B2126,SEMANAS!$B$6:$B$71,0)),0)</f>
        <v>29.89</v>
      </c>
      <c r="V2126" s="18" t="n">
        <f aca="false">IFERROR(INDEX(SEMANAS!$J$6:$J$71,MATCH($B2126,SEMANAS!$B$6:$B$71,0)),0)</f>
        <v>23.912</v>
      </c>
      <c r="W2126" s="18" t="n">
        <f aca="false">MAX(0,$T2126-$V2126)</f>
        <v>0</v>
      </c>
      <c r="X2126" s="19" t="n">
        <f aca="false">IFERROR(INDEX(CADASTRO_PIVOS!$K$6:$K$41,MATCH($E2126,CADASTRO_PIVOS!$B$6:$B$41,0)),EFICIENCIA_PADRAO)</f>
        <v>0.85</v>
      </c>
      <c r="Y2126" s="18" t="n">
        <f aca="false">IF($X2126&lt;=0,0,$W2126/$X2126)</f>
        <v>0</v>
      </c>
      <c r="Z2126" s="16" t="n">
        <f aca="false">$Y2126*$H2126*MM_PARA_M3_HA</f>
        <v>0</v>
      </c>
      <c r="AA2126" s="18" t="n">
        <f aca="false">IFERROR(INDEX(CADASTRO_PIVOS!$I$6:$I$41,MATCH($E2126,CADASTRO_PIVOS!$B$6:$B$41,0)),0)</f>
        <v>526.666666666667</v>
      </c>
      <c r="AB2126" s="18" t="n">
        <f aca="false">IF($Z2126&lt;=0,0,$Z2126/$AA2126)</f>
        <v>0</v>
      </c>
      <c r="AC2126" s="16" t="n">
        <f aca="false">IFERROR(INDEX(SEMANAS!$K$6:$K$71,MATCH($B2126,SEMANAS!$B$6:$B$71,0)),0)</f>
        <v>147</v>
      </c>
      <c r="AD2126" s="19" t="n">
        <f aca="false">IF($AC2126&lt;=0,0,$AB2126/$AC2126)</f>
        <v>0</v>
      </c>
      <c r="AE2126" s="8" t="str">
        <f aca="false">IF($K2126="SEM CULTURA","SEM CULTURA",IF($AA2126&lt;=0,"DADO PENDENTE",IF($AD2126&gt;LIMITE_CRITICO,"INVIAVEL",IF($AD2126&gt;LIMITE_ATENCAO,"CRITICO",IF($AD2126&gt;LIMITE_CONFORTAVEL,"ATENCAO","OK")))))</f>
        <v>SEM CULTURA</v>
      </c>
      <c r="AF2126" s="8" t="str">
        <f aca="false">$B2126&amp;"|"&amp;TEXT($AD2126,"0.000000")</f>
        <v>9|0.000000</v>
      </c>
      <c r="AG2126" s="18" t="n">
        <f aca="false">IF($K2126="SEM CULTURA",0,$T2126*$H2126)</f>
        <v>0</v>
      </c>
      <c r="AH2126" s="18" t="n">
        <f aca="false">IF($K2126="SEM CULTURA",0,$V2126*$H2126)</f>
        <v>0</v>
      </c>
      <c r="AI2126" s="18" t="n">
        <f aca="false">IF($K2126="SEM CULTURA",0,$W2126*$H2126)</f>
        <v>0</v>
      </c>
      <c r="AJ2126" s="18" t="n">
        <f aca="false">IF($K2126="SEM CULTURA",0,$S2126*$H2126)</f>
        <v>0</v>
      </c>
      <c r="AK2126" s="8" t="str">
        <f aca="false">$E2126&amp;"|"&amp;TEXT($AD2126,"0.000000")</f>
        <v>PV 134|0.000000</v>
      </c>
    </row>
    <row r="2127" customFormat="false" ht="15" hidden="false" customHeight="false" outlineLevel="0" collapsed="false">
      <c r="B2127" s="16" t="n">
        <v>10</v>
      </c>
      <c r="C2127" s="17" t="n">
        <f aca="false">DATA_INICIO_SAFRA+($B2127-1)*DIAS_POR_SEMANA</f>
        <v>46328</v>
      </c>
      <c r="D2127" s="17" t="n">
        <f aca="false">$C2127+DIAS_POR_SEMANA-1</f>
        <v>46334</v>
      </c>
      <c r="E2127" s="15" t="s">
        <v>291</v>
      </c>
      <c r="F2127" s="8" t="str">
        <f aca="false">IFERROR(INDEX(CADASTRO_PIVOS!$C$6:$C$41,MATCH($E2127,CADASTRO_PIVOS!$B$6:$B$41,0)),"?")</f>
        <v>RM08</v>
      </c>
      <c r="G2127" s="8" t="str">
        <f aca="false">IFERROR(INDEX(CADASTRO_PIVOS!$D$6:$D$41,MATCH($E2127,CADASTRO_PIVOS!$B$6:$B$41,0)),"?")</f>
        <v>TR08</v>
      </c>
      <c r="H2127" s="20" t="n">
        <f aca="false">IFERROR(INDEX(CADASTRO_PIVOS!$E$6:$E$41,MATCH($E2127,CADASTRO_PIVOS!$B$6:$B$41,0)),0)</f>
        <v>79</v>
      </c>
      <c r="I2127" s="16" t="n">
        <f aca="false">IFERROR(SUMIFS(ROTACAO_RDM!$B$6:$B$71,ROTACAO_RDM!$D$6:$D$71,$E2127,ROTACAO_RDM!$I$6:$I$71,"&lt;="&amp;$C2127+INT(DIAS_POR_SEMANA/2),ROTACAO_RDM!$J$6:$J$71,"&gt;="&amp;$C2127+INT(DIAS_POR_SEMANA/2)),0)</f>
        <v>0</v>
      </c>
      <c r="J2127" s="16" t="n">
        <f aca="false">IFERROR(MATCH($I2127,ROTACAO_RDM!$B$6:$B$71,0),0)</f>
        <v>0</v>
      </c>
      <c r="K2127" s="8" t="str">
        <f aca="false">IF($J2127=0,"SEM CULTURA",INDEX(ROTACAO_RDM!$F$6:$F$71,$J2127))</f>
        <v>SEM CULTURA</v>
      </c>
      <c r="L2127" s="8" t="str">
        <f aca="false">IF($J2127=0,"",INDEX(ROTACAO_RDM!$G$6:$G$71,$J2127))</f>
        <v/>
      </c>
      <c r="M2127" s="17" t="str">
        <f aca="false">IF($J2127=0,"",INDEX(ROTACAO_RDM!$I$6:$I$71,$J2127))</f>
        <v/>
      </c>
      <c r="N2127" s="16" t="n">
        <f aca="false">IF($J2127=0,0,MAX(0,$C2127+INT(DIAS_POR_SEMANA/2)-INDEX(ROTACAO_RDM!$I$6:$I$71,$J2127)))</f>
        <v>0</v>
      </c>
      <c r="O2127" s="19" t="n">
        <f aca="false">IF($J2127=0,0,MIN(1,$N2127/MAX(1,INDEX(ROTACAO_RDM!$K$6:$K$71,$J2127))))</f>
        <v>0</v>
      </c>
      <c r="P2127" s="16" t="n">
        <f aca="false">IF($J2127=0,0,IFERROR(MATCH(INDEX(ROTACAO_RDM!$N$6:$N$71,$J2127),PARAMETROS_CULTURAS!$B$6:$B$28,0),0))</f>
        <v>0</v>
      </c>
      <c r="Q2127" s="8" t="str">
        <f aca="false">IF($P2127=0,"-",IF($O2127&lt;=INDEX(PARAMETROS_CULTURAS!$F$6:$F$28,$P2127),"INICIAL",IF($O2127&lt;=INDEX(PARAMETROS_CULTURAS!$F$6:$F$28,$P2127)+INDEX(PARAMETROS_CULTURAS!$G$6:$G$28,$P2127),"DESENVOLVIMENTO",IF($O2127&lt;=INDEX(PARAMETROS_CULTURAS!$F$6:$F$28,$P2127)+INDEX(PARAMETROS_CULTURAS!$G$6:$G$28,$P2127)+INDEX(PARAMETROS_CULTURAS!$H$6:$H$28,$P2127),"MEDIA","FINAL"))))</f>
        <v>-</v>
      </c>
      <c r="R2127" s="24" t="n">
        <f aca="false">IF($P2127=0,0,IF($O2127&lt;=INDEX(PARAMETROS_CULTURAS!$F$6:$F$28,$P2127),INDEX(PARAMETROS_CULTURAS!$K$6:$K$28,$P2127),IF($O2127&lt;=INDEX(PARAMETROS_CULTURAS!$F$6:$F$28,$P2127)+INDEX(PARAMETROS_CULTURAS!$G$6:$G$28,$P2127),INDEX(PARAMETROS_CULTURAS!$K$6:$K$28,$P2127)+(INDEX(PARAMETROS_CULTURAS!$L$6:$L$28,$P2127)-INDEX(PARAMETROS_CULTURAS!$K$6:$K$28,$P2127))*($O2127-INDEX(PARAMETROS_CULTURAS!$F$6:$F$28,$P2127))/MAX(INDEX(PARAMETROS_CULTURAS!$G$6:$G$28,$P2127),0.0001),IF($O2127&lt;=INDEX(PARAMETROS_CULTURAS!$F$6:$F$28,$P2127)+INDEX(PARAMETROS_CULTURAS!$G$6:$G$28,$P2127)+INDEX(PARAMETROS_CULTURAS!$H$6:$H$28,$P2127),INDEX(PARAMETROS_CULTURAS!$L$6:$L$28,$P2127),INDEX(PARAMETROS_CULTURAS!$L$6:$L$28,$P2127)+(INDEX(PARAMETROS_CULTURAS!$M$6:$M$28,$P2127)-INDEX(PARAMETROS_CULTURAS!$L$6:$L$28,$P2127))*($O2127-INDEX(PARAMETROS_CULTURAS!$F$6:$F$28,$P2127)-INDEX(PARAMETROS_CULTURAS!$G$6:$G$28,$P2127)-INDEX(PARAMETROS_CULTURAS!$H$6:$H$28,$P2127))/MAX(INDEX(PARAMETROS_CULTURAS!$I$6:$I$28,$P2127),0.0001)))))</f>
        <v>0</v>
      </c>
      <c r="S2127" s="18" t="n">
        <f aca="false">IFERROR(INDEX(SEMANAS!$H$6:$H$71,MATCH($B2127,SEMANAS!$B$6:$B$71,0)),0)</f>
        <v>34.3</v>
      </c>
      <c r="T2127" s="18" t="n">
        <f aca="false">$R2127*$S2127</f>
        <v>0</v>
      </c>
      <c r="U2127" s="18" t="n">
        <f aca="false">IFERROR(INDEX(SEMANAS!$I$6:$I$71,MATCH($B2127,SEMANAS!$B$6:$B$71,0)),0)</f>
        <v>46.69</v>
      </c>
      <c r="V2127" s="18" t="n">
        <f aca="false">IFERROR(INDEX(SEMANAS!$J$6:$J$71,MATCH($B2127,SEMANAS!$B$6:$B$71,0)),0)</f>
        <v>37.352</v>
      </c>
      <c r="W2127" s="18" t="n">
        <f aca="false">MAX(0,$T2127-$V2127)</f>
        <v>0</v>
      </c>
      <c r="X2127" s="19" t="n">
        <f aca="false">IFERROR(INDEX(CADASTRO_PIVOS!$K$6:$K$41,MATCH($E2127,CADASTRO_PIVOS!$B$6:$B$41,0)),EFICIENCIA_PADRAO)</f>
        <v>0.85</v>
      </c>
      <c r="Y2127" s="18" t="n">
        <f aca="false">IF($X2127&lt;=0,0,$W2127/$X2127)</f>
        <v>0</v>
      </c>
      <c r="Z2127" s="16" t="n">
        <f aca="false">$Y2127*$H2127*MM_PARA_M3_HA</f>
        <v>0</v>
      </c>
      <c r="AA2127" s="18" t="n">
        <f aca="false">IFERROR(INDEX(CADASTRO_PIVOS!$I$6:$I$41,MATCH($E2127,CADASTRO_PIVOS!$B$6:$B$41,0)),0)</f>
        <v>526.666666666667</v>
      </c>
      <c r="AB2127" s="18" t="n">
        <f aca="false">IF($Z2127&lt;=0,0,$Z2127/$AA2127)</f>
        <v>0</v>
      </c>
      <c r="AC2127" s="16" t="n">
        <f aca="false">IFERROR(INDEX(SEMANAS!$K$6:$K$71,MATCH($B2127,SEMANAS!$B$6:$B$71,0)),0)</f>
        <v>147</v>
      </c>
      <c r="AD2127" s="19" t="n">
        <f aca="false">IF($AC2127&lt;=0,0,$AB2127/$AC2127)</f>
        <v>0</v>
      </c>
      <c r="AE2127" s="8" t="str">
        <f aca="false">IF($K2127="SEM CULTURA","SEM CULTURA",IF($AA2127&lt;=0,"DADO PENDENTE",IF($AD2127&gt;LIMITE_CRITICO,"INVIAVEL",IF($AD2127&gt;LIMITE_ATENCAO,"CRITICO",IF($AD2127&gt;LIMITE_CONFORTAVEL,"ATENCAO","OK")))))</f>
        <v>SEM CULTURA</v>
      </c>
      <c r="AF2127" s="8" t="str">
        <f aca="false">$B2127&amp;"|"&amp;TEXT($AD2127,"0.000000")</f>
        <v>10|0.000000</v>
      </c>
      <c r="AG2127" s="18" t="n">
        <f aca="false">IF($K2127="SEM CULTURA",0,$T2127*$H2127)</f>
        <v>0</v>
      </c>
      <c r="AH2127" s="18" t="n">
        <f aca="false">IF($K2127="SEM CULTURA",0,$V2127*$H2127)</f>
        <v>0</v>
      </c>
      <c r="AI2127" s="18" t="n">
        <f aca="false">IF($K2127="SEM CULTURA",0,$W2127*$H2127)</f>
        <v>0</v>
      </c>
      <c r="AJ2127" s="18" t="n">
        <f aca="false">IF($K2127="SEM CULTURA",0,$S2127*$H2127)</f>
        <v>0</v>
      </c>
      <c r="AK2127" s="8" t="str">
        <f aca="false">$E2127&amp;"|"&amp;TEXT($AD2127,"0.000000")</f>
        <v>PV 134|0.000000</v>
      </c>
    </row>
    <row r="2128" customFormat="false" ht="15" hidden="false" customHeight="false" outlineLevel="0" collapsed="false">
      <c r="B2128" s="16" t="n">
        <v>11</v>
      </c>
      <c r="C2128" s="17" t="n">
        <f aca="false">DATA_INICIO_SAFRA+($B2128-1)*DIAS_POR_SEMANA</f>
        <v>46335</v>
      </c>
      <c r="D2128" s="17" t="n">
        <f aca="false">$C2128+DIAS_POR_SEMANA-1</f>
        <v>46341</v>
      </c>
      <c r="E2128" s="15" t="s">
        <v>291</v>
      </c>
      <c r="F2128" s="8" t="str">
        <f aca="false">IFERROR(INDEX(CADASTRO_PIVOS!$C$6:$C$41,MATCH($E2128,CADASTRO_PIVOS!$B$6:$B$41,0)),"?")</f>
        <v>RM08</v>
      </c>
      <c r="G2128" s="8" t="str">
        <f aca="false">IFERROR(INDEX(CADASTRO_PIVOS!$D$6:$D$41,MATCH($E2128,CADASTRO_PIVOS!$B$6:$B$41,0)),"?")</f>
        <v>TR08</v>
      </c>
      <c r="H2128" s="20" t="n">
        <f aca="false">IFERROR(INDEX(CADASTRO_PIVOS!$E$6:$E$41,MATCH($E2128,CADASTRO_PIVOS!$B$6:$B$41,0)),0)</f>
        <v>79</v>
      </c>
      <c r="I2128" s="16" t="n">
        <f aca="false">IFERROR(SUMIFS(ROTACAO_RDM!$B$6:$B$71,ROTACAO_RDM!$D$6:$D$71,$E2128,ROTACAO_RDM!$I$6:$I$71,"&lt;="&amp;$C2128+INT(DIAS_POR_SEMANA/2),ROTACAO_RDM!$J$6:$J$71,"&gt;="&amp;$C2128+INT(DIAS_POR_SEMANA/2)),0)</f>
        <v>0</v>
      </c>
      <c r="J2128" s="16" t="n">
        <f aca="false">IFERROR(MATCH($I2128,ROTACAO_RDM!$B$6:$B$71,0),0)</f>
        <v>0</v>
      </c>
      <c r="K2128" s="8" t="str">
        <f aca="false">IF($J2128=0,"SEM CULTURA",INDEX(ROTACAO_RDM!$F$6:$F$71,$J2128))</f>
        <v>SEM CULTURA</v>
      </c>
      <c r="L2128" s="8" t="str">
        <f aca="false">IF($J2128=0,"",INDEX(ROTACAO_RDM!$G$6:$G$71,$J2128))</f>
        <v/>
      </c>
      <c r="M2128" s="17" t="str">
        <f aca="false">IF($J2128=0,"",INDEX(ROTACAO_RDM!$I$6:$I$71,$J2128))</f>
        <v/>
      </c>
      <c r="N2128" s="16" t="n">
        <f aca="false">IF($J2128=0,0,MAX(0,$C2128+INT(DIAS_POR_SEMANA/2)-INDEX(ROTACAO_RDM!$I$6:$I$71,$J2128)))</f>
        <v>0</v>
      </c>
      <c r="O2128" s="19" t="n">
        <f aca="false">IF($J2128=0,0,MIN(1,$N2128/MAX(1,INDEX(ROTACAO_RDM!$K$6:$K$71,$J2128))))</f>
        <v>0</v>
      </c>
      <c r="P2128" s="16" t="n">
        <f aca="false">IF($J2128=0,0,IFERROR(MATCH(INDEX(ROTACAO_RDM!$N$6:$N$71,$J2128),PARAMETROS_CULTURAS!$B$6:$B$28,0),0))</f>
        <v>0</v>
      </c>
      <c r="Q2128" s="8" t="str">
        <f aca="false">IF($P2128=0,"-",IF($O2128&lt;=INDEX(PARAMETROS_CULTURAS!$F$6:$F$28,$P2128),"INICIAL",IF($O2128&lt;=INDEX(PARAMETROS_CULTURAS!$F$6:$F$28,$P2128)+INDEX(PARAMETROS_CULTURAS!$G$6:$G$28,$P2128),"DESENVOLVIMENTO",IF($O2128&lt;=INDEX(PARAMETROS_CULTURAS!$F$6:$F$28,$P2128)+INDEX(PARAMETROS_CULTURAS!$G$6:$G$28,$P2128)+INDEX(PARAMETROS_CULTURAS!$H$6:$H$28,$P2128),"MEDIA","FINAL"))))</f>
        <v>-</v>
      </c>
      <c r="R2128" s="24" t="n">
        <f aca="false">IF($P2128=0,0,IF($O2128&lt;=INDEX(PARAMETROS_CULTURAS!$F$6:$F$28,$P2128),INDEX(PARAMETROS_CULTURAS!$K$6:$K$28,$P2128),IF($O2128&lt;=INDEX(PARAMETROS_CULTURAS!$F$6:$F$28,$P2128)+INDEX(PARAMETROS_CULTURAS!$G$6:$G$28,$P2128),INDEX(PARAMETROS_CULTURAS!$K$6:$K$28,$P2128)+(INDEX(PARAMETROS_CULTURAS!$L$6:$L$28,$P2128)-INDEX(PARAMETROS_CULTURAS!$K$6:$K$28,$P2128))*($O2128-INDEX(PARAMETROS_CULTURAS!$F$6:$F$28,$P2128))/MAX(INDEX(PARAMETROS_CULTURAS!$G$6:$G$28,$P2128),0.0001),IF($O2128&lt;=INDEX(PARAMETROS_CULTURAS!$F$6:$F$28,$P2128)+INDEX(PARAMETROS_CULTURAS!$G$6:$G$28,$P2128)+INDEX(PARAMETROS_CULTURAS!$H$6:$H$28,$P2128),INDEX(PARAMETROS_CULTURAS!$L$6:$L$28,$P2128),INDEX(PARAMETROS_CULTURAS!$L$6:$L$28,$P2128)+(INDEX(PARAMETROS_CULTURAS!$M$6:$M$28,$P2128)-INDEX(PARAMETROS_CULTURAS!$L$6:$L$28,$P2128))*($O2128-INDEX(PARAMETROS_CULTURAS!$F$6:$F$28,$P2128)-INDEX(PARAMETROS_CULTURAS!$G$6:$G$28,$P2128)-INDEX(PARAMETROS_CULTURAS!$H$6:$H$28,$P2128))/MAX(INDEX(PARAMETROS_CULTURAS!$I$6:$I$28,$P2128),0.0001)))))</f>
        <v>0</v>
      </c>
      <c r="S2128" s="18" t="n">
        <f aca="false">IFERROR(INDEX(SEMANAS!$H$6:$H$71,MATCH($B2128,SEMANAS!$B$6:$B$71,0)),0)</f>
        <v>34.3</v>
      </c>
      <c r="T2128" s="18" t="n">
        <f aca="false">$R2128*$S2128</f>
        <v>0</v>
      </c>
      <c r="U2128" s="18" t="n">
        <f aca="false">IFERROR(INDEX(SEMANAS!$I$6:$I$71,MATCH($B2128,SEMANAS!$B$6:$B$71,0)),0)</f>
        <v>46.69</v>
      </c>
      <c r="V2128" s="18" t="n">
        <f aca="false">IFERROR(INDEX(SEMANAS!$J$6:$J$71,MATCH($B2128,SEMANAS!$B$6:$B$71,0)),0)</f>
        <v>37.352</v>
      </c>
      <c r="W2128" s="18" t="n">
        <f aca="false">MAX(0,$T2128-$V2128)</f>
        <v>0</v>
      </c>
      <c r="X2128" s="19" t="n">
        <f aca="false">IFERROR(INDEX(CADASTRO_PIVOS!$K$6:$K$41,MATCH($E2128,CADASTRO_PIVOS!$B$6:$B$41,0)),EFICIENCIA_PADRAO)</f>
        <v>0.85</v>
      </c>
      <c r="Y2128" s="18" t="n">
        <f aca="false">IF($X2128&lt;=0,0,$W2128/$X2128)</f>
        <v>0</v>
      </c>
      <c r="Z2128" s="16" t="n">
        <f aca="false">$Y2128*$H2128*MM_PARA_M3_HA</f>
        <v>0</v>
      </c>
      <c r="AA2128" s="18" t="n">
        <f aca="false">IFERROR(INDEX(CADASTRO_PIVOS!$I$6:$I$41,MATCH($E2128,CADASTRO_PIVOS!$B$6:$B$41,0)),0)</f>
        <v>526.666666666667</v>
      </c>
      <c r="AB2128" s="18" t="n">
        <f aca="false">IF($Z2128&lt;=0,0,$Z2128/$AA2128)</f>
        <v>0</v>
      </c>
      <c r="AC2128" s="16" t="n">
        <f aca="false">IFERROR(INDEX(SEMANAS!$K$6:$K$71,MATCH($B2128,SEMANAS!$B$6:$B$71,0)),0)</f>
        <v>147</v>
      </c>
      <c r="AD2128" s="19" t="n">
        <f aca="false">IF($AC2128&lt;=0,0,$AB2128/$AC2128)</f>
        <v>0</v>
      </c>
      <c r="AE2128" s="8" t="str">
        <f aca="false">IF($K2128="SEM CULTURA","SEM CULTURA",IF($AA2128&lt;=0,"DADO PENDENTE",IF($AD2128&gt;LIMITE_CRITICO,"INVIAVEL",IF($AD2128&gt;LIMITE_ATENCAO,"CRITICO",IF($AD2128&gt;LIMITE_CONFORTAVEL,"ATENCAO","OK")))))</f>
        <v>SEM CULTURA</v>
      </c>
      <c r="AF2128" s="8" t="str">
        <f aca="false">$B2128&amp;"|"&amp;TEXT($AD2128,"0.000000")</f>
        <v>11|0.000000</v>
      </c>
      <c r="AG2128" s="18" t="n">
        <f aca="false">IF($K2128="SEM CULTURA",0,$T2128*$H2128)</f>
        <v>0</v>
      </c>
      <c r="AH2128" s="18" t="n">
        <f aca="false">IF($K2128="SEM CULTURA",0,$V2128*$H2128)</f>
        <v>0</v>
      </c>
      <c r="AI2128" s="18" t="n">
        <f aca="false">IF($K2128="SEM CULTURA",0,$W2128*$H2128)</f>
        <v>0</v>
      </c>
      <c r="AJ2128" s="18" t="n">
        <f aca="false">IF($K2128="SEM CULTURA",0,$S2128*$H2128)</f>
        <v>0</v>
      </c>
      <c r="AK2128" s="8" t="str">
        <f aca="false">$E2128&amp;"|"&amp;TEXT($AD2128,"0.000000")</f>
        <v>PV 134|0.000000</v>
      </c>
    </row>
    <row r="2129" customFormat="false" ht="15" hidden="false" customHeight="false" outlineLevel="0" collapsed="false">
      <c r="B2129" s="16" t="n">
        <v>12</v>
      </c>
      <c r="C2129" s="17" t="n">
        <f aca="false">DATA_INICIO_SAFRA+($B2129-1)*DIAS_POR_SEMANA</f>
        <v>46342</v>
      </c>
      <c r="D2129" s="17" t="n">
        <f aca="false">$C2129+DIAS_POR_SEMANA-1</f>
        <v>46348</v>
      </c>
      <c r="E2129" s="15" t="s">
        <v>291</v>
      </c>
      <c r="F2129" s="8" t="str">
        <f aca="false">IFERROR(INDEX(CADASTRO_PIVOS!$C$6:$C$41,MATCH($E2129,CADASTRO_PIVOS!$B$6:$B$41,0)),"?")</f>
        <v>RM08</v>
      </c>
      <c r="G2129" s="8" t="str">
        <f aca="false">IFERROR(INDEX(CADASTRO_PIVOS!$D$6:$D$41,MATCH($E2129,CADASTRO_PIVOS!$B$6:$B$41,0)),"?")</f>
        <v>TR08</v>
      </c>
      <c r="H2129" s="20" t="n">
        <f aca="false">IFERROR(INDEX(CADASTRO_PIVOS!$E$6:$E$41,MATCH($E2129,CADASTRO_PIVOS!$B$6:$B$41,0)),0)</f>
        <v>79</v>
      </c>
      <c r="I2129" s="16" t="n">
        <f aca="false">IFERROR(SUMIFS(ROTACAO_RDM!$B$6:$B$71,ROTACAO_RDM!$D$6:$D$71,$E2129,ROTACAO_RDM!$I$6:$I$71,"&lt;="&amp;$C2129+INT(DIAS_POR_SEMANA/2),ROTACAO_RDM!$J$6:$J$71,"&gt;="&amp;$C2129+INT(DIAS_POR_SEMANA/2)),0)</f>
        <v>0</v>
      </c>
      <c r="J2129" s="16" t="n">
        <f aca="false">IFERROR(MATCH($I2129,ROTACAO_RDM!$B$6:$B$71,0),0)</f>
        <v>0</v>
      </c>
      <c r="K2129" s="8" t="str">
        <f aca="false">IF($J2129=0,"SEM CULTURA",INDEX(ROTACAO_RDM!$F$6:$F$71,$J2129))</f>
        <v>SEM CULTURA</v>
      </c>
      <c r="L2129" s="8" t="str">
        <f aca="false">IF($J2129=0,"",INDEX(ROTACAO_RDM!$G$6:$G$71,$J2129))</f>
        <v/>
      </c>
      <c r="M2129" s="17" t="str">
        <f aca="false">IF($J2129=0,"",INDEX(ROTACAO_RDM!$I$6:$I$71,$J2129))</f>
        <v/>
      </c>
      <c r="N2129" s="16" t="n">
        <f aca="false">IF($J2129=0,0,MAX(0,$C2129+INT(DIAS_POR_SEMANA/2)-INDEX(ROTACAO_RDM!$I$6:$I$71,$J2129)))</f>
        <v>0</v>
      </c>
      <c r="O2129" s="19" t="n">
        <f aca="false">IF($J2129=0,0,MIN(1,$N2129/MAX(1,INDEX(ROTACAO_RDM!$K$6:$K$71,$J2129))))</f>
        <v>0</v>
      </c>
      <c r="P2129" s="16" t="n">
        <f aca="false">IF($J2129=0,0,IFERROR(MATCH(INDEX(ROTACAO_RDM!$N$6:$N$71,$J2129),PARAMETROS_CULTURAS!$B$6:$B$28,0),0))</f>
        <v>0</v>
      </c>
      <c r="Q2129" s="8" t="str">
        <f aca="false">IF($P2129=0,"-",IF($O2129&lt;=INDEX(PARAMETROS_CULTURAS!$F$6:$F$28,$P2129),"INICIAL",IF($O2129&lt;=INDEX(PARAMETROS_CULTURAS!$F$6:$F$28,$P2129)+INDEX(PARAMETROS_CULTURAS!$G$6:$G$28,$P2129),"DESENVOLVIMENTO",IF($O2129&lt;=INDEX(PARAMETROS_CULTURAS!$F$6:$F$28,$P2129)+INDEX(PARAMETROS_CULTURAS!$G$6:$G$28,$P2129)+INDEX(PARAMETROS_CULTURAS!$H$6:$H$28,$P2129),"MEDIA","FINAL"))))</f>
        <v>-</v>
      </c>
      <c r="R2129" s="24" t="n">
        <f aca="false">IF($P2129=0,0,IF($O2129&lt;=INDEX(PARAMETROS_CULTURAS!$F$6:$F$28,$P2129),INDEX(PARAMETROS_CULTURAS!$K$6:$K$28,$P2129),IF($O2129&lt;=INDEX(PARAMETROS_CULTURAS!$F$6:$F$28,$P2129)+INDEX(PARAMETROS_CULTURAS!$G$6:$G$28,$P2129),INDEX(PARAMETROS_CULTURAS!$K$6:$K$28,$P2129)+(INDEX(PARAMETROS_CULTURAS!$L$6:$L$28,$P2129)-INDEX(PARAMETROS_CULTURAS!$K$6:$K$28,$P2129))*($O2129-INDEX(PARAMETROS_CULTURAS!$F$6:$F$28,$P2129))/MAX(INDEX(PARAMETROS_CULTURAS!$G$6:$G$28,$P2129),0.0001),IF($O2129&lt;=INDEX(PARAMETROS_CULTURAS!$F$6:$F$28,$P2129)+INDEX(PARAMETROS_CULTURAS!$G$6:$G$28,$P2129)+INDEX(PARAMETROS_CULTURAS!$H$6:$H$28,$P2129),INDEX(PARAMETROS_CULTURAS!$L$6:$L$28,$P2129),INDEX(PARAMETROS_CULTURAS!$L$6:$L$28,$P2129)+(INDEX(PARAMETROS_CULTURAS!$M$6:$M$28,$P2129)-INDEX(PARAMETROS_CULTURAS!$L$6:$L$28,$P2129))*($O2129-INDEX(PARAMETROS_CULTURAS!$F$6:$F$28,$P2129)-INDEX(PARAMETROS_CULTURAS!$G$6:$G$28,$P2129)-INDEX(PARAMETROS_CULTURAS!$H$6:$H$28,$P2129))/MAX(INDEX(PARAMETROS_CULTURAS!$I$6:$I$28,$P2129),0.0001)))))</f>
        <v>0</v>
      </c>
      <c r="S2129" s="18" t="n">
        <f aca="false">IFERROR(INDEX(SEMANAS!$H$6:$H$71,MATCH($B2129,SEMANAS!$B$6:$B$71,0)),0)</f>
        <v>34.3</v>
      </c>
      <c r="T2129" s="18" t="n">
        <f aca="false">$R2129*$S2129</f>
        <v>0</v>
      </c>
      <c r="U2129" s="18" t="n">
        <f aca="false">IFERROR(INDEX(SEMANAS!$I$6:$I$71,MATCH($B2129,SEMANAS!$B$6:$B$71,0)),0)</f>
        <v>46.69</v>
      </c>
      <c r="V2129" s="18" t="n">
        <f aca="false">IFERROR(INDEX(SEMANAS!$J$6:$J$71,MATCH($B2129,SEMANAS!$B$6:$B$71,0)),0)</f>
        <v>37.352</v>
      </c>
      <c r="W2129" s="18" t="n">
        <f aca="false">MAX(0,$T2129-$V2129)</f>
        <v>0</v>
      </c>
      <c r="X2129" s="19" t="n">
        <f aca="false">IFERROR(INDEX(CADASTRO_PIVOS!$K$6:$K$41,MATCH($E2129,CADASTRO_PIVOS!$B$6:$B$41,0)),EFICIENCIA_PADRAO)</f>
        <v>0.85</v>
      </c>
      <c r="Y2129" s="18" t="n">
        <f aca="false">IF($X2129&lt;=0,0,$W2129/$X2129)</f>
        <v>0</v>
      </c>
      <c r="Z2129" s="16" t="n">
        <f aca="false">$Y2129*$H2129*MM_PARA_M3_HA</f>
        <v>0</v>
      </c>
      <c r="AA2129" s="18" t="n">
        <f aca="false">IFERROR(INDEX(CADASTRO_PIVOS!$I$6:$I$41,MATCH($E2129,CADASTRO_PIVOS!$B$6:$B$41,0)),0)</f>
        <v>526.666666666667</v>
      </c>
      <c r="AB2129" s="18" t="n">
        <f aca="false">IF($Z2129&lt;=0,0,$Z2129/$AA2129)</f>
        <v>0</v>
      </c>
      <c r="AC2129" s="16" t="n">
        <f aca="false">IFERROR(INDEX(SEMANAS!$K$6:$K$71,MATCH($B2129,SEMANAS!$B$6:$B$71,0)),0)</f>
        <v>147</v>
      </c>
      <c r="AD2129" s="19" t="n">
        <f aca="false">IF($AC2129&lt;=0,0,$AB2129/$AC2129)</f>
        <v>0</v>
      </c>
      <c r="AE2129" s="8" t="str">
        <f aca="false">IF($K2129="SEM CULTURA","SEM CULTURA",IF($AA2129&lt;=0,"DADO PENDENTE",IF($AD2129&gt;LIMITE_CRITICO,"INVIAVEL",IF($AD2129&gt;LIMITE_ATENCAO,"CRITICO",IF($AD2129&gt;LIMITE_CONFORTAVEL,"ATENCAO","OK")))))</f>
        <v>SEM CULTURA</v>
      </c>
      <c r="AF2129" s="8" t="str">
        <f aca="false">$B2129&amp;"|"&amp;TEXT($AD2129,"0.000000")</f>
        <v>12|0.000000</v>
      </c>
      <c r="AG2129" s="18" t="n">
        <f aca="false">IF($K2129="SEM CULTURA",0,$T2129*$H2129)</f>
        <v>0</v>
      </c>
      <c r="AH2129" s="18" t="n">
        <f aca="false">IF($K2129="SEM CULTURA",0,$V2129*$H2129)</f>
        <v>0</v>
      </c>
      <c r="AI2129" s="18" t="n">
        <f aca="false">IF($K2129="SEM CULTURA",0,$W2129*$H2129)</f>
        <v>0</v>
      </c>
      <c r="AJ2129" s="18" t="n">
        <f aca="false">IF($K2129="SEM CULTURA",0,$S2129*$H2129)</f>
        <v>0</v>
      </c>
      <c r="AK2129" s="8" t="str">
        <f aca="false">$E2129&amp;"|"&amp;TEXT($AD2129,"0.000000")</f>
        <v>PV 134|0.000000</v>
      </c>
    </row>
    <row r="2130" customFormat="false" ht="15" hidden="false" customHeight="false" outlineLevel="0" collapsed="false">
      <c r="B2130" s="16" t="n">
        <v>13</v>
      </c>
      <c r="C2130" s="17" t="n">
        <f aca="false">DATA_INICIO_SAFRA+($B2130-1)*DIAS_POR_SEMANA</f>
        <v>46349</v>
      </c>
      <c r="D2130" s="17" t="n">
        <f aca="false">$C2130+DIAS_POR_SEMANA-1</f>
        <v>46355</v>
      </c>
      <c r="E2130" s="15" t="s">
        <v>291</v>
      </c>
      <c r="F2130" s="8" t="str">
        <f aca="false">IFERROR(INDEX(CADASTRO_PIVOS!$C$6:$C$41,MATCH($E2130,CADASTRO_PIVOS!$B$6:$B$41,0)),"?")</f>
        <v>RM08</v>
      </c>
      <c r="G2130" s="8" t="str">
        <f aca="false">IFERROR(INDEX(CADASTRO_PIVOS!$D$6:$D$41,MATCH($E2130,CADASTRO_PIVOS!$B$6:$B$41,0)),"?")</f>
        <v>TR08</v>
      </c>
      <c r="H2130" s="20" t="n">
        <f aca="false">IFERROR(INDEX(CADASTRO_PIVOS!$E$6:$E$41,MATCH($E2130,CADASTRO_PIVOS!$B$6:$B$41,0)),0)</f>
        <v>79</v>
      </c>
      <c r="I2130" s="16" t="n">
        <f aca="false">IFERROR(SUMIFS(ROTACAO_RDM!$B$6:$B$71,ROTACAO_RDM!$D$6:$D$71,$E2130,ROTACAO_RDM!$I$6:$I$71,"&lt;="&amp;$C2130+INT(DIAS_POR_SEMANA/2),ROTACAO_RDM!$J$6:$J$71,"&gt;="&amp;$C2130+INT(DIAS_POR_SEMANA/2)),0)</f>
        <v>0</v>
      </c>
      <c r="J2130" s="16" t="n">
        <f aca="false">IFERROR(MATCH($I2130,ROTACAO_RDM!$B$6:$B$71,0),0)</f>
        <v>0</v>
      </c>
      <c r="K2130" s="8" t="str">
        <f aca="false">IF($J2130=0,"SEM CULTURA",INDEX(ROTACAO_RDM!$F$6:$F$71,$J2130))</f>
        <v>SEM CULTURA</v>
      </c>
      <c r="L2130" s="8" t="str">
        <f aca="false">IF($J2130=0,"",INDEX(ROTACAO_RDM!$G$6:$G$71,$J2130))</f>
        <v/>
      </c>
      <c r="M2130" s="17" t="str">
        <f aca="false">IF($J2130=0,"",INDEX(ROTACAO_RDM!$I$6:$I$71,$J2130))</f>
        <v/>
      </c>
      <c r="N2130" s="16" t="n">
        <f aca="false">IF($J2130=0,0,MAX(0,$C2130+INT(DIAS_POR_SEMANA/2)-INDEX(ROTACAO_RDM!$I$6:$I$71,$J2130)))</f>
        <v>0</v>
      </c>
      <c r="O2130" s="19" t="n">
        <f aca="false">IF($J2130=0,0,MIN(1,$N2130/MAX(1,INDEX(ROTACAO_RDM!$K$6:$K$71,$J2130))))</f>
        <v>0</v>
      </c>
      <c r="P2130" s="16" t="n">
        <f aca="false">IF($J2130=0,0,IFERROR(MATCH(INDEX(ROTACAO_RDM!$N$6:$N$71,$J2130),PARAMETROS_CULTURAS!$B$6:$B$28,0),0))</f>
        <v>0</v>
      </c>
      <c r="Q2130" s="8" t="str">
        <f aca="false">IF($P2130=0,"-",IF($O2130&lt;=INDEX(PARAMETROS_CULTURAS!$F$6:$F$28,$P2130),"INICIAL",IF($O2130&lt;=INDEX(PARAMETROS_CULTURAS!$F$6:$F$28,$P2130)+INDEX(PARAMETROS_CULTURAS!$G$6:$G$28,$P2130),"DESENVOLVIMENTO",IF($O2130&lt;=INDEX(PARAMETROS_CULTURAS!$F$6:$F$28,$P2130)+INDEX(PARAMETROS_CULTURAS!$G$6:$G$28,$P2130)+INDEX(PARAMETROS_CULTURAS!$H$6:$H$28,$P2130),"MEDIA","FINAL"))))</f>
        <v>-</v>
      </c>
      <c r="R2130" s="24" t="n">
        <f aca="false">IF($P2130=0,0,IF($O2130&lt;=INDEX(PARAMETROS_CULTURAS!$F$6:$F$28,$P2130),INDEX(PARAMETROS_CULTURAS!$K$6:$K$28,$P2130),IF($O2130&lt;=INDEX(PARAMETROS_CULTURAS!$F$6:$F$28,$P2130)+INDEX(PARAMETROS_CULTURAS!$G$6:$G$28,$P2130),INDEX(PARAMETROS_CULTURAS!$K$6:$K$28,$P2130)+(INDEX(PARAMETROS_CULTURAS!$L$6:$L$28,$P2130)-INDEX(PARAMETROS_CULTURAS!$K$6:$K$28,$P2130))*($O2130-INDEX(PARAMETROS_CULTURAS!$F$6:$F$28,$P2130))/MAX(INDEX(PARAMETROS_CULTURAS!$G$6:$G$28,$P2130),0.0001),IF($O2130&lt;=INDEX(PARAMETROS_CULTURAS!$F$6:$F$28,$P2130)+INDEX(PARAMETROS_CULTURAS!$G$6:$G$28,$P2130)+INDEX(PARAMETROS_CULTURAS!$H$6:$H$28,$P2130),INDEX(PARAMETROS_CULTURAS!$L$6:$L$28,$P2130),INDEX(PARAMETROS_CULTURAS!$L$6:$L$28,$P2130)+(INDEX(PARAMETROS_CULTURAS!$M$6:$M$28,$P2130)-INDEX(PARAMETROS_CULTURAS!$L$6:$L$28,$P2130))*($O2130-INDEX(PARAMETROS_CULTURAS!$F$6:$F$28,$P2130)-INDEX(PARAMETROS_CULTURAS!$G$6:$G$28,$P2130)-INDEX(PARAMETROS_CULTURAS!$H$6:$H$28,$P2130))/MAX(INDEX(PARAMETROS_CULTURAS!$I$6:$I$28,$P2130),0.0001)))))</f>
        <v>0</v>
      </c>
      <c r="S2130" s="18" t="n">
        <f aca="false">IFERROR(INDEX(SEMANAS!$H$6:$H$71,MATCH($B2130,SEMANAS!$B$6:$B$71,0)),0)</f>
        <v>34.3</v>
      </c>
      <c r="T2130" s="18" t="n">
        <f aca="false">$R2130*$S2130</f>
        <v>0</v>
      </c>
      <c r="U2130" s="18" t="n">
        <f aca="false">IFERROR(INDEX(SEMANAS!$I$6:$I$71,MATCH($B2130,SEMANAS!$B$6:$B$71,0)),0)</f>
        <v>46.69</v>
      </c>
      <c r="V2130" s="18" t="n">
        <f aca="false">IFERROR(INDEX(SEMANAS!$J$6:$J$71,MATCH($B2130,SEMANAS!$B$6:$B$71,0)),0)</f>
        <v>37.352</v>
      </c>
      <c r="W2130" s="18" t="n">
        <f aca="false">MAX(0,$T2130-$V2130)</f>
        <v>0</v>
      </c>
      <c r="X2130" s="19" t="n">
        <f aca="false">IFERROR(INDEX(CADASTRO_PIVOS!$K$6:$K$41,MATCH($E2130,CADASTRO_PIVOS!$B$6:$B$41,0)),EFICIENCIA_PADRAO)</f>
        <v>0.85</v>
      </c>
      <c r="Y2130" s="18" t="n">
        <f aca="false">IF($X2130&lt;=0,0,$W2130/$X2130)</f>
        <v>0</v>
      </c>
      <c r="Z2130" s="16" t="n">
        <f aca="false">$Y2130*$H2130*MM_PARA_M3_HA</f>
        <v>0</v>
      </c>
      <c r="AA2130" s="18" t="n">
        <f aca="false">IFERROR(INDEX(CADASTRO_PIVOS!$I$6:$I$41,MATCH($E2130,CADASTRO_PIVOS!$B$6:$B$41,0)),0)</f>
        <v>526.666666666667</v>
      </c>
      <c r="AB2130" s="18" t="n">
        <f aca="false">IF($Z2130&lt;=0,0,$Z2130/$AA2130)</f>
        <v>0</v>
      </c>
      <c r="AC2130" s="16" t="n">
        <f aca="false">IFERROR(INDEX(SEMANAS!$K$6:$K$71,MATCH($B2130,SEMANAS!$B$6:$B$71,0)),0)</f>
        <v>147</v>
      </c>
      <c r="AD2130" s="19" t="n">
        <f aca="false">IF($AC2130&lt;=0,0,$AB2130/$AC2130)</f>
        <v>0</v>
      </c>
      <c r="AE2130" s="8" t="str">
        <f aca="false">IF($K2130="SEM CULTURA","SEM CULTURA",IF($AA2130&lt;=0,"DADO PENDENTE",IF($AD2130&gt;LIMITE_CRITICO,"INVIAVEL",IF($AD2130&gt;LIMITE_ATENCAO,"CRITICO",IF($AD2130&gt;LIMITE_CONFORTAVEL,"ATENCAO","OK")))))</f>
        <v>SEM CULTURA</v>
      </c>
      <c r="AF2130" s="8" t="str">
        <f aca="false">$B2130&amp;"|"&amp;TEXT($AD2130,"0.000000")</f>
        <v>13|0.000000</v>
      </c>
      <c r="AG2130" s="18" t="n">
        <f aca="false">IF($K2130="SEM CULTURA",0,$T2130*$H2130)</f>
        <v>0</v>
      </c>
      <c r="AH2130" s="18" t="n">
        <f aca="false">IF($K2130="SEM CULTURA",0,$V2130*$H2130)</f>
        <v>0</v>
      </c>
      <c r="AI2130" s="18" t="n">
        <f aca="false">IF($K2130="SEM CULTURA",0,$W2130*$H2130)</f>
        <v>0</v>
      </c>
      <c r="AJ2130" s="18" t="n">
        <f aca="false">IF($K2130="SEM CULTURA",0,$S2130*$H2130)</f>
        <v>0</v>
      </c>
      <c r="AK2130" s="8" t="str">
        <f aca="false">$E2130&amp;"|"&amp;TEXT($AD2130,"0.000000")</f>
        <v>PV 134|0.000000</v>
      </c>
    </row>
    <row r="2131" customFormat="false" ht="15" hidden="false" customHeight="false" outlineLevel="0" collapsed="false">
      <c r="B2131" s="16" t="n">
        <v>14</v>
      </c>
      <c r="C2131" s="17" t="n">
        <f aca="false">DATA_INICIO_SAFRA+($B2131-1)*DIAS_POR_SEMANA</f>
        <v>46356</v>
      </c>
      <c r="D2131" s="17" t="n">
        <f aca="false">$C2131+DIAS_POR_SEMANA-1</f>
        <v>46362</v>
      </c>
      <c r="E2131" s="15" t="s">
        <v>291</v>
      </c>
      <c r="F2131" s="8" t="str">
        <f aca="false">IFERROR(INDEX(CADASTRO_PIVOS!$C$6:$C$41,MATCH($E2131,CADASTRO_PIVOS!$B$6:$B$41,0)),"?")</f>
        <v>RM08</v>
      </c>
      <c r="G2131" s="8" t="str">
        <f aca="false">IFERROR(INDEX(CADASTRO_PIVOS!$D$6:$D$41,MATCH($E2131,CADASTRO_PIVOS!$B$6:$B$41,0)),"?")</f>
        <v>TR08</v>
      </c>
      <c r="H2131" s="20" t="n">
        <f aca="false">IFERROR(INDEX(CADASTRO_PIVOS!$E$6:$E$41,MATCH($E2131,CADASTRO_PIVOS!$B$6:$B$41,0)),0)</f>
        <v>79</v>
      </c>
      <c r="I2131" s="16" t="n">
        <f aca="false">IFERROR(SUMIFS(ROTACAO_RDM!$B$6:$B$71,ROTACAO_RDM!$D$6:$D$71,$E2131,ROTACAO_RDM!$I$6:$I$71,"&lt;="&amp;$C2131+INT(DIAS_POR_SEMANA/2),ROTACAO_RDM!$J$6:$J$71,"&gt;="&amp;$C2131+INT(DIAS_POR_SEMANA/2)),0)</f>
        <v>0</v>
      </c>
      <c r="J2131" s="16" t="n">
        <f aca="false">IFERROR(MATCH($I2131,ROTACAO_RDM!$B$6:$B$71,0),0)</f>
        <v>0</v>
      </c>
      <c r="K2131" s="8" t="str">
        <f aca="false">IF($J2131=0,"SEM CULTURA",INDEX(ROTACAO_RDM!$F$6:$F$71,$J2131))</f>
        <v>SEM CULTURA</v>
      </c>
      <c r="L2131" s="8" t="str">
        <f aca="false">IF($J2131=0,"",INDEX(ROTACAO_RDM!$G$6:$G$71,$J2131))</f>
        <v/>
      </c>
      <c r="M2131" s="17" t="str">
        <f aca="false">IF($J2131=0,"",INDEX(ROTACAO_RDM!$I$6:$I$71,$J2131))</f>
        <v/>
      </c>
      <c r="N2131" s="16" t="n">
        <f aca="false">IF($J2131=0,0,MAX(0,$C2131+INT(DIAS_POR_SEMANA/2)-INDEX(ROTACAO_RDM!$I$6:$I$71,$J2131)))</f>
        <v>0</v>
      </c>
      <c r="O2131" s="19" t="n">
        <f aca="false">IF($J2131=0,0,MIN(1,$N2131/MAX(1,INDEX(ROTACAO_RDM!$K$6:$K$71,$J2131))))</f>
        <v>0</v>
      </c>
      <c r="P2131" s="16" t="n">
        <f aca="false">IF($J2131=0,0,IFERROR(MATCH(INDEX(ROTACAO_RDM!$N$6:$N$71,$J2131),PARAMETROS_CULTURAS!$B$6:$B$28,0),0))</f>
        <v>0</v>
      </c>
      <c r="Q2131" s="8" t="str">
        <f aca="false">IF($P2131=0,"-",IF($O2131&lt;=INDEX(PARAMETROS_CULTURAS!$F$6:$F$28,$P2131),"INICIAL",IF($O2131&lt;=INDEX(PARAMETROS_CULTURAS!$F$6:$F$28,$P2131)+INDEX(PARAMETROS_CULTURAS!$G$6:$G$28,$P2131),"DESENVOLVIMENTO",IF($O2131&lt;=INDEX(PARAMETROS_CULTURAS!$F$6:$F$28,$P2131)+INDEX(PARAMETROS_CULTURAS!$G$6:$G$28,$P2131)+INDEX(PARAMETROS_CULTURAS!$H$6:$H$28,$P2131),"MEDIA","FINAL"))))</f>
        <v>-</v>
      </c>
      <c r="R2131" s="24" t="n">
        <f aca="false">IF($P2131=0,0,IF($O2131&lt;=INDEX(PARAMETROS_CULTURAS!$F$6:$F$28,$P2131),INDEX(PARAMETROS_CULTURAS!$K$6:$K$28,$P2131),IF($O2131&lt;=INDEX(PARAMETROS_CULTURAS!$F$6:$F$28,$P2131)+INDEX(PARAMETROS_CULTURAS!$G$6:$G$28,$P2131),INDEX(PARAMETROS_CULTURAS!$K$6:$K$28,$P2131)+(INDEX(PARAMETROS_CULTURAS!$L$6:$L$28,$P2131)-INDEX(PARAMETROS_CULTURAS!$K$6:$K$28,$P2131))*($O2131-INDEX(PARAMETROS_CULTURAS!$F$6:$F$28,$P2131))/MAX(INDEX(PARAMETROS_CULTURAS!$G$6:$G$28,$P2131),0.0001),IF($O2131&lt;=INDEX(PARAMETROS_CULTURAS!$F$6:$F$28,$P2131)+INDEX(PARAMETROS_CULTURAS!$G$6:$G$28,$P2131)+INDEX(PARAMETROS_CULTURAS!$H$6:$H$28,$P2131),INDEX(PARAMETROS_CULTURAS!$L$6:$L$28,$P2131),INDEX(PARAMETROS_CULTURAS!$L$6:$L$28,$P2131)+(INDEX(PARAMETROS_CULTURAS!$M$6:$M$28,$P2131)-INDEX(PARAMETROS_CULTURAS!$L$6:$L$28,$P2131))*($O2131-INDEX(PARAMETROS_CULTURAS!$F$6:$F$28,$P2131)-INDEX(PARAMETROS_CULTURAS!$G$6:$G$28,$P2131)-INDEX(PARAMETROS_CULTURAS!$H$6:$H$28,$P2131))/MAX(INDEX(PARAMETROS_CULTURAS!$I$6:$I$28,$P2131),0.0001)))))</f>
        <v>0</v>
      </c>
      <c r="S2131" s="18" t="n">
        <f aca="false">IFERROR(INDEX(SEMANAS!$H$6:$H$71,MATCH($B2131,SEMANAS!$B$6:$B$71,0)),0)</f>
        <v>33.1</v>
      </c>
      <c r="T2131" s="18" t="n">
        <f aca="false">$R2131*$S2131</f>
        <v>0</v>
      </c>
      <c r="U2131" s="18" t="n">
        <f aca="false">IFERROR(INDEX(SEMANAS!$I$6:$I$71,MATCH($B2131,SEMANAS!$B$6:$B$71,0)),0)</f>
        <v>48.31</v>
      </c>
      <c r="V2131" s="18" t="n">
        <f aca="false">IFERROR(INDEX(SEMANAS!$J$6:$J$71,MATCH($B2131,SEMANAS!$B$6:$B$71,0)),0)</f>
        <v>38.648</v>
      </c>
      <c r="W2131" s="18" t="n">
        <f aca="false">MAX(0,$T2131-$V2131)</f>
        <v>0</v>
      </c>
      <c r="X2131" s="19" t="n">
        <f aca="false">IFERROR(INDEX(CADASTRO_PIVOS!$K$6:$K$41,MATCH($E2131,CADASTRO_PIVOS!$B$6:$B$41,0)),EFICIENCIA_PADRAO)</f>
        <v>0.85</v>
      </c>
      <c r="Y2131" s="18" t="n">
        <f aca="false">IF($X2131&lt;=0,0,$W2131/$X2131)</f>
        <v>0</v>
      </c>
      <c r="Z2131" s="16" t="n">
        <f aca="false">$Y2131*$H2131*MM_PARA_M3_HA</f>
        <v>0</v>
      </c>
      <c r="AA2131" s="18" t="n">
        <f aca="false">IFERROR(INDEX(CADASTRO_PIVOS!$I$6:$I$41,MATCH($E2131,CADASTRO_PIVOS!$B$6:$B$41,0)),0)</f>
        <v>526.666666666667</v>
      </c>
      <c r="AB2131" s="18" t="n">
        <f aca="false">IF($Z2131&lt;=0,0,$Z2131/$AA2131)</f>
        <v>0</v>
      </c>
      <c r="AC2131" s="16" t="n">
        <f aca="false">IFERROR(INDEX(SEMANAS!$K$6:$K$71,MATCH($B2131,SEMANAS!$B$6:$B$71,0)),0)</f>
        <v>147</v>
      </c>
      <c r="AD2131" s="19" t="n">
        <f aca="false">IF($AC2131&lt;=0,0,$AB2131/$AC2131)</f>
        <v>0</v>
      </c>
      <c r="AE2131" s="8" t="str">
        <f aca="false">IF($K2131="SEM CULTURA","SEM CULTURA",IF($AA2131&lt;=0,"DADO PENDENTE",IF($AD2131&gt;LIMITE_CRITICO,"INVIAVEL",IF($AD2131&gt;LIMITE_ATENCAO,"CRITICO",IF($AD2131&gt;LIMITE_CONFORTAVEL,"ATENCAO","OK")))))</f>
        <v>SEM CULTURA</v>
      </c>
      <c r="AF2131" s="8" t="str">
        <f aca="false">$B2131&amp;"|"&amp;TEXT($AD2131,"0.000000")</f>
        <v>14|0.000000</v>
      </c>
      <c r="AG2131" s="18" t="n">
        <f aca="false">IF($K2131="SEM CULTURA",0,$T2131*$H2131)</f>
        <v>0</v>
      </c>
      <c r="AH2131" s="18" t="n">
        <f aca="false">IF($K2131="SEM CULTURA",0,$V2131*$H2131)</f>
        <v>0</v>
      </c>
      <c r="AI2131" s="18" t="n">
        <f aca="false">IF($K2131="SEM CULTURA",0,$W2131*$H2131)</f>
        <v>0</v>
      </c>
      <c r="AJ2131" s="18" t="n">
        <f aca="false">IF($K2131="SEM CULTURA",0,$S2131*$H2131)</f>
        <v>0</v>
      </c>
      <c r="AK2131" s="8" t="str">
        <f aca="false">$E2131&amp;"|"&amp;TEXT($AD2131,"0.000000")</f>
        <v>PV 134|0.000000</v>
      </c>
    </row>
    <row r="2132" customFormat="false" ht="15" hidden="false" customHeight="false" outlineLevel="0" collapsed="false">
      <c r="B2132" s="16" t="n">
        <v>15</v>
      </c>
      <c r="C2132" s="17" t="n">
        <f aca="false">DATA_INICIO_SAFRA+($B2132-1)*DIAS_POR_SEMANA</f>
        <v>46363</v>
      </c>
      <c r="D2132" s="17" t="n">
        <f aca="false">$C2132+DIAS_POR_SEMANA-1</f>
        <v>46369</v>
      </c>
      <c r="E2132" s="15" t="s">
        <v>291</v>
      </c>
      <c r="F2132" s="8" t="str">
        <f aca="false">IFERROR(INDEX(CADASTRO_PIVOS!$C$6:$C$41,MATCH($E2132,CADASTRO_PIVOS!$B$6:$B$41,0)),"?")</f>
        <v>RM08</v>
      </c>
      <c r="G2132" s="8" t="str">
        <f aca="false">IFERROR(INDEX(CADASTRO_PIVOS!$D$6:$D$41,MATCH($E2132,CADASTRO_PIVOS!$B$6:$B$41,0)),"?")</f>
        <v>TR08</v>
      </c>
      <c r="H2132" s="20" t="n">
        <f aca="false">IFERROR(INDEX(CADASTRO_PIVOS!$E$6:$E$41,MATCH($E2132,CADASTRO_PIVOS!$B$6:$B$41,0)),0)</f>
        <v>79</v>
      </c>
      <c r="I2132" s="16" t="n">
        <f aca="false">IFERROR(SUMIFS(ROTACAO_RDM!$B$6:$B$71,ROTACAO_RDM!$D$6:$D$71,$E2132,ROTACAO_RDM!$I$6:$I$71,"&lt;="&amp;$C2132+INT(DIAS_POR_SEMANA/2),ROTACAO_RDM!$J$6:$J$71,"&gt;="&amp;$C2132+INT(DIAS_POR_SEMANA/2)),0)</f>
        <v>0</v>
      </c>
      <c r="J2132" s="16" t="n">
        <f aca="false">IFERROR(MATCH($I2132,ROTACAO_RDM!$B$6:$B$71,0),0)</f>
        <v>0</v>
      </c>
      <c r="K2132" s="8" t="str">
        <f aca="false">IF($J2132=0,"SEM CULTURA",INDEX(ROTACAO_RDM!$F$6:$F$71,$J2132))</f>
        <v>SEM CULTURA</v>
      </c>
      <c r="L2132" s="8" t="str">
        <f aca="false">IF($J2132=0,"",INDEX(ROTACAO_RDM!$G$6:$G$71,$J2132))</f>
        <v/>
      </c>
      <c r="M2132" s="17" t="str">
        <f aca="false">IF($J2132=0,"",INDEX(ROTACAO_RDM!$I$6:$I$71,$J2132))</f>
        <v/>
      </c>
      <c r="N2132" s="16" t="n">
        <f aca="false">IF($J2132=0,0,MAX(0,$C2132+INT(DIAS_POR_SEMANA/2)-INDEX(ROTACAO_RDM!$I$6:$I$71,$J2132)))</f>
        <v>0</v>
      </c>
      <c r="O2132" s="19" t="n">
        <f aca="false">IF($J2132=0,0,MIN(1,$N2132/MAX(1,INDEX(ROTACAO_RDM!$K$6:$K$71,$J2132))))</f>
        <v>0</v>
      </c>
      <c r="P2132" s="16" t="n">
        <f aca="false">IF($J2132=0,0,IFERROR(MATCH(INDEX(ROTACAO_RDM!$N$6:$N$71,$J2132),PARAMETROS_CULTURAS!$B$6:$B$28,0),0))</f>
        <v>0</v>
      </c>
      <c r="Q2132" s="8" t="str">
        <f aca="false">IF($P2132=0,"-",IF($O2132&lt;=INDEX(PARAMETROS_CULTURAS!$F$6:$F$28,$P2132),"INICIAL",IF($O2132&lt;=INDEX(PARAMETROS_CULTURAS!$F$6:$F$28,$P2132)+INDEX(PARAMETROS_CULTURAS!$G$6:$G$28,$P2132),"DESENVOLVIMENTO",IF($O2132&lt;=INDEX(PARAMETROS_CULTURAS!$F$6:$F$28,$P2132)+INDEX(PARAMETROS_CULTURAS!$G$6:$G$28,$P2132)+INDEX(PARAMETROS_CULTURAS!$H$6:$H$28,$P2132),"MEDIA","FINAL"))))</f>
        <v>-</v>
      </c>
      <c r="R2132" s="24" t="n">
        <f aca="false">IF($P2132=0,0,IF($O2132&lt;=INDEX(PARAMETROS_CULTURAS!$F$6:$F$28,$P2132),INDEX(PARAMETROS_CULTURAS!$K$6:$K$28,$P2132),IF($O2132&lt;=INDEX(PARAMETROS_CULTURAS!$F$6:$F$28,$P2132)+INDEX(PARAMETROS_CULTURAS!$G$6:$G$28,$P2132),INDEX(PARAMETROS_CULTURAS!$K$6:$K$28,$P2132)+(INDEX(PARAMETROS_CULTURAS!$L$6:$L$28,$P2132)-INDEX(PARAMETROS_CULTURAS!$K$6:$K$28,$P2132))*($O2132-INDEX(PARAMETROS_CULTURAS!$F$6:$F$28,$P2132))/MAX(INDEX(PARAMETROS_CULTURAS!$G$6:$G$28,$P2132),0.0001),IF($O2132&lt;=INDEX(PARAMETROS_CULTURAS!$F$6:$F$28,$P2132)+INDEX(PARAMETROS_CULTURAS!$G$6:$G$28,$P2132)+INDEX(PARAMETROS_CULTURAS!$H$6:$H$28,$P2132),INDEX(PARAMETROS_CULTURAS!$L$6:$L$28,$P2132),INDEX(PARAMETROS_CULTURAS!$L$6:$L$28,$P2132)+(INDEX(PARAMETROS_CULTURAS!$M$6:$M$28,$P2132)-INDEX(PARAMETROS_CULTURAS!$L$6:$L$28,$P2132))*($O2132-INDEX(PARAMETROS_CULTURAS!$F$6:$F$28,$P2132)-INDEX(PARAMETROS_CULTURAS!$G$6:$G$28,$P2132)-INDEX(PARAMETROS_CULTURAS!$H$6:$H$28,$P2132))/MAX(INDEX(PARAMETROS_CULTURAS!$I$6:$I$28,$P2132),0.0001)))))</f>
        <v>0</v>
      </c>
      <c r="S2132" s="18" t="n">
        <f aca="false">IFERROR(INDEX(SEMANAS!$H$6:$H$71,MATCH($B2132,SEMANAS!$B$6:$B$71,0)),0)</f>
        <v>32.9</v>
      </c>
      <c r="T2132" s="18" t="n">
        <f aca="false">$R2132*$S2132</f>
        <v>0</v>
      </c>
      <c r="U2132" s="18" t="n">
        <f aca="false">IFERROR(INDEX(SEMANAS!$I$6:$I$71,MATCH($B2132,SEMANAS!$B$6:$B$71,0)),0)</f>
        <v>48.58</v>
      </c>
      <c r="V2132" s="18" t="n">
        <f aca="false">IFERROR(INDEX(SEMANAS!$J$6:$J$71,MATCH($B2132,SEMANAS!$B$6:$B$71,0)),0)</f>
        <v>38.864</v>
      </c>
      <c r="W2132" s="18" t="n">
        <f aca="false">MAX(0,$T2132-$V2132)</f>
        <v>0</v>
      </c>
      <c r="X2132" s="19" t="n">
        <f aca="false">IFERROR(INDEX(CADASTRO_PIVOS!$K$6:$K$41,MATCH($E2132,CADASTRO_PIVOS!$B$6:$B$41,0)),EFICIENCIA_PADRAO)</f>
        <v>0.85</v>
      </c>
      <c r="Y2132" s="18" t="n">
        <f aca="false">IF($X2132&lt;=0,0,$W2132/$X2132)</f>
        <v>0</v>
      </c>
      <c r="Z2132" s="16" t="n">
        <f aca="false">$Y2132*$H2132*MM_PARA_M3_HA</f>
        <v>0</v>
      </c>
      <c r="AA2132" s="18" t="n">
        <f aca="false">IFERROR(INDEX(CADASTRO_PIVOS!$I$6:$I$41,MATCH($E2132,CADASTRO_PIVOS!$B$6:$B$41,0)),0)</f>
        <v>526.666666666667</v>
      </c>
      <c r="AB2132" s="18" t="n">
        <f aca="false">IF($Z2132&lt;=0,0,$Z2132/$AA2132)</f>
        <v>0</v>
      </c>
      <c r="AC2132" s="16" t="n">
        <f aca="false">IFERROR(INDEX(SEMANAS!$K$6:$K$71,MATCH($B2132,SEMANAS!$B$6:$B$71,0)),0)</f>
        <v>147</v>
      </c>
      <c r="AD2132" s="19" t="n">
        <f aca="false">IF($AC2132&lt;=0,0,$AB2132/$AC2132)</f>
        <v>0</v>
      </c>
      <c r="AE2132" s="8" t="str">
        <f aca="false">IF($K2132="SEM CULTURA","SEM CULTURA",IF($AA2132&lt;=0,"DADO PENDENTE",IF($AD2132&gt;LIMITE_CRITICO,"INVIAVEL",IF($AD2132&gt;LIMITE_ATENCAO,"CRITICO",IF($AD2132&gt;LIMITE_CONFORTAVEL,"ATENCAO","OK")))))</f>
        <v>SEM CULTURA</v>
      </c>
      <c r="AF2132" s="8" t="str">
        <f aca="false">$B2132&amp;"|"&amp;TEXT($AD2132,"0.000000")</f>
        <v>15|0.000000</v>
      </c>
      <c r="AG2132" s="18" t="n">
        <f aca="false">IF($K2132="SEM CULTURA",0,$T2132*$H2132)</f>
        <v>0</v>
      </c>
      <c r="AH2132" s="18" t="n">
        <f aca="false">IF($K2132="SEM CULTURA",0,$V2132*$H2132)</f>
        <v>0</v>
      </c>
      <c r="AI2132" s="18" t="n">
        <f aca="false">IF($K2132="SEM CULTURA",0,$W2132*$H2132)</f>
        <v>0</v>
      </c>
      <c r="AJ2132" s="18" t="n">
        <f aca="false">IF($K2132="SEM CULTURA",0,$S2132*$H2132)</f>
        <v>0</v>
      </c>
      <c r="AK2132" s="8" t="str">
        <f aca="false">$E2132&amp;"|"&amp;TEXT($AD2132,"0.000000")</f>
        <v>PV 134|0.000000</v>
      </c>
    </row>
    <row r="2133" customFormat="false" ht="15" hidden="false" customHeight="false" outlineLevel="0" collapsed="false">
      <c r="B2133" s="16" t="n">
        <v>16</v>
      </c>
      <c r="C2133" s="17" t="n">
        <f aca="false">DATA_INICIO_SAFRA+($B2133-1)*DIAS_POR_SEMANA</f>
        <v>46370</v>
      </c>
      <c r="D2133" s="17" t="n">
        <f aca="false">$C2133+DIAS_POR_SEMANA-1</f>
        <v>46376</v>
      </c>
      <c r="E2133" s="15" t="s">
        <v>291</v>
      </c>
      <c r="F2133" s="8" t="str">
        <f aca="false">IFERROR(INDEX(CADASTRO_PIVOS!$C$6:$C$41,MATCH($E2133,CADASTRO_PIVOS!$B$6:$B$41,0)),"?")</f>
        <v>RM08</v>
      </c>
      <c r="G2133" s="8" t="str">
        <f aca="false">IFERROR(INDEX(CADASTRO_PIVOS!$D$6:$D$41,MATCH($E2133,CADASTRO_PIVOS!$B$6:$B$41,0)),"?")</f>
        <v>TR08</v>
      </c>
      <c r="H2133" s="20" t="n">
        <f aca="false">IFERROR(INDEX(CADASTRO_PIVOS!$E$6:$E$41,MATCH($E2133,CADASTRO_PIVOS!$B$6:$B$41,0)),0)</f>
        <v>79</v>
      </c>
      <c r="I2133" s="16" t="n">
        <f aca="false">IFERROR(SUMIFS(ROTACAO_RDM!$B$6:$B$71,ROTACAO_RDM!$D$6:$D$71,$E2133,ROTACAO_RDM!$I$6:$I$71,"&lt;="&amp;$C2133+INT(DIAS_POR_SEMANA/2),ROTACAO_RDM!$J$6:$J$71,"&gt;="&amp;$C2133+INT(DIAS_POR_SEMANA/2)),0)</f>
        <v>0</v>
      </c>
      <c r="J2133" s="16" t="n">
        <f aca="false">IFERROR(MATCH($I2133,ROTACAO_RDM!$B$6:$B$71,0),0)</f>
        <v>0</v>
      </c>
      <c r="K2133" s="8" t="str">
        <f aca="false">IF($J2133=0,"SEM CULTURA",INDEX(ROTACAO_RDM!$F$6:$F$71,$J2133))</f>
        <v>SEM CULTURA</v>
      </c>
      <c r="L2133" s="8" t="str">
        <f aca="false">IF($J2133=0,"",INDEX(ROTACAO_RDM!$G$6:$G$71,$J2133))</f>
        <v/>
      </c>
      <c r="M2133" s="17" t="str">
        <f aca="false">IF($J2133=0,"",INDEX(ROTACAO_RDM!$I$6:$I$71,$J2133))</f>
        <v/>
      </c>
      <c r="N2133" s="16" t="n">
        <f aca="false">IF($J2133=0,0,MAX(0,$C2133+INT(DIAS_POR_SEMANA/2)-INDEX(ROTACAO_RDM!$I$6:$I$71,$J2133)))</f>
        <v>0</v>
      </c>
      <c r="O2133" s="19" t="n">
        <f aca="false">IF($J2133=0,0,MIN(1,$N2133/MAX(1,INDEX(ROTACAO_RDM!$K$6:$K$71,$J2133))))</f>
        <v>0</v>
      </c>
      <c r="P2133" s="16" t="n">
        <f aca="false">IF($J2133=0,0,IFERROR(MATCH(INDEX(ROTACAO_RDM!$N$6:$N$71,$J2133),PARAMETROS_CULTURAS!$B$6:$B$28,0),0))</f>
        <v>0</v>
      </c>
      <c r="Q2133" s="8" t="str">
        <f aca="false">IF($P2133=0,"-",IF($O2133&lt;=INDEX(PARAMETROS_CULTURAS!$F$6:$F$28,$P2133),"INICIAL",IF($O2133&lt;=INDEX(PARAMETROS_CULTURAS!$F$6:$F$28,$P2133)+INDEX(PARAMETROS_CULTURAS!$G$6:$G$28,$P2133),"DESENVOLVIMENTO",IF($O2133&lt;=INDEX(PARAMETROS_CULTURAS!$F$6:$F$28,$P2133)+INDEX(PARAMETROS_CULTURAS!$G$6:$G$28,$P2133)+INDEX(PARAMETROS_CULTURAS!$H$6:$H$28,$P2133),"MEDIA","FINAL"))))</f>
        <v>-</v>
      </c>
      <c r="R2133" s="24" t="n">
        <f aca="false">IF($P2133=0,0,IF($O2133&lt;=INDEX(PARAMETROS_CULTURAS!$F$6:$F$28,$P2133),INDEX(PARAMETROS_CULTURAS!$K$6:$K$28,$P2133),IF($O2133&lt;=INDEX(PARAMETROS_CULTURAS!$F$6:$F$28,$P2133)+INDEX(PARAMETROS_CULTURAS!$G$6:$G$28,$P2133),INDEX(PARAMETROS_CULTURAS!$K$6:$K$28,$P2133)+(INDEX(PARAMETROS_CULTURAS!$L$6:$L$28,$P2133)-INDEX(PARAMETROS_CULTURAS!$K$6:$K$28,$P2133))*($O2133-INDEX(PARAMETROS_CULTURAS!$F$6:$F$28,$P2133))/MAX(INDEX(PARAMETROS_CULTURAS!$G$6:$G$28,$P2133),0.0001),IF($O2133&lt;=INDEX(PARAMETROS_CULTURAS!$F$6:$F$28,$P2133)+INDEX(PARAMETROS_CULTURAS!$G$6:$G$28,$P2133)+INDEX(PARAMETROS_CULTURAS!$H$6:$H$28,$P2133),INDEX(PARAMETROS_CULTURAS!$L$6:$L$28,$P2133),INDEX(PARAMETROS_CULTURAS!$L$6:$L$28,$P2133)+(INDEX(PARAMETROS_CULTURAS!$M$6:$M$28,$P2133)-INDEX(PARAMETROS_CULTURAS!$L$6:$L$28,$P2133))*($O2133-INDEX(PARAMETROS_CULTURAS!$F$6:$F$28,$P2133)-INDEX(PARAMETROS_CULTURAS!$G$6:$G$28,$P2133)-INDEX(PARAMETROS_CULTURAS!$H$6:$H$28,$P2133))/MAX(INDEX(PARAMETROS_CULTURAS!$I$6:$I$28,$P2133),0.0001)))))</f>
        <v>0</v>
      </c>
      <c r="S2133" s="18" t="n">
        <f aca="false">IFERROR(INDEX(SEMANAS!$H$6:$H$71,MATCH($B2133,SEMANAS!$B$6:$B$71,0)),0)</f>
        <v>32.9</v>
      </c>
      <c r="T2133" s="18" t="n">
        <f aca="false">$R2133*$S2133</f>
        <v>0</v>
      </c>
      <c r="U2133" s="18" t="n">
        <f aca="false">IFERROR(INDEX(SEMANAS!$I$6:$I$71,MATCH($B2133,SEMANAS!$B$6:$B$71,0)),0)</f>
        <v>48.58</v>
      </c>
      <c r="V2133" s="18" t="n">
        <f aca="false">IFERROR(INDEX(SEMANAS!$J$6:$J$71,MATCH($B2133,SEMANAS!$B$6:$B$71,0)),0)</f>
        <v>38.864</v>
      </c>
      <c r="W2133" s="18" t="n">
        <f aca="false">MAX(0,$T2133-$V2133)</f>
        <v>0</v>
      </c>
      <c r="X2133" s="19" t="n">
        <f aca="false">IFERROR(INDEX(CADASTRO_PIVOS!$K$6:$K$41,MATCH($E2133,CADASTRO_PIVOS!$B$6:$B$41,0)),EFICIENCIA_PADRAO)</f>
        <v>0.85</v>
      </c>
      <c r="Y2133" s="18" t="n">
        <f aca="false">IF($X2133&lt;=0,0,$W2133/$X2133)</f>
        <v>0</v>
      </c>
      <c r="Z2133" s="16" t="n">
        <f aca="false">$Y2133*$H2133*MM_PARA_M3_HA</f>
        <v>0</v>
      </c>
      <c r="AA2133" s="18" t="n">
        <f aca="false">IFERROR(INDEX(CADASTRO_PIVOS!$I$6:$I$41,MATCH($E2133,CADASTRO_PIVOS!$B$6:$B$41,0)),0)</f>
        <v>526.666666666667</v>
      </c>
      <c r="AB2133" s="18" t="n">
        <f aca="false">IF($Z2133&lt;=0,0,$Z2133/$AA2133)</f>
        <v>0</v>
      </c>
      <c r="AC2133" s="16" t="n">
        <f aca="false">IFERROR(INDEX(SEMANAS!$K$6:$K$71,MATCH($B2133,SEMANAS!$B$6:$B$71,0)),0)</f>
        <v>147</v>
      </c>
      <c r="AD2133" s="19" t="n">
        <f aca="false">IF($AC2133&lt;=0,0,$AB2133/$AC2133)</f>
        <v>0</v>
      </c>
      <c r="AE2133" s="8" t="str">
        <f aca="false">IF($K2133="SEM CULTURA","SEM CULTURA",IF($AA2133&lt;=0,"DADO PENDENTE",IF($AD2133&gt;LIMITE_CRITICO,"INVIAVEL",IF($AD2133&gt;LIMITE_ATENCAO,"CRITICO",IF($AD2133&gt;LIMITE_CONFORTAVEL,"ATENCAO","OK")))))</f>
        <v>SEM CULTURA</v>
      </c>
      <c r="AF2133" s="8" t="str">
        <f aca="false">$B2133&amp;"|"&amp;TEXT($AD2133,"0.000000")</f>
        <v>16|0.000000</v>
      </c>
      <c r="AG2133" s="18" t="n">
        <f aca="false">IF($K2133="SEM CULTURA",0,$T2133*$H2133)</f>
        <v>0</v>
      </c>
      <c r="AH2133" s="18" t="n">
        <f aca="false">IF($K2133="SEM CULTURA",0,$V2133*$H2133)</f>
        <v>0</v>
      </c>
      <c r="AI2133" s="18" t="n">
        <f aca="false">IF($K2133="SEM CULTURA",0,$W2133*$H2133)</f>
        <v>0</v>
      </c>
      <c r="AJ2133" s="18" t="n">
        <f aca="false">IF($K2133="SEM CULTURA",0,$S2133*$H2133)</f>
        <v>0</v>
      </c>
      <c r="AK2133" s="8" t="str">
        <f aca="false">$E2133&amp;"|"&amp;TEXT($AD2133,"0.000000")</f>
        <v>PV 134|0.000000</v>
      </c>
    </row>
    <row r="2134" customFormat="false" ht="15" hidden="false" customHeight="false" outlineLevel="0" collapsed="false">
      <c r="B2134" s="16" t="n">
        <v>17</v>
      </c>
      <c r="C2134" s="17" t="n">
        <f aca="false">DATA_INICIO_SAFRA+($B2134-1)*DIAS_POR_SEMANA</f>
        <v>46377</v>
      </c>
      <c r="D2134" s="17" t="n">
        <f aca="false">$C2134+DIAS_POR_SEMANA-1</f>
        <v>46383</v>
      </c>
      <c r="E2134" s="15" t="s">
        <v>291</v>
      </c>
      <c r="F2134" s="8" t="str">
        <f aca="false">IFERROR(INDEX(CADASTRO_PIVOS!$C$6:$C$41,MATCH($E2134,CADASTRO_PIVOS!$B$6:$B$41,0)),"?")</f>
        <v>RM08</v>
      </c>
      <c r="G2134" s="8" t="str">
        <f aca="false">IFERROR(INDEX(CADASTRO_PIVOS!$D$6:$D$41,MATCH($E2134,CADASTRO_PIVOS!$B$6:$B$41,0)),"?")</f>
        <v>TR08</v>
      </c>
      <c r="H2134" s="20" t="n">
        <f aca="false">IFERROR(INDEX(CADASTRO_PIVOS!$E$6:$E$41,MATCH($E2134,CADASTRO_PIVOS!$B$6:$B$41,0)),0)</f>
        <v>79</v>
      </c>
      <c r="I2134" s="16" t="n">
        <f aca="false">IFERROR(SUMIFS(ROTACAO_RDM!$B$6:$B$71,ROTACAO_RDM!$D$6:$D$71,$E2134,ROTACAO_RDM!$I$6:$I$71,"&lt;="&amp;$C2134+INT(DIAS_POR_SEMANA/2),ROTACAO_RDM!$J$6:$J$71,"&gt;="&amp;$C2134+INT(DIAS_POR_SEMANA/2)),0)</f>
        <v>0</v>
      </c>
      <c r="J2134" s="16" t="n">
        <f aca="false">IFERROR(MATCH($I2134,ROTACAO_RDM!$B$6:$B$71,0),0)</f>
        <v>0</v>
      </c>
      <c r="K2134" s="8" t="str">
        <f aca="false">IF($J2134=0,"SEM CULTURA",INDEX(ROTACAO_RDM!$F$6:$F$71,$J2134))</f>
        <v>SEM CULTURA</v>
      </c>
      <c r="L2134" s="8" t="str">
        <f aca="false">IF($J2134=0,"",INDEX(ROTACAO_RDM!$G$6:$G$71,$J2134))</f>
        <v/>
      </c>
      <c r="M2134" s="17" t="str">
        <f aca="false">IF($J2134=0,"",INDEX(ROTACAO_RDM!$I$6:$I$71,$J2134))</f>
        <v/>
      </c>
      <c r="N2134" s="16" t="n">
        <f aca="false">IF($J2134=0,0,MAX(0,$C2134+INT(DIAS_POR_SEMANA/2)-INDEX(ROTACAO_RDM!$I$6:$I$71,$J2134)))</f>
        <v>0</v>
      </c>
      <c r="O2134" s="19" t="n">
        <f aca="false">IF($J2134=0,0,MIN(1,$N2134/MAX(1,INDEX(ROTACAO_RDM!$K$6:$K$71,$J2134))))</f>
        <v>0</v>
      </c>
      <c r="P2134" s="16" t="n">
        <f aca="false">IF($J2134=0,0,IFERROR(MATCH(INDEX(ROTACAO_RDM!$N$6:$N$71,$J2134),PARAMETROS_CULTURAS!$B$6:$B$28,0),0))</f>
        <v>0</v>
      </c>
      <c r="Q2134" s="8" t="str">
        <f aca="false">IF($P2134=0,"-",IF($O2134&lt;=INDEX(PARAMETROS_CULTURAS!$F$6:$F$28,$P2134),"INICIAL",IF($O2134&lt;=INDEX(PARAMETROS_CULTURAS!$F$6:$F$28,$P2134)+INDEX(PARAMETROS_CULTURAS!$G$6:$G$28,$P2134),"DESENVOLVIMENTO",IF($O2134&lt;=INDEX(PARAMETROS_CULTURAS!$F$6:$F$28,$P2134)+INDEX(PARAMETROS_CULTURAS!$G$6:$G$28,$P2134)+INDEX(PARAMETROS_CULTURAS!$H$6:$H$28,$P2134),"MEDIA","FINAL"))))</f>
        <v>-</v>
      </c>
      <c r="R2134" s="24" t="n">
        <f aca="false">IF($P2134=0,0,IF($O2134&lt;=INDEX(PARAMETROS_CULTURAS!$F$6:$F$28,$P2134),INDEX(PARAMETROS_CULTURAS!$K$6:$K$28,$P2134),IF($O2134&lt;=INDEX(PARAMETROS_CULTURAS!$F$6:$F$28,$P2134)+INDEX(PARAMETROS_CULTURAS!$G$6:$G$28,$P2134),INDEX(PARAMETROS_CULTURAS!$K$6:$K$28,$P2134)+(INDEX(PARAMETROS_CULTURAS!$L$6:$L$28,$P2134)-INDEX(PARAMETROS_CULTURAS!$K$6:$K$28,$P2134))*($O2134-INDEX(PARAMETROS_CULTURAS!$F$6:$F$28,$P2134))/MAX(INDEX(PARAMETROS_CULTURAS!$G$6:$G$28,$P2134),0.0001),IF($O2134&lt;=INDEX(PARAMETROS_CULTURAS!$F$6:$F$28,$P2134)+INDEX(PARAMETROS_CULTURAS!$G$6:$G$28,$P2134)+INDEX(PARAMETROS_CULTURAS!$H$6:$H$28,$P2134),INDEX(PARAMETROS_CULTURAS!$L$6:$L$28,$P2134),INDEX(PARAMETROS_CULTURAS!$L$6:$L$28,$P2134)+(INDEX(PARAMETROS_CULTURAS!$M$6:$M$28,$P2134)-INDEX(PARAMETROS_CULTURAS!$L$6:$L$28,$P2134))*($O2134-INDEX(PARAMETROS_CULTURAS!$F$6:$F$28,$P2134)-INDEX(PARAMETROS_CULTURAS!$G$6:$G$28,$P2134)-INDEX(PARAMETROS_CULTURAS!$H$6:$H$28,$P2134))/MAX(INDEX(PARAMETROS_CULTURAS!$I$6:$I$28,$P2134),0.0001)))))</f>
        <v>0</v>
      </c>
      <c r="S2134" s="18" t="n">
        <f aca="false">IFERROR(INDEX(SEMANAS!$H$6:$H$71,MATCH($B2134,SEMANAS!$B$6:$B$71,0)),0)</f>
        <v>32.9</v>
      </c>
      <c r="T2134" s="18" t="n">
        <f aca="false">$R2134*$S2134</f>
        <v>0</v>
      </c>
      <c r="U2134" s="18" t="n">
        <f aca="false">IFERROR(INDEX(SEMANAS!$I$6:$I$71,MATCH($B2134,SEMANAS!$B$6:$B$71,0)),0)</f>
        <v>48.58</v>
      </c>
      <c r="V2134" s="18" t="n">
        <f aca="false">IFERROR(INDEX(SEMANAS!$J$6:$J$71,MATCH($B2134,SEMANAS!$B$6:$B$71,0)),0)</f>
        <v>38.864</v>
      </c>
      <c r="W2134" s="18" t="n">
        <f aca="false">MAX(0,$T2134-$V2134)</f>
        <v>0</v>
      </c>
      <c r="X2134" s="19" t="n">
        <f aca="false">IFERROR(INDEX(CADASTRO_PIVOS!$K$6:$K$41,MATCH($E2134,CADASTRO_PIVOS!$B$6:$B$41,0)),EFICIENCIA_PADRAO)</f>
        <v>0.85</v>
      </c>
      <c r="Y2134" s="18" t="n">
        <f aca="false">IF($X2134&lt;=0,0,$W2134/$X2134)</f>
        <v>0</v>
      </c>
      <c r="Z2134" s="16" t="n">
        <f aca="false">$Y2134*$H2134*MM_PARA_M3_HA</f>
        <v>0</v>
      </c>
      <c r="AA2134" s="18" t="n">
        <f aca="false">IFERROR(INDEX(CADASTRO_PIVOS!$I$6:$I$41,MATCH($E2134,CADASTRO_PIVOS!$B$6:$B$41,0)),0)</f>
        <v>526.666666666667</v>
      </c>
      <c r="AB2134" s="18" t="n">
        <f aca="false">IF($Z2134&lt;=0,0,$Z2134/$AA2134)</f>
        <v>0</v>
      </c>
      <c r="AC2134" s="16" t="n">
        <f aca="false">IFERROR(INDEX(SEMANAS!$K$6:$K$71,MATCH($B2134,SEMANAS!$B$6:$B$71,0)),0)</f>
        <v>147</v>
      </c>
      <c r="AD2134" s="19" t="n">
        <f aca="false">IF($AC2134&lt;=0,0,$AB2134/$AC2134)</f>
        <v>0</v>
      </c>
      <c r="AE2134" s="8" t="str">
        <f aca="false">IF($K2134="SEM CULTURA","SEM CULTURA",IF($AA2134&lt;=0,"DADO PENDENTE",IF($AD2134&gt;LIMITE_CRITICO,"INVIAVEL",IF($AD2134&gt;LIMITE_ATENCAO,"CRITICO",IF($AD2134&gt;LIMITE_CONFORTAVEL,"ATENCAO","OK")))))</f>
        <v>SEM CULTURA</v>
      </c>
      <c r="AF2134" s="8" t="str">
        <f aca="false">$B2134&amp;"|"&amp;TEXT($AD2134,"0.000000")</f>
        <v>17|0.000000</v>
      </c>
      <c r="AG2134" s="18" t="n">
        <f aca="false">IF($K2134="SEM CULTURA",0,$T2134*$H2134)</f>
        <v>0</v>
      </c>
      <c r="AH2134" s="18" t="n">
        <f aca="false">IF($K2134="SEM CULTURA",0,$V2134*$H2134)</f>
        <v>0</v>
      </c>
      <c r="AI2134" s="18" t="n">
        <f aca="false">IF($K2134="SEM CULTURA",0,$W2134*$H2134)</f>
        <v>0</v>
      </c>
      <c r="AJ2134" s="18" t="n">
        <f aca="false">IF($K2134="SEM CULTURA",0,$S2134*$H2134)</f>
        <v>0</v>
      </c>
      <c r="AK2134" s="8" t="str">
        <f aca="false">$E2134&amp;"|"&amp;TEXT($AD2134,"0.000000")</f>
        <v>PV 134|0.000000</v>
      </c>
    </row>
    <row r="2135" customFormat="false" ht="15" hidden="false" customHeight="false" outlineLevel="0" collapsed="false">
      <c r="B2135" s="16" t="n">
        <v>18</v>
      </c>
      <c r="C2135" s="17" t="n">
        <f aca="false">DATA_INICIO_SAFRA+($B2135-1)*DIAS_POR_SEMANA</f>
        <v>46384</v>
      </c>
      <c r="D2135" s="17" t="n">
        <f aca="false">$C2135+DIAS_POR_SEMANA-1</f>
        <v>46390</v>
      </c>
      <c r="E2135" s="15" t="s">
        <v>291</v>
      </c>
      <c r="F2135" s="8" t="str">
        <f aca="false">IFERROR(INDEX(CADASTRO_PIVOS!$C$6:$C$41,MATCH($E2135,CADASTRO_PIVOS!$B$6:$B$41,0)),"?")</f>
        <v>RM08</v>
      </c>
      <c r="G2135" s="8" t="str">
        <f aca="false">IFERROR(INDEX(CADASTRO_PIVOS!$D$6:$D$41,MATCH($E2135,CADASTRO_PIVOS!$B$6:$B$41,0)),"?")</f>
        <v>TR08</v>
      </c>
      <c r="H2135" s="20" t="n">
        <f aca="false">IFERROR(INDEX(CADASTRO_PIVOS!$E$6:$E$41,MATCH($E2135,CADASTRO_PIVOS!$B$6:$B$41,0)),0)</f>
        <v>79</v>
      </c>
      <c r="I2135" s="16" t="n">
        <f aca="false">IFERROR(SUMIFS(ROTACAO_RDM!$B$6:$B$71,ROTACAO_RDM!$D$6:$D$71,$E2135,ROTACAO_RDM!$I$6:$I$71,"&lt;="&amp;$C2135+INT(DIAS_POR_SEMANA/2),ROTACAO_RDM!$J$6:$J$71,"&gt;="&amp;$C2135+INT(DIAS_POR_SEMANA/2)),0)</f>
        <v>0</v>
      </c>
      <c r="J2135" s="16" t="n">
        <f aca="false">IFERROR(MATCH($I2135,ROTACAO_RDM!$B$6:$B$71,0),0)</f>
        <v>0</v>
      </c>
      <c r="K2135" s="8" t="str">
        <f aca="false">IF($J2135=0,"SEM CULTURA",INDEX(ROTACAO_RDM!$F$6:$F$71,$J2135))</f>
        <v>SEM CULTURA</v>
      </c>
      <c r="L2135" s="8" t="str">
        <f aca="false">IF($J2135=0,"",INDEX(ROTACAO_RDM!$G$6:$G$71,$J2135))</f>
        <v/>
      </c>
      <c r="M2135" s="17" t="str">
        <f aca="false">IF($J2135=0,"",INDEX(ROTACAO_RDM!$I$6:$I$71,$J2135))</f>
        <v/>
      </c>
      <c r="N2135" s="16" t="n">
        <f aca="false">IF($J2135=0,0,MAX(0,$C2135+INT(DIAS_POR_SEMANA/2)-INDEX(ROTACAO_RDM!$I$6:$I$71,$J2135)))</f>
        <v>0</v>
      </c>
      <c r="O2135" s="19" t="n">
        <f aca="false">IF($J2135=0,0,MIN(1,$N2135/MAX(1,INDEX(ROTACAO_RDM!$K$6:$K$71,$J2135))))</f>
        <v>0</v>
      </c>
      <c r="P2135" s="16" t="n">
        <f aca="false">IF($J2135=0,0,IFERROR(MATCH(INDEX(ROTACAO_RDM!$N$6:$N$71,$J2135),PARAMETROS_CULTURAS!$B$6:$B$28,0),0))</f>
        <v>0</v>
      </c>
      <c r="Q2135" s="8" t="str">
        <f aca="false">IF($P2135=0,"-",IF($O2135&lt;=INDEX(PARAMETROS_CULTURAS!$F$6:$F$28,$P2135),"INICIAL",IF($O2135&lt;=INDEX(PARAMETROS_CULTURAS!$F$6:$F$28,$P2135)+INDEX(PARAMETROS_CULTURAS!$G$6:$G$28,$P2135),"DESENVOLVIMENTO",IF($O2135&lt;=INDEX(PARAMETROS_CULTURAS!$F$6:$F$28,$P2135)+INDEX(PARAMETROS_CULTURAS!$G$6:$G$28,$P2135)+INDEX(PARAMETROS_CULTURAS!$H$6:$H$28,$P2135),"MEDIA","FINAL"))))</f>
        <v>-</v>
      </c>
      <c r="R2135" s="24" t="n">
        <f aca="false">IF($P2135=0,0,IF($O2135&lt;=INDEX(PARAMETROS_CULTURAS!$F$6:$F$28,$P2135),INDEX(PARAMETROS_CULTURAS!$K$6:$K$28,$P2135),IF($O2135&lt;=INDEX(PARAMETROS_CULTURAS!$F$6:$F$28,$P2135)+INDEX(PARAMETROS_CULTURAS!$G$6:$G$28,$P2135),INDEX(PARAMETROS_CULTURAS!$K$6:$K$28,$P2135)+(INDEX(PARAMETROS_CULTURAS!$L$6:$L$28,$P2135)-INDEX(PARAMETROS_CULTURAS!$K$6:$K$28,$P2135))*($O2135-INDEX(PARAMETROS_CULTURAS!$F$6:$F$28,$P2135))/MAX(INDEX(PARAMETROS_CULTURAS!$G$6:$G$28,$P2135),0.0001),IF($O2135&lt;=INDEX(PARAMETROS_CULTURAS!$F$6:$F$28,$P2135)+INDEX(PARAMETROS_CULTURAS!$G$6:$G$28,$P2135)+INDEX(PARAMETROS_CULTURAS!$H$6:$H$28,$P2135),INDEX(PARAMETROS_CULTURAS!$L$6:$L$28,$P2135),INDEX(PARAMETROS_CULTURAS!$L$6:$L$28,$P2135)+(INDEX(PARAMETROS_CULTURAS!$M$6:$M$28,$P2135)-INDEX(PARAMETROS_CULTURAS!$L$6:$L$28,$P2135))*($O2135-INDEX(PARAMETROS_CULTURAS!$F$6:$F$28,$P2135)-INDEX(PARAMETROS_CULTURAS!$G$6:$G$28,$P2135)-INDEX(PARAMETROS_CULTURAS!$H$6:$H$28,$P2135))/MAX(INDEX(PARAMETROS_CULTURAS!$I$6:$I$28,$P2135),0.0001)))))</f>
        <v>0</v>
      </c>
      <c r="S2135" s="18" t="n">
        <f aca="false">IFERROR(INDEX(SEMANAS!$H$6:$H$71,MATCH($B2135,SEMANAS!$B$6:$B$71,0)),0)</f>
        <v>33.2</v>
      </c>
      <c r="T2135" s="18" t="n">
        <f aca="false">$R2135*$S2135</f>
        <v>0</v>
      </c>
      <c r="U2135" s="18" t="n">
        <f aca="false">IFERROR(INDEX(SEMANAS!$I$6:$I$71,MATCH($B2135,SEMANAS!$B$6:$B$71,0)),0)</f>
        <v>47.11</v>
      </c>
      <c r="V2135" s="18" t="n">
        <f aca="false">IFERROR(INDEX(SEMANAS!$J$6:$J$71,MATCH($B2135,SEMANAS!$B$6:$B$71,0)),0)</f>
        <v>37.688</v>
      </c>
      <c r="W2135" s="18" t="n">
        <f aca="false">MAX(0,$T2135-$V2135)</f>
        <v>0</v>
      </c>
      <c r="X2135" s="19" t="n">
        <f aca="false">IFERROR(INDEX(CADASTRO_PIVOS!$K$6:$K$41,MATCH($E2135,CADASTRO_PIVOS!$B$6:$B$41,0)),EFICIENCIA_PADRAO)</f>
        <v>0.85</v>
      </c>
      <c r="Y2135" s="18" t="n">
        <f aca="false">IF($X2135&lt;=0,0,$W2135/$X2135)</f>
        <v>0</v>
      </c>
      <c r="Z2135" s="16" t="n">
        <f aca="false">$Y2135*$H2135*MM_PARA_M3_HA</f>
        <v>0</v>
      </c>
      <c r="AA2135" s="18" t="n">
        <f aca="false">IFERROR(INDEX(CADASTRO_PIVOS!$I$6:$I$41,MATCH($E2135,CADASTRO_PIVOS!$B$6:$B$41,0)),0)</f>
        <v>526.666666666667</v>
      </c>
      <c r="AB2135" s="18" t="n">
        <f aca="false">IF($Z2135&lt;=0,0,$Z2135/$AA2135)</f>
        <v>0</v>
      </c>
      <c r="AC2135" s="16" t="n">
        <f aca="false">IFERROR(INDEX(SEMANAS!$K$6:$K$71,MATCH($B2135,SEMANAS!$B$6:$B$71,0)),0)</f>
        <v>147</v>
      </c>
      <c r="AD2135" s="19" t="n">
        <f aca="false">IF($AC2135&lt;=0,0,$AB2135/$AC2135)</f>
        <v>0</v>
      </c>
      <c r="AE2135" s="8" t="str">
        <f aca="false">IF($K2135="SEM CULTURA","SEM CULTURA",IF($AA2135&lt;=0,"DADO PENDENTE",IF($AD2135&gt;LIMITE_CRITICO,"INVIAVEL",IF($AD2135&gt;LIMITE_ATENCAO,"CRITICO",IF($AD2135&gt;LIMITE_CONFORTAVEL,"ATENCAO","OK")))))</f>
        <v>SEM CULTURA</v>
      </c>
      <c r="AF2135" s="8" t="str">
        <f aca="false">$B2135&amp;"|"&amp;TEXT($AD2135,"0.000000")</f>
        <v>18|0.000000</v>
      </c>
      <c r="AG2135" s="18" t="n">
        <f aca="false">IF($K2135="SEM CULTURA",0,$T2135*$H2135)</f>
        <v>0</v>
      </c>
      <c r="AH2135" s="18" t="n">
        <f aca="false">IF($K2135="SEM CULTURA",0,$V2135*$H2135)</f>
        <v>0</v>
      </c>
      <c r="AI2135" s="18" t="n">
        <f aca="false">IF($K2135="SEM CULTURA",0,$W2135*$H2135)</f>
        <v>0</v>
      </c>
      <c r="AJ2135" s="18" t="n">
        <f aca="false">IF($K2135="SEM CULTURA",0,$S2135*$H2135)</f>
        <v>0</v>
      </c>
      <c r="AK2135" s="8" t="str">
        <f aca="false">$E2135&amp;"|"&amp;TEXT($AD2135,"0.000000")</f>
        <v>PV 134|0.000000</v>
      </c>
    </row>
    <row r="2136" customFormat="false" ht="15" hidden="false" customHeight="false" outlineLevel="0" collapsed="false">
      <c r="B2136" s="16" t="n">
        <v>19</v>
      </c>
      <c r="C2136" s="17" t="n">
        <f aca="false">DATA_INICIO_SAFRA+($B2136-1)*DIAS_POR_SEMANA</f>
        <v>46391</v>
      </c>
      <c r="D2136" s="17" t="n">
        <f aca="false">$C2136+DIAS_POR_SEMANA-1</f>
        <v>46397</v>
      </c>
      <c r="E2136" s="15" t="s">
        <v>291</v>
      </c>
      <c r="F2136" s="8" t="str">
        <f aca="false">IFERROR(INDEX(CADASTRO_PIVOS!$C$6:$C$41,MATCH($E2136,CADASTRO_PIVOS!$B$6:$B$41,0)),"?")</f>
        <v>RM08</v>
      </c>
      <c r="G2136" s="8" t="str">
        <f aca="false">IFERROR(INDEX(CADASTRO_PIVOS!$D$6:$D$41,MATCH($E2136,CADASTRO_PIVOS!$B$6:$B$41,0)),"?")</f>
        <v>TR08</v>
      </c>
      <c r="H2136" s="20" t="n">
        <f aca="false">IFERROR(INDEX(CADASTRO_PIVOS!$E$6:$E$41,MATCH($E2136,CADASTRO_PIVOS!$B$6:$B$41,0)),0)</f>
        <v>79</v>
      </c>
      <c r="I2136" s="16" t="n">
        <f aca="false">IFERROR(SUMIFS(ROTACAO_RDM!$B$6:$B$71,ROTACAO_RDM!$D$6:$D$71,$E2136,ROTACAO_RDM!$I$6:$I$71,"&lt;="&amp;$C2136+INT(DIAS_POR_SEMANA/2),ROTACAO_RDM!$J$6:$J$71,"&gt;="&amp;$C2136+INT(DIAS_POR_SEMANA/2)),0)</f>
        <v>0</v>
      </c>
      <c r="J2136" s="16" t="n">
        <f aca="false">IFERROR(MATCH($I2136,ROTACAO_RDM!$B$6:$B$71,0),0)</f>
        <v>0</v>
      </c>
      <c r="K2136" s="8" t="str">
        <f aca="false">IF($J2136=0,"SEM CULTURA",INDEX(ROTACAO_RDM!$F$6:$F$71,$J2136))</f>
        <v>SEM CULTURA</v>
      </c>
      <c r="L2136" s="8" t="str">
        <f aca="false">IF($J2136=0,"",INDEX(ROTACAO_RDM!$G$6:$G$71,$J2136))</f>
        <v/>
      </c>
      <c r="M2136" s="17" t="str">
        <f aca="false">IF($J2136=0,"",INDEX(ROTACAO_RDM!$I$6:$I$71,$J2136))</f>
        <v/>
      </c>
      <c r="N2136" s="16" t="n">
        <f aca="false">IF($J2136=0,0,MAX(0,$C2136+INT(DIAS_POR_SEMANA/2)-INDEX(ROTACAO_RDM!$I$6:$I$71,$J2136)))</f>
        <v>0</v>
      </c>
      <c r="O2136" s="19" t="n">
        <f aca="false">IF($J2136=0,0,MIN(1,$N2136/MAX(1,INDEX(ROTACAO_RDM!$K$6:$K$71,$J2136))))</f>
        <v>0</v>
      </c>
      <c r="P2136" s="16" t="n">
        <f aca="false">IF($J2136=0,0,IFERROR(MATCH(INDEX(ROTACAO_RDM!$N$6:$N$71,$J2136),PARAMETROS_CULTURAS!$B$6:$B$28,0),0))</f>
        <v>0</v>
      </c>
      <c r="Q2136" s="8" t="str">
        <f aca="false">IF($P2136=0,"-",IF($O2136&lt;=INDEX(PARAMETROS_CULTURAS!$F$6:$F$28,$P2136),"INICIAL",IF($O2136&lt;=INDEX(PARAMETROS_CULTURAS!$F$6:$F$28,$P2136)+INDEX(PARAMETROS_CULTURAS!$G$6:$G$28,$P2136),"DESENVOLVIMENTO",IF($O2136&lt;=INDEX(PARAMETROS_CULTURAS!$F$6:$F$28,$P2136)+INDEX(PARAMETROS_CULTURAS!$G$6:$G$28,$P2136)+INDEX(PARAMETROS_CULTURAS!$H$6:$H$28,$P2136),"MEDIA","FINAL"))))</f>
        <v>-</v>
      </c>
      <c r="R2136" s="24" t="n">
        <f aca="false">IF($P2136=0,0,IF($O2136&lt;=INDEX(PARAMETROS_CULTURAS!$F$6:$F$28,$P2136),INDEX(PARAMETROS_CULTURAS!$K$6:$K$28,$P2136),IF($O2136&lt;=INDEX(PARAMETROS_CULTURAS!$F$6:$F$28,$P2136)+INDEX(PARAMETROS_CULTURAS!$G$6:$G$28,$P2136),INDEX(PARAMETROS_CULTURAS!$K$6:$K$28,$P2136)+(INDEX(PARAMETROS_CULTURAS!$L$6:$L$28,$P2136)-INDEX(PARAMETROS_CULTURAS!$K$6:$K$28,$P2136))*($O2136-INDEX(PARAMETROS_CULTURAS!$F$6:$F$28,$P2136))/MAX(INDEX(PARAMETROS_CULTURAS!$G$6:$G$28,$P2136),0.0001),IF($O2136&lt;=INDEX(PARAMETROS_CULTURAS!$F$6:$F$28,$P2136)+INDEX(PARAMETROS_CULTURAS!$G$6:$G$28,$P2136)+INDEX(PARAMETROS_CULTURAS!$H$6:$H$28,$P2136),INDEX(PARAMETROS_CULTURAS!$L$6:$L$28,$P2136),INDEX(PARAMETROS_CULTURAS!$L$6:$L$28,$P2136)+(INDEX(PARAMETROS_CULTURAS!$M$6:$M$28,$P2136)-INDEX(PARAMETROS_CULTURAS!$L$6:$L$28,$P2136))*($O2136-INDEX(PARAMETROS_CULTURAS!$F$6:$F$28,$P2136)-INDEX(PARAMETROS_CULTURAS!$G$6:$G$28,$P2136)-INDEX(PARAMETROS_CULTURAS!$H$6:$H$28,$P2136))/MAX(INDEX(PARAMETROS_CULTURAS!$I$6:$I$28,$P2136),0.0001)))))</f>
        <v>0</v>
      </c>
      <c r="S2136" s="18" t="n">
        <f aca="false">IFERROR(INDEX(SEMANAS!$H$6:$H$71,MATCH($B2136,SEMANAS!$B$6:$B$71,0)),0)</f>
        <v>33.6</v>
      </c>
      <c r="T2136" s="18" t="n">
        <f aca="false">$R2136*$S2136</f>
        <v>0</v>
      </c>
      <c r="U2136" s="18" t="n">
        <f aca="false">IFERROR(INDEX(SEMANAS!$I$6:$I$71,MATCH($B2136,SEMANAS!$B$6:$B$71,0)),0)</f>
        <v>45.15</v>
      </c>
      <c r="V2136" s="18" t="n">
        <f aca="false">IFERROR(INDEX(SEMANAS!$J$6:$J$71,MATCH($B2136,SEMANAS!$B$6:$B$71,0)),0)</f>
        <v>36.12</v>
      </c>
      <c r="W2136" s="18" t="n">
        <f aca="false">MAX(0,$T2136-$V2136)</f>
        <v>0</v>
      </c>
      <c r="X2136" s="19" t="n">
        <f aca="false">IFERROR(INDEX(CADASTRO_PIVOS!$K$6:$K$41,MATCH($E2136,CADASTRO_PIVOS!$B$6:$B$41,0)),EFICIENCIA_PADRAO)</f>
        <v>0.85</v>
      </c>
      <c r="Y2136" s="18" t="n">
        <f aca="false">IF($X2136&lt;=0,0,$W2136/$X2136)</f>
        <v>0</v>
      </c>
      <c r="Z2136" s="16" t="n">
        <f aca="false">$Y2136*$H2136*MM_PARA_M3_HA</f>
        <v>0</v>
      </c>
      <c r="AA2136" s="18" t="n">
        <f aca="false">IFERROR(INDEX(CADASTRO_PIVOS!$I$6:$I$41,MATCH($E2136,CADASTRO_PIVOS!$B$6:$B$41,0)),0)</f>
        <v>526.666666666667</v>
      </c>
      <c r="AB2136" s="18" t="n">
        <f aca="false">IF($Z2136&lt;=0,0,$Z2136/$AA2136)</f>
        <v>0</v>
      </c>
      <c r="AC2136" s="16" t="n">
        <f aca="false">IFERROR(INDEX(SEMANAS!$K$6:$K$71,MATCH($B2136,SEMANAS!$B$6:$B$71,0)),0)</f>
        <v>147</v>
      </c>
      <c r="AD2136" s="19" t="n">
        <f aca="false">IF($AC2136&lt;=0,0,$AB2136/$AC2136)</f>
        <v>0</v>
      </c>
      <c r="AE2136" s="8" t="str">
        <f aca="false">IF($K2136="SEM CULTURA","SEM CULTURA",IF($AA2136&lt;=0,"DADO PENDENTE",IF($AD2136&gt;LIMITE_CRITICO,"INVIAVEL",IF($AD2136&gt;LIMITE_ATENCAO,"CRITICO",IF($AD2136&gt;LIMITE_CONFORTAVEL,"ATENCAO","OK")))))</f>
        <v>SEM CULTURA</v>
      </c>
      <c r="AF2136" s="8" t="str">
        <f aca="false">$B2136&amp;"|"&amp;TEXT($AD2136,"0.000000")</f>
        <v>19|0.000000</v>
      </c>
      <c r="AG2136" s="18" t="n">
        <f aca="false">IF($K2136="SEM CULTURA",0,$T2136*$H2136)</f>
        <v>0</v>
      </c>
      <c r="AH2136" s="18" t="n">
        <f aca="false">IF($K2136="SEM CULTURA",0,$V2136*$H2136)</f>
        <v>0</v>
      </c>
      <c r="AI2136" s="18" t="n">
        <f aca="false">IF($K2136="SEM CULTURA",0,$W2136*$H2136)</f>
        <v>0</v>
      </c>
      <c r="AJ2136" s="18" t="n">
        <f aca="false">IF($K2136="SEM CULTURA",0,$S2136*$H2136)</f>
        <v>0</v>
      </c>
      <c r="AK2136" s="8" t="str">
        <f aca="false">$E2136&amp;"|"&amp;TEXT($AD2136,"0.000000")</f>
        <v>PV 134|0.000000</v>
      </c>
    </row>
    <row r="2137" customFormat="false" ht="15" hidden="false" customHeight="false" outlineLevel="0" collapsed="false">
      <c r="B2137" s="16" t="n">
        <v>20</v>
      </c>
      <c r="C2137" s="17" t="n">
        <f aca="false">DATA_INICIO_SAFRA+($B2137-1)*DIAS_POR_SEMANA</f>
        <v>46398</v>
      </c>
      <c r="D2137" s="17" t="n">
        <f aca="false">$C2137+DIAS_POR_SEMANA-1</f>
        <v>46404</v>
      </c>
      <c r="E2137" s="15" t="s">
        <v>291</v>
      </c>
      <c r="F2137" s="8" t="str">
        <f aca="false">IFERROR(INDEX(CADASTRO_PIVOS!$C$6:$C$41,MATCH($E2137,CADASTRO_PIVOS!$B$6:$B$41,0)),"?")</f>
        <v>RM08</v>
      </c>
      <c r="G2137" s="8" t="str">
        <f aca="false">IFERROR(INDEX(CADASTRO_PIVOS!$D$6:$D$41,MATCH($E2137,CADASTRO_PIVOS!$B$6:$B$41,0)),"?")</f>
        <v>TR08</v>
      </c>
      <c r="H2137" s="20" t="n">
        <f aca="false">IFERROR(INDEX(CADASTRO_PIVOS!$E$6:$E$41,MATCH($E2137,CADASTRO_PIVOS!$B$6:$B$41,0)),0)</f>
        <v>79</v>
      </c>
      <c r="I2137" s="16" t="n">
        <f aca="false">IFERROR(SUMIFS(ROTACAO_RDM!$B$6:$B$71,ROTACAO_RDM!$D$6:$D$71,$E2137,ROTACAO_RDM!$I$6:$I$71,"&lt;="&amp;$C2137+INT(DIAS_POR_SEMANA/2),ROTACAO_RDM!$J$6:$J$71,"&gt;="&amp;$C2137+INT(DIAS_POR_SEMANA/2)),0)</f>
        <v>0</v>
      </c>
      <c r="J2137" s="16" t="n">
        <f aca="false">IFERROR(MATCH($I2137,ROTACAO_RDM!$B$6:$B$71,0),0)</f>
        <v>0</v>
      </c>
      <c r="K2137" s="8" t="str">
        <f aca="false">IF($J2137=0,"SEM CULTURA",INDEX(ROTACAO_RDM!$F$6:$F$71,$J2137))</f>
        <v>SEM CULTURA</v>
      </c>
      <c r="L2137" s="8" t="str">
        <f aca="false">IF($J2137=0,"",INDEX(ROTACAO_RDM!$G$6:$G$71,$J2137))</f>
        <v/>
      </c>
      <c r="M2137" s="17" t="str">
        <f aca="false">IF($J2137=0,"",INDEX(ROTACAO_RDM!$I$6:$I$71,$J2137))</f>
        <v/>
      </c>
      <c r="N2137" s="16" t="n">
        <f aca="false">IF($J2137=0,0,MAX(0,$C2137+INT(DIAS_POR_SEMANA/2)-INDEX(ROTACAO_RDM!$I$6:$I$71,$J2137)))</f>
        <v>0</v>
      </c>
      <c r="O2137" s="19" t="n">
        <f aca="false">IF($J2137=0,0,MIN(1,$N2137/MAX(1,INDEX(ROTACAO_RDM!$K$6:$K$71,$J2137))))</f>
        <v>0</v>
      </c>
      <c r="P2137" s="16" t="n">
        <f aca="false">IF($J2137=0,0,IFERROR(MATCH(INDEX(ROTACAO_RDM!$N$6:$N$71,$J2137),PARAMETROS_CULTURAS!$B$6:$B$28,0),0))</f>
        <v>0</v>
      </c>
      <c r="Q2137" s="8" t="str">
        <f aca="false">IF($P2137=0,"-",IF($O2137&lt;=INDEX(PARAMETROS_CULTURAS!$F$6:$F$28,$P2137),"INICIAL",IF($O2137&lt;=INDEX(PARAMETROS_CULTURAS!$F$6:$F$28,$P2137)+INDEX(PARAMETROS_CULTURAS!$G$6:$G$28,$P2137),"DESENVOLVIMENTO",IF($O2137&lt;=INDEX(PARAMETROS_CULTURAS!$F$6:$F$28,$P2137)+INDEX(PARAMETROS_CULTURAS!$G$6:$G$28,$P2137)+INDEX(PARAMETROS_CULTURAS!$H$6:$H$28,$P2137),"MEDIA","FINAL"))))</f>
        <v>-</v>
      </c>
      <c r="R2137" s="24" t="n">
        <f aca="false">IF($P2137=0,0,IF($O2137&lt;=INDEX(PARAMETROS_CULTURAS!$F$6:$F$28,$P2137),INDEX(PARAMETROS_CULTURAS!$K$6:$K$28,$P2137),IF($O2137&lt;=INDEX(PARAMETROS_CULTURAS!$F$6:$F$28,$P2137)+INDEX(PARAMETROS_CULTURAS!$G$6:$G$28,$P2137),INDEX(PARAMETROS_CULTURAS!$K$6:$K$28,$P2137)+(INDEX(PARAMETROS_CULTURAS!$L$6:$L$28,$P2137)-INDEX(PARAMETROS_CULTURAS!$K$6:$K$28,$P2137))*($O2137-INDEX(PARAMETROS_CULTURAS!$F$6:$F$28,$P2137))/MAX(INDEX(PARAMETROS_CULTURAS!$G$6:$G$28,$P2137),0.0001),IF($O2137&lt;=INDEX(PARAMETROS_CULTURAS!$F$6:$F$28,$P2137)+INDEX(PARAMETROS_CULTURAS!$G$6:$G$28,$P2137)+INDEX(PARAMETROS_CULTURAS!$H$6:$H$28,$P2137),INDEX(PARAMETROS_CULTURAS!$L$6:$L$28,$P2137),INDEX(PARAMETROS_CULTURAS!$L$6:$L$28,$P2137)+(INDEX(PARAMETROS_CULTURAS!$M$6:$M$28,$P2137)-INDEX(PARAMETROS_CULTURAS!$L$6:$L$28,$P2137))*($O2137-INDEX(PARAMETROS_CULTURAS!$F$6:$F$28,$P2137)-INDEX(PARAMETROS_CULTURAS!$G$6:$G$28,$P2137)-INDEX(PARAMETROS_CULTURAS!$H$6:$H$28,$P2137))/MAX(INDEX(PARAMETROS_CULTURAS!$I$6:$I$28,$P2137),0.0001)))))</f>
        <v>0</v>
      </c>
      <c r="S2137" s="18" t="n">
        <f aca="false">IFERROR(INDEX(SEMANAS!$H$6:$H$71,MATCH($B2137,SEMANAS!$B$6:$B$71,0)),0)</f>
        <v>33.6</v>
      </c>
      <c r="T2137" s="18" t="n">
        <f aca="false">$R2137*$S2137</f>
        <v>0</v>
      </c>
      <c r="U2137" s="18" t="n">
        <f aca="false">IFERROR(INDEX(SEMANAS!$I$6:$I$71,MATCH($B2137,SEMANAS!$B$6:$B$71,0)),0)</f>
        <v>45.15</v>
      </c>
      <c r="V2137" s="18" t="n">
        <f aca="false">IFERROR(INDEX(SEMANAS!$J$6:$J$71,MATCH($B2137,SEMANAS!$B$6:$B$71,0)),0)</f>
        <v>36.12</v>
      </c>
      <c r="W2137" s="18" t="n">
        <f aca="false">MAX(0,$T2137-$V2137)</f>
        <v>0</v>
      </c>
      <c r="X2137" s="19" t="n">
        <f aca="false">IFERROR(INDEX(CADASTRO_PIVOS!$K$6:$K$41,MATCH($E2137,CADASTRO_PIVOS!$B$6:$B$41,0)),EFICIENCIA_PADRAO)</f>
        <v>0.85</v>
      </c>
      <c r="Y2137" s="18" t="n">
        <f aca="false">IF($X2137&lt;=0,0,$W2137/$X2137)</f>
        <v>0</v>
      </c>
      <c r="Z2137" s="16" t="n">
        <f aca="false">$Y2137*$H2137*MM_PARA_M3_HA</f>
        <v>0</v>
      </c>
      <c r="AA2137" s="18" t="n">
        <f aca="false">IFERROR(INDEX(CADASTRO_PIVOS!$I$6:$I$41,MATCH($E2137,CADASTRO_PIVOS!$B$6:$B$41,0)),0)</f>
        <v>526.666666666667</v>
      </c>
      <c r="AB2137" s="18" t="n">
        <f aca="false">IF($Z2137&lt;=0,0,$Z2137/$AA2137)</f>
        <v>0</v>
      </c>
      <c r="AC2137" s="16" t="n">
        <f aca="false">IFERROR(INDEX(SEMANAS!$K$6:$K$71,MATCH($B2137,SEMANAS!$B$6:$B$71,0)),0)</f>
        <v>147</v>
      </c>
      <c r="AD2137" s="19" t="n">
        <f aca="false">IF($AC2137&lt;=0,0,$AB2137/$AC2137)</f>
        <v>0</v>
      </c>
      <c r="AE2137" s="8" t="str">
        <f aca="false">IF($K2137="SEM CULTURA","SEM CULTURA",IF($AA2137&lt;=0,"DADO PENDENTE",IF($AD2137&gt;LIMITE_CRITICO,"INVIAVEL",IF($AD2137&gt;LIMITE_ATENCAO,"CRITICO",IF($AD2137&gt;LIMITE_CONFORTAVEL,"ATENCAO","OK")))))</f>
        <v>SEM CULTURA</v>
      </c>
      <c r="AF2137" s="8" t="str">
        <f aca="false">$B2137&amp;"|"&amp;TEXT($AD2137,"0.000000")</f>
        <v>20|0.000000</v>
      </c>
      <c r="AG2137" s="18" t="n">
        <f aca="false">IF($K2137="SEM CULTURA",0,$T2137*$H2137)</f>
        <v>0</v>
      </c>
      <c r="AH2137" s="18" t="n">
        <f aca="false">IF($K2137="SEM CULTURA",0,$V2137*$H2137)</f>
        <v>0</v>
      </c>
      <c r="AI2137" s="18" t="n">
        <f aca="false">IF($K2137="SEM CULTURA",0,$W2137*$H2137)</f>
        <v>0</v>
      </c>
      <c r="AJ2137" s="18" t="n">
        <f aca="false">IF($K2137="SEM CULTURA",0,$S2137*$H2137)</f>
        <v>0</v>
      </c>
      <c r="AK2137" s="8" t="str">
        <f aca="false">$E2137&amp;"|"&amp;TEXT($AD2137,"0.000000")</f>
        <v>PV 134|0.000000</v>
      </c>
    </row>
    <row r="2138" customFormat="false" ht="15" hidden="false" customHeight="false" outlineLevel="0" collapsed="false">
      <c r="B2138" s="16" t="n">
        <v>21</v>
      </c>
      <c r="C2138" s="17" t="n">
        <f aca="false">DATA_INICIO_SAFRA+($B2138-1)*DIAS_POR_SEMANA</f>
        <v>46405</v>
      </c>
      <c r="D2138" s="17" t="n">
        <f aca="false">$C2138+DIAS_POR_SEMANA-1</f>
        <v>46411</v>
      </c>
      <c r="E2138" s="15" t="s">
        <v>291</v>
      </c>
      <c r="F2138" s="8" t="str">
        <f aca="false">IFERROR(INDEX(CADASTRO_PIVOS!$C$6:$C$41,MATCH($E2138,CADASTRO_PIVOS!$B$6:$B$41,0)),"?")</f>
        <v>RM08</v>
      </c>
      <c r="G2138" s="8" t="str">
        <f aca="false">IFERROR(INDEX(CADASTRO_PIVOS!$D$6:$D$41,MATCH($E2138,CADASTRO_PIVOS!$B$6:$B$41,0)),"?")</f>
        <v>TR08</v>
      </c>
      <c r="H2138" s="20" t="n">
        <f aca="false">IFERROR(INDEX(CADASTRO_PIVOS!$E$6:$E$41,MATCH($E2138,CADASTRO_PIVOS!$B$6:$B$41,0)),0)</f>
        <v>79</v>
      </c>
      <c r="I2138" s="16" t="n">
        <f aca="false">IFERROR(SUMIFS(ROTACAO_RDM!$B$6:$B$71,ROTACAO_RDM!$D$6:$D$71,$E2138,ROTACAO_RDM!$I$6:$I$71,"&lt;="&amp;$C2138+INT(DIAS_POR_SEMANA/2),ROTACAO_RDM!$J$6:$J$71,"&gt;="&amp;$C2138+INT(DIAS_POR_SEMANA/2)),0)</f>
        <v>0</v>
      </c>
      <c r="J2138" s="16" t="n">
        <f aca="false">IFERROR(MATCH($I2138,ROTACAO_RDM!$B$6:$B$71,0),0)</f>
        <v>0</v>
      </c>
      <c r="K2138" s="8" t="str">
        <f aca="false">IF($J2138=0,"SEM CULTURA",INDEX(ROTACAO_RDM!$F$6:$F$71,$J2138))</f>
        <v>SEM CULTURA</v>
      </c>
      <c r="L2138" s="8" t="str">
        <f aca="false">IF($J2138=0,"",INDEX(ROTACAO_RDM!$G$6:$G$71,$J2138))</f>
        <v/>
      </c>
      <c r="M2138" s="17" t="str">
        <f aca="false">IF($J2138=0,"",INDEX(ROTACAO_RDM!$I$6:$I$71,$J2138))</f>
        <v/>
      </c>
      <c r="N2138" s="16" t="n">
        <f aca="false">IF($J2138=0,0,MAX(0,$C2138+INT(DIAS_POR_SEMANA/2)-INDEX(ROTACAO_RDM!$I$6:$I$71,$J2138)))</f>
        <v>0</v>
      </c>
      <c r="O2138" s="19" t="n">
        <f aca="false">IF($J2138=0,0,MIN(1,$N2138/MAX(1,INDEX(ROTACAO_RDM!$K$6:$K$71,$J2138))))</f>
        <v>0</v>
      </c>
      <c r="P2138" s="16" t="n">
        <f aca="false">IF($J2138=0,0,IFERROR(MATCH(INDEX(ROTACAO_RDM!$N$6:$N$71,$J2138),PARAMETROS_CULTURAS!$B$6:$B$28,0),0))</f>
        <v>0</v>
      </c>
      <c r="Q2138" s="8" t="str">
        <f aca="false">IF($P2138=0,"-",IF($O2138&lt;=INDEX(PARAMETROS_CULTURAS!$F$6:$F$28,$P2138),"INICIAL",IF($O2138&lt;=INDEX(PARAMETROS_CULTURAS!$F$6:$F$28,$P2138)+INDEX(PARAMETROS_CULTURAS!$G$6:$G$28,$P2138),"DESENVOLVIMENTO",IF($O2138&lt;=INDEX(PARAMETROS_CULTURAS!$F$6:$F$28,$P2138)+INDEX(PARAMETROS_CULTURAS!$G$6:$G$28,$P2138)+INDEX(PARAMETROS_CULTURAS!$H$6:$H$28,$P2138),"MEDIA","FINAL"))))</f>
        <v>-</v>
      </c>
      <c r="R2138" s="24" t="n">
        <f aca="false">IF($P2138=0,0,IF($O2138&lt;=INDEX(PARAMETROS_CULTURAS!$F$6:$F$28,$P2138),INDEX(PARAMETROS_CULTURAS!$K$6:$K$28,$P2138),IF($O2138&lt;=INDEX(PARAMETROS_CULTURAS!$F$6:$F$28,$P2138)+INDEX(PARAMETROS_CULTURAS!$G$6:$G$28,$P2138),INDEX(PARAMETROS_CULTURAS!$K$6:$K$28,$P2138)+(INDEX(PARAMETROS_CULTURAS!$L$6:$L$28,$P2138)-INDEX(PARAMETROS_CULTURAS!$K$6:$K$28,$P2138))*($O2138-INDEX(PARAMETROS_CULTURAS!$F$6:$F$28,$P2138))/MAX(INDEX(PARAMETROS_CULTURAS!$G$6:$G$28,$P2138),0.0001),IF($O2138&lt;=INDEX(PARAMETROS_CULTURAS!$F$6:$F$28,$P2138)+INDEX(PARAMETROS_CULTURAS!$G$6:$G$28,$P2138)+INDEX(PARAMETROS_CULTURAS!$H$6:$H$28,$P2138),INDEX(PARAMETROS_CULTURAS!$L$6:$L$28,$P2138),INDEX(PARAMETROS_CULTURAS!$L$6:$L$28,$P2138)+(INDEX(PARAMETROS_CULTURAS!$M$6:$M$28,$P2138)-INDEX(PARAMETROS_CULTURAS!$L$6:$L$28,$P2138))*($O2138-INDEX(PARAMETROS_CULTURAS!$F$6:$F$28,$P2138)-INDEX(PARAMETROS_CULTURAS!$G$6:$G$28,$P2138)-INDEX(PARAMETROS_CULTURAS!$H$6:$H$28,$P2138))/MAX(INDEX(PARAMETROS_CULTURAS!$I$6:$I$28,$P2138),0.0001)))))</f>
        <v>0</v>
      </c>
      <c r="S2138" s="18" t="n">
        <f aca="false">IFERROR(INDEX(SEMANAS!$H$6:$H$71,MATCH($B2138,SEMANAS!$B$6:$B$71,0)),0)</f>
        <v>33.6</v>
      </c>
      <c r="T2138" s="18" t="n">
        <f aca="false">$R2138*$S2138</f>
        <v>0</v>
      </c>
      <c r="U2138" s="18" t="n">
        <f aca="false">IFERROR(INDEX(SEMANAS!$I$6:$I$71,MATCH($B2138,SEMANAS!$B$6:$B$71,0)),0)</f>
        <v>45.15</v>
      </c>
      <c r="V2138" s="18" t="n">
        <f aca="false">IFERROR(INDEX(SEMANAS!$J$6:$J$71,MATCH($B2138,SEMANAS!$B$6:$B$71,0)),0)</f>
        <v>36.12</v>
      </c>
      <c r="W2138" s="18" t="n">
        <f aca="false">MAX(0,$T2138-$V2138)</f>
        <v>0</v>
      </c>
      <c r="X2138" s="19" t="n">
        <f aca="false">IFERROR(INDEX(CADASTRO_PIVOS!$K$6:$K$41,MATCH($E2138,CADASTRO_PIVOS!$B$6:$B$41,0)),EFICIENCIA_PADRAO)</f>
        <v>0.85</v>
      </c>
      <c r="Y2138" s="18" t="n">
        <f aca="false">IF($X2138&lt;=0,0,$W2138/$X2138)</f>
        <v>0</v>
      </c>
      <c r="Z2138" s="16" t="n">
        <f aca="false">$Y2138*$H2138*MM_PARA_M3_HA</f>
        <v>0</v>
      </c>
      <c r="AA2138" s="18" t="n">
        <f aca="false">IFERROR(INDEX(CADASTRO_PIVOS!$I$6:$I$41,MATCH($E2138,CADASTRO_PIVOS!$B$6:$B$41,0)),0)</f>
        <v>526.666666666667</v>
      </c>
      <c r="AB2138" s="18" t="n">
        <f aca="false">IF($Z2138&lt;=0,0,$Z2138/$AA2138)</f>
        <v>0</v>
      </c>
      <c r="AC2138" s="16" t="n">
        <f aca="false">IFERROR(INDEX(SEMANAS!$K$6:$K$71,MATCH($B2138,SEMANAS!$B$6:$B$71,0)),0)</f>
        <v>147</v>
      </c>
      <c r="AD2138" s="19" t="n">
        <f aca="false">IF($AC2138&lt;=0,0,$AB2138/$AC2138)</f>
        <v>0</v>
      </c>
      <c r="AE2138" s="8" t="str">
        <f aca="false">IF($K2138="SEM CULTURA","SEM CULTURA",IF($AA2138&lt;=0,"DADO PENDENTE",IF($AD2138&gt;LIMITE_CRITICO,"INVIAVEL",IF($AD2138&gt;LIMITE_ATENCAO,"CRITICO",IF($AD2138&gt;LIMITE_CONFORTAVEL,"ATENCAO","OK")))))</f>
        <v>SEM CULTURA</v>
      </c>
      <c r="AF2138" s="8" t="str">
        <f aca="false">$B2138&amp;"|"&amp;TEXT($AD2138,"0.000000")</f>
        <v>21|0.000000</v>
      </c>
      <c r="AG2138" s="18" t="n">
        <f aca="false">IF($K2138="SEM CULTURA",0,$T2138*$H2138)</f>
        <v>0</v>
      </c>
      <c r="AH2138" s="18" t="n">
        <f aca="false">IF($K2138="SEM CULTURA",0,$V2138*$H2138)</f>
        <v>0</v>
      </c>
      <c r="AI2138" s="18" t="n">
        <f aca="false">IF($K2138="SEM CULTURA",0,$W2138*$H2138)</f>
        <v>0</v>
      </c>
      <c r="AJ2138" s="18" t="n">
        <f aca="false">IF($K2138="SEM CULTURA",0,$S2138*$H2138)</f>
        <v>0</v>
      </c>
      <c r="AK2138" s="8" t="str">
        <f aca="false">$E2138&amp;"|"&amp;TEXT($AD2138,"0.000000")</f>
        <v>PV 134|0.000000</v>
      </c>
    </row>
    <row r="2139" customFormat="false" ht="15" hidden="false" customHeight="false" outlineLevel="0" collapsed="false">
      <c r="B2139" s="16" t="n">
        <v>22</v>
      </c>
      <c r="C2139" s="17" t="n">
        <f aca="false">DATA_INICIO_SAFRA+($B2139-1)*DIAS_POR_SEMANA</f>
        <v>46412</v>
      </c>
      <c r="D2139" s="17" t="n">
        <f aca="false">$C2139+DIAS_POR_SEMANA-1</f>
        <v>46418</v>
      </c>
      <c r="E2139" s="15" t="s">
        <v>291</v>
      </c>
      <c r="F2139" s="8" t="str">
        <f aca="false">IFERROR(INDEX(CADASTRO_PIVOS!$C$6:$C$41,MATCH($E2139,CADASTRO_PIVOS!$B$6:$B$41,0)),"?")</f>
        <v>RM08</v>
      </c>
      <c r="G2139" s="8" t="str">
        <f aca="false">IFERROR(INDEX(CADASTRO_PIVOS!$D$6:$D$41,MATCH($E2139,CADASTRO_PIVOS!$B$6:$B$41,0)),"?")</f>
        <v>TR08</v>
      </c>
      <c r="H2139" s="20" t="n">
        <f aca="false">IFERROR(INDEX(CADASTRO_PIVOS!$E$6:$E$41,MATCH($E2139,CADASTRO_PIVOS!$B$6:$B$41,0)),0)</f>
        <v>79</v>
      </c>
      <c r="I2139" s="16" t="n">
        <f aca="false">IFERROR(SUMIFS(ROTACAO_RDM!$B$6:$B$71,ROTACAO_RDM!$D$6:$D$71,$E2139,ROTACAO_RDM!$I$6:$I$71,"&lt;="&amp;$C2139+INT(DIAS_POR_SEMANA/2),ROTACAO_RDM!$J$6:$J$71,"&gt;="&amp;$C2139+INT(DIAS_POR_SEMANA/2)),0)</f>
        <v>0</v>
      </c>
      <c r="J2139" s="16" t="n">
        <f aca="false">IFERROR(MATCH($I2139,ROTACAO_RDM!$B$6:$B$71,0),0)</f>
        <v>0</v>
      </c>
      <c r="K2139" s="8" t="str">
        <f aca="false">IF($J2139=0,"SEM CULTURA",INDEX(ROTACAO_RDM!$F$6:$F$71,$J2139))</f>
        <v>SEM CULTURA</v>
      </c>
      <c r="L2139" s="8" t="str">
        <f aca="false">IF($J2139=0,"",INDEX(ROTACAO_RDM!$G$6:$G$71,$J2139))</f>
        <v/>
      </c>
      <c r="M2139" s="17" t="str">
        <f aca="false">IF($J2139=0,"",INDEX(ROTACAO_RDM!$I$6:$I$71,$J2139))</f>
        <v/>
      </c>
      <c r="N2139" s="16" t="n">
        <f aca="false">IF($J2139=0,0,MAX(0,$C2139+INT(DIAS_POR_SEMANA/2)-INDEX(ROTACAO_RDM!$I$6:$I$71,$J2139)))</f>
        <v>0</v>
      </c>
      <c r="O2139" s="19" t="n">
        <f aca="false">IF($J2139=0,0,MIN(1,$N2139/MAX(1,INDEX(ROTACAO_RDM!$K$6:$K$71,$J2139))))</f>
        <v>0</v>
      </c>
      <c r="P2139" s="16" t="n">
        <f aca="false">IF($J2139=0,0,IFERROR(MATCH(INDEX(ROTACAO_RDM!$N$6:$N$71,$J2139),PARAMETROS_CULTURAS!$B$6:$B$28,0),0))</f>
        <v>0</v>
      </c>
      <c r="Q2139" s="8" t="str">
        <f aca="false">IF($P2139=0,"-",IF($O2139&lt;=INDEX(PARAMETROS_CULTURAS!$F$6:$F$28,$P2139),"INICIAL",IF($O2139&lt;=INDEX(PARAMETROS_CULTURAS!$F$6:$F$28,$P2139)+INDEX(PARAMETROS_CULTURAS!$G$6:$G$28,$P2139),"DESENVOLVIMENTO",IF($O2139&lt;=INDEX(PARAMETROS_CULTURAS!$F$6:$F$28,$P2139)+INDEX(PARAMETROS_CULTURAS!$G$6:$G$28,$P2139)+INDEX(PARAMETROS_CULTURAS!$H$6:$H$28,$P2139),"MEDIA","FINAL"))))</f>
        <v>-</v>
      </c>
      <c r="R2139" s="24" t="n">
        <f aca="false">IF($P2139=0,0,IF($O2139&lt;=INDEX(PARAMETROS_CULTURAS!$F$6:$F$28,$P2139),INDEX(PARAMETROS_CULTURAS!$K$6:$K$28,$P2139),IF($O2139&lt;=INDEX(PARAMETROS_CULTURAS!$F$6:$F$28,$P2139)+INDEX(PARAMETROS_CULTURAS!$G$6:$G$28,$P2139),INDEX(PARAMETROS_CULTURAS!$K$6:$K$28,$P2139)+(INDEX(PARAMETROS_CULTURAS!$L$6:$L$28,$P2139)-INDEX(PARAMETROS_CULTURAS!$K$6:$K$28,$P2139))*($O2139-INDEX(PARAMETROS_CULTURAS!$F$6:$F$28,$P2139))/MAX(INDEX(PARAMETROS_CULTURAS!$G$6:$G$28,$P2139),0.0001),IF($O2139&lt;=INDEX(PARAMETROS_CULTURAS!$F$6:$F$28,$P2139)+INDEX(PARAMETROS_CULTURAS!$G$6:$G$28,$P2139)+INDEX(PARAMETROS_CULTURAS!$H$6:$H$28,$P2139),INDEX(PARAMETROS_CULTURAS!$L$6:$L$28,$P2139),INDEX(PARAMETROS_CULTURAS!$L$6:$L$28,$P2139)+(INDEX(PARAMETROS_CULTURAS!$M$6:$M$28,$P2139)-INDEX(PARAMETROS_CULTURAS!$L$6:$L$28,$P2139))*($O2139-INDEX(PARAMETROS_CULTURAS!$F$6:$F$28,$P2139)-INDEX(PARAMETROS_CULTURAS!$G$6:$G$28,$P2139)-INDEX(PARAMETROS_CULTURAS!$H$6:$H$28,$P2139))/MAX(INDEX(PARAMETROS_CULTURAS!$I$6:$I$28,$P2139),0.0001)))))</f>
        <v>0</v>
      </c>
      <c r="S2139" s="18" t="n">
        <f aca="false">IFERROR(INDEX(SEMANAS!$H$6:$H$71,MATCH($B2139,SEMANAS!$B$6:$B$71,0)),0)</f>
        <v>33.6</v>
      </c>
      <c r="T2139" s="18" t="n">
        <f aca="false">$R2139*$S2139</f>
        <v>0</v>
      </c>
      <c r="U2139" s="18" t="n">
        <f aca="false">IFERROR(INDEX(SEMANAS!$I$6:$I$71,MATCH($B2139,SEMANAS!$B$6:$B$71,0)),0)</f>
        <v>45.15</v>
      </c>
      <c r="V2139" s="18" t="n">
        <f aca="false">IFERROR(INDEX(SEMANAS!$J$6:$J$71,MATCH($B2139,SEMANAS!$B$6:$B$71,0)),0)</f>
        <v>36.12</v>
      </c>
      <c r="W2139" s="18" t="n">
        <f aca="false">MAX(0,$T2139-$V2139)</f>
        <v>0</v>
      </c>
      <c r="X2139" s="19" t="n">
        <f aca="false">IFERROR(INDEX(CADASTRO_PIVOS!$K$6:$K$41,MATCH($E2139,CADASTRO_PIVOS!$B$6:$B$41,0)),EFICIENCIA_PADRAO)</f>
        <v>0.85</v>
      </c>
      <c r="Y2139" s="18" t="n">
        <f aca="false">IF($X2139&lt;=0,0,$W2139/$X2139)</f>
        <v>0</v>
      </c>
      <c r="Z2139" s="16" t="n">
        <f aca="false">$Y2139*$H2139*MM_PARA_M3_HA</f>
        <v>0</v>
      </c>
      <c r="AA2139" s="18" t="n">
        <f aca="false">IFERROR(INDEX(CADASTRO_PIVOS!$I$6:$I$41,MATCH($E2139,CADASTRO_PIVOS!$B$6:$B$41,0)),0)</f>
        <v>526.666666666667</v>
      </c>
      <c r="AB2139" s="18" t="n">
        <f aca="false">IF($Z2139&lt;=0,0,$Z2139/$AA2139)</f>
        <v>0</v>
      </c>
      <c r="AC2139" s="16" t="n">
        <f aca="false">IFERROR(INDEX(SEMANAS!$K$6:$K$71,MATCH($B2139,SEMANAS!$B$6:$B$71,0)),0)</f>
        <v>147</v>
      </c>
      <c r="AD2139" s="19" t="n">
        <f aca="false">IF($AC2139&lt;=0,0,$AB2139/$AC2139)</f>
        <v>0</v>
      </c>
      <c r="AE2139" s="8" t="str">
        <f aca="false">IF($K2139="SEM CULTURA","SEM CULTURA",IF($AA2139&lt;=0,"DADO PENDENTE",IF($AD2139&gt;LIMITE_CRITICO,"INVIAVEL",IF($AD2139&gt;LIMITE_ATENCAO,"CRITICO",IF($AD2139&gt;LIMITE_CONFORTAVEL,"ATENCAO","OK")))))</f>
        <v>SEM CULTURA</v>
      </c>
      <c r="AF2139" s="8" t="str">
        <f aca="false">$B2139&amp;"|"&amp;TEXT($AD2139,"0.000000")</f>
        <v>22|0.000000</v>
      </c>
      <c r="AG2139" s="18" t="n">
        <f aca="false">IF($K2139="SEM CULTURA",0,$T2139*$H2139)</f>
        <v>0</v>
      </c>
      <c r="AH2139" s="18" t="n">
        <f aca="false">IF($K2139="SEM CULTURA",0,$V2139*$H2139)</f>
        <v>0</v>
      </c>
      <c r="AI2139" s="18" t="n">
        <f aca="false">IF($K2139="SEM CULTURA",0,$W2139*$H2139)</f>
        <v>0</v>
      </c>
      <c r="AJ2139" s="18" t="n">
        <f aca="false">IF($K2139="SEM CULTURA",0,$S2139*$H2139)</f>
        <v>0</v>
      </c>
      <c r="AK2139" s="8" t="str">
        <f aca="false">$E2139&amp;"|"&amp;TEXT($AD2139,"0.000000")</f>
        <v>PV 134|0.000000</v>
      </c>
    </row>
    <row r="2140" customFormat="false" ht="15" hidden="false" customHeight="false" outlineLevel="0" collapsed="false">
      <c r="B2140" s="16" t="n">
        <v>23</v>
      </c>
      <c r="C2140" s="17" t="n">
        <f aca="false">DATA_INICIO_SAFRA+($B2140-1)*DIAS_POR_SEMANA</f>
        <v>46419</v>
      </c>
      <c r="D2140" s="17" t="n">
        <f aca="false">$C2140+DIAS_POR_SEMANA-1</f>
        <v>46425</v>
      </c>
      <c r="E2140" s="15" t="s">
        <v>291</v>
      </c>
      <c r="F2140" s="8" t="str">
        <f aca="false">IFERROR(INDEX(CADASTRO_PIVOS!$C$6:$C$41,MATCH($E2140,CADASTRO_PIVOS!$B$6:$B$41,0)),"?")</f>
        <v>RM08</v>
      </c>
      <c r="G2140" s="8" t="str">
        <f aca="false">IFERROR(INDEX(CADASTRO_PIVOS!$D$6:$D$41,MATCH($E2140,CADASTRO_PIVOS!$B$6:$B$41,0)),"?")</f>
        <v>TR08</v>
      </c>
      <c r="H2140" s="20" t="n">
        <f aca="false">IFERROR(INDEX(CADASTRO_PIVOS!$E$6:$E$41,MATCH($E2140,CADASTRO_PIVOS!$B$6:$B$41,0)),0)</f>
        <v>79</v>
      </c>
      <c r="I2140" s="16" t="n">
        <f aca="false">IFERROR(SUMIFS(ROTACAO_RDM!$B$6:$B$71,ROTACAO_RDM!$D$6:$D$71,$E2140,ROTACAO_RDM!$I$6:$I$71,"&lt;="&amp;$C2140+INT(DIAS_POR_SEMANA/2),ROTACAO_RDM!$J$6:$J$71,"&gt;="&amp;$C2140+INT(DIAS_POR_SEMANA/2)),0)</f>
        <v>0</v>
      </c>
      <c r="J2140" s="16" t="n">
        <f aca="false">IFERROR(MATCH($I2140,ROTACAO_RDM!$B$6:$B$71,0),0)</f>
        <v>0</v>
      </c>
      <c r="K2140" s="8" t="str">
        <f aca="false">IF($J2140=0,"SEM CULTURA",INDEX(ROTACAO_RDM!$F$6:$F$71,$J2140))</f>
        <v>SEM CULTURA</v>
      </c>
      <c r="L2140" s="8" t="str">
        <f aca="false">IF($J2140=0,"",INDEX(ROTACAO_RDM!$G$6:$G$71,$J2140))</f>
        <v/>
      </c>
      <c r="M2140" s="17" t="str">
        <f aca="false">IF($J2140=0,"",INDEX(ROTACAO_RDM!$I$6:$I$71,$J2140))</f>
        <v/>
      </c>
      <c r="N2140" s="16" t="n">
        <f aca="false">IF($J2140=0,0,MAX(0,$C2140+INT(DIAS_POR_SEMANA/2)-INDEX(ROTACAO_RDM!$I$6:$I$71,$J2140)))</f>
        <v>0</v>
      </c>
      <c r="O2140" s="19" t="n">
        <f aca="false">IF($J2140=0,0,MIN(1,$N2140/MAX(1,INDEX(ROTACAO_RDM!$K$6:$K$71,$J2140))))</f>
        <v>0</v>
      </c>
      <c r="P2140" s="16" t="n">
        <f aca="false">IF($J2140=0,0,IFERROR(MATCH(INDEX(ROTACAO_RDM!$N$6:$N$71,$J2140),PARAMETROS_CULTURAS!$B$6:$B$28,0),0))</f>
        <v>0</v>
      </c>
      <c r="Q2140" s="8" t="str">
        <f aca="false">IF($P2140=0,"-",IF($O2140&lt;=INDEX(PARAMETROS_CULTURAS!$F$6:$F$28,$P2140),"INICIAL",IF($O2140&lt;=INDEX(PARAMETROS_CULTURAS!$F$6:$F$28,$P2140)+INDEX(PARAMETROS_CULTURAS!$G$6:$G$28,$P2140),"DESENVOLVIMENTO",IF($O2140&lt;=INDEX(PARAMETROS_CULTURAS!$F$6:$F$28,$P2140)+INDEX(PARAMETROS_CULTURAS!$G$6:$G$28,$P2140)+INDEX(PARAMETROS_CULTURAS!$H$6:$H$28,$P2140),"MEDIA","FINAL"))))</f>
        <v>-</v>
      </c>
      <c r="R2140" s="24" t="n">
        <f aca="false">IF($P2140=0,0,IF($O2140&lt;=INDEX(PARAMETROS_CULTURAS!$F$6:$F$28,$P2140),INDEX(PARAMETROS_CULTURAS!$K$6:$K$28,$P2140),IF($O2140&lt;=INDEX(PARAMETROS_CULTURAS!$F$6:$F$28,$P2140)+INDEX(PARAMETROS_CULTURAS!$G$6:$G$28,$P2140),INDEX(PARAMETROS_CULTURAS!$K$6:$K$28,$P2140)+(INDEX(PARAMETROS_CULTURAS!$L$6:$L$28,$P2140)-INDEX(PARAMETROS_CULTURAS!$K$6:$K$28,$P2140))*($O2140-INDEX(PARAMETROS_CULTURAS!$F$6:$F$28,$P2140))/MAX(INDEX(PARAMETROS_CULTURAS!$G$6:$G$28,$P2140),0.0001),IF($O2140&lt;=INDEX(PARAMETROS_CULTURAS!$F$6:$F$28,$P2140)+INDEX(PARAMETROS_CULTURAS!$G$6:$G$28,$P2140)+INDEX(PARAMETROS_CULTURAS!$H$6:$H$28,$P2140),INDEX(PARAMETROS_CULTURAS!$L$6:$L$28,$P2140),INDEX(PARAMETROS_CULTURAS!$L$6:$L$28,$P2140)+(INDEX(PARAMETROS_CULTURAS!$M$6:$M$28,$P2140)-INDEX(PARAMETROS_CULTURAS!$L$6:$L$28,$P2140))*($O2140-INDEX(PARAMETROS_CULTURAS!$F$6:$F$28,$P2140)-INDEX(PARAMETROS_CULTURAS!$G$6:$G$28,$P2140)-INDEX(PARAMETROS_CULTURAS!$H$6:$H$28,$P2140))/MAX(INDEX(PARAMETROS_CULTURAS!$I$6:$I$28,$P2140),0.0001)))))</f>
        <v>0</v>
      </c>
      <c r="S2140" s="18" t="n">
        <f aca="false">IFERROR(INDEX(SEMANAS!$H$6:$H$71,MATCH($B2140,SEMANAS!$B$6:$B$71,0)),0)</f>
        <v>32.9</v>
      </c>
      <c r="T2140" s="18" t="n">
        <f aca="false">$R2140*$S2140</f>
        <v>0</v>
      </c>
      <c r="U2140" s="18" t="n">
        <f aca="false">IFERROR(INDEX(SEMANAS!$I$6:$I$71,MATCH($B2140,SEMANAS!$B$6:$B$71,0)),0)</f>
        <v>39.97</v>
      </c>
      <c r="V2140" s="18" t="n">
        <f aca="false">IFERROR(INDEX(SEMANAS!$J$6:$J$71,MATCH($B2140,SEMANAS!$B$6:$B$71,0)),0)</f>
        <v>31.976</v>
      </c>
      <c r="W2140" s="18" t="n">
        <f aca="false">MAX(0,$T2140-$V2140)</f>
        <v>0</v>
      </c>
      <c r="X2140" s="19" t="n">
        <f aca="false">IFERROR(INDEX(CADASTRO_PIVOS!$K$6:$K$41,MATCH($E2140,CADASTRO_PIVOS!$B$6:$B$41,0)),EFICIENCIA_PADRAO)</f>
        <v>0.85</v>
      </c>
      <c r="Y2140" s="18" t="n">
        <f aca="false">IF($X2140&lt;=0,0,$W2140/$X2140)</f>
        <v>0</v>
      </c>
      <c r="Z2140" s="16" t="n">
        <f aca="false">$Y2140*$H2140*MM_PARA_M3_HA</f>
        <v>0</v>
      </c>
      <c r="AA2140" s="18" t="n">
        <f aca="false">IFERROR(INDEX(CADASTRO_PIVOS!$I$6:$I$41,MATCH($E2140,CADASTRO_PIVOS!$B$6:$B$41,0)),0)</f>
        <v>526.666666666667</v>
      </c>
      <c r="AB2140" s="18" t="n">
        <f aca="false">IF($Z2140&lt;=0,0,$Z2140/$AA2140)</f>
        <v>0</v>
      </c>
      <c r="AC2140" s="16" t="n">
        <f aca="false">IFERROR(INDEX(SEMANAS!$K$6:$K$71,MATCH($B2140,SEMANAS!$B$6:$B$71,0)),0)</f>
        <v>147</v>
      </c>
      <c r="AD2140" s="19" t="n">
        <f aca="false">IF($AC2140&lt;=0,0,$AB2140/$AC2140)</f>
        <v>0</v>
      </c>
      <c r="AE2140" s="8" t="str">
        <f aca="false">IF($K2140="SEM CULTURA","SEM CULTURA",IF($AA2140&lt;=0,"DADO PENDENTE",IF($AD2140&gt;LIMITE_CRITICO,"INVIAVEL",IF($AD2140&gt;LIMITE_ATENCAO,"CRITICO",IF($AD2140&gt;LIMITE_CONFORTAVEL,"ATENCAO","OK")))))</f>
        <v>SEM CULTURA</v>
      </c>
      <c r="AF2140" s="8" t="str">
        <f aca="false">$B2140&amp;"|"&amp;TEXT($AD2140,"0.000000")</f>
        <v>23|0.000000</v>
      </c>
      <c r="AG2140" s="18" t="n">
        <f aca="false">IF($K2140="SEM CULTURA",0,$T2140*$H2140)</f>
        <v>0</v>
      </c>
      <c r="AH2140" s="18" t="n">
        <f aca="false">IF($K2140="SEM CULTURA",0,$V2140*$H2140)</f>
        <v>0</v>
      </c>
      <c r="AI2140" s="18" t="n">
        <f aca="false">IF($K2140="SEM CULTURA",0,$W2140*$H2140)</f>
        <v>0</v>
      </c>
      <c r="AJ2140" s="18" t="n">
        <f aca="false">IF($K2140="SEM CULTURA",0,$S2140*$H2140)</f>
        <v>0</v>
      </c>
      <c r="AK2140" s="8" t="str">
        <f aca="false">$E2140&amp;"|"&amp;TEXT($AD2140,"0.000000")</f>
        <v>PV 134|0.000000</v>
      </c>
    </row>
    <row r="2141" customFormat="false" ht="15" hidden="false" customHeight="false" outlineLevel="0" collapsed="false">
      <c r="B2141" s="16" t="n">
        <v>24</v>
      </c>
      <c r="C2141" s="17" t="n">
        <f aca="false">DATA_INICIO_SAFRA+($B2141-1)*DIAS_POR_SEMANA</f>
        <v>46426</v>
      </c>
      <c r="D2141" s="17" t="n">
        <f aca="false">$C2141+DIAS_POR_SEMANA-1</f>
        <v>46432</v>
      </c>
      <c r="E2141" s="15" t="s">
        <v>291</v>
      </c>
      <c r="F2141" s="8" t="str">
        <f aca="false">IFERROR(INDEX(CADASTRO_PIVOS!$C$6:$C$41,MATCH($E2141,CADASTRO_PIVOS!$B$6:$B$41,0)),"?")</f>
        <v>RM08</v>
      </c>
      <c r="G2141" s="8" t="str">
        <f aca="false">IFERROR(INDEX(CADASTRO_PIVOS!$D$6:$D$41,MATCH($E2141,CADASTRO_PIVOS!$B$6:$B$41,0)),"?")</f>
        <v>TR08</v>
      </c>
      <c r="H2141" s="20" t="n">
        <f aca="false">IFERROR(INDEX(CADASTRO_PIVOS!$E$6:$E$41,MATCH($E2141,CADASTRO_PIVOS!$B$6:$B$41,0)),0)</f>
        <v>79</v>
      </c>
      <c r="I2141" s="16" t="n">
        <f aca="false">IFERROR(SUMIFS(ROTACAO_RDM!$B$6:$B$71,ROTACAO_RDM!$D$6:$D$71,$E2141,ROTACAO_RDM!$I$6:$I$71,"&lt;="&amp;$C2141+INT(DIAS_POR_SEMANA/2),ROTACAO_RDM!$J$6:$J$71,"&gt;="&amp;$C2141+INT(DIAS_POR_SEMANA/2)),0)</f>
        <v>0</v>
      </c>
      <c r="J2141" s="16" t="n">
        <f aca="false">IFERROR(MATCH($I2141,ROTACAO_RDM!$B$6:$B$71,0),0)</f>
        <v>0</v>
      </c>
      <c r="K2141" s="8" t="str">
        <f aca="false">IF($J2141=0,"SEM CULTURA",INDEX(ROTACAO_RDM!$F$6:$F$71,$J2141))</f>
        <v>SEM CULTURA</v>
      </c>
      <c r="L2141" s="8" t="str">
        <f aca="false">IF($J2141=0,"",INDEX(ROTACAO_RDM!$G$6:$G$71,$J2141))</f>
        <v/>
      </c>
      <c r="M2141" s="17" t="str">
        <f aca="false">IF($J2141=0,"",INDEX(ROTACAO_RDM!$I$6:$I$71,$J2141))</f>
        <v/>
      </c>
      <c r="N2141" s="16" t="n">
        <f aca="false">IF($J2141=0,0,MAX(0,$C2141+INT(DIAS_POR_SEMANA/2)-INDEX(ROTACAO_RDM!$I$6:$I$71,$J2141)))</f>
        <v>0</v>
      </c>
      <c r="O2141" s="19" t="n">
        <f aca="false">IF($J2141=0,0,MIN(1,$N2141/MAX(1,INDEX(ROTACAO_RDM!$K$6:$K$71,$J2141))))</f>
        <v>0</v>
      </c>
      <c r="P2141" s="16" t="n">
        <f aca="false">IF($J2141=0,0,IFERROR(MATCH(INDEX(ROTACAO_RDM!$N$6:$N$71,$J2141),PARAMETROS_CULTURAS!$B$6:$B$28,0),0))</f>
        <v>0</v>
      </c>
      <c r="Q2141" s="8" t="str">
        <f aca="false">IF($P2141=0,"-",IF($O2141&lt;=INDEX(PARAMETROS_CULTURAS!$F$6:$F$28,$P2141),"INICIAL",IF($O2141&lt;=INDEX(PARAMETROS_CULTURAS!$F$6:$F$28,$P2141)+INDEX(PARAMETROS_CULTURAS!$G$6:$G$28,$P2141),"DESENVOLVIMENTO",IF($O2141&lt;=INDEX(PARAMETROS_CULTURAS!$F$6:$F$28,$P2141)+INDEX(PARAMETROS_CULTURAS!$G$6:$G$28,$P2141)+INDEX(PARAMETROS_CULTURAS!$H$6:$H$28,$P2141),"MEDIA","FINAL"))))</f>
        <v>-</v>
      </c>
      <c r="R2141" s="24" t="n">
        <f aca="false">IF($P2141=0,0,IF($O2141&lt;=INDEX(PARAMETROS_CULTURAS!$F$6:$F$28,$P2141),INDEX(PARAMETROS_CULTURAS!$K$6:$K$28,$P2141),IF($O2141&lt;=INDEX(PARAMETROS_CULTURAS!$F$6:$F$28,$P2141)+INDEX(PARAMETROS_CULTURAS!$G$6:$G$28,$P2141),INDEX(PARAMETROS_CULTURAS!$K$6:$K$28,$P2141)+(INDEX(PARAMETROS_CULTURAS!$L$6:$L$28,$P2141)-INDEX(PARAMETROS_CULTURAS!$K$6:$K$28,$P2141))*($O2141-INDEX(PARAMETROS_CULTURAS!$F$6:$F$28,$P2141))/MAX(INDEX(PARAMETROS_CULTURAS!$G$6:$G$28,$P2141),0.0001),IF($O2141&lt;=INDEX(PARAMETROS_CULTURAS!$F$6:$F$28,$P2141)+INDEX(PARAMETROS_CULTURAS!$G$6:$G$28,$P2141)+INDEX(PARAMETROS_CULTURAS!$H$6:$H$28,$P2141),INDEX(PARAMETROS_CULTURAS!$L$6:$L$28,$P2141),INDEX(PARAMETROS_CULTURAS!$L$6:$L$28,$P2141)+(INDEX(PARAMETROS_CULTURAS!$M$6:$M$28,$P2141)-INDEX(PARAMETROS_CULTURAS!$L$6:$L$28,$P2141))*($O2141-INDEX(PARAMETROS_CULTURAS!$F$6:$F$28,$P2141)-INDEX(PARAMETROS_CULTURAS!$G$6:$G$28,$P2141)-INDEX(PARAMETROS_CULTURAS!$H$6:$H$28,$P2141))/MAX(INDEX(PARAMETROS_CULTURAS!$I$6:$I$28,$P2141),0.0001)))))</f>
        <v>0</v>
      </c>
      <c r="S2141" s="18" t="n">
        <f aca="false">IFERROR(INDEX(SEMANAS!$H$6:$H$71,MATCH($B2141,SEMANAS!$B$6:$B$71,0)),0)</f>
        <v>32.9</v>
      </c>
      <c r="T2141" s="18" t="n">
        <f aca="false">$R2141*$S2141</f>
        <v>0</v>
      </c>
      <c r="U2141" s="18" t="n">
        <f aca="false">IFERROR(INDEX(SEMANAS!$I$6:$I$71,MATCH($B2141,SEMANAS!$B$6:$B$71,0)),0)</f>
        <v>39.97</v>
      </c>
      <c r="V2141" s="18" t="n">
        <f aca="false">IFERROR(INDEX(SEMANAS!$J$6:$J$71,MATCH($B2141,SEMANAS!$B$6:$B$71,0)),0)</f>
        <v>31.976</v>
      </c>
      <c r="W2141" s="18" t="n">
        <f aca="false">MAX(0,$T2141-$V2141)</f>
        <v>0</v>
      </c>
      <c r="X2141" s="19" t="n">
        <f aca="false">IFERROR(INDEX(CADASTRO_PIVOS!$K$6:$K$41,MATCH($E2141,CADASTRO_PIVOS!$B$6:$B$41,0)),EFICIENCIA_PADRAO)</f>
        <v>0.85</v>
      </c>
      <c r="Y2141" s="18" t="n">
        <f aca="false">IF($X2141&lt;=0,0,$W2141/$X2141)</f>
        <v>0</v>
      </c>
      <c r="Z2141" s="16" t="n">
        <f aca="false">$Y2141*$H2141*MM_PARA_M3_HA</f>
        <v>0</v>
      </c>
      <c r="AA2141" s="18" t="n">
        <f aca="false">IFERROR(INDEX(CADASTRO_PIVOS!$I$6:$I$41,MATCH($E2141,CADASTRO_PIVOS!$B$6:$B$41,0)),0)</f>
        <v>526.666666666667</v>
      </c>
      <c r="AB2141" s="18" t="n">
        <f aca="false">IF($Z2141&lt;=0,0,$Z2141/$AA2141)</f>
        <v>0</v>
      </c>
      <c r="AC2141" s="16" t="n">
        <f aca="false">IFERROR(INDEX(SEMANAS!$K$6:$K$71,MATCH($B2141,SEMANAS!$B$6:$B$71,0)),0)</f>
        <v>147</v>
      </c>
      <c r="AD2141" s="19" t="n">
        <f aca="false">IF($AC2141&lt;=0,0,$AB2141/$AC2141)</f>
        <v>0</v>
      </c>
      <c r="AE2141" s="8" t="str">
        <f aca="false">IF($K2141="SEM CULTURA","SEM CULTURA",IF($AA2141&lt;=0,"DADO PENDENTE",IF($AD2141&gt;LIMITE_CRITICO,"INVIAVEL",IF($AD2141&gt;LIMITE_ATENCAO,"CRITICO",IF($AD2141&gt;LIMITE_CONFORTAVEL,"ATENCAO","OK")))))</f>
        <v>SEM CULTURA</v>
      </c>
      <c r="AF2141" s="8" t="str">
        <f aca="false">$B2141&amp;"|"&amp;TEXT($AD2141,"0.000000")</f>
        <v>24|0.000000</v>
      </c>
      <c r="AG2141" s="18" t="n">
        <f aca="false">IF($K2141="SEM CULTURA",0,$T2141*$H2141)</f>
        <v>0</v>
      </c>
      <c r="AH2141" s="18" t="n">
        <f aca="false">IF($K2141="SEM CULTURA",0,$V2141*$H2141)</f>
        <v>0</v>
      </c>
      <c r="AI2141" s="18" t="n">
        <f aca="false">IF($K2141="SEM CULTURA",0,$W2141*$H2141)</f>
        <v>0</v>
      </c>
      <c r="AJ2141" s="18" t="n">
        <f aca="false">IF($K2141="SEM CULTURA",0,$S2141*$H2141)</f>
        <v>0</v>
      </c>
      <c r="AK2141" s="8" t="str">
        <f aca="false">$E2141&amp;"|"&amp;TEXT($AD2141,"0.000000")</f>
        <v>PV 134|0.000000</v>
      </c>
    </row>
    <row r="2142" customFormat="false" ht="15" hidden="false" customHeight="false" outlineLevel="0" collapsed="false">
      <c r="B2142" s="16" t="n">
        <v>25</v>
      </c>
      <c r="C2142" s="17" t="n">
        <f aca="false">DATA_INICIO_SAFRA+($B2142-1)*DIAS_POR_SEMANA</f>
        <v>46433</v>
      </c>
      <c r="D2142" s="17" t="n">
        <f aca="false">$C2142+DIAS_POR_SEMANA-1</f>
        <v>46439</v>
      </c>
      <c r="E2142" s="15" t="s">
        <v>291</v>
      </c>
      <c r="F2142" s="8" t="str">
        <f aca="false">IFERROR(INDEX(CADASTRO_PIVOS!$C$6:$C$41,MATCH($E2142,CADASTRO_PIVOS!$B$6:$B$41,0)),"?")</f>
        <v>RM08</v>
      </c>
      <c r="G2142" s="8" t="str">
        <f aca="false">IFERROR(INDEX(CADASTRO_PIVOS!$D$6:$D$41,MATCH($E2142,CADASTRO_PIVOS!$B$6:$B$41,0)),"?")</f>
        <v>TR08</v>
      </c>
      <c r="H2142" s="20" t="n">
        <f aca="false">IFERROR(INDEX(CADASTRO_PIVOS!$E$6:$E$41,MATCH($E2142,CADASTRO_PIVOS!$B$6:$B$41,0)),0)</f>
        <v>79</v>
      </c>
      <c r="I2142" s="16" t="n">
        <f aca="false">IFERROR(SUMIFS(ROTACAO_RDM!$B$6:$B$71,ROTACAO_RDM!$D$6:$D$71,$E2142,ROTACAO_RDM!$I$6:$I$71,"&lt;="&amp;$C2142+INT(DIAS_POR_SEMANA/2),ROTACAO_RDM!$J$6:$J$71,"&gt;="&amp;$C2142+INT(DIAS_POR_SEMANA/2)),0)</f>
        <v>0</v>
      </c>
      <c r="J2142" s="16" t="n">
        <f aca="false">IFERROR(MATCH($I2142,ROTACAO_RDM!$B$6:$B$71,0),0)</f>
        <v>0</v>
      </c>
      <c r="K2142" s="8" t="str">
        <f aca="false">IF($J2142=0,"SEM CULTURA",INDEX(ROTACAO_RDM!$F$6:$F$71,$J2142))</f>
        <v>SEM CULTURA</v>
      </c>
      <c r="L2142" s="8" t="str">
        <f aca="false">IF($J2142=0,"",INDEX(ROTACAO_RDM!$G$6:$G$71,$J2142))</f>
        <v/>
      </c>
      <c r="M2142" s="17" t="str">
        <f aca="false">IF($J2142=0,"",INDEX(ROTACAO_RDM!$I$6:$I$71,$J2142))</f>
        <v/>
      </c>
      <c r="N2142" s="16" t="n">
        <f aca="false">IF($J2142=0,0,MAX(0,$C2142+INT(DIAS_POR_SEMANA/2)-INDEX(ROTACAO_RDM!$I$6:$I$71,$J2142)))</f>
        <v>0</v>
      </c>
      <c r="O2142" s="19" t="n">
        <f aca="false">IF($J2142=0,0,MIN(1,$N2142/MAX(1,INDEX(ROTACAO_RDM!$K$6:$K$71,$J2142))))</f>
        <v>0</v>
      </c>
      <c r="P2142" s="16" t="n">
        <f aca="false">IF($J2142=0,0,IFERROR(MATCH(INDEX(ROTACAO_RDM!$N$6:$N$71,$J2142),PARAMETROS_CULTURAS!$B$6:$B$28,0),0))</f>
        <v>0</v>
      </c>
      <c r="Q2142" s="8" t="str">
        <f aca="false">IF($P2142=0,"-",IF($O2142&lt;=INDEX(PARAMETROS_CULTURAS!$F$6:$F$28,$P2142),"INICIAL",IF($O2142&lt;=INDEX(PARAMETROS_CULTURAS!$F$6:$F$28,$P2142)+INDEX(PARAMETROS_CULTURAS!$G$6:$G$28,$P2142),"DESENVOLVIMENTO",IF($O2142&lt;=INDEX(PARAMETROS_CULTURAS!$F$6:$F$28,$P2142)+INDEX(PARAMETROS_CULTURAS!$G$6:$G$28,$P2142)+INDEX(PARAMETROS_CULTURAS!$H$6:$H$28,$P2142),"MEDIA","FINAL"))))</f>
        <v>-</v>
      </c>
      <c r="R2142" s="24" t="n">
        <f aca="false">IF($P2142=0,0,IF($O2142&lt;=INDEX(PARAMETROS_CULTURAS!$F$6:$F$28,$P2142),INDEX(PARAMETROS_CULTURAS!$K$6:$K$28,$P2142),IF($O2142&lt;=INDEX(PARAMETROS_CULTURAS!$F$6:$F$28,$P2142)+INDEX(PARAMETROS_CULTURAS!$G$6:$G$28,$P2142),INDEX(PARAMETROS_CULTURAS!$K$6:$K$28,$P2142)+(INDEX(PARAMETROS_CULTURAS!$L$6:$L$28,$P2142)-INDEX(PARAMETROS_CULTURAS!$K$6:$K$28,$P2142))*($O2142-INDEX(PARAMETROS_CULTURAS!$F$6:$F$28,$P2142))/MAX(INDEX(PARAMETROS_CULTURAS!$G$6:$G$28,$P2142),0.0001),IF($O2142&lt;=INDEX(PARAMETROS_CULTURAS!$F$6:$F$28,$P2142)+INDEX(PARAMETROS_CULTURAS!$G$6:$G$28,$P2142)+INDEX(PARAMETROS_CULTURAS!$H$6:$H$28,$P2142),INDEX(PARAMETROS_CULTURAS!$L$6:$L$28,$P2142),INDEX(PARAMETROS_CULTURAS!$L$6:$L$28,$P2142)+(INDEX(PARAMETROS_CULTURAS!$M$6:$M$28,$P2142)-INDEX(PARAMETROS_CULTURAS!$L$6:$L$28,$P2142))*($O2142-INDEX(PARAMETROS_CULTURAS!$F$6:$F$28,$P2142)-INDEX(PARAMETROS_CULTURAS!$G$6:$G$28,$P2142)-INDEX(PARAMETROS_CULTURAS!$H$6:$H$28,$P2142))/MAX(INDEX(PARAMETROS_CULTURAS!$I$6:$I$28,$P2142),0.0001)))))</f>
        <v>0</v>
      </c>
      <c r="S2142" s="18" t="n">
        <f aca="false">IFERROR(INDEX(SEMANAS!$H$6:$H$71,MATCH($B2142,SEMANAS!$B$6:$B$71,0)),0)</f>
        <v>32.9</v>
      </c>
      <c r="T2142" s="18" t="n">
        <f aca="false">$R2142*$S2142</f>
        <v>0</v>
      </c>
      <c r="U2142" s="18" t="n">
        <f aca="false">IFERROR(INDEX(SEMANAS!$I$6:$I$71,MATCH($B2142,SEMANAS!$B$6:$B$71,0)),0)</f>
        <v>39.97</v>
      </c>
      <c r="V2142" s="18" t="n">
        <f aca="false">IFERROR(INDEX(SEMANAS!$J$6:$J$71,MATCH($B2142,SEMANAS!$B$6:$B$71,0)),0)</f>
        <v>31.976</v>
      </c>
      <c r="W2142" s="18" t="n">
        <f aca="false">MAX(0,$T2142-$V2142)</f>
        <v>0</v>
      </c>
      <c r="X2142" s="19" t="n">
        <f aca="false">IFERROR(INDEX(CADASTRO_PIVOS!$K$6:$K$41,MATCH($E2142,CADASTRO_PIVOS!$B$6:$B$41,0)),EFICIENCIA_PADRAO)</f>
        <v>0.85</v>
      </c>
      <c r="Y2142" s="18" t="n">
        <f aca="false">IF($X2142&lt;=0,0,$W2142/$X2142)</f>
        <v>0</v>
      </c>
      <c r="Z2142" s="16" t="n">
        <f aca="false">$Y2142*$H2142*MM_PARA_M3_HA</f>
        <v>0</v>
      </c>
      <c r="AA2142" s="18" t="n">
        <f aca="false">IFERROR(INDEX(CADASTRO_PIVOS!$I$6:$I$41,MATCH($E2142,CADASTRO_PIVOS!$B$6:$B$41,0)),0)</f>
        <v>526.666666666667</v>
      </c>
      <c r="AB2142" s="18" t="n">
        <f aca="false">IF($Z2142&lt;=0,0,$Z2142/$AA2142)</f>
        <v>0</v>
      </c>
      <c r="AC2142" s="16" t="n">
        <f aca="false">IFERROR(INDEX(SEMANAS!$K$6:$K$71,MATCH($B2142,SEMANAS!$B$6:$B$71,0)),0)</f>
        <v>147</v>
      </c>
      <c r="AD2142" s="19" t="n">
        <f aca="false">IF($AC2142&lt;=0,0,$AB2142/$AC2142)</f>
        <v>0</v>
      </c>
      <c r="AE2142" s="8" t="str">
        <f aca="false">IF($K2142="SEM CULTURA","SEM CULTURA",IF($AA2142&lt;=0,"DADO PENDENTE",IF($AD2142&gt;LIMITE_CRITICO,"INVIAVEL",IF($AD2142&gt;LIMITE_ATENCAO,"CRITICO",IF($AD2142&gt;LIMITE_CONFORTAVEL,"ATENCAO","OK")))))</f>
        <v>SEM CULTURA</v>
      </c>
      <c r="AF2142" s="8" t="str">
        <f aca="false">$B2142&amp;"|"&amp;TEXT($AD2142,"0.000000")</f>
        <v>25|0.000000</v>
      </c>
      <c r="AG2142" s="18" t="n">
        <f aca="false">IF($K2142="SEM CULTURA",0,$T2142*$H2142)</f>
        <v>0</v>
      </c>
      <c r="AH2142" s="18" t="n">
        <f aca="false">IF($K2142="SEM CULTURA",0,$V2142*$H2142)</f>
        <v>0</v>
      </c>
      <c r="AI2142" s="18" t="n">
        <f aca="false">IF($K2142="SEM CULTURA",0,$W2142*$H2142)</f>
        <v>0</v>
      </c>
      <c r="AJ2142" s="18" t="n">
        <f aca="false">IF($K2142="SEM CULTURA",0,$S2142*$H2142)</f>
        <v>0</v>
      </c>
      <c r="AK2142" s="8" t="str">
        <f aca="false">$E2142&amp;"|"&amp;TEXT($AD2142,"0.000000")</f>
        <v>PV 134|0.000000</v>
      </c>
    </row>
    <row r="2143" customFormat="false" ht="15" hidden="false" customHeight="false" outlineLevel="0" collapsed="false">
      <c r="B2143" s="16" t="n">
        <v>26</v>
      </c>
      <c r="C2143" s="17" t="n">
        <f aca="false">DATA_INICIO_SAFRA+($B2143-1)*DIAS_POR_SEMANA</f>
        <v>46440</v>
      </c>
      <c r="D2143" s="17" t="n">
        <f aca="false">$C2143+DIAS_POR_SEMANA-1</f>
        <v>46446</v>
      </c>
      <c r="E2143" s="15" t="s">
        <v>291</v>
      </c>
      <c r="F2143" s="8" t="str">
        <f aca="false">IFERROR(INDEX(CADASTRO_PIVOS!$C$6:$C$41,MATCH($E2143,CADASTRO_PIVOS!$B$6:$B$41,0)),"?")</f>
        <v>RM08</v>
      </c>
      <c r="G2143" s="8" t="str">
        <f aca="false">IFERROR(INDEX(CADASTRO_PIVOS!$D$6:$D$41,MATCH($E2143,CADASTRO_PIVOS!$B$6:$B$41,0)),"?")</f>
        <v>TR08</v>
      </c>
      <c r="H2143" s="20" t="n">
        <f aca="false">IFERROR(INDEX(CADASTRO_PIVOS!$E$6:$E$41,MATCH($E2143,CADASTRO_PIVOS!$B$6:$B$41,0)),0)</f>
        <v>79</v>
      </c>
      <c r="I2143" s="16" t="n">
        <f aca="false">IFERROR(SUMIFS(ROTACAO_RDM!$B$6:$B$71,ROTACAO_RDM!$D$6:$D$71,$E2143,ROTACAO_RDM!$I$6:$I$71,"&lt;="&amp;$C2143+INT(DIAS_POR_SEMANA/2),ROTACAO_RDM!$J$6:$J$71,"&gt;="&amp;$C2143+INT(DIAS_POR_SEMANA/2)),0)</f>
        <v>0</v>
      </c>
      <c r="J2143" s="16" t="n">
        <f aca="false">IFERROR(MATCH($I2143,ROTACAO_RDM!$B$6:$B$71,0),0)</f>
        <v>0</v>
      </c>
      <c r="K2143" s="8" t="str">
        <f aca="false">IF($J2143=0,"SEM CULTURA",INDEX(ROTACAO_RDM!$F$6:$F$71,$J2143))</f>
        <v>SEM CULTURA</v>
      </c>
      <c r="L2143" s="8" t="str">
        <f aca="false">IF($J2143=0,"",INDEX(ROTACAO_RDM!$G$6:$G$71,$J2143))</f>
        <v/>
      </c>
      <c r="M2143" s="17" t="str">
        <f aca="false">IF($J2143=0,"",INDEX(ROTACAO_RDM!$I$6:$I$71,$J2143))</f>
        <v/>
      </c>
      <c r="N2143" s="16" t="n">
        <f aca="false">IF($J2143=0,0,MAX(0,$C2143+INT(DIAS_POR_SEMANA/2)-INDEX(ROTACAO_RDM!$I$6:$I$71,$J2143)))</f>
        <v>0</v>
      </c>
      <c r="O2143" s="19" t="n">
        <f aca="false">IF($J2143=0,0,MIN(1,$N2143/MAX(1,INDEX(ROTACAO_RDM!$K$6:$K$71,$J2143))))</f>
        <v>0</v>
      </c>
      <c r="P2143" s="16" t="n">
        <f aca="false">IF($J2143=0,0,IFERROR(MATCH(INDEX(ROTACAO_RDM!$N$6:$N$71,$J2143),PARAMETROS_CULTURAS!$B$6:$B$28,0),0))</f>
        <v>0</v>
      </c>
      <c r="Q2143" s="8" t="str">
        <f aca="false">IF($P2143=0,"-",IF($O2143&lt;=INDEX(PARAMETROS_CULTURAS!$F$6:$F$28,$P2143),"INICIAL",IF($O2143&lt;=INDEX(PARAMETROS_CULTURAS!$F$6:$F$28,$P2143)+INDEX(PARAMETROS_CULTURAS!$G$6:$G$28,$P2143),"DESENVOLVIMENTO",IF($O2143&lt;=INDEX(PARAMETROS_CULTURAS!$F$6:$F$28,$P2143)+INDEX(PARAMETROS_CULTURAS!$G$6:$G$28,$P2143)+INDEX(PARAMETROS_CULTURAS!$H$6:$H$28,$P2143),"MEDIA","FINAL"))))</f>
        <v>-</v>
      </c>
      <c r="R2143" s="24" t="n">
        <f aca="false">IF($P2143=0,0,IF($O2143&lt;=INDEX(PARAMETROS_CULTURAS!$F$6:$F$28,$P2143),INDEX(PARAMETROS_CULTURAS!$K$6:$K$28,$P2143),IF($O2143&lt;=INDEX(PARAMETROS_CULTURAS!$F$6:$F$28,$P2143)+INDEX(PARAMETROS_CULTURAS!$G$6:$G$28,$P2143),INDEX(PARAMETROS_CULTURAS!$K$6:$K$28,$P2143)+(INDEX(PARAMETROS_CULTURAS!$L$6:$L$28,$P2143)-INDEX(PARAMETROS_CULTURAS!$K$6:$K$28,$P2143))*($O2143-INDEX(PARAMETROS_CULTURAS!$F$6:$F$28,$P2143))/MAX(INDEX(PARAMETROS_CULTURAS!$G$6:$G$28,$P2143),0.0001),IF($O2143&lt;=INDEX(PARAMETROS_CULTURAS!$F$6:$F$28,$P2143)+INDEX(PARAMETROS_CULTURAS!$G$6:$G$28,$P2143)+INDEX(PARAMETROS_CULTURAS!$H$6:$H$28,$P2143),INDEX(PARAMETROS_CULTURAS!$L$6:$L$28,$P2143),INDEX(PARAMETROS_CULTURAS!$L$6:$L$28,$P2143)+(INDEX(PARAMETROS_CULTURAS!$M$6:$M$28,$P2143)-INDEX(PARAMETROS_CULTURAS!$L$6:$L$28,$P2143))*($O2143-INDEX(PARAMETROS_CULTURAS!$F$6:$F$28,$P2143)-INDEX(PARAMETROS_CULTURAS!$G$6:$G$28,$P2143)-INDEX(PARAMETROS_CULTURAS!$H$6:$H$28,$P2143))/MAX(INDEX(PARAMETROS_CULTURAS!$I$6:$I$28,$P2143),0.0001)))))</f>
        <v>0</v>
      </c>
      <c r="S2143" s="18" t="n">
        <f aca="false">IFERROR(INDEX(SEMANAS!$H$6:$H$71,MATCH($B2143,SEMANAS!$B$6:$B$71,0)),0)</f>
        <v>32.9</v>
      </c>
      <c r="T2143" s="18" t="n">
        <f aca="false">$R2143*$S2143</f>
        <v>0</v>
      </c>
      <c r="U2143" s="18" t="n">
        <f aca="false">IFERROR(INDEX(SEMANAS!$I$6:$I$71,MATCH($B2143,SEMANAS!$B$6:$B$71,0)),0)</f>
        <v>39.97</v>
      </c>
      <c r="V2143" s="18" t="n">
        <f aca="false">IFERROR(INDEX(SEMANAS!$J$6:$J$71,MATCH($B2143,SEMANAS!$B$6:$B$71,0)),0)</f>
        <v>31.976</v>
      </c>
      <c r="W2143" s="18" t="n">
        <f aca="false">MAX(0,$T2143-$V2143)</f>
        <v>0</v>
      </c>
      <c r="X2143" s="19" t="n">
        <f aca="false">IFERROR(INDEX(CADASTRO_PIVOS!$K$6:$K$41,MATCH($E2143,CADASTRO_PIVOS!$B$6:$B$41,0)),EFICIENCIA_PADRAO)</f>
        <v>0.85</v>
      </c>
      <c r="Y2143" s="18" t="n">
        <f aca="false">IF($X2143&lt;=0,0,$W2143/$X2143)</f>
        <v>0</v>
      </c>
      <c r="Z2143" s="16" t="n">
        <f aca="false">$Y2143*$H2143*MM_PARA_M3_HA</f>
        <v>0</v>
      </c>
      <c r="AA2143" s="18" t="n">
        <f aca="false">IFERROR(INDEX(CADASTRO_PIVOS!$I$6:$I$41,MATCH($E2143,CADASTRO_PIVOS!$B$6:$B$41,0)),0)</f>
        <v>526.666666666667</v>
      </c>
      <c r="AB2143" s="18" t="n">
        <f aca="false">IF($Z2143&lt;=0,0,$Z2143/$AA2143)</f>
        <v>0</v>
      </c>
      <c r="AC2143" s="16" t="n">
        <f aca="false">IFERROR(INDEX(SEMANAS!$K$6:$K$71,MATCH($B2143,SEMANAS!$B$6:$B$71,0)),0)</f>
        <v>147</v>
      </c>
      <c r="AD2143" s="19" t="n">
        <f aca="false">IF($AC2143&lt;=0,0,$AB2143/$AC2143)</f>
        <v>0</v>
      </c>
      <c r="AE2143" s="8" t="str">
        <f aca="false">IF($K2143="SEM CULTURA","SEM CULTURA",IF($AA2143&lt;=0,"DADO PENDENTE",IF($AD2143&gt;LIMITE_CRITICO,"INVIAVEL",IF($AD2143&gt;LIMITE_ATENCAO,"CRITICO",IF($AD2143&gt;LIMITE_CONFORTAVEL,"ATENCAO","OK")))))</f>
        <v>SEM CULTURA</v>
      </c>
      <c r="AF2143" s="8" t="str">
        <f aca="false">$B2143&amp;"|"&amp;TEXT($AD2143,"0.000000")</f>
        <v>26|0.000000</v>
      </c>
      <c r="AG2143" s="18" t="n">
        <f aca="false">IF($K2143="SEM CULTURA",0,$T2143*$H2143)</f>
        <v>0</v>
      </c>
      <c r="AH2143" s="18" t="n">
        <f aca="false">IF($K2143="SEM CULTURA",0,$V2143*$H2143)</f>
        <v>0</v>
      </c>
      <c r="AI2143" s="18" t="n">
        <f aca="false">IF($K2143="SEM CULTURA",0,$W2143*$H2143)</f>
        <v>0</v>
      </c>
      <c r="AJ2143" s="18" t="n">
        <f aca="false">IF($K2143="SEM CULTURA",0,$S2143*$H2143)</f>
        <v>0</v>
      </c>
      <c r="AK2143" s="8" t="str">
        <f aca="false">$E2143&amp;"|"&amp;TEXT($AD2143,"0.000000")</f>
        <v>PV 134|0.000000</v>
      </c>
    </row>
    <row r="2144" customFormat="false" ht="15" hidden="false" customHeight="false" outlineLevel="0" collapsed="false">
      <c r="B2144" s="16" t="n">
        <v>27</v>
      </c>
      <c r="C2144" s="17" t="n">
        <f aca="false">DATA_INICIO_SAFRA+($B2144-1)*DIAS_POR_SEMANA</f>
        <v>46447</v>
      </c>
      <c r="D2144" s="17" t="n">
        <f aca="false">$C2144+DIAS_POR_SEMANA-1</f>
        <v>46453</v>
      </c>
      <c r="E2144" s="15" t="s">
        <v>291</v>
      </c>
      <c r="F2144" s="8" t="str">
        <f aca="false">IFERROR(INDEX(CADASTRO_PIVOS!$C$6:$C$41,MATCH($E2144,CADASTRO_PIVOS!$B$6:$B$41,0)),"?")</f>
        <v>RM08</v>
      </c>
      <c r="G2144" s="8" t="str">
        <f aca="false">IFERROR(INDEX(CADASTRO_PIVOS!$D$6:$D$41,MATCH($E2144,CADASTRO_PIVOS!$B$6:$B$41,0)),"?")</f>
        <v>TR08</v>
      </c>
      <c r="H2144" s="20" t="n">
        <f aca="false">IFERROR(INDEX(CADASTRO_PIVOS!$E$6:$E$41,MATCH($E2144,CADASTRO_PIVOS!$B$6:$B$41,0)),0)</f>
        <v>79</v>
      </c>
      <c r="I2144" s="16" t="n">
        <f aca="false">IFERROR(SUMIFS(ROTACAO_RDM!$B$6:$B$71,ROTACAO_RDM!$D$6:$D$71,$E2144,ROTACAO_RDM!$I$6:$I$71,"&lt;="&amp;$C2144+INT(DIAS_POR_SEMANA/2),ROTACAO_RDM!$J$6:$J$71,"&gt;="&amp;$C2144+INT(DIAS_POR_SEMANA/2)),0)</f>
        <v>0</v>
      </c>
      <c r="J2144" s="16" t="n">
        <f aca="false">IFERROR(MATCH($I2144,ROTACAO_RDM!$B$6:$B$71,0),0)</f>
        <v>0</v>
      </c>
      <c r="K2144" s="8" t="str">
        <f aca="false">IF($J2144=0,"SEM CULTURA",INDEX(ROTACAO_RDM!$F$6:$F$71,$J2144))</f>
        <v>SEM CULTURA</v>
      </c>
      <c r="L2144" s="8" t="str">
        <f aca="false">IF($J2144=0,"",INDEX(ROTACAO_RDM!$G$6:$G$71,$J2144))</f>
        <v/>
      </c>
      <c r="M2144" s="17" t="str">
        <f aca="false">IF($J2144=0,"",INDEX(ROTACAO_RDM!$I$6:$I$71,$J2144))</f>
        <v/>
      </c>
      <c r="N2144" s="16" t="n">
        <f aca="false">IF($J2144=0,0,MAX(0,$C2144+INT(DIAS_POR_SEMANA/2)-INDEX(ROTACAO_RDM!$I$6:$I$71,$J2144)))</f>
        <v>0</v>
      </c>
      <c r="O2144" s="19" t="n">
        <f aca="false">IF($J2144=0,0,MIN(1,$N2144/MAX(1,INDEX(ROTACAO_RDM!$K$6:$K$71,$J2144))))</f>
        <v>0</v>
      </c>
      <c r="P2144" s="16" t="n">
        <f aca="false">IF($J2144=0,0,IFERROR(MATCH(INDEX(ROTACAO_RDM!$N$6:$N$71,$J2144),PARAMETROS_CULTURAS!$B$6:$B$28,0),0))</f>
        <v>0</v>
      </c>
      <c r="Q2144" s="8" t="str">
        <f aca="false">IF($P2144=0,"-",IF($O2144&lt;=INDEX(PARAMETROS_CULTURAS!$F$6:$F$28,$P2144),"INICIAL",IF($O2144&lt;=INDEX(PARAMETROS_CULTURAS!$F$6:$F$28,$P2144)+INDEX(PARAMETROS_CULTURAS!$G$6:$G$28,$P2144),"DESENVOLVIMENTO",IF($O2144&lt;=INDEX(PARAMETROS_CULTURAS!$F$6:$F$28,$P2144)+INDEX(PARAMETROS_CULTURAS!$G$6:$G$28,$P2144)+INDEX(PARAMETROS_CULTURAS!$H$6:$H$28,$P2144),"MEDIA","FINAL"))))</f>
        <v>-</v>
      </c>
      <c r="R2144" s="24" t="n">
        <f aca="false">IF($P2144=0,0,IF($O2144&lt;=INDEX(PARAMETROS_CULTURAS!$F$6:$F$28,$P2144),INDEX(PARAMETROS_CULTURAS!$K$6:$K$28,$P2144),IF($O2144&lt;=INDEX(PARAMETROS_CULTURAS!$F$6:$F$28,$P2144)+INDEX(PARAMETROS_CULTURAS!$G$6:$G$28,$P2144),INDEX(PARAMETROS_CULTURAS!$K$6:$K$28,$P2144)+(INDEX(PARAMETROS_CULTURAS!$L$6:$L$28,$P2144)-INDEX(PARAMETROS_CULTURAS!$K$6:$K$28,$P2144))*($O2144-INDEX(PARAMETROS_CULTURAS!$F$6:$F$28,$P2144))/MAX(INDEX(PARAMETROS_CULTURAS!$G$6:$G$28,$P2144),0.0001),IF($O2144&lt;=INDEX(PARAMETROS_CULTURAS!$F$6:$F$28,$P2144)+INDEX(PARAMETROS_CULTURAS!$G$6:$G$28,$P2144)+INDEX(PARAMETROS_CULTURAS!$H$6:$H$28,$P2144),INDEX(PARAMETROS_CULTURAS!$L$6:$L$28,$P2144),INDEX(PARAMETROS_CULTURAS!$L$6:$L$28,$P2144)+(INDEX(PARAMETROS_CULTURAS!$M$6:$M$28,$P2144)-INDEX(PARAMETROS_CULTURAS!$L$6:$L$28,$P2144))*($O2144-INDEX(PARAMETROS_CULTURAS!$F$6:$F$28,$P2144)-INDEX(PARAMETROS_CULTURAS!$G$6:$G$28,$P2144)-INDEX(PARAMETROS_CULTURAS!$H$6:$H$28,$P2144))/MAX(INDEX(PARAMETROS_CULTURAS!$I$6:$I$28,$P2144),0.0001)))))</f>
        <v>0</v>
      </c>
      <c r="S2144" s="18" t="n">
        <f aca="false">IFERROR(INDEX(SEMANAS!$H$6:$H$71,MATCH($B2144,SEMANAS!$B$6:$B$71,0)),0)</f>
        <v>32.2</v>
      </c>
      <c r="T2144" s="18" t="n">
        <f aca="false">$R2144*$S2144</f>
        <v>0</v>
      </c>
      <c r="U2144" s="18" t="n">
        <f aca="false">IFERROR(INDEX(SEMANAS!$I$6:$I$71,MATCH($B2144,SEMANAS!$B$6:$B$71,0)),0)</f>
        <v>37.24</v>
      </c>
      <c r="V2144" s="18" t="n">
        <f aca="false">IFERROR(INDEX(SEMANAS!$J$6:$J$71,MATCH($B2144,SEMANAS!$B$6:$B$71,0)),0)</f>
        <v>29.792</v>
      </c>
      <c r="W2144" s="18" t="n">
        <f aca="false">MAX(0,$T2144-$V2144)</f>
        <v>0</v>
      </c>
      <c r="X2144" s="19" t="n">
        <f aca="false">IFERROR(INDEX(CADASTRO_PIVOS!$K$6:$K$41,MATCH($E2144,CADASTRO_PIVOS!$B$6:$B$41,0)),EFICIENCIA_PADRAO)</f>
        <v>0.85</v>
      </c>
      <c r="Y2144" s="18" t="n">
        <f aca="false">IF($X2144&lt;=0,0,$W2144/$X2144)</f>
        <v>0</v>
      </c>
      <c r="Z2144" s="16" t="n">
        <f aca="false">$Y2144*$H2144*MM_PARA_M3_HA</f>
        <v>0</v>
      </c>
      <c r="AA2144" s="18" t="n">
        <f aca="false">IFERROR(INDEX(CADASTRO_PIVOS!$I$6:$I$41,MATCH($E2144,CADASTRO_PIVOS!$B$6:$B$41,0)),0)</f>
        <v>526.666666666667</v>
      </c>
      <c r="AB2144" s="18" t="n">
        <f aca="false">IF($Z2144&lt;=0,0,$Z2144/$AA2144)</f>
        <v>0</v>
      </c>
      <c r="AC2144" s="16" t="n">
        <f aca="false">IFERROR(INDEX(SEMANAS!$K$6:$K$71,MATCH($B2144,SEMANAS!$B$6:$B$71,0)),0)</f>
        <v>147</v>
      </c>
      <c r="AD2144" s="19" t="n">
        <f aca="false">IF($AC2144&lt;=0,0,$AB2144/$AC2144)</f>
        <v>0</v>
      </c>
      <c r="AE2144" s="8" t="str">
        <f aca="false">IF($K2144="SEM CULTURA","SEM CULTURA",IF($AA2144&lt;=0,"DADO PENDENTE",IF($AD2144&gt;LIMITE_CRITICO,"INVIAVEL",IF($AD2144&gt;LIMITE_ATENCAO,"CRITICO",IF($AD2144&gt;LIMITE_CONFORTAVEL,"ATENCAO","OK")))))</f>
        <v>SEM CULTURA</v>
      </c>
      <c r="AF2144" s="8" t="str">
        <f aca="false">$B2144&amp;"|"&amp;TEXT($AD2144,"0.000000")</f>
        <v>27|0.000000</v>
      </c>
      <c r="AG2144" s="18" t="n">
        <f aca="false">IF($K2144="SEM CULTURA",0,$T2144*$H2144)</f>
        <v>0</v>
      </c>
      <c r="AH2144" s="18" t="n">
        <f aca="false">IF($K2144="SEM CULTURA",0,$V2144*$H2144)</f>
        <v>0</v>
      </c>
      <c r="AI2144" s="18" t="n">
        <f aca="false">IF($K2144="SEM CULTURA",0,$W2144*$H2144)</f>
        <v>0</v>
      </c>
      <c r="AJ2144" s="18" t="n">
        <f aca="false">IF($K2144="SEM CULTURA",0,$S2144*$H2144)</f>
        <v>0</v>
      </c>
      <c r="AK2144" s="8" t="str">
        <f aca="false">$E2144&amp;"|"&amp;TEXT($AD2144,"0.000000")</f>
        <v>PV 134|0.000000</v>
      </c>
    </row>
    <row r="2145" customFormat="false" ht="15" hidden="false" customHeight="false" outlineLevel="0" collapsed="false">
      <c r="B2145" s="16" t="n">
        <v>28</v>
      </c>
      <c r="C2145" s="17" t="n">
        <f aca="false">DATA_INICIO_SAFRA+($B2145-1)*DIAS_POR_SEMANA</f>
        <v>46454</v>
      </c>
      <c r="D2145" s="17" t="n">
        <f aca="false">$C2145+DIAS_POR_SEMANA-1</f>
        <v>46460</v>
      </c>
      <c r="E2145" s="15" t="s">
        <v>291</v>
      </c>
      <c r="F2145" s="8" t="str">
        <f aca="false">IFERROR(INDEX(CADASTRO_PIVOS!$C$6:$C$41,MATCH($E2145,CADASTRO_PIVOS!$B$6:$B$41,0)),"?")</f>
        <v>RM08</v>
      </c>
      <c r="G2145" s="8" t="str">
        <f aca="false">IFERROR(INDEX(CADASTRO_PIVOS!$D$6:$D$41,MATCH($E2145,CADASTRO_PIVOS!$B$6:$B$41,0)),"?")</f>
        <v>TR08</v>
      </c>
      <c r="H2145" s="20" t="n">
        <f aca="false">IFERROR(INDEX(CADASTRO_PIVOS!$E$6:$E$41,MATCH($E2145,CADASTRO_PIVOS!$B$6:$B$41,0)),0)</f>
        <v>79</v>
      </c>
      <c r="I2145" s="16" t="n">
        <f aca="false">IFERROR(SUMIFS(ROTACAO_RDM!$B$6:$B$71,ROTACAO_RDM!$D$6:$D$71,$E2145,ROTACAO_RDM!$I$6:$I$71,"&lt;="&amp;$C2145+INT(DIAS_POR_SEMANA/2),ROTACAO_RDM!$J$6:$J$71,"&gt;="&amp;$C2145+INT(DIAS_POR_SEMANA/2)),0)</f>
        <v>0</v>
      </c>
      <c r="J2145" s="16" t="n">
        <f aca="false">IFERROR(MATCH($I2145,ROTACAO_RDM!$B$6:$B$71,0),0)</f>
        <v>0</v>
      </c>
      <c r="K2145" s="8" t="str">
        <f aca="false">IF($J2145=0,"SEM CULTURA",INDEX(ROTACAO_RDM!$F$6:$F$71,$J2145))</f>
        <v>SEM CULTURA</v>
      </c>
      <c r="L2145" s="8" t="str">
        <f aca="false">IF($J2145=0,"",INDEX(ROTACAO_RDM!$G$6:$G$71,$J2145))</f>
        <v/>
      </c>
      <c r="M2145" s="17" t="str">
        <f aca="false">IF($J2145=0,"",INDEX(ROTACAO_RDM!$I$6:$I$71,$J2145))</f>
        <v/>
      </c>
      <c r="N2145" s="16" t="n">
        <f aca="false">IF($J2145=0,0,MAX(0,$C2145+INT(DIAS_POR_SEMANA/2)-INDEX(ROTACAO_RDM!$I$6:$I$71,$J2145)))</f>
        <v>0</v>
      </c>
      <c r="O2145" s="19" t="n">
        <f aca="false">IF($J2145=0,0,MIN(1,$N2145/MAX(1,INDEX(ROTACAO_RDM!$K$6:$K$71,$J2145))))</f>
        <v>0</v>
      </c>
      <c r="P2145" s="16" t="n">
        <f aca="false">IF($J2145=0,0,IFERROR(MATCH(INDEX(ROTACAO_RDM!$N$6:$N$71,$J2145),PARAMETROS_CULTURAS!$B$6:$B$28,0),0))</f>
        <v>0</v>
      </c>
      <c r="Q2145" s="8" t="str">
        <f aca="false">IF($P2145=0,"-",IF($O2145&lt;=INDEX(PARAMETROS_CULTURAS!$F$6:$F$28,$P2145),"INICIAL",IF($O2145&lt;=INDEX(PARAMETROS_CULTURAS!$F$6:$F$28,$P2145)+INDEX(PARAMETROS_CULTURAS!$G$6:$G$28,$P2145),"DESENVOLVIMENTO",IF($O2145&lt;=INDEX(PARAMETROS_CULTURAS!$F$6:$F$28,$P2145)+INDEX(PARAMETROS_CULTURAS!$G$6:$G$28,$P2145)+INDEX(PARAMETROS_CULTURAS!$H$6:$H$28,$P2145),"MEDIA","FINAL"))))</f>
        <v>-</v>
      </c>
      <c r="R2145" s="24" t="n">
        <f aca="false">IF($P2145=0,0,IF($O2145&lt;=INDEX(PARAMETROS_CULTURAS!$F$6:$F$28,$P2145),INDEX(PARAMETROS_CULTURAS!$K$6:$K$28,$P2145),IF($O2145&lt;=INDEX(PARAMETROS_CULTURAS!$F$6:$F$28,$P2145)+INDEX(PARAMETROS_CULTURAS!$G$6:$G$28,$P2145),INDEX(PARAMETROS_CULTURAS!$K$6:$K$28,$P2145)+(INDEX(PARAMETROS_CULTURAS!$L$6:$L$28,$P2145)-INDEX(PARAMETROS_CULTURAS!$K$6:$K$28,$P2145))*($O2145-INDEX(PARAMETROS_CULTURAS!$F$6:$F$28,$P2145))/MAX(INDEX(PARAMETROS_CULTURAS!$G$6:$G$28,$P2145),0.0001),IF($O2145&lt;=INDEX(PARAMETROS_CULTURAS!$F$6:$F$28,$P2145)+INDEX(PARAMETROS_CULTURAS!$G$6:$G$28,$P2145)+INDEX(PARAMETROS_CULTURAS!$H$6:$H$28,$P2145),INDEX(PARAMETROS_CULTURAS!$L$6:$L$28,$P2145),INDEX(PARAMETROS_CULTURAS!$L$6:$L$28,$P2145)+(INDEX(PARAMETROS_CULTURAS!$M$6:$M$28,$P2145)-INDEX(PARAMETROS_CULTURAS!$L$6:$L$28,$P2145))*($O2145-INDEX(PARAMETROS_CULTURAS!$F$6:$F$28,$P2145)-INDEX(PARAMETROS_CULTURAS!$G$6:$G$28,$P2145)-INDEX(PARAMETROS_CULTURAS!$H$6:$H$28,$P2145))/MAX(INDEX(PARAMETROS_CULTURAS!$I$6:$I$28,$P2145),0.0001)))))</f>
        <v>0</v>
      </c>
      <c r="S2145" s="18" t="n">
        <f aca="false">IFERROR(INDEX(SEMANAS!$H$6:$H$71,MATCH($B2145,SEMANAS!$B$6:$B$71,0)),0)</f>
        <v>32.2</v>
      </c>
      <c r="T2145" s="18" t="n">
        <f aca="false">$R2145*$S2145</f>
        <v>0</v>
      </c>
      <c r="U2145" s="18" t="n">
        <f aca="false">IFERROR(INDEX(SEMANAS!$I$6:$I$71,MATCH($B2145,SEMANAS!$B$6:$B$71,0)),0)</f>
        <v>37.24</v>
      </c>
      <c r="V2145" s="18" t="n">
        <f aca="false">IFERROR(INDEX(SEMANAS!$J$6:$J$71,MATCH($B2145,SEMANAS!$B$6:$B$71,0)),0)</f>
        <v>29.792</v>
      </c>
      <c r="W2145" s="18" t="n">
        <f aca="false">MAX(0,$T2145-$V2145)</f>
        <v>0</v>
      </c>
      <c r="X2145" s="19" t="n">
        <f aca="false">IFERROR(INDEX(CADASTRO_PIVOS!$K$6:$K$41,MATCH($E2145,CADASTRO_PIVOS!$B$6:$B$41,0)),EFICIENCIA_PADRAO)</f>
        <v>0.85</v>
      </c>
      <c r="Y2145" s="18" t="n">
        <f aca="false">IF($X2145&lt;=0,0,$W2145/$X2145)</f>
        <v>0</v>
      </c>
      <c r="Z2145" s="16" t="n">
        <f aca="false">$Y2145*$H2145*MM_PARA_M3_HA</f>
        <v>0</v>
      </c>
      <c r="AA2145" s="18" t="n">
        <f aca="false">IFERROR(INDEX(CADASTRO_PIVOS!$I$6:$I$41,MATCH($E2145,CADASTRO_PIVOS!$B$6:$B$41,0)),0)</f>
        <v>526.666666666667</v>
      </c>
      <c r="AB2145" s="18" t="n">
        <f aca="false">IF($Z2145&lt;=0,0,$Z2145/$AA2145)</f>
        <v>0</v>
      </c>
      <c r="AC2145" s="16" t="n">
        <f aca="false">IFERROR(INDEX(SEMANAS!$K$6:$K$71,MATCH($B2145,SEMANAS!$B$6:$B$71,0)),0)</f>
        <v>147</v>
      </c>
      <c r="AD2145" s="19" t="n">
        <f aca="false">IF($AC2145&lt;=0,0,$AB2145/$AC2145)</f>
        <v>0</v>
      </c>
      <c r="AE2145" s="8" t="str">
        <f aca="false">IF($K2145="SEM CULTURA","SEM CULTURA",IF($AA2145&lt;=0,"DADO PENDENTE",IF($AD2145&gt;LIMITE_CRITICO,"INVIAVEL",IF($AD2145&gt;LIMITE_ATENCAO,"CRITICO",IF($AD2145&gt;LIMITE_CONFORTAVEL,"ATENCAO","OK")))))</f>
        <v>SEM CULTURA</v>
      </c>
      <c r="AF2145" s="8" t="str">
        <f aca="false">$B2145&amp;"|"&amp;TEXT($AD2145,"0.000000")</f>
        <v>28|0.000000</v>
      </c>
      <c r="AG2145" s="18" t="n">
        <f aca="false">IF($K2145="SEM CULTURA",0,$T2145*$H2145)</f>
        <v>0</v>
      </c>
      <c r="AH2145" s="18" t="n">
        <f aca="false">IF($K2145="SEM CULTURA",0,$V2145*$H2145)</f>
        <v>0</v>
      </c>
      <c r="AI2145" s="18" t="n">
        <f aca="false">IF($K2145="SEM CULTURA",0,$W2145*$H2145)</f>
        <v>0</v>
      </c>
      <c r="AJ2145" s="18" t="n">
        <f aca="false">IF($K2145="SEM CULTURA",0,$S2145*$H2145)</f>
        <v>0</v>
      </c>
      <c r="AK2145" s="8" t="str">
        <f aca="false">$E2145&amp;"|"&amp;TEXT($AD2145,"0.000000")</f>
        <v>PV 134|0.000000</v>
      </c>
    </row>
    <row r="2146" customFormat="false" ht="15" hidden="false" customHeight="false" outlineLevel="0" collapsed="false">
      <c r="B2146" s="16" t="n">
        <v>29</v>
      </c>
      <c r="C2146" s="17" t="n">
        <f aca="false">DATA_INICIO_SAFRA+($B2146-1)*DIAS_POR_SEMANA</f>
        <v>46461</v>
      </c>
      <c r="D2146" s="17" t="n">
        <f aca="false">$C2146+DIAS_POR_SEMANA-1</f>
        <v>46467</v>
      </c>
      <c r="E2146" s="15" t="s">
        <v>291</v>
      </c>
      <c r="F2146" s="8" t="str">
        <f aca="false">IFERROR(INDEX(CADASTRO_PIVOS!$C$6:$C$41,MATCH($E2146,CADASTRO_PIVOS!$B$6:$B$41,0)),"?")</f>
        <v>RM08</v>
      </c>
      <c r="G2146" s="8" t="str">
        <f aca="false">IFERROR(INDEX(CADASTRO_PIVOS!$D$6:$D$41,MATCH($E2146,CADASTRO_PIVOS!$B$6:$B$41,0)),"?")</f>
        <v>TR08</v>
      </c>
      <c r="H2146" s="20" t="n">
        <f aca="false">IFERROR(INDEX(CADASTRO_PIVOS!$E$6:$E$41,MATCH($E2146,CADASTRO_PIVOS!$B$6:$B$41,0)),0)</f>
        <v>79</v>
      </c>
      <c r="I2146" s="16" t="n">
        <f aca="false">IFERROR(SUMIFS(ROTACAO_RDM!$B$6:$B$71,ROTACAO_RDM!$D$6:$D$71,$E2146,ROTACAO_RDM!$I$6:$I$71,"&lt;="&amp;$C2146+INT(DIAS_POR_SEMANA/2),ROTACAO_RDM!$J$6:$J$71,"&gt;="&amp;$C2146+INT(DIAS_POR_SEMANA/2)),0)</f>
        <v>0</v>
      </c>
      <c r="J2146" s="16" t="n">
        <f aca="false">IFERROR(MATCH($I2146,ROTACAO_RDM!$B$6:$B$71,0),0)</f>
        <v>0</v>
      </c>
      <c r="K2146" s="8" t="str">
        <f aca="false">IF($J2146=0,"SEM CULTURA",INDEX(ROTACAO_RDM!$F$6:$F$71,$J2146))</f>
        <v>SEM CULTURA</v>
      </c>
      <c r="L2146" s="8" t="str">
        <f aca="false">IF($J2146=0,"",INDEX(ROTACAO_RDM!$G$6:$G$71,$J2146))</f>
        <v/>
      </c>
      <c r="M2146" s="17" t="str">
        <f aca="false">IF($J2146=0,"",INDEX(ROTACAO_RDM!$I$6:$I$71,$J2146))</f>
        <v/>
      </c>
      <c r="N2146" s="16" t="n">
        <f aca="false">IF($J2146=0,0,MAX(0,$C2146+INT(DIAS_POR_SEMANA/2)-INDEX(ROTACAO_RDM!$I$6:$I$71,$J2146)))</f>
        <v>0</v>
      </c>
      <c r="O2146" s="19" t="n">
        <f aca="false">IF($J2146=0,0,MIN(1,$N2146/MAX(1,INDEX(ROTACAO_RDM!$K$6:$K$71,$J2146))))</f>
        <v>0</v>
      </c>
      <c r="P2146" s="16" t="n">
        <f aca="false">IF($J2146=0,0,IFERROR(MATCH(INDEX(ROTACAO_RDM!$N$6:$N$71,$J2146),PARAMETROS_CULTURAS!$B$6:$B$28,0),0))</f>
        <v>0</v>
      </c>
      <c r="Q2146" s="8" t="str">
        <f aca="false">IF($P2146=0,"-",IF($O2146&lt;=INDEX(PARAMETROS_CULTURAS!$F$6:$F$28,$P2146),"INICIAL",IF($O2146&lt;=INDEX(PARAMETROS_CULTURAS!$F$6:$F$28,$P2146)+INDEX(PARAMETROS_CULTURAS!$G$6:$G$28,$P2146),"DESENVOLVIMENTO",IF($O2146&lt;=INDEX(PARAMETROS_CULTURAS!$F$6:$F$28,$P2146)+INDEX(PARAMETROS_CULTURAS!$G$6:$G$28,$P2146)+INDEX(PARAMETROS_CULTURAS!$H$6:$H$28,$P2146),"MEDIA","FINAL"))))</f>
        <v>-</v>
      </c>
      <c r="R2146" s="24" t="n">
        <f aca="false">IF($P2146=0,0,IF($O2146&lt;=INDEX(PARAMETROS_CULTURAS!$F$6:$F$28,$P2146),INDEX(PARAMETROS_CULTURAS!$K$6:$K$28,$P2146),IF($O2146&lt;=INDEX(PARAMETROS_CULTURAS!$F$6:$F$28,$P2146)+INDEX(PARAMETROS_CULTURAS!$G$6:$G$28,$P2146),INDEX(PARAMETROS_CULTURAS!$K$6:$K$28,$P2146)+(INDEX(PARAMETROS_CULTURAS!$L$6:$L$28,$P2146)-INDEX(PARAMETROS_CULTURAS!$K$6:$K$28,$P2146))*($O2146-INDEX(PARAMETROS_CULTURAS!$F$6:$F$28,$P2146))/MAX(INDEX(PARAMETROS_CULTURAS!$G$6:$G$28,$P2146),0.0001),IF($O2146&lt;=INDEX(PARAMETROS_CULTURAS!$F$6:$F$28,$P2146)+INDEX(PARAMETROS_CULTURAS!$G$6:$G$28,$P2146)+INDEX(PARAMETROS_CULTURAS!$H$6:$H$28,$P2146),INDEX(PARAMETROS_CULTURAS!$L$6:$L$28,$P2146),INDEX(PARAMETROS_CULTURAS!$L$6:$L$28,$P2146)+(INDEX(PARAMETROS_CULTURAS!$M$6:$M$28,$P2146)-INDEX(PARAMETROS_CULTURAS!$L$6:$L$28,$P2146))*($O2146-INDEX(PARAMETROS_CULTURAS!$F$6:$F$28,$P2146)-INDEX(PARAMETROS_CULTURAS!$G$6:$G$28,$P2146)-INDEX(PARAMETROS_CULTURAS!$H$6:$H$28,$P2146))/MAX(INDEX(PARAMETROS_CULTURAS!$I$6:$I$28,$P2146),0.0001)))))</f>
        <v>0</v>
      </c>
      <c r="S2146" s="18" t="n">
        <f aca="false">IFERROR(INDEX(SEMANAS!$H$6:$H$71,MATCH($B2146,SEMANAS!$B$6:$B$71,0)),0)</f>
        <v>32.2</v>
      </c>
      <c r="T2146" s="18" t="n">
        <f aca="false">$R2146*$S2146</f>
        <v>0</v>
      </c>
      <c r="U2146" s="18" t="n">
        <f aca="false">IFERROR(INDEX(SEMANAS!$I$6:$I$71,MATCH($B2146,SEMANAS!$B$6:$B$71,0)),0)</f>
        <v>37.24</v>
      </c>
      <c r="V2146" s="18" t="n">
        <f aca="false">IFERROR(INDEX(SEMANAS!$J$6:$J$71,MATCH($B2146,SEMANAS!$B$6:$B$71,0)),0)</f>
        <v>29.792</v>
      </c>
      <c r="W2146" s="18" t="n">
        <f aca="false">MAX(0,$T2146-$V2146)</f>
        <v>0</v>
      </c>
      <c r="X2146" s="19" t="n">
        <f aca="false">IFERROR(INDEX(CADASTRO_PIVOS!$K$6:$K$41,MATCH($E2146,CADASTRO_PIVOS!$B$6:$B$41,0)),EFICIENCIA_PADRAO)</f>
        <v>0.85</v>
      </c>
      <c r="Y2146" s="18" t="n">
        <f aca="false">IF($X2146&lt;=0,0,$W2146/$X2146)</f>
        <v>0</v>
      </c>
      <c r="Z2146" s="16" t="n">
        <f aca="false">$Y2146*$H2146*MM_PARA_M3_HA</f>
        <v>0</v>
      </c>
      <c r="AA2146" s="18" t="n">
        <f aca="false">IFERROR(INDEX(CADASTRO_PIVOS!$I$6:$I$41,MATCH($E2146,CADASTRO_PIVOS!$B$6:$B$41,0)),0)</f>
        <v>526.666666666667</v>
      </c>
      <c r="AB2146" s="18" t="n">
        <f aca="false">IF($Z2146&lt;=0,0,$Z2146/$AA2146)</f>
        <v>0</v>
      </c>
      <c r="AC2146" s="16" t="n">
        <f aca="false">IFERROR(INDEX(SEMANAS!$K$6:$K$71,MATCH($B2146,SEMANAS!$B$6:$B$71,0)),0)</f>
        <v>147</v>
      </c>
      <c r="AD2146" s="19" t="n">
        <f aca="false">IF($AC2146&lt;=0,0,$AB2146/$AC2146)</f>
        <v>0</v>
      </c>
      <c r="AE2146" s="8" t="str">
        <f aca="false">IF($K2146="SEM CULTURA","SEM CULTURA",IF($AA2146&lt;=0,"DADO PENDENTE",IF($AD2146&gt;LIMITE_CRITICO,"INVIAVEL",IF($AD2146&gt;LIMITE_ATENCAO,"CRITICO",IF($AD2146&gt;LIMITE_CONFORTAVEL,"ATENCAO","OK")))))</f>
        <v>SEM CULTURA</v>
      </c>
      <c r="AF2146" s="8" t="str">
        <f aca="false">$B2146&amp;"|"&amp;TEXT($AD2146,"0.000000")</f>
        <v>29|0.000000</v>
      </c>
      <c r="AG2146" s="18" t="n">
        <f aca="false">IF($K2146="SEM CULTURA",0,$T2146*$H2146)</f>
        <v>0</v>
      </c>
      <c r="AH2146" s="18" t="n">
        <f aca="false">IF($K2146="SEM CULTURA",0,$V2146*$H2146)</f>
        <v>0</v>
      </c>
      <c r="AI2146" s="18" t="n">
        <f aca="false">IF($K2146="SEM CULTURA",0,$W2146*$H2146)</f>
        <v>0</v>
      </c>
      <c r="AJ2146" s="18" t="n">
        <f aca="false">IF($K2146="SEM CULTURA",0,$S2146*$H2146)</f>
        <v>0</v>
      </c>
      <c r="AK2146" s="8" t="str">
        <f aca="false">$E2146&amp;"|"&amp;TEXT($AD2146,"0.000000")</f>
        <v>PV 134|0.000000</v>
      </c>
    </row>
    <row r="2147" customFormat="false" ht="15" hidden="false" customHeight="false" outlineLevel="0" collapsed="false">
      <c r="B2147" s="16" t="n">
        <v>30</v>
      </c>
      <c r="C2147" s="17" t="n">
        <f aca="false">DATA_INICIO_SAFRA+($B2147-1)*DIAS_POR_SEMANA</f>
        <v>46468</v>
      </c>
      <c r="D2147" s="17" t="n">
        <f aca="false">$C2147+DIAS_POR_SEMANA-1</f>
        <v>46474</v>
      </c>
      <c r="E2147" s="15" t="s">
        <v>291</v>
      </c>
      <c r="F2147" s="8" t="str">
        <f aca="false">IFERROR(INDEX(CADASTRO_PIVOS!$C$6:$C$41,MATCH($E2147,CADASTRO_PIVOS!$B$6:$B$41,0)),"?")</f>
        <v>RM08</v>
      </c>
      <c r="G2147" s="8" t="str">
        <f aca="false">IFERROR(INDEX(CADASTRO_PIVOS!$D$6:$D$41,MATCH($E2147,CADASTRO_PIVOS!$B$6:$B$41,0)),"?")</f>
        <v>TR08</v>
      </c>
      <c r="H2147" s="20" t="n">
        <f aca="false">IFERROR(INDEX(CADASTRO_PIVOS!$E$6:$E$41,MATCH($E2147,CADASTRO_PIVOS!$B$6:$B$41,0)),0)</f>
        <v>79</v>
      </c>
      <c r="I2147" s="16" t="n">
        <f aca="false">IFERROR(SUMIFS(ROTACAO_RDM!$B$6:$B$71,ROTACAO_RDM!$D$6:$D$71,$E2147,ROTACAO_RDM!$I$6:$I$71,"&lt;="&amp;$C2147+INT(DIAS_POR_SEMANA/2),ROTACAO_RDM!$J$6:$J$71,"&gt;="&amp;$C2147+INT(DIAS_POR_SEMANA/2)),0)</f>
        <v>0</v>
      </c>
      <c r="J2147" s="16" t="n">
        <f aca="false">IFERROR(MATCH($I2147,ROTACAO_RDM!$B$6:$B$71,0),0)</f>
        <v>0</v>
      </c>
      <c r="K2147" s="8" t="str">
        <f aca="false">IF($J2147=0,"SEM CULTURA",INDEX(ROTACAO_RDM!$F$6:$F$71,$J2147))</f>
        <v>SEM CULTURA</v>
      </c>
      <c r="L2147" s="8" t="str">
        <f aca="false">IF($J2147=0,"",INDEX(ROTACAO_RDM!$G$6:$G$71,$J2147))</f>
        <v/>
      </c>
      <c r="M2147" s="17" t="str">
        <f aca="false">IF($J2147=0,"",INDEX(ROTACAO_RDM!$I$6:$I$71,$J2147))</f>
        <v/>
      </c>
      <c r="N2147" s="16" t="n">
        <f aca="false">IF($J2147=0,0,MAX(0,$C2147+INT(DIAS_POR_SEMANA/2)-INDEX(ROTACAO_RDM!$I$6:$I$71,$J2147)))</f>
        <v>0</v>
      </c>
      <c r="O2147" s="19" t="n">
        <f aca="false">IF($J2147=0,0,MIN(1,$N2147/MAX(1,INDEX(ROTACAO_RDM!$K$6:$K$71,$J2147))))</f>
        <v>0</v>
      </c>
      <c r="P2147" s="16" t="n">
        <f aca="false">IF($J2147=0,0,IFERROR(MATCH(INDEX(ROTACAO_RDM!$N$6:$N$71,$J2147),PARAMETROS_CULTURAS!$B$6:$B$28,0),0))</f>
        <v>0</v>
      </c>
      <c r="Q2147" s="8" t="str">
        <f aca="false">IF($P2147=0,"-",IF($O2147&lt;=INDEX(PARAMETROS_CULTURAS!$F$6:$F$28,$P2147),"INICIAL",IF($O2147&lt;=INDEX(PARAMETROS_CULTURAS!$F$6:$F$28,$P2147)+INDEX(PARAMETROS_CULTURAS!$G$6:$G$28,$P2147),"DESENVOLVIMENTO",IF($O2147&lt;=INDEX(PARAMETROS_CULTURAS!$F$6:$F$28,$P2147)+INDEX(PARAMETROS_CULTURAS!$G$6:$G$28,$P2147)+INDEX(PARAMETROS_CULTURAS!$H$6:$H$28,$P2147),"MEDIA","FINAL"))))</f>
        <v>-</v>
      </c>
      <c r="R2147" s="24" t="n">
        <f aca="false">IF($P2147=0,0,IF($O2147&lt;=INDEX(PARAMETROS_CULTURAS!$F$6:$F$28,$P2147),INDEX(PARAMETROS_CULTURAS!$K$6:$K$28,$P2147),IF($O2147&lt;=INDEX(PARAMETROS_CULTURAS!$F$6:$F$28,$P2147)+INDEX(PARAMETROS_CULTURAS!$G$6:$G$28,$P2147),INDEX(PARAMETROS_CULTURAS!$K$6:$K$28,$P2147)+(INDEX(PARAMETROS_CULTURAS!$L$6:$L$28,$P2147)-INDEX(PARAMETROS_CULTURAS!$K$6:$K$28,$P2147))*($O2147-INDEX(PARAMETROS_CULTURAS!$F$6:$F$28,$P2147))/MAX(INDEX(PARAMETROS_CULTURAS!$G$6:$G$28,$P2147),0.0001),IF($O2147&lt;=INDEX(PARAMETROS_CULTURAS!$F$6:$F$28,$P2147)+INDEX(PARAMETROS_CULTURAS!$G$6:$G$28,$P2147)+INDEX(PARAMETROS_CULTURAS!$H$6:$H$28,$P2147),INDEX(PARAMETROS_CULTURAS!$L$6:$L$28,$P2147),INDEX(PARAMETROS_CULTURAS!$L$6:$L$28,$P2147)+(INDEX(PARAMETROS_CULTURAS!$M$6:$M$28,$P2147)-INDEX(PARAMETROS_CULTURAS!$L$6:$L$28,$P2147))*($O2147-INDEX(PARAMETROS_CULTURAS!$F$6:$F$28,$P2147)-INDEX(PARAMETROS_CULTURAS!$G$6:$G$28,$P2147)-INDEX(PARAMETROS_CULTURAS!$H$6:$H$28,$P2147))/MAX(INDEX(PARAMETROS_CULTURAS!$I$6:$I$28,$P2147),0.0001)))))</f>
        <v>0</v>
      </c>
      <c r="S2147" s="18" t="n">
        <f aca="false">IFERROR(INDEX(SEMANAS!$H$6:$H$71,MATCH($B2147,SEMANAS!$B$6:$B$71,0)),0)</f>
        <v>32.2</v>
      </c>
      <c r="T2147" s="18" t="n">
        <f aca="false">$R2147*$S2147</f>
        <v>0</v>
      </c>
      <c r="U2147" s="18" t="n">
        <f aca="false">IFERROR(INDEX(SEMANAS!$I$6:$I$71,MATCH($B2147,SEMANAS!$B$6:$B$71,0)),0)</f>
        <v>37.24</v>
      </c>
      <c r="V2147" s="18" t="n">
        <f aca="false">IFERROR(INDEX(SEMANAS!$J$6:$J$71,MATCH($B2147,SEMANAS!$B$6:$B$71,0)),0)</f>
        <v>29.792</v>
      </c>
      <c r="W2147" s="18" t="n">
        <f aca="false">MAX(0,$T2147-$V2147)</f>
        <v>0</v>
      </c>
      <c r="X2147" s="19" t="n">
        <f aca="false">IFERROR(INDEX(CADASTRO_PIVOS!$K$6:$K$41,MATCH($E2147,CADASTRO_PIVOS!$B$6:$B$41,0)),EFICIENCIA_PADRAO)</f>
        <v>0.85</v>
      </c>
      <c r="Y2147" s="18" t="n">
        <f aca="false">IF($X2147&lt;=0,0,$W2147/$X2147)</f>
        <v>0</v>
      </c>
      <c r="Z2147" s="16" t="n">
        <f aca="false">$Y2147*$H2147*MM_PARA_M3_HA</f>
        <v>0</v>
      </c>
      <c r="AA2147" s="18" t="n">
        <f aca="false">IFERROR(INDEX(CADASTRO_PIVOS!$I$6:$I$41,MATCH($E2147,CADASTRO_PIVOS!$B$6:$B$41,0)),0)</f>
        <v>526.666666666667</v>
      </c>
      <c r="AB2147" s="18" t="n">
        <f aca="false">IF($Z2147&lt;=0,0,$Z2147/$AA2147)</f>
        <v>0</v>
      </c>
      <c r="AC2147" s="16" t="n">
        <f aca="false">IFERROR(INDEX(SEMANAS!$K$6:$K$71,MATCH($B2147,SEMANAS!$B$6:$B$71,0)),0)</f>
        <v>147</v>
      </c>
      <c r="AD2147" s="19" t="n">
        <f aca="false">IF($AC2147&lt;=0,0,$AB2147/$AC2147)</f>
        <v>0</v>
      </c>
      <c r="AE2147" s="8" t="str">
        <f aca="false">IF($K2147="SEM CULTURA","SEM CULTURA",IF($AA2147&lt;=0,"DADO PENDENTE",IF($AD2147&gt;LIMITE_CRITICO,"INVIAVEL",IF($AD2147&gt;LIMITE_ATENCAO,"CRITICO",IF($AD2147&gt;LIMITE_CONFORTAVEL,"ATENCAO","OK")))))</f>
        <v>SEM CULTURA</v>
      </c>
      <c r="AF2147" s="8" t="str">
        <f aca="false">$B2147&amp;"|"&amp;TEXT($AD2147,"0.000000")</f>
        <v>30|0.000000</v>
      </c>
      <c r="AG2147" s="18" t="n">
        <f aca="false">IF($K2147="SEM CULTURA",0,$T2147*$H2147)</f>
        <v>0</v>
      </c>
      <c r="AH2147" s="18" t="n">
        <f aca="false">IF($K2147="SEM CULTURA",0,$V2147*$H2147)</f>
        <v>0</v>
      </c>
      <c r="AI2147" s="18" t="n">
        <f aca="false">IF($K2147="SEM CULTURA",0,$W2147*$H2147)</f>
        <v>0</v>
      </c>
      <c r="AJ2147" s="18" t="n">
        <f aca="false">IF($K2147="SEM CULTURA",0,$S2147*$H2147)</f>
        <v>0</v>
      </c>
      <c r="AK2147" s="8" t="str">
        <f aca="false">$E2147&amp;"|"&amp;TEXT($AD2147,"0.000000")</f>
        <v>PV 134|0.000000</v>
      </c>
    </row>
    <row r="2148" customFormat="false" ht="15" hidden="false" customHeight="false" outlineLevel="0" collapsed="false">
      <c r="B2148" s="16" t="n">
        <v>31</v>
      </c>
      <c r="C2148" s="17" t="n">
        <f aca="false">DATA_INICIO_SAFRA+($B2148-1)*DIAS_POR_SEMANA</f>
        <v>46475</v>
      </c>
      <c r="D2148" s="17" t="n">
        <f aca="false">$C2148+DIAS_POR_SEMANA-1</f>
        <v>46481</v>
      </c>
      <c r="E2148" s="15" t="s">
        <v>291</v>
      </c>
      <c r="F2148" s="8" t="str">
        <f aca="false">IFERROR(INDEX(CADASTRO_PIVOS!$C$6:$C$41,MATCH($E2148,CADASTRO_PIVOS!$B$6:$B$41,0)),"?")</f>
        <v>RM08</v>
      </c>
      <c r="G2148" s="8" t="str">
        <f aca="false">IFERROR(INDEX(CADASTRO_PIVOS!$D$6:$D$41,MATCH($E2148,CADASTRO_PIVOS!$B$6:$B$41,0)),"?")</f>
        <v>TR08</v>
      </c>
      <c r="H2148" s="20" t="n">
        <f aca="false">IFERROR(INDEX(CADASTRO_PIVOS!$E$6:$E$41,MATCH($E2148,CADASTRO_PIVOS!$B$6:$B$41,0)),0)</f>
        <v>79</v>
      </c>
      <c r="I2148" s="16" t="n">
        <f aca="false">IFERROR(SUMIFS(ROTACAO_RDM!$B$6:$B$71,ROTACAO_RDM!$D$6:$D$71,$E2148,ROTACAO_RDM!$I$6:$I$71,"&lt;="&amp;$C2148+INT(DIAS_POR_SEMANA/2),ROTACAO_RDM!$J$6:$J$71,"&gt;="&amp;$C2148+INT(DIAS_POR_SEMANA/2)),0)</f>
        <v>0</v>
      </c>
      <c r="J2148" s="16" t="n">
        <f aca="false">IFERROR(MATCH($I2148,ROTACAO_RDM!$B$6:$B$71,0),0)</f>
        <v>0</v>
      </c>
      <c r="K2148" s="8" t="str">
        <f aca="false">IF($J2148=0,"SEM CULTURA",INDEX(ROTACAO_RDM!$F$6:$F$71,$J2148))</f>
        <v>SEM CULTURA</v>
      </c>
      <c r="L2148" s="8" t="str">
        <f aca="false">IF($J2148=0,"",INDEX(ROTACAO_RDM!$G$6:$G$71,$J2148))</f>
        <v/>
      </c>
      <c r="M2148" s="17" t="str">
        <f aca="false">IF($J2148=0,"",INDEX(ROTACAO_RDM!$I$6:$I$71,$J2148))</f>
        <v/>
      </c>
      <c r="N2148" s="16" t="n">
        <f aca="false">IF($J2148=0,0,MAX(0,$C2148+INT(DIAS_POR_SEMANA/2)-INDEX(ROTACAO_RDM!$I$6:$I$71,$J2148)))</f>
        <v>0</v>
      </c>
      <c r="O2148" s="19" t="n">
        <f aca="false">IF($J2148=0,0,MIN(1,$N2148/MAX(1,INDEX(ROTACAO_RDM!$K$6:$K$71,$J2148))))</f>
        <v>0</v>
      </c>
      <c r="P2148" s="16" t="n">
        <f aca="false">IF($J2148=0,0,IFERROR(MATCH(INDEX(ROTACAO_RDM!$N$6:$N$71,$J2148),PARAMETROS_CULTURAS!$B$6:$B$28,0),0))</f>
        <v>0</v>
      </c>
      <c r="Q2148" s="8" t="str">
        <f aca="false">IF($P2148=0,"-",IF($O2148&lt;=INDEX(PARAMETROS_CULTURAS!$F$6:$F$28,$P2148),"INICIAL",IF($O2148&lt;=INDEX(PARAMETROS_CULTURAS!$F$6:$F$28,$P2148)+INDEX(PARAMETROS_CULTURAS!$G$6:$G$28,$P2148),"DESENVOLVIMENTO",IF($O2148&lt;=INDEX(PARAMETROS_CULTURAS!$F$6:$F$28,$P2148)+INDEX(PARAMETROS_CULTURAS!$G$6:$G$28,$P2148)+INDEX(PARAMETROS_CULTURAS!$H$6:$H$28,$P2148),"MEDIA","FINAL"))))</f>
        <v>-</v>
      </c>
      <c r="R2148" s="24" t="n">
        <f aca="false">IF($P2148=0,0,IF($O2148&lt;=INDEX(PARAMETROS_CULTURAS!$F$6:$F$28,$P2148),INDEX(PARAMETROS_CULTURAS!$K$6:$K$28,$P2148),IF($O2148&lt;=INDEX(PARAMETROS_CULTURAS!$F$6:$F$28,$P2148)+INDEX(PARAMETROS_CULTURAS!$G$6:$G$28,$P2148),INDEX(PARAMETROS_CULTURAS!$K$6:$K$28,$P2148)+(INDEX(PARAMETROS_CULTURAS!$L$6:$L$28,$P2148)-INDEX(PARAMETROS_CULTURAS!$K$6:$K$28,$P2148))*($O2148-INDEX(PARAMETROS_CULTURAS!$F$6:$F$28,$P2148))/MAX(INDEX(PARAMETROS_CULTURAS!$G$6:$G$28,$P2148),0.0001),IF($O2148&lt;=INDEX(PARAMETROS_CULTURAS!$F$6:$F$28,$P2148)+INDEX(PARAMETROS_CULTURAS!$G$6:$G$28,$P2148)+INDEX(PARAMETROS_CULTURAS!$H$6:$H$28,$P2148),INDEX(PARAMETROS_CULTURAS!$L$6:$L$28,$P2148),INDEX(PARAMETROS_CULTURAS!$L$6:$L$28,$P2148)+(INDEX(PARAMETROS_CULTURAS!$M$6:$M$28,$P2148)-INDEX(PARAMETROS_CULTURAS!$L$6:$L$28,$P2148))*($O2148-INDEX(PARAMETROS_CULTURAS!$F$6:$F$28,$P2148)-INDEX(PARAMETROS_CULTURAS!$G$6:$G$28,$P2148)-INDEX(PARAMETROS_CULTURAS!$H$6:$H$28,$P2148))/MAX(INDEX(PARAMETROS_CULTURAS!$I$6:$I$28,$P2148),0.0001)))))</f>
        <v>0</v>
      </c>
      <c r="S2148" s="18" t="n">
        <f aca="false">IFERROR(INDEX(SEMANAS!$H$6:$H$71,MATCH($B2148,SEMANAS!$B$6:$B$71,0)),0)</f>
        <v>31.8</v>
      </c>
      <c r="T2148" s="18" t="n">
        <f aca="false">$R2148*$S2148</f>
        <v>0</v>
      </c>
      <c r="U2148" s="18" t="n">
        <f aca="false">IFERROR(INDEX(SEMANAS!$I$6:$I$71,MATCH($B2148,SEMANAS!$B$6:$B$71,0)),0)</f>
        <v>25.28</v>
      </c>
      <c r="V2148" s="18" t="n">
        <f aca="false">IFERROR(INDEX(SEMANAS!$J$6:$J$71,MATCH($B2148,SEMANAS!$B$6:$B$71,0)),0)</f>
        <v>20.224</v>
      </c>
      <c r="W2148" s="18" t="n">
        <f aca="false">MAX(0,$T2148-$V2148)</f>
        <v>0</v>
      </c>
      <c r="X2148" s="19" t="n">
        <f aca="false">IFERROR(INDEX(CADASTRO_PIVOS!$K$6:$K$41,MATCH($E2148,CADASTRO_PIVOS!$B$6:$B$41,0)),EFICIENCIA_PADRAO)</f>
        <v>0.85</v>
      </c>
      <c r="Y2148" s="18" t="n">
        <f aca="false">IF($X2148&lt;=0,0,$W2148/$X2148)</f>
        <v>0</v>
      </c>
      <c r="Z2148" s="16" t="n">
        <f aca="false">$Y2148*$H2148*MM_PARA_M3_HA</f>
        <v>0</v>
      </c>
      <c r="AA2148" s="18" t="n">
        <f aca="false">IFERROR(INDEX(CADASTRO_PIVOS!$I$6:$I$41,MATCH($E2148,CADASTRO_PIVOS!$B$6:$B$41,0)),0)</f>
        <v>526.666666666667</v>
      </c>
      <c r="AB2148" s="18" t="n">
        <f aca="false">IF($Z2148&lt;=0,0,$Z2148/$AA2148)</f>
        <v>0</v>
      </c>
      <c r="AC2148" s="16" t="n">
        <f aca="false">IFERROR(INDEX(SEMANAS!$K$6:$K$71,MATCH($B2148,SEMANAS!$B$6:$B$71,0)),0)</f>
        <v>147</v>
      </c>
      <c r="AD2148" s="19" t="n">
        <f aca="false">IF($AC2148&lt;=0,0,$AB2148/$AC2148)</f>
        <v>0</v>
      </c>
      <c r="AE2148" s="8" t="str">
        <f aca="false">IF($K2148="SEM CULTURA","SEM CULTURA",IF($AA2148&lt;=0,"DADO PENDENTE",IF($AD2148&gt;LIMITE_CRITICO,"INVIAVEL",IF($AD2148&gt;LIMITE_ATENCAO,"CRITICO",IF($AD2148&gt;LIMITE_CONFORTAVEL,"ATENCAO","OK")))))</f>
        <v>SEM CULTURA</v>
      </c>
      <c r="AF2148" s="8" t="str">
        <f aca="false">$B2148&amp;"|"&amp;TEXT($AD2148,"0.000000")</f>
        <v>31|0.000000</v>
      </c>
      <c r="AG2148" s="18" t="n">
        <f aca="false">IF($K2148="SEM CULTURA",0,$T2148*$H2148)</f>
        <v>0</v>
      </c>
      <c r="AH2148" s="18" t="n">
        <f aca="false">IF($K2148="SEM CULTURA",0,$V2148*$H2148)</f>
        <v>0</v>
      </c>
      <c r="AI2148" s="18" t="n">
        <f aca="false">IF($K2148="SEM CULTURA",0,$W2148*$H2148)</f>
        <v>0</v>
      </c>
      <c r="AJ2148" s="18" t="n">
        <f aca="false">IF($K2148="SEM CULTURA",0,$S2148*$H2148)</f>
        <v>0</v>
      </c>
      <c r="AK2148" s="8" t="str">
        <f aca="false">$E2148&amp;"|"&amp;TEXT($AD2148,"0.000000")</f>
        <v>PV 134|0.000000</v>
      </c>
    </row>
    <row r="2149" customFormat="false" ht="15" hidden="false" customHeight="false" outlineLevel="0" collapsed="false">
      <c r="B2149" s="16" t="n">
        <v>32</v>
      </c>
      <c r="C2149" s="17" t="n">
        <f aca="false">DATA_INICIO_SAFRA+($B2149-1)*DIAS_POR_SEMANA</f>
        <v>46482</v>
      </c>
      <c r="D2149" s="17" t="n">
        <f aca="false">$C2149+DIAS_POR_SEMANA-1</f>
        <v>46488</v>
      </c>
      <c r="E2149" s="15" t="s">
        <v>291</v>
      </c>
      <c r="F2149" s="8" t="str">
        <f aca="false">IFERROR(INDEX(CADASTRO_PIVOS!$C$6:$C$41,MATCH($E2149,CADASTRO_PIVOS!$B$6:$B$41,0)),"?")</f>
        <v>RM08</v>
      </c>
      <c r="G2149" s="8" t="str">
        <f aca="false">IFERROR(INDEX(CADASTRO_PIVOS!$D$6:$D$41,MATCH($E2149,CADASTRO_PIVOS!$B$6:$B$41,0)),"?")</f>
        <v>TR08</v>
      </c>
      <c r="H2149" s="20" t="n">
        <f aca="false">IFERROR(INDEX(CADASTRO_PIVOS!$E$6:$E$41,MATCH($E2149,CADASTRO_PIVOS!$B$6:$B$41,0)),0)</f>
        <v>79</v>
      </c>
      <c r="I2149" s="16" t="n">
        <f aca="false">IFERROR(SUMIFS(ROTACAO_RDM!$B$6:$B$71,ROTACAO_RDM!$D$6:$D$71,$E2149,ROTACAO_RDM!$I$6:$I$71,"&lt;="&amp;$C2149+INT(DIAS_POR_SEMANA/2),ROTACAO_RDM!$J$6:$J$71,"&gt;="&amp;$C2149+INT(DIAS_POR_SEMANA/2)),0)</f>
        <v>0</v>
      </c>
      <c r="J2149" s="16" t="n">
        <f aca="false">IFERROR(MATCH($I2149,ROTACAO_RDM!$B$6:$B$71,0),0)</f>
        <v>0</v>
      </c>
      <c r="K2149" s="8" t="str">
        <f aca="false">IF($J2149=0,"SEM CULTURA",INDEX(ROTACAO_RDM!$F$6:$F$71,$J2149))</f>
        <v>SEM CULTURA</v>
      </c>
      <c r="L2149" s="8" t="str">
        <f aca="false">IF($J2149=0,"",INDEX(ROTACAO_RDM!$G$6:$G$71,$J2149))</f>
        <v/>
      </c>
      <c r="M2149" s="17" t="str">
        <f aca="false">IF($J2149=0,"",INDEX(ROTACAO_RDM!$I$6:$I$71,$J2149))</f>
        <v/>
      </c>
      <c r="N2149" s="16" t="n">
        <f aca="false">IF($J2149=0,0,MAX(0,$C2149+INT(DIAS_POR_SEMANA/2)-INDEX(ROTACAO_RDM!$I$6:$I$71,$J2149)))</f>
        <v>0</v>
      </c>
      <c r="O2149" s="19" t="n">
        <f aca="false">IF($J2149=0,0,MIN(1,$N2149/MAX(1,INDEX(ROTACAO_RDM!$K$6:$K$71,$J2149))))</f>
        <v>0</v>
      </c>
      <c r="P2149" s="16" t="n">
        <f aca="false">IF($J2149=0,0,IFERROR(MATCH(INDEX(ROTACAO_RDM!$N$6:$N$71,$J2149),PARAMETROS_CULTURAS!$B$6:$B$28,0),0))</f>
        <v>0</v>
      </c>
      <c r="Q2149" s="8" t="str">
        <f aca="false">IF($P2149=0,"-",IF($O2149&lt;=INDEX(PARAMETROS_CULTURAS!$F$6:$F$28,$P2149),"INICIAL",IF($O2149&lt;=INDEX(PARAMETROS_CULTURAS!$F$6:$F$28,$P2149)+INDEX(PARAMETROS_CULTURAS!$G$6:$G$28,$P2149),"DESENVOLVIMENTO",IF($O2149&lt;=INDEX(PARAMETROS_CULTURAS!$F$6:$F$28,$P2149)+INDEX(PARAMETROS_CULTURAS!$G$6:$G$28,$P2149)+INDEX(PARAMETROS_CULTURAS!$H$6:$H$28,$P2149),"MEDIA","FINAL"))))</f>
        <v>-</v>
      </c>
      <c r="R2149" s="24" t="n">
        <f aca="false">IF($P2149=0,0,IF($O2149&lt;=INDEX(PARAMETROS_CULTURAS!$F$6:$F$28,$P2149),INDEX(PARAMETROS_CULTURAS!$K$6:$K$28,$P2149),IF($O2149&lt;=INDEX(PARAMETROS_CULTURAS!$F$6:$F$28,$P2149)+INDEX(PARAMETROS_CULTURAS!$G$6:$G$28,$P2149),INDEX(PARAMETROS_CULTURAS!$K$6:$K$28,$P2149)+(INDEX(PARAMETROS_CULTURAS!$L$6:$L$28,$P2149)-INDEX(PARAMETROS_CULTURAS!$K$6:$K$28,$P2149))*($O2149-INDEX(PARAMETROS_CULTURAS!$F$6:$F$28,$P2149))/MAX(INDEX(PARAMETROS_CULTURAS!$G$6:$G$28,$P2149),0.0001),IF($O2149&lt;=INDEX(PARAMETROS_CULTURAS!$F$6:$F$28,$P2149)+INDEX(PARAMETROS_CULTURAS!$G$6:$G$28,$P2149)+INDEX(PARAMETROS_CULTURAS!$H$6:$H$28,$P2149),INDEX(PARAMETROS_CULTURAS!$L$6:$L$28,$P2149),INDEX(PARAMETROS_CULTURAS!$L$6:$L$28,$P2149)+(INDEX(PARAMETROS_CULTURAS!$M$6:$M$28,$P2149)-INDEX(PARAMETROS_CULTURAS!$L$6:$L$28,$P2149))*($O2149-INDEX(PARAMETROS_CULTURAS!$F$6:$F$28,$P2149)-INDEX(PARAMETROS_CULTURAS!$G$6:$G$28,$P2149)-INDEX(PARAMETROS_CULTURAS!$H$6:$H$28,$P2149))/MAX(INDEX(PARAMETROS_CULTURAS!$I$6:$I$28,$P2149),0.0001)))))</f>
        <v>0</v>
      </c>
      <c r="S2149" s="18" t="n">
        <f aca="false">IFERROR(INDEX(SEMANAS!$H$6:$H$71,MATCH($B2149,SEMANAS!$B$6:$B$71,0)),0)</f>
        <v>31.5</v>
      </c>
      <c r="T2149" s="18" t="n">
        <f aca="false">$R2149*$S2149</f>
        <v>0</v>
      </c>
      <c r="U2149" s="18" t="n">
        <f aca="false">IFERROR(INDEX(SEMANAS!$I$6:$I$71,MATCH($B2149,SEMANAS!$B$6:$B$71,0)),0)</f>
        <v>16.31</v>
      </c>
      <c r="V2149" s="18" t="n">
        <f aca="false">IFERROR(INDEX(SEMANAS!$J$6:$J$71,MATCH($B2149,SEMANAS!$B$6:$B$71,0)),0)</f>
        <v>13.048</v>
      </c>
      <c r="W2149" s="18" t="n">
        <f aca="false">MAX(0,$T2149-$V2149)</f>
        <v>0</v>
      </c>
      <c r="X2149" s="19" t="n">
        <f aca="false">IFERROR(INDEX(CADASTRO_PIVOS!$K$6:$K$41,MATCH($E2149,CADASTRO_PIVOS!$B$6:$B$41,0)),EFICIENCIA_PADRAO)</f>
        <v>0.85</v>
      </c>
      <c r="Y2149" s="18" t="n">
        <f aca="false">IF($X2149&lt;=0,0,$W2149/$X2149)</f>
        <v>0</v>
      </c>
      <c r="Z2149" s="16" t="n">
        <f aca="false">$Y2149*$H2149*MM_PARA_M3_HA</f>
        <v>0</v>
      </c>
      <c r="AA2149" s="18" t="n">
        <f aca="false">IFERROR(INDEX(CADASTRO_PIVOS!$I$6:$I$41,MATCH($E2149,CADASTRO_PIVOS!$B$6:$B$41,0)),0)</f>
        <v>526.666666666667</v>
      </c>
      <c r="AB2149" s="18" t="n">
        <f aca="false">IF($Z2149&lt;=0,0,$Z2149/$AA2149)</f>
        <v>0</v>
      </c>
      <c r="AC2149" s="16" t="n">
        <f aca="false">IFERROR(INDEX(SEMANAS!$K$6:$K$71,MATCH($B2149,SEMANAS!$B$6:$B$71,0)),0)</f>
        <v>147</v>
      </c>
      <c r="AD2149" s="19" t="n">
        <f aca="false">IF($AC2149&lt;=0,0,$AB2149/$AC2149)</f>
        <v>0</v>
      </c>
      <c r="AE2149" s="8" t="str">
        <f aca="false">IF($K2149="SEM CULTURA","SEM CULTURA",IF($AA2149&lt;=0,"DADO PENDENTE",IF($AD2149&gt;LIMITE_CRITICO,"INVIAVEL",IF($AD2149&gt;LIMITE_ATENCAO,"CRITICO",IF($AD2149&gt;LIMITE_CONFORTAVEL,"ATENCAO","OK")))))</f>
        <v>SEM CULTURA</v>
      </c>
      <c r="AF2149" s="8" t="str">
        <f aca="false">$B2149&amp;"|"&amp;TEXT($AD2149,"0.000000")</f>
        <v>32|0.000000</v>
      </c>
      <c r="AG2149" s="18" t="n">
        <f aca="false">IF($K2149="SEM CULTURA",0,$T2149*$H2149)</f>
        <v>0</v>
      </c>
      <c r="AH2149" s="18" t="n">
        <f aca="false">IF($K2149="SEM CULTURA",0,$V2149*$H2149)</f>
        <v>0</v>
      </c>
      <c r="AI2149" s="18" t="n">
        <f aca="false">IF($K2149="SEM CULTURA",0,$W2149*$H2149)</f>
        <v>0</v>
      </c>
      <c r="AJ2149" s="18" t="n">
        <f aca="false">IF($K2149="SEM CULTURA",0,$S2149*$H2149)</f>
        <v>0</v>
      </c>
      <c r="AK2149" s="8" t="str">
        <f aca="false">$E2149&amp;"|"&amp;TEXT($AD2149,"0.000000")</f>
        <v>PV 134|0.000000</v>
      </c>
    </row>
    <row r="2150" customFormat="false" ht="15" hidden="false" customHeight="false" outlineLevel="0" collapsed="false">
      <c r="B2150" s="16" t="n">
        <v>33</v>
      </c>
      <c r="C2150" s="17" t="n">
        <f aca="false">DATA_INICIO_SAFRA+($B2150-1)*DIAS_POR_SEMANA</f>
        <v>46489</v>
      </c>
      <c r="D2150" s="17" t="n">
        <f aca="false">$C2150+DIAS_POR_SEMANA-1</f>
        <v>46495</v>
      </c>
      <c r="E2150" s="15" t="s">
        <v>291</v>
      </c>
      <c r="F2150" s="8" t="str">
        <f aca="false">IFERROR(INDEX(CADASTRO_PIVOS!$C$6:$C$41,MATCH($E2150,CADASTRO_PIVOS!$B$6:$B$41,0)),"?")</f>
        <v>RM08</v>
      </c>
      <c r="G2150" s="8" t="str">
        <f aca="false">IFERROR(INDEX(CADASTRO_PIVOS!$D$6:$D$41,MATCH($E2150,CADASTRO_PIVOS!$B$6:$B$41,0)),"?")</f>
        <v>TR08</v>
      </c>
      <c r="H2150" s="20" t="n">
        <f aca="false">IFERROR(INDEX(CADASTRO_PIVOS!$E$6:$E$41,MATCH($E2150,CADASTRO_PIVOS!$B$6:$B$41,0)),0)</f>
        <v>79</v>
      </c>
      <c r="I2150" s="16" t="n">
        <f aca="false">IFERROR(SUMIFS(ROTACAO_RDM!$B$6:$B$71,ROTACAO_RDM!$D$6:$D$71,$E2150,ROTACAO_RDM!$I$6:$I$71,"&lt;="&amp;$C2150+INT(DIAS_POR_SEMANA/2),ROTACAO_RDM!$J$6:$J$71,"&gt;="&amp;$C2150+INT(DIAS_POR_SEMANA/2)),0)</f>
        <v>0</v>
      </c>
      <c r="J2150" s="16" t="n">
        <f aca="false">IFERROR(MATCH($I2150,ROTACAO_RDM!$B$6:$B$71,0),0)</f>
        <v>0</v>
      </c>
      <c r="K2150" s="8" t="str">
        <f aca="false">IF($J2150=0,"SEM CULTURA",INDEX(ROTACAO_RDM!$F$6:$F$71,$J2150))</f>
        <v>SEM CULTURA</v>
      </c>
      <c r="L2150" s="8" t="str">
        <f aca="false">IF($J2150=0,"",INDEX(ROTACAO_RDM!$G$6:$G$71,$J2150))</f>
        <v/>
      </c>
      <c r="M2150" s="17" t="str">
        <f aca="false">IF($J2150=0,"",INDEX(ROTACAO_RDM!$I$6:$I$71,$J2150))</f>
        <v/>
      </c>
      <c r="N2150" s="16" t="n">
        <f aca="false">IF($J2150=0,0,MAX(0,$C2150+INT(DIAS_POR_SEMANA/2)-INDEX(ROTACAO_RDM!$I$6:$I$71,$J2150)))</f>
        <v>0</v>
      </c>
      <c r="O2150" s="19" t="n">
        <f aca="false">IF($J2150=0,0,MIN(1,$N2150/MAX(1,INDEX(ROTACAO_RDM!$K$6:$K$71,$J2150))))</f>
        <v>0</v>
      </c>
      <c r="P2150" s="16" t="n">
        <f aca="false">IF($J2150=0,0,IFERROR(MATCH(INDEX(ROTACAO_RDM!$N$6:$N$71,$J2150),PARAMETROS_CULTURAS!$B$6:$B$28,0),0))</f>
        <v>0</v>
      </c>
      <c r="Q2150" s="8" t="str">
        <f aca="false">IF($P2150=0,"-",IF($O2150&lt;=INDEX(PARAMETROS_CULTURAS!$F$6:$F$28,$P2150),"INICIAL",IF($O2150&lt;=INDEX(PARAMETROS_CULTURAS!$F$6:$F$28,$P2150)+INDEX(PARAMETROS_CULTURAS!$G$6:$G$28,$P2150),"DESENVOLVIMENTO",IF($O2150&lt;=INDEX(PARAMETROS_CULTURAS!$F$6:$F$28,$P2150)+INDEX(PARAMETROS_CULTURAS!$G$6:$G$28,$P2150)+INDEX(PARAMETROS_CULTURAS!$H$6:$H$28,$P2150),"MEDIA","FINAL"))))</f>
        <v>-</v>
      </c>
      <c r="R2150" s="24" t="n">
        <f aca="false">IF($P2150=0,0,IF($O2150&lt;=INDEX(PARAMETROS_CULTURAS!$F$6:$F$28,$P2150),INDEX(PARAMETROS_CULTURAS!$K$6:$K$28,$P2150),IF($O2150&lt;=INDEX(PARAMETROS_CULTURAS!$F$6:$F$28,$P2150)+INDEX(PARAMETROS_CULTURAS!$G$6:$G$28,$P2150),INDEX(PARAMETROS_CULTURAS!$K$6:$K$28,$P2150)+(INDEX(PARAMETROS_CULTURAS!$L$6:$L$28,$P2150)-INDEX(PARAMETROS_CULTURAS!$K$6:$K$28,$P2150))*($O2150-INDEX(PARAMETROS_CULTURAS!$F$6:$F$28,$P2150))/MAX(INDEX(PARAMETROS_CULTURAS!$G$6:$G$28,$P2150),0.0001),IF($O2150&lt;=INDEX(PARAMETROS_CULTURAS!$F$6:$F$28,$P2150)+INDEX(PARAMETROS_CULTURAS!$G$6:$G$28,$P2150)+INDEX(PARAMETROS_CULTURAS!$H$6:$H$28,$P2150),INDEX(PARAMETROS_CULTURAS!$L$6:$L$28,$P2150),INDEX(PARAMETROS_CULTURAS!$L$6:$L$28,$P2150)+(INDEX(PARAMETROS_CULTURAS!$M$6:$M$28,$P2150)-INDEX(PARAMETROS_CULTURAS!$L$6:$L$28,$P2150))*($O2150-INDEX(PARAMETROS_CULTURAS!$F$6:$F$28,$P2150)-INDEX(PARAMETROS_CULTURAS!$G$6:$G$28,$P2150)-INDEX(PARAMETROS_CULTURAS!$H$6:$H$28,$P2150))/MAX(INDEX(PARAMETROS_CULTURAS!$I$6:$I$28,$P2150),0.0001)))))</f>
        <v>0</v>
      </c>
      <c r="S2150" s="18" t="n">
        <f aca="false">IFERROR(INDEX(SEMANAS!$H$6:$H$71,MATCH($B2150,SEMANAS!$B$6:$B$71,0)),0)</f>
        <v>31.5</v>
      </c>
      <c r="T2150" s="18" t="n">
        <f aca="false">$R2150*$S2150</f>
        <v>0</v>
      </c>
      <c r="U2150" s="18" t="n">
        <f aca="false">IFERROR(INDEX(SEMANAS!$I$6:$I$71,MATCH($B2150,SEMANAS!$B$6:$B$71,0)),0)</f>
        <v>16.31</v>
      </c>
      <c r="V2150" s="18" t="n">
        <f aca="false">IFERROR(INDEX(SEMANAS!$J$6:$J$71,MATCH($B2150,SEMANAS!$B$6:$B$71,0)),0)</f>
        <v>13.048</v>
      </c>
      <c r="W2150" s="18" t="n">
        <f aca="false">MAX(0,$T2150-$V2150)</f>
        <v>0</v>
      </c>
      <c r="X2150" s="19" t="n">
        <f aca="false">IFERROR(INDEX(CADASTRO_PIVOS!$K$6:$K$41,MATCH($E2150,CADASTRO_PIVOS!$B$6:$B$41,0)),EFICIENCIA_PADRAO)</f>
        <v>0.85</v>
      </c>
      <c r="Y2150" s="18" t="n">
        <f aca="false">IF($X2150&lt;=0,0,$W2150/$X2150)</f>
        <v>0</v>
      </c>
      <c r="Z2150" s="16" t="n">
        <f aca="false">$Y2150*$H2150*MM_PARA_M3_HA</f>
        <v>0</v>
      </c>
      <c r="AA2150" s="18" t="n">
        <f aca="false">IFERROR(INDEX(CADASTRO_PIVOS!$I$6:$I$41,MATCH($E2150,CADASTRO_PIVOS!$B$6:$B$41,0)),0)</f>
        <v>526.666666666667</v>
      </c>
      <c r="AB2150" s="18" t="n">
        <f aca="false">IF($Z2150&lt;=0,0,$Z2150/$AA2150)</f>
        <v>0</v>
      </c>
      <c r="AC2150" s="16" t="n">
        <f aca="false">IFERROR(INDEX(SEMANAS!$K$6:$K$71,MATCH($B2150,SEMANAS!$B$6:$B$71,0)),0)</f>
        <v>147</v>
      </c>
      <c r="AD2150" s="19" t="n">
        <f aca="false">IF($AC2150&lt;=0,0,$AB2150/$AC2150)</f>
        <v>0</v>
      </c>
      <c r="AE2150" s="8" t="str">
        <f aca="false">IF($K2150="SEM CULTURA","SEM CULTURA",IF($AA2150&lt;=0,"DADO PENDENTE",IF($AD2150&gt;LIMITE_CRITICO,"INVIAVEL",IF($AD2150&gt;LIMITE_ATENCAO,"CRITICO",IF($AD2150&gt;LIMITE_CONFORTAVEL,"ATENCAO","OK")))))</f>
        <v>SEM CULTURA</v>
      </c>
      <c r="AF2150" s="8" t="str">
        <f aca="false">$B2150&amp;"|"&amp;TEXT($AD2150,"0.000000")</f>
        <v>33|0.000000</v>
      </c>
      <c r="AG2150" s="18" t="n">
        <f aca="false">IF($K2150="SEM CULTURA",0,$T2150*$H2150)</f>
        <v>0</v>
      </c>
      <c r="AH2150" s="18" t="n">
        <f aca="false">IF($K2150="SEM CULTURA",0,$V2150*$H2150)</f>
        <v>0</v>
      </c>
      <c r="AI2150" s="18" t="n">
        <f aca="false">IF($K2150="SEM CULTURA",0,$W2150*$H2150)</f>
        <v>0</v>
      </c>
      <c r="AJ2150" s="18" t="n">
        <f aca="false">IF($K2150="SEM CULTURA",0,$S2150*$H2150)</f>
        <v>0</v>
      </c>
      <c r="AK2150" s="8" t="str">
        <f aca="false">$E2150&amp;"|"&amp;TEXT($AD2150,"0.000000")</f>
        <v>PV 134|0.000000</v>
      </c>
    </row>
    <row r="2151" customFormat="false" ht="15" hidden="false" customHeight="false" outlineLevel="0" collapsed="false">
      <c r="B2151" s="16" t="n">
        <v>34</v>
      </c>
      <c r="C2151" s="17" t="n">
        <f aca="false">DATA_INICIO_SAFRA+($B2151-1)*DIAS_POR_SEMANA</f>
        <v>46496</v>
      </c>
      <c r="D2151" s="17" t="n">
        <f aca="false">$C2151+DIAS_POR_SEMANA-1</f>
        <v>46502</v>
      </c>
      <c r="E2151" s="15" t="s">
        <v>291</v>
      </c>
      <c r="F2151" s="8" t="str">
        <f aca="false">IFERROR(INDEX(CADASTRO_PIVOS!$C$6:$C$41,MATCH($E2151,CADASTRO_PIVOS!$B$6:$B$41,0)),"?")</f>
        <v>RM08</v>
      </c>
      <c r="G2151" s="8" t="str">
        <f aca="false">IFERROR(INDEX(CADASTRO_PIVOS!$D$6:$D$41,MATCH($E2151,CADASTRO_PIVOS!$B$6:$B$41,0)),"?")</f>
        <v>TR08</v>
      </c>
      <c r="H2151" s="20" t="n">
        <f aca="false">IFERROR(INDEX(CADASTRO_PIVOS!$E$6:$E$41,MATCH($E2151,CADASTRO_PIVOS!$B$6:$B$41,0)),0)</f>
        <v>79</v>
      </c>
      <c r="I2151" s="16" t="n">
        <f aca="false">IFERROR(SUMIFS(ROTACAO_RDM!$B$6:$B$71,ROTACAO_RDM!$D$6:$D$71,$E2151,ROTACAO_RDM!$I$6:$I$71,"&lt;="&amp;$C2151+INT(DIAS_POR_SEMANA/2),ROTACAO_RDM!$J$6:$J$71,"&gt;="&amp;$C2151+INT(DIAS_POR_SEMANA/2)),0)</f>
        <v>0</v>
      </c>
      <c r="J2151" s="16" t="n">
        <f aca="false">IFERROR(MATCH($I2151,ROTACAO_RDM!$B$6:$B$71,0),0)</f>
        <v>0</v>
      </c>
      <c r="K2151" s="8" t="str">
        <f aca="false">IF($J2151=0,"SEM CULTURA",INDEX(ROTACAO_RDM!$F$6:$F$71,$J2151))</f>
        <v>SEM CULTURA</v>
      </c>
      <c r="L2151" s="8" t="str">
        <f aca="false">IF($J2151=0,"",INDEX(ROTACAO_RDM!$G$6:$G$71,$J2151))</f>
        <v/>
      </c>
      <c r="M2151" s="17" t="str">
        <f aca="false">IF($J2151=0,"",INDEX(ROTACAO_RDM!$I$6:$I$71,$J2151))</f>
        <v/>
      </c>
      <c r="N2151" s="16" t="n">
        <f aca="false">IF($J2151=0,0,MAX(0,$C2151+INT(DIAS_POR_SEMANA/2)-INDEX(ROTACAO_RDM!$I$6:$I$71,$J2151)))</f>
        <v>0</v>
      </c>
      <c r="O2151" s="19" t="n">
        <f aca="false">IF($J2151=0,0,MIN(1,$N2151/MAX(1,INDEX(ROTACAO_RDM!$K$6:$K$71,$J2151))))</f>
        <v>0</v>
      </c>
      <c r="P2151" s="16" t="n">
        <f aca="false">IF($J2151=0,0,IFERROR(MATCH(INDEX(ROTACAO_RDM!$N$6:$N$71,$J2151),PARAMETROS_CULTURAS!$B$6:$B$28,0),0))</f>
        <v>0</v>
      </c>
      <c r="Q2151" s="8" t="str">
        <f aca="false">IF($P2151=0,"-",IF($O2151&lt;=INDEX(PARAMETROS_CULTURAS!$F$6:$F$28,$P2151),"INICIAL",IF($O2151&lt;=INDEX(PARAMETROS_CULTURAS!$F$6:$F$28,$P2151)+INDEX(PARAMETROS_CULTURAS!$G$6:$G$28,$P2151),"DESENVOLVIMENTO",IF($O2151&lt;=INDEX(PARAMETROS_CULTURAS!$F$6:$F$28,$P2151)+INDEX(PARAMETROS_CULTURAS!$G$6:$G$28,$P2151)+INDEX(PARAMETROS_CULTURAS!$H$6:$H$28,$P2151),"MEDIA","FINAL"))))</f>
        <v>-</v>
      </c>
      <c r="R2151" s="24" t="n">
        <f aca="false">IF($P2151=0,0,IF($O2151&lt;=INDEX(PARAMETROS_CULTURAS!$F$6:$F$28,$P2151),INDEX(PARAMETROS_CULTURAS!$K$6:$K$28,$P2151),IF($O2151&lt;=INDEX(PARAMETROS_CULTURAS!$F$6:$F$28,$P2151)+INDEX(PARAMETROS_CULTURAS!$G$6:$G$28,$P2151),INDEX(PARAMETROS_CULTURAS!$K$6:$K$28,$P2151)+(INDEX(PARAMETROS_CULTURAS!$L$6:$L$28,$P2151)-INDEX(PARAMETROS_CULTURAS!$K$6:$K$28,$P2151))*($O2151-INDEX(PARAMETROS_CULTURAS!$F$6:$F$28,$P2151))/MAX(INDEX(PARAMETROS_CULTURAS!$G$6:$G$28,$P2151),0.0001),IF($O2151&lt;=INDEX(PARAMETROS_CULTURAS!$F$6:$F$28,$P2151)+INDEX(PARAMETROS_CULTURAS!$G$6:$G$28,$P2151)+INDEX(PARAMETROS_CULTURAS!$H$6:$H$28,$P2151),INDEX(PARAMETROS_CULTURAS!$L$6:$L$28,$P2151),INDEX(PARAMETROS_CULTURAS!$L$6:$L$28,$P2151)+(INDEX(PARAMETROS_CULTURAS!$M$6:$M$28,$P2151)-INDEX(PARAMETROS_CULTURAS!$L$6:$L$28,$P2151))*($O2151-INDEX(PARAMETROS_CULTURAS!$F$6:$F$28,$P2151)-INDEX(PARAMETROS_CULTURAS!$G$6:$G$28,$P2151)-INDEX(PARAMETROS_CULTURAS!$H$6:$H$28,$P2151))/MAX(INDEX(PARAMETROS_CULTURAS!$I$6:$I$28,$P2151),0.0001)))))</f>
        <v>0</v>
      </c>
      <c r="S2151" s="18" t="n">
        <f aca="false">IFERROR(INDEX(SEMANAS!$H$6:$H$71,MATCH($B2151,SEMANAS!$B$6:$B$71,0)),0)</f>
        <v>31.5</v>
      </c>
      <c r="T2151" s="18" t="n">
        <f aca="false">$R2151*$S2151</f>
        <v>0</v>
      </c>
      <c r="U2151" s="18" t="n">
        <f aca="false">IFERROR(INDEX(SEMANAS!$I$6:$I$71,MATCH($B2151,SEMANAS!$B$6:$B$71,0)),0)</f>
        <v>16.31</v>
      </c>
      <c r="V2151" s="18" t="n">
        <f aca="false">IFERROR(INDEX(SEMANAS!$J$6:$J$71,MATCH($B2151,SEMANAS!$B$6:$B$71,0)),0)</f>
        <v>13.048</v>
      </c>
      <c r="W2151" s="18" t="n">
        <f aca="false">MAX(0,$T2151-$V2151)</f>
        <v>0</v>
      </c>
      <c r="X2151" s="19" t="n">
        <f aca="false">IFERROR(INDEX(CADASTRO_PIVOS!$K$6:$K$41,MATCH($E2151,CADASTRO_PIVOS!$B$6:$B$41,0)),EFICIENCIA_PADRAO)</f>
        <v>0.85</v>
      </c>
      <c r="Y2151" s="18" t="n">
        <f aca="false">IF($X2151&lt;=0,0,$W2151/$X2151)</f>
        <v>0</v>
      </c>
      <c r="Z2151" s="16" t="n">
        <f aca="false">$Y2151*$H2151*MM_PARA_M3_HA</f>
        <v>0</v>
      </c>
      <c r="AA2151" s="18" t="n">
        <f aca="false">IFERROR(INDEX(CADASTRO_PIVOS!$I$6:$I$41,MATCH($E2151,CADASTRO_PIVOS!$B$6:$B$41,0)),0)</f>
        <v>526.666666666667</v>
      </c>
      <c r="AB2151" s="18" t="n">
        <f aca="false">IF($Z2151&lt;=0,0,$Z2151/$AA2151)</f>
        <v>0</v>
      </c>
      <c r="AC2151" s="16" t="n">
        <f aca="false">IFERROR(INDEX(SEMANAS!$K$6:$K$71,MATCH($B2151,SEMANAS!$B$6:$B$71,0)),0)</f>
        <v>147</v>
      </c>
      <c r="AD2151" s="19" t="n">
        <f aca="false">IF($AC2151&lt;=0,0,$AB2151/$AC2151)</f>
        <v>0</v>
      </c>
      <c r="AE2151" s="8" t="str">
        <f aca="false">IF($K2151="SEM CULTURA","SEM CULTURA",IF($AA2151&lt;=0,"DADO PENDENTE",IF($AD2151&gt;LIMITE_CRITICO,"INVIAVEL",IF($AD2151&gt;LIMITE_ATENCAO,"CRITICO",IF($AD2151&gt;LIMITE_CONFORTAVEL,"ATENCAO","OK")))))</f>
        <v>SEM CULTURA</v>
      </c>
      <c r="AF2151" s="8" t="str">
        <f aca="false">$B2151&amp;"|"&amp;TEXT($AD2151,"0.000000")</f>
        <v>34|0.000000</v>
      </c>
      <c r="AG2151" s="18" t="n">
        <f aca="false">IF($K2151="SEM CULTURA",0,$T2151*$H2151)</f>
        <v>0</v>
      </c>
      <c r="AH2151" s="18" t="n">
        <f aca="false">IF($K2151="SEM CULTURA",0,$V2151*$H2151)</f>
        <v>0</v>
      </c>
      <c r="AI2151" s="18" t="n">
        <f aca="false">IF($K2151="SEM CULTURA",0,$W2151*$H2151)</f>
        <v>0</v>
      </c>
      <c r="AJ2151" s="18" t="n">
        <f aca="false">IF($K2151="SEM CULTURA",0,$S2151*$H2151)</f>
        <v>0</v>
      </c>
      <c r="AK2151" s="8" t="str">
        <f aca="false">$E2151&amp;"|"&amp;TEXT($AD2151,"0.000000")</f>
        <v>PV 134|0.000000</v>
      </c>
    </row>
    <row r="2152" customFormat="false" ht="15" hidden="false" customHeight="false" outlineLevel="0" collapsed="false">
      <c r="B2152" s="16" t="n">
        <v>35</v>
      </c>
      <c r="C2152" s="17" t="n">
        <f aca="false">DATA_INICIO_SAFRA+($B2152-1)*DIAS_POR_SEMANA</f>
        <v>46503</v>
      </c>
      <c r="D2152" s="17" t="n">
        <f aca="false">$C2152+DIAS_POR_SEMANA-1</f>
        <v>46509</v>
      </c>
      <c r="E2152" s="15" t="s">
        <v>291</v>
      </c>
      <c r="F2152" s="8" t="str">
        <f aca="false">IFERROR(INDEX(CADASTRO_PIVOS!$C$6:$C$41,MATCH($E2152,CADASTRO_PIVOS!$B$6:$B$41,0)),"?")</f>
        <v>RM08</v>
      </c>
      <c r="G2152" s="8" t="str">
        <f aca="false">IFERROR(INDEX(CADASTRO_PIVOS!$D$6:$D$41,MATCH($E2152,CADASTRO_PIVOS!$B$6:$B$41,0)),"?")</f>
        <v>TR08</v>
      </c>
      <c r="H2152" s="20" t="n">
        <f aca="false">IFERROR(INDEX(CADASTRO_PIVOS!$E$6:$E$41,MATCH($E2152,CADASTRO_PIVOS!$B$6:$B$41,0)),0)</f>
        <v>79</v>
      </c>
      <c r="I2152" s="16" t="n">
        <f aca="false">IFERROR(SUMIFS(ROTACAO_RDM!$B$6:$B$71,ROTACAO_RDM!$D$6:$D$71,$E2152,ROTACAO_RDM!$I$6:$I$71,"&lt;="&amp;$C2152+INT(DIAS_POR_SEMANA/2),ROTACAO_RDM!$J$6:$J$71,"&gt;="&amp;$C2152+INT(DIAS_POR_SEMANA/2)),0)</f>
        <v>0</v>
      </c>
      <c r="J2152" s="16" t="n">
        <f aca="false">IFERROR(MATCH($I2152,ROTACAO_RDM!$B$6:$B$71,0),0)</f>
        <v>0</v>
      </c>
      <c r="K2152" s="8" t="str">
        <f aca="false">IF($J2152=0,"SEM CULTURA",INDEX(ROTACAO_RDM!$F$6:$F$71,$J2152))</f>
        <v>SEM CULTURA</v>
      </c>
      <c r="L2152" s="8" t="str">
        <f aca="false">IF($J2152=0,"",INDEX(ROTACAO_RDM!$G$6:$G$71,$J2152))</f>
        <v/>
      </c>
      <c r="M2152" s="17" t="str">
        <f aca="false">IF($J2152=0,"",INDEX(ROTACAO_RDM!$I$6:$I$71,$J2152))</f>
        <v/>
      </c>
      <c r="N2152" s="16" t="n">
        <f aca="false">IF($J2152=0,0,MAX(0,$C2152+INT(DIAS_POR_SEMANA/2)-INDEX(ROTACAO_RDM!$I$6:$I$71,$J2152)))</f>
        <v>0</v>
      </c>
      <c r="O2152" s="19" t="n">
        <f aca="false">IF($J2152=0,0,MIN(1,$N2152/MAX(1,INDEX(ROTACAO_RDM!$K$6:$K$71,$J2152))))</f>
        <v>0</v>
      </c>
      <c r="P2152" s="16" t="n">
        <f aca="false">IF($J2152=0,0,IFERROR(MATCH(INDEX(ROTACAO_RDM!$N$6:$N$71,$J2152),PARAMETROS_CULTURAS!$B$6:$B$28,0),0))</f>
        <v>0</v>
      </c>
      <c r="Q2152" s="8" t="str">
        <f aca="false">IF($P2152=0,"-",IF($O2152&lt;=INDEX(PARAMETROS_CULTURAS!$F$6:$F$28,$P2152),"INICIAL",IF($O2152&lt;=INDEX(PARAMETROS_CULTURAS!$F$6:$F$28,$P2152)+INDEX(PARAMETROS_CULTURAS!$G$6:$G$28,$P2152),"DESENVOLVIMENTO",IF($O2152&lt;=INDEX(PARAMETROS_CULTURAS!$F$6:$F$28,$P2152)+INDEX(PARAMETROS_CULTURAS!$G$6:$G$28,$P2152)+INDEX(PARAMETROS_CULTURAS!$H$6:$H$28,$P2152),"MEDIA","FINAL"))))</f>
        <v>-</v>
      </c>
      <c r="R2152" s="24" t="n">
        <f aca="false">IF($P2152=0,0,IF($O2152&lt;=INDEX(PARAMETROS_CULTURAS!$F$6:$F$28,$P2152),INDEX(PARAMETROS_CULTURAS!$K$6:$K$28,$P2152),IF($O2152&lt;=INDEX(PARAMETROS_CULTURAS!$F$6:$F$28,$P2152)+INDEX(PARAMETROS_CULTURAS!$G$6:$G$28,$P2152),INDEX(PARAMETROS_CULTURAS!$K$6:$K$28,$P2152)+(INDEX(PARAMETROS_CULTURAS!$L$6:$L$28,$P2152)-INDEX(PARAMETROS_CULTURAS!$K$6:$K$28,$P2152))*($O2152-INDEX(PARAMETROS_CULTURAS!$F$6:$F$28,$P2152))/MAX(INDEX(PARAMETROS_CULTURAS!$G$6:$G$28,$P2152),0.0001),IF($O2152&lt;=INDEX(PARAMETROS_CULTURAS!$F$6:$F$28,$P2152)+INDEX(PARAMETROS_CULTURAS!$G$6:$G$28,$P2152)+INDEX(PARAMETROS_CULTURAS!$H$6:$H$28,$P2152),INDEX(PARAMETROS_CULTURAS!$L$6:$L$28,$P2152),INDEX(PARAMETROS_CULTURAS!$L$6:$L$28,$P2152)+(INDEX(PARAMETROS_CULTURAS!$M$6:$M$28,$P2152)-INDEX(PARAMETROS_CULTURAS!$L$6:$L$28,$P2152))*($O2152-INDEX(PARAMETROS_CULTURAS!$F$6:$F$28,$P2152)-INDEX(PARAMETROS_CULTURAS!$G$6:$G$28,$P2152)-INDEX(PARAMETROS_CULTURAS!$H$6:$H$28,$P2152))/MAX(INDEX(PARAMETROS_CULTURAS!$I$6:$I$28,$P2152),0.0001)))))</f>
        <v>0</v>
      </c>
      <c r="S2152" s="18" t="n">
        <f aca="false">IFERROR(INDEX(SEMANAS!$H$6:$H$71,MATCH($B2152,SEMANAS!$B$6:$B$71,0)),0)</f>
        <v>30.9</v>
      </c>
      <c r="T2152" s="18" t="n">
        <f aca="false">$R2152*$S2152</f>
        <v>0</v>
      </c>
      <c r="U2152" s="18" t="n">
        <f aca="false">IFERROR(INDEX(SEMANAS!$I$6:$I$71,MATCH($B2152,SEMANAS!$B$6:$B$71,0)),0)</f>
        <v>12.61</v>
      </c>
      <c r="V2152" s="18" t="n">
        <f aca="false">IFERROR(INDEX(SEMANAS!$J$6:$J$71,MATCH($B2152,SEMANAS!$B$6:$B$71,0)),0)</f>
        <v>10.088</v>
      </c>
      <c r="W2152" s="18" t="n">
        <f aca="false">MAX(0,$T2152-$V2152)</f>
        <v>0</v>
      </c>
      <c r="X2152" s="19" t="n">
        <f aca="false">IFERROR(INDEX(CADASTRO_PIVOS!$K$6:$K$41,MATCH($E2152,CADASTRO_PIVOS!$B$6:$B$41,0)),EFICIENCIA_PADRAO)</f>
        <v>0.85</v>
      </c>
      <c r="Y2152" s="18" t="n">
        <f aca="false">IF($X2152&lt;=0,0,$W2152/$X2152)</f>
        <v>0</v>
      </c>
      <c r="Z2152" s="16" t="n">
        <f aca="false">$Y2152*$H2152*MM_PARA_M3_HA</f>
        <v>0</v>
      </c>
      <c r="AA2152" s="18" t="n">
        <f aca="false">IFERROR(INDEX(CADASTRO_PIVOS!$I$6:$I$41,MATCH($E2152,CADASTRO_PIVOS!$B$6:$B$41,0)),0)</f>
        <v>526.666666666667</v>
      </c>
      <c r="AB2152" s="18" t="n">
        <f aca="false">IF($Z2152&lt;=0,0,$Z2152/$AA2152)</f>
        <v>0</v>
      </c>
      <c r="AC2152" s="16" t="n">
        <f aca="false">IFERROR(INDEX(SEMANAS!$K$6:$K$71,MATCH($B2152,SEMANAS!$B$6:$B$71,0)),0)</f>
        <v>147</v>
      </c>
      <c r="AD2152" s="19" t="n">
        <f aca="false">IF($AC2152&lt;=0,0,$AB2152/$AC2152)</f>
        <v>0</v>
      </c>
      <c r="AE2152" s="8" t="str">
        <f aca="false">IF($K2152="SEM CULTURA","SEM CULTURA",IF($AA2152&lt;=0,"DADO PENDENTE",IF($AD2152&gt;LIMITE_CRITICO,"INVIAVEL",IF($AD2152&gt;LIMITE_ATENCAO,"CRITICO",IF($AD2152&gt;LIMITE_CONFORTAVEL,"ATENCAO","OK")))))</f>
        <v>SEM CULTURA</v>
      </c>
      <c r="AF2152" s="8" t="str">
        <f aca="false">$B2152&amp;"|"&amp;TEXT($AD2152,"0.000000")</f>
        <v>35|0.000000</v>
      </c>
      <c r="AG2152" s="18" t="n">
        <f aca="false">IF($K2152="SEM CULTURA",0,$T2152*$H2152)</f>
        <v>0</v>
      </c>
      <c r="AH2152" s="18" t="n">
        <f aca="false">IF($K2152="SEM CULTURA",0,$V2152*$H2152)</f>
        <v>0</v>
      </c>
      <c r="AI2152" s="18" t="n">
        <f aca="false">IF($K2152="SEM CULTURA",0,$W2152*$H2152)</f>
        <v>0</v>
      </c>
      <c r="AJ2152" s="18" t="n">
        <f aca="false">IF($K2152="SEM CULTURA",0,$S2152*$H2152)</f>
        <v>0</v>
      </c>
      <c r="AK2152" s="8" t="str">
        <f aca="false">$E2152&amp;"|"&amp;TEXT($AD2152,"0.000000")</f>
        <v>PV 134|0.000000</v>
      </c>
    </row>
    <row r="2153" customFormat="false" ht="15" hidden="false" customHeight="false" outlineLevel="0" collapsed="false">
      <c r="B2153" s="16" t="n">
        <v>36</v>
      </c>
      <c r="C2153" s="17" t="n">
        <f aca="false">DATA_INICIO_SAFRA+($B2153-1)*DIAS_POR_SEMANA</f>
        <v>46510</v>
      </c>
      <c r="D2153" s="17" t="n">
        <f aca="false">$C2153+DIAS_POR_SEMANA-1</f>
        <v>46516</v>
      </c>
      <c r="E2153" s="15" t="s">
        <v>291</v>
      </c>
      <c r="F2153" s="8" t="str">
        <f aca="false">IFERROR(INDEX(CADASTRO_PIVOS!$C$6:$C$41,MATCH($E2153,CADASTRO_PIVOS!$B$6:$B$41,0)),"?")</f>
        <v>RM08</v>
      </c>
      <c r="G2153" s="8" t="str">
        <f aca="false">IFERROR(INDEX(CADASTRO_PIVOS!$D$6:$D$41,MATCH($E2153,CADASTRO_PIVOS!$B$6:$B$41,0)),"?")</f>
        <v>TR08</v>
      </c>
      <c r="H2153" s="20" t="n">
        <f aca="false">IFERROR(INDEX(CADASTRO_PIVOS!$E$6:$E$41,MATCH($E2153,CADASTRO_PIVOS!$B$6:$B$41,0)),0)</f>
        <v>79</v>
      </c>
      <c r="I2153" s="16" t="n">
        <f aca="false">IFERROR(SUMIFS(ROTACAO_RDM!$B$6:$B$71,ROTACAO_RDM!$D$6:$D$71,$E2153,ROTACAO_RDM!$I$6:$I$71,"&lt;="&amp;$C2153+INT(DIAS_POR_SEMANA/2),ROTACAO_RDM!$J$6:$J$71,"&gt;="&amp;$C2153+INT(DIAS_POR_SEMANA/2)),0)</f>
        <v>0</v>
      </c>
      <c r="J2153" s="16" t="n">
        <f aca="false">IFERROR(MATCH($I2153,ROTACAO_RDM!$B$6:$B$71,0),0)</f>
        <v>0</v>
      </c>
      <c r="K2153" s="8" t="str">
        <f aca="false">IF($J2153=0,"SEM CULTURA",INDEX(ROTACAO_RDM!$F$6:$F$71,$J2153))</f>
        <v>SEM CULTURA</v>
      </c>
      <c r="L2153" s="8" t="str">
        <f aca="false">IF($J2153=0,"",INDEX(ROTACAO_RDM!$G$6:$G$71,$J2153))</f>
        <v/>
      </c>
      <c r="M2153" s="17" t="str">
        <f aca="false">IF($J2153=0,"",INDEX(ROTACAO_RDM!$I$6:$I$71,$J2153))</f>
        <v/>
      </c>
      <c r="N2153" s="16" t="n">
        <f aca="false">IF($J2153=0,0,MAX(0,$C2153+INT(DIAS_POR_SEMANA/2)-INDEX(ROTACAO_RDM!$I$6:$I$71,$J2153)))</f>
        <v>0</v>
      </c>
      <c r="O2153" s="19" t="n">
        <f aca="false">IF($J2153=0,0,MIN(1,$N2153/MAX(1,INDEX(ROTACAO_RDM!$K$6:$K$71,$J2153))))</f>
        <v>0</v>
      </c>
      <c r="P2153" s="16" t="n">
        <f aca="false">IF($J2153=0,0,IFERROR(MATCH(INDEX(ROTACAO_RDM!$N$6:$N$71,$J2153),PARAMETROS_CULTURAS!$B$6:$B$28,0),0))</f>
        <v>0</v>
      </c>
      <c r="Q2153" s="8" t="str">
        <f aca="false">IF($P2153=0,"-",IF($O2153&lt;=INDEX(PARAMETROS_CULTURAS!$F$6:$F$28,$P2153),"INICIAL",IF($O2153&lt;=INDEX(PARAMETROS_CULTURAS!$F$6:$F$28,$P2153)+INDEX(PARAMETROS_CULTURAS!$G$6:$G$28,$P2153),"DESENVOLVIMENTO",IF($O2153&lt;=INDEX(PARAMETROS_CULTURAS!$F$6:$F$28,$P2153)+INDEX(PARAMETROS_CULTURAS!$G$6:$G$28,$P2153)+INDEX(PARAMETROS_CULTURAS!$H$6:$H$28,$P2153),"MEDIA","FINAL"))))</f>
        <v>-</v>
      </c>
      <c r="R2153" s="24" t="n">
        <f aca="false">IF($P2153=0,0,IF($O2153&lt;=INDEX(PARAMETROS_CULTURAS!$F$6:$F$28,$P2153),INDEX(PARAMETROS_CULTURAS!$K$6:$K$28,$P2153),IF($O2153&lt;=INDEX(PARAMETROS_CULTURAS!$F$6:$F$28,$P2153)+INDEX(PARAMETROS_CULTURAS!$G$6:$G$28,$P2153),INDEX(PARAMETROS_CULTURAS!$K$6:$K$28,$P2153)+(INDEX(PARAMETROS_CULTURAS!$L$6:$L$28,$P2153)-INDEX(PARAMETROS_CULTURAS!$K$6:$K$28,$P2153))*($O2153-INDEX(PARAMETROS_CULTURAS!$F$6:$F$28,$P2153))/MAX(INDEX(PARAMETROS_CULTURAS!$G$6:$G$28,$P2153),0.0001),IF($O2153&lt;=INDEX(PARAMETROS_CULTURAS!$F$6:$F$28,$P2153)+INDEX(PARAMETROS_CULTURAS!$G$6:$G$28,$P2153)+INDEX(PARAMETROS_CULTURAS!$H$6:$H$28,$P2153),INDEX(PARAMETROS_CULTURAS!$L$6:$L$28,$P2153),INDEX(PARAMETROS_CULTURAS!$L$6:$L$28,$P2153)+(INDEX(PARAMETROS_CULTURAS!$M$6:$M$28,$P2153)-INDEX(PARAMETROS_CULTURAS!$L$6:$L$28,$P2153))*($O2153-INDEX(PARAMETROS_CULTURAS!$F$6:$F$28,$P2153)-INDEX(PARAMETROS_CULTURAS!$G$6:$G$28,$P2153)-INDEX(PARAMETROS_CULTURAS!$H$6:$H$28,$P2153))/MAX(INDEX(PARAMETROS_CULTURAS!$I$6:$I$28,$P2153),0.0001)))))</f>
        <v>0</v>
      </c>
      <c r="S2153" s="18" t="n">
        <f aca="false">IFERROR(INDEX(SEMANAS!$H$6:$H$71,MATCH($B2153,SEMANAS!$B$6:$B$71,0)),0)</f>
        <v>29.4</v>
      </c>
      <c r="T2153" s="18" t="n">
        <f aca="false">$R2153*$S2153</f>
        <v>0</v>
      </c>
      <c r="U2153" s="18" t="n">
        <f aca="false">IFERROR(INDEX(SEMANAS!$I$6:$I$71,MATCH($B2153,SEMANAS!$B$6:$B$71,0)),0)</f>
        <v>3.36</v>
      </c>
      <c r="V2153" s="18" t="n">
        <f aca="false">IFERROR(INDEX(SEMANAS!$J$6:$J$71,MATCH($B2153,SEMANAS!$B$6:$B$71,0)),0)</f>
        <v>2.688</v>
      </c>
      <c r="W2153" s="18" t="n">
        <f aca="false">MAX(0,$T2153-$V2153)</f>
        <v>0</v>
      </c>
      <c r="X2153" s="19" t="n">
        <f aca="false">IFERROR(INDEX(CADASTRO_PIVOS!$K$6:$K$41,MATCH($E2153,CADASTRO_PIVOS!$B$6:$B$41,0)),EFICIENCIA_PADRAO)</f>
        <v>0.85</v>
      </c>
      <c r="Y2153" s="18" t="n">
        <f aca="false">IF($X2153&lt;=0,0,$W2153/$X2153)</f>
        <v>0</v>
      </c>
      <c r="Z2153" s="16" t="n">
        <f aca="false">$Y2153*$H2153*MM_PARA_M3_HA</f>
        <v>0</v>
      </c>
      <c r="AA2153" s="18" t="n">
        <f aca="false">IFERROR(INDEX(CADASTRO_PIVOS!$I$6:$I$41,MATCH($E2153,CADASTRO_PIVOS!$B$6:$B$41,0)),0)</f>
        <v>526.666666666667</v>
      </c>
      <c r="AB2153" s="18" t="n">
        <f aca="false">IF($Z2153&lt;=0,0,$Z2153/$AA2153)</f>
        <v>0</v>
      </c>
      <c r="AC2153" s="16" t="n">
        <f aca="false">IFERROR(INDEX(SEMANAS!$K$6:$K$71,MATCH($B2153,SEMANAS!$B$6:$B$71,0)),0)</f>
        <v>147</v>
      </c>
      <c r="AD2153" s="19" t="n">
        <f aca="false">IF($AC2153&lt;=0,0,$AB2153/$AC2153)</f>
        <v>0</v>
      </c>
      <c r="AE2153" s="8" t="str">
        <f aca="false">IF($K2153="SEM CULTURA","SEM CULTURA",IF($AA2153&lt;=0,"DADO PENDENTE",IF($AD2153&gt;LIMITE_CRITICO,"INVIAVEL",IF($AD2153&gt;LIMITE_ATENCAO,"CRITICO",IF($AD2153&gt;LIMITE_CONFORTAVEL,"ATENCAO","OK")))))</f>
        <v>SEM CULTURA</v>
      </c>
      <c r="AF2153" s="8" t="str">
        <f aca="false">$B2153&amp;"|"&amp;TEXT($AD2153,"0.000000")</f>
        <v>36|0.000000</v>
      </c>
      <c r="AG2153" s="18" t="n">
        <f aca="false">IF($K2153="SEM CULTURA",0,$T2153*$H2153)</f>
        <v>0</v>
      </c>
      <c r="AH2153" s="18" t="n">
        <f aca="false">IF($K2153="SEM CULTURA",0,$V2153*$H2153)</f>
        <v>0</v>
      </c>
      <c r="AI2153" s="18" t="n">
        <f aca="false">IF($K2153="SEM CULTURA",0,$W2153*$H2153)</f>
        <v>0</v>
      </c>
      <c r="AJ2153" s="18" t="n">
        <f aca="false">IF($K2153="SEM CULTURA",0,$S2153*$H2153)</f>
        <v>0</v>
      </c>
      <c r="AK2153" s="8" t="str">
        <f aca="false">$E2153&amp;"|"&amp;TEXT($AD2153,"0.000000")</f>
        <v>PV 134|0.000000</v>
      </c>
    </row>
    <row r="2154" customFormat="false" ht="15" hidden="false" customHeight="false" outlineLevel="0" collapsed="false">
      <c r="B2154" s="16" t="n">
        <v>37</v>
      </c>
      <c r="C2154" s="17" t="n">
        <f aca="false">DATA_INICIO_SAFRA+($B2154-1)*DIAS_POR_SEMANA</f>
        <v>46517</v>
      </c>
      <c r="D2154" s="17" t="n">
        <f aca="false">$C2154+DIAS_POR_SEMANA-1</f>
        <v>46523</v>
      </c>
      <c r="E2154" s="15" t="s">
        <v>291</v>
      </c>
      <c r="F2154" s="8" t="str">
        <f aca="false">IFERROR(INDEX(CADASTRO_PIVOS!$C$6:$C$41,MATCH($E2154,CADASTRO_PIVOS!$B$6:$B$41,0)),"?")</f>
        <v>RM08</v>
      </c>
      <c r="G2154" s="8" t="str">
        <f aca="false">IFERROR(INDEX(CADASTRO_PIVOS!$D$6:$D$41,MATCH($E2154,CADASTRO_PIVOS!$B$6:$B$41,0)),"?")</f>
        <v>TR08</v>
      </c>
      <c r="H2154" s="20" t="n">
        <f aca="false">IFERROR(INDEX(CADASTRO_PIVOS!$E$6:$E$41,MATCH($E2154,CADASTRO_PIVOS!$B$6:$B$41,0)),0)</f>
        <v>79</v>
      </c>
      <c r="I2154" s="16" t="n">
        <f aca="false">IFERROR(SUMIFS(ROTACAO_RDM!$B$6:$B$71,ROTACAO_RDM!$D$6:$D$71,$E2154,ROTACAO_RDM!$I$6:$I$71,"&lt;="&amp;$C2154+INT(DIAS_POR_SEMANA/2),ROTACAO_RDM!$J$6:$J$71,"&gt;="&amp;$C2154+INT(DIAS_POR_SEMANA/2)),0)</f>
        <v>0</v>
      </c>
      <c r="J2154" s="16" t="n">
        <f aca="false">IFERROR(MATCH($I2154,ROTACAO_RDM!$B$6:$B$71,0),0)</f>
        <v>0</v>
      </c>
      <c r="K2154" s="8" t="str">
        <f aca="false">IF($J2154=0,"SEM CULTURA",INDEX(ROTACAO_RDM!$F$6:$F$71,$J2154))</f>
        <v>SEM CULTURA</v>
      </c>
      <c r="L2154" s="8" t="str">
        <f aca="false">IF($J2154=0,"",INDEX(ROTACAO_RDM!$G$6:$G$71,$J2154))</f>
        <v/>
      </c>
      <c r="M2154" s="17" t="str">
        <f aca="false">IF($J2154=0,"",INDEX(ROTACAO_RDM!$I$6:$I$71,$J2154))</f>
        <v/>
      </c>
      <c r="N2154" s="16" t="n">
        <f aca="false">IF($J2154=0,0,MAX(0,$C2154+INT(DIAS_POR_SEMANA/2)-INDEX(ROTACAO_RDM!$I$6:$I$71,$J2154)))</f>
        <v>0</v>
      </c>
      <c r="O2154" s="19" t="n">
        <f aca="false">IF($J2154=0,0,MIN(1,$N2154/MAX(1,INDEX(ROTACAO_RDM!$K$6:$K$71,$J2154))))</f>
        <v>0</v>
      </c>
      <c r="P2154" s="16" t="n">
        <f aca="false">IF($J2154=0,0,IFERROR(MATCH(INDEX(ROTACAO_RDM!$N$6:$N$71,$J2154),PARAMETROS_CULTURAS!$B$6:$B$28,0),0))</f>
        <v>0</v>
      </c>
      <c r="Q2154" s="8" t="str">
        <f aca="false">IF($P2154=0,"-",IF($O2154&lt;=INDEX(PARAMETROS_CULTURAS!$F$6:$F$28,$P2154),"INICIAL",IF($O2154&lt;=INDEX(PARAMETROS_CULTURAS!$F$6:$F$28,$P2154)+INDEX(PARAMETROS_CULTURAS!$G$6:$G$28,$P2154),"DESENVOLVIMENTO",IF($O2154&lt;=INDEX(PARAMETROS_CULTURAS!$F$6:$F$28,$P2154)+INDEX(PARAMETROS_CULTURAS!$G$6:$G$28,$P2154)+INDEX(PARAMETROS_CULTURAS!$H$6:$H$28,$P2154),"MEDIA","FINAL"))))</f>
        <v>-</v>
      </c>
      <c r="R2154" s="24" t="n">
        <f aca="false">IF($P2154=0,0,IF($O2154&lt;=INDEX(PARAMETROS_CULTURAS!$F$6:$F$28,$P2154),INDEX(PARAMETROS_CULTURAS!$K$6:$K$28,$P2154),IF($O2154&lt;=INDEX(PARAMETROS_CULTURAS!$F$6:$F$28,$P2154)+INDEX(PARAMETROS_CULTURAS!$G$6:$G$28,$P2154),INDEX(PARAMETROS_CULTURAS!$K$6:$K$28,$P2154)+(INDEX(PARAMETROS_CULTURAS!$L$6:$L$28,$P2154)-INDEX(PARAMETROS_CULTURAS!$K$6:$K$28,$P2154))*($O2154-INDEX(PARAMETROS_CULTURAS!$F$6:$F$28,$P2154))/MAX(INDEX(PARAMETROS_CULTURAS!$G$6:$G$28,$P2154),0.0001),IF($O2154&lt;=INDEX(PARAMETROS_CULTURAS!$F$6:$F$28,$P2154)+INDEX(PARAMETROS_CULTURAS!$G$6:$G$28,$P2154)+INDEX(PARAMETROS_CULTURAS!$H$6:$H$28,$P2154),INDEX(PARAMETROS_CULTURAS!$L$6:$L$28,$P2154),INDEX(PARAMETROS_CULTURAS!$L$6:$L$28,$P2154)+(INDEX(PARAMETROS_CULTURAS!$M$6:$M$28,$P2154)-INDEX(PARAMETROS_CULTURAS!$L$6:$L$28,$P2154))*($O2154-INDEX(PARAMETROS_CULTURAS!$F$6:$F$28,$P2154)-INDEX(PARAMETROS_CULTURAS!$G$6:$G$28,$P2154)-INDEX(PARAMETROS_CULTURAS!$H$6:$H$28,$P2154))/MAX(INDEX(PARAMETROS_CULTURAS!$I$6:$I$28,$P2154),0.0001)))))</f>
        <v>0</v>
      </c>
      <c r="S2154" s="18" t="n">
        <f aca="false">IFERROR(INDEX(SEMANAS!$H$6:$H$71,MATCH($B2154,SEMANAS!$B$6:$B$71,0)),0)</f>
        <v>29.4</v>
      </c>
      <c r="T2154" s="18" t="n">
        <f aca="false">$R2154*$S2154</f>
        <v>0</v>
      </c>
      <c r="U2154" s="18" t="n">
        <f aca="false">IFERROR(INDEX(SEMANAS!$I$6:$I$71,MATCH($B2154,SEMANAS!$B$6:$B$71,0)),0)</f>
        <v>3.36</v>
      </c>
      <c r="V2154" s="18" t="n">
        <f aca="false">IFERROR(INDEX(SEMANAS!$J$6:$J$71,MATCH($B2154,SEMANAS!$B$6:$B$71,0)),0)</f>
        <v>2.688</v>
      </c>
      <c r="W2154" s="18" t="n">
        <f aca="false">MAX(0,$T2154-$V2154)</f>
        <v>0</v>
      </c>
      <c r="X2154" s="19" t="n">
        <f aca="false">IFERROR(INDEX(CADASTRO_PIVOS!$K$6:$K$41,MATCH($E2154,CADASTRO_PIVOS!$B$6:$B$41,0)),EFICIENCIA_PADRAO)</f>
        <v>0.85</v>
      </c>
      <c r="Y2154" s="18" t="n">
        <f aca="false">IF($X2154&lt;=0,0,$W2154/$X2154)</f>
        <v>0</v>
      </c>
      <c r="Z2154" s="16" t="n">
        <f aca="false">$Y2154*$H2154*MM_PARA_M3_HA</f>
        <v>0</v>
      </c>
      <c r="AA2154" s="18" t="n">
        <f aca="false">IFERROR(INDEX(CADASTRO_PIVOS!$I$6:$I$41,MATCH($E2154,CADASTRO_PIVOS!$B$6:$B$41,0)),0)</f>
        <v>526.666666666667</v>
      </c>
      <c r="AB2154" s="18" t="n">
        <f aca="false">IF($Z2154&lt;=0,0,$Z2154/$AA2154)</f>
        <v>0</v>
      </c>
      <c r="AC2154" s="16" t="n">
        <f aca="false">IFERROR(INDEX(SEMANAS!$K$6:$K$71,MATCH($B2154,SEMANAS!$B$6:$B$71,0)),0)</f>
        <v>147</v>
      </c>
      <c r="AD2154" s="19" t="n">
        <f aca="false">IF($AC2154&lt;=0,0,$AB2154/$AC2154)</f>
        <v>0</v>
      </c>
      <c r="AE2154" s="8" t="str">
        <f aca="false">IF($K2154="SEM CULTURA","SEM CULTURA",IF($AA2154&lt;=0,"DADO PENDENTE",IF($AD2154&gt;LIMITE_CRITICO,"INVIAVEL",IF($AD2154&gt;LIMITE_ATENCAO,"CRITICO",IF($AD2154&gt;LIMITE_CONFORTAVEL,"ATENCAO","OK")))))</f>
        <v>SEM CULTURA</v>
      </c>
      <c r="AF2154" s="8" t="str">
        <f aca="false">$B2154&amp;"|"&amp;TEXT($AD2154,"0.000000")</f>
        <v>37|0.000000</v>
      </c>
      <c r="AG2154" s="18" t="n">
        <f aca="false">IF($K2154="SEM CULTURA",0,$T2154*$H2154)</f>
        <v>0</v>
      </c>
      <c r="AH2154" s="18" t="n">
        <f aca="false">IF($K2154="SEM CULTURA",0,$V2154*$H2154)</f>
        <v>0</v>
      </c>
      <c r="AI2154" s="18" t="n">
        <f aca="false">IF($K2154="SEM CULTURA",0,$W2154*$H2154)</f>
        <v>0</v>
      </c>
      <c r="AJ2154" s="18" t="n">
        <f aca="false">IF($K2154="SEM CULTURA",0,$S2154*$H2154)</f>
        <v>0</v>
      </c>
      <c r="AK2154" s="8" t="str">
        <f aca="false">$E2154&amp;"|"&amp;TEXT($AD2154,"0.000000")</f>
        <v>PV 134|0.000000</v>
      </c>
    </row>
    <row r="2155" customFormat="false" ht="15" hidden="false" customHeight="false" outlineLevel="0" collapsed="false">
      <c r="B2155" s="16" t="n">
        <v>38</v>
      </c>
      <c r="C2155" s="17" t="n">
        <f aca="false">DATA_INICIO_SAFRA+($B2155-1)*DIAS_POR_SEMANA</f>
        <v>46524</v>
      </c>
      <c r="D2155" s="17" t="n">
        <f aca="false">$C2155+DIAS_POR_SEMANA-1</f>
        <v>46530</v>
      </c>
      <c r="E2155" s="15" t="s">
        <v>291</v>
      </c>
      <c r="F2155" s="8" t="str">
        <f aca="false">IFERROR(INDEX(CADASTRO_PIVOS!$C$6:$C$41,MATCH($E2155,CADASTRO_PIVOS!$B$6:$B$41,0)),"?")</f>
        <v>RM08</v>
      </c>
      <c r="G2155" s="8" t="str">
        <f aca="false">IFERROR(INDEX(CADASTRO_PIVOS!$D$6:$D$41,MATCH($E2155,CADASTRO_PIVOS!$B$6:$B$41,0)),"?")</f>
        <v>TR08</v>
      </c>
      <c r="H2155" s="20" t="n">
        <f aca="false">IFERROR(INDEX(CADASTRO_PIVOS!$E$6:$E$41,MATCH($E2155,CADASTRO_PIVOS!$B$6:$B$41,0)),0)</f>
        <v>79</v>
      </c>
      <c r="I2155" s="16" t="n">
        <f aca="false">IFERROR(SUMIFS(ROTACAO_RDM!$B$6:$B$71,ROTACAO_RDM!$D$6:$D$71,$E2155,ROTACAO_RDM!$I$6:$I$71,"&lt;="&amp;$C2155+INT(DIAS_POR_SEMANA/2),ROTACAO_RDM!$J$6:$J$71,"&gt;="&amp;$C2155+INT(DIAS_POR_SEMANA/2)),0)</f>
        <v>0</v>
      </c>
      <c r="J2155" s="16" t="n">
        <f aca="false">IFERROR(MATCH($I2155,ROTACAO_RDM!$B$6:$B$71,0),0)</f>
        <v>0</v>
      </c>
      <c r="K2155" s="8" t="str">
        <f aca="false">IF($J2155=0,"SEM CULTURA",INDEX(ROTACAO_RDM!$F$6:$F$71,$J2155))</f>
        <v>SEM CULTURA</v>
      </c>
      <c r="L2155" s="8" t="str">
        <f aca="false">IF($J2155=0,"",INDEX(ROTACAO_RDM!$G$6:$G$71,$J2155))</f>
        <v/>
      </c>
      <c r="M2155" s="17" t="str">
        <f aca="false">IF($J2155=0,"",INDEX(ROTACAO_RDM!$I$6:$I$71,$J2155))</f>
        <v/>
      </c>
      <c r="N2155" s="16" t="n">
        <f aca="false">IF($J2155=0,0,MAX(0,$C2155+INT(DIAS_POR_SEMANA/2)-INDEX(ROTACAO_RDM!$I$6:$I$71,$J2155)))</f>
        <v>0</v>
      </c>
      <c r="O2155" s="19" t="n">
        <f aca="false">IF($J2155=0,0,MIN(1,$N2155/MAX(1,INDEX(ROTACAO_RDM!$K$6:$K$71,$J2155))))</f>
        <v>0</v>
      </c>
      <c r="P2155" s="16" t="n">
        <f aca="false">IF($J2155=0,0,IFERROR(MATCH(INDEX(ROTACAO_RDM!$N$6:$N$71,$J2155),PARAMETROS_CULTURAS!$B$6:$B$28,0),0))</f>
        <v>0</v>
      </c>
      <c r="Q2155" s="8" t="str">
        <f aca="false">IF($P2155=0,"-",IF($O2155&lt;=INDEX(PARAMETROS_CULTURAS!$F$6:$F$28,$P2155),"INICIAL",IF($O2155&lt;=INDEX(PARAMETROS_CULTURAS!$F$6:$F$28,$P2155)+INDEX(PARAMETROS_CULTURAS!$G$6:$G$28,$P2155),"DESENVOLVIMENTO",IF($O2155&lt;=INDEX(PARAMETROS_CULTURAS!$F$6:$F$28,$P2155)+INDEX(PARAMETROS_CULTURAS!$G$6:$G$28,$P2155)+INDEX(PARAMETROS_CULTURAS!$H$6:$H$28,$P2155),"MEDIA","FINAL"))))</f>
        <v>-</v>
      </c>
      <c r="R2155" s="24" t="n">
        <f aca="false">IF($P2155=0,0,IF($O2155&lt;=INDEX(PARAMETROS_CULTURAS!$F$6:$F$28,$P2155),INDEX(PARAMETROS_CULTURAS!$K$6:$K$28,$P2155),IF($O2155&lt;=INDEX(PARAMETROS_CULTURAS!$F$6:$F$28,$P2155)+INDEX(PARAMETROS_CULTURAS!$G$6:$G$28,$P2155),INDEX(PARAMETROS_CULTURAS!$K$6:$K$28,$P2155)+(INDEX(PARAMETROS_CULTURAS!$L$6:$L$28,$P2155)-INDEX(PARAMETROS_CULTURAS!$K$6:$K$28,$P2155))*($O2155-INDEX(PARAMETROS_CULTURAS!$F$6:$F$28,$P2155))/MAX(INDEX(PARAMETROS_CULTURAS!$G$6:$G$28,$P2155),0.0001),IF($O2155&lt;=INDEX(PARAMETROS_CULTURAS!$F$6:$F$28,$P2155)+INDEX(PARAMETROS_CULTURAS!$G$6:$G$28,$P2155)+INDEX(PARAMETROS_CULTURAS!$H$6:$H$28,$P2155),INDEX(PARAMETROS_CULTURAS!$L$6:$L$28,$P2155),INDEX(PARAMETROS_CULTURAS!$L$6:$L$28,$P2155)+(INDEX(PARAMETROS_CULTURAS!$M$6:$M$28,$P2155)-INDEX(PARAMETROS_CULTURAS!$L$6:$L$28,$P2155))*($O2155-INDEX(PARAMETROS_CULTURAS!$F$6:$F$28,$P2155)-INDEX(PARAMETROS_CULTURAS!$G$6:$G$28,$P2155)-INDEX(PARAMETROS_CULTURAS!$H$6:$H$28,$P2155))/MAX(INDEX(PARAMETROS_CULTURAS!$I$6:$I$28,$P2155),0.0001)))))</f>
        <v>0</v>
      </c>
      <c r="S2155" s="18" t="n">
        <f aca="false">IFERROR(INDEX(SEMANAS!$H$6:$H$71,MATCH($B2155,SEMANAS!$B$6:$B$71,0)),0)</f>
        <v>29.4</v>
      </c>
      <c r="T2155" s="18" t="n">
        <f aca="false">$R2155*$S2155</f>
        <v>0</v>
      </c>
      <c r="U2155" s="18" t="n">
        <f aca="false">IFERROR(INDEX(SEMANAS!$I$6:$I$71,MATCH($B2155,SEMANAS!$B$6:$B$71,0)),0)</f>
        <v>3.36</v>
      </c>
      <c r="V2155" s="18" t="n">
        <f aca="false">IFERROR(INDEX(SEMANAS!$J$6:$J$71,MATCH($B2155,SEMANAS!$B$6:$B$71,0)),0)</f>
        <v>2.688</v>
      </c>
      <c r="W2155" s="18" t="n">
        <f aca="false">MAX(0,$T2155-$V2155)</f>
        <v>0</v>
      </c>
      <c r="X2155" s="19" t="n">
        <f aca="false">IFERROR(INDEX(CADASTRO_PIVOS!$K$6:$K$41,MATCH($E2155,CADASTRO_PIVOS!$B$6:$B$41,0)),EFICIENCIA_PADRAO)</f>
        <v>0.85</v>
      </c>
      <c r="Y2155" s="18" t="n">
        <f aca="false">IF($X2155&lt;=0,0,$W2155/$X2155)</f>
        <v>0</v>
      </c>
      <c r="Z2155" s="16" t="n">
        <f aca="false">$Y2155*$H2155*MM_PARA_M3_HA</f>
        <v>0</v>
      </c>
      <c r="AA2155" s="18" t="n">
        <f aca="false">IFERROR(INDEX(CADASTRO_PIVOS!$I$6:$I$41,MATCH($E2155,CADASTRO_PIVOS!$B$6:$B$41,0)),0)</f>
        <v>526.666666666667</v>
      </c>
      <c r="AB2155" s="18" t="n">
        <f aca="false">IF($Z2155&lt;=0,0,$Z2155/$AA2155)</f>
        <v>0</v>
      </c>
      <c r="AC2155" s="16" t="n">
        <f aca="false">IFERROR(INDEX(SEMANAS!$K$6:$K$71,MATCH($B2155,SEMANAS!$B$6:$B$71,0)),0)</f>
        <v>147</v>
      </c>
      <c r="AD2155" s="19" t="n">
        <f aca="false">IF($AC2155&lt;=0,0,$AB2155/$AC2155)</f>
        <v>0</v>
      </c>
      <c r="AE2155" s="8" t="str">
        <f aca="false">IF($K2155="SEM CULTURA","SEM CULTURA",IF($AA2155&lt;=0,"DADO PENDENTE",IF($AD2155&gt;LIMITE_CRITICO,"INVIAVEL",IF($AD2155&gt;LIMITE_ATENCAO,"CRITICO",IF($AD2155&gt;LIMITE_CONFORTAVEL,"ATENCAO","OK")))))</f>
        <v>SEM CULTURA</v>
      </c>
      <c r="AF2155" s="8" t="str">
        <f aca="false">$B2155&amp;"|"&amp;TEXT($AD2155,"0.000000")</f>
        <v>38|0.000000</v>
      </c>
      <c r="AG2155" s="18" t="n">
        <f aca="false">IF($K2155="SEM CULTURA",0,$T2155*$H2155)</f>
        <v>0</v>
      </c>
      <c r="AH2155" s="18" t="n">
        <f aca="false">IF($K2155="SEM CULTURA",0,$V2155*$H2155)</f>
        <v>0</v>
      </c>
      <c r="AI2155" s="18" t="n">
        <f aca="false">IF($K2155="SEM CULTURA",0,$W2155*$H2155)</f>
        <v>0</v>
      </c>
      <c r="AJ2155" s="18" t="n">
        <f aca="false">IF($K2155="SEM CULTURA",0,$S2155*$H2155)</f>
        <v>0</v>
      </c>
      <c r="AK2155" s="8" t="str">
        <f aca="false">$E2155&amp;"|"&amp;TEXT($AD2155,"0.000000")</f>
        <v>PV 134|0.000000</v>
      </c>
    </row>
    <row r="2156" customFormat="false" ht="15" hidden="false" customHeight="false" outlineLevel="0" collapsed="false">
      <c r="B2156" s="16" t="n">
        <v>39</v>
      </c>
      <c r="C2156" s="17" t="n">
        <f aca="false">DATA_INICIO_SAFRA+($B2156-1)*DIAS_POR_SEMANA</f>
        <v>46531</v>
      </c>
      <c r="D2156" s="17" t="n">
        <f aca="false">$C2156+DIAS_POR_SEMANA-1</f>
        <v>46537</v>
      </c>
      <c r="E2156" s="15" t="s">
        <v>291</v>
      </c>
      <c r="F2156" s="8" t="str">
        <f aca="false">IFERROR(INDEX(CADASTRO_PIVOS!$C$6:$C$41,MATCH($E2156,CADASTRO_PIVOS!$B$6:$B$41,0)),"?")</f>
        <v>RM08</v>
      </c>
      <c r="G2156" s="8" t="str">
        <f aca="false">IFERROR(INDEX(CADASTRO_PIVOS!$D$6:$D$41,MATCH($E2156,CADASTRO_PIVOS!$B$6:$B$41,0)),"?")</f>
        <v>TR08</v>
      </c>
      <c r="H2156" s="20" t="n">
        <f aca="false">IFERROR(INDEX(CADASTRO_PIVOS!$E$6:$E$41,MATCH($E2156,CADASTRO_PIVOS!$B$6:$B$41,0)),0)</f>
        <v>79</v>
      </c>
      <c r="I2156" s="16" t="n">
        <f aca="false">IFERROR(SUMIFS(ROTACAO_RDM!$B$6:$B$71,ROTACAO_RDM!$D$6:$D$71,$E2156,ROTACAO_RDM!$I$6:$I$71,"&lt;="&amp;$C2156+INT(DIAS_POR_SEMANA/2),ROTACAO_RDM!$J$6:$J$71,"&gt;="&amp;$C2156+INT(DIAS_POR_SEMANA/2)),0)</f>
        <v>0</v>
      </c>
      <c r="J2156" s="16" t="n">
        <f aca="false">IFERROR(MATCH($I2156,ROTACAO_RDM!$B$6:$B$71,0),0)</f>
        <v>0</v>
      </c>
      <c r="K2156" s="8" t="str">
        <f aca="false">IF($J2156=0,"SEM CULTURA",INDEX(ROTACAO_RDM!$F$6:$F$71,$J2156))</f>
        <v>SEM CULTURA</v>
      </c>
      <c r="L2156" s="8" t="str">
        <f aca="false">IF($J2156=0,"",INDEX(ROTACAO_RDM!$G$6:$G$71,$J2156))</f>
        <v/>
      </c>
      <c r="M2156" s="17" t="str">
        <f aca="false">IF($J2156=0,"",INDEX(ROTACAO_RDM!$I$6:$I$71,$J2156))</f>
        <v/>
      </c>
      <c r="N2156" s="16" t="n">
        <f aca="false">IF($J2156=0,0,MAX(0,$C2156+INT(DIAS_POR_SEMANA/2)-INDEX(ROTACAO_RDM!$I$6:$I$71,$J2156)))</f>
        <v>0</v>
      </c>
      <c r="O2156" s="19" t="n">
        <f aca="false">IF($J2156=0,0,MIN(1,$N2156/MAX(1,INDEX(ROTACAO_RDM!$K$6:$K$71,$J2156))))</f>
        <v>0</v>
      </c>
      <c r="P2156" s="16" t="n">
        <f aca="false">IF($J2156=0,0,IFERROR(MATCH(INDEX(ROTACAO_RDM!$N$6:$N$71,$J2156),PARAMETROS_CULTURAS!$B$6:$B$28,0),0))</f>
        <v>0</v>
      </c>
      <c r="Q2156" s="8" t="str">
        <f aca="false">IF($P2156=0,"-",IF($O2156&lt;=INDEX(PARAMETROS_CULTURAS!$F$6:$F$28,$P2156),"INICIAL",IF($O2156&lt;=INDEX(PARAMETROS_CULTURAS!$F$6:$F$28,$P2156)+INDEX(PARAMETROS_CULTURAS!$G$6:$G$28,$P2156),"DESENVOLVIMENTO",IF($O2156&lt;=INDEX(PARAMETROS_CULTURAS!$F$6:$F$28,$P2156)+INDEX(PARAMETROS_CULTURAS!$G$6:$G$28,$P2156)+INDEX(PARAMETROS_CULTURAS!$H$6:$H$28,$P2156),"MEDIA","FINAL"))))</f>
        <v>-</v>
      </c>
      <c r="R2156" s="24" t="n">
        <f aca="false">IF($P2156=0,0,IF($O2156&lt;=INDEX(PARAMETROS_CULTURAS!$F$6:$F$28,$P2156),INDEX(PARAMETROS_CULTURAS!$K$6:$K$28,$P2156),IF($O2156&lt;=INDEX(PARAMETROS_CULTURAS!$F$6:$F$28,$P2156)+INDEX(PARAMETROS_CULTURAS!$G$6:$G$28,$P2156),INDEX(PARAMETROS_CULTURAS!$K$6:$K$28,$P2156)+(INDEX(PARAMETROS_CULTURAS!$L$6:$L$28,$P2156)-INDEX(PARAMETROS_CULTURAS!$K$6:$K$28,$P2156))*($O2156-INDEX(PARAMETROS_CULTURAS!$F$6:$F$28,$P2156))/MAX(INDEX(PARAMETROS_CULTURAS!$G$6:$G$28,$P2156),0.0001),IF($O2156&lt;=INDEX(PARAMETROS_CULTURAS!$F$6:$F$28,$P2156)+INDEX(PARAMETROS_CULTURAS!$G$6:$G$28,$P2156)+INDEX(PARAMETROS_CULTURAS!$H$6:$H$28,$P2156),INDEX(PARAMETROS_CULTURAS!$L$6:$L$28,$P2156),INDEX(PARAMETROS_CULTURAS!$L$6:$L$28,$P2156)+(INDEX(PARAMETROS_CULTURAS!$M$6:$M$28,$P2156)-INDEX(PARAMETROS_CULTURAS!$L$6:$L$28,$P2156))*($O2156-INDEX(PARAMETROS_CULTURAS!$F$6:$F$28,$P2156)-INDEX(PARAMETROS_CULTURAS!$G$6:$G$28,$P2156)-INDEX(PARAMETROS_CULTURAS!$H$6:$H$28,$P2156))/MAX(INDEX(PARAMETROS_CULTURAS!$I$6:$I$28,$P2156),0.0001)))))</f>
        <v>0</v>
      </c>
      <c r="S2156" s="18" t="n">
        <f aca="false">IFERROR(INDEX(SEMANAS!$H$6:$H$71,MATCH($B2156,SEMANAS!$B$6:$B$71,0)),0)</f>
        <v>29.4</v>
      </c>
      <c r="T2156" s="18" t="n">
        <f aca="false">$R2156*$S2156</f>
        <v>0</v>
      </c>
      <c r="U2156" s="18" t="n">
        <f aca="false">IFERROR(INDEX(SEMANAS!$I$6:$I$71,MATCH($B2156,SEMANAS!$B$6:$B$71,0)),0)</f>
        <v>3.36</v>
      </c>
      <c r="V2156" s="18" t="n">
        <f aca="false">IFERROR(INDEX(SEMANAS!$J$6:$J$71,MATCH($B2156,SEMANAS!$B$6:$B$71,0)),0)</f>
        <v>2.688</v>
      </c>
      <c r="W2156" s="18" t="n">
        <f aca="false">MAX(0,$T2156-$V2156)</f>
        <v>0</v>
      </c>
      <c r="X2156" s="19" t="n">
        <f aca="false">IFERROR(INDEX(CADASTRO_PIVOS!$K$6:$K$41,MATCH($E2156,CADASTRO_PIVOS!$B$6:$B$41,0)),EFICIENCIA_PADRAO)</f>
        <v>0.85</v>
      </c>
      <c r="Y2156" s="18" t="n">
        <f aca="false">IF($X2156&lt;=0,0,$W2156/$X2156)</f>
        <v>0</v>
      </c>
      <c r="Z2156" s="16" t="n">
        <f aca="false">$Y2156*$H2156*MM_PARA_M3_HA</f>
        <v>0</v>
      </c>
      <c r="AA2156" s="18" t="n">
        <f aca="false">IFERROR(INDEX(CADASTRO_PIVOS!$I$6:$I$41,MATCH($E2156,CADASTRO_PIVOS!$B$6:$B$41,0)),0)</f>
        <v>526.666666666667</v>
      </c>
      <c r="AB2156" s="18" t="n">
        <f aca="false">IF($Z2156&lt;=0,0,$Z2156/$AA2156)</f>
        <v>0</v>
      </c>
      <c r="AC2156" s="16" t="n">
        <f aca="false">IFERROR(INDEX(SEMANAS!$K$6:$K$71,MATCH($B2156,SEMANAS!$B$6:$B$71,0)),0)</f>
        <v>147</v>
      </c>
      <c r="AD2156" s="19" t="n">
        <f aca="false">IF($AC2156&lt;=0,0,$AB2156/$AC2156)</f>
        <v>0</v>
      </c>
      <c r="AE2156" s="8" t="str">
        <f aca="false">IF($K2156="SEM CULTURA","SEM CULTURA",IF($AA2156&lt;=0,"DADO PENDENTE",IF($AD2156&gt;LIMITE_CRITICO,"INVIAVEL",IF($AD2156&gt;LIMITE_ATENCAO,"CRITICO",IF($AD2156&gt;LIMITE_CONFORTAVEL,"ATENCAO","OK")))))</f>
        <v>SEM CULTURA</v>
      </c>
      <c r="AF2156" s="8" t="str">
        <f aca="false">$B2156&amp;"|"&amp;TEXT($AD2156,"0.000000")</f>
        <v>39|0.000000</v>
      </c>
      <c r="AG2156" s="18" t="n">
        <f aca="false">IF($K2156="SEM CULTURA",0,$T2156*$H2156)</f>
        <v>0</v>
      </c>
      <c r="AH2156" s="18" t="n">
        <f aca="false">IF($K2156="SEM CULTURA",0,$V2156*$H2156)</f>
        <v>0</v>
      </c>
      <c r="AI2156" s="18" t="n">
        <f aca="false">IF($K2156="SEM CULTURA",0,$W2156*$H2156)</f>
        <v>0</v>
      </c>
      <c r="AJ2156" s="18" t="n">
        <f aca="false">IF($K2156="SEM CULTURA",0,$S2156*$H2156)</f>
        <v>0</v>
      </c>
      <c r="AK2156" s="8" t="str">
        <f aca="false">$E2156&amp;"|"&amp;TEXT($AD2156,"0.000000")</f>
        <v>PV 134|0.000000</v>
      </c>
    </row>
    <row r="2157" customFormat="false" ht="15" hidden="false" customHeight="false" outlineLevel="0" collapsed="false">
      <c r="B2157" s="16" t="n">
        <v>40</v>
      </c>
      <c r="C2157" s="17" t="n">
        <f aca="false">DATA_INICIO_SAFRA+($B2157-1)*DIAS_POR_SEMANA</f>
        <v>46538</v>
      </c>
      <c r="D2157" s="17" t="n">
        <f aca="false">$C2157+DIAS_POR_SEMANA-1</f>
        <v>46544</v>
      </c>
      <c r="E2157" s="15" t="s">
        <v>291</v>
      </c>
      <c r="F2157" s="8" t="str">
        <f aca="false">IFERROR(INDEX(CADASTRO_PIVOS!$C$6:$C$41,MATCH($E2157,CADASTRO_PIVOS!$B$6:$B$41,0)),"?")</f>
        <v>RM08</v>
      </c>
      <c r="G2157" s="8" t="str">
        <f aca="false">IFERROR(INDEX(CADASTRO_PIVOS!$D$6:$D$41,MATCH($E2157,CADASTRO_PIVOS!$B$6:$B$41,0)),"?")</f>
        <v>TR08</v>
      </c>
      <c r="H2157" s="20" t="n">
        <f aca="false">IFERROR(INDEX(CADASTRO_PIVOS!$E$6:$E$41,MATCH($E2157,CADASTRO_PIVOS!$B$6:$B$41,0)),0)</f>
        <v>79</v>
      </c>
      <c r="I2157" s="16" t="n">
        <f aca="false">IFERROR(SUMIFS(ROTACAO_RDM!$B$6:$B$71,ROTACAO_RDM!$D$6:$D$71,$E2157,ROTACAO_RDM!$I$6:$I$71,"&lt;="&amp;$C2157+INT(DIAS_POR_SEMANA/2),ROTACAO_RDM!$J$6:$J$71,"&gt;="&amp;$C2157+INT(DIAS_POR_SEMANA/2)),0)</f>
        <v>0</v>
      </c>
      <c r="J2157" s="16" t="n">
        <f aca="false">IFERROR(MATCH($I2157,ROTACAO_RDM!$B$6:$B$71,0),0)</f>
        <v>0</v>
      </c>
      <c r="K2157" s="8" t="str">
        <f aca="false">IF($J2157=0,"SEM CULTURA",INDEX(ROTACAO_RDM!$F$6:$F$71,$J2157))</f>
        <v>SEM CULTURA</v>
      </c>
      <c r="L2157" s="8" t="str">
        <f aca="false">IF($J2157=0,"",INDEX(ROTACAO_RDM!$G$6:$G$71,$J2157))</f>
        <v/>
      </c>
      <c r="M2157" s="17" t="str">
        <f aca="false">IF($J2157=0,"",INDEX(ROTACAO_RDM!$I$6:$I$71,$J2157))</f>
        <v/>
      </c>
      <c r="N2157" s="16" t="n">
        <f aca="false">IF($J2157=0,0,MAX(0,$C2157+INT(DIAS_POR_SEMANA/2)-INDEX(ROTACAO_RDM!$I$6:$I$71,$J2157)))</f>
        <v>0</v>
      </c>
      <c r="O2157" s="19" t="n">
        <f aca="false">IF($J2157=0,0,MIN(1,$N2157/MAX(1,INDEX(ROTACAO_RDM!$K$6:$K$71,$J2157))))</f>
        <v>0</v>
      </c>
      <c r="P2157" s="16" t="n">
        <f aca="false">IF($J2157=0,0,IFERROR(MATCH(INDEX(ROTACAO_RDM!$N$6:$N$71,$J2157),PARAMETROS_CULTURAS!$B$6:$B$28,0),0))</f>
        <v>0</v>
      </c>
      <c r="Q2157" s="8" t="str">
        <f aca="false">IF($P2157=0,"-",IF($O2157&lt;=INDEX(PARAMETROS_CULTURAS!$F$6:$F$28,$P2157),"INICIAL",IF($O2157&lt;=INDEX(PARAMETROS_CULTURAS!$F$6:$F$28,$P2157)+INDEX(PARAMETROS_CULTURAS!$G$6:$G$28,$P2157),"DESENVOLVIMENTO",IF($O2157&lt;=INDEX(PARAMETROS_CULTURAS!$F$6:$F$28,$P2157)+INDEX(PARAMETROS_CULTURAS!$G$6:$G$28,$P2157)+INDEX(PARAMETROS_CULTURAS!$H$6:$H$28,$P2157),"MEDIA","FINAL"))))</f>
        <v>-</v>
      </c>
      <c r="R2157" s="24" t="n">
        <f aca="false">IF($P2157=0,0,IF($O2157&lt;=INDEX(PARAMETROS_CULTURAS!$F$6:$F$28,$P2157),INDEX(PARAMETROS_CULTURAS!$K$6:$K$28,$P2157),IF($O2157&lt;=INDEX(PARAMETROS_CULTURAS!$F$6:$F$28,$P2157)+INDEX(PARAMETROS_CULTURAS!$G$6:$G$28,$P2157),INDEX(PARAMETROS_CULTURAS!$K$6:$K$28,$P2157)+(INDEX(PARAMETROS_CULTURAS!$L$6:$L$28,$P2157)-INDEX(PARAMETROS_CULTURAS!$K$6:$K$28,$P2157))*($O2157-INDEX(PARAMETROS_CULTURAS!$F$6:$F$28,$P2157))/MAX(INDEX(PARAMETROS_CULTURAS!$G$6:$G$28,$P2157),0.0001),IF($O2157&lt;=INDEX(PARAMETROS_CULTURAS!$F$6:$F$28,$P2157)+INDEX(PARAMETROS_CULTURAS!$G$6:$G$28,$P2157)+INDEX(PARAMETROS_CULTURAS!$H$6:$H$28,$P2157),INDEX(PARAMETROS_CULTURAS!$L$6:$L$28,$P2157),INDEX(PARAMETROS_CULTURAS!$L$6:$L$28,$P2157)+(INDEX(PARAMETROS_CULTURAS!$M$6:$M$28,$P2157)-INDEX(PARAMETROS_CULTURAS!$L$6:$L$28,$P2157))*($O2157-INDEX(PARAMETROS_CULTURAS!$F$6:$F$28,$P2157)-INDEX(PARAMETROS_CULTURAS!$G$6:$G$28,$P2157)-INDEX(PARAMETROS_CULTURAS!$H$6:$H$28,$P2157))/MAX(INDEX(PARAMETROS_CULTURAS!$I$6:$I$28,$P2157),0.0001)))))</f>
        <v>0</v>
      </c>
      <c r="S2157" s="18" t="n">
        <f aca="false">IFERROR(INDEX(SEMANAS!$H$6:$H$71,MATCH($B2157,SEMANAS!$B$6:$B$71,0)),0)</f>
        <v>28.2</v>
      </c>
      <c r="T2157" s="18" t="n">
        <f aca="false">$R2157*$S2157</f>
        <v>0</v>
      </c>
      <c r="U2157" s="18" t="n">
        <f aca="false">IFERROR(INDEX(SEMANAS!$I$6:$I$71,MATCH($B2157,SEMANAS!$B$6:$B$71,0)),0)</f>
        <v>1.5</v>
      </c>
      <c r="V2157" s="18" t="n">
        <f aca="false">IFERROR(INDEX(SEMANAS!$J$6:$J$71,MATCH($B2157,SEMANAS!$B$6:$B$71,0)),0)</f>
        <v>1.2</v>
      </c>
      <c r="W2157" s="18" t="n">
        <f aca="false">MAX(0,$T2157-$V2157)</f>
        <v>0</v>
      </c>
      <c r="X2157" s="19" t="n">
        <f aca="false">IFERROR(INDEX(CADASTRO_PIVOS!$K$6:$K$41,MATCH($E2157,CADASTRO_PIVOS!$B$6:$B$41,0)),EFICIENCIA_PADRAO)</f>
        <v>0.85</v>
      </c>
      <c r="Y2157" s="18" t="n">
        <f aca="false">IF($X2157&lt;=0,0,$W2157/$X2157)</f>
        <v>0</v>
      </c>
      <c r="Z2157" s="16" t="n">
        <f aca="false">$Y2157*$H2157*MM_PARA_M3_HA</f>
        <v>0</v>
      </c>
      <c r="AA2157" s="18" t="n">
        <f aca="false">IFERROR(INDEX(CADASTRO_PIVOS!$I$6:$I$41,MATCH($E2157,CADASTRO_PIVOS!$B$6:$B$41,0)),0)</f>
        <v>526.666666666667</v>
      </c>
      <c r="AB2157" s="18" t="n">
        <f aca="false">IF($Z2157&lt;=0,0,$Z2157/$AA2157)</f>
        <v>0</v>
      </c>
      <c r="AC2157" s="16" t="n">
        <f aca="false">IFERROR(INDEX(SEMANAS!$K$6:$K$71,MATCH($B2157,SEMANAS!$B$6:$B$71,0)),0)</f>
        <v>147</v>
      </c>
      <c r="AD2157" s="19" t="n">
        <f aca="false">IF($AC2157&lt;=0,0,$AB2157/$AC2157)</f>
        <v>0</v>
      </c>
      <c r="AE2157" s="8" t="str">
        <f aca="false">IF($K2157="SEM CULTURA","SEM CULTURA",IF($AA2157&lt;=0,"DADO PENDENTE",IF($AD2157&gt;LIMITE_CRITICO,"INVIAVEL",IF($AD2157&gt;LIMITE_ATENCAO,"CRITICO",IF($AD2157&gt;LIMITE_CONFORTAVEL,"ATENCAO","OK")))))</f>
        <v>SEM CULTURA</v>
      </c>
      <c r="AF2157" s="8" t="str">
        <f aca="false">$B2157&amp;"|"&amp;TEXT($AD2157,"0.000000")</f>
        <v>40|0.000000</v>
      </c>
      <c r="AG2157" s="18" t="n">
        <f aca="false">IF($K2157="SEM CULTURA",0,$T2157*$H2157)</f>
        <v>0</v>
      </c>
      <c r="AH2157" s="18" t="n">
        <f aca="false">IF($K2157="SEM CULTURA",0,$V2157*$H2157)</f>
        <v>0</v>
      </c>
      <c r="AI2157" s="18" t="n">
        <f aca="false">IF($K2157="SEM CULTURA",0,$W2157*$H2157)</f>
        <v>0</v>
      </c>
      <c r="AJ2157" s="18" t="n">
        <f aca="false">IF($K2157="SEM CULTURA",0,$S2157*$H2157)</f>
        <v>0</v>
      </c>
      <c r="AK2157" s="8" t="str">
        <f aca="false">$E2157&amp;"|"&amp;TEXT($AD2157,"0.000000")</f>
        <v>PV 134|0.000000</v>
      </c>
    </row>
    <row r="2158" customFormat="false" ht="15" hidden="false" customHeight="false" outlineLevel="0" collapsed="false">
      <c r="B2158" s="16" t="n">
        <v>41</v>
      </c>
      <c r="C2158" s="17" t="n">
        <f aca="false">DATA_INICIO_SAFRA+($B2158-1)*DIAS_POR_SEMANA</f>
        <v>46545</v>
      </c>
      <c r="D2158" s="17" t="n">
        <f aca="false">$C2158+DIAS_POR_SEMANA-1</f>
        <v>46551</v>
      </c>
      <c r="E2158" s="15" t="s">
        <v>291</v>
      </c>
      <c r="F2158" s="8" t="str">
        <f aca="false">IFERROR(INDEX(CADASTRO_PIVOS!$C$6:$C$41,MATCH($E2158,CADASTRO_PIVOS!$B$6:$B$41,0)),"?")</f>
        <v>RM08</v>
      </c>
      <c r="G2158" s="8" t="str">
        <f aca="false">IFERROR(INDEX(CADASTRO_PIVOS!$D$6:$D$41,MATCH($E2158,CADASTRO_PIVOS!$B$6:$B$41,0)),"?")</f>
        <v>TR08</v>
      </c>
      <c r="H2158" s="20" t="n">
        <f aca="false">IFERROR(INDEX(CADASTRO_PIVOS!$E$6:$E$41,MATCH($E2158,CADASTRO_PIVOS!$B$6:$B$41,0)),0)</f>
        <v>79</v>
      </c>
      <c r="I2158" s="16" t="n">
        <f aca="false">IFERROR(SUMIFS(ROTACAO_RDM!$B$6:$B$71,ROTACAO_RDM!$D$6:$D$71,$E2158,ROTACAO_RDM!$I$6:$I$71,"&lt;="&amp;$C2158+INT(DIAS_POR_SEMANA/2),ROTACAO_RDM!$J$6:$J$71,"&gt;="&amp;$C2158+INT(DIAS_POR_SEMANA/2)),0)</f>
        <v>0</v>
      </c>
      <c r="J2158" s="16" t="n">
        <f aca="false">IFERROR(MATCH($I2158,ROTACAO_RDM!$B$6:$B$71,0),0)</f>
        <v>0</v>
      </c>
      <c r="K2158" s="8" t="str">
        <f aca="false">IF($J2158=0,"SEM CULTURA",INDEX(ROTACAO_RDM!$F$6:$F$71,$J2158))</f>
        <v>SEM CULTURA</v>
      </c>
      <c r="L2158" s="8" t="str">
        <f aca="false">IF($J2158=0,"",INDEX(ROTACAO_RDM!$G$6:$G$71,$J2158))</f>
        <v/>
      </c>
      <c r="M2158" s="17" t="str">
        <f aca="false">IF($J2158=0,"",INDEX(ROTACAO_RDM!$I$6:$I$71,$J2158))</f>
        <v/>
      </c>
      <c r="N2158" s="16" t="n">
        <f aca="false">IF($J2158=0,0,MAX(0,$C2158+INT(DIAS_POR_SEMANA/2)-INDEX(ROTACAO_RDM!$I$6:$I$71,$J2158)))</f>
        <v>0</v>
      </c>
      <c r="O2158" s="19" t="n">
        <f aca="false">IF($J2158=0,0,MIN(1,$N2158/MAX(1,INDEX(ROTACAO_RDM!$K$6:$K$71,$J2158))))</f>
        <v>0</v>
      </c>
      <c r="P2158" s="16" t="n">
        <f aca="false">IF($J2158=0,0,IFERROR(MATCH(INDEX(ROTACAO_RDM!$N$6:$N$71,$J2158),PARAMETROS_CULTURAS!$B$6:$B$28,0),0))</f>
        <v>0</v>
      </c>
      <c r="Q2158" s="8" t="str">
        <f aca="false">IF($P2158=0,"-",IF($O2158&lt;=INDEX(PARAMETROS_CULTURAS!$F$6:$F$28,$P2158),"INICIAL",IF($O2158&lt;=INDEX(PARAMETROS_CULTURAS!$F$6:$F$28,$P2158)+INDEX(PARAMETROS_CULTURAS!$G$6:$G$28,$P2158),"DESENVOLVIMENTO",IF($O2158&lt;=INDEX(PARAMETROS_CULTURAS!$F$6:$F$28,$P2158)+INDEX(PARAMETROS_CULTURAS!$G$6:$G$28,$P2158)+INDEX(PARAMETROS_CULTURAS!$H$6:$H$28,$P2158),"MEDIA","FINAL"))))</f>
        <v>-</v>
      </c>
      <c r="R2158" s="24" t="n">
        <f aca="false">IF($P2158=0,0,IF($O2158&lt;=INDEX(PARAMETROS_CULTURAS!$F$6:$F$28,$P2158),INDEX(PARAMETROS_CULTURAS!$K$6:$K$28,$P2158),IF($O2158&lt;=INDEX(PARAMETROS_CULTURAS!$F$6:$F$28,$P2158)+INDEX(PARAMETROS_CULTURAS!$G$6:$G$28,$P2158),INDEX(PARAMETROS_CULTURAS!$K$6:$K$28,$P2158)+(INDEX(PARAMETROS_CULTURAS!$L$6:$L$28,$P2158)-INDEX(PARAMETROS_CULTURAS!$K$6:$K$28,$P2158))*($O2158-INDEX(PARAMETROS_CULTURAS!$F$6:$F$28,$P2158))/MAX(INDEX(PARAMETROS_CULTURAS!$G$6:$G$28,$P2158),0.0001),IF($O2158&lt;=INDEX(PARAMETROS_CULTURAS!$F$6:$F$28,$P2158)+INDEX(PARAMETROS_CULTURAS!$G$6:$G$28,$P2158)+INDEX(PARAMETROS_CULTURAS!$H$6:$H$28,$P2158),INDEX(PARAMETROS_CULTURAS!$L$6:$L$28,$P2158),INDEX(PARAMETROS_CULTURAS!$L$6:$L$28,$P2158)+(INDEX(PARAMETROS_CULTURAS!$M$6:$M$28,$P2158)-INDEX(PARAMETROS_CULTURAS!$L$6:$L$28,$P2158))*($O2158-INDEX(PARAMETROS_CULTURAS!$F$6:$F$28,$P2158)-INDEX(PARAMETROS_CULTURAS!$G$6:$G$28,$P2158)-INDEX(PARAMETROS_CULTURAS!$H$6:$H$28,$P2158))/MAX(INDEX(PARAMETROS_CULTURAS!$I$6:$I$28,$P2158),0.0001)))))</f>
        <v>0</v>
      </c>
      <c r="S2158" s="18" t="n">
        <f aca="false">IFERROR(INDEX(SEMANAS!$H$6:$H$71,MATCH($B2158,SEMANAS!$B$6:$B$71,0)),0)</f>
        <v>28</v>
      </c>
      <c r="T2158" s="18" t="n">
        <f aca="false">$R2158*$S2158</f>
        <v>0</v>
      </c>
      <c r="U2158" s="18" t="n">
        <f aca="false">IFERROR(INDEX(SEMANAS!$I$6:$I$71,MATCH($B2158,SEMANAS!$B$6:$B$71,0)),0)</f>
        <v>1.19</v>
      </c>
      <c r="V2158" s="18" t="n">
        <f aca="false">IFERROR(INDEX(SEMANAS!$J$6:$J$71,MATCH($B2158,SEMANAS!$B$6:$B$71,0)),0)</f>
        <v>0.952</v>
      </c>
      <c r="W2158" s="18" t="n">
        <f aca="false">MAX(0,$T2158-$V2158)</f>
        <v>0</v>
      </c>
      <c r="X2158" s="19" t="n">
        <f aca="false">IFERROR(INDEX(CADASTRO_PIVOS!$K$6:$K$41,MATCH($E2158,CADASTRO_PIVOS!$B$6:$B$41,0)),EFICIENCIA_PADRAO)</f>
        <v>0.85</v>
      </c>
      <c r="Y2158" s="18" t="n">
        <f aca="false">IF($X2158&lt;=0,0,$W2158/$X2158)</f>
        <v>0</v>
      </c>
      <c r="Z2158" s="16" t="n">
        <f aca="false">$Y2158*$H2158*MM_PARA_M3_HA</f>
        <v>0</v>
      </c>
      <c r="AA2158" s="18" t="n">
        <f aca="false">IFERROR(INDEX(CADASTRO_PIVOS!$I$6:$I$41,MATCH($E2158,CADASTRO_PIVOS!$B$6:$B$41,0)),0)</f>
        <v>526.666666666667</v>
      </c>
      <c r="AB2158" s="18" t="n">
        <f aca="false">IF($Z2158&lt;=0,0,$Z2158/$AA2158)</f>
        <v>0</v>
      </c>
      <c r="AC2158" s="16" t="n">
        <f aca="false">IFERROR(INDEX(SEMANAS!$K$6:$K$71,MATCH($B2158,SEMANAS!$B$6:$B$71,0)),0)</f>
        <v>147</v>
      </c>
      <c r="AD2158" s="19" t="n">
        <f aca="false">IF($AC2158&lt;=0,0,$AB2158/$AC2158)</f>
        <v>0</v>
      </c>
      <c r="AE2158" s="8" t="str">
        <f aca="false">IF($K2158="SEM CULTURA","SEM CULTURA",IF($AA2158&lt;=0,"DADO PENDENTE",IF($AD2158&gt;LIMITE_CRITICO,"INVIAVEL",IF($AD2158&gt;LIMITE_ATENCAO,"CRITICO",IF($AD2158&gt;LIMITE_CONFORTAVEL,"ATENCAO","OK")))))</f>
        <v>SEM CULTURA</v>
      </c>
      <c r="AF2158" s="8" t="str">
        <f aca="false">$B2158&amp;"|"&amp;TEXT($AD2158,"0.000000")</f>
        <v>41|0.000000</v>
      </c>
      <c r="AG2158" s="18" t="n">
        <f aca="false">IF($K2158="SEM CULTURA",0,$T2158*$H2158)</f>
        <v>0</v>
      </c>
      <c r="AH2158" s="18" t="n">
        <f aca="false">IF($K2158="SEM CULTURA",0,$V2158*$H2158)</f>
        <v>0</v>
      </c>
      <c r="AI2158" s="18" t="n">
        <f aca="false">IF($K2158="SEM CULTURA",0,$W2158*$H2158)</f>
        <v>0</v>
      </c>
      <c r="AJ2158" s="18" t="n">
        <f aca="false">IF($K2158="SEM CULTURA",0,$S2158*$H2158)</f>
        <v>0</v>
      </c>
      <c r="AK2158" s="8" t="str">
        <f aca="false">$E2158&amp;"|"&amp;TEXT($AD2158,"0.000000")</f>
        <v>PV 134|0.000000</v>
      </c>
    </row>
    <row r="2159" customFormat="false" ht="15" hidden="false" customHeight="false" outlineLevel="0" collapsed="false">
      <c r="B2159" s="16" t="n">
        <v>42</v>
      </c>
      <c r="C2159" s="17" t="n">
        <f aca="false">DATA_INICIO_SAFRA+($B2159-1)*DIAS_POR_SEMANA</f>
        <v>46552</v>
      </c>
      <c r="D2159" s="17" t="n">
        <f aca="false">$C2159+DIAS_POR_SEMANA-1</f>
        <v>46558</v>
      </c>
      <c r="E2159" s="15" t="s">
        <v>291</v>
      </c>
      <c r="F2159" s="8" t="str">
        <f aca="false">IFERROR(INDEX(CADASTRO_PIVOS!$C$6:$C$41,MATCH($E2159,CADASTRO_PIVOS!$B$6:$B$41,0)),"?")</f>
        <v>RM08</v>
      </c>
      <c r="G2159" s="8" t="str">
        <f aca="false">IFERROR(INDEX(CADASTRO_PIVOS!$D$6:$D$41,MATCH($E2159,CADASTRO_PIVOS!$B$6:$B$41,0)),"?")</f>
        <v>TR08</v>
      </c>
      <c r="H2159" s="20" t="n">
        <f aca="false">IFERROR(INDEX(CADASTRO_PIVOS!$E$6:$E$41,MATCH($E2159,CADASTRO_PIVOS!$B$6:$B$41,0)),0)</f>
        <v>79</v>
      </c>
      <c r="I2159" s="16" t="n">
        <f aca="false">IFERROR(SUMIFS(ROTACAO_RDM!$B$6:$B$71,ROTACAO_RDM!$D$6:$D$71,$E2159,ROTACAO_RDM!$I$6:$I$71,"&lt;="&amp;$C2159+INT(DIAS_POR_SEMANA/2),ROTACAO_RDM!$J$6:$J$71,"&gt;="&amp;$C2159+INT(DIAS_POR_SEMANA/2)),0)</f>
        <v>0</v>
      </c>
      <c r="J2159" s="16" t="n">
        <f aca="false">IFERROR(MATCH($I2159,ROTACAO_RDM!$B$6:$B$71,0),0)</f>
        <v>0</v>
      </c>
      <c r="K2159" s="8" t="str">
        <f aca="false">IF($J2159=0,"SEM CULTURA",INDEX(ROTACAO_RDM!$F$6:$F$71,$J2159))</f>
        <v>SEM CULTURA</v>
      </c>
      <c r="L2159" s="8" t="str">
        <f aca="false">IF($J2159=0,"",INDEX(ROTACAO_RDM!$G$6:$G$71,$J2159))</f>
        <v/>
      </c>
      <c r="M2159" s="17" t="str">
        <f aca="false">IF($J2159=0,"",INDEX(ROTACAO_RDM!$I$6:$I$71,$J2159))</f>
        <v/>
      </c>
      <c r="N2159" s="16" t="n">
        <f aca="false">IF($J2159=0,0,MAX(0,$C2159+INT(DIAS_POR_SEMANA/2)-INDEX(ROTACAO_RDM!$I$6:$I$71,$J2159)))</f>
        <v>0</v>
      </c>
      <c r="O2159" s="19" t="n">
        <f aca="false">IF($J2159=0,0,MIN(1,$N2159/MAX(1,INDEX(ROTACAO_RDM!$K$6:$K$71,$J2159))))</f>
        <v>0</v>
      </c>
      <c r="P2159" s="16" t="n">
        <f aca="false">IF($J2159=0,0,IFERROR(MATCH(INDEX(ROTACAO_RDM!$N$6:$N$71,$J2159),PARAMETROS_CULTURAS!$B$6:$B$28,0),0))</f>
        <v>0</v>
      </c>
      <c r="Q2159" s="8" t="str">
        <f aca="false">IF($P2159=0,"-",IF($O2159&lt;=INDEX(PARAMETROS_CULTURAS!$F$6:$F$28,$P2159),"INICIAL",IF($O2159&lt;=INDEX(PARAMETROS_CULTURAS!$F$6:$F$28,$P2159)+INDEX(PARAMETROS_CULTURAS!$G$6:$G$28,$P2159),"DESENVOLVIMENTO",IF($O2159&lt;=INDEX(PARAMETROS_CULTURAS!$F$6:$F$28,$P2159)+INDEX(PARAMETROS_CULTURAS!$G$6:$G$28,$P2159)+INDEX(PARAMETROS_CULTURAS!$H$6:$H$28,$P2159),"MEDIA","FINAL"))))</f>
        <v>-</v>
      </c>
      <c r="R2159" s="24" t="n">
        <f aca="false">IF($P2159=0,0,IF($O2159&lt;=INDEX(PARAMETROS_CULTURAS!$F$6:$F$28,$P2159),INDEX(PARAMETROS_CULTURAS!$K$6:$K$28,$P2159),IF($O2159&lt;=INDEX(PARAMETROS_CULTURAS!$F$6:$F$28,$P2159)+INDEX(PARAMETROS_CULTURAS!$G$6:$G$28,$P2159),INDEX(PARAMETROS_CULTURAS!$K$6:$K$28,$P2159)+(INDEX(PARAMETROS_CULTURAS!$L$6:$L$28,$P2159)-INDEX(PARAMETROS_CULTURAS!$K$6:$K$28,$P2159))*($O2159-INDEX(PARAMETROS_CULTURAS!$F$6:$F$28,$P2159))/MAX(INDEX(PARAMETROS_CULTURAS!$G$6:$G$28,$P2159),0.0001),IF($O2159&lt;=INDEX(PARAMETROS_CULTURAS!$F$6:$F$28,$P2159)+INDEX(PARAMETROS_CULTURAS!$G$6:$G$28,$P2159)+INDEX(PARAMETROS_CULTURAS!$H$6:$H$28,$P2159),INDEX(PARAMETROS_CULTURAS!$L$6:$L$28,$P2159),INDEX(PARAMETROS_CULTURAS!$L$6:$L$28,$P2159)+(INDEX(PARAMETROS_CULTURAS!$M$6:$M$28,$P2159)-INDEX(PARAMETROS_CULTURAS!$L$6:$L$28,$P2159))*($O2159-INDEX(PARAMETROS_CULTURAS!$F$6:$F$28,$P2159)-INDEX(PARAMETROS_CULTURAS!$G$6:$G$28,$P2159)-INDEX(PARAMETROS_CULTURAS!$H$6:$H$28,$P2159))/MAX(INDEX(PARAMETROS_CULTURAS!$I$6:$I$28,$P2159),0.0001)))))</f>
        <v>0</v>
      </c>
      <c r="S2159" s="18" t="n">
        <f aca="false">IFERROR(INDEX(SEMANAS!$H$6:$H$71,MATCH($B2159,SEMANAS!$B$6:$B$71,0)),0)</f>
        <v>28</v>
      </c>
      <c r="T2159" s="18" t="n">
        <f aca="false">$R2159*$S2159</f>
        <v>0</v>
      </c>
      <c r="U2159" s="18" t="n">
        <f aca="false">IFERROR(INDEX(SEMANAS!$I$6:$I$71,MATCH($B2159,SEMANAS!$B$6:$B$71,0)),0)</f>
        <v>1.19</v>
      </c>
      <c r="V2159" s="18" t="n">
        <f aca="false">IFERROR(INDEX(SEMANAS!$J$6:$J$71,MATCH($B2159,SEMANAS!$B$6:$B$71,0)),0)</f>
        <v>0.952</v>
      </c>
      <c r="W2159" s="18" t="n">
        <f aca="false">MAX(0,$T2159-$V2159)</f>
        <v>0</v>
      </c>
      <c r="X2159" s="19" t="n">
        <f aca="false">IFERROR(INDEX(CADASTRO_PIVOS!$K$6:$K$41,MATCH($E2159,CADASTRO_PIVOS!$B$6:$B$41,0)),EFICIENCIA_PADRAO)</f>
        <v>0.85</v>
      </c>
      <c r="Y2159" s="18" t="n">
        <f aca="false">IF($X2159&lt;=0,0,$W2159/$X2159)</f>
        <v>0</v>
      </c>
      <c r="Z2159" s="16" t="n">
        <f aca="false">$Y2159*$H2159*MM_PARA_M3_HA</f>
        <v>0</v>
      </c>
      <c r="AA2159" s="18" t="n">
        <f aca="false">IFERROR(INDEX(CADASTRO_PIVOS!$I$6:$I$41,MATCH($E2159,CADASTRO_PIVOS!$B$6:$B$41,0)),0)</f>
        <v>526.666666666667</v>
      </c>
      <c r="AB2159" s="18" t="n">
        <f aca="false">IF($Z2159&lt;=0,0,$Z2159/$AA2159)</f>
        <v>0</v>
      </c>
      <c r="AC2159" s="16" t="n">
        <f aca="false">IFERROR(INDEX(SEMANAS!$K$6:$K$71,MATCH($B2159,SEMANAS!$B$6:$B$71,0)),0)</f>
        <v>147</v>
      </c>
      <c r="AD2159" s="19" t="n">
        <f aca="false">IF($AC2159&lt;=0,0,$AB2159/$AC2159)</f>
        <v>0</v>
      </c>
      <c r="AE2159" s="8" t="str">
        <f aca="false">IF($K2159="SEM CULTURA","SEM CULTURA",IF($AA2159&lt;=0,"DADO PENDENTE",IF($AD2159&gt;LIMITE_CRITICO,"INVIAVEL",IF($AD2159&gt;LIMITE_ATENCAO,"CRITICO",IF($AD2159&gt;LIMITE_CONFORTAVEL,"ATENCAO","OK")))))</f>
        <v>SEM CULTURA</v>
      </c>
      <c r="AF2159" s="8" t="str">
        <f aca="false">$B2159&amp;"|"&amp;TEXT($AD2159,"0.000000")</f>
        <v>42|0.000000</v>
      </c>
      <c r="AG2159" s="18" t="n">
        <f aca="false">IF($K2159="SEM CULTURA",0,$T2159*$H2159)</f>
        <v>0</v>
      </c>
      <c r="AH2159" s="18" t="n">
        <f aca="false">IF($K2159="SEM CULTURA",0,$V2159*$H2159)</f>
        <v>0</v>
      </c>
      <c r="AI2159" s="18" t="n">
        <f aca="false">IF($K2159="SEM CULTURA",0,$W2159*$H2159)</f>
        <v>0</v>
      </c>
      <c r="AJ2159" s="18" t="n">
        <f aca="false">IF($K2159="SEM CULTURA",0,$S2159*$H2159)</f>
        <v>0</v>
      </c>
      <c r="AK2159" s="8" t="str">
        <f aca="false">$E2159&amp;"|"&amp;TEXT($AD2159,"0.000000")</f>
        <v>PV 134|0.000000</v>
      </c>
    </row>
    <row r="2160" customFormat="false" ht="15" hidden="false" customHeight="false" outlineLevel="0" collapsed="false">
      <c r="B2160" s="16" t="n">
        <v>43</v>
      </c>
      <c r="C2160" s="17" t="n">
        <f aca="false">DATA_INICIO_SAFRA+($B2160-1)*DIAS_POR_SEMANA</f>
        <v>46559</v>
      </c>
      <c r="D2160" s="17" t="n">
        <f aca="false">$C2160+DIAS_POR_SEMANA-1</f>
        <v>46565</v>
      </c>
      <c r="E2160" s="15" t="s">
        <v>291</v>
      </c>
      <c r="F2160" s="8" t="str">
        <f aca="false">IFERROR(INDEX(CADASTRO_PIVOS!$C$6:$C$41,MATCH($E2160,CADASTRO_PIVOS!$B$6:$B$41,0)),"?")</f>
        <v>RM08</v>
      </c>
      <c r="G2160" s="8" t="str">
        <f aca="false">IFERROR(INDEX(CADASTRO_PIVOS!$D$6:$D$41,MATCH($E2160,CADASTRO_PIVOS!$B$6:$B$41,0)),"?")</f>
        <v>TR08</v>
      </c>
      <c r="H2160" s="20" t="n">
        <f aca="false">IFERROR(INDEX(CADASTRO_PIVOS!$E$6:$E$41,MATCH($E2160,CADASTRO_PIVOS!$B$6:$B$41,0)),0)</f>
        <v>79</v>
      </c>
      <c r="I2160" s="16" t="n">
        <f aca="false">IFERROR(SUMIFS(ROTACAO_RDM!$B$6:$B$71,ROTACAO_RDM!$D$6:$D$71,$E2160,ROTACAO_RDM!$I$6:$I$71,"&lt;="&amp;$C2160+INT(DIAS_POR_SEMANA/2),ROTACAO_RDM!$J$6:$J$71,"&gt;="&amp;$C2160+INT(DIAS_POR_SEMANA/2)),0)</f>
        <v>0</v>
      </c>
      <c r="J2160" s="16" t="n">
        <f aca="false">IFERROR(MATCH($I2160,ROTACAO_RDM!$B$6:$B$71,0),0)</f>
        <v>0</v>
      </c>
      <c r="K2160" s="8" t="str">
        <f aca="false">IF($J2160=0,"SEM CULTURA",INDEX(ROTACAO_RDM!$F$6:$F$71,$J2160))</f>
        <v>SEM CULTURA</v>
      </c>
      <c r="L2160" s="8" t="str">
        <f aca="false">IF($J2160=0,"",INDEX(ROTACAO_RDM!$G$6:$G$71,$J2160))</f>
        <v/>
      </c>
      <c r="M2160" s="17" t="str">
        <f aca="false">IF($J2160=0,"",INDEX(ROTACAO_RDM!$I$6:$I$71,$J2160))</f>
        <v/>
      </c>
      <c r="N2160" s="16" t="n">
        <f aca="false">IF($J2160=0,0,MAX(0,$C2160+INT(DIAS_POR_SEMANA/2)-INDEX(ROTACAO_RDM!$I$6:$I$71,$J2160)))</f>
        <v>0</v>
      </c>
      <c r="O2160" s="19" t="n">
        <f aca="false">IF($J2160=0,0,MIN(1,$N2160/MAX(1,INDEX(ROTACAO_RDM!$K$6:$K$71,$J2160))))</f>
        <v>0</v>
      </c>
      <c r="P2160" s="16" t="n">
        <f aca="false">IF($J2160=0,0,IFERROR(MATCH(INDEX(ROTACAO_RDM!$N$6:$N$71,$J2160),PARAMETROS_CULTURAS!$B$6:$B$28,0),0))</f>
        <v>0</v>
      </c>
      <c r="Q2160" s="8" t="str">
        <f aca="false">IF($P2160=0,"-",IF($O2160&lt;=INDEX(PARAMETROS_CULTURAS!$F$6:$F$28,$P2160),"INICIAL",IF($O2160&lt;=INDEX(PARAMETROS_CULTURAS!$F$6:$F$28,$P2160)+INDEX(PARAMETROS_CULTURAS!$G$6:$G$28,$P2160),"DESENVOLVIMENTO",IF($O2160&lt;=INDEX(PARAMETROS_CULTURAS!$F$6:$F$28,$P2160)+INDEX(PARAMETROS_CULTURAS!$G$6:$G$28,$P2160)+INDEX(PARAMETROS_CULTURAS!$H$6:$H$28,$P2160),"MEDIA","FINAL"))))</f>
        <v>-</v>
      </c>
      <c r="R2160" s="24" t="n">
        <f aca="false">IF($P2160=0,0,IF($O2160&lt;=INDEX(PARAMETROS_CULTURAS!$F$6:$F$28,$P2160),INDEX(PARAMETROS_CULTURAS!$K$6:$K$28,$P2160),IF($O2160&lt;=INDEX(PARAMETROS_CULTURAS!$F$6:$F$28,$P2160)+INDEX(PARAMETROS_CULTURAS!$G$6:$G$28,$P2160),INDEX(PARAMETROS_CULTURAS!$K$6:$K$28,$P2160)+(INDEX(PARAMETROS_CULTURAS!$L$6:$L$28,$P2160)-INDEX(PARAMETROS_CULTURAS!$K$6:$K$28,$P2160))*($O2160-INDEX(PARAMETROS_CULTURAS!$F$6:$F$28,$P2160))/MAX(INDEX(PARAMETROS_CULTURAS!$G$6:$G$28,$P2160),0.0001),IF($O2160&lt;=INDEX(PARAMETROS_CULTURAS!$F$6:$F$28,$P2160)+INDEX(PARAMETROS_CULTURAS!$G$6:$G$28,$P2160)+INDEX(PARAMETROS_CULTURAS!$H$6:$H$28,$P2160),INDEX(PARAMETROS_CULTURAS!$L$6:$L$28,$P2160),INDEX(PARAMETROS_CULTURAS!$L$6:$L$28,$P2160)+(INDEX(PARAMETROS_CULTURAS!$M$6:$M$28,$P2160)-INDEX(PARAMETROS_CULTURAS!$L$6:$L$28,$P2160))*($O2160-INDEX(PARAMETROS_CULTURAS!$F$6:$F$28,$P2160)-INDEX(PARAMETROS_CULTURAS!$G$6:$G$28,$P2160)-INDEX(PARAMETROS_CULTURAS!$H$6:$H$28,$P2160))/MAX(INDEX(PARAMETROS_CULTURAS!$I$6:$I$28,$P2160),0.0001)))))</f>
        <v>0</v>
      </c>
      <c r="S2160" s="18" t="n">
        <f aca="false">IFERROR(INDEX(SEMANAS!$H$6:$H$71,MATCH($B2160,SEMANAS!$B$6:$B$71,0)),0)</f>
        <v>28</v>
      </c>
      <c r="T2160" s="18" t="n">
        <f aca="false">$R2160*$S2160</f>
        <v>0</v>
      </c>
      <c r="U2160" s="18" t="n">
        <f aca="false">IFERROR(INDEX(SEMANAS!$I$6:$I$71,MATCH($B2160,SEMANAS!$B$6:$B$71,0)),0)</f>
        <v>1.19</v>
      </c>
      <c r="V2160" s="18" t="n">
        <f aca="false">IFERROR(INDEX(SEMANAS!$J$6:$J$71,MATCH($B2160,SEMANAS!$B$6:$B$71,0)),0)</f>
        <v>0.952</v>
      </c>
      <c r="W2160" s="18" t="n">
        <f aca="false">MAX(0,$T2160-$V2160)</f>
        <v>0</v>
      </c>
      <c r="X2160" s="19" t="n">
        <f aca="false">IFERROR(INDEX(CADASTRO_PIVOS!$K$6:$K$41,MATCH($E2160,CADASTRO_PIVOS!$B$6:$B$41,0)),EFICIENCIA_PADRAO)</f>
        <v>0.85</v>
      </c>
      <c r="Y2160" s="18" t="n">
        <f aca="false">IF($X2160&lt;=0,0,$W2160/$X2160)</f>
        <v>0</v>
      </c>
      <c r="Z2160" s="16" t="n">
        <f aca="false">$Y2160*$H2160*MM_PARA_M3_HA</f>
        <v>0</v>
      </c>
      <c r="AA2160" s="18" t="n">
        <f aca="false">IFERROR(INDEX(CADASTRO_PIVOS!$I$6:$I$41,MATCH($E2160,CADASTRO_PIVOS!$B$6:$B$41,0)),0)</f>
        <v>526.666666666667</v>
      </c>
      <c r="AB2160" s="18" t="n">
        <f aca="false">IF($Z2160&lt;=0,0,$Z2160/$AA2160)</f>
        <v>0</v>
      </c>
      <c r="AC2160" s="16" t="n">
        <f aca="false">IFERROR(INDEX(SEMANAS!$K$6:$K$71,MATCH($B2160,SEMANAS!$B$6:$B$71,0)),0)</f>
        <v>147</v>
      </c>
      <c r="AD2160" s="19" t="n">
        <f aca="false">IF($AC2160&lt;=0,0,$AB2160/$AC2160)</f>
        <v>0</v>
      </c>
      <c r="AE2160" s="8" t="str">
        <f aca="false">IF($K2160="SEM CULTURA","SEM CULTURA",IF($AA2160&lt;=0,"DADO PENDENTE",IF($AD2160&gt;LIMITE_CRITICO,"INVIAVEL",IF($AD2160&gt;LIMITE_ATENCAO,"CRITICO",IF($AD2160&gt;LIMITE_CONFORTAVEL,"ATENCAO","OK")))))</f>
        <v>SEM CULTURA</v>
      </c>
      <c r="AF2160" s="8" t="str">
        <f aca="false">$B2160&amp;"|"&amp;TEXT($AD2160,"0.000000")</f>
        <v>43|0.000000</v>
      </c>
      <c r="AG2160" s="18" t="n">
        <f aca="false">IF($K2160="SEM CULTURA",0,$T2160*$H2160)</f>
        <v>0</v>
      </c>
      <c r="AH2160" s="18" t="n">
        <f aca="false">IF($K2160="SEM CULTURA",0,$V2160*$H2160)</f>
        <v>0</v>
      </c>
      <c r="AI2160" s="18" t="n">
        <f aca="false">IF($K2160="SEM CULTURA",0,$W2160*$H2160)</f>
        <v>0</v>
      </c>
      <c r="AJ2160" s="18" t="n">
        <f aca="false">IF($K2160="SEM CULTURA",0,$S2160*$H2160)</f>
        <v>0</v>
      </c>
      <c r="AK2160" s="8" t="str">
        <f aca="false">$E2160&amp;"|"&amp;TEXT($AD2160,"0.000000")</f>
        <v>PV 134|0.000000</v>
      </c>
    </row>
    <row r="2161" customFormat="false" ht="15" hidden="false" customHeight="false" outlineLevel="0" collapsed="false">
      <c r="B2161" s="16" t="n">
        <v>44</v>
      </c>
      <c r="C2161" s="17" t="n">
        <f aca="false">DATA_INICIO_SAFRA+($B2161-1)*DIAS_POR_SEMANA</f>
        <v>46566</v>
      </c>
      <c r="D2161" s="17" t="n">
        <f aca="false">$C2161+DIAS_POR_SEMANA-1</f>
        <v>46572</v>
      </c>
      <c r="E2161" s="15" t="s">
        <v>291</v>
      </c>
      <c r="F2161" s="8" t="str">
        <f aca="false">IFERROR(INDEX(CADASTRO_PIVOS!$C$6:$C$41,MATCH($E2161,CADASTRO_PIVOS!$B$6:$B$41,0)),"?")</f>
        <v>RM08</v>
      </c>
      <c r="G2161" s="8" t="str">
        <f aca="false">IFERROR(INDEX(CADASTRO_PIVOS!$D$6:$D$41,MATCH($E2161,CADASTRO_PIVOS!$B$6:$B$41,0)),"?")</f>
        <v>TR08</v>
      </c>
      <c r="H2161" s="20" t="n">
        <f aca="false">IFERROR(INDEX(CADASTRO_PIVOS!$E$6:$E$41,MATCH($E2161,CADASTRO_PIVOS!$B$6:$B$41,0)),0)</f>
        <v>79</v>
      </c>
      <c r="I2161" s="16" t="n">
        <f aca="false">IFERROR(SUMIFS(ROTACAO_RDM!$B$6:$B$71,ROTACAO_RDM!$D$6:$D$71,$E2161,ROTACAO_RDM!$I$6:$I$71,"&lt;="&amp;$C2161+INT(DIAS_POR_SEMANA/2),ROTACAO_RDM!$J$6:$J$71,"&gt;="&amp;$C2161+INT(DIAS_POR_SEMANA/2)),0)</f>
        <v>0</v>
      </c>
      <c r="J2161" s="16" t="n">
        <f aca="false">IFERROR(MATCH($I2161,ROTACAO_RDM!$B$6:$B$71,0),0)</f>
        <v>0</v>
      </c>
      <c r="K2161" s="8" t="str">
        <f aca="false">IF($J2161=0,"SEM CULTURA",INDEX(ROTACAO_RDM!$F$6:$F$71,$J2161))</f>
        <v>SEM CULTURA</v>
      </c>
      <c r="L2161" s="8" t="str">
        <f aca="false">IF($J2161=0,"",INDEX(ROTACAO_RDM!$G$6:$G$71,$J2161))</f>
        <v/>
      </c>
      <c r="M2161" s="17" t="str">
        <f aca="false">IF($J2161=0,"",INDEX(ROTACAO_RDM!$I$6:$I$71,$J2161))</f>
        <v/>
      </c>
      <c r="N2161" s="16" t="n">
        <f aca="false">IF($J2161=0,0,MAX(0,$C2161+INT(DIAS_POR_SEMANA/2)-INDEX(ROTACAO_RDM!$I$6:$I$71,$J2161)))</f>
        <v>0</v>
      </c>
      <c r="O2161" s="19" t="n">
        <f aca="false">IF($J2161=0,0,MIN(1,$N2161/MAX(1,INDEX(ROTACAO_RDM!$K$6:$K$71,$J2161))))</f>
        <v>0</v>
      </c>
      <c r="P2161" s="16" t="n">
        <f aca="false">IF($J2161=0,0,IFERROR(MATCH(INDEX(ROTACAO_RDM!$N$6:$N$71,$J2161),PARAMETROS_CULTURAS!$B$6:$B$28,0),0))</f>
        <v>0</v>
      </c>
      <c r="Q2161" s="8" t="str">
        <f aca="false">IF($P2161=0,"-",IF($O2161&lt;=INDEX(PARAMETROS_CULTURAS!$F$6:$F$28,$P2161),"INICIAL",IF($O2161&lt;=INDEX(PARAMETROS_CULTURAS!$F$6:$F$28,$P2161)+INDEX(PARAMETROS_CULTURAS!$G$6:$G$28,$P2161),"DESENVOLVIMENTO",IF($O2161&lt;=INDEX(PARAMETROS_CULTURAS!$F$6:$F$28,$P2161)+INDEX(PARAMETROS_CULTURAS!$G$6:$G$28,$P2161)+INDEX(PARAMETROS_CULTURAS!$H$6:$H$28,$P2161),"MEDIA","FINAL"))))</f>
        <v>-</v>
      </c>
      <c r="R2161" s="24" t="n">
        <f aca="false">IF($P2161=0,0,IF($O2161&lt;=INDEX(PARAMETROS_CULTURAS!$F$6:$F$28,$P2161),INDEX(PARAMETROS_CULTURAS!$K$6:$K$28,$P2161),IF($O2161&lt;=INDEX(PARAMETROS_CULTURAS!$F$6:$F$28,$P2161)+INDEX(PARAMETROS_CULTURAS!$G$6:$G$28,$P2161),INDEX(PARAMETROS_CULTURAS!$K$6:$K$28,$P2161)+(INDEX(PARAMETROS_CULTURAS!$L$6:$L$28,$P2161)-INDEX(PARAMETROS_CULTURAS!$K$6:$K$28,$P2161))*($O2161-INDEX(PARAMETROS_CULTURAS!$F$6:$F$28,$P2161))/MAX(INDEX(PARAMETROS_CULTURAS!$G$6:$G$28,$P2161),0.0001),IF($O2161&lt;=INDEX(PARAMETROS_CULTURAS!$F$6:$F$28,$P2161)+INDEX(PARAMETROS_CULTURAS!$G$6:$G$28,$P2161)+INDEX(PARAMETROS_CULTURAS!$H$6:$H$28,$P2161),INDEX(PARAMETROS_CULTURAS!$L$6:$L$28,$P2161),INDEX(PARAMETROS_CULTURAS!$L$6:$L$28,$P2161)+(INDEX(PARAMETROS_CULTURAS!$M$6:$M$28,$P2161)-INDEX(PARAMETROS_CULTURAS!$L$6:$L$28,$P2161))*($O2161-INDEX(PARAMETROS_CULTURAS!$F$6:$F$28,$P2161)-INDEX(PARAMETROS_CULTURAS!$G$6:$G$28,$P2161)-INDEX(PARAMETROS_CULTURAS!$H$6:$H$28,$P2161))/MAX(INDEX(PARAMETROS_CULTURAS!$I$6:$I$28,$P2161),0.0001)))))</f>
        <v>0</v>
      </c>
      <c r="S2161" s="18" t="n">
        <f aca="false">IFERROR(INDEX(SEMANAS!$H$6:$H$71,MATCH($B2161,SEMANAS!$B$6:$B$71,0)),0)</f>
        <v>29.2</v>
      </c>
      <c r="T2161" s="18" t="n">
        <f aca="false">$R2161*$S2161</f>
        <v>0</v>
      </c>
      <c r="U2161" s="18" t="n">
        <f aca="false">IFERROR(INDEX(SEMANAS!$I$6:$I$71,MATCH($B2161,SEMANAS!$B$6:$B$71,0)),0)</f>
        <v>0.91</v>
      </c>
      <c r="V2161" s="18" t="n">
        <f aca="false">IFERROR(INDEX(SEMANAS!$J$6:$J$71,MATCH($B2161,SEMANAS!$B$6:$B$71,0)),0)</f>
        <v>0.728</v>
      </c>
      <c r="W2161" s="18" t="n">
        <f aca="false">MAX(0,$T2161-$V2161)</f>
        <v>0</v>
      </c>
      <c r="X2161" s="19" t="n">
        <f aca="false">IFERROR(INDEX(CADASTRO_PIVOS!$K$6:$K$41,MATCH($E2161,CADASTRO_PIVOS!$B$6:$B$41,0)),EFICIENCIA_PADRAO)</f>
        <v>0.85</v>
      </c>
      <c r="Y2161" s="18" t="n">
        <f aca="false">IF($X2161&lt;=0,0,$W2161/$X2161)</f>
        <v>0</v>
      </c>
      <c r="Z2161" s="16" t="n">
        <f aca="false">$Y2161*$H2161*MM_PARA_M3_HA</f>
        <v>0</v>
      </c>
      <c r="AA2161" s="18" t="n">
        <f aca="false">IFERROR(INDEX(CADASTRO_PIVOS!$I$6:$I$41,MATCH($E2161,CADASTRO_PIVOS!$B$6:$B$41,0)),0)</f>
        <v>526.666666666667</v>
      </c>
      <c r="AB2161" s="18" t="n">
        <f aca="false">IF($Z2161&lt;=0,0,$Z2161/$AA2161)</f>
        <v>0</v>
      </c>
      <c r="AC2161" s="16" t="n">
        <f aca="false">IFERROR(INDEX(SEMANAS!$K$6:$K$71,MATCH($B2161,SEMANAS!$B$6:$B$71,0)),0)</f>
        <v>147</v>
      </c>
      <c r="AD2161" s="19" t="n">
        <f aca="false">IF($AC2161&lt;=0,0,$AB2161/$AC2161)</f>
        <v>0</v>
      </c>
      <c r="AE2161" s="8" t="str">
        <f aca="false">IF($K2161="SEM CULTURA","SEM CULTURA",IF($AA2161&lt;=0,"DADO PENDENTE",IF($AD2161&gt;LIMITE_CRITICO,"INVIAVEL",IF($AD2161&gt;LIMITE_ATENCAO,"CRITICO",IF($AD2161&gt;LIMITE_CONFORTAVEL,"ATENCAO","OK")))))</f>
        <v>SEM CULTURA</v>
      </c>
      <c r="AF2161" s="8" t="str">
        <f aca="false">$B2161&amp;"|"&amp;TEXT($AD2161,"0.000000")</f>
        <v>44|0.000000</v>
      </c>
      <c r="AG2161" s="18" t="n">
        <f aca="false">IF($K2161="SEM CULTURA",0,$T2161*$H2161)</f>
        <v>0</v>
      </c>
      <c r="AH2161" s="18" t="n">
        <f aca="false">IF($K2161="SEM CULTURA",0,$V2161*$H2161)</f>
        <v>0</v>
      </c>
      <c r="AI2161" s="18" t="n">
        <f aca="false">IF($K2161="SEM CULTURA",0,$W2161*$H2161)</f>
        <v>0</v>
      </c>
      <c r="AJ2161" s="18" t="n">
        <f aca="false">IF($K2161="SEM CULTURA",0,$S2161*$H2161)</f>
        <v>0</v>
      </c>
      <c r="AK2161" s="8" t="str">
        <f aca="false">$E2161&amp;"|"&amp;TEXT($AD2161,"0.000000")</f>
        <v>PV 134|0.000000</v>
      </c>
    </row>
    <row r="2162" customFormat="false" ht="15" hidden="false" customHeight="false" outlineLevel="0" collapsed="false">
      <c r="B2162" s="16" t="n">
        <v>45</v>
      </c>
      <c r="C2162" s="17" t="n">
        <f aca="false">DATA_INICIO_SAFRA+($B2162-1)*DIAS_POR_SEMANA</f>
        <v>46573</v>
      </c>
      <c r="D2162" s="17" t="n">
        <f aca="false">$C2162+DIAS_POR_SEMANA-1</f>
        <v>46579</v>
      </c>
      <c r="E2162" s="15" t="s">
        <v>291</v>
      </c>
      <c r="F2162" s="8" t="str">
        <f aca="false">IFERROR(INDEX(CADASTRO_PIVOS!$C$6:$C$41,MATCH($E2162,CADASTRO_PIVOS!$B$6:$B$41,0)),"?")</f>
        <v>RM08</v>
      </c>
      <c r="G2162" s="8" t="str">
        <f aca="false">IFERROR(INDEX(CADASTRO_PIVOS!$D$6:$D$41,MATCH($E2162,CADASTRO_PIVOS!$B$6:$B$41,0)),"?")</f>
        <v>TR08</v>
      </c>
      <c r="H2162" s="20" t="n">
        <f aca="false">IFERROR(INDEX(CADASTRO_PIVOS!$E$6:$E$41,MATCH($E2162,CADASTRO_PIVOS!$B$6:$B$41,0)),0)</f>
        <v>79</v>
      </c>
      <c r="I2162" s="16" t="n">
        <f aca="false">IFERROR(SUMIFS(ROTACAO_RDM!$B$6:$B$71,ROTACAO_RDM!$D$6:$D$71,$E2162,ROTACAO_RDM!$I$6:$I$71,"&lt;="&amp;$C2162+INT(DIAS_POR_SEMANA/2),ROTACAO_RDM!$J$6:$J$71,"&gt;="&amp;$C2162+INT(DIAS_POR_SEMANA/2)),0)</f>
        <v>0</v>
      </c>
      <c r="J2162" s="16" t="n">
        <f aca="false">IFERROR(MATCH($I2162,ROTACAO_RDM!$B$6:$B$71,0),0)</f>
        <v>0</v>
      </c>
      <c r="K2162" s="8" t="str">
        <f aca="false">IF($J2162=0,"SEM CULTURA",INDEX(ROTACAO_RDM!$F$6:$F$71,$J2162))</f>
        <v>SEM CULTURA</v>
      </c>
      <c r="L2162" s="8" t="str">
        <f aca="false">IF($J2162=0,"",INDEX(ROTACAO_RDM!$G$6:$G$71,$J2162))</f>
        <v/>
      </c>
      <c r="M2162" s="17" t="str">
        <f aca="false">IF($J2162=0,"",INDEX(ROTACAO_RDM!$I$6:$I$71,$J2162))</f>
        <v/>
      </c>
      <c r="N2162" s="16" t="n">
        <f aca="false">IF($J2162=0,0,MAX(0,$C2162+INT(DIAS_POR_SEMANA/2)-INDEX(ROTACAO_RDM!$I$6:$I$71,$J2162)))</f>
        <v>0</v>
      </c>
      <c r="O2162" s="19" t="n">
        <f aca="false">IF($J2162=0,0,MIN(1,$N2162/MAX(1,INDEX(ROTACAO_RDM!$K$6:$K$71,$J2162))))</f>
        <v>0</v>
      </c>
      <c r="P2162" s="16" t="n">
        <f aca="false">IF($J2162=0,0,IFERROR(MATCH(INDEX(ROTACAO_RDM!$N$6:$N$71,$J2162),PARAMETROS_CULTURAS!$B$6:$B$28,0),0))</f>
        <v>0</v>
      </c>
      <c r="Q2162" s="8" t="str">
        <f aca="false">IF($P2162=0,"-",IF($O2162&lt;=INDEX(PARAMETROS_CULTURAS!$F$6:$F$28,$P2162),"INICIAL",IF($O2162&lt;=INDEX(PARAMETROS_CULTURAS!$F$6:$F$28,$P2162)+INDEX(PARAMETROS_CULTURAS!$G$6:$G$28,$P2162),"DESENVOLVIMENTO",IF($O2162&lt;=INDEX(PARAMETROS_CULTURAS!$F$6:$F$28,$P2162)+INDEX(PARAMETROS_CULTURAS!$G$6:$G$28,$P2162)+INDEX(PARAMETROS_CULTURAS!$H$6:$H$28,$P2162),"MEDIA","FINAL"))))</f>
        <v>-</v>
      </c>
      <c r="R2162" s="24" t="n">
        <f aca="false">IF($P2162=0,0,IF($O2162&lt;=INDEX(PARAMETROS_CULTURAS!$F$6:$F$28,$P2162),INDEX(PARAMETROS_CULTURAS!$K$6:$K$28,$P2162),IF($O2162&lt;=INDEX(PARAMETROS_CULTURAS!$F$6:$F$28,$P2162)+INDEX(PARAMETROS_CULTURAS!$G$6:$G$28,$P2162),INDEX(PARAMETROS_CULTURAS!$K$6:$K$28,$P2162)+(INDEX(PARAMETROS_CULTURAS!$L$6:$L$28,$P2162)-INDEX(PARAMETROS_CULTURAS!$K$6:$K$28,$P2162))*($O2162-INDEX(PARAMETROS_CULTURAS!$F$6:$F$28,$P2162))/MAX(INDEX(PARAMETROS_CULTURAS!$G$6:$G$28,$P2162),0.0001),IF($O2162&lt;=INDEX(PARAMETROS_CULTURAS!$F$6:$F$28,$P2162)+INDEX(PARAMETROS_CULTURAS!$G$6:$G$28,$P2162)+INDEX(PARAMETROS_CULTURAS!$H$6:$H$28,$P2162),INDEX(PARAMETROS_CULTURAS!$L$6:$L$28,$P2162),INDEX(PARAMETROS_CULTURAS!$L$6:$L$28,$P2162)+(INDEX(PARAMETROS_CULTURAS!$M$6:$M$28,$P2162)-INDEX(PARAMETROS_CULTURAS!$L$6:$L$28,$P2162))*($O2162-INDEX(PARAMETROS_CULTURAS!$F$6:$F$28,$P2162)-INDEX(PARAMETROS_CULTURAS!$G$6:$G$28,$P2162)-INDEX(PARAMETROS_CULTURAS!$H$6:$H$28,$P2162))/MAX(INDEX(PARAMETROS_CULTURAS!$I$6:$I$28,$P2162),0.0001)))))</f>
        <v>0</v>
      </c>
      <c r="S2162" s="18" t="n">
        <f aca="false">IFERROR(INDEX(SEMANAS!$H$6:$H$71,MATCH($B2162,SEMANAS!$B$6:$B$71,0)),0)</f>
        <v>30.1</v>
      </c>
      <c r="T2162" s="18" t="n">
        <f aca="false">$R2162*$S2162</f>
        <v>0</v>
      </c>
      <c r="U2162" s="18" t="n">
        <f aca="false">IFERROR(INDEX(SEMANAS!$I$6:$I$71,MATCH($B2162,SEMANAS!$B$6:$B$71,0)),0)</f>
        <v>0.7</v>
      </c>
      <c r="V2162" s="18" t="n">
        <f aca="false">IFERROR(INDEX(SEMANAS!$J$6:$J$71,MATCH($B2162,SEMANAS!$B$6:$B$71,0)),0)</f>
        <v>0.56</v>
      </c>
      <c r="W2162" s="18" t="n">
        <f aca="false">MAX(0,$T2162-$V2162)</f>
        <v>0</v>
      </c>
      <c r="X2162" s="19" t="n">
        <f aca="false">IFERROR(INDEX(CADASTRO_PIVOS!$K$6:$K$41,MATCH($E2162,CADASTRO_PIVOS!$B$6:$B$41,0)),EFICIENCIA_PADRAO)</f>
        <v>0.85</v>
      </c>
      <c r="Y2162" s="18" t="n">
        <f aca="false">IF($X2162&lt;=0,0,$W2162/$X2162)</f>
        <v>0</v>
      </c>
      <c r="Z2162" s="16" t="n">
        <f aca="false">$Y2162*$H2162*MM_PARA_M3_HA</f>
        <v>0</v>
      </c>
      <c r="AA2162" s="18" t="n">
        <f aca="false">IFERROR(INDEX(CADASTRO_PIVOS!$I$6:$I$41,MATCH($E2162,CADASTRO_PIVOS!$B$6:$B$41,0)),0)</f>
        <v>526.666666666667</v>
      </c>
      <c r="AB2162" s="18" t="n">
        <f aca="false">IF($Z2162&lt;=0,0,$Z2162/$AA2162)</f>
        <v>0</v>
      </c>
      <c r="AC2162" s="16" t="n">
        <f aca="false">IFERROR(INDEX(SEMANAS!$K$6:$K$71,MATCH($B2162,SEMANAS!$B$6:$B$71,0)),0)</f>
        <v>147</v>
      </c>
      <c r="AD2162" s="19" t="n">
        <f aca="false">IF($AC2162&lt;=0,0,$AB2162/$AC2162)</f>
        <v>0</v>
      </c>
      <c r="AE2162" s="8" t="str">
        <f aca="false">IF($K2162="SEM CULTURA","SEM CULTURA",IF($AA2162&lt;=0,"DADO PENDENTE",IF($AD2162&gt;LIMITE_CRITICO,"INVIAVEL",IF($AD2162&gt;LIMITE_ATENCAO,"CRITICO",IF($AD2162&gt;LIMITE_CONFORTAVEL,"ATENCAO","OK")))))</f>
        <v>SEM CULTURA</v>
      </c>
      <c r="AF2162" s="8" t="str">
        <f aca="false">$B2162&amp;"|"&amp;TEXT($AD2162,"0.000000")</f>
        <v>45|0.000000</v>
      </c>
      <c r="AG2162" s="18" t="n">
        <f aca="false">IF($K2162="SEM CULTURA",0,$T2162*$H2162)</f>
        <v>0</v>
      </c>
      <c r="AH2162" s="18" t="n">
        <f aca="false">IF($K2162="SEM CULTURA",0,$V2162*$H2162)</f>
        <v>0</v>
      </c>
      <c r="AI2162" s="18" t="n">
        <f aca="false">IF($K2162="SEM CULTURA",0,$W2162*$H2162)</f>
        <v>0</v>
      </c>
      <c r="AJ2162" s="18" t="n">
        <f aca="false">IF($K2162="SEM CULTURA",0,$S2162*$H2162)</f>
        <v>0</v>
      </c>
      <c r="AK2162" s="8" t="str">
        <f aca="false">$E2162&amp;"|"&amp;TEXT($AD2162,"0.000000")</f>
        <v>PV 134|0.000000</v>
      </c>
    </row>
    <row r="2163" customFormat="false" ht="15" hidden="false" customHeight="false" outlineLevel="0" collapsed="false">
      <c r="B2163" s="16" t="n">
        <v>46</v>
      </c>
      <c r="C2163" s="17" t="n">
        <f aca="false">DATA_INICIO_SAFRA+($B2163-1)*DIAS_POR_SEMANA</f>
        <v>46580</v>
      </c>
      <c r="D2163" s="17" t="n">
        <f aca="false">$C2163+DIAS_POR_SEMANA-1</f>
        <v>46586</v>
      </c>
      <c r="E2163" s="15" t="s">
        <v>291</v>
      </c>
      <c r="F2163" s="8" t="str">
        <f aca="false">IFERROR(INDEX(CADASTRO_PIVOS!$C$6:$C$41,MATCH($E2163,CADASTRO_PIVOS!$B$6:$B$41,0)),"?")</f>
        <v>RM08</v>
      </c>
      <c r="G2163" s="8" t="str">
        <f aca="false">IFERROR(INDEX(CADASTRO_PIVOS!$D$6:$D$41,MATCH($E2163,CADASTRO_PIVOS!$B$6:$B$41,0)),"?")</f>
        <v>TR08</v>
      </c>
      <c r="H2163" s="20" t="n">
        <f aca="false">IFERROR(INDEX(CADASTRO_PIVOS!$E$6:$E$41,MATCH($E2163,CADASTRO_PIVOS!$B$6:$B$41,0)),0)</f>
        <v>79</v>
      </c>
      <c r="I2163" s="16" t="n">
        <f aca="false">IFERROR(SUMIFS(ROTACAO_RDM!$B$6:$B$71,ROTACAO_RDM!$D$6:$D$71,$E2163,ROTACAO_RDM!$I$6:$I$71,"&lt;="&amp;$C2163+INT(DIAS_POR_SEMANA/2),ROTACAO_RDM!$J$6:$J$71,"&gt;="&amp;$C2163+INT(DIAS_POR_SEMANA/2)),0)</f>
        <v>0</v>
      </c>
      <c r="J2163" s="16" t="n">
        <f aca="false">IFERROR(MATCH($I2163,ROTACAO_RDM!$B$6:$B$71,0),0)</f>
        <v>0</v>
      </c>
      <c r="K2163" s="8" t="str">
        <f aca="false">IF($J2163=0,"SEM CULTURA",INDEX(ROTACAO_RDM!$F$6:$F$71,$J2163))</f>
        <v>SEM CULTURA</v>
      </c>
      <c r="L2163" s="8" t="str">
        <f aca="false">IF($J2163=0,"",INDEX(ROTACAO_RDM!$G$6:$G$71,$J2163))</f>
        <v/>
      </c>
      <c r="M2163" s="17" t="str">
        <f aca="false">IF($J2163=0,"",INDEX(ROTACAO_RDM!$I$6:$I$71,$J2163))</f>
        <v/>
      </c>
      <c r="N2163" s="16" t="n">
        <f aca="false">IF($J2163=0,0,MAX(0,$C2163+INT(DIAS_POR_SEMANA/2)-INDEX(ROTACAO_RDM!$I$6:$I$71,$J2163)))</f>
        <v>0</v>
      </c>
      <c r="O2163" s="19" t="n">
        <f aca="false">IF($J2163=0,0,MIN(1,$N2163/MAX(1,INDEX(ROTACAO_RDM!$K$6:$K$71,$J2163))))</f>
        <v>0</v>
      </c>
      <c r="P2163" s="16" t="n">
        <f aca="false">IF($J2163=0,0,IFERROR(MATCH(INDEX(ROTACAO_RDM!$N$6:$N$71,$J2163),PARAMETROS_CULTURAS!$B$6:$B$28,0),0))</f>
        <v>0</v>
      </c>
      <c r="Q2163" s="8" t="str">
        <f aca="false">IF($P2163=0,"-",IF($O2163&lt;=INDEX(PARAMETROS_CULTURAS!$F$6:$F$28,$P2163),"INICIAL",IF($O2163&lt;=INDEX(PARAMETROS_CULTURAS!$F$6:$F$28,$P2163)+INDEX(PARAMETROS_CULTURAS!$G$6:$G$28,$P2163),"DESENVOLVIMENTO",IF($O2163&lt;=INDEX(PARAMETROS_CULTURAS!$F$6:$F$28,$P2163)+INDEX(PARAMETROS_CULTURAS!$G$6:$G$28,$P2163)+INDEX(PARAMETROS_CULTURAS!$H$6:$H$28,$P2163),"MEDIA","FINAL"))))</f>
        <v>-</v>
      </c>
      <c r="R2163" s="24" t="n">
        <f aca="false">IF($P2163=0,0,IF($O2163&lt;=INDEX(PARAMETROS_CULTURAS!$F$6:$F$28,$P2163),INDEX(PARAMETROS_CULTURAS!$K$6:$K$28,$P2163),IF($O2163&lt;=INDEX(PARAMETROS_CULTURAS!$F$6:$F$28,$P2163)+INDEX(PARAMETROS_CULTURAS!$G$6:$G$28,$P2163),INDEX(PARAMETROS_CULTURAS!$K$6:$K$28,$P2163)+(INDEX(PARAMETROS_CULTURAS!$L$6:$L$28,$P2163)-INDEX(PARAMETROS_CULTURAS!$K$6:$K$28,$P2163))*($O2163-INDEX(PARAMETROS_CULTURAS!$F$6:$F$28,$P2163))/MAX(INDEX(PARAMETROS_CULTURAS!$G$6:$G$28,$P2163),0.0001),IF($O2163&lt;=INDEX(PARAMETROS_CULTURAS!$F$6:$F$28,$P2163)+INDEX(PARAMETROS_CULTURAS!$G$6:$G$28,$P2163)+INDEX(PARAMETROS_CULTURAS!$H$6:$H$28,$P2163),INDEX(PARAMETROS_CULTURAS!$L$6:$L$28,$P2163),INDEX(PARAMETROS_CULTURAS!$L$6:$L$28,$P2163)+(INDEX(PARAMETROS_CULTURAS!$M$6:$M$28,$P2163)-INDEX(PARAMETROS_CULTURAS!$L$6:$L$28,$P2163))*($O2163-INDEX(PARAMETROS_CULTURAS!$F$6:$F$28,$P2163)-INDEX(PARAMETROS_CULTURAS!$G$6:$G$28,$P2163)-INDEX(PARAMETROS_CULTURAS!$H$6:$H$28,$P2163))/MAX(INDEX(PARAMETROS_CULTURAS!$I$6:$I$28,$P2163),0.0001)))))</f>
        <v>0</v>
      </c>
      <c r="S2163" s="18" t="n">
        <f aca="false">IFERROR(INDEX(SEMANAS!$H$6:$H$71,MATCH($B2163,SEMANAS!$B$6:$B$71,0)),0)</f>
        <v>30.1</v>
      </c>
      <c r="T2163" s="18" t="n">
        <f aca="false">$R2163*$S2163</f>
        <v>0</v>
      </c>
      <c r="U2163" s="18" t="n">
        <f aca="false">IFERROR(INDEX(SEMANAS!$I$6:$I$71,MATCH($B2163,SEMANAS!$B$6:$B$71,0)),0)</f>
        <v>0.7</v>
      </c>
      <c r="V2163" s="18" t="n">
        <f aca="false">IFERROR(INDEX(SEMANAS!$J$6:$J$71,MATCH($B2163,SEMANAS!$B$6:$B$71,0)),0)</f>
        <v>0.56</v>
      </c>
      <c r="W2163" s="18" t="n">
        <f aca="false">MAX(0,$T2163-$V2163)</f>
        <v>0</v>
      </c>
      <c r="X2163" s="19" t="n">
        <f aca="false">IFERROR(INDEX(CADASTRO_PIVOS!$K$6:$K$41,MATCH($E2163,CADASTRO_PIVOS!$B$6:$B$41,0)),EFICIENCIA_PADRAO)</f>
        <v>0.85</v>
      </c>
      <c r="Y2163" s="18" t="n">
        <f aca="false">IF($X2163&lt;=0,0,$W2163/$X2163)</f>
        <v>0</v>
      </c>
      <c r="Z2163" s="16" t="n">
        <f aca="false">$Y2163*$H2163*MM_PARA_M3_HA</f>
        <v>0</v>
      </c>
      <c r="AA2163" s="18" t="n">
        <f aca="false">IFERROR(INDEX(CADASTRO_PIVOS!$I$6:$I$41,MATCH($E2163,CADASTRO_PIVOS!$B$6:$B$41,0)),0)</f>
        <v>526.666666666667</v>
      </c>
      <c r="AB2163" s="18" t="n">
        <f aca="false">IF($Z2163&lt;=0,0,$Z2163/$AA2163)</f>
        <v>0</v>
      </c>
      <c r="AC2163" s="16" t="n">
        <f aca="false">IFERROR(INDEX(SEMANAS!$K$6:$K$71,MATCH($B2163,SEMANAS!$B$6:$B$71,0)),0)</f>
        <v>147</v>
      </c>
      <c r="AD2163" s="19" t="n">
        <f aca="false">IF($AC2163&lt;=0,0,$AB2163/$AC2163)</f>
        <v>0</v>
      </c>
      <c r="AE2163" s="8" t="str">
        <f aca="false">IF($K2163="SEM CULTURA","SEM CULTURA",IF($AA2163&lt;=0,"DADO PENDENTE",IF($AD2163&gt;LIMITE_CRITICO,"INVIAVEL",IF($AD2163&gt;LIMITE_ATENCAO,"CRITICO",IF($AD2163&gt;LIMITE_CONFORTAVEL,"ATENCAO","OK")))))</f>
        <v>SEM CULTURA</v>
      </c>
      <c r="AF2163" s="8" t="str">
        <f aca="false">$B2163&amp;"|"&amp;TEXT($AD2163,"0.000000")</f>
        <v>46|0.000000</v>
      </c>
      <c r="AG2163" s="18" t="n">
        <f aca="false">IF($K2163="SEM CULTURA",0,$T2163*$H2163)</f>
        <v>0</v>
      </c>
      <c r="AH2163" s="18" t="n">
        <f aca="false">IF($K2163="SEM CULTURA",0,$V2163*$H2163)</f>
        <v>0</v>
      </c>
      <c r="AI2163" s="18" t="n">
        <f aca="false">IF($K2163="SEM CULTURA",0,$W2163*$H2163)</f>
        <v>0</v>
      </c>
      <c r="AJ2163" s="18" t="n">
        <f aca="false">IF($K2163="SEM CULTURA",0,$S2163*$H2163)</f>
        <v>0</v>
      </c>
      <c r="AK2163" s="8" t="str">
        <f aca="false">$E2163&amp;"|"&amp;TEXT($AD2163,"0.000000")</f>
        <v>PV 134|0.000000</v>
      </c>
    </row>
    <row r="2164" customFormat="false" ht="15" hidden="false" customHeight="false" outlineLevel="0" collapsed="false">
      <c r="B2164" s="16" t="n">
        <v>47</v>
      </c>
      <c r="C2164" s="17" t="n">
        <f aca="false">DATA_INICIO_SAFRA+($B2164-1)*DIAS_POR_SEMANA</f>
        <v>46587</v>
      </c>
      <c r="D2164" s="17" t="n">
        <f aca="false">$C2164+DIAS_POR_SEMANA-1</f>
        <v>46593</v>
      </c>
      <c r="E2164" s="15" t="s">
        <v>291</v>
      </c>
      <c r="F2164" s="8" t="str">
        <f aca="false">IFERROR(INDEX(CADASTRO_PIVOS!$C$6:$C$41,MATCH($E2164,CADASTRO_PIVOS!$B$6:$B$41,0)),"?")</f>
        <v>RM08</v>
      </c>
      <c r="G2164" s="8" t="str">
        <f aca="false">IFERROR(INDEX(CADASTRO_PIVOS!$D$6:$D$41,MATCH($E2164,CADASTRO_PIVOS!$B$6:$B$41,0)),"?")</f>
        <v>TR08</v>
      </c>
      <c r="H2164" s="20" t="n">
        <f aca="false">IFERROR(INDEX(CADASTRO_PIVOS!$E$6:$E$41,MATCH($E2164,CADASTRO_PIVOS!$B$6:$B$41,0)),0)</f>
        <v>79</v>
      </c>
      <c r="I2164" s="16" t="n">
        <f aca="false">IFERROR(SUMIFS(ROTACAO_RDM!$B$6:$B$71,ROTACAO_RDM!$D$6:$D$71,$E2164,ROTACAO_RDM!$I$6:$I$71,"&lt;="&amp;$C2164+INT(DIAS_POR_SEMANA/2),ROTACAO_RDM!$J$6:$J$71,"&gt;="&amp;$C2164+INT(DIAS_POR_SEMANA/2)),0)</f>
        <v>0</v>
      </c>
      <c r="J2164" s="16" t="n">
        <f aca="false">IFERROR(MATCH($I2164,ROTACAO_RDM!$B$6:$B$71,0),0)</f>
        <v>0</v>
      </c>
      <c r="K2164" s="8" t="str">
        <f aca="false">IF($J2164=0,"SEM CULTURA",INDEX(ROTACAO_RDM!$F$6:$F$71,$J2164))</f>
        <v>SEM CULTURA</v>
      </c>
      <c r="L2164" s="8" t="str">
        <f aca="false">IF($J2164=0,"",INDEX(ROTACAO_RDM!$G$6:$G$71,$J2164))</f>
        <v/>
      </c>
      <c r="M2164" s="17" t="str">
        <f aca="false">IF($J2164=0,"",INDEX(ROTACAO_RDM!$I$6:$I$71,$J2164))</f>
        <v/>
      </c>
      <c r="N2164" s="16" t="n">
        <f aca="false">IF($J2164=0,0,MAX(0,$C2164+INT(DIAS_POR_SEMANA/2)-INDEX(ROTACAO_RDM!$I$6:$I$71,$J2164)))</f>
        <v>0</v>
      </c>
      <c r="O2164" s="19" t="n">
        <f aca="false">IF($J2164=0,0,MIN(1,$N2164/MAX(1,INDEX(ROTACAO_RDM!$K$6:$K$71,$J2164))))</f>
        <v>0</v>
      </c>
      <c r="P2164" s="16" t="n">
        <f aca="false">IF($J2164=0,0,IFERROR(MATCH(INDEX(ROTACAO_RDM!$N$6:$N$71,$J2164),PARAMETROS_CULTURAS!$B$6:$B$28,0),0))</f>
        <v>0</v>
      </c>
      <c r="Q2164" s="8" t="str">
        <f aca="false">IF($P2164=0,"-",IF($O2164&lt;=INDEX(PARAMETROS_CULTURAS!$F$6:$F$28,$P2164),"INICIAL",IF($O2164&lt;=INDEX(PARAMETROS_CULTURAS!$F$6:$F$28,$P2164)+INDEX(PARAMETROS_CULTURAS!$G$6:$G$28,$P2164),"DESENVOLVIMENTO",IF($O2164&lt;=INDEX(PARAMETROS_CULTURAS!$F$6:$F$28,$P2164)+INDEX(PARAMETROS_CULTURAS!$G$6:$G$28,$P2164)+INDEX(PARAMETROS_CULTURAS!$H$6:$H$28,$P2164),"MEDIA","FINAL"))))</f>
        <v>-</v>
      </c>
      <c r="R2164" s="24" t="n">
        <f aca="false">IF($P2164=0,0,IF($O2164&lt;=INDEX(PARAMETROS_CULTURAS!$F$6:$F$28,$P2164),INDEX(PARAMETROS_CULTURAS!$K$6:$K$28,$P2164),IF($O2164&lt;=INDEX(PARAMETROS_CULTURAS!$F$6:$F$28,$P2164)+INDEX(PARAMETROS_CULTURAS!$G$6:$G$28,$P2164),INDEX(PARAMETROS_CULTURAS!$K$6:$K$28,$P2164)+(INDEX(PARAMETROS_CULTURAS!$L$6:$L$28,$P2164)-INDEX(PARAMETROS_CULTURAS!$K$6:$K$28,$P2164))*($O2164-INDEX(PARAMETROS_CULTURAS!$F$6:$F$28,$P2164))/MAX(INDEX(PARAMETROS_CULTURAS!$G$6:$G$28,$P2164),0.0001),IF($O2164&lt;=INDEX(PARAMETROS_CULTURAS!$F$6:$F$28,$P2164)+INDEX(PARAMETROS_CULTURAS!$G$6:$G$28,$P2164)+INDEX(PARAMETROS_CULTURAS!$H$6:$H$28,$P2164),INDEX(PARAMETROS_CULTURAS!$L$6:$L$28,$P2164),INDEX(PARAMETROS_CULTURAS!$L$6:$L$28,$P2164)+(INDEX(PARAMETROS_CULTURAS!$M$6:$M$28,$P2164)-INDEX(PARAMETROS_CULTURAS!$L$6:$L$28,$P2164))*($O2164-INDEX(PARAMETROS_CULTURAS!$F$6:$F$28,$P2164)-INDEX(PARAMETROS_CULTURAS!$G$6:$G$28,$P2164)-INDEX(PARAMETROS_CULTURAS!$H$6:$H$28,$P2164))/MAX(INDEX(PARAMETROS_CULTURAS!$I$6:$I$28,$P2164),0.0001)))))</f>
        <v>0</v>
      </c>
      <c r="S2164" s="18" t="n">
        <f aca="false">IFERROR(INDEX(SEMANAS!$H$6:$H$71,MATCH($B2164,SEMANAS!$B$6:$B$71,0)),0)</f>
        <v>30.1</v>
      </c>
      <c r="T2164" s="18" t="n">
        <f aca="false">$R2164*$S2164</f>
        <v>0</v>
      </c>
      <c r="U2164" s="18" t="n">
        <f aca="false">IFERROR(INDEX(SEMANAS!$I$6:$I$71,MATCH($B2164,SEMANAS!$B$6:$B$71,0)),0)</f>
        <v>0.7</v>
      </c>
      <c r="V2164" s="18" t="n">
        <f aca="false">IFERROR(INDEX(SEMANAS!$J$6:$J$71,MATCH($B2164,SEMANAS!$B$6:$B$71,0)),0)</f>
        <v>0.56</v>
      </c>
      <c r="W2164" s="18" t="n">
        <f aca="false">MAX(0,$T2164-$V2164)</f>
        <v>0</v>
      </c>
      <c r="X2164" s="19" t="n">
        <f aca="false">IFERROR(INDEX(CADASTRO_PIVOS!$K$6:$K$41,MATCH($E2164,CADASTRO_PIVOS!$B$6:$B$41,0)),EFICIENCIA_PADRAO)</f>
        <v>0.85</v>
      </c>
      <c r="Y2164" s="18" t="n">
        <f aca="false">IF($X2164&lt;=0,0,$W2164/$X2164)</f>
        <v>0</v>
      </c>
      <c r="Z2164" s="16" t="n">
        <f aca="false">$Y2164*$H2164*MM_PARA_M3_HA</f>
        <v>0</v>
      </c>
      <c r="AA2164" s="18" t="n">
        <f aca="false">IFERROR(INDEX(CADASTRO_PIVOS!$I$6:$I$41,MATCH($E2164,CADASTRO_PIVOS!$B$6:$B$41,0)),0)</f>
        <v>526.666666666667</v>
      </c>
      <c r="AB2164" s="18" t="n">
        <f aca="false">IF($Z2164&lt;=0,0,$Z2164/$AA2164)</f>
        <v>0</v>
      </c>
      <c r="AC2164" s="16" t="n">
        <f aca="false">IFERROR(INDEX(SEMANAS!$K$6:$K$71,MATCH($B2164,SEMANAS!$B$6:$B$71,0)),0)</f>
        <v>147</v>
      </c>
      <c r="AD2164" s="19" t="n">
        <f aca="false">IF($AC2164&lt;=0,0,$AB2164/$AC2164)</f>
        <v>0</v>
      </c>
      <c r="AE2164" s="8" t="str">
        <f aca="false">IF($K2164="SEM CULTURA","SEM CULTURA",IF($AA2164&lt;=0,"DADO PENDENTE",IF($AD2164&gt;LIMITE_CRITICO,"INVIAVEL",IF($AD2164&gt;LIMITE_ATENCAO,"CRITICO",IF($AD2164&gt;LIMITE_CONFORTAVEL,"ATENCAO","OK")))))</f>
        <v>SEM CULTURA</v>
      </c>
      <c r="AF2164" s="8" t="str">
        <f aca="false">$B2164&amp;"|"&amp;TEXT($AD2164,"0.000000")</f>
        <v>47|0.000000</v>
      </c>
      <c r="AG2164" s="18" t="n">
        <f aca="false">IF($K2164="SEM CULTURA",0,$T2164*$H2164)</f>
        <v>0</v>
      </c>
      <c r="AH2164" s="18" t="n">
        <f aca="false">IF($K2164="SEM CULTURA",0,$V2164*$H2164)</f>
        <v>0</v>
      </c>
      <c r="AI2164" s="18" t="n">
        <f aca="false">IF($K2164="SEM CULTURA",0,$W2164*$H2164)</f>
        <v>0</v>
      </c>
      <c r="AJ2164" s="18" t="n">
        <f aca="false">IF($K2164="SEM CULTURA",0,$S2164*$H2164)</f>
        <v>0</v>
      </c>
      <c r="AK2164" s="8" t="str">
        <f aca="false">$E2164&amp;"|"&amp;TEXT($AD2164,"0.000000")</f>
        <v>PV 134|0.000000</v>
      </c>
    </row>
    <row r="2165" customFormat="false" ht="15" hidden="false" customHeight="false" outlineLevel="0" collapsed="false">
      <c r="B2165" s="16" t="n">
        <v>48</v>
      </c>
      <c r="C2165" s="17" t="n">
        <f aca="false">DATA_INICIO_SAFRA+($B2165-1)*DIAS_POR_SEMANA</f>
        <v>46594</v>
      </c>
      <c r="D2165" s="17" t="n">
        <f aca="false">$C2165+DIAS_POR_SEMANA-1</f>
        <v>46600</v>
      </c>
      <c r="E2165" s="15" t="s">
        <v>291</v>
      </c>
      <c r="F2165" s="8" t="str">
        <f aca="false">IFERROR(INDEX(CADASTRO_PIVOS!$C$6:$C$41,MATCH($E2165,CADASTRO_PIVOS!$B$6:$B$41,0)),"?")</f>
        <v>RM08</v>
      </c>
      <c r="G2165" s="8" t="str">
        <f aca="false">IFERROR(INDEX(CADASTRO_PIVOS!$D$6:$D$41,MATCH($E2165,CADASTRO_PIVOS!$B$6:$B$41,0)),"?")</f>
        <v>TR08</v>
      </c>
      <c r="H2165" s="20" t="n">
        <f aca="false">IFERROR(INDEX(CADASTRO_PIVOS!$E$6:$E$41,MATCH($E2165,CADASTRO_PIVOS!$B$6:$B$41,0)),0)</f>
        <v>79</v>
      </c>
      <c r="I2165" s="16" t="n">
        <f aca="false">IFERROR(SUMIFS(ROTACAO_RDM!$B$6:$B$71,ROTACAO_RDM!$D$6:$D$71,$E2165,ROTACAO_RDM!$I$6:$I$71,"&lt;="&amp;$C2165+INT(DIAS_POR_SEMANA/2),ROTACAO_RDM!$J$6:$J$71,"&gt;="&amp;$C2165+INT(DIAS_POR_SEMANA/2)),0)</f>
        <v>0</v>
      </c>
      <c r="J2165" s="16" t="n">
        <f aca="false">IFERROR(MATCH($I2165,ROTACAO_RDM!$B$6:$B$71,0),0)</f>
        <v>0</v>
      </c>
      <c r="K2165" s="8" t="str">
        <f aca="false">IF($J2165=0,"SEM CULTURA",INDEX(ROTACAO_RDM!$F$6:$F$71,$J2165))</f>
        <v>SEM CULTURA</v>
      </c>
      <c r="L2165" s="8" t="str">
        <f aca="false">IF($J2165=0,"",INDEX(ROTACAO_RDM!$G$6:$G$71,$J2165))</f>
        <v/>
      </c>
      <c r="M2165" s="17" t="str">
        <f aca="false">IF($J2165=0,"",INDEX(ROTACAO_RDM!$I$6:$I$71,$J2165))</f>
        <v/>
      </c>
      <c r="N2165" s="16" t="n">
        <f aca="false">IF($J2165=0,0,MAX(0,$C2165+INT(DIAS_POR_SEMANA/2)-INDEX(ROTACAO_RDM!$I$6:$I$71,$J2165)))</f>
        <v>0</v>
      </c>
      <c r="O2165" s="19" t="n">
        <f aca="false">IF($J2165=0,0,MIN(1,$N2165/MAX(1,INDEX(ROTACAO_RDM!$K$6:$K$71,$J2165))))</f>
        <v>0</v>
      </c>
      <c r="P2165" s="16" t="n">
        <f aca="false">IF($J2165=0,0,IFERROR(MATCH(INDEX(ROTACAO_RDM!$N$6:$N$71,$J2165),PARAMETROS_CULTURAS!$B$6:$B$28,0),0))</f>
        <v>0</v>
      </c>
      <c r="Q2165" s="8" t="str">
        <f aca="false">IF($P2165=0,"-",IF($O2165&lt;=INDEX(PARAMETROS_CULTURAS!$F$6:$F$28,$P2165),"INICIAL",IF($O2165&lt;=INDEX(PARAMETROS_CULTURAS!$F$6:$F$28,$P2165)+INDEX(PARAMETROS_CULTURAS!$G$6:$G$28,$P2165),"DESENVOLVIMENTO",IF($O2165&lt;=INDEX(PARAMETROS_CULTURAS!$F$6:$F$28,$P2165)+INDEX(PARAMETROS_CULTURAS!$G$6:$G$28,$P2165)+INDEX(PARAMETROS_CULTURAS!$H$6:$H$28,$P2165),"MEDIA","FINAL"))))</f>
        <v>-</v>
      </c>
      <c r="R2165" s="24" t="n">
        <f aca="false">IF($P2165=0,0,IF($O2165&lt;=INDEX(PARAMETROS_CULTURAS!$F$6:$F$28,$P2165),INDEX(PARAMETROS_CULTURAS!$K$6:$K$28,$P2165),IF($O2165&lt;=INDEX(PARAMETROS_CULTURAS!$F$6:$F$28,$P2165)+INDEX(PARAMETROS_CULTURAS!$G$6:$G$28,$P2165),INDEX(PARAMETROS_CULTURAS!$K$6:$K$28,$P2165)+(INDEX(PARAMETROS_CULTURAS!$L$6:$L$28,$P2165)-INDEX(PARAMETROS_CULTURAS!$K$6:$K$28,$P2165))*($O2165-INDEX(PARAMETROS_CULTURAS!$F$6:$F$28,$P2165))/MAX(INDEX(PARAMETROS_CULTURAS!$G$6:$G$28,$P2165),0.0001),IF($O2165&lt;=INDEX(PARAMETROS_CULTURAS!$F$6:$F$28,$P2165)+INDEX(PARAMETROS_CULTURAS!$G$6:$G$28,$P2165)+INDEX(PARAMETROS_CULTURAS!$H$6:$H$28,$P2165),INDEX(PARAMETROS_CULTURAS!$L$6:$L$28,$P2165),INDEX(PARAMETROS_CULTURAS!$L$6:$L$28,$P2165)+(INDEX(PARAMETROS_CULTURAS!$M$6:$M$28,$P2165)-INDEX(PARAMETROS_CULTURAS!$L$6:$L$28,$P2165))*($O2165-INDEX(PARAMETROS_CULTURAS!$F$6:$F$28,$P2165)-INDEX(PARAMETROS_CULTURAS!$G$6:$G$28,$P2165)-INDEX(PARAMETROS_CULTURAS!$H$6:$H$28,$P2165))/MAX(INDEX(PARAMETROS_CULTURAS!$I$6:$I$28,$P2165),0.0001)))))</f>
        <v>0</v>
      </c>
      <c r="S2165" s="18" t="n">
        <f aca="false">IFERROR(INDEX(SEMANAS!$H$6:$H$71,MATCH($B2165,SEMANAS!$B$6:$B$71,0)),0)</f>
        <v>31</v>
      </c>
      <c r="T2165" s="18" t="n">
        <f aca="false">$R2165*$S2165</f>
        <v>0</v>
      </c>
      <c r="U2165" s="18" t="n">
        <f aca="false">IFERROR(INDEX(SEMANAS!$I$6:$I$71,MATCH($B2165,SEMANAS!$B$6:$B$71,0)),0)</f>
        <v>0.76</v>
      </c>
      <c r="V2165" s="18" t="n">
        <f aca="false">IFERROR(INDEX(SEMANAS!$J$6:$J$71,MATCH($B2165,SEMANAS!$B$6:$B$71,0)),0)</f>
        <v>0.608</v>
      </c>
      <c r="W2165" s="18" t="n">
        <f aca="false">MAX(0,$T2165-$V2165)</f>
        <v>0</v>
      </c>
      <c r="X2165" s="19" t="n">
        <f aca="false">IFERROR(INDEX(CADASTRO_PIVOS!$K$6:$K$41,MATCH($E2165,CADASTRO_PIVOS!$B$6:$B$41,0)),EFICIENCIA_PADRAO)</f>
        <v>0.85</v>
      </c>
      <c r="Y2165" s="18" t="n">
        <f aca="false">IF($X2165&lt;=0,0,$W2165/$X2165)</f>
        <v>0</v>
      </c>
      <c r="Z2165" s="16" t="n">
        <f aca="false">$Y2165*$H2165*MM_PARA_M3_HA</f>
        <v>0</v>
      </c>
      <c r="AA2165" s="18" t="n">
        <f aca="false">IFERROR(INDEX(CADASTRO_PIVOS!$I$6:$I$41,MATCH($E2165,CADASTRO_PIVOS!$B$6:$B$41,0)),0)</f>
        <v>526.666666666667</v>
      </c>
      <c r="AB2165" s="18" t="n">
        <f aca="false">IF($Z2165&lt;=0,0,$Z2165/$AA2165)</f>
        <v>0</v>
      </c>
      <c r="AC2165" s="16" t="n">
        <f aca="false">IFERROR(INDEX(SEMANAS!$K$6:$K$71,MATCH($B2165,SEMANAS!$B$6:$B$71,0)),0)</f>
        <v>147</v>
      </c>
      <c r="AD2165" s="19" t="n">
        <f aca="false">IF($AC2165&lt;=0,0,$AB2165/$AC2165)</f>
        <v>0</v>
      </c>
      <c r="AE2165" s="8" t="str">
        <f aca="false">IF($K2165="SEM CULTURA","SEM CULTURA",IF($AA2165&lt;=0,"DADO PENDENTE",IF($AD2165&gt;LIMITE_CRITICO,"INVIAVEL",IF($AD2165&gt;LIMITE_ATENCAO,"CRITICO",IF($AD2165&gt;LIMITE_CONFORTAVEL,"ATENCAO","OK")))))</f>
        <v>SEM CULTURA</v>
      </c>
      <c r="AF2165" s="8" t="str">
        <f aca="false">$B2165&amp;"|"&amp;TEXT($AD2165,"0.000000")</f>
        <v>48|0.000000</v>
      </c>
      <c r="AG2165" s="18" t="n">
        <f aca="false">IF($K2165="SEM CULTURA",0,$T2165*$H2165)</f>
        <v>0</v>
      </c>
      <c r="AH2165" s="18" t="n">
        <f aca="false">IF($K2165="SEM CULTURA",0,$V2165*$H2165)</f>
        <v>0</v>
      </c>
      <c r="AI2165" s="18" t="n">
        <f aca="false">IF($K2165="SEM CULTURA",0,$W2165*$H2165)</f>
        <v>0</v>
      </c>
      <c r="AJ2165" s="18" t="n">
        <f aca="false">IF($K2165="SEM CULTURA",0,$S2165*$H2165)</f>
        <v>0</v>
      </c>
      <c r="AK2165" s="8" t="str">
        <f aca="false">$E2165&amp;"|"&amp;TEXT($AD2165,"0.000000")</f>
        <v>PV 134|0.000000</v>
      </c>
    </row>
    <row r="2166" customFormat="false" ht="15" hidden="false" customHeight="false" outlineLevel="0" collapsed="false">
      <c r="B2166" s="16" t="n">
        <v>49</v>
      </c>
      <c r="C2166" s="17" t="n">
        <f aca="false">DATA_INICIO_SAFRA+($B2166-1)*DIAS_POR_SEMANA</f>
        <v>46601</v>
      </c>
      <c r="D2166" s="17" t="n">
        <f aca="false">$C2166+DIAS_POR_SEMANA-1</f>
        <v>46607</v>
      </c>
      <c r="E2166" s="15" t="s">
        <v>291</v>
      </c>
      <c r="F2166" s="8" t="str">
        <f aca="false">IFERROR(INDEX(CADASTRO_PIVOS!$C$6:$C$41,MATCH($E2166,CADASTRO_PIVOS!$B$6:$B$41,0)),"?")</f>
        <v>RM08</v>
      </c>
      <c r="G2166" s="8" t="str">
        <f aca="false">IFERROR(INDEX(CADASTRO_PIVOS!$D$6:$D$41,MATCH($E2166,CADASTRO_PIVOS!$B$6:$B$41,0)),"?")</f>
        <v>TR08</v>
      </c>
      <c r="H2166" s="20" t="n">
        <f aca="false">IFERROR(INDEX(CADASTRO_PIVOS!$E$6:$E$41,MATCH($E2166,CADASTRO_PIVOS!$B$6:$B$41,0)),0)</f>
        <v>79</v>
      </c>
      <c r="I2166" s="16" t="n">
        <f aca="false">IFERROR(SUMIFS(ROTACAO_RDM!$B$6:$B$71,ROTACAO_RDM!$D$6:$D$71,$E2166,ROTACAO_RDM!$I$6:$I$71,"&lt;="&amp;$C2166+INT(DIAS_POR_SEMANA/2),ROTACAO_RDM!$J$6:$J$71,"&gt;="&amp;$C2166+INT(DIAS_POR_SEMANA/2)),0)</f>
        <v>0</v>
      </c>
      <c r="J2166" s="16" t="n">
        <f aca="false">IFERROR(MATCH($I2166,ROTACAO_RDM!$B$6:$B$71,0),0)</f>
        <v>0</v>
      </c>
      <c r="K2166" s="8" t="str">
        <f aca="false">IF($J2166=0,"SEM CULTURA",INDEX(ROTACAO_RDM!$F$6:$F$71,$J2166))</f>
        <v>SEM CULTURA</v>
      </c>
      <c r="L2166" s="8" t="str">
        <f aca="false">IF($J2166=0,"",INDEX(ROTACAO_RDM!$G$6:$G$71,$J2166))</f>
        <v/>
      </c>
      <c r="M2166" s="17" t="str">
        <f aca="false">IF($J2166=0,"",INDEX(ROTACAO_RDM!$I$6:$I$71,$J2166))</f>
        <v/>
      </c>
      <c r="N2166" s="16" t="n">
        <f aca="false">IF($J2166=0,0,MAX(0,$C2166+INT(DIAS_POR_SEMANA/2)-INDEX(ROTACAO_RDM!$I$6:$I$71,$J2166)))</f>
        <v>0</v>
      </c>
      <c r="O2166" s="19" t="n">
        <f aca="false">IF($J2166=0,0,MIN(1,$N2166/MAX(1,INDEX(ROTACAO_RDM!$K$6:$K$71,$J2166))))</f>
        <v>0</v>
      </c>
      <c r="P2166" s="16" t="n">
        <f aca="false">IF($J2166=0,0,IFERROR(MATCH(INDEX(ROTACAO_RDM!$N$6:$N$71,$J2166),PARAMETROS_CULTURAS!$B$6:$B$28,0),0))</f>
        <v>0</v>
      </c>
      <c r="Q2166" s="8" t="str">
        <f aca="false">IF($P2166=0,"-",IF($O2166&lt;=INDEX(PARAMETROS_CULTURAS!$F$6:$F$28,$P2166),"INICIAL",IF($O2166&lt;=INDEX(PARAMETROS_CULTURAS!$F$6:$F$28,$P2166)+INDEX(PARAMETROS_CULTURAS!$G$6:$G$28,$P2166),"DESENVOLVIMENTO",IF($O2166&lt;=INDEX(PARAMETROS_CULTURAS!$F$6:$F$28,$P2166)+INDEX(PARAMETROS_CULTURAS!$G$6:$G$28,$P2166)+INDEX(PARAMETROS_CULTURAS!$H$6:$H$28,$P2166),"MEDIA","FINAL"))))</f>
        <v>-</v>
      </c>
      <c r="R2166" s="24" t="n">
        <f aca="false">IF($P2166=0,0,IF($O2166&lt;=INDEX(PARAMETROS_CULTURAS!$F$6:$F$28,$P2166),INDEX(PARAMETROS_CULTURAS!$K$6:$K$28,$P2166),IF($O2166&lt;=INDEX(PARAMETROS_CULTURAS!$F$6:$F$28,$P2166)+INDEX(PARAMETROS_CULTURAS!$G$6:$G$28,$P2166),INDEX(PARAMETROS_CULTURAS!$K$6:$K$28,$P2166)+(INDEX(PARAMETROS_CULTURAS!$L$6:$L$28,$P2166)-INDEX(PARAMETROS_CULTURAS!$K$6:$K$28,$P2166))*($O2166-INDEX(PARAMETROS_CULTURAS!$F$6:$F$28,$P2166))/MAX(INDEX(PARAMETROS_CULTURAS!$G$6:$G$28,$P2166),0.0001),IF($O2166&lt;=INDEX(PARAMETROS_CULTURAS!$F$6:$F$28,$P2166)+INDEX(PARAMETROS_CULTURAS!$G$6:$G$28,$P2166)+INDEX(PARAMETROS_CULTURAS!$H$6:$H$28,$P2166),INDEX(PARAMETROS_CULTURAS!$L$6:$L$28,$P2166),INDEX(PARAMETROS_CULTURAS!$L$6:$L$28,$P2166)+(INDEX(PARAMETROS_CULTURAS!$M$6:$M$28,$P2166)-INDEX(PARAMETROS_CULTURAS!$L$6:$L$28,$P2166))*($O2166-INDEX(PARAMETROS_CULTURAS!$F$6:$F$28,$P2166)-INDEX(PARAMETROS_CULTURAS!$G$6:$G$28,$P2166)-INDEX(PARAMETROS_CULTURAS!$H$6:$H$28,$P2166))/MAX(INDEX(PARAMETROS_CULTURAS!$I$6:$I$28,$P2166),0.0001)))))</f>
        <v>0</v>
      </c>
      <c r="S2166" s="18" t="n">
        <f aca="false">IFERROR(INDEX(SEMANAS!$H$6:$H$71,MATCH($B2166,SEMANAS!$B$6:$B$71,0)),0)</f>
        <v>36.4</v>
      </c>
      <c r="T2166" s="18" t="n">
        <f aca="false">$R2166*$S2166</f>
        <v>0</v>
      </c>
      <c r="U2166" s="18" t="n">
        <f aca="false">IFERROR(INDEX(SEMANAS!$I$6:$I$71,MATCH($B2166,SEMANAS!$B$6:$B$71,0)),0)</f>
        <v>1.12</v>
      </c>
      <c r="V2166" s="18" t="n">
        <f aca="false">IFERROR(INDEX(SEMANAS!$J$6:$J$71,MATCH($B2166,SEMANAS!$B$6:$B$71,0)),0)</f>
        <v>0.896</v>
      </c>
      <c r="W2166" s="18" t="n">
        <f aca="false">MAX(0,$T2166-$V2166)</f>
        <v>0</v>
      </c>
      <c r="X2166" s="19" t="n">
        <f aca="false">IFERROR(INDEX(CADASTRO_PIVOS!$K$6:$K$41,MATCH($E2166,CADASTRO_PIVOS!$B$6:$B$41,0)),EFICIENCIA_PADRAO)</f>
        <v>0.85</v>
      </c>
      <c r="Y2166" s="18" t="n">
        <f aca="false">IF($X2166&lt;=0,0,$W2166/$X2166)</f>
        <v>0</v>
      </c>
      <c r="Z2166" s="16" t="n">
        <f aca="false">$Y2166*$H2166*MM_PARA_M3_HA</f>
        <v>0</v>
      </c>
      <c r="AA2166" s="18" t="n">
        <f aca="false">IFERROR(INDEX(CADASTRO_PIVOS!$I$6:$I$41,MATCH($E2166,CADASTRO_PIVOS!$B$6:$B$41,0)),0)</f>
        <v>526.666666666667</v>
      </c>
      <c r="AB2166" s="18" t="n">
        <f aca="false">IF($Z2166&lt;=0,0,$Z2166/$AA2166)</f>
        <v>0</v>
      </c>
      <c r="AC2166" s="16" t="n">
        <f aca="false">IFERROR(INDEX(SEMANAS!$K$6:$K$71,MATCH($B2166,SEMANAS!$B$6:$B$71,0)),0)</f>
        <v>147</v>
      </c>
      <c r="AD2166" s="19" t="n">
        <f aca="false">IF($AC2166&lt;=0,0,$AB2166/$AC2166)</f>
        <v>0</v>
      </c>
      <c r="AE2166" s="8" t="str">
        <f aca="false">IF($K2166="SEM CULTURA","SEM CULTURA",IF($AA2166&lt;=0,"DADO PENDENTE",IF($AD2166&gt;LIMITE_CRITICO,"INVIAVEL",IF($AD2166&gt;LIMITE_ATENCAO,"CRITICO",IF($AD2166&gt;LIMITE_CONFORTAVEL,"ATENCAO","OK")))))</f>
        <v>SEM CULTURA</v>
      </c>
      <c r="AF2166" s="8" t="str">
        <f aca="false">$B2166&amp;"|"&amp;TEXT($AD2166,"0.000000")</f>
        <v>49|0.000000</v>
      </c>
      <c r="AG2166" s="18" t="n">
        <f aca="false">IF($K2166="SEM CULTURA",0,$T2166*$H2166)</f>
        <v>0</v>
      </c>
      <c r="AH2166" s="18" t="n">
        <f aca="false">IF($K2166="SEM CULTURA",0,$V2166*$H2166)</f>
        <v>0</v>
      </c>
      <c r="AI2166" s="18" t="n">
        <f aca="false">IF($K2166="SEM CULTURA",0,$W2166*$H2166)</f>
        <v>0</v>
      </c>
      <c r="AJ2166" s="18" t="n">
        <f aca="false">IF($K2166="SEM CULTURA",0,$S2166*$H2166)</f>
        <v>0</v>
      </c>
      <c r="AK2166" s="8" t="str">
        <f aca="false">$E2166&amp;"|"&amp;TEXT($AD2166,"0.000000")</f>
        <v>PV 134|0.000000</v>
      </c>
    </row>
    <row r="2167" customFormat="false" ht="15" hidden="false" customHeight="false" outlineLevel="0" collapsed="false">
      <c r="B2167" s="16" t="n">
        <v>50</v>
      </c>
      <c r="C2167" s="17" t="n">
        <f aca="false">DATA_INICIO_SAFRA+($B2167-1)*DIAS_POR_SEMANA</f>
        <v>46608</v>
      </c>
      <c r="D2167" s="17" t="n">
        <f aca="false">$C2167+DIAS_POR_SEMANA-1</f>
        <v>46614</v>
      </c>
      <c r="E2167" s="15" t="s">
        <v>291</v>
      </c>
      <c r="F2167" s="8" t="str">
        <f aca="false">IFERROR(INDEX(CADASTRO_PIVOS!$C$6:$C$41,MATCH($E2167,CADASTRO_PIVOS!$B$6:$B$41,0)),"?")</f>
        <v>RM08</v>
      </c>
      <c r="G2167" s="8" t="str">
        <f aca="false">IFERROR(INDEX(CADASTRO_PIVOS!$D$6:$D$41,MATCH($E2167,CADASTRO_PIVOS!$B$6:$B$41,0)),"?")</f>
        <v>TR08</v>
      </c>
      <c r="H2167" s="20" t="n">
        <f aca="false">IFERROR(INDEX(CADASTRO_PIVOS!$E$6:$E$41,MATCH($E2167,CADASTRO_PIVOS!$B$6:$B$41,0)),0)</f>
        <v>79</v>
      </c>
      <c r="I2167" s="16" t="n">
        <f aca="false">IFERROR(SUMIFS(ROTACAO_RDM!$B$6:$B$71,ROTACAO_RDM!$D$6:$D$71,$E2167,ROTACAO_RDM!$I$6:$I$71,"&lt;="&amp;$C2167+INT(DIAS_POR_SEMANA/2),ROTACAO_RDM!$J$6:$J$71,"&gt;="&amp;$C2167+INT(DIAS_POR_SEMANA/2)),0)</f>
        <v>0</v>
      </c>
      <c r="J2167" s="16" t="n">
        <f aca="false">IFERROR(MATCH($I2167,ROTACAO_RDM!$B$6:$B$71,0),0)</f>
        <v>0</v>
      </c>
      <c r="K2167" s="8" t="str">
        <f aca="false">IF($J2167=0,"SEM CULTURA",INDEX(ROTACAO_RDM!$F$6:$F$71,$J2167))</f>
        <v>SEM CULTURA</v>
      </c>
      <c r="L2167" s="8" t="str">
        <f aca="false">IF($J2167=0,"",INDEX(ROTACAO_RDM!$G$6:$G$71,$J2167))</f>
        <v/>
      </c>
      <c r="M2167" s="17" t="str">
        <f aca="false">IF($J2167=0,"",INDEX(ROTACAO_RDM!$I$6:$I$71,$J2167))</f>
        <v/>
      </c>
      <c r="N2167" s="16" t="n">
        <f aca="false">IF($J2167=0,0,MAX(0,$C2167+INT(DIAS_POR_SEMANA/2)-INDEX(ROTACAO_RDM!$I$6:$I$71,$J2167)))</f>
        <v>0</v>
      </c>
      <c r="O2167" s="19" t="n">
        <f aca="false">IF($J2167=0,0,MIN(1,$N2167/MAX(1,INDEX(ROTACAO_RDM!$K$6:$K$71,$J2167))))</f>
        <v>0</v>
      </c>
      <c r="P2167" s="16" t="n">
        <f aca="false">IF($J2167=0,0,IFERROR(MATCH(INDEX(ROTACAO_RDM!$N$6:$N$71,$J2167),PARAMETROS_CULTURAS!$B$6:$B$28,0),0))</f>
        <v>0</v>
      </c>
      <c r="Q2167" s="8" t="str">
        <f aca="false">IF($P2167=0,"-",IF($O2167&lt;=INDEX(PARAMETROS_CULTURAS!$F$6:$F$28,$P2167),"INICIAL",IF($O2167&lt;=INDEX(PARAMETROS_CULTURAS!$F$6:$F$28,$P2167)+INDEX(PARAMETROS_CULTURAS!$G$6:$G$28,$P2167),"DESENVOLVIMENTO",IF($O2167&lt;=INDEX(PARAMETROS_CULTURAS!$F$6:$F$28,$P2167)+INDEX(PARAMETROS_CULTURAS!$G$6:$G$28,$P2167)+INDEX(PARAMETROS_CULTURAS!$H$6:$H$28,$P2167),"MEDIA","FINAL"))))</f>
        <v>-</v>
      </c>
      <c r="R2167" s="24" t="n">
        <f aca="false">IF($P2167=0,0,IF($O2167&lt;=INDEX(PARAMETROS_CULTURAS!$F$6:$F$28,$P2167),INDEX(PARAMETROS_CULTURAS!$K$6:$K$28,$P2167),IF($O2167&lt;=INDEX(PARAMETROS_CULTURAS!$F$6:$F$28,$P2167)+INDEX(PARAMETROS_CULTURAS!$G$6:$G$28,$P2167),INDEX(PARAMETROS_CULTURAS!$K$6:$K$28,$P2167)+(INDEX(PARAMETROS_CULTURAS!$L$6:$L$28,$P2167)-INDEX(PARAMETROS_CULTURAS!$K$6:$K$28,$P2167))*($O2167-INDEX(PARAMETROS_CULTURAS!$F$6:$F$28,$P2167))/MAX(INDEX(PARAMETROS_CULTURAS!$G$6:$G$28,$P2167),0.0001),IF($O2167&lt;=INDEX(PARAMETROS_CULTURAS!$F$6:$F$28,$P2167)+INDEX(PARAMETROS_CULTURAS!$G$6:$G$28,$P2167)+INDEX(PARAMETROS_CULTURAS!$H$6:$H$28,$P2167),INDEX(PARAMETROS_CULTURAS!$L$6:$L$28,$P2167),INDEX(PARAMETROS_CULTURAS!$L$6:$L$28,$P2167)+(INDEX(PARAMETROS_CULTURAS!$M$6:$M$28,$P2167)-INDEX(PARAMETROS_CULTURAS!$L$6:$L$28,$P2167))*($O2167-INDEX(PARAMETROS_CULTURAS!$F$6:$F$28,$P2167)-INDEX(PARAMETROS_CULTURAS!$G$6:$G$28,$P2167)-INDEX(PARAMETROS_CULTURAS!$H$6:$H$28,$P2167))/MAX(INDEX(PARAMETROS_CULTURAS!$I$6:$I$28,$P2167),0.0001)))))</f>
        <v>0</v>
      </c>
      <c r="S2167" s="18" t="n">
        <f aca="false">IFERROR(INDEX(SEMANAS!$H$6:$H$71,MATCH($B2167,SEMANAS!$B$6:$B$71,0)),0)</f>
        <v>36.4</v>
      </c>
      <c r="T2167" s="18" t="n">
        <f aca="false">$R2167*$S2167</f>
        <v>0</v>
      </c>
      <c r="U2167" s="18" t="n">
        <f aca="false">IFERROR(INDEX(SEMANAS!$I$6:$I$71,MATCH($B2167,SEMANAS!$B$6:$B$71,0)),0)</f>
        <v>1.12</v>
      </c>
      <c r="V2167" s="18" t="n">
        <f aca="false">IFERROR(INDEX(SEMANAS!$J$6:$J$71,MATCH($B2167,SEMANAS!$B$6:$B$71,0)),0)</f>
        <v>0.896</v>
      </c>
      <c r="W2167" s="18" t="n">
        <f aca="false">MAX(0,$T2167-$V2167)</f>
        <v>0</v>
      </c>
      <c r="X2167" s="19" t="n">
        <f aca="false">IFERROR(INDEX(CADASTRO_PIVOS!$K$6:$K$41,MATCH($E2167,CADASTRO_PIVOS!$B$6:$B$41,0)),EFICIENCIA_PADRAO)</f>
        <v>0.85</v>
      </c>
      <c r="Y2167" s="18" t="n">
        <f aca="false">IF($X2167&lt;=0,0,$W2167/$X2167)</f>
        <v>0</v>
      </c>
      <c r="Z2167" s="16" t="n">
        <f aca="false">$Y2167*$H2167*MM_PARA_M3_HA</f>
        <v>0</v>
      </c>
      <c r="AA2167" s="18" t="n">
        <f aca="false">IFERROR(INDEX(CADASTRO_PIVOS!$I$6:$I$41,MATCH($E2167,CADASTRO_PIVOS!$B$6:$B$41,0)),0)</f>
        <v>526.666666666667</v>
      </c>
      <c r="AB2167" s="18" t="n">
        <f aca="false">IF($Z2167&lt;=0,0,$Z2167/$AA2167)</f>
        <v>0</v>
      </c>
      <c r="AC2167" s="16" t="n">
        <f aca="false">IFERROR(INDEX(SEMANAS!$K$6:$K$71,MATCH($B2167,SEMANAS!$B$6:$B$71,0)),0)</f>
        <v>147</v>
      </c>
      <c r="AD2167" s="19" t="n">
        <f aca="false">IF($AC2167&lt;=0,0,$AB2167/$AC2167)</f>
        <v>0</v>
      </c>
      <c r="AE2167" s="8" t="str">
        <f aca="false">IF($K2167="SEM CULTURA","SEM CULTURA",IF($AA2167&lt;=0,"DADO PENDENTE",IF($AD2167&gt;LIMITE_CRITICO,"INVIAVEL",IF($AD2167&gt;LIMITE_ATENCAO,"CRITICO",IF($AD2167&gt;LIMITE_CONFORTAVEL,"ATENCAO","OK")))))</f>
        <v>SEM CULTURA</v>
      </c>
      <c r="AF2167" s="8" t="str">
        <f aca="false">$B2167&amp;"|"&amp;TEXT($AD2167,"0.000000")</f>
        <v>50|0.000000</v>
      </c>
      <c r="AG2167" s="18" t="n">
        <f aca="false">IF($K2167="SEM CULTURA",0,$T2167*$H2167)</f>
        <v>0</v>
      </c>
      <c r="AH2167" s="18" t="n">
        <f aca="false">IF($K2167="SEM CULTURA",0,$V2167*$H2167)</f>
        <v>0</v>
      </c>
      <c r="AI2167" s="18" t="n">
        <f aca="false">IF($K2167="SEM CULTURA",0,$W2167*$H2167)</f>
        <v>0</v>
      </c>
      <c r="AJ2167" s="18" t="n">
        <f aca="false">IF($K2167="SEM CULTURA",0,$S2167*$H2167)</f>
        <v>0</v>
      </c>
      <c r="AK2167" s="8" t="str">
        <f aca="false">$E2167&amp;"|"&amp;TEXT($AD2167,"0.000000")</f>
        <v>PV 134|0.000000</v>
      </c>
    </row>
    <row r="2168" customFormat="false" ht="15" hidden="false" customHeight="false" outlineLevel="0" collapsed="false">
      <c r="B2168" s="16" t="n">
        <v>51</v>
      </c>
      <c r="C2168" s="17" t="n">
        <f aca="false">DATA_INICIO_SAFRA+($B2168-1)*DIAS_POR_SEMANA</f>
        <v>46615</v>
      </c>
      <c r="D2168" s="17" t="n">
        <f aca="false">$C2168+DIAS_POR_SEMANA-1</f>
        <v>46621</v>
      </c>
      <c r="E2168" s="15" t="s">
        <v>291</v>
      </c>
      <c r="F2168" s="8" t="str">
        <f aca="false">IFERROR(INDEX(CADASTRO_PIVOS!$C$6:$C$41,MATCH($E2168,CADASTRO_PIVOS!$B$6:$B$41,0)),"?")</f>
        <v>RM08</v>
      </c>
      <c r="G2168" s="8" t="str">
        <f aca="false">IFERROR(INDEX(CADASTRO_PIVOS!$D$6:$D$41,MATCH($E2168,CADASTRO_PIVOS!$B$6:$B$41,0)),"?")</f>
        <v>TR08</v>
      </c>
      <c r="H2168" s="20" t="n">
        <f aca="false">IFERROR(INDEX(CADASTRO_PIVOS!$E$6:$E$41,MATCH($E2168,CADASTRO_PIVOS!$B$6:$B$41,0)),0)</f>
        <v>79</v>
      </c>
      <c r="I2168" s="16" t="n">
        <f aca="false">IFERROR(SUMIFS(ROTACAO_RDM!$B$6:$B$71,ROTACAO_RDM!$D$6:$D$71,$E2168,ROTACAO_RDM!$I$6:$I$71,"&lt;="&amp;$C2168+INT(DIAS_POR_SEMANA/2),ROTACAO_RDM!$J$6:$J$71,"&gt;="&amp;$C2168+INT(DIAS_POR_SEMANA/2)),0)</f>
        <v>0</v>
      </c>
      <c r="J2168" s="16" t="n">
        <f aca="false">IFERROR(MATCH($I2168,ROTACAO_RDM!$B$6:$B$71,0),0)</f>
        <v>0</v>
      </c>
      <c r="K2168" s="8" t="str">
        <f aca="false">IF($J2168=0,"SEM CULTURA",INDEX(ROTACAO_RDM!$F$6:$F$71,$J2168))</f>
        <v>SEM CULTURA</v>
      </c>
      <c r="L2168" s="8" t="str">
        <f aca="false">IF($J2168=0,"",INDEX(ROTACAO_RDM!$G$6:$G$71,$J2168))</f>
        <v/>
      </c>
      <c r="M2168" s="17" t="str">
        <f aca="false">IF($J2168=0,"",INDEX(ROTACAO_RDM!$I$6:$I$71,$J2168))</f>
        <v/>
      </c>
      <c r="N2168" s="16" t="n">
        <f aca="false">IF($J2168=0,0,MAX(0,$C2168+INT(DIAS_POR_SEMANA/2)-INDEX(ROTACAO_RDM!$I$6:$I$71,$J2168)))</f>
        <v>0</v>
      </c>
      <c r="O2168" s="19" t="n">
        <f aca="false">IF($J2168=0,0,MIN(1,$N2168/MAX(1,INDEX(ROTACAO_RDM!$K$6:$K$71,$J2168))))</f>
        <v>0</v>
      </c>
      <c r="P2168" s="16" t="n">
        <f aca="false">IF($J2168=0,0,IFERROR(MATCH(INDEX(ROTACAO_RDM!$N$6:$N$71,$J2168),PARAMETROS_CULTURAS!$B$6:$B$28,0),0))</f>
        <v>0</v>
      </c>
      <c r="Q2168" s="8" t="str">
        <f aca="false">IF($P2168=0,"-",IF($O2168&lt;=INDEX(PARAMETROS_CULTURAS!$F$6:$F$28,$P2168),"INICIAL",IF($O2168&lt;=INDEX(PARAMETROS_CULTURAS!$F$6:$F$28,$P2168)+INDEX(PARAMETROS_CULTURAS!$G$6:$G$28,$P2168),"DESENVOLVIMENTO",IF($O2168&lt;=INDEX(PARAMETROS_CULTURAS!$F$6:$F$28,$P2168)+INDEX(PARAMETROS_CULTURAS!$G$6:$G$28,$P2168)+INDEX(PARAMETROS_CULTURAS!$H$6:$H$28,$P2168),"MEDIA","FINAL"))))</f>
        <v>-</v>
      </c>
      <c r="R2168" s="24" t="n">
        <f aca="false">IF($P2168=0,0,IF($O2168&lt;=INDEX(PARAMETROS_CULTURAS!$F$6:$F$28,$P2168),INDEX(PARAMETROS_CULTURAS!$K$6:$K$28,$P2168),IF($O2168&lt;=INDEX(PARAMETROS_CULTURAS!$F$6:$F$28,$P2168)+INDEX(PARAMETROS_CULTURAS!$G$6:$G$28,$P2168),INDEX(PARAMETROS_CULTURAS!$K$6:$K$28,$P2168)+(INDEX(PARAMETROS_CULTURAS!$L$6:$L$28,$P2168)-INDEX(PARAMETROS_CULTURAS!$K$6:$K$28,$P2168))*($O2168-INDEX(PARAMETROS_CULTURAS!$F$6:$F$28,$P2168))/MAX(INDEX(PARAMETROS_CULTURAS!$G$6:$G$28,$P2168),0.0001),IF($O2168&lt;=INDEX(PARAMETROS_CULTURAS!$F$6:$F$28,$P2168)+INDEX(PARAMETROS_CULTURAS!$G$6:$G$28,$P2168)+INDEX(PARAMETROS_CULTURAS!$H$6:$H$28,$P2168),INDEX(PARAMETROS_CULTURAS!$L$6:$L$28,$P2168),INDEX(PARAMETROS_CULTURAS!$L$6:$L$28,$P2168)+(INDEX(PARAMETROS_CULTURAS!$M$6:$M$28,$P2168)-INDEX(PARAMETROS_CULTURAS!$L$6:$L$28,$P2168))*($O2168-INDEX(PARAMETROS_CULTURAS!$F$6:$F$28,$P2168)-INDEX(PARAMETROS_CULTURAS!$G$6:$G$28,$P2168)-INDEX(PARAMETROS_CULTURAS!$H$6:$H$28,$P2168))/MAX(INDEX(PARAMETROS_CULTURAS!$I$6:$I$28,$P2168),0.0001)))))</f>
        <v>0</v>
      </c>
      <c r="S2168" s="18" t="n">
        <f aca="false">IFERROR(INDEX(SEMANAS!$H$6:$H$71,MATCH($B2168,SEMANAS!$B$6:$B$71,0)),0)</f>
        <v>36.4</v>
      </c>
      <c r="T2168" s="18" t="n">
        <f aca="false">$R2168*$S2168</f>
        <v>0</v>
      </c>
      <c r="U2168" s="18" t="n">
        <f aca="false">IFERROR(INDEX(SEMANAS!$I$6:$I$71,MATCH($B2168,SEMANAS!$B$6:$B$71,0)),0)</f>
        <v>1.12</v>
      </c>
      <c r="V2168" s="18" t="n">
        <f aca="false">IFERROR(INDEX(SEMANAS!$J$6:$J$71,MATCH($B2168,SEMANAS!$B$6:$B$71,0)),0)</f>
        <v>0.896</v>
      </c>
      <c r="W2168" s="18" t="n">
        <f aca="false">MAX(0,$T2168-$V2168)</f>
        <v>0</v>
      </c>
      <c r="X2168" s="19" t="n">
        <f aca="false">IFERROR(INDEX(CADASTRO_PIVOS!$K$6:$K$41,MATCH($E2168,CADASTRO_PIVOS!$B$6:$B$41,0)),EFICIENCIA_PADRAO)</f>
        <v>0.85</v>
      </c>
      <c r="Y2168" s="18" t="n">
        <f aca="false">IF($X2168&lt;=0,0,$W2168/$X2168)</f>
        <v>0</v>
      </c>
      <c r="Z2168" s="16" t="n">
        <f aca="false">$Y2168*$H2168*MM_PARA_M3_HA</f>
        <v>0</v>
      </c>
      <c r="AA2168" s="18" t="n">
        <f aca="false">IFERROR(INDEX(CADASTRO_PIVOS!$I$6:$I$41,MATCH($E2168,CADASTRO_PIVOS!$B$6:$B$41,0)),0)</f>
        <v>526.666666666667</v>
      </c>
      <c r="AB2168" s="18" t="n">
        <f aca="false">IF($Z2168&lt;=0,0,$Z2168/$AA2168)</f>
        <v>0</v>
      </c>
      <c r="AC2168" s="16" t="n">
        <f aca="false">IFERROR(INDEX(SEMANAS!$K$6:$K$71,MATCH($B2168,SEMANAS!$B$6:$B$71,0)),0)</f>
        <v>147</v>
      </c>
      <c r="AD2168" s="19" t="n">
        <f aca="false">IF($AC2168&lt;=0,0,$AB2168/$AC2168)</f>
        <v>0</v>
      </c>
      <c r="AE2168" s="8" t="str">
        <f aca="false">IF($K2168="SEM CULTURA","SEM CULTURA",IF($AA2168&lt;=0,"DADO PENDENTE",IF($AD2168&gt;LIMITE_CRITICO,"INVIAVEL",IF($AD2168&gt;LIMITE_ATENCAO,"CRITICO",IF($AD2168&gt;LIMITE_CONFORTAVEL,"ATENCAO","OK")))))</f>
        <v>SEM CULTURA</v>
      </c>
      <c r="AF2168" s="8" t="str">
        <f aca="false">$B2168&amp;"|"&amp;TEXT($AD2168,"0.000000")</f>
        <v>51|0.000000</v>
      </c>
      <c r="AG2168" s="18" t="n">
        <f aca="false">IF($K2168="SEM CULTURA",0,$T2168*$H2168)</f>
        <v>0</v>
      </c>
      <c r="AH2168" s="18" t="n">
        <f aca="false">IF($K2168="SEM CULTURA",0,$V2168*$H2168)</f>
        <v>0</v>
      </c>
      <c r="AI2168" s="18" t="n">
        <f aca="false">IF($K2168="SEM CULTURA",0,$W2168*$H2168)</f>
        <v>0</v>
      </c>
      <c r="AJ2168" s="18" t="n">
        <f aca="false">IF($K2168="SEM CULTURA",0,$S2168*$H2168)</f>
        <v>0</v>
      </c>
      <c r="AK2168" s="8" t="str">
        <f aca="false">$E2168&amp;"|"&amp;TEXT($AD2168,"0.000000")</f>
        <v>PV 134|0.000000</v>
      </c>
    </row>
    <row r="2169" customFormat="false" ht="15" hidden="false" customHeight="false" outlineLevel="0" collapsed="false">
      <c r="B2169" s="16" t="n">
        <v>52</v>
      </c>
      <c r="C2169" s="17" t="n">
        <f aca="false">DATA_INICIO_SAFRA+($B2169-1)*DIAS_POR_SEMANA</f>
        <v>46622</v>
      </c>
      <c r="D2169" s="17" t="n">
        <f aca="false">$C2169+DIAS_POR_SEMANA-1</f>
        <v>46628</v>
      </c>
      <c r="E2169" s="15" t="s">
        <v>291</v>
      </c>
      <c r="F2169" s="8" t="str">
        <f aca="false">IFERROR(INDEX(CADASTRO_PIVOS!$C$6:$C$41,MATCH($E2169,CADASTRO_PIVOS!$B$6:$B$41,0)),"?")</f>
        <v>RM08</v>
      </c>
      <c r="G2169" s="8" t="str">
        <f aca="false">IFERROR(INDEX(CADASTRO_PIVOS!$D$6:$D$41,MATCH($E2169,CADASTRO_PIVOS!$B$6:$B$41,0)),"?")</f>
        <v>TR08</v>
      </c>
      <c r="H2169" s="20" t="n">
        <f aca="false">IFERROR(INDEX(CADASTRO_PIVOS!$E$6:$E$41,MATCH($E2169,CADASTRO_PIVOS!$B$6:$B$41,0)),0)</f>
        <v>79</v>
      </c>
      <c r="I2169" s="16" t="n">
        <f aca="false">IFERROR(SUMIFS(ROTACAO_RDM!$B$6:$B$71,ROTACAO_RDM!$D$6:$D$71,$E2169,ROTACAO_RDM!$I$6:$I$71,"&lt;="&amp;$C2169+INT(DIAS_POR_SEMANA/2),ROTACAO_RDM!$J$6:$J$71,"&gt;="&amp;$C2169+INT(DIAS_POR_SEMANA/2)),0)</f>
        <v>0</v>
      </c>
      <c r="J2169" s="16" t="n">
        <f aca="false">IFERROR(MATCH($I2169,ROTACAO_RDM!$B$6:$B$71,0),0)</f>
        <v>0</v>
      </c>
      <c r="K2169" s="8" t="str">
        <f aca="false">IF($J2169=0,"SEM CULTURA",INDEX(ROTACAO_RDM!$F$6:$F$71,$J2169))</f>
        <v>SEM CULTURA</v>
      </c>
      <c r="L2169" s="8" t="str">
        <f aca="false">IF($J2169=0,"",INDEX(ROTACAO_RDM!$G$6:$G$71,$J2169))</f>
        <v/>
      </c>
      <c r="M2169" s="17" t="str">
        <f aca="false">IF($J2169=0,"",INDEX(ROTACAO_RDM!$I$6:$I$71,$J2169))</f>
        <v/>
      </c>
      <c r="N2169" s="16" t="n">
        <f aca="false">IF($J2169=0,0,MAX(0,$C2169+INT(DIAS_POR_SEMANA/2)-INDEX(ROTACAO_RDM!$I$6:$I$71,$J2169)))</f>
        <v>0</v>
      </c>
      <c r="O2169" s="19" t="n">
        <f aca="false">IF($J2169=0,0,MIN(1,$N2169/MAX(1,INDEX(ROTACAO_RDM!$K$6:$K$71,$J2169))))</f>
        <v>0</v>
      </c>
      <c r="P2169" s="16" t="n">
        <f aca="false">IF($J2169=0,0,IFERROR(MATCH(INDEX(ROTACAO_RDM!$N$6:$N$71,$J2169),PARAMETROS_CULTURAS!$B$6:$B$28,0),0))</f>
        <v>0</v>
      </c>
      <c r="Q2169" s="8" t="str">
        <f aca="false">IF($P2169=0,"-",IF($O2169&lt;=INDEX(PARAMETROS_CULTURAS!$F$6:$F$28,$P2169),"INICIAL",IF($O2169&lt;=INDEX(PARAMETROS_CULTURAS!$F$6:$F$28,$P2169)+INDEX(PARAMETROS_CULTURAS!$G$6:$G$28,$P2169),"DESENVOLVIMENTO",IF($O2169&lt;=INDEX(PARAMETROS_CULTURAS!$F$6:$F$28,$P2169)+INDEX(PARAMETROS_CULTURAS!$G$6:$G$28,$P2169)+INDEX(PARAMETROS_CULTURAS!$H$6:$H$28,$P2169),"MEDIA","FINAL"))))</f>
        <v>-</v>
      </c>
      <c r="R2169" s="24" t="n">
        <f aca="false">IF($P2169=0,0,IF($O2169&lt;=INDEX(PARAMETROS_CULTURAS!$F$6:$F$28,$P2169),INDEX(PARAMETROS_CULTURAS!$K$6:$K$28,$P2169),IF($O2169&lt;=INDEX(PARAMETROS_CULTURAS!$F$6:$F$28,$P2169)+INDEX(PARAMETROS_CULTURAS!$G$6:$G$28,$P2169),INDEX(PARAMETROS_CULTURAS!$K$6:$K$28,$P2169)+(INDEX(PARAMETROS_CULTURAS!$L$6:$L$28,$P2169)-INDEX(PARAMETROS_CULTURAS!$K$6:$K$28,$P2169))*($O2169-INDEX(PARAMETROS_CULTURAS!$F$6:$F$28,$P2169))/MAX(INDEX(PARAMETROS_CULTURAS!$G$6:$G$28,$P2169),0.0001),IF($O2169&lt;=INDEX(PARAMETROS_CULTURAS!$F$6:$F$28,$P2169)+INDEX(PARAMETROS_CULTURAS!$G$6:$G$28,$P2169)+INDEX(PARAMETROS_CULTURAS!$H$6:$H$28,$P2169),INDEX(PARAMETROS_CULTURAS!$L$6:$L$28,$P2169),INDEX(PARAMETROS_CULTURAS!$L$6:$L$28,$P2169)+(INDEX(PARAMETROS_CULTURAS!$M$6:$M$28,$P2169)-INDEX(PARAMETROS_CULTURAS!$L$6:$L$28,$P2169))*($O2169-INDEX(PARAMETROS_CULTURAS!$F$6:$F$28,$P2169)-INDEX(PARAMETROS_CULTURAS!$G$6:$G$28,$P2169)-INDEX(PARAMETROS_CULTURAS!$H$6:$H$28,$P2169))/MAX(INDEX(PARAMETROS_CULTURAS!$I$6:$I$28,$P2169),0.0001)))))</f>
        <v>0</v>
      </c>
      <c r="S2169" s="18" t="n">
        <f aca="false">IFERROR(INDEX(SEMANAS!$H$6:$H$71,MATCH($B2169,SEMANAS!$B$6:$B$71,0)),0)</f>
        <v>36.4</v>
      </c>
      <c r="T2169" s="18" t="n">
        <f aca="false">$R2169*$S2169</f>
        <v>0</v>
      </c>
      <c r="U2169" s="18" t="n">
        <f aca="false">IFERROR(INDEX(SEMANAS!$I$6:$I$71,MATCH($B2169,SEMANAS!$B$6:$B$71,0)),0)</f>
        <v>1.12</v>
      </c>
      <c r="V2169" s="18" t="n">
        <f aca="false">IFERROR(INDEX(SEMANAS!$J$6:$J$71,MATCH($B2169,SEMANAS!$B$6:$B$71,0)),0)</f>
        <v>0.896</v>
      </c>
      <c r="W2169" s="18" t="n">
        <f aca="false">MAX(0,$T2169-$V2169)</f>
        <v>0</v>
      </c>
      <c r="X2169" s="19" t="n">
        <f aca="false">IFERROR(INDEX(CADASTRO_PIVOS!$K$6:$K$41,MATCH($E2169,CADASTRO_PIVOS!$B$6:$B$41,0)),EFICIENCIA_PADRAO)</f>
        <v>0.85</v>
      </c>
      <c r="Y2169" s="18" t="n">
        <f aca="false">IF($X2169&lt;=0,0,$W2169/$X2169)</f>
        <v>0</v>
      </c>
      <c r="Z2169" s="16" t="n">
        <f aca="false">$Y2169*$H2169*MM_PARA_M3_HA</f>
        <v>0</v>
      </c>
      <c r="AA2169" s="18" t="n">
        <f aca="false">IFERROR(INDEX(CADASTRO_PIVOS!$I$6:$I$41,MATCH($E2169,CADASTRO_PIVOS!$B$6:$B$41,0)),0)</f>
        <v>526.666666666667</v>
      </c>
      <c r="AB2169" s="18" t="n">
        <f aca="false">IF($Z2169&lt;=0,0,$Z2169/$AA2169)</f>
        <v>0</v>
      </c>
      <c r="AC2169" s="16" t="n">
        <f aca="false">IFERROR(INDEX(SEMANAS!$K$6:$K$71,MATCH($B2169,SEMANAS!$B$6:$B$71,0)),0)</f>
        <v>147</v>
      </c>
      <c r="AD2169" s="19" t="n">
        <f aca="false">IF($AC2169&lt;=0,0,$AB2169/$AC2169)</f>
        <v>0</v>
      </c>
      <c r="AE2169" s="8" t="str">
        <f aca="false">IF($K2169="SEM CULTURA","SEM CULTURA",IF($AA2169&lt;=0,"DADO PENDENTE",IF($AD2169&gt;LIMITE_CRITICO,"INVIAVEL",IF($AD2169&gt;LIMITE_ATENCAO,"CRITICO",IF($AD2169&gt;LIMITE_CONFORTAVEL,"ATENCAO","OK")))))</f>
        <v>SEM CULTURA</v>
      </c>
      <c r="AF2169" s="8" t="str">
        <f aca="false">$B2169&amp;"|"&amp;TEXT($AD2169,"0.000000")</f>
        <v>52|0.000000</v>
      </c>
      <c r="AG2169" s="18" t="n">
        <f aca="false">IF($K2169="SEM CULTURA",0,$T2169*$H2169)</f>
        <v>0</v>
      </c>
      <c r="AH2169" s="18" t="n">
        <f aca="false">IF($K2169="SEM CULTURA",0,$V2169*$H2169)</f>
        <v>0</v>
      </c>
      <c r="AI2169" s="18" t="n">
        <f aca="false">IF($K2169="SEM CULTURA",0,$W2169*$H2169)</f>
        <v>0</v>
      </c>
      <c r="AJ2169" s="18" t="n">
        <f aca="false">IF($K2169="SEM CULTURA",0,$S2169*$H2169)</f>
        <v>0</v>
      </c>
      <c r="AK2169" s="8" t="str">
        <f aca="false">$E2169&amp;"|"&amp;TEXT($AD2169,"0.000000")</f>
        <v>PV 134|0.000000</v>
      </c>
    </row>
    <row r="2170" customFormat="false" ht="15" hidden="false" customHeight="false" outlineLevel="0" collapsed="false">
      <c r="B2170" s="16" t="n">
        <v>53</v>
      </c>
      <c r="C2170" s="17" t="n">
        <f aca="false">DATA_INICIO_SAFRA+($B2170-1)*DIAS_POR_SEMANA</f>
        <v>46629</v>
      </c>
      <c r="D2170" s="17" t="n">
        <f aca="false">$C2170+DIAS_POR_SEMANA-1</f>
        <v>46635</v>
      </c>
      <c r="E2170" s="15" t="s">
        <v>291</v>
      </c>
      <c r="F2170" s="8" t="str">
        <f aca="false">IFERROR(INDEX(CADASTRO_PIVOS!$C$6:$C$41,MATCH($E2170,CADASTRO_PIVOS!$B$6:$B$41,0)),"?")</f>
        <v>RM08</v>
      </c>
      <c r="G2170" s="8" t="str">
        <f aca="false">IFERROR(INDEX(CADASTRO_PIVOS!$D$6:$D$41,MATCH($E2170,CADASTRO_PIVOS!$B$6:$B$41,0)),"?")</f>
        <v>TR08</v>
      </c>
      <c r="H2170" s="20" t="n">
        <f aca="false">IFERROR(INDEX(CADASTRO_PIVOS!$E$6:$E$41,MATCH($E2170,CADASTRO_PIVOS!$B$6:$B$41,0)),0)</f>
        <v>79</v>
      </c>
      <c r="I2170" s="16" t="n">
        <f aca="false">IFERROR(SUMIFS(ROTACAO_RDM!$B$6:$B$71,ROTACAO_RDM!$D$6:$D$71,$E2170,ROTACAO_RDM!$I$6:$I$71,"&lt;="&amp;$C2170+INT(DIAS_POR_SEMANA/2),ROTACAO_RDM!$J$6:$J$71,"&gt;="&amp;$C2170+INT(DIAS_POR_SEMANA/2)),0)</f>
        <v>0</v>
      </c>
      <c r="J2170" s="16" t="n">
        <f aca="false">IFERROR(MATCH($I2170,ROTACAO_RDM!$B$6:$B$71,0),0)</f>
        <v>0</v>
      </c>
      <c r="K2170" s="8" t="str">
        <f aca="false">IF($J2170=0,"SEM CULTURA",INDEX(ROTACAO_RDM!$F$6:$F$71,$J2170))</f>
        <v>SEM CULTURA</v>
      </c>
      <c r="L2170" s="8" t="str">
        <f aca="false">IF($J2170=0,"",INDEX(ROTACAO_RDM!$G$6:$G$71,$J2170))</f>
        <v/>
      </c>
      <c r="M2170" s="17" t="str">
        <f aca="false">IF($J2170=0,"",INDEX(ROTACAO_RDM!$I$6:$I$71,$J2170))</f>
        <v/>
      </c>
      <c r="N2170" s="16" t="n">
        <f aca="false">IF($J2170=0,0,MAX(0,$C2170+INT(DIAS_POR_SEMANA/2)-INDEX(ROTACAO_RDM!$I$6:$I$71,$J2170)))</f>
        <v>0</v>
      </c>
      <c r="O2170" s="19" t="n">
        <f aca="false">IF($J2170=0,0,MIN(1,$N2170/MAX(1,INDEX(ROTACAO_RDM!$K$6:$K$71,$J2170))))</f>
        <v>0</v>
      </c>
      <c r="P2170" s="16" t="n">
        <f aca="false">IF($J2170=0,0,IFERROR(MATCH(INDEX(ROTACAO_RDM!$N$6:$N$71,$J2170),PARAMETROS_CULTURAS!$B$6:$B$28,0),0))</f>
        <v>0</v>
      </c>
      <c r="Q2170" s="8" t="str">
        <f aca="false">IF($P2170=0,"-",IF($O2170&lt;=INDEX(PARAMETROS_CULTURAS!$F$6:$F$28,$P2170),"INICIAL",IF($O2170&lt;=INDEX(PARAMETROS_CULTURAS!$F$6:$F$28,$P2170)+INDEX(PARAMETROS_CULTURAS!$G$6:$G$28,$P2170),"DESENVOLVIMENTO",IF($O2170&lt;=INDEX(PARAMETROS_CULTURAS!$F$6:$F$28,$P2170)+INDEX(PARAMETROS_CULTURAS!$G$6:$G$28,$P2170)+INDEX(PARAMETROS_CULTURAS!$H$6:$H$28,$P2170),"MEDIA","FINAL"))))</f>
        <v>-</v>
      </c>
      <c r="R2170" s="24" t="n">
        <f aca="false">IF($P2170=0,0,IF($O2170&lt;=INDEX(PARAMETROS_CULTURAS!$F$6:$F$28,$P2170),INDEX(PARAMETROS_CULTURAS!$K$6:$K$28,$P2170),IF($O2170&lt;=INDEX(PARAMETROS_CULTURAS!$F$6:$F$28,$P2170)+INDEX(PARAMETROS_CULTURAS!$G$6:$G$28,$P2170),INDEX(PARAMETROS_CULTURAS!$K$6:$K$28,$P2170)+(INDEX(PARAMETROS_CULTURAS!$L$6:$L$28,$P2170)-INDEX(PARAMETROS_CULTURAS!$K$6:$K$28,$P2170))*($O2170-INDEX(PARAMETROS_CULTURAS!$F$6:$F$28,$P2170))/MAX(INDEX(PARAMETROS_CULTURAS!$G$6:$G$28,$P2170),0.0001),IF($O2170&lt;=INDEX(PARAMETROS_CULTURAS!$F$6:$F$28,$P2170)+INDEX(PARAMETROS_CULTURAS!$G$6:$G$28,$P2170)+INDEX(PARAMETROS_CULTURAS!$H$6:$H$28,$P2170),INDEX(PARAMETROS_CULTURAS!$L$6:$L$28,$P2170),INDEX(PARAMETROS_CULTURAS!$L$6:$L$28,$P2170)+(INDEX(PARAMETROS_CULTURAS!$M$6:$M$28,$P2170)-INDEX(PARAMETROS_CULTURAS!$L$6:$L$28,$P2170))*($O2170-INDEX(PARAMETROS_CULTURAS!$F$6:$F$28,$P2170)-INDEX(PARAMETROS_CULTURAS!$G$6:$G$28,$P2170)-INDEX(PARAMETROS_CULTURAS!$H$6:$H$28,$P2170))/MAX(INDEX(PARAMETROS_CULTURAS!$I$6:$I$28,$P2170),0.0001)))))</f>
        <v>0</v>
      </c>
      <c r="S2170" s="18" t="n">
        <f aca="false">IFERROR(INDEX(SEMANAS!$H$6:$H$71,MATCH($B2170,SEMANAS!$B$6:$B$71,0)),0)</f>
        <v>39.4</v>
      </c>
      <c r="T2170" s="18" t="n">
        <f aca="false">$R2170*$S2170</f>
        <v>0</v>
      </c>
      <c r="U2170" s="18" t="n">
        <f aca="false">IFERROR(INDEX(SEMANAS!$I$6:$I$71,MATCH($B2170,SEMANAS!$B$6:$B$71,0)),0)</f>
        <v>5.32</v>
      </c>
      <c r="V2170" s="18" t="n">
        <f aca="false">IFERROR(INDEX(SEMANAS!$J$6:$J$71,MATCH($B2170,SEMANAS!$B$6:$B$71,0)),0)</f>
        <v>4.256</v>
      </c>
      <c r="W2170" s="18" t="n">
        <f aca="false">MAX(0,$T2170-$V2170)</f>
        <v>0</v>
      </c>
      <c r="X2170" s="19" t="n">
        <f aca="false">IFERROR(INDEX(CADASTRO_PIVOS!$K$6:$K$41,MATCH($E2170,CADASTRO_PIVOS!$B$6:$B$41,0)),EFICIENCIA_PADRAO)</f>
        <v>0.85</v>
      </c>
      <c r="Y2170" s="18" t="n">
        <f aca="false">IF($X2170&lt;=0,0,$W2170/$X2170)</f>
        <v>0</v>
      </c>
      <c r="Z2170" s="16" t="n">
        <f aca="false">$Y2170*$H2170*MM_PARA_M3_HA</f>
        <v>0</v>
      </c>
      <c r="AA2170" s="18" t="n">
        <f aca="false">IFERROR(INDEX(CADASTRO_PIVOS!$I$6:$I$41,MATCH($E2170,CADASTRO_PIVOS!$B$6:$B$41,0)),0)</f>
        <v>526.666666666667</v>
      </c>
      <c r="AB2170" s="18" t="n">
        <f aca="false">IF($Z2170&lt;=0,0,$Z2170/$AA2170)</f>
        <v>0</v>
      </c>
      <c r="AC2170" s="16" t="n">
        <f aca="false">IFERROR(INDEX(SEMANAS!$K$6:$K$71,MATCH($B2170,SEMANAS!$B$6:$B$71,0)),0)</f>
        <v>147</v>
      </c>
      <c r="AD2170" s="19" t="n">
        <f aca="false">IF($AC2170&lt;=0,0,$AB2170/$AC2170)</f>
        <v>0</v>
      </c>
      <c r="AE2170" s="8" t="str">
        <f aca="false">IF($K2170="SEM CULTURA","SEM CULTURA",IF($AA2170&lt;=0,"DADO PENDENTE",IF($AD2170&gt;LIMITE_CRITICO,"INVIAVEL",IF($AD2170&gt;LIMITE_ATENCAO,"CRITICO",IF($AD2170&gt;LIMITE_CONFORTAVEL,"ATENCAO","OK")))))</f>
        <v>SEM CULTURA</v>
      </c>
      <c r="AF2170" s="8" t="str">
        <f aca="false">$B2170&amp;"|"&amp;TEXT($AD2170,"0.000000")</f>
        <v>53|0.000000</v>
      </c>
      <c r="AG2170" s="18" t="n">
        <f aca="false">IF($K2170="SEM CULTURA",0,$T2170*$H2170)</f>
        <v>0</v>
      </c>
      <c r="AH2170" s="18" t="n">
        <f aca="false">IF($K2170="SEM CULTURA",0,$V2170*$H2170)</f>
        <v>0</v>
      </c>
      <c r="AI2170" s="18" t="n">
        <f aca="false">IF($K2170="SEM CULTURA",0,$W2170*$H2170)</f>
        <v>0</v>
      </c>
      <c r="AJ2170" s="18" t="n">
        <f aca="false">IF($K2170="SEM CULTURA",0,$S2170*$H2170)</f>
        <v>0</v>
      </c>
      <c r="AK2170" s="8" t="str">
        <f aca="false">$E2170&amp;"|"&amp;TEXT($AD2170,"0.000000")</f>
        <v>PV 134|0.000000</v>
      </c>
    </row>
    <row r="2171" customFormat="false" ht="15" hidden="false" customHeight="false" outlineLevel="0" collapsed="false">
      <c r="B2171" s="16" t="n">
        <v>54</v>
      </c>
      <c r="C2171" s="17" t="n">
        <f aca="false">DATA_INICIO_SAFRA+($B2171-1)*DIAS_POR_SEMANA</f>
        <v>46636</v>
      </c>
      <c r="D2171" s="17" t="n">
        <f aca="false">$C2171+DIAS_POR_SEMANA-1</f>
        <v>46642</v>
      </c>
      <c r="E2171" s="15" t="s">
        <v>291</v>
      </c>
      <c r="F2171" s="8" t="str">
        <f aca="false">IFERROR(INDEX(CADASTRO_PIVOS!$C$6:$C$41,MATCH($E2171,CADASTRO_PIVOS!$B$6:$B$41,0)),"?")</f>
        <v>RM08</v>
      </c>
      <c r="G2171" s="8" t="str">
        <f aca="false">IFERROR(INDEX(CADASTRO_PIVOS!$D$6:$D$41,MATCH($E2171,CADASTRO_PIVOS!$B$6:$B$41,0)),"?")</f>
        <v>TR08</v>
      </c>
      <c r="H2171" s="20" t="n">
        <f aca="false">IFERROR(INDEX(CADASTRO_PIVOS!$E$6:$E$41,MATCH($E2171,CADASTRO_PIVOS!$B$6:$B$41,0)),0)</f>
        <v>79</v>
      </c>
      <c r="I2171" s="16" t="n">
        <f aca="false">IFERROR(SUMIFS(ROTACAO_RDM!$B$6:$B$71,ROTACAO_RDM!$D$6:$D$71,$E2171,ROTACAO_RDM!$I$6:$I$71,"&lt;="&amp;$C2171+INT(DIAS_POR_SEMANA/2),ROTACAO_RDM!$J$6:$J$71,"&gt;="&amp;$C2171+INT(DIAS_POR_SEMANA/2)),0)</f>
        <v>0</v>
      </c>
      <c r="J2171" s="16" t="n">
        <f aca="false">IFERROR(MATCH($I2171,ROTACAO_RDM!$B$6:$B$71,0),0)</f>
        <v>0</v>
      </c>
      <c r="K2171" s="8" t="str">
        <f aca="false">IF($J2171=0,"SEM CULTURA",INDEX(ROTACAO_RDM!$F$6:$F$71,$J2171))</f>
        <v>SEM CULTURA</v>
      </c>
      <c r="L2171" s="8" t="str">
        <f aca="false">IF($J2171=0,"",INDEX(ROTACAO_RDM!$G$6:$G$71,$J2171))</f>
        <v/>
      </c>
      <c r="M2171" s="17" t="str">
        <f aca="false">IF($J2171=0,"",INDEX(ROTACAO_RDM!$I$6:$I$71,$J2171))</f>
        <v/>
      </c>
      <c r="N2171" s="16" t="n">
        <f aca="false">IF($J2171=0,0,MAX(0,$C2171+INT(DIAS_POR_SEMANA/2)-INDEX(ROTACAO_RDM!$I$6:$I$71,$J2171)))</f>
        <v>0</v>
      </c>
      <c r="O2171" s="19" t="n">
        <f aca="false">IF($J2171=0,0,MIN(1,$N2171/MAX(1,INDEX(ROTACAO_RDM!$K$6:$K$71,$J2171))))</f>
        <v>0</v>
      </c>
      <c r="P2171" s="16" t="n">
        <f aca="false">IF($J2171=0,0,IFERROR(MATCH(INDEX(ROTACAO_RDM!$N$6:$N$71,$J2171),PARAMETROS_CULTURAS!$B$6:$B$28,0),0))</f>
        <v>0</v>
      </c>
      <c r="Q2171" s="8" t="str">
        <f aca="false">IF($P2171=0,"-",IF($O2171&lt;=INDEX(PARAMETROS_CULTURAS!$F$6:$F$28,$P2171),"INICIAL",IF($O2171&lt;=INDEX(PARAMETROS_CULTURAS!$F$6:$F$28,$P2171)+INDEX(PARAMETROS_CULTURAS!$G$6:$G$28,$P2171),"DESENVOLVIMENTO",IF($O2171&lt;=INDEX(PARAMETROS_CULTURAS!$F$6:$F$28,$P2171)+INDEX(PARAMETROS_CULTURAS!$G$6:$G$28,$P2171)+INDEX(PARAMETROS_CULTURAS!$H$6:$H$28,$P2171),"MEDIA","FINAL"))))</f>
        <v>-</v>
      </c>
      <c r="R2171" s="24" t="n">
        <f aca="false">IF($P2171=0,0,IF($O2171&lt;=INDEX(PARAMETROS_CULTURAS!$F$6:$F$28,$P2171),INDEX(PARAMETROS_CULTURAS!$K$6:$K$28,$P2171),IF($O2171&lt;=INDEX(PARAMETROS_CULTURAS!$F$6:$F$28,$P2171)+INDEX(PARAMETROS_CULTURAS!$G$6:$G$28,$P2171),INDEX(PARAMETROS_CULTURAS!$K$6:$K$28,$P2171)+(INDEX(PARAMETROS_CULTURAS!$L$6:$L$28,$P2171)-INDEX(PARAMETROS_CULTURAS!$K$6:$K$28,$P2171))*($O2171-INDEX(PARAMETROS_CULTURAS!$F$6:$F$28,$P2171))/MAX(INDEX(PARAMETROS_CULTURAS!$G$6:$G$28,$P2171),0.0001),IF($O2171&lt;=INDEX(PARAMETROS_CULTURAS!$F$6:$F$28,$P2171)+INDEX(PARAMETROS_CULTURAS!$G$6:$G$28,$P2171)+INDEX(PARAMETROS_CULTURAS!$H$6:$H$28,$P2171),INDEX(PARAMETROS_CULTURAS!$L$6:$L$28,$P2171),INDEX(PARAMETROS_CULTURAS!$L$6:$L$28,$P2171)+(INDEX(PARAMETROS_CULTURAS!$M$6:$M$28,$P2171)-INDEX(PARAMETROS_CULTURAS!$L$6:$L$28,$P2171))*($O2171-INDEX(PARAMETROS_CULTURAS!$F$6:$F$28,$P2171)-INDEX(PARAMETROS_CULTURAS!$G$6:$G$28,$P2171)-INDEX(PARAMETROS_CULTURAS!$H$6:$H$28,$P2171))/MAX(INDEX(PARAMETROS_CULTURAS!$I$6:$I$28,$P2171),0.0001)))))</f>
        <v>0</v>
      </c>
      <c r="S2171" s="18" t="n">
        <f aca="false">IFERROR(INDEX(SEMANAS!$H$6:$H$71,MATCH($B2171,SEMANAS!$B$6:$B$71,0)),0)</f>
        <v>40.6</v>
      </c>
      <c r="T2171" s="18" t="n">
        <f aca="false">$R2171*$S2171</f>
        <v>0</v>
      </c>
      <c r="U2171" s="18" t="n">
        <f aca="false">IFERROR(INDEX(SEMANAS!$I$6:$I$71,MATCH($B2171,SEMANAS!$B$6:$B$71,0)),0)</f>
        <v>7</v>
      </c>
      <c r="V2171" s="18" t="n">
        <f aca="false">IFERROR(INDEX(SEMANAS!$J$6:$J$71,MATCH($B2171,SEMANAS!$B$6:$B$71,0)),0)</f>
        <v>5.6</v>
      </c>
      <c r="W2171" s="18" t="n">
        <f aca="false">MAX(0,$T2171-$V2171)</f>
        <v>0</v>
      </c>
      <c r="X2171" s="19" t="n">
        <f aca="false">IFERROR(INDEX(CADASTRO_PIVOS!$K$6:$K$41,MATCH($E2171,CADASTRO_PIVOS!$B$6:$B$41,0)),EFICIENCIA_PADRAO)</f>
        <v>0.85</v>
      </c>
      <c r="Y2171" s="18" t="n">
        <f aca="false">IF($X2171&lt;=0,0,$W2171/$X2171)</f>
        <v>0</v>
      </c>
      <c r="Z2171" s="16" t="n">
        <f aca="false">$Y2171*$H2171*MM_PARA_M3_HA</f>
        <v>0</v>
      </c>
      <c r="AA2171" s="18" t="n">
        <f aca="false">IFERROR(INDEX(CADASTRO_PIVOS!$I$6:$I$41,MATCH($E2171,CADASTRO_PIVOS!$B$6:$B$41,0)),0)</f>
        <v>526.666666666667</v>
      </c>
      <c r="AB2171" s="18" t="n">
        <f aca="false">IF($Z2171&lt;=0,0,$Z2171/$AA2171)</f>
        <v>0</v>
      </c>
      <c r="AC2171" s="16" t="n">
        <f aca="false">IFERROR(INDEX(SEMANAS!$K$6:$K$71,MATCH($B2171,SEMANAS!$B$6:$B$71,0)),0)</f>
        <v>147</v>
      </c>
      <c r="AD2171" s="19" t="n">
        <f aca="false">IF($AC2171&lt;=0,0,$AB2171/$AC2171)</f>
        <v>0</v>
      </c>
      <c r="AE2171" s="8" t="str">
        <f aca="false">IF($K2171="SEM CULTURA","SEM CULTURA",IF($AA2171&lt;=0,"DADO PENDENTE",IF($AD2171&gt;LIMITE_CRITICO,"INVIAVEL",IF($AD2171&gt;LIMITE_ATENCAO,"CRITICO",IF($AD2171&gt;LIMITE_CONFORTAVEL,"ATENCAO","OK")))))</f>
        <v>SEM CULTURA</v>
      </c>
      <c r="AF2171" s="8" t="str">
        <f aca="false">$B2171&amp;"|"&amp;TEXT($AD2171,"0.000000")</f>
        <v>54|0.000000</v>
      </c>
      <c r="AG2171" s="18" t="n">
        <f aca="false">IF($K2171="SEM CULTURA",0,$T2171*$H2171)</f>
        <v>0</v>
      </c>
      <c r="AH2171" s="18" t="n">
        <f aca="false">IF($K2171="SEM CULTURA",0,$V2171*$H2171)</f>
        <v>0</v>
      </c>
      <c r="AI2171" s="18" t="n">
        <f aca="false">IF($K2171="SEM CULTURA",0,$W2171*$H2171)</f>
        <v>0</v>
      </c>
      <c r="AJ2171" s="18" t="n">
        <f aca="false">IF($K2171="SEM CULTURA",0,$S2171*$H2171)</f>
        <v>0</v>
      </c>
      <c r="AK2171" s="8" t="str">
        <f aca="false">$E2171&amp;"|"&amp;TEXT($AD2171,"0.000000")</f>
        <v>PV 134|0.000000</v>
      </c>
    </row>
    <row r="2172" customFormat="false" ht="15" hidden="false" customHeight="false" outlineLevel="0" collapsed="false">
      <c r="B2172" s="16" t="n">
        <v>55</v>
      </c>
      <c r="C2172" s="17" t="n">
        <f aca="false">DATA_INICIO_SAFRA+($B2172-1)*DIAS_POR_SEMANA</f>
        <v>46643</v>
      </c>
      <c r="D2172" s="17" t="n">
        <f aca="false">$C2172+DIAS_POR_SEMANA-1</f>
        <v>46649</v>
      </c>
      <c r="E2172" s="15" t="s">
        <v>291</v>
      </c>
      <c r="F2172" s="8" t="str">
        <f aca="false">IFERROR(INDEX(CADASTRO_PIVOS!$C$6:$C$41,MATCH($E2172,CADASTRO_PIVOS!$B$6:$B$41,0)),"?")</f>
        <v>RM08</v>
      </c>
      <c r="G2172" s="8" t="str">
        <f aca="false">IFERROR(INDEX(CADASTRO_PIVOS!$D$6:$D$41,MATCH($E2172,CADASTRO_PIVOS!$B$6:$B$41,0)),"?")</f>
        <v>TR08</v>
      </c>
      <c r="H2172" s="20" t="n">
        <f aca="false">IFERROR(INDEX(CADASTRO_PIVOS!$E$6:$E$41,MATCH($E2172,CADASTRO_PIVOS!$B$6:$B$41,0)),0)</f>
        <v>79</v>
      </c>
      <c r="I2172" s="16" t="n">
        <f aca="false">IFERROR(SUMIFS(ROTACAO_RDM!$B$6:$B$71,ROTACAO_RDM!$D$6:$D$71,$E2172,ROTACAO_RDM!$I$6:$I$71,"&lt;="&amp;$C2172+INT(DIAS_POR_SEMANA/2),ROTACAO_RDM!$J$6:$J$71,"&gt;="&amp;$C2172+INT(DIAS_POR_SEMANA/2)),0)</f>
        <v>0</v>
      </c>
      <c r="J2172" s="16" t="n">
        <f aca="false">IFERROR(MATCH($I2172,ROTACAO_RDM!$B$6:$B$71,0),0)</f>
        <v>0</v>
      </c>
      <c r="K2172" s="8" t="str">
        <f aca="false">IF($J2172=0,"SEM CULTURA",INDEX(ROTACAO_RDM!$F$6:$F$71,$J2172))</f>
        <v>SEM CULTURA</v>
      </c>
      <c r="L2172" s="8" t="str">
        <f aca="false">IF($J2172=0,"",INDEX(ROTACAO_RDM!$G$6:$G$71,$J2172))</f>
        <v/>
      </c>
      <c r="M2172" s="17" t="str">
        <f aca="false">IF($J2172=0,"",INDEX(ROTACAO_RDM!$I$6:$I$71,$J2172))</f>
        <v/>
      </c>
      <c r="N2172" s="16" t="n">
        <f aca="false">IF($J2172=0,0,MAX(0,$C2172+INT(DIAS_POR_SEMANA/2)-INDEX(ROTACAO_RDM!$I$6:$I$71,$J2172)))</f>
        <v>0</v>
      </c>
      <c r="O2172" s="19" t="n">
        <f aca="false">IF($J2172=0,0,MIN(1,$N2172/MAX(1,INDEX(ROTACAO_RDM!$K$6:$K$71,$J2172))))</f>
        <v>0</v>
      </c>
      <c r="P2172" s="16" t="n">
        <f aca="false">IF($J2172=0,0,IFERROR(MATCH(INDEX(ROTACAO_RDM!$N$6:$N$71,$J2172),PARAMETROS_CULTURAS!$B$6:$B$28,0),0))</f>
        <v>0</v>
      </c>
      <c r="Q2172" s="8" t="str">
        <f aca="false">IF($P2172=0,"-",IF($O2172&lt;=INDEX(PARAMETROS_CULTURAS!$F$6:$F$28,$P2172),"INICIAL",IF($O2172&lt;=INDEX(PARAMETROS_CULTURAS!$F$6:$F$28,$P2172)+INDEX(PARAMETROS_CULTURAS!$G$6:$G$28,$P2172),"DESENVOLVIMENTO",IF($O2172&lt;=INDEX(PARAMETROS_CULTURAS!$F$6:$F$28,$P2172)+INDEX(PARAMETROS_CULTURAS!$G$6:$G$28,$P2172)+INDEX(PARAMETROS_CULTURAS!$H$6:$H$28,$P2172),"MEDIA","FINAL"))))</f>
        <v>-</v>
      </c>
      <c r="R2172" s="24" t="n">
        <f aca="false">IF($P2172=0,0,IF($O2172&lt;=INDEX(PARAMETROS_CULTURAS!$F$6:$F$28,$P2172),INDEX(PARAMETROS_CULTURAS!$K$6:$K$28,$P2172),IF($O2172&lt;=INDEX(PARAMETROS_CULTURAS!$F$6:$F$28,$P2172)+INDEX(PARAMETROS_CULTURAS!$G$6:$G$28,$P2172),INDEX(PARAMETROS_CULTURAS!$K$6:$K$28,$P2172)+(INDEX(PARAMETROS_CULTURAS!$L$6:$L$28,$P2172)-INDEX(PARAMETROS_CULTURAS!$K$6:$K$28,$P2172))*($O2172-INDEX(PARAMETROS_CULTURAS!$F$6:$F$28,$P2172))/MAX(INDEX(PARAMETROS_CULTURAS!$G$6:$G$28,$P2172),0.0001),IF($O2172&lt;=INDEX(PARAMETROS_CULTURAS!$F$6:$F$28,$P2172)+INDEX(PARAMETROS_CULTURAS!$G$6:$G$28,$P2172)+INDEX(PARAMETROS_CULTURAS!$H$6:$H$28,$P2172),INDEX(PARAMETROS_CULTURAS!$L$6:$L$28,$P2172),INDEX(PARAMETROS_CULTURAS!$L$6:$L$28,$P2172)+(INDEX(PARAMETROS_CULTURAS!$M$6:$M$28,$P2172)-INDEX(PARAMETROS_CULTURAS!$L$6:$L$28,$P2172))*($O2172-INDEX(PARAMETROS_CULTURAS!$F$6:$F$28,$P2172)-INDEX(PARAMETROS_CULTURAS!$G$6:$G$28,$P2172)-INDEX(PARAMETROS_CULTURAS!$H$6:$H$28,$P2172))/MAX(INDEX(PARAMETROS_CULTURAS!$I$6:$I$28,$P2172),0.0001)))))</f>
        <v>0</v>
      </c>
      <c r="S2172" s="18" t="n">
        <f aca="false">IFERROR(INDEX(SEMANAS!$H$6:$H$71,MATCH($B2172,SEMANAS!$B$6:$B$71,0)),0)</f>
        <v>40.6</v>
      </c>
      <c r="T2172" s="18" t="n">
        <f aca="false">$R2172*$S2172</f>
        <v>0</v>
      </c>
      <c r="U2172" s="18" t="n">
        <f aca="false">IFERROR(INDEX(SEMANAS!$I$6:$I$71,MATCH($B2172,SEMANAS!$B$6:$B$71,0)),0)</f>
        <v>7</v>
      </c>
      <c r="V2172" s="18" t="n">
        <f aca="false">IFERROR(INDEX(SEMANAS!$J$6:$J$71,MATCH($B2172,SEMANAS!$B$6:$B$71,0)),0)</f>
        <v>5.6</v>
      </c>
      <c r="W2172" s="18" t="n">
        <f aca="false">MAX(0,$T2172-$V2172)</f>
        <v>0</v>
      </c>
      <c r="X2172" s="19" t="n">
        <f aca="false">IFERROR(INDEX(CADASTRO_PIVOS!$K$6:$K$41,MATCH($E2172,CADASTRO_PIVOS!$B$6:$B$41,0)),EFICIENCIA_PADRAO)</f>
        <v>0.85</v>
      </c>
      <c r="Y2172" s="18" t="n">
        <f aca="false">IF($X2172&lt;=0,0,$W2172/$X2172)</f>
        <v>0</v>
      </c>
      <c r="Z2172" s="16" t="n">
        <f aca="false">$Y2172*$H2172*MM_PARA_M3_HA</f>
        <v>0</v>
      </c>
      <c r="AA2172" s="18" t="n">
        <f aca="false">IFERROR(INDEX(CADASTRO_PIVOS!$I$6:$I$41,MATCH($E2172,CADASTRO_PIVOS!$B$6:$B$41,0)),0)</f>
        <v>526.666666666667</v>
      </c>
      <c r="AB2172" s="18" t="n">
        <f aca="false">IF($Z2172&lt;=0,0,$Z2172/$AA2172)</f>
        <v>0</v>
      </c>
      <c r="AC2172" s="16" t="n">
        <f aca="false">IFERROR(INDEX(SEMANAS!$K$6:$K$71,MATCH($B2172,SEMANAS!$B$6:$B$71,0)),0)</f>
        <v>147</v>
      </c>
      <c r="AD2172" s="19" t="n">
        <f aca="false">IF($AC2172&lt;=0,0,$AB2172/$AC2172)</f>
        <v>0</v>
      </c>
      <c r="AE2172" s="8" t="str">
        <f aca="false">IF($K2172="SEM CULTURA","SEM CULTURA",IF($AA2172&lt;=0,"DADO PENDENTE",IF($AD2172&gt;LIMITE_CRITICO,"INVIAVEL",IF($AD2172&gt;LIMITE_ATENCAO,"CRITICO",IF($AD2172&gt;LIMITE_CONFORTAVEL,"ATENCAO","OK")))))</f>
        <v>SEM CULTURA</v>
      </c>
      <c r="AF2172" s="8" t="str">
        <f aca="false">$B2172&amp;"|"&amp;TEXT($AD2172,"0.000000")</f>
        <v>55|0.000000</v>
      </c>
      <c r="AG2172" s="18" t="n">
        <f aca="false">IF($K2172="SEM CULTURA",0,$T2172*$H2172)</f>
        <v>0</v>
      </c>
      <c r="AH2172" s="18" t="n">
        <f aca="false">IF($K2172="SEM CULTURA",0,$V2172*$H2172)</f>
        <v>0</v>
      </c>
      <c r="AI2172" s="18" t="n">
        <f aca="false">IF($K2172="SEM CULTURA",0,$W2172*$H2172)</f>
        <v>0</v>
      </c>
      <c r="AJ2172" s="18" t="n">
        <f aca="false">IF($K2172="SEM CULTURA",0,$S2172*$H2172)</f>
        <v>0</v>
      </c>
      <c r="AK2172" s="8" t="str">
        <f aca="false">$E2172&amp;"|"&amp;TEXT($AD2172,"0.000000")</f>
        <v>PV 134|0.000000</v>
      </c>
    </row>
    <row r="2173" customFormat="false" ht="15" hidden="false" customHeight="false" outlineLevel="0" collapsed="false">
      <c r="B2173" s="16" t="n">
        <v>56</v>
      </c>
      <c r="C2173" s="17" t="n">
        <f aca="false">DATA_INICIO_SAFRA+($B2173-1)*DIAS_POR_SEMANA</f>
        <v>46650</v>
      </c>
      <c r="D2173" s="17" t="n">
        <f aca="false">$C2173+DIAS_POR_SEMANA-1</f>
        <v>46656</v>
      </c>
      <c r="E2173" s="15" t="s">
        <v>291</v>
      </c>
      <c r="F2173" s="8" t="str">
        <f aca="false">IFERROR(INDEX(CADASTRO_PIVOS!$C$6:$C$41,MATCH($E2173,CADASTRO_PIVOS!$B$6:$B$41,0)),"?")</f>
        <v>RM08</v>
      </c>
      <c r="G2173" s="8" t="str">
        <f aca="false">IFERROR(INDEX(CADASTRO_PIVOS!$D$6:$D$41,MATCH($E2173,CADASTRO_PIVOS!$B$6:$B$41,0)),"?")</f>
        <v>TR08</v>
      </c>
      <c r="H2173" s="20" t="n">
        <f aca="false">IFERROR(INDEX(CADASTRO_PIVOS!$E$6:$E$41,MATCH($E2173,CADASTRO_PIVOS!$B$6:$B$41,0)),0)</f>
        <v>79</v>
      </c>
      <c r="I2173" s="16" t="n">
        <f aca="false">IFERROR(SUMIFS(ROTACAO_RDM!$B$6:$B$71,ROTACAO_RDM!$D$6:$D$71,$E2173,ROTACAO_RDM!$I$6:$I$71,"&lt;="&amp;$C2173+INT(DIAS_POR_SEMANA/2),ROTACAO_RDM!$J$6:$J$71,"&gt;="&amp;$C2173+INT(DIAS_POR_SEMANA/2)),0)</f>
        <v>0</v>
      </c>
      <c r="J2173" s="16" t="n">
        <f aca="false">IFERROR(MATCH($I2173,ROTACAO_RDM!$B$6:$B$71,0),0)</f>
        <v>0</v>
      </c>
      <c r="K2173" s="8" t="str">
        <f aca="false">IF($J2173=0,"SEM CULTURA",INDEX(ROTACAO_RDM!$F$6:$F$71,$J2173))</f>
        <v>SEM CULTURA</v>
      </c>
      <c r="L2173" s="8" t="str">
        <f aca="false">IF($J2173=0,"",INDEX(ROTACAO_RDM!$G$6:$G$71,$J2173))</f>
        <v/>
      </c>
      <c r="M2173" s="17" t="str">
        <f aca="false">IF($J2173=0,"",INDEX(ROTACAO_RDM!$I$6:$I$71,$J2173))</f>
        <v/>
      </c>
      <c r="N2173" s="16" t="n">
        <f aca="false">IF($J2173=0,0,MAX(0,$C2173+INT(DIAS_POR_SEMANA/2)-INDEX(ROTACAO_RDM!$I$6:$I$71,$J2173)))</f>
        <v>0</v>
      </c>
      <c r="O2173" s="19" t="n">
        <f aca="false">IF($J2173=0,0,MIN(1,$N2173/MAX(1,INDEX(ROTACAO_RDM!$K$6:$K$71,$J2173))))</f>
        <v>0</v>
      </c>
      <c r="P2173" s="16" t="n">
        <f aca="false">IF($J2173=0,0,IFERROR(MATCH(INDEX(ROTACAO_RDM!$N$6:$N$71,$J2173),PARAMETROS_CULTURAS!$B$6:$B$28,0),0))</f>
        <v>0</v>
      </c>
      <c r="Q2173" s="8" t="str">
        <f aca="false">IF($P2173=0,"-",IF($O2173&lt;=INDEX(PARAMETROS_CULTURAS!$F$6:$F$28,$P2173),"INICIAL",IF($O2173&lt;=INDEX(PARAMETROS_CULTURAS!$F$6:$F$28,$P2173)+INDEX(PARAMETROS_CULTURAS!$G$6:$G$28,$P2173),"DESENVOLVIMENTO",IF($O2173&lt;=INDEX(PARAMETROS_CULTURAS!$F$6:$F$28,$P2173)+INDEX(PARAMETROS_CULTURAS!$G$6:$G$28,$P2173)+INDEX(PARAMETROS_CULTURAS!$H$6:$H$28,$P2173),"MEDIA","FINAL"))))</f>
        <v>-</v>
      </c>
      <c r="R2173" s="24" t="n">
        <f aca="false">IF($P2173=0,0,IF($O2173&lt;=INDEX(PARAMETROS_CULTURAS!$F$6:$F$28,$P2173),INDEX(PARAMETROS_CULTURAS!$K$6:$K$28,$P2173),IF($O2173&lt;=INDEX(PARAMETROS_CULTURAS!$F$6:$F$28,$P2173)+INDEX(PARAMETROS_CULTURAS!$G$6:$G$28,$P2173),INDEX(PARAMETROS_CULTURAS!$K$6:$K$28,$P2173)+(INDEX(PARAMETROS_CULTURAS!$L$6:$L$28,$P2173)-INDEX(PARAMETROS_CULTURAS!$K$6:$K$28,$P2173))*($O2173-INDEX(PARAMETROS_CULTURAS!$F$6:$F$28,$P2173))/MAX(INDEX(PARAMETROS_CULTURAS!$G$6:$G$28,$P2173),0.0001),IF($O2173&lt;=INDEX(PARAMETROS_CULTURAS!$F$6:$F$28,$P2173)+INDEX(PARAMETROS_CULTURAS!$G$6:$G$28,$P2173)+INDEX(PARAMETROS_CULTURAS!$H$6:$H$28,$P2173),INDEX(PARAMETROS_CULTURAS!$L$6:$L$28,$P2173),INDEX(PARAMETROS_CULTURAS!$L$6:$L$28,$P2173)+(INDEX(PARAMETROS_CULTURAS!$M$6:$M$28,$P2173)-INDEX(PARAMETROS_CULTURAS!$L$6:$L$28,$P2173))*($O2173-INDEX(PARAMETROS_CULTURAS!$F$6:$F$28,$P2173)-INDEX(PARAMETROS_CULTURAS!$G$6:$G$28,$P2173)-INDEX(PARAMETROS_CULTURAS!$H$6:$H$28,$P2173))/MAX(INDEX(PARAMETROS_CULTURAS!$I$6:$I$28,$P2173),0.0001)))))</f>
        <v>0</v>
      </c>
      <c r="S2173" s="18" t="n">
        <f aca="false">IFERROR(INDEX(SEMANAS!$H$6:$H$71,MATCH($B2173,SEMANAS!$B$6:$B$71,0)),0)</f>
        <v>40.6</v>
      </c>
      <c r="T2173" s="18" t="n">
        <f aca="false">$R2173*$S2173</f>
        <v>0</v>
      </c>
      <c r="U2173" s="18" t="n">
        <f aca="false">IFERROR(INDEX(SEMANAS!$I$6:$I$71,MATCH($B2173,SEMANAS!$B$6:$B$71,0)),0)</f>
        <v>7</v>
      </c>
      <c r="V2173" s="18" t="n">
        <f aca="false">IFERROR(INDEX(SEMANAS!$J$6:$J$71,MATCH($B2173,SEMANAS!$B$6:$B$71,0)),0)</f>
        <v>5.6</v>
      </c>
      <c r="W2173" s="18" t="n">
        <f aca="false">MAX(0,$T2173-$V2173)</f>
        <v>0</v>
      </c>
      <c r="X2173" s="19" t="n">
        <f aca="false">IFERROR(INDEX(CADASTRO_PIVOS!$K$6:$K$41,MATCH($E2173,CADASTRO_PIVOS!$B$6:$B$41,0)),EFICIENCIA_PADRAO)</f>
        <v>0.85</v>
      </c>
      <c r="Y2173" s="18" t="n">
        <f aca="false">IF($X2173&lt;=0,0,$W2173/$X2173)</f>
        <v>0</v>
      </c>
      <c r="Z2173" s="16" t="n">
        <f aca="false">$Y2173*$H2173*MM_PARA_M3_HA</f>
        <v>0</v>
      </c>
      <c r="AA2173" s="18" t="n">
        <f aca="false">IFERROR(INDEX(CADASTRO_PIVOS!$I$6:$I$41,MATCH($E2173,CADASTRO_PIVOS!$B$6:$B$41,0)),0)</f>
        <v>526.666666666667</v>
      </c>
      <c r="AB2173" s="18" t="n">
        <f aca="false">IF($Z2173&lt;=0,0,$Z2173/$AA2173)</f>
        <v>0</v>
      </c>
      <c r="AC2173" s="16" t="n">
        <f aca="false">IFERROR(INDEX(SEMANAS!$K$6:$K$71,MATCH($B2173,SEMANAS!$B$6:$B$71,0)),0)</f>
        <v>147</v>
      </c>
      <c r="AD2173" s="19" t="n">
        <f aca="false">IF($AC2173&lt;=0,0,$AB2173/$AC2173)</f>
        <v>0</v>
      </c>
      <c r="AE2173" s="8" t="str">
        <f aca="false">IF($K2173="SEM CULTURA","SEM CULTURA",IF($AA2173&lt;=0,"DADO PENDENTE",IF($AD2173&gt;LIMITE_CRITICO,"INVIAVEL",IF($AD2173&gt;LIMITE_ATENCAO,"CRITICO",IF($AD2173&gt;LIMITE_CONFORTAVEL,"ATENCAO","OK")))))</f>
        <v>SEM CULTURA</v>
      </c>
      <c r="AF2173" s="8" t="str">
        <f aca="false">$B2173&amp;"|"&amp;TEXT($AD2173,"0.000000")</f>
        <v>56|0.000000</v>
      </c>
      <c r="AG2173" s="18" t="n">
        <f aca="false">IF($K2173="SEM CULTURA",0,$T2173*$H2173)</f>
        <v>0</v>
      </c>
      <c r="AH2173" s="18" t="n">
        <f aca="false">IF($K2173="SEM CULTURA",0,$V2173*$H2173)</f>
        <v>0</v>
      </c>
      <c r="AI2173" s="18" t="n">
        <f aca="false">IF($K2173="SEM CULTURA",0,$W2173*$H2173)</f>
        <v>0</v>
      </c>
      <c r="AJ2173" s="18" t="n">
        <f aca="false">IF($K2173="SEM CULTURA",0,$S2173*$H2173)</f>
        <v>0</v>
      </c>
      <c r="AK2173" s="8" t="str">
        <f aca="false">$E2173&amp;"|"&amp;TEXT($AD2173,"0.000000")</f>
        <v>PV 134|0.000000</v>
      </c>
    </row>
    <row r="2174" customFormat="false" ht="15" hidden="false" customHeight="false" outlineLevel="0" collapsed="false">
      <c r="B2174" s="16" t="n">
        <v>57</v>
      </c>
      <c r="C2174" s="17" t="n">
        <f aca="false">DATA_INICIO_SAFRA+($B2174-1)*DIAS_POR_SEMANA</f>
        <v>46657</v>
      </c>
      <c r="D2174" s="17" t="n">
        <f aca="false">$C2174+DIAS_POR_SEMANA-1</f>
        <v>46663</v>
      </c>
      <c r="E2174" s="15" t="s">
        <v>291</v>
      </c>
      <c r="F2174" s="8" t="str">
        <f aca="false">IFERROR(INDEX(CADASTRO_PIVOS!$C$6:$C$41,MATCH($E2174,CADASTRO_PIVOS!$B$6:$B$41,0)),"?")</f>
        <v>RM08</v>
      </c>
      <c r="G2174" s="8" t="str">
        <f aca="false">IFERROR(INDEX(CADASTRO_PIVOS!$D$6:$D$41,MATCH($E2174,CADASTRO_PIVOS!$B$6:$B$41,0)),"?")</f>
        <v>TR08</v>
      </c>
      <c r="H2174" s="20" t="n">
        <f aca="false">IFERROR(INDEX(CADASTRO_PIVOS!$E$6:$E$41,MATCH($E2174,CADASTRO_PIVOS!$B$6:$B$41,0)),0)</f>
        <v>79</v>
      </c>
      <c r="I2174" s="16" t="n">
        <f aca="false">IFERROR(SUMIFS(ROTACAO_RDM!$B$6:$B$71,ROTACAO_RDM!$D$6:$D$71,$E2174,ROTACAO_RDM!$I$6:$I$71,"&lt;="&amp;$C2174+INT(DIAS_POR_SEMANA/2),ROTACAO_RDM!$J$6:$J$71,"&gt;="&amp;$C2174+INT(DIAS_POR_SEMANA/2)),0)</f>
        <v>0</v>
      </c>
      <c r="J2174" s="16" t="n">
        <f aca="false">IFERROR(MATCH($I2174,ROTACAO_RDM!$B$6:$B$71,0),0)</f>
        <v>0</v>
      </c>
      <c r="K2174" s="8" t="str">
        <f aca="false">IF($J2174=0,"SEM CULTURA",INDEX(ROTACAO_RDM!$F$6:$F$71,$J2174))</f>
        <v>SEM CULTURA</v>
      </c>
      <c r="L2174" s="8" t="str">
        <f aca="false">IF($J2174=0,"",INDEX(ROTACAO_RDM!$G$6:$G$71,$J2174))</f>
        <v/>
      </c>
      <c r="M2174" s="17" t="str">
        <f aca="false">IF($J2174=0,"",INDEX(ROTACAO_RDM!$I$6:$I$71,$J2174))</f>
        <v/>
      </c>
      <c r="N2174" s="16" t="n">
        <f aca="false">IF($J2174=0,0,MAX(0,$C2174+INT(DIAS_POR_SEMANA/2)-INDEX(ROTACAO_RDM!$I$6:$I$71,$J2174)))</f>
        <v>0</v>
      </c>
      <c r="O2174" s="19" t="n">
        <f aca="false">IF($J2174=0,0,MIN(1,$N2174/MAX(1,INDEX(ROTACAO_RDM!$K$6:$K$71,$J2174))))</f>
        <v>0</v>
      </c>
      <c r="P2174" s="16" t="n">
        <f aca="false">IF($J2174=0,0,IFERROR(MATCH(INDEX(ROTACAO_RDM!$N$6:$N$71,$J2174),PARAMETROS_CULTURAS!$B$6:$B$28,0),0))</f>
        <v>0</v>
      </c>
      <c r="Q2174" s="8" t="str">
        <f aca="false">IF($P2174=0,"-",IF($O2174&lt;=INDEX(PARAMETROS_CULTURAS!$F$6:$F$28,$P2174),"INICIAL",IF($O2174&lt;=INDEX(PARAMETROS_CULTURAS!$F$6:$F$28,$P2174)+INDEX(PARAMETROS_CULTURAS!$G$6:$G$28,$P2174),"DESENVOLVIMENTO",IF($O2174&lt;=INDEX(PARAMETROS_CULTURAS!$F$6:$F$28,$P2174)+INDEX(PARAMETROS_CULTURAS!$G$6:$G$28,$P2174)+INDEX(PARAMETROS_CULTURAS!$H$6:$H$28,$P2174),"MEDIA","FINAL"))))</f>
        <v>-</v>
      </c>
      <c r="R2174" s="24" t="n">
        <f aca="false">IF($P2174=0,0,IF($O2174&lt;=INDEX(PARAMETROS_CULTURAS!$F$6:$F$28,$P2174),INDEX(PARAMETROS_CULTURAS!$K$6:$K$28,$P2174),IF($O2174&lt;=INDEX(PARAMETROS_CULTURAS!$F$6:$F$28,$P2174)+INDEX(PARAMETROS_CULTURAS!$G$6:$G$28,$P2174),INDEX(PARAMETROS_CULTURAS!$K$6:$K$28,$P2174)+(INDEX(PARAMETROS_CULTURAS!$L$6:$L$28,$P2174)-INDEX(PARAMETROS_CULTURAS!$K$6:$K$28,$P2174))*($O2174-INDEX(PARAMETROS_CULTURAS!$F$6:$F$28,$P2174))/MAX(INDEX(PARAMETROS_CULTURAS!$G$6:$G$28,$P2174),0.0001),IF($O2174&lt;=INDEX(PARAMETROS_CULTURAS!$F$6:$F$28,$P2174)+INDEX(PARAMETROS_CULTURAS!$G$6:$G$28,$P2174)+INDEX(PARAMETROS_CULTURAS!$H$6:$H$28,$P2174),INDEX(PARAMETROS_CULTURAS!$L$6:$L$28,$P2174),INDEX(PARAMETROS_CULTURAS!$L$6:$L$28,$P2174)+(INDEX(PARAMETROS_CULTURAS!$M$6:$M$28,$P2174)-INDEX(PARAMETROS_CULTURAS!$L$6:$L$28,$P2174))*($O2174-INDEX(PARAMETROS_CULTURAS!$F$6:$F$28,$P2174)-INDEX(PARAMETROS_CULTURAS!$G$6:$G$28,$P2174)-INDEX(PARAMETROS_CULTURAS!$H$6:$H$28,$P2174))/MAX(INDEX(PARAMETROS_CULTURAS!$I$6:$I$28,$P2174),0.0001)))))</f>
        <v>0</v>
      </c>
      <c r="S2174" s="18" t="n">
        <f aca="false">IFERROR(INDEX(SEMANAS!$H$6:$H$71,MATCH($B2174,SEMANAS!$B$6:$B$71,0)),0)</f>
        <v>40</v>
      </c>
      <c r="T2174" s="18" t="n">
        <f aca="false">$R2174*$S2174</f>
        <v>0</v>
      </c>
      <c r="U2174" s="18" t="n">
        <f aca="false">IFERROR(INDEX(SEMANAS!$I$6:$I$71,MATCH($B2174,SEMANAS!$B$6:$B$71,0)),0)</f>
        <v>15.61</v>
      </c>
      <c r="V2174" s="18" t="n">
        <f aca="false">IFERROR(INDEX(SEMANAS!$J$6:$J$71,MATCH($B2174,SEMANAS!$B$6:$B$71,0)),0)</f>
        <v>12.488</v>
      </c>
      <c r="W2174" s="18" t="n">
        <f aca="false">MAX(0,$T2174-$V2174)</f>
        <v>0</v>
      </c>
      <c r="X2174" s="19" t="n">
        <f aca="false">IFERROR(INDEX(CADASTRO_PIVOS!$K$6:$K$41,MATCH($E2174,CADASTRO_PIVOS!$B$6:$B$41,0)),EFICIENCIA_PADRAO)</f>
        <v>0.85</v>
      </c>
      <c r="Y2174" s="18" t="n">
        <f aca="false">IF($X2174&lt;=0,0,$W2174/$X2174)</f>
        <v>0</v>
      </c>
      <c r="Z2174" s="16" t="n">
        <f aca="false">$Y2174*$H2174*MM_PARA_M3_HA</f>
        <v>0</v>
      </c>
      <c r="AA2174" s="18" t="n">
        <f aca="false">IFERROR(INDEX(CADASTRO_PIVOS!$I$6:$I$41,MATCH($E2174,CADASTRO_PIVOS!$B$6:$B$41,0)),0)</f>
        <v>526.666666666667</v>
      </c>
      <c r="AB2174" s="18" t="n">
        <f aca="false">IF($Z2174&lt;=0,0,$Z2174/$AA2174)</f>
        <v>0</v>
      </c>
      <c r="AC2174" s="16" t="n">
        <f aca="false">IFERROR(INDEX(SEMANAS!$K$6:$K$71,MATCH($B2174,SEMANAS!$B$6:$B$71,0)),0)</f>
        <v>147</v>
      </c>
      <c r="AD2174" s="19" t="n">
        <f aca="false">IF($AC2174&lt;=0,0,$AB2174/$AC2174)</f>
        <v>0</v>
      </c>
      <c r="AE2174" s="8" t="str">
        <f aca="false">IF($K2174="SEM CULTURA","SEM CULTURA",IF($AA2174&lt;=0,"DADO PENDENTE",IF($AD2174&gt;LIMITE_CRITICO,"INVIAVEL",IF($AD2174&gt;LIMITE_ATENCAO,"CRITICO",IF($AD2174&gt;LIMITE_CONFORTAVEL,"ATENCAO","OK")))))</f>
        <v>SEM CULTURA</v>
      </c>
      <c r="AF2174" s="8" t="str">
        <f aca="false">$B2174&amp;"|"&amp;TEXT($AD2174,"0.000000")</f>
        <v>57|0.000000</v>
      </c>
      <c r="AG2174" s="18" t="n">
        <f aca="false">IF($K2174="SEM CULTURA",0,$T2174*$H2174)</f>
        <v>0</v>
      </c>
      <c r="AH2174" s="18" t="n">
        <f aca="false">IF($K2174="SEM CULTURA",0,$V2174*$H2174)</f>
        <v>0</v>
      </c>
      <c r="AI2174" s="18" t="n">
        <f aca="false">IF($K2174="SEM CULTURA",0,$W2174*$H2174)</f>
        <v>0</v>
      </c>
      <c r="AJ2174" s="18" t="n">
        <f aca="false">IF($K2174="SEM CULTURA",0,$S2174*$H2174)</f>
        <v>0</v>
      </c>
      <c r="AK2174" s="8" t="str">
        <f aca="false">$E2174&amp;"|"&amp;TEXT($AD2174,"0.000000")</f>
        <v>PV 134|0.000000</v>
      </c>
    </row>
    <row r="2175" customFormat="false" ht="15" hidden="false" customHeight="false" outlineLevel="0" collapsed="false">
      <c r="B2175" s="16" t="n">
        <v>58</v>
      </c>
      <c r="C2175" s="17" t="n">
        <f aca="false">DATA_INICIO_SAFRA+($B2175-1)*DIAS_POR_SEMANA</f>
        <v>46664</v>
      </c>
      <c r="D2175" s="17" t="n">
        <f aca="false">$C2175+DIAS_POR_SEMANA-1</f>
        <v>46670</v>
      </c>
      <c r="E2175" s="15" t="s">
        <v>291</v>
      </c>
      <c r="F2175" s="8" t="str">
        <f aca="false">IFERROR(INDEX(CADASTRO_PIVOS!$C$6:$C$41,MATCH($E2175,CADASTRO_PIVOS!$B$6:$B$41,0)),"?")</f>
        <v>RM08</v>
      </c>
      <c r="G2175" s="8" t="str">
        <f aca="false">IFERROR(INDEX(CADASTRO_PIVOS!$D$6:$D$41,MATCH($E2175,CADASTRO_PIVOS!$B$6:$B$41,0)),"?")</f>
        <v>TR08</v>
      </c>
      <c r="H2175" s="20" t="n">
        <f aca="false">IFERROR(INDEX(CADASTRO_PIVOS!$E$6:$E$41,MATCH($E2175,CADASTRO_PIVOS!$B$6:$B$41,0)),0)</f>
        <v>79</v>
      </c>
      <c r="I2175" s="16" t="n">
        <f aca="false">IFERROR(SUMIFS(ROTACAO_RDM!$B$6:$B$71,ROTACAO_RDM!$D$6:$D$71,$E2175,ROTACAO_RDM!$I$6:$I$71,"&lt;="&amp;$C2175+INT(DIAS_POR_SEMANA/2),ROTACAO_RDM!$J$6:$J$71,"&gt;="&amp;$C2175+INT(DIAS_POR_SEMANA/2)),0)</f>
        <v>0</v>
      </c>
      <c r="J2175" s="16" t="n">
        <f aca="false">IFERROR(MATCH($I2175,ROTACAO_RDM!$B$6:$B$71,0),0)</f>
        <v>0</v>
      </c>
      <c r="K2175" s="8" t="str">
        <f aca="false">IF($J2175=0,"SEM CULTURA",INDEX(ROTACAO_RDM!$F$6:$F$71,$J2175))</f>
        <v>SEM CULTURA</v>
      </c>
      <c r="L2175" s="8" t="str">
        <f aca="false">IF($J2175=0,"",INDEX(ROTACAO_RDM!$G$6:$G$71,$J2175))</f>
        <v/>
      </c>
      <c r="M2175" s="17" t="str">
        <f aca="false">IF($J2175=0,"",INDEX(ROTACAO_RDM!$I$6:$I$71,$J2175))</f>
        <v/>
      </c>
      <c r="N2175" s="16" t="n">
        <f aca="false">IF($J2175=0,0,MAX(0,$C2175+INT(DIAS_POR_SEMANA/2)-INDEX(ROTACAO_RDM!$I$6:$I$71,$J2175)))</f>
        <v>0</v>
      </c>
      <c r="O2175" s="19" t="n">
        <f aca="false">IF($J2175=0,0,MIN(1,$N2175/MAX(1,INDEX(ROTACAO_RDM!$K$6:$K$71,$J2175))))</f>
        <v>0</v>
      </c>
      <c r="P2175" s="16" t="n">
        <f aca="false">IF($J2175=0,0,IFERROR(MATCH(INDEX(ROTACAO_RDM!$N$6:$N$71,$J2175),PARAMETROS_CULTURAS!$B$6:$B$28,0),0))</f>
        <v>0</v>
      </c>
      <c r="Q2175" s="8" t="str">
        <f aca="false">IF($P2175=0,"-",IF($O2175&lt;=INDEX(PARAMETROS_CULTURAS!$F$6:$F$28,$P2175),"INICIAL",IF($O2175&lt;=INDEX(PARAMETROS_CULTURAS!$F$6:$F$28,$P2175)+INDEX(PARAMETROS_CULTURAS!$G$6:$G$28,$P2175),"DESENVOLVIMENTO",IF($O2175&lt;=INDEX(PARAMETROS_CULTURAS!$F$6:$F$28,$P2175)+INDEX(PARAMETROS_CULTURAS!$G$6:$G$28,$P2175)+INDEX(PARAMETROS_CULTURAS!$H$6:$H$28,$P2175),"MEDIA","FINAL"))))</f>
        <v>-</v>
      </c>
      <c r="R2175" s="24" t="n">
        <f aca="false">IF($P2175=0,0,IF($O2175&lt;=INDEX(PARAMETROS_CULTURAS!$F$6:$F$28,$P2175),INDEX(PARAMETROS_CULTURAS!$K$6:$K$28,$P2175),IF($O2175&lt;=INDEX(PARAMETROS_CULTURAS!$F$6:$F$28,$P2175)+INDEX(PARAMETROS_CULTURAS!$G$6:$G$28,$P2175),INDEX(PARAMETROS_CULTURAS!$K$6:$K$28,$P2175)+(INDEX(PARAMETROS_CULTURAS!$L$6:$L$28,$P2175)-INDEX(PARAMETROS_CULTURAS!$K$6:$K$28,$P2175))*($O2175-INDEX(PARAMETROS_CULTURAS!$F$6:$F$28,$P2175))/MAX(INDEX(PARAMETROS_CULTURAS!$G$6:$G$28,$P2175),0.0001),IF($O2175&lt;=INDEX(PARAMETROS_CULTURAS!$F$6:$F$28,$P2175)+INDEX(PARAMETROS_CULTURAS!$G$6:$G$28,$P2175)+INDEX(PARAMETROS_CULTURAS!$H$6:$H$28,$P2175),INDEX(PARAMETROS_CULTURAS!$L$6:$L$28,$P2175),INDEX(PARAMETROS_CULTURAS!$L$6:$L$28,$P2175)+(INDEX(PARAMETROS_CULTURAS!$M$6:$M$28,$P2175)-INDEX(PARAMETROS_CULTURAS!$L$6:$L$28,$P2175))*($O2175-INDEX(PARAMETROS_CULTURAS!$F$6:$F$28,$P2175)-INDEX(PARAMETROS_CULTURAS!$G$6:$G$28,$P2175)-INDEX(PARAMETROS_CULTURAS!$H$6:$H$28,$P2175))/MAX(INDEX(PARAMETROS_CULTURAS!$I$6:$I$28,$P2175),0.0001)))))</f>
        <v>0</v>
      </c>
      <c r="S2175" s="18" t="n">
        <f aca="false">IFERROR(INDEX(SEMANAS!$H$6:$H$71,MATCH($B2175,SEMANAS!$B$6:$B$71,0)),0)</f>
        <v>39.2</v>
      </c>
      <c r="T2175" s="18" t="n">
        <f aca="false">$R2175*$S2175</f>
        <v>0</v>
      </c>
      <c r="U2175" s="18" t="n">
        <f aca="false">IFERROR(INDEX(SEMANAS!$I$6:$I$71,MATCH($B2175,SEMANAS!$B$6:$B$71,0)),0)</f>
        <v>27.09</v>
      </c>
      <c r="V2175" s="18" t="n">
        <f aca="false">IFERROR(INDEX(SEMANAS!$J$6:$J$71,MATCH($B2175,SEMANAS!$B$6:$B$71,0)),0)</f>
        <v>21.672</v>
      </c>
      <c r="W2175" s="18" t="n">
        <f aca="false">MAX(0,$T2175-$V2175)</f>
        <v>0</v>
      </c>
      <c r="X2175" s="19" t="n">
        <f aca="false">IFERROR(INDEX(CADASTRO_PIVOS!$K$6:$K$41,MATCH($E2175,CADASTRO_PIVOS!$B$6:$B$41,0)),EFICIENCIA_PADRAO)</f>
        <v>0.85</v>
      </c>
      <c r="Y2175" s="18" t="n">
        <f aca="false">IF($X2175&lt;=0,0,$W2175/$X2175)</f>
        <v>0</v>
      </c>
      <c r="Z2175" s="16" t="n">
        <f aca="false">$Y2175*$H2175*MM_PARA_M3_HA</f>
        <v>0</v>
      </c>
      <c r="AA2175" s="18" t="n">
        <f aca="false">IFERROR(INDEX(CADASTRO_PIVOS!$I$6:$I$41,MATCH($E2175,CADASTRO_PIVOS!$B$6:$B$41,0)),0)</f>
        <v>526.666666666667</v>
      </c>
      <c r="AB2175" s="18" t="n">
        <f aca="false">IF($Z2175&lt;=0,0,$Z2175/$AA2175)</f>
        <v>0</v>
      </c>
      <c r="AC2175" s="16" t="n">
        <f aca="false">IFERROR(INDEX(SEMANAS!$K$6:$K$71,MATCH($B2175,SEMANAS!$B$6:$B$71,0)),0)</f>
        <v>147</v>
      </c>
      <c r="AD2175" s="19" t="n">
        <f aca="false">IF($AC2175&lt;=0,0,$AB2175/$AC2175)</f>
        <v>0</v>
      </c>
      <c r="AE2175" s="8" t="str">
        <f aca="false">IF($K2175="SEM CULTURA","SEM CULTURA",IF($AA2175&lt;=0,"DADO PENDENTE",IF($AD2175&gt;LIMITE_CRITICO,"INVIAVEL",IF($AD2175&gt;LIMITE_ATENCAO,"CRITICO",IF($AD2175&gt;LIMITE_CONFORTAVEL,"ATENCAO","OK")))))</f>
        <v>SEM CULTURA</v>
      </c>
      <c r="AF2175" s="8" t="str">
        <f aca="false">$B2175&amp;"|"&amp;TEXT($AD2175,"0.000000")</f>
        <v>58|0.000000</v>
      </c>
      <c r="AG2175" s="18" t="n">
        <f aca="false">IF($K2175="SEM CULTURA",0,$T2175*$H2175)</f>
        <v>0</v>
      </c>
      <c r="AH2175" s="18" t="n">
        <f aca="false">IF($K2175="SEM CULTURA",0,$V2175*$H2175)</f>
        <v>0</v>
      </c>
      <c r="AI2175" s="18" t="n">
        <f aca="false">IF($K2175="SEM CULTURA",0,$W2175*$H2175)</f>
        <v>0</v>
      </c>
      <c r="AJ2175" s="18" t="n">
        <f aca="false">IF($K2175="SEM CULTURA",0,$S2175*$H2175)</f>
        <v>0</v>
      </c>
      <c r="AK2175" s="8" t="str">
        <f aca="false">$E2175&amp;"|"&amp;TEXT($AD2175,"0.000000")</f>
        <v>PV 134|0.000000</v>
      </c>
    </row>
    <row r="2176" customFormat="false" ht="15" hidden="false" customHeight="false" outlineLevel="0" collapsed="false">
      <c r="B2176" s="16" t="n">
        <v>59</v>
      </c>
      <c r="C2176" s="17" t="n">
        <f aca="false">DATA_INICIO_SAFRA+($B2176-1)*DIAS_POR_SEMANA</f>
        <v>46671</v>
      </c>
      <c r="D2176" s="17" t="n">
        <f aca="false">$C2176+DIAS_POR_SEMANA-1</f>
        <v>46677</v>
      </c>
      <c r="E2176" s="15" t="s">
        <v>291</v>
      </c>
      <c r="F2176" s="8" t="str">
        <f aca="false">IFERROR(INDEX(CADASTRO_PIVOS!$C$6:$C$41,MATCH($E2176,CADASTRO_PIVOS!$B$6:$B$41,0)),"?")</f>
        <v>RM08</v>
      </c>
      <c r="G2176" s="8" t="str">
        <f aca="false">IFERROR(INDEX(CADASTRO_PIVOS!$D$6:$D$41,MATCH($E2176,CADASTRO_PIVOS!$B$6:$B$41,0)),"?")</f>
        <v>TR08</v>
      </c>
      <c r="H2176" s="20" t="n">
        <f aca="false">IFERROR(INDEX(CADASTRO_PIVOS!$E$6:$E$41,MATCH($E2176,CADASTRO_PIVOS!$B$6:$B$41,0)),0)</f>
        <v>79</v>
      </c>
      <c r="I2176" s="16" t="n">
        <f aca="false">IFERROR(SUMIFS(ROTACAO_RDM!$B$6:$B$71,ROTACAO_RDM!$D$6:$D$71,$E2176,ROTACAO_RDM!$I$6:$I$71,"&lt;="&amp;$C2176+INT(DIAS_POR_SEMANA/2),ROTACAO_RDM!$J$6:$J$71,"&gt;="&amp;$C2176+INT(DIAS_POR_SEMANA/2)),0)</f>
        <v>0</v>
      </c>
      <c r="J2176" s="16" t="n">
        <f aca="false">IFERROR(MATCH($I2176,ROTACAO_RDM!$B$6:$B$71,0),0)</f>
        <v>0</v>
      </c>
      <c r="K2176" s="8" t="str">
        <f aca="false">IF($J2176=0,"SEM CULTURA",INDEX(ROTACAO_RDM!$F$6:$F$71,$J2176))</f>
        <v>SEM CULTURA</v>
      </c>
      <c r="L2176" s="8" t="str">
        <f aca="false">IF($J2176=0,"",INDEX(ROTACAO_RDM!$G$6:$G$71,$J2176))</f>
        <v/>
      </c>
      <c r="M2176" s="17" t="str">
        <f aca="false">IF($J2176=0,"",INDEX(ROTACAO_RDM!$I$6:$I$71,$J2176))</f>
        <v/>
      </c>
      <c r="N2176" s="16" t="n">
        <f aca="false">IF($J2176=0,0,MAX(0,$C2176+INT(DIAS_POR_SEMANA/2)-INDEX(ROTACAO_RDM!$I$6:$I$71,$J2176)))</f>
        <v>0</v>
      </c>
      <c r="O2176" s="19" t="n">
        <f aca="false">IF($J2176=0,0,MIN(1,$N2176/MAX(1,INDEX(ROTACAO_RDM!$K$6:$K$71,$J2176))))</f>
        <v>0</v>
      </c>
      <c r="P2176" s="16" t="n">
        <f aca="false">IF($J2176=0,0,IFERROR(MATCH(INDEX(ROTACAO_RDM!$N$6:$N$71,$J2176),PARAMETROS_CULTURAS!$B$6:$B$28,0),0))</f>
        <v>0</v>
      </c>
      <c r="Q2176" s="8" t="str">
        <f aca="false">IF($P2176=0,"-",IF($O2176&lt;=INDEX(PARAMETROS_CULTURAS!$F$6:$F$28,$P2176),"INICIAL",IF($O2176&lt;=INDEX(PARAMETROS_CULTURAS!$F$6:$F$28,$P2176)+INDEX(PARAMETROS_CULTURAS!$G$6:$G$28,$P2176),"DESENVOLVIMENTO",IF($O2176&lt;=INDEX(PARAMETROS_CULTURAS!$F$6:$F$28,$P2176)+INDEX(PARAMETROS_CULTURAS!$G$6:$G$28,$P2176)+INDEX(PARAMETROS_CULTURAS!$H$6:$H$28,$P2176),"MEDIA","FINAL"))))</f>
        <v>-</v>
      </c>
      <c r="R2176" s="24" t="n">
        <f aca="false">IF($P2176=0,0,IF($O2176&lt;=INDEX(PARAMETROS_CULTURAS!$F$6:$F$28,$P2176),INDEX(PARAMETROS_CULTURAS!$K$6:$K$28,$P2176),IF($O2176&lt;=INDEX(PARAMETROS_CULTURAS!$F$6:$F$28,$P2176)+INDEX(PARAMETROS_CULTURAS!$G$6:$G$28,$P2176),INDEX(PARAMETROS_CULTURAS!$K$6:$K$28,$P2176)+(INDEX(PARAMETROS_CULTURAS!$L$6:$L$28,$P2176)-INDEX(PARAMETROS_CULTURAS!$K$6:$K$28,$P2176))*($O2176-INDEX(PARAMETROS_CULTURAS!$F$6:$F$28,$P2176))/MAX(INDEX(PARAMETROS_CULTURAS!$G$6:$G$28,$P2176),0.0001),IF($O2176&lt;=INDEX(PARAMETROS_CULTURAS!$F$6:$F$28,$P2176)+INDEX(PARAMETROS_CULTURAS!$G$6:$G$28,$P2176)+INDEX(PARAMETROS_CULTURAS!$H$6:$H$28,$P2176),INDEX(PARAMETROS_CULTURAS!$L$6:$L$28,$P2176),INDEX(PARAMETROS_CULTURAS!$L$6:$L$28,$P2176)+(INDEX(PARAMETROS_CULTURAS!$M$6:$M$28,$P2176)-INDEX(PARAMETROS_CULTURAS!$L$6:$L$28,$P2176))*($O2176-INDEX(PARAMETROS_CULTURAS!$F$6:$F$28,$P2176)-INDEX(PARAMETROS_CULTURAS!$G$6:$G$28,$P2176)-INDEX(PARAMETROS_CULTURAS!$H$6:$H$28,$P2176))/MAX(INDEX(PARAMETROS_CULTURAS!$I$6:$I$28,$P2176),0.0001)))))</f>
        <v>0</v>
      </c>
      <c r="S2176" s="18" t="n">
        <f aca="false">IFERROR(INDEX(SEMANAS!$H$6:$H$71,MATCH($B2176,SEMANAS!$B$6:$B$71,0)),0)</f>
        <v>39.2</v>
      </c>
      <c r="T2176" s="18" t="n">
        <f aca="false">$R2176*$S2176</f>
        <v>0</v>
      </c>
      <c r="U2176" s="18" t="n">
        <f aca="false">IFERROR(INDEX(SEMANAS!$I$6:$I$71,MATCH($B2176,SEMANAS!$B$6:$B$71,0)),0)</f>
        <v>27.09</v>
      </c>
      <c r="V2176" s="18" t="n">
        <f aca="false">IFERROR(INDEX(SEMANAS!$J$6:$J$71,MATCH($B2176,SEMANAS!$B$6:$B$71,0)),0)</f>
        <v>21.672</v>
      </c>
      <c r="W2176" s="18" t="n">
        <f aca="false">MAX(0,$T2176-$V2176)</f>
        <v>0</v>
      </c>
      <c r="X2176" s="19" t="n">
        <f aca="false">IFERROR(INDEX(CADASTRO_PIVOS!$K$6:$K$41,MATCH($E2176,CADASTRO_PIVOS!$B$6:$B$41,0)),EFICIENCIA_PADRAO)</f>
        <v>0.85</v>
      </c>
      <c r="Y2176" s="18" t="n">
        <f aca="false">IF($X2176&lt;=0,0,$W2176/$X2176)</f>
        <v>0</v>
      </c>
      <c r="Z2176" s="16" t="n">
        <f aca="false">$Y2176*$H2176*MM_PARA_M3_HA</f>
        <v>0</v>
      </c>
      <c r="AA2176" s="18" t="n">
        <f aca="false">IFERROR(INDEX(CADASTRO_PIVOS!$I$6:$I$41,MATCH($E2176,CADASTRO_PIVOS!$B$6:$B$41,0)),0)</f>
        <v>526.666666666667</v>
      </c>
      <c r="AB2176" s="18" t="n">
        <f aca="false">IF($Z2176&lt;=0,0,$Z2176/$AA2176)</f>
        <v>0</v>
      </c>
      <c r="AC2176" s="16" t="n">
        <f aca="false">IFERROR(INDEX(SEMANAS!$K$6:$K$71,MATCH($B2176,SEMANAS!$B$6:$B$71,0)),0)</f>
        <v>147</v>
      </c>
      <c r="AD2176" s="19" t="n">
        <f aca="false">IF($AC2176&lt;=0,0,$AB2176/$AC2176)</f>
        <v>0</v>
      </c>
      <c r="AE2176" s="8" t="str">
        <f aca="false">IF($K2176="SEM CULTURA","SEM CULTURA",IF($AA2176&lt;=0,"DADO PENDENTE",IF($AD2176&gt;LIMITE_CRITICO,"INVIAVEL",IF($AD2176&gt;LIMITE_ATENCAO,"CRITICO",IF($AD2176&gt;LIMITE_CONFORTAVEL,"ATENCAO","OK")))))</f>
        <v>SEM CULTURA</v>
      </c>
      <c r="AF2176" s="8" t="str">
        <f aca="false">$B2176&amp;"|"&amp;TEXT($AD2176,"0.000000")</f>
        <v>59|0.000000</v>
      </c>
      <c r="AG2176" s="18" t="n">
        <f aca="false">IF($K2176="SEM CULTURA",0,$T2176*$H2176)</f>
        <v>0</v>
      </c>
      <c r="AH2176" s="18" t="n">
        <f aca="false">IF($K2176="SEM CULTURA",0,$V2176*$H2176)</f>
        <v>0</v>
      </c>
      <c r="AI2176" s="18" t="n">
        <f aca="false">IF($K2176="SEM CULTURA",0,$W2176*$H2176)</f>
        <v>0</v>
      </c>
      <c r="AJ2176" s="18" t="n">
        <f aca="false">IF($K2176="SEM CULTURA",0,$S2176*$H2176)</f>
        <v>0</v>
      </c>
      <c r="AK2176" s="8" t="str">
        <f aca="false">$E2176&amp;"|"&amp;TEXT($AD2176,"0.000000")</f>
        <v>PV 134|0.000000</v>
      </c>
    </row>
    <row r="2177" customFormat="false" ht="15" hidden="false" customHeight="false" outlineLevel="0" collapsed="false">
      <c r="B2177" s="16" t="n">
        <v>60</v>
      </c>
      <c r="C2177" s="17" t="n">
        <f aca="false">DATA_INICIO_SAFRA+($B2177-1)*DIAS_POR_SEMANA</f>
        <v>46678</v>
      </c>
      <c r="D2177" s="17" t="n">
        <f aca="false">$C2177+DIAS_POR_SEMANA-1</f>
        <v>46684</v>
      </c>
      <c r="E2177" s="15" t="s">
        <v>291</v>
      </c>
      <c r="F2177" s="8" t="str">
        <f aca="false">IFERROR(INDEX(CADASTRO_PIVOS!$C$6:$C$41,MATCH($E2177,CADASTRO_PIVOS!$B$6:$B$41,0)),"?")</f>
        <v>RM08</v>
      </c>
      <c r="G2177" s="8" t="str">
        <f aca="false">IFERROR(INDEX(CADASTRO_PIVOS!$D$6:$D$41,MATCH($E2177,CADASTRO_PIVOS!$B$6:$B$41,0)),"?")</f>
        <v>TR08</v>
      </c>
      <c r="H2177" s="20" t="n">
        <f aca="false">IFERROR(INDEX(CADASTRO_PIVOS!$E$6:$E$41,MATCH($E2177,CADASTRO_PIVOS!$B$6:$B$41,0)),0)</f>
        <v>79</v>
      </c>
      <c r="I2177" s="16" t="n">
        <f aca="false">IFERROR(SUMIFS(ROTACAO_RDM!$B$6:$B$71,ROTACAO_RDM!$D$6:$D$71,$E2177,ROTACAO_RDM!$I$6:$I$71,"&lt;="&amp;$C2177+INT(DIAS_POR_SEMANA/2),ROTACAO_RDM!$J$6:$J$71,"&gt;="&amp;$C2177+INT(DIAS_POR_SEMANA/2)),0)</f>
        <v>0</v>
      </c>
      <c r="J2177" s="16" t="n">
        <f aca="false">IFERROR(MATCH($I2177,ROTACAO_RDM!$B$6:$B$71,0),0)</f>
        <v>0</v>
      </c>
      <c r="K2177" s="8" t="str">
        <f aca="false">IF($J2177=0,"SEM CULTURA",INDEX(ROTACAO_RDM!$F$6:$F$71,$J2177))</f>
        <v>SEM CULTURA</v>
      </c>
      <c r="L2177" s="8" t="str">
        <f aca="false">IF($J2177=0,"",INDEX(ROTACAO_RDM!$G$6:$G$71,$J2177))</f>
        <v/>
      </c>
      <c r="M2177" s="17" t="str">
        <f aca="false">IF($J2177=0,"",INDEX(ROTACAO_RDM!$I$6:$I$71,$J2177))</f>
        <v/>
      </c>
      <c r="N2177" s="16" t="n">
        <f aca="false">IF($J2177=0,0,MAX(0,$C2177+INT(DIAS_POR_SEMANA/2)-INDEX(ROTACAO_RDM!$I$6:$I$71,$J2177)))</f>
        <v>0</v>
      </c>
      <c r="O2177" s="19" t="n">
        <f aca="false">IF($J2177=0,0,MIN(1,$N2177/MAX(1,INDEX(ROTACAO_RDM!$K$6:$K$71,$J2177))))</f>
        <v>0</v>
      </c>
      <c r="P2177" s="16" t="n">
        <f aca="false">IF($J2177=0,0,IFERROR(MATCH(INDEX(ROTACAO_RDM!$N$6:$N$71,$J2177),PARAMETROS_CULTURAS!$B$6:$B$28,0),0))</f>
        <v>0</v>
      </c>
      <c r="Q2177" s="8" t="str">
        <f aca="false">IF($P2177=0,"-",IF($O2177&lt;=INDEX(PARAMETROS_CULTURAS!$F$6:$F$28,$P2177),"INICIAL",IF($O2177&lt;=INDEX(PARAMETROS_CULTURAS!$F$6:$F$28,$P2177)+INDEX(PARAMETROS_CULTURAS!$G$6:$G$28,$P2177),"DESENVOLVIMENTO",IF($O2177&lt;=INDEX(PARAMETROS_CULTURAS!$F$6:$F$28,$P2177)+INDEX(PARAMETROS_CULTURAS!$G$6:$G$28,$P2177)+INDEX(PARAMETROS_CULTURAS!$H$6:$H$28,$P2177),"MEDIA","FINAL"))))</f>
        <v>-</v>
      </c>
      <c r="R2177" s="24" t="n">
        <f aca="false">IF($P2177=0,0,IF($O2177&lt;=INDEX(PARAMETROS_CULTURAS!$F$6:$F$28,$P2177),INDEX(PARAMETROS_CULTURAS!$K$6:$K$28,$P2177),IF($O2177&lt;=INDEX(PARAMETROS_CULTURAS!$F$6:$F$28,$P2177)+INDEX(PARAMETROS_CULTURAS!$G$6:$G$28,$P2177),INDEX(PARAMETROS_CULTURAS!$K$6:$K$28,$P2177)+(INDEX(PARAMETROS_CULTURAS!$L$6:$L$28,$P2177)-INDEX(PARAMETROS_CULTURAS!$K$6:$K$28,$P2177))*($O2177-INDEX(PARAMETROS_CULTURAS!$F$6:$F$28,$P2177))/MAX(INDEX(PARAMETROS_CULTURAS!$G$6:$G$28,$P2177),0.0001),IF($O2177&lt;=INDEX(PARAMETROS_CULTURAS!$F$6:$F$28,$P2177)+INDEX(PARAMETROS_CULTURAS!$G$6:$G$28,$P2177)+INDEX(PARAMETROS_CULTURAS!$H$6:$H$28,$P2177),INDEX(PARAMETROS_CULTURAS!$L$6:$L$28,$P2177),INDEX(PARAMETROS_CULTURAS!$L$6:$L$28,$P2177)+(INDEX(PARAMETROS_CULTURAS!$M$6:$M$28,$P2177)-INDEX(PARAMETROS_CULTURAS!$L$6:$L$28,$P2177))*($O2177-INDEX(PARAMETROS_CULTURAS!$F$6:$F$28,$P2177)-INDEX(PARAMETROS_CULTURAS!$G$6:$G$28,$P2177)-INDEX(PARAMETROS_CULTURAS!$H$6:$H$28,$P2177))/MAX(INDEX(PARAMETROS_CULTURAS!$I$6:$I$28,$P2177),0.0001)))))</f>
        <v>0</v>
      </c>
      <c r="S2177" s="18" t="n">
        <f aca="false">IFERROR(INDEX(SEMANAS!$H$6:$H$71,MATCH($B2177,SEMANAS!$B$6:$B$71,0)),0)</f>
        <v>39.2</v>
      </c>
      <c r="T2177" s="18" t="n">
        <f aca="false">$R2177*$S2177</f>
        <v>0</v>
      </c>
      <c r="U2177" s="18" t="n">
        <f aca="false">IFERROR(INDEX(SEMANAS!$I$6:$I$71,MATCH($B2177,SEMANAS!$B$6:$B$71,0)),0)</f>
        <v>27.09</v>
      </c>
      <c r="V2177" s="18" t="n">
        <f aca="false">IFERROR(INDEX(SEMANAS!$J$6:$J$71,MATCH($B2177,SEMANAS!$B$6:$B$71,0)),0)</f>
        <v>21.672</v>
      </c>
      <c r="W2177" s="18" t="n">
        <f aca="false">MAX(0,$T2177-$V2177)</f>
        <v>0</v>
      </c>
      <c r="X2177" s="19" t="n">
        <f aca="false">IFERROR(INDEX(CADASTRO_PIVOS!$K$6:$K$41,MATCH($E2177,CADASTRO_PIVOS!$B$6:$B$41,0)),EFICIENCIA_PADRAO)</f>
        <v>0.85</v>
      </c>
      <c r="Y2177" s="18" t="n">
        <f aca="false">IF($X2177&lt;=0,0,$W2177/$X2177)</f>
        <v>0</v>
      </c>
      <c r="Z2177" s="16" t="n">
        <f aca="false">$Y2177*$H2177*MM_PARA_M3_HA</f>
        <v>0</v>
      </c>
      <c r="AA2177" s="18" t="n">
        <f aca="false">IFERROR(INDEX(CADASTRO_PIVOS!$I$6:$I$41,MATCH($E2177,CADASTRO_PIVOS!$B$6:$B$41,0)),0)</f>
        <v>526.666666666667</v>
      </c>
      <c r="AB2177" s="18" t="n">
        <f aca="false">IF($Z2177&lt;=0,0,$Z2177/$AA2177)</f>
        <v>0</v>
      </c>
      <c r="AC2177" s="16" t="n">
        <f aca="false">IFERROR(INDEX(SEMANAS!$K$6:$K$71,MATCH($B2177,SEMANAS!$B$6:$B$71,0)),0)</f>
        <v>147</v>
      </c>
      <c r="AD2177" s="19" t="n">
        <f aca="false">IF($AC2177&lt;=0,0,$AB2177/$AC2177)</f>
        <v>0</v>
      </c>
      <c r="AE2177" s="8" t="str">
        <f aca="false">IF($K2177="SEM CULTURA","SEM CULTURA",IF($AA2177&lt;=0,"DADO PENDENTE",IF($AD2177&gt;LIMITE_CRITICO,"INVIAVEL",IF($AD2177&gt;LIMITE_ATENCAO,"CRITICO",IF($AD2177&gt;LIMITE_CONFORTAVEL,"ATENCAO","OK")))))</f>
        <v>SEM CULTURA</v>
      </c>
      <c r="AF2177" s="8" t="str">
        <f aca="false">$B2177&amp;"|"&amp;TEXT($AD2177,"0.000000")</f>
        <v>60|0.000000</v>
      </c>
      <c r="AG2177" s="18" t="n">
        <f aca="false">IF($K2177="SEM CULTURA",0,$T2177*$H2177)</f>
        <v>0</v>
      </c>
      <c r="AH2177" s="18" t="n">
        <f aca="false">IF($K2177="SEM CULTURA",0,$V2177*$H2177)</f>
        <v>0</v>
      </c>
      <c r="AI2177" s="18" t="n">
        <f aca="false">IF($K2177="SEM CULTURA",0,$W2177*$H2177)</f>
        <v>0</v>
      </c>
      <c r="AJ2177" s="18" t="n">
        <f aca="false">IF($K2177="SEM CULTURA",0,$S2177*$H2177)</f>
        <v>0</v>
      </c>
      <c r="AK2177" s="8" t="str">
        <f aca="false">$E2177&amp;"|"&amp;TEXT($AD2177,"0.000000")</f>
        <v>PV 134|0.000000</v>
      </c>
    </row>
    <row r="2178" customFormat="false" ht="15" hidden="false" customHeight="false" outlineLevel="0" collapsed="false">
      <c r="B2178" s="16" t="n">
        <v>61</v>
      </c>
      <c r="C2178" s="17" t="n">
        <f aca="false">DATA_INICIO_SAFRA+($B2178-1)*DIAS_POR_SEMANA</f>
        <v>46685</v>
      </c>
      <c r="D2178" s="17" t="n">
        <f aca="false">$C2178+DIAS_POR_SEMANA-1</f>
        <v>46691</v>
      </c>
      <c r="E2178" s="15" t="s">
        <v>291</v>
      </c>
      <c r="F2178" s="8" t="str">
        <f aca="false">IFERROR(INDEX(CADASTRO_PIVOS!$C$6:$C$41,MATCH($E2178,CADASTRO_PIVOS!$B$6:$B$41,0)),"?")</f>
        <v>RM08</v>
      </c>
      <c r="G2178" s="8" t="str">
        <f aca="false">IFERROR(INDEX(CADASTRO_PIVOS!$D$6:$D$41,MATCH($E2178,CADASTRO_PIVOS!$B$6:$B$41,0)),"?")</f>
        <v>TR08</v>
      </c>
      <c r="H2178" s="20" t="n">
        <f aca="false">IFERROR(INDEX(CADASTRO_PIVOS!$E$6:$E$41,MATCH($E2178,CADASTRO_PIVOS!$B$6:$B$41,0)),0)</f>
        <v>79</v>
      </c>
      <c r="I2178" s="16" t="n">
        <f aca="false">IFERROR(SUMIFS(ROTACAO_RDM!$B$6:$B$71,ROTACAO_RDM!$D$6:$D$71,$E2178,ROTACAO_RDM!$I$6:$I$71,"&lt;="&amp;$C2178+INT(DIAS_POR_SEMANA/2),ROTACAO_RDM!$J$6:$J$71,"&gt;="&amp;$C2178+INT(DIAS_POR_SEMANA/2)),0)</f>
        <v>0</v>
      </c>
      <c r="J2178" s="16" t="n">
        <f aca="false">IFERROR(MATCH($I2178,ROTACAO_RDM!$B$6:$B$71,0),0)</f>
        <v>0</v>
      </c>
      <c r="K2178" s="8" t="str">
        <f aca="false">IF($J2178=0,"SEM CULTURA",INDEX(ROTACAO_RDM!$F$6:$F$71,$J2178))</f>
        <v>SEM CULTURA</v>
      </c>
      <c r="L2178" s="8" t="str">
        <f aca="false">IF($J2178=0,"",INDEX(ROTACAO_RDM!$G$6:$G$71,$J2178))</f>
        <v/>
      </c>
      <c r="M2178" s="17" t="str">
        <f aca="false">IF($J2178=0,"",INDEX(ROTACAO_RDM!$I$6:$I$71,$J2178))</f>
        <v/>
      </c>
      <c r="N2178" s="16" t="n">
        <f aca="false">IF($J2178=0,0,MAX(0,$C2178+INT(DIAS_POR_SEMANA/2)-INDEX(ROTACAO_RDM!$I$6:$I$71,$J2178)))</f>
        <v>0</v>
      </c>
      <c r="O2178" s="19" t="n">
        <f aca="false">IF($J2178=0,0,MIN(1,$N2178/MAX(1,INDEX(ROTACAO_RDM!$K$6:$K$71,$J2178))))</f>
        <v>0</v>
      </c>
      <c r="P2178" s="16" t="n">
        <f aca="false">IF($J2178=0,0,IFERROR(MATCH(INDEX(ROTACAO_RDM!$N$6:$N$71,$J2178),PARAMETROS_CULTURAS!$B$6:$B$28,0),0))</f>
        <v>0</v>
      </c>
      <c r="Q2178" s="8" t="str">
        <f aca="false">IF($P2178=0,"-",IF($O2178&lt;=INDEX(PARAMETROS_CULTURAS!$F$6:$F$28,$P2178),"INICIAL",IF($O2178&lt;=INDEX(PARAMETROS_CULTURAS!$F$6:$F$28,$P2178)+INDEX(PARAMETROS_CULTURAS!$G$6:$G$28,$P2178),"DESENVOLVIMENTO",IF($O2178&lt;=INDEX(PARAMETROS_CULTURAS!$F$6:$F$28,$P2178)+INDEX(PARAMETROS_CULTURAS!$G$6:$G$28,$P2178)+INDEX(PARAMETROS_CULTURAS!$H$6:$H$28,$P2178),"MEDIA","FINAL"))))</f>
        <v>-</v>
      </c>
      <c r="R2178" s="24" t="n">
        <f aca="false">IF($P2178=0,0,IF($O2178&lt;=INDEX(PARAMETROS_CULTURAS!$F$6:$F$28,$P2178),INDEX(PARAMETROS_CULTURAS!$K$6:$K$28,$P2178),IF($O2178&lt;=INDEX(PARAMETROS_CULTURAS!$F$6:$F$28,$P2178)+INDEX(PARAMETROS_CULTURAS!$G$6:$G$28,$P2178),INDEX(PARAMETROS_CULTURAS!$K$6:$K$28,$P2178)+(INDEX(PARAMETROS_CULTURAS!$L$6:$L$28,$P2178)-INDEX(PARAMETROS_CULTURAS!$K$6:$K$28,$P2178))*($O2178-INDEX(PARAMETROS_CULTURAS!$F$6:$F$28,$P2178))/MAX(INDEX(PARAMETROS_CULTURAS!$G$6:$G$28,$P2178),0.0001),IF($O2178&lt;=INDEX(PARAMETROS_CULTURAS!$F$6:$F$28,$P2178)+INDEX(PARAMETROS_CULTURAS!$G$6:$G$28,$P2178)+INDEX(PARAMETROS_CULTURAS!$H$6:$H$28,$P2178),INDEX(PARAMETROS_CULTURAS!$L$6:$L$28,$P2178),INDEX(PARAMETROS_CULTURAS!$L$6:$L$28,$P2178)+(INDEX(PARAMETROS_CULTURAS!$M$6:$M$28,$P2178)-INDEX(PARAMETROS_CULTURAS!$L$6:$L$28,$P2178))*($O2178-INDEX(PARAMETROS_CULTURAS!$F$6:$F$28,$P2178)-INDEX(PARAMETROS_CULTURAS!$G$6:$G$28,$P2178)-INDEX(PARAMETROS_CULTURAS!$H$6:$H$28,$P2178))/MAX(INDEX(PARAMETROS_CULTURAS!$I$6:$I$28,$P2178),0.0001)))))</f>
        <v>0</v>
      </c>
      <c r="S2178" s="18" t="n">
        <f aca="false">IFERROR(INDEX(SEMANAS!$H$6:$H$71,MATCH($B2178,SEMANAS!$B$6:$B$71,0)),0)</f>
        <v>39.2</v>
      </c>
      <c r="T2178" s="18" t="n">
        <f aca="false">$R2178*$S2178</f>
        <v>0</v>
      </c>
      <c r="U2178" s="18" t="n">
        <f aca="false">IFERROR(INDEX(SEMANAS!$I$6:$I$71,MATCH($B2178,SEMANAS!$B$6:$B$71,0)),0)</f>
        <v>27.09</v>
      </c>
      <c r="V2178" s="18" t="n">
        <f aca="false">IFERROR(INDEX(SEMANAS!$J$6:$J$71,MATCH($B2178,SEMANAS!$B$6:$B$71,0)),0)</f>
        <v>21.672</v>
      </c>
      <c r="W2178" s="18" t="n">
        <f aca="false">MAX(0,$T2178-$V2178)</f>
        <v>0</v>
      </c>
      <c r="X2178" s="19" t="n">
        <f aca="false">IFERROR(INDEX(CADASTRO_PIVOS!$K$6:$K$41,MATCH($E2178,CADASTRO_PIVOS!$B$6:$B$41,0)),EFICIENCIA_PADRAO)</f>
        <v>0.85</v>
      </c>
      <c r="Y2178" s="18" t="n">
        <f aca="false">IF($X2178&lt;=0,0,$W2178/$X2178)</f>
        <v>0</v>
      </c>
      <c r="Z2178" s="16" t="n">
        <f aca="false">$Y2178*$H2178*MM_PARA_M3_HA</f>
        <v>0</v>
      </c>
      <c r="AA2178" s="18" t="n">
        <f aca="false">IFERROR(INDEX(CADASTRO_PIVOS!$I$6:$I$41,MATCH($E2178,CADASTRO_PIVOS!$B$6:$B$41,0)),0)</f>
        <v>526.666666666667</v>
      </c>
      <c r="AB2178" s="18" t="n">
        <f aca="false">IF($Z2178&lt;=0,0,$Z2178/$AA2178)</f>
        <v>0</v>
      </c>
      <c r="AC2178" s="16" t="n">
        <f aca="false">IFERROR(INDEX(SEMANAS!$K$6:$K$71,MATCH($B2178,SEMANAS!$B$6:$B$71,0)),0)</f>
        <v>147</v>
      </c>
      <c r="AD2178" s="19" t="n">
        <f aca="false">IF($AC2178&lt;=0,0,$AB2178/$AC2178)</f>
        <v>0</v>
      </c>
      <c r="AE2178" s="8" t="str">
        <f aca="false">IF($K2178="SEM CULTURA","SEM CULTURA",IF($AA2178&lt;=0,"DADO PENDENTE",IF($AD2178&gt;LIMITE_CRITICO,"INVIAVEL",IF($AD2178&gt;LIMITE_ATENCAO,"CRITICO",IF($AD2178&gt;LIMITE_CONFORTAVEL,"ATENCAO","OK")))))</f>
        <v>SEM CULTURA</v>
      </c>
      <c r="AF2178" s="8" t="str">
        <f aca="false">$B2178&amp;"|"&amp;TEXT($AD2178,"0.000000")</f>
        <v>61|0.000000</v>
      </c>
      <c r="AG2178" s="18" t="n">
        <f aca="false">IF($K2178="SEM CULTURA",0,$T2178*$H2178)</f>
        <v>0</v>
      </c>
      <c r="AH2178" s="18" t="n">
        <f aca="false">IF($K2178="SEM CULTURA",0,$V2178*$H2178)</f>
        <v>0</v>
      </c>
      <c r="AI2178" s="18" t="n">
        <f aca="false">IF($K2178="SEM CULTURA",0,$W2178*$H2178)</f>
        <v>0</v>
      </c>
      <c r="AJ2178" s="18" t="n">
        <f aca="false">IF($K2178="SEM CULTURA",0,$S2178*$H2178)</f>
        <v>0</v>
      </c>
      <c r="AK2178" s="8" t="str">
        <f aca="false">$E2178&amp;"|"&amp;TEXT($AD2178,"0.000000")</f>
        <v>PV 134|0.000000</v>
      </c>
    </row>
    <row r="2179" customFormat="false" ht="15" hidden="false" customHeight="false" outlineLevel="0" collapsed="false">
      <c r="B2179" s="16" t="n">
        <v>62</v>
      </c>
      <c r="C2179" s="17" t="n">
        <f aca="false">DATA_INICIO_SAFRA+($B2179-1)*DIAS_POR_SEMANA</f>
        <v>46692</v>
      </c>
      <c r="D2179" s="17" t="n">
        <f aca="false">$C2179+DIAS_POR_SEMANA-1</f>
        <v>46698</v>
      </c>
      <c r="E2179" s="15" t="s">
        <v>291</v>
      </c>
      <c r="F2179" s="8" t="str">
        <f aca="false">IFERROR(INDEX(CADASTRO_PIVOS!$C$6:$C$41,MATCH($E2179,CADASTRO_PIVOS!$B$6:$B$41,0)),"?")</f>
        <v>RM08</v>
      </c>
      <c r="G2179" s="8" t="str">
        <f aca="false">IFERROR(INDEX(CADASTRO_PIVOS!$D$6:$D$41,MATCH($E2179,CADASTRO_PIVOS!$B$6:$B$41,0)),"?")</f>
        <v>TR08</v>
      </c>
      <c r="H2179" s="20" t="n">
        <f aca="false">IFERROR(INDEX(CADASTRO_PIVOS!$E$6:$E$41,MATCH($E2179,CADASTRO_PIVOS!$B$6:$B$41,0)),0)</f>
        <v>79</v>
      </c>
      <c r="I2179" s="16" t="n">
        <f aca="false">IFERROR(SUMIFS(ROTACAO_RDM!$B$6:$B$71,ROTACAO_RDM!$D$6:$D$71,$E2179,ROTACAO_RDM!$I$6:$I$71,"&lt;="&amp;$C2179+INT(DIAS_POR_SEMANA/2),ROTACAO_RDM!$J$6:$J$71,"&gt;="&amp;$C2179+INT(DIAS_POR_SEMANA/2)),0)</f>
        <v>0</v>
      </c>
      <c r="J2179" s="16" t="n">
        <f aca="false">IFERROR(MATCH($I2179,ROTACAO_RDM!$B$6:$B$71,0),0)</f>
        <v>0</v>
      </c>
      <c r="K2179" s="8" t="str">
        <f aca="false">IF($J2179=0,"SEM CULTURA",INDEX(ROTACAO_RDM!$F$6:$F$71,$J2179))</f>
        <v>SEM CULTURA</v>
      </c>
      <c r="L2179" s="8" t="str">
        <f aca="false">IF($J2179=0,"",INDEX(ROTACAO_RDM!$G$6:$G$71,$J2179))</f>
        <v/>
      </c>
      <c r="M2179" s="17" t="str">
        <f aca="false">IF($J2179=0,"",INDEX(ROTACAO_RDM!$I$6:$I$71,$J2179))</f>
        <v/>
      </c>
      <c r="N2179" s="16" t="n">
        <f aca="false">IF($J2179=0,0,MAX(0,$C2179+INT(DIAS_POR_SEMANA/2)-INDEX(ROTACAO_RDM!$I$6:$I$71,$J2179)))</f>
        <v>0</v>
      </c>
      <c r="O2179" s="19" t="n">
        <f aca="false">IF($J2179=0,0,MIN(1,$N2179/MAX(1,INDEX(ROTACAO_RDM!$K$6:$K$71,$J2179))))</f>
        <v>0</v>
      </c>
      <c r="P2179" s="16" t="n">
        <f aca="false">IF($J2179=0,0,IFERROR(MATCH(INDEX(ROTACAO_RDM!$N$6:$N$71,$J2179),PARAMETROS_CULTURAS!$B$6:$B$28,0),0))</f>
        <v>0</v>
      </c>
      <c r="Q2179" s="8" t="str">
        <f aca="false">IF($P2179=0,"-",IF($O2179&lt;=INDEX(PARAMETROS_CULTURAS!$F$6:$F$28,$P2179),"INICIAL",IF($O2179&lt;=INDEX(PARAMETROS_CULTURAS!$F$6:$F$28,$P2179)+INDEX(PARAMETROS_CULTURAS!$G$6:$G$28,$P2179),"DESENVOLVIMENTO",IF($O2179&lt;=INDEX(PARAMETROS_CULTURAS!$F$6:$F$28,$P2179)+INDEX(PARAMETROS_CULTURAS!$G$6:$G$28,$P2179)+INDEX(PARAMETROS_CULTURAS!$H$6:$H$28,$P2179),"MEDIA","FINAL"))))</f>
        <v>-</v>
      </c>
      <c r="R2179" s="24" t="n">
        <f aca="false">IF($P2179=0,0,IF($O2179&lt;=INDEX(PARAMETROS_CULTURAS!$F$6:$F$28,$P2179),INDEX(PARAMETROS_CULTURAS!$K$6:$K$28,$P2179),IF($O2179&lt;=INDEX(PARAMETROS_CULTURAS!$F$6:$F$28,$P2179)+INDEX(PARAMETROS_CULTURAS!$G$6:$G$28,$P2179),INDEX(PARAMETROS_CULTURAS!$K$6:$K$28,$P2179)+(INDEX(PARAMETROS_CULTURAS!$L$6:$L$28,$P2179)-INDEX(PARAMETROS_CULTURAS!$K$6:$K$28,$P2179))*($O2179-INDEX(PARAMETROS_CULTURAS!$F$6:$F$28,$P2179))/MAX(INDEX(PARAMETROS_CULTURAS!$G$6:$G$28,$P2179),0.0001),IF($O2179&lt;=INDEX(PARAMETROS_CULTURAS!$F$6:$F$28,$P2179)+INDEX(PARAMETROS_CULTURAS!$G$6:$G$28,$P2179)+INDEX(PARAMETROS_CULTURAS!$H$6:$H$28,$P2179),INDEX(PARAMETROS_CULTURAS!$L$6:$L$28,$P2179),INDEX(PARAMETROS_CULTURAS!$L$6:$L$28,$P2179)+(INDEX(PARAMETROS_CULTURAS!$M$6:$M$28,$P2179)-INDEX(PARAMETROS_CULTURAS!$L$6:$L$28,$P2179))*($O2179-INDEX(PARAMETROS_CULTURAS!$F$6:$F$28,$P2179)-INDEX(PARAMETROS_CULTURAS!$G$6:$G$28,$P2179)-INDEX(PARAMETROS_CULTURAS!$H$6:$H$28,$P2179))/MAX(INDEX(PARAMETROS_CULTURAS!$I$6:$I$28,$P2179),0.0001)))))</f>
        <v>0</v>
      </c>
      <c r="S2179" s="18" t="n">
        <f aca="false">IFERROR(INDEX(SEMANAS!$H$6:$H$71,MATCH($B2179,SEMANAS!$B$6:$B$71,0)),0)</f>
        <v>34.3</v>
      </c>
      <c r="T2179" s="18" t="n">
        <f aca="false">$R2179*$S2179</f>
        <v>0</v>
      </c>
      <c r="U2179" s="18" t="n">
        <f aca="false">IFERROR(INDEX(SEMANAS!$I$6:$I$71,MATCH($B2179,SEMANAS!$B$6:$B$71,0)),0)</f>
        <v>46.69</v>
      </c>
      <c r="V2179" s="18" t="n">
        <f aca="false">IFERROR(INDEX(SEMANAS!$J$6:$J$71,MATCH($B2179,SEMANAS!$B$6:$B$71,0)),0)</f>
        <v>37.352</v>
      </c>
      <c r="W2179" s="18" t="n">
        <f aca="false">MAX(0,$T2179-$V2179)</f>
        <v>0</v>
      </c>
      <c r="X2179" s="19" t="n">
        <f aca="false">IFERROR(INDEX(CADASTRO_PIVOS!$K$6:$K$41,MATCH($E2179,CADASTRO_PIVOS!$B$6:$B$41,0)),EFICIENCIA_PADRAO)</f>
        <v>0.85</v>
      </c>
      <c r="Y2179" s="18" t="n">
        <f aca="false">IF($X2179&lt;=0,0,$W2179/$X2179)</f>
        <v>0</v>
      </c>
      <c r="Z2179" s="16" t="n">
        <f aca="false">$Y2179*$H2179*MM_PARA_M3_HA</f>
        <v>0</v>
      </c>
      <c r="AA2179" s="18" t="n">
        <f aca="false">IFERROR(INDEX(CADASTRO_PIVOS!$I$6:$I$41,MATCH($E2179,CADASTRO_PIVOS!$B$6:$B$41,0)),0)</f>
        <v>526.666666666667</v>
      </c>
      <c r="AB2179" s="18" t="n">
        <f aca="false">IF($Z2179&lt;=0,0,$Z2179/$AA2179)</f>
        <v>0</v>
      </c>
      <c r="AC2179" s="16" t="n">
        <f aca="false">IFERROR(INDEX(SEMANAS!$K$6:$K$71,MATCH($B2179,SEMANAS!$B$6:$B$71,0)),0)</f>
        <v>147</v>
      </c>
      <c r="AD2179" s="19" t="n">
        <f aca="false">IF($AC2179&lt;=0,0,$AB2179/$AC2179)</f>
        <v>0</v>
      </c>
      <c r="AE2179" s="8" t="str">
        <f aca="false">IF($K2179="SEM CULTURA","SEM CULTURA",IF($AA2179&lt;=0,"DADO PENDENTE",IF($AD2179&gt;LIMITE_CRITICO,"INVIAVEL",IF($AD2179&gt;LIMITE_ATENCAO,"CRITICO",IF($AD2179&gt;LIMITE_CONFORTAVEL,"ATENCAO","OK")))))</f>
        <v>SEM CULTURA</v>
      </c>
      <c r="AF2179" s="8" t="str">
        <f aca="false">$B2179&amp;"|"&amp;TEXT($AD2179,"0.000000")</f>
        <v>62|0.000000</v>
      </c>
      <c r="AG2179" s="18" t="n">
        <f aca="false">IF($K2179="SEM CULTURA",0,$T2179*$H2179)</f>
        <v>0</v>
      </c>
      <c r="AH2179" s="18" t="n">
        <f aca="false">IF($K2179="SEM CULTURA",0,$V2179*$H2179)</f>
        <v>0</v>
      </c>
      <c r="AI2179" s="18" t="n">
        <f aca="false">IF($K2179="SEM CULTURA",0,$W2179*$H2179)</f>
        <v>0</v>
      </c>
      <c r="AJ2179" s="18" t="n">
        <f aca="false">IF($K2179="SEM CULTURA",0,$S2179*$H2179)</f>
        <v>0</v>
      </c>
      <c r="AK2179" s="8" t="str">
        <f aca="false">$E2179&amp;"|"&amp;TEXT($AD2179,"0.000000")</f>
        <v>PV 134|0.000000</v>
      </c>
    </row>
    <row r="2180" customFormat="false" ht="15" hidden="false" customHeight="false" outlineLevel="0" collapsed="false">
      <c r="B2180" s="16" t="n">
        <v>63</v>
      </c>
      <c r="C2180" s="17" t="n">
        <f aca="false">DATA_INICIO_SAFRA+($B2180-1)*DIAS_POR_SEMANA</f>
        <v>46699</v>
      </c>
      <c r="D2180" s="17" t="n">
        <f aca="false">$C2180+DIAS_POR_SEMANA-1</f>
        <v>46705</v>
      </c>
      <c r="E2180" s="15" t="s">
        <v>291</v>
      </c>
      <c r="F2180" s="8" t="str">
        <f aca="false">IFERROR(INDEX(CADASTRO_PIVOS!$C$6:$C$41,MATCH($E2180,CADASTRO_PIVOS!$B$6:$B$41,0)),"?")</f>
        <v>RM08</v>
      </c>
      <c r="G2180" s="8" t="str">
        <f aca="false">IFERROR(INDEX(CADASTRO_PIVOS!$D$6:$D$41,MATCH($E2180,CADASTRO_PIVOS!$B$6:$B$41,0)),"?")</f>
        <v>TR08</v>
      </c>
      <c r="H2180" s="20" t="n">
        <f aca="false">IFERROR(INDEX(CADASTRO_PIVOS!$E$6:$E$41,MATCH($E2180,CADASTRO_PIVOS!$B$6:$B$41,0)),0)</f>
        <v>79</v>
      </c>
      <c r="I2180" s="16" t="n">
        <f aca="false">IFERROR(SUMIFS(ROTACAO_RDM!$B$6:$B$71,ROTACAO_RDM!$D$6:$D$71,$E2180,ROTACAO_RDM!$I$6:$I$71,"&lt;="&amp;$C2180+INT(DIAS_POR_SEMANA/2),ROTACAO_RDM!$J$6:$J$71,"&gt;="&amp;$C2180+INT(DIAS_POR_SEMANA/2)),0)</f>
        <v>0</v>
      </c>
      <c r="J2180" s="16" t="n">
        <f aca="false">IFERROR(MATCH($I2180,ROTACAO_RDM!$B$6:$B$71,0),0)</f>
        <v>0</v>
      </c>
      <c r="K2180" s="8" t="str">
        <f aca="false">IF($J2180=0,"SEM CULTURA",INDEX(ROTACAO_RDM!$F$6:$F$71,$J2180))</f>
        <v>SEM CULTURA</v>
      </c>
      <c r="L2180" s="8" t="str">
        <f aca="false">IF($J2180=0,"",INDEX(ROTACAO_RDM!$G$6:$G$71,$J2180))</f>
        <v/>
      </c>
      <c r="M2180" s="17" t="str">
        <f aca="false">IF($J2180=0,"",INDEX(ROTACAO_RDM!$I$6:$I$71,$J2180))</f>
        <v/>
      </c>
      <c r="N2180" s="16" t="n">
        <f aca="false">IF($J2180=0,0,MAX(0,$C2180+INT(DIAS_POR_SEMANA/2)-INDEX(ROTACAO_RDM!$I$6:$I$71,$J2180)))</f>
        <v>0</v>
      </c>
      <c r="O2180" s="19" t="n">
        <f aca="false">IF($J2180=0,0,MIN(1,$N2180/MAX(1,INDEX(ROTACAO_RDM!$K$6:$K$71,$J2180))))</f>
        <v>0</v>
      </c>
      <c r="P2180" s="16" t="n">
        <f aca="false">IF($J2180=0,0,IFERROR(MATCH(INDEX(ROTACAO_RDM!$N$6:$N$71,$J2180),PARAMETROS_CULTURAS!$B$6:$B$28,0),0))</f>
        <v>0</v>
      </c>
      <c r="Q2180" s="8" t="str">
        <f aca="false">IF($P2180=0,"-",IF($O2180&lt;=INDEX(PARAMETROS_CULTURAS!$F$6:$F$28,$P2180),"INICIAL",IF($O2180&lt;=INDEX(PARAMETROS_CULTURAS!$F$6:$F$28,$P2180)+INDEX(PARAMETROS_CULTURAS!$G$6:$G$28,$P2180),"DESENVOLVIMENTO",IF($O2180&lt;=INDEX(PARAMETROS_CULTURAS!$F$6:$F$28,$P2180)+INDEX(PARAMETROS_CULTURAS!$G$6:$G$28,$P2180)+INDEX(PARAMETROS_CULTURAS!$H$6:$H$28,$P2180),"MEDIA","FINAL"))))</f>
        <v>-</v>
      </c>
      <c r="R2180" s="24" t="n">
        <f aca="false">IF($P2180=0,0,IF($O2180&lt;=INDEX(PARAMETROS_CULTURAS!$F$6:$F$28,$P2180),INDEX(PARAMETROS_CULTURAS!$K$6:$K$28,$P2180),IF($O2180&lt;=INDEX(PARAMETROS_CULTURAS!$F$6:$F$28,$P2180)+INDEX(PARAMETROS_CULTURAS!$G$6:$G$28,$P2180),INDEX(PARAMETROS_CULTURAS!$K$6:$K$28,$P2180)+(INDEX(PARAMETROS_CULTURAS!$L$6:$L$28,$P2180)-INDEX(PARAMETROS_CULTURAS!$K$6:$K$28,$P2180))*($O2180-INDEX(PARAMETROS_CULTURAS!$F$6:$F$28,$P2180))/MAX(INDEX(PARAMETROS_CULTURAS!$G$6:$G$28,$P2180),0.0001),IF($O2180&lt;=INDEX(PARAMETROS_CULTURAS!$F$6:$F$28,$P2180)+INDEX(PARAMETROS_CULTURAS!$G$6:$G$28,$P2180)+INDEX(PARAMETROS_CULTURAS!$H$6:$H$28,$P2180),INDEX(PARAMETROS_CULTURAS!$L$6:$L$28,$P2180),INDEX(PARAMETROS_CULTURAS!$L$6:$L$28,$P2180)+(INDEX(PARAMETROS_CULTURAS!$M$6:$M$28,$P2180)-INDEX(PARAMETROS_CULTURAS!$L$6:$L$28,$P2180))*($O2180-INDEX(PARAMETROS_CULTURAS!$F$6:$F$28,$P2180)-INDEX(PARAMETROS_CULTURAS!$G$6:$G$28,$P2180)-INDEX(PARAMETROS_CULTURAS!$H$6:$H$28,$P2180))/MAX(INDEX(PARAMETROS_CULTURAS!$I$6:$I$28,$P2180),0.0001)))))</f>
        <v>0</v>
      </c>
      <c r="S2180" s="18" t="n">
        <f aca="false">IFERROR(INDEX(SEMANAS!$H$6:$H$71,MATCH($B2180,SEMANAS!$B$6:$B$71,0)),0)</f>
        <v>34.3</v>
      </c>
      <c r="T2180" s="18" t="n">
        <f aca="false">$R2180*$S2180</f>
        <v>0</v>
      </c>
      <c r="U2180" s="18" t="n">
        <f aca="false">IFERROR(INDEX(SEMANAS!$I$6:$I$71,MATCH($B2180,SEMANAS!$B$6:$B$71,0)),0)</f>
        <v>46.69</v>
      </c>
      <c r="V2180" s="18" t="n">
        <f aca="false">IFERROR(INDEX(SEMANAS!$J$6:$J$71,MATCH($B2180,SEMANAS!$B$6:$B$71,0)),0)</f>
        <v>37.352</v>
      </c>
      <c r="W2180" s="18" t="n">
        <f aca="false">MAX(0,$T2180-$V2180)</f>
        <v>0</v>
      </c>
      <c r="X2180" s="19" t="n">
        <f aca="false">IFERROR(INDEX(CADASTRO_PIVOS!$K$6:$K$41,MATCH($E2180,CADASTRO_PIVOS!$B$6:$B$41,0)),EFICIENCIA_PADRAO)</f>
        <v>0.85</v>
      </c>
      <c r="Y2180" s="18" t="n">
        <f aca="false">IF($X2180&lt;=0,0,$W2180/$X2180)</f>
        <v>0</v>
      </c>
      <c r="Z2180" s="16" t="n">
        <f aca="false">$Y2180*$H2180*MM_PARA_M3_HA</f>
        <v>0</v>
      </c>
      <c r="AA2180" s="18" t="n">
        <f aca="false">IFERROR(INDEX(CADASTRO_PIVOS!$I$6:$I$41,MATCH($E2180,CADASTRO_PIVOS!$B$6:$B$41,0)),0)</f>
        <v>526.666666666667</v>
      </c>
      <c r="AB2180" s="18" t="n">
        <f aca="false">IF($Z2180&lt;=0,0,$Z2180/$AA2180)</f>
        <v>0</v>
      </c>
      <c r="AC2180" s="16" t="n">
        <f aca="false">IFERROR(INDEX(SEMANAS!$K$6:$K$71,MATCH($B2180,SEMANAS!$B$6:$B$71,0)),0)</f>
        <v>147</v>
      </c>
      <c r="AD2180" s="19" t="n">
        <f aca="false">IF($AC2180&lt;=0,0,$AB2180/$AC2180)</f>
        <v>0</v>
      </c>
      <c r="AE2180" s="8" t="str">
        <f aca="false">IF($K2180="SEM CULTURA","SEM CULTURA",IF($AA2180&lt;=0,"DADO PENDENTE",IF($AD2180&gt;LIMITE_CRITICO,"INVIAVEL",IF($AD2180&gt;LIMITE_ATENCAO,"CRITICO",IF($AD2180&gt;LIMITE_CONFORTAVEL,"ATENCAO","OK")))))</f>
        <v>SEM CULTURA</v>
      </c>
      <c r="AF2180" s="8" t="str">
        <f aca="false">$B2180&amp;"|"&amp;TEXT($AD2180,"0.000000")</f>
        <v>63|0.000000</v>
      </c>
      <c r="AG2180" s="18" t="n">
        <f aca="false">IF($K2180="SEM CULTURA",0,$T2180*$H2180)</f>
        <v>0</v>
      </c>
      <c r="AH2180" s="18" t="n">
        <f aca="false">IF($K2180="SEM CULTURA",0,$V2180*$H2180)</f>
        <v>0</v>
      </c>
      <c r="AI2180" s="18" t="n">
        <f aca="false">IF($K2180="SEM CULTURA",0,$W2180*$H2180)</f>
        <v>0</v>
      </c>
      <c r="AJ2180" s="18" t="n">
        <f aca="false">IF($K2180="SEM CULTURA",0,$S2180*$H2180)</f>
        <v>0</v>
      </c>
      <c r="AK2180" s="8" t="str">
        <f aca="false">$E2180&amp;"|"&amp;TEXT($AD2180,"0.000000")</f>
        <v>PV 134|0.000000</v>
      </c>
    </row>
    <row r="2181" customFormat="false" ht="15" hidden="false" customHeight="false" outlineLevel="0" collapsed="false">
      <c r="B2181" s="16" t="n">
        <v>64</v>
      </c>
      <c r="C2181" s="17" t="n">
        <f aca="false">DATA_INICIO_SAFRA+($B2181-1)*DIAS_POR_SEMANA</f>
        <v>46706</v>
      </c>
      <c r="D2181" s="17" t="n">
        <f aca="false">$C2181+DIAS_POR_SEMANA-1</f>
        <v>46712</v>
      </c>
      <c r="E2181" s="15" t="s">
        <v>291</v>
      </c>
      <c r="F2181" s="8" t="str">
        <f aca="false">IFERROR(INDEX(CADASTRO_PIVOS!$C$6:$C$41,MATCH($E2181,CADASTRO_PIVOS!$B$6:$B$41,0)),"?")</f>
        <v>RM08</v>
      </c>
      <c r="G2181" s="8" t="str">
        <f aca="false">IFERROR(INDEX(CADASTRO_PIVOS!$D$6:$D$41,MATCH($E2181,CADASTRO_PIVOS!$B$6:$B$41,0)),"?")</f>
        <v>TR08</v>
      </c>
      <c r="H2181" s="20" t="n">
        <f aca="false">IFERROR(INDEX(CADASTRO_PIVOS!$E$6:$E$41,MATCH($E2181,CADASTRO_PIVOS!$B$6:$B$41,0)),0)</f>
        <v>79</v>
      </c>
      <c r="I2181" s="16" t="n">
        <f aca="false">IFERROR(SUMIFS(ROTACAO_RDM!$B$6:$B$71,ROTACAO_RDM!$D$6:$D$71,$E2181,ROTACAO_RDM!$I$6:$I$71,"&lt;="&amp;$C2181+INT(DIAS_POR_SEMANA/2),ROTACAO_RDM!$J$6:$J$71,"&gt;="&amp;$C2181+INT(DIAS_POR_SEMANA/2)),0)</f>
        <v>0</v>
      </c>
      <c r="J2181" s="16" t="n">
        <f aca="false">IFERROR(MATCH($I2181,ROTACAO_RDM!$B$6:$B$71,0),0)</f>
        <v>0</v>
      </c>
      <c r="K2181" s="8" t="str">
        <f aca="false">IF($J2181=0,"SEM CULTURA",INDEX(ROTACAO_RDM!$F$6:$F$71,$J2181))</f>
        <v>SEM CULTURA</v>
      </c>
      <c r="L2181" s="8" t="str">
        <f aca="false">IF($J2181=0,"",INDEX(ROTACAO_RDM!$G$6:$G$71,$J2181))</f>
        <v/>
      </c>
      <c r="M2181" s="17" t="str">
        <f aca="false">IF($J2181=0,"",INDEX(ROTACAO_RDM!$I$6:$I$71,$J2181))</f>
        <v/>
      </c>
      <c r="N2181" s="16" t="n">
        <f aca="false">IF($J2181=0,0,MAX(0,$C2181+INT(DIAS_POR_SEMANA/2)-INDEX(ROTACAO_RDM!$I$6:$I$71,$J2181)))</f>
        <v>0</v>
      </c>
      <c r="O2181" s="19" t="n">
        <f aca="false">IF($J2181=0,0,MIN(1,$N2181/MAX(1,INDEX(ROTACAO_RDM!$K$6:$K$71,$J2181))))</f>
        <v>0</v>
      </c>
      <c r="P2181" s="16" t="n">
        <f aca="false">IF($J2181=0,0,IFERROR(MATCH(INDEX(ROTACAO_RDM!$N$6:$N$71,$J2181),PARAMETROS_CULTURAS!$B$6:$B$28,0),0))</f>
        <v>0</v>
      </c>
      <c r="Q2181" s="8" t="str">
        <f aca="false">IF($P2181=0,"-",IF($O2181&lt;=INDEX(PARAMETROS_CULTURAS!$F$6:$F$28,$P2181),"INICIAL",IF($O2181&lt;=INDEX(PARAMETROS_CULTURAS!$F$6:$F$28,$P2181)+INDEX(PARAMETROS_CULTURAS!$G$6:$G$28,$P2181),"DESENVOLVIMENTO",IF($O2181&lt;=INDEX(PARAMETROS_CULTURAS!$F$6:$F$28,$P2181)+INDEX(PARAMETROS_CULTURAS!$G$6:$G$28,$P2181)+INDEX(PARAMETROS_CULTURAS!$H$6:$H$28,$P2181),"MEDIA","FINAL"))))</f>
        <v>-</v>
      </c>
      <c r="R2181" s="24" t="n">
        <f aca="false">IF($P2181=0,0,IF($O2181&lt;=INDEX(PARAMETROS_CULTURAS!$F$6:$F$28,$P2181),INDEX(PARAMETROS_CULTURAS!$K$6:$K$28,$P2181),IF($O2181&lt;=INDEX(PARAMETROS_CULTURAS!$F$6:$F$28,$P2181)+INDEX(PARAMETROS_CULTURAS!$G$6:$G$28,$P2181),INDEX(PARAMETROS_CULTURAS!$K$6:$K$28,$P2181)+(INDEX(PARAMETROS_CULTURAS!$L$6:$L$28,$P2181)-INDEX(PARAMETROS_CULTURAS!$K$6:$K$28,$P2181))*($O2181-INDEX(PARAMETROS_CULTURAS!$F$6:$F$28,$P2181))/MAX(INDEX(PARAMETROS_CULTURAS!$G$6:$G$28,$P2181),0.0001),IF($O2181&lt;=INDEX(PARAMETROS_CULTURAS!$F$6:$F$28,$P2181)+INDEX(PARAMETROS_CULTURAS!$G$6:$G$28,$P2181)+INDEX(PARAMETROS_CULTURAS!$H$6:$H$28,$P2181),INDEX(PARAMETROS_CULTURAS!$L$6:$L$28,$P2181),INDEX(PARAMETROS_CULTURAS!$L$6:$L$28,$P2181)+(INDEX(PARAMETROS_CULTURAS!$M$6:$M$28,$P2181)-INDEX(PARAMETROS_CULTURAS!$L$6:$L$28,$P2181))*($O2181-INDEX(PARAMETROS_CULTURAS!$F$6:$F$28,$P2181)-INDEX(PARAMETROS_CULTURAS!$G$6:$G$28,$P2181)-INDEX(PARAMETROS_CULTURAS!$H$6:$H$28,$P2181))/MAX(INDEX(PARAMETROS_CULTURAS!$I$6:$I$28,$P2181),0.0001)))))</f>
        <v>0</v>
      </c>
      <c r="S2181" s="18" t="n">
        <f aca="false">IFERROR(INDEX(SEMANAS!$H$6:$H$71,MATCH($B2181,SEMANAS!$B$6:$B$71,0)),0)</f>
        <v>34.3</v>
      </c>
      <c r="T2181" s="18" t="n">
        <f aca="false">$R2181*$S2181</f>
        <v>0</v>
      </c>
      <c r="U2181" s="18" t="n">
        <f aca="false">IFERROR(INDEX(SEMANAS!$I$6:$I$71,MATCH($B2181,SEMANAS!$B$6:$B$71,0)),0)</f>
        <v>46.69</v>
      </c>
      <c r="V2181" s="18" t="n">
        <f aca="false">IFERROR(INDEX(SEMANAS!$J$6:$J$71,MATCH($B2181,SEMANAS!$B$6:$B$71,0)),0)</f>
        <v>37.352</v>
      </c>
      <c r="W2181" s="18" t="n">
        <f aca="false">MAX(0,$T2181-$V2181)</f>
        <v>0</v>
      </c>
      <c r="X2181" s="19" t="n">
        <f aca="false">IFERROR(INDEX(CADASTRO_PIVOS!$K$6:$K$41,MATCH($E2181,CADASTRO_PIVOS!$B$6:$B$41,0)),EFICIENCIA_PADRAO)</f>
        <v>0.85</v>
      </c>
      <c r="Y2181" s="18" t="n">
        <f aca="false">IF($X2181&lt;=0,0,$W2181/$X2181)</f>
        <v>0</v>
      </c>
      <c r="Z2181" s="16" t="n">
        <f aca="false">$Y2181*$H2181*MM_PARA_M3_HA</f>
        <v>0</v>
      </c>
      <c r="AA2181" s="18" t="n">
        <f aca="false">IFERROR(INDEX(CADASTRO_PIVOS!$I$6:$I$41,MATCH($E2181,CADASTRO_PIVOS!$B$6:$B$41,0)),0)</f>
        <v>526.666666666667</v>
      </c>
      <c r="AB2181" s="18" t="n">
        <f aca="false">IF($Z2181&lt;=0,0,$Z2181/$AA2181)</f>
        <v>0</v>
      </c>
      <c r="AC2181" s="16" t="n">
        <f aca="false">IFERROR(INDEX(SEMANAS!$K$6:$K$71,MATCH($B2181,SEMANAS!$B$6:$B$71,0)),0)</f>
        <v>147</v>
      </c>
      <c r="AD2181" s="19" t="n">
        <f aca="false">IF($AC2181&lt;=0,0,$AB2181/$AC2181)</f>
        <v>0</v>
      </c>
      <c r="AE2181" s="8" t="str">
        <f aca="false">IF($K2181="SEM CULTURA","SEM CULTURA",IF($AA2181&lt;=0,"DADO PENDENTE",IF($AD2181&gt;LIMITE_CRITICO,"INVIAVEL",IF($AD2181&gt;LIMITE_ATENCAO,"CRITICO",IF($AD2181&gt;LIMITE_CONFORTAVEL,"ATENCAO","OK")))))</f>
        <v>SEM CULTURA</v>
      </c>
      <c r="AF2181" s="8" t="str">
        <f aca="false">$B2181&amp;"|"&amp;TEXT($AD2181,"0.000000")</f>
        <v>64|0.000000</v>
      </c>
      <c r="AG2181" s="18" t="n">
        <f aca="false">IF($K2181="SEM CULTURA",0,$T2181*$H2181)</f>
        <v>0</v>
      </c>
      <c r="AH2181" s="18" t="n">
        <f aca="false">IF($K2181="SEM CULTURA",0,$V2181*$H2181)</f>
        <v>0</v>
      </c>
      <c r="AI2181" s="18" t="n">
        <f aca="false">IF($K2181="SEM CULTURA",0,$W2181*$H2181)</f>
        <v>0</v>
      </c>
      <c r="AJ2181" s="18" t="n">
        <f aca="false">IF($K2181="SEM CULTURA",0,$S2181*$H2181)</f>
        <v>0</v>
      </c>
      <c r="AK2181" s="8" t="str">
        <f aca="false">$E2181&amp;"|"&amp;TEXT($AD2181,"0.000000")</f>
        <v>PV 134|0.000000</v>
      </c>
    </row>
    <row r="2182" customFormat="false" ht="15" hidden="false" customHeight="false" outlineLevel="0" collapsed="false">
      <c r="B2182" s="16" t="n">
        <v>65</v>
      </c>
      <c r="C2182" s="17" t="n">
        <f aca="false">DATA_INICIO_SAFRA+($B2182-1)*DIAS_POR_SEMANA</f>
        <v>46713</v>
      </c>
      <c r="D2182" s="17" t="n">
        <f aca="false">$C2182+DIAS_POR_SEMANA-1</f>
        <v>46719</v>
      </c>
      <c r="E2182" s="15" t="s">
        <v>291</v>
      </c>
      <c r="F2182" s="8" t="str">
        <f aca="false">IFERROR(INDEX(CADASTRO_PIVOS!$C$6:$C$41,MATCH($E2182,CADASTRO_PIVOS!$B$6:$B$41,0)),"?")</f>
        <v>RM08</v>
      </c>
      <c r="G2182" s="8" t="str">
        <f aca="false">IFERROR(INDEX(CADASTRO_PIVOS!$D$6:$D$41,MATCH($E2182,CADASTRO_PIVOS!$B$6:$B$41,0)),"?")</f>
        <v>TR08</v>
      </c>
      <c r="H2182" s="20" t="n">
        <f aca="false">IFERROR(INDEX(CADASTRO_PIVOS!$E$6:$E$41,MATCH($E2182,CADASTRO_PIVOS!$B$6:$B$41,0)),0)</f>
        <v>79</v>
      </c>
      <c r="I2182" s="16" t="n">
        <f aca="false">IFERROR(SUMIFS(ROTACAO_RDM!$B$6:$B$71,ROTACAO_RDM!$D$6:$D$71,$E2182,ROTACAO_RDM!$I$6:$I$71,"&lt;="&amp;$C2182+INT(DIAS_POR_SEMANA/2),ROTACAO_RDM!$J$6:$J$71,"&gt;="&amp;$C2182+INT(DIAS_POR_SEMANA/2)),0)</f>
        <v>0</v>
      </c>
      <c r="J2182" s="16" t="n">
        <f aca="false">IFERROR(MATCH($I2182,ROTACAO_RDM!$B$6:$B$71,0),0)</f>
        <v>0</v>
      </c>
      <c r="K2182" s="8" t="str">
        <f aca="false">IF($J2182=0,"SEM CULTURA",INDEX(ROTACAO_RDM!$F$6:$F$71,$J2182))</f>
        <v>SEM CULTURA</v>
      </c>
      <c r="L2182" s="8" t="str">
        <f aca="false">IF($J2182=0,"",INDEX(ROTACAO_RDM!$G$6:$G$71,$J2182))</f>
        <v/>
      </c>
      <c r="M2182" s="17" t="str">
        <f aca="false">IF($J2182=0,"",INDEX(ROTACAO_RDM!$I$6:$I$71,$J2182))</f>
        <v/>
      </c>
      <c r="N2182" s="16" t="n">
        <f aca="false">IF($J2182=0,0,MAX(0,$C2182+INT(DIAS_POR_SEMANA/2)-INDEX(ROTACAO_RDM!$I$6:$I$71,$J2182)))</f>
        <v>0</v>
      </c>
      <c r="O2182" s="19" t="n">
        <f aca="false">IF($J2182=0,0,MIN(1,$N2182/MAX(1,INDEX(ROTACAO_RDM!$K$6:$K$71,$J2182))))</f>
        <v>0</v>
      </c>
      <c r="P2182" s="16" t="n">
        <f aca="false">IF($J2182=0,0,IFERROR(MATCH(INDEX(ROTACAO_RDM!$N$6:$N$71,$J2182),PARAMETROS_CULTURAS!$B$6:$B$28,0),0))</f>
        <v>0</v>
      </c>
      <c r="Q2182" s="8" t="str">
        <f aca="false">IF($P2182=0,"-",IF($O2182&lt;=INDEX(PARAMETROS_CULTURAS!$F$6:$F$28,$P2182),"INICIAL",IF($O2182&lt;=INDEX(PARAMETROS_CULTURAS!$F$6:$F$28,$P2182)+INDEX(PARAMETROS_CULTURAS!$G$6:$G$28,$P2182),"DESENVOLVIMENTO",IF($O2182&lt;=INDEX(PARAMETROS_CULTURAS!$F$6:$F$28,$P2182)+INDEX(PARAMETROS_CULTURAS!$G$6:$G$28,$P2182)+INDEX(PARAMETROS_CULTURAS!$H$6:$H$28,$P2182),"MEDIA","FINAL"))))</f>
        <v>-</v>
      </c>
      <c r="R2182" s="24" t="n">
        <f aca="false">IF($P2182=0,0,IF($O2182&lt;=INDEX(PARAMETROS_CULTURAS!$F$6:$F$28,$P2182),INDEX(PARAMETROS_CULTURAS!$K$6:$K$28,$P2182),IF($O2182&lt;=INDEX(PARAMETROS_CULTURAS!$F$6:$F$28,$P2182)+INDEX(PARAMETROS_CULTURAS!$G$6:$G$28,$P2182),INDEX(PARAMETROS_CULTURAS!$K$6:$K$28,$P2182)+(INDEX(PARAMETROS_CULTURAS!$L$6:$L$28,$P2182)-INDEX(PARAMETROS_CULTURAS!$K$6:$K$28,$P2182))*($O2182-INDEX(PARAMETROS_CULTURAS!$F$6:$F$28,$P2182))/MAX(INDEX(PARAMETROS_CULTURAS!$G$6:$G$28,$P2182),0.0001),IF($O2182&lt;=INDEX(PARAMETROS_CULTURAS!$F$6:$F$28,$P2182)+INDEX(PARAMETROS_CULTURAS!$G$6:$G$28,$P2182)+INDEX(PARAMETROS_CULTURAS!$H$6:$H$28,$P2182),INDEX(PARAMETROS_CULTURAS!$L$6:$L$28,$P2182),INDEX(PARAMETROS_CULTURAS!$L$6:$L$28,$P2182)+(INDEX(PARAMETROS_CULTURAS!$M$6:$M$28,$P2182)-INDEX(PARAMETROS_CULTURAS!$L$6:$L$28,$P2182))*($O2182-INDEX(PARAMETROS_CULTURAS!$F$6:$F$28,$P2182)-INDEX(PARAMETROS_CULTURAS!$G$6:$G$28,$P2182)-INDEX(PARAMETROS_CULTURAS!$H$6:$H$28,$P2182))/MAX(INDEX(PARAMETROS_CULTURAS!$I$6:$I$28,$P2182),0.0001)))))</f>
        <v>0</v>
      </c>
      <c r="S2182" s="18" t="n">
        <f aca="false">IFERROR(INDEX(SEMANAS!$H$6:$H$71,MATCH($B2182,SEMANAS!$B$6:$B$71,0)),0)</f>
        <v>34.3</v>
      </c>
      <c r="T2182" s="18" t="n">
        <f aca="false">$R2182*$S2182</f>
        <v>0</v>
      </c>
      <c r="U2182" s="18" t="n">
        <f aca="false">IFERROR(INDEX(SEMANAS!$I$6:$I$71,MATCH($B2182,SEMANAS!$B$6:$B$71,0)),0)</f>
        <v>46.69</v>
      </c>
      <c r="V2182" s="18" t="n">
        <f aca="false">IFERROR(INDEX(SEMANAS!$J$6:$J$71,MATCH($B2182,SEMANAS!$B$6:$B$71,0)),0)</f>
        <v>37.352</v>
      </c>
      <c r="W2182" s="18" t="n">
        <f aca="false">MAX(0,$T2182-$V2182)</f>
        <v>0</v>
      </c>
      <c r="X2182" s="19" t="n">
        <f aca="false">IFERROR(INDEX(CADASTRO_PIVOS!$K$6:$K$41,MATCH($E2182,CADASTRO_PIVOS!$B$6:$B$41,0)),EFICIENCIA_PADRAO)</f>
        <v>0.85</v>
      </c>
      <c r="Y2182" s="18" t="n">
        <f aca="false">IF($X2182&lt;=0,0,$W2182/$X2182)</f>
        <v>0</v>
      </c>
      <c r="Z2182" s="16" t="n">
        <f aca="false">$Y2182*$H2182*MM_PARA_M3_HA</f>
        <v>0</v>
      </c>
      <c r="AA2182" s="18" t="n">
        <f aca="false">IFERROR(INDEX(CADASTRO_PIVOS!$I$6:$I$41,MATCH($E2182,CADASTRO_PIVOS!$B$6:$B$41,0)),0)</f>
        <v>526.666666666667</v>
      </c>
      <c r="AB2182" s="18" t="n">
        <f aca="false">IF($Z2182&lt;=0,0,$Z2182/$AA2182)</f>
        <v>0</v>
      </c>
      <c r="AC2182" s="16" t="n">
        <f aca="false">IFERROR(INDEX(SEMANAS!$K$6:$K$71,MATCH($B2182,SEMANAS!$B$6:$B$71,0)),0)</f>
        <v>147</v>
      </c>
      <c r="AD2182" s="19" t="n">
        <f aca="false">IF($AC2182&lt;=0,0,$AB2182/$AC2182)</f>
        <v>0</v>
      </c>
      <c r="AE2182" s="8" t="str">
        <f aca="false">IF($K2182="SEM CULTURA","SEM CULTURA",IF($AA2182&lt;=0,"DADO PENDENTE",IF($AD2182&gt;LIMITE_CRITICO,"INVIAVEL",IF($AD2182&gt;LIMITE_ATENCAO,"CRITICO",IF($AD2182&gt;LIMITE_CONFORTAVEL,"ATENCAO","OK")))))</f>
        <v>SEM CULTURA</v>
      </c>
      <c r="AF2182" s="8" t="str">
        <f aca="false">$B2182&amp;"|"&amp;TEXT($AD2182,"0.000000")</f>
        <v>65|0.000000</v>
      </c>
      <c r="AG2182" s="18" t="n">
        <f aca="false">IF($K2182="SEM CULTURA",0,$T2182*$H2182)</f>
        <v>0</v>
      </c>
      <c r="AH2182" s="18" t="n">
        <f aca="false">IF($K2182="SEM CULTURA",0,$V2182*$H2182)</f>
        <v>0</v>
      </c>
      <c r="AI2182" s="18" t="n">
        <f aca="false">IF($K2182="SEM CULTURA",0,$W2182*$H2182)</f>
        <v>0</v>
      </c>
      <c r="AJ2182" s="18" t="n">
        <f aca="false">IF($K2182="SEM CULTURA",0,$S2182*$H2182)</f>
        <v>0</v>
      </c>
      <c r="AK2182" s="8" t="str">
        <f aca="false">$E2182&amp;"|"&amp;TEXT($AD2182,"0.000000")</f>
        <v>PV 134|0.000000</v>
      </c>
    </row>
    <row r="2183" customFormat="false" ht="15" hidden="false" customHeight="false" outlineLevel="0" collapsed="false">
      <c r="B2183" s="16" t="n">
        <v>66</v>
      </c>
      <c r="C2183" s="17" t="n">
        <f aca="false">DATA_INICIO_SAFRA+($B2183-1)*DIAS_POR_SEMANA</f>
        <v>46720</v>
      </c>
      <c r="D2183" s="17" t="n">
        <f aca="false">$C2183+DIAS_POR_SEMANA-1</f>
        <v>46726</v>
      </c>
      <c r="E2183" s="15" t="s">
        <v>291</v>
      </c>
      <c r="F2183" s="8" t="str">
        <f aca="false">IFERROR(INDEX(CADASTRO_PIVOS!$C$6:$C$41,MATCH($E2183,CADASTRO_PIVOS!$B$6:$B$41,0)),"?")</f>
        <v>RM08</v>
      </c>
      <c r="G2183" s="8" t="str">
        <f aca="false">IFERROR(INDEX(CADASTRO_PIVOS!$D$6:$D$41,MATCH($E2183,CADASTRO_PIVOS!$B$6:$B$41,0)),"?")</f>
        <v>TR08</v>
      </c>
      <c r="H2183" s="20" t="n">
        <f aca="false">IFERROR(INDEX(CADASTRO_PIVOS!$E$6:$E$41,MATCH($E2183,CADASTRO_PIVOS!$B$6:$B$41,0)),0)</f>
        <v>79</v>
      </c>
      <c r="I2183" s="16" t="n">
        <f aca="false">IFERROR(SUMIFS(ROTACAO_RDM!$B$6:$B$71,ROTACAO_RDM!$D$6:$D$71,$E2183,ROTACAO_RDM!$I$6:$I$71,"&lt;="&amp;$C2183+INT(DIAS_POR_SEMANA/2),ROTACAO_RDM!$J$6:$J$71,"&gt;="&amp;$C2183+INT(DIAS_POR_SEMANA/2)),0)</f>
        <v>0</v>
      </c>
      <c r="J2183" s="16" t="n">
        <f aca="false">IFERROR(MATCH($I2183,ROTACAO_RDM!$B$6:$B$71,0),0)</f>
        <v>0</v>
      </c>
      <c r="K2183" s="8" t="str">
        <f aca="false">IF($J2183=0,"SEM CULTURA",INDEX(ROTACAO_RDM!$F$6:$F$71,$J2183))</f>
        <v>SEM CULTURA</v>
      </c>
      <c r="L2183" s="8" t="str">
        <f aca="false">IF($J2183=0,"",INDEX(ROTACAO_RDM!$G$6:$G$71,$J2183))</f>
        <v/>
      </c>
      <c r="M2183" s="17" t="str">
        <f aca="false">IF($J2183=0,"",INDEX(ROTACAO_RDM!$I$6:$I$71,$J2183))</f>
        <v/>
      </c>
      <c r="N2183" s="16" t="n">
        <f aca="false">IF($J2183=0,0,MAX(0,$C2183+INT(DIAS_POR_SEMANA/2)-INDEX(ROTACAO_RDM!$I$6:$I$71,$J2183)))</f>
        <v>0</v>
      </c>
      <c r="O2183" s="19" t="n">
        <f aca="false">IF($J2183=0,0,MIN(1,$N2183/MAX(1,INDEX(ROTACAO_RDM!$K$6:$K$71,$J2183))))</f>
        <v>0</v>
      </c>
      <c r="P2183" s="16" t="n">
        <f aca="false">IF($J2183=0,0,IFERROR(MATCH(INDEX(ROTACAO_RDM!$N$6:$N$71,$J2183),PARAMETROS_CULTURAS!$B$6:$B$28,0),0))</f>
        <v>0</v>
      </c>
      <c r="Q2183" s="8" t="str">
        <f aca="false">IF($P2183=0,"-",IF($O2183&lt;=INDEX(PARAMETROS_CULTURAS!$F$6:$F$28,$P2183),"INICIAL",IF($O2183&lt;=INDEX(PARAMETROS_CULTURAS!$F$6:$F$28,$P2183)+INDEX(PARAMETROS_CULTURAS!$G$6:$G$28,$P2183),"DESENVOLVIMENTO",IF($O2183&lt;=INDEX(PARAMETROS_CULTURAS!$F$6:$F$28,$P2183)+INDEX(PARAMETROS_CULTURAS!$G$6:$G$28,$P2183)+INDEX(PARAMETROS_CULTURAS!$H$6:$H$28,$P2183),"MEDIA","FINAL"))))</f>
        <v>-</v>
      </c>
      <c r="R2183" s="24" t="n">
        <f aca="false">IF($P2183=0,0,IF($O2183&lt;=INDEX(PARAMETROS_CULTURAS!$F$6:$F$28,$P2183),INDEX(PARAMETROS_CULTURAS!$K$6:$K$28,$P2183),IF($O2183&lt;=INDEX(PARAMETROS_CULTURAS!$F$6:$F$28,$P2183)+INDEX(PARAMETROS_CULTURAS!$G$6:$G$28,$P2183),INDEX(PARAMETROS_CULTURAS!$K$6:$K$28,$P2183)+(INDEX(PARAMETROS_CULTURAS!$L$6:$L$28,$P2183)-INDEX(PARAMETROS_CULTURAS!$K$6:$K$28,$P2183))*($O2183-INDEX(PARAMETROS_CULTURAS!$F$6:$F$28,$P2183))/MAX(INDEX(PARAMETROS_CULTURAS!$G$6:$G$28,$P2183),0.0001),IF($O2183&lt;=INDEX(PARAMETROS_CULTURAS!$F$6:$F$28,$P2183)+INDEX(PARAMETROS_CULTURAS!$G$6:$G$28,$P2183)+INDEX(PARAMETROS_CULTURAS!$H$6:$H$28,$P2183),INDEX(PARAMETROS_CULTURAS!$L$6:$L$28,$P2183),INDEX(PARAMETROS_CULTURAS!$L$6:$L$28,$P2183)+(INDEX(PARAMETROS_CULTURAS!$M$6:$M$28,$P2183)-INDEX(PARAMETROS_CULTURAS!$L$6:$L$28,$P2183))*($O2183-INDEX(PARAMETROS_CULTURAS!$F$6:$F$28,$P2183)-INDEX(PARAMETROS_CULTURAS!$G$6:$G$28,$P2183)-INDEX(PARAMETROS_CULTURAS!$H$6:$H$28,$P2183))/MAX(INDEX(PARAMETROS_CULTURAS!$I$6:$I$28,$P2183),0.0001)))))</f>
        <v>0</v>
      </c>
      <c r="S2183" s="18" t="n">
        <f aca="false">IFERROR(INDEX(SEMANAS!$H$6:$H$71,MATCH($B2183,SEMANAS!$B$6:$B$71,0)),0)</f>
        <v>33.3</v>
      </c>
      <c r="T2183" s="18" t="n">
        <f aca="false">$R2183*$S2183</f>
        <v>0</v>
      </c>
      <c r="U2183" s="18" t="n">
        <f aca="false">IFERROR(INDEX(SEMANAS!$I$6:$I$71,MATCH($B2183,SEMANAS!$B$6:$B$71,0)),0)</f>
        <v>48.04</v>
      </c>
      <c r="V2183" s="18" t="n">
        <f aca="false">IFERROR(INDEX(SEMANAS!$J$6:$J$71,MATCH($B2183,SEMANAS!$B$6:$B$71,0)),0)</f>
        <v>38.432</v>
      </c>
      <c r="W2183" s="18" t="n">
        <f aca="false">MAX(0,$T2183-$V2183)</f>
        <v>0</v>
      </c>
      <c r="X2183" s="19" t="n">
        <f aca="false">IFERROR(INDEX(CADASTRO_PIVOS!$K$6:$K$41,MATCH($E2183,CADASTRO_PIVOS!$B$6:$B$41,0)),EFICIENCIA_PADRAO)</f>
        <v>0.85</v>
      </c>
      <c r="Y2183" s="18" t="n">
        <f aca="false">IF($X2183&lt;=0,0,$W2183/$X2183)</f>
        <v>0</v>
      </c>
      <c r="Z2183" s="16" t="n">
        <f aca="false">$Y2183*$H2183*MM_PARA_M3_HA</f>
        <v>0</v>
      </c>
      <c r="AA2183" s="18" t="n">
        <f aca="false">IFERROR(INDEX(CADASTRO_PIVOS!$I$6:$I$41,MATCH($E2183,CADASTRO_PIVOS!$B$6:$B$41,0)),0)</f>
        <v>526.666666666667</v>
      </c>
      <c r="AB2183" s="18" t="n">
        <f aca="false">IF($Z2183&lt;=0,0,$Z2183/$AA2183)</f>
        <v>0</v>
      </c>
      <c r="AC2183" s="16" t="n">
        <f aca="false">IFERROR(INDEX(SEMANAS!$K$6:$K$71,MATCH($B2183,SEMANAS!$B$6:$B$71,0)),0)</f>
        <v>147</v>
      </c>
      <c r="AD2183" s="19" t="n">
        <f aca="false">IF($AC2183&lt;=0,0,$AB2183/$AC2183)</f>
        <v>0</v>
      </c>
      <c r="AE2183" s="8" t="str">
        <f aca="false">IF($K2183="SEM CULTURA","SEM CULTURA",IF($AA2183&lt;=0,"DADO PENDENTE",IF($AD2183&gt;LIMITE_CRITICO,"INVIAVEL",IF($AD2183&gt;LIMITE_ATENCAO,"CRITICO",IF($AD2183&gt;LIMITE_CONFORTAVEL,"ATENCAO","OK")))))</f>
        <v>SEM CULTURA</v>
      </c>
      <c r="AF2183" s="8" t="str">
        <f aca="false">$B2183&amp;"|"&amp;TEXT($AD2183,"0.000000")</f>
        <v>66|0.000000</v>
      </c>
      <c r="AG2183" s="18" t="n">
        <f aca="false">IF($K2183="SEM CULTURA",0,$T2183*$H2183)</f>
        <v>0</v>
      </c>
      <c r="AH2183" s="18" t="n">
        <f aca="false">IF($K2183="SEM CULTURA",0,$V2183*$H2183)</f>
        <v>0</v>
      </c>
      <c r="AI2183" s="18" t="n">
        <f aca="false">IF($K2183="SEM CULTURA",0,$W2183*$H2183)</f>
        <v>0</v>
      </c>
      <c r="AJ2183" s="18" t="n">
        <f aca="false">IF($K2183="SEM CULTURA",0,$S2183*$H2183)</f>
        <v>0</v>
      </c>
      <c r="AK2183" s="8" t="str">
        <f aca="false">$E2183&amp;"|"&amp;TEXT($AD2183,"0.000000")</f>
        <v>PV 134|0.000000</v>
      </c>
    </row>
    <row r="2184" customFormat="false" ht="15" hidden="false" customHeight="false" outlineLevel="0" collapsed="false">
      <c r="B2184" s="16" t="n">
        <v>1</v>
      </c>
      <c r="C2184" s="17" t="n">
        <f aca="false">DATA_INICIO_SAFRA+($B2184-1)*DIAS_POR_SEMANA</f>
        <v>46265</v>
      </c>
      <c r="D2184" s="17" t="n">
        <f aca="false">$C2184+DIAS_POR_SEMANA-1</f>
        <v>46271</v>
      </c>
      <c r="E2184" s="15" t="s">
        <v>292</v>
      </c>
      <c r="F2184" s="8" t="str">
        <f aca="false">IFERROR(INDEX(CADASTRO_PIVOS!$C$6:$C$41,MATCH($E2184,CADASTRO_PIVOS!$B$6:$B$41,0)),"?")</f>
        <v>RM08</v>
      </c>
      <c r="G2184" s="8" t="str">
        <f aca="false">IFERROR(INDEX(CADASTRO_PIVOS!$D$6:$D$41,MATCH($E2184,CADASTRO_PIVOS!$B$6:$B$41,0)),"?")</f>
        <v>TR08</v>
      </c>
      <c r="H2184" s="20" t="n">
        <f aca="false">IFERROR(INDEX(CADASTRO_PIVOS!$E$6:$E$41,MATCH($E2184,CADASTRO_PIVOS!$B$6:$B$41,0)),0)</f>
        <v>64</v>
      </c>
      <c r="I2184" s="16" t="n">
        <f aca="false">IFERROR(SUMIFS(ROTACAO_RDM!$B$6:$B$71,ROTACAO_RDM!$D$6:$D$71,$E2184,ROTACAO_RDM!$I$6:$I$71,"&lt;="&amp;$C2184+INT(DIAS_POR_SEMANA/2),ROTACAO_RDM!$J$6:$J$71,"&gt;="&amp;$C2184+INT(DIAS_POR_SEMANA/2)),0)</f>
        <v>0</v>
      </c>
      <c r="J2184" s="16" t="n">
        <f aca="false">IFERROR(MATCH($I2184,ROTACAO_RDM!$B$6:$B$71,0),0)</f>
        <v>0</v>
      </c>
      <c r="K2184" s="8" t="str">
        <f aca="false">IF($J2184=0,"SEM CULTURA",INDEX(ROTACAO_RDM!$F$6:$F$71,$J2184))</f>
        <v>SEM CULTURA</v>
      </c>
      <c r="L2184" s="8" t="str">
        <f aca="false">IF($J2184=0,"",INDEX(ROTACAO_RDM!$G$6:$G$71,$J2184))</f>
        <v/>
      </c>
      <c r="M2184" s="17" t="str">
        <f aca="false">IF($J2184=0,"",INDEX(ROTACAO_RDM!$I$6:$I$71,$J2184))</f>
        <v/>
      </c>
      <c r="N2184" s="16" t="n">
        <f aca="false">IF($J2184=0,0,MAX(0,$C2184+INT(DIAS_POR_SEMANA/2)-INDEX(ROTACAO_RDM!$I$6:$I$71,$J2184)))</f>
        <v>0</v>
      </c>
      <c r="O2184" s="19" t="n">
        <f aca="false">IF($J2184=0,0,MIN(1,$N2184/MAX(1,INDEX(ROTACAO_RDM!$K$6:$K$71,$J2184))))</f>
        <v>0</v>
      </c>
      <c r="P2184" s="16" t="n">
        <f aca="false">IF($J2184=0,0,IFERROR(MATCH(INDEX(ROTACAO_RDM!$N$6:$N$71,$J2184),PARAMETROS_CULTURAS!$B$6:$B$28,0),0))</f>
        <v>0</v>
      </c>
      <c r="Q2184" s="8" t="str">
        <f aca="false">IF($P2184=0,"-",IF($O2184&lt;=INDEX(PARAMETROS_CULTURAS!$F$6:$F$28,$P2184),"INICIAL",IF($O2184&lt;=INDEX(PARAMETROS_CULTURAS!$F$6:$F$28,$P2184)+INDEX(PARAMETROS_CULTURAS!$G$6:$G$28,$P2184),"DESENVOLVIMENTO",IF($O2184&lt;=INDEX(PARAMETROS_CULTURAS!$F$6:$F$28,$P2184)+INDEX(PARAMETROS_CULTURAS!$G$6:$G$28,$P2184)+INDEX(PARAMETROS_CULTURAS!$H$6:$H$28,$P2184),"MEDIA","FINAL"))))</f>
        <v>-</v>
      </c>
      <c r="R2184" s="24" t="n">
        <f aca="false">IF($P2184=0,0,IF($O2184&lt;=INDEX(PARAMETROS_CULTURAS!$F$6:$F$28,$P2184),INDEX(PARAMETROS_CULTURAS!$K$6:$K$28,$P2184),IF($O2184&lt;=INDEX(PARAMETROS_CULTURAS!$F$6:$F$28,$P2184)+INDEX(PARAMETROS_CULTURAS!$G$6:$G$28,$P2184),INDEX(PARAMETROS_CULTURAS!$K$6:$K$28,$P2184)+(INDEX(PARAMETROS_CULTURAS!$L$6:$L$28,$P2184)-INDEX(PARAMETROS_CULTURAS!$K$6:$K$28,$P2184))*($O2184-INDEX(PARAMETROS_CULTURAS!$F$6:$F$28,$P2184))/MAX(INDEX(PARAMETROS_CULTURAS!$G$6:$G$28,$P2184),0.0001),IF($O2184&lt;=INDEX(PARAMETROS_CULTURAS!$F$6:$F$28,$P2184)+INDEX(PARAMETROS_CULTURAS!$G$6:$G$28,$P2184)+INDEX(PARAMETROS_CULTURAS!$H$6:$H$28,$P2184),INDEX(PARAMETROS_CULTURAS!$L$6:$L$28,$P2184),INDEX(PARAMETROS_CULTURAS!$L$6:$L$28,$P2184)+(INDEX(PARAMETROS_CULTURAS!$M$6:$M$28,$P2184)-INDEX(PARAMETROS_CULTURAS!$L$6:$L$28,$P2184))*($O2184-INDEX(PARAMETROS_CULTURAS!$F$6:$F$28,$P2184)-INDEX(PARAMETROS_CULTURAS!$G$6:$G$28,$P2184)-INDEX(PARAMETROS_CULTURAS!$H$6:$H$28,$P2184))/MAX(INDEX(PARAMETROS_CULTURAS!$I$6:$I$28,$P2184),0.0001)))))</f>
        <v>0</v>
      </c>
      <c r="S2184" s="18" t="n">
        <f aca="false">IFERROR(INDEX(SEMANAS!$H$6:$H$71,MATCH($B2184,SEMANAS!$B$6:$B$71,0)),0)</f>
        <v>40</v>
      </c>
      <c r="T2184" s="18" t="n">
        <f aca="false">$R2184*$S2184</f>
        <v>0</v>
      </c>
      <c r="U2184" s="18" t="n">
        <f aca="false">IFERROR(INDEX(SEMANAS!$I$6:$I$71,MATCH($B2184,SEMANAS!$B$6:$B$71,0)),0)</f>
        <v>6.16</v>
      </c>
      <c r="V2184" s="18" t="n">
        <f aca="false">IFERROR(INDEX(SEMANAS!$J$6:$J$71,MATCH($B2184,SEMANAS!$B$6:$B$71,0)),0)</f>
        <v>4.928</v>
      </c>
      <c r="W2184" s="18" t="n">
        <f aca="false">MAX(0,$T2184-$V2184)</f>
        <v>0</v>
      </c>
      <c r="X2184" s="19" t="n">
        <f aca="false">IFERROR(INDEX(CADASTRO_PIVOS!$K$6:$K$41,MATCH($E2184,CADASTRO_PIVOS!$B$6:$B$41,0)),EFICIENCIA_PADRAO)</f>
        <v>0.85</v>
      </c>
      <c r="Y2184" s="18" t="n">
        <f aca="false">IF($X2184&lt;=0,0,$W2184/$X2184)</f>
        <v>0</v>
      </c>
      <c r="Z2184" s="16" t="n">
        <f aca="false">$Y2184*$H2184*MM_PARA_M3_HA</f>
        <v>0</v>
      </c>
      <c r="AA2184" s="18" t="n">
        <f aca="false">IFERROR(INDEX(CADASTRO_PIVOS!$I$6:$I$41,MATCH($E2184,CADASTRO_PIVOS!$B$6:$B$41,0)),0)</f>
        <v>457.142857142857</v>
      </c>
      <c r="AB2184" s="18" t="n">
        <f aca="false">IF($Z2184&lt;=0,0,$Z2184/$AA2184)</f>
        <v>0</v>
      </c>
      <c r="AC2184" s="16" t="n">
        <f aca="false">IFERROR(INDEX(SEMANAS!$K$6:$K$71,MATCH($B2184,SEMANAS!$B$6:$B$71,0)),0)</f>
        <v>147</v>
      </c>
      <c r="AD2184" s="19" t="n">
        <f aca="false">IF($AC2184&lt;=0,0,$AB2184/$AC2184)</f>
        <v>0</v>
      </c>
      <c r="AE2184" s="8" t="str">
        <f aca="false">IF($K2184="SEM CULTURA","SEM CULTURA",IF($AA2184&lt;=0,"DADO PENDENTE",IF($AD2184&gt;LIMITE_CRITICO,"INVIAVEL",IF($AD2184&gt;LIMITE_ATENCAO,"CRITICO",IF($AD2184&gt;LIMITE_CONFORTAVEL,"ATENCAO","OK")))))</f>
        <v>SEM CULTURA</v>
      </c>
      <c r="AF2184" s="8" t="str">
        <f aca="false">$B2184&amp;"|"&amp;TEXT($AD2184,"0.000000")</f>
        <v>1|0.000000</v>
      </c>
      <c r="AG2184" s="18" t="n">
        <f aca="false">IF($K2184="SEM CULTURA",0,$T2184*$H2184)</f>
        <v>0</v>
      </c>
      <c r="AH2184" s="18" t="n">
        <f aca="false">IF($K2184="SEM CULTURA",0,$V2184*$H2184)</f>
        <v>0</v>
      </c>
      <c r="AI2184" s="18" t="n">
        <f aca="false">IF($K2184="SEM CULTURA",0,$W2184*$H2184)</f>
        <v>0</v>
      </c>
      <c r="AJ2184" s="18" t="n">
        <f aca="false">IF($K2184="SEM CULTURA",0,$S2184*$H2184)</f>
        <v>0</v>
      </c>
      <c r="AK2184" s="8" t="str">
        <f aca="false">$E2184&amp;"|"&amp;TEXT($AD2184,"0.000000")</f>
        <v>PV 135|0.000000</v>
      </c>
    </row>
    <row r="2185" customFormat="false" ht="15" hidden="false" customHeight="false" outlineLevel="0" collapsed="false">
      <c r="B2185" s="16" t="n">
        <v>2</v>
      </c>
      <c r="C2185" s="17" t="n">
        <f aca="false">DATA_INICIO_SAFRA+($B2185-1)*DIAS_POR_SEMANA</f>
        <v>46272</v>
      </c>
      <c r="D2185" s="17" t="n">
        <f aca="false">$C2185+DIAS_POR_SEMANA-1</f>
        <v>46278</v>
      </c>
      <c r="E2185" s="15" t="s">
        <v>292</v>
      </c>
      <c r="F2185" s="8" t="str">
        <f aca="false">IFERROR(INDEX(CADASTRO_PIVOS!$C$6:$C$41,MATCH($E2185,CADASTRO_PIVOS!$B$6:$B$41,0)),"?")</f>
        <v>RM08</v>
      </c>
      <c r="G2185" s="8" t="str">
        <f aca="false">IFERROR(INDEX(CADASTRO_PIVOS!$D$6:$D$41,MATCH($E2185,CADASTRO_PIVOS!$B$6:$B$41,0)),"?")</f>
        <v>TR08</v>
      </c>
      <c r="H2185" s="20" t="n">
        <f aca="false">IFERROR(INDEX(CADASTRO_PIVOS!$E$6:$E$41,MATCH($E2185,CADASTRO_PIVOS!$B$6:$B$41,0)),0)</f>
        <v>64</v>
      </c>
      <c r="I2185" s="16" t="n">
        <f aca="false">IFERROR(SUMIFS(ROTACAO_RDM!$B$6:$B$71,ROTACAO_RDM!$D$6:$D$71,$E2185,ROTACAO_RDM!$I$6:$I$71,"&lt;="&amp;$C2185+INT(DIAS_POR_SEMANA/2),ROTACAO_RDM!$J$6:$J$71,"&gt;="&amp;$C2185+INT(DIAS_POR_SEMANA/2)),0)</f>
        <v>0</v>
      </c>
      <c r="J2185" s="16" t="n">
        <f aca="false">IFERROR(MATCH($I2185,ROTACAO_RDM!$B$6:$B$71,0),0)</f>
        <v>0</v>
      </c>
      <c r="K2185" s="8" t="str">
        <f aca="false">IF($J2185=0,"SEM CULTURA",INDEX(ROTACAO_RDM!$F$6:$F$71,$J2185))</f>
        <v>SEM CULTURA</v>
      </c>
      <c r="L2185" s="8" t="str">
        <f aca="false">IF($J2185=0,"",INDEX(ROTACAO_RDM!$G$6:$G$71,$J2185))</f>
        <v/>
      </c>
      <c r="M2185" s="17" t="str">
        <f aca="false">IF($J2185=0,"",INDEX(ROTACAO_RDM!$I$6:$I$71,$J2185))</f>
        <v/>
      </c>
      <c r="N2185" s="16" t="n">
        <f aca="false">IF($J2185=0,0,MAX(0,$C2185+INT(DIAS_POR_SEMANA/2)-INDEX(ROTACAO_RDM!$I$6:$I$71,$J2185)))</f>
        <v>0</v>
      </c>
      <c r="O2185" s="19" t="n">
        <f aca="false">IF($J2185=0,0,MIN(1,$N2185/MAX(1,INDEX(ROTACAO_RDM!$K$6:$K$71,$J2185))))</f>
        <v>0</v>
      </c>
      <c r="P2185" s="16" t="n">
        <f aca="false">IF($J2185=0,0,IFERROR(MATCH(INDEX(ROTACAO_RDM!$N$6:$N$71,$J2185),PARAMETROS_CULTURAS!$B$6:$B$28,0),0))</f>
        <v>0</v>
      </c>
      <c r="Q2185" s="8" t="str">
        <f aca="false">IF($P2185=0,"-",IF($O2185&lt;=INDEX(PARAMETROS_CULTURAS!$F$6:$F$28,$P2185),"INICIAL",IF($O2185&lt;=INDEX(PARAMETROS_CULTURAS!$F$6:$F$28,$P2185)+INDEX(PARAMETROS_CULTURAS!$G$6:$G$28,$P2185),"DESENVOLVIMENTO",IF($O2185&lt;=INDEX(PARAMETROS_CULTURAS!$F$6:$F$28,$P2185)+INDEX(PARAMETROS_CULTURAS!$G$6:$G$28,$P2185)+INDEX(PARAMETROS_CULTURAS!$H$6:$H$28,$P2185),"MEDIA","FINAL"))))</f>
        <v>-</v>
      </c>
      <c r="R2185" s="24" t="n">
        <f aca="false">IF($P2185=0,0,IF($O2185&lt;=INDEX(PARAMETROS_CULTURAS!$F$6:$F$28,$P2185),INDEX(PARAMETROS_CULTURAS!$K$6:$K$28,$P2185),IF($O2185&lt;=INDEX(PARAMETROS_CULTURAS!$F$6:$F$28,$P2185)+INDEX(PARAMETROS_CULTURAS!$G$6:$G$28,$P2185),INDEX(PARAMETROS_CULTURAS!$K$6:$K$28,$P2185)+(INDEX(PARAMETROS_CULTURAS!$L$6:$L$28,$P2185)-INDEX(PARAMETROS_CULTURAS!$K$6:$K$28,$P2185))*($O2185-INDEX(PARAMETROS_CULTURAS!$F$6:$F$28,$P2185))/MAX(INDEX(PARAMETROS_CULTURAS!$G$6:$G$28,$P2185),0.0001),IF($O2185&lt;=INDEX(PARAMETROS_CULTURAS!$F$6:$F$28,$P2185)+INDEX(PARAMETROS_CULTURAS!$G$6:$G$28,$P2185)+INDEX(PARAMETROS_CULTURAS!$H$6:$H$28,$P2185),INDEX(PARAMETROS_CULTURAS!$L$6:$L$28,$P2185),INDEX(PARAMETROS_CULTURAS!$L$6:$L$28,$P2185)+(INDEX(PARAMETROS_CULTURAS!$M$6:$M$28,$P2185)-INDEX(PARAMETROS_CULTURAS!$L$6:$L$28,$P2185))*($O2185-INDEX(PARAMETROS_CULTURAS!$F$6:$F$28,$P2185)-INDEX(PARAMETROS_CULTURAS!$G$6:$G$28,$P2185)-INDEX(PARAMETROS_CULTURAS!$H$6:$H$28,$P2185))/MAX(INDEX(PARAMETROS_CULTURAS!$I$6:$I$28,$P2185),0.0001)))))</f>
        <v>0</v>
      </c>
      <c r="S2185" s="18" t="n">
        <f aca="false">IFERROR(INDEX(SEMANAS!$H$6:$H$71,MATCH($B2185,SEMANAS!$B$6:$B$71,0)),0)</f>
        <v>40.6</v>
      </c>
      <c r="T2185" s="18" t="n">
        <f aca="false">$R2185*$S2185</f>
        <v>0</v>
      </c>
      <c r="U2185" s="18" t="n">
        <f aca="false">IFERROR(INDEX(SEMANAS!$I$6:$I$71,MATCH($B2185,SEMANAS!$B$6:$B$71,0)),0)</f>
        <v>7</v>
      </c>
      <c r="V2185" s="18" t="n">
        <f aca="false">IFERROR(INDEX(SEMANAS!$J$6:$J$71,MATCH($B2185,SEMANAS!$B$6:$B$71,0)),0)</f>
        <v>5.6</v>
      </c>
      <c r="W2185" s="18" t="n">
        <f aca="false">MAX(0,$T2185-$V2185)</f>
        <v>0</v>
      </c>
      <c r="X2185" s="19" t="n">
        <f aca="false">IFERROR(INDEX(CADASTRO_PIVOS!$K$6:$K$41,MATCH($E2185,CADASTRO_PIVOS!$B$6:$B$41,0)),EFICIENCIA_PADRAO)</f>
        <v>0.85</v>
      </c>
      <c r="Y2185" s="18" t="n">
        <f aca="false">IF($X2185&lt;=0,0,$W2185/$X2185)</f>
        <v>0</v>
      </c>
      <c r="Z2185" s="16" t="n">
        <f aca="false">$Y2185*$H2185*MM_PARA_M3_HA</f>
        <v>0</v>
      </c>
      <c r="AA2185" s="18" t="n">
        <f aca="false">IFERROR(INDEX(CADASTRO_PIVOS!$I$6:$I$41,MATCH($E2185,CADASTRO_PIVOS!$B$6:$B$41,0)),0)</f>
        <v>457.142857142857</v>
      </c>
      <c r="AB2185" s="18" t="n">
        <f aca="false">IF($Z2185&lt;=0,0,$Z2185/$AA2185)</f>
        <v>0</v>
      </c>
      <c r="AC2185" s="16" t="n">
        <f aca="false">IFERROR(INDEX(SEMANAS!$K$6:$K$71,MATCH($B2185,SEMANAS!$B$6:$B$71,0)),0)</f>
        <v>147</v>
      </c>
      <c r="AD2185" s="19" t="n">
        <f aca="false">IF($AC2185&lt;=0,0,$AB2185/$AC2185)</f>
        <v>0</v>
      </c>
      <c r="AE2185" s="8" t="str">
        <f aca="false">IF($K2185="SEM CULTURA","SEM CULTURA",IF($AA2185&lt;=0,"DADO PENDENTE",IF($AD2185&gt;LIMITE_CRITICO,"INVIAVEL",IF($AD2185&gt;LIMITE_ATENCAO,"CRITICO",IF($AD2185&gt;LIMITE_CONFORTAVEL,"ATENCAO","OK")))))</f>
        <v>SEM CULTURA</v>
      </c>
      <c r="AF2185" s="8" t="str">
        <f aca="false">$B2185&amp;"|"&amp;TEXT($AD2185,"0.000000")</f>
        <v>2|0.000000</v>
      </c>
      <c r="AG2185" s="18" t="n">
        <f aca="false">IF($K2185="SEM CULTURA",0,$T2185*$H2185)</f>
        <v>0</v>
      </c>
      <c r="AH2185" s="18" t="n">
        <f aca="false">IF($K2185="SEM CULTURA",0,$V2185*$H2185)</f>
        <v>0</v>
      </c>
      <c r="AI2185" s="18" t="n">
        <f aca="false">IF($K2185="SEM CULTURA",0,$W2185*$H2185)</f>
        <v>0</v>
      </c>
      <c r="AJ2185" s="18" t="n">
        <f aca="false">IF($K2185="SEM CULTURA",0,$S2185*$H2185)</f>
        <v>0</v>
      </c>
      <c r="AK2185" s="8" t="str">
        <f aca="false">$E2185&amp;"|"&amp;TEXT($AD2185,"0.000000")</f>
        <v>PV 135|0.000000</v>
      </c>
    </row>
    <row r="2186" customFormat="false" ht="15" hidden="false" customHeight="false" outlineLevel="0" collapsed="false">
      <c r="B2186" s="16" t="n">
        <v>3</v>
      </c>
      <c r="C2186" s="17" t="n">
        <f aca="false">DATA_INICIO_SAFRA+($B2186-1)*DIAS_POR_SEMANA</f>
        <v>46279</v>
      </c>
      <c r="D2186" s="17" t="n">
        <f aca="false">$C2186+DIAS_POR_SEMANA-1</f>
        <v>46285</v>
      </c>
      <c r="E2186" s="15" t="s">
        <v>292</v>
      </c>
      <c r="F2186" s="8" t="str">
        <f aca="false">IFERROR(INDEX(CADASTRO_PIVOS!$C$6:$C$41,MATCH($E2186,CADASTRO_PIVOS!$B$6:$B$41,0)),"?")</f>
        <v>RM08</v>
      </c>
      <c r="G2186" s="8" t="str">
        <f aca="false">IFERROR(INDEX(CADASTRO_PIVOS!$D$6:$D$41,MATCH($E2186,CADASTRO_PIVOS!$B$6:$B$41,0)),"?")</f>
        <v>TR08</v>
      </c>
      <c r="H2186" s="20" t="n">
        <f aca="false">IFERROR(INDEX(CADASTRO_PIVOS!$E$6:$E$41,MATCH($E2186,CADASTRO_PIVOS!$B$6:$B$41,0)),0)</f>
        <v>64</v>
      </c>
      <c r="I2186" s="16" t="n">
        <f aca="false">IFERROR(SUMIFS(ROTACAO_RDM!$B$6:$B$71,ROTACAO_RDM!$D$6:$D$71,$E2186,ROTACAO_RDM!$I$6:$I$71,"&lt;="&amp;$C2186+INT(DIAS_POR_SEMANA/2),ROTACAO_RDM!$J$6:$J$71,"&gt;="&amp;$C2186+INT(DIAS_POR_SEMANA/2)),0)</f>
        <v>0</v>
      </c>
      <c r="J2186" s="16" t="n">
        <f aca="false">IFERROR(MATCH($I2186,ROTACAO_RDM!$B$6:$B$71,0),0)</f>
        <v>0</v>
      </c>
      <c r="K2186" s="8" t="str">
        <f aca="false">IF($J2186=0,"SEM CULTURA",INDEX(ROTACAO_RDM!$F$6:$F$71,$J2186))</f>
        <v>SEM CULTURA</v>
      </c>
      <c r="L2186" s="8" t="str">
        <f aca="false">IF($J2186=0,"",INDEX(ROTACAO_RDM!$G$6:$G$71,$J2186))</f>
        <v/>
      </c>
      <c r="M2186" s="17" t="str">
        <f aca="false">IF($J2186=0,"",INDEX(ROTACAO_RDM!$I$6:$I$71,$J2186))</f>
        <v/>
      </c>
      <c r="N2186" s="16" t="n">
        <f aca="false">IF($J2186=0,0,MAX(0,$C2186+INT(DIAS_POR_SEMANA/2)-INDEX(ROTACAO_RDM!$I$6:$I$71,$J2186)))</f>
        <v>0</v>
      </c>
      <c r="O2186" s="19" t="n">
        <f aca="false">IF($J2186=0,0,MIN(1,$N2186/MAX(1,INDEX(ROTACAO_RDM!$K$6:$K$71,$J2186))))</f>
        <v>0</v>
      </c>
      <c r="P2186" s="16" t="n">
        <f aca="false">IF($J2186=0,0,IFERROR(MATCH(INDEX(ROTACAO_RDM!$N$6:$N$71,$J2186),PARAMETROS_CULTURAS!$B$6:$B$28,0),0))</f>
        <v>0</v>
      </c>
      <c r="Q2186" s="8" t="str">
        <f aca="false">IF($P2186=0,"-",IF($O2186&lt;=INDEX(PARAMETROS_CULTURAS!$F$6:$F$28,$P2186),"INICIAL",IF($O2186&lt;=INDEX(PARAMETROS_CULTURAS!$F$6:$F$28,$P2186)+INDEX(PARAMETROS_CULTURAS!$G$6:$G$28,$P2186),"DESENVOLVIMENTO",IF($O2186&lt;=INDEX(PARAMETROS_CULTURAS!$F$6:$F$28,$P2186)+INDEX(PARAMETROS_CULTURAS!$G$6:$G$28,$P2186)+INDEX(PARAMETROS_CULTURAS!$H$6:$H$28,$P2186),"MEDIA","FINAL"))))</f>
        <v>-</v>
      </c>
      <c r="R2186" s="24" t="n">
        <f aca="false">IF($P2186=0,0,IF($O2186&lt;=INDEX(PARAMETROS_CULTURAS!$F$6:$F$28,$P2186),INDEX(PARAMETROS_CULTURAS!$K$6:$K$28,$P2186),IF($O2186&lt;=INDEX(PARAMETROS_CULTURAS!$F$6:$F$28,$P2186)+INDEX(PARAMETROS_CULTURAS!$G$6:$G$28,$P2186),INDEX(PARAMETROS_CULTURAS!$K$6:$K$28,$P2186)+(INDEX(PARAMETROS_CULTURAS!$L$6:$L$28,$P2186)-INDEX(PARAMETROS_CULTURAS!$K$6:$K$28,$P2186))*($O2186-INDEX(PARAMETROS_CULTURAS!$F$6:$F$28,$P2186))/MAX(INDEX(PARAMETROS_CULTURAS!$G$6:$G$28,$P2186),0.0001),IF($O2186&lt;=INDEX(PARAMETROS_CULTURAS!$F$6:$F$28,$P2186)+INDEX(PARAMETROS_CULTURAS!$G$6:$G$28,$P2186)+INDEX(PARAMETROS_CULTURAS!$H$6:$H$28,$P2186),INDEX(PARAMETROS_CULTURAS!$L$6:$L$28,$P2186),INDEX(PARAMETROS_CULTURAS!$L$6:$L$28,$P2186)+(INDEX(PARAMETROS_CULTURAS!$M$6:$M$28,$P2186)-INDEX(PARAMETROS_CULTURAS!$L$6:$L$28,$P2186))*($O2186-INDEX(PARAMETROS_CULTURAS!$F$6:$F$28,$P2186)-INDEX(PARAMETROS_CULTURAS!$G$6:$G$28,$P2186)-INDEX(PARAMETROS_CULTURAS!$H$6:$H$28,$P2186))/MAX(INDEX(PARAMETROS_CULTURAS!$I$6:$I$28,$P2186),0.0001)))))</f>
        <v>0</v>
      </c>
      <c r="S2186" s="18" t="n">
        <f aca="false">IFERROR(INDEX(SEMANAS!$H$6:$H$71,MATCH($B2186,SEMANAS!$B$6:$B$71,0)),0)</f>
        <v>40.6</v>
      </c>
      <c r="T2186" s="18" t="n">
        <f aca="false">$R2186*$S2186</f>
        <v>0</v>
      </c>
      <c r="U2186" s="18" t="n">
        <f aca="false">IFERROR(INDEX(SEMANAS!$I$6:$I$71,MATCH($B2186,SEMANAS!$B$6:$B$71,0)),0)</f>
        <v>7</v>
      </c>
      <c r="V2186" s="18" t="n">
        <f aca="false">IFERROR(INDEX(SEMANAS!$J$6:$J$71,MATCH($B2186,SEMANAS!$B$6:$B$71,0)),0)</f>
        <v>5.6</v>
      </c>
      <c r="W2186" s="18" t="n">
        <f aca="false">MAX(0,$T2186-$V2186)</f>
        <v>0</v>
      </c>
      <c r="X2186" s="19" t="n">
        <f aca="false">IFERROR(INDEX(CADASTRO_PIVOS!$K$6:$K$41,MATCH($E2186,CADASTRO_PIVOS!$B$6:$B$41,0)),EFICIENCIA_PADRAO)</f>
        <v>0.85</v>
      </c>
      <c r="Y2186" s="18" t="n">
        <f aca="false">IF($X2186&lt;=0,0,$W2186/$X2186)</f>
        <v>0</v>
      </c>
      <c r="Z2186" s="16" t="n">
        <f aca="false">$Y2186*$H2186*MM_PARA_M3_HA</f>
        <v>0</v>
      </c>
      <c r="AA2186" s="18" t="n">
        <f aca="false">IFERROR(INDEX(CADASTRO_PIVOS!$I$6:$I$41,MATCH($E2186,CADASTRO_PIVOS!$B$6:$B$41,0)),0)</f>
        <v>457.142857142857</v>
      </c>
      <c r="AB2186" s="18" t="n">
        <f aca="false">IF($Z2186&lt;=0,0,$Z2186/$AA2186)</f>
        <v>0</v>
      </c>
      <c r="AC2186" s="16" t="n">
        <f aca="false">IFERROR(INDEX(SEMANAS!$K$6:$K$71,MATCH($B2186,SEMANAS!$B$6:$B$71,0)),0)</f>
        <v>147</v>
      </c>
      <c r="AD2186" s="19" t="n">
        <f aca="false">IF($AC2186&lt;=0,0,$AB2186/$AC2186)</f>
        <v>0</v>
      </c>
      <c r="AE2186" s="8" t="str">
        <f aca="false">IF($K2186="SEM CULTURA","SEM CULTURA",IF($AA2186&lt;=0,"DADO PENDENTE",IF($AD2186&gt;LIMITE_CRITICO,"INVIAVEL",IF($AD2186&gt;LIMITE_ATENCAO,"CRITICO",IF($AD2186&gt;LIMITE_CONFORTAVEL,"ATENCAO","OK")))))</f>
        <v>SEM CULTURA</v>
      </c>
      <c r="AF2186" s="8" t="str">
        <f aca="false">$B2186&amp;"|"&amp;TEXT($AD2186,"0.000000")</f>
        <v>3|0.000000</v>
      </c>
      <c r="AG2186" s="18" t="n">
        <f aca="false">IF($K2186="SEM CULTURA",0,$T2186*$H2186)</f>
        <v>0</v>
      </c>
      <c r="AH2186" s="18" t="n">
        <f aca="false">IF($K2186="SEM CULTURA",0,$V2186*$H2186)</f>
        <v>0</v>
      </c>
      <c r="AI2186" s="18" t="n">
        <f aca="false">IF($K2186="SEM CULTURA",0,$W2186*$H2186)</f>
        <v>0</v>
      </c>
      <c r="AJ2186" s="18" t="n">
        <f aca="false">IF($K2186="SEM CULTURA",0,$S2186*$H2186)</f>
        <v>0</v>
      </c>
      <c r="AK2186" s="8" t="str">
        <f aca="false">$E2186&amp;"|"&amp;TEXT($AD2186,"0.000000")</f>
        <v>PV 135|0.000000</v>
      </c>
    </row>
    <row r="2187" customFormat="false" ht="15" hidden="false" customHeight="false" outlineLevel="0" collapsed="false">
      <c r="B2187" s="16" t="n">
        <v>4</v>
      </c>
      <c r="C2187" s="17" t="n">
        <f aca="false">DATA_INICIO_SAFRA+($B2187-1)*DIAS_POR_SEMANA</f>
        <v>46286</v>
      </c>
      <c r="D2187" s="17" t="n">
        <f aca="false">$C2187+DIAS_POR_SEMANA-1</f>
        <v>46292</v>
      </c>
      <c r="E2187" s="15" t="s">
        <v>292</v>
      </c>
      <c r="F2187" s="8" t="str">
        <f aca="false">IFERROR(INDEX(CADASTRO_PIVOS!$C$6:$C$41,MATCH($E2187,CADASTRO_PIVOS!$B$6:$B$41,0)),"?")</f>
        <v>RM08</v>
      </c>
      <c r="G2187" s="8" t="str">
        <f aca="false">IFERROR(INDEX(CADASTRO_PIVOS!$D$6:$D$41,MATCH($E2187,CADASTRO_PIVOS!$B$6:$B$41,0)),"?")</f>
        <v>TR08</v>
      </c>
      <c r="H2187" s="20" t="n">
        <f aca="false">IFERROR(INDEX(CADASTRO_PIVOS!$E$6:$E$41,MATCH($E2187,CADASTRO_PIVOS!$B$6:$B$41,0)),0)</f>
        <v>64</v>
      </c>
      <c r="I2187" s="16" t="n">
        <f aca="false">IFERROR(SUMIFS(ROTACAO_RDM!$B$6:$B$71,ROTACAO_RDM!$D$6:$D$71,$E2187,ROTACAO_RDM!$I$6:$I$71,"&lt;="&amp;$C2187+INT(DIAS_POR_SEMANA/2),ROTACAO_RDM!$J$6:$J$71,"&gt;="&amp;$C2187+INT(DIAS_POR_SEMANA/2)),0)</f>
        <v>0</v>
      </c>
      <c r="J2187" s="16" t="n">
        <f aca="false">IFERROR(MATCH($I2187,ROTACAO_RDM!$B$6:$B$71,0),0)</f>
        <v>0</v>
      </c>
      <c r="K2187" s="8" t="str">
        <f aca="false">IF($J2187=0,"SEM CULTURA",INDEX(ROTACAO_RDM!$F$6:$F$71,$J2187))</f>
        <v>SEM CULTURA</v>
      </c>
      <c r="L2187" s="8" t="str">
        <f aca="false">IF($J2187=0,"",INDEX(ROTACAO_RDM!$G$6:$G$71,$J2187))</f>
        <v/>
      </c>
      <c r="M2187" s="17" t="str">
        <f aca="false">IF($J2187=0,"",INDEX(ROTACAO_RDM!$I$6:$I$71,$J2187))</f>
        <v/>
      </c>
      <c r="N2187" s="16" t="n">
        <f aca="false">IF($J2187=0,0,MAX(0,$C2187+INT(DIAS_POR_SEMANA/2)-INDEX(ROTACAO_RDM!$I$6:$I$71,$J2187)))</f>
        <v>0</v>
      </c>
      <c r="O2187" s="19" t="n">
        <f aca="false">IF($J2187=0,0,MIN(1,$N2187/MAX(1,INDEX(ROTACAO_RDM!$K$6:$K$71,$J2187))))</f>
        <v>0</v>
      </c>
      <c r="P2187" s="16" t="n">
        <f aca="false">IF($J2187=0,0,IFERROR(MATCH(INDEX(ROTACAO_RDM!$N$6:$N$71,$J2187),PARAMETROS_CULTURAS!$B$6:$B$28,0),0))</f>
        <v>0</v>
      </c>
      <c r="Q2187" s="8" t="str">
        <f aca="false">IF($P2187=0,"-",IF($O2187&lt;=INDEX(PARAMETROS_CULTURAS!$F$6:$F$28,$P2187),"INICIAL",IF($O2187&lt;=INDEX(PARAMETROS_CULTURAS!$F$6:$F$28,$P2187)+INDEX(PARAMETROS_CULTURAS!$G$6:$G$28,$P2187),"DESENVOLVIMENTO",IF($O2187&lt;=INDEX(PARAMETROS_CULTURAS!$F$6:$F$28,$P2187)+INDEX(PARAMETROS_CULTURAS!$G$6:$G$28,$P2187)+INDEX(PARAMETROS_CULTURAS!$H$6:$H$28,$P2187),"MEDIA","FINAL"))))</f>
        <v>-</v>
      </c>
      <c r="R2187" s="24" t="n">
        <f aca="false">IF($P2187=0,0,IF($O2187&lt;=INDEX(PARAMETROS_CULTURAS!$F$6:$F$28,$P2187),INDEX(PARAMETROS_CULTURAS!$K$6:$K$28,$P2187),IF($O2187&lt;=INDEX(PARAMETROS_CULTURAS!$F$6:$F$28,$P2187)+INDEX(PARAMETROS_CULTURAS!$G$6:$G$28,$P2187),INDEX(PARAMETROS_CULTURAS!$K$6:$K$28,$P2187)+(INDEX(PARAMETROS_CULTURAS!$L$6:$L$28,$P2187)-INDEX(PARAMETROS_CULTURAS!$K$6:$K$28,$P2187))*($O2187-INDEX(PARAMETROS_CULTURAS!$F$6:$F$28,$P2187))/MAX(INDEX(PARAMETROS_CULTURAS!$G$6:$G$28,$P2187),0.0001),IF($O2187&lt;=INDEX(PARAMETROS_CULTURAS!$F$6:$F$28,$P2187)+INDEX(PARAMETROS_CULTURAS!$G$6:$G$28,$P2187)+INDEX(PARAMETROS_CULTURAS!$H$6:$H$28,$P2187),INDEX(PARAMETROS_CULTURAS!$L$6:$L$28,$P2187),INDEX(PARAMETROS_CULTURAS!$L$6:$L$28,$P2187)+(INDEX(PARAMETROS_CULTURAS!$M$6:$M$28,$P2187)-INDEX(PARAMETROS_CULTURAS!$L$6:$L$28,$P2187))*($O2187-INDEX(PARAMETROS_CULTURAS!$F$6:$F$28,$P2187)-INDEX(PARAMETROS_CULTURAS!$G$6:$G$28,$P2187)-INDEX(PARAMETROS_CULTURAS!$H$6:$H$28,$P2187))/MAX(INDEX(PARAMETROS_CULTURAS!$I$6:$I$28,$P2187),0.0001)))))</f>
        <v>0</v>
      </c>
      <c r="S2187" s="18" t="n">
        <f aca="false">IFERROR(INDEX(SEMANAS!$H$6:$H$71,MATCH($B2187,SEMANAS!$B$6:$B$71,0)),0)</f>
        <v>40.6</v>
      </c>
      <c r="T2187" s="18" t="n">
        <f aca="false">$R2187*$S2187</f>
        <v>0</v>
      </c>
      <c r="U2187" s="18" t="n">
        <f aca="false">IFERROR(INDEX(SEMANAS!$I$6:$I$71,MATCH($B2187,SEMANAS!$B$6:$B$71,0)),0)</f>
        <v>7</v>
      </c>
      <c r="V2187" s="18" t="n">
        <f aca="false">IFERROR(INDEX(SEMANAS!$J$6:$J$71,MATCH($B2187,SEMANAS!$B$6:$B$71,0)),0)</f>
        <v>5.6</v>
      </c>
      <c r="W2187" s="18" t="n">
        <f aca="false">MAX(0,$T2187-$V2187)</f>
        <v>0</v>
      </c>
      <c r="X2187" s="19" t="n">
        <f aca="false">IFERROR(INDEX(CADASTRO_PIVOS!$K$6:$K$41,MATCH($E2187,CADASTRO_PIVOS!$B$6:$B$41,0)),EFICIENCIA_PADRAO)</f>
        <v>0.85</v>
      </c>
      <c r="Y2187" s="18" t="n">
        <f aca="false">IF($X2187&lt;=0,0,$W2187/$X2187)</f>
        <v>0</v>
      </c>
      <c r="Z2187" s="16" t="n">
        <f aca="false">$Y2187*$H2187*MM_PARA_M3_HA</f>
        <v>0</v>
      </c>
      <c r="AA2187" s="18" t="n">
        <f aca="false">IFERROR(INDEX(CADASTRO_PIVOS!$I$6:$I$41,MATCH($E2187,CADASTRO_PIVOS!$B$6:$B$41,0)),0)</f>
        <v>457.142857142857</v>
      </c>
      <c r="AB2187" s="18" t="n">
        <f aca="false">IF($Z2187&lt;=0,0,$Z2187/$AA2187)</f>
        <v>0</v>
      </c>
      <c r="AC2187" s="16" t="n">
        <f aca="false">IFERROR(INDEX(SEMANAS!$K$6:$K$71,MATCH($B2187,SEMANAS!$B$6:$B$71,0)),0)</f>
        <v>147</v>
      </c>
      <c r="AD2187" s="19" t="n">
        <f aca="false">IF($AC2187&lt;=0,0,$AB2187/$AC2187)</f>
        <v>0</v>
      </c>
      <c r="AE2187" s="8" t="str">
        <f aca="false">IF($K2187="SEM CULTURA","SEM CULTURA",IF($AA2187&lt;=0,"DADO PENDENTE",IF($AD2187&gt;LIMITE_CRITICO,"INVIAVEL",IF($AD2187&gt;LIMITE_ATENCAO,"CRITICO",IF($AD2187&gt;LIMITE_CONFORTAVEL,"ATENCAO","OK")))))</f>
        <v>SEM CULTURA</v>
      </c>
      <c r="AF2187" s="8" t="str">
        <f aca="false">$B2187&amp;"|"&amp;TEXT($AD2187,"0.000000")</f>
        <v>4|0.000000</v>
      </c>
      <c r="AG2187" s="18" t="n">
        <f aca="false">IF($K2187="SEM CULTURA",0,$T2187*$H2187)</f>
        <v>0</v>
      </c>
      <c r="AH2187" s="18" t="n">
        <f aca="false">IF($K2187="SEM CULTURA",0,$V2187*$H2187)</f>
        <v>0</v>
      </c>
      <c r="AI2187" s="18" t="n">
        <f aca="false">IF($K2187="SEM CULTURA",0,$W2187*$H2187)</f>
        <v>0</v>
      </c>
      <c r="AJ2187" s="18" t="n">
        <f aca="false">IF($K2187="SEM CULTURA",0,$S2187*$H2187)</f>
        <v>0</v>
      </c>
      <c r="AK2187" s="8" t="str">
        <f aca="false">$E2187&amp;"|"&amp;TEXT($AD2187,"0.000000")</f>
        <v>PV 135|0.000000</v>
      </c>
    </row>
    <row r="2188" customFormat="false" ht="15" hidden="false" customHeight="false" outlineLevel="0" collapsed="false">
      <c r="B2188" s="16" t="n">
        <v>5</v>
      </c>
      <c r="C2188" s="17" t="n">
        <f aca="false">DATA_INICIO_SAFRA+($B2188-1)*DIAS_POR_SEMANA</f>
        <v>46293</v>
      </c>
      <c r="D2188" s="17" t="n">
        <f aca="false">$C2188+DIAS_POR_SEMANA-1</f>
        <v>46299</v>
      </c>
      <c r="E2188" s="15" t="s">
        <v>292</v>
      </c>
      <c r="F2188" s="8" t="str">
        <f aca="false">IFERROR(INDEX(CADASTRO_PIVOS!$C$6:$C$41,MATCH($E2188,CADASTRO_PIVOS!$B$6:$B$41,0)),"?")</f>
        <v>RM08</v>
      </c>
      <c r="G2188" s="8" t="str">
        <f aca="false">IFERROR(INDEX(CADASTRO_PIVOS!$D$6:$D$41,MATCH($E2188,CADASTRO_PIVOS!$B$6:$B$41,0)),"?")</f>
        <v>TR08</v>
      </c>
      <c r="H2188" s="20" t="n">
        <f aca="false">IFERROR(INDEX(CADASTRO_PIVOS!$E$6:$E$41,MATCH($E2188,CADASTRO_PIVOS!$B$6:$B$41,0)),0)</f>
        <v>64</v>
      </c>
      <c r="I2188" s="16" t="n">
        <f aca="false">IFERROR(SUMIFS(ROTACAO_RDM!$B$6:$B$71,ROTACAO_RDM!$D$6:$D$71,$E2188,ROTACAO_RDM!$I$6:$I$71,"&lt;="&amp;$C2188+INT(DIAS_POR_SEMANA/2),ROTACAO_RDM!$J$6:$J$71,"&gt;="&amp;$C2188+INT(DIAS_POR_SEMANA/2)),0)</f>
        <v>0</v>
      </c>
      <c r="J2188" s="16" t="n">
        <f aca="false">IFERROR(MATCH($I2188,ROTACAO_RDM!$B$6:$B$71,0),0)</f>
        <v>0</v>
      </c>
      <c r="K2188" s="8" t="str">
        <f aca="false">IF($J2188=0,"SEM CULTURA",INDEX(ROTACAO_RDM!$F$6:$F$71,$J2188))</f>
        <v>SEM CULTURA</v>
      </c>
      <c r="L2188" s="8" t="str">
        <f aca="false">IF($J2188=0,"",INDEX(ROTACAO_RDM!$G$6:$G$71,$J2188))</f>
        <v/>
      </c>
      <c r="M2188" s="17" t="str">
        <f aca="false">IF($J2188=0,"",INDEX(ROTACAO_RDM!$I$6:$I$71,$J2188))</f>
        <v/>
      </c>
      <c r="N2188" s="16" t="n">
        <f aca="false">IF($J2188=0,0,MAX(0,$C2188+INT(DIAS_POR_SEMANA/2)-INDEX(ROTACAO_RDM!$I$6:$I$71,$J2188)))</f>
        <v>0</v>
      </c>
      <c r="O2188" s="19" t="n">
        <f aca="false">IF($J2188=0,0,MIN(1,$N2188/MAX(1,INDEX(ROTACAO_RDM!$K$6:$K$71,$J2188))))</f>
        <v>0</v>
      </c>
      <c r="P2188" s="16" t="n">
        <f aca="false">IF($J2188=0,0,IFERROR(MATCH(INDEX(ROTACAO_RDM!$N$6:$N$71,$J2188),PARAMETROS_CULTURAS!$B$6:$B$28,0),0))</f>
        <v>0</v>
      </c>
      <c r="Q2188" s="8" t="str">
        <f aca="false">IF($P2188=0,"-",IF($O2188&lt;=INDEX(PARAMETROS_CULTURAS!$F$6:$F$28,$P2188),"INICIAL",IF($O2188&lt;=INDEX(PARAMETROS_CULTURAS!$F$6:$F$28,$P2188)+INDEX(PARAMETROS_CULTURAS!$G$6:$G$28,$P2188),"DESENVOLVIMENTO",IF($O2188&lt;=INDEX(PARAMETROS_CULTURAS!$F$6:$F$28,$P2188)+INDEX(PARAMETROS_CULTURAS!$G$6:$G$28,$P2188)+INDEX(PARAMETROS_CULTURAS!$H$6:$H$28,$P2188),"MEDIA","FINAL"))))</f>
        <v>-</v>
      </c>
      <c r="R2188" s="24" t="n">
        <f aca="false">IF($P2188=0,0,IF($O2188&lt;=INDEX(PARAMETROS_CULTURAS!$F$6:$F$28,$P2188),INDEX(PARAMETROS_CULTURAS!$K$6:$K$28,$P2188),IF($O2188&lt;=INDEX(PARAMETROS_CULTURAS!$F$6:$F$28,$P2188)+INDEX(PARAMETROS_CULTURAS!$G$6:$G$28,$P2188),INDEX(PARAMETROS_CULTURAS!$K$6:$K$28,$P2188)+(INDEX(PARAMETROS_CULTURAS!$L$6:$L$28,$P2188)-INDEX(PARAMETROS_CULTURAS!$K$6:$K$28,$P2188))*($O2188-INDEX(PARAMETROS_CULTURAS!$F$6:$F$28,$P2188))/MAX(INDEX(PARAMETROS_CULTURAS!$G$6:$G$28,$P2188),0.0001),IF($O2188&lt;=INDEX(PARAMETROS_CULTURAS!$F$6:$F$28,$P2188)+INDEX(PARAMETROS_CULTURAS!$G$6:$G$28,$P2188)+INDEX(PARAMETROS_CULTURAS!$H$6:$H$28,$P2188),INDEX(PARAMETROS_CULTURAS!$L$6:$L$28,$P2188),INDEX(PARAMETROS_CULTURAS!$L$6:$L$28,$P2188)+(INDEX(PARAMETROS_CULTURAS!$M$6:$M$28,$P2188)-INDEX(PARAMETROS_CULTURAS!$L$6:$L$28,$P2188))*($O2188-INDEX(PARAMETROS_CULTURAS!$F$6:$F$28,$P2188)-INDEX(PARAMETROS_CULTURAS!$G$6:$G$28,$P2188)-INDEX(PARAMETROS_CULTURAS!$H$6:$H$28,$P2188))/MAX(INDEX(PARAMETROS_CULTURAS!$I$6:$I$28,$P2188),0.0001)))))</f>
        <v>0</v>
      </c>
      <c r="S2188" s="18" t="n">
        <f aca="false">IFERROR(INDEX(SEMANAS!$H$6:$H$71,MATCH($B2188,SEMANAS!$B$6:$B$71,0)),0)</f>
        <v>39.8</v>
      </c>
      <c r="T2188" s="18" t="n">
        <f aca="false">$R2188*$S2188</f>
        <v>0</v>
      </c>
      <c r="U2188" s="18" t="n">
        <f aca="false">IFERROR(INDEX(SEMANAS!$I$6:$I$71,MATCH($B2188,SEMANAS!$B$6:$B$71,0)),0)</f>
        <v>18.48</v>
      </c>
      <c r="V2188" s="18" t="n">
        <f aca="false">IFERROR(INDEX(SEMANAS!$J$6:$J$71,MATCH($B2188,SEMANAS!$B$6:$B$71,0)),0)</f>
        <v>14.784</v>
      </c>
      <c r="W2188" s="18" t="n">
        <f aca="false">MAX(0,$T2188-$V2188)</f>
        <v>0</v>
      </c>
      <c r="X2188" s="19" t="n">
        <f aca="false">IFERROR(INDEX(CADASTRO_PIVOS!$K$6:$K$41,MATCH($E2188,CADASTRO_PIVOS!$B$6:$B$41,0)),EFICIENCIA_PADRAO)</f>
        <v>0.85</v>
      </c>
      <c r="Y2188" s="18" t="n">
        <f aca="false">IF($X2188&lt;=0,0,$W2188/$X2188)</f>
        <v>0</v>
      </c>
      <c r="Z2188" s="16" t="n">
        <f aca="false">$Y2188*$H2188*MM_PARA_M3_HA</f>
        <v>0</v>
      </c>
      <c r="AA2188" s="18" t="n">
        <f aca="false">IFERROR(INDEX(CADASTRO_PIVOS!$I$6:$I$41,MATCH($E2188,CADASTRO_PIVOS!$B$6:$B$41,0)),0)</f>
        <v>457.142857142857</v>
      </c>
      <c r="AB2188" s="18" t="n">
        <f aca="false">IF($Z2188&lt;=0,0,$Z2188/$AA2188)</f>
        <v>0</v>
      </c>
      <c r="AC2188" s="16" t="n">
        <f aca="false">IFERROR(INDEX(SEMANAS!$K$6:$K$71,MATCH($B2188,SEMANAS!$B$6:$B$71,0)),0)</f>
        <v>147</v>
      </c>
      <c r="AD2188" s="19" t="n">
        <f aca="false">IF($AC2188&lt;=0,0,$AB2188/$AC2188)</f>
        <v>0</v>
      </c>
      <c r="AE2188" s="8" t="str">
        <f aca="false">IF($K2188="SEM CULTURA","SEM CULTURA",IF($AA2188&lt;=0,"DADO PENDENTE",IF($AD2188&gt;LIMITE_CRITICO,"INVIAVEL",IF($AD2188&gt;LIMITE_ATENCAO,"CRITICO",IF($AD2188&gt;LIMITE_CONFORTAVEL,"ATENCAO","OK")))))</f>
        <v>SEM CULTURA</v>
      </c>
      <c r="AF2188" s="8" t="str">
        <f aca="false">$B2188&amp;"|"&amp;TEXT($AD2188,"0.000000")</f>
        <v>5|0.000000</v>
      </c>
      <c r="AG2188" s="18" t="n">
        <f aca="false">IF($K2188="SEM CULTURA",0,$T2188*$H2188)</f>
        <v>0</v>
      </c>
      <c r="AH2188" s="18" t="n">
        <f aca="false">IF($K2188="SEM CULTURA",0,$V2188*$H2188)</f>
        <v>0</v>
      </c>
      <c r="AI2188" s="18" t="n">
        <f aca="false">IF($K2188="SEM CULTURA",0,$W2188*$H2188)</f>
        <v>0</v>
      </c>
      <c r="AJ2188" s="18" t="n">
        <f aca="false">IF($K2188="SEM CULTURA",0,$S2188*$H2188)</f>
        <v>0</v>
      </c>
      <c r="AK2188" s="8" t="str">
        <f aca="false">$E2188&amp;"|"&amp;TEXT($AD2188,"0.000000")</f>
        <v>PV 135|0.000000</v>
      </c>
    </row>
    <row r="2189" customFormat="false" ht="15" hidden="false" customHeight="false" outlineLevel="0" collapsed="false">
      <c r="B2189" s="16" t="n">
        <v>6</v>
      </c>
      <c r="C2189" s="17" t="n">
        <f aca="false">DATA_INICIO_SAFRA+($B2189-1)*DIAS_POR_SEMANA</f>
        <v>46300</v>
      </c>
      <c r="D2189" s="17" t="n">
        <f aca="false">$C2189+DIAS_POR_SEMANA-1</f>
        <v>46306</v>
      </c>
      <c r="E2189" s="15" t="s">
        <v>292</v>
      </c>
      <c r="F2189" s="8" t="str">
        <f aca="false">IFERROR(INDEX(CADASTRO_PIVOS!$C$6:$C$41,MATCH($E2189,CADASTRO_PIVOS!$B$6:$B$41,0)),"?")</f>
        <v>RM08</v>
      </c>
      <c r="G2189" s="8" t="str">
        <f aca="false">IFERROR(INDEX(CADASTRO_PIVOS!$D$6:$D$41,MATCH($E2189,CADASTRO_PIVOS!$B$6:$B$41,0)),"?")</f>
        <v>TR08</v>
      </c>
      <c r="H2189" s="20" t="n">
        <f aca="false">IFERROR(INDEX(CADASTRO_PIVOS!$E$6:$E$41,MATCH($E2189,CADASTRO_PIVOS!$B$6:$B$41,0)),0)</f>
        <v>64</v>
      </c>
      <c r="I2189" s="16" t="n">
        <f aca="false">IFERROR(SUMIFS(ROTACAO_RDM!$B$6:$B$71,ROTACAO_RDM!$D$6:$D$71,$E2189,ROTACAO_RDM!$I$6:$I$71,"&lt;="&amp;$C2189+INT(DIAS_POR_SEMANA/2),ROTACAO_RDM!$J$6:$J$71,"&gt;="&amp;$C2189+INT(DIAS_POR_SEMANA/2)),0)</f>
        <v>0</v>
      </c>
      <c r="J2189" s="16" t="n">
        <f aca="false">IFERROR(MATCH($I2189,ROTACAO_RDM!$B$6:$B$71,0),0)</f>
        <v>0</v>
      </c>
      <c r="K2189" s="8" t="str">
        <f aca="false">IF($J2189=0,"SEM CULTURA",INDEX(ROTACAO_RDM!$F$6:$F$71,$J2189))</f>
        <v>SEM CULTURA</v>
      </c>
      <c r="L2189" s="8" t="str">
        <f aca="false">IF($J2189=0,"",INDEX(ROTACAO_RDM!$G$6:$G$71,$J2189))</f>
        <v/>
      </c>
      <c r="M2189" s="17" t="str">
        <f aca="false">IF($J2189=0,"",INDEX(ROTACAO_RDM!$I$6:$I$71,$J2189))</f>
        <v/>
      </c>
      <c r="N2189" s="16" t="n">
        <f aca="false">IF($J2189=0,0,MAX(0,$C2189+INT(DIAS_POR_SEMANA/2)-INDEX(ROTACAO_RDM!$I$6:$I$71,$J2189)))</f>
        <v>0</v>
      </c>
      <c r="O2189" s="19" t="n">
        <f aca="false">IF($J2189=0,0,MIN(1,$N2189/MAX(1,INDEX(ROTACAO_RDM!$K$6:$K$71,$J2189))))</f>
        <v>0</v>
      </c>
      <c r="P2189" s="16" t="n">
        <f aca="false">IF($J2189=0,0,IFERROR(MATCH(INDEX(ROTACAO_RDM!$N$6:$N$71,$J2189),PARAMETROS_CULTURAS!$B$6:$B$28,0),0))</f>
        <v>0</v>
      </c>
      <c r="Q2189" s="8" t="str">
        <f aca="false">IF($P2189=0,"-",IF($O2189&lt;=INDEX(PARAMETROS_CULTURAS!$F$6:$F$28,$P2189),"INICIAL",IF($O2189&lt;=INDEX(PARAMETROS_CULTURAS!$F$6:$F$28,$P2189)+INDEX(PARAMETROS_CULTURAS!$G$6:$G$28,$P2189),"DESENVOLVIMENTO",IF($O2189&lt;=INDEX(PARAMETROS_CULTURAS!$F$6:$F$28,$P2189)+INDEX(PARAMETROS_CULTURAS!$G$6:$G$28,$P2189)+INDEX(PARAMETROS_CULTURAS!$H$6:$H$28,$P2189),"MEDIA","FINAL"))))</f>
        <v>-</v>
      </c>
      <c r="R2189" s="24" t="n">
        <f aca="false">IF($P2189=0,0,IF($O2189&lt;=INDEX(PARAMETROS_CULTURAS!$F$6:$F$28,$P2189),INDEX(PARAMETROS_CULTURAS!$K$6:$K$28,$P2189),IF($O2189&lt;=INDEX(PARAMETROS_CULTURAS!$F$6:$F$28,$P2189)+INDEX(PARAMETROS_CULTURAS!$G$6:$G$28,$P2189),INDEX(PARAMETROS_CULTURAS!$K$6:$K$28,$P2189)+(INDEX(PARAMETROS_CULTURAS!$L$6:$L$28,$P2189)-INDEX(PARAMETROS_CULTURAS!$K$6:$K$28,$P2189))*($O2189-INDEX(PARAMETROS_CULTURAS!$F$6:$F$28,$P2189))/MAX(INDEX(PARAMETROS_CULTURAS!$G$6:$G$28,$P2189),0.0001),IF($O2189&lt;=INDEX(PARAMETROS_CULTURAS!$F$6:$F$28,$P2189)+INDEX(PARAMETROS_CULTURAS!$G$6:$G$28,$P2189)+INDEX(PARAMETROS_CULTURAS!$H$6:$H$28,$P2189),INDEX(PARAMETROS_CULTURAS!$L$6:$L$28,$P2189),INDEX(PARAMETROS_CULTURAS!$L$6:$L$28,$P2189)+(INDEX(PARAMETROS_CULTURAS!$M$6:$M$28,$P2189)-INDEX(PARAMETROS_CULTURAS!$L$6:$L$28,$P2189))*($O2189-INDEX(PARAMETROS_CULTURAS!$F$6:$F$28,$P2189)-INDEX(PARAMETROS_CULTURAS!$G$6:$G$28,$P2189)-INDEX(PARAMETROS_CULTURAS!$H$6:$H$28,$P2189))/MAX(INDEX(PARAMETROS_CULTURAS!$I$6:$I$28,$P2189),0.0001)))))</f>
        <v>0</v>
      </c>
      <c r="S2189" s="18" t="n">
        <f aca="false">IFERROR(INDEX(SEMANAS!$H$6:$H$71,MATCH($B2189,SEMANAS!$B$6:$B$71,0)),0)</f>
        <v>39.2</v>
      </c>
      <c r="T2189" s="18" t="n">
        <f aca="false">$R2189*$S2189</f>
        <v>0</v>
      </c>
      <c r="U2189" s="18" t="n">
        <f aca="false">IFERROR(INDEX(SEMANAS!$I$6:$I$71,MATCH($B2189,SEMANAS!$B$6:$B$71,0)),0)</f>
        <v>27.09</v>
      </c>
      <c r="V2189" s="18" t="n">
        <f aca="false">IFERROR(INDEX(SEMANAS!$J$6:$J$71,MATCH($B2189,SEMANAS!$B$6:$B$71,0)),0)</f>
        <v>21.672</v>
      </c>
      <c r="W2189" s="18" t="n">
        <f aca="false">MAX(0,$T2189-$V2189)</f>
        <v>0</v>
      </c>
      <c r="X2189" s="19" t="n">
        <f aca="false">IFERROR(INDEX(CADASTRO_PIVOS!$K$6:$K$41,MATCH($E2189,CADASTRO_PIVOS!$B$6:$B$41,0)),EFICIENCIA_PADRAO)</f>
        <v>0.85</v>
      </c>
      <c r="Y2189" s="18" t="n">
        <f aca="false">IF($X2189&lt;=0,0,$W2189/$X2189)</f>
        <v>0</v>
      </c>
      <c r="Z2189" s="16" t="n">
        <f aca="false">$Y2189*$H2189*MM_PARA_M3_HA</f>
        <v>0</v>
      </c>
      <c r="AA2189" s="18" t="n">
        <f aca="false">IFERROR(INDEX(CADASTRO_PIVOS!$I$6:$I$41,MATCH($E2189,CADASTRO_PIVOS!$B$6:$B$41,0)),0)</f>
        <v>457.142857142857</v>
      </c>
      <c r="AB2189" s="18" t="n">
        <f aca="false">IF($Z2189&lt;=0,0,$Z2189/$AA2189)</f>
        <v>0</v>
      </c>
      <c r="AC2189" s="16" t="n">
        <f aca="false">IFERROR(INDEX(SEMANAS!$K$6:$K$71,MATCH($B2189,SEMANAS!$B$6:$B$71,0)),0)</f>
        <v>147</v>
      </c>
      <c r="AD2189" s="19" t="n">
        <f aca="false">IF($AC2189&lt;=0,0,$AB2189/$AC2189)</f>
        <v>0</v>
      </c>
      <c r="AE2189" s="8" t="str">
        <f aca="false">IF($K2189="SEM CULTURA","SEM CULTURA",IF($AA2189&lt;=0,"DADO PENDENTE",IF($AD2189&gt;LIMITE_CRITICO,"INVIAVEL",IF($AD2189&gt;LIMITE_ATENCAO,"CRITICO",IF($AD2189&gt;LIMITE_CONFORTAVEL,"ATENCAO","OK")))))</f>
        <v>SEM CULTURA</v>
      </c>
      <c r="AF2189" s="8" t="str">
        <f aca="false">$B2189&amp;"|"&amp;TEXT($AD2189,"0.000000")</f>
        <v>6|0.000000</v>
      </c>
      <c r="AG2189" s="18" t="n">
        <f aca="false">IF($K2189="SEM CULTURA",0,$T2189*$H2189)</f>
        <v>0</v>
      </c>
      <c r="AH2189" s="18" t="n">
        <f aca="false">IF($K2189="SEM CULTURA",0,$V2189*$H2189)</f>
        <v>0</v>
      </c>
      <c r="AI2189" s="18" t="n">
        <f aca="false">IF($K2189="SEM CULTURA",0,$W2189*$H2189)</f>
        <v>0</v>
      </c>
      <c r="AJ2189" s="18" t="n">
        <f aca="false">IF($K2189="SEM CULTURA",0,$S2189*$H2189)</f>
        <v>0</v>
      </c>
      <c r="AK2189" s="8" t="str">
        <f aca="false">$E2189&amp;"|"&amp;TEXT($AD2189,"0.000000")</f>
        <v>PV 135|0.000000</v>
      </c>
    </row>
    <row r="2190" customFormat="false" ht="15" hidden="false" customHeight="false" outlineLevel="0" collapsed="false">
      <c r="B2190" s="16" t="n">
        <v>7</v>
      </c>
      <c r="C2190" s="17" t="n">
        <f aca="false">DATA_INICIO_SAFRA+($B2190-1)*DIAS_POR_SEMANA</f>
        <v>46307</v>
      </c>
      <c r="D2190" s="17" t="n">
        <f aca="false">$C2190+DIAS_POR_SEMANA-1</f>
        <v>46313</v>
      </c>
      <c r="E2190" s="15" t="s">
        <v>292</v>
      </c>
      <c r="F2190" s="8" t="str">
        <f aca="false">IFERROR(INDEX(CADASTRO_PIVOS!$C$6:$C$41,MATCH($E2190,CADASTRO_PIVOS!$B$6:$B$41,0)),"?")</f>
        <v>RM08</v>
      </c>
      <c r="G2190" s="8" t="str">
        <f aca="false">IFERROR(INDEX(CADASTRO_PIVOS!$D$6:$D$41,MATCH($E2190,CADASTRO_PIVOS!$B$6:$B$41,0)),"?")</f>
        <v>TR08</v>
      </c>
      <c r="H2190" s="20" t="n">
        <f aca="false">IFERROR(INDEX(CADASTRO_PIVOS!$E$6:$E$41,MATCH($E2190,CADASTRO_PIVOS!$B$6:$B$41,0)),0)</f>
        <v>64</v>
      </c>
      <c r="I2190" s="16" t="n">
        <f aca="false">IFERROR(SUMIFS(ROTACAO_RDM!$B$6:$B$71,ROTACAO_RDM!$D$6:$D$71,$E2190,ROTACAO_RDM!$I$6:$I$71,"&lt;="&amp;$C2190+INT(DIAS_POR_SEMANA/2),ROTACAO_RDM!$J$6:$J$71,"&gt;="&amp;$C2190+INT(DIAS_POR_SEMANA/2)),0)</f>
        <v>0</v>
      </c>
      <c r="J2190" s="16" t="n">
        <f aca="false">IFERROR(MATCH($I2190,ROTACAO_RDM!$B$6:$B$71,0),0)</f>
        <v>0</v>
      </c>
      <c r="K2190" s="8" t="str">
        <f aca="false">IF($J2190=0,"SEM CULTURA",INDEX(ROTACAO_RDM!$F$6:$F$71,$J2190))</f>
        <v>SEM CULTURA</v>
      </c>
      <c r="L2190" s="8" t="str">
        <f aca="false">IF($J2190=0,"",INDEX(ROTACAO_RDM!$G$6:$G$71,$J2190))</f>
        <v/>
      </c>
      <c r="M2190" s="17" t="str">
        <f aca="false">IF($J2190=0,"",INDEX(ROTACAO_RDM!$I$6:$I$71,$J2190))</f>
        <v/>
      </c>
      <c r="N2190" s="16" t="n">
        <f aca="false">IF($J2190=0,0,MAX(0,$C2190+INT(DIAS_POR_SEMANA/2)-INDEX(ROTACAO_RDM!$I$6:$I$71,$J2190)))</f>
        <v>0</v>
      </c>
      <c r="O2190" s="19" t="n">
        <f aca="false">IF($J2190=0,0,MIN(1,$N2190/MAX(1,INDEX(ROTACAO_RDM!$K$6:$K$71,$J2190))))</f>
        <v>0</v>
      </c>
      <c r="P2190" s="16" t="n">
        <f aca="false">IF($J2190=0,0,IFERROR(MATCH(INDEX(ROTACAO_RDM!$N$6:$N$71,$J2190),PARAMETROS_CULTURAS!$B$6:$B$28,0),0))</f>
        <v>0</v>
      </c>
      <c r="Q2190" s="8" t="str">
        <f aca="false">IF($P2190=0,"-",IF($O2190&lt;=INDEX(PARAMETROS_CULTURAS!$F$6:$F$28,$P2190),"INICIAL",IF($O2190&lt;=INDEX(PARAMETROS_CULTURAS!$F$6:$F$28,$P2190)+INDEX(PARAMETROS_CULTURAS!$G$6:$G$28,$P2190),"DESENVOLVIMENTO",IF($O2190&lt;=INDEX(PARAMETROS_CULTURAS!$F$6:$F$28,$P2190)+INDEX(PARAMETROS_CULTURAS!$G$6:$G$28,$P2190)+INDEX(PARAMETROS_CULTURAS!$H$6:$H$28,$P2190),"MEDIA","FINAL"))))</f>
        <v>-</v>
      </c>
      <c r="R2190" s="24" t="n">
        <f aca="false">IF($P2190=0,0,IF($O2190&lt;=INDEX(PARAMETROS_CULTURAS!$F$6:$F$28,$P2190),INDEX(PARAMETROS_CULTURAS!$K$6:$K$28,$P2190),IF($O2190&lt;=INDEX(PARAMETROS_CULTURAS!$F$6:$F$28,$P2190)+INDEX(PARAMETROS_CULTURAS!$G$6:$G$28,$P2190),INDEX(PARAMETROS_CULTURAS!$K$6:$K$28,$P2190)+(INDEX(PARAMETROS_CULTURAS!$L$6:$L$28,$P2190)-INDEX(PARAMETROS_CULTURAS!$K$6:$K$28,$P2190))*($O2190-INDEX(PARAMETROS_CULTURAS!$F$6:$F$28,$P2190))/MAX(INDEX(PARAMETROS_CULTURAS!$G$6:$G$28,$P2190),0.0001),IF($O2190&lt;=INDEX(PARAMETROS_CULTURAS!$F$6:$F$28,$P2190)+INDEX(PARAMETROS_CULTURAS!$G$6:$G$28,$P2190)+INDEX(PARAMETROS_CULTURAS!$H$6:$H$28,$P2190),INDEX(PARAMETROS_CULTURAS!$L$6:$L$28,$P2190),INDEX(PARAMETROS_CULTURAS!$L$6:$L$28,$P2190)+(INDEX(PARAMETROS_CULTURAS!$M$6:$M$28,$P2190)-INDEX(PARAMETROS_CULTURAS!$L$6:$L$28,$P2190))*($O2190-INDEX(PARAMETROS_CULTURAS!$F$6:$F$28,$P2190)-INDEX(PARAMETROS_CULTURAS!$G$6:$G$28,$P2190)-INDEX(PARAMETROS_CULTURAS!$H$6:$H$28,$P2190))/MAX(INDEX(PARAMETROS_CULTURAS!$I$6:$I$28,$P2190),0.0001)))))</f>
        <v>0</v>
      </c>
      <c r="S2190" s="18" t="n">
        <f aca="false">IFERROR(INDEX(SEMANAS!$H$6:$H$71,MATCH($B2190,SEMANAS!$B$6:$B$71,0)),0)</f>
        <v>39.2</v>
      </c>
      <c r="T2190" s="18" t="n">
        <f aca="false">$R2190*$S2190</f>
        <v>0</v>
      </c>
      <c r="U2190" s="18" t="n">
        <f aca="false">IFERROR(INDEX(SEMANAS!$I$6:$I$71,MATCH($B2190,SEMANAS!$B$6:$B$71,0)),0)</f>
        <v>27.09</v>
      </c>
      <c r="V2190" s="18" t="n">
        <f aca="false">IFERROR(INDEX(SEMANAS!$J$6:$J$71,MATCH($B2190,SEMANAS!$B$6:$B$71,0)),0)</f>
        <v>21.672</v>
      </c>
      <c r="W2190" s="18" t="n">
        <f aca="false">MAX(0,$T2190-$V2190)</f>
        <v>0</v>
      </c>
      <c r="X2190" s="19" t="n">
        <f aca="false">IFERROR(INDEX(CADASTRO_PIVOS!$K$6:$K$41,MATCH($E2190,CADASTRO_PIVOS!$B$6:$B$41,0)),EFICIENCIA_PADRAO)</f>
        <v>0.85</v>
      </c>
      <c r="Y2190" s="18" t="n">
        <f aca="false">IF($X2190&lt;=0,0,$W2190/$X2190)</f>
        <v>0</v>
      </c>
      <c r="Z2190" s="16" t="n">
        <f aca="false">$Y2190*$H2190*MM_PARA_M3_HA</f>
        <v>0</v>
      </c>
      <c r="AA2190" s="18" t="n">
        <f aca="false">IFERROR(INDEX(CADASTRO_PIVOS!$I$6:$I$41,MATCH($E2190,CADASTRO_PIVOS!$B$6:$B$41,0)),0)</f>
        <v>457.142857142857</v>
      </c>
      <c r="AB2190" s="18" t="n">
        <f aca="false">IF($Z2190&lt;=0,0,$Z2190/$AA2190)</f>
        <v>0</v>
      </c>
      <c r="AC2190" s="16" t="n">
        <f aca="false">IFERROR(INDEX(SEMANAS!$K$6:$K$71,MATCH($B2190,SEMANAS!$B$6:$B$71,0)),0)</f>
        <v>147</v>
      </c>
      <c r="AD2190" s="19" t="n">
        <f aca="false">IF($AC2190&lt;=0,0,$AB2190/$AC2190)</f>
        <v>0</v>
      </c>
      <c r="AE2190" s="8" t="str">
        <f aca="false">IF($K2190="SEM CULTURA","SEM CULTURA",IF($AA2190&lt;=0,"DADO PENDENTE",IF($AD2190&gt;LIMITE_CRITICO,"INVIAVEL",IF($AD2190&gt;LIMITE_ATENCAO,"CRITICO",IF($AD2190&gt;LIMITE_CONFORTAVEL,"ATENCAO","OK")))))</f>
        <v>SEM CULTURA</v>
      </c>
      <c r="AF2190" s="8" t="str">
        <f aca="false">$B2190&amp;"|"&amp;TEXT($AD2190,"0.000000")</f>
        <v>7|0.000000</v>
      </c>
      <c r="AG2190" s="18" t="n">
        <f aca="false">IF($K2190="SEM CULTURA",0,$T2190*$H2190)</f>
        <v>0</v>
      </c>
      <c r="AH2190" s="18" t="n">
        <f aca="false">IF($K2190="SEM CULTURA",0,$V2190*$H2190)</f>
        <v>0</v>
      </c>
      <c r="AI2190" s="18" t="n">
        <f aca="false">IF($K2190="SEM CULTURA",0,$W2190*$H2190)</f>
        <v>0</v>
      </c>
      <c r="AJ2190" s="18" t="n">
        <f aca="false">IF($K2190="SEM CULTURA",0,$S2190*$H2190)</f>
        <v>0</v>
      </c>
      <c r="AK2190" s="8" t="str">
        <f aca="false">$E2190&amp;"|"&amp;TEXT($AD2190,"0.000000")</f>
        <v>PV 135|0.000000</v>
      </c>
    </row>
    <row r="2191" customFormat="false" ht="15" hidden="false" customHeight="false" outlineLevel="0" collapsed="false">
      <c r="B2191" s="16" t="n">
        <v>8</v>
      </c>
      <c r="C2191" s="17" t="n">
        <f aca="false">DATA_INICIO_SAFRA+($B2191-1)*DIAS_POR_SEMANA</f>
        <v>46314</v>
      </c>
      <c r="D2191" s="17" t="n">
        <f aca="false">$C2191+DIAS_POR_SEMANA-1</f>
        <v>46320</v>
      </c>
      <c r="E2191" s="15" t="s">
        <v>292</v>
      </c>
      <c r="F2191" s="8" t="str">
        <f aca="false">IFERROR(INDEX(CADASTRO_PIVOS!$C$6:$C$41,MATCH($E2191,CADASTRO_PIVOS!$B$6:$B$41,0)),"?")</f>
        <v>RM08</v>
      </c>
      <c r="G2191" s="8" t="str">
        <f aca="false">IFERROR(INDEX(CADASTRO_PIVOS!$D$6:$D$41,MATCH($E2191,CADASTRO_PIVOS!$B$6:$B$41,0)),"?")</f>
        <v>TR08</v>
      </c>
      <c r="H2191" s="20" t="n">
        <f aca="false">IFERROR(INDEX(CADASTRO_PIVOS!$E$6:$E$41,MATCH($E2191,CADASTRO_PIVOS!$B$6:$B$41,0)),0)</f>
        <v>64</v>
      </c>
      <c r="I2191" s="16" t="n">
        <f aca="false">IFERROR(SUMIFS(ROTACAO_RDM!$B$6:$B$71,ROTACAO_RDM!$D$6:$D$71,$E2191,ROTACAO_RDM!$I$6:$I$71,"&lt;="&amp;$C2191+INT(DIAS_POR_SEMANA/2),ROTACAO_RDM!$J$6:$J$71,"&gt;="&amp;$C2191+INT(DIAS_POR_SEMANA/2)),0)</f>
        <v>0</v>
      </c>
      <c r="J2191" s="16" t="n">
        <f aca="false">IFERROR(MATCH($I2191,ROTACAO_RDM!$B$6:$B$71,0),0)</f>
        <v>0</v>
      </c>
      <c r="K2191" s="8" t="str">
        <f aca="false">IF($J2191=0,"SEM CULTURA",INDEX(ROTACAO_RDM!$F$6:$F$71,$J2191))</f>
        <v>SEM CULTURA</v>
      </c>
      <c r="L2191" s="8" t="str">
        <f aca="false">IF($J2191=0,"",INDEX(ROTACAO_RDM!$G$6:$G$71,$J2191))</f>
        <v/>
      </c>
      <c r="M2191" s="17" t="str">
        <f aca="false">IF($J2191=0,"",INDEX(ROTACAO_RDM!$I$6:$I$71,$J2191))</f>
        <v/>
      </c>
      <c r="N2191" s="16" t="n">
        <f aca="false">IF($J2191=0,0,MAX(0,$C2191+INT(DIAS_POR_SEMANA/2)-INDEX(ROTACAO_RDM!$I$6:$I$71,$J2191)))</f>
        <v>0</v>
      </c>
      <c r="O2191" s="19" t="n">
        <f aca="false">IF($J2191=0,0,MIN(1,$N2191/MAX(1,INDEX(ROTACAO_RDM!$K$6:$K$71,$J2191))))</f>
        <v>0</v>
      </c>
      <c r="P2191" s="16" t="n">
        <f aca="false">IF($J2191=0,0,IFERROR(MATCH(INDEX(ROTACAO_RDM!$N$6:$N$71,$J2191),PARAMETROS_CULTURAS!$B$6:$B$28,0),0))</f>
        <v>0</v>
      </c>
      <c r="Q2191" s="8" t="str">
        <f aca="false">IF($P2191=0,"-",IF($O2191&lt;=INDEX(PARAMETROS_CULTURAS!$F$6:$F$28,$P2191),"INICIAL",IF($O2191&lt;=INDEX(PARAMETROS_CULTURAS!$F$6:$F$28,$P2191)+INDEX(PARAMETROS_CULTURAS!$G$6:$G$28,$P2191),"DESENVOLVIMENTO",IF($O2191&lt;=INDEX(PARAMETROS_CULTURAS!$F$6:$F$28,$P2191)+INDEX(PARAMETROS_CULTURAS!$G$6:$G$28,$P2191)+INDEX(PARAMETROS_CULTURAS!$H$6:$H$28,$P2191),"MEDIA","FINAL"))))</f>
        <v>-</v>
      </c>
      <c r="R2191" s="24" t="n">
        <f aca="false">IF($P2191=0,0,IF($O2191&lt;=INDEX(PARAMETROS_CULTURAS!$F$6:$F$28,$P2191),INDEX(PARAMETROS_CULTURAS!$K$6:$K$28,$P2191),IF($O2191&lt;=INDEX(PARAMETROS_CULTURAS!$F$6:$F$28,$P2191)+INDEX(PARAMETROS_CULTURAS!$G$6:$G$28,$P2191),INDEX(PARAMETROS_CULTURAS!$K$6:$K$28,$P2191)+(INDEX(PARAMETROS_CULTURAS!$L$6:$L$28,$P2191)-INDEX(PARAMETROS_CULTURAS!$K$6:$K$28,$P2191))*($O2191-INDEX(PARAMETROS_CULTURAS!$F$6:$F$28,$P2191))/MAX(INDEX(PARAMETROS_CULTURAS!$G$6:$G$28,$P2191),0.0001),IF($O2191&lt;=INDEX(PARAMETROS_CULTURAS!$F$6:$F$28,$P2191)+INDEX(PARAMETROS_CULTURAS!$G$6:$G$28,$P2191)+INDEX(PARAMETROS_CULTURAS!$H$6:$H$28,$P2191),INDEX(PARAMETROS_CULTURAS!$L$6:$L$28,$P2191),INDEX(PARAMETROS_CULTURAS!$L$6:$L$28,$P2191)+(INDEX(PARAMETROS_CULTURAS!$M$6:$M$28,$P2191)-INDEX(PARAMETROS_CULTURAS!$L$6:$L$28,$P2191))*($O2191-INDEX(PARAMETROS_CULTURAS!$F$6:$F$28,$P2191)-INDEX(PARAMETROS_CULTURAS!$G$6:$G$28,$P2191)-INDEX(PARAMETROS_CULTURAS!$H$6:$H$28,$P2191))/MAX(INDEX(PARAMETROS_CULTURAS!$I$6:$I$28,$P2191),0.0001)))))</f>
        <v>0</v>
      </c>
      <c r="S2191" s="18" t="n">
        <f aca="false">IFERROR(INDEX(SEMANAS!$H$6:$H$71,MATCH($B2191,SEMANAS!$B$6:$B$71,0)),0)</f>
        <v>39.2</v>
      </c>
      <c r="T2191" s="18" t="n">
        <f aca="false">$R2191*$S2191</f>
        <v>0</v>
      </c>
      <c r="U2191" s="18" t="n">
        <f aca="false">IFERROR(INDEX(SEMANAS!$I$6:$I$71,MATCH($B2191,SEMANAS!$B$6:$B$71,0)),0)</f>
        <v>27.09</v>
      </c>
      <c r="V2191" s="18" t="n">
        <f aca="false">IFERROR(INDEX(SEMANAS!$J$6:$J$71,MATCH($B2191,SEMANAS!$B$6:$B$71,0)),0)</f>
        <v>21.672</v>
      </c>
      <c r="W2191" s="18" t="n">
        <f aca="false">MAX(0,$T2191-$V2191)</f>
        <v>0</v>
      </c>
      <c r="X2191" s="19" t="n">
        <f aca="false">IFERROR(INDEX(CADASTRO_PIVOS!$K$6:$K$41,MATCH($E2191,CADASTRO_PIVOS!$B$6:$B$41,0)),EFICIENCIA_PADRAO)</f>
        <v>0.85</v>
      </c>
      <c r="Y2191" s="18" t="n">
        <f aca="false">IF($X2191&lt;=0,0,$W2191/$X2191)</f>
        <v>0</v>
      </c>
      <c r="Z2191" s="16" t="n">
        <f aca="false">$Y2191*$H2191*MM_PARA_M3_HA</f>
        <v>0</v>
      </c>
      <c r="AA2191" s="18" t="n">
        <f aca="false">IFERROR(INDEX(CADASTRO_PIVOS!$I$6:$I$41,MATCH($E2191,CADASTRO_PIVOS!$B$6:$B$41,0)),0)</f>
        <v>457.142857142857</v>
      </c>
      <c r="AB2191" s="18" t="n">
        <f aca="false">IF($Z2191&lt;=0,0,$Z2191/$AA2191)</f>
        <v>0</v>
      </c>
      <c r="AC2191" s="16" t="n">
        <f aca="false">IFERROR(INDEX(SEMANAS!$K$6:$K$71,MATCH($B2191,SEMANAS!$B$6:$B$71,0)),0)</f>
        <v>147</v>
      </c>
      <c r="AD2191" s="19" t="n">
        <f aca="false">IF($AC2191&lt;=0,0,$AB2191/$AC2191)</f>
        <v>0</v>
      </c>
      <c r="AE2191" s="8" t="str">
        <f aca="false">IF($K2191="SEM CULTURA","SEM CULTURA",IF($AA2191&lt;=0,"DADO PENDENTE",IF($AD2191&gt;LIMITE_CRITICO,"INVIAVEL",IF($AD2191&gt;LIMITE_ATENCAO,"CRITICO",IF($AD2191&gt;LIMITE_CONFORTAVEL,"ATENCAO","OK")))))</f>
        <v>SEM CULTURA</v>
      </c>
      <c r="AF2191" s="8" t="str">
        <f aca="false">$B2191&amp;"|"&amp;TEXT($AD2191,"0.000000")</f>
        <v>8|0.000000</v>
      </c>
      <c r="AG2191" s="18" t="n">
        <f aca="false">IF($K2191="SEM CULTURA",0,$T2191*$H2191)</f>
        <v>0</v>
      </c>
      <c r="AH2191" s="18" t="n">
        <f aca="false">IF($K2191="SEM CULTURA",0,$V2191*$H2191)</f>
        <v>0</v>
      </c>
      <c r="AI2191" s="18" t="n">
        <f aca="false">IF($K2191="SEM CULTURA",0,$W2191*$H2191)</f>
        <v>0</v>
      </c>
      <c r="AJ2191" s="18" t="n">
        <f aca="false">IF($K2191="SEM CULTURA",0,$S2191*$H2191)</f>
        <v>0</v>
      </c>
      <c r="AK2191" s="8" t="str">
        <f aca="false">$E2191&amp;"|"&amp;TEXT($AD2191,"0.000000")</f>
        <v>PV 135|0.000000</v>
      </c>
    </row>
    <row r="2192" customFormat="false" ht="15" hidden="false" customHeight="false" outlineLevel="0" collapsed="false">
      <c r="B2192" s="16" t="n">
        <v>9</v>
      </c>
      <c r="C2192" s="17" t="n">
        <f aca="false">DATA_INICIO_SAFRA+($B2192-1)*DIAS_POR_SEMANA</f>
        <v>46321</v>
      </c>
      <c r="D2192" s="17" t="n">
        <f aca="false">$C2192+DIAS_POR_SEMANA-1</f>
        <v>46327</v>
      </c>
      <c r="E2192" s="15" t="s">
        <v>292</v>
      </c>
      <c r="F2192" s="8" t="str">
        <f aca="false">IFERROR(INDEX(CADASTRO_PIVOS!$C$6:$C$41,MATCH($E2192,CADASTRO_PIVOS!$B$6:$B$41,0)),"?")</f>
        <v>RM08</v>
      </c>
      <c r="G2192" s="8" t="str">
        <f aca="false">IFERROR(INDEX(CADASTRO_PIVOS!$D$6:$D$41,MATCH($E2192,CADASTRO_PIVOS!$B$6:$B$41,0)),"?")</f>
        <v>TR08</v>
      </c>
      <c r="H2192" s="20" t="n">
        <f aca="false">IFERROR(INDEX(CADASTRO_PIVOS!$E$6:$E$41,MATCH($E2192,CADASTRO_PIVOS!$B$6:$B$41,0)),0)</f>
        <v>64</v>
      </c>
      <c r="I2192" s="16" t="n">
        <f aca="false">IFERROR(SUMIFS(ROTACAO_RDM!$B$6:$B$71,ROTACAO_RDM!$D$6:$D$71,$E2192,ROTACAO_RDM!$I$6:$I$71,"&lt;="&amp;$C2192+INT(DIAS_POR_SEMANA/2),ROTACAO_RDM!$J$6:$J$71,"&gt;="&amp;$C2192+INT(DIAS_POR_SEMANA/2)),0)</f>
        <v>0</v>
      </c>
      <c r="J2192" s="16" t="n">
        <f aca="false">IFERROR(MATCH($I2192,ROTACAO_RDM!$B$6:$B$71,0),0)</f>
        <v>0</v>
      </c>
      <c r="K2192" s="8" t="str">
        <f aca="false">IF($J2192=0,"SEM CULTURA",INDEX(ROTACAO_RDM!$F$6:$F$71,$J2192))</f>
        <v>SEM CULTURA</v>
      </c>
      <c r="L2192" s="8" t="str">
        <f aca="false">IF($J2192=0,"",INDEX(ROTACAO_RDM!$G$6:$G$71,$J2192))</f>
        <v/>
      </c>
      <c r="M2192" s="17" t="str">
        <f aca="false">IF($J2192=0,"",INDEX(ROTACAO_RDM!$I$6:$I$71,$J2192))</f>
        <v/>
      </c>
      <c r="N2192" s="16" t="n">
        <f aca="false">IF($J2192=0,0,MAX(0,$C2192+INT(DIAS_POR_SEMANA/2)-INDEX(ROTACAO_RDM!$I$6:$I$71,$J2192)))</f>
        <v>0</v>
      </c>
      <c r="O2192" s="19" t="n">
        <f aca="false">IF($J2192=0,0,MIN(1,$N2192/MAX(1,INDEX(ROTACAO_RDM!$K$6:$K$71,$J2192))))</f>
        <v>0</v>
      </c>
      <c r="P2192" s="16" t="n">
        <f aca="false">IF($J2192=0,0,IFERROR(MATCH(INDEX(ROTACAO_RDM!$N$6:$N$71,$J2192),PARAMETROS_CULTURAS!$B$6:$B$28,0),0))</f>
        <v>0</v>
      </c>
      <c r="Q2192" s="8" t="str">
        <f aca="false">IF($P2192=0,"-",IF($O2192&lt;=INDEX(PARAMETROS_CULTURAS!$F$6:$F$28,$P2192),"INICIAL",IF($O2192&lt;=INDEX(PARAMETROS_CULTURAS!$F$6:$F$28,$P2192)+INDEX(PARAMETROS_CULTURAS!$G$6:$G$28,$P2192),"DESENVOLVIMENTO",IF($O2192&lt;=INDEX(PARAMETROS_CULTURAS!$F$6:$F$28,$P2192)+INDEX(PARAMETROS_CULTURAS!$G$6:$G$28,$P2192)+INDEX(PARAMETROS_CULTURAS!$H$6:$H$28,$P2192),"MEDIA","FINAL"))))</f>
        <v>-</v>
      </c>
      <c r="R2192" s="24" t="n">
        <f aca="false">IF($P2192=0,0,IF($O2192&lt;=INDEX(PARAMETROS_CULTURAS!$F$6:$F$28,$P2192),INDEX(PARAMETROS_CULTURAS!$K$6:$K$28,$P2192),IF($O2192&lt;=INDEX(PARAMETROS_CULTURAS!$F$6:$F$28,$P2192)+INDEX(PARAMETROS_CULTURAS!$G$6:$G$28,$P2192),INDEX(PARAMETROS_CULTURAS!$K$6:$K$28,$P2192)+(INDEX(PARAMETROS_CULTURAS!$L$6:$L$28,$P2192)-INDEX(PARAMETROS_CULTURAS!$K$6:$K$28,$P2192))*($O2192-INDEX(PARAMETROS_CULTURAS!$F$6:$F$28,$P2192))/MAX(INDEX(PARAMETROS_CULTURAS!$G$6:$G$28,$P2192),0.0001),IF($O2192&lt;=INDEX(PARAMETROS_CULTURAS!$F$6:$F$28,$P2192)+INDEX(PARAMETROS_CULTURAS!$G$6:$G$28,$P2192)+INDEX(PARAMETROS_CULTURAS!$H$6:$H$28,$P2192),INDEX(PARAMETROS_CULTURAS!$L$6:$L$28,$P2192),INDEX(PARAMETROS_CULTURAS!$L$6:$L$28,$P2192)+(INDEX(PARAMETROS_CULTURAS!$M$6:$M$28,$P2192)-INDEX(PARAMETROS_CULTURAS!$L$6:$L$28,$P2192))*($O2192-INDEX(PARAMETROS_CULTURAS!$F$6:$F$28,$P2192)-INDEX(PARAMETROS_CULTURAS!$G$6:$G$28,$P2192)-INDEX(PARAMETROS_CULTURAS!$H$6:$H$28,$P2192))/MAX(INDEX(PARAMETROS_CULTURAS!$I$6:$I$28,$P2192),0.0001)))))</f>
        <v>0</v>
      </c>
      <c r="S2192" s="18" t="n">
        <f aca="false">IFERROR(INDEX(SEMANAS!$H$6:$H$71,MATCH($B2192,SEMANAS!$B$6:$B$71,0)),0)</f>
        <v>38.5</v>
      </c>
      <c r="T2192" s="18" t="n">
        <f aca="false">$R2192*$S2192</f>
        <v>0</v>
      </c>
      <c r="U2192" s="18" t="n">
        <f aca="false">IFERROR(INDEX(SEMANAS!$I$6:$I$71,MATCH($B2192,SEMANAS!$B$6:$B$71,0)),0)</f>
        <v>29.89</v>
      </c>
      <c r="V2192" s="18" t="n">
        <f aca="false">IFERROR(INDEX(SEMANAS!$J$6:$J$71,MATCH($B2192,SEMANAS!$B$6:$B$71,0)),0)</f>
        <v>23.912</v>
      </c>
      <c r="W2192" s="18" t="n">
        <f aca="false">MAX(0,$T2192-$V2192)</f>
        <v>0</v>
      </c>
      <c r="X2192" s="19" t="n">
        <f aca="false">IFERROR(INDEX(CADASTRO_PIVOS!$K$6:$K$41,MATCH($E2192,CADASTRO_PIVOS!$B$6:$B$41,0)),EFICIENCIA_PADRAO)</f>
        <v>0.85</v>
      </c>
      <c r="Y2192" s="18" t="n">
        <f aca="false">IF($X2192&lt;=0,0,$W2192/$X2192)</f>
        <v>0</v>
      </c>
      <c r="Z2192" s="16" t="n">
        <f aca="false">$Y2192*$H2192*MM_PARA_M3_HA</f>
        <v>0</v>
      </c>
      <c r="AA2192" s="18" t="n">
        <f aca="false">IFERROR(INDEX(CADASTRO_PIVOS!$I$6:$I$41,MATCH($E2192,CADASTRO_PIVOS!$B$6:$B$41,0)),0)</f>
        <v>457.142857142857</v>
      </c>
      <c r="AB2192" s="18" t="n">
        <f aca="false">IF($Z2192&lt;=0,0,$Z2192/$AA2192)</f>
        <v>0</v>
      </c>
      <c r="AC2192" s="16" t="n">
        <f aca="false">IFERROR(INDEX(SEMANAS!$K$6:$K$71,MATCH($B2192,SEMANAS!$B$6:$B$71,0)),0)</f>
        <v>147</v>
      </c>
      <c r="AD2192" s="19" t="n">
        <f aca="false">IF($AC2192&lt;=0,0,$AB2192/$AC2192)</f>
        <v>0</v>
      </c>
      <c r="AE2192" s="8" t="str">
        <f aca="false">IF($K2192="SEM CULTURA","SEM CULTURA",IF($AA2192&lt;=0,"DADO PENDENTE",IF($AD2192&gt;LIMITE_CRITICO,"INVIAVEL",IF($AD2192&gt;LIMITE_ATENCAO,"CRITICO",IF($AD2192&gt;LIMITE_CONFORTAVEL,"ATENCAO","OK")))))</f>
        <v>SEM CULTURA</v>
      </c>
      <c r="AF2192" s="8" t="str">
        <f aca="false">$B2192&amp;"|"&amp;TEXT($AD2192,"0.000000")</f>
        <v>9|0.000000</v>
      </c>
      <c r="AG2192" s="18" t="n">
        <f aca="false">IF($K2192="SEM CULTURA",0,$T2192*$H2192)</f>
        <v>0</v>
      </c>
      <c r="AH2192" s="18" t="n">
        <f aca="false">IF($K2192="SEM CULTURA",0,$V2192*$H2192)</f>
        <v>0</v>
      </c>
      <c r="AI2192" s="18" t="n">
        <f aca="false">IF($K2192="SEM CULTURA",0,$W2192*$H2192)</f>
        <v>0</v>
      </c>
      <c r="AJ2192" s="18" t="n">
        <f aca="false">IF($K2192="SEM CULTURA",0,$S2192*$H2192)</f>
        <v>0</v>
      </c>
      <c r="AK2192" s="8" t="str">
        <f aca="false">$E2192&amp;"|"&amp;TEXT($AD2192,"0.000000")</f>
        <v>PV 135|0.000000</v>
      </c>
    </row>
    <row r="2193" customFormat="false" ht="15" hidden="false" customHeight="false" outlineLevel="0" collapsed="false">
      <c r="B2193" s="16" t="n">
        <v>10</v>
      </c>
      <c r="C2193" s="17" t="n">
        <f aca="false">DATA_INICIO_SAFRA+($B2193-1)*DIAS_POR_SEMANA</f>
        <v>46328</v>
      </c>
      <c r="D2193" s="17" t="n">
        <f aca="false">$C2193+DIAS_POR_SEMANA-1</f>
        <v>46334</v>
      </c>
      <c r="E2193" s="15" t="s">
        <v>292</v>
      </c>
      <c r="F2193" s="8" t="str">
        <f aca="false">IFERROR(INDEX(CADASTRO_PIVOS!$C$6:$C$41,MATCH($E2193,CADASTRO_PIVOS!$B$6:$B$41,0)),"?")</f>
        <v>RM08</v>
      </c>
      <c r="G2193" s="8" t="str">
        <f aca="false">IFERROR(INDEX(CADASTRO_PIVOS!$D$6:$D$41,MATCH($E2193,CADASTRO_PIVOS!$B$6:$B$41,0)),"?")</f>
        <v>TR08</v>
      </c>
      <c r="H2193" s="20" t="n">
        <f aca="false">IFERROR(INDEX(CADASTRO_PIVOS!$E$6:$E$41,MATCH($E2193,CADASTRO_PIVOS!$B$6:$B$41,0)),0)</f>
        <v>64</v>
      </c>
      <c r="I2193" s="16" t="n">
        <f aca="false">IFERROR(SUMIFS(ROTACAO_RDM!$B$6:$B$71,ROTACAO_RDM!$D$6:$D$71,$E2193,ROTACAO_RDM!$I$6:$I$71,"&lt;="&amp;$C2193+INT(DIAS_POR_SEMANA/2),ROTACAO_RDM!$J$6:$J$71,"&gt;="&amp;$C2193+INT(DIAS_POR_SEMANA/2)),0)</f>
        <v>0</v>
      </c>
      <c r="J2193" s="16" t="n">
        <f aca="false">IFERROR(MATCH($I2193,ROTACAO_RDM!$B$6:$B$71,0),0)</f>
        <v>0</v>
      </c>
      <c r="K2193" s="8" t="str">
        <f aca="false">IF($J2193=0,"SEM CULTURA",INDEX(ROTACAO_RDM!$F$6:$F$71,$J2193))</f>
        <v>SEM CULTURA</v>
      </c>
      <c r="L2193" s="8" t="str">
        <f aca="false">IF($J2193=0,"",INDEX(ROTACAO_RDM!$G$6:$G$71,$J2193))</f>
        <v/>
      </c>
      <c r="M2193" s="17" t="str">
        <f aca="false">IF($J2193=0,"",INDEX(ROTACAO_RDM!$I$6:$I$71,$J2193))</f>
        <v/>
      </c>
      <c r="N2193" s="16" t="n">
        <f aca="false">IF($J2193=0,0,MAX(0,$C2193+INT(DIAS_POR_SEMANA/2)-INDEX(ROTACAO_RDM!$I$6:$I$71,$J2193)))</f>
        <v>0</v>
      </c>
      <c r="O2193" s="19" t="n">
        <f aca="false">IF($J2193=0,0,MIN(1,$N2193/MAX(1,INDEX(ROTACAO_RDM!$K$6:$K$71,$J2193))))</f>
        <v>0</v>
      </c>
      <c r="P2193" s="16" t="n">
        <f aca="false">IF($J2193=0,0,IFERROR(MATCH(INDEX(ROTACAO_RDM!$N$6:$N$71,$J2193),PARAMETROS_CULTURAS!$B$6:$B$28,0),0))</f>
        <v>0</v>
      </c>
      <c r="Q2193" s="8" t="str">
        <f aca="false">IF($P2193=0,"-",IF($O2193&lt;=INDEX(PARAMETROS_CULTURAS!$F$6:$F$28,$P2193),"INICIAL",IF($O2193&lt;=INDEX(PARAMETROS_CULTURAS!$F$6:$F$28,$P2193)+INDEX(PARAMETROS_CULTURAS!$G$6:$G$28,$P2193),"DESENVOLVIMENTO",IF($O2193&lt;=INDEX(PARAMETROS_CULTURAS!$F$6:$F$28,$P2193)+INDEX(PARAMETROS_CULTURAS!$G$6:$G$28,$P2193)+INDEX(PARAMETROS_CULTURAS!$H$6:$H$28,$P2193),"MEDIA","FINAL"))))</f>
        <v>-</v>
      </c>
      <c r="R2193" s="24" t="n">
        <f aca="false">IF($P2193=0,0,IF($O2193&lt;=INDEX(PARAMETROS_CULTURAS!$F$6:$F$28,$P2193),INDEX(PARAMETROS_CULTURAS!$K$6:$K$28,$P2193),IF($O2193&lt;=INDEX(PARAMETROS_CULTURAS!$F$6:$F$28,$P2193)+INDEX(PARAMETROS_CULTURAS!$G$6:$G$28,$P2193),INDEX(PARAMETROS_CULTURAS!$K$6:$K$28,$P2193)+(INDEX(PARAMETROS_CULTURAS!$L$6:$L$28,$P2193)-INDEX(PARAMETROS_CULTURAS!$K$6:$K$28,$P2193))*($O2193-INDEX(PARAMETROS_CULTURAS!$F$6:$F$28,$P2193))/MAX(INDEX(PARAMETROS_CULTURAS!$G$6:$G$28,$P2193),0.0001),IF($O2193&lt;=INDEX(PARAMETROS_CULTURAS!$F$6:$F$28,$P2193)+INDEX(PARAMETROS_CULTURAS!$G$6:$G$28,$P2193)+INDEX(PARAMETROS_CULTURAS!$H$6:$H$28,$P2193),INDEX(PARAMETROS_CULTURAS!$L$6:$L$28,$P2193),INDEX(PARAMETROS_CULTURAS!$L$6:$L$28,$P2193)+(INDEX(PARAMETROS_CULTURAS!$M$6:$M$28,$P2193)-INDEX(PARAMETROS_CULTURAS!$L$6:$L$28,$P2193))*($O2193-INDEX(PARAMETROS_CULTURAS!$F$6:$F$28,$P2193)-INDEX(PARAMETROS_CULTURAS!$G$6:$G$28,$P2193)-INDEX(PARAMETROS_CULTURAS!$H$6:$H$28,$P2193))/MAX(INDEX(PARAMETROS_CULTURAS!$I$6:$I$28,$P2193),0.0001)))))</f>
        <v>0</v>
      </c>
      <c r="S2193" s="18" t="n">
        <f aca="false">IFERROR(INDEX(SEMANAS!$H$6:$H$71,MATCH($B2193,SEMANAS!$B$6:$B$71,0)),0)</f>
        <v>34.3</v>
      </c>
      <c r="T2193" s="18" t="n">
        <f aca="false">$R2193*$S2193</f>
        <v>0</v>
      </c>
      <c r="U2193" s="18" t="n">
        <f aca="false">IFERROR(INDEX(SEMANAS!$I$6:$I$71,MATCH($B2193,SEMANAS!$B$6:$B$71,0)),0)</f>
        <v>46.69</v>
      </c>
      <c r="V2193" s="18" t="n">
        <f aca="false">IFERROR(INDEX(SEMANAS!$J$6:$J$71,MATCH($B2193,SEMANAS!$B$6:$B$71,0)),0)</f>
        <v>37.352</v>
      </c>
      <c r="W2193" s="18" t="n">
        <f aca="false">MAX(0,$T2193-$V2193)</f>
        <v>0</v>
      </c>
      <c r="X2193" s="19" t="n">
        <f aca="false">IFERROR(INDEX(CADASTRO_PIVOS!$K$6:$K$41,MATCH($E2193,CADASTRO_PIVOS!$B$6:$B$41,0)),EFICIENCIA_PADRAO)</f>
        <v>0.85</v>
      </c>
      <c r="Y2193" s="18" t="n">
        <f aca="false">IF($X2193&lt;=0,0,$W2193/$X2193)</f>
        <v>0</v>
      </c>
      <c r="Z2193" s="16" t="n">
        <f aca="false">$Y2193*$H2193*MM_PARA_M3_HA</f>
        <v>0</v>
      </c>
      <c r="AA2193" s="18" t="n">
        <f aca="false">IFERROR(INDEX(CADASTRO_PIVOS!$I$6:$I$41,MATCH($E2193,CADASTRO_PIVOS!$B$6:$B$41,0)),0)</f>
        <v>457.142857142857</v>
      </c>
      <c r="AB2193" s="18" t="n">
        <f aca="false">IF($Z2193&lt;=0,0,$Z2193/$AA2193)</f>
        <v>0</v>
      </c>
      <c r="AC2193" s="16" t="n">
        <f aca="false">IFERROR(INDEX(SEMANAS!$K$6:$K$71,MATCH($B2193,SEMANAS!$B$6:$B$71,0)),0)</f>
        <v>147</v>
      </c>
      <c r="AD2193" s="19" t="n">
        <f aca="false">IF($AC2193&lt;=0,0,$AB2193/$AC2193)</f>
        <v>0</v>
      </c>
      <c r="AE2193" s="8" t="str">
        <f aca="false">IF($K2193="SEM CULTURA","SEM CULTURA",IF($AA2193&lt;=0,"DADO PENDENTE",IF($AD2193&gt;LIMITE_CRITICO,"INVIAVEL",IF($AD2193&gt;LIMITE_ATENCAO,"CRITICO",IF($AD2193&gt;LIMITE_CONFORTAVEL,"ATENCAO","OK")))))</f>
        <v>SEM CULTURA</v>
      </c>
      <c r="AF2193" s="8" t="str">
        <f aca="false">$B2193&amp;"|"&amp;TEXT($AD2193,"0.000000")</f>
        <v>10|0.000000</v>
      </c>
      <c r="AG2193" s="18" t="n">
        <f aca="false">IF($K2193="SEM CULTURA",0,$T2193*$H2193)</f>
        <v>0</v>
      </c>
      <c r="AH2193" s="18" t="n">
        <f aca="false">IF($K2193="SEM CULTURA",0,$V2193*$H2193)</f>
        <v>0</v>
      </c>
      <c r="AI2193" s="18" t="n">
        <f aca="false">IF($K2193="SEM CULTURA",0,$W2193*$H2193)</f>
        <v>0</v>
      </c>
      <c r="AJ2193" s="18" t="n">
        <f aca="false">IF($K2193="SEM CULTURA",0,$S2193*$H2193)</f>
        <v>0</v>
      </c>
      <c r="AK2193" s="8" t="str">
        <f aca="false">$E2193&amp;"|"&amp;TEXT($AD2193,"0.000000")</f>
        <v>PV 135|0.000000</v>
      </c>
    </row>
    <row r="2194" customFormat="false" ht="15" hidden="false" customHeight="false" outlineLevel="0" collapsed="false">
      <c r="B2194" s="16" t="n">
        <v>11</v>
      </c>
      <c r="C2194" s="17" t="n">
        <f aca="false">DATA_INICIO_SAFRA+($B2194-1)*DIAS_POR_SEMANA</f>
        <v>46335</v>
      </c>
      <c r="D2194" s="17" t="n">
        <f aca="false">$C2194+DIAS_POR_SEMANA-1</f>
        <v>46341</v>
      </c>
      <c r="E2194" s="15" t="s">
        <v>292</v>
      </c>
      <c r="F2194" s="8" t="str">
        <f aca="false">IFERROR(INDEX(CADASTRO_PIVOS!$C$6:$C$41,MATCH($E2194,CADASTRO_PIVOS!$B$6:$B$41,0)),"?")</f>
        <v>RM08</v>
      </c>
      <c r="G2194" s="8" t="str">
        <f aca="false">IFERROR(INDEX(CADASTRO_PIVOS!$D$6:$D$41,MATCH($E2194,CADASTRO_PIVOS!$B$6:$B$41,0)),"?")</f>
        <v>TR08</v>
      </c>
      <c r="H2194" s="20" t="n">
        <f aca="false">IFERROR(INDEX(CADASTRO_PIVOS!$E$6:$E$41,MATCH($E2194,CADASTRO_PIVOS!$B$6:$B$41,0)),0)</f>
        <v>64</v>
      </c>
      <c r="I2194" s="16" t="n">
        <f aca="false">IFERROR(SUMIFS(ROTACAO_RDM!$B$6:$B$71,ROTACAO_RDM!$D$6:$D$71,$E2194,ROTACAO_RDM!$I$6:$I$71,"&lt;="&amp;$C2194+INT(DIAS_POR_SEMANA/2),ROTACAO_RDM!$J$6:$J$71,"&gt;="&amp;$C2194+INT(DIAS_POR_SEMANA/2)),0)</f>
        <v>0</v>
      </c>
      <c r="J2194" s="16" t="n">
        <f aca="false">IFERROR(MATCH($I2194,ROTACAO_RDM!$B$6:$B$71,0),0)</f>
        <v>0</v>
      </c>
      <c r="K2194" s="8" t="str">
        <f aca="false">IF($J2194=0,"SEM CULTURA",INDEX(ROTACAO_RDM!$F$6:$F$71,$J2194))</f>
        <v>SEM CULTURA</v>
      </c>
      <c r="L2194" s="8" t="str">
        <f aca="false">IF($J2194=0,"",INDEX(ROTACAO_RDM!$G$6:$G$71,$J2194))</f>
        <v/>
      </c>
      <c r="M2194" s="17" t="str">
        <f aca="false">IF($J2194=0,"",INDEX(ROTACAO_RDM!$I$6:$I$71,$J2194))</f>
        <v/>
      </c>
      <c r="N2194" s="16" t="n">
        <f aca="false">IF($J2194=0,0,MAX(0,$C2194+INT(DIAS_POR_SEMANA/2)-INDEX(ROTACAO_RDM!$I$6:$I$71,$J2194)))</f>
        <v>0</v>
      </c>
      <c r="O2194" s="19" t="n">
        <f aca="false">IF($J2194=0,0,MIN(1,$N2194/MAX(1,INDEX(ROTACAO_RDM!$K$6:$K$71,$J2194))))</f>
        <v>0</v>
      </c>
      <c r="P2194" s="16" t="n">
        <f aca="false">IF($J2194=0,0,IFERROR(MATCH(INDEX(ROTACAO_RDM!$N$6:$N$71,$J2194),PARAMETROS_CULTURAS!$B$6:$B$28,0),0))</f>
        <v>0</v>
      </c>
      <c r="Q2194" s="8" t="str">
        <f aca="false">IF($P2194=0,"-",IF($O2194&lt;=INDEX(PARAMETROS_CULTURAS!$F$6:$F$28,$P2194),"INICIAL",IF($O2194&lt;=INDEX(PARAMETROS_CULTURAS!$F$6:$F$28,$P2194)+INDEX(PARAMETROS_CULTURAS!$G$6:$G$28,$P2194),"DESENVOLVIMENTO",IF($O2194&lt;=INDEX(PARAMETROS_CULTURAS!$F$6:$F$28,$P2194)+INDEX(PARAMETROS_CULTURAS!$G$6:$G$28,$P2194)+INDEX(PARAMETROS_CULTURAS!$H$6:$H$28,$P2194),"MEDIA","FINAL"))))</f>
        <v>-</v>
      </c>
      <c r="R2194" s="24" t="n">
        <f aca="false">IF($P2194=0,0,IF($O2194&lt;=INDEX(PARAMETROS_CULTURAS!$F$6:$F$28,$P2194),INDEX(PARAMETROS_CULTURAS!$K$6:$K$28,$P2194),IF($O2194&lt;=INDEX(PARAMETROS_CULTURAS!$F$6:$F$28,$P2194)+INDEX(PARAMETROS_CULTURAS!$G$6:$G$28,$P2194),INDEX(PARAMETROS_CULTURAS!$K$6:$K$28,$P2194)+(INDEX(PARAMETROS_CULTURAS!$L$6:$L$28,$P2194)-INDEX(PARAMETROS_CULTURAS!$K$6:$K$28,$P2194))*($O2194-INDEX(PARAMETROS_CULTURAS!$F$6:$F$28,$P2194))/MAX(INDEX(PARAMETROS_CULTURAS!$G$6:$G$28,$P2194),0.0001),IF($O2194&lt;=INDEX(PARAMETROS_CULTURAS!$F$6:$F$28,$P2194)+INDEX(PARAMETROS_CULTURAS!$G$6:$G$28,$P2194)+INDEX(PARAMETROS_CULTURAS!$H$6:$H$28,$P2194),INDEX(PARAMETROS_CULTURAS!$L$6:$L$28,$P2194),INDEX(PARAMETROS_CULTURAS!$L$6:$L$28,$P2194)+(INDEX(PARAMETROS_CULTURAS!$M$6:$M$28,$P2194)-INDEX(PARAMETROS_CULTURAS!$L$6:$L$28,$P2194))*($O2194-INDEX(PARAMETROS_CULTURAS!$F$6:$F$28,$P2194)-INDEX(PARAMETROS_CULTURAS!$G$6:$G$28,$P2194)-INDEX(PARAMETROS_CULTURAS!$H$6:$H$28,$P2194))/MAX(INDEX(PARAMETROS_CULTURAS!$I$6:$I$28,$P2194),0.0001)))))</f>
        <v>0</v>
      </c>
      <c r="S2194" s="18" t="n">
        <f aca="false">IFERROR(INDEX(SEMANAS!$H$6:$H$71,MATCH($B2194,SEMANAS!$B$6:$B$71,0)),0)</f>
        <v>34.3</v>
      </c>
      <c r="T2194" s="18" t="n">
        <f aca="false">$R2194*$S2194</f>
        <v>0</v>
      </c>
      <c r="U2194" s="18" t="n">
        <f aca="false">IFERROR(INDEX(SEMANAS!$I$6:$I$71,MATCH($B2194,SEMANAS!$B$6:$B$71,0)),0)</f>
        <v>46.69</v>
      </c>
      <c r="V2194" s="18" t="n">
        <f aca="false">IFERROR(INDEX(SEMANAS!$J$6:$J$71,MATCH($B2194,SEMANAS!$B$6:$B$71,0)),0)</f>
        <v>37.352</v>
      </c>
      <c r="W2194" s="18" t="n">
        <f aca="false">MAX(0,$T2194-$V2194)</f>
        <v>0</v>
      </c>
      <c r="X2194" s="19" t="n">
        <f aca="false">IFERROR(INDEX(CADASTRO_PIVOS!$K$6:$K$41,MATCH($E2194,CADASTRO_PIVOS!$B$6:$B$41,0)),EFICIENCIA_PADRAO)</f>
        <v>0.85</v>
      </c>
      <c r="Y2194" s="18" t="n">
        <f aca="false">IF($X2194&lt;=0,0,$W2194/$X2194)</f>
        <v>0</v>
      </c>
      <c r="Z2194" s="16" t="n">
        <f aca="false">$Y2194*$H2194*MM_PARA_M3_HA</f>
        <v>0</v>
      </c>
      <c r="AA2194" s="18" t="n">
        <f aca="false">IFERROR(INDEX(CADASTRO_PIVOS!$I$6:$I$41,MATCH($E2194,CADASTRO_PIVOS!$B$6:$B$41,0)),0)</f>
        <v>457.142857142857</v>
      </c>
      <c r="AB2194" s="18" t="n">
        <f aca="false">IF($Z2194&lt;=0,0,$Z2194/$AA2194)</f>
        <v>0</v>
      </c>
      <c r="AC2194" s="16" t="n">
        <f aca="false">IFERROR(INDEX(SEMANAS!$K$6:$K$71,MATCH($B2194,SEMANAS!$B$6:$B$71,0)),0)</f>
        <v>147</v>
      </c>
      <c r="AD2194" s="19" t="n">
        <f aca="false">IF($AC2194&lt;=0,0,$AB2194/$AC2194)</f>
        <v>0</v>
      </c>
      <c r="AE2194" s="8" t="str">
        <f aca="false">IF($K2194="SEM CULTURA","SEM CULTURA",IF($AA2194&lt;=0,"DADO PENDENTE",IF($AD2194&gt;LIMITE_CRITICO,"INVIAVEL",IF($AD2194&gt;LIMITE_ATENCAO,"CRITICO",IF($AD2194&gt;LIMITE_CONFORTAVEL,"ATENCAO","OK")))))</f>
        <v>SEM CULTURA</v>
      </c>
      <c r="AF2194" s="8" t="str">
        <f aca="false">$B2194&amp;"|"&amp;TEXT($AD2194,"0.000000")</f>
        <v>11|0.000000</v>
      </c>
      <c r="AG2194" s="18" t="n">
        <f aca="false">IF($K2194="SEM CULTURA",0,$T2194*$H2194)</f>
        <v>0</v>
      </c>
      <c r="AH2194" s="18" t="n">
        <f aca="false">IF($K2194="SEM CULTURA",0,$V2194*$H2194)</f>
        <v>0</v>
      </c>
      <c r="AI2194" s="18" t="n">
        <f aca="false">IF($K2194="SEM CULTURA",0,$W2194*$H2194)</f>
        <v>0</v>
      </c>
      <c r="AJ2194" s="18" t="n">
        <f aca="false">IF($K2194="SEM CULTURA",0,$S2194*$H2194)</f>
        <v>0</v>
      </c>
      <c r="AK2194" s="8" t="str">
        <f aca="false">$E2194&amp;"|"&amp;TEXT($AD2194,"0.000000")</f>
        <v>PV 135|0.000000</v>
      </c>
    </row>
    <row r="2195" customFormat="false" ht="15" hidden="false" customHeight="false" outlineLevel="0" collapsed="false">
      <c r="B2195" s="16" t="n">
        <v>12</v>
      </c>
      <c r="C2195" s="17" t="n">
        <f aca="false">DATA_INICIO_SAFRA+($B2195-1)*DIAS_POR_SEMANA</f>
        <v>46342</v>
      </c>
      <c r="D2195" s="17" t="n">
        <f aca="false">$C2195+DIAS_POR_SEMANA-1</f>
        <v>46348</v>
      </c>
      <c r="E2195" s="15" t="s">
        <v>292</v>
      </c>
      <c r="F2195" s="8" t="str">
        <f aca="false">IFERROR(INDEX(CADASTRO_PIVOS!$C$6:$C$41,MATCH($E2195,CADASTRO_PIVOS!$B$6:$B$41,0)),"?")</f>
        <v>RM08</v>
      </c>
      <c r="G2195" s="8" t="str">
        <f aca="false">IFERROR(INDEX(CADASTRO_PIVOS!$D$6:$D$41,MATCH($E2195,CADASTRO_PIVOS!$B$6:$B$41,0)),"?")</f>
        <v>TR08</v>
      </c>
      <c r="H2195" s="20" t="n">
        <f aca="false">IFERROR(INDEX(CADASTRO_PIVOS!$E$6:$E$41,MATCH($E2195,CADASTRO_PIVOS!$B$6:$B$41,0)),0)</f>
        <v>64</v>
      </c>
      <c r="I2195" s="16" t="n">
        <f aca="false">IFERROR(SUMIFS(ROTACAO_RDM!$B$6:$B$71,ROTACAO_RDM!$D$6:$D$71,$E2195,ROTACAO_RDM!$I$6:$I$71,"&lt;="&amp;$C2195+INT(DIAS_POR_SEMANA/2),ROTACAO_RDM!$J$6:$J$71,"&gt;="&amp;$C2195+INT(DIAS_POR_SEMANA/2)),0)</f>
        <v>0</v>
      </c>
      <c r="J2195" s="16" t="n">
        <f aca="false">IFERROR(MATCH($I2195,ROTACAO_RDM!$B$6:$B$71,0),0)</f>
        <v>0</v>
      </c>
      <c r="K2195" s="8" t="str">
        <f aca="false">IF($J2195=0,"SEM CULTURA",INDEX(ROTACAO_RDM!$F$6:$F$71,$J2195))</f>
        <v>SEM CULTURA</v>
      </c>
      <c r="L2195" s="8" t="str">
        <f aca="false">IF($J2195=0,"",INDEX(ROTACAO_RDM!$G$6:$G$71,$J2195))</f>
        <v/>
      </c>
      <c r="M2195" s="17" t="str">
        <f aca="false">IF($J2195=0,"",INDEX(ROTACAO_RDM!$I$6:$I$71,$J2195))</f>
        <v/>
      </c>
      <c r="N2195" s="16" t="n">
        <f aca="false">IF($J2195=0,0,MAX(0,$C2195+INT(DIAS_POR_SEMANA/2)-INDEX(ROTACAO_RDM!$I$6:$I$71,$J2195)))</f>
        <v>0</v>
      </c>
      <c r="O2195" s="19" t="n">
        <f aca="false">IF($J2195=0,0,MIN(1,$N2195/MAX(1,INDEX(ROTACAO_RDM!$K$6:$K$71,$J2195))))</f>
        <v>0</v>
      </c>
      <c r="P2195" s="16" t="n">
        <f aca="false">IF($J2195=0,0,IFERROR(MATCH(INDEX(ROTACAO_RDM!$N$6:$N$71,$J2195),PARAMETROS_CULTURAS!$B$6:$B$28,0),0))</f>
        <v>0</v>
      </c>
      <c r="Q2195" s="8" t="str">
        <f aca="false">IF($P2195=0,"-",IF($O2195&lt;=INDEX(PARAMETROS_CULTURAS!$F$6:$F$28,$P2195),"INICIAL",IF($O2195&lt;=INDEX(PARAMETROS_CULTURAS!$F$6:$F$28,$P2195)+INDEX(PARAMETROS_CULTURAS!$G$6:$G$28,$P2195),"DESENVOLVIMENTO",IF($O2195&lt;=INDEX(PARAMETROS_CULTURAS!$F$6:$F$28,$P2195)+INDEX(PARAMETROS_CULTURAS!$G$6:$G$28,$P2195)+INDEX(PARAMETROS_CULTURAS!$H$6:$H$28,$P2195),"MEDIA","FINAL"))))</f>
        <v>-</v>
      </c>
      <c r="R2195" s="24" t="n">
        <f aca="false">IF($P2195=0,0,IF($O2195&lt;=INDEX(PARAMETROS_CULTURAS!$F$6:$F$28,$P2195),INDEX(PARAMETROS_CULTURAS!$K$6:$K$28,$P2195),IF($O2195&lt;=INDEX(PARAMETROS_CULTURAS!$F$6:$F$28,$P2195)+INDEX(PARAMETROS_CULTURAS!$G$6:$G$28,$P2195),INDEX(PARAMETROS_CULTURAS!$K$6:$K$28,$P2195)+(INDEX(PARAMETROS_CULTURAS!$L$6:$L$28,$P2195)-INDEX(PARAMETROS_CULTURAS!$K$6:$K$28,$P2195))*($O2195-INDEX(PARAMETROS_CULTURAS!$F$6:$F$28,$P2195))/MAX(INDEX(PARAMETROS_CULTURAS!$G$6:$G$28,$P2195),0.0001),IF($O2195&lt;=INDEX(PARAMETROS_CULTURAS!$F$6:$F$28,$P2195)+INDEX(PARAMETROS_CULTURAS!$G$6:$G$28,$P2195)+INDEX(PARAMETROS_CULTURAS!$H$6:$H$28,$P2195),INDEX(PARAMETROS_CULTURAS!$L$6:$L$28,$P2195),INDEX(PARAMETROS_CULTURAS!$L$6:$L$28,$P2195)+(INDEX(PARAMETROS_CULTURAS!$M$6:$M$28,$P2195)-INDEX(PARAMETROS_CULTURAS!$L$6:$L$28,$P2195))*($O2195-INDEX(PARAMETROS_CULTURAS!$F$6:$F$28,$P2195)-INDEX(PARAMETROS_CULTURAS!$G$6:$G$28,$P2195)-INDEX(PARAMETROS_CULTURAS!$H$6:$H$28,$P2195))/MAX(INDEX(PARAMETROS_CULTURAS!$I$6:$I$28,$P2195),0.0001)))))</f>
        <v>0</v>
      </c>
      <c r="S2195" s="18" t="n">
        <f aca="false">IFERROR(INDEX(SEMANAS!$H$6:$H$71,MATCH($B2195,SEMANAS!$B$6:$B$71,0)),0)</f>
        <v>34.3</v>
      </c>
      <c r="T2195" s="18" t="n">
        <f aca="false">$R2195*$S2195</f>
        <v>0</v>
      </c>
      <c r="U2195" s="18" t="n">
        <f aca="false">IFERROR(INDEX(SEMANAS!$I$6:$I$71,MATCH($B2195,SEMANAS!$B$6:$B$71,0)),0)</f>
        <v>46.69</v>
      </c>
      <c r="V2195" s="18" t="n">
        <f aca="false">IFERROR(INDEX(SEMANAS!$J$6:$J$71,MATCH($B2195,SEMANAS!$B$6:$B$71,0)),0)</f>
        <v>37.352</v>
      </c>
      <c r="W2195" s="18" t="n">
        <f aca="false">MAX(0,$T2195-$V2195)</f>
        <v>0</v>
      </c>
      <c r="X2195" s="19" t="n">
        <f aca="false">IFERROR(INDEX(CADASTRO_PIVOS!$K$6:$K$41,MATCH($E2195,CADASTRO_PIVOS!$B$6:$B$41,0)),EFICIENCIA_PADRAO)</f>
        <v>0.85</v>
      </c>
      <c r="Y2195" s="18" t="n">
        <f aca="false">IF($X2195&lt;=0,0,$W2195/$X2195)</f>
        <v>0</v>
      </c>
      <c r="Z2195" s="16" t="n">
        <f aca="false">$Y2195*$H2195*MM_PARA_M3_HA</f>
        <v>0</v>
      </c>
      <c r="AA2195" s="18" t="n">
        <f aca="false">IFERROR(INDEX(CADASTRO_PIVOS!$I$6:$I$41,MATCH($E2195,CADASTRO_PIVOS!$B$6:$B$41,0)),0)</f>
        <v>457.142857142857</v>
      </c>
      <c r="AB2195" s="18" t="n">
        <f aca="false">IF($Z2195&lt;=0,0,$Z2195/$AA2195)</f>
        <v>0</v>
      </c>
      <c r="AC2195" s="16" t="n">
        <f aca="false">IFERROR(INDEX(SEMANAS!$K$6:$K$71,MATCH($B2195,SEMANAS!$B$6:$B$71,0)),0)</f>
        <v>147</v>
      </c>
      <c r="AD2195" s="19" t="n">
        <f aca="false">IF($AC2195&lt;=0,0,$AB2195/$AC2195)</f>
        <v>0</v>
      </c>
      <c r="AE2195" s="8" t="str">
        <f aca="false">IF($K2195="SEM CULTURA","SEM CULTURA",IF($AA2195&lt;=0,"DADO PENDENTE",IF($AD2195&gt;LIMITE_CRITICO,"INVIAVEL",IF($AD2195&gt;LIMITE_ATENCAO,"CRITICO",IF($AD2195&gt;LIMITE_CONFORTAVEL,"ATENCAO","OK")))))</f>
        <v>SEM CULTURA</v>
      </c>
      <c r="AF2195" s="8" t="str">
        <f aca="false">$B2195&amp;"|"&amp;TEXT($AD2195,"0.000000")</f>
        <v>12|0.000000</v>
      </c>
      <c r="AG2195" s="18" t="n">
        <f aca="false">IF($K2195="SEM CULTURA",0,$T2195*$H2195)</f>
        <v>0</v>
      </c>
      <c r="AH2195" s="18" t="n">
        <f aca="false">IF($K2195="SEM CULTURA",0,$V2195*$H2195)</f>
        <v>0</v>
      </c>
      <c r="AI2195" s="18" t="n">
        <f aca="false">IF($K2195="SEM CULTURA",0,$W2195*$H2195)</f>
        <v>0</v>
      </c>
      <c r="AJ2195" s="18" t="n">
        <f aca="false">IF($K2195="SEM CULTURA",0,$S2195*$H2195)</f>
        <v>0</v>
      </c>
      <c r="AK2195" s="8" t="str">
        <f aca="false">$E2195&amp;"|"&amp;TEXT($AD2195,"0.000000")</f>
        <v>PV 135|0.000000</v>
      </c>
    </row>
    <row r="2196" customFormat="false" ht="15" hidden="false" customHeight="false" outlineLevel="0" collapsed="false">
      <c r="B2196" s="16" t="n">
        <v>13</v>
      </c>
      <c r="C2196" s="17" t="n">
        <f aca="false">DATA_INICIO_SAFRA+($B2196-1)*DIAS_POR_SEMANA</f>
        <v>46349</v>
      </c>
      <c r="D2196" s="17" t="n">
        <f aca="false">$C2196+DIAS_POR_SEMANA-1</f>
        <v>46355</v>
      </c>
      <c r="E2196" s="15" t="s">
        <v>292</v>
      </c>
      <c r="F2196" s="8" t="str">
        <f aca="false">IFERROR(INDEX(CADASTRO_PIVOS!$C$6:$C$41,MATCH($E2196,CADASTRO_PIVOS!$B$6:$B$41,0)),"?")</f>
        <v>RM08</v>
      </c>
      <c r="G2196" s="8" t="str">
        <f aca="false">IFERROR(INDEX(CADASTRO_PIVOS!$D$6:$D$41,MATCH($E2196,CADASTRO_PIVOS!$B$6:$B$41,0)),"?")</f>
        <v>TR08</v>
      </c>
      <c r="H2196" s="20" t="n">
        <f aca="false">IFERROR(INDEX(CADASTRO_PIVOS!$E$6:$E$41,MATCH($E2196,CADASTRO_PIVOS!$B$6:$B$41,0)),0)</f>
        <v>64</v>
      </c>
      <c r="I2196" s="16" t="n">
        <f aca="false">IFERROR(SUMIFS(ROTACAO_RDM!$B$6:$B$71,ROTACAO_RDM!$D$6:$D$71,$E2196,ROTACAO_RDM!$I$6:$I$71,"&lt;="&amp;$C2196+INT(DIAS_POR_SEMANA/2),ROTACAO_RDM!$J$6:$J$71,"&gt;="&amp;$C2196+INT(DIAS_POR_SEMANA/2)),0)</f>
        <v>0</v>
      </c>
      <c r="J2196" s="16" t="n">
        <f aca="false">IFERROR(MATCH($I2196,ROTACAO_RDM!$B$6:$B$71,0),0)</f>
        <v>0</v>
      </c>
      <c r="K2196" s="8" t="str">
        <f aca="false">IF($J2196=0,"SEM CULTURA",INDEX(ROTACAO_RDM!$F$6:$F$71,$J2196))</f>
        <v>SEM CULTURA</v>
      </c>
      <c r="L2196" s="8" t="str">
        <f aca="false">IF($J2196=0,"",INDEX(ROTACAO_RDM!$G$6:$G$71,$J2196))</f>
        <v/>
      </c>
      <c r="M2196" s="17" t="str">
        <f aca="false">IF($J2196=0,"",INDEX(ROTACAO_RDM!$I$6:$I$71,$J2196))</f>
        <v/>
      </c>
      <c r="N2196" s="16" t="n">
        <f aca="false">IF($J2196=0,0,MAX(0,$C2196+INT(DIAS_POR_SEMANA/2)-INDEX(ROTACAO_RDM!$I$6:$I$71,$J2196)))</f>
        <v>0</v>
      </c>
      <c r="O2196" s="19" t="n">
        <f aca="false">IF($J2196=0,0,MIN(1,$N2196/MAX(1,INDEX(ROTACAO_RDM!$K$6:$K$71,$J2196))))</f>
        <v>0</v>
      </c>
      <c r="P2196" s="16" t="n">
        <f aca="false">IF($J2196=0,0,IFERROR(MATCH(INDEX(ROTACAO_RDM!$N$6:$N$71,$J2196),PARAMETROS_CULTURAS!$B$6:$B$28,0),0))</f>
        <v>0</v>
      </c>
      <c r="Q2196" s="8" t="str">
        <f aca="false">IF($P2196=0,"-",IF($O2196&lt;=INDEX(PARAMETROS_CULTURAS!$F$6:$F$28,$P2196),"INICIAL",IF($O2196&lt;=INDEX(PARAMETROS_CULTURAS!$F$6:$F$28,$P2196)+INDEX(PARAMETROS_CULTURAS!$G$6:$G$28,$P2196),"DESENVOLVIMENTO",IF($O2196&lt;=INDEX(PARAMETROS_CULTURAS!$F$6:$F$28,$P2196)+INDEX(PARAMETROS_CULTURAS!$G$6:$G$28,$P2196)+INDEX(PARAMETROS_CULTURAS!$H$6:$H$28,$P2196),"MEDIA","FINAL"))))</f>
        <v>-</v>
      </c>
      <c r="R2196" s="24" t="n">
        <f aca="false">IF($P2196=0,0,IF($O2196&lt;=INDEX(PARAMETROS_CULTURAS!$F$6:$F$28,$P2196),INDEX(PARAMETROS_CULTURAS!$K$6:$K$28,$P2196),IF($O2196&lt;=INDEX(PARAMETROS_CULTURAS!$F$6:$F$28,$P2196)+INDEX(PARAMETROS_CULTURAS!$G$6:$G$28,$P2196),INDEX(PARAMETROS_CULTURAS!$K$6:$K$28,$P2196)+(INDEX(PARAMETROS_CULTURAS!$L$6:$L$28,$P2196)-INDEX(PARAMETROS_CULTURAS!$K$6:$K$28,$P2196))*($O2196-INDEX(PARAMETROS_CULTURAS!$F$6:$F$28,$P2196))/MAX(INDEX(PARAMETROS_CULTURAS!$G$6:$G$28,$P2196),0.0001),IF($O2196&lt;=INDEX(PARAMETROS_CULTURAS!$F$6:$F$28,$P2196)+INDEX(PARAMETROS_CULTURAS!$G$6:$G$28,$P2196)+INDEX(PARAMETROS_CULTURAS!$H$6:$H$28,$P2196),INDEX(PARAMETROS_CULTURAS!$L$6:$L$28,$P2196),INDEX(PARAMETROS_CULTURAS!$L$6:$L$28,$P2196)+(INDEX(PARAMETROS_CULTURAS!$M$6:$M$28,$P2196)-INDEX(PARAMETROS_CULTURAS!$L$6:$L$28,$P2196))*($O2196-INDEX(PARAMETROS_CULTURAS!$F$6:$F$28,$P2196)-INDEX(PARAMETROS_CULTURAS!$G$6:$G$28,$P2196)-INDEX(PARAMETROS_CULTURAS!$H$6:$H$28,$P2196))/MAX(INDEX(PARAMETROS_CULTURAS!$I$6:$I$28,$P2196),0.0001)))))</f>
        <v>0</v>
      </c>
      <c r="S2196" s="18" t="n">
        <f aca="false">IFERROR(INDEX(SEMANAS!$H$6:$H$71,MATCH($B2196,SEMANAS!$B$6:$B$71,0)),0)</f>
        <v>34.3</v>
      </c>
      <c r="T2196" s="18" t="n">
        <f aca="false">$R2196*$S2196</f>
        <v>0</v>
      </c>
      <c r="U2196" s="18" t="n">
        <f aca="false">IFERROR(INDEX(SEMANAS!$I$6:$I$71,MATCH($B2196,SEMANAS!$B$6:$B$71,0)),0)</f>
        <v>46.69</v>
      </c>
      <c r="V2196" s="18" t="n">
        <f aca="false">IFERROR(INDEX(SEMANAS!$J$6:$J$71,MATCH($B2196,SEMANAS!$B$6:$B$71,0)),0)</f>
        <v>37.352</v>
      </c>
      <c r="W2196" s="18" t="n">
        <f aca="false">MAX(0,$T2196-$V2196)</f>
        <v>0</v>
      </c>
      <c r="X2196" s="19" t="n">
        <f aca="false">IFERROR(INDEX(CADASTRO_PIVOS!$K$6:$K$41,MATCH($E2196,CADASTRO_PIVOS!$B$6:$B$41,0)),EFICIENCIA_PADRAO)</f>
        <v>0.85</v>
      </c>
      <c r="Y2196" s="18" t="n">
        <f aca="false">IF($X2196&lt;=0,0,$W2196/$X2196)</f>
        <v>0</v>
      </c>
      <c r="Z2196" s="16" t="n">
        <f aca="false">$Y2196*$H2196*MM_PARA_M3_HA</f>
        <v>0</v>
      </c>
      <c r="AA2196" s="18" t="n">
        <f aca="false">IFERROR(INDEX(CADASTRO_PIVOS!$I$6:$I$41,MATCH($E2196,CADASTRO_PIVOS!$B$6:$B$41,0)),0)</f>
        <v>457.142857142857</v>
      </c>
      <c r="AB2196" s="18" t="n">
        <f aca="false">IF($Z2196&lt;=0,0,$Z2196/$AA2196)</f>
        <v>0</v>
      </c>
      <c r="AC2196" s="16" t="n">
        <f aca="false">IFERROR(INDEX(SEMANAS!$K$6:$K$71,MATCH($B2196,SEMANAS!$B$6:$B$71,0)),0)</f>
        <v>147</v>
      </c>
      <c r="AD2196" s="19" t="n">
        <f aca="false">IF($AC2196&lt;=0,0,$AB2196/$AC2196)</f>
        <v>0</v>
      </c>
      <c r="AE2196" s="8" t="str">
        <f aca="false">IF($K2196="SEM CULTURA","SEM CULTURA",IF($AA2196&lt;=0,"DADO PENDENTE",IF($AD2196&gt;LIMITE_CRITICO,"INVIAVEL",IF($AD2196&gt;LIMITE_ATENCAO,"CRITICO",IF($AD2196&gt;LIMITE_CONFORTAVEL,"ATENCAO","OK")))))</f>
        <v>SEM CULTURA</v>
      </c>
      <c r="AF2196" s="8" t="str">
        <f aca="false">$B2196&amp;"|"&amp;TEXT($AD2196,"0.000000")</f>
        <v>13|0.000000</v>
      </c>
      <c r="AG2196" s="18" t="n">
        <f aca="false">IF($K2196="SEM CULTURA",0,$T2196*$H2196)</f>
        <v>0</v>
      </c>
      <c r="AH2196" s="18" t="n">
        <f aca="false">IF($K2196="SEM CULTURA",0,$V2196*$H2196)</f>
        <v>0</v>
      </c>
      <c r="AI2196" s="18" t="n">
        <f aca="false">IF($K2196="SEM CULTURA",0,$W2196*$H2196)</f>
        <v>0</v>
      </c>
      <c r="AJ2196" s="18" t="n">
        <f aca="false">IF($K2196="SEM CULTURA",0,$S2196*$H2196)</f>
        <v>0</v>
      </c>
      <c r="AK2196" s="8" t="str">
        <f aca="false">$E2196&amp;"|"&amp;TEXT($AD2196,"0.000000")</f>
        <v>PV 135|0.000000</v>
      </c>
    </row>
    <row r="2197" customFormat="false" ht="15" hidden="false" customHeight="false" outlineLevel="0" collapsed="false">
      <c r="B2197" s="16" t="n">
        <v>14</v>
      </c>
      <c r="C2197" s="17" t="n">
        <f aca="false">DATA_INICIO_SAFRA+($B2197-1)*DIAS_POR_SEMANA</f>
        <v>46356</v>
      </c>
      <c r="D2197" s="17" t="n">
        <f aca="false">$C2197+DIAS_POR_SEMANA-1</f>
        <v>46362</v>
      </c>
      <c r="E2197" s="15" t="s">
        <v>292</v>
      </c>
      <c r="F2197" s="8" t="str">
        <f aca="false">IFERROR(INDEX(CADASTRO_PIVOS!$C$6:$C$41,MATCH($E2197,CADASTRO_PIVOS!$B$6:$B$41,0)),"?")</f>
        <v>RM08</v>
      </c>
      <c r="G2197" s="8" t="str">
        <f aca="false">IFERROR(INDEX(CADASTRO_PIVOS!$D$6:$D$41,MATCH($E2197,CADASTRO_PIVOS!$B$6:$B$41,0)),"?")</f>
        <v>TR08</v>
      </c>
      <c r="H2197" s="20" t="n">
        <f aca="false">IFERROR(INDEX(CADASTRO_PIVOS!$E$6:$E$41,MATCH($E2197,CADASTRO_PIVOS!$B$6:$B$41,0)),0)</f>
        <v>64</v>
      </c>
      <c r="I2197" s="16" t="n">
        <f aca="false">IFERROR(SUMIFS(ROTACAO_RDM!$B$6:$B$71,ROTACAO_RDM!$D$6:$D$71,$E2197,ROTACAO_RDM!$I$6:$I$71,"&lt;="&amp;$C2197+INT(DIAS_POR_SEMANA/2),ROTACAO_RDM!$J$6:$J$71,"&gt;="&amp;$C2197+INT(DIAS_POR_SEMANA/2)),0)</f>
        <v>0</v>
      </c>
      <c r="J2197" s="16" t="n">
        <f aca="false">IFERROR(MATCH($I2197,ROTACAO_RDM!$B$6:$B$71,0),0)</f>
        <v>0</v>
      </c>
      <c r="K2197" s="8" t="str">
        <f aca="false">IF($J2197=0,"SEM CULTURA",INDEX(ROTACAO_RDM!$F$6:$F$71,$J2197))</f>
        <v>SEM CULTURA</v>
      </c>
      <c r="L2197" s="8" t="str">
        <f aca="false">IF($J2197=0,"",INDEX(ROTACAO_RDM!$G$6:$G$71,$J2197))</f>
        <v/>
      </c>
      <c r="M2197" s="17" t="str">
        <f aca="false">IF($J2197=0,"",INDEX(ROTACAO_RDM!$I$6:$I$71,$J2197))</f>
        <v/>
      </c>
      <c r="N2197" s="16" t="n">
        <f aca="false">IF($J2197=0,0,MAX(0,$C2197+INT(DIAS_POR_SEMANA/2)-INDEX(ROTACAO_RDM!$I$6:$I$71,$J2197)))</f>
        <v>0</v>
      </c>
      <c r="O2197" s="19" t="n">
        <f aca="false">IF($J2197=0,0,MIN(1,$N2197/MAX(1,INDEX(ROTACAO_RDM!$K$6:$K$71,$J2197))))</f>
        <v>0</v>
      </c>
      <c r="P2197" s="16" t="n">
        <f aca="false">IF($J2197=0,0,IFERROR(MATCH(INDEX(ROTACAO_RDM!$N$6:$N$71,$J2197),PARAMETROS_CULTURAS!$B$6:$B$28,0),0))</f>
        <v>0</v>
      </c>
      <c r="Q2197" s="8" t="str">
        <f aca="false">IF($P2197=0,"-",IF($O2197&lt;=INDEX(PARAMETROS_CULTURAS!$F$6:$F$28,$P2197),"INICIAL",IF($O2197&lt;=INDEX(PARAMETROS_CULTURAS!$F$6:$F$28,$P2197)+INDEX(PARAMETROS_CULTURAS!$G$6:$G$28,$P2197),"DESENVOLVIMENTO",IF($O2197&lt;=INDEX(PARAMETROS_CULTURAS!$F$6:$F$28,$P2197)+INDEX(PARAMETROS_CULTURAS!$G$6:$G$28,$P2197)+INDEX(PARAMETROS_CULTURAS!$H$6:$H$28,$P2197),"MEDIA","FINAL"))))</f>
        <v>-</v>
      </c>
      <c r="R2197" s="24" t="n">
        <f aca="false">IF($P2197=0,0,IF($O2197&lt;=INDEX(PARAMETROS_CULTURAS!$F$6:$F$28,$P2197),INDEX(PARAMETROS_CULTURAS!$K$6:$K$28,$P2197),IF($O2197&lt;=INDEX(PARAMETROS_CULTURAS!$F$6:$F$28,$P2197)+INDEX(PARAMETROS_CULTURAS!$G$6:$G$28,$P2197),INDEX(PARAMETROS_CULTURAS!$K$6:$K$28,$P2197)+(INDEX(PARAMETROS_CULTURAS!$L$6:$L$28,$P2197)-INDEX(PARAMETROS_CULTURAS!$K$6:$K$28,$P2197))*($O2197-INDEX(PARAMETROS_CULTURAS!$F$6:$F$28,$P2197))/MAX(INDEX(PARAMETROS_CULTURAS!$G$6:$G$28,$P2197),0.0001),IF($O2197&lt;=INDEX(PARAMETROS_CULTURAS!$F$6:$F$28,$P2197)+INDEX(PARAMETROS_CULTURAS!$G$6:$G$28,$P2197)+INDEX(PARAMETROS_CULTURAS!$H$6:$H$28,$P2197),INDEX(PARAMETROS_CULTURAS!$L$6:$L$28,$P2197),INDEX(PARAMETROS_CULTURAS!$L$6:$L$28,$P2197)+(INDEX(PARAMETROS_CULTURAS!$M$6:$M$28,$P2197)-INDEX(PARAMETROS_CULTURAS!$L$6:$L$28,$P2197))*($O2197-INDEX(PARAMETROS_CULTURAS!$F$6:$F$28,$P2197)-INDEX(PARAMETROS_CULTURAS!$G$6:$G$28,$P2197)-INDEX(PARAMETROS_CULTURAS!$H$6:$H$28,$P2197))/MAX(INDEX(PARAMETROS_CULTURAS!$I$6:$I$28,$P2197),0.0001)))))</f>
        <v>0</v>
      </c>
      <c r="S2197" s="18" t="n">
        <f aca="false">IFERROR(INDEX(SEMANAS!$H$6:$H$71,MATCH($B2197,SEMANAS!$B$6:$B$71,0)),0)</f>
        <v>33.1</v>
      </c>
      <c r="T2197" s="18" t="n">
        <f aca="false">$R2197*$S2197</f>
        <v>0</v>
      </c>
      <c r="U2197" s="18" t="n">
        <f aca="false">IFERROR(INDEX(SEMANAS!$I$6:$I$71,MATCH($B2197,SEMANAS!$B$6:$B$71,0)),0)</f>
        <v>48.31</v>
      </c>
      <c r="V2197" s="18" t="n">
        <f aca="false">IFERROR(INDEX(SEMANAS!$J$6:$J$71,MATCH($B2197,SEMANAS!$B$6:$B$71,0)),0)</f>
        <v>38.648</v>
      </c>
      <c r="W2197" s="18" t="n">
        <f aca="false">MAX(0,$T2197-$V2197)</f>
        <v>0</v>
      </c>
      <c r="X2197" s="19" t="n">
        <f aca="false">IFERROR(INDEX(CADASTRO_PIVOS!$K$6:$K$41,MATCH($E2197,CADASTRO_PIVOS!$B$6:$B$41,0)),EFICIENCIA_PADRAO)</f>
        <v>0.85</v>
      </c>
      <c r="Y2197" s="18" t="n">
        <f aca="false">IF($X2197&lt;=0,0,$W2197/$X2197)</f>
        <v>0</v>
      </c>
      <c r="Z2197" s="16" t="n">
        <f aca="false">$Y2197*$H2197*MM_PARA_M3_HA</f>
        <v>0</v>
      </c>
      <c r="AA2197" s="18" t="n">
        <f aca="false">IFERROR(INDEX(CADASTRO_PIVOS!$I$6:$I$41,MATCH($E2197,CADASTRO_PIVOS!$B$6:$B$41,0)),0)</f>
        <v>457.142857142857</v>
      </c>
      <c r="AB2197" s="18" t="n">
        <f aca="false">IF($Z2197&lt;=0,0,$Z2197/$AA2197)</f>
        <v>0</v>
      </c>
      <c r="AC2197" s="16" t="n">
        <f aca="false">IFERROR(INDEX(SEMANAS!$K$6:$K$71,MATCH($B2197,SEMANAS!$B$6:$B$71,0)),0)</f>
        <v>147</v>
      </c>
      <c r="AD2197" s="19" t="n">
        <f aca="false">IF($AC2197&lt;=0,0,$AB2197/$AC2197)</f>
        <v>0</v>
      </c>
      <c r="AE2197" s="8" t="str">
        <f aca="false">IF($K2197="SEM CULTURA","SEM CULTURA",IF($AA2197&lt;=0,"DADO PENDENTE",IF($AD2197&gt;LIMITE_CRITICO,"INVIAVEL",IF($AD2197&gt;LIMITE_ATENCAO,"CRITICO",IF($AD2197&gt;LIMITE_CONFORTAVEL,"ATENCAO","OK")))))</f>
        <v>SEM CULTURA</v>
      </c>
      <c r="AF2197" s="8" t="str">
        <f aca="false">$B2197&amp;"|"&amp;TEXT($AD2197,"0.000000")</f>
        <v>14|0.000000</v>
      </c>
      <c r="AG2197" s="18" t="n">
        <f aca="false">IF($K2197="SEM CULTURA",0,$T2197*$H2197)</f>
        <v>0</v>
      </c>
      <c r="AH2197" s="18" t="n">
        <f aca="false">IF($K2197="SEM CULTURA",0,$V2197*$H2197)</f>
        <v>0</v>
      </c>
      <c r="AI2197" s="18" t="n">
        <f aca="false">IF($K2197="SEM CULTURA",0,$W2197*$H2197)</f>
        <v>0</v>
      </c>
      <c r="AJ2197" s="18" t="n">
        <f aca="false">IF($K2197="SEM CULTURA",0,$S2197*$H2197)</f>
        <v>0</v>
      </c>
      <c r="AK2197" s="8" t="str">
        <f aca="false">$E2197&amp;"|"&amp;TEXT($AD2197,"0.000000")</f>
        <v>PV 135|0.000000</v>
      </c>
    </row>
    <row r="2198" customFormat="false" ht="15" hidden="false" customHeight="false" outlineLevel="0" collapsed="false">
      <c r="B2198" s="16" t="n">
        <v>15</v>
      </c>
      <c r="C2198" s="17" t="n">
        <f aca="false">DATA_INICIO_SAFRA+($B2198-1)*DIAS_POR_SEMANA</f>
        <v>46363</v>
      </c>
      <c r="D2198" s="17" t="n">
        <f aca="false">$C2198+DIAS_POR_SEMANA-1</f>
        <v>46369</v>
      </c>
      <c r="E2198" s="15" t="s">
        <v>292</v>
      </c>
      <c r="F2198" s="8" t="str">
        <f aca="false">IFERROR(INDEX(CADASTRO_PIVOS!$C$6:$C$41,MATCH($E2198,CADASTRO_PIVOS!$B$6:$B$41,0)),"?")</f>
        <v>RM08</v>
      </c>
      <c r="G2198" s="8" t="str">
        <f aca="false">IFERROR(INDEX(CADASTRO_PIVOS!$D$6:$D$41,MATCH($E2198,CADASTRO_PIVOS!$B$6:$B$41,0)),"?")</f>
        <v>TR08</v>
      </c>
      <c r="H2198" s="20" t="n">
        <f aca="false">IFERROR(INDEX(CADASTRO_PIVOS!$E$6:$E$41,MATCH($E2198,CADASTRO_PIVOS!$B$6:$B$41,0)),0)</f>
        <v>64</v>
      </c>
      <c r="I2198" s="16" t="n">
        <f aca="false">IFERROR(SUMIFS(ROTACAO_RDM!$B$6:$B$71,ROTACAO_RDM!$D$6:$D$71,$E2198,ROTACAO_RDM!$I$6:$I$71,"&lt;="&amp;$C2198+INT(DIAS_POR_SEMANA/2),ROTACAO_RDM!$J$6:$J$71,"&gt;="&amp;$C2198+INT(DIAS_POR_SEMANA/2)),0)</f>
        <v>0</v>
      </c>
      <c r="J2198" s="16" t="n">
        <f aca="false">IFERROR(MATCH($I2198,ROTACAO_RDM!$B$6:$B$71,0),0)</f>
        <v>0</v>
      </c>
      <c r="K2198" s="8" t="str">
        <f aca="false">IF($J2198=0,"SEM CULTURA",INDEX(ROTACAO_RDM!$F$6:$F$71,$J2198))</f>
        <v>SEM CULTURA</v>
      </c>
      <c r="L2198" s="8" t="str">
        <f aca="false">IF($J2198=0,"",INDEX(ROTACAO_RDM!$G$6:$G$71,$J2198))</f>
        <v/>
      </c>
      <c r="M2198" s="17" t="str">
        <f aca="false">IF($J2198=0,"",INDEX(ROTACAO_RDM!$I$6:$I$71,$J2198))</f>
        <v/>
      </c>
      <c r="N2198" s="16" t="n">
        <f aca="false">IF($J2198=0,0,MAX(0,$C2198+INT(DIAS_POR_SEMANA/2)-INDEX(ROTACAO_RDM!$I$6:$I$71,$J2198)))</f>
        <v>0</v>
      </c>
      <c r="O2198" s="19" t="n">
        <f aca="false">IF($J2198=0,0,MIN(1,$N2198/MAX(1,INDEX(ROTACAO_RDM!$K$6:$K$71,$J2198))))</f>
        <v>0</v>
      </c>
      <c r="P2198" s="16" t="n">
        <f aca="false">IF($J2198=0,0,IFERROR(MATCH(INDEX(ROTACAO_RDM!$N$6:$N$71,$J2198),PARAMETROS_CULTURAS!$B$6:$B$28,0),0))</f>
        <v>0</v>
      </c>
      <c r="Q2198" s="8" t="str">
        <f aca="false">IF($P2198=0,"-",IF($O2198&lt;=INDEX(PARAMETROS_CULTURAS!$F$6:$F$28,$P2198),"INICIAL",IF($O2198&lt;=INDEX(PARAMETROS_CULTURAS!$F$6:$F$28,$P2198)+INDEX(PARAMETROS_CULTURAS!$G$6:$G$28,$P2198),"DESENVOLVIMENTO",IF($O2198&lt;=INDEX(PARAMETROS_CULTURAS!$F$6:$F$28,$P2198)+INDEX(PARAMETROS_CULTURAS!$G$6:$G$28,$P2198)+INDEX(PARAMETROS_CULTURAS!$H$6:$H$28,$P2198),"MEDIA","FINAL"))))</f>
        <v>-</v>
      </c>
      <c r="R2198" s="24" t="n">
        <f aca="false">IF($P2198=0,0,IF($O2198&lt;=INDEX(PARAMETROS_CULTURAS!$F$6:$F$28,$P2198),INDEX(PARAMETROS_CULTURAS!$K$6:$K$28,$P2198),IF($O2198&lt;=INDEX(PARAMETROS_CULTURAS!$F$6:$F$28,$P2198)+INDEX(PARAMETROS_CULTURAS!$G$6:$G$28,$P2198),INDEX(PARAMETROS_CULTURAS!$K$6:$K$28,$P2198)+(INDEX(PARAMETROS_CULTURAS!$L$6:$L$28,$P2198)-INDEX(PARAMETROS_CULTURAS!$K$6:$K$28,$P2198))*($O2198-INDEX(PARAMETROS_CULTURAS!$F$6:$F$28,$P2198))/MAX(INDEX(PARAMETROS_CULTURAS!$G$6:$G$28,$P2198),0.0001),IF($O2198&lt;=INDEX(PARAMETROS_CULTURAS!$F$6:$F$28,$P2198)+INDEX(PARAMETROS_CULTURAS!$G$6:$G$28,$P2198)+INDEX(PARAMETROS_CULTURAS!$H$6:$H$28,$P2198),INDEX(PARAMETROS_CULTURAS!$L$6:$L$28,$P2198),INDEX(PARAMETROS_CULTURAS!$L$6:$L$28,$P2198)+(INDEX(PARAMETROS_CULTURAS!$M$6:$M$28,$P2198)-INDEX(PARAMETROS_CULTURAS!$L$6:$L$28,$P2198))*($O2198-INDEX(PARAMETROS_CULTURAS!$F$6:$F$28,$P2198)-INDEX(PARAMETROS_CULTURAS!$G$6:$G$28,$P2198)-INDEX(PARAMETROS_CULTURAS!$H$6:$H$28,$P2198))/MAX(INDEX(PARAMETROS_CULTURAS!$I$6:$I$28,$P2198),0.0001)))))</f>
        <v>0</v>
      </c>
      <c r="S2198" s="18" t="n">
        <f aca="false">IFERROR(INDEX(SEMANAS!$H$6:$H$71,MATCH($B2198,SEMANAS!$B$6:$B$71,0)),0)</f>
        <v>32.9</v>
      </c>
      <c r="T2198" s="18" t="n">
        <f aca="false">$R2198*$S2198</f>
        <v>0</v>
      </c>
      <c r="U2198" s="18" t="n">
        <f aca="false">IFERROR(INDEX(SEMANAS!$I$6:$I$71,MATCH($B2198,SEMANAS!$B$6:$B$71,0)),0)</f>
        <v>48.58</v>
      </c>
      <c r="V2198" s="18" t="n">
        <f aca="false">IFERROR(INDEX(SEMANAS!$J$6:$J$71,MATCH($B2198,SEMANAS!$B$6:$B$71,0)),0)</f>
        <v>38.864</v>
      </c>
      <c r="W2198" s="18" t="n">
        <f aca="false">MAX(0,$T2198-$V2198)</f>
        <v>0</v>
      </c>
      <c r="X2198" s="19" t="n">
        <f aca="false">IFERROR(INDEX(CADASTRO_PIVOS!$K$6:$K$41,MATCH($E2198,CADASTRO_PIVOS!$B$6:$B$41,0)),EFICIENCIA_PADRAO)</f>
        <v>0.85</v>
      </c>
      <c r="Y2198" s="18" t="n">
        <f aca="false">IF($X2198&lt;=0,0,$W2198/$X2198)</f>
        <v>0</v>
      </c>
      <c r="Z2198" s="16" t="n">
        <f aca="false">$Y2198*$H2198*MM_PARA_M3_HA</f>
        <v>0</v>
      </c>
      <c r="AA2198" s="18" t="n">
        <f aca="false">IFERROR(INDEX(CADASTRO_PIVOS!$I$6:$I$41,MATCH($E2198,CADASTRO_PIVOS!$B$6:$B$41,0)),0)</f>
        <v>457.142857142857</v>
      </c>
      <c r="AB2198" s="18" t="n">
        <f aca="false">IF($Z2198&lt;=0,0,$Z2198/$AA2198)</f>
        <v>0</v>
      </c>
      <c r="AC2198" s="16" t="n">
        <f aca="false">IFERROR(INDEX(SEMANAS!$K$6:$K$71,MATCH($B2198,SEMANAS!$B$6:$B$71,0)),0)</f>
        <v>147</v>
      </c>
      <c r="AD2198" s="19" t="n">
        <f aca="false">IF($AC2198&lt;=0,0,$AB2198/$AC2198)</f>
        <v>0</v>
      </c>
      <c r="AE2198" s="8" t="str">
        <f aca="false">IF($K2198="SEM CULTURA","SEM CULTURA",IF($AA2198&lt;=0,"DADO PENDENTE",IF($AD2198&gt;LIMITE_CRITICO,"INVIAVEL",IF($AD2198&gt;LIMITE_ATENCAO,"CRITICO",IF($AD2198&gt;LIMITE_CONFORTAVEL,"ATENCAO","OK")))))</f>
        <v>SEM CULTURA</v>
      </c>
      <c r="AF2198" s="8" t="str">
        <f aca="false">$B2198&amp;"|"&amp;TEXT($AD2198,"0.000000")</f>
        <v>15|0.000000</v>
      </c>
      <c r="AG2198" s="18" t="n">
        <f aca="false">IF($K2198="SEM CULTURA",0,$T2198*$H2198)</f>
        <v>0</v>
      </c>
      <c r="AH2198" s="18" t="n">
        <f aca="false">IF($K2198="SEM CULTURA",0,$V2198*$H2198)</f>
        <v>0</v>
      </c>
      <c r="AI2198" s="18" t="n">
        <f aca="false">IF($K2198="SEM CULTURA",0,$W2198*$H2198)</f>
        <v>0</v>
      </c>
      <c r="AJ2198" s="18" t="n">
        <f aca="false">IF($K2198="SEM CULTURA",0,$S2198*$H2198)</f>
        <v>0</v>
      </c>
      <c r="AK2198" s="8" t="str">
        <f aca="false">$E2198&amp;"|"&amp;TEXT($AD2198,"0.000000")</f>
        <v>PV 135|0.000000</v>
      </c>
    </row>
    <row r="2199" customFormat="false" ht="15" hidden="false" customHeight="false" outlineLevel="0" collapsed="false">
      <c r="B2199" s="16" t="n">
        <v>16</v>
      </c>
      <c r="C2199" s="17" t="n">
        <f aca="false">DATA_INICIO_SAFRA+($B2199-1)*DIAS_POR_SEMANA</f>
        <v>46370</v>
      </c>
      <c r="D2199" s="17" t="n">
        <f aca="false">$C2199+DIAS_POR_SEMANA-1</f>
        <v>46376</v>
      </c>
      <c r="E2199" s="15" t="s">
        <v>292</v>
      </c>
      <c r="F2199" s="8" t="str">
        <f aca="false">IFERROR(INDEX(CADASTRO_PIVOS!$C$6:$C$41,MATCH($E2199,CADASTRO_PIVOS!$B$6:$B$41,0)),"?")</f>
        <v>RM08</v>
      </c>
      <c r="G2199" s="8" t="str">
        <f aca="false">IFERROR(INDEX(CADASTRO_PIVOS!$D$6:$D$41,MATCH($E2199,CADASTRO_PIVOS!$B$6:$B$41,0)),"?")</f>
        <v>TR08</v>
      </c>
      <c r="H2199" s="20" t="n">
        <f aca="false">IFERROR(INDEX(CADASTRO_PIVOS!$E$6:$E$41,MATCH($E2199,CADASTRO_PIVOS!$B$6:$B$41,0)),0)</f>
        <v>64</v>
      </c>
      <c r="I2199" s="16" t="n">
        <f aca="false">IFERROR(SUMIFS(ROTACAO_RDM!$B$6:$B$71,ROTACAO_RDM!$D$6:$D$71,$E2199,ROTACAO_RDM!$I$6:$I$71,"&lt;="&amp;$C2199+INT(DIAS_POR_SEMANA/2),ROTACAO_RDM!$J$6:$J$71,"&gt;="&amp;$C2199+INT(DIAS_POR_SEMANA/2)),0)</f>
        <v>0</v>
      </c>
      <c r="J2199" s="16" t="n">
        <f aca="false">IFERROR(MATCH($I2199,ROTACAO_RDM!$B$6:$B$71,0),0)</f>
        <v>0</v>
      </c>
      <c r="K2199" s="8" t="str">
        <f aca="false">IF($J2199=0,"SEM CULTURA",INDEX(ROTACAO_RDM!$F$6:$F$71,$J2199))</f>
        <v>SEM CULTURA</v>
      </c>
      <c r="L2199" s="8" t="str">
        <f aca="false">IF($J2199=0,"",INDEX(ROTACAO_RDM!$G$6:$G$71,$J2199))</f>
        <v/>
      </c>
      <c r="M2199" s="17" t="str">
        <f aca="false">IF($J2199=0,"",INDEX(ROTACAO_RDM!$I$6:$I$71,$J2199))</f>
        <v/>
      </c>
      <c r="N2199" s="16" t="n">
        <f aca="false">IF($J2199=0,0,MAX(0,$C2199+INT(DIAS_POR_SEMANA/2)-INDEX(ROTACAO_RDM!$I$6:$I$71,$J2199)))</f>
        <v>0</v>
      </c>
      <c r="O2199" s="19" t="n">
        <f aca="false">IF($J2199=0,0,MIN(1,$N2199/MAX(1,INDEX(ROTACAO_RDM!$K$6:$K$71,$J2199))))</f>
        <v>0</v>
      </c>
      <c r="P2199" s="16" t="n">
        <f aca="false">IF($J2199=0,0,IFERROR(MATCH(INDEX(ROTACAO_RDM!$N$6:$N$71,$J2199),PARAMETROS_CULTURAS!$B$6:$B$28,0),0))</f>
        <v>0</v>
      </c>
      <c r="Q2199" s="8" t="str">
        <f aca="false">IF($P2199=0,"-",IF($O2199&lt;=INDEX(PARAMETROS_CULTURAS!$F$6:$F$28,$P2199),"INICIAL",IF($O2199&lt;=INDEX(PARAMETROS_CULTURAS!$F$6:$F$28,$P2199)+INDEX(PARAMETROS_CULTURAS!$G$6:$G$28,$P2199),"DESENVOLVIMENTO",IF($O2199&lt;=INDEX(PARAMETROS_CULTURAS!$F$6:$F$28,$P2199)+INDEX(PARAMETROS_CULTURAS!$G$6:$G$28,$P2199)+INDEX(PARAMETROS_CULTURAS!$H$6:$H$28,$P2199),"MEDIA","FINAL"))))</f>
        <v>-</v>
      </c>
      <c r="R2199" s="24" t="n">
        <f aca="false">IF($P2199=0,0,IF($O2199&lt;=INDEX(PARAMETROS_CULTURAS!$F$6:$F$28,$P2199),INDEX(PARAMETROS_CULTURAS!$K$6:$K$28,$P2199),IF($O2199&lt;=INDEX(PARAMETROS_CULTURAS!$F$6:$F$28,$P2199)+INDEX(PARAMETROS_CULTURAS!$G$6:$G$28,$P2199),INDEX(PARAMETROS_CULTURAS!$K$6:$K$28,$P2199)+(INDEX(PARAMETROS_CULTURAS!$L$6:$L$28,$P2199)-INDEX(PARAMETROS_CULTURAS!$K$6:$K$28,$P2199))*($O2199-INDEX(PARAMETROS_CULTURAS!$F$6:$F$28,$P2199))/MAX(INDEX(PARAMETROS_CULTURAS!$G$6:$G$28,$P2199),0.0001),IF($O2199&lt;=INDEX(PARAMETROS_CULTURAS!$F$6:$F$28,$P2199)+INDEX(PARAMETROS_CULTURAS!$G$6:$G$28,$P2199)+INDEX(PARAMETROS_CULTURAS!$H$6:$H$28,$P2199),INDEX(PARAMETROS_CULTURAS!$L$6:$L$28,$P2199),INDEX(PARAMETROS_CULTURAS!$L$6:$L$28,$P2199)+(INDEX(PARAMETROS_CULTURAS!$M$6:$M$28,$P2199)-INDEX(PARAMETROS_CULTURAS!$L$6:$L$28,$P2199))*($O2199-INDEX(PARAMETROS_CULTURAS!$F$6:$F$28,$P2199)-INDEX(PARAMETROS_CULTURAS!$G$6:$G$28,$P2199)-INDEX(PARAMETROS_CULTURAS!$H$6:$H$28,$P2199))/MAX(INDEX(PARAMETROS_CULTURAS!$I$6:$I$28,$P2199),0.0001)))))</f>
        <v>0</v>
      </c>
      <c r="S2199" s="18" t="n">
        <f aca="false">IFERROR(INDEX(SEMANAS!$H$6:$H$71,MATCH($B2199,SEMANAS!$B$6:$B$71,0)),0)</f>
        <v>32.9</v>
      </c>
      <c r="T2199" s="18" t="n">
        <f aca="false">$R2199*$S2199</f>
        <v>0</v>
      </c>
      <c r="U2199" s="18" t="n">
        <f aca="false">IFERROR(INDEX(SEMANAS!$I$6:$I$71,MATCH($B2199,SEMANAS!$B$6:$B$71,0)),0)</f>
        <v>48.58</v>
      </c>
      <c r="V2199" s="18" t="n">
        <f aca="false">IFERROR(INDEX(SEMANAS!$J$6:$J$71,MATCH($B2199,SEMANAS!$B$6:$B$71,0)),0)</f>
        <v>38.864</v>
      </c>
      <c r="W2199" s="18" t="n">
        <f aca="false">MAX(0,$T2199-$V2199)</f>
        <v>0</v>
      </c>
      <c r="X2199" s="19" t="n">
        <f aca="false">IFERROR(INDEX(CADASTRO_PIVOS!$K$6:$K$41,MATCH($E2199,CADASTRO_PIVOS!$B$6:$B$41,0)),EFICIENCIA_PADRAO)</f>
        <v>0.85</v>
      </c>
      <c r="Y2199" s="18" t="n">
        <f aca="false">IF($X2199&lt;=0,0,$W2199/$X2199)</f>
        <v>0</v>
      </c>
      <c r="Z2199" s="16" t="n">
        <f aca="false">$Y2199*$H2199*MM_PARA_M3_HA</f>
        <v>0</v>
      </c>
      <c r="AA2199" s="18" t="n">
        <f aca="false">IFERROR(INDEX(CADASTRO_PIVOS!$I$6:$I$41,MATCH($E2199,CADASTRO_PIVOS!$B$6:$B$41,0)),0)</f>
        <v>457.142857142857</v>
      </c>
      <c r="AB2199" s="18" t="n">
        <f aca="false">IF($Z2199&lt;=0,0,$Z2199/$AA2199)</f>
        <v>0</v>
      </c>
      <c r="AC2199" s="16" t="n">
        <f aca="false">IFERROR(INDEX(SEMANAS!$K$6:$K$71,MATCH($B2199,SEMANAS!$B$6:$B$71,0)),0)</f>
        <v>147</v>
      </c>
      <c r="AD2199" s="19" t="n">
        <f aca="false">IF($AC2199&lt;=0,0,$AB2199/$AC2199)</f>
        <v>0</v>
      </c>
      <c r="AE2199" s="8" t="str">
        <f aca="false">IF($K2199="SEM CULTURA","SEM CULTURA",IF($AA2199&lt;=0,"DADO PENDENTE",IF($AD2199&gt;LIMITE_CRITICO,"INVIAVEL",IF($AD2199&gt;LIMITE_ATENCAO,"CRITICO",IF($AD2199&gt;LIMITE_CONFORTAVEL,"ATENCAO","OK")))))</f>
        <v>SEM CULTURA</v>
      </c>
      <c r="AF2199" s="8" t="str">
        <f aca="false">$B2199&amp;"|"&amp;TEXT($AD2199,"0.000000")</f>
        <v>16|0.000000</v>
      </c>
      <c r="AG2199" s="18" t="n">
        <f aca="false">IF($K2199="SEM CULTURA",0,$T2199*$H2199)</f>
        <v>0</v>
      </c>
      <c r="AH2199" s="18" t="n">
        <f aca="false">IF($K2199="SEM CULTURA",0,$V2199*$H2199)</f>
        <v>0</v>
      </c>
      <c r="AI2199" s="18" t="n">
        <f aca="false">IF($K2199="SEM CULTURA",0,$W2199*$H2199)</f>
        <v>0</v>
      </c>
      <c r="AJ2199" s="18" t="n">
        <f aca="false">IF($K2199="SEM CULTURA",0,$S2199*$H2199)</f>
        <v>0</v>
      </c>
      <c r="AK2199" s="8" t="str">
        <f aca="false">$E2199&amp;"|"&amp;TEXT($AD2199,"0.000000")</f>
        <v>PV 135|0.000000</v>
      </c>
    </row>
    <row r="2200" customFormat="false" ht="15" hidden="false" customHeight="false" outlineLevel="0" collapsed="false">
      <c r="B2200" s="16" t="n">
        <v>17</v>
      </c>
      <c r="C2200" s="17" t="n">
        <f aca="false">DATA_INICIO_SAFRA+($B2200-1)*DIAS_POR_SEMANA</f>
        <v>46377</v>
      </c>
      <c r="D2200" s="17" t="n">
        <f aca="false">$C2200+DIAS_POR_SEMANA-1</f>
        <v>46383</v>
      </c>
      <c r="E2200" s="15" t="s">
        <v>292</v>
      </c>
      <c r="F2200" s="8" t="str">
        <f aca="false">IFERROR(INDEX(CADASTRO_PIVOS!$C$6:$C$41,MATCH($E2200,CADASTRO_PIVOS!$B$6:$B$41,0)),"?")</f>
        <v>RM08</v>
      </c>
      <c r="G2200" s="8" t="str">
        <f aca="false">IFERROR(INDEX(CADASTRO_PIVOS!$D$6:$D$41,MATCH($E2200,CADASTRO_PIVOS!$B$6:$B$41,0)),"?")</f>
        <v>TR08</v>
      </c>
      <c r="H2200" s="20" t="n">
        <f aca="false">IFERROR(INDEX(CADASTRO_PIVOS!$E$6:$E$41,MATCH($E2200,CADASTRO_PIVOS!$B$6:$B$41,0)),0)</f>
        <v>64</v>
      </c>
      <c r="I2200" s="16" t="n">
        <f aca="false">IFERROR(SUMIFS(ROTACAO_RDM!$B$6:$B$71,ROTACAO_RDM!$D$6:$D$71,$E2200,ROTACAO_RDM!$I$6:$I$71,"&lt;="&amp;$C2200+INT(DIAS_POR_SEMANA/2),ROTACAO_RDM!$J$6:$J$71,"&gt;="&amp;$C2200+INT(DIAS_POR_SEMANA/2)),0)</f>
        <v>0</v>
      </c>
      <c r="J2200" s="16" t="n">
        <f aca="false">IFERROR(MATCH($I2200,ROTACAO_RDM!$B$6:$B$71,0),0)</f>
        <v>0</v>
      </c>
      <c r="K2200" s="8" t="str">
        <f aca="false">IF($J2200=0,"SEM CULTURA",INDEX(ROTACAO_RDM!$F$6:$F$71,$J2200))</f>
        <v>SEM CULTURA</v>
      </c>
      <c r="L2200" s="8" t="str">
        <f aca="false">IF($J2200=0,"",INDEX(ROTACAO_RDM!$G$6:$G$71,$J2200))</f>
        <v/>
      </c>
      <c r="M2200" s="17" t="str">
        <f aca="false">IF($J2200=0,"",INDEX(ROTACAO_RDM!$I$6:$I$71,$J2200))</f>
        <v/>
      </c>
      <c r="N2200" s="16" t="n">
        <f aca="false">IF($J2200=0,0,MAX(0,$C2200+INT(DIAS_POR_SEMANA/2)-INDEX(ROTACAO_RDM!$I$6:$I$71,$J2200)))</f>
        <v>0</v>
      </c>
      <c r="O2200" s="19" t="n">
        <f aca="false">IF($J2200=0,0,MIN(1,$N2200/MAX(1,INDEX(ROTACAO_RDM!$K$6:$K$71,$J2200))))</f>
        <v>0</v>
      </c>
      <c r="P2200" s="16" t="n">
        <f aca="false">IF($J2200=0,0,IFERROR(MATCH(INDEX(ROTACAO_RDM!$N$6:$N$71,$J2200),PARAMETROS_CULTURAS!$B$6:$B$28,0),0))</f>
        <v>0</v>
      </c>
      <c r="Q2200" s="8" t="str">
        <f aca="false">IF($P2200=0,"-",IF($O2200&lt;=INDEX(PARAMETROS_CULTURAS!$F$6:$F$28,$P2200),"INICIAL",IF($O2200&lt;=INDEX(PARAMETROS_CULTURAS!$F$6:$F$28,$P2200)+INDEX(PARAMETROS_CULTURAS!$G$6:$G$28,$P2200),"DESENVOLVIMENTO",IF($O2200&lt;=INDEX(PARAMETROS_CULTURAS!$F$6:$F$28,$P2200)+INDEX(PARAMETROS_CULTURAS!$G$6:$G$28,$P2200)+INDEX(PARAMETROS_CULTURAS!$H$6:$H$28,$P2200),"MEDIA","FINAL"))))</f>
        <v>-</v>
      </c>
      <c r="R2200" s="24" t="n">
        <f aca="false">IF($P2200=0,0,IF($O2200&lt;=INDEX(PARAMETROS_CULTURAS!$F$6:$F$28,$P2200),INDEX(PARAMETROS_CULTURAS!$K$6:$K$28,$P2200),IF($O2200&lt;=INDEX(PARAMETROS_CULTURAS!$F$6:$F$28,$P2200)+INDEX(PARAMETROS_CULTURAS!$G$6:$G$28,$P2200),INDEX(PARAMETROS_CULTURAS!$K$6:$K$28,$P2200)+(INDEX(PARAMETROS_CULTURAS!$L$6:$L$28,$P2200)-INDEX(PARAMETROS_CULTURAS!$K$6:$K$28,$P2200))*($O2200-INDEX(PARAMETROS_CULTURAS!$F$6:$F$28,$P2200))/MAX(INDEX(PARAMETROS_CULTURAS!$G$6:$G$28,$P2200),0.0001),IF($O2200&lt;=INDEX(PARAMETROS_CULTURAS!$F$6:$F$28,$P2200)+INDEX(PARAMETROS_CULTURAS!$G$6:$G$28,$P2200)+INDEX(PARAMETROS_CULTURAS!$H$6:$H$28,$P2200),INDEX(PARAMETROS_CULTURAS!$L$6:$L$28,$P2200),INDEX(PARAMETROS_CULTURAS!$L$6:$L$28,$P2200)+(INDEX(PARAMETROS_CULTURAS!$M$6:$M$28,$P2200)-INDEX(PARAMETROS_CULTURAS!$L$6:$L$28,$P2200))*($O2200-INDEX(PARAMETROS_CULTURAS!$F$6:$F$28,$P2200)-INDEX(PARAMETROS_CULTURAS!$G$6:$G$28,$P2200)-INDEX(PARAMETROS_CULTURAS!$H$6:$H$28,$P2200))/MAX(INDEX(PARAMETROS_CULTURAS!$I$6:$I$28,$P2200),0.0001)))))</f>
        <v>0</v>
      </c>
      <c r="S2200" s="18" t="n">
        <f aca="false">IFERROR(INDEX(SEMANAS!$H$6:$H$71,MATCH($B2200,SEMANAS!$B$6:$B$71,0)),0)</f>
        <v>32.9</v>
      </c>
      <c r="T2200" s="18" t="n">
        <f aca="false">$R2200*$S2200</f>
        <v>0</v>
      </c>
      <c r="U2200" s="18" t="n">
        <f aca="false">IFERROR(INDEX(SEMANAS!$I$6:$I$71,MATCH($B2200,SEMANAS!$B$6:$B$71,0)),0)</f>
        <v>48.58</v>
      </c>
      <c r="V2200" s="18" t="n">
        <f aca="false">IFERROR(INDEX(SEMANAS!$J$6:$J$71,MATCH($B2200,SEMANAS!$B$6:$B$71,0)),0)</f>
        <v>38.864</v>
      </c>
      <c r="W2200" s="18" t="n">
        <f aca="false">MAX(0,$T2200-$V2200)</f>
        <v>0</v>
      </c>
      <c r="X2200" s="19" t="n">
        <f aca="false">IFERROR(INDEX(CADASTRO_PIVOS!$K$6:$K$41,MATCH($E2200,CADASTRO_PIVOS!$B$6:$B$41,0)),EFICIENCIA_PADRAO)</f>
        <v>0.85</v>
      </c>
      <c r="Y2200" s="18" t="n">
        <f aca="false">IF($X2200&lt;=0,0,$W2200/$X2200)</f>
        <v>0</v>
      </c>
      <c r="Z2200" s="16" t="n">
        <f aca="false">$Y2200*$H2200*MM_PARA_M3_HA</f>
        <v>0</v>
      </c>
      <c r="AA2200" s="18" t="n">
        <f aca="false">IFERROR(INDEX(CADASTRO_PIVOS!$I$6:$I$41,MATCH($E2200,CADASTRO_PIVOS!$B$6:$B$41,0)),0)</f>
        <v>457.142857142857</v>
      </c>
      <c r="AB2200" s="18" t="n">
        <f aca="false">IF($Z2200&lt;=0,0,$Z2200/$AA2200)</f>
        <v>0</v>
      </c>
      <c r="AC2200" s="16" t="n">
        <f aca="false">IFERROR(INDEX(SEMANAS!$K$6:$K$71,MATCH($B2200,SEMANAS!$B$6:$B$71,0)),0)</f>
        <v>147</v>
      </c>
      <c r="AD2200" s="19" t="n">
        <f aca="false">IF($AC2200&lt;=0,0,$AB2200/$AC2200)</f>
        <v>0</v>
      </c>
      <c r="AE2200" s="8" t="str">
        <f aca="false">IF($K2200="SEM CULTURA","SEM CULTURA",IF($AA2200&lt;=0,"DADO PENDENTE",IF($AD2200&gt;LIMITE_CRITICO,"INVIAVEL",IF($AD2200&gt;LIMITE_ATENCAO,"CRITICO",IF($AD2200&gt;LIMITE_CONFORTAVEL,"ATENCAO","OK")))))</f>
        <v>SEM CULTURA</v>
      </c>
      <c r="AF2200" s="8" t="str">
        <f aca="false">$B2200&amp;"|"&amp;TEXT($AD2200,"0.000000")</f>
        <v>17|0.000000</v>
      </c>
      <c r="AG2200" s="18" t="n">
        <f aca="false">IF($K2200="SEM CULTURA",0,$T2200*$H2200)</f>
        <v>0</v>
      </c>
      <c r="AH2200" s="18" t="n">
        <f aca="false">IF($K2200="SEM CULTURA",0,$V2200*$H2200)</f>
        <v>0</v>
      </c>
      <c r="AI2200" s="18" t="n">
        <f aca="false">IF($K2200="SEM CULTURA",0,$W2200*$H2200)</f>
        <v>0</v>
      </c>
      <c r="AJ2200" s="18" t="n">
        <f aca="false">IF($K2200="SEM CULTURA",0,$S2200*$H2200)</f>
        <v>0</v>
      </c>
      <c r="AK2200" s="8" t="str">
        <f aca="false">$E2200&amp;"|"&amp;TEXT($AD2200,"0.000000")</f>
        <v>PV 135|0.000000</v>
      </c>
    </row>
    <row r="2201" customFormat="false" ht="15" hidden="false" customHeight="false" outlineLevel="0" collapsed="false">
      <c r="B2201" s="16" t="n">
        <v>18</v>
      </c>
      <c r="C2201" s="17" t="n">
        <f aca="false">DATA_INICIO_SAFRA+($B2201-1)*DIAS_POR_SEMANA</f>
        <v>46384</v>
      </c>
      <c r="D2201" s="17" t="n">
        <f aca="false">$C2201+DIAS_POR_SEMANA-1</f>
        <v>46390</v>
      </c>
      <c r="E2201" s="15" t="s">
        <v>292</v>
      </c>
      <c r="F2201" s="8" t="str">
        <f aca="false">IFERROR(INDEX(CADASTRO_PIVOS!$C$6:$C$41,MATCH($E2201,CADASTRO_PIVOS!$B$6:$B$41,0)),"?")</f>
        <v>RM08</v>
      </c>
      <c r="G2201" s="8" t="str">
        <f aca="false">IFERROR(INDEX(CADASTRO_PIVOS!$D$6:$D$41,MATCH($E2201,CADASTRO_PIVOS!$B$6:$B$41,0)),"?")</f>
        <v>TR08</v>
      </c>
      <c r="H2201" s="20" t="n">
        <f aca="false">IFERROR(INDEX(CADASTRO_PIVOS!$E$6:$E$41,MATCH($E2201,CADASTRO_PIVOS!$B$6:$B$41,0)),0)</f>
        <v>64</v>
      </c>
      <c r="I2201" s="16" t="n">
        <f aca="false">IFERROR(SUMIFS(ROTACAO_RDM!$B$6:$B$71,ROTACAO_RDM!$D$6:$D$71,$E2201,ROTACAO_RDM!$I$6:$I$71,"&lt;="&amp;$C2201+INT(DIAS_POR_SEMANA/2),ROTACAO_RDM!$J$6:$J$71,"&gt;="&amp;$C2201+INT(DIAS_POR_SEMANA/2)),0)</f>
        <v>0</v>
      </c>
      <c r="J2201" s="16" t="n">
        <f aca="false">IFERROR(MATCH($I2201,ROTACAO_RDM!$B$6:$B$71,0),0)</f>
        <v>0</v>
      </c>
      <c r="K2201" s="8" t="str">
        <f aca="false">IF($J2201=0,"SEM CULTURA",INDEX(ROTACAO_RDM!$F$6:$F$71,$J2201))</f>
        <v>SEM CULTURA</v>
      </c>
      <c r="L2201" s="8" t="str">
        <f aca="false">IF($J2201=0,"",INDEX(ROTACAO_RDM!$G$6:$G$71,$J2201))</f>
        <v/>
      </c>
      <c r="M2201" s="17" t="str">
        <f aca="false">IF($J2201=0,"",INDEX(ROTACAO_RDM!$I$6:$I$71,$J2201))</f>
        <v/>
      </c>
      <c r="N2201" s="16" t="n">
        <f aca="false">IF($J2201=0,0,MAX(0,$C2201+INT(DIAS_POR_SEMANA/2)-INDEX(ROTACAO_RDM!$I$6:$I$71,$J2201)))</f>
        <v>0</v>
      </c>
      <c r="O2201" s="19" t="n">
        <f aca="false">IF($J2201=0,0,MIN(1,$N2201/MAX(1,INDEX(ROTACAO_RDM!$K$6:$K$71,$J2201))))</f>
        <v>0</v>
      </c>
      <c r="P2201" s="16" t="n">
        <f aca="false">IF($J2201=0,0,IFERROR(MATCH(INDEX(ROTACAO_RDM!$N$6:$N$71,$J2201),PARAMETROS_CULTURAS!$B$6:$B$28,0),0))</f>
        <v>0</v>
      </c>
      <c r="Q2201" s="8" t="str">
        <f aca="false">IF($P2201=0,"-",IF($O2201&lt;=INDEX(PARAMETROS_CULTURAS!$F$6:$F$28,$P2201),"INICIAL",IF($O2201&lt;=INDEX(PARAMETROS_CULTURAS!$F$6:$F$28,$P2201)+INDEX(PARAMETROS_CULTURAS!$G$6:$G$28,$P2201),"DESENVOLVIMENTO",IF($O2201&lt;=INDEX(PARAMETROS_CULTURAS!$F$6:$F$28,$P2201)+INDEX(PARAMETROS_CULTURAS!$G$6:$G$28,$P2201)+INDEX(PARAMETROS_CULTURAS!$H$6:$H$28,$P2201),"MEDIA","FINAL"))))</f>
        <v>-</v>
      </c>
      <c r="R2201" s="24" t="n">
        <f aca="false">IF($P2201=0,0,IF($O2201&lt;=INDEX(PARAMETROS_CULTURAS!$F$6:$F$28,$P2201),INDEX(PARAMETROS_CULTURAS!$K$6:$K$28,$P2201),IF($O2201&lt;=INDEX(PARAMETROS_CULTURAS!$F$6:$F$28,$P2201)+INDEX(PARAMETROS_CULTURAS!$G$6:$G$28,$P2201),INDEX(PARAMETROS_CULTURAS!$K$6:$K$28,$P2201)+(INDEX(PARAMETROS_CULTURAS!$L$6:$L$28,$P2201)-INDEX(PARAMETROS_CULTURAS!$K$6:$K$28,$P2201))*($O2201-INDEX(PARAMETROS_CULTURAS!$F$6:$F$28,$P2201))/MAX(INDEX(PARAMETROS_CULTURAS!$G$6:$G$28,$P2201),0.0001),IF($O2201&lt;=INDEX(PARAMETROS_CULTURAS!$F$6:$F$28,$P2201)+INDEX(PARAMETROS_CULTURAS!$G$6:$G$28,$P2201)+INDEX(PARAMETROS_CULTURAS!$H$6:$H$28,$P2201),INDEX(PARAMETROS_CULTURAS!$L$6:$L$28,$P2201),INDEX(PARAMETROS_CULTURAS!$L$6:$L$28,$P2201)+(INDEX(PARAMETROS_CULTURAS!$M$6:$M$28,$P2201)-INDEX(PARAMETROS_CULTURAS!$L$6:$L$28,$P2201))*($O2201-INDEX(PARAMETROS_CULTURAS!$F$6:$F$28,$P2201)-INDEX(PARAMETROS_CULTURAS!$G$6:$G$28,$P2201)-INDEX(PARAMETROS_CULTURAS!$H$6:$H$28,$P2201))/MAX(INDEX(PARAMETROS_CULTURAS!$I$6:$I$28,$P2201),0.0001)))))</f>
        <v>0</v>
      </c>
      <c r="S2201" s="18" t="n">
        <f aca="false">IFERROR(INDEX(SEMANAS!$H$6:$H$71,MATCH($B2201,SEMANAS!$B$6:$B$71,0)),0)</f>
        <v>33.2</v>
      </c>
      <c r="T2201" s="18" t="n">
        <f aca="false">$R2201*$S2201</f>
        <v>0</v>
      </c>
      <c r="U2201" s="18" t="n">
        <f aca="false">IFERROR(INDEX(SEMANAS!$I$6:$I$71,MATCH($B2201,SEMANAS!$B$6:$B$71,0)),0)</f>
        <v>47.11</v>
      </c>
      <c r="V2201" s="18" t="n">
        <f aca="false">IFERROR(INDEX(SEMANAS!$J$6:$J$71,MATCH($B2201,SEMANAS!$B$6:$B$71,0)),0)</f>
        <v>37.688</v>
      </c>
      <c r="W2201" s="18" t="n">
        <f aca="false">MAX(0,$T2201-$V2201)</f>
        <v>0</v>
      </c>
      <c r="X2201" s="19" t="n">
        <f aca="false">IFERROR(INDEX(CADASTRO_PIVOS!$K$6:$K$41,MATCH($E2201,CADASTRO_PIVOS!$B$6:$B$41,0)),EFICIENCIA_PADRAO)</f>
        <v>0.85</v>
      </c>
      <c r="Y2201" s="18" t="n">
        <f aca="false">IF($X2201&lt;=0,0,$W2201/$X2201)</f>
        <v>0</v>
      </c>
      <c r="Z2201" s="16" t="n">
        <f aca="false">$Y2201*$H2201*MM_PARA_M3_HA</f>
        <v>0</v>
      </c>
      <c r="AA2201" s="18" t="n">
        <f aca="false">IFERROR(INDEX(CADASTRO_PIVOS!$I$6:$I$41,MATCH($E2201,CADASTRO_PIVOS!$B$6:$B$41,0)),0)</f>
        <v>457.142857142857</v>
      </c>
      <c r="AB2201" s="18" t="n">
        <f aca="false">IF($Z2201&lt;=0,0,$Z2201/$AA2201)</f>
        <v>0</v>
      </c>
      <c r="AC2201" s="16" t="n">
        <f aca="false">IFERROR(INDEX(SEMANAS!$K$6:$K$71,MATCH($B2201,SEMANAS!$B$6:$B$71,0)),0)</f>
        <v>147</v>
      </c>
      <c r="AD2201" s="19" t="n">
        <f aca="false">IF($AC2201&lt;=0,0,$AB2201/$AC2201)</f>
        <v>0</v>
      </c>
      <c r="AE2201" s="8" t="str">
        <f aca="false">IF($K2201="SEM CULTURA","SEM CULTURA",IF($AA2201&lt;=0,"DADO PENDENTE",IF($AD2201&gt;LIMITE_CRITICO,"INVIAVEL",IF($AD2201&gt;LIMITE_ATENCAO,"CRITICO",IF($AD2201&gt;LIMITE_CONFORTAVEL,"ATENCAO","OK")))))</f>
        <v>SEM CULTURA</v>
      </c>
      <c r="AF2201" s="8" t="str">
        <f aca="false">$B2201&amp;"|"&amp;TEXT($AD2201,"0.000000")</f>
        <v>18|0.000000</v>
      </c>
      <c r="AG2201" s="18" t="n">
        <f aca="false">IF($K2201="SEM CULTURA",0,$T2201*$H2201)</f>
        <v>0</v>
      </c>
      <c r="AH2201" s="18" t="n">
        <f aca="false">IF($K2201="SEM CULTURA",0,$V2201*$H2201)</f>
        <v>0</v>
      </c>
      <c r="AI2201" s="18" t="n">
        <f aca="false">IF($K2201="SEM CULTURA",0,$W2201*$H2201)</f>
        <v>0</v>
      </c>
      <c r="AJ2201" s="18" t="n">
        <f aca="false">IF($K2201="SEM CULTURA",0,$S2201*$H2201)</f>
        <v>0</v>
      </c>
      <c r="AK2201" s="8" t="str">
        <f aca="false">$E2201&amp;"|"&amp;TEXT($AD2201,"0.000000")</f>
        <v>PV 135|0.000000</v>
      </c>
    </row>
    <row r="2202" customFormat="false" ht="15" hidden="false" customHeight="false" outlineLevel="0" collapsed="false">
      <c r="B2202" s="16" t="n">
        <v>19</v>
      </c>
      <c r="C2202" s="17" t="n">
        <f aca="false">DATA_INICIO_SAFRA+($B2202-1)*DIAS_POR_SEMANA</f>
        <v>46391</v>
      </c>
      <c r="D2202" s="17" t="n">
        <f aca="false">$C2202+DIAS_POR_SEMANA-1</f>
        <v>46397</v>
      </c>
      <c r="E2202" s="15" t="s">
        <v>292</v>
      </c>
      <c r="F2202" s="8" t="str">
        <f aca="false">IFERROR(INDEX(CADASTRO_PIVOS!$C$6:$C$41,MATCH($E2202,CADASTRO_PIVOS!$B$6:$B$41,0)),"?")</f>
        <v>RM08</v>
      </c>
      <c r="G2202" s="8" t="str">
        <f aca="false">IFERROR(INDEX(CADASTRO_PIVOS!$D$6:$D$41,MATCH($E2202,CADASTRO_PIVOS!$B$6:$B$41,0)),"?")</f>
        <v>TR08</v>
      </c>
      <c r="H2202" s="20" t="n">
        <f aca="false">IFERROR(INDEX(CADASTRO_PIVOS!$E$6:$E$41,MATCH($E2202,CADASTRO_PIVOS!$B$6:$B$41,0)),0)</f>
        <v>64</v>
      </c>
      <c r="I2202" s="16" t="n">
        <f aca="false">IFERROR(SUMIFS(ROTACAO_RDM!$B$6:$B$71,ROTACAO_RDM!$D$6:$D$71,$E2202,ROTACAO_RDM!$I$6:$I$71,"&lt;="&amp;$C2202+INT(DIAS_POR_SEMANA/2),ROTACAO_RDM!$J$6:$J$71,"&gt;="&amp;$C2202+INT(DIAS_POR_SEMANA/2)),0)</f>
        <v>0</v>
      </c>
      <c r="J2202" s="16" t="n">
        <f aca="false">IFERROR(MATCH($I2202,ROTACAO_RDM!$B$6:$B$71,0),0)</f>
        <v>0</v>
      </c>
      <c r="K2202" s="8" t="str">
        <f aca="false">IF($J2202=0,"SEM CULTURA",INDEX(ROTACAO_RDM!$F$6:$F$71,$J2202))</f>
        <v>SEM CULTURA</v>
      </c>
      <c r="L2202" s="8" t="str">
        <f aca="false">IF($J2202=0,"",INDEX(ROTACAO_RDM!$G$6:$G$71,$J2202))</f>
        <v/>
      </c>
      <c r="M2202" s="17" t="str">
        <f aca="false">IF($J2202=0,"",INDEX(ROTACAO_RDM!$I$6:$I$71,$J2202))</f>
        <v/>
      </c>
      <c r="N2202" s="16" t="n">
        <f aca="false">IF($J2202=0,0,MAX(0,$C2202+INT(DIAS_POR_SEMANA/2)-INDEX(ROTACAO_RDM!$I$6:$I$71,$J2202)))</f>
        <v>0</v>
      </c>
      <c r="O2202" s="19" t="n">
        <f aca="false">IF($J2202=0,0,MIN(1,$N2202/MAX(1,INDEX(ROTACAO_RDM!$K$6:$K$71,$J2202))))</f>
        <v>0</v>
      </c>
      <c r="P2202" s="16" t="n">
        <f aca="false">IF($J2202=0,0,IFERROR(MATCH(INDEX(ROTACAO_RDM!$N$6:$N$71,$J2202),PARAMETROS_CULTURAS!$B$6:$B$28,0),0))</f>
        <v>0</v>
      </c>
      <c r="Q2202" s="8" t="str">
        <f aca="false">IF($P2202=0,"-",IF($O2202&lt;=INDEX(PARAMETROS_CULTURAS!$F$6:$F$28,$P2202),"INICIAL",IF($O2202&lt;=INDEX(PARAMETROS_CULTURAS!$F$6:$F$28,$P2202)+INDEX(PARAMETROS_CULTURAS!$G$6:$G$28,$P2202),"DESENVOLVIMENTO",IF($O2202&lt;=INDEX(PARAMETROS_CULTURAS!$F$6:$F$28,$P2202)+INDEX(PARAMETROS_CULTURAS!$G$6:$G$28,$P2202)+INDEX(PARAMETROS_CULTURAS!$H$6:$H$28,$P2202),"MEDIA","FINAL"))))</f>
        <v>-</v>
      </c>
      <c r="R2202" s="24" t="n">
        <f aca="false">IF($P2202=0,0,IF($O2202&lt;=INDEX(PARAMETROS_CULTURAS!$F$6:$F$28,$P2202),INDEX(PARAMETROS_CULTURAS!$K$6:$K$28,$P2202),IF($O2202&lt;=INDEX(PARAMETROS_CULTURAS!$F$6:$F$28,$P2202)+INDEX(PARAMETROS_CULTURAS!$G$6:$G$28,$P2202),INDEX(PARAMETROS_CULTURAS!$K$6:$K$28,$P2202)+(INDEX(PARAMETROS_CULTURAS!$L$6:$L$28,$P2202)-INDEX(PARAMETROS_CULTURAS!$K$6:$K$28,$P2202))*($O2202-INDEX(PARAMETROS_CULTURAS!$F$6:$F$28,$P2202))/MAX(INDEX(PARAMETROS_CULTURAS!$G$6:$G$28,$P2202),0.0001),IF($O2202&lt;=INDEX(PARAMETROS_CULTURAS!$F$6:$F$28,$P2202)+INDEX(PARAMETROS_CULTURAS!$G$6:$G$28,$P2202)+INDEX(PARAMETROS_CULTURAS!$H$6:$H$28,$P2202),INDEX(PARAMETROS_CULTURAS!$L$6:$L$28,$P2202),INDEX(PARAMETROS_CULTURAS!$L$6:$L$28,$P2202)+(INDEX(PARAMETROS_CULTURAS!$M$6:$M$28,$P2202)-INDEX(PARAMETROS_CULTURAS!$L$6:$L$28,$P2202))*($O2202-INDEX(PARAMETROS_CULTURAS!$F$6:$F$28,$P2202)-INDEX(PARAMETROS_CULTURAS!$G$6:$G$28,$P2202)-INDEX(PARAMETROS_CULTURAS!$H$6:$H$28,$P2202))/MAX(INDEX(PARAMETROS_CULTURAS!$I$6:$I$28,$P2202),0.0001)))))</f>
        <v>0</v>
      </c>
      <c r="S2202" s="18" t="n">
        <f aca="false">IFERROR(INDEX(SEMANAS!$H$6:$H$71,MATCH($B2202,SEMANAS!$B$6:$B$71,0)),0)</f>
        <v>33.6</v>
      </c>
      <c r="T2202" s="18" t="n">
        <f aca="false">$R2202*$S2202</f>
        <v>0</v>
      </c>
      <c r="U2202" s="18" t="n">
        <f aca="false">IFERROR(INDEX(SEMANAS!$I$6:$I$71,MATCH($B2202,SEMANAS!$B$6:$B$71,0)),0)</f>
        <v>45.15</v>
      </c>
      <c r="V2202" s="18" t="n">
        <f aca="false">IFERROR(INDEX(SEMANAS!$J$6:$J$71,MATCH($B2202,SEMANAS!$B$6:$B$71,0)),0)</f>
        <v>36.12</v>
      </c>
      <c r="W2202" s="18" t="n">
        <f aca="false">MAX(0,$T2202-$V2202)</f>
        <v>0</v>
      </c>
      <c r="X2202" s="19" t="n">
        <f aca="false">IFERROR(INDEX(CADASTRO_PIVOS!$K$6:$K$41,MATCH($E2202,CADASTRO_PIVOS!$B$6:$B$41,0)),EFICIENCIA_PADRAO)</f>
        <v>0.85</v>
      </c>
      <c r="Y2202" s="18" t="n">
        <f aca="false">IF($X2202&lt;=0,0,$W2202/$X2202)</f>
        <v>0</v>
      </c>
      <c r="Z2202" s="16" t="n">
        <f aca="false">$Y2202*$H2202*MM_PARA_M3_HA</f>
        <v>0</v>
      </c>
      <c r="AA2202" s="18" t="n">
        <f aca="false">IFERROR(INDEX(CADASTRO_PIVOS!$I$6:$I$41,MATCH($E2202,CADASTRO_PIVOS!$B$6:$B$41,0)),0)</f>
        <v>457.142857142857</v>
      </c>
      <c r="AB2202" s="18" t="n">
        <f aca="false">IF($Z2202&lt;=0,0,$Z2202/$AA2202)</f>
        <v>0</v>
      </c>
      <c r="AC2202" s="16" t="n">
        <f aca="false">IFERROR(INDEX(SEMANAS!$K$6:$K$71,MATCH($B2202,SEMANAS!$B$6:$B$71,0)),0)</f>
        <v>147</v>
      </c>
      <c r="AD2202" s="19" t="n">
        <f aca="false">IF($AC2202&lt;=0,0,$AB2202/$AC2202)</f>
        <v>0</v>
      </c>
      <c r="AE2202" s="8" t="str">
        <f aca="false">IF($K2202="SEM CULTURA","SEM CULTURA",IF($AA2202&lt;=0,"DADO PENDENTE",IF($AD2202&gt;LIMITE_CRITICO,"INVIAVEL",IF($AD2202&gt;LIMITE_ATENCAO,"CRITICO",IF($AD2202&gt;LIMITE_CONFORTAVEL,"ATENCAO","OK")))))</f>
        <v>SEM CULTURA</v>
      </c>
      <c r="AF2202" s="8" t="str">
        <f aca="false">$B2202&amp;"|"&amp;TEXT($AD2202,"0.000000")</f>
        <v>19|0.000000</v>
      </c>
      <c r="AG2202" s="18" t="n">
        <f aca="false">IF($K2202="SEM CULTURA",0,$T2202*$H2202)</f>
        <v>0</v>
      </c>
      <c r="AH2202" s="18" t="n">
        <f aca="false">IF($K2202="SEM CULTURA",0,$V2202*$H2202)</f>
        <v>0</v>
      </c>
      <c r="AI2202" s="18" t="n">
        <f aca="false">IF($K2202="SEM CULTURA",0,$W2202*$H2202)</f>
        <v>0</v>
      </c>
      <c r="AJ2202" s="18" t="n">
        <f aca="false">IF($K2202="SEM CULTURA",0,$S2202*$H2202)</f>
        <v>0</v>
      </c>
      <c r="AK2202" s="8" t="str">
        <f aca="false">$E2202&amp;"|"&amp;TEXT($AD2202,"0.000000")</f>
        <v>PV 135|0.000000</v>
      </c>
    </row>
    <row r="2203" customFormat="false" ht="15" hidden="false" customHeight="false" outlineLevel="0" collapsed="false">
      <c r="B2203" s="16" t="n">
        <v>20</v>
      </c>
      <c r="C2203" s="17" t="n">
        <f aca="false">DATA_INICIO_SAFRA+($B2203-1)*DIAS_POR_SEMANA</f>
        <v>46398</v>
      </c>
      <c r="D2203" s="17" t="n">
        <f aca="false">$C2203+DIAS_POR_SEMANA-1</f>
        <v>46404</v>
      </c>
      <c r="E2203" s="15" t="s">
        <v>292</v>
      </c>
      <c r="F2203" s="8" t="str">
        <f aca="false">IFERROR(INDEX(CADASTRO_PIVOS!$C$6:$C$41,MATCH($E2203,CADASTRO_PIVOS!$B$6:$B$41,0)),"?")</f>
        <v>RM08</v>
      </c>
      <c r="G2203" s="8" t="str">
        <f aca="false">IFERROR(INDEX(CADASTRO_PIVOS!$D$6:$D$41,MATCH($E2203,CADASTRO_PIVOS!$B$6:$B$41,0)),"?")</f>
        <v>TR08</v>
      </c>
      <c r="H2203" s="20" t="n">
        <f aca="false">IFERROR(INDEX(CADASTRO_PIVOS!$E$6:$E$41,MATCH($E2203,CADASTRO_PIVOS!$B$6:$B$41,0)),0)</f>
        <v>64</v>
      </c>
      <c r="I2203" s="16" t="n">
        <f aca="false">IFERROR(SUMIFS(ROTACAO_RDM!$B$6:$B$71,ROTACAO_RDM!$D$6:$D$71,$E2203,ROTACAO_RDM!$I$6:$I$71,"&lt;="&amp;$C2203+INT(DIAS_POR_SEMANA/2),ROTACAO_RDM!$J$6:$J$71,"&gt;="&amp;$C2203+INT(DIAS_POR_SEMANA/2)),0)</f>
        <v>0</v>
      </c>
      <c r="J2203" s="16" t="n">
        <f aca="false">IFERROR(MATCH($I2203,ROTACAO_RDM!$B$6:$B$71,0),0)</f>
        <v>0</v>
      </c>
      <c r="K2203" s="8" t="str">
        <f aca="false">IF($J2203=0,"SEM CULTURA",INDEX(ROTACAO_RDM!$F$6:$F$71,$J2203))</f>
        <v>SEM CULTURA</v>
      </c>
      <c r="L2203" s="8" t="str">
        <f aca="false">IF($J2203=0,"",INDEX(ROTACAO_RDM!$G$6:$G$71,$J2203))</f>
        <v/>
      </c>
      <c r="M2203" s="17" t="str">
        <f aca="false">IF($J2203=0,"",INDEX(ROTACAO_RDM!$I$6:$I$71,$J2203))</f>
        <v/>
      </c>
      <c r="N2203" s="16" t="n">
        <f aca="false">IF($J2203=0,0,MAX(0,$C2203+INT(DIAS_POR_SEMANA/2)-INDEX(ROTACAO_RDM!$I$6:$I$71,$J2203)))</f>
        <v>0</v>
      </c>
      <c r="O2203" s="19" t="n">
        <f aca="false">IF($J2203=0,0,MIN(1,$N2203/MAX(1,INDEX(ROTACAO_RDM!$K$6:$K$71,$J2203))))</f>
        <v>0</v>
      </c>
      <c r="P2203" s="16" t="n">
        <f aca="false">IF($J2203=0,0,IFERROR(MATCH(INDEX(ROTACAO_RDM!$N$6:$N$71,$J2203),PARAMETROS_CULTURAS!$B$6:$B$28,0),0))</f>
        <v>0</v>
      </c>
      <c r="Q2203" s="8" t="str">
        <f aca="false">IF($P2203=0,"-",IF($O2203&lt;=INDEX(PARAMETROS_CULTURAS!$F$6:$F$28,$P2203),"INICIAL",IF($O2203&lt;=INDEX(PARAMETROS_CULTURAS!$F$6:$F$28,$P2203)+INDEX(PARAMETROS_CULTURAS!$G$6:$G$28,$P2203),"DESENVOLVIMENTO",IF($O2203&lt;=INDEX(PARAMETROS_CULTURAS!$F$6:$F$28,$P2203)+INDEX(PARAMETROS_CULTURAS!$G$6:$G$28,$P2203)+INDEX(PARAMETROS_CULTURAS!$H$6:$H$28,$P2203),"MEDIA","FINAL"))))</f>
        <v>-</v>
      </c>
      <c r="R2203" s="24" t="n">
        <f aca="false">IF($P2203=0,0,IF($O2203&lt;=INDEX(PARAMETROS_CULTURAS!$F$6:$F$28,$P2203),INDEX(PARAMETROS_CULTURAS!$K$6:$K$28,$P2203),IF($O2203&lt;=INDEX(PARAMETROS_CULTURAS!$F$6:$F$28,$P2203)+INDEX(PARAMETROS_CULTURAS!$G$6:$G$28,$P2203),INDEX(PARAMETROS_CULTURAS!$K$6:$K$28,$P2203)+(INDEX(PARAMETROS_CULTURAS!$L$6:$L$28,$P2203)-INDEX(PARAMETROS_CULTURAS!$K$6:$K$28,$P2203))*($O2203-INDEX(PARAMETROS_CULTURAS!$F$6:$F$28,$P2203))/MAX(INDEX(PARAMETROS_CULTURAS!$G$6:$G$28,$P2203),0.0001),IF($O2203&lt;=INDEX(PARAMETROS_CULTURAS!$F$6:$F$28,$P2203)+INDEX(PARAMETROS_CULTURAS!$G$6:$G$28,$P2203)+INDEX(PARAMETROS_CULTURAS!$H$6:$H$28,$P2203),INDEX(PARAMETROS_CULTURAS!$L$6:$L$28,$P2203),INDEX(PARAMETROS_CULTURAS!$L$6:$L$28,$P2203)+(INDEX(PARAMETROS_CULTURAS!$M$6:$M$28,$P2203)-INDEX(PARAMETROS_CULTURAS!$L$6:$L$28,$P2203))*($O2203-INDEX(PARAMETROS_CULTURAS!$F$6:$F$28,$P2203)-INDEX(PARAMETROS_CULTURAS!$G$6:$G$28,$P2203)-INDEX(PARAMETROS_CULTURAS!$H$6:$H$28,$P2203))/MAX(INDEX(PARAMETROS_CULTURAS!$I$6:$I$28,$P2203),0.0001)))))</f>
        <v>0</v>
      </c>
      <c r="S2203" s="18" t="n">
        <f aca="false">IFERROR(INDEX(SEMANAS!$H$6:$H$71,MATCH($B2203,SEMANAS!$B$6:$B$71,0)),0)</f>
        <v>33.6</v>
      </c>
      <c r="T2203" s="18" t="n">
        <f aca="false">$R2203*$S2203</f>
        <v>0</v>
      </c>
      <c r="U2203" s="18" t="n">
        <f aca="false">IFERROR(INDEX(SEMANAS!$I$6:$I$71,MATCH($B2203,SEMANAS!$B$6:$B$71,0)),0)</f>
        <v>45.15</v>
      </c>
      <c r="V2203" s="18" t="n">
        <f aca="false">IFERROR(INDEX(SEMANAS!$J$6:$J$71,MATCH($B2203,SEMANAS!$B$6:$B$71,0)),0)</f>
        <v>36.12</v>
      </c>
      <c r="W2203" s="18" t="n">
        <f aca="false">MAX(0,$T2203-$V2203)</f>
        <v>0</v>
      </c>
      <c r="X2203" s="19" t="n">
        <f aca="false">IFERROR(INDEX(CADASTRO_PIVOS!$K$6:$K$41,MATCH($E2203,CADASTRO_PIVOS!$B$6:$B$41,0)),EFICIENCIA_PADRAO)</f>
        <v>0.85</v>
      </c>
      <c r="Y2203" s="18" t="n">
        <f aca="false">IF($X2203&lt;=0,0,$W2203/$X2203)</f>
        <v>0</v>
      </c>
      <c r="Z2203" s="16" t="n">
        <f aca="false">$Y2203*$H2203*MM_PARA_M3_HA</f>
        <v>0</v>
      </c>
      <c r="AA2203" s="18" t="n">
        <f aca="false">IFERROR(INDEX(CADASTRO_PIVOS!$I$6:$I$41,MATCH($E2203,CADASTRO_PIVOS!$B$6:$B$41,0)),0)</f>
        <v>457.142857142857</v>
      </c>
      <c r="AB2203" s="18" t="n">
        <f aca="false">IF($Z2203&lt;=0,0,$Z2203/$AA2203)</f>
        <v>0</v>
      </c>
      <c r="AC2203" s="16" t="n">
        <f aca="false">IFERROR(INDEX(SEMANAS!$K$6:$K$71,MATCH($B2203,SEMANAS!$B$6:$B$71,0)),0)</f>
        <v>147</v>
      </c>
      <c r="AD2203" s="19" t="n">
        <f aca="false">IF($AC2203&lt;=0,0,$AB2203/$AC2203)</f>
        <v>0</v>
      </c>
      <c r="AE2203" s="8" t="str">
        <f aca="false">IF($K2203="SEM CULTURA","SEM CULTURA",IF($AA2203&lt;=0,"DADO PENDENTE",IF($AD2203&gt;LIMITE_CRITICO,"INVIAVEL",IF($AD2203&gt;LIMITE_ATENCAO,"CRITICO",IF($AD2203&gt;LIMITE_CONFORTAVEL,"ATENCAO","OK")))))</f>
        <v>SEM CULTURA</v>
      </c>
      <c r="AF2203" s="8" t="str">
        <f aca="false">$B2203&amp;"|"&amp;TEXT($AD2203,"0.000000")</f>
        <v>20|0.000000</v>
      </c>
      <c r="AG2203" s="18" t="n">
        <f aca="false">IF($K2203="SEM CULTURA",0,$T2203*$H2203)</f>
        <v>0</v>
      </c>
      <c r="AH2203" s="18" t="n">
        <f aca="false">IF($K2203="SEM CULTURA",0,$V2203*$H2203)</f>
        <v>0</v>
      </c>
      <c r="AI2203" s="18" t="n">
        <f aca="false">IF($K2203="SEM CULTURA",0,$W2203*$H2203)</f>
        <v>0</v>
      </c>
      <c r="AJ2203" s="18" t="n">
        <f aca="false">IF($K2203="SEM CULTURA",0,$S2203*$H2203)</f>
        <v>0</v>
      </c>
      <c r="AK2203" s="8" t="str">
        <f aca="false">$E2203&amp;"|"&amp;TEXT($AD2203,"0.000000")</f>
        <v>PV 135|0.000000</v>
      </c>
    </row>
    <row r="2204" customFormat="false" ht="15" hidden="false" customHeight="false" outlineLevel="0" collapsed="false">
      <c r="B2204" s="16" t="n">
        <v>21</v>
      </c>
      <c r="C2204" s="17" t="n">
        <f aca="false">DATA_INICIO_SAFRA+($B2204-1)*DIAS_POR_SEMANA</f>
        <v>46405</v>
      </c>
      <c r="D2204" s="17" t="n">
        <f aca="false">$C2204+DIAS_POR_SEMANA-1</f>
        <v>46411</v>
      </c>
      <c r="E2204" s="15" t="s">
        <v>292</v>
      </c>
      <c r="F2204" s="8" t="str">
        <f aca="false">IFERROR(INDEX(CADASTRO_PIVOS!$C$6:$C$41,MATCH($E2204,CADASTRO_PIVOS!$B$6:$B$41,0)),"?")</f>
        <v>RM08</v>
      </c>
      <c r="G2204" s="8" t="str">
        <f aca="false">IFERROR(INDEX(CADASTRO_PIVOS!$D$6:$D$41,MATCH($E2204,CADASTRO_PIVOS!$B$6:$B$41,0)),"?")</f>
        <v>TR08</v>
      </c>
      <c r="H2204" s="20" t="n">
        <f aca="false">IFERROR(INDEX(CADASTRO_PIVOS!$E$6:$E$41,MATCH($E2204,CADASTRO_PIVOS!$B$6:$B$41,0)),0)</f>
        <v>64</v>
      </c>
      <c r="I2204" s="16" t="n">
        <f aca="false">IFERROR(SUMIFS(ROTACAO_RDM!$B$6:$B$71,ROTACAO_RDM!$D$6:$D$71,$E2204,ROTACAO_RDM!$I$6:$I$71,"&lt;="&amp;$C2204+INT(DIAS_POR_SEMANA/2),ROTACAO_RDM!$J$6:$J$71,"&gt;="&amp;$C2204+INT(DIAS_POR_SEMANA/2)),0)</f>
        <v>0</v>
      </c>
      <c r="J2204" s="16" t="n">
        <f aca="false">IFERROR(MATCH($I2204,ROTACAO_RDM!$B$6:$B$71,0),0)</f>
        <v>0</v>
      </c>
      <c r="K2204" s="8" t="str">
        <f aca="false">IF($J2204=0,"SEM CULTURA",INDEX(ROTACAO_RDM!$F$6:$F$71,$J2204))</f>
        <v>SEM CULTURA</v>
      </c>
      <c r="L2204" s="8" t="str">
        <f aca="false">IF($J2204=0,"",INDEX(ROTACAO_RDM!$G$6:$G$71,$J2204))</f>
        <v/>
      </c>
      <c r="M2204" s="17" t="str">
        <f aca="false">IF($J2204=0,"",INDEX(ROTACAO_RDM!$I$6:$I$71,$J2204))</f>
        <v/>
      </c>
      <c r="N2204" s="16" t="n">
        <f aca="false">IF($J2204=0,0,MAX(0,$C2204+INT(DIAS_POR_SEMANA/2)-INDEX(ROTACAO_RDM!$I$6:$I$71,$J2204)))</f>
        <v>0</v>
      </c>
      <c r="O2204" s="19" t="n">
        <f aca="false">IF($J2204=0,0,MIN(1,$N2204/MAX(1,INDEX(ROTACAO_RDM!$K$6:$K$71,$J2204))))</f>
        <v>0</v>
      </c>
      <c r="P2204" s="16" t="n">
        <f aca="false">IF($J2204=0,0,IFERROR(MATCH(INDEX(ROTACAO_RDM!$N$6:$N$71,$J2204),PARAMETROS_CULTURAS!$B$6:$B$28,0),0))</f>
        <v>0</v>
      </c>
      <c r="Q2204" s="8" t="str">
        <f aca="false">IF($P2204=0,"-",IF($O2204&lt;=INDEX(PARAMETROS_CULTURAS!$F$6:$F$28,$P2204),"INICIAL",IF($O2204&lt;=INDEX(PARAMETROS_CULTURAS!$F$6:$F$28,$P2204)+INDEX(PARAMETROS_CULTURAS!$G$6:$G$28,$P2204),"DESENVOLVIMENTO",IF($O2204&lt;=INDEX(PARAMETROS_CULTURAS!$F$6:$F$28,$P2204)+INDEX(PARAMETROS_CULTURAS!$G$6:$G$28,$P2204)+INDEX(PARAMETROS_CULTURAS!$H$6:$H$28,$P2204),"MEDIA","FINAL"))))</f>
        <v>-</v>
      </c>
      <c r="R2204" s="24" t="n">
        <f aca="false">IF($P2204=0,0,IF($O2204&lt;=INDEX(PARAMETROS_CULTURAS!$F$6:$F$28,$P2204),INDEX(PARAMETROS_CULTURAS!$K$6:$K$28,$P2204),IF($O2204&lt;=INDEX(PARAMETROS_CULTURAS!$F$6:$F$28,$P2204)+INDEX(PARAMETROS_CULTURAS!$G$6:$G$28,$P2204),INDEX(PARAMETROS_CULTURAS!$K$6:$K$28,$P2204)+(INDEX(PARAMETROS_CULTURAS!$L$6:$L$28,$P2204)-INDEX(PARAMETROS_CULTURAS!$K$6:$K$28,$P2204))*($O2204-INDEX(PARAMETROS_CULTURAS!$F$6:$F$28,$P2204))/MAX(INDEX(PARAMETROS_CULTURAS!$G$6:$G$28,$P2204),0.0001),IF($O2204&lt;=INDEX(PARAMETROS_CULTURAS!$F$6:$F$28,$P2204)+INDEX(PARAMETROS_CULTURAS!$G$6:$G$28,$P2204)+INDEX(PARAMETROS_CULTURAS!$H$6:$H$28,$P2204),INDEX(PARAMETROS_CULTURAS!$L$6:$L$28,$P2204),INDEX(PARAMETROS_CULTURAS!$L$6:$L$28,$P2204)+(INDEX(PARAMETROS_CULTURAS!$M$6:$M$28,$P2204)-INDEX(PARAMETROS_CULTURAS!$L$6:$L$28,$P2204))*($O2204-INDEX(PARAMETROS_CULTURAS!$F$6:$F$28,$P2204)-INDEX(PARAMETROS_CULTURAS!$G$6:$G$28,$P2204)-INDEX(PARAMETROS_CULTURAS!$H$6:$H$28,$P2204))/MAX(INDEX(PARAMETROS_CULTURAS!$I$6:$I$28,$P2204),0.0001)))))</f>
        <v>0</v>
      </c>
      <c r="S2204" s="18" t="n">
        <f aca="false">IFERROR(INDEX(SEMANAS!$H$6:$H$71,MATCH($B2204,SEMANAS!$B$6:$B$71,0)),0)</f>
        <v>33.6</v>
      </c>
      <c r="T2204" s="18" t="n">
        <f aca="false">$R2204*$S2204</f>
        <v>0</v>
      </c>
      <c r="U2204" s="18" t="n">
        <f aca="false">IFERROR(INDEX(SEMANAS!$I$6:$I$71,MATCH($B2204,SEMANAS!$B$6:$B$71,0)),0)</f>
        <v>45.15</v>
      </c>
      <c r="V2204" s="18" t="n">
        <f aca="false">IFERROR(INDEX(SEMANAS!$J$6:$J$71,MATCH($B2204,SEMANAS!$B$6:$B$71,0)),0)</f>
        <v>36.12</v>
      </c>
      <c r="W2204" s="18" t="n">
        <f aca="false">MAX(0,$T2204-$V2204)</f>
        <v>0</v>
      </c>
      <c r="X2204" s="19" t="n">
        <f aca="false">IFERROR(INDEX(CADASTRO_PIVOS!$K$6:$K$41,MATCH($E2204,CADASTRO_PIVOS!$B$6:$B$41,0)),EFICIENCIA_PADRAO)</f>
        <v>0.85</v>
      </c>
      <c r="Y2204" s="18" t="n">
        <f aca="false">IF($X2204&lt;=0,0,$W2204/$X2204)</f>
        <v>0</v>
      </c>
      <c r="Z2204" s="16" t="n">
        <f aca="false">$Y2204*$H2204*MM_PARA_M3_HA</f>
        <v>0</v>
      </c>
      <c r="AA2204" s="18" t="n">
        <f aca="false">IFERROR(INDEX(CADASTRO_PIVOS!$I$6:$I$41,MATCH($E2204,CADASTRO_PIVOS!$B$6:$B$41,0)),0)</f>
        <v>457.142857142857</v>
      </c>
      <c r="AB2204" s="18" t="n">
        <f aca="false">IF($Z2204&lt;=0,0,$Z2204/$AA2204)</f>
        <v>0</v>
      </c>
      <c r="AC2204" s="16" t="n">
        <f aca="false">IFERROR(INDEX(SEMANAS!$K$6:$K$71,MATCH($B2204,SEMANAS!$B$6:$B$71,0)),0)</f>
        <v>147</v>
      </c>
      <c r="AD2204" s="19" t="n">
        <f aca="false">IF($AC2204&lt;=0,0,$AB2204/$AC2204)</f>
        <v>0</v>
      </c>
      <c r="AE2204" s="8" t="str">
        <f aca="false">IF($K2204="SEM CULTURA","SEM CULTURA",IF($AA2204&lt;=0,"DADO PENDENTE",IF($AD2204&gt;LIMITE_CRITICO,"INVIAVEL",IF($AD2204&gt;LIMITE_ATENCAO,"CRITICO",IF($AD2204&gt;LIMITE_CONFORTAVEL,"ATENCAO","OK")))))</f>
        <v>SEM CULTURA</v>
      </c>
      <c r="AF2204" s="8" t="str">
        <f aca="false">$B2204&amp;"|"&amp;TEXT($AD2204,"0.000000")</f>
        <v>21|0.000000</v>
      </c>
      <c r="AG2204" s="18" t="n">
        <f aca="false">IF($K2204="SEM CULTURA",0,$T2204*$H2204)</f>
        <v>0</v>
      </c>
      <c r="AH2204" s="18" t="n">
        <f aca="false">IF($K2204="SEM CULTURA",0,$V2204*$H2204)</f>
        <v>0</v>
      </c>
      <c r="AI2204" s="18" t="n">
        <f aca="false">IF($K2204="SEM CULTURA",0,$W2204*$H2204)</f>
        <v>0</v>
      </c>
      <c r="AJ2204" s="18" t="n">
        <f aca="false">IF($K2204="SEM CULTURA",0,$S2204*$H2204)</f>
        <v>0</v>
      </c>
      <c r="AK2204" s="8" t="str">
        <f aca="false">$E2204&amp;"|"&amp;TEXT($AD2204,"0.000000")</f>
        <v>PV 135|0.000000</v>
      </c>
    </row>
    <row r="2205" customFormat="false" ht="15" hidden="false" customHeight="false" outlineLevel="0" collapsed="false">
      <c r="B2205" s="16" t="n">
        <v>22</v>
      </c>
      <c r="C2205" s="17" t="n">
        <f aca="false">DATA_INICIO_SAFRA+($B2205-1)*DIAS_POR_SEMANA</f>
        <v>46412</v>
      </c>
      <c r="D2205" s="17" t="n">
        <f aca="false">$C2205+DIAS_POR_SEMANA-1</f>
        <v>46418</v>
      </c>
      <c r="E2205" s="15" t="s">
        <v>292</v>
      </c>
      <c r="F2205" s="8" t="str">
        <f aca="false">IFERROR(INDEX(CADASTRO_PIVOS!$C$6:$C$41,MATCH($E2205,CADASTRO_PIVOS!$B$6:$B$41,0)),"?")</f>
        <v>RM08</v>
      </c>
      <c r="G2205" s="8" t="str">
        <f aca="false">IFERROR(INDEX(CADASTRO_PIVOS!$D$6:$D$41,MATCH($E2205,CADASTRO_PIVOS!$B$6:$B$41,0)),"?")</f>
        <v>TR08</v>
      </c>
      <c r="H2205" s="20" t="n">
        <f aca="false">IFERROR(INDEX(CADASTRO_PIVOS!$E$6:$E$41,MATCH($E2205,CADASTRO_PIVOS!$B$6:$B$41,0)),0)</f>
        <v>64</v>
      </c>
      <c r="I2205" s="16" t="n">
        <f aca="false">IFERROR(SUMIFS(ROTACAO_RDM!$B$6:$B$71,ROTACAO_RDM!$D$6:$D$71,$E2205,ROTACAO_RDM!$I$6:$I$71,"&lt;="&amp;$C2205+INT(DIAS_POR_SEMANA/2),ROTACAO_RDM!$J$6:$J$71,"&gt;="&amp;$C2205+INT(DIAS_POR_SEMANA/2)),0)</f>
        <v>0</v>
      </c>
      <c r="J2205" s="16" t="n">
        <f aca="false">IFERROR(MATCH($I2205,ROTACAO_RDM!$B$6:$B$71,0),0)</f>
        <v>0</v>
      </c>
      <c r="K2205" s="8" t="str">
        <f aca="false">IF($J2205=0,"SEM CULTURA",INDEX(ROTACAO_RDM!$F$6:$F$71,$J2205))</f>
        <v>SEM CULTURA</v>
      </c>
      <c r="L2205" s="8" t="str">
        <f aca="false">IF($J2205=0,"",INDEX(ROTACAO_RDM!$G$6:$G$71,$J2205))</f>
        <v/>
      </c>
      <c r="M2205" s="17" t="str">
        <f aca="false">IF($J2205=0,"",INDEX(ROTACAO_RDM!$I$6:$I$71,$J2205))</f>
        <v/>
      </c>
      <c r="N2205" s="16" t="n">
        <f aca="false">IF($J2205=0,0,MAX(0,$C2205+INT(DIAS_POR_SEMANA/2)-INDEX(ROTACAO_RDM!$I$6:$I$71,$J2205)))</f>
        <v>0</v>
      </c>
      <c r="O2205" s="19" t="n">
        <f aca="false">IF($J2205=0,0,MIN(1,$N2205/MAX(1,INDEX(ROTACAO_RDM!$K$6:$K$71,$J2205))))</f>
        <v>0</v>
      </c>
      <c r="P2205" s="16" t="n">
        <f aca="false">IF($J2205=0,0,IFERROR(MATCH(INDEX(ROTACAO_RDM!$N$6:$N$71,$J2205),PARAMETROS_CULTURAS!$B$6:$B$28,0),0))</f>
        <v>0</v>
      </c>
      <c r="Q2205" s="8" t="str">
        <f aca="false">IF($P2205=0,"-",IF($O2205&lt;=INDEX(PARAMETROS_CULTURAS!$F$6:$F$28,$P2205),"INICIAL",IF($O2205&lt;=INDEX(PARAMETROS_CULTURAS!$F$6:$F$28,$P2205)+INDEX(PARAMETROS_CULTURAS!$G$6:$G$28,$P2205),"DESENVOLVIMENTO",IF($O2205&lt;=INDEX(PARAMETROS_CULTURAS!$F$6:$F$28,$P2205)+INDEX(PARAMETROS_CULTURAS!$G$6:$G$28,$P2205)+INDEX(PARAMETROS_CULTURAS!$H$6:$H$28,$P2205),"MEDIA","FINAL"))))</f>
        <v>-</v>
      </c>
      <c r="R2205" s="24" t="n">
        <f aca="false">IF($P2205=0,0,IF($O2205&lt;=INDEX(PARAMETROS_CULTURAS!$F$6:$F$28,$P2205),INDEX(PARAMETROS_CULTURAS!$K$6:$K$28,$P2205),IF($O2205&lt;=INDEX(PARAMETROS_CULTURAS!$F$6:$F$28,$P2205)+INDEX(PARAMETROS_CULTURAS!$G$6:$G$28,$P2205),INDEX(PARAMETROS_CULTURAS!$K$6:$K$28,$P2205)+(INDEX(PARAMETROS_CULTURAS!$L$6:$L$28,$P2205)-INDEX(PARAMETROS_CULTURAS!$K$6:$K$28,$P2205))*($O2205-INDEX(PARAMETROS_CULTURAS!$F$6:$F$28,$P2205))/MAX(INDEX(PARAMETROS_CULTURAS!$G$6:$G$28,$P2205),0.0001),IF($O2205&lt;=INDEX(PARAMETROS_CULTURAS!$F$6:$F$28,$P2205)+INDEX(PARAMETROS_CULTURAS!$G$6:$G$28,$P2205)+INDEX(PARAMETROS_CULTURAS!$H$6:$H$28,$P2205),INDEX(PARAMETROS_CULTURAS!$L$6:$L$28,$P2205),INDEX(PARAMETROS_CULTURAS!$L$6:$L$28,$P2205)+(INDEX(PARAMETROS_CULTURAS!$M$6:$M$28,$P2205)-INDEX(PARAMETROS_CULTURAS!$L$6:$L$28,$P2205))*($O2205-INDEX(PARAMETROS_CULTURAS!$F$6:$F$28,$P2205)-INDEX(PARAMETROS_CULTURAS!$G$6:$G$28,$P2205)-INDEX(PARAMETROS_CULTURAS!$H$6:$H$28,$P2205))/MAX(INDEX(PARAMETROS_CULTURAS!$I$6:$I$28,$P2205),0.0001)))))</f>
        <v>0</v>
      </c>
      <c r="S2205" s="18" t="n">
        <f aca="false">IFERROR(INDEX(SEMANAS!$H$6:$H$71,MATCH($B2205,SEMANAS!$B$6:$B$71,0)),0)</f>
        <v>33.6</v>
      </c>
      <c r="T2205" s="18" t="n">
        <f aca="false">$R2205*$S2205</f>
        <v>0</v>
      </c>
      <c r="U2205" s="18" t="n">
        <f aca="false">IFERROR(INDEX(SEMANAS!$I$6:$I$71,MATCH($B2205,SEMANAS!$B$6:$B$71,0)),0)</f>
        <v>45.15</v>
      </c>
      <c r="V2205" s="18" t="n">
        <f aca="false">IFERROR(INDEX(SEMANAS!$J$6:$J$71,MATCH($B2205,SEMANAS!$B$6:$B$71,0)),0)</f>
        <v>36.12</v>
      </c>
      <c r="W2205" s="18" t="n">
        <f aca="false">MAX(0,$T2205-$V2205)</f>
        <v>0</v>
      </c>
      <c r="X2205" s="19" t="n">
        <f aca="false">IFERROR(INDEX(CADASTRO_PIVOS!$K$6:$K$41,MATCH($E2205,CADASTRO_PIVOS!$B$6:$B$41,0)),EFICIENCIA_PADRAO)</f>
        <v>0.85</v>
      </c>
      <c r="Y2205" s="18" t="n">
        <f aca="false">IF($X2205&lt;=0,0,$W2205/$X2205)</f>
        <v>0</v>
      </c>
      <c r="Z2205" s="16" t="n">
        <f aca="false">$Y2205*$H2205*MM_PARA_M3_HA</f>
        <v>0</v>
      </c>
      <c r="AA2205" s="18" t="n">
        <f aca="false">IFERROR(INDEX(CADASTRO_PIVOS!$I$6:$I$41,MATCH($E2205,CADASTRO_PIVOS!$B$6:$B$41,0)),0)</f>
        <v>457.142857142857</v>
      </c>
      <c r="AB2205" s="18" t="n">
        <f aca="false">IF($Z2205&lt;=0,0,$Z2205/$AA2205)</f>
        <v>0</v>
      </c>
      <c r="AC2205" s="16" t="n">
        <f aca="false">IFERROR(INDEX(SEMANAS!$K$6:$K$71,MATCH($B2205,SEMANAS!$B$6:$B$71,0)),0)</f>
        <v>147</v>
      </c>
      <c r="AD2205" s="19" t="n">
        <f aca="false">IF($AC2205&lt;=0,0,$AB2205/$AC2205)</f>
        <v>0</v>
      </c>
      <c r="AE2205" s="8" t="str">
        <f aca="false">IF($K2205="SEM CULTURA","SEM CULTURA",IF($AA2205&lt;=0,"DADO PENDENTE",IF($AD2205&gt;LIMITE_CRITICO,"INVIAVEL",IF($AD2205&gt;LIMITE_ATENCAO,"CRITICO",IF($AD2205&gt;LIMITE_CONFORTAVEL,"ATENCAO","OK")))))</f>
        <v>SEM CULTURA</v>
      </c>
      <c r="AF2205" s="8" t="str">
        <f aca="false">$B2205&amp;"|"&amp;TEXT($AD2205,"0.000000")</f>
        <v>22|0.000000</v>
      </c>
      <c r="AG2205" s="18" t="n">
        <f aca="false">IF($K2205="SEM CULTURA",0,$T2205*$H2205)</f>
        <v>0</v>
      </c>
      <c r="AH2205" s="18" t="n">
        <f aca="false">IF($K2205="SEM CULTURA",0,$V2205*$H2205)</f>
        <v>0</v>
      </c>
      <c r="AI2205" s="18" t="n">
        <f aca="false">IF($K2205="SEM CULTURA",0,$W2205*$H2205)</f>
        <v>0</v>
      </c>
      <c r="AJ2205" s="18" t="n">
        <f aca="false">IF($K2205="SEM CULTURA",0,$S2205*$H2205)</f>
        <v>0</v>
      </c>
      <c r="AK2205" s="8" t="str">
        <f aca="false">$E2205&amp;"|"&amp;TEXT($AD2205,"0.000000")</f>
        <v>PV 135|0.000000</v>
      </c>
    </row>
    <row r="2206" customFormat="false" ht="15" hidden="false" customHeight="false" outlineLevel="0" collapsed="false">
      <c r="B2206" s="16" t="n">
        <v>23</v>
      </c>
      <c r="C2206" s="17" t="n">
        <f aca="false">DATA_INICIO_SAFRA+($B2206-1)*DIAS_POR_SEMANA</f>
        <v>46419</v>
      </c>
      <c r="D2206" s="17" t="n">
        <f aca="false">$C2206+DIAS_POR_SEMANA-1</f>
        <v>46425</v>
      </c>
      <c r="E2206" s="15" t="s">
        <v>292</v>
      </c>
      <c r="F2206" s="8" t="str">
        <f aca="false">IFERROR(INDEX(CADASTRO_PIVOS!$C$6:$C$41,MATCH($E2206,CADASTRO_PIVOS!$B$6:$B$41,0)),"?")</f>
        <v>RM08</v>
      </c>
      <c r="G2206" s="8" t="str">
        <f aca="false">IFERROR(INDEX(CADASTRO_PIVOS!$D$6:$D$41,MATCH($E2206,CADASTRO_PIVOS!$B$6:$B$41,0)),"?")</f>
        <v>TR08</v>
      </c>
      <c r="H2206" s="20" t="n">
        <f aca="false">IFERROR(INDEX(CADASTRO_PIVOS!$E$6:$E$41,MATCH($E2206,CADASTRO_PIVOS!$B$6:$B$41,0)),0)</f>
        <v>64</v>
      </c>
      <c r="I2206" s="16" t="n">
        <f aca="false">IFERROR(SUMIFS(ROTACAO_RDM!$B$6:$B$71,ROTACAO_RDM!$D$6:$D$71,$E2206,ROTACAO_RDM!$I$6:$I$71,"&lt;="&amp;$C2206+INT(DIAS_POR_SEMANA/2),ROTACAO_RDM!$J$6:$J$71,"&gt;="&amp;$C2206+INT(DIAS_POR_SEMANA/2)),0)</f>
        <v>0</v>
      </c>
      <c r="J2206" s="16" t="n">
        <f aca="false">IFERROR(MATCH($I2206,ROTACAO_RDM!$B$6:$B$71,0),0)</f>
        <v>0</v>
      </c>
      <c r="K2206" s="8" t="str">
        <f aca="false">IF($J2206=0,"SEM CULTURA",INDEX(ROTACAO_RDM!$F$6:$F$71,$J2206))</f>
        <v>SEM CULTURA</v>
      </c>
      <c r="L2206" s="8" t="str">
        <f aca="false">IF($J2206=0,"",INDEX(ROTACAO_RDM!$G$6:$G$71,$J2206))</f>
        <v/>
      </c>
      <c r="M2206" s="17" t="str">
        <f aca="false">IF($J2206=0,"",INDEX(ROTACAO_RDM!$I$6:$I$71,$J2206))</f>
        <v/>
      </c>
      <c r="N2206" s="16" t="n">
        <f aca="false">IF($J2206=0,0,MAX(0,$C2206+INT(DIAS_POR_SEMANA/2)-INDEX(ROTACAO_RDM!$I$6:$I$71,$J2206)))</f>
        <v>0</v>
      </c>
      <c r="O2206" s="19" t="n">
        <f aca="false">IF($J2206=0,0,MIN(1,$N2206/MAX(1,INDEX(ROTACAO_RDM!$K$6:$K$71,$J2206))))</f>
        <v>0</v>
      </c>
      <c r="P2206" s="16" t="n">
        <f aca="false">IF($J2206=0,0,IFERROR(MATCH(INDEX(ROTACAO_RDM!$N$6:$N$71,$J2206),PARAMETROS_CULTURAS!$B$6:$B$28,0),0))</f>
        <v>0</v>
      </c>
      <c r="Q2206" s="8" t="str">
        <f aca="false">IF($P2206=0,"-",IF($O2206&lt;=INDEX(PARAMETROS_CULTURAS!$F$6:$F$28,$P2206),"INICIAL",IF($O2206&lt;=INDEX(PARAMETROS_CULTURAS!$F$6:$F$28,$P2206)+INDEX(PARAMETROS_CULTURAS!$G$6:$G$28,$P2206),"DESENVOLVIMENTO",IF($O2206&lt;=INDEX(PARAMETROS_CULTURAS!$F$6:$F$28,$P2206)+INDEX(PARAMETROS_CULTURAS!$G$6:$G$28,$P2206)+INDEX(PARAMETROS_CULTURAS!$H$6:$H$28,$P2206),"MEDIA","FINAL"))))</f>
        <v>-</v>
      </c>
      <c r="R2206" s="24" t="n">
        <f aca="false">IF($P2206=0,0,IF($O2206&lt;=INDEX(PARAMETROS_CULTURAS!$F$6:$F$28,$P2206),INDEX(PARAMETROS_CULTURAS!$K$6:$K$28,$P2206),IF($O2206&lt;=INDEX(PARAMETROS_CULTURAS!$F$6:$F$28,$P2206)+INDEX(PARAMETROS_CULTURAS!$G$6:$G$28,$P2206),INDEX(PARAMETROS_CULTURAS!$K$6:$K$28,$P2206)+(INDEX(PARAMETROS_CULTURAS!$L$6:$L$28,$P2206)-INDEX(PARAMETROS_CULTURAS!$K$6:$K$28,$P2206))*($O2206-INDEX(PARAMETROS_CULTURAS!$F$6:$F$28,$P2206))/MAX(INDEX(PARAMETROS_CULTURAS!$G$6:$G$28,$P2206),0.0001),IF($O2206&lt;=INDEX(PARAMETROS_CULTURAS!$F$6:$F$28,$P2206)+INDEX(PARAMETROS_CULTURAS!$G$6:$G$28,$P2206)+INDEX(PARAMETROS_CULTURAS!$H$6:$H$28,$P2206),INDEX(PARAMETROS_CULTURAS!$L$6:$L$28,$P2206),INDEX(PARAMETROS_CULTURAS!$L$6:$L$28,$P2206)+(INDEX(PARAMETROS_CULTURAS!$M$6:$M$28,$P2206)-INDEX(PARAMETROS_CULTURAS!$L$6:$L$28,$P2206))*($O2206-INDEX(PARAMETROS_CULTURAS!$F$6:$F$28,$P2206)-INDEX(PARAMETROS_CULTURAS!$G$6:$G$28,$P2206)-INDEX(PARAMETROS_CULTURAS!$H$6:$H$28,$P2206))/MAX(INDEX(PARAMETROS_CULTURAS!$I$6:$I$28,$P2206),0.0001)))))</f>
        <v>0</v>
      </c>
      <c r="S2206" s="18" t="n">
        <f aca="false">IFERROR(INDEX(SEMANAS!$H$6:$H$71,MATCH($B2206,SEMANAS!$B$6:$B$71,0)),0)</f>
        <v>32.9</v>
      </c>
      <c r="T2206" s="18" t="n">
        <f aca="false">$R2206*$S2206</f>
        <v>0</v>
      </c>
      <c r="U2206" s="18" t="n">
        <f aca="false">IFERROR(INDEX(SEMANAS!$I$6:$I$71,MATCH($B2206,SEMANAS!$B$6:$B$71,0)),0)</f>
        <v>39.97</v>
      </c>
      <c r="V2206" s="18" t="n">
        <f aca="false">IFERROR(INDEX(SEMANAS!$J$6:$J$71,MATCH($B2206,SEMANAS!$B$6:$B$71,0)),0)</f>
        <v>31.976</v>
      </c>
      <c r="W2206" s="18" t="n">
        <f aca="false">MAX(0,$T2206-$V2206)</f>
        <v>0</v>
      </c>
      <c r="X2206" s="19" t="n">
        <f aca="false">IFERROR(INDEX(CADASTRO_PIVOS!$K$6:$K$41,MATCH($E2206,CADASTRO_PIVOS!$B$6:$B$41,0)),EFICIENCIA_PADRAO)</f>
        <v>0.85</v>
      </c>
      <c r="Y2206" s="18" t="n">
        <f aca="false">IF($X2206&lt;=0,0,$W2206/$X2206)</f>
        <v>0</v>
      </c>
      <c r="Z2206" s="16" t="n">
        <f aca="false">$Y2206*$H2206*MM_PARA_M3_HA</f>
        <v>0</v>
      </c>
      <c r="AA2206" s="18" t="n">
        <f aca="false">IFERROR(INDEX(CADASTRO_PIVOS!$I$6:$I$41,MATCH($E2206,CADASTRO_PIVOS!$B$6:$B$41,0)),0)</f>
        <v>457.142857142857</v>
      </c>
      <c r="AB2206" s="18" t="n">
        <f aca="false">IF($Z2206&lt;=0,0,$Z2206/$AA2206)</f>
        <v>0</v>
      </c>
      <c r="AC2206" s="16" t="n">
        <f aca="false">IFERROR(INDEX(SEMANAS!$K$6:$K$71,MATCH($B2206,SEMANAS!$B$6:$B$71,0)),0)</f>
        <v>147</v>
      </c>
      <c r="AD2206" s="19" t="n">
        <f aca="false">IF($AC2206&lt;=0,0,$AB2206/$AC2206)</f>
        <v>0</v>
      </c>
      <c r="AE2206" s="8" t="str">
        <f aca="false">IF($K2206="SEM CULTURA","SEM CULTURA",IF($AA2206&lt;=0,"DADO PENDENTE",IF($AD2206&gt;LIMITE_CRITICO,"INVIAVEL",IF($AD2206&gt;LIMITE_ATENCAO,"CRITICO",IF($AD2206&gt;LIMITE_CONFORTAVEL,"ATENCAO","OK")))))</f>
        <v>SEM CULTURA</v>
      </c>
      <c r="AF2206" s="8" t="str">
        <f aca="false">$B2206&amp;"|"&amp;TEXT($AD2206,"0.000000")</f>
        <v>23|0.000000</v>
      </c>
      <c r="AG2206" s="18" t="n">
        <f aca="false">IF($K2206="SEM CULTURA",0,$T2206*$H2206)</f>
        <v>0</v>
      </c>
      <c r="AH2206" s="18" t="n">
        <f aca="false">IF($K2206="SEM CULTURA",0,$V2206*$H2206)</f>
        <v>0</v>
      </c>
      <c r="AI2206" s="18" t="n">
        <f aca="false">IF($K2206="SEM CULTURA",0,$W2206*$H2206)</f>
        <v>0</v>
      </c>
      <c r="AJ2206" s="18" t="n">
        <f aca="false">IF($K2206="SEM CULTURA",0,$S2206*$H2206)</f>
        <v>0</v>
      </c>
      <c r="AK2206" s="8" t="str">
        <f aca="false">$E2206&amp;"|"&amp;TEXT($AD2206,"0.000000")</f>
        <v>PV 135|0.000000</v>
      </c>
    </row>
    <row r="2207" customFormat="false" ht="15" hidden="false" customHeight="false" outlineLevel="0" collapsed="false">
      <c r="B2207" s="16" t="n">
        <v>24</v>
      </c>
      <c r="C2207" s="17" t="n">
        <f aca="false">DATA_INICIO_SAFRA+($B2207-1)*DIAS_POR_SEMANA</f>
        <v>46426</v>
      </c>
      <c r="D2207" s="17" t="n">
        <f aca="false">$C2207+DIAS_POR_SEMANA-1</f>
        <v>46432</v>
      </c>
      <c r="E2207" s="15" t="s">
        <v>292</v>
      </c>
      <c r="F2207" s="8" t="str">
        <f aca="false">IFERROR(INDEX(CADASTRO_PIVOS!$C$6:$C$41,MATCH($E2207,CADASTRO_PIVOS!$B$6:$B$41,0)),"?")</f>
        <v>RM08</v>
      </c>
      <c r="G2207" s="8" t="str">
        <f aca="false">IFERROR(INDEX(CADASTRO_PIVOS!$D$6:$D$41,MATCH($E2207,CADASTRO_PIVOS!$B$6:$B$41,0)),"?")</f>
        <v>TR08</v>
      </c>
      <c r="H2207" s="20" t="n">
        <f aca="false">IFERROR(INDEX(CADASTRO_PIVOS!$E$6:$E$41,MATCH($E2207,CADASTRO_PIVOS!$B$6:$B$41,0)),0)</f>
        <v>64</v>
      </c>
      <c r="I2207" s="16" t="n">
        <f aca="false">IFERROR(SUMIFS(ROTACAO_RDM!$B$6:$B$71,ROTACAO_RDM!$D$6:$D$71,$E2207,ROTACAO_RDM!$I$6:$I$71,"&lt;="&amp;$C2207+INT(DIAS_POR_SEMANA/2),ROTACAO_RDM!$J$6:$J$71,"&gt;="&amp;$C2207+INT(DIAS_POR_SEMANA/2)),0)</f>
        <v>0</v>
      </c>
      <c r="J2207" s="16" t="n">
        <f aca="false">IFERROR(MATCH($I2207,ROTACAO_RDM!$B$6:$B$71,0),0)</f>
        <v>0</v>
      </c>
      <c r="K2207" s="8" t="str">
        <f aca="false">IF($J2207=0,"SEM CULTURA",INDEX(ROTACAO_RDM!$F$6:$F$71,$J2207))</f>
        <v>SEM CULTURA</v>
      </c>
      <c r="L2207" s="8" t="str">
        <f aca="false">IF($J2207=0,"",INDEX(ROTACAO_RDM!$G$6:$G$71,$J2207))</f>
        <v/>
      </c>
      <c r="M2207" s="17" t="str">
        <f aca="false">IF($J2207=0,"",INDEX(ROTACAO_RDM!$I$6:$I$71,$J2207))</f>
        <v/>
      </c>
      <c r="N2207" s="16" t="n">
        <f aca="false">IF($J2207=0,0,MAX(0,$C2207+INT(DIAS_POR_SEMANA/2)-INDEX(ROTACAO_RDM!$I$6:$I$71,$J2207)))</f>
        <v>0</v>
      </c>
      <c r="O2207" s="19" t="n">
        <f aca="false">IF($J2207=0,0,MIN(1,$N2207/MAX(1,INDEX(ROTACAO_RDM!$K$6:$K$71,$J2207))))</f>
        <v>0</v>
      </c>
      <c r="P2207" s="16" t="n">
        <f aca="false">IF($J2207=0,0,IFERROR(MATCH(INDEX(ROTACAO_RDM!$N$6:$N$71,$J2207),PARAMETROS_CULTURAS!$B$6:$B$28,0),0))</f>
        <v>0</v>
      </c>
      <c r="Q2207" s="8" t="str">
        <f aca="false">IF($P2207=0,"-",IF($O2207&lt;=INDEX(PARAMETROS_CULTURAS!$F$6:$F$28,$P2207),"INICIAL",IF($O2207&lt;=INDEX(PARAMETROS_CULTURAS!$F$6:$F$28,$P2207)+INDEX(PARAMETROS_CULTURAS!$G$6:$G$28,$P2207),"DESENVOLVIMENTO",IF($O2207&lt;=INDEX(PARAMETROS_CULTURAS!$F$6:$F$28,$P2207)+INDEX(PARAMETROS_CULTURAS!$G$6:$G$28,$P2207)+INDEX(PARAMETROS_CULTURAS!$H$6:$H$28,$P2207),"MEDIA","FINAL"))))</f>
        <v>-</v>
      </c>
      <c r="R2207" s="24" t="n">
        <f aca="false">IF($P2207=0,0,IF($O2207&lt;=INDEX(PARAMETROS_CULTURAS!$F$6:$F$28,$P2207),INDEX(PARAMETROS_CULTURAS!$K$6:$K$28,$P2207),IF($O2207&lt;=INDEX(PARAMETROS_CULTURAS!$F$6:$F$28,$P2207)+INDEX(PARAMETROS_CULTURAS!$G$6:$G$28,$P2207),INDEX(PARAMETROS_CULTURAS!$K$6:$K$28,$P2207)+(INDEX(PARAMETROS_CULTURAS!$L$6:$L$28,$P2207)-INDEX(PARAMETROS_CULTURAS!$K$6:$K$28,$P2207))*($O2207-INDEX(PARAMETROS_CULTURAS!$F$6:$F$28,$P2207))/MAX(INDEX(PARAMETROS_CULTURAS!$G$6:$G$28,$P2207),0.0001),IF($O2207&lt;=INDEX(PARAMETROS_CULTURAS!$F$6:$F$28,$P2207)+INDEX(PARAMETROS_CULTURAS!$G$6:$G$28,$P2207)+INDEX(PARAMETROS_CULTURAS!$H$6:$H$28,$P2207),INDEX(PARAMETROS_CULTURAS!$L$6:$L$28,$P2207),INDEX(PARAMETROS_CULTURAS!$L$6:$L$28,$P2207)+(INDEX(PARAMETROS_CULTURAS!$M$6:$M$28,$P2207)-INDEX(PARAMETROS_CULTURAS!$L$6:$L$28,$P2207))*($O2207-INDEX(PARAMETROS_CULTURAS!$F$6:$F$28,$P2207)-INDEX(PARAMETROS_CULTURAS!$G$6:$G$28,$P2207)-INDEX(PARAMETROS_CULTURAS!$H$6:$H$28,$P2207))/MAX(INDEX(PARAMETROS_CULTURAS!$I$6:$I$28,$P2207),0.0001)))))</f>
        <v>0</v>
      </c>
      <c r="S2207" s="18" t="n">
        <f aca="false">IFERROR(INDEX(SEMANAS!$H$6:$H$71,MATCH($B2207,SEMANAS!$B$6:$B$71,0)),0)</f>
        <v>32.9</v>
      </c>
      <c r="T2207" s="18" t="n">
        <f aca="false">$R2207*$S2207</f>
        <v>0</v>
      </c>
      <c r="U2207" s="18" t="n">
        <f aca="false">IFERROR(INDEX(SEMANAS!$I$6:$I$71,MATCH($B2207,SEMANAS!$B$6:$B$71,0)),0)</f>
        <v>39.97</v>
      </c>
      <c r="V2207" s="18" t="n">
        <f aca="false">IFERROR(INDEX(SEMANAS!$J$6:$J$71,MATCH($B2207,SEMANAS!$B$6:$B$71,0)),0)</f>
        <v>31.976</v>
      </c>
      <c r="W2207" s="18" t="n">
        <f aca="false">MAX(0,$T2207-$V2207)</f>
        <v>0</v>
      </c>
      <c r="X2207" s="19" t="n">
        <f aca="false">IFERROR(INDEX(CADASTRO_PIVOS!$K$6:$K$41,MATCH($E2207,CADASTRO_PIVOS!$B$6:$B$41,0)),EFICIENCIA_PADRAO)</f>
        <v>0.85</v>
      </c>
      <c r="Y2207" s="18" t="n">
        <f aca="false">IF($X2207&lt;=0,0,$W2207/$X2207)</f>
        <v>0</v>
      </c>
      <c r="Z2207" s="16" t="n">
        <f aca="false">$Y2207*$H2207*MM_PARA_M3_HA</f>
        <v>0</v>
      </c>
      <c r="AA2207" s="18" t="n">
        <f aca="false">IFERROR(INDEX(CADASTRO_PIVOS!$I$6:$I$41,MATCH($E2207,CADASTRO_PIVOS!$B$6:$B$41,0)),0)</f>
        <v>457.142857142857</v>
      </c>
      <c r="AB2207" s="18" t="n">
        <f aca="false">IF($Z2207&lt;=0,0,$Z2207/$AA2207)</f>
        <v>0</v>
      </c>
      <c r="AC2207" s="16" t="n">
        <f aca="false">IFERROR(INDEX(SEMANAS!$K$6:$K$71,MATCH($B2207,SEMANAS!$B$6:$B$71,0)),0)</f>
        <v>147</v>
      </c>
      <c r="AD2207" s="19" t="n">
        <f aca="false">IF($AC2207&lt;=0,0,$AB2207/$AC2207)</f>
        <v>0</v>
      </c>
      <c r="AE2207" s="8" t="str">
        <f aca="false">IF($K2207="SEM CULTURA","SEM CULTURA",IF($AA2207&lt;=0,"DADO PENDENTE",IF($AD2207&gt;LIMITE_CRITICO,"INVIAVEL",IF($AD2207&gt;LIMITE_ATENCAO,"CRITICO",IF($AD2207&gt;LIMITE_CONFORTAVEL,"ATENCAO","OK")))))</f>
        <v>SEM CULTURA</v>
      </c>
      <c r="AF2207" s="8" t="str">
        <f aca="false">$B2207&amp;"|"&amp;TEXT($AD2207,"0.000000")</f>
        <v>24|0.000000</v>
      </c>
      <c r="AG2207" s="18" t="n">
        <f aca="false">IF($K2207="SEM CULTURA",0,$T2207*$H2207)</f>
        <v>0</v>
      </c>
      <c r="AH2207" s="18" t="n">
        <f aca="false">IF($K2207="SEM CULTURA",0,$V2207*$H2207)</f>
        <v>0</v>
      </c>
      <c r="AI2207" s="18" t="n">
        <f aca="false">IF($K2207="SEM CULTURA",0,$W2207*$H2207)</f>
        <v>0</v>
      </c>
      <c r="AJ2207" s="18" t="n">
        <f aca="false">IF($K2207="SEM CULTURA",0,$S2207*$H2207)</f>
        <v>0</v>
      </c>
      <c r="AK2207" s="8" t="str">
        <f aca="false">$E2207&amp;"|"&amp;TEXT($AD2207,"0.000000")</f>
        <v>PV 135|0.000000</v>
      </c>
    </row>
    <row r="2208" customFormat="false" ht="15" hidden="false" customHeight="false" outlineLevel="0" collapsed="false">
      <c r="B2208" s="16" t="n">
        <v>25</v>
      </c>
      <c r="C2208" s="17" t="n">
        <f aca="false">DATA_INICIO_SAFRA+($B2208-1)*DIAS_POR_SEMANA</f>
        <v>46433</v>
      </c>
      <c r="D2208" s="17" t="n">
        <f aca="false">$C2208+DIAS_POR_SEMANA-1</f>
        <v>46439</v>
      </c>
      <c r="E2208" s="15" t="s">
        <v>292</v>
      </c>
      <c r="F2208" s="8" t="str">
        <f aca="false">IFERROR(INDEX(CADASTRO_PIVOS!$C$6:$C$41,MATCH($E2208,CADASTRO_PIVOS!$B$6:$B$41,0)),"?")</f>
        <v>RM08</v>
      </c>
      <c r="G2208" s="8" t="str">
        <f aca="false">IFERROR(INDEX(CADASTRO_PIVOS!$D$6:$D$41,MATCH($E2208,CADASTRO_PIVOS!$B$6:$B$41,0)),"?")</f>
        <v>TR08</v>
      </c>
      <c r="H2208" s="20" t="n">
        <f aca="false">IFERROR(INDEX(CADASTRO_PIVOS!$E$6:$E$41,MATCH($E2208,CADASTRO_PIVOS!$B$6:$B$41,0)),0)</f>
        <v>64</v>
      </c>
      <c r="I2208" s="16" t="n">
        <f aca="false">IFERROR(SUMIFS(ROTACAO_RDM!$B$6:$B$71,ROTACAO_RDM!$D$6:$D$71,$E2208,ROTACAO_RDM!$I$6:$I$71,"&lt;="&amp;$C2208+INT(DIAS_POR_SEMANA/2),ROTACAO_RDM!$J$6:$J$71,"&gt;="&amp;$C2208+INT(DIAS_POR_SEMANA/2)),0)</f>
        <v>0</v>
      </c>
      <c r="J2208" s="16" t="n">
        <f aca="false">IFERROR(MATCH($I2208,ROTACAO_RDM!$B$6:$B$71,0),0)</f>
        <v>0</v>
      </c>
      <c r="K2208" s="8" t="str">
        <f aca="false">IF($J2208=0,"SEM CULTURA",INDEX(ROTACAO_RDM!$F$6:$F$71,$J2208))</f>
        <v>SEM CULTURA</v>
      </c>
      <c r="L2208" s="8" t="str">
        <f aca="false">IF($J2208=0,"",INDEX(ROTACAO_RDM!$G$6:$G$71,$J2208))</f>
        <v/>
      </c>
      <c r="M2208" s="17" t="str">
        <f aca="false">IF($J2208=0,"",INDEX(ROTACAO_RDM!$I$6:$I$71,$J2208))</f>
        <v/>
      </c>
      <c r="N2208" s="16" t="n">
        <f aca="false">IF($J2208=0,0,MAX(0,$C2208+INT(DIAS_POR_SEMANA/2)-INDEX(ROTACAO_RDM!$I$6:$I$71,$J2208)))</f>
        <v>0</v>
      </c>
      <c r="O2208" s="19" t="n">
        <f aca="false">IF($J2208=0,0,MIN(1,$N2208/MAX(1,INDEX(ROTACAO_RDM!$K$6:$K$71,$J2208))))</f>
        <v>0</v>
      </c>
      <c r="P2208" s="16" t="n">
        <f aca="false">IF($J2208=0,0,IFERROR(MATCH(INDEX(ROTACAO_RDM!$N$6:$N$71,$J2208),PARAMETROS_CULTURAS!$B$6:$B$28,0),0))</f>
        <v>0</v>
      </c>
      <c r="Q2208" s="8" t="str">
        <f aca="false">IF($P2208=0,"-",IF($O2208&lt;=INDEX(PARAMETROS_CULTURAS!$F$6:$F$28,$P2208),"INICIAL",IF($O2208&lt;=INDEX(PARAMETROS_CULTURAS!$F$6:$F$28,$P2208)+INDEX(PARAMETROS_CULTURAS!$G$6:$G$28,$P2208),"DESENVOLVIMENTO",IF($O2208&lt;=INDEX(PARAMETROS_CULTURAS!$F$6:$F$28,$P2208)+INDEX(PARAMETROS_CULTURAS!$G$6:$G$28,$P2208)+INDEX(PARAMETROS_CULTURAS!$H$6:$H$28,$P2208),"MEDIA","FINAL"))))</f>
        <v>-</v>
      </c>
      <c r="R2208" s="24" t="n">
        <f aca="false">IF($P2208=0,0,IF($O2208&lt;=INDEX(PARAMETROS_CULTURAS!$F$6:$F$28,$P2208),INDEX(PARAMETROS_CULTURAS!$K$6:$K$28,$P2208),IF($O2208&lt;=INDEX(PARAMETROS_CULTURAS!$F$6:$F$28,$P2208)+INDEX(PARAMETROS_CULTURAS!$G$6:$G$28,$P2208),INDEX(PARAMETROS_CULTURAS!$K$6:$K$28,$P2208)+(INDEX(PARAMETROS_CULTURAS!$L$6:$L$28,$P2208)-INDEX(PARAMETROS_CULTURAS!$K$6:$K$28,$P2208))*($O2208-INDEX(PARAMETROS_CULTURAS!$F$6:$F$28,$P2208))/MAX(INDEX(PARAMETROS_CULTURAS!$G$6:$G$28,$P2208),0.0001),IF($O2208&lt;=INDEX(PARAMETROS_CULTURAS!$F$6:$F$28,$P2208)+INDEX(PARAMETROS_CULTURAS!$G$6:$G$28,$P2208)+INDEX(PARAMETROS_CULTURAS!$H$6:$H$28,$P2208),INDEX(PARAMETROS_CULTURAS!$L$6:$L$28,$P2208),INDEX(PARAMETROS_CULTURAS!$L$6:$L$28,$P2208)+(INDEX(PARAMETROS_CULTURAS!$M$6:$M$28,$P2208)-INDEX(PARAMETROS_CULTURAS!$L$6:$L$28,$P2208))*($O2208-INDEX(PARAMETROS_CULTURAS!$F$6:$F$28,$P2208)-INDEX(PARAMETROS_CULTURAS!$G$6:$G$28,$P2208)-INDEX(PARAMETROS_CULTURAS!$H$6:$H$28,$P2208))/MAX(INDEX(PARAMETROS_CULTURAS!$I$6:$I$28,$P2208),0.0001)))))</f>
        <v>0</v>
      </c>
      <c r="S2208" s="18" t="n">
        <f aca="false">IFERROR(INDEX(SEMANAS!$H$6:$H$71,MATCH($B2208,SEMANAS!$B$6:$B$71,0)),0)</f>
        <v>32.9</v>
      </c>
      <c r="T2208" s="18" t="n">
        <f aca="false">$R2208*$S2208</f>
        <v>0</v>
      </c>
      <c r="U2208" s="18" t="n">
        <f aca="false">IFERROR(INDEX(SEMANAS!$I$6:$I$71,MATCH($B2208,SEMANAS!$B$6:$B$71,0)),0)</f>
        <v>39.97</v>
      </c>
      <c r="V2208" s="18" t="n">
        <f aca="false">IFERROR(INDEX(SEMANAS!$J$6:$J$71,MATCH($B2208,SEMANAS!$B$6:$B$71,0)),0)</f>
        <v>31.976</v>
      </c>
      <c r="W2208" s="18" t="n">
        <f aca="false">MAX(0,$T2208-$V2208)</f>
        <v>0</v>
      </c>
      <c r="X2208" s="19" t="n">
        <f aca="false">IFERROR(INDEX(CADASTRO_PIVOS!$K$6:$K$41,MATCH($E2208,CADASTRO_PIVOS!$B$6:$B$41,0)),EFICIENCIA_PADRAO)</f>
        <v>0.85</v>
      </c>
      <c r="Y2208" s="18" t="n">
        <f aca="false">IF($X2208&lt;=0,0,$W2208/$X2208)</f>
        <v>0</v>
      </c>
      <c r="Z2208" s="16" t="n">
        <f aca="false">$Y2208*$H2208*MM_PARA_M3_HA</f>
        <v>0</v>
      </c>
      <c r="AA2208" s="18" t="n">
        <f aca="false">IFERROR(INDEX(CADASTRO_PIVOS!$I$6:$I$41,MATCH($E2208,CADASTRO_PIVOS!$B$6:$B$41,0)),0)</f>
        <v>457.142857142857</v>
      </c>
      <c r="AB2208" s="18" t="n">
        <f aca="false">IF($Z2208&lt;=0,0,$Z2208/$AA2208)</f>
        <v>0</v>
      </c>
      <c r="AC2208" s="16" t="n">
        <f aca="false">IFERROR(INDEX(SEMANAS!$K$6:$K$71,MATCH($B2208,SEMANAS!$B$6:$B$71,0)),0)</f>
        <v>147</v>
      </c>
      <c r="AD2208" s="19" t="n">
        <f aca="false">IF($AC2208&lt;=0,0,$AB2208/$AC2208)</f>
        <v>0</v>
      </c>
      <c r="AE2208" s="8" t="str">
        <f aca="false">IF($K2208="SEM CULTURA","SEM CULTURA",IF($AA2208&lt;=0,"DADO PENDENTE",IF($AD2208&gt;LIMITE_CRITICO,"INVIAVEL",IF($AD2208&gt;LIMITE_ATENCAO,"CRITICO",IF($AD2208&gt;LIMITE_CONFORTAVEL,"ATENCAO","OK")))))</f>
        <v>SEM CULTURA</v>
      </c>
      <c r="AF2208" s="8" t="str">
        <f aca="false">$B2208&amp;"|"&amp;TEXT($AD2208,"0.000000")</f>
        <v>25|0.000000</v>
      </c>
      <c r="AG2208" s="18" t="n">
        <f aca="false">IF($K2208="SEM CULTURA",0,$T2208*$H2208)</f>
        <v>0</v>
      </c>
      <c r="AH2208" s="18" t="n">
        <f aca="false">IF($K2208="SEM CULTURA",0,$V2208*$H2208)</f>
        <v>0</v>
      </c>
      <c r="AI2208" s="18" t="n">
        <f aca="false">IF($K2208="SEM CULTURA",0,$W2208*$H2208)</f>
        <v>0</v>
      </c>
      <c r="AJ2208" s="18" t="n">
        <f aca="false">IF($K2208="SEM CULTURA",0,$S2208*$H2208)</f>
        <v>0</v>
      </c>
      <c r="AK2208" s="8" t="str">
        <f aca="false">$E2208&amp;"|"&amp;TEXT($AD2208,"0.000000")</f>
        <v>PV 135|0.000000</v>
      </c>
    </row>
    <row r="2209" customFormat="false" ht="15" hidden="false" customHeight="false" outlineLevel="0" collapsed="false">
      <c r="B2209" s="16" t="n">
        <v>26</v>
      </c>
      <c r="C2209" s="17" t="n">
        <f aca="false">DATA_INICIO_SAFRA+($B2209-1)*DIAS_POR_SEMANA</f>
        <v>46440</v>
      </c>
      <c r="D2209" s="17" t="n">
        <f aca="false">$C2209+DIAS_POR_SEMANA-1</f>
        <v>46446</v>
      </c>
      <c r="E2209" s="15" t="s">
        <v>292</v>
      </c>
      <c r="F2209" s="8" t="str">
        <f aca="false">IFERROR(INDEX(CADASTRO_PIVOS!$C$6:$C$41,MATCH($E2209,CADASTRO_PIVOS!$B$6:$B$41,0)),"?")</f>
        <v>RM08</v>
      </c>
      <c r="G2209" s="8" t="str">
        <f aca="false">IFERROR(INDEX(CADASTRO_PIVOS!$D$6:$D$41,MATCH($E2209,CADASTRO_PIVOS!$B$6:$B$41,0)),"?")</f>
        <v>TR08</v>
      </c>
      <c r="H2209" s="20" t="n">
        <f aca="false">IFERROR(INDEX(CADASTRO_PIVOS!$E$6:$E$41,MATCH($E2209,CADASTRO_PIVOS!$B$6:$B$41,0)),0)</f>
        <v>64</v>
      </c>
      <c r="I2209" s="16" t="n">
        <f aca="false">IFERROR(SUMIFS(ROTACAO_RDM!$B$6:$B$71,ROTACAO_RDM!$D$6:$D$71,$E2209,ROTACAO_RDM!$I$6:$I$71,"&lt;="&amp;$C2209+INT(DIAS_POR_SEMANA/2),ROTACAO_RDM!$J$6:$J$71,"&gt;="&amp;$C2209+INT(DIAS_POR_SEMANA/2)),0)</f>
        <v>0</v>
      </c>
      <c r="J2209" s="16" t="n">
        <f aca="false">IFERROR(MATCH($I2209,ROTACAO_RDM!$B$6:$B$71,0),0)</f>
        <v>0</v>
      </c>
      <c r="K2209" s="8" t="str">
        <f aca="false">IF($J2209=0,"SEM CULTURA",INDEX(ROTACAO_RDM!$F$6:$F$71,$J2209))</f>
        <v>SEM CULTURA</v>
      </c>
      <c r="L2209" s="8" t="str">
        <f aca="false">IF($J2209=0,"",INDEX(ROTACAO_RDM!$G$6:$G$71,$J2209))</f>
        <v/>
      </c>
      <c r="M2209" s="17" t="str">
        <f aca="false">IF($J2209=0,"",INDEX(ROTACAO_RDM!$I$6:$I$71,$J2209))</f>
        <v/>
      </c>
      <c r="N2209" s="16" t="n">
        <f aca="false">IF($J2209=0,0,MAX(0,$C2209+INT(DIAS_POR_SEMANA/2)-INDEX(ROTACAO_RDM!$I$6:$I$71,$J2209)))</f>
        <v>0</v>
      </c>
      <c r="O2209" s="19" t="n">
        <f aca="false">IF($J2209=0,0,MIN(1,$N2209/MAX(1,INDEX(ROTACAO_RDM!$K$6:$K$71,$J2209))))</f>
        <v>0</v>
      </c>
      <c r="P2209" s="16" t="n">
        <f aca="false">IF($J2209=0,0,IFERROR(MATCH(INDEX(ROTACAO_RDM!$N$6:$N$71,$J2209),PARAMETROS_CULTURAS!$B$6:$B$28,0),0))</f>
        <v>0</v>
      </c>
      <c r="Q2209" s="8" t="str">
        <f aca="false">IF($P2209=0,"-",IF($O2209&lt;=INDEX(PARAMETROS_CULTURAS!$F$6:$F$28,$P2209),"INICIAL",IF($O2209&lt;=INDEX(PARAMETROS_CULTURAS!$F$6:$F$28,$P2209)+INDEX(PARAMETROS_CULTURAS!$G$6:$G$28,$P2209),"DESENVOLVIMENTO",IF($O2209&lt;=INDEX(PARAMETROS_CULTURAS!$F$6:$F$28,$P2209)+INDEX(PARAMETROS_CULTURAS!$G$6:$G$28,$P2209)+INDEX(PARAMETROS_CULTURAS!$H$6:$H$28,$P2209),"MEDIA","FINAL"))))</f>
        <v>-</v>
      </c>
      <c r="R2209" s="24" t="n">
        <f aca="false">IF($P2209=0,0,IF($O2209&lt;=INDEX(PARAMETROS_CULTURAS!$F$6:$F$28,$P2209),INDEX(PARAMETROS_CULTURAS!$K$6:$K$28,$P2209),IF($O2209&lt;=INDEX(PARAMETROS_CULTURAS!$F$6:$F$28,$P2209)+INDEX(PARAMETROS_CULTURAS!$G$6:$G$28,$P2209),INDEX(PARAMETROS_CULTURAS!$K$6:$K$28,$P2209)+(INDEX(PARAMETROS_CULTURAS!$L$6:$L$28,$P2209)-INDEX(PARAMETROS_CULTURAS!$K$6:$K$28,$P2209))*($O2209-INDEX(PARAMETROS_CULTURAS!$F$6:$F$28,$P2209))/MAX(INDEX(PARAMETROS_CULTURAS!$G$6:$G$28,$P2209),0.0001),IF($O2209&lt;=INDEX(PARAMETROS_CULTURAS!$F$6:$F$28,$P2209)+INDEX(PARAMETROS_CULTURAS!$G$6:$G$28,$P2209)+INDEX(PARAMETROS_CULTURAS!$H$6:$H$28,$P2209),INDEX(PARAMETROS_CULTURAS!$L$6:$L$28,$P2209),INDEX(PARAMETROS_CULTURAS!$L$6:$L$28,$P2209)+(INDEX(PARAMETROS_CULTURAS!$M$6:$M$28,$P2209)-INDEX(PARAMETROS_CULTURAS!$L$6:$L$28,$P2209))*($O2209-INDEX(PARAMETROS_CULTURAS!$F$6:$F$28,$P2209)-INDEX(PARAMETROS_CULTURAS!$G$6:$G$28,$P2209)-INDEX(PARAMETROS_CULTURAS!$H$6:$H$28,$P2209))/MAX(INDEX(PARAMETROS_CULTURAS!$I$6:$I$28,$P2209),0.0001)))))</f>
        <v>0</v>
      </c>
      <c r="S2209" s="18" t="n">
        <f aca="false">IFERROR(INDEX(SEMANAS!$H$6:$H$71,MATCH($B2209,SEMANAS!$B$6:$B$71,0)),0)</f>
        <v>32.9</v>
      </c>
      <c r="T2209" s="18" t="n">
        <f aca="false">$R2209*$S2209</f>
        <v>0</v>
      </c>
      <c r="U2209" s="18" t="n">
        <f aca="false">IFERROR(INDEX(SEMANAS!$I$6:$I$71,MATCH($B2209,SEMANAS!$B$6:$B$71,0)),0)</f>
        <v>39.97</v>
      </c>
      <c r="V2209" s="18" t="n">
        <f aca="false">IFERROR(INDEX(SEMANAS!$J$6:$J$71,MATCH($B2209,SEMANAS!$B$6:$B$71,0)),0)</f>
        <v>31.976</v>
      </c>
      <c r="W2209" s="18" t="n">
        <f aca="false">MAX(0,$T2209-$V2209)</f>
        <v>0</v>
      </c>
      <c r="X2209" s="19" t="n">
        <f aca="false">IFERROR(INDEX(CADASTRO_PIVOS!$K$6:$K$41,MATCH($E2209,CADASTRO_PIVOS!$B$6:$B$41,0)),EFICIENCIA_PADRAO)</f>
        <v>0.85</v>
      </c>
      <c r="Y2209" s="18" t="n">
        <f aca="false">IF($X2209&lt;=0,0,$W2209/$X2209)</f>
        <v>0</v>
      </c>
      <c r="Z2209" s="16" t="n">
        <f aca="false">$Y2209*$H2209*MM_PARA_M3_HA</f>
        <v>0</v>
      </c>
      <c r="AA2209" s="18" t="n">
        <f aca="false">IFERROR(INDEX(CADASTRO_PIVOS!$I$6:$I$41,MATCH($E2209,CADASTRO_PIVOS!$B$6:$B$41,0)),0)</f>
        <v>457.142857142857</v>
      </c>
      <c r="AB2209" s="18" t="n">
        <f aca="false">IF($Z2209&lt;=0,0,$Z2209/$AA2209)</f>
        <v>0</v>
      </c>
      <c r="AC2209" s="16" t="n">
        <f aca="false">IFERROR(INDEX(SEMANAS!$K$6:$K$71,MATCH($B2209,SEMANAS!$B$6:$B$71,0)),0)</f>
        <v>147</v>
      </c>
      <c r="AD2209" s="19" t="n">
        <f aca="false">IF($AC2209&lt;=0,0,$AB2209/$AC2209)</f>
        <v>0</v>
      </c>
      <c r="AE2209" s="8" t="str">
        <f aca="false">IF($K2209="SEM CULTURA","SEM CULTURA",IF($AA2209&lt;=0,"DADO PENDENTE",IF($AD2209&gt;LIMITE_CRITICO,"INVIAVEL",IF($AD2209&gt;LIMITE_ATENCAO,"CRITICO",IF($AD2209&gt;LIMITE_CONFORTAVEL,"ATENCAO","OK")))))</f>
        <v>SEM CULTURA</v>
      </c>
      <c r="AF2209" s="8" t="str">
        <f aca="false">$B2209&amp;"|"&amp;TEXT($AD2209,"0.000000")</f>
        <v>26|0.000000</v>
      </c>
      <c r="AG2209" s="18" t="n">
        <f aca="false">IF($K2209="SEM CULTURA",0,$T2209*$H2209)</f>
        <v>0</v>
      </c>
      <c r="AH2209" s="18" t="n">
        <f aca="false">IF($K2209="SEM CULTURA",0,$V2209*$H2209)</f>
        <v>0</v>
      </c>
      <c r="AI2209" s="18" t="n">
        <f aca="false">IF($K2209="SEM CULTURA",0,$W2209*$H2209)</f>
        <v>0</v>
      </c>
      <c r="AJ2209" s="18" t="n">
        <f aca="false">IF($K2209="SEM CULTURA",0,$S2209*$H2209)</f>
        <v>0</v>
      </c>
      <c r="AK2209" s="8" t="str">
        <f aca="false">$E2209&amp;"|"&amp;TEXT($AD2209,"0.000000")</f>
        <v>PV 135|0.000000</v>
      </c>
    </row>
    <row r="2210" customFormat="false" ht="15" hidden="false" customHeight="false" outlineLevel="0" collapsed="false">
      <c r="B2210" s="16" t="n">
        <v>27</v>
      </c>
      <c r="C2210" s="17" t="n">
        <f aca="false">DATA_INICIO_SAFRA+($B2210-1)*DIAS_POR_SEMANA</f>
        <v>46447</v>
      </c>
      <c r="D2210" s="17" t="n">
        <f aca="false">$C2210+DIAS_POR_SEMANA-1</f>
        <v>46453</v>
      </c>
      <c r="E2210" s="15" t="s">
        <v>292</v>
      </c>
      <c r="F2210" s="8" t="str">
        <f aca="false">IFERROR(INDEX(CADASTRO_PIVOS!$C$6:$C$41,MATCH($E2210,CADASTRO_PIVOS!$B$6:$B$41,0)),"?")</f>
        <v>RM08</v>
      </c>
      <c r="G2210" s="8" t="str">
        <f aca="false">IFERROR(INDEX(CADASTRO_PIVOS!$D$6:$D$41,MATCH($E2210,CADASTRO_PIVOS!$B$6:$B$41,0)),"?")</f>
        <v>TR08</v>
      </c>
      <c r="H2210" s="20" t="n">
        <f aca="false">IFERROR(INDEX(CADASTRO_PIVOS!$E$6:$E$41,MATCH($E2210,CADASTRO_PIVOS!$B$6:$B$41,0)),0)</f>
        <v>64</v>
      </c>
      <c r="I2210" s="16" t="n">
        <f aca="false">IFERROR(SUMIFS(ROTACAO_RDM!$B$6:$B$71,ROTACAO_RDM!$D$6:$D$71,$E2210,ROTACAO_RDM!$I$6:$I$71,"&lt;="&amp;$C2210+INT(DIAS_POR_SEMANA/2),ROTACAO_RDM!$J$6:$J$71,"&gt;="&amp;$C2210+INT(DIAS_POR_SEMANA/2)),0)</f>
        <v>0</v>
      </c>
      <c r="J2210" s="16" t="n">
        <f aca="false">IFERROR(MATCH($I2210,ROTACAO_RDM!$B$6:$B$71,0),0)</f>
        <v>0</v>
      </c>
      <c r="K2210" s="8" t="str">
        <f aca="false">IF($J2210=0,"SEM CULTURA",INDEX(ROTACAO_RDM!$F$6:$F$71,$J2210))</f>
        <v>SEM CULTURA</v>
      </c>
      <c r="L2210" s="8" t="str">
        <f aca="false">IF($J2210=0,"",INDEX(ROTACAO_RDM!$G$6:$G$71,$J2210))</f>
        <v/>
      </c>
      <c r="M2210" s="17" t="str">
        <f aca="false">IF($J2210=0,"",INDEX(ROTACAO_RDM!$I$6:$I$71,$J2210))</f>
        <v/>
      </c>
      <c r="N2210" s="16" t="n">
        <f aca="false">IF($J2210=0,0,MAX(0,$C2210+INT(DIAS_POR_SEMANA/2)-INDEX(ROTACAO_RDM!$I$6:$I$71,$J2210)))</f>
        <v>0</v>
      </c>
      <c r="O2210" s="19" t="n">
        <f aca="false">IF($J2210=0,0,MIN(1,$N2210/MAX(1,INDEX(ROTACAO_RDM!$K$6:$K$71,$J2210))))</f>
        <v>0</v>
      </c>
      <c r="P2210" s="16" t="n">
        <f aca="false">IF($J2210=0,0,IFERROR(MATCH(INDEX(ROTACAO_RDM!$N$6:$N$71,$J2210),PARAMETROS_CULTURAS!$B$6:$B$28,0),0))</f>
        <v>0</v>
      </c>
      <c r="Q2210" s="8" t="str">
        <f aca="false">IF($P2210=0,"-",IF($O2210&lt;=INDEX(PARAMETROS_CULTURAS!$F$6:$F$28,$P2210),"INICIAL",IF($O2210&lt;=INDEX(PARAMETROS_CULTURAS!$F$6:$F$28,$P2210)+INDEX(PARAMETROS_CULTURAS!$G$6:$G$28,$P2210),"DESENVOLVIMENTO",IF($O2210&lt;=INDEX(PARAMETROS_CULTURAS!$F$6:$F$28,$P2210)+INDEX(PARAMETROS_CULTURAS!$G$6:$G$28,$P2210)+INDEX(PARAMETROS_CULTURAS!$H$6:$H$28,$P2210),"MEDIA","FINAL"))))</f>
        <v>-</v>
      </c>
      <c r="R2210" s="24" t="n">
        <f aca="false">IF($P2210=0,0,IF($O2210&lt;=INDEX(PARAMETROS_CULTURAS!$F$6:$F$28,$P2210),INDEX(PARAMETROS_CULTURAS!$K$6:$K$28,$P2210),IF($O2210&lt;=INDEX(PARAMETROS_CULTURAS!$F$6:$F$28,$P2210)+INDEX(PARAMETROS_CULTURAS!$G$6:$G$28,$P2210),INDEX(PARAMETROS_CULTURAS!$K$6:$K$28,$P2210)+(INDEX(PARAMETROS_CULTURAS!$L$6:$L$28,$P2210)-INDEX(PARAMETROS_CULTURAS!$K$6:$K$28,$P2210))*($O2210-INDEX(PARAMETROS_CULTURAS!$F$6:$F$28,$P2210))/MAX(INDEX(PARAMETROS_CULTURAS!$G$6:$G$28,$P2210),0.0001),IF($O2210&lt;=INDEX(PARAMETROS_CULTURAS!$F$6:$F$28,$P2210)+INDEX(PARAMETROS_CULTURAS!$G$6:$G$28,$P2210)+INDEX(PARAMETROS_CULTURAS!$H$6:$H$28,$P2210),INDEX(PARAMETROS_CULTURAS!$L$6:$L$28,$P2210),INDEX(PARAMETROS_CULTURAS!$L$6:$L$28,$P2210)+(INDEX(PARAMETROS_CULTURAS!$M$6:$M$28,$P2210)-INDEX(PARAMETROS_CULTURAS!$L$6:$L$28,$P2210))*($O2210-INDEX(PARAMETROS_CULTURAS!$F$6:$F$28,$P2210)-INDEX(PARAMETROS_CULTURAS!$G$6:$G$28,$P2210)-INDEX(PARAMETROS_CULTURAS!$H$6:$H$28,$P2210))/MAX(INDEX(PARAMETROS_CULTURAS!$I$6:$I$28,$P2210),0.0001)))))</f>
        <v>0</v>
      </c>
      <c r="S2210" s="18" t="n">
        <f aca="false">IFERROR(INDEX(SEMANAS!$H$6:$H$71,MATCH($B2210,SEMANAS!$B$6:$B$71,0)),0)</f>
        <v>32.2</v>
      </c>
      <c r="T2210" s="18" t="n">
        <f aca="false">$R2210*$S2210</f>
        <v>0</v>
      </c>
      <c r="U2210" s="18" t="n">
        <f aca="false">IFERROR(INDEX(SEMANAS!$I$6:$I$71,MATCH($B2210,SEMANAS!$B$6:$B$71,0)),0)</f>
        <v>37.24</v>
      </c>
      <c r="V2210" s="18" t="n">
        <f aca="false">IFERROR(INDEX(SEMANAS!$J$6:$J$71,MATCH($B2210,SEMANAS!$B$6:$B$71,0)),0)</f>
        <v>29.792</v>
      </c>
      <c r="W2210" s="18" t="n">
        <f aca="false">MAX(0,$T2210-$V2210)</f>
        <v>0</v>
      </c>
      <c r="X2210" s="19" t="n">
        <f aca="false">IFERROR(INDEX(CADASTRO_PIVOS!$K$6:$K$41,MATCH($E2210,CADASTRO_PIVOS!$B$6:$B$41,0)),EFICIENCIA_PADRAO)</f>
        <v>0.85</v>
      </c>
      <c r="Y2210" s="18" t="n">
        <f aca="false">IF($X2210&lt;=0,0,$W2210/$X2210)</f>
        <v>0</v>
      </c>
      <c r="Z2210" s="16" t="n">
        <f aca="false">$Y2210*$H2210*MM_PARA_M3_HA</f>
        <v>0</v>
      </c>
      <c r="AA2210" s="18" t="n">
        <f aca="false">IFERROR(INDEX(CADASTRO_PIVOS!$I$6:$I$41,MATCH($E2210,CADASTRO_PIVOS!$B$6:$B$41,0)),0)</f>
        <v>457.142857142857</v>
      </c>
      <c r="AB2210" s="18" t="n">
        <f aca="false">IF($Z2210&lt;=0,0,$Z2210/$AA2210)</f>
        <v>0</v>
      </c>
      <c r="AC2210" s="16" t="n">
        <f aca="false">IFERROR(INDEX(SEMANAS!$K$6:$K$71,MATCH($B2210,SEMANAS!$B$6:$B$71,0)),0)</f>
        <v>147</v>
      </c>
      <c r="AD2210" s="19" t="n">
        <f aca="false">IF($AC2210&lt;=0,0,$AB2210/$AC2210)</f>
        <v>0</v>
      </c>
      <c r="AE2210" s="8" t="str">
        <f aca="false">IF($K2210="SEM CULTURA","SEM CULTURA",IF($AA2210&lt;=0,"DADO PENDENTE",IF($AD2210&gt;LIMITE_CRITICO,"INVIAVEL",IF($AD2210&gt;LIMITE_ATENCAO,"CRITICO",IF($AD2210&gt;LIMITE_CONFORTAVEL,"ATENCAO","OK")))))</f>
        <v>SEM CULTURA</v>
      </c>
      <c r="AF2210" s="8" t="str">
        <f aca="false">$B2210&amp;"|"&amp;TEXT($AD2210,"0.000000")</f>
        <v>27|0.000000</v>
      </c>
      <c r="AG2210" s="18" t="n">
        <f aca="false">IF($K2210="SEM CULTURA",0,$T2210*$H2210)</f>
        <v>0</v>
      </c>
      <c r="AH2210" s="18" t="n">
        <f aca="false">IF($K2210="SEM CULTURA",0,$V2210*$H2210)</f>
        <v>0</v>
      </c>
      <c r="AI2210" s="18" t="n">
        <f aca="false">IF($K2210="SEM CULTURA",0,$W2210*$H2210)</f>
        <v>0</v>
      </c>
      <c r="AJ2210" s="18" t="n">
        <f aca="false">IF($K2210="SEM CULTURA",0,$S2210*$H2210)</f>
        <v>0</v>
      </c>
      <c r="AK2210" s="8" t="str">
        <f aca="false">$E2210&amp;"|"&amp;TEXT($AD2210,"0.000000")</f>
        <v>PV 135|0.000000</v>
      </c>
    </row>
    <row r="2211" customFormat="false" ht="15" hidden="false" customHeight="false" outlineLevel="0" collapsed="false">
      <c r="B2211" s="16" t="n">
        <v>28</v>
      </c>
      <c r="C2211" s="17" t="n">
        <f aca="false">DATA_INICIO_SAFRA+($B2211-1)*DIAS_POR_SEMANA</f>
        <v>46454</v>
      </c>
      <c r="D2211" s="17" t="n">
        <f aca="false">$C2211+DIAS_POR_SEMANA-1</f>
        <v>46460</v>
      </c>
      <c r="E2211" s="15" t="s">
        <v>292</v>
      </c>
      <c r="F2211" s="8" t="str">
        <f aca="false">IFERROR(INDEX(CADASTRO_PIVOS!$C$6:$C$41,MATCH($E2211,CADASTRO_PIVOS!$B$6:$B$41,0)),"?")</f>
        <v>RM08</v>
      </c>
      <c r="G2211" s="8" t="str">
        <f aca="false">IFERROR(INDEX(CADASTRO_PIVOS!$D$6:$D$41,MATCH($E2211,CADASTRO_PIVOS!$B$6:$B$41,0)),"?")</f>
        <v>TR08</v>
      </c>
      <c r="H2211" s="20" t="n">
        <f aca="false">IFERROR(INDEX(CADASTRO_PIVOS!$E$6:$E$41,MATCH($E2211,CADASTRO_PIVOS!$B$6:$B$41,0)),0)</f>
        <v>64</v>
      </c>
      <c r="I2211" s="16" t="n">
        <f aca="false">IFERROR(SUMIFS(ROTACAO_RDM!$B$6:$B$71,ROTACAO_RDM!$D$6:$D$71,$E2211,ROTACAO_RDM!$I$6:$I$71,"&lt;="&amp;$C2211+INT(DIAS_POR_SEMANA/2),ROTACAO_RDM!$J$6:$J$71,"&gt;="&amp;$C2211+INT(DIAS_POR_SEMANA/2)),0)</f>
        <v>0</v>
      </c>
      <c r="J2211" s="16" t="n">
        <f aca="false">IFERROR(MATCH($I2211,ROTACAO_RDM!$B$6:$B$71,0),0)</f>
        <v>0</v>
      </c>
      <c r="K2211" s="8" t="str">
        <f aca="false">IF($J2211=0,"SEM CULTURA",INDEX(ROTACAO_RDM!$F$6:$F$71,$J2211))</f>
        <v>SEM CULTURA</v>
      </c>
      <c r="L2211" s="8" t="str">
        <f aca="false">IF($J2211=0,"",INDEX(ROTACAO_RDM!$G$6:$G$71,$J2211))</f>
        <v/>
      </c>
      <c r="M2211" s="17" t="str">
        <f aca="false">IF($J2211=0,"",INDEX(ROTACAO_RDM!$I$6:$I$71,$J2211))</f>
        <v/>
      </c>
      <c r="N2211" s="16" t="n">
        <f aca="false">IF($J2211=0,0,MAX(0,$C2211+INT(DIAS_POR_SEMANA/2)-INDEX(ROTACAO_RDM!$I$6:$I$71,$J2211)))</f>
        <v>0</v>
      </c>
      <c r="O2211" s="19" t="n">
        <f aca="false">IF($J2211=0,0,MIN(1,$N2211/MAX(1,INDEX(ROTACAO_RDM!$K$6:$K$71,$J2211))))</f>
        <v>0</v>
      </c>
      <c r="P2211" s="16" t="n">
        <f aca="false">IF($J2211=0,0,IFERROR(MATCH(INDEX(ROTACAO_RDM!$N$6:$N$71,$J2211),PARAMETROS_CULTURAS!$B$6:$B$28,0),0))</f>
        <v>0</v>
      </c>
      <c r="Q2211" s="8" t="str">
        <f aca="false">IF($P2211=0,"-",IF($O2211&lt;=INDEX(PARAMETROS_CULTURAS!$F$6:$F$28,$P2211),"INICIAL",IF($O2211&lt;=INDEX(PARAMETROS_CULTURAS!$F$6:$F$28,$P2211)+INDEX(PARAMETROS_CULTURAS!$G$6:$G$28,$P2211),"DESENVOLVIMENTO",IF($O2211&lt;=INDEX(PARAMETROS_CULTURAS!$F$6:$F$28,$P2211)+INDEX(PARAMETROS_CULTURAS!$G$6:$G$28,$P2211)+INDEX(PARAMETROS_CULTURAS!$H$6:$H$28,$P2211),"MEDIA","FINAL"))))</f>
        <v>-</v>
      </c>
      <c r="R2211" s="24" t="n">
        <f aca="false">IF($P2211=0,0,IF($O2211&lt;=INDEX(PARAMETROS_CULTURAS!$F$6:$F$28,$P2211),INDEX(PARAMETROS_CULTURAS!$K$6:$K$28,$P2211),IF($O2211&lt;=INDEX(PARAMETROS_CULTURAS!$F$6:$F$28,$P2211)+INDEX(PARAMETROS_CULTURAS!$G$6:$G$28,$P2211),INDEX(PARAMETROS_CULTURAS!$K$6:$K$28,$P2211)+(INDEX(PARAMETROS_CULTURAS!$L$6:$L$28,$P2211)-INDEX(PARAMETROS_CULTURAS!$K$6:$K$28,$P2211))*($O2211-INDEX(PARAMETROS_CULTURAS!$F$6:$F$28,$P2211))/MAX(INDEX(PARAMETROS_CULTURAS!$G$6:$G$28,$P2211),0.0001),IF($O2211&lt;=INDEX(PARAMETROS_CULTURAS!$F$6:$F$28,$P2211)+INDEX(PARAMETROS_CULTURAS!$G$6:$G$28,$P2211)+INDEX(PARAMETROS_CULTURAS!$H$6:$H$28,$P2211),INDEX(PARAMETROS_CULTURAS!$L$6:$L$28,$P2211),INDEX(PARAMETROS_CULTURAS!$L$6:$L$28,$P2211)+(INDEX(PARAMETROS_CULTURAS!$M$6:$M$28,$P2211)-INDEX(PARAMETROS_CULTURAS!$L$6:$L$28,$P2211))*($O2211-INDEX(PARAMETROS_CULTURAS!$F$6:$F$28,$P2211)-INDEX(PARAMETROS_CULTURAS!$G$6:$G$28,$P2211)-INDEX(PARAMETROS_CULTURAS!$H$6:$H$28,$P2211))/MAX(INDEX(PARAMETROS_CULTURAS!$I$6:$I$28,$P2211),0.0001)))))</f>
        <v>0</v>
      </c>
      <c r="S2211" s="18" t="n">
        <f aca="false">IFERROR(INDEX(SEMANAS!$H$6:$H$71,MATCH($B2211,SEMANAS!$B$6:$B$71,0)),0)</f>
        <v>32.2</v>
      </c>
      <c r="T2211" s="18" t="n">
        <f aca="false">$R2211*$S2211</f>
        <v>0</v>
      </c>
      <c r="U2211" s="18" t="n">
        <f aca="false">IFERROR(INDEX(SEMANAS!$I$6:$I$71,MATCH($B2211,SEMANAS!$B$6:$B$71,0)),0)</f>
        <v>37.24</v>
      </c>
      <c r="V2211" s="18" t="n">
        <f aca="false">IFERROR(INDEX(SEMANAS!$J$6:$J$71,MATCH($B2211,SEMANAS!$B$6:$B$71,0)),0)</f>
        <v>29.792</v>
      </c>
      <c r="W2211" s="18" t="n">
        <f aca="false">MAX(0,$T2211-$V2211)</f>
        <v>0</v>
      </c>
      <c r="X2211" s="19" t="n">
        <f aca="false">IFERROR(INDEX(CADASTRO_PIVOS!$K$6:$K$41,MATCH($E2211,CADASTRO_PIVOS!$B$6:$B$41,0)),EFICIENCIA_PADRAO)</f>
        <v>0.85</v>
      </c>
      <c r="Y2211" s="18" t="n">
        <f aca="false">IF($X2211&lt;=0,0,$W2211/$X2211)</f>
        <v>0</v>
      </c>
      <c r="Z2211" s="16" t="n">
        <f aca="false">$Y2211*$H2211*MM_PARA_M3_HA</f>
        <v>0</v>
      </c>
      <c r="AA2211" s="18" t="n">
        <f aca="false">IFERROR(INDEX(CADASTRO_PIVOS!$I$6:$I$41,MATCH($E2211,CADASTRO_PIVOS!$B$6:$B$41,0)),0)</f>
        <v>457.142857142857</v>
      </c>
      <c r="AB2211" s="18" t="n">
        <f aca="false">IF($Z2211&lt;=0,0,$Z2211/$AA2211)</f>
        <v>0</v>
      </c>
      <c r="AC2211" s="16" t="n">
        <f aca="false">IFERROR(INDEX(SEMANAS!$K$6:$K$71,MATCH($B2211,SEMANAS!$B$6:$B$71,0)),0)</f>
        <v>147</v>
      </c>
      <c r="AD2211" s="19" t="n">
        <f aca="false">IF($AC2211&lt;=0,0,$AB2211/$AC2211)</f>
        <v>0</v>
      </c>
      <c r="AE2211" s="8" t="str">
        <f aca="false">IF($K2211="SEM CULTURA","SEM CULTURA",IF($AA2211&lt;=0,"DADO PENDENTE",IF($AD2211&gt;LIMITE_CRITICO,"INVIAVEL",IF($AD2211&gt;LIMITE_ATENCAO,"CRITICO",IF($AD2211&gt;LIMITE_CONFORTAVEL,"ATENCAO","OK")))))</f>
        <v>SEM CULTURA</v>
      </c>
      <c r="AF2211" s="8" t="str">
        <f aca="false">$B2211&amp;"|"&amp;TEXT($AD2211,"0.000000")</f>
        <v>28|0.000000</v>
      </c>
      <c r="AG2211" s="18" t="n">
        <f aca="false">IF($K2211="SEM CULTURA",0,$T2211*$H2211)</f>
        <v>0</v>
      </c>
      <c r="AH2211" s="18" t="n">
        <f aca="false">IF($K2211="SEM CULTURA",0,$V2211*$H2211)</f>
        <v>0</v>
      </c>
      <c r="AI2211" s="18" t="n">
        <f aca="false">IF($K2211="SEM CULTURA",0,$W2211*$H2211)</f>
        <v>0</v>
      </c>
      <c r="AJ2211" s="18" t="n">
        <f aca="false">IF($K2211="SEM CULTURA",0,$S2211*$H2211)</f>
        <v>0</v>
      </c>
      <c r="AK2211" s="8" t="str">
        <f aca="false">$E2211&amp;"|"&amp;TEXT($AD2211,"0.000000")</f>
        <v>PV 135|0.000000</v>
      </c>
    </row>
    <row r="2212" customFormat="false" ht="15" hidden="false" customHeight="false" outlineLevel="0" collapsed="false">
      <c r="B2212" s="16" t="n">
        <v>29</v>
      </c>
      <c r="C2212" s="17" t="n">
        <f aca="false">DATA_INICIO_SAFRA+($B2212-1)*DIAS_POR_SEMANA</f>
        <v>46461</v>
      </c>
      <c r="D2212" s="17" t="n">
        <f aca="false">$C2212+DIAS_POR_SEMANA-1</f>
        <v>46467</v>
      </c>
      <c r="E2212" s="15" t="s">
        <v>292</v>
      </c>
      <c r="F2212" s="8" t="str">
        <f aca="false">IFERROR(INDEX(CADASTRO_PIVOS!$C$6:$C$41,MATCH($E2212,CADASTRO_PIVOS!$B$6:$B$41,0)),"?")</f>
        <v>RM08</v>
      </c>
      <c r="G2212" s="8" t="str">
        <f aca="false">IFERROR(INDEX(CADASTRO_PIVOS!$D$6:$D$41,MATCH($E2212,CADASTRO_PIVOS!$B$6:$B$41,0)),"?")</f>
        <v>TR08</v>
      </c>
      <c r="H2212" s="20" t="n">
        <f aca="false">IFERROR(INDEX(CADASTRO_PIVOS!$E$6:$E$41,MATCH($E2212,CADASTRO_PIVOS!$B$6:$B$41,0)),0)</f>
        <v>64</v>
      </c>
      <c r="I2212" s="16" t="n">
        <f aca="false">IFERROR(SUMIFS(ROTACAO_RDM!$B$6:$B$71,ROTACAO_RDM!$D$6:$D$71,$E2212,ROTACAO_RDM!$I$6:$I$71,"&lt;="&amp;$C2212+INT(DIAS_POR_SEMANA/2),ROTACAO_RDM!$J$6:$J$71,"&gt;="&amp;$C2212+INT(DIAS_POR_SEMANA/2)),0)</f>
        <v>0</v>
      </c>
      <c r="J2212" s="16" t="n">
        <f aca="false">IFERROR(MATCH($I2212,ROTACAO_RDM!$B$6:$B$71,0),0)</f>
        <v>0</v>
      </c>
      <c r="K2212" s="8" t="str">
        <f aca="false">IF($J2212=0,"SEM CULTURA",INDEX(ROTACAO_RDM!$F$6:$F$71,$J2212))</f>
        <v>SEM CULTURA</v>
      </c>
      <c r="L2212" s="8" t="str">
        <f aca="false">IF($J2212=0,"",INDEX(ROTACAO_RDM!$G$6:$G$71,$J2212))</f>
        <v/>
      </c>
      <c r="M2212" s="17" t="str">
        <f aca="false">IF($J2212=0,"",INDEX(ROTACAO_RDM!$I$6:$I$71,$J2212))</f>
        <v/>
      </c>
      <c r="N2212" s="16" t="n">
        <f aca="false">IF($J2212=0,0,MAX(0,$C2212+INT(DIAS_POR_SEMANA/2)-INDEX(ROTACAO_RDM!$I$6:$I$71,$J2212)))</f>
        <v>0</v>
      </c>
      <c r="O2212" s="19" t="n">
        <f aca="false">IF($J2212=0,0,MIN(1,$N2212/MAX(1,INDEX(ROTACAO_RDM!$K$6:$K$71,$J2212))))</f>
        <v>0</v>
      </c>
      <c r="P2212" s="16" t="n">
        <f aca="false">IF($J2212=0,0,IFERROR(MATCH(INDEX(ROTACAO_RDM!$N$6:$N$71,$J2212),PARAMETROS_CULTURAS!$B$6:$B$28,0),0))</f>
        <v>0</v>
      </c>
      <c r="Q2212" s="8" t="str">
        <f aca="false">IF($P2212=0,"-",IF($O2212&lt;=INDEX(PARAMETROS_CULTURAS!$F$6:$F$28,$P2212),"INICIAL",IF($O2212&lt;=INDEX(PARAMETROS_CULTURAS!$F$6:$F$28,$P2212)+INDEX(PARAMETROS_CULTURAS!$G$6:$G$28,$P2212),"DESENVOLVIMENTO",IF($O2212&lt;=INDEX(PARAMETROS_CULTURAS!$F$6:$F$28,$P2212)+INDEX(PARAMETROS_CULTURAS!$G$6:$G$28,$P2212)+INDEX(PARAMETROS_CULTURAS!$H$6:$H$28,$P2212),"MEDIA","FINAL"))))</f>
        <v>-</v>
      </c>
      <c r="R2212" s="24" t="n">
        <f aca="false">IF($P2212=0,0,IF($O2212&lt;=INDEX(PARAMETROS_CULTURAS!$F$6:$F$28,$P2212),INDEX(PARAMETROS_CULTURAS!$K$6:$K$28,$P2212),IF($O2212&lt;=INDEX(PARAMETROS_CULTURAS!$F$6:$F$28,$P2212)+INDEX(PARAMETROS_CULTURAS!$G$6:$G$28,$P2212),INDEX(PARAMETROS_CULTURAS!$K$6:$K$28,$P2212)+(INDEX(PARAMETROS_CULTURAS!$L$6:$L$28,$P2212)-INDEX(PARAMETROS_CULTURAS!$K$6:$K$28,$P2212))*($O2212-INDEX(PARAMETROS_CULTURAS!$F$6:$F$28,$P2212))/MAX(INDEX(PARAMETROS_CULTURAS!$G$6:$G$28,$P2212),0.0001),IF($O2212&lt;=INDEX(PARAMETROS_CULTURAS!$F$6:$F$28,$P2212)+INDEX(PARAMETROS_CULTURAS!$G$6:$G$28,$P2212)+INDEX(PARAMETROS_CULTURAS!$H$6:$H$28,$P2212),INDEX(PARAMETROS_CULTURAS!$L$6:$L$28,$P2212),INDEX(PARAMETROS_CULTURAS!$L$6:$L$28,$P2212)+(INDEX(PARAMETROS_CULTURAS!$M$6:$M$28,$P2212)-INDEX(PARAMETROS_CULTURAS!$L$6:$L$28,$P2212))*($O2212-INDEX(PARAMETROS_CULTURAS!$F$6:$F$28,$P2212)-INDEX(PARAMETROS_CULTURAS!$G$6:$G$28,$P2212)-INDEX(PARAMETROS_CULTURAS!$H$6:$H$28,$P2212))/MAX(INDEX(PARAMETROS_CULTURAS!$I$6:$I$28,$P2212),0.0001)))))</f>
        <v>0</v>
      </c>
      <c r="S2212" s="18" t="n">
        <f aca="false">IFERROR(INDEX(SEMANAS!$H$6:$H$71,MATCH($B2212,SEMANAS!$B$6:$B$71,0)),0)</f>
        <v>32.2</v>
      </c>
      <c r="T2212" s="18" t="n">
        <f aca="false">$R2212*$S2212</f>
        <v>0</v>
      </c>
      <c r="U2212" s="18" t="n">
        <f aca="false">IFERROR(INDEX(SEMANAS!$I$6:$I$71,MATCH($B2212,SEMANAS!$B$6:$B$71,0)),0)</f>
        <v>37.24</v>
      </c>
      <c r="V2212" s="18" t="n">
        <f aca="false">IFERROR(INDEX(SEMANAS!$J$6:$J$71,MATCH($B2212,SEMANAS!$B$6:$B$71,0)),0)</f>
        <v>29.792</v>
      </c>
      <c r="W2212" s="18" t="n">
        <f aca="false">MAX(0,$T2212-$V2212)</f>
        <v>0</v>
      </c>
      <c r="X2212" s="19" t="n">
        <f aca="false">IFERROR(INDEX(CADASTRO_PIVOS!$K$6:$K$41,MATCH($E2212,CADASTRO_PIVOS!$B$6:$B$41,0)),EFICIENCIA_PADRAO)</f>
        <v>0.85</v>
      </c>
      <c r="Y2212" s="18" t="n">
        <f aca="false">IF($X2212&lt;=0,0,$W2212/$X2212)</f>
        <v>0</v>
      </c>
      <c r="Z2212" s="16" t="n">
        <f aca="false">$Y2212*$H2212*MM_PARA_M3_HA</f>
        <v>0</v>
      </c>
      <c r="AA2212" s="18" t="n">
        <f aca="false">IFERROR(INDEX(CADASTRO_PIVOS!$I$6:$I$41,MATCH($E2212,CADASTRO_PIVOS!$B$6:$B$41,0)),0)</f>
        <v>457.142857142857</v>
      </c>
      <c r="AB2212" s="18" t="n">
        <f aca="false">IF($Z2212&lt;=0,0,$Z2212/$AA2212)</f>
        <v>0</v>
      </c>
      <c r="AC2212" s="16" t="n">
        <f aca="false">IFERROR(INDEX(SEMANAS!$K$6:$K$71,MATCH($B2212,SEMANAS!$B$6:$B$71,0)),0)</f>
        <v>147</v>
      </c>
      <c r="AD2212" s="19" t="n">
        <f aca="false">IF($AC2212&lt;=0,0,$AB2212/$AC2212)</f>
        <v>0</v>
      </c>
      <c r="AE2212" s="8" t="str">
        <f aca="false">IF($K2212="SEM CULTURA","SEM CULTURA",IF($AA2212&lt;=0,"DADO PENDENTE",IF($AD2212&gt;LIMITE_CRITICO,"INVIAVEL",IF($AD2212&gt;LIMITE_ATENCAO,"CRITICO",IF($AD2212&gt;LIMITE_CONFORTAVEL,"ATENCAO","OK")))))</f>
        <v>SEM CULTURA</v>
      </c>
      <c r="AF2212" s="8" t="str">
        <f aca="false">$B2212&amp;"|"&amp;TEXT($AD2212,"0.000000")</f>
        <v>29|0.000000</v>
      </c>
      <c r="AG2212" s="18" t="n">
        <f aca="false">IF($K2212="SEM CULTURA",0,$T2212*$H2212)</f>
        <v>0</v>
      </c>
      <c r="AH2212" s="18" t="n">
        <f aca="false">IF($K2212="SEM CULTURA",0,$V2212*$H2212)</f>
        <v>0</v>
      </c>
      <c r="AI2212" s="18" t="n">
        <f aca="false">IF($K2212="SEM CULTURA",0,$W2212*$H2212)</f>
        <v>0</v>
      </c>
      <c r="AJ2212" s="18" t="n">
        <f aca="false">IF($K2212="SEM CULTURA",0,$S2212*$H2212)</f>
        <v>0</v>
      </c>
      <c r="AK2212" s="8" t="str">
        <f aca="false">$E2212&amp;"|"&amp;TEXT($AD2212,"0.000000")</f>
        <v>PV 135|0.000000</v>
      </c>
    </row>
    <row r="2213" customFormat="false" ht="15" hidden="false" customHeight="false" outlineLevel="0" collapsed="false">
      <c r="B2213" s="16" t="n">
        <v>30</v>
      </c>
      <c r="C2213" s="17" t="n">
        <f aca="false">DATA_INICIO_SAFRA+($B2213-1)*DIAS_POR_SEMANA</f>
        <v>46468</v>
      </c>
      <c r="D2213" s="17" t="n">
        <f aca="false">$C2213+DIAS_POR_SEMANA-1</f>
        <v>46474</v>
      </c>
      <c r="E2213" s="15" t="s">
        <v>292</v>
      </c>
      <c r="F2213" s="8" t="str">
        <f aca="false">IFERROR(INDEX(CADASTRO_PIVOS!$C$6:$C$41,MATCH($E2213,CADASTRO_PIVOS!$B$6:$B$41,0)),"?")</f>
        <v>RM08</v>
      </c>
      <c r="G2213" s="8" t="str">
        <f aca="false">IFERROR(INDEX(CADASTRO_PIVOS!$D$6:$D$41,MATCH($E2213,CADASTRO_PIVOS!$B$6:$B$41,0)),"?")</f>
        <v>TR08</v>
      </c>
      <c r="H2213" s="20" t="n">
        <f aca="false">IFERROR(INDEX(CADASTRO_PIVOS!$E$6:$E$41,MATCH($E2213,CADASTRO_PIVOS!$B$6:$B$41,0)),0)</f>
        <v>64</v>
      </c>
      <c r="I2213" s="16" t="n">
        <f aca="false">IFERROR(SUMIFS(ROTACAO_RDM!$B$6:$B$71,ROTACAO_RDM!$D$6:$D$71,$E2213,ROTACAO_RDM!$I$6:$I$71,"&lt;="&amp;$C2213+INT(DIAS_POR_SEMANA/2),ROTACAO_RDM!$J$6:$J$71,"&gt;="&amp;$C2213+INT(DIAS_POR_SEMANA/2)),0)</f>
        <v>0</v>
      </c>
      <c r="J2213" s="16" t="n">
        <f aca="false">IFERROR(MATCH($I2213,ROTACAO_RDM!$B$6:$B$71,0),0)</f>
        <v>0</v>
      </c>
      <c r="K2213" s="8" t="str">
        <f aca="false">IF($J2213=0,"SEM CULTURA",INDEX(ROTACAO_RDM!$F$6:$F$71,$J2213))</f>
        <v>SEM CULTURA</v>
      </c>
      <c r="L2213" s="8" t="str">
        <f aca="false">IF($J2213=0,"",INDEX(ROTACAO_RDM!$G$6:$G$71,$J2213))</f>
        <v/>
      </c>
      <c r="M2213" s="17" t="str">
        <f aca="false">IF($J2213=0,"",INDEX(ROTACAO_RDM!$I$6:$I$71,$J2213))</f>
        <v/>
      </c>
      <c r="N2213" s="16" t="n">
        <f aca="false">IF($J2213=0,0,MAX(0,$C2213+INT(DIAS_POR_SEMANA/2)-INDEX(ROTACAO_RDM!$I$6:$I$71,$J2213)))</f>
        <v>0</v>
      </c>
      <c r="O2213" s="19" t="n">
        <f aca="false">IF($J2213=0,0,MIN(1,$N2213/MAX(1,INDEX(ROTACAO_RDM!$K$6:$K$71,$J2213))))</f>
        <v>0</v>
      </c>
      <c r="P2213" s="16" t="n">
        <f aca="false">IF($J2213=0,0,IFERROR(MATCH(INDEX(ROTACAO_RDM!$N$6:$N$71,$J2213),PARAMETROS_CULTURAS!$B$6:$B$28,0),0))</f>
        <v>0</v>
      </c>
      <c r="Q2213" s="8" t="str">
        <f aca="false">IF($P2213=0,"-",IF($O2213&lt;=INDEX(PARAMETROS_CULTURAS!$F$6:$F$28,$P2213),"INICIAL",IF($O2213&lt;=INDEX(PARAMETROS_CULTURAS!$F$6:$F$28,$P2213)+INDEX(PARAMETROS_CULTURAS!$G$6:$G$28,$P2213),"DESENVOLVIMENTO",IF($O2213&lt;=INDEX(PARAMETROS_CULTURAS!$F$6:$F$28,$P2213)+INDEX(PARAMETROS_CULTURAS!$G$6:$G$28,$P2213)+INDEX(PARAMETROS_CULTURAS!$H$6:$H$28,$P2213),"MEDIA","FINAL"))))</f>
        <v>-</v>
      </c>
      <c r="R2213" s="24" t="n">
        <f aca="false">IF($P2213=0,0,IF($O2213&lt;=INDEX(PARAMETROS_CULTURAS!$F$6:$F$28,$P2213),INDEX(PARAMETROS_CULTURAS!$K$6:$K$28,$P2213),IF($O2213&lt;=INDEX(PARAMETROS_CULTURAS!$F$6:$F$28,$P2213)+INDEX(PARAMETROS_CULTURAS!$G$6:$G$28,$P2213),INDEX(PARAMETROS_CULTURAS!$K$6:$K$28,$P2213)+(INDEX(PARAMETROS_CULTURAS!$L$6:$L$28,$P2213)-INDEX(PARAMETROS_CULTURAS!$K$6:$K$28,$P2213))*($O2213-INDEX(PARAMETROS_CULTURAS!$F$6:$F$28,$P2213))/MAX(INDEX(PARAMETROS_CULTURAS!$G$6:$G$28,$P2213),0.0001),IF($O2213&lt;=INDEX(PARAMETROS_CULTURAS!$F$6:$F$28,$P2213)+INDEX(PARAMETROS_CULTURAS!$G$6:$G$28,$P2213)+INDEX(PARAMETROS_CULTURAS!$H$6:$H$28,$P2213),INDEX(PARAMETROS_CULTURAS!$L$6:$L$28,$P2213),INDEX(PARAMETROS_CULTURAS!$L$6:$L$28,$P2213)+(INDEX(PARAMETROS_CULTURAS!$M$6:$M$28,$P2213)-INDEX(PARAMETROS_CULTURAS!$L$6:$L$28,$P2213))*($O2213-INDEX(PARAMETROS_CULTURAS!$F$6:$F$28,$P2213)-INDEX(PARAMETROS_CULTURAS!$G$6:$G$28,$P2213)-INDEX(PARAMETROS_CULTURAS!$H$6:$H$28,$P2213))/MAX(INDEX(PARAMETROS_CULTURAS!$I$6:$I$28,$P2213),0.0001)))))</f>
        <v>0</v>
      </c>
      <c r="S2213" s="18" t="n">
        <f aca="false">IFERROR(INDEX(SEMANAS!$H$6:$H$71,MATCH($B2213,SEMANAS!$B$6:$B$71,0)),0)</f>
        <v>32.2</v>
      </c>
      <c r="T2213" s="18" t="n">
        <f aca="false">$R2213*$S2213</f>
        <v>0</v>
      </c>
      <c r="U2213" s="18" t="n">
        <f aca="false">IFERROR(INDEX(SEMANAS!$I$6:$I$71,MATCH($B2213,SEMANAS!$B$6:$B$71,0)),0)</f>
        <v>37.24</v>
      </c>
      <c r="V2213" s="18" t="n">
        <f aca="false">IFERROR(INDEX(SEMANAS!$J$6:$J$71,MATCH($B2213,SEMANAS!$B$6:$B$71,0)),0)</f>
        <v>29.792</v>
      </c>
      <c r="W2213" s="18" t="n">
        <f aca="false">MAX(0,$T2213-$V2213)</f>
        <v>0</v>
      </c>
      <c r="X2213" s="19" t="n">
        <f aca="false">IFERROR(INDEX(CADASTRO_PIVOS!$K$6:$K$41,MATCH($E2213,CADASTRO_PIVOS!$B$6:$B$41,0)),EFICIENCIA_PADRAO)</f>
        <v>0.85</v>
      </c>
      <c r="Y2213" s="18" t="n">
        <f aca="false">IF($X2213&lt;=0,0,$W2213/$X2213)</f>
        <v>0</v>
      </c>
      <c r="Z2213" s="16" t="n">
        <f aca="false">$Y2213*$H2213*MM_PARA_M3_HA</f>
        <v>0</v>
      </c>
      <c r="AA2213" s="18" t="n">
        <f aca="false">IFERROR(INDEX(CADASTRO_PIVOS!$I$6:$I$41,MATCH($E2213,CADASTRO_PIVOS!$B$6:$B$41,0)),0)</f>
        <v>457.142857142857</v>
      </c>
      <c r="AB2213" s="18" t="n">
        <f aca="false">IF($Z2213&lt;=0,0,$Z2213/$AA2213)</f>
        <v>0</v>
      </c>
      <c r="AC2213" s="16" t="n">
        <f aca="false">IFERROR(INDEX(SEMANAS!$K$6:$K$71,MATCH($B2213,SEMANAS!$B$6:$B$71,0)),0)</f>
        <v>147</v>
      </c>
      <c r="AD2213" s="19" t="n">
        <f aca="false">IF($AC2213&lt;=0,0,$AB2213/$AC2213)</f>
        <v>0</v>
      </c>
      <c r="AE2213" s="8" t="str">
        <f aca="false">IF($K2213="SEM CULTURA","SEM CULTURA",IF($AA2213&lt;=0,"DADO PENDENTE",IF($AD2213&gt;LIMITE_CRITICO,"INVIAVEL",IF($AD2213&gt;LIMITE_ATENCAO,"CRITICO",IF($AD2213&gt;LIMITE_CONFORTAVEL,"ATENCAO","OK")))))</f>
        <v>SEM CULTURA</v>
      </c>
      <c r="AF2213" s="8" t="str">
        <f aca="false">$B2213&amp;"|"&amp;TEXT($AD2213,"0.000000")</f>
        <v>30|0.000000</v>
      </c>
      <c r="AG2213" s="18" t="n">
        <f aca="false">IF($K2213="SEM CULTURA",0,$T2213*$H2213)</f>
        <v>0</v>
      </c>
      <c r="AH2213" s="18" t="n">
        <f aca="false">IF($K2213="SEM CULTURA",0,$V2213*$H2213)</f>
        <v>0</v>
      </c>
      <c r="AI2213" s="18" t="n">
        <f aca="false">IF($K2213="SEM CULTURA",0,$W2213*$H2213)</f>
        <v>0</v>
      </c>
      <c r="AJ2213" s="18" t="n">
        <f aca="false">IF($K2213="SEM CULTURA",0,$S2213*$H2213)</f>
        <v>0</v>
      </c>
      <c r="AK2213" s="8" t="str">
        <f aca="false">$E2213&amp;"|"&amp;TEXT($AD2213,"0.000000")</f>
        <v>PV 135|0.000000</v>
      </c>
    </row>
    <row r="2214" customFormat="false" ht="15" hidden="false" customHeight="false" outlineLevel="0" collapsed="false">
      <c r="B2214" s="16" t="n">
        <v>31</v>
      </c>
      <c r="C2214" s="17" t="n">
        <f aca="false">DATA_INICIO_SAFRA+($B2214-1)*DIAS_POR_SEMANA</f>
        <v>46475</v>
      </c>
      <c r="D2214" s="17" t="n">
        <f aca="false">$C2214+DIAS_POR_SEMANA-1</f>
        <v>46481</v>
      </c>
      <c r="E2214" s="15" t="s">
        <v>292</v>
      </c>
      <c r="F2214" s="8" t="str">
        <f aca="false">IFERROR(INDEX(CADASTRO_PIVOS!$C$6:$C$41,MATCH($E2214,CADASTRO_PIVOS!$B$6:$B$41,0)),"?")</f>
        <v>RM08</v>
      </c>
      <c r="G2214" s="8" t="str">
        <f aca="false">IFERROR(INDEX(CADASTRO_PIVOS!$D$6:$D$41,MATCH($E2214,CADASTRO_PIVOS!$B$6:$B$41,0)),"?")</f>
        <v>TR08</v>
      </c>
      <c r="H2214" s="20" t="n">
        <f aca="false">IFERROR(INDEX(CADASTRO_PIVOS!$E$6:$E$41,MATCH($E2214,CADASTRO_PIVOS!$B$6:$B$41,0)),0)</f>
        <v>64</v>
      </c>
      <c r="I2214" s="16" t="n">
        <f aca="false">IFERROR(SUMIFS(ROTACAO_RDM!$B$6:$B$71,ROTACAO_RDM!$D$6:$D$71,$E2214,ROTACAO_RDM!$I$6:$I$71,"&lt;="&amp;$C2214+INT(DIAS_POR_SEMANA/2),ROTACAO_RDM!$J$6:$J$71,"&gt;="&amp;$C2214+INT(DIAS_POR_SEMANA/2)),0)</f>
        <v>0</v>
      </c>
      <c r="J2214" s="16" t="n">
        <f aca="false">IFERROR(MATCH($I2214,ROTACAO_RDM!$B$6:$B$71,0),0)</f>
        <v>0</v>
      </c>
      <c r="K2214" s="8" t="str">
        <f aca="false">IF($J2214=0,"SEM CULTURA",INDEX(ROTACAO_RDM!$F$6:$F$71,$J2214))</f>
        <v>SEM CULTURA</v>
      </c>
      <c r="L2214" s="8" t="str">
        <f aca="false">IF($J2214=0,"",INDEX(ROTACAO_RDM!$G$6:$G$71,$J2214))</f>
        <v/>
      </c>
      <c r="M2214" s="17" t="str">
        <f aca="false">IF($J2214=0,"",INDEX(ROTACAO_RDM!$I$6:$I$71,$J2214))</f>
        <v/>
      </c>
      <c r="N2214" s="16" t="n">
        <f aca="false">IF($J2214=0,0,MAX(0,$C2214+INT(DIAS_POR_SEMANA/2)-INDEX(ROTACAO_RDM!$I$6:$I$71,$J2214)))</f>
        <v>0</v>
      </c>
      <c r="O2214" s="19" t="n">
        <f aca="false">IF($J2214=0,0,MIN(1,$N2214/MAX(1,INDEX(ROTACAO_RDM!$K$6:$K$71,$J2214))))</f>
        <v>0</v>
      </c>
      <c r="P2214" s="16" t="n">
        <f aca="false">IF($J2214=0,0,IFERROR(MATCH(INDEX(ROTACAO_RDM!$N$6:$N$71,$J2214),PARAMETROS_CULTURAS!$B$6:$B$28,0),0))</f>
        <v>0</v>
      </c>
      <c r="Q2214" s="8" t="str">
        <f aca="false">IF($P2214=0,"-",IF($O2214&lt;=INDEX(PARAMETROS_CULTURAS!$F$6:$F$28,$P2214),"INICIAL",IF($O2214&lt;=INDEX(PARAMETROS_CULTURAS!$F$6:$F$28,$P2214)+INDEX(PARAMETROS_CULTURAS!$G$6:$G$28,$P2214),"DESENVOLVIMENTO",IF($O2214&lt;=INDEX(PARAMETROS_CULTURAS!$F$6:$F$28,$P2214)+INDEX(PARAMETROS_CULTURAS!$G$6:$G$28,$P2214)+INDEX(PARAMETROS_CULTURAS!$H$6:$H$28,$P2214),"MEDIA","FINAL"))))</f>
        <v>-</v>
      </c>
      <c r="R2214" s="24" t="n">
        <f aca="false">IF($P2214=0,0,IF($O2214&lt;=INDEX(PARAMETROS_CULTURAS!$F$6:$F$28,$P2214),INDEX(PARAMETROS_CULTURAS!$K$6:$K$28,$P2214),IF($O2214&lt;=INDEX(PARAMETROS_CULTURAS!$F$6:$F$28,$P2214)+INDEX(PARAMETROS_CULTURAS!$G$6:$G$28,$P2214),INDEX(PARAMETROS_CULTURAS!$K$6:$K$28,$P2214)+(INDEX(PARAMETROS_CULTURAS!$L$6:$L$28,$P2214)-INDEX(PARAMETROS_CULTURAS!$K$6:$K$28,$P2214))*($O2214-INDEX(PARAMETROS_CULTURAS!$F$6:$F$28,$P2214))/MAX(INDEX(PARAMETROS_CULTURAS!$G$6:$G$28,$P2214),0.0001),IF($O2214&lt;=INDEX(PARAMETROS_CULTURAS!$F$6:$F$28,$P2214)+INDEX(PARAMETROS_CULTURAS!$G$6:$G$28,$P2214)+INDEX(PARAMETROS_CULTURAS!$H$6:$H$28,$P2214),INDEX(PARAMETROS_CULTURAS!$L$6:$L$28,$P2214),INDEX(PARAMETROS_CULTURAS!$L$6:$L$28,$P2214)+(INDEX(PARAMETROS_CULTURAS!$M$6:$M$28,$P2214)-INDEX(PARAMETROS_CULTURAS!$L$6:$L$28,$P2214))*($O2214-INDEX(PARAMETROS_CULTURAS!$F$6:$F$28,$P2214)-INDEX(PARAMETROS_CULTURAS!$G$6:$G$28,$P2214)-INDEX(PARAMETROS_CULTURAS!$H$6:$H$28,$P2214))/MAX(INDEX(PARAMETROS_CULTURAS!$I$6:$I$28,$P2214),0.0001)))))</f>
        <v>0</v>
      </c>
      <c r="S2214" s="18" t="n">
        <f aca="false">IFERROR(INDEX(SEMANAS!$H$6:$H$71,MATCH($B2214,SEMANAS!$B$6:$B$71,0)),0)</f>
        <v>31.8</v>
      </c>
      <c r="T2214" s="18" t="n">
        <f aca="false">$R2214*$S2214</f>
        <v>0</v>
      </c>
      <c r="U2214" s="18" t="n">
        <f aca="false">IFERROR(INDEX(SEMANAS!$I$6:$I$71,MATCH($B2214,SEMANAS!$B$6:$B$71,0)),0)</f>
        <v>25.28</v>
      </c>
      <c r="V2214" s="18" t="n">
        <f aca="false">IFERROR(INDEX(SEMANAS!$J$6:$J$71,MATCH($B2214,SEMANAS!$B$6:$B$71,0)),0)</f>
        <v>20.224</v>
      </c>
      <c r="W2214" s="18" t="n">
        <f aca="false">MAX(0,$T2214-$V2214)</f>
        <v>0</v>
      </c>
      <c r="X2214" s="19" t="n">
        <f aca="false">IFERROR(INDEX(CADASTRO_PIVOS!$K$6:$K$41,MATCH($E2214,CADASTRO_PIVOS!$B$6:$B$41,0)),EFICIENCIA_PADRAO)</f>
        <v>0.85</v>
      </c>
      <c r="Y2214" s="18" t="n">
        <f aca="false">IF($X2214&lt;=0,0,$W2214/$X2214)</f>
        <v>0</v>
      </c>
      <c r="Z2214" s="16" t="n">
        <f aca="false">$Y2214*$H2214*MM_PARA_M3_HA</f>
        <v>0</v>
      </c>
      <c r="AA2214" s="18" t="n">
        <f aca="false">IFERROR(INDEX(CADASTRO_PIVOS!$I$6:$I$41,MATCH($E2214,CADASTRO_PIVOS!$B$6:$B$41,0)),0)</f>
        <v>457.142857142857</v>
      </c>
      <c r="AB2214" s="18" t="n">
        <f aca="false">IF($Z2214&lt;=0,0,$Z2214/$AA2214)</f>
        <v>0</v>
      </c>
      <c r="AC2214" s="16" t="n">
        <f aca="false">IFERROR(INDEX(SEMANAS!$K$6:$K$71,MATCH($B2214,SEMANAS!$B$6:$B$71,0)),0)</f>
        <v>147</v>
      </c>
      <c r="AD2214" s="19" t="n">
        <f aca="false">IF($AC2214&lt;=0,0,$AB2214/$AC2214)</f>
        <v>0</v>
      </c>
      <c r="AE2214" s="8" t="str">
        <f aca="false">IF($K2214="SEM CULTURA","SEM CULTURA",IF($AA2214&lt;=0,"DADO PENDENTE",IF($AD2214&gt;LIMITE_CRITICO,"INVIAVEL",IF($AD2214&gt;LIMITE_ATENCAO,"CRITICO",IF($AD2214&gt;LIMITE_CONFORTAVEL,"ATENCAO","OK")))))</f>
        <v>SEM CULTURA</v>
      </c>
      <c r="AF2214" s="8" t="str">
        <f aca="false">$B2214&amp;"|"&amp;TEXT($AD2214,"0.000000")</f>
        <v>31|0.000000</v>
      </c>
      <c r="AG2214" s="18" t="n">
        <f aca="false">IF($K2214="SEM CULTURA",0,$T2214*$H2214)</f>
        <v>0</v>
      </c>
      <c r="AH2214" s="18" t="n">
        <f aca="false">IF($K2214="SEM CULTURA",0,$V2214*$H2214)</f>
        <v>0</v>
      </c>
      <c r="AI2214" s="18" t="n">
        <f aca="false">IF($K2214="SEM CULTURA",0,$W2214*$H2214)</f>
        <v>0</v>
      </c>
      <c r="AJ2214" s="18" t="n">
        <f aca="false">IF($K2214="SEM CULTURA",0,$S2214*$H2214)</f>
        <v>0</v>
      </c>
      <c r="AK2214" s="8" t="str">
        <f aca="false">$E2214&amp;"|"&amp;TEXT($AD2214,"0.000000")</f>
        <v>PV 135|0.000000</v>
      </c>
    </row>
    <row r="2215" customFormat="false" ht="15" hidden="false" customHeight="false" outlineLevel="0" collapsed="false">
      <c r="B2215" s="16" t="n">
        <v>32</v>
      </c>
      <c r="C2215" s="17" t="n">
        <f aca="false">DATA_INICIO_SAFRA+($B2215-1)*DIAS_POR_SEMANA</f>
        <v>46482</v>
      </c>
      <c r="D2215" s="17" t="n">
        <f aca="false">$C2215+DIAS_POR_SEMANA-1</f>
        <v>46488</v>
      </c>
      <c r="E2215" s="15" t="s">
        <v>292</v>
      </c>
      <c r="F2215" s="8" t="str">
        <f aca="false">IFERROR(INDEX(CADASTRO_PIVOS!$C$6:$C$41,MATCH($E2215,CADASTRO_PIVOS!$B$6:$B$41,0)),"?")</f>
        <v>RM08</v>
      </c>
      <c r="G2215" s="8" t="str">
        <f aca="false">IFERROR(INDEX(CADASTRO_PIVOS!$D$6:$D$41,MATCH($E2215,CADASTRO_PIVOS!$B$6:$B$41,0)),"?")</f>
        <v>TR08</v>
      </c>
      <c r="H2215" s="20" t="n">
        <f aca="false">IFERROR(INDEX(CADASTRO_PIVOS!$E$6:$E$41,MATCH($E2215,CADASTRO_PIVOS!$B$6:$B$41,0)),0)</f>
        <v>64</v>
      </c>
      <c r="I2215" s="16" t="n">
        <f aca="false">IFERROR(SUMIFS(ROTACAO_RDM!$B$6:$B$71,ROTACAO_RDM!$D$6:$D$71,$E2215,ROTACAO_RDM!$I$6:$I$71,"&lt;="&amp;$C2215+INT(DIAS_POR_SEMANA/2),ROTACAO_RDM!$J$6:$J$71,"&gt;="&amp;$C2215+INT(DIAS_POR_SEMANA/2)),0)</f>
        <v>0</v>
      </c>
      <c r="J2215" s="16" t="n">
        <f aca="false">IFERROR(MATCH($I2215,ROTACAO_RDM!$B$6:$B$71,0),0)</f>
        <v>0</v>
      </c>
      <c r="K2215" s="8" t="str">
        <f aca="false">IF($J2215=0,"SEM CULTURA",INDEX(ROTACAO_RDM!$F$6:$F$71,$J2215))</f>
        <v>SEM CULTURA</v>
      </c>
      <c r="L2215" s="8" t="str">
        <f aca="false">IF($J2215=0,"",INDEX(ROTACAO_RDM!$G$6:$G$71,$J2215))</f>
        <v/>
      </c>
      <c r="M2215" s="17" t="str">
        <f aca="false">IF($J2215=0,"",INDEX(ROTACAO_RDM!$I$6:$I$71,$J2215))</f>
        <v/>
      </c>
      <c r="N2215" s="16" t="n">
        <f aca="false">IF($J2215=0,0,MAX(0,$C2215+INT(DIAS_POR_SEMANA/2)-INDEX(ROTACAO_RDM!$I$6:$I$71,$J2215)))</f>
        <v>0</v>
      </c>
      <c r="O2215" s="19" t="n">
        <f aca="false">IF($J2215=0,0,MIN(1,$N2215/MAX(1,INDEX(ROTACAO_RDM!$K$6:$K$71,$J2215))))</f>
        <v>0</v>
      </c>
      <c r="P2215" s="16" t="n">
        <f aca="false">IF($J2215=0,0,IFERROR(MATCH(INDEX(ROTACAO_RDM!$N$6:$N$71,$J2215),PARAMETROS_CULTURAS!$B$6:$B$28,0),0))</f>
        <v>0</v>
      </c>
      <c r="Q2215" s="8" t="str">
        <f aca="false">IF($P2215=0,"-",IF($O2215&lt;=INDEX(PARAMETROS_CULTURAS!$F$6:$F$28,$P2215),"INICIAL",IF($O2215&lt;=INDEX(PARAMETROS_CULTURAS!$F$6:$F$28,$P2215)+INDEX(PARAMETROS_CULTURAS!$G$6:$G$28,$P2215),"DESENVOLVIMENTO",IF($O2215&lt;=INDEX(PARAMETROS_CULTURAS!$F$6:$F$28,$P2215)+INDEX(PARAMETROS_CULTURAS!$G$6:$G$28,$P2215)+INDEX(PARAMETROS_CULTURAS!$H$6:$H$28,$P2215),"MEDIA","FINAL"))))</f>
        <v>-</v>
      </c>
      <c r="R2215" s="24" t="n">
        <f aca="false">IF($P2215=0,0,IF($O2215&lt;=INDEX(PARAMETROS_CULTURAS!$F$6:$F$28,$P2215),INDEX(PARAMETROS_CULTURAS!$K$6:$K$28,$P2215),IF($O2215&lt;=INDEX(PARAMETROS_CULTURAS!$F$6:$F$28,$P2215)+INDEX(PARAMETROS_CULTURAS!$G$6:$G$28,$P2215),INDEX(PARAMETROS_CULTURAS!$K$6:$K$28,$P2215)+(INDEX(PARAMETROS_CULTURAS!$L$6:$L$28,$P2215)-INDEX(PARAMETROS_CULTURAS!$K$6:$K$28,$P2215))*($O2215-INDEX(PARAMETROS_CULTURAS!$F$6:$F$28,$P2215))/MAX(INDEX(PARAMETROS_CULTURAS!$G$6:$G$28,$P2215),0.0001),IF($O2215&lt;=INDEX(PARAMETROS_CULTURAS!$F$6:$F$28,$P2215)+INDEX(PARAMETROS_CULTURAS!$G$6:$G$28,$P2215)+INDEX(PARAMETROS_CULTURAS!$H$6:$H$28,$P2215),INDEX(PARAMETROS_CULTURAS!$L$6:$L$28,$P2215),INDEX(PARAMETROS_CULTURAS!$L$6:$L$28,$P2215)+(INDEX(PARAMETROS_CULTURAS!$M$6:$M$28,$P2215)-INDEX(PARAMETROS_CULTURAS!$L$6:$L$28,$P2215))*($O2215-INDEX(PARAMETROS_CULTURAS!$F$6:$F$28,$P2215)-INDEX(PARAMETROS_CULTURAS!$G$6:$G$28,$P2215)-INDEX(PARAMETROS_CULTURAS!$H$6:$H$28,$P2215))/MAX(INDEX(PARAMETROS_CULTURAS!$I$6:$I$28,$P2215),0.0001)))))</f>
        <v>0</v>
      </c>
      <c r="S2215" s="18" t="n">
        <f aca="false">IFERROR(INDEX(SEMANAS!$H$6:$H$71,MATCH($B2215,SEMANAS!$B$6:$B$71,0)),0)</f>
        <v>31.5</v>
      </c>
      <c r="T2215" s="18" t="n">
        <f aca="false">$R2215*$S2215</f>
        <v>0</v>
      </c>
      <c r="U2215" s="18" t="n">
        <f aca="false">IFERROR(INDEX(SEMANAS!$I$6:$I$71,MATCH($B2215,SEMANAS!$B$6:$B$71,0)),0)</f>
        <v>16.31</v>
      </c>
      <c r="V2215" s="18" t="n">
        <f aca="false">IFERROR(INDEX(SEMANAS!$J$6:$J$71,MATCH($B2215,SEMANAS!$B$6:$B$71,0)),0)</f>
        <v>13.048</v>
      </c>
      <c r="W2215" s="18" t="n">
        <f aca="false">MAX(0,$T2215-$V2215)</f>
        <v>0</v>
      </c>
      <c r="X2215" s="19" t="n">
        <f aca="false">IFERROR(INDEX(CADASTRO_PIVOS!$K$6:$K$41,MATCH($E2215,CADASTRO_PIVOS!$B$6:$B$41,0)),EFICIENCIA_PADRAO)</f>
        <v>0.85</v>
      </c>
      <c r="Y2215" s="18" t="n">
        <f aca="false">IF($X2215&lt;=0,0,$W2215/$X2215)</f>
        <v>0</v>
      </c>
      <c r="Z2215" s="16" t="n">
        <f aca="false">$Y2215*$H2215*MM_PARA_M3_HA</f>
        <v>0</v>
      </c>
      <c r="AA2215" s="18" t="n">
        <f aca="false">IFERROR(INDEX(CADASTRO_PIVOS!$I$6:$I$41,MATCH($E2215,CADASTRO_PIVOS!$B$6:$B$41,0)),0)</f>
        <v>457.142857142857</v>
      </c>
      <c r="AB2215" s="18" t="n">
        <f aca="false">IF($Z2215&lt;=0,0,$Z2215/$AA2215)</f>
        <v>0</v>
      </c>
      <c r="AC2215" s="16" t="n">
        <f aca="false">IFERROR(INDEX(SEMANAS!$K$6:$K$71,MATCH($B2215,SEMANAS!$B$6:$B$71,0)),0)</f>
        <v>147</v>
      </c>
      <c r="AD2215" s="19" t="n">
        <f aca="false">IF($AC2215&lt;=0,0,$AB2215/$AC2215)</f>
        <v>0</v>
      </c>
      <c r="AE2215" s="8" t="str">
        <f aca="false">IF($K2215="SEM CULTURA","SEM CULTURA",IF($AA2215&lt;=0,"DADO PENDENTE",IF($AD2215&gt;LIMITE_CRITICO,"INVIAVEL",IF($AD2215&gt;LIMITE_ATENCAO,"CRITICO",IF($AD2215&gt;LIMITE_CONFORTAVEL,"ATENCAO","OK")))))</f>
        <v>SEM CULTURA</v>
      </c>
      <c r="AF2215" s="8" t="str">
        <f aca="false">$B2215&amp;"|"&amp;TEXT($AD2215,"0.000000")</f>
        <v>32|0.000000</v>
      </c>
      <c r="AG2215" s="18" t="n">
        <f aca="false">IF($K2215="SEM CULTURA",0,$T2215*$H2215)</f>
        <v>0</v>
      </c>
      <c r="AH2215" s="18" t="n">
        <f aca="false">IF($K2215="SEM CULTURA",0,$V2215*$H2215)</f>
        <v>0</v>
      </c>
      <c r="AI2215" s="18" t="n">
        <f aca="false">IF($K2215="SEM CULTURA",0,$W2215*$H2215)</f>
        <v>0</v>
      </c>
      <c r="AJ2215" s="18" t="n">
        <f aca="false">IF($K2215="SEM CULTURA",0,$S2215*$H2215)</f>
        <v>0</v>
      </c>
      <c r="AK2215" s="8" t="str">
        <f aca="false">$E2215&amp;"|"&amp;TEXT($AD2215,"0.000000")</f>
        <v>PV 135|0.000000</v>
      </c>
    </row>
    <row r="2216" customFormat="false" ht="15" hidden="false" customHeight="false" outlineLevel="0" collapsed="false">
      <c r="B2216" s="16" t="n">
        <v>33</v>
      </c>
      <c r="C2216" s="17" t="n">
        <f aca="false">DATA_INICIO_SAFRA+($B2216-1)*DIAS_POR_SEMANA</f>
        <v>46489</v>
      </c>
      <c r="D2216" s="17" t="n">
        <f aca="false">$C2216+DIAS_POR_SEMANA-1</f>
        <v>46495</v>
      </c>
      <c r="E2216" s="15" t="s">
        <v>292</v>
      </c>
      <c r="F2216" s="8" t="str">
        <f aca="false">IFERROR(INDEX(CADASTRO_PIVOS!$C$6:$C$41,MATCH($E2216,CADASTRO_PIVOS!$B$6:$B$41,0)),"?")</f>
        <v>RM08</v>
      </c>
      <c r="G2216" s="8" t="str">
        <f aca="false">IFERROR(INDEX(CADASTRO_PIVOS!$D$6:$D$41,MATCH($E2216,CADASTRO_PIVOS!$B$6:$B$41,0)),"?")</f>
        <v>TR08</v>
      </c>
      <c r="H2216" s="20" t="n">
        <f aca="false">IFERROR(INDEX(CADASTRO_PIVOS!$E$6:$E$41,MATCH($E2216,CADASTRO_PIVOS!$B$6:$B$41,0)),0)</f>
        <v>64</v>
      </c>
      <c r="I2216" s="16" t="n">
        <f aca="false">IFERROR(SUMIFS(ROTACAO_RDM!$B$6:$B$71,ROTACAO_RDM!$D$6:$D$71,$E2216,ROTACAO_RDM!$I$6:$I$71,"&lt;="&amp;$C2216+INT(DIAS_POR_SEMANA/2),ROTACAO_RDM!$J$6:$J$71,"&gt;="&amp;$C2216+INT(DIAS_POR_SEMANA/2)),0)</f>
        <v>0</v>
      </c>
      <c r="J2216" s="16" t="n">
        <f aca="false">IFERROR(MATCH($I2216,ROTACAO_RDM!$B$6:$B$71,0),0)</f>
        <v>0</v>
      </c>
      <c r="K2216" s="8" t="str">
        <f aca="false">IF($J2216=0,"SEM CULTURA",INDEX(ROTACAO_RDM!$F$6:$F$71,$J2216))</f>
        <v>SEM CULTURA</v>
      </c>
      <c r="L2216" s="8" t="str">
        <f aca="false">IF($J2216=0,"",INDEX(ROTACAO_RDM!$G$6:$G$71,$J2216))</f>
        <v/>
      </c>
      <c r="M2216" s="17" t="str">
        <f aca="false">IF($J2216=0,"",INDEX(ROTACAO_RDM!$I$6:$I$71,$J2216))</f>
        <v/>
      </c>
      <c r="N2216" s="16" t="n">
        <f aca="false">IF($J2216=0,0,MAX(0,$C2216+INT(DIAS_POR_SEMANA/2)-INDEX(ROTACAO_RDM!$I$6:$I$71,$J2216)))</f>
        <v>0</v>
      </c>
      <c r="O2216" s="19" t="n">
        <f aca="false">IF($J2216=0,0,MIN(1,$N2216/MAX(1,INDEX(ROTACAO_RDM!$K$6:$K$71,$J2216))))</f>
        <v>0</v>
      </c>
      <c r="P2216" s="16" t="n">
        <f aca="false">IF($J2216=0,0,IFERROR(MATCH(INDEX(ROTACAO_RDM!$N$6:$N$71,$J2216),PARAMETROS_CULTURAS!$B$6:$B$28,0),0))</f>
        <v>0</v>
      </c>
      <c r="Q2216" s="8" t="str">
        <f aca="false">IF($P2216=0,"-",IF($O2216&lt;=INDEX(PARAMETROS_CULTURAS!$F$6:$F$28,$P2216),"INICIAL",IF($O2216&lt;=INDEX(PARAMETROS_CULTURAS!$F$6:$F$28,$P2216)+INDEX(PARAMETROS_CULTURAS!$G$6:$G$28,$P2216),"DESENVOLVIMENTO",IF($O2216&lt;=INDEX(PARAMETROS_CULTURAS!$F$6:$F$28,$P2216)+INDEX(PARAMETROS_CULTURAS!$G$6:$G$28,$P2216)+INDEX(PARAMETROS_CULTURAS!$H$6:$H$28,$P2216),"MEDIA","FINAL"))))</f>
        <v>-</v>
      </c>
      <c r="R2216" s="24" t="n">
        <f aca="false">IF($P2216=0,0,IF($O2216&lt;=INDEX(PARAMETROS_CULTURAS!$F$6:$F$28,$P2216),INDEX(PARAMETROS_CULTURAS!$K$6:$K$28,$P2216),IF($O2216&lt;=INDEX(PARAMETROS_CULTURAS!$F$6:$F$28,$P2216)+INDEX(PARAMETROS_CULTURAS!$G$6:$G$28,$P2216),INDEX(PARAMETROS_CULTURAS!$K$6:$K$28,$P2216)+(INDEX(PARAMETROS_CULTURAS!$L$6:$L$28,$P2216)-INDEX(PARAMETROS_CULTURAS!$K$6:$K$28,$P2216))*($O2216-INDEX(PARAMETROS_CULTURAS!$F$6:$F$28,$P2216))/MAX(INDEX(PARAMETROS_CULTURAS!$G$6:$G$28,$P2216),0.0001),IF($O2216&lt;=INDEX(PARAMETROS_CULTURAS!$F$6:$F$28,$P2216)+INDEX(PARAMETROS_CULTURAS!$G$6:$G$28,$P2216)+INDEX(PARAMETROS_CULTURAS!$H$6:$H$28,$P2216),INDEX(PARAMETROS_CULTURAS!$L$6:$L$28,$P2216),INDEX(PARAMETROS_CULTURAS!$L$6:$L$28,$P2216)+(INDEX(PARAMETROS_CULTURAS!$M$6:$M$28,$P2216)-INDEX(PARAMETROS_CULTURAS!$L$6:$L$28,$P2216))*($O2216-INDEX(PARAMETROS_CULTURAS!$F$6:$F$28,$P2216)-INDEX(PARAMETROS_CULTURAS!$G$6:$G$28,$P2216)-INDEX(PARAMETROS_CULTURAS!$H$6:$H$28,$P2216))/MAX(INDEX(PARAMETROS_CULTURAS!$I$6:$I$28,$P2216),0.0001)))))</f>
        <v>0</v>
      </c>
      <c r="S2216" s="18" t="n">
        <f aca="false">IFERROR(INDEX(SEMANAS!$H$6:$H$71,MATCH($B2216,SEMANAS!$B$6:$B$71,0)),0)</f>
        <v>31.5</v>
      </c>
      <c r="T2216" s="18" t="n">
        <f aca="false">$R2216*$S2216</f>
        <v>0</v>
      </c>
      <c r="U2216" s="18" t="n">
        <f aca="false">IFERROR(INDEX(SEMANAS!$I$6:$I$71,MATCH($B2216,SEMANAS!$B$6:$B$71,0)),0)</f>
        <v>16.31</v>
      </c>
      <c r="V2216" s="18" t="n">
        <f aca="false">IFERROR(INDEX(SEMANAS!$J$6:$J$71,MATCH($B2216,SEMANAS!$B$6:$B$71,0)),0)</f>
        <v>13.048</v>
      </c>
      <c r="W2216" s="18" t="n">
        <f aca="false">MAX(0,$T2216-$V2216)</f>
        <v>0</v>
      </c>
      <c r="X2216" s="19" t="n">
        <f aca="false">IFERROR(INDEX(CADASTRO_PIVOS!$K$6:$K$41,MATCH($E2216,CADASTRO_PIVOS!$B$6:$B$41,0)),EFICIENCIA_PADRAO)</f>
        <v>0.85</v>
      </c>
      <c r="Y2216" s="18" t="n">
        <f aca="false">IF($X2216&lt;=0,0,$W2216/$X2216)</f>
        <v>0</v>
      </c>
      <c r="Z2216" s="16" t="n">
        <f aca="false">$Y2216*$H2216*MM_PARA_M3_HA</f>
        <v>0</v>
      </c>
      <c r="AA2216" s="18" t="n">
        <f aca="false">IFERROR(INDEX(CADASTRO_PIVOS!$I$6:$I$41,MATCH($E2216,CADASTRO_PIVOS!$B$6:$B$41,0)),0)</f>
        <v>457.142857142857</v>
      </c>
      <c r="AB2216" s="18" t="n">
        <f aca="false">IF($Z2216&lt;=0,0,$Z2216/$AA2216)</f>
        <v>0</v>
      </c>
      <c r="AC2216" s="16" t="n">
        <f aca="false">IFERROR(INDEX(SEMANAS!$K$6:$K$71,MATCH($B2216,SEMANAS!$B$6:$B$71,0)),0)</f>
        <v>147</v>
      </c>
      <c r="AD2216" s="19" t="n">
        <f aca="false">IF($AC2216&lt;=0,0,$AB2216/$AC2216)</f>
        <v>0</v>
      </c>
      <c r="AE2216" s="8" t="str">
        <f aca="false">IF($K2216="SEM CULTURA","SEM CULTURA",IF($AA2216&lt;=0,"DADO PENDENTE",IF($AD2216&gt;LIMITE_CRITICO,"INVIAVEL",IF($AD2216&gt;LIMITE_ATENCAO,"CRITICO",IF($AD2216&gt;LIMITE_CONFORTAVEL,"ATENCAO","OK")))))</f>
        <v>SEM CULTURA</v>
      </c>
      <c r="AF2216" s="8" t="str">
        <f aca="false">$B2216&amp;"|"&amp;TEXT($AD2216,"0.000000")</f>
        <v>33|0.000000</v>
      </c>
      <c r="AG2216" s="18" t="n">
        <f aca="false">IF($K2216="SEM CULTURA",0,$T2216*$H2216)</f>
        <v>0</v>
      </c>
      <c r="AH2216" s="18" t="n">
        <f aca="false">IF($K2216="SEM CULTURA",0,$V2216*$H2216)</f>
        <v>0</v>
      </c>
      <c r="AI2216" s="18" t="n">
        <f aca="false">IF($K2216="SEM CULTURA",0,$W2216*$H2216)</f>
        <v>0</v>
      </c>
      <c r="AJ2216" s="18" t="n">
        <f aca="false">IF($K2216="SEM CULTURA",0,$S2216*$H2216)</f>
        <v>0</v>
      </c>
      <c r="AK2216" s="8" t="str">
        <f aca="false">$E2216&amp;"|"&amp;TEXT($AD2216,"0.000000")</f>
        <v>PV 135|0.000000</v>
      </c>
    </row>
    <row r="2217" customFormat="false" ht="15" hidden="false" customHeight="false" outlineLevel="0" collapsed="false">
      <c r="B2217" s="16" t="n">
        <v>34</v>
      </c>
      <c r="C2217" s="17" t="n">
        <f aca="false">DATA_INICIO_SAFRA+($B2217-1)*DIAS_POR_SEMANA</f>
        <v>46496</v>
      </c>
      <c r="D2217" s="17" t="n">
        <f aca="false">$C2217+DIAS_POR_SEMANA-1</f>
        <v>46502</v>
      </c>
      <c r="E2217" s="15" t="s">
        <v>292</v>
      </c>
      <c r="F2217" s="8" t="str">
        <f aca="false">IFERROR(INDEX(CADASTRO_PIVOS!$C$6:$C$41,MATCH($E2217,CADASTRO_PIVOS!$B$6:$B$41,0)),"?")</f>
        <v>RM08</v>
      </c>
      <c r="G2217" s="8" t="str">
        <f aca="false">IFERROR(INDEX(CADASTRO_PIVOS!$D$6:$D$41,MATCH($E2217,CADASTRO_PIVOS!$B$6:$B$41,0)),"?")</f>
        <v>TR08</v>
      </c>
      <c r="H2217" s="20" t="n">
        <f aca="false">IFERROR(INDEX(CADASTRO_PIVOS!$E$6:$E$41,MATCH($E2217,CADASTRO_PIVOS!$B$6:$B$41,0)),0)</f>
        <v>64</v>
      </c>
      <c r="I2217" s="16" t="n">
        <f aca="false">IFERROR(SUMIFS(ROTACAO_RDM!$B$6:$B$71,ROTACAO_RDM!$D$6:$D$71,$E2217,ROTACAO_RDM!$I$6:$I$71,"&lt;="&amp;$C2217+INT(DIAS_POR_SEMANA/2),ROTACAO_RDM!$J$6:$J$71,"&gt;="&amp;$C2217+INT(DIAS_POR_SEMANA/2)),0)</f>
        <v>0</v>
      </c>
      <c r="J2217" s="16" t="n">
        <f aca="false">IFERROR(MATCH($I2217,ROTACAO_RDM!$B$6:$B$71,0),0)</f>
        <v>0</v>
      </c>
      <c r="K2217" s="8" t="str">
        <f aca="false">IF($J2217=0,"SEM CULTURA",INDEX(ROTACAO_RDM!$F$6:$F$71,$J2217))</f>
        <v>SEM CULTURA</v>
      </c>
      <c r="L2217" s="8" t="str">
        <f aca="false">IF($J2217=0,"",INDEX(ROTACAO_RDM!$G$6:$G$71,$J2217))</f>
        <v/>
      </c>
      <c r="M2217" s="17" t="str">
        <f aca="false">IF($J2217=0,"",INDEX(ROTACAO_RDM!$I$6:$I$71,$J2217))</f>
        <v/>
      </c>
      <c r="N2217" s="16" t="n">
        <f aca="false">IF($J2217=0,0,MAX(0,$C2217+INT(DIAS_POR_SEMANA/2)-INDEX(ROTACAO_RDM!$I$6:$I$71,$J2217)))</f>
        <v>0</v>
      </c>
      <c r="O2217" s="19" t="n">
        <f aca="false">IF($J2217=0,0,MIN(1,$N2217/MAX(1,INDEX(ROTACAO_RDM!$K$6:$K$71,$J2217))))</f>
        <v>0</v>
      </c>
      <c r="P2217" s="16" t="n">
        <f aca="false">IF($J2217=0,0,IFERROR(MATCH(INDEX(ROTACAO_RDM!$N$6:$N$71,$J2217),PARAMETROS_CULTURAS!$B$6:$B$28,0),0))</f>
        <v>0</v>
      </c>
      <c r="Q2217" s="8" t="str">
        <f aca="false">IF($P2217=0,"-",IF($O2217&lt;=INDEX(PARAMETROS_CULTURAS!$F$6:$F$28,$P2217),"INICIAL",IF($O2217&lt;=INDEX(PARAMETROS_CULTURAS!$F$6:$F$28,$P2217)+INDEX(PARAMETROS_CULTURAS!$G$6:$G$28,$P2217),"DESENVOLVIMENTO",IF($O2217&lt;=INDEX(PARAMETROS_CULTURAS!$F$6:$F$28,$P2217)+INDEX(PARAMETROS_CULTURAS!$G$6:$G$28,$P2217)+INDEX(PARAMETROS_CULTURAS!$H$6:$H$28,$P2217),"MEDIA","FINAL"))))</f>
        <v>-</v>
      </c>
      <c r="R2217" s="24" t="n">
        <f aca="false">IF($P2217=0,0,IF($O2217&lt;=INDEX(PARAMETROS_CULTURAS!$F$6:$F$28,$P2217),INDEX(PARAMETROS_CULTURAS!$K$6:$K$28,$P2217),IF($O2217&lt;=INDEX(PARAMETROS_CULTURAS!$F$6:$F$28,$P2217)+INDEX(PARAMETROS_CULTURAS!$G$6:$G$28,$P2217),INDEX(PARAMETROS_CULTURAS!$K$6:$K$28,$P2217)+(INDEX(PARAMETROS_CULTURAS!$L$6:$L$28,$P2217)-INDEX(PARAMETROS_CULTURAS!$K$6:$K$28,$P2217))*($O2217-INDEX(PARAMETROS_CULTURAS!$F$6:$F$28,$P2217))/MAX(INDEX(PARAMETROS_CULTURAS!$G$6:$G$28,$P2217),0.0001),IF($O2217&lt;=INDEX(PARAMETROS_CULTURAS!$F$6:$F$28,$P2217)+INDEX(PARAMETROS_CULTURAS!$G$6:$G$28,$P2217)+INDEX(PARAMETROS_CULTURAS!$H$6:$H$28,$P2217),INDEX(PARAMETROS_CULTURAS!$L$6:$L$28,$P2217),INDEX(PARAMETROS_CULTURAS!$L$6:$L$28,$P2217)+(INDEX(PARAMETROS_CULTURAS!$M$6:$M$28,$P2217)-INDEX(PARAMETROS_CULTURAS!$L$6:$L$28,$P2217))*($O2217-INDEX(PARAMETROS_CULTURAS!$F$6:$F$28,$P2217)-INDEX(PARAMETROS_CULTURAS!$G$6:$G$28,$P2217)-INDEX(PARAMETROS_CULTURAS!$H$6:$H$28,$P2217))/MAX(INDEX(PARAMETROS_CULTURAS!$I$6:$I$28,$P2217),0.0001)))))</f>
        <v>0</v>
      </c>
      <c r="S2217" s="18" t="n">
        <f aca="false">IFERROR(INDEX(SEMANAS!$H$6:$H$71,MATCH($B2217,SEMANAS!$B$6:$B$71,0)),0)</f>
        <v>31.5</v>
      </c>
      <c r="T2217" s="18" t="n">
        <f aca="false">$R2217*$S2217</f>
        <v>0</v>
      </c>
      <c r="U2217" s="18" t="n">
        <f aca="false">IFERROR(INDEX(SEMANAS!$I$6:$I$71,MATCH($B2217,SEMANAS!$B$6:$B$71,0)),0)</f>
        <v>16.31</v>
      </c>
      <c r="V2217" s="18" t="n">
        <f aca="false">IFERROR(INDEX(SEMANAS!$J$6:$J$71,MATCH($B2217,SEMANAS!$B$6:$B$71,0)),0)</f>
        <v>13.048</v>
      </c>
      <c r="W2217" s="18" t="n">
        <f aca="false">MAX(0,$T2217-$V2217)</f>
        <v>0</v>
      </c>
      <c r="X2217" s="19" t="n">
        <f aca="false">IFERROR(INDEX(CADASTRO_PIVOS!$K$6:$K$41,MATCH($E2217,CADASTRO_PIVOS!$B$6:$B$41,0)),EFICIENCIA_PADRAO)</f>
        <v>0.85</v>
      </c>
      <c r="Y2217" s="18" t="n">
        <f aca="false">IF($X2217&lt;=0,0,$W2217/$X2217)</f>
        <v>0</v>
      </c>
      <c r="Z2217" s="16" t="n">
        <f aca="false">$Y2217*$H2217*MM_PARA_M3_HA</f>
        <v>0</v>
      </c>
      <c r="AA2217" s="18" t="n">
        <f aca="false">IFERROR(INDEX(CADASTRO_PIVOS!$I$6:$I$41,MATCH($E2217,CADASTRO_PIVOS!$B$6:$B$41,0)),0)</f>
        <v>457.142857142857</v>
      </c>
      <c r="AB2217" s="18" t="n">
        <f aca="false">IF($Z2217&lt;=0,0,$Z2217/$AA2217)</f>
        <v>0</v>
      </c>
      <c r="AC2217" s="16" t="n">
        <f aca="false">IFERROR(INDEX(SEMANAS!$K$6:$K$71,MATCH($B2217,SEMANAS!$B$6:$B$71,0)),0)</f>
        <v>147</v>
      </c>
      <c r="AD2217" s="19" t="n">
        <f aca="false">IF($AC2217&lt;=0,0,$AB2217/$AC2217)</f>
        <v>0</v>
      </c>
      <c r="AE2217" s="8" t="str">
        <f aca="false">IF($K2217="SEM CULTURA","SEM CULTURA",IF($AA2217&lt;=0,"DADO PENDENTE",IF($AD2217&gt;LIMITE_CRITICO,"INVIAVEL",IF($AD2217&gt;LIMITE_ATENCAO,"CRITICO",IF($AD2217&gt;LIMITE_CONFORTAVEL,"ATENCAO","OK")))))</f>
        <v>SEM CULTURA</v>
      </c>
      <c r="AF2217" s="8" t="str">
        <f aca="false">$B2217&amp;"|"&amp;TEXT($AD2217,"0.000000")</f>
        <v>34|0.000000</v>
      </c>
      <c r="AG2217" s="18" t="n">
        <f aca="false">IF($K2217="SEM CULTURA",0,$T2217*$H2217)</f>
        <v>0</v>
      </c>
      <c r="AH2217" s="18" t="n">
        <f aca="false">IF($K2217="SEM CULTURA",0,$V2217*$H2217)</f>
        <v>0</v>
      </c>
      <c r="AI2217" s="18" t="n">
        <f aca="false">IF($K2217="SEM CULTURA",0,$W2217*$H2217)</f>
        <v>0</v>
      </c>
      <c r="AJ2217" s="18" t="n">
        <f aca="false">IF($K2217="SEM CULTURA",0,$S2217*$H2217)</f>
        <v>0</v>
      </c>
      <c r="AK2217" s="8" t="str">
        <f aca="false">$E2217&amp;"|"&amp;TEXT($AD2217,"0.000000")</f>
        <v>PV 135|0.000000</v>
      </c>
    </row>
    <row r="2218" customFormat="false" ht="15" hidden="false" customHeight="false" outlineLevel="0" collapsed="false">
      <c r="B2218" s="16" t="n">
        <v>35</v>
      </c>
      <c r="C2218" s="17" t="n">
        <f aca="false">DATA_INICIO_SAFRA+($B2218-1)*DIAS_POR_SEMANA</f>
        <v>46503</v>
      </c>
      <c r="D2218" s="17" t="n">
        <f aca="false">$C2218+DIAS_POR_SEMANA-1</f>
        <v>46509</v>
      </c>
      <c r="E2218" s="15" t="s">
        <v>292</v>
      </c>
      <c r="F2218" s="8" t="str">
        <f aca="false">IFERROR(INDEX(CADASTRO_PIVOS!$C$6:$C$41,MATCH($E2218,CADASTRO_PIVOS!$B$6:$B$41,0)),"?")</f>
        <v>RM08</v>
      </c>
      <c r="G2218" s="8" t="str">
        <f aca="false">IFERROR(INDEX(CADASTRO_PIVOS!$D$6:$D$41,MATCH($E2218,CADASTRO_PIVOS!$B$6:$B$41,0)),"?")</f>
        <v>TR08</v>
      </c>
      <c r="H2218" s="20" t="n">
        <f aca="false">IFERROR(INDEX(CADASTRO_PIVOS!$E$6:$E$41,MATCH($E2218,CADASTRO_PIVOS!$B$6:$B$41,0)),0)</f>
        <v>64</v>
      </c>
      <c r="I2218" s="16" t="n">
        <f aca="false">IFERROR(SUMIFS(ROTACAO_RDM!$B$6:$B$71,ROTACAO_RDM!$D$6:$D$71,$E2218,ROTACAO_RDM!$I$6:$I$71,"&lt;="&amp;$C2218+INT(DIAS_POR_SEMANA/2),ROTACAO_RDM!$J$6:$J$71,"&gt;="&amp;$C2218+INT(DIAS_POR_SEMANA/2)),0)</f>
        <v>0</v>
      </c>
      <c r="J2218" s="16" t="n">
        <f aca="false">IFERROR(MATCH($I2218,ROTACAO_RDM!$B$6:$B$71,0),0)</f>
        <v>0</v>
      </c>
      <c r="K2218" s="8" t="str">
        <f aca="false">IF($J2218=0,"SEM CULTURA",INDEX(ROTACAO_RDM!$F$6:$F$71,$J2218))</f>
        <v>SEM CULTURA</v>
      </c>
      <c r="L2218" s="8" t="str">
        <f aca="false">IF($J2218=0,"",INDEX(ROTACAO_RDM!$G$6:$G$71,$J2218))</f>
        <v/>
      </c>
      <c r="M2218" s="17" t="str">
        <f aca="false">IF($J2218=0,"",INDEX(ROTACAO_RDM!$I$6:$I$71,$J2218))</f>
        <v/>
      </c>
      <c r="N2218" s="16" t="n">
        <f aca="false">IF($J2218=0,0,MAX(0,$C2218+INT(DIAS_POR_SEMANA/2)-INDEX(ROTACAO_RDM!$I$6:$I$71,$J2218)))</f>
        <v>0</v>
      </c>
      <c r="O2218" s="19" t="n">
        <f aca="false">IF($J2218=0,0,MIN(1,$N2218/MAX(1,INDEX(ROTACAO_RDM!$K$6:$K$71,$J2218))))</f>
        <v>0</v>
      </c>
      <c r="P2218" s="16" t="n">
        <f aca="false">IF($J2218=0,0,IFERROR(MATCH(INDEX(ROTACAO_RDM!$N$6:$N$71,$J2218),PARAMETROS_CULTURAS!$B$6:$B$28,0),0))</f>
        <v>0</v>
      </c>
      <c r="Q2218" s="8" t="str">
        <f aca="false">IF($P2218=0,"-",IF($O2218&lt;=INDEX(PARAMETROS_CULTURAS!$F$6:$F$28,$P2218),"INICIAL",IF($O2218&lt;=INDEX(PARAMETROS_CULTURAS!$F$6:$F$28,$P2218)+INDEX(PARAMETROS_CULTURAS!$G$6:$G$28,$P2218),"DESENVOLVIMENTO",IF($O2218&lt;=INDEX(PARAMETROS_CULTURAS!$F$6:$F$28,$P2218)+INDEX(PARAMETROS_CULTURAS!$G$6:$G$28,$P2218)+INDEX(PARAMETROS_CULTURAS!$H$6:$H$28,$P2218),"MEDIA","FINAL"))))</f>
        <v>-</v>
      </c>
      <c r="R2218" s="24" t="n">
        <f aca="false">IF($P2218=0,0,IF($O2218&lt;=INDEX(PARAMETROS_CULTURAS!$F$6:$F$28,$P2218),INDEX(PARAMETROS_CULTURAS!$K$6:$K$28,$P2218),IF($O2218&lt;=INDEX(PARAMETROS_CULTURAS!$F$6:$F$28,$P2218)+INDEX(PARAMETROS_CULTURAS!$G$6:$G$28,$P2218),INDEX(PARAMETROS_CULTURAS!$K$6:$K$28,$P2218)+(INDEX(PARAMETROS_CULTURAS!$L$6:$L$28,$P2218)-INDEX(PARAMETROS_CULTURAS!$K$6:$K$28,$P2218))*($O2218-INDEX(PARAMETROS_CULTURAS!$F$6:$F$28,$P2218))/MAX(INDEX(PARAMETROS_CULTURAS!$G$6:$G$28,$P2218),0.0001),IF($O2218&lt;=INDEX(PARAMETROS_CULTURAS!$F$6:$F$28,$P2218)+INDEX(PARAMETROS_CULTURAS!$G$6:$G$28,$P2218)+INDEX(PARAMETROS_CULTURAS!$H$6:$H$28,$P2218),INDEX(PARAMETROS_CULTURAS!$L$6:$L$28,$P2218),INDEX(PARAMETROS_CULTURAS!$L$6:$L$28,$P2218)+(INDEX(PARAMETROS_CULTURAS!$M$6:$M$28,$P2218)-INDEX(PARAMETROS_CULTURAS!$L$6:$L$28,$P2218))*($O2218-INDEX(PARAMETROS_CULTURAS!$F$6:$F$28,$P2218)-INDEX(PARAMETROS_CULTURAS!$G$6:$G$28,$P2218)-INDEX(PARAMETROS_CULTURAS!$H$6:$H$28,$P2218))/MAX(INDEX(PARAMETROS_CULTURAS!$I$6:$I$28,$P2218),0.0001)))))</f>
        <v>0</v>
      </c>
      <c r="S2218" s="18" t="n">
        <f aca="false">IFERROR(INDEX(SEMANAS!$H$6:$H$71,MATCH($B2218,SEMANAS!$B$6:$B$71,0)),0)</f>
        <v>30.9</v>
      </c>
      <c r="T2218" s="18" t="n">
        <f aca="false">$R2218*$S2218</f>
        <v>0</v>
      </c>
      <c r="U2218" s="18" t="n">
        <f aca="false">IFERROR(INDEX(SEMANAS!$I$6:$I$71,MATCH($B2218,SEMANAS!$B$6:$B$71,0)),0)</f>
        <v>12.61</v>
      </c>
      <c r="V2218" s="18" t="n">
        <f aca="false">IFERROR(INDEX(SEMANAS!$J$6:$J$71,MATCH($B2218,SEMANAS!$B$6:$B$71,0)),0)</f>
        <v>10.088</v>
      </c>
      <c r="W2218" s="18" t="n">
        <f aca="false">MAX(0,$T2218-$V2218)</f>
        <v>0</v>
      </c>
      <c r="X2218" s="19" t="n">
        <f aca="false">IFERROR(INDEX(CADASTRO_PIVOS!$K$6:$K$41,MATCH($E2218,CADASTRO_PIVOS!$B$6:$B$41,0)),EFICIENCIA_PADRAO)</f>
        <v>0.85</v>
      </c>
      <c r="Y2218" s="18" t="n">
        <f aca="false">IF($X2218&lt;=0,0,$W2218/$X2218)</f>
        <v>0</v>
      </c>
      <c r="Z2218" s="16" t="n">
        <f aca="false">$Y2218*$H2218*MM_PARA_M3_HA</f>
        <v>0</v>
      </c>
      <c r="AA2218" s="18" t="n">
        <f aca="false">IFERROR(INDEX(CADASTRO_PIVOS!$I$6:$I$41,MATCH($E2218,CADASTRO_PIVOS!$B$6:$B$41,0)),0)</f>
        <v>457.142857142857</v>
      </c>
      <c r="AB2218" s="18" t="n">
        <f aca="false">IF($Z2218&lt;=0,0,$Z2218/$AA2218)</f>
        <v>0</v>
      </c>
      <c r="AC2218" s="16" t="n">
        <f aca="false">IFERROR(INDEX(SEMANAS!$K$6:$K$71,MATCH($B2218,SEMANAS!$B$6:$B$71,0)),0)</f>
        <v>147</v>
      </c>
      <c r="AD2218" s="19" t="n">
        <f aca="false">IF($AC2218&lt;=0,0,$AB2218/$AC2218)</f>
        <v>0</v>
      </c>
      <c r="AE2218" s="8" t="str">
        <f aca="false">IF($K2218="SEM CULTURA","SEM CULTURA",IF($AA2218&lt;=0,"DADO PENDENTE",IF($AD2218&gt;LIMITE_CRITICO,"INVIAVEL",IF($AD2218&gt;LIMITE_ATENCAO,"CRITICO",IF($AD2218&gt;LIMITE_CONFORTAVEL,"ATENCAO","OK")))))</f>
        <v>SEM CULTURA</v>
      </c>
      <c r="AF2218" s="8" t="str">
        <f aca="false">$B2218&amp;"|"&amp;TEXT($AD2218,"0.000000")</f>
        <v>35|0.000000</v>
      </c>
      <c r="AG2218" s="18" t="n">
        <f aca="false">IF($K2218="SEM CULTURA",0,$T2218*$H2218)</f>
        <v>0</v>
      </c>
      <c r="AH2218" s="18" t="n">
        <f aca="false">IF($K2218="SEM CULTURA",0,$V2218*$H2218)</f>
        <v>0</v>
      </c>
      <c r="AI2218" s="18" t="n">
        <f aca="false">IF($K2218="SEM CULTURA",0,$W2218*$H2218)</f>
        <v>0</v>
      </c>
      <c r="AJ2218" s="18" t="n">
        <f aca="false">IF($K2218="SEM CULTURA",0,$S2218*$H2218)</f>
        <v>0</v>
      </c>
      <c r="AK2218" s="8" t="str">
        <f aca="false">$E2218&amp;"|"&amp;TEXT($AD2218,"0.000000")</f>
        <v>PV 135|0.000000</v>
      </c>
    </row>
    <row r="2219" customFormat="false" ht="15" hidden="false" customHeight="false" outlineLevel="0" collapsed="false">
      <c r="B2219" s="16" t="n">
        <v>36</v>
      </c>
      <c r="C2219" s="17" t="n">
        <f aca="false">DATA_INICIO_SAFRA+($B2219-1)*DIAS_POR_SEMANA</f>
        <v>46510</v>
      </c>
      <c r="D2219" s="17" t="n">
        <f aca="false">$C2219+DIAS_POR_SEMANA-1</f>
        <v>46516</v>
      </c>
      <c r="E2219" s="15" t="s">
        <v>292</v>
      </c>
      <c r="F2219" s="8" t="str">
        <f aca="false">IFERROR(INDEX(CADASTRO_PIVOS!$C$6:$C$41,MATCH($E2219,CADASTRO_PIVOS!$B$6:$B$41,0)),"?")</f>
        <v>RM08</v>
      </c>
      <c r="G2219" s="8" t="str">
        <f aca="false">IFERROR(INDEX(CADASTRO_PIVOS!$D$6:$D$41,MATCH($E2219,CADASTRO_PIVOS!$B$6:$B$41,0)),"?")</f>
        <v>TR08</v>
      </c>
      <c r="H2219" s="20" t="n">
        <f aca="false">IFERROR(INDEX(CADASTRO_PIVOS!$E$6:$E$41,MATCH($E2219,CADASTRO_PIVOS!$B$6:$B$41,0)),0)</f>
        <v>64</v>
      </c>
      <c r="I2219" s="16" t="n">
        <f aca="false">IFERROR(SUMIFS(ROTACAO_RDM!$B$6:$B$71,ROTACAO_RDM!$D$6:$D$71,$E2219,ROTACAO_RDM!$I$6:$I$71,"&lt;="&amp;$C2219+INT(DIAS_POR_SEMANA/2),ROTACAO_RDM!$J$6:$J$71,"&gt;="&amp;$C2219+INT(DIAS_POR_SEMANA/2)),0)</f>
        <v>0</v>
      </c>
      <c r="J2219" s="16" t="n">
        <f aca="false">IFERROR(MATCH($I2219,ROTACAO_RDM!$B$6:$B$71,0),0)</f>
        <v>0</v>
      </c>
      <c r="K2219" s="8" t="str">
        <f aca="false">IF($J2219=0,"SEM CULTURA",INDEX(ROTACAO_RDM!$F$6:$F$71,$J2219))</f>
        <v>SEM CULTURA</v>
      </c>
      <c r="L2219" s="8" t="str">
        <f aca="false">IF($J2219=0,"",INDEX(ROTACAO_RDM!$G$6:$G$71,$J2219))</f>
        <v/>
      </c>
      <c r="M2219" s="17" t="str">
        <f aca="false">IF($J2219=0,"",INDEX(ROTACAO_RDM!$I$6:$I$71,$J2219))</f>
        <v/>
      </c>
      <c r="N2219" s="16" t="n">
        <f aca="false">IF($J2219=0,0,MAX(0,$C2219+INT(DIAS_POR_SEMANA/2)-INDEX(ROTACAO_RDM!$I$6:$I$71,$J2219)))</f>
        <v>0</v>
      </c>
      <c r="O2219" s="19" t="n">
        <f aca="false">IF($J2219=0,0,MIN(1,$N2219/MAX(1,INDEX(ROTACAO_RDM!$K$6:$K$71,$J2219))))</f>
        <v>0</v>
      </c>
      <c r="P2219" s="16" t="n">
        <f aca="false">IF($J2219=0,0,IFERROR(MATCH(INDEX(ROTACAO_RDM!$N$6:$N$71,$J2219),PARAMETROS_CULTURAS!$B$6:$B$28,0),0))</f>
        <v>0</v>
      </c>
      <c r="Q2219" s="8" t="str">
        <f aca="false">IF($P2219=0,"-",IF($O2219&lt;=INDEX(PARAMETROS_CULTURAS!$F$6:$F$28,$P2219),"INICIAL",IF($O2219&lt;=INDEX(PARAMETROS_CULTURAS!$F$6:$F$28,$P2219)+INDEX(PARAMETROS_CULTURAS!$G$6:$G$28,$P2219),"DESENVOLVIMENTO",IF($O2219&lt;=INDEX(PARAMETROS_CULTURAS!$F$6:$F$28,$P2219)+INDEX(PARAMETROS_CULTURAS!$G$6:$G$28,$P2219)+INDEX(PARAMETROS_CULTURAS!$H$6:$H$28,$P2219),"MEDIA","FINAL"))))</f>
        <v>-</v>
      </c>
      <c r="R2219" s="24" t="n">
        <f aca="false">IF($P2219=0,0,IF($O2219&lt;=INDEX(PARAMETROS_CULTURAS!$F$6:$F$28,$P2219),INDEX(PARAMETROS_CULTURAS!$K$6:$K$28,$P2219),IF($O2219&lt;=INDEX(PARAMETROS_CULTURAS!$F$6:$F$28,$P2219)+INDEX(PARAMETROS_CULTURAS!$G$6:$G$28,$P2219),INDEX(PARAMETROS_CULTURAS!$K$6:$K$28,$P2219)+(INDEX(PARAMETROS_CULTURAS!$L$6:$L$28,$P2219)-INDEX(PARAMETROS_CULTURAS!$K$6:$K$28,$P2219))*($O2219-INDEX(PARAMETROS_CULTURAS!$F$6:$F$28,$P2219))/MAX(INDEX(PARAMETROS_CULTURAS!$G$6:$G$28,$P2219),0.0001),IF($O2219&lt;=INDEX(PARAMETROS_CULTURAS!$F$6:$F$28,$P2219)+INDEX(PARAMETROS_CULTURAS!$G$6:$G$28,$P2219)+INDEX(PARAMETROS_CULTURAS!$H$6:$H$28,$P2219),INDEX(PARAMETROS_CULTURAS!$L$6:$L$28,$P2219),INDEX(PARAMETROS_CULTURAS!$L$6:$L$28,$P2219)+(INDEX(PARAMETROS_CULTURAS!$M$6:$M$28,$P2219)-INDEX(PARAMETROS_CULTURAS!$L$6:$L$28,$P2219))*($O2219-INDEX(PARAMETROS_CULTURAS!$F$6:$F$28,$P2219)-INDEX(PARAMETROS_CULTURAS!$G$6:$G$28,$P2219)-INDEX(PARAMETROS_CULTURAS!$H$6:$H$28,$P2219))/MAX(INDEX(PARAMETROS_CULTURAS!$I$6:$I$28,$P2219),0.0001)))))</f>
        <v>0</v>
      </c>
      <c r="S2219" s="18" t="n">
        <f aca="false">IFERROR(INDEX(SEMANAS!$H$6:$H$71,MATCH($B2219,SEMANAS!$B$6:$B$71,0)),0)</f>
        <v>29.4</v>
      </c>
      <c r="T2219" s="18" t="n">
        <f aca="false">$R2219*$S2219</f>
        <v>0</v>
      </c>
      <c r="U2219" s="18" t="n">
        <f aca="false">IFERROR(INDEX(SEMANAS!$I$6:$I$71,MATCH($B2219,SEMANAS!$B$6:$B$71,0)),0)</f>
        <v>3.36</v>
      </c>
      <c r="V2219" s="18" t="n">
        <f aca="false">IFERROR(INDEX(SEMANAS!$J$6:$J$71,MATCH($B2219,SEMANAS!$B$6:$B$71,0)),0)</f>
        <v>2.688</v>
      </c>
      <c r="W2219" s="18" t="n">
        <f aca="false">MAX(0,$T2219-$V2219)</f>
        <v>0</v>
      </c>
      <c r="X2219" s="19" t="n">
        <f aca="false">IFERROR(INDEX(CADASTRO_PIVOS!$K$6:$K$41,MATCH($E2219,CADASTRO_PIVOS!$B$6:$B$41,0)),EFICIENCIA_PADRAO)</f>
        <v>0.85</v>
      </c>
      <c r="Y2219" s="18" t="n">
        <f aca="false">IF($X2219&lt;=0,0,$W2219/$X2219)</f>
        <v>0</v>
      </c>
      <c r="Z2219" s="16" t="n">
        <f aca="false">$Y2219*$H2219*MM_PARA_M3_HA</f>
        <v>0</v>
      </c>
      <c r="AA2219" s="18" t="n">
        <f aca="false">IFERROR(INDEX(CADASTRO_PIVOS!$I$6:$I$41,MATCH($E2219,CADASTRO_PIVOS!$B$6:$B$41,0)),0)</f>
        <v>457.142857142857</v>
      </c>
      <c r="AB2219" s="18" t="n">
        <f aca="false">IF($Z2219&lt;=0,0,$Z2219/$AA2219)</f>
        <v>0</v>
      </c>
      <c r="AC2219" s="16" t="n">
        <f aca="false">IFERROR(INDEX(SEMANAS!$K$6:$K$71,MATCH($B2219,SEMANAS!$B$6:$B$71,0)),0)</f>
        <v>147</v>
      </c>
      <c r="AD2219" s="19" t="n">
        <f aca="false">IF($AC2219&lt;=0,0,$AB2219/$AC2219)</f>
        <v>0</v>
      </c>
      <c r="AE2219" s="8" t="str">
        <f aca="false">IF($K2219="SEM CULTURA","SEM CULTURA",IF($AA2219&lt;=0,"DADO PENDENTE",IF($AD2219&gt;LIMITE_CRITICO,"INVIAVEL",IF($AD2219&gt;LIMITE_ATENCAO,"CRITICO",IF($AD2219&gt;LIMITE_CONFORTAVEL,"ATENCAO","OK")))))</f>
        <v>SEM CULTURA</v>
      </c>
      <c r="AF2219" s="8" t="str">
        <f aca="false">$B2219&amp;"|"&amp;TEXT($AD2219,"0.000000")</f>
        <v>36|0.000000</v>
      </c>
      <c r="AG2219" s="18" t="n">
        <f aca="false">IF($K2219="SEM CULTURA",0,$T2219*$H2219)</f>
        <v>0</v>
      </c>
      <c r="AH2219" s="18" t="n">
        <f aca="false">IF($K2219="SEM CULTURA",0,$V2219*$H2219)</f>
        <v>0</v>
      </c>
      <c r="AI2219" s="18" t="n">
        <f aca="false">IF($K2219="SEM CULTURA",0,$W2219*$H2219)</f>
        <v>0</v>
      </c>
      <c r="AJ2219" s="18" t="n">
        <f aca="false">IF($K2219="SEM CULTURA",0,$S2219*$H2219)</f>
        <v>0</v>
      </c>
      <c r="AK2219" s="8" t="str">
        <f aca="false">$E2219&amp;"|"&amp;TEXT($AD2219,"0.000000")</f>
        <v>PV 135|0.000000</v>
      </c>
    </row>
    <row r="2220" customFormat="false" ht="15" hidden="false" customHeight="false" outlineLevel="0" collapsed="false">
      <c r="B2220" s="16" t="n">
        <v>37</v>
      </c>
      <c r="C2220" s="17" t="n">
        <f aca="false">DATA_INICIO_SAFRA+($B2220-1)*DIAS_POR_SEMANA</f>
        <v>46517</v>
      </c>
      <c r="D2220" s="17" t="n">
        <f aca="false">$C2220+DIAS_POR_SEMANA-1</f>
        <v>46523</v>
      </c>
      <c r="E2220" s="15" t="s">
        <v>292</v>
      </c>
      <c r="F2220" s="8" t="str">
        <f aca="false">IFERROR(INDEX(CADASTRO_PIVOS!$C$6:$C$41,MATCH($E2220,CADASTRO_PIVOS!$B$6:$B$41,0)),"?")</f>
        <v>RM08</v>
      </c>
      <c r="G2220" s="8" t="str">
        <f aca="false">IFERROR(INDEX(CADASTRO_PIVOS!$D$6:$D$41,MATCH($E2220,CADASTRO_PIVOS!$B$6:$B$41,0)),"?")</f>
        <v>TR08</v>
      </c>
      <c r="H2220" s="20" t="n">
        <f aca="false">IFERROR(INDEX(CADASTRO_PIVOS!$E$6:$E$41,MATCH($E2220,CADASTRO_PIVOS!$B$6:$B$41,0)),0)</f>
        <v>64</v>
      </c>
      <c r="I2220" s="16" t="n">
        <f aca="false">IFERROR(SUMIFS(ROTACAO_RDM!$B$6:$B$71,ROTACAO_RDM!$D$6:$D$71,$E2220,ROTACAO_RDM!$I$6:$I$71,"&lt;="&amp;$C2220+INT(DIAS_POR_SEMANA/2),ROTACAO_RDM!$J$6:$J$71,"&gt;="&amp;$C2220+INT(DIAS_POR_SEMANA/2)),0)</f>
        <v>0</v>
      </c>
      <c r="J2220" s="16" t="n">
        <f aca="false">IFERROR(MATCH($I2220,ROTACAO_RDM!$B$6:$B$71,0),0)</f>
        <v>0</v>
      </c>
      <c r="K2220" s="8" t="str">
        <f aca="false">IF($J2220=0,"SEM CULTURA",INDEX(ROTACAO_RDM!$F$6:$F$71,$J2220))</f>
        <v>SEM CULTURA</v>
      </c>
      <c r="L2220" s="8" t="str">
        <f aca="false">IF($J2220=0,"",INDEX(ROTACAO_RDM!$G$6:$G$71,$J2220))</f>
        <v/>
      </c>
      <c r="M2220" s="17" t="str">
        <f aca="false">IF($J2220=0,"",INDEX(ROTACAO_RDM!$I$6:$I$71,$J2220))</f>
        <v/>
      </c>
      <c r="N2220" s="16" t="n">
        <f aca="false">IF($J2220=0,0,MAX(0,$C2220+INT(DIAS_POR_SEMANA/2)-INDEX(ROTACAO_RDM!$I$6:$I$71,$J2220)))</f>
        <v>0</v>
      </c>
      <c r="O2220" s="19" t="n">
        <f aca="false">IF($J2220=0,0,MIN(1,$N2220/MAX(1,INDEX(ROTACAO_RDM!$K$6:$K$71,$J2220))))</f>
        <v>0</v>
      </c>
      <c r="P2220" s="16" t="n">
        <f aca="false">IF($J2220=0,0,IFERROR(MATCH(INDEX(ROTACAO_RDM!$N$6:$N$71,$J2220),PARAMETROS_CULTURAS!$B$6:$B$28,0),0))</f>
        <v>0</v>
      </c>
      <c r="Q2220" s="8" t="str">
        <f aca="false">IF($P2220=0,"-",IF($O2220&lt;=INDEX(PARAMETROS_CULTURAS!$F$6:$F$28,$P2220),"INICIAL",IF($O2220&lt;=INDEX(PARAMETROS_CULTURAS!$F$6:$F$28,$P2220)+INDEX(PARAMETROS_CULTURAS!$G$6:$G$28,$P2220),"DESENVOLVIMENTO",IF($O2220&lt;=INDEX(PARAMETROS_CULTURAS!$F$6:$F$28,$P2220)+INDEX(PARAMETROS_CULTURAS!$G$6:$G$28,$P2220)+INDEX(PARAMETROS_CULTURAS!$H$6:$H$28,$P2220),"MEDIA","FINAL"))))</f>
        <v>-</v>
      </c>
      <c r="R2220" s="24" t="n">
        <f aca="false">IF($P2220=0,0,IF($O2220&lt;=INDEX(PARAMETROS_CULTURAS!$F$6:$F$28,$P2220),INDEX(PARAMETROS_CULTURAS!$K$6:$K$28,$P2220),IF($O2220&lt;=INDEX(PARAMETROS_CULTURAS!$F$6:$F$28,$P2220)+INDEX(PARAMETROS_CULTURAS!$G$6:$G$28,$P2220),INDEX(PARAMETROS_CULTURAS!$K$6:$K$28,$P2220)+(INDEX(PARAMETROS_CULTURAS!$L$6:$L$28,$P2220)-INDEX(PARAMETROS_CULTURAS!$K$6:$K$28,$P2220))*($O2220-INDEX(PARAMETROS_CULTURAS!$F$6:$F$28,$P2220))/MAX(INDEX(PARAMETROS_CULTURAS!$G$6:$G$28,$P2220),0.0001),IF($O2220&lt;=INDEX(PARAMETROS_CULTURAS!$F$6:$F$28,$P2220)+INDEX(PARAMETROS_CULTURAS!$G$6:$G$28,$P2220)+INDEX(PARAMETROS_CULTURAS!$H$6:$H$28,$P2220),INDEX(PARAMETROS_CULTURAS!$L$6:$L$28,$P2220),INDEX(PARAMETROS_CULTURAS!$L$6:$L$28,$P2220)+(INDEX(PARAMETROS_CULTURAS!$M$6:$M$28,$P2220)-INDEX(PARAMETROS_CULTURAS!$L$6:$L$28,$P2220))*($O2220-INDEX(PARAMETROS_CULTURAS!$F$6:$F$28,$P2220)-INDEX(PARAMETROS_CULTURAS!$G$6:$G$28,$P2220)-INDEX(PARAMETROS_CULTURAS!$H$6:$H$28,$P2220))/MAX(INDEX(PARAMETROS_CULTURAS!$I$6:$I$28,$P2220),0.0001)))))</f>
        <v>0</v>
      </c>
      <c r="S2220" s="18" t="n">
        <f aca="false">IFERROR(INDEX(SEMANAS!$H$6:$H$71,MATCH($B2220,SEMANAS!$B$6:$B$71,0)),0)</f>
        <v>29.4</v>
      </c>
      <c r="T2220" s="18" t="n">
        <f aca="false">$R2220*$S2220</f>
        <v>0</v>
      </c>
      <c r="U2220" s="18" t="n">
        <f aca="false">IFERROR(INDEX(SEMANAS!$I$6:$I$71,MATCH($B2220,SEMANAS!$B$6:$B$71,0)),0)</f>
        <v>3.36</v>
      </c>
      <c r="V2220" s="18" t="n">
        <f aca="false">IFERROR(INDEX(SEMANAS!$J$6:$J$71,MATCH($B2220,SEMANAS!$B$6:$B$71,0)),0)</f>
        <v>2.688</v>
      </c>
      <c r="W2220" s="18" t="n">
        <f aca="false">MAX(0,$T2220-$V2220)</f>
        <v>0</v>
      </c>
      <c r="X2220" s="19" t="n">
        <f aca="false">IFERROR(INDEX(CADASTRO_PIVOS!$K$6:$K$41,MATCH($E2220,CADASTRO_PIVOS!$B$6:$B$41,0)),EFICIENCIA_PADRAO)</f>
        <v>0.85</v>
      </c>
      <c r="Y2220" s="18" t="n">
        <f aca="false">IF($X2220&lt;=0,0,$W2220/$X2220)</f>
        <v>0</v>
      </c>
      <c r="Z2220" s="16" t="n">
        <f aca="false">$Y2220*$H2220*MM_PARA_M3_HA</f>
        <v>0</v>
      </c>
      <c r="AA2220" s="18" t="n">
        <f aca="false">IFERROR(INDEX(CADASTRO_PIVOS!$I$6:$I$41,MATCH($E2220,CADASTRO_PIVOS!$B$6:$B$41,0)),0)</f>
        <v>457.142857142857</v>
      </c>
      <c r="AB2220" s="18" t="n">
        <f aca="false">IF($Z2220&lt;=0,0,$Z2220/$AA2220)</f>
        <v>0</v>
      </c>
      <c r="AC2220" s="16" t="n">
        <f aca="false">IFERROR(INDEX(SEMANAS!$K$6:$K$71,MATCH($B2220,SEMANAS!$B$6:$B$71,0)),0)</f>
        <v>147</v>
      </c>
      <c r="AD2220" s="19" t="n">
        <f aca="false">IF($AC2220&lt;=0,0,$AB2220/$AC2220)</f>
        <v>0</v>
      </c>
      <c r="AE2220" s="8" t="str">
        <f aca="false">IF($K2220="SEM CULTURA","SEM CULTURA",IF($AA2220&lt;=0,"DADO PENDENTE",IF($AD2220&gt;LIMITE_CRITICO,"INVIAVEL",IF($AD2220&gt;LIMITE_ATENCAO,"CRITICO",IF($AD2220&gt;LIMITE_CONFORTAVEL,"ATENCAO","OK")))))</f>
        <v>SEM CULTURA</v>
      </c>
      <c r="AF2220" s="8" t="str">
        <f aca="false">$B2220&amp;"|"&amp;TEXT($AD2220,"0.000000")</f>
        <v>37|0.000000</v>
      </c>
      <c r="AG2220" s="18" t="n">
        <f aca="false">IF($K2220="SEM CULTURA",0,$T2220*$H2220)</f>
        <v>0</v>
      </c>
      <c r="AH2220" s="18" t="n">
        <f aca="false">IF($K2220="SEM CULTURA",0,$V2220*$H2220)</f>
        <v>0</v>
      </c>
      <c r="AI2220" s="18" t="n">
        <f aca="false">IF($K2220="SEM CULTURA",0,$W2220*$H2220)</f>
        <v>0</v>
      </c>
      <c r="AJ2220" s="18" t="n">
        <f aca="false">IF($K2220="SEM CULTURA",0,$S2220*$H2220)</f>
        <v>0</v>
      </c>
      <c r="AK2220" s="8" t="str">
        <f aca="false">$E2220&amp;"|"&amp;TEXT($AD2220,"0.000000")</f>
        <v>PV 135|0.000000</v>
      </c>
    </row>
    <row r="2221" customFormat="false" ht="15" hidden="false" customHeight="false" outlineLevel="0" collapsed="false">
      <c r="B2221" s="16" t="n">
        <v>38</v>
      </c>
      <c r="C2221" s="17" t="n">
        <f aca="false">DATA_INICIO_SAFRA+($B2221-1)*DIAS_POR_SEMANA</f>
        <v>46524</v>
      </c>
      <c r="D2221" s="17" t="n">
        <f aca="false">$C2221+DIAS_POR_SEMANA-1</f>
        <v>46530</v>
      </c>
      <c r="E2221" s="15" t="s">
        <v>292</v>
      </c>
      <c r="F2221" s="8" t="str">
        <f aca="false">IFERROR(INDEX(CADASTRO_PIVOS!$C$6:$C$41,MATCH($E2221,CADASTRO_PIVOS!$B$6:$B$41,0)),"?")</f>
        <v>RM08</v>
      </c>
      <c r="G2221" s="8" t="str">
        <f aca="false">IFERROR(INDEX(CADASTRO_PIVOS!$D$6:$D$41,MATCH($E2221,CADASTRO_PIVOS!$B$6:$B$41,0)),"?")</f>
        <v>TR08</v>
      </c>
      <c r="H2221" s="20" t="n">
        <f aca="false">IFERROR(INDEX(CADASTRO_PIVOS!$E$6:$E$41,MATCH($E2221,CADASTRO_PIVOS!$B$6:$B$41,0)),0)</f>
        <v>64</v>
      </c>
      <c r="I2221" s="16" t="n">
        <f aca="false">IFERROR(SUMIFS(ROTACAO_RDM!$B$6:$B$71,ROTACAO_RDM!$D$6:$D$71,$E2221,ROTACAO_RDM!$I$6:$I$71,"&lt;="&amp;$C2221+INT(DIAS_POR_SEMANA/2),ROTACAO_RDM!$J$6:$J$71,"&gt;="&amp;$C2221+INT(DIAS_POR_SEMANA/2)),0)</f>
        <v>0</v>
      </c>
      <c r="J2221" s="16" t="n">
        <f aca="false">IFERROR(MATCH($I2221,ROTACAO_RDM!$B$6:$B$71,0),0)</f>
        <v>0</v>
      </c>
      <c r="K2221" s="8" t="str">
        <f aca="false">IF($J2221=0,"SEM CULTURA",INDEX(ROTACAO_RDM!$F$6:$F$71,$J2221))</f>
        <v>SEM CULTURA</v>
      </c>
      <c r="L2221" s="8" t="str">
        <f aca="false">IF($J2221=0,"",INDEX(ROTACAO_RDM!$G$6:$G$71,$J2221))</f>
        <v/>
      </c>
      <c r="M2221" s="17" t="str">
        <f aca="false">IF($J2221=0,"",INDEX(ROTACAO_RDM!$I$6:$I$71,$J2221))</f>
        <v/>
      </c>
      <c r="N2221" s="16" t="n">
        <f aca="false">IF($J2221=0,0,MAX(0,$C2221+INT(DIAS_POR_SEMANA/2)-INDEX(ROTACAO_RDM!$I$6:$I$71,$J2221)))</f>
        <v>0</v>
      </c>
      <c r="O2221" s="19" t="n">
        <f aca="false">IF($J2221=0,0,MIN(1,$N2221/MAX(1,INDEX(ROTACAO_RDM!$K$6:$K$71,$J2221))))</f>
        <v>0</v>
      </c>
      <c r="P2221" s="16" t="n">
        <f aca="false">IF($J2221=0,0,IFERROR(MATCH(INDEX(ROTACAO_RDM!$N$6:$N$71,$J2221),PARAMETROS_CULTURAS!$B$6:$B$28,0),0))</f>
        <v>0</v>
      </c>
      <c r="Q2221" s="8" t="str">
        <f aca="false">IF($P2221=0,"-",IF($O2221&lt;=INDEX(PARAMETROS_CULTURAS!$F$6:$F$28,$P2221),"INICIAL",IF($O2221&lt;=INDEX(PARAMETROS_CULTURAS!$F$6:$F$28,$P2221)+INDEX(PARAMETROS_CULTURAS!$G$6:$G$28,$P2221),"DESENVOLVIMENTO",IF($O2221&lt;=INDEX(PARAMETROS_CULTURAS!$F$6:$F$28,$P2221)+INDEX(PARAMETROS_CULTURAS!$G$6:$G$28,$P2221)+INDEX(PARAMETROS_CULTURAS!$H$6:$H$28,$P2221),"MEDIA","FINAL"))))</f>
        <v>-</v>
      </c>
      <c r="R2221" s="24" t="n">
        <f aca="false">IF($P2221=0,0,IF($O2221&lt;=INDEX(PARAMETROS_CULTURAS!$F$6:$F$28,$P2221),INDEX(PARAMETROS_CULTURAS!$K$6:$K$28,$P2221),IF($O2221&lt;=INDEX(PARAMETROS_CULTURAS!$F$6:$F$28,$P2221)+INDEX(PARAMETROS_CULTURAS!$G$6:$G$28,$P2221),INDEX(PARAMETROS_CULTURAS!$K$6:$K$28,$P2221)+(INDEX(PARAMETROS_CULTURAS!$L$6:$L$28,$P2221)-INDEX(PARAMETROS_CULTURAS!$K$6:$K$28,$P2221))*($O2221-INDEX(PARAMETROS_CULTURAS!$F$6:$F$28,$P2221))/MAX(INDEX(PARAMETROS_CULTURAS!$G$6:$G$28,$P2221),0.0001),IF($O2221&lt;=INDEX(PARAMETROS_CULTURAS!$F$6:$F$28,$P2221)+INDEX(PARAMETROS_CULTURAS!$G$6:$G$28,$P2221)+INDEX(PARAMETROS_CULTURAS!$H$6:$H$28,$P2221),INDEX(PARAMETROS_CULTURAS!$L$6:$L$28,$P2221),INDEX(PARAMETROS_CULTURAS!$L$6:$L$28,$P2221)+(INDEX(PARAMETROS_CULTURAS!$M$6:$M$28,$P2221)-INDEX(PARAMETROS_CULTURAS!$L$6:$L$28,$P2221))*($O2221-INDEX(PARAMETROS_CULTURAS!$F$6:$F$28,$P2221)-INDEX(PARAMETROS_CULTURAS!$G$6:$G$28,$P2221)-INDEX(PARAMETROS_CULTURAS!$H$6:$H$28,$P2221))/MAX(INDEX(PARAMETROS_CULTURAS!$I$6:$I$28,$P2221),0.0001)))))</f>
        <v>0</v>
      </c>
      <c r="S2221" s="18" t="n">
        <f aca="false">IFERROR(INDEX(SEMANAS!$H$6:$H$71,MATCH($B2221,SEMANAS!$B$6:$B$71,0)),0)</f>
        <v>29.4</v>
      </c>
      <c r="T2221" s="18" t="n">
        <f aca="false">$R2221*$S2221</f>
        <v>0</v>
      </c>
      <c r="U2221" s="18" t="n">
        <f aca="false">IFERROR(INDEX(SEMANAS!$I$6:$I$71,MATCH($B2221,SEMANAS!$B$6:$B$71,0)),0)</f>
        <v>3.36</v>
      </c>
      <c r="V2221" s="18" t="n">
        <f aca="false">IFERROR(INDEX(SEMANAS!$J$6:$J$71,MATCH($B2221,SEMANAS!$B$6:$B$71,0)),0)</f>
        <v>2.688</v>
      </c>
      <c r="W2221" s="18" t="n">
        <f aca="false">MAX(0,$T2221-$V2221)</f>
        <v>0</v>
      </c>
      <c r="X2221" s="19" t="n">
        <f aca="false">IFERROR(INDEX(CADASTRO_PIVOS!$K$6:$K$41,MATCH($E2221,CADASTRO_PIVOS!$B$6:$B$41,0)),EFICIENCIA_PADRAO)</f>
        <v>0.85</v>
      </c>
      <c r="Y2221" s="18" t="n">
        <f aca="false">IF($X2221&lt;=0,0,$W2221/$X2221)</f>
        <v>0</v>
      </c>
      <c r="Z2221" s="16" t="n">
        <f aca="false">$Y2221*$H2221*MM_PARA_M3_HA</f>
        <v>0</v>
      </c>
      <c r="AA2221" s="18" t="n">
        <f aca="false">IFERROR(INDEX(CADASTRO_PIVOS!$I$6:$I$41,MATCH($E2221,CADASTRO_PIVOS!$B$6:$B$41,0)),0)</f>
        <v>457.142857142857</v>
      </c>
      <c r="AB2221" s="18" t="n">
        <f aca="false">IF($Z2221&lt;=0,0,$Z2221/$AA2221)</f>
        <v>0</v>
      </c>
      <c r="AC2221" s="16" t="n">
        <f aca="false">IFERROR(INDEX(SEMANAS!$K$6:$K$71,MATCH($B2221,SEMANAS!$B$6:$B$71,0)),0)</f>
        <v>147</v>
      </c>
      <c r="AD2221" s="19" t="n">
        <f aca="false">IF($AC2221&lt;=0,0,$AB2221/$AC2221)</f>
        <v>0</v>
      </c>
      <c r="AE2221" s="8" t="str">
        <f aca="false">IF($K2221="SEM CULTURA","SEM CULTURA",IF($AA2221&lt;=0,"DADO PENDENTE",IF($AD2221&gt;LIMITE_CRITICO,"INVIAVEL",IF($AD2221&gt;LIMITE_ATENCAO,"CRITICO",IF($AD2221&gt;LIMITE_CONFORTAVEL,"ATENCAO","OK")))))</f>
        <v>SEM CULTURA</v>
      </c>
      <c r="AF2221" s="8" t="str">
        <f aca="false">$B2221&amp;"|"&amp;TEXT($AD2221,"0.000000")</f>
        <v>38|0.000000</v>
      </c>
      <c r="AG2221" s="18" t="n">
        <f aca="false">IF($K2221="SEM CULTURA",0,$T2221*$H2221)</f>
        <v>0</v>
      </c>
      <c r="AH2221" s="18" t="n">
        <f aca="false">IF($K2221="SEM CULTURA",0,$V2221*$H2221)</f>
        <v>0</v>
      </c>
      <c r="AI2221" s="18" t="n">
        <f aca="false">IF($K2221="SEM CULTURA",0,$W2221*$H2221)</f>
        <v>0</v>
      </c>
      <c r="AJ2221" s="18" t="n">
        <f aca="false">IF($K2221="SEM CULTURA",0,$S2221*$H2221)</f>
        <v>0</v>
      </c>
      <c r="AK2221" s="8" t="str">
        <f aca="false">$E2221&amp;"|"&amp;TEXT($AD2221,"0.000000")</f>
        <v>PV 135|0.000000</v>
      </c>
    </row>
    <row r="2222" customFormat="false" ht="15" hidden="false" customHeight="false" outlineLevel="0" collapsed="false">
      <c r="B2222" s="16" t="n">
        <v>39</v>
      </c>
      <c r="C2222" s="17" t="n">
        <f aca="false">DATA_INICIO_SAFRA+($B2222-1)*DIAS_POR_SEMANA</f>
        <v>46531</v>
      </c>
      <c r="D2222" s="17" t="n">
        <f aca="false">$C2222+DIAS_POR_SEMANA-1</f>
        <v>46537</v>
      </c>
      <c r="E2222" s="15" t="s">
        <v>292</v>
      </c>
      <c r="F2222" s="8" t="str">
        <f aca="false">IFERROR(INDEX(CADASTRO_PIVOS!$C$6:$C$41,MATCH($E2222,CADASTRO_PIVOS!$B$6:$B$41,0)),"?")</f>
        <v>RM08</v>
      </c>
      <c r="G2222" s="8" t="str">
        <f aca="false">IFERROR(INDEX(CADASTRO_PIVOS!$D$6:$D$41,MATCH($E2222,CADASTRO_PIVOS!$B$6:$B$41,0)),"?")</f>
        <v>TR08</v>
      </c>
      <c r="H2222" s="20" t="n">
        <f aca="false">IFERROR(INDEX(CADASTRO_PIVOS!$E$6:$E$41,MATCH($E2222,CADASTRO_PIVOS!$B$6:$B$41,0)),0)</f>
        <v>64</v>
      </c>
      <c r="I2222" s="16" t="n">
        <f aca="false">IFERROR(SUMIFS(ROTACAO_RDM!$B$6:$B$71,ROTACAO_RDM!$D$6:$D$71,$E2222,ROTACAO_RDM!$I$6:$I$71,"&lt;="&amp;$C2222+INT(DIAS_POR_SEMANA/2),ROTACAO_RDM!$J$6:$J$71,"&gt;="&amp;$C2222+INT(DIAS_POR_SEMANA/2)),0)</f>
        <v>0</v>
      </c>
      <c r="J2222" s="16" t="n">
        <f aca="false">IFERROR(MATCH($I2222,ROTACAO_RDM!$B$6:$B$71,0),0)</f>
        <v>0</v>
      </c>
      <c r="K2222" s="8" t="str">
        <f aca="false">IF($J2222=0,"SEM CULTURA",INDEX(ROTACAO_RDM!$F$6:$F$71,$J2222))</f>
        <v>SEM CULTURA</v>
      </c>
      <c r="L2222" s="8" t="str">
        <f aca="false">IF($J2222=0,"",INDEX(ROTACAO_RDM!$G$6:$G$71,$J2222))</f>
        <v/>
      </c>
      <c r="M2222" s="17" t="str">
        <f aca="false">IF($J2222=0,"",INDEX(ROTACAO_RDM!$I$6:$I$71,$J2222))</f>
        <v/>
      </c>
      <c r="N2222" s="16" t="n">
        <f aca="false">IF($J2222=0,0,MAX(0,$C2222+INT(DIAS_POR_SEMANA/2)-INDEX(ROTACAO_RDM!$I$6:$I$71,$J2222)))</f>
        <v>0</v>
      </c>
      <c r="O2222" s="19" t="n">
        <f aca="false">IF($J2222=0,0,MIN(1,$N2222/MAX(1,INDEX(ROTACAO_RDM!$K$6:$K$71,$J2222))))</f>
        <v>0</v>
      </c>
      <c r="P2222" s="16" t="n">
        <f aca="false">IF($J2222=0,0,IFERROR(MATCH(INDEX(ROTACAO_RDM!$N$6:$N$71,$J2222),PARAMETROS_CULTURAS!$B$6:$B$28,0),0))</f>
        <v>0</v>
      </c>
      <c r="Q2222" s="8" t="str">
        <f aca="false">IF($P2222=0,"-",IF($O2222&lt;=INDEX(PARAMETROS_CULTURAS!$F$6:$F$28,$P2222),"INICIAL",IF($O2222&lt;=INDEX(PARAMETROS_CULTURAS!$F$6:$F$28,$P2222)+INDEX(PARAMETROS_CULTURAS!$G$6:$G$28,$P2222),"DESENVOLVIMENTO",IF($O2222&lt;=INDEX(PARAMETROS_CULTURAS!$F$6:$F$28,$P2222)+INDEX(PARAMETROS_CULTURAS!$G$6:$G$28,$P2222)+INDEX(PARAMETROS_CULTURAS!$H$6:$H$28,$P2222),"MEDIA","FINAL"))))</f>
        <v>-</v>
      </c>
      <c r="R2222" s="24" t="n">
        <f aca="false">IF($P2222=0,0,IF($O2222&lt;=INDEX(PARAMETROS_CULTURAS!$F$6:$F$28,$P2222),INDEX(PARAMETROS_CULTURAS!$K$6:$K$28,$P2222),IF($O2222&lt;=INDEX(PARAMETROS_CULTURAS!$F$6:$F$28,$P2222)+INDEX(PARAMETROS_CULTURAS!$G$6:$G$28,$P2222),INDEX(PARAMETROS_CULTURAS!$K$6:$K$28,$P2222)+(INDEX(PARAMETROS_CULTURAS!$L$6:$L$28,$P2222)-INDEX(PARAMETROS_CULTURAS!$K$6:$K$28,$P2222))*($O2222-INDEX(PARAMETROS_CULTURAS!$F$6:$F$28,$P2222))/MAX(INDEX(PARAMETROS_CULTURAS!$G$6:$G$28,$P2222),0.0001),IF($O2222&lt;=INDEX(PARAMETROS_CULTURAS!$F$6:$F$28,$P2222)+INDEX(PARAMETROS_CULTURAS!$G$6:$G$28,$P2222)+INDEX(PARAMETROS_CULTURAS!$H$6:$H$28,$P2222),INDEX(PARAMETROS_CULTURAS!$L$6:$L$28,$P2222),INDEX(PARAMETROS_CULTURAS!$L$6:$L$28,$P2222)+(INDEX(PARAMETROS_CULTURAS!$M$6:$M$28,$P2222)-INDEX(PARAMETROS_CULTURAS!$L$6:$L$28,$P2222))*($O2222-INDEX(PARAMETROS_CULTURAS!$F$6:$F$28,$P2222)-INDEX(PARAMETROS_CULTURAS!$G$6:$G$28,$P2222)-INDEX(PARAMETROS_CULTURAS!$H$6:$H$28,$P2222))/MAX(INDEX(PARAMETROS_CULTURAS!$I$6:$I$28,$P2222),0.0001)))))</f>
        <v>0</v>
      </c>
      <c r="S2222" s="18" t="n">
        <f aca="false">IFERROR(INDEX(SEMANAS!$H$6:$H$71,MATCH($B2222,SEMANAS!$B$6:$B$71,0)),0)</f>
        <v>29.4</v>
      </c>
      <c r="T2222" s="18" t="n">
        <f aca="false">$R2222*$S2222</f>
        <v>0</v>
      </c>
      <c r="U2222" s="18" t="n">
        <f aca="false">IFERROR(INDEX(SEMANAS!$I$6:$I$71,MATCH($B2222,SEMANAS!$B$6:$B$71,0)),0)</f>
        <v>3.36</v>
      </c>
      <c r="V2222" s="18" t="n">
        <f aca="false">IFERROR(INDEX(SEMANAS!$J$6:$J$71,MATCH($B2222,SEMANAS!$B$6:$B$71,0)),0)</f>
        <v>2.688</v>
      </c>
      <c r="W2222" s="18" t="n">
        <f aca="false">MAX(0,$T2222-$V2222)</f>
        <v>0</v>
      </c>
      <c r="X2222" s="19" t="n">
        <f aca="false">IFERROR(INDEX(CADASTRO_PIVOS!$K$6:$K$41,MATCH($E2222,CADASTRO_PIVOS!$B$6:$B$41,0)),EFICIENCIA_PADRAO)</f>
        <v>0.85</v>
      </c>
      <c r="Y2222" s="18" t="n">
        <f aca="false">IF($X2222&lt;=0,0,$W2222/$X2222)</f>
        <v>0</v>
      </c>
      <c r="Z2222" s="16" t="n">
        <f aca="false">$Y2222*$H2222*MM_PARA_M3_HA</f>
        <v>0</v>
      </c>
      <c r="AA2222" s="18" t="n">
        <f aca="false">IFERROR(INDEX(CADASTRO_PIVOS!$I$6:$I$41,MATCH($E2222,CADASTRO_PIVOS!$B$6:$B$41,0)),0)</f>
        <v>457.142857142857</v>
      </c>
      <c r="AB2222" s="18" t="n">
        <f aca="false">IF($Z2222&lt;=0,0,$Z2222/$AA2222)</f>
        <v>0</v>
      </c>
      <c r="AC2222" s="16" t="n">
        <f aca="false">IFERROR(INDEX(SEMANAS!$K$6:$K$71,MATCH($B2222,SEMANAS!$B$6:$B$71,0)),0)</f>
        <v>147</v>
      </c>
      <c r="AD2222" s="19" t="n">
        <f aca="false">IF($AC2222&lt;=0,0,$AB2222/$AC2222)</f>
        <v>0</v>
      </c>
      <c r="AE2222" s="8" t="str">
        <f aca="false">IF($K2222="SEM CULTURA","SEM CULTURA",IF($AA2222&lt;=0,"DADO PENDENTE",IF($AD2222&gt;LIMITE_CRITICO,"INVIAVEL",IF($AD2222&gt;LIMITE_ATENCAO,"CRITICO",IF($AD2222&gt;LIMITE_CONFORTAVEL,"ATENCAO","OK")))))</f>
        <v>SEM CULTURA</v>
      </c>
      <c r="AF2222" s="8" t="str">
        <f aca="false">$B2222&amp;"|"&amp;TEXT($AD2222,"0.000000")</f>
        <v>39|0.000000</v>
      </c>
      <c r="AG2222" s="18" t="n">
        <f aca="false">IF($K2222="SEM CULTURA",0,$T2222*$H2222)</f>
        <v>0</v>
      </c>
      <c r="AH2222" s="18" t="n">
        <f aca="false">IF($K2222="SEM CULTURA",0,$V2222*$H2222)</f>
        <v>0</v>
      </c>
      <c r="AI2222" s="18" t="n">
        <f aca="false">IF($K2222="SEM CULTURA",0,$W2222*$H2222)</f>
        <v>0</v>
      </c>
      <c r="AJ2222" s="18" t="n">
        <f aca="false">IF($K2222="SEM CULTURA",0,$S2222*$H2222)</f>
        <v>0</v>
      </c>
      <c r="AK2222" s="8" t="str">
        <f aca="false">$E2222&amp;"|"&amp;TEXT($AD2222,"0.000000")</f>
        <v>PV 135|0.000000</v>
      </c>
    </row>
    <row r="2223" customFormat="false" ht="15" hidden="false" customHeight="false" outlineLevel="0" collapsed="false">
      <c r="B2223" s="16" t="n">
        <v>40</v>
      </c>
      <c r="C2223" s="17" t="n">
        <f aca="false">DATA_INICIO_SAFRA+($B2223-1)*DIAS_POR_SEMANA</f>
        <v>46538</v>
      </c>
      <c r="D2223" s="17" t="n">
        <f aca="false">$C2223+DIAS_POR_SEMANA-1</f>
        <v>46544</v>
      </c>
      <c r="E2223" s="15" t="s">
        <v>292</v>
      </c>
      <c r="F2223" s="8" t="str">
        <f aca="false">IFERROR(INDEX(CADASTRO_PIVOS!$C$6:$C$41,MATCH($E2223,CADASTRO_PIVOS!$B$6:$B$41,0)),"?")</f>
        <v>RM08</v>
      </c>
      <c r="G2223" s="8" t="str">
        <f aca="false">IFERROR(INDEX(CADASTRO_PIVOS!$D$6:$D$41,MATCH($E2223,CADASTRO_PIVOS!$B$6:$B$41,0)),"?")</f>
        <v>TR08</v>
      </c>
      <c r="H2223" s="20" t="n">
        <f aca="false">IFERROR(INDEX(CADASTRO_PIVOS!$E$6:$E$41,MATCH($E2223,CADASTRO_PIVOS!$B$6:$B$41,0)),0)</f>
        <v>64</v>
      </c>
      <c r="I2223" s="16" t="n">
        <f aca="false">IFERROR(SUMIFS(ROTACAO_RDM!$B$6:$B$71,ROTACAO_RDM!$D$6:$D$71,$E2223,ROTACAO_RDM!$I$6:$I$71,"&lt;="&amp;$C2223+INT(DIAS_POR_SEMANA/2),ROTACAO_RDM!$J$6:$J$71,"&gt;="&amp;$C2223+INT(DIAS_POR_SEMANA/2)),0)</f>
        <v>0</v>
      </c>
      <c r="J2223" s="16" t="n">
        <f aca="false">IFERROR(MATCH($I2223,ROTACAO_RDM!$B$6:$B$71,0),0)</f>
        <v>0</v>
      </c>
      <c r="K2223" s="8" t="str">
        <f aca="false">IF($J2223=0,"SEM CULTURA",INDEX(ROTACAO_RDM!$F$6:$F$71,$J2223))</f>
        <v>SEM CULTURA</v>
      </c>
      <c r="L2223" s="8" t="str">
        <f aca="false">IF($J2223=0,"",INDEX(ROTACAO_RDM!$G$6:$G$71,$J2223))</f>
        <v/>
      </c>
      <c r="M2223" s="17" t="str">
        <f aca="false">IF($J2223=0,"",INDEX(ROTACAO_RDM!$I$6:$I$71,$J2223))</f>
        <v/>
      </c>
      <c r="N2223" s="16" t="n">
        <f aca="false">IF($J2223=0,0,MAX(0,$C2223+INT(DIAS_POR_SEMANA/2)-INDEX(ROTACAO_RDM!$I$6:$I$71,$J2223)))</f>
        <v>0</v>
      </c>
      <c r="O2223" s="19" t="n">
        <f aca="false">IF($J2223=0,0,MIN(1,$N2223/MAX(1,INDEX(ROTACAO_RDM!$K$6:$K$71,$J2223))))</f>
        <v>0</v>
      </c>
      <c r="P2223" s="16" t="n">
        <f aca="false">IF($J2223=0,0,IFERROR(MATCH(INDEX(ROTACAO_RDM!$N$6:$N$71,$J2223),PARAMETROS_CULTURAS!$B$6:$B$28,0),0))</f>
        <v>0</v>
      </c>
      <c r="Q2223" s="8" t="str">
        <f aca="false">IF($P2223=0,"-",IF($O2223&lt;=INDEX(PARAMETROS_CULTURAS!$F$6:$F$28,$P2223),"INICIAL",IF($O2223&lt;=INDEX(PARAMETROS_CULTURAS!$F$6:$F$28,$P2223)+INDEX(PARAMETROS_CULTURAS!$G$6:$G$28,$P2223),"DESENVOLVIMENTO",IF($O2223&lt;=INDEX(PARAMETROS_CULTURAS!$F$6:$F$28,$P2223)+INDEX(PARAMETROS_CULTURAS!$G$6:$G$28,$P2223)+INDEX(PARAMETROS_CULTURAS!$H$6:$H$28,$P2223),"MEDIA","FINAL"))))</f>
        <v>-</v>
      </c>
      <c r="R2223" s="24" t="n">
        <f aca="false">IF($P2223=0,0,IF($O2223&lt;=INDEX(PARAMETROS_CULTURAS!$F$6:$F$28,$P2223),INDEX(PARAMETROS_CULTURAS!$K$6:$K$28,$P2223),IF($O2223&lt;=INDEX(PARAMETROS_CULTURAS!$F$6:$F$28,$P2223)+INDEX(PARAMETROS_CULTURAS!$G$6:$G$28,$P2223),INDEX(PARAMETROS_CULTURAS!$K$6:$K$28,$P2223)+(INDEX(PARAMETROS_CULTURAS!$L$6:$L$28,$P2223)-INDEX(PARAMETROS_CULTURAS!$K$6:$K$28,$P2223))*($O2223-INDEX(PARAMETROS_CULTURAS!$F$6:$F$28,$P2223))/MAX(INDEX(PARAMETROS_CULTURAS!$G$6:$G$28,$P2223),0.0001),IF($O2223&lt;=INDEX(PARAMETROS_CULTURAS!$F$6:$F$28,$P2223)+INDEX(PARAMETROS_CULTURAS!$G$6:$G$28,$P2223)+INDEX(PARAMETROS_CULTURAS!$H$6:$H$28,$P2223),INDEX(PARAMETROS_CULTURAS!$L$6:$L$28,$P2223),INDEX(PARAMETROS_CULTURAS!$L$6:$L$28,$P2223)+(INDEX(PARAMETROS_CULTURAS!$M$6:$M$28,$P2223)-INDEX(PARAMETROS_CULTURAS!$L$6:$L$28,$P2223))*($O2223-INDEX(PARAMETROS_CULTURAS!$F$6:$F$28,$P2223)-INDEX(PARAMETROS_CULTURAS!$G$6:$G$28,$P2223)-INDEX(PARAMETROS_CULTURAS!$H$6:$H$28,$P2223))/MAX(INDEX(PARAMETROS_CULTURAS!$I$6:$I$28,$P2223),0.0001)))))</f>
        <v>0</v>
      </c>
      <c r="S2223" s="18" t="n">
        <f aca="false">IFERROR(INDEX(SEMANAS!$H$6:$H$71,MATCH($B2223,SEMANAS!$B$6:$B$71,0)),0)</f>
        <v>28.2</v>
      </c>
      <c r="T2223" s="18" t="n">
        <f aca="false">$R2223*$S2223</f>
        <v>0</v>
      </c>
      <c r="U2223" s="18" t="n">
        <f aca="false">IFERROR(INDEX(SEMANAS!$I$6:$I$71,MATCH($B2223,SEMANAS!$B$6:$B$71,0)),0)</f>
        <v>1.5</v>
      </c>
      <c r="V2223" s="18" t="n">
        <f aca="false">IFERROR(INDEX(SEMANAS!$J$6:$J$71,MATCH($B2223,SEMANAS!$B$6:$B$71,0)),0)</f>
        <v>1.2</v>
      </c>
      <c r="W2223" s="18" t="n">
        <f aca="false">MAX(0,$T2223-$V2223)</f>
        <v>0</v>
      </c>
      <c r="X2223" s="19" t="n">
        <f aca="false">IFERROR(INDEX(CADASTRO_PIVOS!$K$6:$K$41,MATCH($E2223,CADASTRO_PIVOS!$B$6:$B$41,0)),EFICIENCIA_PADRAO)</f>
        <v>0.85</v>
      </c>
      <c r="Y2223" s="18" t="n">
        <f aca="false">IF($X2223&lt;=0,0,$W2223/$X2223)</f>
        <v>0</v>
      </c>
      <c r="Z2223" s="16" t="n">
        <f aca="false">$Y2223*$H2223*MM_PARA_M3_HA</f>
        <v>0</v>
      </c>
      <c r="AA2223" s="18" t="n">
        <f aca="false">IFERROR(INDEX(CADASTRO_PIVOS!$I$6:$I$41,MATCH($E2223,CADASTRO_PIVOS!$B$6:$B$41,0)),0)</f>
        <v>457.142857142857</v>
      </c>
      <c r="AB2223" s="18" t="n">
        <f aca="false">IF($Z2223&lt;=0,0,$Z2223/$AA2223)</f>
        <v>0</v>
      </c>
      <c r="AC2223" s="16" t="n">
        <f aca="false">IFERROR(INDEX(SEMANAS!$K$6:$K$71,MATCH($B2223,SEMANAS!$B$6:$B$71,0)),0)</f>
        <v>147</v>
      </c>
      <c r="AD2223" s="19" t="n">
        <f aca="false">IF($AC2223&lt;=0,0,$AB2223/$AC2223)</f>
        <v>0</v>
      </c>
      <c r="AE2223" s="8" t="str">
        <f aca="false">IF($K2223="SEM CULTURA","SEM CULTURA",IF($AA2223&lt;=0,"DADO PENDENTE",IF($AD2223&gt;LIMITE_CRITICO,"INVIAVEL",IF($AD2223&gt;LIMITE_ATENCAO,"CRITICO",IF($AD2223&gt;LIMITE_CONFORTAVEL,"ATENCAO","OK")))))</f>
        <v>SEM CULTURA</v>
      </c>
      <c r="AF2223" s="8" t="str">
        <f aca="false">$B2223&amp;"|"&amp;TEXT($AD2223,"0.000000")</f>
        <v>40|0.000000</v>
      </c>
      <c r="AG2223" s="18" t="n">
        <f aca="false">IF($K2223="SEM CULTURA",0,$T2223*$H2223)</f>
        <v>0</v>
      </c>
      <c r="AH2223" s="18" t="n">
        <f aca="false">IF($K2223="SEM CULTURA",0,$V2223*$H2223)</f>
        <v>0</v>
      </c>
      <c r="AI2223" s="18" t="n">
        <f aca="false">IF($K2223="SEM CULTURA",0,$W2223*$H2223)</f>
        <v>0</v>
      </c>
      <c r="AJ2223" s="18" t="n">
        <f aca="false">IF($K2223="SEM CULTURA",0,$S2223*$H2223)</f>
        <v>0</v>
      </c>
      <c r="AK2223" s="8" t="str">
        <f aca="false">$E2223&amp;"|"&amp;TEXT($AD2223,"0.000000")</f>
        <v>PV 135|0.000000</v>
      </c>
    </row>
    <row r="2224" customFormat="false" ht="15" hidden="false" customHeight="false" outlineLevel="0" collapsed="false">
      <c r="B2224" s="16" t="n">
        <v>41</v>
      </c>
      <c r="C2224" s="17" t="n">
        <f aca="false">DATA_INICIO_SAFRA+($B2224-1)*DIAS_POR_SEMANA</f>
        <v>46545</v>
      </c>
      <c r="D2224" s="17" t="n">
        <f aca="false">$C2224+DIAS_POR_SEMANA-1</f>
        <v>46551</v>
      </c>
      <c r="E2224" s="15" t="s">
        <v>292</v>
      </c>
      <c r="F2224" s="8" t="str">
        <f aca="false">IFERROR(INDEX(CADASTRO_PIVOS!$C$6:$C$41,MATCH($E2224,CADASTRO_PIVOS!$B$6:$B$41,0)),"?")</f>
        <v>RM08</v>
      </c>
      <c r="G2224" s="8" t="str">
        <f aca="false">IFERROR(INDEX(CADASTRO_PIVOS!$D$6:$D$41,MATCH($E2224,CADASTRO_PIVOS!$B$6:$B$41,0)),"?")</f>
        <v>TR08</v>
      </c>
      <c r="H2224" s="20" t="n">
        <f aca="false">IFERROR(INDEX(CADASTRO_PIVOS!$E$6:$E$41,MATCH($E2224,CADASTRO_PIVOS!$B$6:$B$41,0)),0)</f>
        <v>64</v>
      </c>
      <c r="I2224" s="16" t="n">
        <f aca="false">IFERROR(SUMIFS(ROTACAO_RDM!$B$6:$B$71,ROTACAO_RDM!$D$6:$D$71,$E2224,ROTACAO_RDM!$I$6:$I$71,"&lt;="&amp;$C2224+INT(DIAS_POR_SEMANA/2),ROTACAO_RDM!$J$6:$J$71,"&gt;="&amp;$C2224+INT(DIAS_POR_SEMANA/2)),0)</f>
        <v>0</v>
      </c>
      <c r="J2224" s="16" t="n">
        <f aca="false">IFERROR(MATCH($I2224,ROTACAO_RDM!$B$6:$B$71,0),0)</f>
        <v>0</v>
      </c>
      <c r="K2224" s="8" t="str">
        <f aca="false">IF($J2224=0,"SEM CULTURA",INDEX(ROTACAO_RDM!$F$6:$F$71,$J2224))</f>
        <v>SEM CULTURA</v>
      </c>
      <c r="L2224" s="8" t="str">
        <f aca="false">IF($J2224=0,"",INDEX(ROTACAO_RDM!$G$6:$G$71,$J2224))</f>
        <v/>
      </c>
      <c r="M2224" s="17" t="str">
        <f aca="false">IF($J2224=0,"",INDEX(ROTACAO_RDM!$I$6:$I$71,$J2224))</f>
        <v/>
      </c>
      <c r="N2224" s="16" t="n">
        <f aca="false">IF($J2224=0,0,MAX(0,$C2224+INT(DIAS_POR_SEMANA/2)-INDEX(ROTACAO_RDM!$I$6:$I$71,$J2224)))</f>
        <v>0</v>
      </c>
      <c r="O2224" s="19" t="n">
        <f aca="false">IF($J2224=0,0,MIN(1,$N2224/MAX(1,INDEX(ROTACAO_RDM!$K$6:$K$71,$J2224))))</f>
        <v>0</v>
      </c>
      <c r="P2224" s="16" t="n">
        <f aca="false">IF($J2224=0,0,IFERROR(MATCH(INDEX(ROTACAO_RDM!$N$6:$N$71,$J2224),PARAMETROS_CULTURAS!$B$6:$B$28,0),0))</f>
        <v>0</v>
      </c>
      <c r="Q2224" s="8" t="str">
        <f aca="false">IF($P2224=0,"-",IF($O2224&lt;=INDEX(PARAMETROS_CULTURAS!$F$6:$F$28,$P2224),"INICIAL",IF($O2224&lt;=INDEX(PARAMETROS_CULTURAS!$F$6:$F$28,$P2224)+INDEX(PARAMETROS_CULTURAS!$G$6:$G$28,$P2224),"DESENVOLVIMENTO",IF($O2224&lt;=INDEX(PARAMETROS_CULTURAS!$F$6:$F$28,$P2224)+INDEX(PARAMETROS_CULTURAS!$G$6:$G$28,$P2224)+INDEX(PARAMETROS_CULTURAS!$H$6:$H$28,$P2224),"MEDIA","FINAL"))))</f>
        <v>-</v>
      </c>
      <c r="R2224" s="24" t="n">
        <f aca="false">IF($P2224=0,0,IF($O2224&lt;=INDEX(PARAMETROS_CULTURAS!$F$6:$F$28,$P2224),INDEX(PARAMETROS_CULTURAS!$K$6:$K$28,$P2224),IF($O2224&lt;=INDEX(PARAMETROS_CULTURAS!$F$6:$F$28,$P2224)+INDEX(PARAMETROS_CULTURAS!$G$6:$G$28,$P2224),INDEX(PARAMETROS_CULTURAS!$K$6:$K$28,$P2224)+(INDEX(PARAMETROS_CULTURAS!$L$6:$L$28,$P2224)-INDEX(PARAMETROS_CULTURAS!$K$6:$K$28,$P2224))*($O2224-INDEX(PARAMETROS_CULTURAS!$F$6:$F$28,$P2224))/MAX(INDEX(PARAMETROS_CULTURAS!$G$6:$G$28,$P2224),0.0001),IF($O2224&lt;=INDEX(PARAMETROS_CULTURAS!$F$6:$F$28,$P2224)+INDEX(PARAMETROS_CULTURAS!$G$6:$G$28,$P2224)+INDEX(PARAMETROS_CULTURAS!$H$6:$H$28,$P2224),INDEX(PARAMETROS_CULTURAS!$L$6:$L$28,$P2224),INDEX(PARAMETROS_CULTURAS!$L$6:$L$28,$P2224)+(INDEX(PARAMETROS_CULTURAS!$M$6:$M$28,$P2224)-INDEX(PARAMETROS_CULTURAS!$L$6:$L$28,$P2224))*($O2224-INDEX(PARAMETROS_CULTURAS!$F$6:$F$28,$P2224)-INDEX(PARAMETROS_CULTURAS!$G$6:$G$28,$P2224)-INDEX(PARAMETROS_CULTURAS!$H$6:$H$28,$P2224))/MAX(INDEX(PARAMETROS_CULTURAS!$I$6:$I$28,$P2224),0.0001)))))</f>
        <v>0</v>
      </c>
      <c r="S2224" s="18" t="n">
        <f aca="false">IFERROR(INDEX(SEMANAS!$H$6:$H$71,MATCH($B2224,SEMANAS!$B$6:$B$71,0)),0)</f>
        <v>28</v>
      </c>
      <c r="T2224" s="18" t="n">
        <f aca="false">$R2224*$S2224</f>
        <v>0</v>
      </c>
      <c r="U2224" s="18" t="n">
        <f aca="false">IFERROR(INDEX(SEMANAS!$I$6:$I$71,MATCH($B2224,SEMANAS!$B$6:$B$71,0)),0)</f>
        <v>1.19</v>
      </c>
      <c r="V2224" s="18" t="n">
        <f aca="false">IFERROR(INDEX(SEMANAS!$J$6:$J$71,MATCH($B2224,SEMANAS!$B$6:$B$71,0)),0)</f>
        <v>0.952</v>
      </c>
      <c r="W2224" s="18" t="n">
        <f aca="false">MAX(0,$T2224-$V2224)</f>
        <v>0</v>
      </c>
      <c r="X2224" s="19" t="n">
        <f aca="false">IFERROR(INDEX(CADASTRO_PIVOS!$K$6:$K$41,MATCH($E2224,CADASTRO_PIVOS!$B$6:$B$41,0)),EFICIENCIA_PADRAO)</f>
        <v>0.85</v>
      </c>
      <c r="Y2224" s="18" t="n">
        <f aca="false">IF($X2224&lt;=0,0,$W2224/$X2224)</f>
        <v>0</v>
      </c>
      <c r="Z2224" s="16" t="n">
        <f aca="false">$Y2224*$H2224*MM_PARA_M3_HA</f>
        <v>0</v>
      </c>
      <c r="AA2224" s="18" t="n">
        <f aca="false">IFERROR(INDEX(CADASTRO_PIVOS!$I$6:$I$41,MATCH($E2224,CADASTRO_PIVOS!$B$6:$B$41,0)),0)</f>
        <v>457.142857142857</v>
      </c>
      <c r="AB2224" s="18" t="n">
        <f aca="false">IF($Z2224&lt;=0,0,$Z2224/$AA2224)</f>
        <v>0</v>
      </c>
      <c r="AC2224" s="16" t="n">
        <f aca="false">IFERROR(INDEX(SEMANAS!$K$6:$K$71,MATCH($B2224,SEMANAS!$B$6:$B$71,0)),0)</f>
        <v>147</v>
      </c>
      <c r="AD2224" s="19" t="n">
        <f aca="false">IF($AC2224&lt;=0,0,$AB2224/$AC2224)</f>
        <v>0</v>
      </c>
      <c r="AE2224" s="8" t="str">
        <f aca="false">IF($K2224="SEM CULTURA","SEM CULTURA",IF($AA2224&lt;=0,"DADO PENDENTE",IF($AD2224&gt;LIMITE_CRITICO,"INVIAVEL",IF($AD2224&gt;LIMITE_ATENCAO,"CRITICO",IF($AD2224&gt;LIMITE_CONFORTAVEL,"ATENCAO","OK")))))</f>
        <v>SEM CULTURA</v>
      </c>
      <c r="AF2224" s="8" t="str">
        <f aca="false">$B2224&amp;"|"&amp;TEXT($AD2224,"0.000000")</f>
        <v>41|0.000000</v>
      </c>
      <c r="AG2224" s="18" t="n">
        <f aca="false">IF($K2224="SEM CULTURA",0,$T2224*$H2224)</f>
        <v>0</v>
      </c>
      <c r="AH2224" s="18" t="n">
        <f aca="false">IF($K2224="SEM CULTURA",0,$V2224*$H2224)</f>
        <v>0</v>
      </c>
      <c r="AI2224" s="18" t="n">
        <f aca="false">IF($K2224="SEM CULTURA",0,$W2224*$H2224)</f>
        <v>0</v>
      </c>
      <c r="AJ2224" s="18" t="n">
        <f aca="false">IF($K2224="SEM CULTURA",0,$S2224*$H2224)</f>
        <v>0</v>
      </c>
      <c r="AK2224" s="8" t="str">
        <f aca="false">$E2224&amp;"|"&amp;TEXT($AD2224,"0.000000")</f>
        <v>PV 135|0.000000</v>
      </c>
    </row>
    <row r="2225" customFormat="false" ht="15" hidden="false" customHeight="false" outlineLevel="0" collapsed="false">
      <c r="B2225" s="16" t="n">
        <v>42</v>
      </c>
      <c r="C2225" s="17" t="n">
        <f aca="false">DATA_INICIO_SAFRA+($B2225-1)*DIAS_POR_SEMANA</f>
        <v>46552</v>
      </c>
      <c r="D2225" s="17" t="n">
        <f aca="false">$C2225+DIAS_POR_SEMANA-1</f>
        <v>46558</v>
      </c>
      <c r="E2225" s="15" t="s">
        <v>292</v>
      </c>
      <c r="F2225" s="8" t="str">
        <f aca="false">IFERROR(INDEX(CADASTRO_PIVOS!$C$6:$C$41,MATCH($E2225,CADASTRO_PIVOS!$B$6:$B$41,0)),"?")</f>
        <v>RM08</v>
      </c>
      <c r="G2225" s="8" t="str">
        <f aca="false">IFERROR(INDEX(CADASTRO_PIVOS!$D$6:$D$41,MATCH($E2225,CADASTRO_PIVOS!$B$6:$B$41,0)),"?")</f>
        <v>TR08</v>
      </c>
      <c r="H2225" s="20" t="n">
        <f aca="false">IFERROR(INDEX(CADASTRO_PIVOS!$E$6:$E$41,MATCH($E2225,CADASTRO_PIVOS!$B$6:$B$41,0)),0)</f>
        <v>64</v>
      </c>
      <c r="I2225" s="16" t="n">
        <f aca="false">IFERROR(SUMIFS(ROTACAO_RDM!$B$6:$B$71,ROTACAO_RDM!$D$6:$D$71,$E2225,ROTACAO_RDM!$I$6:$I$71,"&lt;="&amp;$C2225+INT(DIAS_POR_SEMANA/2),ROTACAO_RDM!$J$6:$J$71,"&gt;="&amp;$C2225+INT(DIAS_POR_SEMANA/2)),0)</f>
        <v>0</v>
      </c>
      <c r="J2225" s="16" t="n">
        <f aca="false">IFERROR(MATCH($I2225,ROTACAO_RDM!$B$6:$B$71,0),0)</f>
        <v>0</v>
      </c>
      <c r="K2225" s="8" t="str">
        <f aca="false">IF($J2225=0,"SEM CULTURA",INDEX(ROTACAO_RDM!$F$6:$F$71,$J2225))</f>
        <v>SEM CULTURA</v>
      </c>
      <c r="L2225" s="8" t="str">
        <f aca="false">IF($J2225=0,"",INDEX(ROTACAO_RDM!$G$6:$G$71,$J2225))</f>
        <v/>
      </c>
      <c r="M2225" s="17" t="str">
        <f aca="false">IF($J2225=0,"",INDEX(ROTACAO_RDM!$I$6:$I$71,$J2225))</f>
        <v/>
      </c>
      <c r="N2225" s="16" t="n">
        <f aca="false">IF($J2225=0,0,MAX(0,$C2225+INT(DIAS_POR_SEMANA/2)-INDEX(ROTACAO_RDM!$I$6:$I$71,$J2225)))</f>
        <v>0</v>
      </c>
      <c r="O2225" s="19" t="n">
        <f aca="false">IF($J2225=0,0,MIN(1,$N2225/MAX(1,INDEX(ROTACAO_RDM!$K$6:$K$71,$J2225))))</f>
        <v>0</v>
      </c>
      <c r="P2225" s="16" t="n">
        <f aca="false">IF($J2225=0,0,IFERROR(MATCH(INDEX(ROTACAO_RDM!$N$6:$N$71,$J2225),PARAMETROS_CULTURAS!$B$6:$B$28,0),0))</f>
        <v>0</v>
      </c>
      <c r="Q2225" s="8" t="str">
        <f aca="false">IF($P2225=0,"-",IF($O2225&lt;=INDEX(PARAMETROS_CULTURAS!$F$6:$F$28,$P2225),"INICIAL",IF($O2225&lt;=INDEX(PARAMETROS_CULTURAS!$F$6:$F$28,$P2225)+INDEX(PARAMETROS_CULTURAS!$G$6:$G$28,$P2225),"DESENVOLVIMENTO",IF($O2225&lt;=INDEX(PARAMETROS_CULTURAS!$F$6:$F$28,$P2225)+INDEX(PARAMETROS_CULTURAS!$G$6:$G$28,$P2225)+INDEX(PARAMETROS_CULTURAS!$H$6:$H$28,$P2225),"MEDIA","FINAL"))))</f>
        <v>-</v>
      </c>
      <c r="R2225" s="24" t="n">
        <f aca="false">IF($P2225=0,0,IF($O2225&lt;=INDEX(PARAMETROS_CULTURAS!$F$6:$F$28,$P2225),INDEX(PARAMETROS_CULTURAS!$K$6:$K$28,$P2225),IF($O2225&lt;=INDEX(PARAMETROS_CULTURAS!$F$6:$F$28,$P2225)+INDEX(PARAMETROS_CULTURAS!$G$6:$G$28,$P2225),INDEX(PARAMETROS_CULTURAS!$K$6:$K$28,$P2225)+(INDEX(PARAMETROS_CULTURAS!$L$6:$L$28,$P2225)-INDEX(PARAMETROS_CULTURAS!$K$6:$K$28,$P2225))*($O2225-INDEX(PARAMETROS_CULTURAS!$F$6:$F$28,$P2225))/MAX(INDEX(PARAMETROS_CULTURAS!$G$6:$G$28,$P2225),0.0001),IF($O2225&lt;=INDEX(PARAMETROS_CULTURAS!$F$6:$F$28,$P2225)+INDEX(PARAMETROS_CULTURAS!$G$6:$G$28,$P2225)+INDEX(PARAMETROS_CULTURAS!$H$6:$H$28,$P2225),INDEX(PARAMETROS_CULTURAS!$L$6:$L$28,$P2225),INDEX(PARAMETROS_CULTURAS!$L$6:$L$28,$P2225)+(INDEX(PARAMETROS_CULTURAS!$M$6:$M$28,$P2225)-INDEX(PARAMETROS_CULTURAS!$L$6:$L$28,$P2225))*($O2225-INDEX(PARAMETROS_CULTURAS!$F$6:$F$28,$P2225)-INDEX(PARAMETROS_CULTURAS!$G$6:$G$28,$P2225)-INDEX(PARAMETROS_CULTURAS!$H$6:$H$28,$P2225))/MAX(INDEX(PARAMETROS_CULTURAS!$I$6:$I$28,$P2225),0.0001)))))</f>
        <v>0</v>
      </c>
      <c r="S2225" s="18" t="n">
        <f aca="false">IFERROR(INDEX(SEMANAS!$H$6:$H$71,MATCH($B2225,SEMANAS!$B$6:$B$71,0)),0)</f>
        <v>28</v>
      </c>
      <c r="T2225" s="18" t="n">
        <f aca="false">$R2225*$S2225</f>
        <v>0</v>
      </c>
      <c r="U2225" s="18" t="n">
        <f aca="false">IFERROR(INDEX(SEMANAS!$I$6:$I$71,MATCH($B2225,SEMANAS!$B$6:$B$71,0)),0)</f>
        <v>1.19</v>
      </c>
      <c r="V2225" s="18" t="n">
        <f aca="false">IFERROR(INDEX(SEMANAS!$J$6:$J$71,MATCH($B2225,SEMANAS!$B$6:$B$71,0)),0)</f>
        <v>0.952</v>
      </c>
      <c r="W2225" s="18" t="n">
        <f aca="false">MAX(0,$T2225-$V2225)</f>
        <v>0</v>
      </c>
      <c r="X2225" s="19" t="n">
        <f aca="false">IFERROR(INDEX(CADASTRO_PIVOS!$K$6:$K$41,MATCH($E2225,CADASTRO_PIVOS!$B$6:$B$41,0)),EFICIENCIA_PADRAO)</f>
        <v>0.85</v>
      </c>
      <c r="Y2225" s="18" t="n">
        <f aca="false">IF($X2225&lt;=0,0,$W2225/$X2225)</f>
        <v>0</v>
      </c>
      <c r="Z2225" s="16" t="n">
        <f aca="false">$Y2225*$H2225*MM_PARA_M3_HA</f>
        <v>0</v>
      </c>
      <c r="AA2225" s="18" t="n">
        <f aca="false">IFERROR(INDEX(CADASTRO_PIVOS!$I$6:$I$41,MATCH($E2225,CADASTRO_PIVOS!$B$6:$B$41,0)),0)</f>
        <v>457.142857142857</v>
      </c>
      <c r="AB2225" s="18" t="n">
        <f aca="false">IF($Z2225&lt;=0,0,$Z2225/$AA2225)</f>
        <v>0</v>
      </c>
      <c r="AC2225" s="16" t="n">
        <f aca="false">IFERROR(INDEX(SEMANAS!$K$6:$K$71,MATCH($B2225,SEMANAS!$B$6:$B$71,0)),0)</f>
        <v>147</v>
      </c>
      <c r="AD2225" s="19" t="n">
        <f aca="false">IF($AC2225&lt;=0,0,$AB2225/$AC2225)</f>
        <v>0</v>
      </c>
      <c r="AE2225" s="8" t="str">
        <f aca="false">IF($K2225="SEM CULTURA","SEM CULTURA",IF($AA2225&lt;=0,"DADO PENDENTE",IF($AD2225&gt;LIMITE_CRITICO,"INVIAVEL",IF($AD2225&gt;LIMITE_ATENCAO,"CRITICO",IF($AD2225&gt;LIMITE_CONFORTAVEL,"ATENCAO","OK")))))</f>
        <v>SEM CULTURA</v>
      </c>
      <c r="AF2225" s="8" t="str">
        <f aca="false">$B2225&amp;"|"&amp;TEXT($AD2225,"0.000000")</f>
        <v>42|0.000000</v>
      </c>
      <c r="AG2225" s="18" t="n">
        <f aca="false">IF($K2225="SEM CULTURA",0,$T2225*$H2225)</f>
        <v>0</v>
      </c>
      <c r="AH2225" s="18" t="n">
        <f aca="false">IF($K2225="SEM CULTURA",0,$V2225*$H2225)</f>
        <v>0</v>
      </c>
      <c r="AI2225" s="18" t="n">
        <f aca="false">IF($K2225="SEM CULTURA",0,$W2225*$H2225)</f>
        <v>0</v>
      </c>
      <c r="AJ2225" s="18" t="n">
        <f aca="false">IF($K2225="SEM CULTURA",0,$S2225*$H2225)</f>
        <v>0</v>
      </c>
      <c r="AK2225" s="8" t="str">
        <f aca="false">$E2225&amp;"|"&amp;TEXT($AD2225,"0.000000")</f>
        <v>PV 135|0.000000</v>
      </c>
    </row>
    <row r="2226" customFormat="false" ht="15" hidden="false" customHeight="false" outlineLevel="0" collapsed="false">
      <c r="B2226" s="16" t="n">
        <v>43</v>
      </c>
      <c r="C2226" s="17" t="n">
        <f aca="false">DATA_INICIO_SAFRA+($B2226-1)*DIAS_POR_SEMANA</f>
        <v>46559</v>
      </c>
      <c r="D2226" s="17" t="n">
        <f aca="false">$C2226+DIAS_POR_SEMANA-1</f>
        <v>46565</v>
      </c>
      <c r="E2226" s="15" t="s">
        <v>292</v>
      </c>
      <c r="F2226" s="8" t="str">
        <f aca="false">IFERROR(INDEX(CADASTRO_PIVOS!$C$6:$C$41,MATCH($E2226,CADASTRO_PIVOS!$B$6:$B$41,0)),"?")</f>
        <v>RM08</v>
      </c>
      <c r="G2226" s="8" t="str">
        <f aca="false">IFERROR(INDEX(CADASTRO_PIVOS!$D$6:$D$41,MATCH($E2226,CADASTRO_PIVOS!$B$6:$B$41,0)),"?")</f>
        <v>TR08</v>
      </c>
      <c r="H2226" s="20" t="n">
        <f aca="false">IFERROR(INDEX(CADASTRO_PIVOS!$E$6:$E$41,MATCH($E2226,CADASTRO_PIVOS!$B$6:$B$41,0)),0)</f>
        <v>64</v>
      </c>
      <c r="I2226" s="16" t="n">
        <f aca="false">IFERROR(SUMIFS(ROTACAO_RDM!$B$6:$B$71,ROTACAO_RDM!$D$6:$D$71,$E2226,ROTACAO_RDM!$I$6:$I$71,"&lt;="&amp;$C2226+INT(DIAS_POR_SEMANA/2),ROTACAO_RDM!$J$6:$J$71,"&gt;="&amp;$C2226+INT(DIAS_POR_SEMANA/2)),0)</f>
        <v>0</v>
      </c>
      <c r="J2226" s="16" t="n">
        <f aca="false">IFERROR(MATCH($I2226,ROTACAO_RDM!$B$6:$B$71,0),0)</f>
        <v>0</v>
      </c>
      <c r="K2226" s="8" t="str">
        <f aca="false">IF($J2226=0,"SEM CULTURA",INDEX(ROTACAO_RDM!$F$6:$F$71,$J2226))</f>
        <v>SEM CULTURA</v>
      </c>
      <c r="L2226" s="8" t="str">
        <f aca="false">IF($J2226=0,"",INDEX(ROTACAO_RDM!$G$6:$G$71,$J2226))</f>
        <v/>
      </c>
      <c r="M2226" s="17" t="str">
        <f aca="false">IF($J2226=0,"",INDEX(ROTACAO_RDM!$I$6:$I$71,$J2226))</f>
        <v/>
      </c>
      <c r="N2226" s="16" t="n">
        <f aca="false">IF($J2226=0,0,MAX(0,$C2226+INT(DIAS_POR_SEMANA/2)-INDEX(ROTACAO_RDM!$I$6:$I$71,$J2226)))</f>
        <v>0</v>
      </c>
      <c r="O2226" s="19" t="n">
        <f aca="false">IF($J2226=0,0,MIN(1,$N2226/MAX(1,INDEX(ROTACAO_RDM!$K$6:$K$71,$J2226))))</f>
        <v>0</v>
      </c>
      <c r="P2226" s="16" t="n">
        <f aca="false">IF($J2226=0,0,IFERROR(MATCH(INDEX(ROTACAO_RDM!$N$6:$N$71,$J2226),PARAMETROS_CULTURAS!$B$6:$B$28,0),0))</f>
        <v>0</v>
      </c>
      <c r="Q2226" s="8" t="str">
        <f aca="false">IF($P2226=0,"-",IF($O2226&lt;=INDEX(PARAMETROS_CULTURAS!$F$6:$F$28,$P2226),"INICIAL",IF($O2226&lt;=INDEX(PARAMETROS_CULTURAS!$F$6:$F$28,$P2226)+INDEX(PARAMETROS_CULTURAS!$G$6:$G$28,$P2226),"DESENVOLVIMENTO",IF($O2226&lt;=INDEX(PARAMETROS_CULTURAS!$F$6:$F$28,$P2226)+INDEX(PARAMETROS_CULTURAS!$G$6:$G$28,$P2226)+INDEX(PARAMETROS_CULTURAS!$H$6:$H$28,$P2226),"MEDIA","FINAL"))))</f>
        <v>-</v>
      </c>
      <c r="R2226" s="24" t="n">
        <f aca="false">IF($P2226=0,0,IF($O2226&lt;=INDEX(PARAMETROS_CULTURAS!$F$6:$F$28,$P2226),INDEX(PARAMETROS_CULTURAS!$K$6:$K$28,$P2226),IF($O2226&lt;=INDEX(PARAMETROS_CULTURAS!$F$6:$F$28,$P2226)+INDEX(PARAMETROS_CULTURAS!$G$6:$G$28,$P2226),INDEX(PARAMETROS_CULTURAS!$K$6:$K$28,$P2226)+(INDEX(PARAMETROS_CULTURAS!$L$6:$L$28,$P2226)-INDEX(PARAMETROS_CULTURAS!$K$6:$K$28,$P2226))*($O2226-INDEX(PARAMETROS_CULTURAS!$F$6:$F$28,$P2226))/MAX(INDEX(PARAMETROS_CULTURAS!$G$6:$G$28,$P2226),0.0001),IF($O2226&lt;=INDEX(PARAMETROS_CULTURAS!$F$6:$F$28,$P2226)+INDEX(PARAMETROS_CULTURAS!$G$6:$G$28,$P2226)+INDEX(PARAMETROS_CULTURAS!$H$6:$H$28,$P2226),INDEX(PARAMETROS_CULTURAS!$L$6:$L$28,$P2226),INDEX(PARAMETROS_CULTURAS!$L$6:$L$28,$P2226)+(INDEX(PARAMETROS_CULTURAS!$M$6:$M$28,$P2226)-INDEX(PARAMETROS_CULTURAS!$L$6:$L$28,$P2226))*($O2226-INDEX(PARAMETROS_CULTURAS!$F$6:$F$28,$P2226)-INDEX(PARAMETROS_CULTURAS!$G$6:$G$28,$P2226)-INDEX(PARAMETROS_CULTURAS!$H$6:$H$28,$P2226))/MAX(INDEX(PARAMETROS_CULTURAS!$I$6:$I$28,$P2226),0.0001)))))</f>
        <v>0</v>
      </c>
      <c r="S2226" s="18" t="n">
        <f aca="false">IFERROR(INDEX(SEMANAS!$H$6:$H$71,MATCH($B2226,SEMANAS!$B$6:$B$71,0)),0)</f>
        <v>28</v>
      </c>
      <c r="T2226" s="18" t="n">
        <f aca="false">$R2226*$S2226</f>
        <v>0</v>
      </c>
      <c r="U2226" s="18" t="n">
        <f aca="false">IFERROR(INDEX(SEMANAS!$I$6:$I$71,MATCH($B2226,SEMANAS!$B$6:$B$71,0)),0)</f>
        <v>1.19</v>
      </c>
      <c r="V2226" s="18" t="n">
        <f aca="false">IFERROR(INDEX(SEMANAS!$J$6:$J$71,MATCH($B2226,SEMANAS!$B$6:$B$71,0)),0)</f>
        <v>0.952</v>
      </c>
      <c r="W2226" s="18" t="n">
        <f aca="false">MAX(0,$T2226-$V2226)</f>
        <v>0</v>
      </c>
      <c r="X2226" s="19" t="n">
        <f aca="false">IFERROR(INDEX(CADASTRO_PIVOS!$K$6:$K$41,MATCH($E2226,CADASTRO_PIVOS!$B$6:$B$41,0)),EFICIENCIA_PADRAO)</f>
        <v>0.85</v>
      </c>
      <c r="Y2226" s="18" t="n">
        <f aca="false">IF($X2226&lt;=0,0,$W2226/$X2226)</f>
        <v>0</v>
      </c>
      <c r="Z2226" s="16" t="n">
        <f aca="false">$Y2226*$H2226*MM_PARA_M3_HA</f>
        <v>0</v>
      </c>
      <c r="AA2226" s="18" t="n">
        <f aca="false">IFERROR(INDEX(CADASTRO_PIVOS!$I$6:$I$41,MATCH($E2226,CADASTRO_PIVOS!$B$6:$B$41,0)),0)</f>
        <v>457.142857142857</v>
      </c>
      <c r="AB2226" s="18" t="n">
        <f aca="false">IF($Z2226&lt;=0,0,$Z2226/$AA2226)</f>
        <v>0</v>
      </c>
      <c r="AC2226" s="16" t="n">
        <f aca="false">IFERROR(INDEX(SEMANAS!$K$6:$K$71,MATCH($B2226,SEMANAS!$B$6:$B$71,0)),0)</f>
        <v>147</v>
      </c>
      <c r="AD2226" s="19" t="n">
        <f aca="false">IF($AC2226&lt;=0,0,$AB2226/$AC2226)</f>
        <v>0</v>
      </c>
      <c r="AE2226" s="8" t="str">
        <f aca="false">IF($K2226="SEM CULTURA","SEM CULTURA",IF($AA2226&lt;=0,"DADO PENDENTE",IF($AD2226&gt;LIMITE_CRITICO,"INVIAVEL",IF($AD2226&gt;LIMITE_ATENCAO,"CRITICO",IF($AD2226&gt;LIMITE_CONFORTAVEL,"ATENCAO","OK")))))</f>
        <v>SEM CULTURA</v>
      </c>
      <c r="AF2226" s="8" t="str">
        <f aca="false">$B2226&amp;"|"&amp;TEXT($AD2226,"0.000000")</f>
        <v>43|0.000000</v>
      </c>
      <c r="AG2226" s="18" t="n">
        <f aca="false">IF($K2226="SEM CULTURA",0,$T2226*$H2226)</f>
        <v>0</v>
      </c>
      <c r="AH2226" s="18" t="n">
        <f aca="false">IF($K2226="SEM CULTURA",0,$V2226*$H2226)</f>
        <v>0</v>
      </c>
      <c r="AI2226" s="18" t="n">
        <f aca="false">IF($K2226="SEM CULTURA",0,$W2226*$H2226)</f>
        <v>0</v>
      </c>
      <c r="AJ2226" s="18" t="n">
        <f aca="false">IF($K2226="SEM CULTURA",0,$S2226*$H2226)</f>
        <v>0</v>
      </c>
      <c r="AK2226" s="8" t="str">
        <f aca="false">$E2226&amp;"|"&amp;TEXT($AD2226,"0.000000")</f>
        <v>PV 135|0.000000</v>
      </c>
    </row>
    <row r="2227" customFormat="false" ht="15" hidden="false" customHeight="false" outlineLevel="0" collapsed="false">
      <c r="B2227" s="16" t="n">
        <v>44</v>
      </c>
      <c r="C2227" s="17" t="n">
        <f aca="false">DATA_INICIO_SAFRA+($B2227-1)*DIAS_POR_SEMANA</f>
        <v>46566</v>
      </c>
      <c r="D2227" s="17" t="n">
        <f aca="false">$C2227+DIAS_POR_SEMANA-1</f>
        <v>46572</v>
      </c>
      <c r="E2227" s="15" t="s">
        <v>292</v>
      </c>
      <c r="F2227" s="8" t="str">
        <f aca="false">IFERROR(INDEX(CADASTRO_PIVOS!$C$6:$C$41,MATCH($E2227,CADASTRO_PIVOS!$B$6:$B$41,0)),"?")</f>
        <v>RM08</v>
      </c>
      <c r="G2227" s="8" t="str">
        <f aca="false">IFERROR(INDEX(CADASTRO_PIVOS!$D$6:$D$41,MATCH($E2227,CADASTRO_PIVOS!$B$6:$B$41,0)),"?")</f>
        <v>TR08</v>
      </c>
      <c r="H2227" s="20" t="n">
        <f aca="false">IFERROR(INDEX(CADASTRO_PIVOS!$E$6:$E$41,MATCH($E2227,CADASTRO_PIVOS!$B$6:$B$41,0)),0)</f>
        <v>64</v>
      </c>
      <c r="I2227" s="16" t="n">
        <f aca="false">IFERROR(SUMIFS(ROTACAO_RDM!$B$6:$B$71,ROTACAO_RDM!$D$6:$D$71,$E2227,ROTACAO_RDM!$I$6:$I$71,"&lt;="&amp;$C2227+INT(DIAS_POR_SEMANA/2),ROTACAO_RDM!$J$6:$J$71,"&gt;="&amp;$C2227+INT(DIAS_POR_SEMANA/2)),0)</f>
        <v>0</v>
      </c>
      <c r="J2227" s="16" t="n">
        <f aca="false">IFERROR(MATCH($I2227,ROTACAO_RDM!$B$6:$B$71,0),0)</f>
        <v>0</v>
      </c>
      <c r="K2227" s="8" t="str">
        <f aca="false">IF($J2227=0,"SEM CULTURA",INDEX(ROTACAO_RDM!$F$6:$F$71,$J2227))</f>
        <v>SEM CULTURA</v>
      </c>
      <c r="L2227" s="8" t="str">
        <f aca="false">IF($J2227=0,"",INDEX(ROTACAO_RDM!$G$6:$G$71,$J2227))</f>
        <v/>
      </c>
      <c r="M2227" s="17" t="str">
        <f aca="false">IF($J2227=0,"",INDEX(ROTACAO_RDM!$I$6:$I$71,$J2227))</f>
        <v/>
      </c>
      <c r="N2227" s="16" t="n">
        <f aca="false">IF($J2227=0,0,MAX(0,$C2227+INT(DIAS_POR_SEMANA/2)-INDEX(ROTACAO_RDM!$I$6:$I$71,$J2227)))</f>
        <v>0</v>
      </c>
      <c r="O2227" s="19" t="n">
        <f aca="false">IF($J2227=0,0,MIN(1,$N2227/MAX(1,INDEX(ROTACAO_RDM!$K$6:$K$71,$J2227))))</f>
        <v>0</v>
      </c>
      <c r="P2227" s="16" t="n">
        <f aca="false">IF($J2227=0,0,IFERROR(MATCH(INDEX(ROTACAO_RDM!$N$6:$N$71,$J2227),PARAMETROS_CULTURAS!$B$6:$B$28,0),0))</f>
        <v>0</v>
      </c>
      <c r="Q2227" s="8" t="str">
        <f aca="false">IF($P2227=0,"-",IF($O2227&lt;=INDEX(PARAMETROS_CULTURAS!$F$6:$F$28,$P2227),"INICIAL",IF($O2227&lt;=INDEX(PARAMETROS_CULTURAS!$F$6:$F$28,$P2227)+INDEX(PARAMETROS_CULTURAS!$G$6:$G$28,$P2227),"DESENVOLVIMENTO",IF($O2227&lt;=INDEX(PARAMETROS_CULTURAS!$F$6:$F$28,$P2227)+INDEX(PARAMETROS_CULTURAS!$G$6:$G$28,$P2227)+INDEX(PARAMETROS_CULTURAS!$H$6:$H$28,$P2227),"MEDIA","FINAL"))))</f>
        <v>-</v>
      </c>
      <c r="R2227" s="24" t="n">
        <f aca="false">IF($P2227=0,0,IF($O2227&lt;=INDEX(PARAMETROS_CULTURAS!$F$6:$F$28,$P2227),INDEX(PARAMETROS_CULTURAS!$K$6:$K$28,$P2227),IF($O2227&lt;=INDEX(PARAMETROS_CULTURAS!$F$6:$F$28,$P2227)+INDEX(PARAMETROS_CULTURAS!$G$6:$G$28,$P2227),INDEX(PARAMETROS_CULTURAS!$K$6:$K$28,$P2227)+(INDEX(PARAMETROS_CULTURAS!$L$6:$L$28,$P2227)-INDEX(PARAMETROS_CULTURAS!$K$6:$K$28,$P2227))*($O2227-INDEX(PARAMETROS_CULTURAS!$F$6:$F$28,$P2227))/MAX(INDEX(PARAMETROS_CULTURAS!$G$6:$G$28,$P2227),0.0001),IF($O2227&lt;=INDEX(PARAMETROS_CULTURAS!$F$6:$F$28,$P2227)+INDEX(PARAMETROS_CULTURAS!$G$6:$G$28,$P2227)+INDEX(PARAMETROS_CULTURAS!$H$6:$H$28,$P2227),INDEX(PARAMETROS_CULTURAS!$L$6:$L$28,$P2227),INDEX(PARAMETROS_CULTURAS!$L$6:$L$28,$P2227)+(INDEX(PARAMETROS_CULTURAS!$M$6:$M$28,$P2227)-INDEX(PARAMETROS_CULTURAS!$L$6:$L$28,$P2227))*($O2227-INDEX(PARAMETROS_CULTURAS!$F$6:$F$28,$P2227)-INDEX(PARAMETROS_CULTURAS!$G$6:$G$28,$P2227)-INDEX(PARAMETROS_CULTURAS!$H$6:$H$28,$P2227))/MAX(INDEX(PARAMETROS_CULTURAS!$I$6:$I$28,$P2227),0.0001)))))</f>
        <v>0</v>
      </c>
      <c r="S2227" s="18" t="n">
        <f aca="false">IFERROR(INDEX(SEMANAS!$H$6:$H$71,MATCH($B2227,SEMANAS!$B$6:$B$71,0)),0)</f>
        <v>29.2</v>
      </c>
      <c r="T2227" s="18" t="n">
        <f aca="false">$R2227*$S2227</f>
        <v>0</v>
      </c>
      <c r="U2227" s="18" t="n">
        <f aca="false">IFERROR(INDEX(SEMANAS!$I$6:$I$71,MATCH($B2227,SEMANAS!$B$6:$B$71,0)),0)</f>
        <v>0.91</v>
      </c>
      <c r="V2227" s="18" t="n">
        <f aca="false">IFERROR(INDEX(SEMANAS!$J$6:$J$71,MATCH($B2227,SEMANAS!$B$6:$B$71,0)),0)</f>
        <v>0.728</v>
      </c>
      <c r="W2227" s="18" t="n">
        <f aca="false">MAX(0,$T2227-$V2227)</f>
        <v>0</v>
      </c>
      <c r="X2227" s="19" t="n">
        <f aca="false">IFERROR(INDEX(CADASTRO_PIVOS!$K$6:$K$41,MATCH($E2227,CADASTRO_PIVOS!$B$6:$B$41,0)),EFICIENCIA_PADRAO)</f>
        <v>0.85</v>
      </c>
      <c r="Y2227" s="18" t="n">
        <f aca="false">IF($X2227&lt;=0,0,$W2227/$X2227)</f>
        <v>0</v>
      </c>
      <c r="Z2227" s="16" t="n">
        <f aca="false">$Y2227*$H2227*MM_PARA_M3_HA</f>
        <v>0</v>
      </c>
      <c r="AA2227" s="18" t="n">
        <f aca="false">IFERROR(INDEX(CADASTRO_PIVOS!$I$6:$I$41,MATCH($E2227,CADASTRO_PIVOS!$B$6:$B$41,0)),0)</f>
        <v>457.142857142857</v>
      </c>
      <c r="AB2227" s="18" t="n">
        <f aca="false">IF($Z2227&lt;=0,0,$Z2227/$AA2227)</f>
        <v>0</v>
      </c>
      <c r="AC2227" s="16" t="n">
        <f aca="false">IFERROR(INDEX(SEMANAS!$K$6:$K$71,MATCH($B2227,SEMANAS!$B$6:$B$71,0)),0)</f>
        <v>147</v>
      </c>
      <c r="AD2227" s="19" t="n">
        <f aca="false">IF($AC2227&lt;=0,0,$AB2227/$AC2227)</f>
        <v>0</v>
      </c>
      <c r="AE2227" s="8" t="str">
        <f aca="false">IF($K2227="SEM CULTURA","SEM CULTURA",IF($AA2227&lt;=0,"DADO PENDENTE",IF($AD2227&gt;LIMITE_CRITICO,"INVIAVEL",IF($AD2227&gt;LIMITE_ATENCAO,"CRITICO",IF($AD2227&gt;LIMITE_CONFORTAVEL,"ATENCAO","OK")))))</f>
        <v>SEM CULTURA</v>
      </c>
      <c r="AF2227" s="8" t="str">
        <f aca="false">$B2227&amp;"|"&amp;TEXT($AD2227,"0.000000")</f>
        <v>44|0.000000</v>
      </c>
      <c r="AG2227" s="18" t="n">
        <f aca="false">IF($K2227="SEM CULTURA",0,$T2227*$H2227)</f>
        <v>0</v>
      </c>
      <c r="AH2227" s="18" t="n">
        <f aca="false">IF($K2227="SEM CULTURA",0,$V2227*$H2227)</f>
        <v>0</v>
      </c>
      <c r="AI2227" s="18" t="n">
        <f aca="false">IF($K2227="SEM CULTURA",0,$W2227*$H2227)</f>
        <v>0</v>
      </c>
      <c r="AJ2227" s="18" t="n">
        <f aca="false">IF($K2227="SEM CULTURA",0,$S2227*$H2227)</f>
        <v>0</v>
      </c>
      <c r="AK2227" s="8" t="str">
        <f aca="false">$E2227&amp;"|"&amp;TEXT($AD2227,"0.000000")</f>
        <v>PV 135|0.000000</v>
      </c>
    </row>
    <row r="2228" customFormat="false" ht="15" hidden="false" customHeight="false" outlineLevel="0" collapsed="false">
      <c r="B2228" s="16" t="n">
        <v>45</v>
      </c>
      <c r="C2228" s="17" t="n">
        <f aca="false">DATA_INICIO_SAFRA+($B2228-1)*DIAS_POR_SEMANA</f>
        <v>46573</v>
      </c>
      <c r="D2228" s="17" t="n">
        <f aca="false">$C2228+DIAS_POR_SEMANA-1</f>
        <v>46579</v>
      </c>
      <c r="E2228" s="15" t="s">
        <v>292</v>
      </c>
      <c r="F2228" s="8" t="str">
        <f aca="false">IFERROR(INDEX(CADASTRO_PIVOS!$C$6:$C$41,MATCH($E2228,CADASTRO_PIVOS!$B$6:$B$41,0)),"?")</f>
        <v>RM08</v>
      </c>
      <c r="G2228" s="8" t="str">
        <f aca="false">IFERROR(INDEX(CADASTRO_PIVOS!$D$6:$D$41,MATCH($E2228,CADASTRO_PIVOS!$B$6:$B$41,0)),"?")</f>
        <v>TR08</v>
      </c>
      <c r="H2228" s="20" t="n">
        <f aca="false">IFERROR(INDEX(CADASTRO_PIVOS!$E$6:$E$41,MATCH($E2228,CADASTRO_PIVOS!$B$6:$B$41,0)),0)</f>
        <v>64</v>
      </c>
      <c r="I2228" s="16" t="n">
        <f aca="false">IFERROR(SUMIFS(ROTACAO_RDM!$B$6:$B$71,ROTACAO_RDM!$D$6:$D$71,$E2228,ROTACAO_RDM!$I$6:$I$71,"&lt;="&amp;$C2228+INT(DIAS_POR_SEMANA/2),ROTACAO_RDM!$J$6:$J$71,"&gt;="&amp;$C2228+INT(DIAS_POR_SEMANA/2)),0)</f>
        <v>0</v>
      </c>
      <c r="J2228" s="16" t="n">
        <f aca="false">IFERROR(MATCH($I2228,ROTACAO_RDM!$B$6:$B$71,0),0)</f>
        <v>0</v>
      </c>
      <c r="K2228" s="8" t="str">
        <f aca="false">IF($J2228=0,"SEM CULTURA",INDEX(ROTACAO_RDM!$F$6:$F$71,$J2228))</f>
        <v>SEM CULTURA</v>
      </c>
      <c r="L2228" s="8" t="str">
        <f aca="false">IF($J2228=0,"",INDEX(ROTACAO_RDM!$G$6:$G$71,$J2228))</f>
        <v/>
      </c>
      <c r="M2228" s="17" t="str">
        <f aca="false">IF($J2228=0,"",INDEX(ROTACAO_RDM!$I$6:$I$71,$J2228))</f>
        <v/>
      </c>
      <c r="N2228" s="16" t="n">
        <f aca="false">IF($J2228=0,0,MAX(0,$C2228+INT(DIAS_POR_SEMANA/2)-INDEX(ROTACAO_RDM!$I$6:$I$71,$J2228)))</f>
        <v>0</v>
      </c>
      <c r="O2228" s="19" t="n">
        <f aca="false">IF($J2228=0,0,MIN(1,$N2228/MAX(1,INDEX(ROTACAO_RDM!$K$6:$K$71,$J2228))))</f>
        <v>0</v>
      </c>
      <c r="P2228" s="16" t="n">
        <f aca="false">IF($J2228=0,0,IFERROR(MATCH(INDEX(ROTACAO_RDM!$N$6:$N$71,$J2228),PARAMETROS_CULTURAS!$B$6:$B$28,0),0))</f>
        <v>0</v>
      </c>
      <c r="Q2228" s="8" t="str">
        <f aca="false">IF($P2228=0,"-",IF($O2228&lt;=INDEX(PARAMETROS_CULTURAS!$F$6:$F$28,$P2228),"INICIAL",IF($O2228&lt;=INDEX(PARAMETROS_CULTURAS!$F$6:$F$28,$P2228)+INDEX(PARAMETROS_CULTURAS!$G$6:$G$28,$P2228),"DESENVOLVIMENTO",IF($O2228&lt;=INDEX(PARAMETROS_CULTURAS!$F$6:$F$28,$P2228)+INDEX(PARAMETROS_CULTURAS!$G$6:$G$28,$P2228)+INDEX(PARAMETROS_CULTURAS!$H$6:$H$28,$P2228),"MEDIA","FINAL"))))</f>
        <v>-</v>
      </c>
      <c r="R2228" s="24" t="n">
        <f aca="false">IF($P2228=0,0,IF($O2228&lt;=INDEX(PARAMETROS_CULTURAS!$F$6:$F$28,$P2228),INDEX(PARAMETROS_CULTURAS!$K$6:$K$28,$P2228),IF($O2228&lt;=INDEX(PARAMETROS_CULTURAS!$F$6:$F$28,$P2228)+INDEX(PARAMETROS_CULTURAS!$G$6:$G$28,$P2228),INDEX(PARAMETROS_CULTURAS!$K$6:$K$28,$P2228)+(INDEX(PARAMETROS_CULTURAS!$L$6:$L$28,$P2228)-INDEX(PARAMETROS_CULTURAS!$K$6:$K$28,$P2228))*($O2228-INDEX(PARAMETROS_CULTURAS!$F$6:$F$28,$P2228))/MAX(INDEX(PARAMETROS_CULTURAS!$G$6:$G$28,$P2228),0.0001),IF($O2228&lt;=INDEX(PARAMETROS_CULTURAS!$F$6:$F$28,$P2228)+INDEX(PARAMETROS_CULTURAS!$G$6:$G$28,$P2228)+INDEX(PARAMETROS_CULTURAS!$H$6:$H$28,$P2228),INDEX(PARAMETROS_CULTURAS!$L$6:$L$28,$P2228),INDEX(PARAMETROS_CULTURAS!$L$6:$L$28,$P2228)+(INDEX(PARAMETROS_CULTURAS!$M$6:$M$28,$P2228)-INDEX(PARAMETROS_CULTURAS!$L$6:$L$28,$P2228))*($O2228-INDEX(PARAMETROS_CULTURAS!$F$6:$F$28,$P2228)-INDEX(PARAMETROS_CULTURAS!$G$6:$G$28,$P2228)-INDEX(PARAMETROS_CULTURAS!$H$6:$H$28,$P2228))/MAX(INDEX(PARAMETROS_CULTURAS!$I$6:$I$28,$P2228),0.0001)))))</f>
        <v>0</v>
      </c>
      <c r="S2228" s="18" t="n">
        <f aca="false">IFERROR(INDEX(SEMANAS!$H$6:$H$71,MATCH($B2228,SEMANAS!$B$6:$B$71,0)),0)</f>
        <v>30.1</v>
      </c>
      <c r="T2228" s="18" t="n">
        <f aca="false">$R2228*$S2228</f>
        <v>0</v>
      </c>
      <c r="U2228" s="18" t="n">
        <f aca="false">IFERROR(INDEX(SEMANAS!$I$6:$I$71,MATCH($B2228,SEMANAS!$B$6:$B$71,0)),0)</f>
        <v>0.7</v>
      </c>
      <c r="V2228" s="18" t="n">
        <f aca="false">IFERROR(INDEX(SEMANAS!$J$6:$J$71,MATCH($B2228,SEMANAS!$B$6:$B$71,0)),0)</f>
        <v>0.56</v>
      </c>
      <c r="W2228" s="18" t="n">
        <f aca="false">MAX(0,$T2228-$V2228)</f>
        <v>0</v>
      </c>
      <c r="X2228" s="19" t="n">
        <f aca="false">IFERROR(INDEX(CADASTRO_PIVOS!$K$6:$K$41,MATCH($E2228,CADASTRO_PIVOS!$B$6:$B$41,0)),EFICIENCIA_PADRAO)</f>
        <v>0.85</v>
      </c>
      <c r="Y2228" s="18" t="n">
        <f aca="false">IF($X2228&lt;=0,0,$W2228/$X2228)</f>
        <v>0</v>
      </c>
      <c r="Z2228" s="16" t="n">
        <f aca="false">$Y2228*$H2228*MM_PARA_M3_HA</f>
        <v>0</v>
      </c>
      <c r="AA2228" s="18" t="n">
        <f aca="false">IFERROR(INDEX(CADASTRO_PIVOS!$I$6:$I$41,MATCH($E2228,CADASTRO_PIVOS!$B$6:$B$41,0)),0)</f>
        <v>457.142857142857</v>
      </c>
      <c r="AB2228" s="18" t="n">
        <f aca="false">IF($Z2228&lt;=0,0,$Z2228/$AA2228)</f>
        <v>0</v>
      </c>
      <c r="AC2228" s="16" t="n">
        <f aca="false">IFERROR(INDEX(SEMANAS!$K$6:$K$71,MATCH($B2228,SEMANAS!$B$6:$B$71,0)),0)</f>
        <v>147</v>
      </c>
      <c r="AD2228" s="19" t="n">
        <f aca="false">IF($AC2228&lt;=0,0,$AB2228/$AC2228)</f>
        <v>0</v>
      </c>
      <c r="AE2228" s="8" t="str">
        <f aca="false">IF($K2228="SEM CULTURA","SEM CULTURA",IF($AA2228&lt;=0,"DADO PENDENTE",IF($AD2228&gt;LIMITE_CRITICO,"INVIAVEL",IF($AD2228&gt;LIMITE_ATENCAO,"CRITICO",IF($AD2228&gt;LIMITE_CONFORTAVEL,"ATENCAO","OK")))))</f>
        <v>SEM CULTURA</v>
      </c>
      <c r="AF2228" s="8" t="str">
        <f aca="false">$B2228&amp;"|"&amp;TEXT($AD2228,"0.000000")</f>
        <v>45|0.000000</v>
      </c>
      <c r="AG2228" s="18" t="n">
        <f aca="false">IF($K2228="SEM CULTURA",0,$T2228*$H2228)</f>
        <v>0</v>
      </c>
      <c r="AH2228" s="18" t="n">
        <f aca="false">IF($K2228="SEM CULTURA",0,$V2228*$H2228)</f>
        <v>0</v>
      </c>
      <c r="AI2228" s="18" t="n">
        <f aca="false">IF($K2228="SEM CULTURA",0,$W2228*$H2228)</f>
        <v>0</v>
      </c>
      <c r="AJ2228" s="18" t="n">
        <f aca="false">IF($K2228="SEM CULTURA",0,$S2228*$H2228)</f>
        <v>0</v>
      </c>
      <c r="AK2228" s="8" t="str">
        <f aca="false">$E2228&amp;"|"&amp;TEXT($AD2228,"0.000000")</f>
        <v>PV 135|0.000000</v>
      </c>
    </row>
    <row r="2229" customFormat="false" ht="15" hidden="false" customHeight="false" outlineLevel="0" collapsed="false">
      <c r="B2229" s="16" t="n">
        <v>46</v>
      </c>
      <c r="C2229" s="17" t="n">
        <f aca="false">DATA_INICIO_SAFRA+($B2229-1)*DIAS_POR_SEMANA</f>
        <v>46580</v>
      </c>
      <c r="D2229" s="17" t="n">
        <f aca="false">$C2229+DIAS_POR_SEMANA-1</f>
        <v>46586</v>
      </c>
      <c r="E2229" s="15" t="s">
        <v>292</v>
      </c>
      <c r="F2229" s="8" t="str">
        <f aca="false">IFERROR(INDEX(CADASTRO_PIVOS!$C$6:$C$41,MATCH($E2229,CADASTRO_PIVOS!$B$6:$B$41,0)),"?")</f>
        <v>RM08</v>
      </c>
      <c r="G2229" s="8" t="str">
        <f aca="false">IFERROR(INDEX(CADASTRO_PIVOS!$D$6:$D$41,MATCH($E2229,CADASTRO_PIVOS!$B$6:$B$41,0)),"?")</f>
        <v>TR08</v>
      </c>
      <c r="H2229" s="20" t="n">
        <f aca="false">IFERROR(INDEX(CADASTRO_PIVOS!$E$6:$E$41,MATCH($E2229,CADASTRO_PIVOS!$B$6:$B$41,0)),0)</f>
        <v>64</v>
      </c>
      <c r="I2229" s="16" t="n">
        <f aca="false">IFERROR(SUMIFS(ROTACAO_RDM!$B$6:$B$71,ROTACAO_RDM!$D$6:$D$71,$E2229,ROTACAO_RDM!$I$6:$I$71,"&lt;="&amp;$C2229+INT(DIAS_POR_SEMANA/2),ROTACAO_RDM!$J$6:$J$71,"&gt;="&amp;$C2229+INT(DIAS_POR_SEMANA/2)),0)</f>
        <v>0</v>
      </c>
      <c r="J2229" s="16" t="n">
        <f aca="false">IFERROR(MATCH($I2229,ROTACAO_RDM!$B$6:$B$71,0),0)</f>
        <v>0</v>
      </c>
      <c r="K2229" s="8" t="str">
        <f aca="false">IF($J2229=0,"SEM CULTURA",INDEX(ROTACAO_RDM!$F$6:$F$71,$J2229))</f>
        <v>SEM CULTURA</v>
      </c>
      <c r="L2229" s="8" t="str">
        <f aca="false">IF($J2229=0,"",INDEX(ROTACAO_RDM!$G$6:$G$71,$J2229))</f>
        <v/>
      </c>
      <c r="M2229" s="17" t="str">
        <f aca="false">IF($J2229=0,"",INDEX(ROTACAO_RDM!$I$6:$I$71,$J2229))</f>
        <v/>
      </c>
      <c r="N2229" s="16" t="n">
        <f aca="false">IF($J2229=0,0,MAX(0,$C2229+INT(DIAS_POR_SEMANA/2)-INDEX(ROTACAO_RDM!$I$6:$I$71,$J2229)))</f>
        <v>0</v>
      </c>
      <c r="O2229" s="19" t="n">
        <f aca="false">IF($J2229=0,0,MIN(1,$N2229/MAX(1,INDEX(ROTACAO_RDM!$K$6:$K$71,$J2229))))</f>
        <v>0</v>
      </c>
      <c r="P2229" s="16" t="n">
        <f aca="false">IF($J2229=0,0,IFERROR(MATCH(INDEX(ROTACAO_RDM!$N$6:$N$71,$J2229),PARAMETROS_CULTURAS!$B$6:$B$28,0),0))</f>
        <v>0</v>
      </c>
      <c r="Q2229" s="8" t="str">
        <f aca="false">IF($P2229=0,"-",IF($O2229&lt;=INDEX(PARAMETROS_CULTURAS!$F$6:$F$28,$P2229),"INICIAL",IF($O2229&lt;=INDEX(PARAMETROS_CULTURAS!$F$6:$F$28,$P2229)+INDEX(PARAMETROS_CULTURAS!$G$6:$G$28,$P2229),"DESENVOLVIMENTO",IF($O2229&lt;=INDEX(PARAMETROS_CULTURAS!$F$6:$F$28,$P2229)+INDEX(PARAMETROS_CULTURAS!$G$6:$G$28,$P2229)+INDEX(PARAMETROS_CULTURAS!$H$6:$H$28,$P2229),"MEDIA","FINAL"))))</f>
        <v>-</v>
      </c>
      <c r="R2229" s="24" t="n">
        <f aca="false">IF($P2229=0,0,IF($O2229&lt;=INDEX(PARAMETROS_CULTURAS!$F$6:$F$28,$P2229),INDEX(PARAMETROS_CULTURAS!$K$6:$K$28,$P2229),IF($O2229&lt;=INDEX(PARAMETROS_CULTURAS!$F$6:$F$28,$P2229)+INDEX(PARAMETROS_CULTURAS!$G$6:$G$28,$P2229),INDEX(PARAMETROS_CULTURAS!$K$6:$K$28,$P2229)+(INDEX(PARAMETROS_CULTURAS!$L$6:$L$28,$P2229)-INDEX(PARAMETROS_CULTURAS!$K$6:$K$28,$P2229))*($O2229-INDEX(PARAMETROS_CULTURAS!$F$6:$F$28,$P2229))/MAX(INDEX(PARAMETROS_CULTURAS!$G$6:$G$28,$P2229),0.0001),IF($O2229&lt;=INDEX(PARAMETROS_CULTURAS!$F$6:$F$28,$P2229)+INDEX(PARAMETROS_CULTURAS!$G$6:$G$28,$P2229)+INDEX(PARAMETROS_CULTURAS!$H$6:$H$28,$P2229),INDEX(PARAMETROS_CULTURAS!$L$6:$L$28,$P2229),INDEX(PARAMETROS_CULTURAS!$L$6:$L$28,$P2229)+(INDEX(PARAMETROS_CULTURAS!$M$6:$M$28,$P2229)-INDEX(PARAMETROS_CULTURAS!$L$6:$L$28,$P2229))*($O2229-INDEX(PARAMETROS_CULTURAS!$F$6:$F$28,$P2229)-INDEX(PARAMETROS_CULTURAS!$G$6:$G$28,$P2229)-INDEX(PARAMETROS_CULTURAS!$H$6:$H$28,$P2229))/MAX(INDEX(PARAMETROS_CULTURAS!$I$6:$I$28,$P2229),0.0001)))))</f>
        <v>0</v>
      </c>
      <c r="S2229" s="18" t="n">
        <f aca="false">IFERROR(INDEX(SEMANAS!$H$6:$H$71,MATCH($B2229,SEMANAS!$B$6:$B$71,0)),0)</f>
        <v>30.1</v>
      </c>
      <c r="T2229" s="18" t="n">
        <f aca="false">$R2229*$S2229</f>
        <v>0</v>
      </c>
      <c r="U2229" s="18" t="n">
        <f aca="false">IFERROR(INDEX(SEMANAS!$I$6:$I$71,MATCH($B2229,SEMANAS!$B$6:$B$71,0)),0)</f>
        <v>0.7</v>
      </c>
      <c r="V2229" s="18" t="n">
        <f aca="false">IFERROR(INDEX(SEMANAS!$J$6:$J$71,MATCH($B2229,SEMANAS!$B$6:$B$71,0)),0)</f>
        <v>0.56</v>
      </c>
      <c r="W2229" s="18" t="n">
        <f aca="false">MAX(0,$T2229-$V2229)</f>
        <v>0</v>
      </c>
      <c r="X2229" s="19" t="n">
        <f aca="false">IFERROR(INDEX(CADASTRO_PIVOS!$K$6:$K$41,MATCH($E2229,CADASTRO_PIVOS!$B$6:$B$41,0)),EFICIENCIA_PADRAO)</f>
        <v>0.85</v>
      </c>
      <c r="Y2229" s="18" t="n">
        <f aca="false">IF($X2229&lt;=0,0,$W2229/$X2229)</f>
        <v>0</v>
      </c>
      <c r="Z2229" s="16" t="n">
        <f aca="false">$Y2229*$H2229*MM_PARA_M3_HA</f>
        <v>0</v>
      </c>
      <c r="AA2229" s="18" t="n">
        <f aca="false">IFERROR(INDEX(CADASTRO_PIVOS!$I$6:$I$41,MATCH($E2229,CADASTRO_PIVOS!$B$6:$B$41,0)),0)</f>
        <v>457.142857142857</v>
      </c>
      <c r="AB2229" s="18" t="n">
        <f aca="false">IF($Z2229&lt;=0,0,$Z2229/$AA2229)</f>
        <v>0</v>
      </c>
      <c r="AC2229" s="16" t="n">
        <f aca="false">IFERROR(INDEX(SEMANAS!$K$6:$K$71,MATCH($B2229,SEMANAS!$B$6:$B$71,0)),0)</f>
        <v>147</v>
      </c>
      <c r="AD2229" s="19" t="n">
        <f aca="false">IF($AC2229&lt;=0,0,$AB2229/$AC2229)</f>
        <v>0</v>
      </c>
      <c r="AE2229" s="8" t="str">
        <f aca="false">IF($K2229="SEM CULTURA","SEM CULTURA",IF($AA2229&lt;=0,"DADO PENDENTE",IF($AD2229&gt;LIMITE_CRITICO,"INVIAVEL",IF($AD2229&gt;LIMITE_ATENCAO,"CRITICO",IF($AD2229&gt;LIMITE_CONFORTAVEL,"ATENCAO","OK")))))</f>
        <v>SEM CULTURA</v>
      </c>
      <c r="AF2229" s="8" t="str">
        <f aca="false">$B2229&amp;"|"&amp;TEXT($AD2229,"0.000000")</f>
        <v>46|0.000000</v>
      </c>
      <c r="AG2229" s="18" t="n">
        <f aca="false">IF($K2229="SEM CULTURA",0,$T2229*$H2229)</f>
        <v>0</v>
      </c>
      <c r="AH2229" s="18" t="n">
        <f aca="false">IF($K2229="SEM CULTURA",0,$V2229*$H2229)</f>
        <v>0</v>
      </c>
      <c r="AI2229" s="18" t="n">
        <f aca="false">IF($K2229="SEM CULTURA",0,$W2229*$H2229)</f>
        <v>0</v>
      </c>
      <c r="AJ2229" s="18" t="n">
        <f aca="false">IF($K2229="SEM CULTURA",0,$S2229*$H2229)</f>
        <v>0</v>
      </c>
      <c r="AK2229" s="8" t="str">
        <f aca="false">$E2229&amp;"|"&amp;TEXT($AD2229,"0.000000")</f>
        <v>PV 135|0.000000</v>
      </c>
    </row>
    <row r="2230" customFormat="false" ht="15" hidden="false" customHeight="false" outlineLevel="0" collapsed="false">
      <c r="B2230" s="16" t="n">
        <v>47</v>
      </c>
      <c r="C2230" s="17" t="n">
        <f aca="false">DATA_INICIO_SAFRA+($B2230-1)*DIAS_POR_SEMANA</f>
        <v>46587</v>
      </c>
      <c r="D2230" s="17" t="n">
        <f aca="false">$C2230+DIAS_POR_SEMANA-1</f>
        <v>46593</v>
      </c>
      <c r="E2230" s="15" t="s">
        <v>292</v>
      </c>
      <c r="F2230" s="8" t="str">
        <f aca="false">IFERROR(INDEX(CADASTRO_PIVOS!$C$6:$C$41,MATCH($E2230,CADASTRO_PIVOS!$B$6:$B$41,0)),"?")</f>
        <v>RM08</v>
      </c>
      <c r="G2230" s="8" t="str">
        <f aca="false">IFERROR(INDEX(CADASTRO_PIVOS!$D$6:$D$41,MATCH($E2230,CADASTRO_PIVOS!$B$6:$B$41,0)),"?")</f>
        <v>TR08</v>
      </c>
      <c r="H2230" s="20" t="n">
        <f aca="false">IFERROR(INDEX(CADASTRO_PIVOS!$E$6:$E$41,MATCH($E2230,CADASTRO_PIVOS!$B$6:$B$41,0)),0)</f>
        <v>64</v>
      </c>
      <c r="I2230" s="16" t="n">
        <f aca="false">IFERROR(SUMIFS(ROTACAO_RDM!$B$6:$B$71,ROTACAO_RDM!$D$6:$D$71,$E2230,ROTACAO_RDM!$I$6:$I$71,"&lt;="&amp;$C2230+INT(DIAS_POR_SEMANA/2),ROTACAO_RDM!$J$6:$J$71,"&gt;="&amp;$C2230+INT(DIAS_POR_SEMANA/2)),0)</f>
        <v>0</v>
      </c>
      <c r="J2230" s="16" t="n">
        <f aca="false">IFERROR(MATCH($I2230,ROTACAO_RDM!$B$6:$B$71,0),0)</f>
        <v>0</v>
      </c>
      <c r="K2230" s="8" t="str">
        <f aca="false">IF($J2230=0,"SEM CULTURA",INDEX(ROTACAO_RDM!$F$6:$F$71,$J2230))</f>
        <v>SEM CULTURA</v>
      </c>
      <c r="L2230" s="8" t="str">
        <f aca="false">IF($J2230=0,"",INDEX(ROTACAO_RDM!$G$6:$G$71,$J2230))</f>
        <v/>
      </c>
      <c r="M2230" s="17" t="str">
        <f aca="false">IF($J2230=0,"",INDEX(ROTACAO_RDM!$I$6:$I$71,$J2230))</f>
        <v/>
      </c>
      <c r="N2230" s="16" t="n">
        <f aca="false">IF($J2230=0,0,MAX(0,$C2230+INT(DIAS_POR_SEMANA/2)-INDEX(ROTACAO_RDM!$I$6:$I$71,$J2230)))</f>
        <v>0</v>
      </c>
      <c r="O2230" s="19" t="n">
        <f aca="false">IF($J2230=0,0,MIN(1,$N2230/MAX(1,INDEX(ROTACAO_RDM!$K$6:$K$71,$J2230))))</f>
        <v>0</v>
      </c>
      <c r="P2230" s="16" t="n">
        <f aca="false">IF($J2230=0,0,IFERROR(MATCH(INDEX(ROTACAO_RDM!$N$6:$N$71,$J2230),PARAMETROS_CULTURAS!$B$6:$B$28,0),0))</f>
        <v>0</v>
      </c>
      <c r="Q2230" s="8" t="str">
        <f aca="false">IF($P2230=0,"-",IF($O2230&lt;=INDEX(PARAMETROS_CULTURAS!$F$6:$F$28,$P2230),"INICIAL",IF($O2230&lt;=INDEX(PARAMETROS_CULTURAS!$F$6:$F$28,$P2230)+INDEX(PARAMETROS_CULTURAS!$G$6:$G$28,$P2230),"DESENVOLVIMENTO",IF($O2230&lt;=INDEX(PARAMETROS_CULTURAS!$F$6:$F$28,$P2230)+INDEX(PARAMETROS_CULTURAS!$G$6:$G$28,$P2230)+INDEX(PARAMETROS_CULTURAS!$H$6:$H$28,$P2230),"MEDIA","FINAL"))))</f>
        <v>-</v>
      </c>
      <c r="R2230" s="24" t="n">
        <f aca="false">IF($P2230=0,0,IF($O2230&lt;=INDEX(PARAMETROS_CULTURAS!$F$6:$F$28,$P2230),INDEX(PARAMETROS_CULTURAS!$K$6:$K$28,$P2230),IF($O2230&lt;=INDEX(PARAMETROS_CULTURAS!$F$6:$F$28,$P2230)+INDEX(PARAMETROS_CULTURAS!$G$6:$G$28,$P2230),INDEX(PARAMETROS_CULTURAS!$K$6:$K$28,$P2230)+(INDEX(PARAMETROS_CULTURAS!$L$6:$L$28,$P2230)-INDEX(PARAMETROS_CULTURAS!$K$6:$K$28,$P2230))*($O2230-INDEX(PARAMETROS_CULTURAS!$F$6:$F$28,$P2230))/MAX(INDEX(PARAMETROS_CULTURAS!$G$6:$G$28,$P2230),0.0001),IF($O2230&lt;=INDEX(PARAMETROS_CULTURAS!$F$6:$F$28,$P2230)+INDEX(PARAMETROS_CULTURAS!$G$6:$G$28,$P2230)+INDEX(PARAMETROS_CULTURAS!$H$6:$H$28,$P2230),INDEX(PARAMETROS_CULTURAS!$L$6:$L$28,$P2230),INDEX(PARAMETROS_CULTURAS!$L$6:$L$28,$P2230)+(INDEX(PARAMETROS_CULTURAS!$M$6:$M$28,$P2230)-INDEX(PARAMETROS_CULTURAS!$L$6:$L$28,$P2230))*($O2230-INDEX(PARAMETROS_CULTURAS!$F$6:$F$28,$P2230)-INDEX(PARAMETROS_CULTURAS!$G$6:$G$28,$P2230)-INDEX(PARAMETROS_CULTURAS!$H$6:$H$28,$P2230))/MAX(INDEX(PARAMETROS_CULTURAS!$I$6:$I$28,$P2230),0.0001)))))</f>
        <v>0</v>
      </c>
      <c r="S2230" s="18" t="n">
        <f aca="false">IFERROR(INDEX(SEMANAS!$H$6:$H$71,MATCH($B2230,SEMANAS!$B$6:$B$71,0)),0)</f>
        <v>30.1</v>
      </c>
      <c r="T2230" s="18" t="n">
        <f aca="false">$R2230*$S2230</f>
        <v>0</v>
      </c>
      <c r="U2230" s="18" t="n">
        <f aca="false">IFERROR(INDEX(SEMANAS!$I$6:$I$71,MATCH($B2230,SEMANAS!$B$6:$B$71,0)),0)</f>
        <v>0.7</v>
      </c>
      <c r="V2230" s="18" t="n">
        <f aca="false">IFERROR(INDEX(SEMANAS!$J$6:$J$71,MATCH($B2230,SEMANAS!$B$6:$B$71,0)),0)</f>
        <v>0.56</v>
      </c>
      <c r="W2230" s="18" t="n">
        <f aca="false">MAX(0,$T2230-$V2230)</f>
        <v>0</v>
      </c>
      <c r="X2230" s="19" t="n">
        <f aca="false">IFERROR(INDEX(CADASTRO_PIVOS!$K$6:$K$41,MATCH($E2230,CADASTRO_PIVOS!$B$6:$B$41,0)),EFICIENCIA_PADRAO)</f>
        <v>0.85</v>
      </c>
      <c r="Y2230" s="18" t="n">
        <f aca="false">IF($X2230&lt;=0,0,$W2230/$X2230)</f>
        <v>0</v>
      </c>
      <c r="Z2230" s="16" t="n">
        <f aca="false">$Y2230*$H2230*MM_PARA_M3_HA</f>
        <v>0</v>
      </c>
      <c r="AA2230" s="18" t="n">
        <f aca="false">IFERROR(INDEX(CADASTRO_PIVOS!$I$6:$I$41,MATCH($E2230,CADASTRO_PIVOS!$B$6:$B$41,0)),0)</f>
        <v>457.142857142857</v>
      </c>
      <c r="AB2230" s="18" t="n">
        <f aca="false">IF($Z2230&lt;=0,0,$Z2230/$AA2230)</f>
        <v>0</v>
      </c>
      <c r="AC2230" s="16" t="n">
        <f aca="false">IFERROR(INDEX(SEMANAS!$K$6:$K$71,MATCH($B2230,SEMANAS!$B$6:$B$71,0)),0)</f>
        <v>147</v>
      </c>
      <c r="AD2230" s="19" t="n">
        <f aca="false">IF($AC2230&lt;=0,0,$AB2230/$AC2230)</f>
        <v>0</v>
      </c>
      <c r="AE2230" s="8" t="str">
        <f aca="false">IF($K2230="SEM CULTURA","SEM CULTURA",IF($AA2230&lt;=0,"DADO PENDENTE",IF($AD2230&gt;LIMITE_CRITICO,"INVIAVEL",IF($AD2230&gt;LIMITE_ATENCAO,"CRITICO",IF($AD2230&gt;LIMITE_CONFORTAVEL,"ATENCAO","OK")))))</f>
        <v>SEM CULTURA</v>
      </c>
      <c r="AF2230" s="8" t="str">
        <f aca="false">$B2230&amp;"|"&amp;TEXT($AD2230,"0.000000")</f>
        <v>47|0.000000</v>
      </c>
      <c r="AG2230" s="18" t="n">
        <f aca="false">IF($K2230="SEM CULTURA",0,$T2230*$H2230)</f>
        <v>0</v>
      </c>
      <c r="AH2230" s="18" t="n">
        <f aca="false">IF($K2230="SEM CULTURA",0,$V2230*$H2230)</f>
        <v>0</v>
      </c>
      <c r="AI2230" s="18" t="n">
        <f aca="false">IF($K2230="SEM CULTURA",0,$W2230*$H2230)</f>
        <v>0</v>
      </c>
      <c r="AJ2230" s="18" t="n">
        <f aca="false">IF($K2230="SEM CULTURA",0,$S2230*$H2230)</f>
        <v>0</v>
      </c>
      <c r="AK2230" s="8" t="str">
        <f aca="false">$E2230&amp;"|"&amp;TEXT($AD2230,"0.000000")</f>
        <v>PV 135|0.000000</v>
      </c>
    </row>
    <row r="2231" customFormat="false" ht="15" hidden="false" customHeight="false" outlineLevel="0" collapsed="false">
      <c r="B2231" s="16" t="n">
        <v>48</v>
      </c>
      <c r="C2231" s="17" t="n">
        <f aca="false">DATA_INICIO_SAFRA+($B2231-1)*DIAS_POR_SEMANA</f>
        <v>46594</v>
      </c>
      <c r="D2231" s="17" t="n">
        <f aca="false">$C2231+DIAS_POR_SEMANA-1</f>
        <v>46600</v>
      </c>
      <c r="E2231" s="15" t="s">
        <v>292</v>
      </c>
      <c r="F2231" s="8" t="str">
        <f aca="false">IFERROR(INDEX(CADASTRO_PIVOS!$C$6:$C$41,MATCH($E2231,CADASTRO_PIVOS!$B$6:$B$41,0)),"?")</f>
        <v>RM08</v>
      </c>
      <c r="G2231" s="8" t="str">
        <f aca="false">IFERROR(INDEX(CADASTRO_PIVOS!$D$6:$D$41,MATCH($E2231,CADASTRO_PIVOS!$B$6:$B$41,0)),"?")</f>
        <v>TR08</v>
      </c>
      <c r="H2231" s="20" t="n">
        <f aca="false">IFERROR(INDEX(CADASTRO_PIVOS!$E$6:$E$41,MATCH($E2231,CADASTRO_PIVOS!$B$6:$B$41,0)),0)</f>
        <v>64</v>
      </c>
      <c r="I2231" s="16" t="n">
        <f aca="false">IFERROR(SUMIFS(ROTACAO_RDM!$B$6:$B$71,ROTACAO_RDM!$D$6:$D$71,$E2231,ROTACAO_RDM!$I$6:$I$71,"&lt;="&amp;$C2231+INT(DIAS_POR_SEMANA/2),ROTACAO_RDM!$J$6:$J$71,"&gt;="&amp;$C2231+INT(DIAS_POR_SEMANA/2)),0)</f>
        <v>0</v>
      </c>
      <c r="J2231" s="16" t="n">
        <f aca="false">IFERROR(MATCH($I2231,ROTACAO_RDM!$B$6:$B$71,0),0)</f>
        <v>0</v>
      </c>
      <c r="K2231" s="8" t="str">
        <f aca="false">IF($J2231=0,"SEM CULTURA",INDEX(ROTACAO_RDM!$F$6:$F$71,$J2231))</f>
        <v>SEM CULTURA</v>
      </c>
      <c r="L2231" s="8" t="str">
        <f aca="false">IF($J2231=0,"",INDEX(ROTACAO_RDM!$G$6:$G$71,$J2231))</f>
        <v/>
      </c>
      <c r="M2231" s="17" t="str">
        <f aca="false">IF($J2231=0,"",INDEX(ROTACAO_RDM!$I$6:$I$71,$J2231))</f>
        <v/>
      </c>
      <c r="N2231" s="16" t="n">
        <f aca="false">IF($J2231=0,0,MAX(0,$C2231+INT(DIAS_POR_SEMANA/2)-INDEX(ROTACAO_RDM!$I$6:$I$71,$J2231)))</f>
        <v>0</v>
      </c>
      <c r="O2231" s="19" t="n">
        <f aca="false">IF($J2231=0,0,MIN(1,$N2231/MAX(1,INDEX(ROTACAO_RDM!$K$6:$K$71,$J2231))))</f>
        <v>0</v>
      </c>
      <c r="P2231" s="16" t="n">
        <f aca="false">IF($J2231=0,0,IFERROR(MATCH(INDEX(ROTACAO_RDM!$N$6:$N$71,$J2231),PARAMETROS_CULTURAS!$B$6:$B$28,0),0))</f>
        <v>0</v>
      </c>
      <c r="Q2231" s="8" t="str">
        <f aca="false">IF($P2231=0,"-",IF($O2231&lt;=INDEX(PARAMETROS_CULTURAS!$F$6:$F$28,$P2231),"INICIAL",IF($O2231&lt;=INDEX(PARAMETROS_CULTURAS!$F$6:$F$28,$P2231)+INDEX(PARAMETROS_CULTURAS!$G$6:$G$28,$P2231),"DESENVOLVIMENTO",IF($O2231&lt;=INDEX(PARAMETROS_CULTURAS!$F$6:$F$28,$P2231)+INDEX(PARAMETROS_CULTURAS!$G$6:$G$28,$P2231)+INDEX(PARAMETROS_CULTURAS!$H$6:$H$28,$P2231),"MEDIA","FINAL"))))</f>
        <v>-</v>
      </c>
      <c r="R2231" s="24" t="n">
        <f aca="false">IF($P2231=0,0,IF($O2231&lt;=INDEX(PARAMETROS_CULTURAS!$F$6:$F$28,$P2231),INDEX(PARAMETROS_CULTURAS!$K$6:$K$28,$P2231),IF($O2231&lt;=INDEX(PARAMETROS_CULTURAS!$F$6:$F$28,$P2231)+INDEX(PARAMETROS_CULTURAS!$G$6:$G$28,$P2231),INDEX(PARAMETROS_CULTURAS!$K$6:$K$28,$P2231)+(INDEX(PARAMETROS_CULTURAS!$L$6:$L$28,$P2231)-INDEX(PARAMETROS_CULTURAS!$K$6:$K$28,$P2231))*($O2231-INDEX(PARAMETROS_CULTURAS!$F$6:$F$28,$P2231))/MAX(INDEX(PARAMETROS_CULTURAS!$G$6:$G$28,$P2231),0.0001),IF($O2231&lt;=INDEX(PARAMETROS_CULTURAS!$F$6:$F$28,$P2231)+INDEX(PARAMETROS_CULTURAS!$G$6:$G$28,$P2231)+INDEX(PARAMETROS_CULTURAS!$H$6:$H$28,$P2231),INDEX(PARAMETROS_CULTURAS!$L$6:$L$28,$P2231),INDEX(PARAMETROS_CULTURAS!$L$6:$L$28,$P2231)+(INDEX(PARAMETROS_CULTURAS!$M$6:$M$28,$P2231)-INDEX(PARAMETROS_CULTURAS!$L$6:$L$28,$P2231))*($O2231-INDEX(PARAMETROS_CULTURAS!$F$6:$F$28,$P2231)-INDEX(PARAMETROS_CULTURAS!$G$6:$G$28,$P2231)-INDEX(PARAMETROS_CULTURAS!$H$6:$H$28,$P2231))/MAX(INDEX(PARAMETROS_CULTURAS!$I$6:$I$28,$P2231),0.0001)))))</f>
        <v>0</v>
      </c>
      <c r="S2231" s="18" t="n">
        <f aca="false">IFERROR(INDEX(SEMANAS!$H$6:$H$71,MATCH($B2231,SEMANAS!$B$6:$B$71,0)),0)</f>
        <v>31</v>
      </c>
      <c r="T2231" s="18" t="n">
        <f aca="false">$R2231*$S2231</f>
        <v>0</v>
      </c>
      <c r="U2231" s="18" t="n">
        <f aca="false">IFERROR(INDEX(SEMANAS!$I$6:$I$71,MATCH($B2231,SEMANAS!$B$6:$B$71,0)),0)</f>
        <v>0.76</v>
      </c>
      <c r="V2231" s="18" t="n">
        <f aca="false">IFERROR(INDEX(SEMANAS!$J$6:$J$71,MATCH($B2231,SEMANAS!$B$6:$B$71,0)),0)</f>
        <v>0.608</v>
      </c>
      <c r="W2231" s="18" t="n">
        <f aca="false">MAX(0,$T2231-$V2231)</f>
        <v>0</v>
      </c>
      <c r="X2231" s="19" t="n">
        <f aca="false">IFERROR(INDEX(CADASTRO_PIVOS!$K$6:$K$41,MATCH($E2231,CADASTRO_PIVOS!$B$6:$B$41,0)),EFICIENCIA_PADRAO)</f>
        <v>0.85</v>
      </c>
      <c r="Y2231" s="18" t="n">
        <f aca="false">IF($X2231&lt;=0,0,$W2231/$X2231)</f>
        <v>0</v>
      </c>
      <c r="Z2231" s="16" t="n">
        <f aca="false">$Y2231*$H2231*MM_PARA_M3_HA</f>
        <v>0</v>
      </c>
      <c r="AA2231" s="18" t="n">
        <f aca="false">IFERROR(INDEX(CADASTRO_PIVOS!$I$6:$I$41,MATCH($E2231,CADASTRO_PIVOS!$B$6:$B$41,0)),0)</f>
        <v>457.142857142857</v>
      </c>
      <c r="AB2231" s="18" t="n">
        <f aca="false">IF($Z2231&lt;=0,0,$Z2231/$AA2231)</f>
        <v>0</v>
      </c>
      <c r="AC2231" s="16" t="n">
        <f aca="false">IFERROR(INDEX(SEMANAS!$K$6:$K$71,MATCH($B2231,SEMANAS!$B$6:$B$71,0)),0)</f>
        <v>147</v>
      </c>
      <c r="AD2231" s="19" t="n">
        <f aca="false">IF($AC2231&lt;=0,0,$AB2231/$AC2231)</f>
        <v>0</v>
      </c>
      <c r="AE2231" s="8" t="str">
        <f aca="false">IF($K2231="SEM CULTURA","SEM CULTURA",IF($AA2231&lt;=0,"DADO PENDENTE",IF($AD2231&gt;LIMITE_CRITICO,"INVIAVEL",IF($AD2231&gt;LIMITE_ATENCAO,"CRITICO",IF($AD2231&gt;LIMITE_CONFORTAVEL,"ATENCAO","OK")))))</f>
        <v>SEM CULTURA</v>
      </c>
      <c r="AF2231" s="8" t="str">
        <f aca="false">$B2231&amp;"|"&amp;TEXT($AD2231,"0.000000")</f>
        <v>48|0.000000</v>
      </c>
      <c r="AG2231" s="18" t="n">
        <f aca="false">IF($K2231="SEM CULTURA",0,$T2231*$H2231)</f>
        <v>0</v>
      </c>
      <c r="AH2231" s="18" t="n">
        <f aca="false">IF($K2231="SEM CULTURA",0,$V2231*$H2231)</f>
        <v>0</v>
      </c>
      <c r="AI2231" s="18" t="n">
        <f aca="false">IF($K2231="SEM CULTURA",0,$W2231*$H2231)</f>
        <v>0</v>
      </c>
      <c r="AJ2231" s="18" t="n">
        <f aca="false">IF($K2231="SEM CULTURA",0,$S2231*$H2231)</f>
        <v>0</v>
      </c>
      <c r="AK2231" s="8" t="str">
        <f aca="false">$E2231&amp;"|"&amp;TEXT($AD2231,"0.000000")</f>
        <v>PV 135|0.000000</v>
      </c>
    </row>
    <row r="2232" customFormat="false" ht="15" hidden="false" customHeight="false" outlineLevel="0" collapsed="false">
      <c r="B2232" s="16" t="n">
        <v>49</v>
      </c>
      <c r="C2232" s="17" t="n">
        <f aca="false">DATA_INICIO_SAFRA+($B2232-1)*DIAS_POR_SEMANA</f>
        <v>46601</v>
      </c>
      <c r="D2232" s="17" t="n">
        <f aca="false">$C2232+DIAS_POR_SEMANA-1</f>
        <v>46607</v>
      </c>
      <c r="E2232" s="15" t="s">
        <v>292</v>
      </c>
      <c r="F2232" s="8" t="str">
        <f aca="false">IFERROR(INDEX(CADASTRO_PIVOS!$C$6:$C$41,MATCH($E2232,CADASTRO_PIVOS!$B$6:$B$41,0)),"?")</f>
        <v>RM08</v>
      </c>
      <c r="G2232" s="8" t="str">
        <f aca="false">IFERROR(INDEX(CADASTRO_PIVOS!$D$6:$D$41,MATCH($E2232,CADASTRO_PIVOS!$B$6:$B$41,0)),"?")</f>
        <v>TR08</v>
      </c>
      <c r="H2232" s="20" t="n">
        <f aca="false">IFERROR(INDEX(CADASTRO_PIVOS!$E$6:$E$41,MATCH($E2232,CADASTRO_PIVOS!$B$6:$B$41,0)),0)</f>
        <v>64</v>
      </c>
      <c r="I2232" s="16" t="n">
        <f aca="false">IFERROR(SUMIFS(ROTACAO_RDM!$B$6:$B$71,ROTACAO_RDM!$D$6:$D$71,$E2232,ROTACAO_RDM!$I$6:$I$71,"&lt;="&amp;$C2232+INT(DIAS_POR_SEMANA/2),ROTACAO_RDM!$J$6:$J$71,"&gt;="&amp;$C2232+INT(DIAS_POR_SEMANA/2)),0)</f>
        <v>0</v>
      </c>
      <c r="J2232" s="16" t="n">
        <f aca="false">IFERROR(MATCH($I2232,ROTACAO_RDM!$B$6:$B$71,0),0)</f>
        <v>0</v>
      </c>
      <c r="K2232" s="8" t="str">
        <f aca="false">IF($J2232=0,"SEM CULTURA",INDEX(ROTACAO_RDM!$F$6:$F$71,$J2232))</f>
        <v>SEM CULTURA</v>
      </c>
      <c r="L2232" s="8" t="str">
        <f aca="false">IF($J2232=0,"",INDEX(ROTACAO_RDM!$G$6:$G$71,$J2232))</f>
        <v/>
      </c>
      <c r="M2232" s="17" t="str">
        <f aca="false">IF($J2232=0,"",INDEX(ROTACAO_RDM!$I$6:$I$71,$J2232))</f>
        <v/>
      </c>
      <c r="N2232" s="16" t="n">
        <f aca="false">IF($J2232=0,0,MAX(0,$C2232+INT(DIAS_POR_SEMANA/2)-INDEX(ROTACAO_RDM!$I$6:$I$71,$J2232)))</f>
        <v>0</v>
      </c>
      <c r="O2232" s="19" t="n">
        <f aca="false">IF($J2232=0,0,MIN(1,$N2232/MAX(1,INDEX(ROTACAO_RDM!$K$6:$K$71,$J2232))))</f>
        <v>0</v>
      </c>
      <c r="P2232" s="16" t="n">
        <f aca="false">IF($J2232=0,0,IFERROR(MATCH(INDEX(ROTACAO_RDM!$N$6:$N$71,$J2232),PARAMETROS_CULTURAS!$B$6:$B$28,0),0))</f>
        <v>0</v>
      </c>
      <c r="Q2232" s="8" t="str">
        <f aca="false">IF($P2232=0,"-",IF($O2232&lt;=INDEX(PARAMETROS_CULTURAS!$F$6:$F$28,$P2232),"INICIAL",IF($O2232&lt;=INDEX(PARAMETROS_CULTURAS!$F$6:$F$28,$P2232)+INDEX(PARAMETROS_CULTURAS!$G$6:$G$28,$P2232),"DESENVOLVIMENTO",IF($O2232&lt;=INDEX(PARAMETROS_CULTURAS!$F$6:$F$28,$P2232)+INDEX(PARAMETROS_CULTURAS!$G$6:$G$28,$P2232)+INDEX(PARAMETROS_CULTURAS!$H$6:$H$28,$P2232),"MEDIA","FINAL"))))</f>
        <v>-</v>
      </c>
      <c r="R2232" s="24" t="n">
        <f aca="false">IF($P2232=0,0,IF($O2232&lt;=INDEX(PARAMETROS_CULTURAS!$F$6:$F$28,$P2232),INDEX(PARAMETROS_CULTURAS!$K$6:$K$28,$P2232),IF($O2232&lt;=INDEX(PARAMETROS_CULTURAS!$F$6:$F$28,$P2232)+INDEX(PARAMETROS_CULTURAS!$G$6:$G$28,$P2232),INDEX(PARAMETROS_CULTURAS!$K$6:$K$28,$P2232)+(INDEX(PARAMETROS_CULTURAS!$L$6:$L$28,$P2232)-INDEX(PARAMETROS_CULTURAS!$K$6:$K$28,$P2232))*($O2232-INDEX(PARAMETROS_CULTURAS!$F$6:$F$28,$P2232))/MAX(INDEX(PARAMETROS_CULTURAS!$G$6:$G$28,$P2232),0.0001),IF($O2232&lt;=INDEX(PARAMETROS_CULTURAS!$F$6:$F$28,$P2232)+INDEX(PARAMETROS_CULTURAS!$G$6:$G$28,$P2232)+INDEX(PARAMETROS_CULTURAS!$H$6:$H$28,$P2232),INDEX(PARAMETROS_CULTURAS!$L$6:$L$28,$P2232),INDEX(PARAMETROS_CULTURAS!$L$6:$L$28,$P2232)+(INDEX(PARAMETROS_CULTURAS!$M$6:$M$28,$P2232)-INDEX(PARAMETROS_CULTURAS!$L$6:$L$28,$P2232))*($O2232-INDEX(PARAMETROS_CULTURAS!$F$6:$F$28,$P2232)-INDEX(PARAMETROS_CULTURAS!$G$6:$G$28,$P2232)-INDEX(PARAMETROS_CULTURAS!$H$6:$H$28,$P2232))/MAX(INDEX(PARAMETROS_CULTURAS!$I$6:$I$28,$P2232),0.0001)))))</f>
        <v>0</v>
      </c>
      <c r="S2232" s="18" t="n">
        <f aca="false">IFERROR(INDEX(SEMANAS!$H$6:$H$71,MATCH($B2232,SEMANAS!$B$6:$B$71,0)),0)</f>
        <v>36.4</v>
      </c>
      <c r="T2232" s="18" t="n">
        <f aca="false">$R2232*$S2232</f>
        <v>0</v>
      </c>
      <c r="U2232" s="18" t="n">
        <f aca="false">IFERROR(INDEX(SEMANAS!$I$6:$I$71,MATCH($B2232,SEMANAS!$B$6:$B$71,0)),0)</f>
        <v>1.12</v>
      </c>
      <c r="V2232" s="18" t="n">
        <f aca="false">IFERROR(INDEX(SEMANAS!$J$6:$J$71,MATCH($B2232,SEMANAS!$B$6:$B$71,0)),0)</f>
        <v>0.896</v>
      </c>
      <c r="W2232" s="18" t="n">
        <f aca="false">MAX(0,$T2232-$V2232)</f>
        <v>0</v>
      </c>
      <c r="X2232" s="19" t="n">
        <f aca="false">IFERROR(INDEX(CADASTRO_PIVOS!$K$6:$K$41,MATCH($E2232,CADASTRO_PIVOS!$B$6:$B$41,0)),EFICIENCIA_PADRAO)</f>
        <v>0.85</v>
      </c>
      <c r="Y2232" s="18" t="n">
        <f aca="false">IF($X2232&lt;=0,0,$W2232/$X2232)</f>
        <v>0</v>
      </c>
      <c r="Z2232" s="16" t="n">
        <f aca="false">$Y2232*$H2232*MM_PARA_M3_HA</f>
        <v>0</v>
      </c>
      <c r="AA2232" s="18" t="n">
        <f aca="false">IFERROR(INDEX(CADASTRO_PIVOS!$I$6:$I$41,MATCH($E2232,CADASTRO_PIVOS!$B$6:$B$41,0)),0)</f>
        <v>457.142857142857</v>
      </c>
      <c r="AB2232" s="18" t="n">
        <f aca="false">IF($Z2232&lt;=0,0,$Z2232/$AA2232)</f>
        <v>0</v>
      </c>
      <c r="AC2232" s="16" t="n">
        <f aca="false">IFERROR(INDEX(SEMANAS!$K$6:$K$71,MATCH($B2232,SEMANAS!$B$6:$B$71,0)),0)</f>
        <v>147</v>
      </c>
      <c r="AD2232" s="19" t="n">
        <f aca="false">IF($AC2232&lt;=0,0,$AB2232/$AC2232)</f>
        <v>0</v>
      </c>
      <c r="AE2232" s="8" t="str">
        <f aca="false">IF($K2232="SEM CULTURA","SEM CULTURA",IF($AA2232&lt;=0,"DADO PENDENTE",IF($AD2232&gt;LIMITE_CRITICO,"INVIAVEL",IF($AD2232&gt;LIMITE_ATENCAO,"CRITICO",IF($AD2232&gt;LIMITE_CONFORTAVEL,"ATENCAO","OK")))))</f>
        <v>SEM CULTURA</v>
      </c>
      <c r="AF2232" s="8" t="str">
        <f aca="false">$B2232&amp;"|"&amp;TEXT($AD2232,"0.000000")</f>
        <v>49|0.000000</v>
      </c>
      <c r="AG2232" s="18" t="n">
        <f aca="false">IF($K2232="SEM CULTURA",0,$T2232*$H2232)</f>
        <v>0</v>
      </c>
      <c r="AH2232" s="18" t="n">
        <f aca="false">IF($K2232="SEM CULTURA",0,$V2232*$H2232)</f>
        <v>0</v>
      </c>
      <c r="AI2232" s="18" t="n">
        <f aca="false">IF($K2232="SEM CULTURA",0,$W2232*$H2232)</f>
        <v>0</v>
      </c>
      <c r="AJ2232" s="18" t="n">
        <f aca="false">IF($K2232="SEM CULTURA",0,$S2232*$H2232)</f>
        <v>0</v>
      </c>
      <c r="AK2232" s="8" t="str">
        <f aca="false">$E2232&amp;"|"&amp;TEXT($AD2232,"0.000000")</f>
        <v>PV 135|0.000000</v>
      </c>
    </row>
    <row r="2233" customFormat="false" ht="15" hidden="false" customHeight="false" outlineLevel="0" collapsed="false">
      <c r="B2233" s="16" t="n">
        <v>50</v>
      </c>
      <c r="C2233" s="17" t="n">
        <f aca="false">DATA_INICIO_SAFRA+($B2233-1)*DIAS_POR_SEMANA</f>
        <v>46608</v>
      </c>
      <c r="D2233" s="17" t="n">
        <f aca="false">$C2233+DIAS_POR_SEMANA-1</f>
        <v>46614</v>
      </c>
      <c r="E2233" s="15" t="s">
        <v>292</v>
      </c>
      <c r="F2233" s="8" t="str">
        <f aca="false">IFERROR(INDEX(CADASTRO_PIVOS!$C$6:$C$41,MATCH($E2233,CADASTRO_PIVOS!$B$6:$B$41,0)),"?")</f>
        <v>RM08</v>
      </c>
      <c r="G2233" s="8" t="str">
        <f aca="false">IFERROR(INDEX(CADASTRO_PIVOS!$D$6:$D$41,MATCH($E2233,CADASTRO_PIVOS!$B$6:$B$41,0)),"?")</f>
        <v>TR08</v>
      </c>
      <c r="H2233" s="20" t="n">
        <f aca="false">IFERROR(INDEX(CADASTRO_PIVOS!$E$6:$E$41,MATCH($E2233,CADASTRO_PIVOS!$B$6:$B$41,0)),0)</f>
        <v>64</v>
      </c>
      <c r="I2233" s="16" t="n">
        <f aca="false">IFERROR(SUMIFS(ROTACAO_RDM!$B$6:$B$71,ROTACAO_RDM!$D$6:$D$71,$E2233,ROTACAO_RDM!$I$6:$I$71,"&lt;="&amp;$C2233+INT(DIAS_POR_SEMANA/2),ROTACAO_RDM!$J$6:$J$71,"&gt;="&amp;$C2233+INT(DIAS_POR_SEMANA/2)),0)</f>
        <v>0</v>
      </c>
      <c r="J2233" s="16" t="n">
        <f aca="false">IFERROR(MATCH($I2233,ROTACAO_RDM!$B$6:$B$71,0),0)</f>
        <v>0</v>
      </c>
      <c r="K2233" s="8" t="str">
        <f aca="false">IF($J2233=0,"SEM CULTURA",INDEX(ROTACAO_RDM!$F$6:$F$71,$J2233))</f>
        <v>SEM CULTURA</v>
      </c>
      <c r="L2233" s="8" t="str">
        <f aca="false">IF($J2233=0,"",INDEX(ROTACAO_RDM!$G$6:$G$71,$J2233))</f>
        <v/>
      </c>
      <c r="M2233" s="17" t="str">
        <f aca="false">IF($J2233=0,"",INDEX(ROTACAO_RDM!$I$6:$I$71,$J2233))</f>
        <v/>
      </c>
      <c r="N2233" s="16" t="n">
        <f aca="false">IF($J2233=0,0,MAX(0,$C2233+INT(DIAS_POR_SEMANA/2)-INDEX(ROTACAO_RDM!$I$6:$I$71,$J2233)))</f>
        <v>0</v>
      </c>
      <c r="O2233" s="19" t="n">
        <f aca="false">IF($J2233=0,0,MIN(1,$N2233/MAX(1,INDEX(ROTACAO_RDM!$K$6:$K$71,$J2233))))</f>
        <v>0</v>
      </c>
      <c r="P2233" s="16" t="n">
        <f aca="false">IF($J2233=0,0,IFERROR(MATCH(INDEX(ROTACAO_RDM!$N$6:$N$71,$J2233),PARAMETROS_CULTURAS!$B$6:$B$28,0),0))</f>
        <v>0</v>
      </c>
      <c r="Q2233" s="8" t="str">
        <f aca="false">IF($P2233=0,"-",IF($O2233&lt;=INDEX(PARAMETROS_CULTURAS!$F$6:$F$28,$P2233),"INICIAL",IF($O2233&lt;=INDEX(PARAMETROS_CULTURAS!$F$6:$F$28,$P2233)+INDEX(PARAMETROS_CULTURAS!$G$6:$G$28,$P2233),"DESENVOLVIMENTO",IF($O2233&lt;=INDEX(PARAMETROS_CULTURAS!$F$6:$F$28,$P2233)+INDEX(PARAMETROS_CULTURAS!$G$6:$G$28,$P2233)+INDEX(PARAMETROS_CULTURAS!$H$6:$H$28,$P2233),"MEDIA","FINAL"))))</f>
        <v>-</v>
      </c>
      <c r="R2233" s="24" t="n">
        <f aca="false">IF($P2233=0,0,IF($O2233&lt;=INDEX(PARAMETROS_CULTURAS!$F$6:$F$28,$P2233),INDEX(PARAMETROS_CULTURAS!$K$6:$K$28,$P2233),IF($O2233&lt;=INDEX(PARAMETROS_CULTURAS!$F$6:$F$28,$P2233)+INDEX(PARAMETROS_CULTURAS!$G$6:$G$28,$P2233),INDEX(PARAMETROS_CULTURAS!$K$6:$K$28,$P2233)+(INDEX(PARAMETROS_CULTURAS!$L$6:$L$28,$P2233)-INDEX(PARAMETROS_CULTURAS!$K$6:$K$28,$P2233))*($O2233-INDEX(PARAMETROS_CULTURAS!$F$6:$F$28,$P2233))/MAX(INDEX(PARAMETROS_CULTURAS!$G$6:$G$28,$P2233),0.0001),IF($O2233&lt;=INDEX(PARAMETROS_CULTURAS!$F$6:$F$28,$P2233)+INDEX(PARAMETROS_CULTURAS!$G$6:$G$28,$P2233)+INDEX(PARAMETROS_CULTURAS!$H$6:$H$28,$P2233),INDEX(PARAMETROS_CULTURAS!$L$6:$L$28,$P2233),INDEX(PARAMETROS_CULTURAS!$L$6:$L$28,$P2233)+(INDEX(PARAMETROS_CULTURAS!$M$6:$M$28,$P2233)-INDEX(PARAMETROS_CULTURAS!$L$6:$L$28,$P2233))*($O2233-INDEX(PARAMETROS_CULTURAS!$F$6:$F$28,$P2233)-INDEX(PARAMETROS_CULTURAS!$G$6:$G$28,$P2233)-INDEX(PARAMETROS_CULTURAS!$H$6:$H$28,$P2233))/MAX(INDEX(PARAMETROS_CULTURAS!$I$6:$I$28,$P2233),0.0001)))))</f>
        <v>0</v>
      </c>
      <c r="S2233" s="18" t="n">
        <f aca="false">IFERROR(INDEX(SEMANAS!$H$6:$H$71,MATCH($B2233,SEMANAS!$B$6:$B$71,0)),0)</f>
        <v>36.4</v>
      </c>
      <c r="T2233" s="18" t="n">
        <f aca="false">$R2233*$S2233</f>
        <v>0</v>
      </c>
      <c r="U2233" s="18" t="n">
        <f aca="false">IFERROR(INDEX(SEMANAS!$I$6:$I$71,MATCH($B2233,SEMANAS!$B$6:$B$71,0)),0)</f>
        <v>1.12</v>
      </c>
      <c r="V2233" s="18" t="n">
        <f aca="false">IFERROR(INDEX(SEMANAS!$J$6:$J$71,MATCH($B2233,SEMANAS!$B$6:$B$71,0)),0)</f>
        <v>0.896</v>
      </c>
      <c r="W2233" s="18" t="n">
        <f aca="false">MAX(0,$T2233-$V2233)</f>
        <v>0</v>
      </c>
      <c r="X2233" s="19" t="n">
        <f aca="false">IFERROR(INDEX(CADASTRO_PIVOS!$K$6:$K$41,MATCH($E2233,CADASTRO_PIVOS!$B$6:$B$41,0)),EFICIENCIA_PADRAO)</f>
        <v>0.85</v>
      </c>
      <c r="Y2233" s="18" t="n">
        <f aca="false">IF($X2233&lt;=0,0,$W2233/$X2233)</f>
        <v>0</v>
      </c>
      <c r="Z2233" s="16" t="n">
        <f aca="false">$Y2233*$H2233*MM_PARA_M3_HA</f>
        <v>0</v>
      </c>
      <c r="AA2233" s="18" t="n">
        <f aca="false">IFERROR(INDEX(CADASTRO_PIVOS!$I$6:$I$41,MATCH($E2233,CADASTRO_PIVOS!$B$6:$B$41,0)),0)</f>
        <v>457.142857142857</v>
      </c>
      <c r="AB2233" s="18" t="n">
        <f aca="false">IF($Z2233&lt;=0,0,$Z2233/$AA2233)</f>
        <v>0</v>
      </c>
      <c r="AC2233" s="16" t="n">
        <f aca="false">IFERROR(INDEX(SEMANAS!$K$6:$K$71,MATCH($B2233,SEMANAS!$B$6:$B$71,0)),0)</f>
        <v>147</v>
      </c>
      <c r="AD2233" s="19" t="n">
        <f aca="false">IF($AC2233&lt;=0,0,$AB2233/$AC2233)</f>
        <v>0</v>
      </c>
      <c r="AE2233" s="8" t="str">
        <f aca="false">IF($K2233="SEM CULTURA","SEM CULTURA",IF($AA2233&lt;=0,"DADO PENDENTE",IF($AD2233&gt;LIMITE_CRITICO,"INVIAVEL",IF($AD2233&gt;LIMITE_ATENCAO,"CRITICO",IF($AD2233&gt;LIMITE_CONFORTAVEL,"ATENCAO","OK")))))</f>
        <v>SEM CULTURA</v>
      </c>
      <c r="AF2233" s="8" t="str">
        <f aca="false">$B2233&amp;"|"&amp;TEXT($AD2233,"0.000000")</f>
        <v>50|0.000000</v>
      </c>
      <c r="AG2233" s="18" t="n">
        <f aca="false">IF($K2233="SEM CULTURA",0,$T2233*$H2233)</f>
        <v>0</v>
      </c>
      <c r="AH2233" s="18" t="n">
        <f aca="false">IF($K2233="SEM CULTURA",0,$V2233*$H2233)</f>
        <v>0</v>
      </c>
      <c r="AI2233" s="18" t="n">
        <f aca="false">IF($K2233="SEM CULTURA",0,$W2233*$H2233)</f>
        <v>0</v>
      </c>
      <c r="AJ2233" s="18" t="n">
        <f aca="false">IF($K2233="SEM CULTURA",0,$S2233*$H2233)</f>
        <v>0</v>
      </c>
      <c r="AK2233" s="8" t="str">
        <f aca="false">$E2233&amp;"|"&amp;TEXT($AD2233,"0.000000")</f>
        <v>PV 135|0.000000</v>
      </c>
    </row>
    <row r="2234" customFormat="false" ht="15" hidden="false" customHeight="false" outlineLevel="0" collapsed="false">
      <c r="B2234" s="16" t="n">
        <v>51</v>
      </c>
      <c r="C2234" s="17" t="n">
        <f aca="false">DATA_INICIO_SAFRA+($B2234-1)*DIAS_POR_SEMANA</f>
        <v>46615</v>
      </c>
      <c r="D2234" s="17" t="n">
        <f aca="false">$C2234+DIAS_POR_SEMANA-1</f>
        <v>46621</v>
      </c>
      <c r="E2234" s="15" t="s">
        <v>292</v>
      </c>
      <c r="F2234" s="8" t="str">
        <f aca="false">IFERROR(INDEX(CADASTRO_PIVOS!$C$6:$C$41,MATCH($E2234,CADASTRO_PIVOS!$B$6:$B$41,0)),"?")</f>
        <v>RM08</v>
      </c>
      <c r="G2234" s="8" t="str">
        <f aca="false">IFERROR(INDEX(CADASTRO_PIVOS!$D$6:$D$41,MATCH($E2234,CADASTRO_PIVOS!$B$6:$B$41,0)),"?")</f>
        <v>TR08</v>
      </c>
      <c r="H2234" s="20" t="n">
        <f aca="false">IFERROR(INDEX(CADASTRO_PIVOS!$E$6:$E$41,MATCH($E2234,CADASTRO_PIVOS!$B$6:$B$41,0)),0)</f>
        <v>64</v>
      </c>
      <c r="I2234" s="16" t="n">
        <f aca="false">IFERROR(SUMIFS(ROTACAO_RDM!$B$6:$B$71,ROTACAO_RDM!$D$6:$D$71,$E2234,ROTACAO_RDM!$I$6:$I$71,"&lt;="&amp;$C2234+INT(DIAS_POR_SEMANA/2),ROTACAO_RDM!$J$6:$J$71,"&gt;="&amp;$C2234+INT(DIAS_POR_SEMANA/2)),0)</f>
        <v>0</v>
      </c>
      <c r="J2234" s="16" t="n">
        <f aca="false">IFERROR(MATCH($I2234,ROTACAO_RDM!$B$6:$B$71,0),0)</f>
        <v>0</v>
      </c>
      <c r="K2234" s="8" t="str">
        <f aca="false">IF($J2234=0,"SEM CULTURA",INDEX(ROTACAO_RDM!$F$6:$F$71,$J2234))</f>
        <v>SEM CULTURA</v>
      </c>
      <c r="L2234" s="8" t="str">
        <f aca="false">IF($J2234=0,"",INDEX(ROTACAO_RDM!$G$6:$G$71,$J2234))</f>
        <v/>
      </c>
      <c r="M2234" s="17" t="str">
        <f aca="false">IF($J2234=0,"",INDEX(ROTACAO_RDM!$I$6:$I$71,$J2234))</f>
        <v/>
      </c>
      <c r="N2234" s="16" t="n">
        <f aca="false">IF($J2234=0,0,MAX(0,$C2234+INT(DIAS_POR_SEMANA/2)-INDEX(ROTACAO_RDM!$I$6:$I$71,$J2234)))</f>
        <v>0</v>
      </c>
      <c r="O2234" s="19" t="n">
        <f aca="false">IF($J2234=0,0,MIN(1,$N2234/MAX(1,INDEX(ROTACAO_RDM!$K$6:$K$71,$J2234))))</f>
        <v>0</v>
      </c>
      <c r="P2234" s="16" t="n">
        <f aca="false">IF($J2234=0,0,IFERROR(MATCH(INDEX(ROTACAO_RDM!$N$6:$N$71,$J2234),PARAMETROS_CULTURAS!$B$6:$B$28,0),0))</f>
        <v>0</v>
      </c>
      <c r="Q2234" s="8" t="str">
        <f aca="false">IF($P2234=0,"-",IF($O2234&lt;=INDEX(PARAMETROS_CULTURAS!$F$6:$F$28,$P2234),"INICIAL",IF($O2234&lt;=INDEX(PARAMETROS_CULTURAS!$F$6:$F$28,$P2234)+INDEX(PARAMETROS_CULTURAS!$G$6:$G$28,$P2234),"DESENVOLVIMENTO",IF($O2234&lt;=INDEX(PARAMETROS_CULTURAS!$F$6:$F$28,$P2234)+INDEX(PARAMETROS_CULTURAS!$G$6:$G$28,$P2234)+INDEX(PARAMETROS_CULTURAS!$H$6:$H$28,$P2234),"MEDIA","FINAL"))))</f>
        <v>-</v>
      </c>
      <c r="R2234" s="24" t="n">
        <f aca="false">IF($P2234=0,0,IF($O2234&lt;=INDEX(PARAMETROS_CULTURAS!$F$6:$F$28,$P2234),INDEX(PARAMETROS_CULTURAS!$K$6:$K$28,$P2234),IF($O2234&lt;=INDEX(PARAMETROS_CULTURAS!$F$6:$F$28,$P2234)+INDEX(PARAMETROS_CULTURAS!$G$6:$G$28,$P2234),INDEX(PARAMETROS_CULTURAS!$K$6:$K$28,$P2234)+(INDEX(PARAMETROS_CULTURAS!$L$6:$L$28,$P2234)-INDEX(PARAMETROS_CULTURAS!$K$6:$K$28,$P2234))*($O2234-INDEX(PARAMETROS_CULTURAS!$F$6:$F$28,$P2234))/MAX(INDEX(PARAMETROS_CULTURAS!$G$6:$G$28,$P2234),0.0001),IF($O2234&lt;=INDEX(PARAMETROS_CULTURAS!$F$6:$F$28,$P2234)+INDEX(PARAMETROS_CULTURAS!$G$6:$G$28,$P2234)+INDEX(PARAMETROS_CULTURAS!$H$6:$H$28,$P2234),INDEX(PARAMETROS_CULTURAS!$L$6:$L$28,$P2234),INDEX(PARAMETROS_CULTURAS!$L$6:$L$28,$P2234)+(INDEX(PARAMETROS_CULTURAS!$M$6:$M$28,$P2234)-INDEX(PARAMETROS_CULTURAS!$L$6:$L$28,$P2234))*($O2234-INDEX(PARAMETROS_CULTURAS!$F$6:$F$28,$P2234)-INDEX(PARAMETROS_CULTURAS!$G$6:$G$28,$P2234)-INDEX(PARAMETROS_CULTURAS!$H$6:$H$28,$P2234))/MAX(INDEX(PARAMETROS_CULTURAS!$I$6:$I$28,$P2234),0.0001)))))</f>
        <v>0</v>
      </c>
      <c r="S2234" s="18" t="n">
        <f aca="false">IFERROR(INDEX(SEMANAS!$H$6:$H$71,MATCH($B2234,SEMANAS!$B$6:$B$71,0)),0)</f>
        <v>36.4</v>
      </c>
      <c r="T2234" s="18" t="n">
        <f aca="false">$R2234*$S2234</f>
        <v>0</v>
      </c>
      <c r="U2234" s="18" t="n">
        <f aca="false">IFERROR(INDEX(SEMANAS!$I$6:$I$71,MATCH($B2234,SEMANAS!$B$6:$B$71,0)),0)</f>
        <v>1.12</v>
      </c>
      <c r="V2234" s="18" t="n">
        <f aca="false">IFERROR(INDEX(SEMANAS!$J$6:$J$71,MATCH($B2234,SEMANAS!$B$6:$B$71,0)),0)</f>
        <v>0.896</v>
      </c>
      <c r="W2234" s="18" t="n">
        <f aca="false">MAX(0,$T2234-$V2234)</f>
        <v>0</v>
      </c>
      <c r="X2234" s="19" t="n">
        <f aca="false">IFERROR(INDEX(CADASTRO_PIVOS!$K$6:$K$41,MATCH($E2234,CADASTRO_PIVOS!$B$6:$B$41,0)),EFICIENCIA_PADRAO)</f>
        <v>0.85</v>
      </c>
      <c r="Y2234" s="18" t="n">
        <f aca="false">IF($X2234&lt;=0,0,$W2234/$X2234)</f>
        <v>0</v>
      </c>
      <c r="Z2234" s="16" t="n">
        <f aca="false">$Y2234*$H2234*MM_PARA_M3_HA</f>
        <v>0</v>
      </c>
      <c r="AA2234" s="18" t="n">
        <f aca="false">IFERROR(INDEX(CADASTRO_PIVOS!$I$6:$I$41,MATCH($E2234,CADASTRO_PIVOS!$B$6:$B$41,0)),0)</f>
        <v>457.142857142857</v>
      </c>
      <c r="AB2234" s="18" t="n">
        <f aca="false">IF($Z2234&lt;=0,0,$Z2234/$AA2234)</f>
        <v>0</v>
      </c>
      <c r="AC2234" s="16" t="n">
        <f aca="false">IFERROR(INDEX(SEMANAS!$K$6:$K$71,MATCH($B2234,SEMANAS!$B$6:$B$71,0)),0)</f>
        <v>147</v>
      </c>
      <c r="AD2234" s="19" t="n">
        <f aca="false">IF($AC2234&lt;=0,0,$AB2234/$AC2234)</f>
        <v>0</v>
      </c>
      <c r="AE2234" s="8" t="str">
        <f aca="false">IF($K2234="SEM CULTURA","SEM CULTURA",IF($AA2234&lt;=0,"DADO PENDENTE",IF($AD2234&gt;LIMITE_CRITICO,"INVIAVEL",IF($AD2234&gt;LIMITE_ATENCAO,"CRITICO",IF($AD2234&gt;LIMITE_CONFORTAVEL,"ATENCAO","OK")))))</f>
        <v>SEM CULTURA</v>
      </c>
      <c r="AF2234" s="8" t="str">
        <f aca="false">$B2234&amp;"|"&amp;TEXT($AD2234,"0.000000")</f>
        <v>51|0.000000</v>
      </c>
      <c r="AG2234" s="18" t="n">
        <f aca="false">IF($K2234="SEM CULTURA",0,$T2234*$H2234)</f>
        <v>0</v>
      </c>
      <c r="AH2234" s="18" t="n">
        <f aca="false">IF($K2234="SEM CULTURA",0,$V2234*$H2234)</f>
        <v>0</v>
      </c>
      <c r="AI2234" s="18" t="n">
        <f aca="false">IF($K2234="SEM CULTURA",0,$W2234*$H2234)</f>
        <v>0</v>
      </c>
      <c r="AJ2234" s="18" t="n">
        <f aca="false">IF($K2234="SEM CULTURA",0,$S2234*$H2234)</f>
        <v>0</v>
      </c>
      <c r="AK2234" s="8" t="str">
        <f aca="false">$E2234&amp;"|"&amp;TEXT($AD2234,"0.000000")</f>
        <v>PV 135|0.000000</v>
      </c>
    </row>
    <row r="2235" customFormat="false" ht="15" hidden="false" customHeight="false" outlineLevel="0" collapsed="false">
      <c r="B2235" s="16" t="n">
        <v>52</v>
      </c>
      <c r="C2235" s="17" t="n">
        <f aca="false">DATA_INICIO_SAFRA+($B2235-1)*DIAS_POR_SEMANA</f>
        <v>46622</v>
      </c>
      <c r="D2235" s="17" t="n">
        <f aca="false">$C2235+DIAS_POR_SEMANA-1</f>
        <v>46628</v>
      </c>
      <c r="E2235" s="15" t="s">
        <v>292</v>
      </c>
      <c r="F2235" s="8" t="str">
        <f aca="false">IFERROR(INDEX(CADASTRO_PIVOS!$C$6:$C$41,MATCH($E2235,CADASTRO_PIVOS!$B$6:$B$41,0)),"?")</f>
        <v>RM08</v>
      </c>
      <c r="G2235" s="8" t="str">
        <f aca="false">IFERROR(INDEX(CADASTRO_PIVOS!$D$6:$D$41,MATCH($E2235,CADASTRO_PIVOS!$B$6:$B$41,0)),"?")</f>
        <v>TR08</v>
      </c>
      <c r="H2235" s="20" t="n">
        <f aca="false">IFERROR(INDEX(CADASTRO_PIVOS!$E$6:$E$41,MATCH($E2235,CADASTRO_PIVOS!$B$6:$B$41,0)),0)</f>
        <v>64</v>
      </c>
      <c r="I2235" s="16" t="n">
        <f aca="false">IFERROR(SUMIFS(ROTACAO_RDM!$B$6:$B$71,ROTACAO_RDM!$D$6:$D$71,$E2235,ROTACAO_RDM!$I$6:$I$71,"&lt;="&amp;$C2235+INT(DIAS_POR_SEMANA/2),ROTACAO_RDM!$J$6:$J$71,"&gt;="&amp;$C2235+INT(DIAS_POR_SEMANA/2)),0)</f>
        <v>0</v>
      </c>
      <c r="J2235" s="16" t="n">
        <f aca="false">IFERROR(MATCH($I2235,ROTACAO_RDM!$B$6:$B$71,0),0)</f>
        <v>0</v>
      </c>
      <c r="K2235" s="8" t="str">
        <f aca="false">IF($J2235=0,"SEM CULTURA",INDEX(ROTACAO_RDM!$F$6:$F$71,$J2235))</f>
        <v>SEM CULTURA</v>
      </c>
      <c r="L2235" s="8" t="str">
        <f aca="false">IF($J2235=0,"",INDEX(ROTACAO_RDM!$G$6:$G$71,$J2235))</f>
        <v/>
      </c>
      <c r="M2235" s="17" t="str">
        <f aca="false">IF($J2235=0,"",INDEX(ROTACAO_RDM!$I$6:$I$71,$J2235))</f>
        <v/>
      </c>
      <c r="N2235" s="16" t="n">
        <f aca="false">IF($J2235=0,0,MAX(0,$C2235+INT(DIAS_POR_SEMANA/2)-INDEX(ROTACAO_RDM!$I$6:$I$71,$J2235)))</f>
        <v>0</v>
      </c>
      <c r="O2235" s="19" t="n">
        <f aca="false">IF($J2235=0,0,MIN(1,$N2235/MAX(1,INDEX(ROTACAO_RDM!$K$6:$K$71,$J2235))))</f>
        <v>0</v>
      </c>
      <c r="P2235" s="16" t="n">
        <f aca="false">IF($J2235=0,0,IFERROR(MATCH(INDEX(ROTACAO_RDM!$N$6:$N$71,$J2235),PARAMETROS_CULTURAS!$B$6:$B$28,0),0))</f>
        <v>0</v>
      </c>
      <c r="Q2235" s="8" t="str">
        <f aca="false">IF($P2235=0,"-",IF($O2235&lt;=INDEX(PARAMETROS_CULTURAS!$F$6:$F$28,$P2235),"INICIAL",IF($O2235&lt;=INDEX(PARAMETROS_CULTURAS!$F$6:$F$28,$P2235)+INDEX(PARAMETROS_CULTURAS!$G$6:$G$28,$P2235),"DESENVOLVIMENTO",IF($O2235&lt;=INDEX(PARAMETROS_CULTURAS!$F$6:$F$28,$P2235)+INDEX(PARAMETROS_CULTURAS!$G$6:$G$28,$P2235)+INDEX(PARAMETROS_CULTURAS!$H$6:$H$28,$P2235),"MEDIA","FINAL"))))</f>
        <v>-</v>
      </c>
      <c r="R2235" s="24" t="n">
        <f aca="false">IF($P2235=0,0,IF($O2235&lt;=INDEX(PARAMETROS_CULTURAS!$F$6:$F$28,$P2235),INDEX(PARAMETROS_CULTURAS!$K$6:$K$28,$P2235),IF($O2235&lt;=INDEX(PARAMETROS_CULTURAS!$F$6:$F$28,$P2235)+INDEX(PARAMETROS_CULTURAS!$G$6:$G$28,$P2235),INDEX(PARAMETROS_CULTURAS!$K$6:$K$28,$P2235)+(INDEX(PARAMETROS_CULTURAS!$L$6:$L$28,$P2235)-INDEX(PARAMETROS_CULTURAS!$K$6:$K$28,$P2235))*($O2235-INDEX(PARAMETROS_CULTURAS!$F$6:$F$28,$P2235))/MAX(INDEX(PARAMETROS_CULTURAS!$G$6:$G$28,$P2235),0.0001),IF($O2235&lt;=INDEX(PARAMETROS_CULTURAS!$F$6:$F$28,$P2235)+INDEX(PARAMETROS_CULTURAS!$G$6:$G$28,$P2235)+INDEX(PARAMETROS_CULTURAS!$H$6:$H$28,$P2235),INDEX(PARAMETROS_CULTURAS!$L$6:$L$28,$P2235),INDEX(PARAMETROS_CULTURAS!$L$6:$L$28,$P2235)+(INDEX(PARAMETROS_CULTURAS!$M$6:$M$28,$P2235)-INDEX(PARAMETROS_CULTURAS!$L$6:$L$28,$P2235))*($O2235-INDEX(PARAMETROS_CULTURAS!$F$6:$F$28,$P2235)-INDEX(PARAMETROS_CULTURAS!$G$6:$G$28,$P2235)-INDEX(PARAMETROS_CULTURAS!$H$6:$H$28,$P2235))/MAX(INDEX(PARAMETROS_CULTURAS!$I$6:$I$28,$P2235),0.0001)))))</f>
        <v>0</v>
      </c>
      <c r="S2235" s="18" t="n">
        <f aca="false">IFERROR(INDEX(SEMANAS!$H$6:$H$71,MATCH($B2235,SEMANAS!$B$6:$B$71,0)),0)</f>
        <v>36.4</v>
      </c>
      <c r="T2235" s="18" t="n">
        <f aca="false">$R2235*$S2235</f>
        <v>0</v>
      </c>
      <c r="U2235" s="18" t="n">
        <f aca="false">IFERROR(INDEX(SEMANAS!$I$6:$I$71,MATCH($B2235,SEMANAS!$B$6:$B$71,0)),0)</f>
        <v>1.12</v>
      </c>
      <c r="V2235" s="18" t="n">
        <f aca="false">IFERROR(INDEX(SEMANAS!$J$6:$J$71,MATCH($B2235,SEMANAS!$B$6:$B$71,0)),0)</f>
        <v>0.896</v>
      </c>
      <c r="W2235" s="18" t="n">
        <f aca="false">MAX(0,$T2235-$V2235)</f>
        <v>0</v>
      </c>
      <c r="X2235" s="19" t="n">
        <f aca="false">IFERROR(INDEX(CADASTRO_PIVOS!$K$6:$K$41,MATCH($E2235,CADASTRO_PIVOS!$B$6:$B$41,0)),EFICIENCIA_PADRAO)</f>
        <v>0.85</v>
      </c>
      <c r="Y2235" s="18" t="n">
        <f aca="false">IF($X2235&lt;=0,0,$W2235/$X2235)</f>
        <v>0</v>
      </c>
      <c r="Z2235" s="16" t="n">
        <f aca="false">$Y2235*$H2235*MM_PARA_M3_HA</f>
        <v>0</v>
      </c>
      <c r="AA2235" s="18" t="n">
        <f aca="false">IFERROR(INDEX(CADASTRO_PIVOS!$I$6:$I$41,MATCH($E2235,CADASTRO_PIVOS!$B$6:$B$41,0)),0)</f>
        <v>457.142857142857</v>
      </c>
      <c r="AB2235" s="18" t="n">
        <f aca="false">IF($Z2235&lt;=0,0,$Z2235/$AA2235)</f>
        <v>0</v>
      </c>
      <c r="AC2235" s="16" t="n">
        <f aca="false">IFERROR(INDEX(SEMANAS!$K$6:$K$71,MATCH($B2235,SEMANAS!$B$6:$B$71,0)),0)</f>
        <v>147</v>
      </c>
      <c r="AD2235" s="19" t="n">
        <f aca="false">IF($AC2235&lt;=0,0,$AB2235/$AC2235)</f>
        <v>0</v>
      </c>
      <c r="AE2235" s="8" t="str">
        <f aca="false">IF($K2235="SEM CULTURA","SEM CULTURA",IF($AA2235&lt;=0,"DADO PENDENTE",IF($AD2235&gt;LIMITE_CRITICO,"INVIAVEL",IF($AD2235&gt;LIMITE_ATENCAO,"CRITICO",IF($AD2235&gt;LIMITE_CONFORTAVEL,"ATENCAO","OK")))))</f>
        <v>SEM CULTURA</v>
      </c>
      <c r="AF2235" s="8" t="str">
        <f aca="false">$B2235&amp;"|"&amp;TEXT($AD2235,"0.000000")</f>
        <v>52|0.000000</v>
      </c>
      <c r="AG2235" s="18" t="n">
        <f aca="false">IF($K2235="SEM CULTURA",0,$T2235*$H2235)</f>
        <v>0</v>
      </c>
      <c r="AH2235" s="18" t="n">
        <f aca="false">IF($K2235="SEM CULTURA",0,$V2235*$H2235)</f>
        <v>0</v>
      </c>
      <c r="AI2235" s="18" t="n">
        <f aca="false">IF($K2235="SEM CULTURA",0,$W2235*$H2235)</f>
        <v>0</v>
      </c>
      <c r="AJ2235" s="18" t="n">
        <f aca="false">IF($K2235="SEM CULTURA",0,$S2235*$H2235)</f>
        <v>0</v>
      </c>
      <c r="AK2235" s="8" t="str">
        <f aca="false">$E2235&amp;"|"&amp;TEXT($AD2235,"0.000000")</f>
        <v>PV 135|0.000000</v>
      </c>
    </row>
    <row r="2236" customFormat="false" ht="15" hidden="false" customHeight="false" outlineLevel="0" collapsed="false">
      <c r="B2236" s="16" t="n">
        <v>53</v>
      </c>
      <c r="C2236" s="17" t="n">
        <f aca="false">DATA_INICIO_SAFRA+($B2236-1)*DIAS_POR_SEMANA</f>
        <v>46629</v>
      </c>
      <c r="D2236" s="17" t="n">
        <f aca="false">$C2236+DIAS_POR_SEMANA-1</f>
        <v>46635</v>
      </c>
      <c r="E2236" s="15" t="s">
        <v>292</v>
      </c>
      <c r="F2236" s="8" t="str">
        <f aca="false">IFERROR(INDEX(CADASTRO_PIVOS!$C$6:$C$41,MATCH($E2236,CADASTRO_PIVOS!$B$6:$B$41,0)),"?")</f>
        <v>RM08</v>
      </c>
      <c r="G2236" s="8" t="str">
        <f aca="false">IFERROR(INDEX(CADASTRO_PIVOS!$D$6:$D$41,MATCH($E2236,CADASTRO_PIVOS!$B$6:$B$41,0)),"?")</f>
        <v>TR08</v>
      </c>
      <c r="H2236" s="20" t="n">
        <f aca="false">IFERROR(INDEX(CADASTRO_PIVOS!$E$6:$E$41,MATCH($E2236,CADASTRO_PIVOS!$B$6:$B$41,0)),0)</f>
        <v>64</v>
      </c>
      <c r="I2236" s="16" t="n">
        <f aca="false">IFERROR(SUMIFS(ROTACAO_RDM!$B$6:$B$71,ROTACAO_RDM!$D$6:$D$71,$E2236,ROTACAO_RDM!$I$6:$I$71,"&lt;="&amp;$C2236+INT(DIAS_POR_SEMANA/2),ROTACAO_RDM!$J$6:$J$71,"&gt;="&amp;$C2236+INT(DIAS_POR_SEMANA/2)),0)</f>
        <v>0</v>
      </c>
      <c r="J2236" s="16" t="n">
        <f aca="false">IFERROR(MATCH($I2236,ROTACAO_RDM!$B$6:$B$71,0),0)</f>
        <v>0</v>
      </c>
      <c r="K2236" s="8" t="str">
        <f aca="false">IF($J2236=0,"SEM CULTURA",INDEX(ROTACAO_RDM!$F$6:$F$71,$J2236))</f>
        <v>SEM CULTURA</v>
      </c>
      <c r="L2236" s="8" t="str">
        <f aca="false">IF($J2236=0,"",INDEX(ROTACAO_RDM!$G$6:$G$71,$J2236))</f>
        <v/>
      </c>
      <c r="M2236" s="17" t="str">
        <f aca="false">IF($J2236=0,"",INDEX(ROTACAO_RDM!$I$6:$I$71,$J2236))</f>
        <v/>
      </c>
      <c r="N2236" s="16" t="n">
        <f aca="false">IF($J2236=0,0,MAX(0,$C2236+INT(DIAS_POR_SEMANA/2)-INDEX(ROTACAO_RDM!$I$6:$I$71,$J2236)))</f>
        <v>0</v>
      </c>
      <c r="O2236" s="19" t="n">
        <f aca="false">IF($J2236=0,0,MIN(1,$N2236/MAX(1,INDEX(ROTACAO_RDM!$K$6:$K$71,$J2236))))</f>
        <v>0</v>
      </c>
      <c r="P2236" s="16" t="n">
        <f aca="false">IF($J2236=0,0,IFERROR(MATCH(INDEX(ROTACAO_RDM!$N$6:$N$71,$J2236),PARAMETROS_CULTURAS!$B$6:$B$28,0),0))</f>
        <v>0</v>
      </c>
      <c r="Q2236" s="8" t="str">
        <f aca="false">IF($P2236=0,"-",IF($O2236&lt;=INDEX(PARAMETROS_CULTURAS!$F$6:$F$28,$P2236),"INICIAL",IF($O2236&lt;=INDEX(PARAMETROS_CULTURAS!$F$6:$F$28,$P2236)+INDEX(PARAMETROS_CULTURAS!$G$6:$G$28,$P2236),"DESENVOLVIMENTO",IF($O2236&lt;=INDEX(PARAMETROS_CULTURAS!$F$6:$F$28,$P2236)+INDEX(PARAMETROS_CULTURAS!$G$6:$G$28,$P2236)+INDEX(PARAMETROS_CULTURAS!$H$6:$H$28,$P2236),"MEDIA","FINAL"))))</f>
        <v>-</v>
      </c>
      <c r="R2236" s="24" t="n">
        <f aca="false">IF($P2236=0,0,IF($O2236&lt;=INDEX(PARAMETROS_CULTURAS!$F$6:$F$28,$P2236),INDEX(PARAMETROS_CULTURAS!$K$6:$K$28,$P2236),IF($O2236&lt;=INDEX(PARAMETROS_CULTURAS!$F$6:$F$28,$P2236)+INDEX(PARAMETROS_CULTURAS!$G$6:$G$28,$P2236),INDEX(PARAMETROS_CULTURAS!$K$6:$K$28,$P2236)+(INDEX(PARAMETROS_CULTURAS!$L$6:$L$28,$P2236)-INDEX(PARAMETROS_CULTURAS!$K$6:$K$28,$P2236))*($O2236-INDEX(PARAMETROS_CULTURAS!$F$6:$F$28,$P2236))/MAX(INDEX(PARAMETROS_CULTURAS!$G$6:$G$28,$P2236),0.0001),IF($O2236&lt;=INDEX(PARAMETROS_CULTURAS!$F$6:$F$28,$P2236)+INDEX(PARAMETROS_CULTURAS!$G$6:$G$28,$P2236)+INDEX(PARAMETROS_CULTURAS!$H$6:$H$28,$P2236),INDEX(PARAMETROS_CULTURAS!$L$6:$L$28,$P2236),INDEX(PARAMETROS_CULTURAS!$L$6:$L$28,$P2236)+(INDEX(PARAMETROS_CULTURAS!$M$6:$M$28,$P2236)-INDEX(PARAMETROS_CULTURAS!$L$6:$L$28,$P2236))*($O2236-INDEX(PARAMETROS_CULTURAS!$F$6:$F$28,$P2236)-INDEX(PARAMETROS_CULTURAS!$G$6:$G$28,$P2236)-INDEX(PARAMETROS_CULTURAS!$H$6:$H$28,$P2236))/MAX(INDEX(PARAMETROS_CULTURAS!$I$6:$I$28,$P2236),0.0001)))))</f>
        <v>0</v>
      </c>
      <c r="S2236" s="18" t="n">
        <f aca="false">IFERROR(INDEX(SEMANAS!$H$6:$H$71,MATCH($B2236,SEMANAS!$B$6:$B$71,0)),0)</f>
        <v>39.4</v>
      </c>
      <c r="T2236" s="18" t="n">
        <f aca="false">$R2236*$S2236</f>
        <v>0</v>
      </c>
      <c r="U2236" s="18" t="n">
        <f aca="false">IFERROR(INDEX(SEMANAS!$I$6:$I$71,MATCH($B2236,SEMANAS!$B$6:$B$71,0)),0)</f>
        <v>5.32</v>
      </c>
      <c r="V2236" s="18" t="n">
        <f aca="false">IFERROR(INDEX(SEMANAS!$J$6:$J$71,MATCH($B2236,SEMANAS!$B$6:$B$71,0)),0)</f>
        <v>4.256</v>
      </c>
      <c r="W2236" s="18" t="n">
        <f aca="false">MAX(0,$T2236-$V2236)</f>
        <v>0</v>
      </c>
      <c r="X2236" s="19" t="n">
        <f aca="false">IFERROR(INDEX(CADASTRO_PIVOS!$K$6:$K$41,MATCH($E2236,CADASTRO_PIVOS!$B$6:$B$41,0)),EFICIENCIA_PADRAO)</f>
        <v>0.85</v>
      </c>
      <c r="Y2236" s="18" t="n">
        <f aca="false">IF($X2236&lt;=0,0,$W2236/$X2236)</f>
        <v>0</v>
      </c>
      <c r="Z2236" s="16" t="n">
        <f aca="false">$Y2236*$H2236*MM_PARA_M3_HA</f>
        <v>0</v>
      </c>
      <c r="AA2236" s="18" t="n">
        <f aca="false">IFERROR(INDEX(CADASTRO_PIVOS!$I$6:$I$41,MATCH($E2236,CADASTRO_PIVOS!$B$6:$B$41,0)),0)</f>
        <v>457.142857142857</v>
      </c>
      <c r="AB2236" s="18" t="n">
        <f aca="false">IF($Z2236&lt;=0,0,$Z2236/$AA2236)</f>
        <v>0</v>
      </c>
      <c r="AC2236" s="16" t="n">
        <f aca="false">IFERROR(INDEX(SEMANAS!$K$6:$K$71,MATCH($B2236,SEMANAS!$B$6:$B$71,0)),0)</f>
        <v>147</v>
      </c>
      <c r="AD2236" s="19" t="n">
        <f aca="false">IF($AC2236&lt;=0,0,$AB2236/$AC2236)</f>
        <v>0</v>
      </c>
      <c r="AE2236" s="8" t="str">
        <f aca="false">IF($K2236="SEM CULTURA","SEM CULTURA",IF($AA2236&lt;=0,"DADO PENDENTE",IF($AD2236&gt;LIMITE_CRITICO,"INVIAVEL",IF($AD2236&gt;LIMITE_ATENCAO,"CRITICO",IF($AD2236&gt;LIMITE_CONFORTAVEL,"ATENCAO","OK")))))</f>
        <v>SEM CULTURA</v>
      </c>
      <c r="AF2236" s="8" t="str">
        <f aca="false">$B2236&amp;"|"&amp;TEXT($AD2236,"0.000000")</f>
        <v>53|0.000000</v>
      </c>
      <c r="AG2236" s="18" t="n">
        <f aca="false">IF($K2236="SEM CULTURA",0,$T2236*$H2236)</f>
        <v>0</v>
      </c>
      <c r="AH2236" s="18" t="n">
        <f aca="false">IF($K2236="SEM CULTURA",0,$V2236*$H2236)</f>
        <v>0</v>
      </c>
      <c r="AI2236" s="18" t="n">
        <f aca="false">IF($K2236="SEM CULTURA",0,$W2236*$H2236)</f>
        <v>0</v>
      </c>
      <c r="AJ2236" s="18" t="n">
        <f aca="false">IF($K2236="SEM CULTURA",0,$S2236*$H2236)</f>
        <v>0</v>
      </c>
      <c r="AK2236" s="8" t="str">
        <f aca="false">$E2236&amp;"|"&amp;TEXT($AD2236,"0.000000")</f>
        <v>PV 135|0.000000</v>
      </c>
    </row>
    <row r="2237" customFormat="false" ht="15" hidden="false" customHeight="false" outlineLevel="0" collapsed="false">
      <c r="B2237" s="16" t="n">
        <v>54</v>
      </c>
      <c r="C2237" s="17" t="n">
        <f aca="false">DATA_INICIO_SAFRA+($B2237-1)*DIAS_POR_SEMANA</f>
        <v>46636</v>
      </c>
      <c r="D2237" s="17" t="n">
        <f aca="false">$C2237+DIAS_POR_SEMANA-1</f>
        <v>46642</v>
      </c>
      <c r="E2237" s="15" t="s">
        <v>292</v>
      </c>
      <c r="F2237" s="8" t="str">
        <f aca="false">IFERROR(INDEX(CADASTRO_PIVOS!$C$6:$C$41,MATCH($E2237,CADASTRO_PIVOS!$B$6:$B$41,0)),"?")</f>
        <v>RM08</v>
      </c>
      <c r="G2237" s="8" t="str">
        <f aca="false">IFERROR(INDEX(CADASTRO_PIVOS!$D$6:$D$41,MATCH($E2237,CADASTRO_PIVOS!$B$6:$B$41,0)),"?")</f>
        <v>TR08</v>
      </c>
      <c r="H2237" s="20" t="n">
        <f aca="false">IFERROR(INDEX(CADASTRO_PIVOS!$E$6:$E$41,MATCH($E2237,CADASTRO_PIVOS!$B$6:$B$41,0)),0)</f>
        <v>64</v>
      </c>
      <c r="I2237" s="16" t="n">
        <f aca="false">IFERROR(SUMIFS(ROTACAO_RDM!$B$6:$B$71,ROTACAO_RDM!$D$6:$D$71,$E2237,ROTACAO_RDM!$I$6:$I$71,"&lt;="&amp;$C2237+INT(DIAS_POR_SEMANA/2),ROTACAO_RDM!$J$6:$J$71,"&gt;="&amp;$C2237+INT(DIAS_POR_SEMANA/2)),0)</f>
        <v>0</v>
      </c>
      <c r="J2237" s="16" t="n">
        <f aca="false">IFERROR(MATCH($I2237,ROTACAO_RDM!$B$6:$B$71,0),0)</f>
        <v>0</v>
      </c>
      <c r="K2237" s="8" t="str">
        <f aca="false">IF($J2237=0,"SEM CULTURA",INDEX(ROTACAO_RDM!$F$6:$F$71,$J2237))</f>
        <v>SEM CULTURA</v>
      </c>
      <c r="L2237" s="8" t="str">
        <f aca="false">IF($J2237=0,"",INDEX(ROTACAO_RDM!$G$6:$G$71,$J2237))</f>
        <v/>
      </c>
      <c r="M2237" s="17" t="str">
        <f aca="false">IF($J2237=0,"",INDEX(ROTACAO_RDM!$I$6:$I$71,$J2237))</f>
        <v/>
      </c>
      <c r="N2237" s="16" t="n">
        <f aca="false">IF($J2237=0,0,MAX(0,$C2237+INT(DIAS_POR_SEMANA/2)-INDEX(ROTACAO_RDM!$I$6:$I$71,$J2237)))</f>
        <v>0</v>
      </c>
      <c r="O2237" s="19" t="n">
        <f aca="false">IF($J2237=0,0,MIN(1,$N2237/MAX(1,INDEX(ROTACAO_RDM!$K$6:$K$71,$J2237))))</f>
        <v>0</v>
      </c>
      <c r="P2237" s="16" t="n">
        <f aca="false">IF($J2237=0,0,IFERROR(MATCH(INDEX(ROTACAO_RDM!$N$6:$N$71,$J2237),PARAMETROS_CULTURAS!$B$6:$B$28,0),0))</f>
        <v>0</v>
      </c>
      <c r="Q2237" s="8" t="str">
        <f aca="false">IF($P2237=0,"-",IF($O2237&lt;=INDEX(PARAMETROS_CULTURAS!$F$6:$F$28,$P2237),"INICIAL",IF($O2237&lt;=INDEX(PARAMETROS_CULTURAS!$F$6:$F$28,$P2237)+INDEX(PARAMETROS_CULTURAS!$G$6:$G$28,$P2237),"DESENVOLVIMENTO",IF($O2237&lt;=INDEX(PARAMETROS_CULTURAS!$F$6:$F$28,$P2237)+INDEX(PARAMETROS_CULTURAS!$G$6:$G$28,$P2237)+INDEX(PARAMETROS_CULTURAS!$H$6:$H$28,$P2237),"MEDIA","FINAL"))))</f>
        <v>-</v>
      </c>
      <c r="R2237" s="24" t="n">
        <f aca="false">IF($P2237=0,0,IF($O2237&lt;=INDEX(PARAMETROS_CULTURAS!$F$6:$F$28,$P2237),INDEX(PARAMETROS_CULTURAS!$K$6:$K$28,$P2237),IF($O2237&lt;=INDEX(PARAMETROS_CULTURAS!$F$6:$F$28,$P2237)+INDEX(PARAMETROS_CULTURAS!$G$6:$G$28,$P2237),INDEX(PARAMETROS_CULTURAS!$K$6:$K$28,$P2237)+(INDEX(PARAMETROS_CULTURAS!$L$6:$L$28,$P2237)-INDEX(PARAMETROS_CULTURAS!$K$6:$K$28,$P2237))*($O2237-INDEX(PARAMETROS_CULTURAS!$F$6:$F$28,$P2237))/MAX(INDEX(PARAMETROS_CULTURAS!$G$6:$G$28,$P2237),0.0001),IF($O2237&lt;=INDEX(PARAMETROS_CULTURAS!$F$6:$F$28,$P2237)+INDEX(PARAMETROS_CULTURAS!$G$6:$G$28,$P2237)+INDEX(PARAMETROS_CULTURAS!$H$6:$H$28,$P2237),INDEX(PARAMETROS_CULTURAS!$L$6:$L$28,$P2237),INDEX(PARAMETROS_CULTURAS!$L$6:$L$28,$P2237)+(INDEX(PARAMETROS_CULTURAS!$M$6:$M$28,$P2237)-INDEX(PARAMETROS_CULTURAS!$L$6:$L$28,$P2237))*($O2237-INDEX(PARAMETROS_CULTURAS!$F$6:$F$28,$P2237)-INDEX(PARAMETROS_CULTURAS!$G$6:$G$28,$P2237)-INDEX(PARAMETROS_CULTURAS!$H$6:$H$28,$P2237))/MAX(INDEX(PARAMETROS_CULTURAS!$I$6:$I$28,$P2237),0.0001)))))</f>
        <v>0</v>
      </c>
      <c r="S2237" s="18" t="n">
        <f aca="false">IFERROR(INDEX(SEMANAS!$H$6:$H$71,MATCH($B2237,SEMANAS!$B$6:$B$71,0)),0)</f>
        <v>40.6</v>
      </c>
      <c r="T2237" s="18" t="n">
        <f aca="false">$R2237*$S2237</f>
        <v>0</v>
      </c>
      <c r="U2237" s="18" t="n">
        <f aca="false">IFERROR(INDEX(SEMANAS!$I$6:$I$71,MATCH($B2237,SEMANAS!$B$6:$B$71,0)),0)</f>
        <v>7</v>
      </c>
      <c r="V2237" s="18" t="n">
        <f aca="false">IFERROR(INDEX(SEMANAS!$J$6:$J$71,MATCH($B2237,SEMANAS!$B$6:$B$71,0)),0)</f>
        <v>5.6</v>
      </c>
      <c r="W2237" s="18" t="n">
        <f aca="false">MAX(0,$T2237-$V2237)</f>
        <v>0</v>
      </c>
      <c r="X2237" s="19" t="n">
        <f aca="false">IFERROR(INDEX(CADASTRO_PIVOS!$K$6:$K$41,MATCH($E2237,CADASTRO_PIVOS!$B$6:$B$41,0)),EFICIENCIA_PADRAO)</f>
        <v>0.85</v>
      </c>
      <c r="Y2237" s="18" t="n">
        <f aca="false">IF($X2237&lt;=0,0,$W2237/$X2237)</f>
        <v>0</v>
      </c>
      <c r="Z2237" s="16" t="n">
        <f aca="false">$Y2237*$H2237*MM_PARA_M3_HA</f>
        <v>0</v>
      </c>
      <c r="AA2237" s="18" t="n">
        <f aca="false">IFERROR(INDEX(CADASTRO_PIVOS!$I$6:$I$41,MATCH($E2237,CADASTRO_PIVOS!$B$6:$B$41,0)),0)</f>
        <v>457.142857142857</v>
      </c>
      <c r="AB2237" s="18" t="n">
        <f aca="false">IF($Z2237&lt;=0,0,$Z2237/$AA2237)</f>
        <v>0</v>
      </c>
      <c r="AC2237" s="16" t="n">
        <f aca="false">IFERROR(INDEX(SEMANAS!$K$6:$K$71,MATCH($B2237,SEMANAS!$B$6:$B$71,0)),0)</f>
        <v>147</v>
      </c>
      <c r="AD2237" s="19" t="n">
        <f aca="false">IF($AC2237&lt;=0,0,$AB2237/$AC2237)</f>
        <v>0</v>
      </c>
      <c r="AE2237" s="8" t="str">
        <f aca="false">IF($K2237="SEM CULTURA","SEM CULTURA",IF($AA2237&lt;=0,"DADO PENDENTE",IF($AD2237&gt;LIMITE_CRITICO,"INVIAVEL",IF($AD2237&gt;LIMITE_ATENCAO,"CRITICO",IF($AD2237&gt;LIMITE_CONFORTAVEL,"ATENCAO","OK")))))</f>
        <v>SEM CULTURA</v>
      </c>
      <c r="AF2237" s="8" t="str">
        <f aca="false">$B2237&amp;"|"&amp;TEXT($AD2237,"0.000000")</f>
        <v>54|0.000000</v>
      </c>
      <c r="AG2237" s="18" t="n">
        <f aca="false">IF($K2237="SEM CULTURA",0,$T2237*$H2237)</f>
        <v>0</v>
      </c>
      <c r="AH2237" s="18" t="n">
        <f aca="false">IF($K2237="SEM CULTURA",0,$V2237*$H2237)</f>
        <v>0</v>
      </c>
      <c r="AI2237" s="18" t="n">
        <f aca="false">IF($K2237="SEM CULTURA",0,$W2237*$H2237)</f>
        <v>0</v>
      </c>
      <c r="AJ2237" s="18" t="n">
        <f aca="false">IF($K2237="SEM CULTURA",0,$S2237*$H2237)</f>
        <v>0</v>
      </c>
      <c r="AK2237" s="8" t="str">
        <f aca="false">$E2237&amp;"|"&amp;TEXT($AD2237,"0.000000")</f>
        <v>PV 135|0.000000</v>
      </c>
    </row>
    <row r="2238" customFormat="false" ht="15" hidden="false" customHeight="false" outlineLevel="0" collapsed="false">
      <c r="B2238" s="16" t="n">
        <v>55</v>
      </c>
      <c r="C2238" s="17" t="n">
        <f aca="false">DATA_INICIO_SAFRA+($B2238-1)*DIAS_POR_SEMANA</f>
        <v>46643</v>
      </c>
      <c r="D2238" s="17" t="n">
        <f aca="false">$C2238+DIAS_POR_SEMANA-1</f>
        <v>46649</v>
      </c>
      <c r="E2238" s="15" t="s">
        <v>292</v>
      </c>
      <c r="F2238" s="8" t="str">
        <f aca="false">IFERROR(INDEX(CADASTRO_PIVOS!$C$6:$C$41,MATCH($E2238,CADASTRO_PIVOS!$B$6:$B$41,0)),"?")</f>
        <v>RM08</v>
      </c>
      <c r="G2238" s="8" t="str">
        <f aca="false">IFERROR(INDEX(CADASTRO_PIVOS!$D$6:$D$41,MATCH($E2238,CADASTRO_PIVOS!$B$6:$B$41,0)),"?")</f>
        <v>TR08</v>
      </c>
      <c r="H2238" s="20" t="n">
        <f aca="false">IFERROR(INDEX(CADASTRO_PIVOS!$E$6:$E$41,MATCH($E2238,CADASTRO_PIVOS!$B$6:$B$41,0)),0)</f>
        <v>64</v>
      </c>
      <c r="I2238" s="16" t="n">
        <f aca="false">IFERROR(SUMIFS(ROTACAO_RDM!$B$6:$B$71,ROTACAO_RDM!$D$6:$D$71,$E2238,ROTACAO_RDM!$I$6:$I$71,"&lt;="&amp;$C2238+INT(DIAS_POR_SEMANA/2),ROTACAO_RDM!$J$6:$J$71,"&gt;="&amp;$C2238+INT(DIAS_POR_SEMANA/2)),0)</f>
        <v>0</v>
      </c>
      <c r="J2238" s="16" t="n">
        <f aca="false">IFERROR(MATCH($I2238,ROTACAO_RDM!$B$6:$B$71,0),0)</f>
        <v>0</v>
      </c>
      <c r="K2238" s="8" t="str">
        <f aca="false">IF($J2238=0,"SEM CULTURA",INDEX(ROTACAO_RDM!$F$6:$F$71,$J2238))</f>
        <v>SEM CULTURA</v>
      </c>
      <c r="L2238" s="8" t="str">
        <f aca="false">IF($J2238=0,"",INDEX(ROTACAO_RDM!$G$6:$G$71,$J2238))</f>
        <v/>
      </c>
      <c r="M2238" s="17" t="str">
        <f aca="false">IF($J2238=0,"",INDEX(ROTACAO_RDM!$I$6:$I$71,$J2238))</f>
        <v/>
      </c>
      <c r="N2238" s="16" t="n">
        <f aca="false">IF($J2238=0,0,MAX(0,$C2238+INT(DIAS_POR_SEMANA/2)-INDEX(ROTACAO_RDM!$I$6:$I$71,$J2238)))</f>
        <v>0</v>
      </c>
      <c r="O2238" s="19" t="n">
        <f aca="false">IF($J2238=0,0,MIN(1,$N2238/MAX(1,INDEX(ROTACAO_RDM!$K$6:$K$71,$J2238))))</f>
        <v>0</v>
      </c>
      <c r="P2238" s="16" t="n">
        <f aca="false">IF($J2238=0,0,IFERROR(MATCH(INDEX(ROTACAO_RDM!$N$6:$N$71,$J2238),PARAMETROS_CULTURAS!$B$6:$B$28,0),0))</f>
        <v>0</v>
      </c>
      <c r="Q2238" s="8" t="str">
        <f aca="false">IF($P2238=0,"-",IF($O2238&lt;=INDEX(PARAMETROS_CULTURAS!$F$6:$F$28,$P2238),"INICIAL",IF($O2238&lt;=INDEX(PARAMETROS_CULTURAS!$F$6:$F$28,$P2238)+INDEX(PARAMETROS_CULTURAS!$G$6:$G$28,$P2238),"DESENVOLVIMENTO",IF($O2238&lt;=INDEX(PARAMETROS_CULTURAS!$F$6:$F$28,$P2238)+INDEX(PARAMETROS_CULTURAS!$G$6:$G$28,$P2238)+INDEX(PARAMETROS_CULTURAS!$H$6:$H$28,$P2238),"MEDIA","FINAL"))))</f>
        <v>-</v>
      </c>
      <c r="R2238" s="24" t="n">
        <f aca="false">IF($P2238=0,0,IF($O2238&lt;=INDEX(PARAMETROS_CULTURAS!$F$6:$F$28,$P2238),INDEX(PARAMETROS_CULTURAS!$K$6:$K$28,$P2238),IF($O2238&lt;=INDEX(PARAMETROS_CULTURAS!$F$6:$F$28,$P2238)+INDEX(PARAMETROS_CULTURAS!$G$6:$G$28,$P2238),INDEX(PARAMETROS_CULTURAS!$K$6:$K$28,$P2238)+(INDEX(PARAMETROS_CULTURAS!$L$6:$L$28,$P2238)-INDEX(PARAMETROS_CULTURAS!$K$6:$K$28,$P2238))*($O2238-INDEX(PARAMETROS_CULTURAS!$F$6:$F$28,$P2238))/MAX(INDEX(PARAMETROS_CULTURAS!$G$6:$G$28,$P2238),0.0001),IF($O2238&lt;=INDEX(PARAMETROS_CULTURAS!$F$6:$F$28,$P2238)+INDEX(PARAMETROS_CULTURAS!$G$6:$G$28,$P2238)+INDEX(PARAMETROS_CULTURAS!$H$6:$H$28,$P2238),INDEX(PARAMETROS_CULTURAS!$L$6:$L$28,$P2238),INDEX(PARAMETROS_CULTURAS!$L$6:$L$28,$P2238)+(INDEX(PARAMETROS_CULTURAS!$M$6:$M$28,$P2238)-INDEX(PARAMETROS_CULTURAS!$L$6:$L$28,$P2238))*($O2238-INDEX(PARAMETROS_CULTURAS!$F$6:$F$28,$P2238)-INDEX(PARAMETROS_CULTURAS!$G$6:$G$28,$P2238)-INDEX(PARAMETROS_CULTURAS!$H$6:$H$28,$P2238))/MAX(INDEX(PARAMETROS_CULTURAS!$I$6:$I$28,$P2238),0.0001)))))</f>
        <v>0</v>
      </c>
      <c r="S2238" s="18" t="n">
        <f aca="false">IFERROR(INDEX(SEMANAS!$H$6:$H$71,MATCH($B2238,SEMANAS!$B$6:$B$71,0)),0)</f>
        <v>40.6</v>
      </c>
      <c r="T2238" s="18" t="n">
        <f aca="false">$R2238*$S2238</f>
        <v>0</v>
      </c>
      <c r="U2238" s="18" t="n">
        <f aca="false">IFERROR(INDEX(SEMANAS!$I$6:$I$71,MATCH($B2238,SEMANAS!$B$6:$B$71,0)),0)</f>
        <v>7</v>
      </c>
      <c r="V2238" s="18" t="n">
        <f aca="false">IFERROR(INDEX(SEMANAS!$J$6:$J$71,MATCH($B2238,SEMANAS!$B$6:$B$71,0)),0)</f>
        <v>5.6</v>
      </c>
      <c r="W2238" s="18" t="n">
        <f aca="false">MAX(0,$T2238-$V2238)</f>
        <v>0</v>
      </c>
      <c r="X2238" s="19" t="n">
        <f aca="false">IFERROR(INDEX(CADASTRO_PIVOS!$K$6:$K$41,MATCH($E2238,CADASTRO_PIVOS!$B$6:$B$41,0)),EFICIENCIA_PADRAO)</f>
        <v>0.85</v>
      </c>
      <c r="Y2238" s="18" t="n">
        <f aca="false">IF($X2238&lt;=0,0,$W2238/$X2238)</f>
        <v>0</v>
      </c>
      <c r="Z2238" s="16" t="n">
        <f aca="false">$Y2238*$H2238*MM_PARA_M3_HA</f>
        <v>0</v>
      </c>
      <c r="AA2238" s="18" t="n">
        <f aca="false">IFERROR(INDEX(CADASTRO_PIVOS!$I$6:$I$41,MATCH($E2238,CADASTRO_PIVOS!$B$6:$B$41,0)),0)</f>
        <v>457.142857142857</v>
      </c>
      <c r="AB2238" s="18" t="n">
        <f aca="false">IF($Z2238&lt;=0,0,$Z2238/$AA2238)</f>
        <v>0</v>
      </c>
      <c r="AC2238" s="16" t="n">
        <f aca="false">IFERROR(INDEX(SEMANAS!$K$6:$K$71,MATCH($B2238,SEMANAS!$B$6:$B$71,0)),0)</f>
        <v>147</v>
      </c>
      <c r="AD2238" s="19" t="n">
        <f aca="false">IF($AC2238&lt;=0,0,$AB2238/$AC2238)</f>
        <v>0</v>
      </c>
      <c r="AE2238" s="8" t="str">
        <f aca="false">IF($K2238="SEM CULTURA","SEM CULTURA",IF($AA2238&lt;=0,"DADO PENDENTE",IF($AD2238&gt;LIMITE_CRITICO,"INVIAVEL",IF($AD2238&gt;LIMITE_ATENCAO,"CRITICO",IF($AD2238&gt;LIMITE_CONFORTAVEL,"ATENCAO","OK")))))</f>
        <v>SEM CULTURA</v>
      </c>
      <c r="AF2238" s="8" t="str">
        <f aca="false">$B2238&amp;"|"&amp;TEXT($AD2238,"0.000000")</f>
        <v>55|0.000000</v>
      </c>
      <c r="AG2238" s="18" t="n">
        <f aca="false">IF($K2238="SEM CULTURA",0,$T2238*$H2238)</f>
        <v>0</v>
      </c>
      <c r="AH2238" s="18" t="n">
        <f aca="false">IF($K2238="SEM CULTURA",0,$V2238*$H2238)</f>
        <v>0</v>
      </c>
      <c r="AI2238" s="18" t="n">
        <f aca="false">IF($K2238="SEM CULTURA",0,$W2238*$H2238)</f>
        <v>0</v>
      </c>
      <c r="AJ2238" s="18" t="n">
        <f aca="false">IF($K2238="SEM CULTURA",0,$S2238*$H2238)</f>
        <v>0</v>
      </c>
      <c r="AK2238" s="8" t="str">
        <f aca="false">$E2238&amp;"|"&amp;TEXT($AD2238,"0.000000")</f>
        <v>PV 135|0.000000</v>
      </c>
    </row>
    <row r="2239" customFormat="false" ht="15" hidden="false" customHeight="false" outlineLevel="0" collapsed="false">
      <c r="B2239" s="16" t="n">
        <v>56</v>
      </c>
      <c r="C2239" s="17" t="n">
        <f aca="false">DATA_INICIO_SAFRA+($B2239-1)*DIAS_POR_SEMANA</f>
        <v>46650</v>
      </c>
      <c r="D2239" s="17" t="n">
        <f aca="false">$C2239+DIAS_POR_SEMANA-1</f>
        <v>46656</v>
      </c>
      <c r="E2239" s="15" t="s">
        <v>292</v>
      </c>
      <c r="F2239" s="8" t="str">
        <f aca="false">IFERROR(INDEX(CADASTRO_PIVOS!$C$6:$C$41,MATCH($E2239,CADASTRO_PIVOS!$B$6:$B$41,0)),"?")</f>
        <v>RM08</v>
      </c>
      <c r="G2239" s="8" t="str">
        <f aca="false">IFERROR(INDEX(CADASTRO_PIVOS!$D$6:$D$41,MATCH($E2239,CADASTRO_PIVOS!$B$6:$B$41,0)),"?")</f>
        <v>TR08</v>
      </c>
      <c r="H2239" s="20" t="n">
        <f aca="false">IFERROR(INDEX(CADASTRO_PIVOS!$E$6:$E$41,MATCH($E2239,CADASTRO_PIVOS!$B$6:$B$41,0)),0)</f>
        <v>64</v>
      </c>
      <c r="I2239" s="16" t="n">
        <f aca="false">IFERROR(SUMIFS(ROTACAO_RDM!$B$6:$B$71,ROTACAO_RDM!$D$6:$D$71,$E2239,ROTACAO_RDM!$I$6:$I$71,"&lt;="&amp;$C2239+INT(DIAS_POR_SEMANA/2),ROTACAO_RDM!$J$6:$J$71,"&gt;="&amp;$C2239+INT(DIAS_POR_SEMANA/2)),0)</f>
        <v>0</v>
      </c>
      <c r="J2239" s="16" t="n">
        <f aca="false">IFERROR(MATCH($I2239,ROTACAO_RDM!$B$6:$B$71,0),0)</f>
        <v>0</v>
      </c>
      <c r="K2239" s="8" t="str">
        <f aca="false">IF($J2239=0,"SEM CULTURA",INDEX(ROTACAO_RDM!$F$6:$F$71,$J2239))</f>
        <v>SEM CULTURA</v>
      </c>
      <c r="L2239" s="8" t="str">
        <f aca="false">IF($J2239=0,"",INDEX(ROTACAO_RDM!$G$6:$G$71,$J2239))</f>
        <v/>
      </c>
      <c r="M2239" s="17" t="str">
        <f aca="false">IF($J2239=0,"",INDEX(ROTACAO_RDM!$I$6:$I$71,$J2239))</f>
        <v/>
      </c>
      <c r="N2239" s="16" t="n">
        <f aca="false">IF($J2239=0,0,MAX(0,$C2239+INT(DIAS_POR_SEMANA/2)-INDEX(ROTACAO_RDM!$I$6:$I$71,$J2239)))</f>
        <v>0</v>
      </c>
      <c r="O2239" s="19" t="n">
        <f aca="false">IF($J2239=0,0,MIN(1,$N2239/MAX(1,INDEX(ROTACAO_RDM!$K$6:$K$71,$J2239))))</f>
        <v>0</v>
      </c>
      <c r="P2239" s="16" t="n">
        <f aca="false">IF($J2239=0,0,IFERROR(MATCH(INDEX(ROTACAO_RDM!$N$6:$N$71,$J2239),PARAMETROS_CULTURAS!$B$6:$B$28,0),0))</f>
        <v>0</v>
      </c>
      <c r="Q2239" s="8" t="str">
        <f aca="false">IF($P2239=0,"-",IF($O2239&lt;=INDEX(PARAMETROS_CULTURAS!$F$6:$F$28,$P2239),"INICIAL",IF($O2239&lt;=INDEX(PARAMETROS_CULTURAS!$F$6:$F$28,$P2239)+INDEX(PARAMETROS_CULTURAS!$G$6:$G$28,$P2239),"DESENVOLVIMENTO",IF($O2239&lt;=INDEX(PARAMETROS_CULTURAS!$F$6:$F$28,$P2239)+INDEX(PARAMETROS_CULTURAS!$G$6:$G$28,$P2239)+INDEX(PARAMETROS_CULTURAS!$H$6:$H$28,$P2239),"MEDIA","FINAL"))))</f>
        <v>-</v>
      </c>
      <c r="R2239" s="24" t="n">
        <f aca="false">IF($P2239=0,0,IF($O2239&lt;=INDEX(PARAMETROS_CULTURAS!$F$6:$F$28,$P2239),INDEX(PARAMETROS_CULTURAS!$K$6:$K$28,$P2239),IF($O2239&lt;=INDEX(PARAMETROS_CULTURAS!$F$6:$F$28,$P2239)+INDEX(PARAMETROS_CULTURAS!$G$6:$G$28,$P2239),INDEX(PARAMETROS_CULTURAS!$K$6:$K$28,$P2239)+(INDEX(PARAMETROS_CULTURAS!$L$6:$L$28,$P2239)-INDEX(PARAMETROS_CULTURAS!$K$6:$K$28,$P2239))*($O2239-INDEX(PARAMETROS_CULTURAS!$F$6:$F$28,$P2239))/MAX(INDEX(PARAMETROS_CULTURAS!$G$6:$G$28,$P2239),0.0001),IF($O2239&lt;=INDEX(PARAMETROS_CULTURAS!$F$6:$F$28,$P2239)+INDEX(PARAMETROS_CULTURAS!$G$6:$G$28,$P2239)+INDEX(PARAMETROS_CULTURAS!$H$6:$H$28,$P2239),INDEX(PARAMETROS_CULTURAS!$L$6:$L$28,$P2239),INDEX(PARAMETROS_CULTURAS!$L$6:$L$28,$P2239)+(INDEX(PARAMETROS_CULTURAS!$M$6:$M$28,$P2239)-INDEX(PARAMETROS_CULTURAS!$L$6:$L$28,$P2239))*($O2239-INDEX(PARAMETROS_CULTURAS!$F$6:$F$28,$P2239)-INDEX(PARAMETROS_CULTURAS!$G$6:$G$28,$P2239)-INDEX(PARAMETROS_CULTURAS!$H$6:$H$28,$P2239))/MAX(INDEX(PARAMETROS_CULTURAS!$I$6:$I$28,$P2239),0.0001)))))</f>
        <v>0</v>
      </c>
      <c r="S2239" s="18" t="n">
        <f aca="false">IFERROR(INDEX(SEMANAS!$H$6:$H$71,MATCH($B2239,SEMANAS!$B$6:$B$71,0)),0)</f>
        <v>40.6</v>
      </c>
      <c r="T2239" s="18" t="n">
        <f aca="false">$R2239*$S2239</f>
        <v>0</v>
      </c>
      <c r="U2239" s="18" t="n">
        <f aca="false">IFERROR(INDEX(SEMANAS!$I$6:$I$71,MATCH($B2239,SEMANAS!$B$6:$B$71,0)),0)</f>
        <v>7</v>
      </c>
      <c r="V2239" s="18" t="n">
        <f aca="false">IFERROR(INDEX(SEMANAS!$J$6:$J$71,MATCH($B2239,SEMANAS!$B$6:$B$71,0)),0)</f>
        <v>5.6</v>
      </c>
      <c r="W2239" s="18" t="n">
        <f aca="false">MAX(0,$T2239-$V2239)</f>
        <v>0</v>
      </c>
      <c r="X2239" s="19" t="n">
        <f aca="false">IFERROR(INDEX(CADASTRO_PIVOS!$K$6:$K$41,MATCH($E2239,CADASTRO_PIVOS!$B$6:$B$41,0)),EFICIENCIA_PADRAO)</f>
        <v>0.85</v>
      </c>
      <c r="Y2239" s="18" t="n">
        <f aca="false">IF($X2239&lt;=0,0,$W2239/$X2239)</f>
        <v>0</v>
      </c>
      <c r="Z2239" s="16" t="n">
        <f aca="false">$Y2239*$H2239*MM_PARA_M3_HA</f>
        <v>0</v>
      </c>
      <c r="AA2239" s="18" t="n">
        <f aca="false">IFERROR(INDEX(CADASTRO_PIVOS!$I$6:$I$41,MATCH($E2239,CADASTRO_PIVOS!$B$6:$B$41,0)),0)</f>
        <v>457.142857142857</v>
      </c>
      <c r="AB2239" s="18" t="n">
        <f aca="false">IF($Z2239&lt;=0,0,$Z2239/$AA2239)</f>
        <v>0</v>
      </c>
      <c r="AC2239" s="16" t="n">
        <f aca="false">IFERROR(INDEX(SEMANAS!$K$6:$K$71,MATCH($B2239,SEMANAS!$B$6:$B$71,0)),0)</f>
        <v>147</v>
      </c>
      <c r="AD2239" s="19" t="n">
        <f aca="false">IF($AC2239&lt;=0,0,$AB2239/$AC2239)</f>
        <v>0</v>
      </c>
      <c r="AE2239" s="8" t="str">
        <f aca="false">IF($K2239="SEM CULTURA","SEM CULTURA",IF($AA2239&lt;=0,"DADO PENDENTE",IF($AD2239&gt;LIMITE_CRITICO,"INVIAVEL",IF($AD2239&gt;LIMITE_ATENCAO,"CRITICO",IF($AD2239&gt;LIMITE_CONFORTAVEL,"ATENCAO","OK")))))</f>
        <v>SEM CULTURA</v>
      </c>
      <c r="AF2239" s="8" t="str">
        <f aca="false">$B2239&amp;"|"&amp;TEXT($AD2239,"0.000000")</f>
        <v>56|0.000000</v>
      </c>
      <c r="AG2239" s="18" t="n">
        <f aca="false">IF($K2239="SEM CULTURA",0,$T2239*$H2239)</f>
        <v>0</v>
      </c>
      <c r="AH2239" s="18" t="n">
        <f aca="false">IF($K2239="SEM CULTURA",0,$V2239*$H2239)</f>
        <v>0</v>
      </c>
      <c r="AI2239" s="18" t="n">
        <f aca="false">IF($K2239="SEM CULTURA",0,$W2239*$H2239)</f>
        <v>0</v>
      </c>
      <c r="AJ2239" s="18" t="n">
        <f aca="false">IF($K2239="SEM CULTURA",0,$S2239*$H2239)</f>
        <v>0</v>
      </c>
      <c r="AK2239" s="8" t="str">
        <f aca="false">$E2239&amp;"|"&amp;TEXT($AD2239,"0.000000")</f>
        <v>PV 135|0.000000</v>
      </c>
    </row>
    <row r="2240" customFormat="false" ht="15" hidden="false" customHeight="false" outlineLevel="0" collapsed="false">
      <c r="B2240" s="16" t="n">
        <v>57</v>
      </c>
      <c r="C2240" s="17" t="n">
        <f aca="false">DATA_INICIO_SAFRA+($B2240-1)*DIAS_POR_SEMANA</f>
        <v>46657</v>
      </c>
      <c r="D2240" s="17" t="n">
        <f aca="false">$C2240+DIAS_POR_SEMANA-1</f>
        <v>46663</v>
      </c>
      <c r="E2240" s="15" t="s">
        <v>292</v>
      </c>
      <c r="F2240" s="8" t="str">
        <f aca="false">IFERROR(INDEX(CADASTRO_PIVOS!$C$6:$C$41,MATCH($E2240,CADASTRO_PIVOS!$B$6:$B$41,0)),"?")</f>
        <v>RM08</v>
      </c>
      <c r="G2240" s="8" t="str">
        <f aca="false">IFERROR(INDEX(CADASTRO_PIVOS!$D$6:$D$41,MATCH($E2240,CADASTRO_PIVOS!$B$6:$B$41,0)),"?")</f>
        <v>TR08</v>
      </c>
      <c r="H2240" s="20" t="n">
        <f aca="false">IFERROR(INDEX(CADASTRO_PIVOS!$E$6:$E$41,MATCH($E2240,CADASTRO_PIVOS!$B$6:$B$41,0)),0)</f>
        <v>64</v>
      </c>
      <c r="I2240" s="16" t="n">
        <f aca="false">IFERROR(SUMIFS(ROTACAO_RDM!$B$6:$B$71,ROTACAO_RDM!$D$6:$D$71,$E2240,ROTACAO_RDM!$I$6:$I$71,"&lt;="&amp;$C2240+INT(DIAS_POR_SEMANA/2),ROTACAO_RDM!$J$6:$J$71,"&gt;="&amp;$C2240+INT(DIAS_POR_SEMANA/2)),0)</f>
        <v>0</v>
      </c>
      <c r="J2240" s="16" t="n">
        <f aca="false">IFERROR(MATCH($I2240,ROTACAO_RDM!$B$6:$B$71,0),0)</f>
        <v>0</v>
      </c>
      <c r="K2240" s="8" t="str">
        <f aca="false">IF($J2240=0,"SEM CULTURA",INDEX(ROTACAO_RDM!$F$6:$F$71,$J2240))</f>
        <v>SEM CULTURA</v>
      </c>
      <c r="L2240" s="8" t="str">
        <f aca="false">IF($J2240=0,"",INDEX(ROTACAO_RDM!$G$6:$G$71,$J2240))</f>
        <v/>
      </c>
      <c r="M2240" s="17" t="str">
        <f aca="false">IF($J2240=0,"",INDEX(ROTACAO_RDM!$I$6:$I$71,$J2240))</f>
        <v/>
      </c>
      <c r="N2240" s="16" t="n">
        <f aca="false">IF($J2240=0,0,MAX(0,$C2240+INT(DIAS_POR_SEMANA/2)-INDEX(ROTACAO_RDM!$I$6:$I$71,$J2240)))</f>
        <v>0</v>
      </c>
      <c r="O2240" s="19" t="n">
        <f aca="false">IF($J2240=0,0,MIN(1,$N2240/MAX(1,INDEX(ROTACAO_RDM!$K$6:$K$71,$J2240))))</f>
        <v>0</v>
      </c>
      <c r="P2240" s="16" t="n">
        <f aca="false">IF($J2240=0,0,IFERROR(MATCH(INDEX(ROTACAO_RDM!$N$6:$N$71,$J2240),PARAMETROS_CULTURAS!$B$6:$B$28,0),0))</f>
        <v>0</v>
      </c>
      <c r="Q2240" s="8" t="str">
        <f aca="false">IF($P2240=0,"-",IF($O2240&lt;=INDEX(PARAMETROS_CULTURAS!$F$6:$F$28,$P2240),"INICIAL",IF($O2240&lt;=INDEX(PARAMETROS_CULTURAS!$F$6:$F$28,$P2240)+INDEX(PARAMETROS_CULTURAS!$G$6:$G$28,$P2240),"DESENVOLVIMENTO",IF($O2240&lt;=INDEX(PARAMETROS_CULTURAS!$F$6:$F$28,$P2240)+INDEX(PARAMETROS_CULTURAS!$G$6:$G$28,$P2240)+INDEX(PARAMETROS_CULTURAS!$H$6:$H$28,$P2240),"MEDIA","FINAL"))))</f>
        <v>-</v>
      </c>
      <c r="R2240" s="24" t="n">
        <f aca="false">IF($P2240=0,0,IF($O2240&lt;=INDEX(PARAMETROS_CULTURAS!$F$6:$F$28,$P2240),INDEX(PARAMETROS_CULTURAS!$K$6:$K$28,$P2240),IF($O2240&lt;=INDEX(PARAMETROS_CULTURAS!$F$6:$F$28,$P2240)+INDEX(PARAMETROS_CULTURAS!$G$6:$G$28,$P2240),INDEX(PARAMETROS_CULTURAS!$K$6:$K$28,$P2240)+(INDEX(PARAMETROS_CULTURAS!$L$6:$L$28,$P2240)-INDEX(PARAMETROS_CULTURAS!$K$6:$K$28,$P2240))*($O2240-INDEX(PARAMETROS_CULTURAS!$F$6:$F$28,$P2240))/MAX(INDEX(PARAMETROS_CULTURAS!$G$6:$G$28,$P2240),0.0001),IF($O2240&lt;=INDEX(PARAMETROS_CULTURAS!$F$6:$F$28,$P2240)+INDEX(PARAMETROS_CULTURAS!$G$6:$G$28,$P2240)+INDEX(PARAMETROS_CULTURAS!$H$6:$H$28,$P2240),INDEX(PARAMETROS_CULTURAS!$L$6:$L$28,$P2240),INDEX(PARAMETROS_CULTURAS!$L$6:$L$28,$P2240)+(INDEX(PARAMETROS_CULTURAS!$M$6:$M$28,$P2240)-INDEX(PARAMETROS_CULTURAS!$L$6:$L$28,$P2240))*($O2240-INDEX(PARAMETROS_CULTURAS!$F$6:$F$28,$P2240)-INDEX(PARAMETROS_CULTURAS!$G$6:$G$28,$P2240)-INDEX(PARAMETROS_CULTURAS!$H$6:$H$28,$P2240))/MAX(INDEX(PARAMETROS_CULTURAS!$I$6:$I$28,$P2240),0.0001)))))</f>
        <v>0</v>
      </c>
      <c r="S2240" s="18" t="n">
        <f aca="false">IFERROR(INDEX(SEMANAS!$H$6:$H$71,MATCH($B2240,SEMANAS!$B$6:$B$71,0)),0)</f>
        <v>40</v>
      </c>
      <c r="T2240" s="18" t="n">
        <f aca="false">$R2240*$S2240</f>
        <v>0</v>
      </c>
      <c r="U2240" s="18" t="n">
        <f aca="false">IFERROR(INDEX(SEMANAS!$I$6:$I$71,MATCH($B2240,SEMANAS!$B$6:$B$71,0)),0)</f>
        <v>15.61</v>
      </c>
      <c r="V2240" s="18" t="n">
        <f aca="false">IFERROR(INDEX(SEMANAS!$J$6:$J$71,MATCH($B2240,SEMANAS!$B$6:$B$71,0)),0)</f>
        <v>12.488</v>
      </c>
      <c r="W2240" s="18" t="n">
        <f aca="false">MAX(0,$T2240-$V2240)</f>
        <v>0</v>
      </c>
      <c r="X2240" s="19" t="n">
        <f aca="false">IFERROR(INDEX(CADASTRO_PIVOS!$K$6:$K$41,MATCH($E2240,CADASTRO_PIVOS!$B$6:$B$41,0)),EFICIENCIA_PADRAO)</f>
        <v>0.85</v>
      </c>
      <c r="Y2240" s="18" t="n">
        <f aca="false">IF($X2240&lt;=0,0,$W2240/$X2240)</f>
        <v>0</v>
      </c>
      <c r="Z2240" s="16" t="n">
        <f aca="false">$Y2240*$H2240*MM_PARA_M3_HA</f>
        <v>0</v>
      </c>
      <c r="AA2240" s="18" t="n">
        <f aca="false">IFERROR(INDEX(CADASTRO_PIVOS!$I$6:$I$41,MATCH($E2240,CADASTRO_PIVOS!$B$6:$B$41,0)),0)</f>
        <v>457.142857142857</v>
      </c>
      <c r="AB2240" s="18" t="n">
        <f aca="false">IF($Z2240&lt;=0,0,$Z2240/$AA2240)</f>
        <v>0</v>
      </c>
      <c r="AC2240" s="16" t="n">
        <f aca="false">IFERROR(INDEX(SEMANAS!$K$6:$K$71,MATCH($B2240,SEMANAS!$B$6:$B$71,0)),0)</f>
        <v>147</v>
      </c>
      <c r="AD2240" s="19" t="n">
        <f aca="false">IF($AC2240&lt;=0,0,$AB2240/$AC2240)</f>
        <v>0</v>
      </c>
      <c r="AE2240" s="8" t="str">
        <f aca="false">IF($K2240="SEM CULTURA","SEM CULTURA",IF($AA2240&lt;=0,"DADO PENDENTE",IF($AD2240&gt;LIMITE_CRITICO,"INVIAVEL",IF($AD2240&gt;LIMITE_ATENCAO,"CRITICO",IF($AD2240&gt;LIMITE_CONFORTAVEL,"ATENCAO","OK")))))</f>
        <v>SEM CULTURA</v>
      </c>
      <c r="AF2240" s="8" t="str">
        <f aca="false">$B2240&amp;"|"&amp;TEXT($AD2240,"0.000000")</f>
        <v>57|0.000000</v>
      </c>
      <c r="AG2240" s="18" t="n">
        <f aca="false">IF($K2240="SEM CULTURA",0,$T2240*$H2240)</f>
        <v>0</v>
      </c>
      <c r="AH2240" s="18" t="n">
        <f aca="false">IF($K2240="SEM CULTURA",0,$V2240*$H2240)</f>
        <v>0</v>
      </c>
      <c r="AI2240" s="18" t="n">
        <f aca="false">IF($K2240="SEM CULTURA",0,$W2240*$H2240)</f>
        <v>0</v>
      </c>
      <c r="AJ2240" s="18" t="n">
        <f aca="false">IF($K2240="SEM CULTURA",0,$S2240*$H2240)</f>
        <v>0</v>
      </c>
      <c r="AK2240" s="8" t="str">
        <f aca="false">$E2240&amp;"|"&amp;TEXT($AD2240,"0.000000")</f>
        <v>PV 135|0.000000</v>
      </c>
    </row>
    <row r="2241" customFormat="false" ht="15" hidden="false" customHeight="false" outlineLevel="0" collapsed="false">
      <c r="B2241" s="16" t="n">
        <v>58</v>
      </c>
      <c r="C2241" s="17" t="n">
        <f aca="false">DATA_INICIO_SAFRA+($B2241-1)*DIAS_POR_SEMANA</f>
        <v>46664</v>
      </c>
      <c r="D2241" s="17" t="n">
        <f aca="false">$C2241+DIAS_POR_SEMANA-1</f>
        <v>46670</v>
      </c>
      <c r="E2241" s="15" t="s">
        <v>292</v>
      </c>
      <c r="F2241" s="8" t="str">
        <f aca="false">IFERROR(INDEX(CADASTRO_PIVOS!$C$6:$C$41,MATCH($E2241,CADASTRO_PIVOS!$B$6:$B$41,0)),"?")</f>
        <v>RM08</v>
      </c>
      <c r="G2241" s="8" t="str">
        <f aca="false">IFERROR(INDEX(CADASTRO_PIVOS!$D$6:$D$41,MATCH($E2241,CADASTRO_PIVOS!$B$6:$B$41,0)),"?")</f>
        <v>TR08</v>
      </c>
      <c r="H2241" s="20" t="n">
        <f aca="false">IFERROR(INDEX(CADASTRO_PIVOS!$E$6:$E$41,MATCH($E2241,CADASTRO_PIVOS!$B$6:$B$41,0)),0)</f>
        <v>64</v>
      </c>
      <c r="I2241" s="16" t="n">
        <f aca="false">IFERROR(SUMIFS(ROTACAO_RDM!$B$6:$B$71,ROTACAO_RDM!$D$6:$D$71,$E2241,ROTACAO_RDM!$I$6:$I$71,"&lt;="&amp;$C2241+INT(DIAS_POR_SEMANA/2),ROTACAO_RDM!$J$6:$J$71,"&gt;="&amp;$C2241+INT(DIAS_POR_SEMANA/2)),0)</f>
        <v>0</v>
      </c>
      <c r="J2241" s="16" t="n">
        <f aca="false">IFERROR(MATCH($I2241,ROTACAO_RDM!$B$6:$B$71,0),0)</f>
        <v>0</v>
      </c>
      <c r="K2241" s="8" t="str">
        <f aca="false">IF($J2241=0,"SEM CULTURA",INDEX(ROTACAO_RDM!$F$6:$F$71,$J2241))</f>
        <v>SEM CULTURA</v>
      </c>
      <c r="L2241" s="8" t="str">
        <f aca="false">IF($J2241=0,"",INDEX(ROTACAO_RDM!$G$6:$G$71,$J2241))</f>
        <v/>
      </c>
      <c r="M2241" s="17" t="str">
        <f aca="false">IF($J2241=0,"",INDEX(ROTACAO_RDM!$I$6:$I$71,$J2241))</f>
        <v/>
      </c>
      <c r="N2241" s="16" t="n">
        <f aca="false">IF($J2241=0,0,MAX(0,$C2241+INT(DIAS_POR_SEMANA/2)-INDEX(ROTACAO_RDM!$I$6:$I$71,$J2241)))</f>
        <v>0</v>
      </c>
      <c r="O2241" s="19" t="n">
        <f aca="false">IF($J2241=0,0,MIN(1,$N2241/MAX(1,INDEX(ROTACAO_RDM!$K$6:$K$71,$J2241))))</f>
        <v>0</v>
      </c>
      <c r="P2241" s="16" t="n">
        <f aca="false">IF($J2241=0,0,IFERROR(MATCH(INDEX(ROTACAO_RDM!$N$6:$N$71,$J2241),PARAMETROS_CULTURAS!$B$6:$B$28,0),0))</f>
        <v>0</v>
      </c>
      <c r="Q2241" s="8" t="str">
        <f aca="false">IF($P2241=0,"-",IF($O2241&lt;=INDEX(PARAMETROS_CULTURAS!$F$6:$F$28,$P2241),"INICIAL",IF($O2241&lt;=INDEX(PARAMETROS_CULTURAS!$F$6:$F$28,$P2241)+INDEX(PARAMETROS_CULTURAS!$G$6:$G$28,$P2241),"DESENVOLVIMENTO",IF($O2241&lt;=INDEX(PARAMETROS_CULTURAS!$F$6:$F$28,$P2241)+INDEX(PARAMETROS_CULTURAS!$G$6:$G$28,$P2241)+INDEX(PARAMETROS_CULTURAS!$H$6:$H$28,$P2241),"MEDIA","FINAL"))))</f>
        <v>-</v>
      </c>
      <c r="R2241" s="24" t="n">
        <f aca="false">IF($P2241=0,0,IF($O2241&lt;=INDEX(PARAMETROS_CULTURAS!$F$6:$F$28,$P2241),INDEX(PARAMETROS_CULTURAS!$K$6:$K$28,$P2241),IF($O2241&lt;=INDEX(PARAMETROS_CULTURAS!$F$6:$F$28,$P2241)+INDEX(PARAMETROS_CULTURAS!$G$6:$G$28,$P2241),INDEX(PARAMETROS_CULTURAS!$K$6:$K$28,$P2241)+(INDEX(PARAMETROS_CULTURAS!$L$6:$L$28,$P2241)-INDEX(PARAMETROS_CULTURAS!$K$6:$K$28,$P2241))*($O2241-INDEX(PARAMETROS_CULTURAS!$F$6:$F$28,$P2241))/MAX(INDEX(PARAMETROS_CULTURAS!$G$6:$G$28,$P2241),0.0001),IF($O2241&lt;=INDEX(PARAMETROS_CULTURAS!$F$6:$F$28,$P2241)+INDEX(PARAMETROS_CULTURAS!$G$6:$G$28,$P2241)+INDEX(PARAMETROS_CULTURAS!$H$6:$H$28,$P2241),INDEX(PARAMETROS_CULTURAS!$L$6:$L$28,$P2241),INDEX(PARAMETROS_CULTURAS!$L$6:$L$28,$P2241)+(INDEX(PARAMETROS_CULTURAS!$M$6:$M$28,$P2241)-INDEX(PARAMETROS_CULTURAS!$L$6:$L$28,$P2241))*($O2241-INDEX(PARAMETROS_CULTURAS!$F$6:$F$28,$P2241)-INDEX(PARAMETROS_CULTURAS!$G$6:$G$28,$P2241)-INDEX(PARAMETROS_CULTURAS!$H$6:$H$28,$P2241))/MAX(INDEX(PARAMETROS_CULTURAS!$I$6:$I$28,$P2241),0.0001)))))</f>
        <v>0</v>
      </c>
      <c r="S2241" s="18" t="n">
        <f aca="false">IFERROR(INDEX(SEMANAS!$H$6:$H$71,MATCH($B2241,SEMANAS!$B$6:$B$71,0)),0)</f>
        <v>39.2</v>
      </c>
      <c r="T2241" s="18" t="n">
        <f aca="false">$R2241*$S2241</f>
        <v>0</v>
      </c>
      <c r="U2241" s="18" t="n">
        <f aca="false">IFERROR(INDEX(SEMANAS!$I$6:$I$71,MATCH($B2241,SEMANAS!$B$6:$B$71,0)),0)</f>
        <v>27.09</v>
      </c>
      <c r="V2241" s="18" t="n">
        <f aca="false">IFERROR(INDEX(SEMANAS!$J$6:$J$71,MATCH($B2241,SEMANAS!$B$6:$B$71,0)),0)</f>
        <v>21.672</v>
      </c>
      <c r="W2241" s="18" t="n">
        <f aca="false">MAX(0,$T2241-$V2241)</f>
        <v>0</v>
      </c>
      <c r="X2241" s="19" t="n">
        <f aca="false">IFERROR(INDEX(CADASTRO_PIVOS!$K$6:$K$41,MATCH($E2241,CADASTRO_PIVOS!$B$6:$B$41,0)),EFICIENCIA_PADRAO)</f>
        <v>0.85</v>
      </c>
      <c r="Y2241" s="18" t="n">
        <f aca="false">IF($X2241&lt;=0,0,$W2241/$X2241)</f>
        <v>0</v>
      </c>
      <c r="Z2241" s="16" t="n">
        <f aca="false">$Y2241*$H2241*MM_PARA_M3_HA</f>
        <v>0</v>
      </c>
      <c r="AA2241" s="18" t="n">
        <f aca="false">IFERROR(INDEX(CADASTRO_PIVOS!$I$6:$I$41,MATCH($E2241,CADASTRO_PIVOS!$B$6:$B$41,0)),0)</f>
        <v>457.142857142857</v>
      </c>
      <c r="AB2241" s="18" t="n">
        <f aca="false">IF($Z2241&lt;=0,0,$Z2241/$AA2241)</f>
        <v>0</v>
      </c>
      <c r="AC2241" s="16" t="n">
        <f aca="false">IFERROR(INDEX(SEMANAS!$K$6:$K$71,MATCH($B2241,SEMANAS!$B$6:$B$71,0)),0)</f>
        <v>147</v>
      </c>
      <c r="AD2241" s="19" t="n">
        <f aca="false">IF($AC2241&lt;=0,0,$AB2241/$AC2241)</f>
        <v>0</v>
      </c>
      <c r="AE2241" s="8" t="str">
        <f aca="false">IF($K2241="SEM CULTURA","SEM CULTURA",IF($AA2241&lt;=0,"DADO PENDENTE",IF($AD2241&gt;LIMITE_CRITICO,"INVIAVEL",IF($AD2241&gt;LIMITE_ATENCAO,"CRITICO",IF($AD2241&gt;LIMITE_CONFORTAVEL,"ATENCAO","OK")))))</f>
        <v>SEM CULTURA</v>
      </c>
      <c r="AF2241" s="8" t="str">
        <f aca="false">$B2241&amp;"|"&amp;TEXT($AD2241,"0.000000")</f>
        <v>58|0.000000</v>
      </c>
      <c r="AG2241" s="18" t="n">
        <f aca="false">IF($K2241="SEM CULTURA",0,$T2241*$H2241)</f>
        <v>0</v>
      </c>
      <c r="AH2241" s="18" t="n">
        <f aca="false">IF($K2241="SEM CULTURA",0,$V2241*$H2241)</f>
        <v>0</v>
      </c>
      <c r="AI2241" s="18" t="n">
        <f aca="false">IF($K2241="SEM CULTURA",0,$W2241*$H2241)</f>
        <v>0</v>
      </c>
      <c r="AJ2241" s="18" t="n">
        <f aca="false">IF($K2241="SEM CULTURA",0,$S2241*$H2241)</f>
        <v>0</v>
      </c>
      <c r="AK2241" s="8" t="str">
        <f aca="false">$E2241&amp;"|"&amp;TEXT($AD2241,"0.000000")</f>
        <v>PV 135|0.000000</v>
      </c>
    </row>
    <row r="2242" customFormat="false" ht="15" hidden="false" customHeight="false" outlineLevel="0" collapsed="false">
      <c r="B2242" s="16" t="n">
        <v>59</v>
      </c>
      <c r="C2242" s="17" t="n">
        <f aca="false">DATA_INICIO_SAFRA+($B2242-1)*DIAS_POR_SEMANA</f>
        <v>46671</v>
      </c>
      <c r="D2242" s="17" t="n">
        <f aca="false">$C2242+DIAS_POR_SEMANA-1</f>
        <v>46677</v>
      </c>
      <c r="E2242" s="15" t="s">
        <v>292</v>
      </c>
      <c r="F2242" s="8" t="str">
        <f aca="false">IFERROR(INDEX(CADASTRO_PIVOS!$C$6:$C$41,MATCH($E2242,CADASTRO_PIVOS!$B$6:$B$41,0)),"?")</f>
        <v>RM08</v>
      </c>
      <c r="G2242" s="8" t="str">
        <f aca="false">IFERROR(INDEX(CADASTRO_PIVOS!$D$6:$D$41,MATCH($E2242,CADASTRO_PIVOS!$B$6:$B$41,0)),"?")</f>
        <v>TR08</v>
      </c>
      <c r="H2242" s="20" t="n">
        <f aca="false">IFERROR(INDEX(CADASTRO_PIVOS!$E$6:$E$41,MATCH($E2242,CADASTRO_PIVOS!$B$6:$B$41,0)),0)</f>
        <v>64</v>
      </c>
      <c r="I2242" s="16" t="n">
        <f aca="false">IFERROR(SUMIFS(ROTACAO_RDM!$B$6:$B$71,ROTACAO_RDM!$D$6:$D$71,$E2242,ROTACAO_RDM!$I$6:$I$71,"&lt;="&amp;$C2242+INT(DIAS_POR_SEMANA/2),ROTACAO_RDM!$J$6:$J$71,"&gt;="&amp;$C2242+INT(DIAS_POR_SEMANA/2)),0)</f>
        <v>0</v>
      </c>
      <c r="J2242" s="16" t="n">
        <f aca="false">IFERROR(MATCH($I2242,ROTACAO_RDM!$B$6:$B$71,0),0)</f>
        <v>0</v>
      </c>
      <c r="K2242" s="8" t="str">
        <f aca="false">IF($J2242=0,"SEM CULTURA",INDEX(ROTACAO_RDM!$F$6:$F$71,$J2242))</f>
        <v>SEM CULTURA</v>
      </c>
      <c r="L2242" s="8" t="str">
        <f aca="false">IF($J2242=0,"",INDEX(ROTACAO_RDM!$G$6:$G$71,$J2242))</f>
        <v/>
      </c>
      <c r="M2242" s="17" t="str">
        <f aca="false">IF($J2242=0,"",INDEX(ROTACAO_RDM!$I$6:$I$71,$J2242))</f>
        <v/>
      </c>
      <c r="N2242" s="16" t="n">
        <f aca="false">IF($J2242=0,0,MAX(0,$C2242+INT(DIAS_POR_SEMANA/2)-INDEX(ROTACAO_RDM!$I$6:$I$71,$J2242)))</f>
        <v>0</v>
      </c>
      <c r="O2242" s="19" t="n">
        <f aca="false">IF($J2242=0,0,MIN(1,$N2242/MAX(1,INDEX(ROTACAO_RDM!$K$6:$K$71,$J2242))))</f>
        <v>0</v>
      </c>
      <c r="P2242" s="16" t="n">
        <f aca="false">IF($J2242=0,0,IFERROR(MATCH(INDEX(ROTACAO_RDM!$N$6:$N$71,$J2242),PARAMETROS_CULTURAS!$B$6:$B$28,0),0))</f>
        <v>0</v>
      </c>
      <c r="Q2242" s="8" t="str">
        <f aca="false">IF($P2242=0,"-",IF($O2242&lt;=INDEX(PARAMETROS_CULTURAS!$F$6:$F$28,$P2242),"INICIAL",IF($O2242&lt;=INDEX(PARAMETROS_CULTURAS!$F$6:$F$28,$P2242)+INDEX(PARAMETROS_CULTURAS!$G$6:$G$28,$P2242),"DESENVOLVIMENTO",IF($O2242&lt;=INDEX(PARAMETROS_CULTURAS!$F$6:$F$28,$P2242)+INDEX(PARAMETROS_CULTURAS!$G$6:$G$28,$P2242)+INDEX(PARAMETROS_CULTURAS!$H$6:$H$28,$P2242),"MEDIA","FINAL"))))</f>
        <v>-</v>
      </c>
      <c r="R2242" s="24" t="n">
        <f aca="false">IF($P2242=0,0,IF($O2242&lt;=INDEX(PARAMETROS_CULTURAS!$F$6:$F$28,$P2242),INDEX(PARAMETROS_CULTURAS!$K$6:$K$28,$P2242),IF($O2242&lt;=INDEX(PARAMETROS_CULTURAS!$F$6:$F$28,$P2242)+INDEX(PARAMETROS_CULTURAS!$G$6:$G$28,$P2242),INDEX(PARAMETROS_CULTURAS!$K$6:$K$28,$P2242)+(INDEX(PARAMETROS_CULTURAS!$L$6:$L$28,$P2242)-INDEX(PARAMETROS_CULTURAS!$K$6:$K$28,$P2242))*($O2242-INDEX(PARAMETROS_CULTURAS!$F$6:$F$28,$P2242))/MAX(INDEX(PARAMETROS_CULTURAS!$G$6:$G$28,$P2242),0.0001),IF($O2242&lt;=INDEX(PARAMETROS_CULTURAS!$F$6:$F$28,$P2242)+INDEX(PARAMETROS_CULTURAS!$G$6:$G$28,$P2242)+INDEX(PARAMETROS_CULTURAS!$H$6:$H$28,$P2242),INDEX(PARAMETROS_CULTURAS!$L$6:$L$28,$P2242),INDEX(PARAMETROS_CULTURAS!$L$6:$L$28,$P2242)+(INDEX(PARAMETROS_CULTURAS!$M$6:$M$28,$P2242)-INDEX(PARAMETROS_CULTURAS!$L$6:$L$28,$P2242))*($O2242-INDEX(PARAMETROS_CULTURAS!$F$6:$F$28,$P2242)-INDEX(PARAMETROS_CULTURAS!$G$6:$G$28,$P2242)-INDEX(PARAMETROS_CULTURAS!$H$6:$H$28,$P2242))/MAX(INDEX(PARAMETROS_CULTURAS!$I$6:$I$28,$P2242),0.0001)))))</f>
        <v>0</v>
      </c>
      <c r="S2242" s="18" t="n">
        <f aca="false">IFERROR(INDEX(SEMANAS!$H$6:$H$71,MATCH($B2242,SEMANAS!$B$6:$B$71,0)),0)</f>
        <v>39.2</v>
      </c>
      <c r="T2242" s="18" t="n">
        <f aca="false">$R2242*$S2242</f>
        <v>0</v>
      </c>
      <c r="U2242" s="18" t="n">
        <f aca="false">IFERROR(INDEX(SEMANAS!$I$6:$I$71,MATCH($B2242,SEMANAS!$B$6:$B$71,0)),0)</f>
        <v>27.09</v>
      </c>
      <c r="V2242" s="18" t="n">
        <f aca="false">IFERROR(INDEX(SEMANAS!$J$6:$J$71,MATCH($B2242,SEMANAS!$B$6:$B$71,0)),0)</f>
        <v>21.672</v>
      </c>
      <c r="W2242" s="18" t="n">
        <f aca="false">MAX(0,$T2242-$V2242)</f>
        <v>0</v>
      </c>
      <c r="X2242" s="19" t="n">
        <f aca="false">IFERROR(INDEX(CADASTRO_PIVOS!$K$6:$K$41,MATCH($E2242,CADASTRO_PIVOS!$B$6:$B$41,0)),EFICIENCIA_PADRAO)</f>
        <v>0.85</v>
      </c>
      <c r="Y2242" s="18" t="n">
        <f aca="false">IF($X2242&lt;=0,0,$W2242/$X2242)</f>
        <v>0</v>
      </c>
      <c r="Z2242" s="16" t="n">
        <f aca="false">$Y2242*$H2242*MM_PARA_M3_HA</f>
        <v>0</v>
      </c>
      <c r="AA2242" s="18" t="n">
        <f aca="false">IFERROR(INDEX(CADASTRO_PIVOS!$I$6:$I$41,MATCH($E2242,CADASTRO_PIVOS!$B$6:$B$41,0)),0)</f>
        <v>457.142857142857</v>
      </c>
      <c r="AB2242" s="18" t="n">
        <f aca="false">IF($Z2242&lt;=0,0,$Z2242/$AA2242)</f>
        <v>0</v>
      </c>
      <c r="AC2242" s="16" t="n">
        <f aca="false">IFERROR(INDEX(SEMANAS!$K$6:$K$71,MATCH($B2242,SEMANAS!$B$6:$B$71,0)),0)</f>
        <v>147</v>
      </c>
      <c r="AD2242" s="19" t="n">
        <f aca="false">IF($AC2242&lt;=0,0,$AB2242/$AC2242)</f>
        <v>0</v>
      </c>
      <c r="AE2242" s="8" t="str">
        <f aca="false">IF($K2242="SEM CULTURA","SEM CULTURA",IF($AA2242&lt;=0,"DADO PENDENTE",IF($AD2242&gt;LIMITE_CRITICO,"INVIAVEL",IF($AD2242&gt;LIMITE_ATENCAO,"CRITICO",IF($AD2242&gt;LIMITE_CONFORTAVEL,"ATENCAO","OK")))))</f>
        <v>SEM CULTURA</v>
      </c>
      <c r="AF2242" s="8" t="str">
        <f aca="false">$B2242&amp;"|"&amp;TEXT($AD2242,"0.000000")</f>
        <v>59|0.000000</v>
      </c>
      <c r="AG2242" s="18" t="n">
        <f aca="false">IF($K2242="SEM CULTURA",0,$T2242*$H2242)</f>
        <v>0</v>
      </c>
      <c r="AH2242" s="18" t="n">
        <f aca="false">IF($K2242="SEM CULTURA",0,$V2242*$H2242)</f>
        <v>0</v>
      </c>
      <c r="AI2242" s="18" t="n">
        <f aca="false">IF($K2242="SEM CULTURA",0,$W2242*$H2242)</f>
        <v>0</v>
      </c>
      <c r="AJ2242" s="18" t="n">
        <f aca="false">IF($K2242="SEM CULTURA",0,$S2242*$H2242)</f>
        <v>0</v>
      </c>
      <c r="AK2242" s="8" t="str">
        <f aca="false">$E2242&amp;"|"&amp;TEXT($AD2242,"0.000000")</f>
        <v>PV 135|0.000000</v>
      </c>
    </row>
    <row r="2243" customFormat="false" ht="15" hidden="false" customHeight="false" outlineLevel="0" collapsed="false">
      <c r="B2243" s="16" t="n">
        <v>60</v>
      </c>
      <c r="C2243" s="17" t="n">
        <f aca="false">DATA_INICIO_SAFRA+($B2243-1)*DIAS_POR_SEMANA</f>
        <v>46678</v>
      </c>
      <c r="D2243" s="17" t="n">
        <f aca="false">$C2243+DIAS_POR_SEMANA-1</f>
        <v>46684</v>
      </c>
      <c r="E2243" s="15" t="s">
        <v>292</v>
      </c>
      <c r="F2243" s="8" t="str">
        <f aca="false">IFERROR(INDEX(CADASTRO_PIVOS!$C$6:$C$41,MATCH($E2243,CADASTRO_PIVOS!$B$6:$B$41,0)),"?")</f>
        <v>RM08</v>
      </c>
      <c r="G2243" s="8" t="str">
        <f aca="false">IFERROR(INDEX(CADASTRO_PIVOS!$D$6:$D$41,MATCH($E2243,CADASTRO_PIVOS!$B$6:$B$41,0)),"?")</f>
        <v>TR08</v>
      </c>
      <c r="H2243" s="20" t="n">
        <f aca="false">IFERROR(INDEX(CADASTRO_PIVOS!$E$6:$E$41,MATCH($E2243,CADASTRO_PIVOS!$B$6:$B$41,0)),0)</f>
        <v>64</v>
      </c>
      <c r="I2243" s="16" t="n">
        <f aca="false">IFERROR(SUMIFS(ROTACAO_RDM!$B$6:$B$71,ROTACAO_RDM!$D$6:$D$71,$E2243,ROTACAO_RDM!$I$6:$I$71,"&lt;="&amp;$C2243+INT(DIAS_POR_SEMANA/2),ROTACAO_RDM!$J$6:$J$71,"&gt;="&amp;$C2243+INT(DIAS_POR_SEMANA/2)),0)</f>
        <v>0</v>
      </c>
      <c r="J2243" s="16" t="n">
        <f aca="false">IFERROR(MATCH($I2243,ROTACAO_RDM!$B$6:$B$71,0),0)</f>
        <v>0</v>
      </c>
      <c r="K2243" s="8" t="str">
        <f aca="false">IF($J2243=0,"SEM CULTURA",INDEX(ROTACAO_RDM!$F$6:$F$71,$J2243))</f>
        <v>SEM CULTURA</v>
      </c>
      <c r="L2243" s="8" t="str">
        <f aca="false">IF($J2243=0,"",INDEX(ROTACAO_RDM!$G$6:$G$71,$J2243))</f>
        <v/>
      </c>
      <c r="M2243" s="17" t="str">
        <f aca="false">IF($J2243=0,"",INDEX(ROTACAO_RDM!$I$6:$I$71,$J2243))</f>
        <v/>
      </c>
      <c r="N2243" s="16" t="n">
        <f aca="false">IF($J2243=0,0,MAX(0,$C2243+INT(DIAS_POR_SEMANA/2)-INDEX(ROTACAO_RDM!$I$6:$I$71,$J2243)))</f>
        <v>0</v>
      </c>
      <c r="O2243" s="19" t="n">
        <f aca="false">IF($J2243=0,0,MIN(1,$N2243/MAX(1,INDEX(ROTACAO_RDM!$K$6:$K$71,$J2243))))</f>
        <v>0</v>
      </c>
      <c r="P2243" s="16" t="n">
        <f aca="false">IF($J2243=0,0,IFERROR(MATCH(INDEX(ROTACAO_RDM!$N$6:$N$71,$J2243),PARAMETROS_CULTURAS!$B$6:$B$28,0),0))</f>
        <v>0</v>
      </c>
      <c r="Q2243" s="8" t="str">
        <f aca="false">IF($P2243=0,"-",IF($O2243&lt;=INDEX(PARAMETROS_CULTURAS!$F$6:$F$28,$P2243),"INICIAL",IF($O2243&lt;=INDEX(PARAMETROS_CULTURAS!$F$6:$F$28,$P2243)+INDEX(PARAMETROS_CULTURAS!$G$6:$G$28,$P2243),"DESENVOLVIMENTO",IF($O2243&lt;=INDEX(PARAMETROS_CULTURAS!$F$6:$F$28,$P2243)+INDEX(PARAMETROS_CULTURAS!$G$6:$G$28,$P2243)+INDEX(PARAMETROS_CULTURAS!$H$6:$H$28,$P2243),"MEDIA","FINAL"))))</f>
        <v>-</v>
      </c>
      <c r="R2243" s="24" t="n">
        <f aca="false">IF($P2243=0,0,IF($O2243&lt;=INDEX(PARAMETROS_CULTURAS!$F$6:$F$28,$P2243),INDEX(PARAMETROS_CULTURAS!$K$6:$K$28,$P2243),IF($O2243&lt;=INDEX(PARAMETROS_CULTURAS!$F$6:$F$28,$P2243)+INDEX(PARAMETROS_CULTURAS!$G$6:$G$28,$P2243),INDEX(PARAMETROS_CULTURAS!$K$6:$K$28,$P2243)+(INDEX(PARAMETROS_CULTURAS!$L$6:$L$28,$P2243)-INDEX(PARAMETROS_CULTURAS!$K$6:$K$28,$P2243))*($O2243-INDEX(PARAMETROS_CULTURAS!$F$6:$F$28,$P2243))/MAX(INDEX(PARAMETROS_CULTURAS!$G$6:$G$28,$P2243),0.0001),IF($O2243&lt;=INDEX(PARAMETROS_CULTURAS!$F$6:$F$28,$P2243)+INDEX(PARAMETROS_CULTURAS!$G$6:$G$28,$P2243)+INDEX(PARAMETROS_CULTURAS!$H$6:$H$28,$P2243),INDEX(PARAMETROS_CULTURAS!$L$6:$L$28,$P2243),INDEX(PARAMETROS_CULTURAS!$L$6:$L$28,$P2243)+(INDEX(PARAMETROS_CULTURAS!$M$6:$M$28,$P2243)-INDEX(PARAMETROS_CULTURAS!$L$6:$L$28,$P2243))*($O2243-INDEX(PARAMETROS_CULTURAS!$F$6:$F$28,$P2243)-INDEX(PARAMETROS_CULTURAS!$G$6:$G$28,$P2243)-INDEX(PARAMETROS_CULTURAS!$H$6:$H$28,$P2243))/MAX(INDEX(PARAMETROS_CULTURAS!$I$6:$I$28,$P2243),0.0001)))))</f>
        <v>0</v>
      </c>
      <c r="S2243" s="18" t="n">
        <f aca="false">IFERROR(INDEX(SEMANAS!$H$6:$H$71,MATCH($B2243,SEMANAS!$B$6:$B$71,0)),0)</f>
        <v>39.2</v>
      </c>
      <c r="T2243" s="18" t="n">
        <f aca="false">$R2243*$S2243</f>
        <v>0</v>
      </c>
      <c r="U2243" s="18" t="n">
        <f aca="false">IFERROR(INDEX(SEMANAS!$I$6:$I$71,MATCH($B2243,SEMANAS!$B$6:$B$71,0)),0)</f>
        <v>27.09</v>
      </c>
      <c r="V2243" s="18" t="n">
        <f aca="false">IFERROR(INDEX(SEMANAS!$J$6:$J$71,MATCH($B2243,SEMANAS!$B$6:$B$71,0)),0)</f>
        <v>21.672</v>
      </c>
      <c r="W2243" s="18" t="n">
        <f aca="false">MAX(0,$T2243-$V2243)</f>
        <v>0</v>
      </c>
      <c r="X2243" s="19" t="n">
        <f aca="false">IFERROR(INDEX(CADASTRO_PIVOS!$K$6:$K$41,MATCH($E2243,CADASTRO_PIVOS!$B$6:$B$41,0)),EFICIENCIA_PADRAO)</f>
        <v>0.85</v>
      </c>
      <c r="Y2243" s="18" t="n">
        <f aca="false">IF($X2243&lt;=0,0,$W2243/$X2243)</f>
        <v>0</v>
      </c>
      <c r="Z2243" s="16" t="n">
        <f aca="false">$Y2243*$H2243*MM_PARA_M3_HA</f>
        <v>0</v>
      </c>
      <c r="AA2243" s="18" t="n">
        <f aca="false">IFERROR(INDEX(CADASTRO_PIVOS!$I$6:$I$41,MATCH($E2243,CADASTRO_PIVOS!$B$6:$B$41,0)),0)</f>
        <v>457.142857142857</v>
      </c>
      <c r="AB2243" s="18" t="n">
        <f aca="false">IF($Z2243&lt;=0,0,$Z2243/$AA2243)</f>
        <v>0</v>
      </c>
      <c r="AC2243" s="16" t="n">
        <f aca="false">IFERROR(INDEX(SEMANAS!$K$6:$K$71,MATCH($B2243,SEMANAS!$B$6:$B$71,0)),0)</f>
        <v>147</v>
      </c>
      <c r="AD2243" s="19" t="n">
        <f aca="false">IF($AC2243&lt;=0,0,$AB2243/$AC2243)</f>
        <v>0</v>
      </c>
      <c r="AE2243" s="8" t="str">
        <f aca="false">IF($K2243="SEM CULTURA","SEM CULTURA",IF($AA2243&lt;=0,"DADO PENDENTE",IF($AD2243&gt;LIMITE_CRITICO,"INVIAVEL",IF($AD2243&gt;LIMITE_ATENCAO,"CRITICO",IF($AD2243&gt;LIMITE_CONFORTAVEL,"ATENCAO","OK")))))</f>
        <v>SEM CULTURA</v>
      </c>
      <c r="AF2243" s="8" t="str">
        <f aca="false">$B2243&amp;"|"&amp;TEXT($AD2243,"0.000000")</f>
        <v>60|0.000000</v>
      </c>
      <c r="AG2243" s="18" t="n">
        <f aca="false">IF($K2243="SEM CULTURA",0,$T2243*$H2243)</f>
        <v>0</v>
      </c>
      <c r="AH2243" s="18" t="n">
        <f aca="false">IF($K2243="SEM CULTURA",0,$V2243*$H2243)</f>
        <v>0</v>
      </c>
      <c r="AI2243" s="18" t="n">
        <f aca="false">IF($K2243="SEM CULTURA",0,$W2243*$H2243)</f>
        <v>0</v>
      </c>
      <c r="AJ2243" s="18" t="n">
        <f aca="false">IF($K2243="SEM CULTURA",0,$S2243*$H2243)</f>
        <v>0</v>
      </c>
      <c r="AK2243" s="8" t="str">
        <f aca="false">$E2243&amp;"|"&amp;TEXT($AD2243,"0.000000")</f>
        <v>PV 135|0.000000</v>
      </c>
    </row>
    <row r="2244" customFormat="false" ht="15" hidden="false" customHeight="false" outlineLevel="0" collapsed="false">
      <c r="B2244" s="16" t="n">
        <v>61</v>
      </c>
      <c r="C2244" s="17" t="n">
        <f aca="false">DATA_INICIO_SAFRA+($B2244-1)*DIAS_POR_SEMANA</f>
        <v>46685</v>
      </c>
      <c r="D2244" s="17" t="n">
        <f aca="false">$C2244+DIAS_POR_SEMANA-1</f>
        <v>46691</v>
      </c>
      <c r="E2244" s="15" t="s">
        <v>292</v>
      </c>
      <c r="F2244" s="8" t="str">
        <f aca="false">IFERROR(INDEX(CADASTRO_PIVOS!$C$6:$C$41,MATCH($E2244,CADASTRO_PIVOS!$B$6:$B$41,0)),"?")</f>
        <v>RM08</v>
      </c>
      <c r="G2244" s="8" t="str">
        <f aca="false">IFERROR(INDEX(CADASTRO_PIVOS!$D$6:$D$41,MATCH($E2244,CADASTRO_PIVOS!$B$6:$B$41,0)),"?")</f>
        <v>TR08</v>
      </c>
      <c r="H2244" s="20" t="n">
        <f aca="false">IFERROR(INDEX(CADASTRO_PIVOS!$E$6:$E$41,MATCH($E2244,CADASTRO_PIVOS!$B$6:$B$41,0)),0)</f>
        <v>64</v>
      </c>
      <c r="I2244" s="16" t="n">
        <f aca="false">IFERROR(SUMIFS(ROTACAO_RDM!$B$6:$B$71,ROTACAO_RDM!$D$6:$D$71,$E2244,ROTACAO_RDM!$I$6:$I$71,"&lt;="&amp;$C2244+INT(DIAS_POR_SEMANA/2),ROTACAO_RDM!$J$6:$J$71,"&gt;="&amp;$C2244+INT(DIAS_POR_SEMANA/2)),0)</f>
        <v>0</v>
      </c>
      <c r="J2244" s="16" t="n">
        <f aca="false">IFERROR(MATCH($I2244,ROTACAO_RDM!$B$6:$B$71,0),0)</f>
        <v>0</v>
      </c>
      <c r="K2244" s="8" t="str">
        <f aca="false">IF($J2244=0,"SEM CULTURA",INDEX(ROTACAO_RDM!$F$6:$F$71,$J2244))</f>
        <v>SEM CULTURA</v>
      </c>
      <c r="L2244" s="8" t="str">
        <f aca="false">IF($J2244=0,"",INDEX(ROTACAO_RDM!$G$6:$G$71,$J2244))</f>
        <v/>
      </c>
      <c r="M2244" s="17" t="str">
        <f aca="false">IF($J2244=0,"",INDEX(ROTACAO_RDM!$I$6:$I$71,$J2244))</f>
        <v/>
      </c>
      <c r="N2244" s="16" t="n">
        <f aca="false">IF($J2244=0,0,MAX(0,$C2244+INT(DIAS_POR_SEMANA/2)-INDEX(ROTACAO_RDM!$I$6:$I$71,$J2244)))</f>
        <v>0</v>
      </c>
      <c r="O2244" s="19" t="n">
        <f aca="false">IF($J2244=0,0,MIN(1,$N2244/MAX(1,INDEX(ROTACAO_RDM!$K$6:$K$71,$J2244))))</f>
        <v>0</v>
      </c>
      <c r="P2244" s="16" t="n">
        <f aca="false">IF($J2244=0,0,IFERROR(MATCH(INDEX(ROTACAO_RDM!$N$6:$N$71,$J2244),PARAMETROS_CULTURAS!$B$6:$B$28,0),0))</f>
        <v>0</v>
      </c>
      <c r="Q2244" s="8" t="str">
        <f aca="false">IF($P2244=0,"-",IF($O2244&lt;=INDEX(PARAMETROS_CULTURAS!$F$6:$F$28,$P2244),"INICIAL",IF($O2244&lt;=INDEX(PARAMETROS_CULTURAS!$F$6:$F$28,$P2244)+INDEX(PARAMETROS_CULTURAS!$G$6:$G$28,$P2244),"DESENVOLVIMENTO",IF($O2244&lt;=INDEX(PARAMETROS_CULTURAS!$F$6:$F$28,$P2244)+INDEX(PARAMETROS_CULTURAS!$G$6:$G$28,$P2244)+INDEX(PARAMETROS_CULTURAS!$H$6:$H$28,$P2244),"MEDIA","FINAL"))))</f>
        <v>-</v>
      </c>
      <c r="R2244" s="24" t="n">
        <f aca="false">IF($P2244=0,0,IF($O2244&lt;=INDEX(PARAMETROS_CULTURAS!$F$6:$F$28,$P2244),INDEX(PARAMETROS_CULTURAS!$K$6:$K$28,$P2244),IF($O2244&lt;=INDEX(PARAMETROS_CULTURAS!$F$6:$F$28,$P2244)+INDEX(PARAMETROS_CULTURAS!$G$6:$G$28,$P2244),INDEX(PARAMETROS_CULTURAS!$K$6:$K$28,$P2244)+(INDEX(PARAMETROS_CULTURAS!$L$6:$L$28,$P2244)-INDEX(PARAMETROS_CULTURAS!$K$6:$K$28,$P2244))*($O2244-INDEX(PARAMETROS_CULTURAS!$F$6:$F$28,$P2244))/MAX(INDEX(PARAMETROS_CULTURAS!$G$6:$G$28,$P2244),0.0001),IF($O2244&lt;=INDEX(PARAMETROS_CULTURAS!$F$6:$F$28,$P2244)+INDEX(PARAMETROS_CULTURAS!$G$6:$G$28,$P2244)+INDEX(PARAMETROS_CULTURAS!$H$6:$H$28,$P2244),INDEX(PARAMETROS_CULTURAS!$L$6:$L$28,$P2244),INDEX(PARAMETROS_CULTURAS!$L$6:$L$28,$P2244)+(INDEX(PARAMETROS_CULTURAS!$M$6:$M$28,$P2244)-INDEX(PARAMETROS_CULTURAS!$L$6:$L$28,$P2244))*($O2244-INDEX(PARAMETROS_CULTURAS!$F$6:$F$28,$P2244)-INDEX(PARAMETROS_CULTURAS!$G$6:$G$28,$P2244)-INDEX(PARAMETROS_CULTURAS!$H$6:$H$28,$P2244))/MAX(INDEX(PARAMETROS_CULTURAS!$I$6:$I$28,$P2244),0.0001)))))</f>
        <v>0</v>
      </c>
      <c r="S2244" s="18" t="n">
        <f aca="false">IFERROR(INDEX(SEMANAS!$H$6:$H$71,MATCH($B2244,SEMANAS!$B$6:$B$71,0)),0)</f>
        <v>39.2</v>
      </c>
      <c r="T2244" s="18" t="n">
        <f aca="false">$R2244*$S2244</f>
        <v>0</v>
      </c>
      <c r="U2244" s="18" t="n">
        <f aca="false">IFERROR(INDEX(SEMANAS!$I$6:$I$71,MATCH($B2244,SEMANAS!$B$6:$B$71,0)),0)</f>
        <v>27.09</v>
      </c>
      <c r="V2244" s="18" t="n">
        <f aca="false">IFERROR(INDEX(SEMANAS!$J$6:$J$71,MATCH($B2244,SEMANAS!$B$6:$B$71,0)),0)</f>
        <v>21.672</v>
      </c>
      <c r="W2244" s="18" t="n">
        <f aca="false">MAX(0,$T2244-$V2244)</f>
        <v>0</v>
      </c>
      <c r="X2244" s="19" t="n">
        <f aca="false">IFERROR(INDEX(CADASTRO_PIVOS!$K$6:$K$41,MATCH($E2244,CADASTRO_PIVOS!$B$6:$B$41,0)),EFICIENCIA_PADRAO)</f>
        <v>0.85</v>
      </c>
      <c r="Y2244" s="18" t="n">
        <f aca="false">IF($X2244&lt;=0,0,$W2244/$X2244)</f>
        <v>0</v>
      </c>
      <c r="Z2244" s="16" t="n">
        <f aca="false">$Y2244*$H2244*MM_PARA_M3_HA</f>
        <v>0</v>
      </c>
      <c r="AA2244" s="18" t="n">
        <f aca="false">IFERROR(INDEX(CADASTRO_PIVOS!$I$6:$I$41,MATCH($E2244,CADASTRO_PIVOS!$B$6:$B$41,0)),0)</f>
        <v>457.142857142857</v>
      </c>
      <c r="AB2244" s="18" t="n">
        <f aca="false">IF($Z2244&lt;=0,0,$Z2244/$AA2244)</f>
        <v>0</v>
      </c>
      <c r="AC2244" s="16" t="n">
        <f aca="false">IFERROR(INDEX(SEMANAS!$K$6:$K$71,MATCH($B2244,SEMANAS!$B$6:$B$71,0)),0)</f>
        <v>147</v>
      </c>
      <c r="AD2244" s="19" t="n">
        <f aca="false">IF($AC2244&lt;=0,0,$AB2244/$AC2244)</f>
        <v>0</v>
      </c>
      <c r="AE2244" s="8" t="str">
        <f aca="false">IF($K2244="SEM CULTURA","SEM CULTURA",IF($AA2244&lt;=0,"DADO PENDENTE",IF($AD2244&gt;LIMITE_CRITICO,"INVIAVEL",IF($AD2244&gt;LIMITE_ATENCAO,"CRITICO",IF($AD2244&gt;LIMITE_CONFORTAVEL,"ATENCAO","OK")))))</f>
        <v>SEM CULTURA</v>
      </c>
      <c r="AF2244" s="8" t="str">
        <f aca="false">$B2244&amp;"|"&amp;TEXT($AD2244,"0.000000")</f>
        <v>61|0.000000</v>
      </c>
      <c r="AG2244" s="18" t="n">
        <f aca="false">IF($K2244="SEM CULTURA",0,$T2244*$H2244)</f>
        <v>0</v>
      </c>
      <c r="AH2244" s="18" t="n">
        <f aca="false">IF($K2244="SEM CULTURA",0,$V2244*$H2244)</f>
        <v>0</v>
      </c>
      <c r="AI2244" s="18" t="n">
        <f aca="false">IF($K2244="SEM CULTURA",0,$W2244*$H2244)</f>
        <v>0</v>
      </c>
      <c r="AJ2244" s="18" t="n">
        <f aca="false">IF($K2244="SEM CULTURA",0,$S2244*$H2244)</f>
        <v>0</v>
      </c>
      <c r="AK2244" s="8" t="str">
        <f aca="false">$E2244&amp;"|"&amp;TEXT($AD2244,"0.000000")</f>
        <v>PV 135|0.000000</v>
      </c>
    </row>
    <row r="2245" customFormat="false" ht="15" hidden="false" customHeight="false" outlineLevel="0" collapsed="false">
      <c r="B2245" s="16" t="n">
        <v>62</v>
      </c>
      <c r="C2245" s="17" t="n">
        <f aca="false">DATA_INICIO_SAFRA+($B2245-1)*DIAS_POR_SEMANA</f>
        <v>46692</v>
      </c>
      <c r="D2245" s="17" t="n">
        <f aca="false">$C2245+DIAS_POR_SEMANA-1</f>
        <v>46698</v>
      </c>
      <c r="E2245" s="15" t="s">
        <v>292</v>
      </c>
      <c r="F2245" s="8" t="str">
        <f aca="false">IFERROR(INDEX(CADASTRO_PIVOS!$C$6:$C$41,MATCH($E2245,CADASTRO_PIVOS!$B$6:$B$41,0)),"?")</f>
        <v>RM08</v>
      </c>
      <c r="G2245" s="8" t="str">
        <f aca="false">IFERROR(INDEX(CADASTRO_PIVOS!$D$6:$D$41,MATCH($E2245,CADASTRO_PIVOS!$B$6:$B$41,0)),"?")</f>
        <v>TR08</v>
      </c>
      <c r="H2245" s="20" t="n">
        <f aca="false">IFERROR(INDEX(CADASTRO_PIVOS!$E$6:$E$41,MATCH($E2245,CADASTRO_PIVOS!$B$6:$B$41,0)),0)</f>
        <v>64</v>
      </c>
      <c r="I2245" s="16" t="n">
        <f aca="false">IFERROR(SUMIFS(ROTACAO_RDM!$B$6:$B$71,ROTACAO_RDM!$D$6:$D$71,$E2245,ROTACAO_RDM!$I$6:$I$71,"&lt;="&amp;$C2245+INT(DIAS_POR_SEMANA/2),ROTACAO_RDM!$J$6:$J$71,"&gt;="&amp;$C2245+INT(DIAS_POR_SEMANA/2)),0)</f>
        <v>0</v>
      </c>
      <c r="J2245" s="16" t="n">
        <f aca="false">IFERROR(MATCH($I2245,ROTACAO_RDM!$B$6:$B$71,0),0)</f>
        <v>0</v>
      </c>
      <c r="K2245" s="8" t="str">
        <f aca="false">IF($J2245=0,"SEM CULTURA",INDEX(ROTACAO_RDM!$F$6:$F$71,$J2245))</f>
        <v>SEM CULTURA</v>
      </c>
      <c r="L2245" s="8" t="str">
        <f aca="false">IF($J2245=0,"",INDEX(ROTACAO_RDM!$G$6:$G$71,$J2245))</f>
        <v/>
      </c>
      <c r="M2245" s="17" t="str">
        <f aca="false">IF($J2245=0,"",INDEX(ROTACAO_RDM!$I$6:$I$71,$J2245))</f>
        <v/>
      </c>
      <c r="N2245" s="16" t="n">
        <f aca="false">IF($J2245=0,0,MAX(0,$C2245+INT(DIAS_POR_SEMANA/2)-INDEX(ROTACAO_RDM!$I$6:$I$71,$J2245)))</f>
        <v>0</v>
      </c>
      <c r="O2245" s="19" t="n">
        <f aca="false">IF($J2245=0,0,MIN(1,$N2245/MAX(1,INDEX(ROTACAO_RDM!$K$6:$K$71,$J2245))))</f>
        <v>0</v>
      </c>
      <c r="P2245" s="16" t="n">
        <f aca="false">IF($J2245=0,0,IFERROR(MATCH(INDEX(ROTACAO_RDM!$N$6:$N$71,$J2245),PARAMETROS_CULTURAS!$B$6:$B$28,0),0))</f>
        <v>0</v>
      </c>
      <c r="Q2245" s="8" t="str">
        <f aca="false">IF($P2245=0,"-",IF($O2245&lt;=INDEX(PARAMETROS_CULTURAS!$F$6:$F$28,$P2245),"INICIAL",IF($O2245&lt;=INDEX(PARAMETROS_CULTURAS!$F$6:$F$28,$P2245)+INDEX(PARAMETROS_CULTURAS!$G$6:$G$28,$P2245),"DESENVOLVIMENTO",IF($O2245&lt;=INDEX(PARAMETROS_CULTURAS!$F$6:$F$28,$P2245)+INDEX(PARAMETROS_CULTURAS!$G$6:$G$28,$P2245)+INDEX(PARAMETROS_CULTURAS!$H$6:$H$28,$P2245),"MEDIA","FINAL"))))</f>
        <v>-</v>
      </c>
      <c r="R2245" s="24" t="n">
        <f aca="false">IF($P2245=0,0,IF($O2245&lt;=INDEX(PARAMETROS_CULTURAS!$F$6:$F$28,$P2245),INDEX(PARAMETROS_CULTURAS!$K$6:$K$28,$P2245),IF($O2245&lt;=INDEX(PARAMETROS_CULTURAS!$F$6:$F$28,$P2245)+INDEX(PARAMETROS_CULTURAS!$G$6:$G$28,$P2245),INDEX(PARAMETROS_CULTURAS!$K$6:$K$28,$P2245)+(INDEX(PARAMETROS_CULTURAS!$L$6:$L$28,$P2245)-INDEX(PARAMETROS_CULTURAS!$K$6:$K$28,$P2245))*($O2245-INDEX(PARAMETROS_CULTURAS!$F$6:$F$28,$P2245))/MAX(INDEX(PARAMETROS_CULTURAS!$G$6:$G$28,$P2245),0.0001),IF($O2245&lt;=INDEX(PARAMETROS_CULTURAS!$F$6:$F$28,$P2245)+INDEX(PARAMETROS_CULTURAS!$G$6:$G$28,$P2245)+INDEX(PARAMETROS_CULTURAS!$H$6:$H$28,$P2245),INDEX(PARAMETROS_CULTURAS!$L$6:$L$28,$P2245),INDEX(PARAMETROS_CULTURAS!$L$6:$L$28,$P2245)+(INDEX(PARAMETROS_CULTURAS!$M$6:$M$28,$P2245)-INDEX(PARAMETROS_CULTURAS!$L$6:$L$28,$P2245))*($O2245-INDEX(PARAMETROS_CULTURAS!$F$6:$F$28,$P2245)-INDEX(PARAMETROS_CULTURAS!$G$6:$G$28,$P2245)-INDEX(PARAMETROS_CULTURAS!$H$6:$H$28,$P2245))/MAX(INDEX(PARAMETROS_CULTURAS!$I$6:$I$28,$P2245),0.0001)))))</f>
        <v>0</v>
      </c>
      <c r="S2245" s="18" t="n">
        <f aca="false">IFERROR(INDEX(SEMANAS!$H$6:$H$71,MATCH($B2245,SEMANAS!$B$6:$B$71,0)),0)</f>
        <v>34.3</v>
      </c>
      <c r="T2245" s="18" t="n">
        <f aca="false">$R2245*$S2245</f>
        <v>0</v>
      </c>
      <c r="U2245" s="18" t="n">
        <f aca="false">IFERROR(INDEX(SEMANAS!$I$6:$I$71,MATCH($B2245,SEMANAS!$B$6:$B$71,0)),0)</f>
        <v>46.69</v>
      </c>
      <c r="V2245" s="18" t="n">
        <f aca="false">IFERROR(INDEX(SEMANAS!$J$6:$J$71,MATCH($B2245,SEMANAS!$B$6:$B$71,0)),0)</f>
        <v>37.352</v>
      </c>
      <c r="W2245" s="18" t="n">
        <f aca="false">MAX(0,$T2245-$V2245)</f>
        <v>0</v>
      </c>
      <c r="X2245" s="19" t="n">
        <f aca="false">IFERROR(INDEX(CADASTRO_PIVOS!$K$6:$K$41,MATCH($E2245,CADASTRO_PIVOS!$B$6:$B$41,0)),EFICIENCIA_PADRAO)</f>
        <v>0.85</v>
      </c>
      <c r="Y2245" s="18" t="n">
        <f aca="false">IF($X2245&lt;=0,0,$W2245/$X2245)</f>
        <v>0</v>
      </c>
      <c r="Z2245" s="16" t="n">
        <f aca="false">$Y2245*$H2245*MM_PARA_M3_HA</f>
        <v>0</v>
      </c>
      <c r="AA2245" s="18" t="n">
        <f aca="false">IFERROR(INDEX(CADASTRO_PIVOS!$I$6:$I$41,MATCH($E2245,CADASTRO_PIVOS!$B$6:$B$41,0)),0)</f>
        <v>457.142857142857</v>
      </c>
      <c r="AB2245" s="18" t="n">
        <f aca="false">IF($Z2245&lt;=0,0,$Z2245/$AA2245)</f>
        <v>0</v>
      </c>
      <c r="AC2245" s="16" t="n">
        <f aca="false">IFERROR(INDEX(SEMANAS!$K$6:$K$71,MATCH($B2245,SEMANAS!$B$6:$B$71,0)),0)</f>
        <v>147</v>
      </c>
      <c r="AD2245" s="19" t="n">
        <f aca="false">IF($AC2245&lt;=0,0,$AB2245/$AC2245)</f>
        <v>0</v>
      </c>
      <c r="AE2245" s="8" t="str">
        <f aca="false">IF($K2245="SEM CULTURA","SEM CULTURA",IF($AA2245&lt;=0,"DADO PENDENTE",IF($AD2245&gt;LIMITE_CRITICO,"INVIAVEL",IF($AD2245&gt;LIMITE_ATENCAO,"CRITICO",IF($AD2245&gt;LIMITE_CONFORTAVEL,"ATENCAO","OK")))))</f>
        <v>SEM CULTURA</v>
      </c>
      <c r="AF2245" s="8" t="str">
        <f aca="false">$B2245&amp;"|"&amp;TEXT($AD2245,"0.000000")</f>
        <v>62|0.000000</v>
      </c>
      <c r="AG2245" s="18" t="n">
        <f aca="false">IF($K2245="SEM CULTURA",0,$T2245*$H2245)</f>
        <v>0</v>
      </c>
      <c r="AH2245" s="18" t="n">
        <f aca="false">IF($K2245="SEM CULTURA",0,$V2245*$H2245)</f>
        <v>0</v>
      </c>
      <c r="AI2245" s="18" t="n">
        <f aca="false">IF($K2245="SEM CULTURA",0,$W2245*$H2245)</f>
        <v>0</v>
      </c>
      <c r="AJ2245" s="18" t="n">
        <f aca="false">IF($K2245="SEM CULTURA",0,$S2245*$H2245)</f>
        <v>0</v>
      </c>
      <c r="AK2245" s="8" t="str">
        <f aca="false">$E2245&amp;"|"&amp;TEXT($AD2245,"0.000000")</f>
        <v>PV 135|0.000000</v>
      </c>
    </row>
    <row r="2246" customFormat="false" ht="15" hidden="false" customHeight="false" outlineLevel="0" collapsed="false">
      <c r="B2246" s="16" t="n">
        <v>63</v>
      </c>
      <c r="C2246" s="17" t="n">
        <f aca="false">DATA_INICIO_SAFRA+($B2246-1)*DIAS_POR_SEMANA</f>
        <v>46699</v>
      </c>
      <c r="D2246" s="17" t="n">
        <f aca="false">$C2246+DIAS_POR_SEMANA-1</f>
        <v>46705</v>
      </c>
      <c r="E2246" s="15" t="s">
        <v>292</v>
      </c>
      <c r="F2246" s="8" t="str">
        <f aca="false">IFERROR(INDEX(CADASTRO_PIVOS!$C$6:$C$41,MATCH($E2246,CADASTRO_PIVOS!$B$6:$B$41,0)),"?")</f>
        <v>RM08</v>
      </c>
      <c r="G2246" s="8" t="str">
        <f aca="false">IFERROR(INDEX(CADASTRO_PIVOS!$D$6:$D$41,MATCH($E2246,CADASTRO_PIVOS!$B$6:$B$41,0)),"?")</f>
        <v>TR08</v>
      </c>
      <c r="H2246" s="20" t="n">
        <f aca="false">IFERROR(INDEX(CADASTRO_PIVOS!$E$6:$E$41,MATCH($E2246,CADASTRO_PIVOS!$B$6:$B$41,0)),0)</f>
        <v>64</v>
      </c>
      <c r="I2246" s="16" t="n">
        <f aca="false">IFERROR(SUMIFS(ROTACAO_RDM!$B$6:$B$71,ROTACAO_RDM!$D$6:$D$71,$E2246,ROTACAO_RDM!$I$6:$I$71,"&lt;="&amp;$C2246+INT(DIAS_POR_SEMANA/2),ROTACAO_RDM!$J$6:$J$71,"&gt;="&amp;$C2246+INT(DIAS_POR_SEMANA/2)),0)</f>
        <v>0</v>
      </c>
      <c r="J2246" s="16" t="n">
        <f aca="false">IFERROR(MATCH($I2246,ROTACAO_RDM!$B$6:$B$71,0),0)</f>
        <v>0</v>
      </c>
      <c r="K2246" s="8" t="str">
        <f aca="false">IF($J2246=0,"SEM CULTURA",INDEX(ROTACAO_RDM!$F$6:$F$71,$J2246))</f>
        <v>SEM CULTURA</v>
      </c>
      <c r="L2246" s="8" t="str">
        <f aca="false">IF($J2246=0,"",INDEX(ROTACAO_RDM!$G$6:$G$71,$J2246))</f>
        <v/>
      </c>
      <c r="M2246" s="17" t="str">
        <f aca="false">IF($J2246=0,"",INDEX(ROTACAO_RDM!$I$6:$I$71,$J2246))</f>
        <v/>
      </c>
      <c r="N2246" s="16" t="n">
        <f aca="false">IF($J2246=0,0,MAX(0,$C2246+INT(DIAS_POR_SEMANA/2)-INDEX(ROTACAO_RDM!$I$6:$I$71,$J2246)))</f>
        <v>0</v>
      </c>
      <c r="O2246" s="19" t="n">
        <f aca="false">IF($J2246=0,0,MIN(1,$N2246/MAX(1,INDEX(ROTACAO_RDM!$K$6:$K$71,$J2246))))</f>
        <v>0</v>
      </c>
      <c r="P2246" s="16" t="n">
        <f aca="false">IF($J2246=0,0,IFERROR(MATCH(INDEX(ROTACAO_RDM!$N$6:$N$71,$J2246),PARAMETROS_CULTURAS!$B$6:$B$28,0),0))</f>
        <v>0</v>
      </c>
      <c r="Q2246" s="8" t="str">
        <f aca="false">IF($P2246=0,"-",IF($O2246&lt;=INDEX(PARAMETROS_CULTURAS!$F$6:$F$28,$P2246),"INICIAL",IF($O2246&lt;=INDEX(PARAMETROS_CULTURAS!$F$6:$F$28,$P2246)+INDEX(PARAMETROS_CULTURAS!$G$6:$G$28,$P2246),"DESENVOLVIMENTO",IF($O2246&lt;=INDEX(PARAMETROS_CULTURAS!$F$6:$F$28,$P2246)+INDEX(PARAMETROS_CULTURAS!$G$6:$G$28,$P2246)+INDEX(PARAMETROS_CULTURAS!$H$6:$H$28,$P2246),"MEDIA","FINAL"))))</f>
        <v>-</v>
      </c>
      <c r="R2246" s="24" t="n">
        <f aca="false">IF($P2246=0,0,IF($O2246&lt;=INDEX(PARAMETROS_CULTURAS!$F$6:$F$28,$P2246),INDEX(PARAMETROS_CULTURAS!$K$6:$K$28,$P2246),IF($O2246&lt;=INDEX(PARAMETROS_CULTURAS!$F$6:$F$28,$P2246)+INDEX(PARAMETROS_CULTURAS!$G$6:$G$28,$P2246),INDEX(PARAMETROS_CULTURAS!$K$6:$K$28,$P2246)+(INDEX(PARAMETROS_CULTURAS!$L$6:$L$28,$P2246)-INDEX(PARAMETROS_CULTURAS!$K$6:$K$28,$P2246))*($O2246-INDEX(PARAMETROS_CULTURAS!$F$6:$F$28,$P2246))/MAX(INDEX(PARAMETROS_CULTURAS!$G$6:$G$28,$P2246),0.0001),IF($O2246&lt;=INDEX(PARAMETROS_CULTURAS!$F$6:$F$28,$P2246)+INDEX(PARAMETROS_CULTURAS!$G$6:$G$28,$P2246)+INDEX(PARAMETROS_CULTURAS!$H$6:$H$28,$P2246),INDEX(PARAMETROS_CULTURAS!$L$6:$L$28,$P2246),INDEX(PARAMETROS_CULTURAS!$L$6:$L$28,$P2246)+(INDEX(PARAMETROS_CULTURAS!$M$6:$M$28,$P2246)-INDEX(PARAMETROS_CULTURAS!$L$6:$L$28,$P2246))*($O2246-INDEX(PARAMETROS_CULTURAS!$F$6:$F$28,$P2246)-INDEX(PARAMETROS_CULTURAS!$G$6:$G$28,$P2246)-INDEX(PARAMETROS_CULTURAS!$H$6:$H$28,$P2246))/MAX(INDEX(PARAMETROS_CULTURAS!$I$6:$I$28,$P2246),0.0001)))))</f>
        <v>0</v>
      </c>
      <c r="S2246" s="18" t="n">
        <f aca="false">IFERROR(INDEX(SEMANAS!$H$6:$H$71,MATCH($B2246,SEMANAS!$B$6:$B$71,0)),0)</f>
        <v>34.3</v>
      </c>
      <c r="T2246" s="18" t="n">
        <f aca="false">$R2246*$S2246</f>
        <v>0</v>
      </c>
      <c r="U2246" s="18" t="n">
        <f aca="false">IFERROR(INDEX(SEMANAS!$I$6:$I$71,MATCH($B2246,SEMANAS!$B$6:$B$71,0)),0)</f>
        <v>46.69</v>
      </c>
      <c r="V2246" s="18" t="n">
        <f aca="false">IFERROR(INDEX(SEMANAS!$J$6:$J$71,MATCH($B2246,SEMANAS!$B$6:$B$71,0)),0)</f>
        <v>37.352</v>
      </c>
      <c r="W2246" s="18" t="n">
        <f aca="false">MAX(0,$T2246-$V2246)</f>
        <v>0</v>
      </c>
      <c r="X2246" s="19" t="n">
        <f aca="false">IFERROR(INDEX(CADASTRO_PIVOS!$K$6:$K$41,MATCH($E2246,CADASTRO_PIVOS!$B$6:$B$41,0)),EFICIENCIA_PADRAO)</f>
        <v>0.85</v>
      </c>
      <c r="Y2246" s="18" t="n">
        <f aca="false">IF($X2246&lt;=0,0,$W2246/$X2246)</f>
        <v>0</v>
      </c>
      <c r="Z2246" s="16" t="n">
        <f aca="false">$Y2246*$H2246*MM_PARA_M3_HA</f>
        <v>0</v>
      </c>
      <c r="AA2246" s="18" t="n">
        <f aca="false">IFERROR(INDEX(CADASTRO_PIVOS!$I$6:$I$41,MATCH($E2246,CADASTRO_PIVOS!$B$6:$B$41,0)),0)</f>
        <v>457.142857142857</v>
      </c>
      <c r="AB2246" s="18" t="n">
        <f aca="false">IF($Z2246&lt;=0,0,$Z2246/$AA2246)</f>
        <v>0</v>
      </c>
      <c r="AC2246" s="16" t="n">
        <f aca="false">IFERROR(INDEX(SEMANAS!$K$6:$K$71,MATCH($B2246,SEMANAS!$B$6:$B$71,0)),0)</f>
        <v>147</v>
      </c>
      <c r="AD2246" s="19" t="n">
        <f aca="false">IF($AC2246&lt;=0,0,$AB2246/$AC2246)</f>
        <v>0</v>
      </c>
      <c r="AE2246" s="8" t="str">
        <f aca="false">IF($K2246="SEM CULTURA","SEM CULTURA",IF($AA2246&lt;=0,"DADO PENDENTE",IF($AD2246&gt;LIMITE_CRITICO,"INVIAVEL",IF($AD2246&gt;LIMITE_ATENCAO,"CRITICO",IF($AD2246&gt;LIMITE_CONFORTAVEL,"ATENCAO","OK")))))</f>
        <v>SEM CULTURA</v>
      </c>
      <c r="AF2246" s="8" t="str">
        <f aca="false">$B2246&amp;"|"&amp;TEXT($AD2246,"0.000000")</f>
        <v>63|0.000000</v>
      </c>
      <c r="AG2246" s="18" t="n">
        <f aca="false">IF($K2246="SEM CULTURA",0,$T2246*$H2246)</f>
        <v>0</v>
      </c>
      <c r="AH2246" s="18" t="n">
        <f aca="false">IF($K2246="SEM CULTURA",0,$V2246*$H2246)</f>
        <v>0</v>
      </c>
      <c r="AI2246" s="18" t="n">
        <f aca="false">IF($K2246="SEM CULTURA",0,$W2246*$H2246)</f>
        <v>0</v>
      </c>
      <c r="AJ2246" s="18" t="n">
        <f aca="false">IF($K2246="SEM CULTURA",0,$S2246*$H2246)</f>
        <v>0</v>
      </c>
      <c r="AK2246" s="8" t="str">
        <f aca="false">$E2246&amp;"|"&amp;TEXT($AD2246,"0.000000")</f>
        <v>PV 135|0.000000</v>
      </c>
    </row>
    <row r="2247" customFormat="false" ht="15" hidden="false" customHeight="false" outlineLevel="0" collapsed="false">
      <c r="B2247" s="16" t="n">
        <v>64</v>
      </c>
      <c r="C2247" s="17" t="n">
        <f aca="false">DATA_INICIO_SAFRA+($B2247-1)*DIAS_POR_SEMANA</f>
        <v>46706</v>
      </c>
      <c r="D2247" s="17" t="n">
        <f aca="false">$C2247+DIAS_POR_SEMANA-1</f>
        <v>46712</v>
      </c>
      <c r="E2247" s="15" t="s">
        <v>292</v>
      </c>
      <c r="F2247" s="8" t="str">
        <f aca="false">IFERROR(INDEX(CADASTRO_PIVOS!$C$6:$C$41,MATCH($E2247,CADASTRO_PIVOS!$B$6:$B$41,0)),"?")</f>
        <v>RM08</v>
      </c>
      <c r="G2247" s="8" t="str">
        <f aca="false">IFERROR(INDEX(CADASTRO_PIVOS!$D$6:$D$41,MATCH($E2247,CADASTRO_PIVOS!$B$6:$B$41,0)),"?")</f>
        <v>TR08</v>
      </c>
      <c r="H2247" s="20" t="n">
        <f aca="false">IFERROR(INDEX(CADASTRO_PIVOS!$E$6:$E$41,MATCH($E2247,CADASTRO_PIVOS!$B$6:$B$41,0)),0)</f>
        <v>64</v>
      </c>
      <c r="I2247" s="16" t="n">
        <f aca="false">IFERROR(SUMIFS(ROTACAO_RDM!$B$6:$B$71,ROTACAO_RDM!$D$6:$D$71,$E2247,ROTACAO_RDM!$I$6:$I$71,"&lt;="&amp;$C2247+INT(DIAS_POR_SEMANA/2),ROTACAO_RDM!$J$6:$J$71,"&gt;="&amp;$C2247+INT(DIAS_POR_SEMANA/2)),0)</f>
        <v>0</v>
      </c>
      <c r="J2247" s="16" t="n">
        <f aca="false">IFERROR(MATCH($I2247,ROTACAO_RDM!$B$6:$B$71,0),0)</f>
        <v>0</v>
      </c>
      <c r="K2247" s="8" t="str">
        <f aca="false">IF($J2247=0,"SEM CULTURA",INDEX(ROTACAO_RDM!$F$6:$F$71,$J2247))</f>
        <v>SEM CULTURA</v>
      </c>
      <c r="L2247" s="8" t="str">
        <f aca="false">IF($J2247=0,"",INDEX(ROTACAO_RDM!$G$6:$G$71,$J2247))</f>
        <v/>
      </c>
      <c r="M2247" s="17" t="str">
        <f aca="false">IF($J2247=0,"",INDEX(ROTACAO_RDM!$I$6:$I$71,$J2247))</f>
        <v/>
      </c>
      <c r="N2247" s="16" t="n">
        <f aca="false">IF($J2247=0,0,MAX(0,$C2247+INT(DIAS_POR_SEMANA/2)-INDEX(ROTACAO_RDM!$I$6:$I$71,$J2247)))</f>
        <v>0</v>
      </c>
      <c r="O2247" s="19" t="n">
        <f aca="false">IF($J2247=0,0,MIN(1,$N2247/MAX(1,INDEX(ROTACAO_RDM!$K$6:$K$71,$J2247))))</f>
        <v>0</v>
      </c>
      <c r="P2247" s="16" t="n">
        <f aca="false">IF($J2247=0,0,IFERROR(MATCH(INDEX(ROTACAO_RDM!$N$6:$N$71,$J2247),PARAMETROS_CULTURAS!$B$6:$B$28,0),0))</f>
        <v>0</v>
      </c>
      <c r="Q2247" s="8" t="str">
        <f aca="false">IF($P2247=0,"-",IF($O2247&lt;=INDEX(PARAMETROS_CULTURAS!$F$6:$F$28,$P2247),"INICIAL",IF($O2247&lt;=INDEX(PARAMETROS_CULTURAS!$F$6:$F$28,$P2247)+INDEX(PARAMETROS_CULTURAS!$G$6:$G$28,$P2247),"DESENVOLVIMENTO",IF($O2247&lt;=INDEX(PARAMETROS_CULTURAS!$F$6:$F$28,$P2247)+INDEX(PARAMETROS_CULTURAS!$G$6:$G$28,$P2247)+INDEX(PARAMETROS_CULTURAS!$H$6:$H$28,$P2247),"MEDIA","FINAL"))))</f>
        <v>-</v>
      </c>
      <c r="R2247" s="24" t="n">
        <f aca="false">IF($P2247=0,0,IF($O2247&lt;=INDEX(PARAMETROS_CULTURAS!$F$6:$F$28,$P2247),INDEX(PARAMETROS_CULTURAS!$K$6:$K$28,$P2247),IF($O2247&lt;=INDEX(PARAMETROS_CULTURAS!$F$6:$F$28,$P2247)+INDEX(PARAMETROS_CULTURAS!$G$6:$G$28,$P2247),INDEX(PARAMETROS_CULTURAS!$K$6:$K$28,$P2247)+(INDEX(PARAMETROS_CULTURAS!$L$6:$L$28,$P2247)-INDEX(PARAMETROS_CULTURAS!$K$6:$K$28,$P2247))*($O2247-INDEX(PARAMETROS_CULTURAS!$F$6:$F$28,$P2247))/MAX(INDEX(PARAMETROS_CULTURAS!$G$6:$G$28,$P2247),0.0001),IF($O2247&lt;=INDEX(PARAMETROS_CULTURAS!$F$6:$F$28,$P2247)+INDEX(PARAMETROS_CULTURAS!$G$6:$G$28,$P2247)+INDEX(PARAMETROS_CULTURAS!$H$6:$H$28,$P2247),INDEX(PARAMETROS_CULTURAS!$L$6:$L$28,$P2247),INDEX(PARAMETROS_CULTURAS!$L$6:$L$28,$P2247)+(INDEX(PARAMETROS_CULTURAS!$M$6:$M$28,$P2247)-INDEX(PARAMETROS_CULTURAS!$L$6:$L$28,$P2247))*($O2247-INDEX(PARAMETROS_CULTURAS!$F$6:$F$28,$P2247)-INDEX(PARAMETROS_CULTURAS!$G$6:$G$28,$P2247)-INDEX(PARAMETROS_CULTURAS!$H$6:$H$28,$P2247))/MAX(INDEX(PARAMETROS_CULTURAS!$I$6:$I$28,$P2247),0.0001)))))</f>
        <v>0</v>
      </c>
      <c r="S2247" s="18" t="n">
        <f aca="false">IFERROR(INDEX(SEMANAS!$H$6:$H$71,MATCH($B2247,SEMANAS!$B$6:$B$71,0)),0)</f>
        <v>34.3</v>
      </c>
      <c r="T2247" s="18" t="n">
        <f aca="false">$R2247*$S2247</f>
        <v>0</v>
      </c>
      <c r="U2247" s="18" t="n">
        <f aca="false">IFERROR(INDEX(SEMANAS!$I$6:$I$71,MATCH($B2247,SEMANAS!$B$6:$B$71,0)),0)</f>
        <v>46.69</v>
      </c>
      <c r="V2247" s="18" t="n">
        <f aca="false">IFERROR(INDEX(SEMANAS!$J$6:$J$71,MATCH($B2247,SEMANAS!$B$6:$B$71,0)),0)</f>
        <v>37.352</v>
      </c>
      <c r="W2247" s="18" t="n">
        <f aca="false">MAX(0,$T2247-$V2247)</f>
        <v>0</v>
      </c>
      <c r="X2247" s="19" t="n">
        <f aca="false">IFERROR(INDEX(CADASTRO_PIVOS!$K$6:$K$41,MATCH($E2247,CADASTRO_PIVOS!$B$6:$B$41,0)),EFICIENCIA_PADRAO)</f>
        <v>0.85</v>
      </c>
      <c r="Y2247" s="18" t="n">
        <f aca="false">IF($X2247&lt;=0,0,$W2247/$X2247)</f>
        <v>0</v>
      </c>
      <c r="Z2247" s="16" t="n">
        <f aca="false">$Y2247*$H2247*MM_PARA_M3_HA</f>
        <v>0</v>
      </c>
      <c r="AA2247" s="18" t="n">
        <f aca="false">IFERROR(INDEX(CADASTRO_PIVOS!$I$6:$I$41,MATCH($E2247,CADASTRO_PIVOS!$B$6:$B$41,0)),0)</f>
        <v>457.142857142857</v>
      </c>
      <c r="AB2247" s="18" t="n">
        <f aca="false">IF($Z2247&lt;=0,0,$Z2247/$AA2247)</f>
        <v>0</v>
      </c>
      <c r="AC2247" s="16" t="n">
        <f aca="false">IFERROR(INDEX(SEMANAS!$K$6:$K$71,MATCH($B2247,SEMANAS!$B$6:$B$71,0)),0)</f>
        <v>147</v>
      </c>
      <c r="AD2247" s="19" t="n">
        <f aca="false">IF($AC2247&lt;=0,0,$AB2247/$AC2247)</f>
        <v>0</v>
      </c>
      <c r="AE2247" s="8" t="str">
        <f aca="false">IF($K2247="SEM CULTURA","SEM CULTURA",IF($AA2247&lt;=0,"DADO PENDENTE",IF($AD2247&gt;LIMITE_CRITICO,"INVIAVEL",IF($AD2247&gt;LIMITE_ATENCAO,"CRITICO",IF($AD2247&gt;LIMITE_CONFORTAVEL,"ATENCAO","OK")))))</f>
        <v>SEM CULTURA</v>
      </c>
      <c r="AF2247" s="8" t="str">
        <f aca="false">$B2247&amp;"|"&amp;TEXT($AD2247,"0.000000")</f>
        <v>64|0.000000</v>
      </c>
      <c r="AG2247" s="18" t="n">
        <f aca="false">IF($K2247="SEM CULTURA",0,$T2247*$H2247)</f>
        <v>0</v>
      </c>
      <c r="AH2247" s="18" t="n">
        <f aca="false">IF($K2247="SEM CULTURA",0,$V2247*$H2247)</f>
        <v>0</v>
      </c>
      <c r="AI2247" s="18" t="n">
        <f aca="false">IF($K2247="SEM CULTURA",0,$W2247*$H2247)</f>
        <v>0</v>
      </c>
      <c r="AJ2247" s="18" t="n">
        <f aca="false">IF($K2247="SEM CULTURA",0,$S2247*$H2247)</f>
        <v>0</v>
      </c>
      <c r="AK2247" s="8" t="str">
        <f aca="false">$E2247&amp;"|"&amp;TEXT($AD2247,"0.000000")</f>
        <v>PV 135|0.000000</v>
      </c>
    </row>
    <row r="2248" customFormat="false" ht="15" hidden="false" customHeight="false" outlineLevel="0" collapsed="false">
      <c r="B2248" s="16" t="n">
        <v>65</v>
      </c>
      <c r="C2248" s="17" t="n">
        <f aca="false">DATA_INICIO_SAFRA+($B2248-1)*DIAS_POR_SEMANA</f>
        <v>46713</v>
      </c>
      <c r="D2248" s="17" t="n">
        <f aca="false">$C2248+DIAS_POR_SEMANA-1</f>
        <v>46719</v>
      </c>
      <c r="E2248" s="15" t="s">
        <v>292</v>
      </c>
      <c r="F2248" s="8" t="str">
        <f aca="false">IFERROR(INDEX(CADASTRO_PIVOS!$C$6:$C$41,MATCH($E2248,CADASTRO_PIVOS!$B$6:$B$41,0)),"?")</f>
        <v>RM08</v>
      </c>
      <c r="G2248" s="8" t="str">
        <f aca="false">IFERROR(INDEX(CADASTRO_PIVOS!$D$6:$D$41,MATCH($E2248,CADASTRO_PIVOS!$B$6:$B$41,0)),"?")</f>
        <v>TR08</v>
      </c>
      <c r="H2248" s="20" t="n">
        <f aca="false">IFERROR(INDEX(CADASTRO_PIVOS!$E$6:$E$41,MATCH($E2248,CADASTRO_PIVOS!$B$6:$B$41,0)),0)</f>
        <v>64</v>
      </c>
      <c r="I2248" s="16" t="n">
        <f aca="false">IFERROR(SUMIFS(ROTACAO_RDM!$B$6:$B$71,ROTACAO_RDM!$D$6:$D$71,$E2248,ROTACAO_RDM!$I$6:$I$71,"&lt;="&amp;$C2248+INT(DIAS_POR_SEMANA/2),ROTACAO_RDM!$J$6:$J$71,"&gt;="&amp;$C2248+INT(DIAS_POR_SEMANA/2)),0)</f>
        <v>0</v>
      </c>
      <c r="J2248" s="16" t="n">
        <f aca="false">IFERROR(MATCH($I2248,ROTACAO_RDM!$B$6:$B$71,0),0)</f>
        <v>0</v>
      </c>
      <c r="K2248" s="8" t="str">
        <f aca="false">IF($J2248=0,"SEM CULTURA",INDEX(ROTACAO_RDM!$F$6:$F$71,$J2248))</f>
        <v>SEM CULTURA</v>
      </c>
      <c r="L2248" s="8" t="str">
        <f aca="false">IF($J2248=0,"",INDEX(ROTACAO_RDM!$G$6:$G$71,$J2248))</f>
        <v/>
      </c>
      <c r="M2248" s="17" t="str">
        <f aca="false">IF($J2248=0,"",INDEX(ROTACAO_RDM!$I$6:$I$71,$J2248))</f>
        <v/>
      </c>
      <c r="N2248" s="16" t="n">
        <f aca="false">IF($J2248=0,0,MAX(0,$C2248+INT(DIAS_POR_SEMANA/2)-INDEX(ROTACAO_RDM!$I$6:$I$71,$J2248)))</f>
        <v>0</v>
      </c>
      <c r="O2248" s="19" t="n">
        <f aca="false">IF($J2248=0,0,MIN(1,$N2248/MAX(1,INDEX(ROTACAO_RDM!$K$6:$K$71,$J2248))))</f>
        <v>0</v>
      </c>
      <c r="P2248" s="16" t="n">
        <f aca="false">IF($J2248=0,0,IFERROR(MATCH(INDEX(ROTACAO_RDM!$N$6:$N$71,$J2248),PARAMETROS_CULTURAS!$B$6:$B$28,0),0))</f>
        <v>0</v>
      </c>
      <c r="Q2248" s="8" t="str">
        <f aca="false">IF($P2248=0,"-",IF($O2248&lt;=INDEX(PARAMETROS_CULTURAS!$F$6:$F$28,$P2248),"INICIAL",IF($O2248&lt;=INDEX(PARAMETROS_CULTURAS!$F$6:$F$28,$P2248)+INDEX(PARAMETROS_CULTURAS!$G$6:$G$28,$P2248),"DESENVOLVIMENTO",IF($O2248&lt;=INDEX(PARAMETROS_CULTURAS!$F$6:$F$28,$P2248)+INDEX(PARAMETROS_CULTURAS!$G$6:$G$28,$P2248)+INDEX(PARAMETROS_CULTURAS!$H$6:$H$28,$P2248),"MEDIA","FINAL"))))</f>
        <v>-</v>
      </c>
      <c r="R2248" s="24" t="n">
        <f aca="false">IF($P2248=0,0,IF($O2248&lt;=INDEX(PARAMETROS_CULTURAS!$F$6:$F$28,$P2248),INDEX(PARAMETROS_CULTURAS!$K$6:$K$28,$P2248),IF($O2248&lt;=INDEX(PARAMETROS_CULTURAS!$F$6:$F$28,$P2248)+INDEX(PARAMETROS_CULTURAS!$G$6:$G$28,$P2248),INDEX(PARAMETROS_CULTURAS!$K$6:$K$28,$P2248)+(INDEX(PARAMETROS_CULTURAS!$L$6:$L$28,$P2248)-INDEX(PARAMETROS_CULTURAS!$K$6:$K$28,$P2248))*($O2248-INDEX(PARAMETROS_CULTURAS!$F$6:$F$28,$P2248))/MAX(INDEX(PARAMETROS_CULTURAS!$G$6:$G$28,$P2248),0.0001),IF($O2248&lt;=INDEX(PARAMETROS_CULTURAS!$F$6:$F$28,$P2248)+INDEX(PARAMETROS_CULTURAS!$G$6:$G$28,$P2248)+INDEX(PARAMETROS_CULTURAS!$H$6:$H$28,$P2248),INDEX(PARAMETROS_CULTURAS!$L$6:$L$28,$P2248),INDEX(PARAMETROS_CULTURAS!$L$6:$L$28,$P2248)+(INDEX(PARAMETROS_CULTURAS!$M$6:$M$28,$P2248)-INDEX(PARAMETROS_CULTURAS!$L$6:$L$28,$P2248))*($O2248-INDEX(PARAMETROS_CULTURAS!$F$6:$F$28,$P2248)-INDEX(PARAMETROS_CULTURAS!$G$6:$G$28,$P2248)-INDEX(PARAMETROS_CULTURAS!$H$6:$H$28,$P2248))/MAX(INDEX(PARAMETROS_CULTURAS!$I$6:$I$28,$P2248),0.0001)))))</f>
        <v>0</v>
      </c>
      <c r="S2248" s="18" t="n">
        <f aca="false">IFERROR(INDEX(SEMANAS!$H$6:$H$71,MATCH($B2248,SEMANAS!$B$6:$B$71,0)),0)</f>
        <v>34.3</v>
      </c>
      <c r="T2248" s="18" t="n">
        <f aca="false">$R2248*$S2248</f>
        <v>0</v>
      </c>
      <c r="U2248" s="18" t="n">
        <f aca="false">IFERROR(INDEX(SEMANAS!$I$6:$I$71,MATCH($B2248,SEMANAS!$B$6:$B$71,0)),0)</f>
        <v>46.69</v>
      </c>
      <c r="V2248" s="18" t="n">
        <f aca="false">IFERROR(INDEX(SEMANAS!$J$6:$J$71,MATCH($B2248,SEMANAS!$B$6:$B$71,0)),0)</f>
        <v>37.352</v>
      </c>
      <c r="W2248" s="18" t="n">
        <f aca="false">MAX(0,$T2248-$V2248)</f>
        <v>0</v>
      </c>
      <c r="X2248" s="19" t="n">
        <f aca="false">IFERROR(INDEX(CADASTRO_PIVOS!$K$6:$K$41,MATCH($E2248,CADASTRO_PIVOS!$B$6:$B$41,0)),EFICIENCIA_PADRAO)</f>
        <v>0.85</v>
      </c>
      <c r="Y2248" s="18" t="n">
        <f aca="false">IF($X2248&lt;=0,0,$W2248/$X2248)</f>
        <v>0</v>
      </c>
      <c r="Z2248" s="16" t="n">
        <f aca="false">$Y2248*$H2248*MM_PARA_M3_HA</f>
        <v>0</v>
      </c>
      <c r="AA2248" s="18" t="n">
        <f aca="false">IFERROR(INDEX(CADASTRO_PIVOS!$I$6:$I$41,MATCH($E2248,CADASTRO_PIVOS!$B$6:$B$41,0)),0)</f>
        <v>457.142857142857</v>
      </c>
      <c r="AB2248" s="18" t="n">
        <f aca="false">IF($Z2248&lt;=0,0,$Z2248/$AA2248)</f>
        <v>0</v>
      </c>
      <c r="AC2248" s="16" t="n">
        <f aca="false">IFERROR(INDEX(SEMANAS!$K$6:$K$71,MATCH($B2248,SEMANAS!$B$6:$B$71,0)),0)</f>
        <v>147</v>
      </c>
      <c r="AD2248" s="19" t="n">
        <f aca="false">IF($AC2248&lt;=0,0,$AB2248/$AC2248)</f>
        <v>0</v>
      </c>
      <c r="AE2248" s="8" t="str">
        <f aca="false">IF($K2248="SEM CULTURA","SEM CULTURA",IF($AA2248&lt;=0,"DADO PENDENTE",IF($AD2248&gt;LIMITE_CRITICO,"INVIAVEL",IF($AD2248&gt;LIMITE_ATENCAO,"CRITICO",IF($AD2248&gt;LIMITE_CONFORTAVEL,"ATENCAO","OK")))))</f>
        <v>SEM CULTURA</v>
      </c>
      <c r="AF2248" s="8" t="str">
        <f aca="false">$B2248&amp;"|"&amp;TEXT($AD2248,"0.000000")</f>
        <v>65|0.000000</v>
      </c>
      <c r="AG2248" s="18" t="n">
        <f aca="false">IF($K2248="SEM CULTURA",0,$T2248*$H2248)</f>
        <v>0</v>
      </c>
      <c r="AH2248" s="18" t="n">
        <f aca="false">IF($K2248="SEM CULTURA",0,$V2248*$H2248)</f>
        <v>0</v>
      </c>
      <c r="AI2248" s="18" t="n">
        <f aca="false">IF($K2248="SEM CULTURA",0,$W2248*$H2248)</f>
        <v>0</v>
      </c>
      <c r="AJ2248" s="18" t="n">
        <f aca="false">IF($K2248="SEM CULTURA",0,$S2248*$H2248)</f>
        <v>0</v>
      </c>
      <c r="AK2248" s="8" t="str">
        <f aca="false">$E2248&amp;"|"&amp;TEXT($AD2248,"0.000000")</f>
        <v>PV 135|0.000000</v>
      </c>
    </row>
    <row r="2249" customFormat="false" ht="15" hidden="false" customHeight="false" outlineLevel="0" collapsed="false">
      <c r="B2249" s="16" t="n">
        <v>66</v>
      </c>
      <c r="C2249" s="17" t="n">
        <f aca="false">DATA_INICIO_SAFRA+($B2249-1)*DIAS_POR_SEMANA</f>
        <v>46720</v>
      </c>
      <c r="D2249" s="17" t="n">
        <f aca="false">$C2249+DIAS_POR_SEMANA-1</f>
        <v>46726</v>
      </c>
      <c r="E2249" s="15" t="s">
        <v>292</v>
      </c>
      <c r="F2249" s="8" t="str">
        <f aca="false">IFERROR(INDEX(CADASTRO_PIVOS!$C$6:$C$41,MATCH($E2249,CADASTRO_PIVOS!$B$6:$B$41,0)),"?")</f>
        <v>RM08</v>
      </c>
      <c r="G2249" s="8" t="str">
        <f aca="false">IFERROR(INDEX(CADASTRO_PIVOS!$D$6:$D$41,MATCH($E2249,CADASTRO_PIVOS!$B$6:$B$41,0)),"?")</f>
        <v>TR08</v>
      </c>
      <c r="H2249" s="20" t="n">
        <f aca="false">IFERROR(INDEX(CADASTRO_PIVOS!$E$6:$E$41,MATCH($E2249,CADASTRO_PIVOS!$B$6:$B$41,0)),0)</f>
        <v>64</v>
      </c>
      <c r="I2249" s="16" t="n">
        <f aca="false">IFERROR(SUMIFS(ROTACAO_RDM!$B$6:$B$71,ROTACAO_RDM!$D$6:$D$71,$E2249,ROTACAO_RDM!$I$6:$I$71,"&lt;="&amp;$C2249+INT(DIAS_POR_SEMANA/2),ROTACAO_RDM!$J$6:$J$71,"&gt;="&amp;$C2249+INT(DIAS_POR_SEMANA/2)),0)</f>
        <v>0</v>
      </c>
      <c r="J2249" s="16" t="n">
        <f aca="false">IFERROR(MATCH($I2249,ROTACAO_RDM!$B$6:$B$71,0),0)</f>
        <v>0</v>
      </c>
      <c r="K2249" s="8" t="str">
        <f aca="false">IF($J2249=0,"SEM CULTURA",INDEX(ROTACAO_RDM!$F$6:$F$71,$J2249))</f>
        <v>SEM CULTURA</v>
      </c>
      <c r="L2249" s="8" t="str">
        <f aca="false">IF($J2249=0,"",INDEX(ROTACAO_RDM!$G$6:$G$71,$J2249))</f>
        <v/>
      </c>
      <c r="M2249" s="17" t="str">
        <f aca="false">IF($J2249=0,"",INDEX(ROTACAO_RDM!$I$6:$I$71,$J2249))</f>
        <v/>
      </c>
      <c r="N2249" s="16" t="n">
        <f aca="false">IF($J2249=0,0,MAX(0,$C2249+INT(DIAS_POR_SEMANA/2)-INDEX(ROTACAO_RDM!$I$6:$I$71,$J2249)))</f>
        <v>0</v>
      </c>
      <c r="O2249" s="19" t="n">
        <f aca="false">IF($J2249=0,0,MIN(1,$N2249/MAX(1,INDEX(ROTACAO_RDM!$K$6:$K$71,$J2249))))</f>
        <v>0</v>
      </c>
      <c r="P2249" s="16" t="n">
        <f aca="false">IF($J2249=0,0,IFERROR(MATCH(INDEX(ROTACAO_RDM!$N$6:$N$71,$J2249),PARAMETROS_CULTURAS!$B$6:$B$28,0),0))</f>
        <v>0</v>
      </c>
      <c r="Q2249" s="8" t="str">
        <f aca="false">IF($P2249=0,"-",IF($O2249&lt;=INDEX(PARAMETROS_CULTURAS!$F$6:$F$28,$P2249),"INICIAL",IF($O2249&lt;=INDEX(PARAMETROS_CULTURAS!$F$6:$F$28,$P2249)+INDEX(PARAMETROS_CULTURAS!$G$6:$G$28,$P2249),"DESENVOLVIMENTO",IF($O2249&lt;=INDEX(PARAMETROS_CULTURAS!$F$6:$F$28,$P2249)+INDEX(PARAMETROS_CULTURAS!$G$6:$G$28,$P2249)+INDEX(PARAMETROS_CULTURAS!$H$6:$H$28,$P2249),"MEDIA","FINAL"))))</f>
        <v>-</v>
      </c>
      <c r="R2249" s="24" t="n">
        <f aca="false">IF($P2249=0,0,IF($O2249&lt;=INDEX(PARAMETROS_CULTURAS!$F$6:$F$28,$P2249),INDEX(PARAMETROS_CULTURAS!$K$6:$K$28,$P2249),IF($O2249&lt;=INDEX(PARAMETROS_CULTURAS!$F$6:$F$28,$P2249)+INDEX(PARAMETROS_CULTURAS!$G$6:$G$28,$P2249),INDEX(PARAMETROS_CULTURAS!$K$6:$K$28,$P2249)+(INDEX(PARAMETROS_CULTURAS!$L$6:$L$28,$P2249)-INDEX(PARAMETROS_CULTURAS!$K$6:$K$28,$P2249))*($O2249-INDEX(PARAMETROS_CULTURAS!$F$6:$F$28,$P2249))/MAX(INDEX(PARAMETROS_CULTURAS!$G$6:$G$28,$P2249),0.0001),IF($O2249&lt;=INDEX(PARAMETROS_CULTURAS!$F$6:$F$28,$P2249)+INDEX(PARAMETROS_CULTURAS!$G$6:$G$28,$P2249)+INDEX(PARAMETROS_CULTURAS!$H$6:$H$28,$P2249),INDEX(PARAMETROS_CULTURAS!$L$6:$L$28,$P2249),INDEX(PARAMETROS_CULTURAS!$L$6:$L$28,$P2249)+(INDEX(PARAMETROS_CULTURAS!$M$6:$M$28,$P2249)-INDEX(PARAMETROS_CULTURAS!$L$6:$L$28,$P2249))*($O2249-INDEX(PARAMETROS_CULTURAS!$F$6:$F$28,$P2249)-INDEX(PARAMETROS_CULTURAS!$G$6:$G$28,$P2249)-INDEX(PARAMETROS_CULTURAS!$H$6:$H$28,$P2249))/MAX(INDEX(PARAMETROS_CULTURAS!$I$6:$I$28,$P2249),0.0001)))))</f>
        <v>0</v>
      </c>
      <c r="S2249" s="18" t="n">
        <f aca="false">IFERROR(INDEX(SEMANAS!$H$6:$H$71,MATCH($B2249,SEMANAS!$B$6:$B$71,0)),0)</f>
        <v>33.3</v>
      </c>
      <c r="T2249" s="18" t="n">
        <f aca="false">$R2249*$S2249</f>
        <v>0</v>
      </c>
      <c r="U2249" s="18" t="n">
        <f aca="false">IFERROR(INDEX(SEMANAS!$I$6:$I$71,MATCH($B2249,SEMANAS!$B$6:$B$71,0)),0)</f>
        <v>48.04</v>
      </c>
      <c r="V2249" s="18" t="n">
        <f aca="false">IFERROR(INDEX(SEMANAS!$J$6:$J$71,MATCH($B2249,SEMANAS!$B$6:$B$71,0)),0)</f>
        <v>38.432</v>
      </c>
      <c r="W2249" s="18" t="n">
        <f aca="false">MAX(0,$T2249-$V2249)</f>
        <v>0</v>
      </c>
      <c r="X2249" s="19" t="n">
        <f aca="false">IFERROR(INDEX(CADASTRO_PIVOS!$K$6:$K$41,MATCH($E2249,CADASTRO_PIVOS!$B$6:$B$41,0)),EFICIENCIA_PADRAO)</f>
        <v>0.85</v>
      </c>
      <c r="Y2249" s="18" t="n">
        <f aca="false">IF($X2249&lt;=0,0,$W2249/$X2249)</f>
        <v>0</v>
      </c>
      <c r="Z2249" s="16" t="n">
        <f aca="false">$Y2249*$H2249*MM_PARA_M3_HA</f>
        <v>0</v>
      </c>
      <c r="AA2249" s="18" t="n">
        <f aca="false">IFERROR(INDEX(CADASTRO_PIVOS!$I$6:$I$41,MATCH($E2249,CADASTRO_PIVOS!$B$6:$B$41,0)),0)</f>
        <v>457.142857142857</v>
      </c>
      <c r="AB2249" s="18" t="n">
        <f aca="false">IF($Z2249&lt;=0,0,$Z2249/$AA2249)</f>
        <v>0</v>
      </c>
      <c r="AC2249" s="16" t="n">
        <f aca="false">IFERROR(INDEX(SEMANAS!$K$6:$K$71,MATCH($B2249,SEMANAS!$B$6:$B$71,0)),0)</f>
        <v>147</v>
      </c>
      <c r="AD2249" s="19" t="n">
        <f aca="false">IF($AC2249&lt;=0,0,$AB2249/$AC2249)</f>
        <v>0</v>
      </c>
      <c r="AE2249" s="8" t="str">
        <f aca="false">IF($K2249="SEM CULTURA","SEM CULTURA",IF($AA2249&lt;=0,"DADO PENDENTE",IF($AD2249&gt;LIMITE_CRITICO,"INVIAVEL",IF($AD2249&gt;LIMITE_ATENCAO,"CRITICO",IF($AD2249&gt;LIMITE_CONFORTAVEL,"ATENCAO","OK")))))</f>
        <v>SEM CULTURA</v>
      </c>
      <c r="AF2249" s="8" t="str">
        <f aca="false">$B2249&amp;"|"&amp;TEXT($AD2249,"0.000000")</f>
        <v>66|0.000000</v>
      </c>
      <c r="AG2249" s="18" t="n">
        <f aca="false">IF($K2249="SEM CULTURA",0,$T2249*$H2249)</f>
        <v>0</v>
      </c>
      <c r="AH2249" s="18" t="n">
        <f aca="false">IF($K2249="SEM CULTURA",0,$V2249*$H2249)</f>
        <v>0</v>
      </c>
      <c r="AI2249" s="18" t="n">
        <f aca="false">IF($K2249="SEM CULTURA",0,$W2249*$H2249)</f>
        <v>0</v>
      </c>
      <c r="AJ2249" s="18" t="n">
        <f aca="false">IF($K2249="SEM CULTURA",0,$S2249*$H2249)</f>
        <v>0</v>
      </c>
      <c r="AK2249" s="8" t="str">
        <f aca="false">$E2249&amp;"|"&amp;TEXT($AD2249,"0.000000")</f>
        <v>PV 135|0.000000</v>
      </c>
    </row>
    <row r="2250" customFormat="false" ht="15" hidden="false" customHeight="false" outlineLevel="0" collapsed="false">
      <c r="B2250" s="16" t="n">
        <v>1</v>
      </c>
      <c r="C2250" s="17" t="n">
        <f aca="false">DATA_INICIO_SAFRA+($B2250-1)*DIAS_POR_SEMANA</f>
        <v>46265</v>
      </c>
      <c r="D2250" s="17" t="n">
        <f aca="false">$C2250+DIAS_POR_SEMANA-1</f>
        <v>46271</v>
      </c>
      <c r="E2250" s="15" t="s">
        <v>293</v>
      </c>
      <c r="F2250" s="8" t="str">
        <f aca="false">IFERROR(INDEX(CADASTRO_PIVOS!$C$6:$C$41,MATCH($E2250,CADASTRO_PIVOS!$B$6:$B$41,0)),"?")</f>
        <v>RM08</v>
      </c>
      <c r="G2250" s="8" t="str">
        <f aca="false">IFERROR(INDEX(CADASTRO_PIVOS!$D$6:$D$41,MATCH($E2250,CADASTRO_PIVOS!$B$6:$B$41,0)),"?")</f>
        <v>TR08</v>
      </c>
      <c r="H2250" s="20" t="n">
        <f aca="false">IFERROR(INDEX(CADASTRO_PIVOS!$E$6:$E$41,MATCH($E2250,CADASTRO_PIVOS!$B$6:$B$41,0)),0)</f>
        <v>86</v>
      </c>
      <c r="I2250" s="16" t="n">
        <f aca="false">IFERROR(SUMIFS(ROTACAO_RDM!$B$6:$B$71,ROTACAO_RDM!$D$6:$D$71,$E2250,ROTACAO_RDM!$I$6:$I$71,"&lt;="&amp;$C2250+INT(DIAS_POR_SEMANA/2),ROTACAO_RDM!$J$6:$J$71,"&gt;="&amp;$C2250+INT(DIAS_POR_SEMANA/2)),0)</f>
        <v>0</v>
      </c>
      <c r="J2250" s="16" t="n">
        <f aca="false">IFERROR(MATCH($I2250,ROTACAO_RDM!$B$6:$B$71,0),0)</f>
        <v>0</v>
      </c>
      <c r="K2250" s="8" t="str">
        <f aca="false">IF($J2250=0,"SEM CULTURA",INDEX(ROTACAO_RDM!$F$6:$F$71,$J2250))</f>
        <v>SEM CULTURA</v>
      </c>
      <c r="L2250" s="8" t="str">
        <f aca="false">IF($J2250=0,"",INDEX(ROTACAO_RDM!$G$6:$G$71,$J2250))</f>
        <v/>
      </c>
      <c r="M2250" s="17" t="str">
        <f aca="false">IF($J2250=0,"",INDEX(ROTACAO_RDM!$I$6:$I$71,$J2250))</f>
        <v/>
      </c>
      <c r="N2250" s="16" t="n">
        <f aca="false">IF($J2250=0,0,MAX(0,$C2250+INT(DIAS_POR_SEMANA/2)-INDEX(ROTACAO_RDM!$I$6:$I$71,$J2250)))</f>
        <v>0</v>
      </c>
      <c r="O2250" s="19" t="n">
        <f aca="false">IF($J2250=0,0,MIN(1,$N2250/MAX(1,INDEX(ROTACAO_RDM!$K$6:$K$71,$J2250))))</f>
        <v>0</v>
      </c>
      <c r="P2250" s="16" t="n">
        <f aca="false">IF($J2250=0,0,IFERROR(MATCH(INDEX(ROTACAO_RDM!$N$6:$N$71,$J2250),PARAMETROS_CULTURAS!$B$6:$B$28,0),0))</f>
        <v>0</v>
      </c>
      <c r="Q2250" s="8" t="str">
        <f aca="false">IF($P2250=0,"-",IF($O2250&lt;=INDEX(PARAMETROS_CULTURAS!$F$6:$F$28,$P2250),"INICIAL",IF($O2250&lt;=INDEX(PARAMETROS_CULTURAS!$F$6:$F$28,$P2250)+INDEX(PARAMETROS_CULTURAS!$G$6:$G$28,$P2250),"DESENVOLVIMENTO",IF($O2250&lt;=INDEX(PARAMETROS_CULTURAS!$F$6:$F$28,$P2250)+INDEX(PARAMETROS_CULTURAS!$G$6:$G$28,$P2250)+INDEX(PARAMETROS_CULTURAS!$H$6:$H$28,$P2250),"MEDIA","FINAL"))))</f>
        <v>-</v>
      </c>
      <c r="R2250" s="24" t="n">
        <f aca="false">IF($P2250=0,0,IF($O2250&lt;=INDEX(PARAMETROS_CULTURAS!$F$6:$F$28,$P2250),INDEX(PARAMETROS_CULTURAS!$K$6:$K$28,$P2250),IF($O2250&lt;=INDEX(PARAMETROS_CULTURAS!$F$6:$F$28,$P2250)+INDEX(PARAMETROS_CULTURAS!$G$6:$G$28,$P2250),INDEX(PARAMETROS_CULTURAS!$K$6:$K$28,$P2250)+(INDEX(PARAMETROS_CULTURAS!$L$6:$L$28,$P2250)-INDEX(PARAMETROS_CULTURAS!$K$6:$K$28,$P2250))*($O2250-INDEX(PARAMETROS_CULTURAS!$F$6:$F$28,$P2250))/MAX(INDEX(PARAMETROS_CULTURAS!$G$6:$G$28,$P2250),0.0001),IF($O2250&lt;=INDEX(PARAMETROS_CULTURAS!$F$6:$F$28,$P2250)+INDEX(PARAMETROS_CULTURAS!$G$6:$G$28,$P2250)+INDEX(PARAMETROS_CULTURAS!$H$6:$H$28,$P2250),INDEX(PARAMETROS_CULTURAS!$L$6:$L$28,$P2250),INDEX(PARAMETROS_CULTURAS!$L$6:$L$28,$P2250)+(INDEX(PARAMETROS_CULTURAS!$M$6:$M$28,$P2250)-INDEX(PARAMETROS_CULTURAS!$L$6:$L$28,$P2250))*($O2250-INDEX(PARAMETROS_CULTURAS!$F$6:$F$28,$P2250)-INDEX(PARAMETROS_CULTURAS!$G$6:$G$28,$P2250)-INDEX(PARAMETROS_CULTURAS!$H$6:$H$28,$P2250))/MAX(INDEX(PARAMETROS_CULTURAS!$I$6:$I$28,$P2250),0.0001)))))</f>
        <v>0</v>
      </c>
      <c r="S2250" s="18" t="n">
        <f aca="false">IFERROR(INDEX(SEMANAS!$H$6:$H$71,MATCH($B2250,SEMANAS!$B$6:$B$71,0)),0)</f>
        <v>40</v>
      </c>
      <c r="T2250" s="18" t="n">
        <f aca="false">$R2250*$S2250</f>
        <v>0</v>
      </c>
      <c r="U2250" s="18" t="n">
        <f aca="false">IFERROR(INDEX(SEMANAS!$I$6:$I$71,MATCH($B2250,SEMANAS!$B$6:$B$71,0)),0)</f>
        <v>6.16</v>
      </c>
      <c r="V2250" s="18" t="n">
        <f aca="false">IFERROR(INDEX(SEMANAS!$J$6:$J$71,MATCH($B2250,SEMANAS!$B$6:$B$71,0)),0)</f>
        <v>4.928</v>
      </c>
      <c r="W2250" s="18" t="n">
        <f aca="false">MAX(0,$T2250-$V2250)</f>
        <v>0</v>
      </c>
      <c r="X2250" s="19" t="n">
        <f aca="false">IFERROR(INDEX(CADASTRO_PIVOS!$K$6:$K$41,MATCH($E2250,CADASTRO_PIVOS!$B$6:$B$41,0)),EFICIENCIA_PADRAO)</f>
        <v>0.85</v>
      </c>
      <c r="Y2250" s="18" t="n">
        <f aca="false">IF($X2250&lt;=0,0,$W2250/$X2250)</f>
        <v>0</v>
      </c>
      <c r="Z2250" s="16" t="n">
        <f aca="false">$Y2250*$H2250*MM_PARA_M3_HA</f>
        <v>0</v>
      </c>
      <c r="AA2250" s="18" t="n">
        <f aca="false">IFERROR(INDEX(CADASTRO_PIVOS!$I$6:$I$41,MATCH($E2250,CADASTRO_PIVOS!$B$6:$B$41,0)),0)</f>
        <v>614.285714285714</v>
      </c>
      <c r="AB2250" s="18" t="n">
        <f aca="false">IF($Z2250&lt;=0,0,$Z2250/$AA2250)</f>
        <v>0</v>
      </c>
      <c r="AC2250" s="16" t="n">
        <f aca="false">IFERROR(INDEX(SEMANAS!$K$6:$K$71,MATCH($B2250,SEMANAS!$B$6:$B$71,0)),0)</f>
        <v>147</v>
      </c>
      <c r="AD2250" s="19" t="n">
        <f aca="false">IF($AC2250&lt;=0,0,$AB2250/$AC2250)</f>
        <v>0</v>
      </c>
      <c r="AE2250" s="8" t="str">
        <f aca="false">IF($K2250="SEM CULTURA","SEM CULTURA",IF($AA2250&lt;=0,"DADO PENDENTE",IF($AD2250&gt;LIMITE_CRITICO,"INVIAVEL",IF($AD2250&gt;LIMITE_ATENCAO,"CRITICO",IF($AD2250&gt;LIMITE_CONFORTAVEL,"ATENCAO","OK")))))</f>
        <v>SEM CULTURA</v>
      </c>
      <c r="AF2250" s="8" t="str">
        <f aca="false">$B2250&amp;"|"&amp;TEXT($AD2250,"0.000000")</f>
        <v>1|0.000000</v>
      </c>
      <c r="AG2250" s="18" t="n">
        <f aca="false">IF($K2250="SEM CULTURA",0,$T2250*$H2250)</f>
        <v>0</v>
      </c>
      <c r="AH2250" s="18" t="n">
        <f aca="false">IF($K2250="SEM CULTURA",0,$V2250*$H2250)</f>
        <v>0</v>
      </c>
      <c r="AI2250" s="18" t="n">
        <f aca="false">IF($K2250="SEM CULTURA",0,$W2250*$H2250)</f>
        <v>0</v>
      </c>
      <c r="AJ2250" s="18" t="n">
        <f aca="false">IF($K2250="SEM CULTURA",0,$S2250*$H2250)</f>
        <v>0</v>
      </c>
      <c r="AK2250" s="8" t="str">
        <f aca="false">$E2250&amp;"|"&amp;TEXT($AD2250,"0.000000")</f>
        <v>PV 136|0.000000</v>
      </c>
    </row>
    <row r="2251" customFormat="false" ht="15" hidden="false" customHeight="false" outlineLevel="0" collapsed="false">
      <c r="B2251" s="16" t="n">
        <v>2</v>
      </c>
      <c r="C2251" s="17" t="n">
        <f aca="false">DATA_INICIO_SAFRA+($B2251-1)*DIAS_POR_SEMANA</f>
        <v>46272</v>
      </c>
      <c r="D2251" s="17" t="n">
        <f aca="false">$C2251+DIAS_POR_SEMANA-1</f>
        <v>46278</v>
      </c>
      <c r="E2251" s="15" t="s">
        <v>293</v>
      </c>
      <c r="F2251" s="8" t="str">
        <f aca="false">IFERROR(INDEX(CADASTRO_PIVOS!$C$6:$C$41,MATCH($E2251,CADASTRO_PIVOS!$B$6:$B$41,0)),"?")</f>
        <v>RM08</v>
      </c>
      <c r="G2251" s="8" t="str">
        <f aca="false">IFERROR(INDEX(CADASTRO_PIVOS!$D$6:$D$41,MATCH($E2251,CADASTRO_PIVOS!$B$6:$B$41,0)),"?")</f>
        <v>TR08</v>
      </c>
      <c r="H2251" s="20" t="n">
        <f aca="false">IFERROR(INDEX(CADASTRO_PIVOS!$E$6:$E$41,MATCH($E2251,CADASTRO_PIVOS!$B$6:$B$41,0)),0)</f>
        <v>86</v>
      </c>
      <c r="I2251" s="16" t="n">
        <f aca="false">IFERROR(SUMIFS(ROTACAO_RDM!$B$6:$B$71,ROTACAO_RDM!$D$6:$D$71,$E2251,ROTACAO_RDM!$I$6:$I$71,"&lt;="&amp;$C2251+INT(DIAS_POR_SEMANA/2),ROTACAO_RDM!$J$6:$J$71,"&gt;="&amp;$C2251+INT(DIAS_POR_SEMANA/2)),0)</f>
        <v>0</v>
      </c>
      <c r="J2251" s="16" t="n">
        <f aca="false">IFERROR(MATCH($I2251,ROTACAO_RDM!$B$6:$B$71,0),0)</f>
        <v>0</v>
      </c>
      <c r="K2251" s="8" t="str">
        <f aca="false">IF($J2251=0,"SEM CULTURA",INDEX(ROTACAO_RDM!$F$6:$F$71,$J2251))</f>
        <v>SEM CULTURA</v>
      </c>
      <c r="L2251" s="8" t="str">
        <f aca="false">IF($J2251=0,"",INDEX(ROTACAO_RDM!$G$6:$G$71,$J2251))</f>
        <v/>
      </c>
      <c r="M2251" s="17" t="str">
        <f aca="false">IF($J2251=0,"",INDEX(ROTACAO_RDM!$I$6:$I$71,$J2251))</f>
        <v/>
      </c>
      <c r="N2251" s="16" t="n">
        <f aca="false">IF($J2251=0,0,MAX(0,$C2251+INT(DIAS_POR_SEMANA/2)-INDEX(ROTACAO_RDM!$I$6:$I$71,$J2251)))</f>
        <v>0</v>
      </c>
      <c r="O2251" s="19" t="n">
        <f aca="false">IF($J2251=0,0,MIN(1,$N2251/MAX(1,INDEX(ROTACAO_RDM!$K$6:$K$71,$J2251))))</f>
        <v>0</v>
      </c>
      <c r="P2251" s="16" t="n">
        <f aca="false">IF($J2251=0,0,IFERROR(MATCH(INDEX(ROTACAO_RDM!$N$6:$N$71,$J2251),PARAMETROS_CULTURAS!$B$6:$B$28,0),0))</f>
        <v>0</v>
      </c>
      <c r="Q2251" s="8" t="str">
        <f aca="false">IF($P2251=0,"-",IF($O2251&lt;=INDEX(PARAMETROS_CULTURAS!$F$6:$F$28,$P2251),"INICIAL",IF($O2251&lt;=INDEX(PARAMETROS_CULTURAS!$F$6:$F$28,$P2251)+INDEX(PARAMETROS_CULTURAS!$G$6:$G$28,$P2251),"DESENVOLVIMENTO",IF($O2251&lt;=INDEX(PARAMETROS_CULTURAS!$F$6:$F$28,$P2251)+INDEX(PARAMETROS_CULTURAS!$G$6:$G$28,$P2251)+INDEX(PARAMETROS_CULTURAS!$H$6:$H$28,$P2251),"MEDIA","FINAL"))))</f>
        <v>-</v>
      </c>
      <c r="R2251" s="24" t="n">
        <f aca="false">IF($P2251=0,0,IF($O2251&lt;=INDEX(PARAMETROS_CULTURAS!$F$6:$F$28,$P2251),INDEX(PARAMETROS_CULTURAS!$K$6:$K$28,$P2251),IF($O2251&lt;=INDEX(PARAMETROS_CULTURAS!$F$6:$F$28,$P2251)+INDEX(PARAMETROS_CULTURAS!$G$6:$G$28,$P2251),INDEX(PARAMETROS_CULTURAS!$K$6:$K$28,$P2251)+(INDEX(PARAMETROS_CULTURAS!$L$6:$L$28,$P2251)-INDEX(PARAMETROS_CULTURAS!$K$6:$K$28,$P2251))*($O2251-INDEX(PARAMETROS_CULTURAS!$F$6:$F$28,$P2251))/MAX(INDEX(PARAMETROS_CULTURAS!$G$6:$G$28,$P2251),0.0001),IF($O2251&lt;=INDEX(PARAMETROS_CULTURAS!$F$6:$F$28,$P2251)+INDEX(PARAMETROS_CULTURAS!$G$6:$G$28,$P2251)+INDEX(PARAMETROS_CULTURAS!$H$6:$H$28,$P2251),INDEX(PARAMETROS_CULTURAS!$L$6:$L$28,$P2251),INDEX(PARAMETROS_CULTURAS!$L$6:$L$28,$P2251)+(INDEX(PARAMETROS_CULTURAS!$M$6:$M$28,$P2251)-INDEX(PARAMETROS_CULTURAS!$L$6:$L$28,$P2251))*($O2251-INDEX(PARAMETROS_CULTURAS!$F$6:$F$28,$P2251)-INDEX(PARAMETROS_CULTURAS!$G$6:$G$28,$P2251)-INDEX(PARAMETROS_CULTURAS!$H$6:$H$28,$P2251))/MAX(INDEX(PARAMETROS_CULTURAS!$I$6:$I$28,$P2251),0.0001)))))</f>
        <v>0</v>
      </c>
      <c r="S2251" s="18" t="n">
        <f aca="false">IFERROR(INDEX(SEMANAS!$H$6:$H$71,MATCH($B2251,SEMANAS!$B$6:$B$71,0)),0)</f>
        <v>40.6</v>
      </c>
      <c r="T2251" s="18" t="n">
        <f aca="false">$R2251*$S2251</f>
        <v>0</v>
      </c>
      <c r="U2251" s="18" t="n">
        <f aca="false">IFERROR(INDEX(SEMANAS!$I$6:$I$71,MATCH($B2251,SEMANAS!$B$6:$B$71,0)),0)</f>
        <v>7</v>
      </c>
      <c r="V2251" s="18" t="n">
        <f aca="false">IFERROR(INDEX(SEMANAS!$J$6:$J$71,MATCH($B2251,SEMANAS!$B$6:$B$71,0)),0)</f>
        <v>5.6</v>
      </c>
      <c r="W2251" s="18" t="n">
        <f aca="false">MAX(0,$T2251-$V2251)</f>
        <v>0</v>
      </c>
      <c r="X2251" s="19" t="n">
        <f aca="false">IFERROR(INDEX(CADASTRO_PIVOS!$K$6:$K$41,MATCH($E2251,CADASTRO_PIVOS!$B$6:$B$41,0)),EFICIENCIA_PADRAO)</f>
        <v>0.85</v>
      </c>
      <c r="Y2251" s="18" t="n">
        <f aca="false">IF($X2251&lt;=0,0,$W2251/$X2251)</f>
        <v>0</v>
      </c>
      <c r="Z2251" s="16" t="n">
        <f aca="false">$Y2251*$H2251*MM_PARA_M3_HA</f>
        <v>0</v>
      </c>
      <c r="AA2251" s="18" t="n">
        <f aca="false">IFERROR(INDEX(CADASTRO_PIVOS!$I$6:$I$41,MATCH($E2251,CADASTRO_PIVOS!$B$6:$B$41,0)),0)</f>
        <v>614.285714285714</v>
      </c>
      <c r="AB2251" s="18" t="n">
        <f aca="false">IF($Z2251&lt;=0,0,$Z2251/$AA2251)</f>
        <v>0</v>
      </c>
      <c r="AC2251" s="16" t="n">
        <f aca="false">IFERROR(INDEX(SEMANAS!$K$6:$K$71,MATCH($B2251,SEMANAS!$B$6:$B$71,0)),0)</f>
        <v>147</v>
      </c>
      <c r="AD2251" s="19" t="n">
        <f aca="false">IF($AC2251&lt;=0,0,$AB2251/$AC2251)</f>
        <v>0</v>
      </c>
      <c r="AE2251" s="8" t="str">
        <f aca="false">IF($K2251="SEM CULTURA","SEM CULTURA",IF($AA2251&lt;=0,"DADO PENDENTE",IF($AD2251&gt;LIMITE_CRITICO,"INVIAVEL",IF($AD2251&gt;LIMITE_ATENCAO,"CRITICO",IF($AD2251&gt;LIMITE_CONFORTAVEL,"ATENCAO","OK")))))</f>
        <v>SEM CULTURA</v>
      </c>
      <c r="AF2251" s="8" t="str">
        <f aca="false">$B2251&amp;"|"&amp;TEXT($AD2251,"0.000000")</f>
        <v>2|0.000000</v>
      </c>
      <c r="AG2251" s="18" t="n">
        <f aca="false">IF($K2251="SEM CULTURA",0,$T2251*$H2251)</f>
        <v>0</v>
      </c>
      <c r="AH2251" s="18" t="n">
        <f aca="false">IF($K2251="SEM CULTURA",0,$V2251*$H2251)</f>
        <v>0</v>
      </c>
      <c r="AI2251" s="18" t="n">
        <f aca="false">IF($K2251="SEM CULTURA",0,$W2251*$H2251)</f>
        <v>0</v>
      </c>
      <c r="AJ2251" s="18" t="n">
        <f aca="false">IF($K2251="SEM CULTURA",0,$S2251*$H2251)</f>
        <v>0</v>
      </c>
      <c r="AK2251" s="8" t="str">
        <f aca="false">$E2251&amp;"|"&amp;TEXT($AD2251,"0.000000")</f>
        <v>PV 136|0.000000</v>
      </c>
    </row>
    <row r="2252" customFormat="false" ht="15" hidden="false" customHeight="false" outlineLevel="0" collapsed="false">
      <c r="B2252" s="16" t="n">
        <v>3</v>
      </c>
      <c r="C2252" s="17" t="n">
        <f aca="false">DATA_INICIO_SAFRA+($B2252-1)*DIAS_POR_SEMANA</f>
        <v>46279</v>
      </c>
      <c r="D2252" s="17" t="n">
        <f aca="false">$C2252+DIAS_POR_SEMANA-1</f>
        <v>46285</v>
      </c>
      <c r="E2252" s="15" t="s">
        <v>293</v>
      </c>
      <c r="F2252" s="8" t="str">
        <f aca="false">IFERROR(INDEX(CADASTRO_PIVOS!$C$6:$C$41,MATCH($E2252,CADASTRO_PIVOS!$B$6:$B$41,0)),"?")</f>
        <v>RM08</v>
      </c>
      <c r="G2252" s="8" t="str">
        <f aca="false">IFERROR(INDEX(CADASTRO_PIVOS!$D$6:$D$41,MATCH($E2252,CADASTRO_PIVOS!$B$6:$B$41,0)),"?")</f>
        <v>TR08</v>
      </c>
      <c r="H2252" s="20" t="n">
        <f aca="false">IFERROR(INDEX(CADASTRO_PIVOS!$E$6:$E$41,MATCH($E2252,CADASTRO_PIVOS!$B$6:$B$41,0)),0)</f>
        <v>86</v>
      </c>
      <c r="I2252" s="16" t="n">
        <f aca="false">IFERROR(SUMIFS(ROTACAO_RDM!$B$6:$B$71,ROTACAO_RDM!$D$6:$D$71,$E2252,ROTACAO_RDM!$I$6:$I$71,"&lt;="&amp;$C2252+INT(DIAS_POR_SEMANA/2),ROTACAO_RDM!$J$6:$J$71,"&gt;="&amp;$C2252+INT(DIAS_POR_SEMANA/2)),0)</f>
        <v>0</v>
      </c>
      <c r="J2252" s="16" t="n">
        <f aca="false">IFERROR(MATCH($I2252,ROTACAO_RDM!$B$6:$B$71,0),0)</f>
        <v>0</v>
      </c>
      <c r="K2252" s="8" t="str">
        <f aca="false">IF($J2252=0,"SEM CULTURA",INDEX(ROTACAO_RDM!$F$6:$F$71,$J2252))</f>
        <v>SEM CULTURA</v>
      </c>
      <c r="L2252" s="8" t="str">
        <f aca="false">IF($J2252=0,"",INDEX(ROTACAO_RDM!$G$6:$G$71,$J2252))</f>
        <v/>
      </c>
      <c r="M2252" s="17" t="str">
        <f aca="false">IF($J2252=0,"",INDEX(ROTACAO_RDM!$I$6:$I$71,$J2252))</f>
        <v/>
      </c>
      <c r="N2252" s="16" t="n">
        <f aca="false">IF($J2252=0,0,MAX(0,$C2252+INT(DIAS_POR_SEMANA/2)-INDEX(ROTACAO_RDM!$I$6:$I$71,$J2252)))</f>
        <v>0</v>
      </c>
      <c r="O2252" s="19" t="n">
        <f aca="false">IF($J2252=0,0,MIN(1,$N2252/MAX(1,INDEX(ROTACAO_RDM!$K$6:$K$71,$J2252))))</f>
        <v>0</v>
      </c>
      <c r="P2252" s="16" t="n">
        <f aca="false">IF($J2252=0,0,IFERROR(MATCH(INDEX(ROTACAO_RDM!$N$6:$N$71,$J2252),PARAMETROS_CULTURAS!$B$6:$B$28,0),0))</f>
        <v>0</v>
      </c>
      <c r="Q2252" s="8" t="str">
        <f aca="false">IF($P2252=0,"-",IF($O2252&lt;=INDEX(PARAMETROS_CULTURAS!$F$6:$F$28,$P2252),"INICIAL",IF($O2252&lt;=INDEX(PARAMETROS_CULTURAS!$F$6:$F$28,$P2252)+INDEX(PARAMETROS_CULTURAS!$G$6:$G$28,$P2252),"DESENVOLVIMENTO",IF($O2252&lt;=INDEX(PARAMETROS_CULTURAS!$F$6:$F$28,$P2252)+INDEX(PARAMETROS_CULTURAS!$G$6:$G$28,$P2252)+INDEX(PARAMETROS_CULTURAS!$H$6:$H$28,$P2252),"MEDIA","FINAL"))))</f>
        <v>-</v>
      </c>
      <c r="R2252" s="24" t="n">
        <f aca="false">IF($P2252=0,0,IF($O2252&lt;=INDEX(PARAMETROS_CULTURAS!$F$6:$F$28,$P2252),INDEX(PARAMETROS_CULTURAS!$K$6:$K$28,$P2252),IF($O2252&lt;=INDEX(PARAMETROS_CULTURAS!$F$6:$F$28,$P2252)+INDEX(PARAMETROS_CULTURAS!$G$6:$G$28,$P2252),INDEX(PARAMETROS_CULTURAS!$K$6:$K$28,$P2252)+(INDEX(PARAMETROS_CULTURAS!$L$6:$L$28,$P2252)-INDEX(PARAMETROS_CULTURAS!$K$6:$K$28,$P2252))*($O2252-INDEX(PARAMETROS_CULTURAS!$F$6:$F$28,$P2252))/MAX(INDEX(PARAMETROS_CULTURAS!$G$6:$G$28,$P2252),0.0001),IF($O2252&lt;=INDEX(PARAMETROS_CULTURAS!$F$6:$F$28,$P2252)+INDEX(PARAMETROS_CULTURAS!$G$6:$G$28,$P2252)+INDEX(PARAMETROS_CULTURAS!$H$6:$H$28,$P2252),INDEX(PARAMETROS_CULTURAS!$L$6:$L$28,$P2252),INDEX(PARAMETROS_CULTURAS!$L$6:$L$28,$P2252)+(INDEX(PARAMETROS_CULTURAS!$M$6:$M$28,$P2252)-INDEX(PARAMETROS_CULTURAS!$L$6:$L$28,$P2252))*($O2252-INDEX(PARAMETROS_CULTURAS!$F$6:$F$28,$P2252)-INDEX(PARAMETROS_CULTURAS!$G$6:$G$28,$P2252)-INDEX(PARAMETROS_CULTURAS!$H$6:$H$28,$P2252))/MAX(INDEX(PARAMETROS_CULTURAS!$I$6:$I$28,$P2252),0.0001)))))</f>
        <v>0</v>
      </c>
      <c r="S2252" s="18" t="n">
        <f aca="false">IFERROR(INDEX(SEMANAS!$H$6:$H$71,MATCH($B2252,SEMANAS!$B$6:$B$71,0)),0)</f>
        <v>40.6</v>
      </c>
      <c r="T2252" s="18" t="n">
        <f aca="false">$R2252*$S2252</f>
        <v>0</v>
      </c>
      <c r="U2252" s="18" t="n">
        <f aca="false">IFERROR(INDEX(SEMANAS!$I$6:$I$71,MATCH($B2252,SEMANAS!$B$6:$B$71,0)),0)</f>
        <v>7</v>
      </c>
      <c r="V2252" s="18" t="n">
        <f aca="false">IFERROR(INDEX(SEMANAS!$J$6:$J$71,MATCH($B2252,SEMANAS!$B$6:$B$71,0)),0)</f>
        <v>5.6</v>
      </c>
      <c r="W2252" s="18" t="n">
        <f aca="false">MAX(0,$T2252-$V2252)</f>
        <v>0</v>
      </c>
      <c r="X2252" s="19" t="n">
        <f aca="false">IFERROR(INDEX(CADASTRO_PIVOS!$K$6:$K$41,MATCH($E2252,CADASTRO_PIVOS!$B$6:$B$41,0)),EFICIENCIA_PADRAO)</f>
        <v>0.85</v>
      </c>
      <c r="Y2252" s="18" t="n">
        <f aca="false">IF($X2252&lt;=0,0,$W2252/$X2252)</f>
        <v>0</v>
      </c>
      <c r="Z2252" s="16" t="n">
        <f aca="false">$Y2252*$H2252*MM_PARA_M3_HA</f>
        <v>0</v>
      </c>
      <c r="AA2252" s="18" t="n">
        <f aca="false">IFERROR(INDEX(CADASTRO_PIVOS!$I$6:$I$41,MATCH($E2252,CADASTRO_PIVOS!$B$6:$B$41,0)),0)</f>
        <v>614.285714285714</v>
      </c>
      <c r="AB2252" s="18" t="n">
        <f aca="false">IF($Z2252&lt;=0,0,$Z2252/$AA2252)</f>
        <v>0</v>
      </c>
      <c r="AC2252" s="16" t="n">
        <f aca="false">IFERROR(INDEX(SEMANAS!$K$6:$K$71,MATCH($B2252,SEMANAS!$B$6:$B$71,0)),0)</f>
        <v>147</v>
      </c>
      <c r="AD2252" s="19" t="n">
        <f aca="false">IF($AC2252&lt;=0,0,$AB2252/$AC2252)</f>
        <v>0</v>
      </c>
      <c r="AE2252" s="8" t="str">
        <f aca="false">IF($K2252="SEM CULTURA","SEM CULTURA",IF($AA2252&lt;=0,"DADO PENDENTE",IF($AD2252&gt;LIMITE_CRITICO,"INVIAVEL",IF($AD2252&gt;LIMITE_ATENCAO,"CRITICO",IF($AD2252&gt;LIMITE_CONFORTAVEL,"ATENCAO","OK")))))</f>
        <v>SEM CULTURA</v>
      </c>
      <c r="AF2252" s="8" t="str">
        <f aca="false">$B2252&amp;"|"&amp;TEXT($AD2252,"0.000000")</f>
        <v>3|0.000000</v>
      </c>
      <c r="AG2252" s="18" t="n">
        <f aca="false">IF($K2252="SEM CULTURA",0,$T2252*$H2252)</f>
        <v>0</v>
      </c>
      <c r="AH2252" s="18" t="n">
        <f aca="false">IF($K2252="SEM CULTURA",0,$V2252*$H2252)</f>
        <v>0</v>
      </c>
      <c r="AI2252" s="18" t="n">
        <f aca="false">IF($K2252="SEM CULTURA",0,$W2252*$H2252)</f>
        <v>0</v>
      </c>
      <c r="AJ2252" s="18" t="n">
        <f aca="false">IF($K2252="SEM CULTURA",0,$S2252*$H2252)</f>
        <v>0</v>
      </c>
      <c r="AK2252" s="8" t="str">
        <f aca="false">$E2252&amp;"|"&amp;TEXT($AD2252,"0.000000")</f>
        <v>PV 136|0.000000</v>
      </c>
    </row>
    <row r="2253" customFormat="false" ht="15" hidden="false" customHeight="false" outlineLevel="0" collapsed="false">
      <c r="B2253" s="16" t="n">
        <v>4</v>
      </c>
      <c r="C2253" s="17" t="n">
        <f aca="false">DATA_INICIO_SAFRA+($B2253-1)*DIAS_POR_SEMANA</f>
        <v>46286</v>
      </c>
      <c r="D2253" s="17" t="n">
        <f aca="false">$C2253+DIAS_POR_SEMANA-1</f>
        <v>46292</v>
      </c>
      <c r="E2253" s="15" t="s">
        <v>293</v>
      </c>
      <c r="F2253" s="8" t="str">
        <f aca="false">IFERROR(INDEX(CADASTRO_PIVOS!$C$6:$C$41,MATCH($E2253,CADASTRO_PIVOS!$B$6:$B$41,0)),"?")</f>
        <v>RM08</v>
      </c>
      <c r="G2253" s="8" t="str">
        <f aca="false">IFERROR(INDEX(CADASTRO_PIVOS!$D$6:$D$41,MATCH($E2253,CADASTRO_PIVOS!$B$6:$B$41,0)),"?")</f>
        <v>TR08</v>
      </c>
      <c r="H2253" s="20" t="n">
        <f aca="false">IFERROR(INDEX(CADASTRO_PIVOS!$E$6:$E$41,MATCH($E2253,CADASTRO_PIVOS!$B$6:$B$41,0)),0)</f>
        <v>86</v>
      </c>
      <c r="I2253" s="16" t="n">
        <f aca="false">IFERROR(SUMIFS(ROTACAO_RDM!$B$6:$B$71,ROTACAO_RDM!$D$6:$D$71,$E2253,ROTACAO_RDM!$I$6:$I$71,"&lt;="&amp;$C2253+INT(DIAS_POR_SEMANA/2),ROTACAO_RDM!$J$6:$J$71,"&gt;="&amp;$C2253+INT(DIAS_POR_SEMANA/2)),0)</f>
        <v>0</v>
      </c>
      <c r="J2253" s="16" t="n">
        <f aca="false">IFERROR(MATCH($I2253,ROTACAO_RDM!$B$6:$B$71,0),0)</f>
        <v>0</v>
      </c>
      <c r="K2253" s="8" t="str">
        <f aca="false">IF($J2253=0,"SEM CULTURA",INDEX(ROTACAO_RDM!$F$6:$F$71,$J2253))</f>
        <v>SEM CULTURA</v>
      </c>
      <c r="L2253" s="8" t="str">
        <f aca="false">IF($J2253=0,"",INDEX(ROTACAO_RDM!$G$6:$G$71,$J2253))</f>
        <v/>
      </c>
      <c r="M2253" s="17" t="str">
        <f aca="false">IF($J2253=0,"",INDEX(ROTACAO_RDM!$I$6:$I$71,$J2253))</f>
        <v/>
      </c>
      <c r="N2253" s="16" t="n">
        <f aca="false">IF($J2253=0,0,MAX(0,$C2253+INT(DIAS_POR_SEMANA/2)-INDEX(ROTACAO_RDM!$I$6:$I$71,$J2253)))</f>
        <v>0</v>
      </c>
      <c r="O2253" s="19" t="n">
        <f aca="false">IF($J2253=0,0,MIN(1,$N2253/MAX(1,INDEX(ROTACAO_RDM!$K$6:$K$71,$J2253))))</f>
        <v>0</v>
      </c>
      <c r="P2253" s="16" t="n">
        <f aca="false">IF($J2253=0,0,IFERROR(MATCH(INDEX(ROTACAO_RDM!$N$6:$N$71,$J2253),PARAMETROS_CULTURAS!$B$6:$B$28,0),0))</f>
        <v>0</v>
      </c>
      <c r="Q2253" s="8" t="str">
        <f aca="false">IF($P2253=0,"-",IF($O2253&lt;=INDEX(PARAMETROS_CULTURAS!$F$6:$F$28,$P2253),"INICIAL",IF($O2253&lt;=INDEX(PARAMETROS_CULTURAS!$F$6:$F$28,$P2253)+INDEX(PARAMETROS_CULTURAS!$G$6:$G$28,$P2253),"DESENVOLVIMENTO",IF($O2253&lt;=INDEX(PARAMETROS_CULTURAS!$F$6:$F$28,$P2253)+INDEX(PARAMETROS_CULTURAS!$G$6:$G$28,$P2253)+INDEX(PARAMETROS_CULTURAS!$H$6:$H$28,$P2253),"MEDIA","FINAL"))))</f>
        <v>-</v>
      </c>
      <c r="R2253" s="24" t="n">
        <f aca="false">IF($P2253=0,0,IF($O2253&lt;=INDEX(PARAMETROS_CULTURAS!$F$6:$F$28,$P2253),INDEX(PARAMETROS_CULTURAS!$K$6:$K$28,$P2253),IF($O2253&lt;=INDEX(PARAMETROS_CULTURAS!$F$6:$F$28,$P2253)+INDEX(PARAMETROS_CULTURAS!$G$6:$G$28,$P2253),INDEX(PARAMETROS_CULTURAS!$K$6:$K$28,$P2253)+(INDEX(PARAMETROS_CULTURAS!$L$6:$L$28,$P2253)-INDEX(PARAMETROS_CULTURAS!$K$6:$K$28,$P2253))*($O2253-INDEX(PARAMETROS_CULTURAS!$F$6:$F$28,$P2253))/MAX(INDEX(PARAMETROS_CULTURAS!$G$6:$G$28,$P2253),0.0001),IF($O2253&lt;=INDEX(PARAMETROS_CULTURAS!$F$6:$F$28,$P2253)+INDEX(PARAMETROS_CULTURAS!$G$6:$G$28,$P2253)+INDEX(PARAMETROS_CULTURAS!$H$6:$H$28,$P2253),INDEX(PARAMETROS_CULTURAS!$L$6:$L$28,$P2253),INDEX(PARAMETROS_CULTURAS!$L$6:$L$28,$P2253)+(INDEX(PARAMETROS_CULTURAS!$M$6:$M$28,$P2253)-INDEX(PARAMETROS_CULTURAS!$L$6:$L$28,$P2253))*($O2253-INDEX(PARAMETROS_CULTURAS!$F$6:$F$28,$P2253)-INDEX(PARAMETROS_CULTURAS!$G$6:$G$28,$P2253)-INDEX(PARAMETROS_CULTURAS!$H$6:$H$28,$P2253))/MAX(INDEX(PARAMETROS_CULTURAS!$I$6:$I$28,$P2253),0.0001)))))</f>
        <v>0</v>
      </c>
      <c r="S2253" s="18" t="n">
        <f aca="false">IFERROR(INDEX(SEMANAS!$H$6:$H$71,MATCH($B2253,SEMANAS!$B$6:$B$71,0)),0)</f>
        <v>40.6</v>
      </c>
      <c r="T2253" s="18" t="n">
        <f aca="false">$R2253*$S2253</f>
        <v>0</v>
      </c>
      <c r="U2253" s="18" t="n">
        <f aca="false">IFERROR(INDEX(SEMANAS!$I$6:$I$71,MATCH($B2253,SEMANAS!$B$6:$B$71,0)),0)</f>
        <v>7</v>
      </c>
      <c r="V2253" s="18" t="n">
        <f aca="false">IFERROR(INDEX(SEMANAS!$J$6:$J$71,MATCH($B2253,SEMANAS!$B$6:$B$71,0)),0)</f>
        <v>5.6</v>
      </c>
      <c r="W2253" s="18" t="n">
        <f aca="false">MAX(0,$T2253-$V2253)</f>
        <v>0</v>
      </c>
      <c r="X2253" s="19" t="n">
        <f aca="false">IFERROR(INDEX(CADASTRO_PIVOS!$K$6:$K$41,MATCH($E2253,CADASTRO_PIVOS!$B$6:$B$41,0)),EFICIENCIA_PADRAO)</f>
        <v>0.85</v>
      </c>
      <c r="Y2253" s="18" t="n">
        <f aca="false">IF($X2253&lt;=0,0,$W2253/$X2253)</f>
        <v>0</v>
      </c>
      <c r="Z2253" s="16" t="n">
        <f aca="false">$Y2253*$H2253*MM_PARA_M3_HA</f>
        <v>0</v>
      </c>
      <c r="AA2253" s="18" t="n">
        <f aca="false">IFERROR(INDEX(CADASTRO_PIVOS!$I$6:$I$41,MATCH($E2253,CADASTRO_PIVOS!$B$6:$B$41,0)),0)</f>
        <v>614.285714285714</v>
      </c>
      <c r="AB2253" s="18" t="n">
        <f aca="false">IF($Z2253&lt;=0,0,$Z2253/$AA2253)</f>
        <v>0</v>
      </c>
      <c r="AC2253" s="16" t="n">
        <f aca="false">IFERROR(INDEX(SEMANAS!$K$6:$K$71,MATCH($B2253,SEMANAS!$B$6:$B$71,0)),0)</f>
        <v>147</v>
      </c>
      <c r="AD2253" s="19" t="n">
        <f aca="false">IF($AC2253&lt;=0,0,$AB2253/$AC2253)</f>
        <v>0</v>
      </c>
      <c r="AE2253" s="8" t="str">
        <f aca="false">IF($K2253="SEM CULTURA","SEM CULTURA",IF($AA2253&lt;=0,"DADO PENDENTE",IF($AD2253&gt;LIMITE_CRITICO,"INVIAVEL",IF($AD2253&gt;LIMITE_ATENCAO,"CRITICO",IF($AD2253&gt;LIMITE_CONFORTAVEL,"ATENCAO","OK")))))</f>
        <v>SEM CULTURA</v>
      </c>
      <c r="AF2253" s="8" t="str">
        <f aca="false">$B2253&amp;"|"&amp;TEXT($AD2253,"0.000000")</f>
        <v>4|0.000000</v>
      </c>
      <c r="AG2253" s="18" t="n">
        <f aca="false">IF($K2253="SEM CULTURA",0,$T2253*$H2253)</f>
        <v>0</v>
      </c>
      <c r="AH2253" s="18" t="n">
        <f aca="false">IF($K2253="SEM CULTURA",0,$V2253*$H2253)</f>
        <v>0</v>
      </c>
      <c r="AI2253" s="18" t="n">
        <f aca="false">IF($K2253="SEM CULTURA",0,$W2253*$H2253)</f>
        <v>0</v>
      </c>
      <c r="AJ2253" s="18" t="n">
        <f aca="false">IF($K2253="SEM CULTURA",0,$S2253*$H2253)</f>
        <v>0</v>
      </c>
      <c r="AK2253" s="8" t="str">
        <f aca="false">$E2253&amp;"|"&amp;TEXT($AD2253,"0.000000")</f>
        <v>PV 136|0.000000</v>
      </c>
    </row>
    <row r="2254" customFormat="false" ht="15" hidden="false" customHeight="false" outlineLevel="0" collapsed="false">
      <c r="B2254" s="16" t="n">
        <v>5</v>
      </c>
      <c r="C2254" s="17" t="n">
        <f aca="false">DATA_INICIO_SAFRA+($B2254-1)*DIAS_POR_SEMANA</f>
        <v>46293</v>
      </c>
      <c r="D2254" s="17" t="n">
        <f aca="false">$C2254+DIAS_POR_SEMANA-1</f>
        <v>46299</v>
      </c>
      <c r="E2254" s="15" t="s">
        <v>293</v>
      </c>
      <c r="F2254" s="8" t="str">
        <f aca="false">IFERROR(INDEX(CADASTRO_PIVOS!$C$6:$C$41,MATCH($E2254,CADASTRO_PIVOS!$B$6:$B$41,0)),"?")</f>
        <v>RM08</v>
      </c>
      <c r="G2254" s="8" t="str">
        <f aca="false">IFERROR(INDEX(CADASTRO_PIVOS!$D$6:$D$41,MATCH($E2254,CADASTRO_PIVOS!$B$6:$B$41,0)),"?")</f>
        <v>TR08</v>
      </c>
      <c r="H2254" s="20" t="n">
        <f aca="false">IFERROR(INDEX(CADASTRO_PIVOS!$E$6:$E$41,MATCH($E2254,CADASTRO_PIVOS!$B$6:$B$41,0)),0)</f>
        <v>86</v>
      </c>
      <c r="I2254" s="16" t="n">
        <f aca="false">IFERROR(SUMIFS(ROTACAO_RDM!$B$6:$B$71,ROTACAO_RDM!$D$6:$D$71,$E2254,ROTACAO_RDM!$I$6:$I$71,"&lt;="&amp;$C2254+INT(DIAS_POR_SEMANA/2),ROTACAO_RDM!$J$6:$J$71,"&gt;="&amp;$C2254+INT(DIAS_POR_SEMANA/2)),0)</f>
        <v>0</v>
      </c>
      <c r="J2254" s="16" t="n">
        <f aca="false">IFERROR(MATCH($I2254,ROTACAO_RDM!$B$6:$B$71,0),0)</f>
        <v>0</v>
      </c>
      <c r="K2254" s="8" t="str">
        <f aca="false">IF($J2254=0,"SEM CULTURA",INDEX(ROTACAO_RDM!$F$6:$F$71,$J2254))</f>
        <v>SEM CULTURA</v>
      </c>
      <c r="L2254" s="8" t="str">
        <f aca="false">IF($J2254=0,"",INDEX(ROTACAO_RDM!$G$6:$G$71,$J2254))</f>
        <v/>
      </c>
      <c r="M2254" s="17" t="str">
        <f aca="false">IF($J2254=0,"",INDEX(ROTACAO_RDM!$I$6:$I$71,$J2254))</f>
        <v/>
      </c>
      <c r="N2254" s="16" t="n">
        <f aca="false">IF($J2254=0,0,MAX(0,$C2254+INT(DIAS_POR_SEMANA/2)-INDEX(ROTACAO_RDM!$I$6:$I$71,$J2254)))</f>
        <v>0</v>
      </c>
      <c r="O2254" s="19" t="n">
        <f aca="false">IF($J2254=0,0,MIN(1,$N2254/MAX(1,INDEX(ROTACAO_RDM!$K$6:$K$71,$J2254))))</f>
        <v>0</v>
      </c>
      <c r="P2254" s="16" t="n">
        <f aca="false">IF($J2254=0,0,IFERROR(MATCH(INDEX(ROTACAO_RDM!$N$6:$N$71,$J2254),PARAMETROS_CULTURAS!$B$6:$B$28,0),0))</f>
        <v>0</v>
      </c>
      <c r="Q2254" s="8" t="str">
        <f aca="false">IF($P2254=0,"-",IF($O2254&lt;=INDEX(PARAMETROS_CULTURAS!$F$6:$F$28,$P2254),"INICIAL",IF($O2254&lt;=INDEX(PARAMETROS_CULTURAS!$F$6:$F$28,$P2254)+INDEX(PARAMETROS_CULTURAS!$G$6:$G$28,$P2254),"DESENVOLVIMENTO",IF($O2254&lt;=INDEX(PARAMETROS_CULTURAS!$F$6:$F$28,$P2254)+INDEX(PARAMETROS_CULTURAS!$G$6:$G$28,$P2254)+INDEX(PARAMETROS_CULTURAS!$H$6:$H$28,$P2254),"MEDIA","FINAL"))))</f>
        <v>-</v>
      </c>
      <c r="R2254" s="24" t="n">
        <f aca="false">IF($P2254=0,0,IF($O2254&lt;=INDEX(PARAMETROS_CULTURAS!$F$6:$F$28,$P2254),INDEX(PARAMETROS_CULTURAS!$K$6:$K$28,$P2254),IF($O2254&lt;=INDEX(PARAMETROS_CULTURAS!$F$6:$F$28,$P2254)+INDEX(PARAMETROS_CULTURAS!$G$6:$G$28,$P2254),INDEX(PARAMETROS_CULTURAS!$K$6:$K$28,$P2254)+(INDEX(PARAMETROS_CULTURAS!$L$6:$L$28,$P2254)-INDEX(PARAMETROS_CULTURAS!$K$6:$K$28,$P2254))*($O2254-INDEX(PARAMETROS_CULTURAS!$F$6:$F$28,$P2254))/MAX(INDEX(PARAMETROS_CULTURAS!$G$6:$G$28,$P2254),0.0001),IF($O2254&lt;=INDEX(PARAMETROS_CULTURAS!$F$6:$F$28,$P2254)+INDEX(PARAMETROS_CULTURAS!$G$6:$G$28,$P2254)+INDEX(PARAMETROS_CULTURAS!$H$6:$H$28,$P2254),INDEX(PARAMETROS_CULTURAS!$L$6:$L$28,$P2254),INDEX(PARAMETROS_CULTURAS!$L$6:$L$28,$P2254)+(INDEX(PARAMETROS_CULTURAS!$M$6:$M$28,$P2254)-INDEX(PARAMETROS_CULTURAS!$L$6:$L$28,$P2254))*($O2254-INDEX(PARAMETROS_CULTURAS!$F$6:$F$28,$P2254)-INDEX(PARAMETROS_CULTURAS!$G$6:$G$28,$P2254)-INDEX(PARAMETROS_CULTURAS!$H$6:$H$28,$P2254))/MAX(INDEX(PARAMETROS_CULTURAS!$I$6:$I$28,$P2254),0.0001)))))</f>
        <v>0</v>
      </c>
      <c r="S2254" s="18" t="n">
        <f aca="false">IFERROR(INDEX(SEMANAS!$H$6:$H$71,MATCH($B2254,SEMANAS!$B$6:$B$71,0)),0)</f>
        <v>39.8</v>
      </c>
      <c r="T2254" s="18" t="n">
        <f aca="false">$R2254*$S2254</f>
        <v>0</v>
      </c>
      <c r="U2254" s="18" t="n">
        <f aca="false">IFERROR(INDEX(SEMANAS!$I$6:$I$71,MATCH($B2254,SEMANAS!$B$6:$B$71,0)),0)</f>
        <v>18.48</v>
      </c>
      <c r="V2254" s="18" t="n">
        <f aca="false">IFERROR(INDEX(SEMANAS!$J$6:$J$71,MATCH($B2254,SEMANAS!$B$6:$B$71,0)),0)</f>
        <v>14.784</v>
      </c>
      <c r="W2254" s="18" t="n">
        <f aca="false">MAX(0,$T2254-$V2254)</f>
        <v>0</v>
      </c>
      <c r="X2254" s="19" t="n">
        <f aca="false">IFERROR(INDEX(CADASTRO_PIVOS!$K$6:$K$41,MATCH($E2254,CADASTRO_PIVOS!$B$6:$B$41,0)),EFICIENCIA_PADRAO)</f>
        <v>0.85</v>
      </c>
      <c r="Y2254" s="18" t="n">
        <f aca="false">IF($X2254&lt;=0,0,$W2254/$X2254)</f>
        <v>0</v>
      </c>
      <c r="Z2254" s="16" t="n">
        <f aca="false">$Y2254*$H2254*MM_PARA_M3_HA</f>
        <v>0</v>
      </c>
      <c r="AA2254" s="18" t="n">
        <f aca="false">IFERROR(INDEX(CADASTRO_PIVOS!$I$6:$I$41,MATCH($E2254,CADASTRO_PIVOS!$B$6:$B$41,0)),0)</f>
        <v>614.285714285714</v>
      </c>
      <c r="AB2254" s="18" t="n">
        <f aca="false">IF($Z2254&lt;=0,0,$Z2254/$AA2254)</f>
        <v>0</v>
      </c>
      <c r="AC2254" s="16" t="n">
        <f aca="false">IFERROR(INDEX(SEMANAS!$K$6:$K$71,MATCH($B2254,SEMANAS!$B$6:$B$71,0)),0)</f>
        <v>147</v>
      </c>
      <c r="AD2254" s="19" t="n">
        <f aca="false">IF($AC2254&lt;=0,0,$AB2254/$AC2254)</f>
        <v>0</v>
      </c>
      <c r="AE2254" s="8" t="str">
        <f aca="false">IF($K2254="SEM CULTURA","SEM CULTURA",IF($AA2254&lt;=0,"DADO PENDENTE",IF($AD2254&gt;LIMITE_CRITICO,"INVIAVEL",IF($AD2254&gt;LIMITE_ATENCAO,"CRITICO",IF($AD2254&gt;LIMITE_CONFORTAVEL,"ATENCAO","OK")))))</f>
        <v>SEM CULTURA</v>
      </c>
      <c r="AF2254" s="8" t="str">
        <f aca="false">$B2254&amp;"|"&amp;TEXT($AD2254,"0.000000")</f>
        <v>5|0.000000</v>
      </c>
      <c r="AG2254" s="18" t="n">
        <f aca="false">IF($K2254="SEM CULTURA",0,$T2254*$H2254)</f>
        <v>0</v>
      </c>
      <c r="AH2254" s="18" t="n">
        <f aca="false">IF($K2254="SEM CULTURA",0,$V2254*$H2254)</f>
        <v>0</v>
      </c>
      <c r="AI2254" s="18" t="n">
        <f aca="false">IF($K2254="SEM CULTURA",0,$W2254*$H2254)</f>
        <v>0</v>
      </c>
      <c r="AJ2254" s="18" t="n">
        <f aca="false">IF($K2254="SEM CULTURA",0,$S2254*$H2254)</f>
        <v>0</v>
      </c>
      <c r="AK2254" s="8" t="str">
        <f aca="false">$E2254&amp;"|"&amp;TEXT($AD2254,"0.000000")</f>
        <v>PV 136|0.000000</v>
      </c>
    </row>
    <row r="2255" customFormat="false" ht="15" hidden="false" customHeight="false" outlineLevel="0" collapsed="false">
      <c r="B2255" s="16" t="n">
        <v>6</v>
      </c>
      <c r="C2255" s="17" t="n">
        <f aca="false">DATA_INICIO_SAFRA+($B2255-1)*DIAS_POR_SEMANA</f>
        <v>46300</v>
      </c>
      <c r="D2255" s="17" t="n">
        <f aca="false">$C2255+DIAS_POR_SEMANA-1</f>
        <v>46306</v>
      </c>
      <c r="E2255" s="15" t="s">
        <v>293</v>
      </c>
      <c r="F2255" s="8" t="str">
        <f aca="false">IFERROR(INDEX(CADASTRO_PIVOS!$C$6:$C$41,MATCH($E2255,CADASTRO_PIVOS!$B$6:$B$41,0)),"?")</f>
        <v>RM08</v>
      </c>
      <c r="G2255" s="8" t="str">
        <f aca="false">IFERROR(INDEX(CADASTRO_PIVOS!$D$6:$D$41,MATCH($E2255,CADASTRO_PIVOS!$B$6:$B$41,0)),"?")</f>
        <v>TR08</v>
      </c>
      <c r="H2255" s="20" t="n">
        <f aca="false">IFERROR(INDEX(CADASTRO_PIVOS!$E$6:$E$41,MATCH($E2255,CADASTRO_PIVOS!$B$6:$B$41,0)),0)</f>
        <v>86</v>
      </c>
      <c r="I2255" s="16" t="n">
        <f aca="false">IFERROR(SUMIFS(ROTACAO_RDM!$B$6:$B$71,ROTACAO_RDM!$D$6:$D$71,$E2255,ROTACAO_RDM!$I$6:$I$71,"&lt;="&amp;$C2255+INT(DIAS_POR_SEMANA/2),ROTACAO_RDM!$J$6:$J$71,"&gt;="&amp;$C2255+INT(DIAS_POR_SEMANA/2)),0)</f>
        <v>0</v>
      </c>
      <c r="J2255" s="16" t="n">
        <f aca="false">IFERROR(MATCH($I2255,ROTACAO_RDM!$B$6:$B$71,0),0)</f>
        <v>0</v>
      </c>
      <c r="K2255" s="8" t="str">
        <f aca="false">IF($J2255=0,"SEM CULTURA",INDEX(ROTACAO_RDM!$F$6:$F$71,$J2255))</f>
        <v>SEM CULTURA</v>
      </c>
      <c r="L2255" s="8" t="str">
        <f aca="false">IF($J2255=0,"",INDEX(ROTACAO_RDM!$G$6:$G$71,$J2255))</f>
        <v/>
      </c>
      <c r="M2255" s="17" t="str">
        <f aca="false">IF($J2255=0,"",INDEX(ROTACAO_RDM!$I$6:$I$71,$J2255))</f>
        <v/>
      </c>
      <c r="N2255" s="16" t="n">
        <f aca="false">IF($J2255=0,0,MAX(0,$C2255+INT(DIAS_POR_SEMANA/2)-INDEX(ROTACAO_RDM!$I$6:$I$71,$J2255)))</f>
        <v>0</v>
      </c>
      <c r="O2255" s="19" t="n">
        <f aca="false">IF($J2255=0,0,MIN(1,$N2255/MAX(1,INDEX(ROTACAO_RDM!$K$6:$K$71,$J2255))))</f>
        <v>0</v>
      </c>
      <c r="P2255" s="16" t="n">
        <f aca="false">IF($J2255=0,0,IFERROR(MATCH(INDEX(ROTACAO_RDM!$N$6:$N$71,$J2255),PARAMETROS_CULTURAS!$B$6:$B$28,0),0))</f>
        <v>0</v>
      </c>
      <c r="Q2255" s="8" t="str">
        <f aca="false">IF($P2255=0,"-",IF($O2255&lt;=INDEX(PARAMETROS_CULTURAS!$F$6:$F$28,$P2255),"INICIAL",IF($O2255&lt;=INDEX(PARAMETROS_CULTURAS!$F$6:$F$28,$P2255)+INDEX(PARAMETROS_CULTURAS!$G$6:$G$28,$P2255),"DESENVOLVIMENTO",IF($O2255&lt;=INDEX(PARAMETROS_CULTURAS!$F$6:$F$28,$P2255)+INDEX(PARAMETROS_CULTURAS!$G$6:$G$28,$P2255)+INDEX(PARAMETROS_CULTURAS!$H$6:$H$28,$P2255),"MEDIA","FINAL"))))</f>
        <v>-</v>
      </c>
      <c r="R2255" s="24" t="n">
        <f aca="false">IF($P2255=0,0,IF($O2255&lt;=INDEX(PARAMETROS_CULTURAS!$F$6:$F$28,$P2255),INDEX(PARAMETROS_CULTURAS!$K$6:$K$28,$P2255),IF($O2255&lt;=INDEX(PARAMETROS_CULTURAS!$F$6:$F$28,$P2255)+INDEX(PARAMETROS_CULTURAS!$G$6:$G$28,$P2255),INDEX(PARAMETROS_CULTURAS!$K$6:$K$28,$P2255)+(INDEX(PARAMETROS_CULTURAS!$L$6:$L$28,$P2255)-INDEX(PARAMETROS_CULTURAS!$K$6:$K$28,$P2255))*($O2255-INDEX(PARAMETROS_CULTURAS!$F$6:$F$28,$P2255))/MAX(INDEX(PARAMETROS_CULTURAS!$G$6:$G$28,$P2255),0.0001),IF($O2255&lt;=INDEX(PARAMETROS_CULTURAS!$F$6:$F$28,$P2255)+INDEX(PARAMETROS_CULTURAS!$G$6:$G$28,$P2255)+INDEX(PARAMETROS_CULTURAS!$H$6:$H$28,$P2255),INDEX(PARAMETROS_CULTURAS!$L$6:$L$28,$P2255),INDEX(PARAMETROS_CULTURAS!$L$6:$L$28,$P2255)+(INDEX(PARAMETROS_CULTURAS!$M$6:$M$28,$P2255)-INDEX(PARAMETROS_CULTURAS!$L$6:$L$28,$P2255))*($O2255-INDEX(PARAMETROS_CULTURAS!$F$6:$F$28,$P2255)-INDEX(PARAMETROS_CULTURAS!$G$6:$G$28,$P2255)-INDEX(PARAMETROS_CULTURAS!$H$6:$H$28,$P2255))/MAX(INDEX(PARAMETROS_CULTURAS!$I$6:$I$28,$P2255),0.0001)))))</f>
        <v>0</v>
      </c>
      <c r="S2255" s="18" t="n">
        <f aca="false">IFERROR(INDEX(SEMANAS!$H$6:$H$71,MATCH($B2255,SEMANAS!$B$6:$B$71,0)),0)</f>
        <v>39.2</v>
      </c>
      <c r="T2255" s="18" t="n">
        <f aca="false">$R2255*$S2255</f>
        <v>0</v>
      </c>
      <c r="U2255" s="18" t="n">
        <f aca="false">IFERROR(INDEX(SEMANAS!$I$6:$I$71,MATCH($B2255,SEMANAS!$B$6:$B$71,0)),0)</f>
        <v>27.09</v>
      </c>
      <c r="V2255" s="18" t="n">
        <f aca="false">IFERROR(INDEX(SEMANAS!$J$6:$J$71,MATCH($B2255,SEMANAS!$B$6:$B$71,0)),0)</f>
        <v>21.672</v>
      </c>
      <c r="W2255" s="18" t="n">
        <f aca="false">MAX(0,$T2255-$V2255)</f>
        <v>0</v>
      </c>
      <c r="X2255" s="19" t="n">
        <f aca="false">IFERROR(INDEX(CADASTRO_PIVOS!$K$6:$K$41,MATCH($E2255,CADASTRO_PIVOS!$B$6:$B$41,0)),EFICIENCIA_PADRAO)</f>
        <v>0.85</v>
      </c>
      <c r="Y2255" s="18" t="n">
        <f aca="false">IF($X2255&lt;=0,0,$W2255/$X2255)</f>
        <v>0</v>
      </c>
      <c r="Z2255" s="16" t="n">
        <f aca="false">$Y2255*$H2255*MM_PARA_M3_HA</f>
        <v>0</v>
      </c>
      <c r="AA2255" s="18" t="n">
        <f aca="false">IFERROR(INDEX(CADASTRO_PIVOS!$I$6:$I$41,MATCH($E2255,CADASTRO_PIVOS!$B$6:$B$41,0)),0)</f>
        <v>614.285714285714</v>
      </c>
      <c r="AB2255" s="18" t="n">
        <f aca="false">IF($Z2255&lt;=0,0,$Z2255/$AA2255)</f>
        <v>0</v>
      </c>
      <c r="AC2255" s="16" t="n">
        <f aca="false">IFERROR(INDEX(SEMANAS!$K$6:$K$71,MATCH($B2255,SEMANAS!$B$6:$B$71,0)),0)</f>
        <v>147</v>
      </c>
      <c r="AD2255" s="19" t="n">
        <f aca="false">IF($AC2255&lt;=0,0,$AB2255/$AC2255)</f>
        <v>0</v>
      </c>
      <c r="AE2255" s="8" t="str">
        <f aca="false">IF($K2255="SEM CULTURA","SEM CULTURA",IF($AA2255&lt;=0,"DADO PENDENTE",IF($AD2255&gt;LIMITE_CRITICO,"INVIAVEL",IF($AD2255&gt;LIMITE_ATENCAO,"CRITICO",IF($AD2255&gt;LIMITE_CONFORTAVEL,"ATENCAO","OK")))))</f>
        <v>SEM CULTURA</v>
      </c>
      <c r="AF2255" s="8" t="str">
        <f aca="false">$B2255&amp;"|"&amp;TEXT($AD2255,"0.000000")</f>
        <v>6|0.000000</v>
      </c>
      <c r="AG2255" s="18" t="n">
        <f aca="false">IF($K2255="SEM CULTURA",0,$T2255*$H2255)</f>
        <v>0</v>
      </c>
      <c r="AH2255" s="18" t="n">
        <f aca="false">IF($K2255="SEM CULTURA",0,$V2255*$H2255)</f>
        <v>0</v>
      </c>
      <c r="AI2255" s="18" t="n">
        <f aca="false">IF($K2255="SEM CULTURA",0,$W2255*$H2255)</f>
        <v>0</v>
      </c>
      <c r="AJ2255" s="18" t="n">
        <f aca="false">IF($K2255="SEM CULTURA",0,$S2255*$H2255)</f>
        <v>0</v>
      </c>
      <c r="AK2255" s="8" t="str">
        <f aca="false">$E2255&amp;"|"&amp;TEXT($AD2255,"0.000000")</f>
        <v>PV 136|0.000000</v>
      </c>
    </row>
    <row r="2256" customFormat="false" ht="15" hidden="false" customHeight="false" outlineLevel="0" collapsed="false">
      <c r="B2256" s="16" t="n">
        <v>7</v>
      </c>
      <c r="C2256" s="17" t="n">
        <f aca="false">DATA_INICIO_SAFRA+($B2256-1)*DIAS_POR_SEMANA</f>
        <v>46307</v>
      </c>
      <c r="D2256" s="17" t="n">
        <f aca="false">$C2256+DIAS_POR_SEMANA-1</f>
        <v>46313</v>
      </c>
      <c r="E2256" s="15" t="s">
        <v>293</v>
      </c>
      <c r="F2256" s="8" t="str">
        <f aca="false">IFERROR(INDEX(CADASTRO_PIVOS!$C$6:$C$41,MATCH($E2256,CADASTRO_PIVOS!$B$6:$B$41,0)),"?")</f>
        <v>RM08</v>
      </c>
      <c r="G2256" s="8" t="str">
        <f aca="false">IFERROR(INDEX(CADASTRO_PIVOS!$D$6:$D$41,MATCH($E2256,CADASTRO_PIVOS!$B$6:$B$41,0)),"?")</f>
        <v>TR08</v>
      </c>
      <c r="H2256" s="20" t="n">
        <f aca="false">IFERROR(INDEX(CADASTRO_PIVOS!$E$6:$E$41,MATCH($E2256,CADASTRO_PIVOS!$B$6:$B$41,0)),0)</f>
        <v>86</v>
      </c>
      <c r="I2256" s="16" t="n">
        <f aca="false">IFERROR(SUMIFS(ROTACAO_RDM!$B$6:$B$71,ROTACAO_RDM!$D$6:$D$71,$E2256,ROTACAO_RDM!$I$6:$I$71,"&lt;="&amp;$C2256+INT(DIAS_POR_SEMANA/2),ROTACAO_RDM!$J$6:$J$71,"&gt;="&amp;$C2256+INT(DIAS_POR_SEMANA/2)),0)</f>
        <v>0</v>
      </c>
      <c r="J2256" s="16" t="n">
        <f aca="false">IFERROR(MATCH($I2256,ROTACAO_RDM!$B$6:$B$71,0),0)</f>
        <v>0</v>
      </c>
      <c r="K2256" s="8" t="str">
        <f aca="false">IF($J2256=0,"SEM CULTURA",INDEX(ROTACAO_RDM!$F$6:$F$71,$J2256))</f>
        <v>SEM CULTURA</v>
      </c>
      <c r="L2256" s="8" t="str">
        <f aca="false">IF($J2256=0,"",INDEX(ROTACAO_RDM!$G$6:$G$71,$J2256))</f>
        <v/>
      </c>
      <c r="M2256" s="17" t="str">
        <f aca="false">IF($J2256=0,"",INDEX(ROTACAO_RDM!$I$6:$I$71,$J2256))</f>
        <v/>
      </c>
      <c r="N2256" s="16" t="n">
        <f aca="false">IF($J2256=0,0,MAX(0,$C2256+INT(DIAS_POR_SEMANA/2)-INDEX(ROTACAO_RDM!$I$6:$I$71,$J2256)))</f>
        <v>0</v>
      </c>
      <c r="O2256" s="19" t="n">
        <f aca="false">IF($J2256=0,0,MIN(1,$N2256/MAX(1,INDEX(ROTACAO_RDM!$K$6:$K$71,$J2256))))</f>
        <v>0</v>
      </c>
      <c r="P2256" s="16" t="n">
        <f aca="false">IF($J2256=0,0,IFERROR(MATCH(INDEX(ROTACAO_RDM!$N$6:$N$71,$J2256),PARAMETROS_CULTURAS!$B$6:$B$28,0),0))</f>
        <v>0</v>
      </c>
      <c r="Q2256" s="8" t="str">
        <f aca="false">IF($P2256=0,"-",IF($O2256&lt;=INDEX(PARAMETROS_CULTURAS!$F$6:$F$28,$P2256),"INICIAL",IF($O2256&lt;=INDEX(PARAMETROS_CULTURAS!$F$6:$F$28,$P2256)+INDEX(PARAMETROS_CULTURAS!$G$6:$G$28,$P2256),"DESENVOLVIMENTO",IF($O2256&lt;=INDEX(PARAMETROS_CULTURAS!$F$6:$F$28,$P2256)+INDEX(PARAMETROS_CULTURAS!$G$6:$G$28,$P2256)+INDEX(PARAMETROS_CULTURAS!$H$6:$H$28,$P2256),"MEDIA","FINAL"))))</f>
        <v>-</v>
      </c>
      <c r="R2256" s="24" t="n">
        <f aca="false">IF($P2256=0,0,IF($O2256&lt;=INDEX(PARAMETROS_CULTURAS!$F$6:$F$28,$P2256),INDEX(PARAMETROS_CULTURAS!$K$6:$K$28,$P2256),IF($O2256&lt;=INDEX(PARAMETROS_CULTURAS!$F$6:$F$28,$P2256)+INDEX(PARAMETROS_CULTURAS!$G$6:$G$28,$P2256),INDEX(PARAMETROS_CULTURAS!$K$6:$K$28,$P2256)+(INDEX(PARAMETROS_CULTURAS!$L$6:$L$28,$P2256)-INDEX(PARAMETROS_CULTURAS!$K$6:$K$28,$P2256))*($O2256-INDEX(PARAMETROS_CULTURAS!$F$6:$F$28,$P2256))/MAX(INDEX(PARAMETROS_CULTURAS!$G$6:$G$28,$P2256),0.0001),IF($O2256&lt;=INDEX(PARAMETROS_CULTURAS!$F$6:$F$28,$P2256)+INDEX(PARAMETROS_CULTURAS!$G$6:$G$28,$P2256)+INDEX(PARAMETROS_CULTURAS!$H$6:$H$28,$P2256),INDEX(PARAMETROS_CULTURAS!$L$6:$L$28,$P2256),INDEX(PARAMETROS_CULTURAS!$L$6:$L$28,$P2256)+(INDEX(PARAMETROS_CULTURAS!$M$6:$M$28,$P2256)-INDEX(PARAMETROS_CULTURAS!$L$6:$L$28,$P2256))*($O2256-INDEX(PARAMETROS_CULTURAS!$F$6:$F$28,$P2256)-INDEX(PARAMETROS_CULTURAS!$G$6:$G$28,$P2256)-INDEX(PARAMETROS_CULTURAS!$H$6:$H$28,$P2256))/MAX(INDEX(PARAMETROS_CULTURAS!$I$6:$I$28,$P2256),0.0001)))))</f>
        <v>0</v>
      </c>
      <c r="S2256" s="18" t="n">
        <f aca="false">IFERROR(INDEX(SEMANAS!$H$6:$H$71,MATCH($B2256,SEMANAS!$B$6:$B$71,0)),0)</f>
        <v>39.2</v>
      </c>
      <c r="T2256" s="18" t="n">
        <f aca="false">$R2256*$S2256</f>
        <v>0</v>
      </c>
      <c r="U2256" s="18" t="n">
        <f aca="false">IFERROR(INDEX(SEMANAS!$I$6:$I$71,MATCH($B2256,SEMANAS!$B$6:$B$71,0)),0)</f>
        <v>27.09</v>
      </c>
      <c r="V2256" s="18" t="n">
        <f aca="false">IFERROR(INDEX(SEMANAS!$J$6:$J$71,MATCH($B2256,SEMANAS!$B$6:$B$71,0)),0)</f>
        <v>21.672</v>
      </c>
      <c r="W2256" s="18" t="n">
        <f aca="false">MAX(0,$T2256-$V2256)</f>
        <v>0</v>
      </c>
      <c r="X2256" s="19" t="n">
        <f aca="false">IFERROR(INDEX(CADASTRO_PIVOS!$K$6:$K$41,MATCH($E2256,CADASTRO_PIVOS!$B$6:$B$41,0)),EFICIENCIA_PADRAO)</f>
        <v>0.85</v>
      </c>
      <c r="Y2256" s="18" t="n">
        <f aca="false">IF($X2256&lt;=0,0,$W2256/$X2256)</f>
        <v>0</v>
      </c>
      <c r="Z2256" s="16" t="n">
        <f aca="false">$Y2256*$H2256*MM_PARA_M3_HA</f>
        <v>0</v>
      </c>
      <c r="AA2256" s="18" t="n">
        <f aca="false">IFERROR(INDEX(CADASTRO_PIVOS!$I$6:$I$41,MATCH($E2256,CADASTRO_PIVOS!$B$6:$B$41,0)),0)</f>
        <v>614.285714285714</v>
      </c>
      <c r="AB2256" s="18" t="n">
        <f aca="false">IF($Z2256&lt;=0,0,$Z2256/$AA2256)</f>
        <v>0</v>
      </c>
      <c r="AC2256" s="16" t="n">
        <f aca="false">IFERROR(INDEX(SEMANAS!$K$6:$K$71,MATCH($B2256,SEMANAS!$B$6:$B$71,0)),0)</f>
        <v>147</v>
      </c>
      <c r="AD2256" s="19" t="n">
        <f aca="false">IF($AC2256&lt;=0,0,$AB2256/$AC2256)</f>
        <v>0</v>
      </c>
      <c r="AE2256" s="8" t="str">
        <f aca="false">IF($K2256="SEM CULTURA","SEM CULTURA",IF($AA2256&lt;=0,"DADO PENDENTE",IF($AD2256&gt;LIMITE_CRITICO,"INVIAVEL",IF($AD2256&gt;LIMITE_ATENCAO,"CRITICO",IF($AD2256&gt;LIMITE_CONFORTAVEL,"ATENCAO","OK")))))</f>
        <v>SEM CULTURA</v>
      </c>
      <c r="AF2256" s="8" t="str">
        <f aca="false">$B2256&amp;"|"&amp;TEXT($AD2256,"0.000000")</f>
        <v>7|0.000000</v>
      </c>
      <c r="AG2256" s="18" t="n">
        <f aca="false">IF($K2256="SEM CULTURA",0,$T2256*$H2256)</f>
        <v>0</v>
      </c>
      <c r="AH2256" s="18" t="n">
        <f aca="false">IF($K2256="SEM CULTURA",0,$V2256*$H2256)</f>
        <v>0</v>
      </c>
      <c r="AI2256" s="18" t="n">
        <f aca="false">IF($K2256="SEM CULTURA",0,$W2256*$H2256)</f>
        <v>0</v>
      </c>
      <c r="AJ2256" s="18" t="n">
        <f aca="false">IF($K2256="SEM CULTURA",0,$S2256*$H2256)</f>
        <v>0</v>
      </c>
      <c r="AK2256" s="8" t="str">
        <f aca="false">$E2256&amp;"|"&amp;TEXT($AD2256,"0.000000")</f>
        <v>PV 136|0.000000</v>
      </c>
    </row>
    <row r="2257" customFormat="false" ht="15" hidden="false" customHeight="false" outlineLevel="0" collapsed="false">
      <c r="B2257" s="16" t="n">
        <v>8</v>
      </c>
      <c r="C2257" s="17" t="n">
        <f aca="false">DATA_INICIO_SAFRA+($B2257-1)*DIAS_POR_SEMANA</f>
        <v>46314</v>
      </c>
      <c r="D2257" s="17" t="n">
        <f aca="false">$C2257+DIAS_POR_SEMANA-1</f>
        <v>46320</v>
      </c>
      <c r="E2257" s="15" t="s">
        <v>293</v>
      </c>
      <c r="F2257" s="8" t="str">
        <f aca="false">IFERROR(INDEX(CADASTRO_PIVOS!$C$6:$C$41,MATCH($E2257,CADASTRO_PIVOS!$B$6:$B$41,0)),"?")</f>
        <v>RM08</v>
      </c>
      <c r="G2257" s="8" t="str">
        <f aca="false">IFERROR(INDEX(CADASTRO_PIVOS!$D$6:$D$41,MATCH($E2257,CADASTRO_PIVOS!$B$6:$B$41,0)),"?")</f>
        <v>TR08</v>
      </c>
      <c r="H2257" s="20" t="n">
        <f aca="false">IFERROR(INDEX(CADASTRO_PIVOS!$E$6:$E$41,MATCH($E2257,CADASTRO_PIVOS!$B$6:$B$41,0)),0)</f>
        <v>86</v>
      </c>
      <c r="I2257" s="16" t="n">
        <f aca="false">IFERROR(SUMIFS(ROTACAO_RDM!$B$6:$B$71,ROTACAO_RDM!$D$6:$D$71,$E2257,ROTACAO_RDM!$I$6:$I$71,"&lt;="&amp;$C2257+INT(DIAS_POR_SEMANA/2),ROTACAO_RDM!$J$6:$J$71,"&gt;="&amp;$C2257+INT(DIAS_POR_SEMANA/2)),0)</f>
        <v>0</v>
      </c>
      <c r="J2257" s="16" t="n">
        <f aca="false">IFERROR(MATCH($I2257,ROTACAO_RDM!$B$6:$B$71,0),0)</f>
        <v>0</v>
      </c>
      <c r="K2257" s="8" t="str">
        <f aca="false">IF($J2257=0,"SEM CULTURA",INDEX(ROTACAO_RDM!$F$6:$F$71,$J2257))</f>
        <v>SEM CULTURA</v>
      </c>
      <c r="L2257" s="8" t="str">
        <f aca="false">IF($J2257=0,"",INDEX(ROTACAO_RDM!$G$6:$G$71,$J2257))</f>
        <v/>
      </c>
      <c r="M2257" s="17" t="str">
        <f aca="false">IF($J2257=0,"",INDEX(ROTACAO_RDM!$I$6:$I$71,$J2257))</f>
        <v/>
      </c>
      <c r="N2257" s="16" t="n">
        <f aca="false">IF($J2257=0,0,MAX(0,$C2257+INT(DIAS_POR_SEMANA/2)-INDEX(ROTACAO_RDM!$I$6:$I$71,$J2257)))</f>
        <v>0</v>
      </c>
      <c r="O2257" s="19" t="n">
        <f aca="false">IF($J2257=0,0,MIN(1,$N2257/MAX(1,INDEX(ROTACAO_RDM!$K$6:$K$71,$J2257))))</f>
        <v>0</v>
      </c>
      <c r="P2257" s="16" t="n">
        <f aca="false">IF($J2257=0,0,IFERROR(MATCH(INDEX(ROTACAO_RDM!$N$6:$N$71,$J2257),PARAMETROS_CULTURAS!$B$6:$B$28,0),0))</f>
        <v>0</v>
      </c>
      <c r="Q2257" s="8" t="str">
        <f aca="false">IF($P2257=0,"-",IF($O2257&lt;=INDEX(PARAMETROS_CULTURAS!$F$6:$F$28,$P2257),"INICIAL",IF($O2257&lt;=INDEX(PARAMETROS_CULTURAS!$F$6:$F$28,$P2257)+INDEX(PARAMETROS_CULTURAS!$G$6:$G$28,$P2257),"DESENVOLVIMENTO",IF($O2257&lt;=INDEX(PARAMETROS_CULTURAS!$F$6:$F$28,$P2257)+INDEX(PARAMETROS_CULTURAS!$G$6:$G$28,$P2257)+INDEX(PARAMETROS_CULTURAS!$H$6:$H$28,$P2257),"MEDIA","FINAL"))))</f>
        <v>-</v>
      </c>
      <c r="R2257" s="24" t="n">
        <f aca="false">IF($P2257=0,0,IF($O2257&lt;=INDEX(PARAMETROS_CULTURAS!$F$6:$F$28,$P2257),INDEX(PARAMETROS_CULTURAS!$K$6:$K$28,$P2257),IF($O2257&lt;=INDEX(PARAMETROS_CULTURAS!$F$6:$F$28,$P2257)+INDEX(PARAMETROS_CULTURAS!$G$6:$G$28,$P2257),INDEX(PARAMETROS_CULTURAS!$K$6:$K$28,$P2257)+(INDEX(PARAMETROS_CULTURAS!$L$6:$L$28,$P2257)-INDEX(PARAMETROS_CULTURAS!$K$6:$K$28,$P2257))*($O2257-INDEX(PARAMETROS_CULTURAS!$F$6:$F$28,$P2257))/MAX(INDEX(PARAMETROS_CULTURAS!$G$6:$G$28,$P2257),0.0001),IF($O2257&lt;=INDEX(PARAMETROS_CULTURAS!$F$6:$F$28,$P2257)+INDEX(PARAMETROS_CULTURAS!$G$6:$G$28,$P2257)+INDEX(PARAMETROS_CULTURAS!$H$6:$H$28,$P2257),INDEX(PARAMETROS_CULTURAS!$L$6:$L$28,$P2257),INDEX(PARAMETROS_CULTURAS!$L$6:$L$28,$P2257)+(INDEX(PARAMETROS_CULTURAS!$M$6:$M$28,$P2257)-INDEX(PARAMETROS_CULTURAS!$L$6:$L$28,$P2257))*($O2257-INDEX(PARAMETROS_CULTURAS!$F$6:$F$28,$P2257)-INDEX(PARAMETROS_CULTURAS!$G$6:$G$28,$P2257)-INDEX(PARAMETROS_CULTURAS!$H$6:$H$28,$P2257))/MAX(INDEX(PARAMETROS_CULTURAS!$I$6:$I$28,$P2257),0.0001)))))</f>
        <v>0</v>
      </c>
      <c r="S2257" s="18" t="n">
        <f aca="false">IFERROR(INDEX(SEMANAS!$H$6:$H$71,MATCH($B2257,SEMANAS!$B$6:$B$71,0)),0)</f>
        <v>39.2</v>
      </c>
      <c r="T2257" s="18" t="n">
        <f aca="false">$R2257*$S2257</f>
        <v>0</v>
      </c>
      <c r="U2257" s="18" t="n">
        <f aca="false">IFERROR(INDEX(SEMANAS!$I$6:$I$71,MATCH($B2257,SEMANAS!$B$6:$B$71,0)),0)</f>
        <v>27.09</v>
      </c>
      <c r="V2257" s="18" t="n">
        <f aca="false">IFERROR(INDEX(SEMANAS!$J$6:$J$71,MATCH($B2257,SEMANAS!$B$6:$B$71,0)),0)</f>
        <v>21.672</v>
      </c>
      <c r="W2257" s="18" t="n">
        <f aca="false">MAX(0,$T2257-$V2257)</f>
        <v>0</v>
      </c>
      <c r="X2257" s="19" t="n">
        <f aca="false">IFERROR(INDEX(CADASTRO_PIVOS!$K$6:$K$41,MATCH($E2257,CADASTRO_PIVOS!$B$6:$B$41,0)),EFICIENCIA_PADRAO)</f>
        <v>0.85</v>
      </c>
      <c r="Y2257" s="18" t="n">
        <f aca="false">IF($X2257&lt;=0,0,$W2257/$X2257)</f>
        <v>0</v>
      </c>
      <c r="Z2257" s="16" t="n">
        <f aca="false">$Y2257*$H2257*MM_PARA_M3_HA</f>
        <v>0</v>
      </c>
      <c r="AA2257" s="18" t="n">
        <f aca="false">IFERROR(INDEX(CADASTRO_PIVOS!$I$6:$I$41,MATCH($E2257,CADASTRO_PIVOS!$B$6:$B$41,0)),0)</f>
        <v>614.285714285714</v>
      </c>
      <c r="AB2257" s="18" t="n">
        <f aca="false">IF($Z2257&lt;=0,0,$Z2257/$AA2257)</f>
        <v>0</v>
      </c>
      <c r="AC2257" s="16" t="n">
        <f aca="false">IFERROR(INDEX(SEMANAS!$K$6:$K$71,MATCH($B2257,SEMANAS!$B$6:$B$71,0)),0)</f>
        <v>147</v>
      </c>
      <c r="AD2257" s="19" t="n">
        <f aca="false">IF($AC2257&lt;=0,0,$AB2257/$AC2257)</f>
        <v>0</v>
      </c>
      <c r="AE2257" s="8" t="str">
        <f aca="false">IF($K2257="SEM CULTURA","SEM CULTURA",IF($AA2257&lt;=0,"DADO PENDENTE",IF($AD2257&gt;LIMITE_CRITICO,"INVIAVEL",IF($AD2257&gt;LIMITE_ATENCAO,"CRITICO",IF($AD2257&gt;LIMITE_CONFORTAVEL,"ATENCAO","OK")))))</f>
        <v>SEM CULTURA</v>
      </c>
      <c r="AF2257" s="8" t="str">
        <f aca="false">$B2257&amp;"|"&amp;TEXT($AD2257,"0.000000")</f>
        <v>8|0.000000</v>
      </c>
      <c r="AG2257" s="18" t="n">
        <f aca="false">IF($K2257="SEM CULTURA",0,$T2257*$H2257)</f>
        <v>0</v>
      </c>
      <c r="AH2257" s="18" t="n">
        <f aca="false">IF($K2257="SEM CULTURA",0,$V2257*$H2257)</f>
        <v>0</v>
      </c>
      <c r="AI2257" s="18" t="n">
        <f aca="false">IF($K2257="SEM CULTURA",0,$W2257*$H2257)</f>
        <v>0</v>
      </c>
      <c r="AJ2257" s="18" t="n">
        <f aca="false">IF($K2257="SEM CULTURA",0,$S2257*$H2257)</f>
        <v>0</v>
      </c>
      <c r="AK2257" s="8" t="str">
        <f aca="false">$E2257&amp;"|"&amp;TEXT($AD2257,"0.000000")</f>
        <v>PV 136|0.000000</v>
      </c>
    </row>
    <row r="2258" customFormat="false" ht="15" hidden="false" customHeight="false" outlineLevel="0" collapsed="false">
      <c r="B2258" s="16" t="n">
        <v>9</v>
      </c>
      <c r="C2258" s="17" t="n">
        <f aca="false">DATA_INICIO_SAFRA+($B2258-1)*DIAS_POR_SEMANA</f>
        <v>46321</v>
      </c>
      <c r="D2258" s="17" t="n">
        <f aca="false">$C2258+DIAS_POR_SEMANA-1</f>
        <v>46327</v>
      </c>
      <c r="E2258" s="15" t="s">
        <v>293</v>
      </c>
      <c r="F2258" s="8" t="str">
        <f aca="false">IFERROR(INDEX(CADASTRO_PIVOS!$C$6:$C$41,MATCH($E2258,CADASTRO_PIVOS!$B$6:$B$41,0)),"?")</f>
        <v>RM08</v>
      </c>
      <c r="G2258" s="8" t="str">
        <f aca="false">IFERROR(INDEX(CADASTRO_PIVOS!$D$6:$D$41,MATCH($E2258,CADASTRO_PIVOS!$B$6:$B$41,0)),"?")</f>
        <v>TR08</v>
      </c>
      <c r="H2258" s="20" t="n">
        <f aca="false">IFERROR(INDEX(CADASTRO_PIVOS!$E$6:$E$41,MATCH($E2258,CADASTRO_PIVOS!$B$6:$B$41,0)),0)</f>
        <v>86</v>
      </c>
      <c r="I2258" s="16" t="n">
        <f aca="false">IFERROR(SUMIFS(ROTACAO_RDM!$B$6:$B$71,ROTACAO_RDM!$D$6:$D$71,$E2258,ROTACAO_RDM!$I$6:$I$71,"&lt;="&amp;$C2258+INT(DIAS_POR_SEMANA/2),ROTACAO_RDM!$J$6:$J$71,"&gt;="&amp;$C2258+INT(DIAS_POR_SEMANA/2)),0)</f>
        <v>0</v>
      </c>
      <c r="J2258" s="16" t="n">
        <f aca="false">IFERROR(MATCH($I2258,ROTACAO_RDM!$B$6:$B$71,0),0)</f>
        <v>0</v>
      </c>
      <c r="K2258" s="8" t="str">
        <f aca="false">IF($J2258=0,"SEM CULTURA",INDEX(ROTACAO_RDM!$F$6:$F$71,$J2258))</f>
        <v>SEM CULTURA</v>
      </c>
      <c r="L2258" s="8" t="str">
        <f aca="false">IF($J2258=0,"",INDEX(ROTACAO_RDM!$G$6:$G$71,$J2258))</f>
        <v/>
      </c>
      <c r="M2258" s="17" t="str">
        <f aca="false">IF($J2258=0,"",INDEX(ROTACAO_RDM!$I$6:$I$71,$J2258))</f>
        <v/>
      </c>
      <c r="N2258" s="16" t="n">
        <f aca="false">IF($J2258=0,0,MAX(0,$C2258+INT(DIAS_POR_SEMANA/2)-INDEX(ROTACAO_RDM!$I$6:$I$71,$J2258)))</f>
        <v>0</v>
      </c>
      <c r="O2258" s="19" t="n">
        <f aca="false">IF($J2258=0,0,MIN(1,$N2258/MAX(1,INDEX(ROTACAO_RDM!$K$6:$K$71,$J2258))))</f>
        <v>0</v>
      </c>
      <c r="P2258" s="16" t="n">
        <f aca="false">IF($J2258=0,0,IFERROR(MATCH(INDEX(ROTACAO_RDM!$N$6:$N$71,$J2258),PARAMETROS_CULTURAS!$B$6:$B$28,0),0))</f>
        <v>0</v>
      </c>
      <c r="Q2258" s="8" t="str">
        <f aca="false">IF($P2258=0,"-",IF($O2258&lt;=INDEX(PARAMETROS_CULTURAS!$F$6:$F$28,$P2258),"INICIAL",IF($O2258&lt;=INDEX(PARAMETROS_CULTURAS!$F$6:$F$28,$P2258)+INDEX(PARAMETROS_CULTURAS!$G$6:$G$28,$P2258),"DESENVOLVIMENTO",IF($O2258&lt;=INDEX(PARAMETROS_CULTURAS!$F$6:$F$28,$P2258)+INDEX(PARAMETROS_CULTURAS!$G$6:$G$28,$P2258)+INDEX(PARAMETROS_CULTURAS!$H$6:$H$28,$P2258),"MEDIA","FINAL"))))</f>
        <v>-</v>
      </c>
      <c r="R2258" s="24" t="n">
        <f aca="false">IF($P2258=0,0,IF($O2258&lt;=INDEX(PARAMETROS_CULTURAS!$F$6:$F$28,$P2258),INDEX(PARAMETROS_CULTURAS!$K$6:$K$28,$P2258),IF($O2258&lt;=INDEX(PARAMETROS_CULTURAS!$F$6:$F$28,$P2258)+INDEX(PARAMETROS_CULTURAS!$G$6:$G$28,$P2258),INDEX(PARAMETROS_CULTURAS!$K$6:$K$28,$P2258)+(INDEX(PARAMETROS_CULTURAS!$L$6:$L$28,$P2258)-INDEX(PARAMETROS_CULTURAS!$K$6:$K$28,$P2258))*($O2258-INDEX(PARAMETROS_CULTURAS!$F$6:$F$28,$P2258))/MAX(INDEX(PARAMETROS_CULTURAS!$G$6:$G$28,$P2258),0.0001),IF($O2258&lt;=INDEX(PARAMETROS_CULTURAS!$F$6:$F$28,$P2258)+INDEX(PARAMETROS_CULTURAS!$G$6:$G$28,$P2258)+INDEX(PARAMETROS_CULTURAS!$H$6:$H$28,$P2258),INDEX(PARAMETROS_CULTURAS!$L$6:$L$28,$P2258),INDEX(PARAMETROS_CULTURAS!$L$6:$L$28,$P2258)+(INDEX(PARAMETROS_CULTURAS!$M$6:$M$28,$P2258)-INDEX(PARAMETROS_CULTURAS!$L$6:$L$28,$P2258))*($O2258-INDEX(PARAMETROS_CULTURAS!$F$6:$F$28,$P2258)-INDEX(PARAMETROS_CULTURAS!$G$6:$G$28,$P2258)-INDEX(PARAMETROS_CULTURAS!$H$6:$H$28,$P2258))/MAX(INDEX(PARAMETROS_CULTURAS!$I$6:$I$28,$P2258),0.0001)))))</f>
        <v>0</v>
      </c>
      <c r="S2258" s="18" t="n">
        <f aca="false">IFERROR(INDEX(SEMANAS!$H$6:$H$71,MATCH($B2258,SEMANAS!$B$6:$B$71,0)),0)</f>
        <v>38.5</v>
      </c>
      <c r="T2258" s="18" t="n">
        <f aca="false">$R2258*$S2258</f>
        <v>0</v>
      </c>
      <c r="U2258" s="18" t="n">
        <f aca="false">IFERROR(INDEX(SEMANAS!$I$6:$I$71,MATCH($B2258,SEMANAS!$B$6:$B$71,0)),0)</f>
        <v>29.89</v>
      </c>
      <c r="V2258" s="18" t="n">
        <f aca="false">IFERROR(INDEX(SEMANAS!$J$6:$J$71,MATCH($B2258,SEMANAS!$B$6:$B$71,0)),0)</f>
        <v>23.912</v>
      </c>
      <c r="W2258" s="18" t="n">
        <f aca="false">MAX(0,$T2258-$V2258)</f>
        <v>0</v>
      </c>
      <c r="X2258" s="19" t="n">
        <f aca="false">IFERROR(INDEX(CADASTRO_PIVOS!$K$6:$K$41,MATCH($E2258,CADASTRO_PIVOS!$B$6:$B$41,0)),EFICIENCIA_PADRAO)</f>
        <v>0.85</v>
      </c>
      <c r="Y2258" s="18" t="n">
        <f aca="false">IF($X2258&lt;=0,0,$W2258/$X2258)</f>
        <v>0</v>
      </c>
      <c r="Z2258" s="16" t="n">
        <f aca="false">$Y2258*$H2258*MM_PARA_M3_HA</f>
        <v>0</v>
      </c>
      <c r="AA2258" s="18" t="n">
        <f aca="false">IFERROR(INDEX(CADASTRO_PIVOS!$I$6:$I$41,MATCH($E2258,CADASTRO_PIVOS!$B$6:$B$41,0)),0)</f>
        <v>614.285714285714</v>
      </c>
      <c r="AB2258" s="18" t="n">
        <f aca="false">IF($Z2258&lt;=0,0,$Z2258/$AA2258)</f>
        <v>0</v>
      </c>
      <c r="AC2258" s="16" t="n">
        <f aca="false">IFERROR(INDEX(SEMANAS!$K$6:$K$71,MATCH($B2258,SEMANAS!$B$6:$B$71,0)),0)</f>
        <v>147</v>
      </c>
      <c r="AD2258" s="19" t="n">
        <f aca="false">IF($AC2258&lt;=0,0,$AB2258/$AC2258)</f>
        <v>0</v>
      </c>
      <c r="AE2258" s="8" t="str">
        <f aca="false">IF($K2258="SEM CULTURA","SEM CULTURA",IF($AA2258&lt;=0,"DADO PENDENTE",IF($AD2258&gt;LIMITE_CRITICO,"INVIAVEL",IF($AD2258&gt;LIMITE_ATENCAO,"CRITICO",IF($AD2258&gt;LIMITE_CONFORTAVEL,"ATENCAO","OK")))))</f>
        <v>SEM CULTURA</v>
      </c>
      <c r="AF2258" s="8" t="str">
        <f aca="false">$B2258&amp;"|"&amp;TEXT($AD2258,"0.000000")</f>
        <v>9|0.000000</v>
      </c>
      <c r="AG2258" s="18" t="n">
        <f aca="false">IF($K2258="SEM CULTURA",0,$T2258*$H2258)</f>
        <v>0</v>
      </c>
      <c r="AH2258" s="18" t="n">
        <f aca="false">IF($K2258="SEM CULTURA",0,$V2258*$H2258)</f>
        <v>0</v>
      </c>
      <c r="AI2258" s="18" t="n">
        <f aca="false">IF($K2258="SEM CULTURA",0,$W2258*$H2258)</f>
        <v>0</v>
      </c>
      <c r="AJ2258" s="18" t="n">
        <f aca="false">IF($K2258="SEM CULTURA",0,$S2258*$H2258)</f>
        <v>0</v>
      </c>
      <c r="AK2258" s="8" t="str">
        <f aca="false">$E2258&amp;"|"&amp;TEXT($AD2258,"0.000000")</f>
        <v>PV 136|0.000000</v>
      </c>
    </row>
    <row r="2259" customFormat="false" ht="15" hidden="false" customHeight="false" outlineLevel="0" collapsed="false">
      <c r="B2259" s="16" t="n">
        <v>10</v>
      </c>
      <c r="C2259" s="17" t="n">
        <f aca="false">DATA_INICIO_SAFRA+($B2259-1)*DIAS_POR_SEMANA</f>
        <v>46328</v>
      </c>
      <c r="D2259" s="17" t="n">
        <f aca="false">$C2259+DIAS_POR_SEMANA-1</f>
        <v>46334</v>
      </c>
      <c r="E2259" s="15" t="s">
        <v>293</v>
      </c>
      <c r="F2259" s="8" t="str">
        <f aca="false">IFERROR(INDEX(CADASTRO_PIVOS!$C$6:$C$41,MATCH($E2259,CADASTRO_PIVOS!$B$6:$B$41,0)),"?")</f>
        <v>RM08</v>
      </c>
      <c r="G2259" s="8" t="str">
        <f aca="false">IFERROR(INDEX(CADASTRO_PIVOS!$D$6:$D$41,MATCH($E2259,CADASTRO_PIVOS!$B$6:$B$41,0)),"?")</f>
        <v>TR08</v>
      </c>
      <c r="H2259" s="20" t="n">
        <f aca="false">IFERROR(INDEX(CADASTRO_PIVOS!$E$6:$E$41,MATCH($E2259,CADASTRO_PIVOS!$B$6:$B$41,0)),0)</f>
        <v>86</v>
      </c>
      <c r="I2259" s="16" t="n">
        <f aca="false">IFERROR(SUMIFS(ROTACAO_RDM!$B$6:$B$71,ROTACAO_RDM!$D$6:$D$71,$E2259,ROTACAO_RDM!$I$6:$I$71,"&lt;="&amp;$C2259+INT(DIAS_POR_SEMANA/2),ROTACAO_RDM!$J$6:$J$71,"&gt;="&amp;$C2259+INT(DIAS_POR_SEMANA/2)),0)</f>
        <v>0</v>
      </c>
      <c r="J2259" s="16" t="n">
        <f aca="false">IFERROR(MATCH($I2259,ROTACAO_RDM!$B$6:$B$71,0),0)</f>
        <v>0</v>
      </c>
      <c r="K2259" s="8" t="str">
        <f aca="false">IF($J2259=0,"SEM CULTURA",INDEX(ROTACAO_RDM!$F$6:$F$71,$J2259))</f>
        <v>SEM CULTURA</v>
      </c>
      <c r="L2259" s="8" t="str">
        <f aca="false">IF($J2259=0,"",INDEX(ROTACAO_RDM!$G$6:$G$71,$J2259))</f>
        <v/>
      </c>
      <c r="M2259" s="17" t="str">
        <f aca="false">IF($J2259=0,"",INDEX(ROTACAO_RDM!$I$6:$I$71,$J2259))</f>
        <v/>
      </c>
      <c r="N2259" s="16" t="n">
        <f aca="false">IF($J2259=0,0,MAX(0,$C2259+INT(DIAS_POR_SEMANA/2)-INDEX(ROTACAO_RDM!$I$6:$I$71,$J2259)))</f>
        <v>0</v>
      </c>
      <c r="O2259" s="19" t="n">
        <f aca="false">IF($J2259=0,0,MIN(1,$N2259/MAX(1,INDEX(ROTACAO_RDM!$K$6:$K$71,$J2259))))</f>
        <v>0</v>
      </c>
      <c r="P2259" s="16" t="n">
        <f aca="false">IF($J2259=0,0,IFERROR(MATCH(INDEX(ROTACAO_RDM!$N$6:$N$71,$J2259),PARAMETROS_CULTURAS!$B$6:$B$28,0),0))</f>
        <v>0</v>
      </c>
      <c r="Q2259" s="8" t="str">
        <f aca="false">IF($P2259=0,"-",IF($O2259&lt;=INDEX(PARAMETROS_CULTURAS!$F$6:$F$28,$P2259),"INICIAL",IF($O2259&lt;=INDEX(PARAMETROS_CULTURAS!$F$6:$F$28,$P2259)+INDEX(PARAMETROS_CULTURAS!$G$6:$G$28,$P2259),"DESENVOLVIMENTO",IF($O2259&lt;=INDEX(PARAMETROS_CULTURAS!$F$6:$F$28,$P2259)+INDEX(PARAMETROS_CULTURAS!$G$6:$G$28,$P2259)+INDEX(PARAMETROS_CULTURAS!$H$6:$H$28,$P2259),"MEDIA","FINAL"))))</f>
        <v>-</v>
      </c>
      <c r="R2259" s="24" t="n">
        <f aca="false">IF($P2259=0,0,IF($O2259&lt;=INDEX(PARAMETROS_CULTURAS!$F$6:$F$28,$P2259),INDEX(PARAMETROS_CULTURAS!$K$6:$K$28,$P2259),IF($O2259&lt;=INDEX(PARAMETROS_CULTURAS!$F$6:$F$28,$P2259)+INDEX(PARAMETROS_CULTURAS!$G$6:$G$28,$P2259),INDEX(PARAMETROS_CULTURAS!$K$6:$K$28,$P2259)+(INDEX(PARAMETROS_CULTURAS!$L$6:$L$28,$P2259)-INDEX(PARAMETROS_CULTURAS!$K$6:$K$28,$P2259))*($O2259-INDEX(PARAMETROS_CULTURAS!$F$6:$F$28,$P2259))/MAX(INDEX(PARAMETROS_CULTURAS!$G$6:$G$28,$P2259),0.0001),IF($O2259&lt;=INDEX(PARAMETROS_CULTURAS!$F$6:$F$28,$P2259)+INDEX(PARAMETROS_CULTURAS!$G$6:$G$28,$P2259)+INDEX(PARAMETROS_CULTURAS!$H$6:$H$28,$P2259),INDEX(PARAMETROS_CULTURAS!$L$6:$L$28,$P2259),INDEX(PARAMETROS_CULTURAS!$L$6:$L$28,$P2259)+(INDEX(PARAMETROS_CULTURAS!$M$6:$M$28,$P2259)-INDEX(PARAMETROS_CULTURAS!$L$6:$L$28,$P2259))*($O2259-INDEX(PARAMETROS_CULTURAS!$F$6:$F$28,$P2259)-INDEX(PARAMETROS_CULTURAS!$G$6:$G$28,$P2259)-INDEX(PARAMETROS_CULTURAS!$H$6:$H$28,$P2259))/MAX(INDEX(PARAMETROS_CULTURAS!$I$6:$I$28,$P2259),0.0001)))))</f>
        <v>0</v>
      </c>
      <c r="S2259" s="18" t="n">
        <f aca="false">IFERROR(INDEX(SEMANAS!$H$6:$H$71,MATCH($B2259,SEMANAS!$B$6:$B$71,0)),0)</f>
        <v>34.3</v>
      </c>
      <c r="T2259" s="18" t="n">
        <f aca="false">$R2259*$S2259</f>
        <v>0</v>
      </c>
      <c r="U2259" s="18" t="n">
        <f aca="false">IFERROR(INDEX(SEMANAS!$I$6:$I$71,MATCH($B2259,SEMANAS!$B$6:$B$71,0)),0)</f>
        <v>46.69</v>
      </c>
      <c r="V2259" s="18" t="n">
        <f aca="false">IFERROR(INDEX(SEMANAS!$J$6:$J$71,MATCH($B2259,SEMANAS!$B$6:$B$71,0)),0)</f>
        <v>37.352</v>
      </c>
      <c r="W2259" s="18" t="n">
        <f aca="false">MAX(0,$T2259-$V2259)</f>
        <v>0</v>
      </c>
      <c r="X2259" s="19" t="n">
        <f aca="false">IFERROR(INDEX(CADASTRO_PIVOS!$K$6:$K$41,MATCH($E2259,CADASTRO_PIVOS!$B$6:$B$41,0)),EFICIENCIA_PADRAO)</f>
        <v>0.85</v>
      </c>
      <c r="Y2259" s="18" t="n">
        <f aca="false">IF($X2259&lt;=0,0,$W2259/$X2259)</f>
        <v>0</v>
      </c>
      <c r="Z2259" s="16" t="n">
        <f aca="false">$Y2259*$H2259*MM_PARA_M3_HA</f>
        <v>0</v>
      </c>
      <c r="AA2259" s="18" t="n">
        <f aca="false">IFERROR(INDEX(CADASTRO_PIVOS!$I$6:$I$41,MATCH($E2259,CADASTRO_PIVOS!$B$6:$B$41,0)),0)</f>
        <v>614.285714285714</v>
      </c>
      <c r="AB2259" s="18" t="n">
        <f aca="false">IF($Z2259&lt;=0,0,$Z2259/$AA2259)</f>
        <v>0</v>
      </c>
      <c r="AC2259" s="16" t="n">
        <f aca="false">IFERROR(INDEX(SEMANAS!$K$6:$K$71,MATCH($B2259,SEMANAS!$B$6:$B$71,0)),0)</f>
        <v>147</v>
      </c>
      <c r="AD2259" s="19" t="n">
        <f aca="false">IF($AC2259&lt;=0,0,$AB2259/$AC2259)</f>
        <v>0</v>
      </c>
      <c r="AE2259" s="8" t="str">
        <f aca="false">IF($K2259="SEM CULTURA","SEM CULTURA",IF($AA2259&lt;=0,"DADO PENDENTE",IF($AD2259&gt;LIMITE_CRITICO,"INVIAVEL",IF($AD2259&gt;LIMITE_ATENCAO,"CRITICO",IF($AD2259&gt;LIMITE_CONFORTAVEL,"ATENCAO","OK")))))</f>
        <v>SEM CULTURA</v>
      </c>
      <c r="AF2259" s="8" t="str">
        <f aca="false">$B2259&amp;"|"&amp;TEXT($AD2259,"0.000000")</f>
        <v>10|0.000000</v>
      </c>
      <c r="AG2259" s="18" t="n">
        <f aca="false">IF($K2259="SEM CULTURA",0,$T2259*$H2259)</f>
        <v>0</v>
      </c>
      <c r="AH2259" s="18" t="n">
        <f aca="false">IF($K2259="SEM CULTURA",0,$V2259*$H2259)</f>
        <v>0</v>
      </c>
      <c r="AI2259" s="18" t="n">
        <f aca="false">IF($K2259="SEM CULTURA",0,$W2259*$H2259)</f>
        <v>0</v>
      </c>
      <c r="AJ2259" s="18" t="n">
        <f aca="false">IF($K2259="SEM CULTURA",0,$S2259*$H2259)</f>
        <v>0</v>
      </c>
      <c r="AK2259" s="8" t="str">
        <f aca="false">$E2259&amp;"|"&amp;TEXT($AD2259,"0.000000")</f>
        <v>PV 136|0.000000</v>
      </c>
    </row>
    <row r="2260" customFormat="false" ht="15" hidden="false" customHeight="false" outlineLevel="0" collapsed="false">
      <c r="B2260" s="16" t="n">
        <v>11</v>
      </c>
      <c r="C2260" s="17" t="n">
        <f aca="false">DATA_INICIO_SAFRA+($B2260-1)*DIAS_POR_SEMANA</f>
        <v>46335</v>
      </c>
      <c r="D2260" s="17" t="n">
        <f aca="false">$C2260+DIAS_POR_SEMANA-1</f>
        <v>46341</v>
      </c>
      <c r="E2260" s="15" t="s">
        <v>293</v>
      </c>
      <c r="F2260" s="8" t="str">
        <f aca="false">IFERROR(INDEX(CADASTRO_PIVOS!$C$6:$C$41,MATCH($E2260,CADASTRO_PIVOS!$B$6:$B$41,0)),"?")</f>
        <v>RM08</v>
      </c>
      <c r="G2260" s="8" t="str">
        <f aca="false">IFERROR(INDEX(CADASTRO_PIVOS!$D$6:$D$41,MATCH($E2260,CADASTRO_PIVOS!$B$6:$B$41,0)),"?")</f>
        <v>TR08</v>
      </c>
      <c r="H2260" s="20" t="n">
        <f aca="false">IFERROR(INDEX(CADASTRO_PIVOS!$E$6:$E$41,MATCH($E2260,CADASTRO_PIVOS!$B$6:$B$41,0)),0)</f>
        <v>86</v>
      </c>
      <c r="I2260" s="16" t="n">
        <f aca="false">IFERROR(SUMIFS(ROTACAO_RDM!$B$6:$B$71,ROTACAO_RDM!$D$6:$D$71,$E2260,ROTACAO_RDM!$I$6:$I$71,"&lt;="&amp;$C2260+INT(DIAS_POR_SEMANA/2),ROTACAO_RDM!$J$6:$J$71,"&gt;="&amp;$C2260+INT(DIAS_POR_SEMANA/2)),0)</f>
        <v>0</v>
      </c>
      <c r="J2260" s="16" t="n">
        <f aca="false">IFERROR(MATCH($I2260,ROTACAO_RDM!$B$6:$B$71,0),0)</f>
        <v>0</v>
      </c>
      <c r="K2260" s="8" t="str">
        <f aca="false">IF($J2260=0,"SEM CULTURA",INDEX(ROTACAO_RDM!$F$6:$F$71,$J2260))</f>
        <v>SEM CULTURA</v>
      </c>
      <c r="L2260" s="8" t="str">
        <f aca="false">IF($J2260=0,"",INDEX(ROTACAO_RDM!$G$6:$G$71,$J2260))</f>
        <v/>
      </c>
      <c r="M2260" s="17" t="str">
        <f aca="false">IF($J2260=0,"",INDEX(ROTACAO_RDM!$I$6:$I$71,$J2260))</f>
        <v/>
      </c>
      <c r="N2260" s="16" t="n">
        <f aca="false">IF($J2260=0,0,MAX(0,$C2260+INT(DIAS_POR_SEMANA/2)-INDEX(ROTACAO_RDM!$I$6:$I$71,$J2260)))</f>
        <v>0</v>
      </c>
      <c r="O2260" s="19" t="n">
        <f aca="false">IF($J2260=0,0,MIN(1,$N2260/MAX(1,INDEX(ROTACAO_RDM!$K$6:$K$71,$J2260))))</f>
        <v>0</v>
      </c>
      <c r="P2260" s="16" t="n">
        <f aca="false">IF($J2260=0,0,IFERROR(MATCH(INDEX(ROTACAO_RDM!$N$6:$N$71,$J2260),PARAMETROS_CULTURAS!$B$6:$B$28,0),0))</f>
        <v>0</v>
      </c>
      <c r="Q2260" s="8" t="str">
        <f aca="false">IF($P2260=0,"-",IF($O2260&lt;=INDEX(PARAMETROS_CULTURAS!$F$6:$F$28,$P2260),"INICIAL",IF($O2260&lt;=INDEX(PARAMETROS_CULTURAS!$F$6:$F$28,$P2260)+INDEX(PARAMETROS_CULTURAS!$G$6:$G$28,$P2260),"DESENVOLVIMENTO",IF($O2260&lt;=INDEX(PARAMETROS_CULTURAS!$F$6:$F$28,$P2260)+INDEX(PARAMETROS_CULTURAS!$G$6:$G$28,$P2260)+INDEX(PARAMETROS_CULTURAS!$H$6:$H$28,$P2260),"MEDIA","FINAL"))))</f>
        <v>-</v>
      </c>
      <c r="R2260" s="24" t="n">
        <f aca="false">IF($P2260=0,0,IF($O2260&lt;=INDEX(PARAMETROS_CULTURAS!$F$6:$F$28,$P2260),INDEX(PARAMETROS_CULTURAS!$K$6:$K$28,$P2260),IF($O2260&lt;=INDEX(PARAMETROS_CULTURAS!$F$6:$F$28,$P2260)+INDEX(PARAMETROS_CULTURAS!$G$6:$G$28,$P2260),INDEX(PARAMETROS_CULTURAS!$K$6:$K$28,$P2260)+(INDEX(PARAMETROS_CULTURAS!$L$6:$L$28,$P2260)-INDEX(PARAMETROS_CULTURAS!$K$6:$K$28,$P2260))*($O2260-INDEX(PARAMETROS_CULTURAS!$F$6:$F$28,$P2260))/MAX(INDEX(PARAMETROS_CULTURAS!$G$6:$G$28,$P2260),0.0001),IF($O2260&lt;=INDEX(PARAMETROS_CULTURAS!$F$6:$F$28,$P2260)+INDEX(PARAMETROS_CULTURAS!$G$6:$G$28,$P2260)+INDEX(PARAMETROS_CULTURAS!$H$6:$H$28,$P2260),INDEX(PARAMETROS_CULTURAS!$L$6:$L$28,$P2260),INDEX(PARAMETROS_CULTURAS!$L$6:$L$28,$P2260)+(INDEX(PARAMETROS_CULTURAS!$M$6:$M$28,$P2260)-INDEX(PARAMETROS_CULTURAS!$L$6:$L$28,$P2260))*($O2260-INDEX(PARAMETROS_CULTURAS!$F$6:$F$28,$P2260)-INDEX(PARAMETROS_CULTURAS!$G$6:$G$28,$P2260)-INDEX(PARAMETROS_CULTURAS!$H$6:$H$28,$P2260))/MAX(INDEX(PARAMETROS_CULTURAS!$I$6:$I$28,$P2260),0.0001)))))</f>
        <v>0</v>
      </c>
      <c r="S2260" s="18" t="n">
        <f aca="false">IFERROR(INDEX(SEMANAS!$H$6:$H$71,MATCH($B2260,SEMANAS!$B$6:$B$71,0)),0)</f>
        <v>34.3</v>
      </c>
      <c r="T2260" s="18" t="n">
        <f aca="false">$R2260*$S2260</f>
        <v>0</v>
      </c>
      <c r="U2260" s="18" t="n">
        <f aca="false">IFERROR(INDEX(SEMANAS!$I$6:$I$71,MATCH($B2260,SEMANAS!$B$6:$B$71,0)),0)</f>
        <v>46.69</v>
      </c>
      <c r="V2260" s="18" t="n">
        <f aca="false">IFERROR(INDEX(SEMANAS!$J$6:$J$71,MATCH($B2260,SEMANAS!$B$6:$B$71,0)),0)</f>
        <v>37.352</v>
      </c>
      <c r="W2260" s="18" t="n">
        <f aca="false">MAX(0,$T2260-$V2260)</f>
        <v>0</v>
      </c>
      <c r="X2260" s="19" t="n">
        <f aca="false">IFERROR(INDEX(CADASTRO_PIVOS!$K$6:$K$41,MATCH($E2260,CADASTRO_PIVOS!$B$6:$B$41,0)),EFICIENCIA_PADRAO)</f>
        <v>0.85</v>
      </c>
      <c r="Y2260" s="18" t="n">
        <f aca="false">IF($X2260&lt;=0,0,$W2260/$X2260)</f>
        <v>0</v>
      </c>
      <c r="Z2260" s="16" t="n">
        <f aca="false">$Y2260*$H2260*MM_PARA_M3_HA</f>
        <v>0</v>
      </c>
      <c r="AA2260" s="18" t="n">
        <f aca="false">IFERROR(INDEX(CADASTRO_PIVOS!$I$6:$I$41,MATCH($E2260,CADASTRO_PIVOS!$B$6:$B$41,0)),0)</f>
        <v>614.285714285714</v>
      </c>
      <c r="AB2260" s="18" t="n">
        <f aca="false">IF($Z2260&lt;=0,0,$Z2260/$AA2260)</f>
        <v>0</v>
      </c>
      <c r="AC2260" s="16" t="n">
        <f aca="false">IFERROR(INDEX(SEMANAS!$K$6:$K$71,MATCH($B2260,SEMANAS!$B$6:$B$71,0)),0)</f>
        <v>147</v>
      </c>
      <c r="AD2260" s="19" t="n">
        <f aca="false">IF($AC2260&lt;=0,0,$AB2260/$AC2260)</f>
        <v>0</v>
      </c>
      <c r="AE2260" s="8" t="str">
        <f aca="false">IF($K2260="SEM CULTURA","SEM CULTURA",IF($AA2260&lt;=0,"DADO PENDENTE",IF($AD2260&gt;LIMITE_CRITICO,"INVIAVEL",IF($AD2260&gt;LIMITE_ATENCAO,"CRITICO",IF($AD2260&gt;LIMITE_CONFORTAVEL,"ATENCAO","OK")))))</f>
        <v>SEM CULTURA</v>
      </c>
      <c r="AF2260" s="8" t="str">
        <f aca="false">$B2260&amp;"|"&amp;TEXT($AD2260,"0.000000")</f>
        <v>11|0.000000</v>
      </c>
      <c r="AG2260" s="18" t="n">
        <f aca="false">IF($K2260="SEM CULTURA",0,$T2260*$H2260)</f>
        <v>0</v>
      </c>
      <c r="AH2260" s="18" t="n">
        <f aca="false">IF($K2260="SEM CULTURA",0,$V2260*$H2260)</f>
        <v>0</v>
      </c>
      <c r="AI2260" s="18" t="n">
        <f aca="false">IF($K2260="SEM CULTURA",0,$W2260*$H2260)</f>
        <v>0</v>
      </c>
      <c r="AJ2260" s="18" t="n">
        <f aca="false">IF($K2260="SEM CULTURA",0,$S2260*$H2260)</f>
        <v>0</v>
      </c>
      <c r="AK2260" s="8" t="str">
        <f aca="false">$E2260&amp;"|"&amp;TEXT($AD2260,"0.000000")</f>
        <v>PV 136|0.000000</v>
      </c>
    </row>
    <row r="2261" customFormat="false" ht="15" hidden="false" customHeight="false" outlineLevel="0" collapsed="false">
      <c r="B2261" s="16" t="n">
        <v>12</v>
      </c>
      <c r="C2261" s="17" t="n">
        <f aca="false">DATA_INICIO_SAFRA+($B2261-1)*DIAS_POR_SEMANA</f>
        <v>46342</v>
      </c>
      <c r="D2261" s="17" t="n">
        <f aca="false">$C2261+DIAS_POR_SEMANA-1</f>
        <v>46348</v>
      </c>
      <c r="E2261" s="15" t="s">
        <v>293</v>
      </c>
      <c r="F2261" s="8" t="str">
        <f aca="false">IFERROR(INDEX(CADASTRO_PIVOS!$C$6:$C$41,MATCH($E2261,CADASTRO_PIVOS!$B$6:$B$41,0)),"?")</f>
        <v>RM08</v>
      </c>
      <c r="G2261" s="8" t="str">
        <f aca="false">IFERROR(INDEX(CADASTRO_PIVOS!$D$6:$D$41,MATCH($E2261,CADASTRO_PIVOS!$B$6:$B$41,0)),"?")</f>
        <v>TR08</v>
      </c>
      <c r="H2261" s="20" t="n">
        <f aca="false">IFERROR(INDEX(CADASTRO_PIVOS!$E$6:$E$41,MATCH($E2261,CADASTRO_PIVOS!$B$6:$B$41,0)),0)</f>
        <v>86</v>
      </c>
      <c r="I2261" s="16" t="n">
        <f aca="false">IFERROR(SUMIFS(ROTACAO_RDM!$B$6:$B$71,ROTACAO_RDM!$D$6:$D$71,$E2261,ROTACAO_RDM!$I$6:$I$71,"&lt;="&amp;$C2261+INT(DIAS_POR_SEMANA/2),ROTACAO_RDM!$J$6:$J$71,"&gt;="&amp;$C2261+INT(DIAS_POR_SEMANA/2)),0)</f>
        <v>0</v>
      </c>
      <c r="J2261" s="16" t="n">
        <f aca="false">IFERROR(MATCH($I2261,ROTACAO_RDM!$B$6:$B$71,0),0)</f>
        <v>0</v>
      </c>
      <c r="K2261" s="8" t="str">
        <f aca="false">IF($J2261=0,"SEM CULTURA",INDEX(ROTACAO_RDM!$F$6:$F$71,$J2261))</f>
        <v>SEM CULTURA</v>
      </c>
      <c r="L2261" s="8" t="str">
        <f aca="false">IF($J2261=0,"",INDEX(ROTACAO_RDM!$G$6:$G$71,$J2261))</f>
        <v/>
      </c>
      <c r="M2261" s="17" t="str">
        <f aca="false">IF($J2261=0,"",INDEX(ROTACAO_RDM!$I$6:$I$71,$J2261))</f>
        <v/>
      </c>
      <c r="N2261" s="16" t="n">
        <f aca="false">IF($J2261=0,0,MAX(0,$C2261+INT(DIAS_POR_SEMANA/2)-INDEX(ROTACAO_RDM!$I$6:$I$71,$J2261)))</f>
        <v>0</v>
      </c>
      <c r="O2261" s="19" t="n">
        <f aca="false">IF($J2261=0,0,MIN(1,$N2261/MAX(1,INDEX(ROTACAO_RDM!$K$6:$K$71,$J2261))))</f>
        <v>0</v>
      </c>
      <c r="P2261" s="16" t="n">
        <f aca="false">IF($J2261=0,0,IFERROR(MATCH(INDEX(ROTACAO_RDM!$N$6:$N$71,$J2261),PARAMETROS_CULTURAS!$B$6:$B$28,0),0))</f>
        <v>0</v>
      </c>
      <c r="Q2261" s="8" t="str">
        <f aca="false">IF($P2261=0,"-",IF($O2261&lt;=INDEX(PARAMETROS_CULTURAS!$F$6:$F$28,$P2261),"INICIAL",IF($O2261&lt;=INDEX(PARAMETROS_CULTURAS!$F$6:$F$28,$P2261)+INDEX(PARAMETROS_CULTURAS!$G$6:$G$28,$P2261),"DESENVOLVIMENTO",IF($O2261&lt;=INDEX(PARAMETROS_CULTURAS!$F$6:$F$28,$P2261)+INDEX(PARAMETROS_CULTURAS!$G$6:$G$28,$P2261)+INDEX(PARAMETROS_CULTURAS!$H$6:$H$28,$P2261),"MEDIA","FINAL"))))</f>
        <v>-</v>
      </c>
      <c r="R2261" s="24" t="n">
        <f aca="false">IF($P2261=0,0,IF($O2261&lt;=INDEX(PARAMETROS_CULTURAS!$F$6:$F$28,$P2261),INDEX(PARAMETROS_CULTURAS!$K$6:$K$28,$P2261),IF($O2261&lt;=INDEX(PARAMETROS_CULTURAS!$F$6:$F$28,$P2261)+INDEX(PARAMETROS_CULTURAS!$G$6:$G$28,$P2261),INDEX(PARAMETROS_CULTURAS!$K$6:$K$28,$P2261)+(INDEX(PARAMETROS_CULTURAS!$L$6:$L$28,$P2261)-INDEX(PARAMETROS_CULTURAS!$K$6:$K$28,$P2261))*($O2261-INDEX(PARAMETROS_CULTURAS!$F$6:$F$28,$P2261))/MAX(INDEX(PARAMETROS_CULTURAS!$G$6:$G$28,$P2261),0.0001),IF($O2261&lt;=INDEX(PARAMETROS_CULTURAS!$F$6:$F$28,$P2261)+INDEX(PARAMETROS_CULTURAS!$G$6:$G$28,$P2261)+INDEX(PARAMETROS_CULTURAS!$H$6:$H$28,$P2261),INDEX(PARAMETROS_CULTURAS!$L$6:$L$28,$P2261),INDEX(PARAMETROS_CULTURAS!$L$6:$L$28,$P2261)+(INDEX(PARAMETROS_CULTURAS!$M$6:$M$28,$P2261)-INDEX(PARAMETROS_CULTURAS!$L$6:$L$28,$P2261))*($O2261-INDEX(PARAMETROS_CULTURAS!$F$6:$F$28,$P2261)-INDEX(PARAMETROS_CULTURAS!$G$6:$G$28,$P2261)-INDEX(PARAMETROS_CULTURAS!$H$6:$H$28,$P2261))/MAX(INDEX(PARAMETROS_CULTURAS!$I$6:$I$28,$P2261),0.0001)))))</f>
        <v>0</v>
      </c>
      <c r="S2261" s="18" t="n">
        <f aca="false">IFERROR(INDEX(SEMANAS!$H$6:$H$71,MATCH($B2261,SEMANAS!$B$6:$B$71,0)),0)</f>
        <v>34.3</v>
      </c>
      <c r="T2261" s="18" t="n">
        <f aca="false">$R2261*$S2261</f>
        <v>0</v>
      </c>
      <c r="U2261" s="18" t="n">
        <f aca="false">IFERROR(INDEX(SEMANAS!$I$6:$I$71,MATCH($B2261,SEMANAS!$B$6:$B$71,0)),0)</f>
        <v>46.69</v>
      </c>
      <c r="V2261" s="18" t="n">
        <f aca="false">IFERROR(INDEX(SEMANAS!$J$6:$J$71,MATCH($B2261,SEMANAS!$B$6:$B$71,0)),0)</f>
        <v>37.352</v>
      </c>
      <c r="W2261" s="18" t="n">
        <f aca="false">MAX(0,$T2261-$V2261)</f>
        <v>0</v>
      </c>
      <c r="X2261" s="19" t="n">
        <f aca="false">IFERROR(INDEX(CADASTRO_PIVOS!$K$6:$K$41,MATCH($E2261,CADASTRO_PIVOS!$B$6:$B$41,0)),EFICIENCIA_PADRAO)</f>
        <v>0.85</v>
      </c>
      <c r="Y2261" s="18" t="n">
        <f aca="false">IF($X2261&lt;=0,0,$W2261/$X2261)</f>
        <v>0</v>
      </c>
      <c r="Z2261" s="16" t="n">
        <f aca="false">$Y2261*$H2261*MM_PARA_M3_HA</f>
        <v>0</v>
      </c>
      <c r="AA2261" s="18" t="n">
        <f aca="false">IFERROR(INDEX(CADASTRO_PIVOS!$I$6:$I$41,MATCH($E2261,CADASTRO_PIVOS!$B$6:$B$41,0)),0)</f>
        <v>614.285714285714</v>
      </c>
      <c r="AB2261" s="18" t="n">
        <f aca="false">IF($Z2261&lt;=0,0,$Z2261/$AA2261)</f>
        <v>0</v>
      </c>
      <c r="AC2261" s="16" t="n">
        <f aca="false">IFERROR(INDEX(SEMANAS!$K$6:$K$71,MATCH($B2261,SEMANAS!$B$6:$B$71,0)),0)</f>
        <v>147</v>
      </c>
      <c r="AD2261" s="19" t="n">
        <f aca="false">IF($AC2261&lt;=0,0,$AB2261/$AC2261)</f>
        <v>0</v>
      </c>
      <c r="AE2261" s="8" t="str">
        <f aca="false">IF($K2261="SEM CULTURA","SEM CULTURA",IF($AA2261&lt;=0,"DADO PENDENTE",IF($AD2261&gt;LIMITE_CRITICO,"INVIAVEL",IF($AD2261&gt;LIMITE_ATENCAO,"CRITICO",IF($AD2261&gt;LIMITE_CONFORTAVEL,"ATENCAO","OK")))))</f>
        <v>SEM CULTURA</v>
      </c>
      <c r="AF2261" s="8" t="str">
        <f aca="false">$B2261&amp;"|"&amp;TEXT($AD2261,"0.000000")</f>
        <v>12|0.000000</v>
      </c>
      <c r="AG2261" s="18" t="n">
        <f aca="false">IF($K2261="SEM CULTURA",0,$T2261*$H2261)</f>
        <v>0</v>
      </c>
      <c r="AH2261" s="18" t="n">
        <f aca="false">IF($K2261="SEM CULTURA",0,$V2261*$H2261)</f>
        <v>0</v>
      </c>
      <c r="AI2261" s="18" t="n">
        <f aca="false">IF($K2261="SEM CULTURA",0,$W2261*$H2261)</f>
        <v>0</v>
      </c>
      <c r="AJ2261" s="18" t="n">
        <f aca="false">IF($K2261="SEM CULTURA",0,$S2261*$H2261)</f>
        <v>0</v>
      </c>
      <c r="AK2261" s="8" t="str">
        <f aca="false">$E2261&amp;"|"&amp;TEXT($AD2261,"0.000000")</f>
        <v>PV 136|0.000000</v>
      </c>
    </row>
    <row r="2262" customFormat="false" ht="15" hidden="false" customHeight="false" outlineLevel="0" collapsed="false">
      <c r="B2262" s="16" t="n">
        <v>13</v>
      </c>
      <c r="C2262" s="17" t="n">
        <f aca="false">DATA_INICIO_SAFRA+($B2262-1)*DIAS_POR_SEMANA</f>
        <v>46349</v>
      </c>
      <c r="D2262" s="17" t="n">
        <f aca="false">$C2262+DIAS_POR_SEMANA-1</f>
        <v>46355</v>
      </c>
      <c r="E2262" s="15" t="s">
        <v>293</v>
      </c>
      <c r="F2262" s="8" t="str">
        <f aca="false">IFERROR(INDEX(CADASTRO_PIVOS!$C$6:$C$41,MATCH($E2262,CADASTRO_PIVOS!$B$6:$B$41,0)),"?")</f>
        <v>RM08</v>
      </c>
      <c r="G2262" s="8" t="str">
        <f aca="false">IFERROR(INDEX(CADASTRO_PIVOS!$D$6:$D$41,MATCH($E2262,CADASTRO_PIVOS!$B$6:$B$41,0)),"?")</f>
        <v>TR08</v>
      </c>
      <c r="H2262" s="20" t="n">
        <f aca="false">IFERROR(INDEX(CADASTRO_PIVOS!$E$6:$E$41,MATCH($E2262,CADASTRO_PIVOS!$B$6:$B$41,0)),0)</f>
        <v>86</v>
      </c>
      <c r="I2262" s="16" t="n">
        <f aca="false">IFERROR(SUMIFS(ROTACAO_RDM!$B$6:$B$71,ROTACAO_RDM!$D$6:$D$71,$E2262,ROTACAO_RDM!$I$6:$I$71,"&lt;="&amp;$C2262+INT(DIAS_POR_SEMANA/2),ROTACAO_RDM!$J$6:$J$71,"&gt;="&amp;$C2262+INT(DIAS_POR_SEMANA/2)),0)</f>
        <v>0</v>
      </c>
      <c r="J2262" s="16" t="n">
        <f aca="false">IFERROR(MATCH($I2262,ROTACAO_RDM!$B$6:$B$71,0),0)</f>
        <v>0</v>
      </c>
      <c r="K2262" s="8" t="str">
        <f aca="false">IF($J2262=0,"SEM CULTURA",INDEX(ROTACAO_RDM!$F$6:$F$71,$J2262))</f>
        <v>SEM CULTURA</v>
      </c>
      <c r="L2262" s="8" t="str">
        <f aca="false">IF($J2262=0,"",INDEX(ROTACAO_RDM!$G$6:$G$71,$J2262))</f>
        <v/>
      </c>
      <c r="M2262" s="17" t="str">
        <f aca="false">IF($J2262=0,"",INDEX(ROTACAO_RDM!$I$6:$I$71,$J2262))</f>
        <v/>
      </c>
      <c r="N2262" s="16" t="n">
        <f aca="false">IF($J2262=0,0,MAX(0,$C2262+INT(DIAS_POR_SEMANA/2)-INDEX(ROTACAO_RDM!$I$6:$I$71,$J2262)))</f>
        <v>0</v>
      </c>
      <c r="O2262" s="19" t="n">
        <f aca="false">IF($J2262=0,0,MIN(1,$N2262/MAX(1,INDEX(ROTACAO_RDM!$K$6:$K$71,$J2262))))</f>
        <v>0</v>
      </c>
      <c r="P2262" s="16" t="n">
        <f aca="false">IF($J2262=0,0,IFERROR(MATCH(INDEX(ROTACAO_RDM!$N$6:$N$71,$J2262),PARAMETROS_CULTURAS!$B$6:$B$28,0),0))</f>
        <v>0</v>
      </c>
      <c r="Q2262" s="8" t="str">
        <f aca="false">IF($P2262=0,"-",IF($O2262&lt;=INDEX(PARAMETROS_CULTURAS!$F$6:$F$28,$P2262),"INICIAL",IF($O2262&lt;=INDEX(PARAMETROS_CULTURAS!$F$6:$F$28,$P2262)+INDEX(PARAMETROS_CULTURAS!$G$6:$G$28,$P2262),"DESENVOLVIMENTO",IF($O2262&lt;=INDEX(PARAMETROS_CULTURAS!$F$6:$F$28,$P2262)+INDEX(PARAMETROS_CULTURAS!$G$6:$G$28,$P2262)+INDEX(PARAMETROS_CULTURAS!$H$6:$H$28,$P2262),"MEDIA","FINAL"))))</f>
        <v>-</v>
      </c>
      <c r="R2262" s="24" t="n">
        <f aca="false">IF($P2262=0,0,IF($O2262&lt;=INDEX(PARAMETROS_CULTURAS!$F$6:$F$28,$P2262),INDEX(PARAMETROS_CULTURAS!$K$6:$K$28,$P2262),IF($O2262&lt;=INDEX(PARAMETROS_CULTURAS!$F$6:$F$28,$P2262)+INDEX(PARAMETROS_CULTURAS!$G$6:$G$28,$P2262),INDEX(PARAMETROS_CULTURAS!$K$6:$K$28,$P2262)+(INDEX(PARAMETROS_CULTURAS!$L$6:$L$28,$P2262)-INDEX(PARAMETROS_CULTURAS!$K$6:$K$28,$P2262))*($O2262-INDEX(PARAMETROS_CULTURAS!$F$6:$F$28,$P2262))/MAX(INDEX(PARAMETROS_CULTURAS!$G$6:$G$28,$P2262),0.0001),IF($O2262&lt;=INDEX(PARAMETROS_CULTURAS!$F$6:$F$28,$P2262)+INDEX(PARAMETROS_CULTURAS!$G$6:$G$28,$P2262)+INDEX(PARAMETROS_CULTURAS!$H$6:$H$28,$P2262),INDEX(PARAMETROS_CULTURAS!$L$6:$L$28,$P2262),INDEX(PARAMETROS_CULTURAS!$L$6:$L$28,$P2262)+(INDEX(PARAMETROS_CULTURAS!$M$6:$M$28,$P2262)-INDEX(PARAMETROS_CULTURAS!$L$6:$L$28,$P2262))*($O2262-INDEX(PARAMETROS_CULTURAS!$F$6:$F$28,$P2262)-INDEX(PARAMETROS_CULTURAS!$G$6:$G$28,$P2262)-INDEX(PARAMETROS_CULTURAS!$H$6:$H$28,$P2262))/MAX(INDEX(PARAMETROS_CULTURAS!$I$6:$I$28,$P2262),0.0001)))))</f>
        <v>0</v>
      </c>
      <c r="S2262" s="18" t="n">
        <f aca="false">IFERROR(INDEX(SEMANAS!$H$6:$H$71,MATCH($B2262,SEMANAS!$B$6:$B$71,0)),0)</f>
        <v>34.3</v>
      </c>
      <c r="T2262" s="18" t="n">
        <f aca="false">$R2262*$S2262</f>
        <v>0</v>
      </c>
      <c r="U2262" s="18" t="n">
        <f aca="false">IFERROR(INDEX(SEMANAS!$I$6:$I$71,MATCH($B2262,SEMANAS!$B$6:$B$71,0)),0)</f>
        <v>46.69</v>
      </c>
      <c r="V2262" s="18" t="n">
        <f aca="false">IFERROR(INDEX(SEMANAS!$J$6:$J$71,MATCH($B2262,SEMANAS!$B$6:$B$71,0)),0)</f>
        <v>37.352</v>
      </c>
      <c r="W2262" s="18" t="n">
        <f aca="false">MAX(0,$T2262-$V2262)</f>
        <v>0</v>
      </c>
      <c r="X2262" s="19" t="n">
        <f aca="false">IFERROR(INDEX(CADASTRO_PIVOS!$K$6:$K$41,MATCH($E2262,CADASTRO_PIVOS!$B$6:$B$41,0)),EFICIENCIA_PADRAO)</f>
        <v>0.85</v>
      </c>
      <c r="Y2262" s="18" t="n">
        <f aca="false">IF($X2262&lt;=0,0,$W2262/$X2262)</f>
        <v>0</v>
      </c>
      <c r="Z2262" s="16" t="n">
        <f aca="false">$Y2262*$H2262*MM_PARA_M3_HA</f>
        <v>0</v>
      </c>
      <c r="AA2262" s="18" t="n">
        <f aca="false">IFERROR(INDEX(CADASTRO_PIVOS!$I$6:$I$41,MATCH($E2262,CADASTRO_PIVOS!$B$6:$B$41,0)),0)</f>
        <v>614.285714285714</v>
      </c>
      <c r="AB2262" s="18" t="n">
        <f aca="false">IF($Z2262&lt;=0,0,$Z2262/$AA2262)</f>
        <v>0</v>
      </c>
      <c r="AC2262" s="16" t="n">
        <f aca="false">IFERROR(INDEX(SEMANAS!$K$6:$K$71,MATCH($B2262,SEMANAS!$B$6:$B$71,0)),0)</f>
        <v>147</v>
      </c>
      <c r="AD2262" s="19" t="n">
        <f aca="false">IF($AC2262&lt;=0,0,$AB2262/$AC2262)</f>
        <v>0</v>
      </c>
      <c r="AE2262" s="8" t="str">
        <f aca="false">IF($K2262="SEM CULTURA","SEM CULTURA",IF($AA2262&lt;=0,"DADO PENDENTE",IF($AD2262&gt;LIMITE_CRITICO,"INVIAVEL",IF($AD2262&gt;LIMITE_ATENCAO,"CRITICO",IF($AD2262&gt;LIMITE_CONFORTAVEL,"ATENCAO","OK")))))</f>
        <v>SEM CULTURA</v>
      </c>
      <c r="AF2262" s="8" t="str">
        <f aca="false">$B2262&amp;"|"&amp;TEXT($AD2262,"0.000000")</f>
        <v>13|0.000000</v>
      </c>
      <c r="AG2262" s="18" t="n">
        <f aca="false">IF($K2262="SEM CULTURA",0,$T2262*$H2262)</f>
        <v>0</v>
      </c>
      <c r="AH2262" s="18" t="n">
        <f aca="false">IF($K2262="SEM CULTURA",0,$V2262*$H2262)</f>
        <v>0</v>
      </c>
      <c r="AI2262" s="18" t="n">
        <f aca="false">IF($K2262="SEM CULTURA",0,$W2262*$H2262)</f>
        <v>0</v>
      </c>
      <c r="AJ2262" s="18" t="n">
        <f aca="false">IF($K2262="SEM CULTURA",0,$S2262*$H2262)</f>
        <v>0</v>
      </c>
      <c r="AK2262" s="8" t="str">
        <f aca="false">$E2262&amp;"|"&amp;TEXT($AD2262,"0.000000")</f>
        <v>PV 136|0.000000</v>
      </c>
    </row>
    <row r="2263" customFormat="false" ht="15" hidden="false" customHeight="false" outlineLevel="0" collapsed="false">
      <c r="B2263" s="16" t="n">
        <v>14</v>
      </c>
      <c r="C2263" s="17" t="n">
        <f aca="false">DATA_INICIO_SAFRA+($B2263-1)*DIAS_POR_SEMANA</f>
        <v>46356</v>
      </c>
      <c r="D2263" s="17" t="n">
        <f aca="false">$C2263+DIAS_POR_SEMANA-1</f>
        <v>46362</v>
      </c>
      <c r="E2263" s="15" t="s">
        <v>293</v>
      </c>
      <c r="F2263" s="8" t="str">
        <f aca="false">IFERROR(INDEX(CADASTRO_PIVOS!$C$6:$C$41,MATCH($E2263,CADASTRO_PIVOS!$B$6:$B$41,0)),"?")</f>
        <v>RM08</v>
      </c>
      <c r="G2263" s="8" t="str">
        <f aca="false">IFERROR(INDEX(CADASTRO_PIVOS!$D$6:$D$41,MATCH($E2263,CADASTRO_PIVOS!$B$6:$B$41,0)),"?")</f>
        <v>TR08</v>
      </c>
      <c r="H2263" s="20" t="n">
        <f aca="false">IFERROR(INDEX(CADASTRO_PIVOS!$E$6:$E$41,MATCH($E2263,CADASTRO_PIVOS!$B$6:$B$41,0)),0)</f>
        <v>86</v>
      </c>
      <c r="I2263" s="16" t="n">
        <f aca="false">IFERROR(SUMIFS(ROTACAO_RDM!$B$6:$B$71,ROTACAO_RDM!$D$6:$D$71,$E2263,ROTACAO_RDM!$I$6:$I$71,"&lt;="&amp;$C2263+INT(DIAS_POR_SEMANA/2),ROTACAO_RDM!$J$6:$J$71,"&gt;="&amp;$C2263+INT(DIAS_POR_SEMANA/2)),0)</f>
        <v>0</v>
      </c>
      <c r="J2263" s="16" t="n">
        <f aca="false">IFERROR(MATCH($I2263,ROTACAO_RDM!$B$6:$B$71,0),0)</f>
        <v>0</v>
      </c>
      <c r="K2263" s="8" t="str">
        <f aca="false">IF($J2263=0,"SEM CULTURA",INDEX(ROTACAO_RDM!$F$6:$F$71,$J2263))</f>
        <v>SEM CULTURA</v>
      </c>
      <c r="L2263" s="8" t="str">
        <f aca="false">IF($J2263=0,"",INDEX(ROTACAO_RDM!$G$6:$G$71,$J2263))</f>
        <v/>
      </c>
      <c r="M2263" s="17" t="str">
        <f aca="false">IF($J2263=0,"",INDEX(ROTACAO_RDM!$I$6:$I$71,$J2263))</f>
        <v/>
      </c>
      <c r="N2263" s="16" t="n">
        <f aca="false">IF($J2263=0,0,MAX(0,$C2263+INT(DIAS_POR_SEMANA/2)-INDEX(ROTACAO_RDM!$I$6:$I$71,$J2263)))</f>
        <v>0</v>
      </c>
      <c r="O2263" s="19" t="n">
        <f aca="false">IF($J2263=0,0,MIN(1,$N2263/MAX(1,INDEX(ROTACAO_RDM!$K$6:$K$71,$J2263))))</f>
        <v>0</v>
      </c>
      <c r="P2263" s="16" t="n">
        <f aca="false">IF($J2263=0,0,IFERROR(MATCH(INDEX(ROTACAO_RDM!$N$6:$N$71,$J2263),PARAMETROS_CULTURAS!$B$6:$B$28,0),0))</f>
        <v>0</v>
      </c>
      <c r="Q2263" s="8" t="str">
        <f aca="false">IF($P2263=0,"-",IF($O2263&lt;=INDEX(PARAMETROS_CULTURAS!$F$6:$F$28,$P2263),"INICIAL",IF($O2263&lt;=INDEX(PARAMETROS_CULTURAS!$F$6:$F$28,$P2263)+INDEX(PARAMETROS_CULTURAS!$G$6:$G$28,$P2263),"DESENVOLVIMENTO",IF($O2263&lt;=INDEX(PARAMETROS_CULTURAS!$F$6:$F$28,$P2263)+INDEX(PARAMETROS_CULTURAS!$G$6:$G$28,$P2263)+INDEX(PARAMETROS_CULTURAS!$H$6:$H$28,$P2263),"MEDIA","FINAL"))))</f>
        <v>-</v>
      </c>
      <c r="R2263" s="24" t="n">
        <f aca="false">IF($P2263=0,0,IF($O2263&lt;=INDEX(PARAMETROS_CULTURAS!$F$6:$F$28,$P2263),INDEX(PARAMETROS_CULTURAS!$K$6:$K$28,$P2263),IF($O2263&lt;=INDEX(PARAMETROS_CULTURAS!$F$6:$F$28,$P2263)+INDEX(PARAMETROS_CULTURAS!$G$6:$G$28,$P2263),INDEX(PARAMETROS_CULTURAS!$K$6:$K$28,$P2263)+(INDEX(PARAMETROS_CULTURAS!$L$6:$L$28,$P2263)-INDEX(PARAMETROS_CULTURAS!$K$6:$K$28,$P2263))*($O2263-INDEX(PARAMETROS_CULTURAS!$F$6:$F$28,$P2263))/MAX(INDEX(PARAMETROS_CULTURAS!$G$6:$G$28,$P2263),0.0001),IF($O2263&lt;=INDEX(PARAMETROS_CULTURAS!$F$6:$F$28,$P2263)+INDEX(PARAMETROS_CULTURAS!$G$6:$G$28,$P2263)+INDEX(PARAMETROS_CULTURAS!$H$6:$H$28,$P2263),INDEX(PARAMETROS_CULTURAS!$L$6:$L$28,$P2263),INDEX(PARAMETROS_CULTURAS!$L$6:$L$28,$P2263)+(INDEX(PARAMETROS_CULTURAS!$M$6:$M$28,$P2263)-INDEX(PARAMETROS_CULTURAS!$L$6:$L$28,$P2263))*($O2263-INDEX(PARAMETROS_CULTURAS!$F$6:$F$28,$P2263)-INDEX(PARAMETROS_CULTURAS!$G$6:$G$28,$P2263)-INDEX(PARAMETROS_CULTURAS!$H$6:$H$28,$P2263))/MAX(INDEX(PARAMETROS_CULTURAS!$I$6:$I$28,$P2263),0.0001)))))</f>
        <v>0</v>
      </c>
      <c r="S2263" s="18" t="n">
        <f aca="false">IFERROR(INDEX(SEMANAS!$H$6:$H$71,MATCH($B2263,SEMANAS!$B$6:$B$71,0)),0)</f>
        <v>33.1</v>
      </c>
      <c r="T2263" s="18" t="n">
        <f aca="false">$R2263*$S2263</f>
        <v>0</v>
      </c>
      <c r="U2263" s="18" t="n">
        <f aca="false">IFERROR(INDEX(SEMANAS!$I$6:$I$71,MATCH($B2263,SEMANAS!$B$6:$B$71,0)),0)</f>
        <v>48.31</v>
      </c>
      <c r="V2263" s="18" t="n">
        <f aca="false">IFERROR(INDEX(SEMANAS!$J$6:$J$71,MATCH($B2263,SEMANAS!$B$6:$B$71,0)),0)</f>
        <v>38.648</v>
      </c>
      <c r="W2263" s="18" t="n">
        <f aca="false">MAX(0,$T2263-$V2263)</f>
        <v>0</v>
      </c>
      <c r="X2263" s="19" t="n">
        <f aca="false">IFERROR(INDEX(CADASTRO_PIVOS!$K$6:$K$41,MATCH($E2263,CADASTRO_PIVOS!$B$6:$B$41,0)),EFICIENCIA_PADRAO)</f>
        <v>0.85</v>
      </c>
      <c r="Y2263" s="18" t="n">
        <f aca="false">IF($X2263&lt;=0,0,$W2263/$X2263)</f>
        <v>0</v>
      </c>
      <c r="Z2263" s="16" t="n">
        <f aca="false">$Y2263*$H2263*MM_PARA_M3_HA</f>
        <v>0</v>
      </c>
      <c r="AA2263" s="18" t="n">
        <f aca="false">IFERROR(INDEX(CADASTRO_PIVOS!$I$6:$I$41,MATCH($E2263,CADASTRO_PIVOS!$B$6:$B$41,0)),0)</f>
        <v>614.285714285714</v>
      </c>
      <c r="AB2263" s="18" t="n">
        <f aca="false">IF($Z2263&lt;=0,0,$Z2263/$AA2263)</f>
        <v>0</v>
      </c>
      <c r="AC2263" s="16" t="n">
        <f aca="false">IFERROR(INDEX(SEMANAS!$K$6:$K$71,MATCH($B2263,SEMANAS!$B$6:$B$71,0)),0)</f>
        <v>147</v>
      </c>
      <c r="AD2263" s="19" t="n">
        <f aca="false">IF($AC2263&lt;=0,0,$AB2263/$AC2263)</f>
        <v>0</v>
      </c>
      <c r="AE2263" s="8" t="str">
        <f aca="false">IF($K2263="SEM CULTURA","SEM CULTURA",IF($AA2263&lt;=0,"DADO PENDENTE",IF($AD2263&gt;LIMITE_CRITICO,"INVIAVEL",IF($AD2263&gt;LIMITE_ATENCAO,"CRITICO",IF($AD2263&gt;LIMITE_CONFORTAVEL,"ATENCAO","OK")))))</f>
        <v>SEM CULTURA</v>
      </c>
      <c r="AF2263" s="8" t="str">
        <f aca="false">$B2263&amp;"|"&amp;TEXT($AD2263,"0.000000")</f>
        <v>14|0.000000</v>
      </c>
      <c r="AG2263" s="18" t="n">
        <f aca="false">IF($K2263="SEM CULTURA",0,$T2263*$H2263)</f>
        <v>0</v>
      </c>
      <c r="AH2263" s="18" t="n">
        <f aca="false">IF($K2263="SEM CULTURA",0,$V2263*$H2263)</f>
        <v>0</v>
      </c>
      <c r="AI2263" s="18" t="n">
        <f aca="false">IF($K2263="SEM CULTURA",0,$W2263*$H2263)</f>
        <v>0</v>
      </c>
      <c r="AJ2263" s="18" t="n">
        <f aca="false">IF($K2263="SEM CULTURA",0,$S2263*$H2263)</f>
        <v>0</v>
      </c>
      <c r="AK2263" s="8" t="str">
        <f aca="false">$E2263&amp;"|"&amp;TEXT($AD2263,"0.000000")</f>
        <v>PV 136|0.000000</v>
      </c>
    </row>
    <row r="2264" customFormat="false" ht="15" hidden="false" customHeight="false" outlineLevel="0" collapsed="false">
      <c r="B2264" s="16" t="n">
        <v>15</v>
      </c>
      <c r="C2264" s="17" t="n">
        <f aca="false">DATA_INICIO_SAFRA+($B2264-1)*DIAS_POR_SEMANA</f>
        <v>46363</v>
      </c>
      <c r="D2264" s="17" t="n">
        <f aca="false">$C2264+DIAS_POR_SEMANA-1</f>
        <v>46369</v>
      </c>
      <c r="E2264" s="15" t="s">
        <v>293</v>
      </c>
      <c r="F2264" s="8" t="str">
        <f aca="false">IFERROR(INDEX(CADASTRO_PIVOS!$C$6:$C$41,MATCH($E2264,CADASTRO_PIVOS!$B$6:$B$41,0)),"?")</f>
        <v>RM08</v>
      </c>
      <c r="G2264" s="8" t="str">
        <f aca="false">IFERROR(INDEX(CADASTRO_PIVOS!$D$6:$D$41,MATCH($E2264,CADASTRO_PIVOS!$B$6:$B$41,0)),"?")</f>
        <v>TR08</v>
      </c>
      <c r="H2264" s="20" t="n">
        <f aca="false">IFERROR(INDEX(CADASTRO_PIVOS!$E$6:$E$41,MATCH($E2264,CADASTRO_PIVOS!$B$6:$B$41,0)),0)</f>
        <v>86</v>
      </c>
      <c r="I2264" s="16" t="n">
        <f aca="false">IFERROR(SUMIFS(ROTACAO_RDM!$B$6:$B$71,ROTACAO_RDM!$D$6:$D$71,$E2264,ROTACAO_RDM!$I$6:$I$71,"&lt;="&amp;$C2264+INT(DIAS_POR_SEMANA/2),ROTACAO_RDM!$J$6:$J$71,"&gt;="&amp;$C2264+INT(DIAS_POR_SEMANA/2)),0)</f>
        <v>0</v>
      </c>
      <c r="J2264" s="16" t="n">
        <f aca="false">IFERROR(MATCH($I2264,ROTACAO_RDM!$B$6:$B$71,0),0)</f>
        <v>0</v>
      </c>
      <c r="K2264" s="8" t="str">
        <f aca="false">IF($J2264=0,"SEM CULTURA",INDEX(ROTACAO_RDM!$F$6:$F$71,$J2264))</f>
        <v>SEM CULTURA</v>
      </c>
      <c r="L2264" s="8" t="str">
        <f aca="false">IF($J2264=0,"",INDEX(ROTACAO_RDM!$G$6:$G$71,$J2264))</f>
        <v/>
      </c>
      <c r="M2264" s="17" t="str">
        <f aca="false">IF($J2264=0,"",INDEX(ROTACAO_RDM!$I$6:$I$71,$J2264))</f>
        <v/>
      </c>
      <c r="N2264" s="16" t="n">
        <f aca="false">IF($J2264=0,0,MAX(0,$C2264+INT(DIAS_POR_SEMANA/2)-INDEX(ROTACAO_RDM!$I$6:$I$71,$J2264)))</f>
        <v>0</v>
      </c>
      <c r="O2264" s="19" t="n">
        <f aca="false">IF($J2264=0,0,MIN(1,$N2264/MAX(1,INDEX(ROTACAO_RDM!$K$6:$K$71,$J2264))))</f>
        <v>0</v>
      </c>
      <c r="P2264" s="16" t="n">
        <f aca="false">IF($J2264=0,0,IFERROR(MATCH(INDEX(ROTACAO_RDM!$N$6:$N$71,$J2264),PARAMETROS_CULTURAS!$B$6:$B$28,0),0))</f>
        <v>0</v>
      </c>
      <c r="Q2264" s="8" t="str">
        <f aca="false">IF($P2264=0,"-",IF($O2264&lt;=INDEX(PARAMETROS_CULTURAS!$F$6:$F$28,$P2264),"INICIAL",IF($O2264&lt;=INDEX(PARAMETROS_CULTURAS!$F$6:$F$28,$P2264)+INDEX(PARAMETROS_CULTURAS!$G$6:$G$28,$P2264),"DESENVOLVIMENTO",IF($O2264&lt;=INDEX(PARAMETROS_CULTURAS!$F$6:$F$28,$P2264)+INDEX(PARAMETROS_CULTURAS!$G$6:$G$28,$P2264)+INDEX(PARAMETROS_CULTURAS!$H$6:$H$28,$P2264),"MEDIA","FINAL"))))</f>
        <v>-</v>
      </c>
      <c r="R2264" s="24" t="n">
        <f aca="false">IF($P2264=0,0,IF($O2264&lt;=INDEX(PARAMETROS_CULTURAS!$F$6:$F$28,$P2264),INDEX(PARAMETROS_CULTURAS!$K$6:$K$28,$P2264),IF($O2264&lt;=INDEX(PARAMETROS_CULTURAS!$F$6:$F$28,$P2264)+INDEX(PARAMETROS_CULTURAS!$G$6:$G$28,$P2264),INDEX(PARAMETROS_CULTURAS!$K$6:$K$28,$P2264)+(INDEX(PARAMETROS_CULTURAS!$L$6:$L$28,$P2264)-INDEX(PARAMETROS_CULTURAS!$K$6:$K$28,$P2264))*($O2264-INDEX(PARAMETROS_CULTURAS!$F$6:$F$28,$P2264))/MAX(INDEX(PARAMETROS_CULTURAS!$G$6:$G$28,$P2264),0.0001),IF($O2264&lt;=INDEX(PARAMETROS_CULTURAS!$F$6:$F$28,$P2264)+INDEX(PARAMETROS_CULTURAS!$G$6:$G$28,$P2264)+INDEX(PARAMETROS_CULTURAS!$H$6:$H$28,$P2264),INDEX(PARAMETROS_CULTURAS!$L$6:$L$28,$P2264),INDEX(PARAMETROS_CULTURAS!$L$6:$L$28,$P2264)+(INDEX(PARAMETROS_CULTURAS!$M$6:$M$28,$P2264)-INDEX(PARAMETROS_CULTURAS!$L$6:$L$28,$P2264))*($O2264-INDEX(PARAMETROS_CULTURAS!$F$6:$F$28,$P2264)-INDEX(PARAMETROS_CULTURAS!$G$6:$G$28,$P2264)-INDEX(PARAMETROS_CULTURAS!$H$6:$H$28,$P2264))/MAX(INDEX(PARAMETROS_CULTURAS!$I$6:$I$28,$P2264),0.0001)))))</f>
        <v>0</v>
      </c>
      <c r="S2264" s="18" t="n">
        <f aca="false">IFERROR(INDEX(SEMANAS!$H$6:$H$71,MATCH($B2264,SEMANAS!$B$6:$B$71,0)),0)</f>
        <v>32.9</v>
      </c>
      <c r="T2264" s="18" t="n">
        <f aca="false">$R2264*$S2264</f>
        <v>0</v>
      </c>
      <c r="U2264" s="18" t="n">
        <f aca="false">IFERROR(INDEX(SEMANAS!$I$6:$I$71,MATCH($B2264,SEMANAS!$B$6:$B$71,0)),0)</f>
        <v>48.58</v>
      </c>
      <c r="V2264" s="18" t="n">
        <f aca="false">IFERROR(INDEX(SEMANAS!$J$6:$J$71,MATCH($B2264,SEMANAS!$B$6:$B$71,0)),0)</f>
        <v>38.864</v>
      </c>
      <c r="W2264" s="18" t="n">
        <f aca="false">MAX(0,$T2264-$V2264)</f>
        <v>0</v>
      </c>
      <c r="X2264" s="19" t="n">
        <f aca="false">IFERROR(INDEX(CADASTRO_PIVOS!$K$6:$K$41,MATCH($E2264,CADASTRO_PIVOS!$B$6:$B$41,0)),EFICIENCIA_PADRAO)</f>
        <v>0.85</v>
      </c>
      <c r="Y2264" s="18" t="n">
        <f aca="false">IF($X2264&lt;=0,0,$W2264/$X2264)</f>
        <v>0</v>
      </c>
      <c r="Z2264" s="16" t="n">
        <f aca="false">$Y2264*$H2264*MM_PARA_M3_HA</f>
        <v>0</v>
      </c>
      <c r="AA2264" s="18" t="n">
        <f aca="false">IFERROR(INDEX(CADASTRO_PIVOS!$I$6:$I$41,MATCH($E2264,CADASTRO_PIVOS!$B$6:$B$41,0)),0)</f>
        <v>614.285714285714</v>
      </c>
      <c r="AB2264" s="18" t="n">
        <f aca="false">IF($Z2264&lt;=0,0,$Z2264/$AA2264)</f>
        <v>0</v>
      </c>
      <c r="AC2264" s="16" t="n">
        <f aca="false">IFERROR(INDEX(SEMANAS!$K$6:$K$71,MATCH($B2264,SEMANAS!$B$6:$B$71,0)),0)</f>
        <v>147</v>
      </c>
      <c r="AD2264" s="19" t="n">
        <f aca="false">IF($AC2264&lt;=0,0,$AB2264/$AC2264)</f>
        <v>0</v>
      </c>
      <c r="AE2264" s="8" t="str">
        <f aca="false">IF($K2264="SEM CULTURA","SEM CULTURA",IF($AA2264&lt;=0,"DADO PENDENTE",IF($AD2264&gt;LIMITE_CRITICO,"INVIAVEL",IF($AD2264&gt;LIMITE_ATENCAO,"CRITICO",IF($AD2264&gt;LIMITE_CONFORTAVEL,"ATENCAO","OK")))))</f>
        <v>SEM CULTURA</v>
      </c>
      <c r="AF2264" s="8" t="str">
        <f aca="false">$B2264&amp;"|"&amp;TEXT($AD2264,"0.000000")</f>
        <v>15|0.000000</v>
      </c>
      <c r="AG2264" s="18" t="n">
        <f aca="false">IF($K2264="SEM CULTURA",0,$T2264*$H2264)</f>
        <v>0</v>
      </c>
      <c r="AH2264" s="18" t="n">
        <f aca="false">IF($K2264="SEM CULTURA",0,$V2264*$H2264)</f>
        <v>0</v>
      </c>
      <c r="AI2264" s="18" t="n">
        <f aca="false">IF($K2264="SEM CULTURA",0,$W2264*$H2264)</f>
        <v>0</v>
      </c>
      <c r="AJ2264" s="18" t="n">
        <f aca="false">IF($K2264="SEM CULTURA",0,$S2264*$H2264)</f>
        <v>0</v>
      </c>
      <c r="AK2264" s="8" t="str">
        <f aca="false">$E2264&amp;"|"&amp;TEXT($AD2264,"0.000000")</f>
        <v>PV 136|0.000000</v>
      </c>
    </row>
    <row r="2265" customFormat="false" ht="15" hidden="false" customHeight="false" outlineLevel="0" collapsed="false">
      <c r="B2265" s="16" t="n">
        <v>16</v>
      </c>
      <c r="C2265" s="17" t="n">
        <f aca="false">DATA_INICIO_SAFRA+($B2265-1)*DIAS_POR_SEMANA</f>
        <v>46370</v>
      </c>
      <c r="D2265" s="17" t="n">
        <f aca="false">$C2265+DIAS_POR_SEMANA-1</f>
        <v>46376</v>
      </c>
      <c r="E2265" s="15" t="s">
        <v>293</v>
      </c>
      <c r="F2265" s="8" t="str">
        <f aca="false">IFERROR(INDEX(CADASTRO_PIVOS!$C$6:$C$41,MATCH($E2265,CADASTRO_PIVOS!$B$6:$B$41,0)),"?")</f>
        <v>RM08</v>
      </c>
      <c r="G2265" s="8" t="str">
        <f aca="false">IFERROR(INDEX(CADASTRO_PIVOS!$D$6:$D$41,MATCH($E2265,CADASTRO_PIVOS!$B$6:$B$41,0)),"?")</f>
        <v>TR08</v>
      </c>
      <c r="H2265" s="20" t="n">
        <f aca="false">IFERROR(INDEX(CADASTRO_PIVOS!$E$6:$E$41,MATCH($E2265,CADASTRO_PIVOS!$B$6:$B$41,0)),0)</f>
        <v>86</v>
      </c>
      <c r="I2265" s="16" t="n">
        <f aca="false">IFERROR(SUMIFS(ROTACAO_RDM!$B$6:$B$71,ROTACAO_RDM!$D$6:$D$71,$E2265,ROTACAO_RDM!$I$6:$I$71,"&lt;="&amp;$C2265+INT(DIAS_POR_SEMANA/2),ROTACAO_RDM!$J$6:$J$71,"&gt;="&amp;$C2265+INT(DIAS_POR_SEMANA/2)),0)</f>
        <v>0</v>
      </c>
      <c r="J2265" s="16" t="n">
        <f aca="false">IFERROR(MATCH($I2265,ROTACAO_RDM!$B$6:$B$71,0),0)</f>
        <v>0</v>
      </c>
      <c r="K2265" s="8" t="str">
        <f aca="false">IF($J2265=0,"SEM CULTURA",INDEX(ROTACAO_RDM!$F$6:$F$71,$J2265))</f>
        <v>SEM CULTURA</v>
      </c>
      <c r="L2265" s="8" t="str">
        <f aca="false">IF($J2265=0,"",INDEX(ROTACAO_RDM!$G$6:$G$71,$J2265))</f>
        <v/>
      </c>
      <c r="M2265" s="17" t="str">
        <f aca="false">IF($J2265=0,"",INDEX(ROTACAO_RDM!$I$6:$I$71,$J2265))</f>
        <v/>
      </c>
      <c r="N2265" s="16" t="n">
        <f aca="false">IF($J2265=0,0,MAX(0,$C2265+INT(DIAS_POR_SEMANA/2)-INDEX(ROTACAO_RDM!$I$6:$I$71,$J2265)))</f>
        <v>0</v>
      </c>
      <c r="O2265" s="19" t="n">
        <f aca="false">IF($J2265=0,0,MIN(1,$N2265/MAX(1,INDEX(ROTACAO_RDM!$K$6:$K$71,$J2265))))</f>
        <v>0</v>
      </c>
      <c r="P2265" s="16" t="n">
        <f aca="false">IF($J2265=0,0,IFERROR(MATCH(INDEX(ROTACAO_RDM!$N$6:$N$71,$J2265),PARAMETROS_CULTURAS!$B$6:$B$28,0),0))</f>
        <v>0</v>
      </c>
      <c r="Q2265" s="8" t="str">
        <f aca="false">IF($P2265=0,"-",IF($O2265&lt;=INDEX(PARAMETROS_CULTURAS!$F$6:$F$28,$P2265),"INICIAL",IF($O2265&lt;=INDEX(PARAMETROS_CULTURAS!$F$6:$F$28,$P2265)+INDEX(PARAMETROS_CULTURAS!$G$6:$G$28,$P2265),"DESENVOLVIMENTO",IF($O2265&lt;=INDEX(PARAMETROS_CULTURAS!$F$6:$F$28,$P2265)+INDEX(PARAMETROS_CULTURAS!$G$6:$G$28,$P2265)+INDEX(PARAMETROS_CULTURAS!$H$6:$H$28,$P2265),"MEDIA","FINAL"))))</f>
        <v>-</v>
      </c>
      <c r="R2265" s="24" t="n">
        <f aca="false">IF($P2265=0,0,IF($O2265&lt;=INDEX(PARAMETROS_CULTURAS!$F$6:$F$28,$P2265),INDEX(PARAMETROS_CULTURAS!$K$6:$K$28,$P2265),IF($O2265&lt;=INDEX(PARAMETROS_CULTURAS!$F$6:$F$28,$P2265)+INDEX(PARAMETROS_CULTURAS!$G$6:$G$28,$P2265),INDEX(PARAMETROS_CULTURAS!$K$6:$K$28,$P2265)+(INDEX(PARAMETROS_CULTURAS!$L$6:$L$28,$P2265)-INDEX(PARAMETROS_CULTURAS!$K$6:$K$28,$P2265))*($O2265-INDEX(PARAMETROS_CULTURAS!$F$6:$F$28,$P2265))/MAX(INDEX(PARAMETROS_CULTURAS!$G$6:$G$28,$P2265),0.0001),IF($O2265&lt;=INDEX(PARAMETROS_CULTURAS!$F$6:$F$28,$P2265)+INDEX(PARAMETROS_CULTURAS!$G$6:$G$28,$P2265)+INDEX(PARAMETROS_CULTURAS!$H$6:$H$28,$P2265),INDEX(PARAMETROS_CULTURAS!$L$6:$L$28,$P2265),INDEX(PARAMETROS_CULTURAS!$L$6:$L$28,$P2265)+(INDEX(PARAMETROS_CULTURAS!$M$6:$M$28,$P2265)-INDEX(PARAMETROS_CULTURAS!$L$6:$L$28,$P2265))*($O2265-INDEX(PARAMETROS_CULTURAS!$F$6:$F$28,$P2265)-INDEX(PARAMETROS_CULTURAS!$G$6:$G$28,$P2265)-INDEX(PARAMETROS_CULTURAS!$H$6:$H$28,$P2265))/MAX(INDEX(PARAMETROS_CULTURAS!$I$6:$I$28,$P2265),0.0001)))))</f>
        <v>0</v>
      </c>
      <c r="S2265" s="18" t="n">
        <f aca="false">IFERROR(INDEX(SEMANAS!$H$6:$H$71,MATCH($B2265,SEMANAS!$B$6:$B$71,0)),0)</f>
        <v>32.9</v>
      </c>
      <c r="T2265" s="18" t="n">
        <f aca="false">$R2265*$S2265</f>
        <v>0</v>
      </c>
      <c r="U2265" s="18" t="n">
        <f aca="false">IFERROR(INDEX(SEMANAS!$I$6:$I$71,MATCH($B2265,SEMANAS!$B$6:$B$71,0)),0)</f>
        <v>48.58</v>
      </c>
      <c r="V2265" s="18" t="n">
        <f aca="false">IFERROR(INDEX(SEMANAS!$J$6:$J$71,MATCH($B2265,SEMANAS!$B$6:$B$71,0)),0)</f>
        <v>38.864</v>
      </c>
      <c r="W2265" s="18" t="n">
        <f aca="false">MAX(0,$T2265-$V2265)</f>
        <v>0</v>
      </c>
      <c r="X2265" s="19" t="n">
        <f aca="false">IFERROR(INDEX(CADASTRO_PIVOS!$K$6:$K$41,MATCH($E2265,CADASTRO_PIVOS!$B$6:$B$41,0)),EFICIENCIA_PADRAO)</f>
        <v>0.85</v>
      </c>
      <c r="Y2265" s="18" t="n">
        <f aca="false">IF($X2265&lt;=0,0,$W2265/$X2265)</f>
        <v>0</v>
      </c>
      <c r="Z2265" s="16" t="n">
        <f aca="false">$Y2265*$H2265*MM_PARA_M3_HA</f>
        <v>0</v>
      </c>
      <c r="AA2265" s="18" t="n">
        <f aca="false">IFERROR(INDEX(CADASTRO_PIVOS!$I$6:$I$41,MATCH($E2265,CADASTRO_PIVOS!$B$6:$B$41,0)),0)</f>
        <v>614.285714285714</v>
      </c>
      <c r="AB2265" s="18" t="n">
        <f aca="false">IF($Z2265&lt;=0,0,$Z2265/$AA2265)</f>
        <v>0</v>
      </c>
      <c r="AC2265" s="16" t="n">
        <f aca="false">IFERROR(INDEX(SEMANAS!$K$6:$K$71,MATCH($B2265,SEMANAS!$B$6:$B$71,0)),0)</f>
        <v>147</v>
      </c>
      <c r="AD2265" s="19" t="n">
        <f aca="false">IF($AC2265&lt;=0,0,$AB2265/$AC2265)</f>
        <v>0</v>
      </c>
      <c r="AE2265" s="8" t="str">
        <f aca="false">IF($K2265="SEM CULTURA","SEM CULTURA",IF($AA2265&lt;=0,"DADO PENDENTE",IF($AD2265&gt;LIMITE_CRITICO,"INVIAVEL",IF($AD2265&gt;LIMITE_ATENCAO,"CRITICO",IF($AD2265&gt;LIMITE_CONFORTAVEL,"ATENCAO","OK")))))</f>
        <v>SEM CULTURA</v>
      </c>
      <c r="AF2265" s="8" t="str">
        <f aca="false">$B2265&amp;"|"&amp;TEXT($AD2265,"0.000000")</f>
        <v>16|0.000000</v>
      </c>
      <c r="AG2265" s="18" t="n">
        <f aca="false">IF($K2265="SEM CULTURA",0,$T2265*$H2265)</f>
        <v>0</v>
      </c>
      <c r="AH2265" s="18" t="n">
        <f aca="false">IF($K2265="SEM CULTURA",0,$V2265*$H2265)</f>
        <v>0</v>
      </c>
      <c r="AI2265" s="18" t="n">
        <f aca="false">IF($K2265="SEM CULTURA",0,$W2265*$H2265)</f>
        <v>0</v>
      </c>
      <c r="AJ2265" s="18" t="n">
        <f aca="false">IF($K2265="SEM CULTURA",0,$S2265*$H2265)</f>
        <v>0</v>
      </c>
      <c r="AK2265" s="8" t="str">
        <f aca="false">$E2265&amp;"|"&amp;TEXT($AD2265,"0.000000")</f>
        <v>PV 136|0.000000</v>
      </c>
    </row>
    <row r="2266" customFormat="false" ht="15" hidden="false" customHeight="false" outlineLevel="0" collapsed="false">
      <c r="B2266" s="16" t="n">
        <v>17</v>
      </c>
      <c r="C2266" s="17" t="n">
        <f aca="false">DATA_INICIO_SAFRA+($B2266-1)*DIAS_POR_SEMANA</f>
        <v>46377</v>
      </c>
      <c r="D2266" s="17" t="n">
        <f aca="false">$C2266+DIAS_POR_SEMANA-1</f>
        <v>46383</v>
      </c>
      <c r="E2266" s="15" t="s">
        <v>293</v>
      </c>
      <c r="F2266" s="8" t="str">
        <f aca="false">IFERROR(INDEX(CADASTRO_PIVOS!$C$6:$C$41,MATCH($E2266,CADASTRO_PIVOS!$B$6:$B$41,0)),"?")</f>
        <v>RM08</v>
      </c>
      <c r="G2266" s="8" t="str">
        <f aca="false">IFERROR(INDEX(CADASTRO_PIVOS!$D$6:$D$41,MATCH($E2266,CADASTRO_PIVOS!$B$6:$B$41,0)),"?")</f>
        <v>TR08</v>
      </c>
      <c r="H2266" s="20" t="n">
        <f aca="false">IFERROR(INDEX(CADASTRO_PIVOS!$E$6:$E$41,MATCH($E2266,CADASTRO_PIVOS!$B$6:$B$41,0)),0)</f>
        <v>86</v>
      </c>
      <c r="I2266" s="16" t="n">
        <f aca="false">IFERROR(SUMIFS(ROTACAO_RDM!$B$6:$B$71,ROTACAO_RDM!$D$6:$D$71,$E2266,ROTACAO_RDM!$I$6:$I$71,"&lt;="&amp;$C2266+INT(DIAS_POR_SEMANA/2),ROTACAO_RDM!$J$6:$J$71,"&gt;="&amp;$C2266+INT(DIAS_POR_SEMANA/2)),0)</f>
        <v>0</v>
      </c>
      <c r="J2266" s="16" t="n">
        <f aca="false">IFERROR(MATCH($I2266,ROTACAO_RDM!$B$6:$B$71,0),0)</f>
        <v>0</v>
      </c>
      <c r="K2266" s="8" t="str">
        <f aca="false">IF($J2266=0,"SEM CULTURA",INDEX(ROTACAO_RDM!$F$6:$F$71,$J2266))</f>
        <v>SEM CULTURA</v>
      </c>
      <c r="L2266" s="8" t="str">
        <f aca="false">IF($J2266=0,"",INDEX(ROTACAO_RDM!$G$6:$G$71,$J2266))</f>
        <v/>
      </c>
      <c r="M2266" s="17" t="str">
        <f aca="false">IF($J2266=0,"",INDEX(ROTACAO_RDM!$I$6:$I$71,$J2266))</f>
        <v/>
      </c>
      <c r="N2266" s="16" t="n">
        <f aca="false">IF($J2266=0,0,MAX(0,$C2266+INT(DIAS_POR_SEMANA/2)-INDEX(ROTACAO_RDM!$I$6:$I$71,$J2266)))</f>
        <v>0</v>
      </c>
      <c r="O2266" s="19" t="n">
        <f aca="false">IF($J2266=0,0,MIN(1,$N2266/MAX(1,INDEX(ROTACAO_RDM!$K$6:$K$71,$J2266))))</f>
        <v>0</v>
      </c>
      <c r="P2266" s="16" t="n">
        <f aca="false">IF($J2266=0,0,IFERROR(MATCH(INDEX(ROTACAO_RDM!$N$6:$N$71,$J2266),PARAMETROS_CULTURAS!$B$6:$B$28,0),0))</f>
        <v>0</v>
      </c>
      <c r="Q2266" s="8" t="str">
        <f aca="false">IF($P2266=0,"-",IF($O2266&lt;=INDEX(PARAMETROS_CULTURAS!$F$6:$F$28,$P2266),"INICIAL",IF($O2266&lt;=INDEX(PARAMETROS_CULTURAS!$F$6:$F$28,$P2266)+INDEX(PARAMETROS_CULTURAS!$G$6:$G$28,$P2266),"DESENVOLVIMENTO",IF($O2266&lt;=INDEX(PARAMETROS_CULTURAS!$F$6:$F$28,$P2266)+INDEX(PARAMETROS_CULTURAS!$G$6:$G$28,$P2266)+INDEX(PARAMETROS_CULTURAS!$H$6:$H$28,$P2266),"MEDIA","FINAL"))))</f>
        <v>-</v>
      </c>
      <c r="R2266" s="24" t="n">
        <f aca="false">IF($P2266=0,0,IF($O2266&lt;=INDEX(PARAMETROS_CULTURAS!$F$6:$F$28,$P2266),INDEX(PARAMETROS_CULTURAS!$K$6:$K$28,$P2266),IF($O2266&lt;=INDEX(PARAMETROS_CULTURAS!$F$6:$F$28,$P2266)+INDEX(PARAMETROS_CULTURAS!$G$6:$G$28,$P2266),INDEX(PARAMETROS_CULTURAS!$K$6:$K$28,$P2266)+(INDEX(PARAMETROS_CULTURAS!$L$6:$L$28,$P2266)-INDEX(PARAMETROS_CULTURAS!$K$6:$K$28,$P2266))*($O2266-INDEX(PARAMETROS_CULTURAS!$F$6:$F$28,$P2266))/MAX(INDEX(PARAMETROS_CULTURAS!$G$6:$G$28,$P2266),0.0001),IF($O2266&lt;=INDEX(PARAMETROS_CULTURAS!$F$6:$F$28,$P2266)+INDEX(PARAMETROS_CULTURAS!$G$6:$G$28,$P2266)+INDEX(PARAMETROS_CULTURAS!$H$6:$H$28,$P2266),INDEX(PARAMETROS_CULTURAS!$L$6:$L$28,$P2266),INDEX(PARAMETROS_CULTURAS!$L$6:$L$28,$P2266)+(INDEX(PARAMETROS_CULTURAS!$M$6:$M$28,$P2266)-INDEX(PARAMETROS_CULTURAS!$L$6:$L$28,$P2266))*($O2266-INDEX(PARAMETROS_CULTURAS!$F$6:$F$28,$P2266)-INDEX(PARAMETROS_CULTURAS!$G$6:$G$28,$P2266)-INDEX(PARAMETROS_CULTURAS!$H$6:$H$28,$P2266))/MAX(INDEX(PARAMETROS_CULTURAS!$I$6:$I$28,$P2266),0.0001)))))</f>
        <v>0</v>
      </c>
      <c r="S2266" s="18" t="n">
        <f aca="false">IFERROR(INDEX(SEMANAS!$H$6:$H$71,MATCH($B2266,SEMANAS!$B$6:$B$71,0)),0)</f>
        <v>32.9</v>
      </c>
      <c r="T2266" s="18" t="n">
        <f aca="false">$R2266*$S2266</f>
        <v>0</v>
      </c>
      <c r="U2266" s="18" t="n">
        <f aca="false">IFERROR(INDEX(SEMANAS!$I$6:$I$71,MATCH($B2266,SEMANAS!$B$6:$B$71,0)),0)</f>
        <v>48.58</v>
      </c>
      <c r="V2266" s="18" t="n">
        <f aca="false">IFERROR(INDEX(SEMANAS!$J$6:$J$71,MATCH($B2266,SEMANAS!$B$6:$B$71,0)),0)</f>
        <v>38.864</v>
      </c>
      <c r="W2266" s="18" t="n">
        <f aca="false">MAX(0,$T2266-$V2266)</f>
        <v>0</v>
      </c>
      <c r="X2266" s="19" t="n">
        <f aca="false">IFERROR(INDEX(CADASTRO_PIVOS!$K$6:$K$41,MATCH($E2266,CADASTRO_PIVOS!$B$6:$B$41,0)),EFICIENCIA_PADRAO)</f>
        <v>0.85</v>
      </c>
      <c r="Y2266" s="18" t="n">
        <f aca="false">IF($X2266&lt;=0,0,$W2266/$X2266)</f>
        <v>0</v>
      </c>
      <c r="Z2266" s="16" t="n">
        <f aca="false">$Y2266*$H2266*MM_PARA_M3_HA</f>
        <v>0</v>
      </c>
      <c r="AA2266" s="18" t="n">
        <f aca="false">IFERROR(INDEX(CADASTRO_PIVOS!$I$6:$I$41,MATCH($E2266,CADASTRO_PIVOS!$B$6:$B$41,0)),0)</f>
        <v>614.285714285714</v>
      </c>
      <c r="AB2266" s="18" t="n">
        <f aca="false">IF($Z2266&lt;=0,0,$Z2266/$AA2266)</f>
        <v>0</v>
      </c>
      <c r="AC2266" s="16" t="n">
        <f aca="false">IFERROR(INDEX(SEMANAS!$K$6:$K$71,MATCH($B2266,SEMANAS!$B$6:$B$71,0)),0)</f>
        <v>147</v>
      </c>
      <c r="AD2266" s="19" t="n">
        <f aca="false">IF($AC2266&lt;=0,0,$AB2266/$AC2266)</f>
        <v>0</v>
      </c>
      <c r="AE2266" s="8" t="str">
        <f aca="false">IF($K2266="SEM CULTURA","SEM CULTURA",IF($AA2266&lt;=0,"DADO PENDENTE",IF($AD2266&gt;LIMITE_CRITICO,"INVIAVEL",IF($AD2266&gt;LIMITE_ATENCAO,"CRITICO",IF($AD2266&gt;LIMITE_CONFORTAVEL,"ATENCAO","OK")))))</f>
        <v>SEM CULTURA</v>
      </c>
      <c r="AF2266" s="8" t="str">
        <f aca="false">$B2266&amp;"|"&amp;TEXT($AD2266,"0.000000")</f>
        <v>17|0.000000</v>
      </c>
      <c r="AG2266" s="18" t="n">
        <f aca="false">IF($K2266="SEM CULTURA",0,$T2266*$H2266)</f>
        <v>0</v>
      </c>
      <c r="AH2266" s="18" t="n">
        <f aca="false">IF($K2266="SEM CULTURA",0,$V2266*$H2266)</f>
        <v>0</v>
      </c>
      <c r="AI2266" s="18" t="n">
        <f aca="false">IF($K2266="SEM CULTURA",0,$W2266*$H2266)</f>
        <v>0</v>
      </c>
      <c r="AJ2266" s="18" t="n">
        <f aca="false">IF($K2266="SEM CULTURA",0,$S2266*$H2266)</f>
        <v>0</v>
      </c>
      <c r="AK2266" s="8" t="str">
        <f aca="false">$E2266&amp;"|"&amp;TEXT($AD2266,"0.000000")</f>
        <v>PV 136|0.000000</v>
      </c>
    </row>
    <row r="2267" customFormat="false" ht="15" hidden="false" customHeight="false" outlineLevel="0" collapsed="false">
      <c r="B2267" s="16" t="n">
        <v>18</v>
      </c>
      <c r="C2267" s="17" t="n">
        <f aca="false">DATA_INICIO_SAFRA+($B2267-1)*DIAS_POR_SEMANA</f>
        <v>46384</v>
      </c>
      <c r="D2267" s="17" t="n">
        <f aca="false">$C2267+DIAS_POR_SEMANA-1</f>
        <v>46390</v>
      </c>
      <c r="E2267" s="15" t="s">
        <v>293</v>
      </c>
      <c r="F2267" s="8" t="str">
        <f aca="false">IFERROR(INDEX(CADASTRO_PIVOS!$C$6:$C$41,MATCH($E2267,CADASTRO_PIVOS!$B$6:$B$41,0)),"?")</f>
        <v>RM08</v>
      </c>
      <c r="G2267" s="8" t="str">
        <f aca="false">IFERROR(INDEX(CADASTRO_PIVOS!$D$6:$D$41,MATCH($E2267,CADASTRO_PIVOS!$B$6:$B$41,0)),"?")</f>
        <v>TR08</v>
      </c>
      <c r="H2267" s="20" t="n">
        <f aca="false">IFERROR(INDEX(CADASTRO_PIVOS!$E$6:$E$41,MATCH($E2267,CADASTRO_PIVOS!$B$6:$B$41,0)),0)</f>
        <v>86</v>
      </c>
      <c r="I2267" s="16" t="n">
        <f aca="false">IFERROR(SUMIFS(ROTACAO_RDM!$B$6:$B$71,ROTACAO_RDM!$D$6:$D$71,$E2267,ROTACAO_RDM!$I$6:$I$71,"&lt;="&amp;$C2267+INT(DIAS_POR_SEMANA/2),ROTACAO_RDM!$J$6:$J$71,"&gt;="&amp;$C2267+INT(DIAS_POR_SEMANA/2)),0)</f>
        <v>0</v>
      </c>
      <c r="J2267" s="16" t="n">
        <f aca="false">IFERROR(MATCH($I2267,ROTACAO_RDM!$B$6:$B$71,0),0)</f>
        <v>0</v>
      </c>
      <c r="K2267" s="8" t="str">
        <f aca="false">IF($J2267=0,"SEM CULTURA",INDEX(ROTACAO_RDM!$F$6:$F$71,$J2267))</f>
        <v>SEM CULTURA</v>
      </c>
      <c r="L2267" s="8" t="str">
        <f aca="false">IF($J2267=0,"",INDEX(ROTACAO_RDM!$G$6:$G$71,$J2267))</f>
        <v/>
      </c>
      <c r="M2267" s="17" t="str">
        <f aca="false">IF($J2267=0,"",INDEX(ROTACAO_RDM!$I$6:$I$71,$J2267))</f>
        <v/>
      </c>
      <c r="N2267" s="16" t="n">
        <f aca="false">IF($J2267=0,0,MAX(0,$C2267+INT(DIAS_POR_SEMANA/2)-INDEX(ROTACAO_RDM!$I$6:$I$71,$J2267)))</f>
        <v>0</v>
      </c>
      <c r="O2267" s="19" t="n">
        <f aca="false">IF($J2267=0,0,MIN(1,$N2267/MAX(1,INDEX(ROTACAO_RDM!$K$6:$K$71,$J2267))))</f>
        <v>0</v>
      </c>
      <c r="P2267" s="16" t="n">
        <f aca="false">IF($J2267=0,0,IFERROR(MATCH(INDEX(ROTACAO_RDM!$N$6:$N$71,$J2267),PARAMETROS_CULTURAS!$B$6:$B$28,0),0))</f>
        <v>0</v>
      </c>
      <c r="Q2267" s="8" t="str">
        <f aca="false">IF($P2267=0,"-",IF($O2267&lt;=INDEX(PARAMETROS_CULTURAS!$F$6:$F$28,$P2267),"INICIAL",IF($O2267&lt;=INDEX(PARAMETROS_CULTURAS!$F$6:$F$28,$P2267)+INDEX(PARAMETROS_CULTURAS!$G$6:$G$28,$P2267),"DESENVOLVIMENTO",IF($O2267&lt;=INDEX(PARAMETROS_CULTURAS!$F$6:$F$28,$P2267)+INDEX(PARAMETROS_CULTURAS!$G$6:$G$28,$P2267)+INDEX(PARAMETROS_CULTURAS!$H$6:$H$28,$P2267),"MEDIA","FINAL"))))</f>
        <v>-</v>
      </c>
      <c r="R2267" s="24" t="n">
        <f aca="false">IF($P2267=0,0,IF($O2267&lt;=INDEX(PARAMETROS_CULTURAS!$F$6:$F$28,$P2267),INDEX(PARAMETROS_CULTURAS!$K$6:$K$28,$P2267),IF($O2267&lt;=INDEX(PARAMETROS_CULTURAS!$F$6:$F$28,$P2267)+INDEX(PARAMETROS_CULTURAS!$G$6:$G$28,$P2267),INDEX(PARAMETROS_CULTURAS!$K$6:$K$28,$P2267)+(INDEX(PARAMETROS_CULTURAS!$L$6:$L$28,$P2267)-INDEX(PARAMETROS_CULTURAS!$K$6:$K$28,$P2267))*($O2267-INDEX(PARAMETROS_CULTURAS!$F$6:$F$28,$P2267))/MAX(INDEX(PARAMETROS_CULTURAS!$G$6:$G$28,$P2267),0.0001),IF($O2267&lt;=INDEX(PARAMETROS_CULTURAS!$F$6:$F$28,$P2267)+INDEX(PARAMETROS_CULTURAS!$G$6:$G$28,$P2267)+INDEX(PARAMETROS_CULTURAS!$H$6:$H$28,$P2267),INDEX(PARAMETROS_CULTURAS!$L$6:$L$28,$P2267),INDEX(PARAMETROS_CULTURAS!$L$6:$L$28,$P2267)+(INDEX(PARAMETROS_CULTURAS!$M$6:$M$28,$P2267)-INDEX(PARAMETROS_CULTURAS!$L$6:$L$28,$P2267))*($O2267-INDEX(PARAMETROS_CULTURAS!$F$6:$F$28,$P2267)-INDEX(PARAMETROS_CULTURAS!$G$6:$G$28,$P2267)-INDEX(PARAMETROS_CULTURAS!$H$6:$H$28,$P2267))/MAX(INDEX(PARAMETROS_CULTURAS!$I$6:$I$28,$P2267),0.0001)))))</f>
        <v>0</v>
      </c>
      <c r="S2267" s="18" t="n">
        <f aca="false">IFERROR(INDEX(SEMANAS!$H$6:$H$71,MATCH($B2267,SEMANAS!$B$6:$B$71,0)),0)</f>
        <v>33.2</v>
      </c>
      <c r="T2267" s="18" t="n">
        <f aca="false">$R2267*$S2267</f>
        <v>0</v>
      </c>
      <c r="U2267" s="18" t="n">
        <f aca="false">IFERROR(INDEX(SEMANAS!$I$6:$I$71,MATCH($B2267,SEMANAS!$B$6:$B$71,0)),0)</f>
        <v>47.11</v>
      </c>
      <c r="V2267" s="18" t="n">
        <f aca="false">IFERROR(INDEX(SEMANAS!$J$6:$J$71,MATCH($B2267,SEMANAS!$B$6:$B$71,0)),0)</f>
        <v>37.688</v>
      </c>
      <c r="W2267" s="18" t="n">
        <f aca="false">MAX(0,$T2267-$V2267)</f>
        <v>0</v>
      </c>
      <c r="X2267" s="19" t="n">
        <f aca="false">IFERROR(INDEX(CADASTRO_PIVOS!$K$6:$K$41,MATCH($E2267,CADASTRO_PIVOS!$B$6:$B$41,0)),EFICIENCIA_PADRAO)</f>
        <v>0.85</v>
      </c>
      <c r="Y2267" s="18" t="n">
        <f aca="false">IF($X2267&lt;=0,0,$W2267/$X2267)</f>
        <v>0</v>
      </c>
      <c r="Z2267" s="16" t="n">
        <f aca="false">$Y2267*$H2267*MM_PARA_M3_HA</f>
        <v>0</v>
      </c>
      <c r="AA2267" s="18" t="n">
        <f aca="false">IFERROR(INDEX(CADASTRO_PIVOS!$I$6:$I$41,MATCH($E2267,CADASTRO_PIVOS!$B$6:$B$41,0)),0)</f>
        <v>614.285714285714</v>
      </c>
      <c r="AB2267" s="18" t="n">
        <f aca="false">IF($Z2267&lt;=0,0,$Z2267/$AA2267)</f>
        <v>0</v>
      </c>
      <c r="AC2267" s="16" t="n">
        <f aca="false">IFERROR(INDEX(SEMANAS!$K$6:$K$71,MATCH($B2267,SEMANAS!$B$6:$B$71,0)),0)</f>
        <v>147</v>
      </c>
      <c r="AD2267" s="19" t="n">
        <f aca="false">IF($AC2267&lt;=0,0,$AB2267/$AC2267)</f>
        <v>0</v>
      </c>
      <c r="AE2267" s="8" t="str">
        <f aca="false">IF($K2267="SEM CULTURA","SEM CULTURA",IF($AA2267&lt;=0,"DADO PENDENTE",IF($AD2267&gt;LIMITE_CRITICO,"INVIAVEL",IF($AD2267&gt;LIMITE_ATENCAO,"CRITICO",IF($AD2267&gt;LIMITE_CONFORTAVEL,"ATENCAO","OK")))))</f>
        <v>SEM CULTURA</v>
      </c>
      <c r="AF2267" s="8" t="str">
        <f aca="false">$B2267&amp;"|"&amp;TEXT($AD2267,"0.000000")</f>
        <v>18|0.000000</v>
      </c>
      <c r="AG2267" s="18" t="n">
        <f aca="false">IF($K2267="SEM CULTURA",0,$T2267*$H2267)</f>
        <v>0</v>
      </c>
      <c r="AH2267" s="18" t="n">
        <f aca="false">IF($K2267="SEM CULTURA",0,$V2267*$H2267)</f>
        <v>0</v>
      </c>
      <c r="AI2267" s="18" t="n">
        <f aca="false">IF($K2267="SEM CULTURA",0,$W2267*$H2267)</f>
        <v>0</v>
      </c>
      <c r="AJ2267" s="18" t="n">
        <f aca="false">IF($K2267="SEM CULTURA",0,$S2267*$H2267)</f>
        <v>0</v>
      </c>
      <c r="AK2267" s="8" t="str">
        <f aca="false">$E2267&amp;"|"&amp;TEXT($AD2267,"0.000000")</f>
        <v>PV 136|0.000000</v>
      </c>
    </row>
    <row r="2268" customFormat="false" ht="15" hidden="false" customHeight="false" outlineLevel="0" collapsed="false">
      <c r="B2268" s="16" t="n">
        <v>19</v>
      </c>
      <c r="C2268" s="17" t="n">
        <f aca="false">DATA_INICIO_SAFRA+($B2268-1)*DIAS_POR_SEMANA</f>
        <v>46391</v>
      </c>
      <c r="D2268" s="17" t="n">
        <f aca="false">$C2268+DIAS_POR_SEMANA-1</f>
        <v>46397</v>
      </c>
      <c r="E2268" s="15" t="s">
        <v>293</v>
      </c>
      <c r="F2268" s="8" t="str">
        <f aca="false">IFERROR(INDEX(CADASTRO_PIVOS!$C$6:$C$41,MATCH($E2268,CADASTRO_PIVOS!$B$6:$B$41,0)),"?")</f>
        <v>RM08</v>
      </c>
      <c r="G2268" s="8" t="str">
        <f aca="false">IFERROR(INDEX(CADASTRO_PIVOS!$D$6:$D$41,MATCH($E2268,CADASTRO_PIVOS!$B$6:$B$41,0)),"?")</f>
        <v>TR08</v>
      </c>
      <c r="H2268" s="20" t="n">
        <f aca="false">IFERROR(INDEX(CADASTRO_PIVOS!$E$6:$E$41,MATCH($E2268,CADASTRO_PIVOS!$B$6:$B$41,0)),0)</f>
        <v>86</v>
      </c>
      <c r="I2268" s="16" t="n">
        <f aca="false">IFERROR(SUMIFS(ROTACAO_RDM!$B$6:$B$71,ROTACAO_RDM!$D$6:$D$71,$E2268,ROTACAO_RDM!$I$6:$I$71,"&lt;="&amp;$C2268+INT(DIAS_POR_SEMANA/2),ROTACAO_RDM!$J$6:$J$71,"&gt;="&amp;$C2268+INT(DIAS_POR_SEMANA/2)),0)</f>
        <v>0</v>
      </c>
      <c r="J2268" s="16" t="n">
        <f aca="false">IFERROR(MATCH($I2268,ROTACAO_RDM!$B$6:$B$71,0),0)</f>
        <v>0</v>
      </c>
      <c r="K2268" s="8" t="str">
        <f aca="false">IF($J2268=0,"SEM CULTURA",INDEX(ROTACAO_RDM!$F$6:$F$71,$J2268))</f>
        <v>SEM CULTURA</v>
      </c>
      <c r="L2268" s="8" t="str">
        <f aca="false">IF($J2268=0,"",INDEX(ROTACAO_RDM!$G$6:$G$71,$J2268))</f>
        <v/>
      </c>
      <c r="M2268" s="17" t="str">
        <f aca="false">IF($J2268=0,"",INDEX(ROTACAO_RDM!$I$6:$I$71,$J2268))</f>
        <v/>
      </c>
      <c r="N2268" s="16" t="n">
        <f aca="false">IF($J2268=0,0,MAX(0,$C2268+INT(DIAS_POR_SEMANA/2)-INDEX(ROTACAO_RDM!$I$6:$I$71,$J2268)))</f>
        <v>0</v>
      </c>
      <c r="O2268" s="19" t="n">
        <f aca="false">IF($J2268=0,0,MIN(1,$N2268/MAX(1,INDEX(ROTACAO_RDM!$K$6:$K$71,$J2268))))</f>
        <v>0</v>
      </c>
      <c r="P2268" s="16" t="n">
        <f aca="false">IF($J2268=0,0,IFERROR(MATCH(INDEX(ROTACAO_RDM!$N$6:$N$71,$J2268),PARAMETROS_CULTURAS!$B$6:$B$28,0),0))</f>
        <v>0</v>
      </c>
      <c r="Q2268" s="8" t="str">
        <f aca="false">IF($P2268=0,"-",IF($O2268&lt;=INDEX(PARAMETROS_CULTURAS!$F$6:$F$28,$P2268),"INICIAL",IF($O2268&lt;=INDEX(PARAMETROS_CULTURAS!$F$6:$F$28,$P2268)+INDEX(PARAMETROS_CULTURAS!$G$6:$G$28,$P2268),"DESENVOLVIMENTO",IF($O2268&lt;=INDEX(PARAMETROS_CULTURAS!$F$6:$F$28,$P2268)+INDEX(PARAMETROS_CULTURAS!$G$6:$G$28,$P2268)+INDEX(PARAMETROS_CULTURAS!$H$6:$H$28,$P2268),"MEDIA","FINAL"))))</f>
        <v>-</v>
      </c>
      <c r="R2268" s="24" t="n">
        <f aca="false">IF($P2268=0,0,IF($O2268&lt;=INDEX(PARAMETROS_CULTURAS!$F$6:$F$28,$P2268),INDEX(PARAMETROS_CULTURAS!$K$6:$K$28,$P2268),IF($O2268&lt;=INDEX(PARAMETROS_CULTURAS!$F$6:$F$28,$P2268)+INDEX(PARAMETROS_CULTURAS!$G$6:$G$28,$P2268),INDEX(PARAMETROS_CULTURAS!$K$6:$K$28,$P2268)+(INDEX(PARAMETROS_CULTURAS!$L$6:$L$28,$P2268)-INDEX(PARAMETROS_CULTURAS!$K$6:$K$28,$P2268))*($O2268-INDEX(PARAMETROS_CULTURAS!$F$6:$F$28,$P2268))/MAX(INDEX(PARAMETROS_CULTURAS!$G$6:$G$28,$P2268),0.0001),IF($O2268&lt;=INDEX(PARAMETROS_CULTURAS!$F$6:$F$28,$P2268)+INDEX(PARAMETROS_CULTURAS!$G$6:$G$28,$P2268)+INDEX(PARAMETROS_CULTURAS!$H$6:$H$28,$P2268),INDEX(PARAMETROS_CULTURAS!$L$6:$L$28,$P2268),INDEX(PARAMETROS_CULTURAS!$L$6:$L$28,$P2268)+(INDEX(PARAMETROS_CULTURAS!$M$6:$M$28,$P2268)-INDEX(PARAMETROS_CULTURAS!$L$6:$L$28,$P2268))*($O2268-INDEX(PARAMETROS_CULTURAS!$F$6:$F$28,$P2268)-INDEX(PARAMETROS_CULTURAS!$G$6:$G$28,$P2268)-INDEX(PARAMETROS_CULTURAS!$H$6:$H$28,$P2268))/MAX(INDEX(PARAMETROS_CULTURAS!$I$6:$I$28,$P2268),0.0001)))))</f>
        <v>0</v>
      </c>
      <c r="S2268" s="18" t="n">
        <f aca="false">IFERROR(INDEX(SEMANAS!$H$6:$H$71,MATCH($B2268,SEMANAS!$B$6:$B$71,0)),0)</f>
        <v>33.6</v>
      </c>
      <c r="T2268" s="18" t="n">
        <f aca="false">$R2268*$S2268</f>
        <v>0</v>
      </c>
      <c r="U2268" s="18" t="n">
        <f aca="false">IFERROR(INDEX(SEMANAS!$I$6:$I$71,MATCH($B2268,SEMANAS!$B$6:$B$71,0)),0)</f>
        <v>45.15</v>
      </c>
      <c r="V2268" s="18" t="n">
        <f aca="false">IFERROR(INDEX(SEMANAS!$J$6:$J$71,MATCH($B2268,SEMANAS!$B$6:$B$71,0)),0)</f>
        <v>36.12</v>
      </c>
      <c r="W2268" s="18" t="n">
        <f aca="false">MAX(0,$T2268-$V2268)</f>
        <v>0</v>
      </c>
      <c r="X2268" s="19" t="n">
        <f aca="false">IFERROR(INDEX(CADASTRO_PIVOS!$K$6:$K$41,MATCH($E2268,CADASTRO_PIVOS!$B$6:$B$41,0)),EFICIENCIA_PADRAO)</f>
        <v>0.85</v>
      </c>
      <c r="Y2268" s="18" t="n">
        <f aca="false">IF($X2268&lt;=0,0,$W2268/$X2268)</f>
        <v>0</v>
      </c>
      <c r="Z2268" s="16" t="n">
        <f aca="false">$Y2268*$H2268*MM_PARA_M3_HA</f>
        <v>0</v>
      </c>
      <c r="AA2268" s="18" t="n">
        <f aca="false">IFERROR(INDEX(CADASTRO_PIVOS!$I$6:$I$41,MATCH($E2268,CADASTRO_PIVOS!$B$6:$B$41,0)),0)</f>
        <v>614.285714285714</v>
      </c>
      <c r="AB2268" s="18" t="n">
        <f aca="false">IF($Z2268&lt;=0,0,$Z2268/$AA2268)</f>
        <v>0</v>
      </c>
      <c r="AC2268" s="16" t="n">
        <f aca="false">IFERROR(INDEX(SEMANAS!$K$6:$K$71,MATCH($B2268,SEMANAS!$B$6:$B$71,0)),0)</f>
        <v>147</v>
      </c>
      <c r="AD2268" s="19" t="n">
        <f aca="false">IF($AC2268&lt;=0,0,$AB2268/$AC2268)</f>
        <v>0</v>
      </c>
      <c r="AE2268" s="8" t="str">
        <f aca="false">IF($K2268="SEM CULTURA","SEM CULTURA",IF($AA2268&lt;=0,"DADO PENDENTE",IF($AD2268&gt;LIMITE_CRITICO,"INVIAVEL",IF($AD2268&gt;LIMITE_ATENCAO,"CRITICO",IF($AD2268&gt;LIMITE_CONFORTAVEL,"ATENCAO","OK")))))</f>
        <v>SEM CULTURA</v>
      </c>
      <c r="AF2268" s="8" t="str">
        <f aca="false">$B2268&amp;"|"&amp;TEXT($AD2268,"0.000000")</f>
        <v>19|0.000000</v>
      </c>
      <c r="AG2268" s="18" t="n">
        <f aca="false">IF($K2268="SEM CULTURA",0,$T2268*$H2268)</f>
        <v>0</v>
      </c>
      <c r="AH2268" s="18" t="n">
        <f aca="false">IF($K2268="SEM CULTURA",0,$V2268*$H2268)</f>
        <v>0</v>
      </c>
      <c r="AI2268" s="18" t="n">
        <f aca="false">IF($K2268="SEM CULTURA",0,$W2268*$H2268)</f>
        <v>0</v>
      </c>
      <c r="AJ2268" s="18" t="n">
        <f aca="false">IF($K2268="SEM CULTURA",0,$S2268*$H2268)</f>
        <v>0</v>
      </c>
      <c r="AK2268" s="8" t="str">
        <f aca="false">$E2268&amp;"|"&amp;TEXT($AD2268,"0.000000")</f>
        <v>PV 136|0.000000</v>
      </c>
    </row>
    <row r="2269" customFormat="false" ht="15" hidden="false" customHeight="false" outlineLevel="0" collapsed="false">
      <c r="B2269" s="16" t="n">
        <v>20</v>
      </c>
      <c r="C2269" s="17" t="n">
        <f aca="false">DATA_INICIO_SAFRA+($B2269-1)*DIAS_POR_SEMANA</f>
        <v>46398</v>
      </c>
      <c r="D2269" s="17" t="n">
        <f aca="false">$C2269+DIAS_POR_SEMANA-1</f>
        <v>46404</v>
      </c>
      <c r="E2269" s="15" t="s">
        <v>293</v>
      </c>
      <c r="F2269" s="8" t="str">
        <f aca="false">IFERROR(INDEX(CADASTRO_PIVOS!$C$6:$C$41,MATCH($E2269,CADASTRO_PIVOS!$B$6:$B$41,0)),"?")</f>
        <v>RM08</v>
      </c>
      <c r="G2269" s="8" t="str">
        <f aca="false">IFERROR(INDEX(CADASTRO_PIVOS!$D$6:$D$41,MATCH($E2269,CADASTRO_PIVOS!$B$6:$B$41,0)),"?")</f>
        <v>TR08</v>
      </c>
      <c r="H2269" s="20" t="n">
        <f aca="false">IFERROR(INDEX(CADASTRO_PIVOS!$E$6:$E$41,MATCH($E2269,CADASTRO_PIVOS!$B$6:$B$41,0)),0)</f>
        <v>86</v>
      </c>
      <c r="I2269" s="16" t="n">
        <f aca="false">IFERROR(SUMIFS(ROTACAO_RDM!$B$6:$B$71,ROTACAO_RDM!$D$6:$D$71,$E2269,ROTACAO_RDM!$I$6:$I$71,"&lt;="&amp;$C2269+INT(DIAS_POR_SEMANA/2),ROTACAO_RDM!$J$6:$J$71,"&gt;="&amp;$C2269+INT(DIAS_POR_SEMANA/2)),0)</f>
        <v>0</v>
      </c>
      <c r="J2269" s="16" t="n">
        <f aca="false">IFERROR(MATCH($I2269,ROTACAO_RDM!$B$6:$B$71,0),0)</f>
        <v>0</v>
      </c>
      <c r="K2269" s="8" t="str">
        <f aca="false">IF($J2269=0,"SEM CULTURA",INDEX(ROTACAO_RDM!$F$6:$F$71,$J2269))</f>
        <v>SEM CULTURA</v>
      </c>
      <c r="L2269" s="8" t="str">
        <f aca="false">IF($J2269=0,"",INDEX(ROTACAO_RDM!$G$6:$G$71,$J2269))</f>
        <v/>
      </c>
      <c r="M2269" s="17" t="str">
        <f aca="false">IF($J2269=0,"",INDEX(ROTACAO_RDM!$I$6:$I$71,$J2269))</f>
        <v/>
      </c>
      <c r="N2269" s="16" t="n">
        <f aca="false">IF($J2269=0,0,MAX(0,$C2269+INT(DIAS_POR_SEMANA/2)-INDEX(ROTACAO_RDM!$I$6:$I$71,$J2269)))</f>
        <v>0</v>
      </c>
      <c r="O2269" s="19" t="n">
        <f aca="false">IF($J2269=0,0,MIN(1,$N2269/MAX(1,INDEX(ROTACAO_RDM!$K$6:$K$71,$J2269))))</f>
        <v>0</v>
      </c>
      <c r="P2269" s="16" t="n">
        <f aca="false">IF($J2269=0,0,IFERROR(MATCH(INDEX(ROTACAO_RDM!$N$6:$N$71,$J2269),PARAMETROS_CULTURAS!$B$6:$B$28,0),0))</f>
        <v>0</v>
      </c>
      <c r="Q2269" s="8" t="str">
        <f aca="false">IF($P2269=0,"-",IF($O2269&lt;=INDEX(PARAMETROS_CULTURAS!$F$6:$F$28,$P2269),"INICIAL",IF($O2269&lt;=INDEX(PARAMETROS_CULTURAS!$F$6:$F$28,$P2269)+INDEX(PARAMETROS_CULTURAS!$G$6:$G$28,$P2269),"DESENVOLVIMENTO",IF($O2269&lt;=INDEX(PARAMETROS_CULTURAS!$F$6:$F$28,$P2269)+INDEX(PARAMETROS_CULTURAS!$G$6:$G$28,$P2269)+INDEX(PARAMETROS_CULTURAS!$H$6:$H$28,$P2269),"MEDIA","FINAL"))))</f>
        <v>-</v>
      </c>
      <c r="R2269" s="24" t="n">
        <f aca="false">IF($P2269=0,0,IF($O2269&lt;=INDEX(PARAMETROS_CULTURAS!$F$6:$F$28,$P2269),INDEX(PARAMETROS_CULTURAS!$K$6:$K$28,$P2269),IF($O2269&lt;=INDEX(PARAMETROS_CULTURAS!$F$6:$F$28,$P2269)+INDEX(PARAMETROS_CULTURAS!$G$6:$G$28,$P2269),INDEX(PARAMETROS_CULTURAS!$K$6:$K$28,$P2269)+(INDEX(PARAMETROS_CULTURAS!$L$6:$L$28,$P2269)-INDEX(PARAMETROS_CULTURAS!$K$6:$K$28,$P2269))*($O2269-INDEX(PARAMETROS_CULTURAS!$F$6:$F$28,$P2269))/MAX(INDEX(PARAMETROS_CULTURAS!$G$6:$G$28,$P2269),0.0001),IF($O2269&lt;=INDEX(PARAMETROS_CULTURAS!$F$6:$F$28,$P2269)+INDEX(PARAMETROS_CULTURAS!$G$6:$G$28,$P2269)+INDEX(PARAMETROS_CULTURAS!$H$6:$H$28,$P2269),INDEX(PARAMETROS_CULTURAS!$L$6:$L$28,$P2269),INDEX(PARAMETROS_CULTURAS!$L$6:$L$28,$P2269)+(INDEX(PARAMETROS_CULTURAS!$M$6:$M$28,$P2269)-INDEX(PARAMETROS_CULTURAS!$L$6:$L$28,$P2269))*($O2269-INDEX(PARAMETROS_CULTURAS!$F$6:$F$28,$P2269)-INDEX(PARAMETROS_CULTURAS!$G$6:$G$28,$P2269)-INDEX(PARAMETROS_CULTURAS!$H$6:$H$28,$P2269))/MAX(INDEX(PARAMETROS_CULTURAS!$I$6:$I$28,$P2269),0.0001)))))</f>
        <v>0</v>
      </c>
      <c r="S2269" s="18" t="n">
        <f aca="false">IFERROR(INDEX(SEMANAS!$H$6:$H$71,MATCH($B2269,SEMANAS!$B$6:$B$71,0)),0)</f>
        <v>33.6</v>
      </c>
      <c r="T2269" s="18" t="n">
        <f aca="false">$R2269*$S2269</f>
        <v>0</v>
      </c>
      <c r="U2269" s="18" t="n">
        <f aca="false">IFERROR(INDEX(SEMANAS!$I$6:$I$71,MATCH($B2269,SEMANAS!$B$6:$B$71,0)),0)</f>
        <v>45.15</v>
      </c>
      <c r="V2269" s="18" t="n">
        <f aca="false">IFERROR(INDEX(SEMANAS!$J$6:$J$71,MATCH($B2269,SEMANAS!$B$6:$B$71,0)),0)</f>
        <v>36.12</v>
      </c>
      <c r="W2269" s="18" t="n">
        <f aca="false">MAX(0,$T2269-$V2269)</f>
        <v>0</v>
      </c>
      <c r="X2269" s="19" t="n">
        <f aca="false">IFERROR(INDEX(CADASTRO_PIVOS!$K$6:$K$41,MATCH($E2269,CADASTRO_PIVOS!$B$6:$B$41,0)),EFICIENCIA_PADRAO)</f>
        <v>0.85</v>
      </c>
      <c r="Y2269" s="18" t="n">
        <f aca="false">IF($X2269&lt;=0,0,$W2269/$X2269)</f>
        <v>0</v>
      </c>
      <c r="Z2269" s="16" t="n">
        <f aca="false">$Y2269*$H2269*MM_PARA_M3_HA</f>
        <v>0</v>
      </c>
      <c r="AA2269" s="18" t="n">
        <f aca="false">IFERROR(INDEX(CADASTRO_PIVOS!$I$6:$I$41,MATCH($E2269,CADASTRO_PIVOS!$B$6:$B$41,0)),0)</f>
        <v>614.285714285714</v>
      </c>
      <c r="AB2269" s="18" t="n">
        <f aca="false">IF($Z2269&lt;=0,0,$Z2269/$AA2269)</f>
        <v>0</v>
      </c>
      <c r="AC2269" s="16" t="n">
        <f aca="false">IFERROR(INDEX(SEMANAS!$K$6:$K$71,MATCH($B2269,SEMANAS!$B$6:$B$71,0)),0)</f>
        <v>147</v>
      </c>
      <c r="AD2269" s="19" t="n">
        <f aca="false">IF($AC2269&lt;=0,0,$AB2269/$AC2269)</f>
        <v>0</v>
      </c>
      <c r="AE2269" s="8" t="str">
        <f aca="false">IF($K2269="SEM CULTURA","SEM CULTURA",IF($AA2269&lt;=0,"DADO PENDENTE",IF($AD2269&gt;LIMITE_CRITICO,"INVIAVEL",IF($AD2269&gt;LIMITE_ATENCAO,"CRITICO",IF($AD2269&gt;LIMITE_CONFORTAVEL,"ATENCAO","OK")))))</f>
        <v>SEM CULTURA</v>
      </c>
      <c r="AF2269" s="8" t="str">
        <f aca="false">$B2269&amp;"|"&amp;TEXT($AD2269,"0.000000")</f>
        <v>20|0.000000</v>
      </c>
      <c r="AG2269" s="18" t="n">
        <f aca="false">IF($K2269="SEM CULTURA",0,$T2269*$H2269)</f>
        <v>0</v>
      </c>
      <c r="AH2269" s="18" t="n">
        <f aca="false">IF($K2269="SEM CULTURA",0,$V2269*$H2269)</f>
        <v>0</v>
      </c>
      <c r="AI2269" s="18" t="n">
        <f aca="false">IF($K2269="SEM CULTURA",0,$W2269*$H2269)</f>
        <v>0</v>
      </c>
      <c r="AJ2269" s="18" t="n">
        <f aca="false">IF($K2269="SEM CULTURA",0,$S2269*$H2269)</f>
        <v>0</v>
      </c>
      <c r="AK2269" s="8" t="str">
        <f aca="false">$E2269&amp;"|"&amp;TEXT($AD2269,"0.000000")</f>
        <v>PV 136|0.000000</v>
      </c>
    </row>
    <row r="2270" customFormat="false" ht="15" hidden="false" customHeight="false" outlineLevel="0" collapsed="false">
      <c r="B2270" s="16" t="n">
        <v>21</v>
      </c>
      <c r="C2270" s="17" t="n">
        <f aca="false">DATA_INICIO_SAFRA+($B2270-1)*DIAS_POR_SEMANA</f>
        <v>46405</v>
      </c>
      <c r="D2270" s="17" t="n">
        <f aca="false">$C2270+DIAS_POR_SEMANA-1</f>
        <v>46411</v>
      </c>
      <c r="E2270" s="15" t="s">
        <v>293</v>
      </c>
      <c r="F2270" s="8" t="str">
        <f aca="false">IFERROR(INDEX(CADASTRO_PIVOS!$C$6:$C$41,MATCH($E2270,CADASTRO_PIVOS!$B$6:$B$41,0)),"?")</f>
        <v>RM08</v>
      </c>
      <c r="G2270" s="8" t="str">
        <f aca="false">IFERROR(INDEX(CADASTRO_PIVOS!$D$6:$D$41,MATCH($E2270,CADASTRO_PIVOS!$B$6:$B$41,0)),"?")</f>
        <v>TR08</v>
      </c>
      <c r="H2270" s="20" t="n">
        <f aca="false">IFERROR(INDEX(CADASTRO_PIVOS!$E$6:$E$41,MATCH($E2270,CADASTRO_PIVOS!$B$6:$B$41,0)),0)</f>
        <v>86</v>
      </c>
      <c r="I2270" s="16" t="n">
        <f aca="false">IFERROR(SUMIFS(ROTACAO_RDM!$B$6:$B$71,ROTACAO_RDM!$D$6:$D$71,$E2270,ROTACAO_RDM!$I$6:$I$71,"&lt;="&amp;$C2270+INT(DIAS_POR_SEMANA/2),ROTACAO_RDM!$J$6:$J$71,"&gt;="&amp;$C2270+INT(DIAS_POR_SEMANA/2)),0)</f>
        <v>0</v>
      </c>
      <c r="J2270" s="16" t="n">
        <f aca="false">IFERROR(MATCH($I2270,ROTACAO_RDM!$B$6:$B$71,0),0)</f>
        <v>0</v>
      </c>
      <c r="K2270" s="8" t="str">
        <f aca="false">IF($J2270=0,"SEM CULTURA",INDEX(ROTACAO_RDM!$F$6:$F$71,$J2270))</f>
        <v>SEM CULTURA</v>
      </c>
      <c r="L2270" s="8" t="str">
        <f aca="false">IF($J2270=0,"",INDEX(ROTACAO_RDM!$G$6:$G$71,$J2270))</f>
        <v/>
      </c>
      <c r="M2270" s="17" t="str">
        <f aca="false">IF($J2270=0,"",INDEX(ROTACAO_RDM!$I$6:$I$71,$J2270))</f>
        <v/>
      </c>
      <c r="N2270" s="16" t="n">
        <f aca="false">IF($J2270=0,0,MAX(0,$C2270+INT(DIAS_POR_SEMANA/2)-INDEX(ROTACAO_RDM!$I$6:$I$71,$J2270)))</f>
        <v>0</v>
      </c>
      <c r="O2270" s="19" t="n">
        <f aca="false">IF($J2270=0,0,MIN(1,$N2270/MAX(1,INDEX(ROTACAO_RDM!$K$6:$K$71,$J2270))))</f>
        <v>0</v>
      </c>
      <c r="P2270" s="16" t="n">
        <f aca="false">IF($J2270=0,0,IFERROR(MATCH(INDEX(ROTACAO_RDM!$N$6:$N$71,$J2270),PARAMETROS_CULTURAS!$B$6:$B$28,0),0))</f>
        <v>0</v>
      </c>
      <c r="Q2270" s="8" t="str">
        <f aca="false">IF($P2270=0,"-",IF($O2270&lt;=INDEX(PARAMETROS_CULTURAS!$F$6:$F$28,$P2270),"INICIAL",IF($O2270&lt;=INDEX(PARAMETROS_CULTURAS!$F$6:$F$28,$P2270)+INDEX(PARAMETROS_CULTURAS!$G$6:$G$28,$P2270),"DESENVOLVIMENTO",IF($O2270&lt;=INDEX(PARAMETROS_CULTURAS!$F$6:$F$28,$P2270)+INDEX(PARAMETROS_CULTURAS!$G$6:$G$28,$P2270)+INDEX(PARAMETROS_CULTURAS!$H$6:$H$28,$P2270),"MEDIA","FINAL"))))</f>
        <v>-</v>
      </c>
      <c r="R2270" s="24" t="n">
        <f aca="false">IF($P2270=0,0,IF($O2270&lt;=INDEX(PARAMETROS_CULTURAS!$F$6:$F$28,$P2270),INDEX(PARAMETROS_CULTURAS!$K$6:$K$28,$P2270),IF($O2270&lt;=INDEX(PARAMETROS_CULTURAS!$F$6:$F$28,$P2270)+INDEX(PARAMETROS_CULTURAS!$G$6:$G$28,$P2270),INDEX(PARAMETROS_CULTURAS!$K$6:$K$28,$P2270)+(INDEX(PARAMETROS_CULTURAS!$L$6:$L$28,$P2270)-INDEX(PARAMETROS_CULTURAS!$K$6:$K$28,$P2270))*($O2270-INDEX(PARAMETROS_CULTURAS!$F$6:$F$28,$P2270))/MAX(INDEX(PARAMETROS_CULTURAS!$G$6:$G$28,$P2270),0.0001),IF($O2270&lt;=INDEX(PARAMETROS_CULTURAS!$F$6:$F$28,$P2270)+INDEX(PARAMETROS_CULTURAS!$G$6:$G$28,$P2270)+INDEX(PARAMETROS_CULTURAS!$H$6:$H$28,$P2270),INDEX(PARAMETROS_CULTURAS!$L$6:$L$28,$P2270),INDEX(PARAMETROS_CULTURAS!$L$6:$L$28,$P2270)+(INDEX(PARAMETROS_CULTURAS!$M$6:$M$28,$P2270)-INDEX(PARAMETROS_CULTURAS!$L$6:$L$28,$P2270))*($O2270-INDEX(PARAMETROS_CULTURAS!$F$6:$F$28,$P2270)-INDEX(PARAMETROS_CULTURAS!$G$6:$G$28,$P2270)-INDEX(PARAMETROS_CULTURAS!$H$6:$H$28,$P2270))/MAX(INDEX(PARAMETROS_CULTURAS!$I$6:$I$28,$P2270),0.0001)))))</f>
        <v>0</v>
      </c>
      <c r="S2270" s="18" t="n">
        <f aca="false">IFERROR(INDEX(SEMANAS!$H$6:$H$71,MATCH($B2270,SEMANAS!$B$6:$B$71,0)),0)</f>
        <v>33.6</v>
      </c>
      <c r="T2270" s="18" t="n">
        <f aca="false">$R2270*$S2270</f>
        <v>0</v>
      </c>
      <c r="U2270" s="18" t="n">
        <f aca="false">IFERROR(INDEX(SEMANAS!$I$6:$I$71,MATCH($B2270,SEMANAS!$B$6:$B$71,0)),0)</f>
        <v>45.15</v>
      </c>
      <c r="V2270" s="18" t="n">
        <f aca="false">IFERROR(INDEX(SEMANAS!$J$6:$J$71,MATCH($B2270,SEMANAS!$B$6:$B$71,0)),0)</f>
        <v>36.12</v>
      </c>
      <c r="W2270" s="18" t="n">
        <f aca="false">MAX(0,$T2270-$V2270)</f>
        <v>0</v>
      </c>
      <c r="X2270" s="19" t="n">
        <f aca="false">IFERROR(INDEX(CADASTRO_PIVOS!$K$6:$K$41,MATCH($E2270,CADASTRO_PIVOS!$B$6:$B$41,0)),EFICIENCIA_PADRAO)</f>
        <v>0.85</v>
      </c>
      <c r="Y2270" s="18" t="n">
        <f aca="false">IF($X2270&lt;=0,0,$W2270/$X2270)</f>
        <v>0</v>
      </c>
      <c r="Z2270" s="16" t="n">
        <f aca="false">$Y2270*$H2270*MM_PARA_M3_HA</f>
        <v>0</v>
      </c>
      <c r="AA2270" s="18" t="n">
        <f aca="false">IFERROR(INDEX(CADASTRO_PIVOS!$I$6:$I$41,MATCH($E2270,CADASTRO_PIVOS!$B$6:$B$41,0)),0)</f>
        <v>614.285714285714</v>
      </c>
      <c r="AB2270" s="18" t="n">
        <f aca="false">IF($Z2270&lt;=0,0,$Z2270/$AA2270)</f>
        <v>0</v>
      </c>
      <c r="AC2270" s="16" t="n">
        <f aca="false">IFERROR(INDEX(SEMANAS!$K$6:$K$71,MATCH($B2270,SEMANAS!$B$6:$B$71,0)),0)</f>
        <v>147</v>
      </c>
      <c r="AD2270" s="19" t="n">
        <f aca="false">IF($AC2270&lt;=0,0,$AB2270/$AC2270)</f>
        <v>0</v>
      </c>
      <c r="AE2270" s="8" t="str">
        <f aca="false">IF($K2270="SEM CULTURA","SEM CULTURA",IF($AA2270&lt;=0,"DADO PENDENTE",IF($AD2270&gt;LIMITE_CRITICO,"INVIAVEL",IF($AD2270&gt;LIMITE_ATENCAO,"CRITICO",IF($AD2270&gt;LIMITE_CONFORTAVEL,"ATENCAO","OK")))))</f>
        <v>SEM CULTURA</v>
      </c>
      <c r="AF2270" s="8" t="str">
        <f aca="false">$B2270&amp;"|"&amp;TEXT($AD2270,"0.000000")</f>
        <v>21|0.000000</v>
      </c>
      <c r="AG2270" s="18" t="n">
        <f aca="false">IF($K2270="SEM CULTURA",0,$T2270*$H2270)</f>
        <v>0</v>
      </c>
      <c r="AH2270" s="18" t="n">
        <f aca="false">IF($K2270="SEM CULTURA",0,$V2270*$H2270)</f>
        <v>0</v>
      </c>
      <c r="AI2270" s="18" t="n">
        <f aca="false">IF($K2270="SEM CULTURA",0,$W2270*$H2270)</f>
        <v>0</v>
      </c>
      <c r="AJ2270" s="18" t="n">
        <f aca="false">IF($K2270="SEM CULTURA",0,$S2270*$H2270)</f>
        <v>0</v>
      </c>
      <c r="AK2270" s="8" t="str">
        <f aca="false">$E2270&amp;"|"&amp;TEXT($AD2270,"0.000000")</f>
        <v>PV 136|0.000000</v>
      </c>
    </row>
    <row r="2271" customFormat="false" ht="15" hidden="false" customHeight="false" outlineLevel="0" collapsed="false">
      <c r="B2271" s="16" t="n">
        <v>22</v>
      </c>
      <c r="C2271" s="17" t="n">
        <f aca="false">DATA_INICIO_SAFRA+($B2271-1)*DIAS_POR_SEMANA</f>
        <v>46412</v>
      </c>
      <c r="D2271" s="17" t="n">
        <f aca="false">$C2271+DIAS_POR_SEMANA-1</f>
        <v>46418</v>
      </c>
      <c r="E2271" s="15" t="s">
        <v>293</v>
      </c>
      <c r="F2271" s="8" t="str">
        <f aca="false">IFERROR(INDEX(CADASTRO_PIVOS!$C$6:$C$41,MATCH($E2271,CADASTRO_PIVOS!$B$6:$B$41,0)),"?")</f>
        <v>RM08</v>
      </c>
      <c r="G2271" s="8" t="str">
        <f aca="false">IFERROR(INDEX(CADASTRO_PIVOS!$D$6:$D$41,MATCH($E2271,CADASTRO_PIVOS!$B$6:$B$41,0)),"?")</f>
        <v>TR08</v>
      </c>
      <c r="H2271" s="20" t="n">
        <f aca="false">IFERROR(INDEX(CADASTRO_PIVOS!$E$6:$E$41,MATCH($E2271,CADASTRO_PIVOS!$B$6:$B$41,0)),0)</f>
        <v>86</v>
      </c>
      <c r="I2271" s="16" t="n">
        <f aca="false">IFERROR(SUMIFS(ROTACAO_RDM!$B$6:$B$71,ROTACAO_RDM!$D$6:$D$71,$E2271,ROTACAO_RDM!$I$6:$I$71,"&lt;="&amp;$C2271+INT(DIAS_POR_SEMANA/2),ROTACAO_RDM!$J$6:$J$71,"&gt;="&amp;$C2271+INT(DIAS_POR_SEMANA/2)),0)</f>
        <v>0</v>
      </c>
      <c r="J2271" s="16" t="n">
        <f aca="false">IFERROR(MATCH($I2271,ROTACAO_RDM!$B$6:$B$71,0),0)</f>
        <v>0</v>
      </c>
      <c r="K2271" s="8" t="str">
        <f aca="false">IF($J2271=0,"SEM CULTURA",INDEX(ROTACAO_RDM!$F$6:$F$71,$J2271))</f>
        <v>SEM CULTURA</v>
      </c>
      <c r="L2271" s="8" t="str">
        <f aca="false">IF($J2271=0,"",INDEX(ROTACAO_RDM!$G$6:$G$71,$J2271))</f>
        <v/>
      </c>
      <c r="M2271" s="17" t="str">
        <f aca="false">IF($J2271=0,"",INDEX(ROTACAO_RDM!$I$6:$I$71,$J2271))</f>
        <v/>
      </c>
      <c r="N2271" s="16" t="n">
        <f aca="false">IF($J2271=0,0,MAX(0,$C2271+INT(DIAS_POR_SEMANA/2)-INDEX(ROTACAO_RDM!$I$6:$I$71,$J2271)))</f>
        <v>0</v>
      </c>
      <c r="O2271" s="19" t="n">
        <f aca="false">IF($J2271=0,0,MIN(1,$N2271/MAX(1,INDEX(ROTACAO_RDM!$K$6:$K$71,$J2271))))</f>
        <v>0</v>
      </c>
      <c r="P2271" s="16" t="n">
        <f aca="false">IF($J2271=0,0,IFERROR(MATCH(INDEX(ROTACAO_RDM!$N$6:$N$71,$J2271),PARAMETROS_CULTURAS!$B$6:$B$28,0),0))</f>
        <v>0</v>
      </c>
      <c r="Q2271" s="8" t="str">
        <f aca="false">IF($P2271=0,"-",IF($O2271&lt;=INDEX(PARAMETROS_CULTURAS!$F$6:$F$28,$P2271),"INICIAL",IF($O2271&lt;=INDEX(PARAMETROS_CULTURAS!$F$6:$F$28,$P2271)+INDEX(PARAMETROS_CULTURAS!$G$6:$G$28,$P2271),"DESENVOLVIMENTO",IF($O2271&lt;=INDEX(PARAMETROS_CULTURAS!$F$6:$F$28,$P2271)+INDEX(PARAMETROS_CULTURAS!$G$6:$G$28,$P2271)+INDEX(PARAMETROS_CULTURAS!$H$6:$H$28,$P2271),"MEDIA","FINAL"))))</f>
        <v>-</v>
      </c>
      <c r="R2271" s="24" t="n">
        <f aca="false">IF($P2271=0,0,IF($O2271&lt;=INDEX(PARAMETROS_CULTURAS!$F$6:$F$28,$P2271),INDEX(PARAMETROS_CULTURAS!$K$6:$K$28,$P2271),IF($O2271&lt;=INDEX(PARAMETROS_CULTURAS!$F$6:$F$28,$P2271)+INDEX(PARAMETROS_CULTURAS!$G$6:$G$28,$P2271),INDEX(PARAMETROS_CULTURAS!$K$6:$K$28,$P2271)+(INDEX(PARAMETROS_CULTURAS!$L$6:$L$28,$P2271)-INDEX(PARAMETROS_CULTURAS!$K$6:$K$28,$P2271))*($O2271-INDEX(PARAMETROS_CULTURAS!$F$6:$F$28,$P2271))/MAX(INDEX(PARAMETROS_CULTURAS!$G$6:$G$28,$P2271),0.0001),IF($O2271&lt;=INDEX(PARAMETROS_CULTURAS!$F$6:$F$28,$P2271)+INDEX(PARAMETROS_CULTURAS!$G$6:$G$28,$P2271)+INDEX(PARAMETROS_CULTURAS!$H$6:$H$28,$P2271),INDEX(PARAMETROS_CULTURAS!$L$6:$L$28,$P2271),INDEX(PARAMETROS_CULTURAS!$L$6:$L$28,$P2271)+(INDEX(PARAMETROS_CULTURAS!$M$6:$M$28,$P2271)-INDEX(PARAMETROS_CULTURAS!$L$6:$L$28,$P2271))*($O2271-INDEX(PARAMETROS_CULTURAS!$F$6:$F$28,$P2271)-INDEX(PARAMETROS_CULTURAS!$G$6:$G$28,$P2271)-INDEX(PARAMETROS_CULTURAS!$H$6:$H$28,$P2271))/MAX(INDEX(PARAMETROS_CULTURAS!$I$6:$I$28,$P2271),0.0001)))))</f>
        <v>0</v>
      </c>
      <c r="S2271" s="18" t="n">
        <f aca="false">IFERROR(INDEX(SEMANAS!$H$6:$H$71,MATCH($B2271,SEMANAS!$B$6:$B$71,0)),0)</f>
        <v>33.6</v>
      </c>
      <c r="T2271" s="18" t="n">
        <f aca="false">$R2271*$S2271</f>
        <v>0</v>
      </c>
      <c r="U2271" s="18" t="n">
        <f aca="false">IFERROR(INDEX(SEMANAS!$I$6:$I$71,MATCH($B2271,SEMANAS!$B$6:$B$71,0)),0)</f>
        <v>45.15</v>
      </c>
      <c r="V2271" s="18" t="n">
        <f aca="false">IFERROR(INDEX(SEMANAS!$J$6:$J$71,MATCH($B2271,SEMANAS!$B$6:$B$71,0)),0)</f>
        <v>36.12</v>
      </c>
      <c r="W2271" s="18" t="n">
        <f aca="false">MAX(0,$T2271-$V2271)</f>
        <v>0</v>
      </c>
      <c r="X2271" s="19" t="n">
        <f aca="false">IFERROR(INDEX(CADASTRO_PIVOS!$K$6:$K$41,MATCH($E2271,CADASTRO_PIVOS!$B$6:$B$41,0)),EFICIENCIA_PADRAO)</f>
        <v>0.85</v>
      </c>
      <c r="Y2271" s="18" t="n">
        <f aca="false">IF($X2271&lt;=0,0,$W2271/$X2271)</f>
        <v>0</v>
      </c>
      <c r="Z2271" s="16" t="n">
        <f aca="false">$Y2271*$H2271*MM_PARA_M3_HA</f>
        <v>0</v>
      </c>
      <c r="AA2271" s="18" t="n">
        <f aca="false">IFERROR(INDEX(CADASTRO_PIVOS!$I$6:$I$41,MATCH($E2271,CADASTRO_PIVOS!$B$6:$B$41,0)),0)</f>
        <v>614.285714285714</v>
      </c>
      <c r="AB2271" s="18" t="n">
        <f aca="false">IF($Z2271&lt;=0,0,$Z2271/$AA2271)</f>
        <v>0</v>
      </c>
      <c r="AC2271" s="16" t="n">
        <f aca="false">IFERROR(INDEX(SEMANAS!$K$6:$K$71,MATCH($B2271,SEMANAS!$B$6:$B$71,0)),0)</f>
        <v>147</v>
      </c>
      <c r="AD2271" s="19" t="n">
        <f aca="false">IF($AC2271&lt;=0,0,$AB2271/$AC2271)</f>
        <v>0</v>
      </c>
      <c r="AE2271" s="8" t="str">
        <f aca="false">IF($K2271="SEM CULTURA","SEM CULTURA",IF($AA2271&lt;=0,"DADO PENDENTE",IF($AD2271&gt;LIMITE_CRITICO,"INVIAVEL",IF($AD2271&gt;LIMITE_ATENCAO,"CRITICO",IF($AD2271&gt;LIMITE_CONFORTAVEL,"ATENCAO","OK")))))</f>
        <v>SEM CULTURA</v>
      </c>
      <c r="AF2271" s="8" t="str">
        <f aca="false">$B2271&amp;"|"&amp;TEXT($AD2271,"0.000000")</f>
        <v>22|0.000000</v>
      </c>
      <c r="AG2271" s="18" t="n">
        <f aca="false">IF($K2271="SEM CULTURA",0,$T2271*$H2271)</f>
        <v>0</v>
      </c>
      <c r="AH2271" s="18" t="n">
        <f aca="false">IF($K2271="SEM CULTURA",0,$V2271*$H2271)</f>
        <v>0</v>
      </c>
      <c r="AI2271" s="18" t="n">
        <f aca="false">IF($K2271="SEM CULTURA",0,$W2271*$H2271)</f>
        <v>0</v>
      </c>
      <c r="AJ2271" s="18" t="n">
        <f aca="false">IF($K2271="SEM CULTURA",0,$S2271*$H2271)</f>
        <v>0</v>
      </c>
      <c r="AK2271" s="8" t="str">
        <f aca="false">$E2271&amp;"|"&amp;TEXT($AD2271,"0.000000")</f>
        <v>PV 136|0.000000</v>
      </c>
    </row>
    <row r="2272" customFormat="false" ht="15" hidden="false" customHeight="false" outlineLevel="0" collapsed="false">
      <c r="B2272" s="16" t="n">
        <v>23</v>
      </c>
      <c r="C2272" s="17" t="n">
        <f aca="false">DATA_INICIO_SAFRA+($B2272-1)*DIAS_POR_SEMANA</f>
        <v>46419</v>
      </c>
      <c r="D2272" s="17" t="n">
        <f aca="false">$C2272+DIAS_POR_SEMANA-1</f>
        <v>46425</v>
      </c>
      <c r="E2272" s="15" t="s">
        <v>293</v>
      </c>
      <c r="F2272" s="8" t="str">
        <f aca="false">IFERROR(INDEX(CADASTRO_PIVOS!$C$6:$C$41,MATCH($E2272,CADASTRO_PIVOS!$B$6:$B$41,0)),"?")</f>
        <v>RM08</v>
      </c>
      <c r="G2272" s="8" t="str">
        <f aca="false">IFERROR(INDEX(CADASTRO_PIVOS!$D$6:$D$41,MATCH($E2272,CADASTRO_PIVOS!$B$6:$B$41,0)),"?")</f>
        <v>TR08</v>
      </c>
      <c r="H2272" s="20" t="n">
        <f aca="false">IFERROR(INDEX(CADASTRO_PIVOS!$E$6:$E$41,MATCH($E2272,CADASTRO_PIVOS!$B$6:$B$41,0)),0)</f>
        <v>86</v>
      </c>
      <c r="I2272" s="16" t="n">
        <f aca="false">IFERROR(SUMIFS(ROTACAO_RDM!$B$6:$B$71,ROTACAO_RDM!$D$6:$D$71,$E2272,ROTACAO_RDM!$I$6:$I$71,"&lt;="&amp;$C2272+INT(DIAS_POR_SEMANA/2),ROTACAO_RDM!$J$6:$J$71,"&gt;="&amp;$C2272+INT(DIAS_POR_SEMANA/2)),0)</f>
        <v>0</v>
      </c>
      <c r="J2272" s="16" t="n">
        <f aca="false">IFERROR(MATCH($I2272,ROTACAO_RDM!$B$6:$B$71,0),0)</f>
        <v>0</v>
      </c>
      <c r="K2272" s="8" t="str">
        <f aca="false">IF($J2272=0,"SEM CULTURA",INDEX(ROTACAO_RDM!$F$6:$F$71,$J2272))</f>
        <v>SEM CULTURA</v>
      </c>
      <c r="L2272" s="8" t="str">
        <f aca="false">IF($J2272=0,"",INDEX(ROTACAO_RDM!$G$6:$G$71,$J2272))</f>
        <v/>
      </c>
      <c r="M2272" s="17" t="str">
        <f aca="false">IF($J2272=0,"",INDEX(ROTACAO_RDM!$I$6:$I$71,$J2272))</f>
        <v/>
      </c>
      <c r="N2272" s="16" t="n">
        <f aca="false">IF($J2272=0,0,MAX(0,$C2272+INT(DIAS_POR_SEMANA/2)-INDEX(ROTACAO_RDM!$I$6:$I$71,$J2272)))</f>
        <v>0</v>
      </c>
      <c r="O2272" s="19" t="n">
        <f aca="false">IF($J2272=0,0,MIN(1,$N2272/MAX(1,INDEX(ROTACAO_RDM!$K$6:$K$71,$J2272))))</f>
        <v>0</v>
      </c>
      <c r="P2272" s="16" t="n">
        <f aca="false">IF($J2272=0,0,IFERROR(MATCH(INDEX(ROTACAO_RDM!$N$6:$N$71,$J2272),PARAMETROS_CULTURAS!$B$6:$B$28,0),0))</f>
        <v>0</v>
      </c>
      <c r="Q2272" s="8" t="str">
        <f aca="false">IF($P2272=0,"-",IF($O2272&lt;=INDEX(PARAMETROS_CULTURAS!$F$6:$F$28,$P2272),"INICIAL",IF($O2272&lt;=INDEX(PARAMETROS_CULTURAS!$F$6:$F$28,$P2272)+INDEX(PARAMETROS_CULTURAS!$G$6:$G$28,$P2272),"DESENVOLVIMENTO",IF($O2272&lt;=INDEX(PARAMETROS_CULTURAS!$F$6:$F$28,$P2272)+INDEX(PARAMETROS_CULTURAS!$G$6:$G$28,$P2272)+INDEX(PARAMETROS_CULTURAS!$H$6:$H$28,$P2272),"MEDIA","FINAL"))))</f>
        <v>-</v>
      </c>
      <c r="R2272" s="24" t="n">
        <f aca="false">IF($P2272=0,0,IF($O2272&lt;=INDEX(PARAMETROS_CULTURAS!$F$6:$F$28,$P2272),INDEX(PARAMETROS_CULTURAS!$K$6:$K$28,$P2272),IF($O2272&lt;=INDEX(PARAMETROS_CULTURAS!$F$6:$F$28,$P2272)+INDEX(PARAMETROS_CULTURAS!$G$6:$G$28,$P2272),INDEX(PARAMETROS_CULTURAS!$K$6:$K$28,$P2272)+(INDEX(PARAMETROS_CULTURAS!$L$6:$L$28,$P2272)-INDEX(PARAMETROS_CULTURAS!$K$6:$K$28,$P2272))*($O2272-INDEX(PARAMETROS_CULTURAS!$F$6:$F$28,$P2272))/MAX(INDEX(PARAMETROS_CULTURAS!$G$6:$G$28,$P2272),0.0001),IF($O2272&lt;=INDEX(PARAMETROS_CULTURAS!$F$6:$F$28,$P2272)+INDEX(PARAMETROS_CULTURAS!$G$6:$G$28,$P2272)+INDEX(PARAMETROS_CULTURAS!$H$6:$H$28,$P2272),INDEX(PARAMETROS_CULTURAS!$L$6:$L$28,$P2272),INDEX(PARAMETROS_CULTURAS!$L$6:$L$28,$P2272)+(INDEX(PARAMETROS_CULTURAS!$M$6:$M$28,$P2272)-INDEX(PARAMETROS_CULTURAS!$L$6:$L$28,$P2272))*($O2272-INDEX(PARAMETROS_CULTURAS!$F$6:$F$28,$P2272)-INDEX(PARAMETROS_CULTURAS!$G$6:$G$28,$P2272)-INDEX(PARAMETROS_CULTURAS!$H$6:$H$28,$P2272))/MAX(INDEX(PARAMETROS_CULTURAS!$I$6:$I$28,$P2272),0.0001)))))</f>
        <v>0</v>
      </c>
      <c r="S2272" s="18" t="n">
        <f aca="false">IFERROR(INDEX(SEMANAS!$H$6:$H$71,MATCH($B2272,SEMANAS!$B$6:$B$71,0)),0)</f>
        <v>32.9</v>
      </c>
      <c r="T2272" s="18" t="n">
        <f aca="false">$R2272*$S2272</f>
        <v>0</v>
      </c>
      <c r="U2272" s="18" t="n">
        <f aca="false">IFERROR(INDEX(SEMANAS!$I$6:$I$71,MATCH($B2272,SEMANAS!$B$6:$B$71,0)),0)</f>
        <v>39.97</v>
      </c>
      <c r="V2272" s="18" t="n">
        <f aca="false">IFERROR(INDEX(SEMANAS!$J$6:$J$71,MATCH($B2272,SEMANAS!$B$6:$B$71,0)),0)</f>
        <v>31.976</v>
      </c>
      <c r="W2272" s="18" t="n">
        <f aca="false">MAX(0,$T2272-$V2272)</f>
        <v>0</v>
      </c>
      <c r="X2272" s="19" t="n">
        <f aca="false">IFERROR(INDEX(CADASTRO_PIVOS!$K$6:$K$41,MATCH($E2272,CADASTRO_PIVOS!$B$6:$B$41,0)),EFICIENCIA_PADRAO)</f>
        <v>0.85</v>
      </c>
      <c r="Y2272" s="18" t="n">
        <f aca="false">IF($X2272&lt;=0,0,$W2272/$X2272)</f>
        <v>0</v>
      </c>
      <c r="Z2272" s="16" t="n">
        <f aca="false">$Y2272*$H2272*MM_PARA_M3_HA</f>
        <v>0</v>
      </c>
      <c r="AA2272" s="18" t="n">
        <f aca="false">IFERROR(INDEX(CADASTRO_PIVOS!$I$6:$I$41,MATCH($E2272,CADASTRO_PIVOS!$B$6:$B$41,0)),0)</f>
        <v>614.285714285714</v>
      </c>
      <c r="AB2272" s="18" t="n">
        <f aca="false">IF($Z2272&lt;=0,0,$Z2272/$AA2272)</f>
        <v>0</v>
      </c>
      <c r="AC2272" s="16" t="n">
        <f aca="false">IFERROR(INDEX(SEMANAS!$K$6:$K$71,MATCH($B2272,SEMANAS!$B$6:$B$71,0)),0)</f>
        <v>147</v>
      </c>
      <c r="AD2272" s="19" t="n">
        <f aca="false">IF($AC2272&lt;=0,0,$AB2272/$AC2272)</f>
        <v>0</v>
      </c>
      <c r="AE2272" s="8" t="str">
        <f aca="false">IF($K2272="SEM CULTURA","SEM CULTURA",IF($AA2272&lt;=0,"DADO PENDENTE",IF($AD2272&gt;LIMITE_CRITICO,"INVIAVEL",IF($AD2272&gt;LIMITE_ATENCAO,"CRITICO",IF($AD2272&gt;LIMITE_CONFORTAVEL,"ATENCAO","OK")))))</f>
        <v>SEM CULTURA</v>
      </c>
      <c r="AF2272" s="8" t="str">
        <f aca="false">$B2272&amp;"|"&amp;TEXT($AD2272,"0.000000")</f>
        <v>23|0.000000</v>
      </c>
      <c r="AG2272" s="18" t="n">
        <f aca="false">IF($K2272="SEM CULTURA",0,$T2272*$H2272)</f>
        <v>0</v>
      </c>
      <c r="AH2272" s="18" t="n">
        <f aca="false">IF($K2272="SEM CULTURA",0,$V2272*$H2272)</f>
        <v>0</v>
      </c>
      <c r="AI2272" s="18" t="n">
        <f aca="false">IF($K2272="SEM CULTURA",0,$W2272*$H2272)</f>
        <v>0</v>
      </c>
      <c r="AJ2272" s="18" t="n">
        <f aca="false">IF($K2272="SEM CULTURA",0,$S2272*$H2272)</f>
        <v>0</v>
      </c>
      <c r="AK2272" s="8" t="str">
        <f aca="false">$E2272&amp;"|"&amp;TEXT($AD2272,"0.000000")</f>
        <v>PV 136|0.000000</v>
      </c>
    </row>
    <row r="2273" customFormat="false" ht="15" hidden="false" customHeight="false" outlineLevel="0" collapsed="false">
      <c r="B2273" s="16" t="n">
        <v>24</v>
      </c>
      <c r="C2273" s="17" t="n">
        <f aca="false">DATA_INICIO_SAFRA+($B2273-1)*DIAS_POR_SEMANA</f>
        <v>46426</v>
      </c>
      <c r="D2273" s="17" t="n">
        <f aca="false">$C2273+DIAS_POR_SEMANA-1</f>
        <v>46432</v>
      </c>
      <c r="E2273" s="15" t="s">
        <v>293</v>
      </c>
      <c r="F2273" s="8" t="str">
        <f aca="false">IFERROR(INDEX(CADASTRO_PIVOS!$C$6:$C$41,MATCH($E2273,CADASTRO_PIVOS!$B$6:$B$41,0)),"?")</f>
        <v>RM08</v>
      </c>
      <c r="G2273" s="8" t="str">
        <f aca="false">IFERROR(INDEX(CADASTRO_PIVOS!$D$6:$D$41,MATCH($E2273,CADASTRO_PIVOS!$B$6:$B$41,0)),"?")</f>
        <v>TR08</v>
      </c>
      <c r="H2273" s="20" t="n">
        <f aca="false">IFERROR(INDEX(CADASTRO_PIVOS!$E$6:$E$41,MATCH($E2273,CADASTRO_PIVOS!$B$6:$B$41,0)),0)</f>
        <v>86</v>
      </c>
      <c r="I2273" s="16" t="n">
        <f aca="false">IFERROR(SUMIFS(ROTACAO_RDM!$B$6:$B$71,ROTACAO_RDM!$D$6:$D$71,$E2273,ROTACAO_RDM!$I$6:$I$71,"&lt;="&amp;$C2273+INT(DIAS_POR_SEMANA/2),ROTACAO_RDM!$J$6:$J$71,"&gt;="&amp;$C2273+INT(DIAS_POR_SEMANA/2)),0)</f>
        <v>0</v>
      </c>
      <c r="J2273" s="16" t="n">
        <f aca="false">IFERROR(MATCH($I2273,ROTACAO_RDM!$B$6:$B$71,0),0)</f>
        <v>0</v>
      </c>
      <c r="K2273" s="8" t="str">
        <f aca="false">IF($J2273=0,"SEM CULTURA",INDEX(ROTACAO_RDM!$F$6:$F$71,$J2273))</f>
        <v>SEM CULTURA</v>
      </c>
      <c r="L2273" s="8" t="str">
        <f aca="false">IF($J2273=0,"",INDEX(ROTACAO_RDM!$G$6:$G$71,$J2273))</f>
        <v/>
      </c>
      <c r="M2273" s="17" t="str">
        <f aca="false">IF($J2273=0,"",INDEX(ROTACAO_RDM!$I$6:$I$71,$J2273))</f>
        <v/>
      </c>
      <c r="N2273" s="16" t="n">
        <f aca="false">IF($J2273=0,0,MAX(0,$C2273+INT(DIAS_POR_SEMANA/2)-INDEX(ROTACAO_RDM!$I$6:$I$71,$J2273)))</f>
        <v>0</v>
      </c>
      <c r="O2273" s="19" t="n">
        <f aca="false">IF($J2273=0,0,MIN(1,$N2273/MAX(1,INDEX(ROTACAO_RDM!$K$6:$K$71,$J2273))))</f>
        <v>0</v>
      </c>
      <c r="P2273" s="16" t="n">
        <f aca="false">IF($J2273=0,0,IFERROR(MATCH(INDEX(ROTACAO_RDM!$N$6:$N$71,$J2273),PARAMETROS_CULTURAS!$B$6:$B$28,0),0))</f>
        <v>0</v>
      </c>
      <c r="Q2273" s="8" t="str">
        <f aca="false">IF($P2273=0,"-",IF($O2273&lt;=INDEX(PARAMETROS_CULTURAS!$F$6:$F$28,$P2273),"INICIAL",IF($O2273&lt;=INDEX(PARAMETROS_CULTURAS!$F$6:$F$28,$P2273)+INDEX(PARAMETROS_CULTURAS!$G$6:$G$28,$P2273),"DESENVOLVIMENTO",IF($O2273&lt;=INDEX(PARAMETROS_CULTURAS!$F$6:$F$28,$P2273)+INDEX(PARAMETROS_CULTURAS!$G$6:$G$28,$P2273)+INDEX(PARAMETROS_CULTURAS!$H$6:$H$28,$P2273),"MEDIA","FINAL"))))</f>
        <v>-</v>
      </c>
      <c r="R2273" s="24" t="n">
        <f aca="false">IF($P2273=0,0,IF($O2273&lt;=INDEX(PARAMETROS_CULTURAS!$F$6:$F$28,$P2273),INDEX(PARAMETROS_CULTURAS!$K$6:$K$28,$P2273),IF($O2273&lt;=INDEX(PARAMETROS_CULTURAS!$F$6:$F$28,$P2273)+INDEX(PARAMETROS_CULTURAS!$G$6:$G$28,$P2273),INDEX(PARAMETROS_CULTURAS!$K$6:$K$28,$P2273)+(INDEX(PARAMETROS_CULTURAS!$L$6:$L$28,$P2273)-INDEX(PARAMETROS_CULTURAS!$K$6:$K$28,$P2273))*($O2273-INDEX(PARAMETROS_CULTURAS!$F$6:$F$28,$P2273))/MAX(INDEX(PARAMETROS_CULTURAS!$G$6:$G$28,$P2273),0.0001),IF($O2273&lt;=INDEX(PARAMETROS_CULTURAS!$F$6:$F$28,$P2273)+INDEX(PARAMETROS_CULTURAS!$G$6:$G$28,$P2273)+INDEX(PARAMETROS_CULTURAS!$H$6:$H$28,$P2273),INDEX(PARAMETROS_CULTURAS!$L$6:$L$28,$P2273),INDEX(PARAMETROS_CULTURAS!$L$6:$L$28,$P2273)+(INDEX(PARAMETROS_CULTURAS!$M$6:$M$28,$P2273)-INDEX(PARAMETROS_CULTURAS!$L$6:$L$28,$P2273))*($O2273-INDEX(PARAMETROS_CULTURAS!$F$6:$F$28,$P2273)-INDEX(PARAMETROS_CULTURAS!$G$6:$G$28,$P2273)-INDEX(PARAMETROS_CULTURAS!$H$6:$H$28,$P2273))/MAX(INDEX(PARAMETROS_CULTURAS!$I$6:$I$28,$P2273),0.0001)))))</f>
        <v>0</v>
      </c>
      <c r="S2273" s="18" t="n">
        <f aca="false">IFERROR(INDEX(SEMANAS!$H$6:$H$71,MATCH($B2273,SEMANAS!$B$6:$B$71,0)),0)</f>
        <v>32.9</v>
      </c>
      <c r="T2273" s="18" t="n">
        <f aca="false">$R2273*$S2273</f>
        <v>0</v>
      </c>
      <c r="U2273" s="18" t="n">
        <f aca="false">IFERROR(INDEX(SEMANAS!$I$6:$I$71,MATCH($B2273,SEMANAS!$B$6:$B$71,0)),0)</f>
        <v>39.97</v>
      </c>
      <c r="V2273" s="18" t="n">
        <f aca="false">IFERROR(INDEX(SEMANAS!$J$6:$J$71,MATCH($B2273,SEMANAS!$B$6:$B$71,0)),0)</f>
        <v>31.976</v>
      </c>
      <c r="W2273" s="18" t="n">
        <f aca="false">MAX(0,$T2273-$V2273)</f>
        <v>0</v>
      </c>
      <c r="X2273" s="19" t="n">
        <f aca="false">IFERROR(INDEX(CADASTRO_PIVOS!$K$6:$K$41,MATCH($E2273,CADASTRO_PIVOS!$B$6:$B$41,0)),EFICIENCIA_PADRAO)</f>
        <v>0.85</v>
      </c>
      <c r="Y2273" s="18" t="n">
        <f aca="false">IF($X2273&lt;=0,0,$W2273/$X2273)</f>
        <v>0</v>
      </c>
      <c r="Z2273" s="16" t="n">
        <f aca="false">$Y2273*$H2273*MM_PARA_M3_HA</f>
        <v>0</v>
      </c>
      <c r="AA2273" s="18" t="n">
        <f aca="false">IFERROR(INDEX(CADASTRO_PIVOS!$I$6:$I$41,MATCH($E2273,CADASTRO_PIVOS!$B$6:$B$41,0)),0)</f>
        <v>614.285714285714</v>
      </c>
      <c r="AB2273" s="18" t="n">
        <f aca="false">IF($Z2273&lt;=0,0,$Z2273/$AA2273)</f>
        <v>0</v>
      </c>
      <c r="AC2273" s="16" t="n">
        <f aca="false">IFERROR(INDEX(SEMANAS!$K$6:$K$71,MATCH($B2273,SEMANAS!$B$6:$B$71,0)),0)</f>
        <v>147</v>
      </c>
      <c r="AD2273" s="19" t="n">
        <f aca="false">IF($AC2273&lt;=0,0,$AB2273/$AC2273)</f>
        <v>0</v>
      </c>
      <c r="AE2273" s="8" t="str">
        <f aca="false">IF($K2273="SEM CULTURA","SEM CULTURA",IF($AA2273&lt;=0,"DADO PENDENTE",IF($AD2273&gt;LIMITE_CRITICO,"INVIAVEL",IF($AD2273&gt;LIMITE_ATENCAO,"CRITICO",IF($AD2273&gt;LIMITE_CONFORTAVEL,"ATENCAO","OK")))))</f>
        <v>SEM CULTURA</v>
      </c>
      <c r="AF2273" s="8" t="str">
        <f aca="false">$B2273&amp;"|"&amp;TEXT($AD2273,"0.000000")</f>
        <v>24|0.000000</v>
      </c>
      <c r="AG2273" s="18" t="n">
        <f aca="false">IF($K2273="SEM CULTURA",0,$T2273*$H2273)</f>
        <v>0</v>
      </c>
      <c r="AH2273" s="18" t="n">
        <f aca="false">IF($K2273="SEM CULTURA",0,$V2273*$H2273)</f>
        <v>0</v>
      </c>
      <c r="AI2273" s="18" t="n">
        <f aca="false">IF($K2273="SEM CULTURA",0,$W2273*$H2273)</f>
        <v>0</v>
      </c>
      <c r="AJ2273" s="18" t="n">
        <f aca="false">IF($K2273="SEM CULTURA",0,$S2273*$H2273)</f>
        <v>0</v>
      </c>
      <c r="AK2273" s="8" t="str">
        <f aca="false">$E2273&amp;"|"&amp;TEXT($AD2273,"0.000000")</f>
        <v>PV 136|0.000000</v>
      </c>
    </row>
    <row r="2274" customFormat="false" ht="15" hidden="false" customHeight="false" outlineLevel="0" collapsed="false">
      <c r="B2274" s="16" t="n">
        <v>25</v>
      </c>
      <c r="C2274" s="17" t="n">
        <f aca="false">DATA_INICIO_SAFRA+($B2274-1)*DIAS_POR_SEMANA</f>
        <v>46433</v>
      </c>
      <c r="D2274" s="17" t="n">
        <f aca="false">$C2274+DIAS_POR_SEMANA-1</f>
        <v>46439</v>
      </c>
      <c r="E2274" s="15" t="s">
        <v>293</v>
      </c>
      <c r="F2274" s="8" t="str">
        <f aca="false">IFERROR(INDEX(CADASTRO_PIVOS!$C$6:$C$41,MATCH($E2274,CADASTRO_PIVOS!$B$6:$B$41,0)),"?")</f>
        <v>RM08</v>
      </c>
      <c r="G2274" s="8" t="str">
        <f aca="false">IFERROR(INDEX(CADASTRO_PIVOS!$D$6:$D$41,MATCH($E2274,CADASTRO_PIVOS!$B$6:$B$41,0)),"?")</f>
        <v>TR08</v>
      </c>
      <c r="H2274" s="20" t="n">
        <f aca="false">IFERROR(INDEX(CADASTRO_PIVOS!$E$6:$E$41,MATCH($E2274,CADASTRO_PIVOS!$B$6:$B$41,0)),0)</f>
        <v>86</v>
      </c>
      <c r="I2274" s="16" t="n">
        <f aca="false">IFERROR(SUMIFS(ROTACAO_RDM!$B$6:$B$71,ROTACAO_RDM!$D$6:$D$71,$E2274,ROTACAO_RDM!$I$6:$I$71,"&lt;="&amp;$C2274+INT(DIAS_POR_SEMANA/2),ROTACAO_RDM!$J$6:$J$71,"&gt;="&amp;$C2274+INT(DIAS_POR_SEMANA/2)),0)</f>
        <v>0</v>
      </c>
      <c r="J2274" s="16" t="n">
        <f aca="false">IFERROR(MATCH($I2274,ROTACAO_RDM!$B$6:$B$71,0),0)</f>
        <v>0</v>
      </c>
      <c r="K2274" s="8" t="str">
        <f aca="false">IF($J2274=0,"SEM CULTURA",INDEX(ROTACAO_RDM!$F$6:$F$71,$J2274))</f>
        <v>SEM CULTURA</v>
      </c>
      <c r="L2274" s="8" t="str">
        <f aca="false">IF($J2274=0,"",INDEX(ROTACAO_RDM!$G$6:$G$71,$J2274))</f>
        <v/>
      </c>
      <c r="M2274" s="17" t="str">
        <f aca="false">IF($J2274=0,"",INDEX(ROTACAO_RDM!$I$6:$I$71,$J2274))</f>
        <v/>
      </c>
      <c r="N2274" s="16" t="n">
        <f aca="false">IF($J2274=0,0,MAX(0,$C2274+INT(DIAS_POR_SEMANA/2)-INDEX(ROTACAO_RDM!$I$6:$I$71,$J2274)))</f>
        <v>0</v>
      </c>
      <c r="O2274" s="19" t="n">
        <f aca="false">IF($J2274=0,0,MIN(1,$N2274/MAX(1,INDEX(ROTACAO_RDM!$K$6:$K$71,$J2274))))</f>
        <v>0</v>
      </c>
      <c r="P2274" s="16" t="n">
        <f aca="false">IF($J2274=0,0,IFERROR(MATCH(INDEX(ROTACAO_RDM!$N$6:$N$71,$J2274),PARAMETROS_CULTURAS!$B$6:$B$28,0),0))</f>
        <v>0</v>
      </c>
      <c r="Q2274" s="8" t="str">
        <f aca="false">IF($P2274=0,"-",IF($O2274&lt;=INDEX(PARAMETROS_CULTURAS!$F$6:$F$28,$P2274),"INICIAL",IF($O2274&lt;=INDEX(PARAMETROS_CULTURAS!$F$6:$F$28,$P2274)+INDEX(PARAMETROS_CULTURAS!$G$6:$G$28,$P2274),"DESENVOLVIMENTO",IF($O2274&lt;=INDEX(PARAMETROS_CULTURAS!$F$6:$F$28,$P2274)+INDEX(PARAMETROS_CULTURAS!$G$6:$G$28,$P2274)+INDEX(PARAMETROS_CULTURAS!$H$6:$H$28,$P2274),"MEDIA","FINAL"))))</f>
        <v>-</v>
      </c>
      <c r="R2274" s="24" t="n">
        <f aca="false">IF($P2274=0,0,IF($O2274&lt;=INDEX(PARAMETROS_CULTURAS!$F$6:$F$28,$P2274),INDEX(PARAMETROS_CULTURAS!$K$6:$K$28,$P2274),IF($O2274&lt;=INDEX(PARAMETROS_CULTURAS!$F$6:$F$28,$P2274)+INDEX(PARAMETROS_CULTURAS!$G$6:$G$28,$P2274),INDEX(PARAMETROS_CULTURAS!$K$6:$K$28,$P2274)+(INDEX(PARAMETROS_CULTURAS!$L$6:$L$28,$P2274)-INDEX(PARAMETROS_CULTURAS!$K$6:$K$28,$P2274))*($O2274-INDEX(PARAMETROS_CULTURAS!$F$6:$F$28,$P2274))/MAX(INDEX(PARAMETROS_CULTURAS!$G$6:$G$28,$P2274),0.0001),IF($O2274&lt;=INDEX(PARAMETROS_CULTURAS!$F$6:$F$28,$P2274)+INDEX(PARAMETROS_CULTURAS!$G$6:$G$28,$P2274)+INDEX(PARAMETROS_CULTURAS!$H$6:$H$28,$P2274),INDEX(PARAMETROS_CULTURAS!$L$6:$L$28,$P2274),INDEX(PARAMETROS_CULTURAS!$L$6:$L$28,$P2274)+(INDEX(PARAMETROS_CULTURAS!$M$6:$M$28,$P2274)-INDEX(PARAMETROS_CULTURAS!$L$6:$L$28,$P2274))*($O2274-INDEX(PARAMETROS_CULTURAS!$F$6:$F$28,$P2274)-INDEX(PARAMETROS_CULTURAS!$G$6:$G$28,$P2274)-INDEX(PARAMETROS_CULTURAS!$H$6:$H$28,$P2274))/MAX(INDEX(PARAMETROS_CULTURAS!$I$6:$I$28,$P2274),0.0001)))))</f>
        <v>0</v>
      </c>
      <c r="S2274" s="18" t="n">
        <f aca="false">IFERROR(INDEX(SEMANAS!$H$6:$H$71,MATCH($B2274,SEMANAS!$B$6:$B$71,0)),0)</f>
        <v>32.9</v>
      </c>
      <c r="T2274" s="18" t="n">
        <f aca="false">$R2274*$S2274</f>
        <v>0</v>
      </c>
      <c r="U2274" s="18" t="n">
        <f aca="false">IFERROR(INDEX(SEMANAS!$I$6:$I$71,MATCH($B2274,SEMANAS!$B$6:$B$71,0)),0)</f>
        <v>39.97</v>
      </c>
      <c r="V2274" s="18" t="n">
        <f aca="false">IFERROR(INDEX(SEMANAS!$J$6:$J$71,MATCH($B2274,SEMANAS!$B$6:$B$71,0)),0)</f>
        <v>31.976</v>
      </c>
      <c r="W2274" s="18" t="n">
        <f aca="false">MAX(0,$T2274-$V2274)</f>
        <v>0</v>
      </c>
      <c r="X2274" s="19" t="n">
        <f aca="false">IFERROR(INDEX(CADASTRO_PIVOS!$K$6:$K$41,MATCH($E2274,CADASTRO_PIVOS!$B$6:$B$41,0)),EFICIENCIA_PADRAO)</f>
        <v>0.85</v>
      </c>
      <c r="Y2274" s="18" t="n">
        <f aca="false">IF($X2274&lt;=0,0,$W2274/$X2274)</f>
        <v>0</v>
      </c>
      <c r="Z2274" s="16" t="n">
        <f aca="false">$Y2274*$H2274*MM_PARA_M3_HA</f>
        <v>0</v>
      </c>
      <c r="AA2274" s="18" t="n">
        <f aca="false">IFERROR(INDEX(CADASTRO_PIVOS!$I$6:$I$41,MATCH($E2274,CADASTRO_PIVOS!$B$6:$B$41,0)),0)</f>
        <v>614.285714285714</v>
      </c>
      <c r="AB2274" s="18" t="n">
        <f aca="false">IF($Z2274&lt;=0,0,$Z2274/$AA2274)</f>
        <v>0</v>
      </c>
      <c r="AC2274" s="16" t="n">
        <f aca="false">IFERROR(INDEX(SEMANAS!$K$6:$K$71,MATCH($B2274,SEMANAS!$B$6:$B$71,0)),0)</f>
        <v>147</v>
      </c>
      <c r="AD2274" s="19" t="n">
        <f aca="false">IF($AC2274&lt;=0,0,$AB2274/$AC2274)</f>
        <v>0</v>
      </c>
      <c r="AE2274" s="8" t="str">
        <f aca="false">IF($K2274="SEM CULTURA","SEM CULTURA",IF($AA2274&lt;=0,"DADO PENDENTE",IF($AD2274&gt;LIMITE_CRITICO,"INVIAVEL",IF($AD2274&gt;LIMITE_ATENCAO,"CRITICO",IF($AD2274&gt;LIMITE_CONFORTAVEL,"ATENCAO","OK")))))</f>
        <v>SEM CULTURA</v>
      </c>
      <c r="AF2274" s="8" t="str">
        <f aca="false">$B2274&amp;"|"&amp;TEXT($AD2274,"0.000000")</f>
        <v>25|0.000000</v>
      </c>
      <c r="AG2274" s="18" t="n">
        <f aca="false">IF($K2274="SEM CULTURA",0,$T2274*$H2274)</f>
        <v>0</v>
      </c>
      <c r="AH2274" s="18" t="n">
        <f aca="false">IF($K2274="SEM CULTURA",0,$V2274*$H2274)</f>
        <v>0</v>
      </c>
      <c r="AI2274" s="18" t="n">
        <f aca="false">IF($K2274="SEM CULTURA",0,$W2274*$H2274)</f>
        <v>0</v>
      </c>
      <c r="AJ2274" s="18" t="n">
        <f aca="false">IF($K2274="SEM CULTURA",0,$S2274*$H2274)</f>
        <v>0</v>
      </c>
      <c r="AK2274" s="8" t="str">
        <f aca="false">$E2274&amp;"|"&amp;TEXT($AD2274,"0.000000")</f>
        <v>PV 136|0.000000</v>
      </c>
    </row>
    <row r="2275" customFormat="false" ht="15" hidden="false" customHeight="false" outlineLevel="0" collapsed="false">
      <c r="B2275" s="16" t="n">
        <v>26</v>
      </c>
      <c r="C2275" s="17" t="n">
        <f aca="false">DATA_INICIO_SAFRA+($B2275-1)*DIAS_POR_SEMANA</f>
        <v>46440</v>
      </c>
      <c r="D2275" s="17" t="n">
        <f aca="false">$C2275+DIAS_POR_SEMANA-1</f>
        <v>46446</v>
      </c>
      <c r="E2275" s="15" t="s">
        <v>293</v>
      </c>
      <c r="F2275" s="8" t="str">
        <f aca="false">IFERROR(INDEX(CADASTRO_PIVOS!$C$6:$C$41,MATCH($E2275,CADASTRO_PIVOS!$B$6:$B$41,0)),"?")</f>
        <v>RM08</v>
      </c>
      <c r="G2275" s="8" t="str">
        <f aca="false">IFERROR(INDEX(CADASTRO_PIVOS!$D$6:$D$41,MATCH($E2275,CADASTRO_PIVOS!$B$6:$B$41,0)),"?")</f>
        <v>TR08</v>
      </c>
      <c r="H2275" s="20" t="n">
        <f aca="false">IFERROR(INDEX(CADASTRO_PIVOS!$E$6:$E$41,MATCH($E2275,CADASTRO_PIVOS!$B$6:$B$41,0)),0)</f>
        <v>86</v>
      </c>
      <c r="I2275" s="16" t="n">
        <f aca="false">IFERROR(SUMIFS(ROTACAO_RDM!$B$6:$B$71,ROTACAO_RDM!$D$6:$D$71,$E2275,ROTACAO_RDM!$I$6:$I$71,"&lt;="&amp;$C2275+INT(DIAS_POR_SEMANA/2),ROTACAO_RDM!$J$6:$J$71,"&gt;="&amp;$C2275+INT(DIAS_POR_SEMANA/2)),0)</f>
        <v>0</v>
      </c>
      <c r="J2275" s="16" t="n">
        <f aca="false">IFERROR(MATCH($I2275,ROTACAO_RDM!$B$6:$B$71,0),0)</f>
        <v>0</v>
      </c>
      <c r="K2275" s="8" t="str">
        <f aca="false">IF($J2275=0,"SEM CULTURA",INDEX(ROTACAO_RDM!$F$6:$F$71,$J2275))</f>
        <v>SEM CULTURA</v>
      </c>
      <c r="L2275" s="8" t="str">
        <f aca="false">IF($J2275=0,"",INDEX(ROTACAO_RDM!$G$6:$G$71,$J2275))</f>
        <v/>
      </c>
      <c r="M2275" s="17" t="str">
        <f aca="false">IF($J2275=0,"",INDEX(ROTACAO_RDM!$I$6:$I$71,$J2275))</f>
        <v/>
      </c>
      <c r="N2275" s="16" t="n">
        <f aca="false">IF($J2275=0,0,MAX(0,$C2275+INT(DIAS_POR_SEMANA/2)-INDEX(ROTACAO_RDM!$I$6:$I$71,$J2275)))</f>
        <v>0</v>
      </c>
      <c r="O2275" s="19" t="n">
        <f aca="false">IF($J2275=0,0,MIN(1,$N2275/MAX(1,INDEX(ROTACAO_RDM!$K$6:$K$71,$J2275))))</f>
        <v>0</v>
      </c>
      <c r="P2275" s="16" t="n">
        <f aca="false">IF($J2275=0,0,IFERROR(MATCH(INDEX(ROTACAO_RDM!$N$6:$N$71,$J2275),PARAMETROS_CULTURAS!$B$6:$B$28,0),0))</f>
        <v>0</v>
      </c>
      <c r="Q2275" s="8" t="str">
        <f aca="false">IF($P2275=0,"-",IF($O2275&lt;=INDEX(PARAMETROS_CULTURAS!$F$6:$F$28,$P2275),"INICIAL",IF($O2275&lt;=INDEX(PARAMETROS_CULTURAS!$F$6:$F$28,$P2275)+INDEX(PARAMETROS_CULTURAS!$G$6:$G$28,$P2275),"DESENVOLVIMENTO",IF($O2275&lt;=INDEX(PARAMETROS_CULTURAS!$F$6:$F$28,$P2275)+INDEX(PARAMETROS_CULTURAS!$G$6:$G$28,$P2275)+INDEX(PARAMETROS_CULTURAS!$H$6:$H$28,$P2275),"MEDIA","FINAL"))))</f>
        <v>-</v>
      </c>
      <c r="R2275" s="24" t="n">
        <f aca="false">IF($P2275=0,0,IF($O2275&lt;=INDEX(PARAMETROS_CULTURAS!$F$6:$F$28,$P2275),INDEX(PARAMETROS_CULTURAS!$K$6:$K$28,$P2275),IF($O2275&lt;=INDEX(PARAMETROS_CULTURAS!$F$6:$F$28,$P2275)+INDEX(PARAMETROS_CULTURAS!$G$6:$G$28,$P2275),INDEX(PARAMETROS_CULTURAS!$K$6:$K$28,$P2275)+(INDEX(PARAMETROS_CULTURAS!$L$6:$L$28,$P2275)-INDEX(PARAMETROS_CULTURAS!$K$6:$K$28,$P2275))*($O2275-INDEX(PARAMETROS_CULTURAS!$F$6:$F$28,$P2275))/MAX(INDEX(PARAMETROS_CULTURAS!$G$6:$G$28,$P2275),0.0001),IF($O2275&lt;=INDEX(PARAMETROS_CULTURAS!$F$6:$F$28,$P2275)+INDEX(PARAMETROS_CULTURAS!$G$6:$G$28,$P2275)+INDEX(PARAMETROS_CULTURAS!$H$6:$H$28,$P2275),INDEX(PARAMETROS_CULTURAS!$L$6:$L$28,$P2275),INDEX(PARAMETROS_CULTURAS!$L$6:$L$28,$P2275)+(INDEX(PARAMETROS_CULTURAS!$M$6:$M$28,$P2275)-INDEX(PARAMETROS_CULTURAS!$L$6:$L$28,$P2275))*($O2275-INDEX(PARAMETROS_CULTURAS!$F$6:$F$28,$P2275)-INDEX(PARAMETROS_CULTURAS!$G$6:$G$28,$P2275)-INDEX(PARAMETROS_CULTURAS!$H$6:$H$28,$P2275))/MAX(INDEX(PARAMETROS_CULTURAS!$I$6:$I$28,$P2275),0.0001)))))</f>
        <v>0</v>
      </c>
      <c r="S2275" s="18" t="n">
        <f aca="false">IFERROR(INDEX(SEMANAS!$H$6:$H$71,MATCH($B2275,SEMANAS!$B$6:$B$71,0)),0)</f>
        <v>32.9</v>
      </c>
      <c r="T2275" s="18" t="n">
        <f aca="false">$R2275*$S2275</f>
        <v>0</v>
      </c>
      <c r="U2275" s="18" t="n">
        <f aca="false">IFERROR(INDEX(SEMANAS!$I$6:$I$71,MATCH($B2275,SEMANAS!$B$6:$B$71,0)),0)</f>
        <v>39.97</v>
      </c>
      <c r="V2275" s="18" t="n">
        <f aca="false">IFERROR(INDEX(SEMANAS!$J$6:$J$71,MATCH($B2275,SEMANAS!$B$6:$B$71,0)),0)</f>
        <v>31.976</v>
      </c>
      <c r="W2275" s="18" t="n">
        <f aca="false">MAX(0,$T2275-$V2275)</f>
        <v>0</v>
      </c>
      <c r="X2275" s="19" t="n">
        <f aca="false">IFERROR(INDEX(CADASTRO_PIVOS!$K$6:$K$41,MATCH($E2275,CADASTRO_PIVOS!$B$6:$B$41,0)),EFICIENCIA_PADRAO)</f>
        <v>0.85</v>
      </c>
      <c r="Y2275" s="18" t="n">
        <f aca="false">IF($X2275&lt;=0,0,$W2275/$X2275)</f>
        <v>0</v>
      </c>
      <c r="Z2275" s="16" t="n">
        <f aca="false">$Y2275*$H2275*MM_PARA_M3_HA</f>
        <v>0</v>
      </c>
      <c r="AA2275" s="18" t="n">
        <f aca="false">IFERROR(INDEX(CADASTRO_PIVOS!$I$6:$I$41,MATCH($E2275,CADASTRO_PIVOS!$B$6:$B$41,0)),0)</f>
        <v>614.285714285714</v>
      </c>
      <c r="AB2275" s="18" t="n">
        <f aca="false">IF($Z2275&lt;=0,0,$Z2275/$AA2275)</f>
        <v>0</v>
      </c>
      <c r="AC2275" s="16" t="n">
        <f aca="false">IFERROR(INDEX(SEMANAS!$K$6:$K$71,MATCH($B2275,SEMANAS!$B$6:$B$71,0)),0)</f>
        <v>147</v>
      </c>
      <c r="AD2275" s="19" t="n">
        <f aca="false">IF($AC2275&lt;=0,0,$AB2275/$AC2275)</f>
        <v>0</v>
      </c>
      <c r="AE2275" s="8" t="str">
        <f aca="false">IF($K2275="SEM CULTURA","SEM CULTURA",IF($AA2275&lt;=0,"DADO PENDENTE",IF($AD2275&gt;LIMITE_CRITICO,"INVIAVEL",IF($AD2275&gt;LIMITE_ATENCAO,"CRITICO",IF($AD2275&gt;LIMITE_CONFORTAVEL,"ATENCAO","OK")))))</f>
        <v>SEM CULTURA</v>
      </c>
      <c r="AF2275" s="8" t="str">
        <f aca="false">$B2275&amp;"|"&amp;TEXT($AD2275,"0.000000")</f>
        <v>26|0.000000</v>
      </c>
      <c r="AG2275" s="18" t="n">
        <f aca="false">IF($K2275="SEM CULTURA",0,$T2275*$H2275)</f>
        <v>0</v>
      </c>
      <c r="AH2275" s="18" t="n">
        <f aca="false">IF($K2275="SEM CULTURA",0,$V2275*$H2275)</f>
        <v>0</v>
      </c>
      <c r="AI2275" s="18" t="n">
        <f aca="false">IF($K2275="SEM CULTURA",0,$W2275*$H2275)</f>
        <v>0</v>
      </c>
      <c r="AJ2275" s="18" t="n">
        <f aca="false">IF($K2275="SEM CULTURA",0,$S2275*$H2275)</f>
        <v>0</v>
      </c>
      <c r="AK2275" s="8" t="str">
        <f aca="false">$E2275&amp;"|"&amp;TEXT($AD2275,"0.000000")</f>
        <v>PV 136|0.000000</v>
      </c>
    </row>
    <row r="2276" customFormat="false" ht="15" hidden="false" customHeight="false" outlineLevel="0" collapsed="false">
      <c r="B2276" s="16" t="n">
        <v>27</v>
      </c>
      <c r="C2276" s="17" t="n">
        <f aca="false">DATA_INICIO_SAFRA+($B2276-1)*DIAS_POR_SEMANA</f>
        <v>46447</v>
      </c>
      <c r="D2276" s="17" t="n">
        <f aca="false">$C2276+DIAS_POR_SEMANA-1</f>
        <v>46453</v>
      </c>
      <c r="E2276" s="15" t="s">
        <v>293</v>
      </c>
      <c r="F2276" s="8" t="str">
        <f aca="false">IFERROR(INDEX(CADASTRO_PIVOS!$C$6:$C$41,MATCH($E2276,CADASTRO_PIVOS!$B$6:$B$41,0)),"?")</f>
        <v>RM08</v>
      </c>
      <c r="G2276" s="8" t="str">
        <f aca="false">IFERROR(INDEX(CADASTRO_PIVOS!$D$6:$D$41,MATCH($E2276,CADASTRO_PIVOS!$B$6:$B$41,0)),"?")</f>
        <v>TR08</v>
      </c>
      <c r="H2276" s="20" t="n">
        <f aca="false">IFERROR(INDEX(CADASTRO_PIVOS!$E$6:$E$41,MATCH($E2276,CADASTRO_PIVOS!$B$6:$B$41,0)),0)</f>
        <v>86</v>
      </c>
      <c r="I2276" s="16" t="n">
        <f aca="false">IFERROR(SUMIFS(ROTACAO_RDM!$B$6:$B$71,ROTACAO_RDM!$D$6:$D$71,$E2276,ROTACAO_RDM!$I$6:$I$71,"&lt;="&amp;$C2276+INT(DIAS_POR_SEMANA/2),ROTACAO_RDM!$J$6:$J$71,"&gt;="&amp;$C2276+INT(DIAS_POR_SEMANA/2)),0)</f>
        <v>0</v>
      </c>
      <c r="J2276" s="16" t="n">
        <f aca="false">IFERROR(MATCH($I2276,ROTACAO_RDM!$B$6:$B$71,0),0)</f>
        <v>0</v>
      </c>
      <c r="K2276" s="8" t="str">
        <f aca="false">IF($J2276=0,"SEM CULTURA",INDEX(ROTACAO_RDM!$F$6:$F$71,$J2276))</f>
        <v>SEM CULTURA</v>
      </c>
      <c r="L2276" s="8" t="str">
        <f aca="false">IF($J2276=0,"",INDEX(ROTACAO_RDM!$G$6:$G$71,$J2276))</f>
        <v/>
      </c>
      <c r="M2276" s="17" t="str">
        <f aca="false">IF($J2276=0,"",INDEX(ROTACAO_RDM!$I$6:$I$71,$J2276))</f>
        <v/>
      </c>
      <c r="N2276" s="16" t="n">
        <f aca="false">IF($J2276=0,0,MAX(0,$C2276+INT(DIAS_POR_SEMANA/2)-INDEX(ROTACAO_RDM!$I$6:$I$71,$J2276)))</f>
        <v>0</v>
      </c>
      <c r="O2276" s="19" t="n">
        <f aca="false">IF($J2276=0,0,MIN(1,$N2276/MAX(1,INDEX(ROTACAO_RDM!$K$6:$K$71,$J2276))))</f>
        <v>0</v>
      </c>
      <c r="P2276" s="16" t="n">
        <f aca="false">IF($J2276=0,0,IFERROR(MATCH(INDEX(ROTACAO_RDM!$N$6:$N$71,$J2276),PARAMETROS_CULTURAS!$B$6:$B$28,0),0))</f>
        <v>0</v>
      </c>
      <c r="Q2276" s="8" t="str">
        <f aca="false">IF($P2276=0,"-",IF($O2276&lt;=INDEX(PARAMETROS_CULTURAS!$F$6:$F$28,$P2276),"INICIAL",IF($O2276&lt;=INDEX(PARAMETROS_CULTURAS!$F$6:$F$28,$P2276)+INDEX(PARAMETROS_CULTURAS!$G$6:$G$28,$P2276),"DESENVOLVIMENTO",IF($O2276&lt;=INDEX(PARAMETROS_CULTURAS!$F$6:$F$28,$P2276)+INDEX(PARAMETROS_CULTURAS!$G$6:$G$28,$P2276)+INDEX(PARAMETROS_CULTURAS!$H$6:$H$28,$P2276),"MEDIA","FINAL"))))</f>
        <v>-</v>
      </c>
      <c r="R2276" s="24" t="n">
        <f aca="false">IF($P2276=0,0,IF($O2276&lt;=INDEX(PARAMETROS_CULTURAS!$F$6:$F$28,$P2276),INDEX(PARAMETROS_CULTURAS!$K$6:$K$28,$P2276),IF($O2276&lt;=INDEX(PARAMETROS_CULTURAS!$F$6:$F$28,$P2276)+INDEX(PARAMETROS_CULTURAS!$G$6:$G$28,$P2276),INDEX(PARAMETROS_CULTURAS!$K$6:$K$28,$P2276)+(INDEX(PARAMETROS_CULTURAS!$L$6:$L$28,$P2276)-INDEX(PARAMETROS_CULTURAS!$K$6:$K$28,$P2276))*($O2276-INDEX(PARAMETROS_CULTURAS!$F$6:$F$28,$P2276))/MAX(INDEX(PARAMETROS_CULTURAS!$G$6:$G$28,$P2276),0.0001),IF($O2276&lt;=INDEX(PARAMETROS_CULTURAS!$F$6:$F$28,$P2276)+INDEX(PARAMETROS_CULTURAS!$G$6:$G$28,$P2276)+INDEX(PARAMETROS_CULTURAS!$H$6:$H$28,$P2276),INDEX(PARAMETROS_CULTURAS!$L$6:$L$28,$P2276),INDEX(PARAMETROS_CULTURAS!$L$6:$L$28,$P2276)+(INDEX(PARAMETROS_CULTURAS!$M$6:$M$28,$P2276)-INDEX(PARAMETROS_CULTURAS!$L$6:$L$28,$P2276))*($O2276-INDEX(PARAMETROS_CULTURAS!$F$6:$F$28,$P2276)-INDEX(PARAMETROS_CULTURAS!$G$6:$G$28,$P2276)-INDEX(PARAMETROS_CULTURAS!$H$6:$H$28,$P2276))/MAX(INDEX(PARAMETROS_CULTURAS!$I$6:$I$28,$P2276),0.0001)))))</f>
        <v>0</v>
      </c>
      <c r="S2276" s="18" t="n">
        <f aca="false">IFERROR(INDEX(SEMANAS!$H$6:$H$71,MATCH($B2276,SEMANAS!$B$6:$B$71,0)),0)</f>
        <v>32.2</v>
      </c>
      <c r="T2276" s="18" t="n">
        <f aca="false">$R2276*$S2276</f>
        <v>0</v>
      </c>
      <c r="U2276" s="18" t="n">
        <f aca="false">IFERROR(INDEX(SEMANAS!$I$6:$I$71,MATCH($B2276,SEMANAS!$B$6:$B$71,0)),0)</f>
        <v>37.24</v>
      </c>
      <c r="V2276" s="18" t="n">
        <f aca="false">IFERROR(INDEX(SEMANAS!$J$6:$J$71,MATCH($B2276,SEMANAS!$B$6:$B$71,0)),0)</f>
        <v>29.792</v>
      </c>
      <c r="W2276" s="18" t="n">
        <f aca="false">MAX(0,$T2276-$V2276)</f>
        <v>0</v>
      </c>
      <c r="X2276" s="19" t="n">
        <f aca="false">IFERROR(INDEX(CADASTRO_PIVOS!$K$6:$K$41,MATCH($E2276,CADASTRO_PIVOS!$B$6:$B$41,0)),EFICIENCIA_PADRAO)</f>
        <v>0.85</v>
      </c>
      <c r="Y2276" s="18" t="n">
        <f aca="false">IF($X2276&lt;=0,0,$W2276/$X2276)</f>
        <v>0</v>
      </c>
      <c r="Z2276" s="16" t="n">
        <f aca="false">$Y2276*$H2276*MM_PARA_M3_HA</f>
        <v>0</v>
      </c>
      <c r="AA2276" s="18" t="n">
        <f aca="false">IFERROR(INDEX(CADASTRO_PIVOS!$I$6:$I$41,MATCH($E2276,CADASTRO_PIVOS!$B$6:$B$41,0)),0)</f>
        <v>614.285714285714</v>
      </c>
      <c r="AB2276" s="18" t="n">
        <f aca="false">IF($Z2276&lt;=0,0,$Z2276/$AA2276)</f>
        <v>0</v>
      </c>
      <c r="AC2276" s="16" t="n">
        <f aca="false">IFERROR(INDEX(SEMANAS!$K$6:$K$71,MATCH($B2276,SEMANAS!$B$6:$B$71,0)),0)</f>
        <v>147</v>
      </c>
      <c r="AD2276" s="19" t="n">
        <f aca="false">IF($AC2276&lt;=0,0,$AB2276/$AC2276)</f>
        <v>0</v>
      </c>
      <c r="AE2276" s="8" t="str">
        <f aca="false">IF($K2276="SEM CULTURA","SEM CULTURA",IF($AA2276&lt;=0,"DADO PENDENTE",IF($AD2276&gt;LIMITE_CRITICO,"INVIAVEL",IF($AD2276&gt;LIMITE_ATENCAO,"CRITICO",IF($AD2276&gt;LIMITE_CONFORTAVEL,"ATENCAO","OK")))))</f>
        <v>SEM CULTURA</v>
      </c>
      <c r="AF2276" s="8" t="str">
        <f aca="false">$B2276&amp;"|"&amp;TEXT($AD2276,"0.000000")</f>
        <v>27|0.000000</v>
      </c>
      <c r="AG2276" s="18" t="n">
        <f aca="false">IF($K2276="SEM CULTURA",0,$T2276*$H2276)</f>
        <v>0</v>
      </c>
      <c r="AH2276" s="18" t="n">
        <f aca="false">IF($K2276="SEM CULTURA",0,$V2276*$H2276)</f>
        <v>0</v>
      </c>
      <c r="AI2276" s="18" t="n">
        <f aca="false">IF($K2276="SEM CULTURA",0,$W2276*$H2276)</f>
        <v>0</v>
      </c>
      <c r="AJ2276" s="18" t="n">
        <f aca="false">IF($K2276="SEM CULTURA",0,$S2276*$H2276)</f>
        <v>0</v>
      </c>
      <c r="AK2276" s="8" t="str">
        <f aca="false">$E2276&amp;"|"&amp;TEXT($AD2276,"0.000000")</f>
        <v>PV 136|0.000000</v>
      </c>
    </row>
    <row r="2277" customFormat="false" ht="15" hidden="false" customHeight="false" outlineLevel="0" collapsed="false">
      <c r="B2277" s="16" t="n">
        <v>28</v>
      </c>
      <c r="C2277" s="17" t="n">
        <f aca="false">DATA_INICIO_SAFRA+($B2277-1)*DIAS_POR_SEMANA</f>
        <v>46454</v>
      </c>
      <c r="D2277" s="17" t="n">
        <f aca="false">$C2277+DIAS_POR_SEMANA-1</f>
        <v>46460</v>
      </c>
      <c r="E2277" s="15" t="s">
        <v>293</v>
      </c>
      <c r="F2277" s="8" t="str">
        <f aca="false">IFERROR(INDEX(CADASTRO_PIVOS!$C$6:$C$41,MATCH($E2277,CADASTRO_PIVOS!$B$6:$B$41,0)),"?")</f>
        <v>RM08</v>
      </c>
      <c r="G2277" s="8" t="str">
        <f aca="false">IFERROR(INDEX(CADASTRO_PIVOS!$D$6:$D$41,MATCH($E2277,CADASTRO_PIVOS!$B$6:$B$41,0)),"?")</f>
        <v>TR08</v>
      </c>
      <c r="H2277" s="20" t="n">
        <f aca="false">IFERROR(INDEX(CADASTRO_PIVOS!$E$6:$E$41,MATCH($E2277,CADASTRO_PIVOS!$B$6:$B$41,0)),0)</f>
        <v>86</v>
      </c>
      <c r="I2277" s="16" t="n">
        <f aca="false">IFERROR(SUMIFS(ROTACAO_RDM!$B$6:$B$71,ROTACAO_RDM!$D$6:$D$71,$E2277,ROTACAO_RDM!$I$6:$I$71,"&lt;="&amp;$C2277+INT(DIAS_POR_SEMANA/2),ROTACAO_RDM!$J$6:$J$71,"&gt;="&amp;$C2277+INT(DIAS_POR_SEMANA/2)),0)</f>
        <v>0</v>
      </c>
      <c r="J2277" s="16" t="n">
        <f aca="false">IFERROR(MATCH($I2277,ROTACAO_RDM!$B$6:$B$71,0),0)</f>
        <v>0</v>
      </c>
      <c r="K2277" s="8" t="str">
        <f aca="false">IF($J2277=0,"SEM CULTURA",INDEX(ROTACAO_RDM!$F$6:$F$71,$J2277))</f>
        <v>SEM CULTURA</v>
      </c>
      <c r="L2277" s="8" t="str">
        <f aca="false">IF($J2277=0,"",INDEX(ROTACAO_RDM!$G$6:$G$71,$J2277))</f>
        <v/>
      </c>
      <c r="M2277" s="17" t="str">
        <f aca="false">IF($J2277=0,"",INDEX(ROTACAO_RDM!$I$6:$I$71,$J2277))</f>
        <v/>
      </c>
      <c r="N2277" s="16" t="n">
        <f aca="false">IF($J2277=0,0,MAX(0,$C2277+INT(DIAS_POR_SEMANA/2)-INDEX(ROTACAO_RDM!$I$6:$I$71,$J2277)))</f>
        <v>0</v>
      </c>
      <c r="O2277" s="19" t="n">
        <f aca="false">IF($J2277=0,0,MIN(1,$N2277/MAX(1,INDEX(ROTACAO_RDM!$K$6:$K$71,$J2277))))</f>
        <v>0</v>
      </c>
      <c r="P2277" s="16" t="n">
        <f aca="false">IF($J2277=0,0,IFERROR(MATCH(INDEX(ROTACAO_RDM!$N$6:$N$71,$J2277),PARAMETROS_CULTURAS!$B$6:$B$28,0),0))</f>
        <v>0</v>
      </c>
      <c r="Q2277" s="8" t="str">
        <f aca="false">IF($P2277=0,"-",IF($O2277&lt;=INDEX(PARAMETROS_CULTURAS!$F$6:$F$28,$P2277),"INICIAL",IF($O2277&lt;=INDEX(PARAMETROS_CULTURAS!$F$6:$F$28,$P2277)+INDEX(PARAMETROS_CULTURAS!$G$6:$G$28,$P2277),"DESENVOLVIMENTO",IF($O2277&lt;=INDEX(PARAMETROS_CULTURAS!$F$6:$F$28,$P2277)+INDEX(PARAMETROS_CULTURAS!$G$6:$G$28,$P2277)+INDEX(PARAMETROS_CULTURAS!$H$6:$H$28,$P2277),"MEDIA","FINAL"))))</f>
        <v>-</v>
      </c>
      <c r="R2277" s="24" t="n">
        <f aca="false">IF($P2277=0,0,IF($O2277&lt;=INDEX(PARAMETROS_CULTURAS!$F$6:$F$28,$P2277),INDEX(PARAMETROS_CULTURAS!$K$6:$K$28,$P2277),IF($O2277&lt;=INDEX(PARAMETROS_CULTURAS!$F$6:$F$28,$P2277)+INDEX(PARAMETROS_CULTURAS!$G$6:$G$28,$P2277),INDEX(PARAMETROS_CULTURAS!$K$6:$K$28,$P2277)+(INDEX(PARAMETROS_CULTURAS!$L$6:$L$28,$P2277)-INDEX(PARAMETROS_CULTURAS!$K$6:$K$28,$P2277))*($O2277-INDEX(PARAMETROS_CULTURAS!$F$6:$F$28,$P2277))/MAX(INDEX(PARAMETROS_CULTURAS!$G$6:$G$28,$P2277),0.0001),IF($O2277&lt;=INDEX(PARAMETROS_CULTURAS!$F$6:$F$28,$P2277)+INDEX(PARAMETROS_CULTURAS!$G$6:$G$28,$P2277)+INDEX(PARAMETROS_CULTURAS!$H$6:$H$28,$P2277),INDEX(PARAMETROS_CULTURAS!$L$6:$L$28,$P2277),INDEX(PARAMETROS_CULTURAS!$L$6:$L$28,$P2277)+(INDEX(PARAMETROS_CULTURAS!$M$6:$M$28,$P2277)-INDEX(PARAMETROS_CULTURAS!$L$6:$L$28,$P2277))*($O2277-INDEX(PARAMETROS_CULTURAS!$F$6:$F$28,$P2277)-INDEX(PARAMETROS_CULTURAS!$G$6:$G$28,$P2277)-INDEX(PARAMETROS_CULTURAS!$H$6:$H$28,$P2277))/MAX(INDEX(PARAMETROS_CULTURAS!$I$6:$I$28,$P2277),0.0001)))))</f>
        <v>0</v>
      </c>
      <c r="S2277" s="18" t="n">
        <f aca="false">IFERROR(INDEX(SEMANAS!$H$6:$H$71,MATCH($B2277,SEMANAS!$B$6:$B$71,0)),0)</f>
        <v>32.2</v>
      </c>
      <c r="T2277" s="18" t="n">
        <f aca="false">$R2277*$S2277</f>
        <v>0</v>
      </c>
      <c r="U2277" s="18" t="n">
        <f aca="false">IFERROR(INDEX(SEMANAS!$I$6:$I$71,MATCH($B2277,SEMANAS!$B$6:$B$71,0)),0)</f>
        <v>37.24</v>
      </c>
      <c r="V2277" s="18" t="n">
        <f aca="false">IFERROR(INDEX(SEMANAS!$J$6:$J$71,MATCH($B2277,SEMANAS!$B$6:$B$71,0)),0)</f>
        <v>29.792</v>
      </c>
      <c r="W2277" s="18" t="n">
        <f aca="false">MAX(0,$T2277-$V2277)</f>
        <v>0</v>
      </c>
      <c r="X2277" s="19" t="n">
        <f aca="false">IFERROR(INDEX(CADASTRO_PIVOS!$K$6:$K$41,MATCH($E2277,CADASTRO_PIVOS!$B$6:$B$41,0)),EFICIENCIA_PADRAO)</f>
        <v>0.85</v>
      </c>
      <c r="Y2277" s="18" t="n">
        <f aca="false">IF($X2277&lt;=0,0,$W2277/$X2277)</f>
        <v>0</v>
      </c>
      <c r="Z2277" s="16" t="n">
        <f aca="false">$Y2277*$H2277*MM_PARA_M3_HA</f>
        <v>0</v>
      </c>
      <c r="AA2277" s="18" t="n">
        <f aca="false">IFERROR(INDEX(CADASTRO_PIVOS!$I$6:$I$41,MATCH($E2277,CADASTRO_PIVOS!$B$6:$B$41,0)),0)</f>
        <v>614.285714285714</v>
      </c>
      <c r="AB2277" s="18" t="n">
        <f aca="false">IF($Z2277&lt;=0,0,$Z2277/$AA2277)</f>
        <v>0</v>
      </c>
      <c r="AC2277" s="16" t="n">
        <f aca="false">IFERROR(INDEX(SEMANAS!$K$6:$K$71,MATCH($B2277,SEMANAS!$B$6:$B$71,0)),0)</f>
        <v>147</v>
      </c>
      <c r="AD2277" s="19" t="n">
        <f aca="false">IF($AC2277&lt;=0,0,$AB2277/$AC2277)</f>
        <v>0</v>
      </c>
      <c r="AE2277" s="8" t="str">
        <f aca="false">IF($K2277="SEM CULTURA","SEM CULTURA",IF($AA2277&lt;=0,"DADO PENDENTE",IF($AD2277&gt;LIMITE_CRITICO,"INVIAVEL",IF($AD2277&gt;LIMITE_ATENCAO,"CRITICO",IF($AD2277&gt;LIMITE_CONFORTAVEL,"ATENCAO","OK")))))</f>
        <v>SEM CULTURA</v>
      </c>
      <c r="AF2277" s="8" t="str">
        <f aca="false">$B2277&amp;"|"&amp;TEXT($AD2277,"0.000000")</f>
        <v>28|0.000000</v>
      </c>
      <c r="AG2277" s="18" t="n">
        <f aca="false">IF($K2277="SEM CULTURA",0,$T2277*$H2277)</f>
        <v>0</v>
      </c>
      <c r="AH2277" s="18" t="n">
        <f aca="false">IF($K2277="SEM CULTURA",0,$V2277*$H2277)</f>
        <v>0</v>
      </c>
      <c r="AI2277" s="18" t="n">
        <f aca="false">IF($K2277="SEM CULTURA",0,$W2277*$H2277)</f>
        <v>0</v>
      </c>
      <c r="AJ2277" s="18" t="n">
        <f aca="false">IF($K2277="SEM CULTURA",0,$S2277*$H2277)</f>
        <v>0</v>
      </c>
      <c r="AK2277" s="8" t="str">
        <f aca="false">$E2277&amp;"|"&amp;TEXT($AD2277,"0.000000")</f>
        <v>PV 136|0.000000</v>
      </c>
    </row>
    <row r="2278" customFormat="false" ht="15" hidden="false" customHeight="false" outlineLevel="0" collapsed="false">
      <c r="B2278" s="16" t="n">
        <v>29</v>
      </c>
      <c r="C2278" s="17" t="n">
        <f aca="false">DATA_INICIO_SAFRA+($B2278-1)*DIAS_POR_SEMANA</f>
        <v>46461</v>
      </c>
      <c r="D2278" s="17" t="n">
        <f aca="false">$C2278+DIAS_POR_SEMANA-1</f>
        <v>46467</v>
      </c>
      <c r="E2278" s="15" t="s">
        <v>293</v>
      </c>
      <c r="F2278" s="8" t="str">
        <f aca="false">IFERROR(INDEX(CADASTRO_PIVOS!$C$6:$C$41,MATCH($E2278,CADASTRO_PIVOS!$B$6:$B$41,0)),"?")</f>
        <v>RM08</v>
      </c>
      <c r="G2278" s="8" t="str">
        <f aca="false">IFERROR(INDEX(CADASTRO_PIVOS!$D$6:$D$41,MATCH($E2278,CADASTRO_PIVOS!$B$6:$B$41,0)),"?")</f>
        <v>TR08</v>
      </c>
      <c r="H2278" s="20" t="n">
        <f aca="false">IFERROR(INDEX(CADASTRO_PIVOS!$E$6:$E$41,MATCH($E2278,CADASTRO_PIVOS!$B$6:$B$41,0)),0)</f>
        <v>86</v>
      </c>
      <c r="I2278" s="16" t="n">
        <f aca="false">IFERROR(SUMIFS(ROTACAO_RDM!$B$6:$B$71,ROTACAO_RDM!$D$6:$D$71,$E2278,ROTACAO_RDM!$I$6:$I$71,"&lt;="&amp;$C2278+INT(DIAS_POR_SEMANA/2),ROTACAO_RDM!$J$6:$J$71,"&gt;="&amp;$C2278+INT(DIAS_POR_SEMANA/2)),0)</f>
        <v>0</v>
      </c>
      <c r="J2278" s="16" t="n">
        <f aca="false">IFERROR(MATCH($I2278,ROTACAO_RDM!$B$6:$B$71,0),0)</f>
        <v>0</v>
      </c>
      <c r="K2278" s="8" t="str">
        <f aca="false">IF($J2278=0,"SEM CULTURA",INDEX(ROTACAO_RDM!$F$6:$F$71,$J2278))</f>
        <v>SEM CULTURA</v>
      </c>
      <c r="L2278" s="8" t="str">
        <f aca="false">IF($J2278=0,"",INDEX(ROTACAO_RDM!$G$6:$G$71,$J2278))</f>
        <v/>
      </c>
      <c r="M2278" s="17" t="str">
        <f aca="false">IF($J2278=0,"",INDEX(ROTACAO_RDM!$I$6:$I$71,$J2278))</f>
        <v/>
      </c>
      <c r="N2278" s="16" t="n">
        <f aca="false">IF($J2278=0,0,MAX(0,$C2278+INT(DIAS_POR_SEMANA/2)-INDEX(ROTACAO_RDM!$I$6:$I$71,$J2278)))</f>
        <v>0</v>
      </c>
      <c r="O2278" s="19" t="n">
        <f aca="false">IF($J2278=0,0,MIN(1,$N2278/MAX(1,INDEX(ROTACAO_RDM!$K$6:$K$71,$J2278))))</f>
        <v>0</v>
      </c>
      <c r="P2278" s="16" t="n">
        <f aca="false">IF($J2278=0,0,IFERROR(MATCH(INDEX(ROTACAO_RDM!$N$6:$N$71,$J2278),PARAMETROS_CULTURAS!$B$6:$B$28,0),0))</f>
        <v>0</v>
      </c>
      <c r="Q2278" s="8" t="str">
        <f aca="false">IF($P2278=0,"-",IF($O2278&lt;=INDEX(PARAMETROS_CULTURAS!$F$6:$F$28,$P2278),"INICIAL",IF($O2278&lt;=INDEX(PARAMETROS_CULTURAS!$F$6:$F$28,$P2278)+INDEX(PARAMETROS_CULTURAS!$G$6:$G$28,$P2278),"DESENVOLVIMENTO",IF($O2278&lt;=INDEX(PARAMETROS_CULTURAS!$F$6:$F$28,$P2278)+INDEX(PARAMETROS_CULTURAS!$G$6:$G$28,$P2278)+INDEX(PARAMETROS_CULTURAS!$H$6:$H$28,$P2278),"MEDIA","FINAL"))))</f>
        <v>-</v>
      </c>
      <c r="R2278" s="24" t="n">
        <f aca="false">IF($P2278=0,0,IF($O2278&lt;=INDEX(PARAMETROS_CULTURAS!$F$6:$F$28,$P2278),INDEX(PARAMETROS_CULTURAS!$K$6:$K$28,$P2278),IF($O2278&lt;=INDEX(PARAMETROS_CULTURAS!$F$6:$F$28,$P2278)+INDEX(PARAMETROS_CULTURAS!$G$6:$G$28,$P2278),INDEX(PARAMETROS_CULTURAS!$K$6:$K$28,$P2278)+(INDEX(PARAMETROS_CULTURAS!$L$6:$L$28,$P2278)-INDEX(PARAMETROS_CULTURAS!$K$6:$K$28,$P2278))*($O2278-INDEX(PARAMETROS_CULTURAS!$F$6:$F$28,$P2278))/MAX(INDEX(PARAMETROS_CULTURAS!$G$6:$G$28,$P2278),0.0001),IF($O2278&lt;=INDEX(PARAMETROS_CULTURAS!$F$6:$F$28,$P2278)+INDEX(PARAMETROS_CULTURAS!$G$6:$G$28,$P2278)+INDEX(PARAMETROS_CULTURAS!$H$6:$H$28,$P2278),INDEX(PARAMETROS_CULTURAS!$L$6:$L$28,$P2278),INDEX(PARAMETROS_CULTURAS!$L$6:$L$28,$P2278)+(INDEX(PARAMETROS_CULTURAS!$M$6:$M$28,$P2278)-INDEX(PARAMETROS_CULTURAS!$L$6:$L$28,$P2278))*($O2278-INDEX(PARAMETROS_CULTURAS!$F$6:$F$28,$P2278)-INDEX(PARAMETROS_CULTURAS!$G$6:$G$28,$P2278)-INDEX(PARAMETROS_CULTURAS!$H$6:$H$28,$P2278))/MAX(INDEX(PARAMETROS_CULTURAS!$I$6:$I$28,$P2278),0.0001)))))</f>
        <v>0</v>
      </c>
      <c r="S2278" s="18" t="n">
        <f aca="false">IFERROR(INDEX(SEMANAS!$H$6:$H$71,MATCH($B2278,SEMANAS!$B$6:$B$71,0)),0)</f>
        <v>32.2</v>
      </c>
      <c r="T2278" s="18" t="n">
        <f aca="false">$R2278*$S2278</f>
        <v>0</v>
      </c>
      <c r="U2278" s="18" t="n">
        <f aca="false">IFERROR(INDEX(SEMANAS!$I$6:$I$71,MATCH($B2278,SEMANAS!$B$6:$B$71,0)),0)</f>
        <v>37.24</v>
      </c>
      <c r="V2278" s="18" t="n">
        <f aca="false">IFERROR(INDEX(SEMANAS!$J$6:$J$71,MATCH($B2278,SEMANAS!$B$6:$B$71,0)),0)</f>
        <v>29.792</v>
      </c>
      <c r="W2278" s="18" t="n">
        <f aca="false">MAX(0,$T2278-$V2278)</f>
        <v>0</v>
      </c>
      <c r="X2278" s="19" t="n">
        <f aca="false">IFERROR(INDEX(CADASTRO_PIVOS!$K$6:$K$41,MATCH($E2278,CADASTRO_PIVOS!$B$6:$B$41,0)),EFICIENCIA_PADRAO)</f>
        <v>0.85</v>
      </c>
      <c r="Y2278" s="18" t="n">
        <f aca="false">IF($X2278&lt;=0,0,$W2278/$X2278)</f>
        <v>0</v>
      </c>
      <c r="Z2278" s="16" t="n">
        <f aca="false">$Y2278*$H2278*MM_PARA_M3_HA</f>
        <v>0</v>
      </c>
      <c r="AA2278" s="18" t="n">
        <f aca="false">IFERROR(INDEX(CADASTRO_PIVOS!$I$6:$I$41,MATCH($E2278,CADASTRO_PIVOS!$B$6:$B$41,0)),0)</f>
        <v>614.285714285714</v>
      </c>
      <c r="AB2278" s="18" t="n">
        <f aca="false">IF($Z2278&lt;=0,0,$Z2278/$AA2278)</f>
        <v>0</v>
      </c>
      <c r="AC2278" s="16" t="n">
        <f aca="false">IFERROR(INDEX(SEMANAS!$K$6:$K$71,MATCH($B2278,SEMANAS!$B$6:$B$71,0)),0)</f>
        <v>147</v>
      </c>
      <c r="AD2278" s="19" t="n">
        <f aca="false">IF($AC2278&lt;=0,0,$AB2278/$AC2278)</f>
        <v>0</v>
      </c>
      <c r="AE2278" s="8" t="str">
        <f aca="false">IF($K2278="SEM CULTURA","SEM CULTURA",IF($AA2278&lt;=0,"DADO PENDENTE",IF($AD2278&gt;LIMITE_CRITICO,"INVIAVEL",IF($AD2278&gt;LIMITE_ATENCAO,"CRITICO",IF($AD2278&gt;LIMITE_CONFORTAVEL,"ATENCAO","OK")))))</f>
        <v>SEM CULTURA</v>
      </c>
      <c r="AF2278" s="8" t="str">
        <f aca="false">$B2278&amp;"|"&amp;TEXT($AD2278,"0.000000")</f>
        <v>29|0.000000</v>
      </c>
      <c r="AG2278" s="18" t="n">
        <f aca="false">IF($K2278="SEM CULTURA",0,$T2278*$H2278)</f>
        <v>0</v>
      </c>
      <c r="AH2278" s="18" t="n">
        <f aca="false">IF($K2278="SEM CULTURA",0,$V2278*$H2278)</f>
        <v>0</v>
      </c>
      <c r="AI2278" s="18" t="n">
        <f aca="false">IF($K2278="SEM CULTURA",0,$W2278*$H2278)</f>
        <v>0</v>
      </c>
      <c r="AJ2278" s="18" t="n">
        <f aca="false">IF($K2278="SEM CULTURA",0,$S2278*$H2278)</f>
        <v>0</v>
      </c>
      <c r="AK2278" s="8" t="str">
        <f aca="false">$E2278&amp;"|"&amp;TEXT($AD2278,"0.000000")</f>
        <v>PV 136|0.000000</v>
      </c>
    </row>
    <row r="2279" customFormat="false" ht="15" hidden="false" customHeight="false" outlineLevel="0" collapsed="false">
      <c r="B2279" s="16" t="n">
        <v>30</v>
      </c>
      <c r="C2279" s="17" t="n">
        <f aca="false">DATA_INICIO_SAFRA+($B2279-1)*DIAS_POR_SEMANA</f>
        <v>46468</v>
      </c>
      <c r="D2279" s="17" t="n">
        <f aca="false">$C2279+DIAS_POR_SEMANA-1</f>
        <v>46474</v>
      </c>
      <c r="E2279" s="15" t="s">
        <v>293</v>
      </c>
      <c r="F2279" s="8" t="str">
        <f aca="false">IFERROR(INDEX(CADASTRO_PIVOS!$C$6:$C$41,MATCH($E2279,CADASTRO_PIVOS!$B$6:$B$41,0)),"?")</f>
        <v>RM08</v>
      </c>
      <c r="G2279" s="8" t="str">
        <f aca="false">IFERROR(INDEX(CADASTRO_PIVOS!$D$6:$D$41,MATCH($E2279,CADASTRO_PIVOS!$B$6:$B$41,0)),"?")</f>
        <v>TR08</v>
      </c>
      <c r="H2279" s="20" t="n">
        <f aca="false">IFERROR(INDEX(CADASTRO_PIVOS!$E$6:$E$41,MATCH($E2279,CADASTRO_PIVOS!$B$6:$B$41,0)),0)</f>
        <v>86</v>
      </c>
      <c r="I2279" s="16" t="n">
        <f aca="false">IFERROR(SUMIFS(ROTACAO_RDM!$B$6:$B$71,ROTACAO_RDM!$D$6:$D$71,$E2279,ROTACAO_RDM!$I$6:$I$71,"&lt;="&amp;$C2279+INT(DIAS_POR_SEMANA/2),ROTACAO_RDM!$J$6:$J$71,"&gt;="&amp;$C2279+INT(DIAS_POR_SEMANA/2)),0)</f>
        <v>0</v>
      </c>
      <c r="J2279" s="16" t="n">
        <f aca="false">IFERROR(MATCH($I2279,ROTACAO_RDM!$B$6:$B$71,0),0)</f>
        <v>0</v>
      </c>
      <c r="K2279" s="8" t="str">
        <f aca="false">IF($J2279=0,"SEM CULTURA",INDEX(ROTACAO_RDM!$F$6:$F$71,$J2279))</f>
        <v>SEM CULTURA</v>
      </c>
      <c r="L2279" s="8" t="str">
        <f aca="false">IF($J2279=0,"",INDEX(ROTACAO_RDM!$G$6:$G$71,$J2279))</f>
        <v/>
      </c>
      <c r="M2279" s="17" t="str">
        <f aca="false">IF($J2279=0,"",INDEX(ROTACAO_RDM!$I$6:$I$71,$J2279))</f>
        <v/>
      </c>
      <c r="N2279" s="16" t="n">
        <f aca="false">IF($J2279=0,0,MAX(0,$C2279+INT(DIAS_POR_SEMANA/2)-INDEX(ROTACAO_RDM!$I$6:$I$71,$J2279)))</f>
        <v>0</v>
      </c>
      <c r="O2279" s="19" t="n">
        <f aca="false">IF($J2279=0,0,MIN(1,$N2279/MAX(1,INDEX(ROTACAO_RDM!$K$6:$K$71,$J2279))))</f>
        <v>0</v>
      </c>
      <c r="P2279" s="16" t="n">
        <f aca="false">IF($J2279=0,0,IFERROR(MATCH(INDEX(ROTACAO_RDM!$N$6:$N$71,$J2279),PARAMETROS_CULTURAS!$B$6:$B$28,0),0))</f>
        <v>0</v>
      </c>
      <c r="Q2279" s="8" t="str">
        <f aca="false">IF($P2279=0,"-",IF($O2279&lt;=INDEX(PARAMETROS_CULTURAS!$F$6:$F$28,$P2279),"INICIAL",IF($O2279&lt;=INDEX(PARAMETROS_CULTURAS!$F$6:$F$28,$P2279)+INDEX(PARAMETROS_CULTURAS!$G$6:$G$28,$P2279),"DESENVOLVIMENTO",IF($O2279&lt;=INDEX(PARAMETROS_CULTURAS!$F$6:$F$28,$P2279)+INDEX(PARAMETROS_CULTURAS!$G$6:$G$28,$P2279)+INDEX(PARAMETROS_CULTURAS!$H$6:$H$28,$P2279),"MEDIA","FINAL"))))</f>
        <v>-</v>
      </c>
      <c r="R2279" s="24" t="n">
        <f aca="false">IF($P2279=0,0,IF($O2279&lt;=INDEX(PARAMETROS_CULTURAS!$F$6:$F$28,$P2279),INDEX(PARAMETROS_CULTURAS!$K$6:$K$28,$P2279),IF($O2279&lt;=INDEX(PARAMETROS_CULTURAS!$F$6:$F$28,$P2279)+INDEX(PARAMETROS_CULTURAS!$G$6:$G$28,$P2279),INDEX(PARAMETROS_CULTURAS!$K$6:$K$28,$P2279)+(INDEX(PARAMETROS_CULTURAS!$L$6:$L$28,$P2279)-INDEX(PARAMETROS_CULTURAS!$K$6:$K$28,$P2279))*($O2279-INDEX(PARAMETROS_CULTURAS!$F$6:$F$28,$P2279))/MAX(INDEX(PARAMETROS_CULTURAS!$G$6:$G$28,$P2279),0.0001),IF($O2279&lt;=INDEX(PARAMETROS_CULTURAS!$F$6:$F$28,$P2279)+INDEX(PARAMETROS_CULTURAS!$G$6:$G$28,$P2279)+INDEX(PARAMETROS_CULTURAS!$H$6:$H$28,$P2279),INDEX(PARAMETROS_CULTURAS!$L$6:$L$28,$P2279),INDEX(PARAMETROS_CULTURAS!$L$6:$L$28,$P2279)+(INDEX(PARAMETROS_CULTURAS!$M$6:$M$28,$P2279)-INDEX(PARAMETROS_CULTURAS!$L$6:$L$28,$P2279))*($O2279-INDEX(PARAMETROS_CULTURAS!$F$6:$F$28,$P2279)-INDEX(PARAMETROS_CULTURAS!$G$6:$G$28,$P2279)-INDEX(PARAMETROS_CULTURAS!$H$6:$H$28,$P2279))/MAX(INDEX(PARAMETROS_CULTURAS!$I$6:$I$28,$P2279),0.0001)))))</f>
        <v>0</v>
      </c>
      <c r="S2279" s="18" t="n">
        <f aca="false">IFERROR(INDEX(SEMANAS!$H$6:$H$71,MATCH($B2279,SEMANAS!$B$6:$B$71,0)),0)</f>
        <v>32.2</v>
      </c>
      <c r="T2279" s="18" t="n">
        <f aca="false">$R2279*$S2279</f>
        <v>0</v>
      </c>
      <c r="U2279" s="18" t="n">
        <f aca="false">IFERROR(INDEX(SEMANAS!$I$6:$I$71,MATCH($B2279,SEMANAS!$B$6:$B$71,0)),0)</f>
        <v>37.24</v>
      </c>
      <c r="V2279" s="18" t="n">
        <f aca="false">IFERROR(INDEX(SEMANAS!$J$6:$J$71,MATCH($B2279,SEMANAS!$B$6:$B$71,0)),0)</f>
        <v>29.792</v>
      </c>
      <c r="W2279" s="18" t="n">
        <f aca="false">MAX(0,$T2279-$V2279)</f>
        <v>0</v>
      </c>
      <c r="X2279" s="19" t="n">
        <f aca="false">IFERROR(INDEX(CADASTRO_PIVOS!$K$6:$K$41,MATCH($E2279,CADASTRO_PIVOS!$B$6:$B$41,0)),EFICIENCIA_PADRAO)</f>
        <v>0.85</v>
      </c>
      <c r="Y2279" s="18" t="n">
        <f aca="false">IF($X2279&lt;=0,0,$W2279/$X2279)</f>
        <v>0</v>
      </c>
      <c r="Z2279" s="16" t="n">
        <f aca="false">$Y2279*$H2279*MM_PARA_M3_HA</f>
        <v>0</v>
      </c>
      <c r="AA2279" s="18" t="n">
        <f aca="false">IFERROR(INDEX(CADASTRO_PIVOS!$I$6:$I$41,MATCH($E2279,CADASTRO_PIVOS!$B$6:$B$41,0)),0)</f>
        <v>614.285714285714</v>
      </c>
      <c r="AB2279" s="18" t="n">
        <f aca="false">IF($Z2279&lt;=0,0,$Z2279/$AA2279)</f>
        <v>0</v>
      </c>
      <c r="AC2279" s="16" t="n">
        <f aca="false">IFERROR(INDEX(SEMANAS!$K$6:$K$71,MATCH($B2279,SEMANAS!$B$6:$B$71,0)),0)</f>
        <v>147</v>
      </c>
      <c r="AD2279" s="19" t="n">
        <f aca="false">IF($AC2279&lt;=0,0,$AB2279/$AC2279)</f>
        <v>0</v>
      </c>
      <c r="AE2279" s="8" t="str">
        <f aca="false">IF($K2279="SEM CULTURA","SEM CULTURA",IF($AA2279&lt;=0,"DADO PENDENTE",IF($AD2279&gt;LIMITE_CRITICO,"INVIAVEL",IF($AD2279&gt;LIMITE_ATENCAO,"CRITICO",IF($AD2279&gt;LIMITE_CONFORTAVEL,"ATENCAO","OK")))))</f>
        <v>SEM CULTURA</v>
      </c>
      <c r="AF2279" s="8" t="str">
        <f aca="false">$B2279&amp;"|"&amp;TEXT($AD2279,"0.000000")</f>
        <v>30|0.000000</v>
      </c>
      <c r="AG2279" s="18" t="n">
        <f aca="false">IF($K2279="SEM CULTURA",0,$T2279*$H2279)</f>
        <v>0</v>
      </c>
      <c r="AH2279" s="18" t="n">
        <f aca="false">IF($K2279="SEM CULTURA",0,$V2279*$H2279)</f>
        <v>0</v>
      </c>
      <c r="AI2279" s="18" t="n">
        <f aca="false">IF($K2279="SEM CULTURA",0,$W2279*$H2279)</f>
        <v>0</v>
      </c>
      <c r="AJ2279" s="18" t="n">
        <f aca="false">IF($K2279="SEM CULTURA",0,$S2279*$H2279)</f>
        <v>0</v>
      </c>
      <c r="AK2279" s="8" t="str">
        <f aca="false">$E2279&amp;"|"&amp;TEXT($AD2279,"0.000000")</f>
        <v>PV 136|0.000000</v>
      </c>
    </row>
    <row r="2280" customFormat="false" ht="15" hidden="false" customHeight="false" outlineLevel="0" collapsed="false">
      <c r="B2280" s="16" t="n">
        <v>31</v>
      </c>
      <c r="C2280" s="17" t="n">
        <f aca="false">DATA_INICIO_SAFRA+($B2280-1)*DIAS_POR_SEMANA</f>
        <v>46475</v>
      </c>
      <c r="D2280" s="17" t="n">
        <f aca="false">$C2280+DIAS_POR_SEMANA-1</f>
        <v>46481</v>
      </c>
      <c r="E2280" s="15" t="s">
        <v>293</v>
      </c>
      <c r="F2280" s="8" t="str">
        <f aca="false">IFERROR(INDEX(CADASTRO_PIVOS!$C$6:$C$41,MATCH($E2280,CADASTRO_PIVOS!$B$6:$B$41,0)),"?")</f>
        <v>RM08</v>
      </c>
      <c r="G2280" s="8" t="str">
        <f aca="false">IFERROR(INDEX(CADASTRO_PIVOS!$D$6:$D$41,MATCH($E2280,CADASTRO_PIVOS!$B$6:$B$41,0)),"?")</f>
        <v>TR08</v>
      </c>
      <c r="H2280" s="20" t="n">
        <f aca="false">IFERROR(INDEX(CADASTRO_PIVOS!$E$6:$E$41,MATCH($E2280,CADASTRO_PIVOS!$B$6:$B$41,0)),0)</f>
        <v>86</v>
      </c>
      <c r="I2280" s="16" t="n">
        <f aca="false">IFERROR(SUMIFS(ROTACAO_RDM!$B$6:$B$71,ROTACAO_RDM!$D$6:$D$71,$E2280,ROTACAO_RDM!$I$6:$I$71,"&lt;="&amp;$C2280+INT(DIAS_POR_SEMANA/2),ROTACAO_RDM!$J$6:$J$71,"&gt;="&amp;$C2280+INT(DIAS_POR_SEMANA/2)),0)</f>
        <v>0</v>
      </c>
      <c r="J2280" s="16" t="n">
        <f aca="false">IFERROR(MATCH($I2280,ROTACAO_RDM!$B$6:$B$71,0),0)</f>
        <v>0</v>
      </c>
      <c r="K2280" s="8" t="str">
        <f aca="false">IF($J2280=0,"SEM CULTURA",INDEX(ROTACAO_RDM!$F$6:$F$71,$J2280))</f>
        <v>SEM CULTURA</v>
      </c>
      <c r="L2280" s="8" t="str">
        <f aca="false">IF($J2280=0,"",INDEX(ROTACAO_RDM!$G$6:$G$71,$J2280))</f>
        <v/>
      </c>
      <c r="M2280" s="17" t="str">
        <f aca="false">IF($J2280=0,"",INDEX(ROTACAO_RDM!$I$6:$I$71,$J2280))</f>
        <v/>
      </c>
      <c r="N2280" s="16" t="n">
        <f aca="false">IF($J2280=0,0,MAX(0,$C2280+INT(DIAS_POR_SEMANA/2)-INDEX(ROTACAO_RDM!$I$6:$I$71,$J2280)))</f>
        <v>0</v>
      </c>
      <c r="O2280" s="19" t="n">
        <f aca="false">IF($J2280=0,0,MIN(1,$N2280/MAX(1,INDEX(ROTACAO_RDM!$K$6:$K$71,$J2280))))</f>
        <v>0</v>
      </c>
      <c r="P2280" s="16" t="n">
        <f aca="false">IF($J2280=0,0,IFERROR(MATCH(INDEX(ROTACAO_RDM!$N$6:$N$71,$J2280),PARAMETROS_CULTURAS!$B$6:$B$28,0),0))</f>
        <v>0</v>
      </c>
      <c r="Q2280" s="8" t="str">
        <f aca="false">IF($P2280=0,"-",IF($O2280&lt;=INDEX(PARAMETROS_CULTURAS!$F$6:$F$28,$P2280),"INICIAL",IF($O2280&lt;=INDEX(PARAMETROS_CULTURAS!$F$6:$F$28,$P2280)+INDEX(PARAMETROS_CULTURAS!$G$6:$G$28,$P2280),"DESENVOLVIMENTO",IF($O2280&lt;=INDEX(PARAMETROS_CULTURAS!$F$6:$F$28,$P2280)+INDEX(PARAMETROS_CULTURAS!$G$6:$G$28,$P2280)+INDEX(PARAMETROS_CULTURAS!$H$6:$H$28,$P2280),"MEDIA","FINAL"))))</f>
        <v>-</v>
      </c>
      <c r="R2280" s="24" t="n">
        <f aca="false">IF($P2280=0,0,IF($O2280&lt;=INDEX(PARAMETROS_CULTURAS!$F$6:$F$28,$P2280),INDEX(PARAMETROS_CULTURAS!$K$6:$K$28,$P2280),IF($O2280&lt;=INDEX(PARAMETROS_CULTURAS!$F$6:$F$28,$P2280)+INDEX(PARAMETROS_CULTURAS!$G$6:$G$28,$P2280),INDEX(PARAMETROS_CULTURAS!$K$6:$K$28,$P2280)+(INDEX(PARAMETROS_CULTURAS!$L$6:$L$28,$P2280)-INDEX(PARAMETROS_CULTURAS!$K$6:$K$28,$P2280))*($O2280-INDEX(PARAMETROS_CULTURAS!$F$6:$F$28,$P2280))/MAX(INDEX(PARAMETROS_CULTURAS!$G$6:$G$28,$P2280),0.0001),IF($O2280&lt;=INDEX(PARAMETROS_CULTURAS!$F$6:$F$28,$P2280)+INDEX(PARAMETROS_CULTURAS!$G$6:$G$28,$P2280)+INDEX(PARAMETROS_CULTURAS!$H$6:$H$28,$P2280),INDEX(PARAMETROS_CULTURAS!$L$6:$L$28,$P2280),INDEX(PARAMETROS_CULTURAS!$L$6:$L$28,$P2280)+(INDEX(PARAMETROS_CULTURAS!$M$6:$M$28,$P2280)-INDEX(PARAMETROS_CULTURAS!$L$6:$L$28,$P2280))*($O2280-INDEX(PARAMETROS_CULTURAS!$F$6:$F$28,$P2280)-INDEX(PARAMETROS_CULTURAS!$G$6:$G$28,$P2280)-INDEX(PARAMETROS_CULTURAS!$H$6:$H$28,$P2280))/MAX(INDEX(PARAMETROS_CULTURAS!$I$6:$I$28,$P2280),0.0001)))))</f>
        <v>0</v>
      </c>
      <c r="S2280" s="18" t="n">
        <f aca="false">IFERROR(INDEX(SEMANAS!$H$6:$H$71,MATCH($B2280,SEMANAS!$B$6:$B$71,0)),0)</f>
        <v>31.8</v>
      </c>
      <c r="T2280" s="18" t="n">
        <f aca="false">$R2280*$S2280</f>
        <v>0</v>
      </c>
      <c r="U2280" s="18" t="n">
        <f aca="false">IFERROR(INDEX(SEMANAS!$I$6:$I$71,MATCH($B2280,SEMANAS!$B$6:$B$71,0)),0)</f>
        <v>25.28</v>
      </c>
      <c r="V2280" s="18" t="n">
        <f aca="false">IFERROR(INDEX(SEMANAS!$J$6:$J$71,MATCH($B2280,SEMANAS!$B$6:$B$71,0)),0)</f>
        <v>20.224</v>
      </c>
      <c r="W2280" s="18" t="n">
        <f aca="false">MAX(0,$T2280-$V2280)</f>
        <v>0</v>
      </c>
      <c r="X2280" s="19" t="n">
        <f aca="false">IFERROR(INDEX(CADASTRO_PIVOS!$K$6:$K$41,MATCH($E2280,CADASTRO_PIVOS!$B$6:$B$41,0)),EFICIENCIA_PADRAO)</f>
        <v>0.85</v>
      </c>
      <c r="Y2280" s="18" t="n">
        <f aca="false">IF($X2280&lt;=0,0,$W2280/$X2280)</f>
        <v>0</v>
      </c>
      <c r="Z2280" s="16" t="n">
        <f aca="false">$Y2280*$H2280*MM_PARA_M3_HA</f>
        <v>0</v>
      </c>
      <c r="AA2280" s="18" t="n">
        <f aca="false">IFERROR(INDEX(CADASTRO_PIVOS!$I$6:$I$41,MATCH($E2280,CADASTRO_PIVOS!$B$6:$B$41,0)),0)</f>
        <v>614.285714285714</v>
      </c>
      <c r="AB2280" s="18" t="n">
        <f aca="false">IF($Z2280&lt;=0,0,$Z2280/$AA2280)</f>
        <v>0</v>
      </c>
      <c r="AC2280" s="16" t="n">
        <f aca="false">IFERROR(INDEX(SEMANAS!$K$6:$K$71,MATCH($B2280,SEMANAS!$B$6:$B$71,0)),0)</f>
        <v>147</v>
      </c>
      <c r="AD2280" s="19" t="n">
        <f aca="false">IF($AC2280&lt;=0,0,$AB2280/$AC2280)</f>
        <v>0</v>
      </c>
      <c r="AE2280" s="8" t="str">
        <f aca="false">IF($K2280="SEM CULTURA","SEM CULTURA",IF($AA2280&lt;=0,"DADO PENDENTE",IF($AD2280&gt;LIMITE_CRITICO,"INVIAVEL",IF($AD2280&gt;LIMITE_ATENCAO,"CRITICO",IF($AD2280&gt;LIMITE_CONFORTAVEL,"ATENCAO","OK")))))</f>
        <v>SEM CULTURA</v>
      </c>
      <c r="AF2280" s="8" t="str">
        <f aca="false">$B2280&amp;"|"&amp;TEXT($AD2280,"0.000000")</f>
        <v>31|0.000000</v>
      </c>
      <c r="AG2280" s="18" t="n">
        <f aca="false">IF($K2280="SEM CULTURA",0,$T2280*$H2280)</f>
        <v>0</v>
      </c>
      <c r="AH2280" s="18" t="n">
        <f aca="false">IF($K2280="SEM CULTURA",0,$V2280*$H2280)</f>
        <v>0</v>
      </c>
      <c r="AI2280" s="18" t="n">
        <f aca="false">IF($K2280="SEM CULTURA",0,$W2280*$H2280)</f>
        <v>0</v>
      </c>
      <c r="AJ2280" s="18" t="n">
        <f aca="false">IF($K2280="SEM CULTURA",0,$S2280*$H2280)</f>
        <v>0</v>
      </c>
      <c r="AK2280" s="8" t="str">
        <f aca="false">$E2280&amp;"|"&amp;TEXT($AD2280,"0.000000")</f>
        <v>PV 136|0.000000</v>
      </c>
    </row>
    <row r="2281" customFormat="false" ht="15" hidden="false" customHeight="false" outlineLevel="0" collapsed="false">
      <c r="B2281" s="16" t="n">
        <v>32</v>
      </c>
      <c r="C2281" s="17" t="n">
        <f aca="false">DATA_INICIO_SAFRA+($B2281-1)*DIAS_POR_SEMANA</f>
        <v>46482</v>
      </c>
      <c r="D2281" s="17" t="n">
        <f aca="false">$C2281+DIAS_POR_SEMANA-1</f>
        <v>46488</v>
      </c>
      <c r="E2281" s="15" t="s">
        <v>293</v>
      </c>
      <c r="F2281" s="8" t="str">
        <f aca="false">IFERROR(INDEX(CADASTRO_PIVOS!$C$6:$C$41,MATCH($E2281,CADASTRO_PIVOS!$B$6:$B$41,0)),"?")</f>
        <v>RM08</v>
      </c>
      <c r="G2281" s="8" t="str">
        <f aca="false">IFERROR(INDEX(CADASTRO_PIVOS!$D$6:$D$41,MATCH($E2281,CADASTRO_PIVOS!$B$6:$B$41,0)),"?")</f>
        <v>TR08</v>
      </c>
      <c r="H2281" s="20" t="n">
        <f aca="false">IFERROR(INDEX(CADASTRO_PIVOS!$E$6:$E$41,MATCH($E2281,CADASTRO_PIVOS!$B$6:$B$41,0)),0)</f>
        <v>86</v>
      </c>
      <c r="I2281" s="16" t="n">
        <f aca="false">IFERROR(SUMIFS(ROTACAO_RDM!$B$6:$B$71,ROTACAO_RDM!$D$6:$D$71,$E2281,ROTACAO_RDM!$I$6:$I$71,"&lt;="&amp;$C2281+INT(DIAS_POR_SEMANA/2),ROTACAO_RDM!$J$6:$J$71,"&gt;="&amp;$C2281+INT(DIAS_POR_SEMANA/2)),0)</f>
        <v>0</v>
      </c>
      <c r="J2281" s="16" t="n">
        <f aca="false">IFERROR(MATCH($I2281,ROTACAO_RDM!$B$6:$B$71,0),0)</f>
        <v>0</v>
      </c>
      <c r="K2281" s="8" t="str">
        <f aca="false">IF($J2281=0,"SEM CULTURA",INDEX(ROTACAO_RDM!$F$6:$F$71,$J2281))</f>
        <v>SEM CULTURA</v>
      </c>
      <c r="L2281" s="8" t="str">
        <f aca="false">IF($J2281=0,"",INDEX(ROTACAO_RDM!$G$6:$G$71,$J2281))</f>
        <v/>
      </c>
      <c r="M2281" s="17" t="str">
        <f aca="false">IF($J2281=0,"",INDEX(ROTACAO_RDM!$I$6:$I$71,$J2281))</f>
        <v/>
      </c>
      <c r="N2281" s="16" t="n">
        <f aca="false">IF($J2281=0,0,MAX(0,$C2281+INT(DIAS_POR_SEMANA/2)-INDEX(ROTACAO_RDM!$I$6:$I$71,$J2281)))</f>
        <v>0</v>
      </c>
      <c r="O2281" s="19" t="n">
        <f aca="false">IF($J2281=0,0,MIN(1,$N2281/MAX(1,INDEX(ROTACAO_RDM!$K$6:$K$71,$J2281))))</f>
        <v>0</v>
      </c>
      <c r="P2281" s="16" t="n">
        <f aca="false">IF($J2281=0,0,IFERROR(MATCH(INDEX(ROTACAO_RDM!$N$6:$N$71,$J2281),PARAMETROS_CULTURAS!$B$6:$B$28,0),0))</f>
        <v>0</v>
      </c>
      <c r="Q2281" s="8" t="str">
        <f aca="false">IF($P2281=0,"-",IF($O2281&lt;=INDEX(PARAMETROS_CULTURAS!$F$6:$F$28,$P2281),"INICIAL",IF($O2281&lt;=INDEX(PARAMETROS_CULTURAS!$F$6:$F$28,$P2281)+INDEX(PARAMETROS_CULTURAS!$G$6:$G$28,$P2281),"DESENVOLVIMENTO",IF($O2281&lt;=INDEX(PARAMETROS_CULTURAS!$F$6:$F$28,$P2281)+INDEX(PARAMETROS_CULTURAS!$G$6:$G$28,$P2281)+INDEX(PARAMETROS_CULTURAS!$H$6:$H$28,$P2281),"MEDIA","FINAL"))))</f>
        <v>-</v>
      </c>
      <c r="R2281" s="24" t="n">
        <f aca="false">IF($P2281=0,0,IF($O2281&lt;=INDEX(PARAMETROS_CULTURAS!$F$6:$F$28,$P2281),INDEX(PARAMETROS_CULTURAS!$K$6:$K$28,$P2281),IF($O2281&lt;=INDEX(PARAMETROS_CULTURAS!$F$6:$F$28,$P2281)+INDEX(PARAMETROS_CULTURAS!$G$6:$G$28,$P2281),INDEX(PARAMETROS_CULTURAS!$K$6:$K$28,$P2281)+(INDEX(PARAMETROS_CULTURAS!$L$6:$L$28,$P2281)-INDEX(PARAMETROS_CULTURAS!$K$6:$K$28,$P2281))*($O2281-INDEX(PARAMETROS_CULTURAS!$F$6:$F$28,$P2281))/MAX(INDEX(PARAMETROS_CULTURAS!$G$6:$G$28,$P2281),0.0001),IF($O2281&lt;=INDEX(PARAMETROS_CULTURAS!$F$6:$F$28,$P2281)+INDEX(PARAMETROS_CULTURAS!$G$6:$G$28,$P2281)+INDEX(PARAMETROS_CULTURAS!$H$6:$H$28,$P2281),INDEX(PARAMETROS_CULTURAS!$L$6:$L$28,$P2281),INDEX(PARAMETROS_CULTURAS!$L$6:$L$28,$P2281)+(INDEX(PARAMETROS_CULTURAS!$M$6:$M$28,$P2281)-INDEX(PARAMETROS_CULTURAS!$L$6:$L$28,$P2281))*($O2281-INDEX(PARAMETROS_CULTURAS!$F$6:$F$28,$P2281)-INDEX(PARAMETROS_CULTURAS!$G$6:$G$28,$P2281)-INDEX(PARAMETROS_CULTURAS!$H$6:$H$28,$P2281))/MAX(INDEX(PARAMETROS_CULTURAS!$I$6:$I$28,$P2281),0.0001)))))</f>
        <v>0</v>
      </c>
      <c r="S2281" s="18" t="n">
        <f aca="false">IFERROR(INDEX(SEMANAS!$H$6:$H$71,MATCH($B2281,SEMANAS!$B$6:$B$71,0)),0)</f>
        <v>31.5</v>
      </c>
      <c r="T2281" s="18" t="n">
        <f aca="false">$R2281*$S2281</f>
        <v>0</v>
      </c>
      <c r="U2281" s="18" t="n">
        <f aca="false">IFERROR(INDEX(SEMANAS!$I$6:$I$71,MATCH($B2281,SEMANAS!$B$6:$B$71,0)),0)</f>
        <v>16.31</v>
      </c>
      <c r="V2281" s="18" t="n">
        <f aca="false">IFERROR(INDEX(SEMANAS!$J$6:$J$71,MATCH($B2281,SEMANAS!$B$6:$B$71,0)),0)</f>
        <v>13.048</v>
      </c>
      <c r="W2281" s="18" t="n">
        <f aca="false">MAX(0,$T2281-$V2281)</f>
        <v>0</v>
      </c>
      <c r="X2281" s="19" t="n">
        <f aca="false">IFERROR(INDEX(CADASTRO_PIVOS!$K$6:$K$41,MATCH($E2281,CADASTRO_PIVOS!$B$6:$B$41,0)),EFICIENCIA_PADRAO)</f>
        <v>0.85</v>
      </c>
      <c r="Y2281" s="18" t="n">
        <f aca="false">IF($X2281&lt;=0,0,$W2281/$X2281)</f>
        <v>0</v>
      </c>
      <c r="Z2281" s="16" t="n">
        <f aca="false">$Y2281*$H2281*MM_PARA_M3_HA</f>
        <v>0</v>
      </c>
      <c r="AA2281" s="18" t="n">
        <f aca="false">IFERROR(INDEX(CADASTRO_PIVOS!$I$6:$I$41,MATCH($E2281,CADASTRO_PIVOS!$B$6:$B$41,0)),0)</f>
        <v>614.285714285714</v>
      </c>
      <c r="AB2281" s="18" t="n">
        <f aca="false">IF($Z2281&lt;=0,0,$Z2281/$AA2281)</f>
        <v>0</v>
      </c>
      <c r="AC2281" s="16" t="n">
        <f aca="false">IFERROR(INDEX(SEMANAS!$K$6:$K$71,MATCH($B2281,SEMANAS!$B$6:$B$71,0)),0)</f>
        <v>147</v>
      </c>
      <c r="AD2281" s="19" t="n">
        <f aca="false">IF($AC2281&lt;=0,0,$AB2281/$AC2281)</f>
        <v>0</v>
      </c>
      <c r="AE2281" s="8" t="str">
        <f aca="false">IF($K2281="SEM CULTURA","SEM CULTURA",IF($AA2281&lt;=0,"DADO PENDENTE",IF($AD2281&gt;LIMITE_CRITICO,"INVIAVEL",IF($AD2281&gt;LIMITE_ATENCAO,"CRITICO",IF($AD2281&gt;LIMITE_CONFORTAVEL,"ATENCAO","OK")))))</f>
        <v>SEM CULTURA</v>
      </c>
      <c r="AF2281" s="8" t="str">
        <f aca="false">$B2281&amp;"|"&amp;TEXT($AD2281,"0.000000")</f>
        <v>32|0.000000</v>
      </c>
      <c r="AG2281" s="18" t="n">
        <f aca="false">IF($K2281="SEM CULTURA",0,$T2281*$H2281)</f>
        <v>0</v>
      </c>
      <c r="AH2281" s="18" t="n">
        <f aca="false">IF($K2281="SEM CULTURA",0,$V2281*$H2281)</f>
        <v>0</v>
      </c>
      <c r="AI2281" s="18" t="n">
        <f aca="false">IF($K2281="SEM CULTURA",0,$W2281*$H2281)</f>
        <v>0</v>
      </c>
      <c r="AJ2281" s="18" t="n">
        <f aca="false">IF($K2281="SEM CULTURA",0,$S2281*$H2281)</f>
        <v>0</v>
      </c>
      <c r="AK2281" s="8" t="str">
        <f aca="false">$E2281&amp;"|"&amp;TEXT($AD2281,"0.000000")</f>
        <v>PV 136|0.000000</v>
      </c>
    </row>
    <row r="2282" customFormat="false" ht="15" hidden="false" customHeight="false" outlineLevel="0" collapsed="false">
      <c r="B2282" s="16" t="n">
        <v>33</v>
      </c>
      <c r="C2282" s="17" t="n">
        <f aca="false">DATA_INICIO_SAFRA+($B2282-1)*DIAS_POR_SEMANA</f>
        <v>46489</v>
      </c>
      <c r="D2282" s="17" t="n">
        <f aca="false">$C2282+DIAS_POR_SEMANA-1</f>
        <v>46495</v>
      </c>
      <c r="E2282" s="15" t="s">
        <v>293</v>
      </c>
      <c r="F2282" s="8" t="str">
        <f aca="false">IFERROR(INDEX(CADASTRO_PIVOS!$C$6:$C$41,MATCH($E2282,CADASTRO_PIVOS!$B$6:$B$41,0)),"?")</f>
        <v>RM08</v>
      </c>
      <c r="G2282" s="8" t="str">
        <f aca="false">IFERROR(INDEX(CADASTRO_PIVOS!$D$6:$D$41,MATCH($E2282,CADASTRO_PIVOS!$B$6:$B$41,0)),"?")</f>
        <v>TR08</v>
      </c>
      <c r="H2282" s="20" t="n">
        <f aca="false">IFERROR(INDEX(CADASTRO_PIVOS!$E$6:$E$41,MATCH($E2282,CADASTRO_PIVOS!$B$6:$B$41,0)),0)</f>
        <v>86</v>
      </c>
      <c r="I2282" s="16" t="n">
        <f aca="false">IFERROR(SUMIFS(ROTACAO_RDM!$B$6:$B$71,ROTACAO_RDM!$D$6:$D$71,$E2282,ROTACAO_RDM!$I$6:$I$71,"&lt;="&amp;$C2282+INT(DIAS_POR_SEMANA/2),ROTACAO_RDM!$J$6:$J$71,"&gt;="&amp;$C2282+INT(DIAS_POR_SEMANA/2)),0)</f>
        <v>0</v>
      </c>
      <c r="J2282" s="16" t="n">
        <f aca="false">IFERROR(MATCH($I2282,ROTACAO_RDM!$B$6:$B$71,0),0)</f>
        <v>0</v>
      </c>
      <c r="K2282" s="8" t="str">
        <f aca="false">IF($J2282=0,"SEM CULTURA",INDEX(ROTACAO_RDM!$F$6:$F$71,$J2282))</f>
        <v>SEM CULTURA</v>
      </c>
      <c r="L2282" s="8" t="str">
        <f aca="false">IF($J2282=0,"",INDEX(ROTACAO_RDM!$G$6:$G$71,$J2282))</f>
        <v/>
      </c>
      <c r="M2282" s="17" t="str">
        <f aca="false">IF($J2282=0,"",INDEX(ROTACAO_RDM!$I$6:$I$71,$J2282))</f>
        <v/>
      </c>
      <c r="N2282" s="16" t="n">
        <f aca="false">IF($J2282=0,0,MAX(0,$C2282+INT(DIAS_POR_SEMANA/2)-INDEX(ROTACAO_RDM!$I$6:$I$71,$J2282)))</f>
        <v>0</v>
      </c>
      <c r="O2282" s="19" t="n">
        <f aca="false">IF($J2282=0,0,MIN(1,$N2282/MAX(1,INDEX(ROTACAO_RDM!$K$6:$K$71,$J2282))))</f>
        <v>0</v>
      </c>
      <c r="P2282" s="16" t="n">
        <f aca="false">IF($J2282=0,0,IFERROR(MATCH(INDEX(ROTACAO_RDM!$N$6:$N$71,$J2282),PARAMETROS_CULTURAS!$B$6:$B$28,0),0))</f>
        <v>0</v>
      </c>
      <c r="Q2282" s="8" t="str">
        <f aca="false">IF($P2282=0,"-",IF($O2282&lt;=INDEX(PARAMETROS_CULTURAS!$F$6:$F$28,$P2282),"INICIAL",IF($O2282&lt;=INDEX(PARAMETROS_CULTURAS!$F$6:$F$28,$P2282)+INDEX(PARAMETROS_CULTURAS!$G$6:$G$28,$P2282),"DESENVOLVIMENTO",IF($O2282&lt;=INDEX(PARAMETROS_CULTURAS!$F$6:$F$28,$P2282)+INDEX(PARAMETROS_CULTURAS!$G$6:$G$28,$P2282)+INDEX(PARAMETROS_CULTURAS!$H$6:$H$28,$P2282),"MEDIA","FINAL"))))</f>
        <v>-</v>
      </c>
      <c r="R2282" s="24" t="n">
        <f aca="false">IF($P2282=0,0,IF($O2282&lt;=INDEX(PARAMETROS_CULTURAS!$F$6:$F$28,$P2282),INDEX(PARAMETROS_CULTURAS!$K$6:$K$28,$P2282),IF($O2282&lt;=INDEX(PARAMETROS_CULTURAS!$F$6:$F$28,$P2282)+INDEX(PARAMETROS_CULTURAS!$G$6:$G$28,$P2282),INDEX(PARAMETROS_CULTURAS!$K$6:$K$28,$P2282)+(INDEX(PARAMETROS_CULTURAS!$L$6:$L$28,$P2282)-INDEX(PARAMETROS_CULTURAS!$K$6:$K$28,$P2282))*($O2282-INDEX(PARAMETROS_CULTURAS!$F$6:$F$28,$P2282))/MAX(INDEX(PARAMETROS_CULTURAS!$G$6:$G$28,$P2282),0.0001),IF($O2282&lt;=INDEX(PARAMETROS_CULTURAS!$F$6:$F$28,$P2282)+INDEX(PARAMETROS_CULTURAS!$G$6:$G$28,$P2282)+INDEX(PARAMETROS_CULTURAS!$H$6:$H$28,$P2282),INDEX(PARAMETROS_CULTURAS!$L$6:$L$28,$P2282),INDEX(PARAMETROS_CULTURAS!$L$6:$L$28,$P2282)+(INDEX(PARAMETROS_CULTURAS!$M$6:$M$28,$P2282)-INDEX(PARAMETROS_CULTURAS!$L$6:$L$28,$P2282))*($O2282-INDEX(PARAMETROS_CULTURAS!$F$6:$F$28,$P2282)-INDEX(PARAMETROS_CULTURAS!$G$6:$G$28,$P2282)-INDEX(PARAMETROS_CULTURAS!$H$6:$H$28,$P2282))/MAX(INDEX(PARAMETROS_CULTURAS!$I$6:$I$28,$P2282),0.0001)))))</f>
        <v>0</v>
      </c>
      <c r="S2282" s="18" t="n">
        <f aca="false">IFERROR(INDEX(SEMANAS!$H$6:$H$71,MATCH($B2282,SEMANAS!$B$6:$B$71,0)),0)</f>
        <v>31.5</v>
      </c>
      <c r="T2282" s="18" t="n">
        <f aca="false">$R2282*$S2282</f>
        <v>0</v>
      </c>
      <c r="U2282" s="18" t="n">
        <f aca="false">IFERROR(INDEX(SEMANAS!$I$6:$I$71,MATCH($B2282,SEMANAS!$B$6:$B$71,0)),0)</f>
        <v>16.31</v>
      </c>
      <c r="V2282" s="18" t="n">
        <f aca="false">IFERROR(INDEX(SEMANAS!$J$6:$J$71,MATCH($B2282,SEMANAS!$B$6:$B$71,0)),0)</f>
        <v>13.048</v>
      </c>
      <c r="W2282" s="18" t="n">
        <f aca="false">MAX(0,$T2282-$V2282)</f>
        <v>0</v>
      </c>
      <c r="X2282" s="19" t="n">
        <f aca="false">IFERROR(INDEX(CADASTRO_PIVOS!$K$6:$K$41,MATCH($E2282,CADASTRO_PIVOS!$B$6:$B$41,0)),EFICIENCIA_PADRAO)</f>
        <v>0.85</v>
      </c>
      <c r="Y2282" s="18" t="n">
        <f aca="false">IF($X2282&lt;=0,0,$W2282/$X2282)</f>
        <v>0</v>
      </c>
      <c r="Z2282" s="16" t="n">
        <f aca="false">$Y2282*$H2282*MM_PARA_M3_HA</f>
        <v>0</v>
      </c>
      <c r="AA2282" s="18" t="n">
        <f aca="false">IFERROR(INDEX(CADASTRO_PIVOS!$I$6:$I$41,MATCH($E2282,CADASTRO_PIVOS!$B$6:$B$41,0)),0)</f>
        <v>614.285714285714</v>
      </c>
      <c r="AB2282" s="18" t="n">
        <f aca="false">IF($Z2282&lt;=0,0,$Z2282/$AA2282)</f>
        <v>0</v>
      </c>
      <c r="AC2282" s="16" t="n">
        <f aca="false">IFERROR(INDEX(SEMANAS!$K$6:$K$71,MATCH($B2282,SEMANAS!$B$6:$B$71,0)),0)</f>
        <v>147</v>
      </c>
      <c r="AD2282" s="19" t="n">
        <f aca="false">IF($AC2282&lt;=0,0,$AB2282/$AC2282)</f>
        <v>0</v>
      </c>
      <c r="AE2282" s="8" t="str">
        <f aca="false">IF($K2282="SEM CULTURA","SEM CULTURA",IF($AA2282&lt;=0,"DADO PENDENTE",IF($AD2282&gt;LIMITE_CRITICO,"INVIAVEL",IF($AD2282&gt;LIMITE_ATENCAO,"CRITICO",IF($AD2282&gt;LIMITE_CONFORTAVEL,"ATENCAO","OK")))))</f>
        <v>SEM CULTURA</v>
      </c>
      <c r="AF2282" s="8" t="str">
        <f aca="false">$B2282&amp;"|"&amp;TEXT($AD2282,"0.000000")</f>
        <v>33|0.000000</v>
      </c>
      <c r="AG2282" s="18" t="n">
        <f aca="false">IF($K2282="SEM CULTURA",0,$T2282*$H2282)</f>
        <v>0</v>
      </c>
      <c r="AH2282" s="18" t="n">
        <f aca="false">IF($K2282="SEM CULTURA",0,$V2282*$H2282)</f>
        <v>0</v>
      </c>
      <c r="AI2282" s="18" t="n">
        <f aca="false">IF($K2282="SEM CULTURA",0,$W2282*$H2282)</f>
        <v>0</v>
      </c>
      <c r="AJ2282" s="18" t="n">
        <f aca="false">IF($K2282="SEM CULTURA",0,$S2282*$H2282)</f>
        <v>0</v>
      </c>
      <c r="AK2282" s="8" t="str">
        <f aca="false">$E2282&amp;"|"&amp;TEXT($AD2282,"0.000000")</f>
        <v>PV 136|0.000000</v>
      </c>
    </row>
    <row r="2283" customFormat="false" ht="15" hidden="false" customHeight="false" outlineLevel="0" collapsed="false">
      <c r="B2283" s="16" t="n">
        <v>34</v>
      </c>
      <c r="C2283" s="17" t="n">
        <f aca="false">DATA_INICIO_SAFRA+($B2283-1)*DIAS_POR_SEMANA</f>
        <v>46496</v>
      </c>
      <c r="D2283" s="17" t="n">
        <f aca="false">$C2283+DIAS_POR_SEMANA-1</f>
        <v>46502</v>
      </c>
      <c r="E2283" s="15" t="s">
        <v>293</v>
      </c>
      <c r="F2283" s="8" t="str">
        <f aca="false">IFERROR(INDEX(CADASTRO_PIVOS!$C$6:$C$41,MATCH($E2283,CADASTRO_PIVOS!$B$6:$B$41,0)),"?")</f>
        <v>RM08</v>
      </c>
      <c r="G2283" s="8" t="str">
        <f aca="false">IFERROR(INDEX(CADASTRO_PIVOS!$D$6:$D$41,MATCH($E2283,CADASTRO_PIVOS!$B$6:$B$41,0)),"?")</f>
        <v>TR08</v>
      </c>
      <c r="H2283" s="20" t="n">
        <f aca="false">IFERROR(INDEX(CADASTRO_PIVOS!$E$6:$E$41,MATCH($E2283,CADASTRO_PIVOS!$B$6:$B$41,0)),0)</f>
        <v>86</v>
      </c>
      <c r="I2283" s="16" t="n">
        <f aca="false">IFERROR(SUMIFS(ROTACAO_RDM!$B$6:$B$71,ROTACAO_RDM!$D$6:$D$71,$E2283,ROTACAO_RDM!$I$6:$I$71,"&lt;="&amp;$C2283+INT(DIAS_POR_SEMANA/2),ROTACAO_RDM!$J$6:$J$71,"&gt;="&amp;$C2283+INT(DIAS_POR_SEMANA/2)),0)</f>
        <v>0</v>
      </c>
      <c r="J2283" s="16" t="n">
        <f aca="false">IFERROR(MATCH($I2283,ROTACAO_RDM!$B$6:$B$71,0),0)</f>
        <v>0</v>
      </c>
      <c r="K2283" s="8" t="str">
        <f aca="false">IF($J2283=0,"SEM CULTURA",INDEX(ROTACAO_RDM!$F$6:$F$71,$J2283))</f>
        <v>SEM CULTURA</v>
      </c>
      <c r="L2283" s="8" t="str">
        <f aca="false">IF($J2283=0,"",INDEX(ROTACAO_RDM!$G$6:$G$71,$J2283))</f>
        <v/>
      </c>
      <c r="M2283" s="17" t="str">
        <f aca="false">IF($J2283=0,"",INDEX(ROTACAO_RDM!$I$6:$I$71,$J2283))</f>
        <v/>
      </c>
      <c r="N2283" s="16" t="n">
        <f aca="false">IF($J2283=0,0,MAX(0,$C2283+INT(DIAS_POR_SEMANA/2)-INDEX(ROTACAO_RDM!$I$6:$I$71,$J2283)))</f>
        <v>0</v>
      </c>
      <c r="O2283" s="19" t="n">
        <f aca="false">IF($J2283=0,0,MIN(1,$N2283/MAX(1,INDEX(ROTACAO_RDM!$K$6:$K$71,$J2283))))</f>
        <v>0</v>
      </c>
      <c r="P2283" s="16" t="n">
        <f aca="false">IF($J2283=0,0,IFERROR(MATCH(INDEX(ROTACAO_RDM!$N$6:$N$71,$J2283),PARAMETROS_CULTURAS!$B$6:$B$28,0),0))</f>
        <v>0</v>
      </c>
      <c r="Q2283" s="8" t="str">
        <f aca="false">IF($P2283=0,"-",IF($O2283&lt;=INDEX(PARAMETROS_CULTURAS!$F$6:$F$28,$P2283),"INICIAL",IF($O2283&lt;=INDEX(PARAMETROS_CULTURAS!$F$6:$F$28,$P2283)+INDEX(PARAMETROS_CULTURAS!$G$6:$G$28,$P2283),"DESENVOLVIMENTO",IF($O2283&lt;=INDEX(PARAMETROS_CULTURAS!$F$6:$F$28,$P2283)+INDEX(PARAMETROS_CULTURAS!$G$6:$G$28,$P2283)+INDEX(PARAMETROS_CULTURAS!$H$6:$H$28,$P2283),"MEDIA","FINAL"))))</f>
        <v>-</v>
      </c>
      <c r="R2283" s="24" t="n">
        <f aca="false">IF($P2283=0,0,IF($O2283&lt;=INDEX(PARAMETROS_CULTURAS!$F$6:$F$28,$P2283),INDEX(PARAMETROS_CULTURAS!$K$6:$K$28,$P2283),IF($O2283&lt;=INDEX(PARAMETROS_CULTURAS!$F$6:$F$28,$P2283)+INDEX(PARAMETROS_CULTURAS!$G$6:$G$28,$P2283),INDEX(PARAMETROS_CULTURAS!$K$6:$K$28,$P2283)+(INDEX(PARAMETROS_CULTURAS!$L$6:$L$28,$P2283)-INDEX(PARAMETROS_CULTURAS!$K$6:$K$28,$P2283))*($O2283-INDEX(PARAMETROS_CULTURAS!$F$6:$F$28,$P2283))/MAX(INDEX(PARAMETROS_CULTURAS!$G$6:$G$28,$P2283),0.0001),IF($O2283&lt;=INDEX(PARAMETROS_CULTURAS!$F$6:$F$28,$P2283)+INDEX(PARAMETROS_CULTURAS!$G$6:$G$28,$P2283)+INDEX(PARAMETROS_CULTURAS!$H$6:$H$28,$P2283),INDEX(PARAMETROS_CULTURAS!$L$6:$L$28,$P2283),INDEX(PARAMETROS_CULTURAS!$L$6:$L$28,$P2283)+(INDEX(PARAMETROS_CULTURAS!$M$6:$M$28,$P2283)-INDEX(PARAMETROS_CULTURAS!$L$6:$L$28,$P2283))*($O2283-INDEX(PARAMETROS_CULTURAS!$F$6:$F$28,$P2283)-INDEX(PARAMETROS_CULTURAS!$G$6:$G$28,$P2283)-INDEX(PARAMETROS_CULTURAS!$H$6:$H$28,$P2283))/MAX(INDEX(PARAMETROS_CULTURAS!$I$6:$I$28,$P2283),0.0001)))))</f>
        <v>0</v>
      </c>
      <c r="S2283" s="18" t="n">
        <f aca="false">IFERROR(INDEX(SEMANAS!$H$6:$H$71,MATCH($B2283,SEMANAS!$B$6:$B$71,0)),0)</f>
        <v>31.5</v>
      </c>
      <c r="T2283" s="18" t="n">
        <f aca="false">$R2283*$S2283</f>
        <v>0</v>
      </c>
      <c r="U2283" s="18" t="n">
        <f aca="false">IFERROR(INDEX(SEMANAS!$I$6:$I$71,MATCH($B2283,SEMANAS!$B$6:$B$71,0)),0)</f>
        <v>16.31</v>
      </c>
      <c r="V2283" s="18" t="n">
        <f aca="false">IFERROR(INDEX(SEMANAS!$J$6:$J$71,MATCH($B2283,SEMANAS!$B$6:$B$71,0)),0)</f>
        <v>13.048</v>
      </c>
      <c r="W2283" s="18" t="n">
        <f aca="false">MAX(0,$T2283-$V2283)</f>
        <v>0</v>
      </c>
      <c r="X2283" s="19" t="n">
        <f aca="false">IFERROR(INDEX(CADASTRO_PIVOS!$K$6:$K$41,MATCH($E2283,CADASTRO_PIVOS!$B$6:$B$41,0)),EFICIENCIA_PADRAO)</f>
        <v>0.85</v>
      </c>
      <c r="Y2283" s="18" t="n">
        <f aca="false">IF($X2283&lt;=0,0,$W2283/$X2283)</f>
        <v>0</v>
      </c>
      <c r="Z2283" s="16" t="n">
        <f aca="false">$Y2283*$H2283*MM_PARA_M3_HA</f>
        <v>0</v>
      </c>
      <c r="AA2283" s="18" t="n">
        <f aca="false">IFERROR(INDEX(CADASTRO_PIVOS!$I$6:$I$41,MATCH($E2283,CADASTRO_PIVOS!$B$6:$B$41,0)),0)</f>
        <v>614.285714285714</v>
      </c>
      <c r="AB2283" s="18" t="n">
        <f aca="false">IF($Z2283&lt;=0,0,$Z2283/$AA2283)</f>
        <v>0</v>
      </c>
      <c r="AC2283" s="16" t="n">
        <f aca="false">IFERROR(INDEX(SEMANAS!$K$6:$K$71,MATCH($B2283,SEMANAS!$B$6:$B$71,0)),0)</f>
        <v>147</v>
      </c>
      <c r="AD2283" s="19" t="n">
        <f aca="false">IF($AC2283&lt;=0,0,$AB2283/$AC2283)</f>
        <v>0</v>
      </c>
      <c r="AE2283" s="8" t="str">
        <f aca="false">IF($K2283="SEM CULTURA","SEM CULTURA",IF($AA2283&lt;=0,"DADO PENDENTE",IF($AD2283&gt;LIMITE_CRITICO,"INVIAVEL",IF($AD2283&gt;LIMITE_ATENCAO,"CRITICO",IF($AD2283&gt;LIMITE_CONFORTAVEL,"ATENCAO","OK")))))</f>
        <v>SEM CULTURA</v>
      </c>
      <c r="AF2283" s="8" t="str">
        <f aca="false">$B2283&amp;"|"&amp;TEXT($AD2283,"0.000000")</f>
        <v>34|0.000000</v>
      </c>
      <c r="AG2283" s="18" t="n">
        <f aca="false">IF($K2283="SEM CULTURA",0,$T2283*$H2283)</f>
        <v>0</v>
      </c>
      <c r="AH2283" s="18" t="n">
        <f aca="false">IF($K2283="SEM CULTURA",0,$V2283*$H2283)</f>
        <v>0</v>
      </c>
      <c r="AI2283" s="18" t="n">
        <f aca="false">IF($K2283="SEM CULTURA",0,$W2283*$H2283)</f>
        <v>0</v>
      </c>
      <c r="AJ2283" s="18" t="n">
        <f aca="false">IF($K2283="SEM CULTURA",0,$S2283*$H2283)</f>
        <v>0</v>
      </c>
      <c r="AK2283" s="8" t="str">
        <f aca="false">$E2283&amp;"|"&amp;TEXT($AD2283,"0.000000")</f>
        <v>PV 136|0.000000</v>
      </c>
    </row>
    <row r="2284" customFormat="false" ht="15" hidden="false" customHeight="false" outlineLevel="0" collapsed="false">
      <c r="B2284" s="16" t="n">
        <v>35</v>
      </c>
      <c r="C2284" s="17" t="n">
        <f aca="false">DATA_INICIO_SAFRA+($B2284-1)*DIAS_POR_SEMANA</f>
        <v>46503</v>
      </c>
      <c r="D2284" s="17" t="n">
        <f aca="false">$C2284+DIAS_POR_SEMANA-1</f>
        <v>46509</v>
      </c>
      <c r="E2284" s="15" t="s">
        <v>293</v>
      </c>
      <c r="F2284" s="8" t="str">
        <f aca="false">IFERROR(INDEX(CADASTRO_PIVOS!$C$6:$C$41,MATCH($E2284,CADASTRO_PIVOS!$B$6:$B$41,0)),"?")</f>
        <v>RM08</v>
      </c>
      <c r="G2284" s="8" t="str">
        <f aca="false">IFERROR(INDEX(CADASTRO_PIVOS!$D$6:$D$41,MATCH($E2284,CADASTRO_PIVOS!$B$6:$B$41,0)),"?")</f>
        <v>TR08</v>
      </c>
      <c r="H2284" s="20" t="n">
        <f aca="false">IFERROR(INDEX(CADASTRO_PIVOS!$E$6:$E$41,MATCH($E2284,CADASTRO_PIVOS!$B$6:$B$41,0)),0)</f>
        <v>86</v>
      </c>
      <c r="I2284" s="16" t="n">
        <f aca="false">IFERROR(SUMIFS(ROTACAO_RDM!$B$6:$B$71,ROTACAO_RDM!$D$6:$D$71,$E2284,ROTACAO_RDM!$I$6:$I$71,"&lt;="&amp;$C2284+INT(DIAS_POR_SEMANA/2),ROTACAO_RDM!$J$6:$J$71,"&gt;="&amp;$C2284+INT(DIAS_POR_SEMANA/2)),0)</f>
        <v>0</v>
      </c>
      <c r="J2284" s="16" t="n">
        <f aca="false">IFERROR(MATCH($I2284,ROTACAO_RDM!$B$6:$B$71,0),0)</f>
        <v>0</v>
      </c>
      <c r="K2284" s="8" t="str">
        <f aca="false">IF($J2284=0,"SEM CULTURA",INDEX(ROTACAO_RDM!$F$6:$F$71,$J2284))</f>
        <v>SEM CULTURA</v>
      </c>
      <c r="L2284" s="8" t="str">
        <f aca="false">IF($J2284=0,"",INDEX(ROTACAO_RDM!$G$6:$G$71,$J2284))</f>
        <v/>
      </c>
      <c r="M2284" s="17" t="str">
        <f aca="false">IF($J2284=0,"",INDEX(ROTACAO_RDM!$I$6:$I$71,$J2284))</f>
        <v/>
      </c>
      <c r="N2284" s="16" t="n">
        <f aca="false">IF($J2284=0,0,MAX(0,$C2284+INT(DIAS_POR_SEMANA/2)-INDEX(ROTACAO_RDM!$I$6:$I$71,$J2284)))</f>
        <v>0</v>
      </c>
      <c r="O2284" s="19" t="n">
        <f aca="false">IF($J2284=0,0,MIN(1,$N2284/MAX(1,INDEX(ROTACAO_RDM!$K$6:$K$71,$J2284))))</f>
        <v>0</v>
      </c>
      <c r="P2284" s="16" t="n">
        <f aca="false">IF($J2284=0,0,IFERROR(MATCH(INDEX(ROTACAO_RDM!$N$6:$N$71,$J2284),PARAMETROS_CULTURAS!$B$6:$B$28,0),0))</f>
        <v>0</v>
      </c>
      <c r="Q2284" s="8" t="str">
        <f aca="false">IF($P2284=0,"-",IF($O2284&lt;=INDEX(PARAMETROS_CULTURAS!$F$6:$F$28,$P2284),"INICIAL",IF($O2284&lt;=INDEX(PARAMETROS_CULTURAS!$F$6:$F$28,$P2284)+INDEX(PARAMETROS_CULTURAS!$G$6:$G$28,$P2284),"DESENVOLVIMENTO",IF($O2284&lt;=INDEX(PARAMETROS_CULTURAS!$F$6:$F$28,$P2284)+INDEX(PARAMETROS_CULTURAS!$G$6:$G$28,$P2284)+INDEX(PARAMETROS_CULTURAS!$H$6:$H$28,$P2284),"MEDIA","FINAL"))))</f>
        <v>-</v>
      </c>
      <c r="R2284" s="24" t="n">
        <f aca="false">IF($P2284=0,0,IF($O2284&lt;=INDEX(PARAMETROS_CULTURAS!$F$6:$F$28,$P2284),INDEX(PARAMETROS_CULTURAS!$K$6:$K$28,$P2284),IF($O2284&lt;=INDEX(PARAMETROS_CULTURAS!$F$6:$F$28,$P2284)+INDEX(PARAMETROS_CULTURAS!$G$6:$G$28,$P2284),INDEX(PARAMETROS_CULTURAS!$K$6:$K$28,$P2284)+(INDEX(PARAMETROS_CULTURAS!$L$6:$L$28,$P2284)-INDEX(PARAMETROS_CULTURAS!$K$6:$K$28,$P2284))*($O2284-INDEX(PARAMETROS_CULTURAS!$F$6:$F$28,$P2284))/MAX(INDEX(PARAMETROS_CULTURAS!$G$6:$G$28,$P2284),0.0001),IF($O2284&lt;=INDEX(PARAMETROS_CULTURAS!$F$6:$F$28,$P2284)+INDEX(PARAMETROS_CULTURAS!$G$6:$G$28,$P2284)+INDEX(PARAMETROS_CULTURAS!$H$6:$H$28,$P2284),INDEX(PARAMETROS_CULTURAS!$L$6:$L$28,$P2284),INDEX(PARAMETROS_CULTURAS!$L$6:$L$28,$P2284)+(INDEX(PARAMETROS_CULTURAS!$M$6:$M$28,$P2284)-INDEX(PARAMETROS_CULTURAS!$L$6:$L$28,$P2284))*($O2284-INDEX(PARAMETROS_CULTURAS!$F$6:$F$28,$P2284)-INDEX(PARAMETROS_CULTURAS!$G$6:$G$28,$P2284)-INDEX(PARAMETROS_CULTURAS!$H$6:$H$28,$P2284))/MAX(INDEX(PARAMETROS_CULTURAS!$I$6:$I$28,$P2284),0.0001)))))</f>
        <v>0</v>
      </c>
      <c r="S2284" s="18" t="n">
        <f aca="false">IFERROR(INDEX(SEMANAS!$H$6:$H$71,MATCH($B2284,SEMANAS!$B$6:$B$71,0)),0)</f>
        <v>30.9</v>
      </c>
      <c r="T2284" s="18" t="n">
        <f aca="false">$R2284*$S2284</f>
        <v>0</v>
      </c>
      <c r="U2284" s="18" t="n">
        <f aca="false">IFERROR(INDEX(SEMANAS!$I$6:$I$71,MATCH($B2284,SEMANAS!$B$6:$B$71,0)),0)</f>
        <v>12.61</v>
      </c>
      <c r="V2284" s="18" t="n">
        <f aca="false">IFERROR(INDEX(SEMANAS!$J$6:$J$71,MATCH($B2284,SEMANAS!$B$6:$B$71,0)),0)</f>
        <v>10.088</v>
      </c>
      <c r="W2284" s="18" t="n">
        <f aca="false">MAX(0,$T2284-$V2284)</f>
        <v>0</v>
      </c>
      <c r="X2284" s="19" t="n">
        <f aca="false">IFERROR(INDEX(CADASTRO_PIVOS!$K$6:$K$41,MATCH($E2284,CADASTRO_PIVOS!$B$6:$B$41,0)),EFICIENCIA_PADRAO)</f>
        <v>0.85</v>
      </c>
      <c r="Y2284" s="18" t="n">
        <f aca="false">IF($X2284&lt;=0,0,$W2284/$X2284)</f>
        <v>0</v>
      </c>
      <c r="Z2284" s="16" t="n">
        <f aca="false">$Y2284*$H2284*MM_PARA_M3_HA</f>
        <v>0</v>
      </c>
      <c r="AA2284" s="18" t="n">
        <f aca="false">IFERROR(INDEX(CADASTRO_PIVOS!$I$6:$I$41,MATCH($E2284,CADASTRO_PIVOS!$B$6:$B$41,0)),0)</f>
        <v>614.285714285714</v>
      </c>
      <c r="AB2284" s="18" t="n">
        <f aca="false">IF($Z2284&lt;=0,0,$Z2284/$AA2284)</f>
        <v>0</v>
      </c>
      <c r="AC2284" s="16" t="n">
        <f aca="false">IFERROR(INDEX(SEMANAS!$K$6:$K$71,MATCH($B2284,SEMANAS!$B$6:$B$71,0)),0)</f>
        <v>147</v>
      </c>
      <c r="AD2284" s="19" t="n">
        <f aca="false">IF($AC2284&lt;=0,0,$AB2284/$AC2284)</f>
        <v>0</v>
      </c>
      <c r="AE2284" s="8" t="str">
        <f aca="false">IF($K2284="SEM CULTURA","SEM CULTURA",IF($AA2284&lt;=0,"DADO PENDENTE",IF($AD2284&gt;LIMITE_CRITICO,"INVIAVEL",IF($AD2284&gt;LIMITE_ATENCAO,"CRITICO",IF($AD2284&gt;LIMITE_CONFORTAVEL,"ATENCAO","OK")))))</f>
        <v>SEM CULTURA</v>
      </c>
      <c r="AF2284" s="8" t="str">
        <f aca="false">$B2284&amp;"|"&amp;TEXT($AD2284,"0.000000")</f>
        <v>35|0.000000</v>
      </c>
      <c r="AG2284" s="18" t="n">
        <f aca="false">IF($K2284="SEM CULTURA",0,$T2284*$H2284)</f>
        <v>0</v>
      </c>
      <c r="AH2284" s="18" t="n">
        <f aca="false">IF($K2284="SEM CULTURA",0,$V2284*$H2284)</f>
        <v>0</v>
      </c>
      <c r="AI2284" s="18" t="n">
        <f aca="false">IF($K2284="SEM CULTURA",0,$W2284*$H2284)</f>
        <v>0</v>
      </c>
      <c r="AJ2284" s="18" t="n">
        <f aca="false">IF($K2284="SEM CULTURA",0,$S2284*$H2284)</f>
        <v>0</v>
      </c>
      <c r="AK2284" s="8" t="str">
        <f aca="false">$E2284&amp;"|"&amp;TEXT($AD2284,"0.000000")</f>
        <v>PV 136|0.000000</v>
      </c>
    </row>
    <row r="2285" customFormat="false" ht="15" hidden="false" customHeight="false" outlineLevel="0" collapsed="false">
      <c r="B2285" s="16" t="n">
        <v>36</v>
      </c>
      <c r="C2285" s="17" t="n">
        <f aca="false">DATA_INICIO_SAFRA+($B2285-1)*DIAS_POR_SEMANA</f>
        <v>46510</v>
      </c>
      <c r="D2285" s="17" t="n">
        <f aca="false">$C2285+DIAS_POR_SEMANA-1</f>
        <v>46516</v>
      </c>
      <c r="E2285" s="15" t="s">
        <v>293</v>
      </c>
      <c r="F2285" s="8" t="str">
        <f aca="false">IFERROR(INDEX(CADASTRO_PIVOS!$C$6:$C$41,MATCH($E2285,CADASTRO_PIVOS!$B$6:$B$41,0)),"?")</f>
        <v>RM08</v>
      </c>
      <c r="G2285" s="8" t="str">
        <f aca="false">IFERROR(INDEX(CADASTRO_PIVOS!$D$6:$D$41,MATCH($E2285,CADASTRO_PIVOS!$B$6:$B$41,0)),"?")</f>
        <v>TR08</v>
      </c>
      <c r="H2285" s="20" t="n">
        <f aca="false">IFERROR(INDEX(CADASTRO_PIVOS!$E$6:$E$41,MATCH($E2285,CADASTRO_PIVOS!$B$6:$B$41,0)),0)</f>
        <v>86</v>
      </c>
      <c r="I2285" s="16" t="n">
        <f aca="false">IFERROR(SUMIFS(ROTACAO_RDM!$B$6:$B$71,ROTACAO_RDM!$D$6:$D$71,$E2285,ROTACAO_RDM!$I$6:$I$71,"&lt;="&amp;$C2285+INT(DIAS_POR_SEMANA/2),ROTACAO_RDM!$J$6:$J$71,"&gt;="&amp;$C2285+INT(DIAS_POR_SEMANA/2)),0)</f>
        <v>0</v>
      </c>
      <c r="J2285" s="16" t="n">
        <f aca="false">IFERROR(MATCH($I2285,ROTACAO_RDM!$B$6:$B$71,0),0)</f>
        <v>0</v>
      </c>
      <c r="K2285" s="8" t="str">
        <f aca="false">IF($J2285=0,"SEM CULTURA",INDEX(ROTACAO_RDM!$F$6:$F$71,$J2285))</f>
        <v>SEM CULTURA</v>
      </c>
      <c r="L2285" s="8" t="str">
        <f aca="false">IF($J2285=0,"",INDEX(ROTACAO_RDM!$G$6:$G$71,$J2285))</f>
        <v/>
      </c>
      <c r="M2285" s="17" t="str">
        <f aca="false">IF($J2285=0,"",INDEX(ROTACAO_RDM!$I$6:$I$71,$J2285))</f>
        <v/>
      </c>
      <c r="N2285" s="16" t="n">
        <f aca="false">IF($J2285=0,0,MAX(0,$C2285+INT(DIAS_POR_SEMANA/2)-INDEX(ROTACAO_RDM!$I$6:$I$71,$J2285)))</f>
        <v>0</v>
      </c>
      <c r="O2285" s="19" t="n">
        <f aca="false">IF($J2285=0,0,MIN(1,$N2285/MAX(1,INDEX(ROTACAO_RDM!$K$6:$K$71,$J2285))))</f>
        <v>0</v>
      </c>
      <c r="P2285" s="16" t="n">
        <f aca="false">IF($J2285=0,0,IFERROR(MATCH(INDEX(ROTACAO_RDM!$N$6:$N$71,$J2285),PARAMETROS_CULTURAS!$B$6:$B$28,0),0))</f>
        <v>0</v>
      </c>
      <c r="Q2285" s="8" t="str">
        <f aca="false">IF($P2285=0,"-",IF($O2285&lt;=INDEX(PARAMETROS_CULTURAS!$F$6:$F$28,$P2285),"INICIAL",IF($O2285&lt;=INDEX(PARAMETROS_CULTURAS!$F$6:$F$28,$P2285)+INDEX(PARAMETROS_CULTURAS!$G$6:$G$28,$P2285),"DESENVOLVIMENTO",IF($O2285&lt;=INDEX(PARAMETROS_CULTURAS!$F$6:$F$28,$P2285)+INDEX(PARAMETROS_CULTURAS!$G$6:$G$28,$P2285)+INDEX(PARAMETROS_CULTURAS!$H$6:$H$28,$P2285),"MEDIA","FINAL"))))</f>
        <v>-</v>
      </c>
      <c r="R2285" s="24" t="n">
        <f aca="false">IF($P2285=0,0,IF($O2285&lt;=INDEX(PARAMETROS_CULTURAS!$F$6:$F$28,$P2285),INDEX(PARAMETROS_CULTURAS!$K$6:$K$28,$P2285),IF($O2285&lt;=INDEX(PARAMETROS_CULTURAS!$F$6:$F$28,$P2285)+INDEX(PARAMETROS_CULTURAS!$G$6:$G$28,$P2285),INDEX(PARAMETROS_CULTURAS!$K$6:$K$28,$P2285)+(INDEX(PARAMETROS_CULTURAS!$L$6:$L$28,$P2285)-INDEX(PARAMETROS_CULTURAS!$K$6:$K$28,$P2285))*($O2285-INDEX(PARAMETROS_CULTURAS!$F$6:$F$28,$P2285))/MAX(INDEX(PARAMETROS_CULTURAS!$G$6:$G$28,$P2285),0.0001),IF($O2285&lt;=INDEX(PARAMETROS_CULTURAS!$F$6:$F$28,$P2285)+INDEX(PARAMETROS_CULTURAS!$G$6:$G$28,$P2285)+INDEX(PARAMETROS_CULTURAS!$H$6:$H$28,$P2285),INDEX(PARAMETROS_CULTURAS!$L$6:$L$28,$P2285),INDEX(PARAMETROS_CULTURAS!$L$6:$L$28,$P2285)+(INDEX(PARAMETROS_CULTURAS!$M$6:$M$28,$P2285)-INDEX(PARAMETROS_CULTURAS!$L$6:$L$28,$P2285))*($O2285-INDEX(PARAMETROS_CULTURAS!$F$6:$F$28,$P2285)-INDEX(PARAMETROS_CULTURAS!$G$6:$G$28,$P2285)-INDEX(PARAMETROS_CULTURAS!$H$6:$H$28,$P2285))/MAX(INDEX(PARAMETROS_CULTURAS!$I$6:$I$28,$P2285),0.0001)))))</f>
        <v>0</v>
      </c>
      <c r="S2285" s="18" t="n">
        <f aca="false">IFERROR(INDEX(SEMANAS!$H$6:$H$71,MATCH($B2285,SEMANAS!$B$6:$B$71,0)),0)</f>
        <v>29.4</v>
      </c>
      <c r="T2285" s="18" t="n">
        <f aca="false">$R2285*$S2285</f>
        <v>0</v>
      </c>
      <c r="U2285" s="18" t="n">
        <f aca="false">IFERROR(INDEX(SEMANAS!$I$6:$I$71,MATCH($B2285,SEMANAS!$B$6:$B$71,0)),0)</f>
        <v>3.36</v>
      </c>
      <c r="V2285" s="18" t="n">
        <f aca="false">IFERROR(INDEX(SEMANAS!$J$6:$J$71,MATCH($B2285,SEMANAS!$B$6:$B$71,0)),0)</f>
        <v>2.688</v>
      </c>
      <c r="W2285" s="18" t="n">
        <f aca="false">MAX(0,$T2285-$V2285)</f>
        <v>0</v>
      </c>
      <c r="X2285" s="19" t="n">
        <f aca="false">IFERROR(INDEX(CADASTRO_PIVOS!$K$6:$K$41,MATCH($E2285,CADASTRO_PIVOS!$B$6:$B$41,0)),EFICIENCIA_PADRAO)</f>
        <v>0.85</v>
      </c>
      <c r="Y2285" s="18" t="n">
        <f aca="false">IF($X2285&lt;=0,0,$W2285/$X2285)</f>
        <v>0</v>
      </c>
      <c r="Z2285" s="16" t="n">
        <f aca="false">$Y2285*$H2285*MM_PARA_M3_HA</f>
        <v>0</v>
      </c>
      <c r="AA2285" s="18" t="n">
        <f aca="false">IFERROR(INDEX(CADASTRO_PIVOS!$I$6:$I$41,MATCH($E2285,CADASTRO_PIVOS!$B$6:$B$41,0)),0)</f>
        <v>614.285714285714</v>
      </c>
      <c r="AB2285" s="18" t="n">
        <f aca="false">IF($Z2285&lt;=0,0,$Z2285/$AA2285)</f>
        <v>0</v>
      </c>
      <c r="AC2285" s="16" t="n">
        <f aca="false">IFERROR(INDEX(SEMANAS!$K$6:$K$71,MATCH($B2285,SEMANAS!$B$6:$B$71,0)),0)</f>
        <v>147</v>
      </c>
      <c r="AD2285" s="19" t="n">
        <f aca="false">IF($AC2285&lt;=0,0,$AB2285/$AC2285)</f>
        <v>0</v>
      </c>
      <c r="AE2285" s="8" t="str">
        <f aca="false">IF($K2285="SEM CULTURA","SEM CULTURA",IF($AA2285&lt;=0,"DADO PENDENTE",IF($AD2285&gt;LIMITE_CRITICO,"INVIAVEL",IF($AD2285&gt;LIMITE_ATENCAO,"CRITICO",IF($AD2285&gt;LIMITE_CONFORTAVEL,"ATENCAO","OK")))))</f>
        <v>SEM CULTURA</v>
      </c>
      <c r="AF2285" s="8" t="str">
        <f aca="false">$B2285&amp;"|"&amp;TEXT($AD2285,"0.000000")</f>
        <v>36|0.000000</v>
      </c>
      <c r="AG2285" s="18" t="n">
        <f aca="false">IF($K2285="SEM CULTURA",0,$T2285*$H2285)</f>
        <v>0</v>
      </c>
      <c r="AH2285" s="18" t="n">
        <f aca="false">IF($K2285="SEM CULTURA",0,$V2285*$H2285)</f>
        <v>0</v>
      </c>
      <c r="AI2285" s="18" t="n">
        <f aca="false">IF($K2285="SEM CULTURA",0,$W2285*$H2285)</f>
        <v>0</v>
      </c>
      <c r="AJ2285" s="18" t="n">
        <f aca="false">IF($K2285="SEM CULTURA",0,$S2285*$H2285)</f>
        <v>0</v>
      </c>
      <c r="AK2285" s="8" t="str">
        <f aca="false">$E2285&amp;"|"&amp;TEXT($AD2285,"0.000000")</f>
        <v>PV 136|0.000000</v>
      </c>
    </row>
    <row r="2286" customFormat="false" ht="15" hidden="false" customHeight="false" outlineLevel="0" collapsed="false">
      <c r="B2286" s="16" t="n">
        <v>37</v>
      </c>
      <c r="C2286" s="17" t="n">
        <f aca="false">DATA_INICIO_SAFRA+($B2286-1)*DIAS_POR_SEMANA</f>
        <v>46517</v>
      </c>
      <c r="D2286" s="17" t="n">
        <f aca="false">$C2286+DIAS_POR_SEMANA-1</f>
        <v>46523</v>
      </c>
      <c r="E2286" s="15" t="s">
        <v>293</v>
      </c>
      <c r="F2286" s="8" t="str">
        <f aca="false">IFERROR(INDEX(CADASTRO_PIVOS!$C$6:$C$41,MATCH($E2286,CADASTRO_PIVOS!$B$6:$B$41,0)),"?")</f>
        <v>RM08</v>
      </c>
      <c r="G2286" s="8" t="str">
        <f aca="false">IFERROR(INDEX(CADASTRO_PIVOS!$D$6:$D$41,MATCH($E2286,CADASTRO_PIVOS!$B$6:$B$41,0)),"?")</f>
        <v>TR08</v>
      </c>
      <c r="H2286" s="20" t="n">
        <f aca="false">IFERROR(INDEX(CADASTRO_PIVOS!$E$6:$E$41,MATCH($E2286,CADASTRO_PIVOS!$B$6:$B$41,0)),0)</f>
        <v>86</v>
      </c>
      <c r="I2286" s="16" t="n">
        <f aca="false">IFERROR(SUMIFS(ROTACAO_RDM!$B$6:$B$71,ROTACAO_RDM!$D$6:$D$71,$E2286,ROTACAO_RDM!$I$6:$I$71,"&lt;="&amp;$C2286+INT(DIAS_POR_SEMANA/2),ROTACAO_RDM!$J$6:$J$71,"&gt;="&amp;$C2286+INT(DIAS_POR_SEMANA/2)),0)</f>
        <v>0</v>
      </c>
      <c r="J2286" s="16" t="n">
        <f aca="false">IFERROR(MATCH($I2286,ROTACAO_RDM!$B$6:$B$71,0),0)</f>
        <v>0</v>
      </c>
      <c r="K2286" s="8" t="str">
        <f aca="false">IF($J2286=0,"SEM CULTURA",INDEX(ROTACAO_RDM!$F$6:$F$71,$J2286))</f>
        <v>SEM CULTURA</v>
      </c>
      <c r="L2286" s="8" t="str">
        <f aca="false">IF($J2286=0,"",INDEX(ROTACAO_RDM!$G$6:$G$71,$J2286))</f>
        <v/>
      </c>
      <c r="M2286" s="17" t="str">
        <f aca="false">IF($J2286=0,"",INDEX(ROTACAO_RDM!$I$6:$I$71,$J2286))</f>
        <v/>
      </c>
      <c r="N2286" s="16" t="n">
        <f aca="false">IF($J2286=0,0,MAX(0,$C2286+INT(DIAS_POR_SEMANA/2)-INDEX(ROTACAO_RDM!$I$6:$I$71,$J2286)))</f>
        <v>0</v>
      </c>
      <c r="O2286" s="19" t="n">
        <f aca="false">IF($J2286=0,0,MIN(1,$N2286/MAX(1,INDEX(ROTACAO_RDM!$K$6:$K$71,$J2286))))</f>
        <v>0</v>
      </c>
      <c r="P2286" s="16" t="n">
        <f aca="false">IF($J2286=0,0,IFERROR(MATCH(INDEX(ROTACAO_RDM!$N$6:$N$71,$J2286),PARAMETROS_CULTURAS!$B$6:$B$28,0),0))</f>
        <v>0</v>
      </c>
      <c r="Q2286" s="8" t="str">
        <f aca="false">IF($P2286=0,"-",IF($O2286&lt;=INDEX(PARAMETROS_CULTURAS!$F$6:$F$28,$P2286),"INICIAL",IF($O2286&lt;=INDEX(PARAMETROS_CULTURAS!$F$6:$F$28,$P2286)+INDEX(PARAMETROS_CULTURAS!$G$6:$G$28,$P2286),"DESENVOLVIMENTO",IF($O2286&lt;=INDEX(PARAMETROS_CULTURAS!$F$6:$F$28,$P2286)+INDEX(PARAMETROS_CULTURAS!$G$6:$G$28,$P2286)+INDEX(PARAMETROS_CULTURAS!$H$6:$H$28,$P2286),"MEDIA","FINAL"))))</f>
        <v>-</v>
      </c>
      <c r="R2286" s="24" t="n">
        <f aca="false">IF($P2286=0,0,IF($O2286&lt;=INDEX(PARAMETROS_CULTURAS!$F$6:$F$28,$P2286),INDEX(PARAMETROS_CULTURAS!$K$6:$K$28,$P2286),IF($O2286&lt;=INDEX(PARAMETROS_CULTURAS!$F$6:$F$28,$P2286)+INDEX(PARAMETROS_CULTURAS!$G$6:$G$28,$P2286),INDEX(PARAMETROS_CULTURAS!$K$6:$K$28,$P2286)+(INDEX(PARAMETROS_CULTURAS!$L$6:$L$28,$P2286)-INDEX(PARAMETROS_CULTURAS!$K$6:$K$28,$P2286))*($O2286-INDEX(PARAMETROS_CULTURAS!$F$6:$F$28,$P2286))/MAX(INDEX(PARAMETROS_CULTURAS!$G$6:$G$28,$P2286),0.0001),IF($O2286&lt;=INDEX(PARAMETROS_CULTURAS!$F$6:$F$28,$P2286)+INDEX(PARAMETROS_CULTURAS!$G$6:$G$28,$P2286)+INDEX(PARAMETROS_CULTURAS!$H$6:$H$28,$P2286),INDEX(PARAMETROS_CULTURAS!$L$6:$L$28,$P2286),INDEX(PARAMETROS_CULTURAS!$L$6:$L$28,$P2286)+(INDEX(PARAMETROS_CULTURAS!$M$6:$M$28,$P2286)-INDEX(PARAMETROS_CULTURAS!$L$6:$L$28,$P2286))*($O2286-INDEX(PARAMETROS_CULTURAS!$F$6:$F$28,$P2286)-INDEX(PARAMETROS_CULTURAS!$G$6:$G$28,$P2286)-INDEX(PARAMETROS_CULTURAS!$H$6:$H$28,$P2286))/MAX(INDEX(PARAMETROS_CULTURAS!$I$6:$I$28,$P2286),0.0001)))))</f>
        <v>0</v>
      </c>
      <c r="S2286" s="18" t="n">
        <f aca="false">IFERROR(INDEX(SEMANAS!$H$6:$H$71,MATCH($B2286,SEMANAS!$B$6:$B$71,0)),0)</f>
        <v>29.4</v>
      </c>
      <c r="T2286" s="18" t="n">
        <f aca="false">$R2286*$S2286</f>
        <v>0</v>
      </c>
      <c r="U2286" s="18" t="n">
        <f aca="false">IFERROR(INDEX(SEMANAS!$I$6:$I$71,MATCH($B2286,SEMANAS!$B$6:$B$71,0)),0)</f>
        <v>3.36</v>
      </c>
      <c r="V2286" s="18" t="n">
        <f aca="false">IFERROR(INDEX(SEMANAS!$J$6:$J$71,MATCH($B2286,SEMANAS!$B$6:$B$71,0)),0)</f>
        <v>2.688</v>
      </c>
      <c r="W2286" s="18" t="n">
        <f aca="false">MAX(0,$T2286-$V2286)</f>
        <v>0</v>
      </c>
      <c r="X2286" s="19" t="n">
        <f aca="false">IFERROR(INDEX(CADASTRO_PIVOS!$K$6:$K$41,MATCH($E2286,CADASTRO_PIVOS!$B$6:$B$41,0)),EFICIENCIA_PADRAO)</f>
        <v>0.85</v>
      </c>
      <c r="Y2286" s="18" t="n">
        <f aca="false">IF($X2286&lt;=0,0,$W2286/$X2286)</f>
        <v>0</v>
      </c>
      <c r="Z2286" s="16" t="n">
        <f aca="false">$Y2286*$H2286*MM_PARA_M3_HA</f>
        <v>0</v>
      </c>
      <c r="AA2286" s="18" t="n">
        <f aca="false">IFERROR(INDEX(CADASTRO_PIVOS!$I$6:$I$41,MATCH($E2286,CADASTRO_PIVOS!$B$6:$B$41,0)),0)</f>
        <v>614.285714285714</v>
      </c>
      <c r="AB2286" s="18" t="n">
        <f aca="false">IF($Z2286&lt;=0,0,$Z2286/$AA2286)</f>
        <v>0</v>
      </c>
      <c r="AC2286" s="16" t="n">
        <f aca="false">IFERROR(INDEX(SEMANAS!$K$6:$K$71,MATCH($B2286,SEMANAS!$B$6:$B$71,0)),0)</f>
        <v>147</v>
      </c>
      <c r="AD2286" s="19" t="n">
        <f aca="false">IF($AC2286&lt;=0,0,$AB2286/$AC2286)</f>
        <v>0</v>
      </c>
      <c r="AE2286" s="8" t="str">
        <f aca="false">IF($K2286="SEM CULTURA","SEM CULTURA",IF($AA2286&lt;=0,"DADO PENDENTE",IF($AD2286&gt;LIMITE_CRITICO,"INVIAVEL",IF($AD2286&gt;LIMITE_ATENCAO,"CRITICO",IF($AD2286&gt;LIMITE_CONFORTAVEL,"ATENCAO","OK")))))</f>
        <v>SEM CULTURA</v>
      </c>
      <c r="AF2286" s="8" t="str">
        <f aca="false">$B2286&amp;"|"&amp;TEXT($AD2286,"0.000000")</f>
        <v>37|0.000000</v>
      </c>
      <c r="AG2286" s="18" t="n">
        <f aca="false">IF($K2286="SEM CULTURA",0,$T2286*$H2286)</f>
        <v>0</v>
      </c>
      <c r="AH2286" s="18" t="n">
        <f aca="false">IF($K2286="SEM CULTURA",0,$V2286*$H2286)</f>
        <v>0</v>
      </c>
      <c r="AI2286" s="18" t="n">
        <f aca="false">IF($K2286="SEM CULTURA",0,$W2286*$H2286)</f>
        <v>0</v>
      </c>
      <c r="AJ2286" s="18" t="n">
        <f aca="false">IF($K2286="SEM CULTURA",0,$S2286*$H2286)</f>
        <v>0</v>
      </c>
      <c r="AK2286" s="8" t="str">
        <f aca="false">$E2286&amp;"|"&amp;TEXT($AD2286,"0.000000")</f>
        <v>PV 136|0.000000</v>
      </c>
    </row>
    <row r="2287" customFormat="false" ht="15" hidden="false" customHeight="false" outlineLevel="0" collapsed="false">
      <c r="B2287" s="16" t="n">
        <v>38</v>
      </c>
      <c r="C2287" s="17" t="n">
        <f aca="false">DATA_INICIO_SAFRA+($B2287-1)*DIAS_POR_SEMANA</f>
        <v>46524</v>
      </c>
      <c r="D2287" s="17" t="n">
        <f aca="false">$C2287+DIAS_POR_SEMANA-1</f>
        <v>46530</v>
      </c>
      <c r="E2287" s="15" t="s">
        <v>293</v>
      </c>
      <c r="F2287" s="8" t="str">
        <f aca="false">IFERROR(INDEX(CADASTRO_PIVOS!$C$6:$C$41,MATCH($E2287,CADASTRO_PIVOS!$B$6:$B$41,0)),"?")</f>
        <v>RM08</v>
      </c>
      <c r="G2287" s="8" t="str">
        <f aca="false">IFERROR(INDEX(CADASTRO_PIVOS!$D$6:$D$41,MATCH($E2287,CADASTRO_PIVOS!$B$6:$B$41,0)),"?")</f>
        <v>TR08</v>
      </c>
      <c r="H2287" s="20" t="n">
        <f aca="false">IFERROR(INDEX(CADASTRO_PIVOS!$E$6:$E$41,MATCH($E2287,CADASTRO_PIVOS!$B$6:$B$41,0)),0)</f>
        <v>86</v>
      </c>
      <c r="I2287" s="16" t="n">
        <f aca="false">IFERROR(SUMIFS(ROTACAO_RDM!$B$6:$B$71,ROTACAO_RDM!$D$6:$D$71,$E2287,ROTACAO_RDM!$I$6:$I$71,"&lt;="&amp;$C2287+INT(DIAS_POR_SEMANA/2),ROTACAO_RDM!$J$6:$J$71,"&gt;="&amp;$C2287+INT(DIAS_POR_SEMANA/2)),0)</f>
        <v>0</v>
      </c>
      <c r="J2287" s="16" t="n">
        <f aca="false">IFERROR(MATCH($I2287,ROTACAO_RDM!$B$6:$B$71,0),0)</f>
        <v>0</v>
      </c>
      <c r="K2287" s="8" t="str">
        <f aca="false">IF($J2287=0,"SEM CULTURA",INDEX(ROTACAO_RDM!$F$6:$F$71,$J2287))</f>
        <v>SEM CULTURA</v>
      </c>
      <c r="L2287" s="8" t="str">
        <f aca="false">IF($J2287=0,"",INDEX(ROTACAO_RDM!$G$6:$G$71,$J2287))</f>
        <v/>
      </c>
      <c r="M2287" s="17" t="str">
        <f aca="false">IF($J2287=0,"",INDEX(ROTACAO_RDM!$I$6:$I$71,$J2287))</f>
        <v/>
      </c>
      <c r="N2287" s="16" t="n">
        <f aca="false">IF($J2287=0,0,MAX(0,$C2287+INT(DIAS_POR_SEMANA/2)-INDEX(ROTACAO_RDM!$I$6:$I$71,$J2287)))</f>
        <v>0</v>
      </c>
      <c r="O2287" s="19" t="n">
        <f aca="false">IF($J2287=0,0,MIN(1,$N2287/MAX(1,INDEX(ROTACAO_RDM!$K$6:$K$71,$J2287))))</f>
        <v>0</v>
      </c>
      <c r="P2287" s="16" t="n">
        <f aca="false">IF($J2287=0,0,IFERROR(MATCH(INDEX(ROTACAO_RDM!$N$6:$N$71,$J2287),PARAMETROS_CULTURAS!$B$6:$B$28,0),0))</f>
        <v>0</v>
      </c>
      <c r="Q2287" s="8" t="str">
        <f aca="false">IF($P2287=0,"-",IF($O2287&lt;=INDEX(PARAMETROS_CULTURAS!$F$6:$F$28,$P2287),"INICIAL",IF($O2287&lt;=INDEX(PARAMETROS_CULTURAS!$F$6:$F$28,$P2287)+INDEX(PARAMETROS_CULTURAS!$G$6:$G$28,$P2287),"DESENVOLVIMENTO",IF($O2287&lt;=INDEX(PARAMETROS_CULTURAS!$F$6:$F$28,$P2287)+INDEX(PARAMETROS_CULTURAS!$G$6:$G$28,$P2287)+INDEX(PARAMETROS_CULTURAS!$H$6:$H$28,$P2287),"MEDIA","FINAL"))))</f>
        <v>-</v>
      </c>
      <c r="R2287" s="24" t="n">
        <f aca="false">IF($P2287=0,0,IF($O2287&lt;=INDEX(PARAMETROS_CULTURAS!$F$6:$F$28,$P2287),INDEX(PARAMETROS_CULTURAS!$K$6:$K$28,$P2287),IF($O2287&lt;=INDEX(PARAMETROS_CULTURAS!$F$6:$F$28,$P2287)+INDEX(PARAMETROS_CULTURAS!$G$6:$G$28,$P2287),INDEX(PARAMETROS_CULTURAS!$K$6:$K$28,$P2287)+(INDEX(PARAMETROS_CULTURAS!$L$6:$L$28,$P2287)-INDEX(PARAMETROS_CULTURAS!$K$6:$K$28,$P2287))*($O2287-INDEX(PARAMETROS_CULTURAS!$F$6:$F$28,$P2287))/MAX(INDEX(PARAMETROS_CULTURAS!$G$6:$G$28,$P2287),0.0001),IF($O2287&lt;=INDEX(PARAMETROS_CULTURAS!$F$6:$F$28,$P2287)+INDEX(PARAMETROS_CULTURAS!$G$6:$G$28,$P2287)+INDEX(PARAMETROS_CULTURAS!$H$6:$H$28,$P2287),INDEX(PARAMETROS_CULTURAS!$L$6:$L$28,$P2287),INDEX(PARAMETROS_CULTURAS!$L$6:$L$28,$P2287)+(INDEX(PARAMETROS_CULTURAS!$M$6:$M$28,$P2287)-INDEX(PARAMETROS_CULTURAS!$L$6:$L$28,$P2287))*($O2287-INDEX(PARAMETROS_CULTURAS!$F$6:$F$28,$P2287)-INDEX(PARAMETROS_CULTURAS!$G$6:$G$28,$P2287)-INDEX(PARAMETROS_CULTURAS!$H$6:$H$28,$P2287))/MAX(INDEX(PARAMETROS_CULTURAS!$I$6:$I$28,$P2287),0.0001)))))</f>
        <v>0</v>
      </c>
      <c r="S2287" s="18" t="n">
        <f aca="false">IFERROR(INDEX(SEMANAS!$H$6:$H$71,MATCH($B2287,SEMANAS!$B$6:$B$71,0)),0)</f>
        <v>29.4</v>
      </c>
      <c r="T2287" s="18" t="n">
        <f aca="false">$R2287*$S2287</f>
        <v>0</v>
      </c>
      <c r="U2287" s="18" t="n">
        <f aca="false">IFERROR(INDEX(SEMANAS!$I$6:$I$71,MATCH($B2287,SEMANAS!$B$6:$B$71,0)),0)</f>
        <v>3.36</v>
      </c>
      <c r="V2287" s="18" t="n">
        <f aca="false">IFERROR(INDEX(SEMANAS!$J$6:$J$71,MATCH($B2287,SEMANAS!$B$6:$B$71,0)),0)</f>
        <v>2.688</v>
      </c>
      <c r="W2287" s="18" t="n">
        <f aca="false">MAX(0,$T2287-$V2287)</f>
        <v>0</v>
      </c>
      <c r="X2287" s="19" t="n">
        <f aca="false">IFERROR(INDEX(CADASTRO_PIVOS!$K$6:$K$41,MATCH($E2287,CADASTRO_PIVOS!$B$6:$B$41,0)),EFICIENCIA_PADRAO)</f>
        <v>0.85</v>
      </c>
      <c r="Y2287" s="18" t="n">
        <f aca="false">IF($X2287&lt;=0,0,$W2287/$X2287)</f>
        <v>0</v>
      </c>
      <c r="Z2287" s="16" t="n">
        <f aca="false">$Y2287*$H2287*MM_PARA_M3_HA</f>
        <v>0</v>
      </c>
      <c r="AA2287" s="18" t="n">
        <f aca="false">IFERROR(INDEX(CADASTRO_PIVOS!$I$6:$I$41,MATCH($E2287,CADASTRO_PIVOS!$B$6:$B$41,0)),0)</f>
        <v>614.285714285714</v>
      </c>
      <c r="AB2287" s="18" t="n">
        <f aca="false">IF($Z2287&lt;=0,0,$Z2287/$AA2287)</f>
        <v>0</v>
      </c>
      <c r="AC2287" s="16" t="n">
        <f aca="false">IFERROR(INDEX(SEMANAS!$K$6:$K$71,MATCH($B2287,SEMANAS!$B$6:$B$71,0)),0)</f>
        <v>147</v>
      </c>
      <c r="AD2287" s="19" t="n">
        <f aca="false">IF($AC2287&lt;=0,0,$AB2287/$AC2287)</f>
        <v>0</v>
      </c>
      <c r="AE2287" s="8" t="str">
        <f aca="false">IF($K2287="SEM CULTURA","SEM CULTURA",IF($AA2287&lt;=0,"DADO PENDENTE",IF($AD2287&gt;LIMITE_CRITICO,"INVIAVEL",IF($AD2287&gt;LIMITE_ATENCAO,"CRITICO",IF($AD2287&gt;LIMITE_CONFORTAVEL,"ATENCAO","OK")))))</f>
        <v>SEM CULTURA</v>
      </c>
      <c r="AF2287" s="8" t="str">
        <f aca="false">$B2287&amp;"|"&amp;TEXT($AD2287,"0.000000")</f>
        <v>38|0.000000</v>
      </c>
      <c r="AG2287" s="18" t="n">
        <f aca="false">IF($K2287="SEM CULTURA",0,$T2287*$H2287)</f>
        <v>0</v>
      </c>
      <c r="AH2287" s="18" t="n">
        <f aca="false">IF($K2287="SEM CULTURA",0,$V2287*$H2287)</f>
        <v>0</v>
      </c>
      <c r="AI2287" s="18" t="n">
        <f aca="false">IF($K2287="SEM CULTURA",0,$W2287*$H2287)</f>
        <v>0</v>
      </c>
      <c r="AJ2287" s="18" t="n">
        <f aca="false">IF($K2287="SEM CULTURA",0,$S2287*$H2287)</f>
        <v>0</v>
      </c>
      <c r="AK2287" s="8" t="str">
        <f aca="false">$E2287&amp;"|"&amp;TEXT($AD2287,"0.000000")</f>
        <v>PV 136|0.000000</v>
      </c>
    </row>
    <row r="2288" customFormat="false" ht="15" hidden="false" customHeight="false" outlineLevel="0" collapsed="false">
      <c r="B2288" s="16" t="n">
        <v>39</v>
      </c>
      <c r="C2288" s="17" t="n">
        <f aca="false">DATA_INICIO_SAFRA+($B2288-1)*DIAS_POR_SEMANA</f>
        <v>46531</v>
      </c>
      <c r="D2288" s="17" t="n">
        <f aca="false">$C2288+DIAS_POR_SEMANA-1</f>
        <v>46537</v>
      </c>
      <c r="E2288" s="15" t="s">
        <v>293</v>
      </c>
      <c r="F2288" s="8" t="str">
        <f aca="false">IFERROR(INDEX(CADASTRO_PIVOS!$C$6:$C$41,MATCH($E2288,CADASTRO_PIVOS!$B$6:$B$41,0)),"?")</f>
        <v>RM08</v>
      </c>
      <c r="G2288" s="8" t="str">
        <f aca="false">IFERROR(INDEX(CADASTRO_PIVOS!$D$6:$D$41,MATCH($E2288,CADASTRO_PIVOS!$B$6:$B$41,0)),"?")</f>
        <v>TR08</v>
      </c>
      <c r="H2288" s="20" t="n">
        <f aca="false">IFERROR(INDEX(CADASTRO_PIVOS!$E$6:$E$41,MATCH($E2288,CADASTRO_PIVOS!$B$6:$B$41,0)),0)</f>
        <v>86</v>
      </c>
      <c r="I2288" s="16" t="n">
        <f aca="false">IFERROR(SUMIFS(ROTACAO_RDM!$B$6:$B$71,ROTACAO_RDM!$D$6:$D$71,$E2288,ROTACAO_RDM!$I$6:$I$71,"&lt;="&amp;$C2288+INT(DIAS_POR_SEMANA/2),ROTACAO_RDM!$J$6:$J$71,"&gt;="&amp;$C2288+INT(DIAS_POR_SEMANA/2)),0)</f>
        <v>0</v>
      </c>
      <c r="J2288" s="16" t="n">
        <f aca="false">IFERROR(MATCH($I2288,ROTACAO_RDM!$B$6:$B$71,0),0)</f>
        <v>0</v>
      </c>
      <c r="K2288" s="8" t="str">
        <f aca="false">IF($J2288=0,"SEM CULTURA",INDEX(ROTACAO_RDM!$F$6:$F$71,$J2288))</f>
        <v>SEM CULTURA</v>
      </c>
      <c r="L2288" s="8" t="str">
        <f aca="false">IF($J2288=0,"",INDEX(ROTACAO_RDM!$G$6:$G$71,$J2288))</f>
        <v/>
      </c>
      <c r="M2288" s="17" t="str">
        <f aca="false">IF($J2288=0,"",INDEX(ROTACAO_RDM!$I$6:$I$71,$J2288))</f>
        <v/>
      </c>
      <c r="N2288" s="16" t="n">
        <f aca="false">IF($J2288=0,0,MAX(0,$C2288+INT(DIAS_POR_SEMANA/2)-INDEX(ROTACAO_RDM!$I$6:$I$71,$J2288)))</f>
        <v>0</v>
      </c>
      <c r="O2288" s="19" t="n">
        <f aca="false">IF($J2288=0,0,MIN(1,$N2288/MAX(1,INDEX(ROTACAO_RDM!$K$6:$K$71,$J2288))))</f>
        <v>0</v>
      </c>
      <c r="P2288" s="16" t="n">
        <f aca="false">IF($J2288=0,0,IFERROR(MATCH(INDEX(ROTACAO_RDM!$N$6:$N$71,$J2288),PARAMETROS_CULTURAS!$B$6:$B$28,0),0))</f>
        <v>0</v>
      </c>
      <c r="Q2288" s="8" t="str">
        <f aca="false">IF($P2288=0,"-",IF($O2288&lt;=INDEX(PARAMETROS_CULTURAS!$F$6:$F$28,$P2288),"INICIAL",IF($O2288&lt;=INDEX(PARAMETROS_CULTURAS!$F$6:$F$28,$P2288)+INDEX(PARAMETROS_CULTURAS!$G$6:$G$28,$P2288),"DESENVOLVIMENTO",IF($O2288&lt;=INDEX(PARAMETROS_CULTURAS!$F$6:$F$28,$P2288)+INDEX(PARAMETROS_CULTURAS!$G$6:$G$28,$P2288)+INDEX(PARAMETROS_CULTURAS!$H$6:$H$28,$P2288),"MEDIA","FINAL"))))</f>
        <v>-</v>
      </c>
      <c r="R2288" s="24" t="n">
        <f aca="false">IF($P2288=0,0,IF($O2288&lt;=INDEX(PARAMETROS_CULTURAS!$F$6:$F$28,$P2288),INDEX(PARAMETROS_CULTURAS!$K$6:$K$28,$P2288),IF($O2288&lt;=INDEX(PARAMETROS_CULTURAS!$F$6:$F$28,$P2288)+INDEX(PARAMETROS_CULTURAS!$G$6:$G$28,$P2288),INDEX(PARAMETROS_CULTURAS!$K$6:$K$28,$P2288)+(INDEX(PARAMETROS_CULTURAS!$L$6:$L$28,$P2288)-INDEX(PARAMETROS_CULTURAS!$K$6:$K$28,$P2288))*($O2288-INDEX(PARAMETROS_CULTURAS!$F$6:$F$28,$P2288))/MAX(INDEX(PARAMETROS_CULTURAS!$G$6:$G$28,$P2288),0.0001),IF($O2288&lt;=INDEX(PARAMETROS_CULTURAS!$F$6:$F$28,$P2288)+INDEX(PARAMETROS_CULTURAS!$G$6:$G$28,$P2288)+INDEX(PARAMETROS_CULTURAS!$H$6:$H$28,$P2288),INDEX(PARAMETROS_CULTURAS!$L$6:$L$28,$P2288),INDEX(PARAMETROS_CULTURAS!$L$6:$L$28,$P2288)+(INDEX(PARAMETROS_CULTURAS!$M$6:$M$28,$P2288)-INDEX(PARAMETROS_CULTURAS!$L$6:$L$28,$P2288))*($O2288-INDEX(PARAMETROS_CULTURAS!$F$6:$F$28,$P2288)-INDEX(PARAMETROS_CULTURAS!$G$6:$G$28,$P2288)-INDEX(PARAMETROS_CULTURAS!$H$6:$H$28,$P2288))/MAX(INDEX(PARAMETROS_CULTURAS!$I$6:$I$28,$P2288),0.0001)))))</f>
        <v>0</v>
      </c>
      <c r="S2288" s="18" t="n">
        <f aca="false">IFERROR(INDEX(SEMANAS!$H$6:$H$71,MATCH($B2288,SEMANAS!$B$6:$B$71,0)),0)</f>
        <v>29.4</v>
      </c>
      <c r="T2288" s="18" t="n">
        <f aca="false">$R2288*$S2288</f>
        <v>0</v>
      </c>
      <c r="U2288" s="18" t="n">
        <f aca="false">IFERROR(INDEX(SEMANAS!$I$6:$I$71,MATCH($B2288,SEMANAS!$B$6:$B$71,0)),0)</f>
        <v>3.36</v>
      </c>
      <c r="V2288" s="18" t="n">
        <f aca="false">IFERROR(INDEX(SEMANAS!$J$6:$J$71,MATCH($B2288,SEMANAS!$B$6:$B$71,0)),0)</f>
        <v>2.688</v>
      </c>
      <c r="W2288" s="18" t="n">
        <f aca="false">MAX(0,$T2288-$V2288)</f>
        <v>0</v>
      </c>
      <c r="X2288" s="19" t="n">
        <f aca="false">IFERROR(INDEX(CADASTRO_PIVOS!$K$6:$K$41,MATCH($E2288,CADASTRO_PIVOS!$B$6:$B$41,0)),EFICIENCIA_PADRAO)</f>
        <v>0.85</v>
      </c>
      <c r="Y2288" s="18" t="n">
        <f aca="false">IF($X2288&lt;=0,0,$W2288/$X2288)</f>
        <v>0</v>
      </c>
      <c r="Z2288" s="16" t="n">
        <f aca="false">$Y2288*$H2288*MM_PARA_M3_HA</f>
        <v>0</v>
      </c>
      <c r="AA2288" s="18" t="n">
        <f aca="false">IFERROR(INDEX(CADASTRO_PIVOS!$I$6:$I$41,MATCH($E2288,CADASTRO_PIVOS!$B$6:$B$41,0)),0)</f>
        <v>614.285714285714</v>
      </c>
      <c r="AB2288" s="18" t="n">
        <f aca="false">IF($Z2288&lt;=0,0,$Z2288/$AA2288)</f>
        <v>0</v>
      </c>
      <c r="AC2288" s="16" t="n">
        <f aca="false">IFERROR(INDEX(SEMANAS!$K$6:$K$71,MATCH($B2288,SEMANAS!$B$6:$B$71,0)),0)</f>
        <v>147</v>
      </c>
      <c r="AD2288" s="19" t="n">
        <f aca="false">IF($AC2288&lt;=0,0,$AB2288/$AC2288)</f>
        <v>0</v>
      </c>
      <c r="AE2288" s="8" t="str">
        <f aca="false">IF($K2288="SEM CULTURA","SEM CULTURA",IF($AA2288&lt;=0,"DADO PENDENTE",IF($AD2288&gt;LIMITE_CRITICO,"INVIAVEL",IF($AD2288&gt;LIMITE_ATENCAO,"CRITICO",IF($AD2288&gt;LIMITE_CONFORTAVEL,"ATENCAO","OK")))))</f>
        <v>SEM CULTURA</v>
      </c>
      <c r="AF2288" s="8" t="str">
        <f aca="false">$B2288&amp;"|"&amp;TEXT($AD2288,"0.000000")</f>
        <v>39|0.000000</v>
      </c>
      <c r="AG2288" s="18" t="n">
        <f aca="false">IF($K2288="SEM CULTURA",0,$T2288*$H2288)</f>
        <v>0</v>
      </c>
      <c r="AH2288" s="18" t="n">
        <f aca="false">IF($K2288="SEM CULTURA",0,$V2288*$H2288)</f>
        <v>0</v>
      </c>
      <c r="AI2288" s="18" t="n">
        <f aca="false">IF($K2288="SEM CULTURA",0,$W2288*$H2288)</f>
        <v>0</v>
      </c>
      <c r="AJ2288" s="18" t="n">
        <f aca="false">IF($K2288="SEM CULTURA",0,$S2288*$H2288)</f>
        <v>0</v>
      </c>
      <c r="AK2288" s="8" t="str">
        <f aca="false">$E2288&amp;"|"&amp;TEXT($AD2288,"0.000000")</f>
        <v>PV 136|0.000000</v>
      </c>
    </row>
    <row r="2289" customFormat="false" ht="15" hidden="false" customHeight="false" outlineLevel="0" collapsed="false">
      <c r="B2289" s="16" t="n">
        <v>40</v>
      </c>
      <c r="C2289" s="17" t="n">
        <f aca="false">DATA_INICIO_SAFRA+($B2289-1)*DIAS_POR_SEMANA</f>
        <v>46538</v>
      </c>
      <c r="D2289" s="17" t="n">
        <f aca="false">$C2289+DIAS_POR_SEMANA-1</f>
        <v>46544</v>
      </c>
      <c r="E2289" s="15" t="s">
        <v>293</v>
      </c>
      <c r="F2289" s="8" t="str">
        <f aca="false">IFERROR(INDEX(CADASTRO_PIVOS!$C$6:$C$41,MATCH($E2289,CADASTRO_PIVOS!$B$6:$B$41,0)),"?")</f>
        <v>RM08</v>
      </c>
      <c r="G2289" s="8" t="str">
        <f aca="false">IFERROR(INDEX(CADASTRO_PIVOS!$D$6:$D$41,MATCH($E2289,CADASTRO_PIVOS!$B$6:$B$41,0)),"?")</f>
        <v>TR08</v>
      </c>
      <c r="H2289" s="20" t="n">
        <f aca="false">IFERROR(INDEX(CADASTRO_PIVOS!$E$6:$E$41,MATCH($E2289,CADASTRO_PIVOS!$B$6:$B$41,0)),0)</f>
        <v>86</v>
      </c>
      <c r="I2289" s="16" t="n">
        <f aca="false">IFERROR(SUMIFS(ROTACAO_RDM!$B$6:$B$71,ROTACAO_RDM!$D$6:$D$71,$E2289,ROTACAO_RDM!$I$6:$I$71,"&lt;="&amp;$C2289+INT(DIAS_POR_SEMANA/2),ROTACAO_RDM!$J$6:$J$71,"&gt;="&amp;$C2289+INT(DIAS_POR_SEMANA/2)),0)</f>
        <v>0</v>
      </c>
      <c r="J2289" s="16" t="n">
        <f aca="false">IFERROR(MATCH($I2289,ROTACAO_RDM!$B$6:$B$71,0),0)</f>
        <v>0</v>
      </c>
      <c r="K2289" s="8" t="str">
        <f aca="false">IF($J2289=0,"SEM CULTURA",INDEX(ROTACAO_RDM!$F$6:$F$71,$J2289))</f>
        <v>SEM CULTURA</v>
      </c>
      <c r="L2289" s="8" t="str">
        <f aca="false">IF($J2289=0,"",INDEX(ROTACAO_RDM!$G$6:$G$71,$J2289))</f>
        <v/>
      </c>
      <c r="M2289" s="17" t="str">
        <f aca="false">IF($J2289=0,"",INDEX(ROTACAO_RDM!$I$6:$I$71,$J2289))</f>
        <v/>
      </c>
      <c r="N2289" s="16" t="n">
        <f aca="false">IF($J2289=0,0,MAX(0,$C2289+INT(DIAS_POR_SEMANA/2)-INDEX(ROTACAO_RDM!$I$6:$I$71,$J2289)))</f>
        <v>0</v>
      </c>
      <c r="O2289" s="19" t="n">
        <f aca="false">IF($J2289=0,0,MIN(1,$N2289/MAX(1,INDEX(ROTACAO_RDM!$K$6:$K$71,$J2289))))</f>
        <v>0</v>
      </c>
      <c r="P2289" s="16" t="n">
        <f aca="false">IF($J2289=0,0,IFERROR(MATCH(INDEX(ROTACAO_RDM!$N$6:$N$71,$J2289),PARAMETROS_CULTURAS!$B$6:$B$28,0),0))</f>
        <v>0</v>
      </c>
      <c r="Q2289" s="8" t="str">
        <f aca="false">IF($P2289=0,"-",IF($O2289&lt;=INDEX(PARAMETROS_CULTURAS!$F$6:$F$28,$P2289),"INICIAL",IF($O2289&lt;=INDEX(PARAMETROS_CULTURAS!$F$6:$F$28,$P2289)+INDEX(PARAMETROS_CULTURAS!$G$6:$G$28,$P2289),"DESENVOLVIMENTO",IF($O2289&lt;=INDEX(PARAMETROS_CULTURAS!$F$6:$F$28,$P2289)+INDEX(PARAMETROS_CULTURAS!$G$6:$G$28,$P2289)+INDEX(PARAMETROS_CULTURAS!$H$6:$H$28,$P2289),"MEDIA","FINAL"))))</f>
        <v>-</v>
      </c>
      <c r="R2289" s="24" t="n">
        <f aca="false">IF($P2289=0,0,IF($O2289&lt;=INDEX(PARAMETROS_CULTURAS!$F$6:$F$28,$P2289),INDEX(PARAMETROS_CULTURAS!$K$6:$K$28,$P2289),IF($O2289&lt;=INDEX(PARAMETROS_CULTURAS!$F$6:$F$28,$P2289)+INDEX(PARAMETROS_CULTURAS!$G$6:$G$28,$P2289),INDEX(PARAMETROS_CULTURAS!$K$6:$K$28,$P2289)+(INDEX(PARAMETROS_CULTURAS!$L$6:$L$28,$P2289)-INDEX(PARAMETROS_CULTURAS!$K$6:$K$28,$P2289))*($O2289-INDEX(PARAMETROS_CULTURAS!$F$6:$F$28,$P2289))/MAX(INDEX(PARAMETROS_CULTURAS!$G$6:$G$28,$P2289),0.0001),IF($O2289&lt;=INDEX(PARAMETROS_CULTURAS!$F$6:$F$28,$P2289)+INDEX(PARAMETROS_CULTURAS!$G$6:$G$28,$P2289)+INDEX(PARAMETROS_CULTURAS!$H$6:$H$28,$P2289),INDEX(PARAMETROS_CULTURAS!$L$6:$L$28,$P2289),INDEX(PARAMETROS_CULTURAS!$L$6:$L$28,$P2289)+(INDEX(PARAMETROS_CULTURAS!$M$6:$M$28,$P2289)-INDEX(PARAMETROS_CULTURAS!$L$6:$L$28,$P2289))*($O2289-INDEX(PARAMETROS_CULTURAS!$F$6:$F$28,$P2289)-INDEX(PARAMETROS_CULTURAS!$G$6:$G$28,$P2289)-INDEX(PARAMETROS_CULTURAS!$H$6:$H$28,$P2289))/MAX(INDEX(PARAMETROS_CULTURAS!$I$6:$I$28,$P2289),0.0001)))))</f>
        <v>0</v>
      </c>
      <c r="S2289" s="18" t="n">
        <f aca="false">IFERROR(INDEX(SEMANAS!$H$6:$H$71,MATCH($B2289,SEMANAS!$B$6:$B$71,0)),0)</f>
        <v>28.2</v>
      </c>
      <c r="T2289" s="18" t="n">
        <f aca="false">$R2289*$S2289</f>
        <v>0</v>
      </c>
      <c r="U2289" s="18" t="n">
        <f aca="false">IFERROR(INDEX(SEMANAS!$I$6:$I$71,MATCH($B2289,SEMANAS!$B$6:$B$71,0)),0)</f>
        <v>1.5</v>
      </c>
      <c r="V2289" s="18" t="n">
        <f aca="false">IFERROR(INDEX(SEMANAS!$J$6:$J$71,MATCH($B2289,SEMANAS!$B$6:$B$71,0)),0)</f>
        <v>1.2</v>
      </c>
      <c r="W2289" s="18" t="n">
        <f aca="false">MAX(0,$T2289-$V2289)</f>
        <v>0</v>
      </c>
      <c r="X2289" s="19" t="n">
        <f aca="false">IFERROR(INDEX(CADASTRO_PIVOS!$K$6:$K$41,MATCH($E2289,CADASTRO_PIVOS!$B$6:$B$41,0)),EFICIENCIA_PADRAO)</f>
        <v>0.85</v>
      </c>
      <c r="Y2289" s="18" t="n">
        <f aca="false">IF($X2289&lt;=0,0,$W2289/$X2289)</f>
        <v>0</v>
      </c>
      <c r="Z2289" s="16" t="n">
        <f aca="false">$Y2289*$H2289*MM_PARA_M3_HA</f>
        <v>0</v>
      </c>
      <c r="AA2289" s="18" t="n">
        <f aca="false">IFERROR(INDEX(CADASTRO_PIVOS!$I$6:$I$41,MATCH($E2289,CADASTRO_PIVOS!$B$6:$B$41,0)),0)</f>
        <v>614.285714285714</v>
      </c>
      <c r="AB2289" s="18" t="n">
        <f aca="false">IF($Z2289&lt;=0,0,$Z2289/$AA2289)</f>
        <v>0</v>
      </c>
      <c r="AC2289" s="16" t="n">
        <f aca="false">IFERROR(INDEX(SEMANAS!$K$6:$K$71,MATCH($B2289,SEMANAS!$B$6:$B$71,0)),0)</f>
        <v>147</v>
      </c>
      <c r="AD2289" s="19" t="n">
        <f aca="false">IF($AC2289&lt;=0,0,$AB2289/$AC2289)</f>
        <v>0</v>
      </c>
      <c r="AE2289" s="8" t="str">
        <f aca="false">IF($K2289="SEM CULTURA","SEM CULTURA",IF($AA2289&lt;=0,"DADO PENDENTE",IF($AD2289&gt;LIMITE_CRITICO,"INVIAVEL",IF($AD2289&gt;LIMITE_ATENCAO,"CRITICO",IF($AD2289&gt;LIMITE_CONFORTAVEL,"ATENCAO","OK")))))</f>
        <v>SEM CULTURA</v>
      </c>
      <c r="AF2289" s="8" t="str">
        <f aca="false">$B2289&amp;"|"&amp;TEXT($AD2289,"0.000000")</f>
        <v>40|0.000000</v>
      </c>
      <c r="AG2289" s="18" t="n">
        <f aca="false">IF($K2289="SEM CULTURA",0,$T2289*$H2289)</f>
        <v>0</v>
      </c>
      <c r="AH2289" s="18" t="n">
        <f aca="false">IF($K2289="SEM CULTURA",0,$V2289*$H2289)</f>
        <v>0</v>
      </c>
      <c r="AI2289" s="18" t="n">
        <f aca="false">IF($K2289="SEM CULTURA",0,$W2289*$H2289)</f>
        <v>0</v>
      </c>
      <c r="AJ2289" s="18" t="n">
        <f aca="false">IF($K2289="SEM CULTURA",0,$S2289*$H2289)</f>
        <v>0</v>
      </c>
      <c r="AK2289" s="8" t="str">
        <f aca="false">$E2289&amp;"|"&amp;TEXT($AD2289,"0.000000")</f>
        <v>PV 136|0.000000</v>
      </c>
    </row>
    <row r="2290" customFormat="false" ht="15" hidden="false" customHeight="false" outlineLevel="0" collapsed="false">
      <c r="B2290" s="16" t="n">
        <v>41</v>
      </c>
      <c r="C2290" s="17" t="n">
        <f aca="false">DATA_INICIO_SAFRA+($B2290-1)*DIAS_POR_SEMANA</f>
        <v>46545</v>
      </c>
      <c r="D2290" s="17" t="n">
        <f aca="false">$C2290+DIAS_POR_SEMANA-1</f>
        <v>46551</v>
      </c>
      <c r="E2290" s="15" t="s">
        <v>293</v>
      </c>
      <c r="F2290" s="8" t="str">
        <f aca="false">IFERROR(INDEX(CADASTRO_PIVOS!$C$6:$C$41,MATCH($E2290,CADASTRO_PIVOS!$B$6:$B$41,0)),"?")</f>
        <v>RM08</v>
      </c>
      <c r="G2290" s="8" t="str">
        <f aca="false">IFERROR(INDEX(CADASTRO_PIVOS!$D$6:$D$41,MATCH($E2290,CADASTRO_PIVOS!$B$6:$B$41,0)),"?")</f>
        <v>TR08</v>
      </c>
      <c r="H2290" s="20" t="n">
        <f aca="false">IFERROR(INDEX(CADASTRO_PIVOS!$E$6:$E$41,MATCH($E2290,CADASTRO_PIVOS!$B$6:$B$41,0)),0)</f>
        <v>86</v>
      </c>
      <c r="I2290" s="16" t="n">
        <f aca="false">IFERROR(SUMIFS(ROTACAO_RDM!$B$6:$B$71,ROTACAO_RDM!$D$6:$D$71,$E2290,ROTACAO_RDM!$I$6:$I$71,"&lt;="&amp;$C2290+INT(DIAS_POR_SEMANA/2),ROTACAO_RDM!$J$6:$J$71,"&gt;="&amp;$C2290+INT(DIAS_POR_SEMANA/2)),0)</f>
        <v>0</v>
      </c>
      <c r="J2290" s="16" t="n">
        <f aca="false">IFERROR(MATCH($I2290,ROTACAO_RDM!$B$6:$B$71,0),0)</f>
        <v>0</v>
      </c>
      <c r="K2290" s="8" t="str">
        <f aca="false">IF($J2290=0,"SEM CULTURA",INDEX(ROTACAO_RDM!$F$6:$F$71,$J2290))</f>
        <v>SEM CULTURA</v>
      </c>
      <c r="L2290" s="8" t="str">
        <f aca="false">IF($J2290=0,"",INDEX(ROTACAO_RDM!$G$6:$G$71,$J2290))</f>
        <v/>
      </c>
      <c r="M2290" s="17" t="str">
        <f aca="false">IF($J2290=0,"",INDEX(ROTACAO_RDM!$I$6:$I$71,$J2290))</f>
        <v/>
      </c>
      <c r="N2290" s="16" t="n">
        <f aca="false">IF($J2290=0,0,MAX(0,$C2290+INT(DIAS_POR_SEMANA/2)-INDEX(ROTACAO_RDM!$I$6:$I$71,$J2290)))</f>
        <v>0</v>
      </c>
      <c r="O2290" s="19" t="n">
        <f aca="false">IF($J2290=0,0,MIN(1,$N2290/MAX(1,INDEX(ROTACAO_RDM!$K$6:$K$71,$J2290))))</f>
        <v>0</v>
      </c>
      <c r="P2290" s="16" t="n">
        <f aca="false">IF($J2290=0,0,IFERROR(MATCH(INDEX(ROTACAO_RDM!$N$6:$N$71,$J2290),PARAMETROS_CULTURAS!$B$6:$B$28,0),0))</f>
        <v>0</v>
      </c>
      <c r="Q2290" s="8" t="str">
        <f aca="false">IF($P2290=0,"-",IF($O2290&lt;=INDEX(PARAMETROS_CULTURAS!$F$6:$F$28,$P2290),"INICIAL",IF($O2290&lt;=INDEX(PARAMETROS_CULTURAS!$F$6:$F$28,$P2290)+INDEX(PARAMETROS_CULTURAS!$G$6:$G$28,$P2290),"DESENVOLVIMENTO",IF($O2290&lt;=INDEX(PARAMETROS_CULTURAS!$F$6:$F$28,$P2290)+INDEX(PARAMETROS_CULTURAS!$G$6:$G$28,$P2290)+INDEX(PARAMETROS_CULTURAS!$H$6:$H$28,$P2290),"MEDIA","FINAL"))))</f>
        <v>-</v>
      </c>
      <c r="R2290" s="24" t="n">
        <f aca="false">IF($P2290=0,0,IF($O2290&lt;=INDEX(PARAMETROS_CULTURAS!$F$6:$F$28,$P2290),INDEX(PARAMETROS_CULTURAS!$K$6:$K$28,$P2290),IF($O2290&lt;=INDEX(PARAMETROS_CULTURAS!$F$6:$F$28,$P2290)+INDEX(PARAMETROS_CULTURAS!$G$6:$G$28,$P2290),INDEX(PARAMETROS_CULTURAS!$K$6:$K$28,$P2290)+(INDEX(PARAMETROS_CULTURAS!$L$6:$L$28,$P2290)-INDEX(PARAMETROS_CULTURAS!$K$6:$K$28,$P2290))*($O2290-INDEX(PARAMETROS_CULTURAS!$F$6:$F$28,$P2290))/MAX(INDEX(PARAMETROS_CULTURAS!$G$6:$G$28,$P2290),0.0001),IF($O2290&lt;=INDEX(PARAMETROS_CULTURAS!$F$6:$F$28,$P2290)+INDEX(PARAMETROS_CULTURAS!$G$6:$G$28,$P2290)+INDEX(PARAMETROS_CULTURAS!$H$6:$H$28,$P2290),INDEX(PARAMETROS_CULTURAS!$L$6:$L$28,$P2290),INDEX(PARAMETROS_CULTURAS!$L$6:$L$28,$P2290)+(INDEX(PARAMETROS_CULTURAS!$M$6:$M$28,$P2290)-INDEX(PARAMETROS_CULTURAS!$L$6:$L$28,$P2290))*($O2290-INDEX(PARAMETROS_CULTURAS!$F$6:$F$28,$P2290)-INDEX(PARAMETROS_CULTURAS!$G$6:$G$28,$P2290)-INDEX(PARAMETROS_CULTURAS!$H$6:$H$28,$P2290))/MAX(INDEX(PARAMETROS_CULTURAS!$I$6:$I$28,$P2290),0.0001)))))</f>
        <v>0</v>
      </c>
      <c r="S2290" s="18" t="n">
        <f aca="false">IFERROR(INDEX(SEMANAS!$H$6:$H$71,MATCH($B2290,SEMANAS!$B$6:$B$71,0)),0)</f>
        <v>28</v>
      </c>
      <c r="T2290" s="18" t="n">
        <f aca="false">$R2290*$S2290</f>
        <v>0</v>
      </c>
      <c r="U2290" s="18" t="n">
        <f aca="false">IFERROR(INDEX(SEMANAS!$I$6:$I$71,MATCH($B2290,SEMANAS!$B$6:$B$71,0)),0)</f>
        <v>1.19</v>
      </c>
      <c r="V2290" s="18" t="n">
        <f aca="false">IFERROR(INDEX(SEMANAS!$J$6:$J$71,MATCH($B2290,SEMANAS!$B$6:$B$71,0)),0)</f>
        <v>0.952</v>
      </c>
      <c r="W2290" s="18" t="n">
        <f aca="false">MAX(0,$T2290-$V2290)</f>
        <v>0</v>
      </c>
      <c r="X2290" s="19" t="n">
        <f aca="false">IFERROR(INDEX(CADASTRO_PIVOS!$K$6:$K$41,MATCH($E2290,CADASTRO_PIVOS!$B$6:$B$41,0)),EFICIENCIA_PADRAO)</f>
        <v>0.85</v>
      </c>
      <c r="Y2290" s="18" t="n">
        <f aca="false">IF($X2290&lt;=0,0,$W2290/$X2290)</f>
        <v>0</v>
      </c>
      <c r="Z2290" s="16" t="n">
        <f aca="false">$Y2290*$H2290*MM_PARA_M3_HA</f>
        <v>0</v>
      </c>
      <c r="AA2290" s="18" t="n">
        <f aca="false">IFERROR(INDEX(CADASTRO_PIVOS!$I$6:$I$41,MATCH($E2290,CADASTRO_PIVOS!$B$6:$B$41,0)),0)</f>
        <v>614.285714285714</v>
      </c>
      <c r="AB2290" s="18" t="n">
        <f aca="false">IF($Z2290&lt;=0,0,$Z2290/$AA2290)</f>
        <v>0</v>
      </c>
      <c r="AC2290" s="16" t="n">
        <f aca="false">IFERROR(INDEX(SEMANAS!$K$6:$K$71,MATCH($B2290,SEMANAS!$B$6:$B$71,0)),0)</f>
        <v>147</v>
      </c>
      <c r="AD2290" s="19" t="n">
        <f aca="false">IF($AC2290&lt;=0,0,$AB2290/$AC2290)</f>
        <v>0</v>
      </c>
      <c r="AE2290" s="8" t="str">
        <f aca="false">IF($K2290="SEM CULTURA","SEM CULTURA",IF($AA2290&lt;=0,"DADO PENDENTE",IF($AD2290&gt;LIMITE_CRITICO,"INVIAVEL",IF($AD2290&gt;LIMITE_ATENCAO,"CRITICO",IF($AD2290&gt;LIMITE_CONFORTAVEL,"ATENCAO","OK")))))</f>
        <v>SEM CULTURA</v>
      </c>
      <c r="AF2290" s="8" t="str">
        <f aca="false">$B2290&amp;"|"&amp;TEXT($AD2290,"0.000000")</f>
        <v>41|0.000000</v>
      </c>
      <c r="AG2290" s="18" t="n">
        <f aca="false">IF($K2290="SEM CULTURA",0,$T2290*$H2290)</f>
        <v>0</v>
      </c>
      <c r="AH2290" s="18" t="n">
        <f aca="false">IF($K2290="SEM CULTURA",0,$V2290*$H2290)</f>
        <v>0</v>
      </c>
      <c r="AI2290" s="18" t="n">
        <f aca="false">IF($K2290="SEM CULTURA",0,$W2290*$H2290)</f>
        <v>0</v>
      </c>
      <c r="AJ2290" s="18" t="n">
        <f aca="false">IF($K2290="SEM CULTURA",0,$S2290*$H2290)</f>
        <v>0</v>
      </c>
      <c r="AK2290" s="8" t="str">
        <f aca="false">$E2290&amp;"|"&amp;TEXT($AD2290,"0.000000")</f>
        <v>PV 136|0.000000</v>
      </c>
    </row>
    <row r="2291" customFormat="false" ht="15" hidden="false" customHeight="false" outlineLevel="0" collapsed="false">
      <c r="B2291" s="16" t="n">
        <v>42</v>
      </c>
      <c r="C2291" s="17" t="n">
        <f aca="false">DATA_INICIO_SAFRA+($B2291-1)*DIAS_POR_SEMANA</f>
        <v>46552</v>
      </c>
      <c r="D2291" s="17" t="n">
        <f aca="false">$C2291+DIAS_POR_SEMANA-1</f>
        <v>46558</v>
      </c>
      <c r="E2291" s="15" t="s">
        <v>293</v>
      </c>
      <c r="F2291" s="8" t="str">
        <f aca="false">IFERROR(INDEX(CADASTRO_PIVOS!$C$6:$C$41,MATCH($E2291,CADASTRO_PIVOS!$B$6:$B$41,0)),"?")</f>
        <v>RM08</v>
      </c>
      <c r="G2291" s="8" t="str">
        <f aca="false">IFERROR(INDEX(CADASTRO_PIVOS!$D$6:$D$41,MATCH($E2291,CADASTRO_PIVOS!$B$6:$B$41,0)),"?")</f>
        <v>TR08</v>
      </c>
      <c r="H2291" s="20" t="n">
        <f aca="false">IFERROR(INDEX(CADASTRO_PIVOS!$E$6:$E$41,MATCH($E2291,CADASTRO_PIVOS!$B$6:$B$41,0)),0)</f>
        <v>86</v>
      </c>
      <c r="I2291" s="16" t="n">
        <f aca="false">IFERROR(SUMIFS(ROTACAO_RDM!$B$6:$B$71,ROTACAO_RDM!$D$6:$D$71,$E2291,ROTACAO_RDM!$I$6:$I$71,"&lt;="&amp;$C2291+INT(DIAS_POR_SEMANA/2),ROTACAO_RDM!$J$6:$J$71,"&gt;="&amp;$C2291+INT(DIAS_POR_SEMANA/2)),0)</f>
        <v>0</v>
      </c>
      <c r="J2291" s="16" t="n">
        <f aca="false">IFERROR(MATCH($I2291,ROTACAO_RDM!$B$6:$B$71,0),0)</f>
        <v>0</v>
      </c>
      <c r="K2291" s="8" t="str">
        <f aca="false">IF($J2291=0,"SEM CULTURA",INDEX(ROTACAO_RDM!$F$6:$F$71,$J2291))</f>
        <v>SEM CULTURA</v>
      </c>
      <c r="L2291" s="8" t="str">
        <f aca="false">IF($J2291=0,"",INDEX(ROTACAO_RDM!$G$6:$G$71,$J2291))</f>
        <v/>
      </c>
      <c r="M2291" s="17" t="str">
        <f aca="false">IF($J2291=0,"",INDEX(ROTACAO_RDM!$I$6:$I$71,$J2291))</f>
        <v/>
      </c>
      <c r="N2291" s="16" t="n">
        <f aca="false">IF($J2291=0,0,MAX(0,$C2291+INT(DIAS_POR_SEMANA/2)-INDEX(ROTACAO_RDM!$I$6:$I$71,$J2291)))</f>
        <v>0</v>
      </c>
      <c r="O2291" s="19" t="n">
        <f aca="false">IF($J2291=0,0,MIN(1,$N2291/MAX(1,INDEX(ROTACAO_RDM!$K$6:$K$71,$J2291))))</f>
        <v>0</v>
      </c>
      <c r="P2291" s="16" t="n">
        <f aca="false">IF($J2291=0,0,IFERROR(MATCH(INDEX(ROTACAO_RDM!$N$6:$N$71,$J2291),PARAMETROS_CULTURAS!$B$6:$B$28,0),0))</f>
        <v>0</v>
      </c>
      <c r="Q2291" s="8" t="str">
        <f aca="false">IF($P2291=0,"-",IF($O2291&lt;=INDEX(PARAMETROS_CULTURAS!$F$6:$F$28,$P2291),"INICIAL",IF($O2291&lt;=INDEX(PARAMETROS_CULTURAS!$F$6:$F$28,$P2291)+INDEX(PARAMETROS_CULTURAS!$G$6:$G$28,$P2291),"DESENVOLVIMENTO",IF($O2291&lt;=INDEX(PARAMETROS_CULTURAS!$F$6:$F$28,$P2291)+INDEX(PARAMETROS_CULTURAS!$G$6:$G$28,$P2291)+INDEX(PARAMETROS_CULTURAS!$H$6:$H$28,$P2291),"MEDIA","FINAL"))))</f>
        <v>-</v>
      </c>
      <c r="R2291" s="24" t="n">
        <f aca="false">IF($P2291=0,0,IF($O2291&lt;=INDEX(PARAMETROS_CULTURAS!$F$6:$F$28,$P2291),INDEX(PARAMETROS_CULTURAS!$K$6:$K$28,$P2291),IF($O2291&lt;=INDEX(PARAMETROS_CULTURAS!$F$6:$F$28,$P2291)+INDEX(PARAMETROS_CULTURAS!$G$6:$G$28,$P2291),INDEX(PARAMETROS_CULTURAS!$K$6:$K$28,$P2291)+(INDEX(PARAMETROS_CULTURAS!$L$6:$L$28,$P2291)-INDEX(PARAMETROS_CULTURAS!$K$6:$K$28,$P2291))*($O2291-INDEX(PARAMETROS_CULTURAS!$F$6:$F$28,$P2291))/MAX(INDEX(PARAMETROS_CULTURAS!$G$6:$G$28,$P2291),0.0001),IF($O2291&lt;=INDEX(PARAMETROS_CULTURAS!$F$6:$F$28,$P2291)+INDEX(PARAMETROS_CULTURAS!$G$6:$G$28,$P2291)+INDEX(PARAMETROS_CULTURAS!$H$6:$H$28,$P2291),INDEX(PARAMETROS_CULTURAS!$L$6:$L$28,$P2291),INDEX(PARAMETROS_CULTURAS!$L$6:$L$28,$P2291)+(INDEX(PARAMETROS_CULTURAS!$M$6:$M$28,$P2291)-INDEX(PARAMETROS_CULTURAS!$L$6:$L$28,$P2291))*($O2291-INDEX(PARAMETROS_CULTURAS!$F$6:$F$28,$P2291)-INDEX(PARAMETROS_CULTURAS!$G$6:$G$28,$P2291)-INDEX(PARAMETROS_CULTURAS!$H$6:$H$28,$P2291))/MAX(INDEX(PARAMETROS_CULTURAS!$I$6:$I$28,$P2291),0.0001)))))</f>
        <v>0</v>
      </c>
      <c r="S2291" s="18" t="n">
        <f aca="false">IFERROR(INDEX(SEMANAS!$H$6:$H$71,MATCH($B2291,SEMANAS!$B$6:$B$71,0)),0)</f>
        <v>28</v>
      </c>
      <c r="T2291" s="18" t="n">
        <f aca="false">$R2291*$S2291</f>
        <v>0</v>
      </c>
      <c r="U2291" s="18" t="n">
        <f aca="false">IFERROR(INDEX(SEMANAS!$I$6:$I$71,MATCH($B2291,SEMANAS!$B$6:$B$71,0)),0)</f>
        <v>1.19</v>
      </c>
      <c r="V2291" s="18" t="n">
        <f aca="false">IFERROR(INDEX(SEMANAS!$J$6:$J$71,MATCH($B2291,SEMANAS!$B$6:$B$71,0)),0)</f>
        <v>0.952</v>
      </c>
      <c r="W2291" s="18" t="n">
        <f aca="false">MAX(0,$T2291-$V2291)</f>
        <v>0</v>
      </c>
      <c r="X2291" s="19" t="n">
        <f aca="false">IFERROR(INDEX(CADASTRO_PIVOS!$K$6:$K$41,MATCH($E2291,CADASTRO_PIVOS!$B$6:$B$41,0)),EFICIENCIA_PADRAO)</f>
        <v>0.85</v>
      </c>
      <c r="Y2291" s="18" t="n">
        <f aca="false">IF($X2291&lt;=0,0,$W2291/$X2291)</f>
        <v>0</v>
      </c>
      <c r="Z2291" s="16" t="n">
        <f aca="false">$Y2291*$H2291*MM_PARA_M3_HA</f>
        <v>0</v>
      </c>
      <c r="AA2291" s="18" t="n">
        <f aca="false">IFERROR(INDEX(CADASTRO_PIVOS!$I$6:$I$41,MATCH($E2291,CADASTRO_PIVOS!$B$6:$B$41,0)),0)</f>
        <v>614.285714285714</v>
      </c>
      <c r="AB2291" s="18" t="n">
        <f aca="false">IF($Z2291&lt;=0,0,$Z2291/$AA2291)</f>
        <v>0</v>
      </c>
      <c r="AC2291" s="16" t="n">
        <f aca="false">IFERROR(INDEX(SEMANAS!$K$6:$K$71,MATCH($B2291,SEMANAS!$B$6:$B$71,0)),0)</f>
        <v>147</v>
      </c>
      <c r="AD2291" s="19" t="n">
        <f aca="false">IF($AC2291&lt;=0,0,$AB2291/$AC2291)</f>
        <v>0</v>
      </c>
      <c r="AE2291" s="8" t="str">
        <f aca="false">IF($K2291="SEM CULTURA","SEM CULTURA",IF($AA2291&lt;=0,"DADO PENDENTE",IF($AD2291&gt;LIMITE_CRITICO,"INVIAVEL",IF($AD2291&gt;LIMITE_ATENCAO,"CRITICO",IF($AD2291&gt;LIMITE_CONFORTAVEL,"ATENCAO","OK")))))</f>
        <v>SEM CULTURA</v>
      </c>
      <c r="AF2291" s="8" t="str">
        <f aca="false">$B2291&amp;"|"&amp;TEXT($AD2291,"0.000000")</f>
        <v>42|0.000000</v>
      </c>
      <c r="AG2291" s="18" t="n">
        <f aca="false">IF($K2291="SEM CULTURA",0,$T2291*$H2291)</f>
        <v>0</v>
      </c>
      <c r="AH2291" s="18" t="n">
        <f aca="false">IF($K2291="SEM CULTURA",0,$V2291*$H2291)</f>
        <v>0</v>
      </c>
      <c r="AI2291" s="18" t="n">
        <f aca="false">IF($K2291="SEM CULTURA",0,$W2291*$H2291)</f>
        <v>0</v>
      </c>
      <c r="AJ2291" s="18" t="n">
        <f aca="false">IF($K2291="SEM CULTURA",0,$S2291*$H2291)</f>
        <v>0</v>
      </c>
      <c r="AK2291" s="8" t="str">
        <f aca="false">$E2291&amp;"|"&amp;TEXT($AD2291,"0.000000")</f>
        <v>PV 136|0.000000</v>
      </c>
    </row>
    <row r="2292" customFormat="false" ht="15" hidden="false" customHeight="false" outlineLevel="0" collapsed="false">
      <c r="B2292" s="16" t="n">
        <v>43</v>
      </c>
      <c r="C2292" s="17" t="n">
        <f aca="false">DATA_INICIO_SAFRA+($B2292-1)*DIAS_POR_SEMANA</f>
        <v>46559</v>
      </c>
      <c r="D2292" s="17" t="n">
        <f aca="false">$C2292+DIAS_POR_SEMANA-1</f>
        <v>46565</v>
      </c>
      <c r="E2292" s="15" t="s">
        <v>293</v>
      </c>
      <c r="F2292" s="8" t="str">
        <f aca="false">IFERROR(INDEX(CADASTRO_PIVOS!$C$6:$C$41,MATCH($E2292,CADASTRO_PIVOS!$B$6:$B$41,0)),"?")</f>
        <v>RM08</v>
      </c>
      <c r="G2292" s="8" t="str">
        <f aca="false">IFERROR(INDEX(CADASTRO_PIVOS!$D$6:$D$41,MATCH($E2292,CADASTRO_PIVOS!$B$6:$B$41,0)),"?")</f>
        <v>TR08</v>
      </c>
      <c r="H2292" s="20" t="n">
        <f aca="false">IFERROR(INDEX(CADASTRO_PIVOS!$E$6:$E$41,MATCH($E2292,CADASTRO_PIVOS!$B$6:$B$41,0)),0)</f>
        <v>86</v>
      </c>
      <c r="I2292" s="16" t="n">
        <f aca="false">IFERROR(SUMIFS(ROTACAO_RDM!$B$6:$B$71,ROTACAO_RDM!$D$6:$D$71,$E2292,ROTACAO_RDM!$I$6:$I$71,"&lt;="&amp;$C2292+INT(DIAS_POR_SEMANA/2),ROTACAO_RDM!$J$6:$J$71,"&gt;="&amp;$C2292+INT(DIAS_POR_SEMANA/2)),0)</f>
        <v>0</v>
      </c>
      <c r="J2292" s="16" t="n">
        <f aca="false">IFERROR(MATCH($I2292,ROTACAO_RDM!$B$6:$B$71,0),0)</f>
        <v>0</v>
      </c>
      <c r="K2292" s="8" t="str">
        <f aca="false">IF($J2292=0,"SEM CULTURA",INDEX(ROTACAO_RDM!$F$6:$F$71,$J2292))</f>
        <v>SEM CULTURA</v>
      </c>
      <c r="L2292" s="8" t="str">
        <f aca="false">IF($J2292=0,"",INDEX(ROTACAO_RDM!$G$6:$G$71,$J2292))</f>
        <v/>
      </c>
      <c r="M2292" s="17" t="str">
        <f aca="false">IF($J2292=0,"",INDEX(ROTACAO_RDM!$I$6:$I$71,$J2292))</f>
        <v/>
      </c>
      <c r="N2292" s="16" t="n">
        <f aca="false">IF($J2292=0,0,MAX(0,$C2292+INT(DIAS_POR_SEMANA/2)-INDEX(ROTACAO_RDM!$I$6:$I$71,$J2292)))</f>
        <v>0</v>
      </c>
      <c r="O2292" s="19" t="n">
        <f aca="false">IF($J2292=0,0,MIN(1,$N2292/MAX(1,INDEX(ROTACAO_RDM!$K$6:$K$71,$J2292))))</f>
        <v>0</v>
      </c>
      <c r="P2292" s="16" t="n">
        <f aca="false">IF($J2292=0,0,IFERROR(MATCH(INDEX(ROTACAO_RDM!$N$6:$N$71,$J2292),PARAMETROS_CULTURAS!$B$6:$B$28,0),0))</f>
        <v>0</v>
      </c>
      <c r="Q2292" s="8" t="str">
        <f aca="false">IF($P2292=0,"-",IF($O2292&lt;=INDEX(PARAMETROS_CULTURAS!$F$6:$F$28,$P2292),"INICIAL",IF($O2292&lt;=INDEX(PARAMETROS_CULTURAS!$F$6:$F$28,$P2292)+INDEX(PARAMETROS_CULTURAS!$G$6:$G$28,$P2292),"DESENVOLVIMENTO",IF($O2292&lt;=INDEX(PARAMETROS_CULTURAS!$F$6:$F$28,$P2292)+INDEX(PARAMETROS_CULTURAS!$G$6:$G$28,$P2292)+INDEX(PARAMETROS_CULTURAS!$H$6:$H$28,$P2292),"MEDIA","FINAL"))))</f>
        <v>-</v>
      </c>
      <c r="R2292" s="24" t="n">
        <f aca="false">IF($P2292=0,0,IF($O2292&lt;=INDEX(PARAMETROS_CULTURAS!$F$6:$F$28,$P2292),INDEX(PARAMETROS_CULTURAS!$K$6:$K$28,$P2292),IF($O2292&lt;=INDEX(PARAMETROS_CULTURAS!$F$6:$F$28,$P2292)+INDEX(PARAMETROS_CULTURAS!$G$6:$G$28,$P2292),INDEX(PARAMETROS_CULTURAS!$K$6:$K$28,$P2292)+(INDEX(PARAMETROS_CULTURAS!$L$6:$L$28,$P2292)-INDEX(PARAMETROS_CULTURAS!$K$6:$K$28,$P2292))*($O2292-INDEX(PARAMETROS_CULTURAS!$F$6:$F$28,$P2292))/MAX(INDEX(PARAMETROS_CULTURAS!$G$6:$G$28,$P2292),0.0001),IF($O2292&lt;=INDEX(PARAMETROS_CULTURAS!$F$6:$F$28,$P2292)+INDEX(PARAMETROS_CULTURAS!$G$6:$G$28,$P2292)+INDEX(PARAMETROS_CULTURAS!$H$6:$H$28,$P2292),INDEX(PARAMETROS_CULTURAS!$L$6:$L$28,$P2292),INDEX(PARAMETROS_CULTURAS!$L$6:$L$28,$P2292)+(INDEX(PARAMETROS_CULTURAS!$M$6:$M$28,$P2292)-INDEX(PARAMETROS_CULTURAS!$L$6:$L$28,$P2292))*($O2292-INDEX(PARAMETROS_CULTURAS!$F$6:$F$28,$P2292)-INDEX(PARAMETROS_CULTURAS!$G$6:$G$28,$P2292)-INDEX(PARAMETROS_CULTURAS!$H$6:$H$28,$P2292))/MAX(INDEX(PARAMETROS_CULTURAS!$I$6:$I$28,$P2292),0.0001)))))</f>
        <v>0</v>
      </c>
      <c r="S2292" s="18" t="n">
        <f aca="false">IFERROR(INDEX(SEMANAS!$H$6:$H$71,MATCH($B2292,SEMANAS!$B$6:$B$71,0)),0)</f>
        <v>28</v>
      </c>
      <c r="T2292" s="18" t="n">
        <f aca="false">$R2292*$S2292</f>
        <v>0</v>
      </c>
      <c r="U2292" s="18" t="n">
        <f aca="false">IFERROR(INDEX(SEMANAS!$I$6:$I$71,MATCH($B2292,SEMANAS!$B$6:$B$71,0)),0)</f>
        <v>1.19</v>
      </c>
      <c r="V2292" s="18" t="n">
        <f aca="false">IFERROR(INDEX(SEMANAS!$J$6:$J$71,MATCH($B2292,SEMANAS!$B$6:$B$71,0)),0)</f>
        <v>0.952</v>
      </c>
      <c r="W2292" s="18" t="n">
        <f aca="false">MAX(0,$T2292-$V2292)</f>
        <v>0</v>
      </c>
      <c r="X2292" s="19" t="n">
        <f aca="false">IFERROR(INDEX(CADASTRO_PIVOS!$K$6:$K$41,MATCH($E2292,CADASTRO_PIVOS!$B$6:$B$41,0)),EFICIENCIA_PADRAO)</f>
        <v>0.85</v>
      </c>
      <c r="Y2292" s="18" t="n">
        <f aca="false">IF($X2292&lt;=0,0,$W2292/$X2292)</f>
        <v>0</v>
      </c>
      <c r="Z2292" s="16" t="n">
        <f aca="false">$Y2292*$H2292*MM_PARA_M3_HA</f>
        <v>0</v>
      </c>
      <c r="AA2292" s="18" t="n">
        <f aca="false">IFERROR(INDEX(CADASTRO_PIVOS!$I$6:$I$41,MATCH($E2292,CADASTRO_PIVOS!$B$6:$B$41,0)),0)</f>
        <v>614.285714285714</v>
      </c>
      <c r="AB2292" s="18" t="n">
        <f aca="false">IF($Z2292&lt;=0,0,$Z2292/$AA2292)</f>
        <v>0</v>
      </c>
      <c r="AC2292" s="16" t="n">
        <f aca="false">IFERROR(INDEX(SEMANAS!$K$6:$K$71,MATCH($B2292,SEMANAS!$B$6:$B$71,0)),0)</f>
        <v>147</v>
      </c>
      <c r="AD2292" s="19" t="n">
        <f aca="false">IF($AC2292&lt;=0,0,$AB2292/$AC2292)</f>
        <v>0</v>
      </c>
      <c r="AE2292" s="8" t="str">
        <f aca="false">IF($K2292="SEM CULTURA","SEM CULTURA",IF($AA2292&lt;=0,"DADO PENDENTE",IF($AD2292&gt;LIMITE_CRITICO,"INVIAVEL",IF($AD2292&gt;LIMITE_ATENCAO,"CRITICO",IF($AD2292&gt;LIMITE_CONFORTAVEL,"ATENCAO","OK")))))</f>
        <v>SEM CULTURA</v>
      </c>
      <c r="AF2292" s="8" t="str">
        <f aca="false">$B2292&amp;"|"&amp;TEXT($AD2292,"0.000000")</f>
        <v>43|0.000000</v>
      </c>
      <c r="AG2292" s="18" t="n">
        <f aca="false">IF($K2292="SEM CULTURA",0,$T2292*$H2292)</f>
        <v>0</v>
      </c>
      <c r="AH2292" s="18" t="n">
        <f aca="false">IF($K2292="SEM CULTURA",0,$V2292*$H2292)</f>
        <v>0</v>
      </c>
      <c r="AI2292" s="18" t="n">
        <f aca="false">IF($K2292="SEM CULTURA",0,$W2292*$H2292)</f>
        <v>0</v>
      </c>
      <c r="AJ2292" s="18" t="n">
        <f aca="false">IF($K2292="SEM CULTURA",0,$S2292*$H2292)</f>
        <v>0</v>
      </c>
      <c r="AK2292" s="8" t="str">
        <f aca="false">$E2292&amp;"|"&amp;TEXT($AD2292,"0.000000")</f>
        <v>PV 136|0.000000</v>
      </c>
    </row>
    <row r="2293" customFormat="false" ht="15" hidden="false" customHeight="false" outlineLevel="0" collapsed="false">
      <c r="B2293" s="16" t="n">
        <v>44</v>
      </c>
      <c r="C2293" s="17" t="n">
        <f aca="false">DATA_INICIO_SAFRA+($B2293-1)*DIAS_POR_SEMANA</f>
        <v>46566</v>
      </c>
      <c r="D2293" s="17" t="n">
        <f aca="false">$C2293+DIAS_POR_SEMANA-1</f>
        <v>46572</v>
      </c>
      <c r="E2293" s="15" t="s">
        <v>293</v>
      </c>
      <c r="F2293" s="8" t="str">
        <f aca="false">IFERROR(INDEX(CADASTRO_PIVOS!$C$6:$C$41,MATCH($E2293,CADASTRO_PIVOS!$B$6:$B$41,0)),"?")</f>
        <v>RM08</v>
      </c>
      <c r="G2293" s="8" t="str">
        <f aca="false">IFERROR(INDEX(CADASTRO_PIVOS!$D$6:$D$41,MATCH($E2293,CADASTRO_PIVOS!$B$6:$B$41,0)),"?")</f>
        <v>TR08</v>
      </c>
      <c r="H2293" s="20" t="n">
        <f aca="false">IFERROR(INDEX(CADASTRO_PIVOS!$E$6:$E$41,MATCH($E2293,CADASTRO_PIVOS!$B$6:$B$41,0)),0)</f>
        <v>86</v>
      </c>
      <c r="I2293" s="16" t="n">
        <f aca="false">IFERROR(SUMIFS(ROTACAO_RDM!$B$6:$B$71,ROTACAO_RDM!$D$6:$D$71,$E2293,ROTACAO_RDM!$I$6:$I$71,"&lt;="&amp;$C2293+INT(DIAS_POR_SEMANA/2),ROTACAO_RDM!$J$6:$J$71,"&gt;="&amp;$C2293+INT(DIAS_POR_SEMANA/2)),0)</f>
        <v>0</v>
      </c>
      <c r="J2293" s="16" t="n">
        <f aca="false">IFERROR(MATCH($I2293,ROTACAO_RDM!$B$6:$B$71,0),0)</f>
        <v>0</v>
      </c>
      <c r="K2293" s="8" t="str">
        <f aca="false">IF($J2293=0,"SEM CULTURA",INDEX(ROTACAO_RDM!$F$6:$F$71,$J2293))</f>
        <v>SEM CULTURA</v>
      </c>
      <c r="L2293" s="8" t="str">
        <f aca="false">IF($J2293=0,"",INDEX(ROTACAO_RDM!$G$6:$G$71,$J2293))</f>
        <v/>
      </c>
      <c r="M2293" s="17" t="str">
        <f aca="false">IF($J2293=0,"",INDEX(ROTACAO_RDM!$I$6:$I$71,$J2293))</f>
        <v/>
      </c>
      <c r="N2293" s="16" t="n">
        <f aca="false">IF($J2293=0,0,MAX(0,$C2293+INT(DIAS_POR_SEMANA/2)-INDEX(ROTACAO_RDM!$I$6:$I$71,$J2293)))</f>
        <v>0</v>
      </c>
      <c r="O2293" s="19" t="n">
        <f aca="false">IF($J2293=0,0,MIN(1,$N2293/MAX(1,INDEX(ROTACAO_RDM!$K$6:$K$71,$J2293))))</f>
        <v>0</v>
      </c>
      <c r="P2293" s="16" t="n">
        <f aca="false">IF($J2293=0,0,IFERROR(MATCH(INDEX(ROTACAO_RDM!$N$6:$N$71,$J2293),PARAMETROS_CULTURAS!$B$6:$B$28,0),0))</f>
        <v>0</v>
      </c>
      <c r="Q2293" s="8" t="str">
        <f aca="false">IF($P2293=0,"-",IF($O2293&lt;=INDEX(PARAMETROS_CULTURAS!$F$6:$F$28,$P2293),"INICIAL",IF($O2293&lt;=INDEX(PARAMETROS_CULTURAS!$F$6:$F$28,$P2293)+INDEX(PARAMETROS_CULTURAS!$G$6:$G$28,$P2293),"DESENVOLVIMENTO",IF($O2293&lt;=INDEX(PARAMETROS_CULTURAS!$F$6:$F$28,$P2293)+INDEX(PARAMETROS_CULTURAS!$G$6:$G$28,$P2293)+INDEX(PARAMETROS_CULTURAS!$H$6:$H$28,$P2293),"MEDIA","FINAL"))))</f>
        <v>-</v>
      </c>
      <c r="R2293" s="24" t="n">
        <f aca="false">IF($P2293=0,0,IF($O2293&lt;=INDEX(PARAMETROS_CULTURAS!$F$6:$F$28,$P2293),INDEX(PARAMETROS_CULTURAS!$K$6:$K$28,$P2293),IF($O2293&lt;=INDEX(PARAMETROS_CULTURAS!$F$6:$F$28,$P2293)+INDEX(PARAMETROS_CULTURAS!$G$6:$G$28,$P2293),INDEX(PARAMETROS_CULTURAS!$K$6:$K$28,$P2293)+(INDEX(PARAMETROS_CULTURAS!$L$6:$L$28,$P2293)-INDEX(PARAMETROS_CULTURAS!$K$6:$K$28,$P2293))*($O2293-INDEX(PARAMETROS_CULTURAS!$F$6:$F$28,$P2293))/MAX(INDEX(PARAMETROS_CULTURAS!$G$6:$G$28,$P2293),0.0001),IF($O2293&lt;=INDEX(PARAMETROS_CULTURAS!$F$6:$F$28,$P2293)+INDEX(PARAMETROS_CULTURAS!$G$6:$G$28,$P2293)+INDEX(PARAMETROS_CULTURAS!$H$6:$H$28,$P2293),INDEX(PARAMETROS_CULTURAS!$L$6:$L$28,$P2293),INDEX(PARAMETROS_CULTURAS!$L$6:$L$28,$P2293)+(INDEX(PARAMETROS_CULTURAS!$M$6:$M$28,$P2293)-INDEX(PARAMETROS_CULTURAS!$L$6:$L$28,$P2293))*($O2293-INDEX(PARAMETROS_CULTURAS!$F$6:$F$28,$P2293)-INDEX(PARAMETROS_CULTURAS!$G$6:$G$28,$P2293)-INDEX(PARAMETROS_CULTURAS!$H$6:$H$28,$P2293))/MAX(INDEX(PARAMETROS_CULTURAS!$I$6:$I$28,$P2293),0.0001)))))</f>
        <v>0</v>
      </c>
      <c r="S2293" s="18" t="n">
        <f aca="false">IFERROR(INDEX(SEMANAS!$H$6:$H$71,MATCH($B2293,SEMANAS!$B$6:$B$71,0)),0)</f>
        <v>29.2</v>
      </c>
      <c r="T2293" s="18" t="n">
        <f aca="false">$R2293*$S2293</f>
        <v>0</v>
      </c>
      <c r="U2293" s="18" t="n">
        <f aca="false">IFERROR(INDEX(SEMANAS!$I$6:$I$71,MATCH($B2293,SEMANAS!$B$6:$B$71,0)),0)</f>
        <v>0.91</v>
      </c>
      <c r="V2293" s="18" t="n">
        <f aca="false">IFERROR(INDEX(SEMANAS!$J$6:$J$71,MATCH($B2293,SEMANAS!$B$6:$B$71,0)),0)</f>
        <v>0.728</v>
      </c>
      <c r="W2293" s="18" t="n">
        <f aca="false">MAX(0,$T2293-$V2293)</f>
        <v>0</v>
      </c>
      <c r="X2293" s="19" t="n">
        <f aca="false">IFERROR(INDEX(CADASTRO_PIVOS!$K$6:$K$41,MATCH($E2293,CADASTRO_PIVOS!$B$6:$B$41,0)),EFICIENCIA_PADRAO)</f>
        <v>0.85</v>
      </c>
      <c r="Y2293" s="18" t="n">
        <f aca="false">IF($X2293&lt;=0,0,$W2293/$X2293)</f>
        <v>0</v>
      </c>
      <c r="Z2293" s="16" t="n">
        <f aca="false">$Y2293*$H2293*MM_PARA_M3_HA</f>
        <v>0</v>
      </c>
      <c r="AA2293" s="18" t="n">
        <f aca="false">IFERROR(INDEX(CADASTRO_PIVOS!$I$6:$I$41,MATCH($E2293,CADASTRO_PIVOS!$B$6:$B$41,0)),0)</f>
        <v>614.285714285714</v>
      </c>
      <c r="AB2293" s="18" t="n">
        <f aca="false">IF($Z2293&lt;=0,0,$Z2293/$AA2293)</f>
        <v>0</v>
      </c>
      <c r="AC2293" s="16" t="n">
        <f aca="false">IFERROR(INDEX(SEMANAS!$K$6:$K$71,MATCH($B2293,SEMANAS!$B$6:$B$71,0)),0)</f>
        <v>147</v>
      </c>
      <c r="AD2293" s="19" t="n">
        <f aca="false">IF($AC2293&lt;=0,0,$AB2293/$AC2293)</f>
        <v>0</v>
      </c>
      <c r="AE2293" s="8" t="str">
        <f aca="false">IF($K2293="SEM CULTURA","SEM CULTURA",IF($AA2293&lt;=0,"DADO PENDENTE",IF($AD2293&gt;LIMITE_CRITICO,"INVIAVEL",IF($AD2293&gt;LIMITE_ATENCAO,"CRITICO",IF($AD2293&gt;LIMITE_CONFORTAVEL,"ATENCAO","OK")))))</f>
        <v>SEM CULTURA</v>
      </c>
      <c r="AF2293" s="8" t="str">
        <f aca="false">$B2293&amp;"|"&amp;TEXT($AD2293,"0.000000")</f>
        <v>44|0.000000</v>
      </c>
      <c r="AG2293" s="18" t="n">
        <f aca="false">IF($K2293="SEM CULTURA",0,$T2293*$H2293)</f>
        <v>0</v>
      </c>
      <c r="AH2293" s="18" t="n">
        <f aca="false">IF($K2293="SEM CULTURA",0,$V2293*$H2293)</f>
        <v>0</v>
      </c>
      <c r="AI2293" s="18" t="n">
        <f aca="false">IF($K2293="SEM CULTURA",0,$W2293*$H2293)</f>
        <v>0</v>
      </c>
      <c r="AJ2293" s="18" t="n">
        <f aca="false">IF($K2293="SEM CULTURA",0,$S2293*$H2293)</f>
        <v>0</v>
      </c>
      <c r="AK2293" s="8" t="str">
        <f aca="false">$E2293&amp;"|"&amp;TEXT($AD2293,"0.000000")</f>
        <v>PV 136|0.000000</v>
      </c>
    </row>
    <row r="2294" customFormat="false" ht="15" hidden="false" customHeight="false" outlineLevel="0" collapsed="false">
      <c r="B2294" s="16" t="n">
        <v>45</v>
      </c>
      <c r="C2294" s="17" t="n">
        <f aca="false">DATA_INICIO_SAFRA+($B2294-1)*DIAS_POR_SEMANA</f>
        <v>46573</v>
      </c>
      <c r="D2294" s="17" t="n">
        <f aca="false">$C2294+DIAS_POR_SEMANA-1</f>
        <v>46579</v>
      </c>
      <c r="E2294" s="15" t="s">
        <v>293</v>
      </c>
      <c r="F2294" s="8" t="str">
        <f aca="false">IFERROR(INDEX(CADASTRO_PIVOS!$C$6:$C$41,MATCH($E2294,CADASTRO_PIVOS!$B$6:$B$41,0)),"?")</f>
        <v>RM08</v>
      </c>
      <c r="G2294" s="8" t="str">
        <f aca="false">IFERROR(INDEX(CADASTRO_PIVOS!$D$6:$D$41,MATCH($E2294,CADASTRO_PIVOS!$B$6:$B$41,0)),"?")</f>
        <v>TR08</v>
      </c>
      <c r="H2294" s="20" t="n">
        <f aca="false">IFERROR(INDEX(CADASTRO_PIVOS!$E$6:$E$41,MATCH($E2294,CADASTRO_PIVOS!$B$6:$B$41,0)),0)</f>
        <v>86</v>
      </c>
      <c r="I2294" s="16" t="n">
        <f aca="false">IFERROR(SUMIFS(ROTACAO_RDM!$B$6:$B$71,ROTACAO_RDM!$D$6:$D$71,$E2294,ROTACAO_RDM!$I$6:$I$71,"&lt;="&amp;$C2294+INT(DIAS_POR_SEMANA/2),ROTACAO_RDM!$J$6:$J$71,"&gt;="&amp;$C2294+INT(DIAS_POR_SEMANA/2)),0)</f>
        <v>0</v>
      </c>
      <c r="J2294" s="16" t="n">
        <f aca="false">IFERROR(MATCH($I2294,ROTACAO_RDM!$B$6:$B$71,0),0)</f>
        <v>0</v>
      </c>
      <c r="K2294" s="8" t="str">
        <f aca="false">IF($J2294=0,"SEM CULTURA",INDEX(ROTACAO_RDM!$F$6:$F$71,$J2294))</f>
        <v>SEM CULTURA</v>
      </c>
      <c r="L2294" s="8" t="str">
        <f aca="false">IF($J2294=0,"",INDEX(ROTACAO_RDM!$G$6:$G$71,$J2294))</f>
        <v/>
      </c>
      <c r="M2294" s="17" t="str">
        <f aca="false">IF($J2294=0,"",INDEX(ROTACAO_RDM!$I$6:$I$71,$J2294))</f>
        <v/>
      </c>
      <c r="N2294" s="16" t="n">
        <f aca="false">IF($J2294=0,0,MAX(0,$C2294+INT(DIAS_POR_SEMANA/2)-INDEX(ROTACAO_RDM!$I$6:$I$71,$J2294)))</f>
        <v>0</v>
      </c>
      <c r="O2294" s="19" t="n">
        <f aca="false">IF($J2294=0,0,MIN(1,$N2294/MAX(1,INDEX(ROTACAO_RDM!$K$6:$K$71,$J2294))))</f>
        <v>0</v>
      </c>
      <c r="P2294" s="16" t="n">
        <f aca="false">IF($J2294=0,0,IFERROR(MATCH(INDEX(ROTACAO_RDM!$N$6:$N$71,$J2294),PARAMETROS_CULTURAS!$B$6:$B$28,0),0))</f>
        <v>0</v>
      </c>
      <c r="Q2294" s="8" t="str">
        <f aca="false">IF($P2294=0,"-",IF($O2294&lt;=INDEX(PARAMETROS_CULTURAS!$F$6:$F$28,$P2294),"INICIAL",IF($O2294&lt;=INDEX(PARAMETROS_CULTURAS!$F$6:$F$28,$P2294)+INDEX(PARAMETROS_CULTURAS!$G$6:$G$28,$P2294),"DESENVOLVIMENTO",IF($O2294&lt;=INDEX(PARAMETROS_CULTURAS!$F$6:$F$28,$P2294)+INDEX(PARAMETROS_CULTURAS!$G$6:$G$28,$P2294)+INDEX(PARAMETROS_CULTURAS!$H$6:$H$28,$P2294),"MEDIA","FINAL"))))</f>
        <v>-</v>
      </c>
      <c r="R2294" s="24" t="n">
        <f aca="false">IF($P2294=0,0,IF($O2294&lt;=INDEX(PARAMETROS_CULTURAS!$F$6:$F$28,$P2294),INDEX(PARAMETROS_CULTURAS!$K$6:$K$28,$P2294),IF($O2294&lt;=INDEX(PARAMETROS_CULTURAS!$F$6:$F$28,$P2294)+INDEX(PARAMETROS_CULTURAS!$G$6:$G$28,$P2294),INDEX(PARAMETROS_CULTURAS!$K$6:$K$28,$P2294)+(INDEX(PARAMETROS_CULTURAS!$L$6:$L$28,$P2294)-INDEX(PARAMETROS_CULTURAS!$K$6:$K$28,$P2294))*($O2294-INDEX(PARAMETROS_CULTURAS!$F$6:$F$28,$P2294))/MAX(INDEX(PARAMETROS_CULTURAS!$G$6:$G$28,$P2294),0.0001),IF($O2294&lt;=INDEX(PARAMETROS_CULTURAS!$F$6:$F$28,$P2294)+INDEX(PARAMETROS_CULTURAS!$G$6:$G$28,$P2294)+INDEX(PARAMETROS_CULTURAS!$H$6:$H$28,$P2294),INDEX(PARAMETROS_CULTURAS!$L$6:$L$28,$P2294),INDEX(PARAMETROS_CULTURAS!$L$6:$L$28,$P2294)+(INDEX(PARAMETROS_CULTURAS!$M$6:$M$28,$P2294)-INDEX(PARAMETROS_CULTURAS!$L$6:$L$28,$P2294))*($O2294-INDEX(PARAMETROS_CULTURAS!$F$6:$F$28,$P2294)-INDEX(PARAMETROS_CULTURAS!$G$6:$G$28,$P2294)-INDEX(PARAMETROS_CULTURAS!$H$6:$H$28,$P2294))/MAX(INDEX(PARAMETROS_CULTURAS!$I$6:$I$28,$P2294),0.0001)))))</f>
        <v>0</v>
      </c>
      <c r="S2294" s="18" t="n">
        <f aca="false">IFERROR(INDEX(SEMANAS!$H$6:$H$71,MATCH($B2294,SEMANAS!$B$6:$B$71,0)),0)</f>
        <v>30.1</v>
      </c>
      <c r="T2294" s="18" t="n">
        <f aca="false">$R2294*$S2294</f>
        <v>0</v>
      </c>
      <c r="U2294" s="18" t="n">
        <f aca="false">IFERROR(INDEX(SEMANAS!$I$6:$I$71,MATCH($B2294,SEMANAS!$B$6:$B$71,0)),0)</f>
        <v>0.7</v>
      </c>
      <c r="V2294" s="18" t="n">
        <f aca="false">IFERROR(INDEX(SEMANAS!$J$6:$J$71,MATCH($B2294,SEMANAS!$B$6:$B$71,0)),0)</f>
        <v>0.56</v>
      </c>
      <c r="W2294" s="18" t="n">
        <f aca="false">MAX(0,$T2294-$V2294)</f>
        <v>0</v>
      </c>
      <c r="X2294" s="19" t="n">
        <f aca="false">IFERROR(INDEX(CADASTRO_PIVOS!$K$6:$K$41,MATCH($E2294,CADASTRO_PIVOS!$B$6:$B$41,0)),EFICIENCIA_PADRAO)</f>
        <v>0.85</v>
      </c>
      <c r="Y2294" s="18" t="n">
        <f aca="false">IF($X2294&lt;=0,0,$W2294/$X2294)</f>
        <v>0</v>
      </c>
      <c r="Z2294" s="16" t="n">
        <f aca="false">$Y2294*$H2294*MM_PARA_M3_HA</f>
        <v>0</v>
      </c>
      <c r="AA2294" s="18" t="n">
        <f aca="false">IFERROR(INDEX(CADASTRO_PIVOS!$I$6:$I$41,MATCH($E2294,CADASTRO_PIVOS!$B$6:$B$41,0)),0)</f>
        <v>614.285714285714</v>
      </c>
      <c r="AB2294" s="18" t="n">
        <f aca="false">IF($Z2294&lt;=0,0,$Z2294/$AA2294)</f>
        <v>0</v>
      </c>
      <c r="AC2294" s="16" t="n">
        <f aca="false">IFERROR(INDEX(SEMANAS!$K$6:$K$71,MATCH($B2294,SEMANAS!$B$6:$B$71,0)),0)</f>
        <v>147</v>
      </c>
      <c r="AD2294" s="19" t="n">
        <f aca="false">IF($AC2294&lt;=0,0,$AB2294/$AC2294)</f>
        <v>0</v>
      </c>
      <c r="AE2294" s="8" t="str">
        <f aca="false">IF($K2294="SEM CULTURA","SEM CULTURA",IF($AA2294&lt;=0,"DADO PENDENTE",IF($AD2294&gt;LIMITE_CRITICO,"INVIAVEL",IF($AD2294&gt;LIMITE_ATENCAO,"CRITICO",IF($AD2294&gt;LIMITE_CONFORTAVEL,"ATENCAO","OK")))))</f>
        <v>SEM CULTURA</v>
      </c>
      <c r="AF2294" s="8" t="str">
        <f aca="false">$B2294&amp;"|"&amp;TEXT($AD2294,"0.000000")</f>
        <v>45|0.000000</v>
      </c>
      <c r="AG2294" s="18" t="n">
        <f aca="false">IF($K2294="SEM CULTURA",0,$T2294*$H2294)</f>
        <v>0</v>
      </c>
      <c r="AH2294" s="18" t="n">
        <f aca="false">IF($K2294="SEM CULTURA",0,$V2294*$H2294)</f>
        <v>0</v>
      </c>
      <c r="AI2294" s="18" t="n">
        <f aca="false">IF($K2294="SEM CULTURA",0,$W2294*$H2294)</f>
        <v>0</v>
      </c>
      <c r="AJ2294" s="18" t="n">
        <f aca="false">IF($K2294="SEM CULTURA",0,$S2294*$H2294)</f>
        <v>0</v>
      </c>
      <c r="AK2294" s="8" t="str">
        <f aca="false">$E2294&amp;"|"&amp;TEXT($AD2294,"0.000000")</f>
        <v>PV 136|0.000000</v>
      </c>
    </row>
    <row r="2295" customFormat="false" ht="15" hidden="false" customHeight="false" outlineLevel="0" collapsed="false">
      <c r="B2295" s="16" t="n">
        <v>46</v>
      </c>
      <c r="C2295" s="17" t="n">
        <f aca="false">DATA_INICIO_SAFRA+($B2295-1)*DIAS_POR_SEMANA</f>
        <v>46580</v>
      </c>
      <c r="D2295" s="17" t="n">
        <f aca="false">$C2295+DIAS_POR_SEMANA-1</f>
        <v>46586</v>
      </c>
      <c r="E2295" s="15" t="s">
        <v>293</v>
      </c>
      <c r="F2295" s="8" t="str">
        <f aca="false">IFERROR(INDEX(CADASTRO_PIVOS!$C$6:$C$41,MATCH($E2295,CADASTRO_PIVOS!$B$6:$B$41,0)),"?")</f>
        <v>RM08</v>
      </c>
      <c r="G2295" s="8" t="str">
        <f aca="false">IFERROR(INDEX(CADASTRO_PIVOS!$D$6:$D$41,MATCH($E2295,CADASTRO_PIVOS!$B$6:$B$41,0)),"?")</f>
        <v>TR08</v>
      </c>
      <c r="H2295" s="20" t="n">
        <f aca="false">IFERROR(INDEX(CADASTRO_PIVOS!$E$6:$E$41,MATCH($E2295,CADASTRO_PIVOS!$B$6:$B$41,0)),0)</f>
        <v>86</v>
      </c>
      <c r="I2295" s="16" t="n">
        <f aca="false">IFERROR(SUMIFS(ROTACAO_RDM!$B$6:$B$71,ROTACAO_RDM!$D$6:$D$71,$E2295,ROTACAO_RDM!$I$6:$I$71,"&lt;="&amp;$C2295+INT(DIAS_POR_SEMANA/2),ROTACAO_RDM!$J$6:$J$71,"&gt;="&amp;$C2295+INT(DIAS_POR_SEMANA/2)),0)</f>
        <v>0</v>
      </c>
      <c r="J2295" s="16" t="n">
        <f aca="false">IFERROR(MATCH($I2295,ROTACAO_RDM!$B$6:$B$71,0),0)</f>
        <v>0</v>
      </c>
      <c r="K2295" s="8" t="str">
        <f aca="false">IF($J2295=0,"SEM CULTURA",INDEX(ROTACAO_RDM!$F$6:$F$71,$J2295))</f>
        <v>SEM CULTURA</v>
      </c>
      <c r="L2295" s="8" t="str">
        <f aca="false">IF($J2295=0,"",INDEX(ROTACAO_RDM!$G$6:$G$71,$J2295))</f>
        <v/>
      </c>
      <c r="M2295" s="17" t="str">
        <f aca="false">IF($J2295=0,"",INDEX(ROTACAO_RDM!$I$6:$I$71,$J2295))</f>
        <v/>
      </c>
      <c r="N2295" s="16" t="n">
        <f aca="false">IF($J2295=0,0,MAX(0,$C2295+INT(DIAS_POR_SEMANA/2)-INDEX(ROTACAO_RDM!$I$6:$I$71,$J2295)))</f>
        <v>0</v>
      </c>
      <c r="O2295" s="19" t="n">
        <f aca="false">IF($J2295=0,0,MIN(1,$N2295/MAX(1,INDEX(ROTACAO_RDM!$K$6:$K$71,$J2295))))</f>
        <v>0</v>
      </c>
      <c r="P2295" s="16" t="n">
        <f aca="false">IF($J2295=0,0,IFERROR(MATCH(INDEX(ROTACAO_RDM!$N$6:$N$71,$J2295),PARAMETROS_CULTURAS!$B$6:$B$28,0),0))</f>
        <v>0</v>
      </c>
      <c r="Q2295" s="8" t="str">
        <f aca="false">IF($P2295=0,"-",IF($O2295&lt;=INDEX(PARAMETROS_CULTURAS!$F$6:$F$28,$P2295),"INICIAL",IF($O2295&lt;=INDEX(PARAMETROS_CULTURAS!$F$6:$F$28,$P2295)+INDEX(PARAMETROS_CULTURAS!$G$6:$G$28,$P2295),"DESENVOLVIMENTO",IF($O2295&lt;=INDEX(PARAMETROS_CULTURAS!$F$6:$F$28,$P2295)+INDEX(PARAMETROS_CULTURAS!$G$6:$G$28,$P2295)+INDEX(PARAMETROS_CULTURAS!$H$6:$H$28,$P2295),"MEDIA","FINAL"))))</f>
        <v>-</v>
      </c>
      <c r="R2295" s="24" t="n">
        <f aca="false">IF($P2295=0,0,IF($O2295&lt;=INDEX(PARAMETROS_CULTURAS!$F$6:$F$28,$P2295),INDEX(PARAMETROS_CULTURAS!$K$6:$K$28,$P2295),IF($O2295&lt;=INDEX(PARAMETROS_CULTURAS!$F$6:$F$28,$P2295)+INDEX(PARAMETROS_CULTURAS!$G$6:$G$28,$P2295),INDEX(PARAMETROS_CULTURAS!$K$6:$K$28,$P2295)+(INDEX(PARAMETROS_CULTURAS!$L$6:$L$28,$P2295)-INDEX(PARAMETROS_CULTURAS!$K$6:$K$28,$P2295))*($O2295-INDEX(PARAMETROS_CULTURAS!$F$6:$F$28,$P2295))/MAX(INDEX(PARAMETROS_CULTURAS!$G$6:$G$28,$P2295),0.0001),IF($O2295&lt;=INDEX(PARAMETROS_CULTURAS!$F$6:$F$28,$P2295)+INDEX(PARAMETROS_CULTURAS!$G$6:$G$28,$P2295)+INDEX(PARAMETROS_CULTURAS!$H$6:$H$28,$P2295),INDEX(PARAMETROS_CULTURAS!$L$6:$L$28,$P2295),INDEX(PARAMETROS_CULTURAS!$L$6:$L$28,$P2295)+(INDEX(PARAMETROS_CULTURAS!$M$6:$M$28,$P2295)-INDEX(PARAMETROS_CULTURAS!$L$6:$L$28,$P2295))*($O2295-INDEX(PARAMETROS_CULTURAS!$F$6:$F$28,$P2295)-INDEX(PARAMETROS_CULTURAS!$G$6:$G$28,$P2295)-INDEX(PARAMETROS_CULTURAS!$H$6:$H$28,$P2295))/MAX(INDEX(PARAMETROS_CULTURAS!$I$6:$I$28,$P2295),0.0001)))))</f>
        <v>0</v>
      </c>
      <c r="S2295" s="18" t="n">
        <f aca="false">IFERROR(INDEX(SEMANAS!$H$6:$H$71,MATCH($B2295,SEMANAS!$B$6:$B$71,0)),0)</f>
        <v>30.1</v>
      </c>
      <c r="T2295" s="18" t="n">
        <f aca="false">$R2295*$S2295</f>
        <v>0</v>
      </c>
      <c r="U2295" s="18" t="n">
        <f aca="false">IFERROR(INDEX(SEMANAS!$I$6:$I$71,MATCH($B2295,SEMANAS!$B$6:$B$71,0)),0)</f>
        <v>0.7</v>
      </c>
      <c r="V2295" s="18" t="n">
        <f aca="false">IFERROR(INDEX(SEMANAS!$J$6:$J$71,MATCH($B2295,SEMANAS!$B$6:$B$71,0)),0)</f>
        <v>0.56</v>
      </c>
      <c r="W2295" s="18" t="n">
        <f aca="false">MAX(0,$T2295-$V2295)</f>
        <v>0</v>
      </c>
      <c r="X2295" s="19" t="n">
        <f aca="false">IFERROR(INDEX(CADASTRO_PIVOS!$K$6:$K$41,MATCH($E2295,CADASTRO_PIVOS!$B$6:$B$41,0)),EFICIENCIA_PADRAO)</f>
        <v>0.85</v>
      </c>
      <c r="Y2295" s="18" t="n">
        <f aca="false">IF($X2295&lt;=0,0,$W2295/$X2295)</f>
        <v>0</v>
      </c>
      <c r="Z2295" s="16" t="n">
        <f aca="false">$Y2295*$H2295*MM_PARA_M3_HA</f>
        <v>0</v>
      </c>
      <c r="AA2295" s="18" t="n">
        <f aca="false">IFERROR(INDEX(CADASTRO_PIVOS!$I$6:$I$41,MATCH($E2295,CADASTRO_PIVOS!$B$6:$B$41,0)),0)</f>
        <v>614.285714285714</v>
      </c>
      <c r="AB2295" s="18" t="n">
        <f aca="false">IF($Z2295&lt;=0,0,$Z2295/$AA2295)</f>
        <v>0</v>
      </c>
      <c r="AC2295" s="16" t="n">
        <f aca="false">IFERROR(INDEX(SEMANAS!$K$6:$K$71,MATCH($B2295,SEMANAS!$B$6:$B$71,0)),0)</f>
        <v>147</v>
      </c>
      <c r="AD2295" s="19" t="n">
        <f aca="false">IF($AC2295&lt;=0,0,$AB2295/$AC2295)</f>
        <v>0</v>
      </c>
      <c r="AE2295" s="8" t="str">
        <f aca="false">IF($K2295="SEM CULTURA","SEM CULTURA",IF($AA2295&lt;=0,"DADO PENDENTE",IF($AD2295&gt;LIMITE_CRITICO,"INVIAVEL",IF($AD2295&gt;LIMITE_ATENCAO,"CRITICO",IF($AD2295&gt;LIMITE_CONFORTAVEL,"ATENCAO","OK")))))</f>
        <v>SEM CULTURA</v>
      </c>
      <c r="AF2295" s="8" t="str">
        <f aca="false">$B2295&amp;"|"&amp;TEXT($AD2295,"0.000000")</f>
        <v>46|0.000000</v>
      </c>
      <c r="AG2295" s="18" t="n">
        <f aca="false">IF($K2295="SEM CULTURA",0,$T2295*$H2295)</f>
        <v>0</v>
      </c>
      <c r="AH2295" s="18" t="n">
        <f aca="false">IF($K2295="SEM CULTURA",0,$V2295*$H2295)</f>
        <v>0</v>
      </c>
      <c r="AI2295" s="18" t="n">
        <f aca="false">IF($K2295="SEM CULTURA",0,$W2295*$H2295)</f>
        <v>0</v>
      </c>
      <c r="AJ2295" s="18" t="n">
        <f aca="false">IF($K2295="SEM CULTURA",0,$S2295*$H2295)</f>
        <v>0</v>
      </c>
      <c r="AK2295" s="8" t="str">
        <f aca="false">$E2295&amp;"|"&amp;TEXT($AD2295,"0.000000")</f>
        <v>PV 136|0.000000</v>
      </c>
    </row>
    <row r="2296" customFormat="false" ht="15" hidden="false" customHeight="false" outlineLevel="0" collapsed="false">
      <c r="B2296" s="16" t="n">
        <v>47</v>
      </c>
      <c r="C2296" s="17" t="n">
        <f aca="false">DATA_INICIO_SAFRA+($B2296-1)*DIAS_POR_SEMANA</f>
        <v>46587</v>
      </c>
      <c r="D2296" s="17" t="n">
        <f aca="false">$C2296+DIAS_POR_SEMANA-1</f>
        <v>46593</v>
      </c>
      <c r="E2296" s="15" t="s">
        <v>293</v>
      </c>
      <c r="F2296" s="8" t="str">
        <f aca="false">IFERROR(INDEX(CADASTRO_PIVOS!$C$6:$C$41,MATCH($E2296,CADASTRO_PIVOS!$B$6:$B$41,0)),"?")</f>
        <v>RM08</v>
      </c>
      <c r="G2296" s="8" t="str">
        <f aca="false">IFERROR(INDEX(CADASTRO_PIVOS!$D$6:$D$41,MATCH($E2296,CADASTRO_PIVOS!$B$6:$B$41,0)),"?")</f>
        <v>TR08</v>
      </c>
      <c r="H2296" s="20" t="n">
        <f aca="false">IFERROR(INDEX(CADASTRO_PIVOS!$E$6:$E$41,MATCH($E2296,CADASTRO_PIVOS!$B$6:$B$41,0)),0)</f>
        <v>86</v>
      </c>
      <c r="I2296" s="16" t="n">
        <f aca="false">IFERROR(SUMIFS(ROTACAO_RDM!$B$6:$B$71,ROTACAO_RDM!$D$6:$D$71,$E2296,ROTACAO_RDM!$I$6:$I$71,"&lt;="&amp;$C2296+INT(DIAS_POR_SEMANA/2),ROTACAO_RDM!$J$6:$J$71,"&gt;="&amp;$C2296+INT(DIAS_POR_SEMANA/2)),0)</f>
        <v>0</v>
      </c>
      <c r="J2296" s="16" t="n">
        <f aca="false">IFERROR(MATCH($I2296,ROTACAO_RDM!$B$6:$B$71,0),0)</f>
        <v>0</v>
      </c>
      <c r="K2296" s="8" t="str">
        <f aca="false">IF($J2296=0,"SEM CULTURA",INDEX(ROTACAO_RDM!$F$6:$F$71,$J2296))</f>
        <v>SEM CULTURA</v>
      </c>
      <c r="L2296" s="8" t="str">
        <f aca="false">IF($J2296=0,"",INDEX(ROTACAO_RDM!$G$6:$G$71,$J2296))</f>
        <v/>
      </c>
      <c r="M2296" s="17" t="str">
        <f aca="false">IF($J2296=0,"",INDEX(ROTACAO_RDM!$I$6:$I$71,$J2296))</f>
        <v/>
      </c>
      <c r="N2296" s="16" t="n">
        <f aca="false">IF($J2296=0,0,MAX(0,$C2296+INT(DIAS_POR_SEMANA/2)-INDEX(ROTACAO_RDM!$I$6:$I$71,$J2296)))</f>
        <v>0</v>
      </c>
      <c r="O2296" s="19" t="n">
        <f aca="false">IF($J2296=0,0,MIN(1,$N2296/MAX(1,INDEX(ROTACAO_RDM!$K$6:$K$71,$J2296))))</f>
        <v>0</v>
      </c>
      <c r="P2296" s="16" t="n">
        <f aca="false">IF($J2296=0,0,IFERROR(MATCH(INDEX(ROTACAO_RDM!$N$6:$N$71,$J2296),PARAMETROS_CULTURAS!$B$6:$B$28,0),0))</f>
        <v>0</v>
      </c>
      <c r="Q2296" s="8" t="str">
        <f aca="false">IF($P2296=0,"-",IF($O2296&lt;=INDEX(PARAMETROS_CULTURAS!$F$6:$F$28,$P2296),"INICIAL",IF($O2296&lt;=INDEX(PARAMETROS_CULTURAS!$F$6:$F$28,$P2296)+INDEX(PARAMETROS_CULTURAS!$G$6:$G$28,$P2296),"DESENVOLVIMENTO",IF($O2296&lt;=INDEX(PARAMETROS_CULTURAS!$F$6:$F$28,$P2296)+INDEX(PARAMETROS_CULTURAS!$G$6:$G$28,$P2296)+INDEX(PARAMETROS_CULTURAS!$H$6:$H$28,$P2296),"MEDIA","FINAL"))))</f>
        <v>-</v>
      </c>
      <c r="R2296" s="24" t="n">
        <f aca="false">IF($P2296=0,0,IF($O2296&lt;=INDEX(PARAMETROS_CULTURAS!$F$6:$F$28,$P2296),INDEX(PARAMETROS_CULTURAS!$K$6:$K$28,$P2296),IF($O2296&lt;=INDEX(PARAMETROS_CULTURAS!$F$6:$F$28,$P2296)+INDEX(PARAMETROS_CULTURAS!$G$6:$G$28,$P2296),INDEX(PARAMETROS_CULTURAS!$K$6:$K$28,$P2296)+(INDEX(PARAMETROS_CULTURAS!$L$6:$L$28,$P2296)-INDEX(PARAMETROS_CULTURAS!$K$6:$K$28,$P2296))*($O2296-INDEX(PARAMETROS_CULTURAS!$F$6:$F$28,$P2296))/MAX(INDEX(PARAMETROS_CULTURAS!$G$6:$G$28,$P2296),0.0001),IF($O2296&lt;=INDEX(PARAMETROS_CULTURAS!$F$6:$F$28,$P2296)+INDEX(PARAMETROS_CULTURAS!$G$6:$G$28,$P2296)+INDEX(PARAMETROS_CULTURAS!$H$6:$H$28,$P2296),INDEX(PARAMETROS_CULTURAS!$L$6:$L$28,$P2296),INDEX(PARAMETROS_CULTURAS!$L$6:$L$28,$P2296)+(INDEX(PARAMETROS_CULTURAS!$M$6:$M$28,$P2296)-INDEX(PARAMETROS_CULTURAS!$L$6:$L$28,$P2296))*($O2296-INDEX(PARAMETROS_CULTURAS!$F$6:$F$28,$P2296)-INDEX(PARAMETROS_CULTURAS!$G$6:$G$28,$P2296)-INDEX(PARAMETROS_CULTURAS!$H$6:$H$28,$P2296))/MAX(INDEX(PARAMETROS_CULTURAS!$I$6:$I$28,$P2296),0.0001)))))</f>
        <v>0</v>
      </c>
      <c r="S2296" s="18" t="n">
        <f aca="false">IFERROR(INDEX(SEMANAS!$H$6:$H$71,MATCH($B2296,SEMANAS!$B$6:$B$71,0)),0)</f>
        <v>30.1</v>
      </c>
      <c r="T2296" s="18" t="n">
        <f aca="false">$R2296*$S2296</f>
        <v>0</v>
      </c>
      <c r="U2296" s="18" t="n">
        <f aca="false">IFERROR(INDEX(SEMANAS!$I$6:$I$71,MATCH($B2296,SEMANAS!$B$6:$B$71,0)),0)</f>
        <v>0.7</v>
      </c>
      <c r="V2296" s="18" t="n">
        <f aca="false">IFERROR(INDEX(SEMANAS!$J$6:$J$71,MATCH($B2296,SEMANAS!$B$6:$B$71,0)),0)</f>
        <v>0.56</v>
      </c>
      <c r="W2296" s="18" t="n">
        <f aca="false">MAX(0,$T2296-$V2296)</f>
        <v>0</v>
      </c>
      <c r="X2296" s="19" t="n">
        <f aca="false">IFERROR(INDEX(CADASTRO_PIVOS!$K$6:$K$41,MATCH($E2296,CADASTRO_PIVOS!$B$6:$B$41,0)),EFICIENCIA_PADRAO)</f>
        <v>0.85</v>
      </c>
      <c r="Y2296" s="18" t="n">
        <f aca="false">IF($X2296&lt;=0,0,$W2296/$X2296)</f>
        <v>0</v>
      </c>
      <c r="Z2296" s="16" t="n">
        <f aca="false">$Y2296*$H2296*MM_PARA_M3_HA</f>
        <v>0</v>
      </c>
      <c r="AA2296" s="18" t="n">
        <f aca="false">IFERROR(INDEX(CADASTRO_PIVOS!$I$6:$I$41,MATCH($E2296,CADASTRO_PIVOS!$B$6:$B$41,0)),0)</f>
        <v>614.285714285714</v>
      </c>
      <c r="AB2296" s="18" t="n">
        <f aca="false">IF($Z2296&lt;=0,0,$Z2296/$AA2296)</f>
        <v>0</v>
      </c>
      <c r="AC2296" s="16" t="n">
        <f aca="false">IFERROR(INDEX(SEMANAS!$K$6:$K$71,MATCH($B2296,SEMANAS!$B$6:$B$71,0)),0)</f>
        <v>147</v>
      </c>
      <c r="AD2296" s="19" t="n">
        <f aca="false">IF($AC2296&lt;=0,0,$AB2296/$AC2296)</f>
        <v>0</v>
      </c>
      <c r="AE2296" s="8" t="str">
        <f aca="false">IF($K2296="SEM CULTURA","SEM CULTURA",IF($AA2296&lt;=0,"DADO PENDENTE",IF($AD2296&gt;LIMITE_CRITICO,"INVIAVEL",IF($AD2296&gt;LIMITE_ATENCAO,"CRITICO",IF($AD2296&gt;LIMITE_CONFORTAVEL,"ATENCAO","OK")))))</f>
        <v>SEM CULTURA</v>
      </c>
      <c r="AF2296" s="8" t="str">
        <f aca="false">$B2296&amp;"|"&amp;TEXT($AD2296,"0.000000")</f>
        <v>47|0.000000</v>
      </c>
      <c r="AG2296" s="18" t="n">
        <f aca="false">IF($K2296="SEM CULTURA",0,$T2296*$H2296)</f>
        <v>0</v>
      </c>
      <c r="AH2296" s="18" t="n">
        <f aca="false">IF($K2296="SEM CULTURA",0,$V2296*$H2296)</f>
        <v>0</v>
      </c>
      <c r="AI2296" s="18" t="n">
        <f aca="false">IF($K2296="SEM CULTURA",0,$W2296*$H2296)</f>
        <v>0</v>
      </c>
      <c r="AJ2296" s="18" t="n">
        <f aca="false">IF($K2296="SEM CULTURA",0,$S2296*$H2296)</f>
        <v>0</v>
      </c>
      <c r="AK2296" s="8" t="str">
        <f aca="false">$E2296&amp;"|"&amp;TEXT($AD2296,"0.000000")</f>
        <v>PV 136|0.000000</v>
      </c>
    </row>
    <row r="2297" customFormat="false" ht="15" hidden="false" customHeight="false" outlineLevel="0" collapsed="false">
      <c r="B2297" s="16" t="n">
        <v>48</v>
      </c>
      <c r="C2297" s="17" t="n">
        <f aca="false">DATA_INICIO_SAFRA+($B2297-1)*DIAS_POR_SEMANA</f>
        <v>46594</v>
      </c>
      <c r="D2297" s="17" t="n">
        <f aca="false">$C2297+DIAS_POR_SEMANA-1</f>
        <v>46600</v>
      </c>
      <c r="E2297" s="15" t="s">
        <v>293</v>
      </c>
      <c r="F2297" s="8" t="str">
        <f aca="false">IFERROR(INDEX(CADASTRO_PIVOS!$C$6:$C$41,MATCH($E2297,CADASTRO_PIVOS!$B$6:$B$41,0)),"?")</f>
        <v>RM08</v>
      </c>
      <c r="G2297" s="8" t="str">
        <f aca="false">IFERROR(INDEX(CADASTRO_PIVOS!$D$6:$D$41,MATCH($E2297,CADASTRO_PIVOS!$B$6:$B$41,0)),"?")</f>
        <v>TR08</v>
      </c>
      <c r="H2297" s="20" t="n">
        <f aca="false">IFERROR(INDEX(CADASTRO_PIVOS!$E$6:$E$41,MATCH($E2297,CADASTRO_PIVOS!$B$6:$B$41,0)),0)</f>
        <v>86</v>
      </c>
      <c r="I2297" s="16" t="n">
        <f aca="false">IFERROR(SUMIFS(ROTACAO_RDM!$B$6:$B$71,ROTACAO_RDM!$D$6:$D$71,$E2297,ROTACAO_RDM!$I$6:$I$71,"&lt;="&amp;$C2297+INT(DIAS_POR_SEMANA/2),ROTACAO_RDM!$J$6:$J$71,"&gt;="&amp;$C2297+INT(DIAS_POR_SEMANA/2)),0)</f>
        <v>0</v>
      </c>
      <c r="J2297" s="16" t="n">
        <f aca="false">IFERROR(MATCH($I2297,ROTACAO_RDM!$B$6:$B$71,0),0)</f>
        <v>0</v>
      </c>
      <c r="K2297" s="8" t="str">
        <f aca="false">IF($J2297=0,"SEM CULTURA",INDEX(ROTACAO_RDM!$F$6:$F$71,$J2297))</f>
        <v>SEM CULTURA</v>
      </c>
      <c r="L2297" s="8" t="str">
        <f aca="false">IF($J2297=0,"",INDEX(ROTACAO_RDM!$G$6:$G$71,$J2297))</f>
        <v/>
      </c>
      <c r="M2297" s="17" t="str">
        <f aca="false">IF($J2297=0,"",INDEX(ROTACAO_RDM!$I$6:$I$71,$J2297))</f>
        <v/>
      </c>
      <c r="N2297" s="16" t="n">
        <f aca="false">IF($J2297=0,0,MAX(0,$C2297+INT(DIAS_POR_SEMANA/2)-INDEX(ROTACAO_RDM!$I$6:$I$71,$J2297)))</f>
        <v>0</v>
      </c>
      <c r="O2297" s="19" t="n">
        <f aca="false">IF($J2297=0,0,MIN(1,$N2297/MAX(1,INDEX(ROTACAO_RDM!$K$6:$K$71,$J2297))))</f>
        <v>0</v>
      </c>
      <c r="P2297" s="16" t="n">
        <f aca="false">IF($J2297=0,0,IFERROR(MATCH(INDEX(ROTACAO_RDM!$N$6:$N$71,$J2297),PARAMETROS_CULTURAS!$B$6:$B$28,0),0))</f>
        <v>0</v>
      </c>
      <c r="Q2297" s="8" t="str">
        <f aca="false">IF($P2297=0,"-",IF($O2297&lt;=INDEX(PARAMETROS_CULTURAS!$F$6:$F$28,$P2297),"INICIAL",IF($O2297&lt;=INDEX(PARAMETROS_CULTURAS!$F$6:$F$28,$P2297)+INDEX(PARAMETROS_CULTURAS!$G$6:$G$28,$P2297),"DESENVOLVIMENTO",IF($O2297&lt;=INDEX(PARAMETROS_CULTURAS!$F$6:$F$28,$P2297)+INDEX(PARAMETROS_CULTURAS!$G$6:$G$28,$P2297)+INDEX(PARAMETROS_CULTURAS!$H$6:$H$28,$P2297),"MEDIA","FINAL"))))</f>
        <v>-</v>
      </c>
      <c r="R2297" s="24" t="n">
        <f aca="false">IF($P2297=0,0,IF($O2297&lt;=INDEX(PARAMETROS_CULTURAS!$F$6:$F$28,$P2297),INDEX(PARAMETROS_CULTURAS!$K$6:$K$28,$P2297),IF($O2297&lt;=INDEX(PARAMETROS_CULTURAS!$F$6:$F$28,$P2297)+INDEX(PARAMETROS_CULTURAS!$G$6:$G$28,$P2297),INDEX(PARAMETROS_CULTURAS!$K$6:$K$28,$P2297)+(INDEX(PARAMETROS_CULTURAS!$L$6:$L$28,$P2297)-INDEX(PARAMETROS_CULTURAS!$K$6:$K$28,$P2297))*($O2297-INDEX(PARAMETROS_CULTURAS!$F$6:$F$28,$P2297))/MAX(INDEX(PARAMETROS_CULTURAS!$G$6:$G$28,$P2297),0.0001),IF($O2297&lt;=INDEX(PARAMETROS_CULTURAS!$F$6:$F$28,$P2297)+INDEX(PARAMETROS_CULTURAS!$G$6:$G$28,$P2297)+INDEX(PARAMETROS_CULTURAS!$H$6:$H$28,$P2297),INDEX(PARAMETROS_CULTURAS!$L$6:$L$28,$P2297),INDEX(PARAMETROS_CULTURAS!$L$6:$L$28,$P2297)+(INDEX(PARAMETROS_CULTURAS!$M$6:$M$28,$P2297)-INDEX(PARAMETROS_CULTURAS!$L$6:$L$28,$P2297))*($O2297-INDEX(PARAMETROS_CULTURAS!$F$6:$F$28,$P2297)-INDEX(PARAMETROS_CULTURAS!$G$6:$G$28,$P2297)-INDEX(PARAMETROS_CULTURAS!$H$6:$H$28,$P2297))/MAX(INDEX(PARAMETROS_CULTURAS!$I$6:$I$28,$P2297),0.0001)))))</f>
        <v>0</v>
      </c>
      <c r="S2297" s="18" t="n">
        <f aca="false">IFERROR(INDEX(SEMANAS!$H$6:$H$71,MATCH($B2297,SEMANAS!$B$6:$B$71,0)),0)</f>
        <v>31</v>
      </c>
      <c r="T2297" s="18" t="n">
        <f aca="false">$R2297*$S2297</f>
        <v>0</v>
      </c>
      <c r="U2297" s="18" t="n">
        <f aca="false">IFERROR(INDEX(SEMANAS!$I$6:$I$71,MATCH($B2297,SEMANAS!$B$6:$B$71,0)),0)</f>
        <v>0.76</v>
      </c>
      <c r="V2297" s="18" t="n">
        <f aca="false">IFERROR(INDEX(SEMANAS!$J$6:$J$71,MATCH($B2297,SEMANAS!$B$6:$B$71,0)),0)</f>
        <v>0.608</v>
      </c>
      <c r="W2297" s="18" t="n">
        <f aca="false">MAX(0,$T2297-$V2297)</f>
        <v>0</v>
      </c>
      <c r="X2297" s="19" t="n">
        <f aca="false">IFERROR(INDEX(CADASTRO_PIVOS!$K$6:$K$41,MATCH($E2297,CADASTRO_PIVOS!$B$6:$B$41,0)),EFICIENCIA_PADRAO)</f>
        <v>0.85</v>
      </c>
      <c r="Y2297" s="18" t="n">
        <f aca="false">IF($X2297&lt;=0,0,$W2297/$X2297)</f>
        <v>0</v>
      </c>
      <c r="Z2297" s="16" t="n">
        <f aca="false">$Y2297*$H2297*MM_PARA_M3_HA</f>
        <v>0</v>
      </c>
      <c r="AA2297" s="18" t="n">
        <f aca="false">IFERROR(INDEX(CADASTRO_PIVOS!$I$6:$I$41,MATCH($E2297,CADASTRO_PIVOS!$B$6:$B$41,0)),0)</f>
        <v>614.285714285714</v>
      </c>
      <c r="AB2297" s="18" t="n">
        <f aca="false">IF($Z2297&lt;=0,0,$Z2297/$AA2297)</f>
        <v>0</v>
      </c>
      <c r="AC2297" s="16" t="n">
        <f aca="false">IFERROR(INDEX(SEMANAS!$K$6:$K$71,MATCH($B2297,SEMANAS!$B$6:$B$71,0)),0)</f>
        <v>147</v>
      </c>
      <c r="AD2297" s="19" t="n">
        <f aca="false">IF($AC2297&lt;=0,0,$AB2297/$AC2297)</f>
        <v>0</v>
      </c>
      <c r="AE2297" s="8" t="str">
        <f aca="false">IF($K2297="SEM CULTURA","SEM CULTURA",IF($AA2297&lt;=0,"DADO PENDENTE",IF($AD2297&gt;LIMITE_CRITICO,"INVIAVEL",IF($AD2297&gt;LIMITE_ATENCAO,"CRITICO",IF($AD2297&gt;LIMITE_CONFORTAVEL,"ATENCAO","OK")))))</f>
        <v>SEM CULTURA</v>
      </c>
      <c r="AF2297" s="8" t="str">
        <f aca="false">$B2297&amp;"|"&amp;TEXT($AD2297,"0.000000")</f>
        <v>48|0.000000</v>
      </c>
      <c r="AG2297" s="18" t="n">
        <f aca="false">IF($K2297="SEM CULTURA",0,$T2297*$H2297)</f>
        <v>0</v>
      </c>
      <c r="AH2297" s="18" t="n">
        <f aca="false">IF($K2297="SEM CULTURA",0,$V2297*$H2297)</f>
        <v>0</v>
      </c>
      <c r="AI2297" s="18" t="n">
        <f aca="false">IF($K2297="SEM CULTURA",0,$W2297*$H2297)</f>
        <v>0</v>
      </c>
      <c r="AJ2297" s="18" t="n">
        <f aca="false">IF($K2297="SEM CULTURA",0,$S2297*$H2297)</f>
        <v>0</v>
      </c>
      <c r="AK2297" s="8" t="str">
        <f aca="false">$E2297&amp;"|"&amp;TEXT($AD2297,"0.000000")</f>
        <v>PV 136|0.000000</v>
      </c>
    </row>
    <row r="2298" customFormat="false" ht="15" hidden="false" customHeight="false" outlineLevel="0" collapsed="false">
      <c r="B2298" s="16" t="n">
        <v>49</v>
      </c>
      <c r="C2298" s="17" t="n">
        <f aca="false">DATA_INICIO_SAFRA+($B2298-1)*DIAS_POR_SEMANA</f>
        <v>46601</v>
      </c>
      <c r="D2298" s="17" t="n">
        <f aca="false">$C2298+DIAS_POR_SEMANA-1</f>
        <v>46607</v>
      </c>
      <c r="E2298" s="15" t="s">
        <v>293</v>
      </c>
      <c r="F2298" s="8" t="str">
        <f aca="false">IFERROR(INDEX(CADASTRO_PIVOS!$C$6:$C$41,MATCH($E2298,CADASTRO_PIVOS!$B$6:$B$41,0)),"?")</f>
        <v>RM08</v>
      </c>
      <c r="G2298" s="8" t="str">
        <f aca="false">IFERROR(INDEX(CADASTRO_PIVOS!$D$6:$D$41,MATCH($E2298,CADASTRO_PIVOS!$B$6:$B$41,0)),"?")</f>
        <v>TR08</v>
      </c>
      <c r="H2298" s="20" t="n">
        <f aca="false">IFERROR(INDEX(CADASTRO_PIVOS!$E$6:$E$41,MATCH($E2298,CADASTRO_PIVOS!$B$6:$B$41,0)),0)</f>
        <v>86</v>
      </c>
      <c r="I2298" s="16" t="n">
        <f aca="false">IFERROR(SUMIFS(ROTACAO_RDM!$B$6:$B$71,ROTACAO_RDM!$D$6:$D$71,$E2298,ROTACAO_RDM!$I$6:$I$71,"&lt;="&amp;$C2298+INT(DIAS_POR_SEMANA/2),ROTACAO_RDM!$J$6:$J$71,"&gt;="&amp;$C2298+INT(DIAS_POR_SEMANA/2)),0)</f>
        <v>0</v>
      </c>
      <c r="J2298" s="16" t="n">
        <f aca="false">IFERROR(MATCH($I2298,ROTACAO_RDM!$B$6:$B$71,0),0)</f>
        <v>0</v>
      </c>
      <c r="K2298" s="8" t="str">
        <f aca="false">IF($J2298=0,"SEM CULTURA",INDEX(ROTACAO_RDM!$F$6:$F$71,$J2298))</f>
        <v>SEM CULTURA</v>
      </c>
      <c r="L2298" s="8" t="str">
        <f aca="false">IF($J2298=0,"",INDEX(ROTACAO_RDM!$G$6:$G$71,$J2298))</f>
        <v/>
      </c>
      <c r="M2298" s="17" t="str">
        <f aca="false">IF($J2298=0,"",INDEX(ROTACAO_RDM!$I$6:$I$71,$J2298))</f>
        <v/>
      </c>
      <c r="N2298" s="16" t="n">
        <f aca="false">IF($J2298=0,0,MAX(0,$C2298+INT(DIAS_POR_SEMANA/2)-INDEX(ROTACAO_RDM!$I$6:$I$71,$J2298)))</f>
        <v>0</v>
      </c>
      <c r="O2298" s="19" t="n">
        <f aca="false">IF($J2298=0,0,MIN(1,$N2298/MAX(1,INDEX(ROTACAO_RDM!$K$6:$K$71,$J2298))))</f>
        <v>0</v>
      </c>
      <c r="P2298" s="16" t="n">
        <f aca="false">IF($J2298=0,0,IFERROR(MATCH(INDEX(ROTACAO_RDM!$N$6:$N$71,$J2298),PARAMETROS_CULTURAS!$B$6:$B$28,0),0))</f>
        <v>0</v>
      </c>
      <c r="Q2298" s="8" t="str">
        <f aca="false">IF($P2298=0,"-",IF($O2298&lt;=INDEX(PARAMETROS_CULTURAS!$F$6:$F$28,$P2298),"INICIAL",IF($O2298&lt;=INDEX(PARAMETROS_CULTURAS!$F$6:$F$28,$P2298)+INDEX(PARAMETROS_CULTURAS!$G$6:$G$28,$P2298),"DESENVOLVIMENTO",IF($O2298&lt;=INDEX(PARAMETROS_CULTURAS!$F$6:$F$28,$P2298)+INDEX(PARAMETROS_CULTURAS!$G$6:$G$28,$P2298)+INDEX(PARAMETROS_CULTURAS!$H$6:$H$28,$P2298),"MEDIA","FINAL"))))</f>
        <v>-</v>
      </c>
      <c r="R2298" s="24" t="n">
        <f aca="false">IF($P2298=0,0,IF($O2298&lt;=INDEX(PARAMETROS_CULTURAS!$F$6:$F$28,$P2298),INDEX(PARAMETROS_CULTURAS!$K$6:$K$28,$P2298),IF($O2298&lt;=INDEX(PARAMETROS_CULTURAS!$F$6:$F$28,$P2298)+INDEX(PARAMETROS_CULTURAS!$G$6:$G$28,$P2298),INDEX(PARAMETROS_CULTURAS!$K$6:$K$28,$P2298)+(INDEX(PARAMETROS_CULTURAS!$L$6:$L$28,$P2298)-INDEX(PARAMETROS_CULTURAS!$K$6:$K$28,$P2298))*($O2298-INDEX(PARAMETROS_CULTURAS!$F$6:$F$28,$P2298))/MAX(INDEX(PARAMETROS_CULTURAS!$G$6:$G$28,$P2298),0.0001),IF($O2298&lt;=INDEX(PARAMETROS_CULTURAS!$F$6:$F$28,$P2298)+INDEX(PARAMETROS_CULTURAS!$G$6:$G$28,$P2298)+INDEX(PARAMETROS_CULTURAS!$H$6:$H$28,$P2298),INDEX(PARAMETROS_CULTURAS!$L$6:$L$28,$P2298),INDEX(PARAMETROS_CULTURAS!$L$6:$L$28,$P2298)+(INDEX(PARAMETROS_CULTURAS!$M$6:$M$28,$P2298)-INDEX(PARAMETROS_CULTURAS!$L$6:$L$28,$P2298))*($O2298-INDEX(PARAMETROS_CULTURAS!$F$6:$F$28,$P2298)-INDEX(PARAMETROS_CULTURAS!$G$6:$G$28,$P2298)-INDEX(PARAMETROS_CULTURAS!$H$6:$H$28,$P2298))/MAX(INDEX(PARAMETROS_CULTURAS!$I$6:$I$28,$P2298),0.0001)))))</f>
        <v>0</v>
      </c>
      <c r="S2298" s="18" t="n">
        <f aca="false">IFERROR(INDEX(SEMANAS!$H$6:$H$71,MATCH($B2298,SEMANAS!$B$6:$B$71,0)),0)</f>
        <v>36.4</v>
      </c>
      <c r="T2298" s="18" t="n">
        <f aca="false">$R2298*$S2298</f>
        <v>0</v>
      </c>
      <c r="U2298" s="18" t="n">
        <f aca="false">IFERROR(INDEX(SEMANAS!$I$6:$I$71,MATCH($B2298,SEMANAS!$B$6:$B$71,0)),0)</f>
        <v>1.12</v>
      </c>
      <c r="V2298" s="18" t="n">
        <f aca="false">IFERROR(INDEX(SEMANAS!$J$6:$J$71,MATCH($B2298,SEMANAS!$B$6:$B$71,0)),0)</f>
        <v>0.896</v>
      </c>
      <c r="W2298" s="18" t="n">
        <f aca="false">MAX(0,$T2298-$V2298)</f>
        <v>0</v>
      </c>
      <c r="X2298" s="19" t="n">
        <f aca="false">IFERROR(INDEX(CADASTRO_PIVOS!$K$6:$K$41,MATCH($E2298,CADASTRO_PIVOS!$B$6:$B$41,0)),EFICIENCIA_PADRAO)</f>
        <v>0.85</v>
      </c>
      <c r="Y2298" s="18" t="n">
        <f aca="false">IF($X2298&lt;=0,0,$W2298/$X2298)</f>
        <v>0</v>
      </c>
      <c r="Z2298" s="16" t="n">
        <f aca="false">$Y2298*$H2298*MM_PARA_M3_HA</f>
        <v>0</v>
      </c>
      <c r="AA2298" s="18" t="n">
        <f aca="false">IFERROR(INDEX(CADASTRO_PIVOS!$I$6:$I$41,MATCH($E2298,CADASTRO_PIVOS!$B$6:$B$41,0)),0)</f>
        <v>614.285714285714</v>
      </c>
      <c r="AB2298" s="18" t="n">
        <f aca="false">IF($Z2298&lt;=0,0,$Z2298/$AA2298)</f>
        <v>0</v>
      </c>
      <c r="AC2298" s="16" t="n">
        <f aca="false">IFERROR(INDEX(SEMANAS!$K$6:$K$71,MATCH($B2298,SEMANAS!$B$6:$B$71,0)),0)</f>
        <v>147</v>
      </c>
      <c r="AD2298" s="19" t="n">
        <f aca="false">IF($AC2298&lt;=0,0,$AB2298/$AC2298)</f>
        <v>0</v>
      </c>
      <c r="AE2298" s="8" t="str">
        <f aca="false">IF($K2298="SEM CULTURA","SEM CULTURA",IF($AA2298&lt;=0,"DADO PENDENTE",IF($AD2298&gt;LIMITE_CRITICO,"INVIAVEL",IF($AD2298&gt;LIMITE_ATENCAO,"CRITICO",IF($AD2298&gt;LIMITE_CONFORTAVEL,"ATENCAO","OK")))))</f>
        <v>SEM CULTURA</v>
      </c>
      <c r="AF2298" s="8" t="str">
        <f aca="false">$B2298&amp;"|"&amp;TEXT($AD2298,"0.000000")</f>
        <v>49|0.000000</v>
      </c>
      <c r="AG2298" s="18" t="n">
        <f aca="false">IF($K2298="SEM CULTURA",0,$T2298*$H2298)</f>
        <v>0</v>
      </c>
      <c r="AH2298" s="18" t="n">
        <f aca="false">IF($K2298="SEM CULTURA",0,$V2298*$H2298)</f>
        <v>0</v>
      </c>
      <c r="AI2298" s="18" t="n">
        <f aca="false">IF($K2298="SEM CULTURA",0,$W2298*$H2298)</f>
        <v>0</v>
      </c>
      <c r="AJ2298" s="18" t="n">
        <f aca="false">IF($K2298="SEM CULTURA",0,$S2298*$H2298)</f>
        <v>0</v>
      </c>
      <c r="AK2298" s="8" t="str">
        <f aca="false">$E2298&amp;"|"&amp;TEXT($AD2298,"0.000000")</f>
        <v>PV 136|0.000000</v>
      </c>
    </row>
    <row r="2299" customFormat="false" ht="15" hidden="false" customHeight="false" outlineLevel="0" collapsed="false">
      <c r="B2299" s="16" t="n">
        <v>50</v>
      </c>
      <c r="C2299" s="17" t="n">
        <f aca="false">DATA_INICIO_SAFRA+($B2299-1)*DIAS_POR_SEMANA</f>
        <v>46608</v>
      </c>
      <c r="D2299" s="17" t="n">
        <f aca="false">$C2299+DIAS_POR_SEMANA-1</f>
        <v>46614</v>
      </c>
      <c r="E2299" s="15" t="s">
        <v>293</v>
      </c>
      <c r="F2299" s="8" t="str">
        <f aca="false">IFERROR(INDEX(CADASTRO_PIVOS!$C$6:$C$41,MATCH($E2299,CADASTRO_PIVOS!$B$6:$B$41,0)),"?")</f>
        <v>RM08</v>
      </c>
      <c r="G2299" s="8" t="str">
        <f aca="false">IFERROR(INDEX(CADASTRO_PIVOS!$D$6:$D$41,MATCH($E2299,CADASTRO_PIVOS!$B$6:$B$41,0)),"?")</f>
        <v>TR08</v>
      </c>
      <c r="H2299" s="20" t="n">
        <f aca="false">IFERROR(INDEX(CADASTRO_PIVOS!$E$6:$E$41,MATCH($E2299,CADASTRO_PIVOS!$B$6:$B$41,0)),0)</f>
        <v>86</v>
      </c>
      <c r="I2299" s="16" t="n">
        <f aca="false">IFERROR(SUMIFS(ROTACAO_RDM!$B$6:$B$71,ROTACAO_RDM!$D$6:$D$71,$E2299,ROTACAO_RDM!$I$6:$I$71,"&lt;="&amp;$C2299+INT(DIAS_POR_SEMANA/2),ROTACAO_RDM!$J$6:$J$71,"&gt;="&amp;$C2299+INT(DIAS_POR_SEMANA/2)),0)</f>
        <v>0</v>
      </c>
      <c r="J2299" s="16" t="n">
        <f aca="false">IFERROR(MATCH($I2299,ROTACAO_RDM!$B$6:$B$71,0),0)</f>
        <v>0</v>
      </c>
      <c r="K2299" s="8" t="str">
        <f aca="false">IF($J2299=0,"SEM CULTURA",INDEX(ROTACAO_RDM!$F$6:$F$71,$J2299))</f>
        <v>SEM CULTURA</v>
      </c>
      <c r="L2299" s="8" t="str">
        <f aca="false">IF($J2299=0,"",INDEX(ROTACAO_RDM!$G$6:$G$71,$J2299))</f>
        <v/>
      </c>
      <c r="M2299" s="17" t="str">
        <f aca="false">IF($J2299=0,"",INDEX(ROTACAO_RDM!$I$6:$I$71,$J2299))</f>
        <v/>
      </c>
      <c r="N2299" s="16" t="n">
        <f aca="false">IF($J2299=0,0,MAX(0,$C2299+INT(DIAS_POR_SEMANA/2)-INDEX(ROTACAO_RDM!$I$6:$I$71,$J2299)))</f>
        <v>0</v>
      </c>
      <c r="O2299" s="19" t="n">
        <f aca="false">IF($J2299=0,0,MIN(1,$N2299/MAX(1,INDEX(ROTACAO_RDM!$K$6:$K$71,$J2299))))</f>
        <v>0</v>
      </c>
      <c r="P2299" s="16" t="n">
        <f aca="false">IF($J2299=0,0,IFERROR(MATCH(INDEX(ROTACAO_RDM!$N$6:$N$71,$J2299),PARAMETROS_CULTURAS!$B$6:$B$28,0),0))</f>
        <v>0</v>
      </c>
      <c r="Q2299" s="8" t="str">
        <f aca="false">IF($P2299=0,"-",IF($O2299&lt;=INDEX(PARAMETROS_CULTURAS!$F$6:$F$28,$P2299),"INICIAL",IF($O2299&lt;=INDEX(PARAMETROS_CULTURAS!$F$6:$F$28,$P2299)+INDEX(PARAMETROS_CULTURAS!$G$6:$G$28,$P2299),"DESENVOLVIMENTO",IF($O2299&lt;=INDEX(PARAMETROS_CULTURAS!$F$6:$F$28,$P2299)+INDEX(PARAMETROS_CULTURAS!$G$6:$G$28,$P2299)+INDEX(PARAMETROS_CULTURAS!$H$6:$H$28,$P2299),"MEDIA","FINAL"))))</f>
        <v>-</v>
      </c>
      <c r="R2299" s="24" t="n">
        <f aca="false">IF($P2299=0,0,IF($O2299&lt;=INDEX(PARAMETROS_CULTURAS!$F$6:$F$28,$P2299),INDEX(PARAMETROS_CULTURAS!$K$6:$K$28,$P2299),IF($O2299&lt;=INDEX(PARAMETROS_CULTURAS!$F$6:$F$28,$P2299)+INDEX(PARAMETROS_CULTURAS!$G$6:$G$28,$P2299),INDEX(PARAMETROS_CULTURAS!$K$6:$K$28,$P2299)+(INDEX(PARAMETROS_CULTURAS!$L$6:$L$28,$P2299)-INDEX(PARAMETROS_CULTURAS!$K$6:$K$28,$P2299))*($O2299-INDEX(PARAMETROS_CULTURAS!$F$6:$F$28,$P2299))/MAX(INDEX(PARAMETROS_CULTURAS!$G$6:$G$28,$P2299),0.0001),IF($O2299&lt;=INDEX(PARAMETROS_CULTURAS!$F$6:$F$28,$P2299)+INDEX(PARAMETROS_CULTURAS!$G$6:$G$28,$P2299)+INDEX(PARAMETROS_CULTURAS!$H$6:$H$28,$P2299),INDEX(PARAMETROS_CULTURAS!$L$6:$L$28,$P2299),INDEX(PARAMETROS_CULTURAS!$L$6:$L$28,$P2299)+(INDEX(PARAMETROS_CULTURAS!$M$6:$M$28,$P2299)-INDEX(PARAMETROS_CULTURAS!$L$6:$L$28,$P2299))*($O2299-INDEX(PARAMETROS_CULTURAS!$F$6:$F$28,$P2299)-INDEX(PARAMETROS_CULTURAS!$G$6:$G$28,$P2299)-INDEX(PARAMETROS_CULTURAS!$H$6:$H$28,$P2299))/MAX(INDEX(PARAMETROS_CULTURAS!$I$6:$I$28,$P2299),0.0001)))))</f>
        <v>0</v>
      </c>
      <c r="S2299" s="18" t="n">
        <f aca="false">IFERROR(INDEX(SEMANAS!$H$6:$H$71,MATCH($B2299,SEMANAS!$B$6:$B$71,0)),0)</f>
        <v>36.4</v>
      </c>
      <c r="T2299" s="18" t="n">
        <f aca="false">$R2299*$S2299</f>
        <v>0</v>
      </c>
      <c r="U2299" s="18" t="n">
        <f aca="false">IFERROR(INDEX(SEMANAS!$I$6:$I$71,MATCH($B2299,SEMANAS!$B$6:$B$71,0)),0)</f>
        <v>1.12</v>
      </c>
      <c r="V2299" s="18" t="n">
        <f aca="false">IFERROR(INDEX(SEMANAS!$J$6:$J$71,MATCH($B2299,SEMANAS!$B$6:$B$71,0)),0)</f>
        <v>0.896</v>
      </c>
      <c r="W2299" s="18" t="n">
        <f aca="false">MAX(0,$T2299-$V2299)</f>
        <v>0</v>
      </c>
      <c r="X2299" s="19" t="n">
        <f aca="false">IFERROR(INDEX(CADASTRO_PIVOS!$K$6:$K$41,MATCH($E2299,CADASTRO_PIVOS!$B$6:$B$41,0)),EFICIENCIA_PADRAO)</f>
        <v>0.85</v>
      </c>
      <c r="Y2299" s="18" t="n">
        <f aca="false">IF($X2299&lt;=0,0,$W2299/$X2299)</f>
        <v>0</v>
      </c>
      <c r="Z2299" s="16" t="n">
        <f aca="false">$Y2299*$H2299*MM_PARA_M3_HA</f>
        <v>0</v>
      </c>
      <c r="AA2299" s="18" t="n">
        <f aca="false">IFERROR(INDEX(CADASTRO_PIVOS!$I$6:$I$41,MATCH($E2299,CADASTRO_PIVOS!$B$6:$B$41,0)),0)</f>
        <v>614.285714285714</v>
      </c>
      <c r="AB2299" s="18" t="n">
        <f aca="false">IF($Z2299&lt;=0,0,$Z2299/$AA2299)</f>
        <v>0</v>
      </c>
      <c r="AC2299" s="16" t="n">
        <f aca="false">IFERROR(INDEX(SEMANAS!$K$6:$K$71,MATCH($B2299,SEMANAS!$B$6:$B$71,0)),0)</f>
        <v>147</v>
      </c>
      <c r="AD2299" s="19" t="n">
        <f aca="false">IF($AC2299&lt;=0,0,$AB2299/$AC2299)</f>
        <v>0</v>
      </c>
      <c r="AE2299" s="8" t="str">
        <f aca="false">IF($K2299="SEM CULTURA","SEM CULTURA",IF($AA2299&lt;=0,"DADO PENDENTE",IF($AD2299&gt;LIMITE_CRITICO,"INVIAVEL",IF($AD2299&gt;LIMITE_ATENCAO,"CRITICO",IF($AD2299&gt;LIMITE_CONFORTAVEL,"ATENCAO","OK")))))</f>
        <v>SEM CULTURA</v>
      </c>
      <c r="AF2299" s="8" t="str">
        <f aca="false">$B2299&amp;"|"&amp;TEXT($AD2299,"0.000000")</f>
        <v>50|0.000000</v>
      </c>
      <c r="AG2299" s="18" t="n">
        <f aca="false">IF($K2299="SEM CULTURA",0,$T2299*$H2299)</f>
        <v>0</v>
      </c>
      <c r="AH2299" s="18" t="n">
        <f aca="false">IF($K2299="SEM CULTURA",0,$V2299*$H2299)</f>
        <v>0</v>
      </c>
      <c r="AI2299" s="18" t="n">
        <f aca="false">IF($K2299="SEM CULTURA",0,$W2299*$H2299)</f>
        <v>0</v>
      </c>
      <c r="AJ2299" s="18" t="n">
        <f aca="false">IF($K2299="SEM CULTURA",0,$S2299*$H2299)</f>
        <v>0</v>
      </c>
      <c r="AK2299" s="8" t="str">
        <f aca="false">$E2299&amp;"|"&amp;TEXT($AD2299,"0.000000")</f>
        <v>PV 136|0.000000</v>
      </c>
    </row>
    <row r="2300" customFormat="false" ht="15" hidden="false" customHeight="false" outlineLevel="0" collapsed="false">
      <c r="B2300" s="16" t="n">
        <v>51</v>
      </c>
      <c r="C2300" s="17" t="n">
        <f aca="false">DATA_INICIO_SAFRA+($B2300-1)*DIAS_POR_SEMANA</f>
        <v>46615</v>
      </c>
      <c r="D2300" s="17" t="n">
        <f aca="false">$C2300+DIAS_POR_SEMANA-1</f>
        <v>46621</v>
      </c>
      <c r="E2300" s="15" t="s">
        <v>293</v>
      </c>
      <c r="F2300" s="8" t="str">
        <f aca="false">IFERROR(INDEX(CADASTRO_PIVOS!$C$6:$C$41,MATCH($E2300,CADASTRO_PIVOS!$B$6:$B$41,0)),"?")</f>
        <v>RM08</v>
      </c>
      <c r="G2300" s="8" t="str">
        <f aca="false">IFERROR(INDEX(CADASTRO_PIVOS!$D$6:$D$41,MATCH($E2300,CADASTRO_PIVOS!$B$6:$B$41,0)),"?")</f>
        <v>TR08</v>
      </c>
      <c r="H2300" s="20" t="n">
        <f aca="false">IFERROR(INDEX(CADASTRO_PIVOS!$E$6:$E$41,MATCH($E2300,CADASTRO_PIVOS!$B$6:$B$41,0)),0)</f>
        <v>86</v>
      </c>
      <c r="I2300" s="16" t="n">
        <f aca="false">IFERROR(SUMIFS(ROTACAO_RDM!$B$6:$B$71,ROTACAO_RDM!$D$6:$D$71,$E2300,ROTACAO_RDM!$I$6:$I$71,"&lt;="&amp;$C2300+INT(DIAS_POR_SEMANA/2),ROTACAO_RDM!$J$6:$J$71,"&gt;="&amp;$C2300+INT(DIAS_POR_SEMANA/2)),0)</f>
        <v>0</v>
      </c>
      <c r="J2300" s="16" t="n">
        <f aca="false">IFERROR(MATCH($I2300,ROTACAO_RDM!$B$6:$B$71,0),0)</f>
        <v>0</v>
      </c>
      <c r="K2300" s="8" t="str">
        <f aca="false">IF($J2300=0,"SEM CULTURA",INDEX(ROTACAO_RDM!$F$6:$F$71,$J2300))</f>
        <v>SEM CULTURA</v>
      </c>
      <c r="L2300" s="8" t="str">
        <f aca="false">IF($J2300=0,"",INDEX(ROTACAO_RDM!$G$6:$G$71,$J2300))</f>
        <v/>
      </c>
      <c r="M2300" s="17" t="str">
        <f aca="false">IF($J2300=0,"",INDEX(ROTACAO_RDM!$I$6:$I$71,$J2300))</f>
        <v/>
      </c>
      <c r="N2300" s="16" t="n">
        <f aca="false">IF($J2300=0,0,MAX(0,$C2300+INT(DIAS_POR_SEMANA/2)-INDEX(ROTACAO_RDM!$I$6:$I$71,$J2300)))</f>
        <v>0</v>
      </c>
      <c r="O2300" s="19" t="n">
        <f aca="false">IF($J2300=0,0,MIN(1,$N2300/MAX(1,INDEX(ROTACAO_RDM!$K$6:$K$71,$J2300))))</f>
        <v>0</v>
      </c>
      <c r="P2300" s="16" t="n">
        <f aca="false">IF($J2300=0,0,IFERROR(MATCH(INDEX(ROTACAO_RDM!$N$6:$N$71,$J2300),PARAMETROS_CULTURAS!$B$6:$B$28,0),0))</f>
        <v>0</v>
      </c>
      <c r="Q2300" s="8" t="str">
        <f aca="false">IF($P2300=0,"-",IF($O2300&lt;=INDEX(PARAMETROS_CULTURAS!$F$6:$F$28,$P2300),"INICIAL",IF($O2300&lt;=INDEX(PARAMETROS_CULTURAS!$F$6:$F$28,$P2300)+INDEX(PARAMETROS_CULTURAS!$G$6:$G$28,$P2300),"DESENVOLVIMENTO",IF($O2300&lt;=INDEX(PARAMETROS_CULTURAS!$F$6:$F$28,$P2300)+INDEX(PARAMETROS_CULTURAS!$G$6:$G$28,$P2300)+INDEX(PARAMETROS_CULTURAS!$H$6:$H$28,$P2300),"MEDIA","FINAL"))))</f>
        <v>-</v>
      </c>
      <c r="R2300" s="24" t="n">
        <f aca="false">IF($P2300=0,0,IF($O2300&lt;=INDEX(PARAMETROS_CULTURAS!$F$6:$F$28,$P2300),INDEX(PARAMETROS_CULTURAS!$K$6:$K$28,$P2300),IF($O2300&lt;=INDEX(PARAMETROS_CULTURAS!$F$6:$F$28,$P2300)+INDEX(PARAMETROS_CULTURAS!$G$6:$G$28,$P2300),INDEX(PARAMETROS_CULTURAS!$K$6:$K$28,$P2300)+(INDEX(PARAMETROS_CULTURAS!$L$6:$L$28,$P2300)-INDEX(PARAMETROS_CULTURAS!$K$6:$K$28,$P2300))*($O2300-INDEX(PARAMETROS_CULTURAS!$F$6:$F$28,$P2300))/MAX(INDEX(PARAMETROS_CULTURAS!$G$6:$G$28,$P2300),0.0001),IF($O2300&lt;=INDEX(PARAMETROS_CULTURAS!$F$6:$F$28,$P2300)+INDEX(PARAMETROS_CULTURAS!$G$6:$G$28,$P2300)+INDEX(PARAMETROS_CULTURAS!$H$6:$H$28,$P2300),INDEX(PARAMETROS_CULTURAS!$L$6:$L$28,$P2300),INDEX(PARAMETROS_CULTURAS!$L$6:$L$28,$P2300)+(INDEX(PARAMETROS_CULTURAS!$M$6:$M$28,$P2300)-INDEX(PARAMETROS_CULTURAS!$L$6:$L$28,$P2300))*($O2300-INDEX(PARAMETROS_CULTURAS!$F$6:$F$28,$P2300)-INDEX(PARAMETROS_CULTURAS!$G$6:$G$28,$P2300)-INDEX(PARAMETROS_CULTURAS!$H$6:$H$28,$P2300))/MAX(INDEX(PARAMETROS_CULTURAS!$I$6:$I$28,$P2300),0.0001)))))</f>
        <v>0</v>
      </c>
      <c r="S2300" s="18" t="n">
        <f aca="false">IFERROR(INDEX(SEMANAS!$H$6:$H$71,MATCH($B2300,SEMANAS!$B$6:$B$71,0)),0)</f>
        <v>36.4</v>
      </c>
      <c r="T2300" s="18" t="n">
        <f aca="false">$R2300*$S2300</f>
        <v>0</v>
      </c>
      <c r="U2300" s="18" t="n">
        <f aca="false">IFERROR(INDEX(SEMANAS!$I$6:$I$71,MATCH($B2300,SEMANAS!$B$6:$B$71,0)),0)</f>
        <v>1.12</v>
      </c>
      <c r="V2300" s="18" t="n">
        <f aca="false">IFERROR(INDEX(SEMANAS!$J$6:$J$71,MATCH($B2300,SEMANAS!$B$6:$B$71,0)),0)</f>
        <v>0.896</v>
      </c>
      <c r="W2300" s="18" t="n">
        <f aca="false">MAX(0,$T2300-$V2300)</f>
        <v>0</v>
      </c>
      <c r="X2300" s="19" t="n">
        <f aca="false">IFERROR(INDEX(CADASTRO_PIVOS!$K$6:$K$41,MATCH($E2300,CADASTRO_PIVOS!$B$6:$B$41,0)),EFICIENCIA_PADRAO)</f>
        <v>0.85</v>
      </c>
      <c r="Y2300" s="18" t="n">
        <f aca="false">IF($X2300&lt;=0,0,$W2300/$X2300)</f>
        <v>0</v>
      </c>
      <c r="Z2300" s="16" t="n">
        <f aca="false">$Y2300*$H2300*MM_PARA_M3_HA</f>
        <v>0</v>
      </c>
      <c r="AA2300" s="18" t="n">
        <f aca="false">IFERROR(INDEX(CADASTRO_PIVOS!$I$6:$I$41,MATCH($E2300,CADASTRO_PIVOS!$B$6:$B$41,0)),0)</f>
        <v>614.285714285714</v>
      </c>
      <c r="AB2300" s="18" t="n">
        <f aca="false">IF($Z2300&lt;=0,0,$Z2300/$AA2300)</f>
        <v>0</v>
      </c>
      <c r="AC2300" s="16" t="n">
        <f aca="false">IFERROR(INDEX(SEMANAS!$K$6:$K$71,MATCH($B2300,SEMANAS!$B$6:$B$71,0)),0)</f>
        <v>147</v>
      </c>
      <c r="AD2300" s="19" t="n">
        <f aca="false">IF($AC2300&lt;=0,0,$AB2300/$AC2300)</f>
        <v>0</v>
      </c>
      <c r="AE2300" s="8" t="str">
        <f aca="false">IF($K2300="SEM CULTURA","SEM CULTURA",IF($AA2300&lt;=0,"DADO PENDENTE",IF($AD2300&gt;LIMITE_CRITICO,"INVIAVEL",IF($AD2300&gt;LIMITE_ATENCAO,"CRITICO",IF($AD2300&gt;LIMITE_CONFORTAVEL,"ATENCAO","OK")))))</f>
        <v>SEM CULTURA</v>
      </c>
      <c r="AF2300" s="8" t="str">
        <f aca="false">$B2300&amp;"|"&amp;TEXT($AD2300,"0.000000")</f>
        <v>51|0.000000</v>
      </c>
      <c r="AG2300" s="18" t="n">
        <f aca="false">IF($K2300="SEM CULTURA",0,$T2300*$H2300)</f>
        <v>0</v>
      </c>
      <c r="AH2300" s="18" t="n">
        <f aca="false">IF($K2300="SEM CULTURA",0,$V2300*$H2300)</f>
        <v>0</v>
      </c>
      <c r="AI2300" s="18" t="n">
        <f aca="false">IF($K2300="SEM CULTURA",0,$W2300*$H2300)</f>
        <v>0</v>
      </c>
      <c r="AJ2300" s="18" t="n">
        <f aca="false">IF($K2300="SEM CULTURA",0,$S2300*$H2300)</f>
        <v>0</v>
      </c>
      <c r="AK2300" s="8" t="str">
        <f aca="false">$E2300&amp;"|"&amp;TEXT($AD2300,"0.000000")</f>
        <v>PV 136|0.000000</v>
      </c>
    </row>
    <row r="2301" customFormat="false" ht="15" hidden="false" customHeight="false" outlineLevel="0" collapsed="false">
      <c r="B2301" s="16" t="n">
        <v>52</v>
      </c>
      <c r="C2301" s="17" t="n">
        <f aca="false">DATA_INICIO_SAFRA+($B2301-1)*DIAS_POR_SEMANA</f>
        <v>46622</v>
      </c>
      <c r="D2301" s="17" t="n">
        <f aca="false">$C2301+DIAS_POR_SEMANA-1</f>
        <v>46628</v>
      </c>
      <c r="E2301" s="15" t="s">
        <v>293</v>
      </c>
      <c r="F2301" s="8" t="str">
        <f aca="false">IFERROR(INDEX(CADASTRO_PIVOS!$C$6:$C$41,MATCH($E2301,CADASTRO_PIVOS!$B$6:$B$41,0)),"?")</f>
        <v>RM08</v>
      </c>
      <c r="G2301" s="8" t="str">
        <f aca="false">IFERROR(INDEX(CADASTRO_PIVOS!$D$6:$D$41,MATCH($E2301,CADASTRO_PIVOS!$B$6:$B$41,0)),"?")</f>
        <v>TR08</v>
      </c>
      <c r="H2301" s="20" t="n">
        <f aca="false">IFERROR(INDEX(CADASTRO_PIVOS!$E$6:$E$41,MATCH($E2301,CADASTRO_PIVOS!$B$6:$B$41,0)),0)</f>
        <v>86</v>
      </c>
      <c r="I2301" s="16" t="n">
        <f aca="false">IFERROR(SUMIFS(ROTACAO_RDM!$B$6:$B$71,ROTACAO_RDM!$D$6:$D$71,$E2301,ROTACAO_RDM!$I$6:$I$71,"&lt;="&amp;$C2301+INT(DIAS_POR_SEMANA/2),ROTACAO_RDM!$J$6:$J$71,"&gt;="&amp;$C2301+INT(DIAS_POR_SEMANA/2)),0)</f>
        <v>0</v>
      </c>
      <c r="J2301" s="16" t="n">
        <f aca="false">IFERROR(MATCH($I2301,ROTACAO_RDM!$B$6:$B$71,0),0)</f>
        <v>0</v>
      </c>
      <c r="K2301" s="8" t="str">
        <f aca="false">IF($J2301=0,"SEM CULTURA",INDEX(ROTACAO_RDM!$F$6:$F$71,$J2301))</f>
        <v>SEM CULTURA</v>
      </c>
      <c r="L2301" s="8" t="str">
        <f aca="false">IF($J2301=0,"",INDEX(ROTACAO_RDM!$G$6:$G$71,$J2301))</f>
        <v/>
      </c>
      <c r="M2301" s="17" t="str">
        <f aca="false">IF($J2301=0,"",INDEX(ROTACAO_RDM!$I$6:$I$71,$J2301))</f>
        <v/>
      </c>
      <c r="N2301" s="16" t="n">
        <f aca="false">IF($J2301=0,0,MAX(0,$C2301+INT(DIAS_POR_SEMANA/2)-INDEX(ROTACAO_RDM!$I$6:$I$71,$J2301)))</f>
        <v>0</v>
      </c>
      <c r="O2301" s="19" t="n">
        <f aca="false">IF($J2301=0,0,MIN(1,$N2301/MAX(1,INDEX(ROTACAO_RDM!$K$6:$K$71,$J2301))))</f>
        <v>0</v>
      </c>
      <c r="P2301" s="16" t="n">
        <f aca="false">IF($J2301=0,0,IFERROR(MATCH(INDEX(ROTACAO_RDM!$N$6:$N$71,$J2301),PARAMETROS_CULTURAS!$B$6:$B$28,0),0))</f>
        <v>0</v>
      </c>
      <c r="Q2301" s="8" t="str">
        <f aca="false">IF($P2301=0,"-",IF($O2301&lt;=INDEX(PARAMETROS_CULTURAS!$F$6:$F$28,$P2301),"INICIAL",IF($O2301&lt;=INDEX(PARAMETROS_CULTURAS!$F$6:$F$28,$P2301)+INDEX(PARAMETROS_CULTURAS!$G$6:$G$28,$P2301),"DESENVOLVIMENTO",IF($O2301&lt;=INDEX(PARAMETROS_CULTURAS!$F$6:$F$28,$P2301)+INDEX(PARAMETROS_CULTURAS!$G$6:$G$28,$P2301)+INDEX(PARAMETROS_CULTURAS!$H$6:$H$28,$P2301),"MEDIA","FINAL"))))</f>
        <v>-</v>
      </c>
      <c r="R2301" s="24" t="n">
        <f aca="false">IF($P2301=0,0,IF($O2301&lt;=INDEX(PARAMETROS_CULTURAS!$F$6:$F$28,$P2301),INDEX(PARAMETROS_CULTURAS!$K$6:$K$28,$P2301),IF($O2301&lt;=INDEX(PARAMETROS_CULTURAS!$F$6:$F$28,$P2301)+INDEX(PARAMETROS_CULTURAS!$G$6:$G$28,$P2301),INDEX(PARAMETROS_CULTURAS!$K$6:$K$28,$P2301)+(INDEX(PARAMETROS_CULTURAS!$L$6:$L$28,$P2301)-INDEX(PARAMETROS_CULTURAS!$K$6:$K$28,$P2301))*($O2301-INDEX(PARAMETROS_CULTURAS!$F$6:$F$28,$P2301))/MAX(INDEX(PARAMETROS_CULTURAS!$G$6:$G$28,$P2301),0.0001),IF($O2301&lt;=INDEX(PARAMETROS_CULTURAS!$F$6:$F$28,$P2301)+INDEX(PARAMETROS_CULTURAS!$G$6:$G$28,$P2301)+INDEX(PARAMETROS_CULTURAS!$H$6:$H$28,$P2301),INDEX(PARAMETROS_CULTURAS!$L$6:$L$28,$P2301),INDEX(PARAMETROS_CULTURAS!$L$6:$L$28,$P2301)+(INDEX(PARAMETROS_CULTURAS!$M$6:$M$28,$P2301)-INDEX(PARAMETROS_CULTURAS!$L$6:$L$28,$P2301))*($O2301-INDEX(PARAMETROS_CULTURAS!$F$6:$F$28,$P2301)-INDEX(PARAMETROS_CULTURAS!$G$6:$G$28,$P2301)-INDEX(PARAMETROS_CULTURAS!$H$6:$H$28,$P2301))/MAX(INDEX(PARAMETROS_CULTURAS!$I$6:$I$28,$P2301),0.0001)))))</f>
        <v>0</v>
      </c>
      <c r="S2301" s="18" t="n">
        <f aca="false">IFERROR(INDEX(SEMANAS!$H$6:$H$71,MATCH($B2301,SEMANAS!$B$6:$B$71,0)),0)</f>
        <v>36.4</v>
      </c>
      <c r="T2301" s="18" t="n">
        <f aca="false">$R2301*$S2301</f>
        <v>0</v>
      </c>
      <c r="U2301" s="18" t="n">
        <f aca="false">IFERROR(INDEX(SEMANAS!$I$6:$I$71,MATCH($B2301,SEMANAS!$B$6:$B$71,0)),0)</f>
        <v>1.12</v>
      </c>
      <c r="V2301" s="18" t="n">
        <f aca="false">IFERROR(INDEX(SEMANAS!$J$6:$J$71,MATCH($B2301,SEMANAS!$B$6:$B$71,0)),0)</f>
        <v>0.896</v>
      </c>
      <c r="W2301" s="18" t="n">
        <f aca="false">MAX(0,$T2301-$V2301)</f>
        <v>0</v>
      </c>
      <c r="X2301" s="19" t="n">
        <f aca="false">IFERROR(INDEX(CADASTRO_PIVOS!$K$6:$K$41,MATCH($E2301,CADASTRO_PIVOS!$B$6:$B$41,0)),EFICIENCIA_PADRAO)</f>
        <v>0.85</v>
      </c>
      <c r="Y2301" s="18" t="n">
        <f aca="false">IF($X2301&lt;=0,0,$W2301/$X2301)</f>
        <v>0</v>
      </c>
      <c r="Z2301" s="16" t="n">
        <f aca="false">$Y2301*$H2301*MM_PARA_M3_HA</f>
        <v>0</v>
      </c>
      <c r="AA2301" s="18" t="n">
        <f aca="false">IFERROR(INDEX(CADASTRO_PIVOS!$I$6:$I$41,MATCH($E2301,CADASTRO_PIVOS!$B$6:$B$41,0)),0)</f>
        <v>614.285714285714</v>
      </c>
      <c r="AB2301" s="18" t="n">
        <f aca="false">IF($Z2301&lt;=0,0,$Z2301/$AA2301)</f>
        <v>0</v>
      </c>
      <c r="AC2301" s="16" t="n">
        <f aca="false">IFERROR(INDEX(SEMANAS!$K$6:$K$71,MATCH($B2301,SEMANAS!$B$6:$B$71,0)),0)</f>
        <v>147</v>
      </c>
      <c r="AD2301" s="19" t="n">
        <f aca="false">IF($AC2301&lt;=0,0,$AB2301/$AC2301)</f>
        <v>0</v>
      </c>
      <c r="AE2301" s="8" t="str">
        <f aca="false">IF($K2301="SEM CULTURA","SEM CULTURA",IF($AA2301&lt;=0,"DADO PENDENTE",IF($AD2301&gt;LIMITE_CRITICO,"INVIAVEL",IF($AD2301&gt;LIMITE_ATENCAO,"CRITICO",IF($AD2301&gt;LIMITE_CONFORTAVEL,"ATENCAO","OK")))))</f>
        <v>SEM CULTURA</v>
      </c>
      <c r="AF2301" s="8" t="str">
        <f aca="false">$B2301&amp;"|"&amp;TEXT($AD2301,"0.000000")</f>
        <v>52|0.000000</v>
      </c>
      <c r="AG2301" s="18" t="n">
        <f aca="false">IF($K2301="SEM CULTURA",0,$T2301*$H2301)</f>
        <v>0</v>
      </c>
      <c r="AH2301" s="18" t="n">
        <f aca="false">IF($K2301="SEM CULTURA",0,$V2301*$H2301)</f>
        <v>0</v>
      </c>
      <c r="AI2301" s="18" t="n">
        <f aca="false">IF($K2301="SEM CULTURA",0,$W2301*$H2301)</f>
        <v>0</v>
      </c>
      <c r="AJ2301" s="18" t="n">
        <f aca="false">IF($K2301="SEM CULTURA",0,$S2301*$H2301)</f>
        <v>0</v>
      </c>
      <c r="AK2301" s="8" t="str">
        <f aca="false">$E2301&amp;"|"&amp;TEXT($AD2301,"0.000000")</f>
        <v>PV 136|0.000000</v>
      </c>
    </row>
    <row r="2302" customFormat="false" ht="15" hidden="false" customHeight="false" outlineLevel="0" collapsed="false">
      <c r="B2302" s="16" t="n">
        <v>53</v>
      </c>
      <c r="C2302" s="17" t="n">
        <f aca="false">DATA_INICIO_SAFRA+($B2302-1)*DIAS_POR_SEMANA</f>
        <v>46629</v>
      </c>
      <c r="D2302" s="17" t="n">
        <f aca="false">$C2302+DIAS_POR_SEMANA-1</f>
        <v>46635</v>
      </c>
      <c r="E2302" s="15" t="s">
        <v>293</v>
      </c>
      <c r="F2302" s="8" t="str">
        <f aca="false">IFERROR(INDEX(CADASTRO_PIVOS!$C$6:$C$41,MATCH($E2302,CADASTRO_PIVOS!$B$6:$B$41,0)),"?")</f>
        <v>RM08</v>
      </c>
      <c r="G2302" s="8" t="str">
        <f aca="false">IFERROR(INDEX(CADASTRO_PIVOS!$D$6:$D$41,MATCH($E2302,CADASTRO_PIVOS!$B$6:$B$41,0)),"?")</f>
        <v>TR08</v>
      </c>
      <c r="H2302" s="20" t="n">
        <f aca="false">IFERROR(INDEX(CADASTRO_PIVOS!$E$6:$E$41,MATCH($E2302,CADASTRO_PIVOS!$B$6:$B$41,0)),0)</f>
        <v>86</v>
      </c>
      <c r="I2302" s="16" t="n">
        <f aca="false">IFERROR(SUMIFS(ROTACAO_RDM!$B$6:$B$71,ROTACAO_RDM!$D$6:$D$71,$E2302,ROTACAO_RDM!$I$6:$I$71,"&lt;="&amp;$C2302+INT(DIAS_POR_SEMANA/2),ROTACAO_RDM!$J$6:$J$71,"&gt;="&amp;$C2302+INT(DIAS_POR_SEMANA/2)),0)</f>
        <v>0</v>
      </c>
      <c r="J2302" s="16" t="n">
        <f aca="false">IFERROR(MATCH($I2302,ROTACAO_RDM!$B$6:$B$71,0),0)</f>
        <v>0</v>
      </c>
      <c r="K2302" s="8" t="str">
        <f aca="false">IF($J2302=0,"SEM CULTURA",INDEX(ROTACAO_RDM!$F$6:$F$71,$J2302))</f>
        <v>SEM CULTURA</v>
      </c>
      <c r="L2302" s="8" t="str">
        <f aca="false">IF($J2302=0,"",INDEX(ROTACAO_RDM!$G$6:$G$71,$J2302))</f>
        <v/>
      </c>
      <c r="M2302" s="17" t="str">
        <f aca="false">IF($J2302=0,"",INDEX(ROTACAO_RDM!$I$6:$I$71,$J2302))</f>
        <v/>
      </c>
      <c r="N2302" s="16" t="n">
        <f aca="false">IF($J2302=0,0,MAX(0,$C2302+INT(DIAS_POR_SEMANA/2)-INDEX(ROTACAO_RDM!$I$6:$I$71,$J2302)))</f>
        <v>0</v>
      </c>
      <c r="O2302" s="19" t="n">
        <f aca="false">IF($J2302=0,0,MIN(1,$N2302/MAX(1,INDEX(ROTACAO_RDM!$K$6:$K$71,$J2302))))</f>
        <v>0</v>
      </c>
      <c r="P2302" s="16" t="n">
        <f aca="false">IF($J2302=0,0,IFERROR(MATCH(INDEX(ROTACAO_RDM!$N$6:$N$71,$J2302),PARAMETROS_CULTURAS!$B$6:$B$28,0),0))</f>
        <v>0</v>
      </c>
      <c r="Q2302" s="8" t="str">
        <f aca="false">IF($P2302=0,"-",IF($O2302&lt;=INDEX(PARAMETROS_CULTURAS!$F$6:$F$28,$P2302),"INICIAL",IF($O2302&lt;=INDEX(PARAMETROS_CULTURAS!$F$6:$F$28,$P2302)+INDEX(PARAMETROS_CULTURAS!$G$6:$G$28,$P2302),"DESENVOLVIMENTO",IF($O2302&lt;=INDEX(PARAMETROS_CULTURAS!$F$6:$F$28,$P2302)+INDEX(PARAMETROS_CULTURAS!$G$6:$G$28,$P2302)+INDEX(PARAMETROS_CULTURAS!$H$6:$H$28,$P2302),"MEDIA","FINAL"))))</f>
        <v>-</v>
      </c>
      <c r="R2302" s="24" t="n">
        <f aca="false">IF($P2302=0,0,IF($O2302&lt;=INDEX(PARAMETROS_CULTURAS!$F$6:$F$28,$P2302),INDEX(PARAMETROS_CULTURAS!$K$6:$K$28,$P2302),IF($O2302&lt;=INDEX(PARAMETROS_CULTURAS!$F$6:$F$28,$P2302)+INDEX(PARAMETROS_CULTURAS!$G$6:$G$28,$P2302),INDEX(PARAMETROS_CULTURAS!$K$6:$K$28,$P2302)+(INDEX(PARAMETROS_CULTURAS!$L$6:$L$28,$P2302)-INDEX(PARAMETROS_CULTURAS!$K$6:$K$28,$P2302))*($O2302-INDEX(PARAMETROS_CULTURAS!$F$6:$F$28,$P2302))/MAX(INDEX(PARAMETROS_CULTURAS!$G$6:$G$28,$P2302),0.0001),IF($O2302&lt;=INDEX(PARAMETROS_CULTURAS!$F$6:$F$28,$P2302)+INDEX(PARAMETROS_CULTURAS!$G$6:$G$28,$P2302)+INDEX(PARAMETROS_CULTURAS!$H$6:$H$28,$P2302),INDEX(PARAMETROS_CULTURAS!$L$6:$L$28,$P2302),INDEX(PARAMETROS_CULTURAS!$L$6:$L$28,$P2302)+(INDEX(PARAMETROS_CULTURAS!$M$6:$M$28,$P2302)-INDEX(PARAMETROS_CULTURAS!$L$6:$L$28,$P2302))*($O2302-INDEX(PARAMETROS_CULTURAS!$F$6:$F$28,$P2302)-INDEX(PARAMETROS_CULTURAS!$G$6:$G$28,$P2302)-INDEX(PARAMETROS_CULTURAS!$H$6:$H$28,$P2302))/MAX(INDEX(PARAMETROS_CULTURAS!$I$6:$I$28,$P2302),0.0001)))))</f>
        <v>0</v>
      </c>
      <c r="S2302" s="18" t="n">
        <f aca="false">IFERROR(INDEX(SEMANAS!$H$6:$H$71,MATCH($B2302,SEMANAS!$B$6:$B$71,0)),0)</f>
        <v>39.4</v>
      </c>
      <c r="T2302" s="18" t="n">
        <f aca="false">$R2302*$S2302</f>
        <v>0</v>
      </c>
      <c r="U2302" s="18" t="n">
        <f aca="false">IFERROR(INDEX(SEMANAS!$I$6:$I$71,MATCH($B2302,SEMANAS!$B$6:$B$71,0)),0)</f>
        <v>5.32</v>
      </c>
      <c r="V2302" s="18" t="n">
        <f aca="false">IFERROR(INDEX(SEMANAS!$J$6:$J$71,MATCH($B2302,SEMANAS!$B$6:$B$71,0)),0)</f>
        <v>4.256</v>
      </c>
      <c r="W2302" s="18" t="n">
        <f aca="false">MAX(0,$T2302-$V2302)</f>
        <v>0</v>
      </c>
      <c r="X2302" s="19" t="n">
        <f aca="false">IFERROR(INDEX(CADASTRO_PIVOS!$K$6:$K$41,MATCH($E2302,CADASTRO_PIVOS!$B$6:$B$41,0)),EFICIENCIA_PADRAO)</f>
        <v>0.85</v>
      </c>
      <c r="Y2302" s="18" t="n">
        <f aca="false">IF($X2302&lt;=0,0,$W2302/$X2302)</f>
        <v>0</v>
      </c>
      <c r="Z2302" s="16" t="n">
        <f aca="false">$Y2302*$H2302*MM_PARA_M3_HA</f>
        <v>0</v>
      </c>
      <c r="AA2302" s="18" t="n">
        <f aca="false">IFERROR(INDEX(CADASTRO_PIVOS!$I$6:$I$41,MATCH($E2302,CADASTRO_PIVOS!$B$6:$B$41,0)),0)</f>
        <v>614.285714285714</v>
      </c>
      <c r="AB2302" s="18" t="n">
        <f aca="false">IF($Z2302&lt;=0,0,$Z2302/$AA2302)</f>
        <v>0</v>
      </c>
      <c r="AC2302" s="16" t="n">
        <f aca="false">IFERROR(INDEX(SEMANAS!$K$6:$K$71,MATCH($B2302,SEMANAS!$B$6:$B$71,0)),0)</f>
        <v>147</v>
      </c>
      <c r="AD2302" s="19" t="n">
        <f aca="false">IF($AC2302&lt;=0,0,$AB2302/$AC2302)</f>
        <v>0</v>
      </c>
      <c r="AE2302" s="8" t="str">
        <f aca="false">IF($K2302="SEM CULTURA","SEM CULTURA",IF($AA2302&lt;=0,"DADO PENDENTE",IF($AD2302&gt;LIMITE_CRITICO,"INVIAVEL",IF($AD2302&gt;LIMITE_ATENCAO,"CRITICO",IF($AD2302&gt;LIMITE_CONFORTAVEL,"ATENCAO","OK")))))</f>
        <v>SEM CULTURA</v>
      </c>
      <c r="AF2302" s="8" t="str">
        <f aca="false">$B2302&amp;"|"&amp;TEXT($AD2302,"0.000000")</f>
        <v>53|0.000000</v>
      </c>
      <c r="AG2302" s="18" t="n">
        <f aca="false">IF($K2302="SEM CULTURA",0,$T2302*$H2302)</f>
        <v>0</v>
      </c>
      <c r="AH2302" s="18" t="n">
        <f aca="false">IF($K2302="SEM CULTURA",0,$V2302*$H2302)</f>
        <v>0</v>
      </c>
      <c r="AI2302" s="18" t="n">
        <f aca="false">IF($K2302="SEM CULTURA",0,$W2302*$H2302)</f>
        <v>0</v>
      </c>
      <c r="AJ2302" s="18" t="n">
        <f aca="false">IF($K2302="SEM CULTURA",0,$S2302*$H2302)</f>
        <v>0</v>
      </c>
      <c r="AK2302" s="8" t="str">
        <f aca="false">$E2302&amp;"|"&amp;TEXT($AD2302,"0.000000")</f>
        <v>PV 136|0.000000</v>
      </c>
    </row>
    <row r="2303" customFormat="false" ht="15" hidden="false" customHeight="false" outlineLevel="0" collapsed="false">
      <c r="B2303" s="16" t="n">
        <v>54</v>
      </c>
      <c r="C2303" s="17" t="n">
        <f aca="false">DATA_INICIO_SAFRA+($B2303-1)*DIAS_POR_SEMANA</f>
        <v>46636</v>
      </c>
      <c r="D2303" s="17" t="n">
        <f aca="false">$C2303+DIAS_POR_SEMANA-1</f>
        <v>46642</v>
      </c>
      <c r="E2303" s="15" t="s">
        <v>293</v>
      </c>
      <c r="F2303" s="8" t="str">
        <f aca="false">IFERROR(INDEX(CADASTRO_PIVOS!$C$6:$C$41,MATCH($E2303,CADASTRO_PIVOS!$B$6:$B$41,0)),"?")</f>
        <v>RM08</v>
      </c>
      <c r="G2303" s="8" t="str">
        <f aca="false">IFERROR(INDEX(CADASTRO_PIVOS!$D$6:$D$41,MATCH($E2303,CADASTRO_PIVOS!$B$6:$B$41,0)),"?")</f>
        <v>TR08</v>
      </c>
      <c r="H2303" s="20" t="n">
        <f aca="false">IFERROR(INDEX(CADASTRO_PIVOS!$E$6:$E$41,MATCH($E2303,CADASTRO_PIVOS!$B$6:$B$41,0)),0)</f>
        <v>86</v>
      </c>
      <c r="I2303" s="16" t="n">
        <f aca="false">IFERROR(SUMIFS(ROTACAO_RDM!$B$6:$B$71,ROTACAO_RDM!$D$6:$D$71,$E2303,ROTACAO_RDM!$I$6:$I$71,"&lt;="&amp;$C2303+INT(DIAS_POR_SEMANA/2),ROTACAO_RDM!$J$6:$J$71,"&gt;="&amp;$C2303+INT(DIAS_POR_SEMANA/2)),0)</f>
        <v>0</v>
      </c>
      <c r="J2303" s="16" t="n">
        <f aca="false">IFERROR(MATCH($I2303,ROTACAO_RDM!$B$6:$B$71,0),0)</f>
        <v>0</v>
      </c>
      <c r="K2303" s="8" t="str">
        <f aca="false">IF($J2303=0,"SEM CULTURA",INDEX(ROTACAO_RDM!$F$6:$F$71,$J2303))</f>
        <v>SEM CULTURA</v>
      </c>
      <c r="L2303" s="8" t="str">
        <f aca="false">IF($J2303=0,"",INDEX(ROTACAO_RDM!$G$6:$G$71,$J2303))</f>
        <v/>
      </c>
      <c r="M2303" s="17" t="str">
        <f aca="false">IF($J2303=0,"",INDEX(ROTACAO_RDM!$I$6:$I$71,$J2303))</f>
        <v/>
      </c>
      <c r="N2303" s="16" t="n">
        <f aca="false">IF($J2303=0,0,MAX(0,$C2303+INT(DIAS_POR_SEMANA/2)-INDEX(ROTACAO_RDM!$I$6:$I$71,$J2303)))</f>
        <v>0</v>
      </c>
      <c r="O2303" s="19" t="n">
        <f aca="false">IF($J2303=0,0,MIN(1,$N2303/MAX(1,INDEX(ROTACAO_RDM!$K$6:$K$71,$J2303))))</f>
        <v>0</v>
      </c>
      <c r="P2303" s="16" t="n">
        <f aca="false">IF($J2303=0,0,IFERROR(MATCH(INDEX(ROTACAO_RDM!$N$6:$N$71,$J2303),PARAMETROS_CULTURAS!$B$6:$B$28,0),0))</f>
        <v>0</v>
      </c>
      <c r="Q2303" s="8" t="str">
        <f aca="false">IF($P2303=0,"-",IF($O2303&lt;=INDEX(PARAMETROS_CULTURAS!$F$6:$F$28,$P2303),"INICIAL",IF($O2303&lt;=INDEX(PARAMETROS_CULTURAS!$F$6:$F$28,$P2303)+INDEX(PARAMETROS_CULTURAS!$G$6:$G$28,$P2303),"DESENVOLVIMENTO",IF($O2303&lt;=INDEX(PARAMETROS_CULTURAS!$F$6:$F$28,$P2303)+INDEX(PARAMETROS_CULTURAS!$G$6:$G$28,$P2303)+INDEX(PARAMETROS_CULTURAS!$H$6:$H$28,$P2303),"MEDIA","FINAL"))))</f>
        <v>-</v>
      </c>
      <c r="R2303" s="24" t="n">
        <f aca="false">IF($P2303=0,0,IF($O2303&lt;=INDEX(PARAMETROS_CULTURAS!$F$6:$F$28,$P2303),INDEX(PARAMETROS_CULTURAS!$K$6:$K$28,$P2303),IF($O2303&lt;=INDEX(PARAMETROS_CULTURAS!$F$6:$F$28,$P2303)+INDEX(PARAMETROS_CULTURAS!$G$6:$G$28,$P2303),INDEX(PARAMETROS_CULTURAS!$K$6:$K$28,$P2303)+(INDEX(PARAMETROS_CULTURAS!$L$6:$L$28,$P2303)-INDEX(PARAMETROS_CULTURAS!$K$6:$K$28,$P2303))*($O2303-INDEX(PARAMETROS_CULTURAS!$F$6:$F$28,$P2303))/MAX(INDEX(PARAMETROS_CULTURAS!$G$6:$G$28,$P2303),0.0001),IF($O2303&lt;=INDEX(PARAMETROS_CULTURAS!$F$6:$F$28,$P2303)+INDEX(PARAMETROS_CULTURAS!$G$6:$G$28,$P2303)+INDEX(PARAMETROS_CULTURAS!$H$6:$H$28,$P2303),INDEX(PARAMETROS_CULTURAS!$L$6:$L$28,$P2303),INDEX(PARAMETROS_CULTURAS!$L$6:$L$28,$P2303)+(INDEX(PARAMETROS_CULTURAS!$M$6:$M$28,$P2303)-INDEX(PARAMETROS_CULTURAS!$L$6:$L$28,$P2303))*($O2303-INDEX(PARAMETROS_CULTURAS!$F$6:$F$28,$P2303)-INDEX(PARAMETROS_CULTURAS!$G$6:$G$28,$P2303)-INDEX(PARAMETROS_CULTURAS!$H$6:$H$28,$P2303))/MAX(INDEX(PARAMETROS_CULTURAS!$I$6:$I$28,$P2303),0.0001)))))</f>
        <v>0</v>
      </c>
      <c r="S2303" s="18" t="n">
        <f aca="false">IFERROR(INDEX(SEMANAS!$H$6:$H$71,MATCH($B2303,SEMANAS!$B$6:$B$71,0)),0)</f>
        <v>40.6</v>
      </c>
      <c r="T2303" s="18" t="n">
        <f aca="false">$R2303*$S2303</f>
        <v>0</v>
      </c>
      <c r="U2303" s="18" t="n">
        <f aca="false">IFERROR(INDEX(SEMANAS!$I$6:$I$71,MATCH($B2303,SEMANAS!$B$6:$B$71,0)),0)</f>
        <v>7</v>
      </c>
      <c r="V2303" s="18" t="n">
        <f aca="false">IFERROR(INDEX(SEMANAS!$J$6:$J$71,MATCH($B2303,SEMANAS!$B$6:$B$71,0)),0)</f>
        <v>5.6</v>
      </c>
      <c r="W2303" s="18" t="n">
        <f aca="false">MAX(0,$T2303-$V2303)</f>
        <v>0</v>
      </c>
      <c r="X2303" s="19" t="n">
        <f aca="false">IFERROR(INDEX(CADASTRO_PIVOS!$K$6:$K$41,MATCH($E2303,CADASTRO_PIVOS!$B$6:$B$41,0)),EFICIENCIA_PADRAO)</f>
        <v>0.85</v>
      </c>
      <c r="Y2303" s="18" t="n">
        <f aca="false">IF($X2303&lt;=0,0,$W2303/$X2303)</f>
        <v>0</v>
      </c>
      <c r="Z2303" s="16" t="n">
        <f aca="false">$Y2303*$H2303*MM_PARA_M3_HA</f>
        <v>0</v>
      </c>
      <c r="AA2303" s="18" t="n">
        <f aca="false">IFERROR(INDEX(CADASTRO_PIVOS!$I$6:$I$41,MATCH($E2303,CADASTRO_PIVOS!$B$6:$B$41,0)),0)</f>
        <v>614.285714285714</v>
      </c>
      <c r="AB2303" s="18" t="n">
        <f aca="false">IF($Z2303&lt;=0,0,$Z2303/$AA2303)</f>
        <v>0</v>
      </c>
      <c r="AC2303" s="16" t="n">
        <f aca="false">IFERROR(INDEX(SEMANAS!$K$6:$K$71,MATCH($B2303,SEMANAS!$B$6:$B$71,0)),0)</f>
        <v>147</v>
      </c>
      <c r="AD2303" s="19" t="n">
        <f aca="false">IF($AC2303&lt;=0,0,$AB2303/$AC2303)</f>
        <v>0</v>
      </c>
      <c r="AE2303" s="8" t="str">
        <f aca="false">IF($K2303="SEM CULTURA","SEM CULTURA",IF($AA2303&lt;=0,"DADO PENDENTE",IF($AD2303&gt;LIMITE_CRITICO,"INVIAVEL",IF($AD2303&gt;LIMITE_ATENCAO,"CRITICO",IF($AD2303&gt;LIMITE_CONFORTAVEL,"ATENCAO","OK")))))</f>
        <v>SEM CULTURA</v>
      </c>
      <c r="AF2303" s="8" t="str">
        <f aca="false">$B2303&amp;"|"&amp;TEXT($AD2303,"0.000000")</f>
        <v>54|0.000000</v>
      </c>
      <c r="AG2303" s="18" t="n">
        <f aca="false">IF($K2303="SEM CULTURA",0,$T2303*$H2303)</f>
        <v>0</v>
      </c>
      <c r="AH2303" s="18" t="n">
        <f aca="false">IF($K2303="SEM CULTURA",0,$V2303*$H2303)</f>
        <v>0</v>
      </c>
      <c r="AI2303" s="18" t="n">
        <f aca="false">IF($K2303="SEM CULTURA",0,$W2303*$H2303)</f>
        <v>0</v>
      </c>
      <c r="AJ2303" s="18" t="n">
        <f aca="false">IF($K2303="SEM CULTURA",0,$S2303*$H2303)</f>
        <v>0</v>
      </c>
      <c r="AK2303" s="8" t="str">
        <f aca="false">$E2303&amp;"|"&amp;TEXT($AD2303,"0.000000")</f>
        <v>PV 136|0.000000</v>
      </c>
    </row>
    <row r="2304" customFormat="false" ht="15" hidden="false" customHeight="false" outlineLevel="0" collapsed="false">
      <c r="B2304" s="16" t="n">
        <v>55</v>
      </c>
      <c r="C2304" s="17" t="n">
        <f aca="false">DATA_INICIO_SAFRA+($B2304-1)*DIAS_POR_SEMANA</f>
        <v>46643</v>
      </c>
      <c r="D2304" s="17" t="n">
        <f aca="false">$C2304+DIAS_POR_SEMANA-1</f>
        <v>46649</v>
      </c>
      <c r="E2304" s="15" t="s">
        <v>293</v>
      </c>
      <c r="F2304" s="8" t="str">
        <f aca="false">IFERROR(INDEX(CADASTRO_PIVOS!$C$6:$C$41,MATCH($E2304,CADASTRO_PIVOS!$B$6:$B$41,0)),"?")</f>
        <v>RM08</v>
      </c>
      <c r="G2304" s="8" t="str">
        <f aca="false">IFERROR(INDEX(CADASTRO_PIVOS!$D$6:$D$41,MATCH($E2304,CADASTRO_PIVOS!$B$6:$B$41,0)),"?")</f>
        <v>TR08</v>
      </c>
      <c r="H2304" s="20" t="n">
        <f aca="false">IFERROR(INDEX(CADASTRO_PIVOS!$E$6:$E$41,MATCH($E2304,CADASTRO_PIVOS!$B$6:$B$41,0)),0)</f>
        <v>86</v>
      </c>
      <c r="I2304" s="16" t="n">
        <f aca="false">IFERROR(SUMIFS(ROTACAO_RDM!$B$6:$B$71,ROTACAO_RDM!$D$6:$D$71,$E2304,ROTACAO_RDM!$I$6:$I$71,"&lt;="&amp;$C2304+INT(DIAS_POR_SEMANA/2),ROTACAO_RDM!$J$6:$J$71,"&gt;="&amp;$C2304+INT(DIAS_POR_SEMANA/2)),0)</f>
        <v>0</v>
      </c>
      <c r="J2304" s="16" t="n">
        <f aca="false">IFERROR(MATCH($I2304,ROTACAO_RDM!$B$6:$B$71,0),0)</f>
        <v>0</v>
      </c>
      <c r="K2304" s="8" t="str">
        <f aca="false">IF($J2304=0,"SEM CULTURA",INDEX(ROTACAO_RDM!$F$6:$F$71,$J2304))</f>
        <v>SEM CULTURA</v>
      </c>
      <c r="L2304" s="8" t="str">
        <f aca="false">IF($J2304=0,"",INDEX(ROTACAO_RDM!$G$6:$G$71,$J2304))</f>
        <v/>
      </c>
      <c r="M2304" s="17" t="str">
        <f aca="false">IF($J2304=0,"",INDEX(ROTACAO_RDM!$I$6:$I$71,$J2304))</f>
        <v/>
      </c>
      <c r="N2304" s="16" t="n">
        <f aca="false">IF($J2304=0,0,MAX(0,$C2304+INT(DIAS_POR_SEMANA/2)-INDEX(ROTACAO_RDM!$I$6:$I$71,$J2304)))</f>
        <v>0</v>
      </c>
      <c r="O2304" s="19" t="n">
        <f aca="false">IF($J2304=0,0,MIN(1,$N2304/MAX(1,INDEX(ROTACAO_RDM!$K$6:$K$71,$J2304))))</f>
        <v>0</v>
      </c>
      <c r="P2304" s="16" t="n">
        <f aca="false">IF($J2304=0,0,IFERROR(MATCH(INDEX(ROTACAO_RDM!$N$6:$N$71,$J2304),PARAMETROS_CULTURAS!$B$6:$B$28,0),0))</f>
        <v>0</v>
      </c>
      <c r="Q2304" s="8" t="str">
        <f aca="false">IF($P2304=0,"-",IF($O2304&lt;=INDEX(PARAMETROS_CULTURAS!$F$6:$F$28,$P2304),"INICIAL",IF($O2304&lt;=INDEX(PARAMETROS_CULTURAS!$F$6:$F$28,$P2304)+INDEX(PARAMETROS_CULTURAS!$G$6:$G$28,$P2304),"DESENVOLVIMENTO",IF($O2304&lt;=INDEX(PARAMETROS_CULTURAS!$F$6:$F$28,$P2304)+INDEX(PARAMETROS_CULTURAS!$G$6:$G$28,$P2304)+INDEX(PARAMETROS_CULTURAS!$H$6:$H$28,$P2304),"MEDIA","FINAL"))))</f>
        <v>-</v>
      </c>
      <c r="R2304" s="24" t="n">
        <f aca="false">IF($P2304=0,0,IF($O2304&lt;=INDEX(PARAMETROS_CULTURAS!$F$6:$F$28,$P2304),INDEX(PARAMETROS_CULTURAS!$K$6:$K$28,$P2304),IF($O2304&lt;=INDEX(PARAMETROS_CULTURAS!$F$6:$F$28,$P2304)+INDEX(PARAMETROS_CULTURAS!$G$6:$G$28,$P2304),INDEX(PARAMETROS_CULTURAS!$K$6:$K$28,$P2304)+(INDEX(PARAMETROS_CULTURAS!$L$6:$L$28,$P2304)-INDEX(PARAMETROS_CULTURAS!$K$6:$K$28,$P2304))*($O2304-INDEX(PARAMETROS_CULTURAS!$F$6:$F$28,$P2304))/MAX(INDEX(PARAMETROS_CULTURAS!$G$6:$G$28,$P2304),0.0001),IF($O2304&lt;=INDEX(PARAMETROS_CULTURAS!$F$6:$F$28,$P2304)+INDEX(PARAMETROS_CULTURAS!$G$6:$G$28,$P2304)+INDEX(PARAMETROS_CULTURAS!$H$6:$H$28,$P2304),INDEX(PARAMETROS_CULTURAS!$L$6:$L$28,$P2304),INDEX(PARAMETROS_CULTURAS!$L$6:$L$28,$P2304)+(INDEX(PARAMETROS_CULTURAS!$M$6:$M$28,$P2304)-INDEX(PARAMETROS_CULTURAS!$L$6:$L$28,$P2304))*($O2304-INDEX(PARAMETROS_CULTURAS!$F$6:$F$28,$P2304)-INDEX(PARAMETROS_CULTURAS!$G$6:$G$28,$P2304)-INDEX(PARAMETROS_CULTURAS!$H$6:$H$28,$P2304))/MAX(INDEX(PARAMETROS_CULTURAS!$I$6:$I$28,$P2304),0.0001)))))</f>
        <v>0</v>
      </c>
      <c r="S2304" s="18" t="n">
        <f aca="false">IFERROR(INDEX(SEMANAS!$H$6:$H$71,MATCH($B2304,SEMANAS!$B$6:$B$71,0)),0)</f>
        <v>40.6</v>
      </c>
      <c r="T2304" s="18" t="n">
        <f aca="false">$R2304*$S2304</f>
        <v>0</v>
      </c>
      <c r="U2304" s="18" t="n">
        <f aca="false">IFERROR(INDEX(SEMANAS!$I$6:$I$71,MATCH($B2304,SEMANAS!$B$6:$B$71,0)),0)</f>
        <v>7</v>
      </c>
      <c r="V2304" s="18" t="n">
        <f aca="false">IFERROR(INDEX(SEMANAS!$J$6:$J$71,MATCH($B2304,SEMANAS!$B$6:$B$71,0)),0)</f>
        <v>5.6</v>
      </c>
      <c r="W2304" s="18" t="n">
        <f aca="false">MAX(0,$T2304-$V2304)</f>
        <v>0</v>
      </c>
      <c r="X2304" s="19" t="n">
        <f aca="false">IFERROR(INDEX(CADASTRO_PIVOS!$K$6:$K$41,MATCH($E2304,CADASTRO_PIVOS!$B$6:$B$41,0)),EFICIENCIA_PADRAO)</f>
        <v>0.85</v>
      </c>
      <c r="Y2304" s="18" t="n">
        <f aca="false">IF($X2304&lt;=0,0,$W2304/$X2304)</f>
        <v>0</v>
      </c>
      <c r="Z2304" s="16" t="n">
        <f aca="false">$Y2304*$H2304*MM_PARA_M3_HA</f>
        <v>0</v>
      </c>
      <c r="AA2304" s="18" t="n">
        <f aca="false">IFERROR(INDEX(CADASTRO_PIVOS!$I$6:$I$41,MATCH($E2304,CADASTRO_PIVOS!$B$6:$B$41,0)),0)</f>
        <v>614.285714285714</v>
      </c>
      <c r="AB2304" s="18" t="n">
        <f aca="false">IF($Z2304&lt;=0,0,$Z2304/$AA2304)</f>
        <v>0</v>
      </c>
      <c r="AC2304" s="16" t="n">
        <f aca="false">IFERROR(INDEX(SEMANAS!$K$6:$K$71,MATCH($B2304,SEMANAS!$B$6:$B$71,0)),0)</f>
        <v>147</v>
      </c>
      <c r="AD2304" s="19" t="n">
        <f aca="false">IF($AC2304&lt;=0,0,$AB2304/$AC2304)</f>
        <v>0</v>
      </c>
      <c r="AE2304" s="8" t="str">
        <f aca="false">IF($K2304="SEM CULTURA","SEM CULTURA",IF($AA2304&lt;=0,"DADO PENDENTE",IF($AD2304&gt;LIMITE_CRITICO,"INVIAVEL",IF($AD2304&gt;LIMITE_ATENCAO,"CRITICO",IF($AD2304&gt;LIMITE_CONFORTAVEL,"ATENCAO","OK")))))</f>
        <v>SEM CULTURA</v>
      </c>
      <c r="AF2304" s="8" t="str">
        <f aca="false">$B2304&amp;"|"&amp;TEXT($AD2304,"0.000000")</f>
        <v>55|0.000000</v>
      </c>
      <c r="AG2304" s="18" t="n">
        <f aca="false">IF($K2304="SEM CULTURA",0,$T2304*$H2304)</f>
        <v>0</v>
      </c>
      <c r="AH2304" s="18" t="n">
        <f aca="false">IF($K2304="SEM CULTURA",0,$V2304*$H2304)</f>
        <v>0</v>
      </c>
      <c r="AI2304" s="18" t="n">
        <f aca="false">IF($K2304="SEM CULTURA",0,$W2304*$H2304)</f>
        <v>0</v>
      </c>
      <c r="AJ2304" s="18" t="n">
        <f aca="false">IF($K2304="SEM CULTURA",0,$S2304*$H2304)</f>
        <v>0</v>
      </c>
      <c r="AK2304" s="8" t="str">
        <f aca="false">$E2304&amp;"|"&amp;TEXT($AD2304,"0.000000")</f>
        <v>PV 136|0.000000</v>
      </c>
    </row>
    <row r="2305" customFormat="false" ht="15" hidden="false" customHeight="false" outlineLevel="0" collapsed="false">
      <c r="B2305" s="16" t="n">
        <v>56</v>
      </c>
      <c r="C2305" s="17" t="n">
        <f aca="false">DATA_INICIO_SAFRA+($B2305-1)*DIAS_POR_SEMANA</f>
        <v>46650</v>
      </c>
      <c r="D2305" s="17" t="n">
        <f aca="false">$C2305+DIAS_POR_SEMANA-1</f>
        <v>46656</v>
      </c>
      <c r="E2305" s="15" t="s">
        <v>293</v>
      </c>
      <c r="F2305" s="8" t="str">
        <f aca="false">IFERROR(INDEX(CADASTRO_PIVOS!$C$6:$C$41,MATCH($E2305,CADASTRO_PIVOS!$B$6:$B$41,0)),"?")</f>
        <v>RM08</v>
      </c>
      <c r="G2305" s="8" t="str">
        <f aca="false">IFERROR(INDEX(CADASTRO_PIVOS!$D$6:$D$41,MATCH($E2305,CADASTRO_PIVOS!$B$6:$B$41,0)),"?")</f>
        <v>TR08</v>
      </c>
      <c r="H2305" s="20" t="n">
        <f aca="false">IFERROR(INDEX(CADASTRO_PIVOS!$E$6:$E$41,MATCH($E2305,CADASTRO_PIVOS!$B$6:$B$41,0)),0)</f>
        <v>86</v>
      </c>
      <c r="I2305" s="16" t="n">
        <f aca="false">IFERROR(SUMIFS(ROTACAO_RDM!$B$6:$B$71,ROTACAO_RDM!$D$6:$D$71,$E2305,ROTACAO_RDM!$I$6:$I$71,"&lt;="&amp;$C2305+INT(DIAS_POR_SEMANA/2),ROTACAO_RDM!$J$6:$J$71,"&gt;="&amp;$C2305+INT(DIAS_POR_SEMANA/2)),0)</f>
        <v>0</v>
      </c>
      <c r="J2305" s="16" t="n">
        <f aca="false">IFERROR(MATCH($I2305,ROTACAO_RDM!$B$6:$B$71,0),0)</f>
        <v>0</v>
      </c>
      <c r="K2305" s="8" t="str">
        <f aca="false">IF($J2305=0,"SEM CULTURA",INDEX(ROTACAO_RDM!$F$6:$F$71,$J2305))</f>
        <v>SEM CULTURA</v>
      </c>
      <c r="L2305" s="8" t="str">
        <f aca="false">IF($J2305=0,"",INDEX(ROTACAO_RDM!$G$6:$G$71,$J2305))</f>
        <v/>
      </c>
      <c r="M2305" s="17" t="str">
        <f aca="false">IF($J2305=0,"",INDEX(ROTACAO_RDM!$I$6:$I$71,$J2305))</f>
        <v/>
      </c>
      <c r="N2305" s="16" t="n">
        <f aca="false">IF($J2305=0,0,MAX(0,$C2305+INT(DIAS_POR_SEMANA/2)-INDEX(ROTACAO_RDM!$I$6:$I$71,$J2305)))</f>
        <v>0</v>
      </c>
      <c r="O2305" s="19" t="n">
        <f aca="false">IF($J2305=0,0,MIN(1,$N2305/MAX(1,INDEX(ROTACAO_RDM!$K$6:$K$71,$J2305))))</f>
        <v>0</v>
      </c>
      <c r="P2305" s="16" t="n">
        <f aca="false">IF($J2305=0,0,IFERROR(MATCH(INDEX(ROTACAO_RDM!$N$6:$N$71,$J2305),PARAMETROS_CULTURAS!$B$6:$B$28,0),0))</f>
        <v>0</v>
      </c>
      <c r="Q2305" s="8" t="str">
        <f aca="false">IF($P2305=0,"-",IF($O2305&lt;=INDEX(PARAMETROS_CULTURAS!$F$6:$F$28,$P2305),"INICIAL",IF($O2305&lt;=INDEX(PARAMETROS_CULTURAS!$F$6:$F$28,$P2305)+INDEX(PARAMETROS_CULTURAS!$G$6:$G$28,$P2305),"DESENVOLVIMENTO",IF($O2305&lt;=INDEX(PARAMETROS_CULTURAS!$F$6:$F$28,$P2305)+INDEX(PARAMETROS_CULTURAS!$G$6:$G$28,$P2305)+INDEX(PARAMETROS_CULTURAS!$H$6:$H$28,$P2305),"MEDIA","FINAL"))))</f>
        <v>-</v>
      </c>
      <c r="R2305" s="24" t="n">
        <f aca="false">IF($P2305=0,0,IF($O2305&lt;=INDEX(PARAMETROS_CULTURAS!$F$6:$F$28,$P2305),INDEX(PARAMETROS_CULTURAS!$K$6:$K$28,$P2305),IF($O2305&lt;=INDEX(PARAMETROS_CULTURAS!$F$6:$F$28,$P2305)+INDEX(PARAMETROS_CULTURAS!$G$6:$G$28,$P2305),INDEX(PARAMETROS_CULTURAS!$K$6:$K$28,$P2305)+(INDEX(PARAMETROS_CULTURAS!$L$6:$L$28,$P2305)-INDEX(PARAMETROS_CULTURAS!$K$6:$K$28,$P2305))*($O2305-INDEX(PARAMETROS_CULTURAS!$F$6:$F$28,$P2305))/MAX(INDEX(PARAMETROS_CULTURAS!$G$6:$G$28,$P2305),0.0001),IF($O2305&lt;=INDEX(PARAMETROS_CULTURAS!$F$6:$F$28,$P2305)+INDEX(PARAMETROS_CULTURAS!$G$6:$G$28,$P2305)+INDEX(PARAMETROS_CULTURAS!$H$6:$H$28,$P2305),INDEX(PARAMETROS_CULTURAS!$L$6:$L$28,$P2305),INDEX(PARAMETROS_CULTURAS!$L$6:$L$28,$P2305)+(INDEX(PARAMETROS_CULTURAS!$M$6:$M$28,$P2305)-INDEX(PARAMETROS_CULTURAS!$L$6:$L$28,$P2305))*($O2305-INDEX(PARAMETROS_CULTURAS!$F$6:$F$28,$P2305)-INDEX(PARAMETROS_CULTURAS!$G$6:$G$28,$P2305)-INDEX(PARAMETROS_CULTURAS!$H$6:$H$28,$P2305))/MAX(INDEX(PARAMETROS_CULTURAS!$I$6:$I$28,$P2305),0.0001)))))</f>
        <v>0</v>
      </c>
      <c r="S2305" s="18" t="n">
        <f aca="false">IFERROR(INDEX(SEMANAS!$H$6:$H$71,MATCH($B2305,SEMANAS!$B$6:$B$71,0)),0)</f>
        <v>40.6</v>
      </c>
      <c r="T2305" s="18" t="n">
        <f aca="false">$R2305*$S2305</f>
        <v>0</v>
      </c>
      <c r="U2305" s="18" t="n">
        <f aca="false">IFERROR(INDEX(SEMANAS!$I$6:$I$71,MATCH($B2305,SEMANAS!$B$6:$B$71,0)),0)</f>
        <v>7</v>
      </c>
      <c r="V2305" s="18" t="n">
        <f aca="false">IFERROR(INDEX(SEMANAS!$J$6:$J$71,MATCH($B2305,SEMANAS!$B$6:$B$71,0)),0)</f>
        <v>5.6</v>
      </c>
      <c r="W2305" s="18" t="n">
        <f aca="false">MAX(0,$T2305-$V2305)</f>
        <v>0</v>
      </c>
      <c r="X2305" s="19" t="n">
        <f aca="false">IFERROR(INDEX(CADASTRO_PIVOS!$K$6:$K$41,MATCH($E2305,CADASTRO_PIVOS!$B$6:$B$41,0)),EFICIENCIA_PADRAO)</f>
        <v>0.85</v>
      </c>
      <c r="Y2305" s="18" t="n">
        <f aca="false">IF($X2305&lt;=0,0,$W2305/$X2305)</f>
        <v>0</v>
      </c>
      <c r="Z2305" s="16" t="n">
        <f aca="false">$Y2305*$H2305*MM_PARA_M3_HA</f>
        <v>0</v>
      </c>
      <c r="AA2305" s="18" t="n">
        <f aca="false">IFERROR(INDEX(CADASTRO_PIVOS!$I$6:$I$41,MATCH($E2305,CADASTRO_PIVOS!$B$6:$B$41,0)),0)</f>
        <v>614.285714285714</v>
      </c>
      <c r="AB2305" s="18" t="n">
        <f aca="false">IF($Z2305&lt;=0,0,$Z2305/$AA2305)</f>
        <v>0</v>
      </c>
      <c r="AC2305" s="16" t="n">
        <f aca="false">IFERROR(INDEX(SEMANAS!$K$6:$K$71,MATCH($B2305,SEMANAS!$B$6:$B$71,0)),0)</f>
        <v>147</v>
      </c>
      <c r="AD2305" s="19" t="n">
        <f aca="false">IF($AC2305&lt;=0,0,$AB2305/$AC2305)</f>
        <v>0</v>
      </c>
      <c r="AE2305" s="8" t="str">
        <f aca="false">IF($K2305="SEM CULTURA","SEM CULTURA",IF($AA2305&lt;=0,"DADO PENDENTE",IF($AD2305&gt;LIMITE_CRITICO,"INVIAVEL",IF($AD2305&gt;LIMITE_ATENCAO,"CRITICO",IF($AD2305&gt;LIMITE_CONFORTAVEL,"ATENCAO","OK")))))</f>
        <v>SEM CULTURA</v>
      </c>
      <c r="AF2305" s="8" t="str">
        <f aca="false">$B2305&amp;"|"&amp;TEXT($AD2305,"0.000000")</f>
        <v>56|0.000000</v>
      </c>
      <c r="AG2305" s="18" t="n">
        <f aca="false">IF($K2305="SEM CULTURA",0,$T2305*$H2305)</f>
        <v>0</v>
      </c>
      <c r="AH2305" s="18" t="n">
        <f aca="false">IF($K2305="SEM CULTURA",0,$V2305*$H2305)</f>
        <v>0</v>
      </c>
      <c r="AI2305" s="18" t="n">
        <f aca="false">IF($K2305="SEM CULTURA",0,$W2305*$H2305)</f>
        <v>0</v>
      </c>
      <c r="AJ2305" s="18" t="n">
        <f aca="false">IF($K2305="SEM CULTURA",0,$S2305*$H2305)</f>
        <v>0</v>
      </c>
      <c r="AK2305" s="8" t="str">
        <f aca="false">$E2305&amp;"|"&amp;TEXT($AD2305,"0.000000")</f>
        <v>PV 136|0.000000</v>
      </c>
    </row>
    <row r="2306" customFormat="false" ht="15" hidden="false" customHeight="false" outlineLevel="0" collapsed="false">
      <c r="B2306" s="16" t="n">
        <v>57</v>
      </c>
      <c r="C2306" s="17" t="n">
        <f aca="false">DATA_INICIO_SAFRA+($B2306-1)*DIAS_POR_SEMANA</f>
        <v>46657</v>
      </c>
      <c r="D2306" s="17" t="n">
        <f aca="false">$C2306+DIAS_POR_SEMANA-1</f>
        <v>46663</v>
      </c>
      <c r="E2306" s="15" t="s">
        <v>293</v>
      </c>
      <c r="F2306" s="8" t="str">
        <f aca="false">IFERROR(INDEX(CADASTRO_PIVOS!$C$6:$C$41,MATCH($E2306,CADASTRO_PIVOS!$B$6:$B$41,0)),"?")</f>
        <v>RM08</v>
      </c>
      <c r="G2306" s="8" t="str">
        <f aca="false">IFERROR(INDEX(CADASTRO_PIVOS!$D$6:$D$41,MATCH($E2306,CADASTRO_PIVOS!$B$6:$B$41,0)),"?")</f>
        <v>TR08</v>
      </c>
      <c r="H2306" s="20" t="n">
        <f aca="false">IFERROR(INDEX(CADASTRO_PIVOS!$E$6:$E$41,MATCH($E2306,CADASTRO_PIVOS!$B$6:$B$41,0)),0)</f>
        <v>86</v>
      </c>
      <c r="I2306" s="16" t="n">
        <f aca="false">IFERROR(SUMIFS(ROTACAO_RDM!$B$6:$B$71,ROTACAO_RDM!$D$6:$D$71,$E2306,ROTACAO_RDM!$I$6:$I$71,"&lt;="&amp;$C2306+INT(DIAS_POR_SEMANA/2),ROTACAO_RDM!$J$6:$J$71,"&gt;="&amp;$C2306+INT(DIAS_POR_SEMANA/2)),0)</f>
        <v>0</v>
      </c>
      <c r="J2306" s="16" t="n">
        <f aca="false">IFERROR(MATCH($I2306,ROTACAO_RDM!$B$6:$B$71,0),0)</f>
        <v>0</v>
      </c>
      <c r="K2306" s="8" t="str">
        <f aca="false">IF($J2306=0,"SEM CULTURA",INDEX(ROTACAO_RDM!$F$6:$F$71,$J2306))</f>
        <v>SEM CULTURA</v>
      </c>
      <c r="L2306" s="8" t="str">
        <f aca="false">IF($J2306=0,"",INDEX(ROTACAO_RDM!$G$6:$G$71,$J2306))</f>
        <v/>
      </c>
      <c r="M2306" s="17" t="str">
        <f aca="false">IF($J2306=0,"",INDEX(ROTACAO_RDM!$I$6:$I$71,$J2306))</f>
        <v/>
      </c>
      <c r="N2306" s="16" t="n">
        <f aca="false">IF($J2306=0,0,MAX(0,$C2306+INT(DIAS_POR_SEMANA/2)-INDEX(ROTACAO_RDM!$I$6:$I$71,$J2306)))</f>
        <v>0</v>
      </c>
      <c r="O2306" s="19" t="n">
        <f aca="false">IF($J2306=0,0,MIN(1,$N2306/MAX(1,INDEX(ROTACAO_RDM!$K$6:$K$71,$J2306))))</f>
        <v>0</v>
      </c>
      <c r="P2306" s="16" t="n">
        <f aca="false">IF($J2306=0,0,IFERROR(MATCH(INDEX(ROTACAO_RDM!$N$6:$N$71,$J2306),PARAMETROS_CULTURAS!$B$6:$B$28,0),0))</f>
        <v>0</v>
      </c>
      <c r="Q2306" s="8" t="str">
        <f aca="false">IF($P2306=0,"-",IF($O2306&lt;=INDEX(PARAMETROS_CULTURAS!$F$6:$F$28,$P2306),"INICIAL",IF($O2306&lt;=INDEX(PARAMETROS_CULTURAS!$F$6:$F$28,$P2306)+INDEX(PARAMETROS_CULTURAS!$G$6:$G$28,$P2306),"DESENVOLVIMENTO",IF($O2306&lt;=INDEX(PARAMETROS_CULTURAS!$F$6:$F$28,$P2306)+INDEX(PARAMETROS_CULTURAS!$G$6:$G$28,$P2306)+INDEX(PARAMETROS_CULTURAS!$H$6:$H$28,$P2306),"MEDIA","FINAL"))))</f>
        <v>-</v>
      </c>
      <c r="R2306" s="24" t="n">
        <f aca="false">IF($P2306=0,0,IF($O2306&lt;=INDEX(PARAMETROS_CULTURAS!$F$6:$F$28,$P2306),INDEX(PARAMETROS_CULTURAS!$K$6:$K$28,$P2306),IF($O2306&lt;=INDEX(PARAMETROS_CULTURAS!$F$6:$F$28,$P2306)+INDEX(PARAMETROS_CULTURAS!$G$6:$G$28,$P2306),INDEX(PARAMETROS_CULTURAS!$K$6:$K$28,$P2306)+(INDEX(PARAMETROS_CULTURAS!$L$6:$L$28,$P2306)-INDEX(PARAMETROS_CULTURAS!$K$6:$K$28,$P2306))*($O2306-INDEX(PARAMETROS_CULTURAS!$F$6:$F$28,$P2306))/MAX(INDEX(PARAMETROS_CULTURAS!$G$6:$G$28,$P2306),0.0001),IF($O2306&lt;=INDEX(PARAMETROS_CULTURAS!$F$6:$F$28,$P2306)+INDEX(PARAMETROS_CULTURAS!$G$6:$G$28,$P2306)+INDEX(PARAMETROS_CULTURAS!$H$6:$H$28,$P2306),INDEX(PARAMETROS_CULTURAS!$L$6:$L$28,$P2306),INDEX(PARAMETROS_CULTURAS!$L$6:$L$28,$P2306)+(INDEX(PARAMETROS_CULTURAS!$M$6:$M$28,$P2306)-INDEX(PARAMETROS_CULTURAS!$L$6:$L$28,$P2306))*($O2306-INDEX(PARAMETROS_CULTURAS!$F$6:$F$28,$P2306)-INDEX(PARAMETROS_CULTURAS!$G$6:$G$28,$P2306)-INDEX(PARAMETROS_CULTURAS!$H$6:$H$28,$P2306))/MAX(INDEX(PARAMETROS_CULTURAS!$I$6:$I$28,$P2306),0.0001)))))</f>
        <v>0</v>
      </c>
      <c r="S2306" s="18" t="n">
        <f aca="false">IFERROR(INDEX(SEMANAS!$H$6:$H$71,MATCH($B2306,SEMANAS!$B$6:$B$71,0)),0)</f>
        <v>40</v>
      </c>
      <c r="T2306" s="18" t="n">
        <f aca="false">$R2306*$S2306</f>
        <v>0</v>
      </c>
      <c r="U2306" s="18" t="n">
        <f aca="false">IFERROR(INDEX(SEMANAS!$I$6:$I$71,MATCH($B2306,SEMANAS!$B$6:$B$71,0)),0)</f>
        <v>15.61</v>
      </c>
      <c r="V2306" s="18" t="n">
        <f aca="false">IFERROR(INDEX(SEMANAS!$J$6:$J$71,MATCH($B2306,SEMANAS!$B$6:$B$71,0)),0)</f>
        <v>12.488</v>
      </c>
      <c r="W2306" s="18" t="n">
        <f aca="false">MAX(0,$T2306-$V2306)</f>
        <v>0</v>
      </c>
      <c r="X2306" s="19" t="n">
        <f aca="false">IFERROR(INDEX(CADASTRO_PIVOS!$K$6:$K$41,MATCH($E2306,CADASTRO_PIVOS!$B$6:$B$41,0)),EFICIENCIA_PADRAO)</f>
        <v>0.85</v>
      </c>
      <c r="Y2306" s="18" t="n">
        <f aca="false">IF($X2306&lt;=0,0,$W2306/$X2306)</f>
        <v>0</v>
      </c>
      <c r="Z2306" s="16" t="n">
        <f aca="false">$Y2306*$H2306*MM_PARA_M3_HA</f>
        <v>0</v>
      </c>
      <c r="AA2306" s="18" t="n">
        <f aca="false">IFERROR(INDEX(CADASTRO_PIVOS!$I$6:$I$41,MATCH($E2306,CADASTRO_PIVOS!$B$6:$B$41,0)),0)</f>
        <v>614.285714285714</v>
      </c>
      <c r="AB2306" s="18" t="n">
        <f aca="false">IF($Z2306&lt;=0,0,$Z2306/$AA2306)</f>
        <v>0</v>
      </c>
      <c r="AC2306" s="16" t="n">
        <f aca="false">IFERROR(INDEX(SEMANAS!$K$6:$K$71,MATCH($B2306,SEMANAS!$B$6:$B$71,0)),0)</f>
        <v>147</v>
      </c>
      <c r="AD2306" s="19" t="n">
        <f aca="false">IF($AC2306&lt;=0,0,$AB2306/$AC2306)</f>
        <v>0</v>
      </c>
      <c r="AE2306" s="8" t="str">
        <f aca="false">IF($K2306="SEM CULTURA","SEM CULTURA",IF($AA2306&lt;=0,"DADO PENDENTE",IF($AD2306&gt;LIMITE_CRITICO,"INVIAVEL",IF($AD2306&gt;LIMITE_ATENCAO,"CRITICO",IF($AD2306&gt;LIMITE_CONFORTAVEL,"ATENCAO","OK")))))</f>
        <v>SEM CULTURA</v>
      </c>
      <c r="AF2306" s="8" t="str">
        <f aca="false">$B2306&amp;"|"&amp;TEXT($AD2306,"0.000000")</f>
        <v>57|0.000000</v>
      </c>
      <c r="AG2306" s="18" t="n">
        <f aca="false">IF($K2306="SEM CULTURA",0,$T2306*$H2306)</f>
        <v>0</v>
      </c>
      <c r="AH2306" s="18" t="n">
        <f aca="false">IF($K2306="SEM CULTURA",0,$V2306*$H2306)</f>
        <v>0</v>
      </c>
      <c r="AI2306" s="18" t="n">
        <f aca="false">IF($K2306="SEM CULTURA",0,$W2306*$H2306)</f>
        <v>0</v>
      </c>
      <c r="AJ2306" s="18" t="n">
        <f aca="false">IF($K2306="SEM CULTURA",0,$S2306*$H2306)</f>
        <v>0</v>
      </c>
      <c r="AK2306" s="8" t="str">
        <f aca="false">$E2306&amp;"|"&amp;TEXT($AD2306,"0.000000")</f>
        <v>PV 136|0.000000</v>
      </c>
    </row>
    <row r="2307" customFormat="false" ht="15" hidden="false" customHeight="false" outlineLevel="0" collapsed="false">
      <c r="B2307" s="16" t="n">
        <v>58</v>
      </c>
      <c r="C2307" s="17" t="n">
        <f aca="false">DATA_INICIO_SAFRA+($B2307-1)*DIAS_POR_SEMANA</f>
        <v>46664</v>
      </c>
      <c r="D2307" s="17" t="n">
        <f aca="false">$C2307+DIAS_POR_SEMANA-1</f>
        <v>46670</v>
      </c>
      <c r="E2307" s="15" t="s">
        <v>293</v>
      </c>
      <c r="F2307" s="8" t="str">
        <f aca="false">IFERROR(INDEX(CADASTRO_PIVOS!$C$6:$C$41,MATCH($E2307,CADASTRO_PIVOS!$B$6:$B$41,0)),"?")</f>
        <v>RM08</v>
      </c>
      <c r="G2307" s="8" t="str">
        <f aca="false">IFERROR(INDEX(CADASTRO_PIVOS!$D$6:$D$41,MATCH($E2307,CADASTRO_PIVOS!$B$6:$B$41,0)),"?")</f>
        <v>TR08</v>
      </c>
      <c r="H2307" s="20" t="n">
        <f aca="false">IFERROR(INDEX(CADASTRO_PIVOS!$E$6:$E$41,MATCH($E2307,CADASTRO_PIVOS!$B$6:$B$41,0)),0)</f>
        <v>86</v>
      </c>
      <c r="I2307" s="16" t="n">
        <f aca="false">IFERROR(SUMIFS(ROTACAO_RDM!$B$6:$B$71,ROTACAO_RDM!$D$6:$D$71,$E2307,ROTACAO_RDM!$I$6:$I$71,"&lt;="&amp;$C2307+INT(DIAS_POR_SEMANA/2),ROTACAO_RDM!$J$6:$J$71,"&gt;="&amp;$C2307+INT(DIAS_POR_SEMANA/2)),0)</f>
        <v>0</v>
      </c>
      <c r="J2307" s="16" t="n">
        <f aca="false">IFERROR(MATCH($I2307,ROTACAO_RDM!$B$6:$B$71,0),0)</f>
        <v>0</v>
      </c>
      <c r="K2307" s="8" t="str">
        <f aca="false">IF($J2307=0,"SEM CULTURA",INDEX(ROTACAO_RDM!$F$6:$F$71,$J2307))</f>
        <v>SEM CULTURA</v>
      </c>
      <c r="L2307" s="8" t="str">
        <f aca="false">IF($J2307=0,"",INDEX(ROTACAO_RDM!$G$6:$G$71,$J2307))</f>
        <v/>
      </c>
      <c r="M2307" s="17" t="str">
        <f aca="false">IF($J2307=0,"",INDEX(ROTACAO_RDM!$I$6:$I$71,$J2307))</f>
        <v/>
      </c>
      <c r="N2307" s="16" t="n">
        <f aca="false">IF($J2307=0,0,MAX(0,$C2307+INT(DIAS_POR_SEMANA/2)-INDEX(ROTACAO_RDM!$I$6:$I$71,$J2307)))</f>
        <v>0</v>
      </c>
      <c r="O2307" s="19" t="n">
        <f aca="false">IF($J2307=0,0,MIN(1,$N2307/MAX(1,INDEX(ROTACAO_RDM!$K$6:$K$71,$J2307))))</f>
        <v>0</v>
      </c>
      <c r="P2307" s="16" t="n">
        <f aca="false">IF($J2307=0,0,IFERROR(MATCH(INDEX(ROTACAO_RDM!$N$6:$N$71,$J2307),PARAMETROS_CULTURAS!$B$6:$B$28,0),0))</f>
        <v>0</v>
      </c>
      <c r="Q2307" s="8" t="str">
        <f aca="false">IF($P2307=0,"-",IF($O2307&lt;=INDEX(PARAMETROS_CULTURAS!$F$6:$F$28,$P2307),"INICIAL",IF($O2307&lt;=INDEX(PARAMETROS_CULTURAS!$F$6:$F$28,$P2307)+INDEX(PARAMETROS_CULTURAS!$G$6:$G$28,$P2307),"DESENVOLVIMENTO",IF($O2307&lt;=INDEX(PARAMETROS_CULTURAS!$F$6:$F$28,$P2307)+INDEX(PARAMETROS_CULTURAS!$G$6:$G$28,$P2307)+INDEX(PARAMETROS_CULTURAS!$H$6:$H$28,$P2307),"MEDIA","FINAL"))))</f>
        <v>-</v>
      </c>
      <c r="R2307" s="24" t="n">
        <f aca="false">IF($P2307=0,0,IF($O2307&lt;=INDEX(PARAMETROS_CULTURAS!$F$6:$F$28,$P2307),INDEX(PARAMETROS_CULTURAS!$K$6:$K$28,$P2307),IF($O2307&lt;=INDEX(PARAMETROS_CULTURAS!$F$6:$F$28,$P2307)+INDEX(PARAMETROS_CULTURAS!$G$6:$G$28,$P2307),INDEX(PARAMETROS_CULTURAS!$K$6:$K$28,$P2307)+(INDEX(PARAMETROS_CULTURAS!$L$6:$L$28,$P2307)-INDEX(PARAMETROS_CULTURAS!$K$6:$K$28,$P2307))*($O2307-INDEX(PARAMETROS_CULTURAS!$F$6:$F$28,$P2307))/MAX(INDEX(PARAMETROS_CULTURAS!$G$6:$G$28,$P2307),0.0001),IF($O2307&lt;=INDEX(PARAMETROS_CULTURAS!$F$6:$F$28,$P2307)+INDEX(PARAMETROS_CULTURAS!$G$6:$G$28,$P2307)+INDEX(PARAMETROS_CULTURAS!$H$6:$H$28,$P2307),INDEX(PARAMETROS_CULTURAS!$L$6:$L$28,$P2307),INDEX(PARAMETROS_CULTURAS!$L$6:$L$28,$P2307)+(INDEX(PARAMETROS_CULTURAS!$M$6:$M$28,$P2307)-INDEX(PARAMETROS_CULTURAS!$L$6:$L$28,$P2307))*($O2307-INDEX(PARAMETROS_CULTURAS!$F$6:$F$28,$P2307)-INDEX(PARAMETROS_CULTURAS!$G$6:$G$28,$P2307)-INDEX(PARAMETROS_CULTURAS!$H$6:$H$28,$P2307))/MAX(INDEX(PARAMETROS_CULTURAS!$I$6:$I$28,$P2307),0.0001)))))</f>
        <v>0</v>
      </c>
      <c r="S2307" s="18" t="n">
        <f aca="false">IFERROR(INDEX(SEMANAS!$H$6:$H$71,MATCH($B2307,SEMANAS!$B$6:$B$71,0)),0)</f>
        <v>39.2</v>
      </c>
      <c r="T2307" s="18" t="n">
        <f aca="false">$R2307*$S2307</f>
        <v>0</v>
      </c>
      <c r="U2307" s="18" t="n">
        <f aca="false">IFERROR(INDEX(SEMANAS!$I$6:$I$71,MATCH($B2307,SEMANAS!$B$6:$B$71,0)),0)</f>
        <v>27.09</v>
      </c>
      <c r="V2307" s="18" t="n">
        <f aca="false">IFERROR(INDEX(SEMANAS!$J$6:$J$71,MATCH($B2307,SEMANAS!$B$6:$B$71,0)),0)</f>
        <v>21.672</v>
      </c>
      <c r="W2307" s="18" t="n">
        <f aca="false">MAX(0,$T2307-$V2307)</f>
        <v>0</v>
      </c>
      <c r="X2307" s="19" t="n">
        <f aca="false">IFERROR(INDEX(CADASTRO_PIVOS!$K$6:$K$41,MATCH($E2307,CADASTRO_PIVOS!$B$6:$B$41,0)),EFICIENCIA_PADRAO)</f>
        <v>0.85</v>
      </c>
      <c r="Y2307" s="18" t="n">
        <f aca="false">IF($X2307&lt;=0,0,$W2307/$X2307)</f>
        <v>0</v>
      </c>
      <c r="Z2307" s="16" t="n">
        <f aca="false">$Y2307*$H2307*MM_PARA_M3_HA</f>
        <v>0</v>
      </c>
      <c r="AA2307" s="18" t="n">
        <f aca="false">IFERROR(INDEX(CADASTRO_PIVOS!$I$6:$I$41,MATCH($E2307,CADASTRO_PIVOS!$B$6:$B$41,0)),0)</f>
        <v>614.285714285714</v>
      </c>
      <c r="AB2307" s="18" t="n">
        <f aca="false">IF($Z2307&lt;=0,0,$Z2307/$AA2307)</f>
        <v>0</v>
      </c>
      <c r="AC2307" s="16" t="n">
        <f aca="false">IFERROR(INDEX(SEMANAS!$K$6:$K$71,MATCH($B2307,SEMANAS!$B$6:$B$71,0)),0)</f>
        <v>147</v>
      </c>
      <c r="AD2307" s="19" t="n">
        <f aca="false">IF($AC2307&lt;=0,0,$AB2307/$AC2307)</f>
        <v>0</v>
      </c>
      <c r="AE2307" s="8" t="str">
        <f aca="false">IF($K2307="SEM CULTURA","SEM CULTURA",IF($AA2307&lt;=0,"DADO PENDENTE",IF($AD2307&gt;LIMITE_CRITICO,"INVIAVEL",IF($AD2307&gt;LIMITE_ATENCAO,"CRITICO",IF($AD2307&gt;LIMITE_CONFORTAVEL,"ATENCAO","OK")))))</f>
        <v>SEM CULTURA</v>
      </c>
      <c r="AF2307" s="8" t="str">
        <f aca="false">$B2307&amp;"|"&amp;TEXT($AD2307,"0.000000")</f>
        <v>58|0.000000</v>
      </c>
      <c r="AG2307" s="18" t="n">
        <f aca="false">IF($K2307="SEM CULTURA",0,$T2307*$H2307)</f>
        <v>0</v>
      </c>
      <c r="AH2307" s="18" t="n">
        <f aca="false">IF($K2307="SEM CULTURA",0,$V2307*$H2307)</f>
        <v>0</v>
      </c>
      <c r="AI2307" s="18" t="n">
        <f aca="false">IF($K2307="SEM CULTURA",0,$W2307*$H2307)</f>
        <v>0</v>
      </c>
      <c r="AJ2307" s="18" t="n">
        <f aca="false">IF($K2307="SEM CULTURA",0,$S2307*$H2307)</f>
        <v>0</v>
      </c>
      <c r="AK2307" s="8" t="str">
        <f aca="false">$E2307&amp;"|"&amp;TEXT($AD2307,"0.000000")</f>
        <v>PV 136|0.000000</v>
      </c>
    </row>
    <row r="2308" customFormat="false" ht="15" hidden="false" customHeight="false" outlineLevel="0" collapsed="false">
      <c r="B2308" s="16" t="n">
        <v>59</v>
      </c>
      <c r="C2308" s="17" t="n">
        <f aca="false">DATA_INICIO_SAFRA+($B2308-1)*DIAS_POR_SEMANA</f>
        <v>46671</v>
      </c>
      <c r="D2308" s="17" t="n">
        <f aca="false">$C2308+DIAS_POR_SEMANA-1</f>
        <v>46677</v>
      </c>
      <c r="E2308" s="15" t="s">
        <v>293</v>
      </c>
      <c r="F2308" s="8" t="str">
        <f aca="false">IFERROR(INDEX(CADASTRO_PIVOS!$C$6:$C$41,MATCH($E2308,CADASTRO_PIVOS!$B$6:$B$41,0)),"?")</f>
        <v>RM08</v>
      </c>
      <c r="G2308" s="8" t="str">
        <f aca="false">IFERROR(INDEX(CADASTRO_PIVOS!$D$6:$D$41,MATCH($E2308,CADASTRO_PIVOS!$B$6:$B$41,0)),"?")</f>
        <v>TR08</v>
      </c>
      <c r="H2308" s="20" t="n">
        <f aca="false">IFERROR(INDEX(CADASTRO_PIVOS!$E$6:$E$41,MATCH($E2308,CADASTRO_PIVOS!$B$6:$B$41,0)),0)</f>
        <v>86</v>
      </c>
      <c r="I2308" s="16" t="n">
        <f aca="false">IFERROR(SUMIFS(ROTACAO_RDM!$B$6:$B$71,ROTACAO_RDM!$D$6:$D$71,$E2308,ROTACAO_RDM!$I$6:$I$71,"&lt;="&amp;$C2308+INT(DIAS_POR_SEMANA/2),ROTACAO_RDM!$J$6:$J$71,"&gt;="&amp;$C2308+INT(DIAS_POR_SEMANA/2)),0)</f>
        <v>0</v>
      </c>
      <c r="J2308" s="16" t="n">
        <f aca="false">IFERROR(MATCH($I2308,ROTACAO_RDM!$B$6:$B$71,0),0)</f>
        <v>0</v>
      </c>
      <c r="K2308" s="8" t="str">
        <f aca="false">IF($J2308=0,"SEM CULTURA",INDEX(ROTACAO_RDM!$F$6:$F$71,$J2308))</f>
        <v>SEM CULTURA</v>
      </c>
      <c r="L2308" s="8" t="str">
        <f aca="false">IF($J2308=0,"",INDEX(ROTACAO_RDM!$G$6:$G$71,$J2308))</f>
        <v/>
      </c>
      <c r="M2308" s="17" t="str">
        <f aca="false">IF($J2308=0,"",INDEX(ROTACAO_RDM!$I$6:$I$71,$J2308))</f>
        <v/>
      </c>
      <c r="N2308" s="16" t="n">
        <f aca="false">IF($J2308=0,0,MAX(0,$C2308+INT(DIAS_POR_SEMANA/2)-INDEX(ROTACAO_RDM!$I$6:$I$71,$J2308)))</f>
        <v>0</v>
      </c>
      <c r="O2308" s="19" t="n">
        <f aca="false">IF($J2308=0,0,MIN(1,$N2308/MAX(1,INDEX(ROTACAO_RDM!$K$6:$K$71,$J2308))))</f>
        <v>0</v>
      </c>
      <c r="P2308" s="16" t="n">
        <f aca="false">IF($J2308=0,0,IFERROR(MATCH(INDEX(ROTACAO_RDM!$N$6:$N$71,$J2308),PARAMETROS_CULTURAS!$B$6:$B$28,0),0))</f>
        <v>0</v>
      </c>
      <c r="Q2308" s="8" t="str">
        <f aca="false">IF($P2308=0,"-",IF($O2308&lt;=INDEX(PARAMETROS_CULTURAS!$F$6:$F$28,$P2308),"INICIAL",IF($O2308&lt;=INDEX(PARAMETROS_CULTURAS!$F$6:$F$28,$P2308)+INDEX(PARAMETROS_CULTURAS!$G$6:$G$28,$P2308),"DESENVOLVIMENTO",IF($O2308&lt;=INDEX(PARAMETROS_CULTURAS!$F$6:$F$28,$P2308)+INDEX(PARAMETROS_CULTURAS!$G$6:$G$28,$P2308)+INDEX(PARAMETROS_CULTURAS!$H$6:$H$28,$P2308),"MEDIA","FINAL"))))</f>
        <v>-</v>
      </c>
      <c r="R2308" s="24" t="n">
        <f aca="false">IF($P2308=0,0,IF($O2308&lt;=INDEX(PARAMETROS_CULTURAS!$F$6:$F$28,$P2308),INDEX(PARAMETROS_CULTURAS!$K$6:$K$28,$P2308),IF($O2308&lt;=INDEX(PARAMETROS_CULTURAS!$F$6:$F$28,$P2308)+INDEX(PARAMETROS_CULTURAS!$G$6:$G$28,$P2308),INDEX(PARAMETROS_CULTURAS!$K$6:$K$28,$P2308)+(INDEX(PARAMETROS_CULTURAS!$L$6:$L$28,$P2308)-INDEX(PARAMETROS_CULTURAS!$K$6:$K$28,$P2308))*($O2308-INDEX(PARAMETROS_CULTURAS!$F$6:$F$28,$P2308))/MAX(INDEX(PARAMETROS_CULTURAS!$G$6:$G$28,$P2308),0.0001),IF($O2308&lt;=INDEX(PARAMETROS_CULTURAS!$F$6:$F$28,$P2308)+INDEX(PARAMETROS_CULTURAS!$G$6:$G$28,$P2308)+INDEX(PARAMETROS_CULTURAS!$H$6:$H$28,$P2308),INDEX(PARAMETROS_CULTURAS!$L$6:$L$28,$P2308),INDEX(PARAMETROS_CULTURAS!$L$6:$L$28,$P2308)+(INDEX(PARAMETROS_CULTURAS!$M$6:$M$28,$P2308)-INDEX(PARAMETROS_CULTURAS!$L$6:$L$28,$P2308))*($O2308-INDEX(PARAMETROS_CULTURAS!$F$6:$F$28,$P2308)-INDEX(PARAMETROS_CULTURAS!$G$6:$G$28,$P2308)-INDEX(PARAMETROS_CULTURAS!$H$6:$H$28,$P2308))/MAX(INDEX(PARAMETROS_CULTURAS!$I$6:$I$28,$P2308),0.0001)))))</f>
        <v>0</v>
      </c>
      <c r="S2308" s="18" t="n">
        <f aca="false">IFERROR(INDEX(SEMANAS!$H$6:$H$71,MATCH($B2308,SEMANAS!$B$6:$B$71,0)),0)</f>
        <v>39.2</v>
      </c>
      <c r="T2308" s="18" t="n">
        <f aca="false">$R2308*$S2308</f>
        <v>0</v>
      </c>
      <c r="U2308" s="18" t="n">
        <f aca="false">IFERROR(INDEX(SEMANAS!$I$6:$I$71,MATCH($B2308,SEMANAS!$B$6:$B$71,0)),0)</f>
        <v>27.09</v>
      </c>
      <c r="V2308" s="18" t="n">
        <f aca="false">IFERROR(INDEX(SEMANAS!$J$6:$J$71,MATCH($B2308,SEMANAS!$B$6:$B$71,0)),0)</f>
        <v>21.672</v>
      </c>
      <c r="W2308" s="18" t="n">
        <f aca="false">MAX(0,$T2308-$V2308)</f>
        <v>0</v>
      </c>
      <c r="X2308" s="19" t="n">
        <f aca="false">IFERROR(INDEX(CADASTRO_PIVOS!$K$6:$K$41,MATCH($E2308,CADASTRO_PIVOS!$B$6:$B$41,0)),EFICIENCIA_PADRAO)</f>
        <v>0.85</v>
      </c>
      <c r="Y2308" s="18" t="n">
        <f aca="false">IF($X2308&lt;=0,0,$W2308/$X2308)</f>
        <v>0</v>
      </c>
      <c r="Z2308" s="16" t="n">
        <f aca="false">$Y2308*$H2308*MM_PARA_M3_HA</f>
        <v>0</v>
      </c>
      <c r="AA2308" s="18" t="n">
        <f aca="false">IFERROR(INDEX(CADASTRO_PIVOS!$I$6:$I$41,MATCH($E2308,CADASTRO_PIVOS!$B$6:$B$41,0)),0)</f>
        <v>614.285714285714</v>
      </c>
      <c r="AB2308" s="18" t="n">
        <f aca="false">IF($Z2308&lt;=0,0,$Z2308/$AA2308)</f>
        <v>0</v>
      </c>
      <c r="AC2308" s="16" t="n">
        <f aca="false">IFERROR(INDEX(SEMANAS!$K$6:$K$71,MATCH($B2308,SEMANAS!$B$6:$B$71,0)),0)</f>
        <v>147</v>
      </c>
      <c r="AD2308" s="19" t="n">
        <f aca="false">IF($AC2308&lt;=0,0,$AB2308/$AC2308)</f>
        <v>0</v>
      </c>
      <c r="AE2308" s="8" t="str">
        <f aca="false">IF($K2308="SEM CULTURA","SEM CULTURA",IF($AA2308&lt;=0,"DADO PENDENTE",IF($AD2308&gt;LIMITE_CRITICO,"INVIAVEL",IF($AD2308&gt;LIMITE_ATENCAO,"CRITICO",IF($AD2308&gt;LIMITE_CONFORTAVEL,"ATENCAO","OK")))))</f>
        <v>SEM CULTURA</v>
      </c>
      <c r="AF2308" s="8" t="str">
        <f aca="false">$B2308&amp;"|"&amp;TEXT($AD2308,"0.000000")</f>
        <v>59|0.000000</v>
      </c>
      <c r="AG2308" s="18" t="n">
        <f aca="false">IF($K2308="SEM CULTURA",0,$T2308*$H2308)</f>
        <v>0</v>
      </c>
      <c r="AH2308" s="18" t="n">
        <f aca="false">IF($K2308="SEM CULTURA",0,$V2308*$H2308)</f>
        <v>0</v>
      </c>
      <c r="AI2308" s="18" t="n">
        <f aca="false">IF($K2308="SEM CULTURA",0,$W2308*$H2308)</f>
        <v>0</v>
      </c>
      <c r="AJ2308" s="18" t="n">
        <f aca="false">IF($K2308="SEM CULTURA",0,$S2308*$H2308)</f>
        <v>0</v>
      </c>
      <c r="AK2308" s="8" t="str">
        <f aca="false">$E2308&amp;"|"&amp;TEXT($AD2308,"0.000000")</f>
        <v>PV 136|0.000000</v>
      </c>
    </row>
    <row r="2309" customFormat="false" ht="15" hidden="false" customHeight="false" outlineLevel="0" collapsed="false">
      <c r="B2309" s="16" t="n">
        <v>60</v>
      </c>
      <c r="C2309" s="17" t="n">
        <f aca="false">DATA_INICIO_SAFRA+($B2309-1)*DIAS_POR_SEMANA</f>
        <v>46678</v>
      </c>
      <c r="D2309" s="17" t="n">
        <f aca="false">$C2309+DIAS_POR_SEMANA-1</f>
        <v>46684</v>
      </c>
      <c r="E2309" s="15" t="s">
        <v>293</v>
      </c>
      <c r="F2309" s="8" t="str">
        <f aca="false">IFERROR(INDEX(CADASTRO_PIVOS!$C$6:$C$41,MATCH($E2309,CADASTRO_PIVOS!$B$6:$B$41,0)),"?")</f>
        <v>RM08</v>
      </c>
      <c r="G2309" s="8" t="str">
        <f aca="false">IFERROR(INDEX(CADASTRO_PIVOS!$D$6:$D$41,MATCH($E2309,CADASTRO_PIVOS!$B$6:$B$41,0)),"?")</f>
        <v>TR08</v>
      </c>
      <c r="H2309" s="20" t="n">
        <f aca="false">IFERROR(INDEX(CADASTRO_PIVOS!$E$6:$E$41,MATCH($E2309,CADASTRO_PIVOS!$B$6:$B$41,0)),0)</f>
        <v>86</v>
      </c>
      <c r="I2309" s="16" t="n">
        <f aca="false">IFERROR(SUMIFS(ROTACAO_RDM!$B$6:$B$71,ROTACAO_RDM!$D$6:$D$71,$E2309,ROTACAO_RDM!$I$6:$I$71,"&lt;="&amp;$C2309+INT(DIAS_POR_SEMANA/2),ROTACAO_RDM!$J$6:$J$71,"&gt;="&amp;$C2309+INT(DIAS_POR_SEMANA/2)),0)</f>
        <v>0</v>
      </c>
      <c r="J2309" s="16" t="n">
        <f aca="false">IFERROR(MATCH($I2309,ROTACAO_RDM!$B$6:$B$71,0),0)</f>
        <v>0</v>
      </c>
      <c r="K2309" s="8" t="str">
        <f aca="false">IF($J2309=0,"SEM CULTURA",INDEX(ROTACAO_RDM!$F$6:$F$71,$J2309))</f>
        <v>SEM CULTURA</v>
      </c>
      <c r="L2309" s="8" t="str">
        <f aca="false">IF($J2309=0,"",INDEX(ROTACAO_RDM!$G$6:$G$71,$J2309))</f>
        <v/>
      </c>
      <c r="M2309" s="17" t="str">
        <f aca="false">IF($J2309=0,"",INDEX(ROTACAO_RDM!$I$6:$I$71,$J2309))</f>
        <v/>
      </c>
      <c r="N2309" s="16" t="n">
        <f aca="false">IF($J2309=0,0,MAX(0,$C2309+INT(DIAS_POR_SEMANA/2)-INDEX(ROTACAO_RDM!$I$6:$I$71,$J2309)))</f>
        <v>0</v>
      </c>
      <c r="O2309" s="19" t="n">
        <f aca="false">IF($J2309=0,0,MIN(1,$N2309/MAX(1,INDEX(ROTACAO_RDM!$K$6:$K$71,$J2309))))</f>
        <v>0</v>
      </c>
      <c r="P2309" s="16" t="n">
        <f aca="false">IF($J2309=0,0,IFERROR(MATCH(INDEX(ROTACAO_RDM!$N$6:$N$71,$J2309),PARAMETROS_CULTURAS!$B$6:$B$28,0),0))</f>
        <v>0</v>
      </c>
      <c r="Q2309" s="8" t="str">
        <f aca="false">IF($P2309=0,"-",IF($O2309&lt;=INDEX(PARAMETROS_CULTURAS!$F$6:$F$28,$P2309),"INICIAL",IF($O2309&lt;=INDEX(PARAMETROS_CULTURAS!$F$6:$F$28,$P2309)+INDEX(PARAMETROS_CULTURAS!$G$6:$G$28,$P2309),"DESENVOLVIMENTO",IF($O2309&lt;=INDEX(PARAMETROS_CULTURAS!$F$6:$F$28,$P2309)+INDEX(PARAMETROS_CULTURAS!$G$6:$G$28,$P2309)+INDEX(PARAMETROS_CULTURAS!$H$6:$H$28,$P2309),"MEDIA","FINAL"))))</f>
        <v>-</v>
      </c>
      <c r="R2309" s="24" t="n">
        <f aca="false">IF($P2309=0,0,IF($O2309&lt;=INDEX(PARAMETROS_CULTURAS!$F$6:$F$28,$P2309),INDEX(PARAMETROS_CULTURAS!$K$6:$K$28,$P2309),IF($O2309&lt;=INDEX(PARAMETROS_CULTURAS!$F$6:$F$28,$P2309)+INDEX(PARAMETROS_CULTURAS!$G$6:$G$28,$P2309),INDEX(PARAMETROS_CULTURAS!$K$6:$K$28,$P2309)+(INDEX(PARAMETROS_CULTURAS!$L$6:$L$28,$P2309)-INDEX(PARAMETROS_CULTURAS!$K$6:$K$28,$P2309))*($O2309-INDEX(PARAMETROS_CULTURAS!$F$6:$F$28,$P2309))/MAX(INDEX(PARAMETROS_CULTURAS!$G$6:$G$28,$P2309),0.0001),IF($O2309&lt;=INDEX(PARAMETROS_CULTURAS!$F$6:$F$28,$P2309)+INDEX(PARAMETROS_CULTURAS!$G$6:$G$28,$P2309)+INDEX(PARAMETROS_CULTURAS!$H$6:$H$28,$P2309),INDEX(PARAMETROS_CULTURAS!$L$6:$L$28,$P2309),INDEX(PARAMETROS_CULTURAS!$L$6:$L$28,$P2309)+(INDEX(PARAMETROS_CULTURAS!$M$6:$M$28,$P2309)-INDEX(PARAMETROS_CULTURAS!$L$6:$L$28,$P2309))*($O2309-INDEX(PARAMETROS_CULTURAS!$F$6:$F$28,$P2309)-INDEX(PARAMETROS_CULTURAS!$G$6:$G$28,$P2309)-INDEX(PARAMETROS_CULTURAS!$H$6:$H$28,$P2309))/MAX(INDEX(PARAMETROS_CULTURAS!$I$6:$I$28,$P2309),0.0001)))))</f>
        <v>0</v>
      </c>
      <c r="S2309" s="18" t="n">
        <f aca="false">IFERROR(INDEX(SEMANAS!$H$6:$H$71,MATCH($B2309,SEMANAS!$B$6:$B$71,0)),0)</f>
        <v>39.2</v>
      </c>
      <c r="T2309" s="18" t="n">
        <f aca="false">$R2309*$S2309</f>
        <v>0</v>
      </c>
      <c r="U2309" s="18" t="n">
        <f aca="false">IFERROR(INDEX(SEMANAS!$I$6:$I$71,MATCH($B2309,SEMANAS!$B$6:$B$71,0)),0)</f>
        <v>27.09</v>
      </c>
      <c r="V2309" s="18" t="n">
        <f aca="false">IFERROR(INDEX(SEMANAS!$J$6:$J$71,MATCH($B2309,SEMANAS!$B$6:$B$71,0)),0)</f>
        <v>21.672</v>
      </c>
      <c r="W2309" s="18" t="n">
        <f aca="false">MAX(0,$T2309-$V2309)</f>
        <v>0</v>
      </c>
      <c r="X2309" s="19" t="n">
        <f aca="false">IFERROR(INDEX(CADASTRO_PIVOS!$K$6:$K$41,MATCH($E2309,CADASTRO_PIVOS!$B$6:$B$41,0)),EFICIENCIA_PADRAO)</f>
        <v>0.85</v>
      </c>
      <c r="Y2309" s="18" t="n">
        <f aca="false">IF($X2309&lt;=0,0,$W2309/$X2309)</f>
        <v>0</v>
      </c>
      <c r="Z2309" s="16" t="n">
        <f aca="false">$Y2309*$H2309*MM_PARA_M3_HA</f>
        <v>0</v>
      </c>
      <c r="AA2309" s="18" t="n">
        <f aca="false">IFERROR(INDEX(CADASTRO_PIVOS!$I$6:$I$41,MATCH($E2309,CADASTRO_PIVOS!$B$6:$B$41,0)),0)</f>
        <v>614.285714285714</v>
      </c>
      <c r="AB2309" s="18" t="n">
        <f aca="false">IF($Z2309&lt;=0,0,$Z2309/$AA2309)</f>
        <v>0</v>
      </c>
      <c r="AC2309" s="16" t="n">
        <f aca="false">IFERROR(INDEX(SEMANAS!$K$6:$K$71,MATCH($B2309,SEMANAS!$B$6:$B$71,0)),0)</f>
        <v>147</v>
      </c>
      <c r="AD2309" s="19" t="n">
        <f aca="false">IF($AC2309&lt;=0,0,$AB2309/$AC2309)</f>
        <v>0</v>
      </c>
      <c r="AE2309" s="8" t="str">
        <f aca="false">IF($K2309="SEM CULTURA","SEM CULTURA",IF($AA2309&lt;=0,"DADO PENDENTE",IF($AD2309&gt;LIMITE_CRITICO,"INVIAVEL",IF($AD2309&gt;LIMITE_ATENCAO,"CRITICO",IF($AD2309&gt;LIMITE_CONFORTAVEL,"ATENCAO","OK")))))</f>
        <v>SEM CULTURA</v>
      </c>
      <c r="AF2309" s="8" t="str">
        <f aca="false">$B2309&amp;"|"&amp;TEXT($AD2309,"0.000000")</f>
        <v>60|0.000000</v>
      </c>
      <c r="AG2309" s="18" t="n">
        <f aca="false">IF($K2309="SEM CULTURA",0,$T2309*$H2309)</f>
        <v>0</v>
      </c>
      <c r="AH2309" s="18" t="n">
        <f aca="false">IF($K2309="SEM CULTURA",0,$V2309*$H2309)</f>
        <v>0</v>
      </c>
      <c r="AI2309" s="18" t="n">
        <f aca="false">IF($K2309="SEM CULTURA",0,$W2309*$H2309)</f>
        <v>0</v>
      </c>
      <c r="AJ2309" s="18" t="n">
        <f aca="false">IF($K2309="SEM CULTURA",0,$S2309*$H2309)</f>
        <v>0</v>
      </c>
      <c r="AK2309" s="8" t="str">
        <f aca="false">$E2309&amp;"|"&amp;TEXT($AD2309,"0.000000")</f>
        <v>PV 136|0.000000</v>
      </c>
    </row>
    <row r="2310" customFormat="false" ht="15" hidden="false" customHeight="false" outlineLevel="0" collapsed="false">
      <c r="B2310" s="16" t="n">
        <v>61</v>
      </c>
      <c r="C2310" s="17" t="n">
        <f aca="false">DATA_INICIO_SAFRA+($B2310-1)*DIAS_POR_SEMANA</f>
        <v>46685</v>
      </c>
      <c r="D2310" s="17" t="n">
        <f aca="false">$C2310+DIAS_POR_SEMANA-1</f>
        <v>46691</v>
      </c>
      <c r="E2310" s="15" t="s">
        <v>293</v>
      </c>
      <c r="F2310" s="8" t="str">
        <f aca="false">IFERROR(INDEX(CADASTRO_PIVOS!$C$6:$C$41,MATCH($E2310,CADASTRO_PIVOS!$B$6:$B$41,0)),"?")</f>
        <v>RM08</v>
      </c>
      <c r="G2310" s="8" t="str">
        <f aca="false">IFERROR(INDEX(CADASTRO_PIVOS!$D$6:$D$41,MATCH($E2310,CADASTRO_PIVOS!$B$6:$B$41,0)),"?")</f>
        <v>TR08</v>
      </c>
      <c r="H2310" s="20" t="n">
        <f aca="false">IFERROR(INDEX(CADASTRO_PIVOS!$E$6:$E$41,MATCH($E2310,CADASTRO_PIVOS!$B$6:$B$41,0)),0)</f>
        <v>86</v>
      </c>
      <c r="I2310" s="16" t="n">
        <f aca="false">IFERROR(SUMIFS(ROTACAO_RDM!$B$6:$B$71,ROTACAO_RDM!$D$6:$D$71,$E2310,ROTACAO_RDM!$I$6:$I$71,"&lt;="&amp;$C2310+INT(DIAS_POR_SEMANA/2),ROTACAO_RDM!$J$6:$J$71,"&gt;="&amp;$C2310+INT(DIAS_POR_SEMANA/2)),0)</f>
        <v>0</v>
      </c>
      <c r="J2310" s="16" t="n">
        <f aca="false">IFERROR(MATCH($I2310,ROTACAO_RDM!$B$6:$B$71,0),0)</f>
        <v>0</v>
      </c>
      <c r="K2310" s="8" t="str">
        <f aca="false">IF($J2310=0,"SEM CULTURA",INDEX(ROTACAO_RDM!$F$6:$F$71,$J2310))</f>
        <v>SEM CULTURA</v>
      </c>
      <c r="L2310" s="8" t="str">
        <f aca="false">IF($J2310=0,"",INDEX(ROTACAO_RDM!$G$6:$G$71,$J2310))</f>
        <v/>
      </c>
      <c r="M2310" s="17" t="str">
        <f aca="false">IF($J2310=0,"",INDEX(ROTACAO_RDM!$I$6:$I$71,$J2310))</f>
        <v/>
      </c>
      <c r="N2310" s="16" t="n">
        <f aca="false">IF($J2310=0,0,MAX(0,$C2310+INT(DIAS_POR_SEMANA/2)-INDEX(ROTACAO_RDM!$I$6:$I$71,$J2310)))</f>
        <v>0</v>
      </c>
      <c r="O2310" s="19" t="n">
        <f aca="false">IF($J2310=0,0,MIN(1,$N2310/MAX(1,INDEX(ROTACAO_RDM!$K$6:$K$71,$J2310))))</f>
        <v>0</v>
      </c>
      <c r="P2310" s="16" t="n">
        <f aca="false">IF($J2310=0,0,IFERROR(MATCH(INDEX(ROTACAO_RDM!$N$6:$N$71,$J2310),PARAMETROS_CULTURAS!$B$6:$B$28,0),0))</f>
        <v>0</v>
      </c>
      <c r="Q2310" s="8" t="str">
        <f aca="false">IF($P2310=0,"-",IF($O2310&lt;=INDEX(PARAMETROS_CULTURAS!$F$6:$F$28,$P2310),"INICIAL",IF($O2310&lt;=INDEX(PARAMETROS_CULTURAS!$F$6:$F$28,$P2310)+INDEX(PARAMETROS_CULTURAS!$G$6:$G$28,$P2310),"DESENVOLVIMENTO",IF($O2310&lt;=INDEX(PARAMETROS_CULTURAS!$F$6:$F$28,$P2310)+INDEX(PARAMETROS_CULTURAS!$G$6:$G$28,$P2310)+INDEX(PARAMETROS_CULTURAS!$H$6:$H$28,$P2310),"MEDIA","FINAL"))))</f>
        <v>-</v>
      </c>
      <c r="R2310" s="24" t="n">
        <f aca="false">IF($P2310=0,0,IF($O2310&lt;=INDEX(PARAMETROS_CULTURAS!$F$6:$F$28,$P2310),INDEX(PARAMETROS_CULTURAS!$K$6:$K$28,$P2310),IF($O2310&lt;=INDEX(PARAMETROS_CULTURAS!$F$6:$F$28,$P2310)+INDEX(PARAMETROS_CULTURAS!$G$6:$G$28,$P2310),INDEX(PARAMETROS_CULTURAS!$K$6:$K$28,$P2310)+(INDEX(PARAMETROS_CULTURAS!$L$6:$L$28,$P2310)-INDEX(PARAMETROS_CULTURAS!$K$6:$K$28,$P2310))*($O2310-INDEX(PARAMETROS_CULTURAS!$F$6:$F$28,$P2310))/MAX(INDEX(PARAMETROS_CULTURAS!$G$6:$G$28,$P2310),0.0001),IF($O2310&lt;=INDEX(PARAMETROS_CULTURAS!$F$6:$F$28,$P2310)+INDEX(PARAMETROS_CULTURAS!$G$6:$G$28,$P2310)+INDEX(PARAMETROS_CULTURAS!$H$6:$H$28,$P2310),INDEX(PARAMETROS_CULTURAS!$L$6:$L$28,$P2310),INDEX(PARAMETROS_CULTURAS!$L$6:$L$28,$P2310)+(INDEX(PARAMETROS_CULTURAS!$M$6:$M$28,$P2310)-INDEX(PARAMETROS_CULTURAS!$L$6:$L$28,$P2310))*($O2310-INDEX(PARAMETROS_CULTURAS!$F$6:$F$28,$P2310)-INDEX(PARAMETROS_CULTURAS!$G$6:$G$28,$P2310)-INDEX(PARAMETROS_CULTURAS!$H$6:$H$28,$P2310))/MAX(INDEX(PARAMETROS_CULTURAS!$I$6:$I$28,$P2310),0.0001)))))</f>
        <v>0</v>
      </c>
      <c r="S2310" s="18" t="n">
        <f aca="false">IFERROR(INDEX(SEMANAS!$H$6:$H$71,MATCH($B2310,SEMANAS!$B$6:$B$71,0)),0)</f>
        <v>39.2</v>
      </c>
      <c r="T2310" s="18" t="n">
        <f aca="false">$R2310*$S2310</f>
        <v>0</v>
      </c>
      <c r="U2310" s="18" t="n">
        <f aca="false">IFERROR(INDEX(SEMANAS!$I$6:$I$71,MATCH($B2310,SEMANAS!$B$6:$B$71,0)),0)</f>
        <v>27.09</v>
      </c>
      <c r="V2310" s="18" t="n">
        <f aca="false">IFERROR(INDEX(SEMANAS!$J$6:$J$71,MATCH($B2310,SEMANAS!$B$6:$B$71,0)),0)</f>
        <v>21.672</v>
      </c>
      <c r="W2310" s="18" t="n">
        <f aca="false">MAX(0,$T2310-$V2310)</f>
        <v>0</v>
      </c>
      <c r="X2310" s="19" t="n">
        <f aca="false">IFERROR(INDEX(CADASTRO_PIVOS!$K$6:$K$41,MATCH($E2310,CADASTRO_PIVOS!$B$6:$B$41,0)),EFICIENCIA_PADRAO)</f>
        <v>0.85</v>
      </c>
      <c r="Y2310" s="18" t="n">
        <f aca="false">IF($X2310&lt;=0,0,$W2310/$X2310)</f>
        <v>0</v>
      </c>
      <c r="Z2310" s="16" t="n">
        <f aca="false">$Y2310*$H2310*MM_PARA_M3_HA</f>
        <v>0</v>
      </c>
      <c r="AA2310" s="18" t="n">
        <f aca="false">IFERROR(INDEX(CADASTRO_PIVOS!$I$6:$I$41,MATCH($E2310,CADASTRO_PIVOS!$B$6:$B$41,0)),0)</f>
        <v>614.285714285714</v>
      </c>
      <c r="AB2310" s="18" t="n">
        <f aca="false">IF($Z2310&lt;=0,0,$Z2310/$AA2310)</f>
        <v>0</v>
      </c>
      <c r="AC2310" s="16" t="n">
        <f aca="false">IFERROR(INDEX(SEMANAS!$K$6:$K$71,MATCH($B2310,SEMANAS!$B$6:$B$71,0)),0)</f>
        <v>147</v>
      </c>
      <c r="AD2310" s="19" t="n">
        <f aca="false">IF($AC2310&lt;=0,0,$AB2310/$AC2310)</f>
        <v>0</v>
      </c>
      <c r="AE2310" s="8" t="str">
        <f aca="false">IF($K2310="SEM CULTURA","SEM CULTURA",IF($AA2310&lt;=0,"DADO PENDENTE",IF($AD2310&gt;LIMITE_CRITICO,"INVIAVEL",IF($AD2310&gt;LIMITE_ATENCAO,"CRITICO",IF($AD2310&gt;LIMITE_CONFORTAVEL,"ATENCAO","OK")))))</f>
        <v>SEM CULTURA</v>
      </c>
      <c r="AF2310" s="8" t="str">
        <f aca="false">$B2310&amp;"|"&amp;TEXT($AD2310,"0.000000")</f>
        <v>61|0.000000</v>
      </c>
      <c r="AG2310" s="18" t="n">
        <f aca="false">IF($K2310="SEM CULTURA",0,$T2310*$H2310)</f>
        <v>0</v>
      </c>
      <c r="AH2310" s="18" t="n">
        <f aca="false">IF($K2310="SEM CULTURA",0,$V2310*$H2310)</f>
        <v>0</v>
      </c>
      <c r="AI2310" s="18" t="n">
        <f aca="false">IF($K2310="SEM CULTURA",0,$W2310*$H2310)</f>
        <v>0</v>
      </c>
      <c r="AJ2310" s="18" t="n">
        <f aca="false">IF($K2310="SEM CULTURA",0,$S2310*$H2310)</f>
        <v>0</v>
      </c>
      <c r="AK2310" s="8" t="str">
        <f aca="false">$E2310&amp;"|"&amp;TEXT($AD2310,"0.000000")</f>
        <v>PV 136|0.000000</v>
      </c>
    </row>
    <row r="2311" customFormat="false" ht="15" hidden="false" customHeight="false" outlineLevel="0" collapsed="false">
      <c r="B2311" s="16" t="n">
        <v>62</v>
      </c>
      <c r="C2311" s="17" t="n">
        <f aca="false">DATA_INICIO_SAFRA+($B2311-1)*DIAS_POR_SEMANA</f>
        <v>46692</v>
      </c>
      <c r="D2311" s="17" t="n">
        <f aca="false">$C2311+DIAS_POR_SEMANA-1</f>
        <v>46698</v>
      </c>
      <c r="E2311" s="15" t="s">
        <v>293</v>
      </c>
      <c r="F2311" s="8" t="str">
        <f aca="false">IFERROR(INDEX(CADASTRO_PIVOS!$C$6:$C$41,MATCH($E2311,CADASTRO_PIVOS!$B$6:$B$41,0)),"?")</f>
        <v>RM08</v>
      </c>
      <c r="G2311" s="8" t="str">
        <f aca="false">IFERROR(INDEX(CADASTRO_PIVOS!$D$6:$D$41,MATCH($E2311,CADASTRO_PIVOS!$B$6:$B$41,0)),"?")</f>
        <v>TR08</v>
      </c>
      <c r="H2311" s="20" t="n">
        <f aca="false">IFERROR(INDEX(CADASTRO_PIVOS!$E$6:$E$41,MATCH($E2311,CADASTRO_PIVOS!$B$6:$B$41,0)),0)</f>
        <v>86</v>
      </c>
      <c r="I2311" s="16" t="n">
        <f aca="false">IFERROR(SUMIFS(ROTACAO_RDM!$B$6:$B$71,ROTACAO_RDM!$D$6:$D$71,$E2311,ROTACAO_RDM!$I$6:$I$71,"&lt;="&amp;$C2311+INT(DIAS_POR_SEMANA/2),ROTACAO_RDM!$J$6:$J$71,"&gt;="&amp;$C2311+INT(DIAS_POR_SEMANA/2)),0)</f>
        <v>0</v>
      </c>
      <c r="J2311" s="16" t="n">
        <f aca="false">IFERROR(MATCH($I2311,ROTACAO_RDM!$B$6:$B$71,0),0)</f>
        <v>0</v>
      </c>
      <c r="K2311" s="8" t="str">
        <f aca="false">IF($J2311=0,"SEM CULTURA",INDEX(ROTACAO_RDM!$F$6:$F$71,$J2311))</f>
        <v>SEM CULTURA</v>
      </c>
      <c r="L2311" s="8" t="str">
        <f aca="false">IF($J2311=0,"",INDEX(ROTACAO_RDM!$G$6:$G$71,$J2311))</f>
        <v/>
      </c>
      <c r="M2311" s="17" t="str">
        <f aca="false">IF($J2311=0,"",INDEX(ROTACAO_RDM!$I$6:$I$71,$J2311))</f>
        <v/>
      </c>
      <c r="N2311" s="16" t="n">
        <f aca="false">IF($J2311=0,0,MAX(0,$C2311+INT(DIAS_POR_SEMANA/2)-INDEX(ROTACAO_RDM!$I$6:$I$71,$J2311)))</f>
        <v>0</v>
      </c>
      <c r="O2311" s="19" t="n">
        <f aca="false">IF($J2311=0,0,MIN(1,$N2311/MAX(1,INDEX(ROTACAO_RDM!$K$6:$K$71,$J2311))))</f>
        <v>0</v>
      </c>
      <c r="P2311" s="16" t="n">
        <f aca="false">IF($J2311=0,0,IFERROR(MATCH(INDEX(ROTACAO_RDM!$N$6:$N$71,$J2311),PARAMETROS_CULTURAS!$B$6:$B$28,0),0))</f>
        <v>0</v>
      </c>
      <c r="Q2311" s="8" t="str">
        <f aca="false">IF($P2311=0,"-",IF($O2311&lt;=INDEX(PARAMETROS_CULTURAS!$F$6:$F$28,$P2311),"INICIAL",IF($O2311&lt;=INDEX(PARAMETROS_CULTURAS!$F$6:$F$28,$P2311)+INDEX(PARAMETROS_CULTURAS!$G$6:$G$28,$P2311),"DESENVOLVIMENTO",IF($O2311&lt;=INDEX(PARAMETROS_CULTURAS!$F$6:$F$28,$P2311)+INDEX(PARAMETROS_CULTURAS!$G$6:$G$28,$P2311)+INDEX(PARAMETROS_CULTURAS!$H$6:$H$28,$P2311),"MEDIA","FINAL"))))</f>
        <v>-</v>
      </c>
      <c r="R2311" s="24" t="n">
        <f aca="false">IF($P2311=0,0,IF($O2311&lt;=INDEX(PARAMETROS_CULTURAS!$F$6:$F$28,$P2311),INDEX(PARAMETROS_CULTURAS!$K$6:$K$28,$P2311),IF($O2311&lt;=INDEX(PARAMETROS_CULTURAS!$F$6:$F$28,$P2311)+INDEX(PARAMETROS_CULTURAS!$G$6:$G$28,$P2311),INDEX(PARAMETROS_CULTURAS!$K$6:$K$28,$P2311)+(INDEX(PARAMETROS_CULTURAS!$L$6:$L$28,$P2311)-INDEX(PARAMETROS_CULTURAS!$K$6:$K$28,$P2311))*($O2311-INDEX(PARAMETROS_CULTURAS!$F$6:$F$28,$P2311))/MAX(INDEX(PARAMETROS_CULTURAS!$G$6:$G$28,$P2311),0.0001),IF($O2311&lt;=INDEX(PARAMETROS_CULTURAS!$F$6:$F$28,$P2311)+INDEX(PARAMETROS_CULTURAS!$G$6:$G$28,$P2311)+INDEX(PARAMETROS_CULTURAS!$H$6:$H$28,$P2311),INDEX(PARAMETROS_CULTURAS!$L$6:$L$28,$P2311),INDEX(PARAMETROS_CULTURAS!$L$6:$L$28,$P2311)+(INDEX(PARAMETROS_CULTURAS!$M$6:$M$28,$P2311)-INDEX(PARAMETROS_CULTURAS!$L$6:$L$28,$P2311))*($O2311-INDEX(PARAMETROS_CULTURAS!$F$6:$F$28,$P2311)-INDEX(PARAMETROS_CULTURAS!$G$6:$G$28,$P2311)-INDEX(PARAMETROS_CULTURAS!$H$6:$H$28,$P2311))/MAX(INDEX(PARAMETROS_CULTURAS!$I$6:$I$28,$P2311),0.0001)))))</f>
        <v>0</v>
      </c>
      <c r="S2311" s="18" t="n">
        <f aca="false">IFERROR(INDEX(SEMANAS!$H$6:$H$71,MATCH($B2311,SEMANAS!$B$6:$B$71,0)),0)</f>
        <v>34.3</v>
      </c>
      <c r="T2311" s="18" t="n">
        <f aca="false">$R2311*$S2311</f>
        <v>0</v>
      </c>
      <c r="U2311" s="18" t="n">
        <f aca="false">IFERROR(INDEX(SEMANAS!$I$6:$I$71,MATCH($B2311,SEMANAS!$B$6:$B$71,0)),0)</f>
        <v>46.69</v>
      </c>
      <c r="V2311" s="18" t="n">
        <f aca="false">IFERROR(INDEX(SEMANAS!$J$6:$J$71,MATCH($B2311,SEMANAS!$B$6:$B$71,0)),0)</f>
        <v>37.352</v>
      </c>
      <c r="W2311" s="18" t="n">
        <f aca="false">MAX(0,$T2311-$V2311)</f>
        <v>0</v>
      </c>
      <c r="X2311" s="19" t="n">
        <f aca="false">IFERROR(INDEX(CADASTRO_PIVOS!$K$6:$K$41,MATCH($E2311,CADASTRO_PIVOS!$B$6:$B$41,0)),EFICIENCIA_PADRAO)</f>
        <v>0.85</v>
      </c>
      <c r="Y2311" s="18" t="n">
        <f aca="false">IF($X2311&lt;=0,0,$W2311/$X2311)</f>
        <v>0</v>
      </c>
      <c r="Z2311" s="16" t="n">
        <f aca="false">$Y2311*$H2311*MM_PARA_M3_HA</f>
        <v>0</v>
      </c>
      <c r="AA2311" s="18" t="n">
        <f aca="false">IFERROR(INDEX(CADASTRO_PIVOS!$I$6:$I$41,MATCH($E2311,CADASTRO_PIVOS!$B$6:$B$41,0)),0)</f>
        <v>614.285714285714</v>
      </c>
      <c r="AB2311" s="18" t="n">
        <f aca="false">IF($Z2311&lt;=0,0,$Z2311/$AA2311)</f>
        <v>0</v>
      </c>
      <c r="AC2311" s="16" t="n">
        <f aca="false">IFERROR(INDEX(SEMANAS!$K$6:$K$71,MATCH($B2311,SEMANAS!$B$6:$B$71,0)),0)</f>
        <v>147</v>
      </c>
      <c r="AD2311" s="19" t="n">
        <f aca="false">IF($AC2311&lt;=0,0,$AB2311/$AC2311)</f>
        <v>0</v>
      </c>
      <c r="AE2311" s="8" t="str">
        <f aca="false">IF($K2311="SEM CULTURA","SEM CULTURA",IF($AA2311&lt;=0,"DADO PENDENTE",IF($AD2311&gt;LIMITE_CRITICO,"INVIAVEL",IF($AD2311&gt;LIMITE_ATENCAO,"CRITICO",IF($AD2311&gt;LIMITE_CONFORTAVEL,"ATENCAO","OK")))))</f>
        <v>SEM CULTURA</v>
      </c>
      <c r="AF2311" s="8" t="str">
        <f aca="false">$B2311&amp;"|"&amp;TEXT($AD2311,"0.000000")</f>
        <v>62|0.000000</v>
      </c>
      <c r="AG2311" s="18" t="n">
        <f aca="false">IF($K2311="SEM CULTURA",0,$T2311*$H2311)</f>
        <v>0</v>
      </c>
      <c r="AH2311" s="18" t="n">
        <f aca="false">IF($K2311="SEM CULTURA",0,$V2311*$H2311)</f>
        <v>0</v>
      </c>
      <c r="AI2311" s="18" t="n">
        <f aca="false">IF($K2311="SEM CULTURA",0,$W2311*$H2311)</f>
        <v>0</v>
      </c>
      <c r="AJ2311" s="18" t="n">
        <f aca="false">IF($K2311="SEM CULTURA",0,$S2311*$H2311)</f>
        <v>0</v>
      </c>
      <c r="AK2311" s="8" t="str">
        <f aca="false">$E2311&amp;"|"&amp;TEXT($AD2311,"0.000000")</f>
        <v>PV 136|0.000000</v>
      </c>
    </row>
    <row r="2312" customFormat="false" ht="15" hidden="false" customHeight="false" outlineLevel="0" collapsed="false">
      <c r="B2312" s="16" t="n">
        <v>63</v>
      </c>
      <c r="C2312" s="17" t="n">
        <f aca="false">DATA_INICIO_SAFRA+($B2312-1)*DIAS_POR_SEMANA</f>
        <v>46699</v>
      </c>
      <c r="D2312" s="17" t="n">
        <f aca="false">$C2312+DIAS_POR_SEMANA-1</f>
        <v>46705</v>
      </c>
      <c r="E2312" s="15" t="s">
        <v>293</v>
      </c>
      <c r="F2312" s="8" t="str">
        <f aca="false">IFERROR(INDEX(CADASTRO_PIVOS!$C$6:$C$41,MATCH($E2312,CADASTRO_PIVOS!$B$6:$B$41,0)),"?")</f>
        <v>RM08</v>
      </c>
      <c r="G2312" s="8" t="str">
        <f aca="false">IFERROR(INDEX(CADASTRO_PIVOS!$D$6:$D$41,MATCH($E2312,CADASTRO_PIVOS!$B$6:$B$41,0)),"?")</f>
        <v>TR08</v>
      </c>
      <c r="H2312" s="20" t="n">
        <f aca="false">IFERROR(INDEX(CADASTRO_PIVOS!$E$6:$E$41,MATCH($E2312,CADASTRO_PIVOS!$B$6:$B$41,0)),0)</f>
        <v>86</v>
      </c>
      <c r="I2312" s="16" t="n">
        <f aca="false">IFERROR(SUMIFS(ROTACAO_RDM!$B$6:$B$71,ROTACAO_RDM!$D$6:$D$71,$E2312,ROTACAO_RDM!$I$6:$I$71,"&lt;="&amp;$C2312+INT(DIAS_POR_SEMANA/2),ROTACAO_RDM!$J$6:$J$71,"&gt;="&amp;$C2312+INT(DIAS_POR_SEMANA/2)),0)</f>
        <v>0</v>
      </c>
      <c r="J2312" s="16" t="n">
        <f aca="false">IFERROR(MATCH($I2312,ROTACAO_RDM!$B$6:$B$71,0),0)</f>
        <v>0</v>
      </c>
      <c r="K2312" s="8" t="str">
        <f aca="false">IF($J2312=0,"SEM CULTURA",INDEX(ROTACAO_RDM!$F$6:$F$71,$J2312))</f>
        <v>SEM CULTURA</v>
      </c>
      <c r="L2312" s="8" t="str">
        <f aca="false">IF($J2312=0,"",INDEX(ROTACAO_RDM!$G$6:$G$71,$J2312))</f>
        <v/>
      </c>
      <c r="M2312" s="17" t="str">
        <f aca="false">IF($J2312=0,"",INDEX(ROTACAO_RDM!$I$6:$I$71,$J2312))</f>
        <v/>
      </c>
      <c r="N2312" s="16" t="n">
        <f aca="false">IF($J2312=0,0,MAX(0,$C2312+INT(DIAS_POR_SEMANA/2)-INDEX(ROTACAO_RDM!$I$6:$I$71,$J2312)))</f>
        <v>0</v>
      </c>
      <c r="O2312" s="19" t="n">
        <f aca="false">IF($J2312=0,0,MIN(1,$N2312/MAX(1,INDEX(ROTACAO_RDM!$K$6:$K$71,$J2312))))</f>
        <v>0</v>
      </c>
      <c r="P2312" s="16" t="n">
        <f aca="false">IF($J2312=0,0,IFERROR(MATCH(INDEX(ROTACAO_RDM!$N$6:$N$71,$J2312),PARAMETROS_CULTURAS!$B$6:$B$28,0),0))</f>
        <v>0</v>
      </c>
      <c r="Q2312" s="8" t="str">
        <f aca="false">IF($P2312=0,"-",IF($O2312&lt;=INDEX(PARAMETROS_CULTURAS!$F$6:$F$28,$P2312),"INICIAL",IF($O2312&lt;=INDEX(PARAMETROS_CULTURAS!$F$6:$F$28,$P2312)+INDEX(PARAMETROS_CULTURAS!$G$6:$G$28,$P2312),"DESENVOLVIMENTO",IF($O2312&lt;=INDEX(PARAMETROS_CULTURAS!$F$6:$F$28,$P2312)+INDEX(PARAMETROS_CULTURAS!$G$6:$G$28,$P2312)+INDEX(PARAMETROS_CULTURAS!$H$6:$H$28,$P2312),"MEDIA","FINAL"))))</f>
        <v>-</v>
      </c>
      <c r="R2312" s="24" t="n">
        <f aca="false">IF($P2312=0,0,IF($O2312&lt;=INDEX(PARAMETROS_CULTURAS!$F$6:$F$28,$P2312),INDEX(PARAMETROS_CULTURAS!$K$6:$K$28,$P2312),IF($O2312&lt;=INDEX(PARAMETROS_CULTURAS!$F$6:$F$28,$P2312)+INDEX(PARAMETROS_CULTURAS!$G$6:$G$28,$P2312),INDEX(PARAMETROS_CULTURAS!$K$6:$K$28,$P2312)+(INDEX(PARAMETROS_CULTURAS!$L$6:$L$28,$P2312)-INDEX(PARAMETROS_CULTURAS!$K$6:$K$28,$P2312))*($O2312-INDEX(PARAMETROS_CULTURAS!$F$6:$F$28,$P2312))/MAX(INDEX(PARAMETROS_CULTURAS!$G$6:$G$28,$P2312),0.0001),IF($O2312&lt;=INDEX(PARAMETROS_CULTURAS!$F$6:$F$28,$P2312)+INDEX(PARAMETROS_CULTURAS!$G$6:$G$28,$P2312)+INDEX(PARAMETROS_CULTURAS!$H$6:$H$28,$P2312),INDEX(PARAMETROS_CULTURAS!$L$6:$L$28,$P2312),INDEX(PARAMETROS_CULTURAS!$L$6:$L$28,$P2312)+(INDEX(PARAMETROS_CULTURAS!$M$6:$M$28,$P2312)-INDEX(PARAMETROS_CULTURAS!$L$6:$L$28,$P2312))*($O2312-INDEX(PARAMETROS_CULTURAS!$F$6:$F$28,$P2312)-INDEX(PARAMETROS_CULTURAS!$G$6:$G$28,$P2312)-INDEX(PARAMETROS_CULTURAS!$H$6:$H$28,$P2312))/MAX(INDEX(PARAMETROS_CULTURAS!$I$6:$I$28,$P2312),0.0001)))))</f>
        <v>0</v>
      </c>
      <c r="S2312" s="18" t="n">
        <f aca="false">IFERROR(INDEX(SEMANAS!$H$6:$H$71,MATCH($B2312,SEMANAS!$B$6:$B$71,0)),0)</f>
        <v>34.3</v>
      </c>
      <c r="T2312" s="18" t="n">
        <f aca="false">$R2312*$S2312</f>
        <v>0</v>
      </c>
      <c r="U2312" s="18" t="n">
        <f aca="false">IFERROR(INDEX(SEMANAS!$I$6:$I$71,MATCH($B2312,SEMANAS!$B$6:$B$71,0)),0)</f>
        <v>46.69</v>
      </c>
      <c r="V2312" s="18" t="n">
        <f aca="false">IFERROR(INDEX(SEMANAS!$J$6:$J$71,MATCH($B2312,SEMANAS!$B$6:$B$71,0)),0)</f>
        <v>37.352</v>
      </c>
      <c r="W2312" s="18" t="n">
        <f aca="false">MAX(0,$T2312-$V2312)</f>
        <v>0</v>
      </c>
      <c r="X2312" s="19" t="n">
        <f aca="false">IFERROR(INDEX(CADASTRO_PIVOS!$K$6:$K$41,MATCH($E2312,CADASTRO_PIVOS!$B$6:$B$41,0)),EFICIENCIA_PADRAO)</f>
        <v>0.85</v>
      </c>
      <c r="Y2312" s="18" t="n">
        <f aca="false">IF($X2312&lt;=0,0,$W2312/$X2312)</f>
        <v>0</v>
      </c>
      <c r="Z2312" s="16" t="n">
        <f aca="false">$Y2312*$H2312*MM_PARA_M3_HA</f>
        <v>0</v>
      </c>
      <c r="AA2312" s="18" t="n">
        <f aca="false">IFERROR(INDEX(CADASTRO_PIVOS!$I$6:$I$41,MATCH($E2312,CADASTRO_PIVOS!$B$6:$B$41,0)),0)</f>
        <v>614.285714285714</v>
      </c>
      <c r="AB2312" s="18" t="n">
        <f aca="false">IF($Z2312&lt;=0,0,$Z2312/$AA2312)</f>
        <v>0</v>
      </c>
      <c r="AC2312" s="16" t="n">
        <f aca="false">IFERROR(INDEX(SEMANAS!$K$6:$K$71,MATCH($B2312,SEMANAS!$B$6:$B$71,0)),0)</f>
        <v>147</v>
      </c>
      <c r="AD2312" s="19" t="n">
        <f aca="false">IF($AC2312&lt;=0,0,$AB2312/$AC2312)</f>
        <v>0</v>
      </c>
      <c r="AE2312" s="8" t="str">
        <f aca="false">IF($K2312="SEM CULTURA","SEM CULTURA",IF($AA2312&lt;=0,"DADO PENDENTE",IF($AD2312&gt;LIMITE_CRITICO,"INVIAVEL",IF($AD2312&gt;LIMITE_ATENCAO,"CRITICO",IF($AD2312&gt;LIMITE_CONFORTAVEL,"ATENCAO","OK")))))</f>
        <v>SEM CULTURA</v>
      </c>
      <c r="AF2312" s="8" t="str">
        <f aca="false">$B2312&amp;"|"&amp;TEXT($AD2312,"0.000000")</f>
        <v>63|0.000000</v>
      </c>
      <c r="AG2312" s="18" t="n">
        <f aca="false">IF($K2312="SEM CULTURA",0,$T2312*$H2312)</f>
        <v>0</v>
      </c>
      <c r="AH2312" s="18" t="n">
        <f aca="false">IF($K2312="SEM CULTURA",0,$V2312*$H2312)</f>
        <v>0</v>
      </c>
      <c r="AI2312" s="18" t="n">
        <f aca="false">IF($K2312="SEM CULTURA",0,$W2312*$H2312)</f>
        <v>0</v>
      </c>
      <c r="AJ2312" s="18" t="n">
        <f aca="false">IF($K2312="SEM CULTURA",0,$S2312*$H2312)</f>
        <v>0</v>
      </c>
      <c r="AK2312" s="8" t="str">
        <f aca="false">$E2312&amp;"|"&amp;TEXT($AD2312,"0.000000")</f>
        <v>PV 136|0.000000</v>
      </c>
    </row>
    <row r="2313" customFormat="false" ht="15" hidden="false" customHeight="false" outlineLevel="0" collapsed="false">
      <c r="B2313" s="16" t="n">
        <v>64</v>
      </c>
      <c r="C2313" s="17" t="n">
        <f aca="false">DATA_INICIO_SAFRA+($B2313-1)*DIAS_POR_SEMANA</f>
        <v>46706</v>
      </c>
      <c r="D2313" s="17" t="n">
        <f aca="false">$C2313+DIAS_POR_SEMANA-1</f>
        <v>46712</v>
      </c>
      <c r="E2313" s="15" t="s">
        <v>293</v>
      </c>
      <c r="F2313" s="8" t="str">
        <f aca="false">IFERROR(INDEX(CADASTRO_PIVOS!$C$6:$C$41,MATCH($E2313,CADASTRO_PIVOS!$B$6:$B$41,0)),"?")</f>
        <v>RM08</v>
      </c>
      <c r="G2313" s="8" t="str">
        <f aca="false">IFERROR(INDEX(CADASTRO_PIVOS!$D$6:$D$41,MATCH($E2313,CADASTRO_PIVOS!$B$6:$B$41,0)),"?")</f>
        <v>TR08</v>
      </c>
      <c r="H2313" s="20" t="n">
        <f aca="false">IFERROR(INDEX(CADASTRO_PIVOS!$E$6:$E$41,MATCH($E2313,CADASTRO_PIVOS!$B$6:$B$41,0)),0)</f>
        <v>86</v>
      </c>
      <c r="I2313" s="16" t="n">
        <f aca="false">IFERROR(SUMIFS(ROTACAO_RDM!$B$6:$B$71,ROTACAO_RDM!$D$6:$D$71,$E2313,ROTACAO_RDM!$I$6:$I$71,"&lt;="&amp;$C2313+INT(DIAS_POR_SEMANA/2),ROTACAO_RDM!$J$6:$J$71,"&gt;="&amp;$C2313+INT(DIAS_POR_SEMANA/2)),0)</f>
        <v>0</v>
      </c>
      <c r="J2313" s="16" t="n">
        <f aca="false">IFERROR(MATCH($I2313,ROTACAO_RDM!$B$6:$B$71,0),0)</f>
        <v>0</v>
      </c>
      <c r="K2313" s="8" t="str">
        <f aca="false">IF($J2313=0,"SEM CULTURA",INDEX(ROTACAO_RDM!$F$6:$F$71,$J2313))</f>
        <v>SEM CULTURA</v>
      </c>
      <c r="L2313" s="8" t="str">
        <f aca="false">IF($J2313=0,"",INDEX(ROTACAO_RDM!$G$6:$G$71,$J2313))</f>
        <v/>
      </c>
      <c r="M2313" s="17" t="str">
        <f aca="false">IF($J2313=0,"",INDEX(ROTACAO_RDM!$I$6:$I$71,$J2313))</f>
        <v/>
      </c>
      <c r="N2313" s="16" t="n">
        <f aca="false">IF($J2313=0,0,MAX(0,$C2313+INT(DIAS_POR_SEMANA/2)-INDEX(ROTACAO_RDM!$I$6:$I$71,$J2313)))</f>
        <v>0</v>
      </c>
      <c r="O2313" s="19" t="n">
        <f aca="false">IF($J2313=0,0,MIN(1,$N2313/MAX(1,INDEX(ROTACAO_RDM!$K$6:$K$71,$J2313))))</f>
        <v>0</v>
      </c>
      <c r="P2313" s="16" t="n">
        <f aca="false">IF($J2313=0,0,IFERROR(MATCH(INDEX(ROTACAO_RDM!$N$6:$N$71,$J2313),PARAMETROS_CULTURAS!$B$6:$B$28,0),0))</f>
        <v>0</v>
      </c>
      <c r="Q2313" s="8" t="str">
        <f aca="false">IF($P2313=0,"-",IF($O2313&lt;=INDEX(PARAMETROS_CULTURAS!$F$6:$F$28,$P2313),"INICIAL",IF($O2313&lt;=INDEX(PARAMETROS_CULTURAS!$F$6:$F$28,$P2313)+INDEX(PARAMETROS_CULTURAS!$G$6:$G$28,$P2313),"DESENVOLVIMENTO",IF($O2313&lt;=INDEX(PARAMETROS_CULTURAS!$F$6:$F$28,$P2313)+INDEX(PARAMETROS_CULTURAS!$G$6:$G$28,$P2313)+INDEX(PARAMETROS_CULTURAS!$H$6:$H$28,$P2313),"MEDIA","FINAL"))))</f>
        <v>-</v>
      </c>
      <c r="R2313" s="24" t="n">
        <f aca="false">IF($P2313=0,0,IF($O2313&lt;=INDEX(PARAMETROS_CULTURAS!$F$6:$F$28,$P2313),INDEX(PARAMETROS_CULTURAS!$K$6:$K$28,$P2313),IF($O2313&lt;=INDEX(PARAMETROS_CULTURAS!$F$6:$F$28,$P2313)+INDEX(PARAMETROS_CULTURAS!$G$6:$G$28,$P2313),INDEX(PARAMETROS_CULTURAS!$K$6:$K$28,$P2313)+(INDEX(PARAMETROS_CULTURAS!$L$6:$L$28,$P2313)-INDEX(PARAMETROS_CULTURAS!$K$6:$K$28,$P2313))*($O2313-INDEX(PARAMETROS_CULTURAS!$F$6:$F$28,$P2313))/MAX(INDEX(PARAMETROS_CULTURAS!$G$6:$G$28,$P2313),0.0001),IF($O2313&lt;=INDEX(PARAMETROS_CULTURAS!$F$6:$F$28,$P2313)+INDEX(PARAMETROS_CULTURAS!$G$6:$G$28,$P2313)+INDEX(PARAMETROS_CULTURAS!$H$6:$H$28,$P2313),INDEX(PARAMETROS_CULTURAS!$L$6:$L$28,$P2313),INDEX(PARAMETROS_CULTURAS!$L$6:$L$28,$P2313)+(INDEX(PARAMETROS_CULTURAS!$M$6:$M$28,$P2313)-INDEX(PARAMETROS_CULTURAS!$L$6:$L$28,$P2313))*($O2313-INDEX(PARAMETROS_CULTURAS!$F$6:$F$28,$P2313)-INDEX(PARAMETROS_CULTURAS!$G$6:$G$28,$P2313)-INDEX(PARAMETROS_CULTURAS!$H$6:$H$28,$P2313))/MAX(INDEX(PARAMETROS_CULTURAS!$I$6:$I$28,$P2313),0.0001)))))</f>
        <v>0</v>
      </c>
      <c r="S2313" s="18" t="n">
        <f aca="false">IFERROR(INDEX(SEMANAS!$H$6:$H$71,MATCH($B2313,SEMANAS!$B$6:$B$71,0)),0)</f>
        <v>34.3</v>
      </c>
      <c r="T2313" s="18" t="n">
        <f aca="false">$R2313*$S2313</f>
        <v>0</v>
      </c>
      <c r="U2313" s="18" t="n">
        <f aca="false">IFERROR(INDEX(SEMANAS!$I$6:$I$71,MATCH($B2313,SEMANAS!$B$6:$B$71,0)),0)</f>
        <v>46.69</v>
      </c>
      <c r="V2313" s="18" t="n">
        <f aca="false">IFERROR(INDEX(SEMANAS!$J$6:$J$71,MATCH($B2313,SEMANAS!$B$6:$B$71,0)),0)</f>
        <v>37.352</v>
      </c>
      <c r="W2313" s="18" t="n">
        <f aca="false">MAX(0,$T2313-$V2313)</f>
        <v>0</v>
      </c>
      <c r="X2313" s="19" t="n">
        <f aca="false">IFERROR(INDEX(CADASTRO_PIVOS!$K$6:$K$41,MATCH($E2313,CADASTRO_PIVOS!$B$6:$B$41,0)),EFICIENCIA_PADRAO)</f>
        <v>0.85</v>
      </c>
      <c r="Y2313" s="18" t="n">
        <f aca="false">IF($X2313&lt;=0,0,$W2313/$X2313)</f>
        <v>0</v>
      </c>
      <c r="Z2313" s="16" t="n">
        <f aca="false">$Y2313*$H2313*MM_PARA_M3_HA</f>
        <v>0</v>
      </c>
      <c r="AA2313" s="18" t="n">
        <f aca="false">IFERROR(INDEX(CADASTRO_PIVOS!$I$6:$I$41,MATCH($E2313,CADASTRO_PIVOS!$B$6:$B$41,0)),0)</f>
        <v>614.285714285714</v>
      </c>
      <c r="AB2313" s="18" t="n">
        <f aca="false">IF($Z2313&lt;=0,0,$Z2313/$AA2313)</f>
        <v>0</v>
      </c>
      <c r="AC2313" s="16" t="n">
        <f aca="false">IFERROR(INDEX(SEMANAS!$K$6:$K$71,MATCH($B2313,SEMANAS!$B$6:$B$71,0)),0)</f>
        <v>147</v>
      </c>
      <c r="AD2313" s="19" t="n">
        <f aca="false">IF($AC2313&lt;=0,0,$AB2313/$AC2313)</f>
        <v>0</v>
      </c>
      <c r="AE2313" s="8" t="str">
        <f aca="false">IF($K2313="SEM CULTURA","SEM CULTURA",IF($AA2313&lt;=0,"DADO PENDENTE",IF($AD2313&gt;LIMITE_CRITICO,"INVIAVEL",IF($AD2313&gt;LIMITE_ATENCAO,"CRITICO",IF($AD2313&gt;LIMITE_CONFORTAVEL,"ATENCAO","OK")))))</f>
        <v>SEM CULTURA</v>
      </c>
      <c r="AF2313" s="8" t="str">
        <f aca="false">$B2313&amp;"|"&amp;TEXT($AD2313,"0.000000")</f>
        <v>64|0.000000</v>
      </c>
      <c r="AG2313" s="18" t="n">
        <f aca="false">IF($K2313="SEM CULTURA",0,$T2313*$H2313)</f>
        <v>0</v>
      </c>
      <c r="AH2313" s="18" t="n">
        <f aca="false">IF($K2313="SEM CULTURA",0,$V2313*$H2313)</f>
        <v>0</v>
      </c>
      <c r="AI2313" s="18" t="n">
        <f aca="false">IF($K2313="SEM CULTURA",0,$W2313*$H2313)</f>
        <v>0</v>
      </c>
      <c r="AJ2313" s="18" t="n">
        <f aca="false">IF($K2313="SEM CULTURA",0,$S2313*$H2313)</f>
        <v>0</v>
      </c>
      <c r="AK2313" s="8" t="str">
        <f aca="false">$E2313&amp;"|"&amp;TEXT($AD2313,"0.000000")</f>
        <v>PV 136|0.000000</v>
      </c>
    </row>
    <row r="2314" customFormat="false" ht="15" hidden="false" customHeight="false" outlineLevel="0" collapsed="false">
      <c r="B2314" s="16" t="n">
        <v>65</v>
      </c>
      <c r="C2314" s="17" t="n">
        <f aca="false">DATA_INICIO_SAFRA+($B2314-1)*DIAS_POR_SEMANA</f>
        <v>46713</v>
      </c>
      <c r="D2314" s="17" t="n">
        <f aca="false">$C2314+DIAS_POR_SEMANA-1</f>
        <v>46719</v>
      </c>
      <c r="E2314" s="15" t="s">
        <v>293</v>
      </c>
      <c r="F2314" s="8" t="str">
        <f aca="false">IFERROR(INDEX(CADASTRO_PIVOS!$C$6:$C$41,MATCH($E2314,CADASTRO_PIVOS!$B$6:$B$41,0)),"?")</f>
        <v>RM08</v>
      </c>
      <c r="G2314" s="8" t="str">
        <f aca="false">IFERROR(INDEX(CADASTRO_PIVOS!$D$6:$D$41,MATCH($E2314,CADASTRO_PIVOS!$B$6:$B$41,0)),"?")</f>
        <v>TR08</v>
      </c>
      <c r="H2314" s="20" t="n">
        <f aca="false">IFERROR(INDEX(CADASTRO_PIVOS!$E$6:$E$41,MATCH($E2314,CADASTRO_PIVOS!$B$6:$B$41,0)),0)</f>
        <v>86</v>
      </c>
      <c r="I2314" s="16" t="n">
        <f aca="false">IFERROR(SUMIFS(ROTACAO_RDM!$B$6:$B$71,ROTACAO_RDM!$D$6:$D$71,$E2314,ROTACAO_RDM!$I$6:$I$71,"&lt;="&amp;$C2314+INT(DIAS_POR_SEMANA/2),ROTACAO_RDM!$J$6:$J$71,"&gt;="&amp;$C2314+INT(DIAS_POR_SEMANA/2)),0)</f>
        <v>0</v>
      </c>
      <c r="J2314" s="16" t="n">
        <f aca="false">IFERROR(MATCH($I2314,ROTACAO_RDM!$B$6:$B$71,0),0)</f>
        <v>0</v>
      </c>
      <c r="K2314" s="8" t="str">
        <f aca="false">IF($J2314=0,"SEM CULTURA",INDEX(ROTACAO_RDM!$F$6:$F$71,$J2314))</f>
        <v>SEM CULTURA</v>
      </c>
      <c r="L2314" s="8" t="str">
        <f aca="false">IF($J2314=0,"",INDEX(ROTACAO_RDM!$G$6:$G$71,$J2314))</f>
        <v/>
      </c>
      <c r="M2314" s="17" t="str">
        <f aca="false">IF($J2314=0,"",INDEX(ROTACAO_RDM!$I$6:$I$71,$J2314))</f>
        <v/>
      </c>
      <c r="N2314" s="16" t="n">
        <f aca="false">IF($J2314=0,0,MAX(0,$C2314+INT(DIAS_POR_SEMANA/2)-INDEX(ROTACAO_RDM!$I$6:$I$71,$J2314)))</f>
        <v>0</v>
      </c>
      <c r="O2314" s="19" t="n">
        <f aca="false">IF($J2314=0,0,MIN(1,$N2314/MAX(1,INDEX(ROTACAO_RDM!$K$6:$K$71,$J2314))))</f>
        <v>0</v>
      </c>
      <c r="P2314" s="16" t="n">
        <f aca="false">IF($J2314=0,0,IFERROR(MATCH(INDEX(ROTACAO_RDM!$N$6:$N$71,$J2314),PARAMETROS_CULTURAS!$B$6:$B$28,0),0))</f>
        <v>0</v>
      </c>
      <c r="Q2314" s="8" t="str">
        <f aca="false">IF($P2314=0,"-",IF($O2314&lt;=INDEX(PARAMETROS_CULTURAS!$F$6:$F$28,$P2314),"INICIAL",IF($O2314&lt;=INDEX(PARAMETROS_CULTURAS!$F$6:$F$28,$P2314)+INDEX(PARAMETROS_CULTURAS!$G$6:$G$28,$P2314),"DESENVOLVIMENTO",IF($O2314&lt;=INDEX(PARAMETROS_CULTURAS!$F$6:$F$28,$P2314)+INDEX(PARAMETROS_CULTURAS!$G$6:$G$28,$P2314)+INDEX(PARAMETROS_CULTURAS!$H$6:$H$28,$P2314),"MEDIA","FINAL"))))</f>
        <v>-</v>
      </c>
      <c r="R2314" s="24" t="n">
        <f aca="false">IF($P2314=0,0,IF($O2314&lt;=INDEX(PARAMETROS_CULTURAS!$F$6:$F$28,$P2314),INDEX(PARAMETROS_CULTURAS!$K$6:$K$28,$P2314),IF($O2314&lt;=INDEX(PARAMETROS_CULTURAS!$F$6:$F$28,$P2314)+INDEX(PARAMETROS_CULTURAS!$G$6:$G$28,$P2314),INDEX(PARAMETROS_CULTURAS!$K$6:$K$28,$P2314)+(INDEX(PARAMETROS_CULTURAS!$L$6:$L$28,$P2314)-INDEX(PARAMETROS_CULTURAS!$K$6:$K$28,$P2314))*($O2314-INDEX(PARAMETROS_CULTURAS!$F$6:$F$28,$P2314))/MAX(INDEX(PARAMETROS_CULTURAS!$G$6:$G$28,$P2314),0.0001),IF($O2314&lt;=INDEX(PARAMETROS_CULTURAS!$F$6:$F$28,$P2314)+INDEX(PARAMETROS_CULTURAS!$G$6:$G$28,$P2314)+INDEX(PARAMETROS_CULTURAS!$H$6:$H$28,$P2314),INDEX(PARAMETROS_CULTURAS!$L$6:$L$28,$P2314),INDEX(PARAMETROS_CULTURAS!$L$6:$L$28,$P2314)+(INDEX(PARAMETROS_CULTURAS!$M$6:$M$28,$P2314)-INDEX(PARAMETROS_CULTURAS!$L$6:$L$28,$P2314))*($O2314-INDEX(PARAMETROS_CULTURAS!$F$6:$F$28,$P2314)-INDEX(PARAMETROS_CULTURAS!$G$6:$G$28,$P2314)-INDEX(PARAMETROS_CULTURAS!$H$6:$H$28,$P2314))/MAX(INDEX(PARAMETROS_CULTURAS!$I$6:$I$28,$P2314),0.0001)))))</f>
        <v>0</v>
      </c>
      <c r="S2314" s="18" t="n">
        <f aca="false">IFERROR(INDEX(SEMANAS!$H$6:$H$71,MATCH($B2314,SEMANAS!$B$6:$B$71,0)),0)</f>
        <v>34.3</v>
      </c>
      <c r="T2314" s="18" t="n">
        <f aca="false">$R2314*$S2314</f>
        <v>0</v>
      </c>
      <c r="U2314" s="18" t="n">
        <f aca="false">IFERROR(INDEX(SEMANAS!$I$6:$I$71,MATCH($B2314,SEMANAS!$B$6:$B$71,0)),0)</f>
        <v>46.69</v>
      </c>
      <c r="V2314" s="18" t="n">
        <f aca="false">IFERROR(INDEX(SEMANAS!$J$6:$J$71,MATCH($B2314,SEMANAS!$B$6:$B$71,0)),0)</f>
        <v>37.352</v>
      </c>
      <c r="W2314" s="18" t="n">
        <f aca="false">MAX(0,$T2314-$V2314)</f>
        <v>0</v>
      </c>
      <c r="X2314" s="19" t="n">
        <f aca="false">IFERROR(INDEX(CADASTRO_PIVOS!$K$6:$K$41,MATCH($E2314,CADASTRO_PIVOS!$B$6:$B$41,0)),EFICIENCIA_PADRAO)</f>
        <v>0.85</v>
      </c>
      <c r="Y2314" s="18" t="n">
        <f aca="false">IF($X2314&lt;=0,0,$W2314/$X2314)</f>
        <v>0</v>
      </c>
      <c r="Z2314" s="16" t="n">
        <f aca="false">$Y2314*$H2314*MM_PARA_M3_HA</f>
        <v>0</v>
      </c>
      <c r="AA2314" s="18" t="n">
        <f aca="false">IFERROR(INDEX(CADASTRO_PIVOS!$I$6:$I$41,MATCH($E2314,CADASTRO_PIVOS!$B$6:$B$41,0)),0)</f>
        <v>614.285714285714</v>
      </c>
      <c r="AB2314" s="18" t="n">
        <f aca="false">IF($Z2314&lt;=0,0,$Z2314/$AA2314)</f>
        <v>0</v>
      </c>
      <c r="AC2314" s="16" t="n">
        <f aca="false">IFERROR(INDEX(SEMANAS!$K$6:$K$71,MATCH($B2314,SEMANAS!$B$6:$B$71,0)),0)</f>
        <v>147</v>
      </c>
      <c r="AD2314" s="19" t="n">
        <f aca="false">IF($AC2314&lt;=0,0,$AB2314/$AC2314)</f>
        <v>0</v>
      </c>
      <c r="AE2314" s="8" t="str">
        <f aca="false">IF($K2314="SEM CULTURA","SEM CULTURA",IF($AA2314&lt;=0,"DADO PENDENTE",IF($AD2314&gt;LIMITE_CRITICO,"INVIAVEL",IF($AD2314&gt;LIMITE_ATENCAO,"CRITICO",IF($AD2314&gt;LIMITE_CONFORTAVEL,"ATENCAO","OK")))))</f>
        <v>SEM CULTURA</v>
      </c>
      <c r="AF2314" s="8" t="str">
        <f aca="false">$B2314&amp;"|"&amp;TEXT($AD2314,"0.000000")</f>
        <v>65|0.000000</v>
      </c>
      <c r="AG2314" s="18" t="n">
        <f aca="false">IF($K2314="SEM CULTURA",0,$T2314*$H2314)</f>
        <v>0</v>
      </c>
      <c r="AH2314" s="18" t="n">
        <f aca="false">IF($K2314="SEM CULTURA",0,$V2314*$H2314)</f>
        <v>0</v>
      </c>
      <c r="AI2314" s="18" t="n">
        <f aca="false">IF($K2314="SEM CULTURA",0,$W2314*$H2314)</f>
        <v>0</v>
      </c>
      <c r="AJ2314" s="18" t="n">
        <f aca="false">IF($K2314="SEM CULTURA",0,$S2314*$H2314)</f>
        <v>0</v>
      </c>
      <c r="AK2314" s="8" t="str">
        <f aca="false">$E2314&amp;"|"&amp;TEXT($AD2314,"0.000000")</f>
        <v>PV 136|0.000000</v>
      </c>
    </row>
    <row r="2315" customFormat="false" ht="15" hidden="false" customHeight="false" outlineLevel="0" collapsed="false">
      <c r="B2315" s="16" t="n">
        <v>66</v>
      </c>
      <c r="C2315" s="17" t="n">
        <f aca="false">DATA_INICIO_SAFRA+($B2315-1)*DIAS_POR_SEMANA</f>
        <v>46720</v>
      </c>
      <c r="D2315" s="17" t="n">
        <f aca="false">$C2315+DIAS_POR_SEMANA-1</f>
        <v>46726</v>
      </c>
      <c r="E2315" s="15" t="s">
        <v>293</v>
      </c>
      <c r="F2315" s="8" t="str">
        <f aca="false">IFERROR(INDEX(CADASTRO_PIVOS!$C$6:$C$41,MATCH($E2315,CADASTRO_PIVOS!$B$6:$B$41,0)),"?")</f>
        <v>RM08</v>
      </c>
      <c r="G2315" s="8" t="str">
        <f aca="false">IFERROR(INDEX(CADASTRO_PIVOS!$D$6:$D$41,MATCH($E2315,CADASTRO_PIVOS!$B$6:$B$41,0)),"?")</f>
        <v>TR08</v>
      </c>
      <c r="H2315" s="20" t="n">
        <f aca="false">IFERROR(INDEX(CADASTRO_PIVOS!$E$6:$E$41,MATCH($E2315,CADASTRO_PIVOS!$B$6:$B$41,0)),0)</f>
        <v>86</v>
      </c>
      <c r="I2315" s="16" t="n">
        <f aca="false">IFERROR(SUMIFS(ROTACAO_RDM!$B$6:$B$71,ROTACAO_RDM!$D$6:$D$71,$E2315,ROTACAO_RDM!$I$6:$I$71,"&lt;="&amp;$C2315+INT(DIAS_POR_SEMANA/2),ROTACAO_RDM!$J$6:$J$71,"&gt;="&amp;$C2315+INT(DIAS_POR_SEMANA/2)),0)</f>
        <v>0</v>
      </c>
      <c r="J2315" s="16" t="n">
        <f aca="false">IFERROR(MATCH($I2315,ROTACAO_RDM!$B$6:$B$71,0),0)</f>
        <v>0</v>
      </c>
      <c r="K2315" s="8" t="str">
        <f aca="false">IF($J2315=0,"SEM CULTURA",INDEX(ROTACAO_RDM!$F$6:$F$71,$J2315))</f>
        <v>SEM CULTURA</v>
      </c>
      <c r="L2315" s="8" t="str">
        <f aca="false">IF($J2315=0,"",INDEX(ROTACAO_RDM!$G$6:$G$71,$J2315))</f>
        <v/>
      </c>
      <c r="M2315" s="17" t="str">
        <f aca="false">IF($J2315=0,"",INDEX(ROTACAO_RDM!$I$6:$I$71,$J2315))</f>
        <v/>
      </c>
      <c r="N2315" s="16" t="n">
        <f aca="false">IF($J2315=0,0,MAX(0,$C2315+INT(DIAS_POR_SEMANA/2)-INDEX(ROTACAO_RDM!$I$6:$I$71,$J2315)))</f>
        <v>0</v>
      </c>
      <c r="O2315" s="19" t="n">
        <f aca="false">IF($J2315=0,0,MIN(1,$N2315/MAX(1,INDEX(ROTACAO_RDM!$K$6:$K$71,$J2315))))</f>
        <v>0</v>
      </c>
      <c r="P2315" s="16" t="n">
        <f aca="false">IF($J2315=0,0,IFERROR(MATCH(INDEX(ROTACAO_RDM!$N$6:$N$71,$J2315),PARAMETROS_CULTURAS!$B$6:$B$28,0),0))</f>
        <v>0</v>
      </c>
      <c r="Q2315" s="8" t="str">
        <f aca="false">IF($P2315=0,"-",IF($O2315&lt;=INDEX(PARAMETROS_CULTURAS!$F$6:$F$28,$P2315),"INICIAL",IF($O2315&lt;=INDEX(PARAMETROS_CULTURAS!$F$6:$F$28,$P2315)+INDEX(PARAMETROS_CULTURAS!$G$6:$G$28,$P2315),"DESENVOLVIMENTO",IF($O2315&lt;=INDEX(PARAMETROS_CULTURAS!$F$6:$F$28,$P2315)+INDEX(PARAMETROS_CULTURAS!$G$6:$G$28,$P2315)+INDEX(PARAMETROS_CULTURAS!$H$6:$H$28,$P2315),"MEDIA","FINAL"))))</f>
        <v>-</v>
      </c>
      <c r="R2315" s="24" t="n">
        <f aca="false">IF($P2315=0,0,IF($O2315&lt;=INDEX(PARAMETROS_CULTURAS!$F$6:$F$28,$P2315),INDEX(PARAMETROS_CULTURAS!$K$6:$K$28,$P2315),IF($O2315&lt;=INDEX(PARAMETROS_CULTURAS!$F$6:$F$28,$P2315)+INDEX(PARAMETROS_CULTURAS!$G$6:$G$28,$P2315),INDEX(PARAMETROS_CULTURAS!$K$6:$K$28,$P2315)+(INDEX(PARAMETROS_CULTURAS!$L$6:$L$28,$P2315)-INDEX(PARAMETROS_CULTURAS!$K$6:$K$28,$P2315))*($O2315-INDEX(PARAMETROS_CULTURAS!$F$6:$F$28,$P2315))/MAX(INDEX(PARAMETROS_CULTURAS!$G$6:$G$28,$P2315),0.0001),IF($O2315&lt;=INDEX(PARAMETROS_CULTURAS!$F$6:$F$28,$P2315)+INDEX(PARAMETROS_CULTURAS!$G$6:$G$28,$P2315)+INDEX(PARAMETROS_CULTURAS!$H$6:$H$28,$P2315),INDEX(PARAMETROS_CULTURAS!$L$6:$L$28,$P2315),INDEX(PARAMETROS_CULTURAS!$L$6:$L$28,$P2315)+(INDEX(PARAMETROS_CULTURAS!$M$6:$M$28,$P2315)-INDEX(PARAMETROS_CULTURAS!$L$6:$L$28,$P2315))*($O2315-INDEX(PARAMETROS_CULTURAS!$F$6:$F$28,$P2315)-INDEX(PARAMETROS_CULTURAS!$G$6:$G$28,$P2315)-INDEX(PARAMETROS_CULTURAS!$H$6:$H$28,$P2315))/MAX(INDEX(PARAMETROS_CULTURAS!$I$6:$I$28,$P2315),0.0001)))))</f>
        <v>0</v>
      </c>
      <c r="S2315" s="18" t="n">
        <f aca="false">IFERROR(INDEX(SEMANAS!$H$6:$H$71,MATCH($B2315,SEMANAS!$B$6:$B$71,0)),0)</f>
        <v>33.3</v>
      </c>
      <c r="T2315" s="18" t="n">
        <f aca="false">$R2315*$S2315</f>
        <v>0</v>
      </c>
      <c r="U2315" s="18" t="n">
        <f aca="false">IFERROR(INDEX(SEMANAS!$I$6:$I$71,MATCH($B2315,SEMANAS!$B$6:$B$71,0)),0)</f>
        <v>48.04</v>
      </c>
      <c r="V2315" s="18" t="n">
        <f aca="false">IFERROR(INDEX(SEMANAS!$J$6:$J$71,MATCH($B2315,SEMANAS!$B$6:$B$71,0)),0)</f>
        <v>38.432</v>
      </c>
      <c r="W2315" s="18" t="n">
        <f aca="false">MAX(0,$T2315-$V2315)</f>
        <v>0</v>
      </c>
      <c r="X2315" s="19" t="n">
        <f aca="false">IFERROR(INDEX(CADASTRO_PIVOS!$K$6:$K$41,MATCH($E2315,CADASTRO_PIVOS!$B$6:$B$41,0)),EFICIENCIA_PADRAO)</f>
        <v>0.85</v>
      </c>
      <c r="Y2315" s="18" t="n">
        <f aca="false">IF($X2315&lt;=0,0,$W2315/$X2315)</f>
        <v>0</v>
      </c>
      <c r="Z2315" s="16" t="n">
        <f aca="false">$Y2315*$H2315*MM_PARA_M3_HA</f>
        <v>0</v>
      </c>
      <c r="AA2315" s="18" t="n">
        <f aca="false">IFERROR(INDEX(CADASTRO_PIVOS!$I$6:$I$41,MATCH($E2315,CADASTRO_PIVOS!$B$6:$B$41,0)),0)</f>
        <v>614.285714285714</v>
      </c>
      <c r="AB2315" s="18" t="n">
        <f aca="false">IF($Z2315&lt;=0,0,$Z2315/$AA2315)</f>
        <v>0</v>
      </c>
      <c r="AC2315" s="16" t="n">
        <f aca="false">IFERROR(INDEX(SEMANAS!$K$6:$K$71,MATCH($B2315,SEMANAS!$B$6:$B$71,0)),0)</f>
        <v>147</v>
      </c>
      <c r="AD2315" s="19" t="n">
        <f aca="false">IF($AC2315&lt;=0,0,$AB2315/$AC2315)</f>
        <v>0</v>
      </c>
      <c r="AE2315" s="8" t="str">
        <f aca="false">IF($K2315="SEM CULTURA","SEM CULTURA",IF($AA2315&lt;=0,"DADO PENDENTE",IF($AD2315&gt;LIMITE_CRITICO,"INVIAVEL",IF($AD2315&gt;LIMITE_ATENCAO,"CRITICO",IF($AD2315&gt;LIMITE_CONFORTAVEL,"ATENCAO","OK")))))</f>
        <v>SEM CULTURA</v>
      </c>
      <c r="AF2315" s="8" t="str">
        <f aca="false">$B2315&amp;"|"&amp;TEXT($AD2315,"0.000000")</f>
        <v>66|0.000000</v>
      </c>
      <c r="AG2315" s="18" t="n">
        <f aca="false">IF($K2315="SEM CULTURA",0,$T2315*$H2315)</f>
        <v>0</v>
      </c>
      <c r="AH2315" s="18" t="n">
        <f aca="false">IF($K2315="SEM CULTURA",0,$V2315*$H2315)</f>
        <v>0</v>
      </c>
      <c r="AI2315" s="18" t="n">
        <f aca="false">IF($K2315="SEM CULTURA",0,$W2315*$H2315)</f>
        <v>0</v>
      </c>
      <c r="AJ2315" s="18" t="n">
        <f aca="false">IF($K2315="SEM CULTURA",0,$S2315*$H2315)</f>
        <v>0</v>
      </c>
      <c r="AK2315" s="8" t="str">
        <f aca="false">$E2315&amp;"|"&amp;TEXT($AD2315,"0.000000")</f>
        <v>PV 136|0.000000</v>
      </c>
    </row>
    <row r="2316" customFormat="false" ht="15" hidden="false" customHeight="false" outlineLevel="0" collapsed="false">
      <c r="B2316" s="16" t="n">
        <v>1</v>
      </c>
      <c r="C2316" s="17" t="n">
        <f aca="false">DATA_INICIO_SAFRA+($B2316-1)*DIAS_POR_SEMANA</f>
        <v>46265</v>
      </c>
      <c r="D2316" s="17" t="n">
        <f aca="false">$C2316+DIAS_POR_SEMANA-1</f>
        <v>46271</v>
      </c>
      <c r="E2316" s="15" t="s">
        <v>294</v>
      </c>
      <c r="F2316" s="8" t="str">
        <f aca="false">IFERROR(INDEX(CADASTRO_PIVOS!$C$6:$C$41,MATCH($E2316,CADASTRO_PIVOS!$B$6:$B$41,0)),"?")</f>
        <v>RM08</v>
      </c>
      <c r="G2316" s="8" t="str">
        <f aca="false">IFERROR(INDEX(CADASTRO_PIVOS!$D$6:$D$41,MATCH($E2316,CADASTRO_PIVOS!$B$6:$B$41,0)),"?")</f>
        <v>TR08</v>
      </c>
      <c r="H2316" s="20" t="n">
        <f aca="false">IFERROR(INDEX(CADASTRO_PIVOS!$E$6:$E$41,MATCH($E2316,CADASTRO_PIVOS!$B$6:$B$41,0)),0)</f>
        <v>150</v>
      </c>
      <c r="I2316" s="16" t="n">
        <f aca="false">IFERROR(SUMIFS(ROTACAO_RDM!$B$6:$B$71,ROTACAO_RDM!$D$6:$D$71,$E2316,ROTACAO_RDM!$I$6:$I$71,"&lt;="&amp;$C2316+INT(DIAS_POR_SEMANA/2),ROTACAO_RDM!$J$6:$J$71,"&gt;="&amp;$C2316+INT(DIAS_POR_SEMANA/2)),0)</f>
        <v>0</v>
      </c>
      <c r="J2316" s="16" t="n">
        <f aca="false">IFERROR(MATCH($I2316,ROTACAO_RDM!$B$6:$B$71,0),0)</f>
        <v>0</v>
      </c>
      <c r="K2316" s="8" t="str">
        <f aca="false">IF($J2316=0,"SEM CULTURA",INDEX(ROTACAO_RDM!$F$6:$F$71,$J2316))</f>
        <v>SEM CULTURA</v>
      </c>
      <c r="L2316" s="8" t="str">
        <f aca="false">IF($J2316=0,"",INDEX(ROTACAO_RDM!$G$6:$G$71,$J2316))</f>
        <v/>
      </c>
      <c r="M2316" s="17" t="str">
        <f aca="false">IF($J2316=0,"",INDEX(ROTACAO_RDM!$I$6:$I$71,$J2316))</f>
        <v/>
      </c>
      <c r="N2316" s="16" t="n">
        <f aca="false">IF($J2316=0,0,MAX(0,$C2316+INT(DIAS_POR_SEMANA/2)-INDEX(ROTACAO_RDM!$I$6:$I$71,$J2316)))</f>
        <v>0</v>
      </c>
      <c r="O2316" s="19" t="n">
        <f aca="false">IF($J2316=0,0,MIN(1,$N2316/MAX(1,INDEX(ROTACAO_RDM!$K$6:$K$71,$J2316))))</f>
        <v>0</v>
      </c>
      <c r="P2316" s="16" t="n">
        <f aca="false">IF($J2316=0,0,IFERROR(MATCH(INDEX(ROTACAO_RDM!$N$6:$N$71,$J2316),PARAMETROS_CULTURAS!$B$6:$B$28,0),0))</f>
        <v>0</v>
      </c>
      <c r="Q2316" s="8" t="str">
        <f aca="false">IF($P2316=0,"-",IF($O2316&lt;=INDEX(PARAMETROS_CULTURAS!$F$6:$F$28,$P2316),"INICIAL",IF($O2316&lt;=INDEX(PARAMETROS_CULTURAS!$F$6:$F$28,$P2316)+INDEX(PARAMETROS_CULTURAS!$G$6:$G$28,$P2316),"DESENVOLVIMENTO",IF($O2316&lt;=INDEX(PARAMETROS_CULTURAS!$F$6:$F$28,$P2316)+INDEX(PARAMETROS_CULTURAS!$G$6:$G$28,$P2316)+INDEX(PARAMETROS_CULTURAS!$H$6:$H$28,$P2316),"MEDIA","FINAL"))))</f>
        <v>-</v>
      </c>
      <c r="R2316" s="24" t="n">
        <f aca="false">IF($P2316=0,0,IF($O2316&lt;=INDEX(PARAMETROS_CULTURAS!$F$6:$F$28,$P2316),INDEX(PARAMETROS_CULTURAS!$K$6:$K$28,$P2316),IF($O2316&lt;=INDEX(PARAMETROS_CULTURAS!$F$6:$F$28,$P2316)+INDEX(PARAMETROS_CULTURAS!$G$6:$G$28,$P2316),INDEX(PARAMETROS_CULTURAS!$K$6:$K$28,$P2316)+(INDEX(PARAMETROS_CULTURAS!$L$6:$L$28,$P2316)-INDEX(PARAMETROS_CULTURAS!$K$6:$K$28,$P2316))*($O2316-INDEX(PARAMETROS_CULTURAS!$F$6:$F$28,$P2316))/MAX(INDEX(PARAMETROS_CULTURAS!$G$6:$G$28,$P2316),0.0001),IF($O2316&lt;=INDEX(PARAMETROS_CULTURAS!$F$6:$F$28,$P2316)+INDEX(PARAMETROS_CULTURAS!$G$6:$G$28,$P2316)+INDEX(PARAMETROS_CULTURAS!$H$6:$H$28,$P2316),INDEX(PARAMETROS_CULTURAS!$L$6:$L$28,$P2316),INDEX(PARAMETROS_CULTURAS!$L$6:$L$28,$P2316)+(INDEX(PARAMETROS_CULTURAS!$M$6:$M$28,$P2316)-INDEX(PARAMETROS_CULTURAS!$L$6:$L$28,$P2316))*($O2316-INDEX(PARAMETROS_CULTURAS!$F$6:$F$28,$P2316)-INDEX(PARAMETROS_CULTURAS!$G$6:$G$28,$P2316)-INDEX(PARAMETROS_CULTURAS!$H$6:$H$28,$P2316))/MAX(INDEX(PARAMETROS_CULTURAS!$I$6:$I$28,$P2316),0.0001)))))</f>
        <v>0</v>
      </c>
      <c r="S2316" s="18" t="n">
        <f aca="false">IFERROR(INDEX(SEMANAS!$H$6:$H$71,MATCH($B2316,SEMANAS!$B$6:$B$71,0)),0)</f>
        <v>40</v>
      </c>
      <c r="T2316" s="18" t="n">
        <f aca="false">$R2316*$S2316</f>
        <v>0</v>
      </c>
      <c r="U2316" s="18" t="n">
        <f aca="false">IFERROR(INDEX(SEMANAS!$I$6:$I$71,MATCH($B2316,SEMANAS!$B$6:$B$71,0)),0)</f>
        <v>6.16</v>
      </c>
      <c r="V2316" s="18" t="n">
        <f aca="false">IFERROR(INDEX(SEMANAS!$J$6:$J$71,MATCH($B2316,SEMANAS!$B$6:$B$71,0)),0)</f>
        <v>4.928</v>
      </c>
      <c r="W2316" s="18" t="n">
        <f aca="false">MAX(0,$T2316-$V2316)</f>
        <v>0</v>
      </c>
      <c r="X2316" s="19" t="n">
        <f aca="false">IFERROR(INDEX(CADASTRO_PIVOS!$K$6:$K$41,MATCH($E2316,CADASTRO_PIVOS!$B$6:$B$41,0)),EFICIENCIA_PADRAO)</f>
        <v>0.85</v>
      </c>
      <c r="Y2316" s="18" t="n">
        <f aca="false">IF($X2316&lt;=0,0,$W2316/$X2316)</f>
        <v>0</v>
      </c>
      <c r="Z2316" s="16" t="n">
        <f aca="false">$Y2316*$H2316*MM_PARA_M3_HA</f>
        <v>0</v>
      </c>
      <c r="AA2316" s="18" t="n">
        <f aca="false">IFERROR(INDEX(CADASTRO_PIVOS!$I$6:$I$41,MATCH($E2316,CADASTRO_PIVOS!$B$6:$B$41,0)),0)</f>
        <v>1071.42857142857</v>
      </c>
      <c r="AB2316" s="18" t="n">
        <f aca="false">IF($Z2316&lt;=0,0,$Z2316/$AA2316)</f>
        <v>0</v>
      </c>
      <c r="AC2316" s="16" t="n">
        <f aca="false">IFERROR(INDEX(SEMANAS!$K$6:$K$71,MATCH($B2316,SEMANAS!$B$6:$B$71,0)),0)</f>
        <v>147</v>
      </c>
      <c r="AD2316" s="19" t="n">
        <f aca="false">IF($AC2316&lt;=0,0,$AB2316/$AC2316)</f>
        <v>0</v>
      </c>
      <c r="AE2316" s="8" t="str">
        <f aca="false">IF($K2316="SEM CULTURA","SEM CULTURA",IF($AA2316&lt;=0,"DADO PENDENTE",IF($AD2316&gt;LIMITE_CRITICO,"INVIAVEL",IF($AD2316&gt;LIMITE_ATENCAO,"CRITICO",IF($AD2316&gt;LIMITE_CONFORTAVEL,"ATENCAO","OK")))))</f>
        <v>SEM CULTURA</v>
      </c>
      <c r="AF2316" s="8" t="str">
        <f aca="false">$B2316&amp;"|"&amp;TEXT($AD2316,"0.000000")</f>
        <v>1|0.000000</v>
      </c>
      <c r="AG2316" s="18" t="n">
        <f aca="false">IF($K2316="SEM CULTURA",0,$T2316*$H2316)</f>
        <v>0</v>
      </c>
      <c r="AH2316" s="18" t="n">
        <f aca="false">IF($K2316="SEM CULTURA",0,$V2316*$H2316)</f>
        <v>0</v>
      </c>
      <c r="AI2316" s="18" t="n">
        <f aca="false">IF($K2316="SEM CULTURA",0,$W2316*$H2316)</f>
        <v>0</v>
      </c>
      <c r="AJ2316" s="18" t="n">
        <f aca="false">IF($K2316="SEM CULTURA",0,$S2316*$H2316)</f>
        <v>0</v>
      </c>
      <c r="AK2316" s="8" t="str">
        <f aca="false">$E2316&amp;"|"&amp;TEXT($AD2316,"0.000000")</f>
        <v>PV 137|0.000000</v>
      </c>
    </row>
    <row r="2317" customFormat="false" ht="15" hidden="false" customHeight="false" outlineLevel="0" collapsed="false">
      <c r="B2317" s="16" t="n">
        <v>2</v>
      </c>
      <c r="C2317" s="17" t="n">
        <f aca="false">DATA_INICIO_SAFRA+($B2317-1)*DIAS_POR_SEMANA</f>
        <v>46272</v>
      </c>
      <c r="D2317" s="17" t="n">
        <f aca="false">$C2317+DIAS_POR_SEMANA-1</f>
        <v>46278</v>
      </c>
      <c r="E2317" s="15" t="s">
        <v>294</v>
      </c>
      <c r="F2317" s="8" t="str">
        <f aca="false">IFERROR(INDEX(CADASTRO_PIVOS!$C$6:$C$41,MATCH($E2317,CADASTRO_PIVOS!$B$6:$B$41,0)),"?")</f>
        <v>RM08</v>
      </c>
      <c r="G2317" s="8" t="str">
        <f aca="false">IFERROR(INDEX(CADASTRO_PIVOS!$D$6:$D$41,MATCH($E2317,CADASTRO_PIVOS!$B$6:$B$41,0)),"?")</f>
        <v>TR08</v>
      </c>
      <c r="H2317" s="20" t="n">
        <f aca="false">IFERROR(INDEX(CADASTRO_PIVOS!$E$6:$E$41,MATCH($E2317,CADASTRO_PIVOS!$B$6:$B$41,0)),0)</f>
        <v>150</v>
      </c>
      <c r="I2317" s="16" t="n">
        <f aca="false">IFERROR(SUMIFS(ROTACAO_RDM!$B$6:$B$71,ROTACAO_RDM!$D$6:$D$71,$E2317,ROTACAO_RDM!$I$6:$I$71,"&lt;="&amp;$C2317+INT(DIAS_POR_SEMANA/2),ROTACAO_RDM!$J$6:$J$71,"&gt;="&amp;$C2317+INT(DIAS_POR_SEMANA/2)),0)</f>
        <v>0</v>
      </c>
      <c r="J2317" s="16" t="n">
        <f aca="false">IFERROR(MATCH($I2317,ROTACAO_RDM!$B$6:$B$71,0),0)</f>
        <v>0</v>
      </c>
      <c r="K2317" s="8" t="str">
        <f aca="false">IF($J2317=0,"SEM CULTURA",INDEX(ROTACAO_RDM!$F$6:$F$71,$J2317))</f>
        <v>SEM CULTURA</v>
      </c>
      <c r="L2317" s="8" t="str">
        <f aca="false">IF($J2317=0,"",INDEX(ROTACAO_RDM!$G$6:$G$71,$J2317))</f>
        <v/>
      </c>
      <c r="M2317" s="17" t="str">
        <f aca="false">IF($J2317=0,"",INDEX(ROTACAO_RDM!$I$6:$I$71,$J2317))</f>
        <v/>
      </c>
      <c r="N2317" s="16" t="n">
        <f aca="false">IF($J2317=0,0,MAX(0,$C2317+INT(DIAS_POR_SEMANA/2)-INDEX(ROTACAO_RDM!$I$6:$I$71,$J2317)))</f>
        <v>0</v>
      </c>
      <c r="O2317" s="19" t="n">
        <f aca="false">IF($J2317=0,0,MIN(1,$N2317/MAX(1,INDEX(ROTACAO_RDM!$K$6:$K$71,$J2317))))</f>
        <v>0</v>
      </c>
      <c r="P2317" s="16" t="n">
        <f aca="false">IF($J2317=0,0,IFERROR(MATCH(INDEX(ROTACAO_RDM!$N$6:$N$71,$J2317),PARAMETROS_CULTURAS!$B$6:$B$28,0),0))</f>
        <v>0</v>
      </c>
      <c r="Q2317" s="8" t="str">
        <f aca="false">IF($P2317=0,"-",IF($O2317&lt;=INDEX(PARAMETROS_CULTURAS!$F$6:$F$28,$P2317),"INICIAL",IF($O2317&lt;=INDEX(PARAMETROS_CULTURAS!$F$6:$F$28,$P2317)+INDEX(PARAMETROS_CULTURAS!$G$6:$G$28,$P2317),"DESENVOLVIMENTO",IF($O2317&lt;=INDEX(PARAMETROS_CULTURAS!$F$6:$F$28,$P2317)+INDEX(PARAMETROS_CULTURAS!$G$6:$G$28,$P2317)+INDEX(PARAMETROS_CULTURAS!$H$6:$H$28,$P2317),"MEDIA","FINAL"))))</f>
        <v>-</v>
      </c>
      <c r="R2317" s="24" t="n">
        <f aca="false">IF($P2317=0,0,IF($O2317&lt;=INDEX(PARAMETROS_CULTURAS!$F$6:$F$28,$P2317),INDEX(PARAMETROS_CULTURAS!$K$6:$K$28,$P2317),IF($O2317&lt;=INDEX(PARAMETROS_CULTURAS!$F$6:$F$28,$P2317)+INDEX(PARAMETROS_CULTURAS!$G$6:$G$28,$P2317),INDEX(PARAMETROS_CULTURAS!$K$6:$K$28,$P2317)+(INDEX(PARAMETROS_CULTURAS!$L$6:$L$28,$P2317)-INDEX(PARAMETROS_CULTURAS!$K$6:$K$28,$P2317))*($O2317-INDEX(PARAMETROS_CULTURAS!$F$6:$F$28,$P2317))/MAX(INDEX(PARAMETROS_CULTURAS!$G$6:$G$28,$P2317),0.0001),IF($O2317&lt;=INDEX(PARAMETROS_CULTURAS!$F$6:$F$28,$P2317)+INDEX(PARAMETROS_CULTURAS!$G$6:$G$28,$P2317)+INDEX(PARAMETROS_CULTURAS!$H$6:$H$28,$P2317),INDEX(PARAMETROS_CULTURAS!$L$6:$L$28,$P2317),INDEX(PARAMETROS_CULTURAS!$L$6:$L$28,$P2317)+(INDEX(PARAMETROS_CULTURAS!$M$6:$M$28,$P2317)-INDEX(PARAMETROS_CULTURAS!$L$6:$L$28,$P2317))*($O2317-INDEX(PARAMETROS_CULTURAS!$F$6:$F$28,$P2317)-INDEX(PARAMETROS_CULTURAS!$G$6:$G$28,$P2317)-INDEX(PARAMETROS_CULTURAS!$H$6:$H$28,$P2317))/MAX(INDEX(PARAMETROS_CULTURAS!$I$6:$I$28,$P2317),0.0001)))))</f>
        <v>0</v>
      </c>
      <c r="S2317" s="18" t="n">
        <f aca="false">IFERROR(INDEX(SEMANAS!$H$6:$H$71,MATCH($B2317,SEMANAS!$B$6:$B$71,0)),0)</f>
        <v>40.6</v>
      </c>
      <c r="T2317" s="18" t="n">
        <f aca="false">$R2317*$S2317</f>
        <v>0</v>
      </c>
      <c r="U2317" s="18" t="n">
        <f aca="false">IFERROR(INDEX(SEMANAS!$I$6:$I$71,MATCH($B2317,SEMANAS!$B$6:$B$71,0)),0)</f>
        <v>7</v>
      </c>
      <c r="V2317" s="18" t="n">
        <f aca="false">IFERROR(INDEX(SEMANAS!$J$6:$J$71,MATCH($B2317,SEMANAS!$B$6:$B$71,0)),0)</f>
        <v>5.6</v>
      </c>
      <c r="W2317" s="18" t="n">
        <f aca="false">MAX(0,$T2317-$V2317)</f>
        <v>0</v>
      </c>
      <c r="X2317" s="19" t="n">
        <f aca="false">IFERROR(INDEX(CADASTRO_PIVOS!$K$6:$K$41,MATCH($E2317,CADASTRO_PIVOS!$B$6:$B$41,0)),EFICIENCIA_PADRAO)</f>
        <v>0.85</v>
      </c>
      <c r="Y2317" s="18" t="n">
        <f aca="false">IF($X2317&lt;=0,0,$W2317/$X2317)</f>
        <v>0</v>
      </c>
      <c r="Z2317" s="16" t="n">
        <f aca="false">$Y2317*$H2317*MM_PARA_M3_HA</f>
        <v>0</v>
      </c>
      <c r="AA2317" s="18" t="n">
        <f aca="false">IFERROR(INDEX(CADASTRO_PIVOS!$I$6:$I$41,MATCH($E2317,CADASTRO_PIVOS!$B$6:$B$41,0)),0)</f>
        <v>1071.42857142857</v>
      </c>
      <c r="AB2317" s="18" t="n">
        <f aca="false">IF($Z2317&lt;=0,0,$Z2317/$AA2317)</f>
        <v>0</v>
      </c>
      <c r="AC2317" s="16" t="n">
        <f aca="false">IFERROR(INDEX(SEMANAS!$K$6:$K$71,MATCH($B2317,SEMANAS!$B$6:$B$71,0)),0)</f>
        <v>147</v>
      </c>
      <c r="AD2317" s="19" t="n">
        <f aca="false">IF($AC2317&lt;=0,0,$AB2317/$AC2317)</f>
        <v>0</v>
      </c>
      <c r="AE2317" s="8" t="str">
        <f aca="false">IF($K2317="SEM CULTURA","SEM CULTURA",IF($AA2317&lt;=0,"DADO PENDENTE",IF($AD2317&gt;LIMITE_CRITICO,"INVIAVEL",IF($AD2317&gt;LIMITE_ATENCAO,"CRITICO",IF($AD2317&gt;LIMITE_CONFORTAVEL,"ATENCAO","OK")))))</f>
        <v>SEM CULTURA</v>
      </c>
      <c r="AF2317" s="8" t="str">
        <f aca="false">$B2317&amp;"|"&amp;TEXT($AD2317,"0.000000")</f>
        <v>2|0.000000</v>
      </c>
      <c r="AG2317" s="18" t="n">
        <f aca="false">IF($K2317="SEM CULTURA",0,$T2317*$H2317)</f>
        <v>0</v>
      </c>
      <c r="AH2317" s="18" t="n">
        <f aca="false">IF($K2317="SEM CULTURA",0,$V2317*$H2317)</f>
        <v>0</v>
      </c>
      <c r="AI2317" s="18" t="n">
        <f aca="false">IF($K2317="SEM CULTURA",0,$W2317*$H2317)</f>
        <v>0</v>
      </c>
      <c r="AJ2317" s="18" t="n">
        <f aca="false">IF($K2317="SEM CULTURA",0,$S2317*$H2317)</f>
        <v>0</v>
      </c>
      <c r="AK2317" s="8" t="str">
        <f aca="false">$E2317&amp;"|"&amp;TEXT($AD2317,"0.000000")</f>
        <v>PV 137|0.000000</v>
      </c>
    </row>
    <row r="2318" customFormat="false" ht="15" hidden="false" customHeight="false" outlineLevel="0" collapsed="false">
      <c r="B2318" s="16" t="n">
        <v>3</v>
      </c>
      <c r="C2318" s="17" t="n">
        <f aca="false">DATA_INICIO_SAFRA+($B2318-1)*DIAS_POR_SEMANA</f>
        <v>46279</v>
      </c>
      <c r="D2318" s="17" t="n">
        <f aca="false">$C2318+DIAS_POR_SEMANA-1</f>
        <v>46285</v>
      </c>
      <c r="E2318" s="15" t="s">
        <v>294</v>
      </c>
      <c r="F2318" s="8" t="str">
        <f aca="false">IFERROR(INDEX(CADASTRO_PIVOS!$C$6:$C$41,MATCH($E2318,CADASTRO_PIVOS!$B$6:$B$41,0)),"?")</f>
        <v>RM08</v>
      </c>
      <c r="G2318" s="8" t="str">
        <f aca="false">IFERROR(INDEX(CADASTRO_PIVOS!$D$6:$D$41,MATCH($E2318,CADASTRO_PIVOS!$B$6:$B$41,0)),"?")</f>
        <v>TR08</v>
      </c>
      <c r="H2318" s="20" t="n">
        <f aca="false">IFERROR(INDEX(CADASTRO_PIVOS!$E$6:$E$41,MATCH($E2318,CADASTRO_PIVOS!$B$6:$B$41,0)),0)</f>
        <v>150</v>
      </c>
      <c r="I2318" s="16" t="n">
        <f aca="false">IFERROR(SUMIFS(ROTACAO_RDM!$B$6:$B$71,ROTACAO_RDM!$D$6:$D$71,$E2318,ROTACAO_RDM!$I$6:$I$71,"&lt;="&amp;$C2318+INT(DIAS_POR_SEMANA/2),ROTACAO_RDM!$J$6:$J$71,"&gt;="&amp;$C2318+INT(DIAS_POR_SEMANA/2)),0)</f>
        <v>0</v>
      </c>
      <c r="J2318" s="16" t="n">
        <f aca="false">IFERROR(MATCH($I2318,ROTACAO_RDM!$B$6:$B$71,0),0)</f>
        <v>0</v>
      </c>
      <c r="K2318" s="8" t="str">
        <f aca="false">IF($J2318=0,"SEM CULTURA",INDEX(ROTACAO_RDM!$F$6:$F$71,$J2318))</f>
        <v>SEM CULTURA</v>
      </c>
      <c r="L2318" s="8" t="str">
        <f aca="false">IF($J2318=0,"",INDEX(ROTACAO_RDM!$G$6:$G$71,$J2318))</f>
        <v/>
      </c>
      <c r="M2318" s="17" t="str">
        <f aca="false">IF($J2318=0,"",INDEX(ROTACAO_RDM!$I$6:$I$71,$J2318))</f>
        <v/>
      </c>
      <c r="N2318" s="16" t="n">
        <f aca="false">IF($J2318=0,0,MAX(0,$C2318+INT(DIAS_POR_SEMANA/2)-INDEX(ROTACAO_RDM!$I$6:$I$71,$J2318)))</f>
        <v>0</v>
      </c>
      <c r="O2318" s="19" t="n">
        <f aca="false">IF($J2318=0,0,MIN(1,$N2318/MAX(1,INDEX(ROTACAO_RDM!$K$6:$K$71,$J2318))))</f>
        <v>0</v>
      </c>
      <c r="P2318" s="16" t="n">
        <f aca="false">IF($J2318=0,0,IFERROR(MATCH(INDEX(ROTACAO_RDM!$N$6:$N$71,$J2318),PARAMETROS_CULTURAS!$B$6:$B$28,0),0))</f>
        <v>0</v>
      </c>
      <c r="Q2318" s="8" t="str">
        <f aca="false">IF($P2318=0,"-",IF($O2318&lt;=INDEX(PARAMETROS_CULTURAS!$F$6:$F$28,$P2318),"INICIAL",IF($O2318&lt;=INDEX(PARAMETROS_CULTURAS!$F$6:$F$28,$P2318)+INDEX(PARAMETROS_CULTURAS!$G$6:$G$28,$P2318),"DESENVOLVIMENTO",IF($O2318&lt;=INDEX(PARAMETROS_CULTURAS!$F$6:$F$28,$P2318)+INDEX(PARAMETROS_CULTURAS!$G$6:$G$28,$P2318)+INDEX(PARAMETROS_CULTURAS!$H$6:$H$28,$P2318),"MEDIA","FINAL"))))</f>
        <v>-</v>
      </c>
      <c r="R2318" s="24" t="n">
        <f aca="false">IF($P2318=0,0,IF($O2318&lt;=INDEX(PARAMETROS_CULTURAS!$F$6:$F$28,$P2318),INDEX(PARAMETROS_CULTURAS!$K$6:$K$28,$P2318),IF($O2318&lt;=INDEX(PARAMETROS_CULTURAS!$F$6:$F$28,$P2318)+INDEX(PARAMETROS_CULTURAS!$G$6:$G$28,$P2318),INDEX(PARAMETROS_CULTURAS!$K$6:$K$28,$P2318)+(INDEX(PARAMETROS_CULTURAS!$L$6:$L$28,$P2318)-INDEX(PARAMETROS_CULTURAS!$K$6:$K$28,$P2318))*($O2318-INDEX(PARAMETROS_CULTURAS!$F$6:$F$28,$P2318))/MAX(INDEX(PARAMETROS_CULTURAS!$G$6:$G$28,$P2318),0.0001),IF($O2318&lt;=INDEX(PARAMETROS_CULTURAS!$F$6:$F$28,$P2318)+INDEX(PARAMETROS_CULTURAS!$G$6:$G$28,$P2318)+INDEX(PARAMETROS_CULTURAS!$H$6:$H$28,$P2318),INDEX(PARAMETROS_CULTURAS!$L$6:$L$28,$P2318),INDEX(PARAMETROS_CULTURAS!$L$6:$L$28,$P2318)+(INDEX(PARAMETROS_CULTURAS!$M$6:$M$28,$P2318)-INDEX(PARAMETROS_CULTURAS!$L$6:$L$28,$P2318))*($O2318-INDEX(PARAMETROS_CULTURAS!$F$6:$F$28,$P2318)-INDEX(PARAMETROS_CULTURAS!$G$6:$G$28,$P2318)-INDEX(PARAMETROS_CULTURAS!$H$6:$H$28,$P2318))/MAX(INDEX(PARAMETROS_CULTURAS!$I$6:$I$28,$P2318),0.0001)))))</f>
        <v>0</v>
      </c>
      <c r="S2318" s="18" t="n">
        <f aca="false">IFERROR(INDEX(SEMANAS!$H$6:$H$71,MATCH($B2318,SEMANAS!$B$6:$B$71,0)),0)</f>
        <v>40.6</v>
      </c>
      <c r="T2318" s="18" t="n">
        <f aca="false">$R2318*$S2318</f>
        <v>0</v>
      </c>
      <c r="U2318" s="18" t="n">
        <f aca="false">IFERROR(INDEX(SEMANAS!$I$6:$I$71,MATCH($B2318,SEMANAS!$B$6:$B$71,0)),0)</f>
        <v>7</v>
      </c>
      <c r="V2318" s="18" t="n">
        <f aca="false">IFERROR(INDEX(SEMANAS!$J$6:$J$71,MATCH($B2318,SEMANAS!$B$6:$B$71,0)),0)</f>
        <v>5.6</v>
      </c>
      <c r="W2318" s="18" t="n">
        <f aca="false">MAX(0,$T2318-$V2318)</f>
        <v>0</v>
      </c>
      <c r="X2318" s="19" t="n">
        <f aca="false">IFERROR(INDEX(CADASTRO_PIVOS!$K$6:$K$41,MATCH($E2318,CADASTRO_PIVOS!$B$6:$B$41,0)),EFICIENCIA_PADRAO)</f>
        <v>0.85</v>
      </c>
      <c r="Y2318" s="18" t="n">
        <f aca="false">IF($X2318&lt;=0,0,$W2318/$X2318)</f>
        <v>0</v>
      </c>
      <c r="Z2318" s="16" t="n">
        <f aca="false">$Y2318*$H2318*MM_PARA_M3_HA</f>
        <v>0</v>
      </c>
      <c r="AA2318" s="18" t="n">
        <f aca="false">IFERROR(INDEX(CADASTRO_PIVOS!$I$6:$I$41,MATCH($E2318,CADASTRO_PIVOS!$B$6:$B$41,0)),0)</f>
        <v>1071.42857142857</v>
      </c>
      <c r="AB2318" s="18" t="n">
        <f aca="false">IF($Z2318&lt;=0,0,$Z2318/$AA2318)</f>
        <v>0</v>
      </c>
      <c r="AC2318" s="16" t="n">
        <f aca="false">IFERROR(INDEX(SEMANAS!$K$6:$K$71,MATCH($B2318,SEMANAS!$B$6:$B$71,0)),0)</f>
        <v>147</v>
      </c>
      <c r="AD2318" s="19" t="n">
        <f aca="false">IF($AC2318&lt;=0,0,$AB2318/$AC2318)</f>
        <v>0</v>
      </c>
      <c r="AE2318" s="8" t="str">
        <f aca="false">IF($K2318="SEM CULTURA","SEM CULTURA",IF($AA2318&lt;=0,"DADO PENDENTE",IF($AD2318&gt;LIMITE_CRITICO,"INVIAVEL",IF($AD2318&gt;LIMITE_ATENCAO,"CRITICO",IF($AD2318&gt;LIMITE_CONFORTAVEL,"ATENCAO","OK")))))</f>
        <v>SEM CULTURA</v>
      </c>
      <c r="AF2318" s="8" t="str">
        <f aca="false">$B2318&amp;"|"&amp;TEXT($AD2318,"0.000000")</f>
        <v>3|0.000000</v>
      </c>
      <c r="AG2318" s="18" t="n">
        <f aca="false">IF($K2318="SEM CULTURA",0,$T2318*$H2318)</f>
        <v>0</v>
      </c>
      <c r="AH2318" s="18" t="n">
        <f aca="false">IF($K2318="SEM CULTURA",0,$V2318*$H2318)</f>
        <v>0</v>
      </c>
      <c r="AI2318" s="18" t="n">
        <f aca="false">IF($K2318="SEM CULTURA",0,$W2318*$H2318)</f>
        <v>0</v>
      </c>
      <c r="AJ2318" s="18" t="n">
        <f aca="false">IF($K2318="SEM CULTURA",0,$S2318*$H2318)</f>
        <v>0</v>
      </c>
      <c r="AK2318" s="8" t="str">
        <f aca="false">$E2318&amp;"|"&amp;TEXT($AD2318,"0.000000")</f>
        <v>PV 137|0.000000</v>
      </c>
    </row>
    <row r="2319" customFormat="false" ht="15" hidden="false" customHeight="false" outlineLevel="0" collapsed="false">
      <c r="B2319" s="16" t="n">
        <v>4</v>
      </c>
      <c r="C2319" s="17" t="n">
        <f aca="false">DATA_INICIO_SAFRA+($B2319-1)*DIAS_POR_SEMANA</f>
        <v>46286</v>
      </c>
      <c r="D2319" s="17" t="n">
        <f aca="false">$C2319+DIAS_POR_SEMANA-1</f>
        <v>46292</v>
      </c>
      <c r="E2319" s="15" t="s">
        <v>294</v>
      </c>
      <c r="F2319" s="8" t="str">
        <f aca="false">IFERROR(INDEX(CADASTRO_PIVOS!$C$6:$C$41,MATCH($E2319,CADASTRO_PIVOS!$B$6:$B$41,0)),"?")</f>
        <v>RM08</v>
      </c>
      <c r="G2319" s="8" t="str">
        <f aca="false">IFERROR(INDEX(CADASTRO_PIVOS!$D$6:$D$41,MATCH($E2319,CADASTRO_PIVOS!$B$6:$B$41,0)),"?")</f>
        <v>TR08</v>
      </c>
      <c r="H2319" s="20" t="n">
        <f aca="false">IFERROR(INDEX(CADASTRO_PIVOS!$E$6:$E$41,MATCH($E2319,CADASTRO_PIVOS!$B$6:$B$41,0)),0)</f>
        <v>150</v>
      </c>
      <c r="I2319" s="16" t="n">
        <f aca="false">IFERROR(SUMIFS(ROTACAO_RDM!$B$6:$B$71,ROTACAO_RDM!$D$6:$D$71,$E2319,ROTACAO_RDM!$I$6:$I$71,"&lt;="&amp;$C2319+INT(DIAS_POR_SEMANA/2),ROTACAO_RDM!$J$6:$J$71,"&gt;="&amp;$C2319+INT(DIAS_POR_SEMANA/2)),0)</f>
        <v>0</v>
      </c>
      <c r="J2319" s="16" t="n">
        <f aca="false">IFERROR(MATCH($I2319,ROTACAO_RDM!$B$6:$B$71,0),0)</f>
        <v>0</v>
      </c>
      <c r="K2319" s="8" t="str">
        <f aca="false">IF($J2319=0,"SEM CULTURA",INDEX(ROTACAO_RDM!$F$6:$F$71,$J2319))</f>
        <v>SEM CULTURA</v>
      </c>
      <c r="L2319" s="8" t="str">
        <f aca="false">IF($J2319=0,"",INDEX(ROTACAO_RDM!$G$6:$G$71,$J2319))</f>
        <v/>
      </c>
      <c r="M2319" s="17" t="str">
        <f aca="false">IF($J2319=0,"",INDEX(ROTACAO_RDM!$I$6:$I$71,$J2319))</f>
        <v/>
      </c>
      <c r="N2319" s="16" t="n">
        <f aca="false">IF($J2319=0,0,MAX(0,$C2319+INT(DIAS_POR_SEMANA/2)-INDEX(ROTACAO_RDM!$I$6:$I$71,$J2319)))</f>
        <v>0</v>
      </c>
      <c r="O2319" s="19" t="n">
        <f aca="false">IF($J2319=0,0,MIN(1,$N2319/MAX(1,INDEX(ROTACAO_RDM!$K$6:$K$71,$J2319))))</f>
        <v>0</v>
      </c>
      <c r="P2319" s="16" t="n">
        <f aca="false">IF($J2319=0,0,IFERROR(MATCH(INDEX(ROTACAO_RDM!$N$6:$N$71,$J2319),PARAMETROS_CULTURAS!$B$6:$B$28,0),0))</f>
        <v>0</v>
      </c>
      <c r="Q2319" s="8" t="str">
        <f aca="false">IF($P2319=0,"-",IF($O2319&lt;=INDEX(PARAMETROS_CULTURAS!$F$6:$F$28,$P2319),"INICIAL",IF($O2319&lt;=INDEX(PARAMETROS_CULTURAS!$F$6:$F$28,$P2319)+INDEX(PARAMETROS_CULTURAS!$G$6:$G$28,$P2319),"DESENVOLVIMENTO",IF($O2319&lt;=INDEX(PARAMETROS_CULTURAS!$F$6:$F$28,$P2319)+INDEX(PARAMETROS_CULTURAS!$G$6:$G$28,$P2319)+INDEX(PARAMETROS_CULTURAS!$H$6:$H$28,$P2319),"MEDIA","FINAL"))))</f>
        <v>-</v>
      </c>
      <c r="R2319" s="24" t="n">
        <f aca="false">IF($P2319=0,0,IF($O2319&lt;=INDEX(PARAMETROS_CULTURAS!$F$6:$F$28,$P2319),INDEX(PARAMETROS_CULTURAS!$K$6:$K$28,$P2319),IF($O2319&lt;=INDEX(PARAMETROS_CULTURAS!$F$6:$F$28,$P2319)+INDEX(PARAMETROS_CULTURAS!$G$6:$G$28,$P2319),INDEX(PARAMETROS_CULTURAS!$K$6:$K$28,$P2319)+(INDEX(PARAMETROS_CULTURAS!$L$6:$L$28,$P2319)-INDEX(PARAMETROS_CULTURAS!$K$6:$K$28,$P2319))*($O2319-INDEX(PARAMETROS_CULTURAS!$F$6:$F$28,$P2319))/MAX(INDEX(PARAMETROS_CULTURAS!$G$6:$G$28,$P2319),0.0001),IF($O2319&lt;=INDEX(PARAMETROS_CULTURAS!$F$6:$F$28,$P2319)+INDEX(PARAMETROS_CULTURAS!$G$6:$G$28,$P2319)+INDEX(PARAMETROS_CULTURAS!$H$6:$H$28,$P2319),INDEX(PARAMETROS_CULTURAS!$L$6:$L$28,$P2319),INDEX(PARAMETROS_CULTURAS!$L$6:$L$28,$P2319)+(INDEX(PARAMETROS_CULTURAS!$M$6:$M$28,$P2319)-INDEX(PARAMETROS_CULTURAS!$L$6:$L$28,$P2319))*($O2319-INDEX(PARAMETROS_CULTURAS!$F$6:$F$28,$P2319)-INDEX(PARAMETROS_CULTURAS!$G$6:$G$28,$P2319)-INDEX(PARAMETROS_CULTURAS!$H$6:$H$28,$P2319))/MAX(INDEX(PARAMETROS_CULTURAS!$I$6:$I$28,$P2319),0.0001)))))</f>
        <v>0</v>
      </c>
      <c r="S2319" s="18" t="n">
        <f aca="false">IFERROR(INDEX(SEMANAS!$H$6:$H$71,MATCH($B2319,SEMANAS!$B$6:$B$71,0)),0)</f>
        <v>40.6</v>
      </c>
      <c r="T2319" s="18" t="n">
        <f aca="false">$R2319*$S2319</f>
        <v>0</v>
      </c>
      <c r="U2319" s="18" t="n">
        <f aca="false">IFERROR(INDEX(SEMANAS!$I$6:$I$71,MATCH($B2319,SEMANAS!$B$6:$B$71,0)),0)</f>
        <v>7</v>
      </c>
      <c r="V2319" s="18" t="n">
        <f aca="false">IFERROR(INDEX(SEMANAS!$J$6:$J$71,MATCH($B2319,SEMANAS!$B$6:$B$71,0)),0)</f>
        <v>5.6</v>
      </c>
      <c r="W2319" s="18" t="n">
        <f aca="false">MAX(0,$T2319-$V2319)</f>
        <v>0</v>
      </c>
      <c r="X2319" s="19" t="n">
        <f aca="false">IFERROR(INDEX(CADASTRO_PIVOS!$K$6:$K$41,MATCH($E2319,CADASTRO_PIVOS!$B$6:$B$41,0)),EFICIENCIA_PADRAO)</f>
        <v>0.85</v>
      </c>
      <c r="Y2319" s="18" t="n">
        <f aca="false">IF($X2319&lt;=0,0,$W2319/$X2319)</f>
        <v>0</v>
      </c>
      <c r="Z2319" s="16" t="n">
        <f aca="false">$Y2319*$H2319*MM_PARA_M3_HA</f>
        <v>0</v>
      </c>
      <c r="AA2319" s="18" t="n">
        <f aca="false">IFERROR(INDEX(CADASTRO_PIVOS!$I$6:$I$41,MATCH($E2319,CADASTRO_PIVOS!$B$6:$B$41,0)),0)</f>
        <v>1071.42857142857</v>
      </c>
      <c r="AB2319" s="18" t="n">
        <f aca="false">IF($Z2319&lt;=0,0,$Z2319/$AA2319)</f>
        <v>0</v>
      </c>
      <c r="AC2319" s="16" t="n">
        <f aca="false">IFERROR(INDEX(SEMANAS!$K$6:$K$71,MATCH($B2319,SEMANAS!$B$6:$B$71,0)),0)</f>
        <v>147</v>
      </c>
      <c r="AD2319" s="19" t="n">
        <f aca="false">IF($AC2319&lt;=0,0,$AB2319/$AC2319)</f>
        <v>0</v>
      </c>
      <c r="AE2319" s="8" t="str">
        <f aca="false">IF($K2319="SEM CULTURA","SEM CULTURA",IF($AA2319&lt;=0,"DADO PENDENTE",IF($AD2319&gt;LIMITE_CRITICO,"INVIAVEL",IF($AD2319&gt;LIMITE_ATENCAO,"CRITICO",IF($AD2319&gt;LIMITE_CONFORTAVEL,"ATENCAO","OK")))))</f>
        <v>SEM CULTURA</v>
      </c>
      <c r="AF2319" s="8" t="str">
        <f aca="false">$B2319&amp;"|"&amp;TEXT($AD2319,"0.000000")</f>
        <v>4|0.000000</v>
      </c>
      <c r="AG2319" s="18" t="n">
        <f aca="false">IF($K2319="SEM CULTURA",0,$T2319*$H2319)</f>
        <v>0</v>
      </c>
      <c r="AH2319" s="18" t="n">
        <f aca="false">IF($K2319="SEM CULTURA",0,$V2319*$H2319)</f>
        <v>0</v>
      </c>
      <c r="AI2319" s="18" t="n">
        <f aca="false">IF($K2319="SEM CULTURA",0,$W2319*$H2319)</f>
        <v>0</v>
      </c>
      <c r="AJ2319" s="18" t="n">
        <f aca="false">IF($K2319="SEM CULTURA",0,$S2319*$H2319)</f>
        <v>0</v>
      </c>
      <c r="AK2319" s="8" t="str">
        <f aca="false">$E2319&amp;"|"&amp;TEXT($AD2319,"0.000000")</f>
        <v>PV 137|0.000000</v>
      </c>
    </row>
    <row r="2320" customFormat="false" ht="15" hidden="false" customHeight="false" outlineLevel="0" collapsed="false">
      <c r="B2320" s="16" t="n">
        <v>5</v>
      </c>
      <c r="C2320" s="17" t="n">
        <f aca="false">DATA_INICIO_SAFRA+($B2320-1)*DIAS_POR_SEMANA</f>
        <v>46293</v>
      </c>
      <c r="D2320" s="17" t="n">
        <f aca="false">$C2320+DIAS_POR_SEMANA-1</f>
        <v>46299</v>
      </c>
      <c r="E2320" s="15" t="s">
        <v>294</v>
      </c>
      <c r="F2320" s="8" t="str">
        <f aca="false">IFERROR(INDEX(CADASTRO_PIVOS!$C$6:$C$41,MATCH($E2320,CADASTRO_PIVOS!$B$6:$B$41,0)),"?")</f>
        <v>RM08</v>
      </c>
      <c r="G2320" s="8" t="str">
        <f aca="false">IFERROR(INDEX(CADASTRO_PIVOS!$D$6:$D$41,MATCH($E2320,CADASTRO_PIVOS!$B$6:$B$41,0)),"?")</f>
        <v>TR08</v>
      </c>
      <c r="H2320" s="20" t="n">
        <f aca="false">IFERROR(INDEX(CADASTRO_PIVOS!$E$6:$E$41,MATCH($E2320,CADASTRO_PIVOS!$B$6:$B$41,0)),0)</f>
        <v>150</v>
      </c>
      <c r="I2320" s="16" t="n">
        <f aca="false">IFERROR(SUMIFS(ROTACAO_RDM!$B$6:$B$71,ROTACAO_RDM!$D$6:$D$71,$E2320,ROTACAO_RDM!$I$6:$I$71,"&lt;="&amp;$C2320+INT(DIAS_POR_SEMANA/2),ROTACAO_RDM!$J$6:$J$71,"&gt;="&amp;$C2320+INT(DIAS_POR_SEMANA/2)),0)</f>
        <v>0</v>
      </c>
      <c r="J2320" s="16" t="n">
        <f aca="false">IFERROR(MATCH($I2320,ROTACAO_RDM!$B$6:$B$71,0),0)</f>
        <v>0</v>
      </c>
      <c r="K2320" s="8" t="str">
        <f aca="false">IF($J2320=0,"SEM CULTURA",INDEX(ROTACAO_RDM!$F$6:$F$71,$J2320))</f>
        <v>SEM CULTURA</v>
      </c>
      <c r="L2320" s="8" t="str">
        <f aca="false">IF($J2320=0,"",INDEX(ROTACAO_RDM!$G$6:$G$71,$J2320))</f>
        <v/>
      </c>
      <c r="M2320" s="17" t="str">
        <f aca="false">IF($J2320=0,"",INDEX(ROTACAO_RDM!$I$6:$I$71,$J2320))</f>
        <v/>
      </c>
      <c r="N2320" s="16" t="n">
        <f aca="false">IF($J2320=0,0,MAX(0,$C2320+INT(DIAS_POR_SEMANA/2)-INDEX(ROTACAO_RDM!$I$6:$I$71,$J2320)))</f>
        <v>0</v>
      </c>
      <c r="O2320" s="19" t="n">
        <f aca="false">IF($J2320=0,0,MIN(1,$N2320/MAX(1,INDEX(ROTACAO_RDM!$K$6:$K$71,$J2320))))</f>
        <v>0</v>
      </c>
      <c r="P2320" s="16" t="n">
        <f aca="false">IF($J2320=0,0,IFERROR(MATCH(INDEX(ROTACAO_RDM!$N$6:$N$71,$J2320),PARAMETROS_CULTURAS!$B$6:$B$28,0),0))</f>
        <v>0</v>
      </c>
      <c r="Q2320" s="8" t="str">
        <f aca="false">IF($P2320=0,"-",IF($O2320&lt;=INDEX(PARAMETROS_CULTURAS!$F$6:$F$28,$P2320),"INICIAL",IF($O2320&lt;=INDEX(PARAMETROS_CULTURAS!$F$6:$F$28,$P2320)+INDEX(PARAMETROS_CULTURAS!$G$6:$G$28,$P2320),"DESENVOLVIMENTO",IF($O2320&lt;=INDEX(PARAMETROS_CULTURAS!$F$6:$F$28,$P2320)+INDEX(PARAMETROS_CULTURAS!$G$6:$G$28,$P2320)+INDEX(PARAMETROS_CULTURAS!$H$6:$H$28,$P2320),"MEDIA","FINAL"))))</f>
        <v>-</v>
      </c>
      <c r="R2320" s="24" t="n">
        <f aca="false">IF($P2320=0,0,IF($O2320&lt;=INDEX(PARAMETROS_CULTURAS!$F$6:$F$28,$P2320),INDEX(PARAMETROS_CULTURAS!$K$6:$K$28,$P2320),IF($O2320&lt;=INDEX(PARAMETROS_CULTURAS!$F$6:$F$28,$P2320)+INDEX(PARAMETROS_CULTURAS!$G$6:$G$28,$P2320),INDEX(PARAMETROS_CULTURAS!$K$6:$K$28,$P2320)+(INDEX(PARAMETROS_CULTURAS!$L$6:$L$28,$P2320)-INDEX(PARAMETROS_CULTURAS!$K$6:$K$28,$P2320))*($O2320-INDEX(PARAMETROS_CULTURAS!$F$6:$F$28,$P2320))/MAX(INDEX(PARAMETROS_CULTURAS!$G$6:$G$28,$P2320),0.0001),IF($O2320&lt;=INDEX(PARAMETROS_CULTURAS!$F$6:$F$28,$P2320)+INDEX(PARAMETROS_CULTURAS!$G$6:$G$28,$P2320)+INDEX(PARAMETROS_CULTURAS!$H$6:$H$28,$P2320),INDEX(PARAMETROS_CULTURAS!$L$6:$L$28,$P2320),INDEX(PARAMETROS_CULTURAS!$L$6:$L$28,$P2320)+(INDEX(PARAMETROS_CULTURAS!$M$6:$M$28,$P2320)-INDEX(PARAMETROS_CULTURAS!$L$6:$L$28,$P2320))*($O2320-INDEX(PARAMETROS_CULTURAS!$F$6:$F$28,$P2320)-INDEX(PARAMETROS_CULTURAS!$G$6:$G$28,$P2320)-INDEX(PARAMETROS_CULTURAS!$H$6:$H$28,$P2320))/MAX(INDEX(PARAMETROS_CULTURAS!$I$6:$I$28,$P2320),0.0001)))))</f>
        <v>0</v>
      </c>
      <c r="S2320" s="18" t="n">
        <f aca="false">IFERROR(INDEX(SEMANAS!$H$6:$H$71,MATCH($B2320,SEMANAS!$B$6:$B$71,0)),0)</f>
        <v>39.8</v>
      </c>
      <c r="T2320" s="18" t="n">
        <f aca="false">$R2320*$S2320</f>
        <v>0</v>
      </c>
      <c r="U2320" s="18" t="n">
        <f aca="false">IFERROR(INDEX(SEMANAS!$I$6:$I$71,MATCH($B2320,SEMANAS!$B$6:$B$71,0)),0)</f>
        <v>18.48</v>
      </c>
      <c r="V2320" s="18" t="n">
        <f aca="false">IFERROR(INDEX(SEMANAS!$J$6:$J$71,MATCH($B2320,SEMANAS!$B$6:$B$71,0)),0)</f>
        <v>14.784</v>
      </c>
      <c r="W2320" s="18" t="n">
        <f aca="false">MAX(0,$T2320-$V2320)</f>
        <v>0</v>
      </c>
      <c r="X2320" s="19" t="n">
        <f aca="false">IFERROR(INDEX(CADASTRO_PIVOS!$K$6:$K$41,MATCH($E2320,CADASTRO_PIVOS!$B$6:$B$41,0)),EFICIENCIA_PADRAO)</f>
        <v>0.85</v>
      </c>
      <c r="Y2320" s="18" t="n">
        <f aca="false">IF($X2320&lt;=0,0,$W2320/$X2320)</f>
        <v>0</v>
      </c>
      <c r="Z2320" s="16" t="n">
        <f aca="false">$Y2320*$H2320*MM_PARA_M3_HA</f>
        <v>0</v>
      </c>
      <c r="AA2320" s="18" t="n">
        <f aca="false">IFERROR(INDEX(CADASTRO_PIVOS!$I$6:$I$41,MATCH($E2320,CADASTRO_PIVOS!$B$6:$B$41,0)),0)</f>
        <v>1071.42857142857</v>
      </c>
      <c r="AB2320" s="18" t="n">
        <f aca="false">IF($Z2320&lt;=0,0,$Z2320/$AA2320)</f>
        <v>0</v>
      </c>
      <c r="AC2320" s="16" t="n">
        <f aca="false">IFERROR(INDEX(SEMANAS!$K$6:$K$71,MATCH($B2320,SEMANAS!$B$6:$B$71,0)),0)</f>
        <v>147</v>
      </c>
      <c r="AD2320" s="19" t="n">
        <f aca="false">IF($AC2320&lt;=0,0,$AB2320/$AC2320)</f>
        <v>0</v>
      </c>
      <c r="AE2320" s="8" t="str">
        <f aca="false">IF($K2320="SEM CULTURA","SEM CULTURA",IF($AA2320&lt;=0,"DADO PENDENTE",IF($AD2320&gt;LIMITE_CRITICO,"INVIAVEL",IF($AD2320&gt;LIMITE_ATENCAO,"CRITICO",IF($AD2320&gt;LIMITE_CONFORTAVEL,"ATENCAO","OK")))))</f>
        <v>SEM CULTURA</v>
      </c>
      <c r="AF2320" s="8" t="str">
        <f aca="false">$B2320&amp;"|"&amp;TEXT($AD2320,"0.000000")</f>
        <v>5|0.000000</v>
      </c>
      <c r="AG2320" s="18" t="n">
        <f aca="false">IF($K2320="SEM CULTURA",0,$T2320*$H2320)</f>
        <v>0</v>
      </c>
      <c r="AH2320" s="18" t="n">
        <f aca="false">IF($K2320="SEM CULTURA",0,$V2320*$H2320)</f>
        <v>0</v>
      </c>
      <c r="AI2320" s="18" t="n">
        <f aca="false">IF($K2320="SEM CULTURA",0,$W2320*$H2320)</f>
        <v>0</v>
      </c>
      <c r="AJ2320" s="18" t="n">
        <f aca="false">IF($K2320="SEM CULTURA",0,$S2320*$H2320)</f>
        <v>0</v>
      </c>
      <c r="AK2320" s="8" t="str">
        <f aca="false">$E2320&amp;"|"&amp;TEXT($AD2320,"0.000000")</f>
        <v>PV 137|0.000000</v>
      </c>
    </row>
    <row r="2321" customFormat="false" ht="15" hidden="false" customHeight="false" outlineLevel="0" collapsed="false">
      <c r="B2321" s="16" t="n">
        <v>6</v>
      </c>
      <c r="C2321" s="17" t="n">
        <f aca="false">DATA_INICIO_SAFRA+($B2321-1)*DIAS_POR_SEMANA</f>
        <v>46300</v>
      </c>
      <c r="D2321" s="17" t="n">
        <f aca="false">$C2321+DIAS_POR_SEMANA-1</f>
        <v>46306</v>
      </c>
      <c r="E2321" s="15" t="s">
        <v>294</v>
      </c>
      <c r="F2321" s="8" t="str">
        <f aca="false">IFERROR(INDEX(CADASTRO_PIVOS!$C$6:$C$41,MATCH($E2321,CADASTRO_PIVOS!$B$6:$B$41,0)),"?")</f>
        <v>RM08</v>
      </c>
      <c r="G2321" s="8" t="str">
        <f aca="false">IFERROR(INDEX(CADASTRO_PIVOS!$D$6:$D$41,MATCH($E2321,CADASTRO_PIVOS!$B$6:$B$41,0)),"?")</f>
        <v>TR08</v>
      </c>
      <c r="H2321" s="20" t="n">
        <f aca="false">IFERROR(INDEX(CADASTRO_PIVOS!$E$6:$E$41,MATCH($E2321,CADASTRO_PIVOS!$B$6:$B$41,0)),0)</f>
        <v>150</v>
      </c>
      <c r="I2321" s="16" t="n">
        <f aca="false">IFERROR(SUMIFS(ROTACAO_RDM!$B$6:$B$71,ROTACAO_RDM!$D$6:$D$71,$E2321,ROTACAO_RDM!$I$6:$I$71,"&lt;="&amp;$C2321+INT(DIAS_POR_SEMANA/2),ROTACAO_RDM!$J$6:$J$71,"&gt;="&amp;$C2321+INT(DIAS_POR_SEMANA/2)),0)</f>
        <v>0</v>
      </c>
      <c r="J2321" s="16" t="n">
        <f aca="false">IFERROR(MATCH($I2321,ROTACAO_RDM!$B$6:$B$71,0),0)</f>
        <v>0</v>
      </c>
      <c r="K2321" s="8" t="str">
        <f aca="false">IF($J2321=0,"SEM CULTURA",INDEX(ROTACAO_RDM!$F$6:$F$71,$J2321))</f>
        <v>SEM CULTURA</v>
      </c>
      <c r="L2321" s="8" t="str">
        <f aca="false">IF($J2321=0,"",INDEX(ROTACAO_RDM!$G$6:$G$71,$J2321))</f>
        <v/>
      </c>
      <c r="M2321" s="17" t="str">
        <f aca="false">IF($J2321=0,"",INDEX(ROTACAO_RDM!$I$6:$I$71,$J2321))</f>
        <v/>
      </c>
      <c r="N2321" s="16" t="n">
        <f aca="false">IF($J2321=0,0,MAX(0,$C2321+INT(DIAS_POR_SEMANA/2)-INDEX(ROTACAO_RDM!$I$6:$I$71,$J2321)))</f>
        <v>0</v>
      </c>
      <c r="O2321" s="19" t="n">
        <f aca="false">IF($J2321=0,0,MIN(1,$N2321/MAX(1,INDEX(ROTACAO_RDM!$K$6:$K$71,$J2321))))</f>
        <v>0</v>
      </c>
      <c r="P2321" s="16" t="n">
        <f aca="false">IF($J2321=0,0,IFERROR(MATCH(INDEX(ROTACAO_RDM!$N$6:$N$71,$J2321),PARAMETROS_CULTURAS!$B$6:$B$28,0),0))</f>
        <v>0</v>
      </c>
      <c r="Q2321" s="8" t="str">
        <f aca="false">IF($P2321=0,"-",IF($O2321&lt;=INDEX(PARAMETROS_CULTURAS!$F$6:$F$28,$P2321),"INICIAL",IF($O2321&lt;=INDEX(PARAMETROS_CULTURAS!$F$6:$F$28,$P2321)+INDEX(PARAMETROS_CULTURAS!$G$6:$G$28,$P2321),"DESENVOLVIMENTO",IF($O2321&lt;=INDEX(PARAMETROS_CULTURAS!$F$6:$F$28,$P2321)+INDEX(PARAMETROS_CULTURAS!$G$6:$G$28,$P2321)+INDEX(PARAMETROS_CULTURAS!$H$6:$H$28,$P2321),"MEDIA","FINAL"))))</f>
        <v>-</v>
      </c>
      <c r="R2321" s="24" t="n">
        <f aca="false">IF($P2321=0,0,IF($O2321&lt;=INDEX(PARAMETROS_CULTURAS!$F$6:$F$28,$P2321),INDEX(PARAMETROS_CULTURAS!$K$6:$K$28,$P2321),IF($O2321&lt;=INDEX(PARAMETROS_CULTURAS!$F$6:$F$28,$P2321)+INDEX(PARAMETROS_CULTURAS!$G$6:$G$28,$P2321),INDEX(PARAMETROS_CULTURAS!$K$6:$K$28,$P2321)+(INDEX(PARAMETROS_CULTURAS!$L$6:$L$28,$P2321)-INDEX(PARAMETROS_CULTURAS!$K$6:$K$28,$P2321))*($O2321-INDEX(PARAMETROS_CULTURAS!$F$6:$F$28,$P2321))/MAX(INDEX(PARAMETROS_CULTURAS!$G$6:$G$28,$P2321),0.0001),IF($O2321&lt;=INDEX(PARAMETROS_CULTURAS!$F$6:$F$28,$P2321)+INDEX(PARAMETROS_CULTURAS!$G$6:$G$28,$P2321)+INDEX(PARAMETROS_CULTURAS!$H$6:$H$28,$P2321),INDEX(PARAMETROS_CULTURAS!$L$6:$L$28,$P2321),INDEX(PARAMETROS_CULTURAS!$L$6:$L$28,$P2321)+(INDEX(PARAMETROS_CULTURAS!$M$6:$M$28,$P2321)-INDEX(PARAMETROS_CULTURAS!$L$6:$L$28,$P2321))*($O2321-INDEX(PARAMETROS_CULTURAS!$F$6:$F$28,$P2321)-INDEX(PARAMETROS_CULTURAS!$G$6:$G$28,$P2321)-INDEX(PARAMETROS_CULTURAS!$H$6:$H$28,$P2321))/MAX(INDEX(PARAMETROS_CULTURAS!$I$6:$I$28,$P2321),0.0001)))))</f>
        <v>0</v>
      </c>
      <c r="S2321" s="18" t="n">
        <f aca="false">IFERROR(INDEX(SEMANAS!$H$6:$H$71,MATCH($B2321,SEMANAS!$B$6:$B$71,0)),0)</f>
        <v>39.2</v>
      </c>
      <c r="T2321" s="18" t="n">
        <f aca="false">$R2321*$S2321</f>
        <v>0</v>
      </c>
      <c r="U2321" s="18" t="n">
        <f aca="false">IFERROR(INDEX(SEMANAS!$I$6:$I$71,MATCH($B2321,SEMANAS!$B$6:$B$71,0)),0)</f>
        <v>27.09</v>
      </c>
      <c r="V2321" s="18" t="n">
        <f aca="false">IFERROR(INDEX(SEMANAS!$J$6:$J$71,MATCH($B2321,SEMANAS!$B$6:$B$71,0)),0)</f>
        <v>21.672</v>
      </c>
      <c r="W2321" s="18" t="n">
        <f aca="false">MAX(0,$T2321-$V2321)</f>
        <v>0</v>
      </c>
      <c r="X2321" s="19" t="n">
        <f aca="false">IFERROR(INDEX(CADASTRO_PIVOS!$K$6:$K$41,MATCH($E2321,CADASTRO_PIVOS!$B$6:$B$41,0)),EFICIENCIA_PADRAO)</f>
        <v>0.85</v>
      </c>
      <c r="Y2321" s="18" t="n">
        <f aca="false">IF($X2321&lt;=0,0,$W2321/$X2321)</f>
        <v>0</v>
      </c>
      <c r="Z2321" s="16" t="n">
        <f aca="false">$Y2321*$H2321*MM_PARA_M3_HA</f>
        <v>0</v>
      </c>
      <c r="AA2321" s="18" t="n">
        <f aca="false">IFERROR(INDEX(CADASTRO_PIVOS!$I$6:$I$41,MATCH($E2321,CADASTRO_PIVOS!$B$6:$B$41,0)),0)</f>
        <v>1071.42857142857</v>
      </c>
      <c r="AB2321" s="18" t="n">
        <f aca="false">IF($Z2321&lt;=0,0,$Z2321/$AA2321)</f>
        <v>0</v>
      </c>
      <c r="AC2321" s="16" t="n">
        <f aca="false">IFERROR(INDEX(SEMANAS!$K$6:$K$71,MATCH($B2321,SEMANAS!$B$6:$B$71,0)),0)</f>
        <v>147</v>
      </c>
      <c r="AD2321" s="19" t="n">
        <f aca="false">IF($AC2321&lt;=0,0,$AB2321/$AC2321)</f>
        <v>0</v>
      </c>
      <c r="AE2321" s="8" t="str">
        <f aca="false">IF($K2321="SEM CULTURA","SEM CULTURA",IF($AA2321&lt;=0,"DADO PENDENTE",IF($AD2321&gt;LIMITE_CRITICO,"INVIAVEL",IF($AD2321&gt;LIMITE_ATENCAO,"CRITICO",IF($AD2321&gt;LIMITE_CONFORTAVEL,"ATENCAO","OK")))))</f>
        <v>SEM CULTURA</v>
      </c>
      <c r="AF2321" s="8" t="str">
        <f aca="false">$B2321&amp;"|"&amp;TEXT($AD2321,"0.000000")</f>
        <v>6|0.000000</v>
      </c>
      <c r="AG2321" s="18" t="n">
        <f aca="false">IF($K2321="SEM CULTURA",0,$T2321*$H2321)</f>
        <v>0</v>
      </c>
      <c r="AH2321" s="18" t="n">
        <f aca="false">IF($K2321="SEM CULTURA",0,$V2321*$H2321)</f>
        <v>0</v>
      </c>
      <c r="AI2321" s="18" t="n">
        <f aca="false">IF($K2321="SEM CULTURA",0,$W2321*$H2321)</f>
        <v>0</v>
      </c>
      <c r="AJ2321" s="18" t="n">
        <f aca="false">IF($K2321="SEM CULTURA",0,$S2321*$H2321)</f>
        <v>0</v>
      </c>
      <c r="AK2321" s="8" t="str">
        <f aca="false">$E2321&amp;"|"&amp;TEXT($AD2321,"0.000000")</f>
        <v>PV 137|0.000000</v>
      </c>
    </row>
    <row r="2322" customFormat="false" ht="15" hidden="false" customHeight="false" outlineLevel="0" collapsed="false">
      <c r="B2322" s="16" t="n">
        <v>7</v>
      </c>
      <c r="C2322" s="17" t="n">
        <f aca="false">DATA_INICIO_SAFRA+($B2322-1)*DIAS_POR_SEMANA</f>
        <v>46307</v>
      </c>
      <c r="D2322" s="17" t="n">
        <f aca="false">$C2322+DIAS_POR_SEMANA-1</f>
        <v>46313</v>
      </c>
      <c r="E2322" s="15" t="s">
        <v>294</v>
      </c>
      <c r="F2322" s="8" t="str">
        <f aca="false">IFERROR(INDEX(CADASTRO_PIVOS!$C$6:$C$41,MATCH($E2322,CADASTRO_PIVOS!$B$6:$B$41,0)),"?")</f>
        <v>RM08</v>
      </c>
      <c r="G2322" s="8" t="str">
        <f aca="false">IFERROR(INDEX(CADASTRO_PIVOS!$D$6:$D$41,MATCH($E2322,CADASTRO_PIVOS!$B$6:$B$41,0)),"?")</f>
        <v>TR08</v>
      </c>
      <c r="H2322" s="20" t="n">
        <f aca="false">IFERROR(INDEX(CADASTRO_PIVOS!$E$6:$E$41,MATCH($E2322,CADASTRO_PIVOS!$B$6:$B$41,0)),0)</f>
        <v>150</v>
      </c>
      <c r="I2322" s="16" t="n">
        <f aca="false">IFERROR(SUMIFS(ROTACAO_RDM!$B$6:$B$71,ROTACAO_RDM!$D$6:$D$71,$E2322,ROTACAO_RDM!$I$6:$I$71,"&lt;="&amp;$C2322+INT(DIAS_POR_SEMANA/2),ROTACAO_RDM!$J$6:$J$71,"&gt;="&amp;$C2322+INT(DIAS_POR_SEMANA/2)),0)</f>
        <v>0</v>
      </c>
      <c r="J2322" s="16" t="n">
        <f aca="false">IFERROR(MATCH($I2322,ROTACAO_RDM!$B$6:$B$71,0),0)</f>
        <v>0</v>
      </c>
      <c r="K2322" s="8" t="str">
        <f aca="false">IF($J2322=0,"SEM CULTURA",INDEX(ROTACAO_RDM!$F$6:$F$71,$J2322))</f>
        <v>SEM CULTURA</v>
      </c>
      <c r="L2322" s="8" t="str">
        <f aca="false">IF($J2322=0,"",INDEX(ROTACAO_RDM!$G$6:$G$71,$J2322))</f>
        <v/>
      </c>
      <c r="M2322" s="17" t="str">
        <f aca="false">IF($J2322=0,"",INDEX(ROTACAO_RDM!$I$6:$I$71,$J2322))</f>
        <v/>
      </c>
      <c r="N2322" s="16" t="n">
        <f aca="false">IF($J2322=0,0,MAX(0,$C2322+INT(DIAS_POR_SEMANA/2)-INDEX(ROTACAO_RDM!$I$6:$I$71,$J2322)))</f>
        <v>0</v>
      </c>
      <c r="O2322" s="19" t="n">
        <f aca="false">IF($J2322=0,0,MIN(1,$N2322/MAX(1,INDEX(ROTACAO_RDM!$K$6:$K$71,$J2322))))</f>
        <v>0</v>
      </c>
      <c r="P2322" s="16" t="n">
        <f aca="false">IF($J2322=0,0,IFERROR(MATCH(INDEX(ROTACAO_RDM!$N$6:$N$71,$J2322),PARAMETROS_CULTURAS!$B$6:$B$28,0),0))</f>
        <v>0</v>
      </c>
      <c r="Q2322" s="8" t="str">
        <f aca="false">IF($P2322=0,"-",IF($O2322&lt;=INDEX(PARAMETROS_CULTURAS!$F$6:$F$28,$P2322),"INICIAL",IF($O2322&lt;=INDEX(PARAMETROS_CULTURAS!$F$6:$F$28,$P2322)+INDEX(PARAMETROS_CULTURAS!$G$6:$G$28,$P2322),"DESENVOLVIMENTO",IF($O2322&lt;=INDEX(PARAMETROS_CULTURAS!$F$6:$F$28,$P2322)+INDEX(PARAMETROS_CULTURAS!$G$6:$G$28,$P2322)+INDEX(PARAMETROS_CULTURAS!$H$6:$H$28,$P2322),"MEDIA","FINAL"))))</f>
        <v>-</v>
      </c>
      <c r="R2322" s="24" t="n">
        <f aca="false">IF($P2322=0,0,IF($O2322&lt;=INDEX(PARAMETROS_CULTURAS!$F$6:$F$28,$P2322),INDEX(PARAMETROS_CULTURAS!$K$6:$K$28,$P2322),IF($O2322&lt;=INDEX(PARAMETROS_CULTURAS!$F$6:$F$28,$P2322)+INDEX(PARAMETROS_CULTURAS!$G$6:$G$28,$P2322),INDEX(PARAMETROS_CULTURAS!$K$6:$K$28,$P2322)+(INDEX(PARAMETROS_CULTURAS!$L$6:$L$28,$P2322)-INDEX(PARAMETROS_CULTURAS!$K$6:$K$28,$P2322))*($O2322-INDEX(PARAMETROS_CULTURAS!$F$6:$F$28,$P2322))/MAX(INDEX(PARAMETROS_CULTURAS!$G$6:$G$28,$P2322),0.0001),IF($O2322&lt;=INDEX(PARAMETROS_CULTURAS!$F$6:$F$28,$P2322)+INDEX(PARAMETROS_CULTURAS!$G$6:$G$28,$P2322)+INDEX(PARAMETROS_CULTURAS!$H$6:$H$28,$P2322),INDEX(PARAMETROS_CULTURAS!$L$6:$L$28,$P2322),INDEX(PARAMETROS_CULTURAS!$L$6:$L$28,$P2322)+(INDEX(PARAMETROS_CULTURAS!$M$6:$M$28,$P2322)-INDEX(PARAMETROS_CULTURAS!$L$6:$L$28,$P2322))*($O2322-INDEX(PARAMETROS_CULTURAS!$F$6:$F$28,$P2322)-INDEX(PARAMETROS_CULTURAS!$G$6:$G$28,$P2322)-INDEX(PARAMETROS_CULTURAS!$H$6:$H$28,$P2322))/MAX(INDEX(PARAMETROS_CULTURAS!$I$6:$I$28,$P2322),0.0001)))))</f>
        <v>0</v>
      </c>
      <c r="S2322" s="18" t="n">
        <f aca="false">IFERROR(INDEX(SEMANAS!$H$6:$H$71,MATCH($B2322,SEMANAS!$B$6:$B$71,0)),0)</f>
        <v>39.2</v>
      </c>
      <c r="T2322" s="18" t="n">
        <f aca="false">$R2322*$S2322</f>
        <v>0</v>
      </c>
      <c r="U2322" s="18" t="n">
        <f aca="false">IFERROR(INDEX(SEMANAS!$I$6:$I$71,MATCH($B2322,SEMANAS!$B$6:$B$71,0)),0)</f>
        <v>27.09</v>
      </c>
      <c r="V2322" s="18" t="n">
        <f aca="false">IFERROR(INDEX(SEMANAS!$J$6:$J$71,MATCH($B2322,SEMANAS!$B$6:$B$71,0)),0)</f>
        <v>21.672</v>
      </c>
      <c r="W2322" s="18" t="n">
        <f aca="false">MAX(0,$T2322-$V2322)</f>
        <v>0</v>
      </c>
      <c r="X2322" s="19" t="n">
        <f aca="false">IFERROR(INDEX(CADASTRO_PIVOS!$K$6:$K$41,MATCH($E2322,CADASTRO_PIVOS!$B$6:$B$41,0)),EFICIENCIA_PADRAO)</f>
        <v>0.85</v>
      </c>
      <c r="Y2322" s="18" t="n">
        <f aca="false">IF($X2322&lt;=0,0,$W2322/$X2322)</f>
        <v>0</v>
      </c>
      <c r="Z2322" s="16" t="n">
        <f aca="false">$Y2322*$H2322*MM_PARA_M3_HA</f>
        <v>0</v>
      </c>
      <c r="AA2322" s="18" t="n">
        <f aca="false">IFERROR(INDEX(CADASTRO_PIVOS!$I$6:$I$41,MATCH($E2322,CADASTRO_PIVOS!$B$6:$B$41,0)),0)</f>
        <v>1071.42857142857</v>
      </c>
      <c r="AB2322" s="18" t="n">
        <f aca="false">IF($Z2322&lt;=0,0,$Z2322/$AA2322)</f>
        <v>0</v>
      </c>
      <c r="AC2322" s="16" t="n">
        <f aca="false">IFERROR(INDEX(SEMANAS!$K$6:$K$71,MATCH($B2322,SEMANAS!$B$6:$B$71,0)),0)</f>
        <v>147</v>
      </c>
      <c r="AD2322" s="19" t="n">
        <f aca="false">IF($AC2322&lt;=0,0,$AB2322/$AC2322)</f>
        <v>0</v>
      </c>
      <c r="AE2322" s="8" t="str">
        <f aca="false">IF($K2322="SEM CULTURA","SEM CULTURA",IF($AA2322&lt;=0,"DADO PENDENTE",IF($AD2322&gt;LIMITE_CRITICO,"INVIAVEL",IF($AD2322&gt;LIMITE_ATENCAO,"CRITICO",IF($AD2322&gt;LIMITE_CONFORTAVEL,"ATENCAO","OK")))))</f>
        <v>SEM CULTURA</v>
      </c>
      <c r="AF2322" s="8" t="str">
        <f aca="false">$B2322&amp;"|"&amp;TEXT($AD2322,"0.000000")</f>
        <v>7|0.000000</v>
      </c>
      <c r="AG2322" s="18" t="n">
        <f aca="false">IF($K2322="SEM CULTURA",0,$T2322*$H2322)</f>
        <v>0</v>
      </c>
      <c r="AH2322" s="18" t="n">
        <f aca="false">IF($K2322="SEM CULTURA",0,$V2322*$H2322)</f>
        <v>0</v>
      </c>
      <c r="AI2322" s="18" t="n">
        <f aca="false">IF($K2322="SEM CULTURA",0,$W2322*$H2322)</f>
        <v>0</v>
      </c>
      <c r="AJ2322" s="18" t="n">
        <f aca="false">IF($K2322="SEM CULTURA",0,$S2322*$H2322)</f>
        <v>0</v>
      </c>
      <c r="AK2322" s="8" t="str">
        <f aca="false">$E2322&amp;"|"&amp;TEXT($AD2322,"0.000000")</f>
        <v>PV 137|0.000000</v>
      </c>
    </row>
    <row r="2323" customFormat="false" ht="15" hidden="false" customHeight="false" outlineLevel="0" collapsed="false">
      <c r="B2323" s="16" t="n">
        <v>8</v>
      </c>
      <c r="C2323" s="17" t="n">
        <f aca="false">DATA_INICIO_SAFRA+($B2323-1)*DIAS_POR_SEMANA</f>
        <v>46314</v>
      </c>
      <c r="D2323" s="17" t="n">
        <f aca="false">$C2323+DIAS_POR_SEMANA-1</f>
        <v>46320</v>
      </c>
      <c r="E2323" s="15" t="s">
        <v>294</v>
      </c>
      <c r="F2323" s="8" t="str">
        <f aca="false">IFERROR(INDEX(CADASTRO_PIVOS!$C$6:$C$41,MATCH($E2323,CADASTRO_PIVOS!$B$6:$B$41,0)),"?")</f>
        <v>RM08</v>
      </c>
      <c r="G2323" s="8" t="str">
        <f aca="false">IFERROR(INDEX(CADASTRO_PIVOS!$D$6:$D$41,MATCH($E2323,CADASTRO_PIVOS!$B$6:$B$41,0)),"?")</f>
        <v>TR08</v>
      </c>
      <c r="H2323" s="20" t="n">
        <f aca="false">IFERROR(INDEX(CADASTRO_PIVOS!$E$6:$E$41,MATCH($E2323,CADASTRO_PIVOS!$B$6:$B$41,0)),0)</f>
        <v>150</v>
      </c>
      <c r="I2323" s="16" t="n">
        <f aca="false">IFERROR(SUMIFS(ROTACAO_RDM!$B$6:$B$71,ROTACAO_RDM!$D$6:$D$71,$E2323,ROTACAO_RDM!$I$6:$I$71,"&lt;="&amp;$C2323+INT(DIAS_POR_SEMANA/2),ROTACAO_RDM!$J$6:$J$71,"&gt;="&amp;$C2323+INT(DIAS_POR_SEMANA/2)),0)</f>
        <v>0</v>
      </c>
      <c r="J2323" s="16" t="n">
        <f aca="false">IFERROR(MATCH($I2323,ROTACAO_RDM!$B$6:$B$71,0),0)</f>
        <v>0</v>
      </c>
      <c r="K2323" s="8" t="str">
        <f aca="false">IF($J2323=0,"SEM CULTURA",INDEX(ROTACAO_RDM!$F$6:$F$71,$J2323))</f>
        <v>SEM CULTURA</v>
      </c>
      <c r="L2323" s="8" t="str">
        <f aca="false">IF($J2323=0,"",INDEX(ROTACAO_RDM!$G$6:$G$71,$J2323))</f>
        <v/>
      </c>
      <c r="M2323" s="17" t="str">
        <f aca="false">IF($J2323=0,"",INDEX(ROTACAO_RDM!$I$6:$I$71,$J2323))</f>
        <v/>
      </c>
      <c r="N2323" s="16" t="n">
        <f aca="false">IF($J2323=0,0,MAX(0,$C2323+INT(DIAS_POR_SEMANA/2)-INDEX(ROTACAO_RDM!$I$6:$I$71,$J2323)))</f>
        <v>0</v>
      </c>
      <c r="O2323" s="19" t="n">
        <f aca="false">IF($J2323=0,0,MIN(1,$N2323/MAX(1,INDEX(ROTACAO_RDM!$K$6:$K$71,$J2323))))</f>
        <v>0</v>
      </c>
      <c r="P2323" s="16" t="n">
        <f aca="false">IF($J2323=0,0,IFERROR(MATCH(INDEX(ROTACAO_RDM!$N$6:$N$71,$J2323),PARAMETROS_CULTURAS!$B$6:$B$28,0),0))</f>
        <v>0</v>
      </c>
      <c r="Q2323" s="8" t="str">
        <f aca="false">IF($P2323=0,"-",IF($O2323&lt;=INDEX(PARAMETROS_CULTURAS!$F$6:$F$28,$P2323),"INICIAL",IF($O2323&lt;=INDEX(PARAMETROS_CULTURAS!$F$6:$F$28,$P2323)+INDEX(PARAMETROS_CULTURAS!$G$6:$G$28,$P2323),"DESENVOLVIMENTO",IF($O2323&lt;=INDEX(PARAMETROS_CULTURAS!$F$6:$F$28,$P2323)+INDEX(PARAMETROS_CULTURAS!$G$6:$G$28,$P2323)+INDEX(PARAMETROS_CULTURAS!$H$6:$H$28,$P2323),"MEDIA","FINAL"))))</f>
        <v>-</v>
      </c>
      <c r="R2323" s="24" t="n">
        <f aca="false">IF($P2323=0,0,IF($O2323&lt;=INDEX(PARAMETROS_CULTURAS!$F$6:$F$28,$P2323),INDEX(PARAMETROS_CULTURAS!$K$6:$K$28,$P2323),IF($O2323&lt;=INDEX(PARAMETROS_CULTURAS!$F$6:$F$28,$P2323)+INDEX(PARAMETROS_CULTURAS!$G$6:$G$28,$P2323),INDEX(PARAMETROS_CULTURAS!$K$6:$K$28,$P2323)+(INDEX(PARAMETROS_CULTURAS!$L$6:$L$28,$P2323)-INDEX(PARAMETROS_CULTURAS!$K$6:$K$28,$P2323))*($O2323-INDEX(PARAMETROS_CULTURAS!$F$6:$F$28,$P2323))/MAX(INDEX(PARAMETROS_CULTURAS!$G$6:$G$28,$P2323),0.0001),IF($O2323&lt;=INDEX(PARAMETROS_CULTURAS!$F$6:$F$28,$P2323)+INDEX(PARAMETROS_CULTURAS!$G$6:$G$28,$P2323)+INDEX(PARAMETROS_CULTURAS!$H$6:$H$28,$P2323),INDEX(PARAMETROS_CULTURAS!$L$6:$L$28,$P2323),INDEX(PARAMETROS_CULTURAS!$L$6:$L$28,$P2323)+(INDEX(PARAMETROS_CULTURAS!$M$6:$M$28,$P2323)-INDEX(PARAMETROS_CULTURAS!$L$6:$L$28,$P2323))*($O2323-INDEX(PARAMETROS_CULTURAS!$F$6:$F$28,$P2323)-INDEX(PARAMETROS_CULTURAS!$G$6:$G$28,$P2323)-INDEX(PARAMETROS_CULTURAS!$H$6:$H$28,$P2323))/MAX(INDEX(PARAMETROS_CULTURAS!$I$6:$I$28,$P2323),0.0001)))))</f>
        <v>0</v>
      </c>
      <c r="S2323" s="18" t="n">
        <f aca="false">IFERROR(INDEX(SEMANAS!$H$6:$H$71,MATCH($B2323,SEMANAS!$B$6:$B$71,0)),0)</f>
        <v>39.2</v>
      </c>
      <c r="T2323" s="18" t="n">
        <f aca="false">$R2323*$S2323</f>
        <v>0</v>
      </c>
      <c r="U2323" s="18" t="n">
        <f aca="false">IFERROR(INDEX(SEMANAS!$I$6:$I$71,MATCH($B2323,SEMANAS!$B$6:$B$71,0)),0)</f>
        <v>27.09</v>
      </c>
      <c r="V2323" s="18" t="n">
        <f aca="false">IFERROR(INDEX(SEMANAS!$J$6:$J$71,MATCH($B2323,SEMANAS!$B$6:$B$71,0)),0)</f>
        <v>21.672</v>
      </c>
      <c r="W2323" s="18" t="n">
        <f aca="false">MAX(0,$T2323-$V2323)</f>
        <v>0</v>
      </c>
      <c r="X2323" s="19" t="n">
        <f aca="false">IFERROR(INDEX(CADASTRO_PIVOS!$K$6:$K$41,MATCH($E2323,CADASTRO_PIVOS!$B$6:$B$41,0)),EFICIENCIA_PADRAO)</f>
        <v>0.85</v>
      </c>
      <c r="Y2323" s="18" t="n">
        <f aca="false">IF($X2323&lt;=0,0,$W2323/$X2323)</f>
        <v>0</v>
      </c>
      <c r="Z2323" s="16" t="n">
        <f aca="false">$Y2323*$H2323*MM_PARA_M3_HA</f>
        <v>0</v>
      </c>
      <c r="AA2323" s="18" t="n">
        <f aca="false">IFERROR(INDEX(CADASTRO_PIVOS!$I$6:$I$41,MATCH($E2323,CADASTRO_PIVOS!$B$6:$B$41,0)),0)</f>
        <v>1071.42857142857</v>
      </c>
      <c r="AB2323" s="18" t="n">
        <f aca="false">IF($Z2323&lt;=0,0,$Z2323/$AA2323)</f>
        <v>0</v>
      </c>
      <c r="AC2323" s="16" t="n">
        <f aca="false">IFERROR(INDEX(SEMANAS!$K$6:$K$71,MATCH($B2323,SEMANAS!$B$6:$B$71,0)),0)</f>
        <v>147</v>
      </c>
      <c r="AD2323" s="19" t="n">
        <f aca="false">IF($AC2323&lt;=0,0,$AB2323/$AC2323)</f>
        <v>0</v>
      </c>
      <c r="AE2323" s="8" t="str">
        <f aca="false">IF($K2323="SEM CULTURA","SEM CULTURA",IF($AA2323&lt;=0,"DADO PENDENTE",IF($AD2323&gt;LIMITE_CRITICO,"INVIAVEL",IF($AD2323&gt;LIMITE_ATENCAO,"CRITICO",IF($AD2323&gt;LIMITE_CONFORTAVEL,"ATENCAO","OK")))))</f>
        <v>SEM CULTURA</v>
      </c>
      <c r="AF2323" s="8" t="str">
        <f aca="false">$B2323&amp;"|"&amp;TEXT($AD2323,"0.000000")</f>
        <v>8|0.000000</v>
      </c>
      <c r="AG2323" s="18" t="n">
        <f aca="false">IF($K2323="SEM CULTURA",0,$T2323*$H2323)</f>
        <v>0</v>
      </c>
      <c r="AH2323" s="18" t="n">
        <f aca="false">IF($K2323="SEM CULTURA",0,$V2323*$H2323)</f>
        <v>0</v>
      </c>
      <c r="AI2323" s="18" t="n">
        <f aca="false">IF($K2323="SEM CULTURA",0,$W2323*$H2323)</f>
        <v>0</v>
      </c>
      <c r="AJ2323" s="18" t="n">
        <f aca="false">IF($K2323="SEM CULTURA",0,$S2323*$H2323)</f>
        <v>0</v>
      </c>
      <c r="AK2323" s="8" t="str">
        <f aca="false">$E2323&amp;"|"&amp;TEXT($AD2323,"0.000000")</f>
        <v>PV 137|0.000000</v>
      </c>
    </row>
    <row r="2324" customFormat="false" ht="15" hidden="false" customHeight="false" outlineLevel="0" collapsed="false">
      <c r="B2324" s="16" t="n">
        <v>9</v>
      </c>
      <c r="C2324" s="17" t="n">
        <f aca="false">DATA_INICIO_SAFRA+($B2324-1)*DIAS_POR_SEMANA</f>
        <v>46321</v>
      </c>
      <c r="D2324" s="17" t="n">
        <f aca="false">$C2324+DIAS_POR_SEMANA-1</f>
        <v>46327</v>
      </c>
      <c r="E2324" s="15" t="s">
        <v>294</v>
      </c>
      <c r="F2324" s="8" t="str">
        <f aca="false">IFERROR(INDEX(CADASTRO_PIVOS!$C$6:$C$41,MATCH($E2324,CADASTRO_PIVOS!$B$6:$B$41,0)),"?")</f>
        <v>RM08</v>
      </c>
      <c r="G2324" s="8" t="str">
        <f aca="false">IFERROR(INDEX(CADASTRO_PIVOS!$D$6:$D$41,MATCH($E2324,CADASTRO_PIVOS!$B$6:$B$41,0)),"?")</f>
        <v>TR08</v>
      </c>
      <c r="H2324" s="20" t="n">
        <f aca="false">IFERROR(INDEX(CADASTRO_PIVOS!$E$6:$E$41,MATCH($E2324,CADASTRO_PIVOS!$B$6:$B$41,0)),0)</f>
        <v>150</v>
      </c>
      <c r="I2324" s="16" t="n">
        <f aca="false">IFERROR(SUMIFS(ROTACAO_RDM!$B$6:$B$71,ROTACAO_RDM!$D$6:$D$71,$E2324,ROTACAO_RDM!$I$6:$I$71,"&lt;="&amp;$C2324+INT(DIAS_POR_SEMANA/2),ROTACAO_RDM!$J$6:$J$71,"&gt;="&amp;$C2324+INT(DIAS_POR_SEMANA/2)),0)</f>
        <v>0</v>
      </c>
      <c r="J2324" s="16" t="n">
        <f aca="false">IFERROR(MATCH($I2324,ROTACAO_RDM!$B$6:$B$71,0),0)</f>
        <v>0</v>
      </c>
      <c r="K2324" s="8" t="str">
        <f aca="false">IF($J2324=0,"SEM CULTURA",INDEX(ROTACAO_RDM!$F$6:$F$71,$J2324))</f>
        <v>SEM CULTURA</v>
      </c>
      <c r="L2324" s="8" t="str">
        <f aca="false">IF($J2324=0,"",INDEX(ROTACAO_RDM!$G$6:$G$71,$J2324))</f>
        <v/>
      </c>
      <c r="M2324" s="17" t="str">
        <f aca="false">IF($J2324=0,"",INDEX(ROTACAO_RDM!$I$6:$I$71,$J2324))</f>
        <v/>
      </c>
      <c r="N2324" s="16" t="n">
        <f aca="false">IF($J2324=0,0,MAX(0,$C2324+INT(DIAS_POR_SEMANA/2)-INDEX(ROTACAO_RDM!$I$6:$I$71,$J2324)))</f>
        <v>0</v>
      </c>
      <c r="O2324" s="19" t="n">
        <f aca="false">IF($J2324=0,0,MIN(1,$N2324/MAX(1,INDEX(ROTACAO_RDM!$K$6:$K$71,$J2324))))</f>
        <v>0</v>
      </c>
      <c r="P2324" s="16" t="n">
        <f aca="false">IF($J2324=0,0,IFERROR(MATCH(INDEX(ROTACAO_RDM!$N$6:$N$71,$J2324),PARAMETROS_CULTURAS!$B$6:$B$28,0),0))</f>
        <v>0</v>
      </c>
      <c r="Q2324" s="8" t="str">
        <f aca="false">IF($P2324=0,"-",IF($O2324&lt;=INDEX(PARAMETROS_CULTURAS!$F$6:$F$28,$P2324),"INICIAL",IF($O2324&lt;=INDEX(PARAMETROS_CULTURAS!$F$6:$F$28,$P2324)+INDEX(PARAMETROS_CULTURAS!$G$6:$G$28,$P2324),"DESENVOLVIMENTO",IF($O2324&lt;=INDEX(PARAMETROS_CULTURAS!$F$6:$F$28,$P2324)+INDEX(PARAMETROS_CULTURAS!$G$6:$G$28,$P2324)+INDEX(PARAMETROS_CULTURAS!$H$6:$H$28,$P2324),"MEDIA","FINAL"))))</f>
        <v>-</v>
      </c>
      <c r="R2324" s="24" t="n">
        <f aca="false">IF($P2324=0,0,IF($O2324&lt;=INDEX(PARAMETROS_CULTURAS!$F$6:$F$28,$P2324),INDEX(PARAMETROS_CULTURAS!$K$6:$K$28,$P2324),IF($O2324&lt;=INDEX(PARAMETROS_CULTURAS!$F$6:$F$28,$P2324)+INDEX(PARAMETROS_CULTURAS!$G$6:$G$28,$P2324),INDEX(PARAMETROS_CULTURAS!$K$6:$K$28,$P2324)+(INDEX(PARAMETROS_CULTURAS!$L$6:$L$28,$P2324)-INDEX(PARAMETROS_CULTURAS!$K$6:$K$28,$P2324))*($O2324-INDEX(PARAMETROS_CULTURAS!$F$6:$F$28,$P2324))/MAX(INDEX(PARAMETROS_CULTURAS!$G$6:$G$28,$P2324),0.0001),IF($O2324&lt;=INDEX(PARAMETROS_CULTURAS!$F$6:$F$28,$P2324)+INDEX(PARAMETROS_CULTURAS!$G$6:$G$28,$P2324)+INDEX(PARAMETROS_CULTURAS!$H$6:$H$28,$P2324),INDEX(PARAMETROS_CULTURAS!$L$6:$L$28,$P2324),INDEX(PARAMETROS_CULTURAS!$L$6:$L$28,$P2324)+(INDEX(PARAMETROS_CULTURAS!$M$6:$M$28,$P2324)-INDEX(PARAMETROS_CULTURAS!$L$6:$L$28,$P2324))*($O2324-INDEX(PARAMETROS_CULTURAS!$F$6:$F$28,$P2324)-INDEX(PARAMETROS_CULTURAS!$G$6:$G$28,$P2324)-INDEX(PARAMETROS_CULTURAS!$H$6:$H$28,$P2324))/MAX(INDEX(PARAMETROS_CULTURAS!$I$6:$I$28,$P2324),0.0001)))))</f>
        <v>0</v>
      </c>
      <c r="S2324" s="18" t="n">
        <f aca="false">IFERROR(INDEX(SEMANAS!$H$6:$H$71,MATCH($B2324,SEMANAS!$B$6:$B$71,0)),0)</f>
        <v>38.5</v>
      </c>
      <c r="T2324" s="18" t="n">
        <f aca="false">$R2324*$S2324</f>
        <v>0</v>
      </c>
      <c r="U2324" s="18" t="n">
        <f aca="false">IFERROR(INDEX(SEMANAS!$I$6:$I$71,MATCH($B2324,SEMANAS!$B$6:$B$71,0)),0)</f>
        <v>29.89</v>
      </c>
      <c r="V2324" s="18" t="n">
        <f aca="false">IFERROR(INDEX(SEMANAS!$J$6:$J$71,MATCH($B2324,SEMANAS!$B$6:$B$71,0)),0)</f>
        <v>23.912</v>
      </c>
      <c r="W2324" s="18" t="n">
        <f aca="false">MAX(0,$T2324-$V2324)</f>
        <v>0</v>
      </c>
      <c r="X2324" s="19" t="n">
        <f aca="false">IFERROR(INDEX(CADASTRO_PIVOS!$K$6:$K$41,MATCH($E2324,CADASTRO_PIVOS!$B$6:$B$41,0)),EFICIENCIA_PADRAO)</f>
        <v>0.85</v>
      </c>
      <c r="Y2324" s="18" t="n">
        <f aca="false">IF($X2324&lt;=0,0,$W2324/$X2324)</f>
        <v>0</v>
      </c>
      <c r="Z2324" s="16" t="n">
        <f aca="false">$Y2324*$H2324*MM_PARA_M3_HA</f>
        <v>0</v>
      </c>
      <c r="AA2324" s="18" t="n">
        <f aca="false">IFERROR(INDEX(CADASTRO_PIVOS!$I$6:$I$41,MATCH($E2324,CADASTRO_PIVOS!$B$6:$B$41,0)),0)</f>
        <v>1071.42857142857</v>
      </c>
      <c r="AB2324" s="18" t="n">
        <f aca="false">IF($Z2324&lt;=0,0,$Z2324/$AA2324)</f>
        <v>0</v>
      </c>
      <c r="AC2324" s="16" t="n">
        <f aca="false">IFERROR(INDEX(SEMANAS!$K$6:$K$71,MATCH($B2324,SEMANAS!$B$6:$B$71,0)),0)</f>
        <v>147</v>
      </c>
      <c r="AD2324" s="19" t="n">
        <f aca="false">IF($AC2324&lt;=0,0,$AB2324/$AC2324)</f>
        <v>0</v>
      </c>
      <c r="AE2324" s="8" t="str">
        <f aca="false">IF($K2324="SEM CULTURA","SEM CULTURA",IF($AA2324&lt;=0,"DADO PENDENTE",IF($AD2324&gt;LIMITE_CRITICO,"INVIAVEL",IF($AD2324&gt;LIMITE_ATENCAO,"CRITICO",IF($AD2324&gt;LIMITE_CONFORTAVEL,"ATENCAO","OK")))))</f>
        <v>SEM CULTURA</v>
      </c>
      <c r="AF2324" s="8" t="str">
        <f aca="false">$B2324&amp;"|"&amp;TEXT($AD2324,"0.000000")</f>
        <v>9|0.000000</v>
      </c>
      <c r="AG2324" s="18" t="n">
        <f aca="false">IF($K2324="SEM CULTURA",0,$T2324*$H2324)</f>
        <v>0</v>
      </c>
      <c r="AH2324" s="18" t="n">
        <f aca="false">IF($K2324="SEM CULTURA",0,$V2324*$H2324)</f>
        <v>0</v>
      </c>
      <c r="AI2324" s="18" t="n">
        <f aca="false">IF($K2324="SEM CULTURA",0,$W2324*$H2324)</f>
        <v>0</v>
      </c>
      <c r="AJ2324" s="18" t="n">
        <f aca="false">IF($K2324="SEM CULTURA",0,$S2324*$H2324)</f>
        <v>0</v>
      </c>
      <c r="AK2324" s="8" t="str">
        <f aca="false">$E2324&amp;"|"&amp;TEXT($AD2324,"0.000000")</f>
        <v>PV 137|0.000000</v>
      </c>
    </row>
    <row r="2325" customFormat="false" ht="15" hidden="false" customHeight="false" outlineLevel="0" collapsed="false">
      <c r="B2325" s="16" t="n">
        <v>10</v>
      </c>
      <c r="C2325" s="17" t="n">
        <f aca="false">DATA_INICIO_SAFRA+($B2325-1)*DIAS_POR_SEMANA</f>
        <v>46328</v>
      </c>
      <c r="D2325" s="17" t="n">
        <f aca="false">$C2325+DIAS_POR_SEMANA-1</f>
        <v>46334</v>
      </c>
      <c r="E2325" s="15" t="s">
        <v>294</v>
      </c>
      <c r="F2325" s="8" t="str">
        <f aca="false">IFERROR(INDEX(CADASTRO_PIVOS!$C$6:$C$41,MATCH($E2325,CADASTRO_PIVOS!$B$6:$B$41,0)),"?")</f>
        <v>RM08</v>
      </c>
      <c r="G2325" s="8" t="str">
        <f aca="false">IFERROR(INDEX(CADASTRO_PIVOS!$D$6:$D$41,MATCH($E2325,CADASTRO_PIVOS!$B$6:$B$41,0)),"?")</f>
        <v>TR08</v>
      </c>
      <c r="H2325" s="20" t="n">
        <f aca="false">IFERROR(INDEX(CADASTRO_PIVOS!$E$6:$E$41,MATCH($E2325,CADASTRO_PIVOS!$B$6:$B$41,0)),0)</f>
        <v>150</v>
      </c>
      <c r="I2325" s="16" t="n">
        <f aca="false">IFERROR(SUMIFS(ROTACAO_RDM!$B$6:$B$71,ROTACAO_RDM!$D$6:$D$71,$E2325,ROTACAO_RDM!$I$6:$I$71,"&lt;="&amp;$C2325+INT(DIAS_POR_SEMANA/2),ROTACAO_RDM!$J$6:$J$71,"&gt;="&amp;$C2325+INT(DIAS_POR_SEMANA/2)),0)</f>
        <v>0</v>
      </c>
      <c r="J2325" s="16" t="n">
        <f aca="false">IFERROR(MATCH($I2325,ROTACAO_RDM!$B$6:$B$71,0),0)</f>
        <v>0</v>
      </c>
      <c r="K2325" s="8" t="str">
        <f aca="false">IF($J2325=0,"SEM CULTURA",INDEX(ROTACAO_RDM!$F$6:$F$71,$J2325))</f>
        <v>SEM CULTURA</v>
      </c>
      <c r="L2325" s="8" t="str">
        <f aca="false">IF($J2325=0,"",INDEX(ROTACAO_RDM!$G$6:$G$71,$J2325))</f>
        <v/>
      </c>
      <c r="M2325" s="17" t="str">
        <f aca="false">IF($J2325=0,"",INDEX(ROTACAO_RDM!$I$6:$I$71,$J2325))</f>
        <v/>
      </c>
      <c r="N2325" s="16" t="n">
        <f aca="false">IF($J2325=0,0,MAX(0,$C2325+INT(DIAS_POR_SEMANA/2)-INDEX(ROTACAO_RDM!$I$6:$I$71,$J2325)))</f>
        <v>0</v>
      </c>
      <c r="O2325" s="19" t="n">
        <f aca="false">IF($J2325=0,0,MIN(1,$N2325/MAX(1,INDEX(ROTACAO_RDM!$K$6:$K$71,$J2325))))</f>
        <v>0</v>
      </c>
      <c r="P2325" s="16" t="n">
        <f aca="false">IF($J2325=0,0,IFERROR(MATCH(INDEX(ROTACAO_RDM!$N$6:$N$71,$J2325),PARAMETROS_CULTURAS!$B$6:$B$28,0),0))</f>
        <v>0</v>
      </c>
      <c r="Q2325" s="8" t="str">
        <f aca="false">IF($P2325=0,"-",IF($O2325&lt;=INDEX(PARAMETROS_CULTURAS!$F$6:$F$28,$P2325),"INICIAL",IF($O2325&lt;=INDEX(PARAMETROS_CULTURAS!$F$6:$F$28,$P2325)+INDEX(PARAMETROS_CULTURAS!$G$6:$G$28,$P2325),"DESENVOLVIMENTO",IF($O2325&lt;=INDEX(PARAMETROS_CULTURAS!$F$6:$F$28,$P2325)+INDEX(PARAMETROS_CULTURAS!$G$6:$G$28,$P2325)+INDEX(PARAMETROS_CULTURAS!$H$6:$H$28,$P2325),"MEDIA","FINAL"))))</f>
        <v>-</v>
      </c>
      <c r="R2325" s="24" t="n">
        <f aca="false">IF($P2325=0,0,IF($O2325&lt;=INDEX(PARAMETROS_CULTURAS!$F$6:$F$28,$P2325),INDEX(PARAMETROS_CULTURAS!$K$6:$K$28,$P2325),IF($O2325&lt;=INDEX(PARAMETROS_CULTURAS!$F$6:$F$28,$P2325)+INDEX(PARAMETROS_CULTURAS!$G$6:$G$28,$P2325),INDEX(PARAMETROS_CULTURAS!$K$6:$K$28,$P2325)+(INDEX(PARAMETROS_CULTURAS!$L$6:$L$28,$P2325)-INDEX(PARAMETROS_CULTURAS!$K$6:$K$28,$P2325))*($O2325-INDEX(PARAMETROS_CULTURAS!$F$6:$F$28,$P2325))/MAX(INDEX(PARAMETROS_CULTURAS!$G$6:$G$28,$P2325),0.0001),IF($O2325&lt;=INDEX(PARAMETROS_CULTURAS!$F$6:$F$28,$P2325)+INDEX(PARAMETROS_CULTURAS!$G$6:$G$28,$P2325)+INDEX(PARAMETROS_CULTURAS!$H$6:$H$28,$P2325),INDEX(PARAMETROS_CULTURAS!$L$6:$L$28,$P2325),INDEX(PARAMETROS_CULTURAS!$L$6:$L$28,$P2325)+(INDEX(PARAMETROS_CULTURAS!$M$6:$M$28,$P2325)-INDEX(PARAMETROS_CULTURAS!$L$6:$L$28,$P2325))*($O2325-INDEX(PARAMETROS_CULTURAS!$F$6:$F$28,$P2325)-INDEX(PARAMETROS_CULTURAS!$G$6:$G$28,$P2325)-INDEX(PARAMETROS_CULTURAS!$H$6:$H$28,$P2325))/MAX(INDEX(PARAMETROS_CULTURAS!$I$6:$I$28,$P2325),0.0001)))))</f>
        <v>0</v>
      </c>
      <c r="S2325" s="18" t="n">
        <f aca="false">IFERROR(INDEX(SEMANAS!$H$6:$H$71,MATCH($B2325,SEMANAS!$B$6:$B$71,0)),0)</f>
        <v>34.3</v>
      </c>
      <c r="T2325" s="18" t="n">
        <f aca="false">$R2325*$S2325</f>
        <v>0</v>
      </c>
      <c r="U2325" s="18" t="n">
        <f aca="false">IFERROR(INDEX(SEMANAS!$I$6:$I$71,MATCH($B2325,SEMANAS!$B$6:$B$71,0)),0)</f>
        <v>46.69</v>
      </c>
      <c r="V2325" s="18" t="n">
        <f aca="false">IFERROR(INDEX(SEMANAS!$J$6:$J$71,MATCH($B2325,SEMANAS!$B$6:$B$71,0)),0)</f>
        <v>37.352</v>
      </c>
      <c r="W2325" s="18" t="n">
        <f aca="false">MAX(0,$T2325-$V2325)</f>
        <v>0</v>
      </c>
      <c r="X2325" s="19" t="n">
        <f aca="false">IFERROR(INDEX(CADASTRO_PIVOS!$K$6:$K$41,MATCH($E2325,CADASTRO_PIVOS!$B$6:$B$41,0)),EFICIENCIA_PADRAO)</f>
        <v>0.85</v>
      </c>
      <c r="Y2325" s="18" t="n">
        <f aca="false">IF($X2325&lt;=0,0,$W2325/$X2325)</f>
        <v>0</v>
      </c>
      <c r="Z2325" s="16" t="n">
        <f aca="false">$Y2325*$H2325*MM_PARA_M3_HA</f>
        <v>0</v>
      </c>
      <c r="AA2325" s="18" t="n">
        <f aca="false">IFERROR(INDEX(CADASTRO_PIVOS!$I$6:$I$41,MATCH($E2325,CADASTRO_PIVOS!$B$6:$B$41,0)),0)</f>
        <v>1071.42857142857</v>
      </c>
      <c r="AB2325" s="18" t="n">
        <f aca="false">IF($Z2325&lt;=0,0,$Z2325/$AA2325)</f>
        <v>0</v>
      </c>
      <c r="AC2325" s="16" t="n">
        <f aca="false">IFERROR(INDEX(SEMANAS!$K$6:$K$71,MATCH($B2325,SEMANAS!$B$6:$B$71,0)),0)</f>
        <v>147</v>
      </c>
      <c r="AD2325" s="19" t="n">
        <f aca="false">IF($AC2325&lt;=0,0,$AB2325/$AC2325)</f>
        <v>0</v>
      </c>
      <c r="AE2325" s="8" t="str">
        <f aca="false">IF($K2325="SEM CULTURA","SEM CULTURA",IF($AA2325&lt;=0,"DADO PENDENTE",IF($AD2325&gt;LIMITE_CRITICO,"INVIAVEL",IF($AD2325&gt;LIMITE_ATENCAO,"CRITICO",IF($AD2325&gt;LIMITE_CONFORTAVEL,"ATENCAO","OK")))))</f>
        <v>SEM CULTURA</v>
      </c>
      <c r="AF2325" s="8" t="str">
        <f aca="false">$B2325&amp;"|"&amp;TEXT($AD2325,"0.000000")</f>
        <v>10|0.000000</v>
      </c>
      <c r="AG2325" s="18" t="n">
        <f aca="false">IF($K2325="SEM CULTURA",0,$T2325*$H2325)</f>
        <v>0</v>
      </c>
      <c r="AH2325" s="18" t="n">
        <f aca="false">IF($K2325="SEM CULTURA",0,$V2325*$H2325)</f>
        <v>0</v>
      </c>
      <c r="AI2325" s="18" t="n">
        <f aca="false">IF($K2325="SEM CULTURA",0,$W2325*$H2325)</f>
        <v>0</v>
      </c>
      <c r="AJ2325" s="18" t="n">
        <f aca="false">IF($K2325="SEM CULTURA",0,$S2325*$H2325)</f>
        <v>0</v>
      </c>
      <c r="AK2325" s="8" t="str">
        <f aca="false">$E2325&amp;"|"&amp;TEXT($AD2325,"0.000000")</f>
        <v>PV 137|0.000000</v>
      </c>
    </row>
    <row r="2326" customFormat="false" ht="15" hidden="false" customHeight="false" outlineLevel="0" collapsed="false">
      <c r="B2326" s="16" t="n">
        <v>11</v>
      </c>
      <c r="C2326" s="17" t="n">
        <f aca="false">DATA_INICIO_SAFRA+($B2326-1)*DIAS_POR_SEMANA</f>
        <v>46335</v>
      </c>
      <c r="D2326" s="17" t="n">
        <f aca="false">$C2326+DIAS_POR_SEMANA-1</f>
        <v>46341</v>
      </c>
      <c r="E2326" s="15" t="s">
        <v>294</v>
      </c>
      <c r="F2326" s="8" t="str">
        <f aca="false">IFERROR(INDEX(CADASTRO_PIVOS!$C$6:$C$41,MATCH($E2326,CADASTRO_PIVOS!$B$6:$B$41,0)),"?")</f>
        <v>RM08</v>
      </c>
      <c r="G2326" s="8" t="str">
        <f aca="false">IFERROR(INDEX(CADASTRO_PIVOS!$D$6:$D$41,MATCH($E2326,CADASTRO_PIVOS!$B$6:$B$41,0)),"?")</f>
        <v>TR08</v>
      </c>
      <c r="H2326" s="20" t="n">
        <f aca="false">IFERROR(INDEX(CADASTRO_PIVOS!$E$6:$E$41,MATCH($E2326,CADASTRO_PIVOS!$B$6:$B$41,0)),0)</f>
        <v>150</v>
      </c>
      <c r="I2326" s="16" t="n">
        <f aca="false">IFERROR(SUMIFS(ROTACAO_RDM!$B$6:$B$71,ROTACAO_RDM!$D$6:$D$71,$E2326,ROTACAO_RDM!$I$6:$I$71,"&lt;="&amp;$C2326+INT(DIAS_POR_SEMANA/2),ROTACAO_RDM!$J$6:$J$71,"&gt;="&amp;$C2326+INT(DIAS_POR_SEMANA/2)),0)</f>
        <v>0</v>
      </c>
      <c r="J2326" s="16" t="n">
        <f aca="false">IFERROR(MATCH($I2326,ROTACAO_RDM!$B$6:$B$71,0),0)</f>
        <v>0</v>
      </c>
      <c r="K2326" s="8" t="str">
        <f aca="false">IF($J2326=0,"SEM CULTURA",INDEX(ROTACAO_RDM!$F$6:$F$71,$J2326))</f>
        <v>SEM CULTURA</v>
      </c>
      <c r="L2326" s="8" t="str">
        <f aca="false">IF($J2326=0,"",INDEX(ROTACAO_RDM!$G$6:$G$71,$J2326))</f>
        <v/>
      </c>
      <c r="M2326" s="17" t="str">
        <f aca="false">IF($J2326=0,"",INDEX(ROTACAO_RDM!$I$6:$I$71,$J2326))</f>
        <v/>
      </c>
      <c r="N2326" s="16" t="n">
        <f aca="false">IF($J2326=0,0,MAX(0,$C2326+INT(DIAS_POR_SEMANA/2)-INDEX(ROTACAO_RDM!$I$6:$I$71,$J2326)))</f>
        <v>0</v>
      </c>
      <c r="O2326" s="19" t="n">
        <f aca="false">IF($J2326=0,0,MIN(1,$N2326/MAX(1,INDEX(ROTACAO_RDM!$K$6:$K$71,$J2326))))</f>
        <v>0</v>
      </c>
      <c r="P2326" s="16" t="n">
        <f aca="false">IF($J2326=0,0,IFERROR(MATCH(INDEX(ROTACAO_RDM!$N$6:$N$71,$J2326),PARAMETROS_CULTURAS!$B$6:$B$28,0),0))</f>
        <v>0</v>
      </c>
      <c r="Q2326" s="8" t="str">
        <f aca="false">IF($P2326=0,"-",IF($O2326&lt;=INDEX(PARAMETROS_CULTURAS!$F$6:$F$28,$P2326),"INICIAL",IF($O2326&lt;=INDEX(PARAMETROS_CULTURAS!$F$6:$F$28,$P2326)+INDEX(PARAMETROS_CULTURAS!$G$6:$G$28,$P2326),"DESENVOLVIMENTO",IF($O2326&lt;=INDEX(PARAMETROS_CULTURAS!$F$6:$F$28,$P2326)+INDEX(PARAMETROS_CULTURAS!$G$6:$G$28,$P2326)+INDEX(PARAMETROS_CULTURAS!$H$6:$H$28,$P2326),"MEDIA","FINAL"))))</f>
        <v>-</v>
      </c>
      <c r="R2326" s="24" t="n">
        <f aca="false">IF($P2326=0,0,IF($O2326&lt;=INDEX(PARAMETROS_CULTURAS!$F$6:$F$28,$P2326),INDEX(PARAMETROS_CULTURAS!$K$6:$K$28,$P2326),IF($O2326&lt;=INDEX(PARAMETROS_CULTURAS!$F$6:$F$28,$P2326)+INDEX(PARAMETROS_CULTURAS!$G$6:$G$28,$P2326),INDEX(PARAMETROS_CULTURAS!$K$6:$K$28,$P2326)+(INDEX(PARAMETROS_CULTURAS!$L$6:$L$28,$P2326)-INDEX(PARAMETROS_CULTURAS!$K$6:$K$28,$P2326))*($O2326-INDEX(PARAMETROS_CULTURAS!$F$6:$F$28,$P2326))/MAX(INDEX(PARAMETROS_CULTURAS!$G$6:$G$28,$P2326),0.0001),IF($O2326&lt;=INDEX(PARAMETROS_CULTURAS!$F$6:$F$28,$P2326)+INDEX(PARAMETROS_CULTURAS!$G$6:$G$28,$P2326)+INDEX(PARAMETROS_CULTURAS!$H$6:$H$28,$P2326),INDEX(PARAMETROS_CULTURAS!$L$6:$L$28,$P2326),INDEX(PARAMETROS_CULTURAS!$L$6:$L$28,$P2326)+(INDEX(PARAMETROS_CULTURAS!$M$6:$M$28,$P2326)-INDEX(PARAMETROS_CULTURAS!$L$6:$L$28,$P2326))*($O2326-INDEX(PARAMETROS_CULTURAS!$F$6:$F$28,$P2326)-INDEX(PARAMETROS_CULTURAS!$G$6:$G$28,$P2326)-INDEX(PARAMETROS_CULTURAS!$H$6:$H$28,$P2326))/MAX(INDEX(PARAMETROS_CULTURAS!$I$6:$I$28,$P2326),0.0001)))))</f>
        <v>0</v>
      </c>
      <c r="S2326" s="18" t="n">
        <f aca="false">IFERROR(INDEX(SEMANAS!$H$6:$H$71,MATCH($B2326,SEMANAS!$B$6:$B$71,0)),0)</f>
        <v>34.3</v>
      </c>
      <c r="T2326" s="18" t="n">
        <f aca="false">$R2326*$S2326</f>
        <v>0</v>
      </c>
      <c r="U2326" s="18" t="n">
        <f aca="false">IFERROR(INDEX(SEMANAS!$I$6:$I$71,MATCH($B2326,SEMANAS!$B$6:$B$71,0)),0)</f>
        <v>46.69</v>
      </c>
      <c r="V2326" s="18" t="n">
        <f aca="false">IFERROR(INDEX(SEMANAS!$J$6:$J$71,MATCH($B2326,SEMANAS!$B$6:$B$71,0)),0)</f>
        <v>37.352</v>
      </c>
      <c r="W2326" s="18" t="n">
        <f aca="false">MAX(0,$T2326-$V2326)</f>
        <v>0</v>
      </c>
      <c r="X2326" s="19" t="n">
        <f aca="false">IFERROR(INDEX(CADASTRO_PIVOS!$K$6:$K$41,MATCH($E2326,CADASTRO_PIVOS!$B$6:$B$41,0)),EFICIENCIA_PADRAO)</f>
        <v>0.85</v>
      </c>
      <c r="Y2326" s="18" t="n">
        <f aca="false">IF($X2326&lt;=0,0,$W2326/$X2326)</f>
        <v>0</v>
      </c>
      <c r="Z2326" s="16" t="n">
        <f aca="false">$Y2326*$H2326*MM_PARA_M3_HA</f>
        <v>0</v>
      </c>
      <c r="AA2326" s="18" t="n">
        <f aca="false">IFERROR(INDEX(CADASTRO_PIVOS!$I$6:$I$41,MATCH($E2326,CADASTRO_PIVOS!$B$6:$B$41,0)),0)</f>
        <v>1071.42857142857</v>
      </c>
      <c r="AB2326" s="18" t="n">
        <f aca="false">IF($Z2326&lt;=0,0,$Z2326/$AA2326)</f>
        <v>0</v>
      </c>
      <c r="AC2326" s="16" t="n">
        <f aca="false">IFERROR(INDEX(SEMANAS!$K$6:$K$71,MATCH($B2326,SEMANAS!$B$6:$B$71,0)),0)</f>
        <v>147</v>
      </c>
      <c r="AD2326" s="19" t="n">
        <f aca="false">IF($AC2326&lt;=0,0,$AB2326/$AC2326)</f>
        <v>0</v>
      </c>
      <c r="AE2326" s="8" t="str">
        <f aca="false">IF($K2326="SEM CULTURA","SEM CULTURA",IF($AA2326&lt;=0,"DADO PENDENTE",IF($AD2326&gt;LIMITE_CRITICO,"INVIAVEL",IF($AD2326&gt;LIMITE_ATENCAO,"CRITICO",IF($AD2326&gt;LIMITE_CONFORTAVEL,"ATENCAO","OK")))))</f>
        <v>SEM CULTURA</v>
      </c>
      <c r="AF2326" s="8" t="str">
        <f aca="false">$B2326&amp;"|"&amp;TEXT($AD2326,"0.000000")</f>
        <v>11|0.000000</v>
      </c>
      <c r="AG2326" s="18" t="n">
        <f aca="false">IF($K2326="SEM CULTURA",0,$T2326*$H2326)</f>
        <v>0</v>
      </c>
      <c r="AH2326" s="18" t="n">
        <f aca="false">IF($K2326="SEM CULTURA",0,$V2326*$H2326)</f>
        <v>0</v>
      </c>
      <c r="AI2326" s="18" t="n">
        <f aca="false">IF($K2326="SEM CULTURA",0,$W2326*$H2326)</f>
        <v>0</v>
      </c>
      <c r="AJ2326" s="18" t="n">
        <f aca="false">IF($K2326="SEM CULTURA",0,$S2326*$H2326)</f>
        <v>0</v>
      </c>
      <c r="AK2326" s="8" t="str">
        <f aca="false">$E2326&amp;"|"&amp;TEXT($AD2326,"0.000000")</f>
        <v>PV 137|0.000000</v>
      </c>
    </row>
    <row r="2327" customFormat="false" ht="15" hidden="false" customHeight="false" outlineLevel="0" collapsed="false">
      <c r="B2327" s="16" t="n">
        <v>12</v>
      </c>
      <c r="C2327" s="17" t="n">
        <f aca="false">DATA_INICIO_SAFRA+($B2327-1)*DIAS_POR_SEMANA</f>
        <v>46342</v>
      </c>
      <c r="D2327" s="17" t="n">
        <f aca="false">$C2327+DIAS_POR_SEMANA-1</f>
        <v>46348</v>
      </c>
      <c r="E2327" s="15" t="s">
        <v>294</v>
      </c>
      <c r="F2327" s="8" t="str">
        <f aca="false">IFERROR(INDEX(CADASTRO_PIVOS!$C$6:$C$41,MATCH($E2327,CADASTRO_PIVOS!$B$6:$B$41,0)),"?")</f>
        <v>RM08</v>
      </c>
      <c r="G2327" s="8" t="str">
        <f aca="false">IFERROR(INDEX(CADASTRO_PIVOS!$D$6:$D$41,MATCH($E2327,CADASTRO_PIVOS!$B$6:$B$41,0)),"?")</f>
        <v>TR08</v>
      </c>
      <c r="H2327" s="20" t="n">
        <f aca="false">IFERROR(INDEX(CADASTRO_PIVOS!$E$6:$E$41,MATCH($E2327,CADASTRO_PIVOS!$B$6:$B$41,0)),0)</f>
        <v>150</v>
      </c>
      <c r="I2327" s="16" t="n">
        <f aca="false">IFERROR(SUMIFS(ROTACAO_RDM!$B$6:$B$71,ROTACAO_RDM!$D$6:$D$71,$E2327,ROTACAO_RDM!$I$6:$I$71,"&lt;="&amp;$C2327+INT(DIAS_POR_SEMANA/2),ROTACAO_RDM!$J$6:$J$71,"&gt;="&amp;$C2327+INT(DIAS_POR_SEMANA/2)),0)</f>
        <v>0</v>
      </c>
      <c r="J2327" s="16" t="n">
        <f aca="false">IFERROR(MATCH($I2327,ROTACAO_RDM!$B$6:$B$71,0),0)</f>
        <v>0</v>
      </c>
      <c r="K2327" s="8" t="str">
        <f aca="false">IF($J2327=0,"SEM CULTURA",INDEX(ROTACAO_RDM!$F$6:$F$71,$J2327))</f>
        <v>SEM CULTURA</v>
      </c>
      <c r="L2327" s="8" t="str">
        <f aca="false">IF($J2327=0,"",INDEX(ROTACAO_RDM!$G$6:$G$71,$J2327))</f>
        <v/>
      </c>
      <c r="M2327" s="17" t="str">
        <f aca="false">IF($J2327=0,"",INDEX(ROTACAO_RDM!$I$6:$I$71,$J2327))</f>
        <v/>
      </c>
      <c r="N2327" s="16" t="n">
        <f aca="false">IF($J2327=0,0,MAX(0,$C2327+INT(DIAS_POR_SEMANA/2)-INDEX(ROTACAO_RDM!$I$6:$I$71,$J2327)))</f>
        <v>0</v>
      </c>
      <c r="O2327" s="19" t="n">
        <f aca="false">IF($J2327=0,0,MIN(1,$N2327/MAX(1,INDEX(ROTACAO_RDM!$K$6:$K$71,$J2327))))</f>
        <v>0</v>
      </c>
      <c r="P2327" s="16" t="n">
        <f aca="false">IF($J2327=0,0,IFERROR(MATCH(INDEX(ROTACAO_RDM!$N$6:$N$71,$J2327),PARAMETROS_CULTURAS!$B$6:$B$28,0),0))</f>
        <v>0</v>
      </c>
      <c r="Q2327" s="8" t="str">
        <f aca="false">IF($P2327=0,"-",IF($O2327&lt;=INDEX(PARAMETROS_CULTURAS!$F$6:$F$28,$P2327),"INICIAL",IF($O2327&lt;=INDEX(PARAMETROS_CULTURAS!$F$6:$F$28,$P2327)+INDEX(PARAMETROS_CULTURAS!$G$6:$G$28,$P2327),"DESENVOLVIMENTO",IF($O2327&lt;=INDEX(PARAMETROS_CULTURAS!$F$6:$F$28,$P2327)+INDEX(PARAMETROS_CULTURAS!$G$6:$G$28,$P2327)+INDEX(PARAMETROS_CULTURAS!$H$6:$H$28,$P2327),"MEDIA","FINAL"))))</f>
        <v>-</v>
      </c>
      <c r="R2327" s="24" t="n">
        <f aca="false">IF($P2327=0,0,IF($O2327&lt;=INDEX(PARAMETROS_CULTURAS!$F$6:$F$28,$P2327),INDEX(PARAMETROS_CULTURAS!$K$6:$K$28,$P2327),IF($O2327&lt;=INDEX(PARAMETROS_CULTURAS!$F$6:$F$28,$P2327)+INDEX(PARAMETROS_CULTURAS!$G$6:$G$28,$P2327),INDEX(PARAMETROS_CULTURAS!$K$6:$K$28,$P2327)+(INDEX(PARAMETROS_CULTURAS!$L$6:$L$28,$P2327)-INDEX(PARAMETROS_CULTURAS!$K$6:$K$28,$P2327))*($O2327-INDEX(PARAMETROS_CULTURAS!$F$6:$F$28,$P2327))/MAX(INDEX(PARAMETROS_CULTURAS!$G$6:$G$28,$P2327),0.0001),IF($O2327&lt;=INDEX(PARAMETROS_CULTURAS!$F$6:$F$28,$P2327)+INDEX(PARAMETROS_CULTURAS!$G$6:$G$28,$P2327)+INDEX(PARAMETROS_CULTURAS!$H$6:$H$28,$P2327),INDEX(PARAMETROS_CULTURAS!$L$6:$L$28,$P2327),INDEX(PARAMETROS_CULTURAS!$L$6:$L$28,$P2327)+(INDEX(PARAMETROS_CULTURAS!$M$6:$M$28,$P2327)-INDEX(PARAMETROS_CULTURAS!$L$6:$L$28,$P2327))*($O2327-INDEX(PARAMETROS_CULTURAS!$F$6:$F$28,$P2327)-INDEX(PARAMETROS_CULTURAS!$G$6:$G$28,$P2327)-INDEX(PARAMETROS_CULTURAS!$H$6:$H$28,$P2327))/MAX(INDEX(PARAMETROS_CULTURAS!$I$6:$I$28,$P2327),0.0001)))))</f>
        <v>0</v>
      </c>
      <c r="S2327" s="18" t="n">
        <f aca="false">IFERROR(INDEX(SEMANAS!$H$6:$H$71,MATCH($B2327,SEMANAS!$B$6:$B$71,0)),0)</f>
        <v>34.3</v>
      </c>
      <c r="T2327" s="18" t="n">
        <f aca="false">$R2327*$S2327</f>
        <v>0</v>
      </c>
      <c r="U2327" s="18" t="n">
        <f aca="false">IFERROR(INDEX(SEMANAS!$I$6:$I$71,MATCH($B2327,SEMANAS!$B$6:$B$71,0)),0)</f>
        <v>46.69</v>
      </c>
      <c r="V2327" s="18" t="n">
        <f aca="false">IFERROR(INDEX(SEMANAS!$J$6:$J$71,MATCH($B2327,SEMANAS!$B$6:$B$71,0)),0)</f>
        <v>37.352</v>
      </c>
      <c r="W2327" s="18" t="n">
        <f aca="false">MAX(0,$T2327-$V2327)</f>
        <v>0</v>
      </c>
      <c r="X2327" s="19" t="n">
        <f aca="false">IFERROR(INDEX(CADASTRO_PIVOS!$K$6:$K$41,MATCH($E2327,CADASTRO_PIVOS!$B$6:$B$41,0)),EFICIENCIA_PADRAO)</f>
        <v>0.85</v>
      </c>
      <c r="Y2327" s="18" t="n">
        <f aca="false">IF($X2327&lt;=0,0,$W2327/$X2327)</f>
        <v>0</v>
      </c>
      <c r="Z2327" s="16" t="n">
        <f aca="false">$Y2327*$H2327*MM_PARA_M3_HA</f>
        <v>0</v>
      </c>
      <c r="AA2327" s="18" t="n">
        <f aca="false">IFERROR(INDEX(CADASTRO_PIVOS!$I$6:$I$41,MATCH($E2327,CADASTRO_PIVOS!$B$6:$B$41,0)),0)</f>
        <v>1071.42857142857</v>
      </c>
      <c r="AB2327" s="18" t="n">
        <f aca="false">IF($Z2327&lt;=0,0,$Z2327/$AA2327)</f>
        <v>0</v>
      </c>
      <c r="AC2327" s="16" t="n">
        <f aca="false">IFERROR(INDEX(SEMANAS!$K$6:$K$71,MATCH($B2327,SEMANAS!$B$6:$B$71,0)),0)</f>
        <v>147</v>
      </c>
      <c r="AD2327" s="19" t="n">
        <f aca="false">IF($AC2327&lt;=0,0,$AB2327/$AC2327)</f>
        <v>0</v>
      </c>
      <c r="AE2327" s="8" t="str">
        <f aca="false">IF($K2327="SEM CULTURA","SEM CULTURA",IF($AA2327&lt;=0,"DADO PENDENTE",IF($AD2327&gt;LIMITE_CRITICO,"INVIAVEL",IF($AD2327&gt;LIMITE_ATENCAO,"CRITICO",IF($AD2327&gt;LIMITE_CONFORTAVEL,"ATENCAO","OK")))))</f>
        <v>SEM CULTURA</v>
      </c>
      <c r="AF2327" s="8" t="str">
        <f aca="false">$B2327&amp;"|"&amp;TEXT($AD2327,"0.000000")</f>
        <v>12|0.000000</v>
      </c>
      <c r="AG2327" s="18" t="n">
        <f aca="false">IF($K2327="SEM CULTURA",0,$T2327*$H2327)</f>
        <v>0</v>
      </c>
      <c r="AH2327" s="18" t="n">
        <f aca="false">IF($K2327="SEM CULTURA",0,$V2327*$H2327)</f>
        <v>0</v>
      </c>
      <c r="AI2327" s="18" t="n">
        <f aca="false">IF($K2327="SEM CULTURA",0,$W2327*$H2327)</f>
        <v>0</v>
      </c>
      <c r="AJ2327" s="18" t="n">
        <f aca="false">IF($K2327="SEM CULTURA",0,$S2327*$H2327)</f>
        <v>0</v>
      </c>
      <c r="AK2327" s="8" t="str">
        <f aca="false">$E2327&amp;"|"&amp;TEXT($AD2327,"0.000000")</f>
        <v>PV 137|0.000000</v>
      </c>
    </row>
    <row r="2328" customFormat="false" ht="15" hidden="false" customHeight="false" outlineLevel="0" collapsed="false">
      <c r="B2328" s="16" t="n">
        <v>13</v>
      </c>
      <c r="C2328" s="17" t="n">
        <f aca="false">DATA_INICIO_SAFRA+($B2328-1)*DIAS_POR_SEMANA</f>
        <v>46349</v>
      </c>
      <c r="D2328" s="17" t="n">
        <f aca="false">$C2328+DIAS_POR_SEMANA-1</f>
        <v>46355</v>
      </c>
      <c r="E2328" s="15" t="s">
        <v>294</v>
      </c>
      <c r="F2328" s="8" t="str">
        <f aca="false">IFERROR(INDEX(CADASTRO_PIVOS!$C$6:$C$41,MATCH($E2328,CADASTRO_PIVOS!$B$6:$B$41,0)),"?")</f>
        <v>RM08</v>
      </c>
      <c r="G2328" s="8" t="str">
        <f aca="false">IFERROR(INDEX(CADASTRO_PIVOS!$D$6:$D$41,MATCH($E2328,CADASTRO_PIVOS!$B$6:$B$41,0)),"?")</f>
        <v>TR08</v>
      </c>
      <c r="H2328" s="20" t="n">
        <f aca="false">IFERROR(INDEX(CADASTRO_PIVOS!$E$6:$E$41,MATCH($E2328,CADASTRO_PIVOS!$B$6:$B$41,0)),0)</f>
        <v>150</v>
      </c>
      <c r="I2328" s="16" t="n">
        <f aca="false">IFERROR(SUMIFS(ROTACAO_RDM!$B$6:$B$71,ROTACAO_RDM!$D$6:$D$71,$E2328,ROTACAO_RDM!$I$6:$I$71,"&lt;="&amp;$C2328+INT(DIAS_POR_SEMANA/2),ROTACAO_RDM!$J$6:$J$71,"&gt;="&amp;$C2328+INT(DIAS_POR_SEMANA/2)),0)</f>
        <v>0</v>
      </c>
      <c r="J2328" s="16" t="n">
        <f aca="false">IFERROR(MATCH($I2328,ROTACAO_RDM!$B$6:$B$71,0),0)</f>
        <v>0</v>
      </c>
      <c r="K2328" s="8" t="str">
        <f aca="false">IF($J2328=0,"SEM CULTURA",INDEX(ROTACAO_RDM!$F$6:$F$71,$J2328))</f>
        <v>SEM CULTURA</v>
      </c>
      <c r="L2328" s="8" t="str">
        <f aca="false">IF($J2328=0,"",INDEX(ROTACAO_RDM!$G$6:$G$71,$J2328))</f>
        <v/>
      </c>
      <c r="M2328" s="17" t="str">
        <f aca="false">IF($J2328=0,"",INDEX(ROTACAO_RDM!$I$6:$I$71,$J2328))</f>
        <v/>
      </c>
      <c r="N2328" s="16" t="n">
        <f aca="false">IF($J2328=0,0,MAX(0,$C2328+INT(DIAS_POR_SEMANA/2)-INDEX(ROTACAO_RDM!$I$6:$I$71,$J2328)))</f>
        <v>0</v>
      </c>
      <c r="O2328" s="19" t="n">
        <f aca="false">IF($J2328=0,0,MIN(1,$N2328/MAX(1,INDEX(ROTACAO_RDM!$K$6:$K$71,$J2328))))</f>
        <v>0</v>
      </c>
      <c r="P2328" s="16" t="n">
        <f aca="false">IF($J2328=0,0,IFERROR(MATCH(INDEX(ROTACAO_RDM!$N$6:$N$71,$J2328),PARAMETROS_CULTURAS!$B$6:$B$28,0),0))</f>
        <v>0</v>
      </c>
      <c r="Q2328" s="8" t="str">
        <f aca="false">IF($P2328=0,"-",IF($O2328&lt;=INDEX(PARAMETROS_CULTURAS!$F$6:$F$28,$P2328),"INICIAL",IF($O2328&lt;=INDEX(PARAMETROS_CULTURAS!$F$6:$F$28,$P2328)+INDEX(PARAMETROS_CULTURAS!$G$6:$G$28,$P2328),"DESENVOLVIMENTO",IF($O2328&lt;=INDEX(PARAMETROS_CULTURAS!$F$6:$F$28,$P2328)+INDEX(PARAMETROS_CULTURAS!$G$6:$G$28,$P2328)+INDEX(PARAMETROS_CULTURAS!$H$6:$H$28,$P2328),"MEDIA","FINAL"))))</f>
        <v>-</v>
      </c>
      <c r="R2328" s="24" t="n">
        <f aca="false">IF($P2328=0,0,IF($O2328&lt;=INDEX(PARAMETROS_CULTURAS!$F$6:$F$28,$P2328),INDEX(PARAMETROS_CULTURAS!$K$6:$K$28,$P2328),IF($O2328&lt;=INDEX(PARAMETROS_CULTURAS!$F$6:$F$28,$P2328)+INDEX(PARAMETROS_CULTURAS!$G$6:$G$28,$P2328),INDEX(PARAMETROS_CULTURAS!$K$6:$K$28,$P2328)+(INDEX(PARAMETROS_CULTURAS!$L$6:$L$28,$P2328)-INDEX(PARAMETROS_CULTURAS!$K$6:$K$28,$P2328))*($O2328-INDEX(PARAMETROS_CULTURAS!$F$6:$F$28,$P2328))/MAX(INDEX(PARAMETROS_CULTURAS!$G$6:$G$28,$P2328),0.0001),IF($O2328&lt;=INDEX(PARAMETROS_CULTURAS!$F$6:$F$28,$P2328)+INDEX(PARAMETROS_CULTURAS!$G$6:$G$28,$P2328)+INDEX(PARAMETROS_CULTURAS!$H$6:$H$28,$P2328),INDEX(PARAMETROS_CULTURAS!$L$6:$L$28,$P2328),INDEX(PARAMETROS_CULTURAS!$L$6:$L$28,$P2328)+(INDEX(PARAMETROS_CULTURAS!$M$6:$M$28,$P2328)-INDEX(PARAMETROS_CULTURAS!$L$6:$L$28,$P2328))*($O2328-INDEX(PARAMETROS_CULTURAS!$F$6:$F$28,$P2328)-INDEX(PARAMETROS_CULTURAS!$G$6:$G$28,$P2328)-INDEX(PARAMETROS_CULTURAS!$H$6:$H$28,$P2328))/MAX(INDEX(PARAMETROS_CULTURAS!$I$6:$I$28,$P2328),0.0001)))))</f>
        <v>0</v>
      </c>
      <c r="S2328" s="18" t="n">
        <f aca="false">IFERROR(INDEX(SEMANAS!$H$6:$H$71,MATCH($B2328,SEMANAS!$B$6:$B$71,0)),0)</f>
        <v>34.3</v>
      </c>
      <c r="T2328" s="18" t="n">
        <f aca="false">$R2328*$S2328</f>
        <v>0</v>
      </c>
      <c r="U2328" s="18" t="n">
        <f aca="false">IFERROR(INDEX(SEMANAS!$I$6:$I$71,MATCH($B2328,SEMANAS!$B$6:$B$71,0)),0)</f>
        <v>46.69</v>
      </c>
      <c r="V2328" s="18" t="n">
        <f aca="false">IFERROR(INDEX(SEMANAS!$J$6:$J$71,MATCH($B2328,SEMANAS!$B$6:$B$71,0)),0)</f>
        <v>37.352</v>
      </c>
      <c r="W2328" s="18" t="n">
        <f aca="false">MAX(0,$T2328-$V2328)</f>
        <v>0</v>
      </c>
      <c r="X2328" s="19" t="n">
        <f aca="false">IFERROR(INDEX(CADASTRO_PIVOS!$K$6:$K$41,MATCH($E2328,CADASTRO_PIVOS!$B$6:$B$41,0)),EFICIENCIA_PADRAO)</f>
        <v>0.85</v>
      </c>
      <c r="Y2328" s="18" t="n">
        <f aca="false">IF($X2328&lt;=0,0,$W2328/$X2328)</f>
        <v>0</v>
      </c>
      <c r="Z2328" s="16" t="n">
        <f aca="false">$Y2328*$H2328*MM_PARA_M3_HA</f>
        <v>0</v>
      </c>
      <c r="AA2328" s="18" t="n">
        <f aca="false">IFERROR(INDEX(CADASTRO_PIVOS!$I$6:$I$41,MATCH($E2328,CADASTRO_PIVOS!$B$6:$B$41,0)),0)</f>
        <v>1071.42857142857</v>
      </c>
      <c r="AB2328" s="18" t="n">
        <f aca="false">IF($Z2328&lt;=0,0,$Z2328/$AA2328)</f>
        <v>0</v>
      </c>
      <c r="AC2328" s="16" t="n">
        <f aca="false">IFERROR(INDEX(SEMANAS!$K$6:$K$71,MATCH($B2328,SEMANAS!$B$6:$B$71,0)),0)</f>
        <v>147</v>
      </c>
      <c r="AD2328" s="19" t="n">
        <f aca="false">IF($AC2328&lt;=0,0,$AB2328/$AC2328)</f>
        <v>0</v>
      </c>
      <c r="AE2328" s="8" t="str">
        <f aca="false">IF($K2328="SEM CULTURA","SEM CULTURA",IF($AA2328&lt;=0,"DADO PENDENTE",IF($AD2328&gt;LIMITE_CRITICO,"INVIAVEL",IF($AD2328&gt;LIMITE_ATENCAO,"CRITICO",IF($AD2328&gt;LIMITE_CONFORTAVEL,"ATENCAO","OK")))))</f>
        <v>SEM CULTURA</v>
      </c>
      <c r="AF2328" s="8" t="str">
        <f aca="false">$B2328&amp;"|"&amp;TEXT($AD2328,"0.000000")</f>
        <v>13|0.000000</v>
      </c>
      <c r="AG2328" s="18" t="n">
        <f aca="false">IF($K2328="SEM CULTURA",0,$T2328*$H2328)</f>
        <v>0</v>
      </c>
      <c r="AH2328" s="18" t="n">
        <f aca="false">IF($K2328="SEM CULTURA",0,$V2328*$H2328)</f>
        <v>0</v>
      </c>
      <c r="AI2328" s="18" t="n">
        <f aca="false">IF($K2328="SEM CULTURA",0,$W2328*$H2328)</f>
        <v>0</v>
      </c>
      <c r="AJ2328" s="18" t="n">
        <f aca="false">IF($K2328="SEM CULTURA",0,$S2328*$H2328)</f>
        <v>0</v>
      </c>
      <c r="AK2328" s="8" t="str">
        <f aca="false">$E2328&amp;"|"&amp;TEXT($AD2328,"0.000000")</f>
        <v>PV 137|0.000000</v>
      </c>
    </row>
    <row r="2329" customFormat="false" ht="15" hidden="false" customHeight="false" outlineLevel="0" collapsed="false">
      <c r="B2329" s="16" t="n">
        <v>14</v>
      </c>
      <c r="C2329" s="17" t="n">
        <f aca="false">DATA_INICIO_SAFRA+($B2329-1)*DIAS_POR_SEMANA</f>
        <v>46356</v>
      </c>
      <c r="D2329" s="17" t="n">
        <f aca="false">$C2329+DIAS_POR_SEMANA-1</f>
        <v>46362</v>
      </c>
      <c r="E2329" s="15" t="s">
        <v>294</v>
      </c>
      <c r="F2329" s="8" t="str">
        <f aca="false">IFERROR(INDEX(CADASTRO_PIVOS!$C$6:$C$41,MATCH($E2329,CADASTRO_PIVOS!$B$6:$B$41,0)),"?")</f>
        <v>RM08</v>
      </c>
      <c r="G2329" s="8" t="str">
        <f aca="false">IFERROR(INDEX(CADASTRO_PIVOS!$D$6:$D$41,MATCH($E2329,CADASTRO_PIVOS!$B$6:$B$41,0)),"?")</f>
        <v>TR08</v>
      </c>
      <c r="H2329" s="20" t="n">
        <f aca="false">IFERROR(INDEX(CADASTRO_PIVOS!$E$6:$E$41,MATCH($E2329,CADASTRO_PIVOS!$B$6:$B$41,0)),0)</f>
        <v>150</v>
      </c>
      <c r="I2329" s="16" t="n">
        <f aca="false">IFERROR(SUMIFS(ROTACAO_RDM!$B$6:$B$71,ROTACAO_RDM!$D$6:$D$71,$E2329,ROTACAO_RDM!$I$6:$I$71,"&lt;="&amp;$C2329+INT(DIAS_POR_SEMANA/2),ROTACAO_RDM!$J$6:$J$71,"&gt;="&amp;$C2329+INT(DIAS_POR_SEMANA/2)),0)</f>
        <v>0</v>
      </c>
      <c r="J2329" s="16" t="n">
        <f aca="false">IFERROR(MATCH($I2329,ROTACAO_RDM!$B$6:$B$71,0),0)</f>
        <v>0</v>
      </c>
      <c r="K2329" s="8" t="str">
        <f aca="false">IF($J2329=0,"SEM CULTURA",INDEX(ROTACAO_RDM!$F$6:$F$71,$J2329))</f>
        <v>SEM CULTURA</v>
      </c>
      <c r="L2329" s="8" t="str">
        <f aca="false">IF($J2329=0,"",INDEX(ROTACAO_RDM!$G$6:$G$71,$J2329))</f>
        <v/>
      </c>
      <c r="M2329" s="17" t="str">
        <f aca="false">IF($J2329=0,"",INDEX(ROTACAO_RDM!$I$6:$I$71,$J2329))</f>
        <v/>
      </c>
      <c r="N2329" s="16" t="n">
        <f aca="false">IF($J2329=0,0,MAX(0,$C2329+INT(DIAS_POR_SEMANA/2)-INDEX(ROTACAO_RDM!$I$6:$I$71,$J2329)))</f>
        <v>0</v>
      </c>
      <c r="O2329" s="19" t="n">
        <f aca="false">IF($J2329=0,0,MIN(1,$N2329/MAX(1,INDEX(ROTACAO_RDM!$K$6:$K$71,$J2329))))</f>
        <v>0</v>
      </c>
      <c r="P2329" s="16" t="n">
        <f aca="false">IF($J2329=0,0,IFERROR(MATCH(INDEX(ROTACAO_RDM!$N$6:$N$71,$J2329),PARAMETROS_CULTURAS!$B$6:$B$28,0),0))</f>
        <v>0</v>
      </c>
      <c r="Q2329" s="8" t="str">
        <f aca="false">IF($P2329=0,"-",IF($O2329&lt;=INDEX(PARAMETROS_CULTURAS!$F$6:$F$28,$P2329),"INICIAL",IF($O2329&lt;=INDEX(PARAMETROS_CULTURAS!$F$6:$F$28,$P2329)+INDEX(PARAMETROS_CULTURAS!$G$6:$G$28,$P2329),"DESENVOLVIMENTO",IF($O2329&lt;=INDEX(PARAMETROS_CULTURAS!$F$6:$F$28,$P2329)+INDEX(PARAMETROS_CULTURAS!$G$6:$G$28,$P2329)+INDEX(PARAMETROS_CULTURAS!$H$6:$H$28,$P2329),"MEDIA","FINAL"))))</f>
        <v>-</v>
      </c>
      <c r="R2329" s="24" t="n">
        <f aca="false">IF($P2329=0,0,IF($O2329&lt;=INDEX(PARAMETROS_CULTURAS!$F$6:$F$28,$P2329),INDEX(PARAMETROS_CULTURAS!$K$6:$K$28,$P2329),IF($O2329&lt;=INDEX(PARAMETROS_CULTURAS!$F$6:$F$28,$P2329)+INDEX(PARAMETROS_CULTURAS!$G$6:$G$28,$P2329),INDEX(PARAMETROS_CULTURAS!$K$6:$K$28,$P2329)+(INDEX(PARAMETROS_CULTURAS!$L$6:$L$28,$P2329)-INDEX(PARAMETROS_CULTURAS!$K$6:$K$28,$P2329))*($O2329-INDEX(PARAMETROS_CULTURAS!$F$6:$F$28,$P2329))/MAX(INDEX(PARAMETROS_CULTURAS!$G$6:$G$28,$P2329),0.0001),IF($O2329&lt;=INDEX(PARAMETROS_CULTURAS!$F$6:$F$28,$P2329)+INDEX(PARAMETROS_CULTURAS!$G$6:$G$28,$P2329)+INDEX(PARAMETROS_CULTURAS!$H$6:$H$28,$P2329),INDEX(PARAMETROS_CULTURAS!$L$6:$L$28,$P2329),INDEX(PARAMETROS_CULTURAS!$L$6:$L$28,$P2329)+(INDEX(PARAMETROS_CULTURAS!$M$6:$M$28,$P2329)-INDEX(PARAMETROS_CULTURAS!$L$6:$L$28,$P2329))*($O2329-INDEX(PARAMETROS_CULTURAS!$F$6:$F$28,$P2329)-INDEX(PARAMETROS_CULTURAS!$G$6:$G$28,$P2329)-INDEX(PARAMETROS_CULTURAS!$H$6:$H$28,$P2329))/MAX(INDEX(PARAMETROS_CULTURAS!$I$6:$I$28,$P2329),0.0001)))))</f>
        <v>0</v>
      </c>
      <c r="S2329" s="18" t="n">
        <f aca="false">IFERROR(INDEX(SEMANAS!$H$6:$H$71,MATCH($B2329,SEMANAS!$B$6:$B$71,0)),0)</f>
        <v>33.1</v>
      </c>
      <c r="T2329" s="18" t="n">
        <f aca="false">$R2329*$S2329</f>
        <v>0</v>
      </c>
      <c r="U2329" s="18" t="n">
        <f aca="false">IFERROR(INDEX(SEMANAS!$I$6:$I$71,MATCH($B2329,SEMANAS!$B$6:$B$71,0)),0)</f>
        <v>48.31</v>
      </c>
      <c r="V2329" s="18" t="n">
        <f aca="false">IFERROR(INDEX(SEMANAS!$J$6:$J$71,MATCH($B2329,SEMANAS!$B$6:$B$71,0)),0)</f>
        <v>38.648</v>
      </c>
      <c r="W2329" s="18" t="n">
        <f aca="false">MAX(0,$T2329-$V2329)</f>
        <v>0</v>
      </c>
      <c r="X2329" s="19" t="n">
        <f aca="false">IFERROR(INDEX(CADASTRO_PIVOS!$K$6:$K$41,MATCH($E2329,CADASTRO_PIVOS!$B$6:$B$41,0)),EFICIENCIA_PADRAO)</f>
        <v>0.85</v>
      </c>
      <c r="Y2329" s="18" t="n">
        <f aca="false">IF($X2329&lt;=0,0,$W2329/$X2329)</f>
        <v>0</v>
      </c>
      <c r="Z2329" s="16" t="n">
        <f aca="false">$Y2329*$H2329*MM_PARA_M3_HA</f>
        <v>0</v>
      </c>
      <c r="AA2329" s="18" t="n">
        <f aca="false">IFERROR(INDEX(CADASTRO_PIVOS!$I$6:$I$41,MATCH($E2329,CADASTRO_PIVOS!$B$6:$B$41,0)),0)</f>
        <v>1071.42857142857</v>
      </c>
      <c r="AB2329" s="18" t="n">
        <f aca="false">IF($Z2329&lt;=0,0,$Z2329/$AA2329)</f>
        <v>0</v>
      </c>
      <c r="AC2329" s="16" t="n">
        <f aca="false">IFERROR(INDEX(SEMANAS!$K$6:$K$71,MATCH($B2329,SEMANAS!$B$6:$B$71,0)),0)</f>
        <v>147</v>
      </c>
      <c r="AD2329" s="19" t="n">
        <f aca="false">IF($AC2329&lt;=0,0,$AB2329/$AC2329)</f>
        <v>0</v>
      </c>
      <c r="AE2329" s="8" t="str">
        <f aca="false">IF($K2329="SEM CULTURA","SEM CULTURA",IF($AA2329&lt;=0,"DADO PENDENTE",IF($AD2329&gt;LIMITE_CRITICO,"INVIAVEL",IF($AD2329&gt;LIMITE_ATENCAO,"CRITICO",IF($AD2329&gt;LIMITE_CONFORTAVEL,"ATENCAO","OK")))))</f>
        <v>SEM CULTURA</v>
      </c>
      <c r="AF2329" s="8" t="str">
        <f aca="false">$B2329&amp;"|"&amp;TEXT($AD2329,"0.000000")</f>
        <v>14|0.000000</v>
      </c>
      <c r="AG2329" s="18" t="n">
        <f aca="false">IF($K2329="SEM CULTURA",0,$T2329*$H2329)</f>
        <v>0</v>
      </c>
      <c r="AH2329" s="18" t="n">
        <f aca="false">IF($K2329="SEM CULTURA",0,$V2329*$H2329)</f>
        <v>0</v>
      </c>
      <c r="AI2329" s="18" t="n">
        <f aca="false">IF($K2329="SEM CULTURA",0,$W2329*$H2329)</f>
        <v>0</v>
      </c>
      <c r="AJ2329" s="18" t="n">
        <f aca="false">IF($K2329="SEM CULTURA",0,$S2329*$H2329)</f>
        <v>0</v>
      </c>
      <c r="AK2329" s="8" t="str">
        <f aca="false">$E2329&amp;"|"&amp;TEXT($AD2329,"0.000000")</f>
        <v>PV 137|0.000000</v>
      </c>
    </row>
    <row r="2330" customFormat="false" ht="15" hidden="false" customHeight="false" outlineLevel="0" collapsed="false">
      <c r="B2330" s="16" t="n">
        <v>15</v>
      </c>
      <c r="C2330" s="17" t="n">
        <f aca="false">DATA_INICIO_SAFRA+($B2330-1)*DIAS_POR_SEMANA</f>
        <v>46363</v>
      </c>
      <c r="D2330" s="17" t="n">
        <f aca="false">$C2330+DIAS_POR_SEMANA-1</f>
        <v>46369</v>
      </c>
      <c r="E2330" s="15" t="s">
        <v>294</v>
      </c>
      <c r="F2330" s="8" t="str">
        <f aca="false">IFERROR(INDEX(CADASTRO_PIVOS!$C$6:$C$41,MATCH($E2330,CADASTRO_PIVOS!$B$6:$B$41,0)),"?")</f>
        <v>RM08</v>
      </c>
      <c r="G2330" s="8" t="str">
        <f aca="false">IFERROR(INDEX(CADASTRO_PIVOS!$D$6:$D$41,MATCH($E2330,CADASTRO_PIVOS!$B$6:$B$41,0)),"?")</f>
        <v>TR08</v>
      </c>
      <c r="H2330" s="20" t="n">
        <f aca="false">IFERROR(INDEX(CADASTRO_PIVOS!$E$6:$E$41,MATCH($E2330,CADASTRO_PIVOS!$B$6:$B$41,0)),0)</f>
        <v>150</v>
      </c>
      <c r="I2330" s="16" t="n">
        <f aca="false">IFERROR(SUMIFS(ROTACAO_RDM!$B$6:$B$71,ROTACAO_RDM!$D$6:$D$71,$E2330,ROTACAO_RDM!$I$6:$I$71,"&lt;="&amp;$C2330+INT(DIAS_POR_SEMANA/2),ROTACAO_RDM!$J$6:$J$71,"&gt;="&amp;$C2330+INT(DIAS_POR_SEMANA/2)),0)</f>
        <v>0</v>
      </c>
      <c r="J2330" s="16" t="n">
        <f aca="false">IFERROR(MATCH($I2330,ROTACAO_RDM!$B$6:$B$71,0),0)</f>
        <v>0</v>
      </c>
      <c r="K2330" s="8" t="str">
        <f aca="false">IF($J2330=0,"SEM CULTURA",INDEX(ROTACAO_RDM!$F$6:$F$71,$J2330))</f>
        <v>SEM CULTURA</v>
      </c>
      <c r="L2330" s="8" t="str">
        <f aca="false">IF($J2330=0,"",INDEX(ROTACAO_RDM!$G$6:$G$71,$J2330))</f>
        <v/>
      </c>
      <c r="M2330" s="17" t="str">
        <f aca="false">IF($J2330=0,"",INDEX(ROTACAO_RDM!$I$6:$I$71,$J2330))</f>
        <v/>
      </c>
      <c r="N2330" s="16" t="n">
        <f aca="false">IF($J2330=0,0,MAX(0,$C2330+INT(DIAS_POR_SEMANA/2)-INDEX(ROTACAO_RDM!$I$6:$I$71,$J2330)))</f>
        <v>0</v>
      </c>
      <c r="O2330" s="19" t="n">
        <f aca="false">IF($J2330=0,0,MIN(1,$N2330/MAX(1,INDEX(ROTACAO_RDM!$K$6:$K$71,$J2330))))</f>
        <v>0</v>
      </c>
      <c r="P2330" s="16" t="n">
        <f aca="false">IF($J2330=0,0,IFERROR(MATCH(INDEX(ROTACAO_RDM!$N$6:$N$71,$J2330),PARAMETROS_CULTURAS!$B$6:$B$28,0),0))</f>
        <v>0</v>
      </c>
      <c r="Q2330" s="8" t="str">
        <f aca="false">IF($P2330=0,"-",IF($O2330&lt;=INDEX(PARAMETROS_CULTURAS!$F$6:$F$28,$P2330),"INICIAL",IF($O2330&lt;=INDEX(PARAMETROS_CULTURAS!$F$6:$F$28,$P2330)+INDEX(PARAMETROS_CULTURAS!$G$6:$G$28,$P2330),"DESENVOLVIMENTO",IF($O2330&lt;=INDEX(PARAMETROS_CULTURAS!$F$6:$F$28,$P2330)+INDEX(PARAMETROS_CULTURAS!$G$6:$G$28,$P2330)+INDEX(PARAMETROS_CULTURAS!$H$6:$H$28,$P2330),"MEDIA","FINAL"))))</f>
        <v>-</v>
      </c>
      <c r="R2330" s="24" t="n">
        <f aca="false">IF($P2330=0,0,IF($O2330&lt;=INDEX(PARAMETROS_CULTURAS!$F$6:$F$28,$P2330),INDEX(PARAMETROS_CULTURAS!$K$6:$K$28,$P2330),IF($O2330&lt;=INDEX(PARAMETROS_CULTURAS!$F$6:$F$28,$P2330)+INDEX(PARAMETROS_CULTURAS!$G$6:$G$28,$P2330),INDEX(PARAMETROS_CULTURAS!$K$6:$K$28,$P2330)+(INDEX(PARAMETROS_CULTURAS!$L$6:$L$28,$P2330)-INDEX(PARAMETROS_CULTURAS!$K$6:$K$28,$P2330))*($O2330-INDEX(PARAMETROS_CULTURAS!$F$6:$F$28,$P2330))/MAX(INDEX(PARAMETROS_CULTURAS!$G$6:$G$28,$P2330),0.0001),IF($O2330&lt;=INDEX(PARAMETROS_CULTURAS!$F$6:$F$28,$P2330)+INDEX(PARAMETROS_CULTURAS!$G$6:$G$28,$P2330)+INDEX(PARAMETROS_CULTURAS!$H$6:$H$28,$P2330),INDEX(PARAMETROS_CULTURAS!$L$6:$L$28,$P2330),INDEX(PARAMETROS_CULTURAS!$L$6:$L$28,$P2330)+(INDEX(PARAMETROS_CULTURAS!$M$6:$M$28,$P2330)-INDEX(PARAMETROS_CULTURAS!$L$6:$L$28,$P2330))*($O2330-INDEX(PARAMETROS_CULTURAS!$F$6:$F$28,$P2330)-INDEX(PARAMETROS_CULTURAS!$G$6:$G$28,$P2330)-INDEX(PARAMETROS_CULTURAS!$H$6:$H$28,$P2330))/MAX(INDEX(PARAMETROS_CULTURAS!$I$6:$I$28,$P2330),0.0001)))))</f>
        <v>0</v>
      </c>
      <c r="S2330" s="18" t="n">
        <f aca="false">IFERROR(INDEX(SEMANAS!$H$6:$H$71,MATCH($B2330,SEMANAS!$B$6:$B$71,0)),0)</f>
        <v>32.9</v>
      </c>
      <c r="T2330" s="18" t="n">
        <f aca="false">$R2330*$S2330</f>
        <v>0</v>
      </c>
      <c r="U2330" s="18" t="n">
        <f aca="false">IFERROR(INDEX(SEMANAS!$I$6:$I$71,MATCH($B2330,SEMANAS!$B$6:$B$71,0)),0)</f>
        <v>48.58</v>
      </c>
      <c r="V2330" s="18" t="n">
        <f aca="false">IFERROR(INDEX(SEMANAS!$J$6:$J$71,MATCH($B2330,SEMANAS!$B$6:$B$71,0)),0)</f>
        <v>38.864</v>
      </c>
      <c r="W2330" s="18" t="n">
        <f aca="false">MAX(0,$T2330-$V2330)</f>
        <v>0</v>
      </c>
      <c r="X2330" s="19" t="n">
        <f aca="false">IFERROR(INDEX(CADASTRO_PIVOS!$K$6:$K$41,MATCH($E2330,CADASTRO_PIVOS!$B$6:$B$41,0)),EFICIENCIA_PADRAO)</f>
        <v>0.85</v>
      </c>
      <c r="Y2330" s="18" t="n">
        <f aca="false">IF($X2330&lt;=0,0,$W2330/$X2330)</f>
        <v>0</v>
      </c>
      <c r="Z2330" s="16" t="n">
        <f aca="false">$Y2330*$H2330*MM_PARA_M3_HA</f>
        <v>0</v>
      </c>
      <c r="AA2330" s="18" t="n">
        <f aca="false">IFERROR(INDEX(CADASTRO_PIVOS!$I$6:$I$41,MATCH($E2330,CADASTRO_PIVOS!$B$6:$B$41,0)),0)</f>
        <v>1071.42857142857</v>
      </c>
      <c r="AB2330" s="18" t="n">
        <f aca="false">IF($Z2330&lt;=0,0,$Z2330/$AA2330)</f>
        <v>0</v>
      </c>
      <c r="AC2330" s="16" t="n">
        <f aca="false">IFERROR(INDEX(SEMANAS!$K$6:$K$71,MATCH($B2330,SEMANAS!$B$6:$B$71,0)),0)</f>
        <v>147</v>
      </c>
      <c r="AD2330" s="19" t="n">
        <f aca="false">IF($AC2330&lt;=0,0,$AB2330/$AC2330)</f>
        <v>0</v>
      </c>
      <c r="AE2330" s="8" t="str">
        <f aca="false">IF($K2330="SEM CULTURA","SEM CULTURA",IF($AA2330&lt;=0,"DADO PENDENTE",IF($AD2330&gt;LIMITE_CRITICO,"INVIAVEL",IF($AD2330&gt;LIMITE_ATENCAO,"CRITICO",IF($AD2330&gt;LIMITE_CONFORTAVEL,"ATENCAO","OK")))))</f>
        <v>SEM CULTURA</v>
      </c>
      <c r="AF2330" s="8" t="str">
        <f aca="false">$B2330&amp;"|"&amp;TEXT($AD2330,"0.000000")</f>
        <v>15|0.000000</v>
      </c>
      <c r="AG2330" s="18" t="n">
        <f aca="false">IF($K2330="SEM CULTURA",0,$T2330*$H2330)</f>
        <v>0</v>
      </c>
      <c r="AH2330" s="18" t="n">
        <f aca="false">IF($K2330="SEM CULTURA",0,$V2330*$H2330)</f>
        <v>0</v>
      </c>
      <c r="AI2330" s="18" t="n">
        <f aca="false">IF($K2330="SEM CULTURA",0,$W2330*$H2330)</f>
        <v>0</v>
      </c>
      <c r="AJ2330" s="18" t="n">
        <f aca="false">IF($K2330="SEM CULTURA",0,$S2330*$H2330)</f>
        <v>0</v>
      </c>
      <c r="AK2330" s="8" t="str">
        <f aca="false">$E2330&amp;"|"&amp;TEXT($AD2330,"0.000000")</f>
        <v>PV 137|0.000000</v>
      </c>
    </row>
    <row r="2331" customFormat="false" ht="15" hidden="false" customHeight="false" outlineLevel="0" collapsed="false">
      <c r="B2331" s="16" t="n">
        <v>16</v>
      </c>
      <c r="C2331" s="17" t="n">
        <f aca="false">DATA_INICIO_SAFRA+($B2331-1)*DIAS_POR_SEMANA</f>
        <v>46370</v>
      </c>
      <c r="D2331" s="17" t="n">
        <f aca="false">$C2331+DIAS_POR_SEMANA-1</f>
        <v>46376</v>
      </c>
      <c r="E2331" s="15" t="s">
        <v>294</v>
      </c>
      <c r="F2331" s="8" t="str">
        <f aca="false">IFERROR(INDEX(CADASTRO_PIVOS!$C$6:$C$41,MATCH($E2331,CADASTRO_PIVOS!$B$6:$B$41,0)),"?")</f>
        <v>RM08</v>
      </c>
      <c r="G2331" s="8" t="str">
        <f aca="false">IFERROR(INDEX(CADASTRO_PIVOS!$D$6:$D$41,MATCH($E2331,CADASTRO_PIVOS!$B$6:$B$41,0)),"?")</f>
        <v>TR08</v>
      </c>
      <c r="H2331" s="20" t="n">
        <f aca="false">IFERROR(INDEX(CADASTRO_PIVOS!$E$6:$E$41,MATCH($E2331,CADASTRO_PIVOS!$B$6:$B$41,0)),0)</f>
        <v>150</v>
      </c>
      <c r="I2331" s="16" t="n">
        <f aca="false">IFERROR(SUMIFS(ROTACAO_RDM!$B$6:$B$71,ROTACAO_RDM!$D$6:$D$71,$E2331,ROTACAO_RDM!$I$6:$I$71,"&lt;="&amp;$C2331+INT(DIAS_POR_SEMANA/2),ROTACAO_RDM!$J$6:$J$71,"&gt;="&amp;$C2331+INT(DIAS_POR_SEMANA/2)),0)</f>
        <v>0</v>
      </c>
      <c r="J2331" s="16" t="n">
        <f aca="false">IFERROR(MATCH($I2331,ROTACAO_RDM!$B$6:$B$71,0),0)</f>
        <v>0</v>
      </c>
      <c r="K2331" s="8" t="str">
        <f aca="false">IF($J2331=0,"SEM CULTURA",INDEX(ROTACAO_RDM!$F$6:$F$71,$J2331))</f>
        <v>SEM CULTURA</v>
      </c>
      <c r="L2331" s="8" t="str">
        <f aca="false">IF($J2331=0,"",INDEX(ROTACAO_RDM!$G$6:$G$71,$J2331))</f>
        <v/>
      </c>
      <c r="M2331" s="17" t="str">
        <f aca="false">IF($J2331=0,"",INDEX(ROTACAO_RDM!$I$6:$I$71,$J2331))</f>
        <v/>
      </c>
      <c r="N2331" s="16" t="n">
        <f aca="false">IF($J2331=0,0,MAX(0,$C2331+INT(DIAS_POR_SEMANA/2)-INDEX(ROTACAO_RDM!$I$6:$I$71,$J2331)))</f>
        <v>0</v>
      </c>
      <c r="O2331" s="19" t="n">
        <f aca="false">IF($J2331=0,0,MIN(1,$N2331/MAX(1,INDEX(ROTACAO_RDM!$K$6:$K$71,$J2331))))</f>
        <v>0</v>
      </c>
      <c r="P2331" s="16" t="n">
        <f aca="false">IF($J2331=0,0,IFERROR(MATCH(INDEX(ROTACAO_RDM!$N$6:$N$71,$J2331),PARAMETROS_CULTURAS!$B$6:$B$28,0),0))</f>
        <v>0</v>
      </c>
      <c r="Q2331" s="8" t="str">
        <f aca="false">IF($P2331=0,"-",IF($O2331&lt;=INDEX(PARAMETROS_CULTURAS!$F$6:$F$28,$P2331),"INICIAL",IF($O2331&lt;=INDEX(PARAMETROS_CULTURAS!$F$6:$F$28,$P2331)+INDEX(PARAMETROS_CULTURAS!$G$6:$G$28,$P2331),"DESENVOLVIMENTO",IF($O2331&lt;=INDEX(PARAMETROS_CULTURAS!$F$6:$F$28,$P2331)+INDEX(PARAMETROS_CULTURAS!$G$6:$G$28,$P2331)+INDEX(PARAMETROS_CULTURAS!$H$6:$H$28,$P2331),"MEDIA","FINAL"))))</f>
        <v>-</v>
      </c>
      <c r="R2331" s="24" t="n">
        <f aca="false">IF($P2331=0,0,IF($O2331&lt;=INDEX(PARAMETROS_CULTURAS!$F$6:$F$28,$P2331),INDEX(PARAMETROS_CULTURAS!$K$6:$K$28,$P2331),IF($O2331&lt;=INDEX(PARAMETROS_CULTURAS!$F$6:$F$28,$P2331)+INDEX(PARAMETROS_CULTURAS!$G$6:$G$28,$P2331),INDEX(PARAMETROS_CULTURAS!$K$6:$K$28,$P2331)+(INDEX(PARAMETROS_CULTURAS!$L$6:$L$28,$P2331)-INDEX(PARAMETROS_CULTURAS!$K$6:$K$28,$P2331))*($O2331-INDEX(PARAMETROS_CULTURAS!$F$6:$F$28,$P2331))/MAX(INDEX(PARAMETROS_CULTURAS!$G$6:$G$28,$P2331),0.0001),IF($O2331&lt;=INDEX(PARAMETROS_CULTURAS!$F$6:$F$28,$P2331)+INDEX(PARAMETROS_CULTURAS!$G$6:$G$28,$P2331)+INDEX(PARAMETROS_CULTURAS!$H$6:$H$28,$P2331),INDEX(PARAMETROS_CULTURAS!$L$6:$L$28,$P2331),INDEX(PARAMETROS_CULTURAS!$L$6:$L$28,$P2331)+(INDEX(PARAMETROS_CULTURAS!$M$6:$M$28,$P2331)-INDEX(PARAMETROS_CULTURAS!$L$6:$L$28,$P2331))*($O2331-INDEX(PARAMETROS_CULTURAS!$F$6:$F$28,$P2331)-INDEX(PARAMETROS_CULTURAS!$G$6:$G$28,$P2331)-INDEX(PARAMETROS_CULTURAS!$H$6:$H$28,$P2331))/MAX(INDEX(PARAMETROS_CULTURAS!$I$6:$I$28,$P2331),0.0001)))))</f>
        <v>0</v>
      </c>
      <c r="S2331" s="18" t="n">
        <f aca="false">IFERROR(INDEX(SEMANAS!$H$6:$H$71,MATCH($B2331,SEMANAS!$B$6:$B$71,0)),0)</f>
        <v>32.9</v>
      </c>
      <c r="T2331" s="18" t="n">
        <f aca="false">$R2331*$S2331</f>
        <v>0</v>
      </c>
      <c r="U2331" s="18" t="n">
        <f aca="false">IFERROR(INDEX(SEMANAS!$I$6:$I$71,MATCH($B2331,SEMANAS!$B$6:$B$71,0)),0)</f>
        <v>48.58</v>
      </c>
      <c r="V2331" s="18" t="n">
        <f aca="false">IFERROR(INDEX(SEMANAS!$J$6:$J$71,MATCH($B2331,SEMANAS!$B$6:$B$71,0)),0)</f>
        <v>38.864</v>
      </c>
      <c r="W2331" s="18" t="n">
        <f aca="false">MAX(0,$T2331-$V2331)</f>
        <v>0</v>
      </c>
      <c r="X2331" s="19" t="n">
        <f aca="false">IFERROR(INDEX(CADASTRO_PIVOS!$K$6:$K$41,MATCH($E2331,CADASTRO_PIVOS!$B$6:$B$41,0)),EFICIENCIA_PADRAO)</f>
        <v>0.85</v>
      </c>
      <c r="Y2331" s="18" t="n">
        <f aca="false">IF($X2331&lt;=0,0,$W2331/$X2331)</f>
        <v>0</v>
      </c>
      <c r="Z2331" s="16" t="n">
        <f aca="false">$Y2331*$H2331*MM_PARA_M3_HA</f>
        <v>0</v>
      </c>
      <c r="AA2331" s="18" t="n">
        <f aca="false">IFERROR(INDEX(CADASTRO_PIVOS!$I$6:$I$41,MATCH($E2331,CADASTRO_PIVOS!$B$6:$B$41,0)),0)</f>
        <v>1071.42857142857</v>
      </c>
      <c r="AB2331" s="18" t="n">
        <f aca="false">IF($Z2331&lt;=0,0,$Z2331/$AA2331)</f>
        <v>0</v>
      </c>
      <c r="AC2331" s="16" t="n">
        <f aca="false">IFERROR(INDEX(SEMANAS!$K$6:$K$71,MATCH($B2331,SEMANAS!$B$6:$B$71,0)),0)</f>
        <v>147</v>
      </c>
      <c r="AD2331" s="19" t="n">
        <f aca="false">IF($AC2331&lt;=0,0,$AB2331/$AC2331)</f>
        <v>0</v>
      </c>
      <c r="AE2331" s="8" t="str">
        <f aca="false">IF($K2331="SEM CULTURA","SEM CULTURA",IF($AA2331&lt;=0,"DADO PENDENTE",IF($AD2331&gt;LIMITE_CRITICO,"INVIAVEL",IF($AD2331&gt;LIMITE_ATENCAO,"CRITICO",IF($AD2331&gt;LIMITE_CONFORTAVEL,"ATENCAO","OK")))))</f>
        <v>SEM CULTURA</v>
      </c>
      <c r="AF2331" s="8" t="str">
        <f aca="false">$B2331&amp;"|"&amp;TEXT($AD2331,"0.000000")</f>
        <v>16|0.000000</v>
      </c>
      <c r="AG2331" s="18" t="n">
        <f aca="false">IF($K2331="SEM CULTURA",0,$T2331*$H2331)</f>
        <v>0</v>
      </c>
      <c r="AH2331" s="18" t="n">
        <f aca="false">IF($K2331="SEM CULTURA",0,$V2331*$H2331)</f>
        <v>0</v>
      </c>
      <c r="AI2331" s="18" t="n">
        <f aca="false">IF($K2331="SEM CULTURA",0,$W2331*$H2331)</f>
        <v>0</v>
      </c>
      <c r="AJ2331" s="18" t="n">
        <f aca="false">IF($K2331="SEM CULTURA",0,$S2331*$H2331)</f>
        <v>0</v>
      </c>
      <c r="AK2331" s="8" t="str">
        <f aca="false">$E2331&amp;"|"&amp;TEXT($AD2331,"0.000000")</f>
        <v>PV 137|0.000000</v>
      </c>
    </row>
    <row r="2332" customFormat="false" ht="15" hidden="false" customHeight="false" outlineLevel="0" collapsed="false">
      <c r="B2332" s="16" t="n">
        <v>17</v>
      </c>
      <c r="C2332" s="17" t="n">
        <f aca="false">DATA_INICIO_SAFRA+($B2332-1)*DIAS_POR_SEMANA</f>
        <v>46377</v>
      </c>
      <c r="D2332" s="17" t="n">
        <f aca="false">$C2332+DIAS_POR_SEMANA-1</f>
        <v>46383</v>
      </c>
      <c r="E2332" s="15" t="s">
        <v>294</v>
      </c>
      <c r="F2332" s="8" t="str">
        <f aca="false">IFERROR(INDEX(CADASTRO_PIVOS!$C$6:$C$41,MATCH($E2332,CADASTRO_PIVOS!$B$6:$B$41,0)),"?")</f>
        <v>RM08</v>
      </c>
      <c r="G2332" s="8" t="str">
        <f aca="false">IFERROR(INDEX(CADASTRO_PIVOS!$D$6:$D$41,MATCH($E2332,CADASTRO_PIVOS!$B$6:$B$41,0)),"?")</f>
        <v>TR08</v>
      </c>
      <c r="H2332" s="20" t="n">
        <f aca="false">IFERROR(INDEX(CADASTRO_PIVOS!$E$6:$E$41,MATCH($E2332,CADASTRO_PIVOS!$B$6:$B$41,0)),0)</f>
        <v>150</v>
      </c>
      <c r="I2332" s="16" t="n">
        <f aca="false">IFERROR(SUMIFS(ROTACAO_RDM!$B$6:$B$71,ROTACAO_RDM!$D$6:$D$71,$E2332,ROTACAO_RDM!$I$6:$I$71,"&lt;="&amp;$C2332+INT(DIAS_POR_SEMANA/2),ROTACAO_RDM!$J$6:$J$71,"&gt;="&amp;$C2332+INT(DIAS_POR_SEMANA/2)),0)</f>
        <v>0</v>
      </c>
      <c r="J2332" s="16" t="n">
        <f aca="false">IFERROR(MATCH($I2332,ROTACAO_RDM!$B$6:$B$71,0),0)</f>
        <v>0</v>
      </c>
      <c r="K2332" s="8" t="str">
        <f aca="false">IF($J2332=0,"SEM CULTURA",INDEX(ROTACAO_RDM!$F$6:$F$71,$J2332))</f>
        <v>SEM CULTURA</v>
      </c>
      <c r="L2332" s="8" t="str">
        <f aca="false">IF($J2332=0,"",INDEX(ROTACAO_RDM!$G$6:$G$71,$J2332))</f>
        <v/>
      </c>
      <c r="M2332" s="17" t="str">
        <f aca="false">IF($J2332=0,"",INDEX(ROTACAO_RDM!$I$6:$I$71,$J2332))</f>
        <v/>
      </c>
      <c r="N2332" s="16" t="n">
        <f aca="false">IF($J2332=0,0,MAX(0,$C2332+INT(DIAS_POR_SEMANA/2)-INDEX(ROTACAO_RDM!$I$6:$I$71,$J2332)))</f>
        <v>0</v>
      </c>
      <c r="O2332" s="19" t="n">
        <f aca="false">IF($J2332=0,0,MIN(1,$N2332/MAX(1,INDEX(ROTACAO_RDM!$K$6:$K$71,$J2332))))</f>
        <v>0</v>
      </c>
      <c r="P2332" s="16" t="n">
        <f aca="false">IF($J2332=0,0,IFERROR(MATCH(INDEX(ROTACAO_RDM!$N$6:$N$71,$J2332),PARAMETROS_CULTURAS!$B$6:$B$28,0),0))</f>
        <v>0</v>
      </c>
      <c r="Q2332" s="8" t="str">
        <f aca="false">IF($P2332=0,"-",IF($O2332&lt;=INDEX(PARAMETROS_CULTURAS!$F$6:$F$28,$P2332),"INICIAL",IF($O2332&lt;=INDEX(PARAMETROS_CULTURAS!$F$6:$F$28,$P2332)+INDEX(PARAMETROS_CULTURAS!$G$6:$G$28,$P2332),"DESENVOLVIMENTO",IF($O2332&lt;=INDEX(PARAMETROS_CULTURAS!$F$6:$F$28,$P2332)+INDEX(PARAMETROS_CULTURAS!$G$6:$G$28,$P2332)+INDEX(PARAMETROS_CULTURAS!$H$6:$H$28,$P2332),"MEDIA","FINAL"))))</f>
        <v>-</v>
      </c>
      <c r="R2332" s="24" t="n">
        <f aca="false">IF($P2332=0,0,IF($O2332&lt;=INDEX(PARAMETROS_CULTURAS!$F$6:$F$28,$P2332),INDEX(PARAMETROS_CULTURAS!$K$6:$K$28,$P2332),IF($O2332&lt;=INDEX(PARAMETROS_CULTURAS!$F$6:$F$28,$P2332)+INDEX(PARAMETROS_CULTURAS!$G$6:$G$28,$P2332),INDEX(PARAMETROS_CULTURAS!$K$6:$K$28,$P2332)+(INDEX(PARAMETROS_CULTURAS!$L$6:$L$28,$P2332)-INDEX(PARAMETROS_CULTURAS!$K$6:$K$28,$P2332))*($O2332-INDEX(PARAMETROS_CULTURAS!$F$6:$F$28,$P2332))/MAX(INDEX(PARAMETROS_CULTURAS!$G$6:$G$28,$P2332),0.0001),IF($O2332&lt;=INDEX(PARAMETROS_CULTURAS!$F$6:$F$28,$P2332)+INDEX(PARAMETROS_CULTURAS!$G$6:$G$28,$P2332)+INDEX(PARAMETROS_CULTURAS!$H$6:$H$28,$P2332),INDEX(PARAMETROS_CULTURAS!$L$6:$L$28,$P2332),INDEX(PARAMETROS_CULTURAS!$L$6:$L$28,$P2332)+(INDEX(PARAMETROS_CULTURAS!$M$6:$M$28,$P2332)-INDEX(PARAMETROS_CULTURAS!$L$6:$L$28,$P2332))*($O2332-INDEX(PARAMETROS_CULTURAS!$F$6:$F$28,$P2332)-INDEX(PARAMETROS_CULTURAS!$G$6:$G$28,$P2332)-INDEX(PARAMETROS_CULTURAS!$H$6:$H$28,$P2332))/MAX(INDEX(PARAMETROS_CULTURAS!$I$6:$I$28,$P2332),0.0001)))))</f>
        <v>0</v>
      </c>
      <c r="S2332" s="18" t="n">
        <f aca="false">IFERROR(INDEX(SEMANAS!$H$6:$H$71,MATCH($B2332,SEMANAS!$B$6:$B$71,0)),0)</f>
        <v>32.9</v>
      </c>
      <c r="T2332" s="18" t="n">
        <f aca="false">$R2332*$S2332</f>
        <v>0</v>
      </c>
      <c r="U2332" s="18" t="n">
        <f aca="false">IFERROR(INDEX(SEMANAS!$I$6:$I$71,MATCH($B2332,SEMANAS!$B$6:$B$71,0)),0)</f>
        <v>48.58</v>
      </c>
      <c r="V2332" s="18" t="n">
        <f aca="false">IFERROR(INDEX(SEMANAS!$J$6:$J$71,MATCH($B2332,SEMANAS!$B$6:$B$71,0)),0)</f>
        <v>38.864</v>
      </c>
      <c r="W2332" s="18" t="n">
        <f aca="false">MAX(0,$T2332-$V2332)</f>
        <v>0</v>
      </c>
      <c r="X2332" s="19" t="n">
        <f aca="false">IFERROR(INDEX(CADASTRO_PIVOS!$K$6:$K$41,MATCH($E2332,CADASTRO_PIVOS!$B$6:$B$41,0)),EFICIENCIA_PADRAO)</f>
        <v>0.85</v>
      </c>
      <c r="Y2332" s="18" t="n">
        <f aca="false">IF($X2332&lt;=0,0,$W2332/$X2332)</f>
        <v>0</v>
      </c>
      <c r="Z2332" s="16" t="n">
        <f aca="false">$Y2332*$H2332*MM_PARA_M3_HA</f>
        <v>0</v>
      </c>
      <c r="AA2332" s="18" t="n">
        <f aca="false">IFERROR(INDEX(CADASTRO_PIVOS!$I$6:$I$41,MATCH($E2332,CADASTRO_PIVOS!$B$6:$B$41,0)),0)</f>
        <v>1071.42857142857</v>
      </c>
      <c r="AB2332" s="18" t="n">
        <f aca="false">IF($Z2332&lt;=0,0,$Z2332/$AA2332)</f>
        <v>0</v>
      </c>
      <c r="AC2332" s="16" t="n">
        <f aca="false">IFERROR(INDEX(SEMANAS!$K$6:$K$71,MATCH($B2332,SEMANAS!$B$6:$B$71,0)),0)</f>
        <v>147</v>
      </c>
      <c r="AD2332" s="19" t="n">
        <f aca="false">IF($AC2332&lt;=0,0,$AB2332/$AC2332)</f>
        <v>0</v>
      </c>
      <c r="AE2332" s="8" t="str">
        <f aca="false">IF($K2332="SEM CULTURA","SEM CULTURA",IF($AA2332&lt;=0,"DADO PENDENTE",IF($AD2332&gt;LIMITE_CRITICO,"INVIAVEL",IF($AD2332&gt;LIMITE_ATENCAO,"CRITICO",IF($AD2332&gt;LIMITE_CONFORTAVEL,"ATENCAO","OK")))))</f>
        <v>SEM CULTURA</v>
      </c>
      <c r="AF2332" s="8" t="str">
        <f aca="false">$B2332&amp;"|"&amp;TEXT($AD2332,"0.000000")</f>
        <v>17|0.000000</v>
      </c>
      <c r="AG2332" s="18" t="n">
        <f aca="false">IF($K2332="SEM CULTURA",0,$T2332*$H2332)</f>
        <v>0</v>
      </c>
      <c r="AH2332" s="18" t="n">
        <f aca="false">IF($K2332="SEM CULTURA",0,$V2332*$H2332)</f>
        <v>0</v>
      </c>
      <c r="AI2332" s="18" t="n">
        <f aca="false">IF($K2332="SEM CULTURA",0,$W2332*$H2332)</f>
        <v>0</v>
      </c>
      <c r="AJ2332" s="18" t="n">
        <f aca="false">IF($K2332="SEM CULTURA",0,$S2332*$H2332)</f>
        <v>0</v>
      </c>
      <c r="AK2332" s="8" t="str">
        <f aca="false">$E2332&amp;"|"&amp;TEXT($AD2332,"0.000000")</f>
        <v>PV 137|0.000000</v>
      </c>
    </row>
    <row r="2333" customFormat="false" ht="15" hidden="false" customHeight="false" outlineLevel="0" collapsed="false">
      <c r="B2333" s="16" t="n">
        <v>18</v>
      </c>
      <c r="C2333" s="17" t="n">
        <f aca="false">DATA_INICIO_SAFRA+($B2333-1)*DIAS_POR_SEMANA</f>
        <v>46384</v>
      </c>
      <c r="D2333" s="17" t="n">
        <f aca="false">$C2333+DIAS_POR_SEMANA-1</f>
        <v>46390</v>
      </c>
      <c r="E2333" s="15" t="s">
        <v>294</v>
      </c>
      <c r="F2333" s="8" t="str">
        <f aca="false">IFERROR(INDEX(CADASTRO_PIVOS!$C$6:$C$41,MATCH($E2333,CADASTRO_PIVOS!$B$6:$B$41,0)),"?")</f>
        <v>RM08</v>
      </c>
      <c r="G2333" s="8" t="str">
        <f aca="false">IFERROR(INDEX(CADASTRO_PIVOS!$D$6:$D$41,MATCH($E2333,CADASTRO_PIVOS!$B$6:$B$41,0)),"?")</f>
        <v>TR08</v>
      </c>
      <c r="H2333" s="20" t="n">
        <f aca="false">IFERROR(INDEX(CADASTRO_PIVOS!$E$6:$E$41,MATCH($E2333,CADASTRO_PIVOS!$B$6:$B$41,0)),0)</f>
        <v>150</v>
      </c>
      <c r="I2333" s="16" t="n">
        <f aca="false">IFERROR(SUMIFS(ROTACAO_RDM!$B$6:$B$71,ROTACAO_RDM!$D$6:$D$71,$E2333,ROTACAO_RDM!$I$6:$I$71,"&lt;="&amp;$C2333+INT(DIAS_POR_SEMANA/2),ROTACAO_RDM!$J$6:$J$71,"&gt;="&amp;$C2333+INT(DIAS_POR_SEMANA/2)),0)</f>
        <v>0</v>
      </c>
      <c r="J2333" s="16" t="n">
        <f aca="false">IFERROR(MATCH($I2333,ROTACAO_RDM!$B$6:$B$71,0),0)</f>
        <v>0</v>
      </c>
      <c r="K2333" s="8" t="str">
        <f aca="false">IF($J2333=0,"SEM CULTURA",INDEX(ROTACAO_RDM!$F$6:$F$71,$J2333))</f>
        <v>SEM CULTURA</v>
      </c>
      <c r="L2333" s="8" t="str">
        <f aca="false">IF($J2333=0,"",INDEX(ROTACAO_RDM!$G$6:$G$71,$J2333))</f>
        <v/>
      </c>
      <c r="M2333" s="17" t="str">
        <f aca="false">IF($J2333=0,"",INDEX(ROTACAO_RDM!$I$6:$I$71,$J2333))</f>
        <v/>
      </c>
      <c r="N2333" s="16" t="n">
        <f aca="false">IF($J2333=0,0,MAX(0,$C2333+INT(DIAS_POR_SEMANA/2)-INDEX(ROTACAO_RDM!$I$6:$I$71,$J2333)))</f>
        <v>0</v>
      </c>
      <c r="O2333" s="19" t="n">
        <f aca="false">IF($J2333=0,0,MIN(1,$N2333/MAX(1,INDEX(ROTACAO_RDM!$K$6:$K$71,$J2333))))</f>
        <v>0</v>
      </c>
      <c r="P2333" s="16" t="n">
        <f aca="false">IF($J2333=0,0,IFERROR(MATCH(INDEX(ROTACAO_RDM!$N$6:$N$71,$J2333),PARAMETROS_CULTURAS!$B$6:$B$28,0),0))</f>
        <v>0</v>
      </c>
      <c r="Q2333" s="8" t="str">
        <f aca="false">IF($P2333=0,"-",IF($O2333&lt;=INDEX(PARAMETROS_CULTURAS!$F$6:$F$28,$P2333),"INICIAL",IF($O2333&lt;=INDEX(PARAMETROS_CULTURAS!$F$6:$F$28,$P2333)+INDEX(PARAMETROS_CULTURAS!$G$6:$G$28,$P2333),"DESENVOLVIMENTO",IF($O2333&lt;=INDEX(PARAMETROS_CULTURAS!$F$6:$F$28,$P2333)+INDEX(PARAMETROS_CULTURAS!$G$6:$G$28,$P2333)+INDEX(PARAMETROS_CULTURAS!$H$6:$H$28,$P2333),"MEDIA","FINAL"))))</f>
        <v>-</v>
      </c>
      <c r="R2333" s="24" t="n">
        <f aca="false">IF($P2333=0,0,IF($O2333&lt;=INDEX(PARAMETROS_CULTURAS!$F$6:$F$28,$P2333),INDEX(PARAMETROS_CULTURAS!$K$6:$K$28,$P2333),IF($O2333&lt;=INDEX(PARAMETROS_CULTURAS!$F$6:$F$28,$P2333)+INDEX(PARAMETROS_CULTURAS!$G$6:$G$28,$P2333),INDEX(PARAMETROS_CULTURAS!$K$6:$K$28,$P2333)+(INDEX(PARAMETROS_CULTURAS!$L$6:$L$28,$P2333)-INDEX(PARAMETROS_CULTURAS!$K$6:$K$28,$P2333))*($O2333-INDEX(PARAMETROS_CULTURAS!$F$6:$F$28,$P2333))/MAX(INDEX(PARAMETROS_CULTURAS!$G$6:$G$28,$P2333),0.0001),IF($O2333&lt;=INDEX(PARAMETROS_CULTURAS!$F$6:$F$28,$P2333)+INDEX(PARAMETROS_CULTURAS!$G$6:$G$28,$P2333)+INDEX(PARAMETROS_CULTURAS!$H$6:$H$28,$P2333),INDEX(PARAMETROS_CULTURAS!$L$6:$L$28,$P2333),INDEX(PARAMETROS_CULTURAS!$L$6:$L$28,$P2333)+(INDEX(PARAMETROS_CULTURAS!$M$6:$M$28,$P2333)-INDEX(PARAMETROS_CULTURAS!$L$6:$L$28,$P2333))*($O2333-INDEX(PARAMETROS_CULTURAS!$F$6:$F$28,$P2333)-INDEX(PARAMETROS_CULTURAS!$G$6:$G$28,$P2333)-INDEX(PARAMETROS_CULTURAS!$H$6:$H$28,$P2333))/MAX(INDEX(PARAMETROS_CULTURAS!$I$6:$I$28,$P2333),0.0001)))))</f>
        <v>0</v>
      </c>
      <c r="S2333" s="18" t="n">
        <f aca="false">IFERROR(INDEX(SEMANAS!$H$6:$H$71,MATCH($B2333,SEMANAS!$B$6:$B$71,0)),0)</f>
        <v>33.2</v>
      </c>
      <c r="T2333" s="18" t="n">
        <f aca="false">$R2333*$S2333</f>
        <v>0</v>
      </c>
      <c r="U2333" s="18" t="n">
        <f aca="false">IFERROR(INDEX(SEMANAS!$I$6:$I$71,MATCH($B2333,SEMANAS!$B$6:$B$71,0)),0)</f>
        <v>47.11</v>
      </c>
      <c r="V2333" s="18" t="n">
        <f aca="false">IFERROR(INDEX(SEMANAS!$J$6:$J$71,MATCH($B2333,SEMANAS!$B$6:$B$71,0)),0)</f>
        <v>37.688</v>
      </c>
      <c r="W2333" s="18" t="n">
        <f aca="false">MAX(0,$T2333-$V2333)</f>
        <v>0</v>
      </c>
      <c r="X2333" s="19" t="n">
        <f aca="false">IFERROR(INDEX(CADASTRO_PIVOS!$K$6:$K$41,MATCH($E2333,CADASTRO_PIVOS!$B$6:$B$41,0)),EFICIENCIA_PADRAO)</f>
        <v>0.85</v>
      </c>
      <c r="Y2333" s="18" t="n">
        <f aca="false">IF($X2333&lt;=0,0,$W2333/$X2333)</f>
        <v>0</v>
      </c>
      <c r="Z2333" s="16" t="n">
        <f aca="false">$Y2333*$H2333*MM_PARA_M3_HA</f>
        <v>0</v>
      </c>
      <c r="AA2333" s="18" t="n">
        <f aca="false">IFERROR(INDEX(CADASTRO_PIVOS!$I$6:$I$41,MATCH($E2333,CADASTRO_PIVOS!$B$6:$B$41,0)),0)</f>
        <v>1071.42857142857</v>
      </c>
      <c r="AB2333" s="18" t="n">
        <f aca="false">IF($Z2333&lt;=0,0,$Z2333/$AA2333)</f>
        <v>0</v>
      </c>
      <c r="AC2333" s="16" t="n">
        <f aca="false">IFERROR(INDEX(SEMANAS!$K$6:$K$71,MATCH($B2333,SEMANAS!$B$6:$B$71,0)),0)</f>
        <v>147</v>
      </c>
      <c r="AD2333" s="19" t="n">
        <f aca="false">IF($AC2333&lt;=0,0,$AB2333/$AC2333)</f>
        <v>0</v>
      </c>
      <c r="AE2333" s="8" t="str">
        <f aca="false">IF($K2333="SEM CULTURA","SEM CULTURA",IF($AA2333&lt;=0,"DADO PENDENTE",IF($AD2333&gt;LIMITE_CRITICO,"INVIAVEL",IF($AD2333&gt;LIMITE_ATENCAO,"CRITICO",IF($AD2333&gt;LIMITE_CONFORTAVEL,"ATENCAO","OK")))))</f>
        <v>SEM CULTURA</v>
      </c>
      <c r="AF2333" s="8" t="str">
        <f aca="false">$B2333&amp;"|"&amp;TEXT($AD2333,"0.000000")</f>
        <v>18|0.000000</v>
      </c>
      <c r="AG2333" s="18" t="n">
        <f aca="false">IF($K2333="SEM CULTURA",0,$T2333*$H2333)</f>
        <v>0</v>
      </c>
      <c r="AH2333" s="18" t="n">
        <f aca="false">IF($K2333="SEM CULTURA",0,$V2333*$H2333)</f>
        <v>0</v>
      </c>
      <c r="AI2333" s="18" t="n">
        <f aca="false">IF($K2333="SEM CULTURA",0,$W2333*$H2333)</f>
        <v>0</v>
      </c>
      <c r="AJ2333" s="18" t="n">
        <f aca="false">IF($K2333="SEM CULTURA",0,$S2333*$H2333)</f>
        <v>0</v>
      </c>
      <c r="AK2333" s="8" t="str">
        <f aca="false">$E2333&amp;"|"&amp;TEXT($AD2333,"0.000000")</f>
        <v>PV 137|0.000000</v>
      </c>
    </row>
    <row r="2334" customFormat="false" ht="15" hidden="false" customHeight="false" outlineLevel="0" collapsed="false">
      <c r="B2334" s="16" t="n">
        <v>19</v>
      </c>
      <c r="C2334" s="17" t="n">
        <f aca="false">DATA_INICIO_SAFRA+($B2334-1)*DIAS_POR_SEMANA</f>
        <v>46391</v>
      </c>
      <c r="D2334" s="17" t="n">
        <f aca="false">$C2334+DIAS_POR_SEMANA-1</f>
        <v>46397</v>
      </c>
      <c r="E2334" s="15" t="s">
        <v>294</v>
      </c>
      <c r="F2334" s="8" t="str">
        <f aca="false">IFERROR(INDEX(CADASTRO_PIVOS!$C$6:$C$41,MATCH($E2334,CADASTRO_PIVOS!$B$6:$B$41,0)),"?")</f>
        <v>RM08</v>
      </c>
      <c r="G2334" s="8" t="str">
        <f aca="false">IFERROR(INDEX(CADASTRO_PIVOS!$D$6:$D$41,MATCH($E2334,CADASTRO_PIVOS!$B$6:$B$41,0)),"?")</f>
        <v>TR08</v>
      </c>
      <c r="H2334" s="20" t="n">
        <f aca="false">IFERROR(INDEX(CADASTRO_PIVOS!$E$6:$E$41,MATCH($E2334,CADASTRO_PIVOS!$B$6:$B$41,0)),0)</f>
        <v>150</v>
      </c>
      <c r="I2334" s="16" t="n">
        <f aca="false">IFERROR(SUMIFS(ROTACAO_RDM!$B$6:$B$71,ROTACAO_RDM!$D$6:$D$71,$E2334,ROTACAO_RDM!$I$6:$I$71,"&lt;="&amp;$C2334+INT(DIAS_POR_SEMANA/2),ROTACAO_RDM!$J$6:$J$71,"&gt;="&amp;$C2334+INT(DIAS_POR_SEMANA/2)),0)</f>
        <v>0</v>
      </c>
      <c r="J2334" s="16" t="n">
        <f aca="false">IFERROR(MATCH($I2334,ROTACAO_RDM!$B$6:$B$71,0),0)</f>
        <v>0</v>
      </c>
      <c r="K2334" s="8" t="str">
        <f aca="false">IF($J2334=0,"SEM CULTURA",INDEX(ROTACAO_RDM!$F$6:$F$71,$J2334))</f>
        <v>SEM CULTURA</v>
      </c>
      <c r="L2334" s="8" t="str">
        <f aca="false">IF($J2334=0,"",INDEX(ROTACAO_RDM!$G$6:$G$71,$J2334))</f>
        <v/>
      </c>
      <c r="M2334" s="17" t="str">
        <f aca="false">IF($J2334=0,"",INDEX(ROTACAO_RDM!$I$6:$I$71,$J2334))</f>
        <v/>
      </c>
      <c r="N2334" s="16" t="n">
        <f aca="false">IF($J2334=0,0,MAX(0,$C2334+INT(DIAS_POR_SEMANA/2)-INDEX(ROTACAO_RDM!$I$6:$I$71,$J2334)))</f>
        <v>0</v>
      </c>
      <c r="O2334" s="19" t="n">
        <f aca="false">IF($J2334=0,0,MIN(1,$N2334/MAX(1,INDEX(ROTACAO_RDM!$K$6:$K$71,$J2334))))</f>
        <v>0</v>
      </c>
      <c r="P2334" s="16" t="n">
        <f aca="false">IF($J2334=0,0,IFERROR(MATCH(INDEX(ROTACAO_RDM!$N$6:$N$71,$J2334),PARAMETROS_CULTURAS!$B$6:$B$28,0),0))</f>
        <v>0</v>
      </c>
      <c r="Q2334" s="8" t="str">
        <f aca="false">IF($P2334=0,"-",IF($O2334&lt;=INDEX(PARAMETROS_CULTURAS!$F$6:$F$28,$P2334),"INICIAL",IF($O2334&lt;=INDEX(PARAMETROS_CULTURAS!$F$6:$F$28,$P2334)+INDEX(PARAMETROS_CULTURAS!$G$6:$G$28,$P2334),"DESENVOLVIMENTO",IF($O2334&lt;=INDEX(PARAMETROS_CULTURAS!$F$6:$F$28,$P2334)+INDEX(PARAMETROS_CULTURAS!$G$6:$G$28,$P2334)+INDEX(PARAMETROS_CULTURAS!$H$6:$H$28,$P2334),"MEDIA","FINAL"))))</f>
        <v>-</v>
      </c>
      <c r="R2334" s="24" t="n">
        <f aca="false">IF($P2334=0,0,IF($O2334&lt;=INDEX(PARAMETROS_CULTURAS!$F$6:$F$28,$P2334),INDEX(PARAMETROS_CULTURAS!$K$6:$K$28,$P2334),IF($O2334&lt;=INDEX(PARAMETROS_CULTURAS!$F$6:$F$28,$P2334)+INDEX(PARAMETROS_CULTURAS!$G$6:$G$28,$P2334),INDEX(PARAMETROS_CULTURAS!$K$6:$K$28,$P2334)+(INDEX(PARAMETROS_CULTURAS!$L$6:$L$28,$P2334)-INDEX(PARAMETROS_CULTURAS!$K$6:$K$28,$P2334))*($O2334-INDEX(PARAMETROS_CULTURAS!$F$6:$F$28,$P2334))/MAX(INDEX(PARAMETROS_CULTURAS!$G$6:$G$28,$P2334),0.0001),IF($O2334&lt;=INDEX(PARAMETROS_CULTURAS!$F$6:$F$28,$P2334)+INDEX(PARAMETROS_CULTURAS!$G$6:$G$28,$P2334)+INDEX(PARAMETROS_CULTURAS!$H$6:$H$28,$P2334),INDEX(PARAMETROS_CULTURAS!$L$6:$L$28,$P2334),INDEX(PARAMETROS_CULTURAS!$L$6:$L$28,$P2334)+(INDEX(PARAMETROS_CULTURAS!$M$6:$M$28,$P2334)-INDEX(PARAMETROS_CULTURAS!$L$6:$L$28,$P2334))*($O2334-INDEX(PARAMETROS_CULTURAS!$F$6:$F$28,$P2334)-INDEX(PARAMETROS_CULTURAS!$G$6:$G$28,$P2334)-INDEX(PARAMETROS_CULTURAS!$H$6:$H$28,$P2334))/MAX(INDEX(PARAMETROS_CULTURAS!$I$6:$I$28,$P2334),0.0001)))))</f>
        <v>0</v>
      </c>
      <c r="S2334" s="18" t="n">
        <f aca="false">IFERROR(INDEX(SEMANAS!$H$6:$H$71,MATCH($B2334,SEMANAS!$B$6:$B$71,0)),0)</f>
        <v>33.6</v>
      </c>
      <c r="T2334" s="18" t="n">
        <f aca="false">$R2334*$S2334</f>
        <v>0</v>
      </c>
      <c r="U2334" s="18" t="n">
        <f aca="false">IFERROR(INDEX(SEMANAS!$I$6:$I$71,MATCH($B2334,SEMANAS!$B$6:$B$71,0)),0)</f>
        <v>45.15</v>
      </c>
      <c r="V2334" s="18" t="n">
        <f aca="false">IFERROR(INDEX(SEMANAS!$J$6:$J$71,MATCH($B2334,SEMANAS!$B$6:$B$71,0)),0)</f>
        <v>36.12</v>
      </c>
      <c r="W2334" s="18" t="n">
        <f aca="false">MAX(0,$T2334-$V2334)</f>
        <v>0</v>
      </c>
      <c r="X2334" s="19" t="n">
        <f aca="false">IFERROR(INDEX(CADASTRO_PIVOS!$K$6:$K$41,MATCH($E2334,CADASTRO_PIVOS!$B$6:$B$41,0)),EFICIENCIA_PADRAO)</f>
        <v>0.85</v>
      </c>
      <c r="Y2334" s="18" t="n">
        <f aca="false">IF($X2334&lt;=0,0,$W2334/$X2334)</f>
        <v>0</v>
      </c>
      <c r="Z2334" s="16" t="n">
        <f aca="false">$Y2334*$H2334*MM_PARA_M3_HA</f>
        <v>0</v>
      </c>
      <c r="AA2334" s="18" t="n">
        <f aca="false">IFERROR(INDEX(CADASTRO_PIVOS!$I$6:$I$41,MATCH($E2334,CADASTRO_PIVOS!$B$6:$B$41,0)),0)</f>
        <v>1071.42857142857</v>
      </c>
      <c r="AB2334" s="18" t="n">
        <f aca="false">IF($Z2334&lt;=0,0,$Z2334/$AA2334)</f>
        <v>0</v>
      </c>
      <c r="AC2334" s="16" t="n">
        <f aca="false">IFERROR(INDEX(SEMANAS!$K$6:$K$71,MATCH($B2334,SEMANAS!$B$6:$B$71,0)),0)</f>
        <v>147</v>
      </c>
      <c r="AD2334" s="19" t="n">
        <f aca="false">IF($AC2334&lt;=0,0,$AB2334/$AC2334)</f>
        <v>0</v>
      </c>
      <c r="AE2334" s="8" t="str">
        <f aca="false">IF($K2334="SEM CULTURA","SEM CULTURA",IF($AA2334&lt;=0,"DADO PENDENTE",IF($AD2334&gt;LIMITE_CRITICO,"INVIAVEL",IF($AD2334&gt;LIMITE_ATENCAO,"CRITICO",IF($AD2334&gt;LIMITE_CONFORTAVEL,"ATENCAO","OK")))))</f>
        <v>SEM CULTURA</v>
      </c>
      <c r="AF2334" s="8" t="str">
        <f aca="false">$B2334&amp;"|"&amp;TEXT($AD2334,"0.000000")</f>
        <v>19|0.000000</v>
      </c>
      <c r="AG2334" s="18" t="n">
        <f aca="false">IF($K2334="SEM CULTURA",0,$T2334*$H2334)</f>
        <v>0</v>
      </c>
      <c r="AH2334" s="18" t="n">
        <f aca="false">IF($K2334="SEM CULTURA",0,$V2334*$H2334)</f>
        <v>0</v>
      </c>
      <c r="AI2334" s="18" t="n">
        <f aca="false">IF($K2334="SEM CULTURA",0,$W2334*$H2334)</f>
        <v>0</v>
      </c>
      <c r="AJ2334" s="18" t="n">
        <f aca="false">IF($K2334="SEM CULTURA",0,$S2334*$H2334)</f>
        <v>0</v>
      </c>
      <c r="AK2334" s="8" t="str">
        <f aca="false">$E2334&amp;"|"&amp;TEXT($AD2334,"0.000000")</f>
        <v>PV 137|0.000000</v>
      </c>
    </row>
    <row r="2335" customFormat="false" ht="15" hidden="false" customHeight="false" outlineLevel="0" collapsed="false">
      <c r="B2335" s="16" t="n">
        <v>20</v>
      </c>
      <c r="C2335" s="17" t="n">
        <f aca="false">DATA_INICIO_SAFRA+($B2335-1)*DIAS_POR_SEMANA</f>
        <v>46398</v>
      </c>
      <c r="D2335" s="17" t="n">
        <f aca="false">$C2335+DIAS_POR_SEMANA-1</f>
        <v>46404</v>
      </c>
      <c r="E2335" s="15" t="s">
        <v>294</v>
      </c>
      <c r="F2335" s="8" t="str">
        <f aca="false">IFERROR(INDEX(CADASTRO_PIVOS!$C$6:$C$41,MATCH($E2335,CADASTRO_PIVOS!$B$6:$B$41,0)),"?")</f>
        <v>RM08</v>
      </c>
      <c r="G2335" s="8" t="str">
        <f aca="false">IFERROR(INDEX(CADASTRO_PIVOS!$D$6:$D$41,MATCH($E2335,CADASTRO_PIVOS!$B$6:$B$41,0)),"?")</f>
        <v>TR08</v>
      </c>
      <c r="H2335" s="20" t="n">
        <f aca="false">IFERROR(INDEX(CADASTRO_PIVOS!$E$6:$E$41,MATCH($E2335,CADASTRO_PIVOS!$B$6:$B$41,0)),0)</f>
        <v>150</v>
      </c>
      <c r="I2335" s="16" t="n">
        <f aca="false">IFERROR(SUMIFS(ROTACAO_RDM!$B$6:$B$71,ROTACAO_RDM!$D$6:$D$71,$E2335,ROTACAO_RDM!$I$6:$I$71,"&lt;="&amp;$C2335+INT(DIAS_POR_SEMANA/2),ROTACAO_RDM!$J$6:$J$71,"&gt;="&amp;$C2335+INT(DIAS_POR_SEMANA/2)),0)</f>
        <v>0</v>
      </c>
      <c r="J2335" s="16" t="n">
        <f aca="false">IFERROR(MATCH($I2335,ROTACAO_RDM!$B$6:$B$71,0),0)</f>
        <v>0</v>
      </c>
      <c r="K2335" s="8" t="str">
        <f aca="false">IF($J2335=0,"SEM CULTURA",INDEX(ROTACAO_RDM!$F$6:$F$71,$J2335))</f>
        <v>SEM CULTURA</v>
      </c>
      <c r="L2335" s="8" t="str">
        <f aca="false">IF($J2335=0,"",INDEX(ROTACAO_RDM!$G$6:$G$71,$J2335))</f>
        <v/>
      </c>
      <c r="M2335" s="17" t="str">
        <f aca="false">IF($J2335=0,"",INDEX(ROTACAO_RDM!$I$6:$I$71,$J2335))</f>
        <v/>
      </c>
      <c r="N2335" s="16" t="n">
        <f aca="false">IF($J2335=0,0,MAX(0,$C2335+INT(DIAS_POR_SEMANA/2)-INDEX(ROTACAO_RDM!$I$6:$I$71,$J2335)))</f>
        <v>0</v>
      </c>
      <c r="O2335" s="19" t="n">
        <f aca="false">IF($J2335=0,0,MIN(1,$N2335/MAX(1,INDEX(ROTACAO_RDM!$K$6:$K$71,$J2335))))</f>
        <v>0</v>
      </c>
      <c r="P2335" s="16" t="n">
        <f aca="false">IF($J2335=0,0,IFERROR(MATCH(INDEX(ROTACAO_RDM!$N$6:$N$71,$J2335),PARAMETROS_CULTURAS!$B$6:$B$28,0),0))</f>
        <v>0</v>
      </c>
      <c r="Q2335" s="8" t="str">
        <f aca="false">IF($P2335=0,"-",IF($O2335&lt;=INDEX(PARAMETROS_CULTURAS!$F$6:$F$28,$P2335),"INICIAL",IF($O2335&lt;=INDEX(PARAMETROS_CULTURAS!$F$6:$F$28,$P2335)+INDEX(PARAMETROS_CULTURAS!$G$6:$G$28,$P2335),"DESENVOLVIMENTO",IF($O2335&lt;=INDEX(PARAMETROS_CULTURAS!$F$6:$F$28,$P2335)+INDEX(PARAMETROS_CULTURAS!$G$6:$G$28,$P2335)+INDEX(PARAMETROS_CULTURAS!$H$6:$H$28,$P2335),"MEDIA","FINAL"))))</f>
        <v>-</v>
      </c>
      <c r="R2335" s="24" t="n">
        <f aca="false">IF($P2335=0,0,IF($O2335&lt;=INDEX(PARAMETROS_CULTURAS!$F$6:$F$28,$P2335),INDEX(PARAMETROS_CULTURAS!$K$6:$K$28,$P2335),IF($O2335&lt;=INDEX(PARAMETROS_CULTURAS!$F$6:$F$28,$P2335)+INDEX(PARAMETROS_CULTURAS!$G$6:$G$28,$P2335),INDEX(PARAMETROS_CULTURAS!$K$6:$K$28,$P2335)+(INDEX(PARAMETROS_CULTURAS!$L$6:$L$28,$P2335)-INDEX(PARAMETROS_CULTURAS!$K$6:$K$28,$P2335))*($O2335-INDEX(PARAMETROS_CULTURAS!$F$6:$F$28,$P2335))/MAX(INDEX(PARAMETROS_CULTURAS!$G$6:$G$28,$P2335),0.0001),IF($O2335&lt;=INDEX(PARAMETROS_CULTURAS!$F$6:$F$28,$P2335)+INDEX(PARAMETROS_CULTURAS!$G$6:$G$28,$P2335)+INDEX(PARAMETROS_CULTURAS!$H$6:$H$28,$P2335),INDEX(PARAMETROS_CULTURAS!$L$6:$L$28,$P2335),INDEX(PARAMETROS_CULTURAS!$L$6:$L$28,$P2335)+(INDEX(PARAMETROS_CULTURAS!$M$6:$M$28,$P2335)-INDEX(PARAMETROS_CULTURAS!$L$6:$L$28,$P2335))*($O2335-INDEX(PARAMETROS_CULTURAS!$F$6:$F$28,$P2335)-INDEX(PARAMETROS_CULTURAS!$G$6:$G$28,$P2335)-INDEX(PARAMETROS_CULTURAS!$H$6:$H$28,$P2335))/MAX(INDEX(PARAMETROS_CULTURAS!$I$6:$I$28,$P2335),0.0001)))))</f>
        <v>0</v>
      </c>
      <c r="S2335" s="18" t="n">
        <f aca="false">IFERROR(INDEX(SEMANAS!$H$6:$H$71,MATCH($B2335,SEMANAS!$B$6:$B$71,0)),0)</f>
        <v>33.6</v>
      </c>
      <c r="T2335" s="18" t="n">
        <f aca="false">$R2335*$S2335</f>
        <v>0</v>
      </c>
      <c r="U2335" s="18" t="n">
        <f aca="false">IFERROR(INDEX(SEMANAS!$I$6:$I$71,MATCH($B2335,SEMANAS!$B$6:$B$71,0)),0)</f>
        <v>45.15</v>
      </c>
      <c r="V2335" s="18" t="n">
        <f aca="false">IFERROR(INDEX(SEMANAS!$J$6:$J$71,MATCH($B2335,SEMANAS!$B$6:$B$71,0)),0)</f>
        <v>36.12</v>
      </c>
      <c r="W2335" s="18" t="n">
        <f aca="false">MAX(0,$T2335-$V2335)</f>
        <v>0</v>
      </c>
      <c r="X2335" s="19" t="n">
        <f aca="false">IFERROR(INDEX(CADASTRO_PIVOS!$K$6:$K$41,MATCH($E2335,CADASTRO_PIVOS!$B$6:$B$41,0)),EFICIENCIA_PADRAO)</f>
        <v>0.85</v>
      </c>
      <c r="Y2335" s="18" t="n">
        <f aca="false">IF($X2335&lt;=0,0,$W2335/$X2335)</f>
        <v>0</v>
      </c>
      <c r="Z2335" s="16" t="n">
        <f aca="false">$Y2335*$H2335*MM_PARA_M3_HA</f>
        <v>0</v>
      </c>
      <c r="AA2335" s="18" t="n">
        <f aca="false">IFERROR(INDEX(CADASTRO_PIVOS!$I$6:$I$41,MATCH($E2335,CADASTRO_PIVOS!$B$6:$B$41,0)),0)</f>
        <v>1071.42857142857</v>
      </c>
      <c r="AB2335" s="18" t="n">
        <f aca="false">IF($Z2335&lt;=0,0,$Z2335/$AA2335)</f>
        <v>0</v>
      </c>
      <c r="AC2335" s="16" t="n">
        <f aca="false">IFERROR(INDEX(SEMANAS!$K$6:$K$71,MATCH($B2335,SEMANAS!$B$6:$B$71,0)),0)</f>
        <v>147</v>
      </c>
      <c r="AD2335" s="19" t="n">
        <f aca="false">IF($AC2335&lt;=0,0,$AB2335/$AC2335)</f>
        <v>0</v>
      </c>
      <c r="AE2335" s="8" t="str">
        <f aca="false">IF($K2335="SEM CULTURA","SEM CULTURA",IF($AA2335&lt;=0,"DADO PENDENTE",IF($AD2335&gt;LIMITE_CRITICO,"INVIAVEL",IF($AD2335&gt;LIMITE_ATENCAO,"CRITICO",IF($AD2335&gt;LIMITE_CONFORTAVEL,"ATENCAO","OK")))))</f>
        <v>SEM CULTURA</v>
      </c>
      <c r="AF2335" s="8" t="str">
        <f aca="false">$B2335&amp;"|"&amp;TEXT($AD2335,"0.000000")</f>
        <v>20|0.000000</v>
      </c>
      <c r="AG2335" s="18" t="n">
        <f aca="false">IF($K2335="SEM CULTURA",0,$T2335*$H2335)</f>
        <v>0</v>
      </c>
      <c r="AH2335" s="18" t="n">
        <f aca="false">IF($K2335="SEM CULTURA",0,$V2335*$H2335)</f>
        <v>0</v>
      </c>
      <c r="AI2335" s="18" t="n">
        <f aca="false">IF($K2335="SEM CULTURA",0,$W2335*$H2335)</f>
        <v>0</v>
      </c>
      <c r="AJ2335" s="18" t="n">
        <f aca="false">IF($K2335="SEM CULTURA",0,$S2335*$H2335)</f>
        <v>0</v>
      </c>
      <c r="AK2335" s="8" t="str">
        <f aca="false">$E2335&amp;"|"&amp;TEXT($AD2335,"0.000000")</f>
        <v>PV 137|0.000000</v>
      </c>
    </row>
    <row r="2336" customFormat="false" ht="15" hidden="false" customHeight="false" outlineLevel="0" collapsed="false">
      <c r="B2336" s="16" t="n">
        <v>21</v>
      </c>
      <c r="C2336" s="17" t="n">
        <f aca="false">DATA_INICIO_SAFRA+($B2336-1)*DIAS_POR_SEMANA</f>
        <v>46405</v>
      </c>
      <c r="D2336" s="17" t="n">
        <f aca="false">$C2336+DIAS_POR_SEMANA-1</f>
        <v>46411</v>
      </c>
      <c r="E2336" s="15" t="s">
        <v>294</v>
      </c>
      <c r="F2336" s="8" t="str">
        <f aca="false">IFERROR(INDEX(CADASTRO_PIVOS!$C$6:$C$41,MATCH($E2336,CADASTRO_PIVOS!$B$6:$B$41,0)),"?")</f>
        <v>RM08</v>
      </c>
      <c r="G2336" s="8" t="str">
        <f aca="false">IFERROR(INDEX(CADASTRO_PIVOS!$D$6:$D$41,MATCH($E2336,CADASTRO_PIVOS!$B$6:$B$41,0)),"?")</f>
        <v>TR08</v>
      </c>
      <c r="H2336" s="20" t="n">
        <f aca="false">IFERROR(INDEX(CADASTRO_PIVOS!$E$6:$E$41,MATCH($E2336,CADASTRO_PIVOS!$B$6:$B$41,0)),0)</f>
        <v>150</v>
      </c>
      <c r="I2336" s="16" t="n">
        <f aca="false">IFERROR(SUMIFS(ROTACAO_RDM!$B$6:$B$71,ROTACAO_RDM!$D$6:$D$71,$E2336,ROTACAO_RDM!$I$6:$I$71,"&lt;="&amp;$C2336+INT(DIAS_POR_SEMANA/2),ROTACAO_RDM!$J$6:$J$71,"&gt;="&amp;$C2336+INT(DIAS_POR_SEMANA/2)),0)</f>
        <v>0</v>
      </c>
      <c r="J2336" s="16" t="n">
        <f aca="false">IFERROR(MATCH($I2336,ROTACAO_RDM!$B$6:$B$71,0),0)</f>
        <v>0</v>
      </c>
      <c r="K2336" s="8" t="str">
        <f aca="false">IF($J2336=0,"SEM CULTURA",INDEX(ROTACAO_RDM!$F$6:$F$71,$J2336))</f>
        <v>SEM CULTURA</v>
      </c>
      <c r="L2336" s="8" t="str">
        <f aca="false">IF($J2336=0,"",INDEX(ROTACAO_RDM!$G$6:$G$71,$J2336))</f>
        <v/>
      </c>
      <c r="M2336" s="17" t="str">
        <f aca="false">IF($J2336=0,"",INDEX(ROTACAO_RDM!$I$6:$I$71,$J2336))</f>
        <v/>
      </c>
      <c r="N2336" s="16" t="n">
        <f aca="false">IF($J2336=0,0,MAX(0,$C2336+INT(DIAS_POR_SEMANA/2)-INDEX(ROTACAO_RDM!$I$6:$I$71,$J2336)))</f>
        <v>0</v>
      </c>
      <c r="O2336" s="19" t="n">
        <f aca="false">IF($J2336=0,0,MIN(1,$N2336/MAX(1,INDEX(ROTACAO_RDM!$K$6:$K$71,$J2336))))</f>
        <v>0</v>
      </c>
      <c r="P2336" s="16" t="n">
        <f aca="false">IF($J2336=0,0,IFERROR(MATCH(INDEX(ROTACAO_RDM!$N$6:$N$71,$J2336),PARAMETROS_CULTURAS!$B$6:$B$28,0),0))</f>
        <v>0</v>
      </c>
      <c r="Q2336" s="8" t="str">
        <f aca="false">IF($P2336=0,"-",IF($O2336&lt;=INDEX(PARAMETROS_CULTURAS!$F$6:$F$28,$P2336),"INICIAL",IF($O2336&lt;=INDEX(PARAMETROS_CULTURAS!$F$6:$F$28,$P2336)+INDEX(PARAMETROS_CULTURAS!$G$6:$G$28,$P2336),"DESENVOLVIMENTO",IF($O2336&lt;=INDEX(PARAMETROS_CULTURAS!$F$6:$F$28,$P2336)+INDEX(PARAMETROS_CULTURAS!$G$6:$G$28,$P2336)+INDEX(PARAMETROS_CULTURAS!$H$6:$H$28,$P2336),"MEDIA","FINAL"))))</f>
        <v>-</v>
      </c>
      <c r="R2336" s="24" t="n">
        <f aca="false">IF($P2336=0,0,IF($O2336&lt;=INDEX(PARAMETROS_CULTURAS!$F$6:$F$28,$P2336),INDEX(PARAMETROS_CULTURAS!$K$6:$K$28,$P2336),IF($O2336&lt;=INDEX(PARAMETROS_CULTURAS!$F$6:$F$28,$P2336)+INDEX(PARAMETROS_CULTURAS!$G$6:$G$28,$P2336),INDEX(PARAMETROS_CULTURAS!$K$6:$K$28,$P2336)+(INDEX(PARAMETROS_CULTURAS!$L$6:$L$28,$P2336)-INDEX(PARAMETROS_CULTURAS!$K$6:$K$28,$P2336))*($O2336-INDEX(PARAMETROS_CULTURAS!$F$6:$F$28,$P2336))/MAX(INDEX(PARAMETROS_CULTURAS!$G$6:$G$28,$P2336),0.0001),IF($O2336&lt;=INDEX(PARAMETROS_CULTURAS!$F$6:$F$28,$P2336)+INDEX(PARAMETROS_CULTURAS!$G$6:$G$28,$P2336)+INDEX(PARAMETROS_CULTURAS!$H$6:$H$28,$P2336),INDEX(PARAMETROS_CULTURAS!$L$6:$L$28,$P2336),INDEX(PARAMETROS_CULTURAS!$L$6:$L$28,$P2336)+(INDEX(PARAMETROS_CULTURAS!$M$6:$M$28,$P2336)-INDEX(PARAMETROS_CULTURAS!$L$6:$L$28,$P2336))*($O2336-INDEX(PARAMETROS_CULTURAS!$F$6:$F$28,$P2336)-INDEX(PARAMETROS_CULTURAS!$G$6:$G$28,$P2336)-INDEX(PARAMETROS_CULTURAS!$H$6:$H$28,$P2336))/MAX(INDEX(PARAMETROS_CULTURAS!$I$6:$I$28,$P2336),0.0001)))))</f>
        <v>0</v>
      </c>
      <c r="S2336" s="18" t="n">
        <f aca="false">IFERROR(INDEX(SEMANAS!$H$6:$H$71,MATCH($B2336,SEMANAS!$B$6:$B$71,0)),0)</f>
        <v>33.6</v>
      </c>
      <c r="T2336" s="18" t="n">
        <f aca="false">$R2336*$S2336</f>
        <v>0</v>
      </c>
      <c r="U2336" s="18" t="n">
        <f aca="false">IFERROR(INDEX(SEMANAS!$I$6:$I$71,MATCH($B2336,SEMANAS!$B$6:$B$71,0)),0)</f>
        <v>45.15</v>
      </c>
      <c r="V2336" s="18" t="n">
        <f aca="false">IFERROR(INDEX(SEMANAS!$J$6:$J$71,MATCH($B2336,SEMANAS!$B$6:$B$71,0)),0)</f>
        <v>36.12</v>
      </c>
      <c r="W2336" s="18" t="n">
        <f aca="false">MAX(0,$T2336-$V2336)</f>
        <v>0</v>
      </c>
      <c r="X2336" s="19" t="n">
        <f aca="false">IFERROR(INDEX(CADASTRO_PIVOS!$K$6:$K$41,MATCH($E2336,CADASTRO_PIVOS!$B$6:$B$41,0)),EFICIENCIA_PADRAO)</f>
        <v>0.85</v>
      </c>
      <c r="Y2336" s="18" t="n">
        <f aca="false">IF($X2336&lt;=0,0,$W2336/$X2336)</f>
        <v>0</v>
      </c>
      <c r="Z2336" s="16" t="n">
        <f aca="false">$Y2336*$H2336*MM_PARA_M3_HA</f>
        <v>0</v>
      </c>
      <c r="AA2336" s="18" t="n">
        <f aca="false">IFERROR(INDEX(CADASTRO_PIVOS!$I$6:$I$41,MATCH($E2336,CADASTRO_PIVOS!$B$6:$B$41,0)),0)</f>
        <v>1071.42857142857</v>
      </c>
      <c r="AB2336" s="18" t="n">
        <f aca="false">IF($Z2336&lt;=0,0,$Z2336/$AA2336)</f>
        <v>0</v>
      </c>
      <c r="AC2336" s="16" t="n">
        <f aca="false">IFERROR(INDEX(SEMANAS!$K$6:$K$71,MATCH($B2336,SEMANAS!$B$6:$B$71,0)),0)</f>
        <v>147</v>
      </c>
      <c r="AD2336" s="19" t="n">
        <f aca="false">IF($AC2336&lt;=0,0,$AB2336/$AC2336)</f>
        <v>0</v>
      </c>
      <c r="AE2336" s="8" t="str">
        <f aca="false">IF($K2336="SEM CULTURA","SEM CULTURA",IF($AA2336&lt;=0,"DADO PENDENTE",IF($AD2336&gt;LIMITE_CRITICO,"INVIAVEL",IF($AD2336&gt;LIMITE_ATENCAO,"CRITICO",IF($AD2336&gt;LIMITE_CONFORTAVEL,"ATENCAO","OK")))))</f>
        <v>SEM CULTURA</v>
      </c>
      <c r="AF2336" s="8" t="str">
        <f aca="false">$B2336&amp;"|"&amp;TEXT($AD2336,"0.000000")</f>
        <v>21|0.000000</v>
      </c>
      <c r="AG2336" s="18" t="n">
        <f aca="false">IF($K2336="SEM CULTURA",0,$T2336*$H2336)</f>
        <v>0</v>
      </c>
      <c r="AH2336" s="18" t="n">
        <f aca="false">IF($K2336="SEM CULTURA",0,$V2336*$H2336)</f>
        <v>0</v>
      </c>
      <c r="AI2336" s="18" t="n">
        <f aca="false">IF($K2336="SEM CULTURA",0,$W2336*$H2336)</f>
        <v>0</v>
      </c>
      <c r="AJ2336" s="18" t="n">
        <f aca="false">IF($K2336="SEM CULTURA",0,$S2336*$H2336)</f>
        <v>0</v>
      </c>
      <c r="AK2336" s="8" t="str">
        <f aca="false">$E2336&amp;"|"&amp;TEXT($AD2336,"0.000000")</f>
        <v>PV 137|0.000000</v>
      </c>
    </row>
    <row r="2337" customFormat="false" ht="15" hidden="false" customHeight="false" outlineLevel="0" collapsed="false">
      <c r="B2337" s="16" t="n">
        <v>22</v>
      </c>
      <c r="C2337" s="17" t="n">
        <f aca="false">DATA_INICIO_SAFRA+($B2337-1)*DIAS_POR_SEMANA</f>
        <v>46412</v>
      </c>
      <c r="D2337" s="17" t="n">
        <f aca="false">$C2337+DIAS_POR_SEMANA-1</f>
        <v>46418</v>
      </c>
      <c r="E2337" s="15" t="s">
        <v>294</v>
      </c>
      <c r="F2337" s="8" t="str">
        <f aca="false">IFERROR(INDEX(CADASTRO_PIVOS!$C$6:$C$41,MATCH($E2337,CADASTRO_PIVOS!$B$6:$B$41,0)),"?")</f>
        <v>RM08</v>
      </c>
      <c r="G2337" s="8" t="str">
        <f aca="false">IFERROR(INDEX(CADASTRO_PIVOS!$D$6:$D$41,MATCH($E2337,CADASTRO_PIVOS!$B$6:$B$41,0)),"?")</f>
        <v>TR08</v>
      </c>
      <c r="H2337" s="20" t="n">
        <f aca="false">IFERROR(INDEX(CADASTRO_PIVOS!$E$6:$E$41,MATCH($E2337,CADASTRO_PIVOS!$B$6:$B$41,0)),0)</f>
        <v>150</v>
      </c>
      <c r="I2337" s="16" t="n">
        <f aca="false">IFERROR(SUMIFS(ROTACAO_RDM!$B$6:$B$71,ROTACAO_RDM!$D$6:$D$71,$E2337,ROTACAO_RDM!$I$6:$I$71,"&lt;="&amp;$C2337+INT(DIAS_POR_SEMANA/2),ROTACAO_RDM!$J$6:$J$71,"&gt;="&amp;$C2337+INT(DIAS_POR_SEMANA/2)),0)</f>
        <v>0</v>
      </c>
      <c r="J2337" s="16" t="n">
        <f aca="false">IFERROR(MATCH($I2337,ROTACAO_RDM!$B$6:$B$71,0),0)</f>
        <v>0</v>
      </c>
      <c r="K2337" s="8" t="str">
        <f aca="false">IF($J2337=0,"SEM CULTURA",INDEX(ROTACAO_RDM!$F$6:$F$71,$J2337))</f>
        <v>SEM CULTURA</v>
      </c>
      <c r="L2337" s="8" t="str">
        <f aca="false">IF($J2337=0,"",INDEX(ROTACAO_RDM!$G$6:$G$71,$J2337))</f>
        <v/>
      </c>
      <c r="M2337" s="17" t="str">
        <f aca="false">IF($J2337=0,"",INDEX(ROTACAO_RDM!$I$6:$I$71,$J2337))</f>
        <v/>
      </c>
      <c r="N2337" s="16" t="n">
        <f aca="false">IF($J2337=0,0,MAX(0,$C2337+INT(DIAS_POR_SEMANA/2)-INDEX(ROTACAO_RDM!$I$6:$I$71,$J2337)))</f>
        <v>0</v>
      </c>
      <c r="O2337" s="19" t="n">
        <f aca="false">IF($J2337=0,0,MIN(1,$N2337/MAX(1,INDEX(ROTACAO_RDM!$K$6:$K$71,$J2337))))</f>
        <v>0</v>
      </c>
      <c r="P2337" s="16" t="n">
        <f aca="false">IF($J2337=0,0,IFERROR(MATCH(INDEX(ROTACAO_RDM!$N$6:$N$71,$J2337),PARAMETROS_CULTURAS!$B$6:$B$28,0),0))</f>
        <v>0</v>
      </c>
      <c r="Q2337" s="8" t="str">
        <f aca="false">IF($P2337=0,"-",IF($O2337&lt;=INDEX(PARAMETROS_CULTURAS!$F$6:$F$28,$P2337),"INICIAL",IF($O2337&lt;=INDEX(PARAMETROS_CULTURAS!$F$6:$F$28,$P2337)+INDEX(PARAMETROS_CULTURAS!$G$6:$G$28,$P2337),"DESENVOLVIMENTO",IF($O2337&lt;=INDEX(PARAMETROS_CULTURAS!$F$6:$F$28,$P2337)+INDEX(PARAMETROS_CULTURAS!$G$6:$G$28,$P2337)+INDEX(PARAMETROS_CULTURAS!$H$6:$H$28,$P2337),"MEDIA","FINAL"))))</f>
        <v>-</v>
      </c>
      <c r="R2337" s="24" t="n">
        <f aca="false">IF($P2337=0,0,IF($O2337&lt;=INDEX(PARAMETROS_CULTURAS!$F$6:$F$28,$P2337),INDEX(PARAMETROS_CULTURAS!$K$6:$K$28,$P2337),IF($O2337&lt;=INDEX(PARAMETROS_CULTURAS!$F$6:$F$28,$P2337)+INDEX(PARAMETROS_CULTURAS!$G$6:$G$28,$P2337),INDEX(PARAMETROS_CULTURAS!$K$6:$K$28,$P2337)+(INDEX(PARAMETROS_CULTURAS!$L$6:$L$28,$P2337)-INDEX(PARAMETROS_CULTURAS!$K$6:$K$28,$P2337))*($O2337-INDEX(PARAMETROS_CULTURAS!$F$6:$F$28,$P2337))/MAX(INDEX(PARAMETROS_CULTURAS!$G$6:$G$28,$P2337),0.0001),IF($O2337&lt;=INDEX(PARAMETROS_CULTURAS!$F$6:$F$28,$P2337)+INDEX(PARAMETROS_CULTURAS!$G$6:$G$28,$P2337)+INDEX(PARAMETROS_CULTURAS!$H$6:$H$28,$P2337),INDEX(PARAMETROS_CULTURAS!$L$6:$L$28,$P2337),INDEX(PARAMETROS_CULTURAS!$L$6:$L$28,$P2337)+(INDEX(PARAMETROS_CULTURAS!$M$6:$M$28,$P2337)-INDEX(PARAMETROS_CULTURAS!$L$6:$L$28,$P2337))*($O2337-INDEX(PARAMETROS_CULTURAS!$F$6:$F$28,$P2337)-INDEX(PARAMETROS_CULTURAS!$G$6:$G$28,$P2337)-INDEX(PARAMETROS_CULTURAS!$H$6:$H$28,$P2337))/MAX(INDEX(PARAMETROS_CULTURAS!$I$6:$I$28,$P2337),0.0001)))))</f>
        <v>0</v>
      </c>
      <c r="S2337" s="18" t="n">
        <f aca="false">IFERROR(INDEX(SEMANAS!$H$6:$H$71,MATCH($B2337,SEMANAS!$B$6:$B$71,0)),0)</f>
        <v>33.6</v>
      </c>
      <c r="T2337" s="18" t="n">
        <f aca="false">$R2337*$S2337</f>
        <v>0</v>
      </c>
      <c r="U2337" s="18" t="n">
        <f aca="false">IFERROR(INDEX(SEMANAS!$I$6:$I$71,MATCH($B2337,SEMANAS!$B$6:$B$71,0)),0)</f>
        <v>45.15</v>
      </c>
      <c r="V2337" s="18" t="n">
        <f aca="false">IFERROR(INDEX(SEMANAS!$J$6:$J$71,MATCH($B2337,SEMANAS!$B$6:$B$71,0)),0)</f>
        <v>36.12</v>
      </c>
      <c r="W2337" s="18" t="n">
        <f aca="false">MAX(0,$T2337-$V2337)</f>
        <v>0</v>
      </c>
      <c r="X2337" s="19" t="n">
        <f aca="false">IFERROR(INDEX(CADASTRO_PIVOS!$K$6:$K$41,MATCH($E2337,CADASTRO_PIVOS!$B$6:$B$41,0)),EFICIENCIA_PADRAO)</f>
        <v>0.85</v>
      </c>
      <c r="Y2337" s="18" t="n">
        <f aca="false">IF($X2337&lt;=0,0,$W2337/$X2337)</f>
        <v>0</v>
      </c>
      <c r="Z2337" s="16" t="n">
        <f aca="false">$Y2337*$H2337*MM_PARA_M3_HA</f>
        <v>0</v>
      </c>
      <c r="AA2337" s="18" t="n">
        <f aca="false">IFERROR(INDEX(CADASTRO_PIVOS!$I$6:$I$41,MATCH($E2337,CADASTRO_PIVOS!$B$6:$B$41,0)),0)</f>
        <v>1071.42857142857</v>
      </c>
      <c r="AB2337" s="18" t="n">
        <f aca="false">IF($Z2337&lt;=0,0,$Z2337/$AA2337)</f>
        <v>0</v>
      </c>
      <c r="AC2337" s="16" t="n">
        <f aca="false">IFERROR(INDEX(SEMANAS!$K$6:$K$71,MATCH($B2337,SEMANAS!$B$6:$B$71,0)),0)</f>
        <v>147</v>
      </c>
      <c r="AD2337" s="19" t="n">
        <f aca="false">IF($AC2337&lt;=0,0,$AB2337/$AC2337)</f>
        <v>0</v>
      </c>
      <c r="AE2337" s="8" t="str">
        <f aca="false">IF($K2337="SEM CULTURA","SEM CULTURA",IF($AA2337&lt;=0,"DADO PENDENTE",IF($AD2337&gt;LIMITE_CRITICO,"INVIAVEL",IF($AD2337&gt;LIMITE_ATENCAO,"CRITICO",IF($AD2337&gt;LIMITE_CONFORTAVEL,"ATENCAO","OK")))))</f>
        <v>SEM CULTURA</v>
      </c>
      <c r="AF2337" s="8" t="str">
        <f aca="false">$B2337&amp;"|"&amp;TEXT($AD2337,"0.000000")</f>
        <v>22|0.000000</v>
      </c>
      <c r="AG2337" s="18" t="n">
        <f aca="false">IF($K2337="SEM CULTURA",0,$T2337*$H2337)</f>
        <v>0</v>
      </c>
      <c r="AH2337" s="18" t="n">
        <f aca="false">IF($K2337="SEM CULTURA",0,$V2337*$H2337)</f>
        <v>0</v>
      </c>
      <c r="AI2337" s="18" t="n">
        <f aca="false">IF($K2337="SEM CULTURA",0,$W2337*$H2337)</f>
        <v>0</v>
      </c>
      <c r="AJ2337" s="18" t="n">
        <f aca="false">IF($K2337="SEM CULTURA",0,$S2337*$H2337)</f>
        <v>0</v>
      </c>
      <c r="AK2337" s="8" t="str">
        <f aca="false">$E2337&amp;"|"&amp;TEXT($AD2337,"0.000000")</f>
        <v>PV 137|0.000000</v>
      </c>
    </row>
    <row r="2338" customFormat="false" ht="15" hidden="false" customHeight="false" outlineLevel="0" collapsed="false">
      <c r="B2338" s="16" t="n">
        <v>23</v>
      </c>
      <c r="C2338" s="17" t="n">
        <f aca="false">DATA_INICIO_SAFRA+($B2338-1)*DIAS_POR_SEMANA</f>
        <v>46419</v>
      </c>
      <c r="D2338" s="17" t="n">
        <f aca="false">$C2338+DIAS_POR_SEMANA-1</f>
        <v>46425</v>
      </c>
      <c r="E2338" s="15" t="s">
        <v>294</v>
      </c>
      <c r="F2338" s="8" t="str">
        <f aca="false">IFERROR(INDEX(CADASTRO_PIVOS!$C$6:$C$41,MATCH($E2338,CADASTRO_PIVOS!$B$6:$B$41,0)),"?")</f>
        <v>RM08</v>
      </c>
      <c r="G2338" s="8" t="str">
        <f aca="false">IFERROR(INDEX(CADASTRO_PIVOS!$D$6:$D$41,MATCH($E2338,CADASTRO_PIVOS!$B$6:$B$41,0)),"?")</f>
        <v>TR08</v>
      </c>
      <c r="H2338" s="20" t="n">
        <f aca="false">IFERROR(INDEX(CADASTRO_PIVOS!$E$6:$E$41,MATCH($E2338,CADASTRO_PIVOS!$B$6:$B$41,0)),0)</f>
        <v>150</v>
      </c>
      <c r="I2338" s="16" t="n">
        <f aca="false">IFERROR(SUMIFS(ROTACAO_RDM!$B$6:$B$71,ROTACAO_RDM!$D$6:$D$71,$E2338,ROTACAO_RDM!$I$6:$I$71,"&lt;="&amp;$C2338+INT(DIAS_POR_SEMANA/2),ROTACAO_RDM!$J$6:$J$71,"&gt;="&amp;$C2338+INT(DIAS_POR_SEMANA/2)),0)</f>
        <v>0</v>
      </c>
      <c r="J2338" s="16" t="n">
        <f aca="false">IFERROR(MATCH($I2338,ROTACAO_RDM!$B$6:$B$71,0),0)</f>
        <v>0</v>
      </c>
      <c r="K2338" s="8" t="str">
        <f aca="false">IF($J2338=0,"SEM CULTURA",INDEX(ROTACAO_RDM!$F$6:$F$71,$J2338))</f>
        <v>SEM CULTURA</v>
      </c>
      <c r="L2338" s="8" t="str">
        <f aca="false">IF($J2338=0,"",INDEX(ROTACAO_RDM!$G$6:$G$71,$J2338))</f>
        <v/>
      </c>
      <c r="M2338" s="17" t="str">
        <f aca="false">IF($J2338=0,"",INDEX(ROTACAO_RDM!$I$6:$I$71,$J2338))</f>
        <v/>
      </c>
      <c r="N2338" s="16" t="n">
        <f aca="false">IF($J2338=0,0,MAX(0,$C2338+INT(DIAS_POR_SEMANA/2)-INDEX(ROTACAO_RDM!$I$6:$I$71,$J2338)))</f>
        <v>0</v>
      </c>
      <c r="O2338" s="19" t="n">
        <f aca="false">IF($J2338=0,0,MIN(1,$N2338/MAX(1,INDEX(ROTACAO_RDM!$K$6:$K$71,$J2338))))</f>
        <v>0</v>
      </c>
      <c r="P2338" s="16" t="n">
        <f aca="false">IF($J2338=0,0,IFERROR(MATCH(INDEX(ROTACAO_RDM!$N$6:$N$71,$J2338),PARAMETROS_CULTURAS!$B$6:$B$28,0),0))</f>
        <v>0</v>
      </c>
      <c r="Q2338" s="8" t="str">
        <f aca="false">IF($P2338=0,"-",IF($O2338&lt;=INDEX(PARAMETROS_CULTURAS!$F$6:$F$28,$P2338),"INICIAL",IF($O2338&lt;=INDEX(PARAMETROS_CULTURAS!$F$6:$F$28,$P2338)+INDEX(PARAMETROS_CULTURAS!$G$6:$G$28,$P2338),"DESENVOLVIMENTO",IF($O2338&lt;=INDEX(PARAMETROS_CULTURAS!$F$6:$F$28,$P2338)+INDEX(PARAMETROS_CULTURAS!$G$6:$G$28,$P2338)+INDEX(PARAMETROS_CULTURAS!$H$6:$H$28,$P2338),"MEDIA","FINAL"))))</f>
        <v>-</v>
      </c>
      <c r="R2338" s="24" t="n">
        <f aca="false">IF($P2338=0,0,IF($O2338&lt;=INDEX(PARAMETROS_CULTURAS!$F$6:$F$28,$P2338),INDEX(PARAMETROS_CULTURAS!$K$6:$K$28,$P2338),IF($O2338&lt;=INDEX(PARAMETROS_CULTURAS!$F$6:$F$28,$P2338)+INDEX(PARAMETROS_CULTURAS!$G$6:$G$28,$P2338),INDEX(PARAMETROS_CULTURAS!$K$6:$K$28,$P2338)+(INDEX(PARAMETROS_CULTURAS!$L$6:$L$28,$P2338)-INDEX(PARAMETROS_CULTURAS!$K$6:$K$28,$P2338))*($O2338-INDEX(PARAMETROS_CULTURAS!$F$6:$F$28,$P2338))/MAX(INDEX(PARAMETROS_CULTURAS!$G$6:$G$28,$P2338),0.0001),IF($O2338&lt;=INDEX(PARAMETROS_CULTURAS!$F$6:$F$28,$P2338)+INDEX(PARAMETROS_CULTURAS!$G$6:$G$28,$P2338)+INDEX(PARAMETROS_CULTURAS!$H$6:$H$28,$P2338),INDEX(PARAMETROS_CULTURAS!$L$6:$L$28,$P2338),INDEX(PARAMETROS_CULTURAS!$L$6:$L$28,$P2338)+(INDEX(PARAMETROS_CULTURAS!$M$6:$M$28,$P2338)-INDEX(PARAMETROS_CULTURAS!$L$6:$L$28,$P2338))*($O2338-INDEX(PARAMETROS_CULTURAS!$F$6:$F$28,$P2338)-INDEX(PARAMETROS_CULTURAS!$G$6:$G$28,$P2338)-INDEX(PARAMETROS_CULTURAS!$H$6:$H$28,$P2338))/MAX(INDEX(PARAMETROS_CULTURAS!$I$6:$I$28,$P2338),0.0001)))))</f>
        <v>0</v>
      </c>
      <c r="S2338" s="18" t="n">
        <f aca="false">IFERROR(INDEX(SEMANAS!$H$6:$H$71,MATCH($B2338,SEMANAS!$B$6:$B$71,0)),0)</f>
        <v>32.9</v>
      </c>
      <c r="T2338" s="18" t="n">
        <f aca="false">$R2338*$S2338</f>
        <v>0</v>
      </c>
      <c r="U2338" s="18" t="n">
        <f aca="false">IFERROR(INDEX(SEMANAS!$I$6:$I$71,MATCH($B2338,SEMANAS!$B$6:$B$71,0)),0)</f>
        <v>39.97</v>
      </c>
      <c r="V2338" s="18" t="n">
        <f aca="false">IFERROR(INDEX(SEMANAS!$J$6:$J$71,MATCH($B2338,SEMANAS!$B$6:$B$71,0)),0)</f>
        <v>31.976</v>
      </c>
      <c r="W2338" s="18" t="n">
        <f aca="false">MAX(0,$T2338-$V2338)</f>
        <v>0</v>
      </c>
      <c r="X2338" s="19" t="n">
        <f aca="false">IFERROR(INDEX(CADASTRO_PIVOS!$K$6:$K$41,MATCH($E2338,CADASTRO_PIVOS!$B$6:$B$41,0)),EFICIENCIA_PADRAO)</f>
        <v>0.85</v>
      </c>
      <c r="Y2338" s="18" t="n">
        <f aca="false">IF($X2338&lt;=0,0,$W2338/$X2338)</f>
        <v>0</v>
      </c>
      <c r="Z2338" s="16" t="n">
        <f aca="false">$Y2338*$H2338*MM_PARA_M3_HA</f>
        <v>0</v>
      </c>
      <c r="AA2338" s="18" t="n">
        <f aca="false">IFERROR(INDEX(CADASTRO_PIVOS!$I$6:$I$41,MATCH($E2338,CADASTRO_PIVOS!$B$6:$B$41,0)),0)</f>
        <v>1071.42857142857</v>
      </c>
      <c r="AB2338" s="18" t="n">
        <f aca="false">IF($Z2338&lt;=0,0,$Z2338/$AA2338)</f>
        <v>0</v>
      </c>
      <c r="AC2338" s="16" t="n">
        <f aca="false">IFERROR(INDEX(SEMANAS!$K$6:$K$71,MATCH($B2338,SEMANAS!$B$6:$B$71,0)),0)</f>
        <v>147</v>
      </c>
      <c r="AD2338" s="19" t="n">
        <f aca="false">IF($AC2338&lt;=0,0,$AB2338/$AC2338)</f>
        <v>0</v>
      </c>
      <c r="AE2338" s="8" t="str">
        <f aca="false">IF($K2338="SEM CULTURA","SEM CULTURA",IF($AA2338&lt;=0,"DADO PENDENTE",IF($AD2338&gt;LIMITE_CRITICO,"INVIAVEL",IF($AD2338&gt;LIMITE_ATENCAO,"CRITICO",IF($AD2338&gt;LIMITE_CONFORTAVEL,"ATENCAO","OK")))))</f>
        <v>SEM CULTURA</v>
      </c>
      <c r="AF2338" s="8" t="str">
        <f aca="false">$B2338&amp;"|"&amp;TEXT($AD2338,"0.000000")</f>
        <v>23|0.000000</v>
      </c>
      <c r="AG2338" s="18" t="n">
        <f aca="false">IF($K2338="SEM CULTURA",0,$T2338*$H2338)</f>
        <v>0</v>
      </c>
      <c r="AH2338" s="18" t="n">
        <f aca="false">IF($K2338="SEM CULTURA",0,$V2338*$H2338)</f>
        <v>0</v>
      </c>
      <c r="AI2338" s="18" t="n">
        <f aca="false">IF($K2338="SEM CULTURA",0,$W2338*$H2338)</f>
        <v>0</v>
      </c>
      <c r="AJ2338" s="18" t="n">
        <f aca="false">IF($K2338="SEM CULTURA",0,$S2338*$H2338)</f>
        <v>0</v>
      </c>
      <c r="AK2338" s="8" t="str">
        <f aca="false">$E2338&amp;"|"&amp;TEXT($AD2338,"0.000000")</f>
        <v>PV 137|0.000000</v>
      </c>
    </row>
    <row r="2339" customFormat="false" ht="15" hidden="false" customHeight="false" outlineLevel="0" collapsed="false">
      <c r="B2339" s="16" t="n">
        <v>24</v>
      </c>
      <c r="C2339" s="17" t="n">
        <f aca="false">DATA_INICIO_SAFRA+($B2339-1)*DIAS_POR_SEMANA</f>
        <v>46426</v>
      </c>
      <c r="D2339" s="17" t="n">
        <f aca="false">$C2339+DIAS_POR_SEMANA-1</f>
        <v>46432</v>
      </c>
      <c r="E2339" s="15" t="s">
        <v>294</v>
      </c>
      <c r="F2339" s="8" t="str">
        <f aca="false">IFERROR(INDEX(CADASTRO_PIVOS!$C$6:$C$41,MATCH($E2339,CADASTRO_PIVOS!$B$6:$B$41,0)),"?")</f>
        <v>RM08</v>
      </c>
      <c r="G2339" s="8" t="str">
        <f aca="false">IFERROR(INDEX(CADASTRO_PIVOS!$D$6:$D$41,MATCH($E2339,CADASTRO_PIVOS!$B$6:$B$41,0)),"?")</f>
        <v>TR08</v>
      </c>
      <c r="H2339" s="20" t="n">
        <f aca="false">IFERROR(INDEX(CADASTRO_PIVOS!$E$6:$E$41,MATCH($E2339,CADASTRO_PIVOS!$B$6:$B$41,0)),0)</f>
        <v>150</v>
      </c>
      <c r="I2339" s="16" t="n">
        <f aca="false">IFERROR(SUMIFS(ROTACAO_RDM!$B$6:$B$71,ROTACAO_RDM!$D$6:$D$71,$E2339,ROTACAO_RDM!$I$6:$I$71,"&lt;="&amp;$C2339+INT(DIAS_POR_SEMANA/2),ROTACAO_RDM!$J$6:$J$71,"&gt;="&amp;$C2339+INT(DIAS_POR_SEMANA/2)),0)</f>
        <v>0</v>
      </c>
      <c r="J2339" s="16" t="n">
        <f aca="false">IFERROR(MATCH($I2339,ROTACAO_RDM!$B$6:$B$71,0),0)</f>
        <v>0</v>
      </c>
      <c r="K2339" s="8" t="str">
        <f aca="false">IF($J2339=0,"SEM CULTURA",INDEX(ROTACAO_RDM!$F$6:$F$71,$J2339))</f>
        <v>SEM CULTURA</v>
      </c>
      <c r="L2339" s="8" t="str">
        <f aca="false">IF($J2339=0,"",INDEX(ROTACAO_RDM!$G$6:$G$71,$J2339))</f>
        <v/>
      </c>
      <c r="M2339" s="17" t="str">
        <f aca="false">IF($J2339=0,"",INDEX(ROTACAO_RDM!$I$6:$I$71,$J2339))</f>
        <v/>
      </c>
      <c r="N2339" s="16" t="n">
        <f aca="false">IF($J2339=0,0,MAX(0,$C2339+INT(DIAS_POR_SEMANA/2)-INDEX(ROTACAO_RDM!$I$6:$I$71,$J2339)))</f>
        <v>0</v>
      </c>
      <c r="O2339" s="19" t="n">
        <f aca="false">IF($J2339=0,0,MIN(1,$N2339/MAX(1,INDEX(ROTACAO_RDM!$K$6:$K$71,$J2339))))</f>
        <v>0</v>
      </c>
      <c r="P2339" s="16" t="n">
        <f aca="false">IF($J2339=0,0,IFERROR(MATCH(INDEX(ROTACAO_RDM!$N$6:$N$71,$J2339),PARAMETROS_CULTURAS!$B$6:$B$28,0),0))</f>
        <v>0</v>
      </c>
      <c r="Q2339" s="8" t="str">
        <f aca="false">IF($P2339=0,"-",IF($O2339&lt;=INDEX(PARAMETROS_CULTURAS!$F$6:$F$28,$P2339),"INICIAL",IF($O2339&lt;=INDEX(PARAMETROS_CULTURAS!$F$6:$F$28,$P2339)+INDEX(PARAMETROS_CULTURAS!$G$6:$G$28,$P2339),"DESENVOLVIMENTO",IF($O2339&lt;=INDEX(PARAMETROS_CULTURAS!$F$6:$F$28,$P2339)+INDEX(PARAMETROS_CULTURAS!$G$6:$G$28,$P2339)+INDEX(PARAMETROS_CULTURAS!$H$6:$H$28,$P2339),"MEDIA","FINAL"))))</f>
        <v>-</v>
      </c>
      <c r="R2339" s="24" t="n">
        <f aca="false">IF($P2339=0,0,IF($O2339&lt;=INDEX(PARAMETROS_CULTURAS!$F$6:$F$28,$P2339),INDEX(PARAMETROS_CULTURAS!$K$6:$K$28,$P2339),IF($O2339&lt;=INDEX(PARAMETROS_CULTURAS!$F$6:$F$28,$P2339)+INDEX(PARAMETROS_CULTURAS!$G$6:$G$28,$P2339),INDEX(PARAMETROS_CULTURAS!$K$6:$K$28,$P2339)+(INDEX(PARAMETROS_CULTURAS!$L$6:$L$28,$P2339)-INDEX(PARAMETROS_CULTURAS!$K$6:$K$28,$P2339))*($O2339-INDEX(PARAMETROS_CULTURAS!$F$6:$F$28,$P2339))/MAX(INDEX(PARAMETROS_CULTURAS!$G$6:$G$28,$P2339),0.0001),IF($O2339&lt;=INDEX(PARAMETROS_CULTURAS!$F$6:$F$28,$P2339)+INDEX(PARAMETROS_CULTURAS!$G$6:$G$28,$P2339)+INDEX(PARAMETROS_CULTURAS!$H$6:$H$28,$P2339),INDEX(PARAMETROS_CULTURAS!$L$6:$L$28,$P2339),INDEX(PARAMETROS_CULTURAS!$L$6:$L$28,$P2339)+(INDEX(PARAMETROS_CULTURAS!$M$6:$M$28,$P2339)-INDEX(PARAMETROS_CULTURAS!$L$6:$L$28,$P2339))*($O2339-INDEX(PARAMETROS_CULTURAS!$F$6:$F$28,$P2339)-INDEX(PARAMETROS_CULTURAS!$G$6:$G$28,$P2339)-INDEX(PARAMETROS_CULTURAS!$H$6:$H$28,$P2339))/MAX(INDEX(PARAMETROS_CULTURAS!$I$6:$I$28,$P2339),0.0001)))))</f>
        <v>0</v>
      </c>
      <c r="S2339" s="18" t="n">
        <f aca="false">IFERROR(INDEX(SEMANAS!$H$6:$H$71,MATCH($B2339,SEMANAS!$B$6:$B$71,0)),0)</f>
        <v>32.9</v>
      </c>
      <c r="T2339" s="18" t="n">
        <f aca="false">$R2339*$S2339</f>
        <v>0</v>
      </c>
      <c r="U2339" s="18" t="n">
        <f aca="false">IFERROR(INDEX(SEMANAS!$I$6:$I$71,MATCH($B2339,SEMANAS!$B$6:$B$71,0)),0)</f>
        <v>39.97</v>
      </c>
      <c r="V2339" s="18" t="n">
        <f aca="false">IFERROR(INDEX(SEMANAS!$J$6:$J$71,MATCH($B2339,SEMANAS!$B$6:$B$71,0)),0)</f>
        <v>31.976</v>
      </c>
      <c r="W2339" s="18" t="n">
        <f aca="false">MAX(0,$T2339-$V2339)</f>
        <v>0</v>
      </c>
      <c r="X2339" s="19" t="n">
        <f aca="false">IFERROR(INDEX(CADASTRO_PIVOS!$K$6:$K$41,MATCH($E2339,CADASTRO_PIVOS!$B$6:$B$41,0)),EFICIENCIA_PADRAO)</f>
        <v>0.85</v>
      </c>
      <c r="Y2339" s="18" t="n">
        <f aca="false">IF($X2339&lt;=0,0,$W2339/$X2339)</f>
        <v>0</v>
      </c>
      <c r="Z2339" s="16" t="n">
        <f aca="false">$Y2339*$H2339*MM_PARA_M3_HA</f>
        <v>0</v>
      </c>
      <c r="AA2339" s="18" t="n">
        <f aca="false">IFERROR(INDEX(CADASTRO_PIVOS!$I$6:$I$41,MATCH($E2339,CADASTRO_PIVOS!$B$6:$B$41,0)),0)</f>
        <v>1071.42857142857</v>
      </c>
      <c r="AB2339" s="18" t="n">
        <f aca="false">IF($Z2339&lt;=0,0,$Z2339/$AA2339)</f>
        <v>0</v>
      </c>
      <c r="AC2339" s="16" t="n">
        <f aca="false">IFERROR(INDEX(SEMANAS!$K$6:$K$71,MATCH($B2339,SEMANAS!$B$6:$B$71,0)),0)</f>
        <v>147</v>
      </c>
      <c r="AD2339" s="19" t="n">
        <f aca="false">IF($AC2339&lt;=0,0,$AB2339/$AC2339)</f>
        <v>0</v>
      </c>
      <c r="AE2339" s="8" t="str">
        <f aca="false">IF($K2339="SEM CULTURA","SEM CULTURA",IF($AA2339&lt;=0,"DADO PENDENTE",IF($AD2339&gt;LIMITE_CRITICO,"INVIAVEL",IF($AD2339&gt;LIMITE_ATENCAO,"CRITICO",IF($AD2339&gt;LIMITE_CONFORTAVEL,"ATENCAO","OK")))))</f>
        <v>SEM CULTURA</v>
      </c>
      <c r="AF2339" s="8" t="str">
        <f aca="false">$B2339&amp;"|"&amp;TEXT($AD2339,"0.000000")</f>
        <v>24|0.000000</v>
      </c>
      <c r="AG2339" s="18" t="n">
        <f aca="false">IF($K2339="SEM CULTURA",0,$T2339*$H2339)</f>
        <v>0</v>
      </c>
      <c r="AH2339" s="18" t="n">
        <f aca="false">IF($K2339="SEM CULTURA",0,$V2339*$H2339)</f>
        <v>0</v>
      </c>
      <c r="AI2339" s="18" t="n">
        <f aca="false">IF($K2339="SEM CULTURA",0,$W2339*$H2339)</f>
        <v>0</v>
      </c>
      <c r="AJ2339" s="18" t="n">
        <f aca="false">IF($K2339="SEM CULTURA",0,$S2339*$H2339)</f>
        <v>0</v>
      </c>
      <c r="AK2339" s="8" t="str">
        <f aca="false">$E2339&amp;"|"&amp;TEXT($AD2339,"0.000000")</f>
        <v>PV 137|0.000000</v>
      </c>
    </row>
    <row r="2340" customFormat="false" ht="15" hidden="false" customHeight="false" outlineLevel="0" collapsed="false">
      <c r="B2340" s="16" t="n">
        <v>25</v>
      </c>
      <c r="C2340" s="17" t="n">
        <f aca="false">DATA_INICIO_SAFRA+($B2340-1)*DIAS_POR_SEMANA</f>
        <v>46433</v>
      </c>
      <c r="D2340" s="17" t="n">
        <f aca="false">$C2340+DIAS_POR_SEMANA-1</f>
        <v>46439</v>
      </c>
      <c r="E2340" s="15" t="s">
        <v>294</v>
      </c>
      <c r="F2340" s="8" t="str">
        <f aca="false">IFERROR(INDEX(CADASTRO_PIVOS!$C$6:$C$41,MATCH($E2340,CADASTRO_PIVOS!$B$6:$B$41,0)),"?")</f>
        <v>RM08</v>
      </c>
      <c r="G2340" s="8" t="str">
        <f aca="false">IFERROR(INDEX(CADASTRO_PIVOS!$D$6:$D$41,MATCH($E2340,CADASTRO_PIVOS!$B$6:$B$41,0)),"?")</f>
        <v>TR08</v>
      </c>
      <c r="H2340" s="20" t="n">
        <f aca="false">IFERROR(INDEX(CADASTRO_PIVOS!$E$6:$E$41,MATCH($E2340,CADASTRO_PIVOS!$B$6:$B$41,0)),0)</f>
        <v>150</v>
      </c>
      <c r="I2340" s="16" t="n">
        <f aca="false">IFERROR(SUMIFS(ROTACAO_RDM!$B$6:$B$71,ROTACAO_RDM!$D$6:$D$71,$E2340,ROTACAO_RDM!$I$6:$I$71,"&lt;="&amp;$C2340+INT(DIAS_POR_SEMANA/2),ROTACAO_RDM!$J$6:$J$71,"&gt;="&amp;$C2340+INT(DIAS_POR_SEMANA/2)),0)</f>
        <v>0</v>
      </c>
      <c r="J2340" s="16" t="n">
        <f aca="false">IFERROR(MATCH($I2340,ROTACAO_RDM!$B$6:$B$71,0),0)</f>
        <v>0</v>
      </c>
      <c r="K2340" s="8" t="str">
        <f aca="false">IF($J2340=0,"SEM CULTURA",INDEX(ROTACAO_RDM!$F$6:$F$71,$J2340))</f>
        <v>SEM CULTURA</v>
      </c>
      <c r="L2340" s="8" t="str">
        <f aca="false">IF($J2340=0,"",INDEX(ROTACAO_RDM!$G$6:$G$71,$J2340))</f>
        <v/>
      </c>
      <c r="M2340" s="17" t="str">
        <f aca="false">IF($J2340=0,"",INDEX(ROTACAO_RDM!$I$6:$I$71,$J2340))</f>
        <v/>
      </c>
      <c r="N2340" s="16" t="n">
        <f aca="false">IF($J2340=0,0,MAX(0,$C2340+INT(DIAS_POR_SEMANA/2)-INDEX(ROTACAO_RDM!$I$6:$I$71,$J2340)))</f>
        <v>0</v>
      </c>
      <c r="O2340" s="19" t="n">
        <f aca="false">IF($J2340=0,0,MIN(1,$N2340/MAX(1,INDEX(ROTACAO_RDM!$K$6:$K$71,$J2340))))</f>
        <v>0</v>
      </c>
      <c r="P2340" s="16" t="n">
        <f aca="false">IF($J2340=0,0,IFERROR(MATCH(INDEX(ROTACAO_RDM!$N$6:$N$71,$J2340),PARAMETROS_CULTURAS!$B$6:$B$28,0),0))</f>
        <v>0</v>
      </c>
      <c r="Q2340" s="8" t="str">
        <f aca="false">IF($P2340=0,"-",IF($O2340&lt;=INDEX(PARAMETROS_CULTURAS!$F$6:$F$28,$P2340),"INICIAL",IF($O2340&lt;=INDEX(PARAMETROS_CULTURAS!$F$6:$F$28,$P2340)+INDEX(PARAMETROS_CULTURAS!$G$6:$G$28,$P2340),"DESENVOLVIMENTO",IF($O2340&lt;=INDEX(PARAMETROS_CULTURAS!$F$6:$F$28,$P2340)+INDEX(PARAMETROS_CULTURAS!$G$6:$G$28,$P2340)+INDEX(PARAMETROS_CULTURAS!$H$6:$H$28,$P2340),"MEDIA","FINAL"))))</f>
        <v>-</v>
      </c>
      <c r="R2340" s="24" t="n">
        <f aca="false">IF($P2340=0,0,IF($O2340&lt;=INDEX(PARAMETROS_CULTURAS!$F$6:$F$28,$P2340),INDEX(PARAMETROS_CULTURAS!$K$6:$K$28,$P2340),IF($O2340&lt;=INDEX(PARAMETROS_CULTURAS!$F$6:$F$28,$P2340)+INDEX(PARAMETROS_CULTURAS!$G$6:$G$28,$P2340),INDEX(PARAMETROS_CULTURAS!$K$6:$K$28,$P2340)+(INDEX(PARAMETROS_CULTURAS!$L$6:$L$28,$P2340)-INDEX(PARAMETROS_CULTURAS!$K$6:$K$28,$P2340))*($O2340-INDEX(PARAMETROS_CULTURAS!$F$6:$F$28,$P2340))/MAX(INDEX(PARAMETROS_CULTURAS!$G$6:$G$28,$P2340),0.0001),IF($O2340&lt;=INDEX(PARAMETROS_CULTURAS!$F$6:$F$28,$P2340)+INDEX(PARAMETROS_CULTURAS!$G$6:$G$28,$P2340)+INDEX(PARAMETROS_CULTURAS!$H$6:$H$28,$P2340),INDEX(PARAMETROS_CULTURAS!$L$6:$L$28,$P2340),INDEX(PARAMETROS_CULTURAS!$L$6:$L$28,$P2340)+(INDEX(PARAMETROS_CULTURAS!$M$6:$M$28,$P2340)-INDEX(PARAMETROS_CULTURAS!$L$6:$L$28,$P2340))*($O2340-INDEX(PARAMETROS_CULTURAS!$F$6:$F$28,$P2340)-INDEX(PARAMETROS_CULTURAS!$G$6:$G$28,$P2340)-INDEX(PARAMETROS_CULTURAS!$H$6:$H$28,$P2340))/MAX(INDEX(PARAMETROS_CULTURAS!$I$6:$I$28,$P2340),0.0001)))))</f>
        <v>0</v>
      </c>
      <c r="S2340" s="18" t="n">
        <f aca="false">IFERROR(INDEX(SEMANAS!$H$6:$H$71,MATCH($B2340,SEMANAS!$B$6:$B$71,0)),0)</f>
        <v>32.9</v>
      </c>
      <c r="T2340" s="18" t="n">
        <f aca="false">$R2340*$S2340</f>
        <v>0</v>
      </c>
      <c r="U2340" s="18" t="n">
        <f aca="false">IFERROR(INDEX(SEMANAS!$I$6:$I$71,MATCH($B2340,SEMANAS!$B$6:$B$71,0)),0)</f>
        <v>39.97</v>
      </c>
      <c r="V2340" s="18" t="n">
        <f aca="false">IFERROR(INDEX(SEMANAS!$J$6:$J$71,MATCH($B2340,SEMANAS!$B$6:$B$71,0)),0)</f>
        <v>31.976</v>
      </c>
      <c r="W2340" s="18" t="n">
        <f aca="false">MAX(0,$T2340-$V2340)</f>
        <v>0</v>
      </c>
      <c r="X2340" s="19" t="n">
        <f aca="false">IFERROR(INDEX(CADASTRO_PIVOS!$K$6:$K$41,MATCH($E2340,CADASTRO_PIVOS!$B$6:$B$41,0)),EFICIENCIA_PADRAO)</f>
        <v>0.85</v>
      </c>
      <c r="Y2340" s="18" t="n">
        <f aca="false">IF($X2340&lt;=0,0,$W2340/$X2340)</f>
        <v>0</v>
      </c>
      <c r="Z2340" s="16" t="n">
        <f aca="false">$Y2340*$H2340*MM_PARA_M3_HA</f>
        <v>0</v>
      </c>
      <c r="AA2340" s="18" t="n">
        <f aca="false">IFERROR(INDEX(CADASTRO_PIVOS!$I$6:$I$41,MATCH($E2340,CADASTRO_PIVOS!$B$6:$B$41,0)),0)</f>
        <v>1071.42857142857</v>
      </c>
      <c r="AB2340" s="18" t="n">
        <f aca="false">IF($Z2340&lt;=0,0,$Z2340/$AA2340)</f>
        <v>0</v>
      </c>
      <c r="AC2340" s="16" t="n">
        <f aca="false">IFERROR(INDEX(SEMANAS!$K$6:$K$71,MATCH($B2340,SEMANAS!$B$6:$B$71,0)),0)</f>
        <v>147</v>
      </c>
      <c r="AD2340" s="19" t="n">
        <f aca="false">IF($AC2340&lt;=0,0,$AB2340/$AC2340)</f>
        <v>0</v>
      </c>
      <c r="AE2340" s="8" t="str">
        <f aca="false">IF($K2340="SEM CULTURA","SEM CULTURA",IF($AA2340&lt;=0,"DADO PENDENTE",IF($AD2340&gt;LIMITE_CRITICO,"INVIAVEL",IF($AD2340&gt;LIMITE_ATENCAO,"CRITICO",IF($AD2340&gt;LIMITE_CONFORTAVEL,"ATENCAO","OK")))))</f>
        <v>SEM CULTURA</v>
      </c>
      <c r="AF2340" s="8" t="str">
        <f aca="false">$B2340&amp;"|"&amp;TEXT($AD2340,"0.000000")</f>
        <v>25|0.000000</v>
      </c>
      <c r="AG2340" s="18" t="n">
        <f aca="false">IF($K2340="SEM CULTURA",0,$T2340*$H2340)</f>
        <v>0</v>
      </c>
      <c r="AH2340" s="18" t="n">
        <f aca="false">IF($K2340="SEM CULTURA",0,$V2340*$H2340)</f>
        <v>0</v>
      </c>
      <c r="AI2340" s="18" t="n">
        <f aca="false">IF($K2340="SEM CULTURA",0,$W2340*$H2340)</f>
        <v>0</v>
      </c>
      <c r="AJ2340" s="18" t="n">
        <f aca="false">IF($K2340="SEM CULTURA",0,$S2340*$H2340)</f>
        <v>0</v>
      </c>
      <c r="AK2340" s="8" t="str">
        <f aca="false">$E2340&amp;"|"&amp;TEXT($AD2340,"0.000000")</f>
        <v>PV 137|0.000000</v>
      </c>
    </row>
    <row r="2341" customFormat="false" ht="15" hidden="false" customHeight="false" outlineLevel="0" collapsed="false">
      <c r="B2341" s="16" t="n">
        <v>26</v>
      </c>
      <c r="C2341" s="17" t="n">
        <f aca="false">DATA_INICIO_SAFRA+($B2341-1)*DIAS_POR_SEMANA</f>
        <v>46440</v>
      </c>
      <c r="D2341" s="17" t="n">
        <f aca="false">$C2341+DIAS_POR_SEMANA-1</f>
        <v>46446</v>
      </c>
      <c r="E2341" s="15" t="s">
        <v>294</v>
      </c>
      <c r="F2341" s="8" t="str">
        <f aca="false">IFERROR(INDEX(CADASTRO_PIVOS!$C$6:$C$41,MATCH($E2341,CADASTRO_PIVOS!$B$6:$B$41,0)),"?")</f>
        <v>RM08</v>
      </c>
      <c r="G2341" s="8" t="str">
        <f aca="false">IFERROR(INDEX(CADASTRO_PIVOS!$D$6:$D$41,MATCH($E2341,CADASTRO_PIVOS!$B$6:$B$41,0)),"?")</f>
        <v>TR08</v>
      </c>
      <c r="H2341" s="20" t="n">
        <f aca="false">IFERROR(INDEX(CADASTRO_PIVOS!$E$6:$E$41,MATCH($E2341,CADASTRO_PIVOS!$B$6:$B$41,0)),0)</f>
        <v>150</v>
      </c>
      <c r="I2341" s="16" t="n">
        <f aca="false">IFERROR(SUMIFS(ROTACAO_RDM!$B$6:$B$71,ROTACAO_RDM!$D$6:$D$71,$E2341,ROTACAO_RDM!$I$6:$I$71,"&lt;="&amp;$C2341+INT(DIAS_POR_SEMANA/2),ROTACAO_RDM!$J$6:$J$71,"&gt;="&amp;$C2341+INT(DIAS_POR_SEMANA/2)),0)</f>
        <v>0</v>
      </c>
      <c r="J2341" s="16" t="n">
        <f aca="false">IFERROR(MATCH($I2341,ROTACAO_RDM!$B$6:$B$71,0),0)</f>
        <v>0</v>
      </c>
      <c r="K2341" s="8" t="str">
        <f aca="false">IF($J2341=0,"SEM CULTURA",INDEX(ROTACAO_RDM!$F$6:$F$71,$J2341))</f>
        <v>SEM CULTURA</v>
      </c>
      <c r="L2341" s="8" t="str">
        <f aca="false">IF($J2341=0,"",INDEX(ROTACAO_RDM!$G$6:$G$71,$J2341))</f>
        <v/>
      </c>
      <c r="M2341" s="17" t="str">
        <f aca="false">IF($J2341=0,"",INDEX(ROTACAO_RDM!$I$6:$I$71,$J2341))</f>
        <v/>
      </c>
      <c r="N2341" s="16" t="n">
        <f aca="false">IF($J2341=0,0,MAX(0,$C2341+INT(DIAS_POR_SEMANA/2)-INDEX(ROTACAO_RDM!$I$6:$I$71,$J2341)))</f>
        <v>0</v>
      </c>
      <c r="O2341" s="19" t="n">
        <f aca="false">IF($J2341=0,0,MIN(1,$N2341/MAX(1,INDEX(ROTACAO_RDM!$K$6:$K$71,$J2341))))</f>
        <v>0</v>
      </c>
      <c r="P2341" s="16" t="n">
        <f aca="false">IF($J2341=0,0,IFERROR(MATCH(INDEX(ROTACAO_RDM!$N$6:$N$71,$J2341),PARAMETROS_CULTURAS!$B$6:$B$28,0),0))</f>
        <v>0</v>
      </c>
      <c r="Q2341" s="8" t="str">
        <f aca="false">IF($P2341=0,"-",IF($O2341&lt;=INDEX(PARAMETROS_CULTURAS!$F$6:$F$28,$P2341),"INICIAL",IF($O2341&lt;=INDEX(PARAMETROS_CULTURAS!$F$6:$F$28,$P2341)+INDEX(PARAMETROS_CULTURAS!$G$6:$G$28,$P2341),"DESENVOLVIMENTO",IF($O2341&lt;=INDEX(PARAMETROS_CULTURAS!$F$6:$F$28,$P2341)+INDEX(PARAMETROS_CULTURAS!$G$6:$G$28,$P2341)+INDEX(PARAMETROS_CULTURAS!$H$6:$H$28,$P2341),"MEDIA","FINAL"))))</f>
        <v>-</v>
      </c>
      <c r="R2341" s="24" t="n">
        <f aca="false">IF($P2341=0,0,IF($O2341&lt;=INDEX(PARAMETROS_CULTURAS!$F$6:$F$28,$P2341),INDEX(PARAMETROS_CULTURAS!$K$6:$K$28,$P2341),IF($O2341&lt;=INDEX(PARAMETROS_CULTURAS!$F$6:$F$28,$P2341)+INDEX(PARAMETROS_CULTURAS!$G$6:$G$28,$P2341),INDEX(PARAMETROS_CULTURAS!$K$6:$K$28,$P2341)+(INDEX(PARAMETROS_CULTURAS!$L$6:$L$28,$P2341)-INDEX(PARAMETROS_CULTURAS!$K$6:$K$28,$P2341))*($O2341-INDEX(PARAMETROS_CULTURAS!$F$6:$F$28,$P2341))/MAX(INDEX(PARAMETROS_CULTURAS!$G$6:$G$28,$P2341),0.0001),IF($O2341&lt;=INDEX(PARAMETROS_CULTURAS!$F$6:$F$28,$P2341)+INDEX(PARAMETROS_CULTURAS!$G$6:$G$28,$P2341)+INDEX(PARAMETROS_CULTURAS!$H$6:$H$28,$P2341),INDEX(PARAMETROS_CULTURAS!$L$6:$L$28,$P2341),INDEX(PARAMETROS_CULTURAS!$L$6:$L$28,$P2341)+(INDEX(PARAMETROS_CULTURAS!$M$6:$M$28,$P2341)-INDEX(PARAMETROS_CULTURAS!$L$6:$L$28,$P2341))*($O2341-INDEX(PARAMETROS_CULTURAS!$F$6:$F$28,$P2341)-INDEX(PARAMETROS_CULTURAS!$G$6:$G$28,$P2341)-INDEX(PARAMETROS_CULTURAS!$H$6:$H$28,$P2341))/MAX(INDEX(PARAMETROS_CULTURAS!$I$6:$I$28,$P2341),0.0001)))))</f>
        <v>0</v>
      </c>
      <c r="S2341" s="18" t="n">
        <f aca="false">IFERROR(INDEX(SEMANAS!$H$6:$H$71,MATCH($B2341,SEMANAS!$B$6:$B$71,0)),0)</f>
        <v>32.9</v>
      </c>
      <c r="T2341" s="18" t="n">
        <f aca="false">$R2341*$S2341</f>
        <v>0</v>
      </c>
      <c r="U2341" s="18" t="n">
        <f aca="false">IFERROR(INDEX(SEMANAS!$I$6:$I$71,MATCH($B2341,SEMANAS!$B$6:$B$71,0)),0)</f>
        <v>39.97</v>
      </c>
      <c r="V2341" s="18" t="n">
        <f aca="false">IFERROR(INDEX(SEMANAS!$J$6:$J$71,MATCH($B2341,SEMANAS!$B$6:$B$71,0)),0)</f>
        <v>31.976</v>
      </c>
      <c r="W2341" s="18" t="n">
        <f aca="false">MAX(0,$T2341-$V2341)</f>
        <v>0</v>
      </c>
      <c r="X2341" s="19" t="n">
        <f aca="false">IFERROR(INDEX(CADASTRO_PIVOS!$K$6:$K$41,MATCH($E2341,CADASTRO_PIVOS!$B$6:$B$41,0)),EFICIENCIA_PADRAO)</f>
        <v>0.85</v>
      </c>
      <c r="Y2341" s="18" t="n">
        <f aca="false">IF($X2341&lt;=0,0,$W2341/$X2341)</f>
        <v>0</v>
      </c>
      <c r="Z2341" s="16" t="n">
        <f aca="false">$Y2341*$H2341*MM_PARA_M3_HA</f>
        <v>0</v>
      </c>
      <c r="AA2341" s="18" t="n">
        <f aca="false">IFERROR(INDEX(CADASTRO_PIVOS!$I$6:$I$41,MATCH($E2341,CADASTRO_PIVOS!$B$6:$B$41,0)),0)</f>
        <v>1071.42857142857</v>
      </c>
      <c r="AB2341" s="18" t="n">
        <f aca="false">IF($Z2341&lt;=0,0,$Z2341/$AA2341)</f>
        <v>0</v>
      </c>
      <c r="AC2341" s="16" t="n">
        <f aca="false">IFERROR(INDEX(SEMANAS!$K$6:$K$71,MATCH($B2341,SEMANAS!$B$6:$B$71,0)),0)</f>
        <v>147</v>
      </c>
      <c r="AD2341" s="19" t="n">
        <f aca="false">IF($AC2341&lt;=0,0,$AB2341/$AC2341)</f>
        <v>0</v>
      </c>
      <c r="AE2341" s="8" t="str">
        <f aca="false">IF($K2341="SEM CULTURA","SEM CULTURA",IF($AA2341&lt;=0,"DADO PENDENTE",IF($AD2341&gt;LIMITE_CRITICO,"INVIAVEL",IF($AD2341&gt;LIMITE_ATENCAO,"CRITICO",IF($AD2341&gt;LIMITE_CONFORTAVEL,"ATENCAO","OK")))))</f>
        <v>SEM CULTURA</v>
      </c>
      <c r="AF2341" s="8" t="str">
        <f aca="false">$B2341&amp;"|"&amp;TEXT($AD2341,"0.000000")</f>
        <v>26|0.000000</v>
      </c>
      <c r="AG2341" s="18" t="n">
        <f aca="false">IF($K2341="SEM CULTURA",0,$T2341*$H2341)</f>
        <v>0</v>
      </c>
      <c r="AH2341" s="18" t="n">
        <f aca="false">IF($K2341="SEM CULTURA",0,$V2341*$H2341)</f>
        <v>0</v>
      </c>
      <c r="AI2341" s="18" t="n">
        <f aca="false">IF($K2341="SEM CULTURA",0,$W2341*$H2341)</f>
        <v>0</v>
      </c>
      <c r="AJ2341" s="18" t="n">
        <f aca="false">IF($K2341="SEM CULTURA",0,$S2341*$H2341)</f>
        <v>0</v>
      </c>
      <c r="AK2341" s="8" t="str">
        <f aca="false">$E2341&amp;"|"&amp;TEXT($AD2341,"0.000000")</f>
        <v>PV 137|0.000000</v>
      </c>
    </row>
    <row r="2342" customFormat="false" ht="15" hidden="false" customHeight="false" outlineLevel="0" collapsed="false">
      <c r="B2342" s="16" t="n">
        <v>27</v>
      </c>
      <c r="C2342" s="17" t="n">
        <f aca="false">DATA_INICIO_SAFRA+($B2342-1)*DIAS_POR_SEMANA</f>
        <v>46447</v>
      </c>
      <c r="D2342" s="17" t="n">
        <f aca="false">$C2342+DIAS_POR_SEMANA-1</f>
        <v>46453</v>
      </c>
      <c r="E2342" s="15" t="s">
        <v>294</v>
      </c>
      <c r="F2342" s="8" t="str">
        <f aca="false">IFERROR(INDEX(CADASTRO_PIVOS!$C$6:$C$41,MATCH($E2342,CADASTRO_PIVOS!$B$6:$B$41,0)),"?")</f>
        <v>RM08</v>
      </c>
      <c r="G2342" s="8" t="str">
        <f aca="false">IFERROR(INDEX(CADASTRO_PIVOS!$D$6:$D$41,MATCH($E2342,CADASTRO_PIVOS!$B$6:$B$41,0)),"?")</f>
        <v>TR08</v>
      </c>
      <c r="H2342" s="20" t="n">
        <f aca="false">IFERROR(INDEX(CADASTRO_PIVOS!$E$6:$E$41,MATCH($E2342,CADASTRO_PIVOS!$B$6:$B$41,0)),0)</f>
        <v>150</v>
      </c>
      <c r="I2342" s="16" t="n">
        <f aca="false">IFERROR(SUMIFS(ROTACAO_RDM!$B$6:$B$71,ROTACAO_RDM!$D$6:$D$71,$E2342,ROTACAO_RDM!$I$6:$I$71,"&lt;="&amp;$C2342+INT(DIAS_POR_SEMANA/2),ROTACAO_RDM!$J$6:$J$71,"&gt;="&amp;$C2342+INT(DIAS_POR_SEMANA/2)),0)</f>
        <v>0</v>
      </c>
      <c r="J2342" s="16" t="n">
        <f aca="false">IFERROR(MATCH($I2342,ROTACAO_RDM!$B$6:$B$71,0),0)</f>
        <v>0</v>
      </c>
      <c r="K2342" s="8" t="str">
        <f aca="false">IF($J2342=0,"SEM CULTURA",INDEX(ROTACAO_RDM!$F$6:$F$71,$J2342))</f>
        <v>SEM CULTURA</v>
      </c>
      <c r="L2342" s="8" t="str">
        <f aca="false">IF($J2342=0,"",INDEX(ROTACAO_RDM!$G$6:$G$71,$J2342))</f>
        <v/>
      </c>
      <c r="M2342" s="17" t="str">
        <f aca="false">IF($J2342=0,"",INDEX(ROTACAO_RDM!$I$6:$I$71,$J2342))</f>
        <v/>
      </c>
      <c r="N2342" s="16" t="n">
        <f aca="false">IF($J2342=0,0,MAX(0,$C2342+INT(DIAS_POR_SEMANA/2)-INDEX(ROTACAO_RDM!$I$6:$I$71,$J2342)))</f>
        <v>0</v>
      </c>
      <c r="O2342" s="19" t="n">
        <f aca="false">IF($J2342=0,0,MIN(1,$N2342/MAX(1,INDEX(ROTACAO_RDM!$K$6:$K$71,$J2342))))</f>
        <v>0</v>
      </c>
      <c r="P2342" s="16" t="n">
        <f aca="false">IF($J2342=0,0,IFERROR(MATCH(INDEX(ROTACAO_RDM!$N$6:$N$71,$J2342),PARAMETROS_CULTURAS!$B$6:$B$28,0),0))</f>
        <v>0</v>
      </c>
      <c r="Q2342" s="8" t="str">
        <f aca="false">IF($P2342=0,"-",IF($O2342&lt;=INDEX(PARAMETROS_CULTURAS!$F$6:$F$28,$P2342),"INICIAL",IF($O2342&lt;=INDEX(PARAMETROS_CULTURAS!$F$6:$F$28,$P2342)+INDEX(PARAMETROS_CULTURAS!$G$6:$G$28,$P2342),"DESENVOLVIMENTO",IF($O2342&lt;=INDEX(PARAMETROS_CULTURAS!$F$6:$F$28,$P2342)+INDEX(PARAMETROS_CULTURAS!$G$6:$G$28,$P2342)+INDEX(PARAMETROS_CULTURAS!$H$6:$H$28,$P2342),"MEDIA","FINAL"))))</f>
        <v>-</v>
      </c>
      <c r="R2342" s="24" t="n">
        <f aca="false">IF($P2342=0,0,IF($O2342&lt;=INDEX(PARAMETROS_CULTURAS!$F$6:$F$28,$P2342),INDEX(PARAMETROS_CULTURAS!$K$6:$K$28,$P2342),IF($O2342&lt;=INDEX(PARAMETROS_CULTURAS!$F$6:$F$28,$P2342)+INDEX(PARAMETROS_CULTURAS!$G$6:$G$28,$P2342),INDEX(PARAMETROS_CULTURAS!$K$6:$K$28,$P2342)+(INDEX(PARAMETROS_CULTURAS!$L$6:$L$28,$P2342)-INDEX(PARAMETROS_CULTURAS!$K$6:$K$28,$P2342))*($O2342-INDEX(PARAMETROS_CULTURAS!$F$6:$F$28,$P2342))/MAX(INDEX(PARAMETROS_CULTURAS!$G$6:$G$28,$P2342),0.0001),IF($O2342&lt;=INDEX(PARAMETROS_CULTURAS!$F$6:$F$28,$P2342)+INDEX(PARAMETROS_CULTURAS!$G$6:$G$28,$P2342)+INDEX(PARAMETROS_CULTURAS!$H$6:$H$28,$P2342),INDEX(PARAMETROS_CULTURAS!$L$6:$L$28,$P2342),INDEX(PARAMETROS_CULTURAS!$L$6:$L$28,$P2342)+(INDEX(PARAMETROS_CULTURAS!$M$6:$M$28,$P2342)-INDEX(PARAMETROS_CULTURAS!$L$6:$L$28,$P2342))*($O2342-INDEX(PARAMETROS_CULTURAS!$F$6:$F$28,$P2342)-INDEX(PARAMETROS_CULTURAS!$G$6:$G$28,$P2342)-INDEX(PARAMETROS_CULTURAS!$H$6:$H$28,$P2342))/MAX(INDEX(PARAMETROS_CULTURAS!$I$6:$I$28,$P2342),0.0001)))))</f>
        <v>0</v>
      </c>
      <c r="S2342" s="18" t="n">
        <f aca="false">IFERROR(INDEX(SEMANAS!$H$6:$H$71,MATCH($B2342,SEMANAS!$B$6:$B$71,0)),0)</f>
        <v>32.2</v>
      </c>
      <c r="T2342" s="18" t="n">
        <f aca="false">$R2342*$S2342</f>
        <v>0</v>
      </c>
      <c r="U2342" s="18" t="n">
        <f aca="false">IFERROR(INDEX(SEMANAS!$I$6:$I$71,MATCH($B2342,SEMANAS!$B$6:$B$71,0)),0)</f>
        <v>37.24</v>
      </c>
      <c r="V2342" s="18" t="n">
        <f aca="false">IFERROR(INDEX(SEMANAS!$J$6:$J$71,MATCH($B2342,SEMANAS!$B$6:$B$71,0)),0)</f>
        <v>29.792</v>
      </c>
      <c r="W2342" s="18" t="n">
        <f aca="false">MAX(0,$T2342-$V2342)</f>
        <v>0</v>
      </c>
      <c r="X2342" s="19" t="n">
        <f aca="false">IFERROR(INDEX(CADASTRO_PIVOS!$K$6:$K$41,MATCH($E2342,CADASTRO_PIVOS!$B$6:$B$41,0)),EFICIENCIA_PADRAO)</f>
        <v>0.85</v>
      </c>
      <c r="Y2342" s="18" t="n">
        <f aca="false">IF($X2342&lt;=0,0,$W2342/$X2342)</f>
        <v>0</v>
      </c>
      <c r="Z2342" s="16" t="n">
        <f aca="false">$Y2342*$H2342*MM_PARA_M3_HA</f>
        <v>0</v>
      </c>
      <c r="AA2342" s="18" t="n">
        <f aca="false">IFERROR(INDEX(CADASTRO_PIVOS!$I$6:$I$41,MATCH($E2342,CADASTRO_PIVOS!$B$6:$B$41,0)),0)</f>
        <v>1071.42857142857</v>
      </c>
      <c r="AB2342" s="18" t="n">
        <f aca="false">IF($Z2342&lt;=0,0,$Z2342/$AA2342)</f>
        <v>0</v>
      </c>
      <c r="AC2342" s="16" t="n">
        <f aca="false">IFERROR(INDEX(SEMANAS!$K$6:$K$71,MATCH($B2342,SEMANAS!$B$6:$B$71,0)),0)</f>
        <v>147</v>
      </c>
      <c r="AD2342" s="19" t="n">
        <f aca="false">IF($AC2342&lt;=0,0,$AB2342/$AC2342)</f>
        <v>0</v>
      </c>
      <c r="AE2342" s="8" t="str">
        <f aca="false">IF($K2342="SEM CULTURA","SEM CULTURA",IF($AA2342&lt;=0,"DADO PENDENTE",IF($AD2342&gt;LIMITE_CRITICO,"INVIAVEL",IF($AD2342&gt;LIMITE_ATENCAO,"CRITICO",IF($AD2342&gt;LIMITE_CONFORTAVEL,"ATENCAO","OK")))))</f>
        <v>SEM CULTURA</v>
      </c>
      <c r="AF2342" s="8" t="str">
        <f aca="false">$B2342&amp;"|"&amp;TEXT($AD2342,"0.000000")</f>
        <v>27|0.000000</v>
      </c>
      <c r="AG2342" s="18" t="n">
        <f aca="false">IF($K2342="SEM CULTURA",0,$T2342*$H2342)</f>
        <v>0</v>
      </c>
      <c r="AH2342" s="18" t="n">
        <f aca="false">IF($K2342="SEM CULTURA",0,$V2342*$H2342)</f>
        <v>0</v>
      </c>
      <c r="AI2342" s="18" t="n">
        <f aca="false">IF($K2342="SEM CULTURA",0,$W2342*$H2342)</f>
        <v>0</v>
      </c>
      <c r="AJ2342" s="18" t="n">
        <f aca="false">IF($K2342="SEM CULTURA",0,$S2342*$H2342)</f>
        <v>0</v>
      </c>
      <c r="AK2342" s="8" t="str">
        <f aca="false">$E2342&amp;"|"&amp;TEXT($AD2342,"0.000000")</f>
        <v>PV 137|0.000000</v>
      </c>
    </row>
    <row r="2343" customFormat="false" ht="15" hidden="false" customHeight="false" outlineLevel="0" collapsed="false">
      <c r="B2343" s="16" t="n">
        <v>28</v>
      </c>
      <c r="C2343" s="17" t="n">
        <f aca="false">DATA_INICIO_SAFRA+($B2343-1)*DIAS_POR_SEMANA</f>
        <v>46454</v>
      </c>
      <c r="D2343" s="17" t="n">
        <f aca="false">$C2343+DIAS_POR_SEMANA-1</f>
        <v>46460</v>
      </c>
      <c r="E2343" s="15" t="s">
        <v>294</v>
      </c>
      <c r="F2343" s="8" t="str">
        <f aca="false">IFERROR(INDEX(CADASTRO_PIVOS!$C$6:$C$41,MATCH($E2343,CADASTRO_PIVOS!$B$6:$B$41,0)),"?")</f>
        <v>RM08</v>
      </c>
      <c r="G2343" s="8" t="str">
        <f aca="false">IFERROR(INDEX(CADASTRO_PIVOS!$D$6:$D$41,MATCH($E2343,CADASTRO_PIVOS!$B$6:$B$41,0)),"?")</f>
        <v>TR08</v>
      </c>
      <c r="H2343" s="20" t="n">
        <f aca="false">IFERROR(INDEX(CADASTRO_PIVOS!$E$6:$E$41,MATCH($E2343,CADASTRO_PIVOS!$B$6:$B$41,0)),0)</f>
        <v>150</v>
      </c>
      <c r="I2343" s="16" t="n">
        <f aca="false">IFERROR(SUMIFS(ROTACAO_RDM!$B$6:$B$71,ROTACAO_RDM!$D$6:$D$71,$E2343,ROTACAO_RDM!$I$6:$I$71,"&lt;="&amp;$C2343+INT(DIAS_POR_SEMANA/2),ROTACAO_RDM!$J$6:$J$71,"&gt;="&amp;$C2343+INT(DIAS_POR_SEMANA/2)),0)</f>
        <v>0</v>
      </c>
      <c r="J2343" s="16" t="n">
        <f aca="false">IFERROR(MATCH($I2343,ROTACAO_RDM!$B$6:$B$71,0),0)</f>
        <v>0</v>
      </c>
      <c r="K2343" s="8" t="str">
        <f aca="false">IF($J2343=0,"SEM CULTURA",INDEX(ROTACAO_RDM!$F$6:$F$71,$J2343))</f>
        <v>SEM CULTURA</v>
      </c>
      <c r="L2343" s="8" t="str">
        <f aca="false">IF($J2343=0,"",INDEX(ROTACAO_RDM!$G$6:$G$71,$J2343))</f>
        <v/>
      </c>
      <c r="M2343" s="17" t="str">
        <f aca="false">IF($J2343=0,"",INDEX(ROTACAO_RDM!$I$6:$I$71,$J2343))</f>
        <v/>
      </c>
      <c r="N2343" s="16" t="n">
        <f aca="false">IF($J2343=0,0,MAX(0,$C2343+INT(DIAS_POR_SEMANA/2)-INDEX(ROTACAO_RDM!$I$6:$I$71,$J2343)))</f>
        <v>0</v>
      </c>
      <c r="O2343" s="19" t="n">
        <f aca="false">IF($J2343=0,0,MIN(1,$N2343/MAX(1,INDEX(ROTACAO_RDM!$K$6:$K$71,$J2343))))</f>
        <v>0</v>
      </c>
      <c r="P2343" s="16" t="n">
        <f aca="false">IF($J2343=0,0,IFERROR(MATCH(INDEX(ROTACAO_RDM!$N$6:$N$71,$J2343),PARAMETROS_CULTURAS!$B$6:$B$28,0),0))</f>
        <v>0</v>
      </c>
      <c r="Q2343" s="8" t="str">
        <f aca="false">IF($P2343=0,"-",IF($O2343&lt;=INDEX(PARAMETROS_CULTURAS!$F$6:$F$28,$P2343),"INICIAL",IF($O2343&lt;=INDEX(PARAMETROS_CULTURAS!$F$6:$F$28,$P2343)+INDEX(PARAMETROS_CULTURAS!$G$6:$G$28,$P2343),"DESENVOLVIMENTO",IF($O2343&lt;=INDEX(PARAMETROS_CULTURAS!$F$6:$F$28,$P2343)+INDEX(PARAMETROS_CULTURAS!$G$6:$G$28,$P2343)+INDEX(PARAMETROS_CULTURAS!$H$6:$H$28,$P2343),"MEDIA","FINAL"))))</f>
        <v>-</v>
      </c>
      <c r="R2343" s="24" t="n">
        <f aca="false">IF($P2343=0,0,IF($O2343&lt;=INDEX(PARAMETROS_CULTURAS!$F$6:$F$28,$P2343),INDEX(PARAMETROS_CULTURAS!$K$6:$K$28,$P2343),IF($O2343&lt;=INDEX(PARAMETROS_CULTURAS!$F$6:$F$28,$P2343)+INDEX(PARAMETROS_CULTURAS!$G$6:$G$28,$P2343),INDEX(PARAMETROS_CULTURAS!$K$6:$K$28,$P2343)+(INDEX(PARAMETROS_CULTURAS!$L$6:$L$28,$P2343)-INDEX(PARAMETROS_CULTURAS!$K$6:$K$28,$P2343))*($O2343-INDEX(PARAMETROS_CULTURAS!$F$6:$F$28,$P2343))/MAX(INDEX(PARAMETROS_CULTURAS!$G$6:$G$28,$P2343),0.0001),IF($O2343&lt;=INDEX(PARAMETROS_CULTURAS!$F$6:$F$28,$P2343)+INDEX(PARAMETROS_CULTURAS!$G$6:$G$28,$P2343)+INDEX(PARAMETROS_CULTURAS!$H$6:$H$28,$P2343),INDEX(PARAMETROS_CULTURAS!$L$6:$L$28,$P2343),INDEX(PARAMETROS_CULTURAS!$L$6:$L$28,$P2343)+(INDEX(PARAMETROS_CULTURAS!$M$6:$M$28,$P2343)-INDEX(PARAMETROS_CULTURAS!$L$6:$L$28,$P2343))*($O2343-INDEX(PARAMETROS_CULTURAS!$F$6:$F$28,$P2343)-INDEX(PARAMETROS_CULTURAS!$G$6:$G$28,$P2343)-INDEX(PARAMETROS_CULTURAS!$H$6:$H$28,$P2343))/MAX(INDEX(PARAMETROS_CULTURAS!$I$6:$I$28,$P2343),0.0001)))))</f>
        <v>0</v>
      </c>
      <c r="S2343" s="18" t="n">
        <f aca="false">IFERROR(INDEX(SEMANAS!$H$6:$H$71,MATCH($B2343,SEMANAS!$B$6:$B$71,0)),0)</f>
        <v>32.2</v>
      </c>
      <c r="T2343" s="18" t="n">
        <f aca="false">$R2343*$S2343</f>
        <v>0</v>
      </c>
      <c r="U2343" s="18" t="n">
        <f aca="false">IFERROR(INDEX(SEMANAS!$I$6:$I$71,MATCH($B2343,SEMANAS!$B$6:$B$71,0)),0)</f>
        <v>37.24</v>
      </c>
      <c r="V2343" s="18" t="n">
        <f aca="false">IFERROR(INDEX(SEMANAS!$J$6:$J$71,MATCH($B2343,SEMANAS!$B$6:$B$71,0)),0)</f>
        <v>29.792</v>
      </c>
      <c r="W2343" s="18" t="n">
        <f aca="false">MAX(0,$T2343-$V2343)</f>
        <v>0</v>
      </c>
      <c r="X2343" s="19" t="n">
        <f aca="false">IFERROR(INDEX(CADASTRO_PIVOS!$K$6:$K$41,MATCH($E2343,CADASTRO_PIVOS!$B$6:$B$41,0)),EFICIENCIA_PADRAO)</f>
        <v>0.85</v>
      </c>
      <c r="Y2343" s="18" t="n">
        <f aca="false">IF($X2343&lt;=0,0,$W2343/$X2343)</f>
        <v>0</v>
      </c>
      <c r="Z2343" s="16" t="n">
        <f aca="false">$Y2343*$H2343*MM_PARA_M3_HA</f>
        <v>0</v>
      </c>
      <c r="AA2343" s="18" t="n">
        <f aca="false">IFERROR(INDEX(CADASTRO_PIVOS!$I$6:$I$41,MATCH($E2343,CADASTRO_PIVOS!$B$6:$B$41,0)),0)</f>
        <v>1071.42857142857</v>
      </c>
      <c r="AB2343" s="18" t="n">
        <f aca="false">IF($Z2343&lt;=0,0,$Z2343/$AA2343)</f>
        <v>0</v>
      </c>
      <c r="AC2343" s="16" t="n">
        <f aca="false">IFERROR(INDEX(SEMANAS!$K$6:$K$71,MATCH($B2343,SEMANAS!$B$6:$B$71,0)),0)</f>
        <v>147</v>
      </c>
      <c r="AD2343" s="19" t="n">
        <f aca="false">IF($AC2343&lt;=0,0,$AB2343/$AC2343)</f>
        <v>0</v>
      </c>
      <c r="AE2343" s="8" t="str">
        <f aca="false">IF($K2343="SEM CULTURA","SEM CULTURA",IF($AA2343&lt;=0,"DADO PENDENTE",IF($AD2343&gt;LIMITE_CRITICO,"INVIAVEL",IF($AD2343&gt;LIMITE_ATENCAO,"CRITICO",IF($AD2343&gt;LIMITE_CONFORTAVEL,"ATENCAO","OK")))))</f>
        <v>SEM CULTURA</v>
      </c>
      <c r="AF2343" s="8" t="str">
        <f aca="false">$B2343&amp;"|"&amp;TEXT($AD2343,"0.000000")</f>
        <v>28|0.000000</v>
      </c>
      <c r="AG2343" s="18" t="n">
        <f aca="false">IF($K2343="SEM CULTURA",0,$T2343*$H2343)</f>
        <v>0</v>
      </c>
      <c r="AH2343" s="18" t="n">
        <f aca="false">IF($K2343="SEM CULTURA",0,$V2343*$H2343)</f>
        <v>0</v>
      </c>
      <c r="AI2343" s="18" t="n">
        <f aca="false">IF($K2343="SEM CULTURA",0,$W2343*$H2343)</f>
        <v>0</v>
      </c>
      <c r="AJ2343" s="18" t="n">
        <f aca="false">IF($K2343="SEM CULTURA",0,$S2343*$H2343)</f>
        <v>0</v>
      </c>
      <c r="AK2343" s="8" t="str">
        <f aca="false">$E2343&amp;"|"&amp;TEXT($AD2343,"0.000000")</f>
        <v>PV 137|0.000000</v>
      </c>
    </row>
    <row r="2344" customFormat="false" ht="15" hidden="false" customHeight="false" outlineLevel="0" collapsed="false">
      <c r="B2344" s="16" t="n">
        <v>29</v>
      </c>
      <c r="C2344" s="17" t="n">
        <f aca="false">DATA_INICIO_SAFRA+($B2344-1)*DIAS_POR_SEMANA</f>
        <v>46461</v>
      </c>
      <c r="D2344" s="17" t="n">
        <f aca="false">$C2344+DIAS_POR_SEMANA-1</f>
        <v>46467</v>
      </c>
      <c r="E2344" s="15" t="s">
        <v>294</v>
      </c>
      <c r="F2344" s="8" t="str">
        <f aca="false">IFERROR(INDEX(CADASTRO_PIVOS!$C$6:$C$41,MATCH($E2344,CADASTRO_PIVOS!$B$6:$B$41,0)),"?")</f>
        <v>RM08</v>
      </c>
      <c r="G2344" s="8" t="str">
        <f aca="false">IFERROR(INDEX(CADASTRO_PIVOS!$D$6:$D$41,MATCH($E2344,CADASTRO_PIVOS!$B$6:$B$41,0)),"?")</f>
        <v>TR08</v>
      </c>
      <c r="H2344" s="20" t="n">
        <f aca="false">IFERROR(INDEX(CADASTRO_PIVOS!$E$6:$E$41,MATCH($E2344,CADASTRO_PIVOS!$B$6:$B$41,0)),0)</f>
        <v>150</v>
      </c>
      <c r="I2344" s="16" t="n">
        <f aca="false">IFERROR(SUMIFS(ROTACAO_RDM!$B$6:$B$71,ROTACAO_RDM!$D$6:$D$71,$E2344,ROTACAO_RDM!$I$6:$I$71,"&lt;="&amp;$C2344+INT(DIAS_POR_SEMANA/2),ROTACAO_RDM!$J$6:$J$71,"&gt;="&amp;$C2344+INT(DIAS_POR_SEMANA/2)),0)</f>
        <v>0</v>
      </c>
      <c r="J2344" s="16" t="n">
        <f aca="false">IFERROR(MATCH($I2344,ROTACAO_RDM!$B$6:$B$71,0),0)</f>
        <v>0</v>
      </c>
      <c r="K2344" s="8" t="str">
        <f aca="false">IF($J2344=0,"SEM CULTURA",INDEX(ROTACAO_RDM!$F$6:$F$71,$J2344))</f>
        <v>SEM CULTURA</v>
      </c>
      <c r="L2344" s="8" t="str">
        <f aca="false">IF($J2344=0,"",INDEX(ROTACAO_RDM!$G$6:$G$71,$J2344))</f>
        <v/>
      </c>
      <c r="M2344" s="17" t="str">
        <f aca="false">IF($J2344=0,"",INDEX(ROTACAO_RDM!$I$6:$I$71,$J2344))</f>
        <v/>
      </c>
      <c r="N2344" s="16" t="n">
        <f aca="false">IF($J2344=0,0,MAX(0,$C2344+INT(DIAS_POR_SEMANA/2)-INDEX(ROTACAO_RDM!$I$6:$I$71,$J2344)))</f>
        <v>0</v>
      </c>
      <c r="O2344" s="19" t="n">
        <f aca="false">IF($J2344=0,0,MIN(1,$N2344/MAX(1,INDEX(ROTACAO_RDM!$K$6:$K$71,$J2344))))</f>
        <v>0</v>
      </c>
      <c r="P2344" s="16" t="n">
        <f aca="false">IF($J2344=0,0,IFERROR(MATCH(INDEX(ROTACAO_RDM!$N$6:$N$71,$J2344),PARAMETROS_CULTURAS!$B$6:$B$28,0),0))</f>
        <v>0</v>
      </c>
      <c r="Q2344" s="8" t="str">
        <f aca="false">IF($P2344=0,"-",IF($O2344&lt;=INDEX(PARAMETROS_CULTURAS!$F$6:$F$28,$P2344),"INICIAL",IF($O2344&lt;=INDEX(PARAMETROS_CULTURAS!$F$6:$F$28,$P2344)+INDEX(PARAMETROS_CULTURAS!$G$6:$G$28,$P2344),"DESENVOLVIMENTO",IF($O2344&lt;=INDEX(PARAMETROS_CULTURAS!$F$6:$F$28,$P2344)+INDEX(PARAMETROS_CULTURAS!$G$6:$G$28,$P2344)+INDEX(PARAMETROS_CULTURAS!$H$6:$H$28,$P2344),"MEDIA","FINAL"))))</f>
        <v>-</v>
      </c>
      <c r="R2344" s="24" t="n">
        <f aca="false">IF($P2344=0,0,IF($O2344&lt;=INDEX(PARAMETROS_CULTURAS!$F$6:$F$28,$P2344),INDEX(PARAMETROS_CULTURAS!$K$6:$K$28,$P2344),IF($O2344&lt;=INDEX(PARAMETROS_CULTURAS!$F$6:$F$28,$P2344)+INDEX(PARAMETROS_CULTURAS!$G$6:$G$28,$P2344),INDEX(PARAMETROS_CULTURAS!$K$6:$K$28,$P2344)+(INDEX(PARAMETROS_CULTURAS!$L$6:$L$28,$P2344)-INDEX(PARAMETROS_CULTURAS!$K$6:$K$28,$P2344))*($O2344-INDEX(PARAMETROS_CULTURAS!$F$6:$F$28,$P2344))/MAX(INDEX(PARAMETROS_CULTURAS!$G$6:$G$28,$P2344),0.0001),IF($O2344&lt;=INDEX(PARAMETROS_CULTURAS!$F$6:$F$28,$P2344)+INDEX(PARAMETROS_CULTURAS!$G$6:$G$28,$P2344)+INDEX(PARAMETROS_CULTURAS!$H$6:$H$28,$P2344),INDEX(PARAMETROS_CULTURAS!$L$6:$L$28,$P2344),INDEX(PARAMETROS_CULTURAS!$L$6:$L$28,$P2344)+(INDEX(PARAMETROS_CULTURAS!$M$6:$M$28,$P2344)-INDEX(PARAMETROS_CULTURAS!$L$6:$L$28,$P2344))*($O2344-INDEX(PARAMETROS_CULTURAS!$F$6:$F$28,$P2344)-INDEX(PARAMETROS_CULTURAS!$G$6:$G$28,$P2344)-INDEX(PARAMETROS_CULTURAS!$H$6:$H$28,$P2344))/MAX(INDEX(PARAMETROS_CULTURAS!$I$6:$I$28,$P2344),0.0001)))))</f>
        <v>0</v>
      </c>
      <c r="S2344" s="18" t="n">
        <f aca="false">IFERROR(INDEX(SEMANAS!$H$6:$H$71,MATCH($B2344,SEMANAS!$B$6:$B$71,0)),0)</f>
        <v>32.2</v>
      </c>
      <c r="T2344" s="18" t="n">
        <f aca="false">$R2344*$S2344</f>
        <v>0</v>
      </c>
      <c r="U2344" s="18" t="n">
        <f aca="false">IFERROR(INDEX(SEMANAS!$I$6:$I$71,MATCH($B2344,SEMANAS!$B$6:$B$71,0)),0)</f>
        <v>37.24</v>
      </c>
      <c r="V2344" s="18" t="n">
        <f aca="false">IFERROR(INDEX(SEMANAS!$J$6:$J$71,MATCH($B2344,SEMANAS!$B$6:$B$71,0)),0)</f>
        <v>29.792</v>
      </c>
      <c r="W2344" s="18" t="n">
        <f aca="false">MAX(0,$T2344-$V2344)</f>
        <v>0</v>
      </c>
      <c r="X2344" s="19" t="n">
        <f aca="false">IFERROR(INDEX(CADASTRO_PIVOS!$K$6:$K$41,MATCH($E2344,CADASTRO_PIVOS!$B$6:$B$41,0)),EFICIENCIA_PADRAO)</f>
        <v>0.85</v>
      </c>
      <c r="Y2344" s="18" t="n">
        <f aca="false">IF($X2344&lt;=0,0,$W2344/$X2344)</f>
        <v>0</v>
      </c>
      <c r="Z2344" s="16" t="n">
        <f aca="false">$Y2344*$H2344*MM_PARA_M3_HA</f>
        <v>0</v>
      </c>
      <c r="AA2344" s="18" t="n">
        <f aca="false">IFERROR(INDEX(CADASTRO_PIVOS!$I$6:$I$41,MATCH($E2344,CADASTRO_PIVOS!$B$6:$B$41,0)),0)</f>
        <v>1071.42857142857</v>
      </c>
      <c r="AB2344" s="18" t="n">
        <f aca="false">IF($Z2344&lt;=0,0,$Z2344/$AA2344)</f>
        <v>0</v>
      </c>
      <c r="AC2344" s="16" t="n">
        <f aca="false">IFERROR(INDEX(SEMANAS!$K$6:$K$71,MATCH($B2344,SEMANAS!$B$6:$B$71,0)),0)</f>
        <v>147</v>
      </c>
      <c r="AD2344" s="19" t="n">
        <f aca="false">IF($AC2344&lt;=0,0,$AB2344/$AC2344)</f>
        <v>0</v>
      </c>
      <c r="AE2344" s="8" t="str">
        <f aca="false">IF($K2344="SEM CULTURA","SEM CULTURA",IF($AA2344&lt;=0,"DADO PENDENTE",IF($AD2344&gt;LIMITE_CRITICO,"INVIAVEL",IF($AD2344&gt;LIMITE_ATENCAO,"CRITICO",IF($AD2344&gt;LIMITE_CONFORTAVEL,"ATENCAO","OK")))))</f>
        <v>SEM CULTURA</v>
      </c>
      <c r="AF2344" s="8" t="str">
        <f aca="false">$B2344&amp;"|"&amp;TEXT($AD2344,"0.000000")</f>
        <v>29|0.000000</v>
      </c>
      <c r="AG2344" s="18" t="n">
        <f aca="false">IF($K2344="SEM CULTURA",0,$T2344*$H2344)</f>
        <v>0</v>
      </c>
      <c r="AH2344" s="18" t="n">
        <f aca="false">IF($K2344="SEM CULTURA",0,$V2344*$H2344)</f>
        <v>0</v>
      </c>
      <c r="AI2344" s="18" t="n">
        <f aca="false">IF($K2344="SEM CULTURA",0,$W2344*$H2344)</f>
        <v>0</v>
      </c>
      <c r="AJ2344" s="18" t="n">
        <f aca="false">IF($K2344="SEM CULTURA",0,$S2344*$H2344)</f>
        <v>0</v>
      </c>
      <c r="AK2344" s="8" t="str">
        <f aca="false">$E2344&amp;"|"&amp;TEXT($AD2344,"0.000000")</f>
        <v>PV 137|0.000000</v>
      </c>
    </row>
    <row r="2345" customFormat="false" ht="15" hidden="false" customHeight="false" outlineLevel="0" collapsed="false">
      <c r="B2345" s="16" t="n">
        <v>30</v>
      </c>
      <c r="C2345" s="17" t="n">
        <f aca="false">DATA_INICIO_SAFRA+($B2345-1)*DIAS_POR_SEMANA</f>
        <v>46468</v>
      </c>
      <c r="D2345" s="17" t="n">
        <f aca="false">$C2345+DIAS_POR_SEMANA-1</f>
        <v>46474</v>
      </c>
      <c r="E2345" s="15" t="s">
        <v>294</v>
      </c>
      <c r="F2345" s="8" t="str">
        <f aca="false">IFERROR(INDEX(CADASTRO_PIVOS!$C$6:$C$41,MATCH($E2345,CADASTRO_PIVOS!$B$6:$B$41,0)),"?")</f>
        <v>RM08</v>
      </c>
      <c r="G2345" s="8" t="str">
        <f aca="false">IFERROR(INDEX(CADASTRO_PIVOS!$D$6:$D$41,MATCH($E2345,CADASTRO_PIVOS!$B$6:$B$41,0)),"?")</f>
        <v>TR08</v>
      </c>
      <c r="H2345" s="20" t="n">
        <f aca="false">IFERROR(INDEX(CADASTRO_PIVOS!$E$6:$E$41,MATCH($E2345,CADASTRO_PIVOS!$B$6:$B$41,0)),0)</f>
        <v>150</v>
      </c>
      <c r="I2345" s="16" t="n">
        <f aca="false">IFERROR(SUMIFS(ROTACAO_RDM!$B$6:$B$71,ROTACAO_RDM!$D$6:$D$71,$E2345,ROTACAO_RDM!$I$6:$I$71,"&lt;="&amp;$C2345+INT(DIAS_POR_SEMANA/2),ROTACAO_RDM!$J$6:$J$71,"&gt;="&amp;$C2345+INT(DIAS_POR_SEMANA/2)),0)</f>
        <v>0</v>
      </c>
      <c r="J2345" s="16" t="n">
        <f aca="false">IFERROR(MATCH($I2345,ROTACAO_RDM!$B$6:$B$71,0),0)</f>
        <v>0</v>
      </c>
      <c r="K2345" s="8" t="str">
        <f aca="false">IF($J2345=0,"SEM CULTURA",INDEX(ROTACAO_RDM!$F$6:$F$71,$J2345))</f>
        <v>SEM CULTURA</v>
      </c>
      <c r="L2345" s="8" t="str">
        <f aca="false">IF($J2345=0,"",INDEX(ROTACAO_RDM!$G$6:$G$71,$J2345))</f>
        <v/>
      </c>
      <c r="M2345" s="17" t="str">
        <f aca="false">IF($J2345=0,"",INDEX(ROTACAO_RDM!$I$6:$I$71,$J2345))</f>
        <v/>
      </c>
      <c r="N2345" s="16" t="n">
        <f aca="false">IF($J2345=0,0,MAX(0,$C2345+INT(DIAS_POR_SEMANA/2)-INDEX(ROTACAO_RDM!$I$6:$I$71,$J2345)))</f>
        <v>0</v>
      </c>
      <c r="O2345" s="19" t="n">
        <f aca="false">IF($J2345=0,0,MIN(1,$N2345/MAX(1,INDEX(ROTACAO_RDM!$K$6:$K$71,$J2345))))</f>
        <v>0</v>
      </c>
      <c r="P2345" s="16" t="n">
        <f aca="false">IF($J2345=0,0,IFERROR(MATCH(INDEX(ROTACAO_RDM!$N$6:$N$71,$J2345),PARAMETROS_CULTURAS!$B$6:$B$28,0),0))</f>
        <v>0</v>
      </c>
      <c r="Q2345" s="8" t="str">
        <f aca="false">IF($P2345=0,"-",IF($O2345&lt;=INDEX(PARAMETROS_CULTURAS!$F$6:$F$28,$P2345),"INICIAL",IF($O2345&lt;=INDEX(PARAMETROS_CULTURAS!$F$6:$F$28,$P2345)+INDEX(PARAMETROS_CULTURAS!$G$6:$G$28,$P2345),"DESENVOLVIMENTO",IF($O2345&lt;=INDEX(PARAMETROS_CULTURAS!$F$6:$F$28,$P2345)+INDEX(PARAMETROS_CULTURAS!$G$6:$G$28,$P2345)+INDEX(PARAMETROS_CULTURAS!$H$6:$H$28,$P2345),"MEDIA","FINAL"))))</f>
        <v>-</v>
      </c>
      <c r="R2345" s="24" t="n">
        <f aca="false">IF($P2345=0,0,IF($O2345&lt;=INDEX(PARAMETROS_CULTURAS!$F$6:$F$28,$P2345),INDEX(PARAMETROS_CULTURAS!$K$6:$K$28,$P2345),IF($O2345&lt;=INDEX(PARAMETROS_CULTURAS!$F$6:$F$28,$P2345)+INDEX(PARAMETROS_CULTURAS!$G$6:$G$28,$P2345),INDEX(PARAMETROS_CULTURAS!$K$6:$K$28,$P2345)+(INDEX(PARAMETROS_CULTURAS!$L$6:$L$28,$P2345)-INDEX(PARAMETROS_CULTURAS!$K$6:$K$28,$P2345))*($O2345-INDEX(PARAMETROS_CULTURAS!$F$6:$F$28,$P2345))/MAX(INDEX(PARAMETROS_CULTURAS!$G$6:$G$28,$P2345),0.0001),IF($O2345&lt;=INDEX(PARAMETROS_CULTURAS!$F$6:$F$28,$P2345)+INDEX(PARAMETROS_CULTURAS!$G$6:$G$28,$P2345)+INDEX(PARAMETROS_CULTURAS!$H$6:$H$28,$P2345),INDEX(PARAMETROS_CULTURAS!$L$6:$L$28,$P2345),INDEX(PARAMETROS_CULTURAS!$L$6:$L$28,$P2345)+(INDEX(PARAMETROS_CULTURAS!$M$6:$M$28,$P2345)-INDEX(PARAMETROS_CULTURAS!$L$6:$L$28,$P2345))*($O2345-INDEX(PARAMETROS_CULTURAS!$F$6:$F$28,$P2345)-INDEX(PARAMETROS_CULTURAS!$G$6:$G$28,$P2345)-INDEX(PARAMETROS_CULTURAS!$H$6:$H$28,$P2345))/MAX(INDEX(PARAMETROS_CULTURAS!$I$6:$I$28,$P2345),0.0001)))))</f>
        <v>0</v>
      </c>
      <c r="S2345" s="18" t="n">
        <f aca="false">IFERROR(INDEX(SEMANAS!$H$6:$H$71,MATCH($B2345,SEMANAS!$B$6:$B$71,0)),0)</f>
        <v>32.2</v>
      </c>
      <c r="T2345" s="18" t="n">
        <f aca="false">$R2345*$S2345</f>
        <v>0</v>
      </c>
      <c r="U2345" s="18" t="n">
        <f aca="false">IFERROR(INDEX(SEMANAS!$I$6:$I$71,MATCH($B2345,SEMANAS!$B$6:$B$71,0)),0)</f>
        <v>37.24</v>
      </c>
      <c r="V2345" s="18" t="n">
        <f aca="false">IFERROR(INDEX(SEMANAS!$J$6:$J$71,MATCH($B2345,SEMANAS!$B$6:$B$71,0)),0)</f>
        <v>29.792</v>
      </c>
      <c r="W2345" s="18" t="n">
        <f aca="false">MAX(0,$T2345-$V2345)</f>
        <v>0</v>
      </c>
      <c r="X2345" s="19" t="n">
        <f aca="false">IFERROR(INDEX(CADASTRO_PIVOS!$K$6:$K$41,MATCH($E2345,CADASTRO_PIVOS!$B$6:$B$41,0)),EFICIENCIA_PADRAO)</f>
        <v>0.85</v>
      </c>
      <c r="Y2345" s="18" t="n">
        <f aca="false">IF($X2345&lt;=0,0,$W2345/$X2345)</f>
        <v>0</v>
      </c>
      <c r="Z2345" s="16" t="n">
        <f aca="false">$Y2345*$H2345*MM_PARA_M3_HA</f>
        <v>0</v>
      </c>
      <c r="AA2345" s="18" t="n">
        <f aca="false">IFERROR(INDEX(CADASTRO_PIVOS!$I$6:$I$41,MATCH($E2345,CADASTRO_PIVOS!$B$6:$B$41,0)),0)</f>
        <v>1071.42857142857</v>
      </c>
      <c r="AB2345" s="18" t="n">
        <f aca="false">IF($Z2345&lt;=0,0,$Z2345/$AA2345)</f>
        <v>0</v>
      </c>
      <c r="AC2345" s="16" t="n">
        <f aca="false">IFERROR(INDEX(SEMANAS!$K$6:$K$71,MATCH($B2345,SEMANAS!$B$6:$B$71,0)),0)</f>
        <v>147</v>
      </c>
      <c r="AD2345" s="19" t="n">
        <f aca="false">IF($AC2345&lt;=0,0,$AB2345/$AC2345)</f>
        <v>0</v>
      </c>
      <c r="AE2345" s="8" t="str">
        <f aca="false">IF($K2345="SEM CULTURA","SEM CULTURA",IF($AA2345&lt;=0,"DADO PENDENTE",IF($AD2345&gt;LIMITE_CRITICO,"INVIAVEL",IF($AD2345&gt;LIMITE_ATENCAO,"CRITICO",IF($AD2345&gt;LIMITE_CONFORTAVEL,"ATENCAO","OK")))))</f>
        <v>SEM CULTURA</v>
      </c>
      <c r="AF2345" s="8" t="str">
        <f aca="false">$B2345&amp;"|"&amp;TEXT($AD2345,"0.000000")</f>
        <v>30|0.000000</v>
      </c>
      <c r="AG2345" s="18" t="n">
        <f aca="false">IF($K2345="SEM CULTURA",0,$T2345*$H2345)</f>
        <v>0</v>
      </c>
      <c r="AH2345" s="18" t="n">
        <f aca="false">IF($K2345="SEM CULTURA",0,$V2345*$H2345)</f>
        <v>0</v>
      </c>
      <c r="AI2345" s="18" t="n">
        <f aca="false">IF($K2345="SEM CULTURA",0,$W2345*$H2345)</f>
        <v>0</v>
      </c>
      <c r="AJ2345" s="18" t="n">
        <f aca="false">IF($K2345="SEM CULTURA",0,$S2345*$H2345)</f>
        <v>0</v>
      </c>
      <c r="AK2345" s="8" t="str">
        <f aca="false">$E2345&amp;"|"&amp;TEXT($AD2345,"0.000000")</f>
        <v>PV 137|0.000000</v>
      </c>
    </row>
    <row r="2346" customFormat="false" ht="15" hidden="false" customHeight="false" outlineLevel="0" collapsed="false">
      <c r="B2346" s="16" t="n">
        <v>31</v>
      </c>
      <c r="C2346" s="17" t="n">
        <f aca="false">DATA_INICIO_SAFRA+($B2346-1)*DIAS_POR_SEMANA</f>
        <v>46475</v>
      </c>
      <c r="D2346" s="17" t="n">
        <f aca="false">$C2346+DIAS_POR_SEMANA-1</f>
        <v>46481</v>
      </c>
      <c r="E2346" s="15" t="s">
        <v>294</v>
      </c>
      <c r="F2346" s="8" t="str">
        <f aca="false">IFERROR(INDEX(CADASTRO_PIVOS!$C$6:$C$41,MATCH($E2346,CADASTRO_PIVOS!$B$6:$B$41,0)),"?")</f>
        <v>RM08</v>
      </c>
      <c r="G2346" s="8" t="str">
        <f aca="false">IFERROR(INDEX(CADASTRO_PIVOS!$D$6:$D$41,MATCH($E2346,CADASTRO_PIVOS!$B$6:$B$41,0)),"?")</f>
        <v>TR08</v>
      </c>
      <c r="H2346" s="20" t="n">
        <f aca="false">IFERROR(INDEX(CADASTRO_PIVOS!$E$6:$E$41,MATCH($E2346,CADASTRO_PIVOS!$B$6:$B$41,0)),0)</f>
        <v>150</v>
      </c>
      <c r="I2346" s="16" t="n">
        <f aca="false">IFERROR(SUMIFS(ROTACAO_RDM!$B$6:$B$71,ROTACAO_RDM!$D$6:$D$71,$E2346,ROTACAO_RDM!$I$6:$I$71,"&lt;="&amp;$C2346+INT(DIAS_POR_SEMANA/2),ROTACAO_RDM!$J$6:$J$71,"&gt;="&amp;$C2346+INT(DIAS_POR_SEMANA/2)),0)</f>
        <v>0</v>
      </c>
      <c r="J2346" s="16" t="n">
        <f aca="false">IFERROR(MATCH($I2346,ROTACAO_RDM!$B$6:$B$71,0),0)</f>
        <v>0</v>
      </c>
      <c r="K2346" s="8" t="str">
        <f aca="false">IF($J2346=0,"SEM CULTURA",INDEX(ROTACAO_RDM!$F$6:$F$71,$J2346))</f>
        <v>SEM CULTURA</v>
      </c>
      <c r="L2346" s="8" t="str">
        <f aca="false">IF($J2346=0,"",INDEX(ROTACAO_RDM!$G$6:$G$71,$J2346))</f>
        <v/>
      </c>
      <c r="M2346" s="17" t="str">
        <f aca="false">IF($J2346=0,"",INDEX(ROTACAO_RDM!$I$6:$I$71,$J2346))</f>
        <v/>
      </c>
      <c r="N2346" s="16" t="n">
        <f aca="false">IF($J2346=0,0,MAX(0,$C2346+INT(DIAS_POR_SEMANA/2)-INDEX(ROTACAO_RDM!$I$6:$I$71,$J2346)))</f>
        <v>0</v>
      </c>
      <c r="O2346" s="19" t="n">
        <f aca="false">IF($J2346=0,0,MIN(1,$N2346/MAX(1,INDEX(ROTACAO_RDM!$K$6:$K$71,$J2346))))</f>
        <v>0</v>
      </c>
      <c r="P2346" s="16" t="n">
        <f aca="false">IF($J2346=0,0,IFERROR(MATCH(INDEX(ROTACAO_RDM!$N$6:$N$71,$J2346),PARAMETROS_CULTURAS!$B$6:$B$28,0),0))</f>
        <v>0</v>
      </c>
      <c r="Q2346" s="8" t="str">
        <f aca="false">IF($P2346=0,"-",IF($O2346&lt;=INDEX(PARAMETROS_CULTURAS!$F$6:$F$28,$P2346),"INICIAL",IF($O2346&lt;=INDEX(PARAMETROS_CULTURAS!$F$6:$F$28,$P2346)+INDEX(PARAMETROS_CULTURAS!$G$6:$G$28,$P2346),"DESENVOLVIMENTO",IF($O2346&lt;=INDEX(PARAMETROS_CULTURAS!$F$6:$F$28,$P2346)+INDEX(PARAMETROS_CULTURAS!$G$6:$G$28,$P2346)+INDEX(PARAMETROS_CULTURAS!$H$6:$H$28,$P2346),"MEDIA","FINAL"))))</f>
        <v>-</v>
      </c>
      <c r="R2346" s="24" t="n">
        <f aca="false">IF($P2346=0,0,IF($O2346&lt;=INDEX(PARAMETROS_CULTURAS!$F$6:$F$28,$P2346),INDEX(PARAMETROS_CULTURAS!$K$6:$K$28,$P2346),IF($O2346&lt;=INDEX(PARAMETROS_CULTURAS!$F$6:$F$28,$P2346)+INDEX(PARAMETROS_CULTURAS!$G$6:$G$28,$P2346),INDEX(PARAMETROS_CULTURAS!$K$6:$K$28,$P2346)+(INDEX(PARAMETROS_CULTURAS!$L$6:$L$28,$P2346)-INDEX(PARAMETROS_CULTURAS!$K$6:$K$28,$P2346))*($O2346-INDEX(PARAMETROS_CULTURAS!$F$6:$F$28,$P2346))/MAX(INDEX(PARAMETROS_CULTURAS!$G$6:$G$28,$P2346),0.0001),IF($O2346&lt;=INDEX(PARAMETROS_CULTURAS!$F$6:$F$28,$P2346)+INDEX(PARAMETROS_CULTURAS!$G$6:$G$28,$P2346)+INDEX(PARAMETROS_CULTURAS!$H$6:$H$28,$P2346),INDEX(PARAMETROS_CULTURAS!$L$6:$L$28,$P2346),INDEX(PARAMETROS_CULTURAS!$L$6:$L$28,$P2346)+(INDEX(PARAMETROS_CULTURAS!$M$6:$M$28,$P2346)-INDEX(PARAMETROS_CULTURAS!$L$6:$L$28,$P2346))*($O2346-INDEX(PARAMETROS_CULTURAS!$F$6:$F$28,$P2346)-INDEX(PARAMETROS_CULTURAS!$G$6:$G$28,$P2346)-INDEX(PARAMETROS_CULTURAS!$H$6:$H$28,$P2346))/MAX(INDEX(PARAMETROS_CULTURAS!$I$6:$I$28,$P2346),0.0001)))))</f>
        <v>0</v>
      </c>
      <c r="S2346" s="18" t="n">
        <f aca="false">IFERROR(INDEX(SEMANAS!$H$6:$H$71,MATCH($B2346,SEMANAS!$B$6:$B$71,0)),0)</f>
        <v>31.8</v>
      </c>
      <c r="T2346" s="18" t="n">
        <f aca="false">$R2346*$S2346</f>
        <v>0</v>
      </c>
      <c r="U2346" s="18" t="n">
        <f aca="false">IFERROR(INDEX(SEMANAS!$I$6:$I$71,MATCH($B2346,SEMANAS!$B$6:$B$71,0)),0)</f>
        <v>25.28</v>
      </c>
      <c r="V2346" s="18" t="n">
        <f aca="false">IFERROR(INDEX(SEMANAS!$J$6:$J$71,MATCH($B2346,SEMANAS!$B$6:$B$71,0)),0)</f>
        <v>20.224</v>
      </c>
      <c r="W2346" s="18" t="n">
        <f aca="false">MAX(0,$T2346-$V2346)</f>
        <v>0</v>
      </c>
      <c r="X2346" s="19" t="n">
        <f aca="false">IFERROR(INDEX(CADASTRO_PIVOS!$K$6:$K$41,MATCH($E2346,CADASTRO_PIVOS!$B$6:$B$41,0)),EFICIENCIA_PADRAO)</f>
        <v>0.85</v>
      </c>
      <c r="Y2346" s="18" t="n">
        <f aca="false">IF($X2346&lt;=0,0,$W2346/$X2346)</f>
        <v>0</v>
      </c>
      <c r="Z2346" s="16" t="n">
        <f aca="false">$Y2346*$H2346*MM_PARA_M3_HA</f>
        <v>0</v>
      </c>
      <c r="AA2346" s="18" t="n">
        <f aca="false">IFERROR(INDEX(CADASTRO_PIVOS!$I$6:$I$41,MATCH($E2346,CADASTRO_PIVOS!$B$6:$B$41,0)),0)</f>
        <v>1071.42857142857</v>
      </c>
      <c r="AB2346" s="18" t="n">
        <f aca="false">IF($Z2346&lt;=0,0,$Z2346/$AA2346)</f>
        <v>0</v>
      </c>
      <c r="AC2346" s="16" t="n">
        <f aca="false">IFERROR(INDEX(SEMANAS!$K$6:$K$71,MATCH($B2346,SEMANAS!$B$6:$B$71,0)),0)</f>
        <v>147</v>
      </c>
      <c r="AD2346" s="19" t="n">
        <f aca="false">IF($AC2346&lt;=0,0,$AB2346/$AC2346)</f>
        <v>0</v>
      </c>
      <c r="AE2346" s="8" t="str">
        <f aca="false">IF($K2346="SEM CULTURA","SEM CULTURA",IF($AA2346&lt;=0,"DADO PENDENTE",IF($AD2346&gt;LIMITE_CRITICO,"INVIAVEL",IF($AD2346&gt;LIMITE_ATENCAO,"CRITICO",IF($AD2346&gt;LIMITE_CONFORTAVEL,"ATENCAO","OK")))))</f>
        <v>SEM CULTURA</v>
      </c>
      <c r="AF2346" s="8" t="str">
        <f aca="false">$B2346&amp;"|"&amp;TEXT($AD2346,"0.000000")</f>
        <v>31|0.000000</v>
      </c>
      <c r="AG2346" s="18" t="n">
        <f aca="false">IF($K2346="SEM CULTURA",0,$T2346*$H2346)</f>
        <v>0</v>
      </c>
      <c r="AH2346" s="18" t="n">
        <f aca="false">IF($K2346="SEM CULTURA",0,$V2346*$H2346)</f>
        <v>0</v>
      </c>
      <c r="AI2346" s="18" t="n">
        <f aca="false">IF($K2346="SEM CULTURA",0,$W2346*$H2346)</f>
        <v>0</v>
      </c>
      <c r="AJ2346" s="18" t="n">
        <f aca="false">IF($K2346="SEM CULTURA",0,$S2346*$H2346)</f>
        <v>0</v>
      </c>
      <c r="AK2346" s="8" t="str">
        <f aca="false">$E2346&amp;"|"&amp;TEXT($AD2346,"0.000000")</f>
        <v>PV 137|0.000000</v>
      </c>
    </row>
    <row r="2347" customFormat="false" ht="15" hidden="false" customHeight="false" outlineLevel="0" collapsed="false">
      <c r="B2347" s="16" t="n">
        <v>32</v>
      </c>
      <c r="C2347" s="17" t="n">
        <f aca="false">DATA_INICIO_SAFRA+($B2347-1)*DIAS_POR_SEMANA</f>
        <v>46482</v>
      </c>
      <c r="D2347" s="17" t="n">
        <f aca="false">$C2347+DIAS_POR_SEMANA-1</f>
        <v>46488</v>
      </c>
      <c r="E2347" s="15" t="s">
        <v>294</v>
      </c>
      <c r="F2347" s="8" t="str">
        <f aca="false">IFERROR(INDEX(CADASTRO_PIVOS!$C$6:$C$41,MATCH($E2347,CADASTRO_PIVOS!$B$6:$B$41,0)),"?")</f>
        <v>RM08</v>
      </c>
      <c r="G2347" s="8" t="str">
        <f aca="false">IFERROR(INDEX(CADASTRO_PIVOS!$D$6:$D$41,MATCH($E2347,CADASTRO_PIVOS!$B$6:$B$41,0)),"?")</f>
        <v>TR08</v>
      </c>
      <c r="H2347" s="20" t="n">
        <f aca="false">IFERROR(INDEX(CADASTRO_PIVOS!$E$6:$E$41,MATCH($E2347,CADASTRO_PIVOS!$B$6:$B$41,0)),0)</f>
        <v>150</v>
      </c>
      <c r="I2347" s="16" t="n">
        <f aca="false">IFERROR(SUMIFS(ROTACAO_RDM!$B$6:$B$71,ROTACAO_RDM!$D$6:$D$71,$E2347,ROTACAO_RDM!$I$6:$I$71,"&lt;="&amp;$C2347+INT(DIAS_POR_SEMANA/2),ROTACAO_RDM!$J$6:$J$71,"&gt;="&amp;$C2347+INT(DIAS_POR_SEMANA/2)),0)</f>
        <v>0</v>
      </c>
      <c r="J2347" s="16" t="n">
        <f aca="false">IFERROR(MATCH($I2347,ROTACAO_RDM!$B$6:$B$71,0),0)</f>
        <v>0</v>
      </c>
      <c r="K2347" s="8" t="str">
        <f aca="false">IF($J2347=0,"SEM CULTURA",INDEX(ROTACAO_RDM!$F$6:$F$71,$J2347))</f>
        <v>SEM CULTURA</v>
      </c>
      <c r="L2347" s="8" t="str">
        <f aca="false">IF($J2347=0,"",INDEX(ROTACAO_RDM!$G$6:$G$71,$J2347))</f>
        <v/>
      </c>
      <c r="M2347" s="17" t="str">
        <f aca="false">IF($J2347=0,"",INDEX(ROTACAO_RDM!$I$6:$I$71,$J2347))</f>
        <v/>
      </c>
      <c r="N2347" s="16" t="n">
        <f aca="false">IF($J2347=0,0,MAX(0,$C2347+INT(DIAS_POR_SEMANA/2)-INDEX(ROTACAO_RDM!$I$6:$I$71,$J2347)))</f>
        <v>0</v>
      </c>
      <c r="O2347" s="19" t="n">
        <f aca="false">IF($J2347=0,0,MIN(1,$N2347/MAX(1,INDEX(ROTACAO_RDM!$K$6:$K$71,$J2347))))</f>
        <v>0</v>
      </c>
      <c r="P2347" s="16" t="n">
        <f aca="false">IF($J2347=0,0,IFERROR(MATCH(INDEX(ROTACAO_RDM!$N$6:$N$71,$J2347),PARAMETROS_CULTURAS!$B$6:$B$28,0),0))</f>
        <v>0</v>
      </c>
      <c r="Q2347" s="8" t="str">
        <f aca="false">IF($P2347=0,"-",IF($O2347&lt;=INDEX(PARAMETROS_CULTURAS!$F$6:$F$28,$P2347),"INICIAL",IF($O2347&lt;=INDEX(PARAMETROS_CULTURAS!$F$6:$F$28,$P2347)+INDEX(PARAMETROS_CULTURAS!$G$6:$G$28,$P2347),"DESENVOLVIMENTO",IF($O2347&lt;=INDEX(PARAMETROS_CULTURAS!$F$6:$F$28,$P2347)+INDEX(PARAMETROS_CULTURAS!$G$6:$G$28,$P2347)+INDEX(PARAMETROS_CULTURAS!$H$6:$H$28,$P2347),"MEDIA","FINAL"))))</f>
        <v>-</v>
      </c>
      <c r="R2347" s="24" t="n">
        <f aca="false">IF($P2347=0,0,IF($O2347&lt;=INDEX(PARAMETROS_CULTURAS!$F$6:$F$28,$P2347),INDEX(PARAMETROS_CULTURAS!$K$6:$K$28,$P2347),IF($O2347&lt;=INDEX(PARAMETROS_CULTURAS!$F$6:$F$28,$P2347)+INDEX(PARAMETROS_CULTURAS!$G$6:$G$28,$P2347),INDEX(PARAMETROS_CULTURAS!$K$6:$K$28,$P2347)+(INDEX(PARAMETROS_CULTURAS!$L$6:$L$28,$P2347)-INDEX(PARAMETROS_CULTURAS!$K$6:$K$28,$P2347))*($O2347-INDEX(PARAMETROS_CULTURAS!$F$6:$F$28,$P2347))/MAX(INDEX(PARAMETROS_CULTURAS!$G$6:$G$28,$P2347),0.0001),IF($O2347&lt;=INDEX(PARAMETROS_CULTURAS!$F$6:$F$28,$P2347)+INDEX(PARAMETROS_CULTURAS!$G$6:$G$28,$P2347)+INDEX(PARAMETROS_CULTURAS!$H$6:$H$28,$P2347),INDEX(PARAMETROS_CULTURAS!$L$6:$L$28,$P2347),INDEX(PARAMETROS_CULTURAS!$L$6:$L$28,$P2347)+(INDEX(PARAMETROS_CULTURAS!$M$6:$M$28,$P2347)-INDEX(PARAMETROS_CULTURAS!$L$6:$L$28,$P2347))*($O2347-INDEX(PARAMETROS_CULTURAS!$F$6:$F$28,$P2347)-INDEX(PARAMETROS_CULTURAS!$G$6:$G$28,$P2347)-INDEX(PARAMETROS_CULTURAS!$H$6:$H$28,$P2347))/MAX(INDEX(PARAMETROS_CULTURAS!$I$6:$I$28,$P2347),0.0001)))))</f>
        <v>0</v>
      </c>
      <c r="S2347" s="18" t="n">
        <f aca="false">IFERROR(INDEX(SEMANAS!$H$6:$H$71,MATCH($B2347,SEMANAS!$B$6:$B$71,0)),0)</f>
        <v>31.5</v>
      </c>
      <c r="T2347" s="18" t="n">
        <f aca="false">$R2347*$S2347</f>
        <v>0</v>
      </c>
      <c r="U2347" s="18" t="n">
        <f aca="false">IFERROR(INDEX(SEMANAS!$I$6:$I$71,MATCH($B2347,SEMANAS!$B$6:$B$71,0)),0)</f>
        <v>16.31</v>
      </c>
      <c r="V2347" s="18" t="n">
        <f aca="false">IFERROR(INDEX(SEMANAS!$J$6:$J$71,MATCH($B2347,SEMANAS!$B$6:$B$71,0)),0)</f>
        <v>13.048</v>
      </c>
      <c r="W2347" s="18" t="n">
        <f aca="false">MAX(0,$T2347-$V2347)</f>
        <v>0</v>
      </c>
      <c r="X2347" s="19" t="n">
        <f aca="false">IFERROR(INDEX(CADASTRO_PIVOS!$K$6:$K$41,MATCH($E2347,CADASTRO_PIVOS!$B$6:$B$41,0)),EFICIENCIA_PADRAO)</f>
        <v>0.85</v>
      </c>
      <c r="Y2347" s="18" t="n">
        <f aca="false">IF($X2347&lt;=0,0,$W2347/$X2347)</f>
        <v>0</v>
      </c>
      <c r="Z2347" s="16" t="n">
        <f aca="false">$Y2347*$H2347*MM_PARA_M3_HA</f>
        <v>0</v>
      </c>
      <c r="AA2347" s="18" t="n">
        <f aca="false">IFERROR(INDEX(CADASTRO_PIVOS!$I$6:$I$41,MATCH($E2347,CADASTRO_PIVOS!$B$6:$B$41,0)),0)</f>
        <v>1071.42857142857</v>
      </c>
      <c r="AB2347" s="18" t="n">
        <f aca="false">IF($Z2347&lt;=0,0,$Z2347/$AA2347)</f>
        <v>0</v>
      </c>
      <c r="AC2347" s="16" t="n">
        <f aca="false">IFERROR(INDEX(SEMANAS!$K$6:$K$71,MATCH($B2347,SEMANAS!$B$6:$B$71,0)),0)</f>
        <v>147</v>
      </c>
      <c r="AD2347" s="19" t="n">
        <f aca="false">IF($AC2347&lt;=0,0,$AB2347/$AC2347)</f>
        <v>0</v>
      </c>
      <c r="AE2347" s="8" t="str">
        <f aca="false">IF($K2347="SEM CULTURA","SEM CULTURA",IF($AA2347&lt;=0,"DADO PENDENTE",IF($AD2347&gt;LIMITE_CRITICO,"INVIAVEL",IF($AD2347&gt;LIMITE_ATENCAO,"CRITICO",IF($AD2347&gt;LIMITE_CONFORTAVEL,"ATENCAO","OK")))))</f>
        <v>SEM CULTURA</v>
      </c>
      <c r="AF2347" s="8" t="str">
        <f aca="false">$B2347&amp;"|"&amp;TEXT($AD2347,"0.000000")</f>
        <v>32|0.000000</v>
      </c>
      <c r="AG2347" s="18" t="n">
        <f aca="false">IF($K2347="SEM CULTURA",0,$T2347*$H2347)</f>
        <v>0</v>
      </c>
      <c r="AH2347" s="18" t="n">
        <f aca="false">IF($K2347="SEM CULTURA",0,$V2347*$H2347)</f>
        <v>0</v>
      </c>
      <c r="AI2347" s="18" t="n">
        <f aca="false">IF($K2347="SEM CULTURA",0,$W2347*$H2347)</f>
        <v>0</v>
      </c>
      <c r="AJ2347" s="18" t="n">
        <f aca="false">IF($K2347="SEM CULTURA",0,$S2347*$H2347)</f>
        <v>0</v>
      </c>
      <c r="AK2347" s="8" t="str">
        <f aca="false">$E2347&amp;"|"&amp;TEXT($AD2347,"0.000000")</f>
        <v>PV 137|0.000000</v>
      </c>
    </row>
    <row r="2348" customFormat="false" ht="15" hidden="false" customHeight="false" outlineLevel="0" collapsed="false">
      <c r="B2348" s="16" t="n">
        <v>33</v>
      </c>
      <c r="C2348" s="17" t="n">
        <f aca="false">DATA_INICIO_SAFRA+($B2348-1)*DIAS_POR_SEMANA</f>
        <v>46489</v>
      </c>
      <c r="D2348" s="17" t="n">
        <f aca="false">$C2348+DIAS_POR_SEMANA-1</f>
        <v>46495</v>
      </c>
      <c r="E2348" s="15" t="s">
        <v>294</v>
      </c>
      <c r="F2348" s="8" t="str">
        <f aca="false">IFERROR(INDEX(CADASTRO_PIVOS!$C$6:$C$41,MATCH($E2348,CADASTRO_PIVOS!$B$6:$B$41,0)),"?")</f>
        <v>RM08</v>
      </c>
      <c r="G2348" s="8" t="str">
        <f aca="false">IFERROR(INDEX(CADASTRO_PIVOS!$D$6:$D$41,MATCH($E2348,CADASTRO_PIVOS!$B$6:$B$41,0)),"?")</f>
        <v>TR08</v>
      </c>
      <c r="H2348" s="20" t="n">
        <f aca="false">IFERROR(INDEX(CADASTRO_PIVOS!$E$6:$E$41,MATCH($E2348,CADASTRO_PIVOS!$B$6:$B$41,0)),0)</f>
        <v>150</v>
      </c>
      <c r="I2348" s="16" t="n">
        <f aca="false">IFERROR(SUMIFS(ROTACAO_RDM!$B$6:$B$71,ROTACAO_RDM!$D$6:$D$71,$E2348,ROTACAO_RDM!$I$6:$I$71,"&lt;="&amp;$C2348+INT(DIAS_POR_SEMANA/2),ROTACAO_RDM!$J$6:$J$71,"&gt;="&amp;$C2348+INT(DIAS_POR_SEMANA/2)),0)</f>
        <v>0</v>
      </c>
      <c r="J2348" s="16" t="n">
        <f aca="false">IFERROR(MATCH($I2348,ROTACAO_RDM!$B$6:$B$71,0),0)</f>
        <v>0</v>
      </c>
      <c r="K2348" s="8" t="str">
        <f aca="false">IF($J2348=0,"SEM CULTURA",INDEX(ROTACAO_RDM!$F$6:$F$71,$J2348))</f>
        <v>SEM CULTURA</v>
      </c>
      <c r="L2348" s="8" t="str">
        <f aca="false">IF($J2348=0,"",INDEX(ROTACAO_RDM!$G$6:$G$71,$J2348))</f>
        <v/>
      </c>
      <c r="M2348" s="17" t="str">
        <f aca="false">IF($J2348=0,"",INDEX(ROTACAO_RDM!$I$6:$I$71,$J2348))</f>
        <v/>
      </c>
      <c r="N2348" s="16" t="n">
        <f aca="false">IF($J2348=0,0,MAX(0,$C2348+INT(DIAS_POR_SEMANA/2)-INDEX(ROTACAO_RDM!$I$6:$I$71,$J2348)))</f>
        <v>0</v>
      </c>
      <c r="O2348" s="19" t="n">
        <f aca="false">IF($J2348=0,0,MIN(1,$N2348/MAX(1,INDEX(ROTACAO_RDM!$K$6:$K$71,$J2348))))</f>
        <v>0</v>
      </c>
      <c r="P2348" s="16" t="n">
        <f aca="false">IF($J2348=0,0,IFERROR(MATCH(INDEX(ROTACAO_RDM!$N$6:$N$71,$J2348),PARAMETROS_CULTURAS!$B$6:$B$28,0),0))</f>
        <v>0</v>
      </c>
      <c r="Q2348" s="8" t="str">
        <f aca="false">IF($P2348=0,"-",IF($O2348&lt;=INDEX(PARAMETROS_CULTURAS!$F$6:$F$28,$P2348),"INICIAL",IF($O2348&lt;=INDEX(PARAMETROS_CULTURAS!$F$6:$F$28,$P2348)+INDEX(PARAMETROS_CULTURAS!$G$6:$G$28,$P2348),"DESENVOLVIMENTO",IF($O2348&lt;=INDEX(PARAMETROS_CULTURAS!$F$6:$F$28,$P2348)+INDEX(PARAMETROS_CULTURAS!$G$6:$G$28,$P2348)+INDEX(PARAMETROS_CULTURAS!$H$6:$H$28,$P2348),"MEDIA","FINAL"))))</f>
        <v>-</v>
      </c>
      <c r="R2348" s="24" t="n">
        <f aca="false">IF($P2348=0,0,IF($O2348&lt;=INDEX(PARAMETROS_CULTURAS!$F$6:$F$28,$P2348),INDEX(PARAMETROS_CULTURAS!$K$6:$K$28,$P2348),IF($O2348&lt;=INDEX(PARAMETROS_CULTURAS!$F$6:$F$28,$P2348)+INDEX(PARAMETROS_CULTURAS!$G$6:$G$28,$P2348),INDEX(PARAMETROS_CULTURAS!$K$6:$K$28,$P2348)+(INDEX(PARAMETROS_CULTURAS!$L$6:$L$28,$P2348)-INDEX(PARAMETROS_CULTURAS!$K$6:$K$28,$P2348))*($O2348-INDEX(PARAMETROS_CULTURAS!$F$6:$F$28,$P2348))/MAX(INDEX(PARAMETROS_CULTURAS!$G$6:$G$28,$P2348),0.0001),IF($O2348&lt;=INDEX(PARAMETROS_CULTURAS!$F$6:$F$28,$P2348)+INDEX(PARAMETROS_CULTURAS!$G$6:$G$28,$P2348)+INDEX(PARAMETROS_CULTURAS!$H$6:$H$28,$P2348),INDEX(PARAMETROS_CULTURAS!$L$6:$L$28,$P2348),INDEX(PARAMETROS_CULTURAS!$L$6:$L$28,$P2348)+(INDEX(PARAMETROS_CULTURAS!$M$6:$M$28,$P2348)-INDEX(PARAMETROS_CULTURAS!$L$6:$L$28,$P2348))*($O2348-INDEX(PARAMETROS_CULTURAS!$F$6:$F$28,$P2348)-INDEX(PARAMETROS_CULTURAS!$G$6:$G$28,$P2348)-INDEX(PARAMETROS_CULTURAS!$H$6:$H$28,$P2348))/MAX(INDEX(PARAMETROS_CULTURAS!$I$6:$I$28,$P2348),0.0001)))))</f>
        <v>0</v>
      </c>
      <c r="S2348" s="18" t="n">
        <f aca="false">IFERROR(INDEX(SEMANAS!$H$6:$H$71,MATCH($B2348,SEMANAS!$B$6:$B$71,0)),0)</f>
        <v>31.5</v>
      </c>
      <c r="T2348" s="18" t="n">
        <f aca="false">$R2348*$S2348</f>
        <v>0</v>
      </c>
      <c r="U2348" s="18" t="n">
        <f aca="false">IFERROR(INDEX(SEMANAS!$I$6:$I$71,MATCH($B2348,SEMANAS!$B$6:$B$71,0)),0)</f>
        <v>16.31</v>
      </c>
      <c r="V2348" s="18" t="n">
        <f aca="false">IFERROR(INDEX(SEMANAS!$J$6:$J$71,MATCH($B2348,SEMANAS!$B$6:$B$71,0)),0)</f>
        <v>13.048</v>
      </c>
      <c r="W2348" s="18" t="n">
        <f aca="false">MAX(0,$T2348-$V2348)</f>
        <v>0</v>
      </c>
      <c r="X2348" s="19" t="n">
        <f aca="false">IFERROR(INDEX(CADASTRO_PIVOS!$K$6:$K$41,MATCH($E2348,CADASTRO_PIVOS!$B$6:$B$41,0)),EFICIENCIA_PADRAO)</f>
        <v>0.85</v>
      </c>
      <c r="Y2348" s="18" t="n">
        <f aca="false">IF($X2348&lt;=0,0,$W2348/$X2348)</f>
        <v>0</v>
      </c>
      <c r="Z2348" s="16" t="n">
        <f aca="false">$Y2348*$H2348*MM_PARA_M3_HA</f>
        <v>0</v>
      </c>
      <c r="AA2348" s="18" t="n">
        <f aca="false">IFERROR(INDEX(CADASTRO_PIVOS!$I$6:$I$41,MATCH($E2348,CADASTRO_PIVOS!$B$6:$B$41,0)),0)</f>
        <v>1071.42857142857</v>
      </c>
      <c r="AB2348" s="18" t="n">
        <f aca="false">IF($Z2348&lt;=0,0,$Z2348/$AA2348)</f>
        <v>0</v>
      </c>
      <c r="AC2348" s="16" t="n">
        <f aca="false">IFERROR(INDEX(SEMANAS!$K$6:$K$71,MATCH($B2348,SEMANAS!$B$6:$B$71,0)),0)</f>
        <v>147</v>
      </c>
      <c r="AD2348" s="19" t="n">
        <f aca="false">IF($AC2348&lt;=0,0,$AB2348/$AC2348)</f>
        <v>0</v>
      </c>
      <c r="AE2348" s="8" t="str">
        <f aca="false">IF($K2348="SEM CULTURA","SEM CULTURA",IF($AA2348&lt;=0,"DADO PENDENTE",IF($AD2348&gt;LIMITE_CRITICO,"INVIAVEL",IF($AD2348&gt;LIMITE_ATENCAO,"CRITICO",IF($AD2348&gt;LIMITE_CONFORTAVEL,"ATENCAO","OK")))))</f>
        <v>SEM CULTURA</v>
      </c>
      <c r="AF2348" s="8" t="str">
        <f aca="false">$B2348&amp;"|"&amp;TEXT($AD2348,"0.000000")</f>
        <v>33|0.000000</v>
      </c>
      <c r="AG2348" s="18" t="n">
        <f aca="false">IF($K2348="SEM CULTURA",0,$T2348*$H2348)</f>
        <v>0</v>
      </c>
      <c r="AH2348" s="18" t="n">
        <f aca="false">IF($K2348="SEM CULTURA",0,$V2348*$H2348)</f>
        <v>0</v>
      </c>
      <c r="AI2348" s="18" t="n">
        <f aca="false">IF($K2348="SEM CULTURA",0,$W2348*$H2348)</f>
        <v>0</v>
      </c>
      <c r="AJ2348" s="18" t="n">
        <f aca="false">IF($K2348="SEM CULTURA",0,$S2348*$H2348)</f>
        <v>0</v>
      </c>
      <c r="AK2348" s="8" t="str">
        <f aca="false">$E2348&amp;"|"&amp;TEXT($AD2348,"0.000000")</f>
        <v>PV 137|0.000000</v>
      </c>
    </row>
    <row r="2349" customFormat="false" ht="15" hidden="false" customHeight="false" outlineLevel="0" collapsed="false">
      <c r="B2349" s="16" t="n">
        <v>34</v>
      </c>
      <c r="C2349" s="17" t="n">
        <f aca="false">DATA_INICIO_SAFRA+($B2349-1)*DIAS_POR_SEMANA</f>
        <v>46496</v>
      </c>
      <c r="D2349" s="17" t="n">
        <f aca="false">$C2349+DIAS_POR_SEMANA-1</f>
        <v>46502</v>
      </c>
      <c r="E2349" s="15" t="s">
        <v>294</v>
      </c>
      <c r="F2349" s="8" t="str">
        <f aca="false">IFERROR(INDEX(CADASTRO_PIVOS!$C$6:$C$41,MATCH($E2349,CADASTRO_PIVOS!$B$6:$B$41,0)),"?")</f>
        <v>RM08</v>
      </c>
      <c r="G2349" s="8" t="str">
        <f aca="false">IFERROR(INDEX(CADASTRO_PIVOS!$D$6:$D$41,MATCH($E2349,CADASTRO_PIVOS!$B$6:$B$41,0)),"?")</f>
        <v>TR08</v>
      </c>
      <c r="H2349" s="20" t="n">
        <f aca="false">IFERROR(INDEX(CADASTRO_PIVOS!$E$6:$E$41,MATCH($E2349,CADASTRO_PIVOS!$B$6:$B$41,0)),0)</f>
        <v>150</v>
      </c>
      <c r="I2349" s="16" t="n">
        <f aca="false">IFERROR(SUMIFS(ROTACAO_RDM!$B$6:$B$71,ROTACAO_RDM!$D$6:$D$71,$E2349,ROTACAO_RDM!$I$6:$I$71,"&lt;="&amp;$C2349+INT(DIAS_POR_SEMANA/2),ROTACAO_RDM!$J$6:$J$71,"&gt;="&amp;$C2349+INT(DIAS_POR_SEMANA/2)),0)</f>
        <v>0</v>
      </c>
      <c r="J2349" s="16" t="n">
        <f aca="false">IFERROR(MATCH($I2349,ROTACAO_RDM!$B$6:$B$71,0),0)</f>
        <v>0</v>
      </c>
      <c r="K2349" s="8" t="str">
        <f aca="false">IF($J2349=0,"SEM CULTURA",INDEX(ROTACAO_RDM!$F$6:$F$71,$J2349))</f>
        <v>SEM CULTURA</v>
      </c>
      <c r="L2349" s="8" t="str">
        <f aca="false">IF($J2349=0,"",INDEX(ROTACAO_RDM!$G$6:$G$71,$J2349))</f>
        <v/>
      </c>
      <c r="M2349" s="17" t="str">
        <f aca="false">IF($J2349=0,"",INDEX(ROTACAO_RDM!$I$6:$I$71,$J2349))</f>
        <v/>
      </c>
      <c r="N2349" s="16" t="n">
        <f aca="false">IF($J2349=0,0,MAX(0,$C2349+INT(DIAS_POR_SEMANA/2)-INDEX(ROTACAO_RDM!$I$6:$I$71,$J2349)))</f>
        <v>0</v>
      </c>
      <c r="O2349" s="19" t="n">
        <f aca="false">IF($J2349=0,0,MIN(1,$N2349/MAX(1,INDEX(ROTACAO_RDM!$K$6:$K$71,$J2349))))</f>
        <v>0</v>
      </c>
      <c r="P2349" s="16" t="n">
        <f aca="false">IF($J2349=0,0,IFERROR(MATCH(INDEX(ROTACAO_RDM!$N$6:$N$71,$J2349),PARAMETROS_CULTURAS!$B$6:$B$28,0),0))</f>
        <v>0</v>
      </c>
      <c r="Q2349" s="8" t="str">
        <f aca="false">IF($P2349=0,"-",IF($O2349&lt;=INDEX(PARAMETROS_CULTURAS!$F$6:$F$28,$P2349),"INICIAL",IF($O2349&lt;=INDEX(PARAMETROS_CULTURAS!$F$6:$F$28,$P2349)+INDEX(PARAMETROS_CULTURAS!$G$6:$G$28,$P2349),"DESENVOLVIMENTO",IF($O2349&lt;=INDEX(PARAMETROS_CULTURAS!$F$6:$F$28,$P2349)+INDEX(PARAMETROS_CULTURAS!$G$6:$G$28,$P2349)+INDEX(PARAMETROS_CULTURAS!$H$6:$H$28,$P2349),"MEDIA","FINAL"))))</f>
        <v>-</v>
      </c>
      <c r="R2349" s="24" t="n">
        <f aca="false">IF($P2349=0,0,IF($O2349&lt;=INDEX(PARAMETROS_CULTURAS!$F$6:$F$28,$P2349),INDEX(PARAMETROS_CULTURAS!$K$6:$K$28,$P2349),IF($O2349&lt;=INDEX(PARAMETROS_CULTURAS!$F$6:$F$28,$P2349)+INDEX(PARAMETROS_CULTURAS!$G$6:$G$28,$P2349),INDEX(PARAMETROS_CULTURAS!$K$6:$K$28,$P2349)+(INDEX(PARAMETROS_CULTURAS!$L$6:$L$28,$P2349)-INDEX(PARAMETROS_CULTURAS!$K$6:$K$28,$P2349))*($O2349-INDEX(PARAMETROS_CULTURAS!$F$6:$F$28,$P2349))/MAX(INDEX(PARAMETROS_CULTURAS!$G$6:$G$28,$P2349),0.0001),IF($O2349&lt;=INDEX(PARAMETROS_CULTURAS!$F$6:$F$28,$P2349)+INDEX(PARAMETROS_CULTURAS!$G$6:$G$28,$P2349)+INDEX(PARAMETROS_CULTURAS!$H$6:$H$28,$P2349),INDEX(PARAMETROS_CULTURAS!$L$6:$L$28,$P2349),INDEX(PARAMETROS_CULTURAS!$L$6:$L$28,$P2349)+(INDEX(PARAMETROS_CULTURAS!$M$6:$M$28,$P2349)-INDEX(PARAMETROS_CULTURAS!$L$6:$L$28,$P2349))*($O2349-INDEX(PARAMETROS_CULTURAS!$F$6:$F$28,$P2349)-INDEX(PARAMETROS_CULTURAS!$G$6:$G$28,$P2349)-INDEX(PARAMETROS_CULTURAS!$H$6:$H$28,$P2349))/MAX(INDEX(PARAMETROS_CULTURAS!$I$6:$I$28,$P2349),0.0001)))))</f>
        <v>0</v>
      </c>
      <c r="S2349" s="18" t="n">
        <f aca="false">IFERROR(INDEX(SEMANAS!$H$6:$H$71,MATCH($B2349,SEMANAS!$B$6:$B$71,0)),0)</f>
        <v>31.5</v>
      </c>
      <c r="T2349" s="18" t="n">
        <f aca="false">$R2349*$S2349</f>
        <v>0</v>
      </c>
      <c r="U2349" s="18" t="n">
        <f aca="false">IFERROR(INDEX(SEMANAS!$I$6:$I$71,MATCH($B2349,SEMANAS!$B$6:$B$71,0)),0)</f>
        <v>16.31</v>
      </c>
      <c r="V2349" s="18" t="n">
        <f aca="false">IFERROR(INDEX(SEMANAS!$J$6:$J$71,MATCH($B2349,SEMANAS!$B$6:$B$71,0)),0)</f>
        <v>13.048</v>
      </c>
      <c r="W2349" s="18" t="n">
        <f aca="false">MAX(0,$T2349-$V2349)</f>
        <v>0</v>
      </c>
      <c r="X2349" s="19" t="n">
        <f aca="false">IFERROR(INDEX(CADASTRO_PIVOS!$K$6:$K$41,MATCH($E2349,CADASTRO_PIVOS!$B$6:$B$41,0)),EFICIENCIA_PADRAO)</f>
        <v>0.85</v>
      </c>
      <c r="Y2349" s="18" t="n">
        <f aca="false">IF($X2349&lt;=0,0,$W2349/$X2349)</f>
        <v>0</v>
      </c>
      <c r="Z2349" s="16" t="n">
        <f aca="false">$Y2349*$H2349*MM_PARA_M3_HA</f>
        <v>0</v>
      </c>
      <c r="AA2349" s="18" t="n">
        <f aca="false">IFERROR(INDEX(CADASTRO_PIVOS!$I$6:$I$41,MATCH($E2349,CADASTRO_PIVOS!$B$6:$B$41,0)),0)</f>
        <v>1071.42857142857</v>
      </c>
      <c r="AB2349" s="18" t="n">
        <f aca="false">IF($Z2349&lt;=0,0,$Z2349/$AA2349)</f>
        <v>0</v>
      </c>
      <c r="AC2349" s="16" t="n">
        <f aca="false">IFERROR(INDEX(SEMANAS!$K$6:$K$71,MATCH($B2349,SEMANAS!$B$6:$B$71,0)),0)</f>
        <v>147</v>
      </c>
      <c r="AD2349" s="19" t="n">
        <f aca="false">IF($AC2349&lt;=0,0,$AB2349/$AC2349)</f>
        <v>0</v>
      </c>
      <c r="AE2349" s="8" t="str">
        <f aca="false">IF($K2349="SEM CULTURA","SEM CULTURA",IF($AA2349&lt;=0,"DADO PENDENTE",IF($AD2349&gt;LIMITE_CRITICO,"INVIAVEL",IF($AD2349&gt;LIMITE_ATENCAO,"CRITICO",IF($AD2349&gt;LIMITE_CONFORTAVEL,"ATENCAO","OK")))))</f>
        <v>SEM CULTURA</v>
      </c>
      <c r="AF2349" s="8" t="str">
        <f aca="false">$B2349&amp;"|"&amp;TEXT($AD2349,"0.000000")</f>
        <v>34|0.000000</v>
      </c>
      <c r="AG2349" s="18" t="n">
        <f aca="false">IF($K2349="SEM CULTURA",0,$T2349*$H2349)</f>
        <v>0</v>
      </c>
      <c r="AH2349" s="18" t="n">
        <f aca="false">IF($K2349="SEM CULTURA",0,$V2349*$H2349)</f>
        <v>0</v>
      </c>
      <c r="AI2349" s="18" t="n">
        <f aca="false">IF($K2349="SEM CULTURA",0,$W2349*$H2349)</f>
        <v>0</v>
      </c>
      <c r="AJ2349" s="18" t="n">
        <f aca="false">IF($K2349="SEM CULTURA",0,$S2349*$H2349)</f>
        <v>0</v>
      </c>
      <c r="AK2349" s="8" t="str">
        <f aca="false">$E2349&amp;"|"&amp;TEXT($AD2349,"0.000000")</f>
        <v>PV 137|0.000000</v>
      </c>
    </row>
    <row r="2350" customFormat="false" ht="15" hidden="false" customHeight="false" outlineLevel="0" collapsed="false">
      <c r="B2350" s="16" t="n">
        <v>35</v>
      </c>
      <c r="C2350" s="17" t="n">
        <f aca="false">DATA_INICIO_SAFRA+($B2350-1)*DIAS_POR_SEMANA</f>
        <v>46503</v>
      </c>
      <c r="D2350" s="17" t="n">
        <f aca="false">$C2350+DIAS_POR_SEMANA-1</f>
        <v>46509</v>
      </c>
      <c r="E2350" s="15" t="s">
        <v>294</v>
      </c>
      <c r="F2350" s="8" t="str">
        <f aca="false">IFERROR(INDEX(CADASTRO_PIVOS!$C$6:$C$41,MATCH($E2350,CADASTRO_PIVOS!$B$6:$B$41,0)),"?")</f>
        <v>RM08</v>
      </c>
      <c r="G2350" s="8" t="str">
        <f aca="false">IFERROR(INDEX(CADASTRO_PIVOS!$D$6:$D$41,MATCH($E2350,CADASTRO_PIVOS!$B$6:$B$41,0)),"?")</f>
        <v>TR08</v>
      </c>
      <c r="H2350" s="20" t="n">
        <f aca="false">IFERROR(INDEX(CADASTRO_PIVOS!$E$6:$E$41,MATCH($E2350,CADASTRO_PIVOS!$B$6:$B$41,0)),0)</f>
        <v>150</v>
      </c>
      <c r="I2350" s="16" t="n">
        <f aca="false">IFERROR(SUMIFS(ROTACAO_RDM!$B$6:$B$71,ROTACAO_RDM!$D$6:$D$71,$E2350,ROTACAO_RDM!$I$6:$I$71,"&lt;="&amp;$C2350+INT(DIAS_POR_SEMANA/2),ROTACAO_RDM!$J$6:$J$71,"&gt;="&amp;$C2350+INT(DIAS_POR_SEMANA/2)),0)</f>
        <v>0</v>
      </c>
      <c r="J2350" s="16" t="n">
        <f aca="false">IFERROR(MATCH($I2350,ROTACAO_RDM!$B$6:$B$71,0),0)</f>
        <v>0</v>
      </c>
      <c r="K2350" s="8" t="str">
        <f aca="false">IF($J2350=0,"SEM CULTURA",INDEX(ROTACAO_RDM!$F$6:$F$71,$J2350))</f>
        <v>SEM CULTURA</v>
      </c>
      <c r="L2350" s="8" t="str">
        <f aca="false">IF($J2350=0,"",INDEX(ROTACAO_RDM!$G$6:$G$71,$J2350))</f>
        <v/>
      </c>
      <c r="M2350" s="17" t="str">
        <f aca="false">IF($J2350=0,"",INDEX(ROTACAO_RDM!$I$6:$I$71,$J2350))</f>
        <v/>
      </c>
      <c r="N2350" s="16" t="n">
        <f aca="false">IF($J2350=0,0,MAX(0,$C2350+INT(DIAS_POR_SEMANA/2)-INDEX(ROTACAO_RDM!$I$6:$I$71,$J2350)))</f>
        <v>0</v>
      </c>
      <c r="O2350" s="19" t="n">
        <f aca="false">IF($J2350=0,0,MIN(1,$N2350/MAX(1,INDEX(ROTACAO_RDM!$K$6:$K$71,$J2350))))</f>
        <v>0</v>
      </c>
      <c r="P2350" s="16" t="n">
        <f aca="false">IF($J2350=0,0,IFERROR(MATCH(INDEX(ROTACAO_RDM!$N$6:$N$71,$J2350),PARAMETROS_CULTURAS!$B$6:$B$28,0),0))</f>
        <v>0</v>
      </c>
      <c r="Q2350" s="8" t="str">
        <f aca="false">IF($P2350=0,"-",IF($O2350&lt;=INDEX(PARAMETROS_CULTURAS!$F$6:$F$28,$P2350),"INICIAL",IF($O2350&lt;=INDEX(PARAMETROS_CULTURAS!$F$6:$F$28,$P2350)+INDEX(PARAMETROS_CULTURAS!$G$6:$G$28,$P2350),"DESENVOLVIMENTO",IF($O2350&lt;=INDEX(PARAMETROS_CULTURAS!$F$6:$F$28,$P2350)+INDEX(PARAMETROS_CULTURAS!$G$6:$G$28,$P2350)+INDEX(PARAMETROS_CULTURAS!$H$6:$H$28,$P2350),"MEDIA","FINAL"))))</f>
        <v>-</v>
      </c>
      <c r="R2350" s="24" t="n">
        <f aca="false">IF($P2350=0,0,IF($O2350&lt;=INDEX(PARAMETROS_CULTURAS!$F$6:$F$28,$P2350),INDEX(PARAMETROS_CULTURAS!$K$6:$K$28,$P2350),IF($O2350&lt;=INDEX(PARAMETROS_CULTURAS!$F$6:$F$28,$P2350)+INDEX(PARAMETROS_CULTURAS!$G$6:$G$28,$P2350),INDEX(PARAMETROS_CULTURAS!$K$6:$K$28,$P2350)+(INDEX(PARAMETROS_CULTURAS!$L$6:$L$28,$P2350)-INDEX(PARAMETROS_CULTURAS!$K$6:$K$28,$P2350))*($O2350-INDEX(PARAMETROS_CULTURAS!$F$6:$F$28,$P2350))/MAX(INDEX(PARAMETROS_CULTURAS!$G$6:$G$28,$P2350),0.0001),IF($O2350&lt;=INDEX(PARAMETROS_CULTURAS!$F$6:$F$28,$P2350)+INDEX(PARAMETROS_CULTURAS!$G$6:$G$28,$P2350)+INDEX(PARAMETROS_CULTURAS!$H$6:$H$28,$P2350),INDEX(PARAMETROS_CULTURAS!$L$6:$L$28,$P2350),INDEX(PARAMETROS_CULTURAS!$L$6:$L$28,$P2350)+(INDEX(PARAMETROS_CULTURAS!$M$6:$M$28,$P2350)-INDEX(PARAMETROS_CULTURAS!$L$6:$L$28,$P2350))*($O2350-INDEX(PARAMETROS_CULTURAS!$F$6:$F$28,$P2350)-INDEX(PARAMETROS_CULTURAS!$G$6:$G$28,$P2350)-INDEX(PARAMETROS_CULTURAS!$H$6:$H$28,$P2350))/MAX(INDEX(PARAMETROS_CULTURAS!$I$6:$I$28,$P2350),0.0001)))))</f>
        <v>0</v>
      </c>
      <c r="S2350" s="18" t="n">
        <f aca="false">IFERROR(INDEX(SEMANAS!$H$6:$H$71,MATCH($B2350,SEMANAS!$B$6:$B$71,0)),0)</f>
        <v>30.9</v>
      </c>
      <c r="T2350" s="18" t="n">
        <f aca="false">$R2350*$S2350</f>
        <v>0</v>
      </c>
      <c r="U2350" s="18" t="n">
        <f aca="false">IFERROR(INDEX(SEMANAS!$I$6:$I$71,MATCH($B2350,SEMANAS!$B$6:$B$71,0)),0)</f>
        <v>12.61</v>
      </c>
      <c r="V2350" s="18" t="n">
        <f aca="false">IFERROR(INDEX(SEMANAS!$J$6:$J$71,MATCH($B2350,SEMANAS!$B$6:$B$71,0)),0)</f>
        <v>10.088</v>
      </c>
      <c r="W2350" s="18" t="n">
        <f aca="false">MAX(0,$T2350-$V2350)</f>
        <v>0</v>
      </c>
      <c r="X2350" s="19" t="n">
        <f aca="false">IFERROR(INDEX(CADASTRO_PIVOS!$K$6:$K$41,MATCH($E2350,CADASTRO_PIVOS!$B$6:$B$41,0)),EFICIENCIA_PADRAO)</f>
        <v>0.85</v>
      </c>
      <c r="Y2350" s="18" t="n">
        <f aca="false">IF($X2350&lt;=0,0,$W2350/$X2350)</f>
        <v>0</v>
      </c>
      <c r="Z2350" s="16" t="n">
        <f aca="false">$Y2350*$H2350*MM_PARA_M3_HA</f>
        <v>0</v>
      </c>
      <c r="AA2350" s="18" t="n">
        <f aca="false">IFERROR(INDEX(CADASTRO_PIVOS!$I$6:$I$41,MATCH($E2350,CADASTRO_PIVOS!$B$6:$B$41,0)),0)</f>
        <v>1071.42857142857</v>
      </c>
      <c r="AB2350" s="18" t="n">
        <f aca="false">IF($Z2350&lt;=0,0,$Z2350/$AA2350)</f>
        <v>0</v>
      </c>
      <c r="AC2350" s="16" t="n">
        <f aca="false">IFERROR(INDEX(SEMANAS!$K$6:$K$71,MATCH($B2350,SEMANAS!$B$6:$B$71,0)),0)</f>
        <v>147</v>
      </c>
      <c r="AD2350" s="19" t="n">
        <f aca="false">IF($AC2350&lt;=0,0,$AB2350/$AC2350)</f>
        <v>0</v>
      </c>
      <c r="AE2350" s="8" t="str">
        <f aca="false">IF($K2350="SEM CULTURA","SEM CULTURA",IF($AA2350&lt;=0,"DADO PENDENTE",IF($AD2350&gt;LIMITE_CRITICO,"INVIAVEL",IF($AD2350&gt;LIMITE_ATENCAO,"CRITICO",IF($AD2350&gt;LIMITE_CONFORTAVEL,"ATENCAO","OK")))))</f>
        <v>SEM CULTURA</v>
      </c>
      <c r="AF2350" s="8" t="str">
        <f aca="false">$B2350&amp;"|"&amp;TEXT($AD2350,"0.000000")</f>
        <v>35|0.000000</v>
      </c>
      <c r="AG2350" s="18" t="n">
        <f aca="false">IF($K2350="SEM CULTURA",0,$T2350*$H2350)</f>
        <v>0</v>
      </c>
      <c r="AH2350" s="18" t="n">
        <f aca="false">IF($K2350="SEM CULTURA",0,$V2350*$H2350)</f>
        <v>0</v>
      </c>
      <c r="AI2350" s="18" t="n">
        <f aca="false">IF($K2350="SEM CULTURA",0,$W2350*$H2350)</f>
        <v>0</v>
      </c>
      <c r="AJ2350" s="18" t="n">
        <f aca="false">IF($K2350="SEM CULTURA",0,$S2350*$H2350)</f>
        <v>0</v>
      </c>
      <c r="AK2350" s="8" t="str">
        <f aca="false">$E2350&amp;"|"&amp;TEXT($AD2350,"0.000000")</f>
        <v>PV 137|0.000000</v>
      </c>
    </row>
    <row r="2351" customFormat="false" ht="15" hidden="false" customHeight="false" outlineLevel="0" collapsed="false">
      <c r="B2351" s="16" t="n">
        <v>36</v>
      </c>
      <c r="C2351" s="17" t="n">
        <f aca="false">DATA_INICIO_SAFRA+($B2351-1)*DIAS_POR_SEMANA</f>
        <v>46510</v>
      </c>
      <c r="D2351" s="17" t="n">
        <f aca="false">$C2351+DIAS_POR_SEMANA-1</f>
        <v>46516</v>
      </c>
      <c r="E2351" s="15" t="s">
        <v>294</v>
      </c>
      <c r="F2351" s="8" t="str">
        <f aca="false">IFERROR(INDEX(CADASTRO_PIVOS!$C$6:$C$41,MATCH($E2351,CADASTRO_PIVOS!$B$6:$B$41,0)),"?")</f>
        <v>RM08</v>
      </c>
      <c r="G2351" s="8" t="str">
        <f aca="false">IFERROR(INDEX(CADASTRO_PIVOS!$D$6:$D$41,MATCH($E2351,CADASTRO_PIVOS!$B$6:$B$41,0)),"?")</f>
        <v>TR08</v>
      </c>
      <c r="H2351" s="20" t="n">
        <f aca="false">IFERROR(INDEX(CADASTRO_PIVOS!$E$6:$E$41,MATCH($E2351,CADASTRO_PIVOS!$B$6:$B$41,0)),0)</f>
        <v>150</v>
      </c>
      <c r="I2351" s="16" t="n">
        <f aca="false">IFERROR(SUMIFS(ROTACAO_RDM!$B$6:$B$71,ROTACAO_RDM!$D$6:$D$71,$E2351,ROTACAO_RDM!$I$6:$I$71,"&lt;="&amp;$C2351+INT(DIAS_POR_SEMANA/2),ROTACAO_RDM!$J$6:$J$71,"&gt;="&amp;$C2351+INT(DIAS_POR_SEMANA/2)),0)</f>
        <v>0</v>
      </c>
      <c r="J2351" s="16" t="n">
        <f aca="false">IFERROR(MATCH($I2351,ROTACAO_RDM!$B$6:$B$71,0),0)</f>
        <v>0</v>
      </c>
      <c r="K2351" s="8" t="str">
        <f aca="false">IF($J2351=0,"SEM CULTURA",INDEX(ROTACAO_RDM!$F$6:$F$71,$J2351))</f>
        <v>SEM CULTURA</v>
      </c>
      <c r="L2351" s="8" t="str">
        <f aca="false">IF($J2351=0,"",INDEX(ROTACAO_RDM!$G$6:$G$71,$J2351))</f>
        <v/>
      </c>
      <c r="M2351" s="17" t="str">
        <f aca="false">IF($J2351=0,"",INDEX(ROTACAO_RDM!$I$6:$I$71,$J2351))</f>
        <v/>
      </c>
      <c r="N2351" s="16" t="n">
        <f aca="false">IF($J2351=0,0,MAX(0,$C2351+INT(DIAS_POR_SEMANA/2)-INDEX(ROTACAO_RDM!$I$6:$I$71,$J2351)))</f>
        <v>0</v>
      </c>
      <c r="O2351" s="19" t="n">
        <f aca="false">IF($J2351=0,0,MIN(1,$N2351/MAX(1,INDEX(ROTACAO_RDM!$K$6:$K$71,$J2351))))</f>
        <v>0</v>
      </c>
      <c r="P2351" s="16" t="n">
        <f aca="false">IF($J2351=0,0,IFERROR(MATCH(INDEX(ROTACAO_RDM!$N$6:$N$71,$J2351),PARAMETROS_CULTURAS!$B$6:$B$28,0),0))</f>
        <v>0</v>
      </c>
      <c r="Q2351" s="8" t="str">
        <f aca="false">IF($P2351=0,"-",IF($O2351&lt;=INDEX(PARAMETROS_CULTURAS!$F$6:$F$28,$P2351),"INICIAL",IF($O2351&lt;=INDEX(PARAMETROS_CULTURAS!$F$6:$F$28,$P2351)+INDEX(PARAMETROS_CULTURAS!$G$6:$G$28,$P2351),"DESENVOLVIMENTO",IF($O2351&lt;=INDEX(PARAMETROS_CULTURAS!$F$6:$F$28,$P2351)+INDEX(PARAMETROS_CULTURAS!$G$6:$G$28,$P2351)+INDEX(PARAMETROS_CULTURAS!$H$6:$H$28,$P2351),"MEDIA","FINAL"))))</f>
        <v>-</v>
      </c>
      <c r="R2351" s="24" t="n">
        <f aca="false">IF($P2351=0,0,IF($O2351&lt;=INDEX(PARAMETROS_CULTURAS!$F$6:$F$28,$P2351),INDEX(PARAMETROS_CULTURAS!$K$6:$K$28,$P2351),IF($O2351&lt;=INDEX(PARAMETROS_CULTURAS!$F$6:$F$28,$P2351)+INDEX(PARAMETROS_CULTURAS!$G$6:$G$28,$P2351),INDEX(PARAMETROS_CULTURAS!$K$6:$K$28,$P2351)+(INDEX(PARAMETROS_CULTURAS!$L$6:$L$28,$P2351)-INDEX(PARAMETROS_CULTURAS!$K$6:$K$28,$P2351))*($O2351-INDEX(PARAMETROS_CULTURAS!$F$6:$F$28,$P2351))/MAX(INDEX(PARAMETROS_CULTURAS!$G$6:$G$28,$P2351),0.0001),IF($O2351&lt;=INDEX(PARAMETROS_CULTURAS!$F$6:$F$28,$P2351)+INDEX(PARAMETROS_CULTURAS!$G$6:$G$28,$P2351)+INDEX(PARAMETROS_CULTURAS!$H$6:$H$28,$P2351),INDEX(PARAMETROS_CULTURAS!$L$6:$L$28,$P2351),INDEX(PARAMETROS_CULTURAS!$L$6:$L$28,$P2351)+(INDEX(PARAMETROS_CULTURAS!$M$6:$M$28,$P2351)-INDEX(PARAMETROS_CULTURAS!$L$6:$L$28,$P2351))*($O2351-INDEX(PARAMETROS_CULTURAS!$F$6:$F$28,$P2351)-INDEX(PARAMETROS_CULTURAS!$G$6:$G$28,$P2351)-INDEX(PARAMETROS_CULTURAS!$H$6:$H$28,$P2351))/MAX(INDEX(PARAMETROS_CULTURAS!$I$6:$I$28,$P2351),0.0001)))))</f>
        <v>0</v>
      </c>
      <c r="S2351" s="18" t="n">
        <f aca="false">IFERROR(INDEX(SEMANAS!$H$6:$H$71,MATCH($B2351,SEMANAS!$B$6:$B$71,0)),0)</f>
        <v>29.4</v>
      </c>
      <c r="T2351" s="18" t="n">
        <f aca="false">$R2351*$S2351</f>
        <v>0</v>
      </c>
      <c r="U2351" s="18" t="n">
        <f aca="false">IFERROR(INDEX(SEMANAS!$I$6:$I$71,MATCH($B2351,SEMANAS!$B$6:$B$71,0)),0)</f>
        <v>3.36</v>
      </c>
      <c r="V2351" s="18" t="n">
        <f aca="false">IFERROR(INDEX(SEMANAS!$J$6:$J$71,MATCH($B2351,SEMANAS!$B$6:$B$71,0)),0)</f>
        <v>2.688</v>
      </c>
      <c r="W2351" s="18" t="n">
        <f aca="false">MAX(0,$T2351-$V2351)</f>
        <v>0</v>
      </c>
      <c r="X2351" s="19" t="n">
        <f aca="false">IFERROR(INDEX(CADASTRO_PIVOS!$K$6:$K$41,MATCH($E2351,CADASTRO_PIVOS!$B$6:$B$41,0)),EFICIENCIA_PADRAO)</f>
        <v>0.85</v>
      </c>
      <c r="Y2351" s="18" t="n">
        <f aca="false">IF($X2351&lt;=0,0,$W2351/$X2351)</f>
        <v>0</v>
      </c>
      <c r="Z2351" s="16" t="n">
        <f aca="false">$Y2351*$H2351*MM_PARA_M3_HA</f>
        <v>0</v>
      </c>
      <c r="AA2351" s="18" t="n">
        <f aca="false">IFERROR(INDEX(CADASTRO_PIVOS!$I$6:$I$41,MATCH($E2351,CADASTRO_PIVOS!$B$6:$B$41,0)),0)</f>
        <v>1071.42857142857</v>
      </c>
      <c r="AB2351" s="18" t="n">
        <f aca="false">IF($Z2351&lt;=0,0,$Z2351/$AA2351)</f>
        <v>0</v>
      </c>
      <c r="AC2351" s="16" t="n">
        <f aca="false">IFERROR(INDEX(SEMANAS!$K$6:$K$71,MATCH($B2351,SEMANAS!$B$6:$B$71,0)),0)</f>
        <v>147</v>
      </c>
      <c r="AD2351" s="19" t="n">
        <f aca="false">IF($AC2351&lt;=0,0,$AB2351/$AC2351)</f>
        <v>0</v>
      </c>
      <c r="AE2351" s="8" t="str">
        <f aca="false">IF($K2351="SEM CULTURA","SEM CULTURA",IF($AA2351&lt;=0,"DADO PENDENTE",IF($AD2351&gt;LIMITE_CRITICO,"INVIAVEL",IF($AD2351&gt;LIMITE_ATENCAO,"CRITICO",IF($AD2351&gt;LIMITE_CONFORTAVEL,"ATENCAO","OK")))))</f>
        <v>SEM CULTURA</v>
      </c>
      <c r="AF2351" s="8" t="str">
        <f aca="false">$B2351&amp;"|"&amp;TEXT($AD2351,"0.000000")</f>
        <v>36|0.000000</v>
      </c>
      <c r="AG2351" s="18" t="n">
        <f aca="false">IF($K2351="SEM CULTURA",0,$T2351*$H2351)</f>
        <v>0</v>
      </c>
      <c r="AH2351" s="18" t="n">
        <f aca="false">IF($K2351="SEM CULTURA",0,$V2351*$H2351)</f>
        <v>0</v>
      </c>
      <c r="AI2351" s="18" t="n">
        <f aca="false">IF($K2351="SEM CULTURA",0,$W2351*$H2351)</f>
        <v>0</v>
      </c>
      <c r="AJ2351" s="18" t="n">
        <f aca="false">IF($K2351="SEM CULTURA",0,$S2351*$H2351)</f>
        <v>0</v>
      </c>
      <c r="AK2351" s="8" t="str">
        <f aca="false">$E2351&amp;"|"&amp;TEXT($AD2351,"0.000000")</f>
        <v>PV 137|0.000000</v>
      </c>
    </row>
    <row r="2352" customFormat="false" ht="15" hidden="false" customHeight="false" outlineLevel="0" collapsed="false">
      <c r="B2352" s="16" t="n">
        <v>37</v>
      </c>
      <c r="C2352" s="17" t="n">
        <f aca="false">DATA_INICIO_SAFRA+($B2352-1)*DIAS_POR_SEMANA</f>
        <v>46517</v>
      </c>
      <c r="D2352" s="17" t="n">
        <f aca="false">$C2352+DIAS_POR_SEMANA-1</f>
        <v>46523</v>
      </c>
      <c r="E2352" s="15" t="s">
        <v>294</v>
      </c>
      <c r="F2352" s="8" t="str">
        <f aca="false">IFERROR(INDEX(CADASTRO_PIVOS!$C$6:$C$41,MATCH($E2352,CADASTRO_PIVOS!$B$6:$B$41,0)),"?")</f>
        <v>RM08</v>
      </c>
      <c r="G2352" s="8" t="str">
        <f aca="false">IFERROR(INDEX(CADASTRO_PIVOS!$D$6:$D$41,MATCH($E2352,CADASTRO_PIVOS!$B$6:$B$41,0)),"?")</f>
        <v>TR08</v>
      </c>
      <c r="H2352" s="20" t="n">
        <f aca="false">IFERROR(INDEX(CADASTRO_PIVOS!$E$6:$E$41,MATCH($E2352,CADASTRO_PIVOS!$B$6:$B$41,0)),0)</f>
        <v>150</v>
      </c>
      <c r="I2352" s="16" t="n">
        <f aca="false">IFERROR(SUMIFS(ROTACAO_RDM!$B$6:$B$71,ROTACAO_RDM!$D$6:$D$71,$E2352,ROTACAO_RDM!$I$6:$I$71,"&lt;="&amp;$C2352+INT(DIAS_POR_SEMANA/2),ROTACAO_RDM!$J$6:$J$71,"&gt;="&amp;$C2352+INT(DIAS_POR_SEMANA/2)),0)</f>
        <v>0</v>
      </c>
      <c r="J2352" s="16" t="n">
        <f aca="false">IFERROR(MATCH($I2352,ROTACAO_RDM!$B$6:$B$71,0),0)</f>
        <v>0</v>
      </c>
      <c r="K2352" s="8" t="str">
        <f aca="false">IF($J2352=0,"SEM CULTURA",INDEX(ROTACAO_RDM!$F$6:$F$71,$J2352))</f>
        <v>SEM CULTURA</v>
      </c>
      <c r="L2352" s="8" t="str">
        <f aca="false">IF($J2352=0,"",INDEX(ROTACAO_RDM!$G$6:$G$71,$J2352))</f>
        <v/>
      </c>
      <c r="M2352" s="17" t="str">
        <f aca="false">IF($J2352=0,"",INDEX(ROTACAO_RDM!$I$6:$I$71,$J2352))</f>
        <v/>
      </c>
      <c r="N2352" s="16" t="n">
        <f aca="false">IF($J2352=0,0,MAX(0,$C2352+INT(DIAS_POR_SEMANA/2)-INDEX(ROTACAO_RDM!$I$6:$I$71,$J2352)))</f>
        <v>0</v>
      </c>
      <c r="O2352" s="19" t="n">
        <f aca="false">IF($J2352=0,0,MIN(1,$N2352/MAX(1,INDEX(ROTACAO_RDM!$K$6:$K$71,$J2352))))</f>
        <v>0</v>
      </c>
      <c r="P2352" s="16" t="n">
        <f aca="false">IF($J2352=0,0,IFERROR(MATCH(INDEX(ROTACAO_RDM!$N$6:$N$71,$J2352),PARAMETROS_CULTURAS!$B$6:$B$28,0),0))</f>
        <v>0</v>
      </c>
      <c r="Q2352" s="8" t="str">
        <f aca="false">IF($P2352=0,"-",IF($O2352&lt;=INDEX(PARAMETROS_CULTURAS!$F$6:$F$28,$P2352),"INICIAL",IF($O2352&lt;=INDEX(PARAMETROS_CULTURAS!$F$6:$F$28,$P2352)+INDEX(PARAMETROS_CULTURAS!$G$6:$G$28,$P2352),"DESENVOLVIMENTO",IF($O2352&lt;=INDEX(PARAMETROS_CULTURAS!$F$6:$F$28,$P2352)+INDEX(PARAMETROS_CULTURAS!$G$6:$G$28,$P2352)+INDEX(PARAMETROS_CULTURAS!$H$6:$H$28,$P2352),"MEDIA","FINAL"))))</f>
        <v>-</v>
      </c>
      <c r="R2352" s="24" t="n">
        <f aca="false">IF($P2352=0,0,IF($O2352&lt;=INDEX(PARAMETROS_CULTURAS!$F$6:$F$28,$P2352),INDEX(PARAMETROS_CULTURAS!$K$6:$K$28,$P2352),IF($O2352&lt;=INDEX(PARAMETROS_CULTURAS!$F$6:$F$28,$P2352)+INDEX(PARAMETROS_CULTURAS!$G$6:$G$28,$P2352),INDEX(PARAMETROS_CULTURAS!$K$6:$K$28,$P2352)+(INDEX(PARAMETROS_CULTURAS!$L$6:$L$28,$P2352)-INDEX(PARAMETROS_CULTURAS!$K$6:$K$28,$P2352))*($O2352-INDEX(PARAMETROS_CULTURAS!$F$6:$F$28,$P2352))/MAX(INDEX(PARAMETROS_CULTURAS!$G$6:$G$28,$P2352),0.0001),IF($O2352&lt;=INDEX(PARAMETROS_CULTURAS!$F$6:$F$28,$P2352)+INDEX(PARAMETROS_CULTURAS!$G$6:$G$28,$P2352)+INDEX(PARAMETROS_CULTURAS!$H$6:$H$28,$P2352),INDEX(PARAMETROS_CULTURAS!$L$6:$L$28,$P2352),INDEX(PARAMETROS_CULTURAS!$L$6:$L$28,$P2352)+(INDEX(PARAMETROS_CULTURAS!$M$6:$M$28,$P2352)-INDEX(PARAMETROS_CULTURAS!$L$6:$L$28,$P2352))*($O2352-INDEX(PARAMETROS_CULTURAS!$F$6:$F$28,$P2352)-INDEX(PARAMETROS_CULTURAS!$G$6:$G$28,$P2352)-INDEX(PARAMETROS_CULTURAS!$H$6:$H$28,$P2352))/MAX(INDEX(PARAMETROS_CULTURAS!$I$6:$I$28,$P2352),0.0001)))))</f>
        <v>0</v>
      </c>
      <c r="S2352" s="18" t="n">
        <f aca="false">IFERROR(INDEX(SEMANAS!$H$6:$H$71,MATCH($B2352,SEMANAS!$B$6:$B$71,0)),0)</f>
        <v>29.4</v>
      </c>
      <c r="T2352" s="18" t="n">
        <f aca="false">$R2352*$S2352</f>
        <v>0</v>
      </c>
      <c r="U2352" s="18" t="n">
        <f aca="false">IFERROR(INDEX(SEMANAS!$I$6:$I$71,MATCH($B2352,SEMANAS!$B$6:$B$71,0)),0)</f>
        <v>3.36</v>
      </c>
      <c r="V2352" s="18" t="n">
        <f aca="false">IFERROR(INDEX(SEMANAS!$J$6:$J$71,MATCH($B2352,SEMANAS!$B$6:$B$71,0)),0)</f>
        <v>2.688</v>
      </c>
      <c r="W2352" s="18" t="n">
        <f aca="false">MAX(0,$T2352-$V2352)</f>
        <v>0</v>
      </c>
      <c r="X2352" s="19" t="n">
        <f aca="false">IFERROR(INDEX(CADASTRO_PIVOS!$K$6:$K$41,MATCH($E2352,CADASTRO_PIVOS!$B$6:$B$41,0)),EFICIENCIA_PADRAO)</f>
        <v>0.85</v>
      </c>
      <c r="Y2352" s="18" t="n">
        <f aca="false">IF($X2352&lt;=0,0,$W2352/$X2352)</f>
        <v>0</v>
      </c>
      <c r="Z2352" s="16" t="n">
        <f aca="false">$Y2352*$H2352*MM_PARA_M3_HA</f>
        <v>0</v>
      </c>
      <c r="AA2352" s="18" t="n">
        <f aca="false">IFERROR(INDEX(CADASTRO_PIVOS!$I$6:$I$41,MATCH($E2352,CADASTRO_PIVOS!$B$6:$B$41,0)),0)</f>
        <v>1071.42857142857</v>
      </c>
      <c r="AB2352" s="18" t="n">
        <f aca="false">IF($Z2352&lt;=0,0,$Z2352/$AA2352)</f>
        <v>0</v>
      </c>
      <c r="AC2352" s="16" t="n">
        <f aca="false">IFERROR(INDEX(SEMANAS!$K$6:$K$71,MATCH($B2352,SEMANAS!$B$6:$B$71,0)),0)</f>
        <v>147</v>
      </c>
      <c r="AD2352" s="19" t="n">
        <f aca="false">IF($AC2352&lt;=0,0,$AB2352/$AC2352)</f>
        <v>0</v>
      </c>
      <c r="AE2352" s="8" t="str">
        <f aca="false">IF($K2352="SEM CULTURA","SEM CULTURA",IF($AA2352&lt;=0,"DADO PENDENTE",IF($AD2352&gt;LIMITE_CRITICO,"INVIAVEL",IF($AD2352&gt;LIMITE_ATENCAO,"CRITICO",IF($AD2352&gt;LIMITE_CONFORTAVEL,"ATENCAO","OK")))))</f>
        <v>SEM CULTURA</v>
      </c>
      <c r="AF2352" s="8" t="str">
        <f aca="false">$B2352&amp;"|"&amp;TEXT($AD2352,"0.000000")</f>
        <v>37|0.000000</v>
      </c>
      <c r="AG2352" s="18" t="n">
        <f aca="false">IF($K2352="SEM CULTURA",0,$T2352*$H2352)</f>
        <v>0</v>
      </c>
      <c r="AH2352" s="18" t="n">
        <f aca="false">IF($K2352="SEM CULTURA",0,$V2352*$H2352)</f>
        <v>0</v>
      </c>
      <c r="AI2352" s="18" t="n">
        <f aca="false">IF($K2352="SEM CULTURA",0,$W2352*$H2352)</f>
        <v>0</v>
      </c>
      <c r="AJ2352" s="18" t="n">
        <f aca="false">IF($K2352="SEM CULTURA",0,$S2352*$H2352)</f>
        <v>0</v>
      </c>
      <c r="AK2352" s="8" t="str">
        <f aca="false">$E2352&amp;"|"&amp;TEXT($AD2352,"0.000000")</f>
        <v>PV 137|0.000000</v>
      </c>
    </row>
    <row r="2353" customFormat="false" ht="15" hidden="false" customHeight="false" outlineLevel="0" collapsed="false">
      <c r="B2353" s="16" t="n">
        <v>38</v>
      </c>
      <c r="C2353" s="17" t="n">
        <f aca="false">DATA_INICIO_SAFRA+($B2353-1)*DIAS_POR_SEMANA</f>
        <v>46524</v>
      </c>
      <c r="D2353" s="17" t="n">
        <f aca="false">$C2353+DIAS_POR_SEMANA-1</f>
        <v>46530</v>
      </c>
      <c r="E2353" s="15" t="s">
        <v>294</v>
      </c>
      <c r="F2353" s="8" t="str">
        <f aca="false">IFERROR(INDEX(CADASTRO_PIVOS!$C$6:$C$41,MATCH($E2353,CADASTRO_PIVOS!$B$6:$B$41,0)),"?")</f>
        <v>RM08</v>
      </c>
      <c r="G2353" s="8" t="str">
        <f aca="false">IFERROR(INDEX(CADASTRO_PIVOS!$D$6:$D$41,MATCH($E2353,CADASTRO_PIVOS!$B$6:$B$41,0)),"?")</f>
        <v>TR08</v>
      </c>
      <c r="H2353" s="20" t="n">
        <f aca="false">IFERROR(INDEX(CADASTRO_PIVOS!$E$6:$E$41,MATCH($E2353,CADASTRO_PIVOS!$B$6:$B$41,0)),0)</f>
        <v>150</v>
      </c>
      <c r="I2353" s="16" t="n">
        <f aca="false">IFERROR(SUMIFS(ROTACAO_RDM!$B$6:$B$71,ROTACAO_RDM!$D$6:$D$71,$E2353,ROTACAO_RDM!$I$6:$I$71,"&lt;="&amp;$C2353+INT(DIAS_POR_SEMANA/2),ROTACAO_RDM!$J$6:$J$71,"&gt;="&amp;$C2353+INT(DIAS_POR_SEMANA/2)),0)</f>
        <v>0</v>
      </c>
      <c r="J2353" s="16" t="n">
        <f aca="false">IFERROR(MATCH($I2353,ROTACAO_RDM!$B$6:$B$71,0),0)</f>
        <v>0</v>
      </c>
      <c r="K2353" s="8" t="str">
        <f aca="false">IF($J2353=0,"SEM CULTURA",INDEX(ROTACAO_RDM!$F$6:$F$71,$J2353))</f>
        <v>SEM CULTURA</v>
      </c>
      <c r="L2353" s="8" t="str">
        <f aca="false">IF($J2353=0,"",INDEX(ROTACAO_RDM!$G$6:$G$71,$J2353))</f>
        <v/>
      </c>
      <c r="M2353" s="17" t="str">
        <f aca="false">IF($J2353=0,"",INDEX(ROTACAO_RDM!$I$6:$I$71,$J2353))</f>
        <v/>
      </c>
      <c r="N2353" s="16" t="n">
        <f aca="false">IF($J2353=0,0,MAX(0,$C2353+INT(DIAS_POR_SEMANA/2)-INDEX(ROTACAO_RDM!$I$6:$I$71,$J2353)))</f>
        <v>0</v>
      </c>
      <c r="O2353" s="19" t="n">
        <f aca="false">IF($J2353=0,0,MIN(1,$N2353/MAX(1,INDEX(ROTACAO_RDM!$K$6:$K$71,$J2353))))</f>
        <v>0</v>
      </c>
      <c r="P2353" s="16" t="n">
        <f aca="false">IF($J2353=0,0,IFERROR(MATCH(INDEX(ROTACAO_RDM!$N$6:$N$71,$J2353),PARAMETROS_CULTURAS!$B$6:$B$28,0),0))</f>
        <v>0</v>
      </c>
      <c r="Q2353" s="8" t="str">
        <f aca="false">IF($P2353=0,"-",IF($O2353&lt;=INDEX(PARAMETROS_CULTURAS!$F$6:$F$28,$P2353),"INICIAL",IF($O2353&lt;=INDEX(PARAMETROS_CULTURAS!$F$6:$F$28,$P2353)+INDEX(PARAMETROS_CULTURAS!$G$6:$G$28,$P2353),"DESENVOLVIMENTO",IF($O2353&lt;=INDEX(PARAMETROS_CULTURAS!$F$6:$F$28,$P2353)+INDEX(PARAMETROS_CULTURAS!$G$6:$G$28,$P2353)+INDEX(PARAMETROS_CULTURAS!$H$6:$H$28,$P2353),"MEDIA","FINAL"))))</f>
        <v>-</v>
      </c>
      <c r="R2353" s="24" t="n">
        <f aca="false">IF($P2353=0,0,IF($O2353&lt;=INDEX(PARAMETROS_CULTURAS!$F$6:$F$28,$P2353),INDEX(PARAMETROS_CULTURAS!$K$6:$K$28,$P2353),IF($O2353&lt;=INDEX(PARAMETROS_CULTURAS!$F$6:$F$28,$P2353)+INDEX(PARAMETROS_CULTURAS!$G$6:$G$28,$P2353),INDEX(PARAMETROS_CULTURAS!$K$6:$K$28,$P2353)+(INDEX(PARAMETROS_CULTURAS!$L$6:$L$28,$P2353)-INDEX(PARAMETROS_CULTURAS!$K$6:$K$28,$P2353))*($O2353-INDEX(PARAMETROS_CULTURAS!$F$6:$F$28,$P2353))/MAX(INDEX(PARAMETROS_CULTURAS!$G$6:$G$28,$P2353),0.0001),IF($O2353&lt;=INDEX(PARAMETROS_CULTURAS!$F$6:$F$28,$P2353)+INDEX(PARAMETROS_CULTURAS!$G$6:$G$28,$P2353)+INDEX(PARAMETROS_CULTURAS!$H$6:$H$28,$P2353),INDEX(PARAMETROS_CULTURAS!$L$6:$L$28,$P2353),INDEX(PARAMETROS_CULTURAS!$L$6:$L$28,$P2353)+(INDEX(PARAMETROS_CULTURAS!$M$6:$M$28,$P2353)-INDEX(PARAMETROS_CULTURAS!$L$6:$L$28,$P2353))*($O2353-INDEX(PARAMETROS_CULTURAS!$F$6:$F$28,$P2353)-INDEX(PARAMETROS_CULTURAS!$G$6:$G$28,$P2353)-INDEX(PARAMETROS_CULTURAS!$H$6:$H$28,$P2353))/MAX(INDEX(PARAMETROS_CULTURAS!$I$6:$I$28,$P2353),0.0001)))))</f>
        <v>0</v>
      </c>
      <c r="S2353" s="18" t="n">
        <f aca="false">IFERROR(INDEX(SEMANAS!$H$6:$H$71,MATCH($B2353,SEMANAS!$B$6:$B$71,0)),0)</f>
        <v>29.4</v>
      </c>
      <c r="T2353" s="18" t="n">
        <f aca="false">$R2353*$S2353</f>
        <v>0</v>
      </c>
      <c r="U2353" s="18" t="n">
        <f aca="false">IFERROR(INDEX(SEMANAS!$I$6:$I$71,MATCH($B2353,SEMANAS!$B$6:$B$71,0)),0)</f>
        <v>3.36</v>
      </c>
      <c r="V2353" s="18" t="n">
        <f aca="false">IFERROR(INDEX(SEMANAS!$J$6:$J$71,MATCH($B2353,SEMANAS!$B$6:$B$71,0)),0)</f>
        <v>2.688</v>
      </c>
      <c r="W2353" s="18" t="n">
        <f aca="false">MAX(0,$T2353-$V2353)</f>
        <v>0</v>
      </c>
      <c r="X2353" s="19" t="n">
        <f aca="false">IFERROR(INDEX(CADASTRO_PIVOS!$K$6:$K$41,MATCH($E2353,CADASTRO_PIVOS!$B$6:$B$41,0)),EFICIENCIA_PADRAO)</f>
        <v>0.85</v>
      </c>
      <c r="Y2353" s="18" t="n">
        <f aca="false">IF($X2353&lt;=0,0,$W2353/$X2353)</f>
        <v>0</v>
      </c>
      <c r="Z2353" s="16" t="n">
        <f aca="false">$Y2353*$H2353*MM_PARA_M3_HA</f>
        <v>0</v>
      </c>
      <c r="AA2353" s="18" t="n">
        <f aca="false">IFERROR(INDEX(CADASTRO_PIVOS!$I$6:$I$41,MATCH($E2353,CADASTRO_PIVOS!$B$6:$B$41,0)),0)</f>
        <v>1071.42857142857</v>
      </c>
      <c r="AB2353" s="18" t="n">
        <f aca="false">IF($Z2353&lt;=0,0,$Z2353/$AA2353)</f>
        <v>0</v>
      </c>
      <c r="AC2353" s="16" t="n">
        <f aca="false">IFERROR(INDEX(SEMANAS!$K$6:$K$71,MATCH($B2353,SEMANAS!$B$6:$B$71,0)),0)</f>
        <v>147</v>
      </c>
      <c r="AD2353" s="19" t="n">
        <f aca="false">IF($AC2353&lt;=0,0,$AB2353/$AC2353)</f>
        <v>0</v>
      </c>
      <c r="AE2353" s="8" t="str">
        <f aca="false">IF($K2353="SEM CULTURA","SEM CULTURA",IF($AA2353&lt;=0,"DADO PENDENTE",IF($AD2353&gt;LIMITE_CRITICO,"INVIAVEL",IF($AD2353&gt;LIMITE_ATENCAO,"CRITICO",IF($AD2353&gt;LIMITE_CONFORTAVEL,"ATENCAO","OK")))))</f>
        <v>SEM CULTURA</v>
      </c>
      <c r="AF2353" s="8" t="str">
        <f aca="false">$B2353&amp;"|"&amp;TEXT($AD2353,"0.000000")</f>
        <v>38|0.000000</v>
      </c>
      <c r="AG2353" s="18" t="n">
        <f aca="false">IF($K2353="SEM CULTURA",0,$T2353*$H2353)</f>
        <v>0</v>
      </c>
      <c r="AH2353" s="18" t="n">
        <f aca="false">IF($K2353="SEM CULTURA",0,$V2353*$H2353)</f>
        <v>0</v>
      </c>
      <c r="AI2353" s="18" t="n">
        <f aca="false">IF($K2353="SEM CULTURA",0,$W2353*$H2353)</f>
        <v>0</v>
      </c>
      <c r="AJ2353" s="18" t="n">
        <f aca="false">IF($K2353="SEM CULTURA",0,$S2353*$H2353)</f>
        <v>0</v>
      </c>
      <c r="AK2353" s="8" t="str">
        <f aca="false">$E2353&amp;"|"&amp;TEXT($AD2353,"0.000000")</f>
        <v>PV 137|0.000000</v>
      </c>
    </row>
    <row r="2354" customFormat="false" ht="15" hidden="false" customHeight="false" outlineLevel="0" collapsed="false">
      <c r="B2354" s="16" t="n">
        <v>39</v>
      </c>
      <c r="C2354" s="17" t="n">
        <f aca="false">DATA_INICIO_SAFRA+($B2354-1)*DIAS_POR_SEMANA</f>
        <v>46531</v>
      </c>
      <c r="D2354" s="17" t="n">
        <f aca="false">$C2354+DIAS_POR_SEMANA-1</f>
        <v>46537</v>
      </c>
      <c r="E2354" s="15" t="s">
        <v>294</v>
      </c>
      <c r="F2354" s="8" t="str">
        <f aca="false">IFERROR(INDEX(CADASTRO_PIVOS!$C$6:$C$41,MATCH($E2354,CADASTRO_PIVOS!$B$6:$B$41,0)),"?")</f>
        <v>RM08</v>
      </c>
      <c r="G2354" s="8" t="str">
        <f aca="false">IFERROR(INDEX(CADASTRO_PIVOS!$D$6:$D$41,MATCH($E2354,CADASTRO_PIVOS!$B$6:$B$41,0)),"?")</f>
        <v>TR08</v>
      </c>
      <c r="H2354" s="20" t="n">
        <f aca="false">IFERROR(INDEX(CADASTRO_PIVOS!$E$6:$E$41,MATCH($E2354,CADASTRO_PIVOS!$B$6:$B$41,0)),0)</f>
        <v>150</v>
      </c>
      <c r="I2354" s="16" t="n">
        <f aca="false">IFERROR(SUMIFS(ROTACAO_RDM!$B$6:$B$71,ROTACAO_RDM!$D$6:$D$71,$E2354,ROTACAO_RDM!$I$6:$I$71,"&lt;="&amp;$C2354+INT(DIAS_POR_SEMANA/2),ROTACAO_RDM!$J$6:$J$71,"&gt;="&amp;$C2354+INT(DIAS_POR_SEMANA/2)),0)</f>
        <v>0</v>
      </c>
      <c r="J2354" s="16" t="n">
        <f aca="false">IFERROR(MATCH($I2354,ROTACAO_RDM!$B$6:$B$71,0),0)</f>
        <v>0</v>
      </c>
      <c r="K2354" s="8" t="str">
        <f aca="false">IF($J2354=0,"SEM CULTURA",INDEX(ROTACAO_RDM!$F$6:$F$71,$J2354))</f>
        <v>SEM CULTURA</v>
      </c>
      <c r="L2354" s="8" t="str">
        <f aca="false">IF($J2354=0,"",INDEX(ROTACAO_RDM!$G$6:$G$71,$J2354))</f>
        <v/>
      </c>
      <c r="M2354" s="17" t="str">
        <f aca="false">IF($J2354=0,"",INDEX(ROTACAO_RDM!$I$6:$I$71,$J2354))</f>
        <v/>
      </c>
      <c r="N2354" s="16" t="n">
        <f aca="false">IF($J2354=0,0,MAX(0,$C2354+INT(DIAS_POR_SEMANA/2)-INDEX(ROTACAO_RDM!$I$6:$I$71,$J2354)))</f>
        <v>0</v>
      </c>
      <c r="O2354" s="19" t="n">
        <f aca="false">IF($J2354=0,0,MIN(1,$N2354/MAX(1,INDEX(ROTACAO_RDM!$K$6:$K$71,$J2354))))</f>
        <v>0</v>
      </c>
      <c r="P2354" s="16" t="n">
        <f aca="false">IF($J2354=0,0,IFERROR(MATCH(INDEX(ROTACAO_RDM!$N$6:$N$71,$J2354),PARAMETROS_CULTURAS!$B$6:$B$28,0),0))</f>
        <v>0</v>
      </c>
      <c r="Q2354" s="8" t="str">
        <f aca="false">IF($P2354=0,"-",IF($O2354&lt;=INDEX(PARAMETROS_CULTURAS!$F$6:$F$28,$P2354),"INICIAL",IF($O2354&lt;=INDEX(PARAMETROS_CULTURAS!$F$6:$F$28,$P2354)+INDEX(PARAMETROS_CULTURAS!$G$6:$G$28,$P2354),"DESENVOLVIMENTO",IF($O2354&lt;=INDEX(PARAMETROS_CULTURAS!$F$6:$F$28,$P2354)+INDEX(PARAMETROS_CULTURAS!$G$6:$G$28,$P2354)+INDEX(PARAMETROS_CULTURAS!$H$6:$H$28,$P2354),"MEDIA","FINAL"))))</f>
        <v>-</v>
      </c>
      <c r="R2354" s="24" t="n">
        <f aca="false">IF($P2354=0,0,IF($O2354&lt;=INDEX(PARAMETROS_CULTURAS!$F$6:$F$28,$P2354),INDEX(PARAMETROS_CULTURAS!$K$6:$K$28,$P2354),IF($O2354&lt;=INDEX(PARAMETROS_CULTURAS!$F$6:$F$28,$P2354)+INDEX(PARAMETROS_CULTURAS!$G$6:$G$28,$P2354),INDEX(PARAMETROS_CULTURAS!$K$6:$K$28,$P2354)+(INDEX(PARAMETROS_CULTURAS!$L$6:$L$28,$P2354)-INDEX(PARAMETROS_CULTURAS!$K$6:$K$28,$P2354))*($O2354-INDEX(PARAMETROS_CULTURAS!$F$6:$F$28,$P2354))/MAX(INDEX(PARAMETROS_CULTURAS!$G$6:$G$28,$P2354),0.0001),IF($O2354&lt;=INDEX(PARAMETROS_CULTURAS!$F$6:$F$28,$P2354)+INDEX(PARAMETROS_CULTURAS!$G$6:$G$28,$P2354)+INDEX(PARAMETROS_CULTURAS!$H$6:$H$28,$P2354),INDEX(PARAMETROS_CULTURAS!$L$6:$L$28,$P2354),INDEX(PARAMETROS_CULTURAS!$L$6:$L$28,$P2354)+(INDEX(PARAMETROS_CULTURAS!$M$6:$M$28,$P2354)-INDEX(PARAMETROS_CULTURAS!$L$6:$L$28,$P2354))*($O2354-INDEX(PARAMETROS_CULTURAS!$F$6:$F$28,$P2354)-INDEX(PARAMETROS_CULTURAS!$G$6:$G$28,$P2354)-INDEX(PARAMETROS_CULTURAS!$H$6:$H$28,$P2354))/MAX(INDEX(PARAMETROS_CULTURAS!$I$6:$I$28,$P2354),0.0001)))))</f>
        <v>0</v>
      </c>
      <c r="S2354" s="18" t="n">
        <f aca="false">IFERROR(INDEX(SEMANAS!$H$6:$H$71,MATCH($B2354,SEMANAS!$B$6:$B$71,0)),0)</f>
        <v>29.4</v>
      </c>
      <c r="T2354" s="18" t="n">
        <f aca="false">$R2354*$S2354</f>
        <v>0</v>
      </c>
      <c r="U2354" s="18" t="n">
        <f aca="false">IFERROR(INDEX(SEMANAS!$I$6:$I$71,MATCH($B2354,SEMANAS!$B$6:$B$71,0)),0)</f>
        <v>3.36</v>
      </c>
      <c r="V2354" s="18" t="n">
        <f aca="false">IFERROR(INDEX(SEMANAS!$J$6:$J$71,MATCH($B2354,SEMANAS!$B$6:$B$71,0)),0)</f>
        <v>2.688</v>
      </c>
      <c r="W2354" s="18" t="n">
        <f aca="false">MAX(0,$T2354-$V2354)</f>
        <v>0</v>
      </c>
      <c r="X2354" s="19" t="n">
        <f aca="false">IFERROR(INDEX(CADASTRO_PIVOS!$K$6:$K$41,MATCH($E2354,CADASTRO_PIVOS!$B$6:$B$41,0)),EFICIENCIA_PADRAO)</f>
        <v>0.85</v>
      </c>
      <c r="Y2354" s="18" t="n">
        <f aca="false">IF($X2354&lt;=0,0,$W2354/$X2354)</f>
        <v>0</v>
      </c>
      <c r="Z2354" s="16" t="n">
        <f aca="false">$Y2354*$H2354*MM_PARA_M3_HA</f>
        <v>0</v>
      </c>
      <c r="AA2354" s="18" t="n">
        <f aca="false">IFERROR(INDEX(CADASTRO_PIVOS!$I$6:$I$41,MATCH($E2354,CADASTRO_PIVOS!$B$6:$B$41,0)),0)</f>
        <v>1071.42857142857</v>
      </c>
      <c r="AB2354" s="18" t="n">
        <f aca="false">IF($Z2354&lt;=0,0,$Z2354/$AA2354)</f>
        <v>0</v>
      </c>
      <c r="AC2354" s="16" t="n">
        <f aca="false">IFERROR(INDEX(SEMANAS!$K$6:$K$71,MATCH($B2354,SEMANAS!$B$6:$B$71,0)),0)</f>
        <v>147</v>
      </c>
      <c r="AD2354" s="19" t="n">
        <f aca="false">IF($AC2354&lt;=0,0,$AB2354/$AC2354)</f>
        <v>0</v>
      </c>
      <c r="AE2354" s="8" t="str">
        <f aca="false">IF($K2354="SEM CULTURA","SEM CULTURA",IF($AA2354&lt;=0,"DADO PENDENTE",IF($AD2354&gt;LIMITE_CRITICO,"INVIAVEL",IF($AD2354&gt;LIMITE_ATENCAO,"CRITICO",IF($AD2354&gt;LIMITE_CONFORTAVEL,"ATENCAO","OK")))))</f>
        <v>SEM CULTURA</v>
      </c>
      <c r="AF2354" s="8" t="str">
        <f aca="false">$B2354&amp;"|"&amp;TEXT($AD2354,"0.000000")</f>
        <v>39|0.000000</v>
      </c>
      <c r="AG2354" s="18" t="n">
        <f aca="false">IF($K2354="SEM CULTURA",0,$T2354*$H2354)</f>
        <v>0</v>
      </c>
      <c r="AH2354" s="18" t="n">
        <f aca="false">IF($K2354="SEM CULTURA",0,$V2354*$H2354)</f>
        <v>0</v>
      </c>
      <c r="AI2354" s="18" t="n">
        <f aca="false">IF($K2354="SEM CULTURA",0,$W2354*$H2354)</f>
        <v>0</v>
      </c>
      <c r="AJ2354" s="18" t="n">
        <f aca="false">IF($K2354="SEM CULTURA",0,$S2354*$H2354)</f>
        <v>0</v>
      </c>
      <c r="AK2354" s="8" t="str">
        <f aca="false">$E2354&amp;"|"&amp;TEXT($AD2354,"0.000000")</f>
        <v>PV 137|0.000000</v>
      </c>
    </row>
    <row r="2355" customFormat="false" ht="15" hidden="false" customHeight="false" outlineLevel="0" collapsed="false">
      <c r="B2355" s="16" t="n">
        <v>40</v>
      </c>
      <c r="C2355" s="17" t="n">
        <f aca="false">DATA_INICIO_SAFRA+($B2355-1)*DIAS_POR_SEMANA</f>
        <v>46538</v>
      </c>
      <c r="D2355" s="17" t="n">
        <f aca="false">$C2355+DIAS_POR_SEMANA-1</f>
        <v>46544</v>
      </c>
      <c r="E2355" s="15" t="s">
        <v>294</v>
      </c>
      <c r="F2355" s="8" t="str">
        <f aca="false">IFERROR(INDEX(CADASTRO_PIVOS!$C$6:$C$41,MATCH($E2355,CADASTRO_PIVOS!$B$6:$B$41,0)),"?")</f>
        <v>RM08</v>
      </c>
      <c r="G2355" s="8" t="str">
        <f aca="false">IFERROR(INDEX(CADASTRO_PIVOS!$D$6:$D$41,MATCH($E2355,CADASTRO_PIVOS!$B$6:$B$41,0)),"?")</f>
        <v>TR08</v>
      </c>
      <c r="H2355" s="20" t="n">
        <f aca="false">IFERROR(INDEX(CADASTRO_PIVOS!$E$6:$E$41,MATCH($E2355,CADASTRO_PIVOS!$B$6:$B$41,0)),0)</f>
        <v>150</v>
      </c>
      <c r="I2355" s="16" t="n">
        <f aca="false">IFERROR(SUMIFS(ROTACAO_RDM!$B$6:$B$71,ROTACAO_RDM!$D$6:$D$71,$E2355,ROTACAO_RDM!$I$6:$I$71,"&lt;="&amp;$C2355+INT(DIAS_POR_SEMANA/2),ROTACAO_RDM!$J$6:$J$71,"&gt;="&amp;$C2355+INT(DIAS_POR_SEMANA/2)),0)</f>
        <v>0</v>
      </c>
      <c r="J2355" s="16" t="n">
        <f aca="false">IFERROR(MATCH($I2355,ROTACAO_RDM!$B$6:$B$71,0),0)</f>
        <v>0</v>
      </c>
      <c r="K2355" s="8" t="str">
        <f aca="false">IF($J2355=0,"SEM CULTURA",INDEX(ROTACAO_RDM!$F$6:$F$71,$J2355))</f>
        <v>SEM CULTURA</v>
      </c>
      <c r="L2355" s="8" t="str">
        <f aca="false">IF($J2355=0,"",INDEX(ROTACAO_RDM!$G$6:$G$71,$J2355))</f>
        <v/>
      </c>
      <c r="M2355" s="17" t="str">
        <f aca="false">IF($J2355=0,"",INDEX(ROTACAO_RDM!$I$6:$I$71,$J2355))</f>
        <v/>
      </c>
      <c r="N2355" s="16" t="n">
        <f aca="false">IF($J2355=0,0,MAX(0,$C2355+INT(DIAS_POR_SEMANA/2)-INDEX(ROTACAO_RDM!$I$6:$I$71,$J2355)))</f>
        <v>0</v>
      </c>
      <c r="O2355" s="19" t="n">
        <f aca="false">IF($J2355=0,0,MIN(1,$N2355/MAX(1,INDEX(ROTACAO_RDM!$K$6:$K$71,$J2355))))</f>
        <v>0</v>
      </c>
      <c r="P2355" s="16" t="n">
        <f aca="false">IF($J2355=0,0,IFERROR(MATCH(INDEX(ROTACAO_RDM!$N$6:$N$71,$J2355),PARAMETROS_CULTURAS!$B$6:$B$28,0),0))</f>
        <v>0</v>
      </c>
      <c r="Q2355" s="8" t="str">
        <f aca="false">IF($P2355=0,"-",IF($O2355&lt;=INDEX(PARAMETROS_CULTURAS!$F$6:$F$28,$P2355),"INICIAL",IF($O2355&lt;=INDEX(PARAMETROS_CULTURAS!$F$6:$F$28,$P2355)+INDEX(PARAMETROS_CULTURAS!$G$6:$G$28,$P2355),"DESENVOLVIMENTO",IF($O2355&lt;=INDEX(PARAMETROS_CULTURAS!$F$6:$F$28,$P2355)+INDEX(PARAMETROS_CULTURAS!$G$6:$G$28,$P2355)+INDEX(PARAMETROS_CULTURAS!$H$6:$H$28,$P2355),"MEDIA","FINAL"))))</f>
        <v>-</v>
      </c>
      <c r="R2355" s="24" t="n">
        <f aca="false">IF($P2355=0,0,IF($O2355&lt;=INDEX(PARAMETROS_CULTURAS!$F$6:$F$28,$P2355),INDEX(PARAMETROS_CULTURAS!$K$6:$K$28,$P2355),IF($O2355&lt;=INDEX(PARAMETROS_CULTURAS!$F$6:$F$28,$P2355)+INDEX(PARAMETROS_CULTURAS!$G$6:$G$28,$P2355),INDEX(PARAMETROS_CULTURAS!$K$6:$K$28,$P2355)+(INDEX(PARAMETROS_CULTURAS!$L$6:$L$28,$P2355)-INDEX(PARAMETROS_CULTURAS!$K$6:$K$28,$P2355))*($O2355-INDEX(PARAMETROS_CULTURAS!$F$6:$F$28,$P2355))/MAX(INDEX(PARAMETROS_CULTURAS!$G$6:$G$28,$P2355),0.0001),IF($O2355&lt;=INDEX(PARAMETROS_CULTURAS!$F$6:$F$28,$P2355)+INDEX(PARAMETROS_CULTURAS!$G$6:$G$28,$P2355)+INDEX(PARAMETROS_CULTURAS!$H$6:$H$28,$P2355),INDEX(PARAMETROS_CULTURAS!$L$6:$L$28,$P2355),INDEX(PARAMETROS_CULTURAS!$L$6:$L$28,$P2355)+(INDEX(PARAMETROS_CULTURAS!$M$6:$M$28,$P2355)-INDEX(PARAMETROS_CULTURAS!$L$6:$L$28,$P2355))*($O2355-INDEX(PARAMETROS_CULTURAS!$F$6:$F$28,$P2355)-INDEX(PARAMETROS_CULTURAS!$G$6:$G$28,$P2355)-INDEX(PARAMETROS_CULTURAS!$H$6:$H$28,$P2355))/MAX(INDEX(PARAMETROS_CULTURAS!$I$6:$I$28,$P2355),0.0001)))))</f>
        <v>0</v>
      </c>
      <c r="S2355" s="18" t="n">
        <f aca="false">IFERROR(INDEX(SEMANAS!$H$6:$H$71,MATCH($B2355,SEMANAS!$B$6:$B$71,0)),0)</f>
        <v>28.2</v>
      </c>
      <c r="T2355" s="18" t="n">
        <f aca="false">$R2355*$S2355</f>
        <v>0</v>
      </c>
      <c r="U2355" s="18" t="n">
        <f aca="false">IFERROR(INDEX(SEMANAS!$I$6:$I$71,MATCH($B2355,SEMANAS!$B$6:$B$71,0)),0)</f>
        <v>1.5</v>
      </c>
      <c r="V2355" s="18" t="n">
        <f aca="false">IFERROR(INDEX(SEMANAS!$J$6:$J$71,MATCH($B2355,SEMANAS!$B$6:$B$71,0)),0)</f>
        <v>1.2</v>
      </c>
      <c r="W2355" s="18" t="n">
        <f aca="false">MAX(0,$T2355-$V2355)</f>
        <v>0</v>
      </c>
      <c r="X2355" s="19" t="n">
        <f aca="false">IFERROR(INDEX(CADASTRO_PIVOS!$K$6:$K$41,MATCH($E2355,CADASTRO_PIVOS!$B$6:$B$41,0)),EFICIENCIA_PADRAO)</f>
        <v>0.85</v>
      </c>
      <c r="Y2355" s="18" t="n">
        <f aca="false">IF($X2355&lt;=0,0,$W2355/$X2355)</f>
        <v>0</v>
      </c>
      <c r="Z2355" s="16" t="n">
        <f aca="false">$Y2355*$H2355*MM_PARA_M3_HA</f>
        <v>0</v>
      </c>
      <c r="AA2355" s="18" t="n">
        <f aca="false">IFERROR(INDEX(CADASTRO_PIVOS!$I$6:$I$41,MATCH($E2355,CADASTRO_PIVOS!$B$6:$B$41,0)),0)</f>
        <v>1071.42857142857</v>
      </c>
      <c r="AB2355" s="18" t="n">
        <f aca="false">IF($Z2355&lt;=0,0,$Z2355/$AA2355)</f>
        <v>0</v>
      </c>
      <c r="AC2355" s="16" t="n">
        <f aca="false">IFERROR(INDEX(SEMANAS!$K$6:$K$71,MATCH($B2355,SEMANAS!$B$6:$B$71,0)),0)</f>
        <v>147</v>
      </c>
      <c r="AD2355" s="19" t="n">
        <f aca="false">IF($AC2355&lt;=0,0,$AB2355/$AC2355)</f>
        <v>0</v>
      </c>
      <c r="AE2355" s="8" t="str">
        <f aca="false">IF($K2355="SEM CULTURA","SEM CULTURA",IF($AA2355&lt;=0,"DADO PENDENTE",IF($AD2355&gt;LIMITE_CRITICO,"INVIAVEL",IF($AD2355&gt;LIMITE_ATENCAO,"CRITICO",IF($AD2355&gt;LIMITE_CONFORTAVEL,"ATENCAO","OK")))))</f>
        <v>SEM CULTURA</v>
      </c>
      <c r="AF2355" s="8" t="str">
        <f aca="false">$B2355&amp;"|"&amp;TEXT($AD2355,"0.000000")</f>
        <v>40|0.000000</v>
      </c>
      <c r="AG2355" s="18" t="n">
        <f aca="false">IF($K2355="SEM CULTURA",0,$T2355*$H2355)</f>
        <v>0</v>
      </c>
      <c r="AH2355" s="18" t="n">
        <f aca="false">IF($K2355="SEM CULTURA",0,$V2355*$H2355)</f>
        <v>0</v>
      </c>
      <c r="AI2355" s="18" t="n">
        <f aca="false">IF($K2355="SEM CULTURA",0,$W2355*$H2355)</f>
        <v>0</v>
      </c>
      <c r="AJ2355" s="18" t="n">
        <f aca="false">IF($K2355="SEM CULTURA",0,$S2355*$H2355)</f>
        <v>0</v>
      </c>
      <c r="AK2355" s="8" t="str">
        <f aca="false">$E2355&amp;"|"&amp;TEXT($AD2355,"0.000000")</f>
        <v>PV 137|0.000000</v>
      </c>
    </row>
    <row r="2356" customFormat="false" ht="15" hidden="false" customHeight="false" outlineLevel="0" collapsed="false">
      <c r="B2356" s="16" t="n">
        <v>41</v>
      </c>
      <c r="C2356" s="17" t="n">
        <f aca="false">DATA_INICIO_SAFRA+($B2356-1)*DIAS_POR_SEMANA</f>
        <v>46545</v>
      </c>
      <c r="D2356" s="17" t="n">
        <f aca="false">$C2356+DIAS_POR_SEMANA-1</f>
        <v>46551</v>
      </c>
      <c r="E2356" s="15" t="s">
        <v>294</v>
      </c>
      <c r="F2356" s="8" t="str">
        <f aca="false">IFERROR(INDEX(CADASTRO_PIVOS!$C$6:$C$41,MATCH($E2356,CADASTRO_PIVOS!$B$6:$B$41,0)),"?")</f>
        <v>RM08</v>
      </c>
      <c r="G2356" s="8" t="str">
        <f aca="false">IFERROR(INDEX(CADASTRO_PIVOS!$D$6:$D$41,MATCH($E2356,CADASTRO_PIVOS!$B$6:$B$41,0)),"?")</f>
        <v>TR08</v>
      </c>
      <c r="H2356" s="20" t="n">
        <f aca="false">IFERROR(INDEX(CADASTRO_PIVOS!$E$6:$E$41,MATCH($E2356,CADASTRO_PIVOS!$B$6:$B$41,0)),0)</f>
        <v>150</v>
      </c>
      <c r="I2356" s="16" t="n">
        <f aca="false">IFERROR(SUMIFS(ROTACAO_RDM!$B$6:$B$71,ROTACAO_RDM!$D$6:$D$71,$E2356,ROTACAO_RDM!$I$6:$I$71,"&lt;="&amp;$C2356+INT(DIAS_POR_SEMANA/2),ROTACAO_RDM!$J$6:$J$71,"&gt;="&amp;$C2356+INT(DIAS_POR_SEMANA/2)),0)</f>
        <v>0</v>
      </c>
      <c r="J2356" s="16" t="n">
        <f aca="false">IFERROR(MATCH($I2356,ROTACAO_RDM!$B$6:$B$71,0),0)</f>
        <v>0</v>
      </c>
      <c r="K2356" s="8" t="str">
        <f aca="false">IF($J2356=0,"SEM CULTURA",INDEX(ROTACAO_RDM!$F$6:$F$71,$J2356))</f>
        <v>SEM CULTURA</v>
      </c>
      <c r="L2356" s="8" t="str">
        <f aca="false">IF($J2356=0,"",INDEX(ROTACAO_RDM!$G$6:$G$71,$J2356))</f>
        <v/>
      </c>
      <c r="M2356" s="17" t="str">
        <f aca="false">IF($J2356=0,"",INDEX(ROTACAO_RDM!$I$6:$I$71,$J2356))</f>
        <v/>
      </c>
      <c r="N2356" s="16" t="n">
        <f aca="false">IF($J2356=0,0,MAX(0,$C2356+INT(DIAS_POR_SEMANA/2)-INDEX(ROTACAO_RDM!$I$6:$I$71,$J2356)))</f>
        <v>0</v>
      </c>
      <c r="O2356" s="19" t="n">
        <f aca="false">IF($J2356=0,0,MIN(1,$N2356/MAX(1,INDEX(ROTACAO_RDM!$K$6:$K$71,$J2356))))</f>
        <v>0</v>
      </c>
      <c r="P2356" s="16" t="n">
        <f aca="false">IF($J2356=0,0,IFERROR(MATCH(INDEX(ROTACAO_RDM!$N$6:$N$71,$J2356),PARAMETROS_CULTURAS!$B$6:$B$28,0),0))</f>
        <v>0</v>
      </c>
      <c r="Q2356" s="8" t="str">
        <f aca="false">IF($P2356=0,"-",IF($O2356&lt;=INDEX(PARAMETROS_CULTURAS!$F$6:$F$28,$P2356),"INICIAL",IF($O2356&lt;=INDEX(PARAMETROS_CULTURAS!$F$6:$F$28,$P2356)+INDEX(PARAMETROS_CULTURAS!$G$6:$G$28,$P2356),"DESENVOLVIMENTO",IF($O2356&lt;=INDEX(PARAMETROS_CULTURAS!$F$6:$F$28,$P2356)+INDEX(PARAMETROS_CULTURAS!$G$6:$G$28,$P2356)+INDEX(PARAMETROS_CULTURAS!$H$6:$H$28,$P2356),"MEDIA","FINAL"))))</f>
        <v>-</v>
      </c>
      <c r="R2356" s="24" t="n">
        <f aca="false">IF($P2356=0,0,IF($O2356&lt;=INDEX(PARAMETROS_CULTURAS!$F$6:$F$28,$P2356),INDEX(PARAMETROS_CULTURAS!$K$6:$K$28,$P2356),IF($O2356&lt;=INDEX(PARAMETROS_CULTURAS!$F$6:$F$28,$P2356)+INDEX(PARAMETROS_CULTURAS!$G$6:$G$28,$P2356),INDEX(PARAMETROS_CULTURAS!$K$6:$K$28,$P2356)+(INDEX(PARAMETROS_CULTURAS!$L$6:$L$28,$P2356)-INDEX(PARAMETROS_CULTURAS!$K$6:$K$28,$P2356))*($O2356-INDEX(PARAMETROS_CULTURAS!$F$6:$F$28,$P2356))/MAX(INDEX(PARAMETROS_CULTURAS!$G$6:$G$28,$P2356),0.0001),IF($O2356&lt;=INDEX(PARAMETROS_CULTURAS!$F$6:$F$28,$P2356)+INDEX(PARAMETROS_CULTURAS!$G$6:$G$28,$P2356)+INDEX(PARAMETROS_CULTURAS!$H$6:$H$28,$P2356),INDEX(PARAMETROS_CULTURAS!$L$6:$L$28,$P2356),INDEX(PARAMETROS_CULTURAS!$L$6:$L$28,$P2356)+(INDEX(PARAMETROS_CULTURAS!$M$6:$M$28,$P2356)-INDEX(PARAMETROS_CULTURAS!$L$6:$L$28,$P2356))*($O2356-INDEX(PARAMETROS_CULTURAS!$F$6:$F$28,$P2356)-INDEX(PARAMETROS_CULTURAS!$G$6:$G$28,$P2356)-INDEX(PARAMETROS_CULTURAS!$H$6:$H$28,$P2356))/MAX(INDEX(PARAMETROS_CULTURAS!$I$6:$I$28,$P2356),0.0001)))))</f>
        <v>0</v>
      </c>
      <c r="S2356" s="18" t="n">
        <f aca="false">IFERROR(INDEX(SEMANAS!$H$6:$H$71,MATCH($B2356,SEMANAS!$B$6:$B$71,0)),0)</f>
        <v>28</v>
      </c>
      <c r="T2356" s="18" t="n">
        <f aca="false">$R2356*$S2356</f>
        <v>0</v>
      </c>
      <c r="U2356" s="18" t="n">
        <f aca="false">IFERROR(INDEX(SEMANAS!$I$6:$I$71,MATCH($B2356,SEMANAS!$B$6:$B$71,0)),0)</f>
        <v>1.19</v>
      </c>
      <c r="V2356" s="18" t="n">
        <f aca="false">IFERROR(INDEX(SEMANAS!$J$6:$J$71,MATCH($B2356,SEMANAS!$B$6:$B$71,0)),0)</f>
        <v>0.952</v>
      </c>
      <c r="W2356" s="18" t="n">
        <f aca="false">MAX(0,$T2356-$V2356)</f>
        <v>0</v>
      </c>
      <c r="X2356" s="19" t="n">
        <f aca="false">IFERROR(INDEX(CADASTRO_PIVOS!$K$6:$K$41,MATCH($E2356,CADASTRO_PIVOS!$B$6:$B$41,0)),EFICIENCIA_PADRAO)</f>
        <v>0.85</v>
      </c>
      <c r="Y2356" s="18" t="n">
        <f aca="false">IF($X2356&lt;=0,0,$W2356/$X2356)</f>
        <v>0</v>
      </c>
      <c r="Z2356" s="16" t="n">
        <f aca="false">$Y2356*$H2356*MM_PARA_M3_HA</f>
        <v>0</v>
      </c>
      <c r="AA2356" s="18" t="n">
        <f aca="false">IFERROR(INDEX(CADASTRO_PIVOS!$I$6:$I$41,MATCH($E2356,CADASTRO_PIVOS!$B$6:$B$41,0)),0)</f>
        <v>1071.42857142857</v>
      </c>
      <c r="AB2356" s="18" t="n">
        <f aca="false">IF($Z2356&lt;=0,0,$Z2356/$AA2356)</f>
        <v>0</v>
      </c>
      <c r="AC2356" s="16" t="n">
        <f aca="false">IFERROR(INDEX(SEMANAS!$K$6:$K$71,MATCH($B2356,SEMANAS!$B$6:$B$71,0)),0)</f>
        <v>147</v>
      </c>
      <c r="AD2356" s="19" t="n">
        <f aca="false">IF($AC2356&lt;=0,0,$AB2356/$AC2356)</f>
        <v>0</v>
      </c>
      <c r="AE2356" s="8" t="str">
        <f aca="false">IF($K2356="SEM CULTURA","SEM CULTURA",IF($AA2356&lt;=0,"DADO PENDENTE",IF($AD2356&gt;LIMITE_CRITICO,"INVIAVEL",IF($AD2356&gt;LIMITE_ATENCAO,"CRITICO",IF($AD2356&gt;LIMITE_CONFORTAVEL,"ATENCAO","OK")))))</f>
        <v>SEM CULTURA</v>
      </c>
      <c r="AF2356" s="8" t="str">
        <f aca="false">$B2356&amp;"|"&amp;TEXT($AD2356,"0.000000")</f>
        <v>41|0.000000</v>
      </c>
      <c r="AG2356" s="18" t="n">
        <f aca="false">IF($K2356="SEM CULTURA",0,$T2356*$H2356)</f>
        <v>0</v>
      </c>
      <c r="AH2356" s="18" t="n">
        <f aca="false">IF($K2356="SEM CULTURA",0,$V2356*$H2356)</f>
        <v>0</v>
      </c>
      <c r="AI2356" s="18" t="n">
        <f aca="false">IF($K2356="SEM CULTURA",0,$W2356*$H2356)</f>
        <v>0</v>
      </c>
      <c r="AJ2356" s="18" t="n">
        <f aca="false">IF($K2356="SEM CULTURA",0,$S2356*$H2356)</f>
        <v>0</v>
      </c>
      <c r="AK2356" s="8" t="str">
        <f aca="false">$E2356&amp;"|"&amp;TEXT($AD2356,"0.000000")</f>
        <v>PV 137|0.000000</v>
      </c>
    </row>
    <row r="2357" customFormat="false" ht="15" hidden="false" customHeight="false" outlineLevel="0" collapsed="false">
      <c r="B2357" s="16" t="n">
        <v>42</v>
      </c>
      <c r="C2357" s="17" t="n">
        <f aca="false">DATA_INICIO_SAFRA+($B2357-1)*DIAS_POR_SEMANA</f>
        <v>46552</v>
      </c>
      <c r="D2357" s="17" t="n">
        <f aca="false">$C2357+DIAS_POR_SEMANA-1</f>
        <v>46558</v>
      </c>
      <c r="E2357" s="15" t="s">
        <v>294</v>
      </c>
      <c r="F2357" s="8" t="str">
        <f aca="false">IFERROR(INDEX(CADASTRO_PIVOS!$C$6:$C$41,MATCH($E2357,CADASTRO_PIVOS!$B$6:$B$41,0)),"?")</f>
        <v>RM08</v>
      </c>
      <c r="G2357" s="8" t="str">
        <f aca="false">IFERROR(INDEX(CADASTRO_PIVOS!$D$6:$D$41,MATCH($E2357,CADASTRO_PIVOS!$B$6:$B$41,0)),"?")</f>
        <v>TR08</v>
      </c>
      <c r="H2357" s="20" t="n">
        <f aca="false">IFERROR(INDEX(CADASTRO_PIVOS!$E$6:$E$41,MATCH($E2357,CADASTRO_PIVOS!$B$6:$B$41,0)),0)</f>
        <v>150</v>
      </c>
      <c r="I2357" s="16" t="n">
        <f aca="false">IFERROR(SUMIFS(ROTACAO_RDM!$B$6:$B$71,ROTACAO_RDM!$D$6:$D$71,$E2357,ROTACAO_RDM!$I$6:$I$71,"&lt;="&amp;$C2357+INT(DIAS_POR_SEMANA/2),ROTACAO_RDM!$J$6:$J$71,"&gt;="&amp;$C2357+INT(DIAS_POR_SEMANA/2)),0)</f>
        <v>0</v>
      </c>
      <c r="J2357" s="16" t="n">
        <f aca="false">IFERROR(MATCH($I2357,ROTACAO_RDM!$B$6:$B$71,0),0)</f>
        <v>0</v>
      </c>
      <c r="K2357" s="8" t="str">
        <f aca="false">IF($J2357=0,"SEM CULTURA",INDEX(ROTACAO_RDM!$F$6:$F$71,$J2357))</f>
        <v>SEM CULTURA</v>
      </c>
      <c r="L2357" s="8" t="str">
        <f aca="false">IF($J2357=0,"",INDEX(ROTACAO_RDM!$G$6:$G$71,$J2357))</f>
        <v/>
      </c>
      <c r="M2357" s="17" t="str">
        <f aca="false">IF($J2357=0,"",INDEX(ROTACAO_RDM!$I$6:$I$71,$J2357))</f>
        <v/>
      </c>
      <c r="N2357" s="16" t="n">
        <f aca="false">IF($J2357=0,0,MAX(0,$C2357+INT(DIAS_POR_SEMANA/2)-INDEX(ROTACAO_RDM!$I$6:$I$71,$J2357)))</f>
        <v>0</v>
      </c>
      <c r="O2357" s="19" t="n">
        <f aca="false">IF($J2357=0,0,MIN(1,$N2357/MAX(1,INDEX(ROTACAO_RDM!$K$6:$K$71,$J2357))))</f>
        <v>0</v>
      </c>
      <c r="P2357" s="16" t="n">
        <f aca="false">IF($J2357=0,0,IFERROR(MATCH(INDEX(ROTACAO_RDM!$N$6:$N$71,$J2357),PARAMETROS_CULTURAS!$B$6:$B$28,0),0))</f>
        <v>0</v>
      </c>
      <c r="Q2357" s="8" t="str">
        <f aca="false">IF($P2357=0,"-",IF($O2357&lt;=INDEX(PARAMETROS_CULTURAS!$F$6:$F$28,$P2357),"INICIAL",IF($O2357&lt;=INDEX(PARAMETROS_CULTURAS!$F$6:$F$28,$P2357)+INDEX(PARAMETROS_CULTURAS!$G$6:$G$28,$P2357),"DESENVOLVIMENTO",IF($O2357&lt;=INDEX(PARAMETROS_CULTURAS!$F$6:$F$28,$P2357)+INDEX(PARAMETROS_CULTURAS!$G$6:$G$28,$P2357)+INDEX(PARAMETROS_CULTURAS!$H$6:$H$28,$P2357),"MEDIA","FINAL"))))</f>
        <v>-</v>
      </c>
      <c r="R2357" s="24" t="n">
        <f aca="false">IF($P2357=0,0,IF($O2357&lt;=INDEX(PARAMETROS_CULTURAS!$F$6:$F$28,$P2357),INDEX(PARAMETROS_CULTURAS!$K$6:$K$28,$P2357),IF($O2357&lt;=INDEX(PARAMETROS_CULTURAS!$F$6:$F$28,$P2357)+INDEX(PARAMETROS_CULTURAS!$G$6:$G$28,$P2357),INDEX(PARAMETROS_CULTURAS!$K$6:$K$28,$P2357)+(INDEX(PARAMETROS_CULTURAS!$L$6:$L$28,$P2357)-INDEX(PARAMETROS_CULTURAS!$K$6:$K$28,$P2357))*($O2357-INDEX(PARAMETROS_CULTURAS!$F$6:$F$28,$P2357))/MAX(INDEX(PARAMETROS_CULTURAS!$G$6:$G$28,$P2357),0.0001),IF($O2357&lt;=INDEX(PARAMETROS_CULTURAS!$F$6:$F$28,$P2357)+INDEX(PARAMETROS_CULTURAS!$G$6:$G$28,$P2357)+INDEX(PARAMETROS_CULTURAS!$H$6:$H$28,$P2357),INDEX(PARAMETROS_CULTURAS!$L$6:$L$28,$P2357),INDEX(PARAMETROS_CULTURAS!$L$6:$L$28,$P2357)+(INDEX(PARAMETROS_CULTURAS!$M$6:$M$28,$P2357)-INDEX(PARAMETROS_CULTURAS!$L$6:$L$28,$P2357))*($O2357-INDEX(PARAMETROS_CULTURAS!$F$6:$F$28,$P2357)-INDEX(PARAMETROS_CULTURAS!$G$6:$G$28,$P2357)-INDEX(PARAMETROS_CULTURAS!$H$6:$H$28,$P2357))/MAX(INDEX(PARAMETROS_CULTURAS!$I$6:$I$28,$P2357),0.0001)))))</f>
        <v>0</v>
      </c>
      <c r="S2357" s="18" t="n">
        <f aca="false">IFERROR(INDEX(SEMANAS!$H$6:$H$71,MATCH($B2357,SEMANAS!$B$6:$B$71,0)),0)</f>
        <v>28</v>
      </c>
      <c r="T2357" s="18" t="n">
        <f aca="false">$R2357*$S2357</f>
        <v>0</v>
      </c>
      <c r="U2357" s="18" t="n">
        <f aca="false">IFERROR(INDEX(SEMANAS!$I$6:$I$71,MATCH($B2357,SEMANAS!$B$6:$B$71,0)),0)</f>
        <v>1.19</v>
      </c>
      <c r="V2357" s="18" t="n">
        <f aca="false">IFERROR(INDEX(SEMANAS!$J$6:$J$71,MATCH($B2357,SEMANAS!$B$6:$B$71,0)),0)</f>
        <v>0.952</v>
      </c>
      <c r="W2357" s="18" t="n">
        <f aca="false">MAX(0,$T2357-$V2357)</f>
        <v>0</v>
      </c>
      <c r="X2357" s="19" t="n">
        <f aca="false">IFERROR(INDEX(CADASTRO_PIVOS!$K$6:$K$41,MATCH($E2357,CADASTRO_PIVOS!$B$6:$B$41,0)),EFICIENCIA_PADRAO)</f>
        <v>0.85</v>
      </c>
      <c r="Y2357" s="18" t="n">
        <f aca="false">IF($X2357&lt;=0,0,$W2357/$X2357)</f>
        <v>0</v>
      </c>
      <c r="Z2357" s="16" t="n">
        <f aca="false">$Y2357*$H2357*MM_PARA_M3_HA</f>
        <v>0</v>
      </c>
      <c r="AA2357" s="18" t="n">
        <f aca="false">IFERROR(INDEX(CADASTRO_PIVOS!$I$6:$I$41,MATCH($E2357,CADASTRO_PIVOS!$B$6:$B$41,0)),0)</f>
        <v>1071.42857142857</v>
      </c>
      <c r="AB2357" s="18" t="n">
        <f aca="false">IF($Z2357&lt;=0,0,$Z2357/$AA2357)</f>
        <v>0</v>
      </c>
      <c r="AC2357" s="16" t="n">
        <f aca="false">IFERROR(INDEX(SEMANAS!$K$6:$K$71,MATCH($B2357,SEMANAS!$B$6:$B$71,0)),0)</f>
        <v>147</v>
      </c>
      <c r="AD2357" s="19" t="n">
        <f aca="false">IF($AC2357&lt;=0,0,$AB2357/$AC2357)</f>
        <v>0</v>
      </c>
      <c r="AE2357" s="8" t="str">
        <f aca="false">IF($K2357="SEM CULTURA","SEM CULTURA",IF($AA2357&lt;=0,"DADO PENDENTE",IF($AD2357&gt;LIMITE_CRITICO,"INVIAVEL",IF($AD2357&gt;LIMITE_ATENCAO,"CRITICO",IF($AD2357&gt;LIMITE_CONFORTAVEL,"ATENCAO","OK")))))</f>
        <v>SEM CULTURA</v>
      </c>
      <c r="AF2357" s="8" t="str">
        <f aca="false">$B2357&amp;"|"&amp;TEXT($AD2357,"0.000000")</f>
        <v>42|0.000000</v>
      </c>
      <c r="AG2357" s="18" t="n">
        <f aca="false">IF($K2357="SEM CULTURA",0,$T2357*$H2357)</f>
        <v>0</v>
      </c>
      <c r="AH2357" s="18" t="n">
        <f aca="false">IF($K2357="SEM CULTURA",0,$V2357*$H2357)</f>
        <v>0</v>
      </c>
      <c r="AI2357" s="18" t="n">
        <f aca="false">IF($K2357="SEM CULTURA",0,$W2357*$H2357)</f>
        <v>0</v>
      </c>
      <c r="AJ2357" s="18" t="n">
        <f aca="false">IF($K2357="SEM CULTURA",0,$S2357*$H2357)</f>
        <v>0</v>
      </c>
      <c r="AK2357" s="8" t="str">
        <f aca="false">$E2357&amp;"|"&amp;TEXT($AD2357,"0.000000")</f>
        <v>PV 137|0.000000</v>
      </c>
    </row>
    <row r="2358" customFormat="false" ht="15" hidden="false" customHeight="false" outlineLevel="0" collapsed="false">
      <c r="B2358" s="16" t="n">
        <v>43</v>
      </c>
      <c r="C2358" s="17" t="n">
        <f aca="false">DATA_INICIO_SAFRA+($B2358-1)*DIAS_POR_SEMANA</f>
        <v>46559</v>
      </c>
      <c r="D2358" s="17" t="n">
        <f aca="false">$C2358+DIAS_POR_SEMANA-1</f>
        <v>46565</v>
      </c>
      <c r="E2358" s="15" t="s">
        <v>294</v>
      </c>
      <c r="F2358" s="8" t="str">
        <f aca="false">IFERROR(INDEX(CADASTRO_PIVOS!$C$6:$C$41,MATCH($E2358,CADASTRO_PIVOS!$B$6:$B$41,0)),"?")</f>
        <v>RM08</v>
      </c>
      <c r="G2358" s="8" t="str">
        <f aca="false">IFERROR(INDEX(CADASTRO_PIVOS!$D$6:$D$41,MATCH($E2358,CADASTRO_PIVOS!$B$6:$B$41,0)),"?")</f>
        <v>TR08</v>
      </c>
      <c r="H2358" s="20" t="n">
        <f aca="false">IFERROR(INDEX(CADASTRO_PIVOS!$E$6:$E$41,MATCH($E2358,CADASTRO_PIVOS!$B$6:$B$41,0)),0)</f>
        <v>150</v>
      </c>
      <c r="I2358" s="16" t="n">
        <f aca="false">IFERROR(SUMIFS(ROTACAO_RDM!$B$6:$B$71,ROTACAO_RDM!$D$6:$D$71,$E2358,ROTACAO_RDM!$I$6:$I$71,"&lt;="&amp;$C2358+INT(DIAS_POR_SEMANA/2),ROTACAO_RDM!$J$6:$J$71,"&gt;="&amp;$C2358+INT(DIAS_POR_SEMANA/2)),0)</f>
        <v>0</v>
      </c>
      <c r="J2358" s="16" t="n">
        <f aca="false">IFERROR(MATCH($I2358,ROTACAO_RDM!$B$6:$B$71,0),0)</f>
        <v>0</v>
      </c>
      <c r="K2358" s="8" t="str">
        <f aca="false">IF($J2358=0,"SEM CULTURA",INDEX(ROTACAO_RDM!$F$6:$F$71,$J2358))</f>
        <v>SEM CULTURA</v>
      </c>
      <c r="L2358" s="8" t="str">
        <f aca="false">IF($J2358=0,"",INDEX(ROTACAO_RDM!$G$6:$G$71,$J2358))</f>
        <v/>
      </c>
      <c r="M2358" s="17" t="str">
        <f aca="false">IF($J2358=0,"",INDEX(ROTACAO_RDM!$I$6:$I$71,$J2358))</f>
        <v/>
      </c>
      <c r="N2358" s="16" t="n">
        <f aca="false">IF($J2358=0,0,MAX(0,$C2358+INT(DIAS_POR_SEMANA/2)-INDEX(ROTACAO_RDM!$I$6:$I$71,$J2358)))</f>
        <v>0</v>
      </c>
      <c r="O2358" s="19" t="n">
        <f aca="false">IF($J2358=0,0,MIN(1,$N2358/MAX(1,INDEX(ROTACAO_RDM!$K$6:$K$71,$J2358))))</f>
        <v>0</v>
      </c>
      <c r="P2358" s="16" t="n">
        <f aca="false">IF($J2358=0,0,IFERROR(MATCH(INDEX(ROTACAO_RDM!$N$6:$N$71,$J2358),PARAMETROS_CULTURAS!$B$6:$B$28,0),0))</f>
        <v>0</v>
      </c>
      <c r="Q2358" s="8" t="str">
        <f aca="false">IF($P2358=0,"-",IF($O2358&lt;=INDEX(PARAMETROS_CULTURAS!$F$6:$F$28,$P2358),"INICIAL",IF($O2358&lt;=INDEX(PARAMETROS_CULTURAS!$F$6:$F$28,$P2358)+INDEX(PARAMETROS_CULTURAS!$G$6:$G$28,$P2358),"DESENVOLVIMENTO",IF($O2358&lt;=INDEX(PARAMETROS_CULTURAS!$F$6:$F$28,$P2358)+INDEX(PARAMETROS_CULTURAS!$G$6:$G$28,$P2358)+INDEX(PARAMETROS_CULTURAS!$H$6:$H$28,$P2358),"MEDIA","FINAL"))))</f>
        <v>-</v>
      </c>
      <c r="R2358" s="24" t="n">
        <f aca="false">IF($P2358=0,0,IF($O2358&lt;=INDEX(PARAMETROS_CULTURAS!$F$6:$F$28,$P2358),INDEX(PARAMETROS_CULTURAS!$K$6:$K$28,$P2358),IF($O2358&lt;=INDEX(PARAMETROS_CULTURAS!$F$6:$F$28,$P2358)+INDEX(PARAMETROS_CULTURAS!$G$6:$G$28,$P2358),INDEX(PARAMETROS_CULTURAS!$K$6:$K$28,$P2358)+(INDEX(PARAMETROS_CULTURAS!$L$6:$L$28,$P2358)-INDEX(PARAMETROS_CULTURAS!$K$6:$K$28,$P2358))*($O2358-INDEX(PARAMETROS_CULTURAS!$F$6:$F$28,$P2358))/MAX(INDEX(PARAMETROS_CULTURAS!$G$6:$G$28,$P2358),0.0001),IF($O2358&lt;=INDEX(PARAMETROS_CULTURAS!$F$6:$F$28,$P2358)+INDEX(PARAMETROS_CULTURAS!$G$6:$G$28,$P2358)+INDEX(PARAMETROS_CULTURAS!$H$6:$H$28,$P2358),INDEX(PARAMETROS_CULTURAS!$L$6:$L$28,$P2358),INDEX(PARAMETROS_CULTURAS!$L$6:$L$28,$P2358)+(INDEX(PARAMETROS_CULTURAS!$M$6:$M$28,$P2358)-INDEX(PARAMETROS_CULTURAS!$L$6:$L$28,$P2358))*($O2358-INDEX(PARAMETROS_CULTURAS!$F$6:$F$28,$P2358)-INDEX(PARAMETROS_CULTURAS!$G$6:$G$28,$P2358)-INDEX(PARAMETROS_CULTURAS!$H$6:$H$28,$P2358))/MAX(INDEX(PARAMETROS_CULTURAS!$I$6:$I$28,$P2358),0.0001)))))</f>
        <v>0</v>
      </c>
      <c r="S2358" s="18" t="n">
        <f aca="false">IFERROR(INDEX(SEMANAS!$H$6:$H$71,MATCH($B2358,SEMANAS!$B$6:$B$71,0)),0)</f>
        <v>28</v>
      </c>
      <c r="T2358" s="18" t="n">
        <f aca="false">$R2358*$S2358</f>
        <v>0</v>
      </c>
      <c r="U2358" s="18" t="n">
        <f aca="false">IFERROR(INDEX(SEMANAS!$I$6:$I$71,MATCH($B2358,SEMANAS!$B$6:$B$71,0)),0)</f>
        <v>1.19</v>
      </c>
      <c r="V2358" s="18" t="n">
        <f aca="false">IFERROR(INDEX(SEMANAS!$J$6:$J$71,MATCH($B2358,SEMANAS!$B$6:$B$71,0)),0)</f>
        <v>0.952</v>
      </c>
      <c r="W2358" s="18" t="n">
        <f aca="false">MAX(0,$T2358-$V2358)</f>
        <v>0</v>
      </c>
      <c r="X2358" s="19" t="n">
        <f aca="false">IFERROR(INDEX(CADASTRO_PIVOS!$K$6:$K$41,MATCH($E2358,CADASTRO_PIVOS!$B$6:$B$41,0)),EFICIENCIA_PADRAO)</f>
        <v>0.85</v>
      </c>
      <c r="Y2358" s="18" t="n">
        <f aca="false">IF($X2358&lt;=0,0,$W2358/$X2358)</f>
        <v>0</v>
      </c>
      <c r="Z2358" s="16" t="n">
        <f aca="false">$Y2358*$H2358*MM_PARA_M3_HA</f>
        <v>0</v>
      </c>
      <c r="AA2358" s="18" t="n">
        <f aca="false">IFERROR(INDEX(CADASTRO_PIVOS!$I$6:$I$41,MATCH($E2358,CADASTRO_PIVOS!$B$6:$B$41,0)),0)</f>
        <v>1071.42857142857</v>
      </c>
      <c r="AB2358" s="18" t="n">
        <f aca="false">IF($Z2358&lt;=0,0,$Z2358/$AA2358)</f>
        <v>0</v>
      </c>
      <c r="AC2358" s="16" t="n">
        <f aca="false">IFERROR(INDEX(SEMANAS!$K$6:$K$71,MATCH($B2358,SEMANAS!$B$6:$B$71,0)),0)</f>
        <v>147</v>
      </c>
      <c r="AD2358" s="19" t="n">
        <f aca="false">IF($AC2358&lt;=0,0,$AB2358/$AC2358)</f>
        <v>0</v>
      </c>
      <c r="AE2358" s="8" t="str">
        <f aca="false">IF($K2358="SEM CULTURA","SEM CULTURA",IF($AA2358&lt;=0,"DADO PENDENTE",IF($AD2358&gt;LIMITE_CRITICO,"INVIAVEL",IF($AD2358&gt;LIMITE_ATENCAO,"CRITICO",IF($AD2358&gt;LIMITE_CONFORTAVEL,"ATENCAO","OK")))))</f>
        <v>SEM CULTURA</v>
      </c>
      <c r="AF2358" s="8" t="str">
        <f aca="false">$B2358&amp;"|"&amp;TEXT($AD2358,"0.000000")</f>
        <v>43|0.000000</v>
      </c>
      <c r="AG2358" s="18" t="n">
        <f aca="false">IF($K2358="SEM CULTURA",0,$T2358*$H2358)</f>
        <v>0</v>
      </c>
      <c r="AH2358" s="18" t="n">
        <f aca="false">IF($K2358="SEM CULTURA",0,$V2358*$H2358)</f>
        <v>0</v>
      </c>
      <c r="AI2358" s="18" t="n">
        <f aca="false">IF($K2358="SEM CULTURA",0,$W2358*$H2358)</f>
        <v>0</v>
      </c>
      <c r="AJ2358" s="18" t="n">
        <f aca="false">IF($K2358="SEM CULTURA",0,$S2358*$H2358)</f>
        <v>0</v>
      </c>
      <c r="AK2358" s="8" t="str">
        <f aca="false">$E2358&amp;"|"&amp;TEXT($AD2358,"0.000000")</f>
        <v>PV 137|0.000000</v>
      </c>
    </row>
    <row r="2359" customFormat="false" ht="15" hidden="false" customHeight="false" outlineLevel="0" collapsed="false">
      <c r="B2359" s="16" t="n">
        <v>44</v>
      </c>
      <c r="C2359" s="17" t="n">
        <f aca="false">DATA_INICIO_SAFRA+($B2359-1)*DIAS_POR_SEMANA</f>
        <v>46566</v>
      </c>
      <c r="D2359" s="17" t="n">
        <f aca="false">$C2359+DIAS_POR_SEMANA-1</f>
        <v>46572</v>
      </c>
      <c r="E2359" s="15" t="s">
        <v>294</v>
      </c>
      <c r="F2359" s="8" t="str">
        <f aca="false">IFERROR(INDEX(CADASTRO_PIVOS!$C$6:$C$41,MATCH($E2359,CADASTRO_PIVOS!$B$6:$B$41,0)),"?")</f>
        <v>RM08</v>
      </c>
      <c r="G2359" s="8" t="str">
        <f aca="false">IFERROR(INDEX(CADASTRO_PIVOS!$D$6:$D$41,MATCH($E2359,CADASTRO_PIVOS!$B$6:$B$41,0)),"?")</f>
        <v>TR08</v>
      </c>
      <c r="H2359" s="20" t="n">
        <f aca="false">IFERROR(INDEX(CADASTRO_PIVOS!$E$6:$E$41,MATCH($E2359,CADASTRO_PIVOS!$B$6:$B$41,0)),0)</f>
        <v>150</v>
      </c>
      <c r="I2359" s="16" t="n">
        <f aca="false">IFERROR(SUMIFS(ROTACAO_RDM!$B$6:$B$71,ROTACAO_RDM!$D$6:$D$71,$E2359,ROTACAO_RDM!$I$6:$I$71,"&lt;="&amp;$C2359+INT(DIAS_POR_SEMANA/2),ROTACAO_RDM!$J$6:$J$71,"&gt;="&amp;$C2359+INT(DIAS_POR_SEMANA/2)),0)</f>
        <v>0</v>
      </c>
      <c r="J2359" s="16" t="n">
        <f aca="false">IFERROR(MATCH($I2359,ROTACAO_RDM!$B$6:$B$71,0),0)</f>
        <v>0</v>
      </c>
      <c r="K2359" s="8" t="str">
        <f aca="false">IF($J2359=0,"SEM CULTURA",INDEX(ROTACAO_RDM!$F$6:$F$71,$J2359))</f>
        <v>SEM CULTURA</v>
      </c>
      <c r="L2359" s="8" t="str">
        <f aca="false">IF($J2359=0,"",INDEX(ROTACAO_RDM!$G$6:$G$71,$J2359))</f>
        <v/>
      </c>
      <c r="M2359" s="17" t="str">
        <f aca="false">IF($J2359=0,"",INDEX(ROTACAO_RDM!$I$6:$I$71,$J2359))</f>
        <v/>
      </c>
      <c r="N2359" s="16" t="n">
        <f aca="false">IF($J2359=0,0,MAX(0,$C2359+INT(DIAS_POR_SEMANA/2)-INDEX(ROTACAO_RDM!$I$6:$I$71,$J2359)))</f>
        <v>0</v>
      </c>
      <c r="O2359" s="19" t="n">
        <f aca="false">IF($J2359=0,0,MIN(1,$N2359/MAX(1,INDEX(ROTACAO_RDM!$K$6:$K$71,$J2359))))</f>
        <v>0</v>
      </c>
      <c r="P2359" s="16" t="n">
        <f aca="false">IF($J2359=0,0,IFERROR(MATCH(INDEX(ROTACAO_RDM!$N$6:$N$71,$J2359),PARAMETROS_CULTURAS!$B$6:$B$28,0),0))</f>
        <v>0</v>
      </c>
      <c r="Q2359" s="8" t="str">
        <f aca="false">IF($P2359=0,"-",IF($O2359&lt;=INDEX(PARAMETROS_CULTURAS!$F$6:$F$28,$P2359),"INICIAL",IF($O2359&lt;=INDEX(PARAMETROS_CULTURAS!$F$6:$F$28,$P2359)+INDEX(PARAMETROS_CULTURAS!$G$6:$G$28,$P2359),"DESENVOLVIMENTO",IF($O2359&lt;=INDEX(PARAMETROS_CULTURAS!$F$6:$F$28,$P2359)+INDEX(PARAMETROS_CULTURAS!$G$6:$G$28,$P2359)+INDEX(PARAMETROS_CULTURAS!$H$6:$H$28,$P2359),"MEDIA","FINAL"))))</f>
        <v>-</v>
      </c>
      <c r="R2359" s="24" t="n">
        <f aca="false">IF($P2359=0,0,IF($O2359&lt;=INDEX(PARAMETROS_CULTURAS!$F$6:$F$28,$P2359),INDEX(PARAMETROS_CULTURAS!$K$6:$K$28,$P2359),IF($O2359&lt;=INDEX(PARAMETROS_CULTURAS!$F$6:$F$28,$P2359)+INDEX(PARAMETROS_CULTURAS!$G$6:$G$28,$P2359),INDEX(PARAMETROS_CULTURAS!$K$6:$K$28,$P2359)+(INDEX(PARAMETROS_CULTURAS!$L$6:$L$28,$P2359)-INDEX(PARAMETROS_CULTURAS!$K$6:$K$28,$P2359))*($O2359-INDEX(PARAMETROS_CULTURAS!$F$6:$F$28,$P2359))/MAX(INDEX(PARAMETROS_CULTURAS!$G$6:$G$28,$P2359),0.0001),IF($O2359&lt;=INDEX(PARAMETROS_CULTURAS!$F$6:$F$28,$P2359)+INDEX(PARAMETROS_CULTURAS!$G$6:$G$28,$P2359)+INDEX(PARAMETROS_CULTURAS!$H$6:$H$28,$P2359),INDEX(PARAMETROS_CULTURAS!$L$6:$L$28,$P2359),INDEX(PARAMETROS_CULTURAS!$L$6:$L$28,$P2359)+(INDEX(PARAMETROS_CULTURAS!$M$6:$M$28,$P2359)-INDEX(PARAMETROS_CULTURAS!$L$6:$L$28,$P2359))*($O2359-INDEX(PARAMETROS_CULTURAS!$F$6:$F$28,$P2359)-INDEX(PARAMETROS_CULTURAS!$G$6:$G$28,$P2359)-INDEX(PARAMETROS_CULTURAS!$H$6:$H$28,$P2359))/MAX(INDEX(PARAMETROS_CULTURAS!$I$6:$I$28,$P2359),0.0001)))))</f>
        <v>0</v>
      </c>
      <c r="S2359" s="18" t="n">
        <f aca="false">IFERROR(INDEX(SEMANAS!$H$6:$H$71,MATCH($B2359,SEMANAS!$B$6:$B$71,0)),0)</f>
        <v>29.2</v>
      </c>
      <c r="T2359" s="18" t="n">
        <f aca="false">$R2359*$S2359</f>
        <v>0</v>
      </c>
      <c r="U2359" s="18" t="n">
        <f aca="false">IFERROR(INDEX(SEMANAS!$I$6:$I$71,MATCH($B2359,SEMANAS!$B$6:$B$71,0)),0)</f>
        <v>0.91</v>
      </c>
      <c r="V2359" s="18" t="n">
        <f aca="false">IFERROR(INDEX(SEMANAS!$J$6:$J$71,MATCH($B2359,SEMANAS!$B$6:$B$71,0)),0)</f>
        <v>0.728</v>
      </c>
      <c r="W2359" s="18" t="n">
        <f aca="false">MAX(0,$T2359-$V2359)</f>
        <v>0</v>
      </c>
      <c r="X2359" s="19" t="n">
        <f aca="false">IFERROR(INDEX(CADASTRO_PIVOS!$K$6:$K$41,MATCH($E2359,CADASTRO_PIVOS!$B$6:$B$41,0)),EFICIENCIA_PADRAO)</f>
        <v>0.85</v>
      </c>
      <c r="Y2359" s="18" t="n">
        <f aca="false">IF($X2359&lt;=0,0,$W2359/$X2359)</f>
        <v>0</v>
      </c>
      <c r="Z2359" s="16" t="n">
        <f aca="false">$Y2359*$H2359*MM_PARA_M3_HA</f>
        <v>0</v>
      </c>
      <c r="AA2359" s="18" t="n">
        <f aca="false">IFERROR(INDEX(CADASTRO_PIVOS!$I$6:$I$41,MATCH($E2359,CADASTRO_PIVOS!$B$6:$B$41,0)),0)</f>
        <v>1071.42857142857</v>
      </c>
      <c r="AB2359" s="18" t="n">
        <f aca="false">IF($Z2359&lt;=0,0,$Z2359/$AA2359)</f>
        <v>0</v>
      </c>
      <c r="AC2359" s="16" t="n">
        <f aca="false">IFERROR(INDEX(SEMANAS!$K$6:$K$71,MATCH($B2359,SEMANAS!$B$6:$B$71,0)),0)</f>
        <v>147</v>
      </c>
      <c r="AD2359" s="19" t="n">
        <f aca="false">IF($AC2359&lt;=0,0,$AB2359/$AC2359)</f>
        <v>0</v>
      </c>
      <c r="AE2359" s="8" t="str">
        <f aca="false">IF($K2359="SEM CULTURA","SEM CULTURA",IF($AA2359&lt;=0,"DADO PENDENTE",IF($AD2359&gt;LIMITE_CRITICO,"INVIAVEL",IF($AD2359&gt;LIMITE_ATENCAO,"CRITICO",IF($AD2359&gt;LIMITE_CONFORTAVEL,"ATENCAO","OK")))))</f>
        <v>SEM CULTURA</v>
      </c>
      <c r="AF2359" s="8" t="str">
        <f aca="false">$B2359&amp;"|"&amp;TEXT($AD2359,"0.000000")</f>
        <v>44|0.000000</v>
      </c>
      <c r="AG2359" s="18" t="n">
        <f aca="false">IF($K2359="SEM CULTURA",0,$T2359*$H2359)</f>
        <v>0</v>
      </c>
      <c r="AH2359" s="18" t="n">
        <f aca="false">IF($K2359="SEM CULTURA",0,$V2359*$H2359)</f>
        <v>0</v>
      </c>
      <c r="AI2359" s="18" t="n">
        <f aca="false">IF($K2359="SEM CULTURA",0,$W2359*$H2359)</f>
        <v>0</v>
      </c>
      <c r="AJ2359" s="18" t="n">
        <f aca="false">IF($K2359="SEM CULTURA",0,$S2359*$H2359)</f>
        <v>0</v>
      </c>
      <c r="AK2359" s="8" t="str">
        <f aca="false">$E2359&amp;"|"&amp;TEXT($AD2359,"0.000000")</f>
        <v>PV 137|0.000000</v>
      </c>
    </row>
    <row r="2360" customFormat="false" ht="15" hidden="false" customHeight="false" outlineLevel="0" collapsed="false">
      <c r="B2360" s="16" t="n">
        <v>45</v>
      </c>
      <c r="C2360" s="17" t="n">
        <f aca="false">DATA_INICIO_SAFRA+($B2360-1)*DIAS_POR_SEMANA</f>
        <v>46573</v>
      </c>
      <c r="D2360" s="17" t="n">
        <f aca="false">$C2360+DIAS_POR_SEMANA-1</f>
        <v>46579</v>
      </c>
      <c r="E2360" s="15" t="s">
        <v>294</v>
      </c>
      <c r="F2360" s="8" t="str">
        <f aca="false">IFERROR(INDEX(CADASTRO_PIVOS!$C$6:$C$41,MATCH($E2360,CADASTRO_PIVOS!$B$6:$B$41,0)),"?")</f>
        <v>RM08</v>
      </c>
      <c r="G2360" s="8" t="str">
        <f aca="false">IFERROR(INDEX(CADASTRO_PIVOS!$D$6:$D$41,MATCH($E2360,CADASTRO_PIVOS!$B$6:$B$41,0)),"?")</f>
        <v>TR08</v>
      </c>
      <c r="H2360" s="20" t="n">
        <f aca="false">IFERROR(INDEX(CADASTRO_PIVOS!$E$6:$E$41,MATCH($E2360,CADASTRO_PIVOS!$B$6:$B$41,0)),0)</f>
        <v>150</v>
      </c>
      <c r="I2360" s="16" t="n">
        <f aca="false">IFERROR(SUMIFS(ROTACAO_RDM!$B$6:$B$71,ROTACAO_RDM!$D$6:$D$71,$E2360,ROTACAO_RDM!$I$6:$I$71,"&lt;="&amp;$C2360+INT(DIAS_POR_SEMANA/2),ROTACAO_RDM!$J$6:$J$71,"&gt;="&amp;$C2360+INT(DIAS_POR_SEMANA/2)),0)</f>
        <v>0</v>
      </c>
      <c r="J2360" s="16" t="n">
        <f aca="false">IFERROR(MATCH($I2360,ROTACAO_RDM!$B$6:$B$71,0),0)</f>
        <v>0</v>
      </c>
      <c r="K2360" s="8" t="str">
        <f aca="false">IF($J2360=0,"SEM CULTURA",INDEX(ROTACAO_RDM!$F$6:$F$71,$J2360))</f>
        <v>SEM CULTURA</v>
      </c>
      <c r="L2360" s="8" t="str">
        <f aca="false">IF($J2360=0,"",INDEX(ROTACAO_RDM!$G$6:$G$71,$J2360))</f>
        <v/>
      </c>
      <c r="M2360" s="17" t="str">
        <f aca="false">IF($J2360=0,"",INDEX(ROTACAO_RDM!$I$6:$I$71,$J2360))</f>
        <v/>
      </c>
      <c r="N2360" s="16" t="n">
        <f aca="false">IF($J2360=0,0,MAX(0,$C2360+INT(DIAS_POR_SEMANA/2)-INDEX(ROTACAO_RDM!$I$6:$I$71,$J2360)))</f>
        <v>0</v>
      </c>
      <c r="O2360" s="19" t="n">
        <f aca="false">IF($J2360=0,0,MIN(1,$N2360/MAX(1,INDEX(ROTACAO_RDM!$K$6:$K$71,$J2360))))</f>
        <v>0</v>
      </c>
      <c r="P2360" s="16" t="n">
        <f aca="false">IF($J2360=0,0,IFERROR(MATCH(INDEX(ROTACAO_RDM!$N$6:$N$71,$J2360),PARAMETROS_CULTURAS!$B$6:$B$28,0),0))</f>
        <v>0</v>
      </c>
      <c r="Q2360" s="8" t="str">
        <f aca="false">IF($P2360=0,"-",IF($O2360&lt;=INDEX(PARAMETROS_CULTURAS!$F$6:$F$28,$P2360),"INICIAL",IF($O2360&lt;=INDEX(PARAMETROS_CULTURAS!$F$6:$F$28,$P2360)+INDEX(PARAMETROS_CULTURAS!$G$6:$G$28,$P2360),"DESENVOLVIMENTO",IF($O2360&lt;=INDEX(PARAMETROS_CULTURAS!$F$6:$F$28,$P2360)+INDEX(PARAMETROS_CULTURAS!$G$6:$G$28,$P2360)+INDEX(PARAMETROS_CULTURAS!$H$6:$H$28,$P2360),"MEDIA","FINAL"))))</f>
        <v>-</v>
      </c>
      <c r="R2360" s="24" t="n">
        <f aca="false">IF($P2360=0,0,IF($O2360&lt;=INDEX(PARAMETROS_CULTURAS!$F$6:$F$28,$P2360),INDEX(PARAMETROS_CULTURAS!$K$6:$K$28,$P2360),IF($O2360&lt;=INDEX(PARAMETROS_CULTURAS!$F$6:$F$28,$P2360)+INDEX(PARAMETROS_CULTURAS!$G$6:$G$28,$P2360),INDEX(PARAMETROS_CULTURAS!$K$6:$K$28,$P2360)+(INDEX(PARAMETROS_CULTURAS!$L$6:$L$28,$P2360)-INDEX(PARAMETROS_CULTURAS!$K$6:$K$28,$P2360))*($O2360-INDEX(PARAMETROS_CULTURAS!$F$6:$F$28,$P2360))/MAX(INDEX(PARAMETROS_CULTURAS!$G$6:$G$28,$P2360),0.0001),IF($O2360&lt;=INDEX(PARAMETROS_CULTURAS!$F$6:$F$28,$P2360)+INDEX(PARAMETROS_CULTURAS!$G$6:$G$28,$P2360)+INDEX(PARAMETROS_CULTURAS!$H$6:$H$28,$P2360),INDEX(PARAMETROS_CULTURAS!$L$6:$L$28,$P2360),INDEX(PARAMETROS_CULTURAS!$L$6:$L$28,$P2360)+(INDEX(PARAMETROS_CULTURAS!$M$6:$M$28,$P2360)-INDEX(PARAMETROS_CULTURAS!$L$6:$L$28,$P2360))*($O2360-INDEX(PARAMETROS_CULTURAS!$F$6:$F$28,$P2360)-INDEX(PARAMETROS_CULTURAS!$G$6:$G$28,$P2360)-INDEX(PARAMETROS_CULTURAS!$H$6:$H$28,$P2360))/MAX(INDEX(PARAMETROS_CULTURAS!$I$6:$I$28,$P2360),0.0001)))))</f>
        <v>0</v>
      </c>
      <c r="S2360" s="18" t="n">
        <f aca="false">IFERROR(INDEX(SEMANAS!$H$6:$H$71,MATCH($B2360,SEMANAS!$B$6:$B$71,0)),0)</f>
        <v>30.1</v>
      </c>
      <c r="T2360" s="18" t="n">
        <f aca="false">$R2360*$S2360</f>
        <v>0</v>
      </c>
      <c r="U2360" s="18" t="n">
        <f aca="false">IFERROR(INDEX(SEMANAS!$I$6:$I$71,MATCH($B2360,SEMANAS!$B$6:$B$71,0)),0)</f>
        <v>0.7</v>
      </c>
      <c r="V2360" s="18" t="n">
        <f aca="false">IFERROR(INDEX(SEMANAS!$J$6:$J$71,MATCH($B2360,SEMANAS!$B$6:$B$71,0)),0)</f>
        <v>0.56</v>
      </c>
      <c r="W2360" s="18" t="n">
        <f aca="false">MAX(0,$T2360-$V2360)</f>
        <v>0</v>
      </c>
      <c r="X2360" s="19" t="n">
        <f aca="false">IFERROR(INDEX(CADASTRO_PIVOS!$K$6:$K$41,MATCH($E2360,CADASTRO_PIVOS!$B$6:$B$41,0)),EFICIENCIA_PADRAO)</f>
        <v>0.85</v>
      </c>
      <c r="Y2360" s="18" t="n">
        <f aca="false">IF($X2360&lt;=0,0,$W2360/$X2360)</f>
        <v>0</v>
      </c>
      <c r="Z2360" s="16" t="n">
        <f aca="false">$Y2360*$H2360*MM_PARA_M3_HA</f>
        <v>0</v>
      </c>
      <c r="AA2360" s="18" t="n">
        <f aca="false">IFERROR(INDEX(CADASTRO_PIVOS!$I$6:$I$41,MATCH($E2360,CADASTRO_PIVOS!$B$6:$B$41,0)),0)</f>
        <v>1071.42857142857</v>
      </c>
      <c r="AB2360" s="18" t="n">
        <f aca="false">IF($Z2360&lt;=0,0,$Z2360/$AA2360)</f>
        <v>0</v>
      </c>
      <c r="AC2360" s="16" t="n">
        <f aca="false">IFERROR(INDEX(SEMANAS!$K$6:$K$71,MATCH($B2360,SEMANAS!$B$6:$B$71,0)),0)</f>
        <v>147</v>
      </c>
      <c r="AD2360" s="19" t="n">
        <f aca="false">IF($AC2360&lt;=0,0,$AB2360/$AC2360)</f>
        <v>0</v>
      </c>
      <c r="AE2360" s="8" t="str">
        <f aca="false">IF($K2360="SEM CULTURA","SEM CULTURA",IF($AA2360&lt;=0,"DADO PENDENTE",IF($AD2360&gt;LIMITE_CRITICO,"INVIAVEL",IF($AD2360&gt;LIMITE_ATENCAO,"CRITICO",IF($AD2360&gt;LIMITE_CONFORTAVEL,"ATENCAO","OK")))))</f>
        <v>SEM CULTURA</v>
      </c>
      <c r="AF2360" s="8" t="str">
        <f aca="false">$B2360&amp;"|"&amp;TEXT($AD2360,"0.000000")</f>
        <v>45|0.000000</v>
      </c>
      <c r="AG2360" s="18" t="n">
        <f aca="false">IF($K2360="SEM CULTURA",0,$T2360*$H2360)</f>
        <v>0</v>
      </c>
      <c r="AH2360" s="18" t="n">
        <f aca="false">IF($K2360="SEM CULTURA",0,$V2360*$H2360)</f>
        <v>0</v>
      </c>
      <c r="AI2360" s="18" t="n">
        <f aca="false">IF($K2360="SEM CULTURA",0,$W2360*$H2360)</f>
        <v>0</v>
      </c>
      <c r="AJ2360" s="18" t="n">
        <f aca="false">IF($K2360="SEM CULTURA",0,$S2360*$H2360)</f>
        <v>0</v>
      </c>
      <c r="AK2360" s="8" t="str">
        <f aca="false">$E2360&amp;"|"&amp;TEXT($AD2360,"0.000000")</f>
        <v>PV 137|0.000000</v>
      </c>
    </row>
    <row r="2361" customFormat="false" ht="15" hidden="false" customHeight="false" outlineLevel="0" collapsed="false">
      <c r="B2361" s="16" t="n">
        <v>46</v>
      </c>
      <c r="C2361" s="17" t="n">
        <f aca="false">DATA_INICIO_SAFRA+($B2361-1)*DIAS_POR_SEMANA</f>
        <v>46580</v>
      </c>
      <c r="D2361" s="17" t="n">
        <f aca="false">$C2361+DIAS_POR_SEMANA-1</f>
        <v>46586</v>
      </c>
      <c r="E2361" s="15" t="s">
        <v>294</v>
      </c>
      <c r="F2361" s="8" t="str">
        <f aca="false">IFERROR(INDEX(CADASTRO_PIVOS!$C$6:$C$41,MATCH($E2361,CADASTRO_PIVOS!$B$6:$B$41,0)),"?")</f>
        <v>RM08</v>
      </c>
      <c r="G2361" s="8" t="str">
        <f aca="false">IFERROR(INDEX(CADASTRO_PIVOS!$D$6:$D$41,MATCH($E2361,CADASTRO_PIVOS!$B$6:$B$41,0)),"?")</f>
        <v>TR08</v>
      </c>
      <c r="H2361" s="20" t="n">
        <f aca="false">IFERROR(INDEX(CADASTRO_PIVOS!$E$6:$E$41,MATCH($E2361,CADASTRO_PIVOS!$B$6:$B$41,0)),0)</f>
        <v>150</v>
      </c>
      <c r="I2361" s="16" t="n">
        <f aca="false">IFERROR(SUMIFS(ROTACAO_RDM!$B$6:$B$71,ROTACAO_RDM!$D$6:$D$71,$E2361,ROTACAO_RDM!$I$6:$I$71,"&lt;="&amp;$C2361+INT(DIAS_POR_SEMANA/2),ROTACAO_RDM!$J$6:$J$71,"&gt;="&amp;$C2361+INT(DIAS_POR_SEMANA/2)),0)</f>
        <v>0</v>
      </c>
      <c r="J2361" s="16" t="n">
        <f aca="false">IFERROR(MATCH($I2361,ROTACAO_RDM!$B$6:$B$71,0),0)</f>
        <v>0</v>
      </c>
      <c r="K2361" s="8" t="str">
        <f aca="false">IF($J2361=0,"SEM CULTURA",INDEX(ROTACAO_RDM!$F$6:$F$71,$J2361))</f>
        <v>SEM CULTURA</v>
      </c>
      <c r="L2361" s="8" t="str">
        <f aca="false">IF($J2361=0,"",INDEX(ROTACAO_RDM!$G$6:$G$71,$J2361))</f>
        <v/>
      </c>
      <c r="M2361" s="17" t="str">
        <f aca="false">IF($J2361=0,"",INDEX(ROTACAO_RDM!$I$6:$I$71,$J2361))</f>
        <v/>
      </c>
      <c r="N2361" s="16" t="n">
        <f aca="false">IF($J2361=0,0,MAX(0,$C2361+INT(DIAS_POR_SEMANA/2)-INDEX(ROTACAO_RDM!$I$6:$I$71,$J2361)))</f>
        <v>0</v>
      </c>
      <c r="O2361" s="19" t="n">
        <f aca="false">IF($J2361=0,0,MIN(1,$N2361/MAX(1,INDEX(ROTACAO_RDM!$K$6:$K$71,$J2361))))</f>
        <v>0</v>
      </c>
      <c r="P2361" s="16" t="n">
        <f aca="false">IF($J2361=0,0,IFERROR(MATCH(INDEX(ROTACAO_RDM!$N$6:$N$71,$J2361),PARAMETROS_CULTURAS!$B$6:$B$28,0),0))</f>
        <v>0</v>
      </c>
      <c r="Q2361" s="8" t="str">
        <f aca="false">IF($P2361=0,"-",IF($O2361&lt;=INDEX(PARAMETROS_CULTURAS!$F$6:$F$28,$P2361),"INICIAL",IF($O2361&lt;=INDEX(PARAMETROS_CULTURAS!$F$6:$F$28,$P2361)+INDEX(PARAMETROS_CULTURAS!$G$6:$G$28,$P2361),"DESENVOLVIMENTO",IF($O2361&lt;=INDEX(PARAMETROS_CULTURAS!$F$6:$F$28,$P2361)+INDEX(PARAMETROS_CULTURAS!$G$6:$G$28,$P2361)+INDEX(PARAMETROS_CULTURAS!$H$6:$H$28,$P2361),"MEDIA","FINAL"))))</f>
        <v>-</v>
      </c>
      <c r="R2361" s="24" t="n">
        <f aca="false">IF($P2361=0,0,IF($O2361&lt;=INDEX(PARAMETROS_CULTURAS!$F$6:$F$28,$P2361),INDEX(PARAMETROS_CULTURAS!$K$6:$K$28,$P2361),IF($O2361&lt;=INDEX(PARAMETROS_CULTURAS!$F$6:$F$28,$P2361)+INDEX(PARAMETROS_CULTURAS!$G$6:$G$28,$P2361),INDEX(PARAMETROS_CULTURAS!$K$6:$K$28,$P2361)+(INDEX(PARAMETROS_CULTURAS!$L$6:$L$28,$P2361)-INDEX(PARAMETROS_CULTURAS!$K$6:$K$28,$P2361))*($O2361-INDEX(PARAMETROS_CULTURAS!$F$6:$F$28,$P2361))/MAX(INDEX(PARAMETROS_CULTURAS!$G$6:$G$28,$P2361),0.0001),IF($O2361&lt;=INDEX(PARAMETROS_CULTURAS!$F$6:$F$28,$P2361)+INDEX(PARAMETROS_CULTURAS!$G$6:$G$28,$P2361)+INDEX(PARAMETROS_CULTURAS!$H$6:$H$28,$P2361),INDEX(PARAMETROS_CULTURAS!$L$6:$L$28,$P2361),INDEX(PARAMETROS_CULTURAS!$L$6:$L$28,$P2361)+(INDEX(PARAMETROS_CULTURAS!$M$6:$M$28,$P2361)-INDEX(PARAMETROS_CULTURAS!$L$6:$L$28,$P2361))*($O2361-INDEX(PARAMETROS_CULTURAS!$F$6:$F$28,$P2361)-INDEX(PARAMETROS_CULTURAS!$G$6:$G$28,$P2361)-INDEX(PARAMETROS_CULTURAS!$H$6:$H$28,$P2361))/MAX(INDEX(PARAMETROS_CULTURAS!$I$6:$I$28,$P2361),0.0001)))))</f>
        <v>0</v>
      </c>
      <c r="S2361" s="18" t="n">
        <f aca="false">IFERROR(INDEX(SEMANAS!$H$6:$H$71,MATCH($B2361,SEMANAS!$B$6:$B$71,0)),0)</f>
        <v>30.1</v>
      </c>
      <c r="T2361" s="18" t="n">
        <f aca="false">$R2361*$S2361</f>
        <v>0</v>
      </c>
      <c r="U2361" s="18" t="n">
        <f aca="false">IFERROR(INDEX(SEMANAS!$I$6:$I$71,MATCH($B2361,SEMANAS!$B$6:$B$71,0)),0)</f>
        <v>0.7</v>
      </c>
      <c r="V2361" s="18" t="n">
        <f aca="false">IFERROR(INDEX(SEMANAS!$J$6:$J$71,MATCH($B2361,SEMANAS!$B$6:$B$71,0)),0)</f>
        <v>0.56</v>
      </c>
      <c r="W2361" s="18" t="n">
        <f aca="false">MAX(0,$T2361-$V2361)</f>
        <v>0</v>
      </c>
      <c r="X2361" s="19" t="n">
        <f aca="false">IFERROR(INDEX(CADASTRO_PIVOS!$K$6:$K$41,MATCH($E2361,CADASTRO_PIVOS!$B$6:$B$41,0)),EFICIENCIA_PADRAO)</f>
        <v>0.85</v>
      </c>
      <c r="Y2361" s="18" t="n">
        <f aca="false">IF($X2361&lt;=0,0,$W2361/$X2361)</f>
        <v>0</v>
      </c>
      <c r="Z2361" s="16" t="n">
        <f aca="false">$Y2361*$H2361*MM_PARA_M3_HA</f>
        <v>0</v>
      </c>
      <c r="AA2361" s="18" t="n">
        <f aca="false">IFERROR(INDEX(CADASTRO_PIVOS!$I$6:$I$41,MATCH($E2361,CADASTRO_PIVOS!$B$6:$B$41,0)),0)</f>
        <v>1071.42857142857</v>
      </c>
      <c r="AB2361" s="18" t="n">
        <f aca="false">IF($Z2361&lt;=0,0,$Z2361/$AA2361)</f>
        <v>0</v>
      </c>
      <c r="AC2361" s="16" t="n">
        <f aca="false">IFERROR(INDEX(SEMANAS!$K$6:$K$71,MATCH($B2361,SEMANAS!$B$6:$B$71,0)),0)</f>
        <v>147</v>
      </c>
      <c r="AD2361" s="19" t="n">
        <f aca="false">IF($AC2361&lt;=0,0,$AB2361/$AC2361)</f>
        <v>0</v>
      </c>
      <c r="AE2361" s="8" t="str">
        <f aca="false">IF($K2361="SEM CULTURA","SEM CULTURA",IF($AA2361&lt;=0,"DADO PENDENTE",IF($AD2361&gt;LIMITE_CRITICO,"INVIAVEL",IF($AD2361&gt;LIMITE_ATENCAO,"CRITICO",IF($AD2361&gt;LIMITE_CONFORTAVEL,"ATENCAO","OK")))))</f>
        <v>SEM CULTURA</v>
      </c>
      <c r="AF2361" s="8" t="str">
        <f aca="false">$B2361&amp;"|"&amp;TEXT($AD2361,"0.000000")</f>
        <v>46|0.000000</v>
      </c>
      <c r="AG2361" s="18" t="n">
        <f aca="false">IF($K2361="SEM CULTURA",0,$T2361*$H2361)</f>
        <v>0</v>
      </c>
      <c r="AH2361" s="18" t="n">
        <f aca="false">IF($K2361="SEM CULTURA",0,$V2361*$H2361)</f>
        <v>0</v>
      </c>
      <c r="AI2361" s="18" t="n">
        <f aca="false">IF($K2361="SEM CULTURA",0,$W2361*$H2361)</f>
        <v>0</v>
      </c>
      <c r="AJ2361" s="18" t="n">
        <f aca="false">IF($K2361="SEM CULTURA",0,$S2361*$H2361)</f>
        <v>0</v>
      </c>
      <c r="AK2361" s="8" t="str">
        <f aca="false">$E2361&amp;"|"&amp;TEXT($AD2361,"0.000000")</f>
        <v>PV 137|0.000000</v>
      </c>
    </row>
    <row r="2362" customFormat="false" ht="15" hidden="false" customHeight="false" outlineLevel="0" collapsed="false">
      <c r="B2362" s="16" t="n">
        <v>47</v>
      </c>
      <c r="C2362" s="17" t="n">
        <f aca="false">DATA_INICIO_SAFRA+($B2362-1)*DIAS_POR_SEMANA</f>
        <v>46587</v>
      </c>
      <c r="D2362" s="17" t="n">
        <f aca="false">$C2362+DIAS_POR_SEMANA-1</f>
        <v>46593</v>
      </c>
      <c r="E2362" s="15" t="s">
        <v>294</v>
      </c>
      <c r="F2362" s="8" t="str">
        <f aca="false">IFERROR(INDEX(CADASTRO_PIVOS!$C$6:$C$41,MATCH($E2362,CADASTRO_PIVOS!$B$6:$B$41,0)),"?")</f>
        <v>RM08</v>
      </c>
      <c r="G2362" s="8" t="str">
        <f aca="false">IFERROR(INDEX(CADASTRO_PIVOS!$D$6:$D$41,MATCH($E2362,CADASTRO_PIVOS!$B$6:$B$41,0)),"?")</f>
        <v>TR08</v>
      </c>
      <c r="H2362" s="20" t="n">
        <f aca="false">IFERROR(INDEX(CADASTRO_PIVOS!$E$6:$E$41,MATCH($E2362,CADASTRO_PIVOS!$B$6:$B$41,0)),0)</f>
        <v>150</v>
      </c>
      <c r="I2362" s="16" t="n">
        <f aca="false">IFERROR(SUMIFS(ROTACAO_RDM!$B$6:$B$71,ROTACAO_RDM!$D$6:$D$71,$E2362,ROTACAO_RDM!$I$6:$I$71,"&lt;="&amp;$C2362+INT(DIAS_POR_SEMANA/2),ROTACAO_RDM!$J$6:$J$71,"&gt;="&amp;$C2362+INT(DIAS_POR_SEMANA/2)),0)</f>
        <v>0</v>
      </c>
      <c r="J2362" s="16" t="n">
        <f aca="false">IFERROR(MATCH($I2362,ROTACAO_RDM!$B$6:$B$71,0),0)</f>
        <v>0</v>
      </c>
      <c r="K2362" s="8" t="str">
        <f aca="false">IF($J2362=0,"SEM CULTURA",INDEX(ROTACAO_RDM!$F$6:$F$71,$J2362))</f>
        <v>SEM CULTURA</v>
      </c>
      <c r="L2362" s="8" t="str">
        <f aca="false">IF($J2362=0,"",INDEX(ROTACAO_RDM!$G$6:$G$71,$J2362))</f>
        <v/>
      </c>
      <c r="M2362" s="17" t="str">
        <f aca="false">IF($J2362=0,"",INDEX(ROTACAO_RDM!$I$6:$I$71,$J2362))</f>
        <v/>
      </c>
      <c r="N2362" s="16" t="n">
        <f aca="false">IF($J2362=0,0,MAX(0,$C2362+INT(DIAS_POR_SEMANA/2)-INDEX(ROTACAO_RDM!$I$6:$I$71,$J2362)))</f>
        <v>0</v>
      </c>
      <c r="O2362" s="19" t="n">
        <f aca="false">IF($J2362=0,0,MIN(1,$N2362/MAX(1,INDEX(ROTACAO_RDM!$K$6:$K$71,$J2362))))</f>
        <v>0</v>
      </c>
      <c r="P2362" s="16" t="n">
        <f aca="false">IF($J2362=0,0,IFERROR(MATCH(INDEX(ROTACAO_RDM!$N$6:$N$71,$J2362),PARAMETROS_CULTURAS!$B$6:$B$28,0),0))</f>
        <v>0</v>
      </c>
      <c r="Q2362" s="8" t="str">
        <f aca="false">IF($P2362=0,"-",IF($O2362&lt;=INDEX(PARAMETROS_CULTURAS!$F$6:$F$28,$P2362),"INICIAL",IF($O2362&lt;=INDEX(PARAMETROS_CULTURAS!$F$6:$F$28,$P2362)+INDEX(PARAMETROS_CULTURAS!$G$6:$G$28,$P2362),"DESENVOLVIMENTO",IF($O2362&lt;=INDEX(PARAMETROS_CULTURAS!$F$6:$F$28,$P2362)+INDEX(PARAMETROS_CULTURAS!$G$6:$G$28,$P2362)+INDEX(PARAMETROS_CULTURAS!$H$6:$H$28,$P2362),"MEDIA","FINAL"))))</f>
        <v>-</v>
      </c>
      <c r="R2362" s="24" t="n">
        <f aca="false">IF($P2362=0,0,IF($O2362&lt;=INDEX(PARAMETROS_CULTURAS!$F$6:$F$28,$P2362),INDEX(PARAMETROS_CULTURAS!$K$6:$K$28,$P2362),IF($O2362&lt;=INDEX(PARAMETROS_CULTURAS!$F$6:$F$28,$P2362)+INDEX(PARAMETROS_CULTURAS!$G$6:$G$28,$P2362),INDEX(PARAMETROS_CULTURAS!$K$6:$K$28,$P2362)+(INDEX(PARAMETROS_CULTURAS!$L$6:$L$28,$P2362)-INDEX(PARAMETROS_CULTURAS!$K$6:$K$28,$P2362))*($O2362-INDEX(PARAMETROS_CULTURAS!$F$6:$F$28,$P2362))/MAX(INDEX(PARAMETROS_CULTURAS!$G$6:$G$28,$P2362),0.0001),IF($O2362&lt;=INDEX(PARAMETROS_CULTURAS!$F$6:$F$28,$P2362)+INDEX(PARAMETROS_CULTURAS!$G$6:$G$28,$P2362)+INDEX(PARAMETROS_CULTURAS!$H$6:$H$28,$P2362),INDEX(PARAMETROS_CULTURAS!$L$6:$L$28,$P2362),INDEX(PARAMETROS_CULTURAS!$L$6:$L$28,$P2362)+(INDEX(PARAMETROS_CULTURAS!$M$6:$M$28,$P2362)-INDEX(PARAMETROS_CULTURAS!$L$6:$L$28,$P2362))*($O2362-INDEX(PARAMETROS_CULTURAS!$F$6:$F$28,$P2362)-INDEX(PARAMETROS_CULTURAS!$G$6:$G$28,$P2362)-INDEX(PARAMETROS_CULTURAS!$H$6:$H$28,$P2362))/MAX(INDEX(PARAMETROS_CULTURAS!$I$6:$I$28,$P2362),0.0001)))))</f>
        <v>0</v>
      </c>
      <c r="S2362" s="18" t="n">
        <f aca="false">IFERROR(INDEX(SEMANAS!$H$6:$H$71,MATCH($B2362,SEMANAS!$B$6:$B$71,0)),0)</f>
        <v>30.1</v>
      </c>
      <c r="T2362" s="18" t="n">
        <f aca="false">$R2362*$S2362</f>
        <v>0</v>
      </c>
      <c r="U2362" s="18" t="n">
        <f aca="false">IFERROR(INDEX(SEMANAS!$I$6:$I$71,MATCH($B2362,SEMANAS!$B$6:$B$71,0)),0)</f>
        <v>0.7</v>
      </c>
      <c r="V2362" s="18" t="n">
        <f aca="false">IFERROR(INDEX(SEMANAS!$J$6:$J$71,MATCH($B2362,SEMANAS!$B$6:$B$71,0)),0)</f>
        <v>0.56</v>
      </c>
      <c r="W2362" s="18" t="n">
        <f aca="false">MAX(0,$T2362-$V2362)</f>
        <v>0</v>
      </c>
      <c r="X2362" s="19" t="n">
        <f aca="false">IFERROR(INDEX(CADASTRO_PIVOS!$K$6:$K$41,MATCH($E2362,CADASTRO_PIVOS!$B$6:$B$41,0)),EFICIENCIA_PADRAO)</f>
        <v>0.85</v>
      </c>
      <c r="Y2362" s="18" t="n">
        <f aca="false">IF($X2362&lt;=0,0,$W2362/$X2362)</f>
        <v>0</v>
      </c>
      <c r="Z2362" s="16" t="n">
        <f aca="false">$Y2362*$H2362*MM_PARA_M3_HA</f>
        <v>0</v>
      </c>
      <c r="AA2362" s="18" t="n">
        <f aca="false">IFERROR(INDEX(CADASTRO_PIVOS!$I$6:$I$41,MATCH($E2362,CADASTRO_PIVOS!$B$6:$B$41,0)),0)</f>
        <v>1071.42857142857</v>
      </c>
      <c r="AB2362" s="18" t="n">
        <f aca="false">IF($Z2362&lt;=0,0,$Z2362/$AA2362)</f>
        <v>0</v>
      </c>
      <c r="AC2362" s="16" t="n">
        <f aca="false">IFERROR(INDEX(SEMANAS!$K$6:$K$71,MATCH($B2362,SEMANAS!$B$6:$B$71,0)),0)</f>
        <v>147</v>
      </c>
      <c r="AD2362" s="19" t="n">
        <f aca="false">IF($AC2362&lt;=0,0,$AB2362/$AC2362)</f>
        <v>0</v>
      </c>
      <c r="AE2362" s="8" t="str">
        <f aca="false">IF($K2362="SEM CULTURA","SEM CULTURA",IF($AA2362&lt;=0,"DADO PENDENTE",IF($AD2362&gt;LIMITE_CRITICO,"INVIAVEL",IF($AD2362&gt;LIMITE_ATENCAO,"CRITICO",IF($AD2362&gt;LIMITE_CONFORTAVEL,"ATENCAO","OK")))))</f>
        <v>SEM CULTURA</v>
      </c>
      <c r="AF2362" s="8" t="str">
        <f aca="false">$B2362&amp;"|"&amp;TEXT($AD2362,"0.000000")</f>
        <v>47|0.000000</v>
      </c>
      <c r="AG2362" s="18" t="n">
        <f aca="false">IF($K2362="SEM CULTURA",0,$T2362*$H2362)</f>
        <v>0</v>
      </c>
      <c r="AH2362" s="18" t="n">
        <f aca="false">IF($K2362="SEM CULTURA",0,$V2362*$H2362)</f>
        <v>0</v>
      </c>
      <c r="AI2362" s="18" t="n">
        <f aca="false">IF($K2362="SEM CULTURA",0,$W2362*$H2362)</f>
        <v>0</v>
      </c>
      <c r="AJ2362" s="18" t="n">
        <f aca="false">IF($K2362="SEM CULTURA",0,$S2362*$H2362)</f>
        <v>0</v>
      </c>
      <c r="AK2362" s="8" t="str">
        <f aca="false">$E2362&amp;"|"&amp;TEXT($AD2362,"0.000000")</f>
        <v>PV 137|0.000000</v>
      </c>
    </row>
    <row r="2363" customFormat="false" ht="15" hidden="false" customHeight="false" outlineLevel="0" collapsed="false">
      <c r="B2363" s="16" t="n">
        <v>48</v>
      </c>
      <c r="C2363" s="17" t="n">
        <f aca="false">DATA_INICIO_SAFRA+($B2363-1)*DIAS_POR_SEMANA</f>
        <v>46594</v>
      </c>
      <c r="D2363" s="17" t="n">
        <f aca="false">$C2363+DIAS_POR_SEMANA-1</f>
        <v>46600</v>
      </c>
      <c r="E2363" s="15" t="s">
        <v>294</v>
      </c>
      <c r="F2363" s="8" t="str">
        <f aca="false">IFERROR(INDEX(CADASTRO_PIVOS!$C$6:$C$41,MATCH($E2363,CADASTRO_PIVOS!$B$6:$B$41,0)),"?")</f>
        <v>RM08</v>
      </c>
      <c r="G2363" s="8" t="str">
        <f aca="false">IFERROR(INDEX(CADASTRO_PIVOS!$D$6:$D$41,MATCH($E2363,CADASTRO_PIVOS!$B$6:$B$41,0)),"?")</f>
        <v>TR08</v>
      </c>
      <c r="H2363" s="20" t="n">
        <f aca="false">IFERROR(INDEX(CADASTRO_PIVOS!$E$6:$E$41,MATCH($E2363,CADASTRO_PIVOS!$B$6:$B$41,0)),0)</f>
        <v>150</v>
      </c>
      <c r="I2363" s="16" t="n">
        <f aca="false">IFERROR(SUMIFS(ROTACAO_RDM!$B$6:$B$71,ROTACAO_RDM!$D$6:$D$71,$E2363,ROTACAO_RDM!$I$6:$I$71,"&lt;="&amp;$C2363+INT(DIAS_POR_SEMANA/2),ROTACAO_RDM!$J$6:$J$71,"&gt;="&amp;$C2363+INT(DIAS_POR_SEMANA/2)),0)</f>
        <v>0</v>
      </c>
      <c r="J2363" s="16" t="n">
        <f aca="false">IFERROR(MATCH($I2363,ROTACAO_RDM!$B$6:$B$71,0),0)</f>
        <v>0</v>
      </c>
      <c r="K2363" s="8" t="str">
        <f aca="false">IF($J2363=0,"SEM CULTURA",INDEX(ROTACAO_RDM!$F$6:$F$71,$J2363))</f>
        <v>SEM CULTURA</v>
      </c>
      <c r="L2363" s="8" t="str">
        <f aca="false">IF($J2363=0,"",INDEX(ROTACAO_RDM!$G$6:$G$71,$J2363))</f>
        <v/>
      </c>
      <c r="M2363" s="17" t="str">
        <f aca="false">IF($J2363=0,"",INDEX(ROTACAO_RDM!$I$6:$I$71,$J2363))</f>
        <v/>
      </c>
      <c r="N2363" s="16" t="n">
        <f aca="false">IF($J2363=0,0,MAX(0,$C2363+INT(DIAS_POR_SEMANA/2)-INDEX(ROTACAO_RDM!$I$6:$I$71,$J2363)))</f>
        <v>0</v>
      </c>
      <c r="O2363" s="19" t="n">
        <f aca="false">IF($J2363=0,0,MIN(1,$N2363/MAX(1,INDEX(ROTACAO_RDM!$K$6:$K$71,$J2363))))</f>
        <v>0</v>
      </c>
      <c r="P2363" s="16" t="n">
        <f aca="false">IF($J2363=0,0,IFERROR(MATCH(INDEX(ROTACAO_RDM!$N$6:$N$71,$J2363),PARAMETROS_CULTURAS!$B$6:$B$28,0),0))</f>
        <v>0</v>
      </c>
      <c r="Q2363" s="8" t="str">
        <f aca="false">IF($P2363=0,"-",IF($O2363&lt;=INDEX(PARAMETROS_CULTURAS!$F$6:$F$28,$P2363),"INICIAL",IF($O2363&lt;=INDEX(PARAMETROS_CULTURAS!$F$6:$F$28,$P2363)+INDEX(PARAMETROS_CULTURAS!$G$6:$G$28,$P2363),"DESENVOLVIMENTO",IF($O2363&lt;=INDEX(PARAMETROS_CULTURAS!$F$6:$F$28,$P2363)+INDEX(PARAMETROS_CULTURAS!$G$6:$G$28,$P2363)+INDEX(PARAMETROS_CULTURAS!$H$6:$H$28,$P2363),"MEDIA","FINAL"))))</f>
        <v>-</v>
      </c>
      <c r="R2363" s="24" t="n">
        <f aca="false">IF($P2363=0,0,IF($O2363&lt;=INDEX(PARAMETROS_CULTURAS!$F$6:$F$28,$P2363),INDEX(PARAMETROS_CULTURAS!$K$6:$K$28,$P2363),IF($O2363&lt;=INDEX(PARAMETROS_CULTURAS!$F$6:$F$28,$P2363)+INDEX(PARAMETROS_CULTURAS!$G$6:$G$28,$P2363),INDEX(PARAMETROS_CULTURAS!$K$6:$K$28,$P2363)+(INDEX(PARAMETROS_CULTURAS!$L$6:$L$28,$P2363)-INDEX(PARAMETROS_CULTURAS!$K$6:$K$28,$P2363))*($O2363-INDEX(PARAMETROS_CULTURAS!$F$6:$F$28,$P2363))/MAX(INDEX(PARAMETROS_CULTURAS!$G$6:$G$28,$P2363),0.0001),IF($O2363&lt;=INDEX(PARAMETROS_CULTURAS!$F$6:$F$28,$P2363)+INDEX(PARAMETROS_CULTURAS!$G$6:$G$28,$P2363)+INDEX(PARAMETROS_CULTURAS!$H$6:$H$28,$P2363),INDEX(PARAMETROS_CULTURAS!$L$6:$L$28,$P2363),INDEX(PARAMETROS_CULTURAS!$L$6:$L$28,$P2363)+(INDEX(PARAMETROS_CULTURAS!$M$6:$M$28,$P2363)-INDEX(PARAMETROS_CULTURAS!$L$6:$L$28,$P2363))*($O2363-INDEX(PARAMETROS_CULTURAS!$F$6:$F$28,$P2363)-INDEX(PARAMETROS_CULTURAS!$G$6:$G$28,$P2363)-INDEX(PARAMETROS_CULTURAS!$H$6:$H$28,$P2363))/MAX(INDEX(PARAMETROS_CULTURAS!$I$6:$I$28,$P2363),0.0001)))))</f>
        <v>0</v>
      </c>
      <c r="S2363" s="18" t="n">
        <f aca="false">IFERROR(INDEX(SEMANAS!$H$6:$H$71,MATCH($B2363,SEMANAS!$B$6:$B$71,0)),0)</f>
        <v>31</v>
      </c>
      <c r="T2363" s="18" t="n">
        <f aca="false">$R2363*$S2363</f>
        <v>0</v>
      </c>
      <c r="U2363" s="18" t="n">
        <f aca="false">IFERROR(INDEX(SEMANAS!$I$6:$I$71,MATCH($B2363,SEMANAS!$B$6:$B$71,0)),0)</f>
        <v>0.76</v>
      </c>
      <c r="V2363" s="18" t="n">
        <f aca="false">IFERROR(INDEX(SEMANAS!$J$6:$J$71,MATCH($B2363,SEMANAS!$B$6:$B$71,0)),0)</f>
        <v>0.608</v>
      </c>
      <c r="W2363" s="18" t="n">
        <f aca="false">MAX(0,$T2363-$V2363)</f>
        <v>0</v>
      </c>
      <c r="X2363" s="19" t="n">
        <f aca="false">IFERROR(INDEX(CADASTRO_PIVOS!$K$6:$K$41,MATCH($E2363,CADASTRO_PIVOS!$B$6:$B$41,0)),EFICIENCIA_PADRAO)</f>
        <v>0.85</v>
      </c>
      <c r="Y2363" s="18" t="n">
        <f aca="false">IF($X2363&lt;=0,0,$W2363/$X2363)</f>
        <v>0</v>
      </c>
      <c r="Z2363" s="16" t="n">
        <f aca="false">$Y2363*$H2363*MM_PARA_M3_HA</f>
        <v>0</v>
      </c>
      <c r="AA2363" s="18" t="n">
        <f aca="false">IFERROR(INDEX(CADASTRO_PIVOS!$I$6:$I$41,MATCH($E2363,CADASTRO_PIVOS!$B$6:$B$41,0)),0)</f>
        <v>1071.42857142857</v>
      </c>
      <c r="AB2363" s="18" t="n">
        <f aca="false">IF($Z2363&lt;=0,0,$Z2363/$AA2363)</f>
        <v>0</v>
      </c>
      <c r="AC2363" s="16" t="n">
        <f aca="false">IFERROR(INDEX(SEMANAS!$K$6:$K$71,MATCH($B2363,SEMANAS!$B$6:$B$71,0)),0)</f>
        <v>147</v>
      </c>
      <c r="AD2363" s="19" t="n">
        <f aca="false">IF($AC2363&lt;=0,0,$AB2363/$AC2363)</f>
        <v>0</v>
      </c>
      <c r="AE2363" s="8" t="str">
        <f aca="false">IF($K2363="SEM CULTURA","SEM CULTURA",IF($AA2363&lt;=0,"DADO PENDENTE",IF($AD2363&gt;LIMITE_CRITICO,"INVIAVEL",IF($AD2363&gt;LIMITE_ATENCAO,"CRITICO",IF($AD2363&gt;LIMITE_CONFORTAVEL,"ATENCAO","OK")))))</f>
        <v>SEM CULTURA</v>
      </c>
      <c r="AF2363" s="8" t="str">
        <f aca="false">$B2363&amp;"|"&amp;TEXT($AD2363,"0.000000")</f>
        <v>48|0.000000</v>
      </c>
      <c r="AG2363" s="18" t="n">
        <f aca="false">IF($K2363="SEM CULTURA",0,$T2363*$H2363)</f>
        <v>0</v>
      </c>
      <c r="AH2363" s="18" t="n">
        <f aca="false">IF($K2363="SEM CULTURA",0,$V2363*$H2363)</f>
        <v>0</v>
      </c>
      <c r="AI2363" s="18" t="n">
        <f aca="false">IF($K2363="SEM CULTURA",0,$W2363*$H2363)</f>
        <v>0</v>
      </c>
      <c r="AJ2363" s="18" t="n">
        <f aca="false">IF($K2363="SEM CULTURA",0,$S2363*$H2363)</f>
        <v>0</v>
      </c>
      <c r="AK2363" s="8" t="str">
        <f aca="false">$E2363&amp;"|"&amp;TEXT($AD2363,"0.000000")</f>
        <v>PV 137|0.000000</v>
      </c>
    </row>
    <row r="2364" customFormat="false" ht="15" hidden="false" customHeight="false" outlineLevel="0" collapsed="false">
      <c r="B2364" s="16" t="n">
        <v>49</v>
      </c>
      <c r="C2364" s="17" t="n">
        <f aca="false">DATA_INICIO_SAFRA+($B2364-1)*DIAS_POR_SEMANA</f>
        <v>46601</v>
      </c>
      <c r="D2364" s="17" t="n">
        <f aca="false">$C2364+DIAS_POR_SEMANA-1</f>
        <v>46607</v>
      </c>
      <c r="E2364" s="15" t="s">
        <v>294</v>
      </c>
      <c r="F2364" s="8" t="str">
        <f aca="false">IFERROR(INDEX(CADASTRO_PIVOS!$C$6:$C$41,MATCH($E2364,CADASTRO_PIVOS!$B$6:$B$41,0)),"?")</f>
        <v>RM08</v>
      </c>
      <c r="G2364" s="8" t="str">
        <f aca="false">IFERROR(INDEX(CADASTRO_PIVOS!$D$6:$D$41,MATCH($E2364,CADASTRO_PIVOS!$B$6:$B$41,0)),"?")</f>
        <v>TR08</v>
      </c>
      <c r="H2364" s="20" t="n">
        <f aca="false">IFERROR(INDEX(CADASTRO_PIVOS!$E$6:$E$41,MATCH($E2364,CADASTRO_PIVOS!$B$6:$B$41,0)),0)</f>
        <v>150</v>
      </c>
      <c r="I2364" s="16" t="n">
        <f aca="false">IFERROR(SUMIFS(ROTACAO_RDM!$B$6:$B$71,ROTACAO_RDM!$D$6:$D$71,$E2364,ROTACAO_RDM!$I$6:$I$71,"&lt;="&amp;$C2364+INT(DIAS_POR_SEMANA/2),ROTACAO_RDM!$J$6:$J$71,"&gt;="&amp;$C2364+INT(DIAS_POR_SEMANA/2)),0)</f>
        <v>0</v>
      </c>
      <c r="J2364" s="16" t="n">
        <f aca="false">IFERROR(MATCH($I2364,ROTACAO_RDM!$B$6:$B$71,0),0)</f>
        <v>0</v>
      </c>
      <c r="K2364" s="8" t="str">
        <f aca="false">IF($J2364=0,"SEM CULTURA",INDEX(ROTACAO_RDM!$F$6:$F$71,$J2364))</f>
        <v>SEM CULTURA</v>
      </c>
      <c r="L2364" s="8" t="str">
        <f aca="false">IF($J2364=0,"",INDEX(ROTACAO_RDM!$G$6:$G$71,$J2364))</f>
        <v/>
      </c>
      <c r="M2364" s="17" t="str">
        <f aca="false">IF($J2364=0,"",INDEX(ROTACAO_RDM!$I$6:$I$71,$J2364))</f>
        <v/>
      </c>
      <c r="N2364" s="16" t="n">
        <f aca="false">IF($J2364=0,0,MAX(0,$C2364+INT(DIAS_POR_SEMANA/2)-INDEX(ROTACAO_RDM!$I$6:$I$71,$J2364)))</f>
        <v>0</v>
      </c>
      <c r="O2364" s="19" t="n">
        <f aca="false">IF($J2364=0,0,MIN(1,$N2364/MAX(1,INDEX(ROTACAO_RDM!$K$6:$K$71,$J2364))))</f>
        <v>0</v>
      </c>
      <c r="P2364" s="16" t="n">
        <f aca="false">IF($J2364=0,0,IFERROR(MATCH(INDEX(ROTACAO_RDM!$N$6:$N$71,$J2364),PARAMETROS_CULTURAS!$B$6:$B$28,0),0))</f>
        <v>0</v>
      </c>
      <c r="Q2364" s="8" t="str">
        <f aca="false">IF($P2364=0,"-",IF($O2364&lt;=INDEX(PARAMETROS_CULTURAS!$F$6:$F$28,$P2364),"INICIAL",IF($O2364&lt;=INDEX(PARAMETROS_CULTURAS!$F$6:$F$28,$P2364)+INDEX(PARAMETROS_CULTURAS!$G$6:$G$28,$P2364),"DESENVOLVIMENTO",IF($O2364&lt;=INDEX(PARAMETROS_CULTURAS!$F$6:$F$28,$P2364)+INDEX(PARAMETROS_CULTURAS!$G$6:$G$28,$P2364)+INDEX(PARAMETROS_CULTURAS!$H$6:$H$28,$P2364),"MEDIA","FINAL"))))</f>
        <v>-</v>
      </c>
      <c r="R2364" s="24" t="n">
        <f aca="false">IF($P2364=0,0,IF($O2364&lt;=INDEX(PARAMETROS_CULTURAS!$F$6:$F$28,$P2364),INDEX(PARAMETROS_CULTURAS!$K$6:$K$28,$P2364),IF($O2364&lt;=INDEX(PARAMETROS_CULTURAS!$F$6:$F$28,$P2364)+INDEX(PARAMETROS_CULTURAS!$G$6:$G$28,$P2364),INDEX(PARAMETROS_CULTURAS!$K$6:$K$28,$P2364)+(INDEX(PARAMETROS_CULTURAS!$L$6:$L$28,$P2364)-INDEX(PARAMETROS_CULTURAS!$K$6:$K$28,$P2364))*($O2364-INDEX(PARAMETROS_CULTURAS!$F$6:$F$28,$P2364))/MAX(INDEX(PARAMETROS_CULTURAS!$G$6:$G$28,$P2364),0.0001),IF($O2364&lt;=INDEX(PARAMETROS_CULTURAS!$F$6:$F$28,$P2364)+INDEX(PARAMETROS_CULTURAS!$G$6:$G$28,$P2364)+INDEX(PARAMETROS_CULTURAS!$H$6:$H$28,$P2364),INDEX(PARAMETROS_CULTURAS!$L$6:$L$28,$P2364),INDEX(PARAMETROS_CULTURAS!$L$6:$L$28,$P2364)+(INDEX(PARAMETROS_CULTURAS!$M$6:$M$28,$P2364)-INDEX(PARAMETROS_CULTURAS!$L$6:$L$28,$P2364))*($O2364-INDEX(PARAMETROS_CULTURAS!$F$6:$F$28,$P2364)-INDEX(PARAMETROS_CULTURAS!$G$6:$G$28,$P2364)-INDEX(PARAMETROS_CULTURAS!$H$6:$H$28,$P2364))/MAX(INDEX(PARAMETROS_CULTURAS!$I$6:$I$28,$P2364),0.0001)))))</f>
        <v>0</v>
      </c>
      <c r="S2364" s="18" t="n">
        <f aca="false">IFERROR(INDEX(SEMANAS!$H$6:$H$71,MATCH($B2364,SEMANAS!$B$6:$B$71,0)),0)</f>
        <v>36.4</v>
      </c>
      <c r="T2364" s="18" t="n">
        <f aca="false">$R2364*$S2364</f>
        <v>0</v>
      </c>
      <c r="U2364" s="18" t="n">
        <f aca="false">IFERROR(INDEX(SEMANAS!$I$6:$I$71,MATCH($B2364,SEMANAS!$B$6:$B$71,0)),0)</f>
        <v>1.12</v>
      </c>
      <c r="V2364" s="18" t="n">
        <f aca="false">IFERROR(INDEX(SEMANAS!$J$6:$J$71,MATCH($B2364,SEMANAS!$B$6:$B$71,0)),0)</f>
        <v>0.896</v>
      </c>
      <c r="W2364" s="18" t="n">
        <f aca="false">MAX(0,$T2364-$V2364)</f>
        <v>0</v>
      </c>
      <c r="X2364" s="19" t="n">
        <f aca="false">IFERROR(INDEX(CADASTRO_PIVOS!$K$6:$K$41,MATCH($E2364,CADASTRO_PIVOS!$B$6:$B$41,0)),EFICIENCIA_PADRAO)</f>
        <v>0.85</v>
      </c>
      <c r="Y2364" s="18" t="n">
        <f aca="false">IF($X2364&lt;=0,0,$W2364/$X2364)</f>
        <v>0</v>
      </c>
      <c r="Z2364" s="16" t="n">
        <f aca="false">$Y2364*$H2364*MM_PARA_M3_HA</f>
        <v>0</v>
      </c>
      <c r="AA2364" s="18" t="n">
        <f aca="false">IFERROR(INDEX(CADASTRO_PIVOS!$I$6:$I$41,MATCH($E2364,CADASTRO_PIVOS!$B$6:$B$41,0)),0)</f>
        <v>1071.42857142857</v>
      </c>
      <c r="AB2364" s="18" t="n">
        <f aca="false">IF($Z2364&lt;=0,0,$Z2364/$AA2364)</f>
        <v>0</v>
      </c>
      <c r="AC2364" s="16" t="n">
        <f aca="false">IFERROR(INDEX(SEMANAS!$K$6:$K$71,MATCH($B2364,SEMANAS!$B$6:$B$71,0)),0)</f>
        <v>147</v>
      </c>
      <c r="AD2364" s="19" t="n">
        <f aca="false">IF($AC2364&lt;=0,0,$AB2364/$AC2364)</f>
        <v>0</v>
      </c>
      <c r="AE2364" s="8" t="str">
        <f aca="false">IF($K2364="SEM CULTURA","SEM CULTURA",IF($AA2364&lt;=0,"DADO PENDENTE",IF($AD2364&gt;LIMITE_CRITICO,"INVIAVEL",IF($AD2364&gt;LIMITE_ATENCAO,"CRITICO",IF($AD2364&gt;LIMITE_CONFORTAVEL,"ATENCAO","OK")))))</f>
        <v>SEM CULTURA</v>
      </c>
      <c r="AF2364" s="8" t="str">
        <f aca="false">$B2364&amp;"|"&amp;TEXT($AD2364,"0.000000")</f>
        <v>49|0.000000</v>
      </c>
      <c r="AG2364" s="18" t="n">
        <f aca="false">IF($K2364="SEM CULTURA",0,$T2364*$H2364)</f>
        <v>0</v>
      </c>
      <c r="AH2364" s="18" t="n">
        <f aca="false">IF($K2364="SEM CULTURA",0,$V2364*$H2364)</f>
        <v>0</v>
      </c>
      <c r="AI2364" s="18" t="n">
        <f aca="false">IF($K2364="SEM CULTURA",0,$W2364*$H2364)</f>
        <v>0</v>
      </c>
      <c r="AJ2364" s="18" t="n">
        <f aca="false">IF($K2364="SEM CULTURA",0,$S2364*$H2364)</f>
        <v>0</v>
      </c>
      <c r="AK2364" s="8" t="str">
        <f aca="false">$E2364&amp;"|"&amp;TEXT($AD2364,"0.000000")</f>
        <v>PV 137|0.000000</v>
      </c>
    </row>
    <row r="2365" customFormat="false" ht="15" hidden="false" customHeight="false" outlineLevel="0" collapsed="false">
      <c r="B2365" s="16" t="n">
        <v>50</v>
      </c>
      <c r="C2365" s="17" t="n">
        <f aca="false">DATA_INICIO_SAFRA+($B2365-1)*DIAS_POR_SEMANA</f>
        <v>46608</v>
      </c>
      <c r="D2365" s="17" t="n">
        <f aca="false">$C2365+DIAS_POR_SEMANA-1</f>
        <v>46614</v>
      </c>
      <c r="E2365" s="15" t="s">
        <v>294</v>
      </c>
      <c r="F2365" s="8" t="str">
        <f aca="false">IFERROR(INDEX(CADASTRO_PIVOS!$C$6:$C$41,MATCH($E2365,CADASTRO_PIVOS!$B$6:$B$41,0)),"?")</f>
        <v>RM08</v>
      </c>
      <c r="G2365" s="8" t="str">
        <f aca="false">IFERROR(INDEX(CADASTRO_PIVOS!$D$6:$D$41,MATCH($E2365,CADASTRO_PIVOS!$B$6:$B$41,0)),"?")</f>
        <v>TR08</v>
      </c>
      <c r="H2365" s="20" t="n">
        <f aca="false">IFERROR(INDEX(CADASTRO_PIVOS!$E$6:$E$41,MATCH($E2365,CADASTRO_PIVOS!$B$6:$B$41,0)),0)</f>
        <v>150</v>
      </c>
      <c r="I2365" s="16" t="n">
        <f aca="false">IFERROR(SUMIFS(ROTACAO_RDM!$B$6:$B$71,ROTACAO_RDM!$D$6:$D$71,$E2365,ROTACAO_RDM!$I$6:$I$71,"&lt;="&amp;$C2365+INT(DIAS_POR_SEMANA/2),ROTACAO_RDM!$J$6:$J$71,"&gt;="&amp;$C2365+INT(DIAS_POR_SEMANA/2)),0)</f>
        <v>0</v>
      </c>
      <c r="J2365" s="16" t="n">
        <f aca="false">IFERROR(MATCH($I2365,ROTACAO_RDM!$B$6:$B$71,0),0)</f>
        <v>0</v>
      </c>
      <c r="K2365" s="8" t="str">
        <f aca="false">IF($J2365=0,"SEM CULTURA",INDEX(ROTACAO_RDM!$F$6:$F$71,$J2365))</f>
        <v>SEM CULTURA</v>
      </c>
      <c r="L2365" s="8" t="str">
        <f aca="false">IF($J2365=0,"",INDEX(ROTACAO_RDM!$G$6:$G$71,$J2365))</f>
        <v/>
      </c>
      <c r="M2365" s="17" t="str">
        <f aca="false">IF($J2365=0,"",INDEX(ROTACAO_RDM!$I$6:$I$71,$J2365))</f>
        <v/>
      </c>
      <c r="N2365" s="16" t="n">
        <f aca="false">IF($J2365=0,0,MAX(0,$C2365+INT(DIAS_POR_SEMANA/2)-INDEX(ROTACAO_RDM!$I$6:$I$71,$J2365)))</f>
        <v>0</v>
      </c>
      <c r="O2365" s="19" t="n">
        <f aca="false">IF($J2365=0,0,MIN(1,$N2365/MAX(1,INDEX(ROTACAO_RDM!$K$6:$K$71,$J2365))))</f>
        <v>0</v>
      </c>
      <c r="P2365" s="16" t="n">
        <f aca="false">IF($J2365=0,0,IFERROR(MATCH(INDEX(ROTACAO_RDM!$N$6:$N$71,$J2365),PARAMETROS_CULTURAS!$B$6:$B$28,0),0))</f>
        <v>0</v>
      </c>
      <c r="Q2365" s="8" t="str">
        <f aca="false">IF($P2365=0,"-",IF($O2365&lt;=INDEX(PARAMETROS_CULTURAS!$F$6:$F$28,$P2365),"INICIAL",IF($O2365&lt;=INDEX(PARAMETROS_CULTURAS!$F$6:$F$28,$P2365)+INDEX(PARAMETROS_CULTURAS!$G$6:$G$28,$P2365),"DESENVOLVIMENTO",IF($O2365&lt;=INDEX(PARAMETROS_CULTURAS!$F$6:$F$28,$P2365)+INDEX(PARAMETROS_CULTURAS!$G$6:$G$28,$P2365)+INDEX(PARAMETROS_CULTURAS!$H$6:$H$28,$P2365),"MEDIA","FINAL"))))</f>
        <v>-</v>
      </c>
      <c r="R2365" s="24" t="n">
        <f aca="false">IF($P2365=0,0,IF($O2365&lt;=INDEX(PARAMETROS_CULTURAS!$F$6:$F$28,$P2365),INDEX(PARAMETROS_CULTURAS!$K$6:$K$28,$P2365),IF($O2365&lt;=INDEX(PARAMETROS_CULTURAS!$F$6:$F$28,$P2365)+INDEX(PARAMETROS_CULTURAS!$G$6:$G$28,$P2365),INDEX(PARAMETROS_CULTURAS!$K$6:$K$28,$P2365)+(INDEX(PARAMETROS_CULTURAS!$L$6:$L$28,$P2365)-INDEX(PARAMETROS_CULTURAS!$K$6:$K$28,$P2365))*($O2365-INDEX(PARAMETROS_CULTURAS!$F$6:$F$28,$P2365))/MAX(INDEX(PARAMETROS_CULTURAS!$G$6:$G$28,$P2365),0.0001),IF($O2365&lt;=INDEX(PARAMETROS_CULTURAS!$F$6:$F$28,$P2365)+INDEX(PARAMETROS_CULTURAS!$G$6:$G$28,$P2365)+INDEX(PARAMETROS_CULTURAS!$H$6:$H$28,$P2365),INDEX(PARAMETROS_CULTURAS!$L$6:$L$28,$P2365),INDEX(PARAMETROS_CULTURAS!$L$6:$L$28,$P2365)+(INDEX(PARAMETROS_CULTURAS!$M$6:$M$28,$P2365)-INDEX(PARAMETROS_CULTURAS!$L$6:$L$28,$P2365))*($O2365-INDEX(PARAMETROS_CULTURAS!$F$6:$F$28,$P2365)-INDEX(PARAMETROS_CULTURAS!$G$6:$G$28,$P2365)-INDEX(PARAMETROS_CULTURAS!$H$6:$H$28,$P2365))/MAX(INDEX(PARAMETROS_CULTURAS!$I$6:$I$28,$P2365),0.0001)))))</f>
        <v>0</v>
      </c>
      <c r="S2365" s="18" t="n">
        <f aca="false">IFERROR(INDEX(SEMANAS!$H$6:$H$71,MATCH($B2365,SEMANAS!$B$6:$B$71,0)),0)</f>
        <v>36.4</v>
      </c>
      <c r="T2365" s="18" t="n">
        <f aca="false">$R2365*$S2365</f>
        <v>0</v>
      </c>
      <c r="U2365" s="18" t="n">
        <f aca="false">IFERROR(INDEX(SEMANAS!$I$6:$I$71,MATCH($B2365,SEMANAS!$B$6:$B$71,0)),0)</f>
        <v>1.12</v>
      </c>
      <c r="V2365" s="18" t="n">
        <f aca="false">IFERROR(INDEX(SEMANAS!$J$6:$J$71,MATCH($B2365,SEMANAS!$B$6:$B$71,0)),0)</f>
        <v>0.896</v>
      </c>
      <c r="W2365" s="18" t="n">
        <f aca="false">MAX(0,$T2365-$V2365)</f>
        <v>0</v>
      </c>
      <c r="X2365" s="19" t="n">
        <f aca="false">IFERROR(INDEX(CADASTRO_PIVOS!$K$6:$K$41,MATCH($E2365,CADASTRO_PIVOS!$B$6:$B$41,0)),EFICIENCIA_PADRAO)</f>
        <v>0.85</v>
      </c>
      <c r="Y2365" s="18" t="n">
        <f aca="false">IF($X2365&lt;=0,0,$W2365/$X2365)</f>
        <v>0</v>
      </c>
      <c r="Z2365" s="16" t="n">
        <f aca="false">$Y2365*$H2365*MM_PARA_M3_HA</f>
        <v>0</v>
      </c>
      <c r="AA2365" s="18" t="n">
        <f aca="false">IFERROR(INDEX(CADASTRO_PIVOS!$I$6:$I$41,MATCH($E2365,CADASTRO_PIVOS!$B$6:$B$41,0)),0)</f>
        <v>1071.42857142857</v>
      </c>
      <c r="AB2365" s="18" t="n">
        <f aca="false">IF($Z2365&lt;=0,0,$Z2365/$AA2365)</f>
        <v>0</v>
      </c>
      <c r="AC2365" s="16" t="n">
        <f aca="false">IFERROR(INDEX(SEMANAS!$K$6:$K$71,MATCH($B2365,SEMANAS!$B$6:$B$71,0)),0)</f>
        <v>147</v>
      </c>
      <c r="AD2365" s="19" t="n">
        <f aca="false">IF($AC2365&lt;=0,0,$AB2365/$AC2365)</f>
        <v>0</v>
      </c>
      <c r="AE2365" s="8" t="str">
        <f aca="false">IF($K2365="SEM CULTURA","SEM CULTURA",IF($AA2365&lt;=0,"DADO PENDENTE",IF($AD2365&gt;LIMITE_CRITICO,"INVIAVEL",IF($AD2365&gt;LIMITE_ATENCAO,"CRITICO",IF($AD2365&gt;LIMITE_CONFORTAVEL,"ATENCAO","OK")))))</f>
        <v>SEM CULTURA</v>
      </c>
      <c r="AF2365" s="8" t="str">
        <f aca="false">$B2365&amp;"|"&amp;TEXT($AD2365,"0.000000")</f>
        <v>50|0.000000</v>
      </c>
      <c r="AG2365" s="18" t="n">
        <f aca="false">IF($K2365="SEM CULTURA",0,$T2365*$H2365)</f>
        <v>0</v>
      </c>
      <c r="AH2365" s="18" t="n">
        <f aca="false">IF($K2365="SEM CULTURA",0,$V2365*$H2365)</f>
        <v>0</v>
      </c>
      <c r="AI2365" s="18" t="n">
        <f aca="false">IF($K2365="SEM CULTURA",0,$W2365*$H2365)</f>
        <v>0</v>
      </c>
      <c r="AJ2365" s="18" t="n">
        <f aca="false">IF($K2365="SEM CULTURA",0,$S2365*$H2365)</f>
        <v>0</v>
      </c>
      <c r="AK2365" s="8" t="str">
        <f aca="false">$E2365&amp;"|"&amp;TEXT($AD2365,"0.000000")</f>
        <v>PV 137|0.000000</v>
      </c>
    </row>
    <row r="2366" customFormat="false" ht="15" hidden="false" customHeight="false" outlineLevel="0" collapsed="false">
      <c r="B2366" s="16" t="n">
        <v>51</v>
      </c>
      <c r="C2366" s="17" t="n">
        <f aca="false">DATA_INICIO_SAFRA+($B2366-1)*DIAS_POR_SEMANA</f>
        <v>46615</v>
      </c>
      <c r="D2366" s="17" t="n">
        <f aca="false">$C2366+DIAS_POR_SEMANA-1</f>
        <v>46621</v>
      </c>
      <c r="E2366" s="15" t="s">
        <v>294</v>
      </c>
      <c r="F2366" s="8" t="str">
        <f aca="false">IFERROR(INDEX(CADASTRO_PIVOS!$C$6:$C$41,MATCH($E2366,CADASTRO_PIVOS!$B$6:$B$41,0)),"?")</f>
        <v>RM08</v>
      </c>
      <c r="G2366" s="8" t="str">
        <f aca="false">IFERROR(INDEX(CADASTRO_PIVOS!$D$6:$D$41,MATCH($E2366,CADASTRO_PIVOS!$B$6:$B$41,0)),"?")</f>
        <v>TR08</v>
      </c>
      <c r="H2366" s="20" t="n">
        <f aca="false">IFERROR(INDEX(CADASTRO_PIVOS!$E$6:$E$41,MATCH($E2366,CADASTRO_PIVOS!$B$6:$B$41,0)),0)</f>
        <v>150</v>
      </c>
      <c r="I2366" s="16" t="n">
        <f aca="false">IFERROR(SUMIFS(ROTACAO_RDM!$B$6:$B$71,ROTACAO_RDM!$D$6:$D$71,$E2366,ROTACAO_RDM!$I$6:$I$71,"&lt;="&amp;$C2366+INT(DIAS_POR_SEMANA/2),ROTACAO_RDM!$J$6:$J$71,"&gt;="&amp;$C2366+INT(DIAS_POR_SEMANA/2)),0)</f>
        <v>0</v>
      </c>
      <c r="J2366" s="16" t="n">
        <f aca="false">IFERROR(MATCH($I2366,ROTACAO_RDM!$B$6:$B$71,0),0)</f>
        <v>0</v>
      </c>
      <c r="K2366" s="8" t="str">
        <f aca="false">IF($J2366=0,"SEM CULTURA",INDEX(ROTACAO_RDM!$F$6:$F$71,$J2366))</f>
        <v>SEM CULTURA</v>
      </c>
      <c r="L2366" s="8" t="str">
        <f aca="false">IF($J2366=0,"",INDEX(ROTACAO_RDM!$G$6:$G$71,$J2366))</f>
        <v/>
      </c>
      <c r="M2366" s="17" t="str">
        <f aca="false">IF($J2366=0,"",INDEX(ROTACAO_RDM!$I$6:$I$71,$J2366))</f>
        <v/>
      </c>
      <c r="N2366" s="16" t="n">
        <f aca="false">IF($J2366=0,0,MAX(0,$C2366+INT(DIAS_POR_SEMANA/2)-INDEX(ROTACAO_RDM!$I$6:$I$71,$J2366)))</f>
        <v>0</v>
      </c>
      <c r="O2366" s="19" t="n">
        <f aca="false">IF($J2366=0,0,MIN(1,$N2366/MAX(1,INDEX(ROTACAO_RDM!$K$6:$K$71,$J2366))))</f>
        <v>0</v>
      </c>
      <c r="P2366" s="16" t="n">
        <f aca="false">IF($J2366=0,0,IFERROR(MATCH(INDEX(ROTACAO_RDM!$N$6:$N$71,$J2366),PARAMETROS_CULTURAS!$B$6:$B$28,0),0))</f>
        <v>0</v>
      </c>
      <c r="Q2366" s="8" t="str">
        <f aca="false">IF($P2366=0,"-",IF($O2366&lt;=INDEX(PARAMETROS_CULTURAS!$F$6:$F$28,$P2366),"INICIAL",IF($O2366&lt;=INDEX(PARAMETROS_CULTURAS!$F$6:$F$28,$P2366)+INDEX(PARAMETROS_CULTURAS!$G$6:$G$28,$P2366),"DESENVOLVIMENTO",IF($O2366&lt;=INDEX(PARAMETROS_CULTURAS!$F$6:$F$28,$P2366)+INDEX(PARAMETROS_CULTURAS!$G$6:$G$28,$P2366)+INDEX(PARAMETROS_CULTURAS!$H$6:$H$28,$P2366),"MEDIA","FINAL"))))</f>
        <v>-</v>
      </c>
      <c r="R2366" s="24" t="n">
        <f aca="false">IF($P2366=0,0,IF($O2366&lt;=INDEX(PARAMETROS_CULTURAS!$F$6:$F$28,$P2366),INDEX(PARAMETROS_CULTURAS!$K$6:$K$28,$P2366),IF($O2366&lt;=INDEX(PARAMETROS_CULTURAS!$F$6:$F$28,$P2366)+INDEX(PARAMETROS_CULTURAS!$G$6:$G$28,$P2366),INDEX(PARAMETROS_CULTURAS!$K$6:$K$28,$P2366)+(INDEX(PARAMETROS_CULTURAS!$L$6:$L$28,$P2366)-INDEX(PARAMETROS_CULTURAS!$K$6:$K$28,$P2366))*($O2366-INDEX(PARAMETROS_CULTURAS!$F$6:$F$28,$P2366))/MAX(INDEX(PARAMETROS_CULTURAS!$G$6:$G$28,$P2366),0.0001),IF($O2366&lt;=INDEX(PARAMETROS_CULTURAS!$F$6:$F$28,$P2366)+INDEX(PARAMETROS_CULTURAS!$G$6:$G$28,$P2366)+INDEX(PARAMETROS_CULTURAS!$H$6:$H$28,$P2366),INDEX(PARAMETROS_CULTURAS!$L$6:$L$28,$P2366),INDEX(PARAMETROS_CULTURAS!$L$6:$L$28,$P2366)+(INDEX(PARAMETROS_CULTURAS!$M$6:$M$28,$P2366)-INDEX(PARAMETROS_CULTURAS!$L$6:$L$28,$P2366))*($O2366-INDEX(PARAMETROS_CULTURAS!$F$6:$F$28,$P2366)-INDEX(PARAMETROS_CULTURAS!$G$6:$G$28,$P2366)-INDEX(PARAMETROS_CULTURAS!$H$6:$H$28,$P2366))/MAX(INDEX(PARAMETROS_CULTURAS!$I$6:$I$28,$P2366),0.0001)))))</f>
        <v>0</v>
      </c>
      <c r="S2366" s="18" t="n">
        <f aca="false">IFERROR(INDEX(SEMANAS!$H$6:$H$71,MATCH($B2366,SEMANAS!$B$6:$B$71,0)),0)</f>
        <v>36.4</v>
      </c>
      <c r="T2366" s="18" t="n">
        <f aca="false">$R2366*$S2366</f>
        <v>0</v>
      </c>
      <c r="U2366" s="18" t="n">
        <f aca="false">IFERROR(INDEX(SEMANAS!$I$6:$I$71,MATCH($B2366,SEMANAS!$B$6:$B$71,0)),0)</f>
        <v>1.12</v>
      </c>
      <c r="V2366" s="18" t="n">
        <f aca="false">IFERROR(INDEX(SEMANAS!$J$6:$J$71,MATCH($B2366,SEMANAS!$B$6:$B$71,0)),0)</f>
        <v>0.896</v>
      </c>
      <c r="W2366" s="18" t="n">
        <f aca="false">MAX(0,$T2366-$V2366)</f>
        <v>0</v>
      </c>
      <c r="X2366" s="19" t="n">
        <f aca="false">IFERROR(INDEX(CADASTRO_PIVOS!$K$6:$K$41,MATCH($E2366,CADASTRO_PIVOS!$B$6:$B$41,0)),EFICIENCIA_PADRAO)</f>
        <v>0.85</v>
      </c>
      <c r="Y2366" s="18" t="n">
        <f aca="false">IF($X2366&lt;=0,0,$W2366/$X2366)</f>
        <v>0</v>
      </c>
      <c r="Z2366" s="16" t="n">
        <f aca="false">$Y2366*$H2366*MM_PARA_M3_HA</f>
        <v>0</v>
      </c>
      <c r="AA2366" s="18" t="n">
        <f aca="false">IFERROR(INDEX(CADASTRO_PIVOS!$I$6:$I$41,MATCH($E2366,CADASTRO_PIVOS!$B$6:$B$41,0)),0)</f>
        <v>1071.42857142857</v>
      </c>
      <c r="AB2366" s="18" t="n">
        <f aca="false">IF($Z2366&lt;=0,0,$Z2366/$AA2366)</f>
        <v>0</v>
      </c>
      <c r="AC2366" s="16" t="n">
        <f aca="false">IFERROR(INDEX(SEMANAS!$K$6:$K$71,MATCH($B2366,SEMANAS!$B$6:$B$71,0)),0)</f>
        <v>147</v>
      </c>
      <c r="AD2366" s="19" t="n">
        <f aca="false">IF($AC2366&lt;=0,0,$AB2366/$AC2366)</f>
        <v>0</v>
      </c>
      <c r="AE2366" s="8" t="str">
        <f aca="false">IF($K2366="SEM CULTURA","SEM CULTURA",IF($AA2366&lt;=0,"DADO PENDENTE",IF($AD2366&gt;LIMITE_CRITICO,"INVIAVEL",IF($AD2366&gt;LIMITE_ATENCAO,"CRITICO",IF($AD2366&gt;LIMITE_CONFORTAVEL,"ATENCAO","OK")))))</f>
        <v>SEM CULTURA</v>
      </c>
      <c r="AF2366" s="8" t="str">
        <f aca="false">$B2366&amp;"|"&amp;TEXT($AD2366,"0.000000")</f>
        <v>51|0.000000</v>
      </c>
      <c r="AG2366" s="18" t="n">
        <f aca="false">IF($K2366="SEM CULTURA",0,$T2366*$H2366)</f>
        <v>0</v>
      </c>
      <c r="AH2366" s="18" t="n">
        <f aca="false">IF($K2366="SEM CULTURA",0,$V2366*$H2366)</f>
        <v>0</v>
      </c>
      <c r="AI2366" s="18" t="n">
        <f aca="false">IF($K2366="SEM CULTURA",0,$W2366*$H2366)</f>
        <v>0</v>
      </c>
      <c r="AJ2366" s="18" t="n">
        <f aca="false">IF($K2366="SEM CULTURA",0,$S2366*$H2366)</f>
        <v>0</v>
      </c>
      <c r="AK2366" s="8" t="str">
        <f aca="false">$E2366&amp;"|"&amp;TEXT($AD2366,"0.000000")</f>
        <v>PV 137|0.000000</v>
      </c>
    </row>
    <row r="2367" customFormat="false" ht="15" hidden="false" customHeight="false" outlineLevel="0" collapsed="false">
      <c r="B2367" s="16" t="n">
        <v>52</v>
      </c>
      <c r="C2367" s="17" t="n">
        <f aca="false">DATA_INICIO_SAFRA+($B2367-1)*DIAS_POR_SEMANA</f>
        <v>46622</v>
      </c>
      <c r="D2367" s="17" t="n">
        <f aca="false">$C2367+DIAS_POR_SEMANA-1</f>
        <v>46628</v>
      </c>
      <c r="E2367" s="15" t="s">
        <v>294</v>
      </c>
      <c r="F2367" s="8" t="str">
        <f aca="false">IFERROR(INDEX(CADASTRO_PIVOS!$C$6:$C$41,MATCH($E2367,CADASTRO_PIVOS!$B$6:$B$41,0)),"?")</f>
        <v>RM08</v>
      </c>
      <c r="G2367" s="8" t="str">
        <f aca="false">IFERROR(INDEX(CADASTRO_PIVOS!$D$6:$D$41,MATCH($E2367,CADASTRO_PIVOS!$B$6:$B$41,0)),"?")</f>
        <v>TR08</v>
      </c>
      <c r="H2367" s="20" t="n">
        <f aca="false">IFERROR(INDEX(CADASTRO_PIVOS!$E$6:$E$41,MATCH($E2367,CADASTRO_PIVOS!$B$6:$B$41,0)),0)</f>
        <v>150</v>
      </c>
      <c r="I2367" s="16" t="n">
        <f aca="false">IFERROR(SUMIFS(ROTACAO_RDM!$B$6:$B$71,ROTACAO_RDM!$D$6:$D$71,$E2367,ROTACAO_RDM!$I$6:$I$71,"&lt;="&amp;$C2367+INT(DIAS_POR_SEMANA/2),ROTACAO_RDM!$J$6:$J$71,"&gt;="&amp;$C2367+INT(DIAS_POR_SEMANA/2)),0)</f>
        <v>0</v>
      </c>
      <c r="J2367" s="16" t="n">
        <f aca="false">IFERROR(MATCH($I2367,ROTACAO_RDM!$B$6:$B$71,0),0)</f>
        <v>0</v>
      </c>
      <c r="K2367" s="8" t="str">
        <f aca="false">IF($J2367=0,"SEM CULTURA",INDEX(ROTACAO_RDM!$F$6:$F$71,$J2367))</f>
        <v>SEM CULTURA</v>
      </c>
      <c r="L2367" s="8" t="str">
        <f aca="false">IF($J2367=0,"",INDEX(ROTACAO_RDM!$G$6:$G$71,$J2367))</f>
        <v/>
      </c>
      <c r="M2367" s="17" t="str">
        <f aca="false">IF($J2367=0,"",INDEX(ROTACAO_RDM!$I$6:$I$71,$J2367))</f>
        <v/>
      </c>
      <c r="N2367" s="16" t="n">
        <f aca="false">IF($J2367=0,0,MAX(0,$C2367+INT(DIAS_POR_SEMANA/2)-INDEX(ROTACAO_RDM!$I$6:$I$71,$J2367)))</f>
        <v>0</v>
      </c>
      <c r="O2367" s="19" t="n">
        <f aca="false">IF($J2367=0,0,MIN(1,$N2367/MAX(1,INDEX(ROTACAO_RDM!$K$6:$K$71,$J2367))))</f>
        <v>0</v>
      </c>
      <c r="P2367" s="16" t="n">
        <f aca="false">IF($J2367=0,0,IFERROR(MATCH(INDEX(ROTACAO_RDM!$N$6:$N$71,$J2367),PARAMETROS_CULTURAS!$B$6:$B$28,0),0))</f>
        <v>0</v>
      </c>
      <c r="Q2367" s="8" t="str">
        <f aca="false">IF($P2367=0,"-",IF($O2367&lt;=INDEX(PARAMETROS_CULTURAS!$F$6:$F$28,$P2367),"INICIAL",IF($O2367&lt;=INDEX(PARAMETROS_CULTURAS!$F$6:$F$28,$P2367)+INDEX(PARAMETROS_CULTURAS!$G$6:$G$28,$P2367),"DESENVOLVIMENTO",IF($O2367&lt;=INDEX(PARAMETROS_CULTURAS!$F$6:$F$28,$P2367)+INDEX(PARAMETROS_CULTURAS!$G$6:$G$28,$P2367)+INDEX(PARAMETROS_CULTURAS!$H$6:$H$28,$P2367),"MEDIA","FINAL"))))</f>
        <v>-</v>
      </c>
      <c r="R2367" s="24" t="n">
        <f aca="false">IF($P2367=0,0,IF($O2367&lt;=INDEX(PARAMETROS_CULTURAS!$F$6:$F$28,$P2367),INDEX(PARAMETROS_CULTURAS!$K$6:$K$28,$P2367),IF($O2367&lt;=INDEX(PARAMETROS_CULTURAS!$F$6:$F$28,$P2367)+INDEX(PARAMETROS_CULTURAS!$G$6:$G$28,$P2367),INDEX(PARAMETROS_CULTURAS!$K$6:$K$28,$P2367)+(INDEX(PARAMETROS_CULTURAS!$L$6:$L$28,$P2367)-INDEX(PARAMETROS_CULTURAS!$K$6:$K$28,$P2367))*($O2367-INDEX(PARAMETROS_CULTURAS!$F$6:$F$28,$P2367))/MAX(INDEX(PARAMETROS_CULTURAS!$G$6:$G$28,$P2367),0.0001),IF($O2367&lt;=INDEX(PARAMETROS_CULTURAS!$F$6:$F$28,$P2367)+INDEX(PARAMETROS_CULTURAS!$G$6:$G$28,$P2367)+INDEX(PARAMETROS_CULTURAS!$H$6:$H$28,$P2367),INDEX(PARAMETROS_CULTURAS!$L$6:$L$28,$P2367),INDEX(PARAMETROS_CULTURAS!$L$6:$L$28,$P2367)+(INDEX(PARAMETROS_CULTURAS!$M$6:$M$28,$P2367)-INDEX(PARAMETROS_CULTURAS!$L$6:$L$28,$P2367))*($O2367-INDEX(PARAMETROS_CULTURAS!$F$6:$F$28,$P2367)-INDEX(PARAMETROS_CULTURAS!$G$6:$G$28,$P2367)-INDEX(PARAMETROS_CULTURAS!$H$6:$H$28,$P2367))/MAX(INDEX(PARAMETROS_CULTURAS!$I$6:$I$28,$P2367),0.0001)))))</f>
        <v>0</v>
      </c>
      <c r="S2367" s="18" t="n">
        <f aca="false">IFERROR(INDEX(SEMANAS!$H$6:$H$71,MATCH($B2367,SEMANAS!$B$6:$B$71,0)),0)</f>
        <v>36.4</v>
      </c>
      <c r="T2367" s="18" t="n">
        <f aca="false">$R2367*$S2367</f>
        <v>0</v>
      </c>
      <c r="U2367" s="18" t="n">
        <f aca="false">IFERROR(INDEX(SEMANAS!$I$6:$I$71,MATCH($B2367,SEMANAS!$B$6:$B$71,0)),0)</f>
        <v>1.12</v>
      </c>
      <c r="V2367" s="18" t="n">
        <f aca="false">IFERROR(INDEX(SEMANAS!$J$6:$J$71,MATCH($B2367,SEMANAS!$B$6:$B$71,0)),0)</f>
        <v>0.896</v>
      </c>
      <c r="W2367" s="18" t="n">
        <f aca="false">MAX(0,$T2367-$V2367)</f>
        <v>0</v>
      </c>
      <c r="X2367" s="19" t="n">
        <f aca="false">IFERROR(INDEX(CADASTRO_PIVOS!$K$6:$K$41,MATCH($E2367,CADASTRO_PIVOS!$B$6:$B$41,0)),EFICIENCIA_PADRAO)</f>
        <v>0.85</v>
      </c>
      <c r="Y2367" s="18" t="n">
        <f aca="false">IF($X2367&lt;=0,0,$W2367/$X2367)</f>
        <v>0</v>
      </c>
      <c r="Z2367" s="16" t="n">
        <f aca="false">$Y2367*$H2367*MM_PARA_M3_HA</f>
        <v>0</v>
      </c>
      <c r="AA2367" s="18" t="n">
        <f aca="false">IFERROR(INDEX(CADASTRO_PIVOS!$I$6:$I$41,MATCH($E2367,CADASTRO_PIVOS!$B$6:$B$41,0)),0)</f>
        <v>1071.42857142857</v>
      </c>
      <c r="AB2367" s="18" t="n">
        <f aca="false">IF($Z2367&lt;=0,0,$Z2367/$AA2367)</f>
        <v>0</v>
      </c>
      <c r="AC2367" s="16" t="n">
        <f aca="false">IFERROR(INDEX(SEMANAS!$K$6:$K$71,MATCH($B2367,SEMANAS!$B$6:$B$71,0)),0)</f>
        <v>147</v>
      </c>
      <c r="AD2367" s="19" t="n">
        <f aca="false">IF($AC2367&lt;=0,0,$AB2367/$AC2367)</f>
        <v>0</v>
      </c>
      <c r="AE2367" s="8" t="str">
        <f aca="false">IF($K2367="SEM CULTURA","SEM CULTURA",IF($AA2367&lt;=0,"DADO PENDENTE",IF($AD2367&gt;LIMITE_CRITICO,"INVIAVEL",IF($AD2367&gt;LIMITE_ATENCAO,"CRITICO",IF($AD2367&gt;LIMITE_CONFORTAVEL,"ATENCAO","OK")))))</f>
        <v>SEM CULTURA</v>
      </c>
      <c r="AF2367" s="8" t="str">
        <f aca="false">$B2367&amp;"|"&amp;TEXT($AD2367,"0.000000")</f>
        <v>52|0.000000</v>
      </c>
      <c r="AG2367" s="18" t="n">
        <f aca="false">IF($K2367="SEM CULTURA",0,$T2367*$H2367)</f>
        <v>0</v>
      </c>
      <c r="AH2367" s="18" t="n">
        <f aca="false">IF($K2367="SEM CULTURA",0,$V2367*$H2367)</f>
        <v>0</v>
      </c>
      <c r="AI2367" s="18" t="n">
        <f aca="false">IF($K2367="SEM CULTURA",0,$W2367*$H2367)</f>
        <v>0</v>
      </c>
      <c r="AJ2367" s="18" t="n">
        <f aca="false">IF($K2367="SEM CULTURA",0,$S2367*$H2367)</f>
        <v>0</v>
      </c>
      <c r="AK2367" s="8" t="str">
        <f aca="false">$E2367&amp;"|"&amp;TEXT($AD2367,"0.000000")</f>
        <v>PV 137|0.000000</v>
      </c>
    </row>
    <row r="2368" customFormat="false" ht="15" hidden="false" customHeight="false" outlineLevel="0" collapsed="false">
      <c r="B2368" s="16" t="n">
        <v>53</v>
      </c>
      <c r="C2368" s="17" t="n">
        <f aca="false">DATA_INICIO_SAFRA+($B2368-1)*DIAS_POR_SEMANA</f>
        <v>46629</v>
      </c>
      <c r="D2368" s="17" t="n">
        <f aca="false">$C2368+DIAS_POR_SEMANA-1</f>
        <v>46635</v>
      </c>
      <c r="E2368" s="15" t="s">
        <v>294</v>
      </c>
      <c r="F2368" s="8" t="str">
        <f aca="false">IFERROR(INDEX(CADASTRO_PIVOS!$C$6:$C$41,MATCH($E2368,CADASTRO_PIVOS!$B$6:$B$41,0)),"?")</f>
        <v>RM08</v>
      </c>
      <c r="G2368" s="8" t="str">
        <f aca="false">IFERROR(INDEX(CADASTRO_PIVOS!$D$6:$D$41,MATCH($E2368,CADASTRO_PIVOS!$B$6:$B$41,0)),"?")</f>
        <v>TR08</v>
      </c>
      <c r="H2368" s="20" t="n">
        <f aca="false">IFERROR(INDEX(CADASTRO_PIVOS!$E$6:$E$41,MATCH($E2368,CADASTRO_PIVOS!$B$6:$B$41,0)),0)</f>
        <v>150</v>
      </c>
      <c r="I2368" s="16" t="n">
        <f aca="false">IFERROR(SUMIFS(ROTACAO_RDM!$B$6:$B$71,ROTACAO_RDM!$D$6:$D$71,$E2368,ROTACAO_RDM!$I$6:$I$71,"&lt;="&amp;$C2368+INT(DIAS_POR_SEMANA/2),ROTACAO_RDM!$J$6:$J$71,"&gt;="&amp;$C2368+INT(DIAS_POR_SEMANA/2)),0)</f>
        <v>0</v>
      </c>
      <c r="J2368" s="16" t="n">
        <f aca="false">IFERROR(MATCH($I2368,ROTACAO_RDM!$B$6:$B$71,0),0)</f>
        <v>0</v>
      </c>
      <c r="K2368" s="8" t="str">
        <f aca="false">IF($J2368=0,"SEM CULTURA",INDEX(ROTACAO_RDM!$F$6:$F$71,$J2368))</f>
        <v>SEM CULTURA</v>
      </c>
      <c r="L2368" s="8" t="str">
        <f aca="false">IF($J2368=0,"",INDEX(ROTACAO_RDM!$G$6:$G$71,$J2368))</f>
        <v/>
      </c>
      <c r="M2368" s="17" t="str">
        <f aca="false">IF($J2368=0,"",INDEX(ROTACAO_RDM!$I$6:$I$71,$J2368))</f>
        <v/>
      </c>
      <c r="N2368" s="16" t="n">
        <f aca="false">IF($J2368=0,0,MAX(0,$C2368+INT(DIAS_POR_SEMANA/2)-INDEX(ROTACAO_RDM!$I$6:$I$71,$J2368)))</f>
        <v>0</v>
      </c>
      <c r="O2368" s="19" t="n">
        <f aca="false">IF($J2368=0,0,MIN(1,$N2368/MAX(1,INDEX(ROTACAO_RDM!$K$6:$K$71,$J2368))))</f>
        <v>0</v>
      </c>
      <c r="P2368" s="16" t="n">
        <f aca="false">IF($J2368=0,0,IFERROR(MATCH(INDEX(ROTACAO_RDM!$N$6:$N$71,$J2368),PARAMETROS_CULTURAS!$B$6:$B$28,0),0))</f>
        <v>0</v>
      </c>
      <c r="Q2368" s="8" t="str">
        <f aca="false">IF($P2368=0,"-",IF($O2368&lt;=INDEX(PARAMETROS_CULTURAS!$F$6:$F$28,$P2368),"INICIAL",IF($O2368&lt;=INDEX(PARAMETROS_CULTURAS!$F$6:$F$28,$P2368)+INDEX(PARAMETROS_CULTURAS!$G$6:$G$28,$P2368),"DESENVOLVIMENTO",IF($O2368&lt;=INDEX(PARAMETROS_CULTURAS!$F$6:$F$28,$P2368)+INDEX(PARAMETROS_CULTURAS!$G$6:$G$28,$P2368)+INDEX(PARAMETROS_CULTURAS!$H$6:$H$28,$P2368),"MEDIA","FINAL"))))</f>
        <v>-</v>
      </c>
      <c r="R2368" s="24" t="n">
        <f aca="false">IF($P2368=0,0,IF($O2368&lt;=INDEX(PARAMETROS_CULTURAS!$F$6:$F$28,$P2368),INDEX(PARAMETROS_CULTURAS!$K$6:$K$28,$P2368),IF($O2368&lt;=INDEX(PARAMETROS_CULTURAS!$F$6:$F$28,$P2368)+INDEX(PARAMETROS_CULTURAS!$G$6:$G$28,$P2368),INDEX(PARAMETROS_CULTURAS!$K$6:$K$28,$P2368)+(INDEX(PARAMETROS_CULTURAS!$L$6:$L$28,$P2368)-INDEX(PARAMETROS_CULTURAS!$K$6:$K$28,$P2368))*($O2368-INDEX(PARAMETROS_CULTURAS!$F$6:$F$28,$P2368))/MAX(INDEX(PARAMETROS_CULTURAS!$G$6:$G$28,$P2368),0.0001),IF($O2368&lt;=INDEX(PARAMETROS_CULTURAS!$F$6:$F$28,$P2368)+INDEX(PARAMETROS_CULTURAS!$G$6:$G$28,$P2368)+INDEX(PARAMETROS_CULTURAS!$H$6:$H$28,$P2368),INDEX(PARAMETROS_CULTURAS!$L$6:$L$28,$P2368),INDEX(PARAMETROS_CULTURAS!$L$6:$L$28,$P2368)+(INDEX(PARAMETROS_CULTURAS!$M$6:$M$28,$P2368)-INDEX(PARAMETROS_CULTURAS!$L$6:$L$28,$P2368))*($O2368-INDEX(PARAMETROS_CULTURAS!$F$6:$F$28,$P2368)-INDEX(PARAMETROS_CULTURAS!$G$6:$G$28,$P2368)-INDEX(PARAMETROS_CULTURAS!$H$6:$H$28,$P2368))/MAX(INDEX(PARAMETROS_CULTURAS!$I$6:$I$28,$P2368),0.0001)))))</f>
        <v>0</v>
      </c>
      <c r="S2368" s="18" t="n">
        <f aca="false">IFERROR(INDEX(SEMANAS!$H$6:$H$71,MATCH($B2368,SEMANAS!$B$6:$B$71,0)),0)</f>
        <v>39.4</v>
      </c>
      <c r="T2368" s="18" t="n">
        <f aca="false">$R2368*$S2368</f>
        <v>0</v>
      </c>
      <c r="U2368" s="18" t="n">
        <f aca="false">IFERROR(INDEX(SEMANAS!$I$6:$I$71,MATCH($B2368,SEMANAS!$B$6:$B$71,0)),0)</f>
        <v>5.32</v>
      </c>
      <c r="V2368" s="18" t="n">
        <f aca="false">IFERROR(INDEX(SEMANAS!$J$6:$J$71,MATCH($B2368,SEMANAS!$B$6:$B$71,0)),0)</f>
        <v>4.256</v>
      </c>
      <c r="W2368" s="18" t="n">
        <f aca="false">MAX(0,$T2368-$V2368)</f>
        <v>0</v>
      </c>
      <c r="X2368" s="19" t="n">
        <f aca="false">IFERROR(INDEX(CADASTRO_PIVOS!$K$6:$K$41,MATCH($E2368,CADASTRO_PIVOS!$B$6:$B$41,0)),EFICIENCIA_PADRAO)</f>
        <v>0.85</v>
      </c>
      <c r="Y2368" s="18" t="n">
        <f aca="false">IF($X2368&lt;=0,0,$W2368/$X2368)</f>
        <v>0</v>
      </c>
      <c r="Z2368" s="16" t="n">
        <f aca="false">$Y2368*$H2368*MM_PARA_M3_HA</f>
        <v>0</v>
      </c>
      <c r="AA2368" s="18" t="n">
        <f aca="false">IFERROR(INDEX(CADASTRO_PIVOS!$I$6:$I$41,MATCH($E2368,CADASTRO_PIVOS!$B$6:$B$41,0)),0)</f>
        <v>1071.42857142857</v>
      </c>
      <c r="AB2368" s="18" t="n">
        <f aca="false">IF($Z2368&lt;=0,0,$Z2368/$AA2368)</f>
        <v>0</v>
      </c>
      <c r="AC2368" s="16" t="n">
        <f aca="false">IFERROR(INDEX(SEMANAS!$K$6:$K$71,MATCH($B2368,SEMANAS!$B$6:$B$71,0)),0)</f>
        <v>147</v>
      </c>
      <c r="AD2368" s="19" t="n">
        <f aca="false">IF($AC2368&lt;=0,0,$AB2368/$AC2368)</f>
        <v>0</v>
      </c>
      <c r="AE2368" s="8" t="str">
        <f aca="false">IF($K2368="SEM CULTURA","SEM CULTURA",IF($AA2368&lt;=0,"DADO PENDENTE",IF($AD2368&gt;LIMITE_CRITICO,"INVIAVEL",IF($AD2368&gt;LIMITE_ATENCAO,"CRITICO",IF($AD2368&gt;LIMITE_CONFORTAVEL,"ATENCAO","OK")))))</f>
        <v>SEM CULTURA</v>
      </c>
      <c r="AF2368" s="8" t="str">
        <f aca="false">$B2368&amp;"|"&amp;TEXT($AD2368,"0.000000")</f>
        <v>53|0.000000</v>
      </c>
      <c r="AG2368" s="18" t="n">
        <f aca="false">IF($K2368="SEM CULTURA",0,$T2368*$H2368)</f>
        <v>0</v>
      </c>
      <c r="AH2368" s="18" t="n">
        <f aca="false">IF($K2368="SEM CULTURA",0,$V2368*$H2368)</f>
        <v>0</v>
      </c>
      <c r="AI2368" s="18" t="n">
        <f aca="false">IF($K2368="SEM CULTURA",0,$W2368*$H2368)</f>
        <v>0</v>
      </c>
      <c r="AJ2368" s="18" t="n">
        <f aca="false">IF($K2368="SEM CULTURA",0,$S2368*$H2368)</f>
        <v>0</v>
      </c>
      <c r="AK2368" s="8" t="str">
        <f aca="false">$E2368&amp;"|"&amp;TEXT($AD2368,"0.000000")</f>
        <v>PV 137|0.000000</v>
      </c>
    </row>
    <row r="2369" customFormat="false" ht="15" hidden="false" customHeight="false" outlineLevel="0" collapsed="false">
      <c r="B2369" s="16" t="n">
        <v>54</v>
      </c>
      <c r="C2369" s="17" t="n">
        <f aca="false">DATA_INICIO_SAFRA+($B2369-1)*DIAS_POR_SEMANA</f>
        <v>46636</v>
      </c>
      <c r="D2369" s="17" t="n">
        <f aca="false">$C2369+DIAS_POR_SEMANA-1</f>
        <v>46642</v>
      </c>
      <c r="E2369" s="15" t="s">
        <v>294</v>
      </c>
      <c r="F2369" s="8" t="str">
        <f aca="false">IFERROR(INDEX(CADASTRO_PIVOS!$C$6:$C$41,MATCH($E2369,CADASTRO_PIVOS!$B$6:$B$41,0)),"?")</f>
        <v>RM08</v>
      </c>
      <c r="G2369" s="8" t="str">
        <f aca="false">IFERROR(INDEX(CADASTRO_PIVOS!$D$6:$D$41,MATCH($E2369,CADASTRO_PIVOS!$B$6:$B$41,0)),"?")</f>
        <v>TR08</v>
      </c>
      <c r="H2369" s="20" t="n">
        <f aca="false">IFERROR(INDEX(CADASTRO_PIVOS!$E$6:$E$41,MATCH($E2369,CADASTRO_PIVOS!$B$6:$B$41,0)),0)</f>
        <v>150</v>
      </c>
      <c r="I2369" s="16" t="n">
        <f aca="false">IFERROR(SUMIFS(ROTACAO_RDM!$B$6:$B$71,ROTACAO_RDM!$D$6:$D$71,$E2369,ROTACAO_RDM!$I$6:$I$71,"&lt;="&amp;$C2369+INT(DIAS_POR_SEMANA/2),ROTACAO_RDM!$J$6:$J$71,"&gt;="&amp;$C2369+INT(DIAS_POR_SEMANA/2)),0)</f>
        <v>0</v>
      </c>
      <c r="J2369" s="16" t="n">
        <f aca="false">IFERROR(MATCH($I2369,ROTACAO_RDM!$B$6:$B$71,0),0)</f>
        <v>0</v>
      </c>
      <c r="K2369" s="8" t="str">
        <f aca="false">IF($J2369=0,"SEM CULTURA",INDEX(ROTACAO_RDM!$F$6:$F$71,$J2369))</f>
        <v>SEM CULTURA</v>
      </c>
      <c r="L2369" s="8" t="str">
        <f aca="false">IF($J2369=0,"",INDEX(ROTACAO_RDM!$G$6:$G$71,$J2369))</f>
        <v/>
      </c>
      <c r="M2369" s="17" t="str">
        <f aca="false">IF($J2369=0,"",INDEX(ROTACAO_RDM!$I$6:$I$71,$J2369))</f>
        <v/>
      </c>
      <c r="N2369" s="16" t="n">
        <f aca="false">IF($J2369=0,0,MAX(0,$C2369+INT(DIAS_POR_SEMANA/2)-INDEX(ROTACAO_RDM!$I$6:$I$71,$J2369)))</f>
        <v>0</v>
      </c>
      <c r="O2369" s="19" t="n">
        <f aca="false">IF($J2369=0,0,MIN(1,$N2369/MAX(1,INDEX(ROTACAO_RDM!$K$6:$K$71,$J2369))))</f>
        <v>0</v>
      </c>
      <c r="P2369" s="16" t="n">
        <f aca="false">IF($J2369=0,0,IFERROR(MATCH(INDEX(ROTACAO_RDM!$N$6:$N$71,$J2369),PARAMETROS_CULTURAS!$B$6:$B$28,0),0))</f>
        <v>0</v>
      </c>
      <c r="Q2369" s="8" t="str">
        <f aca="false">IF($P2369=0,"-",IF($O2369&lt;=INDEX(PARAMETROS_CULTURAS!$F$6:$F$28,$P2369),"INICIAL",IF($O2369&lt;=INDEX(PARAMETROS_CULTURAS!$F$6:$F$28,$P2369)+INDEX(PARAMETROS_CULTURAS!$G$6:$G$28,$P2369),"DESENVOLVIMENTO",IF($O2369&lt;=INDEX(PARAMETROS_CULTURAS!$F$6:$F$28,$P2369)+INDEX(PARAMETROS_CULTURAS!$G$6:$G$28,$P2369)+INDEX(PARAMETROS_CULTURAS!$H$6:$H$28,$P2369),"MEDIA","FINAL"))))</f>
        <v>-</v>
      </c>
      <c r="R2369" s="24" t="n">
        <f aca="false">IF($P2369=0,0,IF($O2369&lt;=INDEX(PARAMETROS_CULTURAS!$F$6:$F$28,$P2369),INDEX(PARAMETROS_CULTURAS!$K$6:$K$28,$P2369),IF($O2369&lt;=INDEX(PARAMETROS_CULTURAS!$F$6:$F$28,$P2369)+INDEX(PARAMETROS_CULTURAS!$G$6:$G$28,$P2369),INDEX(PARAMETROS_CULTURAS!$K$6:$K$28,$P2369)+(INDEX(PARAMETROS_CULTURAS!$L$6:$L$28,$P2369)-INDEX(PARAMETROS_CULTURAS!$K$6:$K$28,$P2369))*($O2369-INDEX(PARAMETROS_CULTURAS!$F$6:$F$28,$P2369))/MAX(INDEX(PARAMETROS_CULTURAS!$G$6:$G$28,$P2369),0.0001),IF($O2369&lt;=INDEX(PARAMETROS_CULTURAS!$F$6:$F$28,$P2369)+INDEX(PARAMETROS_CULTURAS!$G$6:$G$28,$P2369)+INDEX(PARAMETROS_CULTURAS!$H$6:$H$28,$P2369),INDEX(PARAMETROS_CULTURAS!$L$6:$L$28,$P2369),INDEX(PARAMETROS_CULTURAS!$L$6:$L$28,$P2369)+(INDEX(PARAMETROS_CULTURAS!$M$6:$M$28,$P2369)-INDEX(PARAMETROS_CULTURAS!$L$6:$L$28,$P2369))*($O2369-INDEX(PARAMETROS_CULTURAS!$F$6:$F$28,$P2369)-INDEX(PARAMETROS_CULTURAS!$G$6:$G$28,$P2369)-INDEX(PARAMETROS_CULTURAS!$H$6:$H$28,$P2369))/MAX(INDEX(PARAMETROS_CULTURAS!$I$6:$I$28,$P2369),0.0001)))))</f>
        <v>0</v>
      </c>
      <c r="S2369" s="18" t="n">
        <f aca="false">IFERROR(INDEX(SEMANAS!$H$6:$H$71,MATCH($B2369,SEMANAS!$B$6:$B$71,0)),0)</f>
        <v>40.6</v>
      </c>
      <c r="T2369" s="18" t="n">
        <f aca="false">$R2369*$S2369</f>
        <v>0</v>
      </c>
      <c r="U2369" s="18" t="n">
        <f aca="false">IFERROR(INDEX(SEMANAS!$I$6:$I$71,MATCH($B2369,SEMANAS!$B$6:$B$71,0)),0)</f>
        <v>7</v>
      </c>
      <c r="V2369" s="18" t="n">
        <f aca="false">IFERROR(INDEX(SEMANAS!$J$6:$J$71,MATCH($B2369,SEMANAS!$B$6:$B$71,0)),0)</f>
        <v>5.6</v>
      </c>
      <c r="W2369" s="18" t="n">
        <f aca="false">MAX(0,$T2369-$V2369)</f>
        <v>0</v>
      </c>
      <c r="X2369" s="19" t="n">
        <f aca="false">IFERROR(INDEX(CADASTRO_PIVOS!$K$6:$K$41,MATCH($E2369,CADASTRO_PIVOS!$B$6:$B$41,0)),EFICIENCIA_PADRAO)</f>
        <v>0.85</v>
      </c>
      <c r="Y2369" s="18" t="n">
        <f aca="false">IF($X2369&lt;=0,0,$W2369/$X2369)</f>
        <v>0</v>
      </c>
      <c r="Z2369" s="16" t="n">
        <f aca="false">$Y2369*$H2369*MM_PARA_M3_HA</f>
        <v>0</v>
      </c>
      <c r="AA2369" s="18" t="n">
        <f aca="false">IFERROR(INDEX(CADASTRO_PIVOS!$I$6:$I$41,MATCH($E2369,CADASTRO_PIVOS!$B$6:$B$41,0)),0)</f>
        <v>1071.42857142857</v>
      </c>
      <c r="AB2369" s="18" t="n">
        <f aca="false">IF($Z2369&lt;=0,0,$Z2369/$AA2369)</f>
        <v>0</v>
      </c>
      <c r="AC2369" s="16" t="n">
        <f aca="false">IFERROR(INDEX(SEMANAS!$K$6:$K$71,MATCH($B2369,SEMANAS!$B$6:$B$71,0)),0)</f>
        <v>147</v>
      </c>
      <c r="AD2369" s="19" t="n">
        <f aca="false">IF($AC2369&lt;=0,0,$AB2369/$AC2369)</f>
        <v>0</v>
      </c>
      <c r="AE2369" s="8" t="str">
        <f aca="false">IF($K2369="SEM CULTURA","SEM CULTURA",IF($AA2369&lt;=0,"DADO PENDENTE",IF($AD2369&gt;LIMITE_CRITICO,"INVIAVEL",IF($AD2369&gt;LIMITE_ATENCAO,"CRITICO",IF($AD2369&gt;LIMITE_CONFORTAVEL,"ATENCAO","OK")))))</f>
        <v>SEM CULTURA</v>
      </c>
      <c r="AF2369" s="8" t="str">
        <f aca="false">$B2369&amp;"|"&amp;TEXT($AD2369,"0.000000")</f>
        <v>54|0.000000</v>
      </c>
      <c r="AG2369" s="18" t="n">
        <f aca="false">IF($K2369="SEM CULTURA",0,$T2369*$H2369)</f>
        <v>0</v>
      </c>
      <c r="AH2369" s="18" t="n">
        <f aca="false">IF($K2369="SEM CULTURA",0,$V2369*$H2369)</f>
        <v>0</v>
      </c>
      <c r="AI2369" s="18" t="n">
        <f aca="false">IF($K2369="SEM CULTURA",0,$W2369*$H2369)</f>
        <v>0</v>
      </c>
      <c r="AJ2369" s="18" t="n">
        <f aca="false">IF($K2369="SEM CULTURA",0,$S2369*$H2369)</f>
        <v>0</v>
      </c>
      <c r="AK2369" s="8" t="str">
        <f aca="false">$E2369&amp;"|"&amp;TEXT($AD2369,"0.000000")</f>
        <v>PV 137|0.000000</v>
      </c>
    </row>
    <row r="2370" customFormat="false" ht="15" hidden="false" customHeight="false" outlineLevel="0" collapsed="false">
      <c r="B2370" s="16" t="n">
        <v>55</v>
      </c>
      <c r="C2370" s="17" t="n">
        <f aca="false">DATA_INICIO_SAFRA+($B2370-1)*DIAS_POR_SEMANA</f>
        <v>46643</v>
      </c>
      <c r="D2370" s="17" t="n">
        <f aca="false">$C2370+DIAS_POR_SEMANA-1</f>
        <v>46649</v>
      </c>
      <c r="E2370" s="15" t="s">
        <v>294</v>
      </c>
      <c r="F2370" s="8" t="str">
        <f aca="false">IFERROR(INDEX(CADASTRO_PIVOS!$C$6:$C$41,MATCH($E2370,CADASTRO_PIVOS!$B$6:$B$41,0)),"?")</f>
        <v>RM08</v>
      </c>
      <c r="G2370" s="8" t="str">
        <f aca="false">IFERROR(INDEX(CADASTRO_PIVOS!$D$6:$D$41,MATCH($E2370,CADASTRO_PIVOS!$B$6:$B$41,0)),"?")</f>
        <v>TR08</v>
      </c>
      <c r="H2370" s="20" t="n">
        <f aca="false">IFERROR(INDEX(CADASTRO_PIVOS!$E$6:$E$41,MATCH($E2370,CADASTRO_PIVOS!$B$6:$B$41,0)),0)</f>
        <v>150</v>
      </c>
      <c r="I2370" s="16" t="n">
        <f aca="false">IFERROR(SUMIFS(ROTACAO_RDM!$B$6:$B$71,ROTACAO_RDM!$D$6:$D$71,$E2370,ROTACAO_RDM!$I$6:$I$71,"&lt;="&amp;$C2370+INT(DIAS_POR_SEMANA/2),ROTACAO_RDM!$J$6:$J$71,"&gt;="&amp;$C2370+INT(DIAS_POR_SEMANA/2)),0)</f>
        <v>0</v>
      </c>
      <c r="J2370" s="16" t="n">
        <f aca="false">IFERROR(MATCH($I2370,ROTACAO_RDM!$B$6:$B$71,0),0)</f>
        <v>0</v>
      </c>
      <c r="K2370" s="8" t="str">
        <f aca="false">IF($J2370=0,"SEM CULTURA",INDEX(ROTACAO_RDM!$F$6:$F$71,$J2370))</f>
        <v>SEM CULTURA</v>
      </c>
      <c r="L2370" s="8" t="str">
        <f aca="false">IF($J2370=0,"",INDEX(ROTACAO_RDM!$G$6:$G$71,$J2370))</f>
        <v/>
      </c>
      <c r="M2370" s="17" t="str">
        <f aca="false">IF($J2370=0,"",INDEX(ROTACAO_RDM!$I$6:$I$71,$J2370))</f>
        <v/>
      </c>
      <c r="N2370" s="16" t="n">
        <f aca="false">IF($J2370=0,0,MAX(0,$C2370+INT(DIAS_POR_SEMANA/2)-INDEX(ROTACAO_RDM!$I$6:$I$71,$J2370)))</f>
        <v>0</v>
      </c>
      <c r="O2370" s="19" t="n">
        <f aca="false">IF($J2370=0,0,MIN(1,$N2370/MAX(1,INDEX(ROTACAO_RDM!$K$6:$K$71,$J2370))))</f>
        <v>0</v>
      </c>
      <c r="P2370" s="16" t="n">
        <f aca="false">IF($J2370=0,0,IFERROR(MATCH(INDEX(ROTACAO_RDM!$N$6:$N$71,$J2370),PARAMETROS_CULTURAS!$B$6:$B$28,0),0))</f>
        <v>0</v>
      </c>
      <c r="Q2370" s="8" t="str">
        <f aca="false">IF($P2370=0,"-",IF($O2370&lt;=INDEX(PARAMETROS_CULTURAS!$F$6:$F$28,$P2370),"INICIAL",IF($O2370&lt;=INDEX(PARAMETROS_CULTURAS!$F$6:$F$28,$P2370)+INDEX(PARAMETROS_CULTURAS!$G$6:$G$28,$P2370),"DESENVOLVIMENTO",IF($O2370&lt;=INDEX(PARAMETROS_CULTURAS!$F$6:$F$28,$P2370)+INDEX(PARAMETROS_CULTURAS!$G$6:$G$28,$P2370)+INDEX(PARAMETROS_CULTURAS!$H$6:$H$28,$P2370),"MEDIA","FINAL"))))</f>
        <v>-</v>
      </c>
      <c r="R2370" s="24" t="n">
        <f aca="false">IF($P2370=0,0,IF($O2370&lt;=INDEX(PARAMETROS_CULTURAS!$F$6:$F$28,$P2370),INDEX(PARAMETROS_CULTURAS!$K$6:$K$28,$P2370),IF($O2370&lt;=INDEX(PARAMETROS_CULTURAS!$F$6:$F$28,$P2370)+INDEX(PARAMETROS_CULTURAS!$G$6:$G$28,$P2370),INDEX(PARAMETROS_CULTURAS!$K$6:$K$28,$P2370)+(INDEX(PARAMETROS_CULTURAS!$L$6:$L$28,$P2370)-INDEX(PARAMETROS_CULTURAS!$K$6:$K$28,$P2370))*($O2370-INDEX(PARAMETROS_CULTURAS!$F$6:$F$28,$P2370))/MAX(INDEX(PARAMETROS_CULTURAS!$G$6:$G$28,$P2370),0.0001),IF($O2370&lt;=INDEX(PARAMETROS_CULTURAS!$F$6:$F$28,$P2370)+INDEX(PARAMETROS_CULTURAS!$G$6:$G$28,$P2370)+INDEX(PARAMETROS_CULTURAS!$H$6:$H$28,$P2370),INDEX(PARAMETROS_CULTURAS!$L$6:$L$28,$P2370),INDEX(PARAMETROS_CULTURAS!$L$6:$L$28,$P2370)+(INDEX(PARAMETROS_CULTURAS!$M$6:$M$28,$P2370)-INDEX(PARAMETROS_CULTURAS!$L$6:$L$28,$P2370))*($O2370-INDEX(PARAMETROS_CULTURAS!$F$6:$F$28,$P2370)-INDEX(PARAMETROS_CULTURAS!$G$6:$G$28,$P2370)-INDEX(PARAMETROS_CULTURAS!$H$6:$H$28,$P2370))/MAX(INDEX(PARAMETROS_CULTURAS!$I$6:$I$28,$P2370),0.0001)))))</f>
        <v>0</v>
      </c>
      <c r="S2370" s="18" t="n">
        <f aca="false">IFERROR(INDEX(SEMANAS!$H$6:$H$71,MATCH($B2370,SEMANAS!$B$6:$B$71,0)),0)</f>
        <v>40.6</v>
      </c>
      <c r="T2370" s="18" t="n">
        <f aca="false">$R2370*$S2370</f>
        <v>0</v>
      </c>
      <c r="U2370" s="18" t="n">
        <f aca="false">IFERROR(INDEX(SEMANAS!$I$6:$I$71,MATCH($B2370,SEMANAS!$B$6:$B$71,0)),0)</f>
        <v>7</v>
      </c>
      <c r="V2370" s="18" t="n">
        <f aca="false">IFERROR(INDEX(SEMANAS!$J$6:$J$71,MATCH($B2370,SEMANAS!$B$6:$B$71,0)),0)</f>
        <v>5.6</v>
      </c>
      <c r="W2370" s="18" t="n">
        <f aca="false">MAX(0,$T2370-$V2370)</f>
        <v>0</v>
      </c>
      <c r="X2370" s="19" t="n">
        <f aca="false">IFERROR(INDEX(CADASTRO_PIVOS!$K$6:$K$41,MATCH($E2370,CADASTRO_PIVOS!$B$6:$B$41,0)),EFICIENCIA_PADRAO)</f>
        <v>0.85</v>
      </c>
      <c r="Y2370" s="18" t="n">
        <f aca="false">IF($X2370&lt;=0,0,$W2370/$X2370)</f>
        <v>0</v>
      </c>
      <c r="Z2370" s="16" t="n">
        <f aca="false">$Y2370*$H2370*MM_PARA_M3_HA</f>
        <v>0</v>
      </c>
      <c r="AA2370" s="18" t="n">
        <f aca="false">IFERROR(INDEX(CADASTRO_PIVOS!$I$6:$I$41,MATCH($E2370,CADASTRO_PIVOS!$B$6:$B$41,0)),0)</f>
        <v>1071.42857142857</v>
      </c>
      <c r="AB2370" s="18" t="n">
        <f aca="false">IF($Z2370&lt;=0,0,$Z2370/$AA2370)</f>
        <v>0</v>
      </c>
      <c r="AC2370" s="16" t="n">
        <f aca="false">IFERROR(INDEX(SEMANAS!$K$6:$K$71,MATCH($B2370,SEMANAS!$B$6:$B$71,0)),0)</f>
        <v>147</v>
      </c>
      <c r="AD2370" s="19" t="n">
        <f aca="false">IF($AC2370&lt;=0,0,$AB2370/$AC2370)</f>
        <v>0</v>
      </c>
      <c r="AE2370" s="8" t="str">
        <f aca="false">IF($K2370="SEM CULTURA","SEM CULTURA",IF($AA2370&lt;=0,"DADO PENDENTE",IF($AD2370&gt;LIMITE_CRITICO,"INVIAVEL",IF($AD2370&gt;LIMITE_ATENCAO,"CRITICO",IF($AD2370&gt;LIMITE_CONFORTAVEL,"ATENCAO","OK")))))</f>
        <v>SEM CULTURA</v>
      </c>
      <c r="AF2370" s="8" t="str">
        <f aca="false">$B2370&amp;"|"&amp;TEXT($AD2370,"0.000000")</f>
        <v>55|0.000000</v>
      </c>
      <c r="AG2370" s="18" t="n">
        <f aca="false">IF($K2370="SEM CULTURA",0,$T2370*$H2370)</f>
        <v>0</v>
      </c>
      <c r="AH2370" s="18" t="n">
        <f aca="false">IF($K2370="SEM CULTURA",0,$V2370*$H2370)</f>
        <v>0</v>
      </c>
      <c r="AI2370" s="18" t="n">
        <f aca="false">IF($K2370="SEM CULTURA",0,$W2370*$H2370)</f>
        <v>0</v>
      </c>
      <c r="AJ2370" s="18" t="n">
        <f aca="false">IF($K2370="SEM CULTURA",0,$S2370*$H2370)</f>
        <v>0</v>
      </c>
      <c r="AK2370" s="8" t="str">
        <f aca="false">$E2370&amp;"|"&amp;TEXT($AD2370,"0.000000")</f>
        <v>PV 137|0.000000</v>
      </c>
    </row>
    <row r="2371" customFormat="false" ht="15" hidden="false" customHeight="false" outlineLevel="0" collapsed="false">
      <c r="B2371" s="16" t="n">
        <v>56</v>
      </c>
      <c r="C2371" s="17" t="n">
        <f aca="false">DATA_INICIO_SAFRA+($B2371-1)*DIAS_POR_SEMANA</f>
        <v>46650</v>
      </c>
      <c r="D2371" s="17" t="n">
        <f aca="false">$C2371+DIAS_POR_SEMANA-1</f>
        <v>46656</v>
      </c>
      <c r="E2371" s="15" t="s">
        <v>294</v>
      </c>
      <c r="F2371" s="8" t="str">
        <f aca="false">IFERROR(INDEX(CADASTRO_PIVOS!$C$6:$C$41,MATCH($E2371,CADASTRO_PIVOS!$B$6:$B$41,0)),"?")</f>
        <v>RM08</v>
      </c>
      <c r="G2371" s="8" t="str">
        <f aca="false">IFERROR(INDEX(CADASTRO_PIVOS!$D$6:$D$41,MATCH($E2371,CADASTRO_PIVOS!$B$6:$B$41,0)),"?")</f>
        <v>TR08</v>
      </c>
      <c r="H2371" s="20" t="n">
        <f aca="false">IFERROR(INDEX(CADASTRO_PIVOS!$E$6:$E$41,MATCH($E2371,CADASTRO_PIVOS!$B$6:$B$41,0)),0)</f>
        <v>150</v>
      </c>
      <c r="I2371" s="16" t="n">
        <f aca="false">IFERROR(SUMIFS(ROTACAO_RDM!$B$6:$B$71,ROTACAO_RDM!$D$6:$D$71,$E2371,ROTACAO_RDM!$I$6:$I$71,"&lt;="&amp;$C2371+INT(DIAS_POR_SEMANA/2),ROTACAO_RDM!$J$6:$J$71,"&gt;="&amp;$C2371+INT(DIAS_POR_SEMANA/2)),0)</f>
        <v>0</v>
      </c>
      <c r="J2371" s="16" t="n">
        <f aca="false">IFERROR(MATCH($I2371,ROTACAO_RDM!$B$6:$B$71,0),0)</f>
        <v>0</v>
      </c>
      <c r="K2371" s="8" t="str">
        <f aca="false">IF($J2371=0,"SEM CULTURA",INDEX(ROTACAO_RDM!$F$6:$F$71,$J2371))</f>
        <v>SEM CULTURA</v>
      </c>
      <c r="L2371" s="8" t="str">
        <f aca="false">IF($J2371=0,"",INDEX(ROTACAO_RDM!$G$6:$G$71,$J2371))</f>
        <v/>
      </c>
      <c r="M2371" s="17" t="str">
        <f aca="false">IF($J2371=0,"",INDEX(ROTACAO_RDM!$I$6:$I$71,$J2371))</f>
        <v/>
      </c>
      <c r="N2371" s="16" t="n">
        <f aca="false">IF($J2371=0,0,MAX(0,$C2371+INT(DIAS_POR_SEMANA/2)-INDEX(ROTACAO_RDM!$I$6:$I$71,$J2371)))</f>
        <v>0</v>
      </c>
      <c r="O2371" s="19" t="n">
        <f aca="false">IF($J2371=0,0,MIN(1,$N2371/MAX(1,INDEX(ROTACAO_RDM!$K$6:$K$71,$J2371))))</f>
        <v>0</v>
      </c>
      <c r="P2371" s="16" t="n">
        <f aca="false">IF($J2371=0,0,IFERROR(MATCH(INDEX(ROTACAO_RDM!$N$6:$N$71,$J2371),PARAMETROS_CULTURAS!$B$6:$B$28,0),0))</f>
        <v>0</v>
      </c>
      <c r="Q2371" s="8" t="str">
        <f aca="false">IF($P2371=0,"-",IF($O2371&lt;=INDEX(PARAMETROS_CULTURAS!$F$6:$F$28,$P2371),"INICIAL",IF($O2371&lt;=INDEX(PARAMETROS_CULTURAS!$F$6:$F$28,$P2371)+INDEX(PARAMETROS_CULTURAS!$G$6:$G$28,$P2371),"DESENVOLVIMENTO",IF($O2371&lt;=INDEX(PARAMETROS_CULTURAS!$F$6:$F$28,$P2371)+INDEX(PARAMETROS_CULTURAS!$G$6:$G$28,$P2371)+INDEX(PARAMETROS_CULTURAS!$H$6:$H$28,$P2371),"MEDIA","FINAL"))))</f>
        <v>-</v>
      </c>
      <c r="R2371" s="24" t="n">
        <f aca="false">IF($P2371=0,0,IF($O2371&lt;=INDEX(PARAMETROS_CULTURAS!$F$6:$F$28,$P2371),INDEX(PARAMETROS_CULTURAS!$K$6:$K$28,$P2371),IF($O2371&lt;=INDEX(PARAMETROS_CULTURAS!$F$6:$F$28,$P2371)+INDEX(PARAMETROS_CULTURAS!$G$6:$G$28,$P2371),INDEX(PARAMETROS_CULTURAS!$K$6:$K$28,$P2371)+(INDEX(PARAMETROS_CULTURAS!$L$6:$L$28,$P2371)-INDEX(PARAMETROS_CULTURAS!$K$6:$K$28,$P2371))*($O2371-INDEX(PARAMETROS_CULTURAS!$F$6:$F$28,$P2371))/MAX(INDEX(PARAMETROS_CULTURAS!$G$6:$G$28,$P2371),0.0001),IF($O2371&lt;=INDEX(PARAMETROS_CULTURAS!$F$6:$F$28,$P2371)+INDEX(PARAMETROS_CULTURAS!$G$6:$G$28,$P2371)+INDEX(PARAMETROS_CULTURAS!$H$6:$H$28,$P2371),INDEX(PARAMETROS_CULTURAS!$L$6:$L$28,$P2371),INDEX(PARAMETROS_CULTURAS!$L$6:$L$28,$P2371)+(INDEX(PARAMETROS_CULTURAS!$M$6:$M$28,$P2371)-INDEX(PARAMETROS_CULTURAS!$L$6:$L$28,$P2371))*($O2371-INDEX(PARAMETROS_CULTURAS!$F$6:$F$28,$P2371)-INDEX(PARAMETROS_CULTURAS!$G$6:$G$28,$P2371)-INDEX(PARAMETROS_CULTURAS!$H$6:$H$28,$P2371))/MAX(INDEX(PARAMETROS_CULTURAS!$I$6:$I$28,$P2371),0.0001)))))</f>
        <v>0</v>
      </c>
      <c r="S2371" s="18" t="n">
        <f aca="false">IFERROR(INDEX(SEMANAS!$H$6:$H$71,MATCH($B2371,SEMANAS!$B$6:$B$71,0)),0)</f>
        <v>40.6</v>
      </c>
      <c r="T2371" s="18" t="n">
        <f aca="false">$R2371*$S2371</f>
        <v>0</v>
      </c>
      <c r="U2371" s="18" t="n">
        <f aca="false">IFERROR(INDEX(SEMANAS!$I$6:$I$71,MATCH($B2371,SEMANAS!$B$6:$B$71,0)),0)</f>
        <v>7</v>
      </c>
      <c r="V2371" s="18" t="n">
        <f aca="false">IFERROR(INDEX(SEMANAS!$J$6:$J$71,MATCH($B2371,SEMANAS!$B$6:$B$71,0)),0)</f>
        <v>5.6</v>
      </c>
      <c r="W2371" s="18" t="n">
        <f aca="false">MAX(0,$T2371-$V2371)</f>
        <v>0</v>
      </c>
      <c r="X2371" s="19" t="n">
        <f aca="false">IFERROR(INDEX(CADASTRO_PIVOS!$K$6:$K$41,MATCH($E2371,CADASTRO_PIVOS!$B$6:$B$41,0)),EFICIENCIA_PADRAO)</f>
        <v>0.85</v>
      </c>
      <c r="Y2371" s="18" t="n">
        <f aca="false">IF($X2371&lt;=0,0,$W2371/$X2371)</f>
        <v>0</v>
      </c>
      <c r="Z2371" s="16" t="n">
        <f aca="false">$Y2371*$H2371*MM_PARA_M3_HA</f>
        <v>0</v>
      </c>
      <c r="AA2371" s="18" t="n">
        <f aca="false">IFERROR(INDEX(CADASTRO_PIVOS!$I$6:$I$41,MATCH($E2371,CADASTRO_PIVOS!$B$6:$B$41,0)),0)</f>
        <v>1071.42857142857</v>
      </c>
      <c r="AB2371" s="18" t="n">
        <f aca="false">IF($Z2371&lt;=0,0,$Z2371/$AA2371)</f>
        <v>0</v>
      </c>
      <c r="AC2371" s="16" t="n">
        <f aca="false">IFERROR(INDEX(SEMANAS!$K$6:$K$71,MATCH($B2371,SEMANAS!$B$6:$B$71,0)),0)</f>
        <v>147</v>
      </c>
      <c r="AD2371" s="19" t="n">
        <f aca="false">IF($AC2371&lt;=0,0,$AB2371/$AC2371)</f>
        <v>0</v>
      </c>
      <c r="AE2371" s="8" t="str">
        <f aca="false">IF($K2371="SEM CULTURA","SEM CULTURA",IF($AA2371&lt;=0,"DADO PENDENTE",IF($AD2371&gt;LIMITE_CRITICO,"INVIAVEL",IF($AD2371&gt;LIMITE_ATENCAO,"CRITICO",IF($AD2371&gt;LIMITE_CONFORTAVEL,"ATENCAO","OK")))))</f>
        <v>SEM CULTURA</v>
      </c>
      <c r="AF2371" s="8" t="str">
        <f aca="false">$B2371&amp;"|"&amp;TEXT($AD2371,"0.000000")</f>
        <v>56|0.000000</v>
      </c>
      <c r="AG2371" s="18" t="n">
        <f aca="false">IF($K2371="SEM CULTURA",0,$T2371*$H2371)</f>
        <v>0</v>
      </c>
      <c r="AH2371" s="18" t="n">
        <f aca="false">IF($K2371="SEM CULTURA",0,$V2371*$H2371)</f>
        <v>0</v>
      </c>
      <c r="AI2371" s="18" t="n">
        <f aca="false">IF($K2371="SEM CULTURA",0,$W2371*$H2371)</f>
        <v>0</v>
      </c>
      <c r="AJ2371" s="18" t="n">
        <f aca="false">IF($K2371="SEM CULTURA",0,$S2371*$H2371)</f>
        <v>0</v>
      </c>
      <c r="AK2371" s="8" t="str">
        <f aca="false">$E2371&amp;"|"&amp;TEXT($AD2371,"0.000000")</f>
        <v>PV 137|0.000000</v>
      </c>
    </row>
    <row r="2372" customFormat="false" ht="15" hidden="false" customHeight="false" outlineLevel="0" collapsed="false">
      <c r="B2372" s="16" t="n">
        <v>57</v>
      </c>
      <c r="C2372" s="17" t="n">
        <f aca="false">DATA_INICIO_SAFRA+($B2372-1)*DIAS_POR_SEMANA</f>
        <v>46657</v>
      </c>
      <c r="D2372" s="17" t="n">
        <f aca="false">$C2372+DIAS_POR_SEMANA-1</f>
        <v>46663</v>
      </c>
      <c r="E2372" s="15" t="s">
        <v>294</v>
      </c>
      <c r="F2372" s="8" t="str">
        <f aca="false">IFERROR(INDEX(CADASTRO_PIVOS!$C$6:$C$41,MATCH($E2372,CADASTRO_PIVOS!$B$6:$B$41,0)),"?")</f>
        <v>RM08</v>
      </c>
      <c r="G2372" s="8" t="str">
        <f aca="false">IFERROR(INDEX(CADASTRO_PIVOS!$D$6:$D$41,MATCH($E2372,CADASTRO_PIVOS!$B$6:$B$41,0)),"?")</f>
        <v>TR08</v>
      </c>
      <c r="H2372" s="20" t="n">
        <f aca="false">IFERROR(INDEX(CADASTRO_PIVOS!$E$6:$E$41,MATCH($E2372,CADASTRO_PIVOS!$B$6:$B$41,0)),0)</f>
        <v>150</v>
      </c>
      <c r="I2372" s="16" t="n">
        <f aca="false">IFERROR(SUMIFS(ROTACAO_RDM!$B$6:$B$71,ROTACAO_RDM!$D$6:$D$71,$E2372,ROTACAO_RDM!$I$6:$I$71,"&lt;="&amp;$C2372+INT(DIAS_POR_SEMANA/2),ROTACAO_RDM!$J$6:$J$71,"&gt;="&amp;$C2372+INT(DIAS_POR_SEMANA/2)),0)</f>
        <v>0</v>
      </c>
      <c r="J2372" s="16" t="n">
        <f aca="false">IFERROR(MATCH($I2372,ROTACAO_RDM!$B$6:$B$71,0),0)</f>
        <v>0</v>
      </c>
      <c r="K2372" s="8" t="str">
        <f aca="false">IF($J2372=0,"SEM CULTURA",INDEX(ROTACAO_RDM!$F$6:$F$71,$J2372))</f>
        <v>SEM CULTURA</v>
      </c>
      <c r="L2372" s="8" t="str">
        <f aca="false">IF($J2372=0,"",INDEX(ROTACAO_RDM!$G$6:$G$71,$J2372))</f>
        <v/>
      </c>
      <c r="M2372" s="17" t="str">
        <f aca="false">IF($J2372=0,"",INDEX(ROTACAO_RDM!$I$6:$I$71,$J2372))</f>
        <v/>
      </c>
      <c r="N2372" s="16" t="n">
        <f aca="false">IF($J2372=0,0,MAX(0,$C2372+INT(DIAS_POR_SEMANA/2)-INDEX(ROTACAO_RDM!$I$6:$I$71,$J2372)))</f>
        <v>0</v>
      </c>
      <c r="O2372" s="19" t="n">
        <f aca="false">IF($J2372=0,0,MIN(1,$N2372/MAX(1,INDEX(ROTACAO_RDM!$K$6:$K$71,$J2372))))</f>
        <v>0</v>
      </c>
      <c r="P2372" s="16" t="n">
        <f aca="false">IF($J2372=0,0,IFERROR(MATCH(INDEX(ROTACAO_RDM!$N$6:$N$71,$J2372),PARAMETROS_CULTURAS!$B$6:$B$28,0),0))</f>
        <v>0</v>
      </c>
      <c r="Q2372" s="8" t="str">
        <f aca="false">IF($P2372=0,"-",IF($O2372&lt;=INDEX(PARAMETROS_CULTURAS!$F$6:$F$28,$P2372),"INICIAL",IF($O2372&lt;=INDEX(PARAMETROS_CULTURAS!$F$6:$F$28,$P2372)+INDEX(PARAMETROS_CULTURAS!$G$6:$G$28,$P2372),"DESENVOLVIMENTO",IF($O2372&lt;=INDEX(PARAMETROS_CULTURAS!$F$6:$F$28,$P2372)+INDEX(PARAMETROS_CULTURAS!$G$6:$G$28,$P2372)+INDEX(PARAMETROS_CULTURAS!$H$6:$H$28,$P2372),"MEDIA","FINAL"))))</f>
        <v>-</v>
      </c>
      <c r="R2372" s="24" t="n">
        <f aca="false">IF($P2372=0,0,IF($O2372&lt;=INDEX(PARAMETROS_CULTURAS!$F$6:$F$28,$P2372),INDEX(PARAMETROS_CULTURAS!$K$6:$K$28,$P2372),IF($O2372&lt;=INDEX(PARAMETROS_CULTURAS!$F$6:$F$28,$P2372)+INDEX(PARAMETROS_CULTURAS!$G$6:$G$28,$P2372),INDEX(PARAMETROS_CULTURAS!$K$6:$K$28,$P2372)+(INDEX(PARAMETROS_CULTURAS!$L$6:$L$28,$P2372)-INDEX(PARAMETROS_CULTURAS!$K$6:$K$28,$P2372))*($O2372-INDEX(PARAMETROS_CULTURAS!$F$6:$F$28,$P2372))/MAX(INDEX(PARAMETROS_CULTURAS!$G$6:$G$28,$P2372),0.0001),IF($O2372&lt;=INDEX(PARAMETROS_CULTURAS!$F$6:$F$28,$P2372)+INDEX(PARAMETROS_CULTURAS!$G$6:$G$28,$P2372)+INDEX(PARAMETROS_CULTURAS!$H$6:$H$28,$P2372),INDEX(PARAMETROS_CULTURAS!$L$6:$L$28,$P2372),INDEX(PARAMETROS_CULTURAS!$L$6:$L$28,$P2372)+(INDEX(PARAMETROS_CULTURAS!$M$6:$M$28,$P2372)-INDEX(PARAMETROS_CULTURAS!$L$6:$L$28,$P2372))*($O2372-INDEX(PARAMETROS_CULTURAS!$F$6:$F$28,$P2372)-INDEX(PARAMETROS_CULTURAS!$G$6:$G$28,$P2372)-INDEX(PARAMETROS_CULTURAS!$H$6:$H$28,$P2372))/MAX(INDEX(PARAMETROS_CULTURAS!$I$6:$I$28,$P2372),0.0001)))))</f>
        <v>0</v>
      </c>
      <c r="S2372" s="18" t="n">
        <f aca="false">IFERROR(INDEX(SEMANAS!$H$6:$H$71,MATCH($B2372,SEMANAS!$B$6:$B$71,0)),0)</f>
        <v>40</v>
      </c>
      <c r="T2372" s="18" t="n">
        <f aca="false">$R2372*$S2372</f>
        <v>0</v>
      </c>
      <c r="U2372" s="18" t="n">
        <f aca="false">IFERROR(INDEX(SEMANAS!$I$6:$I$71,MATCH($B2372,SEMANAS!$B$6:$B$71,0)),0)</f>
        <v>15.61</v>
      </c>
      <c r="V2372" s="18" t="n">
        <f aca="false">IFERROR(INDEX(SEMANAS!$J$6:$J$71,MATCH($B2372,SEMANAS!$B$6:$B$71,0)),0)</f>
        <v>12.488</v>
      </c>
      <c r="W2372" s="18" t="n">
        <f aca="false">MAX(0,$T2372-$V2372)</f>
        <v>0</v>
      </c>
      <c r="X2372" s="19" t="n">
        <f aca="false">IFERROR(INDEX(CADASTRO_PIVOS!$K$6:$K$41,MATCH($E2372,CADASTRO_PIVOS!$B$6:$B$41,0)),EFICIENCIA_PADRAO)</f>
        <v>0.85</v>
      </c>
      <c r="Y2372" s="18" t="n">
        <f aca="false">IF($X2372&lt;=0,0,$W2372/$X2372)</f>
        <v>0</v>
      </c>
      <c r="Z2372" s="16" t="n">
        <f aca="false">$Y2372*$H2372*MM_PARA_M3_HA</f>
        <v>0</v>
      </c>
      <c r="AA2372" s="18" t="n">
        <f aca="false">IFERROR(INDEX(CADASTRO_PIVOS!$I$6:$I$41,MATCH($E2372,CADASTRO_PIVOS!$B$6:$B$41,0)),0)</f>
        <v>1071.42857142857</v>
      </c>
      <c r="AB2372" s="18" t="n">
        <f aca="false">IF($Z2372&lt;=0,0,$Z2372/$AA2372)</f>
        <v>0</v>
      </c>
      <c r="AC2372" s="16" t="n">
        <f aca="false">IFERROR(INDEX(SEMANAS!$K$6:$K$71,MATCH($B2372,SEMANAS!$B$6:$B$71,0)),0)</f>
        <v>147</v>
      </c>
      <c r="AD2372" s="19" t="n">
        <f aca="false">IF($AC2372&lt;=0,0,$AB2372/$AC2372)</f>
        <v>0</v>
      </c>
      <c r="AE2372" s="8" t="str">
        <f aca="false">IF($K2372="SEM CULTURA","SEM CULTURA",IF($AA2372&lt;=0,"DADO PENDENTE",IF($AD2372&gt;LIMITE_CRITICO,"INVIAVEL",IF($AD2372&gt;LIMITE_ATENCAO,"CRITICO",IF($AD2372&gt;LIMITE_CONFORTAVEL,"ATENCAO","OK")))))</f>
        <v>SEM CULTURA</v>
      </c>
      <c r="AF2372" s="8" t="str">
        <f aca="false">$B2372&amp;"|"&amp;TEXT($AD2372,"0.000000")</f>
        <v>57|0.000000</v>
      </c>
      <c r="AG2372" s="18" t="n">
        <f aca="false">IF($K2372="SEM CULTURA",0,$T2372*$H2372)</f>
        <v>0</v>
      </c>
      <c r="AH2372" s="18" t="n">
        <f aca="false">IF($K2372="SEM CULTURA",0,$V2372*$H2372)</f>
        <v>0</v>
      </c>
      <c r="AI2372" s="18" t="n">
        <f aca="false">IF($K2372="SEM CULTURA",0,$W2372*$H2372)</f>
        <v>0</v>
      </c>
      <c r="AJ2372" s="18" t="n">
        <f aca="false">IF($K2372="SEM CULTURA",0,$S2372*$H2372)</f>
        <v>0</v>
      </c>
      <c r="AK2372" s="8" t="str">
        <f aca="false">$E2372&amp;"|"&amp;TEXT($AD2372,"0.000000")</f>
        <v>PV 137|0.000000</v>
      </c>
    </row>
    <row r="2373" customFormat="false" ht="15" hidden="false" customHeight="false" outlineLevel="0" collapsed="false">
      <c r="B2373" s="16" t="n">
        <v>58</v>
      </c>
      <c r="C2373" s="17" t="n">
        <f aca="false">DATA_INICIO_SAFRA+($B2373-1)*DIAS_POR_SEMANA</f>
        <v>46664</v>
      </c>
      <c r="D2373" s="17" t="n">
        <f aca="false">$C2373+DIAS_POR_SEMANA-1</f>
        <v>46670</v>
      </c>
      <c r="E2373" s="15" t="s">
        <v>294</v>
      </c>
      <c r="F2373" s="8" t="str">
        <f aca="false">IFERROR(INDEX(CADASTRO_PIVOS!$C$6:$C$41,MATCH($E2373,CADASTRO_PIVOS!$B$6:$B$41,0)),"?")</f>
        <v>RM08</v>
      </c>
      <c r="G2373" s="8" t="str">
        <f aca="false">IFERROR(INDEX(CADASTRO_PIVOS!$D$6:$D$41,MATCH($E2373,CADASTRO_PIVOS!$B$6:$B$41,0)),"?")</f>
        <v>TR08</v>
      </c>
      <c r="H2373" s="20" t="n">
        <f aca="false">IFERROR(INDEX(CADASTRO_PIVOS!$E$6:$E$41,MATCH($E2373,CADASTRO_PIVOS!$B$6:$B$41,0)),0)</f>
        <v>150</v>
      </c>
      <c r="I2373" s="16" t="n">
        <f aca="false">IFERROR(SUMIFS(ROTACAO_RDM!$B$6:$B$71,ROTACAO_RDM!$D$6:$D$71,$E2373,ROTACAO_RDM!$I$6:$I$71,"&lt;="&amp;$C2373+INT(DIAS_POR_SEMANA/2),ROTACAO_RDM!$J$6:$J$71,"&gt;="&amp;$C2373+INT(DIAS_POR_SEMANA/2)),0)</f>
        <v>0</v>
      </c>
      <c r="J2373" s="16" t="n">
        <f aca="false">IFERROR(MATCH($I2373,ROTACAO_RDM!$B$6:$B$71,0),0)</f>
        <v>0</v>
      </c>
      <c r="K2373" s="8" t="str">
        <f aca="false">IF($J2373=0,"SEM CULTURA",INDEX(ROTACAO_RDM!$F$6:$F$71,$J2373))</f>
        <v>SEM CULTURA</v>
      </c>
      <c r="L2373" s="8" t="str">
        <f aca="false">IF($J2373=0,"",INDEX(ROTACAO_RDM!$G$6:$G$71,$J2373))</f>
        <v/>
      </c>
      <c r="M2373" s="17" t="str">
        <f aca="false">IF($J2373=0,"",INDEX(ROTACAO_RDM!$I$6:$I$71,$J2373))</f>
        <v/>
      </c>
      <c r="N2373" s="16" t="n">
        <f aca="false">IF($J2373=0,0,MAX(0,$C2373+INT(DIAS_POR_SEMANA/2)-INDEX(ROTACAO_RDM!$I$6:$I$71,$J2373)))</f>
        <v>0</v>
      </c>
      <c r="O2373" s="19" t="n">
        <f aca="false">IF($J2373=0,0,MIN(1,$N2373/MAX(1,INDEX(ROTACAO_RDM!$K$6:$K$71,$J2373))))</f>
        <v>0</v>
      </c>
      <c r="P2373" s="16" t="n">
        <f aca="false">IF($J2373=0,0,IFERROR(MATCH(INDEX(ROTACAO_RDM!$N$6:$N$71,$J2373),PARAMETROS_CULTURAS!$B$6:$B$28,0),0))</f>
        <v>0</v>
      </c>
      <c r="Q2373" s="8" t="str">
        <f aca="false">IF($P2373=0,"-",IF($O2373&lt;=INDEX(PARAMETROS_CULTURAS!$F$6:$F$28,$P2373),"INICIAL",IF($O2373&lt;=INDEX(PARAMETROS_CULTURAS!$F$6:$F$28,$P2373)+INDEX(PARAMETROS_CULTURAS!$G$6:$G$28,$P2373),"DESENVOLVIMENTO",IF($O2373&lt;=INDEX(PARAMETROS_CULTURAS!$F$6:$F$28,$P2373)+INDEX(PARAMETROS_CULTURAS!$G$6:$G$28,$P2373)+INDEX(PARAMETROS_CULTURAS!$H$6:$H$28,$P2373),"MEDIA","FINAL"))))</f>
        <v>-</v>
      </c>
      <c r="R2373" s="24" t="n">
        <f aca="false">IF($P2373=0,0,IF($O2373&lt;=INDEX(PARAMETROS_CULTURAS!$F$6:$F$28,$P2373),INDEX(PARAMETROS_CULTURAS!$K$6:$K$28,$P2373),IF($O2373&lt;=INDEX(PARAMETROS_CULTURAS!$F$6:$F$28,$P2373)+INDEX(PARAMETROS_CULTURAS!$G$6:$G$28,$P2373),INDEX(PARAMETROS_CULTURAS!$K$6:$K$28,$P2373)+(INDEX(PARAMETROS_CULTURAS!$L$6:$L$28,$P2373)-INDEX(PARAMETROS_CULTURAS!$K$6:$K$28,$P2373))*($O2373-INDEX(PARAMETROS_CULTURAS!$F$6:$F$28,$P2373))/MAX(INDEX(PARAMETROS_CULTURAS!$G$6:$G$28,$P2373),0.0001),IF($O2373&lt;=INDEX(PARAMETROS_CULTURAS!$F$6:$F$28,$P2373)+INDEX(PARAMETROS_CULTURAS!$G$6:$G$28,$P2373)+INDEX(PARAMETROS_CULTURAS!$H$6:$H$28,$P2373),INDEX(PARAMETROS_CULTURAS!$L$6:$L$28,$P2373),INDEX(PARAMETROS_CULTURAS!$L$6:$L$28,$P2373)+(INDEX(PARAMETROS_CULTURAS!$M$6:$M$28,$P2373)-INDEX(PARAMETROS_CULTURAS!$L$6:$L$28,$P2373))*($O2373-INDEX(PARAMETROS_CULTURAS!$F$6:$F$28,$P2373)-INDEX(PARAMETROS_CULTURAS!$G$6:$G$28,$P2373)-INDEX(PARAMETROS_CULTURAS!$H$6:$H$28,$P2373))/MAX(INDEX(PARAMETROS_CULTURAS!$I$6:$I$28,$P2373),0.0001)))))</f>
        <v>0</v>
      </c>
      <c r="S2373" s="18" t="n">
        <f aca="false">IFERROR(INDEX(SEMANAS!$H$6:$H$71,MATCH($B2373,SEMANAS!$B$6:$B$71,0)),0)</f>
        <v>39.2</v>
      </c>
      <c r="T2373" s="18" t="n">
        <f aca="false">$R2373*$S2373</f>
        <v>0</v>
      </c>
      <c r="U2373" s="18" t="n">
        <f aca="false">IFERROR(INDEX(SEMANAS!$I$6:$I$71,MATCH($B2373,SEMANAS!$B$6:$B$71,0)),0)</f>
        <v>27.09</v>
      </c>
      <c r="V2373" s="18" t="n">
        <f aca="false">IFERROR(INDEX(SEMANAS!$J$6:$J$71,MATCH($B2373,SEMANAS!$B$6:$B$71,0)),0)</f>
        <v>21.672</v>
      </c>
      <c r="W2373" s="18" t="n">
        <f aca="false">MAX(0,$T2373-$V2373)</f>
        <v>0</v>
      </c>
      <c r="X2373" s="19" t="n">
        <f aca="false">IFERROR(INDEX(CADASTRO_PIVOS!$K$6:$K$41,MATCH($E2373,CADASTRO_PIVOS!$B$6:$B$41,0)),EFICIENCIA_PADRAO)</f>
        <v>0.85</v>
      </c>
      <c r="Y2373" s="18" t="n">
        <f aca="false">IF($X2373&lt;=0,0,$W2373/$X2373)</f>
        <v>0</v>
      </c>
      <c r="Z2373" s="16" t="n">
        <f aca="false">$Y2373*$H2373*MM_PARA_M3_HA</f>
        <v>0</v>
      </c>
      <c r="AA2373" s="18" t="n">
        <f aca="false">IFERROR(INDEX(CADASTRO_PIVOS!$I$6:$I$41,MATCH($E2373,CADASTRO_PIVOS!$B$6:$B$41,0)),0)</f>
        <v>1071.42857142857</v>
      </c>
      <c r="AB2373" s="18" t="n">
        <f aca="false">IF($Z2373&lt;=0,0,$Z2373/$AA2373)</f>
        <v>0</v>
      </c>
      <c r="AC2373" s="16" t="n">
        <f aca="false">IFERROR(INDEX(SEMANAS!$K$6:$K$71,MATCH($B2373,SEMANAS!$B$6:$B$71,0)),0)</f>
        <v>147</v>
      </c>
      <c r="AD2373" s="19" t="n">
        <f aca="false">IF($AC2373&lt;=0,0,$AB2373/$AC2373)</f>
        <v>0</v>
      </c>
      <c r="AE2373" s="8" t="str">
        <f aca="false">IF($K2373="SEM CULTURA","SEM CULTURA",IF($AA2373&lt;=0,"DADO PENDENTE",IF($AD2373&gt;LIMITE_CRITICO,"INVIAVEL",IF($AD2373&gt;LIMITE_ATENCAO,"CRITICO",IF($AD2373&gt;LIMITE_CONFORTAVEL,"ATENCAO","OK")))))</f>
        <v>SEM CULTURA</v>
      </c>
      <c r="AF2373" s="8" t="str">
        <f aca="false">$B2373&amp;"|"&amp;TEXT($AD2373,"0.000000")</f>
        <v>58|0.000000</v>
      </c>
      <c r="AG2373" s="18" t="n">
        <f aca="false">IF($K2373="SEM CULTURA",0,$T2373*$H2373)</f>
        <v>0</v>
      </c>
      <c r="AH2373" s="18" t="n">
        <f aca="false">IF($K2373="SEM CULTURA",0,$V2373*$H2373)</f>
        <v>0</v>
      </c>
      <c r="AI2373" s="18" t="n">
        <f aca="false">IF($K2373="SEM CULTURA",0,$W2373*$H2373)</f>
        <v>0</v>
      </c>
      <c r="AJ2373" s="18" t="n">
        <f aca="false">IF($K2373="SEM CULTURA",0,$S2373*$H2373)</f>
        <v>0</v>
      </c>
      <c r="AK2373" s="8" t="str">
        <f aca="false">$E2373&amp;"|"&amp;TEXT($AD2373,"0.000000")</f>
        <v>PV 137|0.000000</v>
      </c>
    </row>
    <row r="2374" customFormat="false" ht="15" hidden="false" customHeight="false" outlineLevel="0" collapsed="false">
      <c r="B2374" s="16" t="n">
        <v>59</v>
      </c>
      <c r="C2374" s="17" t="n">
        <f aca="false">DATA_INICIO_SAFRA+($B2374-1)*DIAS_POR_SEMANA</f>
        <v>46671</v>
      </c>
      <c r="D2374" s="17" t="n">
        <f aca="false">$C2374+DIAS_POR_SEMANA-1</f>
        <v>46677</v>
      </c>
      <c r="E2374" s="15" t="s">
        <v>294</v>
      </c>
      <c r="F2374" s="8" t="str">
        <f aca="false">IFERROR(INDEX(CADASTRO_PIVOS!$C$6:$C$41,MATCH($E2374,CADASTRO_PIVOS!$B$6:$B$41,0)),"?")</f>
        <v>RM08</v>
      </c>
      <c r="G2374" s="8" t="str">
        <f aca="false">IFERROR(INDEX(CADASTRO_PIVOS!$D$6:$D$41,MATCH($E2374,CADASTRO_PIVOS!$B$6:$B$41,0)),"?")</f>
        <v>TR08</v>
      </c>
      <c r="H2374" s="20" t="n">
        <f aca="false">IFERROR(INDEX(CADASTRO_PIVOS!$E$6:$E$41,MATCH($E2374,CADASTRO_PIVOS!$B$6:$B$41,0)),0)</f>
        <v>150</v>
      </c>
      <c r="I2374" s="16" t="n">
        <f aca="false">IFERROR(SUMIFS(ROTACAO_RDM!$B$6:$B$71,ROTACAO_RDM!$D$6:$D$71,$E2374,ROTACAO_RDM!$I$6:$I$71,"&lt;="&amp;$C2374+INT(DIAS_POR_SEMANA/2),ROTACAO_RDM!$J$6:$J$71,"&gt;="&amp;$C2374+INT(DIAS_POR_SEMANA/2)),0)</f>
        <v>0</v>
      </c>
      <c r="J2374" s="16" t="n">
        <f aca="false">IFERROR(MATCH($I2374,ROTACAO_RDM!$B$6:$B$71,0),0)</f>
        <v>0</v>
      </c>
      <c r="K2374" s="8" t="str">
        <f aca="false">IF($J2374=0,"SEM CULTURA",INDEX(ROTACAO_RDM!$F$6:$F$71,$J2374))</f>
        <v>SEM CULTURA</v>
      </c>
      <c r="L2374" s="8" t="str">
        <f aca="false">IF($J2374=0,"",INDEX(ROTACAO_RDM!$G$6:$G$71,$J2374))</f>
        <v/>
      </c>
      <c r="M2374" s="17" t="str">
        <f aca="false">IF($J2374=0,"",INDEX(ROTACAO_RDM!$I$6:$I$71,$J2374))</f>
        <v/>
      </c>
      <c r="N2374" s="16" t="n">
        <f aca="false">IF($J2374=0,0,MAX(0,$C2374+INT(DIAS_POR_SEMANA/2)-INDEX(ROTACAO_RDM!$I$6:$I$71,$J2374)))</f>
        <v>0</v>
      </c>
      <c r="O2374" s="19" t="n">
        <f aca="false">IF($J2374=0,0,MIN(1,$N2374/MAX(1,INDEX(ROTACAO_RDM!$K$6:$K$71,$J2374))))</f>
        <v>0</v>
      </c>
      <c r="P2374" s="16" t="n">
        <f aca="false">IF($J2374=0,0,IFERROR(MATCH(INDEX(ROTACAO_RDM!$N$6:$N$71,$J2374),PARAMETROS_CULTURAS!$B$6:$B$28,0),0))</f>
        <v>0</v>
      </c>
      <c r="Q2374" s="8" t="str">
        <f aca="false">IF($P2374=0,"-",IF($O2374&lt;=INDEX(PARAMETROS_CULTURAS!$F$6:$F$28,$P2374),"INICIAL",IF($O2374&lt;=INDEX(PARAMETROS_CULTURAS!$F$6:$F$28,$P2374)+INDEX(PARAMETROS_CULTURAS!$G$6:$G$28,$P2374),"DESENVOLVIMENTO",IF($O2374&lt;=INDEX(PARAMETROS_CULTURAS!$F$6:$F$28,$P2374)+INDEX(PARAMETROS_CULTURAS!$G$6:$G$28,$P2374)+INDEX(PARAMETROS_CULTURAS!$H$6:$H$28,$P2374),"MEDIA","FINAL"))))</f>
        <v>-</v>
      </c>
      <c r="R2374" s="24" t="n">
        <f aca="false">IF($P2374=0,0,IF($O2374&lt;=INDEX(PARAMETROS_CULTURAS!$F$6:$F$28,$P2374),INDEX(PARAMETROS_CULTURAS!$K$6:$K$28,$P2374),IF($O2374&lt;=INDEX(PARAMETROS_CULTURAS!$F$6:$F$28,$P2374)+INDEX(PARAMETROS_CULTURAS!$G$6:$G$28,$P2374),INDEX(PARAMETROS_CULTURAS!$K$6:$K$28,$P2374)+(INDEX(PARAMETROS_CULTURAS!$L$6:$L$28,$P2374)-INDEX(PARAMETROS_CULTURAS!$K$6:$K$28,$P2374))*($O2374-INDEX(PARAMETROS_CULTURAS!$F$6:$F$28,$P2374))/MAX(INDEX(PARAMETROS_CULTURAS!$G$6:$G$28,$P2374),0.0001),IF($O2374&lt;=INDEX(PARAMETROS_CULTURAS!$F$6:$F$28,$P2374)+INDEX(PARAMETROS_CULTURAS!$G$6:$G$28,$P2374)+INDEX(PARAMETROS_CULTURAS!$H$6:$H$28,$P2374),INDEX(PARAMETROS_CULTURAS!$L$6:$L$28,$P2374),INDEX(PARAMETROS_CULTURAS!$L$6:$L$28,$P2374)+(INDEX(PARAMETROS_CULTURAS!$M$6:$M$28,$P2374)-INDEX(PARAMETROS_CULTURAS!$L$6:$L$28,$P2374))*($O2374-INDEX(PARAMETROS_CULTURAS!$F$6:$F$28,$P2374)-INDEX(PARAMETROS_CULTURAS!$G$6:$G$28,$P2374)-INDEX(PARAMETROS_CULTURAS!$H$6:$H$28,$P2374))/MAX(INDEX(PARAMETROS_CULTURAS!$I$6:$I$28,$P2374),0.0001)))))</f>
        <v>0</v>
      </c>
      <c r="S2374" s="18" t="n">
        <f aca="false">IFERROR(INDEX(SEMANAS!$H$6:$H$71,MATCH($B2374,SEMANAS!$B$6:$B$71,0)),0)</f>
        <v>39.2</v>
      </c>
      <c r="T2374" s="18" t="n">
        <f aca="false">$R2374*$S2374</f>
        <v>0</v>
      </c>
      <c r="U2374" s="18" t="n">
        <f aca="false">IFERROR(INDEX(SEMANAS!$I$6:$I$71,MATCH($B2374,SEMANAS!$B$6:$B$71,0)),0)</f>
        <v>27.09</v>
      </c>
      <c r="V2374" s="18" t="n">
        <f aca="false">IFERROR(INDEX(SEMANAS!$J$6:$J$71,MATCH($B2374,SEMANAS!$B$6:$B$71,0)),0)</f>
        <v>21.672</v>
      </c>
      <c r="W2374" s="18" t="n">
        <f aca="false">MAX(0,$T2374-$V2374)</f>
        <v>0</v>
      </c>
      <c r="X2374" s="19" t="n">
        <f aca="false">IFERROR(INDEX(CADASTRO_PIVOS!$K$6:$K$41,MATCH($E2374,CADASTRO_PIVOS!$B$6:$B$41,0)),EFICIENCIA_PADRAO)</f>
        <v>0.85</v>
      </c>
      <c r="Y2374" s="18" t="n">
        <f aca="false">IF($X2374&lt;=0,0,$W2374/$X2374)</f>
        <v>0</v>
      </c>
      <c r="Z2374" s="16" t="n">
        <f aca="false">$Y2374*$H2374*MM_PARA_M3_HA</f>
        <v>0</v>
      </c>
      <c r="AA2374" s="18" t="n">
        <f aca="false">IFERROR(INDEX(CADASTRO_PIVOS!$I$6:$I$41,MATCH($E2374,CADASTRO_PIVOS!$B$6:$B$41,0)),0)</f>
        <v>1071.42857142857</v>
      </c>
      <c r="AB2374" s="18" t="n">
        <f aca="false">IF($Z2374&lt;=0,0,$Z2374/$AA2374)</f>
        <v>0</v>
      </c>
      <c r="AC2374" s="16" t="n">
        <f aca="false">IFERROR(INDEX(SEMANAS!$K$6:$K$71,MATCH($B2374,SEMANAS!$B$6:$B$71,0)),0)</f>
        <v>147</v>
      </c>
      <c r="AD2374" s="19" t="n">
        <f aca="false">IF($AC2374&lt;=0,0,$AB2374/$AC2374)</f>
        <v>0</v>
      </c>
      <c r="AE2374" s="8" t="str">
        <f aca="false">IF($K2374="SEM CULTURA","SEM CULTURA",IF($AA2374&lt;=0,"DADO PENDENTE",IF($AD2374&gt;LIMITE_CRITICO,"INVIAVEL",IF($AD2374&gt;LIMITE_ATENCAO,"CRITICO",IF($AD2374&gt;LIMITE_CONFORTAVEL,"ATENCAO","OK")))))</f>
        <v>SEM CULTURA</v>
      </c>
      <c r="AF2374" s="8" t="str">
        <f aca="false">$B2374&amp;"|"&amp;TEXT($AD2374,"0.000000")</f>
        <v>59|0.000000</v>
      </c>
      <c r="AG2374" s="18" t="n">
        <f aca="false">IF($K2374="SEM CULTURA",0,$T2374*$H2374)</f>
        <v>0</v>
      </c>
      <c r="AH2374" s="18" t="n">
        <f aca="false">IF($K2374="SEM CULTURA",0,$V2374*$H2374)</f>
        <v>0</v>
      </c>
      <c r="AI2374" s="18" t="n">
        <f aca="false">IF($K2374="SEM CULTURA",0,$W2374*$H2374)</f>
        <v>0</v>
      </c>
      <c r="AJ2374" s="18" t="n">
        <f aca="false">IF($K2374="SEM CULTURA",0,$S2374*$H2374)</f>
        <v>0</v>
      </c>
      <c r="AK2374" s="8" t="str">
        <f aca="false">$E2374&amp;"|"&amp;TEXT($AD2374,"0.000000")</f>
        <v>PV 137|0.000000</v>
      </c>
    </row>
    <row r="2375" customFormat="false" ht="15" hidden="false" customHeight="false" outlineLevel="0" collapsed="false">
      <c r="B2375" s="16" t="n">
        <v>60</v>
      </c>
      <c r="C2375" s="17" t="n">
        <f aca="false">DATA_INICIO_SAFRA+($B2375-1)*DIAS_POR_SEMANA</f>
        <v>46678</v>
      </c>
      <c r="D2375" s="17" t="n">
        <f aca="false">$C2375+DIAS_POR_SEMANA-1</f>
        <v>46684</v>
      </c>
      <c r="E2375" s="15" t="s">
        <v>294</v>
      </c>
      <c r="F2375" s="8" t="str">
        <f aca="false">IFERROR(INDEX(CADASTRO_PIVOS!$C$6:$C$41,MATCH($E2375,CADASTRO_PIVOS!$B$6:$B$41,0)),"?")</f>
        <v>RM08</v>
      </c>
      <c r="G2375" s="8" t="str">
        <f aca="false">IFERROR(INDEX(CADASTRO_PIVOS!$D$6:$D$41,MATCH($E2375,CADASTRO_PIVOS!$B$6:$B$41,0)),"?")</f>
        <v>TR08</v>
      </c>
      <c r="H2375" s="20" t="n">
        <f aca="false">IFERROR(INDEX(CADASTRO_PIVOS!$E$6:$E$41,MATCH($E2375,CADASTRO_PIVOS!$B$6:$B$41,0)),0)</f>
        <v>150</v>
      </c>
      <c r="I2375" s="16" t="n">
        <f aca="false">IFERROR(SUMIFS(ROTACAO_RDM!$B$6:$B$71,ROTACAO_RDM!$D$6:$D$71,$E2375,ROTACAO_RDM!$I$6:$I$71,"&lt;="&amp;$C2375+INT(DIAS_POR_SEMANA/2),ROTACAO_RDM!$J$6:$J$71,"&gt;="&amp;$C2375+INT(DIAS_POR_SEMANA/2)),0)</f>
        <v>0</v>
      </c>
      <c r="J2375" s="16" t="n">
        <f aca="false">IFERROR(MATCH($I2375,ROTACAO_RDM!$B$6:$B$71,0),0)</f>
        <v>0</v>
      </c>
      <c r="K2375" s="8" t="str">
        <f aca="false">IF($J2375=0,"SEM CULTURA",INDEX(ROTACAO_RDM!$F$6:$F$71,$J2375))</f>
        <v>SEM CULTURA</v>
      </c>
      <c r="L2375" s="8" t="str">
        <f aca="false">IF($J2375=0,"",INDEX(ROTACAO_RDM!$G$6:$G$71,$J2375))</f>
        <v/>
      </c>
      <c r="M2375" s="17" t="str">
        <f aca="false">IF($J2375=0,"",INDEX(ROTACAO_RDM!$I$6:$I$71,$J2375))</f>
        <v/>
      </c>
      <c r="N2375" s="16" t="n">
        <f aca="false">IF($J2375=0,0,MAX(0,$C2375+INT(DIAS_POR_SEMANA/2)-INDEX(ROTACAO_RDM!$I$6:$I$71,$J2375)))</f>
        <v>0</v>
      </c>
      <c r="O2375" s="19" t="n">
        <f aca="false">IF($J2375=0,0,MIN(1,$N2375/MAX(1,INDEX(ROTACAO_RDM!$K$6:$K$71,$J2375))))</f>
        <v>0</v>
      </c>
      <c r="P2375" s="16" t="n">
        <f aca="false">IF($J2375=0,0,IFERROR(MATCH(INDEX(ROTACAO_RDM!$N$6:$N$71,$J2375),PARAMETROS_CULTURAS!$B$6:$B$28,0),0))</f>
        <v>0</v>
      </c>
      <c r="Q2375" s="8" t="str">
        <f aca="false">IF($P2375=0,"-",IF($O2375&lt;=INDEX(PARAMETROS_CULTURAS!$F$6:$F$28,$P2375),"INICIAL",IF($O2375&lt;=INDEX(PARAMETROS_CULTURAS!$F$6:$F$28,$P2375)+INDEX(PARAMETROS_CULTURAS!$G$6:$G$28,$P2375),"DESENVOLVIMENTO",IF($O2375&lt;=INDEX(PARAMETROS_CULTURAS!$F$6:$F$28,$P2375)+INDEX(PARAMETROS_CULTURAS!$G$6:$G$28,$P2375)+INDEX(PARAMETROS_CULTURAS!$H$6:$H$28,$P2375),"MEDIA","FINAL"))))</f>
        <v>-</v>
      </c>
      <c r="R2375" s="24" t="n">
        <f aca="false">IF($P2375=0,0,IF($O2375&lt;=INDEX(PARAMETROS_CULTURAS!$F$6:$F$28,$P2375),INDEX(PARAMETROS_CULTURAS!$K$6:$K$28,$P2375),IF($O2375&lt;=INDEX(PARAMETROS_CULTURAS!$F$6:$F$28,$P2375)+INDEX(PARAMETROS_CULTURAS!$G$6:$G$28,$P2375),INDEX(PARAMETROS_CULTURAS!$K$6:$K$28,$P2375)+(INDEX(PARAMETROS_CULTURAS!$L$6:$L$28,$P2375)-INDEX(PARAMETROS_CULTURAS!$K$6:$K$28,$P2375))*($O2375-INDEX(PARAMETROS_CULTURAS!$F$6:$F$28,$P2375))/MAX(INDEX(PARAMETROS_CULTURAS!$G$6:$G$28,$P2375),0.0001),IF($O2375&lt;=INDEX(PARAMETROS_CULTURAS!$F$6:$F$28,$P2375)+INDEX(PARAMETROS_CULTURAS!$G$6:$G$28,$P2375)+INDEX(PARAMETROS_CULTURAS!$H$6:$H$28,$P2375),INDEX(PARAMETROS_CULTURAS!$L$6:$L$28,$P2375),INDEX(PARAMETROS_CULTURAS!$L$6:$L$28,$P2375)+(INDEX(PARAMETROS_CULTURAS!$M$6:$M$28,$P2375)-INDEX(PARAMETROS_CULTURAS!$L$6:$L$28,$P2375))*($O2375-INDEX(PARAMETROS_CULTURAS!$F$6:$F$28,$P2375)-INDEX(PARAMETROS_CULTURAS!$G$6:$G$28,$P2375)-INDEX(PARAMETROS_CULTURAS!$H$6:$H$28,$P2375))/MAX(INDEX(PARAMETROS_CULTURAS!$I$6:$I$28,$P2375),0.0001)))))</f>
        <v>0</v>
      </c>
      <c r="S2375" s="18" t="n">
        <f aca="false">IFERROR(INDEX(SEMANAS!$H$6:$H$71,MATCH($B2375,SEMANAS!$B$6:$B$71,0)),0)</f>
        <v>39.2</v>
      </c>
      <c r="T2375" s="18" t="n">
        <f aca="false">$R2375*$S2375</f>
        <v>0</v>
      </c>
      <c r="U2375" s="18" t="n">
        <f aca="false">IFERROR(INDEX(SEMANAS!$I$6:$I$71,MATCH($B2375,SEMANAS!$B$6:$B$71,0)),0)</f>
        <v>27.09</v>
      </c>
      <c r="V2375" s="18" t="n">
        <f aca="false">IFERROR(INDEX(SEMANAS!$J$6:$J$71,MATCH($B2375,SEMANAS!$B$6:$B$71,0)),0)</f>
        <v>21.672</v>
      </c>
      <c r="W2375" s="18" t="n">
        <f aca="false">MAX(0,$T2375-$V2375)</f>
        <v>0</v>
      </c>
      <c r="X2375" s="19" t="n">
        <f aca="false">IFERROR(INDEX(CADASTRO_PIVOS!$K$6:$K$41,MATCH($E2375,CADASTRO_PIVOS!$B$6:$B$41,0)),EFICIENCIA_PADRAO)</f>
        <v>0.85</v>
      </c>
      <c r="Y2375" s="18" t="n">
        <f aca="false">IF($X2375&lt;=0,0,$W2375/$X2375)</f>
        <v>0</v>
      </c>
      <c r="Z2375" s="16" t="n">
        <f aca="false">$Y2375*$H2375*MM_PARA_M3_HA</f>
        <v>0</v>
      </c>
      <c r="AA2375" s="18" t="n">
        <f aca="false">IFERROR(INDEX(CADASTRO_PIVOS!$I$6:$I$41,MATCH($E2375,CADASTRO_PIVOS!$B$6:$B$41,0)),0)</f>
        <v>1071.42857142857</v>
      </c>
      <c r="AB2375" s="18" t="n">
        <f aca="false">IF($Z2375&lt;=0,0,$Z2375/$AA2375)</f>
        <v>0</v>
      </c>
      <c r="AC2375" s="16" t="n">
        <f aca="false">IFERROR(INDEX(SEMANAS!$K$6:$K$71,MATCH($B2375,SEMANAS!$B$6:$B$71,0)),0)</f>
        <v>147</v>
      </c>
      <c r="AD2375" s="19" t="n">
        <f aca="false">IF($AC2375&lt;=0,0,$AB2375/$AC2375)</f>
        <v>0</v>
      </c>
      <c r="AE2375" s="8" t="str">
        <f aca="false">IF($K2375="SEM CULTURA","SEM CULTURA",IF($AA2375&lt;=0,"DADO PENDENTE",IF($AD2375&gt;LIMITE_CRITICO,"INVIAVEL",IF($AD2375&gt;LIMITE_ATENCAO,"CRITICO",IF($AD2375&gt;LIMITE_CONFORTAVEL,"ATENCAO","OK")))))</f>
        <v>SEM CULTURA</v>
      </c>
      <c r="AF2375" s="8" t="str">
        <f aca="false">$B2375&amp;"|"&amp;TEXT($AD2375,"0.000000")</f>
        <v>60|0.000000</v>
      </c>
      <c r="AG2375" s="18" t="n">
        <f aca="false">IF($K2375="SEM CULTURA",0,$T2375*$H2375)</f>
        <v>0</v>
      </c>
      <c r="AH2375" s="18" t="n">
        <f aca="false">IF($K2375="SEM CULTURA",0,$V2375*$H2375)</f>
        <v>0</v>
      </c>
      <c r="AI2375" s="18" t="n">
        <f aca="false">IF($K2375="SEM CULTURA",0,$W2375*$H2375)</f>
        <v>0</v>
      </c>
      <c r="AJ2375" s="18" t="n">
        <f aca="false">IF($K2375="SEM CULTURA",0,$S2375*$H2375)</f>
        <v>0</v>
      </c>
      <c r="AK2375" s="8" t="str">
        <f aca="false">$E2375&amp;"|"&amp;TEXT($AD2375,"0.000000")</f>
        <v>PV 137|0.000000</v>
      </c>
    </row>
    <row r="2376" customFormat="false" ht="15" hidden="false" customHeight="false" outlineLevel="0" collapsed="false">
      <c r="B2376" s="16" t="n">
        <v>61</v>
      </c>
      <c r="C2376" s="17" t="n">
        <f aca="false">DATA_INICIO_SAFRA+($B2376-1)*DIAS_POR_SEMANA</f>
        <v>46685</v>
      </c>
      <c r="D2376" s="17" t="n">
        <f aca="false">$C2376+DIAS_POR_SEMANA-1</f>
        <v>46691</v>
      </c>
      <c r="E2376" s="15" t="s">
        <v>294</v>
      </c>
      <c r="F2376" s="8" t="str">
        <f aca="false">IFERROR(INDEX(CADASTRO_PIVOS!$C$6:$C$41,MATCH($E2376,CADASTRO_PIVOS!$B$6:$B$41,0)),"?")</f>
        <v>RM08</v>
      </c>
      <c r="G2376" s="8" t="str">
        <f aca="false">IFERROR(INDEX(CADASTRO_PIVOS!$D$6:$D$41,MATCH($E2376,CADASTRO_PIVOS!$B$6:$B$41,0)),"?")</f>
        <v>TR08</v>
      </c>
      <c r="H2376" s="20" t="n">
        <f aca="false">IFERROR(INDEX(CADASTRO_PIVOS!$E$6:$E$41,MATCH($E2376,CADASTRO_PIVOS!$B$6:$B$41,0)),0)</f>
        <v>150</v>
      </c>
      <c r="I2376" s="16" t="n">
        <f aca="false">IFERROR(SUMIFS(ROTACAO_RDM!$B$6:$B$71,ROTACAO_RDM!$D$6:$D$71,$E2376,ROTACAO_RDM!$I$6:$I$71,"&lt;="&amp;$C2376+INT(DIAS_POR_SEMANA/2),ROTACAO_RDM!$J$6:$J$71,"&gt;="&amp;$C2376+INT(DIAS_POR_SEMANA/2)),0)</f>
        <v>0</v>
      </c>
      <c r="J2376" s="16" t="n">
        <f aca="false">IFERROR(MATCH($I2376,ROTACAO_RDM!$B$6:$B$71,0),0)</f>
        <v>0</v>
      </c>
      <c r="K2376" s="8" t="str">
        <f aca="false">IF($J2376=0,"SEM CULTURA",INDEX(ROTACAO_RDM!$F$6:$F$71,$J2376))</f>
        <v>SEM CULTURA</v>
      </c>
      <c r="L2376" s="8" t="str">
        <f aca="false">IF($J2376=0,"",INDEX(ROTACAO_RDM!$G$6:$G$71,$J2376))</f>
        <v/>
      </c>
      <c r="M2376" s="17" t="str">
        <f aca="false">IF($J2376=0,"",INDEX(ROTACAO_RDM!$I$6:$I$71,$J2376))</f>
        <v/>
      </c>
      <c r="N2376" s="16" t="n">
        <f aca="false">IF($J2376=0,0,MAX(0,$C2376+INT(DIAS_POR_SEMANA/2)-INDEX(ROTACAO_RDM!$I$6:$I$71,$J2376)))</f>
        <v>0</v>
      </c>
      <c r="O2376" s="19" t="n">
        <f aca="false">IF($J2376=0,0,MIN(1,$N2376/MAX(1,INDEX(ROTACAO_RDM!$K$6:$K$71,$J2376))))</f>
        <v>0</v>
      </c>
      <c r="P2376" s="16" t="n">
        <f aca="false">IF($J2376=0,0,IFERROR(MATCH(INDEX(ROTACAO_RDM!$N$6:$N$71,$J2376),PARAMETROS_CULTURAS!$B$6:$B$28,0),0))</f>
        <v>0</v>
      </c>
      <c r="Q2376" s="8" t="str">
        <f aca="false">IF($P2376=0,"-",IF($O2376&lt;=INDEX(PARAMETROS_CULTURAS!$F$6:$F$28,$P2376),"INICIAL",IF($O2376&lt;=INDEX(PARAMETROS_CULTURAS!$F$6:$F$28,$P2376)+INDEX(PARAMETROS_CULTURAS!$G$6:$G$28,$P2376),"DESENVOLVIMENTO",IF($O2376&lt;=INDEX(PARAMETROS_CULTURAS!$F$6:$F$28,$P2376)+INDEX(PARAMETROS_CULTURAS!$G$6:$G$28,$P2376)+INDEX(PARAMETROS_CULTURAS!$H$6:$H$28,$P2376),"MEDIA","FINAL"))))</f>
        <v>-</v>
      </c>
      <c r="R2376" s="24" t="n">
        <f aca="false">IF($P2376=0,0,IF($O2376&lt;=INDEX(PARAMETROS_CULTURAS!$F$6:$F$28,$P2376),INDEX(PARAMETROS_CULTURAS!$K$6:$K$28,$P2376),IF($O2376&lt;=INDEX(PARAMETROS_CULTURAS!$F$6:$F$28,$P2376)+INDEX(PARAMETROS_CULTURAS!$G$6:$G$28,$P2376),INDEX(PARAMETROS_CULTURAS!$K$6:$K$28,$P2376)+(INDEX(PARAMETROS_CULTURAS!$L$6:$L$28,$P2376)-INDEX(PARAMETROS_CULTURAS!$K$6:$K$28,$P2376))*($O2376-INDEX(PARAMETROS_CULTURAS!$F$6:$F$28,$P2376))/MAX(INDEX(PARAMETROS_CULTURAS!$G$6:$G$28,$P2376),0.0001),IF($O2376&lt;=INDEX(PARAMETROS_CULTURAS!$F$6:$F$28,$P2376)+INDEX(PARAMETROS_CULTURAS!$G$6:$G$28,$P2376)+INDEX(PARAMETROS_CULTURAS!$H$6:$H$28,$P2376),INDEX(PARAMETROS_CULTURAS!$L$6:$L$28,$P2376),INDEX(PARAMETROS_CULTURAS!$L$6:$L$28,$P2376)+(INDEX(PARAMETROS_CULTURAS!$M$6:$M$28,$P2376)-INDEX(PARAMETROS_CULTURAS!$L$6:$L$28,$P2376))*($O2376-INDEX(PARAMETROS_CULTURAS!$F$6:$F$28,$P2376)-INDEX(PARAMETROS_CULTURAS!$G$6:$G$28,$P2376)-INDEX(PARAMETROS_CULTURAS!$H$6:$H$28,$P2376))/MAX(INDEX(PARAMETROS_CULTURAS!$I$6:$I$28,$P2376),0.0001)))))</f>
        <v>0</v>
      </c>
      <c r="S2376" s="18" t="n">
        <f aca="false">IFERROR(INDEX(SEMANAS!$H$6:$H$71,MATCH($B2376,SEMANAS!$B$6:$B$71,0)),0)</f>
        <v>39.2</v>
      </c>
      <c r="T2376" s="18" t="n">
        <f aca="false">$R2376*$S2376</f>
        <v>0</v>
      </c>
      <c r="U2376" s="18" t="n">
        <f aca="false">IFERROR(INDEX(SEMANAS!$I$6:$I$71,MATCH($B2376,SEMANAS!$B$6:$B$71,0)),0)</f>
        <v>27.09</v>
      </c>
      <c r="V2376" s="18" t="n">
        <f aca="false">IFERROR(INDEX(SEMANAS!$J$6:$J$71,MATCH($B2376,SEMANAS!$B$6:$B$71,0)),0)</f>
        <v>21.672</v>
      </c>
      <c r="W2376" s="18" t="n">
        <f aca="false">MAX(0,$T2376-$V2376)</f>
        <v>0</v>
      </c>
      <c r="X2376" s="19" t="n">
        <f aca="false">IFERROR(INDEX(CADASTRO_PIVOS!$K$6:$K$41,MATCH($E2376,CADASTRO_PIVOS!$B$6:$B$41,0)),EFICIENCIA_PADRAO)</f>
        <v>0.85</v>
      </c>
      <c r="Y2376" s="18" t="n">
        <f aca="false">IF($X2376&lt;=0,0,$W2376/$X2376)</f>
        <v>0</v>
      </c>
      <c r="Z2376" s="16" t="n">
        <f aca="false">$Y2376*$H2376*MM_PARA_M3_HA</f>
        <v>0</v>
      </c>
      <c r="AA2376" s="18" t="n">
        <f aca="false">IFERROR(INDEX(CADASTRO_PIVOS!$I$6:$I$41,MATCH($E2376,CADASTRO_PIVOS!$B$6:$B$41,0)),0)</f>
        <v>1071.42857142857</v>
      </c>
      <c r="AB2376" s="18" t="n">
        <f aca="false">IF($Z2376&lt;=0,0,$Z2376/$AA2376)</f>
        <v>0</v>
      </c>
      <c r="AC2376" s="16" t="n">
        <f aca="false">IFERROR(INDEX(SEMANAS!$K$6:$K$71,MATCH($B2376,SEMANAS!$B$6:$B$71,0)),0)</f>
        <v>147</v>
      </c>
      <c r="AD2376" s="19" t="n">
        <f aca="false">IF($AC2376&lt;=0,0,$AB2376/$AC2376)</f>
        <v>0</v>
      </c>
      <c r="AE2376" s="8" t="str">
        <f aca="false">IF($K2376="SEM CULTURA","SEM CULTURA",IF($AA2376&lt;=0,"DADO PENDENTE",IF($AD2376&gt;LIMITE_CRITICO,"INVIAVEL",IF($AD2376&gt;LIMITE_ATENCAO,"CRITICO",IF($AD2376&gt;LIMITE_CONFORTAVEL,"ATENCAO","OK")))))</f>
        <v>SEM CULTURA</v>
      </c>
      <c r="AF2376" s="8" t="str">
        <f aca="false">$B2376&amp;"|"&amp;TEXT($AD2376,"0.000000")</f>
        <v>61|0.000000</v>
      </c>
      <c r="AG2376" s="18" t="n">
        <f aca="false">IF($K2376="SEM CULTURA",0,$T2376*$H2376)</f>
        <v>0</v>
      </c>
      <c r="AH2376" s="18" t="n">
        <f aca="false">IF($K2376="SEM CULTURA",0,$V2376*$H2376)</f>
        <v>0</v>
      </c>
      <c r="AI2376" s="18" t="n">
        <f aca="false">IF($K2376="SEM CULTURA",0,$W2376*$H2376)</f>
        <v>0</v>
      </c>
      <c r="AJ2376" s="18" t="n">
        <f aca="false">IF($K2376="SEM CULTURA",0,$S2376*$H2376)</f>
        <v>0</v>
      </c>
      <c r="AK2376" s="8" t="str">
        <f aca="false">$E2376&amp;"|"&amp;TEXT($AD2376,"0.000000")</f>
        <v>PV 137|0.000000</v>
      </c>
    </row>
    <row r="2377" customFormat="false" ht="15" hidden="false" customHeight="false" outlineLevel="0" collapsed="false">
      <c r="B2377" s="16" t="n">
        <v>62</v>
      </c>
      <c r="C2377" s="17" t="n">
        <f aca="false">DATA_INICIO_SAFRA+($B2377-1)*DIAS_POR_SEMANA</f>
        <v>46692</v>
      </c>
      <c r="D2377" s="17" t="n">
        <f aca="false">$C2377+DIAS_POR_SEMANA-1</f>
        <v>46698</v>
      </c>
      <c r="E2377" s="15" t="s">
        <v>294</v>
      </c>
      <c r="F2377" s="8" t="str">
        <f aca="false">IFERROR(INDEX(CADASTRO_PIVOS!$C$6:$C$41,MATCH($E2377,CADASTRO_PIVOS!$B$6:$B$41,0)),"?")</f>
        <v>RM08</v>
      </c>
      <c r="G2377" s="8" t="str">
        <f aca="false">IFERROR(INDEX(CADASTRO_PIVOS!$D$6:$D$41,MATCH($E2377,CADASTRO_PIVOS!$B$6:$B$41,0)),"?")</f>
        <v>TR08</v>
      </c>
      <c r="H2377" s="20" t="n">
        <f aca="false">IFERROR(INDEX(CADASTRO_PIVOS!$E$6:$E$41,MATCH($E2377,CADASTRO_PIVOS!$B$6:$B$41,0)),0)</f>
        <v>150</v>
      </c>
      <c r="I2377" s="16" t="n">
        <f aca="false">IFERROR(SUMIFS(ROTACAO_RDM!$B$6:$B$71,ROTACAO_RDM!$D$6:$D$71,$E2377,ROTACAO_RDM!$I$6:$I$71,"&lt;="&amp;$C2377+INT(DIAS_POR_SEMANA/2),ROTACAO_RDM!$J$6:$J$71,"&gt;="&amp;$C2377+INT(DIAS_POR_SEMANA/2)),0)</f>
        <v>0</v>
      </c>
      <c r="J2377" s="16" t="n">
        <f aca="false">IFERROR(MATCH($I2377,ROTACAO_RDM!$B$6:$B$71,0),0)</f>
        <v>0</v>
      </c>
      <c r="K2377" s="8" t="str">
        <f aca="false">IF($J2377=0,"SEM CULTURA",INDEX(ROTACAO_RDM!$F$6:$F$71,$J2377))</f>
        <v>SEM CULTURA</v>
      </c>
      <c r="L2377" s="8" t="str">
        <f aca="false">IF($J2377=0,"",INDEX(ROTACAO_RDM!$G$6:$G$71,$J2377))</f>
        <v/>
      </c>
      <c r="M2377" s="17" t="str">
        <f aca="false">IF($J2377=0,"",INDEX(ROTACAO_RDM!$I$6:$I$71,$J2377))</f>
        <v/>
      </c>
      <c r="N2377" s="16" t="n">
        <f aca="false">IF($J2377=0,0,MAX(0,$C2377+INT(DIAS_POR_SEMANA/2)-INDEX(ROTACAO_RDM!$I$6:$I$71,$J2377)))</f>
        <v>0</v>
      </c>
      <c r="O2377" s="19" t="n">
        <f aca="false">IF($J2377=0,0,MIN(1,$N2377/MAX(1,INDEX(ROTACAO_RDM!$K$6:$K$71,$J2377))))</f>
        <v>0</v>
      </c>
      <c r="P2377" s="16" t="n">
        <f aca="false">IF($J2377=0,0,IFERROR(MATCH(INDEX(ROTACAO_RDM!$N$6:$N$71,$J2377),PARAMETROS_CULTURAS!$B$6:$B$28,0),0))</f>
        <v>0</v>
      </c>
      <c r="Q2377" s="8" t="str">
        <f aca="false">IF($P2377=0,"-",IF($O2377&lt;=INDEX(PARAMETROS_CULTURAS!$F$6:$F$28,$P2377),"INICIAL",IF($O2377&lt;=INDEX(PARAMETROS_CULTURAS!$F$6:$F$28,$P2377)+INDEX(PARAMETROS_CULTURAS!$G$6:$G$28,$P2377),"DESENVOLVIMENTO",IF($O2377&lt;=INDEX(PARAMETROS_CULTURAS!$F$6:$F$28,$P2377)+INDEX(PARAMETROS_CULTURAS!$G$6:$G$28,$P2377)+INDEX(PARAMETROS_CULTURAS!$H$6:$H$28,$P2377),"MEDIA","FINAL"))))</f>
        <v>-</v>
      </c>
      <c r="R2377" s="24" t="n">
        <f aca="false">IF($P2377=0,0,IF($O2377&lt;=INDEX(PARAMETROS_CULTURAS!$F$6:$F$28,$P2377),INDEX(PARAMETROS_CULTURAS!$K$6:$K$28,$P2377),IF($O2377&lt;=INDEX(PARAMETROS_CULTURAS!$F$6:$F$28,$P2377)+INDEX(PARAMETROS_CULTURAS!$G$6:$G$28,$P2377),INDEX(PARAMETROS_CULTURAS!$K$6:$K$28,$P2377)+(INDEX(PARAMETROS_CULTURAS!$L$6:$L$28,$P2377)-INDEX(PARAMETROS_CULTURAS!$K$6:$K$28,$P2377))*($O2377-INDEX(PARAMETROS_CULTURAS!$F$6:$F$28,$P2377))/MAX(INDEX(PARAMETROS_CULTURAS!$G$6:$G$28,$P2377),0.0001),IF($O2377&lt;=INDEX(PARAMETROS_CULTURAS!$F$6:$F$28,$P2377)+INDEX(PARAMETROS_CULTURAS!$G$6:$G$28,$P2377)+INDEX(PARAMETROS_CULTURAS!$H$6:$H$28,$P2377),INDEX(PARAMETROS_CULTURAS!$L$6:$L$28,$P2377),INDEX(PARAMETROS_CULTURAS!$L$6:$L$28,$P2377)+(INDEX(PARAMETROS_CULTURAS!$M$6:$M$28,$P2377)-INDEX(PARAMETROS_CULTURAS!$L$6:$L$28,$P2377))*($O2377-INDEX(PARAMETROS_CULTURAS!$F$6:$F$28,$P2377)-INDEX(PARAMETROS_CULTURAS!$G$6:$G$28,$P2377)-INDEX(PARAMETROS_CULTURAS!$H$6:$H$28,$P2377))/MAX(INDEX(PARAMETROS_CULTURAS!$I$6:$I$28,$P2377),0.0001)))))</f>
        <v>0</v>
      </c>
      <c r="S2377" s="18" t="n">
        <f aca="false">IFERROR(INDEX(SEMANAS!$H$6:$H$71,MATCH($B2377,SEMANAS!$B$6:$B$71,0)),0)</f>
        <v>34.3</v>
      </c>
      <c r="T2377" s="18" t="n">
        <f aca="false">$R2377*$S2377</f>
        <v>0</v>
      </c>
      <c r="U2377" s="18" t="n">
        <f aca="false">IFERROR(INDEX(SEMANAS!$I$6:$I$71,MATCH($B2377,SEMANAS!$B$6:$B$71,0)),0)</f>
        <v>46.69</v>
      </c>
      <c r="V2377" s="18" t="n">
        <f aca="false">IFERROR(INDEX(SEMANAS!$J$6:$J$71,MATCH($B2377,SEMANAS!$B$6:$B$71,0)),0)</f>
        <v>37.352</v>
      </c>
      <c r="W2377" s="18" t="n">
        <f aca="false">MAX(0,$T2377-$V2377)</f>
        <v>0</v>
      </c>
      <c r="X2377" s="19" t="n">
        <f aca="false">IFERROR(INDEX(CADASTRO_PIVOS!$K$6:$K$41,MATCH($E2377,CADASTRO_PIVOS!$B$6:$B$41,0)),EFICIENCIA_PADRAO)</f>
        <v>0.85</v>
      </c>
      <c r="Y2377" s="18" t="n">
        <f aca="false">IF($X2377&lt;=0,0,$W2377/$X2377)</f>
        <v>0</v>
      </c>
      <c r="Z2377" s="16" t="n">
        <f aca="false">$Y2377*$H2377*MM_PARA_M3_HA</f>
        <v>0</v>
      </c>
      <c r="AA2377" s="18" t="n">
        <f aca="false">IFERROR(INDEX(CADASTRO_PIVOS!$I$6:$I$41,MATCH($E2377,CADASTRO_PIVOS!$B$6:$B$41,0)),0)</f>
        <v>1071.42857142857</v>
      </c>
      <c r="AB2377" s="18" t="n">
        <f aca="false">IF($Z2377&lt;=0,0,$Z2377/$AA2377)</f>
        <v>0</v>
      </c>
      <c r="AC2377" s="16" t="n">
        <f aca="false">IFERROR(INDEX(SEMANAS!$K$6:$K$71,MATCH($B2377,SEMANAS!$B$6:$B$71,0)),0)</f>
        <v>147</v>
      </c>
      <c r="AD2377" s="19" t="n">
        <f aca="false">IF($AC2377&lt;=0,0,$AB2377/$AC2377)</f>
        <v>0</v>
      </c>
      <c r="AE2377" s="8" t="str">
        <f aca="false">IF($K2377="SEM CULTURA","SEM CULTURA",IF($AA2377&lt;=0,"DADO PENDENTE",IF($AD2377&gt;LIMITE_CRITICO,"INVIAVEL",IF($AD2377&gt;LIMITE_ATENCAO,"CRITICO",IF($AD2377&gt;LIMITE_CONFORTAVEL,"ATENCAO","OK")))))</f>
        <v>SEM CULTURA</v>
      </c>
      <c r="AF2377" s="8" t="str">
        <f aca="false">$B2377&amp;"|"&amp;TEXT($AD2377,"0.000000")</f>
        <v>62|0.000000</v>
      </c>
      <c r="AG2377" s="18" t="n">
        <f aca="false">IF($K2377="SEM CULTURA",0,$T2377*$H2377)</f>
        <v>0</v>
      </c>
      <c r="AH2377" s="18" t="n">
        <f aca="false">IF($K2377="SEM CULTURA",0,$V2377*$H2377)</f>
        <v>0</v>
      </c>
      <c r="AI2377" s="18" t="n">
        <f aca="false">IF($K2377="SEM CULTURA",0,$W2377*$H2377)</f>
        <v>0</v>
      </c>
      <c r="AJ2377" s="18" t="n">
        <f aca="false">IF($K2377="SEM CULTURA",0,$S2377*$H2377)</f>
        <v>0</v>
      </c>
      <c r="AK2377" s="8" t="str">
        <f aca="false">$E2377&amp;"|"&amp;TEXT($AD2377,"0.000000")</f>
        <v>PV 137|0.000000</v>
      </c>
    </row>
    <row r="2378" customFormat="false" ht="15" hidden="false" customHeight="false" outlineLevel="0" collapsed="false">
      <c r="B2378" s="16" t="n">
        <v>63</v>
      </c>
      <c r="C2378" s="17" t="n">
        <f aca="false">DATA_INICIO_SAFRA+($B2378-1)*DIAS_POR_SEMANA</f>
        <v>46699</v>
      </c>
      <c r="D2378" s="17" t="n">
        <f aca="false">$C2378+DIAS_POR_SEMANA-1</f>
        <v>46705</v>
      </c>
      <c r="E2378" s="15" t="s">
        <v>294</v>
      </c>
      <c r="F2378" s="8" t="str">
        <f aca="false">IFERROR(INDEX(CADASTRO_PIVOS!$C$6:$C$41,MATCH($E2378,CADASTRO_PIVOS!$B$6:$B$41,0)),"?")</f>
        <v>RM08</v>
      </c>
      <c r="G2378" s="8" t="str">
        <f aca="false">IFERROR(INDEX(CADASTRO_PIVOS!$D$6:$D$41,MATCH($E2378,CADASTRO_PIVOS!$B$6:$B$41,0)),"?")</f>
        <v>TR08</v>
      </c>
      <c r="H2378" s="20" t="n">
        <f aca="false">IFERROR(INDEX(CADASTRO_PIVOS!$E$6:$E$41,MATCH($E2378,CADASTRO_PIVOS!$B$6:$B$41,0)),0)</f>
        <v>150</v>
      </c>
      <c r="I2378" s="16" t="n">
        <f aca="false">IFERROR(SUMIFS(ROTACAO_RDM!$B$6:$B$71,ROTACAO_RDM!$D$6:$D$71,$E2378,ROTACAO_RDM!$I$6:$I$71,"&lt;="&amp;$C2378+INT(DIAS_POR_SEMANA/2),ROTACAO_RDM!$J$6:$J$71,"&gt;="&amp;$C2378+INT(DIAS_POR_SEMANA/2)),0)</f>
        <v>0</v>
      </c>
      <c r="J2378" s="16" t="n">
        <f aca="false">IFERROR(MATCH($I2378,ROTACAO_RDM!$B$6:$B$71,0),0)</f>
        <v>0</v>
      </c>
      <c r="K2378" s="8" t="str">
        <f aca="false">IF($J2378=0,"SEM CULTURA",INDEX(ROTACAO_RDM!$F$6:$F$71,$J2378))</f>
        <v>SEM CULTURA</v>
      </c>
      <c r="L2378" s="8" t="str">
        <f aca="false">IF($J2378=0,"",INDEX(ROTACAO_RDM!$G$6:$G$71,$J2378))</f>
        <v/>
      </c>
      <c r="M2378" s="17" t="str">
        <f aca="false">IF($J2378=0,"",INDEX(ROTACAO_RDM!$I$6:$I$71,$J2378))</f>
        <v/>
      </c>
      <c r="N2378" s="16" t="n">
        <f aca="false">IF($J2378=0,0,MAX(0,$C2378+INT(DIAS_POR_SEMANA/2)-INDEX(ROTACAO_RDM!$I$6:$I$71,$J2378)))</f>
        <v>0</v>
      </c>
      <c r="O2378" s="19" t="n">
        <f aca="false">IF($J2378=0,0,MIN(1,$N2378/MAX(1,INDEX(ROTACAO_RDM!$K$6:$K$71,$J2378))))</f>
        <v>0</v>
      </c>
      <c r="P2378" s="16" t="n">
        <f aca="false">IF($J2378=0,0,IFERROR(MATCH(INDEX(ROTACAO_RDM!$N$6:$N$71,$J2378),PARAMETROS_CULTURAS!$B$6:$B$28,0),0))</f>
        <v>0</v>
      </c>
      <c r="Q2378" s="8" t="str">
        <f aca="false">IF($P2378=0,"-",IF($O2378&lt;=INDEX(PARAMETROS_CULTURAS!$F$6:$F$28,$P2378),"INICIAL",IF($O2378&lt;=INDEX(PARAMETROS_CULTURAS!$F$6:$F$28,$P2378)+INDEX(PARAMETROS_CULTURAS!$G$6:$G$28,$P2378),"DESENVOLVIMENTO",IF($O2378&lt;=INDEX(PARAMETROS_CULTURAS!$F$6:$F$28,$P2378)+INDEX(PARAMETROS_CULTURAS!$G$6:$G$28,$P2378)+INDEX(PARAMETROS_CULTURAS!$H$6:$H$28,$P2378),"MEDIA","FINAL"))))</f>
        <v>-</v>
      </c>
      <c r="R2378" s="24" t="n">
        <f aca="false">IF($P2378=0,0,IF($O2378&lt;=INDEX(PARAMETROS_CULTURAS!$F$6:$F$28,$P2378),INDEX(PARAMETROS_CULTURAS!$K$6:$K$28,$P2378),IF($O2378&lt;=INDEX(PARAMETROS_CULTURAS!$F$6:$F$28,$P2378)+INDEX(PARAMETROS_CULTURAS!$G$6:$G$28,$P2378),INDEX(PARAMETROS_CULTURAS!$K$6:$K$28,$P2378)+(INDEX(PARAMETROS_CULTURAS!$L$6:$L$28,$P2378)-INDEX(PARAMETROS_CULTURAS!$K$6:$K$28,$P2378))*($O2378-INDEX(PARAMETROS_CULTURAS!$F$6:$F$28,$P2378))/MAX(INDEX(PARAMETROS_CULTURAS!$G$6:$G$28,$P2378),0.0001),IF($O2378&lt;=INDEX(PARAMETROS_CULTURAS!$F$6:$F$28,$P2378)+INDEX(PARAMETROS_CULTURAS!$G$6:$G$28,$P2378)+INDEX(PARAMETROS_CULTURAS!$H$6:$H$28,$P2378),INDEX(PARAMETROS_CULTURAS!$L$6:$L$28,$P2378),INDEX(PARAMETROS_CULTURAS!$L$6:$L$28,$P2378)+(INDEX(PARAMETROS_CULTURAS!$M$6:$M$28,$P2378)-INDEX(PARAMETROS_CULTURAS!$L$6:$L$28,$P2378))*($O2378-INDEX(PARAMETROS_CULTURAS!$F$6:$F$28,$P2378)-INDEX(PARAMETROS_CULTURAS!$G$6:$G$28,$P2378)-INDEX(PARAMETROS_CULTURAS!$H$6:$H$28,$P2378))/MAX(INDEX(PARAMETROS_CULTURAS!$I$6:$I$28,$P2378),0.0001)))))</f>
        <v>0</v>
      </c>
      <c r="S2378" s="18" t="n">
        <f aca="false">IFERROR(INDEX(SEMANAS!$H$6:$H$71,MATCH($B2378,SEMANAS!$B$6:$B$71,0)),0)</f>
        <v>34.3</v>
      </c>
      <c r="T2378" s="18" t="n">
        <f aca="false">$R2378*$S2378</f>
        <v>0</v>
      </c>
      <c r="U2378" s="18" t="n">
        <f aca="false">IFERROR(INDEX(SEMANAS!$I$6:$I$71,MATCH($B2378,SEMANAS!$B$6:$B$71,0)),0)</f>
        <v>46.69</v>
      </c>
      <c r="V2378" s="18" t="n">
        <f aca="false">IFERROR(INDEX(SEMANAS!$J$6:$J$71,MATCH($B2378,SEMANAS!$B$6:$B$71,0)),0)</f>
        <v>37.352</v>
      </c>
      <c r="W2378" s="18" t="n">
        <f aca="false">MAX(0,$T2378-$V2378)</f>
        <v>0</v>
      </c>
      <c r="X2378" s="19" t="n">
        <f aca="false">IFERROR(INDEX(CADASTRO_PIVOS!$K$6:$K$41,MATCH($E2378,CADASTRO_PIVOS!$B$6:$B$41,0)),EFICIENCIA_PADRAO)</f>
        <v>0.85</v>
      </c>
      <c r="Y2378" s="18" t="n">
        <f aca="false">IF($X2378&lt;=0,0,$W2378/$X2378)</f>
        <v>0</v>
      </c>
      <c r="Z2378" s="16" t="n">
        <f aca="false">$Y2378*$H2378*MM_PARA_M3_HA</f>
        <v>0</v>
      </c>
      <c r="AA2378" s="18" t="n">
        <f aca="false">IFERROR(INDEX(CADASTRO_PIVOS!$I$6:$I$41,MATCH($E2378,CADASTRO_PIVOS!$B$6:$B$41,0)),0)</f>
        <v>1071.42857142857</v>
      </c>
      <c r="AB2378" s="18" t="n">
        <f aca="false">IF($Z2378&lt;=0,0,$Z2378/$AA2378)</f>
        <v>0</v>
      </c>
      <c r="AC2378" s="16" t="n">
        <f aca="false">IFERROR(INDEX(SEMANAS!$K$6:$K$71,MATCH($B2378,SEMANAS!$B$6:$B$71,0)),0)</f>
        <v>147</v>
      </c>
      <c r="AD2378" s="19" t="n">
        <f aca="false">IF($AC2378&lt;=0,0,$AB2378/$AC2378)</f>
        <v>0</v>
      </c>
      <c r="AE2378" s="8" t="str">
        <f aca="false">IF($K2378="SEM CULTURA","SEM CULTURA",IF($AA2378&lt;=0,"DADO PENDENTE",IF($AD2378&gt;LIMITE_CRITICO,"INVIAVEL",IF($AD2378&gt;LIMITE_ATENCAO,"CRITICO",IF($AD2378&gt;LIMITE_CONFORTAVEL,"ATENCAO","OK")))))</f>
        <v>SEM CULTURA</v>
      </c>
      <c r="AF2378" s="8" t="str">
        <f aca="false">$B2378&amp;"|"&amp;TEXT($AD2378,"0.000000")</f>
        <v>63|0.000000</v>
      </c>
      <c r="AG2378" s="18" t="n">
        <f aca="false">IF($K2378="SEM CULTURA",0,$T2378*$H2378)</f>
        <v>0</v>
      </c>
      <c r="AH2378" s="18" t="n">
        <f aca="false">IF($K2378="SEM CULTURA",0,$V2378*$H2378)</f>
        <v>0</v>
      </c>
      <c r="AI2378" s="18" t="n">
        <f aca="false">IF($K2378="SEM CULTURA",0,$W2378*$H2378)</f>
        <v>0</v>
      </c>
      <c r="AJ2378" s="18" t="n">
        <f aca="false">IF($K2378="SEM CULTURA",0,$S2378*$H2378)</f>
        <v>0</v>
      </c>
      <c r="AK2378" s="8" t="str">
        <f aca="false">$E2378&amp;"|"&amp;TEXT($AD2378,"0.000000")</f>
        <v>PV 137|0.000000</v>
      </c>
    </row>
    <row r="2379" customFormat="false" ht="15" hidden="false" customHeight="false" outlineLevel="0" collapsed="false">
      <c r="B2379" s="16" t="n">
        <v>64</v>
      </c>
      <c r="C2379" s="17" t="n">
        <f aca="false">DATA_INICIO_SAFRA+($B2379-1)*DIAS_POR_SEMANA</f>
        <v>46706</v>
      </c>
      <c r="D2379" s="17" t="n">
        <f aca="false">$C2379+DIAS_POR_SEMANA-1</f>
        <v>46712</v>
      </c>
      <c r="E2379" s="15" t="s">
        <v>294</v>
      </c>
      <c r="F2379" s="8" t="str">
        <f aca="false">IFERROR(INDEX(CADASTRO_PIVOS!$C$6:$C$41,MATCH($E2379,CADASTRO_PIVOS!$B$6:$B$41,0)),"?")</f>
        <v>RM08</v>
      </c>
      <c r="G2379" s="8" t="str">
        <f aca="false">IFERROR(INDEX(CADASTRO_PIVOS!$D$6:$D$41,MATCH($E2379,CADASTRO_PIVOS!$B$6:$B$41,0)),"?")</f>
        <v>TR08</v>
      </c>
      <c r="H2379" s="20" t="n">
        <f aca="false">IFERROR(INDEX(CADASTRO_PIVOS!$E$6:$E$41,MATCH($E2379,CADASTRO_PIVOS!$B$6:$B$41,0)),0)</f>
        <v>150</v>
      </c>
      <c r="I2379" s="16" t="n">
        <f aca="false">IFERROR(SUMIFS(ROTACAO_RDM!$B$6:$B$71,ROTACAO_RDM!$D$6:$D$71,$E2379,ROTACAO_RDM!$I$6:$I$71,"&lt;="&amp;$C2379+INT(DIAS_POR_SEMANA/2),ROTACAO_RDM!$J$6:$J$71,"&gt;="&amp;$C2379+INT(DIAS_POR_SEMANA/2)),0)</f>
        <v>0</v>
      </c>
      <c r="J2379" s="16" t="n">
        <f aca="false">IFERROR(MATCH($I2379,ROTACAO_RDM!$B$6:$B$71,0),0)</f>
        <v>0</v>
      </c>
      <c r="K2379" s="8" t="str">
        <f aca="false">IF($J2379=0,"SEM CULTURA",INDEX(ROTACAO_RDM!$F$6:$F$71,$J2379))</f>
        <v>SEM CULTURA</v>
      </c>
      <c r="L2379" s="8" t="str">
        <f aca="false">IF($J2379=0,"",INDEX(ROTACAO_RDM!$G$6:$G$71,$J2379))</f>
        <v/>
      </c>
      <c r="M2379" s="17" t="str">
        <f aca="false">IF($J2379=0,"",INDEX(ROTACAO_RDM!$I$6:$I$71,$J2379))</f>
        <v/>
      </c>
      <c r="N2379" s="16" t="n">
        <f aca="false">IF($J2379=0,0,MAX(0,$C2379+INT(DIAS_POR_SEMANA/2)-INDEX(ROTACAO_RDM!$I$6:$I$71,$J2379)))</f>
        <v>0</v>
      </c>
      <c r="O2379" s="19" t="n">
        <f aca="false">IF($J2379=0,0,MIN(1,$N2379/MAX(1,INDEX(ROTACAO_RDM!$K$6:$K$71,$J2379))))</f>
        <v>0</v>
      </c>
      <c r="P2379" s="16" t="n">
        <f aca="false">IF($J2379=0,0,IFERROR(MATCH(INDEX(ROTACAO_RDM!$N$6:$N$71,$J2379),PARAMETROS_CULTURAS!$B$6:$B$28,0),0))</f>
        <v>0</v>
      </c>
      <c r="Q2379" s="8" t="str">
        <f aca="false">IF($P2379=0,"-",IF($O2379&lt;=INDEX(PARAMETROS_CULTURAS!$F$6:$F$28,$P2379),"INICIAL",IF($O2379&lt;=INDEX(PARAMETROS_CULTURAS!$F$6:$F$28,$P2379)+INDEX(PARAMETROS_CULTURAS!$G$6:$G$28,$P2379),"DESENVOLVIMENTO",IF($O2379&lt;=INDEX(PARAMETROS_CULTURAS!$F$6:$F$28,$P2379)+INDEX(PARAMETROS_CULTURAS!$G$6:$G$28,$P2379)+INDEX(PARAMETROS_CULTURAS!$H$6:$H$28,$P2379),"MEDIA","FINAL"))))</f>
        <v>-</v>
      </c>
      <c r="R2379" s="24" t="n">
        <f aca="false">IF($P2379=0,0,IF($O2379&lt;=INDEX(PARAMETROS_CULTURAS!$F$6:$F$28,$P2379),INDEX(PARAMETROS_CULTURAS!$K$6:$K$28,$P2379),IF($O2379&lt;=INDEX(PARAMETROS_CULTURAS!$F$6:$F$28,$P2379)+INDEX(PARAMETROS_CULTURAS!$G$6:$G$28,$P2379),INDEX(PARAMETROS_CULTURAS!$K$6:$K$28,$P2379)+(INDEX(PARAMETROS_CULTURAS!$L$6:$L$28,$P2379)-INDEX(PARAMETROS_CULTURAS!$K$6:$K$28,$P2379))*($O2379-INDEX(PARAMETROS_CULTURAS!$F$6:$F$28,$P2379))/MAX(INDEX(PARAMETROS_CULTURAS!$G$6:$G$28,$P2379),0.0001),IF($O2379&lt;=INDEX(PARAMETROS_CULTURAS!$F$6:$F$28,$P2379)+INDEX(PARAMETROS_CULTURAS!$G$6:$G$28,$P2379)+INDEX(PARAMETROS_CULTURAS!$H$6:$H$28,$P2379),INDEX(PARAMETROS_CULTURAS!$L$6:$L$28,$P2379),INDEX(PARAMETROS_CULTURAS!$L$6:$L$28,$P2379)+(INDEX(PARAMETROS_CULTURAS!$M$6:$M$28,$P2379)-INDEX(PARAMETROS_CULTURAS!$L$6:$L$28,$P2379))*($O2379-INDEX(PARAMETROS_CULTURAS!$F$6:$F$28,$P2379)-INDEX(PARAMETROS_CULTURAS!$G$6:$G$28,$P2379)-INDEX(PARAMETROS_CULTURAS!$H$6:$H$28,$P2379))/MAX(INDEX(PARAMETROS_CULTURAS!$I$6:$I$28,$P2379),0.0001)))))</f>
        <v>0</v>
      </c>
      <c r="S2379" s="18" t="n">
        <f aca="false">IFERROR(INDEX(SEMANAS!$H$6:$H$71,MATCH($B2379,SEMANAS!$B$6:$B$71,0)),0)</f>
        <v>34.3</v>
      </c>
      <c r="T2379" s="18" t="n">
        <f aca="false">$R2379*$S2379</f>
        <v>0</v>
      </c>
      <c r="U2379" s="18" t="n">
        <f aca="false">IFERROR(INDEX(SEMANAS!$I$6:$I$71,MATCH($B2379,SEMANAS!$B$6:$B$71,0)),0)</f>
        <v>46.69</v>
      </c>
      <c r="V2379" s="18" t="n">
        <f aca="false">IFERROR(INDEX(SEMANAS!$J$6:$J$71,MATCH($B2379,SEMANAS!$B$6:$B$71,0)),0)</f>
        <v>37.352</v>
      </c>
      <c r="W2379" s="18" t="n">
        <f aca="false">MAX(0,$T2379-$V2379)</f>
        <v>0</v>
      </c>
      <c r="X2379" s="19" t="n">
        <f aca="false">IFERROR(INDEX(CADASTRO_PIVOS!$K$6:$K$41,MATCH($E2379,CADASTRO_PIVOS!$B$6:$B$41,0)),EFICIENCIA_PADRAO)</f>
        <v>0.85</v>
      </c>
      <c r="Y2379" s="18" t="n">
        <f aca="false">IF($X2379&lt;=0,0,$W2379/$X2379)</f>
        <v>0</v>
      </c>
      <c r="Z2379" s="16" t="n">
        <f aca="false">$Y2379*$H2379*MM_PARA_M3_HA</f>
        <v>0</v>
      </c>
      <c r="AA2379" s="18" t="n">
        <f aca="false">IFERROR(INDEX(CADASTRO_PIVOS!$I$6:$I$41,MATCH($E2379,CADASTRO_PIVOS!$B$6:$B$41,0)),0)</f>
        <v>1071.42857142857</v>
      </c>
      <c r="AB2379" s="18" t="n">
        <f aca="false">IF($Z2379&lt;=0,0,$Z2379/$AA2379)</f>
        <v>0</v>
      </c>
      <c r="AC2379" s="16" t="n">
        <f aca="false">IFERROR(INDEX(SEMANAS!$K$6:$K$71,MATCH($B2379,SEMANAS!$B$6:$B$71,0)),0)</f>
        <v>147</v>
      </c>
      <c r="AD2379" s="19" t="n">
        <f aca="false">IF($AC2379&lt;=0,0,$AB2379/$AC2379)</f>
        <v>0</v>
      </c>
      <c r="AE2379" s="8" t="str">
        <f aca="false">IF($K2379="SEM CULTURA","SEM CULTURA",IF($AA2379&lt;=0,"DADO PENDENTE",IF($AD2379&gt;LIMITE_CRITICO,"INVIAVEL",IF($AD2379&gt;LIMITE_ATENCAO,"CRITICO",IF($AD2379&gt;LIMITE_CONFORTAVEL,"ATENCAO","OK")))))</f>
        <v>SEM CULTURA</v>
      </c>
      <c r="AF2379" s="8" t="str">
        <f aca="false">$B2379&amp;"|"&amp;TEXT($AD2379,"0.000000")</f>
        <v>64|0.000000</v>
      </c>
      <c r="AG2379" s="18" t="n">
        <f aca="false">IF($K2379="SEM CULTURA",0,$T2379*$H2379)</f>
        <v>0</v>
      </c>
      <c r="AH2379" s="18" t="n">
        <f aca="false">IF($K2379="SEM CULTURA",0,$V2379*$H2379)</f>
        <v>0</v>
      </c>
      <c r="AI2379" s="18" t="n">
        <f aca="false">IF($K2379="SEM CULTURA",0,$W2379*$H2379)</f>
        <v>0</v>
      </c>
      <c r="AJ2379" s="18" t="n">
        <f aca="false">IF($K2379="SEM CULTURA",0,$S2379*$H2379)</f>
        <v>0</v>
      </c>
      <c r="AK2379" s="8" t="str">
        <f aca="false">$E2379&amp;"|"&amp;TEXT($AD2379,"0.000000")</f>
        <v>PV 137|0.000000</v>
      </c>
    </row>
    <row r="2380" customFormat="false" ht="15" hidden="false" customHeight="false" outlineLevel="0" collapsed="false">
      <c r="B2380" s="16" t="n">
        <v>65</v>
      </c>
      <c r="C2380" s="17" t="n">
        <f aca="false">DATA_INICIO_SAFRA+($B2380-1)*DIAS_POR_SEMANA</f>
        <v>46713</v>
      </c>
      <c r="D2380" s="17" t="n">
        <f aca="false">$C2380+DIAS_POR_SEMANA-1</f>
        <v>46719</v>
      </c>
      <c r="E2380" s="15" t="s">
        <v>294</v>
      </c>
      <c r="F2380" s="8" t="str">
        <f aca="false">IFERROR(INDEX(CADASTRO_PIVOS!$C$6:$C$41,MATCH($E2380,CADASTRO_PIVOS!$B$6:$B$41,0)),"?")</f>
        <v>RM08</v>
      </c>
      <c r="G2380" s="8" t="str">
        <f aca="false">IFERROR(INDEX(CADASTRO_PIVOS!$D$6:$D$41,MATCH($E2380,CADASTRO_PIVOS!$B$6:$B$41,0)),"?")</f>
        <v>TR08</v>
      </c>
      <c r="H2380" s="20" t="n">
        <f aca="false">IFERROR(INDEX(CADASTRO_PIVOS!$E$6:$E$41,MATCH($E2380,CADASTRO_PIVOS!$B$6:$B$41,0)),0)</f>
        <v>150</v>
      </c>
      <c r="I2380" s="16" t="n">
        <f aca="false">IFERROR(SUMIFS(ROTACAO_RDM!$B$6:$B$71,ROTACAO_RDM!$D$6:$D$71,$E2380,ROTACAO_RDM!$I$6:$I$71,"&lt;="&amp;$C2380+INT(DIAS_POR_SEMANA/2),ROTACAO_RDM!$J$6:$J$71,"&gt;="&amp;$C2380+INT(DIAS_POR_SEMANA/2)),0)</f>
        <v>0</v>
      </c>
      <c r="J2380" s="16" t="n">
        <f aca="false">IFERROR(MATCH($I2380,ROTACAO_RDM!$B$6:$B$71,0),0)</f>
        <v>0</v>
      </c>
      <c r="K2380" s="8" t="str">
        <f aca="false">IF($J2380=0,"SEM CULTURA",INDEX(ROTACAO_RDM!$F$6:$F$71,$J2380))</f>
        <v>SEM CULTURA</v>
      </c>
      <c r="L2380" s="8" t="str">
        <f aca="false">IF($J2380=0,"",INDEX(ROTACAO_RDM!$G$6:$G$71,$J2380))</f>
        <v/>
      </c>
      <c r="M2380" s="17" t="str">
        <f aca="false">IF($J2380=0,"",INDEX(ROTACAO_RDM!$I$6:$I$71,$J2380))</f>
        <v/>
      </c>
      <c r="N2380" s="16" t="n">
        <f aca="false">IF($J2380=0,0,MAX(0,$C2380+INT(DIAS_POR_SEMANA/2)-INDEX(ROTACAO_RDM!$I$6:$I$71,$J2380)))</f>
        <v>0</v>
      </c>
      <c r="O2380" s="19" t="n">
        <f aca="false">IF($J2380=0,0,MIN(1,$N2380/MAX(1,INDEX(ROTACAO_RDM!$K$6:$K$71,$J2380))))</f>
        <v>0</v>
      </c>
      <c r="P2380" s="16" t="n">
        <f aca="false">IF($J2380=0,0,IFERROR(MATCH(INDEX(ROTACAO_RDM!$N$6:$N$71,$J2380),PARAMETROS_CULTURAS!$B$6:$B$28,0),0))</f>
        <v>0</v>
      </c>
      <c r="Q2380" s="8" t="str">
        <f aca="false">IF($P2380=0,"-",IF($O2380&lt;=INDEX(PARAMETROS_CULTURAS!$F$6:$F$28,$P2380),"INICIAL",IF($O2380&lt;=INDEX(PARAMETROS_CULTURAS!$F$6:$F$28,$P2380)+INDEX(PARAMETROS_CULTURAS!$G$6:$G$28,$P2380),"DESENVOLVIMENTO",IF($O2380&lt;=INDEX(PARAMETROS_CULTURAS!$F$6:$F$28,$P2380)+INDEX(PARAMETROS_CULTURAS!$G$6:$G$28,$P2380)+INDEX(PARAMETROS_CULTURAS!$H$6:$H$28,$P2380),"MEDIA","FINAL"))))</f>
        <v>-</v>
      </c>
      <c r="R2380" s="24" t="n">
        <f aca="false">IF($P2380=0,0,IF($O2380&lt;=INDEX(PARAMETROS_CULTURAS!$F$6:$F$28,$P2380),INDEX(PARAMETROS_CULTURAS!$K$6:$K$28,$P2380),IF($O2380&lt;=INDEX(PARAMETROS_CULTURAS!$F$6:$F$28,$P2380)+INDEX(PARAMETROS_CULTURAS!$G$6:$G$28,$P2380),INDEX(PARAMETROS_CULTURAS!$K$6:$K$28,$P2380)+(INDEX(PARAMETROS_CULTURAS!$L$6:$L$28,$P2380)-INDEX(PARAMETROS_CULTURAS!$K$6:$K$28,$P2380))*($O2380-INDEX(PARAMETROS_CULTURAS!$F$6:$F$28,$P2380))/MAX(INDEX(PARAMETROS_CULTURAS!$G$6:$G$28,$P2380),0.0001),IF($O2380&lt;=INDEX(PARAMETROS_CULTURAS!$F$6:$F$28,$P2380)+INDEX(PARAMETROS_CULTURAS!$G$6:$G$28,$P2380)+INDEX(PARAMETROS_CULTURAS!$H$6:$H$28,$P2380),INDEX(PARAMETROS_CULTURAS!$L$6:$L$28,$P2380),INDEX(PARAMETROS_CULTURAS!$L$6:$L$28,$P2380)+(INDEX(PARAMETROS_CULTURAS!$M$6:$M$28,$P2380)-INDEX(PARAMETROS_CULTURAS!$L$6:$L$28,$P2380))*($O2380-INDEX(PARAMETROS_CULTURAS!$F$6:$F$28,$P2380)-INDEX(PARAMETROS_CULTURAS!$G$6:$G$28,$P2380)-INDEX(PARAMETROS_CULTURAS!$H$6:$H$28,$P2380))/MAX(INDEX(PARAMETROS_CULTURAS!$I$6:$I$28,$P2380),0.0001)))))</f>
        <v>0</v>
      </c>
      <c r="S2380" s="18" t="n">
        <f aca="false">IFERROR(INDEX(SEMANAS!$H$6:$H$71,MATCH($B2380,SEMANAS!$B$6:$B$71,0)),0)</f>
        <v>34.3</v>
      </c>
      <c r="T2380" s="18" t="n">
        <f aca="false">$R2380*$S2380</f>
        <v>0</v>
      </c>
      <c r="U2380" s="18" t="n">
        <f aca="false">IFERROR(INDEX(SEMANAS!$I$6:$I$71,MATCH($B2380,SEMANAS!$B$6:$B$71,0)),0)</f>
        <v>46.69</v>
      </c>
      <c r="V2380" s="18" t="n">
        <f aca="false">IFERROR(INDEX(SEMANAS!$J$6:$J$71,MATCH($B2380,SEMANAS!$B$6:$B$71,0)),0)</f>
        <v>37.352</v>
      </c>
      <c r="W2380" s="18" t="n">
        <f aca="false">MAX(0,$T2380-$V2380)</f>
        <v>0</v>
      </c>
      <c r="X2380" s="19" t="n">
        <f aca="false">IFERROR(INDEX(CADASTRO_PIVOS!$K$6:$K$41,MATCH($E2380,CADASTRO_PIVOS!$B$6:$B$41,0)),EFICIENCIA_PADRAO)</f>
        <v>0.85</v>
      </c>
      <c r="Y2380" s="18" t="n">
        <f aca="false">IF($X2380&lt;=0,0,$W2380/$X2380)</f>
        <v>0</v>
      </c>
      <c r="Z2380" s="16" t="n">
        <f aca="false">$Y2380*$H2380*MM_PARA_M3_HA</f>
        <v>0</v>
      </c>
      <c r="AA2380" s="18" t="n">
        <f aca="false">IFERROR(INDEX(CADASTRO_PIVOS!$I$6:$I$41,MATCH($E2380,CADASTRO_PIVOS!$B$6:$B$41,0)),0)</f>
        <v>1071.42857142857</v>
      </c>
      <c r="AB2380" s="18" t="n">
        <f aca="false">IF($Z2380&lt;=0,0,$Z2380/$AA2380)</f>
        <v>0</v>
      </c>
      <c r="AC2380" s="16" t="n">
        <f aca="false">IFERROR(INDEX(SEMANAS!$K$6:$K$71,MATCH($B2380,SEMANAS!$B$6:$B$71,0)),0)</f>
        <v>147</v>
      </c>
      <c r="AD2380" s="19" t="n">
        <f aca="false">IF($AC2380&lt;=0,0,$AB2380/$AC2380)</f>
        <v>0</v>
      </c>
      <c r="AE2380" s="8" t="str">
        <f aca="false">IF($K2380="SEM CULTURA","SEM CULTURA",IF($AA2380&lt;=0,"DADO PENDENTE",IF($AD2380&gt;LIMITE_CRITICO,"INVIAVEL",IF($AD2380&gt;LIMITE_ATENCAO,"CRITICO",IF($AD2380&gt;LIMITE_CONFORTAVEL,"ATENCAO","OK")))))</f>
        <v>SEM CULTURA</v>
      </c>
      <c r="AF2380" s="8" t="str">
        <f aca="false">$B2380&amp;"|"&amp;TEXT($AD2380,"0.000000")</f>
        <v>65|0.000000</v>
      </c>
      <c r="AG2380" s="18" t="n">
        <f aca="false">IF($K2380="SEM CULTURA",0,$T2380*$H2380)</f>
        <v>0</v>
      </c>
      <c r="AH2380" s="18" t="n">
        <f aca="false">IF($K2380="SEM CULTURA",0,$V2380*$H2380)</f>
        <v>0</v>
      </c>
      <c r="AI2380" s="18" t="n">
        <f aca="false">IF($K2380="SEM CULTURA",0,$W2380*$H2380)</f>
        <v>0</v>
      </c>
      <c r="AJ2380" s="18" t="n">
        <f aca="false">IF($K2380="SEM CULTURA",0,$S2380*$H2380)</f>
        <v>0</v>
      </c>
      <c r="AK2380" s="8" t="str">
        <f aca="false">$E2380&amp;"|"&amp;TEXT($AD2380,"0.000000")</f>
        <v>PV 137|0.000000</v>
      </c>
    </row>
    <row r="2381" customFormat="false" ht="15" hidden="false" customHeight="false" outlineLevel="0" collapsed="false">
      <c r="B2381" s="16" t="n">
        <v>66</v>
      </c>
      <c r="C2381" s="17" t="n">
        <f aca="false">DATA_INICIO_SAFRA+($B2381-1)*DIAS_POR_SEMANA</f>
        <v>46720</v>
      </c>
      <c r="D2381" s="17" t="n">
        <f aca="false">$C2381+DIAS_POR_SEMANA-1</f>
        <v>46726</v>
      </c>
      <c r="E2381" s="15" t="s">
        <v>294</v>
      </c>
      <c r="F2381" s="8" t="str">
        <f aca="false">IFERROR(INDEX(CADASTRO_PIVOS!$C$6:$C$41,MATCH($E2381,CADASTRO_PIVOS!$B$6:$B$41,0)),"?")</f>
        <v>RM08</v>
      </c>
      <c r="G2381" s="8" t="str">
        <f aca="false">IFERROR(INDEX(CADASTRO_PIVOS!$D$6:$D$41,MATCH($E2381,CADASTRO_PIVOS!$B$6:$B$41,0)),"?")</f>
        <v>TR08</v>
      </c>
      <c r="H2381" s="20" t="n">
        <f aca="false">IFERROR(INDEX(CADASTRO_PIVOS!$E$6:$E$41,MATCH($E2381,CADASTRO_PIVOS!$B$6:$B$41,0)),0)</f>
        <v>150</v>
      </c>
      <c r="I2381" s="16" t="n">
        <f aca="false">IFERROR(SUMIFS(ROTACAO_RDM!$B$6:$B$71,ROTACAO_RDM!$D$6:$D$71,$E2381,ROTACAO_RDM!$I$6:$I$71,"&lt;="&amp;$C2381+INT(DIAS_POR_SEMANA/2),ROTACAO_RDM!$J$6:$J$71,"&gt;="&amp;$C2381+INT(DIAS_POR_SEMANA/2)),0)</f>
        <v>0</v>
      </c>
      <c r="J2381" s="16" t="n">
        <f aca="false">IFERROR(MATCH($I2381,ROTACAO_RDM!$B$6:$B$71,0),0)</f>
        <v>0</v>
      </c>
      <c r="K2381" s="8" t="str">
        <f aca="false">IF($J2381=0,"SEM CULTURA",INDEX(ROTACAO_RDM!$F$6:$F$71,$J2381))</f>
        <v>SEM CULTURA</v>
      </c>
      <c r="L2381" s="8" t="str">
        <f aca="false">IF($J2381=0,"",INDEX(ROTACAO_RDM!$G$6:$G$71,$J2381))</f>
        <v/>
      </c>
      <c r="M2381" s="17" t="str">
        <f aca="false">IF($J2381=0,"",INDEX(ROTACAO_RDM!$I$6:$I$71,$J2381))</f>
        <v/>
      </c>
      <c r="N2381" s="16" t="n">
        <f aca="false">IF($J2381=0,0,MAX(0,$C2381+INT(DIAS_POR_SEMANA/2)-INDEX(ROTACAO_RDM!$I$6:$I$71,$J2381)))</f>
        <v>0</v>
      </c>
      <c r="O2381" s="19" t="n">
        <f aca="false">IF($J2381=0,0,MIN(1,$N2381/MAX(1,INDEX(ROTACAO_RDM!$K$6:$K$71,$J2381))))</f>
        <v>0</v>
      </c>
      <c r="P2381" s="16" t="n">
        <f aca="false">IF($J2381=0,0,IFERROR(MATCH(INDEX(ROTACAO_RDM!$N$6:$N$71,$J2381),PARAMETROS_CULTURAS!$B$6:$B$28,0),0))</f>
        <v>0</v>
      </c>
      <c r="Q2381" s="8" t="str">
        <f aca="false">IF($P2381=0,"-",IF($O2381&lt;=INDEX(PARAMETROS_CULTURAS!$F$6:$F$28,$P2381),"INICIAL",IF($O2381&lt;=INDEX(PARAMETROS_CULTURAS!$F$6:$F$28,$P2381)+INDEX(PARAMETROS_CULTURAS!$G$6:$G$28,$P2381),"DESENVOLVIMENTO",IF($O2381&lt;=INDEX(PARAMETROS_CULTURAS!$F$6:$F$28,$P2381)+INDEX(PARAMETROS_CULTURAS!$G$6:$G$28,$P2381)+INDEX(PARAMETROS_CULTURAS!$H$6:$H$28,$P2381),"MEDIA","FINAL"))))</f>
        <v>-</v>
      </c>
      <c r="R2381" s="24" t="n">
        <f aca="false">IF($P2381=0,0,IF($O2381&lt;=INDEX(PARAMETROS_CULTURAS!$F$6:$F$28,$P2381),INDEX(PARAMETROS_CULTURAS!$K$6:$K$28,$P2381),IF($O2381&lt;=INDEX(PARAMETROS_CULTURAS!$F$6:$F$28,$P2381)+INDEX(PARAMETROS_CULTURAS!$G$6:$G$28,$P2381),INDEX(PARAMETROS_CULTURAS!$K$6:$K$28,$P2381)+(INDEX(PARAMETROS_CULTURAS!$L$6:$L$28,$P2381)-INDEX(PARAMETROS_CULTURAS!$K$6:$K$28,$P2381))*($O2381-INDEX(PARAMETROS_CULTURAS!$F$6:$F$28,$P2381))/MAX(INDEX(PARAMETROS_CULTURAS!$G$6:$G$28,$P2381),0.0001),IF($O2381&lt;=INDEX(PARAMETROS_CULTURAS!$F$6:$F$28,$P2381)+INDEX(PARAMETROS_CULTURAS!$G$6:$G$28,$P2381)+INDEX(PARAMETROS_CULTURAS!$H$6:$H$28,$P2381),INDEX(PARAMETROS_CULTURAS!$L$6:$L$28,$P2381),INDEX(PARAMETROS_CULTURAS!$L$6:$L$28,$P2381)+(INDEX(PARAMETROS_CULTURAS!$M$6:$M$28,$P2381)-INDEX(PARAMETROS_CULTURAS!$L$6:$L$28,$P2381))*($O2381-INDEX(PARAMETROS_CULTURAS!$F$6:$F$28,$P2381)-INDEX(PARAMETROS_CULTURAS!$G$6:$G$28,$P2381)-INDEX(PARAMETROS_CULTURAS!$H$6:$H$28,$P2381))/MAX(INDEX(PARAMETROS_CULTURAS!$I$6:$I$28,$P2381),0.0001)))))</f>
        <v>0</v>
      </c>
      <c r="S2381" s="18" t="n">
        <f aca="false">IFERROR(INDEX(SEMANAS!$H$6:$H$71,MATCH($B2381,SEMANAS!$B$6:$B$71,0)),0)</f>
        <v>33.3</v>
      </c>
      <c r="T2381" s="18" t="n">
        <f aca="false">$R2381*$S2381</f>
        <v>0</v>
      </c>
      <c r="U2381" s="18" t="n">
        <f aca="false">IFERROR(INDEX(SEMANAS!$I$6:$I$71,MATCH($B2381,SEMANAS!$B$6:$B$71,0)),0)</f>
        <v>48.04</v>
      </c>
      <c r="V2381" s="18" t="n">
        <f aca="false">IFERROR(INDEX(SEMANAS!$J$6:$J$71,MATCH($B2381,SEMANAS!$B$6:$B$71,0)),0)</f>
        <v>38.432</v>
      </c>
      <c r="W2381" s="18" t="n">
        <f aca="false">MAX(0,$T2381-$V2381)</f>
        <v>0</v>
      </c>
      <c r="X2381" s="19" t="n">
        <f aca="false">IFERROR(INDEX(CADASTRO_PIVOS!$K$6:$K$41,MATCH($E2381,CADASTRO_PIVOS!$B$6:$B$41,0)),EFICIENCIA_PADRAO)</f>
        <v>0.85</v>
      </c>
      <c r="Y2381" s="18" t="n">
        <f aca="false">IF($X2381&lt;=0,0,$W2381/$X2381)</f>
        <v>0</v>
      </c>
      <c r="Z2381" s="16" t="n">
        <f aca="false">$Y2381*$H2381*MM_PARA_M3_HA</f>
        <v>0</v>
      </c>
      <c r="AA2381" s="18" t="n">
        <f aca="false">IFERROR(INDEX(CADASTRO_PIVOS!$I$6:$I$41,MATCH($E2381,CADASTRO_PIVOS!$B$6:$B$41,0)),0)</f>
        <v>1071.42857142857</v>
      </c>
      <c r="AB2381" s="18" t="n">
        <f aca="false">IF($Z2381&lt;=0,0,$Z2381/$AA2381)</f>
        <v>0</v>
      </c>
      <c r="AC2381" s="16" t="n">
        <f aca="false">IFERROR(INDEX(SEMANAS!$K$6:$K$71,MATCH($B2381,SEMANAS!$B$6:$B$71,0)),0)</f>
        <v>147</v>
      </c>
      <c r="AD2381" s="19" t="n">
        <f aca="false">IF($AC2381&lt;=0,0,$AB2381/$AC2381)</f>
        <v>0</v>
      </c>
      <c r="AE2381" s="8" t="str">
        <f aca="false">IF($K2381="SEM CULTURA","SEM CULTURA",IF($AA2381&lt;=0,"DADO PENDENTE",IF($AD2381&gt;LIMITE_CRITICO,"INVIAVEL",IF($AD2381&gt;LIMITE_ATENCAO,"CRITICO",IF($AD2381&gt;LIMITE_CONFORTAVEL,"ATENCAO","OK")))))</f>
        <v>SEM CULTURA</v>
      </c>
      <c r="AF2381" s="8" t="str">
        <f aca="false">$B2381&amp;"|"&amp;TEXT($AD2381,"0.000000")</f>
        <v>66|0.000000</v>
      </c>
      <c r="AG2381" s="18" t="n">
        <f aca="false">IF($K2381="SEM CULTURA",0,$T2381*$H2381)</f>
        <v>0</v>
      </c>
      <c r="AH2381" s="18" t="n">
        <f aca="false">IF($K2381="SEM CULTURA",0,$V2381*$H2381)</f>
        <v>0</v>
      </c>
      <c r="AI2381" s="18" t="n">
        <f aca="false">IF($K2381="SEM CULTURA",0,$W2381*$H2381)</f>
        <v>0</v>
      </c>
      <c r="AJ2381" s="18" t="n">
        <f aca="false">IF($K2381="SEM CULTURA",0,$S2381*$H2381)</f>
        <v>0</v>
      </c>
      <c r="AK2381" s="8" t="str">
        <f aca="false">$E2381&amp;"|"&amp;TEXT($AD2381,"0.000000")</f>
        <v>PV 137|0.000000</v>
      </c>
    </row>
  </sheetData>
  <autoFilter ref="B5:AK2381"/>
  <mergeCells count="2">
    <mergeCell ref="B2:AK2"/>
    <mergeCell ref="B3:AK3"/>
  </mergeCells>
  <conditionalFormatting sqref="AE6:AE2381">
    <cfRule type="cellIs" priority="2" operator="equal" aboveAverage="0" equalAverage="0" bottom="0" percent="0" rank="0" text="" dxfId="4">
      <formula>"OK"</formula>
    </cfRule>
    <cfRule type="cellIs" priority="3" operator="equal" aboveAverage="0" equalAverage="0" bottom="0" percent="0" rank="0" text="" dxfId="3">
      <formula>"ATENCAO"</formula>
    </cfRule>
    <cfRule type="cellIs" priority="4" operator="equal" aboveAverage="0" equalAverage="0" bottom="0" percent="0" rank="0" text="" dxfId="9">
      <formula>"CRITICO"</formula>
    </cfRule>
    <cfRule type="cellIs" priority="5" operator="equal" aboveAverage="0" equalAverage="0" bottom="0" percent="0" rank="0" text="" dxfId="0">
      <formula>"INVIAVEL"</formula>
    </cfRule>
    <cfRule type="cellIs" priority="6" operator="equal" aboveAverage="0" equalAverage="0" bottom="0" percent="0" rank="0" text="" dxfId="0">
      <formula>"DADO PENDENTE"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9" min="7" style="0" width="14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13"/>
    <col collapsed="false" customWidth="true" hidden="false" outlineLevel="0" max="15" min="15" style="0" width="46"/>
  </cols>
  <sheetData>
    <row r="2" customFormat="false" ht="30" hidden="false" customHeight="true" outlineLevel="0" collapsed="false">
      <c r="B2" s="1" t="s">
        <v>320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25.5" hidden="false" customHeight="true" outlineLevel="0" collapsed="false">
      <c r="B3" s="2" t="s">
        <v>321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30" hidden="false" customHeight="true" outlineLevel="0" collapsed="false">
      <c r="B5" s="14" t="s">
        <v>243</v>
      </c>
      <c r="C5" s="14" t="s">
        <v>68</v>
      </c>
      <c r="D5" s="14" t="s">
        <v>244</v>
      </c>
      <c r="E5" s="14" t="s">
        <v>245</v>
      </c>
      <c r="F5" s="14" t="s">
        <v>322</v>
      </c>
      <c r="G5" s="14" t="s">
        <v>323</v>
      </c>
      <c r="H5" s="14" t="s">
        <v>324</v>
      </c>
      <c r="I5" s="14" t="s">
        <v>254</v>
      </c>
      <c r="J5" s="14" t="s">
        <v>325</v>
      </c>
      <c r="K5" s="14" t="s">
        <v>326</v>
      </c>
      <c r="L5" s="14" t="s">
        <v>327</v>
      </c>
      <c r="M5" s="14" t="s">
        <v>328</v>
      </c>
      <c r="N5" s="14" t="s">
        <v>258</v>
      </c>
      <c r="O5" s="14" t="s">
        <v>329</v>
      </c>
    </row>
    <row r="6" customFormat="false" ht="15" hidden="false" customHeight="false" outlineLevel="0" collapsed="false">
      <c r="B6" s="15" t="s">
        <v>259</v>
      </c>
      <c r="C6" s="8" t="s">
        <v>128</v>
      </c>
      <c r="D6" s="25" t="str">
        <f aca="false">IFERROR(INDEX(CADASTRO_CASAS_BOMBA!$C$6:$C$13,MATCH($C6,CADASTRO_CASAS_BOMBA!$B$6:$B$13,0)),"PENDENTE")</f>
        <v>TR01</v>
      </c>
      <c r="E6" s="20" t="n">
        <v>98.31</v>
      </c>
      <c r="F6" s="20"/>
      <c r="G6" s="26" t="n">
        <v>15</v>
      </c>
      <c r="H6" s="26"/>
      <c r="I6" s="18" t="n">
        <f aca="false">IF(N($H6)&gt;0,$H6,IF(N($G6)&gt;0,$E6*$G6*MM_PARA_M3_HA/HORAS_OPERACAO_DIA,0))</f>
        <v>702.214285714286</v>
      </c>
      <c r="J6" s="8" t="str">
        <f aca="false">IF(N($H6)&gt;0,"Cadastro do usuario","Calculada: Area x Lamina nominal x 10 / 21 h")</f>
        <v>Calculada: Area x Lamina nominal x 10 / 21 h</v>
      </c>
      <c r="K6" s="19" t="n">
        <f aca="false">EFICIENCIA_PADRAO</f>
        <v>0.85</v>
      </c>
      <c r="L6" s="16" t="n">
        <f aca="false">HORAS_OPERACAO_DIA</f>
        <v>21</v>
      </c>
      <c r="M6" s="16" t="n">
        <f aca="false">HORAS_OPERACAO_SEMANA</f>
        <v>147</v>
      </c>
      <c r="N6" s="8" t="str">
        <f aca="false">IF(N($I6)&lt;=0,"DADO PENDENTE","ATIVO")</f>
        <v>ATIVO</v>
      </c>
      <c r="O6" s="8" t="s">
        <v>330</v>
      </c>
    </row>
    <row r="7" customFormat="false" ht="15" hidden="false" customHeight="false" outlineLevel="0" collapsed="false">
      <c r="B7" s="15" t="s">
        <v>260</v>
      </c>
      <c r="C7" s="8" t="s">
        <v>129</v>
      </c>
      <c r="D7" s="25" t="str">
        <f aca="false">IFERROR(INDEX(CADASTRO_CASAS_BOMBA!$C$6:$C$13,MATCH($C7,CADASTRO_CASAS_BOMBA!$B$6:$B$13,0)),"PENDENTE")</f>
        <v>TR02</v>
      </c>
      <c r="E7" s="20" t="n">
        <v>100.59</v>
      </c>
      <c r="F7" s="20"/>
      <c r="G7" s="26" t="n">
        <v>15</v>
      </c>
      <c r="H7" s="26"/>
      <c r="I7" s="18" t="n">
        <f aca="false">IF(N($H7)&gt;0,$H7,IF(N($G7)&gt;0,$E7*$G7*MM_PARA_M3_HA/HORAS_OPERACAO_DIA,0))</f>
        <v>718.5</v>
      </c>
      <c r="J7" s="8" t="str">
        <f aca="false">IF(N($H7)&gt;0,"Cadastro do usuario","Calculada: Area x Lamina nominal x 10 / 21 h")</f>
        <v>Calculada: Area x Lamina nominal x 10 / 21 h</v>
      </c>
      <c r="K7" s="19" t="n">
        <f aca="false">EFICIENCIA_PADRAO</f>
        <v>0.85</v>
      </c>
      <c r="L7" s="16" t="n">
        <f aca="false">HORAS_OPERACAO_DIA</f>
        <v>21</v>
      </c>
      <c r="M7" s="16" t="n">
        <f aca="false">HORAS_OPERACAO_SEMANA</f>
        <v>147</v>
      </c>
      <c r="N7" s="8" t="str">
        <f aca="false">IF(N($I7)&lt;=0,"DADO PENDENTE","ATIVO")</f>
        <v>ATIVO</v>
      </c>
      <c r="O7" s="8" t="s">
        <v>331</v>
      </c>
    </row>
    <row r="8" customFormat="false" ht="15" hidden="false" customHeight="false" outlineLevel="0" collapsed="false">
      <c r="B8" s="15" t="s">
        <v>261</v>
      </c>
      <c r="C8" s="8" t="s">
        <v>129</v>
      </c>
      <c r="D8" s="25" t="str">
        <f aca="false">IFERROR(INDEX(CADASTRO_CASAS_BOMBA!$C$6:$C$13,MATCH($C8,CADASTRO_CASAS_BOMBA!$B$6:$B$13,0)),"PENDENTE")</f>
        <v>TR02</v>
      </c>
      <c r="E8" s="20" t="n">
        <v>100.06</v>
      </c>
      <c r="F8" s="20"/>
      <c r="G8" s="26" t="n">
        <v>15</v>
      </c>
      <c r="H8" s="26"/>
      <c r="I8" s="18" t="n">
        <f aca="false">IF(N($H8)&gt;0,$H8,IF(N($G8)&gt;0,$E8*$G8*MM_PARA_M3_HA/HORAS_OPERACAO_DIA,0))</f>
        <v>714.714285714286</v>
      </c>
      <c r="J8" s="8" t="str">
        <f aca="false">IF(N($H8)&gt;0,"Cadastro do usuario","Calculada: Area x Lamina nominal x 10 / 21 h")</f>
        <v>Calculada: Area x Lamina nominal x 10 / 21 h</v>
      </c>
      <c r="K8" s="19" t="n">
        <f aca="false">EFICIENCIA_PADRAO</f>
        <v>0.85</v>
      </c>
      <c r="L8" s="16" t="n">
        <f aca="false">HORAS_OPERACAO_DIA</f>
        <v>21</v>
      </c>
      <c r="M8" s="16" t="n">
        <f aca="false">HORAS_OPERACAO_SEMANA</f>
        <v>147</v>
      </c>
      <c r="N8" s="8" t="str">
        <f aca="false">IF(N($I8)&lt;=0,"DADO PENDENTE","ATIVO")</f>
        <v>ATIVO</v>
      </c>
      <c r="O8" s="8" t="s">
        <v>331</v>
      </c>
    </row>
    <row r="9" customFormat="false" ht="15" hidden="false" customHeight="false" outlineLevel="0" collapsed="false">
      <c r="B9" s="15" t="s">
        <v>262</v>
      </c>
      <c r="C9" s="8" t="s">
        <v>130</v>
      </c>
      <c r="D9" s="25" t="str">
        <f aca="false">IFERROR(INDEX(CADASTRO_CASAS_BOMBA!$C$6:$C$13,MATCH($C9,CADASTRO_CASAS_BOMBA!$B$6:$B$13,0)),"PENDENTE")</f>
        <v>TR03</v>
      </c>
      <c r="E9" s="20" t="n">
        <v>98.2</v>
      </c>
      <c r="F9" s="20"/>
      <c r="G9" s="26" t="n">
        <v>15</v>
      </c>
      <c r="H9" s="26"/>
      <c r="I9" s="18" t="n">
        <f aca="false">IF(N($H9)&gt;0,$H9,IF(N($G9)&gt;0,$E9*$G9*MM_PARA_M3_HA/HORAS_OPERACAO_DIA,0))</f>
        <v>701.428571428571</v>
      </c>
      <c r="J9" s="8" t="str">
        <f aca="false">IF(N($H9)&gt;0,"Cadastro do usuario","Calculada: Area x Lamina nominal x 10 / 21 h")</f>
        <v>Calculada: Area x Lamina nominal x 10 / 21 h</v>
      </c>
      <c r="K9" s="19" t="n">
        <f aca="false">EFICIENCIA_PADRAO</f>
        <v>0.85</v>
      </c>
      <c r="L9" s="16" t="n">
        <f aca="false">HORAS_OPERACAO_DIA</f>
        <v>21</v>
      </c>
      <c r="M9" s="16" t="n">
        <f aca="false">HORAS_OPERACAO_SEMANA</f>
        <v>147</v>
      </c>
      <c r="N9" s="8" t="str">
        <f aca="false">IF(N($I9)&lt;=0,"DADO PENDENTE","ATIVO")</f>
        <v>ATIVO</v>
      </c>
      <c r="O9" s="8" t="s">
        <v>330</v>
      </c>
    </row>
    <row r="10" customFormat="false" ht="15" hidden="false" customHeight="false" outlineLevel="0" collapsed="false">
      <c r="B10" s="15" t="s">
        <v>263</v>
      </c>
      <c r="C10" s="8" t="s">
        <v>130</v>
      </c>
      <c r="D10" s="25" t="str">
        <f aca="false">IFERROR(INDEX(CADASTRO_CASAS_BOMBA!$C$6:$C$13,MATCH($C10,CADASTRO_CASAS_BOMBA!$B$6:$B$13,0)),"PENDENTE")</f>
        <v>TR03</v>
      </c>
      <c r="E10" s="20" t="n">
        <v>99.58</v>
      </c>
      <c r="F10" s="20"/>
      <c r="G10" s="26" t="n">
        <v>15</v>
      </c>
      <c r="H10" s="26"/>
      <c r="I10" s="18" t="n">
        <f aca="false">IF(N($H10)&gt;0,$H10,IF(N($G10)&gt;0,$E10*$G10*MM_PARA_M3_HA/HORAS_OPERACAO_DIA,0))</f>
        <v>711.285714285714</v>
      </c>
      <c r="J10" s="8" t="str">
        <f aca="false">IF(N($H10)&gt;0,"Cadastro do usuario","Calculada: Area x Lamina nominal x 10 / 21 h")</f>
        <v>Calculada: Area x Lamina nominal x 10 / 21 h</v>
      </c>
      <c r="K10" s="19" t="n">
        <f aca="false">EFICIENCIA_PADRAO</f>
        <v>0.85</v>
      </c>
      <c r="L10" s="16" t="n">
        <f aca="false">HORAS_OPERACAO_DIA</f>
        <v>21</v>
      </c>
      <c r="M10" s="16" t="n">
        <f aca="false">HORAS_OPERACAO_SEMANA</f>
        <v>147</v>
      </c>
      <c r="N10" s="8" t="str">
        <f aca="false">IF(N($I10)&lt;=0,"DADO PENDENTE","ATIVO")</f>
        <v>ATIVO</v>
      </c>
      <c r="O10" s="8" t="s">
        <v>332</v>
      </c>
    </row>
    <row r="11" customFormat="false" ht="15" hidden="false" customHeight="false" outlineLevel="0" collapsed="false">
      <c r="B11" s="15" t="s">
        <v>264</v>
      </c>
      <c r="C11" s="8" t="s">
        <v>131</v>
      </c>
      <c r="D11" s="25" t="str">
        <f aca="false">IFERROR(INDEX(CADASTRO_CASAS_BOMBA!$C$6:$C$13,MATCH($C11,CADASTRO_CASAS_BOMBA!$B$6:$B$13,0)),"PENDENTE")</f>
        <v>TR04</v>
      </c>
      <c r="E11" s="20" t="n">
        <v>129.16</v>
      </c>
      <c r="F11" s="20"/>
      <c r="G11" s="26" t="n">
        <v>15</v>
      </c>
      <c r="H11" s="26"/>
      <c r="I11" s="18" t="n">
        <f aca="false">IF(N($H11)&gt;0,$H11,IF(N($G11)&gt;0,$E11*$G11*MM_PARA_M3_HA/HORAS_OPERACAO_DIA,0))</f>
        <v>922.571428571429</v>
      </c>
      <c r="J11" s="8" t="str">
        <f aca="false">IF(N($H11)&gt;0,"Cadastro do usuario","Calculada: Area x Lamina nominal x 10 / 21 h")</f>
        <v>Calculada: Area x Lamina nominal x 10 / 21 h</v>
      </c>
      <c r="K11" s="19" t="n">
        <f aca="false">EFICIENCIA_PADRAO</f>
        <v>0.85</v>
      </c>
      <c r="L11" s="16" t="n">
        <f aca="false">HORAS_OPERACAO_DIA</f>
        <v>21</v>
      </c>
      <c r="M11" s="16" t="n">
        <f aca="false">HORAS_OPERACAO_SEMANA</f>
        <v>147</v>
      </c>
      <c r="N11" s="8" t="str">
        <f aca="false">IF(N($I11)&lt;=0,"DADO PENDENTE","ATIVO")</f>
        <v>ATIVO</v>
      </c>
      <c r="O11" s="8" t="s">
        <v>333</v>
      </c>
    </row>
    <row r="12" customFormat="false" ht="15" hidden="false" customHeight="false" outlineLevel="0" collapsed="false">
      <c r="B12" s="15" t="s">
        <v>265</v>
      </c>
      <c r="C12" s="8" t="s">
        <v>131</v>
      </c>
      <c r="D12" s="25" t="str">
        <f aca="false">IFERROR(INDEX(CADASTRO_CASAS_BOMBA!$C$6:$C$13,MATCH($C12,CADASTRO_CASAS_BOMBA!$B$6:$B$13,0)),"PENDENTE")</f>
        <v>TR04</v>
      </c>
      <c r="E12" s="20" t="n">
        <v>100.07</v>
      </c>
      <c r="F12" s="20"/>
      <c r="G12" s="26" t="n">
        <v>15</v>
      </c>
      <c r="H12" s="26"/>
      <c r="I12" s="18" t="n">
        <f aca="false">IF(N($H12)&gt;0,$H12,IF(N($G12)&gt;0,$E12*$G12*MM_PARA_M3_HA/HORAS_OPERACAO_DIA,0))</f>
        <v>714.785714285714</v>
      </c>
      <c r="J12" s="8" t="str">
        <f aca="false">IF(N($H12)&gt;0,"Cadastro do usuario","Calculada: Area x Lamina nominal x 10 / 21 h")</f>
        <v>Calculada: Area x Lamina nominal x 10 / 21 h</v>
      </c>
      <c r="K12" s="19" t="n">
        <f aca="false">EFICIENCIA_PADRAO</f>
        <v>0.85</v>
      </c>
      <c r="L12" s="16" t="n">
        <f aca="false">HORAS_OPERACAO_DIA</f>
        <v>21</v>
      </c>
      <c r="M12" s="16" t="n">
        <f aca="false">HORAS_OPERACAO_SEMANA</f>
        <v>147</v>
      </c>
      <c r="N12" s="8" t="str">
        <f aca="false">IF(N($I12)&lt;=0,"DADO PENDENTE","ATIVO")</f>
        <v>ATIVO</v>
      </c>
      <c r="O12" s="8" t="s">
        <v>334</v>
      </c>
    </row>
    <row r="13" customFormat="false" ht="15" hidden="false" customHeight="false" outlineLevel="0" collapsed="false">
      <c r="B13" s="15" t="s">
        <v>266</v>
      </c>
      <c r="C13" s="8" t="s">
        <v>131</v>
      </c>
      <c r="D13" s="25" t="str">
        <f aca="false">IFERROR(INDEX(CADASTRO_CASAS_BOMBA!$C$6:$C$13,MATCH($C13,CADASTRO_CASAS_BOMBA!$B$6:$B$13,0)),"PENDENTE")</f>
        <v>TR04</v>
      </c>
      <c r="E13" s="20" t="n">
        <v>99.76</v>
      </c>
      <c r="F13" s="20"/>
      <c r="G13" s="26" t="n">
        <v>15</v>
      </c>
      <c r="H13" s="26"/>
      <c r="I13" s="18" t="n">
        <f aca="false">IF(N($H13)&gt;0,$H13,IF(N($G13)&gt;0,$E13*$G13*MM_PARA_M3_HA/HORAS_OPERACAO_DIA,0))</f>
        <v>712.571428571429</v>
      </c>
      <c r="J13" s="8" t="str">
        <f aca="false">IF(N($H13)&gt;0,"Cadastro do usuario","Calculada: Area x Lamina nominal x 10 / 21 h")</f>
        <v>Calculada: Area x Lamina nominal x 10 / 21 h</v>
      </c>
      <c r="K13" s="19" t="n">
        <f aca="false">EFICIENCIA_PADRAO</f>
        <v>0.85</v>
      </c>
      <c r="L13" s="16" t="n">
        <f aca="false">HORAS_OPERACAO_DIA</f>
        <v>21</v>
      </c>
      <c r="M13" s="16" t="n">
        <f aca="false">HORAS_OPERACAO_SEMANA</f>
        <v>147</v>
      </c>
      <c r="N13" s="8" t="str">
        <f aca="false">IF(N($I13)&lt;=0,"DADO PENDENTE","ATIVO")</f>
        <v>ATIVO</v>
      </c>
      <c r="O13" s="8" t="s">
        <v>335</v>
      </c>
    </row>
    <row r="14" customFormat="false" ht="15" hidden="false" customHeight="false" outlineLevel="0" collapsed="false">
      <c r="B14" s="15" t="s">
        <v>267</v>
      </c>
      <c r="C14" s="8" t="s">
        <v>131</v>
      </c>
      <c r="D14" s="25" t="str">
        <f aca="false">IFERROR(INDEX(CADASTRO_CASAS_BOMBA!$C$6:$C$13,MATCH($C14,CADASTRO_CASAS_BOMBA!$B$6:$B$13,0)),"PENDENTE")</f>
        <v>TR04</v>
      </c>
      <c r="E14" s="20" t="n">
        <v>100.41</v>
      </c>
      <c r="F14" s="20"/>
      <c r="G14" s="26" t="n">
        <v>15</v>
      </c>
      <c r="H14" s="26"/>
      <c r="I14" s="18" t="n">
        <f aca="false">IF(N($H14)&gt;0,$H14,IF(N($G14)&gt;0,$E14*$G14*MM_PARA_M3_HA/HORAS_OPERACAO_DIA,0))</f>
        <v>717.214285714286</v>
      </c>
      <c r="J14" s="8" t="str">
        <f aca="false">IF(N($H14)&gt;0,"Cadastro do usuario","Calculada: Area x Lamina nominal x 10 / 21 h")</f>
        <v>Calculada: Area x Lamina nominal x 10 / 21 h</v>
      </c>
      <c r="K14" s="19" t="n">
        <f aca="false">EFICIENCIA_PADRAO</f>
        <v>0.85</v>
      </c>
      <c r="L14" s="16" t="n">
        <f aca="false">HORAS_OPERACAO_DIA</f>
        <v>21</v>
      </c>
      <c r="M14" s="16" t="n">
        <f aca="false">HORAS_OPERACAO_SEMANA</f>
        <v>147</v>
      </c>
      <c r="N14" s="8" t="str">
        <f aca="false">IF(N($I14)&lt;=0,"DADO PENDENTE","ATIVO")</f>
        <v>ATIVO</v>
      </c>
      <c r="O14" s="8" t="s">
        <v>336</v>
      </c>
    </row>
    <row r="15" customFormat="false" ht="15" hidden="false" customHeight="false" outlineLevel="0" collapsed="false">
      <c r="B15" s="15" t="s">
        <v>268</v>
      </c>
      <c r="C15" s="8" t="s">
        <v>131</v>
      </c>
      <c r="D15" s="25" t="str">
        <f aca="false">IFERROR(INDEX(CADASTRO_CASAS_BOMBA!$C$6:$C$13,MATCH($C15,CADASTRO_CASAS_BOMBA!$B$6:$B$13,0)),"PENDENTE")</f>
        <v>TR04</v>
      </c>
      <c r="E15" s="20" t="n">
        <v>110</v>
      </c>
      <c r="F15" s="20"/>
      <c r="G15" s="26" t="n">
        <v>15</v>
      </c>
      <c r="H15" s="26"/>
      <c r="I15" s="18" t="n">
        <f aca="false">IF(N($H15)&gt;0,$H15,IF(N($G15)&gt;0,$E15*$G15*MM_PARA_M3_HA/HORAS_OPERACAO_DIA,0))</f>
        <v>785.714285714286</v>
      </c>
      <c r="J15" s="8" t="str">
        <f aca="false">IF(N($H15)&gt;0,"Cadastro do usuario","Calculada: Area x Lamina nominal x 10 / 21 h")</f>
        <v>Calculada: Area x Lamina nominal x 10 / 21 h</v>
      </c>
      <c r="K15" s="19" t="n">
        <f aca="false">EFICIENCIA_PADRAO</f>
        <v>0.85</v>
      </c>
      <c r="L15" s="16" t="n">
        <f aca="false">HORAS_OPERACAO_DIA</f>
        <v>21</v>
      </c>
      <c r="M15" s="16" t="n">
        <f aca="false">HORAS_OPERACAO_SEMANA</f>
        <v>147</v>
      </c>
      <c r="N15" s="8" t="str">
        <f aca="false">IF(N($I15)&lt;=0,"DADO PENDENTE","ATIVO")</f>
        <v>ATIVO</v>
      </c>
      <c r="O15" s="8" t="s">
        <v>337</v>
      </c>
    </row>
    <row r="16" customFormat="false" ht="15" hidden="false" customHeight="false" outlineLevel="0" collapsed="false">
      <c r="B16" s="15" t="s">
        <v>269</v>
      </c>
      <c r="C16" s="8" t="s">
        <v>132</v>
      </c>
      <c r="D16" s="25" t="str">
        <f aca="false">IFERROR(INDEX(CADASTRO_CASAS_BOMBA!$C$6:$C$13,MATCH($C16,CADASTRO_CASAS_BOMBA!$B$6:$B$13,0)),"PENDENTE")</f>
        <v>TR05</v>
      </c>
      <c r="E16" s="20" t="n">
        <v>149.98</v>
      </c>
      <c r="F16" s="20"/>
      <c r="G16" s="26" t="n">
        <v>15</v>
      </c>
      <c r="H16" s="26"/>
      <c r="I16" s="18" t="n">
        <f aca="false">IF(N($H16)&gt;0,$H16,IF(N($G16)&gt;0,$E16*$G16*MM_PARA_M3_HA/HORAS_OPERACAO_DIA,0))</f>
        <v>1071.28571428571</v>
      </c>
      <c r="J16" s="8" t="str">
        <f aca="false">IF(N($H16)&gt;0,"Cadastro do usuario","Calculada: Area x Lamina nominal x 10 / 21 h")</f>
        <v>Calculada: Area x Lamina nominal x 10 / 21 h</v>
      </c>
      <c r="K16" s="19" t="n">
        <f aca="false">EFICIENCIA_PADRAO</f>
        <v>0.85</v>
      </c>
      <c r="L16" s="16" t="n">
        <f aca="false">HORAS_OPERACAO_DIA</f>
        <v>21</v>
      </c>
      <c r="M16" s="16" t="n">
        <f aca="false">HORAS_OPERACAO_SEMANA</f>
        <v>147</v>
      </c>
      <c r="N16" s="8" t="str">
        <f aca="false">IF(N($I16)&lt;=0,"DADO PENDENTE","ATIVO")</f>
        <v>ATIVO</v>
      </c>
      <c r="O16" s="8" t="s">
        <v>330</v>
      </c>
    </row>
    <row r="17" customFormat="false" ht="15" hidden="false" customHeight="false" outlineLevel="0" collapsed="false">
      <c r="B17" s="15" t="s">
        <v>270</v>
      </c>
      <c r="C17" s="8" t="s">
        <v>132</v>
      </c>
      <c r="D17" s="25" t="str">
        <f aca="false">IFERROR(INDEX(CADASTRO_CASAS_BOMBA!$C$6:$C$13,MATCH($C17,CADASTRO_CASAS_BOMBA!$B$6:$B$13,0)),"PENDENTE")</f>
        <v>TR05</v>
      </c>
      <c r="E17" s="20" t="n">
        <v>149.98</v>
      </c>
      <c r="F17" s="20"/>
      <c r="G17" s="26" t="n">
        <v>13</v>
      </c>
      <c r="H17" s="26"/>
      <c r="I17" s="18" t="n">
        <f aca="false">IF(N($H17)&gt;0,$H17,IF(N($G17)&gt;0,$E17*$G17*MM_PARA_M3_HA/HORAS_OPERACAO_DIA,0))</f>
        <v>928.447619047619</v>
      </c>
      <c r="J17" s="8" t="str">
        <f aca="false">IF(N($H17)&gt;0,"Cadastro do usuario","Calculada: Area x Lamina nominal x 10 / 21 h")</f>
        <v>Calculada: Area x Lamina nominal x 10 / 21 h</v>
      </c>
      <c r="K17" s="19" t="n">
        <f aca="false">EFICIENCIA_PADRAO</f>
        <v>0.85</v>
      </c>
      <c r="L17" s="16" t="n">
        <f aca="false">HORAS_OPERACAO_DIA</f>
        <v>21</v>
      </c>
      <c r="M17" s="16" t="n">
        <f aca="false">HORAS_OPERACAO_SEMANA</f>
        <v>147</v>
      </c>
      <c r="N17" s="8" t="str">
        <f aca="false">IF(N($I17)&lt;=0,"DADO PENDENTE","ATIVO")</f>
        <v>ATIVO</v>
      </c>
      <c r="O17" s="8" t="s">
        <v>338</v>
      </c>
    </row>
    <row r="18" customFormat="false" ht="15" hidden="false" customHeight="false" outlineLevel="0" collapsed="false">
      <c r="B18" s="15" t="s">
        <v>271</v>
      </c>
      <c r="C18" s="8" t="s">
        <v>132</v>
      </c>
      <c r="D18" s="25" t="str">
        <f aca="false">IFERROR(INDEX(CADASTRO_CASAS_BOMBA!$C$6:$C$13,MATCH($C18,CADASTRO_CASAS_BOMBA!$B$6:$B$13,0)),"PENDENTE")</f>
        <v>TR05</v>
      </c>
      <c r="E18" s="20" t="n">
        <v>119.98</v>
      </c>
      <c r="F18" s="20"/>
      <c r="G18" s="26" t="n">
        <v>15</v>
      </c>
      <c r="H18" s="26"/>
      <c r="I18" s="18" t="n">
        <f aca="false">IF(N($H18)&gt;0,$H18,IF(N($G18)&gt;0,$E18*$G18*MM_PARA_M3_HA/HORAS_OPERACAO_DIA,0))</f>
        <v>857</v>
      </c>
      <c r="J18" s="8" t="str">
        <f aca="false">IF(N($H18)&gt;0,"Cadastro do usuario","Calculada: Area x Lamina nominal x 10 / 21 h")</f>
        <v>Calculada: Area x Lamina nominal x 10 / 21 h</v>
      </c>
      <c r="K18" s="19" t="n">
        <f aca="false">EFICIENCIA_PADRAO</f>
        <v>0.85</v>
      </c>
      <c r="L18" s="16" t="n">
        <f aca="false">HORAS_OPERACAO_DIA</f>
        <v>21</v>
      </c>
      <c r="M18" s="16" t="n">
        <f aca="false">HORAS_OPERACAO_SEMANA</f>
        <v>147</v>
      </c>
      <c r="N18" s="8" t="str">
        <f aca="false">IF(N($I18)&lt;=0,"DADO PENDENTE","ATIVO")</f>
        <v>ATIVO</v>
      </c>
      <c r="O18" s="8" t="s">
        <v>339</v>
      </c>
    </row>
    <row r="19" customFormat="false" ht="15" hidden="false" customHeight="false" outlineLevel="0" collapsed="false">
      <c r="B19" s="15" t="s">
        <v>272</v>
      </c>
      <c r="C19" s="8" t="s">
        <v>132</v>
      </c>
      <c r="D19" s="25" t="str">
        <f aca="false">IFERROR(INDEX(CADASTRO_CASAS_BOMBA!$C$6:$C$13,MATCH($C19,CADASTRO_CASAS_BOMBA!$B$6:$B$13,0)),"PENDENTE")</f>
        <v>TR05</v>
      </c>
      <c r="E19" s="20" t="n">
        <v>149.94</v>
      </c>
      <c r="F19" s="20"/>
      <c r="G19" s="26" t="n">
        <v>13</v>
      </c>
      <c r="H19" s="26"/>
      <c r="I19" s="18" t="n">
        <f aca="false">IF(N($H19)&gt;0,$H19,IF(N($G19)&gt;0,$E19*$G19*MM_PARA_M3_HA/HORAS_OPERACAO_DIA,0))</f>
        <v>928.2</v>
      </c>
      <c r="J19" s="8" t="str">
        <f aca="false">IF(N($H19)&gt;0,"Cadastro do usuario","Calculada: Area x Lamina nominal x 10 / 21 h")</f>
        <v>Calculada: Area x Lamina nominal x 10 / 21 h</v>
      </c>
      <c r="K19" s="19" t="n">
        <f aca="false">EFICIENCIA_PADRAO</f>
        <v>0.85</v>
      </c>
      <c r="L19" s="16" t="n">
        <f aca="false">HORAS_OPERACAO_DIA</f>
        <v>21</v>
      </c>
      <c r="M19" s="16" t="n">
        <f aca="false">HORAS_OPERACAO_SEMANA</f>
        <v>147</v>
      </c>
      <c r="N19" s="8" t="str">
        <f aca="false">IF(N($I19)&lt;=0,"DADO PENDENTE","ATIVO")</f>
        <v>ATIVO</v>
      </c>
      <c r="O19" s="8" t="s">
        <v>340</v>
      </c>
    </row>
    <row r="20" customFormat="false" ht="15" hidden="false" customHeight="false" outlineLevel="0" collapsed="false">
      <c r="B20" s="15" t="s">
        <v>273</v>
      </c>
      <c r="C20" s="8" t="s">
        <v>132</v>
      </c>
      <c r="D20" s="25" t="str">
        <f aca="false">IFERROR(INDEX(CADASTRO_CASAS_BOMBA!$C$6:$C$13,MATCH($C20,CADASTRO_CASAS_BOMBA!$B$6:$B$13,0)),"PENDENTE")</f>
        <v>TR05</v>
      </c>
      <c r="E20" s="20" t="n">
        <v>99.96</v>
      </c>
      <c r="F20" s="20"/>
      <c r="G20" s="26" t="n">
        <v>15</v>
      </c>
      <c r="H20" s="26"/>
      <c r="I20" s="18" t="n">
        <f aca="false">IF(N($H20)&gt;0,$H20,IF(N($G20)&gt;0,$E20*$G20*MM_PARA_M3_HA/HORAS_OPERACAO_DIA,0))</f>
        <v>714</v>
      </c>
      <c r="J20" s="8" t="str">
        <f aca="false">IF(N($H20)&gt;0,"Cadastro do usuario","Calculada: Area x Lamina nominal x 10 / 21 h")</f>
        <v>Calculada: Area x Lamina nominal x 10 / 21 h</v>
      </c>
      <c r="K20" s="19" t="n">
        <f aca="false">EFICIENCIA_PADRAO</f>
        <v>0.85</v>
      </c>
      <c r="L20" s="16" t="n">
        <f aca="false">HORAS_OPERACAO_DIA</f>
        <v>21</v>
      </c>
      <c r="M20" s="16" t="n">
        <f aca="false">HORAS_OPERACAO_SEMANA</f>
        <v>147</v>
      </c>
      <c r="N20" s="8" t="str">
        <f aca="false">IF(N($I20)&lt;=0,"DADO PENDENTE","ATIVO")</f>
        <v>ATIVO</v>
      </c>
      <c r="O20" s="8" t="s">
        <v>341</v>
      </c>
    </row>
    <row r="21" customFormat="false" ht="15" hidden="false" customHeight="false" outlineLevel="0" collapsed="false">
      <c r="B21" s="15" t="s">
        <v>274</v>
      </c>
      <c r="C21" s="8" t="s">
        <v>132</v>
      </c>
      <c r="D21" s="25" t="str">
        <f aca="false">IFERROR(INDEX(CADASTRO_CASAS_BOMBA!$C$6:$C$13,MATCH($C21,CADASTRO_CASAS_BOMBA!$B$6:$B$13,0)),"PENDENTE")</f>
        <v>TR05</v>
      </c>
      <c r="E21" s="20" t="n">
        <v>99.96</v>
      </c>
      <c r="F21" s="20"/>
      <c r="G21" s="26" t="n">
        <v>15</v>
      </c>
      <c r="H21" s="26"/>
      <c r="I21" s="18" t="n">
        <f aca="false">IF(N($H21)&gt;0,$H21,IF(N($G21)&gt;0,$E21*$G21*MM_PARA_M3_HA/HORAS_OPERACAO_DIA,0))</f>
        <v>714</v>
      </c>
      <c r="J21" s="8" t="str">
        <f aca="false">IF(N($H21)&gt;0,"Cadastro do usuario","Calculada: Area x Lamina nominal x 10 / 21 h")</f>
        <v>Calculada: Area x Lamina nominal x 10 / 21 h</v>
      </c>
      <c r="K21" s="19" t="n">
        <f aca="false">EFICIENCIA_PADRAO</f>
        <v>0.85</v>
      </c>
      <c r="L21" s="16" t="n">
        <f aca="false">HORAS_OPERACAO_DIA</f>
        <v>21</v>
      </c>
      <c r="M21" s="16" t="n">
        <f aca="false">HORAS_OPERACAO_SEMANA</f>
        <v>147</v>
      </c>
      <c r="N21" s="8" t="str">
        <f aca="false">IF(N($I21)&lt;=0,"DADO PENDENTE","ATIVO")</f>
        <v>ATIVO</v>
      </c>
      <c r="O21" s="8" t="s">
        <v>342</v>
      </c>
    </row>
    <row r="22" customFormat="false" ht="15" hidden="false" customHeight="false" outlineLevel="0" collapsed="false">
      <c r="B22" s="15" t="s">
        <v>275</v>
      </c>
      <c r="C22" s="8" t="s">
        <v>133</v>
      </c>
      <c r="D22" s="25" t="str">
        <f aca="false">IFERROR(INDEX(CADASTRO_CASAS_BOMBA!$C$6:$C$13,MATCH($C22,CADASTRO_CASAS_BOMBA!$B$6:$B$13,0)),"PENDENTE")</f>
        <v>TR06</v>
      </c>
      <c r="E22" s="20" t="n">
        <v>149.55</v>
      </c>
      <c r="F22" s="20"/>
      <c r="G22" s="26" t="n">
        <v>15</v>
      </c>
      <c r="H22" s="26"/>
      <c r="I22" s="18" t="n">
        <f aca="false">IF(N($H22)&gt;0,$H22,IF(N($G22)&gt;0,$E22*$G22*MM_PARA_M3_HA/HORAS_OPERACAO_DIA,0))</f>
        <v>1068.21428571429</v>
      </c>
      <c r="J22" s="8" t="str">
        <f aca="false">IF(N($H22)&gt;0,"Cadastro do usuario","Calculada: Area x Lamina nominal x 10 / 21 h")</f>
        <v>Calculada: Area x Lamina nominal x 10 / 21 h</v>
      </c>
      <c r="K22" s="19" t="n">
        <f aca="false">EFICIENCIA_PADRAO</f>
        <v>0.85</v>
      </c>
      <c r="L22" s="16" t="n">
        <f aca="false">HORAS_OPERACAO_DIA</f>
        <v>21</v>
      </c>
      <c r="M22" s="16" t="n">
        <f aca="false">HORAS_OPERACAO_SEMANA</f>
        <v>147</v>
      </c>
      <c r="N22" s="8" t="str">
        <f aca="false">IF(N($I22)&lt;=0,"DADO PENDENTE","ATIVO")</f>
        <v>ATIVO</v>
      </c>
      <c r="O22" s="8" t="s">
        <v>339</v>
      </c>
    </row>
    <row r="23" customFormat="false" ht="15" hidden="false" customHeight="false" outlineLevel="0" collapsed="false">
      <c r="B23" s="15" t="s">
        <v>276</v>
      </c>
      <c r="C23" s="8" t="s">
        <v>133</v>
      </c>
      <c r="D23" s="25" t="str">
        <f aca="false">IFERROR(INDEX(CADASTRO_CASAS_BOMBA!$C$6:$C$13,MATCH($C23,CADASTRO_CASAS_BOMBA!$B$6:$B$13,0)),"PENDENTE")</f>
        <v>TR06</v>
      </c>
      <c r="E23" s="20" t="n">
        <v>149.94</v>
      </c>
      <c r="F23" s="20"/>
      <c r="G23" s="26" t="n">
        <v>15</v>
      </c>
      <c r="H23" s="26"/>
      <c r="I23" s="18" t="n">
        <f aca="false">IF(N($H23)&gt;0,$H23,IF(N($G23)&gt;0,$E23*$G23*MM_PARA_M3_HA/HORAS_OPERACAO_DIA,0))</f>
        <v>1071</v>
      </c>
      <c r="J23" s="8" t="str">
        <f aca="false">IF(N($H23)&gt;0,"Cadastro do usuario","Calculada: Area x Lamina nominal x 10 / 21 h")</f>
        <v>Calculada: Area x Lamina nominal x 10 / 21 h</v>
      </c>
      <c r="K23" s="19" t="n">
        <f aca="false">EFICIENCIA_PADRAO</f>
        <v>0.85</v>
      </c>
      <c r="L23" s="16" t="n">
        <f aca="false">HORAS_OPERACAO_DIA</f>
        <v>21</v>
      </c>
      <c r="M23" s="16" t="n">
        <f aca="false">HORAS_OPERACAO_SEMANA</f>
        <v>147</v>
      </c>
      <c r="N23" s="8" t="str">
        <f aca="false">IF(N($I23)&lt;=0,"DADO PENDENTE","ATIVO")</f>
        <v>ATIVO</v>
      </c>
      <c r="O23" s="8" t="s">
        <v>343</v>
      </c>
    </row>
    <row r="24" customFormat="false" ht="15" hidden="false" customHeight="false" outlineLevel="0" collapsed="false">
      <c r="B24" s="15" t="s">
        <v>277</v>
      </c>
      <c r="C24" s="8" t="s">
        <v>133</v>
      </c>
      <c r="D24" s="25" t="str">
        <f aca="false">IFERROR(INDEX(CADASTRO_CASAS_BOMBA!$C$6:$C$13,MATCH($C24,CADASTRO_CASAS_BOMBA!$B$6:$B$13,0)),"PENDENTE")</f>
        <v>TR06</v>
      </c>
      <c r="E24" s="20" t="n">
        <v>146.49</v>
      </c>
      <c r="F24" s="20"/>
      <c r="G24" s="26" t="n">
        <v>13</v>
      </c>
      <c r="H24" s="26"/>
      <c r="I24" s="18" t="n">
        <f aca="false">IF(N($H24)&gt;0,$H24,IF(N($G24)&gt;0,$E24*$G24*MM_PARA_M3_HA/HORAS_OPERACAO_DIA,0))</f>
        <v>906.842857142857</v>
      </c>
      <c r="J24" s="8" t="str">
        <f aca="false">IF(N($H24)&gt;0,"Cadastro do usuario","Calculada: Area x Lamina nominal x 10 / 21 h")</f>
        <v>Calculada: Area x Lamina nominal x 10 / 21 h</v>
      </c>
      <c r="K24" s="19" t="n">
        <f aca="false">EFICIENCIA_PADRAO</f>
        <v>0.85</v>
      </c>
      <c r="L24" s="16" t="n">
        <f aca="false">HORAS_OPERACAO_DIA</f>
        <v>21</v>
      </c>
      <c r="M24" s="16" t="n">
        <f aca="false">HORAS_OPERACAO_SEMANA</f>
        <v>147</v>
      </c>
      <c r="N24" s="8" t="str">
        <f aca="false">IF(N($I24)&lt;=0,"DADO PENDENTE","ATIVO")</f>
        <v>ATIVO</v>
      </c>
      <c r="O24" s="8" t="s">
        <v>342</v>
      </c>
    </row>
    <row r="25" customFormat="false" ht="15" hidden="false" customHeight="false" outlineLevel="0" collapsed="false">
      <c r="B25" s="15" t="s">
        <v>278</v>
      </c>
      <c r="C25" s="8" t="s">
        <v>133</v>
      </c>
      <c r="D25" s="25" t="str">
        <f aca="false">IFERROR(INDEX(CADASTRO_CASAS_BOMBA!$C$6:$C$13,MATCH($C25,CADASTRO_CASAS_BOMBA!$B$6:$B$13,0)),"PENDENTE")</f>
        <v>TR06</v>
      </c>
      <c r="E25" s="20" t="n">
        <v>149.94</v>
      </c>
      <c r="F25" s="20"/>
      <c r="G25" s="26" t="n">
        <v>15</v>
      </c>
      <c r="H25" s="26"/>
      <c r="I25" s="18" t="n">
        <f aca="false">IF(N($H25)&gt;0,$H25,IF(N($G25)&gt;0,$E25*$G25*MM_PARA_M3_HA/HORAS_OPERACAO_DIA,0))</f>
        <v>1071</v>
      </c>
      <c r="J25" s="8" t="str">
        <f aca="false">IF(N($H25)&gt;0,"Cadastro do usuario","Calculada: Area x Lamina nominal x 10 / 21 h")</f>
        <v>Calculada: Area x Lamina nominal x 10 / 21 h</v>
      </c>
      <c r="K25" s="19" t="n">
        <f aca="false">EFICIENCIA_PADRAO</f>
        <v>0.85</v>
      </c>
      <c r="L25" s="16" t="n">
        <f aca="false">HORAS_OPERACAO_DIA</f>
        <v>21</v>
      </c>
      <c r="M25" s="16" t="n">
        <f aca="false">HORAS_OPERACAO_SEMANA</f>
        <v>147</v>
      </c>
      <c r="N25" s="8" t="str">
        <f aca="false">IF(N($I25)&lt;=0,"DADO PENDENTE","ATIVO")</f>
        <v>ATIVO</v>
      </c>
      <c r="O25" s="8" t="s">
        <v>344</v>
      </c>
    </row>
    <row r="26" customFormat="false" ht="15" hidden="false" customHeight="false" outlineLevel="0" collapsed="false">
      <c r="B26" s="15" t="s">
        <v>279</v>
      </c>
      <c r="C26" s="8" t="s">
        <v>133</v>
      </c>
      <c r="D26" s="25" t="str">
        <f aca="false">IFERROR(INDEX(CADASTRO_CASAS_BOMBA!$C$6:$C$13,MATCH($C26,CADASTRO_CASAS_BOMBA!$B$6:$B$13,0)),"PENDENTE")</f>
        <v>TR06</v>
      </c>
      <c r="E26" s="20" t="n">
        <v>139.94</v>
      </c>
      <c r="F26" s="20"/>
      <c r="G26" s="26" t="n">
        <v>14</v>
      </c>
      <c r="H26" s="26"/>
      <c r="I26" s="18" t="n">
        <f aca="false">IF(N($H26)&gt;0,$H26,IF(N($G26)&gt;0,$E26*$G26*MM_PARA_M3_HA/HORAS_OPERACAO_DIA,0))</f>
        <v>932.933333333333</v>
      </c>
      <c r="J26" s="8" t="str">
        <f aca="false">IF(N($H26)&gt;0,"Cadastro do usuario","Calculada: Area x Lamina nominal x 10 / 21 h")</f>
        <v>Calculada: Area x Lamina nominal x 10 / 21 h</v>
      </c>
      <c r="K26" s="19" t="n">
        <f aca="false">EFICIENCIA_PADRAO</f>
        <v>0.85</v>
      </c>
      <c r="L26" s="16" t="n">
        <f aca="false">HORAS_OPERACAO_DIA</f>
        <v>21</v>
      </c>
      <c r="M26" s="16" t="n">
        <f aca="false">HORAS_OPERACAO_SEMANA</f>
        <v>147</v>
      </c>
      <c r="N26" s="8" t="str">
        <f aca="false">IF(N($I26)&lt;=0,"DADO PENDENTE","ATIVO")</f>
        <v>ATIVO</v>
      </c>
      <c r="O26" s="8" t="s">
        <v>332</v>
      </c>
    </row>
    <row r="27" customFormat="false" ht="15" hidden="false" customHeight="false" outlineLevel="0" collapsed="false">
      <c r="B27" s="15" t="s">
        <v>280</v>
      </c>
      <c r="C27" s="8" t="s">
        <v>133</v>
      </c>
      <c r="D27" s="25" t="str">
        <f aca="false">IFERROR(INDEX(CADASTRO_CASAS_BOMBA!$C$6:$C$13,MATCH($C27,CADASTRO_CASAS_BOMBA!$B$6:$B$13,0)),"PENDENTE")</f>
        <v>TR06</v>
      </c>
      <c r="E27" s="20" t="n">
        <v>99.48</v>
      </c>
      <c r="F27" s="20"/>
      <c r="G27" s="26" t="n">
        <v>15</v>
      </c>
      <c r="H27" s="26"/>
      <c r="I27" s="18" t="n">
        <f aca="false">IF(N($H27)&gt;0,$H27,IF(N($G27)&gt;0,$E27*$G27*MM_PARA_M3_HA/HORAS_OPERACAO_DIA,0))</f>
        <v>710.571428571429</v>
      </c>
      <c r="J27" s="8" t="str">
        <f aca="false">IF(N($H27)&gt;0,"Cadastro do usuario","Calculada: Area x Lamina nominal x 10 / 21 h")</f>
        <v>Calculada: Area x Lamina nominal x 10 / 21 h</v>
      </c>
      <c r="K27" s="19" t="n">
        <f aca="false">EFICIENCIA_PADRAO</f>
        <v>0.85</v>
      </c>
      <c r="L27" s="16" t="n">
        <f aca="false">HORAS_OPERACAO_DIA</f>
        <v>21</v>
      </c>
      <c r="M27" s="16" t="n">
        <f aca="false">HORAS_OPERACAO_SEMANA</f>
        <v>147</v>
      </c>
      <c r="N27" s="8" t="str">
        <f aca="false">IF(N($I27)&lt;=0,"DADO PENDENTE","ATIVO")</f>
        <v>ATIVO</v>
      </c>
      <c r="O27" s="8" t="s">
        <v>330</v>
      </c>
    </row>
    <row r="28" customFormat="false" ht="15" hidden="false" customHeight="false" outlineLevel="0" collapsed="false">
      <c r="B28" s="15" t="s">
        <v>281</v>
      </c>
      <c r="C28" s="8" t="s">
        <v>133</v>
      </c>
      <c r="D28" s="25" t="str">
        <f aca="false">IFERROR(INDEX(CADASTRO_CASAS_BOMBA!$C$6:$C$13,MATCH($C28,CADASTRO_CASAS_BOMBA!$B$6:$B$13,0)),"PENDENTE")</f>
        <v>TR06</v>
      </c>
      <c r="E28" s="20" t="n">
        <v>149.94</v>
      </c>
      <c r="F28" s="20"/>
      <c r="G28" s="26" t="n">
        <v>15</v>
      </c>
      <c r="H28" s="26"/>
      <c r="I28" s="18" t="n">
        <f aca="false">IF(N($H28)&gt;0,$H28,IF(N($G28)&gt;0,$E28*$G28*MM_PARA_M3_HA/HORAS_OPERACAO_DIA,0))</f>
        <v>1071</v>
      </c>
      <c r="J28" s="8" t="str">
        <f aca="false">IF(N($H28)&gt;0,"Cadastro do usuario","Calculada: Area x Lamina nominal x 10 / 21 h")</f>
        <v>Calculada: Area x Lamina nominal x 10 / 21 h</v>
      </c>
      <c r="K28" s="19" t="n">
        <f aca="false">EFICIENCIA_PADRAO</f>
        <v>0.85</v>
      </c>
      <c r="L28" s="16" t="n">
        <f aca="false">HORAS_OPERACAO_DIA</f>
        <v>21</v>
      </c>
      <c r="M28" s="16" t="n">
        <f aca="false">HORAS_OPERACAO_SEMANA</f>
        <v>147</v>
      </c>
      <c r="N28" s="8" t="str">
        <f aca="false">IF(N($I28)&lt;=0,"DADO PENDENTE","ATIVO")</f>
        <v>ATIVO</v>
      </c>
      <c r="O28" s="8" t="s">
        <v>345</v>
      </c>
    </row>
    <row r="29" customFormat="false" ht="15" hidden="false" customHeight="false" outlineLevel="0" collapsed="false">
      <c r="B29" s="15" t="s">
        <v>282</v>
      </c>
      <c r="C29" s="8" t="s">
        <v>134</v>
      </c>
      <c r="D29" s="25" t="str">
        <f aca="false">IFERROR(INDEX(CADASTRO_CASAS_BOMBA!$C$6:$C$13,MATCH($C29,CADASTRO_CASAS_BOMBA!$B$6:$B$13,0)),"PENDENTE")</f>
        <v>TR07</v>
      </c>
      <c r="E29" s="20" t="n">
        <v>145.67</v>
      </c>
      <c r="F29" s="20"/>
      <c r="G29" s="26" t="n">
        <v>14</v>
      </c>
      <c r="H29" s="26"/>
      <c r="I29" s="18" t="n">
        <f aca="false">IF(N($H29)&gt;0,$H29,IF(N($G29)&gt;0,$E29*$G29*MM_PARA_M3_HA/HORAS_OPERACAO_DIA,0))</f>
        <v>971.133333333333</v>
      </c>
      <c r="J29" s="8" t="str">
        <f aca="false">IF(N($H29)&gt;0,"Cadastro do usuario","Calculada: Area x Lamina nominal x 10 / 21 h")</f>
        <v>Calculada: Area x Lamina nominal x 10 / 21 h</v>
      </c>
      <c r="K29" s="19" t="n">
        <f aca="false">EFICIENCIA_PADRAO</f>
        <v>0.85</v>
      </c>
      <c r="L29" s="16" t="n">
        <f aca="false">HORAS_OPERACAO_DIA</f>
        <v>21</v>
      </c>
      <c r="M29" s="16" t="n">
        <f aca="false">HORAS_OPERACAO_SEMANA</f>
        <v>147</v>
      </c>
      <c r="N29" s="8" t="str">
        <f aca="false">IF(N($I29)&lt;=0,"DADO PENDENTE","ATIVO")</f>
        <v>ATIVO</v>
      </c>
      <c r="O29" s="8" t="s">
        <v>346</v>
      </c>
    </row>
    <row r="30" customFormat="false" ht="15" hidden="false" customHeight="false" outlineLevel="0" collapsed="false">
      <c r="B30" s="15" t="s">
        <v>283</v>
      </c>
      <c r="C30" s="8" t="s">
        <v>134</v>
      </c>
      <c r="D30" s="25" t="str">
        <f aca="false">IFERROR(INDEX(CADASTRO_CASAS_BOMBA!$C$6:$C$13,MATCH($C30,CADASTRO_CASAS_BOMBA!$B$6:$B$13,0)),"PENDENTE")</f>
        <v>TR07</v>
      </c>
      <c r="E30" s="20" t="n">
        <v>146.95</v>
      </c>
      <c r="F30" s="20"/>
      <c r="G30" s="26" t="n">
        <v>15</v>
      </c>
      <c r="H30" s="26"/>
      <c r="I30" s="18" t="n">
        <f aca="false">IF(N($H30)&gt;0,$H30,IF(N($G30)&gt;0,$E30*$G30*MM_PARA_M3_HA/HORAS_OPERACAO_DIA,0))</f>
        <v>1049.64285714286</v>
      </c>
      <c r="J30" s="8" t="str">
        <f aca="false">IF(N($H30)&gt;0,"Cadastro do usuario","Calculada: Area x Lamina nominal x 10 / 21 h")</f>
        <v>Calculada: Area x Lamina nominal x 10 / 21 h</v>
      </c>
      <c r="K30" s="19" t="n">
        <f aca="false">EFICIENCIA_PADRAO</f>
        <v>0.85</v>
      </c>
      <c r="L30" s="16" t="n">
        <f aca="false">HORAS_OPERACAO_DIA</f>
        <v>21</v>
      </c>
      <c r="M30" s="16" t="n">
        <f aca="false">HORAS_OPERACAO_SEMANA</f>
        <v>147</v>
      </c>
      <c r="N30" s="8" t="str">
        <f aca="false">IF(N($I30)&lt;=0,"DADO PENDENTE","ATIVO")</f>
        <v>ATIVO</v>
      </c>
      <c r="O30" s="8" t="s">
        <v>347</v>
      </c>
    </row>
    <row r="31" customFormat="false" ht="15" hidden="false" customHeight="false" outlineLevel="0" collapsed="false">
      <c r="B31" s="15" t="s">
        <v>284</v>
      </c>
      <c r="C31" s="8" t="s">
        <v>134</v>
      </c>
      <c r="D31" s="25" t="str">
        <f aca="false">IFERROR(INDEX(CADASTRO_CASAS_BOMBA!$C$6:$C$13,MATCH($C31,CADASTRO_CASAS_BOMBA!$B$6:$B$13,0)),"PENDENTE")</f>
        <v>TR07</v>
      </c>
      <c r="E31" s="20" t="n">
        <v>149.98</v>
      </c>
      <c r="F31" s="20"/>
      <c r="G31" s="26" t="n">
        <v>15</v>
      </c>
      <c r="H31" s="26"/>
      <c r="I31" s="18" t="n">
        <f aca="false">IF(N($H31)&gt;0,$H31,IF(N($G31)&gt;0,$E31*$G31*MM_PARA_M3_HA/HORAS_OPERACAO_DIA,0))</f>
        <v>1071.28571428571</v>
      </c>
      <c r="J31" s="8" t="str">
        <f aca="false">IF(N($H31)&gt;0,"Cadastro do usuario","Calculada: Area x Lamina nominal x 10 / 21 h")</f>
        <v>Calculada: Area x Lamina nominal x 10 / 21 h</v>
      </c>
      <c r="K31" s="19" t="n">
        <f aca="false">EFICIENCIA_PADRAO</f>
        <v>0.85</v>
      </c>
      <c r="L31" s="16" t="n">
        <f aca="false">HORAS_OPERACAO_DIA</f>
        <v>21</v>
      </c>
      <c r="M31" s="16" t="n">
        <f aca="false">HORAS_OPERACAO_SEMANA</f>
        <v>147</v>
      </c>
      <c r="N31" s="8" t="str">
        <f aca="false">IF(N($I31)&lt;=0,"DADO PENDENTE","ATIVO")</f>
        <v>ATIVO</v>
      </c>
      <c r="O31" s="8" t="s">
        <v>348</v>
      </c>
    </row>
    <row r="32" customFormat="false" ht="15" hidden="false" customHeight="false" outlineLevel="0" collapsed="false">
      <c r="B32" s="15" t="s">
        <v>285</v>
      </c>
      <c r="C32" s="8" t="s">
        <v>134</v>
      </c>
      <c r="D32" s="25" t="str">
        <f aca="false">IFERROR(INDEX(CADASTRO_CASAS_BOMBA!$C$6:$C$13,MATCH($C32,CADASTRO_CASAS_BOMBA!$B$6:$B$13,0)),"PENDENTE")</f>
        <v>TR07</v>
      </c>
      <c r="E32" s="20" t="n">
        <v>149.94</v>
      </c>
      <c r="F32" s="20"/>
      <c r="G32" s="26" t="n">
        <v>15</v>
      </c>
      <c r="H32" s="26"/>
      <c r="I32" s="18" t="n">
        <f aca="false">IF(N($H32)&gt;0,$H32,IF(N($G32)&gt;0,$E32*$G32*MM_PARA_M3_HA/HORAS_OPERACAO_DIA,0))</f>
        <v>1071</v>
      </c>
      <c r="J32" s="8" t="str">
        <f aca="false">IF(N($H32)&gt;0,"Cadastro do usuario","Calculada: Area x Lamina nominal x 10 / 21 h")</f>
        <v>Calculada: Area x Lamina nominal x 10 / 21 h</v>
      </c>
      <c r="K32" s="19" t="n">
        <f aca="false">EFICIENCIA_PADRAO</f>
        <v>0.85</v>
      </c>
      <c r="L32" s="16" t="n">
        <f aca="false">HORAS_OPERACAO_DIA</f>
        <v>21</v>
      </c>
      <c r="M32" s="16" t="n">
        <f aca="false">HORAS_OPERACAO_SEMANA</f>
        <v>147</v>
      </c>
      <c r="N32" s="8" t="str">
        <f aca="false">IF(N($I32)&lt;=0,"DADO PENDENTE","ATIVO")</f>
        <v>ATIVO</v>
      </c>
      <c r="O32" s="8" t="s">
        <v>349</v>
      </c>
    </row>
    <row r="33" customFormat="false" ht="15" hidden="false" customHeight="false" outlineLevel="0" collapsed="false">
      <c r="B33" s="15" t="s">
        <v>286</v>
      </c>
      <c r="C33" s="8" t="s">
        <v>134</v>
      </c>
      <c r="D33" s="25" t="str">
        <f aca="false">IFERROR(INDEX(CADASTRO_CASAS_BOMBA!$C$6:$C$13,MATCH($C33,CADASTRO_CASAS_BOMBA!$B$6:$B$13,0)),"PENDENTE")</f>
        <v>TR07</v>
      </c>
      <c r="E33" s="20" t="n">
        <v>149.94</v>
      </c>
      <c r="F33" s="20"/>
      <c r="G33" s="26" t="n">
        <v>15</v>
      </c>
      <c r="H33" s="26"/>
      <c r="I33" s="18" t="n">
        <f aca="false">IF(N($H33)&gt;0,$H33,IF(N($G33)&gt;0,$E33*$G33*MM_PARA_M3_HA/HORAS_OPERACAO_DIA,0))</f>
        <v>1071</v>
      </c>
      <c r="J33" s="8" t="str">
        <f aca="false">IF(N($H33)&gt;0,"Cadastro do usuario","Calculada: Area x Lamina nominal x 10 / 21 h")</f>
        <v>Calculada: Area x Lamina nominal x 10 / 21 h</v>
      </c>
      <c r="K33" s="19" t="n">
        <f aca="false">EFICIENCIA_PADRAO</f>
        <v>0.85</v>
      </c>
      <c r="L33" s="16" t="n">
        <f aca="false">HORAS_OPERACAO_DIA</f>
        <v>21</v>
      </c>
      <c r="M33" s="16" t="n">
        <f aca="false">HORAS_OPERACAO_SEMANA</f>
        <v>147</v>
      </c>
      <c r="N33" s="8" t="str">
        <f aca="false">IF(N($I33)&lt;=0,"DADO PENDENTE","ATIVO")</f>
        <v>ATIVO</v>
      </c>
      <c r="O33" s="8" t="s">
        <v>344</v>
      </c>
    </row>
    <row r="34" customFormat="false" ht="15" hidden="false" customHeight="false" outlineLevel="0" collapsed="false">
      <c r="B34" s="15" t="s">
        <v>287</v>
      </c>
      <c r="C34" s="8" t="s">
        <v>134</v>
      </c>
      <c r="D34" s="25" t="str">
        <f aca="false">IFERROR(INDEX(CADASTRO_CASAS_BOMBA!$C$6:$C$13,MATCH($C34,CADASTRO_CASAS_BOMBA!$B$6:$B$13,0)),"PENDENTE")</f>
        <v>TR07</v>
      </c>
      <c r="E34" s="20" t="n">
        <v>99.48</v>
      </c>
      <c r="F34" s="20"/>
      <c r="G34" s="26" t="n">
        <v>15</v>
      </c>
      <c r="H34" s="26"/>
      <c r="I34" s="18" t="n">
        <f aca="false">IF(N($H34)&gt;0,$H34,IF(N($G34)&gt;0,$E34*$G34*MM_PARA_M3_HA/HORAS_OPERACAO_DIA,0))</f>
        <v>710.571428571429</v>
      </c>
      <c r="J34" s="8" t="str">
        <f aca="false">IF(N($H34)&gt;0,"Cadastro do usuario","Calculada: Area x Lamina nominal x 10 / 21 h")</f>
        <v>Calculada: Area x Lamina nominal x 10 / 21 h</v>
      </c>
      <c r="K34" s="19" t="n">
        <f aca="false">EFICIENCIA_PADRAO</f>
        <v>0.85</v>
      </c>
      <c r="L34" s="16" t="n">
        <f aca="false">HORAS_OPERACAO_DIA</f>
        <v>21</v>
      </c>
      <c r="M34" s="16" t="n">
        <f aca="false">HORAS_OPERACAO_SEMANA</f>
        <v>147</v>
      </c>
      <c r="N34" s="8" t="str">
        <f aca="false">IF(N($I34)&lt;=0,"DADO PENDENTE","ATIVO")</f>
        <v>ATIVO</v>
      </c>
      <c r="O34" s="8" t="s">
        <v>348</v>
      </c>
    </row>
    <row r="35" customFormat="false" ht="15" hidden="false" customHeight="false" outlineLevel="0" collapsed="false">
      <c r="B35" s="15" t="s">
        <v>288</v>
      </c>
      <c r="C35" s="8" t="s">
        <v>134</v>
      </c>
      <c r="D35" s="25" t="str">
        <f aca="false">IFERROR(INDEX(CADASTRO_CASAS_BOMBA!$C$6:$C$13,MATCH($C35,CADASTRO_CASAS_BOMBA!$B$6:$B$13,0)),"PENDENTE")</f>
        <v>TR07</v>
      </c>
      <c r="E35" s="20" t="n">
        <v>139.94</v>
      </c>
      <c r="F35" s="20"/>
      <c r="G35" s="26" t="n">
        <v>14</v>
      </c>
      <c r="H35" s="26"/>
      <c r="I35" s="18" t="n">
        <f aca="false">IF(N($H35)&gt;0,$H35,IF(N($G35)&gt;0,$E35*$G35*MM_PARA_M3_HA/HORAS_OPERACAO_DIA,0))</f>
        <v>932.933333333333</v>
      </c>
      <c r="J35" s="8" t="str">
        <f aca="false">IF(N($H35)&gt;0,"Cadastro do usuario","Calculada: Area x Lamina nominal x 10 / 21 h")</f>
        <v>Calculada: Area x Lamina nominal x 10 / 21 h</v>
      </c>
      <c r="K35" s="19" t="n">
        <f aca="false">EFICIENCIA_PADRAO</f>
        <v>0.85</v>
      </c>
      <c r="L35" s="16" t="n">
        <f aca="false">HORAS_OPERACAO_DIA</f>
        <v>21</v>
      </c>
      <c r="M35" s="16" t="n">
        <f aca="false">HORAS_OPERACAO_SEMANA</f>
        <v>147</v>
      </c>
      <c r="N35" s="8" t="str">
        <f aca="false">IF(N($I35)&lt;=0,"DADO PENDENTE","ATIVO")</f>
        <v>ATIVO</v>
      </c>
      <c r="O35" s="8" t="s">
        <v>350</v>
      </c>
    </row>
    <row r="36" customFormat="false" ht="15" hidden="false" customHeight="false" outlineLevel="0" collapsed="false">
      <c r="B36" s="15" t="s">
        <v>289</v>
      </c>
      <c r="C36" s="8" t="s">
        <v>134</v>
      </c>
      <c r="D36" s="25" t="str">
        <f aca="false">IFERROR(INDEX(CADASTRO_CASAS_BOMBA!$C$6:$C$13,MATCH($C36,CADASTRO_CASAS_BOMBA!$B$6:$B$13,0)),"PENDENTE")</f>
        <v>TR07</v>
      </c>
      <c r="E36" s="20" t="n">
        <v>99.48</v>
      </c>
      <c r="F36" s="20"/>
      <c r="G36" s="26" t="n">
        <v>15</v>
      </c>
      <c r="H36" s="26"/>
      <c r="I36" s="18" t="n">
        <f aca="false">IF(N($H36)&gt;0,$H36,IF(N($G36)&gt;0,$E36*$G36*MM_PARA_M3_HA/HORAS_OPERACAO_DIA,0))</f>
        <v>710.571428571429</v>
      </c>
      <c r="J36" s="8" t="str">
        <f aca="false">IF(N($H36)&gt;0,"Cadastro do usuario","Calculada: Area x Lamina nominal x 10 / 21 h")</f>
        <v>Calculada: Area x Lamina nominal x 10 / 21 h</v>
      </c>
      <c r="K36" s="19" t="n">
        <f aca="false">EFICIENCIA_PADRAO</f>
        <v>0.85</v>
      </c>
      <c r="L36" s="16" t="n">
        <f aca="false">HORAS_OPERACAO_DIA</f>
        <v>21</v>
      </c>
      <c r="M36" s="16" t="n">
        <f aca="false">HORAS_OPERACAO_SEMANA</f>
        <v>147</v>
      </c>
      <c r="N36" s="8" t="str">
        <f aca="false">IF(N($I36)&lt;=0,"DADO PENDENTE","ATIVO")</f>
        <v>ATIVO</v>
      </c>
      <c r="O36" s="8" t="s">
        <v>351</v>
      </c>
    </row>
    <row r="37" customFormat="false" ht="15" hidden="false" customHeight="false" outlineLevel="0" collapsed="false">
      <c r="B37" s="15" t="s">
        <v>290</v>
      </c>
      <c r="C37" s="8" t="s">
        <v>134</v>
      </c>
      <c r="D37" s="25" t="str">
        <f aca="false">IFERROR(INDEX(CADASTRO_CASAS_BOMBA!$C$6:$C$13,MATCH($C37,CADASTRO_CASAS_BOMBA!$B$6:$B$13,0)),"PENDENTE")</f>
        <v>TR07</v>
      </c>
      <c r="E37" s="20" t="n">
        <v>99.48</v>
      </c>
      <c r="F37" s="20"/>
      <c r="G37" s="26" t="n">
        <v>15</v>
      </c>
      <c r="H37" s="26"/>
      <c r="I37" s="18" t="n">
        <f aca="false">IF(N($H37)&gt;0,$H37,IF(N($G37)&gt;0,$E37*$G37*MM_PARA_M3_HA/HORAS_OPERACAO_DIA,0))</f>
        <v>710.571428571429</v>
      </c>
      <c r="J37" s="8" t="str">
        <f aca="false">IF(N($H37)&gt;0,"Cadastro do usuario","Calculada: Area x Lamina nominal x 10 / 21 h")</f>
        <v>Calculada: Area x Lamina nominal x 10 / 21 h</v>
      </c>
      <c r="K37" s="19" t="n">
        <f aca="false">EFICIENCIA_PADRAO</f>
        <v>0.85</v>
      </c>
      <c r="L37" s="16" t="n">
        <f aca="false">HORAS_OPERACAO_DIA</f>
        <v>21</v>
      </c>
      <c r="M37" s="16" t="n">
        <f aca="false">HORAS_OPERACAO_SEMANA</f>
        <v>147</v>
      </c>
      <c r="N37" s="8" t="str">
        <f aca="false">IF(N($I37)&lt;=0,"DADO PENDENTE","ATIVO")</f>
        <v>ATIVO</v>
      </c>
      <c r="O37" s="8" t="s">
        <v>352</v>
      </c>
    </row>
    <row r="38" customFormat="false" ht="15" hidden="false" customHeight="false" outlineLevel="0" collapsed="false">
      <c r="B38" s="15" t="s">
        <v>291</v>
      </c>
      <c r="C38" s="8" t="s">
        <v>135</v>
      </c>
      <c r="D38" s="25" t="str">
        <f aca="false">IFERROR(INDEX(CADASTRO_CASAS_BOMBA!$C$6:$C$13,MATCH($C38,CADASTRO_CASAS_BOMBA!$B$6:$B$13,0)),"PENDENTE")</f>
        <v>TR08</v>
      </c>
      <c r="E38" s="20" t="n">
        <v>79</v>
      </c>
      <c r="F38" s="20"/>
      <c r="G38" s="26" t="n">
        <v>14</v>
      </c>
      <c r="H38" s="26"/>
      <c r="I38" s="18" t="n">
        <f aca="false">IF(N($H38)&gt;0,$H38,IF(N($G38)&gt;0,$E38*$G38*MM_PARA_M3_HA/HORAS_OPERACAO_DIA,0))</f>
        <v>526.666666666667</v>
      </c>
      <c r="J38" s="8" t="str">
        <f aca="false">IF(N($H38)&gt;0,"Cadastro do usuario","Calculada: Area x Lamina nominal x 10 / 21 h")</f>
        <v>Calculada: Area x Lamina nominal x 10 / 21 h</v>
      </c>
      <c r="K38" s="19" t="n">
        <f aca="false">EFICIENCIA_PADRAO</f>
        <v>0.85</v>
      </c>
      <c r="L38" s="16" t="n">
        <f aca="false">HORAS_OPERACAO_DIA</f>
        <v>21</v>
      </c>
      <c r="M38" s="16" t="n">
        <f aca="false">HORAS_OPERACAO_SEMANA</f>
        <v>147</v>
      </c>
      <c r="N38" s="8" t="str">
        <f aca="false">IF(N($I38)&lt;=0,"DADO PENDENTE","ATIVO")</f>
        <v>ATIVO</v>
      </c>
      <c r="O38" s="8" t="s">
        <v>346</v>
      </c>
    </row>
    <row r="39" customFormat="false" ht="15" hidden="false" customHeight="false" outlineLevel="0" collapsed="false">
      <c r="B39" s="15" t="s">
        <v>292</v>
      </c>
      <c r="C39" s="8" t="s">
        <v>135</v>
      </c>
      <c r="D39" s="25" t="str">
        <f aca="false">IFERROR(INDEX(CADASTRO_CASAS_BOMBA!$C$6:$C$13,MATCH($C39,CADASTRO_CASAS_BOMBA!$B$6:$B$13,0)),"PENDENTE")</f>
        <v>TR08</v>
      </c>
      <c r="E39" s="20" t="n">
        <v>64</v>
      </c>
      <c r="F39" s="20"/>
      <c r="G39" s="26" t="n">
        <v>15</v>
      </c>
      <c r="H39" s="26"/>
      <c r="I39" s="18" t="n">
        <f aca="false">IF(N($H39)&gt;0,$H39,IF(N($G39)&gt;0,$E39*$G39*MM_PARA_M3_HA/HORAS_OPERACAO_DIA,0))</f>
        <v>457.142857142857</v>
      </c>
      <c r="J39" s="8" t="str">
        <f aca="false">IF(N($H39)&gt;0,"Cadastro do usuario","Calculada: Area x Lamina nominal x 10 / 21 h")</f>
        <v>Calculada: Area x Lamina nominal x 10 / 21 h</v>
      </c>
      <c r="K39" s="19" t="n">
        <f aca="false">EFICIENCIA_PADRAO</f>
        <v>0.85</v>
      </c>
      <c r="L39" s="16" t="n">
        <f aca="false">HORAS_OPERACAO_DIA</f>
        <v>21</v>
      </c>
      <c r="M39" s="16" t="n">
        <f aca="false">HORAS_OPERACAO_SEMANA</f>
        <v>147</v>
      </c>
      <c r="N39" s="8" t="str">
        <f aca="false">IF(N($I39)&lt;=0,"DADO PENDENTE","ATIVO")</f>
        <v>ATIVO</v>
      </c>
      <c r="O39" s="8" t="s">
        <v>347</v>
      </c>
    </row>
    <row r="40" customFormat="false" ht="15" hidden="false" customHeight="false" outlineLevel="0" collapsed="false">
      <c r="B40" s="15" t="s">
        <v>293</v>
      </c>
      <c r="C40" s="8" t="s">
        <v>135</v>
      </c>
      <c r="D40" s="25" t="str">
        <f aca="false">IFERROR(INDEX(CADASTRO_CASAS_BOMBA!$C$6:$C$13,MATCH($C40,CADASTRO_CASAS_BOMBA!$B$6:$B$13,0)),"PENDENTE")</f>
        <v>TR08</v>
      </c>
      <c r="E40" s="20" t="n">
        <v>86</v>
      </c>
      <c r="F40" s="20"/>
      <c r="G40" s="26" t="n">
        <v>15</v>
      </c>
      <c r="H40" s="26"/>
      <c r="I40" s="18" t="n">
        <f aca="false">IF(N($H40)&gt;0,$H40,IF(N($G40)&gt;0,$E40*$G40*MM_PARA_M3_HA/HORAS_OPERACAO_DIA,0))</f>
        <v>614.285714285714</v>
      </c>
      <c r="J40" s="8" t="str">
        <f aca="false">IF(N($H40)&gt;0,"Cadastro do usuario","Calculada: Area x Lamina nominal x 10 / 21 h")</f>
        <v>Calculada: Area x Lamina nominal x 10 / 21 h</v>
      </c>
      <c r="K40" s="19" t="n">
        <f aca="false">EFICIENCIA_PADRAO</f>
        <v>0.85</v>
      </c>
      <c r="L40" s="16" t="n">
        <f aca="false">HORAS_OPERACAO_DIA</f>
        <v>21</v>
      </c>
      <c r="M40" s="16" t="n">
        <f aca="false">HORAS_OPERACAO_SEMANA</f>
        <v>147</v>
      </c>
      <c r="N40" s="8" t="str">
        <f aca="false">IF(N($I40)&lt;=0,"DADO PENDENTE","ATIVO")</f>
        <v>ATIVO</v>
      </c>
      <c r="O40" s="8" t="s">
        <v>348</v>
      </c>
    </row>
    <row r="41" customFormat="false" ht="15" hidden="false" customHeight="false" outlineLevel="0" collapsed="false">
      <c r="B41" s="15" t="s">
        <v>294</v>
      </c>
      <c r="C41" s="8" t="s">
        <v>135</v>
      </c>
      <c r="D41" s="25" t="str">
        <f aca="false">IFERROR(INDEX(CADASTRO_CASAS_BOMBA!$C$6:$C$13,MATCH($C41,CADASTRO_CASAS_BOMBA!$B$6:$B$13,0)),"PENDENTE")</f>
        <v>TR08</v>
      </c>
      <c r="E41" s="20" t="n">
        <v>150</v>
      </c>
      <c r="F41" s="20"/>
      <c r="G41" s="26" t="n">
        <v>15</v>
      </c>
      <c r="H41" s="26"/>
      <c r="I41" s="18" t="n">
        <f aca="false">IF(N($H41)&gt;0,$H41,IF(N($G41)&gt;0,$E41*$G41*MM_PARA_M3_HA/HORAS_OPERACAO_DIA,0))</f>
        <v>1071.42857142857</v>
      </c>
      <c r="J41" s="8" t="str">
        <f aca="false">IF(N($H41)&gt;0,"Cadastro do usuario","Calculada: Area x Lamina nominal x 10 / 21 h")</f>
        <v>Calculada: Area x Lamina nominal x 10 / 21 h</v>
      </c>
      <c r="K41" s="19" t="n">
        <f aca="false">EFICIENCIA_PADRAO</f>
        <v>0.85</v>
      </c>
      <c r="L41" s="16" t="n">
        <f aca="false">HORAS_OPERACAO_DIA</f>
        <v>21</v>
      </c>
      <c r="M41" s="16" t="n">
        <f aca="false">HORAS_OPERACAO_SEMANA</f>
        <v>147</v>
      </c>
      <c r="N41" s="8" t="str">
        <f aca="false">IF(N($I41)&lt;=0,"DADO PENDENTE","ATIVO")</f>
        <v>ATIVO</v>
      </c>
      <c r="O41" s="8" t="s">
        <v>349</v>
      </c>
    </row>
    <row r="43" customFormat="false" ht="30" hidden="false" customHeight="true" outlineLevel="0" collapsed="false">
      <c r="B43" s="5" t="s">
        <v>353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</sheetData>
  <mergeCells count="3">
    <mergeCell ref="B2:P2"/>
    <mergeCell ref="B3:P3"/>
    <mergeCell ref="B43:O43"/>
  </mergeCells>
  <conditionalFormatting sqref="N6:N41">
    <cfRule type="cellIs" priority="2" operator="equal" aboveAverage="0" equalAverage="0" bottom="0" percent="0" rank="0" text="" dxfId="0">
      <formula>"DADO PENDENTE"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5" min="14" style="0" width="15"/>
    <col collapsed="false" customWidth="true" hidden="false" outlineLevel="0" max="16" min="16" style="0" width="44"/>
  </cols>
  <sheetData>
    <row r="2" customFormat="false" ht="30" hidden="false" customHeight="true" outlineLevel="0" collapsed="false">
      <c r="B2" s="1" t="s">
        <v>354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5.5" hidden="false" customHeight="true" outlineLevel="0" collapsed="false">
      <c r="B3" s="2" t="s">
        <v>355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customFormat="false" ht="30" hidden="false" customHeight="true" outlineLevel="0" collapsed="false">
      <c r="B5" s="14" t="s">
        <v>68</v>
      </c>
      <c r="C5" s="14" t="s">
        <v>244</v>
      </c>
      <c r="D5" s="14" t="s">
        <v>356</v>
      </c>
      <c r="E5" s="14" t="s">
        <v>357</v>
      </c>
      <c r="F5" s="14" t="s">
        <v>358</v>
      </c>
      <c r="G5" s="14" t="s">
        <v>359</v>
      </c>
      <c r="H5" s="14" t="s">
        <v>360</v>
      </c>
      <c r="I5" s="14" t="s">
        <v>361</v>
      </c>
      <c r="J5" s="14" t="s">
        <v>362</v>
      </c>
      <c r="K5" s="14" t="s">
        <v>363</v>
      </c>
      <c r="L5" s="14" t="s">
        <v>364</v>
      </c>
      <c r="M5" s="14" t="s">
        <v>365</v>
      </c>
      <c r="N5" s="14" t="s">
        <v>366</v>
      </c>
      <c r="O5" s="14" t="s">
        <v>367</v>
      </c>
      <c r="P5" s="14" t="s">
        <v>329</v>
      </c>
    </row>
    <row r="6" customFormat="false" ht="15" hidden="false" customHeight="false" outlineLevel="0" collapsed="false">
      <c r="B6" s="15" t="s">
        <v>128</v>
      </c>
      <c r="C6" s="21" t="s">
        <v>171</v>
      </c>
      <c r="D6" s="8" t="s">
        <v>259</v>
      </c>
      <c r="E6" s="20" t="n">
        <f aca="false">SUMIF(CADASTRO_PIVOS!$C$6:$C$41,$B6,CADASTRO_PIVOS!$E$6:$E$41)</f>
        <v>98.31</v>
      </c>
      <c r="F6" s="18" t="n">
        <f aca="false">SUMIF(CADASTRO_PIVOS!$C$6:$C$41,$B6,CADASTRO_PIVOS!$I$6:$I$41)</f>
        <v>702.214285714286</v>
      </c>
      <c r="G6" s="26"/>
      <c r="H6" s="18" t="n">
        <f aca="false">IF(N($G6)&gt;0,$G6,$F6)</f>
        <v>702.214285714286</v>
      </c>
      <c r="I6" s="18" t="n">
        <v>583.3</v>
      </c>
      <c r="J6" s="16" t="n">
        <v>10500</v>
      </c>
      <c r="K6" s="16" t="n">
        <f aca="false">HORAS_OPERACAO_DIA</f>
        <v>21</v>
      </c>
      <c r="L6" s="16" t="n">
        <f aca="false">HORAS_OPERACAO_SEMANA</f>
        <v>147</v>
      </c>
      <c r="M6" s="16" t="n">
        <f aca="false">$H6*$K6</f>
        <v>14746.5</v>
      </c>
      <c r="N6" s="16" t="n">
        <f aca="false">$H6*$L6</f>
        <v>103225.5</v>
      </c>
      <c r="O6" s="16" t="n">
        <v>2600</v>
      </c>
      <c r="P6" s="8" t="s">
        <v>368</v>
      </c>
    </row>
    <row r="7" customFormat="false" ht="15" hidden="false" customHeight="false" outlineLevel="0" collapsed="false">
      <c r="B7" s="15" t="s">
        <v>129</v>
      </c>
      <c r="C7" s="21" t="s">
        <v>172</v>
      </c>
      <c r="D7" s="8" t="s">
        <v>369</v>
      </c>
      <c r="E7" s="20" t="n">
        <f aca="false">SUMIF(CADASTRO_PIVOS!$C$6:$C$41,$B7,CADASTRO_PIVOS!$E$6:$E$41)</f>
        <v>200.65</v>
      </c>
      <c r="F7" s="18" t="n">
        <f aca="false">SUMIF(CADASTRO_PIVOS!$C$6:$C$41,$B7,CADASTRO_PIVOS!$I$6:$I$41)</f>
        <v>1433.21428571429</v>
      </c>
      <c r="G7" s="26"/>
      <c r="H7" s="18" t="n">
        <f aca="false">IF(N($G7)&gt;0,$G7,$F7)</f>
        <v>1433.21428571429</v>
      </c>
      <c r="I7" s="18" t="n">
        <v>583.3</v>
      </c>
      <c r="J7" s="16" t="n">
        <v>10500</v>
      </c>
      <c r="K7" s="16" t="n">
        <f aca="false">HORAS_OPERACAO_DIA</f>
        <v>21</v>
      </c>
      <c r="L7" s="16" t="n">
        <f aca="false">HORAS_OPERACAO_SEMANA</f>
        <v>147</v>
      </c>
      <c r="M7" s="16" t="n">
        <f aca="false">$H7*$K7</f>
        <v>30097.5</v>
      </c>
      <c r="N7" s="16" t="n">
        <f aca="false">$H7*$L7</f>
        <v>210682.5</v>
      </c>
      <c r="O7" s="16" t="n">
        <v>76648</v>
      </c>
      <c r="P7" s="8" t="s">
        <v>368</v>
      </c>
    </row>
    <row r="8" customFormat="false" ht="15" hidden="false" customHeight="false" outlineLevel="0" collapsed="false">
      <c r="B8" s="15" t="s">
        <v>130</v>
      </c>
      <c r="C8" s="21" t="s">
        <v>173</v>
      </c>
      <c r="D8" s="8" t="s">
        <v>370</v>
      </c>
      <c r="E8" s="20" t="n">
        <f aca="false">SUMIF(CADASTRO_PIVOS!$C$6:$C$41,$B8,CADASTRO_PIVOS!$E$6:$E$41)</f>
        <v>197.78</v>
      </c>
      <c r="F8" s="18" t="n">
        <f aca="false">SUMIF(CADASTRO_PIVOS!$C$6:$C$41,$B8,CADASTRO_PIVOS!$I$6:$I$41)</f>
        <v>1412.71428571429</v>
      </c>
      <c r="G8" s="26"/>
      <c r="H8" s="18" t="n">
        <f aca="false">IF(N($G8)&gt;0,$G8,$F8)</f>
        <v>1412.71428571429</v>
      </c>
      <c r="I8" s="18" t="n">
        <v>583.3</v>
      </c>
      <c r="J8" s="16" t="n">
        <v>10500</v>
      </c>
      <c r="K8" s="16" t="n">
        <f aca="false">HORAS_OPERACAO_DIA</f>
        <v>21</v>
      </c>
      <c r="L8" s="16" t="n">
        <f aca="false">HORAS_OPERACAO_SEMANA</f>
        <v>147</v>
      </c>
      <c r="M8" s="16" t="n">
        <f aca="false">$H8*$K8</f>
        <v>29667</v>
      </c>
      <c r="N8" s="16" t="n">
        <f aca="false">$H8*$L8</f>
        <v>207669</v>
      </c>
      <c r="O8" s="16" t="n">
        <v>27377</v>
      </c>
      <c r="P8" s="8" t="s">
        <v>368</v>
      </c>
    </row>
    <row r="9" customFormat="false" ht="15" hidden="false" customHeight="false" outlineLevel="0" collapsed="false">
      <c r="B9" s="15" t="s">
        <v>131</v>
      </c>
      <c r="C9" s="21" t="s">
        <v>174</v>
      </c>
      <c r="D9" s="8" t="s">
        <v>371</v>
      </c>
      <c r="E9" s="20" t="n">
        <f aca="false">SUMIF(CADASTRO_PIVOS!$C$6:$C$41,$B9,CADASTRO_PIVOS!$E$6:$E$41)</f>
        <v>539.4</v>
      </c>
      <c r="F9" s="18" t="n">
        <f aca="false">SUMIF(CADASTRO_PIVOS!$C$6:$C$41,$B9,CADASTRO_PIVOS!$I$6:$I$41)</f>
        <v>3852.85714285714</v>
      </c>
      <c r="G9" s="26"/>
      <c r="H9" s="18" t="n">
        <f aca="false">IF(N($G9)&gt;0,$G9,$F9)</f>
        <v>3852.85714285714</v>
      </c>
      <c r="I9" s="18" t="n">
        <v>1201.7</v>
      </c>
      <c r="J9" s="16" t="n">
        <v>21630</v>
      </c>
      <c r="K9" s="16" t="n">
        <f aca="false">HORAS_OPERACAO_DIA</f>
        <v>21</v>
      </c>
      <c r="L9" s="16" t="n">
        <f aca="false">HORAS_OPERACAO_SEMANA</f>
        <v>147</v>
      </c>
      <c r="M9" s="16" t="n">
        <f aca="false">$H9*$K9</f>
        <v>80910</v>
      </c>
      <c r="N9" s="16" t="n">
        <f aca="false">$H9*$L9</f>
        <v>566370</v>
      </c>
      <c r="O9" s="16" t="n">
        <v>129000</v>
      </c>
      <c r="P9" s="8" t="s">
        <v>368</v>
      </c>
    </row>
    <row r="10" customFormat="false" ht="15" hidden="false" customHeight="false" outlineLevel="0" collapsed="false">
      <c r="B10" s="15" t="s">
        <v>132</v>
      </c>
      <c r="C10" s="21" t="s">
        <v>175</v>
      </c>
      <c r="D10" s="8" t="s">
        <v>372</v>
      </c>
      <c r="E10" s="20" t="n">
        <f aca="false">SUMIF(CADASTRO_PIVOS!$C$6:$C$41,$B10,CADASTRO_PIVOS!$E$6:$E$41)</f>
        <v>769.8</v>
      </c>
      <c r="F10" s="18" t="n">
        <f aca="false">SUMIF(CADASTRO_PIVOS!$C$6:$C$41,$B10,CADASTRO_PIVOS!$I$6:$I$41)</f>
        <v>5212.93333333333</v>
      </c>
      <c r="G10" s="26"/>
      <c r="H10" s="18" t="n">
        <f aca="false">IF(N($G10)&gt;0,$G10,$F10)</f>
        <v>5212.93333333333</v>
      </c>
      <c r="I10" s="18" t="n">
        <v>726.8</v>
      </c>
      <c r="J10" s="16" t="n">
        <v>13083</v>
      </c>
      <c r="K10" s="16" t="n">
        <f aca="false">HORAS_OPERACAO_DIA</f>
        <v>21</v>
      </c>
      <c r="L10" s="16" t="n">
        <f aca="false">HORAS_OPERACAO_SEMANA</f>
        <v>147</v>
      </c>
      <c r="M10" s="16" t="n">
        <f aca="false">$H10*$K10</f>
        <v>109471.6</v>
      </c>
      <c r="N10" s="16" t="n">
        <f aca="false">$H10*$L10</f>
        <v>766301.2</v>
      </c>
      <c r="O10" s="16" t="n">
        <v>1000000</v>
      </c>
      <c r="P10" s="8" t="s">
        <v>368</v>
      </c>
    </row>
    <row r="11" customFormat="false" ht="15" hidden="false" customHeight="false" outlineLevel="0" collapsed="false">
      <c r="B11" s="15" t="s">
        <v>133</v>
      </c>
      <c r="C11" s="21" t="s">
        <v>176</v>
      </c>
      <c r="D11" s="8" t="s">
        <v>373</v>
      </c>
      <c r="E11" s="20" t="n">
        <f aca="false">SUMIF(CADASTRO_PIVOS!$C$6:$C$41,$B11,CADASTRO_PIVOS!$E$6:$E$41)</f>
        <v>985.28</v>
      </c>
      <c r="F11" s="18" t="n">
        <f aca="false">SUMIF(CADASTRO_PIVOS!$C$6:$C$41,$B11,CADASTRO_PIVOS!$I$6:$I$41)</f>
        <v>6831.56190476191</v>
      </c>
      <c r="G11" s="26"/>
      <c r="H11" s="18" t="n">
        <f aca="false">IF(N($G11)&gt;0,$G11,$F11)</f>
        <v>6831.56190476191</v>
      </c>
      <c r="I11" s="18" t="n">
        <v>1190</v>
      </c>
      <c r="J11" s="16" t="n">
        <v>21420</v>
      </c>
      <c r="K11" s="16" t="n">
        <f aca="false">HORAS_OPERACAO_DIA</f>
        <v>21</v>
      </c>
      <c r="L11" s="16" t="n">
        <f aca="false">HORAS_OPERACAO_SEMANA</f>
        <v>147</v>
      </c>
      <c r="M11" s="16" t="n">
        <f aca="false">$H11*$K11</f>
        <v>143462.8</v>
      </c>
      <c r="N11" s="16" t="n">
        <f aca="false">$H11*$L11</f>
        <v>1004239.6</v>
      </c>
      <c r="O11" s="16" t="n">
        <v>469821</v>
      </c>
      <c r="P11" s="8" t="s">
        <v>368</v>
      </c>
    </row>
    <row r="12" customFormat="false" ht="15" hidden="false" customHeight="false" outlineLevel="0" collapsed="false">
      <c r="B12" s="15" t="s">
        <v>134</v>
      </c>
      <c r="C12" s="21" t="s">
        <v>177</v>
      </c>
      <c r="D12" s="8" t="s">
        <v>374</v>
      </c>
      <c r="E12" s="20" t="n">
        <f aca="false">SUMIF(CADASTRO_PIVOS!$C$6:$C$41,$B12,CADASTRO_PIVOS!$E$6:$E$41)</f>
        <v>1180.86</v>
      </c>
      <c r="F12" s="18" t="n">
        <f aca="false">SUMIF(CADASTRO_PIVOS!$C$6:$C$41,$B12,CADASTRO_PIVOS!$I$6:$I$41)</f>
        <v>8298.70952380952</v>
      </c>
      <c r="G12" s="26"/>
      <c r="H12" s="18" t="n">
        <f aca="false">IF(N($G12)&gt;0,$G12,$F12)</f>
        <v>8298.70952380952</v>
      </c>
      <c r="I12" s="18" t="n">
        <v>1410</v>
      </c>
      <c r="J12" s="16" t="n">
        <v>25380</v>
      </c>
      <c r="K12" s="16" t="n">
        <f aca="false">HORAS_OPERACAO_DIA</f>
        <v>21</v>
      </c>
      <c r="L12" s="16" t="n">
        <f aca="false">HORAS_OPERACAO_SEMANA</f>
        <v>147</v>
      </c>
      <c r="M12" s="16" t="n">
        <f aca="false">$H12*$K12</f>
        <v>174272.9</v>
      </c>
      <c r="N12" s="16" t="n">
        <f aca="false">$H12*$L12</f>
        <v>1219910.3</v>
      </c>
      <c r="O12" s="16" t="n">
        <v>440000</v>
      </c>
      <c r="P12" s="8" t="s">
        <v>368</v>
      </c>
    </row>
    <row r="13" customFormat="false" ht="15" hidden="false" customHeight="false" outlineLevel="0" collapsed="false">
      <c r="B13" s="15" t="s">
        <v>135</v>
      </c>
      <c r="C13" s="21" t="s">
        <v>178</v>
      </c>
      <c r="D13" s="8" t="s">
        <v>375</v>
      </c>
      <c r="E13" s="20" t="n">
        <f aca="false">SUMIF(CADASTRO_PIVOS!$C$6:$C$41,$B13,CADASTRO_PIVOS!$E$6:$E$41)</f>
        <v>379</v>
      </c>
      <c r="F13" s="18" t="n">
        <f aca="false">SUMIF(CADASTRO_PIVOS!$C$6:$C$41,$B13,CADASTRO_PIVOS!$I$6:$I$41)</f>
        <v>2669.52380952381</v>
      </c>
      <c r="G13" s="26"/>
      <c r="H13" s="18" t="n">
        <f aca="false">IF(N($G13)&gt;0,$G13,$F13)</f>
        <v>2669.52380952381</v>
      </c>
      <c r="I13" s="18" t="n">
        <v>0</v>
      </c>
      <c r="J13" s="16" t="n">
        <v>0</v>
      </c>
      <c r="K13" s="16" t="n">
        <f aca="false">HORAS_OPERACAO_DIA</f>
        <v>21</v>
      </c>
      <c r="L13" s="16" t="n">
        <f aca="false">HORAS_OPERACAO_SEMANA</f>
        <v>147</v>
      </c>
      <c r="M13" s="16" t="n">
        <f aca="false">$H13*$K13</f>
        <v>56060</v>
      </c>
      <c r="N13" s="16" t="n">
        <f aca="false">$H13*$L13</f>
        <v>392420</v>
      </c>
      <c r="O13" s="16" t="n">
        <v>74903</v>
      </c>
      <c r="P13" s="8" t="s">
        <v>376</v>
      </c>
    </row>
    <row r="15" customFormat="false" ht="30" hidden="false" customHeight="true" outlineLevel="0" collapsed="false">
      <c r="B15" s="5" t="s">
        <v>377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</sheetData>
  <mergeCells count="3">
    <mergeCell ref="B2:R2"/>
    <mergeCell ref="B3:R3"/>
    <mergeCell ref="B15:P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7" min="6" style="0" width="13"/>
    <col collapsed="false" customWidth="true" hidden="false" outlineLevel="0" max="8" min="8" style="0" width="30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52"/>
  </cols>
  <sheetData>
    <row r="2" customFormat="false" ht="30" hidden="false" customHeight="true" outlineLevel="0" collapsed="false">
      <c r="B2" s="1" t="s">
        <v>378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5.5" hidden="false" customHeight="true" outlineLevel="0" collapsed="false">
      <c r="B3" s="2" t="s">
        <v>379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30" hidden="false" customHeight="true" outlineLevel="0" collapsed="false">
      <c r="B5" s="14" t="s">
        <v>380</v>
      </c>
      <c r="C5" s="14" t="s">
        <v>381</v>
      </c>
      <c r="D5" s="14" t="s">
        <v>382</v>
      </c>
      <c r="E5" s="14" t="s">
        <v>383</v>
      </c>
      <c r="F5" s="14" t="s">
        <v>384</v>
      </c>
      <c r="G5" s="14" t="s">
        <v>385</v>
      </c>
      <c r="H5" s="14" t="s">
        <v>386</v>
      </c>
      <c r="I5" s="14" t="s">
        <v>387</v>
      </c>
      <c r="J5" s="14" t="s">
        <v>388</v>
      </c>
      <c r="K5" s="14" t="s">
        <v>389</v>
      </c>
      <c r="L5" s="14" t="s">
        <v>390</v>
      </c>
      <c r="M5" s="14" t="s">
        <v>391</v>
      </c>
      <c r="N5" s="14" t="s">
        <v>329</v>
      </c>
    </row>
    <row r="6" customFormat="false" ht="15" hidden="false" customHeight="false" outlineLevel="0" collapsed="false">
      <c r="B6" s="15" t="s">
        <v>171</v>
      </c>
      <c r="C6" s="21" t="s">
        <v>392</v>
      </c>
      <c r="D6" s="21"/>
      <c r="E6" s="21"/>
      <c r="F6" s="21"/>
      <c r="G6" s="21"/>
      <c r="H6" s="25" t="str">
        <f aca="false">_xlfn.TEXTJOIN(", ",TRUE(),IF(C18=1,C$17,""),IF(D18=1,D$17,""),IF(E18=1,E$17,""),IF(F18=1,F$17,""),IF(G18=1,G$17,""),IF(H18=1,H$17,""),IF(I18=1,I$17,""),IF(J18=1,J$17,""))</f>
        <v>RM01</v>
      </c>
      <c r="I6" s="26"/>
      <c r="J6" s="26"/>
      <c r="K6" s="18" t="n">
        <f aca="false">IF(N($J6)&gt;0,$J6,IF(N($I6)&gt;0,$I6,$C$18*CADASTRO_CASAS_BOMBA!$H$6+$D$18*CADASTRO_CASAS_BOMBA!$H$7+$E$18*CADASTRO_CASAS_BOMBA!$H$8+$F$18*CADASTRO_CASAS_BOMBA!$H$9+$G$18*CADASTRO_CASAS_BOMBA!$H$10+$H$18*CADASTRO_CASAS_BOMBA!$H$11+$I$18*CADASTRO_CASAS_BOMBA!$H$12+$J$18*CADASTRO_CASAS_BOMBA!$H$13))</f>
        <v>702.214285714286</v>
      </c>
      <c r="L6" s="16" t="n">
        <f aca="false">$K6*HORAS_OPERACAO_DIA</f>
        <v>14746.5</v>
      </c>
      <c r="M6" s="16"/>
      <c r="N6" s="8" t="str">
        <f aca="false">IF(N($J6)&gt;0,"Capacidade operacional cadastrada.","DADO PENDENTE: sem capacidade de canal cadastrada; o trecho assume a soma das casas atendidas (utilizacao 100% e deficit zero por construcao).")</f>
        <v>DADO PENDENTE: sem capacidade de canal cadastrada; o trecho assume a soma das casas atendidas (utilizacao 100% e deficit zero por construcao).</v>
      </c>
    </row>
    <row r="7" customFormat="false" ht="15" hidden="false" customHeight="false" outlineLevel="0" collapsed="false">
      <c r="B7" s="15" t="s">
        <v>172</v>
      </c>
      <c r="C7" s="21" t="s">
        <v>393</v>
      </c>
      <c r="D7" s="21"/>
      <c r="E7" s="21"/>
      <c r="F7" s="21"/>
      <c r="G7" s="21"/>
      <c r="H7" s="25" t="str">
        <f aca="false">_xlfn.TEXTJOIN(", ",TRUE(),IF(C19=1,C$17,""),IF(D19=1,D$17,""),IF(E19=1,E$17,""),IF(F19=1,F$17,""),IF(G19=1,G$17,""),IF(H19=1,H$17,""),IF(I19=1,I$17,""),IF(J19=1,J$17,""))</f>
        <v>RM02</v>
      </c>
      <c r="I7" s="26"/>
      <c r="J7" s="26"/>
      <c r="K7" s="18" t="n">
        <f aca="false">IF(N($J7)&gt;0,$J7,IF(N($I7)&gt;0,$I7,$C$19*CADASTRO_CASAS_BOMBA!$H$6+$D$19*CADASTRO_CASAS_BOMBA!$H$7+$E$19*CADASTRO_CASAS_BOMBA!$H$8+$F$19*CADASTRO_CASAS_BOMBA!$H$9+$G$19*CADASTRO_CASAS_BOMBA!$H$10+$H$19*CADASTRO_CASAS_BOMBA!$H$11+$I$19*CADASTRO_CASAS_BOMBA!$H$12+$J$19*CADASTRO_CASAS_BOMBA!$H$13))</f>
        <v>1433.21428571429</v>
      </c>
      <c r="L7" s="16" t="n">
        <f aca="false">$K7*HORAS_OPERACAO_DIA</f>
        <v>30097.5</v>
      </c>
      <c r="M7" s="16"/>
      <c r="N7" s="8" t="str">
        <f aca="false">IF(N($J7)&gt;0,"Capacidade operacional cadastrada.","DADO PENDENTE: sem capacidade de canal cadastrada; o trecho assume a soma das casas atendidas (utilizacao 100% e deficit zero por construcao).")</f>
        <v>DADO PENDENTE: sem capacidade de canal cadastrada; o trecho assume a soma das casas atendidas (utilizacao 100% e deficit zero por construcao).</v>
      </c>
    </row>
    <row r="8" customFormat="false" ht="15" hidden="false" customHeight="false" outlineLevel="0" collapsed="false">
      <c r="B8" s="15" t="s">
        <v>173</v>
      </c>
      <c r="C8" s="21" t="s">
        <v>394</v>
      </c>
      <c r="D8" s="21"/>
      <c r="E8" s="21"/>
      <c r="F8" s="21"/>
      <c r="G8" s="21"/>
      <c r="H8" s="25" t="str">
        <f aca="false">_xlfn.TEXTJOIN(", ",TRUE(),IF(C20=1,C$17,""),IF(D20=1,D$17,""),IF(E20=1,E$17,""),IF(F20=1,F$17,""),IF(G20=1,G$17,""),IF(H20=1,H$17,""),IF(I20=1,I$17,""),IF(J20=1,J$17,""))</f>
        <v>RM03</v>
      </c>
      <c r="I8" s="26"/>
      <c r="J8" s="26"/>
      <c r="K8" s="18" t="n">
        <f aca="false">IF(N($J8)&gt;0,$J8,IF(N($I8)&gt;0,$I8,$C$20*CADASTRO_CASAS_BOMBA!$H$6+$D$20*CADASTRO_CASAS_BOMBA!$H$7+$E$20*CADASTRO_CASAS_BOMBA!$H$8+$F$20*CADASTRO_CASAS_BOMBA!$H$9+$G$20*CADASTRO_CASAS_BOMBA!$H$10+$H$20*CADASTRO_CASAS_BOMBA!$H$11+$I$20*CADASTRO_CASAS_BOMBA!$H$12+$J$20*CADASTRO_CASAS_BOMBA!$H$13))</f>
        <v>1412.71428571429</v>
      </c>
      <c r="L8" s="16" t="n">
        <f aca="false">$K8*HORAS_OPERACAO_DIA</f>
        <v>29667</v>
      </c>
      <c r="M8" s="16" t="n">
        <v>69821</v>
      </c>
      <c r="N8" s="8" t="str">
        <f aca="false">IF(N($J8)&gt;0,"Capacidade operacional cadastrada.","DADO PENDENTE: sem capacidade de canal cadastrada; o trecho assume a soma das casas atendidas (utilizacao 100% e deficit zero por construcao).")</f>
        <v>DADO PENDENTE: sem capacidade de canal cadastrada; o trecho assume a soma das casas atendidas (utilizacao 100% e deficit zero por construcao).</v>
      </c>
    </row>
    <row r="9" customFormat="false" ht="15" hidden="false" customHeight="false" outlineLevel="0" collapsed="false">
      <c r="B9" s="15" t="s">
        <v>174</v>
      </c>
      <c r="C9" s="21" t="s">
        <v>395</v>
      </c>
      <c r="D9" s="21"/>
      <c r="E9" s="21"/>
      <c r="F9" s="21"/>
      <c r="G9" s="21"/>
      <c r="H9" s="25" t="str">
        <f aca="false">_xlfn.TEXTJOIN(", ",TRUE(),IF(C21=1,C$17,""),IF(D21=1,D$17,""),IF(E21=1,E$17,""),IF(F21=1,F$17,""),IF(G21=1,G$17,""),IF(H21=1,H$17,""),IF(I21=1,I$17,""),IF(J21=1,J$17,""))</f>
        <v>RM04</v>
      </c>
      <c r="I9" s="26"/>
      <c r="J9" s="26"/>
      <c r="K9" s="18" t="n">
        <f aca="false">IF(N($J9)&gt;0,$J9,IF(N($I9)&gt;0,$I9,$C$21*CADASTRO_CASAS_BOMBA!$H$6+$D$21*CADASTRO_CASAS_BOMBA!$H$7+$E$21*CADASTRO_CASAS_BOMBA!$H$8+$F$21*CADASTRO_CASAS_BOMBA!$H$9+$G$21*CADASTRO_CASAS_BOMBA!$H$10+$H$21*CADASTRO_CASAS_BOMBA!$H$11+$I$21*CADASTRO_CASAS_BOMBA!$H$12+$J$21*CADASTRO_CASAS_BOMBA!$H$13))</f>
        <v>3852.85714285714</v>
      </c>
      <c r="L9" s="16" t="n">
        <f aca="false">$K9*HORAS_OPERACAO_DIA</f>
        <v>80910</v>
      </c>
      <c r="M9" s="16" t="n">
        <v>132720</v>
      </c>
      <c r="N9" s="8" t="str">
        <f aca="false">IF(N($J9)&gt;0,"Capacidade operacional cadastrada.","DADO PENDENTE: sem capacidade de canal cadastrada; o trecho assume a soma das casas atendidas (utilizacao 100% e deficit zero por construcao).")</f>
        <v>DADO PENDENTE: sem capacidade de canal cadastrada; o trecho assume a soma das casas atendidas (utilizacao 100% e deficit zero por construcao).</v>
      </c>
    </row>
    <row r="10" customFormat="false" ht="15" hidden="false" customHeight="false" outlineLevel="0" collapsed="false">
      <c r="B10" s="15" t="s">
        <v>175</v>
      </c>
      <c r="C10" s="21" t="s">
        <v>396</v>
      </c>
      <c r="D10" s="21"/>
      <c r="E10" s="21"/>
      <c r="F10" s="21"/>
      <c r="G10" s="21"/>
      <c r="H10" s="25" t="str">
        <f aca="false">_xlfn.TEXTJOIN(", ",TRUE(),IF(C22=1,C$17,""),IF(D22=1,D$17,""),IF(E22=1,E$17,""),IF(F22=1,F$17,""),IF(G22=1,G$17,""),IF(H22=1,H$17,""),IF(I22=1,I$17,""),IF(J22=1,J$17,""))</f>
        <v>RM05</v>
      </c>
      <c r="I10" s="26"/>
      <c r="J10" s="26"/>
      <c r="K10" s="18" t="n">
        <f aca="false">IF(N($J10)&gt;0,$J10,IF(N($I10)&gt;0,$I10,$C$22*CADASTRO_CASAS_BOMBA!$H$6+$D$22*CADASTRO_CASAS_BOMBA!$H$7+$E$22*CADASTRO_CASAS_BOMBA!$H$8+$F$22*CADASTRO_CASAS_BOMBA!$H$9+$G$22*CADASTRO_CASAS_BOMBA!$H$10+$H$22*CADASTRO_CASAS_BOMBA!$H$11+$I$22*CADASTRO_CASAS_BOMBA!$H$12+$J$22*CADASTRO_CASAS_BOMBA!$H$13))</f>
        <v>5212.93333333333</v>
      </c>
      <c r="L10" s="16" t="n">
        <f aca="false">$K10*HORAS_OPERACAO_DIA</f>
        <v>109471.6</v>
      </c>
      <c r="M10" s="16" t="n">
        <v>70560</v>
      </c>
      <c r="N10" s="8" t="str">
        <f aca="false">IF(N($J10)&gt;0,"Capacidade operacional cadastrada.","DADO PENDENTE: sem capacidade de canal cadastrada; o trecho assume a soma das casas atendidas (utilizacao 100% e deficit zero por construcao).")</f>
        <v>DADO PENDENTE: sem capacidade de canal cadastrada; o trecho assume a soma das casas atendidas (utilizacao 100% e deficit zero por construcao).</v>
      </c>
    </row>
    <row r="11" customFormat="false" ht="15" hidden="false" customHeight="false" outlineLevel="0" collapsed="false">
      <c r="B11" s="15" t="s">
        <v>176</v>
      </c>
      <c r="C11" s="21" t="s">
        <v>397</v>
      </c>
      <c r="D11" s="21"/>
      <c r="E11" s="21"/>
      <c r="F11" s="21"/>
      <c r="G11" s="21"/>
      <c r="H11" s="25" t="str">
        <f aca="false">_xlfn.TEXTJOIN(", ",TRUE(),IF(C23=1,C$17,""),IF(D23=1,D$17,""),IF(E23=1,E$17,""),IF(F23=1,F$17,""),IF(G23=1,G$17,""),IF(H23=1,H$17,""),IF(I23=1,I$17,""),IF(J23=1,J$17,""))</f>
        <v>RM06</v>
      </c>
      <c r="I11" s="26"/>
      <c r="J11" s="26"/>
      <c r="K11" s="18" t="n">
        <f aca="false">IF(N($J11)&gt;0,$J11,IF(N($I11)&gt;0,$I11,$C$23*CADASTRO_CASAS_BOMBA!$H$6+$D$23*CADASTRO_CASAS_BOMBA!$H$7+$E$23*CADASTRO_CASAS_BOMBA!$H$8+$F$23*CADASTRO_CASAS_BOMBA!$H$9+$G$23*CADASTRO_CASAS_BOMBA!$H$10+$H$23*CADASTRO_CASAS_BOMBA!$H$11+$I$23*CADASTRO_CASAS_BOMBA!$H$12+$J$23*CADASTRO_CASAS_BOMBA!$H$13))</f>
        <v>6831.56190476191</v>
      </c>
      <c r="L11" s="16" t="n">
        <f aca="false">$K11*HORAS_OPERACAO_DIA</f>
        <v>143462.8</v>
      </c>
      <c r="M11" s="16" t="n">
        <v>122094</v>
      </c>
      <c r="N11" s="8" t="str">
        <f aca="false">IF(N($J11)&gt;0,"Capacidade operacional cadastrada.","DADO PENDENTE: sem capacidade de canal cadastrada; o trecho assume a soma das casas atendidas (utilizacao 100% e deficit zero por construcao).")</f>
        <v>DADO PENDENTE: sem capacidade de canal cadastrada; o trecho assume a soma das casas atendidas (utilizacao 100% e deficit zero por construcao).</v>
      </c>
    </row>
    <row r="12" customFormat="false" ht="15" hidden="false" customHeight="false" outlineLevel="0" collapsed="false">
      <c r="B12" s="15" t="s">
        <v>177</v>
      </c>
      <c r="C12" s="21" t="s">
        <v>398</v>
      </c>
      <c r="D12" s="21"/>
      <c r="E12" s="21"/>
      <c r="F12" s="21"/>
      <c r="G12" s="21"/>
      <c r="H12" s="25" t="str">
        <f aca="false">_xlfn.TEXTJOIN(", ",TRUE(),IF(C24=1,C$17,""),IF(D24=1,D$17,""),IF(E24=1,E$17,""),IF(F24=1,F$17,""),IF(G24=1,G$17,""),IF(H24=1,H$17,""),IF(I24=1,I$17,""),IF(J24=1,J$17,""))</f>
        <v>RM07</v>
      </c>
      <c r="I12" s="26"/>
      <c r="J12" s="26"/>
      <c r="K12" s="18" t="n">
        <f aca="false">IF(N($J12)&gt;0,$J12,IF(N($I12)&gt;0,$I12,$C$24*CADASTRO_CASAS_BOMBA!$H$6+$D$24*CADASTRO_CASAS_BOMBA!$H$7+$E$24*CADASTRO_CASAS_BOMBA!$H$8+$F$24*CADASTRO_CASAS_BOMBA!$H$9+$G$24*CADASTRO_CASAS_BOMBA!$H$10+$H$24*CADASTRO_CASAS_BOMBA!$H$11+$I$24*CADASTRO_CASAS_BOMBA!$H$12+$J$24*CADASTRO_CASAS_BOMBA!$H$13))</f>
        <v>8298.70952380952</v>
      </c>
      <c r="L12" s="16" t="n">
        <f aca="false">$K12*HORAS_OPERACAO_DIA</f>
        <v>174272.9</v>
      </c>
      <c r="M12" s="16"/>
      <c r="N12" s="8" t="str">
        <f aca="false">IF(N($J12)&gt;0,"Capacidade operacional cadastrada.","DADO PENDENTE: sem capacidade de canal cadastrada; o trecho assume a soma das casas atendidas (utilizacao 100% e deficit zero por construcao).")</f>
        <v>DADO PENDENTE: sem capacidade de canal cadastrada; o trecho assume a soma das casas atendidas (utilizacao 100% e deficit zero por construcao).</v>
      </c>
    </row>
    <row r="13" customFormat="false" ht="15" hidden="false" customHeight="false" outlineLevel="0" collapsed="false">
      <c r="B13" s="15" t="s">
        <v>178</v>
      </c>
      <c r="C13" s="21" t="s">
        <v>399</v>
      </c>
      <c r="D13" s="21"/>
      <c r="E13" s="21"/>
      <c r="F13" s="21"/>
      <c r="G13" s="21"/>
      <c r="H13" s="25" t="str">
        <f aca="false">_xlfn.TEXTJOIN(", ",TRUE(),IF(C25=1,C$17,""),IF(D25=1,D$17,""),IF(E25=1,E$17,""),IF(F25=1,F$17,""),IF(G25=1,G$17,""),IF(H25=1,H$17,""),IF(I25=1,I$17,""),IF(J25=1,J$17,""))</f>
        <v>RM08</v>
      </c>
      <c r="I13" s="26"/>
      <c r="J13" s="26"/>
      <c r="K13" s="18" t="n">
        <f aca="false">IF(N($J13)&gt;0,$J13,IF(N($I13)&gt;0,$I13,$C$25*CADASTRO_CASAS_BOMBA!$H$6+$D$25*CADASTRO_CASAS_BOMBA!$H$7+$E$25*CADASTRO_CASAS_BOMBA!$H$8+$F$25*CADASTRO_CASAS_BOMBA!$H$9+$G$25*CADASTRO_CASAS_BOMBA!$H$10+$H$25*CADASTRO_CASAS_BOMBA!$H$11+$I$25*CADASTRO_CASAS_BOMBA!$H$12+$J$25*CADASTRO_CASAS_BOMBA!$H$13))</f>
        <v>2669.52380952381</v>
      </c>
      <c r="L13" s="16" t="n">
        <f aca="false">$K13*HORAS_OPERACAO_DIA</f>
        <v>56060</v>
      </c>
      <c r="M13" s="16"/>
      <c r="N13" s="8" t="str">
        <f aca="false">IF(N($J13)&gt;0,"Capacidade operacional cadastrada.","DADO PENDENTE: sem capacidade de canal cadastrada; o trecho assume a soma das casas atendidas (utilizacao 100% e deficit zero por construcao).")</f>
        <v>DADO PENDENTE: sem capacidade de canal cadastrada; o trecho assume a soma das casas atendidas (utilizacao 100% e deficit zero por construcao).</v>
      </c>
    </row>
    <row r="15" customFormat="false" ht="15" hidden="false" customHeight="false" outlineLevel="0" collapsed="false">
      <c r="B15" s="3" t="s">
        <v>400</v>
      </c>
    </row>
    <row r="17" customFormat="false" ht="15" hidden="false" customHeight="false" outlineLevel="0" collapsed="false">
      <c r="B17" s="14" t="s">
        <v>380</v>
      </c>
      <c r="C17" s="14" t="s">
        <v>128</v>
      </c>
      <c r="D17" s="14" t="s">
        <v>129</v>
      </c>
      <c r="E17" s="14" t="s">
        <v>130</v>
      </c>
      <c r="F17" s="14" t="s">
        <v>131</v>
      </c>
      <c r="G17" s="14" t="s">
        <v>132</v>
      </c>
      <c r="H17" s="14" t="s">
        <v>133</v>
      </c>
      <c r="I17" s="14" t="s">
        <v>134</v>
      </c>
      <c r="J17" s="14" t="s">
        <v>135</v>
      </c>
    </row>
    <row r="18" customFormat="false" ht="15" hidden="false" customHeight="false" outlineLevel="0" collapsed="false">
      <c r="B18" s="15" t="s">
        <v>171</v>
      </c>
      <c r="C18" s="27" t="n">
        <v>1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</row>
    <row r="19" customFormat="false" ht="15" hidden="false" customHeight="false" outlineLevel="0" collapsed="false">
      <c r="B19" s="15" t="s">
        <v>172</v>
      </c>
      <c r="C19" s="27" t="n">
        <v>0</v>
      </c>
      <c r="D19" s="27" t="n">
        <v>1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</row>
    <row r="20" customFormat="false" ht="15" hidden="false" customHeight="false" outlineLevel="0" collapsed="false">
      <c r="B20" s="15" t="s">
        <v>173</v>
      </c>
      <c r="C20" s="27" t="n">
        <v>0</v>
      </c>
      <c r="D20" s="27" t="n">
        <v>0</v>
      </c>
      <c r="E20" s="27" t="n">
        <v>1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</row>
    <row r="21" customFormat="false" ht="15" hidden="false" customHeight="false" outlineLevel="0" collapsed="false">
      <c r="B21" s="15" t="s">
        <v>174</v>
      </c>
      <c r="C21" s="27" t="n">
        <v>0</v>
      </c>
      <c r="D21" s="27" t="n">
        <v>0</v>
      </c>
      <c r="E21" s="27" t="n">
        <v>0</v>
      </c>
      <c r="F21" s="27" t="n">
        <v>1</v>
      </c>
      <c r="G21" s="27" t="n">
        <v>0</v>
      </c>
      <c r="H21" s="27" t="n">
        <v>0</v>
      </c>
      <c r="I21" s="27" t="n">
        <v>0</v>
      </c>
      <c r="J21" s="27" t="n">
        <v>0</v>
      </c>
    </row>
    <row r="22" customFormat="false" ht="15" hidden="false" customHeight="false" outlineLevel="0" collapsed="false">
      <c r="B22" s="15" t="s">
        <v>175</v>
      </c>
      <c r="C22" s="27" t="n">
        <v>0</v>
      </c>
      <c r="D22" s="27" t="n">
        <v>0</v>
      </c>
      <c r="E22" s="27" t="n">
        <v>0</v>
      </c>
      <c r="F22" s="27" t="n">
        <v>0</v>
      </c>
      <c r="G22" s="27" t="n">
        <v>1</v>
      </c>
      <c r="H22" s="27" t="n">
        <v>0</v>
      </c>
      <c r="I22" s="27" t="n">
        <v>0</v>
      </c>
      <c r="J22" s="27" t="n">
        <v>0</v>
      </c>
    </row>
    <row r="23" customFormat="false" ht="15" hidden="false" customHeight="false" outlineLevel="0" collapsed="false">
      <c r="B23" s="15" t="s">
        <v>176</v>
      </c>
      <c r="C23" s="27" t="n">
        <v>0</v>
      </c>
      <c r="D23" s="27" t="n">
        <v>0</v>
      </c>
      <c r="E23" s="27" t="n">
        <v>0</v>
      </c>
      <c r="F23" s="27" t="n">
        <v>0</v>
      </c>
      <c r="G23" s="27" t="n">
        <v>0</v>
      </c>
      <c r="H23" s="27" t="n">
        <v>1</v>
      </c>
      <c r="I23" s="27" t="n">
        <v>0</v>
      </c>
      <c r="J23" s="27" t="n">
        <v>0</v>
      </c>
    </row>
    <row r="24" customFormat="false" ht="15" hidden="false" customHeight="false" outlineLevel="0" collapsed="false">
      <c r="B24" s="15" t="s">
        <v>177</v>
      </c>
      <c r="C24" s="27" t="n">
        <v>0</v>
      </c>
      <c r="D24" s="27" t="n">
        <v>0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1</v>
      </c>
      <c r="J24" s="27" t="n">
        <v>0</v>
      </c>
    </row>
    <row r="25" customFormat="false" ht="15" hidden="false" customHeight="false" outlineLevel="0" collapsed="false">
      <c r="B25" s="15" t="s">
        <v>178</v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1</v>
      </c>
    </row>
    <row r="26" customFormat="false" ht="15" hidden="false" customHeight="false" outlineLevel="0" collapsed="false">
      <c r="B26" s="15" t="s">
        <v>401</v>
      </c>
      <c r="C26" s="16" t="n">
        <f aca="false">SUM(C18:C25)</f>
        <v>1</v>
      </c>
      <c r="D26" s="16" t="n">
        <f aca="false">SUM(D18:D25)</f>
        <v>1</v>
      </c>
      <c r="E26" s="16" t="n">
        <f aca="false">SUM(E18:E25)</f>
        <v>1</v>
      </c>
      <c r="F26" s="16" t="n">
        <f aca="false">SUM(F18:F25)</f>
        <v>1</v>
      </c>
      <c r="G26" s="16" t="n">
        <f aca="false">SUM(G18:G25)</f>
        <v>1</v>
      </c>
      <c r="H26" s="16" t="n">
        <f aca="false">SUM(H18:H25)</f>
        <v>1</v>
      </c>
      <c r="I26" s="16" t="n">
        <f aca="false">SUM(I18:I25)</f>
        <v>1</v>
      </c>
      <c r="J26" s="16" t="n">
        <f aca="false">SUM(J18:J25)</f>
        <v>1</v>
      </c>
    </row>
    <row r="28" customFormat="false" ht="30" hidden="false" customHeight="true" outlineLevel="0" collapsed="false">
      <c r="B28" s="5" t="s">
        <v>402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</sheetData>
  <mergeCells count="3">
    <mergeCell ref="B2:N2"/>
    <mergeCell ref="B3:N3"/>
    <mergeCell ref="B28: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17"/>
    <col collapsed="false" customWidth="true" hidden="false" outlineLevel="0" max="16" min="16" style="0" width="46"/>
  </cols>
  <sheetData>
    <row r="2" customFormat="false" ht="30" hidden="false" customHeight="true" outlineLevel="0" collapsed="false">
      <c r="B2" s="1" t="s">
        <v>403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25.5" hidden="false" customHeight="true" outlineLevel="0" collapsed="false">
      <c r="B3" s="2" t="s">
        <v>404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30" hidden="false" customHeight="true" outlineLevel="0" collapsed="false">
      <c r="B5" s="14" t="s">
        <v>405</v>
      </c>
      <c r="C5" s="14" t="s">
        <v>223</v>
      </c>
      <c r="D5" s="14" t="s">
        <v>406</v>
      </c>
      <c r="E5" s="14" t="s">
        <v>407</v>
      </c>
      <c r="F5" s="14" t="s">
        <v>408</v>
      </c>
      <c r="G5" s="14" t="s">
        <v>409</v>
      </c>
      <c r="H5" s="14" t="s">
        <v>410</v>
      </c>
      <c r="I5" s="14" t="s">
        <v>411</v>
      </c>
      <c r="J5" s="14" t="s">
        <v>412</v>
      </c>
      <c r="K5" s="14" t="s">
        <v>413</v>
      </c>
      <c r="L5" s="14" t="s">
        <v>414</v>
      </c>
      <c r="M5" s="14" t="s">
        <v>415</v>
      </c>
      <c r="N5" s="14" t="s">
        <v>416</v>
      </c>
      <c r="O5" s="14" t="s">
        <v>417</v>
      </c>
      <c r="P5" s="14" t="s">
        <v>329</v>
      </c>
    </row>
    <row r="6" customFormat="false" ht="15" hidden="false" customHeight="false" outlineLevel="0" collapsed="false">
      <c r="B6" s="15" t="s">
        <v>418</v>
      </c>
      <c r="C6" s="8" t="s">
        <v>237</v>
      </c>
      <c r="D6" s="8" t="s">
        <v>419</v>
      </c>
      <c r="E6" s="27" t="n">
        <v>108</v>
      </c>
      <c r="F6" s="28" t="n">
        <v>0.18</v>
      </c>
      <c r="G6" s="28" t="n">
        <v>0.24</v>
      </c>
      <c r="H6" s="28" t="n">
        <v>0.4</v>
      </c>
      <c r="I6" s="28" t="n">
        <v>0.18</v>
      </c>
      <c r="J6" s="19" t="n">
        <f aca="false">SUM($F6:$I6)</f>
        <v>1</v>
      </c>
      <c r="K6" s="26" t="n">
        <v>0.4</v>
      </c>
      <c r="L6" s="26" t="n">
        <v>1.15</v>
      </c>
      <c r="M6" s="26" t="n">
        <v>0.5</v>
      </c>
      <c r="N6" s="24" t="n">
        <f aca="false">$F6*$K6+$G6*($K6+$L6)/2+$H6*$L6+$I6*($L6+$M6)/2</f>
        <v>0.8665</v>
      </c>
      <c r="O6" s="16" t="n">
        <f aca="false">$N6*$E6*AVERAGE(CLIMA_ETo_CHUVA!$G$8:$G$469)</f>
        <v>459.058196103896</v>
      </c>
      <c r="P6" s="8" t="s">
        <v>420</v>
      </c>
    </row>
    <row r="7" customFormat="false" ht="15" hidden="false" customHeight="false" outlineLevel="0" collapsed="false">
      <c r="B7" s="15" t="s">
        <v>421</v>
      </c>
      <c r="C7" s="8" t="s">
        <v>237</v>
      </c>
      <c r="D7" s="8" t="s">
        <v>422</v>
      </c>
      <c r="E7" s="27" t="n">
        <v>120</v>
      </c>
      <c r="F7" s="28" t="n">
        <v>0.16</v>
      </c>
      <c r="G7" s="28" t="n">
        <v>0.23</v>
      </c>
      <c r="H7" s="28" t="n">
        <v>0.42</v>
      </c>
      <c r="I7" s="28" t="n">
        <v>0.19</v>
      </c>
      <c r="J7" s="19" t="n">
        <f aca="false">SUM($F7:$I7)</f>
        <v>1</v>
      </c>
      <c r="K7" s="26" t="n">
        <v>0.4</v>
      </c>
      <c r="L7" s="26" t="n">
        <v>1.15</v>
      </c>
      <c r="M7" s="26" t="n">
        <v>0.5</v>
      </c>
      <c r="N7" s="24" t="n">
        <f aca="false">$F7*$K7+$G7*($K7+$L7)/2+$H7*$L7+$I7*($L7+$M7)/2</f>
        <v>0.882</v>
      </c>
      <c r="O7" s="16" t="n">
        <f aca="false">$N7*$E7*AVERAGE(CLIMA_ETo_CHUVA!$G$8:$G$469)</f>
        <v>519.188727272727</v>
      </c>
      <c r="P7" s="8" t="s">
        <v>420</v>
      </c>
    </row>
    <row r="8" customFormat="false" ht="15" hidden="false" customHeight="false" outlineLevel="0" collapsed="false">
      <c r="B8" s="15" t="s">
        <v>423</v>
      </c>
      <c r="C8" s="8" t="s">
        <v>237</v>
      </c>
      <c r="D8" s="8" t="s">
        <v>424</v>
      </c>
      <c r="E8" s="27" t="n">
        <v>135</v>
      </c>
      <c r="F8" s="28" t="n">
        <v>0.15</v>
      </c>
      <c r="G8" s="28" t="n">
        <v>0.22</v>
      </c>
      <c r="H8" s="28" t="n">
        <v>0.44</v>
      </c>
      <c r="I8" s="28" t="n">
        <v>0.19</v>
      </c>
      <c r="J8" s="19" t="n">
        <f aca="false">SUM($F8:$I8)</f>
        <v>1</v>
      </c>
      <c r="K8" s="26" t="n">
        <v>0.4</v>
      </c>
      <c r="L8" s="26" t="n">
        <v>1.15</v>
      </c>
      <c r="M8" s="26" t="n">
        <v>0.5</v>
      </c>
      <c r="N8" s="24" t="n">
        <f aca="false">$F8*$K8+$G8*($K8+$L8)/2+$H8*$L8+$I8*($L8+$M8)/2</f>
        <v>0.89325</v>
      </c>
      <c r="O8" s="16" t="n">
        <f aca="false">$N8*$E8*AVERAGE(CLIMA_ETo_CHUVA!$G$8:$G$469)</f>
        <v>591.537411525974</v>
      </c>
      <c r="P8" s="8" t="s">
        <v>420</v>
      </c>
    </row>
    <row r="9" customFormat="false" ht="15" hidden="false" customHeight="false" outlineLevel="0" collapsed="false">
      <c r="B9" s="15" t="s">
        <v>425</v>
      </c>
      <c r="C9" s="8" t="s">
        <v>234</v>
      </c>
      <c r="D9" s="8" t="s">
        <v>419</v>
      </c>
      <c r="E9" s="27" t="n">
        <v>180</v>
      </c>
      <c r="F9" s="28" t="n">
        <v>0.17</v>
      </c>
      <c r="G9" s="28" t="n">
        <v>0.27</v>
      </c>
      <c r="H9" s="28" t="n">
        <v>0.31</v>
      </c>
      <c r="I9" s="28" t="n">
        <v>0.25</v>
      </c>
      <c r="J9" s="19" t="n">
        <f aca="false">SUM($F9:$I9)</f>
        <v>1</v>
      </c>
      <c r="K9" s="26" t="n">
        <v>0.35</v>
      </c>
      <c r="L9" s="26" t="n">
        <v>1.15</v>
      </c>
      <c r="M9" s="26" t="n">
        <v>0.6</v>
      </c>
      <c r="N9" s="24" t="n">
        <f aca="false">$F9*$K9+$G9*($K9+$L9)/2+$H9*$L9+$I9*($L9+$M9)/2</f>
        <v>0.83725</v>
      </c>
      <c r="O9" s="16" t="n">
        <f aca="false">$N9*$E9*AVERAGE(CLIMA_ETo_CHUVA!$G$8:$G$469)</f>
        <v>739.270003246753</v>
      </c>
      <c r="P9" s="8" t="s">
        <v>420</v>
      </c>
    </row>
    <row r="10" customFormat="false" ht="15" hidden="false" customHeight="false" outlineLevel="0" collapsed="false">
      <c r="B10" s="15" t="s">
        <v>426</v>
      </c>
      <c r="C10" s="8" t="s">
        <v>234</v>
      </c>
      <c r="D10" s="8" t="s">
        <v>422</v>
      </c>
      <c r="E10" s="27" t="n">
        <v>195</v>
      </c>
      <c r="F10" s="28" t="n">
        <v>0.15</v>
      </c>
      <c r="G10" s="28" t="n">
        <v>0.26</v>
      </c>
      <c r="H10" s="28" t="n">
        <v>0.31</v>
      </c>
      <c r="I10" s="28" t="n">
        <v>0.28</v>
      </c>
      <c r="J10" s="19" t="n">
        <f aca="false">SUM($F10:$I10)</f>
        <v>1</v>
      </c>
      <c r="K10" s="26" t="n">
        <v>0.35</v>
      </c>
      <c r="L10" s="26" t="n">
        <v>1.15</v>
      </c>
      <c r="M10" s="26" t="n">
        <v>0.6</v>
      </c>
      <c r="N10" s="24" t="n">
        <f aca="false">$F10*$K10+$G10*($K10+$L10)/2+$H10*$L10+$I10*($L10+$M10)/2</f>
        <v>0.849</v>
      </c>
      <c r="O10" s="16" t="n">
        <f aca="false">$N10*$E10*AVERAGE(CLIMA_ETo_CHUVA!$G$8:$G$469)</f>
        <v>812.115360389611</v>
      </c>
      <c r="P10" s="8" t="s">
        <v>420</v>
      </c>
    </row>
    <row r="11" customFormat="false" ht="15" hidden="false" customHeight="false" outlineLevel="0" collapsed="false">
      <c r="B11" s="15" t="s">
        <v>427</v>
      </c>
      <c r="C11" s="8" t="s">
        <v>234</v>
      </c>
      <c r="D11" s="8" t="s">
        <v>424</v>
      </c>
      <c r="E11" s="27" t="n">
        <v>210</v>
      </c>
      <c r="F11" s="28" t="n">
        <v>0.14</v>
      </c>
      <c r="G11" s="28" t="n">
        <v>0.24</v>
      </c>
      <c r="H11" s="28" t="n">
        <v>0.33</v>
      </c>
      <c r="I11" s="28" t="n">
        <v>0.29</v>
      </c>
      <c r="J11" s="19" t="n">
        <f aca="false">SUM($F11:$I11)</f>
        <v>1</v>
      </c>
      <c r="K11" s="26" t="n">
        <v>0.35</v>
      </c>
      <c r="L11" s="26" t="n">
        <v>1.15</v>
      </c>
      <c r="M11" s="26" t="n">
        <v>0.6</v>
      </c>
      <c r="N11" s="24" t="n">
        <f aca="false">$F11*$K11+$G11*($K11+$L11)/2+$H11*$L11+$I11*($L11+$M11)/2</f>
        <v>0.86225</v>
      </c>
      <c r="O11" s="16" t="n">
        <f aca="false">$N11*$E11*AVERAGE(CLIMA_ETo_CHUVA!$G$8:$G$469)</f>
        <v>888.235079545455</v>
      </c>
      <c r="P11" s="8" t="s">
        <v>420</v>
      </c>
    </row>
    <row r="12" customFormat="false" ht="15" hidden="false" customHeight="false" outlineLevel="0" collapsed="false">
      <c r="B12" s="15" t="s">
        <v>428</v>
      </c>
      <c r="C12" s="8" t="s">
        <v>236</v>
      </c>
      <c r="D12" s="8" t="s">
        <v>429</v>
      </c>
      <c r="E12" s="27" t="n">
        <v>160</v>
      </c>
      <c r="F12" s="28" t="n">
        <v>0.19</v>
      </c>
      <c r="G12" s="28" t="n">
        <v>0.25</v>
      </c>
      <c r="H12" s="28" t="n">
        <v>0.31</v>
      </c>
      <c r="I12" s="28" t="n">
        <v>0.25</v>
      </c>
      <c r="J12" s="19" t="n">
        <f aca="false">SUM($F12:$I12)</f>
        <v>1</v>
      </c>
      <c r="K12" s="26" t="n">
        <v>0.3</v>
      </c>
      <c r="L12" s="26" t="n">
        <v>1.15</v>
      </c>
      <c r="M12" s="26" t="n">
        <v>0.6</v>
      </c>
      <c r="N12" s="24" t="n">
        <f aca="false">$F12*$K12+$G12*($K12+$L12)/2+$H12*$L12+$I12*($L12+$M12)/2</f>
        <v>0.8135</v>
      </c>
      <c r="O12" s="16" t="n">
        <f aca="false">$N12*$E12*AVERAGE(CLIMA_ETo_CHUVA!$G$8:$G$469)</f>
        <v>638.488329004329</v>
      </c>
      <c r="P12" s="8" t="s">
        <v>420</v>
      </c>
    </row>
    <row r="13" customFormat="false" ht="15" hidden="false" customHeight="false" outlineLevel="0" collapsed="false">
      <c r="B13" s="15" t="s">
        <v>430</v>
      </c>
      <c r="C13" s="8" t="s">
        <v>235</v>
      </c>
      <c r="D13" s="8" t="s">
        <v>429</v>
      </c>
      <c r="E13" s="27" t="n">
        <v>160</v>
      </c>
      <c r="F13" s="28" t="n">
        <v>0.19</v>
      </c>
      <c r="G13" s="28" t="n">
        <v>0.25</v>
      </c>
      <c r="H13" s="28" t="n">
        <v>0.31</v>
      </c>
      <c r="I13" s="28" t="n">
        <v>0.25</v>
      </c>
      <c r="J13" s="19" t="n">
        <f aca="false">SUM($F13:$I13)</f>
        <v>1</v>
      </c>
      <c r="K13" s="26" t="n">
        <v>0.3</v>
      </c>
      <c r="L13" s="26" t="n">
        <v>1.2</v>
      </c>
      <c r="M13" s="26" t="n">
        <v>0.6</v>
      </c>
      <c r="N13" s="24" t="n">
        <f aca="false">$F13*$K13+$G13*($K13+$L13)/2+$H13*$L13+$I13*($L13+$M13)/2</f>
        <v>0.8415</v>
      </c>
      <c r="O13" s="16" t="n">
        <f aca="false">$N13*$E13*AVERAGE(CLIMA_ETo_CHUVA!$G$8:$G$469)</f>
        <v>660.464571428572</v>
      </c>
      <c r="P13" s="8" t="s">
        <v>420</v>
      </c>
    </row>
    <row r="14" customFormat="false" ht="15" hidden="false" customHeight="false" outlineLevel="0" collapsed="false">
      <c r="B14" s="15" t="s">
        <v>431</v>
      </c>
      <c r="C14" s="8" t="s">
        <v>238</v>
      </c>
      <c r="D14" s="8" t="s">
        <v>429</v>
      </c>
      <c r="E14" s="27" t="n">
        <v>160</v>
      </c>
      <c r="F14" s="28" t="n">
        <v>0.18</v>
      </c>
      <c r="G14" s="28" t="n">
        <v>0.27</v>
      </c>
      <c r="H14" s="28" t="n">
        <v>0.27</v>
      </c>
      <c r="I14" s="28" t="n">
        <v>0.28</v>
      </c>
      <c r="J14" s="19" t="n">
        <f aca="false">SUM($F14:$I14)</f>
        <v>1</v>
      </c>
      <c r="K14" s="26" t="n">
        <v>0.35</v>
      </c>
      <c r="L14" s="26" t="n">
        <v>1.1</v>
      </c>
      <c r="M14" s="26" t="n">
        <v>0.8</v>
      </c>
      <c r="N14" s="24" t="n">
        <f aca="false">$F14*$K14+$G14*($K14+$L14)/2+$H14*$L14+$I14*($L14+$M14)/2</f>
        <v>0.82175</v>
      </c>
      <c r="O14" s="16" t="n">
        <f aca="false">$N14*$E14*AVERAGE(CLIMA_ETo_CHUVA!$G$8:$G$469)</f>
        <v>644.963471861472</v>
      </c>
      <c r="P14" s="8" t="s">
        <v>420</v>
      </c>
    </row>
    <row r="15" customFormat="false" ht="15" hidden="false" customHeight="false" outlineLevel="0" collapsed="false">
      <c r="B15" s="15" t="s">
        <v>432</v>
      </c>
      <c r="C15" s="8" t="s">
        <v>433</v>
      </c>
      <c r="D15" s="8" t="s">
        <v>429</v>
      </c>
      <c r="E15" s="27" t="n">
        <v>110</v>
      </c>
      <c r="F15" s="28" t="n">
        <v>0.18</v>
      </c>
      <c r="G15" s="28" t="n">
        <v>0.27</v>
      </c>
      <c r="H15" s="28" t="n">
        <v>0.37</v>
      </c>
      <c r="I15" s="28" t="n">
        <v>0.18</v>
      </c>
      <c r="J15" s="19" t="n">
        <f aca="false">SUM($F15:$I15)</f>
        <v>1</v>
      </c>
      <c r="K15" s="26" t="n">
        <v>0.35</v>
      </c>
      <c r="L15" s="26" t="n">
        <v>1.1</v>
      </c>
      <c r="M15" s="26" t="n">
        <v>0.25</v>
      </c>
      <c r="N15" s="24" t="n">
        <f aca="false">$F15*$K15+$G15*($K15+$L15)/2+$H15*$L15+$I15*($L15+$M15)/2</f>
        <v>0.78725</v>
      </c>
      <c r="O15" s="16" t="n">
        <f aca="false">$N15*$E15*AVERAGE(CLIMA_ETo_CHUVA!$G$8:$G$469)</f>
        <v>424.796351190476</v>
      </c>
      <c r="P15" s="8" t="s">
        <v>420</v>
      </c>
    </row>
    <row r="16" customFormat="false" ht="15" hidden="false" customHeight="false" outlineLevel="0" collapsed="false">
      <c r="B16" s="15" t="s">
        <v>434</v>
      </c>
      <c r="C16" s="8" t="s">
        <v>435</v>
      </c>
      <c r="D16" s="8" t="s">
        <v>429</v>
      </c>
      <c r="E16" s="27" t="n">
        <v>95</v>
      </c>
      <c r="F16" s="28" t="n">
        <v>0.21</v>
      </c>
      <c r="G16" s="28" t="n">
        <v>0.32</v>
      </c>
      <c r="H16" s="28" t="n">
        <v>0.31</v>
      </c>
      <c r="I16" s="28" t="n">
        <v>0.16</v>
      </c>
      <c r="J16" s="19" t="n">
        <f aca="false">SUM($F16:$I16)</f>
        <v>1</v>
      </c>
      <c r="K16" s="26" t="n">
        <v>0.4</v>
      </c>
      <c r="L16" s="26" t="n">
        <v>1.15</v>
      </c>
      <c r="M16" s="26" t="n">
        <v>0.35</v>
      </c>
      <c r="N16" s="24" t="n">
        <f aca="false">$F16*$K16+$G16*($K16+$L16)/2+$H16*$L16+$I16*($L16+$M16)/2</f>
        <v>0.8085</v>
      </c>
      <c r="O16" s="16" t="n">
        <f aca="false">$N16*$E16*AVERAGE(CLIMA_ETo_CHUVA!$G$8:$G$469)</f>
        <v>376.772375</v>
      </c>
      <c r="P16" s="8" t="s">
        <v>420</v>
      </c>
    </row>
    <row r="17" customFormat="false" ht="15" hidden="false" customHeight="false" outlineLevel="0" collapsed="false">
      <c r="B17" s="15" t="s">
        <v>436</v>
      </c>
      <c r="C17" s="8" t="s">
        <v>437</v>
      </c>
      <c r="D17" s="8" t="s">
        <v>429</v>
      </c>
      <c r="E17" s="27" t="n">
        <v>130</v>
      </c>
      <c r="F17" s="28" t="n">
        <v>0.15</v>
      </c>
      <c r="G17" s="28" t="n">
        <v>0.27</v>
      </c>
      <c r="H17" s="28" t="n">
        <v>0.31</v>
      </c>
      <c r="I17" s="28" t="n">
        <v>0.27</v>
      </c>
      <c r="J17" s="19" t="n">
        <f aca="false">SUM($F17:$I17)</f>
        <v>1</v>
      </c>
      <c r="K17" s="26" t="n">
        <v>0.3</v>
      </c>
      <c r="L17" s="26" t="n">
        <v>1.1</v>
      </c>
      <c r="M17" s="26" t="n">
        <v>0.55</v>
      </c>
      <c r="N17" s="24" t="n">
        <f aca="false">$F17*$K17+$G17*($K17+$L17)/2+$H17*$L17+$I17*($L17+$M17)/2</f>
        <v>0.79775</v>
      </c>
      <c r="O17" s="16" t="n">
        <f aca="false">$N17*$E17*AVERAGE(CLIMA_ETo_CHUVA!$G$8:$G$469)</f>
        <v>508.727937770563</v>
      </c>
      <c r="P17" s="8" t="s">
        <v>420</v>
      </c>
    </row>
    <row r="18" customFormat="false" ht="15" hidden="false" customHeight="false" outlineLevel="0" collapsed="false">
      <c r="B18" s="15" t="s">
        <v>438</v>
      </c>
      <c r="C18" s="8" t="s">
        <v>439</v>
      </c>
      <c r="D18" s="8" t="s">
        <v>429</v>
      </c>
      <c r="E18" s="27" t="n">
        <v>90</v>
      </c>
      <c r="F18" s="28" t="n">
        <v>0.17</v>
      </c>
      <c r="G18" s="28" t="n">
        <v>0.28</v>
      </c>
      <c r="H18" s="28" t="n">
        <v>0.33</v>
      </c>
      <c r="I18" s="28" t="n">
        <v>0.22</v>
      </c>
      <c r="J18" s="19" t="n">
        <f aca="false">SUM($F18:$I18)</f>
        <v>1</v>
      </c>
      <c r="K18" s="26" t="n">
        <v>0.3</v>
      </c>
      <c r="L18" s="26" t="n">
        <v>1</v>
      </c>
      <c r="M18" s="26" t="n">
        <v>0.3</v>
      </c>
      <c r="N18" s="24" t="n">
        <f aca="false">$F18*$K18+$G18*($K18+$L18)/2+$H18*$L18+$I18*($L18+$M18)/2</f>
        <v>0.706</v>
      </c>
      <c r="O18" s="16" t="n">
        <f aca="false">$N18*$E18*AVERAGE(CLIMA_ETo_CHUVA!$G$8:$G$469)</f>
        <v>311.689831168831</v>
      </c>
      <c r="P18" s="8" t="s">
        <v>420</v>
      </c>
    </row>
    <row r="19" customFormat="false" ht="15" hidden="false" customHeight="false" outlineLevel="0" collapsed="false">
      <c r="B19" s="15" t="s">
        <v>440</v>
      </c>
      <c r="C19" s="8" t="s">
        <v>441</v>
      </c>
      <c r="D19" s="8" t="s">
        <v>429</v>
      </c>
      <c r="E19" s="27" t="n">
        <v>90</v>
      </c>
      <c r="F19" s="28" t="n">
        <v>0.17</v>
      </c>
      <c r="G19" s="28" t="n">
        <v>0.28</v>
      </c>
      <c r="H19" s="28" t="n">
        <v>0.33</v>
      </c>
      <c r="I19" s="28" t="n">
        <v>0.22</v>
      </c>
      <c r="J19" s="19" t="n">
        <f aca="false">SUM($F19:$I19)</f>
        <v>1</v>
      </c>
      <c r="K19" s="26" t="n">
        <v>0.3</v>
      </c>
      <c r="L19" s="26" t="n">
        <v>1</v>
      </c>
      <c r="M19" s="26" t="n">
        <v>0.45</v>
      </c>
      <c r="N19" s="24" t="n">
        <f aca="false">$F19*$K19+$G19*($K19+$L19)/2+$H19*$L19+$I19*($L19+$M19)/2</f>
        <v>0.7225</v>
      </c>
      <c r="O19" s="16" t="n">
        <f aca="false">$N19*$E19*AVERAGE(CLIMA_ETo_CHUVA!$G$8:$G$469)</f>
        <v>318.974366883117</v>
      </c>
      <c r="P19" s="8" t="s">
        <v>420</v>
      </c>
    </row>
    <row r="20" customFormat="false" ht="15" hidden="false" customHeight="false" outlineLevel="0" collapsed="false">
      <c r="B20" s="15" t="s">
        <v>442</v>
      </c>
      <c r="C20" s="8" t="s">
        <v>443</v>
      </c>
      <c r="D20" s="8" t="s">
        <v>429</v>
      </c>
      <c r="E20" s="27" t="n">
        <v>365</v>
      </c>
      <c r="F20" s="28" t="n">
        <v>0.1</v>
      </c>
      <c r="G20" s="28" t="n">
        <v>0.15</v>
      </c>
      <c r="H20" s="28" t="n">
        <v>0.6</v>
      </c>
      <c r="I20" s="28" t="n">
        <v>0.15</v>
      </c>
      <c r="J20" s="19" t="n">
        <f aca="false">SUM($F20:$I20)</f>
        <v>1</v>
      </c>
      <c r="K20" s="26" t="n">
        <v>0.55</v>
      </c>
      <c r="L20" s="26" t="n">
        <v>0.95</v>
      </c>
      <c r="M20" s="26" t="n">
        <v>0.8</v>
      </c>
      <c r="N20" s="24" t="n">
        <f aca="false">$F20*$K20+$G20*($K20+$L20)/2+$H20*$L20+$I20*($L20+$M20)/2</f>
        <v>0.86875</v>
      </c>
      <c r="O20" s="16" t="n">
        <f aca="false">$N20*$E20*AVERAGE(CLIMA_ETo_CHUVA!$G$8:$G$469)</f>
        <v>1555.47525027056</v>
      </c>
      <c r="P20" s="8" t="s">
        <v>420</v>
      </c>
    </row>
    <row r="21" customFormat="false" ht="15" hidden="false" customHeight="false" outlineLevel="0" collapsed="false">
      <c r="B21" s="15" t="s">
        <v>444</v>
      </c>
      <c r="C21" s="8" t="s">
        <v>445</v>
      </c>
      <c r="D21" s="8" t="s">
        <v>429</v>
      </c>
      <c r="E21" s="27" t="n">
        <v>90</v>
      </c>
      <c r="F21" s="28" t="n">
        <v>0.17</v>
      </c>
      <c r="G21" s="28" t="n">
        <v>0.28</v>
      </c>
      <c r="H21" s="28" t="n">
        <v>0.33</v>
      </c>
      <c r="I21" s="28" t="n">
        <v>0.22</v>
      </c>
      <c r="J21" s="19" t="n">
        <f aca="false">SUM($F21:$I21)</f>
        <v>1</v>
      </c>
      <c r="K21" s="26" t="n">
        <v>0.3</v>
      </c>
      <c r="L21" s="26" t="n">
        <v>1</v>
      </c>
      <c r="M21" s="26" t="n">
        <v>0.45</v>
      </c>
      <c r="N21" s="24" t="n">
        <f aca="false">$F21*$K21+$G21*($K21+$L21)/2+$H21*$L21+$I21*($L21+$M21)/2</f>
        <v>0.7225</v>
      </c>
      <c r="O21" s="16" t="n">
        <f aca="false">$N21*$E21*AVERAGE(CLIMA_ETo_CHUVA!$G$8:$G$469)</f>
        <v>318.974366883117</v>
      </c>
      <c r="P21" s="8" t="s">
        <v>420</v>
      </c>
    </row>
    <row r="22" customFormat="false" ht="15" hidden="false" customHeight="false" outlineLevel="0" collapsed="false">
      <c r="B22" s="15" t="s">
        <v>446</v>
      </c>
      <c r="C22" s="8" t="s">
        <v>447</v>
      </c>
      <c r="D22" s="8" t="s">
        <v>429</v>
      </c>
      <c r="E22" s="27" t="n">
        <v>365</v>
      </c>
      <c r="F22" s="28" t="n">
        <v>0.1</v>
      </c>
      <c r="G22" s="28" t="n">
        <v>0.15</v>
      </c>
      <c r="H22" s="28" t="n">
        <v>0.6</v>
      </c>
      <c r="I22" s="28" t="n">
        <v>0.15</v>
      </c>
      <c r="J22" s="19" t="n">
        <f aca="false">SUM($F22:$I22)</f>
        <v>1</v>
      </c>
      <c r="K22" s="26" t="n">
        <v>1</v>
      </c>
      <c r="L22" s="26" t="n">
        <v>1.05</v>
      </c>
      <c r="M22" s="26" t="n">
        <v>1.05</v>
      </c>
      <c r="N22" s="24" t="n">
        <f aca="false">$F22*$K22+$G22*($K22+$L22)/2+$H22*$L22+$I22*($L22+$M22)/2</f>
        <v>1.04125</v>
      </c>
      <c r="O22" s="16" t="n">
        <f aca="false">$N22*$E22*AVERAGE(CLIMA_ETo_CHUVA!$G$8:$G$469)</f>
        <v>1864.33220643939</v>
      </c>
      <c r="P22" s="8" t="s">
        <v>420</v>
      </c>
    </row>
    <row r="23" customFormat="false" ht="15" hidden="false" customHeight="false" outlineLevel="0" collapsed="false">
      <c r="B23" s="15" t="s">
        <v>448</v>
      </c>
      <c r="C23" s="8" t="s">
        <v>449</v>
      </c>
      <c r="D23" s="8" t="s">
        <v>429</v>
      </c>
      <c r="E23" s="27" t="n">
        <v>365</v>
      </c>
      <c r="F23" s="28" t="n">
        <v>0.1</v>
      </c>
      <c r="G23" s="28" t="n">
        <v>0.15</v>
      </c>
      <c r="H23" s="28" t="n">
        <v>0.6</v>
      </c>
      <c r="I23" s="28" t="n">
        <v>0.15</v>
      </c>
      <c r="J23" s="19" t="n">
        <f aca="false">SUM($F23:$I23)</f>
        <v>1</v>
      </c>
      <c r="K23" s="26" t="n">
        <v>0.8</v>
      </c>
      <c r="L23" s="26" t="n">
        <v>1</v>
      </c>
      <c r="M23" s="26" t="n">
        <v>1</v>
      </c>
      <c r="N23" s="24" t="n">
        <f aca="false">$F23*$K23+$G23*($K23+$L23)/2+$H23*$L23+$I23*($L23+$M23)/2</f>
        <v>0.965</v>
      </c>
      <c r="O23" s="16" t="n">
        <f aca="false">$N23*$E23*AVERAGE(CLIMA_ETo_CHUVA!$G$8:$G$469)</f>
        <v>1727.80847943723</v>
      </c>
      <c r="P23" s="8" t="s">
        <v>420</v>
      </c>
    </row>
    <row r="24" customFormat="false" ht="15" hidden="false" customHeight="false" outlineLevel="0" collapsed="false">
      <c r="B24" s="15" t="s">
        <v>450</v>
      </c>
      <c r="C24" s="8" t="s">
        <v>451</v>
      </c>
      <c r="D24" s="8" t="s">
        <v>429</v>
      </c>
      <c r="E24" s="27" t="n">
        <v>365</v>
      </c>
      <c r="F24" s="28" t="n">
        <v>0.1</v>
      </c>
      <c r="G24" s="28" t="n">
        <v>0.15</v>
      </c>
      <c r="H24" s="28" t="n">
        <v>0.6</v>
      </c>
      <c r="I24" s="28" t="n">
        <v>0.15</v>
      </c>
      <c r="J24" s="19" t="n">
        <f aca="false">SUM($F24:$I24)</f>
        <v>1</v>
      </c>
      <c r="K24" s="26" t="n">
        <v>0.55</v>
      </c>
      <c r="L24" s="26" t="n">
        <v>0.95</v>
      </c>
      <c r="M24" s="26" t="n">
        <v>0.8</v>
      </c>
      <c r="N24" s="24" t="n">
        <f aca="false">$F24*$K24+$G24*($K24+$L24)/2+$H24*$L24+$I24*($L24+$M24)/2</f>
        <v>0.86875</v>
      </c>
      <c r="O24" s="16" t="n">
        <f aca="false">$N24*$E24*AVERAGE(CLIMA_ETo_CHUVA!$G$8:$G$469)</f>
        <v>1555.47525027056</v>
      </c>
      <c r="P24" s="8" t="s">
        <v>420</v>
      </c>
    </row>
    <row r="25" customFormat="false" ht="15" hidden="false" customHeight="false" outlineLevel="0" collapsed="false">
      <c r="B25" s="15" t="s">
        <v>452</v>
      </c>
      <c r="C25" s="8" t="s">
        <v>453</v>
      </c>
      <c r="D25" s="8" t="s">
        <v>429</v>
      </c>
      <c r="E25" s="27" t="n">
        <v>120</v>
      </c>
      <c r="F25" s="28" t="n">
        <v>0.17</v>
      </c>
      <c r="G25" s="28" t="n">
        <v>0.25</v>
      </c>
      <c r="H25" s="28" t="n">
        <v>0.35</v>
      </c>
      <c r="I25" s="28" t="n">
        <v>0.23</v>
      </c>
      <c r="J25" s="19" t="n">
        <f aca="false">SUM($F25:$I25)</f>
        <v>1</v>
      </c>
      <c r="K25" s="26" t="n">
        <v>0.35</v>
      </c>
      <c r="L25" s="26" t="n">
        <v>1.1</v>
      </c>
      <c r="M25" s="26" t="n">
        <v>0.35</v>
      </c>
      <c r="N25" s="24" t="n">
        <f aca="false">$F25*$K25+$G25*($K25+$L25)/2+$H25*$L25+$I25*($L25+$M25)/2</f>
        <v>0.7925</v>
      </c>
      <c r="O25" s="16" t="n">
        <f aca="false">$N25*$E25*AVERAGE(CLIMA_ETo_CHUVA!$G$8:$G$469)</f>
        <v>466.50461038961</v>
      </c>
      <c r="P25" s="8" t="s">
        <v>420</v>
      </c>
    </row>
    <row r="26" customFormat="false" ht="15" hidden="false" customHeight="false" outlineLevel="0" collapsed="false">
      <c r="B26" s="15" t="s">
        <v>454</v>
      </c>
      <c r="C26" s="8" t="s">
        <v>455</v>
      </c>
      <c r="D26" s="8" t="s">
        <v>429</v>
      </c>
      <c r="E26" s="27" t="n">
        <v>100</v>
      </c>
      <c r="F26" s="28" t="n">
        <v>0.2</v>
      </c>
      <c r="G26" s="28" t="n">
        <v>0.3</v>
      </c>
      <c r="H26" s="28" t="n">
        <v>0.3</v>
      </c>
      <c r="I26" s="28" t="n">
        <v>0.2</v>
      </c>
      <c r="J26" s="19" t="n">
        <f aca="false">SUM($F26:$I26)</f>
        <v>1</v>
      </c>
      <c r="K26" s="26" t="n">
        <v>0.4</v>
      </c>
      <c r="L26" s="26" t="n">
        <v>1.05</v>
      </c>
      <c r="M26" s="26" t="n">
        <v>0.35</v>
      </c>
      <c r="N26" s="24" t="n">
        <f aca="false">$F26*$K26+$G26*($K26+$L26)/2+$H26*$L26+$I26*($L26+$M26)/2</f>
        <v>0.7525</v>
      </c>
      <c r="O26" s="16" t="n">
        <f aca="false">$N26*$E26*AVERAGE(CLIMA_ETo_CHUVA!$G$8:$G$469)</f>
        <v>369.132196969697</v>
      </c>
      <c r="P26" s="8" t="s">
        <v>420</v>
      </c>
    </row>
    <row r="27" customFormat="false" ht="15" hidden="false" customHeight="false" outlineLevel="0" collapsed="false">
      <c r="B27" s="15" t="s">
        <v>456</v>
      </c>
      <c r="C27" s="8" t="s">
        <v>457</v>
      </c>
      <c r="D27" s="8" t="s">
        <v>429</v>
      </c>
      <c r="E27" s="27" t="n">
        <v>95</v>
      </c>
      <c r="F27" s="28" t="n">
        <v>0.21</v>
      </c>
      <c r="G27" s="28" t="n">
        <v>0.32</v>
      </c>
      <c r="H27" s="28" t="n">
        <v>0.31</v>
      </c>
      <c r="I27" s="28" t="n">
        <v>0.16</v>
      </c>
      <c r="J27" s="19" t="n">
        <f aca="false">SUM($F27:$I27)</f>
        <v>1</v>
      </c>
      <c r="K27" s="26" t="n">
        <v>0.4</v>
      </c>
      <c r="L27" s="26" t="n">
        <v>1.05</v>
      </c>
      <c r="M27" s="26" t="n">
        <v>0.35</v>
      </c>
      <c r="N27" s="24" t="n">
        <f aca="false">$F27*$K27+$G27*($K27+$L27)/2+$H27*$L27+$I27*($L27+$M27)/2</f>
        <v>0.7535</v>
      </c>
      <c r="O27" s="16" t="n">
        <f aca="false">$N27*$E27*AVERAGE(CLIMA_ETo_CHUVA!$G$8:$G$469)</f>
        <v>351.141601190476</v>
      </c>
      <c r="P27" s="8" t="s">
        <v>420</v>
      </c>
    </row>
    <row r="28" customFormat="false" ht="15" hidden="false" customHeight="false" outlineLevel="0" collapsed="false">
      <c r="B28" s="15" t="s">
        <v>458</v>
      </c>
      <c r="C28" s="8" t="s">
        <v>459</v>
      </c>
      <c r="D28" s="8" t="s">
        <v>429</v>
      </c>
      <c r="E28" s="27" t="n">
        <v>160</v>
      </c>
      <c r="F28" s="28" t="n">
        <v>0.19</v>
      </c>
      <c r="G28" s="28" t="n">
        <v>0.25</v>
      </c>
      <c r="H28" s="28" t="n">
        <v>0.31</v>
      </c>
      <c r="I28" s="28" t="n">
        <v>0.25</v>
      </c>
      <c r="J28" s="19" t="n">
        <f aca="false">SUM($F28:$I28)</f>
        <v>1</v>
      </c>
      <c r="K28" s="26" t="n">
        <v>0.3</v>
      </c>
      <c r="L28" s="26" t="n">
        <v>1.2</v>
      </c>
      <c r="M28" s="26" t="n">
        <v>0.6</v>
      </c>
      <c r="N28" s="24" t="n">
        <f aca="false">$F28*$K28+$G28*($K28+$L28)/2+$H28*$L28+$I28*($L28+$M28)/2</f>
        <v>0.8415</v>
      </c>
      <c r="O28" s="16" t="n">
        <f aca="false">$N28*$E28*AVERAGE(CLIMA_ETo_CHUVA!$G$8:$G$469)</f>
        <v>660.464571428572</v>
      </c>
      <c r="P28" s="8" t="s">
        <v>420</v>
      </c>
    </row>
    <row r="30" customFormat="false" ht="30" hidden="false" customHeight="true" outlineLevel="0" collapsed="false">
      <c r="B30" s="5" t="s">
        <v>460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</sheetData>
  <mergeCells count="3">
    <mergeCell ref="B2:Q2"/>
    <mergeCell ref="B3:Q3"/>
    <mergeCell ref="B30:P30"/>
  </mergeCells>
  <conditionalFormatting sqref="J6:J28">
    <cfRule type="cellIs" priority="2" operator="not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5"/>
    <col collapsed="false" customWidth="true" hidden="false" outlineLevel="0" max="5" min="4" style="0" width="11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10" min="8" style="0" width="13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24"/>
    <col collapsed="false" customWidth="true" hidden="false" outlineLevel="0" max="15" min="15" style="0" width="46"/>
    <col collapsed="false" customWidth="true" hidden="false" outlineLevel="0" max="16" min="16" style="0" width="14"/>
    <col collapsed="false" customWidth="true" hidden="false" outlineLevel="0" max="17" min="17" style="0" width="26"/>
  </cols>
  <sheetData>
    <row r="2" customFormat="false" ht="30" hidden="false" customHeight="true" outlineLevel="0" collapsed="false">
      <c r="B2" s="1" t="s">
        <v>461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5.5" hidden="false" customHeight="true" outlineLevel="0" collapsed="false">
      <c r="B3" s="2" t="s">
        <v>462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customFormat="false" ht="30" hidden="false" customHeight="true" outlineLevel="0" collapsed="false">
      <c r="B5" s="14" t="s">
        <v>463</v>
      </c>
      <c r="C5" s="14" t="s">
        <v>464</v>
      </c>
      <c r="D5" s="14" t="s">
        <v>243</v>
      </c>
      <c r="E5" s="14" t="s">
        <v>245</v>
      </c>
      <c r="F5" s="14" t="s">
        <v>223</v>
      </c>
      <c r="G5" s="14" t="s">
        <v>299</v>
      </c>
      <c r="H5" s="14" t="s">
        <v>406</v>
      </c>
      <c r="I5" s="14" t="s">
        <v>465</v>
      </c>
      <c r="J5" s="14" t="s">
        <v>90</v>
      </c>
      <c r="K5" s="14" t="s">
        <v>466</v>
      </c>
      <c r="L5" s="14" t="s">
        <v>68</v>
      </c>
      <c r="M5" s="14" t="s">
        <v>244</v>
      </c>
      <c r="N5" s="14" t="s">
        <v>467</v>
      </c>
      <c r="O5" s="14" t="s">
        <v>468</v>
      </c>
      <c r="P5" s="14" t="s">
        <v>469</v>
      </c>
      <c r="Q5" s="14" t="s">
        <v>258</v>
      </c>
    </row>
    <row r="6" customFormat="false" ht="15" hidden="false" customHeight="false" outlineLevel="0" collapsed="false">
      <c r="B6" s="16" t="n">
        <v>1</v>
      </c>
      <c r="C6" s="25" t="str">
        <f aca="false">SAFRA</f>
        <v>2026/2027 - RDM</v>
      </c>
      <c r="D6" s="15" t="s">
        <v>264</v>
      </c>
      <c r="E6" s="29" t="n">
        <f aca="false">IFERROR(INDEX(CADASTRO_PIVOS!$E$6:$E$41,MATCH($D6,CADASTRO_PIVOS!$B$6:$B$41,0)),0)</f>
        <v>129.16</v>
      </c>
      <c r="F6" s="21" t="s">
        <v>234</v>
      </c>
      <c r="G6" s="21" t="s">
        <v>470</v>
      </c>
      <c r="H6" s="21" t="s">
        <v>422</v>
      </c>
      <c r="I6" s="30" t="n">
        <v>46359</v>
      </c>
      <c r="J6" s="30" t="n">
        <v>46554</v>
      </c>
      <c r="K6" s="16" t="n">
        <f aca="false">MAX(1,$J6-$I6)</f>
        <v>195</v>
      </c>
      <c r="L6" s="25" t="str">
        <f aca="false">IFERROR(INDEX(CADASTRO_PIVOS!$C$6:$C$41,MATCH($D6,CADASTRO_PIVOS!$B$6:$B$41,0)),"?")</f>
        <v>RM04</v>
      </c>
      <c r="M6" s="25" t="str">
        <f aca="false">IFERROR(INDEX(CADASTRO_PIVOS!$D$6:$D$41,MATCH($D6,CADASTRO_PIVOS!$B$6:$B$41,0)),"?")</f>
        <v>TR04</v>
      </c>
      <c r="N6" s="8" t="str">
        <f aca="false">UPPER($F6)&amp;"|"&amp;$H6</f>
        <v>ALGODAO|MEDIA</v>
      </c>
      <c r="O6" s="8" t="s">
        <v>471</v>
      </c>
      <c r="P6" s="8" t="s">
        <v>472</v>
      </c>
      <c r="Q6" s="8" t="str">
        <f aca="false">IF(ISNA(MATCH($N6,PARAMETROS_CULTURAS!$B$6:$B$28,0)),"SEM CURVA DE Kc","OK")</f>
        <v>OK</v>
      </c>
    </row>
    <row r="7" customFormat="false" ht="15" hidden="false" customHeight="false" outlineLevel="0" collapsed="false">
      <c r="B7" s="16" t="n">
        <v>2</v>
      </c>
      <c r="C7" s="25" t="str">
        <f aca="false">SAFRA</f>
        <v>2026/2027 - RDM</v>
      </c>
      <c r="D7" s="15" t="s">
        <v>265</v>
      </c>
      <c r="E7" s="29" t="n">
        <f aca="false">IFERROR(INDEX(CADASTRO_PIVOS!$E$6:$E$41,MATCH($D7,CADASTRO_PIVOS!$B$6:$B$41,0)),0)</f>
        <v>100.07</v>
      </c>
      <c r="F7" s="21" t="s">
        <v>236</v>
      </c>
      <c r="G7" s="21" t="s">
        <v>473</v>
      </c>
      <c r="H7" s="21" t="s">
        <v>429</v>
      </c>
      <c r="I7" s="30" t="n">
        <v>46200</v>
      </c>
      <c r="J7" s="30" t="n">
        <v>46360</v>
      </c>
      <c r="K7" s="16" t="n">
        <f aca="false">MAX(1,$J7-$I7)</f>
        <v>160</v>
      </c>
      <c r="L7" s="25" t="str">
        <f aca="false">IFERROR(INDEX(CADASTRO_PIVOS!$C$6:$C$41,MATCH($D7,CADASTRO_PIVOS!$B$6:$B$41,0)),"?")</f>
        <v>RM04</v>
      </c>
      <c r="M7" s="25" t="str">
        <f aca="false">IFERROR(INDEX(CADASTRO_PIVOS!$D$6:$D$41,MATCH($D7,CADASTRO_PIVOS!$B$6:$B$41,0)),"?")</f>
        <v>TR04</v>
      </c>
      <c r="N7" s="8" t="str">
        <f aca="false">UPPER($F7)&amp;"|"&amp;$H7</f>
        <v>MILHO_SEMENTE|PADRAO</v>
      </c>
      <c r="O7" s="31" t="s">
        <v>474</v>
      </c>
      <c r="P7" s="8" t="s">
        <v>475</v>
      </c>
      <c r="Q7" s="8" t="str">
        <f aca="false">IF(ISNA(MATCH($N7,PARAMETROS_CULTURAS!$B$6:$B$28,0)),"SEM CURVA DE Kc","OK")</f>
        <v>OK</v>
      </c>
    </row>
    <row r="8" customFormat="false" ht="15" hidden="false" customHeight="false" outlineLevel="0" collapsed="false">
      <c r="B8" s="16" t="n">
        <v>3</v>
      </c>
      <c r="C8" s="25" t="str">
        <f aca="false">SAFRA</f>
        <v>2026/2027 - RDM</v>
      </c>
      <c r="D8" s="15" t="s">
        <v>265</v>
      </c>
      <c r="E8" s="29" t="n">
        <f aca="false">IFERROR(INDEX(CADASTRO_PIVOS!$E$6:$E$41,MATCH($D8,CADASTRO_PIVOS!$B$6:$B$41,0)),0)</f>
        <v>100.07</v>
      </c>
      <c r="F8" s="21" t="s">
        <v>234</v>
      </c>
      <c r="G8" s="21" t="s">
        <v>476</v>
      </c>
      <c r="H8" s="21" t="s">
        <v>422</v>
      </c>
      <c r="I8" s="30" t="n">
        <v>46367</v>
      </c>
      <c r="J8" s="30" t="n">
        <v>46562</v>
      </c>
      <c r="K8" s="16" t="n">
        <f aca="false">MAX(1,$J8-$I8)</f>
        <v>195</v>
      </c>
      <c r="L8" s="25" t="str">
        <f aca="false">IFERROR(INDEX(CADASTRO_PIVOS!$C$6:$C$41,MATCH($D8,CADASTRO_PIVOS!$B$6:$B$41,0)),"?")</f>
        <v>RM04</v>
      </c>
      <c r="M8" s="25" t="str">
        <f aca="false">IFERROR(INDEX(CADASTRO_PIVOS!$D$6:$D$41,MATCH($D8,CADASTRO_PIVOS!$B$6:$B$41,0)),"?")</f>
        <v>TR04</v>
      </c>
      <c r="N8" s="8" t="str">
        <f aca="false">UPPER($F8)&amp;"|"&amp;$H8</f>
        <v>ALGODAO|MEDIA</v>
      </c>
      <c r="O8" s="8" t="s">
        <v>471</v>
      </c>
      <c r="P8" s="8" t="s">
        <v>472</v>
      </c>
      <c r="Q8" s="8" t="str">
        <f aca="false">IF(ISNA(MATCH($N8,PARAMETROS_CULTURAS!$B$6:$B$28,0)),"SEM CURVA DE Kc","OK")</f>
        <v>OK</v>
      </c>
    </row>
    <row r="9" customFormat="false" ht="15" hidden="false" customHeight="false" outlineLevel="0" collapsed="false">
      <c r="B9" s="16" t="n">
        <v>4</v>
      </c>
      <c r="C9" s="25" t="str">
        <f aca="false">SAFRA</f>
        <v>2026/2027 - RDM</v>
      </c>
      <c r="D9" s="15" t="s">
        <v>266</v>
      </c>
      <c r="E9" s="29" t="n">
        <f aca="false">IFERROR(INDEX(CADASTRO_PIVOS!$E$6:$E$41,MATCH($D9,CADASTRO_PIVOS!$B$6:$B$41,0)),0)</f>
        <v>99.76</v>
      </c>
      <c r="F9" s="21" t="s">
        <v>234</v>
      </c>
      <c r="G9" s="21" t="s">
        <v>477</v>
      </c>
      <c r="H9" s="21" t="s">
        <v>422</v>
      </c>
      <c r="I9" s="30" t="n">
        <v>46359</v>
      </c>
      <c r="J9" s="30" t="n">
        <v>46554</v>
      </c>
      <c r="K9" s="16" t="n">
        <f aca="false">MAX(1,$J9-$I9)</f>
        <v>195</v>
      </c>
      <c r="L9" s="25" t="str">
        <f aca="false">IFERROR(INDEX(CADASTRO_PIVOS!$C$6:$C$41,MATCH($D9,CADASTRO_PIVOS!$B$6:$B$41,0)),"?")</f>
        <v>RM04</v>
      </c>
      <c r="M9" s="25" t="str">
        <f aca="false">IFERROR(INDEX(CADASTRO_PIVOS!$D$6:$D$41,MATCH($D9,CADASTRO_PIVOS!$B$6:$B$41,0)),"?")</f>
        <v>TR04</v>
      </c>
      <c r="N9" s="8" t="str">
        <f aca="false">UPPER($F9)&amp;"|"&amp;$H9</f>
        <v>ALGODAO|MEDIA</v>
      </c>
      <c r="O9" s="8" t="s">
        <v>471</v>
      </c>
      <c r="P9" s="8" t="s">
        <v>472</v>
      </c>
      <c r="Q9" s="8" t="str">
        <f aca="false">IF(ISNA(MATCH($N9,PARAMETROS_CULTURAS!$B$6:$B$28,0)),"SEM CURVA DE Kc","OK")</f>
        <v>OK</v>
      </c>
    </row>
    <row r="10" customFormat="false" ht="15" hidden="false" customHeight="false" outlineLevel="0" collapsed="false">
      <c r="B10" s="16" t="n">
        <v>5</v>
      </c>
      <c r="C10" s="25" t="str">
        <f aca="false">SAFRA</f>
        <v>2026/2027 - RDM</v>
      </c>
      <c r="D10" s="15" t="s">
        <v>267</v>
      </c>
      <c r="E10" s="29" t="n">
        <f aca="false">IFERROR(INDEX(CADASTRO_PIVOS!$E$6:$E$41,MATCH($D10,CADASTRO_PIVOS!$B$6:$B$41,0)),0)</f>
        <v>100.41</v>
      </c>
      <c r="F10" s="21" t="s">
        <v>237</v>
      </c>
      <c r="G10" s="21" t="s">
        <v>478</v>
      </c>
      <c r="H10" s="21" t="s">
        <v>422</v>
      </c>
      <c r="I10" s="30" t="n">
        <v>46291</v>
      </c>
      <c r="J10" s="30" t="n">
        <v>46405</v>
      </c>
      <c r="K10" s="16" t="n">
        <f aca="false">MAX(1,$J10-$I10)</f>
        <v>114</v>
      </c>
      <c r="L10" s="25" t="str">
        <f aca="false">IFERROR(INDEX(CADASTRO_PIVOS!$C$6:$C$41,MATCH($D10,CADASTRO_PIVOS!$B$6:$B$41,0)),"?")</f>
        <v>RM04</v>
      </c>
      <c r="M10" s="25" t="str">
        <f aca="false">IFERROR(INDEX(CADASTRO_PIVOS!$D$6:$D$41,MATCH($D10,CADASTRO_PIVOS!$B$6:$B$41,0)),"?")</f>
        <v>TR04</v>
      </c>
      <c r="N10" s="8" t="str">
        <f aca="false">UPPER($F10)&amp;"|"&amp;$H10</f>
        <v>SOJA|MEDIA</v>
      </c>
      <c r="O10" s="8" t="s">
        <v>471</v>
      </c>
      <c r="P10" s="8" t="s">
        <v>479</v>
      </c>
      <c r="Q10" s="8" t="str">
        <f aca="false">IF(ISNA(MATCH($N10,PARAMETROS_CULTURAS!$B$6:$B$28,0)),"SEM CURVA DE Kc","OK")</f>
        <v>OK</v>
      </c>
    </row>
    <row r="11" customFormat="false" ht="15" hidden="false" customHeight="false" outlineLevel="0" collapsed="false">
      <c r="B11" s="16" t="n">
        <v>6</v>
      </c>
      <c r="C11" s="25" t="str">
        <f aca="false">SAFRA</f>
        <v>2026/2027 - RDM</v>
      </c>
      <c r="D11" s="15" t="s">
        <v>267</v>
      </c>
      <c r="E11" s="29" t="n">
        <f aca="false">IFERROR(INDEX(CADASTRO_PIVOS!$E$6:$E$41,MATCH($D11,CADASTRO_PIVOS!$B$6:$B$41,0)),0)</f>
        <v>100.41</v>
      </c>
      <c r="F11" s="21" t="s">
        <v>234</v>
      </c>
      <c r="G11" s="21" t="s">
        <v>480</v>
      </c>
      <c r="H11" s="21" t="s">
        <v>419</v>
      </c>
      <c r="I11" s="30" t="n">
        <v>46423</v>
      </c>
      <c r="J11" s="30" t="n">
        <v>46603</v>
      </c>
      <c r="K11" s="16" t="n">
        <f aca="false">MAX(1,$J11-$I11)</f>
        <v>180</v>
      </c>
      <c r="L11" s="25" t="str">
        <f aca="false">IFERROR(INDEX(CADASTRO_PIVOS!$C$6:$C$41,MATCH($D11,CADASTRO_PIVOS!$B$6:$B$41,0)),"?")</f>
        <v>RM04</v>
      </c>
      <c r="M11" s="25" t="str">
        <f aca="false">IFERROR(INDEX(CADASTRO_PIVOS!$D$6:$D$41,MATCH($D11,CADASTRO_PIVOS!$B$6:$B$41,0)),"?")</f>
        <v>TR04</v>
      </c>
      <c r="N11" s="8" t="str">
        <f aca="false">UPPER($F11)&amp;"|"&amp;$H11</f>
        <v>ALGODAO|PRECOCE</v>
      </c>
      <c r="O11" s="8" t="s">
        <v>471</v>
      </c>
      <c r="P11" s="8" t="s">
        <v>472</v>
      </c>
      <c r="Q11" s="8" t="str">
        <f aca="false">IF(ISNA(MATCH($N11,PARAMETROS_CULTURAS!$B$6:$B$28,0)),"SEM CURVA DE Kc","OK")</f>
        <v>OK</v>
      </c>
    </row>
    <row r="12" customFormat="false" ht="15" hidden="false" customHeight="false" outlineLevel="0" collapsed="false">
      <c r="B12" s="16" t="n">
        <v>7</v>
      </c>
      <c r="C12" s="25" t="str">
        <f aca="false">SAFRA</f>
        <v>2026/2027 - RDM</v>
      </c>
      <c r="D12" s="15" t="s">
        <v>262</v>
      </c>
      <c r="E12" s="29" t="n">
        <f aca="false">IFERROR(INDEX(CADASTRO_PIVOS!$E$6:$E$41,MATCH($D12,CADASTRO_PIVOS!$B$6:$B$41,0)),0)</f>
        <v>98.2</v>
      </c>
      <c r="F12" s="21" t="s">
        <v>237</v>
      </c>
      <c r="G12" s="21" t="s">
        <v>478</v>
      </c>
      <c r="H12" s="21" t="s">
        <v>422</v>
      </c>
      <c r="I12" s="30" t="n">
        <v>46293</v>
      </c>
      <c r="J12" s="30" t="n">
        <v>46407</v>
      </c>
      <c r="K12" s="16" t="n">
        <f aca="false">MAX(1,$J12-$I12)</f>
        <v>114</v>
      </c>
      <c r="L12" s="25" t="str">
        <f aca="false">IFERROR(INDEX(CADASTRO_PIVOS!$C$6:$C$41,MATCH($D12,CADASTRO_PIVOS!$B$6:$B$41,0)),"?")</f>
        <v>RM03</v>
      </c>
      <c r="M12" s="25" t="str">
        <f aca="false">IFERROR(INDEX(CADASTRO_PIVOS!$D$6:$D$41,MATCH($D12,CADASTRO_PIVOS!$B$6:$B$41,0)),"?")</f>
        <v>TR03</v>
      </c>
      <c r="N12" s="8" t="str">
        <f aca="false">UPPER($F12)&amp;"|"&amp;$H12</f>
        <v>SOJA|MEDIA</v>
      </c>
      <c r="O12" s="8" t="s">
        <v>471</v>
      </c>
      <c r="P12" s="8" t="s">
        <v>479</v>
      </c>
      <c r="Q12" s="8" t="str">
        <f aca="false">IF(ISNA(MATCH($N12,PARAMETROS_CULTURAS!$B$6:$B$28,0)),"SEM CURVA DE Kc","OK")</f>
        <v>OK</v>
      </c>
    </row>
    <row r="13" customFormat="false" ht="15" hidden="false" customHeight="false" outlineLevel="0" collapsed="false">
      <c r="B13" s="16" t="n">
        <v>8</v>
      </c>
      <c r="C13" s="25" t="str">
        <f aca="false">SAFRA</f>
        <v>2026/2027 - RDM</v>
      </c>
      <c r="D13" s="15" t="s">
        <v>262</v>
      </c>
      <c r="E13" s="29" t="n">
        <f aca="false">IFERROR(INDEX(CADASTRO_PIVOS!$E$6:$E$41,MATCH($D13,CADASTRO_PIVOS!$B$6:$B$41,0)),0)</f>
        <v>98.2</v>
      </c>
      <c r="F13" s="21" t="s">
        <v>234</v>
      </c>
      <c r="G13" s="21" t="s">
        <v>470</v>
      </c>
      <c r="H13" s="21" t="s">
        <v>422</v>
      </c>
      <c r="I13" s="30" t="n">
        <v>46424</v>
      </c>
      <c r="J13" s="30" t="n">
        <v>46619</v>
      </c>
      <c r="K13" s="16" t="n">
        <f aca="false">MAX(1,$J13-$I13)</f>
        <v>195</v>
      </c>
      <c r="L13" s="25" t="str">
        <f aca="false">IFERROR(INDEX(CADASTRO_PIVOS!$C$6:$C$41,MATCH($D13,CADASTRO_PIVOS!$B$6:$B$41,0)),"?")</f>
        <v>RM03</v>
      </c>
      <c r="M13" s="25" t="str">
        <f aca="false">IFERROR(INDEX(CADASTRO_PIVOS!$D$6:$D$41,MATCH($D13,CADASTRO_PIVOS!$B$6:$B$41,0)),"?")</f>
        <v>TR03</v>
      </c>
      <c r="N13" s="8" t="str">
        <f aca="false">UPPER($F13)&amp;"|"&amp;$H13</f>
        <v>ALGODAO|MEDIA</v>
      </c>
      <c r="O13" s="8" t="s">
        <v>471</v>
      </c>
      <c r="P13" s="8" t="s">
        <v>472</v>
      </c>
      <c r="Q13" s="8" t="str">
        <f aca="false">IF(ISNA(MATCH($N13,PARAMETROS_CULTURAS!$B$6:$B$28,0)),"SEM CURVA DE Kc","OK")</f>
        <v>OK</v>
      </c>
    </row>
    <row r="14" customFormat="false" ht="15" hidden="false" customHeight="false" outlineLevel="0" collapsed="false">
      <c r="B14" s="16" t="n">
        <v>9</v>
      </c>
      <c r="C14" s="25" t="str">
        <f aca="false">SAFRA</f>
        <v>2026/2027 - RDM</v>
      </c>
      <c r="D14" s="15" t="s">
        <v>260</v>
      </c>
      <c r="E14" s="29" t="n">
        <f aca="false">IFERROR(INDEX(CADASTRO_PIVOS!$E$6:$E$41,MATCH($D14,CADASTRO_PIVOS!$B$6:$B$41,0)),0)</f>
        <v>100.59</v>
      </c>
      <c r="F14" s="21" t="s">
        <v>234</v>
      </c>
      <c r="G14" s="21" t="s">
        <v>481</v>
      </c>
      <c r="H14" s="21" t="s">
        <v>422</v>
      </c>
      <c r="I14" s="30" t="n">
        <v>46070</v>
      </c>
      <c r="J14" s="30" t="n">
        <v>46268</v>
      </c>
      <c r="K14" s="16" t="n">
        <f aca="false">MAX(1,$J14-$I14)</f>
        <v>198</v>
      </c>
      <c r="L14" s="25" t="str">
        <f aca="false">IFERROR(INDEX(CADASTRO_PIVOS!$C$6:$C$41,MATCH($D14,CADASTRO_PIVOS!$B$6:$B$41,0)),"?")</f>
        <v>RM02</v>
      </c>
      <c r="M14" s="25" t="str">
        <f aca="false">IFERROR(INDEX(CADASTRO_PIVOS!$D$6:$D$41,MATCH($D14,CADASTRO_PIVOS!$B$6:$B$41,0)),"?")</f>
        <v>TR02</v>
      </c>
      <c r="N14" s="8" t="str">
        <f aca="false">UPPER($F14)&amp;"|"&amp;$H14</f>
        <v>ALGODAO|MEDIA</v>
      </c>
      <c r="O14" s="31" t="s">
        <v>482</v>
      </c>
      <c r="P14" s="8" t="s">
        <v>475</v>
      </c>
      <c r="Q14" s="8" t="str">
        <f aca="false">IF(ISNA(MATCH($N14,PARAMETROS_CULTURAS!$B$6:$B$28,0)),"SEM CURVA DE Kc","OK")</f>
        <v>OK</v>
      </c>
    </row>
    <row r="15" customFormat="false" ht="15" hidden="false" customHeight="false" outlineLevel="0" collapsed="false">
      <c r="B15" s="16" t="n">
        <v>10</v>
      </c>
      <c r="C15" s="25" t="str">
        <f aca="false">SAFRA</f>
        <v>2026/2027 - RDM</v>
      </c>
      <c r="D15" s="15" t="s">
        <v>260</v>
      </c>
      <c r="E15" s="29" t="n">
        <f aca="false">IFERROR(INDEX(CADASTRO_PIVOS!$E$6:$E$41,MATCH($D15,CADASTRO_PIVOS!$B$6:$B$41,0)),0)</f>
        <v>100.59</v>
      </c>
      <c r="F15" s="21" t="s">
        <v>237</v>
      </c>
      <c r="G15" s="21" t="s">
        <v>483</v>
      </c>
      <c r="H15" s="21" t="s">
        <v>422</v>
      </c>
      <c r="I15" s="30" t="n">
        <v>46291</v>
      </c>
      <c r="J15" s="30" t="n">
        <v>46407</v>
      </c>
      <c r="K15" s="16" t="n">
        <f aca="false">MAX(1,$J15-$I15)</f>
        <v>116</v>
      </c>
      <c r="L15" s="25" t="str">
        <f aca="false">IFERROR(INDEX(CADASTRO_PIVOS!$C$6:$C$41,MATCH($D15,CADASTRO_PIVOS!$B$6:$B$41,0)),"?")</f>
        <v>RM02</v>
      </c>
      <c r="M15" s="25" t="str">
        <f aca="false">IFERROR(INDEX(CADASTRO_PIVOS!$D$6:$D$41,MATCH($D15,CADASTRO_PIVOS!$B$6:$B$41,0)),"?")</f>
        <v>TR02</v>
      </c>
      <c r="N15" s="8" t="str">
        <f aca="false">UPPER($F15)&amp;"|"&amp;$H15</f>
        <v>SOJA|MEDIA</v>
      </c>
      <c r="O15" s="8" t="s">
        <v>471</v>
      </c>
      <c r="P15" s="8" t="s">
        <v>479</v>
      </c>
      <c r="Q15" s="8" t="str">
        <f aca="false">IF(ISNA(MATCH($N15,PARAMETROS_CULTURAS!$B$6:$B$28,0)),"SEM CURVA DE Kc","OK")</f>
        <v>OK</v>
      </c>
    </row>
    <row r="16" customFormat="false" ht="15" hidden="false" customHeight="false" outlineLevel="0" collapsed="false">
      <c r="B16" s="16" t="n">
        <v>11</v>
      </c>
      <c r="C16" s="25" t="str">
        <f aca="false">SAFRA</f>
        <v>2026/2027 - RDM</v>
      </c>
      <c r="D16" s="15" t="s">
        <v>260</v>
      </c>
      <c r="E16" s="29" t="n">
        <f aca="false">IFERROR(INDEX(CADASTRO_PIVOS!$E$6:$E$41,MATCH($D16,CADASTRO_PIVOS!$B$6:$B$41,0)),0)</f>
        <v>100.59</v>
      </c>
      <c r="F16" s="21" t="s">
        <v>234</v>
      </c>
      <c r="G16" s="21" t="s">
        <v>480</v>
      </c>
      <c r="H16" s="21" t="s">
        <v>419</v>
      </c>
      <c r="I16" s="30" t="n">
        <v>46423</v>
      </c>
      <c r="J16" s="30" t="n">
        <v>46603</v>
      </c>
      <c r="K16" s="16" t="n">
        <f aca="false">MAX(1,$J16-$I16)</f>
        <v>180</v>
      </c>
      <c r="L16" s="25" t="str">
        <f aca="false">IFERROR(INDEX(CADASTRO_PIVOS!$C$6:$C$41,MATCH($D16,CADASTRO_PIVOS!$B$6:$B$41,0)),"?")</f>
        <v>RM02</v>
      </c>
      <c r="M16" s="25" t="str">
        <f aca="false">IFERROR(INDEX(CADASTRO_PIVOS!$D$6:$D$41,MATCH($D16,CADASTRO_PIVOS!$B$6:$B$41,0)),"?")</f>
        <v>TR02</v>
      </c>
      <c r="N16" s="8" t="str">
        <f aca="false">UPPER($F16)&amp;"|"&amp;$H16</f>
        <v>ALGODAO|PRECOCE</v>
      </c>
      <c r="O16" s="8" t="s">
        <v>471</v>
      </c>
      <c r="P16" s="8" t="s">
        <v>472</v>
      </c>
      <c r="Q16" s="8" t="str">
        <f aca="false">IF(ISNA(MATCH($N16,PARAMETROS_CULTURAS!$B$6:$B$28,0)),"SEM CURVA DE Kc","OK")</f>
        <v>OK</v>
      </c>
    </row>
    <row r="17" customFormat="false" ht="15" hidden="false" customHeight="false" outlineLevel="0" collapsed="false">
      <c r="B17" s="16" t="n">
        <v>12</v>
      </c>
      <c r="C17" s="25" t="str">
        <f aca="false">SAFRA</f>
        <v>2026/2027 - RDM</v>
      </c>
      <c r="D17" s="15" t="s">
        <v>263</v>
      </c>
      <c r="E17" s="29" t="n">
        <f aca="false">IFERROR(INDEX(CADASTRO_PIVOS!$E$6:$E$41,MATCH($D17,CADASTRO_PIVOS!$B$6:$B$41,0)),0)</f>
        <v>99.58</v>
      </c>
      <c r="F17" s="21" t="s">
        <v>237</v>
      </c>
      <c r="G17" s="21" t="s">
        <v>483</v>
      </c>
      <c r="H17" s="21" t="s">
        <v>422</v>
      </c>
      <c r="I17" s="30" t="n">
        <v>46293</v>
      </c>
      <c r="J17" s="30" t="n">
        <v>46409</v>
      </c>
      <c r="K17" s="16" t="n">
        <f aca="false">MAX(1,$J17-$I17)</f>
        <v>116</v>
      </c>
      <c r="L17" s="25" t="str">
        <f aca="false">IFERROR(INDEX(CADASTRO_PIVOS!$C$6:$C$41,MATCH($D17,CADASTRO_PIVOS!$B$6:$B$41,0)),"?")</f>
        <v>RM03</v>
      </c>
      <c r="M17" s="25" t="str">
        <f aca="false">IFERROR(INDEX(CADASTRO_PIVOS!$D$6:$D$41,MATCH($D17,CADASTRO_PIVOS!$B$6:$B$41,0)),"?")</f>
        <v>TR03</v>
      </c>
      <c r="N17" s="8" t="str">
        <f aca="false">UPPER($F17)&amp;"|"&amp;$H17</f>
        <v>SOJA|MEDIA</v>
      </c>
      <c r="O17" s="8" t="s">
        <v>471</v>
      </c>
      <c r="P17" s="8" t="s">
        <v>479</v>
      </c>
      <c r="Q17" s="8" t="str">
        <f aca="false">IF(ISNA(MATCH($N17,PARAMETROS_CULTURAS!$B$6:$B$28,0)),"SEM CURVA DE Kc","OK")</f>
        <v>OK</v>
      </c>
    </row>
    <row r="18" customFormat="false" ht="15" hidden="false" customHeight="false" outlineLevel="0" collapsed="false">
      <c r="B18" s="16" t="n">
        <v>13</v>
      </c>
      <c r="C18" s="25" t="str">
        <f aca="false">SAFRA</f>
        <v>2026/2027 - RDM</v>
      </c>
      <c r="D18" s="15" t="s">
        <v>263</v>
      </c>
      <c r="E18" s="29" t="n">
        <f aca="false">IFERROR(INDEX(CADASTRO_PIVOS!$E$6:$E$41,MATCH($D18,CADASTRO_PIVOS!$B$6:$B$41,0)),0)</f>
        <v>99.58</v>
      </c>
      <c r="F18" s="21" t="s">
        <v>234</v>
      </c>
      <c r="G18" s="21" t="s">
        <v>470</v>
      </c>
      <c r="H18" s="21" t="s">
        <v>422</v>
      </c>
      <c r="I18" s="30" t="n">
        <v>46424</v>
      </c>
      <c r="J18" s="30" t="n">
        <v>46619</v>
      </c>
      <c r="K18" s="16" t="n">
        <f aca="false">MAX(1,$J18-$I18)</f>
        <v>195</v>
      </c>
      <c r="L18" s="25" t="str">
        <f aca="false">IFERROR(INDEX(CADASTRO_PIVOS!$C$6:$C$41,MATCH($D18,CADASTRO_PIVOS!$B$6:$B$41,0)),"?")</f>
        <v>RM03</v>
      </c>
      <c r="M18" s="25" t="str">
        <f aca="false">IFERROR(INDEX(CADASTRO_PIVOS!$D$6:$D$41,MATCH($D18,CADASTRO_PIVOS!$B$6:$B$41,0)),"?")</f>
        <v>TR03</v>
      </c>
      <c r="N18" s="8" t="str">
        <f aca="false">UPPER($F18)&amp;"|"&amp;$H18</f>
        <v>ALGODAO|MEDIA</v>
      </c>
      <c r="O18" s="8" t="s">
        <v>471</v>
      </c>
      <c r="P18" s="8" t="s">
        <v>472</v>
      </c>
      <c r="Q18" s="8" t="str">
        <f aca="false">IF(ISNA(MATCH($N18,PARAMETROS_CULTURAS!$B$6:$B$28,0)),"SEM CURVA DE Kc","OK")</f>
        <v>OK</v>
      </c>
    </row>
    <row r="19" customFormat="false" ht="15" hidden="false" customHeight="false" outlineLevel="0" collapsed="false">
      <c r="B19" s="16" t="n">
        <v>14</v>
      </c>
      <c r="C19" s="25" t="str">
        <f aca="false">SAFRA</f>
        <v>2026/2027 - RDM</v>
      </c>
      <c r="D19" s="15" t="s">
        <v>261</v>
      </c>
      <c r="E19" s="29" t="n">
        <f aca="false">IFERROR(INDEX(CADASTRO_PIVOS!$E$6:$E$41,MATCH($D19,CADASTRO_PIVOS!$B$6:$B$41,0)),0)</f>
        <v>100.06</v>
      </c>
      <c r="F19" s="21" t="s">
        <v>234</v>
      </c>
      <c r="G19" s="21" t="s">
        <v>470</v>
      </c>
      <c r="H19" s="21" t="s">
        <v>422</v>
      </c>
      <c r="I19" s="30" t="n">
        <v>46360</v>
      </c>
      <c r="J19" s="30" t="n">
        <v>46555</v>
      </c>
      <c r="K19" s="16" t="n">
        <f aca="false">MAX(1,$J19-$I19)</f>
        <v>195</v>
      </c>
      <c r="L19" s="25" t="str">
        <f aca="false">IFERROR(INDEX(CADASTRO_PIVOS!$C$6:$C$41,MATCH($D19,CADASTRO_PIVOS!$B$6:$B$41,0)),"?")</f>
        <v>RM02</v>
      </c>
      <c r="M19" s="25" t="str">
        <f aca="false">IFERROR(INDEX(CADASTRO_PIVOS!$D$6:$D$41,MATCH($D19,CADASTRO_PIVOS!$B$6:$B$41,0)),"?")</f>
        <v>TR02</v>
      </c>
      <c r="N19" s="8" t="str">
        <f aca="false">UPPER($F19)&amp;"|"&amp;$H19</f>
        <v>ALGODAO|MEDIA</v>
      </c>
      <c r="O19" s="8" t="s">
        <v>471</v>
      </c>
      <c r="P19" s="8" t="s">
        <v>472</v>
      </c>
      <c r="Q19" s="8" t="str">
        <f aca="false">IF(ISNA(MATCH($N19,PARAMETROS_CULTURAS!$B$6:$B$28,0)),"SEM CURVA DE Kc","OK")</f>
        <v>OK</v>
      </c>
    </row>
    <row r="20" customFormat="false" ht="15" hidden="false" customHeight="false" outlineLevel="0" collapsed="false">
      <c r="B20" s="16" t="n">
        <v>15</v>
      </c>
      <c r="C20" s="25" t="str">
        <f aca="false">SAFRA</f>
        <v>2026/2027 - RDM</v>
      </c>
      <c r="D20" s="15" t="s">
        <v>259</v>
      </c>
      <c r="E20" s="29" t="n">
        <f aca="false">IFERROR(INDEX(CADASTRO_PIVOS!$E$6:$E$41,MATCH($D20,CADASTRO_PIVOS!$B$6:$B$41,0)),0)</f>
        <v>98.31</v>
      </c>
      <c r="F20" s="21" t="s">
        <v>237</v>
      </c>
      <c r="G20" s="21" t="s">
        <v>484</v>
      </c>
      <c r="H20" s="21" t="s">
        <v>419</v>
      </c>
      <c r="I20" s="30" t="n">
        <v>46290</v>
      </c>
      <c r="J20" s="30" t="n">
        <v>46398</v>
      </c>
      <c r="K20" s="16" t="n">
        <f aca="false">MAX(1,$J20-$I20)</f>
        <v>108</v>
      </c>
      <c r="L20" s="25" t="str">
        <f aca="false">IFERROR(INDEX(CADASTRO_PIVOS!$C$6:$C$41,MATCH($D20,CADASTRO_PIVOS!$B$6:$B$41,0)),"?")</f>
        <v>RM01</v>
      </c>
      <c r="M20" s="25" t="str">
        <f aca="false">IFERROR(INDEX(CADASTRO_PIVOS!$D$6:$D$41,MATCH($D20,CADASTRO_PIVOS!$B$6:$B$41,0)),"?")</f>
        <v>TR01</v>
      </c>
      <c r="N20" s="8" t="str">
        <f aca="false">UPPER($F20)&amp;"|"&amp;$H20</f>
        <v>SOJA|PRECOCE</v>
      </c>
      <c r="O20" s="8" t="s">
        <v>471</v>
      </c>
      <c r="P20" s="8" t="s">
        <v>479</v>
      </c>
      <c r="Q20" s="8" t="str">
        <f aca="false">IF(ISNA(MATCH($N20,PARAMETROS_CULTURAS!$B$6:$B$28,0)),"SEM CURVA DE Kc","OK")</f>
        <v>OK</v>
      </c>
    </row>
    <row r="21" customFormat="false" ht="15" hidden="false" customHeight="false" outlineLevel="0" collapsed="false">
      <c r="B21" s="16" t="n">
        <v>16</v>
      </c>
      <c r="C21" s="25" t="str">
        <f aca="false">SAFRA</f>
        <v>2026/2027 - RDM</v>
      </c>
      <c r="D21" s="15" t="s">
        <v>259</v>
      </c>
      <c r="E21" s="29" t="n">
        <f aca="false">IFERROR(INDEX(CADASTRO_PIVOS!$E$6:$E$41,MATCH($D21,CADASTRO_PIVOS!$B$6:$B$41,0)),0)</f>
        <v>98.31</v>
      </c>
      <c r="F21" s="21" t="s">
        <v>234</v>
      </c>
      <c r="G21" s="21" t="s">
        <v>470</v>
      </c>
      <c r="H21" s="21" t="s">
        <v>422</v>
      </c>
      <c r="I21" s="30" t="n">
        <v>46422</v>
      </c>
      <c r="J21" s="30" t="n">
        <v>46617</v>
      </c>
      <c r="K21" s="16" t="n">
        <f aca="false">MAX(1,$J21-$I21)</f>
        <v>195</v>
      </c>
      <c r="L21" s="25" t="str">
        <f aca="false">IFERROR(INDEX(CADASTRO_PIVOS!$C$6:$C$41,MATCH($D21,CADASTRO_PIVOS!$B$6:$B$41,0)),"?")</f>
        <v>RM01</v>
      </c>
      <c r="M21" s="25" t="str">
        <f aca="false">IFERROR(INDEX(CADASTRO_PIVOS!$D$6:$D$41,MATCH($D21,CADASTRO_PIVOS!$B$6:$B$41,0)),"?")</f>
        <v>TR01</v>
      </c>
      <c r="N21" s="8" t="str">
        <f aca="false">UPPER($F21)&amp;"|"&amp;$H21</f>
        <v>ALGODAO|MEDIA</v>
      </c>
      <c r="O21" s="8" t="s">
        <v>471</v>
      </c>
      <c r="P21" s="8" t="s">
        <v>472</v>
      </c>
      <c r="Q21" s="8" t="str">
        <f aca="false">IF(ISNA(MATCH($N21,PARAMETROS_CULTURAS!$B$6:$B$28,0)),"SEM CURVA DE Kc","OK")</f>
        <v>OK</v>
      </c>
    </row>
    <row r="22" customFormat="false" ht="15" hidden="false" customHeight="false" outlineLevel="0" collapsed="false">
      <c r="B22" s="16" t="n">
        <v>17</v>
      </c>
      <c r="C22" s="25" t="str">
        <f aca="false">SAFRA</f>
        <v>2026/2027 - RDM</v>
      </c>
      <c r="D22" s="15" t="s">
        <v>268</v>
      </c>
      <c r="E22" s="29" t="n">
        <f aca="false">IFERROR(INDEX(CADASTRO_PIVOS!$E$6:$E$41,MATCH($D22,CADASTRO_PIVOS!$B$6:$B$41,0)),0)</f>
        <v>110</v>
      </c>
      <c r="F22" s="21" t="s">
        <v>237</v>
      </c>
      <c r="G22" s="21" t="s">
        <v>484</v>
      </c>
      <c r="H22" s="21" t="s">
        <v>419</v>
      </c>
      <c r="I22" s="30" t="n">
        <v>46290</v>
      </c>
      <c r="J22" s="30" t="n">
        <v>46398</v>
      </c>
      <c r="K22" s="16" t="n">
        <f aca="false">MAX(1,$J22-$I22)</f>
        <v>108</v>
      </c>
      <c r="L22" s="25" t="str">
        <f aca="false">IFERROR(INDEX(CADASTRO_PIVOS!$C$6:$C$41,MATCH($D22,CADASTRO_PIVOS!$B$6:$B$41,0)),"?")</f>
        <v>RM04</v>
      </c>
      <c r="M22" s="25" t="str">
        <f aca="false">IFERROR(INDEX(CADASTRO_PIVOS!$D$6:$D$41,MATCH($D22,CADASTRO_PIVOS!$B$6:$B$41,0)),"?")</f>
        <v>TR04</v>
      </c>
      <c r="N22" s="8" t="str">
        <f aca="false">UPPER($F22)&amp;"|"&amp;$H22</f>
        <v>SOJA|PRECOCE</v>
      </c>
      <c r="O22" s="8" t="s">
        <v>471</v>
      </c>
      <c r="P22" s="8" t="s">
        <v>479</v>
      </c>
      <c r="Q22" s="8" t="str">
        <f aca="false">IF(ISNA(MATCH($N22,PARAMETROS_CULTURAS!$B$6:$B$28,0)),"SEM CURVA DE Kc","OK")</f>
        <v>OK</v>
      </c>
    </row>
    <row r="23" customFormat="false" ht="15" hidden="false" customHeight="false" outlineLevel="0" collapsed="false">
      <c r="B23" s="16" t="n">
        <v>18</v>
      </c>
      <c r="C23" s="25" t="str">
        <f aca="false">SAFRA</f>
        <v>2026/2027 - RDM</v>
      </c>
      <c r="D23" s="15" t="s">
        <v>268</v>
      </c>
      <c r="E23" s="29" t="n">
        <f aca="false">IFERROR(INDEX(CADASTRO_PIVOS!$E$6:$E$41,MATCH($D23,CADASTRO_PIVOS!$B$6:$B$41,0)),0)</f>
        <v>110</v>
      </c>
      <c r="F23" s="21" t="s">
        <v>234</v>
      </c>
      <c r="G23" s="21" t="s">
        <v>470</v>
      </c>
      <c r="H23" s="21" t="s">
        <v>422</v>
      </c>
      <c r="I23" s="30" t="n">
        <v>46422</v>
      </c>
      <c r="J23" s="30" t="n">
        <v>46617</v>
      </c>
      <c r="K23" s="16" t="n">
        <f aca="false">MAX(1,$J23-$I23)</f>
        <v>195</v>
      </c>
      <c r="L23" s="25" t="str">
        <f aca="false">IFERROR(INDEX(CADASTRO_PIVOS!$C$6:$C$41,MATCH($D23,CADASTRO_PIVOS!$B$6:$B$41,0)),"?")</f>
        <v>RM04</v>
      </c>
      <c r="M23" s="25" t="str">
        <f aca="false">IFERROR(INDEX(CADASTRO_PIVOS!$D$6:$D$41,MATCH($D23,CADASTRO_PIVOS!$B$6:$B$41,0)),"?")</f>
        <v>TR04</v>
      </c>
      <c r="N23" s="8" t="str">
        <f aca="false">UPPER($F23)&amp;"|"&amp;$H23</f>
        <v>ALGODAO|MEDIA</v>
      </c>
      <c r="O23" s="8" t="s">
        <v>471</v>
      </c>
      <c r="P23" s="8" t="s">
        <v>472</v>
      </c>
      <c r="Q23" s="8" t="str">
        <f aca="false">IF(ISNA(MATCH($N23,PARAMETROS_CULTURAS!$B$6:$B$28,0)),"SEM CURVA DE Kc","OK")</f>
        <v>OK</v>
      </c>
    </row>
    <row r="24" customFormat="false" ht="15" hidden="false" customHeight="false" outlineLevel="0" collapsed="false">
      <c r="B24" s="16" t="n">
        <v>19</v>
      </c>
      <c r="C24" s="25" t="str">
        <f aca="false">SAFRA</f>
        <v>2026/2027 - RDM</v>
      </c>
      <c r="D24" s="15" t="s">
        <v>269</v>
      </c>
      <c r="E24" s="29" t="n">
        <f aca="false">IFERROR(INDEX(CADASTRO_PIVOS!$E$6:$E$41,MATCH($D24,CADASTRO_PIVOS!$B$6:$B$41,0)),0)</f>
        <v>149.98</v>
      </c>
      <c r="F24" s="21" t="s">
        <v>237</v>
      </c>
      <c r="G24" s="21" t="s">
        <v>483</v>
      </c>
      <c r="H24" s="21" t="s">
        <v>422</v>
      </c>
      <c r="I24" s="30" t="n">
        <v>46307</v>
      </c>
      <c r="J24" s="30" t="n">
        <v>46423</v>
      </c>
      <c r="K24" s="16" t="n">
        <f aca="false">MAX(1,$J24-$I24)</f>
        <v>116</v>
      </c>
      <c r="L24" s="25" t="str">
        <f aca="false">IFERROR(INDEX(CADASTRO_PIVOS!$C$6:$C$41,MATCH($D24,CADASTRO_PIVOS!$B$6:$B$41,0)),"?")</f>
        <v>RM05</v>
      </c>
      <c r="M24" s="25" t="str">
        <f aca="false">IFERROR(INDEX(CADASTRO_PIVOS!$D$6:$D$41,MATCH($D24,CADASTRO_PIVOS!$B$6:$B$41,0)),"?")</f>
        <v>TR05</v>
      </c>
      <c r="N24" s="8" t="str">
        <f aca="false">UPPER($F24)&amp;"|"&amp;$H24</f>
        <v>SOJA|MEDIA</v>
      </c>
      <c r="O24" s="8" t="s">
        <v>471</v>
      </c>
      <c r="P24" s="8" t="s">
        <v>479</v>
      </c>
      <c r="Q24" s="8" t="str">
        <f aca="false">IF(ISNA(MATCH($N24,PARAMETROS_CULTURAS!$B$6:$B$28,0)),"SEM CURVA DE Kc","OK")</f>
        <v>OK</v>
      </c>
    </row>
    <row r="25" customFormat="false" ht="15" hidden="false" customHeight="false" outlineLevel="0" collapsed="false">
      <c r="B25" s="16" t="n">
        <v>20</v>
      </c>
      <c r="C25" s="25" t="str">
        <f aca="false">SAFRA</f>
        <v>2026/2027 - RDM</v>
      </c>
      <c r="D25" s="15" t="s">
        <v>269</v>
      </c>
      <c r="E25" s="29" t="n">
        <f aca="false">IFERROR(INDEX(CADASTRO_PIVOS!$E$6:$E$41,MATCH($D25,CADASTRO_PIVOS!$B$6:$B$41,0)),0)</f>
        <v>149.98</v>
      </c>
      <c r="F25" s="21" t="s">
        <v>236</v>
      </c>
      <c r="G25" s="21"/>
      <c r="H25" s="21" t="s">
        <v>429</v>
      </c>
      <c r="I25" s="30" t="n">
        <v>46539</v>
      </c>
      <c r="J25" s="30" t="n">
        <v>46684</v>
      </c>
      <c r="K25" s="16" t="n">
        <f aca="false">MAX(1,$J25-$I25)</f>
        <v>145</v>
      </c>
      <c r="L25" s="25" t="str">
        <f aca="false">IFERROR(INDEX(CADASTRO_PIVOS!$C$6:$C$41,MATCH($D25,CADASTRO_PIVOS!$B$6:$B$41,0)),"?")</f>
        <v>RM05</v>
      </c>
      <c r="M25" s="25" t="str">
        <f aca="false">IFERROR(INDEX(CADASTRO_PIVOS!$D$6:$D$41,MATCH($D25,CADASTRO_PIVOS!$B$6:$B$41,0)),"?")</f>
        <v>TR05</v>
      </c>
      <c r="N25" s="8" t="str">
        <f aca="false">UPPER($F25)&amp;"|"&amp;$H25</f>
        <v>MILHO_SEMENTE|PADRAO</v>
      </c>
      <c r="O25" s="8" t="s">
        <v>471</v>
      </c>
      <c r="P25" s="8" t="s">
        <v>472</v>
      </c>
      <c r="Q25" s="8" t="str">
        <f aca="false">IF(ISNA(MATCH($N25,PARAMETROS_CULTURAS!$B$6:$B$28,0)),"SEM CURVA DE Kc","OK")</f>
        <v>OK</v>
      </c>
    </row>
    <row r="26" customFormat="false" ht="15" hidden="false" customHeight="false" outlineLevel="0" collapsed="false">
      <c r="B26" s="16" t="n">
        <v>21</v>
      </c>
      <c r="C26" s="25" t="str">
        <f aca="false">SAFRA</f>
        <v>2026/2027 - RDM</v>
      </c>
      <c r="D26" s="15" t="s">
        <v>270</v>
      </c>
      <c r="E26" s="29" t="n">
        <f aca="false">IFERROR(INDEX(CADASTRO_PIVOS!$E$6:$E$41,MATCH($D26,CADASTRO_PIVOS!$B$6:$B$41,0)),0)</f>
        <v>149.98</v>
      </c>
      <c r="F26" s="21" t="s">
        <v>234</v>
      </c>
      <c r="G26" s="21" t="s">
        <v>485</v>
      </c>
      <c r="H26" s="21" t="s">
        <v>422</v>
      </c>
      <c r="I26" s="30" t="n">
        <v>46068</v>
      </c>
      <c r="J26" s="30" t="n">
        <v>46266</v>
      </c>
      <c r="K26" s="16" t="n">
        <f aca="false">MAX(1,$J26-$I26)</f>
        <v>198</v>
      </c>
      <c r="L26" s="25" t="str">
        <f aca="false">IFERROR(INDEX(CADASTRO_PIVOS!$C$6:$C$41,MATCH($D26,CADASTRO_PIVOS!$B$6:$B$41,0)),"?")</f>
        <v>RM05</v>
      </c>
      <c r="M26" s="25" t="str">
        <f aca="false">IFERROR(INDEX(CADASTRO_PIVOS!$D$6:$D$41,MATCH($D26,CADASTRO_PIVOS!$B$6:$B$41,0)),"?")</f>
        <v>TR05</v>
      </c>
      <c r="N26" s="8" t="str">
        <f aca="false">UPPER($F26)&amp;"|"&amp;$H26</f>
        <v>ALGODAO|MEDIA</v>
      </c>
      <c r="O26" s="31" t="s">
        <v>482</v>
      </c>
      <c r="P26" s="8" t="s">
        <v>475</v>
      </c>
      <c r="Q26" s="8" t="str">
        <f aca="false">IF(ISNA(MATCH($N26,PARAMETROS_CULTURAS!$B$6:$B$28,0)),"SEM CURVA DE Kc","OK")</f>
        <v>OK</v>
      </c>
    </row>
    <row r="27" customFormat="false" ht="15" hidden="false" customHeight="false" outlineLevel="0" collapsed="false">
      <c r="B27" s="16" t="n">
        <v>22</v>
      </c>
      <c r="C27" s="25" t="str">
        <f aca="false">SAFRA</f>
        <v>2026/2027 - RDM</v>
      </c>
      <c r="D27" s="15" t="s">
        <v>270</v>
      </c>
      <c r="E27" s="29" t="n">
        <f aca="false">IFERROR(INDEX(CADASTRO_PIVOS!$E$6:$E$41,MATCH($D27,CADASTRO_PIVOS!$B$6:$B$41,0)),0)</f>
        <v>149.98</v>
      </c>
      <c r="F27" s="21" t="s">
        <v>237</v>
      </c>
      <c r="G27" s="21" t="s">
        <v>483</v>
      </c>
      <c r="H27" s="21" t="s">
        <v>422</v>
      </c>
      <c r="I27" s="30" t="n">
        <v>46307</v>
      </c>
      <c r="J27" s="30" t="n">
        <v>46423</v>
      </c>
      <c r="K27" s="16" t="n">
        <f aca="false">MAX(1,$J27-$I27)</f>
        <v>116</v>
      </c>
      <c r="L27" s="25" t="str">
        <f aca="false">IFERROR(INDEX(CADASTRO_PIVOS!$C$6:$C$41,MATCH($D27,CADASTRO_PIVOS!$B$6:$B$41,0)),"?")</f>
        <v>RM05</v>
      </c>
      <c r="M27" s="25" t="str">
        <f aca="false">IFERROR(INDEX(CADASTRO_PIVOS!$D$6:$D$41,MATCH($D27,CADASTRO_PIVOS!$B$6:$B$41,0)),"?")</f>
        <v>TR05</v>
      </c>
      <c r="N27" s="8" t="str">
        <f aca="false">UPPER($F27)&amp;"|"&amp;$H27</f>
        <v>SOJA|MEDIA</v>
      </c>
      <c r="O27" s="8" t="s">
        <v>471</v>
      </c>
      <c r="P27" s="8" t="s">
        <v>479</v>
      </c>
      <c r="Q27" s="8" t="str">
        <f aca="false">IF(ISNA(MATCH($N27,PARAMETROS_CULTURAS!$B$6:$B$28,0)),"SEM CURVA DE Kc","OK")</f>
        <v>OK</v>
      </c>
    </row>
    <row r="28" customFormat="false" ht="15" hidden="false" customHeight="false" outlineLevel="0" collapsed="false">
      <c r="B28" s="16" t="n">
        <v>23</v>
      </c>
      <c r="C28" s="25" t="str">
        <f aca="false">SAFRA</f>
        <v>2026/2027 - RDM</v>
      </c>
      <c r="D28" s="15" t="s">
        <v>270</v>
      </c>
      <c r="E28" s="29" t="n">
        <f aca="false">IFERROR(INDEX(CADASTRO_PIVOS!$E$6:$E$41,MATCH($D28,CADASTRO_PIVOS!$B$6:$B$41,0)),0)</f>
        <v>149.98</v>
      </c>
      <c r="F28" s="21" t="s">
        <v>236</v>
      </c>
      <c r="G28" s="21"/>
      <c r="H28" s="21" t="s">
        <v>429</v>
      </c>
      <c r="I28" s="30" t="n">
        <v>46542</v>
      </c>
      <c r="J28" s="30" t="n">
        <v>46687</v>
      </c>
      <c r="K28" s="16" t="n">
        <f aca="false">MAX(1,$J28-$I28)</f>
        <v>145</v>
      </c>
      <c r="L28" s="25" t="str">
        <f aca="false">IFERROR(INDEX(CADASTRO_PIVOS!$C$6:$C$41,MATCH($D28,CADASTRO_PIVOS!$B$6:$B$41,0)),"?")</f>
        <v>RM05</v>
      </c>
      <c r="M28" s="25" t="str">
        <f aca="false">IFERROR(INDEX(CADASTRO_PIVOS!$D$6:$D$41,MATCH($D28,CADASTRO_PIVOS!$B$6:$B$41,0)),"?")</f>
        <v>TR05</v>
      </c>
      <c r="N28" s="8" t="str">
        <f aca="false">UPPER($F28)&amp;"|"&amp;$H28</f>
        <v>MILHO_SEMENTE|PADRAO</v>
      </c>
      <c r="O28" s="8" t="s">
        <v>471</v>
      </c>
      <c r="P28" s="8" t="s">
        <v>472</v>
      </c>
      <c r="Q28" s="8" t="str">
        <f aca="false">IF(ISNA(MATCH($N28,PARAMETROS_CULTURAS!$B$6:$B$28,0)),"SEM CURVA DE Kc","OK")</f>
        <v>OK</v>
      </c>
    </row>
    <row r="29" customFormat="false" ht="15" hidden="false" customHeight="false" outlineLevel="0" collapsed="false">
      <c r="B29" s="16" t="n">
        <v>24</v>
      </c>
      <c r="C29" s="25" t="str">
        <f aca="false">SAFRA</f>
        <v>2026/2027 - RDM</v>
      </c>
      <c r="D29" s="15" t="s">
        <v>271</v>
      </c>
      <c r="E29" s="29" t="n">
        <f aca="false">IFERROR(INDEX(CADASTRO_PIVOS!$E$6:$E$41,MATCH($D29,CADASTRO_PIVOS!$B$6:$B$41,0)),0)</f>
        <v>119.98</v>
      </c>
      <c r="F29" s="21" t="s">
        <v>234</v>
      </c>
      <c r="G29" s="21" t="s">
        <v>486</v>
      </c>
      <c r="H29" s="21" t="s">
        <v>422</v>
      </c>
      <c r="I29" s="30" t="n">
        <v>46356</v>
      </c>
      <c r="J29" s="30" t="n">
        <v>46551</v>
      </c>
      <c r="K29" s="16" t="n">
        <f aca="false">MAX(1,$J29-$I29)</f>
        <v>195</v>
      </c>
      <c r="L29" s="25" t="str">
        <f aca="false">IFERROR(INDEX(CADASTRO_PIVOS!$C$6:$C$41,MATCH($D29,CADASTRO_PIVOS!$B$6:$B$41,0)),"?")</f>
        <v>RM05</v>
      </c>
      <c r="M29" s="25" t="str">
        <f aca="false">IFERROR(INDEX(CADASTRO_PIVOS!$D$6:$D$41,MATCH($D29,CADASTRO_PIVOS!$B$6:$B$41,0)),"?")</f>
        <v>TR05</v>
      </c>
      <c r="N29" s="8" t="str">
        <f aca="false">UPPER($F29)&amp;"|"&amp;$H29</f>
        <v>ALGODAO|MEDIA</v>
      </c>
      <c r="O29" s="8" t="s">
        <v>471</v>
      </c>
      <c r="P29" s="8" t="s">
        <v>472</v>
      </c>
      <c r="Q29" s="8" t="str">
        <f aca="false">IF(ISNA(MATCH($N29,PARAMETROS_CULTURAS!$B$6:$B$28,0)),"SEM CURVA DE Kc","OK")</f>
        <v>OK</v>
      </c>
    </row>
    <row r="30" customFormat="false" ht="15" hidden="false" customHeight="false" outlineLevel="0" collapsed="false">
      <c r="B30" s="16" t="n">
        <v>25</v>
      </c>
      <c r="C30" s="25" t="str">
        <f aca="false">SAFRA</f>
        <v>2026/2027 - RDM</v>
      </c>
      <c r="D30" s="15" t="s">
        <v>272</v>
      </c>
      <c r="E30" s="29" t="n">
        <f aca="false">IFERROR(INDEX(CADASTRO_PIVOS!$E$6:$E$41,MATCH($D30,CADASTRO_PIVOS!$B$6:$B$41,0)),0)</f>
        <v>149.94</v>
      </c>
      <c r="F30" s="21" t="s">
        <v>234</v>
      </c>
      <c r="G30" s="21" t="s">
        <v>486</v>
      </c>
      <c r="H30" s="21" t="s">
        <v>422</v>
      </c>
      <c r="I30" s="30" t="n">
        <v>46356</v>
      </c>
      <c r="J30" s="30" t="n">
        <v>46551</v>
      </c>
      <c r="K30" s="16" t="n">
        <f aca="false">MAX(1,$J30-$I30)</f>
        <v>195</v>
      </c>
      <c r="L30" s="25" t="str">
        <f aca="false">IFERROR(INDEX(CADASTRO_PIVOS!$C$6:$C$41,MATCH($D30,CADASTRO_PIVOS!$B$6:$B$41,0)),"?")</f>
        <v>RM05</v>
      </c>
      <c r="M30" s="25" t="str">
        <f aca="false">IFERROR(INDEX(CADASTRO_PIVOS!$D$6:$D$41,MATCH($D30,CADASTRO_PIVOS!$B$6:$B$41,0)),"?")</f>
        <v>TR05</v>
      </c>
      <c r="N30" s="8" t="str">
        <f aca="false">UPPER($F30)&amp;"|"&amp;$H30</f>
        <v>ALGODAO|MEDIA</v>
      </c>
      <c r="O30" s="8" t="s">
        <v>471</v>
      </c>
      <c r="P30" s="8" t="s">
        <v>472</v>
      </c>
      <c r="Q30" s="8" t="str">
        <f aca="false">IF(ISNA(MATCH($N30,PARAMETROS_CULTURAS!$B$6:$B$28,0)),"SEM CURVA DE Kc","OK")</f>
        <v>OK</v>
      </c>
    </row>
    <row r="31" customFormat="false" ht="15" hidden="false" customHeight="false" outlineLevel="0" collapsed="false">
      <c r="B31" s="16" t="n">
        <v>26</v>
      </c>
      <c r="C31" s="25" t="str">
        <f aca="false">SAFRA</f>
        <v>2026/2027 - RDM</v>
      </c>
      <c r="D31" s="15" t="s">
        <v>275</v>
      </c>
      <c r="E31" s="29" t="n">
        <f aca="false">IFERROR(INDEX(CADASTRO_PIVOS!$E$6:$E$41,MATCH($D31,CADASTRO_PIVOS!$B$6:$B$41,0)),0)</f>
        <v>149.55</v>
      </c>
      <c r="F31" s="21" t="s">
        <v>234</v>
      </c>
      <c r="G31" s="21" t="s">
        <v>487</v>
      </c>
      <c r="H31" s="21" t="s">
        <v>419</v>
      </c>
      <c r="I31" s="30" t="n">
        <v>46093</v>
      </c>
      <c r="J31" s="30" t="n">
        <v>46276</v>
      </c>
      <c r="K31" s="16" t="n">
        <f aca="false">MAX(1,$J31-$I31)</f>
        <v>183</v>
      </c>
      <c r="L31" s="25" t="str">
        <f aca="false">IFERROR(INDEX(CADASTRO_PIVOS!$C$6:$C$41,MATCH($D31,CADASTRO_PIVOS!$B$6:$B$41,0)),"?")</f>
        <v>RM06</v>
      </c>
      <c r="M31" s="25" t="str">
        <f aca="false">IFERROR(INDEX(CADASTRO_PIVOS!$D$6:$D$41,MATCH($D31,CADASTRO_PIVOS!$B$6:$B$41,0)),"?")</f>
        <v>TR06</v>
      </c>
      <c r="N31" s="8" t="str">
        <f aca="false">UPPER($F31)&amp;"|"&amp;$H31</f>
        <v>ALGODAO|PRECOCE</v>
      </c>
      <c r="O31" s="31" t="s">
        <v>488</v>
      </c>
      <c r="P31" s="8" t="s">
        <v>475</v>
      </c>
      <c r="Q31" s="8" t="str">
        <f aca="false">IF(ISNA(MATCH($N31,PARAMETROS_CULTURAS!$B$6:$B$28,0)),"SEM CURVA DE Kc","OK")</f>
        <v>OK</v>
      </c>
    </row>
    <row r="32" customFormat="false" ht="15" hidden="false" customHeight="false" outlineLevel="0" collapsed="false">
      <c r="B32" s="16" t="n">
        <v>27</v>
      </c>
      <c r="C32" s="25" t="str">
        <f aca="false">SAFRA</f>
        <v>2026/2027 - RDM</v>
      </c>
      <c r="D32" s="15" t="s">
        <v>275</v>
      </c>
      <c r="E32" s="29" t="n">
        <f aca="false">IFERROR(INDEX(CADASTRO_PIVOS!$E$6:$E$41,MATCH($D32,CADASTRO_PIVOS!$B$6:$B$41,0)),0)</f>
        <v>149.55</v>
      </c>
      <c r="F32" s="21" t="s">
        <v>234</v>
      </c>
      <c r="G32" s="21" t="s">
        <v>486</v>
      </c>
      <c r="H32" s="21" t="s">
        <v>422</v>
      </c>
      <c r="I32" s="30" t="n">
        <v>46355</v>
      </c>
      <c r="J32" s="30" t="n">
        <v>46550</v>
      </c>
      <c r="K32" s="16" t="n">
        <f aca="false">MAX(1,$J32-$I32)</f>
        <v>195</v>
      </c>
      <c r="L32" s="25" t="str">
        <f aca="false">IFERROR(INDEX(CADASTRO_PIVOS!$C$6:$C$41,MATCH($D32,CADASTRO_PIVOS!$B$6:$B$41,0)),"?")</f>
        <v>RM06</v>
      </c>
      <c r="M32" s="25" t="str">
        <f aca="false">IFERROR(INDEX(CADASTRO_PIVOS!$D$6:$D$41,MATCH($D32,CADASTRO_PIVOS!$B$6:$B$41,0)),"?")</f>
        <v>TR06</v>
      </c>
      <c r="N32" s="8" t="str">
        <f aca="false">UPPER($F32)&amp;"|"&amp;$H32</f>
        <v>ALGODAO|MEDIA</v>
      </c>
      <c r="O32" s="8" t="s">
        <v>471</v>
      </c>
      <c r="P32" s="8" t="s">
        <v>472</v>
      </c>
      <c r="Q32" s="8" t="str">
        <f aca="false">IF(ISNA(MATCH($N32,PARAMETROS_CULTURAS!$B$6:$B$28,0)),"SEM CURVA DE Kc","OK")</f>
        <v>OK</v>
      </c>
    </row>
    <row r="33" customFormat="false" ht="15" hidden="false" customHeight="false" outlineLevel="0" collapsed="false">
      <c r="B33" s="16" t="n">
        <v>28</v>
      </c>
      <c r="C33" s="25" t="str">
        <f aca="false">SAFRA</f>
        <v>2026/2027 - RDM</v>
      </c>
      <c r="D33" s="15" t="s">
        <v>276</v>
      </c>
      <c r="E33" s="29" t="n">
        <f aca="false">IFERROR(INDEX(CADASTRO_PIVOS!$E$6:$E$41,MATCH($D33,CADASTRO_PIVOS!$B$6:$B$41,0)),0)</f>
        <v>149.94</v>
      </c>
      <c r="F33" s="21" t="s">
        <v>234</v>
      </c>
      <c r="G33" s="21" t="s">
        <v>489</v>
      </c>
      <c r="H33" s="21" t="s">
        <v>422</v>
      </c>
      <c r="I33" s="30" t="n">
        <v>46073</v>
      </c>
      <c r="J33" s="30" t="n">
        <v>46271</v>
      </c>
      <c r="K33" s="16" t="n">
        <f aca="false">MAX(1,$J33-$I33)</f>
        <v>198</v>
      </c>
      <c r="L33" s="25" t="str">
        <f aca="false">IFERROR(INDEX(CADASTRO_PIVOS!$C$6:$C$41,MATCH($D33,CADASTRO_PIVOS!$B$6:$B$41,0)),"?")</f>
        <v>RM06</v>
      </c>
      <c r="M33" s="25" t="str">
        <f aca="false">IFERROR(INDEX(CADASTRO_PIVOS!$D$6:$D$41,MATCH($D33,CADASTRO_PIVOS!$B$6:$B$41,0)),"?")</f>
        <v>TR06</v>
      </c>
      <c r="N33" s="8" t="str">
        <f aca="false">UPPER($F33)&amp;"|"&amp;$H33</f>
        <v>ALGODAO|MEDIA</v>
      </c>
      <c r="O33" s="31" t="s">
        <v>482</v>
      </c>
      <c r="P33" s="8" t="s">
        <v>475</v>
      </c>
      <c r="Q33" s="8" t="str">
        <f aca="false">IF(ISNA(MATCH($N33,PARAMETROS_CULTURAS!$B$6:$B$28,0)),"SEM CURVA DE Kc","OK")</f>
        <v>OK</v>
      </c>
    </row>
    <row r="34" customFormat="false" ht="15" hidden="false" customHeight="false" outlineLevel="0" collapsed="false">
      <c r="B34" s="16" t="n">
        <v>29</v>
      </c>
      <c r="C34" s="25" t="str">
        <f aca="false">SAFRA</f>
        <v>2026/2027 - RDM</v>
      </c>
      <c r="D34" s="15" t="s">
        <v>276</v>
      </c>
      <c r="E34" s="29" t="n">
        <f aca="false">IFERROR(INDEX(CADASTRO_PIVOS!$E$6:$E$41,MATCH($D34,CADASTRO_PIVOS!$B$6:$B$41,0)),0)</f>
        <v>149.94</v>
      </c>
      <c r="F34" s="21" t="s">
        <v>234</v>
      </c>
      <c r="G34" s="21" t="s">
        <v>486</v>
      </c>
      <c r="H34" s="21" t="s">
        <v>422</v>
      </c>
      <c r="I34" s="30" t="n">
        <v>46356</v>
      </c>
      <c r="J34" s="30" t="n">
        <v>46551</v>
      </c>
      <c r="K34" s="16" t="n">
        <f aca="false">MAX(1,$J34-$I34)</f>
        <v>195</v>
      </c>
      <c r="L34" s="25" t="str">
        <f aca="false">IFERROR(INDEX(CADASTRO_PIVOS!$C$6:$C$41,MATCH($D34,CADASTRO_PIVOS!$B$6:$B$41,0)),"?")</f>
        <v>RM06</v>
      </c>
      <c r="M34" s="25" t="str">
        <f aca="false">IFERROR(INDEX(CADASTRO_PIVOS!$D$6:$D$41,MATCH($D34,CADASTRO_PIVOS!$B$6:$B$41,0)),"?")</f>
        <v>TR06</v>
      </c>
      <c r="N34" s="8" t="str">
        <f aca="false">UPPER($F34)&amp;"|"&amp;$H34</f>
        <v>ALGODAO|MEDIA</v>
      </c>
      <c r="O34" s="8" t="s">
        <v>471</v>
      </c>
      <c r="P34" s="8" t="s">
        <v>472</v>
      </c>
      <c r="Q34" s="8" t="str">
        <f aca="false">IF(ISNA(MATCH($N34,PARAMETROS_CULTURAS!$B$6:$B$28,0)),"SEM CURVA DE Kc","OK")</f>
        <v>OK</v>
      </c>
    </row>
    <row r="35" customFormat="false" ht="15" hidden="false" customHeight="false" outlineLevel="0" collapsed="false">
      <c r="B35" s="16" t="n">
        <v>30</v>
      </c>
      <c r="C35" s="25" t="str">
        <f aca="false">SAFRA</f>
        <v>2026/2027 - RDM</v>
      </c>
      <c r="D35" s="15" t="s">
        <v>277</v>
      </c>
      <c r="E35" s="29" t="n">
        <f aca="false">IFERROR(INDEX(CADASTRO_PIVOS!$E$6:$E$41,MATCH($D35,CADASTRO_PIVOS!$B$6:$B$41,0)),0)</f>
        <v>146.49</v>
      </c>
      <c r="F35" s="21" t="s">
        <v>238</v>
      </c>
      <c r="G35" s="21" t="s">
        <v>490</v>
      </c>
      <c r="H35" s="21" t="s">
        <v>429</v>
      </c>
      <c r="I35" s="30" t="n">
        <v>46389</v>
      </c>
      <c r="J35" s="30" t="n">
        <v>46549</v>
      </c>
      <c r="K35" s="16" t="n">
        <f aca="false">MAX(1,$J35-$I35)</f>
        <v>160</v>
      </c>
      <c r="L35" s="25" t="str">
        <f aca="false">IFERROR(INDEX(CADASTRO_PIVOS!$C$6:$C$41,MATCH($D35,CADASTRO_PIVOS!$B$6:$B$41,0)),"?")</f>
        <v>RM06</v>
      </c>
      <c r="M35" s="25" t="str">
        <f aca="false">IFERROR(INDEX(CADASTRO_PIVOS!$D$6:$D$41,MATCH($D35,CADASTRO_PIVOS!$B$6:$B$41,0)),"?")</f>
        <v>TR06</v>
      </c>
      <c r="N35" s="8" t="str">
        <f aca="false">UPPER($F35)&amp;"|"&amp;$H35</f>
        <v>TABACO|PADRAO</v>
      </c>
      <c r="O35" s="8" t="s">
        <v>471</v>
      </c>
      <c r="P35" s="8" t="s">
        <v>491</v>
      </c>
      <c r="Q35" s="8" t="str">
        <f aca="false">IF(ISNA(MATCH($N35,PARAMETROS_CULTURAS!$B$6:$B$28,0)),"SEM CURVA DE Kc","OK")</f>
        <v>OK</v>
      </c>
    </row>
    <row r="36" customFormat="false" ht="15" hidden="false" customHeight="false" outlineLevel="0" collapsed="false">
      <c r="B36" s="16" t="n">
        <v>31</v>
      </c>
      <c r="C36" s="25" t="str">
        <f aca="false">SAFRA</f>
        <v>2026/2027 - RDM</v>
      </c>
      <c r="D36" s="15" t="s">
        <v>277</v>
      </c>
      <c r="E36" s="29" t="n">
        <f aca="false">IFERROR(INDEX(CADASTRO_PIVOS!$E$6:$E$41,MATCH($D36,CADASTRO_PIVOS!$B$6:$B$41,0)),0)</f>
        <v>146.49</v>
      </c>
      <c r="F36" s="21" t="s">
        <v>235</v>
      </c>
      <c r="G36" s="21"/>
      <c r="H36" s="21" t="s">
        <v>429</v>
      </c>
      <c r="I36" s="30" t="n">
        <v>46559</v>
      </c>
      <c r="J36" s="30" t="n">
        <v>46719</v>
      </c>
      <c r="K36" s="16" t="n">
        <f aca="false">MAX(1,$J36-$I36)</f>
        <v>160</v>
      </c>
      <c r="L36" s="25" t="str">
        <f aca="false">IFERROR(INDEX(CADASTRO_PIVOS!$C$6:$C$41,MATCH($D36,CADASTRO_PIVOS!$B$6:$B$41,0)),"?")</f>
        <v>RM06</v>
      </c>
      <c r="M36" s="25" t="str">
        <f aca="false">IFERROR(INDEX(CADASTRO_PIVOS!$D$6:$D$41,MATCH($D36,CADASTRO_PIVOS!$B$6:$B$41,0)),"?")</f>
        <v>TR06</v>
      </c>
      <c r="N36" s="8" t="str">
        <f aca="false">UPPER($F36)&amp;"|"&amp;$H36</f>
        <v>MILHO_GRAO|PADRAO</v>
      </c>
      <c r="O36" s="8" t="s">
        <v>471</v>
      </c>
      <c r="P36" s="8" t="s">
        <v>479</v>
      </c>
      <c r="Q36" s="8" t="str">
        <f aca="false">IF(ISNA(MATCH($N36,PARAMETROS_CULTURAS!$B$6:$B$28,0)),"SEM CURVA DE Kc","OK")</f>
        <v>OK</v>
      </c>
    </row>
    <row r="37" customFormat="false" ht="15" hidden="false" customHeight="false" outlineLevel="0" collapsed="false">
      <c r="B37" s="16" t="n">
        <v>32</v>
      </c>
      <c r="C37" s="25" t="str">
        <f aca="false">SAFRA</f>
        <v>2026/2027 - RDM</v>
      </c>
      <c r="D37" s="15" t="s">
        <v>278</v>
      </c>
      <c r="E37" s="29" t="n">
        <f aca="false">IFERROR(INDEX(CADASTRO_PIVOS!$E$6:$E$41,MATCH($D37,CADASTRO_PIVOS!$B$6:$B$41,0)),0)</f>
        <v>149.94</v>
      </c>
      <c r="F37" s="21" t="s">
        <v>238</v>
      </c>
      <c r="G37" s="21" t="s">
        <v>490</v>
      </c>
      <c r="H37" s="21" t="s">
        <v>429</v>
      </c>
      <c r="I37" s="30" t="n">
        <v>46380</v>
      </c>
      <c r="J37" s="30" t="n">
        <v>46540</v>
      </c>
      <c r="K37" s="16" t="n">
        <f aca="false">MAX(1,$J37-$I37)</f>
        <v>160</v>
      </c>
      <c r="L37" s="25" t="str">
        <f aca="false">IFERROR(INDEX(CADASTRO_PIVOS!$C$6:$C$41,MATCH($D37,CADASTRO_PIVOS!$B$6:$B$41,0)),"?")</f>
        <v>RM06</v>
      </c>
      <c r="M37" s="25" t="str">
        <f aca="false">IFERROR(INDEX(CADASTRO_PIVOS!$D$6:$D$41,MATCH($D37,CADASTRO_PIVOS!$B$6:$B$41,0)),"?")</f>
        <v>TR06</v>
      </c>
      <c r="N37" s="8" t="str">
        <f aca="false">UPPER($F37)&amp;"|"&amp;$H37</f>
        <v>TABACO|PADRAO</v>
      </c>
      <c r="O37" s="8" t="s">
        <v>471</v>
      </c>
      <c r="P37" s="8" t="s">
        <v>491</v>
      </c>
      <c r="Q37" s="8" t="str">
        <f aca="false">IF(ISNA(MATCH($N37,PARAMETROS_CULTURAS!$B$6:$B$28,0)),"SEM CURVA DE Kc","OK")</f>
        <v>OK</v>
      </c>
    </row>
    <row r="38" customFormat="false" ht="15" hidden="false" customHeight="false" outlineLevel="0" collapsed="false">
      <c r="B38" s="16" t="n">
        <v>33</v>
      </c>
      <c r="C38" s="25" t="str">
        <f aca="false">SAFRA</f>
        <v>2026/2027 - RDM</v>
      </c>
      <c r="D38" s="15" t="s">
        <v>278</v>
      </c>
      <c r="E38" s="29" t="n">
        <f aca="false">IFERROR(INDEX(CADASTRO_PIVOS!$E$6:$E$41,MATCH($D38,CADASTRO_PIVOS!$B$6:$B$41,0)),0)</f>
        <v>149.94</v>
      </c>
      <c r="F38" s="21" t="s">
        <v>235</v>
      </c>
      <c r="G38" s="21"/>
      <c r="H38" s="21" t="s">
        <v>429</v>
      </c>
      <c r="I38" s="30" t="n">
        <v>46550</v>
      </c>
      <c r="J38" s="30" t="n">
        <v>46710</v>
      </c>
      <c r="K38" s="16" t="n">
        <f aca="false">MAX(1,$J38-$I38)</f>
        <v>160</v>
      </c>
      <c r="L38" s="25" t="str">
        <f aca="false">IFERROR(INDEX(CADASTRO_PIVOS!$C$6:$C$41,MATCH($D38,CADASTRO_PIVOS!$B$6:$B$41,0)),"?")</f>
        <v>RM06</v>
      </c>
      <c r="M38" s="25" t="str">
        <f aca="false">IFERROR(INDEX(CADASTRO_PIVOS!$D$6:$D$41,MATCH($D38,CADASTRO_PIVOS!$B$6:$B$41,0)),"?")</f>
        <v>TR06</v>
      </c>
      <c r="N38" s="8" t="str">
        <f aca="false">UPPER($F38)&amp;"|"&amp;$H38</f>
        <v>MILHO_GRAO|PADRAO</v>
      </c>
      <c r="O38" s="8" t="s">
        <v>471</v>
      </c>
      <c r="P38" s="8" t="s">
        <v>479</v>
      </c>
      <c r="Q38" s="8" t="str">
        <f aca="false">IF(ISNA(MATCH($N38,PARAMETROS_CULTURAS!$B$6:$B$28,0)),"SEM CURVA DE Kc","OK")</f>
        <v>OK</v>
      </c>
    </row>
    <row r="39" customFormat="false" ht="15" hidden="false" customHeight="false" outlineLevel="0" collapsed="false">
      <c r="B39" s="16" t="n">
        <v>34</v>
      </c>
      <c r="C39" s="25" t="str">
        <f aca="false">SAFRA</f>
        <v>2026/2027 - RDM</v>
      </c>
      <c r="D39" s="15" t="s">
        <v>282</v>
      </c>
      <c r="E39" s="29" t="n">
        <f aca="false">IFERROR(INDEX(CADASTRO_PIVOS!$E$6:$E$41,MATCH($D39,CADASTRO_PIVOS!$B$6:$B$41,0)),0)</f>
        <v>145.67</v>
      </c>
      <c r="F39" s="21" t="s">
        <v>238</v>
      </c>
      <c r="G39" s="21" t="s">
        <v>490</v>
      </c>
      <c r="H39" s="21" t="s">
        <v>429</v>
      </c>
      <c r="I39" s="30" t="n">
        <v>46399</v>
      </c>
      <c r="J39" s="30" t="n">
        <v>46559</v>
      </c>
      <c r="K39" s="16" t="n">
        <f aca="false">MAX(1,$J39-$I39)</f>
        <v>160</v>
      </c>
      <c r="L39" s="25" t="str">
        <f aca="false">IFERROR(INDEX(CADASTRO_PIVOS!$C$6:$C$41,MATCH($D39,CADASTRO_PIVOS!$B$6:$B$41,0)),"?")</f>
        <v>RM07</v>
      </c>
      <c r="M39" s="25" t="str">
        <f aca="false">IFERROR(INDEX(CADASTRO_PIVOS!$D$6:$D$41,MATCH($D39,CADASTRO_PIVOS!$B$6:$B$41,0)),"?")</f>
        <v>TR07</v>
      </c>
      <c r="N39" s="8" t="str">
        <f aca="false">UPPER($F39)&amp;"|"&amp;$H39</f>
        <v>TABACO|PADRAO</v>
      </c>
      <c r="O39" s="8" t="s">
        <v>471</v>
      </c>
      <c r="P39" s="8" t="s">
        <v>491</v>
      </c>
      <c r="Q39" s="8" t="str">
        <f aca="false">IF(ISNA(MATCH($N39,PARAMETROS_CULTURAS!$B$6:$B$28,0)),"SEM CURVA DE Kc","OK")</f>
        <v>OK</v>
      </c>
    </row>
    <row r="40" customFormat="false" ht="15" hidden="false" customHeight="false" outlineLevel="0" collapsed="false">
      <c r="B40" s="16" t="n">
        <v>35</v>
      </c>
      <c r="C40" s="25" t="str">
        <f aca="false">SAFRA</f>
        <v>2026/2027 - RDM</v>
      </c>
      <c r="D40" s="15" t="s">
        <v>282</v>
      </c>
      <c r="E40" s="29" t="n">
        <f aca="false">IFERROR(INDEX(CADASTRO_PIVOS!$E$6:$E$41,MATCH($D40,CADASTRO_PIVOS!$B$6:$B$41,0)),0)</f>
        <v>145.67</v>
      </c>
      <c r="F40" s="21" t="s">
        <v>235</v>
      </c>
      <c r="G40" s="21"/>
      <c r="H40" s="21" t="s">
        <v>429</v>
      </c>
      <c r="I40" s="30" t="n">
        <v>46569</v>
      </c>
      <c r="J40" s="30" t="n">
        <v>46729</v>
      </c>
      <c r="K40" s="16" t="n">
        <f aca="false">MAX(1,$J40-$I40)</f>
        <v>160</v>
      </c>
      <c r="L40" s="25" t="str">
        <f aca="false">IFERROR(INDEX(CADASTRO_PIVOS!$C$6:$C$41,MATCH($D40,CADASTRO_PIVOS!$B$6:$B$41,0)),"?")</f>
        <v>RM07</v>
      </c>
      <c r="M40" s="25" t="str">
        <f aca="false">IFERROR(INDEX(CADASTRO_PIVOS!$D$6:$D$41,MATCH($D40,CADASTRO_PIVOS!$B$6:$B$41,0)),"?")</f>
        <v>TR07</v>
      </c>
      <c r="N40" s="8" t="str">
        <f aca="false">UPPER($F40)&amp;"|"&amp;$H40</f>
        <v>MILHO_GRAO|PADRAO</v>
      </c>
      <c r="O40" s="8" t="s">
        <v>471</v>
      </c>
      <c r="P40" s="8" t="s">
        <v>479</v>
      </c>
      <c r="Q40" s="8" t="str">
        <f aca="false">IF(ISNA(MATCH($N40,PARAMETROS_CULTURAS!$B$6:$B$28,0)),"SEM CURVA DE Kc","OK")</f>
        <v>OK</v>
      </c>
    </row>
    <row r="41" customFormat="false" ht="15" hidden="false" customHeight="false" outlineLevel="0" collapsed="false">
      <c r="B41" s="16" t="n">
        <v>36</v>
      </c>
      <c r="C41" s="25" t="str">
        <f aca="false">SAFRA</f>
        <v>2026/2027 - RDM</v>
      </c>
      <c r="D41" s="15" t="s">
        <v>283</v>
      </c>
      <c r="E41" s="29" t="n">
        <f aca="false">IFERROR(INDEX(CADASTRO_PIVOS!$E$6:$E$41,MATCH($D41,CADASTRO_PIVOS!$B$6:$B$41,0)),0)</f>
        <v>146.95</v>
      </c>
      <c r="F41" s="21" t="s">
        <v>237</v>
      </c>
      <c r="G41" s="21" t="s">
        <v>492</v>
      </c>
      <c r="H41" s="21" t="s">
        <v>422</v>
      </c>
      <c r="I41" s="30" t="n">
        <v>46309</v>
      </c>
      <c r="J41" s="30" t="n">
        <v>46431</v>
      </c>
      <c r="K41" s="16" t="n">
        <f aca="false">MAX(1,$J41-$I41)</f>
        <v>122</v>
      </c>
      <c r="L41" s="25" t="str">
        <f aca="false">IFERROR(INDEX(CADASTRO_PIVOS!$C$6:$C$41,MATCH($D41,CADASTRO_PIVOS!$B$6:$B$41,0)),"?")</f>
        <v>RM07</v>
      </c>
      <c r="M41" s="25" t="str">
        <f aca="false">IFERROR(INDEX(CADASTRO_PIVOS!$D$6:$D$41,MATCH($D41,CADASTRO_PIVOS!$B$6:$B$41,0)),"?")</f>
        <v>TR07</v>
      </c>
      <c r="N41" s="8" t="str">
        <f aca="false">UPPER($F41)&amp;"|"&amp;$H41</f>
        <v>SOJA|MEDIA</v>
      </c>
      <c r="O41" s="8" t="s">
        <v>471</v>
      </c>
      <c r="P41" s="8" t="s">
        <v>479</v>
      </c>
      <c r="Q41" s="8" t="str">
        <f aca="false">IF(ISNA(MATCH($N41,PARAMETROS_CULTURAS!$B$6:$B$28,0)),"SEM CURVA DE Kc","OK")</f>
        <v>OK</v>
      </c>
    </row>
    <row r="42" customFormat="false" ht="15" hidden="false" customHeight="false" outlineLevel="0" collapsed="false">
      <c r="B42" s="16" t="n">
        <v>37</v>
      </c>
      <c r="C42" s="25" t="str">
        <f aca="false">SAFRA</f>
        <v>2026/2027 - RDM</v>
      </c>
      <c r="D42" s="15" t="s">
        <v>283</v>
      </c>
      <c r="E42" s="29" t="n">
        <f aca="false">IFERROR(INDEX(CADASTRO_PIVOS!$E$6:$E$41,MATCH($D42,CADASTRO_PIVOS!$B$6:$B$41,0)),0)</f>
        <v>146.95</v>
      </c>
      <c r="F42" s="21" t="s">
        <v>234</v>
      </c>
      <c r="G42" s="21" t="s">
        <v>480</v>
      </c>
      <c r="H42" s="21" t="s">
        <v>419</v>
      </c>
      <c r="I42" s="30" t="n">
        <v>46433</v>
      </c>
      <c r="J42" s="30" t="n">
        <v>46613</v>
      </c>
      <c r="K42" s="16" t="n">
        <f aca="false">MAX(1,$J42-$I42)</f>
        <v>180</v>
      </c>
      <c r="L42" s="25" t="str">
        <f aca="false">IFERROR(INDEX(CADASTRO_PIVOS!$C$6:$C$41,MATCH($D42,CADASTRO_PIVOS!$B$6:$B$41,0)),"?")</f>
        <v>RM07</v>
      </c>
      <c r="M42" s="25" t="str">
        <f aca="false">IFERROR(INDEX(CADASTRO_PIVOS!$D$6:$D$41,MATCH($D42,CADASTRO_PIVOS!$B$6:$B$41,0)),"?")</f>
        <v>TR07</v>
      </c>
      <c r="N42" s="8" t="str">
        <f aca="false">UPPER($F42)&amp;"|"&amp;$H42</f>
        <v>ALGODAO|PRECOCE</v>
      </c>
      <c r="O42" s="8" t="s">
        <v>471</v>
      </c>
      <c r="P42" s="8" t="s">
        <v>472</v>
      </c>
      <c r="Q42" s="8" t="str">
        <f aca="false">IF(ISNA(MATCH($N42,PARAMETROS_CULTURAS!$B$6:$B$28,0)),"SEM CURVA DE Kc","OK")</f>
        <v>OK</v>
      </c>
    </row>
    <row r="43" customFormat="false" ht="15" hidden="false" customHeight="false" outlineLevel="0" collapsed="false">
      <c r="B43" s="16" t="n">
        <v>38</v>
      </c>
      <c r="C43" s="25" t="str">
        <f aca="false">SAFRA</f>
        <v>2026/2027 - RDM</v>
      </c>
      <c r="D43" s="15" t="s">
        <v>284</v>
      </c>
      <c r="E43" s="29" t="n">
        <f aca="false">IFERROR(INDEX(CADASTRO_PIVOS!$E$6:$E$41,MATCH($D43,CADASTRO_PIVOS!$B$6:$B$41,0)),0)</f>
        <v>149.98</v>
      </c>
      <c r="F43" s="21" t="s">
        <v>234</v>
      </c>
      <c r="G43" s="21" t="s">
        <v>485</v>
      </c>
      <c r="H43" s="21" t="s">
        <v>422</v>
      </c>
      <c r="I43" s="30" t="n">
        <v>46085</v>
      </c>
      <c r="J43" s="30" t="n">
        <v>46283</v>
      </c>
      <c r="K43" s="16" t="n">
        <f aca="false">MAX(1,$J43-$I43)</f>
        <v>198</v>
      </c>
      <c r="L43" s="25" t="str">
        <f aca="false">IFERROR(INDEX(CADASTRO_PIVOS!$C$6:$C$41,MATCH($D43,CADASTRO_PIVOS!$B$6:$B$41,0)),"?")</f>
        <v>RM07</v>
      </c>
      <c r="M43" s="25" t="str">
        <f aca="false">IFERROR(INDEX(CADASTRO_PIVOS!$D$6:$D$41,MATCH($D43,CADASTRO_PIVOS!$B$6:$B$41,0)),"?")</f>
        <v>TR07</v>
      </c>
      <c r="N43" s="8" t="str">
        <f aca="false">UPPER($F43)&amp;"|"&amp;$H43</f>
        <v>ALGODAO|MEDIA</v>
      </c>
      <c r="O43" s="31" t="s">
        <v>482</v>
      </c>
      <c r="P43" s="8" t="s">
        <v>475</v>
      </c>
      <c r="Q43" s="8" t="str">
        <f aca="false">IF(ISNA(MATCH($N43,PARAMETROS_CULTURAS!$B$6:$B$28,0)),"SEM CURVA DE Kc","OK")</f>
        <v>OK</v>
      </c>
    </row>
    <row r="44" customFormat="false" ht="15" hidden="false" customHeight="false" outlineLevel="0" collapsed="false">
      <c r="B44" s="16" t="n">
        <v>39</v>
      </c>
      <c r="C44" s="25" t="str">
        <f aca="false">SAFRA</f>
        <v>2026/2027 - RDM</v>
      </c>
      <c r="D44" s="15" t="s">
        <v>284</v>
      </c>
      <c r="E44" s="29" t="n">
        <f aca="false">IFERROR(INDEX(CADASTRO_PIVOS!$E$6:$E$41,MATCH($D44,CADASTRO_PIVOS!$B$6:$B$41,0)),0)</f>
        <v>149.98</v>
      </c>
      <c r="F44" s="21" t="s">
        <v>237</v>
      </c>
      <c r="G44" s="21" t="s">
        <v>483</v>
      </c>
      <c r="H44" s="21" t="s">
        <v>422</v>
      </c>
      <c r="I44" s="30" t="n">
        <v>46310</v>
      </c>
      <c r="J44" s="30" t="n">
        <v>46426</v>
      </c>
      <c r="K44" s="16" t="n">
        <f aca="false">MAX(1,$J44-$I44)</f>
        <v>116</v>
      </c>
      <c r="L44" s="25" t="str">
        <f aca="false">IFERROR(INDEX(CADASTRO_PIVOS!$C$6:$C$41,MATCH($D44,CADASTRO_PIVOS!$B$6:$B$41,0)),"?")</f>
        <v>RM07</v>
      </c>
      <c r="M44" s="25" t="str">
        <f aca="false">IFERROR(INDEX(CADASTRO_PIVOS!$D$6:$D$41,MATCH($D44,CADASTRO_PIVOS!$B$6:$B$41,0)),"?")</f>
        <v>TR07</v>
      </c>
      <c r="N44" s="8" t="str">
        <f aca="false">UPPER($F44)&amp;"|"&amp;$H44</f>
        <v>SOJA|MEDIA</v>
      </c>
      <c r="O44" s="8" t="s">
        <v>471</v>
      </c>
      <c r="P44" s="8" t="s">
        <v>479</v>
      </c>
      <c r="Q44" s="8" t="str">
        <f aca="false">IF(ISNA(MATCH($N44,PARAMETROS_CULTURAS!$B$6:$B$28,0)),"SEM CURVA DE Kc","OK")</f>
        <v>OK</v>
      </c>
    </row>
    <row r="45" customFormat="false" ht="15" hidden="false" customHeight="false" outlineLevel="0" collapsed="false">
      <c r="B45" s="16" t="n">
        <v>40</v>
      </c>
      <c r="C45" s="25" t="str">
        <f aca="false">SAFRA</f>
        <v>2026/2027 - RDM</v>
      </c>
      <c r="D45" s="15" t="s">
        <v>284</v>
      </c>
      <c r="E45" s="29" t="n">
        <f aca="false">IFERROR(INDEX(CADASTRO_PIVOS!$E$6:$E$41,MATCH($D45,CADASTRO_PIVOS!$B$6:$B$41,0)),0)</f>
        <v>149.98</v>
      </c>
      <c r="F45" s="21" t="s">
        <v>234</v>
      </c>
      <c r="G45" s="21" t="s">
        <v>480</v>
      </c>
      <c r="H45" s="21" t="s">
        <v>419</v>
      </c>
      <c r="I45" s="30" t="n">
        <v>46417</v>
      </c>
      <c r="J45" s="30" t="n">
        <v>46597</v>
      </c>
      <c r="K45" s="16" t="n">
        <f aca="false">MAX(1,$J45-$I45)</f>
        <v>180</v>
      </c>
      <c r="L45" s="25" t="str">
        <f aca="false">IFERROR(INDEX(CADASTRO_PIVOS!$C$6:$C$41,MATCH($D45,CADASTRO_PIVOS!$B$6:$B$41,0)),"?")</f>
        <v>RM07</v>
      </c>
      <c r="M45" s="25" t="str">
        <f aca="false">IFERROR(INDEX(CADASTRO_PIVOS!$D$6:$D$41,MATCH($D45,CADASTRO_PIVOS!$B$6:$B$41,0)),"?")</f>
        <v>TR07</v>
      </c>
      <c r="N45" s="8" t="str">
        <f aca="false">UPPER($F45)&amp;"|"&amp;$H45</f>
        <v>ALGODAO|PRECOCE</v>
      </c>
      <c r="O45" s="8" t="s">
        <v>471</v>
      </c>
      <c r="P45" s="8" t="s">
        <v>472</v>
      </c>
      <c r="Q45" s="8" t="str">
        <f aca="false">IF(ISNA(MATCH($N45,PARAMETROS_CULTURAS!$B$6:$B$28,0)),"SEM CURVA DE Kc","OK")</f>
        <v>OK</v>
      </c>
    </row>
    <row r="46" customFormat="false" ht="15" hidden="false" customHeight="false" outlineLevel="0" collapsed="false">
      <c r="B46" s="16" t="n">
        <v>41</v>
      </c>
      <c r="C46" s="25" t="str">
        <f aca="false">SAFRA</f>
        <v>2026/2027 - RDM</v>
      </c>
      <c r="D46" s="15" t="s">
        <v>285</v>
      </c>
      <c r="E46" s="29" t="n">
        <f aca="false">IFERROR(INDEX(CADASTRO_PIVOS!$E$6:$E$41,MATCH($D46,CADASTRO_PIVOS!$B$6:$B$41,0)),0)</f>
        <v>149.94</v>
      </c>
      <c r="F46" s="21" t="s">
        <v>234</v>
      </c>
      <c r="G46" s="21" t="s">
        <v>485</v>
      </c>
      <c r="H46" s="21" t="s">
        <v>422</v>
      </c>
      <c r="I46" s="30" t="n">
        <v>46083</v>
      </c>
      <c r="J46" s="30" t="n">
        <v>46281</v>
      </c>
      <c r="K46" s="16" t="n">
        <f aca="false">MAX(1,$J46-$I46)</f>
        <v>198</v>
      </c>
      <c r="L46" s="25" t="str">
        <f aca="false">IFERROR(INDEX(CADASTRO_PIVOS!$C$6:$C$41,MATCH($D46,CADASTRO_PIVOS!$B$6:$B$41,0)),"?")</f>
        <v>RM07</v>
      </c>
      <c r="M46" s="25" t="str">
        <f aca="false">IFERROR(INDEX(CADASTRO_PIVOS!$D$6:$D$41,MATCH($D46,CADASTRO_PIVOS!$B$6:$B$41,0)),"?")</f>
        <v>TR07</v>
      </c>
      <c r="N46" s="8" t="str">
        <f aca="false">UPPER($F46)&amp;"|"&amp;$H46</f>
        <v>ALGODAO|MEDIA</v>
      </c>
      <c r="O46" s="31" t="s">
        <v>482</v>
      </c>
      <c r="P46" s="8" t="s">
        <v>475</v>
      </c>
      <c r="Q46" s="8" t="str">
        <f aca="false">IF(ISNA(MATCH($N46,PARAMETROS_CULTURAS!$B$6:$B$28,0)),"SEM CURVA DE Kc","OK")</f>
        <v>OK</v>
      </c>
    </row>
    <row r="47" customFormat="false" ht="15" hidden="false" customHeight="false" outlineLevel="0" collapsed="false">
      <c r="B47" s="16" t="n">
        <v>42</v>
      </c>
      <c r="C47" s="25" t="str">
        <f aca="false">SAFRA</f>
        <v>2026/2027 - RDM</v>
      </c>
      <c r="D47" s="15" t="s">
        <v>285</v>
      </c>
      <c r="E47" s="29" t="n">
        <f aca="false">IFERROR(INDEX(CADASTRO_PIVOS!$E$6:$E$41,MATCH($D47,CADASTRO_PIVOS!$B$6:$B$41,0)),0)</f>
        <v>149.94</v>
      </c>
      <c r="F47" s="21" t="s">
        <v>237</v>
      </c>
      <c r="G47" s="21" t="s">
        <v>483</v>
      </c>
      <c r="H47" s="21" t="s">
        <v>422</v>
      </c>
      <c r="I47" s="30" t="n">
        <v>46309</v>
      </c>
      <c r="J47" s="30" t="n">
        <v>46425</v>
      </c>
      <c r="K47" s="16" t="n">
        <f aca="false">MAX(1,$J47-$I47)</f>
        <v>116</v>
      </c>
      <c r="L47" s="25" t="str">
        <f aca="false">IFERROR(INDEX(CADASTRO_PIVOS!$C$6:$C$41,MATCH($D47,CADASTRO_PIVOS!$B$6:$B$41,0)),"?")</f>
        <v>RM07</v>
      </c>
      <c r="M47" s="25" t="str">
        <f aca="false">IFERROR(INDEX(CADASTRO_PIVOS!$D$6:$D$41,MATCH($D47,CADASTRO_PIVOS!$B$6:$B$41,0)),"?")</f>
        <v>TR07</v>
      </c>
      <c r="N47" s="8" t="str">
        <f aca="false">UPPER($F47)&amp;"|"&amp;$H47</f>
        <v>SOJA|MEDIA</v>
      </c>
      <c r="O47" s="8" t="s">
        <v>471</v>
      </c>
      <c r="P47" s="8" t="s">
        <v>479</v>
      </c>
      <c r="Q47" s="8" t="str">
        <f aca="false">IF(ISNA(MATCH($N47,PARAMETROS_CULTURAS!$B$6:$B$28,0)),"SEM CURVA DE Kc","OK")</f>
        <v>OK</v>
      </c>
    </row>
    <row r="48" customFormat="false" ht="15" hidden="false" customHeight="false" outlineLevel="0" collapsed="false">
      <c r="B48" s="16" t="n">
        <v>43</v>
      </c>
      <c r="C48" s="25" t="str">
        <f aca="false">SAFRA</f>
        <v>2026/2027 - RDM</v>
      </c>
      <c r="D48" s="15" t="s">
        <v>285</v>
      </c>
      <c r="E48" s="29" t="n">
        <f aca="false">IFERROR(INDEX(CADASTRO_PIVOS!$E$6:$E$41,MATCH($D48,CADASTRO_PIVOS!$B$6:$B$41,0)),0)</f>
        <v>149.94</v>
      </c>
      <c r="F48" s="21" t="s">
        <v>234</v>
      </c>
      <c r="G48" s="21" t="s">
        <v>480</v>
      </c>
      <c r="H48" s="21" t="s">
        <v>419</v>
      </c>
      <c r="I48" s="30" t="n">
        <v>46415</v>
      </c>
      <c r="J48" s="30" t="n">
        <v>46595</v>
      </c>
      <c r="K48" s="16" t="n">
        <f aca="false">MAX(1,$J48-$I48)</f>
        <v>180</v>
      </c>
      <c r="L48" s="25" t="str">
        <f aca="false">IFERROR(INDEX(CADASTRO_PIVOS!$C$6:$C$41,MATCH($D48,CADASTRO_PIVOS!$B$6:$B$41,0)),"?")</f>
        <v>RM07</v>
      </c>
      <c r="M48" s="25" t="str">
        <f aca="false">IFERROR(INDEX(CADASTRO_PIVOS!$D$6:$D$41,MATCH($D48,CADASTRO_PIVOS!$B$6:$B$41,0)),"?")</f>
        <v>TR07</v>
      </c>
      <c r="N48" s="8" t="str">
        <f aca="false">UPPER($F48)&amp;"|"&amp;$H48</f>
        <v>ALGODAO|PRECOCE</v>
      </c>
      <c r="O48" s="8" t="s">
        <v>471</v>
      </c>
      <c r="P48" s="8" t="s">
        <v>472</v>
      </c>
      <c r="Q48" s="8" t="str">
        <f aca="false">IF(ISNA(MATCH($N48,PARAMETROS_CULTURAS!$B$6:$B$28,0)),"SEM CURVA DE Kc","OK")</f>
        <v>OK</v>
      </c>
    </row>
    <row r="49" customFormat="false" ht="15" hidden="false" customHeight="false" outlineLevel="0" collapsed="false">
      <c r="B49" s="16" t="n">
        <v>44</v>
      </c>
      <c r="C49" s="25" t="str">
        <f aca="false">SAFRA</f>
        <v>2026/2027 - RDM</v>
      </c>
      <c r="D49" s="15" t="s">
        <v>286</v>
      </c>
      <c r="E49" s="29" t="n">
        <f aca="false">IFERROR(INDEX(CADASTRO_PIVOS!$E$6:$E$41,MATCH($D49,CADASTRO_PIVOS!$B$6:$B$41,0)),0)</f>
        <v>149.94</v>
      </c>
      <c r="F49" s="21" t="s">
        <v>237</v>
      </c>
      <c r="G49" s="21" t="s">
        <v>492</v>
      </c>
      <c r="H49" s="21" t="s">
        <v>422</v>
      </c>
      <c r="I49" s="30" t="n">
        <v>46310</v>
      </c>
      <c r="J49" s="30" t="n">
        <v>46432</v>
      </c>
      <c r="K49" s="16" t="n">
        <f aca="false">MAX(1,$J49-$I49)</f>
        <v>122</v>
      </c>
      <c r="L49" s="25" t="str">
        <f aca="false">IFERROR(INDEX(CADASTRO_PIVOS!$C$6:$C$41,MATCH($D49,CADASTRO_PIVOS!$B$6:$B$41,0)),"?")</f>
        <v>RM07</v>
      </c>
      <c r="M49" s="25" t="str">
        <f aca="false">IFERROR(INDEX(CADASTRO_PIVOS!$D$6:$D$41,MATCH($D49,CADASTRO_PIVOS!$B$6:$B$41,0)),"?")</f>
        <v>TR07</v>
      </c>
      <c r="N49" s="8" t="str">
        <f aca="false">UPPER($F49)&amp;"|"&amp;$H49</f>
        <v>SOJA|MEDIA</v>
      </c>
      <c r="O49" s="8" t="s">
        <v>471</v>
      </c>
      <c r="P49" s="8" t="s">
        <v>479</v>
      </c>
      <c r="Q49" s="8" t="str">
        <f aca="false">IF(ISNA(MATCH($N49,PARAMETROS_CULTURAS!$B$6:$B$28,0)),"SEM CURVA DE Kc","OK")</f>
        <v>OK</v>
      </c>
    </row>
    <row r="50" customFormat="false" ht="15" hidden="false" customHeight="false" outlineLevel="0" collapsed="false">
      <c r="B50" s="16" t="n">
        <v>45</v>
      </c>
      <c r="C50" s="25" t="str">
        <f aca="false">SAFRA</f>
        <v>2026/2027 - RDM</v>
      </c>
      <c r="D50" s="15" t="s">
        <v>286</v>
      </c>
      <c r="E50" s="29" t="n">
        <f aca="false">IFERROR(INDEX(CADASTRO_PIVOS!$E$6:$E$41,MATCH($D50,CADASTRO_PIVOS!$B$6:$B$41,0)),0)</f>
        <v>149.94</v>
      </c>
      <c r="F50" s="21" t="s">
        <v>234</v>
      </c>
      <c r="G50" s="21" t="s">
        <v>480</v>
      </c>
      <c r="H50" s="21" t="s">
        <v>419</v>
      </c>
      <c r="I50" s="30" t="n">
        <v>46433</v>
      </c>
      <c r="J50" s="30" t="n">
        <v>46613</v>
      </c>
      <c r="K50" s="16" t="n">
        <f aca="false">MAX(1,$J50-$I50)</f>
        <v>180</v>
      </c>
      <c r="L50" s="25" t="str">
        <f aca="false">IFERROR(INDEX(CADASTRO_PIVOS!$C$6:$C$41,MATCH($D50,CADASTRO_PIVOS!$B$6:$B$41,0)),"?")</f>
        <v>RM07</v>
      </c>
      <c r="M50" s="25" t="str">
        <f aca="false">IFERROR(INDEX(CADASTRO_PIVOS!$D$6:$D$41,MATCH($D50,CADASTRO_PIVOS!$B$6:$B$41,0)),"?")</f>
        <v>TR07</v>
      </c>
      <c r="N50" s="8" t="str">
        <f aca="false">UPPER($F50)&amp;"|"&amp;$H50</f>
        <v>ALGODAO|PRECOCE</v>
      </c>
      <c r="O50" s="8" t="s">
        <v>471</v>
      </c>
      <c r="P50" s="8" t="s">
        <v>472</v>
      </c>
      <c r="Q50" s="8" t="str">
        <f aca="false">IF(ISNA(MATCH($N50,PARAMETROS_CULTURAS!$B$6:$B$28,0)),"SEM CURVA DE Kc","OK")</f>
        <v>OK</v>
      </c>
    </row>
    <row r="51" customFormat="false" ht="15" hidden="false" customHeight="false" outlineLevel="0" collapsed="false">
      <c r="B51" s="16" t="n">
        <v>46</v>
      </c>
      <c r="C51" s="25" t="str">
        <f aca="false">SAFRA</f>
        <v>2026/2027 - RDM</v>
      </c>
      <c r="D51" s="15" t="s">
        <v>287</v>
      </c>
      <c r="E51" s="29" t="n">
        <f aca="false">IFERROR(INDEX(CADASTRO_PIVOS!$E$6:$E$41,MATCH($D51,CADASTRO_PIVOS!$B$6:$B$41,0)),0)</f>
        <v>99.48</v>
      </c>
      <c r="F51" s="21" t="s">
        <v>236</v>
      </c>
      <c r="G51" s="21" t="s">
        <v>473</v>
      </c>
      <c r="H51" s="21" t="s">
        <v>429</v>
      </c>
      <c r="I51" s="30" t="n">
        <v>46140</v>
      </c>
      <c r="J51" s="30" t="n">
        <v>46300</v>
      </c>
      <c r="K51" s="16" t="n">
        <f aca="false">MAX(1,$J51-$I51)</f>
        <v>160</v>
      </c>
      <c r="L51" s="25" t="str">
        <f aca="false">IFERROR(INDEX(CADASTRO_PIVOS!$C$6:$C$41,MATCH($D51,CADASTRO_PIVOS!$B$6:$B$41,0)),"?")</f>
        <v>RM07</v>
      </c>
      <c r="M51" s="25" t="str">
        <f aca="false">IFERROR(INDEX(CADASTRO_PIVOS!$D$6:$D$41,MATCH($D51,CADASTRO_PIVOS!$B$6:$B$41,0)),"?")</f>
        <v>TR07</v>
      </c>
      <c r="N51" s="8" t="str">
        <f aca="false">UPPER($F51)&amp;"|"&amp;$H51</f>
        <v>MILHO_SEMENTE|PADRAO</v>
      </c>
      <c r="O51" s="31" t="s">
        <v>474</v>
      </c>
      <c r="P51" s="8" t="s">
        <v>475</v>
      </c>
      <c r="Q51" s="8" t="str">
        <f aca="false">IF(ISNA(MATCH($N51,PARAMETROS_CULTURAS!$B$6:$B$28,0)),"SEM CURVA DE Kc","OK")</f>
        <v>OK</v>
      </c>
    </row>
    <row r="52" customFormat="false" ht="15" hidden="false" customHeight="false" outlineLevel="0" collapsed="false">
      <c r="B52" s="16" t="n">
        <v>47</v>
      </c>
      <c r="C52" s="25" t="str">
        <f aca="false">SAFRA</f>
        <v>2026/2027 - RDM</v>
      </c>
      <c r="D52" s="15" t="s">
        <v>287</v>
      </c>
      <c r="E52" s="29" t="n">
        <f aca="false">IFERROR(INDEX(CADASTRO_PIVOS!$E$6:$E$41,MATCH($D52,CADASTRO_PIVOS!$B$6:$B$41,0)),0)</f>
        <v>99.48</v>
      </c>
      <c r="F52" s="21" t="s">
        <v>234</v>
      </c>
      <c r="G52" s="21" t="s">
        <v>486</v>
      </c>
      <c r="H52" s="21" t="s">
        <v>422</v>
      </c>
      <c r="I52" s="30" t="n">
        <v>46357</v>
      </c>
      <c r="J52" s="30" t="n">
        <v>46552</v>
      </c>
      <c r="K52" s="16" t="n">
        <f aca="false">MAX(1,$J52-$I52)</f>
        <v>195</v>
      </c>
      <c r="L52" s="25" t="str">
        <f aca="false">IFERROR(INDEX(CADASTRO_PIVOS!$C$6:$C$41,MATCH($D52,CADASTRO_PIVOS!$B$6:$B$41,0)),"?")</f>
        <v>RM07</v>
      </c>
      <c r="M52" s="25" t="str">
        <f aca="false">IFERROR(INDEX(CADASTRO_PIVOS!$D$6:$D$41,MATCH($D52,CADASTRO_PIVOS!$B$6:$B$41,0)),"?")</f>
        <v>TR07</v>
      </c>
      <c r="N52" s="8" t="str">
        <f aca="false">UPPER($F52)&amp;"|"&amp;$H52</f>
        <v>ALGODAO|MEDIA</v>
      </c>
      <c r="O52" s="8" t="s">
        <v>471</v>
      </c>
      <c r="P52" s="8" t="s">
        <v>472</v>
      </c>
      <c r="Q52" s="8" t="str">
        <f aca="false">IF(ISNA(MATCH($N52,PARAMETROS_CULTURAS!$B$6:$B$28,0)),"SEM CURVA DE Kc","OK")</f>
        <v>OK</v>
      </c>
    </row>
    <row r="53" customFormat="false" ht="15" hidden="false" customHeight="false" outlineLevel="0" collapsed="false">
      <c r="B53" s="16" t="n">
        <v>48</v>
      </c>
      <c r="C53" s="25" t="str">
        <f aca="false">SAFRA</f>
        <v>2026/2027 - RDM</v>
      </c>
      <c r="D53" s="15" t="s">
        <v>287</v>
      </c>
      <c r="E53" s="29" t="n">
        <f aca="false">IFERROR(INDEX(CADASTRO_PIVOS!$E$6:$E$41,MATCH($D53,CADASTRO_PIVOS!$B$6:$B$41,0)),0)</f>
        <v>99.48</v>
      </c>
      <c r="F53" s="21" t="s">
        <v>236</v>
      </c>
      <c r="G53" s="21"/>
      <c r="H53" s="21" t="s">
        <v>429</v>
      </c>
      <c r="I53" s="30" t="n">
        <v>46562</v>
      </c>
      <c r="J53" s="30" t="n">
        <v>46707</v>
      </c>
      <c r="K53" s="16" t="n">
        <f aca="false">MAX(1,$J53-$I53)</f>
        <v>145</v>
      </c>
      <c r="L53" s="25" t="str">
        <f aca="false">IFERROR(INDEX(CADASTRO_PIVOS!$C$6:$C$41,MATCH($D53,CADASTRO_PIVOS!$B$6:$B$41,0)),"?")</f>
        <v>RM07</v>
      </c>
      <c r="M53" s="25" t="str">
        <f aca="false">IFERROR(INDEX(CADASTRO_PIVOS!$D$6:$D$41,MATCH($D53,CADASTRO_PIVOS!$B$6:$B$41,0)),"?")</f>
        <v>TR07</v>
      </c>
      <c r="N53" s="8" t="str">
        <f aca="false">UPPER($F53)&amp;"|"&amp;$H53</f>
        <v>MILHO_SEMENTE|PADRAO</v>
      </c>
      <c r="O53" s="8" t="s">
        <v>471</v>
      </c>
      <c r="P53" s="8" t="s">
        <v>493</v>
      </c>
      <c r="Q53" s="8" t="str">
        <f aca="false">IF(ISNA(MATCH($N53,PARAMETROS_CULTURAS!$B$6:$B$28,0)),"SEM CURVA DE Kc","OK")</f>
        <v>OK</v>
      </c>
    </row>
    <row r="54" customFormat="false" ht="15" hidden="false" customHeight="false" outlineLevel="0" collapsed="false">
      <c r="B54" s="16" t="n">
        <v>49</v>
      </c>
      <c r="C54" s="25" t="str">
        <f aca="false">SAFRA</f>
        <v>2026/2027 - RDM</v>
      </c>
      <c r="D54" s="15" t="s">
        <v>288</v>
      </c>
      <c r="E54" s="29" t="n">
        <f aca="false">IFERROR(INDEX(CADASTRO_PIVOS!$E$6:$E$41,MATCH($D54,CADASTRO_PIVOS!$B$6:$B$41,0)),0)</f>
        <v>139.94</v>
      </c>
      <c r="F54" s="21" t="s">
        <v>238</v>
      </c>
      <c r="G54" s="21" t="s">
        <v>490</v>
      </c>
      <c r="H54" s="21" t="s">
        <v>429</v>
      </c>
      <c r="I54" s="30" t="n">
        <v>46371</v>
      </c>
      <c r="J54" s="30" t="n">
        <v>46531</v>
      </c>
      <c r="K54" s="16" t="n">
        <f aca="false">MAX(1,$J54-$I54)</f>
        <v>160</v>
      </c>
      <c r="L54" s="25" t="str">
        <f aca="false">IFERROR(INDEX(CADASTRO_PIVOS!$C$6:$C$41,MATCH($D54,CADASTRO_PIVOS!$B$6:$B$41,0)),"?")</f>
        <v>RM07</v>
      </c>
      <c r="M54" s="25" t="str">
        <f aca="false">IFERROR(INDEX(CADASTRO_PIVOS!$D$6:$D$41,MATCH($D54,CADASTRO_PIVOS!$B$6:$B$41,0)),"?")</f>
        <v>TR07</v>
      </c>
      <c r="N54" s="8" t="str">
        <f aca="false">UPPER($F54)&amp;"|"&amp;$H54</f>
        <v>TABACO|PADRAO</v>
      </c>
      <c r="O54" s="8" t="s">
        <v>471</v>
      </c>
      <c r="P54" s="8" t="s">
        <v>491</v>
      </c>
      <c r="Q54" s="8" t="str">
        <f aca="false">IF(ISNA(MATCH($N54,PARAMETROS_CULTURAS!$B$6:$B$28,0)),"SEM CURVA DE Kc","OK")</f>
        <v>OK</v>
      </c>
    </row>
    <row r="55" customFormat="false" ht="15" hidden="false" customHeight="false" outlineLevel="0" collapsed="false">
      <c r="B55" s="16" t="n">
        <v>50</v>
      </c>
      <c r="C55" s="25" t="str">
        <f aca="false">SAFRA</f>
        <v>2026/2027 - RDM</v>
      </c>
      <c r="D55" s="15" t="s">
        <v>288</v>
      </c>
      <c r="E55" s="29" t="n">
        <f aca="false">IFERROR(INDEX(CADASTRO_PIVOS!$E$6:$E$41,MATCH($D55,CADASTRO_PIVOS!$B$6:$B$41,0)),0)</f>
        <v>139.94</v>
      </c>
      <c r="F55" s="21" t="s">
        <v>235</v>
      </c>
      <c r="G55" s="21"/>
      <c r="H55" s="21" t="s">
        <v>429</v>
      </c>
      <c r="I55" s="30" t="n">
        <v>46541</v>
      </c>
      <c r="J55" s="30" t="n">
        <v>46701</v>
      </c>
      <c r="K55" s="16" t="n">
        <f aca="false">MAX(1,$J55-$I55)</f>
        <v>160</v>
      </c>
      <c r="L55" s="25" t="str">
        <f aca="false">IFERROR(INDEX(CADASTRO_PIVOS!$C$6:$C$41,MATCH($D55,CADASTRO_PIVOS!$B$6:$B$41,0)),"?")</f>
        <v>RM07</v>
      </c>
      <c r="M55" s="25" t="str">
        <f aca="false">IFERROR(INDEX(CADASTRO_PIVOS!$D$6:$D$41,MATCH($D55,CADASTRO_PIVOS!$B$6:$B$41,0)),"?")</f>
        <v>TR07</v>
      </c>
      <c r="N55" s="8" t="str">
        <f aca="false">UPPER($F55)&amp;"|"&amp;$H55</f>
        <v>MILHO_GRAO|PADRAO</v>
      </c>
      <c r="O55" s="8" t="s">
        <v>471</v>
      </c>
      <c r="P55" s="8" t="s">
        <v>479</v>
      </c>
      <c r="Q55" s="8" t="str">
        <f aca="false">IF(ISNA(MATCH($N55,PARAMETROS_CULTURAS!$B$6:$B$28,0)),"SEM CURVA DE Kc","OK")</f>
        <v>OK</v>
      </c>
    </row>
    <row r="56" customFormat="false" ht="15" hidden="false" customHeight="false" outlineLevel="0" collapsed="false">
      <c r="B56" s="16" t="n">
        <v>51</v>
      </c>
      <c r="C56" s="25" t="str">
        <f aca="false">SAFRA</f>
        <v>2026/2027 - RDM</v>
      </c>
      <c r="D56" s="15" t="s">
        <v>289</v>
      </c>
      <c r="E56" s="29" t="n">
        <f aca="false">IFERROR(INDEX(CADASTRO_PIVOS!$E$6:$E$41,MATCH($D56,CADASTRO_PIVOS!$B$6:$B$41,0)),0)</f>
        <v>99.48</v>
      </c>
      <c r="F56" s="21" t="s">
        <v>237</v>
      </c>
      <c r="G56" s="21" t="s">
        <v>483</v>
      </c>
      <c r="H56" s="21" t="s">
        <v>422</v>
      </c>
      <c r="I56" s="30" t="n">
        <v>46308</v>
      </c>
      <c r="J56" s="30" t="n">
        <v>46424</v>
      </c>
      <c r="K56" s="16" t="n">
        <f aca="false">MAX(1,$J56-$I56)</f>
        <v>116</v>
      </c>
      <c r="L56" s="25" t="str">
        <f aca="false">IFERROR(INDEX(CADASTRO_PIVOS!$C$6:$C$41,MATCH($D56,CADASTRO_PIVOS!$B$6:$B$41,0)),"?")</f>
        <v>RM07</v>
      </c>
      <c r="M56" s="25" t="str">
        <f aca="false">IFERROR(INDEX(CADASTRO_PIVOS!$D$6:$D$41,MATCH($D56,CADASTRO_PIVOS!$B$6:$B$41,0)),"?")</f>
        <v>TR07</v>
      </c>
      <c r="N56" s="8" t="str">
        <f aca="false">UPPER($F56)&amp;"|"&amp;$H56</f>
        <v>SOJA|MEDIA</v>
      </c>
      <c r="O56" s="8" t="s">
        <v>471</v>
      </c>
      <c r="P56" s="8" t="s">
        <v>479</v>
      </c>
      <c r="Q56" s="8" t="str">
        <f aca="false">IF(ISNA(MATCH($N56,PARAMETROS_CULTURAS!$B$6:$B$28,0)),"SEM CURVA DE Kc","OK")</f>
        <v>OK</v>
      </c>
    </row>
    <row r="57" customFormat="false" ht="15" hidden="false" customHeight="false" outlineLevel="0" collapsed="false">
      <c r="B57" s="16" t="n">
        <v>52</v>
      </c>
      <c r="C57" s="25" t="str">
        <f aca="false">SAFRA</f>
        <v>2026/2027 - RDM</v>
      </c>
      <c r="D57" s="15" t="s">
        <v>289</v>
      </c>
      <c r="E57" s="29" t="n">
        <f aca="false">IFERROR(INDEX(CADASTRO_PIVOS!$E$6:$E$41,MATCH($D57,CADASTRO_PIVOS!$B$6:$B$41,0)),0)</f>
        <v>99.48</v>
      </c>
      <c r="F57" s="21" t="s">
        <v>234</v>
      </c>
      <c r="G57" s="21" t="s">
        <v>487</v>
      </c>
      <c r="H57" s="21" t="s">
        <v>419</v>
      </c>
      <c r="I57" s="30" t="n">
        <v>46426</v>
      </c>
      <c r="J57" s="30" t="n">
        <v>46606</v>
      </c>
      <c r="K57" s="16" t="n">
        <f aca="false">MAX(1,$J57-$I57)</f>
        <v>180</v>
      </c>
      <c r="L57" s="25" t="str">
        <f aca="false">IFERROR(INDEX(CADASTRO_PIVOS!$C$6:$C$41,MATCH($D57,CADASTRO_PIVOS!$B$6:$B$41,0)),"?")</f>
        <v>RM07</v>
      </c>
      <c r="M57" s="25" t="str">
        <f aca="false">IFERROR(INDEX(CADASTRO_PIVOS!$D$6:$D$41,MATCH($D57,CADASTRO_PIVOS!$B$6:$B$41,0)),"?")</f>
        <v>TR07</v>
      </c>
      <c r="N57" s="8" t="str">
        <f aca="false">UPPER($F57)&amp;"|"&amp;$H57</f>
        <v>ALGODAO|PRECOCE</v>
      </c>
      <c r="O57" s="8" t="s">
        <v>471</v>
      </c>
      <c r="P57" s="8" t="s">
        <v>472</v>
      </c>
      <c r="Q57" s="8" t="str">
        <f aca="false">IF(ISNA(MATCH($N57,PARAMETROS_CULTURAS!$B$6:$B$28,0)),"SEM CURVA DE Kc","OK")</f>
        <v>OK</v>
      </c>
    </row>
    <row r="58" customFormat="false" ht="15" hidden="false" customHeight="false" outlineLevel="0" collapsed="false">
      <c r="B58" s="16" t="n">
        <v>53</v>
      </c>
      <c r="C58" s="25" t="str">
        <f aca="false">SAFRA</f>
        <v>2026/2027 - RDM</v>
      </c>
      <c r="D58" s="15" t="s">
        <v>279</v>
      </c>
      <c r="E58" s="29" t="n">
        <f aca="false">IFERROR(INDEX(CADASTRO_PIVOS!$E$6:$E$41,MATCH($D58,CADASTRO_PIVOS!$B$6:$B$41,0)),0)</f>
        <v>139.94</v>
      </c>
      <c r="F58" s="21" t="s">
        <v>238</v>
      </c>
      <c r="G58" s="21" t="s">
        <v>490</v>
      </c>
      <c r="H58" s="21" t="s">
        <v>429</v>
      </c>
      <c r="I58" s="30" t="n">
        <v>46345</v>
      </c>
      <c r="J58" s="30" t="n">
        <v>46505</v>
      </c>
      <c r="K58" s="16" t="n">
        <f aca="false">MAX(1,$J58-$I58)</f>
        <v>160</v>
      </c>
      <c r="L58" s="25" t="str">
        <f aca="false">IFERROR(INDEX(CADASTRO_PIVOS!$C$6:$C$41,MATCH($D58,CADASTRO_PIVOS!$B$6:$B$41,0)),"?")</f>
        <v>RM06</v>
      </c>
      <c r="M58" s="25" t="str">
        <f aca="false">IFERROR(INDEX(CADASTRO_PIVOS!$D$6:$D$41,MATCH($D58,CADASTRO_PIVOS!$B$6:$B$41,0)),"?")</f>
        <v>TR06</v>
      </c>
      <c r="N58" s="8" t="str">
        <f aca="false">UPPER($F58)&amp;"|"&amp;$H58</f>
        <v>TABACO|PADRAO</v>
      </c>
      <c r="O58" s="8" t="s">
        <v>471</v>
      </c>
      <c r="P58" s="8" t="s">
        <v>491</v>
      </c>
      <c r="Q58" s="8" t="str">
        <f aca="false">IF(ISNA(MATCH($N58,PARAMETROS_CULTURAS!$B$6:$B$28,0)),"SEM CURVA DE Kc","OK")</f>
        <v>OK</v>
      </c>
    </row>
    <row r="59" customFormat="false" ht="15" hidden="false" customHeight="false" outlineLevel="0" collapsed="false">
      <c r="B59" s="16" t="n">
        <v>54</v>
      </c>
      <c r="C59" s="25" t="str">
        <f aca="false">SAFRA</f>
        <v>2026/2027 - RDM</v>
      </c>
      <c r="D59" s="15" t="s">
        <v>279</v>
      </c>
      <c r="E59" s="29" t="n">
        <f aca="false">IFERROR(INDEX(CADASTRO_PIVOS!$E$6:$E$41,MATCH($D59,CADASTRO_PIVOS!$B$6:$B$41,0)),0)</f>
        <v>139.94</v>
      </c>
      <c r="F59" s="21" t="s">
        <v>235</v>
      </c>
      <c r="G59" s="21"/>
      <c r="H59" s="21" t="s">
        <v>429</v>
      </c>
      <c r="I59" s="30" t="n">
        <v>46515</v>
      </c>
      <c r="J59" s="30" t="n">
        <v>46675</v>
      </c>
      <c r="K59" s="16" t="n">
        <f aca="false">MAX(1,$J59-$I59)</f>
        <v>160</v>
      </c>
      <c r="L59" s="25" t="str">
        <f aca="false">IFERROR(INDEX(CADASTRO_PIVOS!$C$6:$C$41,MATCH($D59,CADASTRO_PIVOS!$B$6:$B$41,0)),"?")</f>
        <v>RM06</v>
      </c>
      <c r="M59" s="25" t="str">
        <f aca="false">IFERROR(INDEX(CADASTRO_PIVOS!$D$6:$D$41,MATCH($D59,CADASTRO_PIVOS!$B$6:$B$41,0)),"?")</f>
        <v>TR06</v>
      </c>
      <c r="N59" s="8" t="str">
        <f aca="false">UPPER($F59)&amp;"|"&amp;$H59</f>
        <v>MILHO_GRAO|PADRAO</v>
      </c>
      <c r="O59" s="8" t="s">
        <v>471</v>
      </c>
      <c r="P59" s="8" t="s">
        <v>479</v>
      </c>
      <c r="Q59" s="8" t="str">
        <f aca="false">IF(ISNA(MATCH($N59,PARAMETROS_CULTURAS!$B$6:$B$28,0)),"SEM CURVA DE Kc","OK")</f>
        <v>OK</v>
      </c>
    </row>
    <row r="60" customFormat="false" ht="15" hidden="false" customHeight="false" outlineLevel="0" collapsed="false">
      <c r="B60" s="16" t="n">
        <v>55</v>
      </c>
      <c r="C60" s="25" t="str">
        <f aca="false">SAFRA</f>
        <v>2026/2027 - RDM</v>
      </c>
      <c r="D60" s="15" t="s">
        <v>280</v>
      </c>
      <c r="E60" s="29" t="n">
        <f aca="false">IFERROR(INDEX(CADASTRO_PIVOS!$E$6:$E$41,MATCH($D60,CADASTRO_PIVOS!$B$6:$B$41,0)),0)</f>
        <v>99.48</v>
      </c>
      <c r="F60" s="21" t="s">
        <v>237</v>
      </c>
      <c r="G60" s="21" t="s">
        <v>483</v>
      </c>
      <c r="H60" s="21" t="s">
        <v>422</v>
      </c>
      <c r="I60" s="30" t="n">
        <v>46308</v>
      </c>
      <c r="J60" s="30" t="n">
        <v>46424</v>
      </c>
      <c r="K60" s="16" t="n">
        <f aca="false">MAX(1,$J60-$I60)</f>
        <v>116</v>
      </c>
      <c r="L60" s="25" t="str">
        <f aca="false">IFERROR(INDEX(CADASTRO_PIVOS!$C$6:$C$41,MATCH($D60,CADASTRO_PIVOS!$B$6:$B$41,0)),"?")</f>
        <v>RM06</v>
      </c>
      <c r="M60" s="25" t="str">
        <f aca="false">IFERROR(INDEX(CADASTRO_PIVOS!$D$6:$D$41,MATCH($D60,CADASTRO_PIVOS!$B$6:$B$41,0)),"?")</f>
        <v>TR06</v>
      </c>
      <c r="N60" s="8" t="str">
        <f aca="false">UPPER($F60)&amp;"|"&amp;$H60</f>
        <v>SOJA|MEDIA</v>
      </c>
      <c r="O60" s="8" t="s">
        <v>471</v>
      </c>
      <c r="P60" s="8" t="s">
        <v>479</v>
      </c>
      <c r="Q60" s="8" t="str">
        <f aca="false">IF(ISNA(MATCH($N60,PARAMETROS_CULTURAS!$B$6:$B$28,0)),"SEM CURVA DE Kc","OK")</f>
        <v>OK</v>
      </c>
    </row>
    <row r="61" customFormat="false" ht="15" hidden="false" customHeight="false" outlineLevel="0" collapsed="false">
      <c r="B61" s="16" t="n">
        <v>56</v>
      </c>
      <c r="C61" s="25" t="str">
        <f aca="false">SAFRA</f>
        <v>2026/2027 - RDM</v>
      </c>
      <c r="D61" s="15" t="s">
        <v>280</v>
      </c>
      <c r="E61" s="29" t="n">
        <f aca="false">IFERROR(INDEX(CADASTRO_PIVOS!$E$6:$E$41,MATCH($D61,CADASTRO_PIVOS!$B$6:$B$41,0)),0)</f>
        <v>99.48</v>
      </c>
      <c r="F61" s="21" t="s">
        <v>234</v>
      </c>
      <c r="G61" s="21" t="s">
        <v>487</v>
      </c>
      <c r="H61" s="21" t="s">
        <v>419</v>
      </c>
      <c r="I61" s="30" t="n">
        <v>46426</v>
      </c>
      <c r="J61" s="30" t="n">
        <v>46606</v>
      </c>
      <c r="K61" s="16" t="n">
        <f aca="false">MAX(1,$J61-$I61)</f>
        <v>180</v>
      </c>
      <c r="L61" s="25" t="str">
        <f aca="false">IFERROR(INDEX(CADASTRO_PIVOS!$C$6:$C$41,MATCH($D61,CADASTRO_PIVOS!$B$6:$B$41,0)),"?")</f>
        <v>RM06</v>
      </c>
      <c r="M61" s="25" t="str">
        <f aca="false">IFERROR(INDEX(CADASTRO_PIVOS!$D$6:$D$41,MATCH($D61,CADASTRO_PIVOS!$B$6:$B$41,0)),"?")</f>
        <v>TR06</v>
      </c>
      <c r="N61" s="8" t="str">
        <f aca="false">UPPER($F61)&amp;"|"&amp;$H61</f>
        <v>ALGODAO|PRECOCE</v>
      </c>
      <c r="O61" s="8" t="s">
        <v>471</v>
      </c>
      <c r="P61" s="8" t="s">
        <v>472</v>
      </c>
      <c r="Q61" s="8" t="str">
        <f aca="false">IF(ISNA(MATCH($N61,PARAMETROS_CULTURAS!$B$6:$B$28,0)),"SEM CURVA DE Kc","OK")</f>
        <v>OK</v>
      </c>
    </row>
    <row r="62" customFormat="false" ht="15" hidden="false" customHeight="false" outlineLevel="0" collapsed="false">
      <c r="B62" s="16" t="n">
        <v>57</v>
      </c>
      <c r="C62" s="25" t="str">
        <f aca="false">SAFRA</f>
        <v>2026/2027 - RDM</v>
      </c>
      <c r="D62" s="15" t="s">
        <v>281</v>
      </c>
      <c r="E62" s="29" t="n">
        <f aca="false">IFERROR(INDEX(CADASTRO_PIVOS!$E$6:$E$41,MATCH($D62,CADASTRO_PIVOS!$B$6:$B$41,0)),0)</f>
        <v>149.94</v>
      </c>
      <c r="F62" s="21" t="s">
        <v>236</v>
      </c>
      <c r="G62" s="21" t="s">
        <v>473</v>
      </c>
      <c r="H62" s="21" t="s">
        <v>429</v>
      </c>
      <c r="I62" s="30" t="n">
        <v>46164</v>
      </c>
      <c r="J62" s="30" t="n">
        <v>46324</v>
      </c>
      <c r="K62" s="16" t="n">
        <f aca="false">MAX(1,$J62-$I62)</f>
        <v>160</v>
      </c>
      <c r="L62" s="25" t="str">
        <f aca="false">IFERROR(INDEX(CADASTRO_PIVOS!$C$6:$C$41,MATCH($D62,CADASTRO_PIVOS!$B$6:$B$41,0)),"?")</f>
        <v>RM06</v>
      </c>
      <c r="M62" s="25" t="str">
        <f aca="false">IFERROR(INDEX(CADASTRO_PIVOS!$D$6:$D$41,MATCH($D62,CADASTRO_PIVOS!$B$6:$B$41,0)),"?")</f>
        <v>TR06</v>
      </c>
      <c r="N62" s="8" t="str">
        <f aca="false">UPPER($F62)&amp;"|"&amp;$H62</f>
        <v>MILHO_SEMENTE|PADRAO</v>
      </c>
      <c r="O62" s="31" t="s">
        <v>474</v>
      </c>
      <c r="P62" s="8" t="s">
        <v>475</v>
      </c>
      <c r="Q62" s="8" t="str">
        <f aca="false">IF(ISNA(MATCH($N62,PARAMETROS_CULTURAS!$B$6:$B$28,0)),"SEM CURVA DE Kc","OK")</f>
        <v>OK</v>
      </c>
    </row>
    <row r="63" customFormat="false" ht="15" hidden="false" customHeight="false" outlineLevel="0" collapsed="false">
      <c r="B63" s="16" t="n">
        <v>58</v>
      </c>
      <c r="C63" s="25" t="str">
        <f aca="false">SAFRA</f>
        <v>2026/2027 - RDM</v>
      </c>
      <c r="D63" s="15" t="s">
        <v>281</v>
      </c>
      <c r="E63" s="29" t="n">
        <f aca="false">IFERROR(INDEX(CADASTRO_PIVOS!$E$6:$E$41,MATCH($D63,CADASTRO_PIVOS!$B$6:$B$41,0)),0)</f>
        <v>149.94</v>
      </c>
      <c r="F63" s="21" t="s">
        <v>234</v>
      </c>
      <c r="G63" s="21" t="s">
        <v>494</v>
      </c>
      <c r="H63" s="21" t="s">
        <v>424</v>
      </c>
      <c r="I63" s="30" t="n">
        <v>46358</v>
      </c>
      <c r="J63" s="30" t="n">
        <v>46568</v>
      </c>
      <c r="K63" s="16" t="n">
        <f aca="false">MAX(1,$J63-$I63)</f>
        <v>210</v>
      </c>
      <c r="L63" s="25" t="str">
        <f aca="false">IFERROR(INDEX(CADASTRO_PIVOS!$C$6:$C$41,MATCH($D63,CADASTRO_PIVOS!$B$6:$B$41,0)),"?")</f>
        <v>RM06</v>
      </c>
      <c r="M63" s="25" t="str">
        <f aca="false">IFERROR(INDEX(CADASTRO_PIVOS!$D$6:$D$41,MATCH($D63,CADASTRO_PIVOS!$B$6:$B$41,0)),"?")</f>
        <v>TR06</v>
      </c>
      <c r="N63" s="8" t="str">
        <f aca="false">UPPER($F63)&amp;"|"&amp;$H63</f>
        <v>ALGODAO|TARDIA</v>
      </c>
      <c r="O63" s="8" t="s">
        <v>471</v>
      </c>
      <c r="P63" s="8" t="s">
        <v>472</v>
      </c>
      <c r="Q63" s="8" t="str">
        <f aca="false">IF(ISNA(MATCH($N63,PARAMETROS_CULTURAS!$B$6:$B$28,0)),"SEM CURVA DE Kc","OK")</f>
        <v>OK</v>
      </c>
    </row>
    <row r="64" customFormat="false" ht="15" hidden="false" customHeight="false" outlineLevel="0" collapsed="false">
      <c r="B64" s="16" t="n">
        <v>59</v>
      </c>
      <c r="C64" s="25" t="str">
        <f aca="false">SAFRA</f>
        <v>2026/2027 - RDM</v>
      </c>
      <c r="D64" s="15" t="s">
        <v>273</v>
      </c>
      <c r="E64" s="29" t="n">
        <f aca="false">IFERROR(INDEX(CADASTRO_PIVOS!$E$6:$E$41,MATCH($D64,CADASTRO_PIVOS!$B$6:$B$41,0)),0)</f>
        <v>99.96</v>
      </c>
      <c r="F64" s="21" t="s">
        <v>236</v>
      </c>
      <c r="G64" s="21" t="s">
        <v>473</v>
      </c>
      <c r="H64" s="21" t="s">
        <v>429</v>
      </c>
      <c r="I64" s="30" t="n">
        <v>46191</v>
      </c>
      <c r="J64" s="30" t="n">
        <v>46351</v>
      </c>
      <c r="K64" s="16" t="n">
        <f aca="false">MAX(1,$J64-$I64)</f>
        <v>160</v>
      </c>
      <c r="L64" s="25" t="str">
        <f aca="false">IFERROR(INDEX(CADASTRO_PIVOS!$C$6:$C$41,MATCH($D64,CADASTRO_PIVOS!$B$6:$B$41,0)),"?")</f>
        <v>RM05</v>
      </c>
      <c r="M64" s="25" t="str">
        <f aca="false">IFERROR(INDEX(CADASTRO_PIVOS!$D$6:$D$41,MATCH($D64,CADASTRO_PIVOS!$B$6:$B$41,0)),"?")</f>
        <v>TR05</v>
      </c>
      <c r="N64" s="8" t="str">
        <f aca="false">UPPER($F64)&amp;"|"&amp;$H64</f>
        <v>MILHO_SEMENTE|PADRAO</v>
      </c>
      <c r="O64" s="31" t="s">
        <v>474</v>
      </c>
      <c r="P64" s="8" t="s">
        <v>475</v>
      </c>
      <c r="Q64" s="8" t="str">
        <f aca="false">IF(ISNA(MATCH($N64,PARAMETROS_CULTURAS!$B$6:$B$28,0)),"SEM CURVA DE Kc","OK")</f>
        <v>OK</v>
      </c>
    </row>
    <row r="65" customFormat="false" ht="15" hidden="false" customHeight="false" outlineLevel="0" collapsed="false">
      <c r="B65" s="16" t="n">
        <v>60</v>
      </c>
      <c r="C65" s="25" t="str">
        <f aca="false">SAFRA</f>
        <v>2026/2027 - RDM</v>
      </c>
      <c r="D65" s="15" t="s">
        <v>273</v>
      </c>
      <c r="E65" s="29" t="n">
        <f aca="false">IFERROR(INDEX(CADASTRO_PIVOS!$E$6:$E$41,MATCH($D65,CADASTRO_PIVOS!$B$6:$B$41,0)),0)</f>
        <v>99.96</v>
      </c>
      <c r="F65" s="21" t="s">
        <v>234</v>
      </c>
      <c r="G65" s="21" t="s">
        <v>494</v>
      </c>
      <c r="H65" s="21" t="s">
        <v>424</v>
      </c>
      <c r="I65" s="30" t="n">
        <v>46357</v>
      </c>
      <c r="J65" s="30" t="n">
        <v>46567</v>
      </c>
      <c r="K65" s="16" t="n">
        <f aca="false">MAX(1,$J65-$I65)</f>
        <v>210</v>
      </c>
      <c r="L65" s="25" t="str">
        <f aca="false">IFERROR(INDEX(CADASTRO_PIVOS!$C$6:$C$41,MATCH($D65,CADASTRO_PIVOS!$B$6:$B$41,0)),"?")</f>
        <v>RM05</v>
      </c>
      <c r="M65" s="25" t="str">
        <f aca="false">IFERROR(INDEX(CADASTRO_PIVOS!$D$6:$D$41,MATCH($D65,CADASTRO_PIVOS!$B$6:$B$41,0)),"?")</f>
        <v>TR05</v>
      </c>
      <c r="N65" s="8" t="str">
        <f aca="false">UPPER($F65)&amp;"|"&amp;$H65</f>
        <v>ALGODAO|TARDIA</v>
      </c>
      <c r="O65" s="8" t="s">
        <v>471</v>
      </c>
      <c r="P65" s="8" t="s">
        <v>472</v>
      </c>
      <c r="Q65" s="8" t="str">
        <f aca="false">IF(ISNA(MATCH($N65,PARAMETROS_CULTURAS!$B$6:$B$28,0)),"SEM CURVA DE Kc","OK")</f>
        <v>OK</v>
      </c>
    </row>
    <row r="66" customFormat="false" ht="15" hidden="false" customHeight="false" outlineLevel="0" collapsed="false">
      <c r="B66" s="16" t="n">
        <v>61</v>
      </c>
      <c r="C66" s="25" t="str">
        <f aca="false">SAFRA</f>
        <v>2026/2027 - RDM</v>
      </c>
      <c r="D66" s="15" t="s">
        <v>273</v>
      </c>
      <c r="E66" s="29" t="n">
        <f aca="false">IFERROR(INDEX(CADASTRO_PIVOS!$E$6:$E$41,MATCH($D66,CADASTRO_PIVOS!$B$6:$B$41,0)),0)</f>
        <v>99.96</v>
      </c>
      <c r="F66" s="21" t="s">
        <v>236</v>
      </c>
      <c r="G66" s="21"/>
      <c r="H66" s="21" t="s">
        <v>429</v>
      </c>
      <c r="I66" s="30" t="n">
        <v>46570</v>
      </c>
      <c r="J66" s="30" t="n">
        <v>46715</v>
      </c>
      <c r="K66" s="16" t="n">
        <f aca="false">MAX(1,$J66-$I66)</f>
        <v>145</v>
      </c>
      <c r="L66" s="25" t="str">
        <f aca="false">IFERROR(INDEX(CADASTRO_PIVOS!$C$6:$C$41,MATCH($D66,CADASTRO_PIVOS!$B$6:$B$41,0)),"?")</f>
        <v>RM05</v>
      </c>
      <c r="M66" s="25" t="str">
        <f aca="false">IFERROR(INDEX(CADASTRO_PIVOS!$D$6:$D$41,MATCH($D66,CADASTRO_PIVOS!$B$6:$B$41,0)),"?")</f>
        <v>TR05</v>
      </c>
      <c r="N66" s="8" t="str">
        <f aca="false">UPPER($F66)&amp;"|"&amp;$H66</f>
        <v>MILHO_SEMENTE|PADRAO</v>
      </c>
      <c r="O66" s="8" t="s">
        <v>471</v>
      </c>
      <c r="P66" s="8" t="s">
        <v>493</v>
      </c>
      <c r="Q66" s="8" t="str">
        <f aca="false">IF(ISNA(MATCH($N66,PARAMETROS_CULTURAS!$B$6:$B$28,0)),"SEM CURVA DE Kc","OK")</f>
        <v>OK</v>
      </c>
    </row>
    <row r="67" customFormat="false" ht="15" hidden="false" customHeight="false" outlineLevel="0" collapsed="false">
      <c r="B67" s="16" t="n">
        <v>62</v>
      </c>
      <c r="C67" s="25" t="str">
        <f aca="false">SAFRA</f>
        <v>2026/2027 - RDM</v>
      </c>
      <c r="D67" s="15" t="s">
        <v>274</v>
      </c>
      <c r="E67" s="29" t="n">
        <f aca="false">IFERROR(INDEX(CADASTRO_PIVOS!$E$6:$E$41,MATCH($D67,CADASTRO_PIVOS!$B$6:$B$41,0)),0)</f>
        <v>99.96</v>
      </c>
      <c r="F67" s="21" t="s">
        <v>236</v>
      </c>
      <c r="G67" s="21" t="s">
        <v>473</v>
      </c>
      <c r="H67" s="21" t="s">
        <v>429</v>
      </c>
      <c r="I67" s="30" t="n">
        <v>46191</v>
      </c>
      <c r="J67" s="30" t="n">
        <v>46351</v>
      </c>
      <c r="K67" s="16" t="n">
        <f aca="false">MAX(1,$J67-$I67)</f>
        <v>160</v>
      </c>
      <c r="L67" s="25" t="str">
        <f aca="false">IFERROR(INDEX(CADASTRO_PIVOS!$C$6:$C$41,MATCH($D67,CADASTRO_PIVOS!$B$6:$B$41,0)),"?")</f>
        <v>RM05</v>
      </c>
      <c r="M67" s="25" t="str">
        <f aca="false">IFERROR(INDEX(CADASTRO_PIVOS!$D$6:$D$41,MATCH($D67,CADASTRO_PIVOS!$B$6:$B$41,0)),"?")</f>
        <v>TR05</v>
      </c>
      <c r="N67" s="8" t="str">
        <f aca="false">UPPER($F67)&amp;"|"&amp;$H67</f>
        <v>MILHO_SEMENTE|PADRAO</v>
      </c>
      <c r="O67" s="31" t="s">
        <v>474</v>
      </c>
      <c r="P67" s="8" t="s">
        <v>475</v>
      </c>
      <c r="Q67" s="8" t="str">
        <f aca="false">IF(ISNA(MATCH($N67,PARAMETROS_CULTURAS!$B$6:$B$28,0)),"SEM CURVA DE Kc","OK")</f>
        <v>OK</v>
      </c>
    </row>
    <row r="68" customFormat="false" ht="15" hidden="false" customHeight="false" outlineLevel="0" collapsed="false">
      <c r="B68" s="16" t="n">
        <v>63</v>
      </c>
      <c r="C68" s="25" t="str">
        <f aca="false">SAFRA</f>
        <v>2026/2027 - RDM</v>
      </c>
      <c r="D68" s="15" t="s">
        <v>274</v>
      </c>
      <c r="E68" s="29" t="n">
        <f aca="false">IFERROR(INDEX(CADASTRO_PIVOS!$E$6:$E$41,MATCH($D68,CADASTRO_PIVOS!$B$6:$B$41,0)),0)</f>
        <v>99.96</v>
      </c>
      <c r="F68" s="21" t="s">
        <v>234</v>
      </c>
      <c r="G68" s="21" t="s">
        <v>494</v>
      </c>
      <c r="H68" s="21" t="s">
        <v>424</v>
      </c>
      <c r="I68" s="30" t="n">
        <v>46357</v>
      </c>
      <c r="J68" s="30" t="n">
        <v>46567</v>
      </c>
      <c r="K68" s="16" t="n">
        <f aca="false">MAX(1,$J68-$I68)</f>
        <v>210</v>
      </c>
      <c r="L68" s="25" t="str">
        <f aca="false">IFERROR(INDEX(CADASTRO_PIVOS!$C$6:$C$41,MATCH($D68,CADASTRO_PIVOS!$B$6:$B$41,0)),"?")</f>
        <v>RM05</v>
      </c>
      <c r="M68" s="25" t="str">
        <f aca="false">IFERROR(INDEX(CADASTRO_PIVOS!$D$6:$D$41,MATCH($D68,CADASTRO_PIVOS!$B$6:$B$41,0)),"?")</f>
        <v>TR05</v>
      </c>
      <c r="N68" s="8" t="str">
        <f aca="false">UPPER($F68)&amp;"|"&amp;$H68</f>
        <v>ALGODAO|TARDIA</v>
      </c>
      <c r="O68" s="8" t="s">
        <v>471</v>
      </c>
      <c r="P68" s="8" t="s">
        <v>472</v>
      </c>
      <c r="Q68" s="8" t="str">
        <f aca="false">IF(ISNA(MATCH($N68,PARAMETROS_CULTURAS!$B$6:$B$28,0)),"SEM CURVA DE Kc","OK")</f>
        <v>OK</v>
      </c>
    </row>
    <row r="69" customFormat="false" ht="15" hidden="false" customHeight="false" outlineLevel="0" collapsed="false">
      <c r="B69" s="16" t="n">
        <v>64</v>
      </c>
      <c r="C69" s="25" t="str">
        <f aca="false">SAFRA</f>
        <v>2026/2027 - RDM</v>
      </c>
      <c r="D69" s="15" t="s">
        <v>274</v>
      </c>
      <c r="E69" s="29" t="n">
        <f aca="false">IFERROR(INDEX(CADASTRO_PIVOS!$E$6:$E$41,MATCH($D69,CADASTRO_PIVOS!$B$6:$B$41,0)),0)</f>
        <v>99.96</v>
      </c>
      <c r="F69" s="21" t="s">
        <v>236</v>
      </c>
      <c r="G69" s="21"/>
      <c r="H69" s="21" t="s">
        <v>429</v>
      </c>
      <c r="I69" s="30" t="n">
        <v>46566</v>
      </c>
      <c r="J69" s="30" t="n">
        <v>46711</v>
      </c>
      <c r="K69" s="16" t="n">
        <f aca="false">MAX(1,$J69-$I69)</f>
        <v>145</v>
      </c>
      <c r="L69" s="25" t="str">
        <f aca="false">IFERROR(INDEX(CADASTRO_PIVOS!$C$6:$C$41,MATCH($D69,CADASTRO_PIVOS!$B$6:$B$41,0)),"?")</f>
        <v>RM05</v>
      </c>
      <c r="M69" s="25" t="str">
        <f aca="false">IFERROR(INDEX(CADASTRO_PIVOS!$D$6:$D$41,MATCH($D69,CADASTRO_PIVOS!$B$6:$B$41,0)),"?")</f>
        <v>TR05</v>
      </c>
      <c r="N69" s="8" t="str">
        <f aca="false">UPPER($F69)&amp;"|"&amp;$H69</f>
        <v>MILHO_SEMENTE|PADRAO</v>
      </c>
      <c r="O69" s="8" t="s">
        <v>471</v>
      </c>
      <c r="P69" s="8" t="s">
        <v>493</v>
      </c>
      <c r="Q69" s="8" t="str">
        <f aca="false">IF(ISNA(MATCH($N69,PARAMETROS_CULTURAS!$B$6:$B$28,0)),"SEM CURVA DE Kc","OK")</f>
        <v>OK</v>
      </c>
    </row>
    <row r="70" customFormat="false" ht="15" hidden="false" customHeight="false" outlineLevel="0" collapsed="false">
      <c r="B70" s="16" t="n">
        <v>65</v>
      </c>
      <c r="C70" s="25" t="str">
        <f aca="false">SAFRA</f>
        <v>2026/2027 - RDM</v>
      </c>
      <c r="D70" s="15" t="s">
        <v>290</v>
      </c>
      <c r="E70" s="29" t="n">
        <f aca="false">IFERROR(INDEX(CADASTRO_PIVOS!$E$6:$E$41,MATCH($D70,CADASTRO_PIVOS!$B$6:$B$41,0)),0)</f>
        <v>99.48</v>
      </c>
      <c r="F70" s="21" t="s">
        <v>236</v>
      </c>
      <c r="G70" s="21" t="s">
        <v>473</v>
      </c>
      <c r="H70" s="21" t="s">
        <v>429</v>
      </c>
      <c r="I70" s="30" t="n">
        <v>46140</v>
      </c>
      <c r="J70" s="30" t="n">
        <v>46300</v>
      </c>
      <c r="K70" s="16" t="n">
        <f aca="false">MAX(1,$J70-$I70)</f>
        <v>160</v>
      </c>
      <c r="L70" s="25" t="str">
        <f aca="false">IFERROR(INDEX(CADASTRO_PIVOS!$C$6:$C$41,MATCH($D70,CADASTRO_PIVOS!$B$6:$B$41,0)),"?")</f>
        <v>RM07</v>
      </c>
      <c r="M70" s="25" t="str">
        <f aca="false">IFERROR(INDEX(CADASTRO_PIVOS!$D$6:$D$41,MATCH($D70,CADASTRO_PIVOS!$B$6:$B$41,0)),"?")</f>
        <v>TR07</v>
      </c>
      <c r="N70" s="8" t="str">
        <f aca="false">UPPER($F70)&amp;"|"&amp;$H70</f>
        <v>MILHO_SEMENTE|PADRAO</v>
      </c>
      <c r="O70" s="31" t="s">
        <v>474</v>
      </c>
      <c r="P70" s="8" t="s">
        <v>475</v>
      </c>
      <c r="Q70" s="8" t="str">
        <f aca="false">IF(ISNA(MATCH($N70,PARAMETROS_CULTURAS!$B$6:$B$28,0)),"SEM CURVA DE Kc","OK")</f>
        <v>OK</v>
      </c>
    </row>
    <row r="71" customFormat="false" ht="15" hidden="false" customHeight="false" outlineLevel="0" collapsed="false">
      <c r="B71" s="16" t="n">
        <v>66</v>
      </c>
      <c r="C71" s="25" t="str">
        <f aca="false">SAFRA</f>
        <v>2026/2027 - RDM</v>
      </c>
      <c r="D71" s="15" t="s">
        <v>290</v>
      </c>
      <c r="E71" s="29" t="n">
        <f aca="false">IFERROR(INDEX(CADASTRO_PIVOS!$E$6:$E$41,MATCH($D71,CADASTRO_PIVOS!$B$6:$B$41,0)),0)</f>
        <v>99.48</v>
      </c>
      <c r="F71" s="21" t="s">
        <v>234</v>
      </c>
      <c r="G71" s="21" t="s">
        <v>486</v>
      </c>
      <c r="H71" s="21" t="s">
        <v>422</v>
      </c>
      <c r="I71" s="30" t="n">
        <v>46357</v>
      </c>
      <c r="J71" s="30" t="n">
        <v>46552</v>
      </c>
      <c r="K71" s="16" t="n">
        <f aca="false">MAX(1,$J71-$I71)</f>
        <v>195</v>
      </c>
      <c r="L71" s="25" t="str">
        <f aca="false">IFERROR(INDEX(CADASTRO_PIVOS!$C$6:$C$41,MATCH($D71,CADASTRO_PIVOS!$B$6:$B$41,0)),"?")</f>
        <v>RM07</v>
      </c>
      <c r="M71" s="25" t="str">
        <f aca="false">IFERROR(INDEX(CADASTRO_PIVOS!$D$6:$D$41,MATCH($D71,CADASTRO_PIVOS!$B$6:$B$41,0)),"?")</f>
        <v>TR07</v>
      </c>
      <c r="N71" s="8" t="str">
        <f aca="false">UPPER($F71)&amp;"|"&amp;$H71</f>
        <v>ALGODAO|MEDIA</v>
      </c>
      <c r="O71" s="8" t="s">
        <v>471</v>
      </c>
      <c r="P71" s="8" t="s">
        <v>472</v>
      </c>
      <c r="Q71" s="8" t="str">
        <f aca="false">IF(ISNA(MATCH($N71,PARAMETROS_CULTURAS!$B$6:$B$28,0)),"SEM CURVA DE Kc","OK")</f>
        <v>OK</v>
      </c>
    </row>
    <row r="73" customFormat="false" ht="30" hidden="false" customHeight="true" outlineLevel="0" collapsed="false">
      <c r="B73" s="5" t="s">
        <v>495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</sheetData>
  <mergeCells count="3">
    <mergeCell ref="B2:R2"/>
    <mergeCell ref="B3:R3"/>
    <mergeCell ref="B73:Q73"/>
  </mergeCells>
  <conditionalFormatting sqref="Q6:Q71">
    <cfRule type="cellIs" priority="2" operator="equal" aboveAverage="0" equalAverage="0" bottom="0" percent="0" rank="0" text="" dxfId="0">
      <formula>"SEM CURVA DE Kc"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1" min="9" style="0" width="14"/>
    <col collapsed="false" customWidth="true" hidden="false" outlineLevel="0" max="13" min="12" style="0" width="15"/>
    <col collapsed="false" customWidth="true" hidden="false" outlineLevel="0" max="14" min="14" style="0" width="14"/>
    <col collapsed="false" customWidth="true" hidden="false" outlineLevel="0" max="15" min="15" style="0" width="44"/>
    <col collapsed="false" customWidth="true" hidden="false" outlineLevel="0" max="16" min="16" style="0" width="40"/>
    <col collapsed="false" customWidth="true" hidden="false" outlineLevel="0" max="17" min="17" style="0" width="26"/>
  </cols>
  <sheetData>
    <row r="2" customFormat="false" ht="30" hidden="false" customHeight="true" outlineLevel="0" collapsed="false">
      <c r="B2" s="1" t="s">
        <v>496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5.5" hidden="false" customHeight="true" outlineLevel="0" collapsed="false">
      <c r="B3" s="2" t="s">
        <v>497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30" hidden="false" customHeight="true" outlineLevel="0" collapsed="false">
      <c r="B4" s="31" t="s">
        <v>498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7" customFormat="false" ht="30" hidden="false" customHeight="true" outlineLevel="0" collapsed="false">
      <c r="B7" s="14" t="s">
        <v>160</v>
      </c>
      <c r="C7" s="14" t="s">
        <v>88</v>
      </c>
      <c r="D7" s="14" t="s">
        <v>499</v>
      </c>
      <c r="E7" s="14" t="s">
        <v>500</v>
      </c>
      <c r="F7" s="14" t="s">
        <v>501</v>
      </c>
      <c r="G7" s="14" t="s">
        <v>502</v>
      </c>
      <c r="H7" s="14" t="s">
        <v>503</v>
      </c>
      <c r="I7" s="14" t="s">
        <v>504</v>
      </c>
      <c r="J7" s="14" t="s">
        <v>505</v>
      </c>
      <c r="K7" s="14" t="s">
        <v>506</v>
      </c>
      <c r="L7" s="14" t="s">
        <v>507</v>
      </c>
      <c r="M7" s="14" t="s">
        <v>508</v>
      </c>
      <c r="N7" s="14" t="s">
        <v>509</v>
      </c>
      <c r="O7" s="14" t="s">
        <v>510</v>
      </c>
      <c r="P7" s="14" t="s">
        <v>511</v>
      </c>
      <c r="Q7" s="14" t="s">
        <v>329</v>
      </c>
    </row>
    <row r="8" customFormat="false" ht="15" hidden="false" customHeight="false" outlineLevel="0" collapsed="false">
      <c r="B8" s="17" t="n">
        <v>46265</v>
      </c>
      <c r="C8" s="16" t="n">
        <v>1</v>
      </c>
      <c r="D8" s="8" t="s">
        <v>512</v>
      </c>
      <c r="E8" s="26" t="n">
        <v>5.2</v>
      </c>
      <c r="F8" s="26"/>
      <c r="G8" s="20" t="n">
        <f aca="false">IF(N($F8)&gt;0,$F8,IF(CENARIO_CLIMA="USUARIO",0,$E8))</f>
        <v>5.2</v>
      </c>
      <c r="H8" s="18" t="n">
        <f aca="false">SUMIFS($G$8:$G$469,$C$8:$C$469,$C8)</f>
        <v>40</v>
      </c>
      <c r="I8" s="26" t="n">
        <v>0.16</v>
      </c>
      <c r="J8" s="26"/>
      <c r="K8" s="20" t="n">
        <f aca="false">IF(N($J8)&gt;0,$J8,IF(CENARIO_CLIMA="USUARIO",0,$I8))</f>
        <v>0.16</v>
      </c>
      <c r="L8" s="20" t="n">
        <f aca="false">MIN($K8*FATOR_CHUVA_UTIL,LIMITE_CHUVA_UTIL_DIA)</f>
        <v>0.128</v>
      </c>
      <c r="M8" s="26"/>
      <c r="N8" s="20" t="n">
        <f aca="false">IF(N($M8)&gt;0,$M8,$L8)</f>
        <v>0.128</v>
      </c>
      <c r="O8" s="8" t="str">
        <f aca="false">IF(N($F8)+N($J8)&gt;0,"Serie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" s="8" t="str">
        <f aca="false">IF(N($M8)&gt;0,"Chuva util informada pelo usuario","MIN(Chuva bruta x FATOR_CHUVA_UTIL ; LIMITE_CHUVA_UTIL_DIA)")</f>
        <v>MIN(Chuva bruta x FATOR_CHUVA_UTIL ; LIMITE_CHUVA_UTIL_DIA)</v>
      </c>
    </row>
    <row r="9" customFormat="false" ht="15" hidden="false" customHeight="false" outlineLevel="0" collapsed="false">
      <c r="B9" s="17" t="n">
        <v>46266</v>
      </c>
      <c r="C9" s="16" t="n">
        <v>1</v>
      </c>
      <c r="D9" s="8" t="s">
        <v>513</v>
      </c>
      <c r="E9" s="26" t="n">
        <v>5.8</v>
      </c>
      <c r="F9" s="26"/>
      <c r="G9" s="20" t="n">
        <f aca="false">IF(N($F9)&gt;0,$F9,IF(CENARIO_CLIMA="USUARIO",0,$E9))</f>
        <v>5.8</v>
      </c>
      <c r="H9" s="18" t="n">
        <f aca="false">SUMIFS($G$8:$G$469,$C$8:$C$469,$C9)</f>
        <v>40</v>
      </c>
      <c r="I9" s="26" t="n">
        <v>1</v>
      </c>
      <c r="J9" s="26"/>
      <c r="K9" s="20" t="n">
        <f aca="false">IF(N($J9)&gt;0,$J9,IF(CENARIO_CLIMA="USUARIO",0,$I9))</f>
        <v>1</v>
      </c>
      <c r="L9" s="20" t="n">
        <f aca="false">MIN($K9*FATOR_CHUVA_UTIL,LIMITE_CHUVA_UTIL_DIA)</f>
        <v>0.8</v>
      </c>
      <c r="M9" s="26"/>
      <c r="N9" s="20" t="n">
        <f aca="false">IF(N($M9)&gt;0,$M9,$L9)</f>
        <v>0.8</v>
      </c>
      <c r="O9" s="8" t="str">
        <f aca="false">IF(N($F9)+N($J9)&gt;0,"Serie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" s="8" t="str">
        <f aca="false">IF(N($M9)&gt;0,"Chuva util informada pelo usuario","MIN(Chuva bruta x FATOR_CHUVA_UTIL ; LIMITE_CHUVA_UTIL_DIA)")</f>
        <v>MIN(Chuva bruta x FATOR_CHUVA_UTIL ; LIMITE_CHUVA_UTIL_DIA)</v>
      </c>
    </row>
    <row r="10" customFormat="false" ht="15" hidden="false" customHeight="false" outlineLevel="0" collapsed="false">
      <c r="B10" s="17" t="n">
        <v>46267</v>
      </c>
      <c r="C10" s="16" t="n">
        <v>1</v>
      </c>
      <c r="D10" s="8" t="s">
        <v>513</v>
      </c>
      <c r="E10" s="26" t="n">
        <v>5.8</v>
      </c>
      <c r="F10" s="26"/>
      <c r="G10" s="20" t="n">
        <f aca="false">IF(N($F10)&gt;0,$F10,IF(CENARIO_CLIMA="USUARIO",0,$E10))</f>
        <v>5.8</v>
      </c>
      <c r="H10" s="18" t="n">
        <f aca="false">SUMIFS($G$8:$G$469,$C$8:$C$469,$C10)</f>
        <v>40</v>
      </c>
      <c r="I10" s="26" t="n">
        <v>1</v>
      </c>
      <c r="J10" s="26"/>
      <c r="K10" s="20" t="n">
        <f aca="false">IF(N($J10)&gt;0,$J10,IF(CENARIO_CLIMA="USUARIO",0,$I10))</f>
        <v>1</v>
      </c>
      <c r="L10" s="20" t="n">
        <f aca="false">MIN($K10*FATOR_CHUVA_UTIL,LIMITE_CHUVA_UTIL_DIA)</f>
        <v>0.8</v>
      </c>
      <c r="M10" s="26"/>
      <c r="N10" s="20" t="n">
        <f aca="false">IF(N($M10)&gt;0,$M10,$L10)</f>
        <v>0.8</v>
      </c>
      <c r="O10" s="8" t="str">
        <f aca="false">IF(N($F10)+N($J10)&gt;0,"Serie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" s="8" t="str">
        <f aca="false">IF(N($M10)&gt;0,"Chuva util informada pelo usuario","MIN(Chuva bruta x FATOR_CHUVA_UTIL ; LIMITE_CHUVA_UTIL_DIA)")</f>
        <v>MIN(Chuva bruta x FATOR_CHUVA_UTIL ; LIMITE_CHUVA_UTIL_DIA)</v>
      </c>
    </row>
    <row r="11" customFormat="false" ht="15" hidden="false" customHeight="false" outlineLevel="0" collapsed="false">
      <c r="B11" s="17" t="n">
        <v>46268</v>
      </c>
      <c r="C11" s="16" t="n">
        <v>1</v>
      </c>
      <c r="D11" s="8" t="s">
        <v>513</v>
      </c>
      <c r="E11" s="26" t="n">
        <v>5.8</v>
      </c>
      <c r="F11" s="26"/>
      <c r="G11" s="20" t="n">
        <f aca="false">IF(N($F11)&gt;0,$F11,IF(CENARIO_CLIMA="USUARIO",0,$E11))</f>
        <v>5.8</v>
      </c>
      <c r="H11" s="18" t="n">
        <f aca="false">SUMIFS($G$8:$G$469,$C$8:$C$469,$C11)</f>
        <v>40</v>
      </c>
      <c r="I11" s="26" t="n">
        <v>1</v>
      </c>
      <c r="J11" s="26"/>
      <c r="K11" s="20" t="n">
        <f aca="false">IF(N($J11)&gt;0,$J11,IF(CENARIO_CLIMA="USUARIO",0,$I11))</f>
        <v>1</v>
      </c>
      <c r="L11" s="20" t="n">
        <f aca="false">MIN($K11*FATOR_CHUVA_UTIL,LIMITE_CHUVA_UTIL_DIA)</f>
        <v>0.8</v>
      </c>
      <c r="M11" s="26"/>
      <c r="N11" s="20" t="n">
        <f aca="false">IF(N($M11)&gt;0,$M11,$L11)</f>
        <v>0.8</v>
      </c>
      <c r="O11" s="8" t="str">
        <f aca="false">IF(N($F11)+N($J11)&gt;0,"Serie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" s="8" t="str">
        <f aca="false">IF(N($M11)&gt;0,"Chuva util informada pelo usuario","MIN(Chuva bruta x FATOR_CHUVA_UTIL ; LIMITE_CHUVA_UTIL_DIA)")</f>
        <v>MIN(Chuva bruta x FATOR_CHUVA_UTIL ; LIMITE_CHUVA_UTIL_DIA)</v>
      </c>
    </row>
    <row r="12" customFormat="false" ht="15" hidden="false" customHeight="false" outlineLevel="0" collapsed="false">
      <c r="B12" s="17" t="n">
        <v>46269</v>
      </c>
      <c r="C12" s="16" t="n">
        <v>1</v>
      </c>
      <c r="D12" s="8" t="s">
        <v>513</v>
      </c>
      <c r="E12" s="26" t="n">
        <v>5.8</v>
      </c>
      <c r="F12" s="26"/>
      <c r="G12" s="20" t="n">
        <f aca="false">IF(N($F12)&gt;0,$F12,IF(CENARIO_CLIMA="USUARIO",0,$E12))</f>
        <v>5.8</v>
      </c>
      <c r="H12" s="18" t="n">
        <f aca="false">SUMIFS($G$8:$G$469,$C$8:$C$469,$C12)</f>
        <v>40</v>
      </c>
      <c r="I12" s="26" t="n">
        <v>1</v>
      </c>
      <c r="J12" s="26"/>
      <c r="K12" s="20" t="n">
        <f aca="false">IF(N($J12)&gt;0,$J12,IF(CENARIO_CLIMA="USUARIO",0,$I12))</f>
        <v>1</v>
      </c>
      <c r="L12" s="20" t="n">
        <f aca="false">MIN($K12*FATOR_CHUVA_UTIL,LIMITE_CHUVA_UTIL_DIA)</f>
        <v>0.8</v>
      </c>
      <c r="M12" s="26"/>
      <c r="N12" s="20" t="n">
        <f aca="false">IF(N($M12)&gt;0,$M12,$L12)</f>
        <v>0.8</v>
      </c>
      <c r="O12" s="8" t="str">
        <f aca="false">IF(N($F12)+N($J12)&gt;0,"Serie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" s="8" t="str">
        <f aca="false">IF(N($M12)&gt;0,"Chuva util informada pelo usuario","MIN(Chuva bruta x FATOR_CHUVA_UTIL ; LIMITE_CHUVA_UTIL_DIA)")</f>
        <v>MIN(Chuva bruta x FATOR_CHUVA_UTIL ; LIMITE_CHUVA_UTIL_DIA)</v>
      </c>
    </row>
    <row r="13" customFormat="false" ht="15" hidden="false" customHeight="false" outlineLevel="0" collapsed="false">
      <c r="B13" s="17" t="n">
        <v>46270</v>
      </c>
      <c r="C13" s="16" t="n">
        <v>1</v>
      </c>
      <c r="D13" s="8" t="s">
        <v>513</v>
      </c>
      <c r="E13" s="26" t="n">
        <v>5.8</v>
      </c>
      <c r="F13" s="26"/>
      <c r="G13" s="20" t="n">
        <f aca="false">IF(N($F13)&gt;0,$F13,IF(CENARIO_CLIMA="USUARIO",0,$E13))</f>
        <v>5.8</v>
      </c>
      <c r="H13" s="18" t="n">
        <f aca="false">SUMIFS($G$8:$G$469,$C$8:$C$469,$C13)</f>
        <v>40</v>
      </c>
      <c r="I13" s="26" t="n">
        <v>1</v>
      </c>
      <c r="J13" s="26"/>
      <c r="K13" s="20" t="n">
        <f aca="false">IF(N($J13)&gt;0,$J13,IF(CENARIO_CLIMA="USUARIO",0,$I13))</f>
        <v>1</v>
      </c>
      <c r="L13" s="20" t="n">
        <f aca="false">MIN($K13*FATOR_CHUVA_UTIL,LIMITE_CHUVA_UTIL_DIA)</f>
        <v>0.8</v>
      </c>
      <c r="M13" s="26"/>
      <c r="N13" s="20" t="n">
        <f aca="false">IF(N($M13)&gt;0,$M13,$L13)</f>
        <v>0.8</v>
      </c>
      <c r="O13" s="8" t="str">
        <f aca="false">IF(N($F13)+N($J13)&gt;0,"Serie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" s="8" t="str">
        <f aca="false">IF(N($M13)&gt;0,"Chuva util informada pelo usuario","MIN(Chuva bruta x FATOR_CHUVA_UTIL ; LIMITE_CHUVA_UTIL_DIA)")</f>
        <v>MIN(Chuva bruta x FATOR_CHUVA_UTIL ; LIMITE_CHUVA_UTIL_DIA)</v>
      </c>
    </row>
    <row r="14" customFormat="false" ht="15" hidden="false" customHeight="false" outlineLevel="0" collapsed="false">
      <c r="B14" s="17" t="n">
        <v>46271</v>
      </c>
      <c r="C14" s="16" t="n">
        <v>1</v>
      </c>
      <c r="D14" s="8" t="s">
        <v>513</v>
      </c>
      <c r="E14" s="26" t="n">
        <v>5.8</v>
      </c>
      <c r="F14" s="26"/>
      <c r="G14" s="20" t="n">
        <f aca="false">IF(N($F14)&gt;0,$F14,IF(CENARIO_CLIMA="USUARIO",0,$E14))</f>
        <v>5.8</v>
      </c>
      <c r="H14" s="18" t="n">
        <f aca="false">SUMIFS($G$8:$G$469,$C$8:$C$469,$C14)</f>
        <v>40</v>
      </c>
      <c r="I14" s="26" t="n">
        <v>1</v>
      </c>
      <c r="J14" s="26"/>
      <c r="K14" s="20" t="n">
        <f aca="false">IF(N($J14)&gt;0,$J14,IF(CENARIO_CLIMA="USUARIO",0,$I14))</f>
        <v>1</v>
      </c>
      <c r="L14" s="20" t="n">
        <f aca="false">MIN($K14*FATOR_CHUVA_UTIL,LIMITE_CHUVA_UTIL_DIA)</f>
        <v>0.8</v>
      </c>
      <c r="M14" s="26"/>
      <c r="N14" s="20" t="n">
        <f aca="false">IF(N($M14)&gt;0,$M14,$L14)</f>
        <v>0.8</v>
      </c>
      <c r="O14" s="8" t="str">
        <f aca="false">IF(N($F14)+N($J14)&gt;0,"Serie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" s="8" t="str">
        <f aca="false">IF(N($M14)&gt;0,"Chuva util informada pelo usuario","MIN(Chuva bruta x FATOR_CHUVA_UTIL ; LIMITE_CHUVA_UTIL_DIA)")</f>
        <v>MIN(Chuva bruta x FATOR_CHUVA_UTIL ; LIMITE_CHUVA_UTIL_DIA)</v>
      </c>
    </row>
    <row r="15" customFormat="false" ht="15" hidden="false" customHeight="false" outlineLevel="0" collapsed="false">
      <c r="B15" s="17" t="n">
        <v>46272</v>
      </c>
      <c r="C15" s="16" t="n">
        <v>2</v>
      </c>
      <c r="D15" s="8" t="s">
        <v>513</v>
      </c>
      <c r="E15" s="26" t="n">
        <v>5.8</v>
      </c>
      <c r="F15" s="26"/>
      <c r="G15" s="20" t="n">
        <f aca="false">IF(N($F15)&gt;0,$F15,IF(CENARIO_CLIMA="USUARIO",0,$E15))</f>
        <v>5.8</v>
      </c>
      <c r="H15" s="18" t="n">
        <f aca="false">SUMIFS($G$8:$G$469,$C$8:$C$469,$C15)</f>
        <v>40.6</v>
      </c>
      <c r="I15" s="26" t="n">
        <v>1</v>
      </c>
      <c r="J15" s="26"/>
      <c r="K15" s="20" t="n">
        <f aca="false">IF(N($J15)&gt;0,$J15,IF(CENARIO_CLIMA="USUARIO",0,$I15))</f>
        <v>1</v>
      </c>
      <c r="L15" s="20" t="n">
        <f aca="false">MIN($K15*FATOR_CHUVA_UTIL,LIMITE_CHUVA_UTIL_DIA)</f>
        <v>0.8</v>
      </c>
      <c r="M15" s="26"/>
      <c r="N15" s="20" t="n">
        <f aca="false">IF(N($M15)&gt;0,$M15,$L15)</f>
        <v>0.8</v>
      </c>
      <c r="O15" s="8" t="str">
        <f aca="false">IF(N($F15)+N($J15)&gt;0,"Serie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" s="8" t="str">
        <f aca="false">IF(N($M15)&gt;0,"Chuva util informada pelo usuario","MIN(Chuva bruta x FATOR_CHUVA_UTIL ; LIMITE_CHUVA_UTIL_DIA)")</f>
        <v>MIN(Chuva bruta x FATOR_CHUVA_UTIL ; LIMITE_CHUVA_UTIL_DIA)</v>
      </c>
    </row>
    <row r="16" customFormat="false" ht="15" hidden="false" customHeight="false" outlineLevel="0" collapsed="false">
      <c r="B16" s="17" t="n">
        <v>46273</v>
      </c>
      <c r="C16" s="16" t="n">
        <v>2</v>
      </c>
      <c r="D16" s="8" t="s">
        <v>513</v>
      </c>
      <c r="E16" s="26" t="n">
        <v>5.8</v>
      </c>
      <c r="F16" s="26"/>
      <c r="G16" s="20" t="n">
        <f aca="false">IF(N($F16)&gt;0,$F16,IF(CENARIO_CLIMA="USUARIO",0,$E16))</f>
        <v>5.8</v>
      </c>
      <c r="H16" s="18" t="n">
        <f aca="false">SUMIFS($G$8:$G$469,$C$8:$C$469,$C16)</f>
        <v>40.6</v>
      </c>
      <c r="I16" s="26" t="n">
        <v>1</v>
      </c>
      <c r="J16" s="26"/>
      <c r="K16" s="20" t="n">
        <f aca="false">IF(N($J16)&gt;0,$J16,IF(CENARIO_CLIMA="USUARIO",0,$I16))</f>
        <v>1</v>
      </c>
      <c r="L16" s="20" t="n">
        <f aca="false">MIN($K16*FATOR_CHUVA_UTIL,LIMITE_CHUVA_UTIL_DIA)</f>
        <v>0.8</v>
      </c>
      <c r="M16" s="26"/>
      <c r="N16" s="20" t="n">
        <f aca="false">IF(N($M16)&gt;0,$M16,$L16)</f>
        <v>0.8</v>
      </c>
      <c r="O16" s="8" t="str">
        <f aca="false">IF(N($F16)+N($J16)&gt;0,"Serie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" s="8" t="str">
        <f aca="false">IF(N($M16)&gt;0,"Chuva util informada pelo usuario","MIN(Chuva bruta x FATOR_CHUVA_UTIL ; LIMITE_CHUVA_UTIL_DIA)")</f>
        <v>MIN(Chuva bruta x FATOR_CHUVA_UTIL ; LIMITE_CHUVA_UTIL_DIA)</v>
      </c>
    </row>
    <row r="17" customFormat="false" ht="15" hidden="false" customHeight="false" outlineLevel="0" collapsed="false">
      <c r="B17" s="17" t="n">
        <v>46274</v>
      </c>
      <c r="C17" s="16" t="n">
        <v>2</v>
      </c>
      <c r="D17" s="8" t="s">
        <v>513</v>
      </c>
      <c r="E17" s="26" t="n">
        <v>5.8</v>
      </c>
      <c r="F17" s="26"/>
      <c r="G17" s="20" t="n">
        <f aca="false">IF(N($F17)&gt;0,$F17,IF(CENARIO_CLIMA="USUARIO",0,$E17))</f>
        <v>5.8</v>
      </c>
      <c r="H17" s="18" t="n">
        <f aca="false">SUMIFS($G$8:$G$469,$C$8:$C$469,$C17)</f>
        <v>40.6</v>
      </c>
      <c r="I17" s="26" t="n">
        <v>1</v>
      </c>
      <c r="J17" s="26"/>
      <c r="K17" s="20" t="n">
        <f aca="false">IF(N($J17)&gt;0,$J17,IF(CENARIO_CLIMA="USUARIO",0,$I17))</f>
        <v>1</v>
      </c>
      <c r="L17" s="20" t="n">
        <f aca="false">MIN($K17*FATOR_CHUVA_UTIL,LIMITE_CHUVA_UTIL_DIA)</f>
        <v>0.8</v>
      </c>
      <c r="M17" s="26"/>
      <c r="N17" s="20" t="n">
        <f aca="false">IF(N($M17)&gt;0,$M17,$L17)</f>
        <v>0.8</v>
      </c>
      <c r="O17" s="8" t="str">
        <f aca="false">IF(N($F17)+N($J17)&gt;0,"Serie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" s="8" t="str">
        <f aca="false">IF(N($M17)&gt;0,"Chuva util informada pelo usuario","MIN(Chuva bruta x FATOR_CHUVA_UTIL ; LIMITE_CHUVA_UTIL_DIA)")</f>
        <v>MIN(Chuva bruta x FATOR_CHUVA_UTIL ; LIMITE_CHUVA_UTIL_DIA)</v>
      </c>
    </row>
    <row r="18" customFormat="false" ht="15" hidden="false" customHeight="false" outlineLevel="0" collapsed="false">
      <c r="B18" s="17" t="n">
        <v>46275</v>
      </c>
      <c r="C18" s="16" t="n">
        <v>2</v>
      </c>
      <c r="D18" s="8" t="s">
        <v>513</v>
      </c>
      <c r="E18" s="26" t="n">
        <v>5.8</v>
      </c>
      <c r="F18" s="26"/>
      <c r="G18" s="20" t="n">
        <f aca="false">IF(N($F18)&gt;0,$F18,IF(CENARIO_CLIMA="USUARIO",0,$E18))</f>
        <v>5.8</v>
      </c>
      <c r="H18" s="18" t="n">
        <f aca="false">SUMIFS($G$8:$G$469,$C$8:$C$469,$C18)</f>
        <v>40.6</v>
      </c>
      <c r="I18" s="26" t="n">
        <v>1</v>
      </c>
      <c r="J18" s="26"/>
      <c r="K18" s="20" t="n">
        <f aca="false">IF(N($J18)&gt;0,$J18,IF(CENARIO_CLIMA="USUARIO",0,$I18))</f>
        <v>1</v>
      </c>
      <c r="L18" s="20" t="n">
        <f aca="false">MIN($K18*FATOR_CHUVA_UTIL,LIMITE_CHUVA_UTIL_DIA)</f>
        <v>0.8</v>
      </c>
      <c r="M18" s="26"/>
      <c r="N18" s="20" t="n">
        <f aca="false">IF(N($M18)&gt;0,$M18,$L18)</f>
        <v>0.8</v>
      </c>
      <c r="O18" s="8" t="str">
        <f aca="false">IF(N($F18)+N($J18)&gt;0,"Serie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" s="8" t="str">
        <f aca="false">IF(N($M18)&gt;0,"Chuva util informada pelo usuario","MIN(Chuva bruta x FATOR_CHUVA_UTIL ; LIMITE_CHUVA_UTIL_DIA)")</f>
        <v>MIN(Chuva bruta x FATOR_CHUVA_UTIL ; LIMITE_CHUVA_UTIL_DIA)</v>
      </c>
    </row>
    <row r="19" customFormat="false" ht="15" hidden="false" customHeight="false" outlineLevel="0" collapsed="false">
      <c r="B19" s="17" t="n">
        <v>46276</v>
      </c>
      <c r="C19" s="16" t="n">
        <v>2</v>
      </c>
      <c r="D19" s="8" t="s">
        <v>513</v>
      </c>
      <c r="E19" s="26" t="n">
        <v>5.8</v>
      </c>
      <c r="F19" s="26"/>
      <c r="G19" s="20" t="n">
        <f aca="false">IF(N($F19)&gt;0,$F19,IF(CENARIO_CLIMA="USUARIO",0,$E19))</f>
        <v>5.8</v>
      </c>
      <c r="H19" s="18" t="n">
        <f aca="false">SUMIFS($G$8:$G$469,$C$8:$C$469,$C19)</f>
        <v>40.6</v>
      </c>
      <c r="I19" s="26" t="n">
        <v>1</v>
      </c>
      <c r="J19" s="26"/>
      <c r="K19" s="20" t="n">
        <f aca="false">IF(N($J19)&gt;0,$J19,IF(CENARIO_CLIMA="USUARIO",0,$I19))</f>
        <v>1</v>
      </c>
      <c r="L19" s="20" t="n">
        <f aca="false">MIN($K19*FATOR_CHUVA_UTIL,LIMITE_CHUVA_UTIL_DIA)</f>
        <v>0.8</v>
      </c>
      <c r="M19" s="26"/>
      <c r="N19" s="20" t="n">
        <f aca="false">IF(N($M19)&gt;0,$M19,$L19)</f>
        <v>0.8</v>
      </c>
      <c r="O19" s="8" t="str">
        <f aca="false">IF(N($F19)+N($J19)&gt;0,"Serie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" s="8" t="str">
        <f aca="false">IF(N($M19)&gt;0,"Chuva util informada pelo usuario","MIN(Chuva bruta x FATOR_CHUVA_UTIL ; LIMITE_CHUVA_UTIL_DIA)")</f>
        <v>MIN(Chuva bruta x FATOR_CHUVA_UTIL ; LIMITE_CHUVA_UTIL_DIA)</v>
      </c>
    </row>
    <row r="20" customFormat="false" ht="15" hidden="false" customHeight="false" outlineLevel="0" collapsed="false">
      <c r="B20" s="17" t="n">
        <v>46277</v>
      </c>
      <c r="C20" s="16" t="n">
        <v>2</v>
      </c>
      <c r="D20" s="8" t="s">
        <v>513</v>
      </c>
      <c r="E20" s="26" t="n">
        <v>5.8</v>
      </c>
      <c r="F20" s="26"/>
      <c r="G20" s="20" t="n">
        <f aca="false">IF(N($F20)&gt;0,$F20,IF(CENARIO_CLIMA="USUARIO",0,$E20))</f>
        <v>5.8</v>
      </c>
      <c r="H20" s="18" t="n">
        <f aca="false">SUMIFS($G$8:$G$469,$C$8:$C$469,$C20)</f>
        <v>40.6</v>
      </c>
      <c r="I20" s="26" t="n">
        <v>1</v>
      </c>
      <c r="J20" s="26"/>
      <c r="K20" s="20" t="n">
        <f aca="false">IF(N($J20)&gt;0,$J20,IF(CENARIO_CLIMA="USUARIO",0,$I20))</f>
        <v>1</v>
      </c>
      <c r="L20" s="20" t="n">
        <f aca="false">MIN($K20*FATOR_CHUVA_UTIL,LIMITE_CHUVA_UTIL_DIA)</f>
        <v>0.8</v>
      </c>
      <c r="M20" s="26"/>
      <c r="N20" s="20" t="n">
        <f aca="false">IF(N($M20)&gt;0,$M20,$L20)</f>
        <v>0.8</v>
      </c>
      <c r="O20" s="8" t="str">
        <f aca="false">IF(N($F20)+N($J20)&gt;0,"Serie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" s="8" t="str">
        <f aca="false">IF(N($M20)&gt;0,"Chuva util informada pelo usuario","MIN(Chuva bruta x FATOR_CHUVA_UTIL ; LIMITE_CHUVA_UTIL_DIA)")</f>
        <v>MIN(Chuva bruta x FATOR_CHUVA_UTIL ; LIMITE_CHUVA_UTIL_DIA)</v>
      </c>
    </row>
    <row r="21" customFormat="false" ht="15" hidden="false" customHeight="false" outlineLevel="0" collapsed="false">
      <c r="B21" s="17" t="n">
        <v>46278</v>
      </c>
      <c r="C21" s="16" t="n">
        <v>2</v>
      </c>
      <c r="D21" s="8" t="s">
        <v>513</v>
      </c>
      <c r="E21" s="26" t="n">
        <v>5.8</v>
      </c>
      <c r="F21" s="26"/>
      <c r="G21" s="20" t="n">
        <f aca="false">IF(N($F21)&gt;0,$F21,IF(CENARIO_CLIMA="USUARIO",0,$E21))</f>
        <v>5.8</v>
      </c>
      <c r="H21" s="18" t="n">
        <f aca="false">SUMIFS($G$8:$G$469,$C$8:$C$469,$C21)</f>
        <v>40.6</v>
      </c>
      <c r="I21" s="26" t="n">
        <v>1</v>
      </c>
      <c r="J21" s="26"/>
      <c r="K21" s="20" t="n">
        <f aca="false">IF(N($J21)&gt;0,$J21,IF(CENARIO_CLIMA="USUARIO",0,$I21))</f>
        <v>1</v>
      </c>
      <c r="L21" s="20" t="n">
        <f aca="false">MIN($K21*FATOR_CHUVA_UTIL,LIMITE_CHUVA_UTIL_DIA)</f>
        <v>0.8</v>
      </c>
      <c r="M21" s="26"/>
      <c r="N21" s="20" t="n">
        <f aca="false">IF(N($M21)&gt;0,$M21,$L21)</f>
        <v>0.8</v>
      </c>
      <c r="O21" s="8" t="str">
        <f aca="false">IF(N($F21)+N($J21)&gt;0,"Serie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" s="8" t="str">
        <f aca="false">IF(N($M21)&gt;0,"Chuva util informada pelo usuario","MIN(Chuva bruta x FATOR_CHUVA_UTIL ; LIMITE_CHUVA_UTIL_DIA)")</f>
        <v>MIN(Chuva bruta x FATOR_CHUVA_UTIL ; LIMITE_CHUVA_UTIL_DIA)</v>
      </c>
    </row>
    <row r="22" customFormat="false" ht="15" hidden="false" customHeight="false" outlineLevel="0" collapsed="false">
      <c r="B22" s="17" t="n">
        <v>46279</v>
      </c>
      <c r="C22" s="16" t="n">
        <v>3</v>
      </c>
      <c r="D22" s="8" t="s">
        <v>513</v>
      </c>
      <c r="E22" s="26" t="n">
        <v>5.8</v>
      </c>
      <c r="F22" s="26"/>
      <c r="G22" s="20" t="n">
        <f aca="false">IF(N($F22)&gt;0,$F22,IF(CENARIO_CLIMA="USUARIO",0,$E22))</f>
        <v>5.8</v>
      </c>
      <c r="H22" s="18" t="n">
        <f aca="false">SUMIFS($G$8:$G$469,$C$8:$C$469,$C22)</f>
        <v>40.6</v>
      </c>
      <c r="I22" s="26" t="n">
        <v>1</v>
      </c>
      <c r="J22" s="26"/>
      <c r="K22" s="20" t="n">
        <f aca="false">IF(N($J22)&gt;0,$J22,IF(CENARIO_CLIMA="USUARIO",0,$I22))</f>
        <v>1</v>
      </c>
      <c r="L22" s="20" t="n">
        <f aca="false">MIN($K22*FATOR_CHUVA_UTIL,LIMITE_CHUVA_UTIL_DIA)</f>
        <v>0.8</v>
      </c>
      <c r="M22" s="26"/>
      <c r="N22" s="20" t="n">
        <f aca="false">IF(N($M22)&gt;0,$M22,$L22)</f>
        <v>0.8</v>
      </c>
      <c r="O22" s="8" t="str">
        <f aca="false">IF(N($F22)+N($J22)&gt;0,"Serie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" s="8" t="str">
        <f aca="false">IF(N($M22)&gt;0,"Chuva util informada pelo usuario","MIN(Chuva bruta x FATOR_CHUVA_UTIL ; LIMITE_CHUVA_UTIL_DIA)")</f>
        <v>MIN(Chuva bruta x FATOR_CHUVA_UTIL ; LIMITE_CHUVA_UTIL_DIA)</v>
      </c>
    </row>
    <row r="23" customFormat="false" ht="15" hidden="false" customHeight="false" outlineLevel="0" collapsed="false">
      <c r="B23" s="17" t="n">
        <v>46280</v>
      </c>
      <c r="C23" s="16" t="n">
        <v>3</v>
      </c>
      <c r="D23" s="8" t="s">
        <v>513</v>
      </c>
      <c r="E23" s="26" t="n">
        <v>5.8</v>
      </c>
      <c r="F23" s="26"/>
      <c r="G23" s="20" t="n">
        <f aca="false">IF(N($F23)&gt;0,$F23,IF(CENARIO_CLIMA="USUARIO",0,$E23))</f>
        <v>5.8</v>
      </c>
      <c r="H23" s="18" t="n">
        <f aca="false">SUMIFS($G$8:$G$469,$C$8:$C$469,$C23)</f>
        <v>40.6</v>
      </c>
      <c r="I23" s="26" t="n">
        <v>1</v>
      </c>
      <c r="J23" s="26"/>
      <c r="K23" s="20" t="n">
        <f aca="false">IF(N($J23)&gt;0,$J23,IF(CENARIO_CLIMA="USUARIO",0,$I23))</f>
        <v>1</v>
      </c>
      <c r="L23" s="20" t="n">
        <f aca="false">MIN($K23*FATOR_CHUVA_UTIL,LIMITE_CHUVA_UTIL_DIA)</f>
        <v>0.8</v>
      </c>
      <c r="M23" s="26"/>
      <c r="N23" s="20" t="n">
        <f aca="false">IF(N($M23)&gt;0,$M23,$L23)</f>
        <v>0.8</v>
      </c>
      <c r="O23" s="8" t="str">
        <f aca="false">IF(N($F23)+N($J23)&gt;0,"Serie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" s="8" t="str">
        <f aca="false">IF(N($M23)&gt;0,"Chuva util informada pelo usuario","MIN(Chuva bruta x FATOR_CHUVA_UTIL ; LIMITE_CHUVA_UTIL_DIA)")</f>
        <v>MIN(Chuva bruta x FATOR_CHUVA_UTIL ; LIMITE_CHUVA_UTIL_DIA)</v>
      </c>
    </row>
    <row r="24" customFormat="false" ht="15" hidden="false" customHeight="false" outlineLevel="0" collapsed="false">
      <c r="B24" s="17" t="n">
        <v>46281</v>
      </c>
      <c r="C24" s="16" t="n">
        <v>3</v>
      </c>
      <c r="D24" s="8" t="s">
        <v>513</v>
      </c>
      <c r="E24" s="26" t="n">
        <v>5.8</v>
      </c>
      <c r="F24" s="26"/>
      <c r="G24" s="20" t="n">
        <f aca="false">IF(N($F24)&gt;0,$F24,IF(CENARIO_CLIMA="USUARIO",0,$E24))</f>
        <v>5.8</v>
      </c>
      <c r="H24" s="18" t="n">
        <f aca="false">SUMIFS($G$8:$G$469,$C$8:$C$469,$C24)</f>
        <v>40.6</v>
      </c>
      <c r="I24" s="26" t="n">
        <v>1</v>
      </c>
      <c r="J24" s="26"/>
      <c r="K24" s="20" t="n">
        <f aca="false">IF(N($J24)&gt;0,$J24,IF(CENARIO_CLIMA="USUARIO",0,$I24))</f>
        <v>1</v>
      </c>
      <c r="L24" s="20" t="n">
        <f aca="false">MIN($K24*FATOR_CHUVA_UTIL,LIMITE_CHUVA_UTIL_DIA)</f>
        <v>0.8</v>
      </c>
      <c r="M24" s="26"/>
      <c r="N24" s="20" t="n">
        <f aca="false">IF(N($M24)&gt;0,$M24,$L24)</f>
        <v>0.8</v>
      </c>
      <c r="O24" s="8" t="str">
        <f aca="false">IF(N($F24)+N($J24)&gt;0,"Serie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" s="8" t="str">
        <f aca="false">IF(N($M24)&gt;0,"Chuva util informada pelo usuario","MIN(Chuva bruta x FATOR_CHUVA_UTIL ; LIMITE_CHUVA_UTIL_DIA)")</f>
        <v>MIN(Chuva bruta x FATOR_CHUVA_UTIL ; LIMITE_CHUVA_UTIL_DIA)</v>
      </c>
    </row>
    <row r="25" customFormat="false" ht="15" hidden="false" customHeight="false" outlineLevel="0" collapsed="false">
      <c r="B25" s="17" t="n">
        <v>46282</v>
      </c>
      <c r="C25" s="16" t="n">
        <v>3</v>
      </c>
      <c r="D25" s="8" t="s">
        <v>513</v>
      </c>
      <c r="E25" s="26" t="n">
        <v>5.8</v>
      </c>
      <c r="F25" s="26"/>
      <c r="G25" s="20" t="n">
        <f aca="false">IF(N($F25)&gt;0,$F25,IF(CENARIO_CLIMA="USUARIO",0,$E25))</f>
        <v>5.8</v>
      </c>
      <c r="H25" s="18" t="n">
        <f aca="false">SUMIFS($G$8:$G$469,$C$8:$C$469,$C25)</f>
        <v>40.6</v>
      </c>
      <c r="I25" s="26" t="n">
        <v>1</v>
      </c>
      <c r="J25" s="26"/>
      <c r="K25" s="20" t="n">
        <f aca="false">IF(N($J25)&gt;0,$J25,IF(CENARIO_CLIMA="USUARIO",0,$I25))</f>
        <v>1</v>
      </c>
      <c r="L25" s="20" t="n">
        <f aca="false">MIN($K25*FATOR_CHUVA_UTIL,LIMITE_CHUVA_UTIL_DIA)</f>
        <v>0.8</v>
      </c>
      <c r="M25" s="26"/>
      <c r="N25" s="20" t="n">
        <f aca="false">IF(N($M25)&gt;0,$M25,$L25)</f>
        <v>0.8</v>
      </c>
      <c r="O25" s="8" t="str">
        <f aca="false">IF(N($F25)+N($J25)&gt;0,"Serie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" s="8" t="str">
        <f aca="false">IF(N($M25)&gt;0,"Chuva util informada pelo usuario","MIN(Chuva bruta x FATOR_CHUVA_UTIL ; LIMITE_CHUVA_UTIL_DIA)")</f>
        <v>MIN(Chuva bruta x FATOR_CHUVA_UTIL ; LIMITE_CHUVA_UTIL_DIA)</v>
      </c>
    </row>
    <row r="26" customFormat="false" ht="15" hidden="false" customHeight="false" outlineLevel="0" collapsed="false">
      <c r="B26" s="17" t="n">
        <v>46283</v>
      </c>
      <c r="C26" s="16" t="n">
        <v>3</v>
      </c>
      <c r="D26" s="8" t="s">
        <v>513</v>
      </c>
      <c r="E26" s="26" t="n">
        <v>5.8</v>
      </c>
      <c r="F26" s="26"/>
      <c r="G26" s="20" t="n">
        <f aca="false">IF(N($F26)&gt;0,$F26,IF(CENARIO_CLIMA="USUARIO",0,$E26))</f>
        <v>5.8</v>
      </c>
      <c r="H26" s="18" t="n">
        <f aca="false">SUMIFS($G$8:$G$469,$C$8:$C$469,$C26)</f>
        <v>40.6</v>
      </c>
      <c r="I26" s="26" t="n">
        <v>1</v>
      </c>
      <c r="J26" s="26"/>
      <c r="K26" s="20" t="n">
        <f aca="false">IF(N($J26)&gt;0,$J26,IF(CENARIO_CLIMA="USUARIO",0,$I26))</f>
        <v>1</v>
      </c>
      <c r="L26" s="20" t="n">
        <f aca="false">MIN($K26*FATOR_CHUVA_UTIL,LIMITE_CHUVA_UTIL_DIA)</f>
        <v>0.8</v>
      </c>
      <c r="M26" s="26"/>
      <c r="N26" s="20" t="n">
        <f aca="false">IF(N($M26)&gt;0,$M26,$L26)</f>
        <v>0.8</v>
      </c>
      <c r="O26" s="8" t="str">
        <f aca="false">IF(N($F26)+N($J26)&gt;0,"Serie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" s="8" t="str">
        <f aca="false">IF(N($M26)&gt;0,"Chuva util informada pelo usuario","MIN(Chuva bruta x FATOR_CHUVA_UTIL ; LIMITE_CHUVA_UTIL_DIA)")</f>
        <v>MIN(Chuva bruta x FATOR_CHUVA_UTIL ; LIMITE_CHUVA_UTIL_DIA)</v>
      </c>
    </row>
    <row r="27" customFormat="false" ht="15" hidden="false" customHeight="false" outlineLevel="0" collapsed="false">
      <c r="B27" s="17" t="n">
        <v>46284</v>
      </c>
      <c r="C27" s="16" t="n">
        <v>3</v>
      </c>
      <c r="D27" s="8" t="s">
        <v>513</v>
      </c>
      <c r="E27" s="26" t="n">
        <v>5.8</v>
      </c>
      <c r="F27" s="26"/>
      <c r="G27" s="20" t="n">
        <f aca="false">IF(N($F27)&gt;0,$F27,IF(CENARIO_CLIMA="USUARIO",0,$E27))</f>
        <v>5.8</v>
      </c>
      <c r="H27" s="18" t="n">
        <f aca="false">SUMIFS($G$8:$G$469,$C$8:$C$469,$C27)</f>
        <v>40.6</v>
      </c>
      <c r="I27" s="26" t="n">
        <v>1</v>
      </c>
      <c r="J27" s="26"/>
      <c r="K27" s="20" t="n">
        <f aca="false">IF(N($J27)&gt;0,$J27,IF(CENARIO_CLIMA="USUARIO",0,$I27))</f>
        <v>1</v>
      </c>
      <c r="L27" s="20" t="n">
        <f aca="false">MIN($K27*FATOR_CHUVA_UTIL,LIMITE_CHUVA_UTIL_DIA)</f>
        <v>0.8</v>
      </c>
      <c r="M27" s="26"/>
      <c r="N27" s="20" t="n">
        <f aca="false">IF(N($M27)&gt;0,$M27,$L27)</f>
        <v>0.8</v>
      </c>
      <c r="O27" s="8" t="str">
        <f aca="false">IF(N($F27)+N($J27)&gt;0,"Serie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" s="8" t="str">
        <f aca="false">IF(N($M27)&gt;0,"Chuva util informada pelo usuario","MIN(Chuva bruta x FATOR_CHUVA_UTIL ; LIMITE_CHUVA_UTIL_DIA)")</f>
        <v>MIN(Chuva bruta x FATOR_CHUVA_UTIL ; LIMITE_CHUVA_UTIL_DIA)</v>
      </c>
    </row>
    <row r="28" customFormat="false" ht="15" hidden="false" customHeight="false" outlineLevel="0" collapsed="false">
      <c r="B28" s="17" t="n">
        <v>46285</v>
      </c>
      <c r="C28" s="16" t="n">
        <v>3</v>
      </c>
      <c r="D28" s="8" t="s">
        <v>513</v>
      </c>
      <c r="E28" s="26" t="n">
        <v>5.8</v>
      </c>
      <c r="F28" s="26"/>
      <c r="G28" s="20" t="n">
        <f aca="false">IF(N($F28)&gt;0,$F28,IF(CENARIO_CLIMA="USUARIO",0,$E28))</f>
        <v>5.8</v>
      </c>
      <c r="H28" s="18" t="n">
        <f aca="false">SUMIFS($G$8:$G$469,$C$8:$C$469,$C28)</f>
        <v>40.6</v>
      </c>
      <c r="I28" s="26" t="n">
        <v>1</v>
      </c>
      <c r="J28" s="26"/>
      <c r="K28" s="20" t="n">
        <f aca="false">IF(N($J28)&gt;0,$J28,IF(CENARIO_CLIMA="USUARIO",0,$I28))</f>
        <v>1</v>
      </c>
      <c r="L28" s="20" t="n">
        <f aca="false">MIN($K28*FATOR_CHUVA_UTIL,LIMITE_CHUVA_UTIL_DIA)</f>
        <v>0.8</v>
      </c>
      <c r="M28" s="26"/>
      <c r="N28" s="20" t="n">
        <f aca="false">IF(N($M28)&gt;0,$M28,$L28)</f>
        <v>0.8</v>
      </c>
      <c r="O28" s="8" t="str">
        <f aca="false">IF(N($F28)+N($J28)&gt;0,"Serie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" s="8" t="str">
        <f aca="false">IF(N($M28)&gt;0,"Chuva util informada pelo usuario","MIN(Chuva bruta x FATOR_CHUVA_UTIL ; LIMITE_CHUVA_UTIL_DIA)")</f>
        <v>MIN(Chuva bruta x FATOR_CHUVA_UTIL ; LIMITE_CHUVA_UTIL_DIA)</v>
      </c>
    </row>
    <row r="29" customFormat="false" ht="15" hidden="false" customHeight="false" outlineLevel="0" collapsed="false">
      <c r="B29" s="17" t="n">
        <v>46286</v>
      </c>
      <c r="C29" s="16" t="n">
        <v>4</v>
      </c>
      <c r="D29" s="8" t="s">
        <v>513</v>
      </c>
      <c r="E29" s="26" t="n">
        <v>5.8</v>
      </c>
      <c r="F29" s="26"/>
      <c r="G29" s="20" t="n">
        <f aca="false">IF(N($F29)&gt;0,$F29,IF(CENARIO_CLIMA="USUARIO",0,$E29))</f>
        <v>5.8</v>
      </c>
      <c r="H29" s="18" t="n">
        <f aca="false">SUMIFS($G$8:$G$469,$C$8:$C$469,$C29)</f>
        <v>40.6</v>
      </c>
      <c r="I29" s="26" t="n">
        <v>1</v>
      </c>
      <c r="J29" s="26"/>
      <c r="K29" s="20" t="n">
        <f aca="false">IF(N($J29)&gt;0,$J29,IF(CENARIO_CLIMA="USUARIO",0,$I29))</f>
        <v>1</v>
      </c>
      <c r="L29" s="20" t="n">
        <f aca="false">MIN($K29*FATOR_CHUVA_UTIL,LIMITE_CHUVA_UTIL_DIA)</f>
        <v>0.8</v>
      </c>
      <c r="M29" s="26"/>
      <c r="N29" s="20" t="n">
        <f aca="false">IF(N($M29)&gt;0,$M29,$L29)</f>
        <v>0.8</v>
      </c>
      <c r="O29" s="8" t="str">
        <f aca="false">IF(N($F29)+N($J29)&gt;0,"Serie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" s="8" t="str">
        <f aca="false">IF(N($M29)&gt;0,"Chuva util informada pelo usuario","MIN(Chuva bruta x FATOR_CHUVA_UTIL ; LIMITE_CHUVA_UTIL_DIA)")</f>
        <v>MIN(Chuva bruta x FATOR_CHUVA_UTIL ; LIMITE_CHUVA_UTIL_DIA)</v>
      </c>
    </row>
    <row r="30" customFormat="false" ht="15" hidden="false" customHeight="false" outlineLevel="0" collapsed="false">
      <c r="B30" s="17" t="n">
        <v>46287</v>
      </c>
      <c r="C30" s="16" t="n">
        <v>4</v>
      </c>
      <c r="D30" s="8" t="s">
        <v>513</v>
      </c>
      <c r="E30" s="26" t="n">
        <v>5.8</v>
      </c>
      <c r="F30" s="26"/>
      <c r="G30" s="20" t="n">
        <f aca="false">IF(N($F30)&gt;0,$F30,IF(CENARIO_CLIMA="USUARIO",0,$E30))</f>
        <v>5.8</v>
      </c>
      <c r="H30" s="18" t="n">
        <f aca="false">SUMIFS($G$8:$G$469,$C$8:$C$469,$C30)</f>
        <v>40.6</v>
      </c>
      <c r="I30" s="26" t="n">
        <v>1</v>
      </c>
      <c r="J30" s="26"/>
      <c r="K30" s="20" t="n">
        <f aca="false">IF(N($J30)&gt;0,$J30,IF(CENARIO_CLIMA="USUARIO",0,$I30))</f>
        <v>1</v>
      </c>
      <c r="L30" s="20" t="n">
        <f aca="false">MIN($K30*FATOR_CHUVA_UTIL,LIMITE_CHUVA_UTIL_DIA)</f>
        <v>0.8</v>
      </c>
      <c r="M30" s="26"/>
      <c r="N30" s="20" t="n">
        <f aca="false">IF(N($M30)&gt;0,$M30,$L30)</f>
        <v>0.8</v>
      </c>
      <c r="O30" s="8" t="str">
        <f aca="false">IF(N($F30)+N($J30)&gt;0,"Serie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" s="8" t="str">
        <f aca="false">IF(N($M30)&gt;0,"Chuva util informada pelo usuario","MIN(Chuva bruta x FATOR_CHUVA_UTIL ; LIMITE_CHUVA_UTIL_DIA)")</f>
        <v>MIN(Chuva bruta x FATOR_CHUVA_UTIL ; LIMITE_CHUVA_UTIL_DIA)</v>
      </c>
    </row>
    <row r="31" customFormat="false" ht="15" hidden="false" customHeight="false" outlineLevel="0" collapsed="false">
      <c r="B31" s="17" t="n">
        <v>46288</v>
      </c>
      <c r="C31" s="16" t="n">
        <v>4</v>
      </c>
      <c r="D31" s="8" t="s">
        <v>513</v>
      </c>
      <c r="E31" s="26" t="n">
        <v>5.8</v>
      </c>
      <c r="F31" s="26"/>
      <c r="G31" s="20" t="n">
        <f aca="false">IF(N($F31)&gt;0,$F31,IF(CENARIO_CLIMA="USUARIO",0,$E31))</f>
        <v>5.8</v>
      </c>
      <c r="H31" s="18" t="n">
        <f aca="false">SUMIFS($G$8:$G$469,$C$8:$C$469,$C31)</f>
        <v>40.6</v>
      </c>
      <c r="I31" s="26" t="n">
        <v>1</v>
      </c>
      <c r="J31" s="26"/>
      <c r="K31" s="20" t="n">
        <f aca="false">IF(N($J31)&gt;0,$J31,IF(CENARIO_CLIMA="USUARIO",0,$I31))</f>
        <v>1</v>
      </c>
      <c r="L31" s="20" t="n">
        <f aca="false">MIN($K31*FATOR_CHUVA_UTIL,LIMITE_CHUVA_UTIL_DIA)</f>
        <v>0.8</v>
      </c>
      <c r="M31" s="26"/>
      <c r="N31" s="20" t="n">
        <f aca="false">IF(N($M31)&gt;0,$M31,$L31)</f>
        <v>0.8</v>
      </c>
      <c r="O31" s="8" t="str">
        <f aca="false">IF(N($F31)+N($J31)&gt;0,"Serie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" s="8" t="str">
        <f aca="false">IF(N($M31)&gt;0,"Chuva util informada pelo usuario","MIN(Chuva bruta x FATOR_CHUVA_UTIL ; LIMITE_CHUVA_UTIL_DIA)")</f>
        <v>MIN(Chuva bruta x FATOR_CHUVA_UTIL ; LIMITE_CHUVA_UTIL_DIA)</v>
      </c>
    </row>
    <row r="32" customFormat="false" ht="15" hidden="false" customHeight="false" outlineLevel="0" collapsed="false">
      <c r="B32" s="17" t="n">
        <v>46289</v>
      </c>
      <c r="C32" s="16" t="n">
        <v>4</v>
      </c>
      <c r="D32" s="8" t="s">
        <v>513</v>
      </c>
      <c r="E32" s="26" t="n">
        <v>5.8</v>
      </c>
      <c r="F32" s="26"/>
      <c r="G32" s="20" t="n">
        <f aca="false">IF(N($F32)&gt;0,$F32,IF(CENARIO_CLIMA="USUARIO",0,$E32))</f>
        <v>5.8</v>
      </c>
      <c r="H32" s="18" t="n">
        <f aca="false">SUMIFS($G$8:$G$469,$C$8:$C$469,$C32)</f>
        <v>40.6</v>
      </c>
      <c r="I32" s="26" t="n">
        <v>1</v>
      </c>
      <c r="J32" s="26"/>
      <c r="K32" s="20" t="n">
        <f aca="false">IF(N($J32)&gt;0,$J32,IF(CENARIO_CLIMA="USUARIO",0,$I32))</f>
        <v>1</v>
      </c>
      <c r="L32" s="20" t="n">
        <f aca="false">MIN($K32*FATOR_CHUVA_UTIL,LIMITE_CHUVA_UTIL_DIA)</f>
        <v>0.8</v>
      </c>
      <c r="M32" s="26"/>
      <c r="N32" s="20" t="n">
        <f aca="false">IF(N($M32)&gt;0,$M32,$L32)</f>
        <v>0.8</v>
      </c>
      <c r="O32" s="8" t="str">
        <f aca="false">IF(N($F32)+N($J32)&gt;0,"Serie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" s="8" t="str">
        <f aca="false">IF(N($M32)&gt;0,"Chuva util informada pelo usuario","MIN(Chuva bruta x FATOR_CHUVA_UTIL ; LIMITE_CHUVA_UTIL_DIA)")</f>
        <v>MIN(Chuva bruta x FATOR_CHUVA_UTIL ; LIMITE_CHUVA_UTIL_DIA)</v>
      </c>
    </row>
    <row r="33" customFormat="false" ht="15" hidden="false" customHeight="false" outlineLevel="0" collapsed="false">
      <c r="B33" s="17" t="n">
        <v>46290</v>
      </c>
      <c r="C33" s="16" t="n">
        <v>4</v>
      </c>
      <c r="D33" s="8" t="s">
        <v>513</v>
      </c>
      <c r="E33" s="26" t="n">
        <v>5.8</v>
      </c>
      <c r="F33" s="26"/>
      <c r="G33" s="20" t="n">
        <f aca="false">IF(N($F33)&gt;0,$F33,IF(CENARIO_CLIMA="USUARIO",0,$E33))</f>
        <v>5.8</v>
      </c>
      <c r="H33" s="18" t="n">
        <f aca="false">SUMIFS($G$8:$G$469,$C$8:$C$469,$C33)</f>
        <v>40.6</v>
      </c>
      <c r="I33" s="26" t="n">
        <v>1</v>
      </c>
      <c r="J33" s="26"/>
      <c r="K33" s="20" t="n">
        <f aca="false">IF(N($J33)&gt;0,$J33,IF(CENARIO_CLIMA="USUARIO",0,$I33))</f>
        <v>1</v>
      </c>
      <c r="L33" s="20" t="n">
        <f aca="false">MIN($K33*FATOR_CHUVA_UTIL,LIMITE_CHUVA_UTIL_DIA)</f>
        <v>0.8</v>
      </c>
      <c r="M33" s="26"/>
      <c r="N33" s="20" t="n">
        <f aca="false">IF(N($M33)&gt;0,$M33,$L33)</f>
        <v>0.8</v>
      </c>
      <c r="O33" s="8" t="str">
        <f aca="false">IF(N($F33)+N($J33)&gt;0,"Serie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" s="8" t="str">
        <f aca="false">IF(N($M33)&gt;0,"Chuva util informada pelo usuario","MIN(Chuva bruta x FATOR_CHUVA_UTIL ; LIMITE_CHUVA_UTIL_DIA)")</f>
        <v>MIN(Chuva bruta x FATOR_CHUVA_UTIL ; LIMITE_CHUVA_UTIL_DIA)</v>
      </c>
    </row>
    <row r="34" customFormat="false" ht="15" hidden="false" customHeight="false" outlineLevel="0" collapsed="false">
      <c r="B34" s="17" t="n">
        <v>46291</v>
      </c>
      <c r="C34" s="16" t="n">
        <v>4</v>
      </c>
      <c r="D34" s="8" t="s">
        <v>513</v>
      </c>
      <c r="E34" s="26" t="n">
        <v>5.8</v>
      </c>
      <c r="F34" s="26"/>
      <c r="G34" s="20" t="n">
        <f aca="false">IF(N($F34)&gt;0,$F34,IF(CENARIO_CLIMA="USUARIO",0,$E34))</f>
        <v>5.8</v>
      </c>
      <c r="H34" s="18" t="n">
        <f aca="false">SUMIFS($G$8:$G$469,$C$8:$C$469,$C34)</f>
        <v>40.6</v>
      </c>
      <c r="I34" s="26" t="n">
        <v>1</v>
      </c>
      <c r="J34" s="26"/>
      <c r="K34" s="20" t="n">
        <f aca="false">IF(N($J34)&gt;0,$J34,IF(CENARIO_CLIMA="USUARIO",0,$I34))</f>
        <v>1</v>
      </c>
      <c r="L34" s="20" t="n">
        <f aca="false">MIN($K34*FATOR_CHUVA_UTIL,LIMITE_CHUVA_UTIL_DIA)</f>
        <v>0.8</v>
      </c>
      <c r="M34" s="26"/>
      <c r="N34" s="20" t="n">
        <f aca="false">IF(N($M34)&gt;0,$M34,$L34)</f>
        <v>0.8</v>
      </c>
      <c r="O34" s="8" t="str">
        <f aca="false">IF(N($F34)+N($J34)&gt;0,"Serie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" s="8" t="str">
        <f aca="false">IF(N($M34)&gt;0,"Chuva util informada pelo usuario","MIN(Chuva bruta x FATOR_CHUVA_UTIL ; LIMITE_CHUVA_UTIL_DIA)")</f>
        <v>MIN(Chuva bruta x FATOR_CHUVA_UTIL ; LIMITE_CHUVA_UTIL_DIA)</v>
      </c>
    </row>
    <row r="35" customFormat="false" ht="15" hidden="false" customHeight="false" outlineLevel="0" collapsed="false">
      <c r="B35" s="17" t="n">
        <v>46292</v>
      </c>
      <c r="C35" s="16" t="n">
        <v>4</v>
      </c>
      <c r="D35" s="8" t="s">
        <v>513</v>
      </c>
      <c r="E35" s="26" t="n">
        <v>5.8</v>
      </c>
      <c r="F35" s="26"/>
      <c r="G35" s="20" t="n">
        <f aca="false">IF(N($F35)&gt;0,$F35,IF(CENARIO_CLIMA="USUARIO",0,$E35))</f>
        <v>5.8</v>
      </c>
      <c r="H35" s="18" t="n">
        <f aca="false">SUMIFS($G$8:$G$469,$C$8:$C$469,$C35)</f>
        <v>40.6</v>
      </c>
      <c r="I35" s="26" t="n">
        <v>1</v>
      </c>
      <c r="J35" s="26"/>
      <c r="K35" s="20" t="n">
        <f aca="false">IF(N($J35)&gt;0,$J35,IF(CENARIO_CLIMA="USUARIO",0,$I35))</f>
        <v>1</v>
      </c>
      <c r="L35" s="20" t="n">
        <f aca="false">MIN($K35*FATOR_CHUVA_UTIL,LIMITE_CHUVA_UTIL_DIA)</f>
        <v>0.8</v>
      </c>
      <c r="M35" s="26"/>
      <c r="N35" s="20" t="n">
        <f aca="false">IF(N($M35)&gt;0,$M35,$L35)</f>
        <v>0.8</v>
      </c>
      <c r="O35" s="8" t="str">
        <f aca="false">IF(N($F35)+N($J35)&gt;0,"Serie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" s="8" t="str">
        <f aca="false">IF(N($M35)&gt;0,"Chuva util informada pelo usuario","MIN(Chuva bruta x FATOR_CHUVA_UTIL ; LIMITE_CHUVA_UTIL_DIA)")</f>
        <v>MIN(Chuva bruta x FATOR_CHUVA_UTIL ; LIMITE_CHUVA_UTIL_DIA)</v>
      </c>
    </row>
    <row r="36" customFormat="false" ht="15" hidden="false" customHeight="false" outlineLevel="0" collapsed="false">
      <c r="B36" s="17" t="n">
        <v>46293</v>
      </c>
      <c r="C36" s="16" t="n">
        <v>5</v>
      </c>
      <c r="D36" s="8" t="s">
        <v>513</v>
      </c>
      <c r="E36" s="26" t="n">
        <v>5.8</v>
      </c>
      <c r="F36" s="26"/>
      <c r="G36" s="20" t="n">
        <f aca="false">IF(N($F36)&gt;0,$F36,IF(CENARIO_CLIMA="USUARIO",0,$E36))</f>
        <v>5.8</v>
      </c>
      <c r="H36" s="18" t="n">
        <f aca="false">SUMIFS($G$8:$G$469,$C$8:$C$469,$C36)</f>
        <v>39.8</v>
      </c>
      <c r="I36" s="26" t="n">
        <v>1</v>
      </c>
      <c r="J36" s="26"/>
      <c r="K36" s="20" t="n">
        <f aca="false">IF(N($J36)&gt;0,$J36,IF(CENARIO_CLIMA="USUARIO",0,$I36))</f>
        <v>1</v>
      </c>
      <c r="L36" s="20" t="n">
        <f aca="false">MIN($K36*FATOR_CHUVA_UTIL,LIMITE_CHUVA_UTIL_DIA)</f>
        <v>0.8</v>
      </c>
      <c r="M36" s="26"/>
      <c r="N36" s="20" t="n">
        <f aca="false">IF(N($M36)&gt;0,$M36,$L36)</f>
        <v>0.8</v>
      </c>
      <c r="O36" s="8" t="str">
        <f aca="false">IF(N($F36)+N($J36)&gt;0,"Serie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" s="8" t="str">
        <f aca="false">IF(N($M36)&gt;0,"Chuva util informada pelo usuario","MIN(Chuva bruta x FATOR_CHUVA_UTIL ; LIMITE_CHUVA_UTIL_DIA)")</f>
        <v>MIN(Chuva bruta x FATOR_CHUVA_UTIL ; LIMITE_CHUVA_UTIL_DIA)</v>
      </c>
    </row>
    <row r="37" customFormat="false" ht="15" hidden="false" customHeight="false" outlineLevel="0" collapsed="false">
      <c r="B37" s="17" t="n">
        <v>46294</v>
      </c>
      <c r="C37" s="16" t="n">
        <v>5</v>
      </c>
      <c r="D37" s="8" t="s">
        <v>513</v>
      </c>
      <c r="E37" s="26" t="n">
        <v>5.8</v>
      </c>
      <c r="F37" s="26"/>
      <c r="G37" s="20" t="n">
        <f aca="false">IF(N($F37)&gt;0,$F37,IF(CENARIO_CLIMA="USUARIO",0,$E37))</f>
        <v>5.8</v>
      </c>
      <c r="H37" s="18" t="n">
        <f aca="false">SUMIFS($G$8:$G$469,$C$8:$C$469,$C37)</f>
        <v>39.8</v>
      </c>
      <c r="I37" s="26" t="n">
        <v>1</v>
      </c>
      <c r="J37" s="26"/>
      <c r="K37" s="20" t="n">
        <f aca="false">IF(N($J37)&gt;0,$J37,IF(CENARIO_CLIMA="USUARIO",0,$I37))</f>
        <v>1</v>
      </c>
      <c r="L37" s="20" t="n">
        <f aca="false">MIN($K37*FATOR_CHUVA_UTIL,LIMITE_CHUVA_UTIL_DIA)</f>
        <v>0.8</v>
      </c>
      <c r="M37" s="26"/>
      <c r="N37" s="20" t="n">
        <f aca="false">IF(N($M37)&gt;0,$M37,$L37)</f>
        <v>0.8</v>
      </c>
      <c r="O37" s="8" t="str">
        <f aca="false">IF(N($F37)+N($J37)&gt;0,"Serie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" s="8" t="str">
        <f aca="false">IF(N($M37)&gt;0,"Chuva util informada pelo usuario","MIN(Chuva bruta x FATOR_CHUVA_UTIL ; LIMITE_CHUVA_UTIL_DIA)")</f>
        <v>MIN(Chuva bruta x FATOR_CHUVA_UTIL ; LIMITE_CHUVA_UTIL_DIA)</v>
      </c>
    </row>
    <row r="38" customFormat="false" ht="15" hidden="false" customHeight="false" outlineLevel="0" collapsed="false">
      <c r="B38" s="17" t="n">
        <v>46295</v>
      </c>
      <c r="C38" s="16" t="n">
        <v>5</v>
      </c>
      <c r="D38" s="8" t="s">
        <v>513</v>
      </c>
      <c r="E38" s="26" t="n">
        <v>5.8</v>
      </c>
      <c r="F38" s="26"/>
      <c r="G38" s="20" t="n">
        <f aca="false">IF(N($F38)&gt;0,$F38,IF(CENARIO_CLIMA="USUARIO",0,$E38))</f>
        <v>5.8</v>
      </c>
      <c r="H38" s="18" t="n">
        <f aca="false">SUMIFS($G$8:$G$469,$C$8:$C$469,$C38)</f>
        <v>39.8</v>
      </c>
      <c r="I38" s="26" t="n">
        <v>1</v>
      </c>
      <c r="J38" s="26"/>
      <c r="K38" s="20" t="n">
        <f aca="false">IF(N($J38)&gt;0,$J38,IF(CENARIO_CLIMA="USUARIO",0,$I38))</f>
        <v>1</v>
      </c>
      <c r="L38" s="20" t="n">
        <f aca="false">MIN($K38*FATOR_CHUVA_UTIL,LIMITE_CHUVA_UTIL_DIA)</f>
        <v>0.8</v>
      </c>
      <c r="M38" s="26"/>
      <c r="N38" s="20" t="n">
        <f aca="false">IF(N($M38)&gt;0,$M38,$L38)</f>
        <v>0.8</v>
      </c>
      <c r="O38" s="8" t="str">
        <f aca="false">IF(N($F38)+N($J38)&gt;0,"Serie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" s="8" t="str">
        <f aca="false">IF(N($M38)&gt;0,"Chuva util informada pelo usuario","MIN(Chuva bruta x FATOR_CHUVA_UTIL ; LIMITE_CHUVA_UTIL_DIA)")</f>
        <v>MIN(Chuva bruta x FATOR_CHUVA_UTIL ; LIMITE_CHUVA_UTIL_DIA)</v>
      </c>
    </row>
    <row r="39" customFormat="false" ht="15" hidden="false" customHeight="false" outlineLevel="0" collapsed="false">
      <c r="B39" s="17" t="n">
        <v>46296</v>
      </c>
      <c r="C39" s="16" t="n">
        <v>5</v>
      </c>
      <c r="D39" s="8" t="s">
        <v>514</v>
      </c>
      <c r="E39" s="26" t="n">
        <v>5.6</v>
      </c>
      <c r="F39" s="26"/>
      <c r="G39" s="20" t="n">
        <f aca="false">IF(N($F39)&gt;0,$F39,IF(CENARIO_CLIMA="USUARIO",0,$E39))</f>
        <v>5.6</v>
      </c>
      <c r="H39" s="18" t="n">
        <f aca="false">SUMIFS($G$8:$G$469,$C$8:$C$469,$C39)</f>
        <v>39.8</v>
      </c>
      <c r="I39" s="26" t="n">
        <v>3.87</v>
      </c>
      <c r="J39" s="26"/>
      <c r="K39" s="20" t="n">
        <f aca="false">IF(N($J39)&gt;0,$J39,IF(CENARIO_CLIMA="USUARIO",0,$I39))</f>
        <v>3.87</v>
      </c>
      <c r="L39" s="20" t="n">
        <f aca="false">MIN($K39*FATOR_CHUVA_UTIL,LIMITE_CHUVA_UTIL_DIA)</f>
        <v>3.096</v>
      </c>
      <c r="M39" s="26"/>
      <c r="N39" s="20" t="n">
        <f aca="false">IF(N($M39)&gt;0,$M39,$L39)</f>
        <v>3.096</v>
      </c>
      <c r="O39" s="8" t="str">
        <f aca="false">IF(N($F39)+N($J39)&gt;0,"Serie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" s="8" t="str">
        <f aca="false">IF(N($M39)&gt;0,"Chuva util informada pelo usuario","MIN(Chuva bruta x FATOR_CHUVA_UTIL ; LIMITE_CHUVA_UTIL_DIA)")</f>
        <v>MIN(Chuva bruta x FATOR_CHUVA_UTIL ; LIMITE_CHUVA_UTIL_DIA)</v>
      </c>
    </row>
    <row r="40" customFormat="false" ht="15" hidden="false" customHeight="false" outlineLevel="0" collapsed="false">
      <c r="B40" s="17" t="n">
        <v>46297</v>
      </c>
      <c r="C40" s="16" t="n">
        <v>5</v>
      </c>
      <c r="D40" s="8" t="s">
        <v>514</v>
      </c>
      <c r="E40" s="26" t="n">
        <v>5.6</v>
      </c>
      <c r="F40" s="26"/>
      <c r="G40" s="20" t="n">
        <f aca="false">IF(N($F40)&gt;0,$F40,IF(CENARIO_CLIMA="USUARIO",0,$E40))</f>
        <v>5.6</v>
      </c>
      <c r="H40" s="18" t="n">
        <f aca="false">SUMIFS($G$8:$G$469,$C$8:$C$469,$C40)</f>
        <v>39.8</v>
      </c>
      <c r="I40" s="26" t="n">
        <v>3.87</v>
      </c>
      <c r="J40" s="26"/>
      <c r="K40" s="20" t="n">
        <f aca="false">IF(N($J40)&gt;0,$J40,IF(CENARIO_CLIMA="USUARIO",0,$I40))</f>
        <v>3.87</v>
      </c>
      <c r="L40" s="20" t="n">
        <f aca="false">MIN($K40*FATOR_CHUVA_UTIL,LIMITE_CHUVA_UTIL_DIA)</f>
        <v>3.096</v>
      </c>
      <c r="M40" s="26"/>
      <c r="N40" s="20" t="n">
        <f aca="false">IF(N($M40)&gt;0,$M40,$L40)</f>
        <v>3.096</v>
      </c>
      <c r="O40" s="8" t="str">
        <f aca="false">IF(N($F40)+N($J40)&gt;0,"Serie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" s="8" t="str">
        <f aca="false">IF(N($M40)&gt;0,"Chuva util informada pelo usuario","MIN(Chuva bruta x FATOR_CHUVA_UTIL ; LIMITE_CHUVA_UTIL_DIA)")</f>
        <v>MIN(Chuva bruta x FATOR_CHUVA_UTIL ; LIMITE_CHUVA_UTIL_DIA)</v>
      </c>
    </row>
    <row r="41" customFormat="false" ht="15" hidden="false" customHeight="false" outlineLevel="0" collapsed="false">
      <c r="B41" s="17" t="n">
        <v>46298</v>
      </c>
      <c r="C41" s="16" t="n">
        <v>5</v>
      </c>
      <c r="D41" s="8" t="s">
        <v>514</v>
      </c>
      <c r="E41" s="26" t="n">
        <v>5.6</v>
      </c>
      <c r="F41" s="26"/>
      <c r="G41" s="20" t="n">
        <f aca="false">IF(N($F41)&gt;0,$F41,IF(CENARIO_CLIMA="USUARIO",0,$E41))</f>
        <v>5.6</v>
      </c>
      <c r="H41" s="18" t="n">
        <f aca="false">SUMIFS($G$8:$G$469,$C$8:$C$469,$C41)</f>
        <v>39.8</v>
      </c>
      <c r="I41" s="26" t="n">
        <v>3.87</v>
      </c>
      <c r="J41" s="26"/>
      <c r="K41" s="20" t="n">
        <f aca="false">IF(N($J41)&gt;0,$J41,IF(CENARIO_CLIMA="USUARIO",0,$I41))</f>
        <v>3.87</v>
      </c>
      <c r="L41" s="20" t="n">
        <f aca="false">MIN($K41*FATOR_CHUVA_UTIL,LIMITE_CHUVA_UTIL_DIA)</f>
        <v>3.096</v>
      </c>
      <c r="M41" s="26"/>
      <c r="N41" s="20" t="n">
        <f aca="false">IF(N($M41)&gt;0,$M41,$L41)</f>
        <v>3.096</v>
      </c>
      <c r="O41" s="8" t="str">
        <f aca="false">IF(N($F41)+N($J41)&gt;0,"Serie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" s="8" t="str">
        <f aca="false">IF(N($M41)&gt;0,"Chuva util informada pelo usuario","MIN(Chuva bruta x FATOR_CHUVA_UTIL ; LIMITE_CHUVA_UTIL_DIA)")</f>
        <v>MIN(Chuva bruta x FATOR_CHUVA_UTIL ; LIMITE_CHUVA_UTIL_DIA)</v>
      </c>
    </row>
    <row r="42" customFormat="false" ht="15" hidden="false" customHeight="false" outlineLevel="0" collapsed="false">
      <c r="B42" s="17" t="n">
        <v>46299</v>
      </c>
      <c r="C42" s="16" t="n">
        <v>5</v>
      </c>
      <c r="D42" s="8" t="s">
        <v>514</v>
      </c>
      <c r="E42" s="26" t="n">
        <v>5.6</v>
      </c>
      <c r="F42" s="26"/>
      <c r="G42" s="20" t="n">
        <f aca="false">IF(N($F42)&gt;0,$F42,IF(CENARIO_CLIMA="USUARIO",0,$E42))</f>
        <v>5.6</v>
      </c>
      <c r="H42" s="18" t="n">
        <f aca="false">SUMIFS($G$8:$G$469,$C$8:$C$469,$C42)</f>
        <v>39.8</v>
      </c>
      <c r="I42" s="26" t="n">
        <v>3.87</v>
      </c>
      <c r="J42" s="26"/>
      <c r="K42" s="20" t="n">
        <f aca="false">IF(N($J42)&gt;0,$J42,IF(CENARIO_CLIMA="USUARIO",0,$I42))</f>
        <v>3.87</v>
      </c>
      <c r="L42" s="20" t="n">
        <f aca="false">MIN($K42*FATOR_CHUVA_UTIL,LIMITE_CHUVA_UTIL_DIA)</f>
        <v>3.096</v>
      </c>
      <c r="M42" s="26"/>
      <c r="N42" s="20" t="n">
        <f aca="false">IF(N($M42)&gt;0,$M42,$L42)</f>
        <v>3.096</v>
      </c>
      <c r="O42" s="8" t="str">
        <f aca="false">IF(N($F42)+N($J42)&gt;0,"Serie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" s="8" t="str">
        <f aca="false">IF(N($M42)&gt;0,"Chuva util informada pelo usuario","MIN(Chuva bruta x FATOR_CHUVA_UTIL ; LIMITE_CHUVA_UTIL_DIA)")</f>
        <v>MIN(Chuva bruta x FATOR_CHUVA_UTIL ; LIMITE_CHUVA_UTIL_DIA)</v>
      </c>
    </row>
    <row r="43" customFormat="false" ht="15" hidden="false" customHeight="false" outlineLevel="0" collapsed="false">
      <c r="B43" s="17" t="n">
        <v>46300</v>
      </c>
      <c r="C43" s="16" t="n">
        <v>6</v>
      </c>
      <c r="D43" s="8" t="s">
        <v>514</v>
      </c>
      <c r="E43" s="26" t="n">
        <v>5.6</v>
      </c>
      <c r="F43" s="26"/>
      <c r="G43" s="20" t="n">
        <f aca="false">IF(N($F43)&gt;0,$F43,IF(CENARIO_CLIMA="USUARIO",0,$E43))</f>
        <v>5.6</v>
      </c>
      <c r="H43" s="18" t="n">
        <f aca="false">SUMIFS($G$8:$G$469,$C$8:$C$469,$C43)</f>
        <v>39.2</v>
      </c>
      <c r="I43" s="26" t="n">
        <v>3.87</v>
      </c>
      <c r="J43" s="26"/>
      <c r="K43" s="20" t="n">
        <f aca="false">IF(N($J43)&gt;0,$J43,IF(CENARIO_CLIMA="USUARIO",0,$I43))</f>
        <v>3.87</v>
      </c>
      <c r="L43" s="20" t="n">
        <f aca="false">MIN($K43*FATOR_CHUVA_UTIL,LIMITE_CHUVA_UTIL_DIA)</f>
        <v>3.096</v>
      </c>
      <c r="M43" s="26"/>
      <c r="N43" s="20" t="n">
        <f aca="false">IF(N($M43)&gt;0,$M43,$L43)</f>
        <v>3.096</v>
      </c>
      <c r="O43" s="8" t="str">
        <f aca="false">IF(N($F43)+N($J43)&gt;0,"Serie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" s="8" t="str">
        <f aca="false">IF(N($M43)&gt;0,"Chuva util informada pelo usuario","MIN(Chuva bruta x FATOR_CHUVA_UTIL ; LIMITE_CHUVA_UTIL_DIA)")</f>
        <v>MIN(Chuva bruta x FATOR_CHUVA_UTIL ; LIMITE_CHUVA_UTIL_DIA)</v>
      </c>
    </row>
    <row r="44" customFormat="false" ht="15" hidden="false" customHeight="false" outlineLevel="0" collapsed="false">
      <c r="B44" s="17" t="n">
        <v>46301</v>
      </c>
      <c r="C44" s="16" t="n">
        <v>6</v>
      </c>
      <c r="D44" s="8" t="s">
        <v>514</v>
      </c>
      <c r="E44" s="26" t="n">
        <v>5.6</v>
      </c>
      <c r="F44" s="26"/>
      <c r="G44" s="20" t="n">
        <f aca="false">IF(N($F44)&gt;0,$F44,IF(CENARIO_CLIMA="USUARIO",0,$E44))</f>
        <v>5.6</v>
      </c>
      <c r="H44" s="18" t="n">
        <f aca="false">SUMIFS($G$8:$G$469,$C$8:$C$469,$C44)</f>
        <v>39.2</v>
      </c>
      <c r="I44" s="26" t="n">
        <v>3.87</v>
      </c>
      <c r="J44" s="26"/>
      <c r="K44" s="20" t="n">
        <f aca="false">IF(N($J44)&gt;0,$J44,IF(CENARIO_CLIMA="USUARIO",0,$I44))</f>
        <v>3.87</v>
      </c>
      <c r="L44" s="20" t="n">
        <f aca="false">MIN($K44*FATOR_CHUVA_UTIL,LIMITE_CHUVA_UTIL_DIA)</f>
        <v>3.096</v>
      </c>
      <c r="M44" s="26"/>
      <c r="N44" s="20" t="n">
        <f aca="false">IF(N($M44)&gt;0,$M44,$L44)</f>
        <v>3.096</v>
      </c>
      <c r="O44" s="8" t="str">
        <f aca="false">IF(N($F44)+N($J44)&gt;0,"Serie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" s="8" t="str">
        <f aca="false">IF(N($M44)&gt;0,"Chuva util informada pelo usuario","MIN(Chuva bruta x FATOR_CHUVA_UTIL ; LIMITE_CHUVA_UTIL_DIA)")</f>
        <v>MIN(Chuva bruta x FATOR_CHUVA_UTIL ; LIMITE_CHUVA_UTIL_DIA)</v>
      </c>
    </row>
    <row r="45" customFormat="false" ht="15" hidden="false" customHeight="false" outlineLevel="0" collapsed="false">
      <c r="B45" s="17" t="n">
        <v>46302</v>
      </c>
      <c r="C45" s="16" t="n">
        <v>6</v>
      </c>
      <c r="D45" s="8" t="s">
        <v>514</v>
      </c>
      <c r="E45" s="26" t="n">
        <v>5.6</v>
      </c>
      <c r="F45" s="26"/>
      <c r="G45" s="20" t="n">
        <f aca="false">IF(N($F45)&gt;0,$F45,IF(CENARIO_CLIMA="USUARIO",0,$E45))</f>
        <v>5.6</v>
      </c>
      <c r="H45" s="18" t="n">
        <f aca="false">SUMIFS($G$8:$G$469,$C$8:$C$469,$C45)</f>
        <v>39.2</v>
      </c>
      <c r="I45" s="26" t="n">
        <v>3.87</v>
      </c>
      <c r="J45" s="26"/>
      <c r="K45" s="20" t="n">
        <f aca="false">IF(N($J45)&gt;0,$J45,IF(CENARIO_CLIMA="USUARIO",0,$I45))</f>
        <v>3.87</v>
      </c>
      <c r="L45" s="20" t="n">
        <f aca="false">MIN($K45*FATOR_CHUVA_UTIL,LIMITE_CHUVA_UTIL_DIA)</f>
        <v>3.096</v>
      </c>
      <c r="M45" s="26"/>
      <c r="N45" s="20" t="n">
        <f aca="false">IF(N($M45)&gt;0,$M45,$L45)</f>
        <v>3.096</v>
      </c>
      <c r="O45" s="8" t="str">
        <f aca="false">IF(N($F45)+N($J45)&gt;0,"Serie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" s="8" t="str">
        <f aca="false">IF(N($M45)&gt;0,"Chuva util informada pelo usuario","MIN(Chuva bruta x FATOR_CHUVA_UTIL ; LIMITE_CHUVA_UTIL_DIA)")</f>
        <v>MIN(Chuva bruta x FATOR_CHUVA_UTIL ; LIMITE_CHUVA_UTIL_DIA)</v>
      </c>
    </row>
    <row r="46" customFormat="false" ht="15" hidden="false" customHeight="false" outlineLevel="0" collapsed="false">
      <c r="B46" s="17" t="n">
        <v>46303</v>
      </c>
      <c r="C46" s="16" t="n">
        <v>6</v>
      </c>
      <c r="D46" s="8" t="s">
        <v>514</v>
      </c>
      <c r="E46" s="26" t="n">
        <v>5.6</v>
      </c>
      <c r="F46" s="26"/>
      <c r="G46" s="20" t="n">
        <f aca="false">IF(N($F46)&gt;0,$F46,IF(CENARIO_CLIMA="USUARIO",0,$E46))</f>
        <v>5.6</v>
      </c>
      <c r="H46" s="18" t="n">
        <f aca="false">SUMIFS($G$8:$G$469,$C$8:$C$469,$C46)</f>
        <v>39.2</v>
      </c>
      <c r="I46" s="26" t="n">
        <v>3.87</v>
      </c>
      <c r="J46" s="26"/>
      <c r="K46" s="20" t="n">
        <f aca="false">IF(N($J46)&gt;0,$J46,IF(CENARIO_CLIMA="USUARIO",0,$I46))</f>
        <v>3.87</v>
      </c>
      <c r="L46" s="20" t="n">
        <f aca="false">MIN($K46*FATOR_CHUVA_UTIL,LIMITE_CHUVA_UTIL_DIA)</f>
        <v>3.096</v>
      </c>
      <c r="M46" s="26"/>
      <c r="N46" s="20" t="n">
        <f aca="false">IF(N($M46)&gt;0,$M46,$L46)</f>
        <v>3.096</v>
      </c>
      <c r="O46" s="8" t="str">
        <f aca="false">IF(N($F46)+N($J46)&gt;0,"Serie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" s="8" t="str">
        <f aca="false">IF(N($M46)&gt;0,"Chuva util informada pelo usuario","MIN(Chuva bruta x FATOR_CHUVA_UTIL ; LIMITE_CHUVA_UTIL_DIA)")</f>
        <v>MIN(Chuva bruta x FATOR_CHUVA_UTIL ; LIMITE_CHUVA_UTIL_DIA)</v>
      </c>
    </row>
    <row r="47" customFormat="false" ht="15" hidden="false" customHeight="false" outlineLevel="0" collapsed="false">
      <c r="B47" s="17" t="n">
        <v>46304</v>
      </c>
      <c r="C47" s="16" t="n">
        <v>6</v>
      </c>
      <c r="D47" s="8" t="s">
        <v>514</v>
      </c>
      <c r="E47" s="26" t="n">
        <v>5.6</v>
      </c>
      <c r="F47" s="26"/>
      <c r="G47" s="20" t="n">
        <f aca="false">IF(N($F47)&gt;0,$F47,IF(CENARIO_CLIMA="USUARIO",0,$E47))</f>
        <v>5.6</v>
      </c>
      <c r="H47" s="18" t="n">
        <f aca="false">SUMIFS($G$8:$G$469,$C$8:$C$469,$C47)</f>
        <v>39.2</v>
      </c>
      <c r="I47" s="26" t="n">
        <v>3.87</v>
      </c>
      <c r="J47" s="26"/>
      <c r="K47" s="20" t="n">
        <f aca="false">IF(N($J47)&gt;0,$J47,IF(CENARIO_CLIMA="USUARIO",0,$I47))</f>
        <v>3.87</v>
      </c>
      <c r="L47" s="20" t="n">
        <f aca="false">MIN($K47*FATOR_CHUVA_UTIL,LIMITE_CHUVA_UTIL_DIA)</f>
        <v>3.096</v>
      </c>
      <c r="M47" s="26"/>
      <c r="N47" s="20" t="n">
        <f aca="false">IF(N($M47)&gt;0,$M47,$L47)</f>
        <v>3.096</v>
      </c>
      <c r="O47" s="8" t="str">
        <f aca="false">IF(N($F47)+N($J47)&gt;0,"Serie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7" s="8" t="str">
        <f aca="false">IF(N($M47)&gt;0,"Chuva util informada pelo usuario","MIN(Chuva bruta x FATOR_CHUVA_UTIL ; LIMITE_CHUVA_UTIL_DIA)")</f>
        <v>MIN(Chuva bruta x FATOR_CHUVA_UTIL ; LIMITE_CHUVA_UTIL_DIA)</v>
      </c>
    </row>
    <row r="48" customFormat="false" ht="15" hidden="false" customHeight="false" outlineLevel="0" collapsed="false">
      <c r="B48" s="17" t="n">
        <v>46305</v>
      </c>
      <c r="C48" s="16" t="n">
        <v>6</v>
      </c>
      <c r="D48" s="8" t="s">
        <v>514</v>
      </c>
      <c r="E48" s="26" t="n">
        <v>5.6</v>
      </c>
      <c r="F48" s="26"/>
      <c r="G48" s="20" t="n">
        <f aca="false">IF(N($F48)&gt;0,$F48,IF(CENARIO_CLIMA="USUARIO",0,$E48))</f>
        <v>5.6</v>
      </c>
      <c r="H48" s="18" t="n">
        <f aca="false">SUMIFS($G$8:$G$469,$C$8:$C$469,$C48)</f>
        <v>39.2</v>
      </c>
      <c r="I48" s="26" t="n">
        <v>3.87</v>
      </c>
      <c r="J48" s="26"/>
      <c r="K48" s="20" t="n">
        <f aca="false">IF(N($J48)&gt;0,$J48,IF(CENARIO_CLIMA="USUARIO",0,$I48))</f>
        <v>3.87</v>
      </c>
      <c r="L48" s="20" t="n">
        <f aca="false">MIN($K48*FATOR_CHUVA_UTIL,LIMITE_CHUVA_UTIL_DIA)</f>
        <v>3.096</v>
      </c>
      <c r="M48" s="26"/>
      <c r="N48" s="20" t="n">
        <f aca="false">IF(N($M48)&gt;0,$M48,$L48)</f>
        <v>3.096</v>
      </c>
      <c r="O48" s="8" t="str">
        <f aca="false">IF(N($F48)+N($J48)&gt;0,"Serie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8" s="8" t="str">
        <f aca="false">IF(N($M48)&gt;0,"Chuva util informada pelo usuario","MIN(Chuva bruta x FATOR_CHUVA_UTIL ; LIMITE_CHUVA_UTIL_DIA)")</f>
        <v>MIN(Chuva bruta x FATOR_CHUVA_UTIL ; LIMITE_CHUVA_UTIL_DIA)</v>
      </c>
    </row>
    <row r="49" customFormat="false" ht="15" hidden="false" customHeight="false" outlineLevel="0" collapsed="false">
      <c r="B49" s="17" t="n">
        <v>46306</v>
      </c>
      <c r="C49" s="16" t="n">
        <v>6</v>
      </c>
      <c r="D49" s="8" t="s">
        <v>514</v>
      </c>
      <c r="E49" s="26" t="n">
        <v>5.6</v>
      </c>
      <c r="F49" s="26"/>
      <c r="G49" s="20" t="n">
        <f aca="false">IF(N($F49)&gt;0,$F49,IF(CENARIO_CLIMA="USUARIO",0,$E49))</f>
        <v>5.6</v>
      </c>
      <c r="H49" s="18" t="n">
        <f aca="false">SUMIFS($G$8:$G$469,$C$8:$C$469,$C49)</f>
        <v>39.2</v>
      </c>
      <c r="I49" s="26" t="n">
        <v>3.87</v>
      </c>
      <c r="J49" s="26"/>
      <c r="K49" s="20" t="n">
        <f aca="false">IF(N($J49)&gt;0,$J49,IF(CENARIO_CLIMA="USUARIO",0,$I49))</f>
        <v>3.87</v>
      </c>
      <c r="L49" s="20" t="n">
        <f aca="false">MIN($K49*FATOR_CHUVA_UTIL,LIMITE_CHUVA_UTIL_DIA)</f>
        <v>3.096</v>
      </c>
      <c r="M49" s="26"/>
      <c r="N49" s="20" t="n">
        <f aca="false">IF(N($M49)&gt;0,$M49,$L49)</f>
        <v>3.096</v>
      </c>
      <c r="O49" s="8" t="str">
        <f aca="false">IF(N($F49)+N($J49)&gt;0,"Serie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9" s="8" t="str">
        <f aca="false">IF(N($M49)&gt;0,"Chuva util informada pelo usuario","MIN(Chuva bruta x FATOR_CHUVA_UTIL ; LIMITE_CHUVA_UTIL_DIA)")</f>
        <v>MIN(Chuva bruta x FATOR_CHUVA_UTIL ; LIMITE_CHUVA_UTIL_DIA)</v>
      </c>
    </row>
    <row r="50" customFormat="false" ht="15" hidden="false" customHeight="false" outlineLevel="0" collapsed="false">
      <c r="B50" s="17" t="n">
        <v>46307</v>
      </c>
      <c r="C50" s="16" t="n">
        <v>7</v>
      </c>
      <c r="D50" s="8" t="s">
        <v>514</v>
      </c>
      <c r="E50" s="26" t="n">
        <v>5.6</v>
      </c>
      <c r="F50" s="26"/>
      <c r="G50" s="20" t="n">
        <f aca="false">IF(N($F50)&gt;0,$F50,IF(CENARIO_CLIMA="USUARIO",0,$E50))</f>
        <v>5.6</v>
      </c>
      <c r="H50" s="18" t="n">
        <f aca="false">SUMIFS($G$8:$G$469,$C$8:$C$469,$C50)</f>
        <v>39.2</v>
      </c>
      <c r="I50" s="26" t="n">
        <v>3.87</v>
      </c>
      <c r="J50" s="26"/>
      <c r="K50" s="20" t="n">
        <f aca="false">IF(N($J50)&gt;0,$J50,IF(CENARIO_CLIMA="USUARIO",0,$I50))</f>
        <v>3.87</v>
      </c>
      <c r="L50" s="20" t="n">
        <f aca="false">MIN($K50*FATOR_CHUVA_UTIL,LIMITE_CHUVA_UTIL_DIA)</f>
        <v>3.096</v>
      </c>
      <c r="M50" s="26"/>
      <c r="N50" s="20" t="n">
        <f aca="false">IF(N($M50)&gt;0,$M50,$L50)</f>
        <v>3.096</v>
      </c>
      <c r="O50" s="8" t="str">
        <f aca="false">IF(N($F50)+N($J50)&gt;0,"Serie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50" s="8" t="str">
        <f aca="false">IF(N($M50)&gt;0,"Chuva util informada pelo usuario","MIN(Chuva bruta x FATOR_CHUVA_UTIL ; LIMITE_CHUVA_UTIL_DIA)")</f>
        <v>MIN(Chuva bruta x FATOR_CHUVA_UTIL ; LIMITE_CHUVA_UTIL_DIA)</v>
      </c>
    </row>
    <row r="51" customFormat="false" ht="15" hidden="false" customHeight="false" outlineLevel="0" collapsed="false">
      <c r="B51" s="17" t="n">
        <v>46308</v>
      </c>
      <c r="C51" s="16" t="n">
        <v>7</v>
      </c>
      <c r="D51" s="8" t="s">
        <v>514</v>
      </c>
      <c r="E51" s="26" t="n">
        <v>5.6</v>
      </c>
      <c r="F51" s="26"/>
      <c r="G51" s="20" t="n">
        <f aca="false">IF(N($F51)&gt;0,$F51,IF(CENARIO_CLIMA="USUARIO",0,$E51))</f>
        <v>5.6</v>
      </c>
      <c r="H51" s="18" t="n">
        <f aca="false">SUMIFS($G$8:$G$469,$C$8:$C$469,$C51)</f>
        <v>39.2</v>
      </c>
      <c r="I51" s="26" t="n">
        <v>3.87</v>
      </c>
      <c r="J51" s="26"/>
      <c r="K51" s="20" t="n">
        <f aca="false">IF(N($J51)&gt;0,$J51,IF(CENARIO_CLIMA="USUARIO",0,$I51))</f>
        <v>3.87</v>
      </c>
      <c r="L51" s="20" t="n">
        <f aca="false">MIN($K51*FATOR_CHUVA_UTIL,LIMITE_CHUVA_UTIL_DIA)</f>
        <v>3.096</v>
      </c>
      <c r="M51" s="26"/>
      <c r="N51" s="20" t="n">
        <f aca="false">IF(N($M51)&gt;0,$M51,$L51)</f>
        <v>3.096</v>
      </c>
      <c r="O51" s="8" t="str">
        <f aca="false">IF(N($F51)+N($J51)&gt;0,"Serie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51" s="8" t="str">
        <f aca="false">IF(N($M51)&gt;0,"Chuva util informada pelo usuario","MIN(Chuva bruta x FATOR_CHUVA_UTIL ; LIMITE_CHUVA_UTIL_DIA)")</f>
        <v>MIN(Chuva bruta x FATOR_CHUVA_UTIL ; LIMITE_CHUVA_UTIL_DIA)</v>
      </c>
    </row>
    <row r="52" customFormat="false" ht="15" hidden="false" customHeight="false" outlineLevel="0" collapsed="false">
      <c r="B52" s="17" t="n">
        <v>46309</v>
      </c>
      <c r="C52" s="16" t="n">
        <v>7</v>
      </c>
      <c r="D52" s="8" t="s">
        <v>514</v>
      </c>
      <c r="E52" s="26" t="n">
        <v>5.6</v>
      </c>
      <c r="F52" s="26"/>
      <c r="G52" s="20" t="n">
        <f aca="false">IF(N($F52)&gt;0,$F52,IF(CENARIO_CLIMA="USUARIO",0,$E52))</f>
        <v>5.6</v>
      </c>
      <c r="H52" s="18" t="n">
        <f aca="false">SUMIFS($G$8:$G$469,$C$8:$C$469,$C52)</f>
        <v>39.2</v>
      </c>
      <c r="I52" s="26" t="n">
        <v>3.87</v>
      </c>
      <c r="J52" s="26"/>
      <c r="K52" s="20" t="n">
        <f aca="false">IF(N($J52)&gt;0,$J52,IF(CENARIO_CLIMA="USUARIO",0,$I52))</f>
        <v>3.87</v>
      </c>
      <c r="L52" s="20" t="n">
        <f aca="false">MIN($K52*FATOR_CHUVA_UTIL,LIMITE_CHUVA_UTIL_DIA)</f>
        <v>3.096</v>
      </c>
      <c r="M52" s="26"/>
      <c r="N52" s="20" t="n">
        <f aca="false">IF(N($M52)&gt;0,$M52,$L52)</f>
        <v>3.096</v>
      </c>
      <c r="O52" s="8" t="str">
        <f aca="false">IF(N($F52)+N($J52)&gt;0,"Serie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52" s="8" t="str">
        <f aca="false">IF(N($M52)&gt;0,"Chuva util informada pelo usuario","MIN(Chuva bruta x FATOR_CHUVA_UTIL ; LIMITE_CHUVA_UTIL_DIA)")</f>
        <v>MIN(Chuva bruta x FATOR_CHUVA_UTIL ; LIMITE_CHUVA_UTIL_DIA)</v>
      </c>
    </row>
    <row r="53" customFormat="false" ht="15" hidden="false" customHeight="false" outlineLevel="0" collapsed="false">
      <c r="B53" s="17" t="n">
        <v>46310</v>
      </c>
      <c r="C53" s="16" t="n">
        <v>7</v>
      </c>
      <c r="D53" s="8" t="s">
        <v>514</v>
      </c>
      <c r="E53" s="26" t="n">
        <v>5.6</v>
      </c>
      <c r="F53" s="26"/>
      <c r="G53" s="20" t="n">
        <f aca="false">IF(N($F53)&gt;0,$F53,IF(CENARIO_CLIMA="USUARIO",0,$E53))</f>
        <v>5.6</v>
      </c>
      <c r="H53" s="18" t="n">
        <f aca="false">SUMIFS($G$8:$G$469,$C$8:$C$469,$C53)</f>
        <v>39.2</v>
      </c>
      <c r="I53" s="26" t="n">
        <v>3.87</v>
      </c>
      <c r="J53" s="26"/>
      <c r="K53" s="20" t="n">
        <f aca="false">IF(N($J53)&gt;0,$J53,IF(CENARIO_CLIMA="USUARIO",0,$I53))</f>
        <v>3.87</v>
      </c>
      <c r="L53" s="20" t="n">
        <f aca="false">MIN($K53*FATOR_CHUVA_UTIL,LIMITE_CHUVA_UTIL_DIA)</f>
        <v>3.096</v>
      </c>
      <c r="M53" s="26"/>
      <c r="N53" s="20" t="n">
        <f aca="false">IF(N($M53)&gt;0,$M53,$L53)</f>
        <v>3.096</v>
      </c>
      <c r="O53" s="8" t="str">
        <f aca="false">IF(N($F53)+N($J53)&gt;0,"Serie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53" s="8" t="str">
        <f aca="false">IF(N($M53)&gt;0,"Chuva util informada pelo usuario","MIN(Chuva bruta x FATOR_CHUVA_UTIL ; LIMITE_CHUVA_UTIL_DIA)")</f>
        <v>MIN(Chuva bruta x FATOR_CHUVA_UTIL ; LIMITE_CHUVA_UTIL_DIA)</v>
      </c>
    </row>
    <row r="54" customFormat="false" ht="15" hidden="false" customHeight="false" outlineLevel="0" collapsed="false">
      <c r="B54" s="17" t="n">
        <v>46311</v>
      </c>
      <c r="C54" s="16" t="n">
        <v>7</v>
      </c>
      <c r="D54" s="8" t="s">
        <v>514</v>
      </c>
      <c r="E54" s="26" t="n">
        <v>5.6</v>
      </c>
      <c r="F54" s="26"/>
      <c r="G54" s="20" t="n">
        <f aca="false">IF(N($F54)&gt;0,$F54,IF(CENARIO_CLIMA="USUARIO",0,$E54))</f>
        <v>5.6</v>
      </c>
      <c r="H54" s="18" t="n">
        <f aca="false">SUMIFS($G$8:$G$469,$C$8:$C$469,$C54)</f>
        <v>39.2</v>
      </c>
      <c r="I54" s="26" t="n">
        <v>3.87</v>
      </c>
      <c r="J54" s="26"/>
      <c r="K54" s="20" t="n">
        <f aca="false">IF(N($J54)&gt;0,$J54,IF(CENARIO_CLIMA="USUARIO",0,$I54))</f>
        <v>3.87</v>
      </c>
      <c r="L54" s="20" t="n">
        <f aca="false">MIN($K54*FATOR_CHUVA_UTIL,LIMITE_CHUVA_UTIL_DIA)</f>
        <v>3.096</v>
      </c>
      <c r="M54" s="26"/>
      <c r="N54" s="20" t="n">
        <f aca="false">IF(N($M54)&gt;0,$M54,$L54)</f>
        <v>3.096</v>
      </c>
      <c r="O54" s="8" t="str">
        <f aca="false">IF(N($F54)+N($J54)&gt;0,"Serie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54" s="8" t="str">
        <f aca="false">IF(N($M54)&gt;0,"Chuva util informada pelo usuario","MIN(Chuva bruta x FATOR_CHUVA_UTIL ; LIMITE_CHUVA_UTIL_DIA)")</f>
        <v>MIN(Chuva bruta x FATOR_CHUVA_UTIL ; LIMITE_CHUVA_UTIL_DIA)</v>
      </c>
    </row>
    <row r="55" customFormat="false" ht="15" hidden="false" customHeight="false" outlineLevel="0" collapsed="false">
      <c r="B55" s="17" t="n">
        <v>46312</v>
      </c>
      <c r="C55" s="16" t="n">
        <v>7</v>
      </c>
      <c r="D55" s="8" t="s">
        <v>514</v>
      </c>
      <c r="E55" s="26" t="n">
        <v>5.6</v>
      </c>
      <c r="F55" s="26"/>
      <c r="G55" s="20" t="n">
        <f aca="false">IF(N($F55)&gt;0,$F55,IF(CENARIO_CLIMA="USUARIO",0,$E55))</f>
        <v>5.6</v>
      </c>
      <c r="H55" s="18" t="n">
        <f aca="false">SUMIFS($G$8:$G$469,$C$8:$C$469,$C55)</f>
        <v>39.2</v>
      </c>
      <c r="I55" s="26" t="n">
        <v>3.87</v>
      </c>
      <c r="J55" s="26"/>
      <c r="K55" s="20" t="n">
        <f aca="false">IF(N($J55)&gt;0,$J55,IF(CENARIO_CLIMA="USUARIO",0,$I55))</f>
        <v>3.87</v>
      </c>
      <c r="L55" s="20" t="n">
        <f aca="false">MIN($K55*FATOR_CHUVA_UTIL,LIMITE_CHUVA_UTIL_DIA)</f>
        <v>3.096</v>
      </c>
      <c r="M55" s="26"/>
      <c r="N55" s="20" t="n">
        <f aca="false">IF(N($M55)&gt;0,$M55,$L55)</f>
        <v>3.096</v>
      </c>
      <c r="O55" s="8" t="str">
        <f aca="false">IF(N($F55)+N($J55)&gt;0,"Serie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55" s="8" t="str">
        <f aca="false">IF(N($M55)&gt;0,"Chuva util informada pelo usuario","MIN(Chuva bruta x FATOR_CHUVA_UTIL ; LIMITE_CHUVA_UTIL_DIA)")</f>
        <v>MIN(Chuva bruta x FATOR_CHUVA_UTIL ; LIMITE_CHUVA_UTIL_DIA)</v>
      </c>
    </row>
    <row r="56" customFormat="false" ht="15" hidden="false" customHeight="false" outlineLevel="0" collapsed="false">
      <c r="B56" s="17" t="n">
        <v>46313</v>
      </c>
      <c r="C56" s="16" t="n">
        <v>7</v>
      </c>
      <c r="D56" s="8" t="s">
        <v>514</v>
      </c>
      <c r="E56" s="26" t="n">
        <v>5.6</v>
      </c>
      <c r="F56" s="26"/>
      <c r="G56" s="20" t="n">
        <f aca="false">IF(N($F56)&gt;0,$F56,IF(CENARIO_CLIMA="USUARIO",0,$E56))</f>
        <v>5.6</v>
      </c>
      <c r="H56" s="18" t="n">
        <f aca="false">SUMIFS($G$8:$G$469,$C$8:$C$469,$C56)</f>
        <v>39.2</v>
      </c>
      <c r="I56" s="26" t="n">
        <v>3.87</v>
      </c>
      <c r="J56" s="26"/>
      <c r="K56" s="20" t="n">
        <f aca="false">IF(N($J56)&gt;0,$J56,IF(CENARIO_CLIMA="USUARIO",0,$I56))</f>
        <v>3.87</v>
      </c>
      <c r="L56" s="20" t="n">
        <f aca="false">MIN($K56*FATOR_CHUVA_UTIL,LIMITE_CHUVA_UTIL_DIA)</f>
        <v>3.096</v>
      </c>
      <c r="M56" s="26"/>
      <c r="N56" s="20" t="n">
        <f aca="false">IF(N($M56)&gt;0,$M56,$L56)</f>
        <v>3.096</v>
      </c>
      <c r="O56" s="8" t="str">
        <f aca="false">IF(N($F56)+N($J56)&gt;0,"Serie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56" s="8" t="str">
        <f aca="false">IF(N($M56)&gt;0,"Chuva util informada pelo usuario","MIN(Chuva bruta x FATOR_CHUVA_UTIL ; LIMITE_CHUVA_UTIL_DIA)")</f>
        <v>MIN(Chuva bruta x FATOR_CHUVA_UTIL ; LIMITE_CHUVA_UTIL_DIA)</v>
      </c>
    </row>
    <row r="57" customFormat="false" ht="15" hidden="false" customHeight="false" outlineLevel="0" collapsed="false">
      <c r="B57" s="17" t="n">
        <v>46314</v>
      </c>
      <c r="C57" s="16" t="n">
        <v>8</v>
      </c>
      <c r="D57" s="8" t="s">
        <v>514</v>
      </c>
      <c r="E57" s="26" t="n">
        <v>5.6</v>
      </c>
      <c r="F57" s="26"/>
      <c r="G57" s="20" t="n">
        <f aca="false">IF(N($F57)&gt;0,$F57,IF(CENARIO_CLIMA="USUARIO",0,$E57))</f>
        <v>5.6</v>
      </c>
      <c r="H57" s="18" t="n">
        <f aca="false">SUMIFS($G$8:$G$469,$C$8:$C$469,$C57)</f>
        <v>39.2</v>
      </c>
      <c r="I57" s="26" t="n">
        <v>3.87</v>
      </c>
      <c r="J57" s="26"/>
      <c r="K57" s="20" t="n">
        <f aca="false">IF(N($J57)&gt;0,$J57,IF(CENARIO_CLIMA="USUARIO",0,$I57))</f>
        <v>3.87</v>
      </c>
      <c r="L57" s="20" t="n">
        <f aca="false">MIN($K57*FATOR_CHUVA_UTIL,LIMITE_CHUVA_UTIL_DIA)</f>
        <v>3.096</v>
      </c>
      <c r="M57" s="26"/>
      <c r="N57" s="20" t="n">
        <f aca="false">IF(N($M57)&gt;0,$M57,$L57)</f>
        <v>3.096</v>
      </c>
      <c r="O57" s="8" t="str">
        <f aca="false">IF(N($F57)+N($J57)&gt;0,"Serie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57" s="8" t="str">
        <f aca="false">IF(N($M57)&gt;0,"Chuva util informada pelo usuario","MIN(Chuva bruta x FATOR_CHUVA_UTIL ; LIMITE_CHUVA_UTIL_DIA)")</f>
        <v>MIN(Chuva bruta x FATOR_CHUVA_UTIL ; LIMITE_CHUVA_UTIL_DIA)</v>
      </c>
    </row>
    <row r="58" customFormat="false" ht="15" hidden="false" customHeight="false" outlineLevel="0" collapsed="false">
      <c r="B58" s="17" t="n">
        <v>46315</v>
      </c>
      <c r="C58" s="16" t="n">
        <v>8</v>
      </c>
      <c r="D58" s="8" t="s">
        <v>514</v>
      </c>
      <c r="E58" s="26" t="n">
        <v>5.6</v>
      </c>
      <c r="F58" s="26"/>
      <c r="G58" s="20" t="n">
        <f aca="false">IF(N($F58)&gt;0,$F58,IF(CENARIO_CLIMA="USUARIO",0,$E58))</f>
        <v>5.6</v>
      </c>
      <c r="H58" s="18" t="n">
        <f aca="false">SUMIFS($G$8:$G$469,$C$8:$C$469,$C58)</f>
        <v>39.2</v>
      </c>
      <c r="I58" s="26" t="n">
        <v>3.87</v>
      </c>
      <c r="J58" s="26"/>
      <c r="K58" s="20" t="n">
        <f aca="false">IF(N($J58)&gt;0,$J58,IF(CENARIO_CLIMA="USUARIO",0,$I58))</f>
        <v>3.87</v>
      </c>
      <c r="L58" s="20" t="n">
        <f aca="false">MIN($K58*FATOR_CHUVA_UTIL,LIMITE_CHUVA_UTIL_DIA)</f>
        <v>3.096</v>
      </c>
      <c r="M58" s="26"/>
      <c r="N58" s="20" t="n">
        <f aca="false">IF(N($M58)&gt;0,$M58,$L58)</f>
        <v>3.096</v>
      </c>
      <c r="O58" s="8" t="str">
        <f aca="false">IF(N($F58)+N($J58)&gt;0,"Serie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58" s="8" t="str">
        <f aca="false">IF(N($M58)&gt;0,"Chuva util informada pelo usuario","MIN(Chuva bruta x FATOR_CHUVA_UTIL ; LIMITE_CHUVA_UTIL_DIA)")</f>
        <v>MIN(Chuva bruta x FATOR_CHUVA_UTIL ; LIMITE_CHUVA_UTIL_DIA)</v>
      </c>
    </row>
    <row r="59" customFormat="false" ht="15" hidden="false" customHeight="false" outlineLevel="0" collapsed="false">
      <c r="B59" s="17" t="n">
        <v>46316</v>
      </c>
      <c r="C59" s="16" t="n">
        <v>8</v>
      </c>
      <c r="D59" s="8" t="s">
        <v>514</v>
      </c>
      <c r="E59" s="26" t="n">
        <v>5.6</v>
      </c>
      <c r="F59" s="26"/>
      <c r="G59" s="20" t="n">
        <f aca="false">IF(N($F59)&gt;0,$F59,IF(CENARIO_CLIMA="USUARIO",0,$E59))</f>
        <v>5.6</v>
      </c>
      <c r="H59" s="18" t="n">
        <f aca="false">SUMIFS($G$8:$G$469,$C$8:$C$469,$C59)</f>
        <v>39.2</v>
      </c>
      <c r="I59" s="26" t="n">
        <v>3.87</v>
      </c>
      <c r="J59" s="26"/>
      <c r="K59" s="20" t="n">
        <f aca="false">IF(N($J59)&gt;0,$J59,IF(CENARIO_CLIMA="USUARIO",0,$I59))</f>
        <v>3.87</v>
      </c>
      <c r="L59" s="20" t="n">
        <f aca="false">MIN($K59*FATOR_CHUVA_UTIL,LIMITE_CHUVA_UTIL_DIA)</f>
        <v>3.096</v>
      </c>
      <c r="M59" s="26"/>
      <c r="N59" s="20" t="n">
        <f aca="false">IF(N($M59)&gt;0,$M59,$L59)</f>
        <v>3.096</v>
      </c>
      <c r="O59" s="8" t="str">
        <f aca="false">IF(N($F59)+N($J59)&gt;0,"Serie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59" s="8" t="str">
        <f aca="false">IF(N($M59)&gt;0,"Chuva util informada pelo usuario","MIN(Chuva bruta x FATOR_CHUVA_UTIL ; LIMITE_CHUVA_UTIL_DIA)")</f>
        <v>MIN(Chuva bruta x FATOR_CHUVA_UTIL ; LIMITE_CHUVA_UTIL_DIA)</v>
      </c>
    </row>
    <row r="60" customFormat="false" ht="15" hidden="false" customHeight="false" outlineLevel="0" collapsed="false">
      <c r="B60" s="17" t="n">
        <v>46317</v>
      </c>
      <c r="C60" s="16" t="n">
        <v>8</v>
      </c>
      <c r="D60" s="8" t="s">
        <v>514</v>
      </c>
      <c r="E60" s="26" t="n">
        <v>5.6</v>
      </c>
      <c r="F60" s="26"/>
      <c r="G60" s="20" t="n">
        <f aca="false">IF(N($F60)&gt;0,$F60,IF(CENARIO_CLIMA="USUARIO",0,$E60))</f>
        <v>5.6</v>
      </c>
      <c r="H60" s="18" t="n">
        <f aca="false">SUMIFS($G$8:$G$469,$C$8:$C$469,$C60)</f>
        <v>39.2</v>
      </c>
      <c r="I60" s="26" t="n">
        <v>3.87</v>
      </c>
      <c r="J60" s="26"/>
      <c r="K60" s="20" t="n">
        <f aca="false">IF(N($J60)&gt;0,$J60,IF(CENARIO_CLIMA="USUARIO",0,$I60))</f>
        <v>3.87</v>
      </c>
      <c r="L60" s="20" t="n">
        <f aca="false">MIN($K60*FATOR_CHUVA_UTIL,LIMITE_CHUVA_UTIL_DIA)</f>
        <v>3.096</v>
      </c>
      <c r="M60" s="26"/>
      <c r="N60" s="20" t="n">
        <f aca="false">IF(N($M60)&gt;0,$M60,$L60)</f>
        <v>3.096</v>
      </c>
      <c r="O60" s="8" t="str">
        <f aca="false">IF(N($F60)+N($J60)&gt;0,"Serie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60" s="8" t="str">
        <f aca="false">IF(N($M60)&gt;0,"Chuva util informada pelo usuario","MIN(Chuva bruta x FATOR_CHUVA_UTIL ; LIMITE_CHUVA_UTIL_DIA)")</f>
        <v>MIN(Chuva bruta x FATOR_CHUVA_UTIL ; LIMITE_CHUVA_UTIL_DIA)</v>
      </c>
    </row>
    <row r="61" customFormat="false" ht="15" hidden="false" customHeight="false" outlineLevel="0" collapsed="false">
      <c r="B61" s="17" t="n">
        <v>46318</v>
      </c>
      <c r="C61" s="16" t="n">
        <v>8</v>
      </c>
      <c r="D61" s="8" t="s">
        <v>514</v>
      </c>
      <c r="E61" s="26" t="n">
        <v>5.6</v>
      </c>
      <c r="F61" s="26"/>
      <c r="G61" s="20" t="n">
        <f aca="false">IF(N($F61)&gt;0,$F61,IF(CENARIO_CLIMA="USUARIO",0,$E61))</f>
        <v>5.6</v>
      </c>
      <c r="H61" s="18" t="n">
        <f aca="false">SUMIFS($G$8:$G$469,$C$8:$C$469,$C61)</f>
        <v>39.2</v>
      </c>
      <c r="I61" s="26" t="n">
        <v>3.87</v>
      </c>
      <c r="J61" s="26"/>
      <c r="K61" s="20" t="n">
        <f aca="false">IF(N($J61)&gt;0,$J61,IF(CENARIO_CLIMA="USUARIO",0,$I61))</f>
        <v>3.87</v>
      </c>
      <c r="L61" s="20" t="n">
        <f aca="false">MIN($K61*FATOR_CHUVA_UTIL,LIMITE_CHUVA_UTIL_DIA)</f>
        <v>3.096</v>
      </c>
      <c r="M61" s="26"/>
      <c r="N61" s="20" t="n">
        <f aca="false">IF(N($M61)&gt;0,$M61,$L61)</f>
        <v>3.096</v>
      </c>
      <c r="O61" s="8" t="str">
        <f aca="false">IF(N($F61)+N($J61)&gt;0,"Serie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61" s="8" t="str">
        <f aca="false">IF(N($M61)&gt;0,"Chuva util informada pelo usuario","MIN(Chuva bruta x FATOR_CHUVA_UTIL ; LIMITE_CHUVA_UTIL_DIA)")</f>
        <v>MIN(Chuva bruta x FATOR_CHUVA_UTIL ; LIMITE_CHUVA_UTIL_DIA)</v>
      </c>
    </row>
    <row r="62" customFormat="false" ht="15" hidden="false" customHeight="false" outlineLevel="0" collapsed="false">
      <c r="B62" s="17" t="n">
        <v>46319</v>
      </c>
      <c r="C62" s="16" t="n">
        <v>8</v>
      </c>
      <c r="D62" s="8" t="s">
        <v>514</v>
      </c>
      <c r="E62" s="26" t="n">
        <v>5.6</v>
      </c>
      <c r="F62" s="26"/>
      <c r="G62" s="20" t="n">
        <f aca="false">IF(N($F62)&gt;0,$F62,IF(CENARIO_CLIMA="USUARIO",0,$E62))</f>
        <v>5.6</v>
      </c>
      <c r="H62" s="18" t="n">
        <f aca="false">SUMIFS($G$8:$G$469,$C$8:$C$469,$C62)</f>
        <v>39.2</v>
      </c>
      <c r="I62" s="26" t="n">
        <v>3.87</v>
      </c>
      <c r="J62" s="26"/>
      <c r="K62" s="20" t="n">
        <f aca="false">IF(N($J62)&gt;0,$J62,IF(CENARIO_CLIMA="USUARIO",0,$I62))</f>
        <v>3.87</v>
      </c>
      <c r="L62" s="20" t="n">
        <f aca="false">MIN($K62*FATOR_CHUVA_UTIL,LIMITE_CHUVA_UTIL_DIA)</f>
        <v>3.096</v>
      </c>
      <c r="M62" s="26"/>
      <c r="N62" s="20" t="n">
        <f aca="false">IF(N($M62)&gt;0,$M62,$L62)</f>
        <v>3.096</v>
      </c>
      <c r="O62" s="8" t="str">
        <f aca="false">IF(N($F62)+N($J62)&gt;0,"Serie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62" s="8" t="str">
        <f aca="false">IF(N($M62)&gt;0,"Chuva util informada pelo usuario","MIN(Chuva bruta x FATOR_CHUVA_UTIL ; LIMITE_CHUVA_UTIL_DIA)")</f>
        <v>MIN(Chuva bruta x FATOR_CHUVA_UTIL ; LIMITE_CHUVA_UTIL_DIA)</v>
      </c>
    </row>
    <row r="63" customFormat="false" ht="15" hidden="false" customHeight="false" outlineLevel="0" collapsed="false">
      <c r="B63" s="17" t="n">
        <v>46320</v>
      </c>
      <c r="C63" s="16" t="n">
        <v>8</v>
      </c>
      <c r="D63" s="8" t="s">
        <v>514</v>
      </c>
      <c r="E63" s="26" t="n">
        <v>5.6</v>
      </c>
      <c r="F63" s="26"/>
      <c r="G63" s="20" t="n">
        <f aca="false">IF(N($F63)&gt;0,$F63,IF(CENARIO_CLIMA="USUARIO",0,$E63))</f>
        <v>5.6</v>
      </c>
      <c r="H63" s="18" t="n">
        <f aca="false">SUMIFS($G$8:$G$469,$C$8:$C$469,$C63)</f>
        <v>39.2</v>
      </c>
      <c r="I63" s="26" t="n">
        <v>3.87</v>
      </c>
      <c r="J63" s="26"/>
      <c r="K63" s="20" t="n">
        <f aca="false">IF(N($J63)&gt;0,$J63,IF(CENARIO_CLIMA="USUARIO",0,$I63))</f>
        <v>3.87</v>
      </c>
      <c r="L63" s="20" t="n">
        <f aca="false">MIN($K63*FATOR_CHUVA_UTIL,LIMITE_CHUVA_UTIL_DIA)</f>
        <v>3.096</v>
      </c>
      <c r="M63" s="26"/>
      <c r="N63" s="20" t="n">
        <f aca="false">IF(N($M63)&gt;0,$M63,$L63)</f>
        <v>3.096</v>
      </c>
      <c r="O63" s="8" t="str">
        <f aca="false">IF(N($F63)+N($J63)&gt;0,"Serie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63" s="8" t="str">
        <f aca="false">IF(N($M63)&gt;0,"Chuva util informada pelo usuario","MIN(Chuva bruta x FATOR_CHUVA_UTIL ; LIMITE_CHUVA_UTIL_DIA)")</f>
        <v>MIN(Chuva bruta x FATOR_CHUVA_UTIL ; LIMITE_CHUVA_UTIL_DIA)</v>
      </c>
    </row>
    <row r="64" customFormat="false" ht="15" hidden="false" customHeight="false" outlineLevel="0" collapsed="false">
      <c r="B64" s="17" t="n">
        <v>46321</v>
      </c>
      <c r="C64" s="16" t="n">
        <v>9</v>
      </c>
      <c r="D64" s="8" t="s">
        <v>514</v>
      </c>
      <c r="E64" s="26" t="n">
        <v>5.6</v>
      </c>
      <c r="F64" s="26"/>
      <c r="G64" s="20" t="n">
        <f aca="false">IF(N($F64)&gt;0,$F64,IF(CENARIO_CLIMA="USUARIO",0,$E64))</f>
        <v>5.6</v>
      </c>
      <c r="H64" s="18" t="n">
        <f aca="false">SUMIFS($G$8:$G$469,$C$8:$C$469,$C64)</f>
        <v>38.5</v>
      </c>
      <c r="I64" s="26" t="n">
        <v>3.87</v>
      </c>
      <c r="J64" s="26"/>
      <c r="K64" s="20" t="n">
        <f aca="false">IF(N($J64)&gt;0,$J64,IF(CENARIO_CLIMA="USUARIO",0,$I64))</f>
        <v>3.87</v>
      </c>
      <c r="L64" s="20" t="n">
        <f aca="false">MIN($K64*FATOR_CHUVA_UTIL,LIMITE_CHUVA_UTIL_DIA)</f>
        <v>3.096</v>
      </c>
      <c r="M64" s="26"/>
      <c r="N64" s="20" t="n">
        <f aca="false">IF(N($M64)&gt;0,$M64,$L64)</f>
        <v>3.096</v>
      </c>
      <c r="O64" s="8" t="str">
        <f aca="false">IF(N($F64)+N($J64)&gt;0,"Serie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64" s="8" t="str">
        <f aca="false">IF(N($M64)&gt;0,"Chuva util informada pelo usuario","MIN(Chuva bruta x FATOR_CHUVA_UTIL ; LIMITE_CHUVA_UTIL_DIA)")</f>
        <v>MIN(Chuva bruta x FATOR_CHUVA_UTIL ; LIMITE_CHUVA_UTIL_DIA)</v>
      </c>
    </row>
    <row r="65" customFormat="false" ht="15" hidden="false" customHeight="false" outlineLevel="0" collapsed="false">
      <c r="B65" s="17" t="n">
        <v>46322</v>
      </c>
      <c r="C65" s="16" t="n">
        <v>9</v>
      </c>
      <c r="D65" s="8" t="s">
        <v>514</v>
      </c>
      <c r="E65" s="26" t="n">
        <v>5.6</v>
      </c>
      <c r="F65" s="26"/>
      <c r="G65" s="20" t="n">
        <f aca="false">IF(N($F65)&gt;0,$F65,IF(CENARIO_CLIMA="USUARIO",0,$E65))</f>
        <v>5.6</v>
      </c>
      <c r="H65" s="18" t="n">
        <f aca="false">SUMIFS($G$8:$G$469,$C$8:$C$469,$C65)</f>
        <v>38.5</v>
      </c>
      <c r="I65" s="26" t="n">
        <v>3.87</v>
      </c>
      <c r="J65" s="26"/>
      <c r="K65" s="20" t="n">
        <f aca="false">IF(N($J65)&gt;0,$J65,IF(CENARIO_CLIMA="USUARIO",0,$I65))</f>
        <v>3.87</v>
      </c>
      <c r="L65" s="20" t="n">
        <f aca="false">MIN($K65*FATOR_CHUVA_UTIL,LIMITE_CHUVA_UTIL_DIA)</f>
        <v>3.096</v>
      </c>
      <c r="M65" s="26"/>
      <c r="N65" s="20" t="n">
        <f aca="false">IF(N($M65)&gt;0,$M65,$L65)</f>
        <v>3.096</v>
      </c>
      <c r="O65" s="8" t="str">
        <f aca="false">IF(N($F65)+N($J65)&gt;0,"Serie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65" s="8" t="str">
        <f aca="false">IF(N($M65)&gt;0,"Chuva util informada pelo usuario","MIN(Chuva bruta x FATOR_CHUVA_UTIL ; LIMITE_CHUVA_UTIL_DIA)")</f>
        <v>MIN(Chuva bruta x FATOR_CHUVA_UTIL ; LIMITE_CHUVA_UTIL_DIA)</v>
      </c>
    </row>
    <row r="66" customFormat="false" ht="15" hidden="false" customHeight="false" outlineLevel="0" collapsed="false">
      <c r="B66" s="17" t="n">
        <v>46323</v>
      </c>
      <c r="C66" s="16" t="n">
        <v>9</v>
      </c>
      <c r="D66" s="8" t="s">
        <v>514</v>
      </c>
      <c r="E66" s="26" t="n">
        <v>5.6</v>
      </c>
      <c r="F66" s="26"/>
      <c r="G66" s="20" t="n">
        <f aca="false">IF(N($F66)&gt;0,$F66,IF(CENARIO_CLIMA="USUARIO",0,$E66))</f>
        <v>5.6</v>
      </c>
      <c r="H66" s="18" t="n">
        <f aca="false">SUMIFS($G$8:$G$469,$C$8:$C$469,$C66)</f>
        <v>38.5</v>
      </c>
      <c r="I66" s="26" t="n">
        <v>3.87</v>
      </c>
      <c r="J66" s="26"/>
      <c r="K66" s="20" t="n">
        <f aca="false">IF(N($J66)&gt;0,$J66,IF(CENARIO_CLIMA="USUARIO",0,$I66))</f>
        <v>3.87</v>
      </c>
      <c r="L66" s="20" t="n">
        <f aca="false">MIN($K66*FATOR_CHUVA_UTIL,LIMITE_CHUVA_UTIL_DIA)</f>
        <v>3.096</v>
      </c>
      <c r="M66" s="26"/>
      <c r="N66" s="20" t="n">
        <f aca="false">IF(N($M66)&gt;0,$M66,$L66)</f>
        <v>3.096</v>
      </c>
      <c r="O66" s="8" t="str">
        <f aca="false">IF(N($F66)+N($J66)&gt;0,"Serie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66" s="8" t="str">
        <f aca="false">IF(N($M66)&gt;0,"Chuva util informada pelo usuario","MIN(Chuva bruta x FATOR_CHUVA_UTIL ; LIMITE_CHUVA_UTIL_DIA)")</f>
        <v>MIN(Chuva bruta x FATOR_CHUVA_UTIL ; LIMITE_CHUVA_UTIL_DIA)</v>
      </c>
    </row>
    <row r="67" customFormat="false" ht="15" hidden="false" customHeight="false" outlineLevel="0" collapsed="false">
      <c r="B67" s="17" t="n">
        <v>46324</v>
      </c>
      <c r="C67" s="16" t="n">
        <v>9</v>
      </c>
      <c r="D67" s="8" t="s">
        <v>514</v>
      </c>
      <c r="E67" s="26" t="n">
        <v>5.6</v>
      </c>
      <c r="F67" s="26"/>
      <c r="G67" s="20" t="n">
        <f aca="false">IF(N($F67)&gt;0,$F67,IF(CENARIO_CLIMA="USUARIO",0,$E67))</f>
        <v>5.6</v>
      </c>
      <c r="H67" s="18" t="n">
        <f aca="false">SUMIFS($G$8:$G$469,$C$8:$C$469,$C67)</f>
        <v>38.5</v>
      </c>
      <c r="I67" s="26" t="n">
        <v>3.87</v>
      </c>
      <c r="J67" s="26"/>
      <c r="K67" s="20" t="n">
        <f aca="false">IF(N($J67)&gt;0,$J67,IF(CENARIO_CLIMA="USUARIO",0,$I67))</f>
        <v>3.87</v>
      </c>
      <c r="L67" s="20" t="n">
        <f aca="false">MIN($K67*FATOR_CHUVA_UTIL,LIMITE_CHUVA_UTIL_DIA)</f>
        <v>3.096</v>
      </c>
      <c r="M67" s="26"/>
      <c r="N67" s="20" t="n">
        <f aca="false">IF(N($M67)&gt;0,$M67,$L67)</f>
        <v>3.096</v>
      </c>
      <c r="O67" s="8" t="str">
        <f aca="false">IF(N($F67)+N($J67)&gt;0,"Serie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67" s="8" t="str">
        <f aca="false">IF(N($M67)&gt;0,"Chuva util informada pelo usuario","MIN(Chuva bruta x FATOR_CHUVA_UTIL ; LIMITE_CHUVA_UTIL_DIA)")</f>
        <v>MIN(Chuva bruta x FATOR_CHUVA_UTIL ; LIMITE_CHUVA_UTIL_DIA)</v>
      </c>
    </row>
    <row r="68" customFormat="false" ht="15" hidden="false" customHeight="false" outlineLevel="0" collapsed="false">
      <c r="B68" s="17" t="n">
        <v>46325</v>
      </c>
      <c r="C68" s="16" t="n">
        <v>9</v>
      </c>
      <c r="D68" s="8" t="s">
        <v>514</v>
      </c>
      <c r="E68" s="26" t="n">
        <v>5.6</v>
      </c>
      <c r="F68" s="26"/>
      <c r="G68" s="20" t="n">
        <f aca="false">IF(N($F68)&gt;0,$F68,IF(CENARIO_CLIMA="USUARIO",0,$E68))</f>
        <v>5.6</v>
      </c>
      <c r="H68" s="18" t="n">
        <f aca="false">SUMIFS($G$8:$G$469,$C$8:$C$469,$C68)</f>
        <v>38.5</v>
      </c>
      <c r="I68" s="26" t="n">
        <v>3.87</v>
      </c>
      <c r="J68" s="26"/>
      <c r="K68" s="20" t="n">
        <f aca="false">IF(N($J68)&gt;0,$J68,IF(CENARIO_CLIMA="USUARIO",0,$I68))</f>
        <v>3.87</v>
      </c>
      <c r="L68" s="20" t="n">
        <f aca="false">MIN($K68*FATOR_CHUVA_UTIL,LIMITE_CHUVA_UTIL_DIA)</f>
        <v>3.096</v>
      </c>
      <c r="M68" s="26"/>
      <c r="N68" s="20" t="n">
        <f aca="false">IF(N($M68)&gt;0,$M68,$L68)</f>
        <v>3.096</v>
      </c>
      <c r="O68" s="8" t="str">
        <f aca="false">IF(N($F68)+N($J68)&gt;0,"Serie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68" s="8" t="str">
        <f aca="false">IF(N($M68)&gt;0,"Chuva util informada pelo usuario","MIN(Chuva bruta x FATOR_CHUVA_UTIL ; LIMITE_CHUVA_UTIL_DIA)")</f>
        <v>MIN(Chuva bruta x FATOR_CHUVA_UTIL ; LIMITE_CHUVA_UTIL_DIA)</v>
      </c>
    </row>
    <row r="69" customFormat="false" ht="15" hidden="false" customHeight="false" outlineLevel="0" collapsed="false">
      <c r="B69" s="17" t="n">
        <v>46326</v>
      </c>
      <c r="C69" s="16" t="n">
        <v>9</v>
      </c>
      <c r="D69" s="8" t="s">
        <v>514</v>
      </c>
      <c r="E69" s="26" t="n">
        <v>5.6</v>
      </c>
      <c r="F69" s="26"/>
      <c r="G69" s="20" t="n">
        <f aca="false">IF(N($F69)&gt;0,$F69,IF(CENARIO_CLIMA="USUARIO",0,$E69))</f>
        <v>5.6</v>
      </c>
      <c r="H69" s="18" t="n">
        <f aca="false">SUMIFS($G$8:$G$469,$C$8:$C$469,$C69)</f>
        <v>38.5</v>
      </c>
      <c r="I69" s="26" t="n">
        <v>3.87</v>
      </c>
      <c r="J69" s="26"/>
      <c r="K69" s="20" t="n">
        <f aca="false">IF(N($J69)&gt;0,$J69,IF(CENARIO_CLIMA="USUARIO",0,$I69))</f>
        <v>3.87</v>
      </c>
      <c r="L69" s="20" t="n">
        <f aca="false">MIN($K69*FATOR_CHUVA_UTIL,LIMITE_CHUVA_UTIL_DIA)</f>
        <v>3.096</v>
      </c>
      <c r="M69" s="26"/>
      <c r="N69" s="20" t="n">
        <f aca="false">IF(N($M69)&gt;0,$M69,$L69)</f>
        <v>3.096</v>
      </c>
      <c r="O69" s="8" t="str">
        <f aca="false">IF(N($F69)+N($J69)&gt;0,"Serie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69" s="8" t="str">
        <f aca="false">IF(N($M69)&gt;0,"Chuva util informada pelo usuario","MIN(Chuva bruta x FATOR_CHUVA_UTIL ; LIMITE_CHUVA_UTIL_DIA)")</f>
        <v>MIN(Chuva bruta x FATOR_CHUVA_UTIL ; LIMITE_CHUVA_UTIL_DIA)</v>
      </c>
    </row>
    <row r="70" customFormat="false" ht="15" hidden="false" customHeight="false" outlineLevel="0" collapsed="false">
      <c r="B70" s="17" t="n">
        <v>46327</v>
      </c>
      <c r="C70" s="16" t="n">
        <v>9</v>
      </c>
      <c r="D70" s="8" t="s">
        <v>515</v>
      </c>
      <c r="E70" s="26" t="n">
        <v>4.9</v>
      </c>
      <c r="F70" s="26"/>
      <c r="G70" s="20" t="n">
        <f aca="false">IF(N($F70)&gt;0,$F70,IF(CENARIO_CLIMA="USUARIO",0,$E70))</f>
        <v>4.9</v>
      </c>
      <c r="H70" s="18" t="n">
        <f aca="false">SUMIFS($G$8:$G$469,$C$8:$C$469,$C70)</f>
        <v>38.5</v>
      </c>
      <c r="I70" s="26" t="n">
        <v>6.67</v>
      </c>
      <c r="J70" s="26"/>
      <c r="K70" s="20" t="n">
        <f aca="false">IF(N($J70)&gt;0,$J70,IF(CENARIO_CLIMA="USUARIO",0,$I70))</f>
        <v>6.67</v>
      </c>
      <c r="L70" s="20" t="n">
        <f aca="false">MIN($K70*FATOR_CHUVA_UTIL,LIMITE_CHUVA_UTIL_DIA)</f>
        <v>5.336</v>
      </c>
      <c r="M70" s="26"/>
      <c r="N70" s="20" t="n">
        <f aca="false">IF(N($M70)&gt;0,$M70,$L70)</f>
        <v>5.336</v>
      </c>
      <c r="O70" s="8" t="str">
        <f aca="false">IF(N($F70)+N($J70)&gt;0,"Serie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70" s="8" t="str">
        <f aca="false">IF(N($M70)&gt;0,"Chuva util informada pelo usuario","MIN(Chuva bruta x FATOR_CHUVA_UTIL ; LIMITE_CHUVA_UTIL_DIA)")</f>
        <v>MIN(Chuva bruta x FATOR_CHUVA_UTIL ; LIMITE_CHUVA_UTIL_DIA)</v>
      </c>
    </row>
    <row r="71" customFormat="false" ht="15" hidden="false" customHeight="false" outlineLevel="0" collapsed="false">
      <c r="B71" s="17" t="n">
        <v>46328</v>
      </c>
      <c r="C71" s="16" t="n">
        <v>10</v>
      </c>
      <c r="D71" s="8" t="s">
        <v>515</v>
      </c>
      <c r="E71" s="26" t="n">
        <v>4.9</v>
      </c>
      <c r="F71" s="26"/>
      <c r="G71" s="20" t="n">
        <f aca="false">IF(N($F71)&gt;0,$F71,IF(CENARIO_CLIMA="USUARIO",0,$E71))</f>
        <v>4.9</v>
      </c>
      <c r="H71" s="18" t="n">
        <f aca="false">SUMIFS($G$8:$G$469,$C$8:$C$469,$C71)</f>
        <v>34.3</v>
      </c>
      <c r="I71" s="26" t="n">
        <v>6.67</v>
      </c>
      <c r="J71" s="26"/>
      <c r="K71" s="20" t="n">
        <f aca="false">IF(N($J71)&gt;0,$J71,IF(CENARIO_CLIMA="USUARIO",0,$I71))</f>
        <v>6.67</v>
      </c>
      <c r="L71" s="20" t="n">
        <f aca="false">MIN($K71*FATOR_CHUVA_UTIL,LIMITE_CHUVA_UTIL_DIA)</f>
        <v>5.336</v>
      </c>
      <c r="M71" s="26"/>
      <c r="N71" s="20" t="n">
        <f aca="false">IF(N($M71)&gt;0,$M71,$L71)</f>
        <v>5.336</v>
      </c>
      <c r="O71" s="8" t="str">
        <f aca="false">IF(N($F71)+N($J71)&gt;0,"Serie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71" s="8" t="str">
        <f aca="false">IF(N($M71)&gt;0,"Chuva util informada pelo usuario","MIN(Chuva bruta x FATOR_CHUVA_UTIL ; LIMITE_CHUVA_UTIL_DIA)")</f>
        <v>MIN(Chuva bruta x FATOR_CHUVA_UTIL ; LIMITE_CHUVA_UTIL_DIA)</v>
      </c>
    </row>
    <row r="72" customFormat="false" ht="15" hidden="false" customHeight="false" outlineLevel="0" collapsed="false">
      <c r="B72" s="17" t="n">
        <v>46329</v>
      </c>
      <c r="C72" s="16" t="n">
        <v>10</v>
      </c>
      <c r="D72" s="8" t="s">
        <v>515</v>
      </c>
      <c r="E72" s="26" t="n">
        <v>4.9</v>
      </c>
      <c r="F72" s="26"/>
      <c r="G72" s="20" t="n">
        <f aca="false">IF(N($F72)&gt;0,$F72,IF(CENARIO_CLIMA="USUARIO",0,$E72))</f>
        <v>4.9</v>
      </c>
      <c r="H72" s="18" t="n">
        <f aca="false">SUMIFS($G$8:$G$469,$C$8:$C$469,$C72)</f>
        <v>34.3</v>
      </c>
      <c r="I72" s="26" t="n">
        <v>6.67</v>
      </c>
      <c r="J72" s="26"/>
      <c r="K72" s="20" t="n">
        <f aca="false">IF(N($J72)&gt;0,$J72,IF(CENARIO_CLIMA="USUARIO",0,$I72))</f>
        <v>6.67</v>
      </c>
      <c r="L72" s="20" t="n">
        <f aca="false">MIN($K72*FATOR_CHUVA_UTIL,LIMITE_CHUVA_UTIL_DIA)</f>
        <v>5.336</v>
      </c>
      <c r="M72" s="26"/>
      <c r="N72" s="20" t="n">
        <f aca="false">IF(N($M72)&gt;0,$M72,$L72)</f>
        <v>5.336</v>
      </c>
      <c r="O72" s="8" t="str">
        <f aca="false">IF(N($F72)+N($J72)&gt;0,"Serie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72" s="8" t="str">
        <f aca="false">IF(N($M72)&gt;0,"Chuva util informada pelo usuario","MIN(Chuva bruta x FATOR_CHUVA_UTIL ; LIMITE_CHUVA_UTIL_DIA)")</f>
        <v>MIN(Chuva bruta x FATOR_CHUVA_UTIL ; LIMITE_CHUVA_UTIL_DIA)</v>
      </c>
    </row>
    <row r="73" customFormat="false" ht="15" hidden="false" customHeight="false" outlineLevel="0" collapsed="false">
      <c r="B73" s="17" t="n">
        <v>46330</v>
      </c>
      <c r="C73" s="16" t="n">
        <v>10</v>
      </c>
      <c r="D73" s="8" t="s">
        <v>515</v>
      </c>
      <c r="E73" s="26" t="n">
        <v>4.9</v>
      </c>
      <c r="F73" s="26"/>
      <c r="G73" s="20" t="n">
        <f aca="false">IF(N($F73)&gt;0,$F73,IF(CENARIO_CLIMA="USUARIO",0,$E73))</f>
        <v>4.9</v>
      </c>
      <c r="H73" s="18" t="n">
        <f aca="false">SUMIFS($G$8:$G$469,$C$8:$C$469,$C73)</f>
        <v>34.3</v>
      </c>
      <c r="I73" s="26" t="n">
        <v>6.67</v>
      </c>
      <c r="J73" s="26"/>
      <c r="K73" s="20" t="n">
        <f aca="false">IF(N($J73)&gt;0,$J73,IF(CENARIO_CLIMA="USUARIO",0,$I73))</f>
        <v>6.67</v>
      </c>
      <c r="L73" s="20" t="n">
        <f aca="false">MIN($K73*FATOR_CHUVA_UTIL,LIMITE_CHUVA_UTIL_DIA)</f>
        <v>5.336</v>
      </c>
      <c r="M73" s="26"/>
      <c r="N73" s="20" t="n">
        <f aca="false">IF(N($M73)&gt;0,$M73,$L73)</f>
        <v>5.336</v>
      </c>
      <c r="O73" s="8" t="str">
        <f aca="false">IF(N($F73)+N($J73)&gt;0,"Serie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73" s="8" t="str">
        <f aca="false">IF(N($M73)&gt;0,"Chuva util informada pelo usuario","MIN(Chuva bruta x FATOR_CHUVA_UTIL ; LIMITE_CHUVA_UTIL_DIA)")</f>
        <v>MIN(Chuva bruta x FATOR_CHUVA_UTIL ; LIMITE_CHUVA_UTIL_DIA)</v>
      </c>
    </row>
    <row r="74" customFormat="false" ht="15" hidden="false" customHeight="false" outlineLevel="0" collapsed="false">
      <c r="B74" s="17" t="n">
        <v>46331</v>
      </c>
      <c r="C74" s="16" t="n">
        <v>10</v>
      </c>
      <c r="D74" s="8" t="s">
        <v>515</v>
      </c>
      <c r="E74" s="26" t="n">
        <v>4.9</v>
      </c>
      <c r="F74" s="26"/>
      <c r="G74" s="20" t="n">
        <f aca="false">IF(N($F74)&gt;0,$F74,IF(CENARIO_CLIMA="USUARIO",0,$E74))</f>
        <v>4.9</v>
      </c>
      <c r="H74" s="18" t="n">
        <f aca="false">SUMIFS($G$8:$G$469,$C$8:$C$469,$C74)</f>
        <v>34.3</v>
      </c>
      <c r="I74" s="26" t="n">
        <v>6.67</v>
      </c>
      <c r="J74" s="26"/>
      <c r="K74" s="20" t="n">
        <f aca="false">IF(N($J74)&gt;0,$J74,IF(CENARIO_CLIMA="USUARIO",0,$I74))</f>
        <v>6.67</v>
      </c>
      <c r="L74" s="20" t="n">
        <f aca="false">MIN($K74*FATOR_CHUVA_UTIL,LIMITE_CHUVA_UTIL_DIA)</f>
        <v>5.336</v>
      </c>
      <c r="M74" s="26"/>
      <c r="N74" s="20" t="n">
        <f aca="false">IF(N($M74)&gt;0,$M74,$L74)</f>
        <v>5.336</v>
      </c>
      <c r="O74" s="8" t="str">
        <f aca="false">IF(N($F74)+N($J74)&gt;0,"Serie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74" s="8" t="str">
        <f aca="false">IF(N($M74)&gt;0,"Chuva util informada pelo usuario","MIN(Chuva bruta x FATOR_CHUVA_UTIL ; LIMITE_CHUVA_UTIL_DIA)")</f>
        <v>MIN(Chuva bruta x FATOR_CHUVA_UTIL ; LIMITE_CHUVA_UTIL_DIA)</v>
      </c>
    </row>
    <row r="75" customFormat="false" ht="15" hidden="false" customHeight="false" outlineLevel="0" collapsed="false">
      <c r="B75" s="17" t="n">
        <v>46332</v>
      </c>
      <c r="C75" s="16" t="n">
        <v>10</v>
      </c>
      <c r="D75" s="8" t="s">
        <v>515</v>
      </c>
      <c r="E75" s="26" t="n">
        <v>4.9</v>
      </c>
      <c r="F75" s="26"/>
      <c r="G75" s="20" t="n">
        <f aca="false">IF(N($F75)&gt;0,$F75,IF(CENARIO_CLIMA="USUARIO",0,$E75))</f>
        <v>4.9</v>
      </c>
      <c r="H75" s="18" t="n">
        <f aca="false">SUMIFS($G$8:$G$469,$C$8:$C$469,$C75)</f>
        <v>34.3</v>
      </c>
      <c r="I75" s="26" t="n">
        <v>6.67</v>
      </c>
      <c r="J75" s="26"/>
      <c r="K75" s="20" t="n">
        <f aca="false">IF(N($J75)&gt;0,$J75,IF(CENARIO_CLIMA="USUARIO",0,$I75))</f>
        <v>6.67</v>
      </c>
      <c r="L75" s="20" t="n">
        <f aca="false">MIN($K75*FATOR_CHUVA_UTIL,LIMITE_CHUVA_UTIL_DIA)</f>
        <v>5.336</v>
      </c>
      <c r="M75" s="26"/>
      <c r="N75" s="20" t="n">
        <f aca="false">IF(N($M75)&gt;0,$M75,$L75)</f>
        <v>5.336</v>
      </c>
      <c r="O75" s="8" t="str">
        <f aca="false">IF(N($F75)+N($J75)&gt;0,"Serie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75" s="8" t="str">
        <f aca="false">IF(N($M75)&gt;0,"Chuva util informada pelo usuario","MIN(Chuva bruta x FATOR_CHUVA_UTIL ; LIMITE_CHUVA_UTIL_DIA)")</f>
        <v>MIN(Chuva bruta x FATOR_CHUVA_UTIL ; LIMITE_CHUVA_UTIL_DIA)</v>
      </c>
    </row>
    <row r="76" customFormat="false" ht="15" hidden="false" customHeight="false" outlineLevel="0" collapsed="false">
      <c r="B76" s="17" t="n">
        <v>46333</v>
      </c>
      <c r="C76" s="16" t="n">
        <v>10</v>
      </c>
      <c r="D76" s="8" t="s">
        <v>515</v>
      </c>
      <c r="E76" s="26" t="n">
        <v>4.9</v>
      </c>
      <c r="F76" s="26"/>
      <c r="G76" s="20" t="n">
        <f aca="false">IF(N($F76)&gt;0,$F76,IF(CENARIO_CLIMA="USUARIO",0,$E76))</f>
        <v>4.9</v>
      </c>
      <c r="H76" s="18" t="n">
        <f aca="false">SUMIFS($G$8:$G$469,$C$8:$C$469,$C76)</f>
        <v>34.3</v>
      </c>
      <c r="I76" s="26" t="n">
        <v>6.67</v>
      </c>
      <c r="J76" s="26"/>
      <c r="K76" s="20" t="n">
        <f aca="false">IF(N($J76)&gt;0,$J76,IF(CENARIO_CLIMA="USUARIO",0,$I76))</f>
        <v>6.67</v>
      </c>
      <c r="L76" s="20" t="n">
        <f aca="false">MIN($K76*FATOR_CHUVA_UTIL,LIMITE_CHUVA_UTIL_DIA)</f>
        <v>5.336</v>
      </c>
      <c r="M76" s="26"/>
      <c r="N76" s="20" t="n">
        <f aca="false">IF(N($M76)&gt;0,$M76,$L76)</f>
        <v>5.336</v>
      </c>
      <c r="O76" s="8" t="str">
        <f aca="false">IF(N($F76)+N($J76)&gt;0,"Serie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76" s="8" t="str">
        <f aca="false">IF(N($M76)&gt;0,"Chuva util informada pelo usuario","MIN(Chuva bruta x FATOR_CHUVA_UTIL ; LIMITE_CHUVA_UTIL_DIA)")</f>
        <v>MIN(Chuva bruta x FATOR_CHUVA_UTIL ; LIMITE_CHUVA_UTIL_DIA)</v>
      </c>
    </row>
    <row r="77" customFormat="false" ht="15" hidden="false" customHeight="false" outlineLevel="0" collapsed="false">
      <c r="B77" s="17" t="n">
        <v>46334</v>
      </c>
      <c r="C77" s="16" t="n">
        <v>10</v>
      </c>
      <c r="D77" s="8" t="s">
        <v>515</v>
      </c>
      <c r="E77" s="26" t="n">
        <v>4.9</v>
      </c>
      <c r="F77" s="26"/>
      <c r="G77" s="20" t="n">
        <f aca="false">IF(N($F77)&gt;0,$F77,IF(CENARIO_CLIMA="USUARIO",0,$E77))</f>
        <v>4.9</v>
      </c>
      <c r="H77" s="18" t="n">
        <f aca="false">SUMIFS($G$8:$G$469,$C$8:$C$469,$C77)</f>
        <v>34.3</v>
      </c>
      <c r="I77" s="26" t="n">
        <v>6.67</v>
      </c>
      <c r="J77" s="26"/>
      <c r="K77" s="20" t="n">
        <f aca="false">IF(N($J77)&gt;0,$J77,IF(CENARIO_CLIMA="USUARIO",0,$I77))</f>
        <v>6.67</v>
      </c>
      <c r="L77" s="20" t="n">
        <f aca="false">MIN($K77*FATOR_CHUVA_UTIL,LIMITE_CHUVA_UTIL_DIA)</f>
        <v>5.336</v>
      </c>
      <c r="M77" s="26"/>
      <c r="N77" s="20" t="n">
        <f aca="false">IF(N($M77)&gt;0,$M77,$L77)</f>
        <v>5.336</v>
      </c>
      <c r="O77" s="8" t="str">
        <f aca="false">IF(N($F77)+N($J77)&gt;0,"Serie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77" s="8" t="str">
        <f aca="false">IF(N($M77)&gt;0,"Chuva util informada pelo usuario","MIN(Chuva bruta x FATOR_CHUVA_UTIL ; LIMITE_CHUVA_UTIL_DIA)")</f>
        <v>MIN(Chuva bruta x FATOR_CHUVA_UTIL ; LIMITE_CHUVA_UTIL_DIA)</v>
      </c>
    </row>
    <row r="78" customFormat="false" ht="15" hidden="false" customHeight="false" outlineLevel="0" collapsed="false">
      <c r="B78" s="17" t="n">
        <v>46335</v>
      </c>
      <c r="C78" s="16" t="n">
        <v>11</v>
      </c>
      <c r="D78" s="8" t="s">
        <v>515</v>
      </c>
      <c r="E78" s="26" t="n">
        <v>4.9</v>
      </c>
      <c r="F78" s="26"/>
      <c r="G78" s="20" t="n">
        <f aca="false">IF(N($F78)&gt;0,$F78,IF(CENARIO_CLIMA="USUARIO",0,$E78))</f>
        <v>4.9</v>
      </c>
      <c r="H78" s="18" t="n">
        <f aca="false">SUMIFS($G$8:$G$469,$C$8:$C$469,$C78)</f>
        <v>34.3</v>
      </c>
      <c r="I78" s="26" t="n">
        <v>6.67</v>
      </c>
      <c r="J78" s="26"/>
      <c r="K78" s="20" t="n">
        <f aca="false">IF(N($J78)&gt;0,$J78,IF(CENARIO_CLIMA="USUARIO",0,$I78))</f>
        <v>6.67</v>
      </c>
      <c r="L78" s="20" t="n">
        <f aca="false">MIN($K78*FATOR_CHUVA_UTIL,LIMITE_CHUVA_UTIL_DIA)</f>
        <v>5.336</v>
      </c>
      <c r="M78" s="26"/>
      <c r="N78" s="20" t="n">
        <f aca="false">IF(N($M78)&gt;0,$M78,$L78)</f>
        <v>5.336</v>
      </c>
      <c r="O78" s="8" t="str">
        <f aca="false">IF(N($F78)+N($J78)&gt;0,"Serie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78" s="8" t="str">
        <f aca="false">IF(N($M78)&gt;0,"Chuva util informada pelo usuario","MIN(Chuva bruta x FATOR_CHUVA_UTIL ; LIMITE_CHUVA_UTIL_DIA)")</f>
        <v>MIN(Chuva bruta x FATOR_CHUVA_UTIL ; LIMITE_CHUVA_UTIL_DIA)</v>
      </c>
    </row>
    <row r="79" customFormat="false" ht="15" hidden="false" customHeight="false" outlineLevel="0" collapsed="false">
      <c r="B79" s="17" t="n">
        <v>46336</v>
      </c>
      <c r="C79" s="16" t="n">
        <v>11</v>
      </c>
      <c r="D79" s="8" t="s">
        <v>515</v>
      </c>
      <c r="E79" s="26" t="n">
        <v>4.9</v>
      </c>
      <c r="F79" s="26"/>
      <c r="G79" s="20" t="n">
        <f aca="false">IF(N($F79)&gt;0,$F79,IF(CENARIO_CLIMA="USUARIO",0,$E79))</f>
        <v>4.9</v>
      </c>
      <c r="H79" s="18" t="n">
        <f aca="false">SUMIFS($G$8:$G$469,$C$8:$C$469,$C79)</f>
        <v>34.3</v>
      </c>
      <c r="I79" s="26" t="n">
        <v>6.67</v>
      </c>
      <c r="J79" s="26"/>
      <c r="K79" s="20" t="n">
        <f aca="false">IF(N($J79)&gt;0,$J79,IF(CENARIO_CLIMA="USUARIO",0,$I79))</f>
        <v>6.67</v>
      </c>
      <c r="L79" s="20" t="n">
        <f aca="false">MIN($K79*FATOR_CHUVA_UTIL,LIMITE_CHUVA_UTIL_DIA)</f>
        <v>5.336</v>
      </c>
      <c r="M79" s="26"/>
      <c r="N79" s="20" t="n">
        <f aca="false">IF(N($M79)&gt;0,$M79,$L79)</f>
        <v>5.336</v>
      </c>
      <c r="O79" s="8" t="str">
        <f aca="false">IF(N($F79)+N($J79)&gt;0,"Serie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79" s="8" t="str">
        <f aca="false">IF(N($M79)&gt;0,"Chuva util informada pelo usuario","MIN(Chuva bruta x FATOR_CHUVA_UTIL ; LIMITE_CHUVA_UTIL_DIA)")</f>
        <v>MIN(Chuva bruta x FATOR_CHUVA_UTIL ; LIMITE_CHUVA_UTIL_DIA)</v>
      </c>
    </row>
    <row r="80" customFormat="false" ht="15" hidden="false" customHeight="false" outlineLevel="0" collapsed="false">
      <c r="B80" s="17" t="n">
        <v>46337</v>
      </c>
      <c r="C80" s="16" t="n">
        <v>11</v>
      </c>
      <c r="D80" s="8" t="s">
        <v>515</v>
      </c>
      <c r="E80" s="26" t="n">
        <v>4.9</v>
      </c>
      <c r="F80" s="26"/>
      <c r="G80" s="20" t="n">
        <f aca="false">IF(N($F80)&gt;0,$F80,IF(CENARIO_CLIMA="USUARIO",0,$E80))</f>
        <v>4.9</v>
      </c>
      <c r="H80" s="18" t="n">
        <f aca="false">SUMIFS($G$8:$G$469,$C$8:$C$469,$C80)</f>
        <v>34.3</v>
      </c>
      <c r="I80" s="26" t="n">
        <v>6.67</v>
      </c>
      <c r="J80" s="26"/>
      <c r="K80" s="20" t="n">
        <f aca="false">IF(N($J80)&gt;0,$J80,IF(CENARIO_CLIMA="USUARIO",0,$I80))</f>
        <v>6.67</v>
      </c>
      <c r="L80" s="20" t="n">
        <f aca="false">MIN($K80*FATOR_CHUVA_UTIL,LIMITE_CHUVA_UTIL_DIA)</f>
        <v>5.336</v>
      </c>
      <c r="M80" s="26"/>
      <c r="N80" s="20" t="n">
        <f aca="false">IF(N($M80)&gt;0,$M80,$L80)</f>
        <v>5.336</v>
      </c>
      <c r="O80" s="8" t="str">
        <f aca="false">IF(N($F80)+N($J80)&gt;0,"Serie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0" s="8" t="str">
        <f aca="false">IF(N($M80)&gt;0,"Chuva util informada pelo usuario","MIN(Chuva bruta x FATOR_CHUVA_UTIL ; LIMITE_CHUVA_UTIL_DIA)")</f>
        <v>MIN(Chuva bruta x FATOR_CHUVA_UTIL ; LIMITE_CHUVA_UTIL_DIA)</v>
      </c>
    </row>
    <row r="81" customFormat="false" ht="15" hidden="false" customHeight="false" outlineLevel="0" collapsed="false">
      <c r="B81" s="17" t="n">
        <v>46338</v>
      </c>
      <c r="C81" s="16" t="n">
        <v>11</v>
      </c>
      <c r="D81" s="8" t="s">
        <v>515</v>
      </c>
      <c r="E81" s="26" t="n">
        <v>4.9</v>
      </c>
      <c r="F81" s="26"/>
      <c r="G81" s="20" t="n">
        <f aca="false">IF(N($F81)&gt;0,$F81,IF(CENARIO_CLIMA="USUARIO",0,$E81))</f>
        <v>4.9</v>
      </c>
      <c r="H81" s="18" t="n">
        <f aca="false">SUMIFS($G$8:$G$469,$C$8:$C$469,$C81)</f>
        <v>34.3</v>
      </c>
      <c r="I81" s="26" t="n">
        <v>6.67</v>
      </c>
      <c r="J81" s="26"/>
      <c r="K81" s="20" t="n">
        <f aca="false">IF(N($J81)&gt;0,$J81,IF(CENARIO_CLIMA="USUARIO",0,$I81))</f>
        <v>6.67</v>
      </c>
      <c r="L81" s="20" t="n">
        <f aca="false">MIN($K81*FATOR_CHUVA_UTIL,LIMITE_CHUVA_UTIL_DIA)</f>
        <v>5.336</v>
      </c>
      <c r="M81" s="26"/>
      <c r="N81" s="20" t="n">
        <f aca="false">IF(N($M81)&gt;0,$M81,$L81)</f>
        <v>5.336</v>
      </c>
      <c r="O81" s="8" t="str">
        <f aca="false">IF(N($F81)+N($J81)&gt;0,"Serie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1" s="8" t="str">
        <f aca="false">IF(N($M81)&gt;0,"Chuva util informada pelo usuario","MIN(Chuva bruta x FATOR_CHUVA_UTIL ; LIMITE_CHUVA_UTIL_DIA)")</f>
        <v>MIN(Chuva bruta x FATOR_CHUVA_UTIL ; LIMITE_CHUVA_UTIL_DIA)</v>
      </c>
    </row>
    <row r="82" customFormat="false" ht="15" hidden="false" customHeight="false" outlineLevel="0" collapsed="false">
      <c r="B82" s="17" t="n">
        <v>46339</v>
      </c>
      <c r="C82" s="16" t="n">
        <v>11</v>
      </c>
      <c r="D82" s="8" t="s">
        <v>515</v>
      </c>
      <c r="E82" s="26" t="n">
        <v>4.9</v>
      </c>
      <c r="F82" s="26"/>
      <c r="G82" s="20" t="n">
        <f aca="false">IF(N($F82)&gt;0,$F82,IF(CENARIO_CLIMA="USUARIO",0,$E82))</f>
        <v>4.9</v>
      </c>
      <c r="H82" s="18" t="n">
        <f aca="false">SUMIFS($G$8:$G$469,$C$8:$C$469,$C82)</f>
        <v>34.3</v>
      </c>
      <c r="I82" s="26" t="n">
        <v>6.67</v>
      </c>
      <c r="J82" s="26"/>
      <c r="K82" s="20" t="n">
        <f aca="false">IF(N($J82)&gt;0,$J82,IF(CENARIO_CLIMA="USUARIO",0,$I82))</f>
        <v>6.67</v>
      </c>
      <c r="L82" s="20" t="n">
        <f aca="false">MIN($K82*FATOR_CHUVA_UTIL,LIMITE_CHUVA_UTIL_DIA)</f>
        <v>5.336</v>
      </c>
      <c r="M82" s="26"/>
      <c r="N82" s="20" t="n">
        <f aca="false">IF(N($M82)&gt;0,$M82,$L82)</f>
        <v>5.336</v>
      </c>
      <c r="O82" s="8" t="str">
        <f aca="false">IF(N($F82)+N($J82)&gt;0,"Serie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2" s="8" t="str">
        <f aca="false">IF(N($M82)&gt;0,"Chuva util informada pelo usuario","MIN(Chuva bruta x FATOR_CHUVA_UTIL ; LIMITE_CHUVA_UTIL_DIA)")</f>
        <v>MIN(Chuva bruta x FATOR_CHUVA_UTIL ; LIMITE_CHUVA_UTIL_DIA)</v>
      </c>
    </row>
    <row r="83" customFormat="false" ht="15" hidden="false" customHeight="false" outlineLevel="0" collapsed="false">
      <c r="B83" s="17" t="n">
        <v>46340</v>
      </c>
      <c r="C83" s="16" t="n">
        <v>11</v>
      </c>
      <c r="D83" s="8" t="s">
        <v>515</v>
      </c>
      <c r="E83" s="26" t="n">
        <v>4.9</v>
      </c>
      <c r="F83" s="26"/>
      <c r="G83" s="20" t="n">
        <f aca="false">IF(N($F83)&gt;0,$F83,IF(CENARIO_CLIMA="USUARIO",0,$E83))</f>
        <v>4.9</v>
      </c>
      <c r="H83" s="18" t="n">
        <f aca="false">SUMIFS($G$8:$G$469,$C$8:$C$469,$C83)</f>
        <v>34.3</v>
      </c>
      <c r="I83" s="26" t="n">
        <v>6.67</v>
      </c>
      <c r="J83" s="26"/>
      <c r="K83" s="20" t="n">
        <f aca="false">IF(N($J83)&gt;0,$J83,IF(CENARIO_CLIMA="USUARIO",0,$I83))</f>
        <v>6.67</v>
      </c>
      <c r="L83" s="20" t="n">
        <f aca="false">MIN($K83*FATOR_CHUVA_UTIL,LIMITE_CHUVA_UTIL_DIA)</f>
        <v>5.336</v>
      </c>
      <c r="M83" s="26"/>
      <c r="N83" s="20" t="n">
        <f aca="false">IF(N($M83)&gt;0,$M83,$L83)</f>
        <v>5.336</v>
      </c>
      <c r="O83" s="8" t="str">
        <f aca="false">IF(N($F83)+N($J83)&gt;0,"Serie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3" s="8" t="str">
        <f aca="false">IF(N($M83)&gt;0,"Chuva util informada pelo usuario","MIN(Chuva bruta x FATOR_CHUVA_UTIL ; LIMITE_CHUVA_UTIL_DIA)")</f>
        <v>MIN(Chuva bruta x FATOR_CHUVA_UTIL ; LIMITE_CHUVA_UTIL_DIA)</v>
      </c>
    </row>
    <row r="84" customFormat="false" ht="15" hidden="false" customHeight="false" outlineLevel="0" collapsed="false">
      <c r="B84" s="17" t="n">
        <v>46341</v>
      </c>
      <c r="C84" s="16" t="n">
        <v>11</v>
      </c>
      <c r="D84" s="8" t="s">
        <v>515</v>
      </c>
      <c r="E84" s="26" t="n">
        <v>4.9</v>
      </c>
      <c r="F84" s="26"/>
      <c r="G84" s="20" t="n">
        <f aca="false">IF(N($F84)&gt;0,$F84,IF(CENARIO_CLIMA="USUARIO",0,$E84))</f>
        <v>4.9</v>
      </c>
      <c r="H84" s="18" t="n">
        <f aca="false">SUMIFS($G$8:$G$469,$C$8:$C$469,$C84)</f>
        <v>34.3</v>
      </c>
      <c r="I84" s="26" t="n">
        <v>6.67</v>
      </c>
      <c r="J84" s="26"/>
      <c r="K84" s="20" t="n">
        <f aca="false">IF(N($J84)&gt;0,$J84,IF(CENARIO_CLIMA="USUARIO",0,$I84))</f>
        <v>6.67</v>
      </c>
      <c r="L84" s="20" t="n">
        <f aca="false">MIN($K84*FATOR_CHUVA_UTIL,LIMITE_CHUVA_UTIL_DIA)</f>
        <v>5.336</v>
      </c>
      <c r="M84" s="26"/>
      <c r="N84" s="20" t="n">
        <f aca="false">IF(N($M84)&gt;0,$M84,$L84)</f>
        <v>5.336</v>
      </c>
      <c r="O84" s="8" t="str">
        <f aca="false">IF(N($F84)+N($J84)&gt;0,"Serie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4" s="8" t="str">
        <f aca="false">IF(N($M84)&gt;0,"Chuva util informada pelo usuario","MIN(Chuva bruta x FATOR_CHUVA_UTIL ; LIMITE_CHUVA_UTIL_DIA)")</f>
        <v>MIN(Chuva bruta x FATOR_CHUVA_UTIL ; LIMITE_CHUVA_UTIL_DIA)</v>
      </c>
    </row>
    <row r="85" customFormat="false" ht="15" hidden="false" customHeight="false" outlineLevel="0" collapsed="false">
      <c r="B85" s="17" t="n">
        <v>46342</v>
      </c>
      <c r="C85" s="16" t="n">
        <v>12</v>
      </c>
      <c r="D85" s="8" t="s">
        <v>515</v>
      </c>
      <c r="E85" s="26" t="n">
        <v>4.9</v>
      </c>
      <c r="F85" s="26"/>
      <c r="G85" s="20" t="n">
        <f aca="false">IF(N($F85)&gt;0,$F85,IF(CENARIO_CLIMA="USUARIO",0,$E85))</f>
        <v>4.9</v>
      </c>
      <c r="H85" s="18" t="n">
        <f aca="false">SUMIFS($G$8:$G$469,$C$8:$C$469,$C85)</f>
        <v>34.3</v>
      </c>
      <c r="I85" s="26" t="n">
        <v>6.67</v>
      </c>
      <c r="J85" s="26"/>
      <c r="K85" s="20" t="n">
        <f aca="false">IF(N($J85)&gt;0,$J85,IF(CENARIO_CLIMA="USUARIO",0,$I85))</f>
        <v>6.67</v>
      </c>
      <c r="L85" s="20" t="n">
        <f aca="false">MIN($K85*FATOR_CHUVA_UTIL,LIMITE_CHUVA_UTIL_DIA)</f>
        <v>5.336</v>
      </c>
      <c r="M85" s="26"/>
      <c r="N85" s="20" t="n">
        <f aca="false">IF(N($M85)&gt;0,$M85,$L85)</f>
        <v>5.336</v>
      </c>
      <c r="O85" s="8" t="str">
        <f aca="false">IF(N($F85)+N($J85)&gt;0,"Serie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5" s="8" t="str">
        <f aca="false">IF(N($M85)&gt;0,"Chuva util informada pelo usuario","MIN(Chuva bruta x FATOR_CHUVA_UTIL ; LIMITE_CHUVA_UTIL_DIA)")</f>
        <v>MIN(Chuva bruta x FATOR_CHUVA_UTIL ; LIMITE_CHUVA_UTIL_DIA)</v>
      </c>
    </row>
    <row r="86" customFormat="false" ht="15" hidden="false" customHeight="false" outlineLevel="0" collapsed="false">
      <c r="B86" s="17" t="n">
        <v>46343</v>
      </c>
      <c r="C86" s="16" t="n">
        <v>12</v>
      </c>
      <c r="D86" s="8" t="s">
        <v>515</v>
      </c>
      <c r="E86" s="26" t="n">
        <v>4.9</v>
      </c>
      <c r="F86" s="26"/>
      <c r="G86" s="20" t="n">
        <f aca="false">IF(N($F86)&gt;0,$F86,IF(CENARIO_CLIMA="USUARIO",0,$E86))</f>
        <v>4.9</v>
      </c>
      <c r="H86" s="18" t="n">
        <f aca="false">SUMIFS($G$8:$G$469,$C$8:$C$469,$C86)</f>
        <v>34.3</v>
      </c>
      <c r="I86" s="26" t="n">
        <v>6.67</v>
      </c>
      <c r="J86" s="26"/>
      <c r="K86" s="20" t="n">
        <f aca="false">IF(N($J86)&gt;0,$J86,IF(CENARIO_CLIMA="USUARIO",0,$I86))</f>
        <v>6.67</v>
      </c>
      <c r="L86" s="20" t="n">
        <f aca="false">MIN($K86*FATOR_CHUVA_UTIL,LIMITE_CHUVA_UTIL_DIA)</f>
        <v>5.336</v>
      </c>
      <c r="M86" s="26"/>
      <c r="N86" s="20" t="n">
        <f aca="false">IF(N($M86)&gt;0,$M86,$L86)</f>
        <v>5.336</v>
      </c>
      <c r="O86" s="8" t="str">
        <f aca="false">IF(N($F86)+N($J86)&gt;0,"Serie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6" s="8" t="str">
        <f aca="false">IF(N($M86)&gt;0,"Chuva util informada pelo usuario","MIN(Chuva bruta x FATOR_CHUVA_UTIL ; LIMITE_CHUVA_UTIL_DIA)")</f>
        <v>MIN(Chuva bruta x FATOR_CHUVA_UTIL ; LIMITE_CHUVA_UTIL_DIA)</v>
      </c>
    </row>
    <row r="87" customFormat="false" ht="15" hidden="false" customHeight="false" outlineLevel="0" collapsed="false">
      <c r="B87" s="17" t="n">
        <v>46344</v>
      </c>
      <c r="C87" s="16" t="n">
        <v>12</v>
      </c>
      <c r="D87" s="8" t="s">
        <v>515</v>
      </c>
      <c r="E87" s="26" t="n">
        <v>4.9</v>
      </c>
      <c r="F87" s="26"/>
      <c r="G87" s="20" t="n">
        <f aca="false">IF(N($F87)&gt;0,$F87,IF(CENARIO_CLIMA="USUARIO",0,$E87))</f>
        <v>4.9</v>
      </c>
      <c r="H87" s="18" t="n">
        <f aca="false">SUMIFS($G$8:$G$469,$C$8:$C$469,$C87)</f>
        <v>34.3</v>
      </c>
      <c r="I87" s="26" t="n">
        <v>6.67</v>
      </c>
      <c r="J87" s="26"/>
      <c r="K87" s="20" t="n">
        <f aca="false">IF(N($J87)&gt;0,$J87,IF(CENARIO_CLIMA="USUARIO",0,$I87))</f>
        <v>6.67</v>
      </c>
      <c r="L87" s="20" t="n">
        <f aca="false">MIN($K87*FATOR_CHUVA_UTIL,LIMITE_CHUVA_UTIL_DIA)</f>
        <v>5.336</v>
      </c>
      <c r="M87" s="26"/>
      <c r="N87" s="20" t="n">
        <f aca="false">IF(N($M87)&gt;0,$M87,$L87)</f>
        <v>5.336</v>
      </c>
      <c r="O87" s="8" t="str">
        <f aca="false">IF(N($F87)+N($J87)&gt;0,"Serie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7" s="8" t="str">
        <f aca="false">IF(N($M87)&gt;0,"Chuva util informada pelo usuario","MIN(Chuva bruta x FATOR_CHUVA_UTIL ; LIMITE_CHUVA_UTIL_DIA)")</f>
        <v>MIN(Chuva bruta x FATOR_CHUVA_UTIL ; LIMITE_CHUVA_UTIL_DIA)</v>
      </c>
    </row>
    <row r="88" customFormat="false" ht="15" hidden="false" customHeight="false" outlineLevel="0" collapsed="false">
      <c r="B88" s="17" t="n">
        <v>46345</v>
      </c>
      <c r="C88" s="16" t="n">
        <v>12</v>
      </c>
      <c r="D88" s="8" t="s">
        <v>515</v>
      </c>
      <c r="E88" s="26" t="n">
        <v>4.9</v>
      </c>
      <c r="F88" s="26"/>
      <c r="G88" s="20" t="n">
        <f aca="false">IF(N($F88)&gt;0,$F88,IF(CENARIO_CLIMA="USUARIO",0,$E88))</f>
        <v>4.9</v>
      </c>
      <c r="H88" s="18" t="n">
        <f aca="false">SUMIFS($G$8:$G$469,$C$8:$C$469,$C88)</f>
        <v>34.3</v>
      </c>
      <c r="I88" s="26" t="n">
        <v>6.67</v>
      </c>
      <c r="J88" s="26"/>
      <c r="K88" s="20" t="n">
        <f aca="false">IF(N($J88)&gt;0,$J88,IF(CENARIO_CLIMA="USUARIO",0,$I88))</f>
        <v>6.67</v>
      </c>
      <c r="L88" s="20" t="n">
        <f aca="false">MIN($K88*FATOR_CHUVA_UTIL,LIMITE_CHUVA_UTIL_DIA)</f>
        <v>5.336</v>
      </c>
      <c r="M88" s="26"/>
      <c r="N88" s="20" t="n">
        <f aca="false">IF(N($M88)&gt;0,$M88,$L88)</f>
        <v>5.336</v>
      </c>
      <c r="O88" s="8" t="str">
        <f aca="false">IF(N($F88)+N($J88)&gt;0,"Serie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8" s="8" t="str">
        <f aca="false">IF(N($M88)&gt;0,"Chuva util informada pelo usuario","MIN(Chuva bruta x FATOR_CHUVA_UTIL ; LIMITE_CHUVA_UTIL_DIA)")</f>
        <v>MIN(Chuva bruta x FATOR_CHUVA_UTIL ; LIMITE_CHUVA_UTIL_DIA)</v>
      </c>
    </row>
    <row r="89" customFormat="false" ht="15" hidden="false" customHeight="false" outlineLevel="0" collapsed="false">
      <c r="B89" s="17" t="n">
        <v>46346</v>
      </c>
      <c r="C89" s="16" t="n">
        <v>12</v>
      </c>
      <c r="D89" s="8" t="s">
        <v>515</v>
      </c>
      <c r="E89" s="26" t="n">
        <v>4.9</v>
      </c>
      <c r="F89" s="26"/>
      <c r="G89" s="20" t="n">
        <f aca="false">IF(N($F89)&gt;0,$F89,IF(CENARIO_CLIMA="USUARIO",0,$E89))</f>
        <v>4.9</v>
      </c>
      <c r="H89" s="18" t="n">
        <f aca="false">SUMIFS($G$8:$G$469,$C$8:$C$469,$C89)</f>
        <v>34.3</v>
      </c>
      <c r="I89" s="26" t="n">
        <v>6.67</v>
      </c>
      <c r="J89" s="26"/>
      <c r="K89" s="20" t="n">
        <f aca="false">IF(N($J89)&gt;0,$J89,IF(CENARIO_CLIMA="USUARIO",0,$I89))</f>
        <v>6.67</v>
      </c>
      <c r="L89" s="20" t="n">
        <f aca="false">MIN($K89*FATOR_CHUVA_UTIL,LIMITE_CHUVA_UTIL_DIA)</f>
        <v>5.336</v>
      </c>
      <c r="M89" s="26"/>
      <c r="N89" s="20" t="n">
        <f aca="false">IF(N($M89)&gt;0,$M89,$L89)</f>
        <v>5.336</v>
      </c>
      <c r="O89" s="8" t="str">
        <f aca="false">IF(N($F89)+N($J89)&gt;0,"Serie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89" s="8" t="str">
        <f aca="false">IF(N($M89)&gt;0,"Chuva util informada pelo usuario","MIN(Chuva bruta x FATOR_CHUVA_UTIL ; LIMITE_CHUVA_UTIL_DIA)")</f>
        <v>MIN(Chuva bruta x FATOR_CHUVA_UTIL ; LIMITE_CHUVA_UTIL_DIA)</v>
      </c>
    </row>
    <row r="90" customFormat="false" ht="15" hidden="false" customHeight="false" outlineLevel="0" collapsed="false">
      <c r="B90" s="17" t="n">
        <v>46347</v>
      </c>
      <c r="C90" s="16" t="n">
        <v>12</v>
      </c>
      <c r="D90" s="8" t="s">
        <v>515</v>
      </c>
      <c r="E90" s="26" t="n">
        <v>4.9</v>
      </c>
      <c r="F90" s="26"/>
      <c r="G90" s="20" t="n">
        <f aca="false">IF(N($F90)&gt;0,$F90,IF(CENARIO_CLIMA="USUARIO",0,$E90))</f>
        <v>4.9</v>
      </c>
      <c r="H90" s="18" t="n">
        <f aca="false">SUMIFS($G$8:$G$469,$C$8:$C$469,$C90)</f>
        <v>34.3</v>
      </c>
      <c r="I90" s="26" t="n">
        <v>6.67</v>
      </c>
      <c r="J90" s="26"/>
      <c r="K90" s="20" t="n">
        <f aca="false">IF(N($J90)&gt;0,$J90,IF(CENARIO_CLIMA="USUARIO",0,$I90))</f>
        <v>6.67</v>
      </c>
      <c r="L90" s="20" t="n">
        <f aca="false">MIN($K90*FATOR_CHUVA_UTIL,LIMITE_CHUVA_UTIL_DIA)</f>
        <v>5.336</v>
      </c>
      <c r="M90" s="26"/>
      <c r="N90" s="20" t="n">
        <f aca="false">IF(N($M90)&gt;0,$M90,$L90)</f>
        <v>5.336</v>
      </c>
      <c r="O90" s="8" t="str">
        <f aca="false">IF(N($F90)+N($J90)&gt;0,"Serie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0" s="8" t="str">
        <f aca="false">IF(N($M90)&gt;0,"Chuva util informada pelo usuario","MIN(Chuva bruta x FATOR_CHUVA_UTIL ; LIMITE_CHUVA_UTIL_DIA)")</f>
        <v>MIN(Chuva bruta x FATOR_CHUVA_UTIL ; LIMITE_CHUVA_UTIL_DIA)</v>
      </c>
    </row>
    <row r="91" customFormat="false" ht="15" hidden="false" customHeight="false" outlineLevel="0" collapsed="false">
      <c r="B91" s="17" t="n">
        <v>46348</v>
      </c>
      <c r="C91" s="16" t="n">
        <v>12</v>
      </c>
      <c r="D91" s="8" t="s">
        <v>515</v>
      </c>
      <c r="E91" s="26" t="n">
        <v>4.9</v>
      </c>
      <c r="F91" s="26"/>
      <c r="G91" s="20" t="n">
        <f aca="false">IF(N($F91)&gt;0,$F91,IF(CENARIO_CLIMA="USUARIO",0,$E91))</f>
        <v>4.9</v>
      </c>
      <c r="H91" s="18" t="n">
        <f aca="false">SUMIFS($G$8:$G$469,$C$8:$C$469,$C91)</f>
        <v>34.3</v>
      </c>
      <c r="I91" s="26" t="n">
        <v>6.67</v>
      </c>
      <c r="J91" s="26"/>
      <c r="K91" s="20" t="n">
        <f aca="false">IF(N($J91)&gt;0,$J91,IF(CENARIO_CLIMA="USUARIO",0,$I91))</f>
        <v>6.67</v>
      </c>
      <c r="L91" s="20" t="n">
        <f aca="false">MIN($K91*FATOR_CHUVA_UTIL,LIMITE_CHUVA_UTIL_DIA)</f>
        <v>5.336</v>
      </c>
      <c r="M91" s="26"/>
      <c r="N91" s="20" t="n">
        <f aca="false">IF(N($M91)&gt;0,$M91,$L91)</f>
        <v>5.336</v>
      </c>
      <c r="O91" s="8" t="str">
        <f aca="false">IF(N($F91)+N($J91)&gt;0,"Serie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1" s="8" t="str">
        <f aca="false">IF(N($M91)&gt;0,"Chuva util informada pelo usuario","MIN(Chuva bruta x FATOR_CHUVA_UTIL ; LIMITE_CHUVA_UTIL_DIA)")</f>
        <v>MIN(Chuva bruta x FATOR_CHUVA_UTIL ; LIMITE_CHUVA_UTIL_DIA)</v>
      </c>
    </row>
    <row r="92" customFormat="false" ht="15" hidden="false" customHeight="false" outlineLevel="0" collapsed="false">
      <c r="B92" s="17" t="n">
        <v>46349</v>
      </c>
      <c r="C92" s="16" t="n">
        <v>13</v>
      </c>
      <c r="D92" s="8" t="s">
        <v>515</v>
      </c>
      <c r="E92" s="26" t="n">
        <v>4.9</v>
      </c>
      <c r="F92" s="26"/>
      <c r="G92" s="20" t="n">
        <f aca="false">IF(N($F92)&gt;0,$F92,IF(CENARIO_CLIMA="USUARIO",0,$E92))</f>
        <v>4.9</v>
      </c>
      <c r="H92" s="18" t="n">
        <f aca="false">SUMIFS($G$8:$G$469,$C$8:$C$469,$C92)</f>
        <v>34.3</v>
      </c>
      <c r="I92" s="26" t="n">
        <v>6.67</v>
      </c>
      <c r="J92" s="26"/>
      <c r="K92" s="20" t="n">
        <f aca="false">IF(N($J92)&gt;0,$J92,IF(CENARIO_CLIMA="USUARIO",0,$I92))</f>
        <v>6.67</v>
      </c>
      <c r="L92" s="20" t="n">
        <f aca="false">MIN($K92*FATOR_CHUVA_UTIL,LIMITE_CHUVA_UTIL_DIA)</f>
        <v>5.336</v>
      </c>
      <c r="M92" s="26"/>
      <c r="N92" s="20" t="n">
        <f aca="false">IF(N($M92)&gt;0,$M92,$L92)</f>
        <v>5.336</v>
      </c>
      <c r="O92" s="8" t="str">
        <f aca="false">IF(N($F92)+N($J92)&gt;0,"Serie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2" s="8" t="str">
        <f aca="false">IF(N($M92)&gt;0,"Chuva util informada pelo usuario","MIN(Chuva bruta x FATOR_CHUVA_UTIL ; LIMITE_CHUVA_UTIL_DIA)")</f>
        <v>MIN(Chuva bruta x FATOR_CHUVA_UTIL ; LIMITE_CHUVA_UTIL_DIA)</v>
      </c>
    </row>
    <row r="93" customFormat="false" ht="15" hidden="false" customHeight="false" outlineLevel="0" collapsed="false">
      <c r="B93" s="17" t="n">
        <v>46350</v>
      </c>
      <c r="C93" s="16" t="n">
        <v>13</v>
      </c>
      <c r="D93" s="8" t="s">
        <v>515</v>
      </c>
      <c r="E93" s="26" t="n">
        <v>4.9</v>
      </c>
      <c r="F93" s="26"/>
      <c r="G93" s="20" t="n">
        <f aca="false">IF(N($F93)&gt;0,$F93,IF(CENARIO_CLIMA="USUARIO",0,$E93))</f>
        <v>4.9</v>
      </c>
      <c r="H93" s="18" t="n">
        <f aca="false">SUMIFS($G$8:$G$469,$C$8:$C$469,$C93)</f>
        <v>34.3</v>
      </c>
      <c r="I93" s="26" t="n">
        <v>6.67</v>
      </c>
      <c r="J93" s="26"/>
      <c r="K93" s="20" t="n">
        <f aca="false">IF(N($J93)&gt;0,$J93,IF(CENARIO_CLIMA="USUARIO",0,$I93))</f>
        <v>6.67</v>
      </c>
      <c r="L93" s="20" t="n">
        <f aca="false">MIN($K93*FATOR_CHUVA_UTIL,LIMITE_CHUVA_UTIL_DIA)</f>
        <v>5.336</v>
      </c>
      <c r="M93" s="26"/>
      <c r="N93" s="20" t="n">
        <f aca="false">IF(N($M93)&gt;0,$M93,$L93)</f>
        <v>5.336</v>
      </c>
      <c r="O93" s="8" t="str">
        <f aca="false">IF(N($F93)+N($J93)&gt;0,"Serie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3" s="8" t="str">
        <f aca="false">IF(N($M93)&gt;0,"Chuva util informada pelo usuario","MIN(Chuva bruta x FATOR_CHUVA_UTIL ; LIMITE_CHUVA_UTIL_DIA)")</f>
        <v>MIN(Chuva bruta x FATOR_CHUVA_UTIL ; LIMITE_CHUVA_UTIL_DIA)</v>
      </c>
    </row>
    <row r="94" customFormat="false" ht="15" hidden="false" customHeight="false" outlineLevel="0" collapsed="false">
      <c r="B94" s="17" t="n">
        <v>46351</v>
      </c>
      <c r="C94" s="16" t="n">
        <v>13</v>
      </c>
      <c r="D94" s="8" t="s">
        <v>515</v>
      </c>
      <c r="E94" s="26" t="n">
        <v>4.9</v>
      </c>
      <c r="F94" s="26"/>
      <c r="G94" s="20" t="n">
        <f aca="false">IF(N($F94)&gt;0,$F94,IF(CENARIO_CLIMA="USUARIO",0,$E94))</f>
        <v>4.9</v>
      </c>
      <c r="H94" s="18" t="n">
        <f aca="false">SUMIFS($G$8:$G$469,$C$8:$C$469,$C94)</f>
        <v>34.3</v>
      </c>
      <c r="I94" s="26" t="n">
        <v>6.67</v>
      </c>
      <c r="J94" s="26"/>
      <c r="K94" s="20" t="n">
        <f aca="false">IF(N($J94)&gt;0,$J94,IF(CENARIO_CLIMA="USUARIO",0,$I94))</f>
        <v>6.67</v>
      </c>
      <c r="L94" s="20" t="n">
        <f aca="false">MIN($K94*FATOR_CHUVA_UTIL,LIMITE_CHUVA_UTIL_DIA)</f>
        <v>5.336</v>
      </c>
      <c r="M94" s="26"/>
      <c r="N94" s="20" t="n">
        <f aca="false">IF(N($M94)&gt;0,$M94,$L94)</f>
        <v>5.336</v>
      </c>
      <c r="O94" s="8" t="str">
        <f aca="false">IF(N($F94)+N($J94)&gt;0,"Serie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4" s="8" t="str">
        <f aca="false">IF(N($M94)&gt;0,"Chuva util informada pelo usuario","MIN(Chuva bruta x FATOR_CHUVA_UTIL ; LIMITE_CHUVA_UTIL_DIA)")</f>
        <v>MIN(Chuva bruta x FATOR_CHUVA_UTIL ; LIMITE_CHUVA_UTIL_DIA)</v>
      </c>
    </row>
    <row r="95" customFormat="false" ht="15" hidden="false" customHeight="false" outlineLevel="0" collapsed="false">
      <c r="B95" s="17" t="n">
        <v>46352</v>
      </c>
      <c r="C95" s="16" t="n">
        <v>13</v>
      </c>
      <c r="D95" s="8" t="s">
        <v>515</v>
      </c>
      <c r="E95" s="26" t="n">
        <v>4.9</v>
      </c>
      <c r="F95" s="26"/>
      <c r="G95" s="20" t="n">
        <f aca="false">IF(N($F95)&gt;0,$F95,IF(CENARIO_CLIMA="USUARIO",0,$E95))</f>
        <v>4.9</v>
      </c>
      <c r="H95" s="18" t="n">
        <f aca="false">SUMIFS($G$8:$G$469,$C$8:$C$469,$C95)</f>
        <v>34.3</v>
      </c>
      <c r="I95" s="26" t="n">
        <v>6.67</v>
      </c>
      <c r="J95" s="26"/>
      <c r="K95" s="20" t="n">
        <f aca="false">IF(N($J95)&gt;0,$J95,IF(CENARIO_CLIMA="USUARIO",0,$I95))</f>
        <v>6.67</v>
      </c>
      <c r="L95" s="20" t="n">
        <f aca="false">MIN($K95*FATOR_CHUVA_UTIL,LIMITE_CHUVA_UTIL_DIA)</f>
        <v>5.336</v>
      </c>
      <c r="M95" s="26"/>
      <c r="N95" s="20" t="n">
        <f aca="false">IF(N($M95)&gt;0,$M95,$L95)</f>
        <v>5.336</v>
      </c>
      <c r="O95" s="8" t="str">
        <f aca="false">IF(N($F95)+N($J95)&gt;0,"Serie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5" s="8" t="str">
        <f aca="false">IF(N($M95)&gt;0,"Chuva util informada pelo usuario","MIN(Chuva bruta x FATOR_CHUVA_UTIL ; LIMITE_CHUVA_UTIL_DIA)")</f>
        <v>MIN(Chuva bruta x FATOR_CHUVA_UTIL ; LIMITE_CHUVA_UTIL_DIA)</v>
      </c>
    </row>
    <row r="96" customFormat="false" ht="15" hidden="false" customHeight="false" outlineLevel="0" collapsed="false">
      <c r="B96" s="17" t="n">
        <v>46353</v>
      </c>
      <c r="C96" s="16" t="n">
        <v>13</v>
      </c>
      <c r="D96" s="8" t="s">
        <v>515</v>
      </c>
      <c r="E96" s="26" t="n">
        <v>4.9</v>
      </c>
      <c r="F96" s="26"/>
      <c r="G96" s="20" t="n">
        <f aca="false">IF(N($F96)&gt;0,$F96,IF(CENARIO_CLIMA="USUARIO",0,$E96))</f>
        <v>4.9</v>
      </c>
      <c r="H96" s="18" t="n">
        <f aca="false">SUMIFS($G$8:$G$469,$C$8:$C$469,$C96)</f>
        <v>34.3</v>
      </c>
      <c r="I96" s="26" t="n">
        <v>6.67</v>
      </c>
      <c r="J96" s="26"/>
      <c r="K96" s="20" t="n">
        <f aca="false">IF(N($J96)&gt;0,$J96,IF(CENARIO_CLIMA="USUARIO",0,$I96))</f>
        <v>6.67</v>
      </c>
      <c r="L96" s="20" t="n">
        <f aca="false">MIN($K96*FATOR_CHUVA_UTIL,LIMITE_CHUVA_UTIL_DIA)</f>
        <v>5.336</v>
      </c>
      <c r="M96" s="26"/>
      <c r="N96" s="20" t="n">
        <f aca="false">IF(N($M96)&gt;0,$M96,$L96)</f>
        <v>5.336</v>
      </c>
      <c r="O96" s="8" t="str">
        <f aca="false">IF(N($F96)+N($J96)&gt;0,"Serie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6" s="8" t="str">
        <f aca="false">IF(N($M96)&gt;0,"Chuva util informada pelo usuario","MIN(Chuva bruta x FATOR_CHUVA_UTIL ; LIMITE_CHUVA_UTIL_DIA)")</f>
        <v>MIN(Chuva bruta x FATOR_CHUVA_UTIL ; LIMITE_CHUVA_UTIL_DIA)</v>
      </c>
    </row>
    <row r="97" customFormat="false" ht="15" hidden="false" customHeight="false" outlineLevel="0" collapsed="false">
      <c r="B97" s="17" t="n">
        <v>46354</v>
      </c>
      <c r="C97" s="16" t="n">
        <v>13</v>
      </c>
      <c r="D97" s="8" t="s">
        <v>515</v>
      </c>
      <c r="E97" s="26" t="n">
        <v>4.9</v>
      </c>
      <c r="F97" s="26"/>
      <c r="G97" s="20" t="n">
        <f aca="false">IF(N($F97)&gt;0,$F97,IF(CENARIO_CLIMA="USUARIO",0,$E97))</f>
        <v>4.9</v>
      </c>
      <c r="H97" s="18" t="n">
        <f aca="false">SUMIFS($G$8:$G$469,$C$8:$C$469,$C97)</f>
        <v>34.3</v>
      </c>
      <c r="I97" s="26" t="n">
        <v>6.67</v>
      </c>
      <c r="J97" s="26"/>
      <c r="K97" s="20" t="n">
        <f aca="false">IF(N($J97)&gt;0,$J97,IF(CENARIO_CLIMA="USUARIO",0,$I97))</f>
        <v>6.67</v>
      </c>
      <c r="L97" s="20" t="n">
        <f aca="false">MIN($K97*FATOR_CHUVA_UTIL,LIMITE_CHUVA_UTIL_DIA)</f>
        <v>5.336</v>
      </c>
      <c r="M97" s="26"/>
      <c r="N97" s="20" t="n">
        <f aca="false">IF(N($M97)&gt;0,$M97,$L97)</f>
        <v>5.336</v>
      </c>
      <c r="O97" s="8" t="str">
        <f aca="false">IF(N($F97)+N($J97)&gt;0,"Serie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7" s="8" t="str">
        <f aca="false">IF(N($M97)&gt;0,"Chuva util informada pelo usuario","MIN(Chuva bruta x FATOR_CHUVA_UTIL ; LIMITE_CHUVA_UTIL_DIA)")</f>
        <v>MIN(Chuva bruta x FATOR_CHUVA_UTIL ; LIMITE_CHUVA_UTIL_DIA)</v>
      </c>
    </row>
    <row r="98" customFormat="false" ht="15" hidden="false" customHeight="false" outlineLevel="0" collapsed="false">
      <c r="B98" s="17" t="n">
        <v>46355</v>
      </c>
      <c r="C98" s="16" t="n">
        <v>13</v>
      </c>
      <c r="D98" s="8" t="s">
        <v>515</v>
      </c>
      <c r="E98" s="26" t="n">
        <v>4.9</v>
      </c>
      <c r="F98" s="26"/>
      <c r="G98" s="20" t="n">
        <f aca="false">IF(N($F98)&gt;0,$F98,IF(CENARIO_CLIMA="USUARIO",0,$E98))</f>
        <v>4.9</v>
      </c>
      <c r="H98" s="18" t="n">
        <f aca="false">SUMIFS($G$8:$G$469,$C$8:$C$469,$C98)</f>
        <v>34.3</v>
      </c>
      <c r="I98" s="26" t="n">
        <v>6.67</v>
      </c>
      <c r="J98" s="26"/>
      <c r="K98" s="20" t="n">
        <f aca="false">IF(N($J98)&gt;0,$J98,IF(CENARIO_CLIMA="USUARIO",0,$I98))</f>
        <v>6.67</v>
      </c>
      <c r="L98" s="20" t="n">
        <f aca="false">MIN($K98*FATOR_CHUVA_UTIL,LIMITE_CHUVA_UTIL_DIA)</f>
        <v>5.336</v>
      </c>
      <c r="M98" s="26"/>
      <c r="N98" s="20" t="n">
        <f aca="false">IF(N($M98)&gt;0,$M98,$L98)</f>
        <v>5.336</v>
      </c>
      <c r="O98" s="8" t="str">
        <f aca="false">IF(N($F98)+N($J98)&gt;0,"Serie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8" s="8" t="str">
        <f aca="false">IF(N($M98)&gt;0,"Chuva util informada pelo usuario","MIN(Chuva bruta x FATOR_CHUVA_UTIL ; LIMITE_CHUVA_UTIL_DIA)")</f>
        <v>MIN(Chuva bruta x FATOR_CHUVA_UTIL ; LIMITE_CHUVA_UTIL_DIA)</v>
      </c>
    </row>
    <row r="99" customFormat="false" ht="15" hidden="false" customHeight="false" outlineLevel="0" collapsed="false">
      <c r="B99" s="17" t="n">
        <v>46356</v>
      </c>
      <c r="C99" s="16" t="n">
        <v>14</v>
      </c>
      <c r="D99" s="8" t="s">
        <v>515</v>
      </c>
      <c r="E99" s="26" t="n">
        <v>4.9</v>
      </c>
      <c r="F99" s="26"/>
      <c r="G99" s="20" t="n">
        <f aca="false">IF(N($F99)&gt;0,$F99,IF(CENARIO_CLIMA="USUARIO",0,$E99))</f>
        <v>4.9</v>
      </c>
      <c r="H99" s="18" t="n">
        <f aca="false">SUMIFS($G$8:$G$469,$C$8:$C$469,$C99)</f>
        <v>33.1</v>
      </c>
      <c r="I99" s="26" t="n">
        <v>6.67</v>
      </c>
      <c r="J99" s="26"/>
      <c r="K99" s="20" t="n">
        <f aca="false">IF(N($J99)&gt;0,$J99,IF(CENARIO_CLIMA="USUARIO",0,$I99))</f>
        <v>6.67</v>
      </c>
      <c r="L99" s="20" t="n">
        <f aca="false">MIN($K99*FATOR_CHUVA_UTIL,LIMITE_CHUVA_UTIL_DIA)</f>
        <v>5.336</v>
      </c>
      <c r="M99" s="26"/>
      <c r="N99" s="20" t="n">
        <f aca="false">IF(N($M99)&gt;0,$M99,$L99)</f>
        <v>5.336</v>
      </c>
      <c r="O99" s="8" t="str">
        <f aca="false">IF(N($F99)+N($J99)&gt;0,"Serie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99" s="8" t="str">
        <f aca="false">IF(N($M99)&gt;0,"Chuva util informada pelo usuario","MIN(Chuva bruta x FATOR_CHUVA_UTIL ; LIMITE_CHUVA_UTIL_DIA)")</f>
        <v>MIN(Chuva bruta x FATOR_CHUVA_UTIL ; LIMITE_CHUVA_UTIL_DIA)</v>
      </c>
    </row>
    <row r="100" customFormat="false" ht="15" hidden="false" customHeight="false" outlineLevel="0" collapsed="false">
      <c r="B100" s="17" t="n">
        <v>46357</v>
      </c>
      <c r="C100" s="16" t="n">
        <v>14</v>
      </c>
      <c r="D100" s="8" t="s">
        <v>516</v>
      </c>
      <c r="E100" s="26" t="n">
        <v>4.7</v>
      </c>
      <c r="F100" s="26"/>
      <c r="G100" s="20" t="n">
        <f aca="false">IF(N($F100)&gt;0,$F100,IF(CENARIO_CLIMA="USUARIO",0,$E100))</f>
        <v>4.7</v>
      </c>
      <c r="H100" s="18" t="n">
        <f aca="false">SUMIFS($G$8:$G$469,$C$8:$C$469,$C100)</f>
        <v>33.1</v>
      </c>
      <c r="I100" s="26" t="n">
        <v>6.94</v>
      </c>
      <c r="J100" s="26"/>
      <c r="K100" s="20" t="n">
        <f aca="false">IF(N($J100)&gt;0,$J100,IF(CENARIO_CLIMA="USUARIO",0,$I100))</f>
        <v>6.94</v>
      </c>
      <c r="L100" s="20" t="n">
        <f aca="false">MIN($K100*FATOR_CHUVA_UTIL,LIMITE_CHUVA_UTIL_DIA)</f>
        <v>5.552</v>
      </c>
      <c r="M100" s="26"/>
      <c r="N100" s="20" t="n">
        <f aca="false">IF(N($M100)&gt;0,$M100,$L100)</f>
        <v>5.552</v>
      </c>
      <c r="O100" s="8" t="str">
        <f aca="false">IF(N($F100)+N($J100)&gt;0,"Serie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0" s="8" t="str">
        <f aca="false">IF(N($M100)&gt;0,"Chuva util informada pelo usuario","MIN(Chuva bruta x FATOR_CHUVA_UTIL ; LIMITE_CHUVA_UTIL_DIA)")</f>
        <v>MIN(Chuva bruta x FATOR_CHUVA_UTIL ; LIMITE_CHUVA_UTIL_DIA)</v>
      </c>
    </row>
    <row r="101" customFormat="false" ht="15" hidden="false" customHeight="false" outlineLevel="0" collapsed="false">
      <c r="B101" s="17" t="n">
        <v>46358</v>
      </c>
      <c r="C101" s="16" t="n">
        <v>14</v>
      </c>
      <c r="D101" s="8" t="s">
        <v>516</v>
      </c>
      <c r="E101" s="26" t="n">
        <v>4.7</v>
      </c>
      <c r="F101" s="26"/>
      <c r="G101" s="20" t="n">
        <f aca="false">IF(N($F101)&gt;0,$F101,IF(CENARIO_CLIMA="USUARIO",0,$E101))</f>
        <v>4.7</v>
      </c>
      <c r="H101" s="18" t="n">
        <f aca="false">SUMIFS($G$8:$G$469,$C$8:$C$469,$C101)</f>
        <v>33.1</v>
      </c>
      <c r="I101" s="26" t="n">
        <v>6.94</v>
      </c>
      <c r="J101" s="26"/>
      <c r="K101" s="20" t="n">
        <f aca="false">IF(N($J101)&gt;0,$J101,IF(CENARIO_CLIMA="USUARIO",0,$I101))</f>
        <v>6.94</v>
      </c>
      <c r="L101" s="20" t="n">
        <f aca="false">MIN($K101*FATOR_CHUVA_UTIL,LIMITE_CHUVA_UTIL_DIA)</f>
        <v>5.552</v>
      </c>
      <c r="M101" s="26"/>
      <c r="N101" s="20" t="n">
        <f aca="false">IF(N($M101)&gt;0,$M101,$L101)</f>
        <v>5.552</v>
      </c>
      <c r="O101" s="8" t="str">
        <f aca="false">IF(N($F101)+N($J101)&gt;0,"Serie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1" s="8" t="str">
        <f aca="false">IF(N($M101)&gt;0,"Chuva util informada pelo usuario","MIN(Chuva bruta x FATOR_CHUVA_UTIL ; LIMITE_CHUVA_UTIL_DIA)")</f>
        <v>MIN(Chuva bruta x FATOR_CHUVA_UTIL ; LIMITE_CHUVA_UTIL_DIA)</v>
      </c>
    </row>
    <row r="102" customFormat="false" ht="15" hidden="false" customHeight="false" outlineLevel="0" collapsed="false">
      <c r="B102" s="17" t="n">
        <v>46359</v>
      </c>
      <c r="C102" s="16" t="n">
        <v>14</v>
      </c>
      <c r="D102" s="8" t="s">
        <v>516</v>
      </c>
      <c r="E102" s="26" t="n">
        <v>4.7</v>
      </c>
      <c r="F102" s="26"/>
      <c r="G102" s="20" t="n">
        <f aca="false">IF(N($F102)&gt;0,$F102,IF(CENARIO_CLIMA="USUARIO",0,$E102))</f>
        <v>4.7</v>
      </c>
      <c r="H102" s="18" t="n">
        <f aca="false">SUMIFS($G$8:$G$469,$C$8:$C$469,$C102)</f>
        <v>33.1</v>
      </c>
      <c r="I102" s="26" t="n">
        <v>6.94</v>
      </c>
      <c r="J102" s="26"/>
      <c r="K102" s="20" t="n">
        <f aca="false">IF(N($J102)&gt;0,$J102,IF(CENARIO_CLIMA="USUARIO",0,$I102))</f>
        <v>6.94</v>
      </c>
      <c r="L102" s="20" t="n">
        <f aca="false">MIN($K102*FATOR_CHUVA_UTIL,LIMITE_CHUVA_UTIL_DIA)</f>
        <v>5.552</v>
      </c>
      <c r="M102" s="26"/>
      <c r="N102" s="20" t="n">
        <f aca="false">IF(N($M102)&gt;0,$M102,$L102)</f>
        <v>5.552</v>
      </c>
      <c r="O102" s="8" t="str">
        <f aca="false">IF(N($F102)+N($J102)&gt;0,"Serie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2" s="8" t="str">
        <f aca="false">IF(N($M102)&gt;0,"Chuva util informada pelo usuario","MIN(Chuva bruta x FATOR_CHUVA_UTIL ; LIMITE_CHUVA_UTIL_DIA)")</f>
        <v>MIN(Chuva bruta x FATOR_CHUVA_UTIL ; LIMITE_CHUVA_UTIL_DIA)</v>
      </c>
    </row>
    <row r="103" customFormat="false" ht="15" hidden="false" customHeight="false" outlineLevel="0" collapsed="false">
      <c r="B103" s="17" t="n">
        <v>46360</v>
      </c>
      <c r="C103" s="16" t="n">
        <v>14</v>
      </c>
      <c r="D103" s="8" t="s">
        <v>516</v>
      </c>
      <c r="E103" s="26" t="n">
        <v>4.7</v>
      </c>
      <c r="F103" s="26"/>
      <c r="G103" s="20" t="n">
        <f aca="false">IF(N($F103)&gt;0,$F103,IF(CENARIO_CLIMA="USUARIO",0,$E103))</f>
        <v>4.7</v>
      </c>
      <c r="H103" s="18" t="n">
        <f aca="false">SUMIFS($G$8:$G$469,$C$8:$C$469,$C103)</f>
        <v>33.1</v>
      </c>
      <c r="I103" s="26" t="n">
        <v>6.94</v>
      </c>
      <c r="J103" s="26"/>
      <c r="K103" s="20" t="n">
        <f aca="false">IF(N($J103)&gt;0,$J103,IF(CENARIO_CLIMA="USUARIO",0,$I103))</f>
        <v>6.94</v>
      </c>
      <c r="L103" s="20" t="n">
        <f aca="false">MIN($K103*FATOR_CHUVA_UTIL,LIMITE_CHUVA_UTIL_DIA)</f>
        <v>5.552</v>
      </c>
      <c r="M103" s="26"/>
      <c r="N103" s="20" t="n">
        <f aca="false">IF(N($M103)&gt;0,$M103,$L103)</f>
        <v>5.552</v>
      </c>
      <c r="O103" s="8" t="str">
        <f aca="false">IF(N($F103)+N($J103)&gt;0,"Serie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3" s="8" t="str">
        <f aca="false">IF(N($M103)&gt;0,"Chuva util informada pelo usuario","MIN(Chuva bruta x FATOR_CHUVA_UTIL ; LIMITE_CHUVA_UTIL_DIA)")</f>
        <v>MIN(Chuva bruta x FATOR_CHUVA_UTIL ; LIMITE_CHUVA_UTIL_DIA)</v>
      </c>
    </row>
    <row r="104" customFormat="false" ht="15" hidden="false" customHeight="false" outlineLevel="0" collapsed="false">
      <c r="B104" s="17" t="n">
        <v>46361</v>
      </c>
      <c r="C104" s="16" t="n">
        <v>14</v>
      </c>
      <c r="D104" s="8" t="s">
        <v>516</v>
      </c>
      <c r="E104" s="26" t="n">
        <v>4.7</v>
      </c>
      <c r="F104" s="26"/>
      <c r="G104" s="20" t="n">
        <f aca="false">IF(N($F104)&gt;0,$F104,IF(CENARIO_CLIMA="USUARIO",0,$E104))</f>
        <v>4.7</v>
      </c>
      <c r="H104" s="18" t="n">
        <f aca="false">SUMIFS($G$8:$G$469,$C$8:$C$469,$C104)</f>
        <v>33.1</v>
      </c>
      <c r="I104" s="26" t="n">
        <v>6.94</v>
      </c>
      <c r="J104" s="26"/>
      <c r="K104" s="20" t="n">
        <f aca="false">IF(N($J104)&gt;0,$J104,IF(CENARIO_CLIMA="USUARIO",0,$I104))</f>
        <v>6.94</v>
      </c>
      <c r="L104" s="20" t="n">
        <f aca="false">MIN($K104*FATOR_CHUVA_UTIL,LIMITE_CHUVA_UTIL_DIA)</f>
        <v>5.552</v>
      </c>
      <c r="M104" s="26"/>
      <c r="N104" s="20" t="n">
        <f aca="false">IF(N($M104)&gt;0,$M104,$L104)</f>
        <v>5.552</v>
      </c>
      <c r="O104" s="8" t="str">
        <f aca="false">IF(N($F104)+N($J104)&gt;0,"Serie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4" s="8" t="str">
        <f aca="false">IF(N($M104)&gt;0,"Chuva util informada pelo usuario","MIN(Chuva bruta x FATOR_CHUVA_UTIL ; LIMITE_CHUVA_UTIL_DIA)")</f>
        <v>MIN(Chuva bruta x FATOR_CHUVA_UTIL ; LIMITE_CHUVA_UTIL_DIA)</v>
      </c>
    </row>
    <row r="105" customFormat="false" ht="15" hidden="false" customHeight="false" outlineLevel="0" collapsed="false">
      <c r="B105" s="17" t="n">
        <v>46362</v>
      </c>
      <c r="C105" s="16" t="n">
        <v>14</v>
      </c>
      <c r="D105" s="8" t="s">
        <v>516</v>
      </c>
      <c r="E105" s="26" t="n">
        <v>4.7</v>
      </c>
      <c r="F105" s="26"/>
      <c r="G105" s="20" t="n">
        <f aca="false">IF(N($F105)&gt;0,$F105,IF(CENARIO_CLIMA="USUARIO",0,$E105))</f>
        <v>4.7</v>
      </c>
      <c r="H105" s="18" t="n">
        <f aca="false">SUMIFS($G$8:$G$469,$C$8:$C$469,$C105)</f>
        <v>33.1</v>
      </c>
      <c r="I105" s="26" t="n">
        <v>6.94</v>
      </c>
      <c r="J105" s="26"/>
      <c r="K105" s="20" t="n">
        <f aca="false">IF(N($J105)&gt;0,$J105,IF(CENARIO_CLIMA="USUARIO",0,$I105))</f>
        <v>6.94</v>
      </c>
      <c r="L105" s="20" t="n">
        <f aca="false">MIN($K105*FATOR_CHUVA_UTIL,LIMITE_CHUVA_UTIL_DIA)</f>
        <v>5.552</v>
      </c>
      <c r="M105" s="26"/>
      <c r="N105" s="20" t="n">
        <f aca="false">IF(N($M105)&gt;0,$M105,$L105)</f>
        <v>5.552</v>
      </c>
      <c r="O105" s="8" t="str">
        <f aca="false">IF(N($F105)+N($J105)&gt;0,"Serie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5" s="8" t="str">
        <f aca="false">IF(N($M105)&gt;0,"Chuva util informada pelo usuario","MIN(Chuva bruta x FATOR_CHUVA_UTIL ; LIMITE_CHUVA_UTIL_DIA)")</f>
        <v>MIN(Chuva bruta x FATOR_CHUVA_UTIL ; LIMITE_CHUVA_UTIL_DIA)</v>
      </c>
    </row>
    <row r="106" customFormat="false" ht="15" hidden="false" customHeight="false" outlineLevel="0" collapsed="false">
      <c r="B106" s="17" t="n">
        <v>46363</v>
      </c>
      <c r="C106" s="16" t="n">
        <v>15</v>
      </c>
      <c r="D106" s="8" t="s">
        <v>516</v>
      </c>
      <c r="E106" s="26" t="n">
        <v>4.7</v>
      </c>
      <c r="F106" s="26"/>
      <c r="G106" s="20" t="n">
        <f aca="false">IF(N($F106)&gt;0,$F106,IF(CENARIO_CLIMA="USUARIO",0,$E106))</f>
        <v>4.7</v>
      </c>
      <c r="H106" s="18" t="n">
        <f aca="false">SUMIFS($G$8:$G$469,$C$8:$C$469,$C106)</f>
        <v>32.9</v>
      </c>
      <c r="I106" s="26" t="n">
        <v>6.94</v>
      </c>
      <c r="J106" s="26"/>
      <c r="K106" s="20" t="n">
        <f aca="false">IF(N($J106)&gt;0,$J106,IF(CENARIO_CLIMA="USUARIO",0,$I106))</f>
        <v>6.94</v>
      </c>
      <c r="L106" s="20" t="n">
        <f aca="false">MIN($K106*FATOR_CHUVA_UTIL,LIMITE_CHUVA_UTIL_DIA)</f>
        <v>5.552</v>
      </c>
      <c r="M106" s="26"/>
      <c r="N106" s="20" t="n">
        <f aca="false">IF(N($M106)&gt;0,$M106,$L106)</f>
        <v>5.552</v>
      </c>
      <c r="O106" s="8" t="str">
        <f aca="false">IF(N($F106)+N($J106)&gt;0,"Serie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6" s="8" t="str">
        <f aca="false">IF(N($M106)&gt;0,"Chuva util informada pelo usuario","MIN(Chuva bruta x FATOR_CHUVA_UTIL ; LIMITE_CHUVA_UTIL_DIA)")</f>
        <v>MIN(Chuva bruta x FATOR_CHUVA_UTIL ; LIMITE_CHUVA_UTIL_DIA)</v>
      </c>
    </row>
    <row r="107" customFormat="false" ht="15" hidden="false" customHeight="false" outlineLevel="0" collapsed="false">
      <c r="B107" s="17" t="n">
        <v>46364</v>
      </c>
      <c r="C107" s="16" t="n">
        <v>15</v>
      </c>
      <c r="D107" s="8" t="s">
        <v>516</v>
      </c>
      <c r="E107" s="26" t="n">
        <v>4.7</v>
      </c>
      <c r="F107" s="26"/>
      <c r="G107" s="20" t="n">
        <f aca="false">IF(N($F107)&gt;0,$F107,IF(CENARIO_CLIMA="USUARIO",0,$E107))</f>
        <v>4.7</v>
      </c>
      <c r="H107" s="18" t="n">
        <f aca="false">SUMIFS($G$8:$G$469,$C$8:$C$469,$C107)</f>
        <v>32.9</v>
      </c>
      <c r="I107" s="26" t="n">
        <v>6.94</v>
      </c>
      <c r="J107" s="26"/>
      <c r="K107" s="20" t="n">
        <f aca="false">IF(N($J107)&gt;0,$J107,IF(CENARIO_CLIMA="USUARIO",0,$I107))</f>
        <v>6.94</v>
      </c>
      <c r="L107" s="20" t="n">
        <f aca="false">MIN($K107*FATOR_CHUVA_UTIL,LIMITE_CHUVA_UTIL_DIA)</f>
        <v>5.552</v>
      </c>
      <c r="M107" s="26"/>
      <c r="N107" s="20" t="n">
        <f aca="false">IF(N($M107)&gt;0,$M107,$L107)</f>
        <v>5.552</v>
      </c>
      <c r="O107" s="8" t="str">
        <f aca="false">IF(N($F107)+N($J107)&gt;0,"Serie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7" s="8" t="str">
        <f aca="false">IF(N($M107)&gt;0,"Chuva util informada pelo usuario","MIN(Chuva bruta x FATOR_CHUVA_UTIL ; LIMITE_CHUVA_UTIL_DIA)")</f>
        <v>MIN(Chuva bruta x FATOR_CHUVA_UTIL ; LIMITE_CHUVA_UTIL_DIA)</v>
      </c>
    </row>
    <row r="108" customFormat="false" ht="15" hidden="false" customHeight="false" outlineLevel="0" collapsed="false">
      <c r="B108" s="17" t="n">
        <v>46365</v>
      </c>
      <c r="C108" s="16" t="n">
        <v>15</v>
      </c>
      <c r="D108" s="8" t="s">
        <v>516</v>
      </c>
      <c r="E108" s="26" t="n">
        <v>4.7</v>
      </c>
      <c r="F108" s="26"/>
      <c r="G108" s="20" t="n">
        <f aca="false">IF(N($F108)&gt;0,$F108,IF(CENARIO_CLIMA="USUARIO",0,$E108))</f>
        <v>4.7</v>
      </c>
      <c r="H108" s="18" t="n">
        <f aca="false">SUMIFS($G$8:$G$469,$C$8:$C$469,$C108)</f>
        <v>32.9</v>
      </c>
      <c r="I108" s="26" t="n">
        <v>6.94</v>
      </c>
      <c r="J108" s="26"/>
      <c r="K108" s="20" t="n">
        <f aca="false">IF(N($J108)&gt;0,$J108,IF(CENARIO_CLIMA="USUARIO",0,$I108))</f>
        <v>6.94</v>
      </c>
      <c r="L108" s="20" t="n">
        <f aca="false">MIN($K108*FATOR_CHUVA_UTIL,LIMITE_CHUVA_UTIL_DIA)</f>
        <v>5.552</v>
      </c>
      <c r="M108" s="26"/>
      <c r="N108" s="20" t="n">
        <f aca="false">IF(N($M108)&gt;0,$M108,$L108)</f>
        <v>5.552</v>
      </c>
      <c r="O108" s="8" t="str">
        <f aca="false">IF(N($F108)+N($J108)&gt;0,"Serie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8" s="8" t="str">
        <f aca="false">IF(N($M108)&gt;0,"Chuva util informada pelo usuario","MIN(Chuva bruta x FATOR_CHUVA_UTIL ; LIMITE_CHUVA_UTIL_DIA)")</f>
        <v>MIN(Chuva bruta x FATOR_CHUVA_UTIL ; LIMITE_CHUVA_UTIL_DIA)</v>
      </c>
    </row>
    <row r="109" customFormat="false" ht="15" hidden="false" customHeight="false" outlineLevel="0" collapsed="false">
      <c r="B109" s="17" t="n">
        <v>46366</v>
      </c>
      <c r="C109" s="16" t="n">
        <v>15</v>
      </c>
      <c r="D109" s="8" t="s">
        <v>516</v>
      </c>
      <c r="E109" s="26" t="n">
        <v>4.7</v>
      </c>
      <c r="F109" s="26"/>
      <c r="G109" s="20" t="n">
        <f aca="false">IF(N($F109)&gt;0,$F109,IF(CENARIO_CLIMA="USUARIO",0,$E109))</f>
        <v>4.7</v>
      </c>
      <c r="H109" s="18" t="n">
        <f aca="false">SUMIFS($G$8:$G$469,$C$8:$C$469,$C109)</f>
        <v>32.9</v>
      </c>
      <c r="I109" s="26" t="n">
        <v>6.94</v>
      </c>
      <c r="J109" s="26"/>
      <c r="K109" s="20" t="n">
        <f aca="false">IF(N($J109)&gt;0,$J109,IF(CENARIO_CLIMA="USUARIO",0,$I109))</f>
        <v>6.94</v>
      </c>
      <c r="L109" s="20" t="n">
        <f aca="false">MIN($K109*FATOR_CHUVA_UTIL,LIMITE_CHUVA_UTIL_DIA)</f>
        <v>5.552</v>
      </c>
      <c r="M109" s="26"/>
      <c r="N109" s="20" t="n">
        <f aca="false">IF(N($M109)&gt;0,$M109,$L109)</f>
        <v>5.552</v>
      </c>
      <c r="O109" s="8" t="str">
        <f aca="false">IF(N($F109)+N($J109)&gt;0,"Serie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09" s="8" t="str">
        <f aca="false">IF(N($M109)&gt;0,"Chuva util informada pelo usuario","MIN(Chuva bruta x FATOR_CHUVA_UTIL ; LIMITE_CHUVA_UTIL_DIA)")</f>
        <v>MIN(Chuva bruta x FATOR_CHUVA_UTIL ; LIMITE_CHUVA_UTIL_DIA)</v>
      </c>
    </row>
    <row r="110" customFormat="false" ht="15" hidden="false" customHeight="false" outlineLevel="0" collapsed="false">
      <c r="B110" s="17" t="n">
        <v>46367</v>
      </c>
      <c r="C110" s="16" t="n">
        <v>15</v>
      </c>
      <c r="D110" s="8" t="s">
        <v>516</v>
      </c>
      <c r="E110" s="26" t="n">
        <v>4.7</v>
      </c>
      <c r="F110" s="26"/>
      <c r="G110" s="20" t="n">
        <f aca="false">IF(N($F110)&gt;0,$F110,IF(CENARIO_CLIMA="USUARIO",0,$E110))</f>
        <v>4.7</v>
      </c>
      <c r="H110" s="18" t="n">
        <f aca="false">SUMIFS($G$8:$G$469,$C$8:$C$469,$C110)</f>
        <v>32.9</v>
      </c>
      <c r="I110" s="26" t="n">
        <v>6.94</v>
      </c>
      <c r="J110" s="26"/>
      <c r="K110" s="20" t="n">
        <f aca="false">IF(N($J110)&gt;0,$J110,IF(CENARIO_CLIMA="USUARIO",0,$I110))</f>
        <v>6.94</v>
      </c>
      <c r="L110" s="20" t="n">
        <f aca="false">MIN($K110*FATOR_CHUVA_UTIL,LIMITE_CHUVA_UTIL_DIA)</f>
        <v>5.552</v>
      </c>
      <c r="M110" s="26"/>
      <c r="N110" s="20" t="n">
        <f aca="false">IF(N($M110)&gt;0,$M110,$L110)</f>
        <v>5.552</v>
      </c>
      <c r="O110" s="8" t="str">
        <f aca="false">IF(N($F110)+N($J110)&gt;0,"Serie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0" s="8" t="str">
        <f aca="false">IF(N($M110)&gt;0,"Chuva util informada pelo usuario","MIN(Chuva bruta x FATOR_CHUVA_UTIL ; LIMITE_CHUVA_UTIL_DIA)")</f>
        <v>MIN(Chuva bruta x FATOR_CHUVA_UTIL ; LIMITE_CHUVA_UTIL_DIA)</v>
      </c>
    </row>
    <row r="111" customFormat="false" ht="15" hidden="false" customHeight="false" outlineLevel="0" collapsed="false">
      <c r="B111" s="17" t="n">
        <v>46368</v>
      </c>
      <c r="C111" s="16" t="n">
        <v>15</v>
      </c>
      <c r="D111" s="8" t="s">
        <v>516</v>
      </c>
      <c r="E111" s="26" t="n">
        <v>4.7</v>
      </c>
      <c r="F111" s="26"/>
      <c r="G111" s="20" t="n">
        <f aca="false">IF(N($F111)&gt;0,$F111,IF(CENARIO_CLIMA="USUARIO",0,$E111))</f>
        <v>4.7</v>
      </c>
      <c r="H111" s="18" t="n">
        <f aca="false">SUMIFS($G$8:$G$469,$C$8:$C$469,$C111)</f>
        <v>32.9</v>
      </c>
      <c r="I111" s="26" t="n">
        <v>6.94</v>
      </c>
      <c r="J111" s="26"/>
      <c r="K111" s="20" t="n">
        <f aca="false">IF(N($J111)&gt;0,$J111,IF(CENARIO_CLIMA="USUARIO",0,$I111))</f>
        <v>6.94</v>
      </c>
      <c r="L111" s="20" t="n">
        <f aca="false">MIN($K111*FATOR_CHUVA_UTIL,LIMITE_CHUVA_UTIL_DIA)</f>
        <v>5.552</v>
      </c>
      <c r="M111" s="26"/>
      <c r="N111" s="20" t="n">
        <f aca="false">IF(N($M111)&gt;0,$M111,$L111)</f>
        <v>5.552</v>
      </c>
      <c r="O111" s="8" t="str">
        <f aca="false">IF(N($F111)+N($J111)&gt;0,"Serie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1" s="8" t="str">
        <f aca="false">IF(N($M111)&gt;0,"Chuva util informada pelo usuario","MIN(Chuva bruta x FATOR_CHUVA_UTIL ; LIMITE_CHUVA_UTIL_DIA)")</f>
        <v>MIN(Chuva bruta x FATOR_CHUVA_UTIL ; LIMITE_CHUVA_UTIL_DIA)</v>
      </c>
    </row>
    <row r="112" customFormat="false" ht="15" hidden="false" customHeight="false" outlineLevel="0" collapsed="false">
      <c r="B112" s="17" t="n">
        <v>46369</v>
      </c>
      <c r="C112" s="16" t="n">
        <v>15</v>
      </c>
      <c r="D112" s="8" t="s">
        <v>516</v>
      </c>
      <c r="E112" s="26" t="n">
        <v>4.7</v>
      </c>
      <c r="F112" s="26"/>
      <c r="G112" s="20" t="n">
        <f aca="false">IF(N($F112)&gt;0,$F112,IF(CENARIO_CLIMA="USUARIO",0,$E112))</f>
        <v>4.7</v>
      </c>
      <c r="H112" s="18" t="n">
        <f aca="false">SUMIFS($G$8:$G$469,$C$8:$C$469,$C112)</f>
        <v>32.9</v>
      </c>
      <c r="I112" s="26" t="n">
        <v>6.94</v>
      </c>
      <c r="J112" s="26"/>
      <c r="K112" s="20" t="n">
        <f aca="false">IF(N($J112)&gt;0,$J112,IF(CENARIO_CLIMA="USUARIO",0,$I112))</f>
        <v>6.94</v>
      </c>
      <c r="L112" s="20" t="n">
        <f aca="false">MIN($K112*FATOR_CHUVA_UTIL,LIMITE_CHUVA_UTIL_DIA)</f>
        <v>5.552</v>
      </c>
      <c r="M112" s="26"/>
      <c r="N112" s="20" t="n">
        <f aca="false">IF(N($M112)&gt;0,$M112,$L112)</f>
        <v>5.552</v>
      </c>
      <c r="O112" s="8" t="str">
        <f aca="false">IF(N($F112)+N($J112)&gt;0,"Serie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2" s="8" t="str">
        <f aca="false">IF(N($M112)&gt;0,"Chuva util informada pelo usuario","MIN(Chuva bruta x FATOR_CHUVA_UTIL ; LIMITE_CHUVA_UTIL_DIA)")</f>
        <v>MIN(Chuva bruta x FATOR_CHUVA_UTIL ; LIMITE_CHUVA_UTIL_DIA)</v>
      </c>
    </row>
    <row r="113" customFormat="false" ht="15" hidden="false" customHeight="false" outlineLevel="0" collapsed="false">
      <c r="B113" s="17" t="n">
        <v>46370</v>
      </c>
      <c r="C113" s="16" t="n">
        <v>16</v>
      </c>
      <c r="D113" s="8" t="s">
        <v>516</v>
      </c>
      <c r="E113" s="26" t="n">
        <v>4.7</v>
      </c>
      <c r="F113" s="26"/>
      <c r="G113" s="20" t="n">
        <f aca="false">IF(N($F113)&gt;0,$F113,IF(CENARIO_CLIMA="USUARIO",0,$E113))</f>
        <v>4.7</v>
      </c>
      <c r="H113" s="18" t="n">
        <f aca="false">SUMIFS($G$8:$G$469,$C$8:$C$469,$C113)</f>
        <v>32.9</v>
      </c>
      <c r="I113" s="26" t="n">
        <v>6.94</v>
      </c>
      <c r="J113" s="26"/>
      <c r="K113" s="20" t="n">
        <f aca="false">IF(N($J113)&gt;0,$J113,IF(CENARIO_CLIMA="USUARIO",0,$I113))</f>
        <v>6.94</v>
      </c>
      <c r="L113" s="20" t="n">
        <f aca="false">MIN($K113*FATOR_CHUVA_UTIL,LIMITE_CHUVA_UTIL_DIA)</f>
        <v>5.552</v>
      </c>
      <c r="M113" s="26"/>
      <c r="N113" s="20" t="n">
        <f aca="false">IF(N($M113)&gt;0,$M113,$L113)</f>
        <v>5.552</v>
      </c>
      <c r="O113" s="8" t="str">
        <f aca="false">IF(N($F113)+N($J113)&gt;0,"Serie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3" s="8" t="str">
        <f aca="false">IF(N($M113)&gt;0,"Chuva util informada pelo usuario","MIN(Chuva bruta x FATOR_CHUVA_UTIL ; LIMITE_CHUVA_UTIL_DIA)")</f>
        <v>MIN(Chuva bruta x FATOR_CHUVA_UTIL ; LIMITE_CHUVA_UTIL_DIA)</v>
      </c>
    </row>
    <row r="114" customFormat="false" ht="15" hidden="false" customHeight="false" outlineLevel="0" collapsed="false">
      <c r="B114" s="17" t="n">
        <v>46371</v>
      </c>
      <c r="C114" s="16" t="n">
        <v>16</v>
      </c>
      <c r="D114" s="8" t="s">
        <v>516</v>
      </c>
      <c r="E114" s="26" t="n">
        <v>4.7</v>
      </c>
      <c r="F114" s="26"/>
      <c r="G114" s="20" t="n">
        <f aca="false">IF(N($F114)&gt;0,$F114,IF(CENARIO_CLIMA="USUARIO",0,$E114))</f>
        <v>4.7</v>
      </c>
      <c r="H114" s="18" t="n">
        <f aca="false">SUMIFS($G$8:$G$469,$C$8:$C$469,$C114)</f>
        <v>32.9</v>
      </c>
      <c r="I114" s="26" t="n">
        <v>6.94</v>
      </c>
      <c r="J114" s="26"/>
      <c r="K114" s="20" t="n">
        <f aca="false">IF(N($J114)&gt;0,$J114,IF(CENARIO_CLIMA="USUARIO",0,$I114))</f>
        <v>6.94</v>
      </c>
      <c r="L114" s="20" t="n">
        <f aca="false">MIN($K114*FATOR_CHUVA_UTIL,LIMITE_CHUVA_UTIL_DIA)</f>
        <v>5.552</v>
      </c>
      <c r="M114" s="26"/>
      <c r="N114" s="20" t="n">
        <f aca="false">IF(N($M114)&gt;0,$M114,$L114)</f>
        <v>5.552</v>
      </c>
      <c r="O114" s="8" t="str">
        <f aca="false">IF(N($F114)+N($J114)&gt;0,"Serie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4" s="8" t="str">
        <f aca="false">IF(N($M114)&gt;0,"Chuva util informada pelo usuario","MIN(Chuva bruta x FATOR_CHUVA_UTIL ; LIMITE_CHUVA_UTIL_DIA)")</f>
        <v>MIN(Chuva bruta x FATOR_CHUVA_UTIL ; LIMITE_CHUVA_UTIL_DIA)</v>
      </c>
    </row>
    <row r="115" customFormat="false" ht="15" hidden="false" customHeight="false" outlineLevel="0" collapsed="false">
      <c r="B115" s="17" t="n">
        <v>46372</v>
      </c>
      <c r="C115" s="16" t="n">
        <v>16</v>
      </c>
      <c r="D115" s="8" t="s">
        <v>516</v>
      </c>
      <c r="E115" s="26" t="n">
        <v>4.7</v>
      </c>
      <c r="F115" s="26"/>
      <c r="G115" s="20" t="n">
        <f aca="false">IF(N($F115)&gt;0,$F115,IF(CENARIO_CLIMA="USUARIO",0,$E115))</f>
        <v>4.7</v>
      </c>
      <c r="H115" s="18" t="n">
        <f aca="false">SUMIFS($G$8:$G$469,$C$8:$C$469,$C115)</f>
        <v>32.9</v>
      </c>
      <c r="I115" s="26" t="n">
        <v>6.94</v>
      </c>
      <c r="J115" s="26"/>
      <c r="K115" s="20" t="n">
        <f aca="false">IF(N($J115)&gt;0,$J115,IF(CENARIO_CLIMA="USUARIO",0,$I115))</f>
        <v>6.94</v>
      </c>
      <c r="L115" s="20" t="n">
        <f aca="false">MIN($K115*FATOR_CHUVA_UTIL,LIMITE_CHUVA_UTIL_DIA)</f>
        <v>5.552</v>
      </c>
      <c r="M115" s="26"/>
      <c r="N115" s="20" t="n">
        <f aca="false">IF(N($M115)&gt;0,$M115,$L115)</f>
        <v>5.552</v>
      </c>
      <c r="O115" s="8" t="str">
        <f aca="false">IF(N($F115)+N($J115)&gt;0,"Serie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5" s="8" t="str">
        <f aca="false">IF(N($M115)&gt;0,"Chuva util informada pelo usuario","MIN(Chuva bruta x FATOR_CHUVA_UTIL ; LIMITE_CHUVA_UTIL_DIA)")</f>
        <v>MIN(Chuva bruta x FATOR_CHUVA_UTIL ; LIMITE_CHUVA_UTIL_DIA)</v>
      </c>
    </row>
    <row r="116" customFormat="false" ht="15" hidden="false" customHeight="false" outlineLevel="0" collapsed="false">
      <c r="B116" s="17" t="n">
        <v>46373</v>
      </c>
      <c r="C116" s="16" t="n">
        <v>16</v>
      </c>
      <c r="D116" s="8" t="s">
        <v>516</v>
      </c>
      <c r="E116" s="26" t="n">
        <v>4.7</v>
      </c>
      <c r="F116" s="26"/>
      <c r="G116" s="20" t="n">
        <f aca="false">IF(N($F116)&gt;0,$F116,IF(CENARIO_CLIMA="USUARIO",0,$E116))</f>
        <v>4.7</v>
      </c>
      <c r="H116" s="18" t="n">
        <f aca="false">SUMIFS($G$8:$G$469,$C$8:$C$469,$C116)</f>
        <v>32.9</v>
      </c>
      <c r="I116" s="26" t="n">
        <v>6.94</v>
      </c>
      <c r="J116" s="26"/>
      <c r="K116" s="20" t="n">
        <f aca="false">IF(N($J116)&gt;0,$J116,IF(CENARIO_CLIMA="USUARIO",0,$I116))</f>
        <v>6.94</v>
      </c>
      <c r="L116" s="20" t="n">
        <f aca="false">MIN($K116*FATOR_CHUVA_UTIL,LIMITE_CHUVA_UTIL_DIA)</f>
        <v>5.552</v>
      </c>
      <c r="M116" s="26"/>
      <c r="N116" s="20" t="n">
        <f aca="false">IF(N($M116)&gt;0,$M116,$L116)</f>
        <v>5.552</v>
      </c>
      <c r="O116" s="8" t="str">
        <f aca="false">IF(N($F116)+N($J116)&gt;0,"Serie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6" s="8" t="str">
        <f aca="false">IF(N($M116)&gt;0,"Chuva util informada pelo usuario","MIN(Chuva bruta x FATOR_CHUVA_UTIL ; LIMITE_CHUVA_UTIL_DIA)")</f>
        <v>MIN(Chuva bruta x FATOR_CHUVA_UTIL ; LIMITE_CHUVA_UTIL_DIA)</v>
      </c>
    </row>
    <row r="117" customFormat="false" ht="15" hidden="false" customHeight="false" outlineLevel="0" collapsed="false">
      <c r="B117" s="17" t="n">
        <v>46374</v>
      </c>
      <c r="C117" s="16" t="n">
        <v>16</v>
      </c>
      <c r="D117" s="8" t="s">
        <v>516</v>
      </c>
      <c r="E117" s="26" t="n">
        <v>4.7</v>
      </c>
      <c r="F117" s="26"/>
      <c r="G117" s="20" t="n">
        <f aca="false">IF(N($F117)&gt;0,$F117,IF(CENARIO_CLIMA="USUARIO",0,$E117))</f>
        <v>4.7</v>
      </c>
      <c r="H117" s="18" t="n">
        <f aca="false">SUMIFS($G$8:$G$469,$C$8:$C$469,$C117)</f>
        <v>32.9</v>
      </c>
      <c r="I117" s="26" t="n">
        <v>6.94</v>
      </c>
      <c r="J117" s="26"/>
      <c r="K117" s="20" t="n">
        <f aca="false">IF(N($J117)&gt;0,$J117,IF(CENARIO_CLIMA="USUARIO",0,$I117))</f>
        <v>6.94</v>
      </c>
      <c r="L117" s="20" t="n">
        <f aca="false">MIN($K117*FATOR_CHUVA_UTIL,LIMITE_CHUVA_UTIL_DIA)</f>
        <v>5.552</v>
      </c>
      <c r="M117" s="26"/>
      <c r="N117" s="20" t="n">
        <f aca="false">IF(N($M117)&gt;0,$M117,$L117)</f>
        <v>5.552</v>
      </c>
      <c r="O117" s="8" t="str">
        <f aca="false">IF(N($F117)+N($J117)&gt;0,"Serie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7" s="8" t="str">
        <f aca="false">IF(N($M117)&gt;0,"Chuva util informada pelo usuario","MIN(Chuva bruta x FATOR_CHUVA_UTIL ; LIMITE_CHUVA_UTIL_DIA)")</f>
        <v>MIN(Chuva bruta x FATOR_CHUVA_UTIL ; LIMITE_CHUVA_UTIL_DIA)</v>
      </c>
    </row>
    <row r="118" customFormat="false" ht="15" hidden="false" customHeight="false" outlineLevel="0" collapsed="false">
      <c r="B118" s="17" t="n">
        <v>46375</v>
      </c>
      <c r="C118" s="16" t="n">
        <v>16</v>
      </c>
      <c r="D118" s="8" t="s">
        <v>516</v>
      </c>
      <c r="E118" s="26" t="n">
        <v>4.7</v>
      </c>
      <c r="F118" s="26"/>
      <c r="G118" s="20" t="n">
        <f aca="false">IF(N($F118)&gt;0,$F118,IF(CENARIO_CLIMA="USUARIO",0,$E118))</f>
        <v>4.7</v>
      </c>
      <c r="H118" s="18" t="n">
        <f aca="false">SUMIFS($G$8:$G$469,$C$8:$C$469,$C118)</f>
        <v>32.9</v>
      </c>
      <c r="I118" s="26" t="n">
        <v>6.94</v>
      </c>
      <c r="J118" s="26"/>
      <c r="K118" s="20" t="n">
        <f aca="false">IF(N($J118)&gt;0,$J118,IF(CENARIO_CLIMA="USUARIO",0,$I118))</f>
        <v>6.94</v>
      </c>
      <c r="L118" s="20" t="n">
        <f aca="false">MIN($K118*FATOR_CHUVA_UTIL,LIMITE_CHUVA_UTIL_DIA)</f>
        <v>5.552</v>
      </c>
      <c r="M118" s="26"/>
      <c r="N118" s="20" t="n">
        <f aca="false">IF(N($M118)&gt;0,$M118,$L118)</f>
        <v>5.552</v>
      </c>
      <c r="O118" s="8" t="str">
        <f aca="false">IF(N($F118)+N($J118)&gt;0,"Serie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8" s="8" t="str">
        <f aca="false">IF(N($M118)&gt;0,"Chuva util informada pelo usuario","MIN(Chuva bruta x FATOR_CHUVA_UTIL ; LIMITE_CHUVA_UTIL_DIA)")</f>
        <v>MIN(Chuva bruta x FATOR_CHUVA_UTIL ; LIMITE_CHUVA_UTIL_DIA)</v>
      </c>
    </row>
    <row r="119" customFormat="false" ht="15" hidden="false" customHeight="false" outlineLevel="0" collapsed="false">
      <c r="B119" s="17" t="n">
        <v>46376</v>
      </c>
      <c r="C119" s="16" t="n">
        <v>16</v>
      </c>
      <c r="D119" s="8" t="s">
        <v>516</v>
      </c>
      <c r="E119" s="26" t="n">
        <v>4.7</v>
      </c>
      <c r="F119" s="26"/>
      <c r="G119" s="20" t="n">
        <f aca="false">IF(N($F119)&gt;0,$F119,IF(CENARIO_CLIMA="USUARIO",0,$E119))</f>
        <v>4.7</v>
      </c>
      <c r="H119" s="18" t="n">
        <f aca="false">SUMIFS($G$8:$G$469,$C$8:$C$469,$C119)</f>
        <v>32.9</v>
      </c>
      <c r="I119" s="26" t="n">
        <v>6.94</v>
      </c>
      <c r="J119" s="26"/>
      <c r="K119" s="20" t="n">
        <f aca="false">IF(N($J119)&gt;0,$J119,IF(CENARIO_CLIMA="USUARIO",0,$I119))</f>
        <v>6.94</v>
      </c>
      <c r="L119" s="20" t="n">
        <f aca="false">MIN($K119*FATOR_CHUVA_UTIL,LIMITE_CHUVA_UTIL_DIA)</f>
        <v>5.552</v>
      </c>
      <c r="M119" s="26"/>
      <c r="N119" s="20" t="n">
        <f aca="false">IF(N($M119)&gt;0,$M119,$L119)</f>
        <v>5.552</v>
      </c>
      <c r="O119" s="8" t="str">
        <f aca="false">IF(N($F119)+N($J119)&gt;0,"Serie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19" s="8" t="str">
        <f aca="false">IF(N($M119)&gt;0,"Chuva util informada pelo usuario","MIN(Chuva bruta x FATOR_CHUVA_UTIL ; LIMITE_CHUVA_UTIL_DIA)")</f>
        <v>MIN(Chuva bruta x FATOR_CHUVA_UTIL ; LIMITE_CHUVA_UTIL_DIA)</v>
      </c>
    </row>
    <row r="120" customFormat="false" ht="15" hidden="false" customHeight="false" outlineLevel="0" collapsed="false">
      <c r="B120" s="17" t="n">
        <v>46377</v>
      </c>
      <c r="C120" s="16" t="n">
        <v>17</v>
      </c>
      <c r="D120" s="8" t="s">
        <v>516</v>
      </c>
      <c r="E120" s="26" t="n">
        <v>4.7</v>
      </c>
      <c r="F120" s="26"/>
      <c r="G120" s="20" t="n">
        <f aca="false">IF(N($F120)&gt;0,$F120,IF(CENARIO_CLIMA="USUARIO",0,$E120))</f>
        <v>4.7</v>
      </c>
      <c r="H120" s="18" t="n">
        <f aca="false">SUMIFS($G$8:$G$469,$C$8:$C$469,$C120)</f>
        <v>32.9</v>
      </c>
      <c r="I120" s="26" t="n">
        <v>6.94</v>
      </c>
      <c r="J120" s="26"/>
      <c r="K120" s="20" t="n">
        <f aca="false">IF(N($J120)&gt;0,$J120,IF(CENARIO_CLIMA="USUARIO",0,$I120))</f>
        <v>6.94</v>
      </c>
      <c r="L120" s="20" t="n">
        <f aca="false">MIN($K120*FATOR_CHUVA_UTIL,LIMITE_CHUVA_UTIL_DIA)</f>
        <v>5.552</v>
      </c>
      <c r="M120" s="26"/>
      <c r="N120" s="20" t="n">
        <f aca="false">IF(N($M120)&gt;0,$M120,$L120)</f>
        <v>5.552</v>
      </c>
      <c r="O120" s="8" t="str">
        <f aca="false">IF(N($F120)+N($J120)&gt;0,"Serie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0" s="8" t="str">
        <f aca="false">IF(N($M120)&gt;0,"Chuva util informada pelo usuario","MIN(Chuva bruta x FATOR_CHUVA_UTIL ; LIMITE_CHUVA_UTIL_DIA)")</f>
        <v>MIN(Chuva bruta x FATOR_CHUVA_UTIL ; LIMITE_CHUVA_UTIL_DIA)</v>
      </c>
    </row>
    <row r="121" customFormat="false" ht="15" hidden="false" customHeight="false" outlineLevel="0" collapsed="false">
      <c r="B121" s="17" t="n">
        <v>46378</v>
      </c>
      <c r="C121" s="16" t="n">
        <v>17</v>
      </c>
      <c r="D121" s="8" t="s">
        <v>516</v>
      </c>
      <c r="E121" s="26" t="n">
        <v>4.7</v>
      </c>
      <c r="F121" s="26"/>
      <c r="G121" s="20" t="n">
        <f aca="false">IF(N($F121)&gt;0,$F121,IF(CENARIO_CLIMA="USUARIO",0,$E121))</f>
        <v>4.7</v>
      </c>
      <c r="H121" s="18" t="n">
        <f aca="false">SUMIFS($G$8:$G$469,$C$8:$C$469,$C121)</f>
        <v>32.9</v>
      </c>
      <c r="I121" s="26" t="n">
        <v>6.94</v>
      </c>
      <c r="J121" s="26"/>
      <c r="K121" s="20" t="n">
        <f aca="false">IF(N($J121)&gt;0,$J121,IF(CENARIO_CLIMA="USUARIO",0,$I121))</f>
        <v>6.94</v>
      </c>
      <c r="L121" s="20" t="n">
        <f aca="false">MIN($K121*FATOR_CHUVA_UTIL,LIMITE_CHUVA_UTIL_DIA)</f>
        <v>5.552</v>
      </c>
      <c r="M121" s="26"/>
      <c r="N121" s="20" t="n">
        <f aca="false">IF(N($M121)&gt;0,$M121,$L121)</f>
        <v>5.552</v>
      </c>
      <c r="O121" s="8" t="str">
        <f aca="false">IF(N($F121)+N($J121)&gt;0,"Serie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1" s="8" t="str">
        <f aca="false">IF(N($M121)&gt;0,"Chuva util informada pelo usuario","MIN(Chuva bruta x FATOR_CHUVA_UTIL ; LIMITE_CHUVA_UTIL_DIA)")</f>
        <v>MIN(Chuva bruta x FATOR_CHUVA_UTIL ; LIMITE_CHUVA_UTIL_DIA)</v>
      </c>
    </row>
    <row r="122" customFormat="false" ht="15" hidden="false" customHeight="false" outlineLevel="0" collapsed="false">
      <c r="B122" s="17" t="n">
        <v>46379</v>
      </c>
      <c r="C122" s="16" t="n">
        <v>17</v>
      </c>
      <c r="D122" s="8" t="s">
        <v>516</v>
      </c>
      <c r="E122" s="26" t="n">
        <v>4.7</v>
      </c>
      <c r="F122" s="26"/>
      <c r="G122" s="20" t="n">
        <f aca="false">IF(N($F122)&gt;0,$F122,IF(CENARIO_CLIMA="USUARIO",0,$E122))</f>
        <v>4.7</v>
      </c>
      <c r="H122" s="18" t="n">
        <f aca="false">SUMIFS($G$8:$G$469,$C$8:$C$469,$C122)</f>
        <v>32.9</v>
      </c>
      <c r="I122" s="26" t="n">
        <v>6.94</v>
      </c>
      <c r="J122" s="26"/>
      <c r="K122" s="20" t="n">
        <f aca="false">IF(N($J122)&gt;0,$J122,IF(CENARIO_CLIMA="USUARIO",0,$I122))</f>
        <v>6.94</v>
      </c>
      <c r="L122" s="20" t="n">
        <f aca="false">MIN($K122*FATOR_CHUVA_UTIL,LIMITE_CHUVA_UTIL_DIA)</f>
        <v>5.552</v>
      </c>
      <c r="M122" s="26"/>
      <c r="N122" s="20" t="n">
        <f aca="false">IF(N($M122)&gt;0,$M122,$L122)</f>
        <v>5.552</v>
      </c>
      <c r="O122" s="8" t="str">
        <f aca="false">IF(N($F122)+N($J122)&gt;0,"Serie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2" s="8" t="str">
        <f aca="false">IF(N($M122)&gt;0,"Chuva util informada pelo usuario","MIN(Chuva bruta x FATOR_CHUVA_UTIL ; LIMITE_CHUVA_UTIL_DIA)")</f>
        <v>MIN(Chuva bruta x FATOR_CHUVA_UTIL ; LIMITE_CHUVA_UTIL_DIA)</v>
      </c>
    </row>
    <row r="123" customFormat="false" ht="15" hidden="false" customHeight="false" outlineLevel="0" collapsed="false">
      <c r="B123" s="17" t="n">
        <v>46380</v>
      </c>
      <c r="C123" s="16" t="n">
        <v>17</v>
      </c>
      <c r="D123" s="8" t="s">
        <v>516</v>
      </c>
      <c r="E123" s="26" t="n">
        <v>4.7</v>
      </c>
      <c r="F123" s="26"/>
      <c r="G123" s="20" t="n">
        <f aca="false">IF(N($F123)&gt;0,$F123,IF(CENARIO_CLIMA="USUARIO",0,$E123))</f>
        <v>4.7</v>
      </c>
      <c r="H123" s="18" t="n">
        <f aca="false">SUMIFS($G$8:$G$469,$C$8:$C$469,$C123)</f>
        <v>32.9</v>
      </c>
      <c r="I123" s="26" t="n">
        <v>6.94</v>
      </c>
      <c r="J123" s="26"/>
      <c r="K123" s="20" t="n">
        <f aca="false">IF(N($J123)&gt;0,$J123,IF(CENARIO_CLIMA="USUARIO",0,$I123))</f>
        <v>6.94</v>
      </c>
      <c r="L123" s="20" t="n">
        <f aca="false">MIN($K123*FATOR_CHUVA_UTIL,LIMITE_CHUVA_UTIL_DIA)</f>
        <v>5.552</v>
      </c>
      <c r="M123" s="26"/>
      <c r="N123" s="20" t="n">
        <f aca="false">IF(N($M123)&gt;0,$M123,$L123)</f>
        <v>5.552</v>
      </c>
      <c r="O123" s="8" t="str">
        <f aca="false">IF(N($F123)+N($J123)&gt;0,"Serie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3" s="8" t="str">
        <f aca="false">IF(N($M123)&gt;0,"Chuva util informada pelo usuario","MIN(Chuva bruta x FATOR_CHUVA_UTIL ; LIMITE_CHUVA_UTIL_DIA)")</f>
        <v>MIN(Chuva bruta x FATOR_CHUVA_UTIL ; LIMITE_CHUVA_UTIL_DIA)</v>
      </c>
    </row>
    <row r="124" customFormat="false" ht="15" hidden="false" customHeight="false" outlineLevel="0" collapsed="false">
      <c r="B124" s="17" t="n">
        <v>46381</v>
      </c>
      <c r="C124" s="16" t="n">
        <v>17</v>
      </c>
      <c r="D124" s="8" t="s">
        <v>516</v>
      </c>
      <c r="E124" s="26" t="n">
        <v>4.7</v>
      </c>
      <c r="F124" s="26"/>
      <c r="G124" s="20" t="n">
        <f aca="false">IF(N($F124)&gt;0,$F124,IF(CENARIO_CLIMA="USUARIO",0,$E124))</f>
        <v>4.7</v>
      </c>
      <c r="H124" s="18" t="n">
        <f aca="false">SUMIFS($G$8:$G$469,$C$8:$C$469,$C124)</f>
        <v>32.9</v>
      </c>
      <c r="I124" s="26" t="n">
        <v>6.94</v>
      </c>
      <c r="J124" s="26"/>
      <c r="K124" s="20" t="n">
        <f aca="false">IF(N($J124)&gt;0,$J124,IF(CENARIO_CLIMA="USUARIO",0,$I124))</f>
        <v>6.94</v>
      </c>
      <c r="L124" s="20" t="n">
        <f aca="false">MIN($K124*FATOR_CHUVA_UTIL,LIMITE_CHUVA_UTIL_DIA)</f>
        <v>5.552</v>
      </c>
      <c r="M124" s="26"/>
      <c r="N124" s="20" t="n">
        <f aca="false">IF(N($M124)&gt;0,$M124,$L124)</f>
        <v>5.552</v>
      </c>
      <c r="O124" s="8" t="str">
        <f aca="false">IF(N($F124)+N($J124)&gt;0,"Serie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4" s="8" t="str">
        <f aca="false">IF(N($M124)&gt;0,"Chuva util informada pelo usuario","MIN(Chuva bruta x FATOR_CHUVA_UTIL ; LIMITE_CHUVA_UTIL_DIA)")</f>
        <v>MIN(Chuva bruta x FATOR_CHUVA_UTIL ; LIMITE_CHUVA_UTIL_DIA)</v>
      </c>
    </row>
    <row r="125" customFormat="false" ht="15" hidden="false" customHeight="false" outlineLevel="0" collapsed="false">
      <c r="B125" s="17" t="n">
        <v>46382</v>
      </c>
      <c r="C125" s="16" t="n">
        <v>17</v>
      </c>
      <c r="D125" s="8" t="s">
        <v>516</v>
      </c>
      <c r="E125" s="26" t="n">
        <v>4.7</v>
      </c>
      <c r="F125" s="26"/>
      <c r="G125" s="20" t="n">
        <f aca="false">IF(N($F125)&gt;0,$F125,IF(CENARIO_CLIMA="USUARIO",0,$E125))</f>
        <v>4.7</v>
      </c>
      <c r="H125" s="18" t="n">
        <f aca="false">SUMIFS($G$8:$G$469,$C$8:$C$469,$C125)</f>
        <v>32.9</v>
      </c>
      <c r="I125" s="26" t="n">
        <v>6.94</v>
      </c>
      <c r="J125" s="26"/>
      <c r="K125" s="20" t="n">
        <f aca="false">IF(N($J125)&gt;0,$J125,IF(CENARIO_CLIMA="USUARIO",0,$I125))</f>
        <v>6.94</v>
      </c>
      <c r="L125" s="20" t="n">
        <f aca="false">MIN($K125*FATOR_CHUVA_UTIL,LIMITE_CHUVA_UTIL_DIA)</f>
        <v>5.552</v>
      </c>
      <c r="M125" s="26"/>
      <c r="N125" s="20" t="n">
        <f aca="false">IF(N($M125)&gt;0,$M125,$L125)</f>
        <v>5.552</v>
      </c>
      <c r="O125" s="8" t="str">
        <f aca="false">IF(N($F125)+N($J125)&gt;0,"Serie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5" s="8" t="str">
        <f aca="false">IF(N($M125)&gt;0,"Chuva util informada pelo usuario","MIN(Chuva bruta x FATOR_CHUVA_UTIL ; LIMITE_CHUVA_UTIL_DIA)")</f>
        <v>MIN(Chuva bruta x FATOR_CHUVA_UTIL ; LIMITE_CHUVA_UTIL_DIA)</v>
      </c>
    </row>
    <row r="126" customFormat="false" ht="15" hidden="false" customHeight="false" outlineLevel="0" collapsed="false">
      <c r="B126" s="17" t="n">
        <v>46383</v>
      </c>
      <c r="C126" s="16" t="n">
        <v>17</v>
      </c>
      <c r="D126" s="8" t="s">
        <v>516</v>
      </c>
      <c r="E126" s="26" t="n">
        <v>4.7</v>
      </c>
      <c r="F126" s="26"/>
      <c r="G126" s="20" t="n">
        <f aca="false">IF(N($F126)&gt;0,$F126,IF(CENARIO_CLIMA="USUARIO",0,$E126))</f>
        <v>4.7</v>
      </c>
      <c r="H126" s="18" t="n">
        <f aca="false">SUMIFS($G$8:$G$469,$C$8:$C$469,$C126)</f>
        <v>32.9</v>
      </c>
      <c r="I126" s="26" t="n">
        <v>6.94</v>
      </c>
      <c r="J126" s="26"/>
      <c r="K126" s="20" t="n">
        <f aca="false">IF(N($J126)&gt;0,$J126,IF(CENARIO_CLIMA="USUARIO",0,$I126))</f>
        <v>6.94</v>
      </c>
      <c r="L126" s="20" t="n">
        <f aca="false">MIN($K126*FATOR_CHUVA_UTIL,LIMITE_CHUVA_UTIL_DIA)</f>
        <v>5.552</v>
      </c>
      <c r="M126" s="26"/>
      <c r="N126" s="20" t="n">
        <f aca="false">IF(N($M126)&gt;0,$M126,$L126)</f>
        <v>5.552</v>
      </c>
      <c r="O126" s="8" t="str">
        <f aca="false">IF(N($F126)+N($J126)&gt;0,"Serie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6" s="8" t="str">
        <f aca="false">IF(N($M126)&gt;0,"Chuva util informada pelo usuario","MIN(Chuva bruta x FATOR_CHUVA_UTIL ; LIMITE_CHUVA_UTIL_DIA)")</f>
        <v>MIN(Chuva bruta x FATOR_CHUVA_UTIL ; LIMITE_CHUVA_UTIL_DIA)</v>
      </c>
    </row>
    <row r="127" customFormat="false" ht="15" hidden="false" customHeight="false" outlineLevel="0" collapsed="false">
      <c r="B127" s="17" t="n">
        <v>46384</v>
      </c>
      <c r="C127" s="16" t="n">
        <v>18</v>
      </c>
      <c r="D127" s="8" t="s">
        <v>516</v>
      </c>
      <c r="E127" s="26" t="n">
        <v>4.7</v>
      </c>
      <c r="F127" s="26"/>
      <c r="G127" s="20" t="n">
        <f aca="false">IF(N($F127)&gt;0,$F127,IF(CENARIO_CLIMA="USUARIO",0,$E127))</f>
        <v>4.7</v>
      </c>
      <c r="H127" s="18" t="n">
        <f aca="false">SUMIFS($G$8:$G$469,$C$8:$C$469,$C127)</f>
        <v>33.2</v>
      </c>
      <c r="I127" s="26" t="n">
        <v>6.94</v>
      </c>
      <c r="J127" s="26"/>
      <c r="K127" s="20" t="n">
        <f aca="false">IF(N($J127)&gt;0,$J127,IF(CENARIO_CLIMA="USUARIO",0,$I127))</f>
        <v>6.94</v>
      </c>
      <c r="L127" s="20" t="n">
        <f aca="false">MIN($K127*FATOR_CHUVA_UTIL,LIMITE_CHUVA_UTIL_DIA)</f>
        <v>5.552</v>
      </c>
      <c r="M127" s="26"/>
      <c r="N127" s="20" t="n">
        <f aca="false">IF(N($M127)&gt;0,$M127,$L127)</f>
        <v>5.552</v>
      </c>
      <c r="O127" s="8" t="str">
        <f aca="false">IF(N($F127)+N($J127)&gt;0,"Serie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7" s="8" t="str">
        <f aca="false">IF(N($M127)&gt;0,"Chuva util informada pelo usuario","MIN(Chuva bruta x FATOR_CHUVA_UTIL ; LIMITE_CHUVA_UTIL_DIA)")</f>
        <v>MIN(Chuva bruta x FATOR_CHUVA_UTIL ; LIMITE_CHUVA_UTIL_DIA)</v>
      </c>
    </row>
    <row r="128" customFormat="false" ht="15" hidden="false" customHeight="false" outlineLevel="0" collapsed="false">
      <c r="B128" s="17" t="n">
        <v>46385</v>
      </c>
      <c r="C128" s="16" t="n">
        <v>18</v>
      </c>
      <c r="D128" s="8" t="s">
        <v>516</v>
      </c>
      <c r="E128" s="26" t="n">
        <v>4.7</v>
      </c>
      <c r="F128" s="26"/>
      <c r="G128" s="20" t="n">
        <f aca="false">IF(N($F128)&gt;0,$F128,IF(CENARIO_CLIMA="USUARIO",0,$E128))</f>
        <v>4.7</v>
      </c>
      <c r="H128" s="18" t="n">
        <f aca="false">SUMIFS($G$8:$G$469,$C$8:$C$469,$C128)</f>
        <v>33.2</v>
      </c>
      <c r="I128" s="26" t="n">
        <v>6.94</v>
      </c>
      <c r="J128" s="26"/>
      <c r="K128" s="20" t="n">
        <f aca="false">IF(N($J128)&gt;0,$J128,IF(CENARIO_CLIMA="USUARIO",0,$I128))</f>
        <v>6.94</v>
      </c>
      <c r="L128" s="20" t="n">
        <f aca="false">MIN($K128*FATOR_CHUVA_UTIL,LIMITE_CHUVA_UTIL_DIA)</f>
        <v>5.552</v>
      </c>
      <c r="M128" s="26"/>
      <c r="N128" s="20" t="n">
        <f aca="false">IF(N($M128)&gt;0,$M128,$L128)</f>
        <v>5.552</v>
      </c>
      <c r="O128" s="8" t="str">
        <f aca="false">IF(N($F128)+N($J128)&gt;0,"Serie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8" s="8" t="str">
        <f aca="false">IF(N($M128)&gt;0,"Chuva util informada pelo usuario","MIN(Chuva bruta x FATOR_CHUVA_UTIL ; LIMITE_CHUVA_UTIL_DIA)")</f>
        <v>MIN(Chuva bruta x FATOR_CHUVA_UTIL ; LIMITE_CHUVA_UTIL_DIA)</v>
      </c>
    </row>
    <row r="129" customFormat="false" ht="15" hidden="false" customHeight="false" outlineLevel="0" collapsed="false">
      <c r="B129" s="17" t="n">
        <v>46386</v>
      </c>
      <c r="C129" s="16" t="n">
        <v>18</v>
      </c>
      <c r="D129" s="8" t="s">
        <v>516</v>
      </c>
      <c r="E129" s="26" t="n">
        <v>4.7</v>
      </c>
      <c r="F129" s="26"/>
      <c r="G129" s="20" t="n">
        <f aca="false">IF(N($F129)&gt;0,$F129,IF(CENARIO_CLIMA="USUARIO",0,$E129))</f>
        <v>4.7</v>
      </c>
      <c r="H129" s="18" t="n">
        <f aca="false">SUMIFS($G$8:$G$469,$C$8:$C$469,$C129)</f>
        <v>33.2</v>
      </c>
      <c r="I129" s="26" t="n">
        <v>6.94</v>
      </c>
      <c r="J129" s="26"/>
      <c r="K129" s="20" t="n">
        <f aca="false">IF(N($J129)&gt;0,$J129,IF(CENARIO_CLIMA="USUARIO",0,$I129))</f>
        <v>6.94</v>
      </c>
      <c r="L129" s="20" t="n">
        <f aca="false">MIN($K129*FATOR_CHUVA_UTIL,LIMITE_CHUVA_UTIL_DIA)</f>
        <v>5.552</v>
      </c>
      <c r="M129" s="26"/>
      <c r="N129" s="20" t="n">
        <f aca="false">IF(N($M129)&gt;0,$M129,$L129)</f>
        <v>5.552</v>
      </c>
      <c r="O129" s="8" t="str">
        <f aca="false">IF(N($F129)+N($J129)&gt;0,"Serie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29" s="8" t="str">
        <f aca="false">IF(N($M129)&gt;0,"Chuva util informada pelo usuario","MIN(Chuva bruta x FATOR_CHUVA_UTIL ; LIMITE_CHUVA_UTIL_DIA)")</f>
        <v>MIN(Chuva bruta x FATOR_CHUVA_UTIL ; LIMITE_CHUVA_UTIL_DIA)</v>
      </c>
    </row>
    <row r="130" customFormat="false" ht="15" hidden="false" customHeight="false" outlineLevel="0" collapsed="false">
      <c r="B130" s="17" t="n">
        <v>46387</v>
      </c>
      <c r="C130" s="16" t="n">
        <v>18</v>
      </c>
      <c r="D130" s="8" t="s">
        <v>516</v>
      </c>
      <c r="E130" s="26" t="n">
        <v>4.7</v>
      </c>
      <c r="F130" s="26"/>
      <c r="G130" s="20" t="n">
        <f aca="false">IF(N($F130)&gt;0,$F130,IF(CENARIO_CLIMA="USUARIO",0,$E130))</f>
        <v>4.7</v>
      </c>
      <c r="H130" s="18" t="n">
        <f aca="false">SUMIFS($G$8:$G$469,$C$8:$C$469,$C130)</f>
        <v>33.2</v>
      </c>
      <c r="I130" s="26" t="n">
        <v>6.94</v>
      </c>
      <c r="J130" s="26"/>
      <c r="K130" s="20" t="n">
        <f aca="false">IF(N($J130)&gt;0,$J130,IF(CENARIO_CLIMA="USUARIO",0,$I130))</f>
        <v>6.94</v>
      </c>
      <c r="L130" s="20" t="n">
        <f aca="false">MIN($K130*FATOR_CHUVA_UTIL,LIMITE_CHUVA_UTIL_DIA)</f>
        <v>5.552</v>
      </c>
      <c r="M130" s="26"/>
      <c r="N130" s="20" t="n">
        <f aca="false">IF(N($M130)&gt;0,$M130,$L130)</f>
        <v>5.552</v>
      </c>
      <c r="O130" s="8" t="str">
        <f aca="false">IF(N($F130)+N($J130)&gt;0,"Serie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0" s="8" t="str">
        <f aca="false">IF(N($M130)&gt;0,"Chuva util informada pelo usuario","MIN(Chuva bruta x FATOR_CHUVA_UTIL ; LIMITE_CHUVA_UTIL_DIA)")</f>
        <v>MIN(Chuva bruta x FATOR_CHUVA_UTIL ; LIMITE_CHUVA_UTIL_DIA)</v>
      </c>
    </row>
    <row r="131" customFormat="false" ht="15" hidden="false" customHeight="false" outlineLevel="0" collapsed="false">
      <c r="B131" s="17" t="n">
        <v>46388</v>
      </c>
      <c r="C131" s="16" t="n">
        <v>18</v>
      </c>
      <c r="D131" s="8" t="s">
        <v>517</v>
      </c>
      <c r="E131" s="26" t="n">
        <v>4.8</v>
      </c>
      <c r="F131" s="26"/>
      <c r="G131" s="20" t="n">
        <f aca="false">IF(N($F131)&gt;0,$F131,IF(CENARIO_CLIMA="USUARIO",0,$E131))</f>
        <v>4.8</v>
      </c>
      <c r="H131" s="18" t="n">
        <f aca="false">SUMIFS($G$8:$G$469,$C$8:$C$469,$C131)</f>
        <v>33.2</v>
      </c>
      <c r="I131" s="26" t="n">
        <v>6.45</v>
      </c>
      <c r="J131" s="26"/>
      <c r="K131" s="20" t="n">
        <f aca="false">IF(N($J131)&gt;0,$J131,IF(CENARIO_CLIMA="USUARIO",0,$I131))</f>
        <v>6.45</v>
      </c>
      <c r="L131" s="20" t="n">
        <f aca="false">MIN($K131*FATOR_CHUVA_UTIL,LIMITE_CHUVA_UTIL_DIA)</f>
        <v>5.16</v>
      </c>
      <c r="M131" s="26"/>
      <c r="N131" s="20" t="n">
        <f aca="false">IF(N($M131)&gt;0,$M131,$L131)</f>
        <v>5.16</v>
      </c>
      <c r="O131" s="8" t="str">
        <f aca="false">IF(N($F131)+N($J131)&gt;0,"Serie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1" s="8" t="str">
        <f aca="false">IF(N($M131)&gt;0,"Chuva util informada pelo usuario","MIN(Chuva bruta x FATOR_CHUVA_UTIL ; LIMITE_CHUVA_UTIL_DIA)")</f>
        <v>MIN(Chuva bruta x FATOR_CHUVA_UTIL ; LIMITE_CHUVA_UTIL_DIA)</v>
      </c>
    </row>
    <row r="132" customFormat="false" ht="15" hidden="false" customHeight="false" outlineLevel="0" collapsed="false">
      <c r="B132" s="17" t="n">
        <v>46389</v>
      </c>
      <c r="C132" s="16" t="n">
        <v>18</v>
      </c>
      <c r="D132" s="8" t="s">
        <v>517</v>
      </c>
      <c r="E132" s="26" t="n">
        <v>4.8</v>
      </c>
      <c r="F132" s="26"/>
      <c r="G132" s="20" t="n">
        <f aca="false">IF(N($F132)&gt;0,$F132,IF(CENARIO_CLIMA="USUARIO",0,$E132))</f>
        <v>4.8</v>
      </c>
      <c r="H132" s="18" t="n">
        <f aca="false">SUMIFS($G$8:$G$469,$C$8:$C$469,$C132)</f>
        <v>33.2</v>
      </c>
      <c r="I132" s="26" t="n">
        <v>6.45</v>
      </c>
      <c r="J132" s="26"/>
      <c r="K132" s="20" t="n">
        <f aca="false">IF(N($J132)&gt;0,$J132,IF(CENARIO_CLIMA="USUARIO",0,$I132))</f>
        <v>6.45</v>
      </c>
      <c r="L132" s="20" t="n">
        <f aca="false">MIN($K132*FATOR_CHUVA_UTIL,LIMITE_CHUVA_UTIL_DIA)</f>
        <v>5.16</v>
      </c>
      <c r="M132" s="26"/>
      <c r="N132" s="20" t="n">
        <f aca="false">IF(N($M132)&gt;0,$M132,$L132)</f>
        <v>5.16</v>
      </c>
      <c r="O132" s="8" t="str">
        <f aca="false">IF(N($F132)+N($J132)&gt;0,"Serie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2" s="8" t="str">
        <f aca="false">IF(N($M132)&gt;0,"Chuva util informada pelo usuario","MIN(Chuva bruta x FATOR_CHUVA_UTIL ; LIMITE_CHUVA_UTIL_DIA)")</f>
        <v>MIN(Chuva bruta x FATOR_CHUVA_UTIL ; LIMITE_CHUVA_UTIL_DIA)</v>
      </c>
    </row>
    <row r="133" customFormat="false" ht="15" hidden="false" customHeight="false" outlineLevel="0" collapsed="false">
      <c r="B133" s="17" t="n">
        <v>46390</v>
      </c>
      <c r="C133" s="16" t="n">
        <v>18</v>
      </c>
      <c r="D133" s="8" t="s">
        <v>517</v>
      </c>
      <c r="E133" s="26" t="n">
        <v>4.8</v>
      </c>
      <c r="F133" s="26"/>
      <c r="G133" s="20" t="n">
        <f aca="false">IF(N($F133)&gt;0,$F133,IF(CENARIO_CLIMA="USUARIO",0,$E133))</f>
        <v>4.8</v>
      </c>
      <c r="H133" s="18" t="n">
        <f aca="false">SUMIFS($G$8:$G$469,$C$8:$C$469,$C133)</f>
        <v>33.2</v>
      </c>
      <c r="I133" s="26" t="n">
        <v>6.45</v>
      </c>
      <c r="J133" s="26"/>
      <c r="K133" s="20" t="n">
        <f aca="false">IF(N($J133)&gt;0,$J133,IF(CENARIO_CLIMA="USUARIO",0,$I133))</f>
        <v>6.45</v>
      </c>
      <c r="L133" s="20" t="n">
        <f aca="false">MIN($K133*FATOR_CHUVA_UTIL,LIMITE_CHUVA_UTIL_DIA)</f>
        <v>5.16</v>
      </c>
      <c r="M133" s="26"/>
      <c r="N133" s="20" t="n">
        <f aca="false">IF(N($M133)&gt;0,$M133,$L133)</f>
        <v>5.16</v>
      </c>
      <c r="O133" s="8" t="str">
        <f aca="false">IF(N($F133)+N($J133)&gt;0,"Serie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3" s="8" t="str">
        <f aca="false">IF(N($M133)&gt;0,"Chuva util informada pelo usuario","MIN(Chuva bruta x FATOR_CHUVA_UTIL ; LIMITE_CHUVA_UTIL_DIA)")</f>
        <v>MIN(Chuva bruta x FATOR_CHUVA_UTIL ; LIMITE_CHUVA_UTIL_DIA)</v>
      </c>
    </row>
    <row r="134" customFormat="false" ht="15" hidden="false" customHeight="false" outlineLevel="0" collapsed="false">
      <c r="B134" s="17" t="n">
        <v>46391</v>
      </c>
      <c r="C134" s="16" t="n">
        <v>19</v>
      </c>
      <c r="D134" s="8" t="s">
        <v>517</v>
      </c>
      <c r="E134" s="26" t="n">
        <v>4.8</v>
      </c>
      <c r="F134" s="26"/>
      <c r="G134" s="20" t="n">
        <f aca="false">IF(N($F134)&gt;0,$F134,IF(CENARIO_CLIMA="USUARIO",0,$E134))</f>
        <v>4.8</v>
      </c>
      <c r="H134" s="18" t="n">
        <f aca="false">SUMIFS($G$8:$G$469,$C$8:$C$469,$C134)</f>
        <v>33.6</v>
      </c>
      <c r="I134" s="26" t="n">
        <v>6.45</v>
      </c>
      <c r="J134" s="26"/>
      <c r="K134" s="20" t="n">
        <f aca="false">IF(N($J134)&gt;0,$J134,IF(CENARIO_CLIMA="USUARIO",0,$I134))</f>
        <v>6.45</v>
      </c>
      <c r="L134" s="20" t="n">
        <f aca="false">MIN($K134*FATOR_CHUVA_UTIL,LIMITE_CHUVA_UTIL_DIA)</f>
        <v>5.16</v>
      </c>
      <c r="M134" s="26"/>
      <c r="N134" s="20" t="n">
        <f aca="false">IF(N($M134)&gt;0,$M134,$L134)</f>
        <v>5.16</v>
      </c>
      <c r="O134" s="8" t="str">
        <f aca="false">IF(N($F134)+N($J134)&gt;0,"Serie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4" s="8" t="str">
        <f aca="false">IF(N($M134)&gt;0,"Chuva util informada pelo usuario","MIN(Chuva bruta x FATOR_CHUVA_UTIL ; LIMITE_CHUVA_UTIL_DIA)")</f>
        <v>MIN(Chuva bruta x FATOR_CHUVA_UTIL ; LIMITE_CHUVA_UTIL_DIA)</v>
      </c>
    </row>
    <row r="135" customFormat="false" ht="15" hidden="false" customHeight="false" outlineLevel="0" collapsed="false">
      <c r="B135" s="17" t="n">
        <v>46392</v>
      </c>
      <c r="C135" s="16" t="n">
        <v>19</v>
      </c>
      <c r="D135" s="8" t="s">
        <v>517</v>
      </c>
      <c r="E135" s="26" t="n">
        <v>4.8</v>
      </c>
      <c r="F135" s="26"/>
      <c r="G135" s="20" t="n">
        <f aca="false">IF(N($F135)&gt;0,$F135,IF(CENARIO_CLIMA="USUARIO",0,$E135))</f>
        <v>4.8</v>
      </c>
      <c r="H135" s="18" t="n">
        <f aca="false">SUMIFS($G$8:$G$469,$C$8:$C$469,$C135)</f>
        <v>33.6</v>
      </c>
      <c r="I135" s="26" t="n">
        <v>6.45</v>
      </c>
      <c r="J135" s="26"/>
      <c r="K135" s="20" t="n">
        <f aca="false">IF(N($J135)&gt;0,$J135,IF(CENARIO_CLIMA="USUARIO",0,$I135))</f>
        <v>6.45</v>
      </c>
      <c r="L135" s="20" t="n">
        <f aca="false">MIN($K135*FATOR_CHUVA_UTIL,LIMITE_CHUVA_UTIL_DIA)</f>
        <v>5.16</v>
      </c>
      <c r="M135" s="26"/>
      <c r="N135" s="20" t="n">
        <f aca="false">IF(N($M135)&gt;0,$M135,$L135)</f>
        <v>5.16</v>
      </c>
      <c r="O135" s="8" t="str">
        <f aca="false">IF(N($F135)+N($J135)&gt;0,"Serie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5" s="8" t="str">
        <f aca="false">IF(N($M135)&gt;0,"Chuva util informada pelo usuario","MIN(Chuva bruta x FATOR_CHUVA_UTIL ; LIMITE_CHUVA_UTIL_DIA)")</f>
        <v>MIN(Chuva bruta x FATOR_CHUVA_UTIL ; LIMITE_CHUVA_UTIL_DIA)</v>
      </c>
    </row>
    <row r="136" customFormat="false" ht="15" hidden="false" customHeight="false" outlineLevel="0" collapsed="false">
      <c r="B136" s="17" t="n">
        <v>46393</v>
      </c>
      <c r="C136" s="16" t="n">
        <v>19</v>
      </c>
      <c r="D136" s="8" t="s">
        <v>517</v>
      </c>
      <c r="E136" s="26" t="n">
        <v>4.8</v>
      </c>
      <c r="F136" s="26"/>
      <c r="G136" s="20" t="n">
        <f aca="false">IF(N($F136)&gt;0,$F136,IF(CENARIO_CLIMA="USUARIO",0,$E136))</f>
        <v>4.8</v>
      </c>
      <c r="H136" s="18" t="n">
        <f aca="false">SUMIFS($G$8:$G$469,$C$8:$C$469,$C136)</f>
        <v>33.6</v>
      </c>
      <c r="I136" s="26" t="n">
        <v>6.45</v>
      </c>
      <c r="J136" s="26"/>
      <c r="K136" s="20" t="n">
        <f aca="false">IF(N($J136)&gt;0,$J136,IF(CENARIO_CLIMA="USUARIO",0,$I136))</f>
        <v>6.45</v>
      </c>
      <c r="L136" s="20" t="n">
        <f aca="false">MIN($K136*FATOR_CHUVA_UTIL,LIMITE_CHUVA_UTIL_DIA)</f>
        <v>5.16</v>
      </c>
      <c r="M136" s="26"/>
      <c r="N136" s="20" t="n">
        <f aca="false">IF(N($M136)&gt;0,$M136,$L136)</f>
        <v>5.16</v>
      </c>
      <c r="O136" s="8" t="str">
        <f aca="false">IF(N($F136)+N($J136)&gt;0,"Serie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6" s="8" t="str">
        <f aca="false">IF(N($M136)&gt;0,"Chuva util informada pelo usuario","MIN(Chuva bruta x FATOR_CHUVA_UTIL ; LIMITE_CHUVA_UTIL_DIA)")</f>
        <v>MIN(Chuva bruta x FATOR_CHUVA_UTIL ; LIMITE_CHUVA_UTIL_DIA)</v>
      </c>
    </row>
    <row r="137" customFormat="false" ht="15" hidden="false" customHeight="false" outlineLevel="0" collapsed="false">
      <c r="B137" s="17" t="n">
        <v>46394</v>
      </c>
      <c r="C137" s="16" t="n">
        <v>19</v>
      </c>
      <c r="D137" s="8" t="s">
        <v>517</v>
      </c>
      <c r="E137" s="26" t="n">
        <v>4.8</v>
      </c>
      <c r="F137" s="26"/>
      <c r="G137" s="20" t="n">
        <f aca="false">IF(N($F137)&gt;0,$F137,IF(CENARIO_CLIMA="USUARIO",0,$E137))</f>
        <v>4.8</v>
      </c>
      <c r="H137" s="18" t="n">
        <f aca="false">SUMIFS($G$8:$G$469,$C$8:$C$469,$C137)</f>
        <v>33.6</v>
      </c>
      <c r="I137" s="26" t="n">
        <v>6.45</v>
      </c>
      <c r="J137" s="26"/>
      <c r="K137" s="20" t="n">
        <f aca="false">IF(N($J137)&gt;0,$J137,IF(CENARIO_CLIMA="USUARIO",0,$I137))</f>
        <v>6.45</v>
      </c>
      <c r="L137" s="20" t="n">
        <f aca="false">MIN($K137*FATOR_CHUVA_UTIL,LIMITE_CHUVA_UTIL_DIA)</f>
        <v>5.16</v>
      </c>
      <c r="M137" s="26"/>
      <c r="N137" s="20" t="n">
        <f aca="false">IF(N($M137)&gt;0,$M137,$L137)</f>
        <v>5.16</v>
      </c>
      <c r="O137" s="8" t="str">
        <f aca="false">IF(N($F137)+N($J137)&gt;0,"Serie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7" s="8" t="str">
        <f aca="false">IF(N($M137)&gt;0,"Chuva util informada pelo usuario","MIN(Chuva bruta x FATOR_CHUVA_UTIL ; LIMITE_CHUVA_UTIL_DIA)")</f>
        <v>MIN(Chuva bruta x FATOR_CHUVA_UTIL ; LIMITE_CHUVA_UTIL_DIA)</v>
      </c>
    </row>
    <row r="138" customFormat="false" ht="15" hidden="false" customHeight="false" outlineLevel="0" collapsed="false">
      <c r="B138" s="17" t="n">
        <v>46395</v>
      </c>
      <c r="C138" s="16" t="n">
        <v>19</v>
      </c>
      <c r="D138" s="8" t="s">
        <v>517</v>
      </c>
      <c r="E138" s="26" t="n">
        <v>4.8</v>
      </c>
      <c r="F138" s="26"/>
      <c r="G138" s="20" t="n">
        <f aca="false">IF(N($F138)&gt;0,$F138,IF(CENARIO_CLIMA="USUARIO",0,$E138))</f>
        <v>4.8</v>
      </c>
      <c r="H138" s="18" t="n">
        <f aca="false">SUMIFS($G$8:$G$469,$C$8:$C$469,$C138)</f>
        <v>33.6</v>
      </c>
      <c r="I138" s="26" t="n">
        <v>6.45</v>
      </c>
      <c r="J138" s="26"/>
      <c r="K138" s="20" t="n">
        <f aca="false">IF(N($J138)&gt;0,$J138,IF(CENARIO_CLIMA="USUARIO",0,$I138))</f>
        <v>6.45</v>
      </c>
      <c r="L138" s="20" t="n">
        <f aca="false">MIN($K138*FATOR_CHUVA_UTIL,LIMITE_CHUVA_UTIL_DIA)</f>
        <v>5.16</v>
      </c>
      <c r="M138" s="26"/>
      <c r="N138" s="20" t="n">
        <f aca="false">IF(N($M138)&gt;0,$M138,$L138)</f>
        <v>5.16</v>
      </c>
      <c r="O138" s="8" t="str">
        <f aca="false">IF(N($F138)+N($J138)&gt;0,"Serie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8" s="8" t="str">
        <f aca="false">IF(N($M138)&gt;0,"Chuva util informada pelo usuario","MIN(Chuva bruta x FATOR_CHUVA_UTIL ; LIMITE_CHUVA_UTIL_DIA)")</f>
        <v>MIN(Chuva bruta x FATOR_CHUVA_UTIL ; LIMITE_CHUVA_UTIL_DIA)</v>
      </c>
    </row>
    <row r="139" customFormat="false" ht="15" hidden="false" customHeight="false" outlineLevel="0" collapsed="false">
      <c r="B139" s="17" t="n">
        <v>46396</v>
      </c>
      <c r="C139" s="16" t="n">
        <v>19</v>
      </c>
      <c r="D139" s="8" t="s">
        <v>517</v>
      </c>
      <c r="E139" s="26" t="n">
        <v>4.8</v>
      </c>
      <c r="F139" s="26"/>
      <c r="G139" s="20" t="n">
        <f aca="false">IF(N($F139)&gt;0,$F139,IF(CENARIO_CLIMA="USUARIO",0,$E139))</f>
        <v>4.8</v>
      </c>
      <c r="H139" s="18" t="n">
        <f aca="false">SUMIFS($G$8:$G$469,$C$8:$C$469,$C139)</f>
        <v>33.6</v>
      </c>
      <c r="I139" s="26" t="n">
        <v>6.45</v>
      </c>
      <c r="J139" s="26"/>
      <c r="K139" s="20" t="n">
        <f aca="false">IF(N($J139)&gt;0,$J139,IF(CENARIO_CLIMA="USUARIO",0,$I139))</f>
        <v>6.45</v>
      </c>
      <c r="L139" s="20" t="n">
        <f aca="false">MIN($K139*FATOR_CHUVA_UTIL,LIMITE_CHUVA_UTIL_DIA)</f>
        <v>5.16</v>
      </c>
      <c r="M139" s="26"/>
      <c r="N139" s="20" t="n">
        <f aca="false">IF(N($M139)&gt;0,$M139,$L139)</f>
        <v>5.16</v>
      </c>
      <c r="O139" s="8" t="str">
        <f aca="false">IF(N($F139)+N($J139)&gt;0,"Serie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39" s="8" t="str">
        <f aca="false">IF(N($M139)&gt;0,"Chuva util informada pelo usuario","MIN(Chuva bruta x FATOR_CHUVA_UTIL ; LIMITE_CHUVA_UTIL_DIA)")</f>
        <v>MIN(Chuva bruta x FATOR_CHUVA_UTIL ; LIMITE_CHUVA_UTIL_DIA)</v>
      </c>
    </row>
    <row r="140" customFormat="false" ht="15" hidden="false" customHeight="false" outlineLevel="0" collapsed="false">
      <c r="B140" s="17" t="n">
        <v>46397</v>
      </c>
      <c r="C140" s="16" t="n">
        <v>19</v>
      </c>
      <c r="D140" s="8" t="s">
        <v>517</v>
      </c>
      <c r="E140" s="26" t="n">
        <v>4.8</v>
      </c>
      <c r="F140" s="26"/>
      <c r="G140" s="20" t="n">
        <f aca="false">IF(N($F140)&gt;0,$F140,IF(CENARIO_CLIMA="USUARIO",0,$E140))</f>
        <v>4.8</v>
      </c>
      <c r="H140" s="18" t="n">
        <f aca="false">SUMIFS($G$8:$G$469,$C$8:$C$469,$C140)</f>
        <v>33.6</v>
      </c>
      <c r="I140" s="26" t="n">
        <v>6.45</v>
      </c>
      <c r="J140" s="26"/>
      <c r="K140" s="20" t="n">
        <f aca="false">IF(N($J140)&gt;0,$J140,IF(CENARIO_CLIMA="USUARIO",0,$I140))</f>
        <v>6.45</v>
      </c>
      <c r="L140" s="20" t="n">
        <f aca="false">MIN($K140*FATOR_CHUVA_UTIL,LIMITE_CHUVA_UTIL_DIA)</f>
        <v>5.16</v>
      </c>
      <c r="M140" s="26"/>
      <c r="N140" s="20" t="n">
        <f aca="false">IF(N($M140)&gt;0,$M140,$L140)</f>
        <v>5.16</v>
      </c>
      <c r="O140" s="8" t="str">
        <f aca="false">IF(N($F140)+N($J140)&gt;0,"Serie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0" s="8" t="str">
        <f aca="false">IF(N($M140)&gt;0,"Chuva util informada pelo usuario","MIN(Chuva bruta x FATOR_CHUVA_UTIL ; LIMITE_CHUVA_UTIL_DIA)")</f>
        <v>MIN(Chuva bruta x FATOR_CHUVA_UTIL ; LIMITE_CHUVA_UTIL_DIA)</v>
      </c>
    </row>
    <row r="141" customFormat="false" ht="15" hidden="false" customHeight="false" outlineLevel="0" collapsed="false">
      <c r="B141" s="17" t="n">
        <v>46398</v>
      </c>
      <c r="C141" s="16" t="n">
        <v>20</v>
      </c>
      <c r="D141" s="8" t="s">
        <v>517</v>
      </c>
      <c r="E141" s="26" t="n">
        <v>4.8</v>
      </c>
      <c r="F141" s="26"/>
      <c r="G141" s="20" t="n">
        <f aca="false">IF(N($F141)&gt;0,$F141,IF(CENARIO_CLIMA="USUARIO",0,$E141))</f>
        <v>4.8</v>
      </c>
      <c r="H141" s="18" t="n">
        <f aca="false">SUMIFS($G$8:$G$469,$C$8:$C$469,$C141)</f>
        <v>33.6</v>
      </c>
      <c r="I141" s="26" t="n">
        <v>6.45</v>
      </c>
      <c r="J141" s="26"/>
      <c r="K141" s="20" t="n">
        <f aca="false">IF(N($J141)&gt;0,$J141,IF(CENARIO_CLIMA="USUARIO",0,$I141))</f>
        <v>6.45</v>
      </c>
      <c r="L141" s="20" t="n">
        <f aca="false">MIN($K141*FATOR_CHUVA_UTIL,LIMITE_CHUVA_UTIL_DIA)</f>
        <v>5.16</v>
      </c>
      <c r="M141" s="26"/>
      <c r="N141" s="20" t="n">
        <f aca="false">IF(N($M141)&gt;0,$M141,$L141)</f>
        <v>5.16</v>
      </c>
      <c r="O141" s="8" t="str">
        <f aca="false">IF(N($F141)+N($J141)&gt;0,"Serie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1" s="8" t="str">
        <f aca="false">IF(N($M141)&gt;0,"Chuva util informada pelo usuario","MIN(Chuva bruta x FATOR_CHUVA_UTIL ; LIMITE_CHUVA_UTIL_DIA)")</f>
        <v>MIN(Chuva bruta x FATOR_CHUVA_UTIL ; LIMITE_CHUVA_UTIL_DIA)</v>
      </c>
    </row>
    <row r="142" customFormat="false" ht="15" hidden="false" customHeight="false" outlineLevel="0" collapsed="false">
      <c r="B142" s="17" t="n">
        <v>46399</v>
      </c>
      <c r="C142" s="16" t="n">
        <v>20</v>
      </c>
      <c r="D142" s="8" t="s">
        <v>517</v>
      </c>
      <c r="E142" s="26" t="n">
        <v>4.8</v>
      </c>
      <c r="F142" s="26"/>
      <c r="G142" s="20" t="n">
        <f aca="false">IF(N($F142)&gt;0,$F142,IF(CENARIO_CLIMA="USUARIO",0,$E142))</f>
        <v>4.8</v>
      </c>
      <c r="H142" s="18" t="n">
        <f aca="false">SUMIFS($G$8:$G$469,$C$8:$C$469,$C142)</f>
        <v>33.6</v>
      </c>
      <c r="I142" s="26" t="n">
        <v>6.45</v>
      </c>
      <c r="J142" s="26"/>
      <c r="K142" s="20" t="n">
        <f aca="false">IF(N($J142)&gt;0,$J142,IF(CENARIO_CLIMA="USUARIO",0,$I142))</f>
        <v>6.45</v>
      </c>
      <c r="L142" s="20" t="n">
        <f aca="false">MIN($K142*FATOR_CHUVA_UTIL,LIMITE_CHUVA_UTIL_DIA)</f>
        <v>5.16</v>
      </c>
      <c r="M142" s="26"/>
      <c r="N142" s="20" t="n">
        <f aca="false">IF(N($M142)&gt;0,$M142,$L142)</f>
        <v>5.16</v>
      </c>
      <c r="O142" s="8" t="str">
        <f aca="false">IF(N($F142)+N($J142)&gt;0,"Serie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2" s="8" t="str">
        <f aca="false">IF(N($M142)&gt;0,"Chuva util informada pelo usuario","MIN(Chuva bruta x FATOR_CHUVA_UTIL ; LIMITE_CHUVA_UTIL_DIA)")</f>
        <v>MIN(Chuva bruta x FATOR_CHUVA_UTIL ; LIMITE_CHUVA_UTIL_DIA)</v>
      </c>
    </row>
    <row r="143" customFormat="false" ht="15" hidden="false" customHeight="false" outlineLevel="0" collapsed="false">
      <c r="B143" s="17" t="n">
        <v>46400</v>
      </c>
      <c r="C143" s="16" t="n">
        <v>20</v>
      </c>
      <c r="D143" s="8" t="s">
        <v>517</v>
      </c>
      <c r="E143" s="26" t="n">
        <v>4.8</v>
      </c>
      <c r="F143" s="26"/>
      <c r="G143" s="20" t="n">
        <f aca="false">IF(N($F143)&gt;0,$F143,IF(CENARIO_CLIMA="USUARIO",0,$E143))</f>
        <v>4.8</v>
      </c>
      <c r="H143" s="18" t="n">
        <f aca="false">SUMIFS($G$8:$G$469,$C$8:$C$469,$C143)</f>
        <v>33.6</v>
      </c>
      <c r="I143" s="26" t="n">
        <v>6.45</v>
      </c>
      <c r="J143" s="26"/>
      <c r="K143" s="20" t="n">
        <f aca="false">IF(N($J143)&gt;0,$J143,IF(CENARIO_CLIMA="USUARIO",0,$I143))</f>
        <v>6.45</v>
      </c>
      <c r="L143" s="20" t="n">
        <f aca="false">MIN($K143*FATOR_CHUVA_UTIL,LIMITE_CHUVA_UTIL_DIA)</f>
        <v>5.16</v>
      </c>
      <c r="M143" s="26"/>
      <c r="N143" s="20" t="n">
        <f aca="false">IF(N($M143)&gt;0,$M143,$L143)</f>
        <v>5.16</v>
      </c>
      <c r="O143" s="8" t="str">
        <f aca="false">IF(N($F143)+N($J143)&gt;0,"Serie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3" s="8" t="str">
        <f aca="false">IF(N($M143)&gt;0,"Chuva util informada pelo usuario","MIN(Chuva bruta x FATOR_CHUVA_UTIL ; LIMITE_CHUVA_UTIL_DIA)")</f>
        <v>MIN(Chuva bruta x FATOR_CHUVA_UTIL ; LIMITE_CHUVA_UTIL_DIA)</v>
      </c>
    </row>
    <row r="144" customFormat="false" ht="15" hidden="false" customHeight="false" outlineLevel="0" collapsed="false">
      <c r="B144" s="17" t="n">
        <v>46401</v>
      </c>
      <c r="C144" s="16" t="n">
        <v>20</v>
      </c>
      <c r="D144" s="8" t="s">
        <v>517</v>
      </c>
      <c r="E144" s="26" t="n">
        <v>4.8</v>
      </c>
      <c r="F144" s="26"/>
      <c r="G144" s="20" t="n">
        <f aca="false">IF(N($F144)&gt;0,$F144,IF(CENARIO_CLIMA="USUARIO",0,$E144))</f>
        <v>4.8</v>
      </c>
      <c r="H144" s="18" t="n">
        <f aca="false">SUMIFS($G$8:$G$469,$C$8:$C$469,$C144)</f>
        <v>33.6</v>
      </c>
      <c r="I144" s="26" t="n">
        <v>6.45</v>
      </c>
      <c r="J144" s="26"/>
      <c r="K144" s="20" t="n">
        <f aca="false">IF(N($J144)&gt;0,$J144,IF(CENARIO_CLIMA="USUARIO",0,$I144))</f>
        <v>6.45</v>
      </c>
      <c r="L144" s="20" t="n">
        <f aca="false">MIN($K144*FATOR_CHUVA_UTIL,LIMITE_CHUVA_UTIL_DIA)</f>
        <v>5.16</v>
      </c>
      <c r="M144" s="26"/>
      <c r="N144" s="20" t="n">
        <f aca="false">IF(N($M144)&gt;0,$M144,$L144)</f>
        <v>5.16</v>
      </c>
      <c r="O144" s="8" t="str">
        <f aca="false">IF(N($F144)+N($J144)&gt;0,"Serie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4" s="8" t="str">
        <f aca="false">IF(N($M144)&gt;0,"Chuva util informada pelo usuario","MIN(Chuva bruta x FATOR_CHUVA_UTIL ; LIMITE_CHUVA_UTIL_DIA)")</f>
        <v>MIN(Chuva bruta x FATOR_CHUVA_UTIL ; LIMITE_CHUVA_UTIL_DIA)</v>
      </c>
    </row>
    <row r="145" customFormat="false" ht="15" hidden="false" customHeight="false" outlineLevel="0" collapsed="false">
      <c r="B145" s="17" t="n">
        <v>46402</v>
      </c>
      <c r="C145" s="16" t="n">
        <v>20</v>
      </c>
      <c r="D145" s="8" t="s">
        <v>517</v>
      </c>
      <c r="E145" s="26" t="n">
        <v>4.8</v>
      </c>
      <c r="F145" s="26"/>
      <c r="G145" s="20" t="n">
        <f aca="false">IF(N($F145)&gt;0,$F145,IF(CENARIO_CLIMA="USUARIO",0,$E145))</f>
        <v>4.8</v>
      </c>
      <c r="H145" s="18" t="n">
        <f aca="false">SUMIFS($G$8:$G$469,$C$8:$C$469,$C145)</f>
        <v>33.6</v>
      </c>
      <c r="I145" s="26" t="n">
        <v>6.45</v>
      </c>
      <c r="J145" s="26"/>
      <c r="K145" s="20" t="n">
        <f aca="false">IF(N($J145)&gt;0,$J145,IF(CENARIO_CLIMA="USUARIO",0,$I145))</f>
        <v>6.45</v>
      </c>
      <c r="L145" s="20" t="n">
        <f aca="false">MIN($K145*FATOR_CHUVA_UTIL,LIMITE_CHUVA_UTIL_DIA)</f>
        <v>5.16</v>
      </c>
      <c r="M145" s="26"/>
      <c r="N145" s="20" t="n">
        <f aca="false">IF(N($M145)&gt;0,$M145,$L145)</f>
        <v>5.16</v>
      </c>
      <c r="O145" s="8" t="str">
        <f aca="false">IF(N($F145)+N($J145)&gt;0,"Serie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5" s="8" t="str">
        <f aca="false">IF(N($M145)&gt;0,"Chuva util informada pelo usuario","MIN(Chuva bruta x FATOR_CHUVA_UTIL ; LIMITE_CHUVA_UTIL_DIA)")</f>
        <v>MIN(Chuva bruta x FATOR_CHUVA_UTIL ; LIMITE_CHUVA_UTIL_DIA)</v>
      </c>
    </row>
    <row r="146" customFormat="false" ht="15" hidden="false" customHeight="false" outlineLevel="0" collapsed="false">
      <c r="B146" s="17" t="n">
        <v>46403</v>
      </c>
      <c r="C146" s="16" t="n">
        <v>20</v>
      </c>
      <c r="D146" s="8" t="s">
        <v>517</v>
      </c>
      <c r="E146" s="26" t="n">
        <v>4.8</v>
      </c>
      <c r="F146" s="26"/>
      <c r="G146" s="20" t="n">
        <f aca="false">IF(N($F146)&gt;0,$F146,IF(CENARIO_CLIMA="USUARIO",0,$E146))</f>
        <v>4.8</v>
      </c>
      <c r="H146" s="18" t="n">
        <f aca="false">SUMIFS($G$8:$G$469,$C$8:$C$469,$C146)</f>
        <v>33.6</v>
      </c>
      <c r="I146" s="26" t="n">
        <v>6.45</v>
      </c>
      <c r="J146" s="26"/>
      <c r="K146" s="20" t="n">
        <f aca="false">IF(N($J146)&gt;0,$J146,IF(CENARIO_CLIMA="USUARIO",0,$I146))</f>
        <v>6.45</v>
      </c>
      <c r="L146" s="20" t="n">
        <f aca="false">MIN($K146*FATOR_CHUVA_UTIL,LIMITE_CHUVA_UTIL_DIA)</f>
        <v>5.16</v>
      </c>
      <c r="M146" s="26"/>
      <c r="N146" s="20" t="n">
        <f aca="false">IF(N($M146)&gt;0,$M146,$L146)</f>
        <v>5.16</v>
      </c>
      <c r="O146" s="8" t="str">
        <f aca="false">IF(N($F146)+N($J146)&gt;0,"Serie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6" s="8" t="str">
        <f aca="false">IF(N($M146)&gt;0,"Chuva util informada pelo usuario","MIN(Chuva bruta x FATOR_CHUVA_UTIL ; LIMITE_CHUVA_UTIL_DIA)")</f>
        <v>MIN(Chuva bruta x FATOR_CHUVA_UTIL ; LIMITE_CHUVA_UTIL_DIA)</v>
      </c>
    </row>
    <row r="147" customFormat="false" ht="15" hidden="false" customHeight="false" outlineLevel="0" collapsed="false">
      <c r="B147" s="17" t="n">
        <v>46404</v>
      </c>
      <c r="C147" s="16" t="n">
        <v>20</v>
      </c>
      <c r="D147" s="8" t="s">
        <v>517</v>
      </c>
      <c r="E147" s="26" t="n">
        <v>4.8</v>
      </c>
      <c r="F147" s="26"/>
      <c r="G147" s="20" t="n">
        <f aca="false">IF(N($F147)&gt;0,$F147,IF(CENARIO_CLIMA="USUARIO",0,$E147))</f>
        <v>4.8</v>
      </c>
      <c r="H147" s="18" t="n">
        <f aca="false">SUMIFS($G$8:$G$469,$C$8:$C$469,$C147)</f>
        <v>33.6</v>
      </c>
      <c r="I147" s="26" t="n">
        <v>6.45</v>
      </c>
      <c r="J147" s="26"/>
      <c r="K147" s="20" t="n">
        <f aca="false">IF(N($J147)&gt;0,$J147,IF(CENARIO_CLIMA="USUARIO",0,$I147))</f>
        <v>6.45</v>
      </c>
      <c r="L147" s="20" t="n">
        <f aca="false">MIN($K147*FATOR_CHUVA_UTIL,LIMITE_CHUVA_UTIL_DIA)</f>
        <v>5.16</v>
      </c>
      <c r="M147" s="26"/>
      <c r="N147" s="20" t="n">
        <f aca="false">IF(N($M147)&gt;0,$M147,$L147)</f>
        <v>5.16</v>
      </c>
      <c r="O147" s="8" t="str">
        <f aca="false">IF(N($F147)+N($J147)&gt;0,"Serie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7" s="8" t="str">
        <f aca="false">IF(N($M147)&gt;0,"Chuva util informada pelo usuario","MIN(Chuva bruta x FATOR_CHUVA_UTIL ; LIMITE_CHUVA_UTIL_DIA)")</f>
        <v>MIN(Chuva bruta x FATOR_CHUVA_UTIL ; LIMITE_CHUVA_UTIL_DIA)</v>
      </c>
    </row>
    <row r="148" customFormat="false" ht="15" hidden="false" customHeight="false" outlineLevel="0" collapsed="false">
      <c r="B148" s="17" t="n">
        <v>46405</v>
      </c>
      <c r="C148" s="16" t="n">
        <v>21</v>
      </c>
      <c r="D148" s="8" t="s">
        <v>517</v>
      </c>
      <c r="E148" s="26" t="n">
        <v>4.8</v>
      </c>
      <c r="F148" s="26"/>
      <c r="G148" s="20" t="n">
        <f aca="false">IF(N($F148)&gt;0,$F148,IF(CENARIO_CLIMA="USUARIO",0,$E148))</f>
        <v>4.8</v>
      </c>
      <c r="H148" s="18" t="n">
        <f aca="false">SUMIFS($G$8:$G$469,$C$8:$C$469,$C148)</f>
        <v>33.6</v>
      </c>
      <c r="I148" s="26" t="n">
        <v>6.45</v>
      </c>
      <c r="J148" s="26"/>
      <c r="K148" s="20" t="n">
        <f aca="false">IF(N($J148)&gt;0,$J148,IF(CENARIO_CLIMA="USUARIO",0,$I148))</f>
        <v>6.45</v>
      </c>
      <c r="L148" s="20" t="n">
        <f aca="false">MIN($K148*FATOR_CHUVA_UTIL,LIMITE_CHUVA_UTIL_DIA)</f>
        <v>5.16</v>
      </c>
      <c r="M148" s="26"/>
      <c r="N148" s="20" t="n">
        <f aca="false">IF(N($M148)&gt;0,$M148,$L148)</f>
        <v>5.16</v>
      </c>
      <c r="O148" s="8" t="str">
        <f aca="false">IF(N($F148)+N($J148)&gt;0,"Serie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8" s="8" t="str">
        <f aca="false">IF(N($M148)&gt;0,"Chuva util informada pelo usuario","MIN(Chuva bruta x FATOR_CHUVA_UTIL ; LIMITE_CHUVA_UTIL_DIA)")</f>
        <v>MIN(Chuva bruta x FATOR_CHUVA_UTIL ; LIMITE_CHUVA_UTIL_DIA)</v>
      </c>
    </row>
    <row r="149" customFormat="false" ht="15" hidden="false" customHeight="false" outlineLevel="0" collapsed="false">
      <c r="B149" s="17" t="n">
        <v>46406</v>
      </c>
      <c r="C149" s="16" t="n">
        <v>21</v>
      </c>
      <c r="D149" s="8" t="s">
        <v>517</v>
      </c>
      <c r="E149" s="26" t="n">
        <v>4.8</v>
      </c>
      <c r="F149" s="26"/>
      <c r="G149" s="20" t="n">
        <f aca="false">IF(N($F149)&gt;0,$F149,IF(CENARIO_CLIMA="USUARIO",0,$E149))</f>
        <v>4.8</v>
      </c>
      <c r="H149" s="18" t="n">
        <f aca="false">SUMIFS($G$8:$G$469,$C$8:$C$469,$C149)</f>
        <v>33.6</v>
      </c>
      <c r="I149" s="26" t="n">
        <v>6.45</v>
      </c>
      <c r="J149" s="26"/>
      <c r="K149" s="20" t="n">
        <f aca="false">IF(N($J149)&gt;0,$J149,IF(CENARIO_CLIMA="USUARIO",0,$I149))</f>
        <v>6.45</v>
      </c>
      <c r="L149" s="20" t="n">
        <f aca="false">MIN($K149*FATOR_CHUVA_UTIL,LIMITE_CHUVA_UTIL_DIA)</f>
        <v>5.16</v>
      </c>
      <c r="M149" s="26"/>
      <c r="N149" s="20" t="n">
        <f aca="false">IF(N($M149)&gt;0,$M149,$L149)</f>
        <v>5.16</v>
      </c>
      <c r="O149" s="8" t="str">
        <f aca="false">IF(N($F149)+N($J149)&gt;0,"Serie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49" s="8" t="str">
        <f aca="false">IF(N($M149)&gt;0,"Chuva util informada pelo usuario","MIN(Chuva bruta x FATOR_CHUVA_UTIL ; LIMITE_CHUVA_UTIL_DIA)")</f>
        <v>MIN(Chuva bruta x FATOR_CHUVA_UTIL ; LIMITE_CHUVA_UTIL_DIA)</v>
      </c>
    </row>
    <row r="150" customFormat="false" ht="15" hidden="false" customHeight="false" outlineLevel="0" collapsed="false">
      <c r="B150" s="17" t="n">
        <v>46407</v>
      </c>
      <c r="C150" s="16" t="n">
        <v>21</v>
      </c>
      <c r="D150" s="8" t="s">
        <v>517</v>
      </c>
      <c r="E150" s="26" t="n">
        <v>4.8</v>
      </c>
      <c r="F150" s="26"/>
      <c r="G150" s="20" t="n">
        <f aca="false">IF(N($F150)&gt;0,$F150,IF(CENARIO_CLIMA="USUARIO",0,$E150))</f>
        <v>4.8</v>
      </c>
      <c r="H150" s="18" t="n">
        <f aca="false">SUMIFS($G$8:$G$469,$C$8:$C$469,$C150)</f>
        <v>33.6</v>
      </c>
      <c r="I150" s="26" t="n">
        <v>6.45</v>
      </c>
      <c r="J150" s="26"/>
      <c r="K150" s="20" t="n">
        <f aca="false">IF(N($J150)&gt;0,$J150,IF(CENARIO_CLIMA="USUARIO",0,$I150))</f>
        <v>6.45</v>
      </c>
      <c r="L150" s="20" t="n">
        <f aca="false">MIN($K150*FATOR_CHUVA_UTIL,LIMITE_CHUVA_UTIL_DIA)</f>
        <v>5.16</v>
      </c>
      <c r="M150" s="26"/>
      <c r="N150" s="20" t="n">
        <f aca="false">IF(N($M150)&gt;0,$M150,$L150)</f>
        <v>5.16</v>
      </c>
      <c r="O150" s="8" t="str">
        <f aca="false">IF(N($F150)+N($J150)&gt;0,"Serie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0" s="8" t="str">
        <f aca="false">IF(N($M150)&gt;0,"Chuva util informada pelo usuario","MIN(Chuva bruta x FATOR_CHUVA_UTIL ; LIMITE_CHUVA_UTIL_DIA)")</f>
        <v>MIN(Chuva bruta x FATOR_CHUVA_UTIL ; LIMITE_CHUVA_UTIL_DIA)</v>
      </c>
    </row>
    <row r="151" customFormat="false" ht="15" hidden="false" customHeight="false" outlineLevel="0" collapsed="false">
      <c r="B151" s="17" t="n">
        <v>46408</v>
      </c>
      <c r="C151" s="16" t="n">
        <v>21</v>
      </c>
      <c r="D151" s="8" t="s">
        <v>517</v>
      </c>
      <c r="E151" s="26" t="n">
        <v>4.8</v>
      </c>
      <c r="F151" s="26"/>
      <c r="G151" s="20" t="n">
        <f aca="false">IF(N($F151)&gt;0,$F151,IF(CENARIO_CLIMA="USUARIO",0,$E151))</f>
        <v>4.8</v>
      </c>
      <c r="H151" s="18" t="n">
        <f aca="false">SUMIFS($G$8:$G$469,$C$8:$C$469,$C151)</f>
        <v>33.6</v>
      </c>
      <c r="I151" s="26" t="n">
        <v>6.45</v>
      </c>
      <c r="J151" s="26"/>
      <c r="K151" s="20" t="n">
        <f aca="false">IF(N($J151)&gt;0,$J151,IF(CENARIO_CLIMA="USUARIO",0,$I151))</f>
        <v>6.45</v>
      </c>
      <c r="L151" s="20" t="n">
        <f aca="false">MIN($K151*FATOR_CHUVA_UTIL,LIMITE_CHUVA_UTIL_DIA)</f>
        <v>5.16</v>
      </c>
      <c r="M151" s="26"/>
      <c r="N151" s="20" t="n">
        <f aca="false">IF(N($M151)&gt;0,$M151,$L151)</f>
        <v>5.16</v>
      </c>
      <c r="O151" s="8" t="str">
        <f aca="false">IF(N($F151)+N($J151)&gt;0,"Serie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1" s="8" t="str">
        <f aca="false">IF(N($M151)&gt;0,"Chuva util informada pelo usuario","MIN(Chuva bruta x FATOR_CHUVA_UTIL ; LIMITE_CHUVA_UTIL_DIA)")</f>
        <v>MIN(Chuva bruta x FATOR_CHUVA_UTIL ; LIMITE_CHUVA_UTIL_DIA)</v>
      </c>
    </row>
    <row r="152" customFormat="false" ht="15" hidden="false" customHeight="false" outlineLevel="0" collapsed="false">
      <c r="B152" s="17" t="n">
        <v>46409</v>
      </c>
      <c r="C152" s="16" t="n">
        <v>21</v>
      </c>
      <c r="D152" s="8" t="s">
        <v>517</v>
      </c>
      <c r="E152" s="26" t="n">
        <v>4.8</v>
      </c>
      <c r="F152" s="26"/>
      <c r="G152" s="20" t="n">
        <f aca="false">IF(N($F152)&gt;0,$F152,IF(CENARIO_CLIMA="USUARIO",0,$E152))</f>
        <v>4.8</v>
      </c>
      <c r="H152" s="18" t="n">
        <f aca="false">SUMIFS($G$8:$G$469,$C$8:$C$469,$C152)</f>
        <v>33.6</v>
      </c>
      <c r="I152" s="26" t="n">
        <v>6.45</v>
      </c>
      <c r="J152" s="26"/>
      <c r="K152" s="20" t="n">
        <f aca="false">IF(N($J152)&gt;0,$J152,IF(CENARIO_CLIMA="USUARIO",0,$I152))</f>
        <v>6.45</v>
      </c>
      <c r="L152" s="20" t="n">
        <f aca="false">MIN($K152*FATOR_CHUVA_UTIL,LIMITE_CHUVA_UTIL_DIA)</f>
        <v>5.16</v>
      </c>
      <c r="M152" s="26"/>
      <c r="N152" s="20" t="n">
        <f aca="false">IF(N($M152)&gt;0,$M152,$L152)</f>
        <v>5.16</v>
      </c>
      <c r="O152" s="8" t="str">
        <f aca="false">IF(N($F152)+N($J152)&gt;0,"Serie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2" s="8" t="str">
        <f aca="false">IF(N($M152)&gt;0,"Chuva util informada pelo usuario","MIN(Chuva bruta x FATOR_CHUVA_UTIL ; LIMITE_CHUVA_UTIL_DIA)")</f>
        <v>MIN(Chuva bruta x FATOR_CHUVA_UTIL ; LIMITE_CHUVA_UTIL_DIA)</v>
      </c>
    </row>
    <row r="153" customFormat="false" ht="15" hidden="false" customHeight="false" outlineLevel="0" collapsed="false">
      <c r="B153" s="17" t="n">
        <v>46410</v>
      </c>
      <c r="C153" s="16" t="n">
        <v>21</v>
      </c>
      <c r="D153" s="8" t="s">
        <v>517</v>
      </c>
      <c r="E153" s="26" t="n">
        <v>4.8</v>
      </c>
      <c r="F153" s="26"/>
      <c r="G153" s="20" t="n">
        <f aca="false">IF(N($F153)&gt;0,$F153,IF(CENARIO_CLIMA="USUARIO",0,$E153))</f>
        <v>4.8</v>
      </c>
      <c r="H153" s="18" t="n">
        <f aca="false">SUMIFS($G$8:$G$469,$C$8:$C$469,$C153)</f>
        <v>33.6</v>
      </c>
      <c r="I153" s="26" t="n">
        <v>6.45</v>
      </c>
      <c r="J153" s="26"/>
      <c r="K153" s="20" t="n">
        <f aca="false">IF(N($J153)&gt;0,$J153,IF(CENARIO_CLIMA="USUARIO",0,$I153))</f>
        <v>6.45</v>
      </c>
      <c r="L153" s="20" t="n">
        <f aca="false">MIN($K153*FATOR_CHUVA_UTIL,LIMITE_CHUVA_UTIL_DIA)</f>
        <v>5.16</v>
      </c>
      <c r="M153" s="26"/>
      <c r="N153" s="20" t="n">
        <f aca="false">IF(N($M153)&gt;0,$M153,$L153)</f>
        <v>5.16</v>
      </c>
      <c r="O153" s="8" t="str">
        <f aca="false">IF(N($F153)+N($J153)&gt;0,"Serie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3" s="8" t="str">
        <f aca="false">IF(N($M153)&gt;0,"Chuva util informada pelo usuario","MIN(Chuva bruta x FATOR_CHUVA_UTIL ; LIMITE_CHUVA_UTIL_DIA)")</f>
        <v>MIN(Chuva bruta x FATOR_CHUVA_UTIL ; LIMITE_CHUVA_UTIL_DIA)</v>
      </c>
    </row>
    <row r="154" customFormat="false" ht="15" hidden="false" customHeight="false" outlineLevel="0" collapsed="false">
      <c r="B154" s="17" t="n">
        <v>46411</v>
      </c>
      <c r="C154" s="16" t="n">
        <v>21</v>
      </c>
      <c r="D154" s="8" t="s">
        <v>517</v>
      </c>
      <c r="E154" s="26" t="n">
        <v>4.8</v>
      </c>
      <c r="F154" s="26"/>
      <c r="G154" s="20" t="n">
        <f aca="false">IF(N($F154)&gt;0,$F154,IF(CENARIO_CLIMA="USUARIO",0,$E154))</f>
        <v>4.8</v>
      </c>
      <c r="H154" s="18" t="n">
        <f aca="false">SUMIFS($G$8:$G$469,$C$8:$C$469,$C154)</f>
        <v>33.6</v>
      </c>
      <c r="I154" s="26" t="n">
        <v>6.45</v>
      </c>
      <c r="J154" s="26"/>
      <c r="K154" s="20" t="n">
        <f aca="false">IF(N($J154)&gt;0,$J154,IF(CENARIO_CLIMA="USUARIO",0,$I154))</f>
        <v>6.45</v>
      </c>
      <c r="L154" s="20" t="n">
        <f aca="false">MIN($K154*FATOR_CHUVA_UTIL,LIMITE_CHUVA_UTIL_DIA)</f>
        <v>5.16</v>
      </c>
      <c r="M154" s="26"/>
      <c r="N154" s="20" t="n">
        <f aca="false">IF(N($M154)&gt;0,$M154,$L154)</f>
        <v>5.16</v>
      </c>
      <c r="O154" s="8" t="str">
        <f aca="false">IF(N($F154)+N($J154)&gt;0,"Serie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4" s="8" t="str">
        <f aca="false">IF(N($M154)&gt;0,"Chuva util informada pelo usuario","MIN(Chuva bruta x FATOR_CHUVA_UTIL ; LIMITE_CHUVA_UTIL_DIA)")</f>
        <v>MIN(Chuva bruta x FATOR_CHUVA_UTIL ; LIMITE_CHUVA_UTIL_DIA)</v>
      </c>
    </row>
    <row r="155" customFormat="false" ht="15" hidden="false" customHeight="false" outlineLevel="0" collapsed="false">
      <c r="B155" s="17" t="n">
        <v>46412</v>
      </c>
      <c r="C155" s="16" t="n">
        <v>22</v>
      </c>
      <c r="D155" s="8" t="s">
        <v>517</v>
      </c>
      <c r="E155" s="26" t="n">
        <v>4.8</v>
      </c>
      <c r="F155" s="26"/>
      <c r="G155" s="20" t="n">
        <f aca="false">IF(N($F155)&gt;0,$F155,IF(CENARIO_CLIMA="USUARIO",0,$E155))</f>
        <v>4.8</v>
      </c>
      <c r="H155" s="18" t="n">
        <f aca="false">SUMIFS($G$8:$G$469,$C$8:$C$469,$C155)</f>
        <v>33.6</v>
      </c>
      <c r="I155" s="26" t="n">
        <v>6.45</v>
      </c>
      <c r="J155" s="26"/>
      <c r="K155" s="20" t="n">
        <f aca="false">IF(N($J155)&gt;0,$J155,IF(CENARIO_CLIMA="USUARIO",0,$I155))</f>
        <v>6.45</v>
      </c>
      <c r="L155" s="20" t="n">
        <f aca="false">MIN($K155*FATOR_CHUVA_UTIL,LIMITE_CHUVA_UTIL_DIA)</f>
        <v>5.16</v>
      </c>
      <c r="M155" s="26"/>
      <c r="N155" s="20" t="n">
        <f aca="false">IF(N($M155)&gt;0,$M155,$L155)</f>
        <v>5.16</v>
      </c>
      <c r="O155" s="8" t="str">
        <f aca="false">IF(N($F155)+N($J155)&gt;0,"Serie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5" s="8" t="str">
        <f aca="false">IF(N($M155)&gt;0,"Chuva util informada pelo usuario","MIN(Chuva bruta x FATOR_CHUVA_UTIL ; LIMITE_CHUVA_UTIL_DIA)")</f>
        <v>MIN(Chuva bruta x FATOR_CHUVA_UTIL ; LIMITE_CHUVA_UTIL_DIA)</v>
      </c>
    </row>
    <row r="156" customFormat="false" ht="15" hidden="false" customHeight="false" outlineLevel="0" collapsed="false">
      <c r="B156" s="17" t="n">
        <v>46413</v>
      </c>
      <c r="C156" s="16" t="n">
        <v>22</v>
      </c>
      <c r="D156" s="8" t="s">
        <v>517</v>
      </c>
      <c r="E156" s="26" t="n">
        <v>4.8</v>
      </c>
      <c r="F156" s="26"/>
      <c r="G156" s="20" t="n">
        <f aca="false">IF(N($F156)&gt;0,$F156,IF(CENARIO_CLIMA="USUARIO",0,$E156))</f>
        <v>4.8</v>
      </c>
      <c r="H156" s="18" t="n">
        <f aca="false">SUMIFS($G$8:$G$469,$C$8:$C$469,$C156)</f>
        <v>33.6</v>
      </c>
      <c r="I156" s="26" t="n">
        <v>6.45</v>
      </c>
      <c r="J156" s="26"/>
      <c r="K156" s="20" t="n">
        <f aca="false">IF(N($J156)&gt;0,$J156,IF(CENARIO_CLIMA="USUARIO",0,$I156))</f>
        <v>6.45</v>
      </c>
      <c r="L156" s="20" t="n">
        <f aca="false">MIN($K156*FATOR_CHUVA_UTIL,LIMITE_CHUVA_UTIL_DIA)</f>
        <v>5.16</v>
      </c>
      <c r="M156" s="26"/>
      <c r="N156" s="20" t="n">
        <f aca="false">IF(N($M156)&gt;0,$M156,$L156)</f>
        <v>5.16</v>
      </c>
      <c r="O156" s="8" t="str">
        <f aca="false">IF(N($F156)+N($J156)&gt;0,"Serie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6" s="8" t="str">
        <f aca="false">IF(N($M156)&gt;0,"Chuva util informada pelo usuario","MIN(Chuva bruta x FATOR_CHUVA_UTIL ; LIMITE_CHUVA_UTIL_DIA)")</f>
        <v>MIN(Chuva bruta x FATOR_CHUVA_UTIL ; LIMITE_CHUVA_UTIL_DIA)</v>
      </c>
    </row>
    <row r="157" customFormat="false" ht="15" hidden="false" customHeight="false" outlineLevel="0" collapsed="false">
      <c r="B157" s="17" t="n">
        <v>46414</v>
      </c>
      <c r="C157" s="16" t="n">
        <v>22</v>
      </c>
      <c r="D157" s="8" t="s">
        <v>517</v>
      </c>
      <c r="E157" s="26" t="n">
        <v>4.8</v>
      </c>
      <c r="F157" s="26"/>
      <c r="G157" s="20" t="n">
        <f aca="false">IF(N($F157)&gt;0,$F157,IF(CENARIO_CLIMA="USUARIO",0,$E157))</f>
        <v>4.8</v>
      </c>
      <c r="H157" s="18" t="n">
        <f aca="false">SUMIFS($G$8:$G$469,$C$8:$C$469,$C157)</f>
        <v>33.6</v>
      </c>
      <c r="I157" s="26" t="n">
        <v>6.45</v>
      </c>
      <c r="J157" s="26"/>
      <c r="K157" s="20" t="n">
        <f aca="false">IF(N($J157)&gt;0,$J157,IF(CENARIO_CLIMA="USUARIO",0,$I157))</f>
        <v>6.45</v>
      </c>
      <c r="L157" s="20" t="n">
        <f aca="false">MIN($K157*FATOR_CHUVA_UTIL,LIMITE_CHUVA_UTIL_DIA)</f>
        <v>5.16</v>
      </c>
      <c r="M157" s="26"/>
      <c r="N157" s="20" t="n">
        <f aca="false">IF(N($M157)&gt;0,$M157,$L157)</f>
        <v>5.16</v>
      </c>
      <c r="O157" s="8" t="str">
        <f aca="false">IF(N($F157)+N($J157)&gt;0,"Serie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7" s="8" t="str">
        <f aca="false">IF(N($M157)&gt;0,"Chuva util informada pelo usuario","MIN(Chuva bruta x FATOR_CHUVA_UTIL ; LIMITE_CHUVA_UTIL_DIA)")</f>
        <v>MIN(Chuva bruta x FATOR_CHUVA_UTIL ; LIMITE_CHUVA_UTIL_DIA)</v>
      </c>
    </row>
    <row r="158" customFormat="false" ht="15" hidden="false" customHeight="false" outlineLevel="0" collapsed="false">
      <c r="B158" s="17" t="n">
        <v>46415</v>
      </c>
      <c r="C158" s="16" t="n">
        <v>22</v>
      </c>
      <c r="D158" s="8" t="s">
        <v>517</v>
      </c>
      <c r="E158" s="26" t="n">
        <v>4.8</v>
      </c>
      <c r="F158" s="26"/>
      <c r="G158" s="20" t="n">
        <f aca="false">IF(N($F158)&gt;0,$F158,IF(CENARIO_CLIMA="USUARIO",0,$E158))</f>
        <v>4.8</v>
      </c>
      <c r="H158" s="18" t="n">
        <f aca="false">SUMIFS($G$8:$G$469,$C$8:$C$469,$C158)</f>
        <v>33.6</v>
      </c>
      <c r="I158" s="26" t="n">
        <v>6.45</v>
      </c>
      <c r="J158" s="26"/>
      <c r="K158" s="20" t="n">
        <f aca="false">IF(N($J158)&gt;0,$J158,IF(CENARIO_CLIMA="USUARIO",0,$I158))</f>
        <v>6.45</v>
      </c>
      <c r="L158" s="20" t="n">
        <f aca="false">MIN($K158*FATOR_CHUVA_UTIL,LIMITE_CHUVA_UTIL_DIA)</f>
        <v>5.16</v>
      </c>
      <c r="M158" s="26"/>
      <c r="N158" s="20" t="n">
        <f aca="false">IF(N($M158)&gt;0,$M158,$L158)</f>
        <v>5.16</v>
      </c>
      <c r="O158" s="8" t="str">
        <f aca="false">IF(N($F158)+N($J158)&gt;0,"Serie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8" s="8" t="str">
        <f aca="false">IF(N($M158)&gt;0,"Chuva util informada pelo usuario","MIN(Chuva bruta x FATOR_CHUVA_UTIL ; LIMITE_CHUVA_UTIL_DIA)")</f>
        <v>MIN(Chuva bruta x FATOR_CHUVA_UTIL ; LIMITE_CHUVA_UTIL_DIA)</v>
      </c>
    </row>
    <row r="159" customFormat="false" ht="15" hidden="false" customHeight="false" outlineLevel="0" collapsed="false">
      <c r="B159" s="17" t="n">
        <v>46416</v>
      </c>
      <c r="C159" s="16" t="n">
        <v>22</v>
      </c>
      <c r="D159" s="8" t="s">
        <v>517</v>
      </c>
      <c r="E159" s="26" t="n">
        <v>4.8</v>
      </c>
      <c r="F159" s="26"/>
      <c r="G159" s="20" t="n">
        <f aca="false">IF(N($F159)&gt;0,$F159,IF(CENARIO_CLIMA="USUARIO",0,$E159))</f>
        <v>4.8</v>
      </c>
      <c r="H159" s="18" t="n">
        <f aca="false">SUMIFS($G$8:$G$469,$C$8:$C$469,$C159)</f>
        <v>33.6</v>
      </c>
      <c r="I159" s="26" t="n">
        <v>6.45</v>
      </c>
      <c r="J159" s="26"/>
      <c r="K159" s="20" t="n">
        <f aca="false">IF(N($J159)&gt;0,$J159,IF(CENARIO_CLIMA="USUARIO",0,$I159))</f>
        <v>6.45</v>
      </c>
      <c r="L159" s="20" t="n">
        <f aca="false">MIN($K159*FATOR_CHUVA_UTIL,LIMITE_CHUVA_UTIL_DIA)</f>
        <v>5.16</v>
      </c>
      <c r="M159" s="26"/>
      <c r="N159" s="20" t="n">
        <f aca="false">IF(N($M159)&gt;0,$M159,$L159)</f>
        <v>5.16</v>
      </c>
      <c r="O159" s="8" t="str">
        <f aca="false">IF(N($F159)+N($J159)&gt;0,"Serie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59" s="8" t="str">
        <f aca="false">IF(N($M159)&gt;0,"Chuva util informada pelo usuario","MIN(Chuva bruta x FATOR_CHUVA_UTIL ; LIMITE_CHUVA_UTIL_DIA)")</f>
        <v>MIN(Chuva bruta x FATOR_CHUVA_UTIL ; LIMITE_CHUVA_UTIL_DIA)</v>
      </c>
    </row>
    <row r="160" customFormat="false" ht="15" hidden="false" customHeight="false" outlineLevel="0" collapsed="false">
      <c r="B160" s="17" t="n">
        <v>46417</v>
      </c>
      <c r="C160" s="16" t="n">
        <v>22</v>
      </c>
      <c r="D160" s="8" t="s">
        <v>517</v>
      </c>
      <c r="E160" s="26" t="n">
        <v>4.8</v>
      </c>
      <c r="F160" s="26"/>
      <c r="G160" s="20" t="n">
        <f aca="false">IF(N($F160)&gt;0,$F160,IF(CENARIO_CLIMA="USUARIO",0,$E160))</f>
        <v>4.8</v>
      </c>
      <c r="H160" s="18" t="n">
        <f aca="false">SUMIFS($G$8:$G$469,$C$8:$C$469,$C160)</f>
        <v>33.6</v>
      </c>
      <c r="I160" s="26" t="n">
        <v>6.45</v>
      </c>
      <c r="J160" s="26"/>
      <c r="K160" s="20" t="n">
        <f aca="false">IF(N($J160)&gt;0,$J160,IF(CENARIO_CLIMA="USUARIO",0,$I160))</f>
        <v>6.45</v>
      </c>
      <c r="L160" s="20" t="n">
        <f aca="false">MIN($K160*FATOR_CHUVA_UTIL,LIMITE_CHUVA_UTIL_DIA)</f>
        <v>5.16</v>
      </c>
      <c r="M160" s="26"/>
      <c r="N160" s="20" t="n">
        <f aca="false">IF(N($M160)&gt;0,$M160,$L160)</f>
        <v>5.16</v>
      </c>
      <c r="O160" s="8" t="str">
        <f aca="false">IF(N($F160)+N($J160)&gt;0,"Serie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0" s="8" t="str">
        <f aca="false">IF(N($M160)&gt;0,"Chuva util informada pelo usuario","MIN(Chuva bruta x FATOR_CHUVA_UTIL ; LIMITE_CHUVA_UTIL_DIA)")</f>
        <v>MIN(Chuva bruta x FATOR_CHUVA_UTIL ; LIMITE_CHUVA_UTIL_DIA)</v>
      </c>
    </row>
    <row r="161" customFormat="false" ht="15" hidden="false" customHeight="false" outlineLevel="0" collapsed="false">
      <c r="B161" s="17" t="n">
        <v>46418</v>
      </c>
      <c r="C161" s="16" t="n">
        <v>22</v>
      </c>
      <c r="D161" s="8" t="s">
        <v>517</v>
      </c>
      <c r="E161" s="26" t="n">
        <v>4.8</v>
      </c>
      <c r="F161" s="26"/>
      <c r="G161" s="20" t="n">
        <f aca="false">IF(N($F161)&gt;0,$F161,IF(CENARIO_CLIMA="USUARIO",0,$E161))</f>
        <v>4.8</v>
      </c>
      <c r="H161" s="18" t="n">
        <f aca="false">SUMIFS($G$8:$G$469,$C$8:$C$469,$C161)</f>
        <v>33.6</v>
      </c>
      <c r="I161" s="26" t="n">
        <v>6.45</v>
      </c>
      <c r="J161" s="26"/>
      <c r="K161" s="20" t="n">
        <f aca="false">IF(N($J161)&gt;0,$J161,IF(CENARIO_CLIMA="USUARIO",0,$I161))</f>
        <v>6.45</v>
      </c>
      <c r="L161" s="20" t="n">
        <f aca="false">MIN($K161*FATOR_CHUVA_UTIL,LIMITE_CHUVA_UTIL_DIA)</f>
        <v>5.16</v>
      </c>
      <c r="M161" s="26"/>
      <c r="N161" s="20" t="n">
        <f aca="false">IF(N($M161)&gt;0,$M161,$L161)</f>
        <v>5.16</v>
      </c>
      <c r="O161" s="8" t="str">
        <f aca="false">IF(N($F161)+N($J161)&gt;0,"Serie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1" s="8" t="str">
        <f aca="false">IF(N($M161)&gt;0,"Chuva util informada pelo usuario","MIN(Chuva bruta x FATOR_CHUVA_UTIL ; LIMITE_CHUVA_UTIL_DIA)")</f>
        <v>MIN(Chuva bruta x FATOR_CHUVA_UTIL ; LIMITE_CHUVA_UTIL_DIA)</v>
      </c>
    </row>
    <row r="162" customFormat="false" ht="15" hidden="false" customHeight="false" outlineLevel="0" collapsed="false">
      <c r="B162" s="17" t="n">
        <v>46419</v>
      </c>
      <c r="C162" s="16" t="n">
        <v>23</v>
      </c>
      <c r="D162" s="8" t="s">
        <v>518</v>
      </c>
      <c r="E162" s="26" t="n">
        <v>4.7</v>
      </c>
      <c r="F162" s="26"/>
      <c r="G162" s="20" t="n">
        <f aca="false">IF(N($F162)&gt;0,$F162,IF(CENARIO_CLIMA="USUARIO",0,$E162))</f>
        <v>4.7</v>
      </c>
      <c r="H162" s="18" t="n">
        <f aca="false">SUMIFS($G$8:$G$469,$C$8:$C$469,$C162)</f>
        <v>32.9</v>
      </c>
      <c r="I162" s="26" t="n">
        <v>5.71</v>
      </c>
      <c r="J162" s="26"/>
      <c r="K162" s="20" t="n">
        <f aca="false">IF(N($J162)&gt;0,$J162,IF(CENARIO_CLIMA="USUARIO",0,$I162))</f>
        <v>5.71</v>
      </c>
      <c r="L162" s="20" t="n">
        <f aca="false">MIN($K162*FATOR_CHUVA_UTIL,LIMITE_CHUVA_UTIL_DIA)</f>
        <v>4.568</v>
      </c>
      <c r="M162" s="26"/>
      <c r="N162" s="20" t="n">
        <f aca="false">IF(N($M162)&gt;0,$M162,$L162)</f>
        <v>4.568</v>
      </c>
      <c r="O162" s="8" t="str">
        <f aca="false">IF(N($F162)+N($J162)&gt;0,"Serie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2" s="8" t="str">
        <f aca="false">IF(N($M162)&gt;0,"Chuva util informada pelo usuario","MIN(Chuva bruta x FATOR_CHUVA_UTIL ; LIMITE_CHUVA_UTIL_DIA)")</f>
        <v>MIN(Chuva bruta x FATOR_CHUVA_UTIL ; LIMITE_CHUVA_UTIL_DIA)</v>
      </c>
    </row>
    <row r="163" customFormat="false" ht="15" hidden="false" customHeight="false" outlineLevel="0" collapsed="false">
      <c r="B163" s="17" t="n">
        <v>46420</v>
      </c>
      <c r="C163" s="16" t="n">
        <v>23</v>
      </c>
      <c r="D163" s="8" t="s">
        <v>518</v>
      </c>
      <c r="E163" s="26" t="n">
        <v>4.7</v>
      </c>
      <c r="F163" s="26"/>
      <c r="G163" s="20" t="n">
        <f aca="false">IF(N($F163)&gt;0,$F163,IF(CENARIO_CLIMA="USUARIO",0,$E163))</f>
        <v>4.7</v>
      </c>
      <c r="H163" s="18" t="n">
        <f aca="false">SUMIFS($G$8:$G$469,$C$8:$C$469,$C163)</f>
        <v>32.9</v>
      </c>
      <c r="I163" s="26" t="n">
        <v>5.71</v>
      </c>
      <c r="J163" s="26"/>
      <c r="K163" s="20" t="n">
        <f aca="false">IF(N($J163)&gt;0,$J163,IF(CENARIO_CLIMA="USUARIO",0,$I163))</f>
        <v>5.71</v>
      </c>
      <c r="L163" s="20" t="n">
        <f aca="false">MIN($K163*FATOR_CHUVA_UTIL,LIMITE_CHUVA_UTIL_DIA)</f>
        <v>4.568</v>
      </c>
      <c r="M163" s="26"/>
      <c r="N163" s="20" t="n">
        <f aca="false">IF(N($M163)&gt;0,$M163,$L163)</f>
        <v>4.568</v>
      </c>
      <c r="O163" s="8" t="str">
        <f aca="false">IF(N($F163)+N($J163)&gt;0,"Serie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3" s="8" t="str">
        <f aca="false">IF(N($M163)&gt;0,"Chuva util informada pelo usuario","MIN(Chuva bruta x FATOR_CHUVA_UTIL ; LIMITE_CHUVA_UTIL_DIA)")</f>
        <v>MIN(Chuva bruta x FATOR_CHUVA_UTIL ; LIMITE_CHUVA_UTIL_DIA)</v>
      </c>
    </row>
    <row r="164" customFormat="false" ht="15" hidden="false" customHeight="false" outlineLevel="0" collapsed="false">
      <c r="B164" s="17" t="n">
        <v>46421</v>
      </c>
      <c r="C164" s="16" t="n">
        <v>23</v>
      </c>
      <c r="D164" s="8" t="s">
        <v>518</v>
      </c>
      <c r="E164" s="26" t="n">
        <v>4.7</v>
      </c>
      <c r="F164" s="26"/>
      <c r="G164" s="20" t="n">
        <f aca="false">IF(N($F164)&gt;0,$F164,IF(CENARIO_CLIMA="USUARIO",0,$E164))</f>
        <v>4.7</v>
      </c>
      <c r="H164" s="18" t="n">
        <f aca="false">SUMIFS($G$8:$G$469,$C$8:$C$469,$C164)</f>
        <v>32.9</v>
      </c>
      <c r="I164" s="26" t="n">
        <v>5.71</v>
      </c>
      <c r="J164" s="26"/>
      <c r="K164" s="20" t="n">
        <f aca="false">IF(N($J164)&gt;0,$J164,IF(CENARIO_CLIMA="USUARIO",0,$I164))</f>
        <v>5.71</v>
      </c>
      <c r="L164" s="20" t="n">
        <f aca="false">MIN($K164*FATOR_CHUVA_UTIL,LIMITE_CHUVA_UTIL_DIA)</f>
        <v>4.568</v>
      </c>
      <c r="M164" s="26"/>
      <c r="N164" s="20" t="n">
        <f aca="false">IF(N($M164)&gt;0,$M164,$L164)</f>
        <v>4.568</v>
      </c>
      <c r="O164" s="8" t="str">
        <f aca="false">IF(N($F164)+N($J164)&gt;0,"Serie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4" s="8" t="str">
        <f aca="false">IF(N($M164)&gt;0,"Chuva util informada pelo usuario","MIN(Chuva bruta x FATOR_CHUVA_UTIL ; LIMITE_CHUVA_UTIL_DIA)")</f>
        <v>MIN(Chuva bruta x FATOR_CHUVA_UTIL ; LIMITE_CHUVA_UTIL_DIA)</v>
      </c>
    </row>
    <row r="165" customFormat="false" ht="15" hidden="false" customHeight="false" outlineLevel="0" collapsed="false">
      <c r="B165" s="17" t="n">
        <v>46422</v>
      </c>
      <c r="C165" s="16" t="n">
        <v>23</v>
      </c>
      <c r="D165" s="8" t="s">
        <v>518</v>
      </c>
      <c r="E165" s="26" t="n">
        <v>4.7</v>
      </c>
      <c r="F165" s="26"/>
      <c r="G165" s="20" t="n">
        <f aca="false">IF(N($F165)&gt;0,$F165,IF(CENARIO_CLIMA="USUARIO",0,$E165))</f>
        <v>4.7</v>
      </c>
      <c r="H165" s="18" t="n">
        <f aca="false">SUMIFS($G$8:$G$469,$C$8:$C$469,$C165)</f>
        <v>32.9</v>
      </c>
      <c r="I165" s="26" t="n">
        <v>5.71</v>
      </c>
      <c r="J165" s="26"/>
      <c r="K165" s="20" t="n">
        <f aca="false">IF(N($J165)&gt;0,$J165,IF(CENARIO_CLIMA="USUARIO",0,$I165))</f>
        <v>5.71</v>
      </c>
      <c r="L165" s="20" t="n">
        <f aca="false">MIN($K165*FATOR_CHUVA_UTIL,LIMITE_CHUVA_UTIL_DIA)</f>
        <v>4.568</v>
      </c>
      <c r="M165" s="26"/>
      <c r="N165" s="20" t="n">
        <f aca="false">IF(N($M165)&gt;0,$M165,$L165)</f>
        <v>4.568</v>
      </c>
      <c r="O165" s="8" t="str">
        <f aca="false">IF(N($F165)+N($J165)&gt;0,"Serie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5" s="8" t="str">
        <f aca="false">IF(N($M165)&gt;0,"Chuva util informada pelo usuario","MIN(Chuva bruta x FATOR_CHUVA_UTIL ; LIMITE_CHUVA_UTIL_DIA)")</f>
        <v>MIN(Chuva bruta x FATOR_CHUVA_UTIL ; LIMITE_CHUVA_UTIL_DIA)</v>
      </c>
    </row>
    <row r="166" customFormat="false" ht="15" hidden="false" customHeight="false" outlineLevel="0" collapsed="false">
      <c r="B166" s="17" t="n">
        <v>46423</v>
      </c>
      <c r="C166" s="16" t="n">
        <v>23</v>
      </c>
      <c r="D166" s="8" t="s">
        <v>518</v>
      </c>
      <c r="E166" s="26" t="n">
        <v>4.7</v>
      </c>
      <c r="F166" s="26"/>
      <c r="G166" s="20" t="n">
        <f aca="false">IF(N($F166)&gt;0,$F166,IF(CENARIO_CLIMA="USUARIO",0,$E166))</f>
        <v>4.7</v>
      </c>
      <c r="H166" s="18" t="n">
        <f aca="false">SUMIFS($G$8:$G$469,$C$8:$C$469,$C166)</f>
        <v>32.9</v>
      </c>
      <c r="I166" s="26" t="n">
        <v>5.71</v>
      </c>
      <c r="J166" s="26"/>
      <c r="K166" s="20" t="n">
        <f aca="false">IF(N($J166)&gt;0,$J166,IF(CENARIO_CLIMA="USUARIO",0,$I166))</f>
        <v>5.71</v>
      </c>
      <c r="L166" s="20" t="n">
        <f aca="false">MIN($K166*FATOR_CHUVA_UTIL,LIMITE_CHUVA_UTIL_DIA)</f>
        <v>4.568</v>
      </c>
      <c r="M166" s="26"/>
      <c r="N166" s="20" t="n">
        <f aca="false">IF(N($M166)&gt;0,$M166,$L166)</f>
        <v>4.568</v>
      </c>
      <c r="O166" s="8" t="str">
        <f aca="false">IF(N($F166)+N($J166)&gt;0,"Serie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6" s="8" t="str">
        <f aca="false">IF(N($M166)&gt;0,"Chuva util informada pelo usuario","MIN(Chuva bruta x FATOR_CHUVA_UTIL ; LIMITE_CHUVA_UTIL_DIA)")</f>
        <v>MIN(Chuva bruta x FATOR_CHUVA_UTIL ; LIMITE_CHUVA_UTIL_DIA)</v>
      </c>
    </row>
    <row r="167" customFormat="false" ht="15" hidden="false" customHeight="false" outlineLevel="0" collapsed="false">
      <c r="B167" s="17" t="n">
        <v>46424</v>
      </c>
      <c r="C167" s="16" t="n">
        <v>23</v>
      </c>
      <c r="D167" s="8" t="s">
        <v>518</v>
      </c>
      <c r="E167" s="26" t="n">
        <v>4.7</v>
      </c>
      <c r="F167" s="26"/>
      <c r="G167" s="20" t="n">
        <f aca="false">IF(N($F167)&gt;0,$F167,IF(CENARIO_CLIMA="USUARIO",0,$E167))</f>
        <v>4.7</v>
      </c>
      <c r="H167" s="18" t="n">
        <f aca="false">SUMIFS($G$8:$G$469,$C$8:$C$469,$C167)</f>
        <v>32.9</v>
      </c>
      <c r="I167" s="26" t="n">
        <v>5.71</v>
      </c>
      <c r="J167" s="26"/>
      <c r="K167" s="20" t="n">
        <f aca="false">IF(N($J167)&gt;0,$J167,IF(CENARIO_CLIMA="USUARIO",0,$I167))</f>
        <v>5.71</v>
      </c>
      <c r="L167" s="20" t="n">
        <f aca="false">MIN($K167*FATOR_CHUVA_UTIL,LIMITE_CHUVA_UTIL_DIA)</f>
        <v>4.568</v>
      </c>
      <c r="M167" s="26"/>
      <c r="N167" s="20" t="n">
        <f aca="false">IF(N($M167)&gt;0,$M167,$L167)</f>
        <v>4.568</v>
      </c>
      <c r="O167" s="8" t="str">
        <f aca="false">IF(N($F167)+N($J167)&gt;0,"Serie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7" s="8" t="str">
        <f aca="false">IF(N($M167)&gt;0,"Chuva util informada pelo usuario","MIN(Chuva bruta x FATOR_CHUVA_UTIL ; LIMITE_CHUVA_UTIL_DIA)")</f>
        <v>MIN(Chuva bruta x FATOR_CHUVA_UTIL ; LIMITE_CHUVA_UTIL_DIA)</v>
      </c>
    </row>
    <row r="168" customFormat="false" ht="15" hidden="false" customHeight="false" outlineLevel="0" collapsed="false">
      <c r="B168" s="17" t="n">
        <v>46425</v>
      </c>
      <c r="C168" s="16" t="n">
        <v>23</v>
      </c>
      <c r="D168" s="8" t="s">
        <v>518</v>
      </c>
      <c r="E168" s="26" t="n">
        <v>4.7</v>
      </c>
      <c r="F168" s="26"/>
      <c r="G168" s="20" t="n">
        <f aca="false">IF(N($F168)&gt;0,$F168,IF(CENARIO_CLIMA="USUARIO",0,$E168))</f>
        <v>4.7</v>
      </c>
      <c r="H168" s="18" t="n">
        <f aca="false">SUMIFS($G$8:$G$469,$C$8:$C$469,$C168)</f>
        <v>32.9</v>
      </c>
      <c r="I168" s="26" t="n">
        <v>5.71</v>
      </c>
      <c r="J168" s="26"/>
      <c r="K168" s="20" t="n">
        <f aca="false">IF(N($J168)&gt;0,$J168,IF(CENARIO_CLIMA="USUARIO",0,$I168))</f>
        <v>5.71</v>
      </c>
      <c r="L168" s="20" t="n">
        <f aca="false">MIN($K168*FATOR_CHUVA_UTIL,LIMITE_CHUVA_UTIL_DIA)</f>
        <v>4.568</v>
      </c>
      <c r="M168" s="26"/>
      <c r="N168" s="20" t="n">
        <f aca="false">IF(N($M168)&gt;0,$M168,$L168)</f>
        <v>4.568</v>
      </c>
      <c r="O168" s="8" t="str">
        <f aca="false">IF(N($F168)+N($J168)&gt;0,"Serie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8" s="8" t="str">
        <f aca="false">IF(N($M168)&gt;0,"Chuva util informada pelo usuario","MIN(Chuva bruta x FATOR_CHUVA_UTIL ; LIMITE_CHUVA_UTIL_DIA)")</f>
        <v>MIN(Chuva bruta x FATOR_CHUVA_UTIL ; LIMITE_CHUVA_UTIL_DIA)</v>
      </c>
    </row>
    <row r="169" customFormat="false" ht="15" hidden="false" customHeight="false" outlineLevel="0" collapsed="false">
      <c r="B169" s="17" t="n">
        <v>46426</v>
      </c>
      <c r="C169" s="16" t="n">
        <v>24</v>
      </c>
      <c r="D169" s="8" t="s">
        <v>518</v>
      </c>
      <c r="E169" s="26" t="n">
        <v>4.7</v>
      </c>
      <c r="F169" s="26"/>
      <c r="G169" s="20" t="n">
        <f aca="false">IF(N($F169)&gt;0,$F169,IF(CENARIO_CLIMA="USUARIO",0,$E169))</f>
        <v>4.7</v>
      </c>
      <c r="H169" s="18" t="n">
        <f aca="false">SUMIFS($G$8:$G$469,$C$8:$C$469,$C169)</f>
        <v>32.9</v>
      </c>
      <c r="I169" s="26" t="n">
        <v>5.71</v>
      </c>
      <c r="J169" s="26"/>
      <c r="K169" s="20" t="n">
        <f aca="false">IF(N($J169)&gt;0,$J169,IF(CENARIO_CLIMA="USUARIO",0,$I169))</f>
        <v>5.71</v>
      </c>
      <c r="L169" s="20" t="n">
        <f aca="false">MIN($K169*FATOR_CHUVA_UTIL,LIMITE_CHUVA_UTIL_DIA)</f>
        <v>4.568</v>
      </c>
      <c r="M169" s="26"/>
      <c r="N169" s="20" t="n">
        <f aca="false">IF(N($M169)&gt;0,$M169,$L169)</f>
        <v>4.568</v>
      </c>
      <c r="O169" s="8" t="str">
        <f aca="false">IF(N($F169)+N($J169)&gt;0,"Serie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69" s="8" t="str">
        <f aca="false">IF(N($M169)&gt;0,"Chuva util informada pelo usuario","MIN(Chuva bruta x FATOR_CHUVA_UTIL ; LIMITE_CHUVA_UTIL_DIA)")</f>
        <v>MIN(Chuva bruta x FATOR_CHUVA_UTIL ; LIMITE_CHUVA_UTIL_DIA)</v>
      </c>
    </row>
    <row r="170" customFormat="false" ht="15" hidden="false" customHeight="false" outlineLevel="0" collapsed="false">
      <c r="B170" s="17" t="n">
        <v>46427</v>
      </c>
      <c r="C170" s="16" t="n">
        <v>24</v>
      </c>
      <c r="D170" s="8" t="s">
        <v>518</v>
      </c>
      <c r="E170" s="26" t="n">
        <v>4.7</v>
      </c>
      <c r="F170" s="26"/>
      <c r="G170" s="20" t="n">
        <f aca="false">IF(N($F170)&gt;0,$F170,IF(CENARIO_CLIMA="USUARIO",0,$E170))</f>
        <v>4.7</v>
      </c>
      <c r="H170" s="18" t="n">
        <f aca="false">SUMIFS($G$8:$G$469,$C$8:$C$469,$C170)</f>
        <v>32.9</v>
      </c>
      <c r="I170" s="26" t="n">
        <v>5.71</v>
      </c>
      <c r="J170" s="26"/>
      <c r="K170" s="20" t="n">
        <f aca="false">IF(N($J170)&gt;0,$J170,IF(CENARIO_CLIMA="USUARIO",0,$I170))</f>
        <v>5.71</v>
      </c>
      <c r="L170" s="20" t="n">
        <f aca="false">MIN($K170*FATOR_CHUVA_UTIL,LIMITE_CHUVA_UTIL_DIA)</f>
        <v>4.568</v>
      </c>
      <c r="M170" s="26"/>
      <c r="N170" s="20" t="n">
        <f aca="false">IF(N($M170)&gt;0,$M170,$L170)</f>
        <v>4.568</v>
      </c>
      <c r="O170" s="8" t="str">
        <f aca="false">IF(N($F170)+N($J170)&gt;0,"Serie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0" s="8" t="str">
        <f aca="false">IF(N($M170)&gt;0,"Chuva util informada pelo usuario","MIN(Chuva bruta x FATOR_CHUVA_UTIL ; LIMITE_CHUVA_UTIL_DIA)")</f>
        <v>MIN(Chuva bruta x FATOR_CHUVA_UTIL ; LIMITE_CHUVA_UTIL_DIA)</v>
      </c>
    </row>
    <row r="171" customFormat="false" ht="15" hidden="false" customHeight="false" outlineLevel="0" collapsed="false">
      <c r="B171" s="17" t="n">
        <v>46428</v>
      </c>
      <c r="C171" s="16" t="n">
        <v>24</v>
      </c>
      <c r="D171" s="8" t="s">
        <v>518</v>
      </c>
      <c r="E171" s="26" t="n">
        <v>4.7</v>
      </c>
      <c r="F171" s="26"/>
      <c r="G171" s="20" t="n">
        <f aca="false">IF(N($F171)&gt;0,$F171,IF(CENARIO_CLIMA="USUARIO",0,$E171))</f>
        <v>4.7</v>
      </c>
      <c r="H171" s="18" t="n">
        <f aca="false">SUMIFS($G$8:$G$469,$C$8:$C$469,$C171)</f>
        <v>32.9</v>
      </c>
      <c r="I171" s="26" t="n">
        <v>5.71</v>
      </c>
      <c r="J171" s="26"/>
      <c r="K171" s="20" t="n">
        <f aca="false">IF(N($J171)&gt;0,$J171,IF(CENARIO_CLIMA="USUARIO",0,$I171))</f>
        <v>5.71</v>
      </c>
      <c r="L171" s="20" t="n">
        <f aca="false">MIN($K171*FATOR_CHUVA_UTIL,LIMITE_CHUVA_UTIL_DIA)</f>
        <v>4.568</v>
      </c>
      <c r="M171" s="26"/>
      <c r="N171" s="20" t="n">
        <f aca="false">IF(N($M171)&gt;0,$M171,$L171)</f>
        <v>4.568</v>
      </c>
      <c r="O171" s="8" t="str">
        <f aca="false">IF(N($F171)+N($J171)&gt;0,"Serie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1" s="8" t="str">
        <f aca="false">IF(N($M171)&gt;0,"Chuva util informada pelo usuario","MIN(Chuva bruta x FATOR_CHUVA_UTIL ; LIMITE_CHUVA_UTIL_DIA)")</f>
        <v>MIN(Chuva bruta x FATOR_CHUVA_UTIL ; LIMITE_CHUVA_UTIL_DIA)</v>
      </c>
    </row>
    <row r="172" customFormat="false" ht="15" hidden="false" customHeight="false" outlineLevel="0" collapsed="false">
      <c r="B172" s="17" t="n">
        <v>46429</v>
      </c>
      <c r="C172" s="16" t="n">
        <v>24</v>
      </c>
      <c r="D172" s="8" t="s">
        <v>518</v>
      </c>
      <c r="E172" s="26" t="n">
        <v>4.7</v>
      </c>
      <c r="F172" s="26"/>
      <c r="G172" s="20" t="n">
        <f aca="false">IF(N($F172)&gt;0,$F172,IF(CENARIO_CLIMA="USUARIO",0,$E172))</f>
        <v>4.7</v>
      </c>
      <c r="H172" s="18" t="n">
        <f aca="false">SUMIFS($G$8:$G$469,$C$8:$C$469,$C172)</f>
        <v>32.9</v>
      </c>
      <c r="I172" s="26" t="n">
        <v>5.71</v>
      </c>
      <c r="J172" s="26"/>
      <c r="K172" s="20" t="n">
        <f aca="false">IF(N($J172)&gt;0,$J172,IF(CENARIO_CLIMA="USUARIO",0,$I172))</f>
        <v>5.71</v>
      </c>
      <c r="L172" s="20" t="n">
        <f aca="false">MIN($K172*FATOR_CHUVA_UTIL,LIMITE_CHUVA_UTIL_DIA)</f>
        <v>4.568</v>
      </c>
      <c r="M172" s="26"/>
      <c r="N172" s="20" t="n">
        <f aca="false">IF(N($M172)&gt;0,$M172,$L172)</f>
        <v>4.568</v>
      </c>
      <c r="O172" s="8" t="str">
        <f aca="false">IF(N($F172)+N($J172)&gt;0,"Serie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2" s="8" t="str">
        <f aca="false">IF(N($M172)&gt;0,"Chuva util informada pelo usuario","MIN(Chuva bruta x FATOR_CHUVA_UTIL ; LIMITE_CHUVA_UTIL_DIA)")</f>
        <v>MIN(Chuva bruta x FATOR_CHUVA_UTIL ; LIMITE_CHUVA_UTIL_DIA)</v>
      </c>
    </row>
    <row r="173" customFormat="false" ht="15" hidden="false" customHeight="false" outlineLevel="0" collapsed="false">
      <c r="B173" s="17" t="n">
        <v>46430</v>
      </c>
      <c r="C173" s="16" t="n">
        <v>24</v>
      </c>
      <c r="D173" s="8" t="s">
        <v>518</v>
      </c>
      <c r="E173" s="26" t="n">
        <v>4.7</v>
      </c>
      <c r="F173" s="26"/>
      <c r="G173" s="20" t="n">
        <f aca="false">IF(N($F173)&gt;0,$F173,IF(CENARIO_CLIMA="USUARIO",0,$E173))</f>
        <v>4.7</v>
      </c>
      <c r="H173" s="18" t="n">
        <f aca="false">SUMIFS($G$8:$G$469,$C$8:$C$469,$C173)</f>
        <v>32.9</v>
      </c>
      <c r="I173" s="26" t="n">
        <v>5.71</v>
      </c>
      <c r="J173" s="26"/>
      <c r="K173" s="20" t="n">
        <f aca="false">IF(N($J173)&gt;0,$J173,IF(CENARIO_CLIMA="USUARIO",0,$I173))</f>
        <v>5.71</v>
      </c>
      <c r="L173" s="20" t="n">
        <f aca="false">MIN($K173*FATOR_CHUVA_UTIL,LIMITE_CHUVA_UTIL_DIA)</f>
        <v>4.568</v>
      </c>
      <c r="M173" s="26"/>
      <c r="N173" s="20" t="n">
        <f aca="false">IF(N($M173)&gt;0,$M173,$L173)</f>
        <v>4.568</v>
      </c>
      <c r="O173" s="8" t="str">
        <f aca="false">IF(N($F173)+N($J173)&gt;0,"Serie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3" s="8" t="str">
        <f aca="false">IF(N($M173)&gt;0,"Chuva util informada pelo usuario","MIN(Chuva bruta x FATOR_CHUVA_UTIL ; LIMITE_CHUVA_UTIL_DIA)")</f>
        <v>MIN(Chuva bruta x FATOR_CHUVA_UTIL ; LIMITE_CHUVA_UTIL_DIA)</v>
      </c>
    </row>
    <row r="174" customFormat="false" ht="15" hidden="false" customHeight="false" outlineLevel="0" collapsed="false">
      <c r="B174" s="17" t="n">
        <v>46431</v>
      </c>
      <c r="C174" s="16" t="n">
        <v>24</v>
      </c>
      <c r="D174" s="8" t="s">
        <v>518</v>
      </c>
      <c r="E174" s="26" t="n">
        <v>4.7</v>
      </c>
      <c r="F174" s="26"/>
      <c r="G174" s="20" t="n">
        <f aca="false">IF(N($F174)&gt;0,$F174,IF(CENARIO_CLIMA="USUARIO",0,$E174))</f>
        <v>4.7</v>
      </c>
      <c r="H174" s="18" t="n">
        <f aca="false">SUMIFS($G$8:$G$469,$C$8:$C$469,$C174)</f>
        <v>32.9</v>
      </c>
      <c r="I174" s="26" t="n">
        <v>5.71</v>
      </c>
      <c r="J174" s="26"/>
      <c r="K174" s="20" t="n">
        <f aca="false">IF(N($J174)&gt;0,$J174,IF(CENARIO_CLIMA="USUARIO",0,$I174))</f>
        <v>5.71</v>
      </c>
      <c r="L174" s="20" t="n">
        <f aca="false">MIN($K174*FATOR_CHUVA_UTIL,LIMITE_CHUVA_UTIL_DIA)</f>
        <v>4.568</v>
      </c>
      <c r="M174" s="26"/>
      <c r="N174" s="20" t="n">
        <f aca="false">IF(N($M174)&gt;0,$M174,$L174)</f>
        <v>4.568</v>
      </c>
      <c r="O174" s="8" t="str">
        <f aca="false">IF(N($F174)+N($J174)&gt;0,"Serie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4" s="8" t="str">
        <f aca="false">IF(N($M174)&gt;0,"Chuva util informada pelo usuario","MIN(Chuva bruta x FATOR_CHUVA_UTIL ; LIMITE_CHUVA_UTIL_DIA)")</f>
        <v>MIN(Chuva bruta x FATOR_CHUVA_UTIL ; LIMITE_CHUVA_UTIL_DIA)</v>
      </c>
    </row>
    <row r="175" customFormat="false" ht="15" hidden="false" customHeight="false" outlineLevel="0" collapsed="false">
      <c r="B175" s="17" t="n">
        <v>46432</v>
      </c>
      <c r="C175" s="16" t="n">
        <v>24</v>
      </c>
      <c r="D175" s="8" t="s">
        <v>518</v>
      </c>
      <c r="E175" s="26" t="n">
        <v>4.7</v>
      </c>
      <c r="F175" s="26"/>
      <c r="G175" s="20" t="n">
        <f aca="false">IF(N($F175)&gt;0,$F175,IF(CENARIO_CLIMA="USUARIO",0,$E175))</f>
        <v>4.7</v>
      </c>
      <c r="H175" s="18" t="n">
        <f aca="false">SUMIFS($G$8:$G$469,$C$8:$C$469,$C175)</f>
        <v>32.9</v>
      </c>
      <c r="I175" s="26" t="n">
        <v>5.71</v>
      </c>
      <c r="J175" s="26"/>
      <c r="K175" s="20" t="n">
        <f aca="false">IF(N($J175)&gt;0,$J175,IF(CENARIO_CLIMA="USUARIO",0,$I175))</f>
        <v>5.71</v>
      </c>
      <c r="L175" s="20" t="n">
        <f aca="false">MIN($K175*FATOR_CHUVA_UTIL,LIMITE_CHUVA_UTIL_DIA)</f>
        <v>4.568</v>
      </c>
      <c r="M175" s="26"/>
      <c r="N175" s="20" t="n">
        <f aca="false">IF(N($M175)&gt;0,$M175,$L175)</f>
        <v>4.568</v>
      </c>
      <c r="O175" s="8" t="str">
        <f aca="false">IF(N($F175)+N($J175)&gt;0,"Serie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5" s="8" t="str">
        <f aca="false">IF(N($M175)&gt;0,"Chuva util informada pelo usuario","MIN(Chuva bruta x FATOR_CHUVA_UTIL ; LIMITE_CHUVA_UTIL_DIA)")</f>
        <v>MIN(Chuva bruta x FATOR_CHUVA_UTIL ; LIMITE_CHUVA_UTIL_DIA)</v>
      </c>
    </row>
    <row r="176" customFormat="false" ht="15" hidden="false" customHeight="false" outlineLevel="0" collapsed="false">
      <c r="B176" s="17" t="n">
        <v>46433</v>
      </c>
      <c r="C176" s="16" t="n">
        <v>25</v>
      </c>
      <c r="D176" s="8" t="s">
        <v>518</v>
      </c>
      <c r="E176" s="26" t="n">
        <v>4.7</v>
      </c>
      <c r="F176" s="26"/>
      <c r="G176" s="20" t="n">
        <f aca="false">IF(N($F176)&gt;0,$F176,IF(CENARIO_CLIMA="USUARIO",0,$E176))</f>
        <v>4.7</v>
      </c>
      <c r="H176" s="18" t="n">
        <f aca="false">SUMIFS($G$8:$G$469,$C$8:$C$469,$C176)</f>
        <v>32.9</v>
      </c>
      <c r="I176" s="26" t="n">
        <v>5.71</v>
      </c>
      <c r="J176" s="26"/>
      <c r="K176" s="20" t="n">
        <f aca="false">IF(N($J176)&gt;0,$J176,IF(CENARIO_CLIMA="USUARIO",0,$I176))</f>
        <v>5.71</v>
      </c>
      <c r="L176" s="20" t="n">
        <f aca="false">MIN($K176*FATOR_CHUVA_UTIL,LIMITE_CHUVA_UTIL_DIA)</f>
        <v>4.568</v>
      </c>
      <c r="M176" s="26"/>
      <c r="N176" s="20" t="n">
        <f aca="false">IF(N($M176)&gt;0,$M176,$L176)</f>
        <v>4.568</v>
      </c>
      <c r="O176" s="8" t="str">
        <f aca="false">IF(N($F176)+N($J176)&gt;0,"Serie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6" s="8" t="str">
        <f aca="false">IF(N($M176)&gt;0,"Chuva util informada pelo usuario","MIN(Chuva bruta x FATOR_CHUVA_UTIL ; LIMITE_CHUVA_UTIL_DIA)")</f>
        <v>MIN(Chuva bruta x FATOR_CHUVA_UTIL ; LIMITE_CHUVA_UTIL_DIA)</v>
      </c>
    </row>
    <row r="177" customFormat="false" ht="15" hidden="false" customHeight="false" outlineLevel="0" collapsed="false">
      <c r="B177" s="17" t="n">
        <v>46434</v>
      </c>
      <c r="C177" s="16" t="n">
        <v>25</v>
      </c>
      <c r="D177" s="8" t="s">
        <v>518</v>
      </c>
      <c r="E177" s="26" t="n">
        <v>4.7</v>
      </c>
      <c r="F177" s="26"/>
      <c r="G177" s="20" t="n">
        <f aca="false">IF(N($F177)&gt;0,$F177,IF(CENARIO_CLIMA="USUARIO",0,$E177))</f>
        <v>4.7</v>
      </c>
      <c r="H177" s="18" t="n">
        <f aca="false">SUMIFS($G$8:$G$469,$C$8:$C$469,$C177)</f>
        <v>32.9</v>
      </c>
      <c r="I177" s="26" t="n">
        <v>5.71</v>
      </c>
      <c r="J177" s="26"/>
      <c r="K177" s="20" t="n">
        <f aca="false">IF(N($J177)&gt;0,$J177,IF(CENARIO_CLIMA="USUARIO",0,$I177))</f>
        <v>5.71</v>
      </c>
      <c r="L177" s="20" t="n">
        <f aca="false">MIN($K177*FATOR_CHUVA_UTIL,LIMITE_CHUVA_UTIL_DIA)</f>
        <v>4.568</v>
      </c>
      <c r="M177" s="26"/>
      <c r="N177" s="20" t="n">
        <f aca="false">IF(N($M177)&gt;0,$M177,$L177)</f>
        <v>4.568</v>
      </c>
      <c r="O177" s="8" t="str">
        <f aca="false">IF(N($F177)+N($J177)&gt;0,"Serie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7" s="8" t="str">
        <f aca="false">IF(N($M177)&gt;0,"Chuva util informada pelo usuario","MIN(Chuva bruta x FATOR_CHUVA_UTIL ; LIMITE_CHUVA_UTIL_DIA)")</f>
        <v>MIN(Chuva bruta x FATOR_CHUVA_UTIL ; LIMITE_CHUVA_UTIL_DIA)</v>
      </c>
    </row>
    <row r="178" customFormat="false" ht="15" hidden="false" customHeight="false" outlineLevel="0" collapsed="false">
      <c r="B178" s="17" t="n">
        <v>46435</v>
      </c>
      <c r="C178" s="16" t="n">
        <v>25</v>
      </c>
      <c r="D178" s="8" t="s">
        <v>518</v>
      </c>
      <c r="E178" s="26" t="n">
        <v>4.7</v>
      </c>
      <c r="F178" s="26"/>
      <c r="G178" s="20" t="n">
        <f aca="false">IF(N($F178)&gt;0,$F178,IF(CENARIO_CLIMA="USUARIO",0,$E178))</f>
        <v>4.7</v>
      </c>
      <c r="H178" s="18" t="n">
        <f aca="false">SUMIFS($G$8:$G$469,$C$8:$C$469,$C178)</f>
        <v>32.9</v>
      </c>
      <c r="I178" s="26" t="n">
        <v>5.71</v>
      </c>
      <c r="J178" s="26"/>
      <c r="K178" s="20" t="n">
        <f aca="false">IF(N($J178)&gt;0,$J178,IF(CENARIO_CLIMA="USUARIO",0,$I178))</f>
        <v>5.71</v>
      </c>
      <c r="L178" s="20" t="n">
        <f aca="false">MIN($K178*FATOR_CHUVA_UTIL,LIMITE_CHUVA_UTIL_DIA)</f>
        <v>4.568</v>
      </c>
      <c r="M178" s="26"/>
      <c r="N178" s="20" t="n">
        <f aca="false">IF(N($M178)&gt;0,$M178,$L178)</f>
        <v>4.568</v>
      </c>
      <c r="O178" s="8" t="str">
        <f aca="false">IF(N($F178)+N($J178)&gt;0,"Serie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8" s="8" t="str">
        <f aca="false">IF(N($M178)&gt;0,"Chuva util informada pelo usuario","MIN(Chuva bruta x FATOR_CHUVA_UTIL ; LIMITE_CHUVA_UTIL_DIA)")</f>
        <v>MIN(Chuva bruta x FATOR_CHUVA_UTIL ; LIMITE_CHUVA_UTIL_DIA)</v>
      </c>
    </row>
    <row r="179" customFormat="false" ht="15" hidden="false" customHeight="false" outlineLevel="0" collapsed="false">
      <c r="B179" s="17" t="n">
        <v>46436</v>
      </c>
      <c r="C179" s="16" t="n">
        <v>25</v>
      </c>
      <c r="D179" s="8" t="s">
        <v>518</v>
      </c>
      <c r="E179" s="26" t="n">
        <v>4.7</v>
      </c>
      <c r="F179" s="26"/>
      <c r="G179" s="20" t="n">
        <f aca="false">IF(N($F179)&gt;0,$F179,IF(CENARIO_CLIMA="USUARIO",0,$E179))</f>
        <v>4.7</v>
      </c>
      <c r="H179" s="18" t="n">
        <f aca="false">SUMIFS($G$8:$G$469,$C$8:$C$469,$C179)</f>
        <v>32.9</v>
      </c>
      <c r="I179" s="26" t="n">
        <v>5.71</v>
      </c>
      <c r="J179" s="26"/>
      <c r="K179" s="20" t="n">
        <f aca="false">IF(N($J179)&gt;0,$J179,IF(CENARIO_CLIMA="USUARIO",0,$I179))</f>
        <v>5.71</v>
      </c>
      <c r="L179" s="20" t="n">
        <f aca="false">MIN($K179*FATOR_CHUVA_UTIL,LIMITE_CHUVA_UTIL_DIA)</f>
        <v>4.568</v>
      </c>
      <c r="M179" s="26"/>
      <c r="N179" s="20" t="n">
        <f aca="false">IF(N($M179)&gt;0,$M179,$L179)</f>
        <v>4.568</v>
      </c>
      <c r="O179" s="8" t="str">
        <f aca="false">IF(N($F179)+N($J179)&gt;0,"Serie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79" s="8" t="str">
        <f aca="false">IF(N($M179)&gt;0,"Chuva util informada pelo usuario","MIN(Chuva bruta x FATOR_CHUVA_UTIL ; LIMITE_CHUVA_UTIL_DIA)")</f>
        <v>MIN(Chuva bruta x FATOR_CHUVA_UTIL ; LIMITE_CHUVA_UTIL_DIA)</v>
      </c>
    </row>
    <row r="180" customFormat="false" ht="15" hidden="false" customHeight="false" outlineLevel="0" collapsed="false">
      <c r="B180" s="17" t="n">
        <v>46437</v>
      </c>
      <c r="C180" s="16" t="n">
        <v>25</v>
      </c>
      <c r="D180" s="8" t="s">
        <v>518</v>
      </c>
      <c r="E180" s="26" t="n">
        <v>4.7</v>
      </c>
      <c r="F180" s="26"/>
      <c r="G180" s="20" t="n">
        <f aca="false">IF(N($F180)&gt;0,$F180,IF(CENARIO_CLIMA="USUARIO",0,$E180))</f>
        <v>4.7</v>
      </c>
      <c r="H180" s="18" t="n">
        <f aca="false">SUMIFS($G$8:$G$469,$C$8:$C$469,$C180)</f>
        <v>32.9</v>
      </c>
      <c r="I180" s="26" t="n">
        <v>5.71</v>
      </c>
      <c r="J180" s="26"/>
      <c r="K180" s="20" t="n">
        <f aca="false">IF(N($J180)&gt;0,$J180,IF(CENARIO_CLIMA="USUARIO",0,$I180))</f>
        <v>5.71</v>
      </c>
      <c r="L180" s="20" t="n">
        <f aca="false">MIN($K180*FATOR_CHUVA_UTIL,LIMITE_CHUVA_UTIL_DIA)</f>
        <v>4.568</v>
      </c>
      <c r="M180" s="26"/>
      <c r="N180" s="20" t="n">
        <f aca="false">IF(N($M180)&gt;0,$M180,$L180)</f>
        <v>4.568</v>
      </c>
      <c r="O180" s="8" t="str">
        <f aca="false">IF(N($F180)+N($J180)&gt;0,"Serie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0" s="8" t="str">
        <f aca="false">IF(N($M180)&gt;0,"Chuva util informada pelo usuario","MIN(Chuva bruta x FATOR_CHUVA_UTIL ; LIMITE_CHUVA_UTIL_DIA)")</f>
        <v>MIN(Chuva bruta x FATOR_CHUVA_UTIL ; LIMITE_CHUVA_UTIL_DIA)</v>
      </c>
    </row>
    <row r="181" customFormat="false" ht="15" hidden="false" customHeight="false" outlineLevel="0" collapsed="false">
      <c r="B181" s="17" t="n">
        <v>46438</v>
      </c>
      <c r="C181" s="16" t="n">
        <v>25</v>
      </c>
      <c r="D181" s="8" t="s">
        <v>518</v>
      </c>
      <c r="E181" s="26" t="n">
        <v>4.7</v>
      </c>
      <c r="F181" s="26"/>
      <c r="G181" s="20" t="n">
        <f aca="false">IF(N($F181)&gt;0,$F181,IF(CENARIO_CLIMA="USUARIO",0,$E181))</f>
        <v>4.7</v>
      </c>
      <c r="H181" s="18" t="n">
        <f aca="false">SUMIFS($G$8:$G$469,$C$8:$C$469,$C181)</f>
        <v>32.9</v>
      </c>
      <c r="I181" s="26" t="n">
        <v>5.71</v>
      </c>
      <c r="J181" s="26"/>
      <c r="K181" s="20" t="n">
        <f aca="false">IF(N($J181)&gt;0,$J181,IF(CENARIO_CLIMA="USUARIO",0,$I181))</f>
        <v>5.71</v>
      </c>
      <c r="L181" s="20" t="n">
        <f aca="false">MIN($K181*FATOR_CHUVA_UTIL,LIMITE_CHUVA_UTIL_DIA)</f>
        <v>4.568</v>
      </c>
      <c r="M181" s="26"/>
      <c r="N181" s="20" t="n">
        <f aca="false">IF(N($M181)&gt;0,$M181,$L181)</f>
        <v>4.568</v>
      </c>
      <c r="O181" s="8" t="str">
        <f aca="false">IF(N($F181)+N($J181)&gt;0,"Serie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1" s="8" t="str">
        <f aca="false">IF(N($M181)&gt;0,"Chuva util informada pelo usuario","MIN(Chuva bruta x FATOR_CHUVA_UTIL ; LIMITE_CHUVA_UTIL_DIA)")</f>
        <v>MIN(Chuva bruta x FATOR_CHUVA_UTIL ; LIMITE_CHUVA_UTIL_DIA)</v>
      </c>
    </row>
    <row r="182" customFormat="false" ht="15" hidden="false" customHeight="false" outlineLevel="0" collapsed="false">
      <c r="B182" s="17" t="n">
        <v>46439</v>
      </c>
      <c r="C182" s="16" t="n">
        <v>25</v>
      </c>
      <c r="D182" s="8" t="s">
        <v>518</v>
      </c>
      <c r="E182" s="26" t="n">
        <v>4.7</v>
      </c>
      <c r="F182" s="26"/>
      <c r="G182" s="20" t="n">
        <f aca="false">IF(N($F182)&gt;0,$F182,IF(CENARIO_CLIMA="USUARIO",0,$E182))</f>
        <v>4.7</v>
      </c>
      <c r="H182" s="18" t="n">
        <f aca="false">SUMIFS($G$8:$G$469,$C$8:$C$469,$C182)</f>
        <v>32.9</v>
      </c>
      <c r="I182" s="26" t="n">
        <v>5.71</v>
      </c>
      <c r="J182" s="26"/>
      <c r="K182" s="20" t="n">
        <f aca="false">IF(N($J182)&gt;0,$J182,IF(CENARIO_CLIMA="USUARIO",0,$I182))</f>
        <v>5.71</v>
      </c>
      <c r="L182" s="20" t="n">
        <f aca="false">MIN($K182*FATOR_CHUVA_UTIL,LIMITE_CHUVA_UTIL_DIA)</f>
        <v>4.568</v>
      </c>
      <c r="M182" s="26"/>
      <c r="N182" s="20" t="n">
        <f aca="false">IF(N($M182)&gt;0,$M182,$L182)</f>
        <v>4.568</v>
      </c>
      <c r="O182" s="8" t="str">
        <f aca="false">IF(N($F182)+N($J182)&gt;0,"Serie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2" s="8" t="str">
        <f aca="false">IF(N($M182)&gt;0,"Chuva util informada pelo usuario","MIN(Chuva bruta x FATOR_CHUVA_UTIL ; LIMITE_CHUVA_UTIL_DIA)")</f>
        <v>MIN(Chuva bruta x FATOR_CHUVA_UTIL ; LIMITE_CHUVA_UTIL_DIA)</v>
      </c>
    </row>
    <row r="183" customFormat="false" ht="15" hidden="false" customHeight="false" outlineLevel="0" collapsed="false">
      <c r="B183" s="17" t="n">
        <v>46440</v>
      </c>
      <c r="C183" s="16" t="n">
        <v>26</v>
      </c>
      <c r="D183" s="8" t="s">
        <v>518</v>
      </c>
      <c r="E183" s="26" t="n">
        <v>4.7</v>
      </c>
      <c r="F183" s="26"/>
      <c r="G183" s="20" t="n">
        <f aca="false">IF(N($F183)&gt;0,$F183,IF(CENARIO_CLIMA="USUARIO",0,$E183))</f>
        <v>4.7</v>
      </c>
      <c r="H183" s="18" t="n">
        <f aca="false">SUMIFS($G$8:$G$469,$C$8:$C$469,$C183)</f>
        <v>32.9</v>
      </c>
      <c r="I183" s="26" t="n">
        <v>5.71</v>
      </c>
      <c r="J183" s="26"/>
      <c r="K183" s="20" t="n">
        <f aca="false">IF(N($J183)&gt;0,$J183,IF(CENARIO_CLIMA="USUARIO",0,$I183))</f>
        <v>5.71</v>
      </c>
      <c r="L183" s="20" t="n">
        <f aca="false">MIN($K183*FATOR_CHUVA_UTIL,LIMITE_CHUVA_UTIL_DIA)</f>
        <v>4.568</v>
      </c>
      <c r="M183" s="26"/>
      <c r="N183" s="20" t="n">
        <f aca="false">IF(N($M183)&gt;0,$M183,$L183)</f>
        <v>4.568</v>
      </c>
      <c r="O183" s="8" t="str">
        <f aca="false">IF(N($F183)+N($J183)&gt;0,"Serie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3" s="8" t="str">
        <f aca="false">IF(N($M183)&gt;0,"Chuva util informada pelo usuario","MIN(Chuva bruta x FATOR_CHUVA_UTIL ; LIMITE_CHUVA_UTIL_DIA)")</f>
        <v>MIN(Chuva bruta x FATOR_CHUVA_UTIL ; LIMITE_CHUVA_UTIL_DIA)</v>
      </c>
    </row>
    <row r="184" customFormat="false" ht="15" hidden="false" customHeight="false" outlineLevel="0" collapsed="false">
      <c r="B184" s="17" t="n">
        <v>46441</v>
      </c>
      <c r="C184" s="16" t="n">
        <v>26</v>
      </c>
      <c r="D184" s="8" t="s">
        <v>518</v>
      </c>
      <c r="E184" s="26" t="n">
        <v>4.7</v>
      </c>
      <c r="F184" s="26"/>
      <c r="G184" s="20" t="n">
        <f aca="false">IF(N($F184)&gt;0,$F184,IF(CENARIO_CLIMA="USUARIO",0,$E184))</f>
        <v>4.7</v>
      </c>
      <c r="H184" s="18" t="n">
        <f aca="false">SUMIFS($G$8:$G$469,$C$8:$C$469,$C184)</f>
        <v>32.9</v>
      </c>
      <c r="I184" s="26" t="n">
        <v>5.71</v>
      </c>
      <c r="J184" s="26"/>
      <c r="K184" s="20" t="n">
        <f aca="false">IF(N($J184)&gt;0,$J184,IF(CENARIO_CLIMA="USUARIO",0,$I184))</f>
        <v>5.71</v>
      </c>
      <c r="L184" s="20" t="n">
        <f aca="false">MIN($K184*FATOR_CHUVA_UTIL,LIMITE_CHUVA_UTIL_DIA)</f>
        <v>4.568</v>
      </c>
      <c r="M184" s="26"/>
      <c r="N184" s="20" t="n">
        <f aca="false">IF(N($M184)&gt;0,$M184,$L184)</f>
        <v>4.568</v>
      </c>
      <c r="O184" s="8" t="str">
        <f aca="false">IF(N($F184)+N($J184)&gt;0,"Serie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4" s="8" t="str">
        <f aca="false">IF(N($M184)&gt;0,"Chuva util informada pelo usuario","MIN(Chuva bruta x FATOR_CHUVA_UTIL ; LIMITE_CHUVA_UTIL_DIA)")</f>
        <v>MIN(Chuva bruta x FATOR_CHUVA_UTIL ; LIMITE_CHUVA_UTIL_DIA)</v>
      </c>
    </row>
    <row r="185" customFormat="false" ht="15" hidden="false" customHeight="false" outlineLevel="0" collapsed="false">
      <c r="B185" s="17" t="n">
        <v>46442</v>
      </c>
      <c r="C185" s="16" t="n">
        <v>26</v>
      </c>
      <c r="D185" s="8" t="s">
        <v>518</v>
      </c>
      <c r="E185" s="26" t="n">
        <v>4.7</v>
      </c>
      <c r="F185" s="26"/>
      <c r="G185" s="20" t="n">
        <f aca="false">IF(N($F185)&gt;0,$F185,IF(CENARIO_CLIMA="USUARIO",0,$E185))</f>
        <v>4.7</v>
      </c>
      <c r="H185" s="18" t="n">
        <f aca="false">SUMIFS($G$8:$G$469,$C$8:$C$469,$C185)</f>
        <v>32.9</v>
      </c>
      <c r="I185" s="26" t="n">
        <v>5.71</v>
      </c>
      <c r="J185" s="26"/>
      <c r="K185" s="20" t="n">
        <f aca="false">IF(N($J185)&gt;0,$J185,IF(CENARIO_CLIMA="USUARIO",0,$I185))</f>
        <v>5.71</v>
      </c>
      <c r="L185" s="20" t="n">
        <f aca="false">MIN($K185*FATOR_CHUVA_UTIL,LIMITE_CHUVA_UTIL_DIA)</f>
        <v>4.568</v>
      </c>
      <c r="M185" s="26"/>
      <c r="N185" s="20" t="n">
        <f aca="false">IF(N($M185)&gt;0,$M185,$L185)</f>
        <v>4.568</v>
      </c>
      <c r="O185" s="8" t="str">
        <f aca="false">IF(N($F185)+N($J185)&gt;0,"Serie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5" s="8" t="str">
        <f aca="false">IF(N($M185)&gt;0,"Chuva util informada pelo usuario","MIN(Chuva bruta x FATOR_CHUVA_UTIL ; LIMITE_CHUVA_UTIL_DIA)")</f>
        <v>MIN(Chuva bruta x FATOR_CHUVA_UTIL ; LIMITE_CHUVA_UTIL_DIA)</v>
      </c>
    </row>
    <row r="186" customFormat="false" ht="15" hidden="false" customHeight="false" outlineLevel="0" collapsed="false">
      <c r="B186" s="17" t="n">
        <v>46443</v>
      </c>
      <c r="C186" s="16" t="n">
        <v>26</v>
      </c>
      <c r="D186" s="8" t="s">
        <v>518</v>
      </c>
      <c r="E186" s="26" t="n">
        <v>4.7</v>
      </c>
      <c r="F186" s="26"/>
      <c r="G186" s="20" t="n">
        <f aca="false">IF(N($F186)&gt;0,$F186,IF(CENARIO_CLIMA="USUARIO",0,$E186))</f>
        <v>4.7</v>
      </c>
      <c r="H186" s="18" t="n">
        <f aca="false">SUMIFS($G$8:$G$469,$C$8:$C$469,$C186)</f>
        <v>32.9</v>
      </c>
      <c r="I186" s="26" t="n">
        <v>5.71</v>
      </c>
      <c r="J186" s="26"/>
      <c r="K186" s="20" t="n">
        <f aca="false">IF(N($J186)&gt;0,$J186,IF(CENARIO_CLIMA="USUARIO",0,$I186))</f>
        <v>5.71</v>
      </c>
      <c r="L186" s="20" t="n">
        <f aca="false">MIN($K186*FATOR_CHUVA_UTIL,LIMITE_CHUVA_UTIL_DIA)</f>
        <v>4.568</v>
      </c>
      <c r="M186" s="26"/>
      <c r="N186" s="20" t="n">
        <f aca="false">IF(N($M186)&gt;0,$M186,$L186)</f>
        <v>4.568</v>
      </c>
      <c r="O186" s="8" t="str">
        <f aca="false">IF(N($F186)+N($J186)&gt;0,"Serie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6" s="8" t="str">
        <f aca="false">IF(N($M186)&gt;0,"Chuva util informada pelo usuario","MIN(Chuva bruta x FATOR_CHUVA_UTIL ; LIMITE_CHUVA_UTIL_DIA)")</f>
        <v>MIN(Chuva bruta x FATOR_CHUVA_UTIL ; LIMITE_CHUVA_UTIL_DIA)</v>
      </c>
    </row>
    <row r="187" customFormat="false" ht="15" hidden="false" customHeight="false" outlineLevel="0" collapsed="false">
      <c r="B187" s="17" t="n">
        <v>46444</v>
      </c>
      <c r="C187" s="16" t="n">
        <v>26</v>
      </c>
      <c r="D187" s="8" t="s">
        <v>518</v>
      </c>
      <c r="E187" s="26" t="n">
        <v>4.7</v>
      </c>
      <c r="F187" s="26"/>
      <c r="G187" s="20" t="n">
        <f aca="false">IF(N($F187)&gt;0,$F187,IF(CENARIO_CLIMA="USUARIO",0,$E187))</f>
        <v>4.7</v>
      </c>
      <c r="H187" s="18" t="n">
        <f aca="false">SUMIFS($G$8:$G$469,$C$8:$C$469,$C187)</f>
        <v>32.9</v>
      </c>
      <c r="I187" s="26" t="n">
        <v>5.71</v>
      </c>
      <c r="J187" s="26"/>
      <c r="K187" s="20" t="n">
        <f aca="false">IF(N($J187)&gt;0,$J187,IF(CENARIO_CLIMA="USUARIO",0,$I187))</f>
        <v>5.71</v>
      </c>
      <c r="L187" s="20" t="n">
        <f aca="false">MIN($K187*FATOR_CHUVA_UTIL,LIMITE_CHUVA_UTIL_DIA)</f>
        <v>4.568</v>
      </c>
      <c r="M187" s="26"/>
      <c r="N187" s="20" t="n">
        <f aca="false">IF(N($M187)&gt;0,$M187,$L187)</f>
        <v>4.568</v>
      </c>
      <c r="O187" s="8" t="str">
        <f aca="false">IF(N($F187)+N($J187)&gt;0,"Serie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7" s="8" t="str">
        <f aca="false">IF(N($M187)&gt;0,"Chuva util informada pelo usuario","MIN(Chuva bruta x FATOR_CHUVA_UTIL ; LIMITE_CHUVA_UTIL_DIA)")</f>
        <v>MIN(Chuva bruta x FATOR_CHUVA_UTIL ; LIMITE_CHUVA_UTIL_DIA)</v>
      </c>
    </row>
    <row r="188" customFormat="false" ht="15" hidden="false" customHeight="false" outlineLevel="0" collapsed="false">
      <c r="B188" s="17" t="n">
        <v>46445</v>
      </c>
      <c r="C188" s="16" t="n">
        <v>26</v>
      </c>
      <c r="D188" s="8" t="s">
        <v>518</v>
      </c>
      <c r="E188" s="26" t="n">
        <v>4.7</v>
      </c>
      <c r="F188" s="26"/>
      <c r="G188" s="20" t="n">
        <f aca="false">IF(N($F188)&gt;0,$F188,IF(CENARIO_CLIMA="USUARIO",0,$E188))</f>
        <v>4.7</v>
      </c>
      <c r="H188" s="18" t="n">
        <f aca="false">SUMIFS($G$8:$G$469,$C$8:$C$469,$C188)</f>
        <v>32.9</v>
      </c>
      <c r="I188" s="26" t="n">
        <v>5.71</v>
      </c>
      <c r="J188" s="26"/>
      <c r="K188" s="20" t="n">
        <f aca="false">IF(N($J188)&gt;0,$J188,IF(CENARIO_CLIMA="USUARIO",0,$I188))</f>
        <v>5.71</v>
      </c>
      <c r="L188" s="20" t="n">
        <f aca="false">MIN($K188*FATOR_CHUVA_UTIL,LIMITE_CHUVA_UTIL_DIA)</f>
        <v>4.568</v>
      </c>
      <c r="M188" s="26"/>
      <c r="N188" s="20" t="n">
        <f aca="false">IF(N($M188)&gt;0,$M188,$L188)</f>
        <v>4.568</v>
      </c>
      <c r="O188" s="8" t="str">
        <f aca="false">IF(N($F188)+N($J188)&gt;0,"Serie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8" s="8" t="str">
        <f aca="false">IF(N($M188)&gt;0,"Chuva util informada pelo usuario","MIN(Chuva bruta x FATOR_CHUVA_UTIL ; LIMITE_CHUVA_UTIL_DIA)")</f>
        <v>MIN(Chuva bruta x FATOR_CHUVA_UTIL ; LIMITE_CHUVA_UTIL_DIA)</v>
      </c>
    </row>
    <row r="189" customFormat="false" ht="15" hidden="false" customHeight="false" outlineLevel="0" collapsed="false">
      <c r="B189" s="17" t="n">
        <v>46446</v>
      </c>
      <c r="C189" s="16" t="n">
        <v>26</v>
      </c>
      <c r="D189" s="8" t="s">
        <v>518</v>
      </c>
      <c r="E189" s="26" t="n">
        <v>4.7</v>
      </c>
      <c r="F189" s="26"/>
      <c r="G189" s="20" t="n">
        <f aca="false">IF(N($F189)&gt;0,$F189,IF(CENARIO_CLIMA="USUARIO",0,$E189))</f>
        <v>4.7</v>
      </c>
      <c r="H189" s="18" t="n">
        <f aca="false">SUMIFS($G$8:$G$469,$C$8:$C$469,$C189)</f>
        <v>32.9</v>
      </c>
      <c r="I189" s="26" t="n">
        <v>5.71</v>
      </c>
      <c r="J189" s="26"/>
      <c r="K189" s="20" t="n">
        <f aca="false">IF(N($J189)&gt;0,$J189,IF(CENARIO_CLIMA="USUARIO",0,$I189))</f>
        <v>5.71</v>
      </c>
      <c r="L189" s="20" t="n">
        <f aca="false">MIN($K189*FATOR_CHUVA_UTIL,LIMITE_CHUVA_UTIL_DIA)</f>
        <v>4.568</v>
      </c>
      <c r="M189" s="26"/>
      <c r="N189" s="20" t="n">
        <f aca="false">IF(N($M189)&gt;0,$M189,$L189)</f>
        <v>4.568</v>
      </c>
      <c r="O189" s="8" t="str">
        <f aca="false">IF(N($F189)+N($J189)&gt;0,"Serie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89" s="8" t="str">
        <f aca="false">IF(N($M189)&gt;0,"Chuva util informada pelo usuario","MIN(Chuva bruta x FATOR_CHUVA_UTIL ; LIMITE_CHUVA_UTIL_DIA)")</f>
        <v>MIN(Chuva bruta x FATOR_CHUVA_UTIL ; LIMITE_CHUVA_UTIL_DIA)</v>
      </c>
    </row>
    <row r="190" customFormat="false" ht="15" hidden="false" customHeight="false" outlineLevel="0" collapsed="false">
      <c r="B190" s="17" t="n">
        <v>46447</v>
      </c>
      <c r="C190" s="16" t="n">
        <v>27</v>
      </c>
      <c r="D190" s="8" t="s">
        <v>519</v>
      </c>
      <c r="E190" s="26" t="n">
        <v>4.6</v>
      </c>
      <c r="F190" s="26"/>
      <c r="G190" s="20" t="n">
        <f aca="false">IF(N($F190)&gt;0,$F190,IF(CENARIO_CLIMA="USUARIO",0,$E190))</f>
        <v>4.6</v>
      </c>
      <c r="H190" s="18" t="n">
        <f aca="false">SUMIFS($G$8:$G$469,$C$8:$C$469,$C190)</f>
        <v>32.2</v>
      </c>
      <c r="I190" s="26" t="n">
        <v>5.32</v>
      </c>
      <c r="J190" s="26"/>
      <c r="K190" s="20" t="n">
        <f aca="false">IF(N($J190)&gt;0,$J190,IF(CENARIO_CLIMA="USUARIO",0,$I190))</f>
        <v>5.32</v>
      </c>
      <c r="L190" s="20" t="n">
        <f aca="false">MIN($K190*FATOR_CHUVA_UTIL,LIMITE_CHUVA_UTIL_DIA)</f>
        <v>4.256</v>
      </c>
      <c r="M190" s="26"/>
      <c r="N190" s="20" t="n">
        <f aca="false">IF(N($M190)&gt;0,$M190,$L190)</f>
        <v>4.256</v>
      </c>
      <c r="O190" s="8" t="str">
        <f aca="false">IF(N($F190)+N($J190)&gt;0,"Serie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0" s="8" t="str">
        <f aca="false">IF(N($M190)&gt;0,"Chuva util informada pelo usuario","MIN(Chuva bruta x FATOR_CHUVA_UTIL ; LIMITE_CHUVA_UTIL_DIA)")</f>
        <v>MIN(Chuva bruta x FATOR_CHUVA_UTIL ; LIMITE_CHUVA_UTIL_DIA)</v>
      </c>
    </row>
    <row r="191" customFormat="false" ht="15" hidden="false" customHeight="false" outlineLevel="0" collapsed="false">
      <c r="B191" s="17" t="n">
        <v>46448</v>
      </c>
      <c r="C191" s="16" t="n">
        <v>27</v>
      </c>
      <c r="D191" s="8" t="s">
        <v>519</v>
      </c>
      <c r="E191" s="26" t="n">
        <v>4.6</v>
      </c>
      <c r="F191" s="26"/>
      <c r="G191" s="20" t="n">
        <f aca="false">IF(N($F191)&gt;0,$F191,IF(CENARIO_CLIMA="USUARIO",0,$E191))</f>
        <v>4.6</v>
      </c>
      <c r="H191" s="18" t="n">
        <f aca="false">SUMIFS($G$8:$G$469,$C$8:$C$469,$C191)</f>
        <v>32.2</v>
      </c>
      <c r="I191" s="26" t="n">
        <v>5.32</v>
      </c>
      <c r="J191" s="26"/>
      <c r="K191" s="20" t="n">
        <f aca="false">IF(N($J191)&gt;0,$J191,IF(CENARIO_CLIMA="USUARIO",0,$I191))</f>
        <v>5.32</v>
      </c>
      <c r="L191" s="20" t="n">
        <f aca="false">MIN($K191*FATOR_CHUVA_UTIL,LIMITE_CHUVA_UTIL_DIA)</f>
        <v>4.256</v>
      </c>
      <c r="M191" s="26"/>
      <c r="N191" s="20" t="n">
        <f aca="false">IF(N($M191)&gt;0,$M191,$L191)</f>
        <v>4.256</v>
      </c>
      <c r="O191" s="8" t="str">
        <f aca="false">IF(N($F191)+N($J191)&gt;0,"Serie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1" s="8" t="str">
        <f aca="false">IF(N($M191)&gt;0,"Chuva util informada pelo usuario","MIN(Chuva bruta x FATOR_CHUVA_UTIL ; LIMITE_CHUVA_UTIL_DIA)")</f>
        <v>MIN(Chuva bruta x FATOR_CHUVA_UTIL ; LIMITE_CHUVA_UTIL_DIA)</v>
      </c>
    </row>
    <row r="192" customFormat="false" ht="15" hidden="false" customHeight="false" outlineLevel="0" collapsed="false">
      <c r="B192" s="17" t="n">
        <v>46449</v>
      </c>
      <c r="C192" s="16" t="n">
        <v>27</v>
      </c>
      <c r="D192" s="8" t="s">
        <v>519</v>
      </c>
      <c r="E192" s="26" t="n">
        <v>4.6</v>
      </c>
      <c r="F192" s="26"/>
      <c r="G192" s="20" t="n">
        <f aca="false">IF(N($F192)&gt;0,$F192,IF(CENARIO_CLIMA="USUARIO",0,$E192))</f>
        <v>4.6</v>
      </c>
      <c r="H192" s="18" t="n">
        <f aca="false">SUMIFS($G$8:$G$469,$C$8:$C$469,$C192)</f>
        <v>32.2</v>
      </c>
      <c r="I192" s="26" t="n">
        <v>5.32</v>
      </c>
      <c r="J192" s="26"/>
      <c r="K192" s="20" t="n">
        <f aca="false">IF(N($J192)&gt;0,$J192,IF(CENARIO_CLIMA="USUARIO",0,$I192))</f>
        <v>5.32</v>
      </c>
      <c r="L192" s="20" t="n">
        <f aca="false">MIN($K192*FATOR_CHUVA_UTIL,LIMITE_CHUVA_UTIL_DIA)</f>
        <v>4.256</v>
      </c>
      <c r="M192" s="26"/>
      <c r="N192" s="20" t="n">
        <f aca="false">IF(N($M192)&gt;0,$M192,$L192)</f>
        <v>4.256</v>
      </c>
      <c r="O192" s="8" t="str">
        <f aca="false">IF(N($F192)+N($J192)&gt;0,"Serie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2" s="8" t="str">
        <f aca="false">IF(N($M192)&gt;0,"Chuva util informada pelo usuario","MIN(Chuva bruta x FATOR_CHUVA_UTIL ; LIMITE_CHUVA_UTIL_DIA)")</f>
        <v>MIN(Chuva bruta x FATOR_CHUVA_UTIL ; LIMITE_CHUVA_UTIL_DIA)</v>
      </c>
    </row>
    <row r="193" customFormat="false" ht="15" hidden="false" customHeight="false" outlineLevel="0" collapsed="false">
      <c r="B193" s="17" t="n">
        <v>46450</v>
      </c>
      <c r="C193" s="16" t="n">
        <v>27</v>
      </c>
      <c r="D193" s="8" t="s">
        <v>519</v>
      </c>
      <c r="E193" s="26" t="n">
        <v>4.6</v>
      </c>
      <c r="F193" s="26"/>
      <c r="G193" s="20" t="n">
        <f aca="false">IF(N($F193)&gt;0,$F193,IF(CENARIO_CLIMA="USUARIO",0,$E193))</f>
        <v>4.6</v>
      </c>
      <c r="H193" s="18" t="n">
        <f aca="false">SUMIFS($G$8:$G$469,$C$8:$C$469,$C193)</f>
        <v>32.2</v>
      </c>
      <c r="I193" s="26" t="n">
        <v>5.32</v>
      </c>
      <c r="J193" s="26"/>
      <c r="K193" s="20" t="n">
        <f aca="false">IF(N($J193)&gt;0,$J193,IF(CENARIO_CLIMA="USUARIO",0,$I193))</f>
        <v>5.32</v>
      </c>
      <c r="L193" s="20" t="n">
        <f aca="false">MIN($K193*FATOR_CHUVA_UTIL,LIMITE_CHUVA_UTIL_DIA)</f>
        <v>4.256</v>
      </c>
      <c r="M193" s="26"/>
      <c r="N193" s="20" t="n">
        <f aca="false">IF(N($M193)&gt;0,$M193,$L193)</f>
        <v>4.256</v>
      </c>
      <c r="O193" s="8" t="str">
        <f aca="false">IF(N($F193)+N($J193)&gt;0,"Serie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3" s="8" t="str">
        <f aca="false">IF(N($M193)&gt;0,"Chuva util informada pelo usuario","MIN(Chuva bruta x FATOR_CHUVA_UTIL ; LIMITE_CHUVA_UTIL_DIA)")</f>
        <v>MIN(Chuva bruta x FATOR_CHUVA_UTIL ; LIMITE_CHUVA_UTIL_DIA)</v>
      </c>
    </row>
    <row r="194" customFormat="false" ht="15" hidden="false" customHeight="false" outlineLevel="0" collapsed="false">
      <c r="B194" s="17" t="n">
        <v>46451</v>
      </c>
      <c r="C194" s="16" t="n">
        <v>27</v>
      </c>
      <c r="D194" s="8" t="s">
        <v>519</v>
      </c>
      <c r="E194" s="26" t="n">
        <v>4.6</v>
      </c>
      <c r="F194" s="26"/>
      <c r="G194" s="20" t="n">
        <f aca="false">IF(N($F194)&gt;0,$F194,IF(CENARIO_CLIMA="USUARIO",0,$E194))</f>
        <v>4.6</v>
      </c>
      <c r="H194" s="18" t="n">
        <f aca="false">SUMIFS($G$8:$G$469,$C$8:$C$469,$C194)</f>
        <v>32.2</v>
      </c>
      <c r="I194" s="26" t="n">
        <v>5.32</v>
      </c>
      <c r="J194" s="26"/>
      <c r="K194" s="20" t="n">
        <f aca="false">IF(N($J194)&gt;0,$J194,IF(CENARIO_CLIMA="USUARIO",0,$I194))</f>
        <v>5.32</v>
      </c>
      <c r="L194" s="20" t="n">
        <f aca="false">MIN($K194*FATOR_CHUVA_UTIL,LIMITE_CHUVA_UTIL_DIA)</f>
        <v>4.256</v>
      </c>
      <c r="M194" s="26"/>
      <c r="N194" s="20" t="n">
        <f aca="false">IF(N($M194)&gt;0,$M194,$L194)</f>
        <v>4.256</v>
      </c>
      <c r="O194" s="8" t="str">
        <f aca="false">IF(N($F194)+N($J194)&gt;0,"Serie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4" s="8" t="str">
        <f aca="false">IF(N($M194)&gt;0,"Chuva util informada pelo usuario","MIN(Chuva bruta x FATOR_CHUVA_UTIL ; LIMITE_CHUVA_UTIL_DIA)")</f>
        <v>MIN(Chuva bruta x FATOR_CHUVA_UTIL ; LIMITE_CHUVA_UTIL_DIA)</v>
      </c>
    </row>
    <row r="195" customFormat="false" ht="15" hidden="false" customHeight="false" outlineLevel="0" collapsed="false">
      <c r="B195" s="17" t="n">
        <v>46452</v>
      </c>
      <c r="C195" s="16" t="n">
        <v>27</v>
      </c>
      <c r="D195" s="8" t="s">
        <v>519</v>
      </c>
      <c r="E195" s="26" t="n">
        <v>4.6</v>
      </c>
      <c r="F195" s="26"/>
      <c r="G195" s="20" t="n">
        <f aca="false">IF(N($F195)&gt;0,$F195,IF(CENARIO_CLIMA="USUARIO",0,$E195))</f>
        <v>4.6</v>
      </c>
      <c r="H195" s="18" t="n">
        <f aca="false">SUMIFS($G$8:$G$469,$C$8:$C$469,$C195)</f>
        <v>32.2</v>
      </c>
      <c r="I195" s="26" t="n">
        <v>5.32</v>
      </c>
      <c r="J195" s="26"/>
      <c r="K195" s="20" t="n">
        <f aca="false">IF(N($J195)&gt;0,$J195,IF(CENARIO_CLIMA="USUARIO",0,$I195))</f>
        <v>5.32</v>
      </c>
      <c r="L195" s="20" t="n">
        <f aca="false">MIN($K195*FATOR_CHUVA_UTIL,LIMITE_CHUVA_UTIL_DIA)</f>
        <v>4.256</v>
      </c>
      <c r="M195" s="26"/>
      <c r="N195" s="20" t="n">
        <f aca="false">IF(N($M195)&gt;0,$M195,$L195)</f>
        <v>4.256</v>
      </c>
      <c r="O195" s="8" t="str">
        <f aca="false">IF(N($F195)+N($J195)&gt;0,"Serie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5" s="8" t="str">
        <f aca="false">IF(N($M195)&gt;0,"Chuva util informada pelo usuario","MIN(Chuva bruta x FATOR_CHUVA_UTIL ; LIMITE_CHUVA_UTIL_DIA)")</f>
        <v>MIN(Chuva bruta x FATOR_CHUVA_UTIL ; LIMITE_CHUVA_UTIL_DIA)</v>
      </c>
    </row>
    <row r="196" customFormat="false" ht="15" hidden="false" customHeight="false" outlineLevel="0" collapsed="false">
      <c r="B196" s="17" t="n">
        <v>46453</v>
      </c>
      <c r="C196" s="16" t="n">
        <v>27</v>
      </c>
      <c r="D196" s="8" t="s">
        <v>519</v>
      </c>
      <c r="E196" s="26" t="n">
        <v>4.6</v>
      </c>
      <c r="F196" s="26"/>
      <c r="G196" s="20" t="n">
        <f aca="false">IF(N($F196)&gt;0,$F196,IF(CENARIO_CLIMA="USUARIO",0,$E196))</f>
        <v>4.6</v>
      </c>
      <c r="H196" s="18" t="n">
        <f aca="false">SUMIFS($G$8:$G$469,$C$8:$C$469,$C196)</f>
        <v>32.2</v>
      </c>
      <c r="I196" s="26" t="n">
        <v>5.32</v>
      </c>
      <c r="J196" s="26"/>
      <c r="K196" s="20" t="n">
        <f aca="false">IF(N($J196)&gt;0,$J196,IF(CENARIO_CLIMA="USUARIO",0,$I196))</f>
        <v>5.32</v>
      </c>
      <c r="L196" s="20" t="n">
        <f aca="false">MIN($K196*FATOR_CHUVA_UTIL,LIMITE_CHUVA_UTIL_DIA)</f>
        <v>4.256</v>
      </c>
      <c r="M196" s="26"/>
      <c r="N196" s="20" t="n">
        <f aca="false">IF(N($M196)&gt;0,$M196,$L196)</f>
        <v>4.256</v>
      </c>
      <c r="O196" s="8" t="str">
        <f aca="false">IF(N($F196)+N($J196)&gt;0,"Serie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6" s="8" t="str">
        <f aca="false">IF(N($M196)&gt;0,"Chuva util informada pelo usuario","MIN(Chuva bruta x FATOR_CHUVA_UTIL ; LIMITE_CHUVA_UTIL_DIA)")</f>
        <v>MIN(Chuva bruta x FATOR_CHUVA_UTIL ; LIMITE_CHUVA_UTIL_DIA)</v>
      </c>
    </row>
    <row r="197" customFormat="false" ht="15" hidden="false" customHeight="false" outlineLevel="0" collapsed="false">
      <c r="B197" s="17" t="n">
        <v>46454</v>
      </c>
      <c r="C197" s="16" t="n">
        <v>28</v>
      </c>
      <c r="D197" s="8" t="s">
        <v>519</v>
      </c>
      <c r="E197" s="26" t="n">
        <v>4.6</v>
      </c>
      <c r="F197" s="26"/>
      <c r="G197" s="20" t="n">
        <f aca="false">IF(N($F197)&gt;0,$F197,IF(CENARIO_CLIMA="USUARIO",0,$E197))</f>
        <v>4.6</v>
      </c>
      <c r="H197" s="18" t="n">
        <f aca="false">SUMIFS($G$8:$G$469,$C$8:$C$469,$C197)</f>
        <v>32.2</v>
      </c>
      <c r="I197" s="26" t="n">
        <v>5.32</v>
      </c>
      <c r="J197" s="26"/>
      <c r="K197" s="20" t="n">
        <f aca="false">IF(N($J197)&gt;0,$J197,IF(CENARIO_CLIMA="USUARIO",0,$I197))</f>
        <v>5.32</v>
      </c>
      <c r="L197" s="20" t="n">
        <f aca="false">MIN($K197*FATOR_CHUVA_UTIL,LIMITE_CHUVA_UTIL_DIA)</f>
        <v>4.256</v>
      </c>
      <c r="M197" s="26"/>
      <c r="N197" s="20" t="n">
        <f aca="false">IF(N($M197)&gt;0,$M197,$L197)</f>
        <v>4.256</v>
      </c>
      <c r="O197" s="8" t="str">
        <f aca="false">IF(N($F197)+N($J197)&gt;0,"Serie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7" s="8" t="str">
        <f aca="false">IF(N($M197)&gt;0,"Chuva util informada pelo usuario","MIN(Chuva bruta x FATOR_CHUVA_UTIL ; LIMITE_CHUVA_UTIL_DIA)")</f>
        <v>MIN(Chuva bruta x FATOR_CHUVA_UTIL ; LIMITE_CHUVA_UTIL_DIA)</v>
      </c>
    </row>
    <row r="198" customFormat="false" ht="15" hidden="false" customHeight="false" outlineLevel="0" collapsed="false">
      <c r="B198" s="17" t="n">
        <v>46455</v>
      </c>
      <c r="C198" s="16" t="n">
        <v>28</v>
      </c>
      <c r="D198" s="8" t="s">
        <v>519</v>
      </c>
      <c r="E198" s="26" t="n">
        <v>4.6</v>
      </c>
      <c r="F198" s="26"/>
      <c r="G198" s="20" t="n">
        <f aca="false">IF(N($F198)&gt;0,$F198,IF(CENARIO_CLIMA="USUARIO",0,$E198))</f>
        <v>4.6</v>
      </c>
      <c r="H198" s="18" t="n">
        <f aca="false">SUMIFS($G$8:$G$469,$C$8:$C$469,$C198)</f>
        <v>32.2</v>
      </c>
      <c r="I198" s="26" t="n">
        <v>5.32</v>
      </c>
      <c r="J198" s="26"/>
      <c r="K198" s="20" t="n">
        <f aca="false">IF(N($J198)&gt;0,$J198,IF(CENARIO_CLIMA="USUARIO",0,$I198))</f>
        <v>5.32</v>
      </c>
      <c r="L198" s="20" t="n">
        <f aca="false">MIN($K198*FATOR_CHUVA_UTIL,LIMITE_CHUVA_UTIL_DIA)</f>
        <v>4.256</v>
      </c>
      <c r="M198" s="26"/>
      <c r="N198" s="20" t="n">
        <f aca="false">IF(N($M198)&gt;0,$M198,$L198)</f>
        <v>4.256</v>
      </c>
      <c r="O198" s="8" t="str">
        <f aca="false">IF(N($F198)+N($J198)&gt;0,"Serie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8" s="8" t="str">
        <f aca="false">IF(N($M198)&gt;0,"Chuva util informada pelo usuario","MIN(Chuva bruta x FATOR_CHUVA_UTIL ; LIMITE_CHUVA_UTIL_DIA)")</f>
        <v>MIN(Chuva bruta x FATOR_CHUVA_UTIL ; LIMITE_CHUVA_UTIL_DIA)</v>
      </c>
    </row>
    <row r="199" customFormat="false" ht="15" hidden="false" customHeight="false" outlineLevel="0" collapsed="false">
      <c r="B199" s="17" t="n">
        <v>46456</v>
      </c>
      <c r="C199" s="16" t="n">
        <v>28</v>
      </c>
      <c r="D199" s="8" t="s">
        <v>519</v>
      </c>
      <c r="E199" s="26" t="n">
        <v>4.6</v>
      </c>
      <c r="F199" s="26"/>
      <c r="G199" s="20" t="n">
        <f aca="false">IF(N($F199)&gt;0,$F199,IF(CENARIO_CLIMA="USUARIO",0,$E199))</f>
        <v>4.6</v>
      </c>
      <c r="H199" s="18" t="n">
        <f aca="false">SUMIFS($G$8:$G$469,$C$8:$C$469,$C199)</f>
        <v>32.2</v>
      </c>
      <c r="I199" s="26" t="n">
        <v>5.32</v>
      </c>
      <c r="J199" s="26"/>
      <c r="K199" s="20" t="n">
        <f aca="false">IF(N($J199)&gt;0,$J199,IF(CENARIO_CLIMA="USUARIO",0,$I199))</f>
        <v>5.32</v>
      </c>
      <c r="L199" s="20" t="n">
        <f aca="false">MIN($K199*FATOR_CHUVA_UTIL,LIMITE_CHUVA_UTIL_DIA)</f>
        <v>4.256</v>
      </c>
      <c r="M199" s="26"/>
      <c r="N199" s="20" t="n">
        <f aca="false">IF(N($M199)&gt;0,$M199,$L199)</f>
        <v>4.256</v>
      </c>
      <c r="O199" s="8" t="str">
        <f aca="false">IF(N($F199)+N($J199)&gt;0,"Serie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199" s="8" t="str">
        <f aca="false">IF(N($M199)&gt;0,"Chuva util informada pelo usuario","MIN(Chuva bruta x FATOR_CHUVA_UTIL ; LIMITE_CHUVA_UTIL_DIA)")</f>
        <v>MIN(Chuva bruta x FATOR_CHUVA_UTIL ; LIMITE_CHUVA_UTIL_DIA)</v>
      </c>
    </row>
    <row r="200" customFormat="false" ht="15" hidden="false" customHeight="false" outlineLevel="0" collapsed="false">
      <c r="B200" s="17" t="n">
        <v>46457</v>
      </c>
      <c r="C200" s="16" t="n">
        <v>28</v>
      </c>
      <c r="D200" s="8" t="s">
        <v>519</v>
      </c>
      <c r="E200" s="26" t="n">
        <v>4.6</v>
      </c>
      <c r="F200" s="26"/>
      <c r="G200" s="20" t="n">
        <f aca="false">IF(N($F200)&gt;0,$F200,IF(CENARIO_CLIMA="USUARIO",0,$E200))</f>
        <v>4.6</v>
      </c>
      <c r="H200" s="18" t="n">
        <f aca="false">SUMIFS($G$8:$G$469,$C$8:$C$469,$C200)</f>
        <v>32.2</v>
      </c>
      <c r="I200" s="26" t="n">
        <v>5.32</v>
      </c>
      <c r="J200" s="26"/>
      <c r="K200" s="20" t="n">
        <f aca="false">IF(N($J200)&gt;0,$J200,IF(CENARIO_CLIMA="USUARIO",0,$I200))</f>
        <v>5.32</v>
      </c>
      <c r="L200" s="20" t="n">
        <f aca="false">MIN($K200*FATOR_CHUVA_UTIL,LIMITE_CHUVA_UTIL_DIA)</f>
        <v>4.256</v>
      </c>
      <c r="M200" s="26"/>
      <c r="N200" s="20" t="n">
        <f aca="false">IF(N($M200)&gt;0,$M200,$L200)</f>
        <v>4.256</v>
      </c>
      <c r="O200" s="8" t="str">
        <f aca="false">IF(N($F200)+N($J200)&gt;0,"Serie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0" s="8" t="str">
        <f aca="false">IF(N($M200)&gt;0,"Chuva util informada pelo usuario","MIN(Chuva bruta x FATOR_CHUVA_UTIL ; LIMITE_CHUVA_UTIL_DIA)")</f>
        <v>MIN(Chuva bruta x FATOR_CHUVA_UTIL ; LIMITE_CHUVA_UTIL_DIA)</v>
      </c>
    </row>
    <row r="201" customFormat="false" ht="15" hidden="false" customHeight="false" outlineLevel="0" collapsed="false">
      <c r="B201" s="17" t="n">
        <v>46458</v>
      </c>
      <c r="C201" s="16" t="n">
        <v>28</v>
      </c>
      <c r="D201" s="8" t="s">
        <v>519</v>
      </c>
      <c r="E201" s="26" t="n">
        <v>4.6</v>
      </c>
      <c r="F201" s="26"/>
      <c r="G201" s="20" t="n">
        <f aca="false">IF(N($F201)&gt;0,$F201,IF(CENARIO_CLIMA="USUARIO",0,$E201))</f>
        <v>4.6</v>
      </c>
      <c r="H201" s="18" t="n">
        <f aca="false">SUMIFS($G$8:$G$469,$C$8:$C$469,$C201)</f>
        <v>32.2</v>
      </c>
      <c r="I201" s="26" t="n">
        <v>5.32</v>
      </c>
      <c r="J201" s="26"/>
      <c r="K201" s="20" t="n">
        <f aca="false">IF(N($J201)&gt;0,$J201,IF(CENARIO_CLIMA="USUARIO",0,$I201))</f>
        <v>5.32</v>
      </c>
      <c r="L201" s="20" t="n">
        <f aca="false">MIN($K201*FATOR_CHUVA_UTIL,LIMITE_CHUVA_UTIL_DIA)</f>
        <v>4.256</v>
      </c>
      <c r="M201" s="26"/>
      <c r="N201" s="20" t="n">
        <f aca="false">IF(N($M201)&gt;0,$M201,$L201)</f>
        <v>4.256</v>
      </c>
      <c r="O201" s="8" t="str">
        <f aca="false">IF(N($F201)+N($J201)&gt;0,"Serie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1" s="8" t="str">
        <f aca="false">IF(N($M201)&gt;0,"Chuva util informada pelo usuario","MIN(Chuva bruta x FATOR_CHUVA_UTIL ; LIMITE_CHUVA_UTIL_DIA)")</f>
        <v>MIN(Chuva bruta x FATOR_CHUVA_UTIL ; LIMITE_CHUVA_UTIL_DIA)</v>
      </c>
    </row>
    <row r="202" customFormat="false" ht="15" hidden="false" customHeight="false" outlineLevel="0" collapsed="false">
      <c r="B202" s="17" t="n">
        <v>46459</v>
      </c>
      <c r="C202" s="16" t="n">
        <v>28</v>
      </c>
      <c r="D202" s="8" t="s">
        <v>519</v>
      </c>
      <c r="E202" s="26" t="n">
        <v>4.6</v>
      </c>
      <c r="F202" s="26"/>
      <c r="G202" s="20" t="n">
        <f aca="false">IF(N($F202)&gt;0,$F202,IF(CENARIO_CLIMA="USUARIO",0,$E202))</f>
        <v>4.6</v>
      </c>
      <c r="H202" s="18" t="n">
        <f aca="false">SUMIFS($G$8:$G$469,$C$8:$C$469,$C202)</f>
        <v>32.2</v>
      </c>
      <c r="I202" s="26" t="n">
        <v>5.32</v>
      </c>
      <c r="J202" s="26"/>
      <c r="K202" s="20" t="n">
        <f aca="false">IF(N($J202)&gt;0,$J202,IF(CENARIO_CLIMA="USUARIO",0,$I202))</f>
        <v>5.32</v>
      </c>
      <c r="L202" s="20" t="n">
        <f aca="false">MIN($K202*FATOR_CHUVA_UTIL,LIMITE_CHUVA_UTIL_DIA)</f>
        <v>4.256</v>
      </c>
      <c r="M202" s="26"/>
      <c r="N202" s="20" t="n">
        <f aca="false">IF(N($M202)&gt;0,$M202,$L202)</f>
        <v>4.256</v>
      </c>
      <c r="O202" s="8" t="str">
        <f aca="false">IF(N($F202)+N($J202)&gt;0,"Serie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2" s="8" t="str">
        <f aca="false">IF(N($M202)&gt;0,"Chuva util informada pelo usuario","MIN(Chuva bruta x FATOR_CHUVA_UTIL ; LIMITE_CHUVA_UTIL_DIA)")</f>
        <v>MIN(Chuva bruta x FATOR_CHUVA_UTIL ; LIMITE_CHUVA_UTIL_DIA)</v>
      </c>
    </row>
    <row r="203" customFormat="false" ht="15" hidden="false" customHeight="false" outlineLevel="0" collapsed="false">
      <c r="B203" s="17" t="n">
        <v>46460</v>
      </c>
      <c r="C203" s="16" t="n">
        <v>28</v>
      </c>
      <c r="D203" s="8" t="s">
        <v>519</v>
      </c>
      <c r="E203" s="26" t="n">
        <v>4.6</v>
      </c>
      <c r="F203" s="26"/>
      <c r="G203" s="20" t="n">
        <f aca="false">IF(N($F203)&gt;0,$F203,IF(CENARIO_CLIMA="USUARIO",0,$E203))</f>
        <v>4.6</v>
      </c>
      <c r="H203" s="18" t="n">
        <f aca="false">SUMIFS($G$8:$G$469,$C$8:$C$469,$C203)</f>
        <v>32.2</v>
      </c>
      <c r="I203" s="26" t="n">
        <v>5.32</v>
      </c>
      <c r="J203" s="26"/>
      <c r="K203" s="20" t="n">
        <f aca="false">IF(N($J203)&gt;0,$J203,IF(CENARIO_CLIMA="USUARIO",0,$I203))</f>
        <v>5.32</v>
      </c>
      <c r="L203" s="20" t="n">
        <f aca="false">MIN($K203*FATOR_CHUVA_UTIL,LIMITE_CHUVA_UTIL_DIA)</f>
        <v>4.256</v>
      </c>
      <c r="M203" s="26"/>
      <c r="N203" s="20" t="n">
        <f aca="false">IF(N($M203)&gt;0,$M203,$L203)</f>
        <v>4.256</v>
      </c>
      <c r="O203" s="8" t="str">
        <f aca="false">IF(N($F203)+N($J203)&gt;0,"Serie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3" s="8" t="str">
        <f aca="false">IF(N($M203)&gt;0,"Chuva util informada pelo usuario","MIN(Chuva bruta x FATOR_CHUVA_UTIL ; LIMITE_CHUVA_UTIL_DIA)")</f>
        <v>MIN(Chuva bruta x FATOR_CHUVA_UTIL ; LIMITE_CHUVA_UTIL_DIA)</v>
      </c>
    </row>
    <row r="204" customFormat="false" ht="15" hidden="false" customHeight="false" outlineLevel="0" collapsed="false">
      <c r="B204" s="17" t="n">
        <v>46461</v>
      </c>
      <c r="C204" s="16" t="n">
        <v>29</v>
      </c>
      <c r="D204" s="8" t="s">
        <v>519</v>
      </c>
      <c r="E204" s="26" t="n">
        <v>4.6</v>
      </c>
      <c r="F204" s="26"/>
      <c r="G204" s="20" t="n">
        <f aca="false">IF(N($F204)&gt;0,$F204,IF(CENARIO_CLIMA="USUARIO",0,$E204))</f>
        <v>4.6</v>
      </c>
      <c r="H204" s="18" t="n">
        <f aca="false">SUMIFS($G$8:$G$469,$C$8:$C$469,$C204)</f>
        <v>32.2</v>
      </c>
      <c r="I204" s="26" t="n">
        <v>5.32</v>
      </c>
      <c r="J204" s="26"/>
      <c r="K204" s="20" t="n">
        <f aca="false">IF(N($J204)&gt;0,$J204,IF(CENARIO_CLIMA="USUARIO",0,$I204))</f>
        <v>5.32</v>
      </c>
      <c r="L204" s="20" t="n">
        <f aca="false">MIN($K204*FATOR_CHUVA_UTIL,LIMITE_CHUVA_UTIL_DIA)</f>
        <v>4.256</v>
      </c>
      <c r="M204" s="26"/>
      <c r="N204" s="20" t="n">
        <f aca="false">IF(N($M204)&gt;0,$M204,$L204)</f>
        <v>4.256</v>
      </c>
      <c r="O204" s="8" t="str">
        <f aca="false">IF(N($F204)+N($J204)&gt;0,"Serie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4" s="8" t="str">
        <f aca="false">IF(N($M204)&gt;0,"Chuva util informada pelo usuario","MIN(Chuva bruta x FATOR_CHUVA_UTIL ; LIMITE_CHUVA_UTIL_DIA)")</f>
        <v>MIN(Chuva bruta x FATOR_CHUVA_UTIL ; LIMITE_CHUVA_UTIL_DIA)</v>
      </c>
    </row>
    <row r="205" customFormat="false" ht="15" hidden="false" customHeight="false" outlineLevel="0" collapsed="false">
      <c r="B205" s="17" t="n">
        <v>46462</v>
      </c>
      <c r="C205" s="16" t="n">
        <v>29</v>
      </c>
      <c r="D205" s="8" t="s">
        <v>519</v>
      </c>
      <c r="E205" s="26" t="n">
        <v>4.6</v>
      </c>
      <c r="F205" s="26"/>
      <c r="G205" s="20" t="n">
        <f aca="false">IF(N($F205)&gt;0,$F205,IF(CENARIO_CLIMA="USUARIO",0,$E205))</f>
        <v>4.6</v>
      </c>
      <c r="H205" s="18" t="n">
        <f aca="false">SUMIFS($G$8:$G$469,$C$8:$C$469,$C205)</f>
        <v>32.2</v>
      </c>
      <c r="I205" s="26" t="n">
        <v>5.32</v>
      </c>
      <c r="J205" s="26"/>
      <c r="K205" s="20" t="n">
        <f aca="false">IF(N($J205)&gt;0,$J205,IF(CENARIO_CLIMA="USUARIO",0,$I205))</f>
        <v>5.32</v>
      </c>
      <c r="L205" s="20" t="n">
        <f aca="false">MIN($K205*FATOR_CHUVA_UTIL,LIMITE_CHUVA_UTIL_DIA)</f>
        <v>4.256</v>
      </c>
      <c r="M205" s="26"/>
      <c r="N205" s="20" t="n">
        <f aca="false">IF(N($M205)&gt;0,$M205,$L205)</f>
        <v>4.256</v>
      </c>
      <c r="O205" s="8" t="str">
        <f aca="false">IF(N($F205)+N($J205)&gt;0,"Serie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5" s="8" t="str">
        <f aca="false">IF(N($M205)&gt;0,"Chuva util informada pelo usuario","MIN(Chuva bruta x FATOR_CHUVA_UTIL ; LIMITE_CHUVA_UTIL_DIA)")</f>
        <v>MIN(Chuva bruta x FATOR_CHUVA_UTIL ; LIMITE_CHUVA_UTIL_DIA)</v>
      </c>
    </row>
    <row r="206" customFormat="false" ht="15" hidden="false" customHeight="false" outlineLevel="0" collapsed="false">
      <c r="B206" s="17" t="n">
        <v>46463</v>
      </c>
      <c r="C206" s="16" t="n">
        <v>29</v>
      </c>
      <c r="D206" s="8" t="s">
        <v>519</v>
      </c>
      <c r="E206" s="26" t="n">
        <v>4.6</v>
      </c>
      <c r="F206" s="26"/>
      <c r="G206" s="20" t="n">
        <f aca="false">IF(N($F206)&gt;0,$F206,IF(CENARIO_CLIMA="USUARIO",0,$E206))</f>
        <v>4.6</v>
      </c>
      <c r="H206" s="18" t="n">
        <f aca="false">SUMIFS($G$8:$G$469,$C$8:$C$469,$C206)</f>
        <v>32.2</v>
      </c>
      <c r="I206" s="26" t="n">
        <v>5.32</v>
      </c>
      <c r="J206" s="26"/>
      <c r="K206" s="20" t="n">
        <f aca="false">IF(N($J206)&gt;0,$J206,IF(CENARIO_CLIMA="USUARIO",0,$I206))</f>
        <v>5.32</v>
      </c>
      <c r="L206" s="20" t="n">
        <f aca="false">MIN($K206*FATOR_CHUVA_UTIL,LIMITE_CHUVA_UTIL_DIA)</f>
        <v>4.256</v>
      </c>
      <c r="M206" s="26"/>
      <c r="N206" s="20" t="n">
        <f aca="false">IF(N($M206)&gt;0,$M206,$L206)</f>
        <v>4.256</v>
      </c>
      <c r="O206" s="8" t="str">
        <f aca="false">IF(N($F206)+N($J206)&gt;0,"Serie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6" s="8" t="str">
        <f aca="false">IF(N($M206)&gt;0,"Chuva util informada pelo usuario","MIN(Chuva bruta x FATOR_CHUVA_UTIL ; LIMITE_CHUVA_UTIL_DIA)")</f>
        <v>MIN(Chuva bruta x FATOR_CHUVA_UTIL ; LIMITE_CHUVA_UTIL_DIA)</v>
      </c>
    </row>
    <row r="207" customFormat="false" ht="15" hidden="false" customHeight="false" outlineLevel="0" collapsed="false">
      <c r="B207" s="17" t="n">
        <v>46464</v>
      </c>
      <c r="C207" s="16" t="n">
        <v>29</v>
      </c>
      <c r="D207" s="8" t="s">
        <v>519</v>
      </c>
      <c r="E207" s="26" t="n">
        <v>4.6</v>
      </c>
      <c r="F207" s="26"/>
      <c r="G207" s="20" t="n">
        <f aca="false">IF(N($F207)&gt;0,$F207,IF(CENARIO_CLIMA="USUARIO",0,$E207))</f>
        <v>4.6</v>
      </c>
      <c r="H207" s="18" t="n">
        <f aca="false">SUMIFS($G$8:$G$469,$C$8:$C$469,$C207)</f>
        <v>32.2</v>
      </c>
      <c r="I207" s="26" t="n">
        <v>5.32</v>
      </c>
      <c r="J207" s="26"/>
      <c r="K207" s="20" t="n">
        <f aca="false">IF(N($J207)&gt;0,$J207,IF(CENARIO_CLIMA="USUARIO",0,$I207))</f>
        <v>5.32</v>
      </c>
      <c r="L207" s="20" t="n">
        <f aca="false">MIN($K207*FATOR_CHUVA_UTIL,LIMITE_CHUVA_UTIL_DIA)</f>
        <v>4.256</v>
      </c>
      <c r="M207" s="26"/>
      <c r="N207" s="20" t="n">
        <f aca="false">IF(N($M207)&gt;0,$M207,$L207)</f>
        <v>4.256</v>
      </c>
      <c r="O207" s="8" t="str">
        <f aca="false">IF(N($F207)+N($J207)&gt;0,"Serie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7" s="8" t="str">
        <f aca="false">IF(N($M207)&gt;0,"Chuva util informada pelo usuario","MIN(Chuva bruta x FATOR_CHUVA_UTIL ; LIMITE_CHUVA_UTIL_DIA)")</f>
        <v>MIN(Chuva bruta x FATOR_CHUVA_UTIL ; LIMITE_CHUVA_UTIL_DIA)</v>
      </c>
    </row>
    <row r="208" customFormat="false" ht="15" hidden="false" customHeight="false" outlineLevel="0" collapsed="false">
      <c r="B208" s="17" t="n">
        <v>46465</v>
      </c>
      <c r="C208" s="16" t="n">
        <v>29</v>
      </c>
      <c r="D208" s="8" t="s">
        <v>519</v>
      </c>
      <c r="E208" s="26" t="n">
        <v>4.6</v>
      </c>
      <c r="F208" s="26"/>
      <c r="G208" s="20" t="n">
        <f aca="false">IF(N($F208)&gt;0,$F208,IF(CENARIO_CLIMA="USUARIO",0,$E208))</f>
        <v>4.6</v>
      </c>
      <c r="H208" s="18" t="n">
        <f aca="false">SUMIFS($G$8:$G$469,$C$8:$C$469,$C208)</f>
        <v>32.2</v>
      </c>
      <c r="I208" s="26" t="n">
        <v>5.32</v>
      </c>
      <c r="J208" s="26"/>
      <c r="K208" s="20" t="n">
        <f aca="false">IF(N($J208)&gt;0,$J208,IF(CENARIO_CLIMA="USUARIO",0,$I208))</f>
        <v>5.32</v>
      </c>
      <c r="L208" s="20" t="n">
        <f aca="false">MIN($K208*FATOR_CHUVA_UTIL,LIMITE_CHUVA_UTIL_DIA)</f>
        <v>4.256</v>
      </c>
      <c r="M208" s="26"/>
      <c r="N208" s="20" t="n">
        <f aca="false">IF(N($M208)&gt;0,$M208,$L208)</f>
        <v>4.256</v>
      </c>
      <c r="O208" s="8" t="str">
        <f aca="false">IF(N($F208)+N($J208)&gt;0,"Serie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8" s="8" t="str">
        <f aca="false">IF(N($M208)&gt;0,"Chuva util informada pelo usuario","MIN(Chuva bruta x FATOR_CHUVA_UTIL ; LIMITE_CHUVA_UTIL_DIA)")</f>
        <v>MIN(Chuva bruta x FATOR_CHUVA_UTIL ; LIMITE_CHUVA_UTIL_DIA)</v>
      </c>
    </row>
    <row r="209" customFormat="false" ht="15" hidden="false" customHeight="false" outlineLevel="0" collapsed="false">
      <c r="B209" s="17" t="n">
        <v>46466</v>
      </c>
      <c r="C209" s="16" t="n">
        <v>29</v>
      </c>
      <c r="D209" s="8" t="s">
        <v>519</v>
      </c>
      <c r="E209" s="26" t="n">
        <v>4.6</v>
      </c>
      <c r="F209" s="26"/>
      <c r="G209" s="20" t="n">
        <f aca="false">IF(N($F209)&gt;0,$F209,IF(CENARIO_CLIMA="USUARIO",0,$E209))</f>
        <v>4.6</v>
      </c>
      <c r="H209" s="18" t="n">
        <f aca="false">SUMIFS($G$8:$G$469,$C$8:$C$469,$C209)</f>
        <v>32.2</v>
      </c>
      <c r="I209" s="26" t="n">
        <v>5.32</v>
      </c>
      <c r="J209" s="26"/>
      <c r="K209" s="20" t="n">
        <f aca="false">IF(N($J209)&gt;0,$J209,IF(CENARIO_CLIMA="USUARIO",0,$I209))</f>
        <v>5.32</v>
      </c>
      <c r="L209" s="20" t="n">
        <f aca="false">MIN($K209*FATOR_CHUVA_UTIL,LIMITE_CHUVA_UTIL_DIA)</f>
        <v>4.256</v>
      </c>
      <c r="M209" s="26"/>
      <c r="N209" s="20" t="n">
        <f aca="false">IF(N($M209)&gt;0,$M209,$L209)</f>
        <v>4.256</v>
      </c>
      <c r="O209" s="8" t="str">
        <f aca="false">IF(N($F209)+N($J209)&gt;0,"Serie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09" s="8" t="str">
        <f aca="false">IF(N($M209)&gt;0,"Chuva util informada pelo usuario","MIN(Chuva bruta x FATOR_CHUVA_UTIL ; LIMITE_CHUVA_UTIL_DIA)")</f>
        <v>MIN(Chuva bruta x FATOR_CHUVA_UTIL ; LIMITE_CHUVA_UTIL_DIA)</v>
      </c>
    </row>
    <row r="210" customFormat="false" ht="15" hidden="false" customHeight="false" outlineLevel="0" collapsed="false">
      <c r="B210" s="17" t="n">
        <v>46467</v>
      </c>
      <c r="C210" s="16" t="n">
        <v>29</v>
      </c>
      <c r="D210" s="8" t="s">
        <v>519</v>
      </c>
      <c r="E210" s="26" t="n">
        <v>4.6</v>
      </c>
      <c r="F210" s="26"/>
      <c r="G210" s="20" t="n">
        <f aca="false">IF(N($F210)&gt;0,$F210,IF(CENARIO_CLIMA="USUARIO",0,$E210))</f>
        <v>4.6</v>
      </c>
      <c r="H210" s="18" t="n">
        <f aca="false">SUMIFS($G$8:$G$469,$C$8:$C$469,$C210)</f>
        <v>32.2</v>
      </c>
      <c r="I210" s="26" t="n">
        <v>5.32</v>
      </c>
      <c r="J210" s="26"/>
      <c r="K210" s="20" t="n">
        <f aca="false">IF(N($J210)&gt;0,$J210,IF(CENARIO_CLIMA="USUARIO",0,$I210))</f>
        <v>5.32</v>
      </c>
      <c r="L210" s="20" t="n">
        <f aca="false">MIN($K210*FATOR_CHUVA_UTIL,LIMITE_CHUVA_UTIL_DIA)</f>
        <v>4.256</v>
      </c>
      <c r="M210" s="26"/>
      <c r="N210" s="20" t="n">
        <f aca="false">IF(N($M210)&gt;0,$M210,$L210)</f>
        <v>4.256</v>
      </c>
      <c r="O210" s="8" t="str">
        <f aca="false">IF(N($F210)+N($J210)&gt;0,"Serie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0" s="8" t="str">
        <f aca="false">IF(N($M210)&gt;0,"Chuva util informada pelo usuario","MIN(Chuva bruta x FATOR_CHUVA_UTIL ; LIMITE_CHUVA_UTIL_DIA)")</f>
        <v>MIN(Chuva bruta x FATOR_CHUVA_UTIL ; LIMITE_CHUVA_UTIL_DIA)</v>
      </c>
    </row>
    <row r="211" customFormat="false" ht="15" hidden="false" customHeight="false" outlineLevel="0" collapsed="false">
      <c r="B211" s="17" t="n">
        <v>46468</v>
      </c>
      <c r="C211" s="16" t="n">
        <v>30</v>
      </c>
      <c r="D211" s="8" t="s">
        <v>519</v>
      </c>
      <c r="E211" s="26" t="n">
        <v>4.6</v>
      </c>
      <c r="F211" s="26"/>
      <c r="G211" s="20" t="n">
        <f aca="false">IF(N($F211)&gt;0,$F211,IF(CENARIO_CLIMA="USUARIO",0,$E211))</f>
        <v>4.6</v>
      </c>
      <c r="H211" s="18" t="n">
        <f aca="false">SUMIFS($G$8:$G$469,$C$8:$C$469,$C211)</f>
        <v>32.2</v>
      </c>
      <c r="I211" s="26" t="n">
        <v>5.32</v>
      </c>
      <c r="J211" s="26"/>
      <c r="K211" s="20" t="n">
        <f aca="false">IF(N($J211)&gt;0,$J211,IF(CENARIO_CLIMA="USUARIO",0,$I211))</f>
        <v>5.32</v>
      </c>
      <c r="L211" s="20" t="n">
        <f aca="false">MIN($K211*FATOR_CHUVA_UTIL,LIMITE_CHUVA_UTIL_DIA)</f>
        <v>4.256</v>
      </c>
      <c r="M211" s="26"/>
      <c r="N211" s="20" t="n">
        <f aca="false">IF(N($M211)&gt;0,$M211,$L211)</f>
        <v>4.256</v>
      </c>
      <c r="O211" s="8" t="str">
        <f aca="false">IF(N($F211)+N($J211)&gt;0,"Serie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1" s="8" t="str">
        <f aca="false">IF(N($M211)&gt;0,"Chuva util informada pelo usuario","MIN(Chuva bruta x FATOR_CHUVA_UTIL ; LIMITE_CHUVA_UTIL_DIA)")</f>
        <v>MIN(Chuva bruta x FATOR_CHUVA_UTIL ; LIMITE_CHUVA_UTIL_DIA)</v>
      </c>
    </row>
    <row r="212" customFormat="false" ht="15" hidden="false" customHeight="false" outlineLevel="0" collapsed="false">
      <c r="B212" s="17" t="n">
        <v>46469</v>
      </c>
      <c r="C212" s="16" t="n">
        <v>30</v>
      </c>
      <c r="D212" s="8" t="s">
        <v>519</v>
      </c>
      <c r="E212" s="26" t="n">
        <v>4.6</v>
      </c>
      <c r="F212" s="26"/>
      <c r="G212" s="20" t="n">
        <f aca="false">IF(N($F212)&gt;0,$F212,IF(CENARIO_CLIMA="USUARIO",0,$E212))</f>
        <v>4.6</v>
      </c>
      <c r="H212" s="18" t="n">
        <f aca="false">SUMIFS($G$8:$G$469,$C$8:$C$469,$C212)</f>
        <v>32.2</v>
      </c>
      <c r="I212" s="26" t="n">
        <v>5.32</v>
      </c>
      <c r="J212" s="26"/>
      <c r="K212" s="20" t="n">
        <f aca="false">IF(N($J212)&gt;0,$J212,IF(CENARIO_CLIMA="USUARIO",0,$I212))</f>
        <v>5.32</v>
      </c>
      <c r="L212" s="20" t="n">
        <f aca="false">MIN($K212*FATOR_CHUVA_UTIL,LIMITE_CHUVA_UTIL_DIA)</f>
        <v>4.256</v>
      </c>
      <c r="M212" s="26"/>
      <c r="N212" s="20" t="n">
        <f aca="false">IF(N($M212)&gt;0,$M212,$L212)</f>
        <v>4.256</v>
      </c>
      <c r="O212" s="8" t="str">
        <f aca="false">IF(N($F212)+N($J212)&gt;0,"Serie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2" s="8" t="str">
        <f aca="false">IF(N($M212)&gt;0,"Chuva util informada pelo usuario","MIN(Chuva bruta x FATOR_CHUVA_UTIL ; LIMITE_CHUVA_UTIL_DIA)")</f>
        <v>MIN(Chuva bruta x FATOR_CHUVA_UTIL ; LIMITE_CHUVA_UTIL_DIA)</v>
      </c>
    </row>
    <row r="213" customFormat="false" ht="15" hidden="false" customHeight="false" outlineLevel="0" collapsed="false">
      <c r="B213" s="17" t="n">
        <v>46470</v>
      </c>
      <c r="C213" s="16" t="n">
        <v>30</v>
      </c>
      <c r="D213" s="8" t="s">
        <v>519</v>
      </c>
      <c r="E213" s="26" t="n">
        <v>4.6</v>
      </c>
      <c r="F213" s="26"/>
      <c r="G213" s="20" t="n">
        <f aca="false">IF(N($F213)&gt;0,$F213,IF(CENARIO_CLIMA="USUARIO",0,$E213))</f>
        <v>4.6</v>
      </c>
      <c r="H213" s="18" t="n">
        <f aca="false">SUMIFS($G$8:$G$469,$C$8:$C$469,$C213)</f>
        <v>32.2</v>
      </c>
      <c r="I213" s="26" t="n">
        <v>5.32</v>
      </c>
      <c r="J213" s="26"/>
      <c r="K213" s="20" t="n">
        <f aca="false">IF(N($J213)&gt;0,$J213,IF(CENARIO_CLIMA="USUARIO",0,$I213))</f>
        <v>5.32</v>
      </c>
      <c r="L213" s="20" t="n">
        <f aca="false">MIN($K213*FATOR_CHUVA_UTIL,LIMITE_CHUVA_UTIL_DIA)</f>
        <v>4.256</v>
      </c>
      <c r="M213" s="26"/>
      <c r="N213" s="20" t="n">
        <f aca="false">IF(N($M213)&gt;0,$M213,$L213)</f>
        <v>4.256</v>
      </c>
      <c r="O213" s="8" t="str">
        <f aca="false">IF(N($F213)+N($J213)&gt;0,"Serie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3" s="8" t="str">
        <f aca="false">IF(N($M213)&gt;0,"Chuva util informada pelo usuario","MIN(Chuva bruta x FATOR_CHUVA_UTIL ; LIMITE_CHUVA_UTIL_DIA)")</f>
        <v>MIN(Chuva bruta x FATOR_CHUVA_UTIL ; LIMITE_CHUVA_UTIL_DIA)</v>
      </c>
    </row>
    <row r="214" customFormat="false" ht="15" hidden="false" customHeight="false" outlineLevel="0" collapsed="false">
      <c r="B214" s="17" t="n">
        <v>46471</v>
      </c>
      <c r="C214" s="16" t="n">
        <v>30</v>
      </c>
      <c r="D214" s="8" t="s">
        <v>519</v>
      </c>
      <c r="E214" s="26" t="n">
        <v>4.6</v>
      </c>
      <c r="F214" s="26"/>
      <c r="G214" s="20" t="n">
        <f aca="false">IF(N($F214)&gt;0,$F214,IF(CENARIO_CLIMA="USUARIO",0,$E214))</f>
        <v>4.6</v>
      </c>
      <c r="H214" s="18" t="n">
        <f aca="false">SUMIFS($G$8:$G$469,$C$8:$C$469,$C214)</f>
        <v>32.2</v>
      </c>
      <c r="I214" s="26" t="n">
        <v>5.32</v>
      </c>
      <c r="J214" s="26"/>
      <c r="K214" s="20" t="n">
        <f aca="false">IF(N($J214)&gt;0,$J214,IF(CENARIO_CLIMA="USUARIO",0,$I214))</f>
        <v>5.32</v>
      </c>
      <c r="L214" s="20" t="n">
        <f aca="false">MIN($K214*FATOR_CHUVA_UTIL,LIMITE_CHUVA_UTIL_DIA)</f>
        <v>4.256</v>
      </c>
      <c r="M214" s="26"/>
      <c r="N214" s="20" t="n">
        <f aca="false">IF(N($M214)&gt;0,$M214,$L214)</f>
        <v>4.256</v>
      </c>
      <c r="O214" s="8" t="str">
        <f aca="false">IF(N($F214)+N($J214)&gt;0,"Serie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4" s="8" t="str">
        <f aca="false">IF(N($M214)&gt;0,"Chuva util informada pelo usuario","MIN(Chuva bruta x FATOR_CHUVA_UTIL ; LIMITE_CHUVA_UTIL_DIA)")</f>
        <v>MIN(Chuva bruta x FATOR_CHUVA_UTIL ; LIMITE_CHUVA_UTIL_DIA)</v>
      </c>
    </row>
    <row r="215" customFormat="false" ht="15" hidden="false" customHeight="false" outlineLevel="0" collapsed="false">
      <c r="B215" s="17" t="n">
        <v>46472</v>
      </c>
      <c r="C215" s="16" t="n">
        <v>30</v>
      </c>
      <c r="D215" s="8" t="s">
        <v>519</v>
      </c>
      <c r="E215" s="26" t="n">
        <v>4.6</v>
      </c>
      <c r="F215" s="26"/>
      <c r="G215" s="20" t="n">
        <f aca="false">IF(N($F215)&gt;0,$F215,IF(CENARIO_CLIMA="USUARIO",0,$E215))</f>
        <v>4.6</v>
      </c>
      <c r="H215" s="18" t="n">
        <f aca="false">SUMIFS($G$8:$G$469,$C$8:$C$469,$C215)</f>
        <v>32.2</v>
      </c>
      <c r="I215" s="26" t="n">
        <v>5.32</v>
      </c>
      <c r="J215" s="26"/>
      <c r="K215" s="20" t="n">
        <f aca="false">IF(N($J215)&gt;0,$J215,IF(CENARIO_CLIMA="USUARIO",0,$I215))</f>
        <v>5.32</v>
      </c>
      <c r="L215" s="20" t="n">
        <f aca="false">MIN($K215*FATOR_CHUVA_UTIL,LIMITE_CHUVA_UTIL_DIA)</f>
        <v>4.256</v>
      </c>
      <c r="M215" s="26"/>
      <c r="N215" s="20" t="n">
        <f aca="false">IF(N($M215)&gt;0,$M215,$L215)</f>
        <v>4.256</v>
      </c>
      <c r="O215" s="8" t="str">
        <f aca="false">IF(N($F215)+N($J215)&gt;0,"Serie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5" s="8" t="str">
        <f aca="false">IF(N($M215)&gt;0,"Chuva util informada pelo usuario","MIN(Chuva bruta x FATOR_CHUVA_UTIL ; LIMITE_CHUVA_UTIL_DIA)")</f>
        <v>MIN(Chuva bruta x FATOR_CHUVA_UTIL ; LIMITE_CHUVA_UTIL_DIA)</v>
      </c>
    </row>
    <row r="216" customFormat="false" ht="15" hidden="false" customHeight="false" outlineLevel="0" collapsed="false">
      <c r="B216" s="17" t="n">
        <v>46473</v>
      </c>
      <c r="C216" s="16" t="n">
        <v>30</v>
      </c>
      <c r="D216" s="8" t="s">
        <v>519</v>
      </c>
      <c r="E216" s="26" t="n">
        <v>4.6</v>
      </c>
      <c r="F216" s="26"/>
      <c r="G216" s="20" t="n">
        <f aca="false">IF(N($F216)&gt;0,$F216,IF(CENARIO_CLIMA="USUARIO",0,$E216))</f>
        <v>4.6</v>
      </c>
      <c r="H216" s="18" t="n">
        <f aca="false">SUMIFS($G$8:$G$469,$C$8:$C$469,$C216)</f>
        <v>32.2</v>
      </c>
      <c r="I216" s="26" t="n">
        <v>5.32</v>
      </c>
      <c r="J216" s="26"/>
      <c r="K216" s="20" t="n">
        <f aca="false">IF(N($J216)&gt;0,$J216,IF(CENARIO_CLIMA="USUARIO",0,$I216))</f>
        <v>5.32</v>
      </c>
      <c r="L216" s="20" t="n">
        <f aca="false">MIN($K216*FATOR_CHUVA_UTIL,LIMITE_CHUVA_UTIL_DIA)</f>
        <v>4.256</v>
      </c>
      <c r="M216" s="26"/>
      <c r="N216" s="20" t="n">
        <f aca="false">IF(N($M216)&gt;0,$M216,$L216)</f>
        <v>4.256</v>
      </c>
      <c r="O216" s="8" t="str">
        <f aca="false">IF(N($F216)+N($J216)&gt;0,"Serie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6" s="8" t="str">
        <f aca="false">IF(N($M216)&gt;0,"Chuva util informada pelo usuario","MIN(Chuva bruta x FATOR_CHUVA_UTIL ; LIMITE_CHUVA_UTIL_DIA)")</f>
        <v>MIN(Chuva bruta x FATOR_CHUVA_UTIL ; LIMITE_CHUVA_UTIL_DIA)</v>
      </c>
    </row>
    <row r="217" customFormat="false" ht="15" hidden="false" customHeight="false" outlineLevel="0" collapsed="false">
      <c r="B217" s="17" t="n">
        <v>46474</v>
      </c>
      <c r="C217" s="16" t="n">
        <v>30</v>
      </c>
      <c r="D217" s="8" t="s">
        <v>519</v>
      </c>
      <c r="E217" s="26" t="n">
        <v>4.6</v>
      </c>
      <c r="F217" s="26"/>
      <c r="G217" s="20" t="n">
        <f aca="false">IF(N($F217)&gt;0,$F217,IF(CENARIO_CLIMA="USUARIO",0,$E217))</f>
        <v>4.6</v>
      </c>
      <c r="H217" s="18" t="n">
        <f aca="false">SUMIFS($G$8:$G$469,$C$8:$C$469,$C217)</f>
        <v>32.2</v>
      </c>
      <c r="I217" s="26" t="n">
        <v>5.32</v>
      </c>
      <c r="J217" s="26"/>
      <c r="K217" s="20" t="n">
        <f aca="false">IF(N($J217)&gt;0,$J217,IF(CENARIO_CLIMA="USUARIO",0,$I217))</f>
        <v>5.32</v>
      </c>
      <c r="L217" s="20" t="n">
        <f aca="false">MIN($K217*FATOR_CHUVA_UTIL,LIMITE_CHUVA_UTIL_DIA)</f>
        <v>4.256</v>
      </c>
      <c r="M217" s="26"/>
      <c r="N217" s="20" t="n">
        <f aca="false">IF(N($M217)&gt;0,$M217,$L217)</f>
        <v>4.256</v>
      </c>
      <c r="O217" s="8" t="str">
        <f aca="false">IF(N($F217)+N($J217)&gt;0,"Serie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7" s="8" t="str">
        <f aca="false">IF(N($M217)&gt;0,"Chuva util informada pelo usuario","MIN(Chuva bruta x FATOR_CHUVA_UTIL ; LIMITE_CHUVA_UTIL_DIA)")</f>
        <v>MIN(Chuva bruta x FATOR_CHUVA_UTIL ; LIMITE_CHUVA_UTIL_DIA)</v>
      </c>
    </row>
    <row r="218" customFormat="false" ht="15" hidden="false" customHeight="false" outlineLevel="0" collapsed="false">
      <c r="B218" s="17" t="n">
        <v>46475</v>
      </c>
      <c r="C218" s="16" t="n">
        <v>31</v>
      </c>
      <c r="D218" s="8" t="s">
        <v>519</v>
      </c>
      <c r="E218" s="26" t="n">
        <v>4.6</v>
      </c>
      <c r="F218" s="26"/>
      <c r="G218" s="20" t="n">
        <f aca="false">IF(N($F218)&gt;0,$F218,IF(CENARIO_CLIMA="USUARIO",0,$E218))</f>
        <v>4.6</v>
      </c>
      <c r="H218" s="18" t="n">
        <f aca="false">SUMIFS($G$8:$G$469,$C$8:$C$469,$C218)</f>
        <v>31.8</v>
      </c>
      <c r="I218" s="26" t="n">
        <v>5.32</v>
      </c>
      <c r="J218" s="26"/>
      <c r="K218" s="20" t="n">
        <f aca="false">IF(N($J218)&gt;0,$J218,IF(CENARIO_CLIMA="USUARIO",0,$I218))</f>
        <v>5.32</v>
      </c>
      <c r="L218" s="20" t="n">
        <f aca="false">MIN($K218*FATOR_CHUVA_UTIL,LIMITE_CHUVA_UTIL_DIA)</f>
        <v>4.256</v>
      </c>
      <c r="M218" s="26"/>
      <c r="N218" s="20" t="n">
        <f aca="false">IF(N($M218)&gt;0,$M218,$L218)</f>
        <v>4.256</v>
      </c>
      <c r="O218" s="8" t="str">
        <f aca="false">IF(N($F218)+N($J218)&gt;0,"Serie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8" s="8" t="str">
        <f aca="false">IF(N($M218)&gt;0,"Chuva util informada pelo usuario","MIN(Chuva bruta x FATOR_CHUVA_UTIL ; LIMITE_CHUVA_UTIL_DIA)")</f>
        <v>MIN(Chuva bruta x FATOR_CHUVA_UTIL ; LIMITE_CHUVA_UTIL_DIA)</v>
      </c>
    </row>
    <row r="219" customFormat="false" ht="15" hidden="false" customHeight="false" outlineLevel="0" collapsed="false">
      <c r="B219" s="17" t="n">
        <v>46476</v>
      </c>
      <c r="C219" s="16" t="n">
        <v>31</v>
      </c>
      <c r="D219" s="8" t="s">
        <v>519</v>
      </c>
      <c r="E219" s="26" t="n">
        <v>4.6</v>
      </c>
      <c r="F219" s="26"/>
      <c r="G219" s="20" t="n">
        <f aca="false">IF(N($F219)&gt;0,$F219,IF(CENARIO_CLIMA="USUARIO",0,$E219))</f>
        <v>4.6</v>
      </c>
      <c r="H219" s="18" t="n">
        <f aca="false">SUMIFS($G$8:$G$469,$C$8:$C$469,$C219)</f>
        <v>31.8</v>
      </c>
      <c r="I219" s="26" t="n">
        <v>5.32</v>
      </c>
      <c r="J219" s="26"/>
      <c r="K219" s="20" t="n">
        <f aca="false">IF(N($J219)&gt;0,$J219,IF(CENARIO_CLIMA="USUARIO",0,$I219))</f>
        <v>5.32</v>
      </c>
      <c r="L219" s="20" t="n">
        <f aca="false">MIN($K219*FATOR_CHUVA_UTIL,LIMITE_CHUVA_UTIL_DIA)</f>
        <v>4.256</v>
      </c>
      <c r="M219" s="26"/>
      <c r="N219" s="20" t="n">
        <f aca="false">IF(N($M219)&gt;0,$M219,$L219)</f>
        <v>4.256</v>
      </c>
      <c r="O219" s="8" t="str">
        <f aca="false">IF(N($F219)+N($J219)&gt;0,"Serie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19" s="8" t="str">
        <f aca="false">IF(N($M219)&gt;0,"Chuva util informada pelo usuario","MIN(Chuva bruta x FATOR_CHUVA_UTIL ; LIMITE_CHUVA_UTIL_DIA)")</f>
        <v>MIN(Chuva bruta x FATOR_CHUVA_UTIL ; LIMITE_CHUVA_UTIL_DIA)</v>
      </c>
    </row>
    <row r="220" customFormat="false" ht="15" hidden="false" customHeight="false" outlineLevel="0" collapsed="false">
      <c r="B220" s="17" t="n">
        <v>46477</v>
      </c>
      <c r="C220" s="16" t="n">
        <v>31</v>
      </c>
      <c r="D220" s="8" t="s">
        <v>519</v>
      </c>
      <c r="E220" s="26" t="n">
        <v>4.6</v>
      </c>
      <c r="F220" s="26"/>
      <c r="G220" s="20" t="n">
        <f aca="false">IF(N($F220)&gt;0,$F220,IF(CENARIO_CLIMA="USUARIO",0,$E220))</f>
        <v>4.6</v>
      </c>
      <c r="H220" s="18" t="n">
        <f aca="false">SUMIFS($G$8:$G$469,$C$8:$C$469,$C220)</f>
        <v>31.8</v>
      </c>
      <c r="I220" s="26" t="n">
        <v>5.32</v>
      </c>
      <c r="J220" s="26"/>
      <c r="K220" s="20" t="n">
        <f aca="false">IF(N($J220)&gt;0,$J220,IF(CENARIO_CLIMA="USUARIO",0,$I220))</f>
        <v>5.32</v>
      </c>
      <c r="L220" s="20" t="n">
        <f aca="false">MIN($K220*FATOR_CHUVA_UTIL,LIMITE_CHUVA_UTIL_DIA)</f>
        <v>4.256</v>
      </c>
      <c r="M220" s="26"/>
      <c r="N220" s="20" t="n">
        <f aca="false">IF(N($M220)&gt;0,$M220,$L220)</f>
        <v>4.256</v>
      </c>
      <c r="O220" s="8" t="str">
        <f aca="false">IF(N($F220)+N($J220)&gt;0,"Serie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0" s="8" t="str">
        <f aca="false">IF(N($M220)&gt;0,"Chuva util informada pelo usuario","MIN(Chuva bruta x FATOR_CHUVA_UTIL ; LIMITE_CHUVA_UTIL_DIA)")</f>
        <v>MIN(Chuva bruta x FATOR_CHUVA_UTIL ; LIMITE_CHUVA_UTIL_DIA)</v>
      </c>
    </row>
    <row r="221" customFormat="false" ht="15" hidden="false" customHeight="false" outlineLevel="0" collapsed="false">
      <c r="B221" s="17" t="n">
        <v>46478</v>
      </c>
      <c r="C221" s="16" t="n">
        <v>31</v>
      </c>
      <c r="D221" s="8" t="s">
        <v>520</v>
      </c>
      <c r="E221" s="26" t="n">
        <v>4.5</v>
      </c>
      <c r="F221" s="26"/>
      <c r="G221" s="20" t="n">
        <f aca="false">IF(N($F221)&gt;0,$F221,IF(CENARIO_CLIMA="USUARIO",0,$E221))</f>
        <v>4.5</v>
      </c>
      <c r="H221" s="18" t="n">
        <f aca="false">SUMIFS($G$8:$G$469,$C$8:$C$469,$C221)</f>
        <v>31.8</v>
      </c>
      <c r="I221" s="26" t="n">
        <v>2.33</v>
      </c>
      <c r="J221" s="26"/>
      <c r="K221" s="20" t="n">
        <f aca="false">IF(N($J221)&gt;0,$J221,IF(CENARIO_CLIMA="USUARIO",0,$I221))</f>
        <v>2.33</v>
      </c>
      <c r="L221" s="20" t="n">
        <f aca="false">MIN($K221*FATOR_CHUVA_UTIL,LIMITE_CHUVA_UTIL_DIA)</f>
        <v>1.864</v>
      </c>
      <c r="M221" s="26"/>
      <c r="N221" s="20" t="n">
        <f aca="false">IF(N($M221)&gt;0,$M221,$L221)</f>
        <v>1.864</v>
      </c>
      <c r="O221" s="8" t="str">
        <f aca="false">IF(N($F221)+N($J221)&gt;0,"Serie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1" s="8" t="str">
        <f aca="false">IF(N($M221)&gt;0,"Chuva util informada pelo usuario","MIN(Chuva bruta x FATOR_CHUVA_UTIL ; LIMITE_CHUVA_UTIL_DIA)")</f>
        <v>MIN(Chuva bruta x FATOR_CHUVA_UTIL ; LIMITE_CHUVA_UTIL_DIA)</v>
      </c>
    </row>
    <row r="222" customFormat="false" ht="15" hidden="false" customHeight="false" outlineLevel="0" collapsed="false">
      <c r="B222" s="17" t="n">
        <v>46479</v>
      </c>
      <c r="C222" s="16" t="n">
        <v>31</v>
      </c>
      <c r="D222" s="8" t="s">
        <v>520</v>
      </c>
      <c r="E222" s="26" t="n">
        <v>4.5</v>
      </c>
      <c r="F222" s="26"/>
      <c r="G222" s="20" t="n">
        <f aca="false">IF(N($F222)&gt;0,$F222,IF(CENARIO_CLIMA="USUARIO",0,$E222))</f>
        <v>4.5</v>
      </c>
      <c r="H222" s="18" t="n">
        <f aca="false">SUMIFS($G$8:$G$469,$C$8:$C$469,$C222)</f>
        <v>31.8</v>
      </c>
      <c r="I222" s="26" t="n">
        <v>2.33</v>
      </c>
      <c r="J222" s="26"/>
      <c r="K222" s="20" t="n">
        <f aca="false">IF(N($J222)&gt;0,$J222,IF(CENARIO_CLIMA="USUARIO",0,$I222))</f>
        <v>2.33</v>
      </c>
      <c r="L222" s="20" t="n">
        <f aca="false">MIN($K222*FATOR_CHUVA_UTIL,LIMITE_CHUVA_UTIL_DIA)</f>
        <v>1.864</v>
      </c>
      <c r="M222" s="26"/>
      <c r="N222" s="20" t="n">
        <f aca="false">IF(N($M222)&gt;0,$M222,$L222)</f>
        <v>1.864</v>
      </c>
      <c r="O222" s="8" t="str">
        <f aca="false">IF(N($F222)+N($J222)&gt;0,"Serie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2" s="8" t="str">
        <f aca="false">IF(N($M222)&gt;0,"Chuva util informada pelo usuario","MIN(Chuva bruta x FATOR_CHUVA_UTIL ; LIMITE_CHUVA_UTIL_DIA)")</f>
        <v>MIN(Chuva bruta x FATOR_CHUVA_UTIL ; LIMITE_CHUVA_UTIL_DIA)</v>
      </c>
    </row>
    <row r="223" customFormat="false" ht="15" hidden="false" customHeight="false" outlineLevel="0" collapsed="false">
      <c r="B223" s="17" t="n">
        <v>46480</v>
      </c>
      <c r="C223" s="16" t="n">
        <v>31</v>
      </c>
      <c r="D223" s="8" t="s">
        <v>520</v>
      </c>
      <c r="E223" s="26" t="n">
        <v>4.5</v>
      </c>
      <c r="F223" s="26"/>
      <c r="G223" s="20" t="n">
        <f aca="false">IF(N($F223)&gt;0,$F223,IF(CENARIO_CLIMA="USUARIO",0,$E223))</f>
        <v>4.5</v>
      </c>
      <c r="H223" s="18" t="n">
        <f aca="false">SUMIFS($G$8:$G$469,$C$8:$C$469,$C223)</f>
        <v>31.8</v>
      </c>
      <c r="I223" s="26" t="n">
        <v>2.33</v>
      </c>
      <c r="J223" s="26"/>
      <c r="K223" s="20" t="n">
        <f aca="false">IF(N($J223)&gt;0,$J223,IF(CENARIO_CLIMA="USUARIO",0,$I223))</f>
        <v>2.33</v>
      </c>
      <c r="L223" s="20" t="n">
        <f aca="false">MIN($K223*FATOR_CHUVA_UTIL,LIMITE_CHUVA_UTIL_DIA)</f>
        <v>1.864</v>
      </c>
      <c r="M223" s="26"/>
      <c r="N223" s="20" t="n">
        <f aca="false">IF(N($M223)&gt;0,$M223,$L223)</f>
        <v>1.864</v>
      </c>
      <c r="O223" s="8" t="str">
        <f aca="false">IF(N($F223)+N($J223)&gt;0,"Serie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3" s="8" t="str">
        <f aca="false">IF(N($M223)&gt;0,"Chuva util informada pelo usuario","MIN(Chuva bruta x FATOR_CHUVA_UTIL ; LIMITE_CHUVA_UTIL_DIA)")</f>
        <v>MIN(Chuva bruta x FATOR_CHUVA_UTIL ; LIMITE_CHUVA_UTIL_DIA)</v>
      </c>
    </row>
    <row r="224" customFormat="false" ht="15" hidden="false" customHeight="false" outlineLevel="0" collapsed="false">
      <c r="B224" s="17" t="n">
        <v>46481</v>
      </c>
      <c r="C224" s="16" t="n">
        <v>31</v>
      </c>
      <c r="D224" s="8" t="s">
        <v>520</v>
      </c>
      <c r="E224" s="26" t="n">
        <v>4.5</v>
      </c>
      <c r="F224" s="26"/>
      <c r="G224" s="20" t="n">
        <f aca="false">IF(N($F224)&gt;0,$F224,IF(CENARIO_CLIMA="USUARIO",0,$E224))</f>
        <v>4.5</v>
      </c>
      <c r="H224" s="18" t="n">
        <f aca="false">SUMIFS($G$8:$G$469,$C$8:$C$469,$C224)</f>
        <v>31.8</v>
      </c>
      <c r="I224" s="26" t="n">
        <v>2.33</v>
      </c>
      <c r="J224" s="26"/>
      <c r="K224" s="20" t="n">
        <f aca="false">IF(N($J224)&gt;0,$J224,IF(CENARIO_CLIMA="USUARIO",0,$I224))</f>
        <v>2.33</v>
      </c>
      <c r="L224" s="20" t="n">
        <f aca="false">MIN($K224*FATOR_CHUVA_UTIL,LIMITE_CHUVA_UTIL_DIA)</f>
        <v>1.864</v>
      </c>
      <c r="M224" s="26"/>
      <c r="N224" s="20" t="n">
        <f aca="false">IF(N($M224)&gt;0,$M224,$L224)</f>
        <v>1.864</v>
      </c>
      <c r="O224" s="8" t="str">
        <f aca="false">IF(N($F224)+N($J224)&gt;0,"Serie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4" s="8" t="str">
        <f aca="false">IF(N($M224)&gt;0,"Chuva util informada pelo usuario","MIN(Chuva bruta x FATOR_CHUVA_UTIL ; LIMITE_CHUVA_UTIL_DIA)")</f>
        <v>MIN(Chuva bruta x FATOR_CHUVA_UTIL ; LIMITE_CHUVA_UTIL_DIA)</v>
      </c>
    </row>
    <row r="225" customFormat="false" ht="15" hidden="false" customHeight="false" outlineLevel="0" collapsed="false">
      <c r="B225" s="17" t="n">
        <v>46482</v>
      </c>
      <c r="C225" s="16" t="n">
        <v>32</v>
      </c>
      <c r="D225" s="8" t="s">
        <v>520</v>
      </c>
      <c r="E225" s="26" t="n">
        <v>4.5</v>
      </c>
      <c r="F225" s="26"/>
      <c r="G225" s="20" t="n">
        <f aca="false">IF(N($F225)&gt;0,$F225,IF(CENARIO_CLIMA="USUARIO",0,$E225))</f>
        <v>4.5</v>
      </c>
      <c r="H225" s="18" t="n">
        <f aca="false">SUMIFS($G$8:$G$469,$C$8:$C$469,$C225)</f>
        <v>31.5</v>
      </c>
      <c r="I225" s="26" t="n">
        <v>2.33</v>
      </c>
      <c r="J225" s="26"/>
      <c r="K225" s="20" t="n">
        <f aca="false">IF(N($J225)&gt;0,$J225,IF(CENARIO_CLIMA="USUARIO",0,$I225))</f>
        <v>2.33</v>
      </c>
      <c r="L225" s="20" t="n">
        <f aca="false">MIN($K225*FATOR_CHUVA_UTIL,LIMITE_CHUVA_UTIL_DIA)</f>
        <v>1.864</v>
      </c>
      <c r="M225" s="26"/>
      <c r="N225" s="20" t="n">
        <f aca="false">IF(N($M225)&gt;0,$M225,$L225)</f>
        <v>1.864</v>
      </c>
      <c r="O225" s="8" t="str">
        <f aca="false">IF(N($F225)+N($J225)&gt;0,"Serie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5" s="8" t="str">
        <f aca="false">IF(N($M225)&gt;0,"Chuva util informada pelo usuario","MIN(Chuva bruta x FATOR_CHUVA_UTIL ; LIMITE_CHUVA_UTIL_DIA)")</f>
        <v>MIN(Chuva bruta x FATOR_CHUVA_UTIL ; LIMITE_CHUVA_UTIL_DIA)</v>
      </c>
    </row>
    <row r="226" customFormat="false" ht="15" hidden="false" customHeight="false" outlineLevel="0" collapsed="false">
      <c r="B226" s="17" t="n">
        <v>46483</v>
      </c>
      <c r="C226" s="16" t="n">
        <v>32</v>
      </c>
      <c r="D226" s="8" t="s">
        <v>520</v>
      </c>
      <c r="E226" s="26" t="n">
        <v>4.5</v>
      </c>
      <c r="F226" s="26"/>
      <c r="G226" s="20" t="n">
        <f aca="false">IF(N($F226)&gt;0,$F226,IF(CENARIO_CLIMA="USUARIO",0,$E226))</f>
        <v>4.5</v>
      </c>
      <c r="H226" s="18" t="n">
        <f aca="false">SUMIFS($G$8:$G$469,$C$8:$C$469,$C226)</f>
        <v>31.5</v>
      </c>
      <c r="I226" s="26" t="n">
        <v>2.33</v>
      </c>
      <c r="J226" s="26"/>
      <c r="K226" s="20" t="n">
        <f aca="false">IF(N($J226)&gt;0,$J226,IF(CENARIO_CLIMA="USUARIO",0,$I226))</f>
        <v>2.33</v>
      </c>
      <c r="L226" s="20" t="n">
        <f aca="false">MIN($K226*FATOR_CHUVA_UTIL,LIMITE_CHUVA_UTIL_DIA)</f>
        <v>1.864</v>
      </c>
      <c r="M226" s="26"/>
      <c r="N226" s="20" t="n">
        <f aca="false">IF(N($M226)&gt;0,$M226,$L226)</f>
        <v>1.864</v>
      </c>
      <c r="O226" s="8" t="str">
        <f aca="false">IF(N($F226)+N($J226)&gt;0,"Serie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6" s="8" t="str">
        <f aca="false">IF(N($M226)&gt;0,"Chuva util informada pelo usuario","MIN(Chuva bruta x FATOR_CHUVA_UTIL ; LIMITE_CHUVA_UTIL_DIA)")</f>
        <v>MIN(Chuva bruta x FATOR_CHUVA_UTIL ; LIMITE_CHUVA_UTIL_DIA)</v>
      </c>
    </row>
    <row r="227" customFormat="false" ht="15" hidden="false" customHeight="false" outlineLevel="0" collapsed="false">
      <c r="B227" s="17" t="n">
        <v>46484</v>
      </c>
      <c r="C227" s="16" t="n">
        <v>32</v>
      </c>
      <c r="D227" s="8" t="s">
        <v>520</v>
      </c>
      <c r="E227" s="26" t="n">
        <v>4.5</v>
      </c>
      <c r="F227" s="26"/>
      <c r="G227" s="20" t="n">
        <f aca="false">IF(N($F227)&gt;0,$F227,IF(CENARIO_CLIMA="USUARIO",0,$E227))</f>
        <v>4.5</v>
      </c>
      <c r="H227" s="18" t="n">
        <f aca="false">SUMIFS($G$8:$G$469,$C$8:$C$469,$C227)</f>
        <v>31.5</v>
      </c>
      <c r="I227" s="26" t="n">
        <v>2.33</v>
      </c>
      <c r="J227" s="26"/>
      <c r="K227" s="20" t="n">
        <f aca="false">IF(N($J227)&gt;0,$J227,IF(CENARIO_CLIMA="USUARIO",0,$I227))</f>
        <v>2.33</v>
      </c>
      <c r="L227" s="20" t="n">
        <f aca="false">MIN($K227*FATOR_CHUVA_UTIL,LIMITE_CHUVA_UTIL_DIA)</f>
        <v>1.864</v>
      </c>
      <c r="M227" s="26"/>
      <c r="N227" s="20" t="n">
        <f aca="false">IF(N($M227)&gt;0,$M227,$L227)</f>
        <v>1.864</v>
      </c>
      <c r="O227" s="8" t="str">
        <f aca="false">IF(N($F227)+N($J227)&gt;0,"Serie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7" s="8" t="str">
        <f aca="false">IF(N($M227)&gt;0,"Chuva util informada pelo usuario","MIN(Chuva bruta x FATOR_CHUVA_UTIL ; LIMITE_CHUVA_UTIL_DIA)")</f>
        <v>MIN(Chuva bruta x FATOR_CHUVA_UTIL ; LIMITE_CHUVA_UTIL_DIA)</v>
      </c>
    </row>
    <row r="228" customFormat="false" ht="15" hidden="false" customHeight="false" outlineLevel="0" collapsed="false">
      <c r="B228" s="17" t="n">
        <v>46485</v>
      </c>
      <c r="C228" s="16" t="n">
        <v>32</v>
      </c>
      <c r="D228" s="8" t="s">
        <v>520</v>
      </c>
      <c r="E228" s="26" t="n">
        <v>4.5</v>
      </c>
      <c r="F228" s="26"/>
      <c r="G228" s="20" t="n">
        <f aca="false">IF(N($F228)&gt;0,$F228,IF(CENARIO_CLIMA="USUARIO",0,$E228))</f>
        <v>4.5</v>
      </c>
      <c r="H228" s="18" t="n">
        <f aca="false">SUMIFS($G$8:$G$469,$C$8:$C$469,$C228)</f>
        <v>31.5</v>
      </c>
      <c r="I228" s="26" t="n">
        <v>2.33</v>
      </c>
      <c r="J228" s="26"/>
      <c r="K228" s="20" t="n">
        <f aca="false">IF(N($J228)&gt;0,$J228,IF(CENARIO_CLIMA="USUARIO",0,$I228))</f>
        <v>2.33</v>
      </c>
      <c r="L228" s="20" t="n">
        <f aca="false">MIN($K228*FATOR_CHUVA_UTIL,LIMITE_CHUVA_UTIL_DIA)</f>
        <v>1.864</v>
      </c>
      <c r="M228" s="26"/>
      <c r="N228" s="20" t="n">
        <f aca="false">IF(N($M228)&gt;0,$M228,$L228)</f>
        <v>1.864</v>
      </c>
      <c r="O228" s="8" t="str">
        <f aca="false">IF(N($F228)+N($J228)&gt;0,"Serie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8" s="8" t="str">
        <f aca="false">IF(N($M228)&gt;0,"Chuva util informada pelo usuario","MIN(Chuva bruta x FATOR_CHUVA_UTIL ; LIMITE_CHUVA_UTIL_DIA)")</f>
        <v>MIN(Chuva bruta x FATOR_CHUVA_UTIL ; LIMITE_CHUVA_UTIL_DIA)</v>
      </c>
    </row>
    <row r="229" customFormat="false" ht="15" hidden="false" customHeight="false" outlineLevel="0" collapsed="false">
      <c r="B229" s="17" t="n">
        <v>46486</v>
      </c>
      <c r="C229" s="16" t="n">
        <v>32</v>
      </c>
      <c r="D229" s="8" t="s">
        <v>520</v>
      </c>
      <c r="E229" s="26" t="n">
        <v>4.5</v>
      </c>
      <c r="F229" s="26"/>
      <c r="G229" s="20" t="n">
        <f aca="false">IF(N($F229)&gt;0,$F229,IF(CENARIO_CLIMA="USUARIO",0,$E229))</f>
        <v>4.5</v>
      </c>
      <c r="H229" s="18" t="n">
        <f aca="false">SUMIFS($G$8:$G$469,$C$8:$C$469,$C229)</f>
        <v>31.5</v>
      </c>
      <c r="I229" s="26" t="n">
        <v>2.33</v>
      </c>
      <c r="J229" s="26"/>
      <c r="K229" s="20" t="n">
        <f aca="false">IF(N($J229)&gt;0,$J229,IF(CENARIO_CLIMA="USUARIO",0,$I229))</f>
        <v>2.33</v>
      </c>
      <c r="L229" s="20" t="n">
        <f aca="false">MIN($K229*FATOR_CHUVA_UTIL,LIMITE_CHUVA_UTIL_DIA)</f>
        <v>1.864</v>
      </c>
      <c r="M229" s="26"/>
      <c r="N229" s="20" t="n">
        <f aca="false">IF(N($M229)&gt;0,$M229,$L229)</f>
        <v>1.864</v>
      </c>
      <c r="O229" s="8" t="str">
        <f aca="false">IF(N($F229)+N($J229)&gt;0,"Serie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29" s="8" t="str">
        <f aca="false">IF(N($M229)&gt;0,"Chuva util informada pelo usuario","MIN(Chuva bruta x FATOR_CHUVA_UTIL ; LIMITE_CHUVA_UTIL_DIA)")</f>
        <v>MIN(Chuva bruta x FATOR_CHUVA_UTIL ; LIMITE_CHUVA_UTIL_DIA)</v>
      </c>
    </row>
    <row r="230" customFormat="false" ht="15" hidden="false" customHeight="false" outlineLevel="0" collapsed="false">
      <c r="B230" s="17" t="n">
        <v>46487</v>
      </c>
      <c r="C230" s="16" t="n">
        <v>32</v>
      </c>
      <c r="D230" s="8" t="s">
        <v>520</v>
      </c>
      <c r="E230" s="26" t="n">
        <v>4.5</v>
      </c>
      <c r="F230" s="26"/>
      <c r="G230" s="20" t="n">
        <f aca="false">IF(N($F230)&gt;0,$F230,IF(CENARIO_CLIMA="USUARIO",0,$E230))</f>
        <v>4.5</v>
      </c>
      <c r="H230" s="18" t="n">
        <f aca="false">SUMIFS($G$8:$G$469,$C$8:$C$469,$C230)</f>
        <v>31.5</v>
      </c>
      <c r="I230" s="26" t="n">
        <v>2.33</v>
      </c>
      <c r="J230" s="26"/>
      <c r="K230" s="20" t="n">
        <f aca="false">IF(N($J230)&gt;0,$J230,IF(CENARIO_CLIMA="USUARIO",0,$I230))</f>
        <v>2.33</v>
      </c>
      <c r="L230" s="20" t="n">
        <f aca="false">MIN($K230*FATOR_CHUVA_UTIL,LIMITE_CHUVA_UTIL_DIA)</f>
        <v>1.864</v>
      </c>
      <c r="M230" s="26"/>
      <c r="N230" s="20" t="n">
        <f aca="false">IF(N($M230)&gt;0,$M230,$L230)</f>
        <v>1.864</v>
      </c>
      <c r="O230" s="8" t="str">
        <f aca="false">IF(N($F230)+N($J230)&gt;0,"Serie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0" s="8" t="str">
        <f aca="false">IF(N($M230)&gt;0,"Chuva util informada pelo usuario","MIN(Chuva bruta x FATOR_CHUVA_UTIL ; LIMITE_CHUVA_UTIL_DIA)")</f>
        <v>MIN(Chuva bruta x FATOR_CHUVA_UTIL ; LIMITE_CHUVA_UTIL_DIA)</v>
      </c>
    </row>
    <row r="231" customFormat="false" ht="15" hidden="false" customHeight="false" outlineLevel="0" collapsed="false">
      <c r="B231" s="17" t="n">
        <v>46488</v>
      </c>
      <c r="C231" s="16" t="n">
        <v>32</v>
      </c>
      <c r="D231" s="8" t="s">
        <v>520</v>
      </c>
      <c r="E231" s="26" t="n">
        <v>4.5</v>
      </c>
      <c r="F231" s="26"/>
      <c r="G231" s="20" t="n">
        <f aca="false">IF(N($F231)&gt;0,$F231,IF(CENARIO_CLIMA="USUARIO",0,$E231))</f>
        <v>4.5</v>
      </c>
      <c r="H231" s="18" t="n">
        <f aca="false">SUMIFS($G$8:$G$469,$C$8:$C$469,$C231)</f>
        <v>31.5</v>
      </c>
      <c r="I231" s="26" t="n">
        <v>2.33</v>
      </c>
      <c r="J231" s="26"/>
      <c r="K231" s="20" t="n">
        <f aca="false">IF(N($J231)&gt;0,$J231,IF(CENARIO_CLIMA="USUARIO",0,$I231))</f>
        <v>2.33</v>
      </c>
      <c r="L231" s="20" t="n">
        <f aca="false">MIN($K231*FATOR_CHUVA_UTIL,LIMITE_CHUVA_UTIL_DIA)</f>
        <v>1.864</v>
      </c>
      <c r="M231" s="26"/>
      <c r="N231" s="20" t="n">
        <f aca="false">IF(N($M231)&gt;0,$M231,$L231)</f>
        <v>1.864</v>
      </c>
      <c r="O231" s="8" t="str">
        <f aca="false">IF(N($F231)+N($J231)&gt;0,"Serie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1" s="8" t="str">
        <f aca="false">IF(N($M231)&gt;0,"Chuva util informada pelo usuario","MIN(Chuva bruta x FATOR_CHUVA_UTIL ; LIMITE_CHUVA_UTIL_DIA)")</f>
        <v>MIN(Chuva bruta x FATOR_CHUVA_UTIL ; LIMITE_CHUVA_UTIL_DIA)</v>
      </c>
    </row>
    <row r="232" customFormat="false" ht="15" hidden="false" customHeight="false" outlineLevel="0" collapsed="false">
      <c r="B232" s="17" t="n">
        <v>46489</v>
      </c>
      <c r="C232" s="16" t="n">
        <v>33</v>
      </c>
      <c r="D232" s="8" t="s">
        <v>520</v>
      </c>
      <c r="E232" s="26" t="n">
        <v>4.5</v>
      </c>
      <c r="F232" s="26"/>
      <c r="G232" s="20" t="n">
        <f aca="false">IF(N($F232)&gt;0,$F232,IF(CENARIO_CLIMA="USUARIO",0,$E232))</f>
        <v>4.5</v>
      </c>
      <c r="H232" s="18" t="n">
        <f aca="false">SUMIFS($G$8:$G$469,$C$8:$C$469,$C232)</f>
        <v>31.5</v>
      </c>
      <c r="I232" s="26" t="n">
        <v>2.33</v>
      </c>
      <c r="J232" s="26"/>
      <c r="K232" s="20" t="n">
        <f aca="false">IF(N($J232)&gt;0,$J232,IF(CENARIO_CLIMA="USUARIO",0,$I232))</f>
        <v>2.33</v>
      </c>
      <c r="L232" s="20" t="n">
        <f aca="false">MIN($K232*FATOR_CHUVA_UTIL,LIMITE_CHUVA_UTIL_DIA)</f>
        <v>1.864</v>
      </c>
      <c r="M232" s="26"/>
      <c r="N232" s="20" t="n">
        <f aca="false">IF(N($M232)&gt;0,$M232,$L232)</f>
        <v>1.864</v>
      </c>
      <c r="O232" s="8" t="str">
        <f aca="false">IF(N($F232)+N($J232)&gt;0,"Serie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2" s="8" t="str">
        <f aca="false">IF(N($M232)&gt;0,"Chuva util informada pelo usuario","MIN(Chuva bruta x FATOR_CHUVA_UTIL ; LIMITE_CHUVA_UTIL_DIA)")</f>
        <v>MIN(Chuva bruta x FATOR_CHUVA_UTIL ; LIMITE_CHUVA_UTIL_DIA)</v>
      </c>
    </row>
    <row r="233" customFormat="false" ht="15" hidden="false" customHeight="false" outlineLevel="0" collapsed="false">
      <c r="B233" s="17" t="n">
        <v>46490</v>
      </c>
      <c r="C233" s="16" t="n">
        <v>33</v>
      </c>
      <c r="D233" s="8" t="s">
        <v>520</v>
      </c>
      <c r="E233" s="26" t="n">
        <v>4.5</v>
      </c>
      <c r="F233" s="26"/>
      <c r="G233" s="20" t="n">
        <f aca="false">IF(N($F233)&gt;0,$F233,IF(CENARIO_CLIMA="USUARIO",0,$E233))</f>
        <v>4.5</v>
      </c>
      <c r="H233" s="18" t="n">
        <f aca="false">SUMIFS($G$8:$G$469,$C$8:$C$469,$C233)</f>
        <v>31.5</v>
      </c>
      <c r="I233" s="26" t="n">
        <v>2.33</v>
      </c>
      <c r="J233" s="26"/>
      <c r="K233" s="20" t="n">
        <f aca="false">IF(N($J233)&gt;0,$J233,IF(CENARIO_CLIMA="USUARIO",0,$I233))</f>
        <v>2.33</v>
      </c>
      <c r="L233" s="20" t="n">
        <f aca="false">MIN($K233*FATOR_CHUVA_UTIL,LIMITE_CHUVA_UTIL_DIA)</f>
        <v>1.864</v>
      </c>
      <c r="M233" s="26"/>
      <c r="N233" s="20" t="n">
        <f aca="false">IF(N($M233)&gt;0,$M233,$L233)</f>
        <v>1.864</v>
      </c>
      <c r="O233" s="8" t="str">
        <f aca="false">IF(N($F233)+N($J233)&gt;0,"Serie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3" s="8" t="str">
        <f aca="false">IF(N($M233)&gt;0,"Chuva util informada pelo usuario","MIN(Chuva bruta x FATOR_CHUVA_UTIL ; LIMITE_CHUVA_UTIL_DIA)")</f>
        <v>MIN(Chuva bruta x FATOR_CHUVA_UTIL ; LIMITE_CHUVA_UTIL_DIA)</v>
      </c>
    </row>
    <row r="234" customFormat="false" ht="15" hidden="false" customHeight="false" outlineLevel="0" collapsed="false">
      <c r="B234" s="17" t="n">
        <v>46491</v>
      </c>
      <c r="C234" s="16" t="n">
        <v>33</v>
      </c>
      <c r="D234" s="8" t="s">
        <v>520</v>
      </c>
      <c r="E234" s="26" t="n">
        <v>4.5</v>
      </c>
      <c r="F234" s="26"/>
      <c r="G234" s="20" t="n">
        <f aca="false">IF(N($F234)&gt;0,$F234,IF(CENARIO_CLIMA="USUARIO",0,$E234))</f>
        <v>4.5</v>
      </c>
      <c r="H234" s="18" t="n">
        <f aca="false">SUMIFS($G$8:$G$469,$C$8:$C$469,$C234)</f>
        <v>31.5</v>
      </c>
      <c r="I234" s="26" t="n">
        <v>2.33</v>
      </c>
      <c r="J234" s="26"/>
      <c r="K234" s="20" t="n">
        <f aca="false">IF(N($J234)&gt;0,$J234,IF(CENARIO_CLIMA="USUARIO",0,$I234))</f>
        <v>2.33</v>
      </c>
      <c r="L234" s="20" t="n">
        <f aca="false">MIN($K234*FATOR_CHUVA_UTIL,LIMITE_CHUVA_UTIL_DIA)</f>
        <v>1.864</v>
      </c>
      <c r="M234" s="26"/>
      <c r="N234" s="20" t="n">
        <f aca="false">IF(N($M234)&gt;0,$M234,$L234)</f>
        <v>1.864</v>
      </c>
      <c r="O234" s="8" t="str">
        <f aca="false">IF(N($F234)+N($J234)&gt;0,"Serie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4" s="8" t="str">
        <f aca="false">IF(N($M234)&gt;0,"Chuva util informada pelo usuario","MIN(Chuva bruta x FATOR_CHUVA_UTIL ; LIMITE_CHUVA_UTIL_DIA)")</f>
        <v>MIN(Chuva bruta x FATOR_CHUVA_UTIL ; LIMITE_CHUVA_UTIL_DIA)</v>
      </c>
    </row>
    <row r="235" customFormat="false" ht="15" hidden="false" customHeight="false" outlineLevel="0" collapsed="false">
      <c r="B235" s="17" t="n">
        <v>46492</v>
      </c>
      <c r="C235" s="16" t="n">
        <v>33</v>
      </c>
      <c r="D235" s="8" t="s">
        <v>520</v>
      </c>
      <c r="E235" s="26" t="n">
        <v>4.5</v>
      </c>
      <c r="F235" s="26"/>
      <c r="G235" s="20" t="n">
        <f aca="false">IF(N($F235)&gt;0,$F235,IF(CENARIO_CLIMA="USUARIO",0,$E235))</f>
        <v>4.5</v>
      </c>
      <c r="H235" s="18" t="n">
        <f aca="false">SUMIFS($G$8:$G$469,$C$8:$C$469,$C235)</f>
        <v>31.5</v>
      </c>
      <c r="I235" s="26" t="n">
        <v>2.33</v>
      </c>
      <c r="J235" s="26"/>
      <c r="K235" s="20" t="n">
        <f aca="false">IF(N($J235)&gt;0,$J235,IF(CENARIO_CLIMA="USUARIO",0,$I235))</f>
        <v>2.33</v>
      </c>
      <c r="L235" s="20" t="n">
        <f aca="false">MIN($K235*FATOR_CHUVA_UTIL,LIMITE_CHUVA_UTIL_DIA)</f>
        <v>1.864</v>
      </c>
      <c r="M235" s="26"/>
      <c r="N235" s="20" t="n">
        <f aca="false">IF(N($M235)&gt;0,$M235,$L235)</f>
        <v>1.864</v>
      </c>
      <c r="O235" s="8" t="str">
        <f aca="false">IF(N($F235)+N($J235)&gt;0,"Serie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5" s="8" t="str">
        <f aca="false">IF(N($M235)&gt;0,"Chuva util informada pelo usuario","MIN(Chuva bruta x FATOR_CHUVA_UTIL ; LIMITE_CHUVA_UTIL_DIA)")</f>
        <v>MIN(Chuva bruta x FATOR_CHUVA_UTIL ; LIMITE_CHUVA_UTIL_DIA)</v>
      </c>
    </row>
    <row r="236" customFormat="false" ht="15" hidden="false" customHeight="false" outlineLevel="0" collapsed="false">
      <c r="B236" s="17" t="n">
        <v>46493</v>
      </c>
      <c r="C236" s="16" t="n">
        <v>33</v>
      </c>
      <c r="D236" s="8" t="s">
        <v>520</v>
      </c>
      <c r="E236" s="26" t="n">
        <v>4.5</v>
      </c>
      <c r="F236" s="26"/>
      <c r="G236" s="20" t="n">
        <f aca="false">IF(N($F236)&gt;0,$F236,IF(CENARIO_CLIMA="USUARIO",0,$E236))</f>
        <v>4.5</v>
      </c>
      <c r="H236" s="18" t="n">
        <f aca="false">SUMIFS($G$8:$G$469,$C$8:$C$469,$C236)</f>
        <v>31.5</v>
      </c>
      <c r="I236" s="26" t="n">
        <v>2.33</v>
      </c>
      <c r="J236" s="26"/>
      <c r="K236" s="20" t="n">
        <f aca="false">IF(N($J236)&gt;0,$J236,IF(CENARIO_CLIMA="USUARIO",0,$I236))</f>
        <v>2.33</v>
      </c>
      <c r="L236" s="20" t="n">
        <f aca="false">MIN($K236*FATOR_CHUVA_UTIL,LIMITE_CHUVA_UTIL_DIA)</f>
        <v>1.864</v>
      </c>
      <c r="M236" s="26"/>
      <c r="N236" s="20" t="n">
        <f aca="false">IF(N($M236)&gt;0,$M236,$L236)</f>
        <v>1.864</v>
      </c>
      <c r="O236" s="8" t="str">
        <f aca="false">IF(N($F236)+N($J236)&gt;0,"Serie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6" s="8" t="str">
        <f aca="false">IF(N($M236)&gt;0,"Chuva util informada pelo usuario","MIN(Chuva bruta x FATOR_CHUVA_UTIL ; LIMITE_CHUVA_UTIL_DIA)")</f>
        <v>MIN(Chuva bruta x FATOR_CHUVA_UTIL ; LIMITE_CHUVA_UTIL_DIA)</v>
      </c>
    </row>
    <row r="237" customFormat="false" ht="15" hidden="false" customHeight="false" outlineLevel="0" collapsed="false">
      <c r="B237" s="17" t="n">
        <v>46494</v>
      </c>
      <c r="C237" s="16" t="n">
        <v>33</v>
      </c>
      <c r="D237" s="8" t="s">
        <v>520</v>
      </c>
      <c r="E237" s="26" t="n">
        <v>4.5</v>
      </c>
      <c r="F237" s="26"/>
      <c r="G237" s="20" t="n">
        <f aca="false">IF(N($F237)&gt;0,$F237,IF(CENARIO_CLIMA="USUARIO",0,$E237))</f>
        <v>4.5</v>
      </c>
      <c r="H237" s="18" t="n">
        <f aca="false">SUMIFS($G$8:$G$469,$C$8:$C$469,$C237)</f>
        <v>31.5</v>
      </c>
      <c r="I237" s="26" t="n">
        <v>2.33</v>
      </c>
      <c r="J237" s="26"/>
      <c r="K237" s="20" t="n">
        <f aca="false">IF(N($J237)&gt;0,$J237,IF(CENARIO_CLIMA="USUARIO",0,$I237))</f>
        <v>2.33</v>
      </c>
      <c r="L237" s="20" t="n">
        <f aca="false">MIN($K237*FATOR_CHUVA_UTIL,LIMITE_CHUVA_UTIL_DIA)</f>
        <v>1.864</v>
      </c>
      <c r="M237" s="26"/>
      <c r="N237" s="20" t="n">
        <f aca="false">IF(N($M237)&gt;0,$M237,$L237)</f>
        <v>1.864</v>
      </c>
      <c r="O237" s="8" t="str">
        <f aca="false">IF(N($F237)+N($J237)&gt;0,"Serie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7" s="8" t="str">
        <f aca="false">IF(N($M237)&gt;0,"Chuva util informada pelo usuario","MIN(Chuva bruta x FATOR_CHUVA_UTIL ; LIMITE_CHUVA_UTIL_DIA)")</f>
        <v>MIN(Chuva bruta x FATOR_CHUVA_UTIL ; LIMITE_CHUVA_UTIL_DIA)</v>
      </c>
    </row>
    <row r="238" customFormat="false" ht="15" hidden="false" customHeight="false" outlineLevel="0" collapsed="false">
      <c r="B238" s="17" t="n">
        <v>46495</v>
      </c>
      <c r="C238" s="16" t="n">
        <v>33</v>
      </c>
      <c r="D238" s="8" t="s">
        <v>520</v>
      </c>
      <c r="E238" s="26" t="n">
        <v>4.5</v>
      </c>
      <c r="F238" s="26"/>
      <c r="G238" s="20" t="n">
        <f aca="false">IF(N($F238)&gt;0,$F238,IF(CENARIO_CLIMA="USUARIO",0,$E238))</f>
        <v>4.5</v>
      </c>
      <c r="H238" s="18" t="n">
        <f aca="false">SUMIFS($G$8:$G$469,$C$8:$C$469,$C238)</f>
        <v>31.5</v>
      </c>
      <c r="I238" s="26" t="n">
        <v>2.33</v>
      </c>
      <c r="J238" s="26"/>
      <c r="K238" s="20" t="n">
        <f aca="false">IF(N($J238)&gt;0,$J238,IF(CENARIO_CLIMA="USUARIO",0,$I238))</f>
        <v>2.33</v>
      </c>
      <c r="L238" s="20" t="n">
        <f aca="false">MIN($K238*FATOR_CHUVA_UTIL,LIMITE_CHUVA_UTIL_DIA)</f>
        <v>1.864</v>
      </c>
      <c r="M238" s="26"/>
      <c r="N238" s="20" t="n">
        <f aca="false">IF(N($M238)&gt;0,$M238,$L238)</f>
        <v>1.864</v>
      </c>
      <c r="O238" s="8" t="str">
        <f aca="false">IF(N($F238)+N($J238)&gt;0,"Serie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8" s="8" t="str">
        <f aca="false">IF(N($M238)&gt;0,"Chuva util informada pelo usuario","MIN(Chuva bruta x FATOR_CHUVA_UTIL ; LIMITE_CHUVA_UTIL_DIA)")</f>
        <v>MIN(Chuva bruta x FATOR_CHUVA_UTIL ; LIMITE_CHUVA_UTIL_DIA)</v>
      </c>
    </row>
    <row r="239" customFormat="false" ht="15" hidden="false" customHeight="false" outlineLevel="0" collapsed="false">
      <c r="B239" s="17" t="n">
        <v>46496</v>
      </c>
      <c r="C239" s="16" t="n">
        <v>34</v>
      </c>
      <c r="D239" s="8" t="s">
        <v>520</v>
      </c>
      <c r="E239" s="26" t="n">
        <v>4.5</v>
      </c>
      <c r="F239" s="26"/>
      <c r="G239" s="20" t="n">
        <f aca="false">IF(N($F239)&gt;0,$F239,IF(CENARIO_CLIMA="USUARIO",0,$E239))</f>
        <v>4.5</v>
      </c>
      <c r="H239" s="18" t="n">
        <f aca="false">SUMIFS($G$8:$G$469,$C$8:$C$469,$C239)</f>
        <v>31.5</v>
      </c>
      <c r="I239" s="26" t="n">
        <v>2.33</v>
      </c>
      <c r="J239" s="26"/>
      <c r="K239" s="20" t="n">
        <f aca="false">IF(N($J239)&gt;0,$J239,IF(CENARIO_CLIMA="USUARIO",0,$I239))</f>
        <v>2.33</v>
      </c>
      <c r="L239" s="20" t="n">
        <f aca="false">MIN($K239*FATOR_CHUVA_UTIL,LIMITE_CHUVA_UTIL_DIA)</f>
        <v>1.864</v>
      </c>
      <c r="M239" s="26"/>
      <c r="N239" s="20" t="n">
        <f aca="false">IF(N($M239)&gt;0,$M239,$L239)</f>
        <v>1.864</v>
      </c>
      <c r="O239" s="8" t="str">
        <f aca="false">IF(N($F239)+N($J239)&gt;0,"Serie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39" s="8" t="str">
        <f aca="false">IF(N($M239)&gt;0,"Chuva util informada pelo usuario","MIN(Chuva bruta x FATOR_CHUVA_UTIL ; LIMITE_CHUVA_UTIL_DIA)")</f>
        <v>MIN(Chuva bruta x FATOR_CHUVA_UTIL ; LIMITE_CHUVA_UTIL_DIA)</v>
      </c>
    </row>
    <row r="240" customFormat="false" ht="15" hidden="false" customHeight="false" outlineLevel="0" collapsed="false">
      <c r="B240" s="17" t="n">
        <v>46497</v>
      </c>
      <c r="C240" s="16" t="n">
        <v>34</v>
      </c>
      <c r="D240" s="8" t="s">
        <v>520</v>
      </c>
      <c r="E240" s="26" t="n">
        <v>4.5</v>
      </c>
      <c r="F240" s="26"/>
      <c r="G240" s="20" t="n">
        <f aca="false">IF(N($F240)&gt;0,$F240,IF(CENARIO_CLIMA="USUARIO",0,$E240))</f>
        <v>4.5</v>
      </c>
      <c r="H240" s="18" t="n">
        <f aca="false">SUMIFS($G$8:$G$469,$C$8:$C$469,$C240)</f>
        <v>31.5</v>
      </c>
      <c r="I240" s="26" t="n">
        <v>2.33</v>
      </c>
      <c r="J240" s="26"/>
      <c r="K240" s="20" t="n">
        <f aca="false">IF(N($J240)&gt;0,$J240,IF(CENARIO_CLIMA="USUARIO",0,$I240))</f>
        <v>2.33</v>
      </c>
      <c r="L240" s="20" t="n">
        <f aca="false">MIN($K240*FATOR_CHUVA_UTIL,LIMITE_CHUVA_UTIL_DIA)</f>
        <v>1.864</v>
      </c>
      <c r="M240" s="26"/>
      <c r="N240" s="20" t="n">
        <f aca="false">IF(N($M240)&gt;0,$M240,$L240)</f>
        <v>1.864</v>
      </c>
      <c r="O240" s="8" t="str">
        <f aca="false">IF(N($F240)+N($J240)&gt;0,"Serie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0" s="8" t="str">
        <f aca="false">IF(N($M240)&gt;0,"Chuva util informada pelo usuario","MIN(Chuva bruta x FATOR_CHUVA_UTIL ; LIMITE_CHUVA_UTIL_DIA)")</f>
        <v>MIN(Chuva bruta x FATOR_CHUVA_UTIL ; LIMITE_CHUVA_UTIL_DIA)</v>
      </c>
    </row>
    <row r="241" customFormat="false" ht="15" hidden="false" customHeight="false" outlineLevel="0" collapsed="false">
      <c r="B241" s="17" t="n">
        <v>46498</v>
      </c>
      <c r="C241" s="16" t="n">
        <v>34</v>
      </c>
      <c r="D241" s="8" t="s">
        <v>520</v>
      </c>
      <c r="E241" s="26" t="n">
        <v>4.5</v>
      </c>
      <c r="F241" s="26"/>
      <c r="G241" s="20" t="n">
        <f aca="false">IF(N($F241)&gt;0,$F241,IF(CENARIO_CLIMA="USUARIO",0,$E241))</f>
        <v>4.5</v>
      </c>
      <c r="H241" s="18" t="n">
        <f aca="false">SUMIFS($G$8:$G$469,$C$8:$C$469,$C241)</f>
        <v>31.5</v>
      </c>
      <c r="I241" s="26" t="n">
        <v>2.33</v>
      </c>
      <c r="J241" s="26"/>
      <c r="K241" s="20" t="n">
        <f aca="false">IF(N($J241)&gt;0,$J241,IF(CENARIO_CLIMA="USUARIO",0,$I241))</f>
        <v>2.33</v>
      </c>
      <c r="L241" s="20" t="n">
        <f aca="false">MIN($K241*FATOR_CHUVA_UTIL,LIMITE_CHUVA_UTIL_DIA)</f>
        <v>1.864</v>
      </c>
      <c r="M241" s="26"/>
      <c r="N241" s="20" t="n">
        <f aca="false">IF(N($M241)&gt;0,$M241,$L241)</f>
        <v>1.864</v>
      </c>
      <c r="O241" s="8" t="str">
        <f aca="false">IF(N($F241)+N($J241)&gt;0,"Serie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1" s="8" t="str">
        <f aca="false">IF(N($M241)&gt;0,"Chuva util informada pelo usuario","MIN(Chuva bruta x FATOR_CHUVA_UTIL ; LIMITE_CHUVA_UTIL_DIA)")</f>
        <v>MIN(Chuva bruta x FATOR_CHUVA_UTIL ; LIMITE_CHUVA_UTIL_DIA)</v>
      </c>
    </row>
    <row r="242" customFormat="false" ht="15" hidden="false" customHeight="false" outlineLevel="0" collapsed="false">
      <c r="B242" s="17" t="n">
        <v>46499</v>
      </c>
      <c r="C242" s="16" t="n">
        <v>34</v>
      </c>
      <c r="D242" s="8" t="s">
        <v>520</v>
      </c>
      <c r="E242" s="26" t="n">
        <v>4.5</v>
      </c>
      <c r="F242" s="26"/>
      <c r="G242" s="20" t="n">
        <f aca="false">IF(N($F242)&gt;0,$F242,IF(CENARIO_CLIMA="USUARIO",0,$E242))</f>
        <v>4.5</v>
      </c>
      <c r="H242" s="18" t="n">
        <f aca="false">SUMIFS($G$8:$G$469,$C$8:$C$469,$C242)</f>
        <v>31.5</v>
      </c>
      <c r="I242" s="26" t="n">
        <v>2.33</v>
      </c>
      <c r="J242" s="26"/>
      <c r="K242" s="20" t="n">
        <f aca="false">IF(N($J242)&gt;0,$J242,IF(CENARIO_CLIMA="USUARIO",0,$I242))</f>
        <v>2.33</v>
      </c>
      <c r="L242" s="20" t="n">
        <f aca="false">MIN($K242*FATOR_CHUVA_UTIL,LIMITE_CHUVA_UTIL_DIA)</f>
        <v>1.864</v>
      </c>
      <c r="M242" s="26"/>
      <c r="N242" s="20" t="n">
        <f aca="false">IF(N($M242)&gt;0,$M242,$L242)</f>
        <v>1.864</v>
      </c>
      <c r="O242" s="8" t="str">
        <f aca="false">IF(N($F242)+N($J242)&gt;0,"Serie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2" s="8" t="str">
        <f aca="false">IF(N($M242)&gt;0,"Chuva util informada pelo usuario","MIN(Chuva bruta x FATOR_CHUVA_UTIL ; LIMITE_CHUVA_UTIL_DIA)")</f>
        <v>MIN(Chuva bruta x FATOR_CHUVA_UTIL ; LIMITE_CHUVA_UTIL_DIA)</v>
      </c>
    </row>
    <row r="243" customFormat="false" ht="15" hidden="false" customHeight="false" outlineLevel="0" collapsed="false">
      <c r="B243" s="17" t="n">
        <v>46500</v>
      </c>
      <c r="C243" s="16" t="n">
        <v>34</v>
      </c>
      <c r="D243" s="8" t="s">
        <v>520</v>
      </c>
      <c r="E243" s="26" t="n">
        <v>4.5</v>
      </c>
      <c r="F243" s="26"/>
      <c r="G243" s="20" t="n">
        <f aca="false">IF(N($F243)&gt;0,$F243,IF(CENARIO_CLIMA="USUARIO",0,$E243))</f>
        <v>4.5</v>
      </c>
      <c r="H243" s="18" t="n">
        <f aca="false">SUMIFS($G$8:$G$469,$C$8:$C$469,$C243)</f>
        <v>31.5</v>
      </c>
      <c r="I243" s="26" t="n">
        <v>2.33</v>
      </c>
      <c r="J243" s="26"/>
      <c r="K243" s="20" t="n">
        <f aca="false">IF(N($J243)&gt;0,$J243,IF(CENARIO_CLIMA="USUARIO",0,$I243))</f>
        <v>2.33</v>
      </c>
      <c r="L243" s="20" t="n">
        <f aca="false">MIN($K243*FATOR_CHUVA_UTIL,LIMITE_CHUVA_UTIL_DIA)</f>
        <v>1.864</v>
      </c>
      <c r="M243" s="26"/>
      <c r="N243" s="20" t="n">
        <f aca="false">IF(N($M243)&gt;0,$M243,$L243)</f>
        <v>1.864</v>
      </c>
      <c r="O243" s="8" t="str">
        <f aca="false">IF(N($F243)+N($J243)&gt;0,"Serie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3" s="8" t="str">
        <f aca="false">IF(N($M243)&gt;0,"Chuva util informada pelo usuario","MIN(Chuva bruta x FATOR_CHUVA_UTIL ; LIMITE_CHUVA_UTIL_DIA)")</f>
        <v>MIN(Chuva bruta x FATOR_CHUVA_UTIL ; LIMITE_CHUVA_UTIL_DIA)</v>
      </c>
    </row>
    <row r="244" customFormat="false" ht="15" hidden="false" customHeight="false" outlineLevel="0" collapsed="false">
      <c r="B244" s="17" t="n">
        <v>46501</v>
      </c>
      <c r="C244" s="16" t="n">
        <v>34</v>
      </c>
      <c r="D244" s="8" t="s">
        <v>520</v>
      </c>
      <c r="E244" s="26" t="n">
        <v>4.5</v>
      </c>
      <c r="F244" s="26"/>
      <c r="G244" s="20" t="n">
        <f aca="false">IF(N($F244)&gt;0,$F244,IF(CENARIO_CLIMA="USUARIO",0,$E244))</f>
        <v>4.5</v>
      </c>
      <c r="H244" s="18" t="n">
        <f aca="false">SUMIFS($G$8:$G$469,$C$8:$C$469,$C244)</f>
        <v>31.5</v>
      </c>
      <c r="I244" s="26" t="n">
        <v>2.33</v>
      </c>
      <c r="J244" s="26"/>
      <c r="K244" s="20" t="n">
        <f aca="false">IF(N($J244)&gt;0,$J244,IF(CENARIO_CLIMA="USUARIO",0,$I244))</f>
        <v>2.33</v>
      </c>
      <c r="L244" s="20" t="n">
        <f aca="false">MIN($K244*FATOR_CHUVA_UTIL,LIMITE_CHUVA_UTIL_DIA)</f>
        <v>1.864</v>
      </c>
      <c r="M244" s="26"/>
      <c r="N244" s="20" t="n">
        <f aca="false">IF(N($M244)&gt;0,$M244,$L244)</f>
        <v>1.864</v>
      </c>
      <c r="O244" s="8" t="str">
        <f aca="false">IF(N($F244)+N($J244)&gt;0,"Serie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4" s="8" t="str">
        <f aca="false">IF(N($M244)&gt;0,"Chuva util informada pelo usuario","MIN(Chuva bruta x FATOR_CHUVA_UTIL ; LIMITE_CHUVA_UTIL_DIA)")</f>
        <v>MIN(Chuva bruta x FATOR_CHUVA_UTIL ; LIMITE_CHUVA_UTIL_DIA)</v>
      </c>
    </row>
    <row r="245" customFormat="false" ht="15" hidden="false" customHeight="false" outlineLevel="0" collapsed="false">
      <c r="B245" s="17" t="n">
        <v>46502</v>
      </c>
      <c r="C245" s="16" t="n">
        <v>34</v>
      </c>
      <c r="D245" s="8" t="s">
        <v>520</v>
      </c>
      <c r="E245" s="26" t="n">
        <v>4.5</v>
      </c>
      <c r="F245" s="26"/>
      <c r="G245" s="20" t="n">
        <f aca="false">IF(N($F245)&gt;0,$F245,IF(CENARIO_CLIMA="USUARIO",0,$E245))</f>
        <v>4.5</v>
      </c>
      <c r="H245" s="18" t="n">
        <f aca="false">SUMIFS($G$8:$G$469,$C$8:$C$469,$C245)</f>
        <v>31.5</v>
      </c>
      <c r="I245" s="26" t="n">
        <v>2.33</v>
      </c>
      <c r="J245" s="26"/>
      <c r="K245" s="20" t="n">
        <f aca="false">IF(N($J245)&gt;0,$J245,IF(CENARIO_CLIMA="USUARIO",0,$I245))</f>
        <v>2.33</v>
      </c>
      <c r="L245" s="20" t="n">
        <f aca="false">MIN($K245*FATOR_CHUVA_UTIL,LIMITE_CHUVA_UTIL_DIA)</f>
        <v>1.864</v>
      </c>
      <c r="M245" s="26"/>
      <c r="N245" s="20" t="n">
        <f aca="false">IF(N($M245)&gt;0,$M245,$L245)</f>
        <v>1.864</v>
      </c>
      <c r="O245" s="8" t="str">
        <f aca="false">IF(N($F245)+N($J245)&gt;0,"Serie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5" s="8" t="str">
        <f aca="false">IF(N($M245)&gt;0,"Chuva util informada pelo usuario","MIN(Chuva bruta x FATOR_CHUVA_UTIL ; LIMITE_CHUVA_UTIL_DIA)")</f>
        <v>MIN(Chuva bruta x FATOR_CHUVA_UTIL ; LIMITE_CHUVA_UTIL_DIA)</v>
      </c>
    </row>
    <row r="246" customFormat="false" ht="15" hidden="false" customHeight="false" outlineLevel="0" collapsed="false">
      <c r="B246" s="17" t="n">
        <v>46503</v>
      </c>
      <c r="C246" s="16" t="n">
        <v>35</v>
      </c>
      <c r="D246" s="8" t="s">
        <v>520</v>
      </c>
      <c r="E246" s="26" t="n">
        <v>4.5</v>
      </c>
      <c r="F246" s="26"/>
      <c r="G246" s="20" t="n">
        <f aca="false">IF(N($F246)&gt;0,$F246,IF(CENARIO_CLIMA="USUARIO",0,$E246))</f>
        <v>4.5</v>
      </c>
      <c r="H246" s="18" t="n">
        <f aca="false">SUMIFS($G$8:$G$469,$C$8:$C$469,$C246)</f>
        <v>30.9</v>
      </c>
      <c r="I246" s="26" t="n">
        <v>2.33</v>
      </c>
      <c r="J246" s="26"/>
      <c r="K246" s="20" t="n">
        <f aca="false">IF(N($J246)&gt;0,$J246,IF(CENARIO_CLIMA="USUARIO",0,$I246))</f>
        <v>2.33</v>
      </c>
      <c r="L246" s="20" t="n">
        <f aca="false">MIN($K246*FATOR_CHUVA_UTIL,LIMITE_CHUVA_UTIL_DIA)</f>
        <v>1.864</v>
      </c>
      <c r="M246" s="26"/>
      <c r="N246" s="20" t="n">
        <f aca="false">IF(N($M246)&gt;0,$M246,$L246)</f>
        <v>1.864</v>
      </c>
      <c r="O246" s="8" t="str">
        <f aca="false">IF(N($F246)+N($J246)&gt;0,"Serie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6" s="8" t="str">
        <f aca="false">IF(N($M246)&gt;0,"Chuva util informada pelo usuario","MIN(Chuva bruta x FATOR_CHUVA_UTIL ; LIMITE_CHUVA_UTIL_DIA)")</f>
        <v>MIN(Chuva bruta x FATOR_CHUVA_UTIL ; LIMITE_CHUVA_UTIL_DIA)</v>
      </c>
    </row>
    <row r="247" customFormat="false" ht="15" hidden="false" customHeight="false" outlineLevel="0" collapsed="false">
      <c r="B247" s="17" t="n">
        <v>46504</v>
      </c>
      <c r="C247" s="16" t="n">
        <v>35</v>
      </c>
      <c r="D247" s="8" t="s">
        <v>520</v>
      </c>
      <c r="E247" s="26" t="n">
        <v>4.5</v>
      </c>
      <c r="F247" s="26"/>
      <c r="G247" s="20" t="n">
        <f aca="false">IF(N($F247)&gt;0,$F247,IF(CENARIO_CLIMA="USUARIO",0,$E247))</f>
        <v>4.5</v>
      </c>
      <c r="H247" s="18" t="n">
        <f aca="false">SUMIFS($G$8:$G$469,$C$8:$C$469,$C247)</f>
        <v>30.9</v>
      </c>
      <c r="I247" s="26" t="n">
        <v>2.33</v>
      </c>
      <c r="J247" s="26"/>
      <c r="K247" s="20" t="n">
        <f aca="false">IF(N($J247)&gt;0,$J247,IF(CENARIO_CLIMA="USUARIO",0,$I247))</f>
        <v>2.33</v>
      </c>
      <c r="L247" s="20" t="n">
        <f aca="false">MIN($K247*FATOR_CHUVA_UTIL,LIMITE_CHUVA_UTIL_DIA)</f>
        <v>1.864</v>
      </c>
      <c r="M247" s="26"/>
      <c r="N247" s="20" t="n">
        <f aca="false">IF(N($M247)&gt;0,$M247,$L247)</f>
        <v>1.864</v>
      </c>
      <c r="O247" s="8" t="str">
        <f aca="false">IF(N($F247)+N($J247)&gt;0,"Serie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7" s="8" t="str">
        <f aca="false">IF(N($M247)&gt;0,"Chuva util informada pelo usuario","MIN(Chuva bruta x FATOR_CHUVA_UTIL ; LIMITE_CHUVA_UTIL_DIA)")</f>
        <v>MIN(Chuva bruta x FATOR_CHUVA_UTIL ; LIMITE_CHUVA_UTIL_DIA)</v>
      </c>
    </row>
    <row r="248" customFormat="false" ht="15" hidden="false" customHeight="false" outlineLevel="0" collapsed="false">
      <c r="B248" s="17" t="n">
        <v>46505</v>
      </c>
      <c r="C248" s="16" t="n">
        <v>35</v>
      </c>
      <c r="D248" s="8" t="s">
        <v>520</v>
      </c>
      <c r="E248" s="26" t="n">
        <v>4.5</v>
      </c>
      <c r="F248" s="26"/>
      <c r="G248" s="20" t="n">
        <f aca="false">IF(N($F248)&gt;0,$F248,IF(CENARIO_CLIMA="USUARIO",0,$E248))</f>
        <v>4.5</v>
      </c>
      <c r="H248" s="18" t="n">
        <f aca="false">SUMIFS($G$8:$G$469,$C$8:$C$469,$C248)</f>
        <v>30.9</v>
      </c>
      <c r="I248" s="26" t="n">
        <v>2.33</v>
      </c>
      <c r="J248" s="26"/>
      <c r="K248" s="20" t="n">
        <f aca="false">IF(N($J248)&gt;0,$J248,IF(CENARIO_CLIMA="USUARIO",0,$I248))</f>
        <v>2.33</v>
      </c>
      <c r="L248" s="20" t="n">
        <f aca="false">MIN($K248*FATOR_CHUVA_UTIL,LIMITE_CHUVA_UTIL_DIA)</f>
        <v>1.864</v>
      </c>
      <c r="M248" s="26"/>
      <c r="N248" s="20" t="n">
        <f aca="false">IF(N($M248)&gt;0,$M248,$L248)</f>
        <v>1.864</v>
      </c>
      <c r="O248" s="8" t="str">
        <f aca="false">IF(N($F248)+N($J248)&gt;0,"Serie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8" s="8" t="str">
        <f aca="false">IF(N($M248)&gt;0,"Chuva util informada pelo usuario","MIN(Chuva bruta x FATOR_CHUVA_UTIL ; LIMITE_CHUVA_UTIL_DIA)")</f>
        <v>MIN(Chuva bruta x FATOR_CHUVA_UTIL ; LIMITE_CHUVA_UTIL_DIA)</v>
      </c>
    </row>
    <row r="249" customFormat="false" ht="15" hidden="false" customHeight="false" outlineLevel="0" collapsed="false">
      <c r="B249" s="17" t="n">
        <v>46506</v>
      </c>
      <c r="C249" s="16" t="n">
        <v>35</v>
      </c>
      <c r="D249" s="8" t="s">
        <v>520</v>
      </c>
      <c r="E249" s="26" t="n">
        <v>4.5</v>
      </c>
      <c r="F249" s="26"/>
      <c r="G249" s="20" t="n">
        <f aca="false">IF(N($F249)&gt;0,$F249,IF(CENARIO_CLIMA="USUARIO",0,$E249))</f>
        <v>4.5</v>
      </c>
      <c r="H249" s="18" t="n">
        <f aca="false">SUMIFS($G$8:$G$469,$C$8:$C$469,$C249)</f>
        <v>30.9</v>
      </c>
      <c r="I249" s="26" t="n">
        <v>2.33</v>
      </c>
      <c r="J249" s="26"/>
      <c r="K249" s="20" t="n">
        <f aca="false">IF(N($J249)&gt;0,$J249,IF(CENARIO_CLIMA="USUARIO",0,$I249))</f>
        <v>2.33</v>
      </c>
      <c r="L249" s="20" t="n">
        <f aca="false">MIN($K249*FATOR_CHUVA_UTIL,LIMITE_CHUVA_UTIL_DIA)</f>
        <v>1.864</v>
      </c>
      <c r="M249" s="26"/>
      <c r="N249" s="20" t="n">
        <f aca="false">IF(N($M249)&gt;0,$M249,$L249)</f>
        <v>1.864</v>
      </c>
      <c r="O249" s="8" t="str">
        <f aca="false">IF(N($F249)+N($J249)&gt;0,"Serie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49" s="8" t="str">
        <f aca="false">IF(N($M249)&gt;0,"Chuva util informada pelo usuario","MIN(Chuva bruta x FATOR_CHUVA_UTIL ; LIMITE_CHUVA_UTIL_DIA)")</f>
        <v>MIN(Chuva bruta x FATOR_CHUVA_UTIL ; LIMITE_CHUVA_UTIL_DIA)</v>
      </c>
    </row>
    <row r="250" customFormat="false" ht="15" hidden="false" customHeight="false" outlineLevel="0" collapsed="false">
      <c r="B250" s="17" t="n">
        <v>46507</v>
      </c>
      <c r="C250" s="16" t="n">
        <v>35</v>
      </c>
      <c r="D250" s="8" t="s">
        <v>520</v>
      </c>
      <c r="E250" s="26" t="n">
        <v>4.5</v>
      </c>
      <c r="F250" s="26"/>
      <c r="G250" s="20" t="n">
        <f aca="false">IF(N($F250)&gt;0,$F250,IF(CENARIO_CLIMA="USUARIO",0,$E250))</f>
        <v>4.5</v>
      </c>
      <c r="H250" s="18" t="n">
        <f aca="false">SUMIFS($G$8:$G$469,$C$8:$C$469,$C250)</f>
        <v>30.9</v>
      </c>
      <c r="I250" s="26" t="n">
        <v>2.33</v>
      </c>
      <c r="J250" s="26"/>
      <c r="K250" s="20" t="n">
        <f aca="false">IF(N($J250)&gt;0,$J250,IF(CENARIO_CLIMA="USUARIO",0,$I250))</f>
        <v>2.33</v>
      </c>
      <c r="L250" s="20" t="n">
        <f aca="false">MIN($K250*FATOR_CHUVA_UTIL,LIMITE_CHUVA_UTIL_DIA)</f>
        <v>1.864</v>
      </c>
      <c r="M250" s="26"/>
      <c r="N250" s="20" t="n">
        <f aca="false">IF(N($M250)&gt;0,$M250,$L250)</f>
        <v>1.864</v>
      </c>
      <c r="O250" s="8" t="str">
        <f aca="false">IF(N($F250)+N($J250)&gt;0,"Serie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0" s="8" t="str">
        <f aca="false">IF(N($M250)&gt;0,"Chuva util informada pelo usuario","MIN(Chuva bruta x FATOR_CHUVA_UTIL ; LIMITE_CHUVA_UTIL_DIA)")</f>
        <v>MIN(Chuva bruta x FATOR_CHUVA_UTIL ; LIMITE_CHUVA_UTIL_DIA)</v>
      </c>
    </row>
    <row r="251" customFormat="false" ht="15" hidden="false" customHeight="false" outlineLevel="0" collapsed="false">
      <c r="B251" s="17" t="n">
        <v>46508</v>
      </c>
      <c r="C251" s="16" t="n">
        <v>35</v>
      </c>
      <c r="D251" s="8" t="s">
        <v>521</v>
      </c>
      <c r="E251" s="26" t="n">
        <v>4.2</v>
      </c>
      <c r="F251" s="26"/>
      <c r="G251" s="20" t="n">
        <f aca="false">IF(N($F251)&gt;0,$F251,IF(CENARIO_CLIMA="USUARIO",0,$E251))</f>
        <v>4.2</v>
      </c>
      <c r="H251" s="18" t="n">
        <f aca="false">SUMIFS($G$8:$G$469,$C$8:$C$469,$C251)</f>
        <v>30.9</v>
      </c>
      <c r="I251" s="26" t="n">
        <v>0.48</v>
      </c>
      <c r="J251" s="26"/>
      <c r="K251" s="20" t="n">
        <f aca="false">IF(N($J251)&gt;0,$J251,IF(CENARIO_CLIMA="USUARIO",0,$I251))</f>
        <v>0.48</v>
      </c>
      <c r="L251" s="20" t="n">
        <f aca="false">MIN($K251*FATOR_CHUVA_UTIL,LIMITE_CHUVA_UTIL_DIA)</f>
        <v>0.384</v>
      </c>
      <c r="M251" s="26"/>
      <c r="N251" s="20" t="n">
        <f aca="false">IF(N($M251)&gt;0,$M251,$L251)</f>
        <v>0.384</v>
      </c>
      <c r="O251" s="8" t="str">
        <f aca="false">IF(N($F251)+N($J251)&gt;0,"Serie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1" s="8" t="str">
        <f aca="false">IF(N($M251)&gt;0,"Chuva util informada pelo usuario","MIN(Chuva bruta x FATOR_CHUVA_UTIL ; LIMITE_CHUVA_UTIL_DIA)")</f>
        <v>MIN(Chuva bruta x FATOR_CHUVA_UTIL ; LIMITE_CHUVA_UTIL_DIA)</v>
      </c>
    </row>
    <row r="252" customFormat="false" ht="15" hidden="false" customHeight="false" outlineLevel="0" collapsed="false">
      <c r="B252" s="17" t="n">
        <v>46509</v>
      </c>
      <c r="C252" s="16" t="n">
        <v>35</v>
      </c>
      <c r="D252" s="8" t="s">
        <v>521</v>
      </c>
      <c r="E252" s="26" t="n">
        <v>4.2</v>
      </c>
      <c r="F252" s="26"/>
      <c r="G252" s="20" t="n">
        <f aca="false">IF(N($F252)&gt;0,$F252,IF(CENARIO_CLIMA="USUARIO",0,$E252))</f>
        <v>4.2</v>
      </c>
      <c r="H252" s="18" t="n">
        <f aca="false">SUMIFS($G$8:$G$469,$C$8:$C$469,$C252)</f>
        <v>30.9</v>
      </c>
      <c r="I252" s="26" t="n">
        <v>0.48</v>
      </c>
      <c r="J252" s="26"/>
      <c r="K252" s="20" t="n">
        <f aca="false">IF(N($J252)&gt;0,$J252,IF(CENARIO_CLIMA="USUARIO",0,$I252))</f>
        <v>0.48</v>
      </c>
      <c r="L252" s="20" t="n">
        <f aca="false">MIN($K252*FATOR_CHUVA_UTIL,LIMITE_CHUVA_UTIL_DIA)</f>
        <v>0.384</v>
      </c>
      <c r="M252" s="26"/>
      <c r="N252" s="20" t="n">
        <f aca="false">IF(N($M252)&gt;0,$M252,$L252)</f>
        <v>0.384</v>
      </c>
      <c r="O252" s="8" t="str">
        <f aca="false">IF(N($F252)+N($J252)&gt;0,"Serie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2" s="8" t="str">
        <f aca="false">IF(N($M252)&gt;0,"Chuva util informada pelo usuario","MIN(Chuva bruta x FATOR_CHUVA_UTIL ; LIMITE_CHUVA_UTIL_DIA)")</f>
        <v>MIN(Chuva bruta x FATOR_CHUVA_UTIL ; LIMITE_CHUVA_UTIL_DIA)</v>
      </c>
    </row>
    <row r="253" customFormat="false" ht="15" hidden="false" customHeight="false" outlineLevel="0" collapsed="false">
      <c r="B253" s="17" t="n">
        <v>46510</v>
      </c>
      <c r="C253" s="16" t="n">
        <v>36</v>
      </c>
      <c r="D253" s="8" t="s">
        <v>521</v>
      </c>
      <c r="E253" s="26" t="n">
        <v>4.2</v>
      </c>
      <c r="F253" s="26"/>
      <c r="G253" s="20" t="n">
        <f aca="false">IF(N($F253)&gt;0,$F253,IF(CENARIO_CLIMA="USUARIO",0,$E253))</f>
        <v>4.2</v>
      </c>
      <c r="H253" s="18" t="n">
        <f aca="false">SUMIFS($G$8:$G$469,$C$8:$C$469,$C253)</f>
        <v>29.4</v>
      </c>
      <c r="I253" s="26" t="n">
        <v>0.48</v>
      </c>
      <c r="J253" s="26"/>
      <c r="K253" s="20" t="n">
        <f aca="false">IF(N($J253)&gt;0,$J253,IF(CENARIO_CLIMA="USUARIO",0,$I253))</f>
        <v>0.48</v>
      </c>
      <c r="L253" s="20" t="n">
        <f aca="false">MIN($K253*FATOR_CHUVA_UTIL,LIMITE_CHUVA_UTIL_DIA)</f>
        <v>0.384</v>
      </c>
      <c r="M253" s="26"/>
      <c r="N253" s="20" t="n">
        <f aca="false">IF(N($M253)&gt;0,$M253,$L253)</f>
        <v>0.384</v>
      </c>
      <c r="O253" s="8" t="str">
        <f aca="false">IF(N($F253)+N($J253)&gt;0,"Serie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3" s="8" t="str">
        <f aca="false">IF(N($M253)&gt;0,"Chuva util informada pelo usuario","MIN(Chuva bruta x FATOR_CHUVA_UTIL ; LIMITE_CHUVA_UTIL_DIA)")</f>
        <v>MIN(Chuva bruta x FATOR_CHUVA_UTIL ; LIMITE_CHUVA_UTIL_DIA)</v>
      </c>
    </row>
    <row r="254" customFormat="false" ht="15" hidden="false" customHeight="false" outlineLevel="0" collapsed="false">
      <c r="B254" s="17" t="n">
        <v>46511</v>
      </c>
      <c r="C254" s="16" t="n">
        <v>36</v>
      </c>
      <c r="D254" s="8" t="s">
        <v>521</v>
      </c>
      <c r="E254" s="26" t="n">
        <v>4.2</v>
      </c>
      <c r="F254" s="26"/>
      <c r="G254" s="20" t="n">
        <f aca="false">IF(N($F254)&gt;0,$F254,IF(CENARIO_CLIMA="USUARIO",0,$E254))</f>
        <v>4.2</v>
      </c>
      <c r="H254" s="18" t="n">
        <f aca="false">SUMIFS($G$8:$G$469,$C$8:$C$469,$C254)</f>
        <v>29.4</v>
      </c>
      <c r="I254" s="26" t="n">
        <v>0.48</v>
      </c>
      <c r="J254" s="26"/>
      <c r="K254" s="20" t="n">
        <f aca="false">IF(N($J254)&gt;0,$J254,IF(CENARIO_CLIMA="USUARIO",0,$I254))</f>
        <v>0.48</v>
      </c>
      <c r="L254" s="20" t="n">
        <f aca="false">MIN($K254*FATOR_CHUVA_UTIL,LIMITE_CHUVA_UTIL_DIA)</f>
        <v>0.384</v>
      </c>
      <c r="M254" s="26"/>
      <c r="N254" s="20" t="n">
        <f aca="false">IF(N($M254)&gt;0,$M254,$L254)</f>
        <v>0.384</v>
      </c>
      <c r="O254" s="8" t="str">
        <f aca="false">IF(N($F254)+N($J254)&gt;0,"Serie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4" s="8" t="str">
        <f aca="false">IF(N($M254)&gt;0,"Chuva util informada pelo usuario","MIN(Chuva bruta x FATOR_CHUVA_UTIL ; LIMITE_CHUVA_UTIL_DIA)")</f>
        <v>MIN(Chuva bruta x FATOR_CHUVA_UTIL ; LIMITE_CHUVA_UTIL_DIA)</v>
      </c>
    </row>
    <row r="255" customFormat="false" ht="15" hidden="false" customHeight="false" outlineLevel="0" collapsed="false">
      <c r="B255" s="17" t="n">
        <v>46512</v>
      </c>
      <c r="C255" s="16" t="n">
        <v>36</v>
      </c>
      <c r="D255" s="8" t="s">
        <v>521</v>
      </c>
      <c r="E255" s="26" t="n">
        <v>4.2</v>
      </c>
      <c r="F255" s="26"/>
      <c r="G255" s="20" t="n">
        <f aca="false">IF(N($F255)&gt;0,$F255,IF(CENARIO_CLIMA="USUARIO",0,$E255))</f>
        <v>4.2</v>
      </c>
      <c r="H255" s="18" t="n">
        <f aca="false">SUMIFS($G$8:$G$469,$C$8:$C$469,$C255)</f>
        <v>29.4</v>
      </c>
      <c r="I255" s="26" t="n">
        <v>0.48</v>
      </c>
      <c r="J255" s="26"/>
      <c r="K255" s="20" t="n">
        <f aca="false">IF(N($J255)&gt;0,$J255,IF(CENARIO_CLIMA="USUARIO",0,$I255))</f>
        <v>0.48</v>
      </c>
      <c r="L255" s="20" t="n">
        <f aca="false">MIN($K255*FATOR_CHUVA_UTIL,LIMITE_CHUVA_UTIL_DIA)</f>
        <v>0.384</v>
      </c>
      <c r="M255" s="26"/>
      <c r="N255" s="20" t="n">
        <f aca="false">IF(N($M255)&gt;0,$M255,$L255)</f>
        <v>0.384</v>
      </c>
      <c r="O255" s="8" t="str">
        <f aca="false">IF(N($F255)+N($J255)&gt;0,"Serie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5" s="8" t="str">
        <f aca="false">IF(N($M255)&gt;0,"Chuva util informada pelo usuario","MIN(Chuva bruta x FATOR_CHUVA_UTIL ; LIMITE_CHUVA_UTIL_DIA)")</f>
        <v>MIN(Chuva bruta x FATOR_CHUVA_UTIL ; LIMITE_CHUVA_UTIL_DIA)</v>
      </c>
    </row>
    <row r="256" customFormat="false" ht="15" hidden="false" customHeight="false" outlineLevel="0" collapsed="false">
      <c r="B256" s="17" t="n">
        <v>46513</v>
      </c>
      <c r="C256" s="16" t="n">
        <v>36</v>
      </c>
      <c r="D256" s="8" t="s">
        <v>521</v>
      </c>
      <c r="E256" s="26" t="n">
        <v>4.2</v>
      </c>
      <c r="F256" s="26"/>
      <c r="G256" s="20" t="n">
        <f aca="false">IF(N($F256)&gt;0,$F256,IF(CENARIO_CLIMA="USUARIO",0,$E256))</f>
        <v>4.2</v>
      </c>
      <c r="H256" s="18" t="n">
        <f aca="false">SUMIFS($G$8:$G$469,$C$8:$C$469,$C256)</f>
        <v>29.4</v>
      </c>
      <c r="I256" s="26" t="n">
        <v>0.48</v>
      </c>
      <c r="J256" s="26"/>
      <c r="K256" s="20" t="n">
        <f aca="false">IF(N($J256)&gt;0,$J256,IF(CENARIO_CLIMA="USUARIO",0,$I256))</f>
        <v>0.48</v>
      </c>
      <c r="L256" s="20" t="n">
        <f aca="false">MIN($K256*FATOR_CHUVA_UTIL,LIMITE_CHUVA_UTIL_DIA)</f>
        <v>0.384</v>
      </c>
      <c r="M256" s="26"/>
      <c r="N256" s="20" t="n">
        <f aca="false">IF(N($M256)&gt;0,$M256,$L256)</f>
        <v>0.384</v>
      </c>
      <c r="O256" s="8" t="str">
        <f aca="false">IF(N($F256)+N($J256)&gt;0,"Serie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6" s="8" t="str">
        <f aca="false">IF(N($M256)&gt;0,"Chuva util informada pelo usuario","MIN(Chuva bruta x FATOR_CHUVA_UTIL ; LIMITE_CHUVA_UTIL_DIA)")</f>
        <v>MIN(Chuva bruta x FATOR_CHUVA_UTIL ; LIMITE_CHUVA_UTIL_DIA)</v>
      </c>
    </row>
    <row r="257" customFormat="false" ht="15" hidden="false" customHeight="false" outlineLevel="0" collapsed="false">
      <c r="B257" s="17" t="n">
        <v>46514</v>
      </c>
      <c r="C257" s="16" t="n">
        <v>36</v>
      </c>
      <c r="D257" s="8" t="s">
        <v>521</v>
      </c>
      <c r="E257" s="26" t="n">
        <v>4.2</v>
      </c>
      <c r="F257" s="26"/>
      <c r="G257" s="20" t="n">
        <f aca="false">IF(N($F257)&gt;0,$F257,IF(CENARIO_CLIMA="USUARIO",0,$E257))</f>
        <v>4.2</v>
      </c>
      <c r="H257" s="18" t="n">
        <f aca="false">SUMIFS($G$8:$G$469,$C$8:$C$469,$C257)</f>
        <v>29.4</v>
      </c>
      <c r="I257" s="26" t="n">
        <v>0.48</v>
      </c>
      <c r="J257" s="26"/>
      <c r="K257" s="20" t="n">
        <f aca="false">IF(N($J257)&gt;0,$J257,IF(CENARIO_CLIMA="USUARIO",0,$I257))</f>
        <v>0.48</v>
      </c>
      <c r="L257" s="20" t="n">
        <f aca="false">MIN($K257*FATOR_CHUVA_UTIL,LIMITE_CHUVA_UTIL_DIA)</f>
        <v>0.384</v>
      </c>
      <c r="M257" s="26"/>
      <c r="N257" s="20" t="n">
        <f aca="false">IF(N($M257)&gt;0,$M257,$L257)</f>
        <v>0.384</v>
      </c>
      <c r="O257" s="8" t="str">
        <f aca="false">IF(N($F257)+N($J257)&gt;0,"Serie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7" s="8" t="str">
        <f aca="false">IF(N($M257)&gt;0,"Chuva util informada pelo usuario","MIN(Chuva bruta x FATOR_CHUVA_UTIL ; LIMITE_CHUVA_UTIL_DIA)")</f>
        <v>MIN(Chuva bruta x FATOR_CHUVA_UTIL ; LIMITE_CHUVA_UTIL_DIA)</v>
      </c>
    </row>
    <row r="258" customFormat="false" ht="15" hidden="false" customHeight="false" outlineLevel="0" collapsed="false">
      <c r="B258" s="17" t="n">
        <v>46515</v>
      </c>
      <c r="C258" s="16" t="n">
        <v>36</v>
      </c>
      <c r="D258" s="8" t="s">
        <v>521</v>
      </c>
      <c r="E258" s="26" t="n">
        <v>4.2</v>
      </c>
      <c r="F258" s="26"/>
      <c r="G258" s="20" t="n">
        <f aca="false">IF(N($F258)&gt;0,$F258,IF(CENARIO_CLIMA="USUARIO",0,$E258))</f>
        <v>4.2</v>
      </c>
      <c r="H258" s="18" t="n">
        <f aca="false">SUMIFS($G$8:$G$469,$C$8:$C$469,$C258)</f>
        <v>29.4</v>
      </c>
      <c r="I258" s="26" t="n">
        <v>0.48</v>
      </c>
      <c r="J258" s="26"/>
      <c r="K258" s="20" t="n">
        <f aca="false">IF(N($J258)&gt;0,$J258,IF(CENARIO_CLIMA="USUARIO",0,$I258))</f>
        <v>0.48</v>
      </c>
      <c r="L258" s="20" t="n">
        <f aca="false">MIN($K258*FATOR_CHUVA_UTIL,LIMITE_CHUVA_UTIL_DIA)</f>
        <v>0.384</v>
      </c>
      <c r="M258" s="26"/>
      <c r="N258" s="20" t="n">
        <f aca="false">IF(N($M258)&gt;0,$M258,$L258)</f>
        <v>0.384</v>
      </c>
      <c r="O258" s="8" t="str">
        <f aca="false">IF(N($F258)+N($J258)&gt;0,"Serie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8" s="8" t="str">
        <f aca="false">IF(N($M258)&gt;0,"Chuva util informada pelo usuario","MIN(Chuva bruta x FATOR_CHUVA_UTIL ; LIMITE_CHUVA_UTIL_DIA)")</f>
        <v>MIN(Chuva bruta x FATOR_CHUVA_UTIL ; LIMITE_CHUVA_UTIL_DIA)</v>
      </c>
    </row>
    <row r="259" customFormat="false" ht="15" hidden="false" customHeight="false" outlineLevel="0" collapsed="false">
      <c r="B259" s="17" t="n">
        <v>46516</v>
      </c>
      <c r="C259" s="16" t="n">
        <v>36</v>
      </c>
      <c r="D259" s="8" t="s">
        <v>521</v>
      </c>
      <c r="E259" s="26" t="n">
        <v>4.2</v>
      </c>
      <c r="F259" s="26"/>
      <c r="G259" s="20" t="n">
        <f aca="false">IF(N($F259)&gt;0,$F259,IF(CENARIO_CLIMA="USUARIO",0,$E259))</f>
        <v>4.2</v>
      </c>
      <c r="H259" s="18" t="n">
        <f aca="false">SUMIFS($G$8:$G$469,$C$8:$C$469,$C259)</f>
        <v>29.4</v>
      </c>
      <c r="I259" s="26" t="n">
        <v>0.48</v>
      </c>
      <c r="J259" s="26"/>
      <c r="K259" s="20" t="n">
        <f aca="false">IF(N($J259)&gt;0,$J259,IF(CENARIO_CLIMA="USUARIO",0,$I259))</f>
        <v>0.48</v>
      </c>
      <c r="L259" s="20" t="n">
        <f aca="false">MIN($K259*FATOR_CHUVA_UTIL,LIMITE_CHUVA_UTIL_DIA)</f>
        <v>0.384</v>
      </c>
      <c r="M259" s="26"/>
      <c r="N259" s="20" t="n">
        <f aca="false">IF(N($M259)&gt;0,$M259,$L259)</f>
        <v>0.384</v>
      </c>
      <c r="O259" s="8" t="str">
        <f aca="false">IF(N($F259)+N($J259)&gt;0,"Serie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59" s="8" t="str">
        <f aca="false">IF(N($M259)&gt;0,"Chuva util informada pelo usuario","MIN(Chuva bruta x FATOR_CHUVA_UTIL ; LIMITE_CHUVA_UTIL_DIA)")</f>
        <v>MIN(Chuva bruta x FATOR_CHUVA_UTIL ; LIMITE_CHUVA_UTIL_DIA)</v>
      </c>
    </row>
    <row r="260" customFormat="false" ht="15" hidden="false" customHeight="false" outlineLevel="0" collapsed="false">
      <c r="B260" s="17" t="n">
        <v>46517</v>
      </c>
      <c r="C260" s="16" t="n">
        <v>37</v>
      </c>
      <c r="D260" s="8" t="s">
        <v>521</v>
      </c>
      <c r="E260" s="26" t="n">
        <v>4.2</v>
      </c>
      <c r="F260" s="26"/>
      <c r="G260" s="20" t="n">
        <f aca="false">IF(N($F260)&gt;0,$F260,IF(CENARIO_CLIMA="USUARIO",0,$E260))</f>
        <v>4.2</v>
      </c>
      <c r="H260" s="18" t="n">
        <f aca="false">SUMIFS($G$8:$G$469,$C$8:$C$469,$C260)</f>
        <v>29.4</v>
      </c>
      <c r="I260" s="26" t="n">
        <v>0.48</v>
      </c>
      <c r="J260" s="26"/>
      <c r="K260" s="20" t="n">
        <f aca="false">IF(N($J260)&gt;0,$J260,IF(CENARIO_CLIMA="USUARIO",0,$I260))</f>
        <v>0.48</v>
      </c>
      <c r="L260" s="20" t="n">
        <f aca="false">MIN($K260*FATOR_CHUVA_UTIL,LIMITE_CHUVA_UTIL_DIA)</f>
        <v>0.384</v>
      </c>
      <c r="M260" s="26"/>
      <c r="N260" s="20" t="n">
        <f aca="false">IF(N($M260)&gt;0,$M260,$L260)</f>
        <v>0.384</v>
      </c>
      <c r="O260" s="8" t="str">
        <f aca="false">IF(N($F260)+N($J260)&gt;0,"Serie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0" s="8" t="str">
        <f aca="false">IF(N($M260)&gt;0,"Chuva util informada pelo usuario","MIN(Chuva bruta x FATOR_CHUVA_UTIL ; LIMITE_CHUVA_UTIL_DIA)")</f>
        <v>MIN(Chuva bruta x FATOR_CHUVA_UTIL ; LIMITE_CHUVA_UTIL_DIA)</v>
      </c>
    </row>
    <row r="261" customFormat="false" ht="15" hidden="false" customHeight="false" outlineLevel="0" collapsed="false">
      <c r="B261" s="17" t="n">
        <v>46518</v>
      </c>
      <c r="C261" s="16" t="n">
        <v>37</v>
      </c>
      <c r="D261" s="8" t="s">
        <v>521</v>
      </c>
      <c r="E261" s="26" t="n">
        <v>4.2</v>
      </c>
      <c r="F261" s="26"/>
      <c r="G261" s="20" t="n">
        <f aca="false">IF(N($F261)&gt;0,$F261,IF(CENARIO_CLIMA="USUARIO",0,$E261))</f>
        <v>4.2</v>
      </c>
      <c r="H261" s="18" t="n">
        <f aca="false">SUMIFS($G$8:$G$469,$C$8:$C$469,$C261)</f>
        <v>29.4</v>
      </c>
      <c r="I261" s="26" t="n">
        <v>0.48</v>
      </c>
      <c r="J261" s="26"/>
      <c r="K261" s="20" t="n">
        <f aca="false">IF(N($J261)&gt;0,$J261,IF(CENARIO_CLIMA="USUARIO",0,$I261))</f>
        <v>0.48</v>
      </c>
      <c r="L261" s="20" t="n">
        <f aca="false">MIN($K261*FATOR_CHUVA_UTIL,LIMITE_CHUVA_UTIL_DIA)</f>
        <v>0.384</v>
      </c>
      <c r="M261" s="26"/>
      <c r="N261" s="20" t="n">
        <f aca="false">IF(N($M261)&gt;0,$M261,$L261)</f>
        <v>0.384</v>
      </c>
      <c r="O261" s="8" t="str">
        <f aca="false">IF(N($F261)+N($J261)&gt;0,"Serie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1" s="8" t="str">
        <f aca="false">IF(N($M261)&gt;0,"Chuva util informada pelo usuario","MIN(Chuva bruta x FATOR_CHUVA_UTIL ; LIMITE_CHUVA_UTIL_DIA)")</f>
        <v>MIN(Chuva bruta x FATOR_CHUVA_UTIL ; LIMITE_CHUVA_UTIL_DIA)</v>
      </c>
    </row>
    <row r="262" customFormat="false" ht="15" hidden="false" customHeight="false" outlineLevel="0" collapsed="false">
      <c r="B262" s="17" t="n">
        <v>46519</v>
      </c>
      <c r="C262" s="16" t="n">
        <v>37</v>
      </c>
      <c r="D262" s="8" t="s">
        <v>521</v>
      </c>
      <c r="E262" s="26" t="n">
        <v>4.2</v>
      </c>
      <c r="F262" s="26"/>
      <c r="G262" s="20" t="n">
        <f aca="false">IF(N($F262)&gt;0,$F262,IF(CENARIO_CLIMA="USUARIO",0,$E262))</f>
        <v>4.2</v>
      </c>
      <c r="H262" s="18" t="n">
        <f aca="false">SUMIFS($G$8:$G$469,$C$8:$C$469,$C262)</f>
        <v>29.4</v>
      </c>
      <c r="I262" s="26" t="n">
        <v>0.48</v>
      </c>
      <c r="J262" s="26"/>
      <c r="K262" s="20" t="n">
        <f aca="false">IF(N($J262)&gt;0,$J262,IF(CENARIO_CLIMA="USUARIO",0,$I262))</f>
        <v>0.48</v>
      </c>
      <c r="L262" s="20" t="n">
        <f aca="false">MIN($K262*FATOR_CHUVA_UTIL,LIMITE_CHUVA_UTIL_DIA)</f>
        <v>0.384</v>
      </c>
      <c r="M262" s="26"/>
      <c r="N262" s="20" t="n">
        <f aca="false">IF(N($M262)&gt;0,$M262,$L262)</f>
        <v>0.384</v>
      </c>
      <c r="O262" s="8" t="str">
        <f aca="false">IF(N($F262)+N($J262)&gt;0,"Serie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2" s="8" t="str">
        <f aca="false">IF(N($M262)&gt;0,"Chuva util informada pelo usuario","MIN(Chuva bruta x FATOR_CHUVA_UTIL ; LIMITE_CHUVA_UTIL_DIA)")</f>
        <v>MIN(Chuva bruta x FATOR_CHUVA_UTIL ; LIMITE_CHUVA_UTIL_DIA)</v>
      </c>
    </row>
    <row r="263" customFormat="false" ht="15" hidden="false" customHeight="false" outlineLevel="0" collapsed="false">
      <c r="B263" s="17" t="n">
        <v>46520</v>
      </c>
      <c r="C263" s="16" t="n">
        <v>37</v>
      </c>
      <c r="D263" s="8" t="s">
        <v>521</v>
      </c>
      <c r="E263" s="26" t="n">
        <v>4.2</v>
      </c>
      <c r="F263" s="26"/>
      <c r="G263" s="20" t="n">
        <f aca="false">IF(N($F263)&gt;0,$F263,IF(CENARIO_CLIMA="USUARIO",0,$E263))</f>
        <v>4.2</v>
      </c>
      <c r="H263" s="18" t="n">
        <f aca="false">SUMIFS($G$8:$G$469,$C$8:$C$469,$C263)</f>
        <v>29.4</v>
      </c>
      <c r="I263" s="26" t="n">
        <v>0.48</v>
      </c>
      <c r="J263" s="26"/>
      <c r="K263" s="20" t="n">
        <f aca="false">IF(N($J263)&gt;0,$J263,IF(CENARIO_CLIMA="USUARIO",0,$I263))</f>
        <v>0.48</v>
      </c>
      <c r="L263" s="20" t="n">
        <f aca="false">MIN($K263*FATOR_CHUVA_UTIL,LIMITE_CHUVA_UTIL_DIA)</f>
        <v>0.384</v>
      </c>
      <c r="M263" s="26"/>
      <c r="N263" s="20" t="n">
        <f aca="false">IF(N($M263)&gt;0,$M263,$L263)</f>
        <v>0.384</v>
      </c>
      <c r="O263" s="8" t="str">
        <f aca="false">IF(N($F263)+N($J263)&gt;0,"Serie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3" s="8" t="str">
        <f aca="false">IF(N($M263)&gt;0,"Chuva util informada pelo usuario","MIN(Chuva bruta x FATOR_CHUVA_UTIL ; LIMITE_CHUVA_UTIL_DIA)")</f>
        <v>MIN(Chuva bruta x FATOR_CHUVA_UTIL ; LIMITE_CHUVA_UTIL_DIA)</v>
      </c>
    </row>
    <row r="264" customFormat="false" ht="15" hidden="false" customHeight="false" outlineLevel="0" collapsed="false">
      <c r="B264" s="17" t="n">
        <v>46521</v>
      </c>
      <c r="C264" s="16" t="n">
        <v>37</v>
      </c>
      <c r="D264" s="8" t="s">
        <v>521</v>
      </c>
      <c r="E264" s="26" t="n">
        <v>4.2</v>
      </c>
      <c r="F264" s="26"/>
      <c r="G264" s="20" t="n">
        <f aca="false">IF(N($F264)&gt;0,$F264,IF(CENARIO_CLIMA="USUARIO",0,$E264))</f>
        <v>4.2</v>
      </c>
      <c r="H264" s="18" t="n">
        <f aca="false">SUMIFS($G$8:$G$469,$C$8:$C$469,$C264)</f>
        <v>29.4</v>
      </c>
      <c r="I264" s="26" t="n">
        <v>0.48</v>
      </c>
      <c r="J264" s="26"/>
      <c r="K264" s="20" t="n">
        <f aca="false">IF(N($J264)&gt;0,$J264,IF(CENARIO_CLIMA="USUARIO",0,$I264))</f>
        <v>0.48</v>
      </c>
      <c r="L264" s="20" t="n">
        <f aca="false">MIN($K264*FATOR_CHUVA_UTIL,LIMITE_CHUVA_UTIL_DIA)</f>
        <v>0.384</v>
      </c>
      <c r="M264" s="26"/>
      <c r="N264" s="20" t="n">
        <f aca="false">IF(N($M264)&gt;0,$M264,$L264)</f>
        <v>0.384</v>
      </c>
      <c r="O264" s="8" t="str">
        <f aca="false">IF(N($F264)+N($J264)&gt;0,"Serie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4" s="8" t="str">
        <f aca="false">IF(N($M264)&gt;0,"Chuva util informada pelo usuario","MIN(Chuva bruta x FATOR_CHUVA_UTIL ; LIMITE_CHUVA_UTIL_DIA)")</f>
        <v>MIN(Chuva bruta x FATOR_CHUVA_UTIL ; LIMITE_CHUVA_UTIL_DIA)</v>
      </c>
    </row>
    <row r="265" customFormat="false" ht="15" hidden="false" customHeight="false" outlineLevel="0" collapsed="false">
      <c r="B265" s="17" t="n">
        <v>46522</v>
      </c>
      <c r="C265" s="16" t="n">
        <v>37</v>
      </c>
      <c r="D265" s="8" t="s">
        <v>521</v>
      </c>
      <c r="E265" s="26" t="n">
        <v>4.2</v>
      </c>
      <c r="F265" s="26"/>
      <c r="G265" s="20" t="n">
        <f aca="false">IF(N($F265)&gt;0,$F265,IF(CENARIO_CLIMA="USUARIO",0,$E265))</f>
        <v>4.2</v>
      </c>
      <c r="H265" s="18" t="n">
        <f aca="false">SUMIFS($G$8:$G$469,$C$8:$C$469,$C265)</f>
        <v>29.4</v>
      </c>
      <c r="I265" s="26" t="n">
        <v>0.48</v>
      </c>
      <c r="J265" s="26"/>
      <c r="K265" s="20" t="n">
        <f aca="false">IF(N($J265)&gt;0,$J265,IF(CENARIO_CLIMA="USUARIO",0,$I265))</f>
        <v>0.48</v>
      </c>
      <c r="L265" s="20" t="n">
        <f aca="false">MIN($K265*FATOR_CHUVA_UTIL,LIMITE_CHUVA_UTIL_DIA)</f>
        <v>0.384</v>
      </c>
      <c r="M265" s="26"/>
      <c r="N265" s="20" t="n">
        <f aca="false">IF(N($M265)&gt;0,$M265,$L265)</f>
        <v>0.384</v>
      </c>
      <c r="O265" s="8" t="str">
        <f aca="false">IF(N($F265)+N($J265)&gt;0,"Serie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5" s="8" t="str">
        <f aca="false">IF(N($M265)&gt;0,"Chuva util informada pelo usuario","MIN(Chuva bruta x FATOR_CHUVA_UTIL ; LIMITE_CHUVA_UTIL_DIA)")</f>
        <v>MIN(Chuva bruta x FATOR_CHUVA_UTIL ; LIMITE_CHUVA_UTIL_DIA)</v>
      </c>
    </row>
    <row r="266" customFormat="false" ht="15" hidden="false" customHeight="false" outlineLevel="0" collapsed="false">
      <c r="B266" s="17" t="n">
        <v>46523</v>
      </c>
      <c r="C266" s="16" t="n">
        <v>37</v>
      </c>
      <c r="D266" s="8" t="s">
        <v>521</v>
      </c>
      <c r="E266" s="26" t="n">
        <v>4.2</v>
      </c>
      <c r="F266" s="26"/>
      <c r="G266" s="20" t="n">
        <f aca="false">IF(N($F266)&gt;0,$F266,IF(CENARIO_CLIMA="USUARIO",0,$E266))</f>
        <v>4.2</v>
      </c>
      <c r="H266" s="18" t="n">
        <f aca="false">SUMIFS($G$8:$G$469,$C$8:$C$469,$C266)</f>
        <v>29.4</v>
      </c>
      <c r="I266" s="26" t="n">
        <v>0.48</v>
      </c>
      <c r="J266" s="26"/>
      <c r="K266" s="20" t="n">
        <f aca="false">IF(N($J266)&gt;0,$J266,IF(CENARIO_CLIMA="USUARIO",0,$I266))</f>
        <v>0.48</v>
      </c>
      <c r="L266" s="20" t="n">
        <f aca="false">MIN($K266*FATOR_CHUVA_UTIL,LIMITE_CHUVA_UTIL_DIA)</f>
        <v>0.384</v>
      </c>
      <c r="M266" s="26"/>
      <c r="N266" s="20" t="n">
        <f aca="false">IF(N($M266)&gt;0,$M266,$L266)</f>
        <v>0.384</v>
      </c>
      <c r="O266" s="8" t="str">
        <f aca="false">IF(N($F266)+N($J266)&gt;0,"Serie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6" s="8" t="str">
        <f aca="false">IF(N($M266)&gt;0,"Chuva util informada pelo usuario","MIN(Chuva bruta x FATOR_CHUVA_UTIL ; LIMITE_CHUVA_UTIL_DIA)")</f>
        <v>MIN(Chuva bruta x FATOR_CHUVA_UTIL ; LIMITE_CHUVA_UTIL_DIA)</v>
      </c>
    </row>
    <row r="267" customFormat="false" ht="15" hidden="false" customHeight="false" outlineLevel="0" collapsed="false">
      <c r="B267" s="17" t="n">
        <v>46524</v>
      </c>
      <c r="C267" s="16" t="n">
        <v>38</v>
      </c>
      <c r="D267" s="8" t="s">
        <v>521</v>
      </c>
      <c r="E267" s="26" t="n">
        <v>4.2</v>
      </c>
      <c r="F267" s="26"/>
      <c r="G267" s="20" t="n">
        <f aca="false">IF(N($F267)&gt;0,$F267,IF(CENARIO_CLIMA="USUARIO",0,$E267))</f>
        <v>4.2</v>
      </c>
      <c r="H267" s="18" t="n">
        <f aca="false">SUMIFS($G$8:$G$469,$C$8:$C$469,$C267)</f>
        <v>29.4</v>
      </c>
      <c r="I267" s="26" t="n">
        <v>0.48</v>
      </c>
      <c r="J267" s="26"/>
      <c r="K267" s="20" t="n">
        <f aca="false">IF(N($J267)&gt;0,$J267,IF(CENARIO_CLIMA="USUARIO",0,$I267))</f>
        <v>0.48</v>
      </c>
      <c r="L267" s="20" t="n">
        <f aca="false">MIN($K267*FATOR_CHUVA_UTIL,LIMITE_CHUVA_UTIL_DIA)</f>
        <v>0.384</v>
      </c>
      <c r="M267" s="26"/>
      <c r="N267" s="20" t="n">
        <f aca="false">IF(N($M267)&gt;0,$M267,$L267)</f>
        <v>0.384</v>
      </c>
      <c r="O267" s="8" t="str">
        <f aca="false">IF(N($F267)+N($J267)&gt;0,"Serie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7" s="8" t="str">
        <f aca="false">IF(N($M267)&gt;0,"Chuva util informada pelo usuario","MIN(Chuva bruta x FATOR_CHUVA_UTIL ; LIMITE_CHUVA_UTIL_DIA)")</f>
        <v>MIN(Chuva bruta x FATOR_CHUVA_UTIL ; LIMITE_CHUVA_UTIL_DIA)</v>
      </c>
    </row>
    <row r="268" customFormat="false" ht="15" hidden="false" customHeight="false" outlineLevel="0" collapsed="false">
      <c r="B268" s="17" t="n">
        <v>46525</v>
      </c>
      <c r="C268" s="16" t="n">
        <v>38</v>
      </c>
      <c r="D268" s="8" t="s">
        <v>521</v>
      </c>
      <c r="E268" s="26" t="n">
        <v>4.2</v>
      </c>
      <c r="F268" s="26"/>
      <c r="G268" s="20" t="n">
        <f aca="false">IF(N($F268)&gt;0,$F268,IF(CENARIO_CLIMA="USUARIO",0,$E268))</f>
        <v>4.2</v>
      </c>
      <c r="H268" s="18" t="n">
        <f aca="false">SUMIFS($G$8:$G$469,$C$8:$C$469,$C268)</f>
        <v>29.4</v>
      </c>
      <c r="I268" s="26" t="n">
        <v>0.48</v>
      </c>
      <c r="J268" s="26"/>
      <c r="K268" s="20" t="n">
        <f aca="false">IF(N($J268)&gt;0,$J268,IF(CENARIO_CLIMA="USUARIO",0,$I268))</f>
        <v>0.48</v>
      </c>
      <c r="L268" s="20" t="n">
        <f aca="false">MIN($K268*FATOR_CHUVA_UTIL,LIMITE_CHUVA_UTIL_DIA)</f>
        <v>0.384</v>
      </c>
      <c r="M268" s="26"/>
      <c r="N268" s="20" t="n">
        <f aca="false">IF(N($M268)&gt;0,$M268,$L268)</f>
        <v>0.384</v>
      </c>
      <c r="O268" s="8" t="str">
        <f aca="false">IF(N($F268)+N($J268)&gt;0,"Serie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8" s="8" t="str">
        <f aca="false">IF(N($M268)&gt;0,"Chuva util informada pelo usuario","MIN(Chuva bruta x FATOR_CHUVA_UTIL ; LIMITE_CHUVA_UTIL_DIA)")</f>
        <v>MIN(Chuva bruta x FATOR_CHUVA_UTIL ; LIMITE_CHUVA_UTIL_DIA)</v>
      </c>
    </row>
    <row r="269" customFormat="false" ht="15" hidden="false" customHeight="false" outlineLevel="0" collapsed="false">
      <c r="B269" s="17" t="n">
        <v>46526</v>
      </c>
      <c r="C269" s="16" t="n">
        <v>38</v>
      </c>
      <c r="D269" s="8" t="s">
        <v>521</v>
      </c>
      <c r="E269" s="26" t="n">
        <v>4.2</v>
      </c>
      <c r="F269" s="26"/>
      <c r="G269" s="20" t="n">
        <f aca="false">IF(N($F269)&gt;0,$F269,IF(CENARIO_CLIMA="USUARIO",0,$E269))</f>
        <v>4.2</v>
      </c>
      <c r="H269" s="18" t="n">
        <f aca="false">SUMIFS($G$8:$G$469,$C$8:$C$469,$C269)</f>
        <v>29.4</v>
      </c>
      <c r="I269" s="26" t="n">
        <v>0.48</v>
      </c>
      <c r="J269" s="26"/>
      <c r="K269" s="20" t="n">
        <f aca="false">IF(N($J269)&gt;0,$J269,IF(CENARIO_CLIMA="USUARIO",0,$I269))</f>
        <v>0.48</v>
      </c>
      <c r="L269" s="20" t="n">
        <f aca="false">MIN($K269*FATOR_CHUVA_UTIL,LIMITE_CHUVA_UTIL_DIA)</f>
        <v>0.384</v>
      </c>
      <c r="M269" s="26"/>
      <c r="N269" s="20" t="n">
        <f aca="false">IF(N($M269)&gt;0,$M269,$L269)</f>
        <v>0.384</v>
      </c>
      <c r="O269" s="8" t="str">
        <f aca="false">IF(N($F269)+N($J269)&gt;0,"Serie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69" s="8" t="str">
        <f aca="false">IF(N($M269)&gt;0,"Chuva util informada pelo usuario","MIN(Chuva bruta x FATOR_CHUVA_UTIL ; LIMITE_CHUVA_UTIL_DIA)")</f>
        <v>MIN(Chuva bruta x FATOR_CHUVA_UTIL ; LIMITE_CHUVA_UTIL_DIA)</v>
      </c>
    </row>
    <row r="270" customFormat="false" ht="15" hidden="false" customHeight="false" outlineLevel="0" collapsed="false">
      <c r="B270" s="17" t="n">
        <v>46527</v>
      </c>
      <c r="C270" s="16" t="n">
        <v>38</v>
      </c>
      <c r="D270" s="8" t="s">
        <v>521</v>
      </c>
      <c r="E270" s="26" t="n">
        <v>4.2</v>
      </c>
      <c r="F270" s="26"/>
      <c r="G270" s="20" t="n">
        <f aca="false">IF(N($F270)&gt;0,$F270,IF(CENARIO_CLIMA="USUARIO",0,$E270))</f>
        <v>4.2</v>
      </c>
      <c r="H270" s="18" t="n">
        <f aca="false">SUMIFS($G$8:$G$469,$C$8:$C$469,$C270)</f>
        <v>29.4</v>
      </c>
      <c r="I270" s="26" t="n">
        <v>0.48</v>
      </c>
      <c r="J270" s="26"/>
      <c r="K270" s="20" t="n">
        <f aca="false">IF(N($J270)&gt;0,$J270,IF(CENARIO_CLIMA="USUARIO",0,$I270))</f>
        <v>0.48</v>
      </c>
      <c r="L270" s="20" t="n">
        <f aca="false">MIN($K270*FATOR_CHUVA_UTIL,LIMITE_CHUVA_UTIL_DIA)</f>
        <v>0.384</v>
      </c>
      <c r="M270" s="26"/>
      <c r="N270" s="20" t="n">
        <f aca="false">IF(N($M270)&gt;0,$M270,$L270)</f>
        <v>0.384</v>
      </c>
      <c r="O270" s="8" t="str">
        <f aca="false">IF(N($F270)+N($J270)&gt;0,"Serie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0" s="8" t="str">
        <f aca="false">IF(N($M270)&gt;0,"Chuva util informada pelo usuario","MIN(Chuva bruta x FATOR_CHUVA_UTIL ; LIMITE_CHUVA_UTIL_DIA)")</f>
        <v>MIN(Chuva bruta x FATOR_CHUVA_UTIL ; LIMITE_CHUVA_UTIL_DIA)</v>
      </c>
    </row>
    <row r="271" customFormat="false" ht="15" hidden="false" customHeight="false" outlineLevel="0" collapsed="false">
      <c r="B271" s="17" t="n">
        <v>46528</v>
      </c>
      <c r="C271" s="16" t="n">
        <v>38</v>
      </c>
      <c r="D271" s="8" t="s">
        <v>521</v>
      </c>
      <c r="E271" s="26" t="n">
        <v>4.2</v>
      </c>
      <c r="F271" s="26"/>
      <c r="G271" s="20" t="n">
        <f aca="false">IF(N($F271)&gt;0,$F271,IF(CENARIO_CLIMA="USUARIO",0,$E271))</f>
        <v>4.2</v>
      </c>
      <c r="H271" s="18" t="n">
        <f aca="false">SUMIFS($G$8:$G$469,$C$8:$C$469,$C271)</f>
        <v>29.4</v>
      </c>
      <c r="I271" s="26" t="n">
        <v>0.48</v>
      </c>
      <c r="J271" s="26"/>
      <c r="K271" s="20" t="n">
        <f aca="false">IF(N($J271)&gt;0,$J271,IF(CENARIO_CLIMA="USUARIO",0,$I271))</f>
        <v>0.48</v>
      </c>
      <c r="L271" s="20" t="n">
        <f aca="false">MIN($K271*FATOR_CHUVA_UTIL,LIMITE_CHUVA_UTIL_DIA)</f>
        <v>0.384</v>
      </c>
      <c r="M271" s="26"/>
      <c r="N271" s="20" t="n">
        <f aca="false">IF(N($M271)&gt;0,$M271,$L271)</f>
        <v>0.384</v>
      </c>
      <c r="O271" s="8" t="str">
        <f aca="false">IF(N($F271)+N($J271)&gt;0,"Serie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1" s="8" t="str">
        <f aca="false">IF(N($M271)&gt;0,"Chuva util informada pelo usuario","MIN(Chuva bruta x FATOR_CHUVA_UTIL ; LIMITE_CHUVA_UTIL_DIA)")</f>
        <v>MIN(Chuva bruta x FATOR_CHUVA_UTIL ; LIMITE_CHUVA_UTIL_DIA)</v>
      </c>
    </row>
    <row r="272" customFormat="false" ht="15" hidden="false" customHeight="false" outlineLevel="0" collapsed="false">
      <c r="B272" s="17" t="n">
        <v>46529</v>
      </c>
      <c r="C272" s="16" t="n">
        <v>38</v>
      </c>
      <c r="D272" s="8" t="s">
        <v>521</v>
      </c>
      <c r="E272" s="26" t="n">
        <v>4.2</v>
      </c>
      <c r="F272" s="26"/>
      <c r="G272" s="20" t="n">
        <f aca="false">IF(N($F272)&gt;0,$F272,IF(CENARIO_CLIMA="USUARIO",0,$E272))</f>
        <v>4.2</v>
      </c>
      <c r="H272" s="18" t="n">
        <f aca="false">SUMIFS($G$8:$G$469,$C$8:$C$469,$C272)</f>
        <v>29.4</v>
      </c>
      <c r="I272" s="26" t="n">
        <v>0.48</v>
      </c>
      <c r="J272" s="26"/>
      <c r="K272" s="20" t="n">
        <f aca="false">IF(N($J272)&gt;0,$J272,IF(CENARIO_CLIMA="USUARIO",0,$I272))</f>
        <v>0.48</v>
      </c>
      <c r="L272" s="20" t="n">
        <f aca="false">MIN($K272*FATOR_CHUVA_UTIL,LIMITE_CHUVA_UTIL_DIA)</f>
        <v>0.384</v>
      </c>
      <c r="M272" s="26"/>
      <c r="N272" s="20" t="n">
        <f aca="false">IF(N($M272)&gt;0,$M272,$L272)</f>
        <v>0.384</v>
      </c>
      <c r="O272" s="8" t="str">
        <f aca="false">IF(N($F272)+N($J272)&gt;0,"Serie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2" s="8" t="str">
        <f aca="false">IF(N($M272)&gt;0,"Chuva util informada pelo usuario","MIN(Chuva bruta x FATOR_CHUVA_UTIL ; LIMITE_CHUVA_UTIL_DIA)")</f>
        <v>MIN(Chuva bruta x FATOR_CHUVA_UTIL ; LIMITE_CHUVA_UTIL_DIA)</v>
      </c>
    </row>
    <row r="273" customFormat="false" ht="15" hidden="false" customHeight="false" outlineLevel="0" collapsed="false">
      <c r="B273" s="17" t="n">
        <v>46530</v>
      </c>
      <c r="C273" s="16" t="n">
        <v>38</v>
      </c>
      <c r="D273" s="8" t="s">
        <v>521</v>
      </c>
      <c r="E273" s="26" t="n">
        <v>4.2</v>
      </c>
      <c r="F273" s="26"/>
      <c r="G273" s="20" t="n">
        <f aca="false">IF(N($F273)&gt;0,$F273,IF(CENARIO_CLIMA="USUARIO",0,$E273))</f>
        <v>4.2</v>
      </c>
      <c r="H273" s="18" t="n">
        <f aca="false">SUMIFS($G$8:$G$469,$C$8:$C$469,$C273)</f>
        <v>29.4</v>
      </c>
      <c r="I273" s="26" t="n">
        <v>0.48</v>
      </c>
      <c r="J273" s="26"/>
      <c r="K273" s="20" t="n">
        <f aca="false">IF(N($J273)&gt;0,$J273,IF(CENARIO_CLIMA="USUARIO",0,$I273))</f>
        <v>0.48</v>
      </c>
      <c r="L273" s="20" t="n">
        <f aca="false">MIN($K273*FATOR_CHUVA_UTIL,LIMITE_CHUVA_UTIL_DIA)</f>
        <v>0.384</v>
      </c>
      <c r="M273" s="26"/>
      <c r="N273" s="20" t="n">
        <f aca="false">IF(N($M273)&gt;0,$M273,$L273)</f>
        <v>0.384</v>
      </c>
      <c r="O273" s="8" t="str">
        <f aca="false">IF(N($F273)+N($J273)&gt;0,"Serie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3" s="8" t="str">
        <f aca="false">IF(N($M273)&gt;0,"Chuva util informada pelo usuario","MIN(Chuva bruta x FATOR_CHUVA_UTIL ; LIMITE_CHUVA_UTIL_DIA)")</f>
        <v>MIN(Chuva bruta x FATOR_CHUVA_UTIL ; LIMITE_CHUVA_UTIL_DIA)</v>
      </c>
    </row>
    <row r="274" customFormat="false" ht="15" hidden="false" customHeight="false" outlineLevel="0" collapsed="false">
      <c r="B274" s="17" t="n">
        <v>46531</v>
      </c>
      <c r="C274" s="16" t="n">
        <v>39</v>
      </c>
      <c r="D274" s="8" t="s">
        <v>521</v>
      </c>
      <c r="E274" s="26" t="n">
        <v>4.2</v>
      </c>
      <c r="F274" s="26"/>
      <c r="G274" s="20" t="n">
        <f aca="false">IF(N($F274)&gt;0,$F274,IF(CENARIO_CLIMA="USUARIO",0,$E274))</f>
        <v>4.2</v>
      </c>
      <c r="H274" s="18" t="n">
        <f aca="false">SUMIFS($G$8:$G$469,$C$8:$C$469,$C274)</f>
        <v>29.4</v>
      </c>
      <c r="I274" s="26" t="n">
        <v>0.48</v>
      </c>
      <c r="J274" s="26"/>
      <c r="K274" s="20" t="n">
        <f aca="false">IF(N($J274)&gt;0,$J274,IF(CENARIO_CLIMA="USUARIO",0,$I274))</f>
        <v>0.48</v>
      </c>
      <c r="L274" s="20" t="n">
        <f aca="false">MIN($K274*FATOR_CHUVA_UTIL,LIMITE_CHUVA_UTIL_DIA)</f>
        <v>0.384</v>
      </c>
      <c r="M274" s="26"/>
      <c r="N274" s="20" t="n">
        <f aca="false">IF(N($M274)&gt;0,$M274,$L274)</f>
        <v>0.384</v>
      </c>
      <c r="O274" s="8" t="str">
        <f aca="false">IF(N($F274)+N($J274)&gt;0,"Serie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4" s="8" t="str">
        <f aca="false">IF(N($M274)&gt;0,"Chuva util informada pelo usuario","MIN(Chuva bruta x FATOR_CHUVA_UTIL ; LIMITE_CHUVA_UTIL_DIA)")</f>
        <v>MIN(Chuva bruta x FATOR_CHUVA_UTIL ; LIMITE_CHUVA_UTIL_DIA)</v>
      </c>
    </row>
    <row r="275" customFormat="false" ht="15" hidden="false" customHeight="false" outlineLevel="0" collapsed="false">
      <c r="B275" s="17" t="n">
        <v>46532</v>
      </c>
      <c r="C275" s="16" t="n">
        <v>39</v>
      </c>
      <c r="D275" s="8" t="s">
        <v>521</v>
      </c>
      <c r="E275" s="26" t="n">
        <v>4.2</v>
      </c>
      <c r="F275" s="26"/>
      <c r="G275" s="20" t="n">
        <f aca="false">IF(N($F275)&gt;0,$F275,IF(CENARIO_CLIMA="USUARIO",0,$E275))</f>
        <v>4.2</v>
      </c>
      <c r="H275" s="18" t="n">
        <f aca="false">SUMIFS($G$8:$G$469,$C$8:$C$469,$C275)</f>
        <v>29.4</v>
      </c>
      <c r="I275" s="26" t="n">
        <v>0.48</v>
      </c>
      <c r="J275" s="26"/>
      <c r="K275" s="20" t="n">
        <f aca="false">IF(N($J275)&gt;0,$J275,IF(CENARIO_CLIMA="USUARIO",0,$I275))</f>
        <v>0.48</v>
      </c>
      <c r="L275" s="20" t="n">
        <f aca="false">MIN($K275*FATOR_CHUVA_UTIL,LIMITE_CHUVA_UTIL_DIA)</f>
        <v>0.384</v>
      </c>
      <c r="M275" s="26"/>
      <c r="N275" s="20" t="n">
        <f aca="false">IF(N($M275)&gt;0,$M275,$L275)</f>
        <v>0.384</v>
      </c>
      <c r="O275" s="8" t="str">
        <f aca="false">IF(N($F275)+N($J275)&gt;0,"Serie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5" s="8" t="str">
        <f aca="false">IF(N($M275)&gt;0,"Chuva util informada pelo usuario","MIN(Chuva bruta x FATOR_CHUVA_UTIL ; LIMITE_CHUVA_UTIL_DIA)")</f>
        <v>MIN(Chuva bruta x FATOR_CHUVA_UTIL ; LIMITE_CHUVA_UTIL_DIA)</v>
      </c>
    </row>
    <row r="276" customFormat="false" ht="15" hidden="false" customHeight="false" outlineLevel="0" collapsed="false">
      <c r="B276" s="17" t="n">
        <v>46533</v>
      </c>
      <c r="C276" s="16" t="n">
        <v>39</v>
      </c>
      <c r="D276" s="8" t="s">
        <v>521</v>
      </c>
      <c r="E276" s="26" t="n">
        <v>4.2</v>
      </c>
      <c r="F276" s="26"/>
      <c r="G276" s="20" t="n">
        <f aca="false">IF(N($F276)&gt;0,$F276,IF(CENARIO_CLIMA="USUARIO",0,$E276))</f>
        <v>4.2</v>
      </c>
      <c r="H276" s="18" t="n">
        <f aca="false">SUMIFS($G$8:$G$469,$C$8:$C$469,$C276)</f>
        <v>29.4</v>
      </c>
      <c r="I276" s="26" t="n">
        <v>0.48</v>
      </c>
      <c r="J276" s="26"/>
      <c r="K276" s="20" t="n">
        <f aca="false">IF(N($J276)&gt;0,$J276,IF(CENARIO_CLIMA="USUARIO",0,$I276))</f>
        <v>0.48</v>
      </c>
      <c r="L276" s="20" t="n">
        <f aca="false">MIN($K276*FATOR_CHUVA_UTIL,LIMITE_CHUVA_UTIL_DIA)</f>
        <v>0.384</v>
      </c>
      <c r="M276" s="26"/>
      <c r="N276" s="20" t="n">
        <f aca="false">IF(N($M276)&gt;0,$M276,$L276)</f>
        <v>0.384</v>
      </c>
      <c r="O276" s="8" t="str">
        <f aca="false">IF(N($F276)+N($J276)&gt;0,"Serie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6" s="8" t="str">
        <f aca="false">IF(N($M276)&gt;0,"Chuva util informada pelo usuario","MIN(Chuva bruta x FATOR_CHUVA_UTIL ; LIMITE_CHUVA_UTIL_DIA)")</f>
        <v>MIN(Chuva bruta x FATOR_CHUVA_UTIL ; LIMITE_CHUVA_UTIL_DIA)</v>
      </c>
    </row>
    <row r="277" customFormat="false" ht="15" hidden="false" customHeight="false" outlineLevel="0" collapsed="false">
      <c r="B277" s="17" t="n">
        <v>46534</v>
      </c>
      <c r="C277" s="16" t="n">
        <v>39</v>
      </c>
      <c r="D277" s="8" t="s">
        <v>521</v>
      </c>
      <c r="E277" s="26" t="n">
        <v>4.2</v>
      </c>
      <c r="F277" s="26"/>
      <c r="G277" s="20" t="n">
        <f aca="false">IF(N($F277)&gt;0,$F277,IF(CENARIO_CLIMA="USUARIO",0,$E277))</f>
        <v>4.2</v>
      </c>
      <c r="H277" s="18" t="n">
        <f aca="false">SUMIFS($G$8:$G$469,$C$8:$C$469,$C277)</f>
        <v>29.4</v>
      </c>
      <c r="I277" s="26" t="n">
        <v>0.48</v>
      </c>
      <c r="J277" s="26"/>
      <c r="K277" s="20" t="n">
        <f aca="false">IF(N($J277)&gt;0,$J277,IF(CENARIO_CLIMA="USUARIO",0,$I277))</f>
        <v>0.48</v>
      </c>
      <c r="L277" s="20" t="n">
        <f aca="false">MIN($K277*FATOR_CHUVA_UTIL,LIMITE_CHUVA_UTIL_DIA)</f>
        <v>0.384</v>
      </c>
      <c r="M277" s="26"/>
      <c r="N277" s="20" t="n">
        <f aca="false">IF(N($M277)&gt;0,$M277,$L277)</f>
        <v>0.384</v>
      </c>
      <c r="O277" s="8" t="str">
        <f aca="false">IF(N($F277)+N($J277)&gt;0,"Serie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7" s="8" t="str">
        <f aca="false">IF(N($M277)&gt;0,"Chuva util informada pelo usuario","MIN(Chuva bruta x FATOR_CHUVA_UTIL ; LIMITE_CHUVA_UTIL_DIA)")</f>
        <v>MIN(Chuva bruta x FATOR_CHUVA_UTIL ; LIMITE_CHUVA_UTIL_DIA)</v>
      </c>
    </row>
    <row r="278" customFormat="false" ht="15" hidden="false" customHeight="false" outlineLevel="0" collapsed="false">
      <c r="B278" s="17" t="n">
        <v>46535</v>
      </c>
      <c r="C278" s="16" t="n">
        <v>39</v>
      </c>
      <c r="D278" s="8" t="s">
        <v>521</v>
      </c>
      <c r="E278" s="26" t="n">
        <v>4.2</v>
      </c>
      <c r="F278" s="26"/>
      <c r="G278" s="20" t="n">
        <f aca="false">IF(N($F278)&gt;0,$F278,IF(CENARIO_CLIMA="USUARIO",0,$E278))</f>
        <v>4.2</v>
      </c>
      <c r="H278" s="18" t="n">
        <f aca="false">SUMIFS($G$8:$G$469,$C$8:$C$469,$C278)</f>
        <v>29.4</v>
      </c>
      <c r="I278" s="26" t="n">
        <v>0.48</v>
      </c>
      <c r="J278" s="26"/>
      <c r="K278" s="20" t="n">
        <f aca="false">IF(N($J278)&gt;0,$J278,IF(CENARIO_CLIMA="USUARIO",0,$I278))</f>
        <v>0.48</v>
      </c>
      <c r="L278" s="20" t="n">
        <f aca="false">MIN($K278*FATOR_CHUVA_UTIL,LIMITE_CHUVA_UTIL_DIA)</f>
        <v>0.384</v>
      </c>
      <c r="M278" s="26"/>
      <c r="N278" s="20" t="n">
        <f aca="false">IF(N($M278)&gt;0,$M278,$L278)</f>
        <v>0.384</v>
      </c>
      <c r="O278" s="8" t="str">
        <f aca="false">IF(N($F278)+N($J278)&gt;0,"Serie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8" s="8" t="str">
        <f aca="false">IF(N($M278)&gt;0,"Chuva util informada pelo usuario","MIN(Chuva bruta x FATOR_CHUVA_UTIL ; LIMITE_CHUVA_UTIL_DIA)")</f>
        <v>MIN(Chuva bruta x FATOR_CHUVA_UTIL ; LIMITE_CHUVA_UTIL_DIA)</v>
      </c>
    </row>
    <row r="279" customFormat="false" ht="15" hidden="false" customHeight="false" outlineLevel="0" collapsed="false">
      <c r="B279" s="17" t="n">
        <v>46536</v>
      </c>
      <c r="C279" s="16" t="n">
        <v>39</v>
      </c>
      <c r="D279" s="8" t="s">
        <v>521</v>
      </c>
      <c r="E279" s="26" t="n">
        <v>4.2</v>
      </c>
      <c r="F279" s="26"/>
      <c r="G279" s="20" t="n">
        <f aca="false">IF(N($F279)&gt;0,$F279,IF(CENARIO_CLIMA="USUARIO",0,$E279))</f>
        <v>4.2</v>
      </c>
      <c r="H279" s="18" t="n">
        <f aca="false">SUMIFS($G$8:$G$469,$C$8:$C$469,$C279)</f>
        <v>29.4</v>
      </c>
      <c r="I279" s="26" t="n">
        <v>0.48</v>
      </c>
      <c r="J279" s="26"/>
      <c r="K279" s="20" t="n">
        <f aca="false">IF(N($J279)&gt;0,$J279,IF(CENARIO_CLIMA="USUARIO",0,$I279))</f>
        <v>0.48</v>
      </c>
      <c r="L279" s="20" t="n">
        <f aca="false">MIN($K279*FATOR_CHUVA_UTIL,LIMITE_CHUVA_UTIL_DIA)</f>
        <v>0.384</v>
      </c>
      <c r="M279" s="26"/>
      <c r="N279" s="20" t="n">
        <f aca="false">IF(N($M279)&gt;0,$M279,$L279)</f>
        <v>0.384</v>
      </c>
      <c r="O279" s="8" t="str">
        <f aca="false">IF(N($F279)+N($J279)&gt;0,"Serie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79" s="8" t="str">
        <f aca="false">IF(N($M279)&gt;0,"Chuva util informada pelo usuario","MIN(Chuva bruta x FATOR_CHUVA_UTIL ; LIMITE_CHUVA_UTIL_DIA)")</f>
        <v>MIN(Chuva bruta x FATOR_CHUVA_UTIL ; LIMITE_CHUVA_UTIL_DIA)</v>
      </c>
    </row>
    <row r="280" customFormat="false" ht="15" hidden="false" customHeight="false" outlineLevel="0" collapsed="false">
      <c r="B280" s="17" t="n">
        <v>46537</v>
      </c>
      <c r="C280" s="16" t="n">
        <v>39</v>
      </c>
      <c r="D280" s="8" t="s">
        <v>521</v>
      </c>
      <c r="E280" s="26" t="n">
        <v>4.2</v>
      </c>
      <c r="F280" s="26"/>
      <c r="G280" s="20" t="n">
        <f aca="false">IF(N($F280)&gt;0,$F280,IF(CENARIO_CLIMA="USUARIO",0,$E280))</f>
        <v>4.2</v>
      </c>
      <c r="H280" s="18" t="n">
        <f aca="false">SUMIFS($G$8:$G$469,$C$8:$C$469,$C280)</f>
        <v>29.4</v>
      </c>
      <c r="I280" s="26" t="n">
        <v>0.48</v>
      </c>
      <c r="J280" s="26"/>
      <c r="K280" s="20" t="n">
        <f aca="false">IF(N($J280)&gt;0,$J280,IF(CENARIO_CLIMA="USUARIO",0,$I280))</f>
        <v>0.48</v>
      </c>
      <c r="L280" s="20" t="n">
        <f aca="false">MIN($K280*FATOR_CHUVA_UTIL,LIMITE_CHUVA_UTIL_DIA)</f>
        <v>0.384</v>
      </c>
      <c r="M280" s="26"/>
      <c r="N280" s="20" t="n">
        <f aca="false">IF(N($M280)&gt;0,$M280,$L280)</f>
        <v>0.384</v>
      </c>
      <c r="O280" s="8" t="str">
        <f aca="false">IF(N($F280)+N($J280)&gt;0,"Serie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0" s="8" t="str">
        <f aca="false">IF(N($M280)&gt;0,"Chuva util informada pelo usuario","MIN(Chuva bruta x FATOR_CHUVA_UTIL ; LIMITE_CHUVA_UTIL_DIA)")</f>
        <v>MIN(Chuva bruta x FATOR_CHUVA_UTIL ; LIMITE_CHUVA_UTIL_DIA)</v>
      </c>
    </row>
    <row r="281" customFormat="false" ht="15" hidden="false" customHeight="false" outlineLevel="0" collapsed="false">
      <c r="B281" s="17" t="n">
        <v>46538</v>
      </c>
      <c r="C281" s="16" t="n">
        <v>40</v>
      </c>
      <c r="D281" s="8" t="s">
        <v>521</v>
      </c>
      <c r="E281" s="26" t="n">
        <v>4.2</v>
      </c>
      <c r="F281" s="26"/>
      <c r="G281" s="20" t="n">
        <f aca="false">IF(N($F281)&gt;0,$F281,IF(CENARIO_CLIMA="USUARIO",0,$E281))</f>
        <v>4.2</v>
      </c>
      <c r="H281" s="18" t="n">
        <f aca="false">SUMIFS($G$8:$G$469,$C$8:$C$469,$C281)</f>
        <v>28.2</v>
      </c>
      <c r="I281" s="26" t="n">
        <v>0.48</v>
      </c>
      <c r="J281" s="26"/>
      <c r="K281" s="20" t="n">
        <f aca="false">IF(N($J281)&gt;0,$J281,IF(CENARIO_CLIMA="USUARIO",0,$I281))</f>
        <v>0.48</v>
      </c>
      <c r="L281" s="20" t="n">
        <f aca="false">MIN($K281*FATOR_CHUVA_UTIL,LIMITE_CHUVA_UTIL_DIA)</f>
        <v>0.384</v>
      </c>
      <c r="M281" s="26"/>
      <c r="N281" s="20" t="n">
        <f aca="false">IF(N($M281)&gt;0,$M281,$L281)</f>
        <v>0.384</v>
      </c>
      <c r="O281" s="8" t="str">
        <f aca="false">IF(N($F281)+N($J281)&gt;0,"Serie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1" s="8" t="str">
        <f aca="false">IF(N($M281)&gt;0,"Chuva util informada pelo usuario","MIN(Chuva bruta x FATOR_CHUVA_UTIL ; LIMITE_CHUVA_UTIL_DIA)")</f>
        <v>MIN(Chuva bruta x FATOR_CHUVA_UTIL ; LIMITE_CHUVA_UTIL_DIA)</v>
      </c>
    </row>
    <row r="282" customFormat="false" ht="15" hidden="false" customHeight="false" outlineLevel="0" collapsed="false">
      <c r="B282" s="17" t="n">
        <v>46539</v>
      </c>
      <c r="C282" s="16" t="n">
        <v>40</v>
      </c>
      <c r="D282" s="8" t="s">
        <v>522</v>
      </c>
      <c r="E282" s="26" t="n">
        <v>4</v>
      </c>
      <c r="F282" s="26"/>
      <c r="G282" s="20" t="n">
        <f aca="false">IF(N($F282)&gt;0,$F282,IF(CENARIO_CLIMA="USUARIO",0,$E282))</f>
        <v>4</v>
      </c>
      <c r="H282" s="18" t="n">
        <f aca="false">SUMIFS($G$8:$G$469,$C$8:$C$469,$C282)</f>
        <v>28.2</v>
      </c>
      <c r="I282" s="26" t="n">
        <v>0.17</v>
      </c>
      <c r="J282" s="26"/>
      <c r="K282" s="20" t="n">
        <f aca="false">IF(N($J282)&gt;0,$J282,IF(CENARIO_CLIMA="USUARIO",0,$I282))</f>
        <v>0.17</v>
      </c>
      <c r="L282" s="20" t="n">
        <f aca="false">MIN($K282*FATOR_CHUVA_UTIL,LIMITE_CHUVA_UTIL_DIA)</f>
        <v>0.136</v>
      </c>
      <c r="M282" s="26"/>
      <c r="N282" s="20" t="n">
        <f aca="false">IF(N($M282)&gt;0,$M282,$L282)</f>
        <v>0.136</v>
      </c>
      <c r="O282" s="8" t="str">
        <f aca="false">IF(N($F282)+N($J282)&gt;0,"Serie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2" s="8" t="str">
        <f aca="false">IF(N($M282)&gt;0,"Chuva util informada pelo usuario","MIN(Chuva bruta x FATOR_CHUVA_UTIL ; LIMITE_CHUVA_UTIL_DIA)")</f>
        <v>MIN(Chuva bruta x FATOR_CHUVA_UTIL ; LIMITE_CHUVA_UTIL_DIA)</v>
      </c>
    </row>
    <row r="283" customFormat="false" ht="15" hidden="false" customHeight="false" outlineLevel="0" collapsed="false">
      <c r="B283" s="17" t="n">
        <v>46540</v>
      </c>
      <c r="C283" s="16" t="n">
        <v>40</v>
      </c>
      <c r="D283" s="8" t="s">
        <v>522</v>
      </c>
      <c r="E283" s="26" t="n">
        <v>4</v>
      </c>
      <c r="F283" s="26"/>
      <c r="G283" s="20" t="n">
        <f aca="false">IF(N($F283)&gt;0,$F283,IF(CENARIO_CLIMA="USUARIO",0,$E283))</f>
        <v>4</v>
      </c>
      <c r="H283" s="18" t="n">
        <f aca="false">SUMIFS($G$8:$G$469,$C$8:$C$469,$C283)</f>
        <v>28.2</v>
      </c>
      <c r="I283" s="26" t="n">
        <v>0.17</v>
      </c>
      <c r="J283" s="26"/>
      <c r="K283" s="20" t="n">
        <f aca="false">IF(N($J283)&gt;0,$J283,IF(CENARIO_CLIMA="USUARIO",0,$I283))</f>
        <v>0.17</v>
      </c>
      <c r="L283" s="20" t="n">
        <f aca="false">MIN($K283*FATOR_CHUVA_UTIL,LIMITE_CHUVA_UTIL_DIA)</f>
        <v>0.136</v>
      </c>
      <c r="M283" s="26"/>
      <c r="N283" s="20" t="n">
        <f aca="false">IF(N($M283)&gt;0,$M283,$L283)</f>
        <v>0.136</v>
      </c>
      <c r="O283" s="8" t="str">
        <f aca="false">IF(N($F283)+N($J283)&gt;0,"Serie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3" s="8" t="str">
        <f aca="false">IF(N($M283)&gt;0,"Chuva util informada pelo usuario","MIN(Chuva bruta x FATOR_CHUVA_UTIL ; LIMITE_CHUVA_UTIL_DIA)")</f>
        <v>MIN(Chuva bruta x FATOR_CHUVA_UTIL ; LIMITE_CHUVA_UTIL_DIA)</v>
      </c>
    </row>
    <row r="284" customFormat="false" ht="15" hidden="false" customHeight="false" outlineLevel="0" collapsed="false">
      <c r="B284" s="17" t="n">
        <v>46541</v>
      </c>
      <c r="C284" s="16" t="n">
        <v>40</v>
      </c>
      <c r="D284" s="8" t="s">
        <v>522</v>
      </c>
      <c r="E284" s="26" t="n">
        <v>4</v>
      </c>
      <c r="F284" s="26"/>
      <c r="G284" s="20" t="n">
        <f aca="false">IF(N($F284)&gt;0,$F284,IF(CENARIO_CLIMA="USUARIO",0,$E284))</f>
        <v>4</v>
      </c>
      <c r="H284" s="18" t="n">
        <f aca="false">SUMIFS($G$8:$G$469,$C$8:$C$469,$C284)</f>
        <v>28.2</v>
      </c>
      <c r="I284" s="26" t="n">
        <v>0.17</v>
      </c>
      <c r="J284" s="26"/>
      <c r="K284" s="20" t="n">
        <f aca="false">IF(N($J284)&gt;0,$J284,IF(CENARIO_CLIMA="USUARIO",0,$I284))</f>
        <v>0.17</v>
      </c>
      <c r="L284" s="20" t="n">
        <f aca="false">MIN($K284*FATOR_CHUVA_UTIL,LIMITE_CHUVA_UTIL_DIA)</f>
        <v>0.136</v>
      </c>
      <c r="M284" s="26"/>
      <c r="N284" s="20" t="n">
        <f aca="false">IF(N($M284)&gt;0,$M284,$L284)</f>
        <v>0.136</v>
      </c>
      <c r="O284" s="8" t="str">
        <f aca="false">IF(N($F284)+N($J284)&gt;0,"Serie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4" s="8" t="str">
        <f aca="false">IF(N($M284)&gt;0,"Chuva util informada pelo usuario","MIN(Chuva bruta x FATOR_CHUVA_UTIL ; LIMITE_CHUVA_UTIL_DIA)")</f>
        <v>MIN(Chuva bruta x FATOR_CHUVA_UTIL ; LIMITE_CHUVA_UTIL_DIA)</v>
      </c>
    </row>
    <row r="285" customFormat="false" ht="15" hidden="false" customHeight="false" outlineLevel="0" collapsed="false">
      <c r="B285" s="17" t="n">
        <v>46542</v>
      </c>
      <c r="C285" s="16" t="n">
        <v>40</v>
      </c>
      <c r="D285" s="8" t="s">
        <v>522</v>
      </c>
      <c r="E285" s="26" t="n">
        <v>4</v>
      </c>
      <c r="F285" s="26"/>
      <c r="G285" s="20" t="n">
        <f aca="false">IF(N($F285)&gt;0,$F285,IF(CENARIO_CLIMA="USUARIO",0,$E285))</f>
        <v>4</v>
      </c>
      <c r="H285" s="18" t="n">
        <f aca="false">SUMIFS($G$8:$G$469,$C$8:$C$469,$C285)</f>
        <v>28.2</v>
      </c>
      <c r="I285" s="26" t="n">
        <v>0.17</v>
      </c>
      <c r="J285" s="26"/>
      <c r="K285" s="20" t="n">
        <f aca="false">IF(N($J285)&gt;0,$J285,IF(CENARIO_CLIMA="USUARIO",0,$I285))</f>
        <v>0.17</v>
      </c>
      <c r="L285" s="20" t="n">
        <f aca="false">MIN($K285*FATOR_CHUVA_UTIL,LIMITE_CHUVA_UTIL_DIA)</f>
        <v>0.136</v>
      </c>
      <c r="M285" s="26"/>
      <c r="N285" s="20" t="n">
        <f aca="false">IF(N($M285)&gt;0,$M285,$L285)</f>
        <v>0.136</v>
      </c>
      <c r="O285" s="8" t="str">
        <f aca="false">IF(N($F285)+N($J285)&gt;0,"Serie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5" s="8" t="str">
        <f aca="false">IF(N($M285)&gt;0,"Chuva util informada pelo usuario","MIN(Chuva bruta x FATOR_CHUVA_UTIL ; LIMITE_CHUVA_UTIL_DIA)")</f>
        <v>MIN(Chuva bruta x FATOR_CHUVA_UTIL ; LIMITE_CHUVA_UTIL_DIA)</v>
      </c>
    </row>
    <row r="286" customFormat="false" ht="15" hidden="false" customHeight="false" outlineLevel="0" collapsed="false">
      <c r="B286" s="17" t="n">
        <v>46543</v>
      </c>
      <c r="C286" s="16" t="n">
        <v>40</v>
      </c>
      <c r="D286" s="8" t="s">
        <v>522</v>
      </c>
      <c r="E286" s="26" t="n">
        <v>4</v>
      </c>
      <c r="F286" s="26"/>
      <c r="G286" s="20" t="n">
        <f aca="false">IF(N($F286)&gt;0,$F286,IF(CENARIO_CLIMA="USUARIO",0,$E286))</f>
        <v>4</v>
      </c>
      <c r="H286" s="18" t="n">
        <f aca="false">SUMIFS($G$8:$G$469,$C$8:$C$469,$C286)</f>
        <v>28.2</v>
      </c>
      <c r="I286" s="26" t="n">
        <v>0.17</v>
      </c>
      <c r="J286" s="26"/>
      <c r="K286" s="20" t="n">
        <f aca="false">IF(N($J286)&gt;0,$J286,IF(CENARIO_CLIMA="USUARIO",0,$I286))</f>
        <v>0.17</v>
      </c>
      <c r="L286" s="20" t="n">
        <f aca="false">MIN($K286*FATOR_CHUVA_UTIL,LIMITE_CHUVA_UTIL_DIA)</f>
        <v>0.136</v>
      </c>
      <c r="M286" s="26"/>
      <c r="N286" s="20" t="n">
        <f aca="false">IF(N($M286)&gt;0,$M286,$L286)</f>
        <v>0.136</v>
      </c>
      <c r="O286" s="8" t="str">
        <f aca="false">IF(N($F286)+N($J286)&gt;0,"Serie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6" s="8" t="str">
        <f aca="false">IF(N($M286)&gt;0,"Chuva util informada pelo usuario","MIN(Chuva bruta x FATOR_CHUVA_UTIL ; LIMITE_CHUVA_UTIL_DIA)")</f>
        <v>MIN(Chuva bruta x FATOR_CHUVA_UTIL ; LIMITE_CHUVA_UTIL_DIA)</v>
      </c>
    </row>
    <row r="287" customFormat="false" ht="15" hidden="false" customHeight="false" outlineLevel="0" collapsed="false">
      <c r="B287" s="17" t="n">
        <v>46544</v>
      </c>
      <c r="C287" s="16" t="n">
        <v>40</v>
      </c>
      <c r="D287" s="8" t="s">
        <v>522</v>
      </c>
      <c r="E287" s="26" t="n">
        <v>4</v>
      </c>
      <c r="F287" s="26"/>
      <c r="G287" s="20" t="n">
        <f aca="false">IF(N($F287)&gt;0,$F287,IF(CENARIO_CLIMA="USUARIO",0,$E287))</f>
        <v>4</v>
      </c>
      <c r="H287" s="18" t="n">
        <f aca="false">SUMIFS($G$8:$G$469,$C$8:$C$469,$C287)</f>
        <v>28.2</v>
      </c>
      <c r="I287" s="26" t="n">
        <v>0.17</v>
      </c>
      <c r="J287" s="26"/>
      <c r="K287" s="20" t="n">
        <f aca="false">IF(N($J287)&gt;0,$J287,IF(CENARIO_CLIMA="USUARIO",0,$I287))</f>
        <v>0.17</v>
      </c>
      <c r="L287" s="20" t="n">
        <f aca="false">MIN($K287*FATOR_CHUVA_UTIL,LIMITE_CHUVA_UTIL_DIA)</f>
        <v>0.136</v>
      </c>
      <c r="M287" s="26"/>
      <c r="N287" s="20" t="n">
        <f aca="false">IF(N($M287)&gt;0,$M287,$L287)</f>
        <v>0.136</v>
      </c>
      <c r="O287" s="8" t="str">
        <f aca="false">IF(N($F287)+N($J287)&gt;0,"Serie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7" s="8" t="str">
        <f aca="false">IF(N($M287)&gt;0,"Chuva util informada pelo usuario","MIN(Chuva bruta x FATOR_CHUVA_UTIL ; LIMITE_CHUVA_UTIL_DIA)")</f>
        <v>MIN(Chuva bruta x FATOR_CHUVA_UTIL ; LIMITE_CHUVA_UTIL_DIA)</v>
      </c>
    </row>
    <row r="288" customFormat="false" ht="15" hidden="false" customHeight="false" outlineLevel="0" collapsed="false">
      <c r="B288" s="17" t="n">
        <v>46545</v>
      </c>
      <c r="C288" s="16" t="n">
        <v>41</v>
      </c>
      <c r="D288" s="8" t="s">
        <v>522</v>
      </c>
      <c r="E288" s="26" t="n">
        <v>4</v>
      </c>
      <c r="F288" s="26"/>
      <c r="G288" s="20" t="n">
        <f aca="false">IF(N($F288)&gt;0,$F288,IF(CENARIO_CLIMA="USUARIO",0,$E288))</f>
        <v>4</v>
      </c>
      <c r="H288" s="18" t="n">
        <f aca="false">SUMIFS($G$8:$G$469,$C$8:$C$469,$C288)</f>
        <v>28</v>
      </c>
      <c r="I288" s="26" t="n">
        <v>0.17</v>
      </c>
      <c r="J288" s="26"/>
      <c r="K288" s="20" t="n">
        <f aca="false">IF(N($J288)&gt;0,$J288,IF(CENARIO_CLIMA="USUARIO",0,$I288))</f>
        <v>0.17</v>
      </c>
      <c r="L288" s="20" t="n">
        <f aca="false">MIN($K288*FATOR_CHUVA_UTIL,LIMITE_CHUVA_UTIL_DIA)</f>
        <v>0.136</v>
      </c>
      <c r="M288" s="26"/>
      <c r="N288" s="20" t="n">
        <f aca="false">IF(N($M288)&gt;0,$M288,$L288)</f>
        <v>0.136</v>
      </c>
      <c r="O288" s="8" t="str">
        <f aca="false">IF(N($F288)+N($J288)&gt;0,"Serie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8" s="8" t="str">
        <f aca="false">IF(N($M288)&gt;0,"Chuva util informada pelo usuario","MIN(Chuva bruta x FATOR_CHUVA_UTIL ; LIMITE_CHUVA_UTIL_DIA)")</f>
        <v>MIN(Chuva bruta x FATOR_CHUVA_UTIL ; LIMITE_CHUVA_UTIL_DIA)</v>
      </c>
    </row>
    <row r="289" customFormat="false" ht="15" hidden="false" customHeight="false" outlineLevel="0" collapsed="false">
      <c r="B289" s="17" t="n">
        <v>46546</v>
      </c>
      <c r="C289" s="16" t="n">
        <v>41</v>
      </c>
      <c r="D289" s="8" t="s">
        <v>522</v>
      </c>
      <c r="E289" s="26" t="n">
        <v>4</v>
      </c>
      <c r="F289" s="26"/>
      <c r="G289" s="20" t="n">
        <f aca="false">IF(N($F289)&gt;0,$F289,IF(CENARIO_CLIMA="USUARIO",0,$E289))</f>
        <v>4</v>
      </c>
      <c r="H289" s="18" t="n">
        <f aca="false">SUMIFS($G$8:$G$469,$C$8:$C$469,$C289)</f>
        <v>28</v>
      </c>
      <c r="I289" s="26" t="n">
        <v>0.17</v>
      </c>
      <c r="J289" s="26"/>
      <c r="K289" s="20" t="n">
        <f aca="false">IF(N($J289)&gt;0,$J289,IF(CENARIO_CLIMA="USUARIO",0,$I289))</f>
        <v>0.17</v>
      </c>
      <c r="L289" s="20" t="n">
        <f aca="false">MIN($K289*FATOR_CHUVA_UTIL,LIMITE_CHUVA_UTIL_DIA)</f>
        <v>0.136</v>
      </c>
      <c r="M289" s="26"/>
      <c r="N289" s="20" t="n">
        <f aca="false">IF(N($M289)&gt;0,$M289,$L289)</f>
        <v>0.136</v>
      </c>
      <c r="O289" s="8" t="str">
        <f aca="false">IF(N($F289)+N($J289)&gt;0,"Serie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89" s="8" t="str">
        <f aca="false">IF(N($M289)&gt;0,"Chuva util informada pelo usuario","MIN(Chuva bruta x FATOR_CHUVA_UTIL ; LIMITE_CHUVA_UTIL_DIA)")</f>
        <v>MIN(Chuva bruta x FATOR_CHUVA_UTIL ; LIMITE_CHUVA_UTIL_DIA)</v>
      </c>
    </row>
    <row r="290" customFormat="false" ht="15" hidden="false" customHeight="false" outlineLevel="0" collapsed="false">
      <c r="B290" s="17" t="n">
        <v>46547</v>
      </c>
      <c r="C290" s="16" t="n">
        <v>41</v>
      </c>
      <c r="D290" s="8" t="s">
        <v>522</v>
      </c>
      <c r="E290" s="26" t="n">
        <v>4</v>
      </c>
      <c r="F290" s="26"/>
      <c r="G290" s="20" t="n">
        <f aca="false">IF(N($F290)&gt;0,$F290,IF(CENARIO_CLIMA="USUARIO",0,$E290))</f>
        <v>4</v>
      </c>
      <c r="H290" s="18" t="n">
        <f aca="false">SUMIFS($G$8:$G$469,$C$8:$C$469,$C290)</f>
        <v>28</v>
      </c>
      <c r="I290" s="26" t="n">
        <v>0.17</v>
      </c>
      <c r="J290" s="26"/>
      <c r="K290" s="20" t="n">
        <f aca="false">IF(N($J290)&gt;0,$J290,IF(CENARIO_CLIMA="USUARIO",0,$I290))</f>
        <v>0.17</v>
      </c>
      <c r="L290" s="20" t="n">
        <f aca="false">MIN($K290*FATOR_CHUVA_UTIL,LIMITE_CHUVA_UTIL_DIA)</f>
        <v>0.136</v>
      </c>
      <c r="M290" s="26"/>
      <c r="N290" s="20" t="n">
        <f aca="false">IF(N($M290)&gt;0,$M290,$L290)</f>
        <v>0.136</v>
      </c>
      <c r="O290" s="8" t="str">
        <f aca="false">IF(N($F290)+N($J290)&gt;0,"Serie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0" s="8" t="str">
        <f aca="false">IF(N($M290)&gt;0,"Chuva util informada pelo usuario","MIN(Chuva bruta x FATOR_CHUVA_UTIL ; LIMITE_CHUVA_UTIL_DIA)")</f>
        <v>MIN(Chuva bruta x FATOR_CHUVA_UTIL ; LIMITE_CHUVA_UTIL_DIA)</v>
      </c>
    </row>
    <row r="291" customFormat="false" ht="15" hidden="false" customHeight="false" outlineLevel="0" collapsed="false">
      <c r="B291" s="17" t="n">
        <v>46548</v>
      </c>
      <c r="C291" s="16" t="n">
        <v>41</v>
      </c>
      <c r="D291" s="8" t="s">
        <v>522</v>
      </c>
      <c r="E291" s="26" t="n">
        <v>4</v>
      </c>
      <c r="F291" s="26"/>
      <c r="G291" s="20" t="n">
        <f aca="false">IF(N($F291)&gt;0,$F291,IF(CENARIO_CLIMA="USUARIO",0,$E291))</f>
        <v>4</v>
      </c>
      <c r="H291" s="18" t="n">
        <f aca="false">SUMIFS($G$8:$G$469,$C$8:$C$469,$C291)</f>
        <v>28</v>
      </c>
      <c r="I291" s="26" t="n">
        <v>0.17</v>
      </c>
      <c r="J291" s="26"/>
      <c r="K291" s="20" t="n">
        <f aca="false">IF(N($J291)&gt;0,$J291,IF(CENARIO_CLIMA="USUARIO",0,$I291))</f>
        <v>0.17</v>
      </c>
      <c r="L291" s="20" t="n">
        <f aca="false">MIN($K291*FATOR_CHUVA_UTIL,LIMITE_CHUVA_UTIL_DIA)</f>
        <v>0.136</v>
      </c>
      <c r="M291" s="26"/>
      <c r="N291" s="20" t="n">
        <f aca="false">IF(N($M291)&gt;0,$M291,$L291)</f>
        <v>0.136</v>
      </c>
      <c r="O291" s="8" t="str">
        <f aca="false">IF(N($F291)+N($J291)&gt;0,"Serie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1" s="8" t="str">
        <f aca="false">IF(N($M291)&gt;0,"Chuva util informada pelo usuario","MIN(Chuva bruta x FATOR_CHUVA_UTIL ; LIMITE_CHUVA_UTIL_DIA)")</f>
        <v>MIN(Chuva bruta x FATOR_CHUVA_UTIL ; LIMITE_CHUVA_UTIL_DIA)</v>
      </c>
    </row>
    <row r="292" customFormat="false" ht="15" hidden="false" customHeight="false" outlineLevel="0" collapsed="false">
      <c r="B292" s="17" t="n">
        <v>46549</v>
      </c>
      <c r="C292" s="16" t="n">
        <v>41</v>
      </c>
      <c r="D292" s="8" t="s">
        <v>522</v>
      </c>
      <c r="E292" s="26" t="n">
        <v>4</v>
      </c>
      <c r="F292" s="26"/>
      <c r="G292" s="20" t="n">
        <f aca="false">IF(N($F292)&gt;0,$F292,IF(CENARIO_CLIMA="USUARIO",0,$E292))</f>
        <v>4</v>
      </c>
      <c r="H292" s="18" t="n">
        <f aca="false">SUMIFS($G$8:$G$469,$C$8:$C$469,$C292)</f>
        <v>28</v>
      </c>
      <c r="I292" s="26" t="n">
        <v>0.17</v>
      </c>
      <c r="J292" s="26"/>
      <c r="K292" s="20" t="n">
        <f aca="false">IF(N($J292)&gt;0,$J292,IF(CENARIO_CLIMA="USUARIO",0,$I292))</f>
        <v>0.17</v>
      </c>
      <c r="L292" s="20" t="n">
        <f aca="false">MIN($K292*FATOR_CHUVA_UTIL,LIMITE_CHUVA_UTIL_DIA)</f>
        <v>0.136</v>
      </c>
      <c r="M292" s="26"/>
      <c r="N292" s="20" t="n">
        <f aca="false">IF(N($M292)&gt;0,$M292,$L292)</f>
        <v>0.136</v>
      </c>
      <c r="O292" s="8" t="str">
        <f aca="false">IF(N($F292)+N($J292)&gt;0,"Serie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2" s="8" t="str">
        <f aca="false">IF(N($M292)&gt;0,"Chuva util informada pelo usuario","MIN(Chuva bruta x FATOR_CHUVA_UTIL ; LIMITE_CHUVA_UTIL_DIA)")</f>
        <v>MIN(Chuva bruta x FATOR_CHUVA_UTIL ; LIMITE_CHUVA_UTIL_DIA)</v>
      </c>
    </row>
    <row r="293" customFormat="false" ht="15" hidden="false" customHeight="false" outlineLevel="0" collapsed="false">
      <c r="B293" s="17" t="n">
        <v>46550</v>
      </c>
      <c r="C293" s="16" t="n">
        <v>41</v>
      </c>
      <c r="D293" s="8" t="s">
        <v>522</v>
      </c>
      <c r="E293" s="26" t="n">
        <v>4</v>
      </c>
      <c r="F293" s="26"/>
      <c r="G293" s="20" t="n">
        <f aca="false">IF(N($F293)&gt;0,$F293,IF(CENARIO_CLIMA="USUARIO",0,$E293))</f>
        <v>4</v>
      </c>
      <c r="H293" s="18" t="n">
        <f aca="false">SUMIFS($G$8:$G$469,$C$8:$C$469,$C293)</f>
        <v>28</v>
      </c>
      <c r="I293" s="26" t="n">
        <v>0.17</v>
      </c>
      <c r="J293" s="26"/>
      <c r="K293" s="20" t="n">
        <f aca="false">IF(N($J293)&gt;0,$J293,IF(CENARIO_CLIMA="USUARIO",0,$I293))</f>
        <v>0.17</v>
      </c>
      <c r="L293" s="20" t="n">
        <f aca="false">MIN($K293*FATOR_CHUVA_UTIL,LIMITE_CHUVA_UTIL_DIA)</f>
        <v>0.136</v>
      </c>
      <c r="M293" s="26"/>
      <c r="N293" s="20" t="n">
        <f aca="false">IF(N($M293)&gt;0,$M293,$L293)</f>
        <v>0.136</v>
      </c>
      <c r="O293" s="8" t="str">
        <f aca="false">IF(N($F293)+N($J293)&gt;0,"Serie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3" s="8" t="str">
        <f aca="false">IF(N($M293)&gt;0,"Chuva util informada pelo usuario","MIN(Chuva bruta x FATOR_CHUVA_UTIL ; LIMITE_CHUVA_UTIL_DIA)")</f>
        <v>MIN(Chuva bruta x FATOR_CHUVA_UTIL ; LIMITE_CHUVA_UTIL_DIA)</v>
      </c>
    </row>
    <row r="294" customFormat="false" ht="15" hidden="false" customHeight="false" outlineLevel="0" collapsed="false">
      <c r="B294" s="17" t="n">
        <v>46551</v>
      </c>
      <c r="C294" s="16" t="n">
        <v>41</v>
      </c>
      <c r="D294" s="8" t="s">
        <v>522</v>
      </c>
      <c r="E294" s="26" t="n">
        <v>4</v>
      </c>
      <c r="F294" s="26"/>
      <c r="G294" s="20" t="n">
        <f aca="false">IF(N($F294)&gt;0,$F294,IF(CENARIO_CLIMA="USUARIO",0,$E294))</f>
        <v>4</v>
      </c>
      <c r="H294" s="18" t="n">
        <f aca="false">SUMIFS($G$8:$G$469,$C$8:$C$469,$C294)</f>
        <v>28</v>
      </c>
      <c r="I294" s="26" t="n">
        <v>0.17</v>
      </c>
      <c r="J294" s="26"/>
      <c r="K294" s="20" t="n">
        <f aca="false">IF(N($J294)&gt;0,$J294,IF(CENARIO_CLIMA="USUARIO",0,$I294))</f>
        <v>0.17</v>
      </c>
      <c r="L294" s="20" t="n">
        <f aca="false">MIN($K294*FATOR_CHUVA_UTIL,LIMITE_CHUVA_UTIL_DIA)</f>
        <v>0.136</v>
      </c>
      <c r="M294" s="26"/>
      <c r="N294" s="20" t="n">
        <f aca="false">IF(N($M294)&gt;0,$M294,$L294)</f>
        <v>0.136</v>
      </c>
      <c r="O294" s="8" t="str">
        <f aca="false">IF(N($F294)+N($J294)&gt;0,"Serie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4" s="8" t="str">
        <f aca="false">IF(N($M294)&gt;0,"Chuva util informada pelo usuario","MIN(Chuva bruta x FATOR_CHUVA_UTIL ; LIMITE_CHUVA_UTIL_DIA)")</f>
        <v>MIN(Chuva bruta x FATOR_CHUVA_UTIL ; LIMITE_CHUVA_UTIL_DIA)</v>
      </c>
    </row>
    <row r="295" customFormat="false" ht="15" hidden="false" customHeight="false" outlineLevel="0" collapsed="false">
      <c r="B295" s="17" t="n">
        <v>46552</v>
      </c>
      <c r="C295" s="16" t="n">
        <v>42</v>
      </c>
      <c r="D295" s="8" t="s">
        <v>522</v>
      </c>
      <c r="E295" s="26" t="n">
        <v>4</v>
      </c>
      <c r="F295" s="26"/>
      <c r="G295" s="20" t="n">
        <f aca="false">IF(N($F295)&gt;0,$F295,IF(CENARIO_CLIMA="USUARIO",0,$E295))</f>
        <v>4</v>
      </c>
      <c r="H295" s="18" t="n">
        <f aca="false">SUMIFS($G$8:$G$469,$C$8:$C$469,$C295)</f>
        <v>28</v>
      </c>
      <c r="I295" s="26" t="n">
        <v>0.17</v>
      </c>
      <c r="J295" s="26"/>
      <c r="K295" s="20" t="n">
        <f aca="false">IF(N($J295)&gt;0,$J295,IF(CENARIO_CLIMA="USUARIO",0,$I295))</f>
        <v>0.17</v>
      </c>
      <c r="L295" s="20" t="n">
        <f aca="false">MIN($K295*FATOR_CHUVA_UTIL,LIMITE_CHUVA_UTIL_DIA)</f>
        <v>0.136</v>
      </c>
      <c r="M295" s="26"/>
      <c r="N295" s="20" t="n">
        <f aca="false">IF(N($M295)&gt;0,$M295,$L295)</f>
        <v>0.136</v>
      </c>
      <c r="O295" s="8" t="str">
        <f aca="false">IF(N($F295)+N($J295)&gt;0,"Serie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5" s="8" t="str">
        <f aca="false">IF(N($M295)&gt;0,"Chuva util informada pelo usuario","MIN(Chuva bruta x FATOR_CHUVA_UTIL ; LIMITE_CHUVA_UTIL_DIA)")</f>
        <v>MIN(Chuva bruta x FATOR_CHUVA_UTIL ; LIMITE_CHUVA_UTIL_DIA)</v>
      </c>
    </row>
    <row r="296" customFormat="false" ht="15" hidden="false" customHeight="false" outlineLevel="0" collapsed="false">
      <c r="B296" s="17" t="n">
        <v>46553</v>
      </c>
      <c r="C296" s="16" t="n">
        <v>42</v>
      </c>
      <c r="D296" s="8" t="s">
        <v>522</v>
      </c>
      <c r="E296" s="26" t="n">
        <v>4</v>
      </c>
      <c r="F296" s="26"/>
      <c r="G296" s="20" t="n">
        <f aca="false">IF(N($F296)&gt;0,$F296,IF(CENARIO_CLIMA="USUARIO",0,$E296))</f>
        <v>4</v>
      </c>
      <c r="H296" s="18" t="n">
        <f aca="false">SUMIFS($G$8:$G$469,$C$8:$C$469,$C296)</f>
        <v>28</v>
      </c>
      <c r="I296" s="26" t="n">
        <v>0.17</v>
      </c>
      <c r="J296" s="26"/>
      <c r="K296" s="20" t="n">
        <f aca="false">IF(N($J296)&gt;0,$J296,IF(CENARIO_CLIMA="USUARIO",0,$I296))</f>
        <v>0.17</v>
      </c>
      <c r="L296" s="20" t="n">
        <f aca="false">MIN($K296*FATOR_CHUVA_UTIL,LIMITE_CHUVA_UTIL_DIA)</f>
        <v>0.136</v>
      </c>
      <c r="M296" s="26"/>
      <c r="N296" s="20" t="n">
        <f aca="false">IF(N($M296)&gt;0,$M296,$L296)</f>
        <v>0.136</v>
      </c>
      <c r="O296" s="8" t="str">
        <f aca="false">IF(N($F296)+N($J296)&gt;0,"Serie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6" s="8" t="str">
        <f aca="false">IF(N($M296)&gt;0,"Chuva util informada pelo usuario","MIN(Chuva bruta x FATOR_CHUVA_UTIL ; LIMITE_CHUVA_UTIL_DIA)")</f>
        <v>MIN(Chuva bruta x FATOR_CHUVA_UTIL ; LIMITE_CHUVA_UTIL_DIA)</v>
      </c>
    </row>
    <row r="297" customFormat="false" ht="15" hidden="false" customHeight="false" outlineLevel="0" collapsed="false">
      <c r="B297" s="17" t="n">
        <v>46554</v>
      </c>
      <c r="C297" s="16" t="n">
        <v>42</v>
      </c>
      <c r="D297" s="8" t="s">
        <v>522</v>
      </c>
      <c r="E297" s="26" t="n">
        <v>4</v>
      </c>
      <c r="F297" s="26"/>
      <c r="G297" s="20" t="n">
        <f aca="false">IF(N($F297)&gt;0,$F297,IF(CENARIO_CLIMA="USUARIO",0,$E297))</f>
        <v>4</v>
      </c>
      <c r="H297" s="18" t="n">
        <f aca="false">SUMIFS($G$8:$G$469,$C$8:$C$469,$C297)</f>
        <v>28</v>
      </c>
      <c r="I297" s="26" t="n">
        <v>0.17</v>
      </c>
      <c r="J297" s="26"/>
      <c r="K297" s="20" t="n">
        <f aca="false">IF(N($J297)&gt;0,$J297,IF(CENARIO_CLIMA="USUARIO",0,$I297))</f>
        <v>0.17</v>
      </c>
      <c r="L297" s="20" t="n">
        <f aca="false">MIN($K297*FATOR_CHUVA_UTIL,LIMITE_CHUVA_UTIL_DIA)</f>
        <v>0.136</v>
      </c>
      <c r="M297" s="26"/>
      <c r="N297" s="20" t="n">
        <f aca="false">IF(N($M297)&gt;0,$M297,$L297)</f>
        <v>0.136</v>
      </c>
      <c r="O297" s="8" t="str">
        <f aca="false">IF(N($F297)+N($J297)&gt;0,"Serie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7" s="8" t="str">
        <f aca="false">IF(N($M297)&gt;0,"Chuva util informada pelo usuario","MIN(Chuva bruta x FATOR_CHUVA_UTIL ; LIMITE_CHUVA_UTIL_DIA)")</f>
        <v>MIN(Chuva bruta x FATOR_CHUVA_UTIL ; LIMITE_CHUVA_UTIL_DIA)</v>
      </c>
    </row>
    <row r="298" customFormat="false" ht="15" hidden="false" customHeight="false" outlineLevel="0" collapsed="false">
      <c r="B298" s="17" t="n">
        <v>46555</v>
      </c>
      <c r="C298" s="16" t="n">
        <v>42</v>
      </c>
      <c r="D298" s="8" t="s">
        <v>522</v>
      </c>
      <c r="E298" s="26" t="n">
        <v>4</v>
      </c>
      <c r="F298" s="26"/>
      <c r="G298" s="20" t="n">
        <f aca="false">IF(N($F298)&gt;0,$F298,IF(CENARIO_CLIMA="USUARIO",0,$E298))</f>
        <v>4</v>
      </c>
      <c r="H298" s="18" t="n">
        <f aca="false">SUMIFS($G$8:$G$469,$C$8:$C$469,$C298)</f>
        <v>28</v>
      </c>
      <c r="I298" s="26" t="n">
        <v>0.17</v>
      </c>
      <c r="J298" s="26"/>
      <c r="K298" s="20" t="n">
        <f aca="false">IF(N($J298)&gt;0,$J298,IF(CENARIO_CLIMA="USUARIO",0,$I298))</f>
        <v>0.17</v>
      </c>
      <c r="L298" s="20" t="n">
        <f aca="false">MIN($K298*FATOR_CHUVA_UTIL,LIMITE_CHUVA_UTIL_DIA)</f>
        <v>0.136</v>
      </c>
      <c r="M298" s="26"/>
      <c r="N298" s="20" t="n">
        <f aca="false">IF(N($M298)&gt;0,$M298,$L298)</f>
        <v>0.136</v>
      </c>
      <c r="O298" s="8" t="str">
        <f aca="false">IF(N($F298)+N($J298)&gt;0,"Serie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8" s="8" t="str">
        <f aca="false">IF(N($M298)&gt;0,"Chuva util informada pelo usuario","MIN(Chuva bruta x FATOR_CHUVA_UTIL ; LIMITE_CHUVA_UTIL_DIA)")</f>
        <v>MIN(Chuva bruta x FATOR_CHUVA_UTIL ; LIMITE_CHUVA_UTIL_DIA)</v>
      </c>
    </row>
    <row r="299" customFormat="false" ht="15" hidden="false" customHeight="false" outlineLevel="0" collapsed="false">
      <c r="B299" s="17" t="n">
        <v>46556</v>
      </c>
      <c r="C299" s="16" t="n">
        <v>42</v>
      </c>
      <c r="D299" s="8" t="s">
        <v>522</v>
      </c>
      <c r="E299" s="26" t="n">
        <v>4</v>
      </c>
      <c r="F299" s="26"/>
      <c r="G299" s="20" t="n">
        <f aca="false">IF(N($F299)&gt;0,$F299,IF(CENARIO_CLIMA="USUARIO",0,$E299))</f>
        <v>4</v>
      </c>
      <c r="H299" s="18" t="n">
        <f aca="false">SUMIFS($G$8:$G$469,$C$8:$C$469,$C299)</f>
        <v>28</v>
      </c>
      <c r="I299" s="26" t="n">
        <v>0.17</v>
      </c>
      <c r="J299" s="26"/>
      <c r="K299" s="20" t="n">
        <f aca="false">IF(N($J299)&gt;0,$J299,IF(CENARIO_CLIMA="USUARIO",0,$I299))</f>
        <v>0.17</v>
      </c>
      <c r="L299" s="20" t="n">
        <f aca="false">MIN($K299*FATOR_CHUVA_UTIL,LIMITE_CHUVA_UTIL_DIA)</f>
        <v>0.136</v>
      </c>
      <c r="M299" s="26"/>
      <c r="N299" s="20" t="n">
        <f aca="false">IF(N($M299)&gt;0,$M299,$L299)</f>
        <v>0.136</v>
      </c>
      <c r="O299" s="8" t="str">
        <f aca="false">IF(N($F299)+N($J299)&gt;0,"Serie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299" s="8" t="str">
        <f aca="false">IF(N($M299)&gt;0,"Chuva util informada pelo usuario","MIN(Chuva bruta x FATOR_CHUVA_UTIL ; LIMITE_CHUVA_UTIL_DIA)")</f>
        <v>MIN(Chuva bruta x FATOR_CHUVA_UTIL ; LIMITE_CHUVA_UTIL_DIA)</v>
      </c>
    </row>
    <row r="300" customFormat="false" ht="15" hidden="false" customHeight="false" outlineLevel="0" collapsed="false">
      <c r="B300" s="17" t="n">
        <v>46557</v>
      </c>
      <c r="C300" s="16" t="n">
        <v>42</v>
      </c>
      <c r="D300" s="8" t="s">
        <v>522</v>
      </c>
      <c r="E300" s="26" t="n">
        <v>4</v>
      </c>
      <c r="F300" s="26"/>
      <c r="G300" s="20" t="n">
        <f aca="false">IF(N($F300)&gt;0,$F300,IF(CENARIO_CLIMA="USUARIO",0,$E300))</f>
        <v>4</v>
      </c>
      <c r="H300" s="18" t="n">
        <f aca="false">SUMIFS($G$8:$G$469,$C$8:$C$469,$C300)</f>
        <v>28</v>
      </c>
      <c r="I300" s="26" t="n">
        <v>0.17</v>
      </c>
      <c r="J300" s="26"/>
      <c r="K300" s="20" t="n">
        <f aca="false">IF(N($J300)&gt;0,$J300,IF(CENARIO_CLIMA="USUARIO",0,$I300))</f>
        <v>0.17</v>
      </c>
      <c r="L300" s="20" t="n">
        <f aca="false">MIN($K300*FATOR_CHUVA_UTIL,LIMITE_CHUVA_UTIL_DIA)</f>
        <v>0.136</v>
      </c>
      <c r="M300" s="26"/>
      <c r="N300" s="20" t="n">
        <f aca="false">IF(N($M300)&gt;0,$M300,$L300)</f>
        <v>0.136</v>
      </c>
      <c r="O300" s="8" t="str">
        <f aca="false">IF(N($F300)+N($J300)&gt;0,"Serie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0" s="8" t="str">
        <f aca="false">IF(N($M300)&gt;0,"Chuva util informada pelo usuario","MIN(Chuva bruta x FATOR_CHUVA_UTIL ; LIMITE_CHUVA_UTIL_DIA)")</f>
        <v>MIN(Chuva bruta x FATOR_CHUVA_UTIL ; LIMITE_CHUVA_UTIL_DIA)</v>
      </c>
    </row>
    <row r="301" customFormat="false" ht="15" hidden="false" customHeight="false" outlineLevel="0" collapsed="false">
      <c r="B301" s="17" t="n">
        <v>46558</v>
      </c>
      <c r="C301" s="16" t="n">
        <v>42</v>
      </c>
      <c r="D301" s="8" t="s">
        <v>522</v>
      </c>
      <c r="E301" s="26" t="n">
        <v>4</v>
      </c>
      <c r="F301" s="26"/>
      <c r="G301" s="20" t="n">
        <f aca="false">IF(N($F301)&gt;0,$F301,IF(CENARIO_CLIMA="USUARIO",0,$E301))</f>
        <v>4</v>
      </c>
      <c r="H301" s="18" t="n">
        <f aca="false">SUMIFS($G$8:$G$469,$C$8:$C$469,$C301)</f>
        <v>28</v>
      </c>
      <c r="I301" s="26" t="n">
        <v>0.17</v>
      </c>
      <c r="J301" s="26"/>
      <c r="K301" s="20" t="n">
        <f aca="false">IF(N($J301)&gt;0,$J301,IF(CENARIO_CLIMA="USUARIO",0,$I301))</f>
        <v>0.17</v>
      </c>
      <c r="L301" s="20" t="n">
        <f aca="false">MIN($K301*FATOR_CHUVA_UTIL,LIMITE_CHUVA_UTIL_DIA)</f>
        <v>0.136</v>
      </c>
      <c r="M301" s="26"/>
      <c r="N301" s="20" t="n">
        <f aca="false">IF(N($M301)&gt;0,$M301,$L301)</f>
        <v>0.136</v>
      </c>
      <c r="O301" s="8" t="str">
        <f aca="false">IF(N($F301)+N($J301)&gt;0,"Serie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1" s="8" t="str">
        <f aca="false">IF(N($M301)&gt;0,"Chuva util informada pelo usuario","MIN(Chuva bruta x FATOR_CHUVA_UTIL ; LIMITE_CHUVA_UTIL_DIA)")</f>
        <v>MIN(Chuva bruta x FATOR_CHUVA_UTIL ; LIMITE_CHUVA_UTIL_DIA)</v>
      </c>
    </row>
    <row r="302" customFormat="false" ht="15" hidden="false" customHeight="false" outlineLevel="0" collapsed="false">
      <c r="B302" s="17" t="n">
        <v>46559</v>
      </c>
      <c r="C302" s="16" t="n">
        <v>43</v>
      </c>
      <c r="D302" s="8" t="s">
        <v>522</v>
      </c>
      <c r="E302" s="26" t="n">
        <v>4</v>
      </c>
      <c r="F302" s="26"/>
      <c r="G302" s="20" t="n">
        <f aca="false">IF(N($F302)&gt;0,$F302,IF(CENARIO_CLIMA="USUARIO",0,$E302))</f>
        <v>4</v>
      </c>
      <c r="H302" s="18" t="n">
        <f aca="false">SUMIFS($G$8:$G$469,$C$8:$C$469,$C302)</f>
        <v>28</v>
      </c>
      <c r="I302" s="26" t="n">
        <v>0.17</v>
      </c>
      <c r="J302" s="26"/>
      <c r="K302" s="20" t="n">
        <f aca="false">IF(N($J302)&gt;0,$J302,IF(CENARIO_CLIMA="USUARIO",0,$I302))</f>
        <v>0.17</v>
      </c>
      <c r="L302" s="20" t="n">
        <f aca="false">MIN($K302*FATOR_CHUVA_UTIL,LIMITE_CHUVA_UTIL_DIA)</f>
        <v>0.136</v>
      </c>
      <c r="M302" s="26"/>
      <c r="N302" s="20" t="n">
        <f aca="false">IF(N($M302)&gt;0,$M302,$L302)</f>
        <v>0.136</v>
      </c>
      <c r="O302" s="8" t="str">
        <f aca="false">IF(N($F302)+N($J302)&gt;0,"Serie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2" s="8" t="str">
        <f aca="false">IF(N($M302)&gt;0,"Chuva util informada pelo usuario","MIN(Chuva bruta x FATOR_CHUVA_UTIL ; LIMITE_CHUVA_UTIL_DIA)")</f>
        <v>MIN(Chuva bruta x FATOR_CHUVA_UTIL ; LIMITE_CHUVA_UTIL_DIA)</v>
      </c>
    </row>
    <row r="303" customFormat="false" ht="15" hidden="false" customHeight="false" outlineLevel="0" collapsed="false">
      <c r="B303" s="17" t="n">
        <v>46560</v>
      </c>
      <c r="C303" s="16" t="n">
        <v>43</v>
      </c>
      <c r="D303" s="8" t="s">
        <v>522</v>
      </c>
      <c r="E303" s="26" t="n">
        <v>4</v>
      </c>
      <c r="F303" s="26"/>
      <c r="G303" s="20" t="n">
        <f aca="false">IF(N($F303)&gt;0,$F303,IF(CENARIO_CLIMA="USUARIO",0,$E303))</f>
        <v>4</v>
      </c>
      <c r="H303" s="18" t="n">
        <f aca="false">SUMIFS($G$8:$G$469,$C$8:$C$469,$C303)</f>
        <v>28</v>
      </c>
      <c r="I303" s="26" t="n">
        <v>0.17</v>
      </c>
      <c r="J303" s="26"/>
      <c r="K303" s="20" t="n">
        <f aca="false">IF(N($J303)&gt;0,$J303,IF(CENARIO_CLIMA="USUARIO",0,$I303))</f>
        <v>0.17</v>
      </c>
      <c r="L303" s="20" t="n">
        <f aca="false">MIN($K303*FATOR_CHUVA_UTIL,LIMITE_CHUVA_UTIL_DIA)</f>
        <v>0.136</v>
      </c>
      <c r="M303" s="26"/>
      <c r="N303" s="20" t="n">
        <f aca="false">IF(N($M303)&gt;0,$M303,$L303)</f>
        <v>0.136</v>
      </c>
      <c r="O303" s="8" t="str">
        <f aca="false">IF(N($F303)+N($J303)&gt;0,"Serie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3" s="8" t="str">
        <f aca="false">IF(N($M303)&gt;0,"Chuva util informada pelo usuario","MIN(Chuva bruta x FATOR_CHUVA_UTIL ; LIMITE_CHUVA_UTIL_DIA)")</f>
        <v>MIN(Chuva bruta x FATOR_CHUVA_UTIL ; LIMITE_CHUVA_UTIL_DIA)</v>
      </c>
    </row>
    <row r="304" customFormat="false" ht="15" hidden="false" customHeight="false" outlineLevel="0" collapsed="false">
      <c r="B304" s="17" t="n">
        <v>46561</v>
      </c>
      <c r="C304" s="16" t="n">
        <v>43</v>
      </c>
      <c r="D304" s="8" t="s">
        <v>522</v>
      </c>
      <c r="E304" s="26" t="n">
        <v>4</v>
      </c>
      <c r="F304" s="26"/>
      <c r="G304" s="20" t="n">
        <f aca="false">IF(N($F304)&gt;0,$F304,IF(CENARIO_CLIMA="USUARIO",0,$E304))</f>
        <v>4</v>
      </c>
      <c r="H304" s="18" t="n">
        <f aca="false">SUMIFS($G$8:$G$469,$C$8:$C$469,$C304)</f>
        <v>28</v>
      </c>
      <c r="I304" s="26" t="n">
        <v>0.17</v>
      </c>
      <c r="J304" s="26"/>
      <c r="K304" s="20" t="n">
        <f aca="false">IF(N($J304)&gt;0,$J304,IF(CENARIO_CLIMA="USUARIO",0,$I304))</f>
        <v>0.17</v>
      </c>
      <c r="L304" s="20" t="n">
        <f aca="false">MIN($K304*FATOR_CHUVA_UTIL,LIMITE_CHUVA_UTIL_DIA)</f>
        <v>0.136</v>
      </c>
      <c r="M304" s="26"/>
      <c r="N304" s="20" t="n">
        <f aca="false">IF(N($M304)&gt;0,$M304,$L304)</f>
        <v>0.136</v>
      </c>
      <c r="O304" s="8" t="str">
        <f aca="false">IF(N($F304)+N($J304)&gt;0,"Serie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4" s="8" t="str">
        <f aca="false">IF(N($M304)&gt;0,"Chuva util informada pelo usuario","MIN(Chuva bruta x FATOR_CHUVA_UTIL ; LIMITE_CHUVA_UTIL_DIA)")</f>
        <v>MIN(Chuva bruta x FATOR_CHUVA_UTIL ; LIMITE_CHUVA_UTIL_DIA)</v>
      </c>
    </row>
    <row r="305" customFormat="false" ht="15" hidden="false" customHeight="false" outlineLevel="0" collapsed="false">
      <c r="B305" s="17" t="n">
        <v>46562</v>
      </c>
      <c r="C305" s="16" t="n">
        <v>43</v>
      </c>
      <c r="D305" s="8" t="s">
        <v>522</v>
      </c>
      <c r="E305" s="26" t="n">
        <v>4</v>
      </c>
      <c r="F305" s="26"/>
      <c r="G305" s="20" t="n">
        <f aca="false">IF(N($F305)&gt;0,$F305,IF(CENARIO_CLIMA="USUARIO",0,$E305))</f>
        <v>4</v>
      </c>
      <c r="H305" s="18" t="n">
        <f aca="false">SUMIFS($G$8:$G$469,$C$8:$C$469,$C305)</f>
        <v>28</v>
      </c>
      <c r="I305" s="26" t="n">
        <v>0.17</v>
      </c>
      <c r="J305" s="26"/>
      <c r="K305" s="20" t="n">
        <f aca="false">IF(N($J305)&gt;0,$J305,IF(CENARIO_CLIMA="USUARIO",0,$I305))</f>
        <v>0.17</v>
      </c>
      <c r="L305" s="20" t="n">
        <f aca="false">MIN($K305*FATOR_CHUVA_UTIL,LIMITE_CHUVA_UTIL_DIA)</f>
        <v>0.136</v>
      </c>
      <c r="M305" s="26"/>
      <c r="N305" s="20" t="n">
        <f aca="false">IF(N($M305)&gt;0,$M305,$L305)</f>
        <v>0.136</v>
      </c>
      <c r="O305" s="8" t="str">
        <f aca="false">IF(N($F305)+N($J305)&gt;0,"Serie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5" s="8" t="str">
        <f aca="false">IF(N($M305)&gt;0,"Chuva util informada pelo usuario","MIN(Chuva bruta x FATOR_CHUVA_UTIL ; LIMITE_CHUVA_UTIL_DIA)")</f>
        <v>MIN(Chuva bruta x FATOR_CHUVA_UTIL ; LIMITE_CHUVA_UTIL_DIA)</v>
      </c>
    </row>
    <row r="306" customFormat="false" ht="15" hidden="false" customHeight="false" outlineLevel="0" collapsed="false">
      <c r="B306" s="17" t="n">
        <v>46563</v>
      </c>
      <c r="C306" s="16" t="n">
        <v>43</v>
      </c>
      <c r="D306" s="8" t="s">
        <v>522</v>
      </c>
      <c r="E306" s="26" t="n">
        <v>4</v>
      </c>
      <c r="F306" s="26"/>
      <c r="G306" s="20" t="n">
        <f aca="false">IF(N($F306)&gt;0,$F306,IF(CENARIO_CLIMA="USUARIO",0,$E306))</f>
        <v>4</v>
      </c>
      <c r="H306" s="18" t="n">
        <f aca="false">SUMIFS($G$8:$G$469,$C$8:$C$469,$C306)</f>
        <v>28</v>
      </c>
      <c r="I306" s="26" t="n">
        <v>0.17</v>
      </c>
      <c r="J306" s="26"/>
      <c r="K306" s="20" t="n">
        <f aca="false">IF(N($J306)&gt;0,$J306,IF(CENARIO_CLIMA="USUARIO",0,$I306))</f>
        <v>0.17</v>
      </c>
      <c r="L306" s="20" t="n">
        <f aca="false">MIN($K306*FATOR_CHUVA_UTIL,LIMITE_CHUVA_UTIL_DIA)</f>
        <v>0.136</v>
      </c>
      <c r="M306" s="26"/>
      <c r="N306" s="20" t="n">
        <f aca="false">IF(N($M306)&gt;0,$M306,$L306)</f>
        <v>0.136</v>
      </c>
      <c r="O306" s="8" t="str">
        <f aca="false">IF(N($F306)+N($J306)&gt;0,"Serie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6" s="8" t="str">
        <f aca="false">IF(N($M306)&gt;0,"Chuva util informada pelo usuario","MIN(Chuva bruta x FATOR_CHUVA_UTIL ; LIMITE_CHUVA_UTIL_DIA)")</f>
        <v>MIN(Chuva bruta x FATOR_CHUVA_UTIL ; LIMITE_CHUVA_UTIL_DIA)</v>
      </c>
    </row>
    <row r="307" customFormat="false" ht="15" hidden="false" customHeight="false" outlineLevel="0" collapsed="false">
      <c r="B307" s="17" t="n">
        <v>46564</v>
      </c>
      <c r="C307" s="16" t="n">
        <v>43</v>
      </c>
      <c r="D307" s="8" t="s">
        <v>522</v>
      </c>
      <c r="E307" s="26" t="n">
        <v>4</v>
      </c>
      <c r="F307" s="26"/>
      <c r="G307" s="20" t="n">
        <f aca="false">IF(N($F307)&gt;0,$F307,IF(CENARIO_CLIMA="USUARIO",0,$E307))</f>
        <v>4</v>
      </c>
      <c r="H307" s="18" t="n">
        <f aca="false">SUMIFS($G$8:$G$469,$C$8:$C$469,$C307)</f>
        <v>28</v>
      </c>
      <c r="I307" s="26" t="n">
        <v>0.17</v>
      </c>
      <c r="J307" s="26"/>
      <c r="K307" s="20" t="n">
        <f aca="false">IF(N($J307)&gt;0,$J307,IF(CENARIO_CLIMA="USUARIO",0,$I307))</f>
        <v>0.17</v>
      </c>
      <c r="L307" s="20" t="n">
        <f aca="false">MIN($K307*FATOR_CHUVA_UTIL,LIMITE_CHUVA_UTIL_DIA)</f>
        <v>0.136</v>
      </c>
      <c r="M307" s="26"/>
      <c r="N307" s="20" t="n">
        <f aca="false">IF(N($M307)&gt;0,$M307,$L307)</f>
        <v>0.136</v>
      </c>
      <c r="O307" s="8" t="str">
        <f aca="false">IF(N($F307)+N($J307)&gt;0,"Serie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7" s="8" t="str">
        <f aca="false">IF(N($M307)&gt;0,"Chuva util informada pelo usuario","MIN(Chuva bruta x FATOR_CHUVA_UTIL ; LIMITE_CHUVA_UTIL_DIA)")</f>
        <v>MIN(Chuva bruta x FATOR_CHUVA_UTIL ; LIMITE_CHUVA_UTIL_DIA)</v>
      </c>
    </row>
    <row r="308" customFormat="false" ht="15" hidden="false" customHeight="false" outlineLevel="0" collapsed="false">
      <c r="B308" s="17" t="n">
        <v>46565</v>
      </c>
      <c r="C308" s="16" t="n">
        <v>43</v>
      </c>
      <c r="D308" s="8" t="s">
        <v>522</v>
      </c>
      <c r="E308" s="26" t="n">
        <v>4</v>
      </c>
      <c r="F308" s="26"/>
      <c r="G308" s="20" t="n">
        <f aca="false">IF(N($F308)&gt;0,$F308,IF(CENARIO_CLIMA="USUARIO",0,$E308))</f>
        <v>4</v>
      </c>
      <c r="H308" s="18" t="n">
        <f aca="false">SUMIFS($G$8:$G$469,$C$8:$C$469,$C308)</f>
        <v>28</v>
      </c>
      <c r="I308" s="26" t="n">
        <v>0.17</v>
      </c>
      <c r="J308" s="26"/>
      <c r="K308" s="20" t="n">
        <f aca="false">IF(N($J308)&gt;0,$J308,IF(CENARIO_CLIMA="USUARIO",0,$I308))</f>
        <v>0.17</v>
      </c>
      <c r="L308" s="20" t="n">
        <f aca="false">MIN($K308*FATOR_CHUVA_UTIL,LIMITE_CHUVA_UTIL_DIA)</f>
        <v>0.136</v>
      </c>
      <c r="M308" s="26"/>
      <c r="N308" s="20" t="n">
        <f aca="false">IF(N($M308)&gt;0,$M308,$L308)</f>
        <v>0.136</v>
      </c>
      <c r="O308" s="8" t="str">
        <f aca="false">IF(N($F308)+N($J308)&gt;0,"Serie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8" s="8" t="str">
        <f aca="false">IF(N($M308)&gt;0,"Chuva util informada pelo usuario","MIN(Chuva bruta x FATOR_CHUVA_UTIL ; LIMITE_CHUVA_UTIL_DIA)")</f>
        <v>MIN(Chuva bruta x FATOR_CHUVA_UTIL ; LIMITE_CHUVA_UTIL_DIA)</v>
      </c>
    </row>
    <row r="309" customFormat="false" ht="15" hidden="false" customHeight="false" outlineLevel="0" collapsed="false">
      <c r="B309" s="17" t="n">
        <v>46566</v>
      </c>
      <c r="C309" s="16" t="n">
        <v>44</v>
      </c>
      <c r="D309" s="8" t="s">
        <v>522</v>
      </c>
      <c r="E309" s="26" t="n">
        <v>4</v>
      </c>
      <c r="F309" s="26"/>
      <c r="G309" s="20" t="n">
        <f aca="false">IF(N($F309)&gt;0,$F309,IF(CENARIO_CLIMA="USUARIO",0,$E309))</f>
        <v>4</v>
      </c>
      <c r="H309" s="18" t="n">
        <f aca="false">SUMIFS($G$8:$G$469,$C$8:$C$469,$C309)</f>
        <v>29.2</v>
      </c>
      <c r="I309" s="26" t="n">
        <v>0.17</v>
      </c>
      <c r="J309" s="26"/>
      <c r="K309" s="20" t="n">
        <f aca="false">IF(N($J309)&gt;0,$J309,IF(CENARIO_CLIMA="USUARIO",0,$I309))</f>
        <v>0.17</v>
      </c>
      <c r="L309" s="20" t="n">
        <f aca="false">MIN($K309*FATOR_CHUVA_UTIL,LIMITE_CHUVA_UTIL_DIA)</f>
        <v>0.136</v>
      </c>
      <c r="M309" s="26"/>
      <c r="N309" s="20" t="n">
        <f aca="false">IF(N($M309)&gt;0,$M309,$L309)</f>
        <v>0.136</v>
      </c>
      <c r="O309" s="8" t="str">
        <f aca="false">IF(N($F309)+N($J309)&gt;0,"Serie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09" s="8" t="str">
        <f aca="false">IF(N($M309)&gt;0,"Chuva util informada pelo usuario","MIN(Chuva bruta x FATOR_CHUVA_UTIL ; LIMITE_CHUVA_UTIL_DIA)")</f>
        <v>MIN(Chuva bruta x FATOR_CHUVA_UTIL ; LIMITE_CHUVA_UTIL_DIA)</v>
      </c>
    </row>
    <row r="310" customFormat="false" ht="15" hidden="false" customHeight="false" outlineLevel="0" collapsed="false">
      <c r="B310" s="17" t="n">
        <v>46567</v>
      </c>
      <c r="C310" s="16" t="n">
        <v>44</v>
      </c>
      <c r="D310" s="8" t="s">
        <v>522</v>
      </c>
      <c r="E310" s="26" t="n">
        <v>4</v>
      </c>
      <c r="F310" s="26"/>
      <c r="G310" s="20" t="n">
        <f aca="false">IF(N($F310)&gt;0,$F310,IF(CENARIO_CLIMA="USUARIO",0,$E310))</f>
        <v>4</v>
      </c>
      <c r="H310" s="18" t="n">
        <f aca="false">SUMIFS($G$8:$G$469,$C$8:$C$469,$C310)</f>
        <v>29.2</v>
      </c>
      <c r="I310" s="26" t="n">
        <v>0.17</v>
      </c>
      <c r="J310" s="26"/>
      <c r="K310" s="20" t="n">
        <f aca="false">IF(N($J310)&gt;0,$J310,IF(CENARIO_CLIMA="USUARIO",0,$I310))</f>
        <v>0.17</v>
      </c>
      <c r="L310" s="20" t="n">
        <f aca="false">MIN($K310*FATOR_CHUVA_UTIL,LIMITE_CHUVA_UTIL_DIA)</f>
        <v>0.136</v>
      </c>
      <c r="M310" s="26"/>
      <c r="N310" s="20" t="n">
        <f aca="false">IF(N($M310)&gt;0,$M310,$L310)</f>
        <v>0.136</v>
      </c>
      <c r="O310" s="8" t="str">
        <f aca="false">IF(N($F310)+N($J310)&gt;0,"Serie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0" s="8" t="str">
        <f aca="false">IF(N($M310)&gt;0,"Chuva util informada pelo usuario","MIN(Chuva bruta x FATOR_CHUVA_UTIL ; LIMITE_CHUVA_UTIL_DIA)")</f>
        <v>MIN(Chuva bruta x FATOR_CHUVA_UTIL ; LIMITE_CHUVA_UTIL_DIA)</v>
      </c>
    </row>
    <row r="311" customFormat="false" ht="15" hidden="false" customHeight="false" outlineLevel="0" collapsed="false">
      <c r="B311" s="17" t="n">
        <v>46568</v>
      </c>
      <c r="C311" s="16" t="n">
        <v>44</v>
      </c>
      <c r="D311" s="8" t="s">
        <v>522</v>
      </c>
      <c r="E311" s="26" t="n">
        <v>4</v>
      </c>
      <c r="F311" s="26"/>
      <c r="G311" s="20" t="n">
        <f aca="false">IF(N($F311)&gt;0,$F311,IF(CENARIO_CLIMA="USUARIO",0,$E311))</f>
        <v>4</v>
      </c>
      <c r="H311" s="18" t="n">
        <f aca="false">SUMIFS($G$8:$G$469,$C$8:$C$469,$C311)</f>
        <v>29.2</v>
      </c>
      <c r="I311" s="26" t="n">
        <v>0.17</v>
      </c>
      <c r="J311" s="26"/>
      <c r="K311" s="20" t="n">
        <f aca="false">IF(N($J311)&gt;0,$J311,IF(CENARIO_CLIMA="USUARIO",0,$I311))</f>
        <v>0.17</v>
      </c>
      <c r="L311" s="20" t="n">
        <f aca="false">MIN($K311*FATOR_CHUVA_UTIL,LIMITE_CHUVA_UTIL_DIA)</f>
        <v>0.136</v>
      </c>
      <c r="M311" s="26"/>
      <c r="N311" s="20" t="n">
        <f aca="false">IF(N($M311)&gt;0,$M311,$L311)</f>
        <v>0.136</v>
      </c>
      <c r="O311" s="8" t="str">
        <f aca="false">IF(N($F311)+N($J311)&gt;0,"Serie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1" s="8" t="str">
        <f aca="false">IF(N($M311)&gt;0,"Chuva util informada pelo usuario","MIN(Chuva bruta x FATOR_CHUVA_UTIL ; LIMITE_CHUVA_UTIL_DIA)")</f>
        <v>MIN(Chuva bruta x FATOR_CHUVA_UTIL ; LIMITE_CHUVA_UTIL_DIA)</v>
      </c>
    </row>
    <row r="312" customFormat="false" ht="15" hidden="false" customHeight="false" outlineLevel="0" collapsed="false">
      <c r="B312" s="17" t="n">
        <v>46569</v>
      </c>
      <c r="C312" s="16" t="n">
        <v>44</v>
      </c>
      <c r="D312" s="8" t="s">
        <v>523</v>
      </c>
      <c r="E312" s="26" t="n">
        <v>4.3</v>
      </c>
      <c r="F312" s="26"/>
      <c r="G312" s="20" t="n">
        <f aca="false">IF(N($F312)&gt;0,$F312,IF(CENARIO_CLIMA="USUARIO",0,$E312))</f>
        <v>4.3</v>
      </c>
      <c r="H312" s="18" t="n">
        <f aca="false">SUMIFS($G$8:$G$469,$C$8:$C$469,$C312)</f>
        <v>29.2</v>
      </c>
      <c r="I312" s="26" t="n">
        <v>0.1</v>
      </c>
      <c r="J312" s="26"/>
      <c r="K312" s="20" t="n">
        <f aca="false">IF(N($J312)&gt;0,$J312,IF(CENARIO_CLIMA="USUARIO",0,$I312))</f>
        <v>0.1</v>
      </c>
      <c r="L312" s="20" t="n">
        <f aca="false">MIN($K312*FATOR_CHUVA_UTIL,LIMITE_CHUVA_UTIL_DIA)</f>
        <v>0.08</v>
      </c>
      <c r="M312" s="26"/>
      <c r="N312" s="20" t="n">
        <f aca="false">IF(N($M312)&gt;0,$M312,$L312)</f>
        <v>0.08</v>
      </c>
      <c r="O312" s="8" t="str">
        <f aca="false">IF(N($F312)+N($J312)&gt;0,"Serie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2" s="8" t="str">
        <f aca="false">IF(N($M312)&gt;0,"Chuva util informada pelo usuario","MIN(Chuva bruta x FATOR_CHUVA_UTIL ; LIMITE_CHUVA_UTIL_DIA)")</f>
        <v>MIN(Chuva bruta x FATOR_CHUVA_UTIL ; LIMITE_CHUVA_UTIL_DIA)</v>
      </c>
    </row>
    <row r="313" customFormat="false" ht="15" hidden="false" customHeight="false" outlineLevel="0" collapsed="false">
      <c r="B313" s="17" t="n">
        <v>46570</v>
      </c>
      <c r="C313" s="16" t="n">
        <v>44</v>
      </c>
      <c r="D313" s="8" t="s">
        <v>523</v>
      </c>
      <c r="E313" s="26" t="n">
        <v>4.3</v>
      </c>
      <c r="F313" s="26"/>
      <c r="G313" s="20" t="n">
        <f aca="false">IF(N($F313)&gt;0,$F313,IF(CENARIO_CLIMA="USUARIO",0,$E313))</f>
        <v>4.3</v>
      </c>
      <c r="H313" s="18" t="n">
        <f aca="false">SUMIFS($G$8:$G$469,$C$8:$C$469,$C313)</f>
        <v>29.2</v>
      </c>
      <c r="I313" s="26" t="n">
        <v>0.1</v>
      </c>
      <c r="J313" s="26"/>
      <c r="K313" s="20" t="n">
        <f aca="false">IF(N($J313)&gt;0,$J313,IF(CENARIO_CLIMA="USUARIO",0,$I313))</f>
        <v>0.1</v>
      </c>
      <c r="L313" s="20" t="n">
        <f aca="false">MIN($K313*FATOR_CHUVA_UTIL,LIMITE_CHUVA_UTIL_DIA)</f>
        <v>0.08</v>
      </c>
      <c r="M313" s="26"/>
      <c r="N313" s="20" t="n">
        <f aca="false">IF(N($M313)&gt;0,$M313,$L313)</f>
        <v>0.08</v>
      </c>
      <c r="O313" s="8" t="str">
        <f aca="false">IF(N($F313)+N($J313)&gt;0,"Serie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3" s="8" t="str">
        <f aca="false">IF(N($M313)&gt;0,"Chuva util informada pelo usuario","MIN(Chuva bruta x FATOR_CHUVA_UTIL ; LIMITE_CHUVA_UTIL_DIA)")</f>
        <v>MIN(Chuva bruta x FATOR_CHUVA_UTIL ; LIMITE_CHUVA_UTIL_DIA)</v>
      </c>
    </row>
    <row r="314" customFormat="false" ht="15" hidden="false" customHeight="false" outlineLevel="0" collapsed="false">
      <c r="B314" s="17" t="n">
        <v>46571</v>
      </c>
      <c r="C314" s="16" t="n">
        <v>44</v>
      </c>
      <c r="D314" s="8" t="s">
        <v>523</v>
      </c>
      <c r="E314" s="26" t="n">
        <v>4.3</v>
      </c>
      <c r="F314" s="26"/>
      <c r="G314" s="20" t="n">
        <f aca="false">IF(N($F314)&gt;0,$F314,IF(CENARIO_CLIMA="USUARIO",0,$E314))</f>
        <v>4.3</v>
      </c>
      <c r="H314" s="18" t="n">
        <f aca="false">SUMIFS($G$8:$G$469,$C$8:$C$469,$C314)</f>
        <v>29.2</v>
      </c>
      <c r="I314" s="26" t="n">
        <v>0.1</v>
      </c>
      <c r="J314" s="26"/>
      <c r="K314" s="20" t="n">
        <f aca="false">IF(N($J314)&gt;0,$J314,IF(CENARIO_CLIMA="USUARIO",0,$I314))</f>
        <v>0.1</v>
      </c>
      <c r="L314" s="20" t="n">
        <f aca="false">MIN($K314*FATOR_CHUVA_UTIL,LIMITE_CHUVA_UTIL_DIA)</f>
        <v>0.08</v>
      </c>
      <c r="M314" s="26"/>
      <c r="N314" s="20" t="n">
        <f aca="false">IF(N($M314)&gt;0,$M314,$L314)</f>
        <v>0.08</v>
      </c>
      <c r="O314" s="8" t="str">
        <f aca="false">IF(N($F314)+N($J314)&gt;0,"Serie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4" s="8" t="str">
        <f aca="false">IF(N($M314)&gt;0,"Chuva util informada pelo usuario","MIN(Chuva bruta x FATOR_CHUVA_UTIL ; LIMITE_CHUVA_UTIL_DIA)")</f>
        <v>MIN(Chuva bruta x FATOR_CHUVA_UTIL ; LIMITE_CHUVA_UTIL_DIA)</v>
      </c>
    </row>
    <row r="315" customFormat="false" ht="15" hidden="false" customHeight="false" outlineLevel="0" collapsed="false">
      <c r="B315" s="17" t="n">
        <v>46572</v>
      </c>
      <c r="C315" s="16" t="n">
        <v>44</v>
      </c>
      <c r="D315" s="8" t="s">
        <v>523</v>
      </c>
      <c r="E315" s="26" t="n">
        <v>4.3</v>
      </c>
      <c r="F315" s="26"/>
      <c r="G315" s="20" t="n">
        <f aca="false">IF(N($F315)&gt;0,$F315,IF(CENARIO_CLIMA="USUARIO",0,$E315))</f>
        <v>4.3</v>
      </c>
      <c r="H315" s="18" t="n">
        <f aca="false">SUMIFS($G$8:$G$469,$C$8:$C$469,$C315)</f>
        <v>29.2</v>
      </c>
      <c r="I315" s="26" t="n">
        <v>0.1</v>
      </c>
      <c r="J315" s="26"/>
      <c r="K315" s="20" t="n">
        <f aca="false">IF(N($J315)&gt;0,$J315,IF(CENARIO_CLIMA="USUARIO",0,$I315))</f>
        <v>0.1</v>
      </c>
      <c r="L315" s="20" t="n">
        <f aca="false">MIN($K315*FATOR_CHUVA_UTIL,LIMITE_CHUVA_UTIL_DIA)</f>
        <v>0.08</v>
      </c>
      <c r="M315" s="26"/>
      <c r="N315" s="20" t="n">
        <f aca="false">IF(N($M315)&gt;0,$M315,$L315)</f>
        <v>0.08</v>
      </c>
      <c r="O315" s="8" t="str">
        <f aca="false">IF(N($F315)+N($J315)&gt;0,"Serie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5" s="8" t="str">
        <f aca="false">IF(N($M315)&gt;0,"Chuva util informada pelo usuario","MIN(Chuva bruta x FATOR_CHUVA_UTIL ; LIMITE_CHUVA_UTIL_DIA)")</f>
        <v>MIN(Chuva bruta x FATOR_CHUVA_UTIL ; LIMITE_CHUVA_UTIL_DIA)</v>
      </c>
    </row>
    <row r="316" customFormat="false" ht="15" hidden="false" customHeight="false" outlineLevel="0" collapsed="false">
      <c r="B316" s="17" t="n">
        <v>46573</v>
      </c>
      <c r="C316" s="16" t="n">
        <v>45</v>
      </c>
      <c r="D316" s="8" t="s">
        <v>523</v>
      </c>
      <c r="E316" s="26" t="n">
        <v>4.3</v>
      </c>
      <c r="F316" s="26"/>
      <c r="G316" s="20" t="n">
        <f aca="false">IF(N($F316)&gt;0,$F316,IF(CENARIO_CLIMA="USUARIO",0,$E316))</f>
        <v>4.3</v>
      </c>
      <c r="H316" s="18" t="n">
        <f aca="false">SUMIFS($G$8:$G$469,$C$8:$C$469,$C316)</f>
        <v>30.1</v>
      </c>
      <c r="I316" s="26" t="n">
        <v>0.1</v>
      </c>
      <c r="J316" s="26"/>
      <c r="K316" s="20" t="n">
        <f aca="false">IF(N($J316)&gt;0,$J316,IF(CENARIO_CLIMA="USUARIO",0,$I316))</f>
        <v>0.1</v>
      </c>
      <c r="L316" s="20" t="n">
        <f aca="false">MIN($K316*FATOR_CHUVA_UTIL,LIMITE_CHUVA_UTIL_DIA)</f>
        <v>0.08</v>
      </c>
      <c r="M316" s="26"/>
      <c r="N316" s="20" t="n">
        <f aca="false">IF(N($M316)&gt;0,$M316,$L316)</f>
        <v>0.08</v>
      </c>
      <c r="O316" s="8" t="str">
        <f aca="false">IF(N($F316)+N($J316)&gt;0,"Serie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6" s="8" t="str">
        <f aca="false">IF(N($M316)&gt;0,"Chuva util informada pelo usuario","MIN(Chuva bruta x FATOR_CHUVA_UTIL ; LIMITE_CHUVA_UTIL_DIA)")</f>
        <v>MIN(Chuva bruta x FATOR_CHUVA_UTIL ; LIMITE_CHUVA_UTIL_DIA)</v>
      </c>
    </row>
    <row r="317" customFormat="false" ht="15" hidden="false" customHeight="false" outlineLevel="0" collapsed="false">
      <c r="B317" s="17" t="n">
        <v>46574</v>
      </c>
      <c r="C317" s="16" t="n">
        <v>45</v>
      </c>
      <c r="D317" s="8" t="s">
        <v>523</v>
      </c>
      <c r="E317" s="26" t="n">
        <v>4.3</v>
      </c>
      <c r="F317" s="26"/>
      <c r="G317" s="20" t="n">
        <f aca="false">IF(N($F317)&gt;0,$F317,IF(CENARIO_CLIMA="USUARIO",0,$E317))</f>
        <v>4.3</v>
      </c>
      <c r="H317" s="18" t="n">
        <f aca="false">SUMIFS($G$8:$G$469,$C$8:$C$469,$C317)</f>
        <v>30.1</v>
      </c>
      <c r="I317" s="26" t="n">
        <v>0.1</v>
      </c>
      <c r="J317" s="26"/>
      <c r="K317" s="20" t="n">
        <f aca="false">IF(N($J317)&gt;0,$J317,IF(CENARIO_CLIMA="USUARIO",0,$I317))</f>
        <v>0.1</v>
      </c>
      <c r="L317" s="20" t="n">
        <f aca="false">MIN($K317*FATOR_CHUVA_UTIL,LIMITE_CHUVA_UTIL_DIA)</f>
        <v>0.08</v>
      </c>
      <c r="M317" s="26"/>
      <c r="N317" s="20" t="n">
        <f aca="false">IF(N($M317)&gt;0,$M317,$L317)</f>
        <v>0.08</v>
      </c>
      <c r="O317" s="8" t="str">
        <f aca="false">IF(N($F317)+N($J317)&gt;0,"Serie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7" s="8" t="str">
        <f aca="false">IF(N($M317)&gt;0,"Chuva util informada pelo usuario","MIN(Chuva bruta x FATOR_CHUVA_UTIL ; LIMITE_CHUVA_UTIL_DIA)")</f>
        <v>MIN(Chuva bruta x FATOR_CHUVA_UTIL ; LIMITE_CHUVA_UTIL_DIA)</v>
      </c>
    </row>
    <row r="318" customFormat="false" ht="15" hidden="false" customHeight="false" outlineLevel="0" collapsed="false">
      <c r="B318" s="17" t="n">
        <v>46575</v>
      </c>
      <c r="C318" s="16" t="n">
        <v>45</v>
      </c>
      <c r="D318" s="8" t="s">
        <v>523</v>
      </c>
      <c r="E318" s="26" t="n">
        <v>4.3</v>
      </c>
      <c r="F318" s="26"/>
      <c r="G318" s="20" t="n">
        <f aca="false">IF(N($F318)&gt;0,$F318,IF(CENARIO_CLIMA="USUARIO",0,$E318))</f>
        <v>4.3</v>
      </c>
      <c r="H318" s="18" t="n">
        <f aca="false">SUMIFS($G$8:$G$469,$C$8:$C$469,$C318)</f>
        <v>30.1</v>
      </c>
      <c r="I318" s="26" t="n">
        <v>0.1</v>
      </c>
      <c r="J318" s="26"/>
      <c r="K318" s="20" t="n">
        <f aca="false">IF(N($J318)&gt;0,$J318,IF(CENARIO_CLIMA="USUARIO",0,$I318))</f>
        <v>0.1</v>
      </c>
      <c r="L318" s="20" t="n">
        <f aca="false">MIN($K318*FATOR_CHUVA_UTIL,LIMITE_CHUVA_UTIL_DIA)</f>
        <v>0.08</v>
      </c>
      <c r="M318" s="26"/>
      <c r="N318" s="20" t="n">
        <f aca="false">IF(N($M318)&gt;0,$M318,$L318)</f>
        <v>0.08</v>
      </c>
      <c r="O318" s="8" t="str">
        <f aca="false">IF(N($F318)+N($J318)&gt;0,"Serie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8" s="8" t="str">
        <f aca="false">IF(N($M318)&gt;0,"Chuva util informada pelo usuario","MIN(Chuva bruta x FATOR_CHUVA_UTIL ; LIMITE_CHUVA_UTIL_DIA)")</f>
        <v>MIN(Chuva bruta x FATOR_CHUVA_UTIL ; LIMITE_CHUVA_UTIL_DIA)</v>
      </c>
    </row>
    <row r="319" customFormat="false" ht="15" hidden="false" customHeight="false" outlineLevel="0" collapsed="false">
      <c r="B319" s="17" t="n">
        <v>46576</v>
      </c>
      <c r="C319" s="16" t="n">
        <v>45</v>
      </c>
      <c r="D319" s="8" t="s">
        <v>523</v>
      </c>
      <c r="E319" s="26" t="n">
        <v>4.3</v>
      </c>
      <c r="F319" s="26"/>
      <c r="G319" s="20" t="n">
        <f aca="false">IF(N($F319)&gt;0,$F319,IF(CENARIO_CLIMA="USUARIO",0,$E319))</f>
        <v>4.3</v>
      </c>
      <c r="H319" s="18" t="n">
        <f aca="false">SUMIFS($G$8:$G$469,$C$8:$C$469,$C319)</f>
        <v>30.1</v>
      </c>
      <c r="I319" s="26" t="n">
        <v>0.1</v>
      </c>
      <c r="J319" s="26"/>
      <c r="K319" s="20" t="n">
        <f aca="false">IF(N($J319)&gt;0,$J319,IF(CENARIO_CLIMA="USUARIO",0,$I319))</f>
        <v>0.1</v>
      </c>
      <c r="L319" s="20" t="n">
        <f aca="false">MIN($K319*FATOR_CHUVA_UTIL,LIMITE_CHUVA_UTIL_DIA)</f>
        <v>0.08</v>
      </c>
      <c r="M319" s="26"/>
      <c r="N319" s="20" t="n">
        <f aca="false">IF(N($M319)&gt;0,$M319,$L319)</f>
        <v>0.08</v>
      </c>
      <c r="O319" s="8" t="str">
        <f aca="false">IF(N($F319)+N($J319)&gt;0,"Serie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19" s="8" t="str">
        <f aca="false">IF(N($M319)&gt;0,"Chuva util informada pelo usuario","MIN(Chuva bruta x FATOR_CHUVA_UTIL ; LIMITE_CHUVA_UTIL_DIA)")</f>
        <v>MIN(Chuva bruta x FATOR_CHUVA_UTIL ; LIMITE_CHUVA_UTIL_DIA)</v>
      </c>
    </row>
    <row r="320" customFormat="false" ht="15" hidden="false" customHeight="false" outlineLevel="0" collapsed="false">
      <c r="B320" s="17" t="n">
        <v>46577</v>
      </c>
      <c r="C320" s="16" t="n">
        <v>45</v>
      </c>
      <c r="D320" s="8" t="s">
        <v>523</v>
      </c>
      <c r="E320" s="26" t="n">
        <v>4.3</v>
      </c>
      <c r="F320" s="26"/>
      <c r="G320" s="20" t="n">
        <f aca="false">IF(N($F320)&gt;0,$F320,IF(CENARIO_CLIMA="USUARIO",0,$E320))</f>
        <v>4.3</v>
      </c>
      <c r="H320" s="18" t="n">
        <f aca="false">SUMIFS($G$8:$G$469,$C$8:$C$469,$C320)</f>
        <v>30.1</v>
      </c>
      <c r="I320" s="26" t="n">
        <v>0.1</v>
      </c>
      <c r="J320" s="26"/>
      <c r="K320" s="20" t="n">
        <f aca="false">IF(N($J320)&gt;0,$J320,IF(CENARIO_CLIMA="USUARIO",0,$I320))</f>
        <v>0.1</v>
      </c>
      <c r="L320" s="20" t="n">
        <f aca="false">MIN($K320*FATOR_CHUVA_UTIL,LIMITE_CHUVA_UTIL_DIA)</f>
        <v>0.08</v>
      </c>
      <c r="M320" s="26"/>
      <c r="N320" s="20" t="n">
        <f aca="false">IF(N($M320)&gt;0,$M320,$L320)</f>
        <v>0.08</v>
      </c>
      <c r="O320" s="8" t="str">
        <f aca="false">IF(N($F320)+N($J320)&gt;0,"Serie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0" s="8" t="str">
        <f aca="false">IF(N($M320)&gt;0,"Chuva util informada pelo usuario","MIN(Chuva bruta x FATOR_CHUVA_UTIL ; LIMITE_CHUVA_UTIL_DIA)")</f>
        <v>MIN(Chuva bruta x FATOR_CHUVA_UTIL ; LIMITE_CHUVA_UTIL_DIA)</v>
      </c>
    </row>
    <row r="321" customFormat="false" ht="15" hidden="false" customHeight="false" outlineLevel="0" collapsed="false">
      <c r="B321" s="17" t="n">
        <v>46578</v>
      </c>
      <c r="C321" s="16" t="n">
        <v>45</v>
      </c>
      <c r="D321" s="8" t="s">
        <v>523</v>
      </c>
      <c r="E321" s="26" t="n">
        <v>4.3</v>
      </c>
      <c r="F321" s="26"/>
      <c r="G321" s="20" t="n">
        <f aca="false">IF(N($F321)&gt;0,$F321,IF(CENARIO_CLIMA="USUARIO",0,$E321))</f>
        <v>4.3</v>
      </c>
      <c r="H321" s="18" t="n">
        <f aca="false">SUMIFS($G$8:$G$469,$C$8:$C$469,$C321)</f>
        <v>30.1</v>
      </c>
      <c r="I321" s="26" t="n">
        <v>0.1</v>
      </c>
      <c r="J321" s="26"/>
      <c r="K321" s="20" t="n">
        <f aca="false">IF(N($J321)&gt;0,$J321,IF(CENARIO_CLIMA="USUARIO",0,$I321))</f>
        <v>0.1</v>
      </c>
      <c r="L321" s="20" t="n">
        <f aca="false">MIN($K321*FATOR_CHUVA_UTIL,LIMITE_CHUVA_UTIL_DIA)</f>
        <v>0.08</v>
      </c>
      <c r="M321" s="26"/>
      <c r="N321" s="20" t="n">
        <f aca="false">IF(N($M321)&gt;0,$M321,$L321)</f>
        <v>0.08</v>
      </c>
      <c r="O321" s="8" t="str">
        <f aca="false">IF(N($F321)+N($J321)&gt;0,"Serie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1" s="8" t="str">
        <f aca="false">IF(N($M321)&gt;0,"Chuva util informada pelo usuario","MIN(Chuva bruta x FATOR_CHUVA_UTIL ; LIMITE_CHUVA_UTIL_DIA)")</f>
        <v>MIN(Chuva bruta x FATOR_CHUVA_UTIL ; LIMITE_CHUVA_UTIL_DIA)</v>
      </c>
    </row>
    <row r="322" customFormat="false" ht="15" hidden="false" customHeight="false" outlineLevel="0" collapsed="false">
      <c r="B322" s="17" t="n">
        <v>46579</v>
      </c>
      <c r="C322" s="16" t="n">
        <v>45</v>
      </c>
      <c r="D322" s="8" t="s">
        <v>523</v>
      </c>
      <c r="E322" s="26" t="n">
        <v>4.3</v>
      </c>
      <c r="F322" s="26"/>
      <c r="G322" s="20" t="n">
        <f aca="false">IF(N($F322)&gt;0,$F322,IF(CENARIO_CLIMA="USUARIO",0,$E322))</f>
        <v>4.3</v>
      </c>
      <c r="H322" s="18" t="n">
        <f aca="false">SUMIFS($G$8:$G$469,$C$8:$C$469,$C322)</f>
        <v>30.1</v>
      </c>
      <c r="I322" s="26" t="n">
        <v>0.1</v>
      </c>
      <c r="J322" s="26"/>
      <c r="K322" s="20" t="n">
        <f aca="false">IF(N($J322)&gt;0,$J322,IF(CENARIO_CLIMA="USUARIO",0,$I322))</f>
        <v>0.1</v>
      </c>
      <c r="L322" s="20" t="n">
        <f aca="false">MIN($K322*FATOR_CHUVA_UTIL,LIMITE_CHUVA_UTIL_DIA)</f>
        <v>0.08</v>
      </c>
      <c r="M322" s="26"/>
      <c r="N322" s="20" t="n">
        <f aca="false">IF(N($M322)&gt;0,$M322,$L322)</f>
        <v>0.08</v>
      </c>
      <c r="O322" s="8" t="str">
        <f aca="false">IF(N($F322)+N($J322)&gt;0,"Serie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2" s="8" t="str">
        <f aca="false">IF(N($M322)&gt;0,"Chuva util informada pelo usuario","MIN(Chuva bruta x FATOR_CHUVA_UTIL ; LIMITE_CHUVA_UTIL_DIA)")</f>
        <v>MIN(Chuva bruta x FATOR_CHUVA_UTIL ; LIMITE_CHUVA_UTIL_DIA)</v>
      </c>
    </row>
    <row r="323" customFormat="false" ht="15" hidden="false" customHeight="false" outlineLevel="0" collapsed="false">
      <c r="B323" s="17" t="n">
        <v>46580</v>
      </c>
      <c r="C323" s="16" t="n">
        <v>46</v>
      </c>
      <c r="D323" s="8" t="s">
        <v>523</v>
      </c>
      <c r="E323" s="26" t="n">
        <v>4.3</v>
      </c>
      <c r="F323" s="26"/>
      <c r="G323" s="20" t="n">
        <f aca="false">IF(N($F323)&gt;0,$F323,IF(CENARIO_CLIMA="USUARIO",0,$E323))</f>
        <v>4.3</v>
      </c>
      <c r="H323" s="18" t="n">
        <f aca="false">SUMIFS($G$8:$G$469,$C$8:$C$469,$C323)</f>
        <v>30.1</v>
      </c>
      <c r="I323" s="26" t="n">
        <v>0.1</v>
      </c>
      <c r="J323" s="26"/>
      <c r="K323" s="20" t="n">
        <f aca="false">IF(N($J323)&gt;0,$J323,IF(CENARIO_CLIMA="USUARIO",0,$I323))</f>
        <v>0.1</v>
      </c>
      <c r="L323" s="20" t="n">
        <f aca="false">MIN($K323*FATOR_CHUVA_UTIL,LIMITE_CHUVA_UTIL_DIA)</f>
        <v>0.08</v>
      </c>
      <c r="M323" s="26"/>
      <c r="N323" s="20" t="n">
        <f aca="false">IF(N($M323)&gt;0,$M323,$L323)</f>
        <v>0.08</v>
      </c>
      <c r="O323" s="8" t="str">
        <f aca="false">IF(N($F323)+N($J323)&gt;0,"Serie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3" s="8" t="str">
        <f aca="false">IF(N($M323)&gt;0,"Chuva util informada pelo usuario","MIN(Chuva bruta x FATOR_CHUVA_UTIL ; LIMITE_CHUVA_UTIL_DIA)")</f>
        <v>MIN(Chuva bruta x FATOR_CHUVA_UTIL ; LIMITE_CHUVA_UTIL_DIA)</v>
      </c>
    </row>
    <row r="324" customFormat="false" ht="15" hidden="false" customHeight="false" outlineLevel="0" collapsed="false">
      <c r="B324" s="17" t="n">
        <v>46581</v>
      </c>
      <c r="C324" s="16" t="n">
        <v>46</v>
      </c>
      <c r="D324" s="8" t="s">
        <v>523</v>
      </c>
      <c r="E324" s="26" t="n">
        <v>4.3</v>
      </c>
      <c r="F324" s="26"/>
      <c r="G324" s="20" t="n">
        <f aca="false">IF(N($F324)&gt;0,$F324,IF(CENARIO_CLIMA="USUARIO",0,$E324))</f>
        <v>4.3</v>
      </c>
      <c r="H324" s="18" t="n">
        <f aca="false">SUMIFS($G$8:$G$469,$C$8:$C$469,$C324)</f>
        <v>30.1</v>
      </c>
      <c r="I324" s="26" t="n">
        <v>0.1</v>
      </c>
      <c r="J324" s="26"/>
      <c r="K324" s="20" t="n">
        <f aca="false">IF(N($J324)&gt;0,$J324,IF(CENARIO_CLIMA="USUARIO",0,$I324))</f>
        <v>0.1</v>
      </c>
      <c r="L324" s="20" t="n">
        <f aca="false">MIN($K324*FATOR_CHUVA_UTIL,LIMITE_CHUVA_UTIL_DIA)</f>
        <v>0.08</v>
      </c>
      <c r="M324" s="26"/>
      <c r="N324" s="20" t="n">
        <f aca="false">IF(N($M324)&gt;0,$M324,$L324)</f>
        <v>0.08</v>
      </c>
      <c r="O324" s="8" t="str">
        <f aca="false">IF(N($F324)+N($J324)&gt;0,"Serie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4" s="8" t="str">
        <f aca="false">IF(N($M324)&gt;0,"Chuva util informada pelo usuario","MIN(Chuva bruta x FATOR_CHUVA_UTIL ; LIMITE_CHUVA_UTIL_DIA)")</f>
        <v>MIN(Chuva bruta x FATOR_CHUVA_UTIL ; LIMITE_CHUVA_UTIL_DIA)</v>
      </c>
    </row>
    <row r="325" customFormat="false" ht="15" hidden="false" customHeight="false" outlineLevel="0" collapsed="false">
      <c r="B325" s="17" t="n">
        <v>46582</v>
      </c>
      <c r="C325" s="16" t="n">
        <v>46</v>
      </c>
      <c r="D325" s="8" t="s">
        <v>523</v>
      </c>
      <c r="E325" s="26" t="n">
        <v>4.3</v>
      </c>
      <c r="F325" s="26"/>
      <c r="G325" s="20" t="n">
        <f aca="false">IF(N($F325)&gt;0,$F325,IF(CENARIO_CLIMA="USUARIO",0,$E325))</f>
        <v>4.3</v>
      </c>
      <c r="H325" s="18" t="n">
        <f aca="false">SUMIFS($G$8:$G$469,$C$8:$C$469,$C325)</f>
        <v>30.1</v>
      </c>
      <c r="I325" s="26" t="n">
        <v>0.1</v>
      </c>
      <c r="J325" s="26"/>
      <c r="K325" s="20" t="n">
        <f aca="false">IF(N($J325)&gt;0,$J325,IF(CENARIO_CLIMA="USUARIO",0,$I325))</f>
        <v>0.1</v>
      </c>
      <c r="L325" s="20" t="n">
        <f aca="false">MIN($K325*FATOR_CHUVA_UTIL,LIMITE_CHUVA_UTIL_DIA)</f>
        <v>0.08</v>
      </c>
      <c r="M325" s="26"/>
      <c r="N325" s="20" t="n">
        <f aca="false">IF(N($M325)&gt;0,$M325,$L325)</f>
        <v>0.08</v>
      </c>
      <c r="O325" s="8" t="str">
        <f aca="false">IF(N($F325)+N($J325)&gt;0,"Serie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5" s="8" t="str">
        <f aca="false">IF(N($M325)&gt;0,"Chuva util informada pelo usuario","MIN(Chuva bruta x FATOR_CHUVA_UTIL ; LIMITE_CHUVA_UTIL_DIA)")</f>
        <v>MIN(Chuva bruta x FATOR_CHUVA_UTIL ; LIMITE_CHUVA_UTIL_DIA)</v>
      </c>
    </row>
    <row r="326" customFormat="false" ht="15" hidden="false" customHeight="false" outlineLevel="0" collapsed="false">
      <c r="B326" s="17" t="n">
        <v>46583</v>
      </c>
      <c r="C326" s="16" t="n">
        <v>46</v>
      </c>
      <c r="D326" s="8" t="s">
        <v>523</v>
      </c>
      <c r="E326" s="26" t="n">
        <v>4.3</v>
      </c>
      <c r="F326" s="26"/>
      <c r="G326" s="20" t="n">
        <f aca="false">IF(N($F326)&gt;0,$F326,IF(CENARIO_CLIMA="USUARIO",0,$E326))</f>
        <v>4.3</v>
      </c>
      <c r="H326" s="18" t="n">
        <f aca="false">SUMIFS($G$8:$G$469,$C$8:$C$469,$C326)</f>
        <v>30.1</v>
      </c>
      <c r="I326" s="26" t="n">
        <v>0.1</v>
      </c>
      <c r="J326" s="26"/>
      <c r="K326" s="20" t="n">
        <f aca="false">IF(N($J326)&gt;0,$J326,IF(CENARIO_CLIMA="USUARIO",0,$I326))</f>
        <v>0.1</v>
      </c>
      <c r="L326" s="20" t="n">
        <f aca="false">MIN($K326*FATOR_CHUVA_UTIL,LIMITE_CHUVA_UTIL_DIA)</f>
        <v>0.08</v>
      </c>
      <c r="M326" s="26"/>
      <c r="N326" s="20" t="n">
        <f aca="false">IF(N($M326)&gt;0,$M326,$L326)</f>
        <v>0.08</v>
      </c>
      <c r="O326" s="8" t="str">
        <f aca="false">IF(N($F326)+N($J326)&gt;0,"Serie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6" s="8" t="str">
        <f aca="false">IF(N($M326)&gt;0,"Chuva util informada pelo usuario","MIN(Chuva bruta x FATOR_CHUVA_UTIL ; LIMITE_CHUVA_UTIL_DIA)")</f>
        <v>MIN(Chuva bruta x FATOR_CHUVA_UTIL ; LIMITE_CHUVA_UTIL_DIA)</v>
      </c>
    </row>
    <row r="327" customFormat="false" ht="15" hidden="false" customHeight="false" outlineLevel="0" collapsed="false">
      <c r="B327" s="17" t="n">
        <v>46584</v>
      </c>
      <c r="C327" s="16" t="n">
        <v>46</v>
      </c>
      <c r="D327" s="8" t="s">
        <v>523</v>
      </c>
      <c r="E327" s="26" t="n">
        <v>4.3</v>
      </c>
      <c r="F327" s="26"/>
      <c r="G327" s="20" t="n">
        <f aca="false">IF(N($F327)&gt;0,$F327,IF(CENARIO_CLIMA="USUARIO",0,$E327))</f>
        <v>4.3</v>
      </c>
      <c r="H327" s="18" t="n">
        <f aca="false">SUMIFS($G$8:$G$469,$C$8:$C$469,$C327)</f>
        <v>30.1</v>
      </c>
      <c r="I327" s="26" t="n">
        <v>0.1</v>
      </c>
      <c r="J327" s="26"/>
      <c r="K327" s="20" t="n">
        <f aca="false">IF(N($J327)&gt;0,$J327,IF(CENARIO_CLIMA="USUARIO",0,$I327))</f>
        <v>0.1</v>
      </c>
      <c r="L327" s="20" t="n">
        <f aca="false">MIN($K327*FATOR_CHUVA_UTIL,LIMITE_CHUVA_UTIL_DIA)</f>
        <v>0.08</v>
      </c>
      <c r="M327" s="26"/>
      <c r="N327" s="20" t="n">
        <f aca="false">IF(N($M327)&gt;0,$M327,$L327)</f>
        <v>0.08</v>
      </c>
      <c r="O327" s="8" t="str">
        <f aca="false">IF(N($F327)+N($J327)&gt;0,"Serie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7" s="8" t="str">
        <f aca="false">IF(N($M327)&gt;0,"Chuva util informada pelo usuario","MIN(Chuva bruta x FATOR_CHUVA_UTIL ; LIMITE_CHUVA_UTIL_DIA)")</f>
        <v>MIN(Chuva bruta x FATOR_CHUVA_UTIL ; LIMITE_CHUVA_UTIL_DIA)</v>
      </c>
    </row>
    <row r="328" customFormat="false" ht="15" hidden="false" customHeight="false" outlineLevel="0" collapsed="false">
      <c r="B328" s="17" t="n">
        <v>46585</v>
      </c>
      <c r="C328" s="16" t="n">
        <v>46</v>
      </c>
      <c r="D328" s="8" t="s">
        <v>523</v>
      </c>
      <c r="E328" s="26" t="n">
        <v>4.3</v>
      </c>
      <c r="F328" s="26"/>
      <c r="G328" s="20" t="n">
        <f aca="false">IF(N($F328)&gt;0,$F328,IF(CENARIO_CLIMA="USUARIO",0,$E328))</f>
        <v>4.3</v>
      </c>
      <c r="H328" s="18" t="n">
        <f aca="false">SUMIFS($G$8:$G$469,$C$8:$C$469,$C328)</f>
        <v>30.1</v>
      </c>
      <c r="I328" s="26" t="n">
        <v>0.1</v>
      </c>
      <c r="J328" s="26"/>
      <c r="K328" s="20" t="n">
        <f aca="false">IF(N($J328)&gt;0,$J328,IF(CENARIO_CLIMA="USUARIO",0,$I328))</f>
        <v>0.1</v>
      </c>
      <c r="L328" s="20" t="n">
        <f aca="false">MIN($K328*FATOR_CHUVA_UTIL,LIMITE_CHUVA_UTIL_DIA)</f>
        <v>0.08</v>
      </c>
      <c r="M328" s="26"/>
      <c r="N328" s="20" t="n">
        <f aca="false">IF(N($M328)&gt;0,$M328,$L328)</f>
        <v>0.08</v>
      </c>
      <c r="O328" s="8" t="str">
        <f aca="false">IF(N($F328)+N($J328)&gt;0,"Serie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8" s="8" t="str">
        <f aca="false">IF(N($M328)&gt;0,"Chuva util informada pelo usuario","MIN(Chuva bruta x FATOR_CHUVA_UTIL ; LIMITE_CHUVA_UTIL_DIA)")</f>
        <v>MIN(Chuva bruta x FATOR_CHUVA_UTIL ; LIMITE_CHUVA_UTIL_DIA)</v>
      </c>
    </row>
    <row r="329" customFormat="false" ht="15" hidden="false" customHeight="false" outlineLevel="0" collapsed="false">
      <c r="B329" s="17" t="n">
        <v>46586</v>
      </c>
      <c r="C329" s="16" t="n">
        <v>46</v>
      </c>
      <c r="D329" s="8" t="s">
        <v>523</v>
      </c>
      <c r="E329" s="26" t="n">
        <v>4.3</v>
      </c>
      <c r="F329" s="26"/>
      <c r="G329" s="20" t="n">
        <f aca="false">IF(N($F329)&gt;0,$F329,IF(CENARIO_CLIMA="USUARIO",0,$E329))</f>
        <v>4.3</v>
      </c>
      <c r="H329" s="18" t="n">
        <f aca="false">SUMIFS($G$8:$G$469,$C$8:$C$469,$C329)</f>
        <v>30.1</v>
      </c>
      <c r="I329" s="26" t="n">
        <v>0.1</v>
      </c>
      <c r="J329" s="26"/>
      <c r="K329" s="20" t="n">
        <f aca="false">IF(N($J329)&gt;0,$J329,IF(CENARIO_CLIMA="USUARIO",0,$I329))</f>
        <v>0.1</v>
      </c>
      <c r="L329" s="20" t="n">
        <f aca="false">MIN($K329*FATOR_CHUVA_UTIL,LIMITE_CHUVA_UTIL_DIA)</f>
        <v>0.08</v>
      </c>
      <c r="M329" s="26"/>
      <c r="N329" s="20" t="n">
        <f aca="false">IF(N($M329)&gt;0,$M329,$L329)</f>
        <v>0.08</v>
      </c>
      <c r="O329" s="8" t="str">
        <f aca="false">IF(N($F329)+N($J329)&gt;0,"Serie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29" s="8" t="str">
        <f aca="false">IF(N($M329)&gt;0,"Chuva util informada pelo usuario","MIN(Chuva bruta x FATOR_CHUVA_UTIL ; LIMITE_CHUVA_UTIL_DIA)")</f>
        <v>MIN(Chuva bruta x FATOR_CHUVA_UTIL ; LIMITE_CHUVA_UTIL_DIA)</v>
      </c>
    </row>
    <row r="330" customFormat="false" ht="15" hidden="false" customHeight="false" outlineLevel="0" collapsed="false">
      <c r="B330" s="17" t="n">
        <v>46587</v>
      </c>
      <c r="C330" s="16" t="n">
        <v>47</v>
      </c>
      <c r="D330" s="8" t="s">
        <v>523</v>
      </c>
      <c r="E330" s="26" t="n">
        <v>4.3</v>
      </c>
      <c r="F330" s="26"/>
      <c r="G330" s="20" t="n">
        <f aca="false">IF(N($F330)&gt;0,$F330,IF(CENARIO_CLIMA="USUARIO",0,$E330))</f>
        <v>4.3</v>
      </c>
      <c r="H330" s="18" t="n">
        <f aca="false">SUMIFS($G$8:$G$469,$C$8:$C$469,$C330)</f>
        <v>30.1</v>
      </c>
      <c r="I330" s="26" t="n">
        <v>0.1</v>
      </c>
      <c r="J330" s="26"/>
      <c r="K330" s="20" t="n">
        <f aca="false">IF(N($J330)&gt;0,$J330,IF(CENARIO_CLIMA="USUARIO",0,$I330))</f>
        <v>0.1</v>
      </c>
      <c r="L330" s="20" t="n">
        <f aca="false">MIN($K330*FATOR_CHUVA_UTIL,LIMITE_CHUVA_UTIL_DIA)</f>
        <v>0.08</v>
      </c>
      <c r="M330" s="26"/>
      <c r="N330" s="20" t="n">
        <f aca="false">IF(N($M330)&gt;0,$M330,$L330)</f>
        <v>0.08</v>
      </c>
      <c r="O330" s="8" t="str">
        <f aca="false">IF(N($F330)+N($J330)&gt;0,"Serie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0" s="8" t="str">
        <f aca="false">IF(N($M330)&gt;0,"Chuva util informada pelo usuario","MIN(Chuva bruta x FATOR_CHUVA_UTIL ; LIMITE_CHUVA_UTIL_DIA)")</f>
        <v>MIN(Chuva bruta x FATOR_CHUVA_UTIL ; LIMITE_CHUVA_UTIL_DIA)</v>
      </c>
    </row>
    <row r="331" customFormat="false" ht="15" hidden="false" customHeight="false" outlineLevel="0" collapsed="false">
      <c r="B331" s="17" t="n">
        <v>46588</v>
      </c>
      <c r="C331" s="16" t="n">
        <v>47</v>
      </c>
      <c r="D331" s="8" t="s">
        <v>523</v>
      </c>
      <c r="E331" s="26" t="n">
        <v>4.3</v>
      </c>
      <c r="F331" s="26"/>
      <c r="G331" s="20" t="n">
        <f aca="false">IF(N($F331)&gt;0,$F331,IF(CENARIO_CLIMA="USUARIO",0,$E331))</f>
        <v>4.3</v>
      </c>
      <c r="H331" s="18" t="n">
        <f aca="false">SUMIFS($G$8:$G$469,$C$8:$C$469,$C331)</f>
        <v>30.1</v>
      </c>
      <c r="I331" s="26" t="n">
        <v>0.1</v>
      </c>
      <c r="J331" s="26"/>
      <c r="K331" s="20" t="n">
        <f aca="false">IF(N($J331)&gt;0,$J331,IF(CENARIO_CLIMA="USUARIO",0,$I331))</f>
        <v>0.1</v>
      </c>
      <c r="L331" s="20" t="n">
        <f aca="false">MIN($K331*FATOR_CHUVA_UTIL,LIMITE_CHUVA_UTIL_DIA)</f>
        <v>0.08</v>
      </c>
      <c r="M331" s="26"/>
      <c r="N331" s="20" t="n">
        <f aca="false">IF(N($M331)&gt;0,$M331,$L331)</f>
        <v>0.08</v>
      </c>
      <c r="O331" s="8" t="str">
        <f aca="false">IF(N($F331)+N($J331)&gt;0,"Serie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1" s="8" t="str">
        <f aca="false">IF(N($M331)&gt;0,"Chuva util informada pelo usuario","MIN(Chuva bruta x FATOR_CHUVA_UTIL ; LIMITE_CHUVA_UTIL_DIA)")</f>
        <v>MIN(Chuva bruta x FATOR_CHUVA_UTIL ; LIMITE_CHUVA_UTIL_DIA)</v>
      </c>
    </row>
    <row r="332" customFormat="false" ht="15" hidden="false" customHeight="false" outlineLevel="0" collapsed="false">
      <c r="B332" s="17" t="n">
        <v>46589</v>
      </c>
      <c r="C332" s="16" t="n">
        <v>47</v>
      </c>
      <c r="D332" s="8" t="s">
        <v>523</v>
      </c>
      <c r="E332" s="26" t="n">
        <v>4.3</v>
      </c>
      <c r="F332" s="26"/>
      <c r="G332" s="20" t="n">
        <f aca="false">IF(N($F332)&gt;0,$F332,IF(CENARIO_CLIMA="USUARIO",0,$E332))</f>
        <v>4.3</v>
      </c>
      <c r="H332" s="18" t="n">
        <f aca="false">SUMIFS($G$8:$G$469,$C$8:$C$469,$C332)</f>
        <v>30.1</v>
      </c>
      <c r="I332" s="26" t="n">
        <v>0.1</v>
      </c>
      <c r="J332" s="26"/>
      <c r="K332" s="20" t="n">
        <f aca="false">IF(N($J332)&gt;0,$J332,IF(CENARIO_CLIMA="USUARIO",0,$I332))</f>
        <v>0.1</v>
      </c>
      <c r="L332" s="20" t="n">
        <f aca="false">MIN($K332*FATOR_CHUVA_UTIL,LIMITE_CHUVA_UTIL_DIA)</f>
        <v>0.08</v>
      </c>
      <c r="M332" s="26"/>
      <c r="N332" s="20" t="n">
        <f aca="false">IF(N($M332)&gt;0,$M332,$L332)</f>
        <v>0.08</v>
      </c>
      <c r="O332" s="8" t="str">
        <f aca="false">IF(N($F332)+N($J332)&gt;0,"Serie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2" s="8" t="str">
        <f aca="false">IF(N($M332)&gt;0,"Chuva util informada pelo usuario","MIN(Chuva bruta x FATOR_CHUVA_UTIL ; LIMITE_CHUVA_UTIL_DIA)")</f>
        <v>MIN(Chuva bruta x FATOR_CHUVA_UTIL ; LIMITE_CHUVA_UTIL_DIA)</v>
      </c>
    </row>
    <row r="333" customFormat="false" ht="15" hidden="false" customHeight="false" outlineLevel="0" collapsed="false">
      <c r="B333" s="17" t="n">
        <v>46590</v>
      </c>
      <c r="C333" s="16" t="n">
        <v>47</v>
      </c>
      <c r="D333" s="8" t="s">
        <v>523</v>
      </c>
      <c r="E333" s="26" t="n">
        <v>4.3</v>
      </c>
      <c r="F333" s="26"/>
      <c r="G333" s="20" t="n">
        <f aca="false">IF(N($F333)&gt;0,$F333,IF(CENARIO_CLIMA="USUARIO",0,$E333))</f>
        <v>4.3</v>
      </c>
      <c r="H333" s="18" t="n">
        <f aca="false">SUMIFS($G$8:$G$469,$C$8:$C$469,$C333)</f>
        <v>30.1</v>
      </c>
      <c r="I333" s="26" t="n">
        <v>0.1</v>
      </c>
      <c r="J333" s="26"/>
      <c r="K333" s="20" t="n">
        <f aca="false">IF(N($J333)&gt;0,$J333,IF(CENARIO_CLIMA="USUARIO",0,$I333))</f>
        <v>0.1</v>
      </c>
      <c r="L333" s="20" t="n">
        <f aca="false">MIN($K333*FATOR_CHUVA_UTIL,LIMITE_CHUVA_UTIL_DIA)</f>
        <v>0.08</v>
      </c>
      <c r="M333" s="26"/>
      <c r="N333" s="20" t="n">
        <f aca="false">IF(N($M333)&gt;0,$M333,$L333)</f>
        <v>0.08</v>
      </c>
      <c r="O333" s="8" t="str">
        <f aca="false">IF(N($F333)+N($J333)&gt;0,"Serie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3" s="8" t="str">
        <f aca="false">IF(N($M333)&gt;0,"Chuva util informada pelo usuario","MIN(Chuva bruta x FATOR_CHUVA_UTIL ; LIMITE_CHUVA_UTIL_DIA)")</f>
        <v>MIN(Chuva bruta x FATOR_CHUVA_UTIL ; LIMITE_CHUVA_UTIL_DIA)</v>
      </c>
    </row>
    <row r="334" customFormat="false" ht="15" hidden="false" customHeight="false" outlineLevel="0" collapsed="false">
      <c r="B334" s="17" t="n">
        <v>46591</v>
      </c>
      <c r="C334" s="16" t="n">
        <v>47</v>
      </c>
      <c r="D334" s="8" t="s">
        <v>523</v>
      </c>
      <c r="E334" s="26" t="n">
        <v>4.3</v>
      </c>
      <c r="F334" s="26"/>
      <c r="G334" s="20" t="n">
        <f aca="false">IF(N($F334)&gt;0,$F334,IF(CENARIO_CLIMA="USUARIO",0,$E334))</f>
        <v>4.3</v>
      </c>
      <c r="H334" s="18" t="n">
        <f aca="false">SUMIFS($G$8:$G$469,$C$8:$C$469,$C334)</f>
        <v>30.1</v>
      </c>
      <c r="I334" s="26" t="n">
        <v>0.1</v>
      </c>
      <c r="J334" s="26"/>
      <c r="K334" s="20" t="n">
        <f aca="false">IF(N($J334)&gt;0,$J334,IF(CENARIO_CLIMA="USUARIO",0,$I334))</f>
        <v>0.1</v>
      </c>
      <c r="L334" s="20" t="n">
        <f aca="false">MIN($K334*FATOR_CHUVA_UTIL,LIMITE_CHUVA_UTIL_DIA)</f>
        <v>0.08</v>
      </c>
      <c r="M334" s="26"/>
      <c r="N334" s="20" t="n">
        <f aca="false">IF(N($M334)&gt;0,$M334,$L334)</f>
        <v>0.08</v>
      </c>
      <c r="O334" s="8" t="str">
        <f aca="false">IF(N($F334)+N($J334)&gt;0,"Serie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4" s="8" t="str">
        <f aca="false">IF(N($M334)&gt;0,"Chuva util informada pelo usuario","MIN(Chuva bruta x FATOR_CHUVA_UTIL ; LIMITE_CHUVA_UTIL_DIA)")</f>
        <v>MIN(Chuva bruta x FATOR_CHUVA_UTIL ; LIMITE_CHUVA_UTIL_DIA)</v>
      </c>
    </row>
    <row r="335" customFormat="false" ht="15" hidden="false" customHeight="false" outlineLevel="0" collapsed="false">
      <c r="B335" s="17" t="n">
        <v>46592</v>
      </c>
      <c r="C335" s="16" t="n">
        <v>47</v>
      </c>
      <c r="D335" s="8" t="s">
        <v>523</v>
      </c>
      <c r="E335" s="26" t="n">
        <v>4.3</v>
      </c>
      <c r="F335" s="26"/>
      <c r="G335" s="20" t="n">
        <f aca="false">IF(N($F335)&gt;0,$F335,IF(CENARIO_CLIMA="USUARIO",0,$E335))</f>
        <v>4.3</v>
      </c>
      <c r="H335" s="18" t="n">
        <f aca="false">SUMIFS($G$8:$G$469,$C$8:$C$469,$C335)</f>
        <v>30.1</v>
      </c>
      <c r="I335" s="26" t="n">
        <v>0.1</v>
      </c>
      <c r="J335" s="26"/>
      <c r="K335" s="20" t="n">
        <f aca="false">IF(N($J335)&gt;0,$J335,IF(CENARIO_CLIMA="USUARIO",0,$I335))</f>
        <v>0.1</v>
      </c>
      <c r="L335" s="20" t="n">
        <f aca="false">MIN($K335*FATOR_CHUVA_UTIL,LIMITE_CHUVA_UTIL_DIA)</f>
        <v>0.08</v>
      </c>
      <c r="M335" s="26"/>
      <c r="N335" s="20" t="n">
        <f aca="false">IF(N($M335)&gt;0,$M335,$L335)</f>
        <v>0.08</v>
      </c>
      <c r="O335" s="8" t="str">
        <f aca="false">IF(N($F335)+N($J335)&gt;0,"Serie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5" s="8" t="str">
        <f aca="false">IF(N($M335)&gt;0,"Chuva util informada pelo usuario","MIN(Chuva bruta x FATOR_CHUVA_UTIL ; LIMITE_CHUVA_UTIL_DIA)")</f>
        <v>MIN(Chuva bruta x FATOR_CHUVA_UTIL ; LIMITE_CHUVA_UTIL_DIA)</v>
      </c>
    </row>
    <row r="336" customFormat="false" ht="15" hidden="false" customHeight="false" outlineLevel="0" collapsed="false">
      <c r="B336" s="17" t="n">
        <v>46593</v>
      </c>
      <c r="C336" s="16" t="n">
        <v>47</v>
      </c>
      <c r="D336" s="8" t="s">
        <v>523</v>
      </c>
      <c r="E336" s="26" t="n">
        <v>4.3</v>
      </c>
      <c r="F336" s="26"/>
      <c r="G336" s="20" t="n">
        <f aca="false">IF(N($F336)&gt;0,$F336,IF(CENARIO_CLIMA="USUARIO",0,$E336))</f>
        <v>4.3</v>
      </c>
      <c r="H336" s="18" t="n">
        <f aca="false">SUMIFS($G$8:$G$469,$C$8:$C$469,$C336)</f>
        <v>30.1</v>
      </c>
      <c r="I336" s="26" t="n">
        <v>0.1</v>
      </c>
      <c r="J336" s="26"/>
      <c r="K336" s="20" t="n">
        <f aca="false">IF(N($J336)&gt;0,$J336,IF(CENARIO_CLIMA="USUARIO",0,$I336))</f>
        <v>0.1</v>
      </c>
      <c r="L336" s="20" t="n">
        <f aca="false">MIN($K336*FATOR_CHUVA_UTIL,LIMITE_CHUVA_UTIL_DIA)</f>
        <v>0.08</v>
      </c>
      <c r="M336" s="26"/>
      <c r="N336" s="20" t="n">
        <f aca="false">IF(N($M336)&gt;0,$M336,$L336)</f>
        <v>0.08</v>
      </c>
      <c r="O336" s="8" t="str">
        <f aca="false">IF(N($F336)+N($J336)&gt;0,"Serie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6" s="8" t="str">
        <f aca="false">IF(N($M336)&gt;0,"Chuva util informada pelo usuario","MIN(Chuva bruta x FATOR_CHUVA_UTIL ; LIMITE_CHUVA_UTIL_DIA)")</f>
        <v>MIN(Chuva bruta x FATOR_CHUVA_UTIL ; LIMITE_CHUVA_UTIL_DIA)</v>
      </c>
    </row>
    <row r="337" customFormat="false" ht="15" hidden="false" customHeight="false" outlineLevel="0" collapsed="false">
      <c r="B337" s="17" t="n">
        <v>46594</v>
      </c>
      <c r="C337" s="16" t="n">
        <v>48</v>
      </c>
      <c r="D337" s="8" t="s">
        <v>523</v>
      </c>
      <c r="E337" s="26" t="n">
        <v>4.3</v>
      </c>
      <c r="F337" s="26"/>
      <c r="G337" s="20" t="n">
        <f aca="false">IF(N($F337)&gt;0,$F337,IF(CENARIO_CLIMA="USUARIO",0,$E337))</f>
        <v>4.3</v>
      </c>
      <c r="H337" s="18" t="n">
        <f aca="false">SUMIFS($G$8:$G$469,$C$8:$C$469,$C337)</f>
        <v>31</v>
      </c>
      <c r="I337" s="26" t="n">
        <v>0.1</v>
      </c>
      <c r="J337" s="26"/>
      <c r="K337" s="20" t="n">
        <f aca="false">IF(N($J337)&gt;0,$J337,IF(CENARIO_CLIMA="USUARIO",0,$I337))</f>
        <v>0.1</v>
      </c>
      <c r="L337" s="20" t="n">
        <f aca="false">MIN($K337*FATOR_CHUVA_UTIL,LIMITE_CHUVA_UTIL_DIA)</f>
        <v>0.08</v>
      </c>
      <c r="M337" s="26"/>
      <c r="N337" s="20" t="n">
        <f aca="false">IF(N($M337)&gt;0,$M337,$L337)</f>
        <v>0.08</v>
      </c>
      <c r="O337" s="8" t="str">
        <f aca="false">IF(N($F337)+N($J337)&gt;0,"Serie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7" s="8" t="str">
        <f aca="false">IF(N($M337)&gt;0,"Chuva util informada pelo usuario","MIN(Chuva bruta x FATOR_CHUVA_UTIL ; LIMITE_CHUVA_UTIL_DIA)")</f>
        <v>MIN(Chuva bruta x FATOR_CHUVA_UTIL ; LIMITE_CHUVA_UTIL_DIA)</v>
      </c>
    </row>
    <row r="338" customFormat="false" ht="15" hidden="false" customHeight="false" outlineLevel="0" collapsed="false">
      <c r="B338" s="17" t="n">
        <v>46595</v>
      </c>
      <c r="C338" s="16" t="n">
        <v>48</v>
      </c>
      <c r="D338" s="8" t="s">
        <v>523</v>
      </c>
      <c r="E338" s="26" t="n">
        <v>4.3</v>
      </c>
      <c r="F338" s="26"/>
      <c r="G338" s="20" t="n">
        <f aca="false">IF(N($F338)&gt;0,$F338,IF(CENARIO_CLIMA="USUARIO",0,$E338))</f>
        <v>4.3</v>
      </c>
      <c r="H338" s="18" t="n">
        <f aca="false">SUMIFS($G$8:$G$469,$C$8:$C$469,$C338)</f>
        <v>31</v>
      </c>
      <c r="I338" s="26" t="n">
        <v>0.1</v>
      </c>
      <c r="J338" s="26"/>
      <c r="K338" s="20" t="n">
        <f aca="false">IF(N($J338)&gt;0,$J338,IF(CENARIO_CLIMA="USUARIO",0,$I338))</f>
        <v>0.1</v>
      </c>
      <c r="L338" s="20" t="n">
        <f aca="false">MIN($K338*FATOR_CHUVA_UTIL,LIMITE_CHUVA_UTIL_DIA)</f>
        <v>0.08</v>
      </c>
      <c r="M338" s="26"/>
      <c r="N338" s="20" t="n">
        <f aca="false">IF(N($M338)&gt;0,$M338,$L338)</f>
        <v>0.08</v>
      </c>
      <c r="O338" s="8" t="str">
        <f aca="false">IF(N($F338)+N($J338)&gt;0,"Serie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8" s="8" t="str">
        <f aca="false">IF(N($M338)&gt;0,"Chuva util informada pelo usuario","MIN(Chuva bruta x FATOR_CHUVA_UTIL ; LIMITE_CHUVA_UTIL_DIA)")</f>
        <v>MIN(Chuva bruta x FATOR_CHUVA_UTIL ; LIMITE_CHUVA_UTIL_DIA)</v>
      </c>
    </row>
    <row r="339" customFormat="false" ht="15" hidden="false" customHeight="false" outlineLevel="0" collapsed="false">
      <c r="B339" s="17" t="n">
        <v>46596</v>
      </c>
      <c r="C339" s="16" t="n">
        <v>48</v>
      </c>
      <c r="D339" s="8" t="s">
        <v>523</v>
      </c>
      <c r="E339" s="26" t="n">
        <v>4.3</v>
      </c>
      <c r="F339" s="26"/>
      <c r="G339" s="20" t="n">
        <f aca="false">IF(N($F339)&gt;0,$F339,IF(CENARIO_CLIMA="USUARIO",0,$E339))</f>
        <v>4.3</v>
      </c>
      <c r="H339" s="18" t="n">
        <f aca="false">SUMIFS($G$8:$G$469,$C$8:$C$469,$C339)</f>
        <v>31</v>
      </c>
      <c r="I339" s="26" t="n">
        <v>0.1</v>
      </c>
      <c r="J339" s="26"/>
      <c r="K339" s="20" t="n">
        <f aca="false">IF(N($J339)&gt;0,$J339,IF(CENARIO_CLIMA="USUARIO",0,$I339))</f>
        <v>0.1</v>
      </c>
      <c r="L339" s="20" t="n">
        <f aca="false">MIN($K339*FATOR_CHUVA_UTIL,LIMITE_CHUVA_UTIL_DIA)</f>
        <v>0.08</v>
      </c>
      <c r="M339" s="26"/>
      <c r="N339" s="20" t="n">
        <f aca="false">IF(N($M339)&gt;0,$M339,$L339)</f>
        <v>0.08</v>
      </c>
      <c r="O339" s="8" t="str">
        <f aca="false">IF(N($F339)+N($J339)&gt;0,"Serie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39" s="8" t="str">
        <f aca="false">IF(N($M339)&gt;0,"Chuva util informada pelo usuario","MIN(Chuva bruta x FATOR_CHUVA_UTIL ; LIMITE_CHUVA_UTIL_DIA)")</f>
        <v>MIN(Chuva bruta x FATOR_CHUVA_UTIL ; LIMITE_CHUVA_UTIL_DIA)</v>
      </c>
    </row>
    <row r="340" customFormat="false" ht="15" hidden="false" customHeight="false" outlineLevel="0" collapsed="false">
      <c r="B340" s="17" t="n">
        <v>46597</v>
      </c>
      <c r="C340" s="16" t="n">
        <v>48</v>
      </c>
      <c r="D340" s="8" t="s">
        <v>523</v>
      </c>
      <c r="E340" s="26" t="n">
        <v>4.3</v>
      </c>
      <c r="F340" s="26"/>
      <c r="G340" s="20" t="n">
        <f aca="false">IF(N($F340)&gt;0,$F340,IF(CENARIO_CLIMA="USUARIO",0,$E340))</f>
        <v>4.3</v>
      </c>
      <c r="H340" s="18" t="n">
        <f aca="false">SUMIFS($G$8:$G$469,$C$8:$C$469,$C340)</f>
        <v>31</v>
      </c>
      <c r="I340" s="26" t="n">
        <v>0.1</v>
      </c>
      <c r="J340" s="26"/>
      <c r="K340" s="20" t="n">
        <f aca="false">IF(N($J340)&gt;0,$J340,IF(CENARIO_CLIMA="USUARIO",0,$I340))</f>
        <v>0.1</v>
      </c>
      <c r="L340" s="20" t="n">
        <f aca="false">MIN($K340*FATOR_CHUVA_UTIL,LIMITE_CHUVA_UTIL_DIA)</f>
        <v>0.08</v>
      </c>
      <c r="M340" s="26"/>
      <c r="N340" s="20" t="n">
        <f aca="false">IF(N($M340)&gt;0,$M340,$L340)</f>
        <v>0.08</v>
      </c>
      <c r="O340" s="8" t="str">
        <f aca="false">IF(N($F340)+N($J340)&gt;0,"Serie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0" s="8" t="str">
        <f aca="false">IF(N($M340)&gt;0,"Chuva util informada pelo usuario","MIN(Chuva bruta x FATOR_CHUVA_UTIL ; LIMITE_CHUVA_UTIL_DIA)")</f>
        <v>MIN(Chuva bruta x FATOR_CHUVA_UTIL ; LIMITE_CHUVA_UTIL_DIA)</v>
      </c>
    </row>
    <row r="341" customFormat="false" ht="15" hidden="false" customHeight="false" outlineLevel="0" collapsed="false">
      <c r="B341" s="17" t="n">
        <v>46598</v>
      </c>
      <c r="C341" s="16" t="n">
        <v>48</v>
      </c>
      <c r="D341" s="8" t="s">
        <v>523</v>
      </c>
      <c r="E341" s="26" t="n">
        <v>4.3</v>
      </c>
      <c r="F341" s="26"/>
      <c r="G341" s="20" t="n">
        <f aca="false">IF(N($F341)&gt;0,$F341,IF(CENARIO_CLIMA="USUARIO",0,$E341))</f>
        <v>4.3</v>
      </c>
      <c r="H341" s="18" t="n">
        <f aca="false">SUMIFS($G$8:$G$469,$C$8:$C$469,$C341)</f>
        <v>31</v>
      </c>
      <c r="I341" s="26" t="n">
        <v>0.1</v>
      </c>
      <c r="J341" s="26"/>
      <c r="K341" s="20" t="n">
        <f aca="false">IF(N($J341)&gt;0,$J341,IF(CENARIO_CLIMA="USUARIO",0,$I341))</f>
        <v>0.1</v>
      </c>
      <c r="L341" s="20" t="n">
        <f aca="false">MIN($K341*FATOR_CHUVA_UTIL,LIMITE_CHUVA_UTIL_DIA)</f>
        <v>0.08</v>
      </c>
      <c r="M341" s="26"/>
      <c r="N341" s="20" t="n">
        <f aca="false">IF(N($M341)&gt;0,$M341,$L341)</f>
        <v>0.08</v>
      </c>
      <c r="O341" s="8" t="str">
        <f aca="false">IF(N($F341)+N($J341)&gt;0,"Serie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1" s="8" t="str">
        <f aca="false">IF(N($M341)&gt;0,"Chuva util informada pelo usuario","MIN(Chuva bruta x FATOR_CHUVA_UTIL ; LIMITE_CHUVA_UTIL_DIA)")</f>
        <v>MIN(Chuva bruta x FATOR_CHUVA_UTIL ; LIMITE_CHUVA_UTIL_DIA)</v>
      </c>
    </row>
    <row r="342" customFormat="false" ht="15" hidden="false" customHeight="false" outlineLevel="0" collapsed="false">
      <c r="B342" s="17" t="n">
        <v>46599</v>
      </c>
      <c r="C342" s="16" t="n">
        <v>48</v>
      </c>
      <c r="D342" s="8" t="s">
        <v>523</v>
      </c>
      <c r="E342" s="26" t="n">
        <v>4.3</v>
      </c>
      <c r="F342" s="26"/>
      <c r="G342" s="20" t="n">
        <f aca="false">IF(N($F342)&gt;0,$F342,IF(CENARIO_CLIMA="USUARIO",0,$E342))</f>
        <v>4.3</v>
      </c>
      <c r="H342" s="18" t="n">
        <f aca="false">SUMIFS($G$8:$G$469,$C$8:$C$469,$C342)</f>
        <v>31</v>
      </c>
      <c r="I342" s="26" t="n">
        <v>0.1</v>
      </c>
      <c r="J342" s="26"/>
      <c r="K342" s="20" t="n">
        <f aca="false">IF(N($J342)&gt;0,$J342,IF(CENARIO_CLIMA="USUARIO",0,$I342))</f>
        <v>0.1</v>
      </c>
      <c r="L342" s="20" t="n">
        <f aca="false">MIN($K342*FATOR_CHUVA_UTIL,LIMITE_CHUVA_UTIL_DIA)</f>
        <v>0.08</v>
      </c>
      <c r="M342" s="26"/>
      <c r="N342" s="20" t="n">
        <f aca="false">IF(N($M342)&gt;0,$M342,$L342)</f>
        <v>0.08</v>
      </c>
      <c r="O342" s="8" t="str">
        <f aca="false">IF(N($F342)+N($J342)&gt;0,"Serie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2" s="8" t="str">
        <f aca="false">IF(N($M342)&gt;0,"Chuva util informada pelo usuario","MIN(Chuva bruta x FATOR_CHUVA_UTIL ; LIMITE_CHUVA_UTIL_DIA)")</f>
        <v>MIN(Chuva bruta x FATOR_CHUVA_UTIL ; LIMITE_CHUVA_UTIL_DIA)</v>
      </c>
    </row>
    <row r="343" customFormat="false" ht="15" hidden="false" customHeight="false" outlineLevel="0" collapsed="false">
      <c r="B343" s="17" t="n">
        <v>46600</v>
      </c>
      <c r="C343" s="16" t="n">
        <v>48</v>
      </c>
      <c r="D343" s="8" t="s">
        <v>512</v>
      </c>
      <c r="E343" s="26" t="n">
        <v>5.2</v>
      </c>
      <c r="F343" s="26"/>
      <c r="G343" s="20" t="n">
        <f aca="false">IF(N($F343)&gt;0,$F343,IF(CENARIO_CLIMA="USUARIO",0,$E343))</f>
        <v>5.2</v>
      </c>
      <c r="H343" s="18" t="n">
        <f aca="false">SUMIFS($G$8:$G$469,$C$8:$C$469,$C343)</f>
        <v>31</v>
      </c>
      <c r="I343" s="26" t="n">
        <v>0.16</v>
      </c>
      <c r="J343" s="26"/>
      <c r="K343" s="20" t="n">
        <f aca="false">IF(N($J343)&gt;0,$J343,IF(CENARIO_CLIMA="USUARIO",0,$I343))</f>
        <v>0.16</v>
      </c>
      <c r="L343" s="20" t="n">
        <f aca="false">MIN($K343*FATOR_CHUVA_UTIL,LIMITE_CHUVA_UTIL_DIA)</f>
        <v>0.128</v>
      </c>
      <c r="M343" s="26"/>
      <c r="N343" s="20" t="n">
        <f aca="false">IF(N($M343)&gt;0,$M343,$L343)</f>
        <v>0.128</v>
      </c>
      <c r="O343" s="8" t="str">
        <f aca="false">IF(N($F343)+N($J343)&gt;0,"Serie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3" s="8" t="str">
        <f aca="false">IF(N($M343)&gt;0,"Chuva util informada pelo usuario","MIN(Chuva bruta x FATOR_CHUVA_UTIL ; LIMITE_CHUVA_UTIL_DIA)")</f>
        <v>MIN(Chuva bruta x FATOR_CHUVA_UTIL ; LIMITE_CHUVA_UTIL_DIA)</v>
      </c>
    </row>
    <row r="344" customFormat="false" ht="15" hidden="false" customHeight="false" outlineLevel="0" collapsed="false">
      <c r="B344" s="17" t="n">
        <v>46601</v>
      </c>
      <c r="C344" s="16" t="n">
        <v>49</v>
      </c>
      <c r="D344" s="8" t="s">
        <v>512</v>
      </c>
      <c r="E344" s="26" t="n">
        <v>5.2</v>
      </c>
      <c r="F344" s="26"/>
      <c r="G344" s="20" t="n">
        <f aca="false">IF(N($F344)&gt;0,$F344,IF(CENARIO_CLIMA="USUARIO",0,$E344))</f>
        <v>5.2</v>
      </c>
      <c r="H344" s="18" t="n">
        <f aca="false">SUMIFS($G$8:$G$469,$C$8:$C$469,$C344)</f>
        <v>36.4</v>
      </c>
      <c r="I344" s="26" t="n">
        <v>0.16</v>
      </c>
      <c r="J344" s="26"/>
      <c r="K344" s="20" t="n">
        <f aca="false">IF(N($J344)&gt;0,$J344,IF(CENARIO_CLIMA="USUARIO",0,$I344))</f>
        <v>0.16</v>
      </c>
      <c r="L344" s="20" t="n">
        <f aca="false">MIN($K344*FATOR_CHUVA_UTIL,LIMITE_CHUVA_UTIL_DIA)</f>
        <v>0.128</v>
      </c>
      <c r="M344" s="26"/>
      <c r="N344" s="20" t="n">
        <f aca="false">IF(N($M344)&gt;0,$M344,$L344)</f>
        <v>0.128</v>
      </c>
      <c r="O344" s="8" t="str">
        <f aca="false">IF(N($F344)+N($J344)&gt;0,"Serie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4" s="8" t="str">
        <f aca="false">IF(N($M344)&gt;0,"Chuva util informada pelo usuario","MIN(Chuva bruta x FATOR_CHUVA_UTIL ; LIMITE_CHUVA_UTIL_DIA)")</f>
        <v>MIN(Chuva bruta x FATOR_CHUVA_UTIL ; LIMITE_CHUVA_UTIL_DIA)</v>
      </c>
    </row>
    <row r="345" customFormat="false" ht="15" hidden="false" customHeight="false" outlineLevel="0" collapsed="false">
      <c r="B345" s="17" t="n">
        <v>46602</v>
      </c>
      <c r="C345" s="16" t="n">
        <v>49</v>
      </c>
      <c r="D345" s="8" t="s">
        <v>512</v>
      </c>
      <c r="E345" s="26" t="n">
        <v>5.2</v>
      </c>
      <c r="F345" s="26"/>
      <c r="G345" s="20" t="n">
        <f aca="false">IF(N($F345)&gt;0,$F345,IF(CENARIO_CLIMA="USUARIO",0,$E345))</f>
        <v>5.2</v>
      </c>
      <c r="H345" s="18" t="n">
        <f aca="false">SUMIFS($G$8:$G$469,$C$8:$C$469,$C345)</f>
        <v>36.4</v>
      </c>
      <c r="I345" s="26" t="n">
        <v>0.16</v>
      </c>
      <c r="J345" s="26"/>
      <c r="K345" s="20" t="n">
        <f aca="false">IF(N($J345)&gt;0,$J345,IF(CENARIO_CLIMA="USUARIO",0,$I345))</f>
        <v>0.16</v>
      </c>
      <c r="L345" s="20" t="n">
        <f aca="false">MIN($K345*FATOR_CHUVA_UTIL,LIMITE_CHUVA_UTIL_DIA)</f>
        <v>0.128</v>
      </c>
      <c r="M345" s="26"/>
      <c r="N345" s="20" t="n">
        <f aca="false">IF(N($M345)&gt;0,$M345,$L345)</f>
        <v>0.128</v>
      </c>
      <c r="O345" s="8" t="str">
        <f aca="false">IF(N($F345)+N($J345)&gt;0,"Serie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5" s="8" t="str">
        <f aca="false">IF(N($M345)&gt;0,"Chuva util informada pelo usuario","MIN(Chuva bruta x FATOR_CHUVA_UTIL ; LIMITE_CHUVA_UTIL_DIA)")</f>
        <v>MIN(Chuva bruta x FATOR_CHUVA_UTIL ; LIMITE_CHUVA_UTIL_DIA)</v>
      </c>
    </row>
    <row r="346" customFormat="false" ht="15" hidden="false" customHeight="false" outlineLevel="0" collapsed="false">
      <c r="B346" s="17" t="n">
        <v>46603</v>
      </c>
      <c r="C346" s="16" t="n">
        <v>49</v>
      </c>
      <c r="D346" s="8" t="s">
        <v>512</v>
      </c>
      <c r="E346" s="26" t="n">
        <v>5.2</v>
      </c>
      <c r="F346" s="26"/>
      <c r="G346" s="20" t="n">
        <f aca="false">IF(N($F346)&gt;0,$F346,IF(CENARIO_CLIMA="USUARIO",0,$E346))</f>
        <v>5.2</v>
      </c>
      <c r="H346" s="18" t="n">
        <f aca="false">SUMIFS($G$8:$G$469,$C$8:$C$469,$C346)</f>
        <v>36.4</v>
      </c>
      <c r="I346" s="26" t="n">
        <v>0.16</v>
      </c>
      <c r="J346" s="26"/>
      <c r="K346" s="20" t="n">
        <f aca="false">IF(N($J346)&gt;0,$J346,IF(CENARIO_CLIMA="USUARIO",0,$I346))</f>
        <v>0.16</v>
      </c>
      <c r="L346" s="20" t="n">
        <f aca="false">MIN($K346*FATOR_CHUVA_UTIL,LIMITE_CHUVA_UTIL_DIA)</f>
        <v>0.128</v>
      </c>
      <c r="M346" s="26"/>
      <c r="N346" s="20" t="n">
        <f aca="false">IF(N($M346)&gt;0,$M346,$L346)</f>
        <v>0.128</v>
      </c>
      <c r="O346" s="8" t="str">
        <f aca="false">IF(N($F346)+N($J346)&gt;0,"Serie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6" s="8" t="str">
        <f aca="false">IF(N($M346)&gt;0,"Chuva util informada pelo usuario","MIN(Chuva bruta x FATOR_CHUVA_UTIL ; LIMITE_CHUVA_UTIL_DIA)")</f>
        <v>MIN(Chuva bruta x FATOR_CHUVA_UTIL ; LIMITE_CHUVA_UTIL_DIA)</v>
      </c>
    </row>
    <row r="347" customFormat="false" ht="15" hidden="false" customHeight="false" outlineLevel="0" collapsed="false">
      <c r="B347" s="17" t="n">
        <v>46604</v>
      </c>
      <c r="C347" s="16" t="n">
        <v>49</v>
      </c>
      <c r="D347" s="8" t="s">
        <v>512</v>
      </c>
      <c r="E347" s="26" t="n">
        <v>5.2</v>
      </c>
      <c r="F347" s="26"/>
      <c r="G347" s="20" t="n">
        <f aca="false">IF(N($F347)&gt;0,$F347,IF(CENARIO_CLIMA="USUARIO",0,$E347))</f>
        <v>5.2</v>
      </c>
      <c r="H347" s="18" t="n">
        <f aca="false">SUMIFS($G$8:$G$469,$C$8:$C$469,$C347)</f>
        <v>36.4</v>
      </c>
      <c r="I347" s="26" t="n">
        <v>0.16</v>
      </c>
      <c r="J347" s="26"/>
      <c r="K347" s="20" t="n">
        <f aca="false">IF(N($J347)&gt;0,$J347,IF(CENARIO_CLIMA="USUARIO",0,$I347))</f>
        <v>0.16</v>
      </c>
      <c r="L347" s="20" t="n">
        <f aca="false">MIN($K347*FATOR_CHUVA_UTIL,LIMITE_CHUVA_UTIL_DIA)</f>
        <v>0.128</v>
      </c>
      <c r="M347" s="26"/>
      <c r="N347" s="20" t="n">
        <f aca="false">IF(N($M347)&gt;0,$M347,$L347)</f>
        <v>0.128</v>
      </c>
      <c r="O347" s="8" t="str">
        <f aca="false">IF(N($F347)+N($J347)&gt;0,"Serie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7" s="8" t="str">
        <f aca="false">IF(N($M347)&gt;0,"Chuva util informada pelo usuario","MIN(Chuva bruta x FATOR_CHUVA_UTIL ; LIMITE_CHUVA_UTIL_DIA)")</f>
        <v>MIN(Chuva bruta x FATOR_CHUVA_UTIL ; LIMITE_CHUVA_UTIL_DIA)</v>
      </c>
    </row>
    <row r="348" customFormat="false" ht="15" hidden="false" customHeight="false" outlineLevel="0" collapsed="false">
      <c r="B348" s="17" t="n">
        <v>46605</v>
      </c>
      <c r="C348" s="16" t="n">
        <v>49</v>
      </c>
      <c r="D348" s="8" t="s">
        <v>512</v>
      </c>
      <c r="E348" s="26" t="n">
        <v>5.2</v>
      </c>
      <c r="F348" s="26"/>
      <c r="G348" s="20" t="n">
        <f aca="false">IF(N($F348)&gt;0,$F348,IF(CENARIO_CLIMA="USUARIO",0,$E348))</f>
        <v>5.2</v>
      </c>
      <c r="H348" s="18" t="n">
        <f aca="false">SUMIFS($G$8:$G$469,$C$8:$C$469,$C348)</f>
        <v>36.4</v>
      </c>
      <c r="I348" s="26" t="n">
        <v>0.16</v>
      </c>
      <c r="J348" s="26"/>
      <c r="K348" s="20" t="n">
        <f aca="false">IF(N($J348)&gt;0,$J348,IF(CENARIO_CLIMA="USUARIO",0,$I348))</f>
        <v>0.16</v>
      </c>
      <c r="L348" s="20" t="n">
        <f aca="false">MIN($K348*FATOR_CHUVA_UTIL,LIMITE_CHUVA_UTIL_DIA)</f>
        <v>0.128</v>
      </c>
      <c r="M348" s="26"/>
      <c r="N348" s="20" t="n">
        <f aca="false">IF(N($M348)&gt;0,$M348,$L348)</f>
        <v>0.128</v>
      </c>
      <c r="O348" s="8" t="str">
        <f aca="false">IF(N($F348)+N($J348)&gt;0,"Serie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8" s="8" t="str">
        <f aca="false">IF(N($M348)&gt;0,"Chuva util informada pelo usuario","MIN(Chuva bruta x FATOR_CHUVA_UTIL ; LIMITE_CHUVA_UTIL_DIA)")</f>
        <v>MIN(Chuva bruta x FATOR_CHUVA_UTIL ; LIMITE_CHUVA_UTIL_DIA)</v>
      </c>
    </row>
    <row r="349" customFormat="false" ht="15" hidden="false" customHeight="false" outlineLevel="0" collapsed="false">
      <c r="B349" s="17" t="n">
        <v>46606</v>
      </c>
      <c r="C349" s="16" t="n">
        <v>49</v>
      </c>
      <c r="D349" s="8" t="s">
        <v>512</v>
      </c>
      <c r="E349" s="26" t="n">
        <v>5.2</v>
      </c>
      <c r="F349" s="26"/>
      <c r="G349" s="20" t="n">
        <f aca="false">IF(N($F349)&gt;0,$F349,IF(CENARIO_CLIMA="USUARIO",0,$E349))</f>
        <v>5.2</v>
      </c>
      <c r="H349" s="18" t="n">
        <f aca="false">SUMIFS($G$8:$G$469,$C$8:$C$469,$C349)</f>
        <v>36.4</v>
      </c>
      <c r="I349" s="26" t="n">
        <v>0.16</v>
      </c>
      <c r="J349" s="26"/>
      <c r="K349" s="20" t="n">
        <f aca="false">IF(N($J349)&gt;0,$J349,IF(CENARIO_CLIMA="USUARIO",0,$I349))</f>
        <v>0.16</v>
      </c>
      <c r="L349" s="20" t="n">
        <f aca="false">MIN($K349*FATOR_CHUVA_UTIL,LIMITE_CHUVA_UTIL_DIA)</f>
        <v>0.128</v>
      </c>
      <c r="M349" s="26"/>
      <c r="N349" s="20" t="n">
        <f aca="false">IF(N($M349)&gt;0,$M349,$L349)</f>
        <v>0.128</v>
      </c>
      <c r="O349" s="8" t="str">
        <f aca="false">IF(N($F349)+N($J349)&gt;0,"Serie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49" s="8" t="str">
        <f aca="false">IF(N($M349)&gt;0,"Chuva util informada pelo usuario","MIN(Chuva bruta x FATOR_CHUVA_UTIL ; LIMITE_CHUVA_UTIL_DIA)")</f>
        <v>MIN(Chuva bruta x FATOR_CHUVA_UTIL ; LIMITE_CHUVA_UTIL_DIA)</v>
      </c>
    </row>
    <row r="350" customFormat="false" ht="15" hidden="false" customHeight="false" outlineLevel="0" collapsed="false">
      <c r="B350" s="17" t="n">
        <v>46607</v>
      </c>
      <c r="C350" s="16" t="n">
        <v>49</v>
      </c>
      <c r="D350" s="8" t="s">
        <v>512</v>
      </c>
      <c r="E350" s="26" t="n">
        <v>5.2</v>
      </c>
      <c r="F350" s="26"/>
      <c r="G350" s="20" t="n">
        <f aca="false">IF(N($F350)&gt;0,$F350,IF(CENARIO_CLIMA="USUARIO",0,$E350))</f>
        <v>5.2</v>
      </c>
      <c r="H350" s="18" t="n">
        <f aca="false">SUMIFS($G$8:$G$469,$C$8:$C$469,$C350)</f>
        <v>36.4</v>
      </c>
      <c r="I350" s="26" t="n">
        <v>0.16</v>
      </c>
      <c r="J350" s="26"/>
      <c r="K350" s="20" t="n">
        <f aca="false">IF(N($J350)&gt;0,$J350,IF(CENARIO_CLIMA="USUARIO",0,$I350))</f>
        <v>0.16</v>
      </c>
      <c r="L350" s="20" t="n">
        <f aca="false">MIN($K350*FATOR_CHUVA_UTIL,LIMITE_CHUVA_UTIL_DIA)</f>
        <v>0.128</v>
      </c>
      <c r="M350" s="26"/>
      <c r="N350" s="20" t="n">
        <f aca="false">IF(N($M350)&gt;0,$M350,$L350)</f>
        <v>0.128</v>
      </c>
      <c r="O350" s="8" t="str">
        <f aca="false">IF(N($F350)+N($J350)&gt;0,"Serie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0" s="8" t="str">
        <f aca="false">IF(N($M350)&gt;0,"Chuva util informada pelo usuario","MIN(Chuva bruta x FATOR_CHUVA_UTIL ; LIMITE_CHUVA_UTIL_DIA)")</f>
        <v>MIN(Chuva bruta x FATOR_CHUVA_UTIL ; LIMITE_CHUVA_UTIL_DIA)</v>
      </c>
    </row>
    <row r="351" customFormat="false" ht="15" hidden="false" customHeight="false" outlineLevel="0" collapsed="false">
      <c r="B351" s="17" t="n">
        <v>46608</v>
      </c>
      <c r="C351" s="16" t="n">
        <v>50</v>
      </c>
      <c r="D351" s="8" t="s">
        <v>512</v>
      </c>
      <c r="E351" s="26" t="n">
        <v>5.2</v>
      </c>
      <c r="F351" s="26"/>
      <c r="G351" s="20" t="n">
        <f aca="false">IF(N($F351)&gt;0,$F351,IF(CENARIO_CLIMA="USUARIO",0,$E351))</f>
        <v>5.2</v>
      </c>
      <c r="H351" s="18" t="n">
        <f aca="false">SUMIFS($G$8:$G$469,$C$8:$C$469,$C351)</f>
        <v>36.4</v>
      </c>
      <c r="I351" s="26" t="n">
        <v>0.16</v>
      </c>
      <c r="J351" s="26"/>
      <c r="K351" s="20" t="n">
        <f aca="false">IF(N($J351)&gt;0,$J351,IF(CENARIO_CLIMA="USUARIO",0,$I351))</f>
        <v>0.16</v>
      </c>
      <c r="L351" s="20" t="n">
        <f aca="false">MIN($K351*FATOR_CHUVA_UTIL,LIMITE_CHUVA_UTIL_DIA)</f>
        <v>0.128</v>
      </c>
      <c r="M351" s="26"/>
      <c r="N351" s="20" t="n">
        <f aca="false">IF(N($M351)&gt;0,$M351,$L351)</f>
        <v>0.128</v>
      </c>
      <c r="O351" s="8" t="str">
        <f aca="false">IF(N($F351)+N($J351)&gt;0,"Serie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1" s="8" t="str">
        <f aca="false">IF(N($M351)&gt;0,"Chuva util informada pelo usuario","MIN(Chuva bruta x FATOR_CHUVA_UTIL ; LIMITE_CHUVA_UTIL_DIA)")</f>
        <v>MIN(Chuva bruta x FATOR_CHUVA_UTIL ; LIMITE_CHUVA_UTIL_DIA)</v>
      </c>
    </row>
    <row r="352" customFormat="false" ht="15" hidden="false" customHeight="false" outlineLevel="0" collapsed="false">
      <c r="B352" s="17" t="n">
        <v>46609</v>
      </c>
      <c r="C352" s="16" t="n">
        <v>50</v>
      </c>
      <c r="D352" s="8" t="s">
        <v>512</v>
      </c>
      <c r="E352" s="26" t="n">
        <v>5.2</v>
      </c>
      <c r="F352" s="26"/>
      <c r="G352" s="20" t="n">
        <f aca="false">IF(N($F352)&gt;0,$F352,IF(CENARIO_CLIMA="USUARIO",0,$E352))</f>
        <v>5.2</v>
      </c>
      <c r="H352" s="18" t="n">
        <f aca="false">SUMIFS($G$8:$G$469,$C$8:$C$469,$C352)</f>
        <v>36.4</v>
      </c>
      <c r="I352" s="26" t="n">
        <v>0.16</v>
      </c>
      <c r="J352" s="26"/>
      <c r="K352" s="20" t="n">
        <f aca="false">IF(N($J352)&gt;0,$J352,IF(CENARIO_CLIMA="USUARIO",0,$I352))</f>
        <v>0.16</v>
      </c>
      <c r="L352" s="20" t="n">
        <f aca="false">MIN($K352*FATOR_CHUVA_UTIL,LIMITE_CHUVA_UTIL_DIA)</f>
        <v>0.128</v>
      </c>
      <c r="M352" s="26"/>
      <c r="N352" s="20" t="n">
        <f aca="false">IF(N($M352)&gt;0,$M352,$L352)</f>
        <v>0.128</v>
      </c>
      <c r="O352" s="8" t="str">
        <f aca="false">IF(N($F352)+N($J352)&gt;0,"Serie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2" s="8" t="str">
        <f aca="false">IF(N($M352)&gt;0,"Chuva util informada pelo usuario","MIN(Chuva bruta x FATOR_CHUVA_UTIL ; LIMITE_CHUVA_UTIL_DIA)")</f>
        <v>MIN(Chuva bruta x FATOR_CHUVA_UTIL ; LIMITE_CHUVA_UTIL_DIA)</v>
      </c>
    </row>
    <row r="353" customFormat="false" ht="15" hidden="false" customHeight="false" outlineLevel="0" collapsed="false">
      <c r="B353" s="17" t="n">
        <v>46610</v>
      </c>
      <c r="C353" s="16" t="n">
        <v>50</v>
      </c>
      <c r="D353" s="8" t="s">
        <v>512</v>
      </c>
      <c r="E353" s="26" t="n">
        <v>5.2</v>
      </c>
      <c r="F353" s="26"/>
      <c r="G353" s="20" t="n">
        <f aca="false">IF(N($F353)&gt;0,$F353,IF(CENARIO_CLIMA="USUARIO",0,$E353))</f>
        <v>5.2</v>
      </c>
      <c r="H353" s="18" t="n">
        <f aca="false">SUMIFS($G$8:$G$469,$C$8:$C$469,$C353)</f>
        <v>36.4</v>
      </c>
      <c r="I353" s="26" t="n">
        <v>0.16</v>
      </c>
      <c r="J353" s="26"/>
      <c r="K353" s="20" t="n">
        <f aca="false">IF(N($J353)&gt;0,$J353,IF(CENARIO_CLIMA="USUARIO",0,$I353))</f>
        <v>0.16</v>
      </c>
      <c r="L353" s="20" t="n">
        <f aca="false">MIN($K353*FATOR_CHUVA_UTIL,LIMITE_CHUVA_UTIL_DIA)</f>
        <v>0.128</v>
      </c>
      <c r="M353" s="26"/>
      <c r="N353" s="20" t="n">
        <f aca="false">IF(N($M353)&gt;0,$M353,$L353)</f>
        <v>0.128</v>
      </c>
      <c r="O353" s="8" t="str">
        <f aca="false">IF(N($F353)+N($J353)&gt;0,"Serie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3" s="8" t="str">
        <f aca="false">IF(N($M353)&gt;0,"Chuva util informada pelo usuario","MIN(Chuva bruta x FATOR_CHUVA_UTIL ; LIMITE_CHUVA_UTIL_DIA)")</f>
        <v>MIN(Chuva bruta x FATOR_CHUVA_UTIL ; LIMITE_CHUVA_UTIL_DIA)</v>
      </c>
    </row>
    <row r="354" customFormat="false" ht="15" hidden="false" customHeight="false" outlineLevel="0" collapsed="false">
      <c r="B354" s="17" t="n">
        <v>46611</v>
      </c>
      <c r="C354" s="16" t="n">
        <v>50</v>
      </c>
      <c r="D354" s="8" t="s">
        <v>512</v>
      </c>
      <c r="E354" s="26" t="n">
        <v>5.2</v>
      </c>
      <c r="F354" s="26"/>
      <c r="G354" s="20" t="n">
        <f aca="false">IF(N($F354)&gt;0,$F354,IF(CENARIO_CLIMA="USUARIO",0,$E354))</f>
        <v>5.2</v>
      </c>
      <c r="H354" s="18" t="n">
        <f aca="false">SUMIFS($G$8:$G$469,$C$8:$C$469,$C354)</f>
        <v>36.4</v>
      </c>
      <c r="I354" s="26" t="n">
        <v>0.16</v>
      </c>
      <c r="J354" s="26"/>
      <c r="K354" s="20" t="n">
        <f aca="false">IF(N($J354)&gt;0,$J354,IF(CENARIO_CLIMA="USUARIO",0,$I354))</f>
        <v>0.16</v>
      </c>
      <c r="L354" s="20" t="n">
        <f aca="false">MIN($K354*FATOR_CHUVA_UTIL,LIMITE_CHUVA_UTIL_DIA)</f>
        <v>0.128</v>
      </c>
      <c r="M354" s="26"/>
      <c r="N354" s="20" t="n">
        <f aca="false">IF(N($M354)&gt;0,$M354,$L354)</f>
        <v>0.128</v>
      </c>
      <c r="O354" s="8" t="str">
        <f aca="false">IF(N($F354)+N($J354)&gt;0,"Serie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4" s="8" t="str">
        <f aca="false">IF(N($M354)&gt;0,"Chuva util informada pelo usuario","MIN(Chuva bruta x FATOR_CHUVA_UTIL ; LIMITE_CHUVA_UTIL_DIA)")</f>
        <v>MIN(Chuva bruta x FATOR_CHUVA_UTIL ; LIMITE_CHUVA_UTIL_DIA)</v>
      </c>
    </row>
    <row r="355" customFormat="false" ht="15" hidden="false" customHeight="false" outlineLevel="0" collapsed="false">
      <c r="B355" s="17" t="n">
        <v>46612</v>
      </c>
      <c r="C355" s="16" t="n">
        <v>50</v>
      </c>
      <c r="D355" s="8" t="s">
        <v>512</v>
      </c>
      <c r="E355" s="26" t="n">
        <v>5.2</v>
      </c>
      <c r="F355" s="26"/>
      <c r="G355" s="20" t="n">
        <f aca="false">IF(N($F355)&gt;0,$F355,IF(CENARIO_CLIMA="USUARIO",0,$E355))</f>
        <v>5.2</v>
      </c>
      <c r="H355" s="18" t="n">
        <f aca="false">SUMIFS($G$8:$G$469,$C$8:$C$469,$C355)</f>
        <v>36.4</v>
      </c>
      <c r="I355" s="26" t="n">
        <v>0.16</v>
      </c>
      <c r="J355" s="26"/>
      <c r="K355" s="20" t="n">
        <f aca="false">IF(N($J355)&gt;0,$J355,IF(CENARIO_CLIMA="USUARIO",0,$I355))</f>
        <v>0.16</v>
      </c>
      <c r="L355" s="20" t="n">
        <f aca="false">MIN($K355*FATOR_CHUVA_UTIL,LIMITE_CHUVA_UTIL_DIA)</f>
        <v>0.128</v>
      </c>
      <c r="M355" s="26"/>
      <c r="N355" s="20" t="n">
        <f aca="false">IF(N($M355)&gt;0,$M355,$L355)</f>
        <v>0.128</v>
      </c>
      <c r="O355" s="8" t="str">
        <f aca="false">IF(N($F355)+N($J355)&gt;0,"Serie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5" s="8" t="str">
        <f aca="false">IF(N($M355)&gt;0,"Chuva util informada pelo usuario","MIN(Chuva bruta x FATOR_CHUVA_UTIL ; LIMITE_CHUVA_UTIL_DIA)")</f>
        <v>MIN(Chuva bruta x FATOR_CHUVA_UTIL ; LIMITE_CHUVA_UTIL_DIA)</v>
      </c>
    </row>
    <row r="356" customFormat="false" ht="15" hidden="false" customHeight="false" outlineLevel="0" collapsed="false">
      <c r="B356" s="17" t="n">
        <v>46613</v>
      </c>
      <c r="C356" s="16" t="n">
        <v>50</v>
      </c>
      <c r="D356" s="8" t="s">
        <v>512</v>
      </c>
      <c r="E356" s="26" t="n">
        <v>5.2</v>
      </c>
      <c r="F356" s="26"/>
      <c r="G356" s="20" t="n">
        <f aca="false">IF(N($F356)&gt;0,$F356,IF(CENARIO_CLIMA="USUARIO",0,$E356))</f>
        <v>5.2</v>
      </c>
      <c r="H356" s="18" t="n">
        <f aca="false">SUMIFS($G$8:$G$469,$C$8:$C$469,$C356)</f>
        <v>36.4</v>
      </c>
      <c r="I356" s="26" t="n">
        <v>0.16</v>
      </c>
      <c r="J356" s="26"/>
      <c r="K356" s="20" t="n">
        <f aca="false">IF(N($J356)&gt;0,$J356,IF(CENARIO_CLIMA="USUARIO",0,$I356))</f>
        <v>0.16</v>
      </c>
      <c r="L356" s="20" t="n">
        <f aca="false">MIN($K356*FATOR_CHUVA_UTIL,LIMITE_CHUVA_UTIL_DIA)</f>
        <v>0.128</v>
      </c>
      <c r="M356" s="26"/>
      <c r="N356" s="20" t="n">
        <f aca="false">IF(N($M356)&gt;0,$M356,$L356)</f>
        <v>0.128</v>
      </c>
      <c r="O356" s="8" t="str">
        <f aca="false">IF(N($F356)+N($J356)&gt;0,"Serie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6" s="8" t="str">
        <f aca="false">IF(N($M356)&gt;0,"Chuva util informada pelo usuario","MIN(Chuva bruta x FATOR_CHUVA_UTIL ; LIMITE_CHUVA_UTIL_DIA)")</f>
        <v>MIN(Chuva bruta x FATOR_CHUVA_UTIL ; LIMITE_CHUVA_UTIL_DIA)</v>
      </c>
    </row>
    <row r="357" customFormat="false" ht="15" hidden="false" customHeight="false" outlineLevel="0" collapsed="false">
      <c r="B357" s="17" t="n">
        <v>46614</v>
      </c>
      <c r="C357" s="16" t="n">
        <v>50</v>
      </c>
      <c r="D357" s="8" t="s">
        <v>512</v>
      </c>
      <c r="E357" s="26" t="n">
        <v>5.2</v>
      </c>
      <c r="F357" s="26"/>
      <c r="G357" s="20" t="n">
        <f aca="false">IF(N($F357)&gt;0,$F357,IF(CENARIO_CLIMA="USUARIO",0,$E357))</f>
        <v>5.2</v>
      </c>
      <c r="H357" s="18" t="n">
        <f aca="false">SUMIFS($G$8:$G$469,$C$8:$C$469,$C357)</f>
        <v>36.4</v>
      </c>
      <c r="I357" s="26" t="n">
        <v>0.16</v>
      </c>
      <c r="J357" s="26"/>
      <c r="K357" s="20" t="n">
        <f aca="false">IF(N($J357)&gt;0,$J357,IF(CENARIO_CLIMA="USUARIO",0,$I357))</f>
        <v>0.16</v>
      </c>
      <c r="L357" s="20" t="n">
        <f aca="false">MIN($K357*FATOR_CHUVA_UTIL,LIMITE_CHUVA_UTIL_DIA)</f>
        <v>0.128</v>
      </c>
      <c r="M357" s="26"/>
      <c r="N357" s="20" t="n">
        <f aca="false">IF(N($M357)&gt;0,$M357,$L357)</f>
        <v>0.128</v>
      </c>
      <c r="O357" s="8" t="str">
        <f aca="false">IF(N($F357)+N($J357)&gt;0,"Serie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7" s="8" t="str">
        <f aca="false">IF(N($M357)&gt;0,"Chuva util informada pelo usuario","MIN(Chuva bruta x FATOR_CHUVA_UTIL ; LIMITE_CHUVA_UTIL_DIA)")</f>
        <v>MIN(Chuva bruta x FATOR_CHUVA_UTIL ; LIMITE_CHUVA_UTIL_DIA)</v>
      </c>
    </row>
    <row r="358" customFormat="false" ht="15" hidden="false" customHeight="false" outlineLevel="0" collapsed="false">
      <c r="B358" s="17" t="n">
        <v>46615</v>
      </c>
      <c r="C358" s="16" t="n">
        <v>51</v>
      </c>
      <c r="D358" s="8" t="s">
        <v>512</v>
      </c>
      <c r="E358" s="26" t="n">
        <v>5.2</v>
      </c>
      <c r="F358" s="26"/>
      <c r="G358" s="20" t="n">
        <f aca="false">IF(N($F358)&gt;0,$F358,IF(CENARIO_CLIMA="USUARIO",0,$E358))</f>
        <v>5.2</v>
      </c>
      <c r="H358" s="18" t="n">
        <f aca="false">SUMIFS($G$8:$G$469,$C$8:$C$469,$C358)</f>
        <v>36.4</v>
      </c>
      <c r="I358" s="26" t="n">
        <v>0.16</v>
      </c>
      <c r="J358" s="26"/>
      <c r="K358" s="20" t="n">
        <f aca="false">IF(N($J358)&gt;0,$J358,IF(CENARIO_CLIMA="USUARIO",0,$I358))</f>
        <v>0.16</v>
      </c>
      <c r="L358" s="20" t="n">
        <f aca="false">MIN($K358*FATOR_CHUVA_UTIL,LIMITE_CHUVA_UTIL_DIA)</f>
        <v>0.128</v>
      </c>
      <c r="M358" s="26"/>
      <c r="N358" s="20" t="n">
        <f aca="false">IF(N($M358)&gt;0,$M358,$L358)</f>
        <v>0.128</v>
      </c>
      <c r="O358" s="8" t="str">
        <f aca="false">IF(N($F358)+N($J358)&gt;0,"Serie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8" s="8" t="str">
        <f aca="false">IF(N($M358)&gt;0,"Chuva util informada pelo usuario","MIN(Chuva bruta x FATOR_CHUVA_UTIL ; LIMITE_CHUVA_UTIL_DIA)")</f>
        <v>MIN(Chuva bruta x FATOR_CHUVA_UTIL ; LIMITE_CHUVA_UTIL_DIA)</v>
      </c>
    </row>
    <row r="359" customFormat="false" ht="15" hidden="false" customHeight="false" outlineLevel="0" collapsed="false">
      <c r="B359" s="17" t="n">
        <v>46616</v>
      </c>
      <c r="C359" s="16" t="n">
        <v>51</v>
      </c>
      <c r="D359" s="8" t="s">
        <v>512</v>
      </c>
      <c r="E359" s="26" t="n">
        <v>5.2</v>
      </c>
      <c r="F359" s="26"/>
      <c r="G359" s="20" t="n">
        <f aca="false">IF(N($F359)&gt;0,$F359,IF(CENARIO_CLIMA="USUARIO",0,$E359))</f>
        <v>5.2</v>
      </c>
      <c r="H359" s="18" t="n">
        <f aca="false">SUMIFS($G$8:$G$469,$C$8:$C$469,$C359)</f>
        <v>36.4</v>
      </c>
      <c r="I359" s="26" t="n">
        <v>0.16</v>
      </c>
      <c r="J359" s="26"/>
      <c r="K359" s="20" t="n">
        <f aca="false">IF(N($J359)&gt;0,$J359,IF(CENARIO_CLIMA="USUARIO",0,$I359))</f>
        <v>0.16</v>
      </c>
      <c r="L359" s="20" t="n">
        <f aca="false">MIN($K359*FATOR_CHUVA_UTIL,LIMITE_CHUVA_UTIL_DIA)</f>
        <v>0.128</v>
      </c>
      <c r="M359" s="26"/>
      <c r="N359" s="20" t="n">
        <f aca="false">IF(N($M359)&gt;0,$M359,$L359)</f>
        <v>0.128</v>
      </c>
      <c r="O359" s="8" t="str">
        <f aca="false">IF(N($F359)+N($J359)&gt;0,"Serie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59" s="8" t="str">
        <f aca="false">IF(N($M359)&gt;0,"Chuva util informada pelo usuario","MIN(Chuva bruta x FATOR_CHUVA_UTIL ; LIMITE_CHUVA_UTIL_DIA)")</f>
        <v>MIN(Chuva bruta x FATOR_CHUVA_UTIL ; LIMITE_CHUVA_UTIL_DIA)</v>
      </c>
    </row>
    <row r="360" customFormat="false" ht="15" hidden="false" customHeight="false" outlineLevel="0" collapsed="false">
      <c r="B360" s="17" t="n">
        <v>46617</v>
      </c>
      <c r="C360" s="16" t="n">
        <v>51</v>
      </c>
      <c r="D360" s="8" t="s">
        <v>512</v>
      </c>
      <c r="E360" s="26" t="n">
        <v>5.2</v>
      </c>
      <c r="F360" s="26"/>
      <c r="G360" s="20" t="n">
        <f aca="false">IF(N($F360)&gt;0,$F360,IF(CENARIO_CLIMA="USUARIO",0,$E360))</f>
        <v>5.2</v>
      </c>
      <c r="H360" s="18" t="n">
        <f aca="false">SUMIFS($G$8:$G$469,$C$8:$C$469,$C360)</f>
        <v>36.4</v>
      </c>
      <c r="I360" s="26" t="n">
        <v>0.16</v>
      </c>
      <c r="J360" s="26"/>
      <c r="K360" s="20" t="n">
        <f aca="false">IF(N($J360)&gt;0,$J360,IF(CENARIO_CLIMA="USUARIO",0,$I360))</f>
        <v>0.16</v>
      </c>
      <c r="L360" s="20" t="n">
        <f aca="false">MIN($K360*FATOR_CHUVA_UTIL,LIMITE_CHUVA_UTIL_DIA)</f>
        <v>0.128</v>
      </c>
      <c r="M360" s="26"/>
      <c r="N360" s="20" t="n">
        <f aca="false">IF(N($M360)&gt;0,$M360,$L360)</f>
        <v>0.128</v>
      </c>
      <c r="O360" s="8" t="str">
        <f aca="false">IF(N($F360)+N($J360)&gt;0,"Serie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0" s="8" t="str">
        <f aca="false">IF(N($M360)&gt;0,"Chuva util informada pelo usuario","MIN(Chuva bruta x FATOR_CHUVA_UTIL ; LIMITE_CHUVA_UTIL_DIA)")</f>
        <v>MIN(Chuva bruta x FATOR_CHUVA_UTIL ; LIMITE_CHUVA_UTIL_DIA)</v>
      </c>
    </row>
    <row r="361" customFormat="false" ht="15" hidden="false" customHeight="false" outlineLevel="0" collapsed="false">
      <c r="B361" s="17" t="n">
        <v>46618</v>
      </c>
      <c r="C361" s="16" t="n">
        <v>51</v>
      </c>
      <c r="D361" s="8" t="s">
        <v>512</v>
      </c>
      <c r="E361" s="26" t="n">
        <v>5.2</v>
      </c>
      <c r="F361" s="26"/>
      <c r="G361" s="20" t="n">
        <f aca="false">IF(N($F361)&gt;0,$F361,IF(CENARIO_CLIMA="USUARIO",0,$E361))</f>
        <v>5.2</v>
      </c>
      <c r="H361" s="18" t="n">
        <f aca="false">SUMIFS($G$8:$G$469,$C$8:$C$469,$C361)</f>
        <v>36.4</v>
      </c>
      <c r="I361" s="26" t="n">
        <v>0.16</v>
      </c>
      <c r="J361" s="26"/>
      <c r="K361" s="20" t="n">
        <f aca="false">IF(N($J361)&gt;0,$J361,IF(CENARIO_CLIMA="USUARIO",0,$I361))</f>
        <v>0.16</v>
      </c>
      <c r="L361" s="20" t="n">
        <f aca="false">MIN($K361*FATOR_CHUVA_UTIL,LIMITE_CHUVA_UTIL_DIA)</f>
        <v>0.128</v>
      </c>
      <c r="M361" s="26"/>
      <c r="N361" s="20" t="n">
        <f aca="false">IF(N($M361)&gt;0,$M361,$L361)</f>
        <v>0.128</v>
      </c>
      <c r="O361" s="8" t="str">
        <f aca="false">IF(N($F361)+N($J361)&gt;0,"Serie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1" s="8" t="str">
        <f aca="false">IF(N($M361)&gt;0,"Chuva util informada pelo usuario","MIN(Chuva bruta x FATOR_CHUVA_UTIL ; LIMITE_CHUVA_UTIL_DIA)")</f>
        <v>MIN(Chuva bruta x FATOR_CHUVA_UTIL ; LIMITE_CHUVA_UTIL_DIA)</v>
      </c>
    </row>
    <row r="362" customFormat="false" ht="15" hidden="false" customHeight="false" outlineLevel="0" collapsed="false">
      <c r="B362" s="17" t="n">
        <v>46619</v>
      </c>
      <c r="C362" s="16" t="n">
        <v>51</v>
      </c>
      <c r="D362" s="8" t="s">
        <v>512</v>
      </c>
      <c r="E362" s="26" t="n">
        <v>5.2</v>
      </c>
      <c r="F362" s="26"/>
      <c r="G362" s="20" t="n">
        <f aca="false">IF(N($F362)&gt;0,$F362,IF(CENARIO_CLIMA="USUARIO",0,$E362))</f>
        <v>5.2</v>
      </c>
      <c r="H362" s="18" t="n">
        <f aca="false">SUMIFS($G$8:$G$469,$C$8:$C$469,$C362)</f>
        <v>36.4</v>
      </c>
      <c r="I362" s="26" t="n">
        <v>0.16</v>
      </c>
      <c r="J362" s="26"/>
      <c r="K362" s="20" t="n">
        <f aca="false">IF(N($J362)&gt;0,$J362,IF(CENARIO_CLIMA="USUARIO",0,$I362))</f>
        <v>0.16</v>
      </c>
      <c r="L362" s="20" t="n">
        <f aca="false">MIN($K362*FATOR_CHUVA_UTIL,LIMITE_CHUVA_UTIL_DIA)</f>
        <v>0.128</v>
      </c>
      <c r="M362" s="26"/>
      <c r="N362" s="20" t="n">
        <f aca="false">IF(N($M362)&gt;0,$M362,$L362)</f>
        <v>0.128</v>
      </c>
      <c r="O362" s="8" t="str">
        <f aca="false">IF(N($F362)+N($J362)&gt;0,"Serie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2" s="8" t="str">
        <f aca="false">IF(N($M362)&gt;0,"Chuva util informada pelo usuario","MIN(Chuva bruta x FATOR_CHUVA_UTIL ; LIMITE_CHUVA_UTIL_DIA)")</f>
        <v>MIN(Chuva bruta x FATOR_CHUVA_UTIL ; LIMITE_CHUVA_UTIL_DIA)</v>
      </c>
    </row>
    <row r="363" customFormat="false" ht="15" hidden="false" customHeight="false" outlineLevel="0" collapsed="false">
      <c r="B363" s="17" t="n">
        <v>46620</v>
      </c>
      <c r="C363" s="16" t="n">
        <v>51</v>
      </c>
      <c r="D363" s="8" t="s">
        <v>512</v>
      </c>
      <c r="E363" s="26" t="n">
        <v>5.2</v>
      </c>
      <c r="F363" s="26"/>
      <c r="G363" s="20" t="n">
        <f aca="false">IF(N($F363)&gt;0,$F363,IF(CENARIO_CLIMA="USUARIO",0,$E363))</f>
        <v>5.2</v>
      </c>
      <c r="H363" s="18" t="n">
        <f aca="false">SUMIFS($G$8:$G$469,$C$8:$C$469,$C363)</f>
        <v>36.4</v>
      </c>
      <c r="I363" s="26" t="n">
        <v>0.16</v>
      </c>
      <c r="J363" s="26"/>
      <c r="K363" s="20" t="n">
        <f aca="false">IF(N($J363)&gt;0,$J363,IF(CENARIO_CLIMA="USUARIO",0,$I363))</f>
        <v>0.16</v>
      </c>
      <c r="L363" s="20" t="n">
        <f aca="false">MIN($K363*FATOR_CHUVA_UTIL,LIMITE_CHUVA_UTIL_DIA)</f>
        <v>0.128</v>
      </c>
      <c r="M363" s="26"/>
      <c r="N363" s="20" t="n">
        <f aca="false">IF(N($M363)&gt;0,$M363,$L363)</f>
        <v>0.128</v>
      </c>
      <c r="O363" s="8" t="str">
        <f aca="false">IF(N($F363)+N($J363)&gt;0,"Serie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3" s="8" t="str">
        <f aca="false">IF(N($M363)&gt;0,"Chuva util informada pelo usuario","MIN(Chuva bruta x FATOR_CHUVA_UTIL ; LIMITE_CHUVA_UTIL_DIA)")</f>
        <v>MIN(Chuva bruta x FATOR_CHUVA_UTIL ; LIMITE_CHUVA_UTIL_DIA)</v>
      </c>
    </row>
    <row r="364" customFormat="false" ht="15" hidden="false" customHeight="false" outlineLevel="0" collapsed="false">
      <c r="B364" s="17" t="n">
        <v>46621</v>
      </c>
      <c r="C364" s="16" t="n">
        <v>51</v>
      </c>
      <c r="D364" s="8" t="s">
        <v>512</v>
      </c>
      <c r="E364" s="26" t="n">
        <v>5.2</v>
      </c>
      <c r="F364" s="26"/>
      <c r="G364" s="20" t="n">
        <f aca="false">IF(N($F364)&gt;0,$F364,IF(CENARIO_CLIMA="USUARIO",0,$E364))</f>
        <v>5.2</v>
      </c>
      <c r="H364" s="18" t="n">
        <f aca="false">SUMIFS($G$8:$G$469,$C$8:$C$469,$C364)</f>
        <v>36.4</v>
      </c>
      <c r="I364" s="26" t="n">
        <v>0.16</v>
      </c>
      <c r="J364" s="26"/>
      <c r="K364" s="20" t="n">
        <f aca="false">IF(N($J364)&gt;0,$J364,IF(CENARIO_CLIMA="USUARIO",0,$I364))</f>
        <v>0.16</v>
      </c>
      <c r="L364" s="20" t="n">
        <f aca="false">MIN($K364*FATOR_CHUVA_UTIL,LIMITE_CHUVA_UTIL_DIA)</f>
        <v>0.128</v>
      </c>
      <c r="M364" s="26"/>
      <c r="N364" s="20" t="n">
        <f aca="false">IF(N($M364)&gt;0,$M364,$L364)</f>
        <v>0.128</v>
      </c>
      <c r="O364" s="8" t="str">
        <f aca="false">IF(N($F364)+N($J364)&gt;0,"Serie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4" s="8" t="str">
        <f aca="false">IF(N($M364)&gt;0,"Chuva util informada pelo usuario","MIN(Chuva bruta x FATOR_CHUVA_UTIL ; LIMITE_CHUVA_UTIL_DIA)")</f>
        <v>MIN(Chuva bruta x FATOR_CHUVA_UTIL ; LIMITE_CHUVA_UTIL_DIA)</v>
      </c>
    </row>
    <row r="365" customFormat="false" ht="15" hidden="false" customHeight="false" outlineLevel="0" collapsed="false">
      <c r="B365" s="17" t="n">
        <v>46622</v>
      </c>
      <c r="C365" s="16" t="n">
        <v>52</v>
      </c>
      <c r="D365" s="8" t="s">
        <v>512</v>
      </c>
      <c r="E365" s="26" t="n">
        <v>5.2</v>
      </c>
      <c r="F365" s="26"/>
      <c r="G365" s="20" t="n">
        <f aca="false">IF(N($F365)&gt;0,$F365,IF(CENARIO_CLIMA="USUARIO",0,$E365))</f>
        <v>5.2</v>
      </c>
      <c r="H365" s="18" t="n">
        <f aca="false">SUMIFS($G$8:$G$469,$C$8:$C$469,$C365)</f>
        <v>36.4</v>
      </c>
      <c r="I365" s="26" t="n">
        <v>0.16</v>
      </c>
      <c r="J365" s="26"/>
      <c r="K365" s="20" t="n">
        <f aca="false">IF(N($J365)&gt;0,$J365,IF(CENARIO_CLIMA="USUARIO",0,$I365))</f>
        <v>0.16</v>
      </c>
      <c r="L365" s="20" t="n">
        <f aca="false">MIN($K365*FATOR_CHUVA_UTIL,LIMITE_CHUVA_UTIL_DIA)</f>
        <v>0.128</v>
      </c>
      <c r="M365" s="26"/>
      <c r="N365" s="20" t="n">
        <f aca="false">IF(N($M365)&gt;0,$M365,$L365)</f>
        <v>0.128</v>
      </c>
      <c r="O365" s="8" t="str">
        <f aca="false">IF(N($F365)+N($J365)&gt;0,"Serie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5" s="8" t="str">
        <f aca="false">IF(N($M365)&gt;0,"Chuva util informada pelo usuario","MIN(Chuva bruta x FATOR_CHUVA_UTIL ; LIMITE_CHUVA_UTIL_DIA)")</f>
        <v>MIN(Chuva bruta x FATOR_CHUVA_UTIL ; LIMITE_CHUVA_UTIL_DIA)</v>
      </c>
    </row>
    <row r="366" customFormat="false" ht="15" hidden="false" customHeight="false" outlineLevel="0" collapsed="false">
      <c r="B366" s="17" t="n">
        <v>46623</v>
      </c>
      <c r="C366" s="16" t="n">
        <v>52</v>
      </c>
      <c r="D366" s="8" t="s">
        <v>512</v>
      </c>
      <c r="E366" s="26" t="n">
        <v>5.2</v>
      </c>
      <c r="F366" s="26"/>
      <c r="G366" s="20" t="n">
        <f aca="false">IF(N($F366)&gt;0,$F366,IF(CENARIO_CLIMA="USUARIO",0,$E366))</f>
        <v>5.2</v>
      </c>
      <c r="H366" s="18" t="n">
        <f aca="false">SUMIFS($G$8:$G$469,$C$8:$C$469,$C366)</f>
        <v>36.4</v>
      </c>
      <c r="I366" s="26" t="n">
        <v>0.16</v>
      </c>
      <c r="J366" s="26"/>
      <c r="K366" s="20" t="n">
        <f aca="false">IF(N($J366)&gt;0,$J366,IF(CENARIO_CLIMA="USUARIO",0,$I366))</f>
        <v>0.16</v>
      </c>
      <c r="L366" s="20" t="n">
        <f aca="false">MIN($K366*FATOR_CHUVA_UTIL,LIMITE_CHUVA_UTIL_DIA)</f>
        <v>0.128</v>
      </c>
      <c r="M366" s="26"/>
      <c r="N366" s="20" t="n">
        <f aca="false">IF(N($M366)&gt;0,$M366,$L366)</f>
        <v>0.128</v>
      </c>
      <c r="O366" s="8" t="str">
        <f aca="false">IF(N($F366)+N($J366)&gt;0,"Serie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6" s="8" t="str">
        <f aca="false">IF(N($M366)&gt;0,"Chuva util informada pelo usuario","MIN(Chuva bruta x FATOR_CHUVA_UTIL ; LIMITE_CHUVA_UTIL_DIA)")</f>
        <v>MIN(Chuva bruta x FATOR_CHUVA_UTIL ; LIMITE_CHUVA_UTIL_DIA)</v>
      </c>
    </row>
    <row r="367" customFormat="false" ht="15" hidden="false" customHeight="false" outlineLevel="0" collapsed="false">
      <c r="B367" s="17" t="n">
        <v>46624</v>
      </c>
      <c r="C367" s="16" t="n">
        <v>52</v>
      </c>
      <c r="D367" s="8" t="s">
        <v>512</v>
      </c>
      <c r="E367" s="26" t="n">
        <v>5.2</v>
      </c>
      <c r="F367" s="26"/>
      <c r="G367" s="20" t="n">
        <f aca="false">IF(N($F367)&gt;0,$F367,IF(CENARIO_CLIMA="USUARIO",0,$E367))</f>
        <v>5.2</v>
      </c>
      <c r="H367" s="18" t="n">
        <f aca="false">SUMIFS($G$8:$G$469,$C$8:$C$469,$C367)</f>
        <v>36.4</v>
      </c>
      <c r="I367" s="26" t="n">
        <v>0.16</v>
      </c>
      <c r="J367" s="26"/>
      <c r="K367" s="20" t="n">
        <f aca="false">IF(N($J367)&gt;0,$J367,IF(CENARIO_CLIMA="USUARIO",0,$I367))</f>
        <v>0.16</v>
      </c>
      <c r="L367" s="20" t="n">
        <f aca="false">MIN($K367*FATOR_CHUVA_UTIL,LIMITE_CHUVA_UTIL_DIA)</f>
        <v>0.128</v>
      </c>
      <c r="M367" s="26"/>
      <c r="N367" s="20" t="n">
        <f aca="false">IF(N($M367)&gt;0,$M367,$L367)</f>
        <v>0.128</v>
      </c>
      <c r="O367" s="8" t="str">
        <f aca="false">IF(N($F367)+N($J367)&gt;0,"Serie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7" s="8" t="str">
        <f aca="false">IF(N($M367)&gt;0,"Chuva util informada pelo usuario","MIN(Chuva bruta x FATOR_CHUVA_UTIL ; LIMITE_CHUVA_UTIL_DIA)")</f>
        <v>MIN(Chuva bruta x FATOR_CHUVA_UTIL ; LIMITE_CHUVA_UTIL_DIA)</v>
      </c>
    </row>
    <row r="368" customFormat="false" ht="15" hidden="false" customHeight="false" outlineLevel="0" collapsed="false">
      <c r="B368" s="17" t="n">
        <v>46625</v>
      </c>
      <c r="C368" s="16" t="n">
        <v>52</v>
      </c>
      <c r="D368" s="8" t="s">
        <v>512</v>
      </c>
      <c r="E368" s="26" t="n">
        <v>5.2</v>
      </c>
      <c r="F368" s="26"/>
      <c r="G368" s="20" t="n">
        <f aca="false">IF(N($F368)&gt;0,$F368,IF(CENARIO_CLIMA="USUARIO",0,$E368))</f>
        <v>5.2</v>
      </c>
      <c r="H368" s="18" t="n">
        <f aca="false">SUMIFS($G$8:$G$469,$C$8:$C$469,$C368)</f>
        <v>36.4</v>
      </c>
      <c r="I368" s="26" t="n">
        <v>0.16</v>
      </c>
      <c r="J368" s="26"/>
      <c r="K368" s="20" t="n">
        <f aca="false">IF(N($J368)&gt;0,$J368,IF(CENARIO_CLIMA="USUARIO",0,$I368))</f>
        <v>0.16</v>
      </c>
      <c r="L368" s="20" t="n">
        <f aca="false">MIN($K368*FATOR_CHUVA_UTIL,LIMITE_CHUVA_UTIL_DIA)</f>
        <v>0.128</v>
      </c>
      <c r="M368" s="26"/>
      <c r="N368" s="20" t="n">
        <f aca="false">IF(N($M368)&gt;0,$M368,$L368)</f>
        <v>0.128</v>
      </c>
      <c r="O368" s="8" t="str">
        <f aca="false">IF(N($F368)+N($J368)&gt;0,"Serie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8" s="8" t="str">
        <f aca="false">IF(N($M368)&gt;0,"Chuva util informada pelo usuario","MIN(Chuva bruta x FATOR_CHUVA_UTIL ; LIMITE_CHUVA_UTIL_DIA)")</f>
        <v>MIN(Chuva bruta x FATOR_CHUVA_UTIL ; LIMITE_CHUVA_UTIL_DIA)</v>
      </c>
    </row>
    <row r="369" customFormat="false" ht="15" hidden="false" customHeight="false" outlineLevel="0" collapsed="false">
      <c r="B369" s="17" t="n">
        <v>46626</v>
      </c>
      <c r="C369" s="16" t="n">
        <v>52</v>
      </c>
      <c r="D369" s="8" t="s">
        <v>512</v>
      </c>
      <c r="E369" s="26" t="n">
        <v>5.2</v>
      </c>
      <c r="F369" s="26"/>
      <c r="G369" s="20" t="n">
        <f aca="false">IF(N($F369)&gt;0,$F369,IF(CENARIO_CLIMA="USUARIO",0,$E369))</f>
        <v>5.2</v>
      </c>
      <c r="H369" s="18" t="n">
        <f aca="false">SUMIFS($G$8:$G$469,$C$8:$C$469,$C369)</f>
        <v>36.4</v>
      </c>
      <c r="I369" s="26" t="n">
        <v>0.16</v>
      </c>
      <c r="J369" s="26"/>
      <c r="K369" s="20" t="n">
        <f aca="false">IF(N($J369)&gt;0,$J369,IF(CENARIO_CLIMA="USUARIO",0,$I369))</f>
        <v>0.16</v>
      </c>
      <c r="L369" s="20" t="n">
        <f aca="false">MIN($K369*FATOR_CHUVA_UTIL,LIMITE_CHUVA_UTIL_DIA)</f>
        <v>0.128</v>
      </c>
      <c r="M369" s="26"/>
      <c r="N369" s="20" t="n">
        <f aca="false">IF(N($M369)&gt;0,$M369,$L369)</f>
        <v>0.128</v>
      </c>
      <c r="O369" s="8" t="str">
        <f aca="false">IF(N($F369)+N($J369)&gt;0,"Serie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69" s="8" t="str">
        <f aca="false">IF(N($M369)&gt;0,"Chuva util informada pelo usuario","MIN(Chuva bruta x FATOR_CHUVA_UTIL ; LIMITE_CHUVA_UTIL_DIA)")</f>
        <v>MIN(Chuva bruta x FATOR_CHUVA_UTIL ; LIMITE_CHUVA_UTIL_DIA)</v>
      </c>
    </row>
    <row r="370" customFormat="false" ht="15" hidden="false" customHeight="false" outlineLevel="0" collapsed="false">
      <c r="B370" s="17" t="n">
        <v>46627</v>
      </c>
      <c r="C370" s="16" t="n">
        <v>52</v>
      </c>
      <c r="D370" s="8" t="s">
        <v>512</v>
      </c>
      <c r="E370" s="26" t="n">
        <v>5.2</v>
      </c>
      <c r="F370" s="26"/>
      <c r="G370" s="20" t="n">
        <f aca="false">IF(N($F370)&gt;0,$F370,IF(CENARIO_CLIMA="USUARIO",0,$E370))</f>
        <v>5.2</v>
      </c>
      <c r="H370" s="18" t="n">
        <f aca="false">SUMIFS($G$8:$G$469,$C$8:$C$469,$C370)</f>
        <v>36.4</v>
      </c>
      <c r="I370" s="26" t="n">
        <v>0.16</v>
      </c>
      <c r="J370" s="26"/>
      <c r="K370" s="20" t="n">
        <f aca="false">IF(N($J370)&gt;0,$J370,IF(CENARIO_CLIMA="USUARIO",0,$I370))</f>
        <v>0.16</v>
      </c>
      <c r="L370" s="20" t="n">
        <f aca="false">MIN($K370*FATOR_CHUVA_UTIL,LIMITE_CHUVA_UTIL_DIA)</f>
        <v>0.128</v>
      </c>
      <c r="M370" s="26"/>
      <c r="N370" s="20" t="n">
        <f aca="false">IF(N($M370)&gt;0,$M370,$L370)</f>
        <v>0.128</v>
      </c>
      <c r="O370" s="8" t="str">
        <f aca="false">IF(N($F370)+N($J370)&gt;0,"Serie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0" s="8" t="str">
        <f aca="false">IF(N($M370)&gt;0,"Chuva util informada pelo usuario","MIN(Chuva bruta x FATOR_CHUVA_UTIL ; LIMITE_CHUVA_UTIL_DIA)")</f>
        <v>MIN(Chuva bruta x FATOR_CHUVA_UTIL ; LIMITE_CHUVA_UTIL_DIA)</v>
      </c>
    </row>
    <row r="371" customFormat="false" ht="15" hidden="false" customHeight="false" outlineLevel="0" collapsed="false">
      <c r="B371" s="17" t="n">
        <v>46628</v>
      </c>
      <c r="C371" s="16" t="n">
        <v>52</v>
      </c>
      <c r="D371" s="8" t="s">
        <v>512</v>
      </c>
      <c r="E371" s="26" t="n">
        <v>5.2</v>
      </c>
      <c r="F371" s="26"/>
      <c r="G371" s="20" t="n">
        <f aca="false">IF(N($F371)&gt;0,$F371,IF(CENARIO_CLIMA="USUARIO",0,$E371))</f>
        <v>5.2</v>
      </c>
      <c r="H371" s="18" t="n">
        <f aca="false">SUMIFS($G$8:$G$469,$C$8:$C$469,$C371)</f>
        <v>36.4</v>
      </c>
      <c r="I371" s="26" t="n">
        <v>0.16</v>
      </c>
      <c r="J371" s="26"/>
      <c r="K371" s="20" t="n">
        <f aca="false">IF(N($J371)&gt;0,$J371,IF(CENARIO_CLIMA="USUARIO",0,$I371))</f>
        <v>0.16</v>
      </c>
      <c r="L371" s="20" t="n">
        <f aca="false">MIN($K371*FATOR_CHUVA_UTIL,LIMITE_CHUVA_UTIL_DIA)</f>
        <v>0.128</v>
      </c>
      <c r="M371" s="26"/>
      <c r="N371" s="20" t="n">
        <f aca="false">IF(N($M371)&gt;0,$M371,$L371)</f>
        <v>0.128</v>
      </c>
      <c r="O371" s="8" t="str">
        <f aca="false">IF(N($F371)+N($J371)&gt;0,"Serie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1" s="8" t="str">
        <f aca="false">IF(N($M371)&gt;0,"Chuva util informada pelo usuario","MIN(Chuva bruta x FATOR_CHUVA_UTIL ; LIMITE_CHUVA_UTIL_DIA)")</f>
        <v>MIN(Chuva bruta x FATOR_CHUVA_UTIL ; LIMITE_CHUVA_UTIL_DIA)</v>
      </c>
    </row>
    <row r="372" customFormat="false" ht="15" hidden="false" customHeight="false" outlineLevel="0" collapsed="false">
      <c r="B372" s="17" t="n">
        <v>46629</v>
      </c>
      <c r="C372" s="16" t="n">
        <v>53</v>
      </c>
      <c r="D372" s="8" t="s">
        <v>512</v>
      </c>
      <c r="E372" s="26" t="n">
        <v>5.2</v>
      </c>
      <c r="F372" s="26"/>
      <c r="G372" s="20" t="n">
        <f aca="false">IF(N($F372)&gt;0,$F372,IF(CENARIO_CLIMA="USUARIO",0,$E372))</f>
        <v>5.2</v>
      </c>
      <c r="H372" s="18" t="n">
        <f aca="false">SUMIFS($G$8:$G$469,$C$8:$C$469,$C372)</f>
        <v>39.4</v>
      </c>
      <c r="I372" s="26" t="n">
        <v>0.16</v>
      </c>
      <c r="J372" s="26"/>
      <c r="K372" s="20" t="n">
        <f aca="false">IF(N($J372)&gt;0,$J372,IF(CENARIO_CLIMA="USUARIO",0,$I372))</f>
        <v>0.16</v>
      </c>
      <c r="L372" s="20" t="n">
        <f aca="false">MIN($K372*FATOR_CHUVA_UTIL,LIMITE_CHUVA_UTIL_DIA)</f>
        <v>0.128</v>
      </c>
      <c r="M372" s="26"/>
      <c r="N372" s="20" t="n">
        <f aca="false">IF(N($M372)&gt;0,$M372,$L372)</f>
        <v>0.128</v>
      </c>
      <c r="O372" s="8" t="str">
        <f aca="false">IF(N($F372)+N($J372)&gt;0,"Serie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2" s="8" t="str">
        <f aca="false">IF(N($M372)&gt;0,"Chuva util informada pelo usuario","MIN(Chuva bruta x FATOR_CHUVA_UTIL ; LIMITE_CHUVA_UTIL_DIA)")</f>
        <v>MIN(Chuva bruta x FATOR_CHUVA_UTIL ; LIMITE_CHUVA_UTIL_DIA)</v>
      </c>
    </row>
    <row r="373" customFormat="false" ht="15" hidden="false" customHeight="false" outlineLevel="0" collapsed="false">
      <c r="B373" s="17" t="n">
        <v>46630</v>
      </c>
      <c r="C373" s="16" t="n">
        <v>53</v>
      </c>
      <c r="D373" s="8" t="s">
        <v>512</v>
      </c>
      <c r="E373" s="26" t="n">
        <v>5.2</v>
      </c>
      <c r="F373" s="26"/>
      <c r="G373" s="20" t="n">
        <f aca="false">IF(N($F373)&gt;0,$F373,IF(CENARIO_CLIMA="USUARIO",0,$E373))</f>
        <v>5.2</v>
      </c>
      <c r="H373" s="18" t="n">
        <f aca="false">SUMIFS($G$8:$G$469,$C$8:$C$469,$C373)</f>
        <v>39.4</v>
      </c>
      <c r="I373" s="26" t="n">
        <v>0.16</v>
      </c>
      <c r="J373" s="26"/>
      <c r="K373" s="20" t="n">
        <f aca="false">IF(N($J373)&gt;0,$J373,IF(CENARIO_CLIMA="USUARIO",0,$I373))</f>
        <v>0.16</v>
      </c>
      <c r="L373" s="20" t="n">
        <f aca="false">MIN($K373*FATOR_CHUVA_UTIL,LIMITE_CHUVA_UTIL_DIA)</f>
        <v>0.128</v>
      </c>
      <c r="M373" s="26"/>
      <c r="N373" s="20" t="n">
        <f aca="false">IF(N($M373)&gt;0,$M373,$L373)</f>
        <v>0.128</v>
      </c>
      <c r="O373" s="8" t="str">
        <f aca="false">IF(N($F373)+N($J373)&gt;0,"Serie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3" s="8" t="str">
        <f aca="false">IF(N($M373)&gt;0,"Chuva util informada pelo usuario","MIN(Chuva bruta x FATOR_CHUVA_UTIL ; LIMITE_CHUVA_UTIL_DIA)")</f>
        <v>MIN(Chuva bruta x FATOR_CHUVA_UTIL ; LIMITE_CHUVA_UTIL_DIA)</v>
      </c>
    </row>
    <row r="374" customFormat="false" ht="15" hidden="false" customHeight="false" outlineLevel="0" collapsed="false">
      <c r="B374" s="17" t="n">
        <v>46631</v>
      </c>
      <c r="C374" s="16" t="n">
        <v>53</v>
      </c>
      <c r="D374" s="8" t="s">
        <v>513</v>
      </c>
      <c r="E374" s="26" t="n">
        <v>5.8</v>
      </c>
      <c r="F374" s="26"/>
      <c r="G374" s="20" t="n">
        <f aca="false">IF(N($F374)&gt;0,$F374,IF(CENARIO_CLIMA="USUARIO",0,$E374))</f>
        <v>5.8</v>
      </c>
      <c r="H374" s="18" t="n">
        <f aca="false">SUMIFS($G$8:$G$469,$C$8:$C$469,$C374)</f>
        <v>39.4</v>
      </c>
      <c r="I374" s="26" t="n">
        <v>1</v>
      </c>
      <c r="J374" s="26"/>
      <c r="K374" s="20" t="n">
        <f aca="false">IF(N($J374)&gt;0,$J374,IF(CENARIO_CLIMA="USUARIO",0,$I374))</f>
        <v>1</v>
      </c>
      <c r="L374" s="20" t="n">
        <f aca="false">MIN($K374*FATOR_CHUVA_UTIL,LIMITE_CHUVA_UTIL_DIA)</f>
        <v>0.8</v>
      </c>
      <c r="M374" s="26"/>
      <c r="N374" s="20" t="n">
        <f aca="false">IF(N($M374)&gt;0,$M374,$L374)</f>
        <v>0.8</v>
      </c>
      <c r="O374" s="8" t="str">
        <f aca="false">IF(N($F374)+N($J374)&gt;0,"Serie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4" s="8" t="str">
        <f aca="false">IF(N($M374)&gt;0,"Chuva util informada pelo usuario","MIN(Chuva bruta x FATOR_CHUVA_UTIL ; LIMITE_CHUVA_UTIL_DIA)")</f>
        <v>MIN(Chuva bruta x FATOR_CHUVA_UTIL ; LIMITE_CHUVA_UTIL_DIA)</v>
      </c>
    </row>
    <row r="375" customFormat="false" ht="15" hidden="false" customHeight="false" outlineLevel="0" collapsed="false">
      <c r="B375" s="17" t="n">
        <v>46632</v>
      </c>
      <c r="C375" s="16" t="n">
        <v>53</v>
      </c>
      <c r="D375" s="8" t="s">
        <v>513</v>
      </c>
      <c r="E375" s="26" t="n">
        <v>5.8</v>
      </c>
      <c r="F375" s="26"/>
      <c r="G375" s="20" t="n">
        <f aca="false">IF(N($F375)&gt;0,$F375,IF(CENARIO_CLIMA="USUARIO",0,$E375))</f>
        <v>5.8</v>
      </c>
      <c r="H375" s="18" t="n">
        <f aca="false">SUMIFS($G$8:$G$469,$C$8:$C$469,$C375)</f>
        <v>39.4</v>
      </c>
      <c r="I375" s="26" t="n">
        <v>1</v>
      </c>
      <c r="J375" s="26"/>
      <c r="K375" s="20" t="n">
        <f aca="false">IF(N($J375)&gt;0,$J375,IF(CENARIO_CLIMA="USUARIO",0,$I375))</f>
        <v>1</v>
      </c>
      <c r="L375" s="20" t="n">
        <f aca="false">MIN($K375*FATOR_CHUVA_UTIL,LIMITE_CHUVA_UTIL_DIA)</f>
        <v>0.8</v>
      </c>
      <c r="M375" s="26"/>
      <c r="N375" s="20" t="n">
        <f aca="false">IF(N($M375)&gt;0,$M375,$L375)</f>
        <v>0.8</v>
      </c>
      <c r="O375" s="8" t="str">
        <f aca="false">IF(N($F375)+N($J375)&gt;0,"Serie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5" s="8" t="str">
        <f aca="false">IF(N($M375)&gt;0,"Chuva util informada pelo usuario","MIN(Chuva bruta x FATOR_CHUVA_UTIL ; LIMITE_CHUVA_UTIL_DIA)")</f>
        <v>MIN(Chuva bruta x FATOR_CHUVA_UTIL ; LIMITE_CHUVA_UTIL_DIA)</v>
      </c>
    </row>
    <row r="376" customFormat="false" ht="15" hidden="false" customHeight="false" outlineLevel="0" collapsed="false">
      <c r="B376" s="17" t="n">
        <v>46633</v>
      </c>
      <c r="C376" s="16" t="n">
        <v>53</v>
      </c>
      <c r="D376" s="8" t="s">
        <v>513</v>
      </c>
      <c r="E376" s="26" t="n">
        <v>5.8</v>
      </c>
      <c r="F376" s="26"/>
      <c r="G376" s="20" t="n">
        <f aca="false">IF(N($F376)&gt;0,$F376,IF(CENARIO_CLIMA="USUARIO",0,$E376))</f>
        <v>5.8</v>
      </c>
      <c r="H376" s="18" t="n">
        <f aca="false">SUMIFS($G$8:$G$469,$C$8:$C$469,$C376)</f>
        <v>39.4</v>
      </c>
      <c r="I376" s="26" t="n">
        <v>1</v>
      </c>
      <c r="J376" s="26"/>
      <c r="K376" s="20" t="n">
        <f aca="false">IF(N($J376)&gt;0,$J376,IF(CENARIO_CLIMA="USUARIO",0,$I376))</f>
        <v>1</v>
      </c>
      <c r="L376" s="20" t="n">
        <f aca="false">MIN($K376*FATOR_CHUVA_UTIL,LIMITE_CHUVA_UTIL_DIA)</f>
        <v>0.8</v>
      </c>
      <c r="M376" s="26"/>
      <c r="N376" s="20" t="n">
        <f aca="false">IF(N($M376)&gt;0,$M376,$L376)</f>
        <v>0.8</v>
      </c>
      <c r="O376" s="8" t="str">
        <f aca="false">IF(N($F376)+N($J376)&gt;0,"Serie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6" s="8" t="str">
        <f aca="false">IF(N($M376)&gt;0,"Chuva util informada pelo usuario","MIN(Chuva bruta x FATOR_CHUVA_UTIL ; LIMITE_CHUVA_UTIL_DIA)")</f>
        <v>MIN(Chuva bruta x FATOR_CHUVA_UTIL ; LIMITE_CHUVA_UTIL_DIA)</v>
      </c>
    </row>
    <row r="377" customFormat="false" ht="15" hidden="false" customHeight="false" outlineLevel="0" collapsed="false">
      <c r="B377" s="17" t="n">
        <v>46634</v>
      </c>
      <c r="C377" s="16" t="n">
        <v>53</v>
      </c>
      <c r="D377" s="8" t="s">
        <v>513</v>
      </c>
      <c r="E377" s="26" t="n">
        <v>5.8</v>
      </c>
      <c r="F377" s="26"/>
      <c r="G377" s="20" t="n">
        <f aca="false">IF(N($F377)&gt;0,$F377,IF(CENARIO_CLIMA="USUARIO",0,$E377))</f>
        <v>5.8</v>
      </c>
      <c r="H377" s="18" t="n">
        <f aca="false">SUMIFS($G$8:$G$469,$C$8:$C$469,$C377)</f>
        <v>39.4</v>
      </c>
      <c r="I377" s="26" t="n">
        <v>1</v>
      </c>
      <c r="J377" s="26"/>
      <c r="K377" s="20" t="n">
        <f aca="false">IF(N($J377)&gt;0,$J377,IF(CENARIO_CLIMA="USUARIO",0,$I377))</f>
        <v>1</v>
      </c>
      <c r="L377" s="20" t="n">
        <f aca="false">MIN($K377*FATOR_CHUVA_UTIL,LIMITE_CHUVA_UTIL_DIA)</f>
        <v>0.8</v>
      </c>
      <c r="M377" s="26"/>
      <c r="N377" s="20" t="n">
        <f aca="false">IF(N($M377)&gt;0,$M377,$L377)</f>
        <v>0.8</v>
      </c>
      <c r="O377" s="8" t="str">
        <f aca="false">IF(N($F377)+N($J377)&gt;0,"Serie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7" s="8" t="str">
        <f aca="false">IF(N($M377)&gt;0,"Chuva util informada pelo usuario","MIN(Chuva bruta x FATOR_CHUVA_UTIL ; LIMITE_CHUVA_UTIL_DIA)")</f>
        <v>MIN(Chuva bruta x FATOR_CHUVA_UTIL ; LIMITE_CHUVA_UTIL_DIA)</v>
      </c>
    </row>
    <row r="378" customFormat="false" ht="15" hidden="false" customHeight="false" outlineLevel="0" collapsed="false">
      <c r="B378" s="17" t="n">
        <v>46635</v>
      </c>
      <c r="C378" s="16" t="n">
        <v>53</v>
      </c>
      <c r="D378" s="8" t="s">
        <v>513</v>
      </c>
      <c r="E378" s="26" t="n">
        <v>5.8</v>
      </c>
      <c r="F378" s="26"/>
      <c r="G378" s="20" t="n">
        <f aca="false">IF(N($F378)&gt;0,$F378,IF(CENARIO_CLIMA="USUARIO",0,$E378))</f>
        <v>5.8</v>
      </c>
      <c r="H378" s="18" t="n">
        <f aca="false">SUMIFS($G$8:$G$469,$C$8:$C$469,$C378)</f>
        <v>39.4</v>
      </c>
      <c r="I378" s="26" t="n">
        <v>1</v>
      </c>
      <c r="J378" s="26"/>
      <c r="K378" s="20" t="n">
        <f aca="false">IF(N($J378)&gt;0,$J378,IF(CENARIO_CLIMA="USUARIO",0,$I378))</f>
        <v>1</v>
      </c>
      <c r="L378" s="20" t="n">
        <f aca="false">MIN($K378*FATOR_CHUVA_UTIL,LIMITE_CHUVA_UTIL_DIA)</f>
        <v>0.8</v>
      </c>
      <c r="M378" s="26"/>
      <c r="N378" s="20" t="n">
        <f aca="false">IF(N($M378)&gt;0,$M378,$L378)</f>
        <v>0.8</v>
      </c>
      <c r="O378" s="8" t="str">
        <f aca="false">IF(N($F378)+N($J378)&gt;0,"Serie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8" s="8" t="str">
        <f aca="false">IF(N($M378)&gt;0,"Chuva util informada pelo usuario","MIN(Chuva bruta x FATOR_CHUVA_UTIL ; LIMITE_CHUVA_UTIL_DIA)")</f>
        <v>MIN(Chuva bruta x FATOR_CHUVA_UTIL ; LIMITE_CHUVA_UTIL_DIA)</v>
      </c>
    </row>
    <row r="379" customFormat="false" ht="15" hidden="false" customHeight="false" outlineLevel="0" collapsed="false">
      <c r="B379" s="17" t="n">
        <v>46636</v>
      </c>
      <c r="C379" s="16" t="n">
        <v>54</v>
      </c>
      <c r="D379" s="8" t="s">
        <v>513</v>
      </c>
      <c r="E379" s="26" t="n">
        <v>5.8</v>
      </c>
      <c r="F379" s="26"/>
      <c r="G379" s="20" t="n">
        <f aca="false">IF(N($F379)&gt;0,$F379,IF(CENARIO_CLIMA="USUARIO",0,$E379))</f>
        <v>5.8</v>
      </c>
      <c r="H379" s="18" t="n">
        <f aca="false">SUMIFS($G$8:$G$469,$C$8:$C$469,$C379)</f>
        <v>40.6</v>
      </c>
      <c r="I379" s="26" t="n">
        <v>1</v>
      </c>
      <c r="J379" s="26"/>
      <c r="K379" s="20" t="n">
        <f aca="false">IF(N($J379)&gt;0,$J379,IF(CENARIO_CLIMA="USUARIO",0,$I379))</f>
        <v>1</v>
      </c>
      <c r="L379" s="20" t="n">
        <f aca="false">MIN($K379*FATOR_CHUVA_UTIL,LIMITE_CHUVA_UTIL_DIA)</f>
        <v>0.8</v>
      </c>
      <c r="M379" s="26"/>
      <c r="N379" s="20" t="n">
        <f aca="false">IF(N($M379)&gt;0,$M379,$L379)</f>
        <v>0.8</v>
      </c>
      <c r="O379" s="8" t="str">
        <f aca="false">IF(N($F379)+N($J379)&gt;0,"Serie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79" s="8" t="str">
        <f aca="false">IF(N($M379)&gt;0,"Chuva util informada pelo usuario","MIN(Chuva bruta x FATOR_CHUVA_UTIL ; LIMITE_CHUVA_UTIL_DIA)")</f>
        <v>MIN(Chuva bruta x FATOR_CHUVA_UTIL ; LIMITE_CHUVA_UTIL_DIA)</v>
      </c>
    </row>
    <row r="380" customFormat="false" ht="15" hidden="false" customHeight="false" outlineLevel="0" collapsed="false">
      <c r="B380" s="17" t="n">
        <v>46637</v>
      </c>
      <c r="C380" s="16" t="n">
        <v>54</v>
      </c>
      <c r="D380" s="8" t="s">
        <v>513</v>
      </c>
      <c r="E380" s="26" t="n">
        <v>5.8</v>
      </c>
      <c r="F380" s="26"/>
      <c r="G380" s="20" t="n">
        <f aca="false">IF(N($F380)&gt;0,$F380,IF(CENARIO_CLIMA="USUARIO",0,$E380))</f>
        <v>5.8</v>
      </c>
      <c r="H380" s="18" t="n">
        <f aca="false">SUMIFS($G$8:$G$469,$C$8:$C$469,$C380)</f>
        <v>40.6</v>
      </c>
      <c r="I380" s="26" t="n">
        <v>1</v>
      </c>
      <c r="J380" s="26"/>
      <c r="K380" s="20" t="n">
        <f aca="false">IF(N($J380)&gt;0,$J380,IF(CENARIO_CLIMA="USUARIO",0,$I380))</f>
        <v>1</v>
      </c>
      <c r="L380" s="20" t="n">
        <f aca="false">MIN($K380*FATOR_CHUVA_UTIL,LIMITE_CHUVA_UTIL_DIA)</f>
        <v>0.8</v>
      </c>
      <c r="M380" s="26"/>
      <c r="N380" s="20" t="n">
        <f aca="false">IF(N($M380)&gt;0,$M380,$L380)</f>
        <v>0.8</v>
      </c>
      <c r="O380" s="8" t="str">
        <f aca="false">IF(N($F380)+N($J380)&gt;0,"Serie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0" s="8" t="str">
        <f aca="false">IF(N($M380)&gt;0,"Chuva util informada pelo usuario","MIN(Chuva bruta x FATOR_CHUVA_UTIL ; LIMITE_CHUVA_UTIL_DIA)")</f>
        <v>MIN(Chuva bruta x FATOR_CHUVA_UTIL ; LIMITE_CHUVA_UTIL_DIA)</v>
      </c>
    </row>
    <row r="381" customFormat="false" ht="15" hidden="false" customHeight="false" outlineLevel="0" collapsed="false">
      <c r="B381" s="17" t="n">
        <v>46638</v>
      </c>
      <c r="C381" s="16" t="n">
        <v>54</v>
      </c>
      <c r="D381" s="8" t="s">
        <v>513</v>
      </c>
      <c r="E381" s="26" t="n">
        <v>5.8</v>
      </c>
      <c r="F381" s="26"/>
      <c r="G381" s="20" t="n">
        <f aca="false">IF(N($F381)&gt;0,$F381,IF(CENARIO_CLIMA="USUARIO",0,$E381))</f>
        <v>5.8</v>
      </c>
      <c r="H381" s="18" t="n">
        <f aca="false">SUMIFS($G$8:$G$469,$C$8:$C$469,$C381)</f>
        <v>40.6</v>
      </c>
      <c r="I381" s="26" t="n">
        <v>1</v>
      </c>
      <c r="J381" s="26"/>
      <c r="K381" s="20" t="n">
        <f aca="false">IF(N($J381)&gt;0,$J381,IF(CENARIO_CLIMA="USUARIO",0,$I381))</f>
        <v>1</v>
      </c>
      <c r="L381" s="20" t="n">
        <f aca="false">MIN($K381*FATOR_CHUVA_UTIL,LIMITE_CHUVA_UTIL_DIA)</f>
        <v>0.8</v>
      </c>
      <c r="M381" s="26"/>
      <c r="N381" s="20" t="n">
        <f aca="false">IF(N($M381)&gt;0,$M381,$L381)</f>
        <v>0.8</v>
      </c>
      <c r="O381" s="8" t="str">
        <f aca="false">IF(N($F381)+N($J381)&gt;0,"Serie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1" s="8" t="str">
        <f aca="false">IF(N($M381)&gt;0,"Chuva util informada pelo usuario","MIN(Chuva bruta x FATOR_CHUVA_UTIL ; LIMITE_CHUVA_UTIL_DIA)")</f>
        <v>MIN(Chuva bruta x FATOR_CHUVA_UTIL ; LIMITE_CHUVA_UTIL_DIA)</v>
      </c>
    </row>
    <row r="382" customFormat="false" ht="15" hidden="false" customHeight="false" outlineLevel="0" collapsed="false">
      <c r="B382" s="17" t="n">
        <v>46639</v>
      </c>
      <c r="C382" s="16" t="n">
        <v>54</v>
      </c>
      <c r="D382" s="8" t="s">
        <v>513</v>
      </c>
      <c r="E382" s="26" t="n">
        <v>5.8</v>
      </c>
      <c r="F382" s="26"/>
      <c r="G382" s="20" t="n">
        <f aca="false">IF(N($F382)&gt;0,$F382,IF(CENARIO_CLIMA="USUARIO",0,$E382))</f>
        <v>5.8</v>
      </c>
      <c r="H382" s="18" t="n">
        <f aca="false">SUMIFS($G$8:$G$469,$C$8:$C$469,$C382)</f>
        <v>40.6</v>
      </c>
      <c r="I382" s="26" t="n">
        <v>1</v>
      </c>
      <c r="J382" s="26"/>
      <c r="K382" s="20" t="n">
        <f aca="false">IF(N($J382)&gt;0,$J382,IF(CENARIO_CLIMA="USUARIO",0,$I382))</f>
        <v>1</v>
      </c>
      <c r="L382" s="20" t="n">
        <f aca="false">MIN($K382*FATOR_CHUVA_UTIL,LIMITE_CHUVA_UTIL_DIA)</f>
        <v>0.8</v>
      </c>
      <c r="M382" s="26"/>
      <c r="N382" s="20" t="n">
        <f aca="false">IF(N($M382)&gt;0,$M382,$L382)</f>
        <v>0.8</v>
      </c>
      <c r="O382" s="8" t="str">
        <f aca="false">IF(N($F382)+N($J382)&gt;0,"Serie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2" s="8" t="str">
        <f aca="false">IF(N($M382)&gt;0,"Chuva util informada pelo usuario","MIN(Chuva bruta x FATOR_CHUVA_UTIL ; LIMITE_CHUVA_UTIL_DIA)")</f>
        <v>MIN(Chuva bruta x FATOR_CHUVA_UTIL ; LIMITE_CHUVA_UTIL_DIA)</v>
      </c>
    </row>
    <row r="383" customFormat="false" ht="15" hidden="false" customHeight="false" outlineLevel="0" collapsed="false">
      <c r="B383" s="17" t="n">
        <v>46640</v>
      </c>
      <c r="C383" s="16" t="n">
        <v>54</v>
      </c>
      <c r="D383" s="8" t="s">
        <v>513</v>
      </c>
      <c r="E383" s="26" t="n">
        <v>5.8</v>
      </c>
      <c r="F383" s="26"/>
      <c r="G383" s="20" t="n">
        <f aca="false">IF(N($F383)&gt;0,$F383,IF(CENARIO_CLIMA="USUARIO",0,$E383))</f>
        <v>5.8</v>
      </c>
      <c r="H383" s="18" t="n">
        <f aca="false">SUMIFS($G$8:$G$469,$C$8:$C$469,$C383)</f>
        <v>40.6</v>
      </c>
      <c r="I383" s="26" t="n">
        <v>1</v>
      </c>
      <c r="J383" s="26"/>
      <c r="K383" s="20" t="n">
        <f aca="false">IF(N($J383)&gt;0,$J383,IF(CENARIO_CLIMA="USUARIO",0,$I383))</f>
        <v>1</v>
      </c>
      <c r="L383" s="20" t="n">
        <f aca="false">MIN($K383*FATOR_CHUVA_UTIL,LIMITE_CHUVA_UTIL_DIA)</f>
        <v>0.8</v>
      </c>
      <c r="M383" s="26"/>
      <c r="N383" s="20" t="n">
        <f aca="false">IF(N($M383)&gt;0,$M383,$L383)</f>
        <v>0.8</v>
      </c>
      <c r="O383" s="8" t="str">
        <f aca="false">IF(N($F383)+N($J383)&gt;0,"Serie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3" s="8" t="str">
        <f aca="false">IF(N($M383)&gt;0,"Chuva util informada pelo usuario","MIN(Chuva bruta x FATOR_CHUVA_UTIL ; LIMITE_CHUVA_UTIL_DIA)")</f>
        <v>MIN(Chuva bruta x FATOR_CHUVA_UTIL ; LIMITE_CHUVA_UTIL_DIA)</v>
      </c>
    </row>
    <row r="384" customFormat="false" ht="15" hidden="false" customHeight="false" outlineLevel="0" collapsed="false">
      <c r="B384" s="17" t="n">
        <v>46641</v>
      </c>
      <c r="C384" s="16" t="n">
        <v>54</v>
      </c>
      <c r="D384" s="8" t="s">
        <v>513</v>
      </c>
      <c r="E384" s="26" t="n">
        <v>5.8</v>
      </c>
      <c r="F384" s="26"/>
      <c r="G384" s="20" t="n">
        <f aca="false">IF(N($F384)&gt;0,$F384,IF(CENARIO_CLIMA="USUARIO",0,$E384))</f>
        <v>5.8</v>
      </c>
      <c r="H384" s="18" t="n">
        <f aca="false">SUMIFS($G$8:$G$469,$C$8:$C$469,$C384)</f>
        <v>40.6</v>
      </c>
      <c r="I384" s="26" t="n">
        <v>1</v>
      </c>
      <c r="J384" s="26"/>
      <c r="K384" s="20" t="n">
        <f aca="false">IF(N($J384)&gt;0,$J384,IF(CENARIO_CLIMA="USUARIO",0,$I384))</f>
        <v>1</v>
      </c>
      <c r="L384" s="20" t="n">
        <f aca="false">MIN($K384*FATOR_CHUVA_UTIL,LIMITE_CHUVA_UTIL_DIA)</f>
        <v>0.8</v>
      </c>
      <c r="M384" s="26"/>
      <c r="N384" s="20" t="n">
        <f aca="false">IF(N($M384)&gt;0,$M384,$L384)</f>
        <v>0.8</v>
      </c>
      <c r="O384" s="8" t="str">
        <f aca="false">IF(N($F384)+N($J384)&gt;0,"Serie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4" s="8" t="str">
        <f aca="false">IF(N($M384)&gt;0,"Chuva util informada pelo usuario","MIN(Chuva bruta x FATOR_CHUVA_UTIL ; LIMITE_CHUVA_UTIL_DIA)")</f>
        <v>MIN(Chuva bruta x FATOR_CHUVA_UTIL ; LIMITE_CHUVA_UTIL_DIA)</v>
      </c>
    </row>
    <row r="385" customFormat="false" ht="15" hidden="false" customHeight="false" outlineLevel="0" collapsed="false">
      <c r="B385" s="17" t="n">
        <v>46642</v>
      </c>
      <c r="C385" s="16" t="n">
        <v>54</v>
      </c>
      <c r="D385" s="8" t="s">
        <v>513</v>
      </c>
      <c r="E385" s="26" t="n">
        <v>5.8</v>
      </c>
      <c r="F385" s="26"/>
      <c r="G385" s="20" t="n">
        <f aca="false">IF(N($F385)&gt;0,$F385,IF(CENARIO_CLIMA="USUARIO",0,$E385))</f>
        <v>5.8</v>
      </c>
      <c r="H385" s="18" t="n">
        <f aca="false">SUMIFS($G$8:$G$469,$C$8:$C$469,$C385)</f>
        <v>40.6</v>
      </c>
      <c r="I385" s="26" t="n">
        <v>1</v>
      </c>
      <c r="J385" s="26"/>
      <c r="K385" s="20" t="n">
        <f aca="false">IF(N($J385)&gt;0,$J385,IF(CENARIO_CLIMA="USUARIO",0,$I385))</f>
        <v>1</v>
      </c>
      <c r="L385" s="20" t="n">
        <f aca="false">MIN($K385*FATOR_CHUVA_UTIL,LIMITE_CHUVA_UTIL_DIA)</f>
        <v>0.8</v>
      </c>
      <c r="M385" s="26"/>
      <c r="N385" s="20" t="n">
        <f aca="false">IF(N($M385)&gt;0,$M385,$L385)</f>
        <v>0.8</v>
      </c>
      <c r="O385" s="8" t="str">
        <f aca="false">IF(N($F385)+N($J385)&gt;0,"Serie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5" s="8" t="str">
        <f aca="false">IF(N($M385)&gt;0,"Chuva util informada pelo usuario","MIN(Chuva bruta x FATOR_CHUVA_UTIL ; LIMITE_CHUVA_UTIL_DIA)")</f>
        <v>MIN(Chuva bruta x FATOR_CHUVA_UTIL ; LIMITE_CHUVA_UTIL_DIA)</v>
      </c>
    </row>
    <row r="386" customFormat="false" ht="15" hidden="false" customHeight="false" outlineLevel="0" collapsed="false">
      <c r="B386" s="17" t="n">
        <v>46643</v>
      </c>
      <c r="C386" s="16" t="n">
        <v>55</v>
      </c>
      <c r="D386" s="8" t="s">
        <v>513</v>
      </c>
      <c r="E386" s="26" t="n">
        <v>5.8</v>
      </c>
      <c r="F386" s="26"/>
      <c r="G386" s="20" t="n">
        <f aca="false">IF(N($F386)&gt;0,$F386,IF(CENARIO_CLIMA="USUARIO",0,$E386))</f>
        <v>5.8</v>
      </c>
      <c r="H386" s="18" t="n">
        <f aca="false">SUMIFS($G$8:$G$469,$C$8:$C$469,$C386)</f>
        <v>40.6</v>
      </c>
      <c r="I386" s="26" t="n">
        <v>1</v>
      </c>
      <c r="J386" s="26"/>
      <c r="K386" s="20" t="n">
        <f aca="false">IF(N($J386)&gt;0,$J386,IF(CENARIO_CLIMA="USUARIO",0,$I386))</f>
        <v>1</v>
      </c>
      <c r="L386" s="20" t="n">
        <f aca="false">MIN($K386*FATOR_CHUVA_UTIL,LIMITE_CHUVA_UTIL_DIA)</f>
        <v>0.8</v>
      </c>
      <c r="M386" s="26"/>
      <c r="N386" s="20" t="n">
        <f aca="false">IF(N($M386)&gt;0,$M386,$L386)</f>
        <v>0.8</v>
      </c>
      <c r="O386" s="8" t="str">
        <f aca="false">IF(N($F386)+N($J386)&gt;0,"Serie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6" s="8" t="str">
        <f aca="false">IF(N($M386)&gt;0,"Chuva util informada pelo usuario","MIN(Chuva bruta x FATOR_CHUVA_UTIL ; LIMITE_CHUVA_UTIL_DIA)")</f>
        <v>MIN(Chuva bruta x FATOR_CHUVA_UTIL ; LIMITE_CHUVA_UTIL_DIA)</v>
      </c>
    </row>
    <row r="387" customFormat="false" ht="15" hidden="false" customHeight="false" outlineLevel="0" collapsed="false">
      <c r="B387" s="17" t="n">
        <v>46644</v>
      </c>
      <c r="C387" s="16" t="n">
        <v>55</v>
      </c>
      <c r="D387" s="8" t="s">
        <v>513</v>
      </c>
      <c r="E387" s="26" t="n">
        <v>5.8</v>
      </c>
      <c r="F387" s="26"/>
      <c r="G387" s="20" t="n">
        <f aca="false">IF(N($F387)&gt;0,$F387,IF(CENARIO_CLIMA="USUARIO",0,$E387))</f>
        <v>5.8</v>
      </c>
      <c r="H387" s="18" t="n">
        <f aca="false">SUMIFS($G$8:$G$469,$C$8:$C$469,$C387)</f>
        <v>40.6</v>
      </c>
      <c r="I387" s="26" t="n">
        <v>1</v>
      </c>
      <c r="J387" s="26"/>
      <c r="K387" s="20" t="n">
        <f aca="false">IF(N($J387)&gt;0,$J387,IF(CENARIO_CLIMA="USUARIO",0,$I387))</f>
        <v>1</v>
      </c>
      <c r="L387" s="20" t="n">
        <f aca="false">MIN($K387*FATOR_CHUVA_UTIL,LIMITE_CHUVA_UTIL_DIA)</f>
        <v>0.8</v>
      </c>
      <c r="M387" s="26"/>
      <c r="N387" s="20" t="n">
        <f aca="false">IF(N($M387)&gt;0,$M387,$L387)</f>
        <v>0.8</v>
      </c>
      <c r="O387" s="8" t="str">
        <f aca="false">IF(N($F387)+N($J387)&gt;0,"Serie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7" s="8" t="str">
        <f aca="false">IF(N($M387)&gt;0,"Chuva util informada pelo usuario","MIN(Chuva bruta x FATOR_CHUVA_UTIL ; LIMITE_CHUVA_UTIL_DIA)")</f>
        <v>MIN(Chuva bruta x FATOR_CHUVA_UTIL ; LIMITE_CHUVA_UTIL_DIA)</v>
      </c>
    </row>
    <row r="388" customFormat="false" ht="15" hidden="false" customHeight="false" outlineLevel="0" collapsed="false">
      <c r="B388" s="17" t="n">
        <v>46645</v>
      </c>
      <c r="C388" s="16" t="n">
        <v>55</v>
      </c>
      <c r="D388" s="8" t="s">
        <v>513</v>
      </c>
      <c r="E388" s="26" t="n">
        <v>5.8</v>
      </c>
      <c r="F388" s="26"/>
      <c r="G388" s="20" t="n">
        <f aca="false">IF(N($F388)&gt;0,$F388,IF(CENARIO_CLIMA="USUARIO",0,$E388))</f>
        <v>5.8</v>
      </c>
      <c r="H388" s="18" t="n">
        <f aca="false">SUMIFS($G$8:$G$469,$C$8:$C$469,$C388)</f>
        <v>40.6</v>
      </c>
      <c r="I388" s="26" t="n">
        <v>1</v>
      </c>
      <c r="J388" s="26"/>
      <c r="K388" s="20" t="n">
        <f aca="false">IF(N($J388)&gt;0,$J388,IF(CENARIO_CLIMA="USUARIO",0,$I388))</f>
        <v>1</v>
      </c>
      <c r="L388" s="20" t="n">
        <f aca="false">MIN($K388*FATOR_CHUVA_UTIL,LIMITE_CHUVA_UTIL_DIA)</f>
        <v>0.8</v>
      </c>
      <c r="M388" s="26"/>
      <c r="N388" s="20" t="n">
        <f aca="false">IF(N($M388)&gt;0,$M388,$L388)</f>
        <v>0.8</v>
      </c>
      <c r="O388" s="8" t="str">
        <f aca="false">IF(N($F388)+N($J388)&gt;0,"Serie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8" s="8" t="str">
        <f aca="false">IF(N($M388)&gt;0,"Chuva util informada pelo usuario","MIN(Chuva bruta x FATOR_CHUVA_UTIL ; LIMITE_CHUVA_UTIL_DIA)")</f>
        <v>MIN(Chuva bruta x FATOR_CHUVA_UTIL ; LIMITE_CHUVA_UTIL_DIA)</v>
      </c>
    </row>
    <row r="389" customFormat="false" ht="15" hidden="false" customHeight="false" outlineLevel="0" collapsed="false">
      <c r="B389" s="17" t="n">
        <v>46646</v>
      </c>
      <c r="C389" s="16" t="n">
        <v>55</v>
      </c>
      <c r="D389" s="8" t="s">
        <v>513</v>
      </c>
      <c r="E389" s="26" t="n">
        <v>5.8</v>
      </c>
      <c r="F389" s="26"/>
      <c r="G389" s="20" t="n">
        <f aca="false">IF(N($F389)&gt;0,$F389,IF(CENARIO_CLIMA="USUARIO",0,$E389))</f>
        <v>5.8</v>
      </c>
      <c r="H389" s="18" t="n">
        <f aca="false">SUMIFS($G$8:$G$469,$C$8:$C$469,$C389)</f>
        <v>40.6</v>
      </c>
      <c r="I389" s="26" t="n">
        <v>1</v>
      </c>
      <c r="J389" s="26"/>
      <c r="K389" s="20" t="n">
        <f aca="false">IF(N($J389)&gt;0,$J389,IF(CENARIO_CLIMA="USUARIO",0,$I389))</f>
        <v>1</v>
      </c>
      <c r="L389" s="20" t="n">
        <f aca="false">MIN($K389*FATOR_CHUVA_UTIL,LIMITE_CHUVA_UTIL_DIA)</f>
        <v>0.8</v>
      </c>
      <c r="M389" s="26"/>
      <c r="N389" s="20" t="n">
        <f aca="false">IF(N($M389)&gt;0,$M389,$L389)</f>
        <v>0.8</v>
      </c>
      <c r="O389" s="8" t="str">
        <f aca="false">IF(N($F389)+N($J389)&gt;0,"Serie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89" s="8" t="str">
        <f aca="false">IF(N($M389)&gt;0,"Chuva util informada pelo usuario","MIN(Chuva bruta x FATOR_CHUVA_UTIL ; LIMITE_CHUVA_UTIL_DIA)")</f>
        <v>MIN(Chuva bruta x FATOR_CHUVA_UTIL ; LIMITE_CHUVA_UTIL_DIA)</v>
      </c>
    </row>
    <row r="390" customFormat="false" ht="15" hidden="false" customHeight="false" outlineLevel="0" collapsed="false">
      <c r="B390" s="17" t="n">
        <v>46647</v>
      </c>
      <c r="C390" s="16" t="n">
        <v>55</v>
      </c>
      <c r="D390" s="8" t="s">
        <v>513</v>
      </c>
      <c r="E390" s="26" t="n">
        <v>5.8</v>
      </c>
      <c r="F390" s="26"/>
      <c r="G390" s="20" t="n">
        <f aca="false">IF(N($F390)&gt;0,$F390,IF(CENARIO_CLIMA="USUARIO",0,$E390))</f>
        <v>5.8</v>
      </c>
      <c r="H390" s="18" t="n">
        <f aca="false">SUMIFS($G$8:$G$469,$C$8:$C$469,$C390)</f>
        <v>40.6</v>
      </c>
      <c r="I390" s="26" t="n">
        <v>1</v>
      </c>
      <c r="J390" s="26"/>
      <c r="K390" s="20" t="n">
        <f aca="false">IF(N($J390)&gt;0,$J390,IF(CENARIO_CLIMA="USUARIO",0,$I390))</f>
        <v>1</v>
      </c>
      <c r="L390" s="20" t="n">
        <f aca="false">MIN($K390*FATOR_CHUVA_UTIL,LIMITE_CHUVA_UTIL_DIA)</f>
        <v>0.8</v>
      </c>
      <c r="M390" s="26"/>
      <c r="N390" s="20" t="n">
        <f aca="false">IF(N($M390)&gt;0,$M390,$L390)</f>
        <v>0.8</v>
      </c>
      <c r="O390" s="8" t="str">
        <f aca="false">IF(N($F390)+N($J390)&gt;0,"Serie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0" s="8" t="str">
        <f aca="false">IF(N($M390)&gt;0,"Chuva util informada pelo usuario","MIN(Chuva bruta x FATOR_CHUVA_UTIL ; LIMITE_CHUVA_UTIL_DIA)")</f>
        <v>MIN(Chuva bruta x FATOR_CHUVA_UTIL ; LIMITE_CHUVA_UTIL_DIA)</v>
      </c>
    </row>
    <row r="391" customFormat="false" ht="15" hidden="false" customHeight="false" outlineLevel="0" collapsed="false">
      <c r="B391" s="17" t="n">
        <v>46648</v>
      </c>
      <c r="C391" s="16" t="n">
        <v>55</v>
      </c>
      <c r="D391" s="8" t="s">
        <v>513</v>
      </c>
      <c r="E391" s="26" t="n">
        <v>5.8</v>
      </c>
      <c r="F391" s="26"/>
      <c r="G391" s="20" t="n">
        <f aca="false">IF(N($F391)&gt;0,$F391,IF(CENARIO_CLIMA="USUARIO",0,$E391))</f>
        <v>5.8</v>
      </c>
      <c r="H391" s="18" t="n">
        <f aca="false">SUMIFS($G$8:$G$469,$C$8:$C$469,$C391)</f>
        <v>40.6</v>
      </c>
      <c r="I391" s="26" t="n">
        <v>1</v>
      </c>
      <c r="J391" s="26"/>
      <c r="K391" s="20" t="n">
        <f aca="false">IF(N($J391)&gt;0,$J391,IF(CENARIO_CLIMA="USUARIO",0,$I391))</f>
        <v>1</v>
      </c>
      <c r="L391" s="20" t="n">
        <f aca="false">MIN($K391*FATOR_CHUVA_UTIL,LIMITE_CHUVA_UTIL_DIA)</f>
        <v>0.8</v>
      </c>
      <c r="M391" s="26"/>
      <c r="N391" s="20" t="n">
        <f aca="false">IF(N($M391)&gt;0,$M391,$L391)</f>
        <v>0.8</v>
      </c>
      <c r="O391" s="8" t="str">
        <f aca="false">IF(N($F391)+N($J391)&gt;0,"Serie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1" s="8" t="str">
        <f aca="false">IF(N($M391)&gt;0,"Chuva util informada pelo usuario","MIN(Chuva bruta x FATOR_CHUVA_UTIL ; LIMITE_CHUVA_UTIL_DIA)")</f>
        <v>MIN(Chuva bruta x FATOR_CHUVA_UTIL ; LIMITE_CHUVA_UTIL_DIA)</v>
      </c>
    </row>
    <row r="392" customFormat="false" ht="15" hidden="false" customHeight="false" outlineLevel="0" collapsed="false">
      <c r="B392" s="17" t="n">
        <v>46649</v>
      </c>
      <c r="C392" s="16" t="n">
        <v>55</v>
      </c>
      <c r="D392" s="8" t="s">
        <v>513</v>
      </c>
      <c r="E392" s="26" t="n">
        <v>5.8</v>
      </c>
      <c r="F392" s="26"/>
      <c r="G392" s="20" t="n">
        <f aca="false">IF(N($F392)&gt;0,$F392,IF(CENARIO_CLIMA="USUARIO",0,$E392))</f>
        <v>5.8</v>
      </c>
      <c r="H392" s="18" t="n">
        <f aca="false">SUMIFS($G$8:$G$469,$C$8:$C$469,$C392)</f>
        <v>40.6</v>
      </c>
      <c r="I392" s="26" t="n">
        <v>1</v>
      </c>
      <c r="J392" s="26"/>
      <c r="K392" s="20" t="n">
        <f aca="false">IF(N($J392)&gt;0,$J392,IF(CENARIO_CLIMA="USUARIO",0,$I392))</f>
        <v>1</v>
      </c>
      <c r="L392" s="20" t="n">
        <f aca="false">MIN($K392*FATOR_CHUVA_UTIL,LIMITE_CHUVA_UTIL_DIA)</f>
        <v>0.8</v>
      </c>
      <c r="M392" s="26"/>
      <c r="N392" s="20" t="n">
        <f aca="false">IF(N($M392)&gt;0,$M392,$L392)</f>
        <v>0.8</v>
      </c>
      <c r="O392" s="8" t="str">
        <f aca="false">IF(N($F392)+N($J392)&gt;0,"Serie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2" s="8" t="str">
        <f aca="false">IF(N($M392)&gt;0,"Chuva util informada pelo usuario","MIN(Chuva bruta x FATOR_CHUVA_UTIL ; LIMITE_CHUVA_UTIL_DIA)")</f>
        <v>MIN(Chuva bruta x FATOR_CHUVA_UTIL ; LIMITE_CHUVA_UTIL_DIA)</v>
      </c>
    </row>
    <row r="393" customFormat="false" ht="15" hidden="false" customHeight="false" outlineLevel="0" collapsed="false">
      <c r="B393" s="17" t="n">
        <v>46650</v>
      </c>
      <c r="C393" s="16" t="n">
        <v>56</v>
      </c>
      <c r="D393" s="8" t="s">
        <v>513</v>
      </c>
      <c r="E393" s="26" t="n">
        <v>5.8</v>
      </c>
      <c r="F393" s="26"/>
      <c r="G393" s="20" t="n">
        <f aca="false">IF(N($F393)&gt;0,$F393,IF(CENARIO_CLIMA="USUARIO",0,$E393))</f>
        <v>5.8</v>
      </c>
      <c r="H393" s="18" t="n">
        <f aca="false">SUMIFS($G$8:$G$469,$C$8:$C$469,$C393)</f>
        <v>40.6</v>
      </c>
      <c r="I393" s="26" t="n">
        <v>1</v>
      </c>
      <c r="J393" s="26"/>
      <c r="K393" s="20" t="n">
        <f aca="false">IF(N($J393)&gt;0,$J393,IF(CENARIO_CLIMA="USUARIO",0,$I393))</f>
        <v>1</v>
      </c>
      <c r="L393" s="20" t="n">
        <f aca="false">MIN($K393*FATOR_CHUVA_UTIL,LIMITE_CHUVA_UTIL_DIA)</f>
        <v>0.8</v>
      </c>
      <c r="M393" s="26"/>
      <c r="N393" s="20" t="n">
        <f aca="false">IF(N($M393)&gt;0,$M393,$L393)</f>
        <v>0.8</v>
      </c>
      <c r="O393" s="8" t="str">
        <f aca="false">IF(N($F393)+N($J393)&gt;0,"Serie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3" s="8" t="str">
        <f aca="false">IF(N($M393)&gt;0,"Chuva util informada pelo usuario","MIN(Chuva bruta x FATOR_CHUVA_UTIL ; LIMITE_CHUVA_UTIL_DIA)")</f>
        <v>MIN(Chuva bruta x FATOR_CHUVA_UTIL ; LIMITE_CHUVA_UTIL_DIA)</v>
      </c>
    </row>
    <row r="394" customFormat="false" ht="15" hidden="false" customHeight="false" outlineLevel="0" collapsed="false">
      <c r="B394" s="17" t="n">
        <v>46651</v>
      </c>
      <c r="C394" s="16" t="n">
        <v>56</v>
      </c>
      <c r="D394" s="8" t="s">
        <v>513</v>
      </c>
      <c r="E394" s="26" t="n">
        <v>5.8</v>
      </c>
      <c r="F394" s="26"/>
      <c r="G394" s="20" t="n">
        <f aca="false">IF(N($F394)&gt;0,$F394,IF(CENARIO_CLIMA="USUARIO",0,$E394))</f>
        <v>5.8</v>
      </c>
      <c r="H394" s="18" t="n">
        <f aca="false">SUMIFS($G$8:$G$469,$C$8:$C$469,$C394)</f>
        <v>40.6</v>
      </c>
      <c r="I394" s="26" t="n">
        <v>1</v>
      </c>
      <c r="J394" s="26"/>
      <c r="K394" s="20" t="n">
        <f aca="false">IF(N($J394)&gt;0,$J394,IF(CENARIO_CLIMA="USUARIO",0,$I394))</f>
        <v>1</v>
      </c>
      <c r="L394" s="20" t="n">
        <f aca="false">MIN($K394*FATOR_CHUVA_UTIL,LIMITE_CHUVA_UTIL_DIA)</f>
        <v>0.8</v>
      </c>
      <c r="M394" s="26"/>
      <c r="N394" s="20" t="n">
        <f aca="false">IF(N($M394)&gt;0,$M394,$L394)</f>
        <v>0.8</v>
      </c>
      <c r="O394" s="8" t="str">
        <f aca="false">IF(N($F394)+N($J394)&gt;0,"Serie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4" s="8" t="str">
        <f aca="false">IF(N($M394)&gt;0,"Chuva util informada pelo usuario","MIN(Chuva bruta x FATOR_CHUVA_UTIL ; LIMITE_CHUVA_UTIL_DIA)")</f>
        <v>MIN(Chuva bruta x FATOR_CHUVA_UTIL ; LIMITE_CHUVA_UTIL_DIA)</v>
      </c>
    </row>
    <row r="395" customFormat="false" ht="15" hidden="false" customHeight="false" outlineLevel="0" collapsed="false">
      <c r="B395" s="17" t="n">
        <v>46652</v>
      </c>
      <c r="C395" s="16" t="n">
        <v>56</v>
      </c>
      <c r="D395" s="8" t="s">
        <v>513</v>
      </c>
      <c r="E395" s="26" t="n">
        <v>5.8</v>
      </c>
      <c r="F395" s="26"/>
      <c r="G395" s="20" t="n">
        <f aca="false">IF(N($F395)&gt;0,$F395,IF(CENARIO_CLIMA="USUARIO",0,$E395))</f>
        <v>5.8</v>
      </c>
      <c r="H395" s="18" t="n">
        <f aca="false">SUMIFS($G$8:$G$469,$C$8:$C$469,$C395)</f>
        <v>40.6</v>
      </c>
      <c r="I395" s="26" t="n">
        <v>1</v>
      </c>
      <c r="J395" s="26"/>
      <c r="K395" s="20" t="n">
        <f aca="false">IF(N($J395)&gt;0,$J395,IF(CENARIO_CLIMA="USUARIO",0,$I395))</f>
        <v>1</v>
      </c>
      <c r="L395" s="20" t="n">
        <f aca="false">MIN($K395*FATOR_CHUVA_UTIL,LIMITE_CHUVA_UTIL_DIA)</f>
        <v>0.8</v>
      </c>
      <c r="M395" s="26"/>
      <c r="N395" s="20" t="n">
        <f aca="false">IF(N($M395)&gt;0,$M395,$L395)</f>
        <v>0.8</v>
      </c>
      <c r="O395" s="8" t="str">
        <f aca="false">IF(N($F395)+N($J395)&gt;0,"Serie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5" s="8" t="str">
        <f aca="false">IF(N($M395)&gt;0,"Chuva util informada pelo usuario","MIN(Chuva bruta x FATOR_CHUVA_UTIL ; LIMITE_CHUVA_UTIL_DIA)")</f>
        <v>MIN(Chuva bruta x FATOR_CHUVA_UTIL ; LIMITE_CHUVA_UTIL_DIA)</v>
      </c>
    </row>
    <row r="396" customFormat="false" ht="15" hidden="false" customHeight="false" outlineLevel="0" collapsed="false">
      <c r="B396" s="17" t="n">
        <v>46653</v>
      </c>
      <c r="C396" s="16" t="n">
        <v>56</v>
      </c>
      <c r="D396" s="8" t="s">
        <v>513</v>
      </c>
      <c r="E396" s="26" t="n">
        <v>5.8</v>
      </c>
      <c r="F396" s="26"/>
      <c r="G396" s="20" t="n">
        <f aca="false">IF(N($F396)&gt;0,$F396,IF(CENARIO_CLIMA="USUARIO",0,$E396))</f>
        <v>5.8</v>
      </c>
      <c r="H396" s="18" t="n">
        <f aca="false">SUMIFS($G$8:$G$469,$C$8:$C$469,$C396)</f>
        <v>40.6</v>
      </c>
      <c r="I396" s="26" t="n">
        <v>1</v>
      </c>
      <c r="J396" s="26"/>
      <c r="K396" s="20" t="n">
        <f aca="false">IF(N($J396)&gt;0,$J396,IF(CENARIO_CLIMA="USUARIO",0,$I396))</f>
        <v>1</v>
      </c>
      <c r="L396" s="20" t="n">
        <f aca="false">MIN($K396*FATOR_CHUVA_UTIL,LIMITE_CHUVA_UTIL_DIA)</f>
        <v>0.8</v>
      </c>
      <c r="M396" s="26"/>
      <c r="N396" s="20" t="n">
        <f aca="false">IF(N($M396)&gt;0,$M396,$L396)</f>
        <v>0.8</v>
      </c>
      <c r="O396" s="8" t="str">
        <f aca="false">IF(N($F396)+N($J396)&gt;0,"Serie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6" s="8" t="str">
        <f aca="false">IF(N($M396)&gt;0,"Chuva util informada pelo usuario","MIN(Chuva bruta x FATOR_CHUVA_UTIL ; LIMITE_CHUVA_UTIL_DIA)")</f>
        <v>MIN(Chuva bruta x FATOR_CHUVA_UTIL ; LIMITE_CHUVA_UTIL_DIA)</v>
      </c>
    </row>
    <row r="397" customFormat="false" ht="15" hidden="false" customHeight="false" outlineLevel="0" collapsed="false">
      <c r="B397" s="17" t="n">
        <v>46654</v>
      </c>
      <c r="C397" s="16" t="n">
        <v>56</v>
      </c>
      <c r="D397" s="8" t="s">
        <v>513</v>
      </c>
      <c r="E397" s="26" t="n">
        <v>5.8</v>
      </c>
      <c r="F397" s="26"/>
      <c r="G397" s="20" t="n">
        <f aca="false">IF(N($F397)&gt;0,$F397,IF(CENARIO_CLIMA="USUARIO",0,$E397))</f>
        <v>5.8</v>
      </c>
      <c r="H397" s="18" t="n">
        <f aca="false">SUMIFS($G$8:$G$469,$C$8:$C$469,$C397)</f>
        <v>40.6</v>
      </c>
      <c r="I397" s="26" t="n">
        <v>1</v>
      </c>
      <c r="J397" s="26"/>
      <c r="K397" s="20" t="n">
        <f aca="false">IF(N($J397)&gt;0,$J397,IF(CENARIO_CLIMA="USUARIO",0,$I397))</f>
        <v>1</v>
      </c>
      <c r="L397" s="20" t="n">
        <f aca="false">MIN($K397*FATOR_CHUVA_UTIL,LIMITE_CHUVA_UTIL_DIA)</f>
        <v>0.8</v>
      </c>
      <c r="M397" s="26"/>
      <c r="N397" s="20" t="n">
        <f aca="false">IF(N($M397)&gt;0,$M397,$L397)</f>
        <v>0.8</v>
      </c>
      <c r="O397" s="8" t="str">
        <f aca="false">IF(N($F397)+N($J397)&gt;0,"Serie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7" s="8" t="str">
        <f aca="false">IF(N($M397)&gt;0,"Chuva util informada pelo usuario","MIN(Chuva bruta x FATOR_CHUVA_UTIL ; LIMITE_CHUVA_UTIL_DIA)")</f>
        <v>MIN(Chuva bruta x FATOR_CHUVA_UTIL ; LIMITE_CHUVA_UTIL_DIA)</v>
      </c>
    </row>
    <row r="398" customFormat="false" ht="15" hidden="false" customHeight="false" outlineLevel="0" collapsed="false">
      <c r="B398" s="17" t="n">
        <v>46655</v>
      </c>
      <c r="C398" s="16" t="n">
        <v>56</v>
      </c>
      <c r="D398" s="8" t="s">
        <v>513</v>
      </c>
      <c r="E398" s="26" t="n">
        <v>5.8</v>
      </c>
      <c r="F398" s="26"/>
      <c r="G398" s="20" t="n">
        <f aca="false">IF(N($F398)&gt;0,$F398,IF(CENARIO_CLIMA="USUARIO",0,$E398))</f>
        <v>5.8</v>
      </c>
      <c r="H398" s="18" t="n">
        <f aca="false">SUMIFS($G$8:$G$469,$C$8:$C$469,$C398)</f>
        <v>40.6</v>
      </c>
      <c r="I398" s="26" t="n">
        <v>1</v>
      </c>
      <c r="J398" s="26"/>
      <c r="K398" s="20" t="n">
        <f aca="false">IF(N($J398)&gt;0,$J398,IF(CENARIO_CLIMA="USUARIO",0,$I398))</f>
        <v>1</v>
      </c>
      <c r="L398" s="20" t="n">
        <f aca="false">MIN($K398*FATOR_CHUVA_UTIL,LIMITE_CHUVA_UTIL_DIA)</f>
        <v>0.8</v>
      </c>
      <c r="M398" s="26"/>
      <c r="N398" s="20" t="n">
        <f aca="false">IF(N($M398)&gt;0,$M398,$L398)</f>
        <v>0.8</v>
      </c>
      <c r="O398" s="8" t="str">
        <f aca="false">IF(N($F398)+N($J398)&gt;0,"Serie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8" s="8" t="str">
        <f aca="false">IF(N($M398)&gt;0,"Chuva util informada pelo usuario","MIN(Chuva bruta x FATOR_CHUVA_UTIL ; LIMITE_CHUVA_UTIL_DIA)")</f>
        <v>MIN(Chuva bruta x FATOR_CHUVA_UTIL ; LIMITE_CHUVA_UTIL_DIA)</v>
      </c>
    </row>
    <row r="399" customFormat="false" ht="15" hidden="false" customHeight="false" outlineLevel="0" collapsed="false">
      <c r="B399" s="17" t="n">
        <v>46656</v>
      </c>
      <c r="C399" s="16" t="n">
        <v>56</v>
      </c>
      <c r="D399" s="8" t="s">
        <v>513</v>
      </c>
      <c r="E399" s="26" t="n">
        <v>5.8</v>
      </c>
      <c r="F399" s="26"/>
      <c r="G399" s="20" t="n">
        <f aca="false">IF(N($F399)&gt;0,$F399,IF(CENARIO_CLIMA="USUARIO",0,$E399))</f>
        <v>5.8</v>
      </c>
      <c r="H399" s="18" t="n">
        <f aca="false">SUMIFS($G$8:$G$469,$C$8:$C$469,$C399)</f>
        <v>40.6</v>
      </c>
      <c r="I399" s="26" t="n">
        <v>1</v>
      </c>
      <c r="J399" s="26"/>
      <c r="K399" s="20" t="n">
        <f aca="false">IF(N($J399)&gt;0,$J399,IF(CENARIO_CLIMA="USUARIO",0,$I399))</f>
        <v>1</v>
      </c>
      <c r="L399" s="20" t="n">
        <f aca="false">MIN($K399*FATOR_CHUVA_UTIL,LIMITE_CHUVA_UTIL_DIA)</f>
        <v>0.8</v>
      </c>
      <c r="M399" s="26"/>
      <c r="N399" s="20" t="n">
        <f aca="false">IF(N($M399)&gt;0,$M399,$L399)</f>
        <v>0.8</v>
      </c>
      <c r="O399" s="8" t="str">
        <f aca="false">IF(N($F399)+N($J399)&gt;0,"Serie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399" s="8" t="str">
        <f aca="false">IF(N($M399)&gt;0,"Chuva util informada pelo usuario","MIN(Chuva bruta x FATOR_CHUVA_UTIL ; LIMITE_CHUVA_UTIL_DIA)")</f>
        <v>MIN(Chuva bruta x FATOR_CHUVA_UTIL ; LIMITE_CHUVA_UTIL_DIA)</v>
      </c>
    </row>
    <row r="400" customFormat="false" ht="15" hidden="false" customHeight="false" outlineLevel="0" collapsed="false">
      <c r="B400" s="17" t="n">
        <v>46657</v>
      </c>
      <c r="C400" s="16" t="n">
        <v>57</v>
      </c>
      <c r="D400" s="8" t="s">
        <v>513</v>
      </c>
      <c r="E400" s="26" t="n">
        <v>5.8</v>
      </c>
      <c r="F400" s="26"/>
      <c r="G400" s="20" t="n">
        <f aca="false">IF(N($F400)&gt;0,$F400,IF(CENARIO_CLIMA="USUARIO",0,$E400))</f>
        <v>5.8</v>
      </c>
      <c r="H400" s="18" t="n">
        <f aca="false">SUMIFS($G$8:$G$469,$C$8:$C$469,$C400)</f>
        <v>40</v>
      </c>
      <c r="I400" s="26" t="n">
        <v>1</v>
      </c>
      <c r="J400" s="26"/>
      <c r="K400" s="20" t="n">
        <f aca="false">IF(N($J400)&gt;0,$J400,IF(CENARIO_CLIMA="USUARIO",0,$I400))</f>
        <v>1</v>
      </c>
      <c r="L400" s="20" t="n">
        <f aca="false">MIN($K400*FATOR_CHUVA_UTIL,LIMITE_CHUVA_UTIL_DIA)</f>
        <v>0.8</v>
      </c>
      <c r="M400" s="26"/>
      <c r="N400" s="20" t="n">
        <f aca="false">IF(N($M400)&gt;0,$M400,$L400)</f>
        <v>0.8</v>
      </c>
      <c r="O400" s="8" t="str">
        <f aca="false">IF(N($F400)+N($J400)&gt;0,"Serie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0" s="8" t="str">
        <f aca="false">IF(N($M400)&gt;0,"Chuva util informada pelo usuario","MIN(Chuva bruta x FATOR_CHUVA_UTIL ; LIMITE_CHUVA_UTIL_DIA)")</f>
        <v>MIN(Chuva bruta x FATOR_CHUVA_UTIL ; LIMITE_CHUVA_UTIL_DIA)</v>
      </c>
    </row>
    <row r="401" customFormat="false" ht="15" hidden="false" customHeight="false" outlineLevel="0" collapsed="false">
      <c r="B401" s="17" t="n">
        <v>46658</v>
      </c>
      <c r="C401" s="16" t="n">
        <v>57</v>
      </c>
      <c r="D401" s="8" t="s">
        <v>513</v>
      </c>
      <c r="E401" s="26" t="n">
        <v>5.8</v>
      </c>
      <c r="F401" s="26"/>
      <c r="G401" s="20" t="n">
        <f aca="false">IF(N($F401)&gt;0,$F401,IF(CENARIO_CLIMA="USUARIO",0,$E401))</f>
        <v>5.8</v>
      </c>
      <c r="H401" s="18" t="n">
        <f aca="false">SUMIFS($G$8:$G$469,$C$8:$C$469,$C401)</f>
        <v>40</v>
      </c>
      <c r="I401" s="26" t="n">
        <v>1</v>
      </c>
      <c r="J401" s="26"/>
      <c r="K401" s="20" t="n">
        <f aca="false">IF(N($J401)&gt;0,$J401,IF(CENARIO_CLIMA="USUARIO",0,$I401))</f>
        <v>1</v>
      </c>
      <c r="L401" s="20" t="n">
        <f aca="false">MIN($K401*FATOR_CHUVA_UTIL,LIMITE_CHUVA_UTIL_DIA)</f>
        <v>0.8</v>
      </c>
      <c r="M401" s="26"/>
      <c r="N401" s="20" t="n">
        <f aca="false">IF(N($M401)&gt;0,$M401,$L401)</f>
        <v>0.8</v>
      </c>
      <c r="O401" s="8" t="str">
        <f aca="false">IF(N($F401)+N($J401)&gt;0,"Serie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1" s="8" t="str">
        <f aca="false">IF(N($M401)&gt;0,"Chuva util informada pelo usuario","MIN(Chuva bruta x FATOR_CHUVA_UTIL ; LIMITE_CHUVA_UTIL_DIA)")</f>
        <v>MIN(Chuva bruta x FATOR_CHUVA_UTIL ; LIMITE_CHUVA_UTIL_DIA)</v>
      </c>
    </row>
    <row r="402" customFormat="false" ht="15" hidden="false" customHeight="false" outlineLevel="0" collapsed="false">
      <c r="B402" s="17" t="n">
        <v>46659</v>
      </c>
      <c r="C402" s="16" t="n">
        <v>57</v>
      </c>
      <c r="D402" s="8" t="s">
        <v>513</v>
      </c>
      <c r="E402" s="26" t="n">
        <v>5.8</v>
      </c>
      <c r="F402" s="26"/>
      <c r="G402" s="20" t="n">
        <f aca="false">IF(N($F402)&gt;0,$F402,IF(CENARIO_CLIMA="USUARIO",0,$E402))</f>
        <v>5.8</v>
      </c>
      <c r="H402" s="18" t="n">
        <f aca="false">SUMIFS($G$8:$G$469,$C$8:$C$469,$C402)</f>
        <v>40</v>
      </c>
      <c r="I402" s="26" t="n">
        <v>1</v>
      </c>
      <c r="J402" s="26"/>
      <c r="K402" s="20" t="n">
        <f aca="false">IF(N($J402)&gt;0,$J402,IF(CENARIO_CLIMA="USUARIO",0,$I402))</f>
        <v>1</v>
      </c>
      <c r="L402" s="20" t="n">
        <f aca="false">MIN($K402*FATOR_CHUVA_UTIL,LIMITE_CHUVA_UTIL_DIA)</f>
        <v>0.8</v>
      </c>
      <c r="M402" s="26"/>
      <c r="N402" s="20" t="n">
        <f aca="false">IF(N($M402)&gt;0,$M402,$L402)</f>
        <v>0.8</v>
      </c>
      <c r="O402" s="8" t="str">
        <f aca="false">IF(N($F402)+N($J402)&gt;0,"Serie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2" s="8" t="str">
        <f aca="false">IF(N($M402)&gt;0,"Chuva util informada pelo usuario","MIN(Chuva bruta x FATOR_CHUVA_UTIL ; LIMITE_CHUVA_UTIL_DIA)")</f>
        <v>MIN(Chuva bruta x FATOR_CHUVA_UTIL ; LIMITE_CHUVA_UTIL_DIA)</v>
      </c>
    </row>
    <row r="403" customFormat="false" ht="15" hidden="false" customHeight="false" outlineLevel="0" collapsed="false">
      <c r="B403" s="17" t="n">
        <v>46660</v>
      </c>
      <c r="C403" s="16" t="n">
        <v>57</v>
      </c>
      <c r="D403" s="8" t="s">
        <v>513</v>
      </c>
      <c r="E403" s="26" t="n">
        <v>5.8</v>
      </c>
      <c r="F403" s="26"/>
      <c r="G403" s="20" t="n">
        <f aca="false">IF(N($F403)&gt;0,$F403,IF(CENARIO_CLIMA="USUARIO",0,$E403))</f>
        <v>5.8</v>
      </c>
      <c r="H403" s="18" t="n">
        <f aca="false">SUMIFS($G$8:$G$469,$C$8:$C$469,$C403)</f>
        <v>40</v>
      </c>
      <c r="I403" s="26" t="n">
        <v>1</v>
      </c>
      <c r="J403" s="26"/>
      <c r="K403" s="20" t="n">
        <f aca="false">IF(N($J403)&gt;0,$J403,IF(CENARIO_CLIMA="USUARIO",0,$I403))</f>
        <v>1</v>
      </c>
      <c r="L403" s="20" t="n">
        <f aca="false">MIN($K403*FATOR_CHUVA_UTIL,LIMITE_CHUVA_UTIL_DIA)</f>
        <v>0.8</v>
      </c>
      <c r="M403" s="26"/>
      <c r="N403" s="20" t="n">
        <f aca="false">IF(N($M403)&gt;0,$M403,$L403)</f>
        <v>0.8</v>
      </c>
      <c r="O403" s="8" t="str">
        <f aca="false">IF(N($F403)+N($J403)&gt;0,"Serie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3" s="8" t="str">
        <f aca="false">IF(N($M403)&gt;0,"Chuva util informada pelo usuario","MIN(Chuva bruta x FATOR_CHUVA_UTIL ; LIMITE_CHUVA_UTIL_DIA)")</f>
        <v>MIN(Chuva bruta x FATOR_CHUVA_UTIL ; LIMITE_CHUVA_UTIL_DIA)</v>
      </c>
    </row>
    <row r="404" customFormat="false" ht="15" hidden="false" customHeight="false" outlineLevel="0" collapsed="false">
      <c r="B404" s="17" t="n">
        <v>46661</v>
      </c>
      <c r="C404" s="16" t="n">
        <v>57</v>
      </c>
      <c r="D404" s="8" t="s">
        <v>514</v>
      </c>
      <c r="E404" s="26" t="n">
        <v>5.6</v>
      </c>
      <c r="F404" s="26"/>
      <c r="G404" s="20" t="n">
        <f aca="false">IF(N($F404)&gt;0,$F404,IF(CENARIO_CLIMA="USUARIO",0,$E404))</f>
        <v>5.6</v>
      </c>
      <c r="H404" s="18" t="n">
        <f aca="false">SUMIFS($G$8:$G$469,$C$8:$C$469,$C404)</f>
        <v>40</v>
      </c>
      <c r="I404" s="26" t="n">
        <v>3.87</v>
      </c>
      <c r="J404" s="26"/>
      <c r="K404" s="20" t="n">
        <f aca="false">IF(N($J404)&gt;0,$J404,IF(CENARIO_CLIMA="USUARIO",0,$I404))</f>
        <v>3.87</v>
      </c>
      <c r="L404" s="20" t="n">
        <f aca="false">MIN($K404*FATOR_CHUVA_UTIL,LIMITE_CHUVA_UTIL_DIA)</f>
        <v>3.096</v>
      </c>
      <c r="M404" s="26"/>
      <c r="N404" s="20" t="n">
        <f aca="false">IF(N($M404)&gt;0,$M404,$L404)</f>
        <v>3.096</v>
      </c>
      <c r="O404" s="8" t="str">
        <f aca="false">IF(N($F404)+N($J404)&gt;0,"Serie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4" s="8" t="str">
        <f aca="false">IF(N($M404)&gt;0,"Chuva util informada pelo usuario","MIN(Chuva bruta x FATOR_CHUVA_UTIL ; LIMITE_CHUVA_UTIL_DIA)")</f>
        <v>MIN(Chuva bruta x FATOR_CHUVA_UTIL ; LIMITE_CHUVA_UTIL_DIA)</v>
      </c>
    </row>
    <row r="405" customFormat="false" ht="15" hidden="false" customHeight="false" outlineLevel="0" collapsed="false">
      <c r="B405" s="17" t="n">
        <v>46662</v>
      </c>
      <c r="C405" s="16" t="n">
        <v>57</v>
      </c>
      <c r="D405" s="8" t="s">
        <v>514</v>
      </c>
      <c r="E405" s="26" t="n">
        <v>5.6</v>
      </c>
      <c r="F405" s="26"/>
      <c r="G405" s="20" t="n">
        <f aca="false">IF(N($F405)&gt;0,$F405,IF(CENARIO_CLIMA="USUARIO",0,$E405))</f>
        <v>5.6</v>
      </c>
      <c r="H405" s="18" t="n">
        <f aca="false">SUMIFS($G$8:$G$469,$C$8:$C$469,$C405)</f>
        <v>40</v>
      </c>
      <c r="I405" s="26" t="n">
        <v>3.87</v>
      </c>
      <c r="J405" s="26"/>
      <c r="K405" s="20" t="n">
        <f aca="false">IF(N($J405)&gt;0,$J405,IF(CENARIO_CLIMA="USUARIO",0,$I405))</f>
        <v>3.87</v>
      </c>
      <c r="L405" s="20" t="n">
        <f aca="false">MIN($K405*FATOR_CHUVA_UTIL,LIMITE_CHUVA_UTIL_DIA)</f>
        <v>3.096</v>
      </c>
      <c r="M405" s="26"/>
      <c r="N405" s="20" t="n">
        <f aca="false">IF(N($M405)&gt;0,$M405,$L405)</f>
        <v>3.096</v>
      </c>
      <c r="O405" s="8" t="str">
        <f aca="false">IF(N($F405)+N($J405)&gt;0,"Serie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5" s="8" t="str">
        <f aca="false">IF(N($M405)&gt;0,"Chuva util informada pelo usuario","MIN(Chuva bruta x FATOR_CHUVA_UTIL ; LIMITE_CHUVA_UTIL_DIA)")</f>
        <v>MIN(Chuva bruta x FATOR_CHUVA_UTIL ; LIMITE_CHUVA_UTIL_DIA)</v>
      </c>
    </row>
    <row r="406" customFormat="false" ht="15" hidden="false" customHeight="false" outlineLevel="0" collapsed="false">
      <c r="B406" s="17" t="n">
        <v>46663</v>
      </c>
      <c r="C406" s="16" t="n">
        <v>57</v>
      </c>
      <c r="D406" s="8" t="s">
        <v>514</v>
      </c>
      <c r="E406" s="26" t="n">
        <v>5.6</v>
      </c>
      <c r="F406" s="26"/>
      <c r="G406" s="20" t="n">
        <f aca="false">IF(N($F406)&gt;0,$F406,IF(CENARIO_CLIMA="USUARIO",0,$E406))</f>
        <v>5.6</v>
      </c>
      <c r="H406" s="18" t="n">
        <f aca="false">SUMIFS($G$8:$G$469,$C$8:$C$469,$C406)</f>
        <v>40</v>
      </c>
      <c r="I406" s="26" t="n">
        <v>3.87</v>
      </c>
      <c r="J406" s="26"/>
      <c r="K406" s="20" t="n">
        <f aca="false">IF(N($J406)&gt;0,$J406,IF(CENARIO_CLIMA="USUARIO",0,$I406))</f>
        <v>3.87</v>
      </c>
      <c r="L406" s="20" t="n">
        <f aca="false">MIN($K406*FATOR_CHUVA_UTIL,LIMITE_CHUVA_UTIL_DIA)</f>
        <v>3.096</v>
      </c>
      <c r="M406" s="26"/>
      <c r="N406" s="20" t="n">
        <f aca="false">IF(N($M406)&gt;0,$M406,$L406)</f>
        <v>3.096</v>
      </c>
      <c r="O406" s="8" t="str">
        <f aca="false">IF(N($F406)+N($J406)&gt;0,"Serie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6" s="8" t="str">
        <f aca="false">IF(N($M406)&gt;0,"Chuva util informada pelo usuario","MIN(Chuva bruta x FATOR_CHUVA_UTIL ; LIMITE_CHUVA_UTIL_DIA)")</f>
        <v>MIN(Chuva bruta x FATOR_CHUVA_UTIL ; LIMITE_CHUVA_UTIL_DIA)</v>
      </c>
    </row>
    <row r="407" customFormat="false" ht="15" hidden="false" customHeight="false" outlineLevel="0" collapsed="false">
      <c r="B407" s="17" t="n">
        <v>46664</v>
      </c>
      <c r="C407" s="16" t="n">
        <v>58</v>
      </c>
      <c r="D407" s="8" t="s">
        <v>514</v>
      </c>
      <c r="E407" s="26" t="n">
        <v>5.6</v>
      </c>
      <c r="F407" s="26"/>
      <c r="G407" s="20" t="n">
        <f aca="false">IF(N($F407)&gt;0,$F407,IF(CENARIO_CLIMA="USUARIO",0,$E407))</f>
        <v>5.6</v>
      </c>
      <c r="H407" s="18" t="n">
        <f aca="false">SUMIFS($G$8:$G$469,$C$8:$C$469,$C407)</f>
        <v>39.2</v>
      </c>
      <c r="I407" s="26" t="n">
        <v>3.87</v>
      </c>
      <c r="J407" s="26"/>
      <c r="K407" s="20" t="n">
        <f aca="false">IF(N($J407)&gt;0,$J407,IF(CENARIO_CLIMA="USUARIO",0,$I407))</f>
        <v>3.87</v>
      </c>
      <c r="L407" s="20" t="n">
        <f aca="false">MIN($K407*FATOR_CHUVA_UTIL,LIMITE_CHUVA_UTIL_DIA)</f>
        <v>3.096</v>
      </c>
      <c r="M407" s="26"/>
      <c r="N407" s="20" t="n">
        <f aca="false">IF(N($M407)&gt;0,$M407,$L407)</f>
        <v>3.096</v>
      </c>
      <c r="O407" s="8" t="str">
        <f aca="false">IF(N($F407)+N($J407)&gt;0,"Serie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7" s="8" t="str">
        <f aca="false">IF(N($M407)&gt;0,"Chuva util informada pelo usuario","MIN(Chuva bruta x FATOR_CHUVA_UTIL ; LIMITE_CHUVA_UTIL_DIA)")</f>
        <v>MIN(Chuva bruta x FATOR_CHUVA_UTIL ; LIMITE_CHUVA_UTIL_DIA)</v>
      </c>
    </row>
    <row r="408" customFormat="false" ht="15" hidden="false" customHeight="false" outlineLevel="0" collapsed="false">
      <c r="B408" s="17" t="n">
        <v>46665</v>
      </c>
      <c r="C408" s="16" t="n">
        <v>58</v>
      </c>
      <c r="D408" s="8" t="s">
        <v>514</v>
      </c>
      <c r="E408" s="26" t="n">
        <v>5.6</v>
      </c>
      <c r="F408" s="26"/>
      <c r="G408" s="20" t="n">
        <f aca="false">IF(N($F408)&gt;0,$F408,IF(CENARIO_CLIMA="USUARIO",0,$E408))</f>
        <v>5.6</v>
      </c>
      <c r="H408" s="18" t="n">
        <f aca="false">SUMIFS($G$8:$G$469,$C$8:$C$469,$C408)</f>
        <v>39.2</v>
      </c>
      <c r="I408" s="26" t="n">
        <v>3.87</v>
      </c>
      <c r="J408" s="26"/>
      <c r="K408" s="20" t="n">
        <f aca="false">IF(N($J408)&gt;0,$J408,IF(CENARIO_CLIMA="USUARIO",0,$I408))</f>
        <v>3.87</v>
      </c>
      <c r="L408" s="20" t="n">
        <f aca="false">MIN($K408*FATOR_CHUVA_UTIL,LIMITE_CHUVA_UTIL_DIA)</f>
        <v>3.096</v>
      </c>
      <c r="M408" s="26"/>
      <c r="N408" s="20" t="n">
        <f aca="false">IF(N($M408)&gt;0,$M408,$L408)</f>
        <v>3.096</v>
      </c>
      <c r="O408" s="8" t="str">
        <f aca="false">IF(N($F408)+N($J408)&gt;0,"Serie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8" s="8" t="str">
        <f aca="false">IF(N($M408)&gt;0,"Chuva util informada pelo usuario","MIN(Chuva bruta x FATOR_CHUVA_UTIL ; LIMITE_CHUVA_UTIL_DIA)")</f>
        <v>MIN(Chuva bruta x FATOR_CHUVA_UTIL ; LIMITE_CHUVA_UTIL_DIA)</v>
      </c>
    </row>
    <row r="409" customFormat="false" ht="15" hidden="false" customHeight="false" outlineLevel="0" collapsed="false">
      <c r="B409" s="17" t="n">
        <v>46666</v>
      </c>
      <c r="C409" s="16" t="n">
        <v>58</v>
      </c>
      <c r="D409" s="8" t="s">
        <v>514</v>
      </c>
      <c r="E409" s="26" t="n">
        <v>5.6</v>
      </c>
      <c r="F409" s="26"/>
      <c r="G409" s="20" t="n">
        <f aca="false">IF(N($F409)&gt;0,$F409,IF(CENARIO_CLIMA="USUARIO",0,$E409))</f>
        <v>5.6</v>
      </c>
      <c r="H409" s="18" t="n">
        <f aca="false">SUMIFS($G$8:$G$469,$C$8:$C$469,$C409)</f>
        <v>39.2</v>
      </c>
      <c r="I409" s="26" t="n">
        <v>3.87</v>
      </c>
      <c r="J409" s="26"/>
      <c r="K409" s="20" t="n">
        <f aca="false">IF(N($J409)&gt;0,$J409,IF(CENARIO_CLIMA="USUARIO",0,$I409))</f>
        <v>3.87</v>
      </c>
      <c r="L409" s="20" t="n">
        <f aca="false">MIN($K409*FATOR_CHUVA_UTIL,LIMITE_CHUVA_UTIL_DIA)</f>
        <v>3.096</v>
      </c>
      <c r="M409" s="26"/>
      <c r="N409" s="20" t="n">
        <f aca="false">IF(N($M409)&gt;0,$M409,$L409)</f>
        <v>3.096</v>
      </c>
      <c r="O409" s="8" t="str">
        <f aca="false">IF(N($F409)+N($J409)&gt;0,"Serie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09" s="8" t="str">
        <f aca="false">IF(N($M409)&gt;0,"Chuva util informada pelo usuario","MIN(Chuva bruta x FATOR_CHUVA_UTIL ; LIMITE_CHUVA_UTIL_DIA)")</f>
        <v>MIN(Chuva bruta x FATOR_CHUVA_UTIL ; LIMITE_CHUVA_UTIL_DIA)</v>
      </c>
    </row>
    <row r="410" customFormat="false" ht="15" hidden="false" customHeight="false" outlineLevel="0" collapsed="false">
      <c r="B410" s="17" t="n">
        <v>46667</v>
      </c>
      <c r="C410" s="16" t="n">
        <v>58</v>
      </c>
      <c r="D410" s="8" t="s">
        <v>514</v>
      </c>
      <c r="E410" s="26" t="n">
        <v>5.6</v>
      </c>
      <c r="F410" s="26"/>
      <c r="G410" s="20" t="n">
        <f aca="false">IF(N($F410)&gt;0,$F410,IF(CENARIO_CLIMA="USUARIO",0,$E410))</f>
        <v>5.6</v>
      </c>
      <c r="H410" s="18" t="n">
        <f aca="false">SUMIFS($G$8:$G$469,$C$8:$C$469,$C410)</f>
        <v>39.2</v>
      </c>
      <c r="I410" s="26" t="n">
        <v>3.87</v>
      </c>
      <c r="J410" s="26"/>
      <c r="K410" s="20" t="n">
        <f aca="false">IF(N($J410)&gt;0,$J410,IF(CENARIO_CLIMA="USUARIO",0,$I410))</f>
        <v>3.87</v>
      </c>
      <c r="L410" s="20" t="n">
        <f aca="false">MIN($K410*FATOR_CHUVA_UTIL,LIMITE_CHUVA_UTIL_DIA)</f>
        <v>3.096</v>
      </c>
      <c r="M410" s="26"/>
      <c r="N410" s="20" t="n">
        <f aca="false">IF(N($M410)&gt;0,$M410,$L410)</f>
        <v>3.096</v>
      </c>
      <c r="O410" s="8" t="str">
        <f aca="false">IF(N($F410)+N($J410)&gt;0,"Serie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0" s="8" t="str">
        <f aca="false">IF(N($M410)&gt;0,"Chuva util informada pelo usuario","MIN(Chuva bruta x FATOR_CHUVA_UTIL ; LIMITE_CHUVA_UTIL_DIA)")</f>
        <v>MIN(Chuva bruta x FATOR_CHUVA_UTIL ; LIMITE_CHUVA_UTIL_DIA)</v>
      </c>
    </row>
    <row r="411" customFormat="false" ht="15" hidden="false" customHeight="false" outlineLevel="0" collapsed="false">
      <c r="B411" s="17" t="n">
        <v>46668</v>
      </c>
      <c r="C411" s="16" t="n">
        <v>58</v>
      </c>
      <c r="D411" s="8" t="s">
        <v>514</v>
      </c>
      <c r="E411" s="26" t="n">
        <v>5.6</v>
      </c>
      <c r="F411" s="26"/>
      <c r="G411" s="20" t="n">
        <f aca="false">IF(N($F411)&gt;0,$F411,IF(CENARIO_CLIMA="USUARIO",0,$E411))</f>
        <v>5.6</v>
      </c>
      <c r="H411" s="18" t="n">
        <f aca="false">SUMIFS($G$8:$G$469,$C$8:$C$469,$C411)</f>
        <v>39.2</v>
      </c>
      <c r="I411" s="26" t="n">
        <v>3.87</v>
      </c>
      <c r="J411" s="26"/>
      <c r="K411" s="20" t="n">
        <f aca="false">IF(N($J411)&gt;0,$J411,IF(CENARIO_CLIMA="USUARIO",0,$I411))</f>
        <v>3.87</v>
      </c>
      <c r="L411" s="20" t="n">
        <f aca="false">MIN($K411*FATOR_CHUVA_UTIL,LIMITE_CHUVA_UTIL_DIA)</f>
        <v>3.096</v>
      </c>
      <c r="M411" s="26"/>
      <c r="N411" s="20" t="n">
        <f aca="false">IF(N($M411)&gt;0,$M411,$L411)</f>
        <v>3.096</v>
      </c>
      <c r="O411" s="8" t="str">
        <f aca="false">IF(N($F411)+N($J411)&gt;0,"Serie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1" s="8" t="str">
        <f aca="false">IF(N($M411)&gt;0,"Chuva util informada pelo usuario","MIN(Chuva bruta x FATOR_CHUVA_UTIL ; LIMITE_CHUVA_UTIL_DIA)")</f>
        <v>MIN(Chuva bruta x FATOR_CHUVA_UTIL ; LIMITE_CHUVA_UTIL_DIA)</v>
      </c>
    </row>
    <row r="412" customFormat="false" ht="15" hidden="false" customHeight="false" outlineLevel="0" collapsed="false">
      <c r="B412" s="17" t="n">
        <v>46669</v>
      </c>
      <c r="C412" s="16" t="n">
        <v>58</v>
      </c>
      <c r="D412" s="8" t="s">
        <v>514</v>
      </c>
      <c r="E412" s="26" t="n">
        <v>5.6</v>
      </c>
      <c r="F412" s="26"/>
      <c r="G412" s="20" t="n">
        <f aca="false">IF(N($F412)&gt;0,$F412,IF(CENARIO_CLIMA="USUARIO",0,$E412))</f>
        <v>5.6</v>
      </c>
      <c r="H412" s="18" t="n">
        <f aca="false">SUMIFS($G$8:$G$469,$C$8:$C$469,$C412)</f>
        <v>39.2</v>
      </c>
      <c r="I412" s="26" t="n">
        <v>3.87</v>
      </c>
      <c r="J412" s="26"/>
      <c r="K412" s="20" t="n">
        <f aca="false">IF(N($J412)&gt;0,$J412,IF(CENARIO_CLIMA="USUARIO",0,$I412))</f>
        <v>3.87</v>
      </c>
      <c r="L412" s="20" t="n">
        <f aca="false">MIN($K412*FATOR_CHUVA_UTIL,LIMITE_CHUVA_UTIL_DIA)</f>
        <v>3.096</v>
      </c>
      <c r="M412" s="26"/>
      <c r="N412" s="20" t="n">
        <f aca="false">IF(N($M412)&gt;0,$M412,$L412)</f>
        <v>3.096</v>
      </c>
      <c r="O412" s="8" t="str">
        <f aca="false">IF(N($F412)+N($J412)&gt;0,"Serie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2" s="8" t="str">
        <f aca="false">IF(N($M412)&gt;0,"Chuva util informada pelo usuario","MIN(Chuva bruta x FATOR_CHUVA_UTIL ; LIMITE_CHUVA_UTIL_DIA)")</f>
        <v>MIN(Chuva bruta x FATOR_CHUVA_UTIL ; LIMITE_CHUVA_UTIL_DIA)</v>
      </c>
    </row>
    <row r="413" customFormat="false" ht="15" hidden="false" customHeight="false" outlineLevel="0" collapsed="false">
      <c r="B413" s="17" t="n">
        <v>46670</v>
      </c>
      <c r="C413" s="16" t="n">
        <v>58</v>
      </c>
      <c r="D413" s="8" t="s">
        <v>514</v>
      </c>
      <c r="E413" s="26" t="n">
        <v>5.6</v>
      </c>
      <c r="F413" s="26"/>
      <c r="G413" s="20" t="n">
        <f aca="false">IF(N($F413)&gt;0,$F413,IF(CENARIO_CLIMA="USUARIO",0,$E413))</f>
        <v>5.6</v>
      </c>
      <c r="H413" s="18" t="n">
        <f aca="false">SUMIFS($G$8:$G$469,$C$8:$C$469,$C413)</f>
        <v>39.2</v>
      </c>
      <c r="I413" s="26" t="n">
        <v>3.87</v>
      </c>
      <c r="J413" s="26"/>
      <c r="K413" s="20" t="n">
        <f aca="false">IF(N($J413)&gt;0,$J413,IF(CENARIO_CLIMA="USUARIO",0,$I413))</f>
        <v>3.87</v>
      </c>
      <c r="L413" s="20" t="n">
        <f aca="false">MIN($K413*FATOR_CHUVA_UTIL,LIMITE_CHUVA_UTIL_DIA)</f>
        <v>3.096</v>
      </c>
      <c r="M413" s="26"/>
      <c r="N413" s="20" t="n">
        <f aca="false">IF(N($M413)&gt;0,$M413,$L413)</f>
        <v>3.096</v>
      </c>
      <c r="O413" s="8" t="str">
        <f aca="false">IF(N($F413)+N($J413)&gt;0,"Serie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3" s="8" t="str">
        <f aca="false">IF(N($M413)&gt;0,"Chuva util informada pelo usuario","MIN(Chuva bruta x FATOR_CHUVA_UTIL ; LIMITE_CHUVA_UTIL_DIA)")</f>
        <v>MIN(Chuva bruta x FATOR_CHUVA_UTIL ; LIMITE_CHUVA_UTIL_DIA)</v>
      </c>
    </row>
    <row r="414" customFormat="false" ht="15" hidden="false" customHeight="false" outlineLevel="0" collapsed="false">
      <c r="B414" s="17" t="n">
        <v>46671</v>
      </c>
      <c r="C414" s="16" t="n">
        <v>59</v>
      </c>
      <c r="D414" s="8" t="s">
        <v>514</v>
      </c>
      <c r="E414" s="26" t="n">
        <v>5.6</v>
      </c>
      <c r="F414" s="26"/>
      <c r="G414" s="20" t="n">
        <f aca="false">IF(N($F414)&gt;0,$F414,IF(CENARIO_CLIMA="USUARIO",0,$E414))</f>
        <v>5.6</v>
      </c>
      <c r="H414" s="18" t="n">
        <f aca="false">SUMIFS($G$8:$G$469,$C$8:$C$469,$C414)</f>
        <v>39.2</v>
      </c>
      <c r="I414" s="26" t="n">
        <v>3.87</v>
      </c>
      <c r="J414" s="26"/>
      <c r="K414" s="20" t="n">
        <f aca="false">IF(N($J414)&gt;0,$J414,IF(CENARIO_CLIMA="USUARIO",0,$I414))</f>
        <v>3.87</v>
      </c>
      <c r="L414" s="20" t="n">
        <f aca="false">MIN($K414*FATOR_CHUVA_UTIL,LIMITE_CHUVA_UTIL_DIA)</f>
        <v>3.096</v>
      </c>
      <c r="M414" s="26"/>
      <c r="N414" s="20" t="n">
        <f aca="false">IF(N($M414)&gt;0,$M414,$L414)</f>
        <v>3.096</v>
      </c>
      <c r="O414" s="8" t="str">
        <f aca="false">IF(N($F414)+N($J414)&gt;0,"Serie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4" s="8" t="str">
        <f aca="false">IF(N($M414)&gt;0,"Chuva util informada pelo usuario","MIN(Chuva bruta x FATOR_CHUVA_UTIL ; LIMITE_CHUVA_UTIL_DIA)")</f>
        <v>MIN(Chuva bruta x FATOR_CHUVA_UTIL ; LIMITE_CHUVA_UTIL_DIA)</v>
      </c>
    </row>
    <row r="415" customFormat="false" ht="15" hidden="false" customHeight="false" outlineLevel="0" collapsed="false">
      <c r="B415" s="17" t="n">
        <v>46672</v>
      </c>
      <c r="C415" s="16" t="n">
        <v>59</v>
      </c>
      <c r="D415" s="8" t="s">
        <v>514</v>
      </c>
      <c r="E415" s="26" t="n">
        <v>5.6</v>
      </c>
      <c r="F415" s="26"/>
      <c r="G415" s="20" t="n">
        <f aca="false">IF(N($F415)&gt;0,$F415,IF(CENARIO_CLIMA="USUARIO",0,$E415))</f>
        <v>5.6</v>
      </c>
      <c r="H415" s="18" t="n">
        <f aca="false">SUMIFS($G$8:$G$469,$C$8:$C$469,$C415)</f>
        <v>39.2</v>
      </c>
      <c r="I415" s="26" t="n">
        <v>3.87</v>
      </c>
      <c r="J415" s="26"/>
      <c r="K415" s="20" t="n">
        <f aca="false">IF(N($J415)&gt;0,$J415,IF(CENARIO_CLIMA="USUARIO",0,$I415))</f>
        <v>3.87</v>
      </c>
      <c r="L415" s="20" t="n">
        <f aca="false">MIN($K415*FATOR_CHUVA_UTIL,LIMITE_CHUVA_UTIL_DIA)</f>
        <v>3.096</v>
      </c>
      <c r="M415" s="26"/>
      <c r="N415" s="20" t="n">
        <f aca="false">IF(N($M415)&gt;0,$M415,$L415)</f>
        <v>3.096</v>
      </c>
      <c r="O415" s="8" t="str">
        <f aca="false">IF(N($F415)+N($J415)&gt;0,"Serie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5" s="8" t="str">
        <f aca="false">IF(N($M415)&gt;0,"Chuva util informada pelo usuario","MIN(Chuva bruta x FATOR_CHUVA_UTIL ; LIMITE_CHUVA_UTIL_DIA)")</f>
        <v>MIN(Chuva bruta x FATOR_CHUVA_UTIL ; LIMITE_CHUVA_UTIL_DIA)</v>
      </c>
    </row>
    <row r="416" customFormat="false" ht="15" hidden="false" customHeight="false" outlineLevel="0" collapsed="false">
      <c r="B416" s="17" t="n">
        <v>46673</v>
      </c>
      <c r="C416" s="16" t="n">
        <v>59</v>
      </c>
      <c r="D416" s="8" t="s">
        <v>514</v>
      </c>
      <c r="E416" s="26" t="n">
        <v>5.6</v>
      </c>
      <c r="F416" s="26"/>
      <c r="G416" s="20" t="n">
        <f aca="false">IF(N($F416)&gt;0,$F416,IF(CENARIO_CLIMA="USUARIO",0,$E416))</f>
        <v>5.6</v>
      </c>
      <c r="H416" s="18" t="n">
        <f aca="false">SUMIFS($G$8:$G$469,$C$8:$C$469,$C416)</f>
        <v>39.2</v>
      </c>
      <c r="I416" s="26" t="n">
        <v>3.87</v>
      </c>
      <c r="J416" s="26"/>
      <c r="K416" s="20" t="n">
        <f aca="false">IF(N($J416)&gt;0,$J416,IF(CENARIO_CLIMA="USUARIO",0,$I416))</f>
        <v>3.87</v>
      </c>
      <c r="L416" s="20" t="n">
        <f aca="false">MIN($K416*FATOR_CHUVA_UTIL,LIMITE_CHUVA_UTIL_DIA)</f>
        <v>3.096</v>
      </c>
      <c r="M416" s="26"/>
      <c r="N416" s="20" t="n">
        <f aca="false">IF(N($M416)&gt;0,$M416,$L416)</f>
        <v>3.096</v>
      </c>
      <c r="O416" s="8" t="str">
        <f aca="false">IF(N($F416)+N($J416)&gt;0,"Serie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6" s="8" t="str">
        <f aca="false">IF(N($M416)&gt;0,"Chuva util informada pelo usuario","MIN(Chuva bruta x FATOR_CHUVA_UTIL ; LIMITE_CHUVA_UTIL_DIA)")</f>
        <v>MIN(Chuva bruta x FATOR_CHUVA_UTIL ; LIMITE_CHUVA_UTIL_DIA)</v>
      </c>
    </row>
    <row r="417" customFormat="false" ht="15" hidden="false" customHeight="false" outlineLevel="0" collapsed="false">
      <c r="B417" s="17" t="n">
        <v>46674</v>
      </c>
      <c r="C417" s="16" t="n">
        <v>59</v>
      </c>
      <c r="D417" s="8" t="s">
        <v>514</v>
      </c>
      <c r="E417" s="26" t="n">
        <v>5.6</v>
      </c>
      <c r="F417" s="26"/>
      <c r="G417" s="20" t="n">
        <f aca="false">IF(N($F417)&gt;0,$F417,IF(CENARIO_CLIMA="USUARIO",0,$E417))</f>
        <v>5.6</v>
      </c>
      <c r="H417" s="18" t="n">
        <f aca="false">SUMIFS($G$8:$G$469,$C$8:$C$469,$C417)</f>
        <v>39.2</v>
      </c>
      <c r="I417" s="26" t="n">
        <v>3.87</v>
      </c>
      <c r="J417" s="26"/>
      <c r="K417" s="20" t="n">
        <f aca="false">IF(N($J417)&gt;0,$J417,IF(CENARIO_CLIMA="USUARIO",0,$I417))</f>
        <v>3.87</v>
      </c>
      <c r="L417" s="20" t="n">
        <f aca="false">MIN($K417*FATOR_CHUVA_UTIL,LIMITE_CHUVA_UTIL_DIA)</f>
        <v>3.096</v>
      </c>
      <c r="M417" s="26"/>
      <c r="N417" s="20" t="n">
        <f aca="false">IF(N($M417)&gt;0,$M417,$L417)</f>
        <v>3.096</v>
      </c>
      <c r="O417" s="8" t="str">
        <f aca="false">IF(N($F417)+N($J417)&gt;0,"Serie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7" s="8" t="str">
        <f aca="false">IF(N($M417)&gt;0,"Chuva util informada pelo usuario","MIN(Chuva bruta x FATOR_CHUVA_UTIL ; LIMITE_CHUVA_UTIL_DIA)")</f>
        <v>MIN(Chuva bruta x FATOR_CHUVA_UTIL ; LIMITE_CHUVA_UTIL_DIA)</v>
      </c>
    </row>
    <row r="418" customFormat="false" ht="15" hidden="false" customHeight="false" outlineLevel="0" collapsed="false">
      <c r="B418" s="17" t="n">
        <v>46675</v>
      </c>
      <c r="C418" s="16" t="n">
        <v>59</v>
      </c>
      <c r="D418" s="8" t="s">
        <v>514</v>
      </c>
      <c r="E418" s="26" t="n">
        <v>5.6</v>
      </c>
      <c r="F418" s="26"/>
      <c r="G418" s="20" t="n">
        <f aca="false">IF(N($F418)&gt;0,$F418,IF(CENARIO_CLIMA="USUARIO",0,$E418))</f>
        <v>5.6</v>
      </c>
      <c r="H418" s="18" t="n">
        <f aca="false">SUMIFS($G$8:$G$469,$C$8:$C$469,$C418)</f>
        <v>39.2</v>
      </c>
      <c r="I418" s="26" t="n">
        <v>3.87</v>
      </c>
      <c r="J418" s="26"/>
      <c r="K418" s="20" t="n">
        <f aca="false">IF(N($J418)&gt;0,$J418,IF(CENARIO_CLIMA="USUARIO",0,$I418))</f>
        <v>3.87</v>
      </c>
      <c r="L418" s="20" t="n">
        <f aca="false">MIN($K418*FATOR_CHUVA_UTIL,LIMITE_CHUVA_UTIL_DIA)</f>
        <v>3.096</v>
      </c>
      <c r="M418" s="26"/>
      <c r="N418" s="20" t="n">
        <f aca="false">IF(N($M418)&gt;0,$M418,$L418)</f>
        <v>3.096</v>
      </c>
      <c r="O418" s="8" t="str">
        <f aca="false">IF(N($F418)+N($J418)&gt;0,"Serie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8" s="8" t="str">
        <f aca="false">IF(N($M418)&gt;0,"Chuva util informada pelo usuario","MIN(Chuva bruta x FATOR_CHUVA_UTIL ; LIMITE_CHUVA_UTIL_DIA)")</f>
        <v>MIN(Chuva bruta x FATOR_CHUVA_UTIL ; LIMITE_CHUVA_UTIL_DIA)</v>
      </c>
    </row>
    <row r="419" customFormat="false" ht="15" hidden="false" customHeight="false" outlineLevel="0" collapsed="false">
      <c r="B419" s="17" t="n">
        <v>46676</v>
      </c>
      <c r="C419" s="16" t="n">
        <v>59</v>
      </c>
      <c r="D419" s="8" t="s">
        <v>514</v>
      </c>
      <c r="E419" s="26" t="n">
        <v>5.6</v>
      </c>
      <c r="F419" s="26"/>
      <c r="G419" s="20" t="n">
        <f aca="false">IF(N($F419)&gt;0,$F419,IF(CENARIO_CLIMA="USUARIO",0,$E419))</f>
        <v>5.6</v>
      </c>
      <c r="H419" s="18" t="n">
        <f aca="false">SUMIFS($G$8:$G$469,$C$8:$C$469,$C419)</f>
        <v>39.2</v>
      </c>
      <c r="I419" s="26" t="n">
        <v>3.87</v>
      </c>
      <c r="J419" s="26"/>
      <c r="K419" s="20" t="n">
        <f aca="false">IF(N($J419)&gt;0,$J419,IF(CENARIO_CLIMA="USUARIO",0,$I419))</f>
        <v>3.87</v>
      </c>
      <c r="L419" s="20" t="n">
        <f aca="false">MIN($K419*FATOR_CHUVA_UTIL,LIMITE_CHUVA_UTIL_DIA)</f>
        <v>3.096</v>
      </c>
      <c r="M419" s="26"/>
      <c r="N419" s="20" t="n">
        <f aca="false">IF(N($M419)&gt;0,$M419,$L419)</f>
        <v>3.096</v>
      </c>
      <c r="O419" s="8" t="str">
        <f aca="false">IF(N($F419)+N($J419)&gt;0,"Serie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19" s="8" t="str">
        <f aca="false">IF(N($M419)&gt;0,"Chuva util informada pelo usuario","MIN(Chuva bruta x FATOR_CHUVA_UTIL ; LIMITE_CHUVA_UTIL_DIA)")</f>
        <v>MIN(Chuva bruta x FATOR_CHUVA_UTIL ; LIMITE_CHUVA_UTIL_DIA)</v>
      </c>
    </row>
    <row r="420" customFormat="false" ht="15" hidden="false" customHeight="false" outlineLevel="0" collapsed="false">
      <c r="B420" s="17" t="n">
        <v>46677</v>
      </c>
      <c r="C420" s="16" t="n">
        <v>59</v>
      </c>
      <c r="D420" s="8" t="s">
        <v>514</v>
      </c>
      <c r="E420" s="26" t="n">
        <v>5.6</v>
      </c>
      <c r="F420" s="26"/>
      <c r="G420" s="20" t="n">
        <f aca="false">IF(N($F420)&gt;0,$F420,IF(CENARIO_CLIMA="USUARIO",0,$E420))</f>
        <v>5.6</v>
      </c>
      <c r="H420" s="18" t="n">
        <f aca="false">SUMIFS($G$8:$G$469,$C$8:$C$469,$C420)</f>
        <v>39.2</v>
      </c>
      <c r="I420" s="26" t="n">
        <v>3.87</v>
      </c>
      <c r="J420" s="26"/>
      <c r="K420" s="20" t="n">
        <f aca="false">IF(N($J420)&gt;0,$J420,IF(CENARIO_CLIMA="USUARIO",0,$I420))</f>
        <v>3.87</v>
      </c>
      <c r="L420" s="20" t="n">
        <f aca="false">MIN($K420*FATOR_CHUVA_UTIL,LIMITE_CHUVA_UTIL_DIA)</f>
        <v>3.096</v>
      </c>
      <c r="M420" s="26"/>
      <c r="N420" s="20" t="n">
        <f aca="false">IF(N($M420)&gt;0,$M420,$L420)</f>
        <v>3.096</v>
      </c>
      <c r="O420" s="8" t="str">
        <f aca="false">IF(N($F420)+N($J420)&gt;0,"Serie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0" s="8" t="str">
        <f aca="false">IF(N($M420)&gt;0,"Chuva util informada pelo usuario","MIN(Chuva bruta x FATOR_CHUVA_UTIL ; LIMITE_CHUVA_UTIL_DIA)")</f>
        <v>MIN(Chuva bruta x FATOR_CHUVA_UTIL ; LIMITE_CHUVA_UTIL_DIA)</v>
      </c>
    </row>
    <row r="421" customFormat="false" ht="15" hidden="false" customHeight="false" outlineLevel="0" collapsed="false">
      <c r="B421" s="17" t="n">
        <v>46678</v>
      </c>
      <c r="C421" s="16" t="n">
        <v>60</v>
      </c>
      <c r="D421" s="8" t="s">
        <v>514</v>
      </c>
      <c r="E421" s="26" t="n">
        <v>5.6</v>
      </c>
      <c r="F421" s="26"/>
      <c r="G421" s="20" t="n">
        <f aca="false">IF(N($F421)&gt;0,$F421,IF(CENARIO_CLIMA="USUARIO",0,$E421))</f>
        <v>5.6</v>
      </c>
      <c r="H421" s="18" t="n">
        <f aca="false">SUMIFS($G$8:$G$469,$C$8:$C$469,$C421)</f>
        <v>39.2</v>
      </c>
      <c r="I421" s="26" t="n">
        <v>3.87</v>
      </c>
      <c r="J421" s="26"/>
      <c r="K421" s="20" t="n">
        <f aca="false">IF(N($J421)&gt;0,$J421,IF(CENARIO_CLIMA="USUARIO",0,$I421))</f>
        <v>3.87</v>
      </c>
      <c r="L421" s="20" t="n">
        <f aca="false">MIN($K421*FATOR_CHUVA_UTIL,LIMITE_CHUVA_UTIL_DIA)</f>
        <v>3.096</v>
      </c>
      <c r="M421" s="26"/>
      <c r="N421" s="20" t="n">
        <f aca="false">IF(N($M421)&gt;0,$M421,$L421)</f>
        <v>3.096</v>
      </c>
      <c r="O421" s="8" t="str">
        <f aca="false">IF(N($F421)+N($J421)&gt;0,"Serie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1" s="8" t="str">
        <f aca="false">IF(N($M421)&gt;0,"Chuva util informada pelo usuario","MIN(Chuva bruta x FATOR_CHUVA_UTIL ; LIMITE_CHUVA_UTIL_DIA)")</f>
        <v>MIN(Chuva bruta x FATOR_CHUVA_UTIL ; LIMITE_CHUVA_UTIL_DIA)</v>
      </c>
    </row>
    <row r="422" customFormat="false" ht="15" hidden="false" customHeight="false" outlineLevel="0" collapsed="false">
      <c r="B422" s="17" t="n">
        <v>46679</v>
      </c>
      <c r="C422" s="16" t="n">
        <v>60</v>
      </c>
      <c r="D422" s="8" t="s">
        <v>514</v>
      </c>
      <c r="E422" s="26" t="n">
        <v>5.6</v>
      </c>
      <c r="F422" s="26"/>
      <c r="G422" s="20" t="n">
        <f aca="false">IF(N($F422)&gt;0,$F422,IF(CENARIO_CLIMA="USUARIO",0,$E422))</f>
        <v>5.6</v>
      </c>
      <c r="H422" s="18" t="n">
        <f aca="false">SUMIFS($G$8:$G$469,$C$8:$C$469,$C422)</f>
        <v>39.2</v>
      </c>
      <c r="I422" s="26" t="n">
        <v>3.87</v>
      </c>
      <c r="J422" s="26"/>
      <c r="K422" s="20" t="n">
        <f aca="false">IF(N($J422)&gt;0,$J422,IF(CENARIO_CLIMA="USUARIO",0,$I422))</f>
        <v>3.87</v>
      </c>
      <c r="L422" s="20" t="n">
        <f aca="false">MIN($K422*FATOR_CHUVA_UTIL,LIMITE_CHUVA_UTIL_DIA)</f>
        <v>3.096</v>
      </c>
      <c r="M422" s="26"/>
      <c r="N422" s="20" t="n">
        <f aca="false">IF(N($M422)&gt;0,$M422,$L422)</f>
        <v>3.096</v>
      </c>
      <c r="O422" s="8" t="str">
        <f aca="false">IF(N($F422)+N($J422)&gt;0,"Serie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2" s="8" t="str">
        <f aca="false">IF(N($M422)&gt;0,"Chuva util informada pelo usuario","MIN(Chuva bruta x FATOR_CHUVA_UTIL ; LIMITE_CHUVA_UTIL_DIA)")</f>
        <v>MIN(Chuva bruta x FATOR_CHUVA_UTIL ; LIMITE_CHUVA_UTIL_DIA)</v>
      </c>
    </row>
    <row r="423" customFormat="false" ht="15" hidden="false" customHeight="false" outlineLevel="0" collapsed="false">
      <c r="B423" s="17" t="n">
        <v>46680</v>
      </c>
      <c r="C423" s="16" t="n">
        <v>60</v>
      </c>
      <c r="D423" s="8" t="s">
        <v>514</v>
      </c>
      <c r="E423" s="26" t="n">
        <v>5.6</v>
      </c>
      <c r="F423" s="26"/>
      <c r="G423" s="20" t="n">
        <f aca="false">IF(N($F423)&gt;0,$F423,IF(CENARIO_CLIMA="USUARIO",0,$E423))</f>
        <v>5.6</v>
      </c>
      <c r="H423" s="18" t="n">
        <f aca="false">SUMIFS($G$8:$G$469,$C$8:$C$469,$C423)</f>
        <v>39.2</v>
      </c>
      <c r="I423" s="26" t="n">
        <v>3.87</v>
      </c>
      <c r="J423" s="26"/>
      <c r="K423" s="20" t="n">
        <f aca="false">IF(N($J423)&gt;0,$J423,IF(CENARIO_CLIMA="USUARIO",0,$I423))</f>
        <v>3.87</v>
      </c>
      <c r="L423" s="20" t="n">
        <f aca="false">MIN($K423*FATOR_CHUVA_UTIL,LIMITE_CHUVA_UTIL_DIA)</f>
        <v>3.096</v>
      </c>
      <c r="M423" s="26"/>
      <c r="N423" s="20" t="n">
        <f aca="false">IF(N($M423)&gt;0,$M423,$L423)</f>
        <v>3.096</v>
      </c>
      <c r="O423" s="8" t="str">
        <f aca="false">IF(N($F423)+N($J423)&gt;0,"Serie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3" s="8" t="str">
        <f aca="false">IF(N($M423)&gt;0,"Chuva util informada pelo usuario","MIN(Chuva bruta x FATOR_CHUVA_UTIL ; LIMITE_CHUVA_UTIL_DIA)")</f>
        <v>MIN(Chuva bruta x FATOR_CHUVA_UTIL ; LIMITE_CHUVA_UTIL_DIA)</v>
      </c>
    </row>
    <row r="424" customFormat="false" ht="15" hidden="false" customHeight="false" outlineLevel="0" collapsed="false">
      <c r="B424" s="17" t="n">
        <v>46681</v>
      </c>
      <c r="C424" s="16" t="n">
        <v>60</v>
      </c>
      <c r="D424" s="8" t="s">
        <v>514</v>
      </c>
      <c r="E424" s="26" t="n">
        <v>5.6</v>
      </c>
      <c r="F424" s="26"/>
      <c r="G424" s="20" t="n">
        <f aca="false">IF(N($F424)&gt;0,$F424,IF(CENARIO_CLIMA="USUARIO",0,$E424))</f>
        <v>5.6</v>
      </c>
      <c r="H424" s="18" t="n">
        <f aca="false">SUMIFS($G$8:$G$469,$C$8:$C$469,$C424)</f>
        <v>39.2</v>
      </c>
      <c r="I424" s="26" t="n">
        <v>3.87</v>
      </c>
      <c r="J424" s="26"/>
      <c r="K424" s="20" t="n">
        <f aca="false">IF(N($J424)&gt;0,$J424,IF(CENARIO_CLIMA="USUARIO",0,$I424))</f>
        <v>3.87</v>
      </c>
      <c r="L424" s="20" t="n">
        <f aca="false">MIN($K424*FATOR_CHUVA_UTIL,LIMITE_CHUVA_UTIL_DIA)</f>
        <v>3.096</v>
      </c>
      <c r="M424" s="26"/>
      <c r="N424" s="20" t="n">
        <f aca="false">IF(N($M424)&gt;0,$M424,$L424)</f>
        <v>3.096</v>
      </c>
      <c r="O424" s="8" t="str">
        <f aca="false">IF(N($F424)+N($J424)&gt;0,"Serie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4" s="8" t="str">
        <f aca="false">IF(N($M424)&gt;0,"Chuva util informada pelo usuario","MIN(Chuva bruta x FATOR_CHUVA_UTIL ; LIMITE_CHUVA_UTIL_DIA)")</f>
        <v>MIN(Chuva bruta x FATOR_CHUVA_UTIL ; LIMITE_CHUVA_UTIL_DIA)</v>
      </c>
    </row>
    <row r="425" customFormat="false" ht="15" hidden="false" customHeight="false" outlineLevel="0" collapsed="false">
      <c r="B425" s="17" t="n">
        <v>46682</v>
      </c>
      <c r="C425" s="16" t="n">
        <v>60</v>
      </c>
      <c r="D425" s="8" t="s">
        <v>514</v>
      </c>
      <c r="E425" s="26" t="n">
        <v>5.6</v>
      </c>
      <c r="F425" s="26"/>
      <c r="G425" s="20" t="n">
        <f aca="false">IF(N($F425)&gt;0,$F425,IF(CENARIO_CLIMA="USUARIO",0,$E425))</f>
        <v>5.6</v>
      </c>
      <c r="H425" s="18" t="n">
        <f aca="false">SUMIFS($G$8:$G$469,$C$8:$C$469,$C425)</f>
        <v>39.2</v>
      </c>
      <c r="I425" s="26" t="n">
        <v>3.87</v>
      </c>
      <c r="J425" s="26"/>
      <c r="K425" s="20" t="n">
        <f aca="false">IF(N($J425)&gt;0,$J425,IF(CENARIO_CLIMA="USUARIO",0,$I425))</f>
        <v>3.87</v>
      </c>
      <c r="L425" s="20" t="n">
        <f aca="false">MIN($K425*FATOR_CHUVA_UTIL,LIMITE_CHUVA_UTIL_DIA)</f>
        <v>3.096</v>
      </c>
      <c r="M425" s="26"/>
      <c r="N425" s="20" t="n">
        <f aca="false">IF(N($M425)&gt;0,$M425,$L425)</f>
        <v>3.096</v>
      </c>
      <c r="O425" s="8" t="str">
        <f aca="false">IF(N($F425)+N($J425)&gt;0,"Serie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5" s="8" t="str">
        <f aca="false">IF(N($M425)&gt;0,"Chuva util informada pelo usuario","MIN(Chuva bruta x FATOR_CHUVA_UTIL ; LIMITE_CHUVA_UTIL_DIA)")</f>
        <v>MIN(Chuva bruta x FATOR_CHUVA_UTIL ; LIMITE_CHUVA_UTIL_DIA)</v>
      </c>
    </row>
    <row r="426" customFormat="false" ht="15" hidden="false" customHeight="false" outlineLevel="0" collapsed="false">
      <c r="B426" s="17" t="n">
        <v>46683</v>
      </c>
      <c r="C426" s="16" t="n">
        <v>60</v>
      </c>
      <c r="D426" s="8" t="s">
        <v>514</v>
      </c>
      <c r="E426" s="26" t="n">
        <v>5.6</v>
      </c>
      <c r="F426" s="26"/>
      <c r="G426" s="20" t="n">
        <f aca="false">IF(N($F426)&gt;0,$F426,IF(CENARIO_CLIMA="USUARIO",0,$E426))</f>
        <v>5.6</v>
      </c>
      <c r="H426" s="18" t="n">
        <f aca="false">SUMIFS($G$8:$G$469,$C$8:$C$469,$C426)</f>
        <v>39.2</v>
      </c>
      <c r="I426" s="26" t="n">
        <v>3.87</v>
      </c>
      <c r="J426" s="26"/>
      <c r="K426" s="20" t="n">
        <f aca="false">IF(N($J426)&gt;0,$J426,IF(CENARIO_CLIMA="USUARIO",0,$I426))</f>
        <v>3.87</v>
      </c>
      <c r="L426" s="20" t="n">
        <f aca="false">MIN($K426*FATOR_CHUVA_UTIL,LIMITE_CHUVA_UTIL_DIA)</f>
        <v>3.096</v>
      </c>
      <c r="M426" s="26"/>
      <c r="N426" s="20" t="n">
        <f aca="false">IF(N($M426)&gt;0,$M426,$L426)</f>
        <v>3.096</v>
      </c>
      <c r="O426" s="8" t="str">
        <f aca="false">IF(N($F426)+N($J426)&gt;0,"Serie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6" s="8" t="str">
        <f aca="false">IF(N($M426)&gt;0,"Chuva util informada pelo usuario","MIN(Chuva bruta x FATOR_CHUVA_UTIL ; LIMITE_CHUVA_UTIL_DIA)")</f>
        <v>MIN(Chuva bruta x FATOR_CHUVA_UTIL ; LIMITE_CHUVA_UTIL_DIA)</v>
      </c>
    </row>
    <row r="427" customFormat="false" ht="15" hidden="false" customHeight="false" outlineLevel="0" collapsed="false">
      <c r="B427" s="17" t="n">
        <v>46684</v>
      </c>
      <c r="C427" s="16" t="n">
        <v>60</v>
      </c>
      <c r="D427" s="8" t="s">
        <v>514</v>
      </c>
      <c r="E427" s="26" t="n">
        <v>5.6</v>
      </c>
      <c r="F427" s="26"/>
      <c r="G427" s="20" t="n">
        <f aca="false">IF(N($F427)&gt;0,$F427,IF(CENARIO_CLIMA="USUARIO",0,$E427))</f>
        <v>5.6</v>
      </c>
      <c r="H427" s="18" t="n">
        <f aca="false">SUMIFS($G$8:$G$469,$C$8:$C$469,$C427)</f>
        <v>39.2</v>
      </c>
      <c r="I427" s="26" t="n">
        <v>3.87</v>
      </c>
      <c r="J427" s="26"/>
      <c r="K427" s="20" t="n">
        <f aca="false">IF(N($J427)&gt;0,$J427,IF(CENARIO_CLIMA="USUARIO",0,$I427))</f>
        <v>3.87</v>
      </c>
      <c r="L427" s="20" t="n">
        <f aca="false">MIN($K427*FATOR_CHUVA_UTIL,LIMITE_CHUVA_UTIL_DIA)</f>
        <v>3.096</v>
      </c>
      <c r="M427" s="26"/>
      <c r="N427" s="20" t="n">
        <f aca="false">IF(N($M427)&gt;0,$M427,$L427)</f>
        <v>3.096</v>
      </c>
      <c r="O427" s="8" t="str">
        <f aca="false">IF(N($F427)+N($J427)&gt;0,"Serie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7" s="8" t="str">
        <f aca="false">IF(N($M427)&gt;0,"Chuva util informada pelo usuario","MIN(Chuva bruta x FATOR_CHUVA_UTIL ; LIMITE_CHUVA_UTIL_DIA)")</f>
        <v>MIN(Chuva bruta x FATOR_CHUVA_UTIL ; LIMITE_CHUVA_UTIL_DIA)</v>
      </c>
    </row>
    <row r="428" customFormat="false" ht="15" hidden="false" customHeight="false" outlineLevel="0" collapsed="false">
      <c r="B428" s="17" t="n">
        <v>46685</v>
      </c>
      <c r="C428" s="16" t="n">
        <v>61</v>
      </c>
      <c r="D428" s="8" t="s">
        <v>514</v>
      </c>
      <c r="E428" s="26" t="n">
        <v>5.6</v>
      </c>
      <c r="F428" s="26"/>
      <c r="G428" s="20" t="n">
        <f aca="false">IF(N($F428)&gt;0,$F428,IF(CENARIO_CLIMA="USUARIO",0,$E428))</f>
        <v>5.6</v>
      </c>
      <c r="H428" s="18" t="n">
        <f aca="false">SUMIFS($G$8:$G$469,$C$8:$C$469,$C428)</f>
        <v>39.2</v>
      </c>
      <c r="I428" s="26" t="n">
        <v>3.87</v>
      </c>
      <c r="J428" s="26"/>
      <c r="K428" s="20" t="n">
        <f aca="false">IF(N($J428)&gt;0,$J428,IF(CENARIO_CLIMA="USUARIO",0,$I428))</f>
        <v>3.87</v>
      </c>
      <c r="L428" s="20" t="n">
        <f aca="false">MIN($K428*FATOR_CHUVA_UTIL,LIMITE_CHUVA_UTIL_DIA)</f>
        <v>3.096</v>
      </c>
      <c r="M428" s="26"/>
      <c r="N428" s="20" t="n">
        <f aca="false">IF(N($M428)&gt;0,$M428,$L428)</f>
        <v>3.096</v>
      </c>
      <c r="O428" s="8" t="str">
        <f aca="false">IF(N($F428)+N($J428)&gt;0,"Serie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8" s="8" t="str">
        <f aca="false">IF(N($M428)&gt;0,"Chuva util informada pelo usuario","MIN(Chuva bruta x FATOR_CHUVA_UTIL ; LIMITE_CHUVA_UTIL_DIA)")</f>
        <v>MIN(Chuva bruta x FATOR_CHUVA_UTIL ; LIMITE_CHUVA_UTIL_DIA)</v>
      </c>
    </row>
    <row r="429" customFormat="false" ht="15" hidden="false" customHeight="false" outlineLevel="0" collapsed="false">
      <c r="B429" s="17" t="n">
        <v>46686</v>
      </c>
      <c r="C429" s="16" t="n">
        <v>61</v>
      </c>
      <c r="D429" s="8" t="s">
        <v>514</v>
      </c>
      <c r="E429" s="26" t="n">
        <v>5.6</v>
      </c>
      <c r="F429" s="26"/>
      <c r="G429" s="20" t="n">
        <f aca="false">IF(N($F429)&gt;0,$F429,IF(CENARIO_CLIMA="USUARIO",0,$E429))</f>
        <v>5.6</v>
      </c>
      <c r="H429" s="18" t="n">
        <f aca="false">SUMIFS($G$8:$G$469,$C$8:$C$469,$C429)</f>
        <v>39.2</v>
      </c>
      <c r="I429" s="26" t="n">
        <v>3.87</v>
      </c>
      <c r="J429" s="26"/>
      <c r="K429" s="20" t="n">
        <f aca="false">IF(N($J429)&gt;0,$J429,IF(CENARIO_CLIMA="USUARIO",0,$I429))</f>
        <v>3.87</v>
      </c>
      <c r="L429" s="20" t="n">
        <f aca="false">MIN($K429*FATOR_CHUVA_UTIL,LIMITE_CHUVA_UTIL_DIA)</f>
        <v>3.096</v>
      </c>
      <c r="M429" s="26"/>
      <c r="N429" s="20" t="n">
        <f aca="false">IF(N($M429)&gt;0,$M429,$L429)</f>
        <v>3.096</v>
      </c>
      <c r="O429" s="8" t="str">
        <f aca="false">IF(N($F429)+N($J429)&gt;0,"Serie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29" s="8" t="str">
        <f aca="false">IF(N($M429)&gt;0,"Chuva util informada pelo usuario","MIN(Chuva bruta x FATOR_CHUVA_UTIL ; LIMITE_CHUVA_UTIL_DIA)")</f>
        <v>MIN(Chuva bruta x FATOR_CHUVA_UTIL ; LIMITE_CHUVA_UTIL_DIA)</v>
      </c>
    </row>
    <row r="430" customFormat="false" ht="15" hidden="false" customHeight="false" outlineLevel="0" collapsed="false">
      <c r="B430" s="17" t="n">
        <v>46687</v>
      </c>
      <c r="C430" s="16" t="n">
        <v>61</v>
      </c>
      <c r="D430" s="8" t="s">
        <v>514</v>
      </c>
      <c r="E430" s="26" t="n">
        <v>5.6</v>
      </c>
      <c r="F430" s="26"/>
      <c r="G430" s="20" t="n">
        <f aca="false">IF(N($F430)&gt;0,$F430,IF(CENARIO_CLIMA="USUARIO",0,$E430))</f>
        <v>5.6</v>
      </c>
      <c r="H430" s="18" t="n">
        <f aca="false">SUMIFS($G$8:$G$469,$C$8:$C$469,$C430)</f>
        <v>39.2</v>
      </c>
      <c r="I430" s="26" t="n">
        <v>3.87</v>
      </c>
      <c r="J430" s="26"/>
      <c r="K430" s="20" t="n">
        <f aca="false">IF(N($J430)&gt;0,$J430,IF(CENARIO_CLIMA="USUARIO",0,$I430))</f>
        <v>3.87</v>
      </c>
      <c r="L430" s="20" t="n">
        <f aca="false">MIN($K430*FATOR_CHUVA_UTIL,LIMITE_CHUVA_UTIL_DIA)</f>
        <v>3.096</v>
      </c>
      <c r="M430" s="26"/>
      <c r="N430" s="20" t="n">
        <f aca="false">IF(N($M430)&gt;0,$M430,$L430)</f>
        <v>3.096</v>
      </c>
      <c r="O430" s="8" t="str">
        <f aca="false">IF(N($F430)+N($J430)&gt;0,"Serie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0" s="8" t="str">
        <f aca="false">IF(N($M430)&gt;0,"Chuva util informada pelo usuario","MIN(Chuva bruta x FATOR_CHUVA_UTIL ; LIMITE_CHUVA_UTIL_DIA)")</f>
        <v>MIN(Chuva bruta x FATOR_CHUVA_UTIL ; LIMITE_CHUVA_UTIL_DIA)</v>
      </c>
    </row>
    <row r="431" customFormat="false" ht="15" hidden="false" customHeight="false" outlineLevel="0" collapsed="false">
      <c r="B431" s="17" t="n">
        <v>46688</v>
      </c>
      <c r="C431" s="16" t="n">
        <v>61</v>
      </c>
      <c r="D431" s="8" t="s">
        <v>514</v>
      </c>
      <c r="E431" s="26" t="n">
        <v>5.6</v>
      </c>
      <c r="F431" s="26"/>
      <c r="G431" s="20" t="n">
        <f aca="false">IF(N($F431)&gt;0,$F431,IF(CENARIO_CLIMA="USUARIO",0,$E431))</f>
        <v>5.6</v>
      </c>
      <c r="H431" s="18" t="n">
        <f aca="false">SUMIFS($G$8:$G$469,$C$8:$C$469,$C431)</f>
        <v>39.2</v>
      </c>
      <c r="I431" s="26" t="n">
        <v>3.87</v>
      </c>
      <c r="J431" s="26"/>
      <c r="K431" s="20" t="n">
        <f aca="false">IF(N($J431)&gt;0,$J431,IF(CENARIO_CLIMA="USUARIO",0,$I431))</f>
        <v>3.87</v>
      </c>
      <c r="L431" s="20" t="n">
        <f aca="false">MIN($K431*FATOR_CHUVA_UTIL,LIMITE_CHUVA_UTIL_DIA)</f>
        <v>3.096</v>
      </c>
      <c r="M431" s="26"/>
      <c r="N431" s="20" t="n">
        <f aca="false">IF(N($M431)&gt;0,$M431,$L431)</f>
        <v>3.096</v>
      </c>
      <c r="O431" s="8" t="str">
        <f aca="false">IF(N($F431)+N($J431)&gt;0,"Serie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1" s="8" t="str">
        <f aca="false">IF(N($M431)&gt;0,"Chuva util informada pelo usuario","MIN(Chuva bruta x FATOR_CHUVA_UTIL ; LIMITE_CHUVA_UTIL_DIA)")</f>
        <v>MIN(Chuva bruta x FATOR_CHUVA_UTIL ; LIMITE_CHUVA_UTIL_DIA)</v>
      </c>
    </row>
    <row r="432" customFormat="false" ht="15" hidden="false" customHeight="false" outlineLevel="0" collapsed="false">
      <c r="B432" s="17" t="n">
        <v>46689</v>
      </c>
      <c r="C432" s="16" t="n">
        <v>61</v>
      </c>
      <c r="D432" s="8" t="s">
        <v>514</v>
      </c>
      <c r="E432" s="26" t="n">
        <v>5.6</v>
      </c>
      <c r="F432" s="26"/>
      <c r="G432" s="20" t="n">
        <f aca="false">IF(N($F432)&gt;0,$F432,IF(CENARIO_CLIMA="USUARIO",0,$E432))</f>
        <v>5.6</v>
      </c>
      <c r="H432" s="18" t="n">
        <f aca="false">SUMIFS($G$8:$G$469,$C$8:$C$469,$C432)</f>
        <v>39.2</v>
      </c>
      <c r="I432" s="26" t="n">
        <v>3.87</v>
      </c>
      <c r="J432" s="26"/>
      <c r="K432" s="20" t="n">
        <f aca="false">IF(N($J432)&gt;0,$J432,IF(CENARIO_CLIMA="USUARIO",0,$I432))</f>
        <v>3.87</v>
      </c>
      <c r="L432" s="20" t="n">
        <f aca="false">MIN($K432*FATOR_CHUVA_UTIL,LIMITE_CHUVA_UTIL_DIA)</f>
        <v>3.096</v>
      </c>
      <c r="M432" s="26"/>
      <c r="N432" s="20" t="n">
        <f aca="false">IF(N($M432)&gt;0,$M432,$L432)</f>
        <v>3.096</v>
      </c>
      <c r="O432" s="8" t="str">
        <f aca="false">IF(N($F432)+N($J432)&gt;0,"Serie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2" s="8" t="str">
        <f aca="false">IF(N($M432)&gt;0,"Chuva util informada pelo usuario","MIN(Chuva bruta x FATOR_CHUVA_UTIL ; LIMITE_CHUVA_UTIL_DIA)")</f>
        <v>MIN(Chuva bruta x FATOR_CHUVA_UTIL ; LIMITE_CHUVA_UTIL_DIA)</v>
      </c>
    </row>
    <row r="433" customFormat="false" ht="15" hidden="false" customHeight="false" outlineLevel="0" collapsed="false">
      <c r="B433" s="17" t="n">
        <v>46690</v>
      </c>
      <c r="C433" s="16" t="n">
        <v>61</v>
      </c>
      <c r="D433" s="8" t="s">
        <v>514</v>
      </c>
      <c r="E433" s="26" t="n">
        <v>5.6</v>
      </c>
      <c r="F433" s="26"/>
      <c r="G433" s="20" t="n">
        <f aca="false">IF(N($F433)&gt;0,$F433,IF(CENARIO_CLIMA="USUARIO",0,$E433))</f>
        <v>5.6</v>
      </c>
      <c r="H433" s="18" t="n">
        <f aca="false">SUMIFS($G$8:$G$469,$C$8:$C$469,$C433)</f>
        <v>39.2</v>
      </c>
      <c r="I433" s="26" t="n">
        <v>3.87</v>
      </c>
      <c r="J433" s="26"/>
      <c r="K433" s="20" t="n">
        <f aca="false">IF(N($J433)&gt;0,$J433,IF(CENARIO_CLIMA="USUARIO",0,$I433))</f>
        <v>3.87</v>
      </c>
      <c r="L433" s="20" t="n">
        <f aca="false">MIN($K433*FATOR_CHUVA_UTIL,LIMITE_CHUVA_UTIL_DIA)</f>
        <v>3.096</v>
      </c>
      <c r="M433" s="26"/>
      <c r="N433" s="20" t="n">
        <f aca="false">IF(N($M433)&gt;0,$M433,$L433)</f>
        <v>3.096</v>
      </c>
      <c r="O433" s="8" t="str">
        <f aca="false">IF(N($F433)+N($J433)&gt;0,"Serie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3" s="8" t="str">
        <f aca="false">IF(N($M433)&gt;0,"Chuva util informada pelo usuario","MIN(Chuva bruta x FATOR_CHUVA_UTIL ; LIMITE_CHUVA_UTIL_DIA)")</f>
        <v>MIN(Chuva bruta x FATOR_CHUVA_UTIL ; LIMITE_CHUVA_UTIL_DIA)</v>
      </c>
    </row>
    <row r="434" customFormat="false" ht="15" hidden="false" customHeight="false" outlineLevel="0" collapsed="false">
      <c r="B434" s="17" t="n">
        <v>46691</v>
      </c>
      <c r="C434" s="16" t="n">
        <v>61</v>
      </c>
      <c r="D434" s="8" t="s">
        <v>514</v>
      </c>
      <c r="E434" s="26" t="n">
        <v>5.6</v>
      </c>
      <c r="F434" s="26"/>
      <c r="G434" s="20" t="n">
        <f aca="false">IF(N($F434)&gt;0,$F434,IF(CENARIO_CLIMA="USUARIO",0,$E434))</f>
        <v>5.6</v>
      </c>
      <c r="H434" s="18" t="n">
        <f aca="false">SUMIFS($G$8:$G$469,$C$8:$C$469,$C434)</f>
        <v>39.2</v>
      </c>
      <c r="I434" s="26" t="n">
        <v>3.87</v>
      </c>
      <c r="J434" s="26"/>
      <c r="K434" s="20" t="n">
        <f aca="false">IF(N($J434)&gt;0,$J434,IF(CENARIO_CLIMA="USUARIO",0,$I434))</f>
        <v>3.87</v>
      </c>
      <c r="L434" s="20" t="n">
        <f aca="false">MIN($K434*FATOR_CHUVA_UTIL,LIMITE_CHUVA_UTIL_DIA)</f>
        <v>3.096</v>
      </c>
      <c r="M434" s="26"/>
      <c r="N434" s="20" t="n">
        <f aca="false">IF(N($M434)&gt;0,$M434,$L434)</f>
        <v>3.096</v>
      </c>
      <c r="O434" s="8" t="str">
        <f aca="false">IF(N($F434)+N($J434)&gt;0,"Serie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4" s="8" t="str">
        <f aca="false">IF(N($M434)&gt;0,"Chuva util informada pelo usuario","MIN(Chuva bruta x FATOR_CHUVA_UTIL ; LIMITE_CHUVA_UTIL_DIA)")</f>
        <v>MIN(Chuva bruta x FATOR_CHUVA_UTIL ; LIMITE_CHUVA_UTIL_DIA)</v>
      </c>
    </row>
    <row r="435" customFormat="false" ht="15" hidden="false" customHeight="false" outlineLevel="0" collapsed="false">
      <c r="B435" s="17" t="n">
        <v>46692</v>
      </c>
      <c r="C435" s="16" t="n">
        <v>62</v>
      </c>
      <c r="D435" s="8" t="s">
        <v>515</v>
      </c>
      <c r="E435" s="26" t="n">
        <v>4.9</v>
      </c>
      <c r="F435" s="26"/>
      <c r="G435" s="20" t="n">
        <f aca="false">IF(N($F435)&gt;0,$F435,IF(CENARIO_CLIMA="USUARIO",0,$E435))</f>
        <v>4.9</v>
      </c>
      <c r="H435" s="18" t="n">
        <f aca="false">SUMIFS($G$8:$G$469,$C$8:$C$469,$C435)</f>
        <v>34.3</v>
      </c>
      <c r="I435" s="26" t="n">
        <v>6.67</v>
      </c>
      <c r="J435" s="26"/>
      <c r="K435" s="20" t="n">
        <f aca="false">IF(N($J435)&gt;0,$J435,IF(CENARIO_CLIMA="USUARIO",0,$I435))</f>
        <v>6.67</v>
      </c>
      <c r="L435" s="20" t="n">
        <f aca="false">MIN($K435*FATOR_CHUVA_UTIL,LIMITE_CHUVA_UTIL_DIA)</f>
        <v>5.336</v>
      </c>
      <c r="M435" s="26"/>
      <c r="N435" s="20" t="n">
        <f aca="false">IF(N($M435)&gt;0,$M435,$L435)</f>
        <v>5.336</v>
      </c>
      <c r="O435" s="8" t="str">
        <f aca="false">IF(N($F435)+N($J435)&gt;0,"Serie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5" s="8" t="str">
        <f aca="false">IF(N($M435)&gt;0,"Chuva util informada pelo usuario","MIN(Chuva bruta x FATOR_CHUVA_UTIL ; LIMITE_CHUVA_UTIL_DIA)")</f>
        <v>MIN(Chuva bruta x FATOR_CHUVA_UTIL ; LIMITE_CHUVA_UTIL_DIA)</v>
      </c>
    </row>
    <row r="436" customFormat="false" ht="15" hidden="false" customHeight="false" outlineLevel="0" collapsed="false">
      <c r="B436" s="17" t="n">
        <v>46693</v>
      </c>
      <c r="C436" s="16" t="n">
        <v>62</v>
      </c>
      <c r="D436" s="8" t="s">
        <v>515</v>
      </c>
      <c r="E436" s="26" t="n">
        <v>4.9</v>
      </c>
      <c r="F436" s="26"/>
      <c r="G436" s="20" t="n">
        <f aca="false">IF(N($F436)&gt;0,$F436,IF(CENARIO_CLIMA="USUARIO",0,$E436))</f>
        <v>4.9</v>
      </c>
      <c r="H436" s="18" t="n">
        <f aca="false">SUMIFS($G$8:$G$469,$C$8:$C$469,$C436)</f>
        <v>34.3</v>
      </c>
      <c r="I436" s="26" t="n">
        <v>6.67</v>
      </c>
      <c r="J436" s="26"/>
      <c r="K436" s="20" t="n">
        <f aca="false">IF(N($J436)&gt;0,$J436,IF(CENARIO_CLIMA="USUARIO",0,$I436))</f>
        <v>6.67</v>
      </c>
      <c r="L436" s="20" t="n">
        <f aca="false">MIN($K436*FATOR_CHUVA_UTIL,LIMITE_CHUVA_UTIL_DIA)</f>
        <v>5.336</v>
      </c>
      <c r="M436" s="26"/>
      <c r="N436" s="20" t="n">
        <f aca="false">IF(N($M436)&gt;0,$M436,$L436)</f>
        <v>5.336</v>
      </c>
      <c r="O436" s="8" t="str">
        <f aca="false">IF(N($F436)+N($J436)&gt;0,"Serie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6" s="8" t="str">
        <f aca="false">IF(N($M436)&gt;0,"Chuva util informada pelo usuario","MIN(Chuva bruta x FATOR_CHUVA_UTIL ; LIMITE_CHUVA_UTIL_DIA)")</f>
        <v>MIN(Chuva bruta x FATOR_CHUVA_UTIL ; LIMITE_CHUVA_UTIL_DIA)</v>
      </c>
    </row>
    <row r="437" customFormat="false" ht="15" hidden="false" customHeight="false" outlineLevel="0" collapsed="false">
      <c r="B437" s="17" t="n">
        <v>46694</v>
      </c>
      <c r="C437" s="16" t="n">
        <v>62</v>
      </c>
      <c r="D437" s="8" t="s">
        <v>515</v>
      </c>
      <c r="E437" s="26" t="n">
        <v>4.9</v>
      </c>
      <c r="F437" s="26"/>
      <c r="G437" s="20" t="n">
        <f aca="false">IF(N($F437)&gt;0,$F437,IF(CENARIO_CLIMA="USUARIO",0,$E437))</f>
        <v>4.9</v>
      </c>
      <c r="H437" s="18" t="n">
        <f aca="false">SUMIFS($G$8:$G$469,$C$8:$C$469,$C437)</f>
        <v>34.3</v>
      </c>
      <c r="I437" s="26" t="n">
        <v>6.67</v>
      </c>
      <c r="J437" s="26"/>
      <c r="K437" s="20" t="n">
        <f aca="false">IF(N($J437)&gt;0,$J437,IF(CENARIO_CLIMA="USUARIO",0,$I437))</f>
        <v>6.67</v>
      </c>
      <c r="L437" s="20" t="n">
        <f aca="false">MIN($K437*FATOR_CHUVA_UTIL,LIMITE_CHUVA_UTIL_DIA)</f>
        <v>5.336</v>
      </c>
      <c r="M437" s="26"/>
      <c r="N437" s="20" t="n">
        <f aca="false">IF(N($M437)&gt;0,$M437,$L437)</f>
        <v>5.336</v>
      </c>
      <c r="O437" s="8" t="str">
        <f aca="false">IF(N($F437)+N($J437)&gt;0,"Serie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7" s="8" t="str">
        <f aca="false">IF(N($M437)&gt;0,"Chuva util informada pelo usuario","MIN(Chuva bruta x FATOR_CHUVA_UTIL ; LIMITE_CHUVA_UTIL_DIA)")</f>
        <v>MIN(Chuva bruta x FATOR_CHUVA_UTIL ; LIMITE_CHUVA_UTIL_DIA)</v>
      </c>
    </row>
    <row r="438" customFormat="false" ht="15" hidden="false" customHeight="false" outlineLevel="0" collapsed="false">
      <c r="B438" s="17" t="n">
        <v>46695</v>
      </c>
      <c r="C438" s="16" t="n">
        <v>62</v>
      </c>
      <c r="D438" s="8" t="s">
        <v>515</v>
      </c>
      <c r="E438" s="26" t="n">
        <v>4.9</v>
      </c>
      <c r="F438" s="26"/>
      <c r="G438" s="20" t="n">
        <f aca="false">IF(N($F438)&gt;0,$F438,IF(CENARIO_CLIMA="USUARIO",0,$E438))</f>
        <v>4.9</v>
      </c>
      <c r="H438" s="18" t="n">
        <f aca="false">SUMIFS($G$8:$G$469,$C$8:$C$469,$C438)</f>
        <v>34.3</v>
      </c>
      <c r="I438" s="26" t="n">
        <v>6.67</v>
      </c>
      <c r="J438" s="26"/>
      <c r="K438" s="20" t="n">
        <f aca="false">IF(N($J438)&gt;0,$J438,IF(CENARIO_CLIMA="USUARIO",0,$I438))</f>
        <v>6.67</v>
      </c>
      <c r="L438" s="20" t="n">
        <f aca="false">MIN($K438*FATOR_CHUVA_UTIL,LIMITE_CHUVA_UTIL_DIA)</f>
        <v>5.336</v>
      </c>
      <c r="M438" s="26"/>
      <c r="N438" s="20" t="n">
        <f aca="false">IF(N($M438)&gt;0,$M438,$L438)</f>
        <v>5.336</v>
      </c>
      <c r="O438" s="8" t="str">
        <f aca="false">IF(N($F438)+N($J438)&gt;0,"Serie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8" s="8" t="str">
        <f aca="false">IF(N($M438)&gt;0,"Chuva util informada pelo usuario","MIN(Chuva bruta x FATOR_CHUVA_UTIL ; LIMITE_CHUVA_UTIL_DIA)")</f>
        <v>MIN(Chuva bruta x FATOR_CHUVA_UTIL ; LIMITE_CHUVA_UTIL_DIA)</v>
      </c>
    </row>
    <row r="439" customFormat="false" ht="15" hidden="false" customHeight="false" outlineLevel="0" collapsed="false">
      <c r="B439" s="17" t="n">
        <v>46696</v>
      </c>
      <c r="C439" s="16" t="n">
        <v>62</v>
      </c>
      <c r="D439" s="8" t="s">
        <v>515</v>
      </c>
      <c r="E439" s="26" t="n">
        <v>4.9</v>
      </c>
      <c r="F439" s="26"/>
      <c r="G439" s="20" t="n">
        <f aca="false">IF(N($F439)&gt;0,$F439,IF(CENARIO_CLIMA="USUARIO",0,$E439))</f>
        <v>4.9</v>
      </c>
      <c r="H439" s="18" t="n">
        <f aca="false">SUMIFS($G$8:$G$469,$C$8:$C$469,$C439)</f>
        <v>34.3</v>
      </c>
      <c r="I439" s="26" t="n">
        <v>6.67</v>
      </c>
      <c r="J439" s="26"/>
      <c r="K439" s="20" t="n">
        <f aca="false">IF(N($J439)&gt;0,$J439,IF(CENARIO_CLIMA="USUARIO",0,$I439))</f>
        <v>6.67</v>
      </c>
      <c r="L439" s="20" t="n">
        <f aca="false">MIN($K439*FATOR_CHUVA_UTIL,LIMITE_CHUVA_UTIL_DIA)</f>
        <v>5.336</v>
      </c>
      <c r="M439" s="26"/>
      <c r="N439" s="20" t="n">
        <f aca="false">IF(N($M439)&gt;0,$M439,$L439)</f>
        <v>5.336</v>
      </c>
      <c r="O439" s="8" t="str">
        <f aca="false">IF(N($F439)+N($J439)&gt;0,"Serie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39" s="8" t="str">
        <f aca="false">IF(N($M439)&gt;0,"Chuva util informada pelo usuario","MIN(Chuva bruta x FATOR_CHUVA_UTIL ; LIMITE_CHUVA_UTIL_DIA)")</f>
        <v>MIN(Chuva bruta x FATOR_CHUVA_UTIL ; LIMITE_CHUVA_UTIL_DIA)</v>
      </c>
    </row>
    <row r="440" customFormat="false" ht="15" hidden="false" customHeight="false" outlineLevel="0" collapsed="false">
      <c r="B440" s="17" t="n">
        <v>46697</v>
      </c>
      <c r="C440" s="16" t="n">
        <v>62</v>
      </c>
      <c r="D440" s="8" t="s">
        <v>515</v>
      </c>
      <c r="E440" s="26" t="n">
        <v>4.9</v>
      </c>
      <c r="F440" s="26"/>
      <c r="G440" s="20" t="n">
        <f aca="false">IF(N($F440)&gt;0,$F440,IF(CENARIO_CLIMA="USUARIO",0,$E440))</f>
        <v>4.9</v>
      </c>
      <c r="H440" s="18" t="n">
        <f aca="false">SUMIFS($G$8:$G$469,$C$8:$C$469,$C440)</f>
        <v>34.3</v>
      </c>
      <c r="I440" s="26" t="n">
        <v>6.67</v>
      </c>
      <c r="J440" s="26"/>
      <c r="K440" s="20" t="n">
        <f aca="false">IF(N($J440)&gt;0,$J440,IF(CENARIO_CLIMA="USUARIO",0,$I440))</f>
        <v>6.67</v>
      </c>
      <c r="L440" s="20" t="n">
        <f aca="false">MIN($K440*FATOR_CHUVA_UTIL,LIMITE_CHUVA_UTIL_DIA)</f>
        <v>5.336</v>
      </c>
      <c r="M440" s="26"/>
      <c r="N440" s="20" t="n">
        <f aca="false">IF(N($M440)&gt;0,$M440,$L440)</f>
        <v>5.336</v>
      </c>
      <c r="O440" s="8" t="str">
        <f aca="false">IF(N($F440)+N($J440)&gt;0,"Serie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0" s="8" t="str">
        <f aca="false">IF(N($M440)&gt;0,"Chuva util informada pelo usuario","MIN(Chuva bruta x FATOR_CHUVA_UTIL ; LIMITE_CHUVA_UTIL_DIA)")</f>
        <v>MIN(Chuva bruta x FATOR_CHUVA_UTIL ; LIMITE_CHUVA_UTIL_DIA)</v>
      </c>
    </row>
    <row r="441" customFormat="false" ht="15" hidden="false" customHeight="false" outlineLevel="0" collapsed="false">
      <c r="B441" s="17" t="n">
        <v>46698</v>
      </c>
      <c r="C441" s="16" t="n">
        <v>62</v>
      </c>
      <c r="D441" s="8" t="s">
        <v>515</v>
      </c>
      <c r="E441" s="26" t="n">
        <v>4.9</v>
      </c>
      <c r="F441" s="26"/>
      <c r="G441" s="20" t="n">
        <f aca="false">IF(N($F441)&gt;0,$F441,IF(CENARIO_CLIMA="USUARIO",0,$E441))</f>
        <v>4.9</v>
      </c>
      <c r="H441" s="18" t="n">
        <f aca="false">SUMIFS($G$8:$G$469,$C$8:$C$469,$C441)</f>
        <v>34.3</v>
      </c>
      <c r="I441" s="26" t="n">
        <v>6.67</v>
      </c>
      <c r="J441" s="26"/>
      <c r="K441" s="20" t="n">
        <f aca="false">IF(N($J441)&gt;0,$J441,IF(CENARIO_CLIMA="USUARIO",0,$I441))</f>
        <v>6.67</v>
      </c>
      <c r="L441" s="20" t="n">
        <f aca="false">MIN($K441*FATOR_CHUVA_UTIL,LIMITE_CHUVA_UTIL_DIA)</f>
        <v>5.336</v>
      </c>
      <c r="M441" s="26"/>
      <c r="N441" s="20" t="n">
        <f aca="false">IF(N($M441)&gt;0,$M441,$L441)</f>
        <v>5.336</v>
      </c>
      <c r="O441" s="8" t="str">
        <f aca="false">IF(N($F441)+N($J441)&gt;0,"Serie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1" s="8" t="str">
        <f aca="false">IF(N($M441)&gt;0,"Chuva util informada pelo usuario","MIN(Chuva bruta x FATOR_CHUVA_UTIL ; LIMITE_CHUVA_UTIL_DIA)")</f>
        <v>MIN(Chuva bruta x FATOR_CHUVA_UTIL ; LIMITE_CHUVA_UTIL_DIA)</v>
      </c>
    </row>
    <row r="442" customFormat="false" ht="15" hidden="false" customHeight="false" outlineLevel="0" collapsed="false">
      <c r="B442" s="17" t="n">
        <v>46699</v>
      </c>
      <c r="C442" s="16" t="n">
        <v>63</v>
      </c>
      <c r="D442" s="8" t="s">
        <v>515</v>
      </c>
      <c r="E442" s="26" t="n">
        <v>4.9</v>
      </c>
      <c r="F442" s="26"/>
      <c r="G442" s="20" t="n">
        <f aca="false">IF(N($F442)&gt;0,$F442,IF(CENARIO_CLIMA="USUARIO",0,$E442))</f>
        <v>4.9</v>
      </c>
      <c r="H442" s="18" t="n">
        <f aca="false">SUMIFS($G$8:$G$469,$C$8:$C$469,$C442)</f>
        <v>34.3</v>
      </c>
      <c r="I442" s="26" t="n">
        <v>6.67</v>
      </c>
      <c r="J442" s="26"/>
      <c r="K442" s="20" t="n">
        <f aca="false">IF(N($J442)&gt;0,$J442,IF(CENARIO_CLIMA="USUARIO",0,$I442))</f>
        <v>6.67</v>
      </c>
      <c r="L442" s="20" t="n">
        <f aca="false">MIN($K442*FATOR_CHUVA_UTIL,LIMITE_CHUVA_UTIL_DIA)</f>
        <v>5.336</v>
      </c>
      <c r="M442" s="26"/>
      <c r="N442" s="20" t="n">
        <f aca="false">IF(N($M442)&gt;0,$M442,$L442)</f>
        <v>5.336</v>
      </c>
      <c r="O442" s="8" t="str">
        <f aca="false">IF(N($F442)+N($J442)&gt;0,"Serie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2" s="8" t="str">
        <f aca="false">IF(N($M442)&gt;0,"Chuva util informada pelo usuario","MIN(Chuva bruta x FATOR_CHUVA_UTIL ; LIMITE_CHUVA_UTIL_DIA)")</f>
        <v>MIN(Chuva bruta x FATOR_CHUVA_UTIL ; LIMITE_CHUVA_UTIL_DIA)</v>
      </c>
    </row>
    <row r="443" customFormat="false" ht="15" hidden="false" customHeight="false" outlineLevel="0" collapsed="false">
      <c r="B443" s="17" t="n">
        <v>46700</v>
      </c>
      <c r="C443" s="16" t="n">
        <v>63</v>
      </c>
      <c r="D443" s="8" t="s">
        <v>515</v>
      </c>
      <c r="E443" s="26" t="n">
        <v>4.9</v>
      </c>
      <c r="F443" s="26"/>
      <c r="G443" s="20" t="n">
        <f aca="false">IF(N($F443)&gt;0,$F443,IF(CENARIO_CLIMA="USUARIO",0,$E443))</f>
        <v>4.9</v>
      </c>
      <c r="H443" s="18" t="n">
        <f aca="false">SUMIFS($G$8:$G$469,$C$8:$C$469,$C443)</f>
        <v>34.3</v>
      </c>
      <c r="I443" s="26" t="n">
        <v>6.67</v>
      </c>
      <c r="J443" s="26"/>
      <c r="K443" s="20" t="n">
        <f aca="false">IF(N($J443)&gt;0,$J443,IF(CENARIO_CLIMA="USUARIO",0,$I443))</f>
        <v>6.67</v>
      </c>
      <c r="L443" s="20" t="n">
        <f aca="false">MIN($K443*FATOR_CHUVA_UTIL,LIMITE_CHUVA_UTIL_DIA)</f>
        <v>5.336</v>
      </c>
      <c r="M443" s="26"/>
      <c r="N443" s="20" t="n">
        <f aca="false">IF(N($M443)&gt;0,$M443,$L443)</f>
        <v>5.336</v>
      </c>
      <c r="O443" s="8" t="str">
        <f aca="false">IF(N($F443)+N($J443)&gt;0,"Serie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3" s="8" t="str">
        <f aca="false">IF(N($M443)&gt;0,"Chuva util informada pelo usuario","MIN(Chuva bruta x FATOR_CHUVA_UTIL ; LIMITE_CHUVA_UTIL_DIA)")</f>
        <v>MIN(Chuva bruta x FATOR_CHUVA_UTIL ; LIMITE_CHUVA_UTIL_DIA)</v>
      </c>
    </row>
    <row r="444" customFormat="false" ht="15" hidden="false" customHeight="false" outlineLevel="0" collapsed="false">
      <c r="B444" s="17" t="n">
        <v>46701</v>
      </c>
      <c r="C444" s="16" t="n">
        <v>63</v>
      </c>
      <c r="D444" s="8" t="s">
        <v>515</v>
      </c>
      <c r="E444" s="26" t="n">
        <v>4.9</v>
      </c>
      <c r="F444" s="26"/>
      <c r="G444" s="20" t="n">
        <f aca="false">IF(N($F444)&gt;0,$F444,IF(CENARIO_CLIMA="USUARIO",0,$E444))</f>
        <v>4.9</v>
      </c>
      <c r="H444" s="18" t="n">
        <f aca="false">SUMIFS($G$8:$G$469,$C$8:$C$469,$C444)</f>
        <v>34.3</v>
      </c>
      <c r="I444" s="26" t="n">
        <v>6.67</v>
      </c>
      <c r="J444" s="26"/>
      <c r="K444" s="20" t="n">
        <f aca="false">IF(N($J444)&gt;0,$J444,IF(CENARIO_CLIMA="USUARIO",0,$I444))</f>
        <v>6.67</v>
      </c>
      <c r="L444" s="20" t="n">
        <f aca="false">MIN($K444*FATOR_CHUVA_UTIL,LIMITE_CHUVA_UTIL_DIA)</f>
        <v>5.336</v>
      </c>
      <c r="M444" s="26"/>
      <c r="N444" s="20" t="n">
        <f aca="false">IF(N($M444)&gt;0,$M444,$L444)</f>
        <v>5.336</v>
      </c>
      <c r="O444" s="8" t="str">
        <f aca="false">IF(N($F444)+N($J444)&gt;0,"Serie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4" s="8" t="str">
        <f aca="false">IF(N($M444)&gt;0,"Chuva util informada pelo usuario","MIN(Chuva bruta x FATOR_CHUVA_UTIL ; LIMITE_CHUVA_UTIL_DIA)")</f>
        <v>MIN(Chuva bruta x FATOR_CHUVA_UTIL ; LIMITE_CHUVA_UTIL_DIA)</v>
      </c>
    </row>
    <row r="445" customFormat="false" ht="15" hidden="false" customHeight="false" outlineLevel="0" collapsed="false">
      <c r="B445" s="17" t="n">
        <v>46702</v>
      </c>
      <c r="C445" s="16" t="n">
        <v>63</v>
      </c>
      <c r="D445" s="8" t="s">
        <v>515</v>
      </c>
      <c r="E445" s="26" t="n">
        <v>4.9</v>
      </c>
      <c r="F445" s="26"/>
      <c r="G445" s="20" t="n">
        <f aca="false">IF(N($F445)&gt;0,$F445,IF(CENARIO_CLIMA="USUARIO",0,$E445))</f>
        <v>4.9</v>
      </c>
      <c r="H445" s="18" t="n">
        <f aca="false">SUMIFS($G$8:$G$469,$C$8:$C$469,$C445)</f>
        <v>34.3</v>
      </c>
      <c r="I445" s="26" t="n">
        <v>6.67</v>
      </c>
      <c r="J445" s="26"/>
      <c r="K445" s="20" t="n">
        <f aca="false">IF(N($J445)&gt;0,$J445,IF(CENARIO_CLIMA="USUARIO",0,$I445))</f>
        <v>6.67</v>
      </c>
      <c r="L445" s="20" t="n">
        <f aca="false">MIN($K445*FATOR_CHUVA_UTIL,LIMITE_CHUVA_UTIL_DIA)</f>
        <v>5.336</v>
      </c>
      <c r="M445" s="26"/>
      <c r="N445" s="20" t="n">
        <f aca="false">IF(N($M445)&gt;0,$M445,$L445)</f>
        <v>5.336</v>
      </c>
      <c r="O445" s="8" t="str">
        <f aca="false">IF(N($F445)+N($J445)&gt;0,"Serie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5" s="8" t="str">
        <f aca="false">IF(N($M445)&gt;0,"Chuva util informada pelo usuario","MIN(Chuva bruta x FATOR_CHUVA_UTIL ; LIMITE_CHUVA_UTIL_DIA)")</f>
        <v>MIN(Chuva bruta x FATOR_CHUVA_UTIL ; LIMITE_CHUVA_UTIL_DIA)</v>
      </c>
    </row>
    <row r="446" customFormat="false" ht="15" hidden="false" customHeight="false" outlineLevel="0" collapsed="false">
      <c r="B446" s="17" t="n">
        <v>46703</v>
      </c>
      <c r="C446" s="16" t="n">
        <v>63</v>
      </c>
      <c r="D446" s="8" t="s">
        <v>515</v>
      </c>
      <c r="E446" s="26" t="n">
        <v>4.9</v>
      </c>
      <c r="F446" s="26"/>
      <c r="G446" s="20" t="n">
        <f aca="false">IF(N($F446)&gt;0,$F446,IF(CENARIO_CLIMA="USUARIO",0,$E446))</f>
        <v>4.9</v>
      </c>
      <c r="H446" s="18" t="n">
        <f aca="false">SUMIFS($G$8:$G$469,$C$8:$C$469,$C446)</f>
        <v>34.3</v>
      </c>
      <c r="I446" s="26" t="n">
        <v>6.67</v>
      </c>
      <c r="J446" s="26"/>
      <c r="K446" s="20" t="n">
        <f aca="false">IF(N($J446)&gt;0,$J446,IF(CENARIO_CLIMA="USUARIO",0,$I446))</f>
        <v>6.67</v>
      </c>
      <c r="L446" s="20" t="n">
        <f aca="false">MIN($K446*FATOR_CHUVA_UTIL,LIMITE_CHUVA_UTIL_DIA)</f>
        <v>5.336</v>
      </c>
      <c r="M446" s="26"/>
      <c r="N446" s="20" t="n">
        <f aca="false">IF(N($M446)&gt;0,$M446,$L446)</f>
        <v>5.336</v>
      </c>
      <c r="O446" s="8" t="str">
        <f aca="false">IF(N($F446)+N($J446)&gt;0,"Serie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6" s="8" t="str">
        <f aca="false">IF(N($M446)&gt;0,"Chuva util informada pelo usuario","MIN(Chuva bruta x FATOR_CHUVA_UTIL ; LIMITE_CHUVA_UTIL_DIA)")</f>
        <v>MIN(Chuva bruta x FATOR_CHUVA_UTIL ; LIMITE_CHUVA_UTIL_DIA)</v>
      </c>
    </row>
    <row r="447" customFormat="false" ht="15" hidden="false" customHeight="false" outlineLevel="0" collapsed="false">
      <c r="B447" s="17" t="n">
        <v>46704</v>
      </c>
      <c r="C447" s="16" t="n">
        <v>63</v>
      </c>
      <c r="D447" s="8" t="s">
        <v>515</v>
      </c>
      <c r="E447" s="26" t="n">
        <v>4.9</v>
      </c>
      <c r="F447" s="26"/>
      <c r="G447" s="20" t="n">
        <f aca="false">IF(N($F447)&gt;0,$F447,IF(CENARIO_CLIMA="USUARIO",0,$E447))</f>
        <v>4.9</v>
      </c>
      <c r="H447" s="18" t="n">
        <f aca="false">SUMIFS($G$8:$G$469,$C$8:$C$469,$C447)</f>
        <v>34.3</v>
      </c>
      <c r="I447" s="26" t="n">
        <v>6.67</v>
      </c>
      <c r="J447" s="26"/>
      <c r="K447" s="20" t="n">
        <f aca="false">IF(N($J447)&gt;0,$J447,IF(CENARIO_CLIMA="USUARIO",0,$I447))</f>
        <v>6.67</v>
      </c>
      <c r="L447" s="20" t="n">
        <f aca="false">MIN($K447*FATOR_CHUVA_UTIL,LIMITE_CHUVA_UTIL_DIA)</f>
        <v>5.336</v>
      </c>
      <c r="M447" s="26"/>
      <c r="N447" s="20" t="n">
        <f aca="false">IF(N($M447)&gt;0,$M447,$L447)</f>
        <v>5.336</v>
      </c>
      <c r="O447" s="8" t="str">
        <f aca="false">IF(N($F447)+N($J447)&gt;0,"Serie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7" s="8" t="str">
        <f aca="false">IF(N($M447)&gt;0,"Chuva util informada pelo usuario","MIN(Chuva bruta x FATOR_CHUVA_UTIL ; LIMITE_CHUVA_UTIL_DIA)")</f>
        <v>MIN(Chuva bruta x FATOR_CHUVA_UTIL ; LIMITE_CHUVA_UTIL_DIA)</v>
      </c>
    </row>
    <row r="448" customFormat="false" ht="15" hidden="false" customHeight="false" outlineLevel="0" collapsed="false">
      <c r="B448" s="17" t="n">
        <v>46705</v>
      </c>
      <c r="C448" s="16" t="n">
        <v>63</v>
      </c>
      <c r="D448" s="8" t="s">
        <v>515</v>
      </c>
      <c r="E448" s="26" t="n">
        <v>4.9</v>
      </c>
      <c r="F448" s="26"/>
      <c r="G448" s="20" t="n">
        <f aca="false">IF(N($F448)&gt;0,$F448,IF(CENARIO_CLIMA="USUARIO",0,$E448))</f>
        <v>4.9</v>
      </c>
      <c r="H448" s="18" t="n">
        <f aca="false">SUMIFS($G$8:$G$469,$C$8:$C$469,$C448)</f>
        <v>34.3</v>
      </c>
      <c r="I448" s="26" t="n">
        <v>6.67</v>
      </c>
      <c r="J448" s="26"/>
      <c r="K448" s="20" t="n">
        <f aca="false">IF(N($J448)&gt;0,$J448,IF(CENARIO_CLIMA="USUARIO",0,$I448))</f>
        <v>6.67</v>
      </c>
      <c r="L448" s="20" t="n">
        <f aca="false">MIN($K448*FATOR_CHUVA_UTIL,LIMITE_CHUVA_UTIL_DIA)</f>
        <v>5.336</v>
      </c>
      <c r="M448" s="26"/>
      <c r="N448" s="20" t="n">
        <f aca="false">IF(N($M448)&gt;0,$M448,$L448)</f>
        <v>5.336</v>
      </c>
      <c r="O448" s="8" t="str">
        <f aca="false">IF(N($F448)+N($J448)&gt;0,"Serie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8" s="8" t="str">
        <f aca="false">IF(N($M448)&gt;0,"Chuva util informada pelo usuario","MIN(Chuva bruta x FATOR_CHUVA_UTIL ; LIMITE_CHUVA_UTIL_DIA)")</f>
        <v>MIN(Chuva bruta x FATOR_CHUVA_UTIL ; LIMITE_CHUVA_UTIL_DIA)</v>
      </c>
    </row>
    <row r="449" customFormat="false" ht="15" hidden="false" customHeight="false" outlineLevel="0" collapsed="false">
      <c r="B449" s="17" t="n">
        <v>46706</v>
      </c>
      <c r="C449" s="16" t="n">
        <v>64</v>
      </c>
      <c r="D449" s="8" t="s">
        <v>515</v>
      </c>
      <c r="E449" s="26" t="n">
        <v>4.9</v>
      </c>
      <c r="F449" s="26"/>
      <c r="G449" s="20" t="n">
        <f aca="false">IF(N($F449)&gt;0,$F449,IF(CENARIO_CLIMA="USUARIO",0,$E449))</f>
        <v>4.9</v>
      </c>
      <c r="H449" s="18" t="n">
        <f aca="false">SUMIFS($G$8:$G$469,$C$8:$C$469,$C449)</f>
        <v>34.3</v>
      </c>
      <c r="I449" s="26" t="n">
        <v>6.67</v>
      </c>
      <c r="J449" s="26"/>
      <c r="K449" s="20" t="n">
        <f aca="false">IF(N($J449)&gt;0,$J449,IF(CENARIO_CLIMA="USUARIO",0,$I449))</f>
        <v>6.67</v>
      </c>
      <c r="L449" s="20" t="n">
        <f aca="false">MIN($K449*FATOR_CHUVA_UTIL,LIMITE_CHUVA_UTIL_DIA)</f>
        <v>5.336</v>
      </c>
      <c r="M449" s="26"/>
      <c r="N449" s="20" t="n">
        <f aca="false">IF(N($M449)&gt;0,$M449,$L449)</f>
        <v>5.336</v>
      </c>
      <c r="O449" s="8" t="str">
        <f aca="false">IF(N($F449)+N($J449)&gt;0,"Serie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49" s="8" t="str">
        <f aca="false">IF(N($M449)&gt;0,"Chuva util informada pelo usuario","MIN(Chuva bruta x FATOR_CHUVA_UTIL ; LIMITE_CHUVA_UTIL_DIA)")</f>
        <v>MIN(Chuva bruta x FATOR_CHUVA_UTIL ; LIMITE_CHUVA_UTIL_DIA)</v>
      </c>
    </row>
    <row r="450" customFormat="false" ht="15" hidden="false" customHeight="false" outlineLevel="0" collapsed="false">
      <c r="B450" s="17" t="n">
        <v>46707</v>
      </c>
      <c r="C450" s="16" t="n">
        <v>64</v>
      </c>
      <c r="D450" s="8" t="s">
        <v>515</v>
      </c>
      <c r="E450" s="26" t="n">
        <v>4.9</v>
      </c>
      <c r="F450" s="26"/>
      <c r="G450" s="20" t="n">
        <f aca="false">IF(N($F450)&gt;0,$F450,IF(CENARIO_CLIMA="USUARIO",0,$E450))</f>
        <v>4.9</v>
      </c>
      <c r="H450" s="18" t="n">
        <f aca="false">SUMIFS($G$8:$G$469,$C$8:$C$469,$C450)</f>
        <v>34.3</v>
      </c>
      <c r="I450" s="26" t="n">
        <v>6.67</v>
      </c>
      <c r="J450" s="26"/>
      <c r="K450" s="20" t="n">
        <f aca="false">IF(N($J450)&gt;0,$J450,IF(CENARIO_CLIMA="USUARIO",0,$I450))</f>
        <v>6.67</v>
      </c>
      <c r="L450" s="20" t="n">
        <f aca="false">MIN($K450*FATOR_CHUVA_UTIL,LIMITE_CHUVA_UTIL_DIA)</f>
        <v>5.336</v>
      </c>
      <c r="M450" s="26"/>
      <c r="N450" s="20" t="n">
        <f aca="false">IF(N($M450)&gt;0,$M450,$L450)</f>
        <v>5.336</v>
      </c>
      <c r="O450" s="8" t="str">
        <f aca="false">IF(N($F450)+N($J450)&gt;0,"Serie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0" s="8" t="str">
        <f aca="false">IF(N($M450)&gt;0,"Chuva util informada pelo usuario","MIN(Chuva bruta x FATOR_CHUVA_UTIL ; LIMITE_CHUVA_UTIL_DIA)")</f>
        <v>MIN(Chuva bruta x FATOR_CHUVA_UTIL ; LIMITE_CHUVA_UTIL_DIA)</v>
      </c>
    </row>
    <row r="451" customFormat="false" ht="15" hidden="false" customHeight="false" outlineLevel="0" collapsed="false">
      <c r="B451" s="17" t="n">
        <v>46708</v>
      </c>
      <c r="C451" s="16" t="n">
        <v>64</v>
      </c>
      <c r="D451" s="8" t="s">
        <v>515</v>
      </c>
      <c r="E451" s="26" t="n">
        <v>4.9</v>
      </c>
      <c r="F451" s="26"/>
      <c r="G451" s="20" t="n">
        <f aca="false">IF(N($F451)&gt;0,$F451,IF(CENARIO_CLIMA="USUARIO",0,$E451))</f>
        <v>4.9</v>
      </c>
      <c r="H451" s="18" t="n">
        <f aca="false">SUMIFS($G$8:$G$469,$C$8:$C$469,$C451)</f>
        <v>34.3</v>
      </c>
      <c r="I451" s="26" t="n">
        <v>6.67</v>
      </c>
      <c r="J451" s="26"/>
      <c r="K451" s="20" t="n">
        <f aca="false">IF(N($J451)&gt;0,$J451,IF(CENARIO_CLIMA="USUARIO",0,$I451))</f>
        <v>6.67</v>
      </c>
      <c r="L451" s="20" t="n">
        <f aca="false">MIN($K451*FATOR_CHUVA_UTIL,LIMITE_CHUVA_UTIL_DIA)</f>
        <v>5.336</v>
      </c>
      <c r="M451" s="26"/>
      <c r="N451" s="20" t="n">
        <f aca="false">IF(N($M451)&gt;0,$M451,$L451)</f>
        <v>5.336</v>
      </c>
      <c r="O451" s="8" t="str">
        <f aca="false">IF(N($F451)+N($J451)&gt;0,"Serie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1" s="8" t="str">
        <f aca="false">IF(N($M451)&gt;0,"Chuva util informada pelo usuario","MIN(Chuva bruta x FATOR_CHUVA_UTIL ; LIMITE_CHUVA_UTIL_DIA)")</f>
        <v>MIN(Chuva bruta x FATOR_CHUVA_UTIL ; LIMITE_CHUVA_UTIL_DIA)</v>
      </c>
    </row>
    <row r="452" customFormat="false" ht="15" hidden="false" customHeight="false" outlineLevel="0" collapsed="false">
      <c r="B452" s="17" t="n">
        <v>46709</v>
      </c>
      <c r="C452" s="16" t="n">
        <v>64</v>
      </c>
      <c r="D452" s="8" t="s">
        <v>515</v>
      </c>
      <c r="E452" s="26" t="n">
        <v>4.9</v>
      </c>
      <c r="F452" s="26"/>
      <c r="G452" s="20" t="n">
        <f aca="false">IF(N($F452)&gt;0,$F452,IF(CENARIO_CLIMA="USUARIO",0,$E452))</f>
        <v>4.9</v>
      </c>
      <c r="H452" s="18" t="n">
        <f aca="false">SUMIFS($G$8:$G$469,$C$8:$C$469,$C452)</f>
        <v>34.3</v>
      </c>
      <c r="I452" s="26" t="n">
        <v>6.67</v>
      </c>
      <c r="J452" s="26"/>
      <c r="K452" s="20" t="n">
        <f aca="false">IF(N($J452)&gt;0,$J452,IF(CENARIO_CLIMA="USUARIO",0,$I452))</f>
        <v>6.67</v>
      </c>
      <c r="L452" s="20" t="n">
        <f aca="false">MIN($K452*FATOR_CHUVA_UTIL,LIMITE_CHUVA_UTIL_DIA)</f>
        <v>5.336</v>
      </c>
      <c r="M452" s="26"/>
      <c r="N452" s="20" t="n">
        <f aca="false">IF(N($M452)&gt;0,$M452,$L452)</f>
        <v>5.336</v>
      </c>
      <c r="O452" s="8" t="str">
        <f aca="false">IF(N($F452)+N($J452)&gt;0,"Serie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2" s="8" t="str">
        <f aca="false">IF(N($M452)&gt;0,"Chuva util informada pelo usuario","MIN(Chuva bruta x FATOR_CHUVA_UTIL ; LIMITE_CHUVA_UTIL_DIA)")</f>
        <v>MIN(Chuva bruta x FATOR_CHUVA_UTIL ; LIMITE_CHUVA_UTIL_DIA)</v>
      </c>
    </row>
    <row r="453" customFormat="false" ht="15" hidden="false" customHeight="false" outlineLevel="0" collapsed="false">
      <c r="B453" s="17" t="n">
        <v>46710</v>
      </c>
      <c r="C453" s="16" t="n">
        <v>64</v>
      </c>
      <c r="D453" s="8" t="s">
        <v>515</v>
      </c>
      <c r="E453" s="26" t="n">
        <v>4.9</v>
      </c>
      <c r="F453" s="26"/>
      <c r="G453" s="20" t="n">
        <f aca="false">IF(N($F453)&gt;0,$F453,IF(CENARIO_CLIMA="USUARIO",0,$E453))</f>
        <v>4.9</v>
      </c>
      <c r="H453" s="18" t="n">
        <f aca="false">SUMIFS($G$8:$G$469,$C$8:$C$469,$C453)</f>
        <v>34.3</v>
      </c>
      <c r="I453" s="26" t="n">
        <v>6.67</v>
      </c>
      <c r="J453" s="26"/>
      <c r="K453" s="20" t="n">
        <f aca="false">IF(N($J453)&gt;0,$J453,IF(CENARIO_CLIMA="USUARIO",0,$I453))</f>
        <v>6.67</v>
      </c>
      <c r="L453" s="20" t="n">
        <f aca="false">MIN($K453*FATOR_CHUVA_UTIL,LIMITE_CHUVA_UTIL_DIA)</f>
        <v>5.336</v>
      </c>
      <c r="M453" s="26"/>
      <c r="N453" s="20" t="n">
        <f aca="false">IF(N($M453)&gt;0,$M453,$L453)</f>
        <v>5.336</v>
      </c>
      <c r="O453" s="8" t="str">
        <f aca="false">IF(N($F453)+N($J453)&gt;0,"Serie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3" s="8" t="str">
        <f aca="false">IF(N($M453)&gt;0,"Chuva util informada pelo usuario","MIN(Chuva bruta x FATOR_CHUVA_UTIL ; LIMITE_CHUVA_UTIL_DIA)")</f>
        <v>MIN(Chuva bruta x FATOR_CHUVA_UTIL ; LIMITE_CHUVA_UTIL_DIA)</v>
      </c>
    </row>
    <row r="454" customFormat="false" ht="15" hidden="false" customHeight="false" outlineLevel="0" collapsed="false">
      <c r="B454" s="17" t="n">
        <v>46711</v>
      </c>
      <c r="C454" s="16" t="n">
        <v>64</v>
      </c>
      <c r="D454" s="8" t="s">
        <v>515</v>
      </c>
      <c r="E454" s="26" t="n">
        <v>4.9</v>
      </c>
      <c r="F454" s="26"/>
      <c r="G454" s="20" t="n">
        <f aca="false">IF(N($F454)&gt;0,$F454,IF(CENARIO_CLIMA="USUARIO",0,$E454))</f>
        <v>4.9</v>
      </c>
      <c r="H454" s="18" t="n">
        <f aca="false">SUMIFS($G$8:$G$469,$C$8:$C$469,$C454)</f>
        <v>34.3</v>
      </c>
      <c r="I454" s="26" t="n">
        <v>6.67</v>
      </c>
      <c r="J454" s="26"/>
      <c r="K454" s="20" t="n">
        <f aca="false">IF(N($J454)&gt;0,$J454,IF(CENARIO_CLIMA="USUARIO",0,$I454))</f>
        <v>6.67</v>
      </c>
      <c r="L454" s="20" t="n">
        <f aca="false">MIN($K454*FATOR_CHUVA_UTIL,LIMITE_CHUVA_UTIL_DIA)</f>
        <v>5.336</v>
      </c>
      <c r="M454" s="26"/>
      <c r="N454" s="20" t="n">
        <f aca="false">IF(N($M454)&gt;0,$M454,$L454)</f>
        <v>5.336</v>
      </c>
      <c r="O454" s="8" t="str">
        <f aca="false">IF(N($F454)+N($J454)&gt;0,"Serie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4" s="8" t="str">
        <f aca="false">IF(N($M454)&gt;0,"Chuva util informada pelo usuario","MIN(Chuva bruta x FATOR_CHUVA_UTIL ; LIMITE_CHUVA_UTIL_DIA)")</f>
        <v>MIN(Chuva bruta x FATOR_CHUVA_UTIL ; LIMITE_CHUVA_UTIL_DIA)</v>
      </c>
    </row>
    <row r="455" customFormat="false" ht="15" hidden="false" customHeight="false" outlineLevel="0" collapsed="false">
      <c r="B455" s="17" t="n">
        <v>46712</v>
      </c>
      <c r="C455" s="16" t="n">
        <v>64</v>
      </c>
      <c r="D455" s="8" t="s">
        <v>515</v>
      </c>
      <c r="E455" s="26" t="n">
        <v>4.9</v>
      </c>
      <c r="F455" s="26"/>
      <c r="G455" s="20" t="n">
        <f aca="false">IF(N($F455)&gt;0,$F455,IF(CENARIO_CLIMA="USUARIO",0,$E455))</f>
        <v>4.9</v>
      </c>
      <c r="H455" s="18" t="n">
        <f aca="false">SUMIFS($G$8:$G$469,$C$8:$C$469,$C455)</f>
        <v>34.3</v>
      </c>
      <c r="I455" s="26" t="n">
        <v>6.67</v>
      </c>
      <c r="J455" s="26"/>
      <c r="K455" s="20" t="n">
        <f aca="false">IF(N($J455)&gt;0,$J455,IF(CENARIO_CLIMA="USUARIO",0,$I455))</f>
        <v>6.67</v>
      </c>
      <c r="L455" s="20" t="n">
        <f aca="false">MIN($K455*FATOR_CHUVA_UTIL,LIMITE_CHUVA_UTIL_DIA)</f>
        <v>5.336</v>
      </c>
      <c r="M455" s="26"/>
      <c r="N455" s="20" t="n">
        <f aca="false">IF(N($M455)&gt;0,$M455,$L455)</f>
        <v>5.336</v>
      </c>
      <c r="O455" s="8" t="str">
        <f aca="false">IF(N($F455)+N($J455)&gt;0,"Serie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5" s="8" t="str">
        <f aca="false">IF(N($M455)&gt;0,"Chuva util informada pelo usuario","MIN(Chuva bruta x FATOR_CHUVA_UTIL ; LIMITE_CHUVA_UTIL_DIA)")</f>
        <v>MIN(Chuva bruta x FATOR_CHUVA_UTIL ; LIMITE_CHUVA_UTIL_DIA)</v>
      </c>
    </row>
    <row r="456" customFormat="false" ht="15" hidden="false" customHeight="false" outlineLevel="0" collapsed="false">
      <c r="B456" s="17" t="n">
        <v>46713</v>
      </c>
      <c r="C456" s="16" t="n">
        <v>65</v>
      </c>
      <c r="D456" s="8" t="s">
        <v>515</v>
      </c>
      <c r="E456" s="26" t="n">
        <v>4.9</v>
      </c>
      <c r="F456" s="26"/>
      <c r="G456" s="20" t="n">
        <f aca="false">IF(N($F456)&gt;0,$F456,IF(CENARIO_CLIMA="USUARIO",0,$E456))</f>
        <v>4.9</v>
      </c>
      <c r="H456" s="18" t="n">
        <f aca="false">SUMIFS($G$8:$G$469,$C$8:$C$469,$C456)</f>
        <v>34.3</v>
      </c>
      <c r="I456" s="26" t="n">
        <v>6.67</v>
      </c>
      <c r="J456" s="26"/>
      <c r="K456" s="20" t="n">
        <f aca="false">IF(N($J456)&gt;0,$J456,IF(CENARIO_CLIMA="USUARIO",0,$I456))</f>
        <v>6.67</v>
      </c>
      <c r="L456" s="20" t="n">
        <f aca="false">MIN($K456*FATOR_CHUVA_UTIL,LIMITE_CHUVA_UTIL_DIA)</f>
        <v>5.336</v>
      </c>
      <c r="M456" s="26"/>
      <c r="N456" s="20" t="n">
        <f aca="false">IF(N($M456)&gt;0,$M456,$L456)</f>
        <v>5.336</v>
      </c>
      <c r="O456" s="8" t="str">
        <f aca="false">IF(N($F456)+N($J456)&gt;0,"Serie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6" s="8" t="str">
        <f aca="false">IF(N($M456)&gt;0,"Chuva util informada pelo usuario","MIN(Chuva bruta x FATOR_CHUVA_UTIL ; LIMITE_CHUVA_UTIL_DIA)")</f>
        <v>MIN(Chuva bruta x FATOR_CHUVA_UTIL ; LIMITE_CHUVA_UTIL_DIA)</v>
      </c>
    </row>
    <row r="457" customFormat="false" ht="15" hidden="false" customHeight="false" outlineLevel="0" collapsed="false">
      <c r="B457" s="17" t="n">
        <v>46714</v>
      </c>
      <c r="C457" s="16" t="n">
        <v>65</v>
      </c>
      <c r="D457" s="8" t="s">
        <v>515</v>
      </c>
      <c r="E457" s="26" t="n">
        <v>4.9</v>
      </c>
      <c r="F457" s="26"/>
      <c r="G457" s="20" t="n">
        <f aca="false">IF(N($F457)&gt;0,$F457,IF(CENARIO_CLIMA="USUARIO",0,$E457))</f>
        <v>4.9</v>
      </c>
      <c r="H457" s="18" t="n">
        <f aca="false">SUMIFS($G$8:$G$469,$C$8:$C$469,$C457)</f>
        <v>34.3</v>
      </c>
      <c r="I457" s="26" t="n">
        <v>6.67</v>
      </c>
      <c r="J457" s="26"/>
      <c r="K457" s="20" t="n">
        <f aca="false">IF(N($J457)&gt;0,$J457,IF(CENARIO_CLIMA="USUARIO",0,$I457))</f>
        <v>6.67</v>
      </c>
      <c r="L457" s="20" t="n">
        <f aca="false">MIN($K457*FATOR_CHUVA_UTIL,LIMITE_CHUVA_UTIL_DIA)</f>
        <v>5.336</v>
      </c>
      <c r="M457" s="26"/>
      <c r="N457" s="20" t="n">
        <f aca="false">IF(N($M457)&gt;0,$M457,$L457)</f>
        <v>5.336</v>
      </c>
      <c r="O457" s="8" t="str">
        <f aca="false">IF(N($F457)+N($J457)&gt;0,"Serie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7" s="8" t="str">
        <f aca="false">IF(N($M457)&gt;0,"Chuva util informada pelo usuario","MIN(Chuva bruta x FATOR_CHUVA_UTIL ; LIMITE_CHUVA_UTIL_DIA)")</f>
        <v>MIN(Chuva bruta x FATOR_CHUVA_UTIL ; LIMITE_CHUVA_UTIL_DIA)</v>
      </c>
    </row>
    <row r="458" customFormat="false" ht="15" hidden="false" customHeight="false" outlineLevel="0" collapsed="false">
      <c r="B458" s="17" t="n">
        <v>46715</v>
      </c>
      <c r="C458" s="16" t="n">
        <v>65</v>
      </c>
      <c r="D458" s="8" t="s">
        <v>515</v>
      </c>
      <c r="E458" s="26" t="n">
        <v>4.9</v>
      </c>
      <c r="F458" s="26"/>
      <c r="G458" s="20" t="n">
        <f aca="false">IF(N($F458)&gt;0,$F458,IF(CENARIO_CLIMA="USUARIO",0,$E458))</f>
        <v>4.9</v>
      </c>
      <c r="H458" s="18" t="n">
        <f aca="false">SUMIFS($G$8:$G$469,$C$8:$C$469,$C458)</f>
        <v>34.3</v>
      </c>
      <c r="I458" s="26" t="n">
        <v>6.67</v>
      </c>
      <c r="J458" s="26"/>
      <c r="K458" s="20" t="n">
        <f aca="false">IF(N($J458)&gt;0,$J458,IF(CENARIO_CLIMA="USUARIO",0,$I458))</f>
        <v>6.67</v>
      </c>
      <c r="L458" s="20" t="n">
        <f aca="false">MIN($K458*FATOR_CHUVA_UTIL,LIMITE_CHUVA_UTIL_DIA)</f>
        <v>5.336</v>
      </c>
      <c r="M458" s="26"/>
      <c r="N458" s="20" t="n">
        <f aca="false">IF(N($M458)&gt;0,$M458,$L458)</f>
        <v>5.336</v>
      </c>
      <c r="O458" s="8" t="str">
        <f aca="false">IF(N($F458)+N($J458)&gt;0,"Serie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8" s="8" t="str">
        <f aca="false">IF(N($M458)&gt;0,"Chuva util informada pelo usuario","MIN(Chuva bruta x FATOR_CHUVA_UTIL ; LIMITE_CHUVA_UTIL_DIA)")</f>
        <v>MIN(Chuva bruta x FATOR_CHUVA_UTIL ; LIMITE_CHUVA_UTIL_DIA)</v>
      </c>
    </row>
    <row r="459" customFormat="false" ht="15" hidden="false" customHeight="false" outlineLevel="0" collapsed="false">
      <c r="B459" s="17" t="n">
        <v>46716</v>
      </c>
      <c r="C459" s="16" t="n">
        <v>65</v>
      </c>
      <c r="D459" s="8" t="s">
        <v>515</v>
      </c>
      <c r="E459" s="26" t="n">
        <v>4.9</v>
      </c>
      <c r="F459" s="26"/>
      <c r="G459" s="20" t="n">
        <f aca="false">IF(N($F459)&gt;0,$F459,IF(CENARIO_CLIMA="USUARIO",0,$E459))</f>
        <v>4.9</v>
      </c>
      <c r="H459" s="18" t="n">
        <f aca="false">SUMIFS($G$8:$G$469,$C$8:$C$469,$C459)</f>
        <v>34.3</v>
      </c>
      <c r="I459" s="26" t="n">
        <v>6.67</v>
      </c>
      <c r="J459" s="26"/>
      <c r="K459" s="20" t="n">
        <f aca="false">IF(N($J459)&gt;0,$J459,IF(CENARIO_CLIMA="USUARIO",0,$I459))</f>
        <v>6.67</v>
      </c>
      <c r="L459" s="20" t="n">
        <f aca="false">MIN($K459*FATOR_CHUVA_UTIL,LIMITE_CHUVA_UTIL_DIA)</f>
        <v>5.336</v>
      </c>
      <c r="M459" s="26"/>
      <c r="N459" s="20" t="n">
        <f aca="false">IF(N($M459)&gt;0,$M459,$L459)</f>
        <v>5.336</v>
      </c>
      <c r="O459" s="8" t="str">
        <f aca="false">IF(N($F459)+N($J459)&gt;0,"Serie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59" s="8" t="str">
        <f aca="false">IF(N($M459)&gt;0,"Chuva util informada pelo usuario","MIN(Chuva bruta x FATOR_CHUVA_UTIL ; LIMITE_CHUVA_UTIL_DIA)")</f>
        <v>MIN(Chuva bruta x FATOR_CHUVA_UTIL ; LIMITE_CHUVA_UTIL_DIA)</v>
      </c>
    </row>
    <row r="460" customFormat="false" ht="15" hidden="false" customHeight="false" outlineLevel="0" collapsed="false">
      <c r="B460" s="17" t="n">
        <v>46717</v>
      </c>
      <c r="C460" s="16" t="n">
        <v>65</v>
      </c>
      <c r="D460" s="8" t="s">
        <v>515</v>
      </c>
      <c r="E460" s="26" t="n">
        <v>4.9</v>
      </c>
      <c r="F460" s="26"/>
      <c r="G460" s="20" t="n">
        <f aca="false">IF(N($F460)&gt;0,$F460,IF(CENARIO_CLIMA="USUARIO",0,$E460))</f>
        <v>4.9</v>
      </c>
      <c r="H460" s="18" t="n">
        <f aca="false">SUMIFS($G$8:$G$469,$C$8:$C$469,$C460)</f>
        <v>34.3</v>
      </c>
      <c r="I460" s="26" t="n">
        <v>6.67</v>
      </c>
      <c r="J460" s="26"/>
      <c r="K460" s="20" t="n">
        <f aca="false">IF(N($J460)&gt;0,$J460,IF(CENARIO_CLIMA="USUARIO",0,$I460))</f>
        <v>6.67</v>
      </c>
      <c r="L460" s="20" t="n">
        <f aca="false">MIN($K460*FATOR_CHUVA_UTIL,LIMITE_CHUVA_UTIL_DIA)</f>
        <v>5.336</v>
      </c>
      <c r="M460" s="26"/>
      <c r="N460" s="20" t="n">
        <f aca="false">IF(N($M460)&gt;0,$M460,$L460)</f>
        <v>5.336</v>
      </c>
      <c r="O460" s="8" t="str">
        <f aca="false">IF(N($F460)+N($J460)&gt;0,"Serie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0" s="8" t="str">
        <f aca="false">IF(N($M460)&gt;0,"Chuva util informada pelo usuario","MIN(Chuva bruta x FATOR_CHUVA_UTIL ; LIMITE_CHUVA_UTIL_DIA)")</f>
        <v>MIN(Chuva bruta x FATOR_CHUVA_UTIL ; LIMITE_CHUVA_UTIL_DIA)</v>
      </c>
    </row>
    <row r="461" customFormat="false" ht="15" hidden="false" customHeight="false" outlineLevel="0" collapsed="false">
      <c r="B461" s="17" t="n">
        <v>46718</v>
      </c>
      <c r="C461" s="16" t="n">
        <v>65</v>
      </c>
      <c r="D461" s="8" t="s">
        <v>515</v>
      </c>
      <c r="E461" s="26" t="n">
        <v>4.9</v>
      </c>
      <c r="F461" s="26"/>
      <c r="G461" s="20" t="n">
        <f aca="false">IF(N($F461)&gt;0,$F461,IF(CENARIO_CLIMA="USUARIO",0,$E461))</f>
        <v>4.9</v>
      </c>
      <c r="H461" s="18" t="n">
        <f aca="false">SUMIFS($G$8:$G$469,$C$8:$C$469,$C461)</f>
        <v>34.3</v>
      </c>
      <c r="I461" s="26" t="n">
        <v>6.67</v>
      </c>
      <c r="J461" s="26"/>
      <c r="K461" s="20" t="n">
        <f aca="false">IF(N($J461)&gt;0,$J461,IF(CENARIO_CLIMA="USUARIO",0,$I461))</f>
        <v>6.67</v>
      </c>
      <c r="L461" s="20" t="n">
        <f aca="false">MIN($K461*FATOR_CHUVA_UTIL,LIMITE_CHUVA_UTIL_DIA)</f>
        <v>5.336</v>
      </c>
      <c r="M461" s="26"/>
      <c r="N461" s="20" t="n">
        <f aca="false">IF(N($M461)&gt;0,$M461,$L461)</f>
        <v>5.336</v>
      </c>
      <c r="O461" s="8" t="str">
        <f aca="false">IF(N($F461)+N($J461)&gt;0,"Serie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1" s="8" t="str">
        <f aca="false">IF(N($M461)&gt;0,"Chuva util informada pelo usuario","MIN(Chuva bruta x FATOR_CHUVA_UTIL ; LIMITE_CHUVA_UTIL_DIA)")</f>
        <v>MIN(Chuva bruta x FATOR_CHUVA_UTIL ; LIMITE_CHUVA_UTIL_DIA)</v>
      </c>
    </row>
    <row r="462" customFormat="false" ht="15" hidden="false" customHeight="false" outlineLevel="0" collapsed="false">
      <c r="B462" s="17" t="n">
        <v>46719</v>
      </c>
      <c r="C462" s="16" t="n">
        <v>65</v>
      </c>
      <c r="D462" s="8" t="s">
        <v>515</v>
      </c>
      <c r="E462" s="26" t="n">
        <v>4.9</v>
      </c>
      <c r="F462" s="26"/>
      <c r="G462" s="20" t="n">
        <f aca="false">IF(N($F462)&gt;0,$F462,IF(CENARIO_CLIMA="USUARIO",0,$E462))</f>
        <v>4.9</v>
      </c>
      <c r="H462" s="18" t="n">
        <f aca="false">SUMIFS($G$8:$G$469,$C$8:$C$469,$C462)</f>
        <v>34.3</v>
      </c>
      <c r="I462" s="26" t="n">
        <v>6.67</v>
      </c>
      <c r="J462" s="26"/>
      <c r="K462" s="20" t="n">
        <f aca="false">IF(N($J462)&gt;0,$J462,IF(CENARIO_CLIMA="USUARIO",0,$I462))</f>
        <v>6.67</v>
      </c>
      <c r="L462" s="20" t="n">
        <f aca="false">MIN($K462*FATOR_CHUVA_UTIL,LIMITE_CHUVA_UTIL_DIA)</f>
        <v>5.336</v>
      </c>
      <c r="M462" s="26"/>
      <c r="N462" s="20" t="n">
        <f aca="false">IF(N($M462)&gt;0,$M462,$L462)</f>
        <v>5.336</v>
      </c>
      <c r="O462" s="8" t="str">
        <f aca="false">IF(N($F462)+N($J462)&gt;0,"Serie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2" s="8" t="str">
        <f aca="false">IF(N($M462)&gt;0,"Chuva util informada pelo usuario","MIN(Chuva bruta x FATOR_CHUVA_UTIL ; LIMITE_CHUVA_UTIL_DIA)")</f>
        <v>MIN(Chuva bruta x FATOR_CHUVA_UTIL ; LIMITE_CHUVA_UTIL_DIA)</v>
      </c>
    </row>
    <row r="463" customFormat="false" ht="15" hidden="false" customHeight="false" outlineLevel="0" collapsed="false">
      <c r="B463" s="17" t="n">
        <v>46720</v>
      </c>
      <c r="C463" s="16" t="n">
        <v>66</v>
      </c>
      <c r="D463" s="8" t="s">
        <v>515</v>
      </c>
      <c r="E463" s="26" t="n">
        <v>4.9</v>
      </c>
      <c r="F463" s="26"/>
      <c r="G463" s="20" t="n">
        <f aca="false">IF(N($F463)&gt;0,$F463,IF(CENARIO_CLIMA="USUARIO",0,$E463))</f>
        <v>4.9</v>
      </c>
      <c r="H463" s="18" t="n">
        <f aca="false">SUMIFS($G$8:$G$469,$C$8:$C$469,$C463)</f>
        <v>33.3</v>
      </c>
      <c r="I463" s="26" t="n">
        <v>6.67</v>
      </c>
      <c r="J463" s="26"/>
      <c r="K463" s="20" t="n">
        <f aca="false">IF(N($J463)&gt;0,$J463,IF(CENARIO_CLIMA="USUARIO",0,$I463))</f>
        <v>6.67</v>
      </c>
      <c r="L463" s="20" t="n">
        <f aca="false">MIN($K463*FATOR_CHUVA_UTIL,LIMITE_CHUVA_UTIL_DIA)</f>
        <v>5.336</v>
      </c>
      <c r="M463" s="26"/>
      <c r="N463" s="20" t="n">
        <f aca="false">IF(N($M463)&gt;0,$M463,$L463)</f>
        <v>5.336</v>
      </c>
      <c r="O463" s="8" t="str">
        <f aca="false">IF(N($F463)+N($J463)&gt;0,"Serie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3" s="8" t="str">
        <f aca="false">IF(N($M463)&gt;0,"Chuva util informada pelo usuario","MIN(Chuva bruta x FATOR_CHUVA_UTIL ; LIMITE_CHUVA_UTIL_DIA)")</f>
        <v>MIN(Chuva bruta x FATOR_CHUVA_UTIL ; LIMITE_CHUVA_UTIL_DIA)</v>
      </c>
    </row>
    <row r="464" customFormat="false" ht="15" hidden="false" customHeight="false" outlineLevel="0" collapsed="false">
      <c r="B464" s="17" t="n">
        <v>46721</v>
      </c>
      <c r="C464" s="16" t="n">
        <v>66</v>
      </c>
      <c r="D464" s="8" t="s">
        <v>515</v>
      </c>
      <c r="E464" s="26" t="n">
        <v>4.9</v>
      </c>
      <c r="F464" s="26"/>
      <c r="G464" s="20" t="n">
        <f aca="false">IF(N($F464)&gt;0,$F464,IF(CENARIO_CLIMA="USUARIO",0,$E464))</f>
        <v>4.9</v>
      </c>
      <c r="H464" s="18" t="n">
        <f aca="false">SUMIFS($G$8:$G$469,$C$8:$C$469,$C464)</f>
        <v>33.3</v>
      </c>
      <c r="I464" s="26" t="n">
        <v>6.67</v>
      </c>
      <c r="J464" s="26"/>
      <c r="K464" s="20" t="n">
        <f aca="false">IF(N($J464)&gt;0,$J464,IF(CENARIO_CLIMA="USUARIO",0,$I464))</f>
        <v>6.67</v>
      </c>
      <c r="L464" s="20" t="n">
        <f aca="false">MIN($K464*FATOR_CHUVA_UTIL,LIMITE_CHUVA_UTIL_DIA)</f>
        <v>5.336</v>
      </c>
      <c r="M464" s="26"/>
      <c r="N464" s="20" t="n">
        <f aca="false">IF(N($M464)&gt;0,$M464,$L464)</f>
        <v>5.336</v>
      </c>
      <c r="O464" s="8" t="str">
        <f aca="false">IF(N($F464)+N($J464)&gt;0,"Serie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4" s="8" t="str">
        <f aca="false">IF(N($M464)&gt;0,"Chuva util informada pelo usuario","MIN(Chuva bruta x FATOR_CHUVA_UTIL ; LIMITE_CHUVA_UTIL_DIA)")</f>
        <v>MIN(Chuva bruta x FATOR_CHUVA_UTIL ; LIMITE_CHUVA_UTIL_DIA)</v>
      </c>
    </row>
    <row r="465" customFormat="false" ht="15" hidden="false" customHeight="false" outlineLevel="0" collapsed="false">
      <c r="B465" s="17" t="n">
        <v>46722</v>
      </c>
      <c r="C465" s="16" t="n">
        <v>66</v>
      </c>
      <c r="D465" s="8" t="s">
        <v>516</v>
      </c>
      <c r="E465" s="26" t="n">
        <v>4.7</v>
      </c>
      <c r="F465" s="26"/>
      <c r="G465" s="20" t="n">
        <f aca="false">IF(N($F465)&gt;0,$F465,IF(CENARIO_CLIMA="USUARIO",0,$E465))</f>
        <v>4.7</v>
      </c>
      <c r="H465" s="18" t="n">
        <f aca="false">SUMIFS($G$8:$G$469,$C$8:$C$469,$C465)</f>
        <v>33.3</v>
      </c>
      <c r="I465" s="26" t="n">
        <v>6.94</v>
      </c>
      <c r="J465" s="26"/>
      <c r="K465" s="20" t="n">
        <f aca="false">IF(N($J465)&gt;0,$J465,IF(CENARIO_CLIMA="USUARIO",0,$I465))</f>
        <v>6.94</v>
      </c>
      <c r="L465" s="20" t="n">
        <f aca="false">MIN($K465*FATOR_CHUVA_UTIL,LIMITE_CHUVA_UTIL_DIA)</f>
        <v>5.552</v>
      </c>
      <c r="M465" s="26"/>
      <c r="N465" s="20" t="n">
        <f aca="false">IF(N($M465)&gt;0,$M465,$L465)</f>
        <v>5.552</v>
      </c>
      <c r="O465" s="8" t="str">
        <f aca="false">IF(N($F465)+N($J465)&gt;0,"Serie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5" s="8" t="str">
        <f aca="false">IF(N($M465)&gt;0,"Chuva util informada pelo usuario","MIN(Chuva bruta x FATOR_CHUVA_UTIL ; LIMITE_CHUVA_UTIL_DIA)")</f>
        <v>MIN(Chuva bruta x FATOR_CHUVA_UTIL ; LIMITE_CHUVA_UTIL_DIA)</v>
      </c>
    </row>
    <row r="466" customFormat="false" ht="15" hidden="false" customHeight="false" outlineLevel="0" collapsed="false">
      <c r="B466" s="17" t="n">
        <v>46723</v>
      </c>
      <c r="C466" s="16" t="n">
        <v>66</v>
      </c>
      <c r="D466" s="8" t="s">
        <v>516</v>
      </c>
      <c r="E466" s="26" t="n">
        <v>4.7</v>
      </c>
      <c r="F466" s="26"/>
      <c r="G466" s="20" t="n">
        <f aca="false">IF(N($F466)&gt;0,$F466,IF(CENARIO_CLIMA="USUARIO",0,$E466))</f>
        <v>4.7</v>
      </c>
      <c r="H466" s="18" t="n">
        <f aca="false">SUMIFS($G$8:$G$469,$C$8:$C$469,$C466)</f>
        <v>33.3</v>
      </c>
      <c r="I466" s="26" t="n">
        <v>6.94</v>
      </c>
      <c r="J466" s="26"/>
      <c r="K466" s="20" t="n">
        <f aca="false">IF(N($J466)&gt;0,$J466,IF(CENARIO_CLIMA="USUARIO",0,$I466))</f>
        <v>6.94</v>
      </c>
      <c r="L466" s="20" t="n">
        <f aca="false">MIN($K466*FATOR_CHUVA_UTIL,LIMITE_CHUVA_UTIL_DIA)</f>
        <v>5.552</v>
      </c>
      <c r="M466" s="26"/>
      <c r="N466" s="20" t="n">
        <f aca="false">IF(N($M466)&gt;0,$M466,$L466)</f>
        <v>5.552</v>
      </c>
      <c r="O466" s="8" t="str">
        <f aca="false">IF(N($F466)+N($J466)&gt;0,"Serie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6" s="8" t="str">
        <f aca="false">IF(N($M466)&gt;0,"Chuva util informada pelo usuario","MIN(Chuva bruta x FATOR_CHUVA_UTIL ; LIMITE_CHUVA_UTIL_DIA)")</f>
        <v>MIN(Chuva bruta x FATOR_CHUVA_UTIL ; LIMITE_CHUVA_UTIL_DIA)</v>
      </c>
    </row>
    <row r="467" customFormat="false" ht="15" hidden="false" customHeight="false" outlineLevel="0" collapsed="false">
      <c r="B467" s="17" t="n">
        <v>46724</v>
      </c>
      <c r="C467" s="16" t="n">
        <v>66</v>
      </c>
      <c r="D467" s="8" t="s">
        <v>516</v>
      </c>
      <c r="E467" s="26" t="n">
        <v>4.7</v>
      </c>
      <c r="F467" s="26"/>
      <c r="G467" s="20" t="n">
        <f aca="false">IF(N($F467)&gt;0,$F467,IF(CENARIO_CLIMA="USUARIO",0,$E467))</f>
        <v>4.7</v>
      </c>
      <c r="H467" s="18" t="n">
        <f aca="false">SUMIFS($G$8:$G$469,$C$8:$C$469,$C467)</f>
        <v>33.3</v>
      </c>
      <c r="I467" s="26" t="n">
        <v>6.94</v>
      </c>
      <c r="J467" s="26"/>
      <c r="K467" s="20" t="n">
        <f aca="false">IF(N($J467)&gt;0,$J467,IF(CENARIO_CLIMA="USUARIO",0,$I467))</f>
        <v>6.94</v>
      </c>
      <c r="L467" s="20" t="n">
        <f aca="false">MIN($K467*FATOR_CHUVA_UTIL,LIMITE_CHUVA_UTIL_DIA)</f>
        <v>5.552</v>
      </c>
      <c r="M467" s="26"/>
      <c r="N467" s="20" t="n">
        <f aca="false">IF(N($M467)&gt;0,$M467,$L467)</f>
        <v>5.552</v>
      </c>
      <c r="O467" s="8" t="str">
        <f aca="false">IF(N($F467)+N($J467)&gt;0,"Serie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7" s="8" t="str">
        <f aca="false">IF(N($M467)&gt;0,"Chuva util informada pelo usuario","MIN(Chuva bruta x FATOR_CHUVA_UTIL ; LIMITE_CHUVA_UTIL_DIA)")</f>
        <v>MIN(Chuva bruta x FATOR_CHUVA_UTIL ; LIMITE_CHUVA_UTIL_DIA)</v>
      </c>
    </row>
    <row r="468" customFormat="false" ht="15" hidden="false" customHeight="false" outlineLevel="0" collapsed="false">
      <c r="B468" s="17" t="n">
        <v>46725</v>
      </c>
      <c r="C468" s="16" t="n">
        <v>66</v>
      </c>
      <c r="D468" s="8" t="s">
        <v>516</v>
      </c>
      <c r="E468" s="26" t="n">
        <v>4.7</v>
      </c>
      <c r="F468" s="26"/>
      <c r="G468" s="20" t="n">
        <f aca="false">IF(N($F468)&gt;0,$F468,IF(CENARIO_CLIMA="USUARIO",0,$E468))</f>
        <v>4.7</v>
      </c>
      <c r="H468" s="18" t="n">
        <f aca="false">SUMIFS($G$8:$G$469,$C$8:$C$469,$C468)</f>
        <v>33.3</v>
      </c>
      <c r="I468" s="26" t="n">
        <v>6.94</v>
      </c>
      <c r="J468" s="26"/>
      <c r="K468" s="20" t="n">
        <f aca="false">IF(N($J468)&gt;0,$J468,IF(CENARIO_CLIMA="USUARIO",0,$I468))</f>
        <v>6.94</v>
      </c>
      <c r="L468" s="20" t="n">
        <f aca="false">MIN($K468*FATOR_CHUVA_UTIL,LIMITE_CHUVA_UTIL_DIA)</f>
        <v>5.552</v>
      </c>
      <c r="M468" s="26"/>
      <c r="N468" s="20" t="n">
        <f aca="false">IF(N($M468)&gt;0,$M468,$L468)</f>
        <v>5.552</v>
      </c>
      <c r="O468" s="8" t="str">
        <f aca="false">IF(N($F468)+N($J468)&gt;0,"Serie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8" s="8" t="str">
        <f aca="false">IF(N($M468)&gt;0,"Chuva util informada pelo usuario","MIN(Chuva bruta x FATOR_CHUVA_UTIL ; LIMITE_CHUVA_UTIL_DIA)")</f>
        <v>MIN(Chuva bruta x FATOR_CHUVA_UTIL ; LIMITE_CHUVA_UTIL_DIA)</v>
      </c>
    </row>
    <row r="469" customFormat="false" ht="15" hidden="false" customHeight="false" outlineLevel="0" collapsed="false">
      <c r="B469" s="17" t="n">
        <v>46726</v>
      </c>
      <c r="C469" s="16" t="n">
        <v>66</v>
      </c>
      <c r="D469" s="8" t="s">
        <v>516</v>
      </c>
      <c r="E469" s="26" t="n">
        <v>4.7</v>
      </c>
      <c r="F469" s="26"/>
      <c r="G469" s="20" t="n">
        <f aca="false">IF(N($F469)&gt;0,$F469,IF(CENARIO_CLIMA="USUARIO",0,$E469))</f>
        <v>4.7</v>
      </c>
      <c r="H469" s="18" t="n">
        <f aca="false">SUMIFS($G$8:$G$469,$C$8:$C$469,$C469)</f>
        <v>33.3</v>
      </c>
      <c r="I469" s="26" t="n">
        <v>6.94</v>
      </c>
      <c r="J469" s="26"/>
      <c r="K469" s="20" t="n">
        <f aca="false">IF(N($J469)&gt;0,$J469,IF(CENARIO_CLIMA="USUARIO",0,$I469))</f>
        <v>6.94</v>
      </c>
      <c r="L469" s="20" t="n">
        <f aca="false">MIN($K469*FATOR_CHUVA_UTIL,LIMITE_CHUVA_UTIL_DIA)</f>
        <v>5.552</v>
      </c>
      <c r="M469" s="26"/>
      <c r="N469" s="20" t="n">
        <f aca="false">IF(N($M469)&gt;0,$M469,$L469)</f>
        <v>5.552</v>
      </c>
      <c r="O469" s="8" t="str">
        <f aca="false">IF(N($F469)+N($J469)&gt;0,"Serie informada pelo usuario","Climatologia de referencia - Oeste da Bahia (Cerrado, ~12S, regiao Barreiras/LEM). SUBSTITUIR pela serie da estacao da fazenda quando disponivel.")</f>
        <v>Climatologia de referencia - Oeste da Bahia (Cerrado, ~12S, regiao Barreiras/LEM). SUBSTITUIR pela serie da estacao da fazenda quando disponivel.</v>
      </c>
      <c r="P469" s="8" t="str">
        <f aca="false">IF(N($M469)&gt;0,"Chuva util informada pelo usuario","MIN(Chuva bruta x FATOR_CHUVA_UTIL ; LIMITE_CHUVA_UTIL_DIA)")</f>
        <v>MIN(Chuva bruta x FATOR_CHUVA_UTIL ; LIMITE_CHUVA_UTIL_DIA)</v>
      </c>
    </row>
  </sheetData>
  <mergeCells count="3">
    <mergeCell ref="B2:R2"/>
    <mergeCell ref="B3:R3"/>
    <mergeCell ref="B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19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10" min="9" style="0" width="16"/>
    <col collapsed="false" customWidth="true" hidden="false" outlineLevel="0" max="11" min="11" style="0" width="17"/>
  </cols>
  <sheetData>
    <row r="2" customFormat="false" ht="30" hidden="false" customHeight="true" outlineLevel="0" collapsed="false">
      <c r="B2" s="1" t="s">
        <v>524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5.5" hidden="false" customHeight="true" outlineLevel="0" collapsed="false">
      <c r="B3" s="2" t="s">
        <v>525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30" hidden="false" customHeight="true" outlineLevel="0" collapsed="false">
      <c r="B5" s="14" t="s">
        <v>88</v>
      </c>
      <c r="C5" s="14" t="s">
        <v>89</v>
      </c>
      <c r="D5" s="14" t="s">
        <v>90</v>
      </c>
      <c r="E5" s="14" t="s">
        <v>526</v>
      </c>
      <c r="F5" s="14" t="s">
        <v>499</v>
      </c>
      <c r="G5" s="14" t="s">
        <v>527</v>
      </c>
      <c r="H5" s="14" t="s">
        <v>306</v>
      </c>
      <c r="I5" s="14" t="s">
        <v>528</v>
      </c>
      <c r="J5" s="14" t="s">
        <v>529</v>
      </c>
      <c r="K5" s="14" t="s">
        <v>530</v>
      </c>
    </row>
    <row r="6" customFormat="false" ht="15" hidden="false" customHeight="false" outlineLevel="0" collapsed="false">
      <c r="B6" s="16" t="n">
        <v>1</v>
      </c>
      <c r="C6" s="17" t="n">
        <f aca="false">DATA_INICIO_SAFRA+($B6-1)*DIAS_POR_SEMANA</f>
        <v>46265</v>
      </c>
      <c r="D6" s="17" t="n">
        <f aca="false">$C6+DIAS_POR_SEMANA-1</f>
        <v>46271</v>
      </c>
      <c r="E6" s="17" t="n">
        <f aca="false">$C6+INT(DIAS_POR_SEMANA/2)</f>
        <v>46268</v>
      </c>
      <c r="F6" s="8" t="str">
        <f aca="false">TEXT($E6,"mmm/yy")</f>
        <v>Sep/26</v>
      </c>
      <c r="G6" s="16" t="n">
        <f aca="false">COUNTIFS(CLIMA_ETo_CHUVA!$C$8:$C$469,$B6)</f>
        <v>7</v>
      </c>
      <c r="H6" s="18" t="n">
        <f aca="false">SUMIFS(CLIMA_ETo_CHUVA!$G$8:$G$469,CLIMA_ETo_CHUVA!$C$8:$C$469,$B6)</f>
        <v>40</v>
      </c>
      <c r="I6" s="18" t="n">
        <f aca="false">SUMIFS(CLIMA_ETo_CHUVA!$K$8:$K$469,CLIMA_ETo_CHUVA!$C$8:$C$469,$B6)</f>
        <v>6.16</v>
      </c>
      <c r="J6" s="18" t="n">
        <f aca="false">SUMIFS(CLIMA_ETo_CHUVA!$N$8:$N$469,CLIMA_ETo_CHUVA!$C$8:$C$469,$B6)</f>
        <v>4.928</v>
      </c>
      <c r="K6" s="16" t="n">
        <f aca="false">$G6*HORAS_OPERACAO_DIA</f>
        <v>147</v>
      </c>
    </row>
    <row r="7" customFormat="false" ht="15" hidden="false" customHeight="false" outlineLevel="0" collapsed="false">
      <c r="B7" s="16" t="n">
        <v>2</v>
      </c>
      <c r="C7" s="17" t="n">
        <f aca="false">DATA_INICIO_SAFRA+($B7-1)*DIAS_POR_SEMANA</f>
        <v>46272</v>
      </c>
      <c r="D7" s="17" t="n">
        <f aca="false">$C7+DIAS_POR_SEMANA-1</f>
        <v>46278</v>
      </c>
      <c r="E7" s="17" t="n">
        <f aca="false">$C7+INT(DIAS_POR_SEMANA/2)</f>
        <v>46275</v>
      </c>
      <c r="F7" s="8" t="str">
        <f aca="false">TEXT($E7,"mmm/yy")</f>
        <v>Sep/26</v>
      </c>
      <c r="G7" s="16" t="n">
        <f aca="false">COUNTIFS(CLIMA_ETo_CHUVA!$C$8:$C$469,$B7)</f>
        <v>7</v>
      </c>
      <c r="H7" s="18" t="n">
        <f aca="false">SUMIFS(CLIMA_ETo_CHUVA!$G$8:$G$469,CLIMA_ETo_CHUVA!$C$8:$C$469,$B7)</f>
        <v>40.6</v>
      </c>
      <c r="I7" s="18" t="n">
        <f aca="false">SUMIFS(CLIMA_ETo_CHUVA!$K$8:$K$469,CLIMA_ETo_CHUVA!$C$8:$C$469,$B7)</f>
        <v>7</v>
      </c>
      <c r="J7" s="18" t="n">
        <f aca="false">SUMIFS(CLIMA_ETo_CHUVA!$N$8:$N$469,CLIMA_ETo_CHUVA!$C$8:$C$469,$B7)</f>
        <v>5.6</v>
      </c>
      <c r="K7" s="16" t="n">
        <f aca="false">$G7*HORAS_OPERACAO_DIA</f>
        <v>147</v>
      </c>
    </row>
    <row r="8" customFormat="false" ht="15" hidden="false" customHeight="false" outlineLevel="0" collapsed="false">
      <c r="B8" s="16" t="n">
        <v>3</v>
      </c>
      <c r="C8" s="17" t="n">
        <f aca="false">DATA_INICIO_SAFRA+($B8-1)*DIAS_POR_SEMANA</f>
        <v>46279</v>
      </c>
      <c r="D8" s="17" t="n">
        <f aca="false">$C8+DIAS_POR_SEMANA-1</f>
        <v>46285</v>
      </c>
      <c r="E8" s="17" t="n">
        <f aca="false">$C8+INT(DIAS_POR_SEMANA/2)</f>
        <v>46282</v>
      </c>
      <c r="F8" s="8" t="str">
        <f aca="false">TEXT($E8,"mmm/yy")</f>
        <v>Sep/26</v>
      </c>
      <c r="G8" s="16" t="n">
        <f aca="false">COUNTIFS(CLIMA_ETo_CHUVA!$C$8:$C$469,$B8)</f>
        <v>7</v>
      </c>
      <c r="H8" s="18" t="n">
        <f aca="false">SUMIFS(CLIMA_ETo_CHUVA!$G$8:$G$469,CLIMA_ETo_CHUVA!$C$8:$C$469,$B8)</f>
        <v>40.6</v>
      </c>
      <c r="I8" s="18" t="n">
        <f aca="false">SUMIFS(CLIMA_ETo_CHUVA!$K$8:$K$469,CLIMA_ETo_CHUVA!$C$8:$C$469,$B8)</f>
        <v>7</v>
      </c>
      <c r="J8" s="18" t="n">
        <f aca="false">SUMIFS(CLIMA_ETo_CHUVA!$N$8:$N$469,CLIMA_ETo_CHUVA!$C$8:$C$469,$B8)</f>
        <v>5.6</v>
      </c>
      <c r="K8" s="16" t="n">
        <f aca="false">$G8*HORAS_OPERACAO_DIA</f>
        <v>147</v>
      </c>
    </row>
    <row r="9" customFormat="false" ht="15" hidden="false" customHeight="false" outlineLevel="0" collapsed="false">
      <c r="B9" s="16" t="n">
        <v>4</v>
      </c>
      <c r="C9" s="17" t="n">
        <f aca="false">DATA_INICIO_SAFRA+($B9-1)*DIAS_POR_SEMANA</f>
        <v>46286</v>
      </c>
      <c r="D9" s="17" t="n">
        <f aca="false">$C9+DIAS_POR_SEMANA-1</f>
        <v>46292</v>
      </c>
      <c r="E9" s="17" t="n">
        <f aca="false">$C9+INT(DIAS_POR_SEMANA/2)</f>
        <v>46289</v>
      </c>
      <c r="F9" s="8" t="str">
        <f aca="false">TEXT($E9,"mmm/yy")</f>
        <v>Sep/26</v>
      </c>
      <c r="G9" s="16" t="n">
        <f aca="false">COUNTIFS(CLIMA_ETo_CHUVA!$C$8:$C$469,$B9)</f>
        <v>7</v>
      </c>
      <c r="H9" s="18" t="n">
        <f aca="false">SUMIFS(CLIMA_ETo_CHUVA!$G$8:$G$469,CLIMA_ETo_CHUVA!$C$8:$C$469,$B9)</f>
        <v>40.6</v>
      </c>
      <c r="I9" s="18" t="n">
        <f aca="false">SUMIFS(CLIMA_ETo_CHUVA!$K$8:$K$469,CLIMA_ETo_CHUVA!$C$8:$C$469,$B9)</f>
        <v>7</v>
      </c>
      <c r="J9" s="18" t="n">
        <f aca="false">SUMIFS(CLIMA_ETo_CHUVA!$N$8:$N$469,CLIMA_ETo_CHUVA!$C$8:$C$469,$B9)</f>
        <v>5.6</v>
      </c>
      <c r="K9" s="16" t="n">
        <f aca="false">$G9*HORAS_OPERACAO_DIA</f>
        <v>147</v>
      </c>
    </row>
    <row r="10" customFormat="false" ht="15" hidden="false" customHeight="false" outlineLevel="0" collapsed="false">
      <c r="B10" s="16" t="n">
        <v>5</v>
      </c>
      <c r="C10" s="17" t="n">
        <f aca="false">DATA_INICIO_SAFRA+($B10-1)*DIAS_POR_SEMANA</f>
        <v>46293</v>
      </c>
      <c r="D10" s="17" t="n">
        <f aca="false">$C10+DIAS_POR_SEMANA-1</f>
        <v>46299</v>
      </c>
      <c r="E10" s="17" t="n">
        <f aca="false">$C10+INT(DIAS_POR_SEMANA/2)</f>
        <v>46296</v>
      </c>
      <c r="F10" s="8" t="str">
        <f aca="false">TEXT($E10,"mmm/yy")</f>
        <v>Oct/26</v>
      </c>
      <c r="G10" s="16" t="n">
        <f aca="false">COUNTIFS(CLIMA_ETo_CHUVA!$C$8:$C$469,$B10)</f>
        <v>7</v>
      </c>
      <c r="H10" s="18" t="n">
        <f aca="false">SUMIFS(CLIMA_ETo_CHUVA!$G$8:$G$469,CLIMA_ETo_CHUVA!$C$8:$C$469,$B10)</f>
        <v>39.8</v>
      </c>
      <c r="I10" s="18" t="n">
        <f aca="false">SUMIFS(CLIMA_ETo_CHUVA!$K$8:$K$469,CLIMA_ETo_CHUVA!$C$8:$C$469,$B10)</f>
        <v>18.48</v>
      </c>
      <c r="J10" s="18" t="n">
        <f aca="false">SUMIFS(CLIMA_ETo_CHUVA!$N$8:$N$469,CLIMA_ETo_CHUVA!$C$8:$C$469,$B10)</f>
        <v>14.784</v>
      </c>
      <c r="K10" s="16" t="n">
        <f aca="false">$G10*HORAS_OPERACAO_DIA</f>
        <v>147</v>
      </c>
    </row>
    <row r="11" customFormat="false" ht="15" hidden="false" customHeight="false" outlineLevel="0" collapsed="false">
      <c r="B11" s="16" t="n">
        <v>6</v>
      </c>
      <c r="C11" s="17" t="n">
        <f aca="false">DATA_INICIO_SAFRA+($B11-1)*DIAS_POR_SEMANA</f>
        <v>46300</v>
      </c>
      <c r="D11" s="17" t="n">
        <f aca="false">$C11+DIAS_POR_SEMANA-1</f>
        <v>46306</v>
      </c>
      <c r="E11" s="17" t="n">
        <f aca="false">$C11+INT(DIAS_POR_SEMANA/2)</f>
        <v>46303</v>
      </c>
      <c r="F11" s="8" t="str">
        <f aca="false">TEXT($E11,"mmm/yy")</f>
        <v>Oct/26</v>
      </c>
      <c r="G11" s="16" t="n">
        <f aca="false">COUNTIFS(CLIMA_ETo_CHUVA!$C$8:$C$469,$B11)</f>
        <v>7</v>
      </c>
      <c r="H11" s="18" t="n">
        <f aca="false">SUMIFS(CLIMA_ETo_CHUVA!$G$8:$G$469,CLIMA_ETo_CHUVA!$C$8:$C$469,$B11)</f>
        <v>39.2</v>
      </c>
      <c r="I11" s="18" t="n">
        <f aca="false">SUMIFS(CLIMA_ETo_CHUVA!$K$8:$K$469,CLIMA_ETo_CHUVA!$C$8:$C$469,$B11)</f>
        <v>27.09</v>
      </c>
      <c r="J11" s="18" t="n">
        <f aca="false">SUMIFS(CLIMA_ETo_CHUVA!$N$8:$N$469,CLIMA_ETo_CHUVA!$C$8:$C$469,$B11)</f>
        <v>21.672</v>
      </c>
      <c r="K11" s="16" t="n">
        <f aca="false">$G11*HORAS_OPERACAO_DIA</f>
        <v>147</v>
      </c>
    </row>
    <row r="12" customFormat="false" ht="15" hidden="false" customHeight="false" outlineLevel="0" collapsed="false">
      <c r="B12" s="16" t="n">
        <v>7</v>
      </c>
      <c r="C12" s="17" t="n">
        <f aca="false">DATA_INICIO_SAFRA+($B12-1)*DIAS_POR_SEMANA</f>
        <v>46307</v>
      </c>
      <c r="D12" s="17" t="n">
        <f aca="false">$C12+DIAS_POR_SEMANA-1</f>
        <v>46313</v>
      </c>
      <c r="E12" s="17" t="n">
        <f aca="false">$C12+INT(DIAS_POR_SEMANA/2)</f>
        <v>46310</v>
      </c>
      <c r="F12" s="8" t="str">
        <f aca="false">TEXT($E12,"mmm/yy")</f>
        <v>Oct/26</v>
      </c>
      <c r="G12" s="16" t="n">
        <f aca="false">COUNTIFS(CLIMA_ETo_CHUVA!$C$8:$C$469,$B12)</f>
        <v>7</v>
      </c>
      <c r="H12" s="18" t="n">
        <f aca="false">SUMIFS(CLIMA_ETo_CHUVA!$G$8:$G$469,CLIMA_ETo_CHUVA!$C$8:$C$469,$B12)</f>
        <v>39.2</v>
      </c>
      <c r="I12" s="18" t="n">
        <f aca="false">SUMIFS(CLIMA_ETo_CHUVA!$K$8:$K$469,CLIMA_ETo_CHUVA!$C$8:$C$469,$B12)</f>
        <v>27.09</v>
      </c>
      <c r="J12" s="18" t="n">
        <f aca="false">SUMIFS(CLIMA_ETo_CHUVA!$N$8:$N$469,CLIMA_ETo_CHUVA!$C$8:$C$469,$B12)</f>
        <v>21.672</v>
      </c>
      <c r="K12" s="16" t="n">
        <f aca="false">$G12*HORAS_OPERACAO_DIA</f>
        <v>147</v>
      </c>
    </row>
    <row r="13" customFormat="false" ht="15" hidden="false" customHeight="false" outlineLevel="0" collapsed="false">
      <c r="B13" s="16" t="n">
        <v>8</v>
      </c>
      <c r="C13" s="17" t="n">
        <f aca="false">DATA_INICIO_SAFRA+($B13-1)*DIAS_POR_SEMANA</f>
        <v>46314</v>
      </c>
      <c r="D13" s="17" t="n">
        <f aca="false">$C13+DIAS_POR_SEMANA-1</f>
        <v>46320</v>
      </c>
      <c r="E13" s="17" t="n">
        <f aca="false">$C13+INT(DIAS_POR_SEMANA/2)</f>
        <v>46317</v>
      </c>
      <c r="F13" s="8" t="str">
        <f aca="false">TEXT($E13,"mmm/yy")</f>
        <v>Oct/26</v>
      </c>
      <c r="G13" s="16" t="n">
        <f aca="false">COUNTIFS(CLIMA_ETo_CHUVA!$C$8:$C$469,$B13)</f>
        <v>7</v>
      </c>
      <c r="H13" s="18" t="n">
        <f aca="false">SUMIFS(CLIMA_ETo_CHUVA!$G$8:$G$469,CLIMA_ETo_CHUVA!$C$8:$C$469,$B13)</f>
        <v>39.2</v>
      </c>
      <c r="I13" s="18" t="n">
        <f aca="false">SUMIFS(CLIMA_ETo_CHUVA!$K$8:$K$469,CLIMA_ETo_CHUVA!$C$8:$C$469,$B13)</f>
        <v>27.09</v>
      </c>
      <c r="J13" s="18" t="n">
        <f aca="false">SUMIFS(CLIMA_ETo_CHUVA!$N$8:$N$469,CLIMA_ETo_CHUVA!$C$8:$C$469,$B13)</f>
        <v>21.672</v>
      </c>
      <c r="K13" s="16" t="n">
        <f aca="false">$G13*HORAS_OPERACAO_DIA</f>
        <v>147</v>
      </c>
    </row>
    <row r="14" customFormat="false" ht="15" hidden="false" customHeight="false" outlineLevel="0" collapsed="false">
      <c r="B14" s="16" t="n">
        <v>9</v>
      </c>
      <c r="C14" s="17" t="n">
        <f aca="false">DATA_INICIO_SAFRA+($B14-1)*DIAS_POR_SEMANA</f>
        <v>46321</v>
      </c>
      <c r="D14" s="17" t="n">
        <f aca="false">$C14+DIAS_POR_SEMANA-1</f>
        <v>46327</v>
      </c>
      <c r="E14" s="17" t="n">
        <f aca="false">$C14+INT(DIAS_POR_SEMANA/2)</f>
        <v>46324</v>
      </c>
      <c r="F14" s="8" t="str">
        <f aca="false">TEXT($E14,"mmm/yy")</f>
        <v>Oct/26</v>
      </c>
      <c r="G14" s="16" t="n">
        <f aca="false">COUNTIFS(CLIMA_ETo_CHUVA!$C$8:$C$469,$B14)</f>
        <v>7</v>
      </c>
      <c r="H14" s="18" t="n">
        <f aca="false">SUMIFS(CLIMA_ETo_CHUVA!$G$8:$G$469,CLIMA_ETo_CHUVA!$C$8:$C$469,$B14)</f>
        <v>38.5</v>
      </c>
      <c r="I14" s="18" t="n">
        <f aca="false">SUMIFS(CLIMA_ETo_CHUVA!$K$8:$K$469,CLIMA_ETo_CHUVA!$C$8:$C$469,$B14)</f>
        <v>29.89</v>
      </c>
      <c r="J14" s="18" t="n">
        <f aca="false">SUMIFS(CLIMA_ETo_CHUVA!$N$8:$N$469,CLIMA_ETo_CHUVA!$C$8:$C$469,$B14)</f>
        <v>23.912</v>
      </c>
      <c r="K14" s="16" t="n">
        <f aca="false">$G14*HORAS_OPERACAO_DIA</f>
        <v>147</v>
      </c>
    </row>
    <row r="15" customFormat="false" ht="15" hidden="false" customHeight="false" outlineLevel="0" collapsed="false">
      <c r="B15" s="16" t="n">
        <v>10</v>
      </c>
      <c r="C15" s="17" t="n">
        <f aca="false">DATA_INICIO_SAFRA+($B15-1)*DIAS_POR_SEMANA</f>
        <v>46328</v>
      </c>
      <c r="D15" s="17" t="n">
        <f aca="false">$C15+DIAS_POR_SEMANA-1</f>
        <v>46334</v>
      </c>
      <c r="E15" s="17" t="n">
        <f aca="false">$C15+INT(DIAS_POR_SEMANA/2)</f>
        <v>46331</v>
      </c>
      <c r="F15" s="8" t="str">
        <f aca="false">TEXT($E15,"mmm/yy")</f>
        <v>Nov/26</v>
      </c>
      <c r="G15" s="16" t="n">
        <f aca="false">COUNTIFS(CLIMA_ETo_CHUVA!$C$8:$C$469,$B15)</f>
        <v>7</v>
      </c>
      <c r="H15" s="18" t="n">
        <f aca="false">SUMIFS(CLIMA_ETo_CHUVA!$G$8:$G$469,CLIMA_ETo_CHUVA!$C$8:$C$469,$B15)</f>
        <v>34.3</v>
      </c>
      <c r="I15" s="18" t="n">
        <f aca="false">SUMIFS(CLIMA_ETo_CHUVA!$K$8:$K$469,CLIMA_ETo_CHUVA!$C$8:$C$469,$B15)</f>
        <v>46.69</v>
      </c>
      <c r="J15" s="18" t="n">
        <f aca="false">SUMIFS(CLIMA_ETo_CHUVA!$N$8:$N$469,CLIMA_ETo_CHUVA!$C$8:$C$469,$B15)</f>
        <v>37.352</v>
      </c>
      <c r="K15" s="16" t="n">
        <f aca="false">$G15*HORAS_OPERACAO_DIA</f>
        <v>147</v>
      </c>
    </row>
    <row r="16" customFormat="false" ht="15" hidden="false" customHeight="false" outlineLevel="0" collapsed="false">
      <c r="B16" s="16" t="n">
        <v>11</v>
      </c>
      <c r="C16" s="17" t="n">
        <f aca="false">DATA_INICIO_SAFRA+($B16-1)*DIAS_POR_SEMANA</f>
        <v>46335</v>
      </c>
      <c r="D16" s="17" t="n">
        <f aca="false">$C16+DIAS_POR_SEMANA-1</f>
        <v>46341</v>
      </c>
      <c r="E16" s="17" t="n">
        <f aca="false">$C16+INT(DIAS_POR_SEMANA/2)</f>
        <v>46338</v>
      </c>
      <c r="F16" s="8" t="str">
        <f aca="false">TEXT($E16,"mmm/yy")</f>
        <v>Nov/26</v>
      </c>
      <c r="G16" s="16" t="n">
        <f aca="false">COUNTIFS(CLIMA_ETo_CHUVA!$C$8:$C$469,$B16)</f>
        <v>7</v>
      </c>
      <c r="H16" s="18" t="n">
        <f aca="false">SUMIFS(CLIMA_ETo_CHUVA!$G$8:$G$469,CLIMA_ETo_CHUVA!$C$8:$C$469,$B16)</f>
        <v>34.3</v>
      </c>
      <c r="I16" s="18" t="n">
        <f aca="false">SUMIFS(CLIMA_ETo_CHUVA!$K$8:$K$469,CLIMA_ETo_CHUVA!$C$8:$C$469,$B16)</f>
        <v>46.69</v>
      </c>
      <c r="J16" s="18" t="n">
        <f aca="false">SUMIFS(CLIMA_ETo_CHUVA!$N$8:$N$469,CLIMA_ETo_CHUVA!$C$8:$C$469,$B16)</f>
        <v>37.352</v>
      </c>
      <c r="K16" s="16" t="n">
        <f aca="false">$G16*HORAS_OPERACAO_DIA</f>
        <v>147</v>
      </c>
    </row>
    <row r="17" customFormat="false" ht="15" hidden="false" customHeight="false" outlineLevel="0" collapsed="false">
      <c r="B17" s="16" t="n">
        <v>12</v>
      </c>
      <c r="C17" s="17" t="n">
        <f aca="false">DATA_INICIO_SAFRA+($B17-1)*DIAS_POR_SEMANA</f>
        <v>46342</v>
      </c>
      <c r="D17" s="17" t="n">
        <f aca="false">$C17+DIAS_POR_SEMANA-1</f>
        <v>46348</v>
      </c>
      <c r="E17" s="17" t="n">
        <f aca="false">$C17+INT(DIAS_POR_SEMANA/2)</f>
        <v>46345</v>
      </c>
      <c r="F17" s="8" t="str">
        <f aca="false">TEXT($E17,"mmm/yy")</f>
        <v>Nov/26</v>
      </c>
      <c r="G17" s="16" t="n">
        <f aca="false">COUNTIFS(CLIMA_ETo_CHUVA!$C$8:$C$469,$B17)</f>
        <v>7</v>
      </c>
      <c r="H17" s="18" t="n">
        <f aca="false">SUMIFS(CLIMA_ETo_CHUVA!$G$8:$G$469,CLIMA_ETo_CHUVA!$C$8:$C$469,$B17)</f>
        <v>34.3</v>
      </c>
      <c r="I17" s="18" t="n">
        <f aca="false">SUMIFS(CLIMA_ETo_CHUVA!$K$8:$K$469,CLIMA_ETo_CHUVA!$C$8:$C$469,$B17)</f>
        <v>46.69</v>
      </c>
      <c r="J17" s="18" t="n">
        <f aca="false">SUMIFS(CLIMA_ETo_CHUVA!$N$8:$N$469,CLIMA_ETo_CHUVA!$C$8:$C$469,$B17)</f>
        <v>37.352</v>
      </c>
      <c r="K17" s="16" t="n">
        <f aca="false">$G17*HORAS_OPERACAO_DIA</f>
        <v>147</v>
      </c>
    </row>
    <row r="18" customFormat="false" ht="15" hidden="false" customHeight="false" outlineLevel="0" collapsed="false">
      <c r="B18" s="16" t="n">
        <v>13</v>
      </c>
      <c r="C18" s="17" t="n">
        <f aca="false">DATA_INICIO_SAFRA+($B18-1)*DIAS_POR_SEMANA</f>
        <v>46349</v>
      </c>
      <c r="D18" s="17" t="n">
        <f aca="false">$C18+DIAS_POR_SEMANA-1</f>
        <v>46355</v>
      </c>
      <c r="E18" s="17" t="n">
        <f aca="false">$C18+INT(DIAS_POR_SEMANA/2)</f>
        <v>46352</v>
      </c>
      <c r="F18" s="8" t="str">
        <f aca="false">TEXT($E18,"mmm/yy")</f>
        <v>Nov/26</v>
      </c>
      <c r="G18" s="16" t="n">
        <f aca="false">COUNTIFS(CLIMA_ETo_CHUVA!$C$8:$C$469,$B18)</f>
        <v>7</v>
      </c>
      <c r="H18" s="18" t="n">
        <f aca="false">SUMIFS(CLIMA_ETo_CHUVA!$G$8:$G$469,CLIMA_ETo_CHUVA!$C$8:$C$469,$B18)</f>
        <v>34.3</v>
      </c>
      <c r="I18" s="18" t="n">
        <f aca="false">SUMIFS(CLIMA_ETo_CHUVA!$K$8:$K$469,CLIMA_ETo_CHUVA!$C$8:$C$469,$B18)</f>
        <v>46.69</v>
      </c>
      <c r="J18" s="18" t="n">
        <f aca="false">SUMIFS(CLIMA_ETo_CHUVA!$N$8:$N$469,CLIMA_ETo_CHUVA!$C$8:$C$469,$B18)</f>
        <v>37.352</v>
      </c>
      <c r="K18" s="16" t="n">
        <f aca="false">$G18*HORAS_OPERACAO_DIA</f>
        <v>147</v>
      </c>
    </row>
    <row r="19" customFormat="false" ht="15" hidden="false" customHeight="false" outlineLevel="0" collapsed="false">
      <c r="B19" s="16" t="n">
        <v>14</v>
      </c>
      <c r="C19" s="17" t="n">
        <f aca="false">DATA_INICIO_SAFRA+($B19-1)*DIAS_POR_SEMANA</f>
        <v>46356</v>
      </c>
      <c r="D19" s="17" t="n">
        <f aca="false">$C19+DIAS_POR_SEMANA-1</f>
        <v>46362</v>
      </c>
      <c r="E19" s="17" t="n">
        <f aca="false">$C19+INT(DIAS_POR_SEMANA/2)</f>
        <v>46359</v>
      </c>
      <c r="F19" s="8" t="str">
        <f aca="false">TEXT($E19,"mmm/yy")</f>
        <v>Dec/26</v>
      </c>
      <c r="G19" s="16" t="n">
        <f aca="false">COUNTIFS(CLIMA_ETo_CHUVA!$C$8:$C$469,$B19)</f>
        <v>7</v>
      </c>
      <c r="H19" s="18" t="n">
        <f aca="false">SUMIFS(CLIMA_ETo_CHUVA!$G$8:$G$469,CLIMA_ETo_CHUVA!$C$8:$C$469,$B19)</f>
        <v>33.1</v>
      </c>
      <c r="I19" s="18" t="n">
        <f aca="false">SUMIFS(CLIMA_ETo_CHUVA!$K$8:$K$469,CLIMA_ETo_CHUVA!$C$8:$C$469,$B19)</f>
        <v>48.31</v>
      </c>
      <c r="J19" s="18" t="n">
        <f aca="false">SUMIFS(CLIMA_ETo_CHUVA!$N$8:$N$469,CLIMA_ETo_CHUVA!$C$8:$C$469,$B19)</f>
        <v>38.648</v>
      </c>
      <c r="K19" s="16" t="n">
        <f aca="false">$G19*HORAS_OPERACAO_DIA</f>
        <v>147</v>
      </c>
    </row>
    <row r="20" customFormat="false" ht="15" hidden="false" customHeight="false" outlineLevel="0" collapsed="false">
      <c r="B20" s="16" t="n">
        <v>15</v>
      </c>
      <c r="C20" s="17" t="n">
        <f aca="false">DATA_INICIO_SAFRA+($B20-1)*DIAS_POR_SEMANA</f>
        <v>46363</v>
      </c>
      <c r="D20" s="17" t="n">
        <f aca="false">$C20+DIAS_POR_SEMANA-1</f>
        <v>46369</v>
      </c>
      <c r="E20" s="17" t="n">
        <f aca="false">$C20+INT(DIAS_POR_SEMANA/2)</f>
        <v>46366</v>
      </c>
      <c r="F20" s="8" t="str">
        <f aca="false">TEXT($E20,"mmm/yy")</f>
        <v>Dec/26</v>
      </c>
      <c r="G20" s="16" t="n">
        <f aca="false">COUNTIFS(CLIMA_ETo_CHUVA!$C$8:$C$469,$B20)</f>
        <v>7</v>
      </c>
      <c r="H20" s="18" t="n">
        <f aca="false">SUMIFS(CLIMA_ETo_CHUVA!$G$8:$G$469,CLIMA_ETo_CHUVA!$C$8:$C$469,$B20)</f>
        <v>32.9</v>
      </c>
      <c r="I20" s="18" t="n">
        <f aca="false">SUMIFS(CLIMA_ETo_CHUVA!$K$8:$K$469,CLIMA_ETo_CHUVA!$C$8:$C$469,$B20)</f>
        <v>48.58</v>
      </c>
      <c r="J20" s="18" t="n">
        <f aca="false">SUMIFS(CLIMA_ETo_CHUVA!$N$8:$N$469,CLIMA_ETo_CHUVA!$C$8:$C$469,$B20)</f>
        <v>38.864</v>
      </c>
      <c r="K20" s="16" t="n">
        <f aca="false">$G20*HORAS_OPERACAO_DIA</f>
        <v>147</v>
      </c>
    </row>
    <row r="21" customFormat="false" ht="15" hidden="false" customHeight="false" outlineLevel="0" collapsed="false">
      <c r="B21" s="16" t="n">
        <v>16</v>
      </c>
      <c r="C21" s="17" t="n">
        <f aca="false">DATA_INICIO_SAFRA+($B21-1)*DIAS_POR_SEMANA</f>
        <v>46370</v>
      </c>
      <c r="D21" s="17" t="n">
        <f aca="false">$C21+DIAS_POR_SEMANA-1</f>
        <v>46376</v>
      </c>
      <c r="E21" s="17" t="n">
        <f aca="false">$C21+INT(DIAS_POR_SEMANA/2)</f>
        <v>46373</v>
      </c>
      <c r="F21" s="8" t="str">
        <f aca="false">TEXT($E21,"mmm/yy")</f>
        <v>Dec/26</v>
      </c>
      <c r="G21" s="16" t="n">
        <f aca="false">COUNTIFS(CLIMA_ETo_CHUVA!$C$8:$C$469,$B21)</f>
        <v>7</v>
      </c>
      <c r="H21" s="18" t="n">
        <f aca="false">SUMIFS(CLIMA_ETo_CHUVA!$G$8:$G$469,CLIMA_ETo_CHUVA!$C$8:$C$469,$B21)</f>
        <v>32.9</v>
      </c>
      <c r="I21" s="18" t="n">
        <f aca="false">SUMIFS(CLIMA_ETo_CHUVA!$K$8:$K$469,CLIMA_ETo_CHUVA!$C$8:$C$469,$B21)</f>
        <v>48.58</v>
      </c>
      <c r="J21" s="18" t="n">
        <f aca="false">SUMIFS(CLIMA_ETo_CHUVA!$N$8:$N$469,CLIMA_ETo_CHUVA!$C$8:$C$469,$B21)</f>
        <v>38.864</v>
      </c>
      <c r="K21" s="16" t="n">
        <f aca="false">$G21*HORAS_OPERACAO_DIA</f>
        <v>147</v>
      </c>
    </row>
    <row r="22" customFormat="false" ht="15" hidden="false" customHeight="false" outlineLevel="0" collapsed="false">
      <c r="B22" s="16" t="n">
        <v>17</v>
      </c>
      <c r="C22" s="17" t="n">
        <f aca="false">DATA_INICIO_SAFRA+($B22-1)*DIAS_POR_SEMANA</f>
        <v>46377</v>
      </c>
      <c r="D22" s="17" t="n">
        <f aca="false">$C22+DIAS_POR_SEMANA-1</f>
        <v>46383</v>
      </c>
      <c r="E22" s="17" t="n">
        <f aca="false">$C22+INT(DIAS_POR_SEMANA/2)</f>
        <v>46380</v>
      </c>
      <c r="F22" s="8" t="str">
        <f aca="false">TEXT($E22,"mmm/yy")</f>
        <v>Dec/26</v>
      </c>
      <c r="G22" s="16" t="n">
        <f aca="false">COUNTIFS(CLIMA_ETo_CHUVA!$C$8:$C$469,$B22)</f>
        <v>7</v>
      </c>
      <c r="H22" s="18" t="n">
        <f aca="false">SUMIFS(CLIMA_ETo_CHUVA!$G$8:$G$469,CLIMA_ETo_CHUVA!$C$8:$C$469,$B22)</f>
        <v>32.9</v>
      </c>
      <c r="I22" s="18" t="n">
        <f aca="false">SUMIFS(CLIMA_ETo_CHUVA!$K$8:$K$469,CLIMA_ETo_CHUVA!$C$8:$C$469,$B22)</f>
        <v>48.58</v>
      </c>
      <c r="J22" s="18" t="n">
        <f aca="false">SUMIFS(CLIMA_ETo_CHUVA!$N$8:$N$469,CLIMA_ETo_CHUVA!$C$8:$C$469,$B22)</f>
        <v>38.864</v>
      </c>
      <c r="K22" s="16" t="n">
        <f aca="false">$G22*HORAS_OPERACAO_DIA</f>
        <v>147</v>
      </c>
    </row>
    <row r="23" customFormat="false" ht="15" hidden="false" customHeight="false" outlineLevel="0" collapsed="false">
      <c r="B23" s="16" t="n">
        <v>18</v>
      </c>
      <c r="C23" s="17" t="n">
        <f aca="false">DATA_INICIO_SAFRA+($B23-1)*DIAS_POR_SEMANA</f>
        <v>46384</v>
      </c>
      <c r="D23" s="17" t="n">
        <f aca="false">$C23+DIAS_POR_SEMANA-1</f>
        <v>46390</v>
      </c>
      <c r="E23" s="17" t="n">
        <f aca="false">$C23+INT(DIAS_POR_SEMANA/2)</f>
        <v>46387</v>
      </c>
      <c r="F23" s="8" t="str">
        <f aca="false">TEXT($E23,"mmm/yy")</f>
        <v>Dec/26</v>
      </c>
      <c r="G23" s="16" t="n">
        <f aca="false">COUNTIFS(CLIMA_ETo_CHUVA!$C$8:$C$469,$B23)</f>
        <v>7</v>
      </c>
      <c r="H23" s="18" t="n">
        <f aca="false">SUMIFS(CLIMA_ETo_CHUVA!$G$8:$G$469,CLIMA_ETo_CHUVA!$C$8:$C$469,$B23)</f>
        <v>33.2</v>
      </c>
      <c r="I23" s="18" t="n">
        <f aca="false">SUMIFS(CLIMA_ETo_CHUVA!$K$8:$K$469,CLIMA_ETo_CHUVA!$C$8:$C$469,$B23)</f>
        <v>47.11</v>
      </c>
      <c r="J23" s="18" t="n">
        <f aca="false">SUMIFS(CLIMA_ETo_CHUVA!$N$8:$N$469,CLIMA_ETo_CHUVA!$C$8:$C$469,$B23)</f>
        <v>37.688</v>
      </c>
      <c r="K23" s="16" t="n">
        <f aca="false">$G23*HORAS_OPERACAO_DIA</f>
        <v>147</v>
      </c>
    </row>
    <row r="24" customFormat="false" ht="15" hidden="false" customHeight="false" outlineLevel="0" collapsed="false">
      <c r="B24" s="16" t="n">
        <v>19</v>
      </c>
      <c r="C24" s="17" t="n">
        <f aca="false">DATA_INICIO_SAFRA+($B24-1)*DIAS_POR_SEMANA</f>
        <v>46391</v>
      </c>
      <c r="D24" s="17" t="n">
        <f aca="false">$C24+DIAS_POR_SEMANA-1</f>
        <v>46397</v>
      </c>
      <c r="E24" s="17" t="n">
        <f aca="false">$C24+INT(DIAS_POR_SEMANA/2)</f>
        <v>46394</v>
      </c>
      <c r="F24" s="8" t="str">
        <f aca="false">TEXT($E24,"mmm/yy")</f>
        <v>Jan/27</v>
      </c>
      <c r="G24" s="16" t="n">
        <f aca="false">COUNTIFS(CLIMA_ETo_CHUVA!$C$8:$C$469,$B24)</f>
        <v>7</v>
      </c>
      <c r="H24" s="18" t="n">
        <f aca="false">SUMIFS(CLIMA_ETo_CHUVA!$G$8:$G$469,CLIMA_ETo_CHUVA!$C$8:$C$469,$B24)</f>
        <v>33.6</v>
      </c>
      <c r="I24" s="18" t="n">
        <f aca="false">SUMIFS(CLIMA_ETo_CHUVA!$K$8:$K$469,CLIMA_ETo_CHUVA!$C$8:$C$469,$B24)</f>
        <v>45.15</v>
      </c>
      <c r="J24" s="18" t="n">
        <f aca="false">SUMIFS(CLIMA_ETo_CHUVA!$N$8:$N$469,CLIMA_ETo_CHUVA!$C$8:$C$469,$B24)</f>
        <v>36.12</v>
      </c>
      <c r="K24" s="16" t="n">
        <f aca="false">$G24*HORAS_OPERACAO_DIA</f>
        <v>147</v>
      </c>
    </row>
    <row r="25" customFormat="false" ht="15" hidden="false" customHeight="false" outlineLevel="0" collapsed="false">
      <c r="B25" s="16" t="n">
        <v>20</v>
      </c>
      <c r="C25" s="17" t="n">
        <f aca="false">DATA_INICIO_SAFRA+($B25-1)*DIAS_POR_SEMANA</f>
        <v>46398</v>
      </c>
      <c r="D25" s="17" t="n">
        <f aca="false">$C25+DIAS_POR_SEMANA-1</f>
        <v>46404</v>
      </c>
      <c r="E25" s="17" t="n">
        <f aca="false">$C25+INT(DIAS_POR_SEMANA/2)</f>
        <v>46401</v>
      </c>
      <c r="F25" s="8" t="str">
        <f aca="false">TEXT($E25,"mmm/yy")</f>
        <v>Jan/27</v>
      </c>
      <c r="G25" s="16" t="n">
        <f aca="false">COUNTIFS(CLIMA_ETo_CHUVA!$C$8:$C$469,$B25)</f>
        <v>7</v>
      </c>
      <c r="H25" s="18" t="n">
        <f aca="false">SUMIFS(CLIMA_ETo_CHUVA!$G$8:$G$469,CLIMA_ETo_CHUVA!$C$8:$C$469,$B25)</f>
        <v>33.6</v>
      </c>
      <c r="I25" s="18" t="n">
        <f aca="false">SUMIFS(CLIMA_ETo_CHUVA!$K$8:$K$469,CLIMA_ETo_CHUVA!$C$8:$C$469,$B25)</f>
        <v>45.15</v>
      </c>
      <c r="J25" s="18" t="n">
        <f aca="false">SUMIFS(CLIMA_ETo_CHUVA!$N$8:$N$469,CLIMA_ETo_CHUVA!$C$8:$C$469,$B25)</f>
        <v>36.12</v>
      </c>
      <c r="K25" s="16" t="n">
        <f aca="false">$G25*HORAS_OPERACAO_DIA</f>
        <v>147</v>
      </c>
    </row>
    <row r="26" customFormat="false" ht="15" hidden="false" customHeight="false" outlineLevel="0" collapsed="false">
      <c r="B26" s="16" t="n">
        <v>21</v>
      </c>
      <c r="C26" s="17" t="n">
        <f aca="false">DATA_INICIO_SAFRA+($B26-1)*DIAS_POR_SEMANA</f>
        <v>46405</v>
      </c>
      <c r="D26" s="17" t="n">
        <f aca="false">$C26+DIAS_POR_SEMANA-1</f>
        <v>46411</v>
      </c>
      <c r="E26" s="17" t="n">
        <f aca="false">$C26+INT(DIAS_POR_SEMANA/2)</f>
        <v>46408</v>
      </c>
      <c r="F26" s="8" t="str">
        <f aca="false">TEXT($E26,"mmm/yy")</f>
        <v>Jan/27</v>
      </c>
      <c r="G26" s="16" t="n">
        <f aca="false">COUNTIFS(CLIMA_ETo_CHUVA!$C$8:$C$469,$B26)</f>
        <v>7</v>
      </c>
      <c r="H26" s="18" t="n">
        <f aca="false">SUMIFS(CLIMA_ETo_CHUVA!$G$8:$G$469,CLIMA_ETo_CHUVA!$C$8:$C$469,$B26)</f>
        <v>33.6</v>
      </c>
      <c r="I26" s="18" t="n">
        <f aca="false">SUMIFS(CLIMA_ETo_CHUVA!$K$8:$K$469,CLIMA_ETo_CHUVA!$C$8:$C$469,$B26)</f>
        <v>45.15</v>
      </c>
      <c r="J26" s="18" t="n">
        <f aca="false">SUMIFS(CLIMA_ETo_CHUVA!$N$8:$N$469,CLIMA_ETo_CHUVA!$C$8:$C$469,$B26)</f>
        <v>36.12</v>
      </c>
      <c r="K26" s="16" t="n">
        <f aca="false">$G26*HORAS_OPERACAO_DIA</f>
        <v>147</v>
      </c>
    </row>
    <row r="27" customFormat="false" ht="15" hidden="false" customHeight="false" outlineLevel="0" collapsed="false">
      <c r="B27" s="16" t="n">
        <v>22</v>
      </c>
      <c r="C27" s="17" t="n">
        <f aca="false">DATA_INICIO_SAFRA+($B27-1)*DIAS_POR_SEMANA</f>
        <v>46412</v>
      </c>
      <c r="D27" s="17" t="n">
        <f aca="false">$C27+DIAS_POR_SEMANA-1</f>
        <v>46418</v>
      </c>
      <c r="E27" s="17" t="n">
        <f aca="false">$C27+INT(DIAS_POR_SEMANA/2)</f>
        <v>46415</v>
      </c>
      <c r="F27" s="8" t="str">
        <f aca="false">TEXT($E27,"mmm/yy")</f>
        <v>Jan/27</v>
      </c>
      <c r="G27" s="16" t="n">
        <f aca="false">COUNTIFS(CLIMA_ETo_CHUVA!$C$8:$C$469,$B27)</f>
        <v>7</v>
      </c>
      <c r="H27" s="18" t="n">
        <f aca="false">SUMIFS(CLIMA_ETo_CHUVA!$G$8:$G$469,CLIMA_ETo_CHUVA!$C$8:$C$469,$B27)</f>
        <v>33.6</v>
      </c>
      <c r="I27" s="18" t="n">
        <f aca="false">SUMIFS(CLIMA_ETo_CHUVA!$K$8:$K$469,CLIMA_ETo_CHUVA!$C$8:$C$469,$B27)</f>
        <v>45.15</v>
      </c>
      <c r="J27" s="18" t="n">
        <f aca="false">SUMIFS(CLIMA_ETo_CHUVA!$N$8:$N$469,CLIMA_ETo_CHUVA!$C$8:$C$469,$B27)</f>
        <v>36.12</v>
      </c>
      <c r="K27" s="16" t="n">
        <f aca="false">$G27*HORAS_OPERACAO_DIA</f>
        <v>147</v>
      </c>
    </row>
    <row r="28" customFormat="false" ht="15" hidden="false" customHeight="false" outlineLevel="0" collapsed="false">
      <c r="B28" s="16" t="n">
        <v>23</v>
      </c>
      <c r="C28" s="17" t="n">
        <f aca="false">DATA_INICIO_SAFRA+($B28-1)*DIAS_POR_SEMANA</f>
        <v>46419</v>
      </c>
      <c r="D28" s="17" t="n">
        <f aca="false">$C28+DIAS_POR_SEMANA-1</f>
        <v>46425</v>
      </c>
      <c r="E28" s="17" t="n">
        <f aca="false">$C28+INT(DIAS_POR_SEMANA/2)</f>
        <v>46422</v>
      </c>
      <c r="F28" s="8" t="str">
        <f aca="false">TEXT($E28,"mmm/yy")</f>
        <v>Feb/27</v>
      </c>
      <c r="G28" s="16" t="n">
        <f aca="false">COUNTIFS(CLIMA_ETo_CHUVA!$C$8:$C$469,$B28)</f>
        <v>7</v>
      </c>
      <c r="H28" s="18" t="n">
        <f aca="false">SUMIFS(CLIMA_ETo_CHUVA!$G$8:$G$469,CLIMA_ETo_CHUVA!$C$8:$C$469,$B28)</f>
        <v>32.9</v>
      </c>
      <c r="I28" s="18" t="n">
        <f aca="false">SUMIFS(CLIMA_ETo_CHUVA!$K$8:$K$469,CLIMA_ETo_CHUVA!$C$8:$C$469,$B28)</f>
        <v>39.97</v>
      </c>
      <c r="J28" s="18" t="n">
        <f aca="false">SUMIFS(CLIMA_ETo_CHUVA!$N$8:$N$469,CLIMA_ETo_CHUVA!$C$8:$C$469,$B28)</f>
        <v>31.976</v>
      </c>
      <c r="K28" s="16" t="n">
        <f aca="false">$G28*HORAS_OPERACAO_DIA</f>
        <v>147</v>
      </c>
    </row>
    <row r="29" customFormat="false" ht="15" hidden="false" customHeight="false" outlineLevel="0" collapsed="false">
      <c r="B29" s="16" t="n">
        <v>24</v>
      </c>
      <c r="C29" s="17" t="n">
        <f aca="false">DATA_INICIO_SAFRA+($B29-1)*DIAS_POR_SEMANA</f>
        <v>46426</v>
      </c>
      <c r="D29" s="17" t="n">
        <f aca="false">$C29+DIAS_POR_SEMANA-1</f>
        <v>46432</v>
      </c>
      <c r="E29" s="17" t="n">
        <f aca="false">$C29+INT(DIAS_POR_SEMANA/2)</f>
        <v>46429</v>
      </c>
      <c r="F29" s="8" t="str">
        <f aca="false">TEXT($E29,"mmm/yy")</f>
        <v>Feb/27</v>
      </c>
      <c r="G29" s="16" t="n">
        <f aca="false">COUNTIFS(CLIMA_ETo_CHUVA!$C$8:$C$469,$B29)</f>
        <v>7</v>
      </c>
      <c r="H29" s="18" t="n">
        <f aca="false">SUMIFS(CLIMA_ETo_CHUVA!$G$8:$G$469,CLIMA_ETo_CHUVA!$C$8:$C$469,$B29)</f>
        <v>32.9</v>
      </c>
      <c r="I29" s="18" t="n">
        <f aca="false">SUMIFS(CLIMA_ETo_CHUVA!$K$8:$K$469,CLIMA_ETo_CHUVA!$C$8:$C$469,$B29)</f>
        <v>39.97</v>
      </c>
      <c r="J29" s="18" t="n">
        <f aca="false">SUMIFS(CLIMA_ETo_CHUVA!$N$8:$N$469,CLIMA_ETo_CHUVA!$C$8:$C$469,$B29)</f>
        <v>31.976</v>
      </c>
      <c r="K29" s="16" t="n">
        <f aca="false">$G29*HORAS_OPERACAO_DIA</f>
        <v>147</v>
      </c>
    </row>
    <row r="30" customFormat="false" ht="15" hidden="false" customHeight="false" outlineLevel="0" collapsed="false">
      <c r="B30" s="16" t="n">
        <v>25</v>
      </c>
      <c r="C30" s="17" t="n">
        <f aca="false">DATA_INICIO_SAFRA+($B30-1)*DIAS_POR_SEMANA</f>
        <v>46433</v>
      </c>
      <c r="D30" s="17" t="n">
        <f aca="false">$C30+DIAS_POR_SEMANA-1</f>
        <v>46439</v>
      </c>
      <c r="E30" s="17" t="n">
        <f aca="false">$C30+INT(DIAS_POR_SEMANA/2)</f>
        <v>46436</v>
      </c>
      <c r="F30" s="8" t="str">
        <f aca="false">TEXT($E30,"mmm/yy")</f>
        <v>Feb/27</v>
      </c>
      <c r="G30" s="16" t="n">
        <f aca="false">COUNTIFS(CLIMA_ETo_CHUVA!$C$8:$C$469,$B30)</f>
        <v>7</v>
      </c>
      <c r="H30" s="18" t="n">
        <f aca="false">SUMIFS(CLIMA_ETo_CHUVA!$G$8:$G$469,CLIMA_ETo_CHUVA!$C$8:$C$469,$B30)</f>
        <v>32.9</v>
      </c>
      <c r="I30" s="18" t="n">
        <f aca="false">SUMIFS(CLIMA_ETo_CHUVA!$K$8:$K$469,CLIMA_ETo_CHUVA!$C$8:$C$469,$B30)</f>
        <v>39.97</v>
      </c>
      <c r="J30" s="18" t="n">
        <f aca="false">SUMIFS(CLIMA_ETo_CHUVA!$N$8:$N$469,CLIMA_ETo_CHUVA!$C$8:$C$469,$B30)</f>
        <v>31.976</v>
      </c>
      <c r="K30" s="16" t="n">
        <f aca="false">$G30*HORAS_OPERACAO_DIA</f>
        <v>147</v>
      </c>
    </row>
    <row r="31" customFormat="false" ht="15" hidden="false" customHeight="false" outlineLevel="0" collapsed="false">
      <c r="B31" s="16" t="n">
        <v>26</v>
      </c>
      <c r="C31" s="17" t="n">
        <f aca="false">DATA_INICIO_SAFRA+($B31-1)*DIAS_POR_SEMANA</f>
        <v>46440</v>
      </c>
      <c r="D31" s="17" t="n">
        <f aca="false">$C31+DIAS_POR_SEMANA-1</f>
        <v>46446</v>
      </c>
      <c r="E31" s="17" t="n">
        <f aca="false">$C31+INT(DIAS_POR_SEMANA/2)</f>
        <v>46443</v>
      </c>
      <c r="F31" s="8" t="str">
        <f aca="false">TEXT($E31,"mmm/yy")</f>
        <v>Feb/27</v>
      </c>
      <c r="G31" s="16" t="n">
        <f aca="false">COUNTIFS(CLIMA_ETo_CHUVA!$C$8:$C$469,$B31)</f>
        <v>7</v>
      </c>
      <c r="H31" s="18" t="n">
        <f aca="false">SUMIFS(CLIMA_ETo_CHUVA!$G$8:$G$469,CLIMA_ETo_CHUVA!$C$8:$C$469,$B31)</f>
        <v>32.9</v>
      </c>
      <c r="I31" s="18" t="n">
        <f aca="false">SUMIFS(CLIMA_ETo_CHUVA!$K$8:$K$469,CLIMA_ETo_CHUVA!$C$8:$C$469,$B31)</f>
        <v>39.97</v>
      </c>
      <c r="J31" s="18" t="n">
        <f aca="false">SUMIFS(CLIMA_ETo_CHUVA!$N$8:$N$469,CLIMA_ETo_CHUVA!$C$8:$C$469,$B31)</f>
        <v>31.976</v>
      </c>
      <c r="K31" s="16" t="n">
        <f aca="false">$G31*HORAS_OPERACAO_DIA</f>
        <v>147</v>
      </c>
    </row>
    <row r="32" customFormat="false" ht="15" hidden="false" customHeight="false" outlineLevel="0" collapsed="false">
      <c r="B32" s="16" t="n">
        <v>27</v>
      </c>
      <c r="C32" s="17" t="n">
        <f aca="false">DATA_INICIO_SAFRA+($B32-1)*DIAS_POR_SEMANA</f>
        <v>46447</v>
      </c>
      <c r="D32" s="17" t="n">
        <f aca="false">$C32+DIAS_POR_SEMANA-1</f>
        <v>46453</v>
      </c>
      <c r="E32" s="17" t="n">
        <f aca="false">$C32+INT(DIAS_POR_SEMANA/2)</f>
        <v>46450</v>
      </c>
      <c r="F32" s="8" t="str">
        <f aca="false">TEXT($E32,"mmm/yy")</f>
        <v>Mar/27</v>
      </c>
      <c r="G32" s="16" t="n">
        <f aca="false">COUNTIFS(CLIMA_ETo_CHUVA!$C$8:$C$469,$B32)</f>
        <v>7</v>
      </c>
      <c r="H32" s="18" t="n">
        <f aca="false">SUMIFS(CLIMA_ETo_CHUVA!$G$8:$G$469,CLIMA_ETo_CHUVA!$C$8:$C$469,$B32)</f>
        <v>32.2</v>
      </c>
      <c r="I32" s="18" t="n">
        <f aca="false">SUMIFS(CLIMA_ETo_CHUVA!$K$8:$K$469,CLIMA_ETo_CHUVA!$C$8:$C$469,$B32)</f>
        <v>37.24</v>
      </c>
      <c r="J32" s="18" t="n">
        <f aca="false">SUMIFS(CLIMA_ETo_CHUVA!$N$8:$N$469,CLIMA_ETo_CHUVA!$C$8:$C$469,$B32)</f>
        <v>29.792</v>
      </c>
      <c r="K32" s="16" t="n">
        <f aca="false">$G32*HORAS_OPERACAO_DIA</f>
        <v>147</v>
      </c>
    </row>
    <row r="33" customFormat="false" ht="15" hidden="false" customHeight="false" outlineLevel="0" collapsed="false">
      <c r="B33" s="16" t="n">
        <v>28</v>
      </c>
      <c r="C33" s="17" t="n">
        <f aca="false">DATA_INICIO_SAFRA+($B33-1)*DIAS_POR_SEMANA</f>
        <v>46454</v>
      </c>
      <c r="D33" s="17" t="n">
        <f aca="false">$C33+DIAS_POR_SEMANA-1</f>
        <v>46460</v>
      </c>
      <c r="E33" s="17" t="n">
        <f aca="false">$C33+INT(DIAS_POR_SEMANA/2)</f>
        <v>46457</v>
      </c>
      <c r="F33" s="8" t="str">
        <f aca="false">TEXT($E33,"mmm/yy")</f>
        <v>Mar/27</v>
      </c>
      <c r="G33" s="16" t="n">
        <f aca="false">COUNTIFS(CLIMA_ETo_CHUVA!$C$8:$C$469,$B33)</f>
        <v>7</v>
      </c>
      <c r="H33" s="18" t="n">
        <f aca="false">SUMIFS(CLIMA_ETo_CHUVA!$G$8:$G$469,CLIMA_ETo_CHUVA!$C$8:$C$469,$B33)</f>
        <v>32.2</v>
      </c>
      <c r="I33" s="18" t="n">
        <f aca="false">SUMIFS(CLIMA_ETo_CHUVA!$K$8:$K$469,CLIMA_ETo_CHUVA!$C$8:$C$469,$B33)</f>
        <v>37.24</v>
      </c>
      <c r="J33" s="18" t="n">
        <f aca="false">SUMIFS(CLIMA_ETo_CHUVA!$N$8:$N$469,CLIMA_ETo_CHUVA!$C$8:$C$469,$B33)</f>
        <v>29.792</v>
      </c>
      <c r="K33" s="16" t="n">
        <f aca="false">$G33*HORAS_OPERACAO_DIA</f>
        <v>147</v>
      </c>
    </row>
    <row r="34" customFormat="false" ht="15" hidden="false" customHeight="false" outlineLevel="0" collapsed="false">
      <c r="B34" s="16" t="n">
        <v>29</v>
      </c>
      <c r="C34" s="17" t="n">
        <f aca="false">DATA_INICIO_SAFRA+($B34-1)*DIAS_POR_SEMANA</f>
        <v>46461</v>
      </c>
      <c r="D34" s="17" t="n">
        <f aca="false">$C34+DIAS_POR_SEMANA-1</f>
        <v>46467</v>
      </c>
      <c r="E34" s="17" t="n">
        <f aca="false">$C34+INT(DIAS_POR_SEMANA/2)</f>
        <v>46464</v>
      </c>
      <c r="F34" s="8" t="str">
        <f aca="false">TEXT($E34,"mmm/yy")</f>
        <v>Mar/27</v>
      </c>
      <c r="G34" s="16" t="n">
        <f aca="false">COUNTIFS(CLIMA_ETo_CHUVA!$C$8:$C$469,$B34)</f>
        <v>7</v>
      </c>
      <c r="H34" s="18" t="n">
        <f aca="false">SUMIFS(CLIMA_ETo_CHUVA!$G$8:$G$469,CLIMA_ETo_CHUVA!$C$8:$C$469,$B34)</f>
        <v>32.2</v>
      </c>
      <c r="I34" s="18" t="n">
        <f aca="false">SUMIFS(CLIMA_ETo_CHUVA!$K$8:$K$469,CLIMA_ETo_CHUVA!$C$8:$C$469,$B34)</f>
        <v>37.24</v>
      </c>
      <c r="J34" s="18" t="n">
        <f aca="false">SUMIFS(CLIMA_ETo_CHUVA!$N$8:$N$469,CLIMA_ETo_CHUVA!$C$8:$C$469,$B34)</f>
        <v>29.792</v>
      </c>
      <c r="K34" s="16" t="n">
        <f aca="false">$G34*HORAS_OPERACAO_DIA</f>
        <v>147</v>
      </c>
    </row>
    <row r="35" customFormat="false" ht="15" hidden="false" customHeight="false" outlineLevel="0" collapsed="false">
      <c r="B35" s="16" t="n">
        <v>30</v>
      </c>
      <c r="C35" s="17" t="n">
        <f aca="false">DATA_INICIO_SAFRA+($B35-1)*DIAS_POR_SEMANA</f>
        <v>46468</v>
      </c>
      <c r="D35" s="17" t="n">
        <f aca="false">$C35+DIAS_POR_SEMANA-1</f>
        <v>46474</v>
      </c>
      <c r="E35" s="17" t="n">
        <f aca="false">$C35+INT(DIAS_POR_SEMANA/2)</f>
        <v>46471</v>
      </c>
      <c r="F35" s="8" t="str">
        <f aca="false">TEXT($E35,"mmm/yy")</f>
        <v>Mar/27</v>
      </c>
      <c r="G35" s="16" t="n">
        <f aca="false">COUNTIFS(CLIMA_ETo_CHUVA!$C$8:$C$469,$B35)</f>
        <v>7</v>
      </c>
      <c r="H35" s="18" t="n">
        <f aca="false">SUMIFS(CLIMA_ETo_CHUVA!$G$8:$G$469,CLIMA_ETo_CHUVA!$C$8:$C$469,$B35)</f>
        <v>32.2</v>
      </c>
      <c r="I35" s="18" t="n">
        <f aca="false">SUMIFS(CLIMA_ETo_CHUVA!$K$8:$K$469,CLIMA_ETo_CHUVA!$C$8:$C$469,$B35)</f>
        <v>37.24</v>
      </c>
      <c r="J35" s="18" t="n">
        <f aca="false">SUMIFS(CLIMA_ETo_CHUVA!$N$8:$N$469,CLIMA_ETo_CHUVA!$C$8:$C$469,$B35)</f>
        <v>29.792</v>
      </c>
      <c r="K35" s="16" t="n">
        <f aca="false">$G35*HORAS_OPERACAO_DIA</f>
        <v>147</v>
      </c>
    </row>
    <row r="36" customFormat="false" ht="15" hidden="false" customHeight="false" outlineLevel="0" collapsed="false">
      <c r="B36" s="16" t="n">
        <v>31</v>
      </c>
      <c r="C36" s="17" t="n">
        <f aca="false">DATA_INICIO_SAFRA+($B36-1)*DIAS_POR_SEMANA</f>
        <v>46475</v>
      </c>
      <c r="D36" s="17" t="n">
        <f aca="false">$C36+DIAS_POR_SEMANA-1</f>
        <v>46481</v>
      </c>
      <c r="E36" s="17" t="n">
        <f aca="false">$C36+INT(DIAS_POR_SEMANA/2)</f>
        <v>46478</v>
      </c>
      <c r="F36" s="8" t="str">
        <f aca="false">TEXT($E36,"mmm/yy")</f>
        <v>Apr/27</v>
      </c>
      <c r="G36" s="16" t="n">
        <f aca="false">COUNTIFS(CLIMA_ETo_CHUVA!$C$8:$C$469,$B36)</f>
        <v>7</v>
      </c>
      <c r="H36" s="18" t="n">
        <f aca="false">SUMIFS(CLIMA_ETo_CHUVA!$G$8:$G$469,CLIMA_ETo_CHUVA!$C$8:$C$469,$B36)</f>
        <v>31.8</v>
      </c>
      <c r="I36" s="18" t="n">
        <f aca="false">SUMIFS(CLIMA_ETo_CHUVA!$K$8:$K$469,CLIMA_ETo_CHUVA!$C$8:$C$469,$B36)</f>
        <v>25.28</v>
      </c>
      <c r="J36" s="18" t="n">
        <f aca="false">SUMIFS(CLIMA_ETo_CHUVA!$N$8:$N$469,CLIMA_ETo_CHUVA!$C$8:$C$469,$B36)</f>
        <v>20.224</v>
      </c>
      <c r="K36" s="16" t="n">
        <f aca="false">$G36*HORAS_OPERACAO_DIA</f>
        <v>147</v>
      </c>
    </row>
    <row r="37" customFormat="false" ht="15" hidden="false" customHeight="false" outlineLevel="0" collapsed="false">
      <c r="B37" s="16" t="n">
        <v>32</v>
      </c>
      <c r="C37" s="17" t="n">
        <f aca="false">DATA_INICIO_SAFRA+($B37-1)*DIAS_POR_SEMANA</f>
        <v>46482</v>
      </c>
      <c r="D37" s="17" t="n">
        <f aca="false">$C37+DIAS_POR_SEMANA-1</f>
        <v>46488</v>
      </c>
      <c r="E37" s="17" t="n">
        <f aca="false">$C37+INT(DIAS_POR_SEMANA/2)</f>
        <v>46485</v>
      </c>
      <c r="F37" s="8" t="str">
        <f aca="false">TEXT($E37,"mmm/yy")</f>
        <v>Apr/27</v>
      </c>
      <c r="G37" s="16" t="n">
        <f aca="false">COUNTIFS(CLIMA_ETo_CHUVA!$C$8:$C$469,$B37)</f>
        <v>7</v>
      </c>
      <c r="H37" s="18" t="n">
        <f aca="false">SUMIFS(CLIMA_ETo_CHUVA!$G$8:$G$469,CLIMA_ETo_CHUVA!$C$8:$C$469,$B37)</f>
        <v>31.5</v>
      </c>
      <c r="I37" s="18" t="n">
        <f aca="false">SUMIFS(CLIMA_ETo_CHUVA!$K$8:$K$469,CLIMA_ETo_CHUVA!$C$8:$C$469,$B37)</f>
        <v>16.31</v>
      </c>
      <c r="J37" s="18" t="n">
        <f aca="false">SUMIFS(CLIMA_ETo_CHUVA!$N$8:$N$469,CLIMA_ETo_CHUVA!$C$8:$C$469,$B37)</f>
        <v>13.048</v>
      </c>
      <c r="K37" s="16" t="n">
        <f aca="false">$G37*HORAS_OPERACAO_DIA</f>
        <v>147</v>
      </c>
    </row>
    <row r="38" customFormat="false" ht="15" hidden="false" customHeight="false" outlineLevel="0" collapsed="false">
      <c r="B38" s="16" t="n">
        <v>33</v>
      </c>
      <c r="C38" s="17" t="n">
        <f aca="false">DATA_INICIO_SAFRA+($B38-1)*DIAS_POR_SEMANA</f>
        <v>46489</v>
      </c>
      <c r="D38" s="17" t="n">
        <f aca="false">$C38+DIAS_POR_SEMANA-1</f>
        <v>46495</v>
      </c>
      <c r="E38" s="17" t="n">
        <f aca="false">$C38+INT(DIAS_POR_SEMANA/2)</f>
        <v>46492</v>
      </c>
      <c r="F38" s="8" t="str">
        <f aca="false">TEXT($E38,"mmm/yy")</f>
        <v>Apr/27</v>
      </c>
      <c r="G38" s="16" t="n">
        <f aca="false">COUNTIFS(CLIMA_ETo_CHUVA!$C$8:$C$469,$B38)</f>
        <v>7</v>
      </c>
      <c r="H38" s="18" t="n">
        <f aca="false">SUMIFS(CLIMA_ETo_CHUVA!$G$8:$G$469,CLIMA_ETo_CHUVA!$C$8:$C$469,$B38)</f>
        <v>31.5</v>
      </c>
      <c r="I38" s="18" t="n">
        <f aca="false">SUMIFS(CLIMA_ETo_CHUVA!$K$8:$K$469,CLIMA_ETo_CHUVA!$C$8:$C$469,$B38)</f>
        <v>16.31</v>
      </c>
      <c r="J38" s="18" t="n">
        <f aca="false">SUMIFS(CLIMA_ETo_CHUVA!$N$8:$N$469,CLIMA_ETo_CHUVA!$C$8:$C$469,$B38)</f>
        <v>13.048</v>
      </c>
      <c r="K38" s="16" t="n">
        <f aca="false">$G38*HORAS_OPERACAO_DIA</f>
        <v>147</v>
      </c>
    </row>
    <row r="39" customFormat="false" ht="15" hidden="false" customHeight="false" outlineLevel="0" collapsed="false">
      <c r="B39" s="16" t="n">
        <v>34</v>
      </c>
      <c r="C39" s="17" t="n">
        <f aca="false">DATA_INICIO_SAFRA+($B39-1)*DIAS_POR_SEMANA</f>
        <v>46496</v>
      </c>
      <c r="D39" s="17" t="n">
        <f aca="false">$C39+DIAS_POR_SEMANA-1</f>
        <v>46502</v>
      </c>
      <c r="E39" s="17" t="n">
        <f aca="false">$C39+INT(DIAS_POR_SEMANA/2)</f>
        <v>46499</v>
      </c>
      <c r="F39" s="8" t="str">
        <f aca="false">TEXT($E39,"mmm/yy")</f>
        <v>Apr/27</v>
      </c>
      <c r="G39" s="16" t="n">
        <f aca="false">COUNTIFS(CLIMA_ETo_CHUVA!$C$8:$C$469,$B39)</f>
        <v>7</v>
      </c>
      <c r="H39" s="18" t="n">
        <f aca="false">SUMIFS(CLIMA_ETo_CHUVA!$G$8:$G$469,CLIMA_ETo_CHUVA!$C$8:$C$469,$B39)</f>
        <v>31.5</v>
      </c>
      <c r="I39" s="18" t="n">
        <f aca="false">SUMIFS(CLIMA_ETo_CHUVA!$K$8:$K$469,CLIMA_ETo_CHUVA!$C$8:$C$469,$B39)</f>
        <v>16.31</v>
      </c>
      <c r="J39" s="18" t="n">
        <f aca="false">SUMIFS(CLIMA_ETo_CHUVA!$N$8:$N$469,CLIMA_ETo_CHUVA!$C$8:$C$469,$B39)</f>
        <v>13.048</v>
      </c>
      <c r="K39" s="16" t="n">
        <f aca="false">$G39*HORAS_OPERACAO_DIA</f>
        <v>147</v>
      </c>
    </row>
    <row r="40" customFormat="false" ht="15" hidden="false" customHeight="false" outlineLevel="0" collapsed="false">
      <c r="B40" s="16" t="n">
        <v>35</v>
      </c>
      <c r="C40" s="17" t="n">
        <f aca="false">DATA_INICIO_SAFRA+($B40-1)*DIAS_POR_SEMANA</f>
        <v>46503</v>
      </c>
      <c r="D40" s="17" t="n">
        <f aca="false">$C40+DIAS_POR_SEMANA-1</f>
        <v>46509</v>
      </c>
      <c r="E40" s="17" t="n">
        <f aca="false">$C40+INT(DIAS_POR_SEMANA/2)</f>
        <v>46506</v>
      </c>
      <c r="F40" s="8" t="str">
        <f aca="false">TEXT($E40,"mmm/yy")</f>
        <v>Apr/27</v>
      </c>
      <c r="G40" s="16" t="n">
        <f aca="false">COUNTIFS(CLIMA_ETo_CHUVA!$C$8:$C$469,$B40)</f>
        <v>7</v>
      </c>
      <c r="H40" s="18" t="n">
        <f aca="false">SUMIFS(CLIMA_ETo_CHUVA!$G$8:$G$469,CLIMA_ETo_CHUVA!$C$8:$C$469,$B40)</f>
        <v>30.9</v>
      </c>
      <c r="I40" s="18" t="n">
        <f aca="false">SUMIFS(CLIMA_ETo_CHUVA!$K$8:$K$469,CLIMA_ETo_CHUVA!$C$8:$C$469,$B40)</f>
        <v>12.61</v>
      </c>
      <c r="J40" s="18" t="n">
        <f aca="false">SUMIFS(CLIMA_ETo_CHUVA!$N$8:$N$469,CLIMA_ETo_CHUVA!$C$8:$C$469,$B40)</f>
        <v>10.088</v>
      </c>
      <c r="K40" s="16" t="n">
        <f aca="false">$G40*HORAS_OPERACAO_DIA</f>
        <v>147</v>
      </c>
    </row>
    <row r="41" customFormat="false" ht="15" hidden="false" customHeight="false" outlineLevel="0" collapsed="false">
      <c r="B41" s="16" t="n">
        <v>36</v>
      </c>
      <c r="C41" s="17" t="n">
        <f aca="false">DATA_INICIO_SAFRA+($B41-1)*DIAS_POR_SEMANA</f>
        <v>46510</v>
      </c>
      <c r="D41" s="17" t="n">
        <f aca="false">$C41+DIAS_POR_SEMANA-1</f>
        <v>46516</v>
      </c>
      <c r="E41" s="17" t="n">
        <f aca="false">$C41+INT(DIAS_POR_SEMANA/2)</f>
        <v>46513</v>
      </c>
      <c r="F41" s="8" t="str">
        <f aca="false">TEXT($E41,"mmm/yy")</f>
        <v>May/27</v>
      </c>
      <c r="G41" s="16" t="n">
        <f aca="false">COUNTIFS(CLIMA_ETo_CHUVA!$C$8:$C$469,$B41)</f>
        <v>7</v>
      </c>
      <c r="H41" s="18" t="n">
        <f aca="false">SUMIFS(CLIMA_ETo_CHUVA!$G$8:$G$469,CLIMA_ETo_CHUVA!$C$8:$C$469,$B41)</f>
        <v>29.4</v>
      </c>
      <c r="I41" s="18" t="n">
        <f aca="false">SUMIFS(CLIMA_ETo_CHUVA!$K$8:$K$469,CLIMA_ETo_CHUVA!$C$8:$C$469,$B41)</f>
        <v>3.36</v>
      </c>
      <c r="J41" s="18" t="n">
        <f aca="false">SUMIFS(CLIMA_ETo_CHUVA!$N$8:$N$469,CLIMA_ETo_CHUVA!$C$8:$C$469,$B41)</f>
        <v>2.688</v>
      </c>
      <c r="K41" s="16" t="n">
        <f aca="false">$G41*HORAS_OPERACAO_DIA</f>
        <v>147</v>
      </c>
    </row>
    <row r="42" customFormat="false" ht="15" hidden="false" customHeight="false" outlineLevel="0" collapsed="false">
      <c r="B42" s="16" t="n">
        <v>37</v>
      </c>
      <c r="C42" s="17" t="n">
        <f aca="false">DATA_INICIO_SAFRA+($B42-1)*DIAS_POR_SEMANA</f>
        <v>46517</v>
      </c>
      <c r="D42" s="17" t="n">
        <f aca="false">$C42+DIAS_POR_SEMANA-1</f>
        <v>46523</v>
      </c>
      <c r="E42" s="17" t="n">
        <f aca="false">$C42+INT(DIAS_POR_SEMANA/2)</f>
        <v>46520</v>
      </c>
      <c r="F42" s="8" t="str">
        <f aca="false">TEXT($E42,"mmm/yy")</f>
        <v>May/27</v>
      </c>
      <c r="G42" s="16" t="n">
        <f aca="false">COUNTIFS(CLIMA_ETo_CHUVA!$C$8:$C$469,$B42)</f>
        <v>7</v>
      </c>
      <c r="H42" s="18" t="n">
        <f aca="false">SUMIFS(CLIMA_ETo_CHUVA!$G$8:$G$469,CLIMA_ETo_CHUVA!$C$8:$C$469,$B42)</f>
        <v>29.4</v>
      </c>
      <c r="I42" s="18" t="n">
        <f aca="false">SUMIFS(CLIMA_ETo_CHUVA!$K$8:$K$469,CLIMA_ETo_CHUVA!$C$8:$C$469,$B42)</f>
        <v>3.36</v>
      </c>
      <c r="J42" s="18" t="n">
        <f aca="false">SUMIFS(CLIMA_ETo_CHUVA!$N$8:$N$469,CLIMA_ETo_CHUVA!$C$8:$C$469,$B42)</f>
        <v>2.688</v>
      </c>
      <c r="K42" s="16" t="n">
        <f aca="false">$G42*HORAS_OPERACAO_DIA</f>
        <v>147</v>
      </c>
    </row>
    <row r="43" customFormat="false" ht="15" hidden="false" customHeight="false" outlineLevel="0" collapsed="false">
      <c r="B43" s="16" t="n">
        <v>38</v>
      </c>
      <c r="C43" s="17" t="n">
        <f aca="false">DATA_INICIO_SAFRA+($B43-1)*DIAS_POR_SEMANA</f>
        <v>46524</v>
      </c>
      <c r="D43" s="17" t="n">
        <f aca="false">$C43+DIAS_POR_SEMANA-1</f>
        <v>46530</v>
      </c>
      <c r="E43" s="17" t="n">
        <f aca="false">$C43+INT(DIAS_POR_SEMANA/2)</f>
        <v>46527</v>
      </c>
      <c r="F43" s="8" t="str">
        <f aca="false">TEXT($E43,"mmm/yy")</f>
        <v>May/27</v>
      </c>
      <c r="G43" s="16" t="n">
        <f aca="false">COUNTIFS(CLIMA_ETo_CHUVA!$C$8:$C$469,$B43)</f>
        <v>7</v>
      </c>
      <c r="H43" s="18" t="n">
        <f aca="false">SUMIFS(CLIMA_ETo_CHUVA!$G$8:$G$469,CLIMA_ETo_CHUVA!$C$8:$C$469,$B43)</f>
        <v>29.4</v>
      </c>
      <c r="I43" s="18" t="n">
        <f aca="false">SUMIFS(CLIMA_ETo_CHUVA!$K$8:$K$469,CLIMA_ETo_CHUVA!$C$8:$C$469,$B43)</f>
        <v>3.36</v>
      </c>
      <c r="J43" s="18" t="n">
        <f aca="false">SUMIFS(CLIMA_ETo_CHUVA!$N$8:$N$469,CLIMA_ETo_CHUVA!$C$8:$C$469,$B43)</f>
        <v>2.688</v>
      </c>
      <c r="K43" s="16" t="n">
        <f aca="false">$G43*HORAS_OPERACAO_DIA</f>
        <v>147</v>
      </c>
    </row>
    <row r="44" customFormat="false" ht="15" hidden="false" customHeight="false" outlineLevel="0" collapsed="false">
      <c r="B44" s="16" t="n">
        <v>39</v>
      </c>
      <c r="C44" s="17" t="n">
        <f aca="false">DATA_INICIO_SAFRA+($B44-1)*DIAS_POR_SEMANA</f>
        <v>46531</v>
      </c>
      <c r="D44" s="17" t="n">
        <f aca="false">$C44+DIAS_POR_SEMANA-1</f>
        <v>46537</v>
      </c>
      <c r="E44" s="17" t="n">
        <f aca="false">$C44+INT(DIAS_POR_SEMANA/2)</f>
        <v>46534</v>
      </c>
      <c r="F44" s="8" t="str">
        <f aca="false">TEXT($E44,"mmm/yy")</f>
        <v>May/27</v>
      </c>
      <c r="G44" s="16" t="n">
        <f aca="false">COUNTIFS(CLIMA_ETo_CHUVA!$C$8:$C$469,$B44)</f>
        <v>7</v>
      </c>
      <c r="H44" s="18" t="n">
        <f aca="false">SUMIFS(CLIMA_ETo_CHUVA!$G$8:$G$469,CLIMA_ETo_CHUVA!$C$8:$C$469,$B44)</f>
        <v>29.4</v>
      </c>
      <c r="I44" s="18" t="n">
        <f aca="false">SUMIFS(CLIMA_ETo_CHUVA!$K$8:$K$469,CLIMA_ETo_CHUVA!$C$8:$C$469,$B44)</f>
        <v>3.36</v>
      </c>
      <c r="J44" s="18" t="n">
        <f aca="false">SUMIFS(CLIMA_ETo_CHUVA!$N$8:$N$469,CLIMA_ETo_CHUVA!$C$8:$C$469,$B44)</f>
        <v>2.688</v>
      </c>
      <c r="K44" s="16" t="n">
        <f aca="false">$G44*HORAS_OPERACAO_DIA</f>
        <v>147</v>
      </c>
    </row>
    <row r="45" customFormat="false" ht="15" hidden="false" customHeight="false" outlineLevel="0" collapsed="false">
      <c r="B45" s="16" t="n">
        <v>40</v>
      </c>
      <c r="C45" s="17" t="n">
        <f aca="false">DATA_INICIO_SAFRA+($B45-1)*DIAS_POR_SEMANA</f>
        <v>46538</v>
      </c>
      <c r="D45" s="17" t="n">
        <f aca="false">$C45+DIAS_POR_SEMANA-1</f>
        <v>46544</v>
      </c>
      <c r="E45" s="17" t="n">
        <f aca="false">$C45+INT(DIAS_POR_SEMANA/2)</f>
        <v>46541</v>
      </c>
      <c r="F45" s="8" t="str">
        <f aca="false">TEXT($E45,"mmm/yy")</f>
        <v>Jun/27</v>
      </c>
      <c r="G45" s="16" t="n">
        <f aca="false">COUNTIFS(CLIMA_ETo_CHUVA!$C$8:$C$469,$B45)</f>
        <v>7</v>
      </c>
      <c r="H45" s="18" t="n">
        <f aca="false">SUMIFS(CLIMA_ETo_CHUVA!$G$8:$G$469,CLIMA_ETo_CHUVA!$C$8:$C$469,$B45)</f>
        <v>28.2</v>
      </c>
      <c r="I45" s="18" t="n">
        <f aca="false">SUMIFS(CLIMA_ETo_CHUVA!$K$8:$K$469,CLIMA_ETo_CHUVA!$C$8:$C$469,$B45)</f>
        <v>1.5</v>
      </c>
      <c r="J45" s="18" t="n">
        <f aca="false">SUMIFS(CLIMA_ETo_CHUVA!$N$8:$N$469,CLIMA_ETo_CHUVA!$C$8:$C$469,$B45)</f>
        <v>1.2</v>
      </c>
      <c r="K45" s="16" t="n">
        <f aca="false">$G45*HORAS_OPERACAO_DIA</f>
        <v>147</v>
      </c>
    </row>
    <row r="46" customFormat="false" ht="15" hidden="false" customHeight="false" outlineLevel="0" collapsed="false">
      <c r="B46" s="16" t="n">
        <v>41</v>
      </c>
      <c r="C46" s="17" t="n">
        <f aca="false">DATA_INICIO_SAFRA+($B46-1)*DIAS_POR_SEMANA</f>
        <v>46545</v>
      </c>
      <c r="D46" s="17" t="n">
        <f aca="false">$C46+DIAS_POR_SEMANA-1</f>
        <v>46551</v>
      </c>
      <c r="E46" s="17" t="n">
        <f aca="false">$C46+INT(DIAS_POR_SEMANA/2)</f>
        <v>46548</v>
      </c>
      <c r="F46" s="8" t="str">
        <f aca="false">TEXT($E46,"mmm/yy")</f>
        <v>Jun/27</v>
      </c>
      <c r="G46" s="16" t="n">
        <f aca="false">COUNTIFS(CLIMA_ETo_CHUVA!$C$8:$C$469,$B46)</f>
        <v>7</v>
      </c>
      <c r="H46" s="18" t="n">
        <f aca="false">SUMIFS(CLIMA_ETo_CHUVA!$G$8:$G$469,CLIMA_ETo_CHUVA!$C$8:$C$469,$B46)</f>
        <v>28</v>
      </c>
      <c r="I46" s="18" t="n">
        <f aca="false">SUMIFS(CLIMA_ETo_CHUVA!$K$8:$K$469,CLIMA_ETo_CHUVA!$C$8:$C$469,$B46)</f>
        <v>1.19</v>
      </c>
      <c r="J46" s="18" t="n">
        <f aca="false">SUMIFS(CLIMA_ETo_CHUVA!$N$8:$N$469,CLIMA_ETo_CHUVA!$C$8:$C$469,$B46)</f>
        <v>0.952</v>
      </c>
      <c r="K46" s="16" t="n">
        <f aca="false">$G46*HORAS_OPERACAO_DIA</f>
        <v>147</v>
      </c>
    </row>
    <row r="47" customFormat="false" ht="15" hidden="false" customHeight="false" outlineLevel="0" collapsed="false">
      <c r="B47" s="16" t="n">
        <v>42</v>
      </c>
      <c r="C47" s="17" t="n">
        <f aca="false">DATA_INICIO_SAFRA+($B47-1)*DIAS_POR_SEMANA</f>
        <v>46552</v>
      </c>
      <c r="D47" s="17" t="n">
        <f aca="false">$C47+DIAS_POR_SEMANA-1</f>
        <v>46558</v>
      </c>
      <c r="E47" s="17" t="n">
        <f aca="false">$C47+INT(DIAS_POR_SEMANA/2)</f>
        <v>46555</v>
      </c>
      <c r="F47" s="8" t="str">
        <f aca="false">TEXT($E47,"mmm/yy")</f>
        <v>Jun/27</v>
      </c>
      <c r="G47" s="16" t="n">
        <f aca="false">COUNTIFS(CLIMA_ETo_CHUVA!$C$8:$C$469,$B47)</f>
        <v>7</v>
      </c>
      <c r="H47" s="18" t="n">
        <f aca="false">SUMIFS(CLIMA_ETo_CHUVA!$G$8:$G$469,CLIMA_ETo_CHUVA!$C$8:$C$469,$B47)</f>
        <v>28</v>
      </c>
      <c r="I47" s="18" t="n">
        <f aca="false">SUMIFS(CLIMA_ETo_CHUVA!$K$8:$K$469,CLIMA_ETo_CHUVA!$C$8:$C$469,$B47)</f>
        <v>1.19</v>
      </c>
      <c r="J47" s="18" t="n">
        <f aca="false">SUMIFS(CLIMA_ETo_CHUVA!$N$8:$N$469,CLIMA_ETo_CHUVA!$C$8:$C$469,$B47)</f>
        <v>0.952</v>
      </c>
      <c r="K47" s="16" t="n">
        <f aca="false">$G47*HORAS_OPERACAO_DIA</f>
        <v>147</v>
      </c>
    </row>
    <row r="48" customFormat="false" ht="15" hidden="false" customHeight="false" outlineLevel="0" collapsed="false">
      <c r="B48" s="16" t="n">
        <v>43</v>
      </c>
      <c r="C48" s="17" t="n">
        <f aca="false">DATA_INICIO_SAFRA+($B48-1)*DIAS_POR_SEMANA</f>
        <v>46559</v>
      </c>
      <c r="D48" s="17" t="n">
        <f aca="false">$C48+DIAS_POR_SEMANA-1</f>
        <v>46565</v>
      </c>
      <c r="E48" s="17" t="n">
        <f aca="false">$C48+INT(DIAS_POR_SEMANA/2)</f>
        <v>46562</v>
      </c>
      <c r="F48" s="8" t="str">
        <f aca="false">TEXT($E48,"mmm/yy")</f>
        <v>Jun/27</v>
      </c>
      <c r="G48" s="16" t="n">
        <f aca="false">COUNTIFS(CLIMA_ETo_CHUVA!$C$8:$C$469,$B48)</f>
        <v>7</v>
      </c>
      <c r="H48" s="18" t="n">
        <f aca="false">SUMIFS(CLIMA_ETo_CHUVA!$G$8:$G$469,CLIMA_ETo_CHUVA!$C$8:$C$469,$B48)</f>
        <v>28</v>
      </c>
      <c r="I48" s="18" t="n">
        <f aca="false">SUMIFS(CLIMA_ETo_CHUVA!$K$8:$K$469,CLIMA_ETo_CHUVA!$C$8:$C$469,$B48)</f>
        <v>1.19</v>
      </c>
      <c r="J48" s="18" t="n">
        <f aca="false">SUMIFS(CLIMA_ETo_CHUVA!$N$8:$N$469,CLIMA_ETo_CHUVA!$C$8:$C$469,$B48)</f>
        <v>0.952</v>
      </c>
      <c r="K48" s="16" t="n">
        <f aca="false">$G48*HORAS_OPERACAO_DIA</f>
        <v>147</v>
      </c>
    </row>
    <row r="49" customFormat="false" ht="15" hidden="false" customHeight="false" outlineLevel="0" collapsed="false">
      <c r="B49" s="16" t="n">
        <v>44</v>
      </c>
      <c r="C49" s="17" t="n">
        <f aca="false">DATA_INICIO_SAFRA+($B49-1)*DIAS_POR_SEMANA</f>
        <v>46566</v>
      </c>
      <c r="D49" s="17" t="n">
        <f aca="false">$C49+DIAS_POR_SEMANA-1</f>
        <v>46572</v>
      </c>
      <c r="E49" s="17" t="n">
        <f aca="false">$C49+INT(DIAS_POR_SEMANA/2)</f>
        <v>46569</v>
      </c>
      <c r="F49" s="8" t="str">
        <f aca="false">TEXT($E49,"mmm/yy")</f>
        <v>Jul/27</v>
      </c>
      <c r="G49" s="16" t="n">
        <f aca="false">COUNTIFS(CLIMA_ETo_CHUVA!$C$8:$C$469,$B49)</f>
        <v>7</v>
      </c>
      <c r="H49" s="18" t="n">
        <f aca="false">SUMIFS(CLIMA_ETo_CHUVA!$G$8:$G$469,CLIMA_ETo_CHUVA!$C$8:$C$469,$B49)</f>
        <v>29.2</v>
      </c>
      <c r="I49" s="18" t="n">
        <f aca="false">SUMIFS(CLIMA_ETo_CHUVA!$K$8:$K$469,CLIMA_ETo_CHUVA!$C$8:$C$469,$B49)</f>
        <v>0.91</v>
      </c>
      <c r="J49" s="18" t="n">
        <f aca="false">SUMIFS(CLIMA_ETo_CHUVA!$N$8:$N$469,CLIMA_ETo_CHUVA!$C$8:$C$469,$B49)</f>
        <v>0.728</v>
      </c>
      <c r="K49" s="16" t="n">
        <f aca="false">$G49*HORAS_OPERACAO_DIA</f>
        <v>147</v>
      </c>
    </row>
    <row r="50" customFormat="false" ht="15" hidden="false" customHeight="false" outlineLevel="0" collapsed="false">
      <c r="B50" s="16" t="n">
        <v>45</v>
      </c>
      <c r="C50" s="17" t="n">
        <f aca="false">DATA_INICIO_SAFRA+($B50-1)*DIAS_POR_SEMANA</f>
        <v>46573</v>
      </c>
      <c r="D50" s="17" t="n">
        <f aca="false">$C50+DIAS_POR_SEMANA-1</f>
        <v>46579</v>
      </c>
      <c r="E50" s="17" t="n">
        <f aca="false">$C50+INT(DIAS_POR_SEMANA/2)</f>
        <v>46576</v>
      </c>
      <c r="F50" s="8" t="str">
        <f aca="false">TEXT($E50,"mmm/yy")</f>
        <v>Jul/27</v>
      </c>
      <c r="G50" s="16" t="n">
        <f aca="false">COUNTIFS(CLIMA_ETo_CHUVA!$C$8:$C$469,$B50)</f>
        <v>7</v>
      </c>
      <c r="H50" s="18" t="n">
        <f aca="false">SUMIFS(CLIMA_ETo_CHUVA!$G$8:$G$469,CLIMA_ETo_CHUVA!$C$8:$C$469,$B50)</f>
        <v>30.1</v>
      </c>
      <c r="I50" s="18" t="n">
        <f aca="false">SUMIFS(CLIMA_ETo_CHUVA!$K$8:$K$469,CLIMA_ETo_CHUVA!$C$8:$C$469,$B50)</f>
        <v>0.7</v>
      </c>
      <c r="J50" s="18" t="n">
        <f aca="false">SUMIFS(CLIMA_ETo_CHUVA!$N$8:$N$469,CLIMA_ETo_CHUVA!$C$8:$C$469,$B50)</f>
        <v>0.56</v>
      </c>
      <c r="K50" s="16" t="n">
        <f aca="false">$G50*HORAS_OPERACAO_DIA</f>
        <v>147</v>
      </c>
    </row>
    <row r="51" customFormat="false" ht="15" hidden="false" customHeight="false" outlineLevel="0" collapsed="false">
      <c r="B51" s="16" t="n">
        <v>46</v>
      </c>
      <c r="C51" s="17" t="n">
        <f aca="false">DATA_INICIO_SAFRA+($B51-1)*DIAS_POR_SEMANA</f>
        <v>46580</v>
      </c>
      <c r="D51" s="17" t="n">
        <f aca="false">$C51+DIAS_POR_SEMANA-1</f>
        <v>46586</v>
      </c>
      <c r="E51" s="17" t="n">
        <f aca="false">$C51+INT(DIAS_POR_SEMANA/2)</f>
        <v>46583</v>
      </c>
      <c r="F51" s="8" t="str">
        <f aca="false">TEXT($E51,"mmm/yy")</f>
        <v>Jul/27</v>
      </c>
      <c r="G51" s="16" t="n">
        <f aca="false">COUNTIFS(CLIMA_ETo_CHUVA!$C$8:$C$469,$B51)</f>
        <v>7</v>
      </c>
      <c r="H51" s="18" t="n">
        <f aca="false">SUMIFS(CLIMA_ETo_CHUVA!$G$8:$G$469,CLIMA_ETo_CHUVA!$C$8:$C$469,$B51)</f>
        <v>30.1</v>
      </c>
      <c r="I51" s="18" t="n">
        <f aca="false">SUMIFS(CLIMA_ETo_CHUVA!$K$8:$K$469,CLIMA_ETo_CHUVA!$C$8:$C$469,$B51)</f>
        <v>0.7</v>
      </c>
      <c r="J51" s="18" t="n">
        <f aca="false">SUMIFS(CLIMA_ETo_CHUVA!$N$8:$N$469,CLIMA_ETo_CHUVA!$C$8:$C$469,$B51)</f>
        <v>0.56</v>
      </c>
      <c r="K51" s="16" t="n">
        <f aca="false">$G51*HORAS_OPERACAO_DIA</f>
        <v>147</v>
      </c>
    </row>
    <row r="52" customFormat="false" ht="15" hidden="false" customHeight="false" outlineLevel="0" collapsed="false">
      <c r="B52" s="16" t="n">
        <v>47</v>
      </c>
      <c r="C52" s="17" t="n">
        <f aca="false">DATA_INICIO_SAFRA+($B52-1)*DIAS_POR_SEMANA</f>
        <v>46587</v>
      </c>
      <c r="D52" s="17" t="n">
        <f aca="false">$C52+DIAS_POR_SEMANA-1</f>
        <v>46593</v>
      </c>
      <c r="E52" s="17" t="n">
        <f aca="false">$C52+INT(DIAS_POR_SEMANA/2)</f>
        <v>46590</v>
      </c>
      <c r="F52" s="8" t="str">
        <f aca="false">TEXT($E52,"mmm/yy")</f>
        <v>Jul/27</v>
      </c>
      <c r="G52" s="16" t="n">
        <f aca="false">COUNTIFS(CLIMA_ETo_CHUVA!$C$8:$C$469,$B52)</f>
        <v>7</v>
      </c>
      <c r="H52" s="18" t="n">
        <f aca="false">SUMIFS(CLIMA_ETo_CHUVA!$G$8:$G$469,CLIMA_ETo_CHUVA!$C$8:$C$469,$B52)</f>
        <v>30.1</v>
      </c>
      <c r="I52" s="18" t="n">
        <f aca="false">SUMIFS(CLIMA_ETo_CHUVA!$K$8:$K$469,CLIMA_ETo_CHUVA!$C$8:$C$469,$B52)</f>
        <v>0.7</v>
      </c>
      <c r="J52" s="18" t="n">
        <f aca="false">SUMIFS(CLIMA_ETo_CHUVA!$N$8:$N$469,CLIMA_ETo_CHUVA!$C$8:$C$469,$B52)</f>
        <v>0.56</v>
      </c>
      <c r="K52" s="16" t="n">
        <f aca="false">$G52*HORAS_OPERACAO_DIA</f>
        <v>147</v>
      </c>
    </row>
    <row r="53" customFormat="false" ht="15" hidden="false" customHeight="false" outlineLevel="0" collapsed="false">
      <c r="B53" s="16" t="n">
        <v>48</v>
      </c>
      <c r="C53" s="17" t="n">
        <f aca="false">DATA_INICIO_SAFRA+($B53-1)*DIAS_POR_SEMANA</f>
        <v>46594</v>
      </c>
      <c r="D53" s="17" t="n">
        <f aca="false">$C53+DIAS_POR_SEMANA-1</f>
        <v>46600</v>
      </c>
      <c r="E53" s="17" t="n">
        <f aca="false">$C53+INT(DIAS_POR_SEMANA/2)</f>
        <v>46597</v>
      </c>
      <c r="F53" s="8" t="str">
        <f aca="false">TEXT($E53,"mmm/yy")</f>
        <v>Jul/27</v>
      </c>
      <c r="G53" s="16" t="n">
        <f aca="false">COUNTIFS(CLIMA_ETo_CHUVA!$C$8:$C$469,$B53)</f>
        <v>7</v>
      </c>
      <c r="H53" s="18" t="n">
        <f aca="false">SUMIFS(CLIMA_ETo_CHUVA!$G$8:$G$469,CLIMA_ETo_CHUVA!$C$8:$C$469,$B53)</f>
        <v>31</v>
      </c>
      <c r="I53" s="18" t="n">
        <f aca="false">SUMIFS(CLIMA_ETo_CHUVA!$K$8:$K$469,CLIMA_ETo_CHUVA!$C$8:$C$469,$B53)</f>
        <v>0.76</v>
      </c>
      <c r="J53" s="18" t="n">
        <f aca="false">SUMIFS(CLIMA_ETo_CHUVA!$N$8:$N$469,CLIMA_ETo_CHUVA!$C$8:$C$469,$B53)</f>
        <v>0.608</v>
      </c>
      <c r="K53" s="16" t="n">
        <f aca="false">$G53*HORAS_OPERACAO_DIA</f>
        <v>147</v>
      </c>
    </row>
    <row r="54" customFormat="false" ht="15" hidden="false" customHeight="false" outlineLevel="0" collapsed="false">
      <c r="B54" s="16" t="n">
        <v>49</v>
      </c>
      <c r="C54" s="17" t="n">
        <f aca="false">DATA_INICIO_SAFRA+($B54-1)*DIAS_POR_SEMANA</f>
        <v>46601</v>
      </c>
      <c r="D54" s="17" t="n">
        <f aca="false">$C54+DIAS_POR_SEMANA-1</f>
        <v>46607</v>
      </c>
      <c r="E54" s="17" t="n">
        <f aca="false">$C54+INT(DIAS_POR_SEMANA/2)</f>
        <v>46604</v>
      </c>
      <c r="F54" s="8" t="str">
        <f aca="false">TEXT($E54,"mmm/yy")</f>
        <v>Aug/27</v>
      </c>
      <c r="G54" s="16" t="n">
        <f aca="false">COUNTIFS(CLIMA_ETo_CHUVA!$C$8:$C$469,$B54)</f>
        <v>7</v>
      </c>
      <c r="H54" s="18" t="n">
        <f aca="false">SUMIFS(CLIMA_ETo_CHUVA!$G$8:$G$469,CLIMA_ETo_CHUVA!$C$8:$C$469,$B54)</f>
        <v>36.4</v>
      </c>
      <c r="I54" s="18" t="n">
        <f aca="false">SUMIFS(CLIMA_ETo_CHUVA!$K$8:$K$469,CLIMA_ETo_CHUVA!$C$8:$C$469,$B54)</f>
        <v>1.12</v>
      </c>
      <c r="J54" s="18" t="n">
        <f aca="false">SUMIFS(CLIMA_ETo_CHUVA!$N$8:$N$469,CLIMA_ETo_CHUVA!$C$8:$C$469,$B54)</f>
        <v>0.896</v>
      </c>
      <c r="K54" s="16" t="n">
        <f aca="false">$G54*HORAS_OPERACAO_DIA</f>
        <v>147</v>
      </c>
    </row>
    <row r="55" customFormat="false" ht="15" hidden="false" customHeight="false" outlineLevel="0" collapsed="false">
      <c r="B55" s="16" t="n">
        <v>50</v>
      </c>
      <c r="C55" s="17" t="n">
        <f aca="false">DATA_INICIO_SAFRA+($B55-1)*DIAS_POR_SEMANA</f>
        <v>46608</v>
      </c>
      <c r="D55" s="17" t="n">
        <f aca="false">$C55+DIAS_POR_SEMANA-1</f>
        <v>46614</v>
      </c>
      <c r="E55" s="17" t="n">
        <f aca="false">$C55+INT(DIAS_POR_SEMANA/2)</f>
        <v>46611</v>
      </c>
      <c r="F55" s="8" t="str">
        <f aca="false">TEXT($E55,"mmm/yy")</f>
        <v>Aug/27</v>
      </c>
      <c r="G55" s="16" t="n">
        <f aca="false">COUNTIFS(CLIMA_ETo_CHUVA!$C$8:$C$469,$B55)</f>
        <v>7</v>
      </c>
      <c r="H55" s="18" t="n">
        <f aca="false">SUMIFS(CLIMA_ETo_CHUVA!$G$8:$G$469,CLIMA_ETo_CHUVA!$C$8:$C$469,$B55)</f>
        <v>36.4</v>
      </c>
      <c r="I55" s="18" t="n">
        <f aca="false">SUMIFS(CLIMA_ETo_CHUVA!$K$8:$K$469,CLIMA_ETo_CHUVA!$C$8:$C$469,$B55)</f>
        <v>1.12</v>
      </c>
      <c r="J55" s="18" t="n">
        <f aca="false">SUMIFS(CLIMA_ETo_CHUVA!$N$8:$N$469,CLIMA_ETo_CHUVA!$C$8:$C$469,$B55)</f>
        <v>0.896</v>
      </c>
      <c r="K55" s="16" t="n">
        <f aca="false">$G55*HORAS_OPERACAO_DIA</f>
        <v>147</v>
      </c>
    </row>
    <row r="56" customFormat="false" ht="15" hidden="false" customHeight="false" outlineLevel="0" collapsed="false">
      <c r="B56" s="16" t="n">
        <v>51</v>
      </c>
      <c r="C56" s="17" t="n">
        <f aca="false">DATA_INICIO_SAFRA+($B56-1)*DIAS_POR_SEMANA</f>
        <v>46615</v>
      </c>
      <c r="D56" s="17" t="n">
        <f aca="false">$C56+DIAS_POR_SEMANA-1</f>
        <v>46621</v>
      </c>
      <c r="E56" s="17" t="n">
        <f aca="false">$C56+INT(DIAS_POR_SEMANA/2)</f>
        <v>46618</v>
      </c>
      <c r="F56" s="8" t="str">
        <f aca="false">TEXT($E56,"mmm/yy")</f>
        <v>Aug/27</v>
      </c>
      <c r="G56" s="16" t="n">
        <f aca="false">COUNTIFS(CLIMA_ETo_CHUVA!$C$8:$C$469,$B56)</f>
        <v>7</v>
      </c>
      <c r="H56" s="18" t="n">
        <f aca="false">SUMIFS(CLIMA_ETo_CHUVA!$G$8:$G$469,CLIMA_ETo_CHUVA!$C$8:$C$469,$B56)</f>
        <v>36.4</v>
      </c>
      <c r="I56" s="18" t="n">
        <f aca="false">SUMIFS(CLIMA_ETo_CHUVA!$K$8:$K$469,CLIMA_ETo_CHUVA!$C$8:$C$469,$B56)</f>
        <v>1.12</v>
      </c>
      <c r="J56" s="18" t="n">
        <f aca="false">SUMIFS(CLIMA_ETo_CHUVA!$N$8:$N$469,CLIMA_ETo_CHUVA!$C$8:$C$469,$B56)</f>
        <v>0.896</v>
      </c>
      <c r="K56" s="16" t="n">
        <f aca="false">$G56*HORAS_OPERACAO_DIA</f>
        <v>147</v>
      </c>
    </row>
    <row r="57" customFormat="false" ht="15" hidden="false" customHeight="false" outlineLevel="0" collapsed="false">
      <c r="B57" s="16" t="n">
        <v>52</v>
      </c>
      <c r="C57" s="17" t="n">
        <f aca="false">DATA_INICIO_SAFRA+($B57-1)*DIAS_POR_SEMANA</f>
        <v>46622</v>
      </c>
      <c r="D57" s="17" t="n">
        <f aca="false">$C57+DIAS_POR_SEMANA-1</f>
        <v>46628</v>
      </c>
      <c r="E57" s="17" t="n">
        <f aca="false">$C57+INT(DIAS_POR_SEMANA/2)</f>
        <v>46625</v>
      </c>
      <c r="F57" s="8" t="str">
        <f aca="false">TEXT($E57,"mmm/yy")</f>
        <v>Aug/27</v>
      </c>
      <c r="G57" s="16" t="n">
        <f aca="false">COUNTIFS(CLIMA_ETo_CHUVA!$C$8:$C$469,$B57)</f>
        <v>7</v>
      </c>
      <c r="H57" s="18" t="n">
        <f aca="false">SUMIFS(CLIMA_ETo_CHUVA!$G$8:$G$469,CLIMA_ETo_CHUVA!$C$8:$C$469,$B57)</f>
        <v>36.4</v>
      </c>
      <c r="I57" s="18" t="n">
        <f aca="false">SUMIFS(CLIMA_ETo_CHUVA!$K$8:$K$469,CLIMA_ETo_CHUVA!$C$8:$C$469,$B57)</f>
        <v>1.12</v>
      </c>
      <c r="J57" s="18" t="n">
        <f aca="false">SUMIFS(CLIMA_ETo_CHUVA!$N$8:$N$469,CLIMA_ETo_CHUVA!$C$8:$C$469,$B57)</f>
        <v>0.896</v>
      </c>
      <c r="K57" s="16" t="n">
        <f aca="false">$G57*HORAS_OPERACAO_DIA</f>
        <v>147</v>
      </c>
    </row>
    <row r="58" customFormat="false" ht="15" hidden="false" customHeight="false" outlineLevel="0" collapsed="false">
      <c r="B58" s="16" t="n">
        <v>53</v>
      </c>
      <c r="C58" s="17" t="n">
        <f aca="false">DATA_INICIO_SAFRA+($B58-1)*DIAS_POR_SEMANA</f>
        <v>46629</v>
      </c>
      <c r="D58" s="17" t="n">
        <f aca="false">$C58+DIAS_POR_SEMANA-1</f>
        <v>46635</v>
      </c>
      <c r="E58" s="17" t="n">
        <f aca="false">$C58+INT(DIAS_POR_SEMANA/2)</f>
        <v>46632</v>
      </c>
      <c r="F58" s="8" t="str">
        <f aca="false">TEXT($E58,"mmm/yy")</f>
        <v>Sep/27</v>
      </c>
      <c r="G58" s="16" t="n">
        <f aca="false">COUNTIFS(CLIMA_ETo_CHUVA!$C$8:$C$469,$B58)</f>
        <v>7</v>
      </c>
      <c r="H58" s="18" t="n">
        <f aca="false">SUMIFS(CLIMA_ETo_CHUVA!$G$8:$G$469,CLIMA_ETo_CHUVA!$C$8:$C$469,$B58)</f>
        <v>39.4</v>
      </c>
      <c r="I58" s="18" t="n">
        <f aca="false">SUMIFS(CLIMA_ETo_CHUVA!$K$8:$K$469,CLIMA_ETo_CHUVA!$C$8:$C$469,$B58)</f>
        <v>5.32</v>
      </c>
      <c r="J58" s="18" t="n">
        <f aca="false">SUMIFS(CLIMA_ETo_CHUVA!$N$8:$N$469,CLIMA_ETo_CHUVA!$C$8:$C$469,$B58)</f>
        <v>4.256</v>
      </c>
      <c r="K58" s="16" t="n">
        <f aca="false">$G58*HORAS_OPERACAO_DIA</f>
        <v>147</v>
      </c>
    </row>
    <row r="59" customFormat="false" ht="15" hidden="false" customHeight="false" outlineLevel="0" collapsed="false">
      <c r="B59" s="16" t="n">
        <v>54</v>
      </c>
      <c r="C59" s="17" t="n">
        <f aca="false">DATA_INICIO_SAFRA+($B59-1)*DIAS_POR_SEMANA</f>
        <v>46636</v>
      </c>
      <c r="D59" s="17" t="n">
        <f aca="false">$C59+DIAS_POR_SEMANA-1</f>
        <v>46642</v>
      </c>
      <c r="E59" s="17" t="n">
        <f aca="false">$C59+INT(DIAS_POR_SEMANA/2)</f>
        <v>46639</v>
      </c>
      <c r="F59" s="8" t="str">
        <f aca="false">TEXT($E59,"mmm/yy")</f>
        <v>Sep/27</v>
      </c>
      <c r="G59" s="16" t="n">
        <f aca="false">COUNTIFS(CLIMA_ETo_CHUVA!$C$8:$C$469,$B59)</f>
        <v>7</v>
      </c>
      <c r="H59" s="18" t="n">
        <f aca="false">SUMIFS(CLIMA_ETo_CHUVA!$G$8:$G$469,CLIMA_ETo_CHUVA!$C$8:$C$469,$B59)</f>
        <v>40.6</v>
      </c>
      <c r="I59" s="18" t="n">
        <f aca="false">SUMIFS(CLIMA_ETo_CHUVA!$K$8:$K$469,CLIMA_ETo_CHUVA!$C$8:$C$469,$B59)</f>
        <v>7</v>
      </c>
      <c r="J59" s="18" t="n">
        <f aca="false">SUMIFS(CLIMA_ETo_CHUVA!$N$8:$N$469,CLIMA_ETo_CHUVA!$C$8:$C$469,$B59)</f>
        <v>5.6</v>
      </c>
      <c r="K59" s="16" t="n">
        <f aca="false">$G59*HORAS_OPERACAO_DIA</f>
        <v>147</v>
      </c>
    </row>
    <row r="60" customFormat="false" ht="15" hidden="false" customHeight="false" outlineLevel="0" collapsed="false">
      <c r="B60" s="16" t="n">
        <v>55</v>
      </c>
      <c r="C60" s="17" t="n">
        <f aca="false">DATA_INICIO_SAFRA+($B60-1)*DIAS_POR_SEMANA</f>
        <v>46643</v>
      </c>
      <c r="D60" s="17" t="n">
        <f aca="false">$C60+DIAS_POR_SEMANA-1</f>
        <v>46649</v>
      </c>
      <c r="E60" s="17" t="n">
        <f aca="false">$C60+INT(DIAS_POR_SEMANA/2)</f>
        <v>46646</v>
      </c>
      <c r="F60" s="8" t="str">
        <f aca="false">TEXT($E60,"mmm/yy")</f>
        <v>Sep/27</v>
      </c>
      <c r="G60" s="16" t="n">
        <f aca="false">COUNTIFS(CLIMA_ETo_CHUVA!$C$8:$C$469,$B60)</f>
        <v>7</v>
      </c>
      <c r="H60" s="18" t="n">
        <f aca="false">SUMIFS(CLIMA_ETo_CHUVA!$G$8:$G$469,CLIMA_ETo_CHUVA!$C$8:$C$469,$B60)</f>
        <v>40.6</v>
      </c>
      <c r="I60" s="18" t="n">
        <f aca="false">SUMIFS(CLIMA_ETo_CHUVA!$K$8:$K$469,CLIMA_ETo_CHUVA!$C$8:$C$469,$B60)</f>
        <v>7</v>
      </c>
      <c r="J60" s="18" t="n">
        <f aca="false">SUMIFS(CLIMA_ETo_CHUVA!$N$8:$N$469,CLIMA_ETo_CHUVA!$C$8:$C$469,$B60)</f>
        <v>5.6</v>
      </c>
      <c r="K60" s="16" t="n">
        <f aca="false">$G60*HORAS_OPERACAO_DIA</f>
        <v>147</v>
      </c>
    </row>
    <row r="61" customFormat="false" ht="15" hidden="false" customHeight="false" outlineLevel="0" collapsed="false">
      <c r="B61" s="16" t="n">
        <v>56</v>
      </c>
      <c r="C61" s="17" t="n">
        <f aca="false">DATA_INICIO_SAFRA+($B61-1)*DIAS_POR_SEMANA</f>
        <v>46650</v>
      </c>
      <c r="D61" s="17" t="n">
        <f aca="false">$C61+DIAS_POR_SEMANA-1</f>
        <v>46656</v>
      </c>
      <c r="E61" s="17" t="n">
        <f aca="false">$C61+INT(DIAS_POR_SEMANA/2)</f>
        <v>46653</v>
      </c>
      <c r="F61" s="8" t="str">
        <f aca="false">TEXT($E61,"mmm/yy")</f>
        <v>Sep/27</v>
      </c>
      <c r="G61" s="16" t="n">
        <f aca="false">COUNTIFS(CLIMA_ETo_CHUVA!$C$8:$C$469,$B61)</f>
        <v>7</v>
      </c>
      <c r="H61" s="18" t="n">
        <f aca="false">SUMIFS(CLIMA_ETo_CHUVA!$G$8:$G$469,CLIMA_ETo_CHUVA!$C$8:$C$469,$B61)</f>
        <v>40.6</v>
      </c>
      <c r="I61" s="18" t="n">
        <f aca="false">SUMIFS(CLIMA_ETo_CHUVA!$K$8:$K$469,CLIMA_ETo_CHUVA!$C$8:$C$469,$B61)</f>
        <v>7</v>
      </c>
      <c r="J61" s="18" t="n">
        <f aca="false">SUMIFS(CLIMA_ETo_CHUVA!$N$8:$N$469,CLIMA_ETo_CHUVA!$C$8:$C$469,$B61)</f>
        <v>5.6</v>
      </c>
      <c r="K61" s="16" t="n">
        <f aca="false">$G61*HORAS_OPERACAO_DIA</f>
        <v>147</v>
      </c>
    </row>
    <row r="62" customFormat="false" ht="15" hidden="false" customHeight="false" outlineLevel="0" collapsed="false">
      <c r="B62" s="16" t="n">
        <v>57</v>
      </c>
      <c r="C62" s="17" t="n">
        <f aca="false">DATA_INICIO_SAFRA+($B62-1)*DIAS_POR_SEMANA</f>
        <v>46657</v>
      </c>
      <c r="D62" s="17" t="n">
        <f aca="false">$C62+DIAS_POR_SEMANA-1</f>
        <v>46663</v>
      </c>
      <c r="E62" s="17" t="n">
        <f aca="false">$C62+INT(DIAS_POR_SEMANA/2)</f>
        <v>46660</v>
      </c>
      <c r="F62" s="8" t="str">
        <f aca="false">TEXT($E62,"mmm/yy")</f>
        <v>Sep/27</v>
      </c>
      <c r="G62" s="16" t="n">
        <f aca="false">COUNTIFS(CLIMA_ETo_CHUVA!$C$8:$C$469,$B62)</f>
        <v>7</v>
      </c>
      <c r="H62" s="18" t="n">
        <f aca="false">SUMIFS(CLIMA_ETo_CHUVA!$G$8:$G$469,CLIMA_ETo_CHUVA!$C$8:$C$469,$B62)</f>
        <v>40</v>
      </c>
      <c r="I62" s="18" t="n">
        <f aca="false">SUMIFS(CLIMA_ETo_CHUVA!$K$8:$K$469,CLIMA_ETo_CHUVA!$C$8:$C$469,$B62)</f>
        <v>15.61</v>
      </c>
      <c r="J62" s="18" t="n">
        <f aca="false">SUMIFS(CLIMA_ETo_CHUVA!$N$8:$N$469,CLIMA_ETo_CHUVA!$C$8:$C$469,$B62)</f>
        <v>12.488</v>
      </c>
      <c r="K62" s="16" t="n">
        <f aca="false">$G62*HORAS_OPERACAO_DIA</f>
        <v>147</v>
      </c>
    </row>
    <row r="63" customFormat="false" ht="15" hidden="false" customHeight="false" outlineLevel="0" collapsed="false">
      <c r="B63" s="16" t="n">
        <v>58</v>
      </c>
      <c r="C63" s="17" t="n">
        <f aca="false">DATA_INICIO_SAFRA+($B63-1)*DIAS_POR_SEMANA</f>
        <v>46664</v>
      </c>
      <c r="D63" s="17" t="n">
        <f aca="false">$C63+DIAS_POR_SEMANA-1</f>
        <v>46670</v>
      </c>
      <c r="E63" s="17" t="n">
        <f aca="false">$C63+INT(DIAS_POR_SEMANA/2)</f>
        <v>46667</v>
      </c>
      <c r="F63" s="8" t="str">
        <f aca="false">TEXT($E63,"mmm/yy")</f>
        <v>Oct/27</v>
      </c>
      <c r="G63" s="16" t="n">
        <f aca="false">COUNTIFS(CLIMA_ETo_CHUVA!$C$8:$C$469,$B63)</f>
        <v>7</v>
      </c>
      <c r="H63" s="18" t="n">
        <f aca="false">SUMIFS(CLIMA_ETo_CHUVA!$G$8:$G$469,CLIMA_ETo_CHUVA!$C$8:$C$469,$B63)</f>
        <v>39.2</v>
      </c>
      <c r="I63" s="18" t="n">
        <f aca="false">SUMIFS(CLIMA_ETo_CHUVA!$K$8:$K$469,CLIMA_ETo_CHUVA!$C$8:$C$469,$B63)</f>
        <v>27.09</v>
      </c>
      <c r="J63" s="18" t="n">
        <f aca="false">SUMIFS(CLIMA_ETo_CHUVA!$N$8:$N$469,CLIMA_ETo_CHUVA!$C$8:$C$469,$B63)</f>
        <v>21.672</v>
      </c>
      <c r="K63" s="16" t="n">
        <f aca="false">$G63*HORAS_OPERACAO_DIA</f>
        <v>147</v>
      </c>
    </row>
    <row r="64" customFormat="false" ht="15" hidden="false" customHeight="false" outlineLevel="0" collapsed="false">
      <c r="B64" s="16" t="n">
        <v>59</v>
      </c>
      <c r="C64" s="17" t="n">
        <f aca="false">DATA_INICIO_SAFRA+($B64-1)*DIAS_POR_SEMANA</f>
        <v>46671</v>
      </c>
      <c r="D64" s="17" t="n">
        <f aca="false">$C64+DIAS_POR_SEMANA-1</f>
        <v>46677</v>
      </c>
      <c r="E64" s="17" t="n">
        <f aca="false">$C64+INT(DIAS_POR_SEMANA/2)</f>
        <v>46674</v>
      </c>
      <c r="F64" s="8" t="str">
        <f aca="false">TEXT($E64,"mmm/yy")</f>
        <v>Oct/27</v>
      </c>
      <c r="G64" s="16" t="n">
        <f aca="false">COUNTIFS(CLIMA_ETo_CHUVA!$C$8:$C$469,$B64)</f>
        <v>7</v>
      </c>
      <c r="H64" s="18" t="n">
        <f aca="false">SUMIFS(CLIMA_ETo_CHUVA!$G$8:$G$469,CLIMA_ETo_CHUVA!$C$8:$C$469,$B64)</f>
        <v>39.2</v>
      </c>
      <c r="I64" s="18" t="n">
        <f aca="false">SUMIFS(CLIMA_ETo_CHUVA!$K$8:$K$469,CLIMA_ETo_CHUVA!$C$8:$C$469,$B64)</f>
        <v>27.09</v>
      </c>
      <c r="J64" s="18" t="n">
        <f aca="false">SUMIFS(CLIMA_ETo_CHUVA!$N$8:$N$469,CLIMA_ETo_CHUVA!$C$8:$C$469,$B64)</f>
        <v>21.672</v>
      </c>
      <c r="K64" s="16" t="n">
        <f aca="false">$G64*HORAS_OPERACAO_DIA</f>
        <v>147</v>
      </c>
    </row>
    <row r="65" customFormat="false" ht="15" hidden="false" customHeight="false" outlineLevel="0" collapsed="false">
      <c r="B65" s="16" t="n">
        <v>60</v>
      </c>
      <c r="C65" s="17" t="n">
        <f aca="false">DATA_INICIO_SAFRA+($B65-1)*DIAS_POR_SEMANA</f>
        <v>46678</v>
      </c>
      <c r="D65" s="17" t="n">
        <f aca="false">$C65+DIAS_POR_SEMANA-1</f>
        <v>46684</v>
      </c>
      <c r="E65" s="17" t="n">
        <f aca="false">$C65+INT(DIAS_POR_SEMANA/2)</f>
        <v>46681</v>
      </c>
      <c r="F65" s="8" t="str">
        <f aca="false">TEXT($E65,"mmm/yy")</f>
        <v>Oct/27</v>
      </c>
      <c r="G65" s="16" t="n">
        <f aca="false">COUNTIFS(CLIMA_ETo_CHUVA!$C$8:$C$469,$B65)</f>
        <v>7</v>
      </c>
      <c r="H65" s="18" t="n">
        <f aca="false">SUMIFS(CLIMA_ETo_CHUVA!$G$8:$G$469,CLIMA_ETo_CHUVA!$C$8:$C$469,$B65)</f>
        <v>39.2</v>
      </c>
      <c r="I65" s="18" t="n">
        <f aca="false">SUMIFS(CLIMA_ETo_CHUVA!$K$8:$K$469,CLIMA_ETo_CHUVA!$C$8:$C$469,$B65)</f>
        <v>27.09</v>
      </c>
      <c r="J65" s="18" t="n">
        <f aca="false">SUMIFS(CLIMA_ETo_CHUVA!$N$8:$N$469,CLIMA_ETo_CHUVA!$C$8:$C$469,$B65)</f>
        <v>21.672</v>
      </c>
      <c r="K65" s="16" t="n">
        <f aca="false">$G65*HORAS_OPERACAO_DIA</f>
        <v>147</v>
      </c>
    </row>
    <row r="66" customFormat="false" ht="15" hidden="false" customHeight="false" outlineLevel="0" collapsed="false">
      <c r="B66" s="16" t="n">
        <v>61</v>
      </c>
      <c r="C66" s="17" t="n">
        <f aca="false">DATA_INICIO_SAFRA+($B66-1)*DIAS_POR_SEMANA</f>
        <v>46685</v>
      </c>
      <c r="D66" s="17" t="n">
        <f aca="false">$C66+DIAS_POR_SEMANA-1</f>
        <v>46691</v>
      </c>
      <c r="E66" s="17" t="n">
        <f aca="false">$C66+INT(DIAS_POR_SEMANA/2)</f>
        <v>46688</v>
      </c>
      <c r="F66" s="8" t="str">
        <f aca="false">TEXT($E66,"mmm/yy")</f>
        <v>Oct/27</v>
      </c>
      <c r="G66" s="16" t="n">
        <f aca="false">COUNTIFS(CLIMA_ETo_CHUVA!$C$8:$C$469,$B66)</f>
        <v>7</v>
      </c>
      <c r="H66" s="18" t="n">
        <f aca="false">SUMIFS(CLIMA_ETo_CHUVA!$G$8:$G$469,CLIMA_ETo_CHUVA!$C$8:$C$469,$B66)</f>
        <v>39.2</v>
      </c>
      <c r="I66" s="18" t="n">
        <f aca="false">SUMIFS(CLIMA_ETo_CHUVA!$K$8:$K$469,CLIMA_ETo_CHUVA!$C$8:$C$469,$B66)</f>
        <v>27.09</v>
      </c>
      <c r="J66" s="18" t="n">
        <f aca="false">SUMIFS(CLIMA_ETo_CHUVA!$N$8:$N$469,CLIMA_ETo_CHUVA!$C$8:$C$469,$B66)</f>
        <v>21.672</v>
      </c>
      <c r="K66" s="16" t="n">
        <f aca="false">$G66*HORAS_OPERACAO_DIA</f>
        <v>147</v>
      </c>
    </row>
    <row r="67" customFormat="false" ht="15" hidden="false" customHeight="false" outlineLevel="0" collapsed="false">
      <c r="B67" s="16" t="n">
        <v>62</v>
      </c>
      <c r="C67" s="17" t="n">
        <f aca="false">DATA_INICIO_SAFRA+($B67-1)*DIAS_POR_SEMANA</f>
        <v>46692</v>
      </c>
      <c r="D67" s="17" t="n">
        <f aca="false">$C67+DIAS_POR_SEMANA-1</f>
        <v>46698</v>
      </c>
      <c r="E67" s="17" t="n">
        <f aca="false">$C67+INT(DIAS_POR_SEMANA/2)</f>
        <v>46695</v>
      </c>
      <c r="F67" s="8" t="str">
        <f aca="false">TEXT($E67,"mmm/yy")</f>
        <v>Nov/27</v>
      </c>
      <c r="G67" s="16" t="n">
        <f aca="false">COUNTIFS(CLIMA_ETo_CHUVA!$C$8:$C$469,$B67)</f>
        <v>7</v>
      </c>
      <c r="H67" s="18" t="n">
        <f aca="false">SUMIFS(CLIMA_ETo_CHUVA!$G$8:$G$469,CLIMA_ETo_CHUVA!$C$8:$C$469,$B67)</f>
        <v>34.3</v>
      </c>
      <c r="I67" s="18" t="n">
        <f aca="false">SUMIFS(CLIMA_ETo_CHUVA!$K$8:$K$469,CLIMA_ETo_CHUVA!$C$8:$C$469,$B67)</f>
        <v>46.69</v>
      </c>
      <c r="J67" s="18" t="n">
        <f aca="false">SUMIFS(CLIMA_ETo_CHUVA!$N$8:$N$469,CLIMA_ETo_CHUVA!$C$8:$C$469,$B67)</f>
        <v>37.352</v>
      </c>
      <c r="K67" s="16" t="n">
        <f aca="false">$G67*HORAS_OPERACAO_DIA</f>
        <v>147</v>
      </c>
    </row>
    <row r="68" customFormat="false" ht="15" hidden="false" customHeight="false" outlineLevel="0" collapsed="false">
      <c r="B68" s="16" t="n">
        <v>63</v>
      </c>
      <c r="C68" s="17" t="n">
        <f aca="false">DATA_INICIO_SAFRA+($B68-1)*DIAS_POR_SEMANA</f>
        <v>46699</v>
      </c>
      <c r="D68" s="17" t="n">
        <f aca="false">$C68+DIAS_POR_SEMANA-1</f>
        <v>46705</v>
      </c>
      <c r="E68" s="17" t="n">
        <f aca="false">$C68+INT(DIAS_POR_SEMANA/2)</f>
        <v>46702</v>
      </c>
      <c r="F68" s="8" t="str">
        <f aca="false">TEXT($E68,"mmm/yy")</f>
        <v>Nov/27</v>
      </c>
      <c r="G68" s="16" t="n">
        <f aca="false">COUNTIFS(CLIMA_ETo_CHUVA!$C$8:$C$469,$B68)</f>
        <v>7</v>
      </c>
      <c r="H68" s="18" t="n">
        <f aca="false">SUMIFS(CLIMA_ETo_CHUVA!$G$8:$G$469,CLIMA_ETo_CHUVA!$C$8:$C$469,$B68)</f>
        <v>34.3</v>
      </c>
      <c r="I68" s="18" t="n">
        <f aca="false">SUMIFS(CLIMA_ETo_CHUVA!$K$8:$K$469,CLIMA_ETo_CHUVA!$C$8:$C$469,$B68)</f>
        <v>46.69</v>
      </c>
      <c r="J68" s="18" t="n">
        <f aca="false">SUMIFS(CLIMA_ETo_CHUVA!$N$8:$N$469,CLIMA_ETo_CHUVA!$C$8:$C$469,$B68)</f>
        <v>37.352</v>
      </c>
      <c r="K68" s="16" t="n">
        <f aca="false">$G68*HORAS_OPERACAO_DIA</f>
        <v>147</v>
      </c>
    </row>
    <row r="69" customFormat="false" ht="15" hidden="false" customHeight="false" outlineLevel="0" collapsed="false">
      <c r="B69" s="16" t="n">
        <v>64</v>
      </c>
      <c r="C69" s="17" t="n">
        <f aca="false">DATA_INICIO_SAFRA+($B69-1)*DIAS_POR_SEMANA</f>
        <v>46706</v>
      </c>
      <c r="D69" s="17" t="n">
        <f aca="false">$C69+DIAS_POR_SEMANA-1</f>
        <v>46712</v>
      </c>
      <c r="E69" s="17" t="n">
        <f aca="false">$C69+INT(DIAS_POR_SEMANA/2)</f>
        <v>46709</v>
      </c>
      <c r="F69" s="8" t="str">
        <f aca="false">TEXT($E69,"mmm/yy")</f>
        <v>Nov/27</v>
      </c>
      <c r="G69" s="16" t="n">
        <f aca="false">COUNTIFS(CLIMA_ETo_CHUVA!$C$8:$C$469,$B69)</f>
        <v>7</v>
      </c>
      <c r="H69" s="18" t="n">
        <f aca="false">SUMIFS(CLIMA_ETo_CHUVA!$G$8:$G$469,CLIMA_ETo_CHUVA!$C$8:$C$469,$B69)</f>
        <v>34.3</v>
      </c>
      <c r="I69" s="18" t="n">
        <f aca="false">SUMIFS(CLIMA_ETo_CHUVA!$K$8:$K$469,CLIMA_ETo_CHUVA!$C$8:$C$469,$B69)</f>
        <v>46.69</v>
      </c>
      <c r="J69" s="18" t="n">
        <f aca="false">SUMIFS(CLIMA_ETo_CHUVA!$N$8:$N$469,CLIMA_ETo_CHUVA!$C$8:$C$469,$B69)</f>
        <v>37.352</v>
      </c>
      <c r="K69" s="16" t="n">
        <f aca="false">$G69*HORAS_OPERACAO_DIA</f>
        <v>147</v>
      </c>
    </row>
    <row r="70" customFormat="false" ht="15" hidden="false" customHeight="false" outlineLevel="0" collapsed="false">
      <c r="B70" s="16" t="n">
        <v>65</v>
      </c>
      <c r="C70" s="17" t="n">
        <f aca="false">DATA_INICIO_SAFRA+($B70-1)*DIAS_POR_SEMANA</f>
        <v>46713</v>
      </c>
      <c r="D70" s="17" t="n">
        <f aca="false">$C70+DIAS_POR_SEMANA-1</f>
        <v>46719</v>
      </c>
      <c r="E70" s="17" t="n">
        <f aca="false">$C70+INT(DIAS_POR_SEMANA/2)</f>
        <v>46716</v>
      </c>
      <c r="F70" s="8" t="str">
        <f aca="false">TEXT($E70,"mmm/yy")</f>
        <v>Nov/27</v>
      </c>
      <c r="G70" s="16" t="n">
        <f aca="false">COUNTIFS(CLIMA_ETo_CHUVA!$C$8:$C$469,$B70)</f>
        <v>7</v>
      </c>
      <c r="H70" s="18" t="n">
        <f aca="false">SUMIFS(CLIMA_ETo_CHUVA!$G$8:$G$469,CLIMA_ETo_CHUVA!$C$8:$C$469,$B70)</f>
        <v>34.3</v>
      </c>
      <c r="I70" s="18" t="n">
        <f aca="false">SUMIFS(CLIMA_ETo_CHUVA!$K$8:$K$469,CLIMA_ETo_CHUVA!$C$8:$C$469,$B70)</f>
        <v>46.69</v>
      </c>
      <c r="J70" s="18" t="n">
        <f aca="false">SUMIFS(CLIMA_ETo_CHUVA!$N$8:$N$469,CLIMA_ETo_CHUVA!$C$8:$C$469,$B70)</f>
        <v>37.352</v>
      </c>
      <c r="K70" s="16" t="n">
        <f aca="false">$G70*HORAS_OPERACAO_DIA</f>
        <v>147</v>
      </c>
    </row>
    <row r="71" customFormat="false" ht="15" hidden="false" customHeight="false" outlineLevel="0" collapsed="false">
      <c r="B71" s="16" t="n">
        <v>66</v>
      </c>
      <c r="C71" s="17" t="n">
        <f aca="false">DATA_INICIO_SAFRA+($B71-1)*DIAS_POR_SEMANA</f>
        <v>46720</v>
      </c>
      <c r="D71" s="17" t="n">
        <f aca="false">$C71+DIAS_POR_SEMANA-1</f>
        <v>46726</v>
      </c>
      <c r="E71" s="17" t="n">
        <f aca="false">$C71+INT(DIAS_POR_SEMANA/2)</f>
        <v>46723</v>
      </c>
      <c r="F71" s="8" t="str">
        <f aca="false">TEXT($E71,"mmm/yy")</f>
        <v>Dec/27</v>
      </c>
      <c r="G71" s="16" t="n">
        <f aca="false">COUNTIFS(CLIMA_ETo_CHUVA!$C$8:$C$469,$B71)</f>
        <v>7</v>
      </c>
      <c r="H71" s="18" t="n">
        <f aca="false">SUMIFS(CLIMA_ETo_CHUVA!$G$8:$G$469,CLIMA_ETo_CHUVA!$C$8:$C$469,$B71)</f>
        <v>33.3</v>
      </c>
      <c r="I71" s="18" t="n">
        <f aca="false">SUMIFS(CLIMA_ETo_CHUVA!$K$8:$K$469,CLIMA_ETo_CHUVA!$C$8:$C$469,$B71)</f>
        <v>48.04</v>
      </c>
      <c r="J71" s="18" t="n">
        <f aca="false">SUMIFS(CLIMA_ETo_CHUVA!$N$8:$N$469,CLIMA_ETo_CHUVA!$C$8:$C$469,$B71)</f>
        <v>38.432</v>
      </c>
      <c r="K71" s="16" t="n">
        <f aca="false">$G71*HORAS_OPERACAO_DIA</f>
        <v>147</v>
      </c>
    </row>
  </sheetData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5" min="4" style="0" width="14"/>
    <col collapsed="false" customWidth="true" hidden="false" outlineLevel="0" max="6" min="6" style="0" width="74"/>
    <col collapsed="false" customWidth="true" hidden="false" outlineLevel="0" max="7" min="7" style="0" width="11"/>
  </cols>
  <sheetData>
    <row r="2" customFormat="false" ht="30" hidden="false" customHeight="true" outlineLevel="0" collapsed="false">
      <c r="B2" s="1" t="s">
        <v>531</v>
      </c>
      <c r="C2" s="1"/>
      <c r="D2" s="1"/>
      <c r="E2" s="1"/>
      <c r="F2" s="1"/>
      <c r="G2" s="1"/>
    </row>
    <row r="3" customFormat="false" ht="25.5" hidden="false" customHeight="true" outlineLevel="0" collapsed="false">
      <c r="B3" s="2" t="s">
        <v>532</v>
      </c>
      <c r="C3" s="2"/>
      <c r="D3" s="2"/>
      <c r="E3" s="2"/>
      <c r="F3" s="2"/>
      <c r="G3" s="2"/>
    </row>
    <row r="5" customFormat="false" ht="30" hidden="false" customHeight="true" outlineLevel="0" collapsed="false">
      <c r="B5" s="14" t="s">
        <v>533</v>
      </c>
      <c r="C5" s="14" t="s">
        <v>534</v>
      </c>
      <c r="D5" s="14" t="s">
        <v>535</v>
      </c>
      <c r="E5" s="14" t="s">
        <v>536</v>
      </c>
      <c r="F5" s="14" t="s">
        <v>537</v>
      </c>
      <c r="G5" s="14" t="s">
        <v>538</v>
      </c>
    </row>
    <row r="6" customFormat="false" ht="15" hidden="false" customHeight="false" outlineLevel="0" collapsed="false">
      <c r="B6" s="15" t="s">
        <v>539</v>
      </c>
      <c r="C6" s="8" t="s">
        <v>540</v>
      </c>
      <c r="D6" s="26" t="n">
        <v>21</v>
      </c>
      <c r="E6" s="8" t="s">
        <v>541</v>
      </c>
      <c r="F6" s="8" t="s">
        <v>542</v>
      </c>
      <c r="G6" s="8" t="s">
        <v>543</v>
      </c>
    </row>
    <row r="7" customFormat="false" ht="15" hidden="false" customHeight="false" outlineLevel="0" collapsed="false">
      <c r="B7" s="15" t="s">
        <v>544</v>
      </c>
      <c r="C7" s="8" t="s">
        <v>545</v>
      </c>
      <c r="D7" s="16" t="n">
        <f aca="false">HORAS_OPERACAO_DIA*DIAS_POR_SEMANA</f>
        <v>147</v>
      </c>
      <c r="E7" s="8" t="s">
        <v>546</v>
      </c>
      <c r="F7" s="8" t="s">
        <v>547</v>
      </c>
      <c r="G7" s="8" t="s">
        <v>548</v>
      </c>
    </row>
    <row r="8" customFormat="false" ht="15" hidden="false" customHeight="false" outlineLevel="0" collapsed="false">
      <c r="B8" s="15" t="s">
        <v>549</v>
      </c>
      <c r="C8" s="8" t="s">
        <v>550</v>
      </c>
      <c r="D8" s="26" t="n">
        <v>7</v>
      </c>
      <c r="E8" s="8" t="s">
        <v>551</v>
      </c>
      <c r="F8" s="8" t="s">
        <v>552</v>
      </c>
      <c r="G8" s="8" t="s">
        <v>543</v>
      </c>
    </row>
    <row r="9" customFormat="false" ht="15" hidden="false" customHeight="false" outlineLevel="0" collapsed="false">
      <c r="B9" s="15" t="s">
        <v>553</v>
      </c>
      <c r="C9" s="8" t="s">
        <v>554</v>
      </c>
      <c r="D9" s="26" t="n">
        <v>18</v>
      </c>
      <c r="E9" s="8" t="s">
        <v>541</v>
      </c>
      <c r="F9" s="8" t="s">
        <v>555</v>
      </c>
      <c r="G9" s="8" t="s">
        <v>543</v>
      </c>
    </row>
    <row r="10" customFormat="false" ht="15" hidden="false" customHeight="false" outlineLevel="0" collapsed="false">
      <c r="B10" s="15" t="s">
        <v>556</v>
      </c>
      <c r="C10" s="8" t="s">
        <v>557</v>
      </c>
      <c r="D10" s="20" t="n">
        <v>10</v>
      </c>
      <c r="E10" s="8" t="s">
        <v>558</v>
      </c>
      <c r="F10" s="8" t="s">
        <v>559</v>
      </c>
      <c r="G10" s="8" t="s">
        <v>548</v>
      </c>
    </row>
    <row r="11" customFormat="false" ht="15" hidden="false" customHeight="false" outlineLevel="0" collapsed="false">
      <c r="B11" s="15" t="s">
        <v>560</v>
      </c>
      <c r="C11" s="8" t="s">
        <v>561</v>
      </c>
      <c r="D11" s="28" t="n">
        <v>0.85</v>
      </c>
      <c r="E11" s="8" t="s">
        <v>562</v>
      </c>
      <c r="F11" s="31" t="s">
        <v>563</v>
      </c>
      <c r="G11" s="8" t="s">
        <v>543</v>
      </c>
    </row>
    <row r="12" customFormat="false" ht="15" hidden="false" customHeight="false" outlineLevel="0" collapsed="false">
      <c r="B12" s="15" t="s">
        <v>564</v>
      </c>
      <c r="C12" s="8" t="s">
        <v>565</v>
      </c>
      <c r="D12" s="28" t="n">
        <v>0.8</v>
      </c>
      <c r="E12" s="8" t="s">
        <v>562</v>
      </c>
      <c r="F12" s="31" t="s">
        <v>566</v>
      </c>
      <c r="G12" s="8" t="s">
        <v>543</v>
      </c>
    </row>
    <row r="13" customFormat="false" ht="15" hidden="false" customHeight="false" outlineLevel="0" collapsed="false">
      <c r="B13" s="15" t="s">
        <v>567</v>
      </c>
      <c r="C13" s="8" t="s">
        <v>568</v>
      </c>
      <c r="D13" s="26" t="n">
        <v>25</v>
      </c>
      <c r="E13" s="8" t="s">
        <v>569</v>
      </c>
      <c r="F13" s="31" t="s">
        <v>570</v>
      </c>
      <c r="G13" s="8" t="s">
        <v>543</v>
      </c>
    </row>
    <row r="14" customFormat="false" ht="15" hidden="false" customHeight="false" outlineLevel="0" collapsed="false">
      <c r="B14" s="15" t="s">
        <v>571</v>
      </c>
      <c r="C14" s="8" t="s">
        <v>572</v>
      </c>
      <c r="D14" s="21" t="s">
        <v>573</v>
      </c>
      <c r="E14" s="8" t="s">
        <v>574</v>
      </c>
      <c r="F14" s="8" t="s">
        <v>575</v>
      </c>
      <c r="G14" s="8" t="s">
        <v>543</v>
      </c>
    </row>
    <row r="15" customFormat="false" ht="15" hidden="false" customHeight="false" outlineLevel="0" collapsed="false">
      <c r="B15" s="15" t="s">
        <v>576</v>
      </c>
      <c r="C15" s="8" t="s">
        <v>577</v>
      </c>
      <c r="D15" s="28" t="n">
        <v>0.8</v>
      </c>
      <c r="E15" s="8" t="s">
        <v>562</v>
      </c>
      <c r="F15" s="8" t="s">
        <v>578</v>
      </c>
      <c r="G15" s="8" t="s">
        <v>543</v>
      </c>
    </row>
    <row r="16" customFormat="false" ht="15" hidden="false" customHeight="false" outlineLevel="0" collapsed="false">
      <c r="B16" s="15" t="s">
        <v>579</v>
      </c>
      <c r="C16" s="8" t="s">
        <v>580</v>
      </c>
      <c r="D16" s="28" t="n">
        <v>0.9</v>
      </c>
      <c r="E16" s="8" t="s">
        <v>562</v>
      </c>
      <c r="F16" s="8" t="s">
        <v>578</v>
      </c>
      <c r="G16" s="8" t="s">
        <v>543</v>
      </c>
    </row>
    <row r="17" customFormat="false" ht="15" hidden="false" customHeight="false" outlineLevel="0" collapsed="false">
      <c r="B17" s="15" t="s">
        <v>581</v>
      </c>
      <c r="C17" s="8" t="s">
        <v>582</v>
      </c>
      <c r="D17" s="28" t="n">
        <v>1</v>
      </c>
      <c r="E17" s="8" t="s">
        <v>562</v>
      </c>
      <c r="F17" s="8" t="s">
        <v>583</v>
      </c>
      <c r="G17" s="8" t="s">
        <v>543</v>
      </c>
    </row>
    <row r="19" customFormat="false" ht="15" hidden="false" customHeight="false" outlineLevel="0" collapsed="false">
      <c r="B19" s="3" t="s">
        <v>584</v>
      </c>
    </row>
    <row r="20" customFormat="false" ht="15" hidden="false" customHeight="false" outlineLevel="0" collapsed="false">
      <c r="B20" s="15" t="s">
        <v>585</v>
      </c>
      <c r="C20" s="8" t="s">
        <v>586</v>
      </c>
      <c r="D20" s="30" t="n">
        <v>46265</v>
      </c>
    </row>
    <row r="21" customFormat="false" ht="15" hidden="false" customHeight="false" outlineLevel="0" collapsed="false">
      <c r="B21" s="15" t="s">
        <v>587</v>
      </c>
      <c r="C21" s="8" t="s">
        <v>588</v>
      </c>
      <c r="D21" s="16" t="n">
        <v>66</v>
      </c>
    </row>
    <row r="22" customFormat="false" ht="15" hidden="false" customHeight="false" outlineLevel="0" collapsed="false">
      <c r="B22" s="15" t="s">
        <v>589</v>
      </c>
      <c r="C22" s="8" t="s">
        <v>590</v>
      </c>
      <c r="D22" s="17" t="n">
        <v>46726</v>
      </c>
    </row>
    <row r="23" customFormat="false" ht="15" hidden="false" customHeight="false" outlineLevel="0" collapsed="false">
      <c r="B23" s="15" t="s">
        <v>591</v>
      </c>
      <c r="C23" s="8" t="s">
        <v>592</v>
      </c>
      <c r="D23" s="21" t="s">
        <v>593</v>
      </c>
    </row>
    <row r="25" customFormat="false" ht="30" hidden="false" customHeight="true" outlineLevel="0" collapsed="false">
      <c r="B25" s="5" t="s">
        <v>594</v>
      </c>
      <c r="C25" s="5"/>
      <c r="D25" s="5"/>
      <c r="E25" s="5"/>
      <c r="F25" s="5"/>
      <c r="G25" s="5"/>
    </row>
  </sheetData>
  <mergeCells count="3">
    <mergeCell ref="B2:G2"/>
    <mergeCell ref="B3:G3"/>
    <mergeCell ref="B25:G25"/>
  </mergeCells>
  <dataValidations count="1">
    <dataValidation allowBlank="false" errorStyle="stop" operator="between" showDropDown="false" showErrorMessage="false" showInputMessage="false" sqref="D14" type="list">
      <formula1>"REFERENCIA,USUARIO"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Q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8" min="3" style="0" width="11"/>
    <col collapsed="false" customWidth="true" hidden="false" outlineLevel="0" max="69" min="69" style="0" width="17"/>
  </cols>
  <sheetData>
    <row r="2" customFormat="false" ht="30" hidden="false" customHeight="true" outlineLevel="0" collapsed="false">
      <c r="B2" s="1" t="s">
        <v>595</v>
      </c>
      <c r="C2" s="1"/>
      <c r="D2" s="1"/>
      <c r="E2" s="1"/>
      <c r="F2" s="1"/>
      <c r="G2" s="1"/>
      <c r="H2" s="1"/>
    </row>
    <row r="3" customFormat="false" ht="25.5" hidden="false" customHeight="true" outlineLevel="0" collapsed="false">
      <c r="B3" s="2" t="s">
        <v>596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Q5" s="14" t="s">
        <v>597</v>
      </c>
    </row>
    <row r="6" customFormat="false" ht="15" hidden="false" customHeight="false" outlineLevel="0" collapsed="false">
      <c r="B6" s="3" t="s">
        <v>598</v>
      </c>
    </row>
    <row r="7" customFormat="false" ht="15" hidden="false" customHeight="false" outlineLevel="0" collapsed="false">
      <c r="B7" s="14" t="s">
        <v>187</v>
      </c>
      <c r="C7" s="14" t="n">
        <v>1</v>
      </c>
      <c r="D7" s="14" t="n">
        <v>2</v>
      </c>
      <c r="E7" s="14" t="n">
        <v>3</v>
      </c>
      <c r="F7" s="14" t="n">
        <v>4</v>
      </c>
      <c r="G7" s="14" t="n">
        <v>5</v>
      </c>
      <c r="H7" s="14" t="n">
        <v>6</v>
      </c>
      <c r="I7" s="14" t="n">
        <v>7</v>
      </c>
      <c r="J7" s="14" t="n">
        <v>8</v>
      </c>
      <c r="K7" s="14" t="n">
        <v>9</v>
      </c>
      <c r="L7" s="14" t="n">
        <v>10</v>
      </c>
      <c r="M7" s="14" t="n">
        <v>11</v>
      </c>
      <c r="N7" s="14" t="n">
        <v>12</v>
      </c>
      <c r="O7" s="14" t="n">
        <v>13</v>
      </c>
      <c r="P7" s="14" t="n">
        <v>14</v>
      </c>
      <c r="Q7" s="14" t="n">
        <v>15</v>
      </c>
      <c r="R7" s="14" t="n">
        <v>16</v>
      </c>
      <c r="S7" s="14" t="n">
        <v>17</v>
      </c>
      <c r="T7" s="14" t="n">
        <v>18</v>
      </c>
      <c r="U7" s="14" t="n">
        <v>19</v>
      </c>
      <c r="V7" s="14" t="n">
        <v>20</v>
      </c>
      <c r="W7" s="14" t="n">
        <v>21</v>
      </c>
      <c r="X7" s="14" t="n">
        <v>22</v>
      </c>
      <c r="Y7" s="14" t="n">
        <v>23</v>
      </c>
      <c r="Z7" s="14" t="n">
        <v>24</v>
      </c>
      <c r="AA7" s="14" t="n">
        <v>25</v>
      </c>
      <c r="AB7" s="14" t="n">
        <v>26</v>
      </c>
      <c r="AC7" s="14" t="n">
        <v>27</v>
      </c>
      <c r="AD7" s="14" t="n">
        <v>28</v>
      </c>
      <c r="AE7" s="14" t="n">
        <v>29</v>
      </c>
      <c r="AF7" s="14" t="n">
        <v>30</v>
      </c>
      <c r="AG7" s="14" t="n">
        <v>31</v>
      </c>
      <c r="AH7" s="14" t="n">
        <v>32</v>
      </c>
      <c r="AI7" s="14" t="n">
        <v>33</v>
      </c>
      <c r="AJ7" s="14" t="n">
        <v>34</v>
      </c>
      <c r="AK7" s="14" t="n">
        <v>35</v>
      </c>
      <c r="AL7" s="14" t="n">
        <v>36</v>
      </c>
      <c r="AM7" s="14" t="n">
        <v>37</v>
      </c>
      <c r="AN7" s="14" t="n">
        <v>38</v>
      </c>
      <c r="AO7" s="14" t="n">
        <v>39</v>
      </c>
      <c r="AP7" s="14" t="n">
        <v>40</v>
      </c>
      <c r="AQ7" s="14" t="n">
        <v>41</v>
      </c>
      <c r="AR7" s="14" t="n">
        <v>42</v>
      </c>
      <c r="AS7" s="14" t="n">
        <v>43</v>
      </c>
      <c r="AT7" s="14" t="n">
        <v>44</v>
      </c>
      <c r="AU7" s="14" t="n">
        <v>45</v>
      </c>
      <c r="AV7" s="14" t="n">
        <v>46</v>
      </c>
      <c r="AW7" s="14" t="n">
        <v>47</v>
      </c>
      <c r="AX7" s="14" t="n">
        <v>48</v>
      </c>
      <c r="AY7" s="14" t="n">
        <v>49</v>
      </c>
      <c r="AZ7" s="14" t="n">
        <v>50</v>
      </c>
      <c r="BA7" s="14" t="n">
        <v>51</v>
      </c>
      <c r="BB7" s="14" t="n">
        <v>52</v>
      </c>
      <c r="BC7" s="14" t="n">
        <v>53</v>
      </c>
      <c r="BD7" s="14" t="n">
        <v>54</v>
      </c>
      <c r="BE7" s="14" t="n">
        <v>55</v>
      </c>
      <c r="BF7" s="14" t="n">
        <v>56</v>
      </c>
      <c r="BG7" s="14" t="n">
        <v>57</v>
      </c>
      <c r="BH7" s="14" t="n">
        <v>58</v>
      </c>
      <c r="BI7" s="14" t="n">
        <v>59</v>
      </c>
      <c r="BJ7" s="14" t="n">
        <v>60</v>
      </c>
      <c r="BK7" s="14" t="n">
        <v>61</v>
      </c>
      <c r="BL7" s="14" t="n">
        <v>62</v>
      </c>
      <c r="BM7" s="14" t="n">
        <v>63</v>
      </c>
      <c r="BN7" s="14" t="n">
        <v>64</v>
      </c>
      <c r="BO7" s="14" t="n">
        <v>65</v>
      </c>
      <c r="BP7" s="14" t="n">
        <v>66</v>
      </c>
      <c r="BQ7" s="14" t="s">
        <v>599</v>
      </c>
    </row>
    <row r="8" customFormat="false" ht="15" hidden="false" customHeight="false" outlineLevel="0" collapsed="false">
      <c r="B8" s="15" t="s">
        <v>128</v>
      </c>
      <c r="C8" s="16" t="n">
        <f aca="false">SUMIFS(PLANEJAMENTO_SEMANAL!$Z$6:$Z$2381,PLANEJAMENTO_SEMANAL!$F$6:$F$2381,$B8,PLANEJAMENTO_SEMANAL!$B$6:$B$2381,C$7)</f>
        <v>0</v>
      </c>
      <c r="D8" s="16" t="n">
        <f aca="false">SUMIFS(PLANEJAMENTO_SEMANAL!$Z$6:$Z$2381,PLANEJAMENTO_SEMANAL!$F$6:$F$2381,$B8,PLANEJAMENTO_SEMANAL!$B$6:$B$2381,D$7)</f>
        <v>0</v>
      </c>
      <c r="E8" s="16" t="n">
        <f aca="false">SUMIFS(PLANEJAMENTO_SEMANAL!$Z$6:$Z$2381,PLANEJAMENTO_SEMANAL!$F$6:$F$2381,$B8,PLANEJAMENTO_SEMANAL!$B$6:$B$2381,E$7)</f>
        <v>0</v>
      </c>
      <c r="F8" s="16" t="n">
        <f aca="false">SUMIFS(PLANEJAMENTO_SEMANAL!$Z$6:$Z$2381,PLANEJAMENTO_SEMANAL!$F$6:$F$2381,$B8,PLANEJAMENTO_SEMANAL!$B$6:$B$2381,F$7)</f>
        <v>0</v>
      </c>
      <c r="G8" s="16" t="n">
        <f aca="false">SUMIFS(PLANEJAMENTO_SEMANAL!$Z$6:$Z$2381,PLANEJAMENTO_SEMANAL!$F$6:$F$2381,$B8,PLANEJAMENTO_SEMANAL!$B$6:$B$2381,G$7)</f>
        <v>1313.88423529412</v>
      </c>
      <c r="H8" s="16" t="n">
        <f aca="false">SUMIFS(PLANEJAMENTO_SEMANAL!$Z$6:$Z$2381,PLANEJAMENTO_SEMANAL!$F$6:$F$2381,$B8,PLANEJAMENTO_SEMANAL!$B$6:$B$2381,H$7)</f>
        <v>0</v>
      </c>
      <c r="I8" s="16" t="n">
        <f aca="false">SUMIFS(PLANEJAMENTO_SEMANAL!$Z$6:$Z$2381,PLANEJAMENTO_SEMANAL!$F$6:$F$2381,$B8,PLANEJAMENTO_SEMANAL!$B$6:$B$2381,I$7)</f>
        <v>0</v>
      </c>
      <c r="J8" s="16" t="n">
        <f aca="false">SUMIFS(PLANEJAMENTO_SEMANAL!$Z$6:$Z$2381,PLANEJAMENTO_SEMANAL!$F$6:$F$2381,$B8,PLANEJAMENTO_SEMANAL!$B$6:$B$2381,J$7)</f>
        <v>2987.4674117647</v>
      </c>
      <c r="K8" s="16" t="n">
        <f aca="false">SUMIFS(PLANEJAMENTO_SEMANAL!$Z$6:$Z$2381,PLANEJAMENTO_SEMANAL!$F$6:$F$2381,$B8,PLANEJAMENTO_SEMANAL!$B$6:$B$2381,K$7)</f>
        <v>8914.87502614379</v>
      </c>
      <c r="L8" s="16" t="n">
        <f aca="false">SUMIFS(PLANEJAMENTO_SEMANAL!$Z$6:$Z$2381,PLANEJAMENTO_SEMANAL!$F$6:$F$2381,$B8,PLANEJAMENTO_SEMANAL!$B$6:$B$2381,L$7)</f>
        <v>0</v>
      </c>
      <c r="M8" s="16" t="n">
        <f aca="false">SUMIFS(PLANEJAMENTO_SEMANAL!$Z$6:$Z$2381,PLANEJAMENTO_SEMANAL!$F$6:$F$2381,$B8,PLANEJAMENTO_SEMANAL!$B$6:$B$2381,M$7)</f>
        <v>2420.73917647058</v>
      </c>
      <c r="N8" s="16" t="n">
        <f aca="false">SUMIFS(PLANEJAMENTO_SEMANAL!$Z$6:$Z$2381,PLANEJAMENTO_SEMANAL!$F$6:$F$2381,$B8,PLANEJAMENTO_SEMANAL!$B$6:$B$2381,N$7)</f>
        <v>2420.73917647058</v>
      </c>
      <c r="O8" s="16" t="n">
        <f aca="false">SUMIFS(PLANEJAMENTO_SEMANAL!$Z$6:$Z$2381,PLANEJAMENTO_SEMANAL!$F$6:$F$2381,$B8,PLANEJAMENTO_SEMANAL!$B$6:$B$2381,O$7)</f>
        <v>2420.73917647058</v>
      </c>
      <c r="P8" s="16" t="n">
        <f aca="false">SUMIFS(PLANEJAMENTO_SEMANAL!$Z$6:$Z$2381,PLANEJAMENTO_SEMANAL!$F$6:$F$2381,$B8,PLANEJAMENTO_SEMANAL!$B$6:$B$2381,P$7)</f>
        <v>0</v>
      </c>
      <c r="Q8" s="16" t="n">
        <f aca="false">SUMIFS(PLANEJAMENTO_SEMANAL!$Z$6:$Z$2381,PLANEJAMENTO_SEMANAL!$F$6:$F$2381,$B8,PLANEJAMENTO_SEMANAL!$B$6:$B$2381,Q$7)</f>
        <v>0</v>
      </c>
      <c r="R8" s="16" t="n">
        <f aca="false">SUMIFS(PLANEJAMENTO_SEMANAL!$Z$6:$Z$2381,PLANEJAMENTO_SEMANAL!$F$6:$F$2381,$B8,PLANEJAMENTO_SEMANAL!$B$6:$B$2381,R$7)</f>
        <v>0</v>
      </c>
      <c r="S8" s="16" t="n">
        <f aca="false">SUMIFS(PLANEJAMENTO_SEMANAL!$Z$6:$Z$2381,PLANEJAMENTO_SEMANAL!$F$6:$F$2381,$B8,PLANEJAMENTO_SEMANAL!$B$6:$B$2381,S$7)</f>
        <v>0</v>
      </c>
      <c r="T8" s="16" t="n">
        <f aca="false">SUMIFS(PLANEJAMENTO_SEMANAL!$Z$6:$Z$2381,PLANEJAMENTO_SEMANAL!$F$6:$F$2381,$B8,PLANEJAMENTO_SEMANAL!$B$6:$B$2381,T$7)</f>
        <v>0</v>
      </c>
      <c r="U8" s="16" t="n">
        <f aca="false">SUMIFS(PLANEJAMENTO_SEMANAL!$Z$6:$Z$2381,PLANEJAMENTO_SEMANAL!$F$6:$F$2381,$B8,PLANEJAMENTO_SEMANAL!$B$6:$B$2381,U$7)</f>
        <v>0</v>
      </c>
      <c r="V8" s="16" t="n">
        <f aca="false">SUMIFS(PLANEJAMENTO_SEMANAL!$Z$6:$Z$2381,PLANEJAMENTO_SEMANAL!$F$6:$F$2381,$B8,PLANEJAMENTO_SEMANAL!$B$6:$B$2381,V$7)</f>
        <v>0</v>
      </c>
      <c r="W8" s="16" t="n">
        <f aca="false">SUMIFS(PLANEJAMENTO_SEMANAL!$Z$6:$Z$2381,PLANEJAMENTO_SEMANAL!$F$6:$F$2381,$B8,PLANEJAMENTO_SEMANAL!$B$6:$B$2381,W$7)</f>
        <v>0</v>
      </c>
      <c r="X8" s="16" t="n">
        <f aca="false">SUMIFS(PLANEJAMENTO_SEMANAL!$Z$6:$Z$2381,PLANEJAMENTO_SEMANAL!$F$6:$F$2381,$B8,PLANEJAMENTO_SEMANAL!$B$6:$B$2381,X$7)</f>
        <v>0</v>
      </c>
      <c r="Y8" s="16" t="n">
        <f aca="false">SUMIFS(PLANEJAMENTO_SEMANAL!$Z$6:$Z$2381,PLANEJAMENTO_SEMANAL!$F$6:$F$2381,$B8,PLANEJAMENTO_SEMANAL!$B$6:$B$2381,Y$7)</f>
        <v>0</v>
      </c>
      <c r="Z8" s="16" t="n">
        <f aca="false">SUMIFS(PLANEJAMENTO_SEMANAL!$Z$6:$Z$2381,PLANEJAMENTO_SEMANAL!$F$6:$F$2381,$B8,PLANEJAMENTO_SEMANAL!$B$6:$B$2381,Z$7)</f>
        <v>0</v>
      </c>
      <c r="AA8" s="16" t="n">
        <f aca="false">SUMIFS(PLANEJAMENTO_SEMANAL!$Z$6:$Z$2381,PLANEJAMENTO_SEMANAL!$F$6:$F$2381,$B8,PLANEJAMENTO_SEMANAL!$B$6:$B$2381,AA$7)</f>
        <v>0</v>
      </c>
      <c r="AB8" s="16" t="n">
        <f aca="false">SUMIFS(PLANEJAMENTO_SEMANAL!$Z$6:$Z$2381,PLANEJAMENTO_SEMANAL!$F$6:$F$2381,$B8,PLANEJAMENTO_SEMANAL!$B$6:$B$2381,AB$7)</f>
        <v>0</v>
      </c>
      <c r="AC8" s="16" t="n">
        <f aca="false">SUMIFS(PLANEJAMENTO_SEMANAL!$Z$6:$Z$2381,PLANEJAMENTO_SEMANAL!$F$6:$F$2381,$B8,PLANEJAMENTO_SEMANAL!$B$6:$B$2381,AC$7)</f>
        <v>0</v>
      </c>
      <c r="AD8" s="16" t="n">
        <f aca="false">SUMIFS(PLANEJAMENTO_SEMANAL!$Z$6:$Z$2381,PLANEJAMENTO_SEMANAL!$F$6:$F$2381,$B8,PLANEJAMENTO_SEMANAL!$B$6:$B$2381,AD$7)</f>
        <v>0</v>
      </c>
      <c r="AE8" s="16" t="n">
        <f aca="false">SUMIFS(PLANEJAMENTO_SEMANAL!$Z$6:$Z$2381,PLANEJAMENTO_SEMANAL!$F$6:$F$2381,$B8,PLANEJAMENTO_SEMANAL!$B$6:$B$2381,AE$7)</f>
        <v>0</v>
      </c>
      <c r="AF8" s="16" t="n">
        <f aca="false">SUMIFS(PLANEJAMENTO_SEMANAL!$Z$6:$Z$2381,PLANEJAMENTO_SEMANAL!$F$6:$F$2381,$B8,PLANEJAMENTO_SEMANAL!$B$6:$B$2381,AF$7)</f>
        <v>0</v>
      </c>
      <c r="AG8" s="16" t="n">
        <f aca="false">SUMIFS(PLANEJAMENTO_SEMANAL!$Z$6:$Z$2381,PLANEJAMENTO_SEMANAL!$F$6:$F$2381,$B8,PLANEJAMENTO_SEMANAL!$B$6:$B$2381,AG$7)</f>
        <v>5006.27506717716</v>
      </c>
      <c r="AH8" s="16" t="n">
        <f aca="false">SUMIFS(PLANEJAMENTO_SEMANAL!$Z$6:$Z$2381,PLANEJAMENTO_SEMANAL!$F$6:$F$2381,$B8,PLANEJAMENTO_SEMANAL!$B$6:$B$2381,AH$7)</f>
        <v>17062.160739993</v>
      </c>
      <c r="AI8" s="16" t="n">
        <f aca="false">SUMIFS(PLANEJAMENTO_SEMANAL!$Z$6:$Z$2381,PLANEJAMENTO_SEMANAL!$F$6:$F$2381,$B8,PLANEJAMENTO_SEMANAL!$B$6:$B$2381,AI$7)</f>
        <v>21086.2665527323</v>
      </c>
      <c r="AJ8" s="16" t="n">
        <f aca="false">SUMIFS(PLANEJAMENTO_SEMANAL!$Z$6:$Z$2381,PLANEJAMENTO_SEMANAL!$F$6:$F$2381,$B8,PLANEJAMENTO_SEMANAL!$B$6:$B$2381,AJ$7)</f>
        <v>25110.3723654716</v>
      </c>
      <c r="AK8" s="16" t="n">
        <f aca="false">SUMIFS(PLANEJAMENTO_SEMANAL!$Z$6:$Z$2381,PLANEJAMENTO_SEMANAL!$F$6:$F$2381,$B8,PLANEJAMENTO_SEMANAL!$B$6:$B$2381,AK$7)</f>
        <v>29431.7008235294</v>
      </c>
      <c r="AL8" s="16" t="n">
        <f aca="false">SUMIFS(PLANEJAMENTO_SEMANAL!$Z$6:$Z$2381,PLANEJAMENTO_SEMANAL!$F$6:$F$2381,$B8,PLANEJAMENTO_SEMANAL!$B$6:$B$2381,AL$7)</f>
        <v>35995.3390588235</v>
      </c>
      <c r="AM8" s="16" t="n">
        <f aca="false">SUMIFS(PLANEJAMENTO_SEMANAL!$Z$6:$Z$2381,PLANEJAMENTO_SEMANAL!$F$6:$F$2381,$B8,PLANEJAMENTO_SEMANAL!$B$6:$B$2381,AM$7)</f>
        <v>35995.3390588235</v>
      </c>
      <c r="AN8" s="16" t="n">
        <f aca="false">SUMIFS(PLANEJAMENTO_SEMANAL!$Z$6:$Z$2381,PLANEJAMENTO_SEMANAL!$F$6:$F$2381,$B8,PLANEJAMENTO_SEMANAL!$B$6:$B$2381,AN$7)</f>
        <v>35995.3390588235</v>
      </c>
      <c r="AO8" s="16" t="n">
        <f aca="false">SUMIFS(PLANEJAMENTO_SEMANAL!$Z$6:$Z$2381,PLANEJAMENTO_SEMANAL!$F$6:$F$2381,$B8,PLANEJAMENTO_SEMANAL!$B$6:$B$2381,AO$7)</f>
        <v>35995.3390588235</v>
      </c>
      <c r="AP8" s="16" t="n">
        <f aca="false">SUMIFS(PLANEJAMENTO_SEMANAL!$Z$6:$Z$2381,PLANEJAMENTO_SEMANAL!$F$6:$F$2381,$B8,PLANEJAMENTO_SEMANAL!$B$6:$B$2381,AP$7)</f>
        <v>36120.2505882353</v>
      </c>
      <c r="AQ8" s="16" t="n">
        <f aca="false">SUMIFS(PLANEJAMENTO_SEMANAL!$Z$6:$Z$2381,PLANEJAMENTO_SEMANAL!$F$6:$F$2381,$B8,PLANEJAMENTO_SEMANAL!$B$6:$B$2381,AQ$7)</f>
        <v>36141.0691764706</v>
      </c>
      <c r="AR8" s="16" t="n">
        <f aca="false">SUMIFS(PLANEJAMENTO_SEMANAL!$Z$6:$Z$2381,PLANEJAMENTO_SEMANAL!$F$6:$F$2381,$B8,PLANEJAMENTO_SEMANAL!$B$6:$B$2381,AR$7)</f>
        <v>36141.0691764706</v>
      </c>
      <c r="AS8" s="16" t="n">
        <f aca="false">SUMIFS(PLANEJAMENTO_SEMANAL!$Z$6:$Z$2381,PLANEJAMENTO_SEMANAL!$F$6:$F$2381,$B8,PLANEJAMENTO_SEMANAL!$B$6:$B$2381,AS$7)</f>
        <v>36141.0691764706</v>
      </c>
      <c r="AT8" s="16" t="n">
        <f aca="false">SUMIFS(PLANEJAMENTO_SEMANAL!$Z$6:$Z$2381,PLANEJAMENTO_SEMANAL!$F$6:$F$2381,$B8,PLANEJAMENTO_SEMANAL!$B$6:$B$2381,AT$7)</f>
        <v>35750.9303581125</v>
      </c>
      <c r="AU8" s="16" t="n">
        <f aca="false">SUMIFS(PLANEJAMENTO_SEMANAL!$Z$6:$Z$2381,PLANEJAMENTO_SEMANAL!$F$6:$F$2381,$B8,PLANEJAMENTO_SEMANAL!$B$6:$B$2381,AU$7)</f>
        <v>34618.3169683258</v>
      </c>
      <c r="AV8" s="16" t="n">
        <f aca="false">SUMIFS(PLANEJAMENTO_SEMANAL!$Z$6:$Z$2381,PLANEJAMENTO_SEMANAL!$F$6:$F$2381,$B8,PLANEJAMENTO_SEMANAL!$B$6:$B$2381,AV$7)</f>
        <v>32163.5325791855</v>
      </c>
      <c r="AW8" s="16" t="n">
        <f aca="false">SUMIFS(PLANEJAMENTO_SEMANAL!$Z$6:$Z$2381,PLANEJAMENTO_SEMANAL!$F$6:$F$2381,$B8,PLANEJAMENTO_SEMANAL!$B$6:$B$2381,AW$7)</f>
        <v>29708.7481900452</v>
      </c>
      <c r="AX8" s="16" t="n">
        <f aca="false">SUMIFS(PLANEJAMENTO_SEMANAL!$Z$6:$Z$2381,PLANEJAMENTO_SEMANAL!$F$6:$F$2381,$B8,PLANEJAMENTO_SEMANAL!$B$6:$B$2381,AX$7)</f>
        <v>28032.7162663219</v>
      </c>
      <c r="AY8" s="16" t="n">
        <f aca="false">SUMIFS(PLANEJAMENTO_SEMANAL!$Z$6:$Z$2381,PLANEJAMENTO_SEMANAL!$F$6:$F$2381,$B8,PLANEJAMENTO_SEMANAL!$B$6:$B$2381,AY$7)</f>
        <v>29736.6545882353</v>
      </c>
      <c r="AZ8" s="16" t="n">
        <f aca="false">SUMIFS(PLANEJAMENTO_SEMANAL!$Z$6:$Z$2381,PLANEJAMENTO_SEMANAL!$F$6:$F$2381,$B8,PLANEJAMENTO_SEMANAL!$B$6:$B$2381,AZ$7)</f>
        <v>26768.0781176471</v>
      </c>
      <c r="BA8" s="16" t="n">
        <f aca="false">SUMIFS(PLANEJAMENTO_SEMANAL!$Z$6:$Z$2381,PLANEJAMENTO_SEMANAL!$F$6:$F$2381,$B8,PLANEJAMENTO_SEMANAL!$B$6:$B$2381,BA$7)</f>
        <v>0</v>
      </c>
      <c r="BB8" s="16" t="n">
        <f aca="false">SUMIFS(PLANEJAMENTO_SEMANAL!$Z$6:$Z$2381,PLANEJAMENTO_SEMANAL!$F$6:$F$2381,$B8,PLANEJAMENTO_SEMANAL!$B$6:$B$2381,BB$7)</f>
        <v>0</v>
      </c>
      <c r="BC8" s="16" t="n">
        <f aca="false">SUMIFS(PLANEJAMENTO_SEMANAL!$Z$6:$Z$2381,PLANEJAMENTO_SEMANAL!$F$6:$F$2381,$B8,PLANEJAMENTO_SEMANAL!$B$6:$B$2381,BC$7)</f>
        <v>0</v>
      </c>
      <c r="BD8" s="16" t="n">
        <f aca="false">SUMIFS(PLANEJAMENTO_SEMANAL!$Z$6:$Z$2381,PLANEJAMENTO_SEMANAL!$F$6:$F$2381,$B8,PLANEJAMENTO_SEMANAL!$B$6:$B$2381,BD$7)</f>
        <v>0</v>
      </c>
      <c r="BE8" s="16" t="n">
        <f aca="false">SUMIFS(PLANEJAMENTO_SEMANAL!$Z$6:$Z$2381,PLANEJAMENTO_SEMANAL!$F$6:$F$2381,$B8,PLANEJAMENTO_SEMANAL!$B$6:$B$2381,BE$7)</f>
        <v>0</v>
      </c>
      <c r="BF8" s="16" t="n">
        <f aca="false">SUMIFS(PLANEJAMENTO_SEMANAL!$Z$6:$Z$2381,PLANEJAMENTO_SEMANAL!$F$6:$F$2381,$B8,PLANEJAMENTO_SEMANAL!$B$6:$B$2381,BF$7)</f>
        <v>0</v>
      </c>
      <c r="BG8" s="16" t="n">
        <f aca="false">SUMIFS(PLANEJAMENTO_SEMANAL!$Z$6:$Z$2381,PLANEJAMENTO_SEMANAL!$F$6:$F$2381,$B8,PLANEJAMENTO_SEMANAL!$B$6:$B$2381,BG$7)</f>
        <v>0</v>
      </c>
      <c r="BH8" s="16" t="n">
        <f aca="false">SUMIFS(PLANEJAMENTO_SEMANAL!$Z$6:$Z$2381,PLANEJAMENTO_SEMANAL!$F$6:$F$2381,$B8,PLANEJAMENTO_SEMANAL!$B$6:$B$2381,BH$7)</f>
        <v>0</v>
      </c>
      <c r="BI8" s="16" t="n">
        <f aca="false">SUMIFS(PLANEJAMENTO_SEMANAL!$Z$6:$Z$2381,PLANEJAMENTO_SEMANAL!$F$6:$F$2381,$B8,PLANEJAMENTO_SEMANAL!$B$6:$B$2381,BI$7)</f>
        <v>0</v>
      </c>
      <c r="BJ8" s="16" t="n">
        <f aca="false">SUMIFS(PLANEJAMENTO_SEMANAL!$Z$6:$Z$2381,PLANEJAMENTO_SEMANAL!$F$6:$F$2381,$B8,PLANEJAMENTO_SEMANAL!$B$6:$B$2381,BJ$7)</f>
        <v>0</v>
      </c>
      <c r="BK8" s="16" t="n">
        <f aca="false">SUMIFS(PLANEJAMENTO_SEMANAL!$Z$6:$Z$2381,PLANEJAMENTO_SEMANAL!$F$6:$F$2381,$B8,PLANEJAMENTO_SEMANAL!$B$6:$B$2381,BK$7)</f>
        <v>0</v>
      </c>
      <c r="BL8" s="16" t="n">
        <f aca="false">SUMIFS(PLANEJAMENTO_SEMANAL!$Z$6:$Z$2381,PLANEJAMENTO_SEMANAL!$F$6:$F$2381,$B8,PLANEJAMENTO_SEMANAL!$B$6:$B$2381,BL$7)</f>
        <v>0</v>
      </c>
      <c r="BM8" s="16" t="n">
        <f aca="false">SUMIFS(PLANEJAMENTO_SEMANAL!$Z$6:$Z$2381,PLANEJAMENTO_SEMANAL!$F$6:$F$2381,$B8,PLANEJAMENTO_SEMANAL!$B$6:$B$2381,BM$7)</f>
        <v>0</v>
      </c>
      <c r="BN8" s="16" t="n">
        <f aca="false">SUMIFS(PLANEJAMENTO_SEMANAL!$Z$6:$Z$2381,PLANEJAMENTO_SEMANAL!$F$6:$F$2381,$B8,PLANEJAMENTO_SEMANAL!$B$6:$B$2381,BN$7)</f>
        <v>0</v>
      </c>
      <c r="BO8" s="16" t="n">
        <f aca="false">SUMIFS(PLANEJAMENTO_SEMANAL!$Z$6:$Z$2381,PLANEJAMENTO_SEMANAL!$F$6:$F$2381,$B8,PLANEJAMENTO_SEMANAL!$B$6:$B$2381,BO$7)</f>
        <v>0</v>
      </c>
      <c r="BP8" s="16" t="n">
        <f aca="false">SUMIFS(PLANEJAMENTO_SEMANAL!$Z$6:$Z$2381,PLANEJAMENTO_SEMANAL!$F$6:$F$2381,$B8,PLANEJAMENTO_SEMANAL!$B$6:$B$2381,BP$7)</f>
        <v>0</v>
      </c>
      <c r="BQ8" s="16" t="n">
        <f aca="false">SUM(C8:BP8)</f>
        <v>623479.011172333</v>
      </c>
    </row>
    <row r="9" customFormat="false" ht="15" hidden="false" customHeight="false" outlineLevel="0" collapsed="false">
      <c r="B9" s="15" t="s">
        <v>129</v>
      </c>
      <c r="C9" s="16" t="n">
        <f aca="false">SUMIFS(PLANEJAMENTO_SEMANAL!$Z$6:$Z$2381,PLANEJAMENTO_SEMANAL!$F$6:$F$2381,$B9,PLANEJAMENTO_SEMANAL!$B$6:$B$2381,C$7)</f>
        <v>22570.0291764706</v>
      </c>
      <c r="D9" s="16" t="n">
        <f aca="false">SUMIFS(PLANEJAMENTO_SEMANAL!$Z$6:$Z$2381,PLANEJAMENTO_SEMANAL!$F$6:$F$2381,$B9,PLANEJAMENTO_SEMANAL!$B$6:$B$2381,D$7)</f>
        <v>0</v>
      </c>
      <c r="E9" s="16" t="n">
        <f aca="false">SUMIFS(PLANEJAMENTO_SEMANAL!$Z$6:$Z$2381,PLANEJAMENTO_SEMANAL!$F$6:$F$2381,$B9,PLANEJAMENTO_SEMANAL!$B$6:$B$2381,E$7)</f>
        <v>0</v>
      </c>
      <c r="F9" s="16" t="n">
        <f aca="false">SUMIFS(PLANEJAMENTO_SEMANAL!$Z$6:$Z$2381,PLANEJAMENTO_SEMANAL!$F$6:$F$2381,$B9,PLANEJAMENTO_SEMANAL!$B$6:$B$2381,F$7)</f>
        <v>0</v>
      </c>
      <c r="G9" s="16" t="n">
        <f aca="false">SUMIFS(PLANEJAMENTO_SEMANAL!$Z$6:$Z$2381,PLANEJAMENTO_SEMANAL!$F$6:$F$2381,$B9,PLANEJAMENTO_SEMANAL!$B$6:$B$2381,G$7)</f>
        <v>1344.35576470588</v>
      </c>
      <c r="H9" s="16" t="n">
        <f aca="false">SUMIFS(PLANEJAMENTO_SEMANAL!$Z$6:$Z$2381,PLANEJAMENTO_SEMANAL!$F$6:$F$2381,$B9,PLANEJAMENTO_SEMANAL!$B$6:$B$2381,H$7)</f>
        <v>0</v>
      </c>
      <c r="I9" s="16" t="n">
        <f aca="false">SUMIFS(PLANEJAMENTO_SEMANAL!$Z$6:$Z$2381,PLANEJAMENTO_SEMANAL!$F$6:$F$2381,$B9,PLANEJAMENTO_SEMANAL!$B$6:$B$2381,I$7)</f>
        <v>0</v>
      </c>
      <c r="J9" s="16" t="n">
        <f aca="false">SUMIFS(PLANEJAMENTO_SEMANAL!$Z$6:$Z$2381,PLANEJAMENTO_SEMANAL!$F$6:$F$2381,$B9,PLANEJAMENTO_SEMANAL!$B$6:$B$2381,J$7)</f>
        <v>2611.19894593879</v>
      </c>
      <c r="K9" s="16" t="n">
        <f aca="false">SUMIFS(PLANEJAMENTO_SEMANAL!$Z$6:$Z$2381,PLANEJAMENTO_SEMANAL!$F$6:$F$2381,$B9,PLANEJAMENTO_SEMANAL!$B$6:$B$2381,K$7)</f>
        <v>8421.15634341653</v>
      </c>
      <c r="L9" s="16" t="n">
        <f aca="false">SUMIFS(PLANEJAMENTO_SEMANAL!$Z$6:$Z$2381,PLANEJAMENTO_SEMANAL!$F$6:$F$2381,$B9,PLANEJAMENTO_SEMANAL!$B$6:$B$2381,L$7)</f>
        <v>0</v>
      </c>
      <c r="M9" s="16" t="n">
        <f aca="false">SUMIFS(PLANEJAMENTO_SEMANAL!$Z$6:$Z$2381,PLANEJAMENTO_SEMANAL!$F$6:$F$2381,$B9,PLANEJAMENTO_SEMANAL!$B$6:$B$2381,M$7)</f>
        <v>2476.88082352941</v>
      </c>
      <c r="N9" s="16" t="n">
        <f aca="false">SUMIFS(PLANEJAMENTO_SEMANAL!$Z$6:$Z$2381,PLANEJAMENTO_SEMANAL!$F$6:$F$2381,$B9,PLANEJAMENTO_SEMANAL!$B$6:$B$2381,N$7)</f>
        <v>2476.88082352941</v>
      </c>
      <c r="O9" s="16" t="n">
        <f aca="false">SUMIFS(PLANEJAMENTO_SEMANAL!$Z$6:$Z$2381,PLANEJAMENTO_SEMANAL!$F$6:$F$2381,$B9,PLANEJAMENTO_SEMANAL!$B$6:$B$2381,O$7)</f>
        <v>2476.88082352941</v>
      </c>
      <c r="P9" s="16" t="n">
        <f aca="false">SUMIFS(PLANEJAMENTO_SEMANAL!$Z$6:$Z$2381,PLANEJAMENTO_SEMANAL!$F$6:$F$2381,$B9,PLANEJAMENTO_SEMANAL!$B$6:$B$2381,P$7)</f>
        <v>0</v>
      </c>
      <c r="Q9" s="16" t="n">
        <f aca="false">SUMIFS(PLANEJAMENTO_SEMANAL!$Z$6:$Z$2381,PLANEJAMENTO_SEMANAL!$F$6:$F$2381,$B9,PLANEJAMENTO_SEMANAL!$B$6:$B$2381,Q$7)</f>
        <v>0</v>
      </c>
      <c r="R9" s="16" t="n">
        <f aca="false">SUMIFS(PLANEJAMENTO_SEMANAL!$Z$6:$Z$2381,PLANEJAMENTO_SEMANAL!$F$6:$F$2381,$B9,PLANEJAMENTO_SEMANAL!$B$6:$B$2381,R$7)</f>
        <v>0</v>
      </c>
      <c r="S9" s="16" t="n">
        <f aca="false">SUMIFS(PLANEJAMENTO_SEMANAL!$Z$6:$Z$2381,PLANEJAMENTO_SEMANAL!$F$6:$F$2381,$B9,PLANEJAMENTO_SEMANAL!$B$6:$B$2381,S$7)</f>
        <v>0</v>
      </c>
      <c r="T9" s="16" t="n">
        <f aca="false">SUMIFS(PLANEJAMENTO_SEMANAL!$Z$6:$Z$2381,PLANEJAMENTO_SEMANAL!$F$6:$F$2381,$B9,PLANEJAMENTO_SEMANAL!$B$6:$B$2381,T$7)</f>
        <v>0</v>
      </c>
      <c r="U9" s="16" t="n">
        <f aca="false">SUMIFS(PLANEJAMENTO_SEMANAL!$Z$6:$Z$2381,PLANEJAMENTO_SEMANAL!$F$6:$F$2381,$B9,PLANEJAMENTO_SEMANAL!$B$6:$B$2381,U$7)</f>
        <v>0</v>
      </c>
      <c r="V9" s="16" t="n">
        <f aca="false">SUMIFS(PLANEJAMENTO_SEMANAL!$Z$6:$Z$2381,PLANEJAMENTO_SEMANAL!$F$6:$F$2381,$B9,PLANEJAMENTO_SEMANAL!$B$6:$B$2381,V$7)</f>
        <v>0</v>
      </c>
      <c r="W9" s="16" t="n">
        <f aca="false">SUMIFS(PLANEJAMENTO_SEMANAL!$Z$6:$Z$2381,PLANEJAMENTO_SEMANAL!$F$6:$F$2381,$B9,PLANEJAMENTO_SEMANAL!$B$6:$B$2381,W$7)</f>
        <v>0</v>
      </c>
      <c r="X9" s="16" t="n">
        <f aca="false">SUMIFS(PLANEJAMENTO_SEMANAL!$Z$6:$Z$2381,PLANEJAMENTO_SEMANAL!$F$6:$F$2381,$B9,PLANEJAMENTO_SEMANAL!$B$6:$B$2381,X$7)</f>
        <v>0</v>
      </c>
      <c r="Y9" s="16" t="n">
        <f aca="false">SUMIFS(PLANEJAMENTO_SEMANAL!$Z$6:$Z$2381,PLANEJAMENTO_SEMANAL!$F$6:$F$2381,$B9,PLANEJAMENTO_SEMANAL!$B$6:$B$2381,Y$7)</f>
        <v>0</v>
      </c>
      <c r="Z9" s="16" t="n">
        <f aca="false">SUMIFS(PLANEJAMENTO_SEMANAL!$Z$6:$Z$2381,PLANEJAMENTO_SEMANAL!$F$6:$F$2381,$B9,PLANEJAMENTO_SEMANAL!$B$6:$B$2381,Z$7)</f>
        <v>205.420776888263</v>
      </c>
      <c r="AA9" s="16" t="n">
        <f aca="false">SUMIFS(PLANEJAMENTO_SEMANAL!$Z$6:$Z$2381,PLANEJAMENTO_SEMANAL!$F$6:$F$2381,$B9,PLANEJAMENTO_SEMANAL!$B$6:$B$2381,AA$7)</f>
        <v>4483.19184081679</v>
      </c>
      <c r="AB9" s="16" t="n">
        <f aca="false">SUMIFS(PLANEJAMENTO_SEMANAL!$Z$6:$Z$2381,PLANEJAMENTO_SEMANAL!$F$6:$F$2381,$B9,PLANEJAMENTO_SEMANAL!$B$6:$B$2381,AB$7)</f>
        <v>6897.07694117646</v>
      </c>
      <c r="AC9" s="16" t="n">
        <f aca="false">SUMIFS(PLANEJAMENTO_SEMANAL!$Z$6:$Z$2381,PLANEJAMENTO_SEMANAL!$F$6:$F$2381,$B9,PLANEJAMENTO_SEMANAL!$B$6:$B$2381,AC$7)</f>
        <v>8520.40329411764</v>
      </c>
      <c r="AD9" s="16" t="n">
        <f aca="false">SUMIFS(PLANEJAMENTO_SEMANAL!$Z$6:$Z$2381,PLANEJAMENTO_SEMANAL!$F$6:$F$2381,$B9,PLANEJAMENTO_SEMANAL!$B$6:$B$2381,AD$7)</f>
        <v>8520.40329411764</v>
      </c>
      <c r="AE9" s="16" t="n">
        <f aca="false">SUMIFS(PLANEJAMENTO_SEMANAL!$Z$6:$Z$2381,PLANEJAMENTO_SEMANAL!$F$6:$F$2381,$B9,PLANEJAMENTO_SEMANAL!$B$6:$B$2381,AE$7)</f>
        <v>8520.40329411764</v>
      </c>
      <c r="AF9" s="16" t="n">
        <f aca="false">SUMIFS(PLANEJAMENTO_SEMANAL!$Z$6:$Z$2381,PLANEJAMENTO_SEMANAL!$F$6:$F$2381,$B9,PLANEJAMENTO_SEMANAL!$B$6:$B$2381,AF$7)</f>
        <v>8520.40329411764</v>
      </c>
      <c r="AG9" s="16" t="n">
        <f aca="false">SUMIFS(PLANEJAMENTO_SEMANAL!$Z$6:$Z$2381,PLANEJAMENTO_SEMANAL!$F$6:$F$2381,$B9,PLANEJAMENTO_SEMANAL!$B$6:$B$2381,AG$7)</f>
        <v>23595.1241394335</v>
      </c>
      <c r="AH9" s="16" t="n">
        <f aca="false">SUMIFS(PLANEJAMENTO_SEMANAL!$Z$6:$Z$2381,PLANEJAMENTO_SEMANAL!$F$6:$F$2381,$B9,PLANEJAMENTO_SEMANAL!$B$6:$B$2381,AH$7)</f>
        <v>44157.0737908497</v>
      </c>
      <c r="AI9" s="16" t="n">
        <f aca="false">SUMIFS(PLANEJAMENTO_SEMANAL!$Z$6:$Z$2381,PLANEJAMENTO_SEMANAL!$F$6:$F$2381,$B9,PLANEJAMENTO_SEMANAL!$B$6:$B$2381,AI$7)</f>
        <v>48452.4201960784</v>
      </c>
      <c r="AJ9" s="16" t="n">
        <f aca="false">SUMIFS(PLANEJAMENTO_SEMANAL!$Z$6:$Z$2381,PLANEJAMENTO_SEMANAL!$F$6:$F$2381,$B9,PLANEJAMENTO_SEMANAL!$B$6:$B$2381,AJ$7)</f>
        <v>52747.7666013072</v>
      </c>
      <c r="AK9" s="16" t="n">
        <f aca="false">SUMIFS(PLANEJAMENTO_SEMANAL!$Z$6:$Z$2381,PLANEJAMENTO_SEMANAL!$F$6:$F$2381,$B9,PLANEJAMENTO_SEMANAL!$B$6:$B$2381,AK$7)</f>
        <v>58017.9796832579</v>
      </c>
      <c r="AL9" s="16" t="n">
        <f aca="false">SUMIFS(PLANEJAMENTO_SEMANAL!$Z$6:$Z$2381,PLANEJAMENTO_SEMANAL!$F$6:$F$2381,$B9,PLANEJAMENTO_SEMANAL!$B$6:$B$2381,AL$7)</f>
        <v>69073.5477828054</v>
      </c>
      <c r="AM9" s="16" t="n">
        <f aca="false">SUMIFS(PLANEJAMENTO_SEMANAL!$Z$6:$Z$2381,PLANEJAMENTO_SEMANAL!$F$6:$F$2381,$B9,PLANEJAMENTO_SEMANAL!$B$6:$B$2381,AM$7)</f>
        <v>66633.1704072398</v>
      </c>
      <c r="AN9" s="16" t="n">
        <f aca="false">SUMIFS(PLANEJAMENTO_SEMANAL!$Z$6:$Z$2381,PLANEJAMENTO_SEMANAL!$F$6:$F$2381,$B9,PLANEJAMENTO_SEMANAL!$B$6:$B$2381,AN$7)</f>
        <v>64192.7930316742</v>
      </c>
      <c r="AO9" s="16" t="n">
        <f aca="false">SUMIFS(PLANEJAMENTO_SEMANAL!$Z$6:$Z$2381,PLANEJAMENTO_SEMANAL!$F$6:$F$2381,$B9,PLANEJAMENTO_SEMANAL!$B$6:$B$2381,AO$7)</f>
        <v>61752.4156561086</v>
      </c>
      <c r="AP9" s="16" t="n">
        <f aca="false">SUMIFS(PLANEJAMENTO_SEMANAL!$Z$6:$Z$2381,PLANEJAMENTO_SEMANAL!$F$6:$F$2381,$B9,PLANEJAMENTO_SEMANAL!$B$6:$B$2381,AP$7)</f>
        <v>60144.703800905</v>
      </c>
      <c r="AQ9" s="16" t="n">
        <f aca="false">SUMIFS(PLANEJAMENTO_SEMANAL!$Z$6:$Z$2381,PLANEJAMENTO_SEMANAL!$F$6:$F$2381,$B9,PLANEJAMENTO_SEMANAL!$B$6:$B$2381,AQ$7)</f>
        <v>57959.3124585219</v>
      </c>
      <c r="AR9" s="16" t="n">
        <f aca="false">SUMIFS(PLANEJAMENTO_SEMANAL!$Z$6:$Z$2381,PLANEJAMENTO_SEMANAL!$F$6:$F$2381,$B9,PLANEJAMENTO_SEMANAL!$B$6:$B$2381,AR$7)</f>
        <v>55635.1435294118</v>
      </c>
      <c r="AS9" s="16" t="n">
        <f aca="false">SUMIFS(PLANEJAMENTO_SEMANAL!$Z$6:$Z$2381,PLANEJAMENTO_SEMANAL!$F$6:$F$2381,$B9,PLANEJAMENTO_SEMANAL!$B$6:$B$2381,AS$7)</f>
        <v>35359.2916078431</v>
      </c>
      <c r="AT9" s="16" t="n">
        <f aca="false">SUMIFS(PLANEJAMENTO_SEMANAL!$Z$6:$Z$2381,PLANEJAMENTO_SEMANAL!$F$6:$F$2381,$B9,PLANEJAMENTO_SEMANAL!$B$6:$B$2381,AT$7)</f>
        <v>34231.6316862745</v>
      </c>
      <c r="AU9" s="16" t="n">
        <f aca="false">SUMIFS(PLANEJAMENTO_SEMANAL!$Z$6:$Z$2381,PLANEJAMENTO_SEMANAL!$F$6:$F$2381,$B9,PLANEJAMENTO_SEMANAL!$B$6:$B$2381,AU$7)</f>
        <v>32464.5349411765</v>
      </c>
      <c r="AV9" s="16" t="n">
        <f aca="false">SUMIFS(PLANEJAMENTO_SEMANAL!$Z$6:$Z$2381,PLANEJAMENTO_SEMANAL!$F$6:$F$2381,$B9,PLANEJAMENTO_SEMANAL!$B$6:$B$2381,AV$7)</f>
        <v>29416.9866666667</v>
      </c>
      <c r="AW9" s="16" t="n">
        <f aca="false">SUMIFS(PLANEJAMENTO_SEMANAL!$Z$6:$Z$2381,PLANEJAMENTO_SEMANAL!$F$6:$F$2381,$B9,PLANEJAMENTO_SEMANAL!$B$6:$B$2381,AW$7)</f>
        <v>26369.4383921569</v>
      </c>
      <c r="AX9" s="16" t="n">
        <f aca="false">SUMIFS(PLANEJAMENTO_SEMANAL!$Z$6:$Z$2381,PLANEJAMENTO_SEMANAL!$F$6:$F$2381,$B9,PLANEJAMENTO_SEMANAL!$B$6:$B$2381,AX$7)</f>
        <v>23982.2338823529</v>
      </c>
      <c r="AY9" s="16" t="n">
        <f aca="false">SUMIFS(PLANEJAMENTO_SEMANAL!$Z$6:$Z$2381,PLANEJAMENTO_SEMANAL!$F$6:$F$2381,$B9,PLANEJAMENTO_SEMANAL!$B$6:$B$2381,AY$7)</f>
        <v>0</v>
      </c>
      <c r="AZ9" s="16" t="n">
        <f aca="false">SUMIFS(PLANEJAMENTO_SEMANAL!$Z$6:$Z$2381,PLANEJAMENTO_SEMANAL!$F$6:$F$2381,$B9,PLANEJAMENTO_SEMANAL!$B$6:$B$2381,AZ$7)</f>
        <v>0</v>
      </c>
      <c r="BA9" s="16" t="n">
        <f aca="false">SUMIFS(PLANEJAMENTO_SEMANAL!$Z$6:$Z$2381,PLANEJAMENTO_SEMANAL!$F$6:$F$2381,$B9,PLANEJAMENTO_SEMANAL!$B$6:$B$2381,BA$7)</f>
        <v>0</v>
      </c>
      <c r="BB9" s="16" t="n">
        <f aca="false">SUMIFS(PLANEJAMENTO_SEMANAL!$Z$6:$Z$2381,PLANEJAMENTO_SEMANAL!$F$6:$F$2381,$B9,PLANEJAMENTO_SEMANAL!$B$6:$B$2381,BB$7)</f>
        <v>0</v>
      </c>
      <c r="BC9" s="16" t="n">
        <f aca="false">SUMIFS(PLANEJAMENTO_SEMANAL!$Z$6:$Z$2381,PLANEJAMENTO_SEMANAL!$F$6:$F$2381,$B9,PLANEJAMENTO_SEMANAL!$B$6:$B$2381,BC$7)</f>
        <v>0</v>
      </c>
      <c r="BD9" s="16" t="n">
        <f aca="false">SUMIFS(PLANEJAMENTO_SEMANAL!$Z$6:$Z$2381,PLANEJAMENTO_SEMANAL!$F$6:$F$2381,$B9,PLANEJAMENTO_SEMANAL!$B$6:$B$2381,BD$7)</f>
        <v>0</v>
      </c>
      <c r="BE9" s="16" t="n">
        <f aca="false">SUMIFS(PLANEJAMENTO_SEMANAL!$Z$6:$Z$2381,PLANEJAMENTO_SEMANAL!$F$6:$F$2381,$B9,PLANEJAMENTO_SEMANAL!$B$6:$B$2381,BE$7)</f>
        <v>0</v>
      </c>
      <c r="BF9" s="16" t="n">
        <f aca="false">SUMIFS(PLANEJAMENTO_SEMANAL!$Z$6:$Z$2381,PLANEJAMENTO_SEMANAL!$F$6:$F$2381,$B9,PLANEJAMENTO_SEMANAL!$B$6:$B$2381,BF$7)</f>
        <v>0</v>
      </c>
      <c r="BG9" s="16" t="n">
        <f aca="false">SUMIFS(PLANEJAMENTO_SEMANAL!$Z$6:$Z$2381,PLANEJAMENTO_SEMANAL!$F$6:$F$2381,$B9,PLANEJAMENTO_SEMANAL!$B$6:$B$2381,BG$7)</f>
        <v>0</v>
      </c>
      <c r="BH9" s="16" t="n">
        <f aca="false">SUMIFS(PLANEJAMENTO_SEMANAL!$Z$6:$Z$2381,PLANEJAMENTO_SEMANAL!$F$6:$F$2381,$B9,PLANEJAMENTO_SEMANAL!$B$6:$B$2381,BH$7)</f>
        <v>0</v>
      </c>
      <c r="BI9" s="16" t="n">
        <f aca="false">SUMIFS(PLANEJAMENTO_SEMANAL!$Z$6:$Z$2381,PLANEJAMENTO_SEMANAL!$F$6:$F$2381,$B9,PLANEJAMENTO_SEMANAL!$B$6:$B$2381,BI$7)</f>
        <v>0</v>
      </c>
      <c r="BJ9" s="16" t="n">
        <f aca="false">SUMIFS(PLANEJAMENTO_SEMANAL!$Z$6:$Z$2381,PLANEJAMENTO_SEMANAL!$F$6:$F$2381,$B9,PLANEJAMENTO_SEMANAL!$B$6:$B$2381,BJ$7)</f>
        <v>0</v>
      </c>
      <c r="BK9" s="16" t="n">
        <f aca="false">SUMIFS(PLANEJAMENTO_SEMANAL!$Z$6:$Z$2381,PLANEJAMENTO_SEMANAL!$F$6:$F$2381,$B9,PLANEJAMENTO_SEMANAL!$B$6:$B$2381,BK$7)</f>
        <v>0</v>
      </c>
      <c r="BL9" s="16" t="n">
        <f aca="false">SUMIFS(PLANEJAMENTO_SEMANAL!$Z$6:$Z$2381,PLANEJAMENTO_SEMANAL!$F$6:$F$2381,$B9,PLANEJAMENTO_SEMANAL!$B$6:$B$2381,BL$7)</f>
        <v>0</v>
      </c>
      <c r="BM9" s="16" t="n">
        <f aca="false">SUMIFS(PLANEJAMENTO_SEMANAL!$Z$6:$Z$2381,PLANEJAMENTO_SEMANAL!$F$6:$F$2381,$B9,PLANEJAMENTO_SEMANAL!$B$6:$B$2381,BM$7)</f>
        <v>0</v>
      </c>
      <c r="BN9" s="16" t="n">
        <f aca="false">SUMIFS(PLANEJAMENTO_SEMANAL!$Z$6:$Z$2381,PLANEJAMENTO_SEMANAL!$F$6:$F$2381,$B9,PLANEJAMENTO_SEMANAL!$B$6:$B$2381,BN$7)</f>
        <v>0</v>
      </c>
      <c r="BO9" s="16" t="n">
        <f aca="false">SUMIFS(PLANEJAMENTO_SEMANAL!$Z$6:$Z$2381,PLANEJAMENTO_SEMANAL!$F$6:$F$2381,$B9,PLANEJAMENTO_SEMANAL!$B$6:$B$2381,BO$7)</f>
        <v>0</v>
      </c>
      <c r="BP9" s="16" t="n">
        <f aca="false">SUMIFS(PLANEJAMENTO_SEMANAL!$Z$6:$Z$2381,PLANEJAMENTO_SEMANAL!$F$6:$F$2381,$B9,PLANEJAMENTO_SEMANAL!$B$6:$B$2381,BP$7)</f>
        <v>0</v>
      </c>
      <c r="BQ9" s="16" t="n">
        <f aca="false">SUM(C9:BP9)</f>
        <v>932230.253690536</v>
      </c>
    </row>
    <row r="10" customFormat="false" ht="15" hidden="false" customHeight="false" outlineLevel="0" collapsed="false">
      <c r="B10" s="15" t="s">
        <v>130</v>
      </c>
      <c r="C10" s="16" t="n">
        <f aca="false">SUMIFS(PLANEJAMENTO_SEMANAL!$Z$6:$Z$2381,PLANEJAMENTO_SEMANAL!$F$6:$F$2381,$B10,PLANEJAMENTO_SEMANAL!$B$6:$B$2381,C$7)</f>
        <v>0</v>
      </c>
      <c r="D10" s="16" t="n">
        <f aca="false">SUMIFS(PLANEJAMENTO_SEMANAL!$Z$6:$Z$2381,PLANEJAMENTO_SEMANAL!$F$6:$F$2381,$B10,PLANEJAMENTO_SEMANAL!$B$6:$B$2381,D$7)</f>
        <v>0</v>
      </c>
      <c r="E10" s="16" t="n">
        <f aca="false">SUMIFS(PLANEJAMENTO_SEMANAL!$Z$6:$Z$2381,PLANEJAMENTO_SEMANAL!$F$6:$F$2381,$B10,PLANEJAMENTO_SEMANAL!$B$6:$B$2381,E$7)</f>
        <v>0</v>
      </c>
      <c r="F10" s="16" t="n">
        <f aca="false">SUMIFS(PLANEJAMENTO_SEMANAL!$Z$6:$Z$2381,PLANEJAMENTO_SEMANAL!$F$6:$F$2381,$B10,PLANEJAMENTO_SEMANAL!$B$6:$B$2381,F$7)</f>
        <v>0</v>
      </c>
      <c r="G10" s="16" t="n">
        <f aca="false">SUMIFS(PLANEJAMENTO_SEMANAL!$Z$6:$Z$2381,PLANEJAMENTO_SEMANAL!$F$6:$F$2381,$B10,PLANEJAMENTO_SEMANAL!$B$6:$B$2381,G$7)</f>
        <v>2643.27152941176</v>
      </c>
      <c r="H10" s="16" t="n">
        <f aca="false">SUMIFS(PLANEJAMENTO_SEMANAL!$Z$6:$Z$2381,PLANEJAMENTO_SEMANAL!$F$6:$F$2381,$B10,PLANEJAMENTO_SEMANAL!$B$6:$B$2381,H$7)</f>
        <v>0</v>
      </c>
      <c r="I10" s="16" t="n">
        <f aca="false">SUMIFS(PLANEJAMENTO_SEMANAL!$Z$6:$Z$2381,PLANEJAMENTO_SEMANAL!$F$6:$F$2381,$B10,PLANEJAMENTO_SEMANAL!$B$6:$B$2381,I$7)</f>
        <v>0</v>
      </c>
      <c r="J10" s="16" t="n">
        <f aca="false">SUMIFS(PLANEJAMENTO_SEMANAL!$Z$6:$Z$2381,PLANEJAMENTO_SEMANAL!$F$6:$F$2381,$B10,PLANEJAMENTO_SEMANAL!$B$6:$B$2381,J$7)</f>
        <v>542.087695025542</v>
      </c>
      <c r="K10" s="16" t="n">
        <f aca="false">SUMIFS(PLANEJAMENTO_SEMANAL!$Z$6:$Z$2381,PLANEJAMENTO_SEMANAL!$F$6:$F$2381,$B10,PLANEJAMENTO_SEMANAL!$B$6:$B$2381,K$7)</f>
        <v>12201.1742158828</v>
      </c>
      <c r="L10" s="16" t="n">
        <f aca="false">SUMIFS(PLANEJAMENTO_SEMANAL!$Z$6:$Z$2381,PLANEJAMENTO_SEMANAL!$F$6:$F$2381,$B10,PLANEJAMENTO_SEMANAL!$B$6:$B$2381,L$7)</f>
        <v>0</v>
      </c>
      <c r="M10" s="16" t="n">
        <f aca="false">SUMIFS(PLANEJAMENTO_SEMANAL!$Z$6:$Z$2381,PLANEJAMENTO_SEMANAL!$F$6:$F$2381,$B10,PLANEJAMENTO_SEMANAL!$B$6:$B$2381,M$7)</f>
        <v>4598.93885139783</v>
      </c>
      <c r="N10" s="16" t="n">
        <f aca="false">SUMIFS(PLANEJAMENTO_SEMANAL!$Z$6:$Z$2381,PLANEJAMENTO_SEMANAL!$F$6:$F$2381,$B10,PLANEJAMENTO_SEMANAL!$B$6:$B$2381,N$7)</f>
        <v>4870.04164705882</v>
      </c>
      <c r="O10" s="16" t="n">
        <f aca="false">SUMIFS(PLANEJAMENTO_SEMANAL!$Z$6:$Z$2381,PLANEJAMENTO_SEMANAL!$F$6:$F$2381,$B10,PLANEJAMENTO_SEMANAL!$B$6:$B$2381,O$7)</f>
        <v>4870.04164705882</v>
      </c>
      <c r="P10" s="16" t="n">
        <f aca="false">SUMIFS(PLANEJAMENTO_SEMANAL!$Z$6:$Z$2381,PLANEJAMENTO_SEMANAL!$F$6:$F$2381,$B10,PLANEJAMENTO_SEMANAL!$B$6:$B$2381,P$7)</f>
        <v>0</v>
      </c>
      <c r="Q10" s="16" t="n">
        <f aca="false">SUMIFS(PLANEJAMENTO_SEMANAL!$Z$6:$Z$2381,PLANEJAMENTO_SEMANAL!$F$6:$F$2381,$B10,PLANEJAMENTO_SEMANAL!$B$6:$B$2381,Q$7)</f>
        <v>0</v>
      </c>
      <c r="R10" s="16" t="n">
        <f aca="false">SUMIFS(PLANEJAMENTO_SEMANAL!$Z$6:$Z$2381,PLANEJAMENTO_SEMANAL!$F$6:$F$2381,$B10,PLANEJAMENTO_SEMANAL!$B$6:$B$2381,R$7)</f>
        <v>0</v>
      </c>
      <c r="S10" s="16" t="n">
        <f aca="false">SUMIFS(PLANEJAMENTO_SEMANAL!$Z$6:$Z$2381,PLANEJAMENTO_SEMANAL!$F$6:$F$2381,$B10,PLANEJAMENTO_SEMANAL!$B$6:$B$2381,S$7)</f>
        <v>0</v>
      </c>
      <c r="T10" s="16" t="n">
        <f aca="false">SUMIFS(PLANEJAMENTO_SEMANAL!$Z$6:$Z$2381,PLANEJAMENTO_SEMANAL!$F$6:$F$2381,$B10,PLANEJAMENTO_SEMANAL!$B$6:$B$2381,T$7)</f>
        <v>530.509340450525</v>
      </c>
      <c r="U10" s="16" t="n">
        <f aca="false">SUMIFS(PLANEJAMENTO_SEMANAL!$Z$6:$Z$2381,PLANEJAMENTO_SEMANAL!$F$6:$F$2381,$B10,PLANEJAMENTO_SEMANAL!$B$6:$B$2381,U$7)</f>
        <v>0</v>
      </c>
      <c r="V10" s="16" t="n">
        <f aca="false">SUMIFS(PLANEJAMENTO_SEMANAL!$Z$6:$Z$2381,PLANEJAMENTO_SEMANAL!$F$6:$F$2381,$B10,PLANEJAMENTO_SEMANAL!$B$6:$B$2381,V$7)</f>
        <v>0</v>
      </c>
      <c r="W10" s="16" t="n">
        <f aca="false">SUMIFS(PLANEJAMENTO_SEMANAL!$Z$6:$Z$2381,PLANEJAMENTO_SEMANAL!$F$6:$F$2381,$B10,PLANEJAMENTO_SEMANAL!$B$6:$B$2381,W$7)</f>
        <v>0</v>
      </c>
      <c r="X10" s="16" t="n">
        <f aca="false">SUMIFS(PLANEJAMENTO_SEMANAL!$Z$6:$Z$2381,PLANEJAMENTO_SEMANAL!$F$6:$F$2381,$B10,PLANEJAMENTO_SEMANAL!$B$6:$B$2381,X$7)</f>
        <v>0</v>
      </c>
      <c r="Y10" s="16" t="n">
        <f aca="false">SUMIFS(PLANEJAMENTO_SEMANAL!$Z$6:$Z$2381,PLANEJAMENTO_SEMANAL!$F$6:$F$2381,$B10,PLANEJAMENTO_SEMANAL!$B$6:$B$2381,Y$7)</f>
        <v>0</v>
      </c>
      <c r="Z10" s="16" t="n">
        <f aca="false">SUMIFS(PLANEJAMENTO_SEMANAL!$Z$6:$Z$2381,PLANEJAMENTO_SEMANAL!$F$6:$F$2381,$B10,PLANEJAMENTO_SEMANAL!$B$6:$B$2381,Z$7)</f>
        <v>0</v>
      </c>
      <c r="AA10" s="16" t="n">
        <f aca="false">SUMIFS(PLANEJAMENTO_SEMANAL!$Z$6:$Z$2381,PLANEJAMENTO_SEMANAL!$F$6:$F$2381,$B10,PLANEJAMENTO_SEMANAL!$B$6:$B$2381,AA$7)</f>
        <v>0</v>
      </c>
      <c r="AB10" s="16" t="n">
        <f aca="false">SUMIFS(PLANEJAMENTO_SEMANAL!$Z$6:$Z$2381,PLANEJAMENTO_SEMANAL!$F$6:$F$2381,$B10,PLANEJAMENTO_SEMANAL!$B$6:$B$2381,AB$7)</f>
        <v>0</v>
      </c>
      <c r="AC10" s="16" t="n">
        <f aca="false">SUMIFS(PLANEJAMENTO_SEMANAL!$Z$6:$Z$2381,PLANEJAMENTO_SEMANAL!$F$6:$F$2381,$B10,PLANEJAMENTO_SEMANAL!$B$6:$B$2381,AC$7)</f>
        <v>0</v>
      </c>
      <c r="AD10" s="16" t="n">
        <f aca="false">SUMIFS(PLANEJAMENTO_SEMANAL!$Z$6:$Z$2381,PLANEJAMENTO_SEMANAL!$F$6:$F$2381,$B10,PLANEJAMENTO_SEMANAL!$B$6:$B$2381,AD$7)</f>
        <v>0</v>
      </c>
      <c r="AE10" s="16" t="n">
        <f aca="false">SUMIFS(PLANEJAMENTO_SEMANAL!$Z$6:$Z$2381,PLANEJAMENTO_SEMANAL!$F$6:$F$2381,$B10,PLANEJAMENTO_SEMANAL!$B$6:$B$2381,AE$7)</f>
        <v>0</v>
      </c>
      <c r="AF10" s="16" t="n">
        <f aca="false">SUMIFS(PLANEJAMENTO_SEMANAL!$Z$6:$Z$2381,PLANEJAMENTO_SEMANAL!$F$6:$F$2381,$B10,PLANEJAMENTO_SEMANAL!$B$6:$B$2381,AF$7)</f>
        <v>0</v>
      </c>
      <c r="AG10" s="16" t="n">
        <f aca="false">SUMIFS(PLANEJAMENTO_SEMANAL!$Z$6:$Z$2381,PLANEJAMENTO_SEMANAL!$F$6:$F$2381,$B10,PLANEJAMENTO_SEMANAL!$B$6:$B$2381,AG$7)</f>
        <v>7736.53678524191</v>
      </c>
      <c r="AH10" s="16" t="n">
        <f aca="false">SUMIFS(PLANEJAMENTO_SEMANAL!$Z$6:$Z$2381,PLANEJAMENTO_SEMANAL!$F$6:$F$2381,$B10,PLANEJAMENTO_SEMANAL!$B$6:$B$2381,AH$7)</f>
        <v>32012.5895676993</v>
      </c>
      <c r="AI10" s="16" t="n">
        <f aca="false">SUMIFS(PLANEJAMENTO_SEMANAL!$Z$6:$Z$2381,PLANEJAMENTO_SEMANAL!$F$6:$F$2381,$B10,PLANEJAMENTO_SEMANAL!$B$6:$B$2381,AI$7)</f>
        <v>40108.2832676645</v>
      </c>
      <c r="AJ10" s="16" t="n">
        <f aca="false">SUMIFS(PLANEJAMENTO_SEMANAL!$Z$6:$Z$2381,PLANEJAMENTO_SEMANAL!$F$6:$F$2381,$B10,PLANEJAMENTO_SEMANAL!$B$6:$B$2381,AJ$7)</f>
        <v>48203.9769676296</v>
      </c>
      <c r="AK10" s="16" t="n">
        <f aca="false">SUMIFS(PLANEJAMENTO_SEMANAL!$Z$6:$Z$2381,PLANEJAMENTO_SEMANAL!$F$6:$F$2381,$B10,PLANEJAMENTO_SEMANAL!$B$6:$B$2381,AK$7)</f>
        <v>59210.6783529412</v>
      </c>
      <c r="AL10" s="16" t="n">
        <f aca="false">SUMIFS(PLANEJAMENTO_SEMANAL!$Z$6:$Z$2381,PLANEJAMENTO_SEMANAL!$F$6:$F$2381,$B10,PLANEJAMENTO_SEMANAL!$B$6:$B$2381,AL$7)</f>
        <v>72415.401882353</v>
      </c>
      <c r="AM10" s="16" t="n">
        <f aca="false">SUMIFS(PLANEJAMENTO_SEMANAL!$Z$6:$Z$2381,PLANEJAMENTO_SEMANAL!$F$6:$F$2381,$B10,PLANEJAMENTO_SEMANAL!$B$6:$B$2381,AM$7)</f>
        <v>72415.401882353</v>
      </c>
      <c r="AN10" s="16" t="n">
        <f aca="false">SUMIFS(PLANEJAMENTO_SEMANAL!$Z$6:$Z$2381,PLANEJAMENTO_SEMANAL!$F$6:$F$2381,$B10,PLANEJAMENTO_SEMANAL!$B$6:$B$2381,AN$7)</f>
        <v>72415.401882353</v>
      </c>
      <c r="AO10" s="16" t="n">
        <f aca="false">SUMIFS(PLANEJAMENTO_SEMANAL!$Z$6:$Z$2381,PLANEJAMENTO_SEMANAL!$F$6:$F$2381,$B10,PLANEJAMENTO_SEMANAL!$B$6:$B$2381,AO$7)</f>
        <v>72415.401882353</v>
      </c>
      <c r="AP10" s="16" t="n">
        <f aca="false">SUMIFS(PLANEJAMENTO_SEMANAL!$Z$6:$Z$2381,PLANEJAMENTO_SEMANAL!$F$6:$F$2381,$B10,PLANEJAMENTO_SEMANAL!$B$6:$B$2381,AP$7)</f>
        <v>72666.6988235294</v>
      </c>
      <c r="AQ10" s="16" t="n">
        <f aca="false">SUMIFS(PLANEJAMENTO_SEMANAL!$Z$6:$Z$2381,PLANEJAMENTO_SEMANAL!$F$6:$F$2381,$B10,PLANEJAMENTO_SEMANAL!$B$6:$B$2381,AQ$7)</f>
        <v>72708.5816470588</v>
      </c>
      <c r="AR10" s="16" t="n">
        <f aca="false">SUMIFS(PLANEJAMENTO_SEMANAL!$Z$6:$Z$2381,PLANEJAMENTO_SEMANAL!$F$6:$F$2381,$B10,PLANEJAMENTO_SEMANAL!$B$6:$B$2381,AR$7)</f>
        <v>72708.5816470588</v>
      </c>
      <c r="AS10" s="16" t="n">
        <f aca="false">SUMIFS(PLANEJAMENTO_SEMANAL!$Z$6:$Z$2381,PLANEJAMENTO_SEMANAL!$F$6:$F$2381,$B10,PLANEJAMENTO_SEMANAL!$B$6:$B$2381,AS$7)</f>
        <v>72708.5816470588</v>
      </c>
      <c r="AT10" s="16" t="n">
        <f aca="false">SUMIFS(PLANEJAMENTO_SEMANAL!$Z$6:$Z$2381,PLANEJAMENTO_SEMANAL!$F$6:$F$2381,$B10,PLANEJAMENTO_SEMANAL!$B$6:$B$2381,AT$7)</f>
        <v>73292.520598147</v>
      </c>
      <c r="AU10" s="16" t="n">
        <f aca="false">SUMIFS(PLANEJAMENTO_SEMANAL!$Z$6:$Z$2381,PLANEJAMENTO_SEMANAL!$F$6:$F$2381,$B10,PLANEJAMENTO_SEMANAL!$B$6:$B$2381,AU$7)</f>
        <v>71056.119306184</v>
      </c>
      <c r="AV10" s="16" t="n">
        <f aca="false">SUMIFS(PLANEJAMENTO_SEMANAL!$Z$6:$Z$2381,PLANEJAMENTO_SEMANAL!$F$6:$F$2381,$B10,PLANEJAMENTO_SEMANAL!$B$6:$B$2381,AV$7)</f>
        <v>66117.585520362</v>
      </c>
      <c r="AW10" s="16" t="n">
        <f aca="false">SUMIFS(PLANEJAMENTO_SEMANAL!$Z$6:$Z$2381,PLANEJAMENTO_SEMANAL!$F$6:$F$2381,$B10,PLANEJAMENTO_SEMANAL!$B$6:$B$2381,AW$7)</f>
        <v>61179.05173454</v>
      </c>
      <c r="AX10" s="16" t="n">
        <f aca="false">SUMIFS(PLANEJAMENTO_SEMANAL!$Z$6:$Z$2381,PLANEJAMENTO_SEMANAL!$F$6:$F$2381,$B10,PLANEJAMENTO_SEMANAL!$B$6:$B$2381,AX$7)</f>
        <v>57849.4013566042</v>
      </c>
      <c r="AY10" s="16" t="n">
        <f aca="false">SUMIFS(PLANEJAMENTO_SEMANAL!$Z$6:$Z$2381,PLANEJAMENTO_SEMANAL!$F$6:$F$2381,$B10,PLANEJAMENTO_SEMANAL!$B$6:$B$2381,AY$7)</f>
        <v>61530.5214117647</v>
      </c>
      <c r="AZ10" s="16" t="n">
        <f aca="false">SUMIFS(PLANEJAMENTO_SEMANAL!$Z$6:$Z$2381,PLANEJAMENTO_SEMANAL!$F$6:$F$2381,$B10,PLANEJAMENTO_SEMANAL!$B$6:$B$2381,AZ$7)</f>
        <v>55558.3410196078</v>
      </c>
      <c r="BA10" s="16" t="n">
        <f aca="false">SUMIFS(PLANEJAMENTO_SEMANAL!$Z$6:$Z$2381,PLANEJAMENTO_SEMANAL!$F$6:$F$2381,$B10,PLANEJAMENTO_SEMANAL!$B$6:$B$2381,BA$7)</f>
        <v>49586.160627451</v>
      </c>
      <c r="BB10" s="16" t="n">
        <f aca="false">SUMIFS(PLANEJAMENTO_SEMANAL!$Z$6:$Z$2381,PLANEJAMENTO_SEMANAL!$F$6:$F$2381,$B10,PLANEJAMENTO_SEMANAL!$B$6:$B$2381,BB$7)</f>
        <v>0</v>
      </c>
      <c r="BC10" s="16" t="n">
        <f aca="false">SUMIFS(PLANEJAMENTO_SEMANAL!$Z$6:$Z$2381,PLANEJAMENTO_SEMANAL!$F$6:$F$2381,$B10,PLANEJAMENTO_SEMANAL!$B$6:$B$2381,BC$7)</f>
        <v>0</v>
      </c>
      <c r="BD10" s="16" t="n">
        <f aca="false">SUMIFS(PLANEJAMENTO_SEMANAL!$Z$6:$Z$2381,PLANEJAMENTO_SEMANAL!$F$6:$F$2381,$B10,PLANEJAMENTO_SEMANAL!$B$6:$B$2381,BD$7)</f>
        <v>0</v>
      </c>
      <c r="BE10" s="16" t="n">
        <f aca="false">SUMIFS(PLANEJAMENTO_SEMANAL!$Z$6:$Z$2381,PLANEJAMENTO_SEMANAL!$F$6:$F$2381,$B10,PLANEJAMENTO_SEMANAL!$B$6:$B$2381,BE$7)</f>
        <v>0</v>
      </c>
      <c r="BF10" s="16" t="n">
        <f aca="false">SUMIFS(PLANEJAMENTO_SEMANAL!$Z$6:$Z$2381,PLANEJAMENTO_SEMANAL!$F$6:$F$2381,$B10,PLANEJAMENTO_SEMANAL!$B$6:$B$2381,BF$7)</f>
        <v>0</v>
      </c>
      <c r="BG10" s="16" t="n">
        <f aca="false">SUMIFS(PLANEJAMENTO_SEMANAL!$Z$6:$Z$2381,PLANEJAMENTO_SEMANAL!$F$6:$F$2381,$B10,PLANEJAMENTO_SEMANAL!$B$6:$B$2381,BG$7)</f>
        <v>0</v>
      </c>
      <c r="BH10" s="16" t="n">
        <f aca="false">SUMIFS(PLANEJAMENTO_SEMANAL!$Z$6:$Z$2381,PLANEJAMENTO_SEMANAL!$F$6:$F$2381,$B10,PLANEJAMENTO_SEMANAL!$B$6:$B$2381,BH$7)</f>
        <v>0</v>
      </c>
      <c r="BI10" s="16" t="n">
        <f aca="false">SUMIFS(PLANEJAMENTO_SEMANAL!$Z$6:$Z$2381,PLANEJAMENTO_SEMANAL!$F$6:$F$2381,$B10,PLANEJAMENTO_SEMANAL!$B$6:$B$2381,BI$7)</f>
        <v>0</v>
      </c>
      <c r="BJ10" s="16" t="n">
        <f aca="false">SUMIFS(PLANEJAMENTO_SEMANAL!$Z$6:$Z$2381,PLANEJAMENTO_SEMANAL!$F$6:$F$2381,$B10,PLANEJAMENTO_SEMANAL!$B$6:$B$2381,BJ$7)</f>
        <v>0</v>
      </c>
      <c r="BK10" s="16" t="n">
        <f aca="false">SUMIFS(PLANEJAMENTO_SEMANAL!$Z$6:$Z$2381,PLANEJAMENTO_SEMANAL!$F$6:$F$2381,$B10,PLANEJAMENTO_SEMANAL!$B$6:$B$2381,BK$7)</f>
        <v>0</v>
      </c>
      <c r="BL10" s="16" t="n">
        <f aca="false">SUMIFS(PLANEJAMENTO_SEMANAL!$Z$6:$Z$2381,PLANEJAMENTO_SEMANAL!$F$6:$F$2381,$B10,PLANEJAMENTO_SEMANAL!$B$6:$B$2381,BL$7)</f>
        <v>0</v>
      </c>
      <c r="BM10" s="16" t="n">
        <f aca="false">SUMIFS(PLANEJAMENTO_SEMANAL!$Z$6:$Z$2381,PLANEJAMENTO_SEMANAL!$F$6:$F$2381,$B10,PLANEJAMENTO_SEMANAL!$B$6:$B$2381,BM$7)</f>
        <v>0</v>
      </c>
      <c r="BN10" s="16" t="n">
        <f aca="false">SUMIFS(PLANEJAMENTO_SEMANAL!$Z$6:$Z$2381,PLANEJAMENTO_SEMANAL!$F$6:$F$2381,$B10,PLANEJAMENTO_SEMANAL!$B$6:$B$2381,BN$7)</f>
        <v>0</v>
      </c>
      <c r="BO10" s="16" t="n">
        <f aca="false">SUMIFS(PLANEJAMENTO_SEMANAL!$Z$6:$Z$2381,PLANEJAMENTO_SEMANAL!$F$6:$F$2381,$B10,PLANEJAMENTO_SEMANAL!$B$6:$B$2381,BO$7)</f>
        <v>0</v>
      </c>
      <c r="BP10" s="16" t="n">
        <f aca="false">SUMIFS(PLANEJAMENTO_SEMANAL!$Z$6:$Z$2381,PLANEJAMENTO_SEMANAL!$F$6:$F$2381,$B10,PLANEJAMENTO_SEMANAL!$B$6:$B$2381,BP$7)</f>
        <v>0</v>
      </c>
      <c r="BQ10" s="16" t="n">
        <f aca="false">SUM(C10:BP10)</f>
        <v>1294151.88273624</v>
      </c>
    </row>
    <row r="11" customFormat="false" ht="15" hidden="false" customHeight="false" outlineLevel="0" collapsed="false">
      <c r="B11" s="15" t="s">
        <v>131</v>
      </c>
      <c r="C11" s="16" t="n">
        <f aca="false">SUMIFS(PLANEJAMENTO_SEMANAL!$Z$6:$Z$2381,PLANEJAMENTO_SEMANAL!$F$6:$F$2381,$B11,PLANEJAMENTO_SEMANAL!$B$6:$B$2381,C$7)</f>
        <v>45952.144</v>
      </c>
      <c r="D11" s="16" t="n">
        <f aca="false">SUMIFS(PLANEJAMENTO_SEMANAL!$Z$6:$Z$2381,PLANEJAMENTO_SEMANAL!$F$6:$F$2381,$B11,PLANEJAMENTO_SEMANAL!$B$6:$B$2381,D$7)</f>
        <v>48375.0152941176</v>
      </c>
      <c r="E11" s="16" t="n">
        <f aca="false">SUMIFS(PLANEJAMENTO_SEMANAL!$Z$6:$Z$2381,PLANEJAMENTO_SEMANAL!$F$6:$F$2381,$B11,PLANEJAMENTO_SEMANAL!$B$6:$B$2381,E$7)</f>
        <v>48375.0152941176</v>
      </c>
      <c r="F11" s="16" t="n">
        <f aca="false">SUMIFS(PLANEJAMENTO_SEMANAL!$Z$6:$Z$2381,PLANEJAMENTO_SEMANAL!$F$6:$F$2381,$B11,PLANEJAMENTO_SEMANAL!$B$6:$B$2381,F$7)</f>
        <v>48375.0152941176</v>
      </c>
      <c r="G11" s="16" t="n">
        <f aca="false">SUMIFS(PLANEJAMENTO_SEMANAL!$Z$6:$Z$2381,PLANEJAMENTO_SEMANAL!$F$6:$F$2381,$B11,PLANEJAMENTO_SEMANAL!$B$6:$B$2381,G$7)</f>
        <v>39291.7032941176</v>
      </c>
      <c r="H11" s="16" t="n">
        <f aca="false">SUMIFS(PLANEJAMENTO_SEMANAL!$Z$6:$Z$2381,PLANEJAMENTO_SEMANAL!$F$6:$F$2381,$B11,PLANEJAMENTO_SEMANAL!$B$6:$B$2381,H$7)</f>
        <v>27558.1007058823</v>
      </c>
      <c r="I11" s="16" t="n">
        <f aca="false">SUMIFS(PLANEJAMENTO_SEMANAL!$Z$6:$Z$2381,PLANEJAMENTO_SEMANAL!$F$6:$F$2381,$B11,PLANEJAMENTO_SEMANAL!$B$6:$B$2381,I$7)</f>
        <v>27558.1007058823</v>
      </c>
      <c r="J11" s="16" t="n">
        <f aca="false">SUMIFS(PLANEJAMENTO_SEMANAL!$Z$6:$Z$2381,PLANEJAMENTO_SEMANAL!$F$6:$F$2381,$B11,PLANEJAMENTO_SEMANAL!$B$6:$B$2381,J$7)</f>
        <v>34101.1026539238</v>
      </c>
      <c r="K11" s="16" t="n">
        <f aca="false">SUMIFS(PLANEJAMENTO_SEMANAL!$Z$6:$Z$2381,PLANEJAMENTO_SEMANAL!$F$6:$F$2381,$B11,PLANEJAMENTO_SEMANAL!$B$6:$B$2381,K$7)</f>
        <v>40601.5190841048</v>
      </c>
      <c r="L11" s="16" t="n">
        <f aca="false">SUMIFS(PLANEJAMENTO_SEMANAL!$Z$6:$Z$2381,PLANEJAMENTO_SEMANAL!$F$6:$F$2381,$B11,PLANEJAMENTO_SEMANAL!$B$6:$B$2381,L$7)</f>
        <v>0</v>
      </c>
      <c r="M11" s="16" t="n">
        <f aca="false">SUMIFS(PLANEJAMENTO_SEMANAL!$Z$6:$Z$2381,PLANEJAMENTO_SEMANAL!$F$6:$F$2381,$B11,PLANEJAMENTO_SEMANAL!$B$6:$B$2381,M$7)</f>
        <v>5181.0368235294</v>
      </c>
      <c r="N11" s="16" t="n">
        <f aca="false">SUMIFS(PLANEJAMENTO_SEMANAL!$Z$6:$Z$2381,PLANEJAMENTO_SEMANAL!$F$6:$F$2381,$B11,PLANEJAMENTO_SEMANAL!$B$6:$B$2381,N$7)</f>
        <v>5181.0368235294</v>
      </c>
      <c r="O11" s="16" t="n">
        <f aca="false">SUMIFS(PLANEJAMENTO_SEMANAL!$Z$6:$Z$2381,PLANEJAMENTO_SEMANAL!$F$6:$F$2381,$B11,PLANEJAMENTO_SEMANAL!$B$6:$B$2381,O$7)</f>
        <v>5181.0368235294</v>
      </c>
      <c r="P11" s="16" t="n">
        <f aca="false">SUMIFS(PLANEJAMENTO_SEMANAL!$Z$6:$Z$2381,PLANEJAMENTO_SEMANAL!$F$6:$F$2381,$B11,PLANEJAMENTO_SEMANAL!$B$6:$B$2381,P$7)</f>
        <v>0</v>
      </c>
      <c r="Q11" s="16" t="n">
        <f aca="false">SUMIFS(PLANEJAMENTO_SEMANAL!$Z$6:$Z$2381,PLANEJAMENTO_SEMANAL!$F$6:$F$2381,$B11,PLANEJAMENTO_SEMANAL!$B$6:$B$2381,Q$7)</f>
        <v>0</v>
      </c>
      <c r="R11" s="16" t="n">
        <f aca="false">SUMIFS(PLANEJAMENTO_SEMANAL!$Z$6:$Z$2381,PLANEJAMENTO_SEMANAL!$F$6:$F$2381,$B11,PLANEJAMENTO_SEMANAL!$B$6:$B$2381,R$7)</f>
        <v>0</v>
      </c>
      <c r="S11" s="16" t="n">
        <f aca="false">SUMIFS(PLANEJAMENTO_SEMANAL!$Z$6:$Z$2381,PLANEJAMENTO_SEMANAL!$F$6:$F$2381,$B11,PLANEJAMENTO_SEMANAL!$B$6:$B$2381,S$7)</f>
        <v>0</v>
      </c>
      <c r="T11" s="16" t="n">
        <f aca="false">SUMIFS(PLANEJAMENTO_SEMANAL!$Z$6:$Z$2381,PLANEJAMENTO_SEMANAL!$F$6:$F$2381,$B11,PLANEJAMENTO_SEMANAL!$B$6:$B$2381,T$7)</f>
        <v>0</v>
      </c>
      <c r="U11" s="16" t="n">
        <f aca="false">SUMIFS(PLANEJAMENTO_SEMANAL!$Z$6:$Z$2381,PLANEJAMENTO_SEMANAL!$F$6:$F$2381,$B11,PLANEJAMENTO_SEMANAL!$B$6:$B$2381,U$7)</f>
        <v>0</v>
      </c>
      <c r="V11" s="16" t="n">
        <f aca="false">SUMIFS(PLANEJAMENTO_SEMANAL!$Z$6:$Z$2381,PLANEJAMENTO_SEMANAL!$F$6:$F$2381,$B11,PLANEJAMENTO_SEMANAL!$B$6:$B$2381,V$7)</f>
        <v>0</v>
      </c>
      <c r="W11" s="16" t="n">
        <f aca="false">SUMIFS(PLANEJAMENTO_SEMANAL!$Z$6:$Z$2381,PLANEJAMENTO_SEMANAL!$F$6:$F$2381,$B11,PLANEJAMENTO_SEMANAL!$B$6:$B$2381,W$7)</f>
        <v>0</v>
      </c>
      <c r="X11" s="16" t="n">
        <f aca="false">SUMIFS(PLANEJAMENTO_SEMANAL!$Z$6:$Z$2381,PLANEJAMENTO_SEMANAL!$F$6:$F$2381,$B11,PLANEJAMENTO_SEMANAL!$B$6:$B$2381,X$7)</f>
        <v>0</v>
      </c>
      <c r="Y11" s="16" t="n">
        <f aca="false">SUMIFS(PLANEJAMENTO_SEMANAL!$Z$6:$Z$2381,PLANEJAMENTO_SEMANAL!$F$6:$F$2381,$B11,PLANEJAMENTO_SEMANAL!$B$6:$B$2381,Y$7)</f>
        <v>0</v>
      </c>
      <c r="Z11" s="16" t="n">
        <f aca="false">SUMIFS(PLANEJAMENTO_SEMANAL!$Z$6:$Z$2381,PLANEJAMENTO_SEMANAL!$F$6:$F$2381,$B11,PLANEJAMENTO_SEMANAL!$B$6:$B$2381,Z$7)</f>
        <v>1868.08175333564</v>
      </c>
      <c r="AA11" s="16" t="n">
        <f aca="false">SUMIFS(PLANEJAMENTO_SEMANAL!$Z$6:$Z$2381,PLANEJAMENTO_SEMANAL!$F$6:$F$2381,$B11,PLANEJAMENTO_SEMANAL!$B$6:$B$2381,AA$7)</f>
        <v>11860.3244986657</v>
      </c>
      <c r="AB11" s="16" t="n">
        <f aca="false">SUMIFS(PLANEJAMENTO_SEMANAL!$Z$6:$Z$2381,PLANEJAMENTO_SEMANAL!$F$6:$F$2381,$B11,PLANEJAMENTO_SEMANAL!$B$6:$B$2381,AB$7)</f>
        <v>20262.9608323471</v>
      </c>
      <c r="AC11" s="16" t="n">
        <f aca="false">SUMIFS(PLANEJAMENTO_SEMANAL!$Z$6:$Z$2381,PLANEJAMENTO_SEMANAL!$F$6:$F$2381,$B11,PLANEJAMENTO_SEMANAL!$B$6:$B$2381,AC$7)</f>
        <v>28014.466117647</v>
      </c>
      <c r="AD11" s="16" t="n">
        <f aca="false">SUMIFS(PLANEJAMENTO_SEMANAL!$Z$6:$Z$2381,PLANEJAMENTO_SEMANAL!$F$6:$F$2381,$B11,PLANEJAMENTO_SEMANAL!$B$6:$B$2381,AD$7)</f>
        <v>28014.466117647</v>
      </c>
      <c r="AE11" s="16" t="n">
        <f aca="false">SUMIFS(PLANEJAMENTO_SEMANAL!$Z$6:$Z$2381,PLANEJAMENTO_SEMANAL!$F$6:$F$2381,$B11,PLANEJAMENTO_SEMANAL!$B$6:$B$2381,AE$7)</f>
        <v>28014.466117647</v>
      </c>
      <c r="AF11" s="16" t="n">
        <f aca="false">SUMIFS(PLANEJAMENTO_SEMANAL!$Z$6:$Z$2381,PLANEJAMENTO_SEMANAL!$F$6:$F$2381,$B11,PLANEJAMENTO_SEMANAL!$B$6:$B$2381,AF$7)</f>
        <v>28014.466117647</v>
      </c>
      <c r="AG11" s="16" t="n">
        <f aca="false">SUMIFS(PLANEJAMENTO_SEMANAL!$Z$6:$Z$2381,PLANEJAMENTO_SEMANAL!$F$6:$F$2381,$B11,PLANEJAMENTO_SEMANAL!$B$6:$B$2381,AG$7)</f>
        <v>73213.4894401258</v>
      </c>
      <c r="AH11" s="16" t="n">
        <f aca="false">SUMIFS(PLANEJAMENTO_SEMANAL!$Z$6:$Z$2381,PLANEJAMENTO_SEMANAL!$F$6:$F$2381,$B11,PLANEJAMENTO_SEMANAL!$B$6:$B$2381,AH$7)</f>
        <v>125640.372091116</v>
      </c>
      <c r="AI11" s="16" t="n">
        <f aca="false">SUMIFS(PLANEJAMENTO_SEMANAL!$Z$6:$Z$2381,PLANEJAMENTO_SEMANAL!$F$6:$F$2381,$B11,PLANEJAMENTO_SEMANAL!$B$6:$B$2381,AI$7)</f>
        <v>134430.642733496</v>
      </c>
      <c r="AJ11" s="16" t="n">
        <f aca="false">SUMIFS(PLANEJAMENTO_SEMANAL!$Z$6:$Z$2381,PLANEJAMENTO_SEMANAL!$F$6:$F$2381,$B11,PLANEJAMENTO_SEMANAL!$B$6:$B$2381,AJ$7)</f>
        <v>143220.913375875</v>
      </c>
      <c r="AK11" s="16" t="n">
        <f aca="false">SUMIFS(PLANEJAMENTO_SEMANAL!$Z$6:$Z$2381,PLANEJAMENTO_SEMANAL!$F$6:$F$2381,$B11,PLANEJAMENTO_SEMANAL!$B$6:$B$2381,AK$7)</f>
        <v>155950.966308985</v>
      </c>
      <c r="AL11" s="16" t="n">
        <f aca="false">SUMIFS(PLANEJAMENTO_SEMANAL!$Z$6:$Z$2381,PLANEJAMENTO_SEMANAL!$F$6:$F$2381,$B11,PLANEJAMENTO_SEMANAL!$B$6:$B$2381,AL$7)</f>
        <v>184696.767420815</v>
      </c>
      <c r="AM11" s="16" t="n">
        <f aca="false">SUMIFS(PLANEJAMENTO_SEMANAL!$Z$6:$Z$2381,PLANEJAMENTO_SEMANAL!$F$6:$F$2381,$B11,PLANEJAMENTO_SEMANAL!$B$6:$B$2381,AM$7)</f>
        <v>176672.984162896</v>
      </c>
      <c r="AN11" s="16" t="n">
        <f aca="false">SUMIFS(PLANEJAMENTO_SEMANAL!$Z$6:$Z$2381,PLANEJAMENTO_SEMANAL!$F$6:$F$2381,$B11,PLANEJAMENTO_SEMANAL!$B$6:$B$2381,AN$7)</f>
        <v>168649.200904977</v>
      </c>
      <c r="AO11" s="16" t="n">
        <f aca="false">SUMIFS(PLANEJAMENTO_SEMANAL!$Z$6:$Z$2381,PLANEJAMENTO_SEMANAL!$F$6:$F$2381,$B11,PLANEJAMENTO_SEMANAL!$B$6:$B$2381,AO$7)</f>
        <v>160625.417647059</v>
      </c>
      <c r="AP11" s="16" t="n">
        <f aca="false">SUMIFS(PLANEJAMENTO_SEMANAL!$Z$6:$Z$2381,PLANEJAMENTO_SEMANAL!$F$6:$F$2381,$B11,PLANEJAMENTO_SEMANAL!$B$6:$B$2381,AP$7)</f>
        <v>155119.435242405</v>
      </c>
      <c r="AQ11" s="16" t="n">
        <f aca="false">SUMIFS(PLANEJAMENTO_SEMANAL!$Z$6:$Z$2381,PLANEJAMENTO_SEMANAL!$F$6:$F$2381,$B11,PLANEJAMENTO_SEMANAL!$B$6:$B$2381,AQ$7)</f>
        <v>147897.370377074</v>
      </c>
      <c r="AR11" s="16" t="n">
        <f aca="false">SUMIFS(PLANEJAMENTO_SEMANAL!$Z$6:$Z$2381,PLANEJAMENTO_SEMANAL!$F$6:$F$2381,$B11,PLANEJAMENTO_SEMANAL!$B$6:$B$2381,AR$7)</f>
        <v>98333.8252066365</v>
      </c>
      <c r="AS11" s="16" t="n">
        <f aca="false">SUMIFS(PLANEJAMENTO_SEMANAL!$Z$6:$Z$2381,PLANEJAMENTO_SEMANAL!$F$6:$F$2381,$B11,PLANEJAMENTO_SEMANAL!$B$6:$B$2381,AS$7)</f>
        <v>94392.3636078431</v>
      </c>
      <c r="AT11" s="16" t="n">
        <f aca="false">SUMIFS(PLANEJAMENTO_SEMANAL!$Z$6:$Z$2381,PLANEJAMENTO_SEMANAL!$F$6:$F$2381,$B11,PLANEJAMENTO_SEMANAL!$B$6:$B$2381,AT$7)</f>
        <v>74172.4343339797</v>
      </c>
      <c r="AU11" s="16" t="n">
        <f aca="false">SUMIFS(PLANEJAMENTO_SEMANAL!$Z$6:$Z$2381,PLANEJAMENTO_SEMANAL!$F$6:$F$2381,$B11,PLANEJAMENTO_SEMANAL!$B$6:$B$2381,AU$7)</f>
        <v>71141.2077435897</v>
      </c>
      <c r="AV11" s="16" t="n">
        <f aca="false">SUMIFS(PLANEJAMENTO_SEMANAL!$Z$6:$Z$2381,PLANEJAMENTO_SEMANAL!$F$6:$F$2381,$B11,PLANEJAMENTO_SEMANAL!$B$6:$B$2381,AV$7)</f>
        <v>65352.4311312217</v>
      </c>
      <c r="AW11" s="16" t="n">
        <f aca="false">SUMIFS(PLANEJAMENTO_SEMANAL!$Z$6:$Z$2381,PLANEJAMENTO_SEMANAL!$F$6:$F$2381,$B11,PLANEJAMENTO_SEMANAL!$B$6:$B$2381,AW$7)</f>
        <v>59563.6545188537</v>
      </c>
      <c r="AX11" s="16" t="n">
        <f aca="false">SUMIFS(PLANEJAMENTO_SEMANAL!$Z$6:$Z$2381,PLANEJAMENTO_SEMANAL!$F$6:$F$2381,$B11,PLANEJAMENTO_SEMANAL!$B$6:$B$2381,AX$7)</f>
        <v>55305.3936117216</v>
      </c>
      <c r="AY11" s="16" t="n">
        <f aca="false">SUMIFS(PLANEJAMENTO_SEMANAL!$Z$6:$Z$2381,PLANEJAMENTO_SEMANAL!$F$6:$F$2381,$B11,PLANEJAMENTO_SEMANAL!$B$6:$B$2381,AY$7)</f>
        <v>33272.6274509804</v>
      </c>
      <c r="AZ11" s="16" t="n">
        <f aca="false">SUMIFS(PLANEJAMENTO_SEMANAL!$Z$6:$Z$2381,PLANEJAMENTO_SEMANAL!$F$6:$F$2381,$B11,PLANEJAMENTO_SEMANAL!$B$6:$B$2381,AZ$7)</f>
        <v>29951.0588235294</v>
      </c>
      <c r="BA11" s="16" t="n">
        <f aca="false">SUMIFS(PLANEJAMENTO_SEMANAL!$Z$6:$Z$2381,PLANEJAMENTO_SEMANAL!$F$6:$F$2381,$B11,PLANEJAMENTO_SEMANAL!$B$6:$B$2381,BA$7)</f>
        <v>0</v>
      </c>
      <c r="BB11" s="16" t="n">
        <f aca="false">SUMIFS(PLANEJAMENTO_SEMANAL!$Z$6:$Z$2381,PLANEJAMENTO_SEMANAL!$F$6:$F$2381,$B11,PLANEJAMENTO_SEMANAL!$B$6:$B$2381,BB$7)</f>
        <v>0</v>
      </c>
      <c r="BC11" s="16" t="n">
        <f aca="false">SUMIFS(PLANEJAMENTO_SEMANAL!$Z$6:$Z$2381,PLANEJAMENTO_SEMANAL!$F$6:$F$2381,$B11,PLANEJAMENTO_SEMANAL!$B$6:$B$2381,BC$7)</f>
        <v>0</v>
      </c>
      <c r="BD11" s="16" t="n">
        <f aca="false">SUMIFS(PLANEJAMENTO_SEMANAL!$Z$6:$Z$2381,PLANEJAMENTO_SEMANAL!$F$6:$F$2381,$B11,PLANEJAMENTO_SEMANAL!$B$6:$B$2381,BD$7)</f>
        <v>0</v>
      </c>
      <c r="BE11" s="16" t="n">
        <f aca="false">SUMIFS(PLANEJAMENTO_SEMANAL!$Z$6:$Z$2381,PLANEJAMENTO_SEMANAL!$F$6:$F$2381,$B11,PLANEJAMENTO_SEMANAL!$B$6:$B$2381,BE$7)</f>
        <v>0</v>
      </c>
      <c r="BF11" s="16" t="n">
        <f aca="false">SUMIFS(PLANEJAMENTO_SEMANAL!$Z$6:$Z$2381,PLANEJAMENTO_SEMANAL!$F$6:$F$2381,$B11,PLANEJAMENTO_SEMANAL!$B$6:$B$2381,BF$7)</f>
        <v>0</v>
      </c>
      <c r="BG11" s="16" t="n">
        <f aca="false">SUMIFS(PLANEJAMENTO_SEMANAL!$Z$6:$Z$2381,PLANEJAMENTO_SEMANAL!$F$6:$F$2381,$B11,PLANEJAMENTO_SEMANAL!$B$6:$B$2381,BG$7)</f>
        <v>0</v>
      </c>
      <c r="BH11" s="16" t="n">
        <f aca="false">SUMIFS(PLANEJAMENTO_SEMANAL!$Z$6:$Z$2381,PLANEJAMENTO_SEMANAL!$F$6:$F$2381,$B11,PLANEJAMENTO_SEMANAL!$B$6:$B$2381,BH$7)</f>
        <v>0</v>
      </c>
      <c r="BI11" s="16" t="n">
        <f aca="false">SUMIFS(PLANEJAMENTO_SEMANAL!$Z$6:$Z$2381,PLANEJAMENTO_SEMANAL!$F$6:$F$2381,$B11,PLANEJAMENTO_SEMANAL!$B$6:$B$2381,BI$7)</f>
        <v>0</v>
      </c>
      <c r="BJ11" s="16" t="n">
        <f aca="false">SUMIFS(PLANEJAMENTO_SEMANAL!$Z$6:$Z$2381,PLANEJAMENTO_SEMANAL!$F$6:$F$2381,$B11,PLANEJAMENTO_SEMANAL!$B$6:$B$2381,BJ$7)</f>
        <v>0</v>
      </c>
      <c r="BK11" s="16" t="n">
        <f aca="false">SUMIFS(PLANEJAMENTO_SEMANAL!$Z$6:$Z$2381,PLANEJAMENTO_SEMANAL!$F$6:$F$2381,$B11,PLANEJAMENTO_SEMANAL!$B$6:$B$2381,BK$7)</f>
        <v>0</v>
      </c>
      <c r="BL11" s="16" t="n">
        <f aca="false">SUMIFS(PLANEJAMENTO_SEMANAL!$Z$6:$Z$2381,PLANEJAMENTO_SEMANAL!$F$6:$F$2381,$B11,PLANEJAMENTO_SEMANAL!$B$6:$B$2381,BL$7)</f>
        <v>0</v>
      </c>
      <c r="BM11" s="16" t="n">
        <f aca="false">SUMIFS(PLANEJAMENTO_SEMANAL!$Z$6:$Z$2381,PLANEJAMENTO_SEMANAL!$F$6:$F$2381,$B11,PLANEJAMENTO_SEMANAL!$B$6:$B$2381,BM$7)</f>
        <v>0</v>
      </c>
      <c r="BN11" s="16" t="n">
        <f aca="false">SUMIFS(PLANEJAMENTO_SEMANAL!$Z$6:$Z$2381,PLANEJAMENTO_SEMANAL!$F$6:$F$2381,$B11,PLANEJAMENTO_SEMANAL!$B$6:$B$2381,BN$7)</f>
        <v>0</v>
      </c>
      <c r="BO11" s="16" t="n">
        <f aca="false">SUMIFS(PLANEJAMENTO_SEMANAL!$Z$6:$Z$2381,PLANEJAMENTO_SEMANAL!$F$6:$F$2381,$B11,PLANEJAMENTO_SEMANAL!$B$6:$B$2381,BO$7)</f>
        <v>0</v>
      </c>
      <c r="BP11" s="16" t="n">
        <f aca="false">SUMIFS(PLANEJAMENTO_SEMANAL!$Z$6:$Z$2381,PLANEJAMENTO_SEMANAL!$F$6:$F$2381,$B11,PLANEJAMENTO_SEMANAL!$B$6:$B$2381,BP$7)</f>
        <v>0</v>
      </c>
      <c r="BQ11" s="16" t="n">
        <f aca="false">SUM(C11:BP11)</f>
        <v>2729382.61448497</v>
      </c>
    </row>
    <row r="12" customFormat="false" ht="15" hidden="false" customHeight="false" outlineLevel="0" collapsed="false">
      <c r="B12" s="15" t="s">
        <v>132</v>
      </c>
      <c r="C12" s="16" t="n">
        <f aca="false">SUMIFS(PLANEJAMENTO_SEMANAL!$Z$6:$Z$2381,PLANEJAMENTO_SEMANAL!$F$6:$F$2381,$B12,PLANEJAMENTO_SEMANAL!$B$6:$B$2381,C$7)</f>
        <v>96601.344</v>
      </c>
      <c r="D12" s="16" t="n">
        <f aca="false">SUMIFS(PLANEJAMENTO_SEMANAL!$Z$6:$Z$2381,PLANEJAMENTO_SEMANAL!$F$6:$F$2381,$B12,PLANEJAMENTO_SEMANAL!$B$6:$B$2381,D$7)</f>
        <v>96643.68</v>
      </c>
      <c r="E12" s="16" t="n">
        <f aca="false">SUMIFS(PLANEJAMENTO_SEMANAL!$Z$6:$Z$2381,PLANEJAMENTO_SEMANAL!$F$6:$F$2381,$B12,PLANEJAMENTO_SEMANAL!$B$6:$B$2381,E$7)</f>
        <v>96643.68</v>
      </c>
      <c r="F12" s="16" t="n">
        <f aca="false">SUMIFS(PLANEJAMENTO_SEMANAL!$Z$6:$Z$2381,PLANEJAMENTO_SEMANAL!$F$6:$F$2381,$B12,PLANEJAMENTO_SEMANAL!$B$6:$B$2381,F$7)</f>
        <v>96643.68</v>
      </c>
      <c r="G12" s="16" t="n">
        <f aca="false">SUMIFS(PLANEJAMENTO_SEMANAL!$Z$6:$Z$2381,PLANEJAMENTO_SEMANAL!$F$6:$F$2381,$B12,PLANEJAMENTO_SEMANAL!$B$6:$B$2381,G$7)</f>
        <v>72879.072</v>
      </c>
      <c r="H12" s="16" t="n">
        <f aca="false">SUMIFS(PLANEJAMENTO_SEMANAL!$Z$6:$Z$2381,PLANEJAMENTO_SEMANAL!$F$6:$F$2381,$B12,PLANEJAMENTO_SEMANAL!$B$6:$B$2381,H$7)</f>
        <v>55055.616</v>
      </c>
      <c r="I12" s="16" t="n">
        <f aca="false">SUMIFS(PLANEJAMENTO_SEMANAL!$Z$6:$Z$2381,PLANEJAMENTO_SEMANAL!$F$6:$F$2381,$B12,PLANEJAMENTO_SEMANAL!$B$6:$B$2381,I$7)</f>
        <v>55055.616</v>
      </c>
      <c r="J12" s="16" t="n">
        <f aca="false">SUMIFS(PLANEJAMENTO_SEMANAL!$Z$6:$Z$2381,PLANEJAMENTO_SEMANAL!$F$6:$F$2381,$B12,PLANEJAMENTO_SEMANAL!$B$6:$B$2381,J$7)</f>
        <v>47449.248</v>
      </c>
      <c r="K12" s="16" t="n">
        <f aca="false">SUMIFS(PLANEJAMENTO_SEMANAL!$Z$6:$Z$2381,PLANEJAMENTO_SEMANAL!$F$6:$F$2381,$B12,PLANEJAMENTO_SEMANAL!$B$6:$B$2381,K$7)</f>
        <v>31707.606</v>
      </c>
      <c r="L12" s="16" t="n">
        <f aca="false">SUMIFS(PLANEJAMENTO_SEMANAL!$Z$6:$Z$2381,PLANEJAMENTO_SEMANAL!$F$6:$F$2381,$B12,PLANEJAMENTO_SEMANAL!$B$6:$B$2381,L$7)</f>
        <v>0</v>
      </c>
      <c r="M12" s="16" t="n">
        <f aca="false">SUMIFS(PLANEJAMENTO_SEMANAL!$Z$6:$Z$2381,PLANEJAMENTO_SEMANAL!$F$6:$F$2381,$B12,PLANEJAMENTO_SEMANAL!$B$6:$B$2381,M$7)</f>
        <v>0</v>
      </c>
      <c r="N12" s="16" t="n">
        <f aca="false">SUMIFS(PLANEJAMENTO_SEMANAL!$Z$6:$Z$2381,PLANEJAMENTO_SEMANAL!$F$6:$F$2381,$B12,PLANEJAMENTO_SEMANAL!$B$6:$B$2381,N$7)</f>
        <v>0</v>
      </c>
      <c r="O12" s="16" t="n">
        <f aca="false">SUMIFS(PLANEJAMENTO_SEMANAL!$Z$6:$Z$2381,PLANEJAMENTO_SEMANAL!$F$6:$F$2381,$B12,PLANEJAMENTO_SEMANAL!$B$6:$B$2381,O$7)</f>
        <v>6569.44409136608</v>
      </c>
      <c r="P12" s="16" t="n">
        <f aca="false">SUMIFS(PLANEJAMENTO_SEMANAL!$Z$6:$Z$2381,PLANEJAMENTO_SEMANAL!$F$6:$F$2381,$B12,PLANEJAMENTO_SEMANAL!$B$6:$B$2381,P$7)</f>
        <v>0</v>
      </c>
      <c r="Q12" s="16" t="n">
        <f aca="false">SUMIFS(PLANEJAMENTO_SEMANAL!$Z$6:$Z$2381,PLANEJAMENTO_SEMANAL!$F$6:$F$2381,$B12,PLANEJAMENTO_SEMANAL!$B$6:$B$2381,Q$7)</f>
        <v>0</v>
      </c>
      <c r="R12" s="16" t="n">
        <f aca="false">SUMIFS(PLANEJAMENTO_SEMANAL!$Z$6:$Z$2381,PLANEJAMENTO_SEMANAL!$F$6:$F$2381,$B12,PLANEJAMENTO_SEMANAL!$B$6:$B$2381,R$7)</f>
        <v>0</v>
      </c>
      <c r="S12" s="16" t="n">
        <f aca="false">SUMIFS(PLANEJAMENTO_SEMANAL!$Z$6:$Z$2381,PLANEJAMENTO_SEMANAL!$F$6:$F$2381,$B12,PLANEJAMENTO_SEMANAL!$B$6:$B$2381,S$7)</f>
        <v>0</v>
      </c>
      <c r="T12" s="16" t="n">
        <f aca="false">SUMIFS(PLANEJAMENTO_SEMANAL!$Z$6:$Z$2381,PLANEJAMENTO_SEMANAL!$F$6:$F$2381,$B12,PLANEJAMENTO_SEMANAL!$B$6:$B$2381,T$7)</f>
        <v>1736.23905882352</v>
      </c>
      <c r="U12" s="16" t="n">
        <f aca="false">SUMIFS(PLANEJAMENTO_SEMANAL!$Z$6:$Z$2381,PLANEJAMENTO_SEMANAL!$F$6:$F$2381,$B12,PLANEJAMENTO_SEMANAL!$B$6:$B$2381,U$7)</f>
        <v>8892.93176470587</v>
      </c>
      <c r="V12" s="16" t="n">
        <f aca="false">SUMIFS(PLANEJAMENTO_SEMANAL!$Z$6:$Z$2381,PLANEJAMENTO_SEMANAL!$F$6:$F$2381,$B12,PLANEJAMENTO_SEMANAL!$B$6:$B$2381,V$7)</f>
        <v>8753.05504003416</v>
      </c>
      <c r="W12" s="16" t="n">
        <f aca="false">SUMIFS(PLANEJAMENTO_SEMANAL!$Z$6:$Z$2381,PLANEJAMENTO_SEMANAL!$F$6:$F$2381,$B12,PLANEJAMENTO_SEMANAL!$B$6:$B$2381,W$7)</f>
        <v>0</v>
      </c>
      <c r="X12" s="16" t="n">
        <f aca="false">SUMIFS(PLANEJAMENTO_SEMANAL!$Z$6:$Z$2381,PLANEJAMENTO_SEMANAL!$F$6:$F$2381,$B12,PLANEJAMENTO_SEMANAL!$B$6:$B$2381,X$7)</f>
        <v>0</v>
      </c>
      <c r="Y12" s="16" t="n">
        <f aca="false">SUMIFS(PLANEJAMENTO_SEMANAL!$Z$6:$Z$2381,PLANEJAMENTO_SEMANAL!$F$6:$F$2381,$B12,PLANEJAMENTO_SEMANAL!$B$6:$B$2381,Y$7)</f>
        <v>0</v>
      </c>
      <c r="Z12" s="16" t="n">
        <f aca="false">SUMIFS(PLANEJAMENTO_SEMANAL!$Z$6:$Z$2381,PLANEJAMENTO_SEMANAL!$F$6:$F$2381,$B12,PLANEJAMENTO_SEMANAL!$B$6:$B$2381,Z$7)</f>
        <v>11348.1049198283</v>
      </c>
      <c r="AA12" s="16" t="n">
        <f aca="false">SUMIFS(PLANEJAMENTO_SEMANAL!$Z$6:$Z$2381,PLANEJAMENTO_SEMANAL!$F$6:$F$2381,$B12,PLANEJAMENTO_SEMANAL!$B$6:$B$2381,AA$7)</f>
        <v>31403.181490196</v>
      </c>
      <c r="AB12" s="16" t="n">
        <f aca="false">SUMIFS(PLANEJAMENTO_SEMANAL!$Z$6:$Z$2381,PLANEJAMENTO_SEMANAL!$F$6:$F$2381,$B12,PLANEJAMENTO_SEMANAL!$B$6:$B$2381,AB$7)</f>
        <v>32385.7948235294</v>
      </c>
      <c r="AC12" s="16" t="n">
        <f aca="false">SUMIFS(PLANEJAMENTO_SEMANAL!$Z$6:$Z$2381,PLANEJAMENTO_SEMANAL!$F$6:$F$2381,$B12,PLANEJAMENTO_SEMANAL!$B$6:$B$2381,AC$7)</f>
        <v>40008.2578823529</v>
      </c>
      <c r="AD12" s="16" t="n">
        <f aca="false">SUMIFS(PLANEJAMENTO_SEMANAL!$Z$6:$Z$2381,PLANEJAMENTO_SEMANAL!$F$6:$F$2381,$B12,PLANEJAMENTO_SEMANAL!$B$6:$B$2381,AD$7)</f>
        <v>40008.2578823529</v>
      </c>
      <c r="AE12" s="16" t="n">
        <f aca="false">SUMIFS(PLANEJAMENTO_SEMANAL!$Z$6:$Z$2381,PLANEJAMENTO_SEMANAL!$F$6:$F$2381,$B12,PLANEJAMENTO_SEMANAL!$B$6:$B$2381,AE$7)</f>
        <v>40008.2578823529</v>
      </c>
      <c r="AF12" s="16" t="n">
        <f aca="false">SUMIFS(PLANEJAMENTO_SEMANAL!$Z$6:$Z$2381,PLANEJAMENTO_SEMANAL!$F$6:$F$2381,$B12,PLANEJAMENTO_SEMANAL!$B$6:$B$2381,AF$7)</f>
        <v>40008.2578823529</v>
      </c>
      <c r="AG12" s="16" t="n">
        <f aca="false">SUMIFS(PLANEJAMENTO_SEMANAL!$Z$6:$Z$2381,PLANEJAMENTO_SEMANAL!$F$6:$F$2381,$B12,PLANEJAMENTO_SEMANAL!$B$6:$B$2381,AG$7)</f>
        <v>90352.9957647059</v>
      </c>
      <c r="AH12" s="16" t="n">
        <f aca="false">SUMIFS(PLANEJAMENTO_SEMANAL!$Z$6:$Z$2381,PLANEJAMENTO_SEMANAL!$F$6:$F$2381,$B12,PLANEJAMENTO_SEMANAL!$B$6:$B$2381,AH$7)</f>
        <v>128111.549176471</v>
      </c>
      <c r="AI12" s="16" t="n">
        <f aca="false">SUMIFS(PLANEJAMENTO_SEMANAL!$Z$6:$Z$2381,PLANEJAMENTO_SEMANAL!$F$6:$F$2381,$B12,PLANEJAMENTO_SEMANAL!$B$6:$B$2381,AI$7)</f>
        <v>128111.549176471</v>
      </c>
      <c r="AJ12" s="16" t="n">
        <f aca="false">SUMIFS(PLANEJAMENTO_SEMANAL!$Z$6:$Z$2381,PLANEJAMENTO_SEMANAL!$F$6:$F$2381,$B12,PLANEJAMENTO_SEMANAL!$B$6:$B$2381,AJ$7)</f>
        <v>125491.737411765</v>
      </c>
      <c r="AK12" s="16" t="n">
        <f aca="false">SUMIFS(PLANEJAMENTO_SEMANAL!$Z$6:$Z$2381,PLANEJAMENTO_SEMANAL!$F$6:$F$2381,$B12,PLANEJAMENTO_SEMANAL!$B$6:$B$2381,AK$7)</f>
        <v>131170.140307692</v>
      </c>
      <c r="AL12" s="16" t="n">
        <f aca="false">SUMIFS(PLANEJAMENTO_SEMANAL!$Z$6:$Z$2381,PLANEJAMENTO_SEMANAL!$F$6:$F$2381,$B12,PLANEJAMENTO_SEMANAL!$B$6:$B$2381,AL$7)</f>
        <v>152107.353014823</v>
      </c>
      <c r="AM12" s="16" t="n">
        <f aca="false">SUMIFS(PLANEJAMENTO_SEMANAL!$Z$6:$Z$2381,PLANEJAMENTO_SEMANAL!$F$6:$F$2381,$B12,PLANEJAMENTO_SEMANAL!$B$6:$B$2381,AM$7)</f>
        <v>141152.760410673</v>
      </c>
      <c r="AN12" s="16" t="n">
        <f aca="false">SUMIFS(PLANEJAMENTO_SEMANAL!$Z$6:$Z$2381,PLANEJAMENTO_SEMANAL!$F$6:$F$2381,$B12,PLANEJAMENTO_SEMANAL!$B$6:$B$2381,AN$7)</f>
        <v>130198.167806522</v>
      </c>
      <c r="AO12" s="16" t="n">
        <f aca="false">SUMIFS(PLANEJAMENTO_SEMANAL!$Z$6:$Z$2381,PLANEJAMENTO_SEMANAL!$F$6:$F$2381,$B12,PLANEJAMENTO_SEMANAL!$B$6:$B$2381,AO$7)</f>
        <v>119243.575202372</v>
      </c>
      <c r="AP12" s="16" t="n">
        <f aca="false">SUMIFS(PLANEJAMENTO_SEMANAL!$Z$6:$Z$2381,PLANEJAMENTO_SEMANAL!$F$6:$F$2381,$B12,PLANEJAMENTO_SEMANAL!$B$6:$B$2381,AP$7)</f>
        <v>124297.595418942</v>
      </c>
      <c r="AQ12" s="16" t="n">
        <f aca="false">SUMIFS(PLANEJAMENTO_SEMANAL!$Z$6:$Z$2381,PLANEJAMENTO_SEMANAL!$F$6:$F$2381,$B12,PLANEJAMENTO_SEMANAL!$B$6:$B$2381,AQ$7)</f>
        <v>127871.240218443</v>
      </c>
      <c r="AR12" s="16" t="n">
        <f aca="false">SUMIFS(PLANEJAMENTO_SEMANAL!$Z$6:$Z$2381,PLANEJAMENTO_SEMANAL!$F$6:$F$2381,$B12,PLANEJAMENTO_SEMANAL!$B$6:$B$2381,AR$7)</f>
        <v>70695.1533306288</v>
      </c>
      <c r="AS12" s="16" t="n">
        <f aca="false">SUMIFS(PLANEJAMENTO_SEMANAL!$Z$6:$Z$2381,PLANEJAMENTO_SEMANAL!$F$6:$F$2381,$B12,PLANEJAMENTO_SEMANAL!$B$6:$B$2381,AS$7)</f>
        <v>66531.8429858012</v>
      </c>
      <c r="AT12" s="16" t="n">
        <f aca="false">SUMIFS(PLANEJAMENTO_SEMANAL!$Z$6:$Z$2381,PLANEJAMENTO_SEMANAL!$F$6:$F$2381,$B12,PLANEJAMENTO_SEMANAL!$B$6:$B$2381,AT$7)</f>
        <v>40749.9686880325</v>
      </c>
      <c r="AU12" s="16" t="n">
        <f aca="false">SUMIFS(PLANEJAMENTO_SEMANAL!$Z$6:$Z$2381,PLANEJAMENTO_SEMANAL!$F$6:$F$2381,$B12,PLANEJAMENTO_SEMANAL!$B$6:$B$2381,AU$7)</f>
        <v>69612.6554060852</v>
      </c>
      <c r="AV12" s="16" t="n">
        <f aca="false">SUMIFS(PLANEJAMENTO_SEMANAL!$Z$6:$Z$2381,PLANEJAMENTO_SEMANAL!$F$6:$F$2381,$B12,PLANEJAMENTO_SEMANAL!$B$6:$B$2381,AV$7)</f>
        <v>87047.5718198783</v>
      </c>
      <c r="AW12" s="16" t="n">
        <f aca="false">SUMIFS(PLANEJAMENTO_SEMANAL!$Z$6:$Z$2381,PLANEJAMENTO_SEMANAL!$F$6:$F$2381,$B12,PLANEJAMENTO_SEMANAL!$B$6:$B$2381,AW$7)</f>
        <v>104482.488233671</v>
      </c>
      <c r="AX12" s="16" t="n">
        <f aca="false">SUMIFS(PLANEJAMENTO_SEMANAL!$Z$6:$Z$2381,PLANEJAMENTO_SEMANAL!$F$6:$F$2381,$B12,PLANEJAMENTO_SEMANAL!$B$6:$B$2381,AX$7)</f>
        <v>128328.126636917</v>
      </c>
      <c r="AY12" s="16" t="n">
        <f aca="false">SUMIFS(PLANEJAMENTO_SEMANAL!$Z$6:$Z$2381,PLANEJAMENTO_SEMANAL!$F$6:$F$2381,$B12,PLANEJAMENTO_SEMANAL!$B$6:$B$2381,AY$7)</f>
        <v>182388.326490872</v>
      </c>
      <c r="AZ12" s="16" t="n">
        <f aca="false">SUMIFS(PLANEJAMENTO_SEMANAL!$Z$6:$Z$2381,PLANEJAMENTO_SEMANAL!$F$6:$F$2381,$B12,PLANEJAMENTO_SEMANAL!$B$6:$B$2381,AZ$7)</f>
        <v>199151.445277079</v>
      </c>
      <c r="BA12" s="16" t="n">
        <f aca="false">SUMIFS(PLANEJAMENTO_SEMANAL!$Z$6:$Z$2381,PLANEJAMENTO_SEMANAL!$F$6:$F$2381,$B12,PLANEJAMENTO_SEMANAL!$B$6:$B$2381,BA$7)</f>
        <v>213203.753139148</v>
      </c>
      <c r="BB12" s="16" t="n">
        <f aca="false">SUMIFS(PLANEJAMENTO_SEMANAL!$Z$6:$Z$2381,PLANEJAMENTO_SEMANAL!$F$6:$F$2381,$B12,PLANEJAMENTO_SEMANAL!$B$6:$B$2381,BB$7)</f>
        <v>227256.061001217</v>
      </c>
      <c r="BC12" s="16" t="n">
        <f aca="false">SUMIFS(PLANEJAMENTO_SEMANAL!$Z$6:$Z$2381,PLANEJAMENTO_SEMANAL!$F$6:$F$2381,$B12,PLANEJAMENTO_SEMANAL!$B$6:$B$2381,BC$7)</f>
        <v>239480.527831237</v>
      </c>
      <c r="BD12" s="16" t="n">
        <f aca="false">SUMIFS(PLANEJAMENTO_SEMANAL!$Z$6:$Z$2381,PLANEJAMENTO_SEMANAL!$F$6:$F$2381,$B12,PLANEJAMENTO_SEMANAL!$B$6:$B$2381,BD$7)</f>
        <v>241647.872941176</v>
      </c>
      <c r="BE12" s="16" t="n">
        <f aca="false">SUMIFS(PLANEJAMENTO_SEMANAL!$Z$6:$Z$2381,PLANEJAMENTO_SEMANAL!$F$6:$F$2381,$B12,PLANEJAMENTO_SEMANAL!$B$6:$B$2381,BE$7)</f>
        <v>241647.872941176</v>
      </c>
      <c r="BF12" s="16" t="n">
        <f aca="false">SUMIFS(PLANEJAMENTO_SEMANAL!$Z$6:$Z$2381,PLANEJAMENTO_SEMANAL!$F$6:$F$2381,$B12,PLANEJAMENTO_SEMANAL!$B$6:$B$2381,BF$7)</f>
        <v>233496.018823529</v>
      </c>
      <c r="BG12" s="16" t="n">
        <f aca="false">SUMIFS(PLANEJAMENTO_SEMANAL!$Z$6:$Z$2381,PLANEJAMENTO_SEMANAL!$F$6:$F$2381,$B12,PLANEJAMENTO_SEMANAL!$B$6:$B$2381,BG$7)</f>
        <v>174058.801720081</v>
      </c>
      <c r="BH12" s="16" t="n">
        <f aca="false">SUMIFS(PLANEJAMENTO_SEMANAL!$Z$6:$Z$2381,PLANEJAMENTO_SEMANAL!$F$6:$F$2381,$B12,PLANEJAMENTO_SEMANAL!$B$6:$B$2381,BH$7)</f>
        <v>100406.16074645</v>
      </c>
      <c r="BI12" s="16" t="n">
        <f aca="false">SUMIFS(PLANEJAMENTO_SEMANAL!$Z$6:$Z$2381,PLANEJAMENTO_SEMANAL!$F$6:$F$2381,$B12,PLANEJAMENTO_SEMANAL!$B$6:$B$2381,BI$7)</f>
        <v>85714.0834401622</v>
      </c>
      <c r="BJ12" s="16" t="n">
        <f aca="false">SUMIFS(PLANEJAMENTO_SEMANAL!$Z$6:$Z$2381,PLANEJAMENTO_SEMANAL!$F$6:$F$2381,$B12,PLANEJAMENTO_SEMANAL!$B$6:$B$2381,BJ$7)</f>
        <v>65076.7989614604</v>
      </c>
      <c r="BK12" s="16" t="n">
        <f aca="false">SUMIFS(PLANEJAMENTO_SEMANAL!$Z$6:$Z$2381,PLANEJAMENTO_SEMANAL!$F$6:$F$2381,$B12,PLANEJAMENTO_SEMANAL!$B$6:$B$2381,BK$7)</f>
        <v>39318.3028965517</v>
      </c>
      <c r="BL12" s="16" t="n">
        <f aca="false">SUMIFS(PLANEJAMENTO_SEMANAL!$Z$6:$Z$2381,PLANEJAMENTO_SEMANAL!$F$6:$F$2381,$B12,PLANEJAMENTO_SEMANAL!$B$6:$B$2381,BL$7)</f>
        <v>0</v>
      </c>
      <c r="BM12" s="16" t="n">
        <f aca="false">SUMIFS(PLANEJAMENTO_SEMANAL!$Z$6:$Z$2381,PLANEJAMENTO_SEMANAL!$F$6:$F$2381,$B12,PLANEJAMENTO_SEMANAL!$B$6:$B$2381,BM$7)</f>
        <v>0</v>
      </c>
      <c r="BN12" s="16" t="n">
        <f aca="false">SUMIFS(PLANEJAMENTO_SEMANAL!$Z$6:$Z$2381,PLANEJAMENTO_SEMANAL!$F$6:$F$2381,$B12,PLANEJAMENTO_SEMANAL!$B$6:$B$2381,BN$7)</f>
        <v>0</v>
      </c>
      <c r="BO12" s="16" t="n">
        <f aca="false">SUMIFS(PLANEJAMENTO_SEMANAL!$Z$6:$Z$2381,PLANEJAMENTO_SEMANAL!$F$6:$F$2381,$B12,PLANEJAMENTO_SEMANAL!$B$6:$B$2381,BO$7)</f>
        <v>0</v>
      </c>
      <c r="BP12" s="16" t="n">
        <f aca="false">SUMIFS(PLANEJAMENTO_SEMANAL!$Z$6:$Z$2381,PLANEJAMENTO_SEMANAL!$F$6:$F$2381,$B12,PLANEJAMENTO_SEMANAL!$B$6:$B$2381,BP$7)</f>
        <v>0</v>
      </c>
      <c r="BQ12" s="16" t="n">
        <f aca="false">SUM(C12:BP12)</f>
        <v>5118203.82193793</v>
      </c>
    </row>
    <row r="13" customFormat="false" ht="15" hidden="false" customHeight="false" outlineLevel="0" collapsed="false">
      <c r="B13" s="15" t="s">
        <v>133</v>
      </c>
      <c r="C13" s="16" t="n">
        <f aca="false">SUMIFS(PLANEJAMENTO_SEMANAL!$Z$6:$Z$2381,PLANEJAMENTO_SEMANAL!$F$6:$F$2381,$B13,PLANEJAMENTO_SEMANAL!$B$6:$B$2381,C$7)</f>
        <v>148517.964621022</v>
      </c>
      <c r="D13" s="16" t="n">
        <f aca="false">SUMIFS(PLANEJAMENTO_SEMANAL!$Z$6:$Z$2381,PLANEJAMENTO_SEMANAL!$F$6:$F$2381,$B13,PLANEJAMENTO_SEMANAL!$B$6:$B$2381,D$7)</f>
        <v>106348.07147541</v>
      </c>
      <c r="E13" s="16" t="n">
        <f aca="false">SUMIFS(PLANEJAMENTO_SEMANAL!$Z$6:$Z$2381,PLANEJAMENTO_SEMANAL!$F$6:$F$2381,$B13,PLANEJAMENTO_SEMANAL!$B$6:$B$2381,E$7)</f>
        <v>72482.76</v>
      </c>
      <c r="F13" s="16" t="n">
        <f aca="false">SUMIFS(PLANEJAMENTO_SEMANAL!$Z$6:$Z$2381,PLANEJAMENTO_SEMANAL!$F$6:$F$2381,$B13,PLANEJAMENTO_SEMANAL!$B$6:$B$2381,F$7)</f>
        <v>67558.995</v>
      </c>
      <c r="G13" s="16" t="n">
        <f aca="false">SUMIFS(PLANEJAMENTO_SEMANAL!$Z$6:$Z$2381,PLANEJAMENTO_SEMANAL!$F$6:$F$2381,$B13,PLANEJAMENTO_SEMANAL!$B$6:$B$2381,G$7)</f>
        <v>43075.116</v>
      </c>
      <c r="H13" s="16" t="n">
        <f aca="false">SUMIFS(PLANEJAMENTO_SEMANAL!$Z$6:$Z$2381,PLANEJAMENTO_SEMANAL!$F$6:$F$2381,$B13,PLANEJAMENTO_SEMANAL!$B$6:$B$2381,H$7)</f>
        <v>23226.588</v>
      </c>
      <c r="I13" s="16" t="n">
        <f aca="false">SUMIFS(PLANEJAMENTO_SEMANAL!$Z$6:$Z$2381,PLANEJAMENTO_SEMANAL!$F$6:$F$2381,$B13,PLANEJAMENTO_SEMANAL!$B$6:$B$2381,I$7)</f>
        <v>16571.016</v>
      </c>
      <c r="J13" s="16" t="n">
        <f aca="false">SUMIFS(PLANEJAMENTO_SEMANAL!$Z$6:$Z$2381,PLANEJAMENTO_SEMANAL!$F$6:$F$2381,$B13,PLANEJAMENTO_SEMANAL!$B$6:$B$2381,J$7)</f>
        <v>9915.44399999998</v>
      </c>
      <c r="K13" s="16" t="n">
        <f aca="false">SUMIFS(PLANEJAMENTO_SEMANAL!$Z$6:$Z$2381,PLANEJAMENTO_SEMANAL!$F$6:$F$2381,$B13,PLANEJAMENTO_SEMANAL!$B$6:$B$2381,K$7)</f>
        <v>0</v>
      </c>
      <c r="L13" s="16" t="n">
        <f aca="false">SUMIFS(PLANEJAMENTO_SEMANAL!$Z$6:$Z$2381,PLANEJAMENTO_SEMANAL!$F$6:$F$2381,$B13,PLANEJAMENTO_SEMANAL!$B$6:$B$2381,L$7)</f>
        <v>0</v>
      </c>
      <c r="M13" s="16" t="n">
        <f aca="false">SUMIFS(PLANEJAMENTO_SEMANAL!$Z$6:$Z$2381,PLANEJAMENTO_SEMANAL!$F$6:$F$2381,$B13,PLANEJAMENTO_SEMANAL!$B$6:$B$2381,M$7)</f>
        <v>0</v>
      </c>
      <c r="N13" s="16" t="n">
        <f aca="false">SUMIFS(PLANEJAMENTO_SEMANAL!$Z$6:$Z$2381,PLANEJAMENTO_SEMANAL!$F$6:$F$2381,$B13,PLANEJAMENTO_SEMANAL!$B$6:$B$2381,N$7)</f>
        <v>0</v>
      </c>
      <c r="O13" s="16" t="n">
        <f aca="false">SUMIFS(PLANEJAMENTO_SEMANAL!$Z$6:$Z$2381,PLANEJAMENTO_SEMANAL!$F$6:$F$2381,$B13,PLANEJAMENTO_SEMANAL!$B$6:$B$2381,O$7)</f>
        <v>1050.25753382132</v>
      </c>
      <c r="P13" s="16" t="n">
        <f aca="false">SUMIFS(PLANEJAMENTO_SEMANAL!$Z$6:$Z$2381,PLANEJAMENTO_SEMANAL!$F$6:$F$2381,$B13,PLANEJAMENTO_SEMANAL!$B$6:$B$2381,P$7)</f>
        <v>0</v>
      </c>
      <c r="Q13" s="16" t="n">
        <f aca="false">SUMIFS(PLANEJAMENTO_SEMANAL!$Z$6:$Z$2381,PLANEJAMENTO_SEMANAL!$F$6:$F$2381,$B13,PLANEJAMENTO_SEMANAL!$B$6:$B$2381,Q$7)</f>
        <v>0</v>
      </c>
      <c r="R13" s="16" t="n">
        <f aca="false">SUMIFS(PLANEJAMENTO_SEMANAL!$Z$6:$Z$2381,PLANEJAMENTO_SEMANAL!$F$6:$F$2381,$B13,PLANEJAMENTO_SEMANAL!$B$6:$B$2381,R$7)</f>
        <v>0</v>
      </c>
      <c r="S13" s="16" t="n">
        <f aca="false">SUMIFS(PLANEJAMENTO_SEMANAL!$Z$6:$Z$2381,PLANEJAMENTO_SEMANAL!$F$6:$F$2381,$B13,PLANEJAMENTO_SEMANAL!$B$6:$B$2381,S$7)</f>
        <v>0</v>
      </c>
      <c r="T13" s="16" t="n">
        <f aca="false">SUMIFS(PLANEJAMENTO_SEMANAL!$Z$6:$Z$2381,PLANEJAMENTO_SEMANAL!$F$6:$F$2381,$B13,PLANEJAMENTO_SEMANAL!$B$6:$B$2381,T$7)</f>
        <v>575.813647058821</v>
      </c>
      <c r="U13" s="16" t="n">
        <f aca="false">SUMIFS(PLANEJAMENTO_SEMANAL!$Z$6:$Z$2381,PLANEJAMENTO_SEMANAL!$F$6:$F$2381,$B13,PLANEJAMENTO_SEMANAL!$B$6:$B$2381,U$7)</f>
        <v>2949.2894117647</v>
      </c>
      <c r="V13" s="16" t="n">
        <f aca="false">SUMIFS(PLANEJAMENTO_SEMANAL!$Z$6:$Z$2381,PLANEJAMENTO_SEMANAL!$F$6:$F$2381,$B13,PLANEJAMENTO_SEMANAL!$B$6:$B$2381,V$7)</f>
        <v>2949.2894117647</v>
      </c>
      <c r="W13" s="16" t="n">
        <f aca="false">SUMIFS(PLANEJAMENTO_SEMANAL!$Z$6:$Z$2381,PLANEJAMENTO_SEMANAL!$F$6:$F$2381,$B13,PLANEJAMENTO_SEMANAL!$B$6:$B$2381,W$7)</f>
        <v>0</v>
      </c>
      <c r="X13" s="16" t="n">
        <f aca="false">SUMIFS(PLANEJAMENTO_SEMANAL!$Z$6:$Z$2381,PLANEJAMENTO_SEMANAL!$F$6:$F$2381,$B13,PLANEJAMENTO_SEMANAL!$B$6:$B$2381,X$7)</f>
        <v>0</v>
      </c>
      <c r="Y13" s="16" t="n">
        <f aca="false">SUMIFS(PLANEJAMENTO_SEMANAL!$Z$6:$Z$2381,PLANEJAMENTO_SEMANAL!$F$6:$F$2381,$B13,PLANEJAMENTO_SEMANAL!$B$6:$B$2381,Y$7)</f>
        <v>6937.73129411765</v>
      </c>
      <c r="Z13" s="16" t="n">
        <f aca="false">SUMIFS(PLANEJAMENTO_SEMANAL!$Z$6:$Z$2381,PLANEJAMENTO_SEMANAL!$F$6:$F$2381,$B13,PLANEJAMENTO_SEMANAL!$B$6:$B$2381,Z$7)</f>
        <v>18011.1255809258</v>
      </c>
      <c r="AA13" s="16" t="n">
        <f aca="false">SUMIFS(PLANEJAMENTO_SEMANAL!$Z$6:$Z$2381,PLANEJAMENTO_SEMANAL!$F$6:$F$2381,$B13,PLANEJAMENTO_SEMANAL!$B$6:$B$2381,AA$7)</f>
        <v>36258.5168235294</v>
      </c>
      <c r="AB13" s="16" t="n">
        <f aca="false">SUMIFS(PLANEJAMENTO_SEMANAL!$Z$6:$Z$2381,PLANEJAMENTO_SEMANAL!$F$6:$F$2381,$B13,PLANEJAMENTO_SEMANAL!$B$6:$B$2381,AB$7)</f>
        <v>37916.6768235294</v>
      </c>
      <c r="AC13" s="16" t="n">
        <f aca="false">SUMIFS(PLANEJAMENTO_SEMANAL!$Z$6:$Z$2381,PLANEJAMENTO_SEMANAL!$F$6:$F$2381,$B13,PLANEJAMENTO_SEMANAL!$B$6:$B$2381,AC$7)</f>
        <v>55491.5027058823</v>
      </c>
      <c r="AD13" s="16" t="n">
        <f aca="false">SUMIFS(PLANEJAMENTO_SEMANAL!$Z$6:$Z$2381,PLANEJAMENTO_SEMANAL!$F$6:$F$2381,$B13,PLANEJAMENTO_SEMANAL!$B$6:$B$2381,AD$7)</f>
        <v>63309.3739215686</v>
      </c>
      <c r="AE13" s="16" t="n">
        <f aca="false">SUMIFS(PLANEJAMENTO_SEMANAL!$Z$6:$Z$2381,PLANEJAMENTO_SEMANAL!$F$6:$F$2381,$B13,PLANEJAMENTO_SEMANAL!$B$6:$B$2381,AE$7)</f>
        <v>65814.1336764706</v>
      </c>
      <c r="AF13" s="16" t="n">
        <f aca="false">SUMIFS(PLANEJAMENTO_SEMANAL!$Z$6:$Z$2381,PLANEJAMENTO_SEMANAL!$F$6:$F$2381,$B13,PLANEJAMENTO_SEMANAL!$B$6:$B$2381,AF$7)</f>
        <v>63329.1697058823</v>
      </c>
      <c r="AG13" s="16" t="n">
        <f aca="false">SUMIFS(PLANEJAMENTO_SEMANAL!$Z$6:$Z$2381,PLANEJAMENTO_SEMANAL!$F$6:$F$2381,$B13,PLANEJAMENTO_SEMANAL!$B$6:$B$2381,AG$7)</f>
        <v>158408.527182228</v>
      </c>
      <c r="AH13" s="16" t="n">
        <f aca="false">SUMIFS(PLANEJAMENTO_SEMANAL!$Z$6:$Z$2381,PLANEJAMENTO_SEMANAL!$F$6:$F$2381,$B13,PLANEJAMENTO_SEMANAL!$B$6:$B$2381,AH$7)</f>
        <v>239700.350542484</v>
      </c>
      <c r="AI13" s="16" t="n">
        <f aca="false">SUMIFS(PLANEJAMENTO_SEMANAL!$Z$6:$Z$2381,PLANEJAMENTO_SEMANAL!$F$6:$F$2381,$B13,PLANEJAMENTO_SEMANAL!$B$6:$B$2381,AI$7)</f>
        <v>241517.355240196</v>
      </c>
      <c r="AJ13" s="16" t="n">
        <f aca="false">SUMIFS(PLANEJAMENTO_SEMANAL!$Z$6:$Z$2381,PLANEJAMENTO_SEMANAL!$F$6:$F$2381,$B13,PLANEJAMENTO_SEMANAL!$B$6:$B$2381,AJ$7)</f>
        <v>238455.314095148</v>
      </c>
      <c r="AK13" s="16" t="n">
        <f aca="false">SUMIFS(PLANEJAMENTO_SEMANAL!$Z$6:$Z$2381,PLANEJAMENTO_SEMANAL!$F$6:$F$2381,$B13,PLANEJAMENTO_SEMANAL!$B$6:$B$2381,AK$7)</f>
        <v>232026.832968083</v>
      </c>
      <c r="AL13" s="16" t="n">
        <f aca="false">SUMIFS(PLANEJAMENTO_SEMANAL!$Z$6:$Z$2381,PLANEJAMENTO_SEMANAL!$F$6:$F$2381,$B13,PLANEJAMENTO_SEMANAL!$B$6:$B$2381,AL$7)</f>
        <v>274613.670340069</v>
      </c>
      <c r="AM13" s="16" t="n">
        <f aca="false">SUMIFS(PLANEJAMENTO_SEMANAL!$Z$6:$Z$2381,PLANEJAMENTO_SEMANAL!$F$6:$F$2381,$B13,PLANEJAMENTO_SEMANAL!$B$6:$B$2381,AM$7)</f>
        <v>269320.106720666</v>
      </c>
      <c r="AN13" s="16" t="n">
        <f aca="false">SUMIFS(PLANEJAMENTO_SEMANAL!$Z$6:$Z$2381,PLANEJAMENTO_SEMANAL!$F$6:$F$2381,$B13,PLANEJAMENTO_SEMANAL!$B$6:$B$2381,AN$7)</f>
        <v>253931.10686597</v>
      </c>
      <c r="AO13" s="16" t="n">
        <f aca="false">SUMIFS(PLANEJAMENTO_SEMANAL!$Z$6:$Z$2381,PLANEJAMENTO_SEMANAL!$F$6:$F$2381,$B13,PLANEJAMENTO_SEMANAL!$B$6:$B$2381,AO$7)</f>
        <v>238542.107011273</v>
      </c>
      <c r="AP13" s="16" t="n">
        <f aca="false">SUMIFS(PLANEJAMENTO_SEMANAL!$Z$6:$Z$2381,PLANEJAMENTO_SEMANAL!$F$6:$F$2381,$B13,PLANEJAMENTO_SEMANAL!$B$6:$B$2381,AP$7)</f>
        <v>192675.328963511</v>
      </c>
      <c r="AQ13" s="16" t="n">
        <f aca="false">SUMIFS(PLANEJAMENTO_SEMANAL!$Z$6:$Z$2381,PLANEJAMENTO_SEMANAL!$F$6:$F$2381,$B13,PLANEJAMENTO_SEMANAL!$B$6:$B$2381,AQ$7)</f>
        <v>184018.211794508</v>
      </c>
      <c r="AR13" s="16" t="n">
        <f aca="false">SUMIFS(PLANEJAMENTO_SEMANAL!$Z$6:$Z$2381,PLANEJAMENTO_SEMANAL!$F$6:$F$2381,$B13,PLANEJAMENTO_SEMANAL!$B$6:$B$2381,AR$7)</f>
        <v>105683.408551724</v>
      </c>
      <c r="AS13" s="16" t="n">
        <f aca="false">SUMIFS(PLANEJAMENTO_SEMANAL!$Z$6:$Z$2381,PLANEJAMENTO_SEMANAL!$F$6:$F$2381,$B13,PLANEJAMENTO_SEMANAL!$B$6:$B$2381,AS$7)</f>
        <v>122256.792302907</v>
      </c>
      <c r="AT13" s="16" t="n">
        <f aca="false">SUMIFS(PLANEJAMENTO_SEMANAL!$Z$6:$Z$2381,PLANEJAMENTO_SEMANAL!$F$6:$F$2381,$B13,PLANEJAMENTO_SEMANAL!$B$6:$B$2381,AT$7)</f>
        <v>101868.376878431</v>
      </c>
      <c r="AU13" s="16" t="n">
        <f aca="false">SUMIFS(PLANEJAMENTO_SEMANAL!$Z$6:$Z$2381,PLANEJAMENTO_SEMANAL!$F$6:$F$2381,$B13,PLANEJAMENTO_SEMANAL!$B$6:$B$2381,AU$7)</f>
        <v>110999.730223529</v>
      </c>
      <c r="AV13" s="16" t="n">
        <f aca="false">SUMIFS(PLANEJAMENTO_SEMANAL!$Z$6:$Z$2381,PLANEJAMENTO_SEMANAL!$F$6:$F$2381,$B13,PLANEJAMENTO_SEMANAL!$B$6:$B$2381,AV$7)</f>
        <v>118896.898427451</v>
      </c>
      <c r="AW13" s="16" t="n">
        <f aca="false">SUMIFS(PLANEJAMENTO_SEMANAL!$Z$6:$Z$2381,PLANEJAMENTO_SEMANAL!$F$6:$F$2381,$B13,PLANEJAMENTO_SEMANAL!$B$6:$B$2381,AW$7)</f>
        <v>127621.952966667</v>
      </c>
      <c r="AX13" s="16" t="n">
        <f aca="false">SUMIFS(PLANEJAMENTO_SEMANAL!$Z$6:$Z$2381,PLANEJAMENTO_SEMANAL!$F$6:$F$2381,$B13,PLANEJAMENTO_SEMANAL!$B$6:$B$2381,AX$7)</f>
        <v>145164.103294118</v>
      </c>
      <c r="AY13" s="16" t="n">
        <f aca="false">SUMIFS(PLANEJAMENTO_SEMANAL!$Z$6:$Z$2381,PLANEJAMENTO_SEMANAL!$F$6:$F$2381,$B13,PLANEJAMENTO_SEMANAL!$B$6:$B$2381,AY$7)</f>
        <v>185651.427239216</v>
      </c>
      <c r="AZ13" s="16" t="n">
        <f aca="false">SUMIFS(PLANEJAMENTO_SEMANAL!$Z$6:$Z$2381,PLANEJAMENTO_SEMANAL!$F$6:$F$2381,$B13,PLANEJAMENTO_SEMANAL!$B$6:$B$2381,AZ$7)</f>
        <v>180091.532847059</v>
      </c>
      <c r="BA13" s="16" t="n">
        <f aca="false">SUMIFS(PLANEJAMENTO_SEMANAL!$Z$6:$Z$2381,PLANEJAMENTO_SEMANAL!$F$6:$F$2381,$B13,PLANEJAMENTO_SEMANAL!$B$6:$B$2381,BA$7)</f>
        <v>200084.864494118</v>
      </c>
      <c r="BB13" s="16" t="n">
        <f aca="false">SUMIFS(PLANEJAMENTO_SEMANAL!$Z$6:$Z$2381,PLANEJAMENTO_SEMANAL!$F$6:$F$2381,$B13,PLANEJAMENTO_SEMANAL!$B$6:$B$2381,BB$7)</f>
        <v>213432.502541176</v>
      </c>
      <c r="BC13" s="16" t="n">
        <f aca="false">SUMIFS(PLANEJAMENTO_SEMANAL!$Z$6:$Z$2381,PLANEJAMENTO_SEMANAL!$F$6:$F$2381,$B13,PLANEJAMENTO_SEMANAL!$B$6:$B$2381,BC$7)</f>
        <v>220875.092705882</v>
      </c>
      <c r="BD13" s="16" t="n">
        <f aca="false">SUMIFS(PLANEJAMENTO_SEMANAL!$Z$6:$Z$2381,PLANEJAMENTO_SEMANAL!$F$6:$F$2381,$B13,PLANEJAMENTO_SEMANAL!$B$6:$B$2381,BD$7)</f>
        <v>217357.418352941</v>
      </c>
      <c r="BE13" s="16" t="n">
        <f aca="false">SUMIFS(PLANEJAMENTO_SEMANAL!$Z$6:$Z$2381,PLANEJAMENTO_SEMANAL!$F$6:$F$2381,$B13,PLANEJAMENTO_SEMANAL!$B$6:$B$2381,BE$7)</f>
        <v>210339.015764706</v>
      </c>
      <c r="BF13" s="16" t="n">
        <f aca="false">SUMIFS(PLANEJAMENTO_SEMANAL!$Z$6:$Z$2381,PLANEJAMENTO_SEMANAL!$F$6:$F$2381,$B13,PLANEJAMENTO_SEMANAL!$B$6:$B$2381,BF$7)</f>
        <v>203320.613176471</v>
      </c>
      <c r="BG13" s="16" t="n">
        <f aca="false">SUMIFS(PLANEJAMENTO_SEMANAL!$Z$6:$Z$2381,PLANEJAMENTO_SEMANAL!$F$6:$F$2381,$B13,PLANEJAMENTO_SEMANAL!$B$6:$B$2381,BG$7)</f>
        <v>157614.958117647</v>
      </c>
      <c r="BH13" s="16" t="n">
        <f aca="false">SUMIFS(PLANEJAMENTO_SEMANAL!$Z$6:$Z$2381,PLANEJAMENTO_SEMANAL!$F$6:$F$2381,$B13,PLANEJAMENTO_SEMANAL!$B$6:$B$2381,BH$7)</f>
        <v>99255.566117647</v>
      </c>
      <c r="BI13" s="16" t="n">
        <f aca="false">SUMIFS(PLANEJAMENTO_SEMANAL!$Z$6:$Z$2381,PLANEJAMENTO_SEMANAL!$F$6:$F$2381,$B13,PLANEJAMENTO_SEMANAL!$B$6:$B$2381,BI$7)</f>
        <v>88330.2494117647</v>
      </c>
      <c r="BJ13" s="16" t="n">
        <f aca="false">SUMIFS(PLANEJAMENTO_SEMANAL!$Z$6:$Z$2381,PLANEJAMENTO_SEMANAL!$F$6:$F$2381,$B13,PLANEJAMENTO_SEMANAL!$B$6:$B$2381,BJ$7)</f>
        <v>75032.3774117647</v>
      </c>
      <c r="BK13" s="16" t="n">
        <f aca="false">SUMIFS(PLANEJAMENTO_SEMANAL!$Z$6:$Z$2381,PLANEJAMENTO_SEMANAL!$F$6:$F$2381,$B13,PLANEJAMENTO_SEMANAL!$B$6:$B$2381,BK$7)</f>
        <v>60678.1905882352</v>
      </c>
      <c r="BL13" s="16" t="n">
        <f aca="false">SUMIFS(PLANEJAMENTO_SEMANAL!$Z$6:$Z$2381,PLANEJAMENTO_SEMANAL!$F$6:$F$2381,$B13,PLANEJAMENTO_SEMANAL!$B$6:$B$2381,BL$7)</f>
        <v>0</v>
      </c>
      <c r="BM13" s="16" t="n">
        <f aca="false">SUMIFS(PLANEJAMENTO_SEMANAL!$Z$6:$Z$2381,PLANEJAMENTO_SEMANAL!$F$6:$F$2381,$B13,PLANEJAMENTO_SEMANAL!$B$6:$B$2381,BM$7)</f>
        <v>0</v>
      </c>
      <c r="BN13" s="16" t="n">
        <f aca="false">SUMIFS(PLANEJAMENTO_SEMANAL!$Z$6:$Z$2381,PLANEJAMENTO_SEMANAL!$F$6:$F$2381,$B13,PLANEJAMENTO_SEMANAL!$B$6:$B$2381,BN$7)</f>
        <v>0</v>
      </c>
      <c r="BO13" s="16" t="n">
        <f aca="false">SUMIFS(PLANEJAMENTO_SEMANAL!$Z$6:$Z$2381,PLANEJAMENTO_SEMANAL!$F$6:$F$2381,$B13,PLANEJAMENTO_SEMANAL!$B$6:$B$2381,BO$7)</f>
        <v>0</v>
      </c>
      <c r="BP13" s="16" t="n">
        <f aca="false">SUMIFS(PLANEJAMENTO_SEMANAL!$Z$6:$Z$2381,PLANEJAMENTO_SEMANAL!$F$6:$F$2381,$B13,PLANEJAMENTO_SEMANAL!$B$6:$B$2381,BP$7)</f>
        <v>0</v>
      </c>
      <c r="BQ13" s="16" t="n">
        <f aca="false">SUM(C13:BP13)</f>
        <v>6310052.81877034</v>
      </c>
    </row>
    <row r="14" customFormat="false" ht="15" hidden="false" customHeight="false" outlineLevel="0" collapsed="false">
      <c r="B14" s="15" t="s">
        <v>134</v>
      </c>
      <c r="C14" s="16" t="n">
        <f aca="false">SUMIFS(PLANEJAMENTO_SEMANAL!$Z$6:$Z$2381,PLANEJAMENTO_SEMANAL!$F$6:$F$2381,$B14,PLANEJAMENTO_SEMANAL!$B$6:$B$2381,C$7)</f>
        <v>172736.158296919</v>
      </c>
      <c r="D14" s="16" t="n">
        <f aca="false">SUMIFS(PLANEJAMENTO_SEMANAL!$Z$6:$Z$2381,PLANEJAMENTO_SEMANAL!$F$6:$F$2381,$B14,PLANEJAMENTO_SEMANAL!$B$6:$B$2381,D$7)</f>
        <v>152721.743398693</v>
      </c>
      <c r="E14" s="16" t="n">
        <f aca="false">SUMIFS(PLANEJAMENTO_SEMANAL!$Z$6:$Z$2381,PLANEJAMENTO_SEMANAL!$F$6:$F$2381,$B14,PLANEJAMENTO_SEMANAL!$B$6:$B$2381,E$7)</f>
        <v>101244.383189542</v>
      </c>
      <c r="F14" s="16" t="n">
        <f aca="false">SUMIFS(PLANEJAMENTO_SEMANAL!$Z$6:$Z$2381,PLANEJAMENTO_SEMANAL!$F$6:$F$2381,$B14,PLANEJAMENTO_SEMANAL!$B$6:$B$2381,F$7)</f>
        <v>58285.332</v>
      </c>
      <c r="G14" s="16" t="n">
        <f aca="false">SUMIFS(PLANEJAMENTO_SEMANAL!$Z$6:$Z$2381,PLANEJAMENTO_SEMANAL!$F$6:$F$2381,$B14,PLANEJAMENTO_SEMANAL!$B$6:$B$2381,G$7)</f>
        <v>26414.8658823529</v>
      </c>
      <c r="H14" s="16" t="n">
        <f aca="false">SUMIFS(PLANEJAMENTO_SEMANAL!$Z$6:$Z$2381,PLANEJAMENTO_SEMANAL!$F$6:$F$2381,$B14,PLANEJAMENTO_SEMANAL!$B$6:$B$2381,H$7)</f>
        <v>0</v>
      </c>
      <c r="I14" s="16" t="n">
        <f aca="false">SUMIFS(PLANEJAMENTO_SEMANAL!$Z$6:$Z$2381,PLANEJAMENTO_SEMANAL!$F$6:$F$2381,$B14,PLANEJAMENTO_SEMANAL!$B$6:$B$2381,I$7)</f>
        <v>0</v>
      </c>
      <c r="J14" s="16" t="n">
        <f aca="false">SUMIFS(PLANEJAMENTO_SEMANAL!$Z$6:$Z$2381,PLANEJAMENTO_SEMANAL!$F$6:$F$2381,$B14,PLANEJAMENTO_SEMANAL!$B$6:$B$2381,J$7)</f>
        <v>0</v>
      </c>
      <c r="K14" s="16" t="n">
        <f aca="false">SUMIFS(PLANEJAMENTO_SEMANAL!$Z$6:$Z$2381,PLANEJAMENTO_SEMANAL!$F$6:$F$2381,$B14,PLANEJAMENTO_SEMANAL!$B$6:$B$2381,K$7)</f>
        <v>0</v>
      </c>
      <c r="L14" s="16" t="n">
        <f aca="false">SUMIFS(PLANEJAMENTO_SEMANAL!$Z$6:$Z$2381,PLANEJAMENTO_SEMANAL!$F$6:$F$2381,$B14,PLANEJAMENTO_SEMANAL!$B$6:$B$2381,L$7)</f>
        <v>0</v>
      </c>
      <c r="M14" s="16" t="n">
        <f aca="false">SUMIFS(PLANEJAMENTO_SEMANAL!$Z$6:$Z$2381,PLANEJAMENTO_SEMANAL!$F$6:$F$2381,$B14,PLANEJAMENTO_SEMANAL!$B$6:$B$2381,M$7)</f>
        <v>0</v>
      </c>
      <c r="N14" s="16" t="n">
        <f aca="false">SUMIFS(PLANEJAMENTO_SEMANAL!$Z$6:$Z$2381,PLANEJAMENTO_SEMANAL!$F$6:$F$2381,$B14,PLANEJAMENTO_SEMANAL!$B$6:$B$2381,N$7)</f>
        <v>0</v>
      </c>
      <c r="O14" s="16" t="n">
        <f aca="false">SUMIFS(PLANEJAMENTO_SEMANAL!$Z$6:$Z$2381,PLANEJAMENTO_SEMANAL!$F$6:$F$2381,$B14,PLANEJAMENTO_SEMANAL!$B$6:$B$2381,O$7)</f>
        <v>1050.25753382132</v>
      </c>
      <c r="P14" s="16" t="n">
        <f aca="false">SUMIFS(PLANEJAMENTO_SEMANAL!$Z$6:$Z$2381,PLANEJAMENTO_SEMANAL!$F$6:$F$2381,$B14,PLANEJAMENTO_SEMANAL!$B$6:$B$2381,P$7)</f>
        <v>0</v>
      </c>
      <c r="Q14" s="16" t="n">
        <f aca="false">SUMIFS(PLANEJAMENTO_SEMANAL!$Z$6:$Z$2381,PLANEJAMENTO_SEMANAL!$F$6:$F$2381,$B14,PLANEJAMENTO_SEMANAL!$B$6:$B$2381,Q$7)</f>
        <v>0</v>
      </c>
      <c r="R14" s="16" t="n">
        <f aca="false">SUMIFS(PLANEJAMENTO_SEMANAL!$Z$6:$Z$2381,PLANEJAMENTO_SEMANAL!$F$6:$F$2381,$B14,PLANEJAMENTO_SEMANAL!$B$6:$B$2381,R$7)</f>
        <v>0</v>
      </c>
      <c r="S14" s="16" t="n">
        <f aca="false">SUMIFS(PLANEJAMENTO_SEMANAL!$Z$6:$Z$2381,PLANEJAMENTO_SEMANAL!$F$6:$F$2381,$B14,PLANEJAMENTO_SEMANAL!$B$6:$B$2381,S$7)</f>
        <v>0</v>
      </c>
      <c r="T14" s="16" t="n">
        <f aca="false">SUMIFS(PLANEJAMENTO_SEMANAL!$Z$6:$Z$2381,PLANEJAMENTO_SEMANAL!$F$6:$F$2381,$B14,PLANEJAMENTO_SEMANAL!$B$6:$B$2381,T$7)</f>
        <v>4030.29035294116</v>
      </c>
      <c r="U14" s="16" t="n">
        <f aca="false">SUMIFS(PLANEJAMENTO_SEMANAL!$Z$6:$Z$2381,PLANEJAMENTO_SEMANAL!$F$6:$F$2381,$B14,PLANEJAMENTO_SEMANAL!$B$6:$B$2381,U$7)</f>
        <v>20642.9505882353</v>
      </c>
      <c r="V14" s="16" t="n">
        <f aca="false">SUMIFS(PLANEJAMENTO_SEMANAL!$Z$6:$Z$2381,PLANEJAMENTO_SEMANAL!$F$6:$F$2381,$B14,PLANEJAMENTO_SEMANAL!$B$6:$B$2381,V$7)</f>
        <v>20642.9505882353</v>
      </c>
      <c r="W14" s="16" t="n">
        <f aca="false">SUMIFS(PLANEJAMENTO_SEMANAL!$Z$6:$Z$2381,PLANEJAMENTO_SEMANAL!$F$6:$F$2381,$B14,PLANEJAMENTO_SEMANAL!$B$6:$B$2381,W$7)</f>
        <v>8508.71637009591</v>
      </c>
      <c r="X14" s="16" t="n">
        <f aca="false">SUMIFS(PLANEJAMENTO_SEMANAL!$Z$6:$Z$2381,PLANEJAMENTO_SEMANAL!$F$6:$F$2381,$B14,PLANEJAMENTO_SEMANAL!$B$6:$B$2381,X$7)</f>
        <v>0</v>
      </c>
      <c r="Y14" s="16" t="n">
        <f aca="false">SUMIFS(PLANEJAMENTO_SEMANAL!$Z$6:$Z$2381,PLANEJAMENTO_SEMANAL!$F$6:$F$2381,$B14,PLANEJAMENTO_SEMANAL!$B$6:$B$2381,Y$7)</f>
        <v>0</v>
      </c>
      <c r="Z14" s="16" t="n">
        <f aca="false">SUMIFS(PLANEJAMENTO_SEMANAL!$Z$6:$Z$2381,PLANEJAMENTO_SEMANAL!$F$6:$F$2381,$B14,PLANEJAMENTO_SEMANAL!$B$6:$B$2381,Z$7)</f>
        <v>4053.86713261398</v>
      </c>
      <c r="AA14" s="16" t="n">
        <f aca="false">SUMIFS(PLANEJAMENTO_SEMANAL!$Z$6:$Z$2381,PLANEJAMENTO_SEMANAL!$F$6:$F$2381,$B14,PLANEJAMENTO_SEMANAL!$B$6:$B$2381,AA$7)</f>
        <v>12914.9946526086</v>
      </c>
      <c r="AB14" s="16" t="n">
        <f aca="false">SUMIFS(PLANEJAMENTO_SEMANAL!$Z$6:$Z$2381,PLANEJAMENTO_SEMANAL!$F$6:$F$2381,$B14,PLANEJAMENTO_SEMANAL!$B$6:$B$2381,AB$7)</f>
        <v>20651.9270588235</v>
      </c>
      <c r="AC14" s="16" t="n">
        <f aca="false">SUMIFS(PLANEJAMENTO_SEMANAL!$Z$6:$Z$2381,PLANEJAMENTO_SEMANAL!$F$6:$F$2381,$B14,PLANEJAMENTO_SEMANAL!$B$6:$B$2381,AC$7)</f>
        <v>26207.7035294118</v>
      </c>
      <c r="AD14" s="16" t="n">
        <f aca="false">SUMIFS(PLANEJAMENTO_SEMANAL!$Z$6:$Z$2381,PLANEJAMENTO_SEMANAL!$F$6:$F$2381,$B14,PLANEJAMENTO_SEMANAL!$B$6:$B$2381,AD$7)</f>
        <v>26207.7035294118</v>
      </c>
      <c r="AE14" s="16" t="n">
        <f aca="false">SUMIFS(PLANEJAMENTO_SEMANAL!$Z$6:$Z$2381,PLANEJAMENTO_SEMANAL!$F$6:$F$2381,$B14,PLANEJAMENTO_SEMANAL!$B$6:$B$2381,AE$7)</f>
        <v>29146.4767679738</v>
      </c>
      <c r="AF14" s="16" t="n">
        <f aca="false">SUMIFS(PLANEJAMENTO_SEMANAL!$Z$6:$Z$2381,PLANEJAMENTO_SEMANAL!$F$6:$F$2381,$B14,PLANEJAMENTO_SEMANAL!$B$6:$B$2381,AF$7)</f>
        <v>35852.7712941176</v>
      </c>
      <c r="AG14" s="16" t="n">
        <f aca="false">SUMIFS(PLANEJAMENTO_SEMANAL!$Z$6:$Z$2381,PLANEJAMENTO_SEMANAL!$F$6:$F$2381,$B14,PLANEJAMENTO_SEMANAL!$B$6:$B$2381,AG$7)</f>
        <v>116217.850881627</v>
      </c>
      <c r="AH14" s="16" t="n">
        <f aca="false">SUMIFS(PLANEJAMENTO_SEMANAL!$Z$6:$Z$2381,PLANEJAMENTO_SEMANAL!$F$6:$F$2381,$B14,PLANEJAMENTO_SEMANAL!$B$6:$B$2381,AH$7)</f>
        <v>236511.561084967</v>
      </c>
      <c r="AI14" s="16" t="n">
        <f aca="false">SUMIFS(PLANEJAMENTO_SEMANAL!$Z$6:$Z$2381,PLANEJAMENTO_SEMANAL!$F$6:$F$2381,$B14,PLANEJAMENTO_SEMANAL!$B$6:$B$2381,AI$7)</f>
        <v>264229.996038671</v>
      </c>
      <c r="AJ14" s="16" t="n">
        <f aca="false">SUMIFS(PLANEJAMENTO_SEMANAL!$Z$6:$Z$2381,PLANEJAMENTO_SEMANAL!$F$6:$F$2381,$B14,PLANEJAMENTO_SEMANAL!$B$6:$B$2381,AJ$7)</f>
        <v>283391.189642031</v>
      </c>
      <c r="AK14" s="16" t="n">
        <f aca="false">SUMIFS(PLANEJAMENTO_SEMANAL!$Z$6:$Z$2381,PLANEJAMENTO_SEMANAL!$F$6:$F$2381,$B14,PLANEJAMENTO_SEMANAL!$B$6:$B$2381,AK$7)</f>
        <v>324304.534323683</v>
      </c>
      <c r="AL14" s="16" t="n">
        <f aca="false">SUMIFS(PLANEJAMENTO_SEMANAL!$Z$6:$Z$2381,PLANEJAMENTO_SEMANAL!$F$6:$F$2381,$B14,PLANEJAMENTO_SEMANAL!$B$6:$B$2381,AL$7)</f>
        <v>407921.465823529</v>
      </c>
      <c r="AM14" s="16" t="n">
        <f aca="false">SUMIFS(PLANEJAMENTO_SEMANAL!$Z$6:$Z$2381,PLANEJAMENTO_SEMANAL!$F$6:$F$2381,$B14,PLANEJAMENTO_SEMANAL!$B$6:$B$2381,AM$7)</f>
        <v>398843.217254525</v>
      </c>
      <c r="AN14" s="16" t="n">
        <f aca="false">SUMIFS(PLANEJAMENTO_SEMANAL!$Z$6:$Z$2381,PLANEJAMENTO_SEMANAL!$F$6:$F$2381,$B14,PLANEJAMENTO_SEMANAL!$B$6:$B$2381,AN$7)</f>
        <v>389360.091773756</v>
      </c>
      <c r="AO14" s="16" t="n">
        <f aca="false">SUMIFS(PLANEJAMENTO_SEMANAL!$Z$6:$Z$2381,PLANEJAMENTO_SEMANAL!$F$6:$F$2381,$B14,PLANEJAMENTO_SEMANAL!$B$6:$B$2381,AO$7)</f>
        <v>346552.519028281</v>
      </c>
      <c r="AP14" s="16" t="n">
        <f aca="false">SUMIFS(PLANEJAMENTO_SEMANAL!$Z$6:$Z$2381,PLANEJAMENTO_SEMANAL!$F$6:$F$2381,$B14,PLANEJAMENTO_SEMANAL!$B$6:$B$2381,AP$7)</f>
        <v>354318.903272463</v>
      </c>
      <c r="AQ14" s="16" t="n">
        <f aca="false">SUMIFS(PLANEJAMENTO_SEMANAL!$Z$6:$Z$2381,PLANEJAMENTO_SEMANAL!$F$6:$F$2381,$B14,PLANEJAMENTO_SEMANAL!$B$6:$B$2381,AQ$7)</f>
        <v>348262.392321267</v>
      </c>
      <c r="AR14" s="16" t="n">
        <f aca="false">SUMIFS(PLANEJAMENTO_SEMANAL!$Z$6:$Z$2381,PLANEJAMENTO_SEMANAL!$F$6:$F$2381,$B14,PLANEJAMENTO_SEMANAL!$B$6:$B$2381,AR$7)</f>
        <v>301446.849803922</v>
      </c>
      <c r="AS14" s="16" t="n">
        <f aca="false">SUMIFS(PLANEJAMENTO_SEMANAL!$Z$6:$Z$2381,PLANEJAMENTO_SEMANAL!$F$6:$F$2381,$B14,PLANEJAMENTO_SEMANAL!$B$6:$B$2381,AS$7)</f>
        <v>263268.321464052</v>
      </c>
      <c r="AT14" s="16" t="n">
        <f aca="false">SUMIFS(PLANEJAMENTO_SEMANAL!$Z$6:$Z$2381,PLANEJAMENTO_SEMANAL!$F$6:$F$2381,$B14,PLANEJAMENTO_SEMANAL!$B$6:$B$2381,AT$7)</f>
        <v>278245.964235294</v>
      </c>
      <c r="AU14" s="16" t="n">
        <f aca="false">SUMIFS(PLANEJAMENTO_SEMANAL!$Z$6:$Z$2381,PLANEJAMENTO_SEMANAL!$F$6:$F$2381,$B14,PLANEJAMENTO_SEMANAL!$B$6:$B$2381,AU$7)</f>
        <v>273278.471739869</v>
      </c>
      <c r="AV14" s="16" t="n">
        <f aca="false">SUMIFS(PLANEJAMENTO_SEMANAL!$Z$6:$Z$2381,PLANEJAMENTO_SEMANAL!$F$6:$F$2381,$B14,PLANEJAMENTO_SEMANAL!$B$6:$B$2381,AV$7)</f>
        <v>259988.107903268</v>
      </c>
      <c r="AW14" s="16" t="n">
        <f aca="false">SUMIFS(PLANEJAMENTO_SEMANAL!$Z$6:$Z$2381,PLANEJAMENTO_SEMANAL!$F$6:$F$2381,$B14,PLANEJAMENTO_SEMANAL!$B$6:$B$2381,AW$7)</f>
        <v>247069.456232184</v>
      </c>
      <c r="AX14" s="16" t="n">
        <f aca="false">SUMIFS(PLANEJAMENTO_SEMANAL!$Z$6:$Z$2381,PLANEJAMENTO_SEMANAL!$F$6:$F$2381,$B14,PLANEJAMENTO_SEMANAL!$B$6:$B$2381,AX$7)</f>
        <v>215925.435404102</v>
      </c>
      <c r="AY14" s="16" t="n">
        <f aca="false">SUMIFS(PLANEJAMENTO_SEMANAL!$Z$6:$Z$2381,PLANEJAMENTO_SEMANAL!$F$6:$F$2381,$B14,PLANEJAMENTO_SEMANAL!$B$6:$B$2381,AY$7)</f>
        <v>222953.03967735</v>
      </c>
      <c r="AZ14" s="16" t="n">
        <f aca="false">SUMIFS(PLANEJAMENTO_SEMANAL!$Z$6:$Z$2381,PLANEJAMENTO_SEMANAL!$F$6:$F$2381,$B14,PLANEJAMENTO_SEMANAL!$B$6:$B$2381,AZ$7)</f>
        <v>212778.354351679</v>
      </c>
      <c r="BA14" s="16" t="n">
        <f aca="false">SUMIFS(PLANEJAMENTO_SEMANAL!$Z$6:$Z$2381,PLANEJAMENTO_SEMANAL!$F$6:$F$2381,$B14,PLANEJAMENTO_SEMANAL!$B$6:$B$2381,BA$7)</f>
        <v>153873.594772414</v>
      </c>
      <c r="BB14" s="16" t="n">
        <f aca="false">SUMIFS(PLANEJAMENTO_SEMANAL!$Z$6:$Z$2381,PLANEJAMENTO_SEMANAL!$F$6:$F$2381,$B14,PLANEJAMENTO_SEMANAL!$B$6:$B$2381,BB$7)</f>
        <v>170691.022727789</v>
      </c>
      <c r="BC14" s="16" t="n">
        <f aca="false">SUMIFS(PLANEJAMENTO_SEMANAL!$Z$6:$Z$2381,PLANEJAMENTO_SEMANAL!$F$6:$F$2381,$B14,PLANEJAMENTO_SEMANAL!$B$6:$B$2381,BC$7)</f>
        <v>181370.903447059</v>
      </c>
      <c r="BD14" s="16" t="n">
        <f aca="false">SUMIFS(PLANEJAMENTO_SEMANAL!$Z$6:$Z$2381,PLANEJAMENTO_SEMANAL!$F$6:$F$2381,$B14,PLANEJAMENTO_SEMANAL!$B$6:$B$2381,BD$7)</f>
        <v>192351.865670588</v>
      </c>
      <c r="BE14" s="16" t="n">
        <f aca="false">SUMIFS(PLANEJAMENTO_SEMANAL!$Z$6:$Z$2381,PLANEJAMENTO_SEMANAL!$F$6:$F$2381,$B14,PLANEJAMENTO_SEMANAL!$B$6:$B$2381,BE$7)</f>
        <v>192978.075294118</v>
      </c>
      <c r="BF14" s="16" t="n">
        <f aca="false">SUMIFS(PLANEJAMENTO_SEMANAL!$Z$6:$Z$2381,PLANEJAMENTO_SEMANAL!$F$6:$F$2381,$B14,PLANEJAMENTO_SEMANAL!$B$6:$B$2381,BF$7)</f>
        <v>192978.075294118</v>
      </c>
      <c r="BG14" s="16" t="n">
        <f aca="false">SUMIFS(PLANEJAMENTO_SEMANAL!$Z$6:$Z$2381,PLANEJAMENTO_SEMANAL!$F$6:$F$2381,$B14,PLANEJAMENTO_SEMANAL!$B$6:$B$2381,BG$7)</f>
        <v>158545.365647059</v>
      </c>
      <c r="BH14" s="16" t="n">
        <f aca="false">SUMIFS(PLANEJAMENTO_SEMANAL!$Z$6:$Z$2381,PLANEJAMENTO_SEMANAL!$F$6:$F$2381,$B14,PLANEJAMENTO_SEMANAL!$B$6:$B$2381,BH$7)</f>
        <v>106826.752941176</v>
      </c>
      <c r="BI14" s="16" t="n">
        <f aca="false">SUMIFS(PLANEJAMENTO_SEMANAL!$Z$6:$Z$2381,PLANEJAMENTO_SEMANAL!$F$6:$F$2381,$B14,PLANEJAMENTO_SEMANAL!$B$6:$B$2381,BI$7)</f>
        <v>97788.1123569979</v>
      </c>
      <c r="BJ14" s="16" t="n">
        <f aca="false">SUMIFS(PLANEJAMENTO_SEMANAL!$Z$6:$Z$2381,PLANEJAMENTO_SEMANAL!$F$6:$F$2381,$B14,PLANEJAMENTO_SEMANAL!$B$6:$B$2381,BJ$7)</f>
        <v>86139.1811440162</v>
      </c>
      <c r="BK14" s="16" t="n">
        <f aca="false">SUMIFS(PLANEJAMENTO_SEMANAL!$Z$6:$Z$2381,PLANEJAMENTO_SEMANAL!$F$6:$F$2381,$B14,PLANEJAMENTO_SEMANAL!$B$6:$B$2381,BK$7)</f>
        <v>74490.2499310345</v>
      </c>
      <c r="BL14" s="16" t="n">
        <f aca="false">SUMIFS(PLANEJAMENTO_SEMANAL!$Z$6:$Z$2381,PLANEJAMENTO_SEMANAL!$F$6:$F$2381,$B14,PLANEJAMENTO_SEMANAL!$B$6:$B$2381,BL$7)</f>
        <v>1235.62435294118</v>
      </c>
      <c r="BM14" s="16" t="n">
        <f aca="false">SUMIFS(PLANEJAMENTO_SEMANAL!$Z$6:$Z$2381,PLANEJAMENTO_SEMANAL!$F$6:$F$2381,$B14,PLANEJAMENTO_SEMANAL!$B$6:$B$2381,BM$7)</f>
        <v>0</v>
      </c>
      <c r="BN14" s="16" t="n">
        <f aca="false">SUMIFS(PLANEJAMENTO_SEMANAL!$Z$6:$Z$2381,PLANEJAMENTO_SEMANAL!$F$6:$F$2381,$B14,PLANEJAMENTO_SEMANAL!$B$6:$B$2381,BN$7)</f>
        <v>0</v>
      </c>
      <c r="BO14" s="16" t="n">
        <f aca="false">SUMIFS(PLANEJAMENTO_SEMANAL!$Z$6:$Z$2381,PLANEJAMENTO_SEMANAL!$F$6:$F$2381,$B14,PLANEJAMENTO_SEMANAL!$B$6:$B$2381,BO$7)</f>
        <v>0</v>
      </c>
      <c r="BP14" s="16" t="n">
        <f aca="false">SUMIFS(PLANEJAMENTO_SEMANAL!$Z$6:$Z$2381,PLANEJAMENTO_SEMANAL!$F$6:$F$2381,$B14,PLANEJAMENTO_SEMANAL!$B$6:$B$2381,BP$7)</f>
        <v>0</v>
      </c>
      <c r="BQ14" s="16" t="n">
        <f aca="false">SUM(C14:BP14)</f>
        <v>8075449.63800163</v>
      </c>
    </row>
    <row r="15" customFormat="false" ht="15" hidden="false" customHeight="false" outlineLevel="0" collapsed="false">
      <c r="B15" s="15" t="s">
        <v>135</v>
      </c>
      <c r="C15" s="16" t="n">
        <f aca="false">SUMIFS(PLANEJAMENTO_SEMANAL!$Z$6:$Z$2381,PLANEJAMENTO_SEMANAL!$F$6:$F$2381,$B15,PLANEJAMENTO_SEMANAL!$B$6:$B$2381,C$7)</f>
        <v>0</v>
      </c>
      <c r="D15" s="16" t="n">
        <f aca="false">SUMIFS(PLANEJAMENTO_SEMANAL!$Z$6:$Z$2381,PLANEJAMENTO_SEMANAL!$F$6:$F$2381,$B15,PLANEJAMENTO_SEMANAL!$B$6:$B$2381,D$7)</f>
        <v>0</v>
      </c>
      <c r="E15" s="16" t="n">
        <f aca="false">SUMIFS(PLANEJAMENTO_SEMANAL!$Z$6:$Z$2381,PLANEJAMENTO_SEMANAL!$F$6:$F$2381,$B15,PLANEJAMENTO_SEMANAL!$B$6:$B$2381,E$7)</f>
        <v>0</v>
      </c>
      <c r="F15" s="16" t="n">
        <f aca="false">SUMIFS(PLANEJAMENTO_SEMANAL!$Z$6:$Z$2381,PLANEJAMENTO_SEMANAL!$F$6:$F$2381,$B15,PLANEJAMENTO_SEMANAL!$B$6:$B$2381,F$7)</f>
        <v>0</v>
      </c>
      <c r="G15" s="16" t="n">
        <f aca="false">SUMIFS(PLANEJAMENTO_SEMANAL!$Z$6:$Z$2381,PLANEJAMENTO_SEMANAL!$F$6:$F$2381,$B15,PLANEJAMENTO_SEMANAL!$B$6:$B$2381,G$7)</f>
        <v>0</v>
      </c>
      <c r="H15" s="16" t="n">
        <f aca="false">SUMIFS(PLANEJAMENTO_SEMANAL!$Z$6:$Z$2381,PLANEJAMENTO_SEMANAL!$F$6:$F$2381,$B15,PLANEJAMENTO_SEMANAL!$B$6:$B$2381,H$7)</f>
        <v>0</v>
      </c>
      <c r="I15" s="16" t="n">
        <f aca="false">SUMIFS(PLANEJAMENTO_SEMANAL!$Z$6:$Z$2381,PLANEJAMENTO_SEMANAL!$F$6:$F$2381,$B15,PLANEJAMENTO_SEMANAL!$B$6:$B$2381,I$7)</f>
        <v>0</v>
      </c>
      <c r="J15" s="16" t="n">
        <f aca="false">SUMIFS(PLANEJAMENTO_SEMANAL!$Z$6:$Z$2381,PLANEJAMENTO_SEMANAL!$F$6:$F$2381,$B15,PLANEJAMENTO_SEMANAL!$B$6:$B$2381,J$7)</f>
        <v>0</v>
      </c>
      <c r="K15" s="16" t="n">
        <f aca="false">SUMIFS(PLANEJAMENTO_SEMANAL!$Z$6:$Z$2381,PLANEJAMENTO_SEMANAL!$F$6:$F$2381,$B15,PLANEJAMENTO_SEMANAL!$B$6:$B$2381,K$7)</f>
        <v>0</v>
      </c>
      <c r="L15" s="16" t="n">
        <f aca="false">SUMIFS(PLANEJAMENTO_SEMANAL!$Z$6:$Z$2381,PLANEJAMENTO_SEMANAL!$F$6:$F$2381,$B15,PLANEJAMENTO_SEMANAL!$B$6:$B$2381,L$7)</f>
        <v>0</v>
      </c>
      <c r="M15" s="16" t="n">
        <f aca="false">SUMIFS(PLANEJAMENTO_SEMANAL!$Z$6:$Z$2381,PLANEJAMENTO_SEMANAL!$F$6:$F$2381,$B15,PLANEJAMENTO_SEMANAL!$B$6:$B$2381,M$7)</f>
        <v>0</v>
      </c>
      <c r="N15" s="16" t="n">
        <f aca="false">SUMIFS(PLANEJAMENTO_SEMANAL!$Z$6:$Z$2381,PLANEJAMENTO_SEMANAL!$F$6:$F$2381,$B15,PLANEJAMENTO_SEMANAL!$B$6:$B$2381,N$7)</f>
        <v>0</v>
      </c>
      <c r="O15" s="16" t="n">
        <f aca="false">SUMIFS(PLANEJAMENTO_SEMANAL!$Z$6:$Z$2381,PLANEJAMENTO_SEMANAL!$F$6:$F$2381,$B15,PLANEJAMENTO_SEMANAL!$B$6:$B$2381,O$7)</f>
        <v>0</v>
      </c>
      <c r="P15" s="16" t="n">
        <f aca="false">SUMIFS(PLANEJAMENTO_SEMANAL!$Z$6:$Z$2381,PLANEJAMENTO_SEMANAL!$F$6:$F$2381,$B15,PLANEJAMENTO_SEMANAL!$B$6:$B$2381,P$7)</f>
        <v>0</v>
      </c>
      <c r="Q15" s="16" t="n">
        <f aca="false">SUMIFS(PLANEJAMENTO_SEMANAL!$Z$6:$Z$2381,PLANEJAMENTO_SEMANAL!$F$6:$F$2381,$B15,PLANEJAMENTO_SEMANAL!$B$6:$B$2381,Q$7)</f>
        <v>0</v>
      </c>
      <c r="R15" s="16" t="n">
        <f aca="false">SUMIFS(PLANEJAMENTO_SEMANAL!$Z$6:$Z$2381,PLANEJAMENTO_SEMANAL!$F$6:$F$2381,$B15,PLANEJAMENTO_SEMANAL!$B$6:$B$2381,R$7)</f>
        <v>0</v>
      </c>
      <c r="S15" s="16" t="n">
        <f aca="false">SUMIFS(PLANEJAMENTO_SEMANAL!$Z$6:$Z$2381,PLANEJAMENTO_SEMANAL!$F$6:$F$2381,$B15,PLANEJAMENTO_SEMANAL!$B$6:$B$2381,S$7)</f>
        <v>0</v>
      </c>
      <c r="T15" s="16" t="n">
        <f aca="false">SUMIFS(PLANEJAMENTO_SEMANAL!$Z$6:$Z$2381,PLANEJAMENTO_SEMANAL!$F$6:$F$2381,$B15,PLANEJAMENTO_SEMANAL!$B$6:$B$2381,T$7)</f>
        <v>0</v>
      </c>
      <c r="U15" s="16" t="n">
        <f aca="false">SUMIFS(PLANEJAMENTO_SEMANAL!$Z$6:$Z$2381,PLANEJAMENTO_SEMANAL!$F$6:$F$2381,$B15,PLANEJAMENTO_SEMANAL!$B$6:$B$2381,U$7)</f>
        <v>0</v>
      </c>
      <c r="V15" s="16" t="n">
        <f aca="false">SUMIFS(PLANEJAMENTO_SEMANAL!$Z$6:$Z$2381,PLANEJAMENTO_SEMANAL!$F$6:$F$2381,$B15,PLANEJAMENTO_SEMANAL!$B$6:$B$2381,V$7)</f>
        <v>0</v>
      </c>
      <c r="W15" s="16" t="n">
        <f aca="false">SUMIFS(PLANEJAMENTO_SEMANAL!$Z$6:$Z$2381,PLANEJAMENTO_SEMANAL!$F$6:$F$2381,$B15,PLANEJAMENTO_SEMANAL!$B$6:$B$2381,W$7)</f>
        <v>0</v>
      </c>
      <c r="X15" s="16" t="n">
        <f aca="false">SUMIFS(PLANEJAMENTO_SEMANAL!$Z$6:$Z$2381,PLANEJAMENTO_SEMANAL!$F$6:$F$2381,$B15,PLANEJAMENTO_SEMANAL!$B$6:$B$2381,X$7)</f>
        <v>0</v>
      </c>
      <c r="Y15" s="16" t="n">
        <f aca="false">SUMIFS(PLANEJAMENTO_SEMANAL!$Z$6:$Z$2381,PLANEJAMENTO_SEMANAL!$F$6:$F$2381,$B15,PLANEJAMENTO_SEMANAL!$B$6:$B$2381,Y$7)</f>
        <v>0</v>
      </c>
      <c r="Z15" s="16" t="n">
        <f aca="false">SUMIFS(PLANEJAMENTO_SEMANAL!$Z$6:$Z$2381,PLANEJAMENTO_SEMANAL!$F$6:$F$2381,$B15,PLANEJAMENTO_SEMANAL!$B$6:$B$2381,Z$7)</f>
        <v>0</v>
      </c>
      <c r="AA15" s="16" t="n">
        <f aca="false">SUMIFS(PLANEJAMENTO_SEMANAL!$Z$6:$Z$2381,PLANEJAMENTO_SEMANAL!$F$6:$F$2381,$B15,PLANEJAMENTO_SEMANAL!$B$6:$B$2381,AA$7)</f>
        <v>0</v>
      </c>
      <c r="AB15" s="16" t="n">
        <f aca="false">SUMIFS(PLANEJAMENTO_SEMANAL!$Z$6:$Z$2381,PLANEJAMENTO_SEMANAL!$F$6:$F$2381,$B15,PLANEJAMENTO_SEMANAL!$B$6:$B$2381,AB$7)</f>
        <v>0</v>
      </c>
      <c r="AC15" s="16" t="n">
        <f aca="false">SUMIFS(PLANEJAMENTO_SEMANAL!$Z$6:$Z$2381,PLANEJAMENTO_SEMANAL!$F$6:$F$2381,$B15,PLANEJAMENTO_SEMANAL!$B$6:$B$2381,AC$7)</f>
        <v>0</v>
      </c>
      <c r="AD15" s="16" t="n">
        <f aca="false">SUMIFS(PLANEJAMENTO_SEMANAL!$Z$6:$Z$2381,PLANEJAMENTO_SEMANAL!$F$6:$F$2381,$B15,PLANEJAMENTO_SEMANAL!$B$6:$B$2381,AD$7)</f>
        <v>0</v>
      </c>
      <c r="AE15" s="16" t="n">
        <f aca="false">SUMIFS(PLANEJAMENTO_SEMANAL!$Z$6:$Z$2381,PLANEJAMENTO_SEMANAL!$F$6:$F$2381,$B15,PLANEJAMENTO_SEMANAL!$B$6:$B$2381,AE$7)</f>
        <v>0</v>
      </c>
      <c r="AF15" s="16" t="n">
        <f aca="false">SUMIFS(PLANEJAMENTO_SEMANAL!$Z$6:$Z$2381,PLANEJAMENTO_SEMANAL!$F$6:$F$2381,$B15,PLANEJAMENTO_SEMANAL!$B$6:$B$2381,AF$7)</f>
        <v>0</v>
      </c>
      <c r="AG15" s="16" t="n">
        <f aca="false">SUMIFS(PLANEJAMENTO_SEMANAL!$Z$6:$Z$2381,PLANEJAMENTO_SEMANAL!$F$6:$F$2381,$B15,PLANEJAMENTO_SEMANAL!$B$6:$B$2381,AG$7)</f>
        <v>0</v>
      </c>
      <c r="AH15" s="16" t="n">
        <f aca="false">SUMIFS(PLANEJAMENTO_SEMANAL!$Z$6:$Z$2381,PLANEJAMENTO_SEMANAL!$F$6:$F$2381,$B15,PLANEJAMENTO_SEMANAL!$B$6:$B$2381,AH$7)</f>
        <v>0</v>
      </c>
      <c r="AI15" s="16" t="n">
        <f aca="false">SUMIFS(PLANEJAMENTO_SEMANAL!$Z$6:$Z$2381,PLANEJAMENTO_SEMANAL!$F$6:$F$2381,$B15,PLANEJAMENTO_SEMANAL!$B$6:$B$2381,AI$7)</f>
        <v>0</v>
      </c>
      <c r="AJ15" s="16" t="n">
        <f aca="false">SUMIFS(PLANEJAMENTO_SEMANAL!$Z$6:$Z$2381,PLANEJAMENTO_SEMANAL!$F$6:$F$2381,$B15,PLANEJAMENTO_SEMANAL!$B$6:$B$2381,AJ$7)</f>
        <v>0</v>
      </c>
      <c r="AK15" s="16" t="n">
        <f aca="false">SUMIFS(PLANEJAMENTO_SEMANAL!$Z$6:$Z$2381,PLANEJAMENTO_SEMANAL!$F$6:$F$2381,$B15,PLANEJAMENTO_SEMANAL!$B$6:$B$2381,AK$7)</f>
        <v>0</v>
      </c>
      <c r="AL15" s="16" t="n">
        <f aca="false">SUMIFS(PLANEJAMENTO_SEMANAL!$Z$6:$Z$2381,PLANEJAMENTO_SEMANAL!$F$6:$F$2381,$B15,PLANEJAMENTO_SEMANAL!$B$6:$B$2381,AL$7)</f>
        <v>0</v>
      </c>
      <c r="AM15" s="16" t="n">
        <f aca="false">SUMIFS(PLANEJAMENTO_SEMANAL!$Z$6:$Z$2381,PLANEJAMENTO_SEMANAL!$F$6:$F$2381,$B15,PLANEJAMENTO_SEMANAL!$B$6:$B$2381,AM$7)</f>
        <v>0</v>
      </c>
      <c r="AN15" s="16" t="n">
        <f aca="false">SUMIFS(PLANEJAMENTO_SEMANAL!$Z$6:$Z$2381,PLANEJAMENTO_SEMANAL!$F$6:$F$2381,$B15,PLANEJAMENTO_SEMANAL!$B$6:$B$2381,AN$7)</f>
        <v>0</v>
      </c>
      <c r="AO15" s="16" t="n">
        <f aca="false">SUMIFS(PLANEJAMENTO_SEMANAL!$Z$6:$Z$2381,PLANEJAMENTO_SEMANAL!$F$6:$F$2381,$B15,PLANEJAMENTO_SEMANAL!$B$6:$B$2381,AO$7)</f>
        <v>0</v>
      </c>
      <c r="AP15" s="16" t="n">
        <f aca="false">SUMIFS(PLANEJAMENTO_SEMANAL!$Z$6:$Z$2381,PLANEJAMENTO_SEMANAL!$F$6:$F$2381,$B15,PLANEJAMENTO_SEMANAL!$B$6:$B$2381,AP$7)</f>
        <v>0</v>
      </c>
      <c r="AQ15" s="16" t="n">
        <f aca="false">SUMIFS(PLANEJAMENTO_SEMANAL!$Z$6:$Z$2381,PLANEJAMENTO_SEMANAL!$F$6:$F$2381,$B15,PLANEJAMENTO_SEMANAL!$B$6:$B$2381,AQ$7)</f>
        <v>0</v>
      </c>
      <c r="AR15" s="16" t="n">
        <f aca="false">SUMIFS(PLANEJAMENTO_SEMANAL!$Z$6:$Z$2381,PLANEJAMENTO_SEMANAL!$F$6:$F$2381,$B15,PLANEJAMENTO_SEMANAL!$B$6:$B$2381,AR$7)</f>
        <v>0</v>
      </c>
      <c r="AS15" s="16" t="n">
        <f aca="false">SUMIFS(PLANEJAMENTO_SEMANAL!$Z$6:$Z$2381,PLANEJAMENTO_SEMANAL!$F$6:$F$2381,$B15,PLANEJAMENTO_SEMANAL!$B$6:$B$2381,AS$7)</f>
        <v>0</v>
      </c>
      <c r="AT15" s="16" t="n">
        <f aca="false">SUMIFS(PLANEJAMENTO_SEMANAL!$Z$6:$Z$2381,PLANEJAMENTO_SEMANAL!$F$6:$F$2381,$B15,PLANEJAMENTO_SEMANAL!$B$6:$B$2381,AT$7)</f>
        <v>0</v>
      </c>
      <c r="AU15" s="16" t="n">
        <f aca="false">SUMIFS(PLANEJAMENTO_SEMANAL!$Z$6:$Z$2381,PLANEJAMENTO_SEMANAL!$F$6:$F$2381,$B15,PLANEJAMENTO_SEMANAL!$B$6:$B$2381,AU$7)</f>
        <v>0</v>
      </c>
      <c r="AV15" s="16" t="n">
        <f aca="false">SUMIFS(PLANEJAMENTO_SEMANAL!$Z$6:$Z$2381,PLANEJAMENTO_SEMANAL!$F$6:$F$2381,$B15,PLANEJAMENTO_SEMANAL!$B$6:$B$2381,AV$7)</f>
        <v>0</v>
      </c>
      <c r="AW15" s="16" t="n">
        <f aca="false">SUMIFS(PLANEJAMENTO_SEMANAL!$Z$6:$Z$2381,PLANEJAMENTO_SEMANAL!$F$6:$F$2381,$B15,PLANEJAMENTO_SEMANAL!$B$6:$B$2381,AW$7)</f>
        <v>0</v>
      </c>
      <c r="AX15" s="16" t="n">
        <f aca="false">SUMIFS(PLANEJAMENTO_SEMANAL!$Z$6:$Z$2381,PLANEJAMENTO_SEMANAL!$F$6:$F$2381,$B15,PLANEJAMENTO_SEMANAL!$B$6:$B$2381,AX$7)</f>
        <v>0</v>
      </c>
      <c r="AY15" s="16" t="n">
        <f aca="false">SUMIFS(PLANEJAMENTO_SEMANAL!$Z$6:$Z$2381,PLANEJAMENTO_SEMANAL!$F$6:$F$2381,$B15,PLANEJAMENTO_SEMANAL!$B$6:$B$2381,AY$7)</f>
        <v>0</v>
      </c>
      <c r="AZ15" s="16" t="n">
        <f aca="false">SUMIFS(PLANEJAMENTO_SEMANAL!$Z$6:$Z$2381,PLANEJAMENTO_SEMANAL!$F$6:$F$2381,$B15,PLANEJAMENTO_SEMANAL!$B$6:$B$2381,AZ$7)</f>
        <v>0</v>
      </c>
      <c r="BA15" s="16" t="n">
        <f aca="false">SUMIFS(PLANEJAMENTO_SEMANAL!$Z$6:$Z$2381,PLANEJAMENTO_SEMANAL!$F$6:$F$2381,$B15,PLANEJAMENTO_SEMANAL!$B$6:$B$2381,BA$7)</f>
        <v>0</v>
      </c>
      <c r="BB15" s="16" t="n">
        <f aca="false">SUMIFS(PLANEJAMENTO_SEMANAL!$Z$6:$Z$2381,PLANEJAMENTO_SEMANAL!$F$6:$F$2381,$B15,PLANEJAMENTO_SEMANAL!$B$6:$B$2381,BB$7)</f>
        <v>0</v>
      </c>
      <c r="BC15" s="16" t="n">
        <f aca="false">SUMIFS(PLANEJAMENTO_SEMANAL!$Z$6:$Z$2381,PLANEJAMENTO_SEMANAL!$F$6:$F$2381,$B15,PLANEJAMENTO_SEMANAL!$B$6:$B$2381,BC$7)</f>
        <v>0</v>
      </c>
      <c r="BD15" s="16" t="n">
        <f aca="false">SUMIFS(PLANEJAMENTO_SEMANAL!$Z$6:$Z$2381,PLANEJAMENTO_SEMANAL!$F$6:$F$2381,$B15,PLANEJAMENTO_SEMANAL!$B$6:$B$2381,BD$7)</f>
        <v>0</v>
      </c>
      <c r="BE15" s="16" t="n">
        <f aca="false">SUMIFS(PLANEJAMENTO_SEMANAL!$Z$6:$Z$2381,PLANEJAMENTO_SEMANAL!$F$6:$F$2381,$B15,PLANEJAMENTO_SEMANAL!$B$6:$B$2381,BE$7)</f>
        <v>0</v>
      </c>
      <c r="BF15" s="16" t="n">
        <f aca="false">SUMIFS(PLANEJAMENTO_SEMANAL!$Z$6:$Z$2381,PLANEJAMENTO_SEMANAL!$F$6:$F$2381,$B15,PLANEJAMENTO_SEMANAL!$B$6:$B$2381,BF$7)</f>
        <v>0</v>
      </c>
      <c r="BG15" s="16" t="n">
        <f aca="false">SUMIFS(PLANEJAMENTO_SEMANAL!$Z$6:$Z$2381,PLANEJAMENTO_SEMANAL!$F$6:$F$2381,$B15,PLANEJAMENTO_SEMANAL!$B$6:$B$2381,BG$7)</f>
        <v>0</v>
      </c>
      <c r="BH15" s="16" t="n">
        <f aca="false">SUMIFS(PLANEJAMENTO_SEMANAL!$Z$6:$Z$2381,PLANEJAMENTO_SEMANAL!$F$6:$F$2381,$B15,PLANEJAMENTO_SEMANAL!$B$6:$B$2381,BH$7)</f>
        <v>0</v>
      </c>
      <c r="BI15" s="16" t="n">
        <f aca="false">SUMIFS(PLANEJAMENTO_SEMANAL!$Z$6:$Z$2381,PLANEJAMENTO_SEMANAL!$F$6:$F$2381,$B15,PLANEJAMENTO_SEMANAL!$B$6:$B$2381,BI$7)</f>
        <v>0</v>
      </c>
      <c r="BJ15" s="16" t="n">
        <f aca="false">SUMIFS(PLANEJAMENTO_SEMANAL!$Z$6:$Z$2381,PLANEJAMENTO_SEMANAL!$F$6:$F$2381,$B15,PLANEJAMENTO_SEMANAL!$B$6:$B$2381,BJ$7)</f>
        <v>0</v>
      </c>
      <c r="BK15" s="16" t="n">
        <f aca="false">SUMIFS(PLANEJAMENTO_SEMANAL!$Z$6:$Z$2381,PLANEJAMENTO_SEMANAL!$F$6:$F$2381,$B15,PLANEJAMENTO_SEMANAL!$B$6:$B$2381,BK$7)</f>
        <v>0</v>
      </c>
      <c r="BL15" s="16" t="n">
        <f aca="false">SUMIFS(PLANEJAMENTO_SEMANAL!$Z$6:$Z$2381,PLANEJAMENTO_SEMANAL!$F$6:$F$2381,$B15,PLANEJAMENTO_SEMANAL!$B$6:$B$2381,BL$7)</f>
        <v>0</v>
      </c>
      <c r="BM15" s="16" t="n">
        <f aca="false">SUMIFS(PLANEJAMENTO_SEMANAL!$Z$6:$Z$2381,PLANEJAMENTO_SEMANAL!$F$6:$F$2381,$B15,PLANEJAMENTO_SEMANAL!$B$6:$B$2381,BM$7)</f>
        <v>0</v>
      </c>
      <c r="BN15" s="16" t="n">
        <f aca="false">SUMIFS(PLANEJAMENTO_SEMANAL!$Z$6:$Z$2381,PLANEJAMENTO_SEMANAL!$F$6:$F$2381,$B15,PLANEJAMENTO_SEMANAL!$B$6:$B$2381,BN$7)</f>
        <v>0</v>
      </c>
      <c r="BO15" s="16" t="n">
        <f aca="false">SUMIFS(PLANEJAMENTO_SEMANAL!$Z$6:$Z$2381,PLANEJAMENTO_SEMANAL!$F$6:$F$2381,$B15,PLANEJAMENTO_SEMANAL!$B$6:$B$2381,BO$7)</f>
        <v>0</v>
      </c>
      <c r="BP15" s="16" t="n">
        <f aca="false">SUMIFS(PLANEJAMENTO_SEMANAL!$Z$6:$Z$2381,PLANEJAMENTO_SEMANAL!$F$6:$F$2381,$B15,PLANEJAMENTO_SEMANAL!$B$6:$B$2381,BP$7)</f>
        <v>0</v>
      </c>
      <c r="BQ15" s="16" t="n">
        <f aca="false">SUM(C15:BP15)</f>
        <v>0</v>
      </c>
    </row>
    <row r="18" customFormat="false" ht="15" hidden="false" customHeight="false" outlineLevel="0" collapsed="false">
      <c r="B18" s="3" t="s">
        <v>600</v>
      </c>
    </row>
    <row r="19" customFormat="false" ht="15" hidden="false" customHeight="false" outlineLevel="0" collapsed="false">
      <c r="B19" s="14" t="s">
        <v>187</v>
      </c>
      <c r="C19" s="14" t="n">
        <v>1</v>
      </c>
      <c r="D19" s="14" t="n">
        <v>2</v>
      </c>
      <c r="E19" s="14" t="n">
        <v>3</v>
      </c>
      <c r="F19" s="14" t="n">
        <v>4</v>
      </c>
      <c r="G19" s="14" t="n">
        <v>5</v>
      </c>
      <c r="H19" s="14" t="n">
        <v>6</v>
      </c>
      <c r="I19" s="14" t="n">
        <v>7</v>
      </c>
      <c r="J19" s="14" t="n">
        <v>8</v>
      </c>
      <c r="K19" s="14" t="n">
        <v>9</v>
      </c>
      <c r="L19" s="14" t="n">
        <v>10</v>
      </c>
      <c r="M19" s="14" t="n">
        <v>11</v>
      </c>
      <c r="N19" s="14" t="n">
        <v>12</v>
      </c>
      <c r="O19" s="14" t="n">
        <v>13</v>
      </c>
      <c r="P19" s="14" t="n">
        <v>14</v>
      </c>
      <c r="Q19" s="14" t="n">
        <v>15</v>
      </c>
      <c r="R19" s="14" t="n">
        <v>16</v>
      </c>
      <c r="S19" s="14" t="n">
        <v>17</v>
      </c>
      <c r="T19" s="14" t="n">
        <v>18</v>
      </c>
      <c r="U19" s="14" t="n">
        <v>19</v>
      </c>
      <c r="V19" s="14" t="n">
        <v>20</v>
      </c>
      <c r="W19" s="14" t="n">
        <v>21</v>
      </c>
      <c r="X19" s="14" t="n">
        <v>22</v>
      </c>
      <c r="Y19" s="14" t="n">
        <v>23</v>
      </c>
      <c r="Z19" s="14" t="n">
        <v>24</v>
      </c>
      <c r="AA19" s="14" t="n">
        <v>25</v>
      </c>
      <c r="AB19" s="14" t="n">
        <v>26</v>
      </c>
      <c r="AC19" s="14" t="n">
        <v>27</v>
      </c>
      <c r="AD19" s="14" t="n">
        <v>28</v>
      </c>
      <c r="AE19" s="14" t="n">
        <v>29</v>
      </c>
      <c r="AF19" s="14" t="n">
        <v>30</v>
      </c>
      <c r="AG19" s="14" t="n">
        <v>31</v>
      </c>
      <c r="AH19" s="14" t="n">
        <v>32</v>
      </c>
      <c r="AI19" s="14" t="n">
        <v>33</v>
      </c>
      <c r="AJ19" s="14" t="n">
        <v>34</v>
      </c>
      <c r="AK19" s="14" t="n">
        <v>35</v>
      </c>
      <c r="AL19" s="14" t="n">
        <v>36</v>
      </c>
      <c r="AM19" s="14" t="n">
        <v>37</v>
      </c>
      <c r="AN19" s="14" t="n">
        <v>38</v>
      </c>
      <c r="AO19" s="14" t="n">
        <v>39</v>
      </c>
      <c r="AP19" s="14" t="n">
        <v>40</v>
      </c>
      <c r="AQ19" s="14" t="n">
        <v>41</v>
      </c>
      <c r="AR19" s="14" t="n">
        <v>42</v>
      </c>
      <c r="AS19" s="14" t="n">
        <v>43</v>
      </c>
      <c r="AT19" s="14" t="n">
        <v>44</v>
      </c>
      <c r="AU19" s="14" t="n">
        <v>45</v>
      </c>
      <c r="AV19" s="14" t="n">
        <v>46</v>
      </c>
      <c r="AW19" s="14" t="n">
        <v>47</v>
      </c>
      <c r="AX19" s="14" t="n">
        <v>48</v>
      </c>
      <c r="AY19" s="14" t="n">
        <v>49</v>
      </c>
      <c r="AZ19" s="14" t="n">
        <v>50</v>
      </c>
      <c r="BA19" s="14" t="n">
        <v>51</v>
      </c>
      <c r="BB19" s="14" t="n">
        <v>52</v>
      </c>
      <c r="BC19" s="14" t="n">
        <v>53</v>
      </c>
      <c r="BD19" s="14" t="n">
        <v>54</v>
      </c>
      <c r="BE19" s="14" t="n">
        <v>55</v>
      </c>
      <c r="BF19" s="14" t="n">
        <v>56</v>
      </c>
      <c r="BG19" s="14" t="n">
        <v>57</v>
      </c>
      <c r="BH19" s="14" t="n">
        <v>58</v>
      </c>
      <c r="BI19" s="14" t="n">
        <v>59</v>
      </c>
      <c r="BJ19" s="14" t="n">
        <v>60</v>
      </c>
      <c r="BK19" s="14" t="n">
        <v>61</v>
      </c>
      <c r="BL19" s="14" t="n">
        <v>62</v>
      </c>
      <c r="BM19" s="14" t="n">
        <v>63</v>
      </c>
      <c r="BN19" s="14" t="n">
        <v>64</v>
      </c>
      <c r="BO19" s="14" t="n">
        <v>65</v>
      </c>
      <c r="BP19" s="14" t="n">
        <v>66</v>
      </c>
      <c r="BQ19" s="14" t="s">
        <v>601</v>
      </c>
    </row>
    <row r="20" customFormat="false" ht="15" hidden="false" customHeight="false" outlineLevel="0" collapsed="false">
      <c r="B20" s="15" t="s">
        <v>128</v>
      </c>
      <c r="C20" s="18" t="n">
        <f aca="false">SUMIFS(PLANEJAMENTO_SEMANAL!$H$6:$H$2381,PLANEJAMENTO_SEMANAL!$F$6:$F$2381,$B20,PLANEJAMENTO_SEMANAL!$B$6:$B$2381,C$7,PLANEJAMENTO_SEMANAL!$K$6:$K$2381,"&lt;&gt;SEM CULTURA")</f>
        <v>0</v>
      </c>
      <c r="D20" s="18" t="n">
        <f aca="false">SUMIFS(PLANEJAMENTO_SEMANAL!$H$6:$H$2381,PLANEJAMENTO_SEMANAL!$F$6:$F$2381,$B20,PLANEJAMENTO_SEMANAL!$B$6:$B$2381,D$7,PLANEJAMENTO_SEMANAL!$K$6:$K$2381,"&lt;&gt;SEM CULTURA")</f>
        <v>0</v>
      </c>
      <c r="E20" s="18" t="n">
        <f aca="false">SUMIFS(PLANEJAMENTO_SEMANAL!$H$6:$H$2381,PLANEJAMENTO_SEMANAL!$F$6:$F$2381,$B20,PLANEJAMENTO_SEMANAL!$B$6:$B$2381,E$7,PLANEJAMENTO_SEMANAL!$K$6:$K$2381,"&lt;&gt;SEM CULTURA")</f>
        <v>0</v>
      </c>
      <c r="F20" s="18" t="n">
        <f aca="false">SUMIFS(PLANEJAMENTO_SEMANAL!$H$6:$H$2381,PLANEJAMENTO_SEMANAL!$F$6:$F$2381,$B20,PLANEJAMENTO_SEMANAL!$B$6:$B$2381,F$7,PLANEJAMENTO_SEMANAL!$K$6:$K$2381,"&lt;&gt;SEM CULTURA")</f>
        <v>0</v>
      </c>
      <c r="G20" s="18" t="n">
        <f aca="false">SUMIFS(PLANEJAMENTO_SEMANAL!$H$6:$H$2381,PLANEJAMENTO_SEMANAL!$F$6:$F$2381,$B20,PLANEJAMENTO_SEMANAL!$B$6:$B$2381,G$7,PLANEJAMENTO_SEMANAL!$K$6:$K$2381,"&lt;&gt;SEM CULTURA")</f>
        <v>98.31</v>
      </c>
      <c r="H20" s="18" t="n">
        <f aca="false">SUMIFS(PLANEJAMENTO_SEMANAL!$H$6:$H$2381,PLANEJAMENTO_SEMANAL!$F$6:$F$2381,$B20,PLANEJAMENTO_SEMANAL!$B$6:$B$2381,H$7,PLANEJAMENTO_SEMANAL!$K$6:$K$2381,"&lt;&gt;SEM CULTURA")</f>
        <v>98.31</v>
      </c>
      <c r="I20" s="18" t="n">
        <f aca="false">SUMIFS(PLANEJAMENTO_SEMANAL!$H$6:$H$2381,PLANEJAMENTO_SEMANAL!$F$6:$F$2381,$B20,PLANEJAMENTO_SEMANAL!$B$6:$B$2381,I$7,PLANEJAMENTO_SEMANAL!$K$6:$K$2381,"&lt;&gt;SEM CULTURA")</f>
        <v>98.31</v>
      </c>
      <c r="J20" s="18" t="n">
        <f aca="false">SUMIFS(PLANEJAMENTO_SEMANAL!$H$6:$H$2381,PLANEJAMENTO_SEMANAL!$F$6:$F$2381,$B20,PLANEJAMENTO_SEMANAL!$B$6:$B$2381,J$7,PLANEJAMENTO_SEMANAL!$K$6:$K$2381,"&lt;&gt;SEM CULTURA")</f>
        <v>98.31</v>
      </c>
      <c r="K20" s="18" t="n">
        <f aca="false">SUMIFS(PLANEJAMENTO_SEMANAL!$H$6:$H$2381,PLANEJAMENTO_SEMANAL!$F$6:$F$2381,$B20,PLANEJAMENTO_SEMANAL!$B$6:$B$2381,K$7,PLANEJAMENTO_SEMANAL!$K$6:$K$2381,"&lt;&gt;SEM CULTURA")</f>
        <v>98.31</v>
      </c>
      <c r="L20" s="18" t="n">
        <f aca="false">SUMIFS(PLANEJAMENTO_SEMANAL!$H$6:$H$2381,PLANEJAMENTO_SEMANAL!$F$6:$F$2381,$B20,PLANEJAMENTO_SEMANAL!$B$6:$B$2381,L$7,PLANEJAMENTO_SEMANAL!$K$6:$K$2381,"&lt;&gt;SEM CULTURA")</f>
        <v>98.31</v>
      </c>
      <c r="M20" s="18" t="n">
        <f aca="false">SUMIFS(PLANEJAMENTO_SEMANAL!$H$6:$H$2381,PLANEJAMENTO_SEMANAL!$F$6:$F$2381,$B20,PLANEJAMENTO_SEMANAL!$B$6:$B$2381,M$7,PLANEJAMENTO_SEMANAL!$K$6:$K$2381,"&lt;&gt;SEM CULTURA")</f>
        <v>98.31</v>
      </c>
      <c r="N20" s="18" t="n">
        <f aca="false">SUMIFS(PLANEJAMENTO_SEMANAL!$H$6:$H$2381,PLANEJAMENTO_SEMANAL!$F$6:$F$2381,$B20,PLANEJAMENTO_SEMANAL!$B$6:$B$2381,N$7,PLANEJAMENTO_SEMANAL!$K$6:$K$2381,"&lt;&gt;SEM CULTURA")</f>
        <v>98.31</v>
      </c>
      <c r="O20" s="18" t="n">
        <f aca="false">SUMIFS(PLANEJAMENTO_SEMANAL!$H$6:$H$2381,PLANEJAMENTO_SEMANAL!$F$6:$F$2381,$B20,PLANEJAMENTO_SEMANAL!$B$6:$B$2381,O$7,PLANEJAMENTO_SEMANAL!$K$6:$K$2381,"&lt;&gt;SEM CULTURA")</f>
        <v>98.31</v>
      </c>
      <c r="P20" s="18" t="n">
        <f aca="false">SUMIFS(PLANEJAMENTO_SEMANAL!$H$6:$H$2381,PLANEJAMENTO_SEMANAL!$F$6:$F$2381,$B20,PLANEJAMENTO_SEMANAL!$B$6:$B$2381,P$7,PLANEJAMENTO_SEMANAL!$K$6:$K$2381,"&lt;&gt;SEM CULTURA")</f>
        <v>98.31</v>
      </c>
      <c r="Q20" s="18" t="n">
        <f aca="false">SUMIFS(PLANEJAMENTO_SEMANAL!$H$6:$H$2381,PLANEJAMENTO_SEMANAL!$F$6:$F$2381,$B20,PLANEJAMENTO_SEMANAL!$B$6:$B$2381,Q$7,PLANEJAMENTO_SEMANAL!$K$6:$K$2381,"&lt;&gt;SEM CULTURA")</f>
        <v>98.31</v>
      </c>
      <c r="R20" s="18" t="n">
        <f aca="false">SUMIFS(PLANEJAMENTO_SEMANAL!$H$6:$H$2381,PLANEJAMENTO_SEMANAL!$F$6:$F$2381,$B20,PLANEJAMENTO_SEMANAL!$B$6:$B$2381,R$7,PLANEJAMENTO_SEMANAL!$K$6:$K$2381,"&lt;&gt;SEM CULTURA")</f>
        <v>98.31</v>
      </c>
      <c r="S20" s="18" t="n">
        <f aca="false">SUMIFS(PLANEJAMENTO_SEMANAL!$H$6:$H$2381,PLANEJAMENTO_SEMANAL!$F$6:$F$2381,$B20,PLANEJAMENTO_SEMANAL!$B$6:$B$2381,S$7,PLANEJAMENTO_SEMANAL!$K$6:$K$2381,"&lt;&gt;SEM CULTURA")</f>
        <v>98.31</v>
      </c>
      <c r="T20" s="18" t="n">
        <f aca="false">SUMIFS(PLANEJAMENTO_SEMANAL!$H$6:$H$2381,PLANEJAMENTO_SEMANAL!$F$6:$F$2381,$B20,PLANEJAMENTO_SEMANAL!$B$6:$B$2381,T$7,PLANEJAMENTO_SEMANAL!$K$6:$K$2381,"&lt;&gt;SEM CULTURA")</f>
        <v>98.31</v>
      </c>
      <c r="U20" s="18" t="n">
        <f aca="false">SUMIFS(PLANEJAMENTO_SEMANAL!$H$6:$H$2381,PLANEJAMENTO_SEMANAL!$F$6:$F$2381,$B20,PLANEJAMENTO_SEMANAL!$B$6:$B$2381,U$7,PLANEJAMENTO_SEMANAL!$K$6:$K$2381,"&lt;&gt;SEM CULTURA")</f>
        <v>98.31</v>
      </c>
      <c r="V20" s="18" t="n">
        <f aca="false">SUMIFS(PLANEJAMENTO_SEMANAL!$H$6:$H$2381,PLANEJAMENTO_SEMANAL!$F$6:$F$2381,$B20,PLANEJAMENTO_SEMANAL!$B$6:$B$2381,V$7,PLANEJAMENTO_SEMANAL!$K$6:$K$2381,"&lt;&gt;SEM CULTURA")</f>
        <v>0</v>
      </c>
      <c r="W20" s="18" t="n">
        <f aca="false">SUMIFS(PLANEJAMENTO_SEMANAL!$H$6:$H$2381,PLANEJAMENTO_SEMANAL!$F$6:$F$2381,$B20,PLANEJAMENTO_SEMANAL!$B$6:$B$2381,W$7,PLANEJAMENTO_SEMANAL!$K$6:$K$2381,"&lt;&gt;SEM CULTURA")</f>
        <v>0</v>
      </c>
      <c r="X20" s="18" t="n">
        <f aca="false">SUMIFS(PLANEJAMENTO_SEMANAL!$H$6:$H$2381,PLANEJAMENTO_SEMANAL!$F$6:$F$2381,$B20,PLANEJAMENTO_SEMANAL!$B$6:$B$2381,X$7,PLANEJAMENTO_SEMANAL!$K$6:$K$2381,"&lt;&gt;SEM CULTURA")</f>
        <v>0</v>
      </c>
      <c r="Y20" s="18" t="n">
        <f aca="false">SUMIFS(PLANEJAMENTO_SEMANAL!$H$6:$H$2381,PLANEJAMENTO_SEMANAL!$F$6:$F$2381,$B20,PLANEJAMENTO_SEMANAL!$B$6:$B$2381,Y$7,PLANEJAMENTO_SEMANAL!$K$6:$K$2381,"&lt;&gt;SEM CULTURA")</f>
        <v>98.31</v>
      </c>
      <c r="Z20" s="18" t="n">
        <f aca="false">SUMIFS(PLANEJAMENTO_SEMANAL!$H$6:$H$2381,PLANEJAMENTO_SEMANAL!$F$6:$F$2381,$B20,PLANEJAMENTO_SEMANAL!$B$6:$B$2381,Z$7,PLANEJAMENTO_SEMANAL!$K$6:$K$2381,"&lt;&gt;SEM CULTURA")</f>
        <v>98.31</v>
      </c>
      <c r="AA20" s="18" t="n">
        <f aca="false">SUMIFS(PLANEJAMENTO_SEMANAL!$H$6:$H$2381,PLANEJAMENTO_SEMANAL!$F$6:$F$2381,$B20,PLANEJAMENTO_SEMANAL!$B$6:$B$2381,AA$7,PLANEJAMENTO_SEMANAL!$K$6:$K$2381,"&lt;&gt;SEM CULTURA")</f>
        <v>98.31</v>
      </c>
      <c r="AB20" s="18" t="n">
        <f aca="false">SUMIFS(PLANEJAMENTO_SEMANAL!$H$6:$H$2381,PLANEJAMENTO_SEMANAL!$F$6:$F$2381,$B20,PLANEJAMENTO_SEMANAL!$B$6:$B$2381,AB$7,PLANEJAMENTO_SEMANAL!$K$6:$K$2381,"&lt;&gt;SEM CULTURA")</f>
        <v>98.31</v>
      </c>
      <c r="AC20" s="18" t="n">
        <f aca="false">SUMIFS(PLANEJAMENTO_SEMANAL!$H$6:$H$2381,PLANEJAMENTO_SEMANAL!$F$6:$F$2381,$B20,PLANEJAMENTO_SEMANAL!$B$6:$B$2381,AC$7,PLANEJAMENTO_SEMANAL!$K$6:$K$2381,"&lt;&gt;SEM CULTURA")</f>
        <v>98.31</v>
      </c>
      <c r="AD20" s="18" t="n">
        <f aca="false">SUMIFS(PLANEJAMENTO_SEMANAL!$H$6:$H$2381,PLANEJAMENTO_SEMANAL!$F$6:$F$2381,$B20,PLANEJAMENTO_SEMANAL!$B$6:$B$2381,AD$7,PLANEJAMENTO_SEMANAL!$K$6:$K$2381,"&lt;&gt;SEM CULTURA")</f>
        <v>98.31</v>
      </c>
      <c r="AE20" s="18" t="n">
        <f aca="false">SUMIFS(PLANEJAMENTO_SEMANAL!$H$6:$H$2381,PLANEJAMENTO_SEMANAL!$F$6:$F$2381,$B20,PLANEJAMENTO_SEMANAL!$B$6:$B$2381,AE$7,PLANEJAMENTO_SEMANAL!$K$6:$K$2381,"&lt;&gt;SEM CULTURA")</f>
        <v>98.31</v>
      </c>
      <c r="AF20" s="18" t="n">
        <f aca="false">SUMIFS(PLANEJAMENTO_SEMANAL!$H$6:$H$2381,PLANEJAMENTO_SEMANAL!$F$6:$F$2381,$B20,PLANEJAMENTO_SEMANAL!$B$6:$B$2381,AF$7,PLANEJAMENTO_SEMANAL!$K$6:$K$2381,"&lt;&gt;SEM CULTURA")</f>
        <v>98.31</v>
      </c>
      <c r="AG20" s="18" t="n">
        <f aca="false">SUMIFS(PLANEJAMENTO_SEMANAL!$H$6:$H$2381,PLANEJAMENTO_SEMANAL!$F$6:$F$2381,$B20,PLANEJAMENTO_SEMANAL!$B$6:$B$2381,AG$7,PLANEJAMENTO_SEMANAL!$K$6:$K$2381,"&lt;&gt;SEM CULTURA")</f>
        <v>98.31</v>
      </c>
      <c r="AH20" s="18" t="n">
        <f aca="false">SUMIFS(PLANEJAMENTO_SEMANAL!$H$6:$H$2381,PLANEJAMENTO_SEMANAL!$F$6:$F$2381,$B20,PLANEJAMENTO_SEMANAL!$B$6:$B$2381,AH$7,PLANEJAMENTO_SEMANAL!$K$6:$K$2381,"&lt;&gt;SEM CULTURA")</f>
        <v>98.31</v>
      </c>
      <c r="AI20" s="18" t="n">
        <f aca="false">SUMIFS(PLANEJAMENTO_SEMANAL!$H$6:$H$2381,PLANEJAMENTO_SEMANAL!$F$6:$F$2381,$B20,PLANEJAMENTO_SEMANAL!$B$6:$B$2381,AI$7,PLANEJAMENTO_SEMANAL!$K$6:$K$2381,"&lt;&gt;SEM CULTURA")</f>
        <v>98.31</v>
      </c>
      <c r="AJ20" s="18" t="n">
        <f aca="false">SUMIFS(PLANEJAMENTO_SEMANAL!$H$6:$H$2381,PLANEJAMENTO_SEMANAL!$F$6:$F$2381,$B20,PLANEJAMENTO_SEMANAL!$B$6:$B$2381,AJ$7,PLANEJAMENTO_SEMANAL!$K$6:$K$2381,"&lt;&gt;SEM CULTURA")</f>
        <v>98.31</v>
      </c>
      <c r="AK20" s="18" t="n">
        <f aca="false">SUMIFS(PLANEJAMENTO_SEMANAL!$H$6:$H$2381,PLANEJAMENTO_SEMANAL!$F$6:$F$2381,$B20,PLANEJAMENTO_SEMANAL!$B$6:$B$2381,AK$7,PLANEJAMENTO_SEMANAL!$K$6:$K$2381,"&lt;&gt;SEM CULTURA")</f>
        <v>98.31</v>
      </c>
      <c r="AL20" s="18" t="n">
        <f aca="false">SUMIFS(PLANEJAMENTO_SEMANAL!$H$6:$H$2381,PLANEJAMENTO_SEMANAL!$F$6:$F$2381,$B20,PLANEJAMENTO_SEMANAL!$B$6:$B$2381,AL$7,PLANEJAMENTO_SEMANAL!$K$6:$K$2381,"&lt;&gt;SEM CULTURA")</f>
        <v>98.31</v>
      </c>
      <c r="AM20" s="18" t="n">
        <f aca="false">SUMIFS(PLANEJAMENTO_SEMANAL!$H$6:$H$2381,PLANEJAMENTO_SEMANAL!$F$6:$F$2381,$B20,PLANEJAMENTO_SEMANAL!$B$6:$B$2381,AM$7,PLANEJAMENTO_SEMANAL!$K$6:$K$2381,"&lt;&gt;SEM CULTURA")</f>
        <v>98.31</v>
      </c>
      <c r="AN20" s="18" t="n">
        <f aca="false">SUMIFS(PLANEJAMENTO_SEMANAL!$H$6:$H$2381,PLANEJAMENTO_SEMANAL!$F$6:$F$2381,$B20,PLANEJAMENTO_SEMANAL!$B$6:$B$2381,AN$7,PLANEJAMENTO_SEMANAL!$K$6:$K$2381,"&lt;&gt;SEM CULTURA")</f>
        <v>98.31</v>
      </c>
      <c r="AO20" s="18" t="n">
        <f aca="false">SUMIFS(PLANEJAMENTO_SEMANAL!$H$6:$H$2381,PLANEJAMENTO_SEMANAL!$F$6:$F$2381,$B20,PLANEJAMENTO_SEMANAL!$B$6:$B$2381,AO$7,PLANEJAMENTO_SEMANAL!$K$6:$K$2381,"&lt;&gt;SEM CULTURA")</f>
        <v>98.31</v>
      </c>
      <c r="AP20" s="18" t="n">
        <f aca="false">SUMIFS(PLANEJAMENTO_SEMANAL!$H$6:$H$2381,PLANEJAMENTO_SEMANAL!$F$6:$F$2381,$B20,PLANEJAMENTO_SEMANAL!$B$6:$B$2381,AP$7,PLANEJAMENTO_SEMANAL!$K$6:$K$2381,"&lt;&gt;SEM CULTURA")</f>
        <v>98.31</v>
      </c>
      <c r="AQ20" s="18" t="n">
        <f aca="false">SUMIFS(PLANEJAMENTO_SEMANAL!$H$6:$H$2381,PLANEJAMENTO_SEMANAL!$F$6:$F$2381,$B20,PLANEJAMENTO_SEMANAL!$B$6:$B$2381,AQ$7,PLANEJAMENTO_SEMANAL!$K$6:$K$2381,"&lt;&gt;SEM CULTURA")</f>
        <v>98.31</v>
      </c>
      <c r="AR20" s="18" t="n">
        <f aca="false">SUMIFS(PLANEJAMENTO_SEMANAL!$H$6:$H$2381,PLANEJAMENTO_SEMANAL!$F$6:$F$2381,$B20,PLANEJAMENTO_SEMANAL!$B$6:$B$2381,AR$7,PLANEJAMENTO_SEMANAL!$K$6:$K$2381,"&lt;&gt;SEM CULTURA")</f>
        <v>98.31</v>
      </c>
      <c r="AS20" s="18" t="n">
        <f aca="false">SUMIFS(PLANEJAMENTO_SEMANAL!$H$6:$H$2381,PLANEJAMENTO_SEMANAL!$F$6:$F$2381,$B20,PLANEJAMENTO_SEMANAL!$B$6:$B$2381,AS$7,PLANEJAMENTO_SEMANAL!$K$6:$K$2381,"&lt;&gt;SEM CULTURA")</f>
        <v>98.31</v>
      </c>
      <c r="AT20" s="18" t="n">
        <f aca="false">SUMIFS(PLANEJAMENTO_SEMANAL!$H$6:$H$2381,PLANEJAMENTO_SEMANAL!$F$6:$F$2381,$B20,PLANEJAMENTO_SEMANAL!$B$6:$B$2381,AT$7,PLANEJAMENTO_SEMANAL!$K$6:$K$2381,"&lt;&gt;SEM CULTURA")</f>
        <v>98.31</v>
      </c>
      <c r="AU20" s="18" t="n">
        <f aca="false">SUMIFS(PLANEJAMENTO_SEMANAL!$H$6:$H$2381,PLANEJAMENTO_SEMANAL!$F$6:$F$2381,$B20,PLANEJAMENTO_SEMANAL!$B$6:$B$2381,AU$7,PLANEJAMENTO_SEMANAL!$K$6:$K$2381,"&lt;&gt;SEM CULTURA")</f>
        <v>98.31</v>
      </c>
      <c r="AV20" s="18" t="n">
        <f aca="false">SUMIFS(PLANEJAMENTO_SEMANAL!$H$6:$H$2381,PLANEJAMENTO_SEMANAL!$F$6:$F$2381,$B20,PLANEJAMENTO_SEMANAL!$B$6:$B$2381,AV$7,PLANEJAMENTO_SEMANAL!$K$6:$K$2381,"&lt;&gt;SEM CULTURA")</f>
        <v>98.31</v>
      </c>
      <c r="AW20" s="18" t="n">
        <f aca="false">SUMIFS(PLANEJAMENTO_SEMANAL!$H$6:$H$2381,PLANEJAMENTO_SEMANAL!$F$6:$F$2381,$B20,PLANEJAMENTO_SEMANAL!$B$6:$B$2381,AW$7,PLANEJAMENTO_SEMANAL!$K$6:$K$2381,"&lt;&gt;SEM CULTURA")</f>
        <v>98.31</v>
      </c>
      <c r="AX20" s="18" t="n">
        <f aca="false">SUMIFS(PLANEJAMENTO_SEMANAL!$H$6:$H$2381,PLANEJAMENTO_SEMANAL!$F$6:$F$2381,$B20,PLANEJAMENTO_SEMANAL!$B$6:$B$2381,AX$7,PLANEJAMENTO_SEMANAL!$K$6:$K$2381,"&lt;&gt;SEM CULTURA")</f>
        <v>98.31</v>
      </c>
      <c r="AY20" s="18" t="n">
        <f aca="false">SUMIFS(PLANEJAMENTO_SEMANAL!$H$6:$H$2381,PLANEJAMENTO_SEMANAL!$F$6:$F$2381,$B20,PLANEJAMENTO_SEMANAL!$B$6:$B$2381,AY$7,PLANEJAMENTO_SEMANAL!$K$6:$K$2381,"&lt;&gt;SEM CULTURA")</f>
        <v>98.31</v>
      </c>
      <c r="AZ20" s="18" t="n">
        <f aca="false">SUMIFS(PLANEJAMENTO_SEMANAL!$H$6:$H$2381,PLANEJAMENTO_SEMANAL!$F$6:$F$2381,$B20,PLANEJAMENTO_SEMANAL!$B$6:$B$2381,AZ$7,PLANEJAMENTO_SEMANAL!$K$6:$K$2381,"&lt;&gt;SEM CULTURA")</f>
        <v>98.31</v>
      </c>
      <c r="BA20" s="18" t="n">
        <f aca="false">SUMIFS(PLANEJAMENTO_SEMANAL!$H$6:$H$2381,PLANEJAMENTO_SEMANAL!$F$6:$F$2381,$B20,PLANEJAMENTO_SEMANAL!$B$6:$B$2381,BA$7,PLANEJAMENTO_SEMANAL!$K$6:$K$2381,"&lt;&gt;SEM CULTURA")</f>
        <v>0</v>
      </c>
      <c r="BB20" s="18" t="n">
        <f aca="false">SUMIFS(PLANEJAMENTO_SEMANAL!$H$6:$H$2381,PLANEJAMENTO_SEMANAL!$F$6:$F$2381,$B20,PLANEJAMENTO_SEMANAL!$B$6:$B$2381,BB$7,PLANEJAMENTO_SEMANAL!$K$6:$K$2381,"&lt;&gt;SEM CULTURA")</f>
        <v>0</v>
      </c>
      <c r="BC20" s="18" t="n">
        <f aca="false">SUMIFS(PLANEJAMENTO_SEMANAL!$H$6:$H$2381,PLANEJAMENTO_SEMANAL!$F$6:$F$2381,$B20,PLANEJAMENTO_SEMANAL!$B$6:$B$2381,BC$7,PLANEJAMENTO_SEMANAL!$K$6:$K$2381,"&lt;&gt;SEM CULTURA")</f>
        <v>0</v>
      </c>
      <c r="BD20" s="18" t="n">
        <f aca="false">SUMIFS(PLANEJAMENTO_SEMANAL!$H$6:$H$2381,PLANEJAMENTO_SEMANAL!$F$6:$F$2381,$B20,PLANEJAMENTO_SEMANAL!$B$6:$B$2381,BD$7,PLANEJAMENTO_SEMANAL!$K$6:$K$2381,"&lt;&gt;SEM CULTURA")</f>
        <v>0</v>
      </c>
      <c r="BE20" s="18" t="n">
        <f aca="false">SUMIFS(PLANEJAMENTO_SEMANAL!$H$6:$H$2381,PLANEJAMENTO_SEMANAL!$F$6:$F$2381,$B20,PLANEJAMENTO_SEMANAL!$B$6:$B$2381,BE$7,PLANEJAMENTO_SEMANAL!$K$6:$K$2381,"&lt;&gt;SEM CULTURA")</f>
        <v>0</v>
      </c>
      <c r="BF20" s="18" t="n">
        <f aca="false">SUMIFS(PLANEJAMENTO_SEMANAL!$H$6:$H$2381,PLANEJAMENTO_SEMANAL!$F$6:$F$2381,$B20,PLANEJAMENTO_SEMANAL!$B$6:$B$2381,BF$7,PLANEJAMENTO_SEMANAL!$K$6:$K$2381,"&lt;&gt;SEM CULTURA")</f>
        <v>0</v>
      </c>
      <c r="BG20" s="18" t="n">
        <f aca="false">SUMIFS(PLANEJAMENTO_SEMANAL!$H$6:$H$2381,PLANEJAMENTO_SEMANAL!$F$6:$F$2381,$B20,PLANEJAMENTO_SEMANAL!$B$6:$B$2381,BG$7,PLANEJAMENTO_SEMANAL!$K$6:$K$2381,"&lt;&gt;SEM CULTURA")</f>
        <v>0</v>
      </c>
      <c r="BH20" s="18" t="n">
        <f aca="false">SUMIFS(PLANEJAMENTO_SEMANAL!$H$6:$H$2381,PLANEJAMENTO_SEMANAL!$F$6:$F$2381,$B20,PLANEJAMENTO_SEMANAL!$B$6:$B$2381,BH$7,PLANEJAMENTO_SEMANAL!$K$6:$K$2381,"&lt;&gt;SEM CULTURA")</f>
        <v>0</v>
      </c>
      <c r="BI20" s="18" t="n">
        <f aca="false">SUMIFS(PLANEJAMENTO_SEMANAL!$H$6:$H$2381,PLANEJAMENTO_SEMANAL!$F$6:$F$2381,$B20,PLANEJAMENTO_SEMANAL!$B$6:$B$2381,BI$7,PLANEJAMENTO_SEMANAL!$K$6:$K$2381,"&lt;&gt;SEM CULTURA")</f>
        <v>0</v>
      </c>
      <c r="BJ20" s="18" t="n">
        <f aca="false">SUMIFS(PLANEJAMENTO_SEMANAL!$H$6:$H$2381,PLANEJAMENTO_SEMANAL!$F$6:$F$2381,$B20,PLANEJAMENTO_SEMANAL!$B$6:$B$2381,BJ$7,PLANEJAMENTO_SEMANAL!$K$6:$K$2381,"&lt;&gt;SEM CULTURA")</f>
        <v>0</v>
      </c>
      <c r="BK20" s="18" t="n">
        <f aca="false">SUMIFS(PLANEJAMENTO_SEMANAL!$H$6:$H$2381,PLANEJAMENTO_SEMANAL!$F$6:$F$2381,$B20,PLANEJAMENTO_SEMANAL!$B$6:$B$2381,BK$7,PLANEJAMENTO_SEMANAL!$K$6:$K$2381,"&lt;&gt;SEM CULTURA")</f>
        <v>0</v>
      </c>
      <c r="BL20" s="18" t="n">
        <f aca="false">SUMIFS(PLANEJAMENTO_SEMANAL!$H$6:$H$2381,PLANEJAMENTO_SEMANAL!$F$6:$F$2381,$B20,PLANEJAMENTO_SEMANAL!$B$6:$B$2381,BL$7,PLANEJAMENTO_SEMANAL!$K$6:$K$2381,"&lt;&gt;SEM CULTURA")</f>
        <v>0</v>
      </c>
      <c r="BM20" s="18" t="n">
        <f aca="false">SUMIFS(PLANEJAMENTO_SEMANAL!$H$6:$H$2381,PLANEJAMENTO_SEMANAL!$F$6:$F$2381,$B20,PLANEJAMENTO_SEMANAL!$B$6:$B$2381,BM$7,PLANEJAMENTO_SEMANAL!$K$6:$K$2381,"&lt;&gt;SEM CULTURA")</f>
        <v>0</v>
      </c>
      <c r="BN20" s="18" t="n">
        <f aca="false">SUMIFS(PLANEJAMENTO_SEMANAL!$H$6:$H$2381,PLANEJAMENTO_SEMANAL!$F$6:$F$2381,$B20,PLANEJAMENTO_SEMANAL!$B$6:$B$2381,BN$7,PLANEJAMENTO_SEMANAL!$K$6:$K$2381,"&lt;&gt;SEM CULTURA")</f>
        <v>0</v>
      </c>
      <c r="BO20" s="18" t="n">
        <f aca="false">SUMIFS(PLANEJAMENTO_SEMANAL!$H$6:$H$2381,PLANEJAMENTO_SEMANAL!$F$6:$F$2381,$B20,PLANEJAMENTO_SEMANAL!$B$6:$B$2381,BO$7,PLANEJAMENTO_SEMANAL!$K$6:$K$2381,"&lt;&gt;SEM CULTURA")</f>
        <v>0</v>
      </c>
      <c r="BP20" s="18" t="n">
        <f aca="false">SUMIFS(PLANEJAMENTO_SEMANAL!$H$6:$H$2381,PLANEJAMENTO_SEMANAL!$F$6:$F$2381,$B20,PLANEJAMENTO_SEMANAL!$B$6:$B$2381,BP$7,PLANEJAMENTO_SEMANAL!$K$6:$K$2381,"&lt;&gt;SEM CULTURA")</f>
        <v>0</v>
      </c>
      <c r="BQ20" s="18" t="n">
        <f aca="false">MAX(C20:BP20)</f>
        <v>98.31</v>
      </c>
    </row>
    <row r="21" customFormat="false" ht="15" hidden="false" customHeight="false" outlineLevel="0" collapsed="false">
      <c r="B21" s="15" t="s">
        <v>129</v>
      </c>
      <c r="C21" s="18" t="n">
        <f aca="false">SUMIFS(PLANEJAMENTO_SEMANAL!$H$6:$H$2381,PLANEJAMENTO_SEMANAL!$F$6:$F$2381,$B21,PLANEJAMENTO_SEMANAL!$B$6:$B$2381,C$7,PLANEJAMENTO_SEMANAL!$K$6:$K$2381,"&lt;&gt;SEM CULTURA")</f>
        <v>100.59</v>
      </c>
      <c r="D21" s="18" t="n">
        <f aca="false">SUMIFS(PLANEJAMENTO_SEMANAL!$H$6:$H$2381,PLANEJAMENTO_SEMANAL!$F$6:$F$2381,$B21,PLANEJAMENTO_SEMANAL!$B$6:$B$2381,D$7,PLANEJAMENTO_SEMANAL!$K$6:$K$2381,"&lt;&gt;SEM CULTURA")</f>
        <v>0</v>
      </c>
      <c r="E21" s="18" t="n">
        <f aca="false">SUMIFS(PLANEJAMENTO_SEMANAL!$H$6:$H$2381,PLANEJAMENTO_SEMANAL!$F$6:$F$2381,$B21,PLANEJAMENTO_SEMANAL!$B$6:$B$2381,E$7,PLANEJAMENTO_SEMANAL!$K$6:$K$2381,"&lt;&gt;SEM CULTURA")</f>
        <v>0</v>
      </c>
      <c r="F21" s="18" t="n">
        <f aca="false">SUMIFS(PLANEJAMENTO_SEMANAL!$H$6:$H$2381,PLANEJAMENTO_SEMANAL!$F$6:$F$2381,$B21,PLANEJAMENTO_SEMANAL!$B$6:$B$2381,F$7,PLANEJAMENTO_SEMANAL!$K$6:$K$2381,"&lt;&gt;SEM CULTURA")</f>
        <v>0</v>
      </c>
      <c r="G21" s="18" t="n">
        <f aca="false">SUMIFS(PLANEJAMENTO_SEMANAL!$H$6:$H$2381,PLANEJAMENTO_SEMANAL!$F$6:$F$2381,$B21,PLANEJAMENTO_SEMANAL!$B$6:$B$2381,G$7,PLANEJAMENTO_SEMANAL!$K$6:$K$2381,"&lt;&gt;SEM CULTURA")</f>
        <v>100.59</v>
      </c>
      <c r="H21" s="18" t="n">
        <f aca="false">SUMIFS(PLANEJAMENTO_SEMANAL!$H$6:$H$2381,PLANEJAMENTO_SEMANAL!$F$6:$F$2381,$B21,PLANEJAMENTO_SEMANAL!$B$6:$B$2381,H$7,PLANEJAMENTO_SEMANAL!$K$6:$K$2381,"&lt;&gt;SEM CULTURA")</f>
        <v>100.59</v>
      </c>
      <c r="I21" s="18" t="n">
        <f aca="false">SUMIFS(PLANEJAMENTO_SEMANAL!$H$6:$H$2381,PLANEJAMENTO_SEMANAL!$F$6:$F$2381,$B21,PLANEJAMENTO_SEMANAL!$B$6:$B$2381,I$7,PLANEJAMENTO_SEMANAL!$K$6:$K$2381,"&lt;&gt;SEM CULTURA")</f>
        <v>100.59</v>
      </c>
      <c r="J21" s="18" t="n">
        <f aca="false">SUMIFS(PLANEJAMENTO_SEMANAL!$H$6:$H$2381,PLANEJAMENTO_SEMANAL!$F$6:$F$2381,$B21,PLANEJAMENTO_SEMANAL!$B$6:$B$2381,J$7,PLANEJAMENTO_SEMANAL!$K$6:$K$2381,"&lt;&gt;SEM CULTURA")</f>
        <v>100.59</v>
      </c>
      <c r="K21" s="18" t="n">
        <f aca="false">SUMIFS(PLANEJAMENTO_SEMANAL!$H$6:$H$2381,PLANEJAMENTO_SEMANAL!$F$6:$F$2381,$B21,PLANEJAMENTO_SEMANAL!$B$6:$B$2381,K$7,PLANEJAMENTO_SEMANAL!$K$6:$K$2381,"&lt;&gt;SEM CULTURA")</f>
        <v>100.59</v>
      </c>
      <c r="L21" s="18" t="n">
        <f aca="false">SUMIFS(PLANEJAMENTO_SEMANAL!$H$6:$H$2381,PLANEJAMENTO_SEMANAL!$F$6:$F$2381,$B21,PLANEJAMENTO_SEMANAL!$B$6:$B$2381,L$7,PLANEJAMENTO_SEMANAL!$K$6:$K$2381,"&lt;&gt;SEM CULTURA")</f>
        <v>100.59</v>
      </c>
      <c r="M21" s="18" t="n">
        <f aca="false">SUMIFS(PLANEJAMENTO_SEMANAL!$H$6:$H$2381,PLANEJAMENTO_SEMANAL!$F$6:$F$2381,$B21,PLANEJAMENTO_SEMANAL!$B$6:$B$2381,M$7,PLANEJAMENTO_SEMANAL!$K$6:$K$2381,"&lt;&gt;SEM CULTURA")</f>
        <v>100.59</v>
      </c>
      <c r="N21" s="18" t="n">
        <f aca="false">SUMIFS(PLANEJAMENTO_SEMANAL!$H$6:$H$2381,PLANEJAMENTO_SEMANAL!$F$6:$F$2381,$B21,PLANEJAMENTO_SEMANAL!$B$6:$B$2381,N$7,PLANEJAMENTO_SEMANAL!$K$6:$K$2381,"&lt;&gt;SEM CULTURA")</f>
        <v>100.59</v>
      </c>
      <c r="O21" s="18" t="n">
        <f aca="false">SUMIFS(PLANEJAMENTO_SEMANAL!$H$6:$H$2381,PLANEJAMENTO_SEMANAL!$F$6:$F$2381,$B21,PLANEJAMENTO_SEMANAL!$B$6:$B$2381,O$7,PLANEJAMENTO_SEMANAL!$K$6:$K$2381,"&lt;&gt;SEM CULTURA")</f>
        <v>100.59</v>
      </c>
      <c r="P21" s="18" t="n">
        <f aca="false">SUMIFS(PLANEJAMENTO_SEMANAL!$H$6:$H$2381,PLANEJAMENTO_SEMANAL!$F$6:$F$2381,$B21,PLANEJAMENTO_SEMANAL!$B$6:$B$2381,P$7,PLANEJAMENTO_SEMANAL!$K$6:$K$2381,"&lt;&gt;SEM CULTURA")</f>
        <v>100.59</v>
      </c>
      <c r="Q21" s="18" t="n">
        <f aca="false">SUMIFS(PLANEJAMENTO_SEMANAL!$H$6:$H$2381,PLANEJAMENTO_SEMANAL!$F$6:$F$2381,$B21,PLANEJAMENTO_SEMANAL!$B$6:$B$2381,Q$7,PLANEJAMENTO_SEMANAL!$K$6:$K$2381,"&lt;&gt;SEM CULTURA")</f>
        <v>200.65</v>
      </c>
      <c r="R21" s="18" t="n">
        <f aca="false">SUMIFS(PLANEJAMENTO_SEMANAL!$H$6:$H$2381,PLANEJAMENTO_SEMANAL!$F$6:$F$2381,$B21,PLANEJAMENTO_SEMANAL!$B$6:$B$2381,R$7,PLANEJAMENTO_SEMANAL!$K$6:$K$2381,"&lt;&gt;SEM CULTURA")</f>
        <v>200.65</v>
      </c>
      <c r="S21" s="18" t="n">
        <f aca="false">SUMIFS(PLANEJAMENTO_SEMANAL!$H$6:$H$2381,PLANEJAMENTO_SEMANAL!$F$6:$F$2381,$B21,PLANEJAMENTO_SEMANAL!$B$6:$B$2381,S$7,PLANEJAMENTO_SEMANAL!$K$6:$K$2381,"&lt;&gt;SEM CULTURA")</f>
        <v>200.65</v>
      </c>
      <c r="T21" s="18" t="n">
        <f aca="false">SUMIFS(PLANEJAMENTO_SEMANAL!$H$6:$H$2381,PLANEJAMENTO_SEMANAL!$F$6:$F$2381,$B21,PLANEJAMENTO_SEMANAL!$B$6:$B$2381,T$7,PLANEJAMENTO_SEMANAL!$K$6:$K$2381,"&lt;&gt;SEM CULTURA")</f>
        <v>200.65</v>
      </c>
      <c r="U21" s="18" t="n">
        <f aca="false">SUMIFS(PLANEJAMENTO_SEMANAL!$H$6:$H$2381,PLANEJAMENTO_SEMANAL!$F$6:$F$2381,$B21,PLANEJAMENTO_SEMANAL!$B$6:$B$2381,U$7,PLANEJAMENTO_SEMANAL!$K$6:$K$2381,"&lt;&gt;SEM CULTURA")</f>
        <v>200.65</v>
      </c>
      <c r="V21" s="18" t="n">
        <f aca="false">SUMIFS(PLANEJAMENTO_SEMANAL!$H$6:$H$2381,PLANEJAMENTO_SEMANAL!$F$6:$F$2381,$B21,PLANEJAMENTO_SEMANAL!$B$6:$B$2381,V$7,PLANEJAMENTO_SEMANAL!$K$6:$K$2381,"&lt;&gt;SEM CULTURA")</f>
        <v>200.65</v>
      </c>
      <c r="W21" s="18" t="n">
        <f aca="false">SUMIFS(PLANEJAMENTO_SEMANAL!$H$6:$H$2381,PLANEJAMENTO_SEMANAL!$F$6:$F$2381,$B21,PLANEJAMENTO_SEMANAL!$B$6:$B$2381,W$7,PLANEJAMENTO_SEMANAL!$K$6:$K$2381,"&lt;&gt;SEM CULTURA")</f>
        <v>100.06</v>
      </c>
      <c r="X21" s="18" t="n">
        <f aca="false">SUMIFS(PLANEJAMENTO_SEMANAL!$H$6:$H$2381,PLANEJAMENTO_SEMANAL!$F$6:$F$2381,$B21,PLANEJAMENTO_SEMANAL!$B$6:$B$2381,X$7,PLANEJAMENTO_SEMANAL!$K$6:$K$2381,"&lt;&gt;SEM CULTURA")</f>
        <v>100.06</v>
      </c>
      <c r="Y21" s="18" t="n">
        <f aca="false">SUMIFS(PLANEJAMENTO_SEMANAL!$H$6:$H$2381,PLANEJAMENTO_SEMANAL!$F$6:$F$2381,$B21,PLANEJAMENTO_SEMANAL!$B$6:$B$2381,Y$7,PLANEJAMENTO_SEMANAL!$K$6:$K$2381,"&lt;&gt;SEM CULTURA")</f>
        <v>100.06</v>
      </c>
      <c r="Z21" s="18" t="n">
        <f aca="false">SUMIFS(PLANEJAMENTO_SEMANAL!$H$6:$H$2381,PLANEJAMENTO_SEMANAL!$F$6:$F$2381,$B21,PLANEJAMENTO_SEMANAL!$B$6:$B$2381,Z$7,PLANEJAMENTO_SEMANAL!$K$6:$K$2381,"&lt;&gt;SEM CULTURA")</f>
        <v>200.65</v>
      </c>
      <c r="AA21" s="18" t="n">
        <f aca="false">SUMIFS(PLANEJAMENTO_SEMANAL!$H$6:$H$2381,PLANEJAMENTO_SEMANAL!$F$6:$F$2381,$B21,PLANEJAMENTO_SEMANAL!$B$6:$B$2381,AA$7,PLANEJAMENTO_SEMANAL!$K$6:$K$2381,"&lt;&gt;SEM CULTURA")</f>
        <v>200.65</v>
      </c>
      <c r="AB21" s="18" t="n">
        <f aca="false">SUMIFS(PLANEJAMENTO_SEMANAL!$H$6:$H$2381,PLANEJAMENTO_SEMANAL!$F$6:$F$2381,$B21,PLANEJAMENTO_SEMANAL!$B$6:$B$2381,AB$7,PLANEJAMENTO_SEMANAL!$K$6:$K$2381,"&lt;&gt;SEM CULTURA")</f>
        <v>200.65</v>
      </c>
      <c r="AC21" s="18" t="n">
        <f aca="false">SUMIFS(PLANEJAMENTO_SEMANAL!$H$6:$H$2381,PLANEJAMENTO_SEMANAL!$F$6:$F$2381,$B21,PLANEJAMENTO_SEMANAL!$B$6:$B$2381,AC$7,PLANEJAMENTO_SEMANAL!$K$6:$K$2381,"&lt;&gt;SEM CULTURA")</f>
        <v>200.65</v>
      </c>
      <c r="AD21" s="18" t="n">
        <f aca="false">SUMIFS(PLANEJAMENTO_SEMANAL!$H$6:$H$2381,PLANEJAMENTO_SEMANAL!$F$6:$F$2381,$B21,PLANEJAMENTO_SEMANAL!$B$6:$B$2381,AD$7,PLANEJAMENTO_SEMANAL!$K$6:$K$2381,"&lt;&gt;SEM CULTURA")</f>
        <v>200.65</v>
      </c>
      <c r="AE21" s="18" t="n">
        <f aca="false">SUMIFS(PLANEJAMENTO_SEMANAL!$H$6:$H$2381,PLANEJAMENTO_SEMANAL!$F$6:$F$2381,$B21,PLANEJAMENTO_SEMANAL!$B$6:$B$2381,AE$7,PLANEJAMENTO_SEMANAL!$K$6:$K$2381,"&lt;&gt;SEM CULTURA")</f>
        <v>200.65</v>
      </c>
      <c r="AF21" s="18" t="n">
        <f aca="false">SUMIFS(PLANEJAMENTO_SEMANAL!$H$6:$H$2381,PLANEJAMENTO_SEMANAL!$F$6:$F$2381,$B21,PLANEJAMENTO_SEMANAL!$B$6:$B$2381,AF$7,PLANEJAMENTO_SEMANAL!$K$6:$K$2381,"&lt;&gt;SEM CULTURA")</f>
        <v>200.65</v>
      </c>
      <c r="AG21" s="18" t="n">
        <f aca="false">SUMIFS(PLANEJAMENTO_SEMANAL!$H$6:$H$2381,PLANEJAMENTO_SEMANAL!$F$6:$F$2381,$B21,PLANEJAMENTO_SEMANAL!$B$6:$B$2381,AG$7,PLANEJAMENTO_SEMANAL!$K$6:$K$2381,"&lt;&gt;SEM CULTURA")</f>
        <v>200.65</v>
      </c>
      <c r="AH21" s="18" t="n">
        <f aca="false">SUMIFS(PLANEJAMENTO_SEMANAL!$H$6:$H$2381,PLANEJAMENTO_SEMANAL!$F$6:$F$2381,$B21,PLANEJAMENTO_SEMANAL!$B$6:$B$2381,AH$7,PLANEJAMENTO_SEMANAL!$K$6:$K$2381,"&lt;&gt;SEM CULTURA")</f>
        <v>200.65</v>
      </c>
      <c r="AI21" s="18" t="n">
        <f aca="false">SUMIFS(PLANEJAMENTO_SEMANAL!$H$6:$H$2381,PLANEJAMENTO_SEMANAL!$F$6:$F$2381,$B21,PLANEJAMENTO_SEMANAL!$B$6:$B$2381,AI$7,PLANEJAMENTO_SEMANAL!$K$6:$K$2381,"&lt;&gt;SEM CULTURA")</f>
        <v>200.65</v>
      </c>
      <c r="AJ21" s="18" t="n">
        <f aca="false">SUMIFS(PLANEJAMENTO_SEMANAL!$H$6:$H$2381,PLANEJAMENTO_SEMANAL!$F$6:$F$2381,$B21,PLANEJAMENTO_SEMANAL!$B$6:$B$2381,AJ$7,PLANEJAMENTO_SEMANAL!$K$6:$K$2381,"&lt;&gt;SEM CULTURA")</f>
        <v>200.65</v>
      </c>
      <c r="AK21" s="18" t="n">
        <f aca="false">SUMIFS(PLANEJAMENTO_SEMANAL!$H$6:$H$2381,PLANEJAMENTO_SEMANAL!$F$6:$F$2381,$B21,PLANEJAMENTO_SEMANAL!$B$6:$B$2381,AK$7,PLANEJAMENTO_SEMANAL!$K$6:$K$2381,"&lt;&gt;SEM CULTURA")</f>
        <v>200.65</v>
      </c>
      <c r="AL21" s="18" t="n">
        <f aca="false">SUMIFS(PLANEJAMENTO_SEMANAL!$H$6:$H$2381,PLANEJAMENTO_SEMANAL!$F$6:$F$2381,$B21,PLANEJAMENTO_SEMANAL!$B$6:$B$2381,AL$7,PLANEJAMENTO_SEMANAL!$K$6:$K$2381,"&lt;&gt;SEM CULTURA")</f>
        <v>200.65</v>
      </c>
      <c r="AM21" s="18" t="n">
        <f aca="false">SUMIFS(PLANEJAMENTO_SEMANAL!$H$6:$H$2381,PLANEJAMENTO_SEMANAL!$F$6:$F$2381,$B21,PLANEJAMENTO_SEMANAL!$B$6:$B$2381,AM$7,PLANEJAMENTO_SEMANAL!$K$6:$K$2381,"&lt;&gt;SEM CULTURA")</f>
        <v>200.65</v>
      </c>
      <c r="AN21" s="18" t="n">
        <f aca="false">SUMIFS(PLANEJAMENTO_SEMANAL!$H$6:$H$2381,PLANEJAMENTO_SEMANAL!$F$6:$F$2381,$B21,PLANEJAMENTO_SEMANAL!$B$6:$B$2381,AN$7,PLANEJAMENTO_SEMANAL!$K$6:$K$2381,"&lt;&gt;SEM CULTURA")</f>
        <v>200.65</v>
      </c>
      <c r="AO21" s="18" t="n">
        <f aca="false">SUMIFS(PLANEJAMENTO_SEMANAL!$H$6:$H$2381,PLANEJAMENTO_SEMANAL!$F$6:$F$2381,$B21,PLANEJAMENTO_SEMANAL!$B$6:$B$2381,AO$7,PLANEJAMENTO_SEMANAL!$K$6:$K$2381,"&lt;&gt;SEM CULTURA")</f>
        <v>200.65</v>
      </c>
      <c r="AP21" s="18" t="n">
        <f aca="false">SUMIFS(PLANEJAMENTO_SEMANAL!$H$6:$H$2381,PLANEJAMENTO_SEMANAL!$F$6:$F$2381,$B21,PLANEJAMENTO_SEMANAL!$B$6:$B$2381,AP$7,PLANEJAMENTO_SEMANAL!$K$6:$K$2381,"&lt;&gt;SEM CULTURA")</f>
        <v>200.65</v>
      </c>
      <c r="AQ21" s="18" t="n">
        <f aca="false">SUMIFS(PLANEJAMENTO_SEMANAL!$H$6:$H$2381,PLANEJAMENTO_SEMANAL!$F$6:$F$2381,$B21,PLANEJAMENTO_SEMANAL!$B$6:$B$2381,AQ$7,PLANEJAMENTO_SEMANAL!$K$6:$K$2381,"&lt;&gt;SEM CULTURA")</f>
        <v>200.65</v>
      </c>
      <c r="AR21" s="18" t="n">
        <f aca="false">SUMIFS(PLANEJAMENTO_SEMANAL!$H$6:$H$2381,PLANEJAMENTO_SEMANAL!$F$6:$F$2381,$B21,PLANEJAMENTO_SEMANAL!$B$6:$B$2381,AR$7,PLANEJAMENTO_SEMANAL!$K$6:$K$2381,"&lt;&gt;SEM CULTURA")</f>
        <v>200.65</v>
      </c>
      <c r="AS21" s="18" t="n">
        <f aca="false">SUMIFS(PLANEJAMENTO_SEMANAL!$H$6:$H$2381,PLANEJAMENTO_SEMANAL!$F$6:$F$2381,$B21,PLANEJAMENTO_SEMANAL!$B$6:$B$2381,AS$7,PLANEJAMENTO_SEMANAL!$K$6:$K$2381,"&lt;&gt;SEM CULTURA")</f>
        <v>100.59</v>
      </c>
      <c r="AT21" s="18" t="n">
        <f aca="false">SUMIFS(PLANEJAMENTO_SEMANAL!$H$6:$H$2381,PLANEJAMENTO_SEMANAL!$F$6:$F$2381,$B21,PLANEJAMENTO_SEMANAL!$B$6:$B$2381,AT$7,PLANEJAMENTO_SEMANAL!$K$6:$K$2381,"&lt;&gt;SEM CULTURA")</f>
        <v>100.59</v>
      </c>
      <c r="AU21" s="18" t="n">
        <f aca="false">SUMIFS(PLANEJAMENTO_SEMANAL!$H$6:$H$2381,PLANEJAMENTO_SEMANAL!$F$6:$F$2381,$B21,PLANEJAMENTO_SEMANAL!$B$6:$B$2381,AU$7,PLANEJAMENTO_SEMANAL!$K$6:$K$2381,"&lt;&gt;SEM CULTURA")</f>
        <v>100.59</v>
      </c>
      <c r="AV21" s="18" t="n">
        <f aca="false">SUMIFS(PLANEJAMENTO_SEMANAL!$H$6:$H$2381,PLANEJAMENTO_SEMANAL!$F$6:$F$2381,$B21,PLANEJAMENTO_SEMANAL!$B$6:$B$2381,AV$7,PLANEJAMENTO_SEMANAL!$K$6:$K$2381,"&lt;&gt;SEM CULTURA")</f>
        <v>100.59</v>
      </c>
      <c r="AW21" s="18" t="n">
        <f aca="false">SUMIFS(PLANEJAMENTO_SEMANAL!$H$6:$H$2381,PLANEJAMENTO_SEMANAL!$F$6:$F$2381,$B21,PLANEJAMENTO_SEMANAL!$B$6:$B$2381,AW$7,PLANEJAMENTO_SEMANAL!$K$6:$K$2381,"&lt;&gt;SEM CULTURA")</f>
        <v>100.59</v>
      </c>
      <c r="AX21" s="18" t="n">
        <f aca="false">SUMIFS(PLANEJAMENTO_SEMANAL!$H$6:$H$2381,PLANEJAMENTO_SEMANAL!$F$6:$F$2381,$B21,PLANEJAMENTO_SEMANAL!$B$6:$B$2381,AX$7,PLANEJAMENTO_SEMANAL!$K$6:$K$2381,"&lt;&gt;SEM CULTURA")</f>
        <v>100.59</v>
      </c>
      <c r="AY21" s="18" t="n">
        <f aca="false">SUMIFS(PLANEJAMENTO_SEMANAL!$H$6:$H$2381,PLANEJAMENTO_SEMANAL!$F$6:$F$2381,$B21,PLANEJAMENTO_SEMANAL!$B$6:$B$2381,AY$7,PLANEJAMENTO_SEMANAL!$K$6:$K$2381,"&lt;&gt;SEM CULTURA")</f>
        <v>0</v>
      </c>
      <c r="AZ21" s="18" t="n">
        <f aca="false">SUMIFS(PLANEJAMENTO_SEMANAL!$H$6:$H$2381,PLANEJAMENTO_SEMANAL!$F$6:$F$2381,$B21,PLANEJAMENTO_SEMANAL!$B$6:$B$2381,AZ$7,PLANEJAMENTO_SEMANAL!$K$6:$K$2381,"&lt;&gt;SEM CULTURA")</f>
        <v>0</v>
      </c>
      <c r="BA21" s="18" t="n">
        <f aca="false">SUMIFS(PLANEJAMENTO_SEMANAL!$H$6:$H$2381,PLANEJAMENTO_SEMANAL!$F$6:$F$2381,$B21,PLANEJAMENTO_SEMANAL!$B$6:$B$2381,BA$7,PLANEJAMENTO_SEMANAL!$K$6:$K$2381,"&lt;&gt;SEM CULTURA")</f>
        <v>0</v>
      </c>
      <c r="BB21" s="18" t="n">
        <f aca="false">SUMIFS(PLANEJAMENTO_SEMANAL!$H$6:$H$2381,PLANEJAMENTO_SEMANAL!$F$6:$F$2381,$B21,PLANEJAMENTO_SEMANAL!$B$6:$B$2381,BB$7,PLANEJAMENTO_SEMANAL!$K$6:$K$2381,"&lt;&gt;SEM CULTURA")</f>
        <v>0</v>
      </c>
      <c r="BC21" s="18" t="n">
        <f aca="false">SUMIFS(PLANEJAMENTO_SEMANAL!$H$6:$H$2381,PLANEJAMENTO_SEMANAL!$F$6:$F$2381,$B21,PLANEJAMENTO_SEMANAL!$B$6:$B$2381,BC$7,PLANEJAMENTO_SEMANAL!$K$6:$K$2381,"&lt;&gt;SEM CULTURA")</f>
        <v>0</v>
      </c>
      <c r="BD21" s="18" t="n">
        <f aca="false">SUMIFS(PLANEJAMENTO_SEMANAL!$H$6:$H$2381,PLANEJAMENTO_SEMANAL!$F$6:$F$2381,$B21,PLANEJAMENTO_SEMANAL!$B$6:$B$2381,BD$7,PLANEJAMENTO_SEMANAL!$K$6:$K$2381,"&lt;&gt;SEM CULTURA")</f>
        <v>0</v>
      </c>
      <c r="BE21" s="18" t="n">
        <f aca="false">SUMIFS(PLANEJAMENTO_SEMANAL!$H$6:$H$2381,PLANEJAMENTO_SEMANAL!$F$6:$F$2381,$B21,PLANEJAMENTO_SEMANAL!$B$6:$B$2381,BE$7,PLANEJAMENTO_SEMANAL!$K$6:$K$2381,"&lt;&gt;SEM CULTURA")</f>
        <v>0</v>
      </c>
      <c r="BF21" s="18" t="n">
        <f aca="false">SUMIFS(PLANEJAMENTO_SEMANAL!$H$6:$H$2381,PLANEJAMENTO_SEMANAL!$F$6:$F$2381,$B21,PLANEJAMENTO_SEMANAL!$B$6:$B$2381,BF$7,PLANEJAMENTO_SEMANAL!$K$6:$K$2381,"&lt;&gt;SEM CULTURA")</f>
        <v>0</v>
      </c>
      <c r="BG21" s="18" t="n">
        <f aca="false">SUMIFS(PLANEJAMENTO_SEMANAL!$H$6:$H$2381,PLANEJAMENTO_SEMANAL!$F$6:$F$2381,$B21,PLANEJAMENTO_SEMANAL!$B$6:$B$2381,BG$7,PLANEJAMENTO_SEMANAL!$K$6:$K$2381,"&lt;&gt;SEM CULTURA")</f>
        <v>0</v>
      </c>
      <c r="BH21" s="18" t="n">
        <f aca="false">SUMIFS(PLANEJAMENTO_SEMANAL!$H$6:$H$2381,PLANEJAMENTO_SEMANAL!$F$6:$F$2381,$B21,PLANEJAMENTO_SEMANAL!$B$6:$B$2381,BH$7,PLANEJAMENTO_SEMANAL!$K$6:$K$2381,"&lt;&gt;SEM CULTURA")</f>
        <v>0</v>
      </c>
      <c r="BI21" s="18" t="n">
        <f aca="false">SUMIFS(PLANEJAMENTO_SEMANAL!$H$6:$H$2381,PLANEJAMENTO_SEMANAL!$F$6:$F$2381,$B21,PLANEJAMENTO_SEMANAL!$B$6:$B$2381,BI$7,PLANEJAMENTO_SEMANAL!$K$6:$K$2381,"&lt;&gt;SEM CULTURA")</f>
        <v>0</v>
      </c>
      <c r="BJ21" s="18" t="n">
        <f aca="false">SUMIFS(PLANEJAMENTO_SEMANAL!$H$6:$H$2381,PLANEJAMENTO_SEMANAL!$F$6:$F$2381,$B21,PLANEJAMENTO_SEMANAL!$B$6:$B$2381,BJ$7,PLANEJAMENTO_SEMANAL!$K$6:$K$2381,"&lt;&gt;SEM CULTURA")</f>
        <v>0</v>
      </c>
      <c r="BK21" s="18" t="n">
        <f aca="false">SUMIFS(PLANEJAMENTO_SEMANAL!$H$6:$H$2381,PLANEJAMENTO_SEMANAL!$F$6:$F$2381,$B21,PLANEJAMENTO_SEMANAL!$B$6:$B$2381,BK$7,PLANEJAMENTO_SEMANAL!$K$6:$K$2381,"&lt;&gt;SEM CULTURA")</f>
        <v>0</v>
      </c>
      <c r="BL21" s="18" t="n">
        <f aca="false">SUMIFS(PLANEJAMENTO_SEMANAL!$H$6:$H$2381,PLANEJAMENTO_SEMANAL!$F$6:$F$2381,$B21,PLANEJAMENTO_SEMANAL!$B$6:$B$2381,BL$7,PLANEJAMENTO_SEMANAL!$K$6:$K$2381,"&lt;&gt;SEM CULTURA")</f>
        <v>0</v>
      </c>
      <c r="BM21" s="18" t="n">
        <f aca="false">SUMIFS(PLANEJAMENTO_SEMANAL!$H$6:$H$2381,PLANEJAMENTO_SEMANAL!$F$6:$F$2381,$B21,PLANEJAMENTO_SEMANAL!$B$6:$B$2381,BM$7,PLANEJAMENTO_SEMANAL!$K$6:$K$2381,"&lt;&gt;SEM CULTURA")</f>
        <v>0</v>
      </c>
      <c r="BN21" s="18" t="n">
        <f aca="false">SUMIFS(PLANEJAMENTO_SEMANAL!$H$6:$H$2381,PLANEJAMENTO_SEMANAL!$F$6:$F$2381,$B21,PLANEJAMENTO_SEMANAL!$B$6:$B$2381,BN$7,PLANEJAMENTO_SEMANAL!$K$6:$K$2381,"&lt;&gt;SEM CULTURA")</f>
        <v>0</v>
      </c>
      <c r="BO21" s="18" t="n">
        <f aca="false">SUMIFS(PLANEJAMENTO_SEMANAL!$H$6:$H$2381,PLANEJAMENTO_SEMANAL!$F$6:$F$2381,$B21,PLANEJAMENTO_SEMANAL!$B$6:$B$2381,BO$7,PLANEJAMENTO_SEMANAL!$K$6:$K$2381,"&lt;&gt;SEM CULTURA")</f>
        <v>0</v>
      </c>
      <c r="BP21" s="18" t="n">
        <f aca="false">SUMIFS(PLANEJAMENTO_SEMANAL!$H$6:$H$2381,PLANEJAMENTO_SEMANAL!$F$6:$F$2381,$B21,PLANEJAMENTO_SEMANAL!$B$6:$B$2381,BP$7,PLANEJAMENTO_SEMANAL!$K$6:$K$2381,"&lt;&gt;SEM CULTURA")</f>
        <v>0</v>
      </c>
      <c r="BQ21" s="18" t="n">
        <f aca="false">MAX(C21:BP21)</f>
        <v>200.65</v>
      </c>
    </row>
    <row r="22" customFormat="false" ht="15" hidden="false" customHeight="false" outlineLevel="0" collapsed="false">
      <c r="B22" s="15" t="s">
        <v>130</v>
      </c>
      <c r="C22" s="18" t="n">
        <f aca="false">SUMIFS(PLANEJAMENTO_SEMANAL!$H$6:$H$2381,PLANEJAMENTO_SEMANAL!$F$6:$F$2381,$B22,PLANEJAMENTO_SEMANAL!$B$6:$B$2381,C$7,PLANEJAMENTO_SEMANAL!$K$6:$K$2381,"&lt;&gt;SEM CULTURA")</f>
        <v>0</v>
      </c>
      <c r="D22" s="18" t="n">
        <f aca="false">SUMIFS(PLANEJAMENTO_SEMANAL!$H$6:$H$2381,PLANEJAMENTO_SEMANAL!$F$6:$F$2381,$B22,PLANEJAMENTO_SEMANAL!$B$6:$B$2381,D$7,PLANEJAMENTO_SEMANAL!$K$6:$K$2381,"&lt;&gt;SEM CULTURA")</f>
        <v>0</v>
      </c>
      <c r="E22" s="18" t="n">
        <f aca="false">SUMIFS(PLANEJAMENTO_SEMANAL!$H$6:$H$2381,PLANEJAMENTO_SEMANAL!$F$6:$F$2381,$B22,PLANEJAMENTO_SEMANAL!$B$6:$B$2381,E$7,PLANEJAMENTO_SEMANAL!$K$6:$K$2381,"&lt;&gt;SEM CULTURA")</f>
        <v>0</v>
      </c>
      <c r="F22" s="18" t="n">
        <f aca="false">SUMIFS(PLANEJAMENTO_SEMANAL!$H$6:$H$2381,PLANEJAMENTO_SEMANAL!$F$6:$F$2381,$B22,PLANEJAMENTO_SEMANAL!$B$6:$B$2381,F$7,PLANEJAMENTO_SEMANAL!$K$6:$K$2381,"&lt;&gt;SEM CULTURA")</f>
        <v>0</v>
      </c>
      <c r="G22" s="18" t="n">
        <f aca="false">SUMIFS(PLANEJAMENTO_SEMANAL!$H$6:$H$2381,PLANEJAMENTO_SEMANAL!$F$6:$F$2381,$B22,PLANEJAMENTO_SEMANAL!$B$6:$B$2381,G$7,PLANEJAMENTO_SEMANAL!$K$6:$K$2381,"&lt;&gt;SEM CULTURA")</f>
        <v>197.78</v>
      </c>
      <c r="H22" s="18" t="n">
        <f aca="false">SUMIFS(PLANEJAMENTO_SEMANAL!$H$6:$H$2381,PLANEJAMENTO_SEMANAL!$F$6:$F$2381,$B22,PLANEJAMENTO_SEMANAL!$B$6:$B$2381,H$7,PLANEJAMENTO_SEMANAL!$K$6:$K$2381,"&lt;&gt;SEM CULTURA")</f>
        <v>197.78</v>
      </c>
      <c r="I22" s="18" t="n">
        <f aca="false">SUMIFS(PLANEJAMENTO_SEMANAL!$H$6:$H$2381,PLANEJAMENTO_SEMANAL!$F$6:$F$2381,$B22,PLANEJAMENTO_SEMANAL!$B$6:$B$2381,I$7,PLANEJAMENTO_SEMANAL!$K$6:$K$2381,"&lt;&gt;SEM CULTURA")</f>
        <v>197.78</v>
      </c>
      <c r="J22" s="18" t="n">
        <f aca="false">SUMIFS(PLANEJAMENTO_SEMANAL!$H$6:$H$2381,PLANEJAMENTO_SEMANAL!$F$6:$F$2381,$B22,PLANEJAMENTO_SEMANAL!$B$6:$B$2381,J$7,PLANEJAMENTO_SEMANAL!$K$6:$K$2381,"&lt;&gt;SEM CULTURA")</f>
        <v>197.78</v>
      </c>
      <c r="K22" s="18" t="n">
        <f aca="false">SUMIFS(PLANEJAMENTO_SEMANAL!$H$6:$H$2381,PLANEJAMENTO_SEMANAL!$F$6:$F$2381,$B22,PLANEJAMENTO_SEMANAL!$B$6:$B$2381,K$7,PLANEJAMENTO_SEMANAL!$K$6:$K$2381,"&lt;&gt;SEM CULTURA")</f>
        <v>197.78</v>
      </c>
      <c r="L22" s="18" t="n">
        <f aca="false">SUMIFS(PLANEJAMENTO_SEMANAL!$H$6:$H$2381,PLANEJAMENTO_SEMANAL!$F$6:$F$2381,$B22,PLANEJAMENTO_SEMANAL!$B$6:$B$2381,L$7,PLANEJAMENTO_SEMANAL!$K$6:$K$2381,"&lt;&gt;SEM CULTURA")</f>
        <v>197.78</v>
      </c>
      <c r="M22" s="18" t="n">
        <f aca="false">SUMIFS(PLANEJAMENTO_SEMANAL!$H$6:$H$2381,PLANEJAMENTO_SEMANAL!$F$6:$F$2381,$B22,PLANEJAMENTO_SEMANAL!$B$6:$B$2381,M$7,PLANEJAMENTO_SEMANAL!$K$6:$K$2381,"&lt;&gt;SEM CULTURA")</f>
        <v>197.78</v>
      </c>
      <c r="N22" s="18" t="n">
        <f aca="false">SUMIFS(PLANEJAMENTO_SEMANAL!$H$6:$H$2381,PLANEJAMENTO_SEMANAL!$F$6:$F$2381,$B22,PLANEJAMENTO_SEMANAL!$B$6:$B$2381,N$7,PLANEJAMENTO_SEMANAL!$K$6:$K$2381,"&lt;&gt;SEM CULTURA")</f>
        <v>197.78</v>
      </c>
      <c r="O22" s="18" t="n">
        <f aca="false">SUMIFS(PLANEJAMENTO_SEMANAL!$H$6:$H$2381,PLANEJAMENTO_SEMANAL!$F$6:$F$2381,$B22,PLANEJAMENTO_SEMANAL!$B$6:$B$2381,O$7,PLANEJAMENTO_SEMANAL!$K$6:$K$2381,"&lt;&gt;SEM CULTURA")</f>
        <v>197.78</v>
      </c>
      <c r="P22" s="18" t="n">
        <f aca="false">SUMIFS(PLANEJAMENTO_SEMANAL!$H$6:$H$2381,PLANEJAMENTO_SEMANAL!$F$6:$F$2381,$B22,PLANEJAMENTO_SEMANAL!$B$6:$B$2381,P$7,PLANEJAMENTO_SEMANAL!$K$6:$K$2381,"&lt;&gt;SEM CULTURA")</f>
        <v>197.78</v>
      </c>
      <c r="Q22" s="18" t="n">
        <f aca="false">SUMIFS(PLANEJAMENTO_SEMANAL!$H$6:$H$2381,PLANEJAMENTO_SEMANAL!$F$6:$F$2381,$B22,PLANEJAMENTO_SEMANAL!$B$6:$B$2381,Q$7,PLANEJAMENTO_SEMANAL!$K$6:$K$2381,"&lt;&gt;SEM CULTURA")</f>
        <v>197.78</v>
      </c>
      <c r="R22" s="18" t="n">
        <f aca="false">SUMIFS(PLANEJAMENTO_SEMANAL!$H$6:$H$2381,PLANEJAMENTO_SEMANAL!$F$6:$F$2381,$B22,PLANEJAMENTO_SEMANAL!$B$6:$B$2381,R$7,PLANEJAMENTO_SEMANAL!$K$6:$K$2381,"&lt;&gt;SEM CULTURA")</f>
        <v>197.78</v>
      </c>
      <c r="S22" s="18" t="n">
        <f aca="false">SUMIFS(PLANEJAMENTO_SEMANAL!$H$6:$H$2381,PLANEJAMENTO_SEMANAL!$F$6:$F$2381,$B22,PLANEJAMENTO_SEMANAL!$B$6:$B$2381,S$7,PLANEJAMENTO_SEMANAL!$K$6:$K$2381,"&lt;&gt;SEM CULTURA")</f>
        <v>197.78</v>
      </c>
      <c r="T22" s="18" t="n">
        <f aca="false">SUMIFS(PLANEJAMENTO_SEMANAL!$H$6:$H$2381,PLANEJAMENTO_SEMANAL!$F$6:$F$2381,$B22,PLANEJAMENTO_SEMANAL!$B$6:$B$2381,T$7,PLANEJAMENTO_SEMANAL!$K$6:$K$2381,"&lt;&gt;SEM CULTURA")</f>
        <v>197.78</v>
      </c>
      <c r="U22" s="18" t="n">
        <f aca="false">SUMIFS(PLANEJAMENTO_SEMANAL!$H$6:$H$2381,PLANEJAMENTO_SEMANAL!$F$6:$F$2381,$B22,PLANEJAMENTO_SEMANAL!$B$6:$B$2381,U$7,PLANEJAMENTO_SEMANAL!$K$6:$K$2381,"&lt;&gt;SEM CULTURA")</f>
        <v>197.78</v>
      </c>
      <c r="V22" s="18" t="n">
        <f aca="false">SUMIFS(PLANEJAMENTO_SEMANAL!$H$6:$H$2381,PLANEJAMENTO_SEMANAL!$F$6:$F$2381,$B22,PLANEJAMENTO_SEMANAL!$B$6:$B$2381,V$7,PLANEJAMENTO_SEMANAL!$K$6:$K$2381,"&lt;&gt;SEM CULTURA")</f>
        <v>197.78</v>
      </c>
      <c r="W22" s="18" t="n">
        <f aca="false">SUMIFS(PLANEJAMENTO_SEMANAL!$H$6:$H$2381,PLANEJAMENTO_SEMANAL!$F$6:$F$2381,$B22,PLANEJAMENTO_SEMANAL!$B$6:$B$2381,W$7,PLANEJAMENTO_SEMANAL!$K$6:$K$2381,"&lt;&gt;SEM CULTURA")</f>
        <v>99.58</v>
      </c>
      <c r="X22" s="18" t="n">
        <f aca="false">SUMIFS(PLANEJAMENTO_SEMANAL!$H$6:$H$2381,PLANEJAMENTO_SEMANAL!$F$6:$F$2381,$B22,PLANEJAMENTO_SEMANAL!$B$6:$B$2381,X$7,PLANEJAMENTO_SEMANAL!$K$6:$K$2381,"&lt;&gt;SEM CULTURA")</f>
        <v>0</v>
      </c>
      <c r="Y22" s="18" t="n">
        <f aca="false">SUMIFS(PLANEJAMENTO_SEMANAL!$H$6:$H$2381,PLANEJAMENTO_SEMANAL!$F$6:$F$2381,$B22,PLANEJAMENTO_SEMANAL!$B$6:$B$2381,Y$7,PLANEJAMENTO_SEMANAL!$K$6:$K$2381,"&lt;&gt;SEM CULTURA")</f>
        <v>0</v>
      </c>
      <c r="Z22" s="18" t="n">
        <f aca="false">SUMIFS(PLANEJAMENTO_SEMANAL!$H$6:$H$2381,PLANEJAMENTO_SEMANAL!$F$6:$F$2381,$B22,PLANEJAMENTO_SEMANAL!$B$6:$B$2381,Z$7,PLANEJAMENTO_SEMANAL!$K$6:$K$2381,"&lt;&gt;SEM CULTURA")</f>
        <v>197.78</v>
      </c>
      <c r="AA22" s="18" t="n">
        <f aca="false">SUMIFS(PLANEJAMENTO_SEMANAL!$H$6:$H$2381,PLANEJAMENTO_SEMANAL!$F$6:$F$2381,$B22,PLANEJAMENTO_SEMANAL!$B$6:$B$2381,AA$7,PLANEJAMENTO_SEMANAL!$K$6:$K$2381,"&lt;&gt;SEM CULTURA")</f>
        <v>197.78</v>
      </c>
      <c r="AB22" s="18" t="n">
        <f aca="false">SUMIFS(PLANEJAMENTO_SEMANAL!$H$6:$H$2381,PLANEJAMENTO_SEMANAL!$F$6:$F$2381,$B22,PLANEJAMENTO_SEMANAL!$B$6:$B$2381,AB$7,PLANEJAMENTO_SEMANAL!$K$6:$K$2381,"&lt;&gt;SEM CULTURA")</f>
        <v>197.78</v>
      </c>
      <c r="AC22" s="18" t="n">
        <f aca="false">SUMIFS(PLANEJAMENTO_SEMANAL!$H$6:$H$2381,PLANEJAMENTO_SEMANAL!$F$6:$F$2381,$B22,PLANEJAMENTO_SEMANAL!$B$6:$B$2381,AC$7,PLANEJAMENTO_SEMANAL!$K$6:$K$2381,"&lt;&gt;SEM CULTURA")</f>
        <v>197.78</v>
      </c>
      <c r="AD22" s="18" t="n">
        <f aca="false">SUMIFS(PLANEJAMENTO_SEMANAL!$H$6:$H$2381,PLANEJAMENTO_SEMANAL!$F$6:$F$2381,$B22,PLANEJAMENTO_SEMANAL!$B$6:$B$2381,AD$7,PLANEJAMENTO_SEMANAL!$K$6:$K$2381,"&lt;&gt;SEM CULTURA")</f>
        <v>197.78</v>
      </c>
      <c r="AE22" s="18" t="n">
        <f aca="false">SUMIFS(PLANEJAMENTO_SEMANAL!$H$6:$H$2381,PLANEJAMENTO_SEMANAL!$F$6:$F$2381,$B22,PLANEJAMENTO_SEMANAL!$B$6:$B$2381,AE$7,PLANEJAMENTO_SEMANAL!$K$6:$K$2381,"&lt;&gt;SEM CULTURA")</f>
        <v>197.78</v>
      </c>
      <c r="AF22" s="18" t="n">
        <f aca="false">SUMIFS(PLANEJAMENTO_SEMANAL!$H$6:$H$2381,PLANEJAMENTO_SEMANAL!$F$6:$F$2381,$B22,PLANEJAMENTO_SEMANAL!$B$6:$B$2381,AF$7,PLANEJAMENTO_SEMANAL!$K$6:$K$2381,"&lt;&gt;SEM CULTURA")</f>
        <v>197.78</v>
      </c>
      <c r="AG22" s="18" t="n">
        <f aca="false">SUMIFS(PLANEJAMENTO_SEMANAL!$H$6:$H$2381,PLANEJAMENTO_SEMANAL!$F$6:$F$2381,$B22,PLANEJAMENTO_SEMANAL!$B$6:$B$2381,AG$7,PLANEJAMENTO_SEMANAL!$K$6:$K$2381,"&lt;&gt;SEM CULTURA")</f>
        <v>197.78</v>
      </c>
      <c r="AH22" s="18" t="n">
        <f aca="false">SUMIFS(PLANEJAMENTO_SEMANAL!$H$6:$H$2381,PLANEJAMENTO_SEMANAL!$F$6:$F$2381,$B22,PLANEJAMENTO_SEMANAL!$B$6:$B$2381,AH$7,PLANEJAMENTO_SEMANAL!$K$6:$K$2381,"&lt;&gt;SEM CULTURA")</f>
        <v>197.78</v>
      </c>
      <c r="AI22" s="18" t="n">
        <f aca="false">SUMIFS(PLANEJAMENTO_SEMANAL!$H$6:$H$2381,PLANEJAMENTO_SEMANAL!$F$6:$F$2381,$B22,PLANEJAMENTO_SEMANAL!$B$6:$B$2381,AI$7,PLANEJAMENTO_SEMANAL!$K$6:$K$2381,"&lt;&gt;SEM CULTURA")</f>
        <v>197.78</v>
      </c>
      <c r="AJ22" s="18" t="n">
        <f aca="false">SUMIFS(PLANEJAMENTO_SEMANAL!$H$6:$H$2381,PLANEJAMENTO_SEMANAL!$F$6:$F$2381,$B22,PLANEJAMENTO_SEMANAL!$B$6:$B$2381,AJ$7,PLANEJAMENTO_SEMANAL!$K$6:$K$2381,"&lt;&gt;SEM CULTURA")</f>
        <v>197.78</v>
      </c>
      <c r="AK22" s="18" t="n">
        <f aca="false">SUMIFS(PLANEJAMENTO_SEMANAL!$H$6:$H$2381,PLANEJAMENTO_SEMANAL!$F$6:$F$2381,$B22,PLANEJAMENTO_SEMANAL!$B$6:$B$2381,AK$7,PLANEJAMENTO_SEMANAL!$K$6:$K$2381,"&lt;&gt;SEM CULTURA")</f>
        <v>197.78</v>
      </c>
      <c r="AL22" s="18" t="n">
        <f aca="false">SUMIFS(PLANEJAMENTO_SEMANAL!$H$6:$H$2381,PLANEJAMENTO_SEMANAL!$F$6:$F$2381,$B22,PLANEJAMENTO_SEMANAL!$B$6:$B$2381,AL$7,PLANEJAMENTO_SEMANAL!$K$6:$K$2381,"&lt;&gt;SEM CULTURA")</f>
        <v>197.78</v>
      </c>
      <c r="AM22" s="18" t="n">
        <f aca="false">SUMIFS(PLANEJAMENTO_SEMANAL!$H$6:$H$2381,PLANEJAMENTO_SEMANAL!$F$6:$F$2381,$B22,PLANEJAMENTO_SEMANAL!$B$6:$B$2381,AM$7,PLANEJAMENTO_SEMANAL!$K$6:$K$2381,"&lt;&gt;SEM CULTURA")</f>
        <v>197.78</v>
      </c>
      <c r="AN22" s="18" t="n">
        <f aca="false">SUMIFS(PLANEJAMENTO_SEMANAL!$H$6:$H$2381,PLANEJAMENTO_SEMANAL!$F$6:$F$2381,$B22,PLANEJAMENTO_SEMANAL!$B$6:$B$2381,AN$7,PLANEJAMENTO_SEMANAL!$K$6:$K$2381,"&lt;&gt;SEM CULTURA")</f>
        <v>197.78</v>
      </c>
      <c r="AO22" s="18" t="n">
        <f aca="false">SUMIFS(PLANEJAMENTO_SEMANAL!$H$6:$H$2381,PLANEJAMENTO_SEMANAL!$F$6:$F$2381,$B22,PLANEJAMENTO_SEMANAL!$B$6:$B$2381,AO$7,PLANEJAMENTO_SEMANAL!$K$6:$K$2381,"&lt;&gt;SEM CULTURA")</f>
        <v>197.78</v>
      </c>
      <c r="AP22" s="18" t="n">
        <f aca="false">SUMIFS(PLANEJAMENTO_SEMANAL!$H$6:$H$2381,PLANEJAMENTO_SEMANAL!$F$6:$F$2381,$B22,PLANEJAMENTO_SEMANAL!$B$6:$B$2381,AP$7,PLANEJAMENTO_SEMANAL!$K$6:$K$2381,"&lt;&gt;SEM CULTURA")</f>
        <v>197.78</v>
      </c>
      <c r="AQ22" s="18" t="n">
        <f aca="false">SUMIFS(PLANEJAMENTO_SEMANAL!$H$6:$H$2381,PLANEJAMENTO_SEMANAL!$F$6:$F$2381,$B22,PLANEJAMENTO_SEMANAL!$B$6:$B$2381,AQ$7,PLANEJAMENTO_SEMANAL!$K$6:$K$2381,"&lt;&gt;SEM CULTURA")</f>
        <v>197.78</v>
      </c>
      <c r="AR22" s="18" t="n">
        <f aca="false">SUMIFS(PLANEJAMENTO_SEMANAL!$H$6:$H$2381,PLANEJAMENTO_SEMANAL!$F$6:$F$2381,$B22,PLANEJAMENTO_SEMANAL!$B$6:$B$2381,AR$7,PLANEJAMENTO_SEMANAL!$K$6:$K$2381,"&lt;&gt;SEM CULTURA")</f>
        <v>197.78</v>
      </c>
      <c r="AS22" s="18" t="n">
        <f aca="false">SUMIFS(PLANEJAMENTO_SEMANAL!$H$6:$H$2381,PLANEJAMENTO_SEMANAL!$F$6:$F$2381,$B22,PLANEJAMENTO_SEMANAL!$B$6:$B$2381,AS$7,PLANEJAMENTO_SEMANAL!$K$6:$K$2381,"&lt;&gt;SEM CULTURA")</f>
        <v>197.78</v>
      </c>
      <c r="AT22" s="18" t="n">
        <f aca="false">SUMIFS(PLANEJAMENTO_SEMANAL!$H$6:$H$2381,PLANEJAMENTO_SEMANAL!$F$6:$F$2381,$B22,PLANEJAMENTO_SEMANAL!$B$6:$B$2381,AT$7,PLANEJAMENTO_SEMANAL!$K$6:$K$2381,"&lt;&gt;SEM CULTURA")</f>
        <v>197.78</v>
      </c>
      <c r="AU22" s="18" t="n">
        <f aca="false">SUMIFS(PLANEJAMENTO_SEMANAL!$H$6:$H$2381,PLANEJAMENTO_SEMANAL!$F$6:$F$2381,$B22,PLANEJAMENTO_SEMANAL!$B$6:$B$2381,AU$7,PLANEJAMENTO_SEMANAL!$K$6:$K$2381,"&lt;&gt;SEM CULTURA")</f>
        <v>197.78</v>
      </c>
      <c r="AV22" s="18" t="n">
        <f aca="false">SUMIFS(PLANEJAMENTO_SEMANAL!$H$6:$H$2381,PLANEJAMENTO_SEMANAL!$F$6:$F$2381,$B22,PLANEJAMENTO_SEMANAL!$B$6:$B$2381,AV$7,PLANEJAMENTO_SEMANAL!$K$6:$K$2381,"&lt;&gt;SEM CULTURA")</f>
        <v>197.78</v>
      </c>
      <c r="AW22" s="18" t="n">
        <f aca="false">SUMIFS(PLANEJAMENTO_SEMANAL!$H$6:$H$2381,PLANEJAMENTO_SEMANAL!$F$6:$F$2381,$B22,PLANEJAMENTO_SEMANAL!$B$6:$B$2381,AW$7,PLANEJAMENTO_SEMANAL!$K$6:$K$2381,"&lt;&gt;SEM CULTURA")</f>
        <v>197.78</v>
      </c>
      <c r="AX22" s="18" t="n">
        <f aca="false">SUMIFS(PLANEJAMENTO_SEMANAL!$H$6:$H$2381,PLANEJAMENTO_SEMANAL!$F$6:$F$2381,$B22,PLANEJAMENTO_SEMANAL!$B$6:$B$2381,AX$7,PLANEJAMENTO_SEMANAL!$K$6:$K$2381,"&lt;&gt;SEM CULTURA")</f>
        <v>197.78</v>
      </c>
      <c r="AY22" s="18" t="n">
        <f aca="false">SUMIFS(PLANEJAMENTO_SEMANAL!$H$6:$H$2381,PLANEJAMENTO_SEMANAL!$F$6:$F$2381,$B22,PLANEJAMENTO_SEMANAL!$B$6:$B$2381,AY$7,PLANEJAMENTO_SEMANAL!$K$6:$K$2381,"&lt;&gt;SEM CULTURA")</f>
        <v>197.78</v>
      </c>
      <c r="AZ22" s="18" t="n">
        <f aca="false">SUMIFS(PLANEJAMENTO_SEMANAL!$H$6:$H$2381,PLANEJAMENTO_SEMANAL!$F$6:$F$2381,$B22,PLANEJAMENTO_SEMANAL!$B$6:$B$2381,AZ$7,PLANEJAMENTO_SEMANAL!$K$6:$K$2381,"&lt;&gt;SEM CULTURA")</f>
        <v>197.78</v>
      </c>
      <c r="BA22" s="18" t="n">
        <f aca="false">SUMIFS(PLANEJAMENTO_SEMANAL!$H$6:$H$2381,PLANEJAMENTO_SEMANAL!$F$6:$F$2381,$B22,PLANEJAMENTO_SEMANAL!$B$6:$B$2381,BA$7,PLANEJAMENTO_SEMANAL!$K$6:$K$2381,"&lt;&gt;SEM CULTURA")</f>
        <v>197.78</v>
      </c>
      <c r="BB22" s="18" t="n">
        <f aca="false">SUMIFS(PLANEJAMENTO_SEMANAL!$H$6:$H$2381,PLANEJAMENTO_SEMANAL!$F$6:$F$2381,$B22,PLANEJAMENTO_SEMANAL!$B$6:$B$2381,BB$7,PLANEJAMENTO_SEMANAL!$K$6:$K$2381,"&lt;&gt;SEM CULTURA")</f>
        <v>0</v>
      </c>
      <c r="BC22" s="18" t="n">
        <f aca="false">SUMIFS(PLANEJAMENTO_SEMANAL!$H$6:$H$2381,PLANEJAMENTO_SEMANAL!$F$6:$F$2381,$B22,PLANEJAMENTO_SEMANAL!$B$6:$B$2381,BC$7,PLANEJAMENTO_SEMANAL!$K$6:$K$2381,"&lt;&gt;SEM CULTURA")</f>
        <v>0</v>
      </c>
      <c r="BD22" s="18" t="n">
        <f aca="false">SUMIFS(PLANEJAMENTO_SEMANAL!$H$6:$H$2381,PLANEJAMENTO_SEMANAL!$F$6:$F$2381,$B22,PLANEJAMENTO_SEMANAL!$B$6:$B$2381,BD$7,PLANEJAMENTO_SEMANAL!$K$6:$K$2381,"&lt;&gt;SEM CULTURA")</f>
        <v>0</v>
      </c>
      <c r="BE22" s="18" t="n">
        <f aca="false">SUMIFS(PLANEJAMENTO_SEMANAL!$H$6:$H$2381,PLANEJAMENTO_SEMANAL!$F$6:$F$2381,$B22,PLANEJAMENTO_SEMANAL!$B$6:$B$2381,BE$7,PLANEJAMENTO_SEMANAL!$K$6:$K$2381,"&lt;&gt;SEM CULTURA")</f>
        <v>0</v>
      </c>
      <c r="BF22" s="18" t="n">
        <f aca="false">SUMIFS(PLANEJAMENTO_SEMANAL!$H$6:$H$2381,PLANEJAMENTO_SEMANAL!$F$6:$F$2381,$B22,PLANEJAMENTO_SEMANAL!$B$6:$B$2381,BF$7,PLANEJAMENTO_SEMANAL!$K$6:$K$2381,"&lt;&gt;SEM CULTURA")</f>
        <v>0</v>
      </c>
      <c r="BG22" s="18" t="n">
        <f aca="false">SUMIFS(PLANEJAMENTO_SEMANAL!$H$6:$H$2381,PLANEJAMENTO_SEMANAL!$F$6:$F$2381,$B22,PLANEJAMENTO_SEMANAL!$B$6:$B$2381,BG$7,PLANEJAMENTO_SEMANAL!$K$6:$K$2381,"&lt;&gt;SEM CULTURA")</f>
        <v>0</v>
      </c>
      <c r="BH22" s="18" t="n">
        <f aca="false">SUMIFS(PLANEJAMENTO_SEMANAL!$H$6:$H$2381,PLANEJAMENTO_SEMANAL!$F$6:$F$2381,$B22,PLANEJAMENTO_SEMANAL!$B$6:$B$2381,BH$7,PLANEJAMENTO_SEMANAL!$K$6:$K$2381,"&lt;&gt;SEM CULTURA")</f>
        <v>0</v>
      </c>
      <c r="BI22" s="18" t="n">
        <f aca="false">SUMIFS(PLANEJAMENTO_SEMANAL!$H$6:$H$2381,PLANEJAMENTO_SEMANAL!$F$6:$F$2381,$B22,PLANEJAMENTO_SEMANAL!$B$6:$B$2381,BI$7,PLANEJAMENTO_SEMANAL!$K$6:$K$2381,"&lt;&gt;SEM CULTURA")</f>
        <v>0</v>
      </c>
      <c r="BJ22" s="18" t="n">
        <f aca="false">SUMIFS(PLANEJAMENTO_SEMANAL!$H$6:$H$2381,PLANEJAMENTO_SEMANAL!$F$6:$F$2381,$B22,PLANEJAMENTO_SEMANAL!$B$6:$B$2381,BJ$7,PLANEJAMENTO_SEMANAL!$K$6:$K$2381,"&lt;&gt;SEM CULTURA")</f>
        <v>0</v>
      </c>
      <c r="BK22" s="18" t="n">
        <f aca="false">SUMIFS(PLANEJAMENTO_SEMANAL!$H$6:$H$2381,PLANEJAMENTO_SEMANAL!$F$6:$F$2381,$B22,PLANEJAMENTO_SEMANAL!$B$6:$B$2381,BK$7,PLANEJAMENTO_SEMANAL!$K$6:$K$2381,"&lt;&gt;SEM CULTURA")</f>
        <v>0</v>
      </c>
      <c r="BL22" s="18" t="n">
        <f aca="false">SUMIFS(PLANEJAMENTO_SEMANAL!$H$6:$H$2381,PLANEJAMENTO_SEMANAL!$F$6:$F$2381,$B22,PLANEJAMENTO_SEMANAL!$B$6:$B$2381,BL$7,PLANEJAMENTO_SEMANAL!$K$6:$K$2381,"&lt;&gt;SEM CULTURA")</f>
        <v>0</v>
      </c>
      <c r="BM22" s="18" t="n">
        <f aca="false">SUMIFS(PLANEJAMENTO_SEMANAL!$H$6:$H$2381,PLANEJAMENTO_SEMANAL!$F$6:$F$2381,$B22,PLANEJAMENTO_SEMANAL!$B$6:$B$2381,BM$7,PLANEJAMENTO_SEMANAL!$K$6:$K$2381,"&lt;&gt;SEM CULTURA")</f>
        <v>0</v>
      </c>
      <c r="BN22" s="18" t="n">
        <f aca="false">SUMIFS(PLANEJAMENTO_SEMANAL!$H$6:$H$2381,PLANEJAMENTO_SEMANAL!$F$6:$F$2381,$B22,PLANEJAMENTO_SEMANAL!$B$6:$B$2381,BN$7,PLANEJAMENTO_SEMANAL!$K$6:$K$2381,"&lt;&gt;SEM CULTURA")</f>
        <v>0</v>
      </c>
      <c r="BO22" s="18" t="n">
        <f aca="false">SUMIFS(PLANEJAMENTO_SEMANAL!$H$6:$H$2381,PLANEJAMENTO_SEMANAL!$F$6:$F$2381,$B22,PLANEJAMENTO_SEMANAL!$B$6:$B$2381,BO$7,PLANEJAMENTO_SEMANAL!$K$6:$K$2381,"&lt;&gt;SEM CULTURA")</f>
        <v>0</v>
      </c>
      <c r="BP22" s="18" t="n">
        <f aca="false">SUMIFS(PLANEJAMENTO_SEMANAL!$H$6:$H$2381,PLANEJAMENTO_SEMANAL!$F$6:$F$2381,$B22,PLANEJAMENTO_SEMANAL!$B$6:$B$2381,BP$7,PLANEJAMENTO_SEMANAL!$K$6:$K$2381,"&lt;&gt;SEM CULTURA")</f>
        <v>0</v>
      </c>
      <c r="BQ22" s="18" t="n">
        <f aca="false">MAX(C22:BP22)</f>
        <v>197.78</v>
      </c>
    </row>
    <row r="23" customFormat="false" ht="15" hidden="false" customHeight="false" outlineLevel="0" collapsed="false">
      <c r="B23" s="15" t="s">
        <v>131</v>
      </c>
      <c r="C23" s="18" t="n">
        <f aca="false">SUMIFS(PLANEJAMENTO_SEMANAL!$H$6:$H$2381,PLANEJAMENTO_SEMANAL!$F$6:$F$2381,$B23,PLANEJAMENTO_SEMANAL!$B$6:$B$2381,C$7,PLANEJAMENTO_SEMANAL!$K$6:$K$2381,"&lt;&gt;SEM CULTURA")</f>
        <v>100.07</v>
      </c>
      <c r="D23" s="18" t="n">
        <f aca="false">SUMIFS(PLANEJAMENTO_SEMANAL!$H$6:$H$2381,PLANEJAMENTO_SEMANAL!$F$6:$F$2381,$B23,PLANEJAMENTO_SEMANAL!$B$6:$B$2381,D$7,PLANEJAMENTO_SEMANAL!$K$6:$K$2381,"&lt;&gt;SEM CULTURA")</f>
        <v>100.07</v>
      </c>
      <c r="E23" s="18" t="n">
        <f aca="false">SUMIFS(PLANEJAMENTO_SEMANAL!$H$6:$H$2381,PLANEJAMENTO_SEMANAL!$F$6:$F$2381,$B23,PLANEJAMENTO_SEMANAL!$B$6:$B$2381,E$7,PLANEJAMENTO_SEMANAL!$K$6:$K$2381,"&lt;&gt;SEM CULTURA")</f>
        <v>100.07</v>
      </c>
      <c r="F23" s="18" t="n">
        <f aca="false">SUMIFS(PLANEJAMENTO_SEMANAL!$H$6:$H$2381,PLANEJAMENTO_SEMANAL!$F$6:$F$2381,$B23,PLANEJAMENTO_SEMANAL!$B$6:$B$2381,F$7,PLANEJAMENTO_SEMANAL!$K$6:$K$2381,"&lt;&gt;SEM CULTURA")</f>
        <v>100.07</v>
      </c>
      <c r="G23" s="18" t="n">
        <f aca="false">SUMIFS(PLANEJAMENTO_SEMANAL!$H$6:$H$2381,PLANEJAMENTO_SEMANAL!$F$6:$F$2381,$B23,PLANEJAMENTO_SEMANAL!$B$6:$B$2381,G$7,PLANEJAMENTO_SEMANAL!$K$6:$K$2381,"&lt;&gt;SEM CULTURA")</f>
        <v>310.48</v>
      </c>
      <c r="H23" s="18" t="n">
        <f aca="false">SUMIFS(PLANEJAMENTO_SEMANAL!$H$6:$H$2381,PLANEJAMENTO_SEMANAL!$F$6:$F$2381,$B23,PLANEJAMENTO_SEMANAL!$B$6:$B$2381,H$7,PLANEJAMENTO_SEMANAL!$K$6:$K$2381,"&lt;&gt;SEM CULTURA")</f>
        <v>310.48</v>
      </c>
      <c r="I23" s="18" t="n">
        <f aca="false">SUMIFS(PLANEJAMENTO_SEMANAL!$H$6:$H$2381,PLANEJAMENTO_SEMANAL!$F$6:$F$2381,$B23,PLANEJAMENTO_SEMANAL!$B$6:$B$2381,I$7,PLANEJAMENTO_SEMANAL!$K$6:$K$2381,"&lt;&gt;SEM CULTURA")</f>
        <v>310.48</v>
      </c>
      <c r="J23" s="18" t="n">
        <f aca="false">SUMIFS(PLANEJAMENTO_SEMANAL!$H$6:$H$2381,PLANEJAMENTO_SEMANAL!$F$6:$F$2381,$B23,PLANEJAMENTO_SEMANAL!$B$6:$B$2381,J$7,PLANEJAMENTO_SEMANAL!$K$6:$K$2381,"&lt;&gt;SEM CULTURA")</f>
        <v>310.48</v>
      </c>
      <c r="K23" s="18" t="n">
        <f aca="false">SUMIFS(PLANEJAMENTO_SEMANAL!$H$6:$H$2381,PLANEJAMENTO_SEMANAL!$F$6:$F$2381,$B23,PLANEJAMENTO_SEMANAL!$B$6:$B$2381,K$7,PLANEJAMENTO_SEMANAL!$K$6:$K$2381,"&lt;&gt;SEM CULTURA")</f>
        <v>310.48</v>
      </c>
      <c r="L23" s="18" t="n">
        <f aca="false">SUMIFS(PLANEJAMENTO_SEMANAL!$H$6:$H$2381,PLANEJAMENTO_SEMANAL!$F$6:$F$2381,$B23,PLANEJAMENTO_SEMANAL!$B$6:$B$2381,L$7,PLANEJAMENTO_SEMANAL!$K$6:$K$2381,"&lt;&gt;SEM CULTURA")</f>
        <v>310.48</v>
      </c>
      <c r="M23" s="18" t="n">
        <f aca="false">SUMIFS(PLANEJAMENTO_SEMANAL!$H$6:$H$2381,PLANEJAMENTO_SEMANAL!$F$6:$F$2381,$B23,PLANEJAMENTO_SEMANAL!$B$6:$B$2381,M$7,PLANEJAMENTO_SEMANAL!$K$6:$K$2381,"&lt;&gt;SEM CULTURA")</f>
        <v>310.48</v>
      </c>
      <c r="N23" s="18" t="n">
        <f aca="false">SUMIFS(PLANEJAMENTO_SEMANAL!$H$6:$H$2381,PLANEJAMENTO_SEMANAL!$F$6:$F$2381,$B23,PLANEJAMENTO_SEMANAL!$B$6:$B$2381,N$7,PLANEJAMENTO_SEMANAL!$K$6:$K$2381,"&lt;&gt;SEM CULTURA")</f>
        <v>310.48</v>
      </c>
      <c r="O23" s="18" t="n">
        <f aca="false">SUMIFS(PLANEJAMENTO_SEMANAL!$H$6:$H$2381,PLANEJAMENTO_SEMANAL!$F$6:$F$2381,$B23,PLANEJAMENTO_SEMANAL!$B$6:$B$2381,O$7,PLANEJAMENTO_SEMANAL!$K$6:$K$2381,"&lt;&gt;SEM CULTURA")</f>
        <v>310.48</v>
      </c>
      <c r="P23" s="18" t="n">
        <f aca="false">SUMIFS(PLANEJAMENTO_SEMANAL!$H$6:$H$2381,PLANEJAMENTO_SEMANAL!$F$6:$F$2381,$B23,PLANEJAMENTO_SEMANAL!$B$6:$B$2381,P$7,PLANEJAMENTO_SEMANAL!$K$6:$K$2381,"&lt;&gt;SEM CULTURA")</f>
        <v>539.4</v>
      </c>
      <c r="Q23" s="18" t="n">
        <f aca="false">SUMIFS(PLANEJAMENTO_SEMANAL!$H$6:$H$2381,PLANEJAMENTO_SEMANAL!$F$6:$F$2381,$B23,PLANEJAMENTO_SEMANAL!$B$6:$B$2381,Q$7,PLANEJAMENTO_SEMANAL!$K$6:$K$2381,"&lt;&gt;SEM CULTURA")</f>
        <v>439.33</v>
      </c>
      <c r="R23" s="18" t="n">
        <f aca="false">SUMIFS(PLANEJAMENTO_SEMANAL!$H$6:$H$2381,PLANEJAMENTO_SEMANAL!$F$6:$F$2381,$B23,PLANEJAMENTO_SEMANAL!$B$6:$B$2381,R$7,PLANEJAMENTO_SEMANAL!$K$6:$K$2381,"&lt;&gt;SEM CULTURA")</f>
        <v>539.4</v>
      </c>
      <c r="S23" s="18" t="n">
        <f aca="false">SUMIFS(PLANEJAMENTO_SEMANAL!$H$6:$H$2381,PLANEJAMENTO_SEMANAL!$F$6:$F$2381,$B23,PLANEJAMENTO_SEMANAL!$B$6:$B$2381,S$7,PLANEJAMENTO_SEMANAL!$K$6:$K$2381,"&lt;&gt;SEM CULTURA")</f>
        <v>539.4</v>
      </c>
      <c r="T23" s="18" t="n">
        <f aca="false">SUMIFS(PLANEJAMENTO_SEMANAL!$H$6:$H$2381,PLANEJAMENTO_SEMANAL!$F$6:$F$2381,$B23,PLANEJAMENTO_SEMANAL!$B$6:$B$2381,T$7,PLANEJAMENTO_SEMANAL!$K$6:$K$2381,"&lt;&gt;SEM CULTURA")</f>
        <v>539.4</v>
      </c>
      <c r="U23" s="18" t="n">
        <f aca="false">SUMIFS(PLANEJAMENTO_SEMANAL!$H$6:$H$2381,PLANEJAMENTO_SEMANAL!$F$6:$F$2381,$B23,PLANEJAMENTO_SEMANAL!$B$6:$B$2381,U$7,PLANEJAMENTO_SEMANAL!$K$6:$K$2381,"&lt;&gt;SEM CULTURA")</f>
        <v>539.4</v>
      </c>
      <c r="V23" s="18" t="n">
        <f aca="false">SUMIFS(PLANEJAMENTO_SEMANAL!$H$6:$H$2381,PLANEJAMENTO_SEMANAL!$F$6:$F$2381,$B23,PLANEJAMENTO_SEMANAL!$B$6:$B$2381,V$7,PLANEJAMENTO_SEMANAL!$K$6:$K$2381,"&lt;&gt;SEM CULTURA")</f>
        <v>429.4</v>
      </c>
      <c r="W23" s="18" t="n">
        <f aca="false">SUMIFS(PLANEJAMENTO_SEMANAL!$H$6:$H$2381,PLANEJAMENTO_SEMANAL!$F$6:$F$2381,$B23,PLANEJAMENTO_SEMANAL!$B$6:$B$2381,W$7,PLANEJAMENTO_SEMANAL!$K$6:$K$2381,"&lt;&gt;SEM CULTURA")</f>
        <v>328.99</v>
      </c>
      <c r="X23" s="18" t="n">
        <f aca="false">SUMIFS(PLANEJAMENTO_SEMANAL!$H$6:$H$2381,PLANEJAMENTO_SEMANAL!$F$6:$F$2381,$B23,PLANEJAMENTO_SEMANAL!$B$6:$B$2381,X$7,PLANEJAMENTO_SEMANAL!$K$6:$K$2381,"&lt;&gt;SEM CULTURA")</f>
        <v>328.99</v>
      </c>
      <c r="Y23" s="18" t="n">
        <f aca="false">SUMIFS(PLANEJAMENTO_SEMANAL!$H$6:$H$2381,PLANEJAMENTO_SEMANAL!$F$6:$F$2381,$B23,PLANEJAMENTO_SEMANAL!$B$6:$B$2381,Y$7,PLANEJAMENTO_SEMANAL!$K$6:$K$2381,"&lt;&gt;SEM CULTURA")</f>
        <v>438.99</v>
      </c>
      <c r="Z23" s="18" t="n">
        <f aca="false">SUMIFS(PLANEJAMENTO_SEMANAL!$H$6:$H$2381,PLANEJAMENTO_SEMANAL!$F$6:$F$2381,$B23,PLANEJAMENTO_SEMANAL!$B$6:$B$2381,Z$7,PLANEJAMENTO_SEMANAL!$K$6:$K$2381,"&lt;&gt;SEM CULTURA")</f>
        <v>539.4</v>
      </c>
      <c r="AA23" s="18" t="n">
        <f aca="false">SUMIFS(PLANEJAMENTO_SEMANAL!$H$6:$H$2381,PLANEJAMENTO_SEMANAL!$F$6:$F$2381,$B23,PLANEJAMENTO_SEMANAL!$B$6:$B$2381,AA$7,PLANEJAMENTO_SEMANAL!$K$6:$K$2381,"&lt;&gt;SEM CULTURA")</f>
        <v>539.4</v>
      </c>
      <c r="AB23" s="18" t="n">
        <f aca="false">SUMIFS(PLANEJAMENTO_SEMANAL!$H$6:$H$2381,PLANEJAMENTO_SEMANAL!$F$6:$F$2381,$B23,PLANEJAMENTO_SEMANAL!$B$6:$B$2381,AB$7,PLANEJAMENTO_SEMANAL!$K$6:$K$2381,"&lt;&gt;SEM CULTURA")</f>
        <v>539.4</v>
      </c>
      <c r="AC23" s="18" t="n">
        <f aca="false">SUMIFS(PLANEJAMENTO_SEMANAL!$H$6:$H$2381,PLANEJAMENTO_SEMANAL!$F$6:$F$2381,$B23,PLANEJAMENTO_SEMANAL!$B$6:$B$2381,AC$7,PLANEJAMENTO_SEMANAL!$K$6:$K$2381,"&lt;&gt;SEM CULTURA")</f>
        <v>539.4</v>
      </c>
      <c r="AD23" s="18" t="n">
        <f aca="false">SUMIFS(PLANEJAMENTO_SEMANAL!$H$6:$H$2381,PLANEJAMENTO_SEMANAL!$F$6:$F$2381,$B23,PLANEJAMENTO_SEMANAL!$B$6:$B$2381,AD$7,PLANEJAMENTO_SEMANAL!$K$6:$K$2381,"&lt;&gt;SEM CULTURA")</f>
        <v>539.4</v>
      </c>
      <c r="AE23" s="18" t="n">
        <f aca="false">SUMIFS(PLANEJAMENTO_SEMANAL!$H$6:$H$2381,PLANEJAMENTO_SEMANAL!$F$6:$F$2381,$B23,PLANEJAMENTO_SEMANAL!$B$6:$B$2381,AE$7,PLANEJAMENTO_SEMANAL!$K$6:$K$2381,"&lt;&gt;SEM CULTURA")</f>
        <v>539.4</v>
      </c>
      <c r="AF23" s="18" t="n">
        <f aca="false">SUMIFS(PLANEJAMENTO_SEMANAL!$H$6:$H$2381,PLANEJAMENTO_SEMANAL!$F$6:$F$2381,$B23,PLANEJAMENTO_SEMANAL!$B$6:$B$2381,AF$7,PLANEJAMENTO_SEMANAL!$K$6:$K$2381,"&lt;&gt;SEM CULTURA")</f>
        <v>539.4</v>
      </c>
      <c r="AG23" s="18" t="n">
        <f aca="false">SUMIFS(PLANEJAMENTO_SEMANAL!$H$6:$H$2381,PLANEJAMENTO_SEMANAL!$F$6:$F$2381,$B23,PLANEJAMENTO_SEMANAL!$B$6:$B$2381,AG$7,PLANEJAMENTO_SEMANAL!$K$6:$K$2381,"&lt;&gt;SEM CULTURA")</f>
        <v>539.4</v>
      </c>
      <c r="AH23" s="18" t="n">
        <f aca="false">SUMIFS(PLANEJAMENTO_SEMANAL!$H$6:$H$2381,PLANEJAMENTO_SEMANAL!$F$6:$F$2381,$B23,PLANEJAMENTO_SEMANAL!$B$6:$B$2381,AH$7,PLANEJAMENTO_SEMANAL!$K$6:$K$2381,"&lt;&gt;SEM CULTURA")</f>
        <v>539.4</v>
      </c>
      <c r="AI23" s="18" t="n">
        <f aca="false">SUMIFS(PLANEJAMENTO_SEMANAL!$H$6:$H$2381,PLANEJAMENTO_SEMANAL!$F$6:$F$2381,$B23,PLANEJAMENTO_SEMANAL!$B$6:$B$2381,AI$7,PLANEJAMENTO_SEMANAL!$K$6:$K$2381,"&lt;&gt;SEM CULTURA")</f>
        <v>539.4</v>
      </c>
      <c r="AJ23" s="18" t="n">
        <f aca="false">SUMIFS(PLANEJAMENTO_SEMANAL!$H$6:$H$2381,PLANEJAMENTO_SEMANAL!$F$6:$F$2381,$B23,PLANEJAMENTO_SEMANAL!$B$6:$B$2381,AJ$7,PLANEJAMENTO_SEMANAL!$K$6:$K$2381,"&lt;&gt;SEM CULTURA")</f>
        <v>539.4</v>
      </c>
      <c r="AK23" s="18" t="n">
        <f aca="false">SUMIFS(PLANEJAMENTO_SEMANAL!$H$6:$H$2381,PLANEJAMENTO_SEMANAL!$F$6:$F$2381,$B23,PLANEJAMENTO_SEMANAL!$B$6:$B$2381,AK$7,PLANEJAMENTO_SEMANAL!$K$6:$K$2381,"&lt;&gt;SEM CULTURA")</f>
        <v>539.4</v>
      </c>
      <c r="AL23" s="18" t="n">
        <f aca="false">SUMIFS(PLANEJAMENTO_SEMANAL!$H$6:$H$2381,PLANEJAMENTO_SEMANAL!$F$6:$F$2381,$B23,PLANEJAMENTO_SEMANAL!$B$6:$B$2381,AL$7,PLANEJAMENTO_SEMANAL!$K$6:$K$2381,"&lt;&gt;SEM CULTURA")</f>
        <v>539.4</v>
      </c>
      <c r="AM23" s="18" t="n">
        <f aca="false">SUMIFS(PLANEJAMENTO_SEMANAL!$H$6:$H$2381,PLANEJAMENTO_SEMANAL!$F$6:$F$2381,$B23,PLANEJAMENTO_SEMANAL!$B$6:$B$2381,AM$7,PLANEJAMENTO_SEMANAL!$K$6:$K$2381,"&lt;&gt;SEM CULTURA")</f>
        <v>539.4</v>
      </c>
      <c r="AN23" s="18" t="n">
        <f aca="false">SUMIFS(PLANEJAMENTO_SEMANAL!$H$6:$H$2381,PLANEJAMENTO_SEMANAL!$F$6:$F$2381,$B23,PLANEJAMENTO_SEMANAL!$B$6:$B$2381,AN$7,PLANEJAMENTO_SEMANAL!$K$6:$K$2381,"&lt;&gt;SEM CULTURA")</f>
        <v>539.4</v>
      </c>
      <c r="AO23" s="18" t="n">
        <f aca="false">SUMIFS(PLANEJAMENTO_SEMANAL!$H$6:$H$2381,PLANEJAMENTO_SEMANAL!$F$6:$F$2381,$B23,PLANEJAMENTO_SEMANAL!$B$6:$B$2381,AO$7,PLANEJAMENTO_SEMANAL!$K$6:$K$2381,"&lt;&gt;SEM CULTURA")</f>
        <v>539.4</v>
      </c>
      <c r="AP23" s="18" t="n">
        <f aca="false">SUMIFS(PLANEJAMENTO_SEMANAL!$H$6:$H$2381,PLANEJAMENTO_SEMANAL!$F$6:$F$2381,$B23,PLANEJAMENTO_SEMANAL!$B$6:$B$2381,AP$7,PLANEJAMENTO_SEMANAL!$K$6:$K$2381,"&lt;&gt;SEM CULTURA")</f>
        <v>539.4</v>
      </c>
      <c r="AQ23" s="18" t="n">
        <f aca="false">SUMIFS(PLANEJAMENTO_SEMANAL!$H$6:$H$2381,PLANEJAMENTO_SEMANAL!$F$6:$F$2381,$B23,PLANEJAMENTO_SEMANAL!$B$6:$B$2381,AQ$7,PLANEJAMENTO_SEMANAL!$K$6:$K$2381,"&lt;&gt;SEM CULTURA")</f>
        <v>539.4</v>
      </c>
      <c r="AR23" s="18" t="n">
        <f aca="false">SUMIFS(PLANEJAMENTO_SEMANAL!$H$6:$H$2381,PLANEJAMENTO_SEMANAL!$F$6:$F$2381,$B23,PLANEJAMENTO_SEMANAL!$B$6:$B$2381,AR$7,PLANEJAMENTO_SEMANAL!$K$6:$K$2381,"&lt;&gt;SEM CULTURA")</f>
        <v>310.48</v>
      </c>
      <c r="AS23" s="18" t="n">
        <f aca="false">SUMIFS(PLANEJAMENTO_SEMANAL!$H$6:$H$2381,PLANEJAMENTO_SEMANAL!$F$6:$F$2381,$B23,PLANEJAMENTO_SEMANAL!$B$6:$B$2381,AS$7,PLANEJAMENTO_SEMANAL!$K$6:$K$2381,"&lt;&gt;SEM CULTURA")</f>
        <v>310.48</v>
      </c>
      <c r="AT23" s="18" t="n">
        <f aca="false">SUMIFS(PLANEJAMENTO_SEMANAL!$H$6:$H$2381,PLANEJAMENTO_SEMANAL!$F$6:$F$2381,$B23,PLANEJAMENTO_SEMANAL!$B$6:$B$2381,AT$7,PLANEJAMENTO_SEMANAL!$K$6:$K$2381,"&lt;&gt;SEM CULTURA")</f>
        <v>210.41</v>
      </c>
      <c r="AU23" s="18" t="n">
        <f aca="false">SUMIFS(PLANEJAMENTO_SEMANAL!$H$6:$H$2381,PLANEJAMENTO_SEMANAL!$F$6:$F$2381,$B23,PLANEJAMENTO_SEMANAL!$B$6:$B$2381,AU$7,PLANEJAMENTO_SEMANAL!$K$6:$K$2381,"&lt;&gt;SEM CULTURA")</f>
        <v>210.41</v>
      </c>
      <c r="AV23" s="18" t="n">
        <f aca="false">SUMIFS(PLANEJAMENTO_SEMANAL!$H$6:$H$2381,PLANEJAMENTO_SEMANAL!$F$6:$F$2381,$B23,PLANEJAMENTO_SEMANAL!$B$6:$B$2381,AV$7,PLANEJAMENTO_SEMANAL!$K$6:$K$2381,"&lt;&gt;SEM CULTURA")</f>
        <v>210.41</v>
      </c>
      <c r="AW23" s="18" t="n">
        <f aca="false">SUMIFS(PLANEJAMENTO_SEMANAL!$H$6:$H$2381,PLANEJAMENTO_SEMANAL!$F$6:$F$2381,$B23,PLANEJAMENTO_SEMANAL!$B$6:$B$2381,AW$7,PLANEJAMENTO_SEMANAL!$K$6:$K$2381,"&lt;&gt;SEM CULTURA")</f>
        <v>210.41</v>
      </c>
      <c r="AX23" s="18" t="n">
        <f aca="false">SUMIFS(PLANEJAMENTO_SEMANAL!$H$6:$H$2381,PLANEJAMENTO_SEMANAL!$F$6:$F$2381,$B23,PLANEJAMENTO_SEMANAL!$B$6:$B$2381,AX$7,PLANEJAMENTO_SEMANAL!$K$6:$K$2381,"&lt;&gt;SEM CULTURA")</f>
        <v>210.41</v>
      </c>
      <c r="AY23" s="18" t="n">
        <f aca="false">SUMIFS(PLANEJAMENTO_SEMANAL!$H$6:$H$2381,PLANEJAMENTO_SEMANAL!$F$6:$F$2381,$B23,PLANEJAMENTO_SEMANAL!$B$6:$B$2381,AY$7,PLANEJAMENTO_SEMANAL!$K$6:$K$2381,"&lt;&gt;SEM CULTURA")</f>
        <v>110</v>
      </c>
      <c r="AZ23" s="18" t="n">
        <f aca="false">SUMIFS(PLANEJAMENTO_SEMANAL!$H$6:$H$2381,PLANEJAMENTO_SEMANAL!$F$6:$F$2381,$B23,PLANEJAMENTO_SEMANAL!$B$6:$B$2381,AZ$7,PLANEJAMENTO_SEMANAL!$K$6:$K$2381,"&lt;&gt;SEM CULTURA")</f>
        <v>110</v>
      </c>
      <c r="BA23" s="18" t="n">
        <f aca="false">SUMIFS(PLANEJAMENTO_SEMANAL!$H$6:$H$2381,PLANEJAMENTO_SEMANAL!$F$6:$F$2381,$B23,PLANEJAMENTO_SEMANAL!$B$6:$B$2381,BA$7,PLANEJAMENTO_SEMANAL!$K$6:$K$2381,"&lt;&gt;SEM CULTURA")</f>
        <v>0</v>
      </c>
      <c r="BB23" s="18" t="n">
        <f aca="false">SUMIFS(PLANEJAMENTO_SEMANAL!$H$6:$H$2381,PLANEJAMENTO_SEMANAL!$F$6:$F$2381,$B23,PLANEJAMENTO_SEMANAL!$B$6:$B$2381,BB$7,PLANEJAMENTO_SEMANAL!$K$6:$K$2381,"&lt;&gt;SEM CULTURA")</f>
        <v>0</v>
      </c>
      <c r="BC23" s="18" t="n">
        <f aca="false">SUMIFS(PLANEJAMENTO_SEMANAL!$H$6:$H$2381,PLANEJAMENTO_SEMANAL!$F$6:$F$2381,$B23,PLANEJAMENTO_SEMANAL!$B$6:$B$2381,BC$7,PLANEJAMENTO_SEMANAL!$K$6:$K$2381,"&lt;&gt;SEM CULTURA")</f>
        <v>0</v>
      </c>
      <c r="BD23" s="18" t="n">
        <f aca="false">SUMIFS(PLANEJAMENTO_SEMANAL!$H$6:$H$2381,PLANEJAMENTO_SEMANAL!$F$6:$F$2381,$B23,PLANEJAMENTO_SEMANAL!$B$6:$B$2381,BD$7,PLANEJAMENTO_SEMANAL!$K$6:$K$2381,"&lt;&gt;SEM CULTURA")</f>
        <v>0</v>
      </c>
      <c r="BE23" s="18" t="n">
        <f aca="false">SUMIFS(PLANEJAMENTO_SEMANAL!$H$6:$H$2381,PLANEJAMENTO_SEMANAL!$F$6:$F$2381,$B23,PLANEJAMENTO_SEMANAL!$B$6:$B$2381,BE$7,PLANEJAMENTO_SEMANAL!$K$6:$K$2381,"&lt;&gt;SEM CULTURA")</f>
        <v>0</v>
      </c>
      <c r="BF23" s="18" t="n">
        <f aca="false">SUMIFS(PLANEJAMENTO_SEMANAL!$H$6:$H$2381,PLANEJAMENTO_SEMANAL!$F$6:$F$2381,$B23,PLANEJAMENTO_SEMANAL!$B$6:$B$2381,BF$7,PLANEJAMENTO_SEMANAL!$K$6:$K$2381,"&lt;&gt;SEM CULTURA")</f>
        <v>0</v>
      </c>
      <c r="BG23" s="18" t="n">
        <f aca="false">SUMIFS(PLANEJAMENTO_SEMANAL!$H$6:$H$2381,PLANEJAMENTO_SEMANAL!$F$6:$F$2381,$B23,PLANEJAMENTO_SEMANAL!$B$6:$B$2381,BG$7,PLANEJAMENTO_SEMANAL!$K$6:$K$2381,"&lt;&gt;SEM CULTURA")</f>
        <v>0</v>
      </c>
      <c r="BH23" s="18" t="n">
        <f aca="false">SUMIFS(PLANEJAMENTO_SEMANAL!$H$6:$H$2381,PLANEJAMENTO_SEMANAL!$F$6:$F$2381,$B23,PLANEJAMENTO_SEMANAL!$B$6:$B$2381,BH$7,PLANEJAMENTO_SEMANAL!$K$6:$K$2381,"&lt;&gt;SEM CULTURA")</f>
        <v>0</v>
      </c>
      <c r="BI23" s="18" t="n">
        <f aca="false">SUMIFS(PLANEJAMENTO_SEMANAL!$H$6:$H$2381,PLANEJAMENTO_SEMANAL!$F$6:$F$2381,$B23,PLANEJAMENTO_SEMANAL!$B$6:$B$2381,BI$7,PLANEJAMENTO_SEMANAL!$K$6:$K$2381,"&lt;&gt;SEM CULTURA")</f>
        <v>0</v>
      </c>
      <c r="BJ23" s="18" t="n">
        <f aca="false">SUMIFS(PLANEJAMENTO_SEMANAL!$H$6:$H$2381,PLANEJAMENTO_SEMANAL!$F$6:$F$2381,$B23,PLANEJAMENTO_SEMANAL!$B$6:$B$2381,BJ$7,PLANEJAMENTO_SEMANAL!$K$6:$K$2381,"&lt;&gt;SEM CULTURA")</f>
        <v>0</v>
      </c>
      <c r="BK23" s="18" t="n">
        <f aca="false">SUMIFS(PLANEJAMENTO_SEMANAL!$H$6:$H$2381,PLANEJAMENTO_SEMANAL!$F$6:$F$2381,$B23,PLANEJAMENTO_SEMANAL!$B$6:$B$2381,BK$7,PLANEJAMENTO_SEMANAL!$K$6:$K$2381,"&lt;&gt;SEM CULTURA")</f>
        <v>0</v>
      </c>
      <c r="BL23" s="18" t="n">
        <f aca="false">SUMIFS(PLANEJAMENTO_SEMANAL!$H$6:$H$2381,PLANEJAMENTO_SEMANAL!$F$6:$F$2381,$B23,PLANEJAMENTO_SEMANAL!$B$6:$B$2381,BL$7,PLANEJAMENTO_SEMANAL!$K$6:$K$2381,"&lt;&gt;SEM CULTURA")</f>
        <v>0</v>
      </c>
      <c r="BM23" s="18" t="n">
        <f aca="false">SUMIFS(PLANEJAMENTO_SEMANAL!$H$6:$H$2381,PLANEJAMENTO_SEMANAL!$F$6:$F$2381,$B23,PLANEJAMENTO_SEMANAL!$B$6:$B$2381,BM$7,PLANEJAMENTO_SEMANAL!$K$6:$K$2381,"&lt;&gt;SEM CULTURA")</f>
        <v>0</v>
      </c>
      <c r="BN23" s="18" t="n">
        <f aca="false">SUMIFS(PLANEJAMENTO_SEMANAL!$H$6:$H$2381,PLANEJAMENTO_SEMANAL!$F$6:$F$2381,$B23,PLANEJAMENTO_SEMANAL!$B$6:$B$2381,BN$7,PLANEJAMENTO_SEMANAL!$K$6:$K$2381,"&lt;&gt;SEM CULTURA")</f>
        <v>0</v>
      </c>
      <c r="BO23" s="18" t="n">
        <f aca="false">SUMIFS(PLANEJAMENTO_SEMANAL!$H$6:$H$2381,PLANEJAMENTO_SEMANAL!$F$6:$F$2381,$B23,PLANEJAMENTO_SEMANAL!$B$6:$B$2381,BO$7,PLANEJAMENTO_SEMANAL!$K$6:$K$2381,"&lt;&gt;SEM CULTURA")</f>
        <v>0</v>
      </c>
      <c r="BP23" s="18" t="n">
        <f aca="false">SUMIFS(PLANEJAMENTO_SEMANAL!$H$6:$H$2381,PLANEJAMENTO_SEMANAL!$F$6:$F$2381,$B23,PLANEJAMENTO_SEMANAL!$B$6:$B$2381,BP$7,PLANEJAMENTO_SEMANAL!$K$6:$K$2381,"&lt;&gt;SEM CULTURA")</f>
        <v>0</v>
      </c>
      <c r="BQ23" s="18" t="n">
        <f aca="false">MAX(C23:BP23)</f>
        <v>539.4</v>
      </c>
    </row>
    <row r="24" customFormat="false" ht="15" hidden="false" customHeight="false" outlineLevel="0" collapsed="false">
      <c r="B24" s="15" t="s">
        <v>132</v>
      </c>
      <c r="C24" s="18" t="n">
        <f aca="false">SUMIFS(PLANEJAMENTO_SEMANAL!$H$6:$H$2381,PLANEJAMENTO_SEMANAL!$F$6:$F$2381,$B24,PLANEJAMENTO_SEMANAL!$B$6:$B$2381,C$7,PLANEJAMENTO_SEMANAL!$K$6:$K$2381,"&lt;&gt;SEM CULTURA")</f>
        <v>199.92</v>
      </c>
      <c r="D24" s="18" t="n">
        <f aca="false">SUMIFS(PLANEJAMENTO_SEMANAL!$H$6:$H$2381,PLANEJAMENTO_SEMANAL!$F$6:$F$2381,$B24,PLANEJAMENTO_SEMANAL!$B$6:$B$2381,D$7,PLANEJAMENTO_SEMANAL!$K$6:$K$2381,"&lt;&gt;SEM CULTURA")</f>
        <v>199.92</v>
      </c>
      <c r="E24" s="18" t="n">
        <f aca="false">SUMIFS(PLANEJAMENTO_SEMANAL!$H$6:$H$2381,PLANEJAMENTO_SEMANAL!$F$6:$F$2381,$B24,PLANEJAMENTO_SEMANAL!$B$6:$B$2381,E$7,PLANEJAMENTO_SEMANAL!$K$6:$K$2381,"&lt;&gt;SEM CULTURA")</f>
        <v>199.92</v>
      </c>
      <c r="F24" s="18" t="n">
        <f aca="false">SUMIFS(PLANEJAMENTO_SEMANAL!$H$6:$H$2381,PLANEJAMENTO_SEMANAL!$F$6:$F$2381,$B24,PLANEJAMENTO_SEMANAL!$B$6:$B$2381,F$7,PLANEJAMENTO_SEMANAL!$K$6:$K$2381,"&lt;&gt;SEM CULTURA")</f>
        <v>199.92</v>
      </c>
      <c r="G24" s="18" t="n">
        <f aca="false">SUMIFS(PLANEJAMENTO_SEMANAL!$H$6:$H$2381,PLANEJAMENTO_SEMANAL!$F$6:$F$2381,$B24,PLANEJAMENTO_SEMANAL!$B$6:$B$2381,G$7,PLANEJAMENTO_SEMANAL!$K$6:$K$2381,"&lt;&gt;SEM CULTURA")</f>
        <v>199.92</v>
      </c>
      <c r="H24" s="18" t="n">
        <f aca="false">SUMIFS(PLANEJAMENTO_SEMANAL!$H$6:$H$2381,PLANEJAMENTO_SEMANAL!$F$6:$F$2381,$B24,PLANEJAMENTO_SEMANAL!$B$6:$B$2381,H$7,PLANEJAMENTO_SEMANAL!$K$6:$K$2381,"&lt;&gt;SEM CULTURA")</f>
        <v>199.92</v>
      </c>
      <c r="I24" s="18" t="n">
        <f aca="false">SUMIFS(PLANEJAMENTO_SEMANAL!$H$6:$H$2381,PLANEJAMENTO_SEMANAL!$F$6:$F$2381,$B24,PLANEJAMENTO_SEMANAL!$B$6:$B$2381,I$7,PLANEJAMENTO_SEMANAL!$K$6:$K$2381,"&lt;&gt;SEM CULTURA")</f>
        <v>499.88</v>
      </c>
      <c r="J24" s="18" t="n">
        <f aca="false">SUMIFS(PLANEJAMENTO_SEMANAL!$H$6:$H$2381,PLANEJAMENTO_SEMANAL!$F$6:$F$2381,$B24,PLANEJAMENTO_SEMANAL!$B$6:$B$2381,J$7,PLANEJAMENTO_SEMANAL!$K$6:$K$2381,"&lt;&gt;SEM CULTURA")</f>
        <v>499.88</v>
      </c>
      <c r="K24" s="18" t="n">
        <f aca="false">SUMIFS(PLANEJAMENTO_SEMANAL!$H$6:$H$2381,PLANEJAMENTO_SEMANAL!$F$6:$F$2381,$B24,PLANEJAMENTO_SEMANAL!$B$6:$B$2381,K$7,PLANEJAMENTO_SEMANAL!$K$6:$K$2381,"&lt;&gt;SEM CULTURA")</f>
        <v>499.88</v>
      </c>
      <c r="L24" s="18" t="n">
        <f aca="false">SUMIFS(PLANEJAMENTO_SEMANAL!$H$6:$H$2381,PLANEJAMENTO_SEMANAL!$F$6:$F$2381,$B24,PLANEJAMENTO_SEMANAL!$B$6:$B$2381,L$7,PLANEJAMENTO_SEMANAL!$K$6:$K$2381,"&lt;&gt;SEM CULTURA")</f>
        <v>499.88</v>
      </c>
      <c r="M24" s="18" t="n">
        <f aca="false">SUMIFS(PLANEJAMENTO_SEMANAL!$H$6:$H$2381,PLANEJAMENTO_SEMANAL!$F$6:$F$2381,$B24,PLANEJAMENTO_SEMANAL!$B$6:$B$2381,M$7,PLANEJAMENTO_SEMANAL!$K$6:$K$2381,"&lt;&gt;SEM CULTURA")</f>
        <v>499.88</v>
      </c>
      <c r="N24" s="18" t="n">
        <f aca="false">SUMIFS(PLANEJAMENTO_SEMANAL!$H$6:$H$2381,PLANEJAMENTO_SEMANAL!$F$6:$F$2381,$B24,PLANEJAMENTO_SEMANAL!$B$6:$B$2381,N$7,PLANEJAMENTO_SEMANAL!$K$6:$K$2381,"&lt;&gt;SEM CULTURA")</f>
        <v>499.88</v>
      </c>
      <c r="O24" s="18" t="n">
        <f aca="false">SUMIFS(PLANEJAMENTO_SEMANAL!$H$6:$H$2381,PLANEJAMENTO_SEMANAL!$F$6:$F$2381,$B24,PLANEJAMENTO_SEMANAL!$B$6:$B$2381,O$7,PLANEJAMENTO_SEMANAL!$K$6:$K$2381,"&lt;&gt;SEM CULTURA")</f>
        <v>299.96</v>
      </c>
      <c r="P24" s="18" t="n">
        <f aca="false">SUMIFS(PLANEJAMENTO_SEMANAL!$H$6:$H$2381,PLANEJAMENTO_SEMANAL!$F$6:$F$2381,$B24,PLANEJAMENTO_SEMANAL!$B$6:$B$2381,P$7,PLANEJAMENTO_SEMANAL!$K$6:$K$2381,"&lt;&gt;SEM CULTURA")</f>
        <v>769.8</v>
      </c>
      <c r="Q24" s="18" t="n">
        <f aca="false">SUMIFS(PLANEJAMENTO_SEMANAL!$H$6:$H$2381,PLANEJAMENTO_SEMANAL!$F$6:$F$2381,$B24,PLANEJAMENTO_SEMANAL!$B$6:$B$2381,Q$7,PLANEJAMENTO_SEMANAL!$K$6:$K$2381,"&lt;&gt;SEM CULTURA")</f>
        <v>769.8</v>
      </c>
      <c r="R24" s="18" t="n">
        <f aca="false">SUMIFS(PLANEJAMENTO_SEMANAL!$H$6:$H$2381,PLANEJAMENTO_SEMANAL!$F$6:$F$2381,$B24,PLANEJAMENTO_SEMANAL!$B$6:$B$2381,R$7,PLANEJAMENTO_SEMANAL!$K$6:$K$2381,"&lt;&gt;SEM CULTURA")</f>
        <v>769.8</v>
      </c>
      <c r="S24" s="18" t="n">
        <f aca="false">SUMIFS(PLANEJAMENTO_SEMANAL!$H$6:$H$2381,PLANEJAMENTO_SEMANAL!$F$6:$F$2381,$B24,PLANEJAMENTO_SEMANAL!$B$6:$B$2381,S$7,PLANEJAMENTO_SEMANAL!$K$6:$K$2381,"&lt;&gt;SEM CULTURA")</f>
        <v>769.8</v>
      </c>
      <c r="T24" s="18" t="n">
        <f aca="false">SUMIFS(PLANEJAMENTO_SEMANAL!$H$6:$H$2381,PLANEJAMENTO_SEMANAL!$F$6:$F$2381,$B24,PLANEJAMENTO_SEMANAL!$B$6:$B$2381,T$7,PLANEJAMENTO_SEMANAL!$K$6:$K$2381,"&lt;&gt;SEM CULTURA")</f>
        <v>769.8</v>
      </c>
      <c r="U24" s="18" t="n">
        <f aca="false">SUMIFS(PLANEJAMENTO_SEMANAL!$H$6:$H$2381,PLANEJAMENTO_SEMANAL!$F$6:$F$2381,$B24,PLANEJAMENTO_SEMANAL!$B$6:$B$2381,U$7,PLANEJAMENTO_SEMANAL!$K$6:$K$2381,"&lt;&gt;SEM CULTURA")</f>
        <v>769.8</v>
      </c>
      <c r="V24" s="18" t="n">
        <f aca="false">SUMIFS(PLANEJAMENTO_SEMANAL!$H$6:$H$2381,PLANEJAMENTO_SEMANAL!$F$6:$F$2381,$B24,PLANEJAMENTO_SEMANAL!$B$6:$B$2381,V$7,PLANEJAMENTO_SEMANAL!$K$6:$K$2381,"&lt;&gt;SEM CULTURA")</f>
        <v>769.8</v>
      </c>
      <c r="W24" s="18" t="n">
        <f aca="false">SUMIFS(PLANEJAMENTO_SEMANAL!$H$6:$H$2381,PLANEJAMENTO_SEMANAL!$F$6:$F$2381,$B24,PLANEJAMENTO_SEMANAL!$B$6:$B$2381,W$7,PLANEJAMENTO_SEMANAL!$K$6:$K$2381,"&lt;&gt;SEM CULTURA")</f>
        <v>769.8</v>
      </c>
      <c r="X24" s="18" t="n">
        <f aca="false">SUMIFS(PLANEJAMENTO_SEMANAL!$H$6:$H$2381,PLANEJAMENTO_SEMANAL!$F$6:$F$2381,$B24,PLANEJAMENTO_SEMANAL!$B$6:$B$2381,X$7,PLANEJAMENTO_SEMANAL!$K$6:$K$2381,"&lt;&gt;SEM CULTURA")</f>
        <v>769.8</v>
      </c>
      <c r="Y24" s="18" t="n">
        <f aca="false">SUMIFS(PLANEJAMENTO_SEMANAL!$H$6:$H$2381,PLANEJAMENTO_SEMANAL!$F$6:$F$2381,$B24,PLANEJAMENTO_SEMANAL!$B$6:$B$2381,Y$7,PLANEJAMENTO_SEMANAL!$K$6:$K$2381,"&lt;&gt;SEM CULTURA")</f>
        <v>769.8</v>
      </c>
      <c r="Z24" s="18" t="n">
        <f aca="false">SUMIFS(PLANEJAMENTO_SEMANAL!$H$6:$H$2381,PLANEJAMENTO_SEMANAL!$F$6:$F$2381,$B24,PLANEJAMENTO_SEMANAL!$B$6:$B$2381,Z$7,PLANEJAMENTO_SEMANAL!$K$6:$K$2381,"&lt;&gt;SEM CULTURA")</f>
        <v>469.84</v>
      </c>
      <c r="AA24" s="18" t="n">
        <f aca="false">SUMIFS(PLANEJAMENTO_SEMANAL!$H$6:$H$2381,PLANEJAMENTO_SEMANAL!$F$6:$F$2381,$B24,PLANEJAMENTO_SEMANAL!$B$6:$B$2381,AA$7,PLANEJAMENTO_SEMANAL!$K$6:$K$2381,"&lt;&gt;SEM CULTURA")</f>
        <v>469.84</v>
      </c>
      <c r="AB24" s="18" t="n">
        <f aca="false">SUMIFS(PLANEJAMENTO_SEMANAL!$H$6:$H$2381,PLANEJAMENTO_SEMANAL!$F$6:$F$2381,$B24,PLANEJAMENTO_SEMANAL!$B$6:$B$2381,AB$7,PLANEJAMENTO_SEMANAL!$K$6:$K$2381,"&lt;&gt;SEM CULTURA")</f>
        <v>469.84</v>
      </c>
      <c r="AC24" s="18" t="n">
        <f aca="false">SUMIFS(PLANEJAMENTO_SEMANAL!$H$6:$H$2381,PLANEJAMENTO_SEMANAL!$F$6:$F$2381,$B24,PLANEJAMENTO_SEMANAL!$B$6:$B$2381,AC$7,PLANEJAMENTO_SEMANAL!$K$6:$K$2381,"&lt;&gt;SEM CULTURA")</f>
        <v>469.84</v>
      </c>
      <c r="AD24" s="18" t="n">
        <f aca="false">SUMIFS(PLANEJAMENTO_SEMANAL!$H$6:$H$2381,PLANEJAMENTO_SEMANAL!$F$6:$F$2381,$B24,PLANEJAMENTO_SEMANAL!$B$6:$B$2381,AD$7,PLANEJAMENTO_SEMANAL!$K$6:$K$2381,"&lt;&gt;SEM CULTURA")</f>
        <v>469.84</v>
      </c>
      <c r="AE24" s="18" t="n">
        <f aca="false">SUMIFS(PLANEJAMENTO_SEMANAL!$H$6:$H$2381,PLANEJAMENTO_SEMANAL!$F$6:$F$2381,$B24,PLANEJAMENTO_SEMANAL!$B$6:$B$2381,AE$7,PLANEJAMENTO_SEMANAL!$K$6:$K$2381,"&lt;&gt;SEM CULTURA")</f>
        <v>469.84</v>
      </c>
      <c r="AF24" s="18" t="n">
        <f aca="false">SUMIFS(PLANEJAMENTO_SEMANAL!$H$6:$H$2381,PLANEJAMENTO_SEMANAL!$F$6:$F$2381,$B24,PLANEJAMENTO_SEMANAL!$B$6:$B$2381,AF$7,PLANEJAMENTO_SEMANAL!$K$6:$K$2381,"&lt;&gt;SEM CULTURA")</f>
        <v>469.84</v>
      </c>
      <c r="AG24" s="18" t="n">
        <f aca="false">SUMIFS(PLANEJAMENTO_SEMANAL!$H$6:$H$2381,PLANEJAMENTO_SEMANAL!$F$6:$F$2381,$B24,PLANEJAMENTO_SEMANAL!$B$6:$B$2381,AG$7,PLANEJAMENTO_SEMANAL!$K$6:$K$2381,"&lt;&gt;SEM CULTURA")</f>
        <v>469.84</v>
      </c>
      <c r="AH24" s="18" t="n">
        <f aca="false">SUMIFS(PLANEJAMENTO_SEMANAL!$H$6:$H$2381,PLANEJAMENTO_SEMANAL!$F$6:$F$2381,$B24,PLANEJAMENTO_SEMANAL!$B$6:$B$2381,AH$7,PLANEJAMENTO_SEMANAL!$K$6:$K$2381,"&lt;&gt;SEM CULTURA")</f>
        <v>469.84</v>
      </c>
      <c r="AI24" s="18" t="n">
        <f aca="false">SUMIFS(PLANEJAMENTO_SEMANAL!$H$6:$H$2381,PLANEJAMENTO_SEMANAL!$F$6:$F$2381,$B24,PLANEJAMENTO_SEMANAL!$B$6:$B$2381,AI$7,PLANEJAMENTO_SEMANAL!$K$6:$K$2381,"&lt;&gt;SEM CULTURA")</f>
        <v>469.84</v>
      </c>
      <c r="AJ24" s="18" t="n">
        <f aca="false">SUMIFS(PLANEJAMENTO_SEMANAL!$H$6:$H$2381,PLANEJAMENTO_SEMANAL!$F$6:$F$2381,$B24,PLANEJAMENTO_SEMANAL!$B$6:$B$2381,AJ$7,PLANEJAMENTO_SEMANAL!$K$6:$K$2381,"&lt;&gt;SEM CULTURA")</f>
        <v>469.84</v>
      </c>
      <c r="AK24" s="18" t="n">
        <f aca="false">SUMIFS(PLANEJAMENTO_SEMANAL!$H$6:$H$2381,PLANEJAMENTO_SEMANAL!$F$6:$F$2381,$B24,PLANEJAMENTO_SEMANAL!$B$6:$B$2381,AK$7,PLANEJAMENTO_SEMANAL!$K$6:$K$2381,"&lt;&gt;SEM CULTURA")</f>
        <v>469.84</v>
      </c>
      <c r="AL24" s="18" t="n">
        <f aca="false">SUMIFS(PLANEJAMENTO_SEMANAL!$H$6:$H$2381,PLANEJAMENTO_SEMANAL!$F$6:$F$2381,$B24,PLANEJAMENTO_SEMANAL!$B$6:$B$2381,AL$7,PLANEJAMENTO_SEMANAL!$K$6:$K$2381,"&lt;&gt;SEM CULTURA")</f>
        <v>469.84</v>
      </c>
      <c r="AM24" s="18" t="n">
        <f aca="false">SUMIFS(PLANEJAMENTO_SEMANAL!$H$6:$H$2381,PLANEJAMENTO_SEMANAL!$F$6:$F$2381,$B24,PLANEJAMENTO_SEMANAL!$B$6:$B$2381,AM$7,PLANEJAMENTO_SEMANAL!$K$6:$K$2381,"&lt;&gt;SEM CULTURA")</f>
        <v>469.84</v>
      </c>
      <c r="AN24" s="18" t="n">
        <f aca="false">SUMIFS(PLANEJAMENTO_SEMANAL!$H$6:$H$2381,PLANEJAMENTO_SEMANAL!$F$6:$F$2381,$B24,PLANEJAMENTO_SEMANAL!$B$6:$B$2381,AN$7,PLANEJAMENTO_SEMANAL!$K$6:$K$2381,"&lt;&gt;SEM CULTURA")</f>
        <v>469.84</v>
      </c>
      <c r="AO24" s="18" t="n">
        <f aca="false">SUMIFS(PLANEJAMENTO_SEMANAL!$H$6:$H$2381,PLANEJAMENTO_SEMANAL!$F$6:$F$2381,$B24,PLANEJAMENTO_SEMANAL!$B$6:$B$2381,AO$7,PLANEJAMENTO_SEMANAL!$K$6:$K$2381,"&lt;&gt;SEM CULTURA")</f>
        <v>469.84</v>
      </c>
      <c r="AP24" s="18" t="n">
        <f aca="false">SUMIFS(PLANEJAMENTO_SEMANAL!$H$6:$H$2381,PLANEJAMENTO_SEMANAL!$F$6:$F$2381,$B24,PLANEJAMENTO_SEMANAL!$B$6:$B$2381,AP$7,PLANEJAMENTO_SEMANAL!$K$6:$K$2381,"&lt;&gt;SEM CULTURA")</f>
        <v>619.82</v>
      </c>
      <c r="AQ24" s="18" t="n">
        <f aca="false">SUMIFS(PLANEJAMENTO_SEMANAL!$H$6:$H$2381,PLANEJAMENTO_SEMANAL!$F$6:$F$2381,$B24,PLANEJAMENTO_SEMANAL!$B$6:$B$2381,AQ$7,PLANEJAMENTO_SEMANAL!$K$6:$K$2381,"&lt;&gt;SEM CULTURA")</f>
        <v>769.8</v>
      </c>
      <c r="AR24" s="18" t="n">
        <f aca="false">SUMIFS(PLANEJAMENTO_SEMANAL!$H$6:$H$2381,PLANEJAMENTO_SEMANAL!$F$6:$F$2381,$B24,PLANEJAMENTO_SEMANAL!$B$6:$B$2381,AR$7,PLANEJAMENTO_SEMANAL!$K$6:$K$2381,"&lt;&gt;SEM CULTURA")</f>
        <v>499.88</v>
      </c>
      <c r="AS24" s="18" t="n">
        <f aca="false">SUMIFS(PLANEJAMENTO_SEMANAL!$H$6:$H$2381,PLANEJAMENTO_SEMANAL!$F$6:$F$2381,$B24,PLANEJAMENTO_SEMANAL!$B$6:$B$2381,AS$7,PLANEJAMENTO_SEMANAL!$K$6:$K$2381,"&lt;&gt;SEM CULTURA")</f>
        <v>499.88</v>
      </c>
      <c r="AT24" s="18" t="n">
        <f aca="false">SUMIFS(PLANEJAMENTO_SEMANAL!$H$6:$H$2381,PLANEJAMENTO_SEMANAL!$F$6:$F$2381,$B24,PLANEJAMENTO_SEMANAL!$B$6:$B$2381,AT$7,PLANEJAMENTO_SEMANAL!$K$6:$K$2381,"&lt;&gt;SEM CULTURA")</f>
        <v>399.92</v>
      </c>
      <c r="AU24" s="18" t="n">
        <f aca="false">SUMIFS(PLANEJAMENTO_SEMANAL!$H$6:$H$2381,PLANEJAMENTO_SEMANAL!$F$6:$F$2381,$B24,PLANEJAMENTO_SEMANAL!$B$6:$B$2381,AU$7,PLANEJAMENTO_SEMANAL!$K$6:$K$2381,"&lt;&gt;SEM CULTURA")</f>
        <v>499.88</v>
      </c>
      <c r="AV24" s="18" t="n">
        <f aca="false">SUMIFS(PLANEJAMENTO_SEMANAL!$H$6:$H$2381,PLANEJAMENTO_SEMANAL!$F$6:$F$2381,$B24,PLANEJAMENTO_SEMANAL!$B$6:$B$2381,AV$7,PLANEJAMENTO_SEMANAL!$K$6:$K$2381,"&lt;&gt;SEM CULTURA")</f>
        <v>499.88</v>
      </c>
      <c r="AW24" s="18" t="n">
        <f aca="false">SUMIFS(PLANEJAMENTO_SEMANAL!$H$6:$H$2381,PLANEJAMENTO_SEMANAL!$F$6:$F$2381,$B24,PLANEJAMENTO_SEMANAL!$B$6:$B$2381,AW$7,PLANEJAMENTO_SEMANAL!$K$6:$K$2381,"&lt;&gt;SEM CULTURA")</f>
        <v>499.88</v>
      </c>
      <c r="AX24" s="18" t="n">
        <f aca="false">SUMIFS(PLANEJAMENTO_SEMANAL!$H$6:$H$2381,PLANEJAMENTO_SEMANAL!$F$6:$F$2381,$B24,PLANEJAMENTO_SEMANAL!$B$6:$B$2381,AX$7,PLANEJAMENTO_SEMANAL!$K$6:$K$2381,"&lt;&gt;SEM CULTURA")</f>
        <v>499.88</v>
      </c>
      <c r="AY24" s="18" t="n">
        <f aca="false">SUMIFS(PLANEJAMENTO_SEMANAL!$H$6:$H$2381,PLANEJAMENTO_SEMANAL!$F$6:$F$2381,$B24,PLANEJAMENTO_SEMANAL!$B$6:$B$2381,AY$7,PLANEJAMENTO_SEMANAL!$K$6:$K$2381,"&lt;&gt;SEM CULTURA")</f>
        <v>499.88</v>
      </c>
      <c r="AZ24" s="18" t="n">
        <f aca="false">SUMIFS(PLANEJAMENTO_SEMANAL!$H$6:$H$2381,PLANEJAMENTO_SEMANAL!$F$6:$F$2381,$B24,PLANEJAMENTO_SEMANAL!$B$6:$B$2381,AZ$7,PLANEJAMENTO_SEMANAL!$K$6:$K$2381,"&lt;&gt;SEM CULTURA")</f>
        <v>499.88</v>
      </c>
      <c r="BA24" s="18" t="n">
        <f aca="false">SUMIFS(PLANEJAMENTO_SEMANAL!$H$6:$H$2381,PLANEJAMENTO_SEMANAL!$F$6:$F$2381,$B24,PLANEJAMENTO_SEMANAL!$B$6:$B$2381,BA$7,PLANEJAMENTO_SEMANAL!$K$6:$K$2381,"&lt;&gt;SEM CULTURA")</f>
        <v>499.88</v>
      </c>
      <c r="BB24" s="18" t="n">
        <f aca="false">SUMIFS(PLANEJAMENTO_SEMANAL!$H$6:$H$2381,PLANEJAMENTO_SEMANAL!$F$6:$F$2381,$B24,PLANEJAMENTO_SEMANAL!$B$6:$B$2381,BB$7,PLANEJAMENTO_SEMANAL!$K$6:$K$2381,"&lt;&gt;SEM CULTURA")</f>
        <v>499.88</v>
      </c>
      <c r="BC24" s="18" t="n">
        <f aca="false">SUMIFS(PLANEJAMENTO_SEMANAL!$H$6:$H$2381,PLANEJAMENTO_SEMANAL!$F$6:$F$2381,$B24,PLANEJAMENTO_SEMANAL!$B$6:$B$2381,BC$7,PLANEJAMENTO_SEMANAL!$K$6:$K$2381,"&lt;&gt;SEM CULTURA")</f>
        <v>499.88</v>
      </c>
      <c r="BD24" s="18" t="n">
        <f aca="false">SUMIFS(PLANEJAMENTO_SEMANAL!$H$6:$H$2381,PLANEJAMENTO_SEMANAL!$F$6:$F$2381,$B24,PLANEJAMENTO_SEMANAL!$B$6:$B$2381,BD$7,PLANEJAMENTO_SEMANAL!$K$6:$K$2381,"&lt;&gt;SEM CULTURA")</f>
        <v>499.88</v>
      </c>
      <c r="BE24" s="18" t="n">
        <f aca="false">SUMIFS(PLANEJAMENTO_SEMANAL!$H$6:$H$2381,PLANEJAMENTO_SEMANAL!$F$6:$F$2381,$B24,PLANEJAMENTO_SEMANAL!$B$6:$B$2381,BE$7,PLANEJAMENTO_SEMANAL!$K$6:$K$2381,"&lt;&gt;SEM CULTURA")</f>
        <v>499.88</v>
      </c>
      <c r="BF24" s="18" t="n">
        <f aca="false">SUMIFS(PLANEJAMENTO_SEMANAL!$H$6:$H$2381,PLANEJAMENTO_SEMANAL!$F$6:$F$2381,$B24,PLANEJAMENTO_SEMANAL!$B$6:$B$2381,BF$7,PLANEJAMENTO_SEMANAL!$K$6:$K$2381,"&lt;&gt;SEM CULTURA")</f>
        <v>499.88</v>
      </c>
      <c r="BG24" s="18" t="n">
        <f aca="false">SUMIFS(PLANEJAMENTO_SEMANAL!$H$6:$H$2381,PLANEJAMENTO_SEMANAL!$F$6:$F$2381,$B24,PLANEJAMENTO_SEMANAL!$B$6:$B$2381,BG$7,PLANEJAMENTO_SEMANAL!$K$6:$K$2381,"&lt;&gt;SEM CULTURA")</f>
        <v>499.88</v>
      </c>
      <c r="BH24" s="18" t="n">
        <f aca="false">SUMIFS(PLANEJAMENTO_SEMANAL!$H$6:$H$2381,PLANEJAMENTO_SEMANAL!$F$6:$F$2381,$B24,PLANEJAMENTO_SEMANAL!$B$6:$B$2381,BH$7,PLANEJAMENTO_SEMANAL!$K$6:$K$2381,"&lt;&gt;SEM CULTURA")</f>
        <v>499.88</v>
      </c>
      <c r="BI24" s="18" t="n">
        <f aca="false">SUMIFS(PLANEJAMENTO_SEMANAL!$H$6:$H$2381,PLANEJAMENTO_SEMANAL!$F$6:$F$2381,$B24,PLANEJAMENTO_SEMANAL!$B$6:$B$2381,BI$7,PLANEJAMENTO_SEMANAL!$K$6:$K$2381,"&lt;&gt;SEM CULTURA")</f>
        <v>499.88</v>
      </c>
      <c r="BJ24" s="18" t="n">
        <f aca="false">SUMIFS(PLANEJAMENTO_SEMANAL!$H$6:$H$2381,PLANEJAMENTO_SEMANAL!$F$6:$F$2381,$B24,PLANEJAMENTO_SEMANAL!$B$6:$B$2381,BJ$7,PLANEJAMENTO_SEMANAL!$K$6:$K$2381,"&lt;&gt;SEM CULTURA")</f>
        <v>499.88</v>
      </c>
      <c r="BK24" s="18" t="n">
        <f aca="false">SUMIFS(PLANEJAMENTO_SEMANAL!$H$6:$H$2381,PLANEJAMENTO_SEMANAL!$F$6:$F$2381,$B24,PLANEJAMENTO_SEMANAL!$B$6:$B$2381,BK$7,PLANEJAMENTO_SEMANAL!$K$6:$K$2381,"&lt;&gt;SEM CULTURA")</f>
        <v>199.92</v>
      </c>
      <c r="BL24" s="18" t="n">
        <f aca="false">SUMIFS(PLANEJAMENTO_SEMANAL!$H$6:$H$2381,PLANEJAMENTO_SEMANAL!$F$6:$F$2381,$B24,PLANEJAMENTO_SEMANAL!$B$6:$B$2381,BL$7,PLANEJAMENTO_SEMANAL!$K$6:$K$2381,"&lt;&gt;SEM CULTURA")</f>
        <v>199.92</v>
      </c>
      <c r="BM24" s="18" t="n">
        <f aca="false">SUMIFS(PLANEJAMENTO_SEMANAL!$H$6:$H$2381,PLANEJAMENTO_SEMANAL!$F$6:$F$2381,$B24,PLANEJAMENTO_SEMANAL!$B$6:$B$2381,BM$7,PLANEJAMENTO_SEMANAL!$K$6:$K$2381,"&lt;&gt;SEM CULTURA")</f>
        <v>199.92</v>
      </c>
      <c r="BN24" s="18" t="n">
        <f aca="false">SUMIFS(PLANEJAMENTO_SEMANAL!$H$6:$H$2381,PLANEJAMENTO_SEMANAL!$F$6:$F$2381,$B24,PLANEJAMENTO_SEMANAL!$B$6:$B$2381,BN$7,PLANEJAMENTO_SEMANAL!$K$6:$K$2381,"&lt;&gt;SEM CULTURA")</f>
        <v>199.92</v>
      </c>
      <c r="BO24" s="18" t="n">
        <f aca="false">SUMIFS(PLANEJAMENTO_SEMANAL!$H$6:$H$2381,PLANEJAMENTO_SEMANAL!$F$6:$F$2381,$B24,PLANEJAMENTO_SEMANAL!$B$6:$B$2381,BO$7,PLANEJAMENTO_SEMANAL!$K$6:$K$2381,"&lt;&gt;SEM CULTURA")</f>
        <v>0</v>
      </c>
      <c r="BP24" s="18" t="n">
        <f aca="false">SUMIFS(PLANEJAMENTO_SEMANAL!$H$6:$H$2381,PLANEJAMENTO_SEMANAL!$F$6:$F$2381,$B24,PLANEJAMENTO_SEMANAL!$B$6:$B$2381,BP$7,PLANEJAMENTO_SEMANAL!$K$6:$K$2381,"&lt;&gt;SEM CULTURA")</f>
        <v>0</v>
      </c>
      <c r="BQ24" s="18" t="n">
        <f aca="false">MAX(C24:BP24)</f>
        <v>769.8</v>
      </c>
    </row>
    <row r="25" customFormat="false" ht="15" hidden="false" customHeight="false" outlineLevel="0" collapsed="false">
      <c r="B25" s="15" t="s">
        <v>133</v>
      </c>
      <c r="C25" s="18" t="n">
        <f aca="false">SUMIFS(PLANEJAMENTO_SEMANAL!$H$6:$H$2381,PLANEJAMENTO_SEMANAL!$F$6:$F$2381,$B25,PLANEJAMENTO_SEMANAL!$B$6:$B$2381,C$7,PLANEJAMENTO_SEMANAL!$K$6:$K$2381,"&lt;&gt;SEM CULTURA")</f>
        <v>449.43</v>
      </c>
      <c r="D25" s="18" t="n">
        <f aca="false">SUMIFS(PLANEJAMENTO_SEMANAL!$H$6:$H$2381,PLANEJAMENTO_SEMANAL!$F$6:$F$2381,$B25,PLANEJAMENTO_SEMANAL!$B$6:$B$2381,D$7,PLANEJAMENTO_SEMANAL!$K$6:$K$2381,"&lt;&gt;SEM CULTURA")</f>
        <v>299.49</v>
      </c>
      <c r="E25" s="18" t="n">
        <f aca="false">SUMIFS(PLANEJAMENTO_SEMANAL!$H$6:$H$2381,PLANEJAMENTO_SEMANAL!$F$6:$F$2381,$B25,PLANEJAMENTO_SEMANAL!$B$6:$B$2381,E$7,PLANEJAMENTO_SEMANAL!$K$6:$K$2381,"&lt;&gt;SEM CULTURA")</f>
        <v>149.94</v>
      </c>
      <c r="F25" s="18" t="n">
        <f aca="false">SUMIFS(PLANEJAMENTO_SEMANAL!$H$6:$H$2381,PLANEJAMENTO_SEMANAL!$F$6:$F$2381,$B25,PLANEJAMENTO_SEMANAL!$B$6:$B$2381,F$7,PLANEJAMENTO_SEMANAL!$K$6:$K$2381,"&lt;&gt;SEM CULTURA")</f>
        <v>149.94</v>
      </c>
      <c r="G25" s="18" t="n">
        <f aca="false">SUMIFS(PLANEJAMENTO_SEMANAL!$H$6:$H$2381,PLANEJAMENTO_SEMANAL!$F$6:$F$2381,$B25,PLANEJAMENTO_SEMANAL!$B$6:$B$2381,G$7,PLANEJAMENTO_SEMANAL!$K$6:$K$2381,"&lt;&gt;SEM CULTURA")</f>
        <v>149.94</v>
      </c>
      <c r="H25" s="18" t="n">
        <f aca="false">SUMIFS(PLANEJAMENTO_SEMANAL!$H$6:$H$2381,PLANEJAMENTO_SEMANAL!$F$6:$F$2381,$B25,PLANEJAMENTO_SEMANAL!$B$6:$B$2381,H$7,PLANEJAMENTO_SEMANAL!$K$6:$K$2381,"&lt;&gt;SEM CULTURA")</f>
        <v>149.94</v>
      </c>
      <c r="I25" s="18" t="n">
        <f aca="false">SUMIFS(PLANEJAMENTO_SEMANAL!$H$6:$H$2381,PLANEJAMENTO_SEMANAL!$F$6:$F$2381,$B25,PLANEJAMENTO_SEMANAL!$B$6:$B$2381,I$7,PLANEJAMENTO_SEMANAL!$K$6:$K$2381,"&lt;&gt;SEM CULTURA")</f>
        <v>249.42</v>
      </c>
      <c r="J25" s="18" t="n">
        <f aca="false">SUMIFS(PLANEJAMENTO_SEMANAL!$H$6:$H$2381,PLANEJAMENTO_SEMANAL!$F$6:$F$2381,$B25,PLANEJAMENTO_SEMANAL!$B$6:$B$2381,J$7,PLANEJAMENTO_SEMANAL!$K$6:$K$2381,"&lt;&gt;SEM CULTURA")</f>
        <v>249.42</v>
      </c>
      <c r="K25" s="18" t="n">
        <f aca="false">SUMIFS(PLANEJAMENTO_SEMANAL!$H$6:$H$2381,PLANEJAMENTO_SEMANAL!$F$6:$F$2381,$B25,PLANEJAMENTO_SEMANAL!$B$6:$B$2381,K$7,PLANEJAMENTO_SEMANAL!$K$6:$K$2381,"&lt;&gt;SEM CULTURA")</f>
        <v>249.42</v>
      </c>
      <c r="L25" s="18" t="n">
        <f aca="false">SUMIFS(PLANEJAMENTO_SEMANAL!$H$6:$H$2381,PLANEJAMENTO_SEMANAL!$F$6:$F$2381,$B25,PLANEJAMENTO_SEMANAL!$B$6:$B$2381,L$7,PLANEJAMENTO_SEMANAL!$K$6:$K$2381,"&lt;&gt;SEM CULTURA")</f>
        <v>99.48</v>
      </c>
      <c r="M25" s="18" t="n">
        <f aca="false">SUMIFS(PLANEJAMENTO_SEMANAL!$H$6:$H$2381,PLANEJAMENTO_SEMANAL!$F$6:$F$2381,$B25,PLANEJAMENTO_SEMANAL!$B$6:$B$2381,M$7,PLANEJAMENTO_SEMANAL!$K$6:$K$2381,"&lt;&gt;SEM CULTURA")</f>
        <v>99.48</v>
      </c>
      <c r="N25" s="18" t="n">
        <f aca="false">SUMIFS(PLANEJAMENTO_SEMANAL!$H$6:$H$2381,PLANEJAMENTO_SEMANAL!$F$6:$F$2381,$B25,PLANEJAMENTO_SEMANAL!$B$6:$B$2381,N$7,PLANEJAMENTO_SEMANAL!$K$6:$K$2381,"&lt;&gt;SEM CULTURA")</f>
        <v>239.42</v>
      </c>
      <c r="O25" s="18" t="n">
        <f aca="false">SUMIFS(PLANEJAMENTO_SEMANAL!$H$6:$H$2381,PLANEJAMENTO_SEMANAL!$F$6:$F$2381,$B25,PLANEJAMENTO_SEMANAL!$B$6:$B$2381,O$7,PLANEJAMENTO_SEMANAL!$K$6:$K$2381,"&lt;&gt;SEM CULTURA")</f>
        <v>239.42</v>
      </c>
      <c r="P25" s="18" t="n">
        <f aca="false">SUMIFS(PLANEJAMENTO_SEMANAL!$H$6:$H$2381,PLANEJAMENTO_SEMANAL!$F$6:$F$2381,$B25,PLANEJAMENTO_SEMANAL!$B$6:$B$2381,P$7,PLANEJAMENTO_SEMANAL!$K$6:$K$2381,"&lt;&gt;SEM CULTURA")</f>
        <v>688.85</v>
      </c>
      <c r="Q25" s="18" t="n">
        <f aca="false">SUMIFS(PLANEJAMENTO_SEMANAL!$H$6:$H$2381,PLANEJAMENTO_SEMANAL!$F$6:$F$2381,$B25,PLANEJAMENTO_SEMANAL!$B$6:$B$2381,Q$7,PLANEJAMENTO_SEMANAL!$K$6:$K$2381,"&lt;&gt;SEM CULTURA")</f>
        <v>688.85</v>
      </c>
      <c r="R25" s="18" t="n">
        <f aca="false">SUMIFS(PLANEJAMENTO_SEMANAL!$H$6:$H$2381,PLANEJAMENTO_SEMANAL!$F$6:$F$2381,$B25,PLANEJAMENTO_SEMANAL!$B$6:$B$2381,R$7,PLANEJAMENTO_SEMANAL!$K$6:$K$2381,"&lt;&gt;SEM CULTURA")</f>
        <v>688.85</v>
      </c>
      <c r="S25" s="18" t="n">
        <f aca="false">SUMIFS(PLANEJAMENTO_SEMANAL!$H$6:$H$2381,PLANEJAMENTO_SEMANAL!$F$6:$F$2381,$B25,PLANEJAMENTO_SEMANAL!$B$6:$B$2381,S$7,PLANEJAMENTO_SEMANAL!$K$6:$K$2381,"&lt;&gt;SEM CULTURA")</f>
        <v>838.79</v>
      </c>
      <c r="T25" s="18" t="n">
        <f aca="false">SUMIFS(PLANEJAMENTO_SEMANAL!$H$6:$H$2381,PLANEJAMENTO_SEMANAL!$F$6:$F$2381,$B25,PLANEJAMENTO_SEMANAL!$B$6:$B$2381,T$7,PLANEJAMENTO_SEMANAL!$K$6:$K$2381,"&lt;&gt;SEM CULTURA")</f>
        <v>838.79</v>
      </c>
      <c r="U25" s="18" t="n">
        <f aca="false">SUMIFS(PLANEJAMENTO_SEMANAL!$H$6:$H$2381,PLANEJAMENTO_SEMANAL!$F$6:$F$2381,$B25,PLANEJAMENTO_SEMANAL!$B$6:$B$2381,U$7,PLANEJAMENTO_SEMANAL!$K$6:$K$2381,"&lt;&gt;SEM CULTURA")</f>
        <v>985.28</v>
      </c>
      <c r="V25" s="18" t="n">
        <f aca="false">SUMIFS(PLANEJAMENTO_SEMANAL!$H$6:$H$2381,PLANEJAMENTO_SEMANAL!$F$6:$F$2381,$B25,PLANEJAMENTO_SEMANAL!$B$6:$B$2381,V$7,PLANEJAMENTO_SEMANAL!$K$6:$K$2381,"&lt;&gt;SEM CULTURA")</f>
        <v>985.28</v>
      </c>
      <c r="W25" s="18" t="n">
        <f aca="false">SUMIFS(PLANEJAMENTO_SEMANAL!$H$6:$H$2381,PLANEJAMENTO_SEMANAL!$F$6:$F$2381,$B25,PLANEJAMENTO_SEMANAL!$B$6:$B$2381,W$7,PLANEJAMENTO_SEMANAL!$K$6:$K$2381,"&lt;&gt;SEM CULTURA")</f>
        <v>985.28</v>
      </c>
      <c r="X25" s="18" t="n">
        <f aca="false">SUMIFS(PLANEJAMENTO_SEMANAL!$H$6:$H$2381,PLANEJAMENTO_SEMANAL!$F$6:$F$2381,$B25,PLANEJAMENTO_SEMANAL!$B$6:$B$2381,X$7,PLANEJAMENTO_SEMANAL!$K$6:$K$2381,"&lt;&gt;SEM CULTURA")</f>
        <v>985.28</v>
      </c>
      <c r="Y25" s="18" t="n">
        <f aca="false">SUMIFS(PLANEJAMENTO_SEMANAL!$H$6:$H$2381,PLANEJAMENTO_SEMANAL!$F$6:$F$2381,$B25,PLANEJAMENTO_SEMANAL!$B$6:$B$2381,Y$7,PLANEJAMENTO_SEMANAL!$K$6:$K$2381,"&lt;&gt;SEM CULTURA")</f>
        <v>985.28</v>
      </c>
      <c r="Z25" s="18" t="n">
        <f aca="false">SUMIFS(PLANEJAMENTO_SEMANAL!$H$6:$H$2381,PLANEJAMENTO_SEMANAL!$F$6:$F$2381,$B25,PLANEJAMENTO_SEMANAL!$B$6:$B$2381,Z$7,PLANEJAMENTO_SEMANAL!$K$6:$K$2381,"&lt;&gt;SEM CULTURA")</f>
        <v>985.28</v>
      </c>
      <c r="AA25" s="18" t="n">
        <f aca="false">SUMIFS(PLANEJAMENTO_SEMANAL!$H$6:$H$2381,PLANEJAMENTO_SEMANAL!$F$6:$F$2381,$B25,PLANEJAMENTO_SEMANAL!$B$6:$B$2381,AA$7,PLANEJAMENTO_SEMANAL!$K$6:$K$2381,"&lt;&gt;SEM CULTURA")</f>
        <v>985.28</v>
      </c>
      <c r="AB25" s="18" t="n">
        <f aca="false">SUMIFS(PLANEJAMENTO_SEMANAL!$H$6:$H$2381,PLANEJAMENTO_SEMANAL!$F$6:$F$2381,$B25,PLANEJAMENTO_SEMANAL!$B$6:$B$2381,AB$7,PLANEJAMENTO_SEMANAL!$K$6:$K$2381,"&lt;&gt;SEM CULTURA")</f>
        <v>985.28</v>
      </c>
      <c r="AC25" s="18" t="n">
        <f aca="false">SUMIFS(PLANEJAMENTO_SEMANAL!$H$6:$H$2381,PLANEJAMENTO_SEMANAL!$F$6:$F$2381,$B25,PLANEJAMENTO_SEMANAL!$B$6:$B$2381,AC$7,PLANEJAMENTO_SEMANAL!$K$6:$K$2381,"&lt;&gt;SEM CULTURA")</f>
        <v>985.28</v>
      </c>
      <c r="AD25" s="18" t="n">
        <f aca="false">SUMIFS(PLANEJAMENTO_SEMANAL!$H$6:$H$2381,PLANEJAMENTO_SEMANAL!$F$6:$F$2381,$B25,PLANEJAMENTO_SEMANAL!$B$6:$B$2381,AD$7,PLANEJAMENTO_SEMANAL!$K$6:$K$2381,"&lt;&gt;SEM CULTURA")</f>
        <v>985.28</v>
      </c>
      <c r="AE25" s="18" t="n">
        <f aca="false">SUMIFS(PLANEJAMENTO_SEMANAL!$H$6:$H$2381,PLANEJAMENTO_SEMANAL!$F$6:$F$2381,$B25,PLANEJAMENTO_SEMANAL!$B$6:$B$2381,AE$7,PLANEJAMENTO_SEMANAL!$K$6:$K$2381,"&lt;&gt;SEM CULTURA")</f>
        <v>985.28</v>
      </c>
      <c r="AF25" s="18" t="n">
        <f aca="false">SUMIFS(PLANEJAMENTO_SEMANAL!$H$6:$H$2381,PLANEJAMENTO_SEMANAL!$F$6:$F$2381,$B25,PLANEJAMENTO_SEMANAL!$B$6:$B$2381,AF$7,PLANEJAMENTO_SEMANAL!$K$6:$K$2381,"&lt;&gt;SEM CULTURA")</f>
        <v>985.28</v>
      </c>
      <c r="AG25" s="18" t="n">
        <f aca="false">SUMIFS(PLANEJAMENTO_SEMANAL!$H$6:$H$2381,PLANEJAMENTO_SEMANAL!$F$6:$F$2381,$B25,PLANEJAMENTO_SEMANAL!$B$6:$B$2381,AG$7,PLANEJAMENTO_SEMANAL!$K$6:$K$2381,"&lt;&gt;SEM CULTURA")</f>
        <v>985.28</v>
      </c>
      <c r="AH25" s="18" t="n">
        <f aca="false">SUMIFS(PLANEJAMENTO_SEMANAL!$H$6:$H$2381,PLANEJAMENTO_SEMANAL!$F$6:$F$2381,$B25,PLANEJAMENTO_SEMANAL!$B$6:$B$2381,AH$7,PLANEJAMENTO_SEMANAL!$K$6:$K$2381,"&lt;&gt;SEM CULTURA")</f>
        <v>985.28</v>
      </c>
      <c r="AI25" s="18" t="n">
        <f aca="false">SUMIFS(PLANEJAMENTO_SEMANAL!$H$6:$H$2381,PLANEJAMENTO_SEMANAL!$F$6:$F$2381,$B25,PLANEJAMENTO_SEMANAL!$B$6:$B$2381,AI$7,PLANEJAMENTO_SEMANAL!$K$6:$K$2381,"&lt;&gt;SEM CULTURA")</f>
        <v>985.28</v>
      </c>
      <c r="AJ25" s="18" t="n">
        <f aca="false">SUMIFS(PLANEJAMENTO_SEMANAL!$H$6:$H$2381,PLANEJAMENTO_SEMANAL!$F$6:$F$2381,$B25,PLANEJAMENTO_SEMANAL!$B$6:$B$2381,AJ$7,PLANEJAMENTO_SEMANAL!$K$6:$K$2381,"&lt;&gt;SEM CULTURA")</f>
        <v>985.28</v>
      </c>
      <c r="AK25" s="18" t="n">
        <f aca="false">SUMIFS(PLANEJAMENTO_SEMANAL!$H$6:$H$2381,PLANEJAMENTO_SEMANAL!$F$6:$F$2381,$B25,PLANEJAMENTO_SEMANAL!$B$6:$B$2381,AK$7,PLANEJAMENTO_SEMANAL!$K$6:$K$2381,"&lt;&gt;SEM CULTURA")</f>
        <v>845.34</v>
      </c>
      <c r="AL25" s="18" t="n">
        <f aca="false">SUMIFS(PLANEJAMENTO_SEMANAL!$H$6:$H$2381,PLANEJAMENTO_SEMANAL!$F$6:$F$2381,$B25,PLANEJAMENTO_SEMANAL!$B$6:$B$2381,AL$7,PLANEJAMENTO_SEMANAL!$K$6:$K$2381,"&lt;&gt;SEM CULTURA")</f>
        <v>845.34</v>
      </c>
      <c r="AM25" s="18" t="n">
        <f aca="false">SUMIFS(PLANEJAMENTO_SEMANAL!$H$6:$H$2381,PLANEJAMENTO_SEMANAL!$F$6:$F$2381,$B25,PLANEJAMENTO_SEMANAL!$B$6:$B$2381,AM$7,PLANEJAMENTO_SEMANAL!$K$6:$K$2381,"&lt;&gt;SEM CULTURA")</f>
        <v>985.28</v>
      </c>
      <c r="AN25" s="18" t="n">
        <f aca="false">SUMIFS(PLANEJAMENTO_SEMANAL!$H$6:$H$2381,PLANEJAMENTO_SEMANAL!$F$6:$F$2381,$B25,PLANEJAMENTO_SEMANAL!$B$6:$B$2381,AN$7,PLANEJAMENTO_SEMANAL!$K$6:$K$2381,"&lt;&gt;SEM CULTURA")</f>
        <v>985.28</v>
      </c>
      <c r="AO25" s="18" t="n">
        <f aca="false">SUMIFS(PLANEJAMENTO_SEMANAL!$H$6:$H$2381,PLANEJAMENTO_SEMANAL!$F$6:$F$2381,$B25,PLANEJAMENTO_SEMANAL!$B$6:$B$2381,AO$7,PLANEJAMENTO_SEMANAL!$K$6:$K$2381,"&lt;&gt;SEM CULTURA")</f>
        <v>985.28</v>
      </c>
      <c r="AP25" s="18" t="n">
        <f aca="false">SUMIFS(PLANEJAMENTO_SEMANAL!$H$6:$H$2381,PLANEJAMENTO_SEMANAL!$F$6:$F$2381,$B25,PLANEJAMENTO_SEMANAL!$B$6:$B$2381,AP$7,PLANEJAMENTO_SEMANAL!$K$6:$K$2381,"&lt;&gt;SEM CULTURA")</f>
        <v>835.34</v>
      </c>
      <c r="AQ25" s="18" t="n">
        <f aca="false">SUMIFS(PLANEJAMENTO_SEMANAL!$H$6:$H$2381,PLANEJAMENTO_SEMANAL!$F$6:$F$2381,$B25,PLANEJAMENTO_SEMANAL!$B$6:$B$2381,AQ$7,PLANEJAMENTO_SEMANAL!$K$6:$K$2381,"&lt;&gt;SEM CULTURA")</f>
        <v>835.34</v>
      </c>
      <c r="AR25" s="18" t="n">
        <f aca="false">SUMIFS(PLANEJAMENTO_SEMANAL!$H$6:$H$2381,PLANEJAMENTO_SEMANAL!$F$6:$F$2381,$B25,PLANEJAMENTO_SEMANAL!$B$6:$B$2381,AR$7,PLANEJAMENTO_SEMANAL!$K$6:$K$2381,"&lt;&gt;SEM CULTURA")</f>
        <v>539.3</v>
      </c>
      <c r="AS25" s="18" t="n">
        <f aca="false">SUMIFS(PLANEJAMENTO_SEMANAL!$H$6:$H$2381,PLANEJAMENTO_SEMANAL!$F$6:$F$2381,$B25,PLANEJAMENTO_SEMANAL!$B$6:$B$2381,AS$7,PLANEJAMENTO_SEMANAL!$K$6:$K$2381,"&lt;&gt;SEM CULTURA")</f>
        <v>685.79</v>
      </c>
      <c r="AT25" s="18" t="n">
        <f aca="false">SUMIFS(PLANEJAMENTO_SEMANAL!$H$6:$H$2381,PLANEJAMENTO_SEMANAL!$F$6:$F$2381,$B25,PLANEJAMENTO_SEMANAL!$B$6:$B$2381,AT$7,PLANEJAMENTO_SEMANAL!$K$6:$K$2381,"&lt;&gt;SEM CULTURA")</f>
        <v>535.85</v>
      </c>
      <c r="AU25" s="18" t="n">
        <f aca="false">SUMIFS(PLANEJAMENTO_SEMANAL!$H$6:$H$2381,PLANEJAMENTO_SEMANAL!$F$6:$F$2381,$B25,PLANEJAMENTO_SEMANAL!$B$6:$B$2381,AU$7,PLANEJAMENTO_SEMANAL!$K$6:$K$2381,"&lt;&gt;SEM CULTURA")</f>
        <v>535.85</v>
      </c>
      <c r="AV25" s="18" t="n">
        <f aca="false">SUMIFS(PLANEJAMENTO_SEMANAL!$H$6:$H$2381,PLANEJAMENTO_SEMANAL!$F$6:$F$2381,$B25,PLANEJAMENTO_SEMANAL!$B$6:$B$2381,AV$7,PLANEJAMENTO_SEMANAL!$K$6:$K$2381,"&lt;&gt;SEM CULTURA")</f>
        <v>535.85</v>
      </c>
      <c r="AW25" s="18" t="n">
        <f aca="false">SUMIFS(PLANEJAMENTO_SEMANAL!$H$6:$H$2381,PLANEJAMENTO_SEMANAL!$F$6:$F$2381,$B25,PLANEJAMENTO_SEMANAL!$B$6:$B$2381,AW$7,PLANEJAMENTO_SEMANAL!$K$6:$K$2381,"&lt;&gt;SEM CULTURA")</f>
        <v>535.85</v>
      </c>
      <c r="AX25" s="18" t="n">
        <f aca="false">SUMIFS(PLANEJAMENTO_SEMANAL!$H$6:$H$2381,PLANEJAMENTO_SEMANAL!$F$6:$F$2381,$B25,PLANEJAMENTO_SEMANAL!$B$6:$B$2381,AX$7,PLANEJAMENTO_SEMANAL!$K$6:$K$2381,"&lt;&gt;SEM CULTURA")</f>
        <v>535.85</v>
      </c>
      <c r="AY25" s="18" t="n">
        <f aca="false">SUMIFS(PLANEJAMENTO_SEMANAL!$H$6:$H$2381,PLANEJAMENTO_SEMANAL!$F$6:$F$2381,$B25,PLANEJAMENTO_SEMANAL!$B$6:$B$2381,AY$7,PLANEJAMENTO_SEMANAL!$K$6:$K$2381,"&lt;&gt;SEM CULTURA")</f>
        <v>535.85</v>
      </c>
      <c r="AZ25" s="18" t="n">
        <f aca="false">SUMIFS(PLANEJAMENTO_SEMANAL!$H$6:$H$2381,PLANEJAMENTO_SEMANAL!$F$6:$F$2381,$B25,PLANEJAMENTO_SEMANAL!$B$6:$B$2381,AZ$7,PLANEJAMENTO_SEMANAL!$K$6:$K$2381,"&lt;&gt;SEM CULTURA")</f>
        <v>436.37</v>
      </c>
      <c r="BA25" s="18" t="n">
        <f aca="false">SUMIFS(PLANEJAMENTO_SEMANAL!$H$6:$H$2381,PLANEJAMENTO_SEMANAL!$F$6:$F$2381,$B25,PLANEJAMENTO_SEMANAL!$B$6:$B$2381,BA$7,PLANEJAMENTO_SEMANAL!$K$6:$K$2381,"&lt;&gt;SEM CULTURA")</f>
        <v>436.37</v>
      </c>
      <c r="BB25" s="18" t="n">
        <f aca="false">SUMIFS(PLANEJAMENTO_SEMANAL!$H$6:$H$2381,PLANEJAMENTO_SEMANAL!$F$6:$F$2381,$B25,PLANEJAMENTO_SEMANAL!$B$6:$B$2381,BB$7,PLANEJAMENTO_SEMANAL!$K$6:$K$2381,"&lt;&gt;SEM CULTURA")</f>
        <v>436.37</v>
      </c>
      <c r="BC25" s="18" t="n">
        <f aca="false">SUMIFS(PLANEJAMENTO_SEMANAL!$H$6:$H$2381,PLANEJAMENTO_SEMANAL!$F$6:$F$2381,$B25,PLANEJAMENTO_SEMANAL!$B$6:$B$2381,BC$7,PLANEJAMENTO_SEMANAL!$K$6:$K$2381,"&lt;&gt;SEM CULTURA")</f>
        <v>436.37</v>
      </c>
      <c r="BD25" s="18" t="n">
        <f aca="false">SUMIFS(PLANEJAMENTO_SEMANAL!$H$6:$H$2381,PLANEJAMENTO_SEMANAL!$F$6:$F$2381,$B25,PLANEJAMENTO_SEMANAL!$B$6:$B$2381,BD$7,PLANEJAMENTO_SEMANAL!$K$6:$K$2381,"&lt;&gt;SEM CULTURA")</f>
        <v>436.37</v>
      </c>
      <c r="BE25" s="18" t="n">
        <f aca="false">SUMIFS(PLANEJAMENTO_SEMANAL!$H$6:$H$2381,PLANEJAMENTO_SEMANAL!$F$6:$F$2381,$B25,PLANEJAMENTO_SEMANAL!$B$6:$B$2381,BE$7,PLANEJAMENTO_SEMANAL!$K$6:$K$2381,"&lt;&gt;SEM CULTURA")</f>
        <v>436.37</v>
      </c>
      <c r="BF25" s="18" t="n">
        <f aca="false">SUMIFS(PLANEJAMENTO_SEMANAL!$H$6:$H$2381,PLANEJAMENTO_SEMANAL!$F$6:$F$2381,$B25,PLANEJAMENTO_SEMANAL!$B$6:$B$2381,BF$7,PLANEJAMENTO_SEMANAL!$K$6:$K$2381,"&lt;&gt;SEM CULTURA")</f>
        <v>436.37</v>
      </c>
      <c r="BG25" s="18" t="n">
        <f aca="false">SUMIFS(PLANEJAMENTO_SEMANAL!$H$6:$H$2381,PLANEJAMENTO_SEMANAL!$F$6:$F$2381,$B25,PLANEJAMENTO_SEMANAL!$B$6:$B$2381,BG$7,PLANEJAMENTO_SEMANAL!$K$6:$K$2381,"&lt;&gt;SEM CULTURA")</f>
        <v>436.37</v>
      </c>
      <c r="BH25" s="18" t="n">
        <f aca="false">SUMIFS(PLANEJAMENTO_SEMANAL!$H$6:$H$2381,PLANEJAMENTO_SEMANAL!$F$6:$F$2381,$B25,PLANEJAMENTO_SEMANAL!$B$6:$B$2381,BH$7,PLANEJAMENTO_SEMANAL!$K$6:$K$2381,"&lt;&gt;SEM CULTURA")</f>
        <v>436.37</v>
      </c>
      <c r="BI25" s="18" t="n">
        <f aca="false">SUMIFS(PLANEJAMENTO_SEMANAL!$H$6:$H$2381,PLANEJAMENTO_SEMANAL!$F$6:$F$2381,$B25,PLANEJAMENTO_SEMANAL!$B$6:$B$2381,BI$7,PLANEJAMENTO_SEMANAL!$K$6:$K$2381,"&lt;&gt;SEM CULTURA")</f>
        <v>436.37</v>
      </c>
      <c r="BJ25" s="18" t="n">
        <f aca="false">SUMIFS(PLANEJAMENTO_SEMANAL!$H$6:$H$2381,PLANEJAMENTO_SEMANAL!$F$6:$F$2381,$B25,PLANEJAMENTO_SEMANAL!$B$6:$B$2381,BJ$7,PLANEJAMENTO_SEMANAL!$K$6:$K$2381,"&lt;&gt;SEM CULTURA")</f>
        <v>296.43</v>
      </c>
      <c r="BK25" s="18" t="n">
        <f aca="false">SUMIFS(PLANEJAMENTO_SEMANAL!$H$6:$H$2381,PLANEJAMENTO_SEMANAL!$F$6:$F$2381,$B25,PLANEJAMENTO_SEMANAL!$B$6:$B$2381,BK$7,PLANEJAMENTO_SEMANAL!$K$6:$K$2381,"&lt;&gt;SEM CULTURA")</f>
        <v>296.43</v>
      </c>
      <c r="BL25" s="18" t="n">
        <f aca="false">SUMIFS(PLANEJAMENTO_SEMANAL!$H$6:$H$2381,PLANEJAMENTO_SEMANAL!$F$6:$F$2381,$B25,PLANEJAMENTO_SEMANAL!$B$6:$B$2381,BL$7,PLANEJAMENTO_SEMANAL!$K$6:$K$2381,"&lt;&gt;SEM CULTURA")</f>
        <v>296.43</v>
      </c>
      <c r="BM25" s="18" t="n">
        <f aca="false">SUMIFS(PLANEJAMENTO_SEMANAL!$H$6:$H$2381,PLANEJAMENTO_SEMANAL!$F$6:$F$2381,$B25,PLANEJAMENTO_SEMANAL!$B$6:$B$2381,BM$7,PLANEJAMENTO_SEMANAL!$K$6:$K$2381,"&lt;&gt;SEM CULTURA")</f>
        <v>296.43</v>
      </c>
      <c r="BN25" s="18" t="n">
        <f aca="false">SUMIFS(PLANEJAMENTO_SEMANAL!$H$6:$H$2381,PLANEJAMENTO_SEMANAL!$F$6:$F$2381,$B25,PLANEJAMENTO_SEMANAL!$B$6:$B$2381,BN$7,PLANEJAMENTO_SEMANAL!$K$6:$K$2381,"&lt;&gt;SEM CULTURA")</f>
        <v>296.43</v>
      </c>
      <c r="BO25" s="18" t="n">
        <f aca="false">SUMIFS(PLANEJAMENTO_SEMANAL!$H$6:$H$2381,PLANEJAMENTO_SEMANAL!$F$6:$F$2381,$B25,PLANEJAMENTO_SEMANAL!$B$6:$B$2381,BO$7,PLANEJAMENTO_SEMANAL!$K$6:$K$2381,"&lt;&gt;SEM CULTURA")</f>
        <v>146.49</v>
      </c>
      <c r="BP25" s="18" t="n">
        <f aca="false">SUMIFS(PLANEJAMENTO_SEMANAL!$H$6:$H$2381,PLANEJAMENTO_SEMANAL!$F$6:$F$2381,$B25,PLANEJAMENTO_SEMANAL!$B$6:$B$2381,BP$7,PLANEJAMENTO_SEMANAL!$K$6:$K$2381,"&lt;&gt;SEM CULTURA")</f>
        <v>0</v>
      </c>
      <c r="BQ25" s="18" t="n">
        <f aca="false">MAX(C25:BP25)</f>
        <v>985.28</v>
      </c>
    </row>
    <row r="26" customFormat="false" ht="15" hidden="false" customHeight="false" outlineLevel="0" collapsed="false">
      <c r="B26" s="15" t="s">
        <v>134</v>
      </c>
      <c r="C26" s="18" t="n">
        <f aca="false">SUMIFS(PLANEJAMENTO_SEMANAL!$H$6:$H$2381,PLANEJAMENTO_SEMANAL!$F$6:$F$2381,$B26,PLANEJAMENTO_SEMANAL!$B$6:$B$2381,C$7,PLANEJAMENTO_SEMANAL!$K$6:$K$2381,"&lt;&gt;SEM CULTURA")</f>
        <v>498.88</v>
      </c>
      <c r="D26" s="18" t="n">
        <f aca="false">SUMIFS(PLANEJAMENTO_SEMANAL!$H$6:$H$2381,PLANEJAMENTO_SEMANAL!$F$6:$F$2381,$B26,PLANEJAMENTO_SEMANAL!$B$6:$B$2381,D$7,PLANEJAMENTO_SEMANAL!$K$6:$K$2381,"&lt;&gt;SEM CULTURA")</f>
        <v>498.88</v>
      </c>
      <c r="E26" s="18" t="n">
        <f aca="false">SUMIFS(PLANEJAMENTO_SEMANAL!$H$6:$H$2381,PLANEJAMENTO_SEMANAL!$F$6:$F$2381,$B26,PLANEJAMENTO_SEMANAL!$B$6:$B$2381,E$7,PLANEJAMENTO_SEMANAL!$K$6:$K$2381,"&lt;&gt;SEM CULTURA")</f>
        <v>348.94</v>
      </c>
      <c r="F26" s="18" t="n">
        <f aca="false">SUMIFS(PLANEJAMENTO_SEMANAL!$H$6:$H$2381,PLANEJAMENTO_SEMANAL!$F$6:$F$2381,$B26,PLANEJAMENTO_SEMANAL!$B$6:$B$2381,F$7,PLANEJAMENTO_SEMANAL!$K$6:$K$2381,"&lt;&gt;SEM CULTURA")</f>
        <v>198.96</v>
      </c>
      <c r="G26" s="18" t="n">
        <f aca="false">SUMIFS(PLANEJAMENTO_SEMANAL!$H$6:$H$2381,PLANEJAMENTO_SEMANAL!$F$6:$F$2381,$B26,PLANEJAMENTO_SEMANAL!$B$6:$B$2381,G$7,PLANEJAMENTO_SEMANAL!$K$6:$K$2381,"&lt;&gt;SEM CULTURA")</f>
        <v>198.96</v>
      </c>
      <c r="H26" s="18" t="n">
        <f aca="false">SUMIFS(PLANEJAMENTO_SEMANAL!$H$6:$H$2381,PLANEJAMENTO_SEMANAL!$F$6:$F$2381,$B26,PLANEJAMENTO_SEMANAL!$B$6:$B$2381,H$7,PLANEJAMENTO_SEMANAL!$K$6:$K$2381,"&lt;&gt;SEM CULTURA")</f>
        <v>0</v>
      </c>
      <c r="I26" s="18" t="n">
        <f aca="false">SUMIFS(PLANEJAMENTO_SEMANAL!$H$6:$H$2381,PLANEJAMENTO_SEMANAL!$F$6:$F$2381,$B26,PLANEJAMENTO_SEMANAL!$B$6:$B$2381,I$7,PLANEJAMENTO_SEMANAL!$K$6:$K$2381,"&lt;&gt;SEM CULTURA")</f>
        <v>696.29</v>
      </c>
      <c r="J26" s="18" t="n">
        <f aca="false">SUMIFS(PLANEJAMENTO_SEMANAL!$H$6:$H$2381,PLANEJAMENTO_SEMANAL!$F$6:$F$2381,$B26,PLANEJAMENTO_SEMANAL!$B$6:$B$2381,J$7,PLANEJAMENTO_SEMANAL!$K$6:$K$2381,"&lt;&gt;SEM CULTURA")</f>
        <v>696.29</v>
      </c>
      <c r="K26" s="18" t="n">
        <f aca="false">SUMIFS(PLANEJAMENTO_SEMANAL!$H$6:$H$2381,PLANEJAMENTO_SEMANAL!$F$6:$F$2381,$B26,PLANEJAMENTO_SEMANAL!$B$6:$B$2381,K$7,PLANEJAMENTO_SEMANAL!$K$6:$K$2381,"&lt;&gt;SEM CULTURA")</f>
        <v>696.29</v>
      </c>
      <c r="L26" s="18" t="n">
        <f aca="false">SUMIFS(PLANEJAMENTO_SEMANAL!$H$6:$H$2381,PLANEJAMENTO_SEMANAL!$F$6:$F$2381,$B26,PLANEJAMENTO_SEMANAL!$B$6:$B$2381,L$7,PLANEJAMENTO_SEMANAL!$K$6:$K$2381,"&lt;&gt;SEM CULTURA")</f>
        <v>696.29</v>
      </c>
      <c r="M26" s="18" t="n">
        <f aca="false">SUMIFS(PLANEJAMENTO_SEMANAL!$H$6:$H$2381,PLANEJAMENTO_SEMANAL!$F$6:$F$2381,$B26,PLANEJAMENTO_SEMANAL!$B$6:$B$2381,M$7,PLANEJAMENTO_SEMANAL!$K$6:$K$2381,"&lt;&gt;SEM CULTURA")</f>
        <v>696.29</v>
      </c>
      <c r="N26" s="18" t="n">
        <f aca="false">SUMIFS(PLANEJAMENTO_SEMANAL!$H$6:$H$2381,PLANEJAMENTO_SEMANAL!$F$6:$F$2381,$B26,PLANEJAMENTO_SEMANAL!$B$6:$B$2381,N$7,PLANEJAMENTO_SEMANAL!$K$6:$K$2381,"&lt;&gt;SEM CULTURA")</f>
        <v>696.29</v>
      </c>
      <c r="O26" s="18" t="n">
        <f aca="false">SUMIFS(PLANEJAMENTO_SEMANAL!$H$6:$H$2381,PLANEJAMENTO_SEMANAL!$F$6:$F$2381,$B26,PLANEJAMENTO_SEMANAL!$B$6:$B$2381,O$7,PLANEJAMENTO_SEMANAL!$K$6:$K$2381,"&lt;&gt;SEM CULTURA")</f>
        <v>696.29</v>
      </c>
      <c r="P26" s="18" t="n">
        <f aca="false">SUMIFS(PLANEJAMENTO_SEMANAL!$H$6:$H$2381,PLANEJAMENTO_SEMANAL!$F$6:$F$2381,$B26,PLANEJAMENTO_SEMANAL!$B$6:$B$2381,P$7,PLANEJAMENTO_SEMANAL!$K$6:$K$2381,"&lt;&gt;SEM CULTURA")</f>
        <v>895.25</v>
      </c>
      <c r="Q26" s="18" t="n">
        <f aca="false">SUMIFS(PLANEJAMENTO_SEMANAL!$H$6:$H$2381,PLANEJAMENTO_SEMANAL!$F$6:$F$2381,$B26,PLANEJAMENTO_SEMANAL!$B$6:$B$2381,Q$7,PLANEJAMENTO_SEMANAL!$K$6:$K$2381,"&lt;&gt;SEM CULTURA")</f>
        <v>895.25</v>
      </c>
      <c r="R26" s="18" t="n">
        <f aca="false">SUMIFS(PLANEJAMENTO_SEMANAL!$H$6:$H$2381,PLANEJAMENTO_SEMANAL!$F$6:$F$2381,$B26,PLANEJAMENTO_SEMANAL!$B$6:$B$2381,R$7,PLANEJAMENTO_SEMANAL!$K$6:$K$2381,"&lt;&gt;SEM CULTURA")</f>
        <v>1035.19</v>
      </c>
      <c r="S26" s="18" t="n">
        <f aca="false">SUMIFS(PLANEJAMENTO_SEMANAL!$H$6:$H$2381,PLANEJAMENTO_SEMANAL!$F$6:$F$2381,$B26,PLANEJAMENTO_SEMANAL!$B$6:$B$2381,S$7,PLANEJAMENTO_SEMANAL!$K$6:$K$2381,"&lt;&gt;SEM CULTURA")</f>
        <v>1035.19</v>
      </c>
      <c r="T26" s="18" t="n">
        <f aca="false">SUMIFS(PLANEJAMENTO_SEMANAL!$H$6:$H$2381,PLANEJAMENTO_SEMANAL!$F$6:$F$2381,$B26,PLANEJAMENTO_SEMANAL!$B$6:$B$2381,T$7,PLANEJAMENTO_SEMANAL!$K$6:$K$2381,"&lt;&gt;SEM CULTURA")</f>
        <v>1035.19</v>
      </c>
      <c r="U26" s="18" t="n">
        <f aca="false">SUMIFS(PLANEJAMENTO_SEMANAL!$H$6:$H$2381,PLANEJAMENTO_SEMANAL!$F$6:$F$2381,$B26,PLANEJAMENTO_SEMANAL!$B$6:$B$2381,U$7,PLANEJAMENTO_SEMANAL!$K$6:$K$2381,"&lt;&gt;SEM CULTURA")</f>
        <v>1035.19</v>
      </c>
      <c r="V26" s="18" t="n">
        <f aca="false">SUMIFS(PLANEJAMENTO_SEMANAL!$H$6:$H$2381,PLANEJAMENTO_SEMANAL!$F$6:$F$2381,$B26,PLANEJAMENTO_SEMANAL!$B$6:$B$2381,V$7,PLANEJAMENTO_SEMANAL!$K$6:$K$2381,"&lt;&gt;SEM CULTURA")</f>
        <v>1180.86</v>
      </c>
      <c r="W26" s="18" t="n">
        <f aca="false">SUMIFS(PLANEJAMENTO_SEMANAL!$H$6:$H$2381,PLANEJAMENTO_SEMANAL!$F$6:$F$2381,$B26,PLANEJAMENTO_SEMANAL!$B$6:$B$2381,W$7,PLANEJAMENTO_SEMANAL!$K$6:$K$2381,"&lt;&gt;SEM CULTURA")</f>
        <v>1180.86</v>
      </c>
      <c r="X26" s="18" t="n">
        <f aca="false">SUMIFS(PLANEJAMENTO_SEMANAL!$H$6:$H$2381,PLANEJAMENTO_SEMANAL!$F$6:$F$2381,$B26,PLANEJAMENTO_SEMANAL!$B$6:$B$2381,X$7,PLANEJAMENTO_SEMANAL!$K$6:$K$2381,"&lt;&gt;SEM CULTURA")</f>
        <v>1030.92</v>
      </c>
      <c r="Y26" s="18" t="n">
        <f aca="false">SUMIFS(PLANEJAMENTO_SEMANAL!$H$6:$H$2381,PLANEJAMENTO_SEMANAL!$F$6:$F$2381,$B26,PLANEJAMENTO_SEMANAL!$B$6:$B$2381,Y$7,PLANEJAMENTO_SEMANAL!$K$6:$K$2381,"&lt;&gt;SEM CULTURA")</f>
        <v>880.94</v>
      </c>
      <c r="Z26" s="18" t="n">
        <f aca="false">SUMIFS(PLANEJAMENTO_SEMANAL!$H$6:$H$2381,PLANEJAMENTO_SEMANAL!$F$6:$F$2381,$B26,PLANEJAMENTO_SEMANAL!$B$6:$B$2381,Z$7,PLANEJAMENTO_SEMANAL!$K$6:$K$2381,"&lt;&gt;SEM CULTURA")</f>
        <v>1180.86</v>
      </c>
      <c r="AA26" s="18" t="n">
        <f aca="false">SUMIFS(PLANEJAMENTO_SEMANAL!$H$6:$H$2381,PLANEJAMENTO_SEMANAL!$F$6:$F$2381,$B26,PLANEJAMENTO_SEMANAL!$B$6:$B$2381,AA$7,PLANEJAMENTO_SEMANAL!$K$6:$K$2381,"&lt;&gt;SEM CULTURA")</f>
        <v>1180.86</v>
      </c>
      <c r="AB26" s="18" t="n">
        <f aca="false">SUMIFS(PLANEJAMENTO_SEMANAL!$H$6:$H$2381,PLANEJAMENTO_SEMANAL!$F$6:$F$2381,$B26,PLANEJAMENTO_SEMANAL!$B$6:$B$2381,AB$7,PLANEJAMENTO_SEMANAL!$K$6:$K$2381,"&lt;&gt;SEM CULTURA")</f>
        <v>1180.86</v>
      </c>
      <c r="AC26" s="18" t="n">
        <f aca="false">SUMIFS(PLANEJAMENTO_SEMANAL!$H$6:$H$2381,PLANEJAMENTO_SEMANAL!$F$6:$F$2381,$B26,PLANEJAMENTO_SEMANAL!$B$6:$B$2381,AC$7,PLANEJAMENTO_SEMANAL!$K$6:$K$2381,"&lt;&gt;SEM CULTURA")</f>
        <v>1180.86</v>
      </c>
      <c r="AD26" s="18" t="n">
        <f aca="false">SUMIFS(PLANEJAMENTO_SEMANAL!$H$6:$H$2381,PLANEJAMENTO_SEMANAL!$F$6:$F$2381,$B26,PLANEJAMENTO_SEMANAL!$B$6:$B$2381,AD$7,PLANEJAMENTO_SEMANAL!$K$6:$K$2381,"&lt;&gt;SEM CULTURA")</f>
        <v>1180.86</v>
      </c>
      <c r="AE26" s="18" t="n">
        <f aca="false">SUMIFS(PLANEJAMENTO_SEMANAL!$H$6:$H$2381,PLANEJAMENTO_SEMANAL!$F$6:$F$2381,$B26,PLANEJAMENTO_SEMANAL!$B$6:$B$2381,AE$7,PLANEJAMENTO_SEMANAL!$K$6:$K$2381,"&lt;&gt;SEM CULTURA")</f>
        <v>1180.86</v>
      </c>
      <c r="AF26" s="18" t="n">
        <f aca="false">SUMIFS(PLANEJAMENTO_SEMANAL!$H$6:$H$2381,PLANEJAMENTO_SEMANAL!$F$6:$F$2381,$B26,PLANEJAMENTO_SEMANAL!$B$6:$B$2381,AF$7,PLANEJAMENTO_SEMANAL!$K$6:$K$2381,"&lt;&gt;SEM CULTURA")</f>
        <v>1180.86</v>
      </c>
      <c r="AG26" s="18" t="n">
        <f aca="false">SUMIFS(PLANEJAMENTO_SEMANAL!$H$6:$H$2381,PLANEJAMENTO_SEMANAL!$F$6:$F$2381,$B26,PLANEJAMENTO_SEMANAL!$B$6:$B$2381,AG$7,PLANEJAMENTO_SEMANAL!$K$6:$K$2381,"&lt;&gt;SEM CULTURA")</f>
        <v>1180.86</v>
      </c>
      <c r="AH26" s="18" t="n">
        <f aca="false">SUMIFS(PLANEJAMENTO_SEMANAL!$H$6:$H$2381,PLANEJAMENTO_SEMANAL!$F$6:$F$2381,$B26,PLANEJAMENTO_SEMANAL!$B$6:$B$2381,AH$7,PLANEJAMENTO_SEMANAL!$K$6:$K$2381,"&lt;&gt;SEM CULTURA")</f>
        <v>1180.86</v>
      </c>
      <c r="AI26" s="18" t="n">
        <f aca="false">SUMIFS(PLANEJAMENTO_SEMANAL!$H$6:$H$2381,PLANEJAMENTO_SEMANAL!$F$6:$F$2381,$B26,PLANEJAMENTO_SEMANAL!$B$6:$B$2381,AI$7,PLANEJAMENTO_SEMANAL!$K$6:$K$2381,"&lt;&gt;SEM CULTURA")</f>
        <v>1180.86</v>
      </c>
      <c r="AJ26" s="18" t="n">
        <f aca="false">SUMIFS(PLANEJAMENTO_SEMANAL!$H$6:$H$2381,PLANEJAMENTO_SEMANAL!$F$6:$F$2381,$B26,PLANEJAMENTO_SEMANAL!$B$6:$B$2381,AJ$7,PLANEJAMENTO_SEMANAL!$K$6:$K$2381,"&lt;&gt;SEM CULTURA")</f>
        <v>1180.86</v>
      </c>
      <c r="AK26" s="18" t="n">
        <f aca="false">SUMIFS(PLANEJAMENTO_SEMANAL!$H$6:$H$2381,PLANEJAMENTO_SEMANAL!$F$6:$F$2381,$B26,PLANEJAMENTO_SEMANAL!$B$6:$B$2381,AK$7,PLANEJAMENTO_SEMANAL!$K$6:$K$2381,"&lt;&gt;SEM CULTURA")</f>
        <v>1180.86</v>
      </c>
      <c r="AL26" s="18" t="n">
        <f aca="false">SUMIFS(PLANEJAMENTO_SEMANAL!$H$6:$H$2381,PLANEJAMENTO_SEMANAL!$F$6:$F$2381,$B26,PLANEJAMENTO_SEMANAL!$B$6:$B$2381,AL$7,PLANEJAMENTO_SEMANAL!$K$6:$K$2381,"&lt;&gt;SEM CULTURA")</f>
        <v>1180.86</v>
      </c>
      <c r="AM26" s="18" t="n">
        <f aca="false">SUMIFS(PLANEJAMENTO_SEMANAL!$H$6:$H$2381,PLANEJAMENTO_SEMANAL!$F$6:$F$2381,$B26,PLANEJAMENTO_SEMANAL!$B$6:$B$2381,AM$7,PLANEJAMENTO_SEMANAL!$K$6:$K$2381,"&lt;&gt;SEM CULTURA")</f>
        <v>1180.86</v>
      </c>
      <c r="AN26" s="18" t="n">
        <f aca="false">SUMIFS(PLANEJAMENTO_SEMANAL!$H$6:$H$2381,PLANEJAMENTO_SEMANAL!$F$6:$F$2381,$B26,PLANEJAMENTO_SEMANAL!$B$6:$B$2381,AN$7,PLANEJAMENTO_SEMANAL!$K$6:$K$2381,"&lt;&gt;SEM CULTURA")</f>
        <v>1180.86</v>
      </c>
      <c r="AO26" s="18" t="n">
        <f aca="false">SUMIFS(PLANEJAMENTO_SEMANAL!$H$6:$H$2381,PLANEJAMENTO_SEMANAL!$F$6:$F$2381,$B26,PLANEJAMENTO_SEMANAL!$B$6:$B$2381,AO$7,PLANEJAMENTO_SEMANAL!$K$6:$K$2381,"&lt;&gt;SEM CULTURA")</f>
        <v>1040.92</v>
      </c>
      <c r="AP26" s="18" t="n">
        <f aca="false">SUMIFS(PLANEJAMENTO_SEMANAL!$H$6:$H$2381,PLANEJAMENTO_SEMANAL!$F$6:$F$2381,$B26,PLANEJAMENTO_SEMANAL!$B$6:$B$2381,AP$7,PLANEJAMENTO_SEMANAL!$K$6:$K$2381,"&lt;&gt;SEM CULTURA")</f>
        <v>1180.86</v>
      </c>
      <c r="AQ26" s="18" t="n">
        <f aca="false">SUMIFS(PLANEJAMENTO_SEMANAL!$H$6:$H$2381,PLANEJAMENTO_SEMANAL!$F$6:$F$2381,$B26,PLANEJAMENTO_SEMANAL!$B$6:$B$2381,AQ$7,PLANEJAMENTO_SEMANAL!$K$6:$K$2381,"&lt;&gt;SEM CULTURA")</f>
        <v>1180.86</v>
      </c>
      <c r="AR26" s="18" t="n">
        <f aca="false">SUMIFS(PLANEJAMENTO_SEMANAL!$H$6:$H$2381,PLANEJAMENTO_SEMANAL!$F$6:$F$2381,$B26,PLANEJAMENTO_SEMANAL!$B$6:$B$2381,AR$7,PLANEJAMENTO_SEMANAL!$K$6:$K$2381,"&lt;&gt;SEM CULTURA")</f>
        <v>981.9</v>
      </c>
      <c r="AS26" s="18" t="n">
        <f aca="false">SUMIFS(PLANEJAMENTO_SEMANAL!$H$6:$H$2381,PLANEJAMENTO_SEMANAL!$F$6:$F$2381,$B26,PLANEJAMENTO_SEMANAL!$B$6:$B$2381,AS$7,PLANEJAMENTO_SEMANAL!$K$6:$K$2381,"&lt;&gt;SEM CULTURA")</f>
        <v>935.71</v>
      </c>
      <c r="AT26" s="18" t="n">
        <f aca="false">SUMIFS(PLANEJAMENTO_SEMANAL!$H$6:$H$2381,PLANEJAMENTO_SEMANAL!$F$6:$F$2381,$B26,PLANEJAMENTO_SEMANAL!$B$6:$B$2381,AT$7,PLANEJAMENTO_SEMANAL!$K$6:$K$2381,"&lt;&gt;SEM CULTURA")</f>
        <v>1081.38</v>
      </c>
      <c r="AU26" s="18" t="n">
        <f aca="false">SUMIFS(PLANEJAMENTO_SEMANAL!$H$6:$H$2381,PLANEJAMENTO_SEMANAL!$F$6:$F$2381,$B26,PLANEJAMENTO_SEMANAL!$B$6:$B$2381,AU$7,PLANEJAMENTO_SEMANAL!$K$6:$K$2381,"&lt;&gt;SEM CULTURA")</f>
        <v>1081.38</v>
      </c>
      <c r="AV26" s="18" t="n">
        <f aca="false">SUMIFS(PLANEJAMENTO_SEMANAL!$H$6:$H$2381,PLANEJAMENTO_SEMANAL!$F$6:$F$2381,$B26,PLANEJAMENTO_SEMANAL!$B$6:$B$2381,AV$7,PLANEJAMENTO_SEMANAL!$K$6:$K$2381,"&lt;&gt;SEM CULTURA")</f>
        <v>1081.38</v>
      </c>
      <c r="AW26" s="18" t="n">
        <f aca="false">SUMIFS(PLANEJAMENTO_SEMANAL!$H$6:$H$2381,PLANEJAMENTO_SEMANAL!$F$6:$F$2381,$B26,PLANEJAMENTO_SEMANAL!$B$6:$B$2381,AW$7,PLANEJAMENTO_SEMANAL!$K$6:$K$2381,"&lt;&gt;SEM CULTURA")</f>
        <v>1081.38</v>
      </c>
      <c r="AX26" s="18" t="n">
        <f aca="false">SUMIFS(PLANEJAMENTO_SEMANAL!$H$6:$H$2381,PLANEJAMENTO_SEMANAL!$F$6:$F$2381,$B26,PLANEJAMENTO_SEMANAL!$B$6:$B$2381,AX$7,PLANEJAMENTO_SEMANAL!$K$6:$K$2381,"&lt;&gt;SEM CULTURA")</f>
        <v>931.44</v>
      </c>
      <c r="AY26" s="18" t="n">
        <f aca="false">SUMIFS(PLANEJAMENTO_SEMANAL!$H$6:$H$2381,PLANEJAMENTO_SEMANAL!$F$6:$F$2381,$B26,PLANEJAMENTO_SEMANAL!$B$6:$B$2381,AY$7,PLANEJAMENTO_SEMANAL!$K$6:$K$2381,"&lt;&gt;SEM CULTURA")</f>
        <v>781.46</v>
      </c>
      <c r="AZ26" s="18" t="n">
        <f aca="false">SUMIFS(PLANEJAMENTO_SEMANAL!$H$6:$H$2381,PLANEJAMENTO_SEMANAL!$F$6:$F$2381,$B26,PLANEJAMENTO_SEMANAL!$B$6:$B$2381,AZ$7,PLANEJAMENTO_SEMANAL!$K$6:$K$2381,"&lt;&gt;SEM CULTURA")</f>
        <v>681.98</v>
      </c>
      <c r="BA26" s="18" t="n">
        <f aca="false">SUMIFS(PLANEJAMENTO_SEMANAL!$H$6:$H$2381,PLANEJAMENTO_SEMANAL!$F$6:$F$2381,$B26,PLANEJAMENTO_SEMANAL!$B$6:$B$2381,BA$7,PLANEJAMENTO_SEMANAL!$K$6:$K$2381,"&lt;&gt;SEM CULTURA")</f>
        <v>385.09</v>
      </c>
      <c r="BB26" s="18" t="n">
        <f aca="false">SUMIFS(PLANEJAMENTO_SEMANAL!$H$6:$H$2381,PLANEJAMENTO_SEMANAL!$F$6:$F$2381,$B26,PLANEJAMENTO_SEMANAL!$B$6:$B$2381,BB$7,PLANEJAMENTO_SEMANAL!$K$6:$K$2381,"&lt;&gt;SEM CULTURA")</f>
        <v>385.09</v>
      </c>
      <c r="BC26" s="18" t="n">
        <f aca="false">SUMIFS(PLANEJAMENTO_SEMANAL!$H$6:$H$2381,PLANEJAMENTO_SEMANAL!$F$6:$F$2381,$B26,PLANEJAMENTO_SEMANAL!$B$6:$B$2381,BC$7,PLANEJAMENTO_SEMANAL!$K$6:$K$2381,"&lt;&gt;SEM CULTURA")</f>
        <v>385.09</v>
      </c>
      <c r="BD26" s="18" t="n">
        <f aca="false">SUMIFS(PLANEJAMENTO_SEMANAL!$H$6:$H$2381,PLANEJAMENTO_SEMANAL!$F$6:$F$2381,$B26,PLANEJAMENTO_SEMANAL!$B$6:$B$2381,BD$7,PLANEJAMENTO_SEMANAL!$K$6:$K$2381,"&lt;&gt;SEM CULTURA")</f>
        <v>385.09</v>
      </c>
      <c r="BE26" s="18" t="n">
        <f aca="false">SUMIFS(PLANEJAMENTO_SEMANAL!$H$6:$H$2381,PLANEJAMENTO_SEMANAL!$F$6:$F$2381,$B26,PLANEJAMENTO_SEMANAL!$B$6:$B$2381,BE$7,PLANEJAMENTO_SEMANAL!$K$6:$K$2381,"&lt;&gt;SEM CULTURA")</f>
        <v>385.09</v>
      </c>
      <c r="BF26" s="18" t="n">
        <f aca="false">SUMIFS(PLANEJAMENTO_SEMANAL!$H$6:$H$2381,PLANEJAMENTO_SEMANAL!$F$6:$F$2381,$B26,PLANEJAMENTO_SEMANAL!$B$6:$B$2381,BF$7,PLANEJAMENTO_SEMANAL!$K$6:$K$2381,"&lt;&gt;SEM CULTURA")</f>
        <v>385.09</v>
      </c>
      <c r="BG26" s="18" t="n">
        <f aca="false">SUMIFS(PLANEJAMENTO_SEMANAL!$H$6:$H$2381,PLANEJAMENTO_SEMANAL!$F$6:$F$2381,$B26,PLANEJAMENTO_SEMANAL!$B$6:$B$2381,BG$7,PLANEJAMENTO_SEMANAL!$K$6:$K$2381,"&lt;&gt;SEM CULTURA")</f>
        <v>385.09</v>
      </c>
      <c r="BH26" s="18" t="n">
        <f aca="false">SUMIFS(PLANEJAMENTO_SEMANAL!$H$6:$H$2381,PLANEJAMENTO_SEMANAL!$F$6:$F$2381,$B26,PLANEJAMENTO_SEMANAL!$B$6:$B$2381,BH$7,PLANEJAMENTO_SEMANAL!$K$6:$K$2381,"&lt;&gt;SEM CULTURA")</f>
        <v>385.09</v>
      </c>
      <c r="BI26" s="18" t="n">
        <f aca="false">SUMIFS(PLANEJAMENTO_SEMANAL!$H$6:$H$2381,PLANEJAMENTO_SEMANAL!$F$6:$F$2381,$B26,PLANEJAMENTO_SEMANAL!$B$6:$B$2381,BI$7,PLANEJAMENTO_SEMANAL!$K$6:$K$2381,"&lt;&gt;SEM CULTURA")</f>
        <v>385.09</v>
      </c>
      <c r="BJ26" s="18" t="n">
        <f aca="false">SUMIFS(PLANEJAMENTO_SEMANAL!$H$6:$H$2381,PLANEJAMENTO_SEMANAL!$F$6:$F$2381,$B26,PLANEJAMENTO_SEMANAL!$B$6:$B$2381,BJ$7,PLANEJAMENTO_SEMANAL!$K$6:$K$2381,"&lt;&gt;SEM CULTURA")</f>
        <v>385.09</v>
      </c>
      <c r="BK26" s="18" t="n">
        <f aca="false">SUMIFS(PLANEJAMENTO_SEMANAL!$H$6:$H$2381,PLANEJAMENTO_SEMANAL!$F$6:$F$2381,$B26,PLANEJAMENTO_SEMANAL!$B$6:$B$2381,BK$7,PLANEJAMENTO_SEMANAL!$K$6:$K$2381,"&lt;&gt;SEM CULTURA")</f>
        <v>385.09</v>
      </c>
      <c r="BL26" s="18" t="n">
        <f aca="false">SUMIFS(PLANEJAMENTO_SEMANAL!$H$6:$H$2381,PLANEJAMENTO_SEMANAL!$F$6:$F$2381,$B26,PLANEJAMENTO_SEMANAL!$B$6:$B$2381,BL$7,PLANEJAMENTO_SEMANAL!$K$6:$K$2381,"&lt;&gt;SEM CULTURA")</f>
        <v>385.09</v>
      </c>
      <c r="BM26" s="18" t="n">
        <f aca="false">SUMIFS(PLANEJAMENTO_SEMANAL!$H$6:$H$2381,PLANEJAMENTO_SEMANAL!$F$6:$F$2381,$B26,PLANEJAMENTO_SEMANAL!$B$6:$B$2381,BM$7,PLANEJAMENTO_SEMANAL!$K$6:$K$2381,"&lt;&gt;SEM CULTURA")</f>
        <v>245.15</v>
      </c>
      <c r="BN26" s="18" t="n">
        <f aca="false">SUMIFS(PLANEJAMENTO_SEMANAL!$H$6:$H$2381,PLANEJAMENTO_SEMANAL!$F$6:$F$2381,$B26,PLANEJAMENTO_SEMANAL!$B$6:$B$2381,BN$7,PLANEJAMENTO_SEMANAL!$K$6:$K$2381,"&lt;&gt;SEM CULTURA")</f>
        <v>145.67</v>
      </c>
      <c r="BO26" s="18" t="n">
        <f aca="false">SUMIFS(PLANEJAMENTO_SEMANAL!$H$6:$H$2381,PLANEJAMENTO_SEMANAL!$F$6:$F$2381,$B26,PLANEJAMENTO_SEMANAL!$B$6:$B$2381,BO$7,PLANEJAMENTO_SEMANAL!$K$6:$K$2381,"&lt;&gt;SEM CULTURA")</f>
        <v>145.67</v>
      </c>
      <c r="BP26" s="18" t="n">
        <f aca="false">SUMIFS(PLANEJAMENTO_SEMANAL!$H$6:$H$2381,PLANEJAMENTO_SEMANAL!$F$6:$F$2381,$B26,PLANEJAMENTO_SEMANAL!$B$6:$B$2381,BP$7,PLANEJAMENTO_SEMANAL!$K$6:$K$2381,"&lt;&gt;SEM CULTURA")</f>
        <v>145.67</v>
      </c>
      <c r="BQ26" s="18" t="n">
        <f aca="false">MAX(C26:BP26)</f>
        <v>1180.86</v>
      </c>
    </row>
    <row r="27" customFormat="false" ht="15" hidden="false" customHeight="false" outlineLevel="0" collapsed="false">
      <c r="B27" s="15" t="s">
        <v>135</v>
      </c>
      <c r="C27" s="18" t="n">
        <f aca="false">SUMIFS(PLANEJAMENTO_SEMANAL!$H$6:$H$2381,PLANEJAMENTO_SEMANAL!$F$6:$F$2381,$B27,PLANEJAMENTO_SEMANAL!$B$6:$B$2381,C$7,PLANEJAMENTO_SEMANAL!$K$6:$K$2381,"&lt;&gt;SEM CULTURA")</f>
        <v>0</v>
      </c>
      <c r="D27" s="18" t="n">
        <f aca="false">SUMIFS(PLANEJAMENTO_SEMANAL!$H$6:$H$2381,PLANEJAMENTO_SEMANAL!$F$6:$F$2381,$B27,PLANEJAMENTO_SEMANAL!$B$6:$B$2381,D$7,PLANEJAMENTO_SEMANAL!$K$6:$K$2381,"&lt;&gt;SEM CULTURA")</f>
        <v>0</v>
      </c>
      <c r="E27" s="18" t="n">
        <f aca="false">SUMIFS(PLANEJAMENTO_SEMANAL!$H$6:$H$2381,PLANEJAMENTO_SEMANAL!$F$6:$F$2381,$B27,PLANEJAMENTO_SEMANAL!$B$6:$B$2381,E$7,PLANEJAMENTO_SEMANAL!$K$6:$K$2381,"&lt;&gt;SEM CULTURA")</f>
        <v>0</v>
      </c>
      <c r="F27" s="18" t="n">
        <f aca="false">SUMIFS(PLANEJAMENTO_SEMANAL!$H$6:$H$2381,PLANEJAMENTO_SEMANAL!$F$6:$F$2381,$B27,PLANEJAMENTO_SEMANAL!$B$6:$B$2381,F$7,PLANEJAMENTO_SEMANAL!$K$6:$K$2381,"&lt;&gt;SEM CULTURA")</f>
        <v>0</v>
      </c>
      <c r="G27" s="18" t="n">
        <f aca="false">SUMIFS(PLANEJAMENTO_SEMANAL!$H$6:$H$2381,PLANEJAMENTO_SEMANAL!$F$6:$F$2381,$B27,PLANEJAMENTO_SEMANAL!$B$6:$B$2381,G$7,PLANEJAMENTO_SEMANAL!$K$6:$K$2381,"&lt;&gt;SEM CULTURA")</f>
        <v>0</v>
      </c>
      <c r="H27" s="18" t="n">
        <f aca="false">SUMIFS(PLANEJAMENTO_SEMANAL!$H$6:$H$2381,PLANEJAMENTO_SEMANAL!$F$6:$F$2381,$B27,PLANEJAMENTO_SEMANAL!$B$6:$B$2381,H$7,PLANEJAMENTO_SEMANAL!$K$6:$K$2381,"&lt;&gt;SEM CULTURA")</f>
        <v>0</v>
      </c>
      <c r="I27" s="18" t="n">
        <f aca="false">SUMIFS(PLANEJAMENTO_SEMANAL!$H$6:$H$2381,PLANEJAMENTO_SEMANAL!$F$6:$F$2381,$B27,PLANEJAMENTO_SEMANAL!$B$6:$B$2381,I$7,PLANEJAMENTO_SEMANAL!$K$6:$K$2381,"&lt;&gt;SEM CULTURA")</f>
        <v>0</v>
      </c>
      <c r="J27" s="18" t="n">
        <f aca="false">SUMIFS(PLANEJAMENTO_SEMANAL!$H$6:$H$2381,PLANEJAMENTO_SEMANAL!$F$6:$F$2381,$B27,PLANEJAMENTO_SEMANAL!$B$6:$B$2381,J$7,PLANEJAMENTO_SEMANAL!$K$6:$K$2381,"&lt;&gt;SEM CULTURA")</f>
        <v>0</v>
      </c>
      <c r="K27" s="18" t="n">
        <f aca="false">SUMIFS(PLANEJAMENTO_SEMANAL!$H$6:$H$2381,PLANEJAMENTO_SEMANAL!$F$6:$F$2381,$B27,PLANEJAMENTO_SEMANAL!$B$6:$B$2381,K$7,PLANEJAMENTO_SEMANAL!$K$6:$K$2381,"&lt;&gt;SEM CULTURA")</f>
        <v>0</v>
      </c>
      <c r="L27" s="18" t="n">
        <f aca="false">SUMIFS(PLANEJAMENTO_SEMANAL!$H$6:$H$2381,PLANEJAMENTO_SEMANAL!$F$6:$F$2381,$B27,PLANEJAMENTO_SEMANAL!$B$6:$B$2381,L$7,PLANEJAMENTO_SEMANAL!$K$6:$K$2381,"&lt;&gt;SEM CULTURA")</f>
        <v>0</v>
      </c>
      <c r="M27" s="18" t="n">
        <f aca="false">SUMIFS(PLANEJAMENTO_SEMANAL!$H$6:$H$2381,PLANEJAMENTO_SEMANAL!$F$6:$F$2381,$B27,PLANEJAMENTO_SEMANAL!$B$6:$B$2381,M$7,PLANEJAMENTO_SEMANAL!$K$6:$K$2381,"&lt;&gt;SEM CULTURA")</f>
        <v>0</v>
      </c>
      <c r="N27" s="18" t="n">
        <f aca="false">SUMIFS(PLANEJAMENTO_SEMANAL!$H$6:$H$2381,PLANEJAMENTO_SEMANAL!$F$6:$F$2381,$B27,PLANEJAMENTO_SEMANAL!$B$6:$B$2381,N$7,PLANEJAMENTO_SEMANAL!$K$6:$K$2381,"&lt;&gt;SEM CULTURA")</f>
        <v>0</v>
      </c>
      <c r="O27" s="18" t="n">
        <f aca="false">SUMIFS(PLANEJAMENTO_SEMANAL!$H$6:$H$2381,PLANEJAMENTO_SEMANAL!$F$6:$F$2381,$B27,PLANEJAMENTO_SEMANAL!$B$6:$B$2381,O$7,PLANEJAMENTO_SEMANAL!$K$6:$K$2381,"&lt;&gt;SEM CULTURA")</f>
        <v>0</v>
      </c>
      <c r="P27" s="18" t="n">
        <f aca="false">SUMIFS(PLANEJAMENTO_SEMANAL!$H$6:$H$2381,PLANEJAMENTO_SEMANAL!$F$6:$F$2381,$B27,PLANEJAMENTO_SEMANAL!$B$6:$B$2381,P$7,PLANEJAMENTO_SEMANAL!$K$6:$K$2381,"&lt;&gt;SEM CULTURA")</f>
        <v>0</v>
      </c>
      <c r="Q27" s="18" t="n">
        <f aca="false">SUMIFS(PLANEJAMENTO_SEMANAL!$H$6:$H$2381,PLANEJAMENTO_SEMANAL!$F$6:$F$2381,$B27,PLANEJAMENTO_SEMANAL!$B$6:$B$2381,Q$7,PLANEJAMENTO_SEMANAL!$K$6:$K$2381,"&lt;&gt;SEM CULTURA")</f>
        <v>0</v>
      </c>
      <c r="R27" s="18" t="n">
        <f aca="false">SUMIFS(PLANEJAMENTO_SEMANAL!$H$6:$H$2381,PLANEJAMENTO_SEMANAL!$F$6:$F$2381,$B27,PLANEJAMENTO_SEMANAL!$B$6:$B$2381,R$7,PLANEJAMENTO_SEMANAL!$K$6:$K$2381,"&lt;&gt;SEM CULTURA")</f>
        <v>0</v>
      </c>
      <c r="S27" s="18" t="n">
        <f aca="false">SUMIFS(PLANEJAMENTO_SEMANAL!$H$6:$H$2381,PLANEJAMENTO_SEMANAL!$F$6:$F$2381,$B27,PLANEJAMENTO_SEMANAL!$B$6:$B$2381,S$7,PLANEJAMENTO_SEMANAL!$K$6:$K$2381,"&lt;&gt;SEM CULTURA")</f>
        <v>0</v>
      </c>
      <c r="T27" s="18" t="n">
        <f aca="false">SUMIFS(PLANEJAMENTO_SEMANAL!$H$6:$H$2381,PLANEJAMENTO_SEMANAL!$F$6:$F$2381,$B27,PLANEJAMENTO_SEMANAL!$B$6:$B$2381,T$7,PLANEJAMENTO_SEMANAL!$K$6:$K$2381,"&lt;&gt;SEM CULTURA")</f>
        <v>0</v>
      </c>
      <c r="U27" s="18" t="n">
        <f aca="false">SUMIFS(PLANEJAMENTO_SEMANAL!$H$6:$H$2381,PLANEJAMENTO_SEMANAL!$F$6:$F$2381,$B27,PLANEJAMENTO_SEMANAL!$B$6:$B$2381,U$7,PLANEJAMENTO_SEMANAL!$K$6:$K$2381,"&lt;&gt;SEM CULTURA")</f>
        <v>0</v>
      </c>
      <c r="V27" s="18" t="n">
        <f aca="false">SUMIFS(PLANEJAMENTO_SEMANAL!$H$6:$H$2381,PLANEJAMENTO_SEMANAL!$F$6:$F$2381,$B27,PLANEJAMENTO_SEMANAL!$B$6:$B$2381,V$7,PLANEJAMENTO_SEMANAL!$K$6:$K$2381,"&lt;&gt;SEM CULTURA")</f>
        <v>0</v>
      </c>
      <c r="W27" s="18" t="n">
        <f aca="false">SUMIFS(PLANEJAMENTO_SEMANAL!$H$6:$H$2381,PLANEJAMENTO_SEMANAL!$F$6:$F$2381,$B27,PLANEJAMENTO_SEMANAL!$B$6:$B$2381,W$7,PLANEJAMENTO_SEMANAL!$K$6:$K$2381,"&lt;&gt;SEM CULTURA")</f>
        <v>0</v>
      </c>
      <c r="X27" s="18" t="n">
        <f aca="false">SUMIFS(PLANEJAMENTO_SEMANAL!$H$6:$H$2381,PLANEJAMENTO_SEMANAL!$F$6:$F$2381,$B27,PLANEJAMENTO_SEMANAL!$B$6:$B$2381,X$7,PLANEJAMENTO_SEMANAL!$K$6:$K$2381,"&lt;&gt;SEM CULTURA")</f>
        <v>0</v>
      </c>
      <c r="Y27" s="18" t="n">
        <f aca="false">SUMIFS(PLANEJAMENTO_SEMANAL!$H$6:$H$2381,PLANEJAMENTO_SEMANAL!$F$6:$F$2381,$B27,PLANEJAMENTO_SEMANAL!$B$6:$B$2381,Y$7,PLANEJAMENTO_SEMANAL!$K$6:$K$2381,"&lt;&gt;SEM CULTURA")</f>
        <v>0</v>
      </c>
      <c r="Z27" s="18" t="n">
        <f aca="false">SUMIFS(PLANEJAMENTO_SEMANAL!$H$6:$H$2381,PLANEJAMENTO_SEMANAL!$F$6:$F$2381,$B27,PLANEJAMENTO_SEMANAL!$B$6:$B$2381,Z$7,PLANEJAMENTO_SEMANAL!$K$6:$K$2381,"&lt;&gt;SEM CULTURA")</f>
        <v>0</v>
      </c>
      <c r="AA27" s="18" t="n">
        <f aca="false">SUMIFS(PLANEJAMENTO_SEMANAL!$H$6:$H$2381,PLANEJAMENTO_SEMANAL!$F$6:$F$2381,$B27,PLANEJAMENTO_SEMANAL!$B$6:$B$2381,AA$7,PLANEJAMENTO_SEMANAL!$K$6:$K$2381,"&lt;&gt;SEM CULTURA")</f>
        <v>0</v>
      </c>
      <c r="AB27" s="18" t="n">
        <f aca="false">SUMIFS(PLANEJAMENTO_SEMANAL!$H$6:$H$2381,PLANEJAMENTO_SEMANAL!$F$6:$F$2381,$B27,PLANEJAMENTO_SEMANAL!$B$6:$B$2381,AB$7,PLANEJAMENTO_SEMANAL!$K$6:$K$2381,"&lt;&gt;SEM CULTURA")</f>
        <v>0</v>
      </c>
      <c r="AC27" s="18" t="n">
        <f aca="false">SUMIFS(PLANEJAMENTO_SEMANAL!$H$6:$H$2381,PLANEJAMENTO_SEMANAL!$F$6:$F$2381,$B27,PLANEJAMENTO_SEMANAL!$B$6:$B$2381,AC$7,PLANEJAMENTO_SEMANAL!$K$6:$K$2381,"&lt;&gt;SEM CULTURA")</f>
        <v>0</v>
      </c>
      <c r="AD27" s="18" t="n">
        <f aca="false">SUMIFS(PLANEJAMENTO_SEMANAL!$H$6:$H$2381,PLANEJAMENTO_SEMANAL!$F$6:$F$2381,$B27,PLANEJAMENTO_SEMANAL!$B$6:$B$2381,AD$7,PLANEJAMENTO_SEMANAL!$K$6:$K$2381,"&lt;&gt;SEM CULTURA")</f>
        <v>0</v>
      </c>
      <c r="AE27" s="18" t="n">
        <f aca="false">SUMIFS(PLANEJAMENTO_SEMANAL!$H$6:$H$2381,PLANEJAMENTO_SEMANAL!$F$6:$F$2381,$B27,PLANEJAMENTO_SEMANAL!$B$6:$B$2381,AE$7,PLANEJAMENTO_SEMANAL!$K$6:$K$2381,"&lt;&gt;SEM CULTURA")</f>
        <v>0</v>
      </c>
      <c r="AF27" s="18" t="n">
        <f aca="false">SUMIFS(PLANEJAMENTO_SEMANAL!$H$6:$H$2381,PLANEJAMENTO_SEMANAL!$F$6:$F$2381,$B27,PLANEJAMENTO_SEMANAL!$B$6:$B$2381,AF$7,PLANEJAMENTO_SEMANAL!$K$6:$K$2381,"&lt;&gt;SEM CULTURA")</f>
        <v>0</v>
      </c>
      <c r="AG27" s="18" t="n">
        <f aca="false">SUMIFS(PLANEJAMENTO_SEMANAL!$H$6:$H$2381,PLANEJAMENTO_SEMANAL!$F$6:$F$2381,$B27,PLANEJAMENTO_SEMANAL!$B$6:$B$2381,AG$7,PLANEJAMENTO_SEMANAL!$K$6:$K$2381,"&lt;&gt;SEM CULTURA")</f>
        <v>0</v>
      </c>
      <c r="AH27" s="18" t="n">
        <f aca="false">SUMIFS(PLANEJAMENTO_SEMANAL!$H$6:$H$2381,PLANEJAMENTO_SEMANAL!$F$6:$F$2381,$B27,PLANEJAMENTO_SEMANAL!$B$6:$B$2381,AH$7,PLANEJAMENTO_SEMANAL!$K$6:$K$2381,"&lt;&gt;SEM CULTURA")</f>
        <v>0</v>
      </c>
      <c r="AI27" s="18" t="n">
        <f aca="false">SUMIFS(PLANEJAMENTO_SEMANAL!$H$6:$H$2381,PLANEJAMENTO_SEMANAL!$F$6:$F$2381,$B27,PLANEJAMENTO_SEMANAL!$B$6:$B$2381,AI$7,PLANEJAMENTO_SEMANAL!$K$6:$K$2381,"&lt;&gt;SEM CULTURA")</f>
        <v>0</v>
      </c>
      <c r="AJ27" s="18" t="n">
        <f aca="false">SUMIFS(PLANEJAMENTO_SEMANAL!$H$6:$H$2381,PLANEJAMENTO_SEMANAL!$F$6:$F$2381,$B27,PLANEJAMENTO_SEMANAL!$B$6:$B$2381,AJ$7,PLANEJAMENTO_SEMANAL!$K$6:$K$2381,"&lt;&gt;SEM CULTURA")</f>
        <v>0</v>
      </c>
      <c r="AK27" s="18" t="n">
        <f aca="false">SUMIFS(PLANEJAMENTO_SEMANAL!$H$6:$H$2381,PLANEJAMENTO_SEMANAL!$F$6:$F$2381,$B27,PLANEJAMENTO_SEMANAL!$B$6:$B$2381,AK$7,PLANEJAMENTO_SEMANAL!$K$6:$K$2381,"&lt;&gt;SEM CULTURA")</f>
        <v>0</v>
      </c>
      <c r="AL27" s="18" t="n">
        <f aca="false">SUMIFS(PLANEJAMENTO_SEMANAL!$H$6:$H$2381,PLANEJAMENTO_SEMANAL!$F$6:$F$2381,$B27,PLANEJAMENTO_SEMANAL!$B$6:$B$2381,AL$7,PLANEJAMENTO_SEMANAL!$K$6:$K$2381,"&lt;&gt;SEM CULTURA")</f>
        <v>0</v>
      </c>
      <c r="AM27" s="18" t="n">
        <f aca="false">SUMIFS(PLANEJAMENTO_SEMANAL!$H$6:$H$2381,PLANEJAMENTO_SEMANAL!$F$6:$F$2381,$B27,PLANEJAMENTO_SEMANAL!$B$6:$B$2381,AM$7,PLANEJAMENTO_SEMANAL!$K$6:$K$2381,"&lt;&gt;SEM CULTURA")</f>
        <v>0</v>
      </c>
      <c r="AN27" s="18" t="n">
        <f aca="false">SUMIFS(PLANEJAMENTO_SEMANAL!$H$6:$H$2381,PLANEJAMENTO_SEMANAL!$F$6:$F$2381,$B27,PLANEJAMENTO_SEMANAL!$B$6:$B$2381,AN$7,PLANEJAMENTO_SEMANAL!$K$6:$K$2381,"&lt;&gt;SEM CULTURA")</f>
        <v>0</v>
      </c>
      <c r="AO27" s="18" t="n">
        <f aca="false">SUMIFS(PLANEJAMENTO_SEMANAL!$H$6:$H$2381,PLANEJAMENTO_SEMANAL!$F$6:$F$2381,$B27,PLANEJAMENTO_SEMANAL!$B$6:$B$2381,AO$7,PLANEJAMENTO_SEMANAL!$K$6:$K$2381,"&lt;&gt;SEM CULTURA")</f>
        <v>0</v>
      </c>
      <c r="AP27" s="18" t="n">
        <f aca="false">SUMIFS(PLANEJAMENTO_SEMANAL!$H$6:$H$2381,PLANEJAMENTO_SEMANAL!$F$6:$F$2381,$B27,PLANEJAMENTO_SEMANAL!$B$6:$B$2381,AP$7,PLANEJAMENTO_SEMANAL!$K$6:$K$2381,"&lt;&gt;SEM CULTURA")</f>
        <v>0</v>
      </c>
      <c r="AQ27" s="18" t="n">
        <f aca="false">SUMIFS(PLANEJAMENTO_SEMANAL!$H$6:$H$2381,PLANEJAMENTO_SEMANAL!$F$6:$F$2381,$B27,PLANEJAMENTO_SEMANAL!$B$6:$B$2381,AQ$7,PLANEJAMENTO_SEMANAL!$K$6:$K$2381,"&lt;&gt;SEM CULTURA")</f>
        <v>0</v>
      </c>
      <c r="AR27" s="18" t="n">
        <f aca="false">SUMIFS(PLANEJAMENTO_SEMANAL!$H$6:$H$2381,PLANEJAMENTO_SEMANAL!$F$6:$F$2381,$B27,PLANEJAMENTO_SEMANAL!$B$6:$B$2381,AR$7,PLANEJAMENTO_SEMANAL!$K$6:$K$2381,"&lt;&gt;SEM CULTURA")</f>
        <v>0</v>
      </c>
      <c r="AS27" s="18" t="n">
        <f aca="false">SUMIFS(PLANEJAMENTO_SEMANAL!$H$6:$H$2381,PLANEJAMENTO_SEMANAL!$F$6:$F$2381,$B27,PLANEJAMENTO_SEMANAL!$B$6:$B$2381,AS$7,PLANEJAMENTO_SEMANAL!$K$6:$K$2381,"&lt;&gt;SEM CULTURA")</f>
        <v>0</v>
      </c>
      <c r="AT27" s="18" t="n">
        <f aca="false">SUMIFS(PLANEJAMENTO_SEMANAL!$H$6:$H$2381,PLANEJAMENTO_SEMANAL!$F$6:$F$2381,$B27,PLANEJAMENTO_SEMANAL!$B$6:$B$2381,AT$7,PLANEJAMENTO_SEMANAL!$K$6:$K$2381,"&lt;&gt;SEM CULTURA")</f>
        <v>0</v>
      </c>
      <c r="AU27" s="18" t="n">
        <f aca="false">SUMIFS(PLANEJAMENTO_SEMANAL!$H$6:$H$2381,PLANEJAMENTO_SEMANAL!$F$6:$F$2381,$B27,PLANEJAMENTO_SEMANAL!$B$6:$B$2381,AU$7,PLANEJAMENTO_SEMANAL!$K$6:$K$2381,"&lt;&gt;SEM CULTURA")</f>
        <v>0</v>
      </c>
      <c r="AV27" s="18" t="n">
        <f aca="false">SUMIFS(PLANEJAMENTO_SEMANAL!$H$6:$H$2381,PLANEJAMENTO_SEMANAL!$F$6:$F$2381,$B27,PLANEJAMENTO_SEMANAL!$B$6:$B$2381,AV$7,PLANEJAMENTO_SEMANAL!$K$6:$K$2381,"&lt;&gt;SEM CULTURA")</f>
        <v>0</v>
      </c>
      <c r="AW27" s="18" t="n">
        <f aca="false">SUMIFS(PLANEJAMENTO_SEMANAL!$H$6:$H$2381,PLANEJAMENTO_SEMANAL!$F$6:$F$2381,$B27,PLANEJAMENTO_SEMANAL!$B$6:$B$2381,AW$7,PLANEJAMENTO_SEMANAL!$K$6:$K$2381,"&lt;&gt;SEM CULTURA")</f>
        <v>0</v>
      </c>
      <c r="AX27" s="18" t="n">
        <f aca="false">SUMIFS(PLANEJAMENTO_SEMANAL!$H$6:$H$2381,PLANEJAMENTO_SEMANAL!$F$6:$F$2381,$B27,PLANEJAMENTO_SEMANAL!$B$6:$B$2381,AX$7,PLANEJAMENTO_SEMANAL!$K$6:$K$2381,"&lt;&gt;SEM CULTURA")</f>
        <v>0</v>
      </c>
      <c r="AY27" s="18" t="n">
        <f aca="false">SUMIFS(PLANEJAMENTO_SEMANAL!$H$6:$H$2381,PLANEJAMENTO_SEMANAL!$F$6:$F$2381,$B27,PLANEJAMENTO_SEMANAL!$B$6:$B$2381,AY$7,PLANEJAMENTO_SEMANAL!$K$6:$K$2381,"&lt;&gt;SEM CULTURA")</f>
        <v>0</v>
      </c>
      <c r="AZ27" s="18" t="n">
        <f aca="false">SUMIFS(PLANEJAMENTO_SEMANAL!$H$6:$H$2381,PLANEJAMENTO_SEMANAL!$F$6:$F$2381,$B27,PLANEJAMENTO_SEMANAL!$B$6:$B$2381,AZ$7,PLANEJAMENTO_SEMANAL!$K$6:$K$2381,"&lt;&gt;SEM CULTURA")</f>
        <v>0</v>
      </c>
      <c r="BA27" s="18" t="n">
        <f aca="false">SUMIFS(PLANEJAMENTO_SEMANAL!$H$6:$H$2381,PLANEJAMENTO_SEMANAL!$F$6:$F$2381,$B27,PLANEJAMENTO_SEMANAL!$B$6:$B$2381,BA$7,PLANEJAMENTO_SEMANAL!$K$6:$K$2381,"&lt;&gt;SEM CULTURA")</f>
        <v>0</v>
      </c>
      <c r="BB27" s="18" t="n">
        <f aca="false">SUMIFS(PLANEJAMENTO_SEMANAL!$H$6:$H$2381,PLANEJAMENTO_SEMANAL!$F$6:$F$2381,$B27,PLANEJAMENTO_SEMANAL!$B$6:$B$2381,BB$7,PLANEJAMENTO_SEMANAL!$K$6:$K$2381,"&lt;&gt;SEM CULTURA")</f>
        <v>0</v>
      </c>
      <c r="BC27" s="18" t="n">
        <f aca="false">SUMIFS(PLANEJAMENTO_SEMANAL!$H$6:$H$2381,PLANEJAMENTO_SEMANAL!$F$6:$F$2381,$B27,PLANEJAMENTO_SEMANAL!$B$6:$B$2381,BC$7,PLANEJAMENTO_SEMANAL!$K$6:$K$2381,"&lt;&gt;SEM CULTURA")</f>
        <v>0</v>
      </c>
      <c r="BD27" s="18" t="n">
        <f aca="false">SUMIFS(PLANEJAMENTO_SEMANAL!$H$6:$H$2381,PLANEJAMENTO_SEMANAL!$F$6:$F$2381,$B27,PLANEJAMENTO_SEMANAL!$B$6:$B$2381,BD$7,PLANEJAMENTO_SEMANAL!$K$6:$K$2381,"&lt;&gt;SEM CULTURA")</f>
        <v>0</v>
      </c>
      <c r="BE27" s="18" t="n">
        <f aca="false">SUMIFS(PLANEJAMENTO_SEMANAL!$H$6:$H$2381,PLANEJAMENTO_SEMANAL!$F$6:$F$2381,$B27,PLANEJAMENTO_SEMANAL!$B$6:$B$2381,BE$7,PLANEJAMENTO_SEMANAL!$K$6:$K$2381,"&lt;&gt;SEM CULTURA")</f>
        <v>0</v>
      </c>
      <c r="BF27" s="18" t="n">
        <f aca="false">SUMIFS(PLANEJAMENTO_SEMANAL!$H$6:$H$2381,PLANEJAMENTO_SEMANAL!$F$6:$F$2381,$B27,PLANEJAMENTO_SEMANAL!$B$6:$B$2381,BF$7,PLANEJAMENTO_SEMANAL!$K$6:$K$2381,"&lt;&gt;SEM CULTURA")</f>
        <v>0</v>
      </c>
      <c r="BG27" s="18" t="n">
        <f aca="false">SUMIFS(PLANEJAMENTO_SEMANAL!$H$6:$H$2381,PLANEJAMENTO_SEMANAL!$F$6:$F$2381,$B27,PLANEJAMENTO_SEMANAL!$B$6:$B$2381,BG$7,PLANEJAMENTO_SEMANAL!$K$6:$K$2381,"&lt;&gt;SEM CULTURA")</f>
        <v>0</v>
      </c>
      <c r="BH27" s="18" t="n">
        <f aca="false">SUMIFS(PLANEJAMENTO_SEMANAL!$H$6:$H$2381,PLANEJAMENTO_SEMANAL!$F$6:$F$2381,$B27,PLANEJAMENTO_SEMANAL!$B$6:$B$2381,BH$7,PLANEJAMENTO_SEMANAL!$K$6:$K$2381,"&lt;&gt;SEM CULTURA")</f>
        <v>0</v>
      </c>
      <c r="BI27" s="18" t="n">
        <f aca="false">SUMIFS(PLANEJAMENTO_SEMANAL!$H$6:$H$2381,PLANEJAMENTO_SEMANAL!$F$6:$F$2381,$B27,PLANEJAMENTO_SEMANAL!$B$6:$B$2381,BI$7,PLANEJAMENTO_SEMANAL!$K$6:$K$2381,"&lt;&gt;SEM CULTURA")</f>
        <v>0</v>
      </c>
      <c r="BJ27" s="18" t="n">
        <f aca="false">SUMIFS(PLANEJAMENTO_SEMANAL!$H$6:$H$2381,PLANEJAMENTO_SEMANAL!$F$6:$F$2381,$B27,PLANEJAMENTO_SEMANAL!$B$6:$B$2381,BJ$7,PLANEJAMENTO_SEMANAL!$K$6:$K$2381,"&lt;&gt;SEM CULTURA")</f>
        <v>0</v>
      </c>
      <c r="BK27" s="18" t="n">
        <f aca="false">SUMIFS(PLANEJAMENTO_SEMANAL!$H$6:$H$2381,PLANEJAMENTO_SEMANAL!$F$6:$F$2381,$B27,PLANEJAMENTO_SEMANAL!$B$6:$B$2381,BK$7,PLANEJAMENTO_SEMANAL!$K$6:$K$2381,"&lt;&gt;SEM CULTURA")</f>
        <v>0</v>
      </c>
      <c r="BL27" s="18" t="n">
        <f aca="false">SUMIFS(PLANEJAMENTO_SEMANAL!$H$6:$H$2381,PLANEJAMENTO_SEMANAL!$F$6:$F$2381,$B27,PLANEJAMENTO_SEMANAL!$B$6:$B$2381,BL$7,PLANEJAMENTO_SEMANAL!$K$6:$K$2381,"&lt;&gt;SEM CULTURA")</f>
        <v>0</v>
      </c>
      <c r="BM27" s="18" t="n">
        <f aca="false">SUMIFS(PLANEJAMENTO_SEMANAL!$H$6:$H$2381,PLANEJAMENTO_SEMANAL!$F$6:$F$2381,$B27,PLANEJAMENTO_SEMANAL!$B$6:$B$2381,BM$7,PLANEJAMENTO_SEMANAL!$K$6:$K$2381,"&lt;&gt;SEM CULTURA")</f>
        <v>0</v>
      </c>
      <c r="BN27" s="18" t="n">
        <f aca="false">SUMIFS(PLANEJAMENTO_SEMANAL!$H$6:$H$2381,PLANEJAMENTO_SEMANAL!$F$6:$F$2381,$B27,PLANEJAMENTO_SEMANAL!$B$6:$B$2381,BN$7,PLANEJAMENTO_SEMANAL!$K$6:$K$2381,"&lt;&gt;SEM CULTURA")</f>
        <v>0</v>
      </c>
      <c r="BO27" s="18" t="n">
        <f aca="false">SUMIFS(PLANEJAMENTO_SEMANAL!$H$6:$H$2381,PLANEJAMENTO_SEMANAL!$F$6:$F$2381,$B27,PLANEJAMENTO_SEMANAL!$B$6:$B$2381,BO$7,PLANEJAMENTO_SEMANAL!$K$6:$K$2381,"&lt;&gt;SEM CULTURA")</f>
        <v>0</v>
      </c>
      <c r="BP27" s="18" t="n">
        <f aca="false">SUMIFS(PLANEJAMENTO_SEMANAL!$H$6:$H$2381,PLANEJAMENTO_SEMANAL!$F$6:$F$2381,$B27,PLANEJAMENTO_SEMANAL!$B$6:$B$2381,BP$7,PLANEJAMENTO_SEMANAL!$K$6:$K$2381,"&lt;&gt;SEM CULTURA")</f>
        <v>0</v>
      </c>
      <c r="BQ27" s="18" t="n">
        <f aca="false">MAX(C27:BP27)</f>
        <v>0</v>
      </c>
    </row>
    <row r="30" customFormat="false" ht="15" hidden="false" customHeight="false" outlineLevel="0" collapsed="false">
      <c r="B30" s="3" t="s">
        <v>602</v>
      </c>
    </row>
    <row r="31" customFormat="false" ht="15" hidden="false" customHeight="false" outlineLevel="0" collapsed="false">
      <c r="B31" s="14" t="s">
        <v>187</v>
      </c>
      <c r="C31" s="14" t="n">
        <v>1</v>
      </c>
      <c r="D31" s="14" t="n">
        <v>2</v>
      </c>
      <c r="E31" s="14" t="n">
        <v>3</v>
      </c>
      <c r="F31" s="14" t="n">
        <v>4</v>
      </c>
      <c r="G31" s="14" t="n">
        <v>5</v>
      </c>
      <c r="H31" s="14" t="n">
        <v>6</v>
      </c>
      <c r="I31" s="14" t="n">
        <v>7</v>
      </c>
      <c r="J31" s="14" t="n">
        <v>8</v>
      </c>
      <c r="K31" s="14" t="n">
        <v>9</v>
      </c>
      <c r="L31" s="14" t="n">
        <v>10</v>
      </c>
      <c r="M31" s="14" t="n">
        <v>11</v>
      </c>
      <c r="N31" s="14" t="n">
        <v>12</v>
      </c>
      <c r="O31" s="14" t="n">
        <v>13</v>
      </c>
      <c r="P31" s="14" t="n">
        <v>14</v>
      </c>
      <c r="Q31" s="14" t="n">
        <v>15</v>
      </c>
      <c r="R31" s="14" t="n">
        <v>16</v>
      </c>
      <c r="S31" s="14" t="n">
        <v>17</v>
      </c>
      <c r="T31" s="14" t="n">
        <v>18</v>
      </c>
      <c r="U31" s="14" t="n">
        <v>19</v>
      </c>
      <c r="V31" s="14" t="n">
        <v>20</v>
      </c>
      <c r="W31" s="14" t="n">
        <v>21</v>
      </c>
      <c r="X31" s="14" t="n">
        <v>22</v>
      </c>
      <c r="Y31" s="14" t="n">
        <v>23</v>
      </c>
      <c r="Z31" s="14" t="n">
        <v>24</v>
      </c>
      <c r="AA31" s="14" t="n">
        <v>25</v>
      </c>
      <c r="AB31" s="14" t="n">
        <v>26</v>
      </c>
      <c r="AC31" s="14" t="n">
        <v>27</v>
      </c>
      <c r="AD31" s="14" t="n">
        <v>28</v>
      </c>
      <c r="AE31" s="14" t="n">
        <v>29</v>
      </c>
      <c r="AF31" s="14" t="n">
        <v>30</v>
      </c>
      <c r="AG31" s="14" t="n">
        <v>31</v>
      </c>
      <c r="AH31" s="14" t="n">
        <v>32</v>
      </c>
      <c r="AI31" s="14" t="n">
        <v>33</v>
      </c>
      <c r="AJ31" s="14" t="n">
        <v>34</v>
      </c>
      <c r="AK31" s="14" t="n">
        <v>35</v>
      </c>
      <c r="AL31" s="14" t="n">
        <v>36</v>
      </c>
      <c r="AM31" s="14" t="n">
        <v>37</v>
      </c>
      <c r="AN31" s="14" t="n">
        <v>38</v>
      </c>
      <c r="AO31" s="14" t="n">
        <v>39</v>
      </c>
      <c r="AP31" s="14" t="n">
        <v>40</v>
      </c>
      <c r="AQ31" s="14" t="n">
        <v>41</v>
      </c>
      <c r="AR31" s="14" t="n">
        <v>42</v>
      </c>
      <c r="AS31" s="14" t="n">
        <v>43</v>
      </c>
      <c r="AT31" s="14" t="n">
        <v>44</v>
      </c>
      <c r="AU31" s="14" t="n">
        <v>45</v>
      </c>
      <c r="AV31" s="14" t="n">
        <v>46</v>
      </c>
      <c r="AW31" s="14" t="n">
        <v>47</v>
      </c>
      <c r="AX31" s="14" t="n">
        <v>48</v>
      </c>
      <c r="AY31" s="14" t="n">
        <v>49</v>
      </c>
      <c r="AZ31" s="14" t="n">
        <v>50</v>
      </c>
      <c r="BA31" s="14" t="n">
        <v>51</v>
      </c>
      <c r="BB31" s="14" t="n">
        <v>52</v>
      </c>
      <c r="BC31" s="14" t="n">
        <v>53</v>
      </c>
      <c r="BD31" s="14" t="n">
        <v>54</v>
      </c>
      <c r="BE31" s="14" t="n">
        <v>55</v>
      </c>
      <c r="BF31" s="14" t="n">
        <v>56</v>
      </c>
      <c r="BG31" s="14" t="n">
        <v>57</v>
      </c>
      <c r="BH31" s="14" t="n">
        <v>58</v>
      </c>
      <c r="BI31" s="14" t="n">
        <v>59</v>
      </c>
      <c r="BJ31" s="14" t="n">
        <v>60</v>
      </c>
      <c r="BK31" s="14" t="n">
        <v>61</v>
      </c>
      <c r="BL31" s="14" t="n">
        <v>62</v>
      </c>
      <c r="BM31" s="14" t="n">
        <v>63</v>
      </c>
      <c r="BN31" s="14" t="n">
        <v>64</v>
      </c>
      <c r="BO31" s="14" t="n">
        <v>65</v>
      </c>
      <c r="BP31" s="14" t="n">
        <v>66</v>
      </c>
      <c r="BQ31" s="14" t="s">
        <v>599</v>
      </c>
    </row>
    <row r="32" customFormat="false" ht="15" hidden="false" customHeight="false" outlineLevel="0" collapsed="false">
      <c r="B32" s="15" t="s">
        <v>128</v>
      </c>
      <c r="C32" s="18" t="n">
        <f aca="false">SUMIFS(PLANEJAMENTO_SEMANAL!$AB$6:$AB$2381,PLANEJAMENTO_SEMANAL!$F$6:$F$2381,$B32,PLANEJAMENTO_SEMANAL!$B$6:$B$2381,C$7)</f>
        <v>0</v>
      </c>
      <c r="D32" s="18" t="n">
        <f aca="false">SUMIFS(PLANEJAMENTO_SEMANAL!$AB$6:$AB$2381,PLANEJAMENTO_SEMANAL!$F$6:$F$2381,$B32,PLANEJAMENTO_SEMANAL!$B$6:$B$2381,D$7)</f>
        <v>0</v>
      </c>
      <c r="E32" s="18" t="n">
        <f aca="false">SUMIFS(PLANEJAMENTO_SEMANAL!$AB$6:$AB$2381,PLANEJAMENTO_SEMANAL!$F$6:$F$2381,$B32,PLANEJAMENTO_SEMANAL!$B$6:$B$2381,E$7)</f>
        <v>0</v>
      </c>
      <c r="F32" s="18" t="n">
        <f aca="false">SUMIFS(PLANEJAMENTO_SEMANAL!$AB$6:$AB$2381,PLANEJAMENTO_SEMANAL!$F$6:$F$2381,$B32,PLANEJAMENTO_SEMANAL!$B$6:$B$2381,F$7)</f>
        <v>0</v>
      </c>
      <c r="G32" s="18" t="n">
        <f aca="false">SUMIFS(PLANEJAMENTO_SEMANAL!$AB$6:$AB$2381,PLANEJAMENTO_SEMANAL!$F$6:$F$2381,$B32,PLANEJAMENTO_SEMANAL!$B$6:$B$2381,G$7)</f>
        <v>1.87105882352941</v>
      </c>
      <c r="H32" s="18" t="n">
        <f aca="false">SUMIFS(PLANEJAMENTO_SEMANAL!$AB$6:$AB$2381,PLANEJAMENTO_SEMANAL!$F$6:$F$2381,$B32,PLANEJAMENTO_SEMANAL!$B$6:$B$2381,H$7)</f>
        <v>0</v>
      </c>
      <c r="I32" s="18" t="n">
        <f aca="false">SUMIFS(PLANEJAMENTO_SEMANAL!$AB$6:$AB$2381,PLANEJAMENTO_SEMANAL!$F$6:$F$2381,$B32,PLANEJAMENTO_SEMANAL!$B$6:$B$2381,I$7)</f>
        <v>0</v>
      </c>
      <c r="J32" s="18" t="n">
        <f aca="false">SUMIFS(PLANEJAMENTO_SEMANAL!$AB$6:$AB$2381,PLANEJAMENTO_SEMANAL!$F$6:$F$2381,$B32,PLANEJAMENTO_SEMANAL!$B$6:$B$2381,J$7)</f>
        <v>4.25435294117647</v>
      </c>
      <c r="K32" s="18" t="n">
        <f aca="false">SUMIFS(PLANEJAMENTO_SEMANAL!$AB$6:$AB$2381,PLANEJAMENTO_SEMANAL!$F$6:$F$2381,$B32,PLANEJAMENTO_SEMANAL!$B$6:$B$2381,K$7)</f>
        <v>12.6953769063181</v>
      </c>
      <c r="L32" s="18" t="n">
        <f aca="false">SUMIFS(PLANEJAMENTO_SEMANAL!$AB$6:$AB$2381,PLANEJAMENTO_SEMANAL!$F$6:$F$2381,$B32,PLANEJAMENTO_SEMANAL!$B$6:$B$2381,L$7)</f>
        <v>0</v>
      </c>
      <c r="M32" s="18" t="n">
        <f aca="false">SUMIFS(PLANEJAMENTO_SEMANAL!$AB$6:$AB$2381,PLANEJAMENTO_SEMANAL!$F$6:$F$2381,$B32,PLANEJAMENTO_SEMANAL!$B$6:$B$2381,M$7)</f>
        <v>3.44729411764705</v>
      </c>
      <c r="N32" s="18" t="n">
        <f aca="false">SUMIFS(PLANEJAMENTO_SEMANAL!$AB$6:$AB$2381,PLANEJAMENTO_SEMANAL!$F$6:$F$2381,$B32,PLANEJAMENTO_SEMANAL!$B$6:$B$2381,N$7)</f>
        <v>3.44729411764705</v>
      </c>
      <c r="O32" s="18" t="n">
        <f aca="false">SUMIFS(PLANEJAMENTO_SEMANAL!$AB$6:$AB$2381,PLANEJAMENTO_SEMANAL!$F$6:$F$2381,$B32,PLANEJAMENTO_SEMANAL!$B$6:$B$2381,O$7)</f>
        <v>3.44729411764705</v>
      </c>
      <c r="P32" s="18" t="n">
        <f aca="false">SUMIFS(PLANEJAMENTO_SEMANAL!$AB$6:$AB$2381,PLANEJAMENTO_SEMANAL!$F$6:$F$2381,$B32,PLANEJAMENTO_SEMANAL!$B$6:$B$2381,P$7)</f>
        <v>0</v>
      </c>
      <c r="Q32" s="18" t="n">
        <f aca="false">SUMIFS(PLANEJAMENTO_SEMANAL!$AB$6:$AB$2381,PLANEJAMENTO_SEMANAL!$F$6:$F$2381,$B32,PLANEJAMENTO_SEMANAL!$B$6:$B$2381,Q$7)</f>
        <v>0</v>
      </c>
      <c r="R32" s="18" t="n">
        <f aca="false">SUMIFS(PLANEJAMENTO_SEMANAL!$AB$6:$AB$2381,PLANEJAMENTO_SEMANAL!$F$6:$F$2381,$B32,PLANEJAMENTO_SEMANAL!$B$6:$B$2381,R$7)</f>
        <v>0</v>
      </c>
      <c r="S32" s="18" t="n">
        <f aca="false">SUMIFS(PLANEJAMENTO_SEMANAL!$AB$6:$AB$2381,PLANEJAMENTO_SEMANAL!$F$6:$F$2381,$B32,PLANEJAMENTO_SEMANAL!$B$6:$B$2381,S$7)</f>
        <v>0</v>
      </c>
      <c r="T32" s="18" t="n">
        <f aca="false">SUMIFS(PLANEJAMENTO_SEMANAL!$AB$6:$AB$2381,PLANEJAMENTO_SEMANAL!$F$6:$F$2381,$B32,PLANEJAMENTO_SEMANAL!$B$6:$B$2381,T$7)</f>
        <v>0</v>
      </c>
      <c r="U32" s="18" t="n">
        <f aca="false">SUMIFS(PLANEJAMENTO_SEMANAL!$AB$6:$AB$2381,PLANEJAMENTO_SEMANAL!$F$6:$F$2381,$B32,PLANEJAMENTO_SEMANAL!$B$6:$B$2381,U$7)</f>
        <v>0</v>
      </c>
      <c r="V32" s="18" t="n">
        <f aca="false">SUMIFS(PLANEJAMENTO_SEMANAL!$AB$6:$AB$2381,PLANEJAMENTO_SEMANAL!$F$6:$F$2381,$B32,PLANEJAMENTO_SEMANAL!$B$6:$B$2381,V$7)</f>
        <v>0</v>
      </c>
      <c r="W32" s="18" t="n">
        <f aca="false">SUMIFS(PLANEJAMENTO_SEMANAL!$AB$6:$AB$2381,PLANEJAMENTO_SEMANAL!$F$6:$F$2381,$B32,PLANEJAMENTO_SEMANAL!$B$6:$B$2381,W$7)</f>
        <v>0</v>
      </c>
      <c r="X32" s="18" t="n">
        <f aca="false">SUMIFS(PLANEJAMENTO_SEMANAL!$AB$6:$AB$2381,PLANEJAMENTO_SEMANAL!$F$6:$F$2381,$B32,PLANEJAMENTO_SEMANAL!$B$6:$B$2381,X$7)</f>
        <v>0</v>
      </c>
      <c r="Y32" s="18" t="n">
        <f aca="false">SUMIFS(PLANEJAMENTO_SEMANAL!$AB$6:$AB$2381,PLANEJAMENTO_SEMANAL!$F$6:$F$2381,$B32,PLANEJAMENTO_SEMANAL!$B$6:$B$2381,Y$7)</f>
        <v>0</v>
      </c>
      <c r="Z32" s="18" t="n">
        <f aca="false">SUMIFS(PLANEJAMENTO_SEMANAL!$AB$6:$AB$2381,PLANEJAMENTO_SEMANAL!$F$6:$F$2381,$B32,PLANEJAMENTO_SEMANAL!$B$6:$B$2381,Z$7)</f>
        <v>0</v>
      </c>
      <c r="AA32" s="18" t="n">
        <f aca="false">SUMIFS(PLANEJAMENTO_SEMANAL!$AB$6:$AB$2381,PLANEJAMENTO_SEMANAL!$F$6:$F$2381,$B32,PLANEJAMENTO_SEMANAL!$B$6:$B$2381,AA$7)</f>
        <v>0</v>
      </c>
      <c r="AB32" s="18" t="n">
        <f aca="false">SUMIFS(PLANEJAMENTO_SEMANAL!$AB$6:$AB$2381,PLANEJAMENTO_SEMANAL!$F$6:$F$2381,$B32,PLANEJAMENTO_SEMANAL!$B$6:$B$2381,AB$7)</f>
        <v>0</v>
      </c>
      <c r="AC32" s="18" t="n">
        <f aca="false">SUMIFS(PLANEJAMENTO_SEMANAL!$AB$6:$AB$2381,PLANEJAMENTO_SEMANAL!$F$6:$F$2381,$B32,PLANEJAMENTO_SEMANAL!$B$6:$B$2381,AC$7)</f>
        <v>0</v>
      </c>
      <c r="AD32" s="18" t="n">
        <f aca="false">SUMIFS(PLANEJAMENTO_SEMANAL!$AB$6:$AB$2381,PLANEJAMENTO_SEMANAL!$F$6:$F$2381,$B32,PLANEJAMENTO_SEMANAL!$B$6:$B$2381,AD$7)</f>
        <v>0</v>
      </c>
      <c r="AE32" s="18" t="n">
        <f aca="false">SUMIFS(PLANEJAMENTO_SEMANAL!$AB$6:$AB$2381,PLANEJAMENTO_SEMANAL!$F$6:$F$2381,$B32,PLANEJAMENTO_SEMANAL!$B$6:$B$2381,AE$7)</f>
        <v>0</v>
      </c>
      <c r="AF32" s="18" t="n">
        <f aca="false">SUMIFS(PLANEJAMENTO_SEMANAL!$AB$6:$AB$2381,PLANEJAMENTO_SEMANAL!$F$6:$F$2381,$B32,PLANEJAMENTO_SEMANAL!$B$6:$B$2381,AF$7)</f>
        <v>0</v>
      </c>
      <c r="AG32" s="18" t="n">
        <f aca="false">SUMIFS(PLANEJAMENTO_SEMANAL!$AB$6:$AB$2381,PLANEJAMENTO_SEMANAL!$F$6:$F$2381,$B32,PLANEJAMENTO_SEMANAL!$B$6:$B$2381,AG$7)</f>
        <v>7.12926975287155</v>
      </c>
      <c r="AH32" s="18" t="n">
        <f aca="false">SUMIFS(PLANEJAMENTO_SEMANAL!$AB$6:$AB$2381,PLANEJAMENTO_SEMANAL!$F$6:$F$2381,$B32,PLANEJAMENTO_SEMANAL!$B$6:$B$2381,AH$7)</f>
        <v>24.2976554124608</v>
      </c>
      <c r="AI32" s="18" t="n">
        <f aca="false">SUMIFS(PLANEJAMENTO_SEMANAL!$AB$6:$AB$2381,PLANEJAMENTO_SEMANAL!$F$6:$F$2381,$B32,PLANEJAMENTO_SEMANAL!$B$6:$B$2381,AI$7)</f>
        <v>30.0282506091194</v>
      </c>
      <c r="AJ32" s="18" t="n">
        <f aca="false">SUMIFS(PLANEJAMENTO_SEMANAL!$AB$6:$AB$2381,PLANEJAMENTO_SEMANAL!$F$6:$F$2381,$B32,PLANEJAMENTO_SEMANAL!$B$6:$B$2381,AJ$7)</f>
        <v>35.7588458057779</v>
      </c>
      <c r="AK32" s="18" t="n">
        <f aca="false">SUMIFS(PLANEJAMENTO_SEMANAL!$AB$6:$AB$2381,PLANEJAMENTO_SEMANAL!$F$6:$F$2381,$B32,PLANEJAMENTO_SEMANAL!$B$6:$B$2381,AK$7)</f>
        <v>41.9127058823529</v>
      </c>
      <c r="AL32" s="18" t="n">
        <f aca="false">SUMIFS(PLANEJAMENTO_SEMANAL!$AB$6:$AB$2381,PLANEJAMENTO_SEMANAL!$F$6:$F$2381,$B32,PLANEJAMENTO_SEMANAL!$B$6:$B$2381,AL$7)</f>
        <v>51.2597647058824</v>
      </c>
      <c r="AM32" s="18" t="n">
        <f aca="false">SUMIFS(PLANEJAMENTO_SEMANAL!$AB$6:$AB$2381,PLANEJAMENTO_SEMANAL!$F$6:$F$2381,$B32,PLANEJAMENTO_SEMANAL!$B$6:$B$2381,AM$7)</f>
        <v>51.2597647058824</v>
      </c>
      <c r="AN32" s="18" t="n">
        <f aca="false">SUMIFS(PLANEJAMENTO_SEMANAL!$AB$6:$AB$2381,PLANEJAMENTO_SEMANAL!$F$6:$F$2381,$B32,PLANEJAMENTO_SEMANAL!$B$6:$B$2381,AN$7)</f>
        <v>51.2597647058824</v>
      </c>
      <c r="AO32" s="18" t="n">
        <f aca="false">SUMIFS(PLANEJAMENTO_SEMANAL!$AB$6:$AB$2381,PLANEJAMENTO_SEMANAL!$F$6:$F$2381,$B32,PLANEJAMENTO_SEMANAL!$B$6:$B$2381,AO$7)</f>
        <v>51.2597647058824</v>
      </c>
      <c r="AP32" s="18" t="n">
        <f aca="false">SUMIFS(PLANEJAMENTO_SEMANAL!$AB$6:$AB$2381,PLANEJAMENTO_SEMANAL!$F$6:$F$2381,$B32,PLANEJAMENTO_SEMANAL!$B$6:$B$2381,AP$7)</f>
        <v>51.4376470588235</v>
      </c>
      <c r="AQ32" s="18" t="n">
        <f aca="false">SUMIFS(PLANEJAMENTO_SEMANAL!$AB$6:$AB$2381,PLANEJAMENTO_SEMANAL!$F$6:$F$2381,$B32,PLANEJAMENTO_SEMANAL!$B$6:$B$2381,AQ$7)</f>
        <v>51.4672941176471</v>
      </c>
      <c r="AR32" s="18" t="n">
        <f aca="false">SUMIFS(PLANEJAMENTO_SEMANAL!$AB$6:$AB$2381,PLANEJAMENTO_SEMANAL!$F$6:$F$2381,$B32,PLANEJAMENTO_SEMANAL!$B$6:$B$2381,AR$7)</f>
        <v>51.4672941176471</v>
      </c>
      <c r="AS32" s="18" t="n">
        <f aca="false">SUMIFS(PLANEJAMENTO_SEMANAL!$AB$6:$AB$2381,PLANEJAMENTO_SEMANAL!$F$6:$F$2381,$B32,PLANEJAMENTO_SEMANAL!$B$6:$B$2381,AS$7)</f>
        <v>51.4672941176471</v>
      </c>
      <c r="AT32" s="18" t="n">
        <f aca="false">SUMIFS(PLANEJAMENTO_SEMANAL!$AB$6:$AB$2381,PLANEJAMENTO_SEMANAL!$F$6:$F$2381,$B32,PLANEJAMENTO_SEMANAL!$B$6:$B$2381,AT$7)</f>
        <v>50.9117104072398</v>
      </c>
      <c r="AU32" s="18" t="n">
        <f aca="false">SUMIFS(PLANEJAMENTO_SEMANAL!$AB$6:$AB$2381,PLANEJAMENTO_SEMANAL!$F$6:$F$2381,$B32,PLANEJAMENTO_SEMANAL!$B$6:$B$2381,AU$7)</f>
        <v>49.2987933634992</v>
      </c>
      <c r="AV32" s="18" t="n">
        <f aca="false">SUMIFS(PLANEJAMENTO_SEMANAL!$AB$6:$AB$2381,PLANEJAMENTO_SEMANAL!$F$6:$F$2381,$B32,PLANEJAMENTO_SEMANAL!$B$6:$B$2381,AV$7)</f>
        <v>45.8030165912519</v>
      </c>
      <c r="AW32" s="18" t="n">
        <f aca="false">SUMIFS(PLANEJAMENTO_SEMANAL!$AB$6:$AB$2381,PLANEJAMENTO_SEMANAL!$F$6:$F$2381,$B32,PLANEJAMENTO_SEMANAL!$B$6:$B$2381,AW$7)</f>
        <v>42.3072398190045</v>
      </c>
      <c r="AX32" s="18" t="n">
        <f aca="false">SUMIFS(PLANEJAMENTO_SEMANAL!$AB$6:$AB$2381,PLANEJAMENTO_SEMANAL!$F$6:$F$2381,$B32,PLANEJAMENTO_SEMANAL!$B$6:$B$2381,AX$7)</f>
        <v>39.9204585218703</v>
      </c>
      <c r="AY32" s="18" t="n">
        <f aca="false">SUMIFS(PLANEJAMENTO_SEMANAL!$AB$6:$AB$2381,PLANEJAMENTO_SEMANAL!$F$6:$F$2381,$B32,PLANEJAMENTO_SEMANAL!$B$6:$B$2381,AY$7)</f>
        <v>42.3469803921569</v>
      </c>
      <c r="AZ32" s="18" t="n">
        <f aca="false">SUMIFS(PLANEJAMENTO_SEMANAL!$AB$6:$AB$2381,PLANEJAMENTO_SEMANAL!$F$6:$F$2381,$B32,PLANEJAMENTO_SEMANAL!$B$6:$B$2381,AZ$7)</f>
        <v>38.1195294117647</v>
      </c>
      <c r="BA32" s="18" t="n">
        <f aca="false">SUMIFS(PLANEJAMENTO_SEMANAL!$AB$6:$AB$2381,PLANEJAMENTO_SEMANAL!$F$6:$F$2381,$B32,PLANEJAMENTO_SEMANAL!$B$6:$B$2381,BA$7)</f>
        <v>0</v>
      </c>
      <c r="BB32" s="18" t="n">
        <f aca="false">SUMIFS(PLANEJAMENTO_SEMANAL!$AB$6:$AB$2381,PLANEJAMENTO_SEMANAL!$F$6:$F$2381,$B32,PLANEJAMENTO_SEMANAL!$B$6:$B$2381,BB$7)</f>
        <v>0</v>
      </c>
      <c r="BC32" s="18" t="n">
        <f aca="false">SUMIFS(PLANEJAMENTO_SEMANAL!$AB$6:$AB$2381,PLANEJAMENTO_SEMANAL!$F$6:$F$2381,$B32,PLANEJAMENTO_SEMANAL!$B$6:$B$2381,BC$7)</f>
        <v>0</v>
      </c>
      <c r="BD32" s="18" t="n">
        <f aca="false">SUMIFS(PLANEJAMENTO_SEMANAL!$AB$6:$AB$2381,PLANEJAMENTO_SEMANAL!$F$6:$F$2381,$B32,PLANEJAMENTO_SEMANAL!$B$6:$B$2381,BD$7)</f>
        <v>0</v>
      </c>
      <c r="BE32" s="18" t="n">
        <f aca="false">SUMIFS(PLANEJAMENTO_SEMANAL!$AB$6:$AB$2381,PLANEJAMENTO_SEMANAL!$F$6:$F$2381,$B32,PLANEJAMENTO_SEMANAL!$B$6:$B$2381,BE$7)</f>
        <v>0</v>
      </c>
      <c r="BF32" s="18" t="n">
        <f aca="false">SUMIFS(PLANEJAMENTO_SEMANAL!$AB$6:$AB$2381,PLANEJAMENTO_SEMANAL!$F$6:$F$2381,$B32,PLANEJAMENTO_SEMANAL!$B$6:$B$2381,BF$7)</f>
        <v>0</v>
      </c>
      <c r="BG32" s="18" t="n">
        <f aca="false">SUMIFS(PLANEJAMENTO_SEMANAL!$AB$6:$AB$2381,PLANEJAMENTO_SEMANAL!$F$6:$F$2381,$B32,PLANEJAMENTO_SEMANAL!$B$6:$B$2381,BG$7)</f>
        <v>0</v>
      </c>
      <c r="BH32" s="18" t="n">
        <f aca="false">SUMIFS(PLANEJAMENTO_SEMANAL!$AB$6:$AB$2381,PLANEJAMENTO_SEMANAL!$F$6:$F$2381,$B32,PLANEJAMENTO_SEMANAL!$B$6:$B$2381,BH$7)</f>
        <v>0</v>
      </c>
      <c r="BI32" s="18" t="n">
        <f aca="false">SUMIFS(PLANEJAMENTO_SEMANAL!$AB$6:$AB$2381,PLANEJAMENTO_SEMANAL!$F$6:$F$2381,$B32,PLANEJAMENTO_SEMANAL!$B$6:$B$2381,BI$7)</f>
        <v>0</v>
      </c>
      <c r="BJ32" s="18" t="n">
        <f aca="false">SUMIFS(PLANEJAMENTO_SEMANAL!$AB$6:$AB$2381,PLANEJAMENTO_SEMANAL!$F$6:$F$2381,$B32,PLANEJAMENTO_SEMANAL!$B$6:$B$2381,BJ$7)</f>
        <v>0</v>
      </c>
      <c r="BK32" s="18" t="n">
        <f aca="false">SUMIFS(PLANEJAMENTO_SEMANAL!$AB$6:$AB$2381,PLANEJAMENTO_SEMANAL!$F$6:$F$2381,$B32,PLANEJAMENTO_SEMANAL!$B$6:$B$2381,BK$7)</f>
        <v>0</v>
      </c>
      <c r="BL32" s="18" t="n">
        <f aca="false">SUMIFS(PLANEJAMENTO_SEMANAL!$AB$6:$AB$2381,PLANEJAMENTO_SEMANAL!$F$6:$F$2381,$B32,PLANEJAMENTO_SEMANAL!$B$6:$B$2381,BL$7)</f>
        <v>0</v>
      </c>
      <c r="BM32" s="18" t="n">
        <f aca="false">SUMIFS(PLANEJAMENTO_SEMANAL!$AB$6:$AB$2381,PLANEJAMENTO_SEMANAL!$F$6:$F$2381,$B32,PLANEJAMENTO_SEMANAL!$B$6:$B$2381,BM$7)</f>
        <v>0</v>
      </c>
      <c r="BN32" s="18" t="n">
        <f aca="false">SUMIFS(PLANEJAMENTO_SEMANAL!$AB$6:$AB$2381,PLANEJAMENTO_SEMANAL!$F$6:$F$2381,$B32,PLANEJAMENTO_SEMANAL!$B$6:$B$2381,BN$7)</f>
        <v>0</v>
      </c>
      <c r="BO32" s="18" t="n">
        <f aca="false">SUMIFS(PLANEJAMENTO_SEMANAL!$AB$6:$AB$2381,PLANEJAMENTO_SEMANAL!$F$6:$F$2381,$B32,PLANEJAMENTO_SEMANAL!$B$6:$B$2381,BO$7)</f>
        <v>0</v>
      </c>
      <c r="BP32" s="18" t="n">
        <f aca="false">SUMIFS(PLANEJAMENTO_SEMANAL!$AB$6:$AB$2381,PLANEJAMENTO_SEMANAL!$F$6:$F$2381,$B32,PLANEJAMENTO_SEMANAL!$B$6:$B$2381,BP$7)</f>
        <v>0</v>
      </c>
      <c r="BQ32" s="18" t="n">
        <f aca="false">SUM(C32:BP32)</f>
        <v>887.875715228629</v>
      </c>
    </row>
    <row r="33" customFormat="false" ht="15" hidden="false" customHeight="false" outlineLevel="0" collapsed="false">
      <c r="B33" s="15" t="s">
        <v>129</v>
      </c>
      <c r="C33" s="18" t="n">
        <f aca="false">SUMIFS(PLANEJAMENTO_SEMANAL!$AB$6:$AB$2381,PLANEJAMENTO_SEMANAL!$F$6:$F$2381,$B33,PLANEJAMENTO_SEMANAL!$B$6:$B$2381,C$7)</f>
        <v>31.4127058823529</v>
      </c>
      <c r="D33" s="18" t="n">
        <f aca="false">SUMIFS(PLANEJAMENTO_SEMANAL!$AB$6:$AB$2381,PLANEJAMENTO_SEMANAL!$F$6:$F$2381,$B33,PLANEJAMENTO_SEMANAL!$B$6:$B$2381,D$7)</f>
        <v>0</v>
      </c>
      <c r="E33" s="18" t="n">
        <f aca="false">SUMIFS(PLANEJAMENTO_SEMANAL!$AB$6:$AB$2381,PLANEJAMENTO_SEMANAL!$F$6:$F$2381,$B33,PLANEJAMENTO_SEMANAL!$B$6:$B$2381,E$7)</f>
        <v>0</v>
      </c>
      <c r="F33" s="18" t="n">
        <f aca="false">SUMIFS(PLANEJAMENTO_SEMANAL!$AB$6:$AB$2381,PLANEJAMENTO_SEMANAL!$F$6:$F$2381,$B33,PLANEJAMENTO_SEMANAL!$B$6:$B$2381,F$7)</f>
        <v>0</v>
      </c>
      <c r="G33" s="18" t="n">
        <f aca="false">SUMIFS(PLANEJAMENTO_SEMANAL!$AB$6:$AB$2381,PLANEJAMENTO_SEMANAL!$F$6:$F$2381,$B33,PLANEJAMENTO_SEMANAL!$B$6:$B$2381,G$7)</f>
        <v>1.87105882352941</v>
      </c>
      <c r="H33" s="18" t="n">
        <f aca="false">SUMIFS(PLANEJAMENTO_SEMANAL!$AB$6:$AB$2381,PLANEJAMENTO_SEMANAL!$F$6:$F$2381,$B33,PLANEJAMENTO_SEMANAL!$B$6:$B$2381,H$7)</f>
        <v>0</v>
      </c>
      <c r="I33" s="18" t="n">
        <f aca="false">SUMIFS(PLANEJAMENTO_SEMANAL!$AB$6:$AB$2381,PLANEJAMENTO_SEMANAL!$F$6:$F$2381,$B33,PLANEJAMENTO_SEMANAL!$B$6:$B$2381,I$7)</f>
        <v>0</v>
      </c>
      <c r="J33" s="18" t="n">
        <f aca="false">SUMIFS(PLANEJAMENTO_SEMANAL!$AB$6:$AB$2381,PLANEJAMENTO_SEMANAL!$F$6:$F$2381,$B33,PLANEJAMENTO_SEMANAL!$B$6:$B$2381,J$7)</f>
        <v>3.63423652879442</v>
      </c>
      <c r="K33" s="18" t="n">
        <f aca="false">SUMIFS(PLANEJAMENTO_SEMANAL!$AB$6:$AB$2381,PLANEJAMENTO_SEMANAL!$F$6:$F$2381,$B33,PLANEJAMENTO_SEMANAL!$B$6:$B$2381,K$7)</f>
        <v>11.7204681188817</v>
      </c>
      <c r="L33" s="18" t="n">
        <f aca="false">SUMIFS(PLANEJAMENTO_SEMANAL!$AB$6:$AB$2381,PLANEJAMENTO_SEMANAL!$F$6:$F$2381,$B33,PLANEJAMENTO_SEMANAL!$B$6:$B$2381,L$7)</f>
        <v>0</v>
      </c>
      <c r="M33" s="18" t="n">
        <f aca="false">SUMIFS(PLANEJAMENTO_SEMANAL!$AB$6:$AB$2381,PLANEJAMENTO_SEMANAL!$F$6:$F$2381,$B33,PLANEJAMENTO_SEMANAL!$B$6:$B$2381,M$7)</f>
        <v>3.44729411764705</v>
      </c>
      <c r="N33" s="18" t="n">
        <f aca="false">SUMIFS(PLANEJAMENTO_SEMANAL!$AB$6:$AB$2381,PLANEJAMENTO_SEMANAL!$F$6:$F$2381,$B33,PLANEJAMENTO_SEMANAL!$B$6:$B$2381,N$7)</f>
        <v>3.44729411764705</v>
      </c>
      <c r="O33" s="18" t="n">
        <f aca="false">SUMIFS(PLANEJAMENTO_SEMANAL!$AB$6:$AB$2381,PLANEJAMENTO_SEMANAL!$F$6:$F$2381,$B33,PLANEJAMENTO_SEMANAL!$B$6:$B$2381,O$7)</f>
        <v>3.44729411764705</v>
      </c>
      <c r="P33" s="18" t="n">
        <f aca="false">SUMIFS(PLANEJAMENTO_SEMANAL!$AB$6:$AB$2381,PLANEJAMENTO_SEMANAL!$F$6:$F$2381,$B33,PLANEJAMENTO_SEMANAL!$B$6:$B$2381,P$7)</f>
        <v>0</v>
      </c>
      <c r="Q33" s="18" t="n">
        <f aca="false">SUMIFS(PLANEJAMENTO_SEMANAL!$AB$6:$AB$2381,PLANEJAMENTO_SEMANAL!$F$6:$F$2381,$B33,PLANEJAMENTO_SEMANAL!$B$6:$B$2381,Q$7)</f>
        <v>0</v>
      </c>
      <c r="R33" s="18" t="n">
        <f aca="false">SUMIFS(PLANEJAMENTO_SEMANAL!$AB$6:$AB$2381,PLANEJAMENTO_SEMANAL!$F$6:$F$2381,$B33,PLANEJAMENTO_SEMANAL!$B$6:$B$2381,R$7)</f>
        <v>0</v>
      </c>
      <c r="S33" s="18" t="n">
        <f aca="false">SUMIFS(PLANEJAMENTO_SEMANAL!$AB$6:$AB$2381,PLANEJAMENTO_SEMANAL!$F$6:$F$2381,$B33,PLANEJAMENTO_SEMANAL!$B$6:$B$2381,S$7)</f>
        <v>0</v>
      </c>
      <c r="T33" s="18" t="n">
        <f aca="false">SUMIFS(PLANEJAMENTO_SEMANAL!$AB$6:$AB$2381,PLANEJAMENTO_SEMANAL!$F$6:$F$2381,$B33,PLANEJAMENTO_SEMANAL!$B$6:$B$2381,T$7)</f>
        <v>0</v>
      </c>
      <c r="U33" s="18" t="n">
        <f aca="false">SUMIFS(PLANEJAMENTO_SEMANAL!$AB$6:$AB$2381,PLANEJAMENTO_SEMANAL!$F$6:$F$2381,$B33,PLANEJAMENTO_SEMANAL!$B$6:$B$2381,U$7)</f>
        <v>0</v>
      </c>
      <c r="V33" s="18" t="n">
        <f aca="false">SUMIFS(PLANEJAMENTO_SEMANAL!$AB$6:$AB$2381,PLANEJAMENTO_SEMANAL!$F$6:$F$2381,$B33,PLANEJAMENTO_SEMANAL!$B$6:$B$2381,V$7)</f>
        <v>0</v>
      </c>
      <c r="W33" s="18" t="n">
        <f aca="false">SUMIFS(PLANEJAMENTO_SEMANAL!$AB$6:$AB$2381,PLANEJAMENTO_SEMANAL!$F$6:$F$2381,$B33,PLANEJAMENTO_SEMANAL!$B$6:$B$2381,W$7)</f>
        <v>0</v>
      </c>
      <c r="X33" s="18" t="n">
        <f aca="false">SUMIFS(PLANEJAMENTO_SEMANAL!$AB$6:$AB$2381,PLANEJAMENTO_SEMANAL!$F$6:$F$2381,$B33,PLANEJAMENTO_SEMANAL!$B$6:$B$2381,X$7)</f>
        <v>0</v>
      </c>
      <c r="Y33" s="18" t="n">
        <f aca="false">SUMIFS(PLANEJAMENTO_SEMANAL!$AB$6:$AB$2381,PLANEJAMENTO_SEMANAL!$F$6:$F$2381,$B33,PLANEJAMENTO_SEMANAL!$B$6:$B$2381,Y$7)</f>
        <v>0</v>
      </c>
      <c r="Z33" s="18" t="n">
        <f aca="false">SUMIFS(PLANEJAMENTO_SEMANAL!$AB$6:$AB$2381,PLANEJAMENTO_SEMANAL!$F$6:$F$2381,$B33,PLANEJAMENTO_SEMANAL!$B$6:$B$2381,Z$7)</f>
        <v>0.287416637660971</v>
      </c>
      <c r="AA33" s="18" t="n">
        <f aca="false">SUMIFS(PLANEJAMENTO_SEMANAL!$AB$6:$AB$2381,PLANEJAMENTO_SEMANAL!$F$6:$F$2381,$B33,PLANEJAMENTO_SEMANAL!$B$6:$B$2381,AA$7)</f>
        <v>6.272704954171</v>
      </c>
      <c r="AB33" s="18" t="n">
        <f aca="false">SUMIFS(PLANEJAMENTO_SEMANAL!$AB$6:$AB$2381,PLANEJAMENTO_SEMANAL!$F$6:$F$2381,$B33,PLANEJAMENTO_SEMANAL!$B$6:$B$2381,AB$7)</f>
        <v>9.65011764705881</v>
      </c>
      <c r="AC33" s="18" t="n">
        <f aca="false">SUMIFS(PLANEJAMENTO_SEMANAL!$AB$6:$AB$2381,PLANEJAMENTO_SEMANAL!$F$6:$F$2381,$B33,PLANEJAMENTO_SEMANAL!$B$6:$B$2381,AC$7)</f>
        <v>11.9214117647059</v>
      </c>
      <c r="AD33" s="18" t="n">
        <f aca="false">SUMIFS(PLANEJAMENTO_SEMANAL!$AB$6:$AB$2381,PLANEJAMENTO_SEMANAL!$F$6:$F$2381,$B33,PLANEJAMENTO_SEMANAL!$B$6:$B$2381,AD$7)</f>
        <v>11.9214117647059</v>
      </c>
      <c r="AE33" s="18" t="n">
        <f aca="false">SUMIFS(PLANEJAMENTO_SEMANAL!$AB$6:$AB$2381,PLANEJAMENTO_SEMANAL!$F$6:$F$2381,$B33,PLANEJAMENTO_SEMANAL!$B$6:$B$2381,AE$7)</f>
        <v>11.9214117647059</v>
      </c>
      <c r="AF33" s="18" t="n">
        <f aca="false">SUMIFS(PLANEJAMENTO_SEMANAL!$AB$6:$AB$2381,PLANEJAMENTO_SEMANAL!$F$6:$F$2381,$B33,PLANEJAMENTO_SEMANAL!$B$6:$B$2381,AF$7)</f>
        <v>11.9214117647059</v>
      </c>
      <c r="AG33" s="18" t="n">
        <f aca="false">SUMIFS(PLANEJAMENTO_SEMANAL!$AB$6:$AB$2381,PLANEJAMENTO_SEMANAL!$F$6:$F$2381,$B33,PLANEJAMENTO_SEMANAL!$B$6:$B$2381,AG$7)</f>
        <v>32.9812752360203</v>
      </c>
      <c r="AH33" s="18" t="n">
        <f aca="false">SUMIFS(PLANEJAMENTO_SEMANAL!$AB$6:$AB$2381,PLANEJAMENTO_SEMANAL!$F$6:$F$2381,$B33,PLANEJAMENTO_SEMANAL!$B$6:$B$2381,AH$7)</f>
        <v>61.658440087146</v>
      </c>
      <c r="AI33" s="18" t="n">
        <f aca="false">SUMIFS(PLANEJAMENTO_SEMANAL!$AB$6:$AB$2381,PLANEJAMENTO_SEMANAL!$F$6:$F$2381,$B33,PLANEJAMENTO_SEMANAL!$B$6:$B$2381,AI$7)</f>
        <v>67.6366535947712</v>
      </c>
      <c r="AJ33" s="18" t="n">
        <f aca="false">SUMIFS(PLANEJAMENTO_SEMANAL!$AB$6:$AB$2381,PLANEJAMENTO_SEMANAL!$F$6:$F$2381,$B33,PLANEJAMENTO_SEMANAL!$B$6:$B$2381,AJ$7)</f>
        <v>73.6148671023965</v>
      </c>
      <c r="AK33" s="18" t="n">
        <f aca="false">SUMIFS(PLANEJAMENTO_SEMANAL!$AB$6:$AB$2381,PLANEJAMENTO_SEMANAL!$F$6:$F$2381,$B33,PLANEJAMENTO_SEMANAL!$B$6:$B$2381,AK$7)</f>
        <v>80.9544615384615</v>
      </c>
      <c r="AL33" s="18" t="n">
        <f aca="false">SUMIFS(PLANEJAMENTO_SEMANAL!$AB$6:$AB$2381,PLANEJAMENTO_SEMANAL!$F$6:$F$2381,$B33,PLANEJAMENTO_SEMANAL!$B$6:$B$2381,AL$7)</f>
        <v>96.3734660633484</v>
      </c>
      <c r="AM33" s="18" t="n">
        <f aca="false">SUMIFS(PLANEJAMENTO_SEMANAL!$AB$6:$AB$2381,PLANEJAMENTO_SEMANAL!$F$6:$F$2381,$B33,PLANEJAMENTO_SEMANAL!$B$6:$B$2381,AM$7)</f>
        <v>92.9589864253394</v>
      </c>
      <c r="AN33" s="18" t="n">
        <f aca="false">SUMIFS(PLANEJAMENTO_SEMANAL!$AB$6:$AB$2381,PLANEJAMENTO_SEMANAL!$F$6:$F$2381,$B33,PLANEJAMENTO_SEMANAL!$B$6:$B$2381,AN$7)</f>
        <v>89.5445067873303</v>
      </c>
      <c r="AO33" s="18" t="n">
        <f aca="false">SUMIFS(PLANEJAMENTO_SEMANAL!$AB$6:$AB$2381,PLANEJAMENTO_SEMANAL!$F$6:$F$2381,$B33,PLANEJAMENTO_SEMANAL!$B$6:$B$2381,AO$7)</f>
        <v>86.1300271493213</v>
      </c>
      <c r="AP33" s="18" t="n">
        <f aca="false">SUMIFS(PLANEJAMENTO_SEMANAL!$AB$6:$AB$2381,PLANEJAMENTO_SEMANAL!$F$6:$F$2381,$B33,PLANEJAMENTO_SEMANAL!$B$6:$B$2381,AP$7)</f>
        <v>83.8796380090498</v>
      </c>
      <c r="AQ33" s="18" t="n">
        <f aca="false">SUMIFS(PLANEJAMENTO_SEMANAL!$AB$6:$AB$2381,PLANEJAMENTO_SEMANAL!$F$6:$F$2381,$B33,PLANEJAMENTO_SEMANAL!$B$6:$B$2381,AQ$7)</f>
        <v>80.8217677224736</v>
      </c>
      <c r="AR33" s="18" t="n">
        <f aca="false">SUMIFS(PLANEJAMENTO_SEMANAL!$AB$6:$AB$2381,PLANEJAMENTO_SEMANAL!$F$6:$F$2381,$B33,PLANEJAMENTO_SEMANAL!$B$6:$B$2381,AR$7)</f>
        <v>77.5698823529412</v>
      </c>
      <c r="AS33" s="18" t="n">
        <f aca="false">SUMIFS(PLANEJAMENTO_SEMANAL!$AB$6:$AB$2381,PLANEJAMENTO_SEMANAL!$F$6:$F$2381,$B33,PLANEJAMENTO_SEMANAL!$B$6:$B$2381,AS$7)</f>
        <v>49.2126535947712</v>
      </c>
      <c r="AT33" s="18" t="n">
        <f aca="false">SUMIFS(PLANEJAMENTO_SEMANAL!$AB$6:$AB$2381,PLANEJAMENTO_SEMANAL!$F$6:$F$2381,$B33,PLANEJAMENTO_SEMANAL!$B$6:$B$2381,AT$7)</f>
        <v>47.6431895424836</v>
      </c>
      <c r="AU33" s="18" t="n">
        <f aca="false">SUMIFS(PLANEJAMENTO_SEMANAL!$AB$6:$AB$2381,PLANEJAMENTO_SEMANAL!$F$6:$F$2381,$B33,PLANEJAMENTO_SEMANAL!$B$6:$B$2381,AU$7)</f>
        <v>45.1837647058824</v>
      </c>
      <c r="AV33" s="18" t="n">
        <f aca="false">SUMIFS(PLANEJAMENTO_SEMANAL!$AB$6:$AB$2381,PLANEJAMENTO_SEMANAL!$F$6:$F$2381,$B33,PLANEJAMENTO_SEMANAL!$B$6:$B$2381,AV$7)</f>
        <v>40.9422222222222</v>
      </c>
      <c r="AW33" s="18" t="n">
        <f aca="false">SUMIFS(PLANEJAMENTO_SEMANAL!$AB$6:$AB$2381,PLANEJAMENTO_SEMANAL!$F$6:$F$2381,$B33,PLANEJAMENTO_SEMANAL!$B$6:$B$2381,AW$7)</f>
        <v>36.7006797385621</v>
      </c>
      <c r="AX33" s="18" t="n">
        <f aca="false">SUMIFS(PLANEJAMENTO_SEMANAL!$AB$6:$AB$2381,PLANEJAMENTO_SEMANAL!$F$6:$F$2381,$B33,PLANEJAMENTO_SEMANAL!$B$6:$B$2381,AX$7)</f>
        <v>33.3781960784314</v>
      </c>
      <c r="AY33" s="18" t="n">
        <f aca="false">SUMIFS(PLANEJAMENTO_SEMANAL!$AB$6:$AB$2381,PLANEJAMENTO_SEMANAL!$F$6:$F$2381,$B33,PLANEJAMENTO_SEMANAL!$B$6:$B$2381,AY$7)</f>
        <v>0</v>
      </c>
      <c r="AZ33" s="18" t="n">
        <f aca="false">SUMIFS(PLANEJAMENTO_SEMANAL!$AB$6:$AB$2381,PLANEJAMENTO_SEMANAL!$F$6:$F$2381,$B33,PLANEJAMENTO_SEMANAL!$B$6:$B$2381,AZ$7)</f>
        <v>0</v>
      </c>
      <c r="BA33" s="18" t="n">
        <f aca="false">SUMIFS(PLANEJAMENTO_SEMANAL!$AB$6:$AB$2381,PLANEJAMENTO_SEMANAL!$F$6:$F$2381,$B33,PLANEJAMENTO_SEMANAL!$B$6:$B$2381,BA$7)</f>
        <v>0</v>
      </c>
      <c r="BB33" s="18" t="n">
        <f aca="false">SUMIFS(PLANEJAMENTO_SEMANAL!$AB$6:$AB$2381,PLANEJAMENTO_SEMANAL!$F$6:$F$2381,$B33,PLANEJAMENTO_SEMANAL!$B$6:$B$2381,BB$7)</f>
        <v>0</v>
      </c>
      <c r="BC33" s="18" t="n">
        <f aca="false">SUMIFS(PLANEJAMENTO_SEMANAL!$AB$6:$AB$2381,PLANEJAMENTO_SEMANAL!$F$6:$F$2381,$B33,PLANEJAMENTO_SEMANAL!$B$6:$B$2381,BC$7)</f>
        <v>0</v>
      </c>
      <c r="BD33" s="18" t="n">
        <f aca="false">SUMIFS(PLANEJAMENTO_SEMANAL!$AB$6:$AB$2381,PLANEJAMENTO_SEMANAL!$F$6:$F$2381,$B33,PLANEJAMENTO_SEMANAL!$B$6:$B$2381,BD$7)</f>
        <v>0</v>
      </c>
      <c r="BE33" s="18" t="n">
        <f aca="false">SUMIFS(PLANEJAMENTO_SEMANAL!$AB$6:$AB$2381,PLANEJAMENTO_SEMANAL!$F$6:$F$2381,$B33,PLANEJAMENTO_SEMANAL!$B$6:$B$2381,BE$7)</f>
        <v>0</v>
      </c>
      <c r="BF33" s="18" t="n">
        <f aca="false">SUMIFS(PLANEJAMENTO_SEMANAL!$AB$6:$AB$2381,PLANEJAMENTO_SEMANAL!$F$6:$F$2381,$B33,PLANEJAMENTO_SEMANAL!$B$6:$B$2381,BF$7)</f>
        <v>0</v>
      </c>
      <c r="BG33" s="18" t="n">
        <f aca="false">SUMIFS(PLANEJAMENTO_SEMANAL!$AB$6:$AB$2381,PLANEJAMENTO_SEMANAL!$F$6:$F$2381,$B33,PLANEJAMENTO_SEMANAL!$B$6:$B$2381,BG$7)</f>
        <v>0</v>
      </c>
      <c r="BH33" s="18" t="n">
        <f aca="false">SUMIFS(PLANEJAMENTO_SEMANAL!$AB$6:$AB$2381,PLANEJAMENTO_SEMANAL!$F$6:$F$2381,$B33,PLANEJAMENTO_SEMANAL!$B$6:$B$2381,BH$7)</f>
        <v>0</v>
      </c>
      <c r="BI33" s="18" t="n">
        <f aca="false">SUMIFS(PLANEJAMENTO_SEMANAL!$AB$6:$AB$2381,PLANEJAMENTO_SEMANAL!$F$6:$F$2381,$B33,PLANEJAMENTO_SEMANAL!$B$6:$B$2381,BI$7)</f>
        <v>0</v>
      </c>
      <c r="BJ33" s="18" t="n">
        <f aca="false">SUMIFS(PLANEJAMENTO_SEMANAL!$AB$6:$AB$2381,PLANEJAMENTO_SEMANAL!$F$6:$F$2381,$B33,PLANEJAMENTO_SEMANAL!$B$6:$B$2381,BJ$7)</f>
        <v>0</v>
      </c>
      <c r="BK33" s="18" t="n">
        <f aca="false">SUMIFS(PLANEJAMENTO_SEMANAL!$AB$6:$AB$2381,PLANEJAMENTO_SEMANAL!$F$6:$F$2381,$B33,PLANEJAMENTO_SEMANAL!$B$6:$B$2381,BK$7)</f>
        <v>0</v>
      </c>
      <c r="BL33" s="18" t="n">
        <f aca="false">SUMIFS(PLANEJAMENTO_SEMANAL!$AB$6:$AB$2381,PLANEJAMENTO_SEMANAL!$F$6:$F$2381,$B33,PLANEJAMENTO_SEMANAL!$B$6:$B$2381,BL$7)</f>
        <v>0</v>
      </c>
      <c r="BM33" s="18" t="n">
        <f aca="false">SUMIFS(PLANEJAMENTO_SEMANAL!$AB$6:$AB$2381,PLANEJAMENTO_SEMANAL!$F$6:$F$2381,$B33,PLANEJAMENTO_SEMANAL!$B$6:$B$2381,BM$7)</f>
        <v>0</v>
      </c>
      <c r="BN33" s="18" t="n">
        <f aca="false">SUMIFS(PLANEJAMENTO_SEMANAL!$AB$6:$AB$2381,PLANEJAMENTO_SEMANAL!$F$6:$F$2381,$B33,PLANEJAMENTO_SEMANAL!$B$6:$B$2381,BN$7)</f>
        <v>0</v>
      </c>
      <c r="BO33" s="18" t="n">
        <f aca="false">SUMIFS(PLANEJAMENTO_SEMANAL!$AB$6:$AB$2381,PLANEJAMENTO_SEMANAL!$F$6:$F$2381,$B33,PLANEJAMENTO_SEMANAL!$B$6:$B$2381,BO$7)</f>
        <v>0</v>
      </c>
      <c r="BP33" s="18" t="n">
        <f aca="false">SUMIFS(PLANEJAMENTO_SEMANAL!$AB$6:$AB$2381,PLANEJAMENTO_SEMANAL!$F$6:$F$2381,$B33,PLANEJAMENTO_SEMANAL!$B$6:$B$2381,BP$7)</f>
        <v>0</v>
      </c>
      <c r="BQ33" s="18" t="n">
        <f aca="false">SUM(C33:BP33)</f>
        <v>1300.06091595517</v>
      </c>
    </row>
    <row r="34" customFormat="false" ht="15" hidden="false" customHeight="false" outlineLevel="0" collapsed="false">
      <c r="B34" s="15" t="s">
        <v>130</v>
      </c>
      <c r="C34" s="18" t="n">
        <f aca="false">SUMIFS(PLANEJAMENTO_SEMANAL!$AB$6:$AB$2381,PLANEJAMENTO_SEMANAL!$F$6:$F$2381,$B34,PLANEJAMENTO_SEMANAL!$B$6:$B$2381,C$7)</f>
        <v>0</v>
      </c>
      <c r="D34" s="18" t="n">
        <f aca="false">SUMIFS(PLANEJAMENTO_SEMANAL!$AB$6:$AB$2381,PLANEJAMENTO_SEMANAL!$F$6:$F$2381,$B34,PLANEJAMENTO_SEMANAL!$B$6:$B$2381,D$7)</f>
        <v>0</v>
      </c>
      <c r="E34" s="18" t="n">
        <f aca="false">SUMIFS(PLANEJAMENTO_SEMANAL!$AB$6:$AB$2381,PLANEJAMENTO_SEMANAL!$F$6:$F$2381,$B34,PLANEJAMENTO_SEMANAL!$B$6:$B$2381,E$7)</f>
        <v>0</v>
      </c>
      <c r="F34" s="18" t="n">
        <f aca="false">SUMIFS(PLANEJAMENTO_SEMANAL!$AB$6:$AB$2381,PLANEJAMENTO_SEMANAL!$F$6:$F$2381,$B34,PLANEJAMENTO_SEMANAL!$B$6:$B$2381,F$7)</f>
        <v>0</v>
      </c>
      <c r="G34" s="18" t="n">
        <f aca="false">SUMIFS(PLANEJAMENTO_SEMANAL!$AB$6:$AB$2381,PLANEJAMENTO_SEMANAL!$F$6:$F$2381,$B34,PLANEJAMENTO_SEMANAL!$B$6:$B$2381,G$7)</f>
        <v>3.74211764705882</v>
      </c>
      <c r="H34" s="18" t="n">
        <f aca="false">SUMIFS(PLANEJAMENTO_SEMANAL!$AB$6:$AB$2381,PLANEJAMENTO_SEMANAL!$F$6:$F$2381,$B34,PLANEJAMENTO_SEMANAL!$B$6:$B$2381,H$7)</f>
        <v>0</v>
      </c>
      <c r="I34" s="18" t="n">
        <f aca="false">SUMIFS(PLANEJAMENTO_SEMANAL!$AB$6:$AB$2381,PLANEJAMENTO_SEMANAL!$F$6:$F$2381,$B34,PLANEJAMENTO_SEMANAL!$B$6:$B$2381,I$7)</f>
        <v>0</v>
      </c>
      <c r="J34" s="18" t="n">
        <f aca="false">SUMIFS(PLANEJAMENTO_SEMANAL!$AB$6:$AB$2381,PLANEJAMENTO_SEMANAL!$F$6:$F$2381,$B34,PLANEJAMENTO_SEMANAL!$B$6:$B$2381,J$7)</f>
        <v>0.772773538927117</v>
      </c>
      <c r="K34" s="18" t="n">
        <f aca="false">SUMIFS(PLANEJAMENTO_SEMANAL!$AB$6:$AB$2381,PLANEJAMENTO_SEMANAL!$F$6:$F$2381,$B34,PLANEJAMENTO_SEMANAL!$B$6:$B$2381,K$7)</f>
        <v>17.2801427954753</v>
      </c>
      <c r="L34" s="18" t="n">
        <f aca="false">SUMIFS(PLANEJAMENTO_SEMANAL!$AB$6:$AB$2381,PLANEJAMENTO_SEMANAL!$F$6:$F$2381,$B34,PLANEJAMENTO_SEMANAL!$B$6:$B$2381,L$7)</f>
        <v>0</v>
      </c>
      <c r="M34" s="18" t="n">
        <f aca="false">SUMIFS(PLANEJAMENTO_SEMANAL!$AB$6:$AB$2381,PLANEJAMENTO_SEMANAL!$F$6:$F$2381,$B34,PLANEJAMENTO_SEMANAL!$B$6:$B$2381,M$7)</f>
        <v>6.51344351353734</v>
      </c>
      <c r="N34" s="18" t="n">
        <f aca="false">SUMIFS(PLANEJAMENTO_SEMANAL!$AB$6:$AB$2381,PLANEJAMENTO_SEMANAL!$F$6:$F$2381,$B34,PLANEJAMENTO_SEMANAL!$B$6:$B$2381,N$7)</f>
        <v>6.89458823529411</v>
      </c>
      <c r="O34" s="18" t="n">
        <f aca="false">SUMIFS(PLANEJAMENTO_SEMANAL!$AB$6:$AB$2381,PLANEJAMENTO_SEMANAL!$F$6:$F$2381,$B34,PLANEJAMENTO_SEMANAL!$B$6:$B$2381,O$7)</f>
        <v>6.89458823529411</v>
      </c>
      <c r="P34" s="18" t="n">
        <f aca="false">SUMIFS(PLANEJAMENTO_SEMANAL!$AB$6:$AB$2381,PLANEJAMENTO_SEMANAL!$F$6:$F$2381,$B34,PLANEJAMENTO_SEMANAL!$B$6:$B$2381,P$7)</f>
        <v>0</v>
      </c>
      <c r="Q34" s="18" t="n">
        <f aca="false">SUMIFS(PLANEJAMENTO_SEMANAL!$AB$6:$AB$2381,PLANEJAMENTO_SEMANAL!$F$6:$F$2381,$B34,PLANEJAMENTO_SEMANAL!$B$6:$B$2381,Q$7)</f>
        <v>0</v>
      </c>
      <c r="R34" s="18" t="n">
        <f aca="false">SUMIFS(PLANEJAMENTO_SEMANAL!$AB$6:$AB$2381,PLANEJAMENTO_SEMANAL!$F$6:$F$2381,$B34,PLANEJAMENTO_SEMANAL!$B$6:$B$2381,R$7)</f>
        <v>0</v>
      </c>
      <c r="S34" s="18" t="n">
        <f aca="false">SUMIFS(PLANEJAMENTO_SEMANAL!$AB$6:$AB$2381,PLANEJAMENTO_SEMANAL!$F$6:$F$2381,$B34,PLANEJAMENTO_SEMANAL!$B$6:$B$2381,S$7)</f>
        <v>0</v>
      </c>
      <c r="T34" s="18" t="n">
        <f aca="false">SUMIFS(PLANEJAMENTO_SEMANAL!$AB$6:$AB$2381,PLANEJAMENTO_SEMANAL!$F$6:$F$2381,$B34,PLANEJAMENTO_SEMANAL!$B$6:$B$2381,T$7)</f>
        <v>0.745845628269467</v>
      </c>
      <c r="U34" s="18" t="n">
        <f aca="false">SUMIFS(PLANEJAMENTO_SEMANAL!$AB$6:$AB$2381,PLANEJAMENTO_SEMANAL!$F$6:$F$2381,$B34,PLANEJAMENTO_SEMANAL!$B$6:$B$2381,U$7)</f>
        <v>0</v>
      </c>
      <c r="V34" s="18" t="n">
        <f aca="false">SUMIFS(PLANEJAMENTO_SEMANAL!$AB$6:$AB$2381,PLANEJAMENTO_SEMANAL!$F$6:$F$2381,$B34,PLANEJAMENTO_SEMANAL!$B$6:$B$2381,V$7)</f>
        <v>0</v>
      </c>
      <c r="W34" s="18" t="n">
        <f aca="false">SUMIFS(PLANEJAMENTO_SEMANAL!$AB$6:$AB$2381,PLANEJAMENTO_SEMANAL!$F$6:$F$2381,$B34,PLANEJAMENTO_SEMANAL!$B$6:$B$2381,W$7)</f>
        <v>0</v>
      </c>
      <c r="X34" s="18" t="n">
        <f aca="false">SUMIFS(PLANEJAMENTO_SEMANAL!$AB$6:$AB$2381,PLANEJAMENTO_SEMANAL!$F$6:$F$2381,$B34,PLANEJAMENTO_SEMANAL!$B$6:$B$2381,X$7)</f>
        <v>0</v>
      </c>
      <c r="Y34" s="18" t="n">
        <f aca="false">SUMIFS(PLANEJAMENTO_SEMANAL!$AB$6:$AB$2381,PLANEJAMENTO_SEMANAL!$F$6:$F$2381,$B34,PLANEJAMENTO_SEMANAL!$B$6:$B$2381,Y$7)</f>
        <v>0</v>
      </c>
      <c r="Z34" s="18" t="n">
        <f aca="false">SUMIFS(PLANEJAMENTO_SEMANAL!$AB$6:$AB$2381,PLANEJAMENTO_SEMANAL!$F$6:$F$2381,$B34,PLANEJAMENTO_SEMANAL!$B$6:$B$2381,Z$7)</f>
        <v>0</v>
      </c>
      <c r="AA34" s="18" t="n">
        <f aca="false">SUMIFS(PLANEJAMENTO_SEMANAL!$AB$6:$AB$2381,PLANEJAMENTO_SEMANAL!$F$6:$F$2381,$B34,PLANEJAMENTO_SEMANAL!$B$6:$B$2381,AA$7)</f>
        <v>0</v>
      </c>
      <c r="AB34" s="18" t="n">
        <f aca="false">SUMIFS(PLANEJAMENTO_SEMANAL!$AB$6:$AB$2381,PLANEJAMENTO_SEMANAL!$F$6:$F$2381,$B34,PLANEJAMENTO_SEMANAL!$B$6:$B$2381,AB$7)</f>
        <v>0</v>
      </c>
      <c r="AC34" s="18" t="n">
        <f aca="false">SUMIFS(PLANEJAMENTO_SEMANAL!$AB$6:$AB$2381,PLANEJAMENTO_SEMANAL!$F$6:$F$2381,$B34,PLANEJAMENTO_SEMANAL!$B$6:$B$2381,AC$7)</f>
        <v>0</v>
      </c>
      <c r="AD34" s="18" t="n">
        <f aca="false">SUMIFS(PLANEJAMENTO_SEMANAL!$AB$6:$AB$2381,PLANEJAMENTO_SEMANAL!$F$6:$F$2381,$B34,PLANEJAMENTO_SEMANAL!$B$6:$B$2381,AD$7)</f>
        <v>0</v>
      </c>
      <c r="AE34" s="18" t="n">
        <f aca="false">SUMIFS(PLANEJAMENTO_SEMANAL!$AB$6:$AB$2381,PLANEJAMENTO_SEMANAL!$F$6:$F$2381,$B34,PLANEJAMENTO_SEMANAL!$B$6:$B$2381,AE$7)</f>
        <v>0</v>
      </c>
      <c r="AF34" s="18" t="n">
        <f aca="false">SUMIFS(PLANEJAMENTO_SEMANAL!$AB$6:$AB$2381,PLANEJAMENTO_SEMANAL!$F$6:$F$2381,$B34,PLANEJAMENTO_SEMANAL!$B$6:$B$2381,AF$7)</f>
        <v>0</v>
      </c>
      <c r="AG34" s="18" t="n">
        <f aca="false">SUMIFS(PLANEJAMENTO_SEMANAL!$AB$6:$AB$2381,PLANEJAMENTO_SEMANAL!$F$6:$F$2381,$B34,PLANEJAMENTO_SEMANAL!$B$6:$B$2381,AG$7)</f>
        <v>10.9527267664462</v>
      </c>
      <c r="AH34" s="18" t="n">
        <f aca="false">SUMIFS(PLANEJAMENTO_SEMANAL!$AB$6:$AB$2381,PLANEJAMENTO_SEMANAL!$F$6:$F$2381,$B34,PLANEJAMENTO_SEMANAL!$B$6:$B$2381,AH$7)</f>
        <v>45.3206849982596</v>
      </c>
      <c r="AI34" s="18" t="n">
        <f aca="false">SUMIFS(PLANEJAMENTO_SEMANAL!$AB$6:$AB$2381,PLANEJAMENTO_SEMANAL!$F$6:$F$2381,$B34,PLANEJAMENTO_SEMANAL!$B$6:$B$2381,AI$7)</f>
        <v>56.7818753915767</v>
      </c>
      <c r="AJ34" s="18" t="n">
        <f aca="false">SUMIFS(PLANEJAMENTO_SEMANAL!$AB$6:$AB$2381,PLANEJAMENTO_SEMANAL!$F$6:$F$2381,$B34,PLANEJAMENTO_SEMANAL!$B$6:$B$2381,AJ$7)</f>
        <v>68.2430657848938</v>
      </c>
      <c r="AK34" s="18" t="n">
        <f aca="false">SUMIFS(PLANEJAMENTO_SEMANAL!$AB$6:$AB$2381,PLANEJAMENTO_SEMANAL!$F$6:$F$2381,$B34,PLANEJAMENTO_SEMANAL!$B$6:$B$2381,AK$7)</f>
        <v>83.8254117647059</v>
      </c>
      <c r="AL34" s="18" t="n">
        <f aca="false">SUMIFS(PLANEJAMENTO_SEMANAL!$AB$6:$AB$2381,PLANEJAMENTO_SEMANAL!$F$6:$F$2381,$B34,PLANEJAMENTO_SEMANAL!$B$6:$B$2381,AL$7)</f>
        <v>102.519529411765</v>
      </c>
      <c r="AM34" s="18" t="n">
        <f aca="false">SUMIFS(PLANEJAMENTO_SEMANAL!$AB$6:$AB$2381,PLANEJAMENTO_SEMANAL!$F$6:$F$2381,$B34,PLANEJAMENTO_SEMANAL!$B$6:$B$2381,AM$7)</f>
        <v>102.519529411765</v>
      </c>
      <c r="AN34" s="18" t="n">
        <f aca="false">SUMIFS(PLANEJAMENTO_SEMANAL!$AB$6:$AB$2381,PLANEJAMENTO_SEMANAL!$F$6:$F$2381,$B34,PLANEJAMENTO_SEMANAL!$B$6:$B$2381,AN$7)</f>
        <v>102.519529411765</v>
      </c>
      <c r="AO34" s="18" t="n">
        <f aca="false">SUMIFS(PLANEJAMENTO_SEMANAL!$AB$6:$AB$2381,PLANEJAMENTO_SEMANAL!$F$6:$F$2381,$B34,PLANEJAMENTO_SEMANAL!$B$6:$B$2381,AO$7)</f>
        <v>102.519529411765</v>
      </c>
      <c r="AP34" s="18" t="n">
        <f aca="false">SUMIFS(PLANEJAMENTO_SEMANAL!$AB$6:$AB$2381,PLANEJAMENTO_SEMANAL!$F$6:$F$2381,$B34,PLANEJAMENTO_SEMANAL!$B$6:$B$2381,AP$7)</f>
        <v>102.875294117647</v>
      </c>
      <c r="AQ34" s="18" t="n">
        <f aca="false">SUMIFS(PLANEJAMENTO_SEMANAL!$AB$6:$AB$2381,PLANEJAMENTO_SEMANAL!$F$6:$F$2381,$B34,PLANEJAMENTO_SEMANAL!$B$6:$B$2381,AQ$7)</f>
        <v>102.934588235294</v>
      </c>
      <c r="AR34" s="18" t="n">
        <f aca="false">SUMIFS(PLANEJAMENTO_SEMANAL!$AB$6:$AB$2381,PLANEJAMENTO_SEMANAL!$F$6:$F$2381,$B34,PLANEJAMENTO_SEMANAL!$B$6:$B$2381,AR$7)</f>
        <v>102.934588235294</v>
      </c>
      <c r="AS34" s="18" t="n">
        <f aca="false">SUMIFS(PLANEJAMENTO_SEMANAL!$AB$6:$AB$2381,PLANEJAMENTO_SEMANAL!$F$6:$F$2381,$B34,PLANEJAMENTO_SEMANAL!$B$6:$B$2381,AS$7)</f>
        <v>102.934588235294</v>
      </c>
      <c r="AT34" s="18" t="n">
        <f aca="false">SUMIFS(PLANEJAMENTO_SEMANAL!$AB$6:$AB$2381,PLANEJAMENTO_SEMANAL!$F$6:$F$2381,$B34,PLANEJAMENTO_SEMANAL!$B$6:$B$2381,AT$7)</f>
        <v>103.761279034691</v>
      </c>
      <c r="AU34" s="18" t="n">
        <f aca="false">SUMIFS(PLANEJAMENTO_SEMANAL!$AB$6:$AB$2381,PLANEJAMENTO_SEMANAL!$F$6:$F$2381,$B34,PLANEJAMENTO_SEMANAL!$B$6:$B$2381,AU$7)</f>
        <v>100.595173453997</v>
      </c>
      <c r="AV34" s="18" t="n">
        <f aca="false">SUMIFS(PLANEJAMENTO_SEMANAL!$AB$6:$AB$2381,PLANEJAMENTO_SEMANAL!$F$6:$F$2381,$B34,PLANEJAMENTO_SEMANAL!$B$6:$B$2381,AV$7)</f>
        <v>93.6036199095023</v>
      </c>
      <c r="AW34" s="18" t="n">
        <f aca="false">SUMIFS(PLANEJAMENTO_SEMANAL!$AB$6:$AB$2381,PLANEJAMENTO_SEMANAL!$F$6:$F$2381,$B34,PLANEJAMENTO_SEMANAL!$B$6:$B$2381,AW$7)</f>
        <v>86.6120663650075</v>
      </c>
      <c r="AX34" s="18" t="n">
        <f aca="false">SUMIFS(PLANEJAMENTO_SEMANAL!$AB$6:$AB$2381,PLANEJAMENTO_SEMANAL!$F$6:$F$2381,$B34,PLANEJAMENTO_SEMANAL!$B$6:$B$2381,AX$7)</f>
        <v>81.8982322775264</v>
      </c>
      <c r="AY34" s="18" t="n">
        <f aca="false">SUMIFS(PLANEJAMENTO_SEMANAL!$AB$6:$AB$2381,PLANEJAMENTO_SEMANAL!$F$6:$F$2381,$B34,PLANEJAMENTO_SEMANAL!$B$6:$B$2381,AY$7)</f>
        <v>87.1096470588235</v>
      </c>
      <c r="AZ34" s="18" t="n">
        <f aca="false">SUMIFS(PLANEJAMENTO_SEMANAL!$AB$6:$AB$2381,PLANEJAMENTO_SEMANAL!$F$6:$F$2381,$B34,PLANEJAMENTO_SEMANAL!$B$6:$B$2381,AZ$7)</f>
        <v>78.6547450980392</v>
      </c>
      <c r="BA34" s="18" t="n">
        <f aca="false">SUMIFS(PLANEJAMENTO_SEMANAL!$AB$6:$AB$2381,PLANEJAMENTO_SEMANAL!$F$6:$F$2381,$B34,PLANEJAMENTO_SEMANAL!$B$6:$B$2381,BA$7)</f>
        <v>70.1998431372549</v>
      </c>
      <c r="BB34" s="18" t="n">
        <f aca="false">SUMIFS(PLANEJAMENTO_SEMANAL!$AB$6:$AB$2381,PLANEJAMENTO_SEMANAL!$F$6:$F$2381,$B34,PLANEJAMENTO_SEMANAL!$B$6:$B$2381,BB$7)</f>
        <v>0</v>
      </c>
      <c r="BC34" s="18" t="n">
        <f aca="false">SUMIFS(PLANEJAMENTO_SEMANAL!$AB$6:$AB$2381,PLANEJAMENTO_SEMANAL!$F$6:$F$2381,$B34,PLANEJAMENTO_SEMANAL!$B$6:$B$2381,BC$7)</f>
        <v>0</v>
      </c>
      <c r="BD34" s="18" t="n">
        <f aca="false">SUMIFS(PLANEJAMENTO_SEMANAL!$AB$6:$AB$2381,PLANEJAMENTO_SEMANAL!$F$6:$F$2381,$B34,PLANEJAMENTO_SEMANAL!$B$6:$B$2381,BD$7)</f>
        <v>0</v>
      </c>
      <c r="BE34" s="18" t="n">
        <f aca="false">SUMIFS(PLANEJAMENTO_SEMANAL!$AB$6:$AB$2381,PLANEJAMENTO_SEMANAL!$F$6:$F$2381,$B34,PLANEJAMENTO_SEMANAL!$B$6:$B$2381,BE$7)</f>
        <v>0</v>
      </c>
      <c r="BF34" s="18" t="n">
        <f aca="false">SUMIFS(PLANEJAMENTO_SEMANAL!$AB$6:$AB$2381,PLANEJAMENTO_SEMANAL!$F$6:$F$2381,$B34,PLANEJAMENTO_SEMANAL!$B$6:$B$2381,BF$7)</f>
        <v>0</v>
      </c>
      <c r="BG34" s="18" t="n">
        <f aca="false">SUMIFS(PLANEJAMENTO_SEMANAL!$AB$6:$AB$2381,PLANEJAMENTO_SEMANAL!$F$6:$F$2381,$B34,PLANEJAMENTO_SEMANAL!$B$6:$B$2381,BG$7)</f>
        <v>0</v>
      </c>
      <c r="BH34" s="18" t="n">
        <f aca="false">SUMIFS(PLANEJAMENTO_SEMANAL!$AB$6:$AB$2381,PLANEJAMENTO_SEMANAL!$F$6:$F$2381,$B34,PLANEJAMENTO_SEMANAL!$B$6:$B$2381,BH$7)</f>
        <v>0</v>
      </c>
      <c r="BI34" s="18" t="n">
        <f aca="false">SUMIFS(PLANEJAMENTO_SEMANAL!$AB$6:$AB$2381,PLANEJAMENTO_SEMANAL!$F$6:$F$2381,$B34,PLANEJAMENTO_SEMANAL!$B$6:$B$2381,BI$7)</f>
        <v>0</v>
      </c>
      <c r="BJ34" s="18" t="n">
        <f aca="false">SUMIFS(PLANEJAMENTO_SEMANAL!$AB$6:$AB$2381,PLANEJAMENTO_SEMANAL!$F$6:$F$2381,$B34,PLANEJAMENTO_SEMANAL!$B$6:$B$2381,BJ$7)</f>
        <v>0</v>
      </c>
      <c r="BK34" s="18" t="n">
        <f aca="false">SUMIFS(PLANEJAMENTO_SEMANAL!$AB$6:$AB$2381,PLANEJAMENTO_SEMANAL!$F$6:$F$2381,$B34,PLANEJAMENTO_SEMANAL!$B$6:$B$2381,BK$7)</f>
        <v>0</v>
      </c>
      <c r="BL34" s="18" t="n">
        <f aca="false">SUMIFS(PLANEJAMENTO_SEMANAL!$AB$6:$AB$2381,PLANEJAMENTO_SEMANAL!$F$6:$F$2381,$B34,PLANEJAMENTO_SEMANAL!$B$6:$B$2381,BL$7)</f>
        <v>0</v>
      </c>
      <c r="BM34" s="18" t="n">
        <f aca="false">SUMIFS(PLANEJAMENTO_SEMANAL!$AB$6:$AB$2381,PLANEJAMENTO_SEMANAL!$F$6:$F$2381,$B34,PLANEJAMENTO_SEMANAL!$B$6:$B$2381,BM$7)</f>
        <v>0</v>
      </c>
      <c r="BN34" s="18" t="n">
        <f aca="false">SUMIFS(PLANEJAMENTO_SEMANAL!$AB$6:$AB$2381,PLANEJAMENTO_SEMANAL!$F$6:$F$2381,$B34,PLANEJAMENTO_SEMANAL!$B$6:$B$2381,BN$7)</f>
        <v>0</v>
      </c>
      <c r="BO34" s="18" t="n">
        <f aca="false">SUMIFS(PLANEJAMENTO_SEMANAL!$AB$6:$AB$2381,PLANEJAMENTO_SEMANAL!$F$6:$F$2381,$B34,PLANEJAMENTO_SEMANAL!$B$6:$B$2381,BO$7)</f>
        <v>0</v>
      </c>
      <c r="BP34" s="18" t="n">
        <f aca="false">SUMIFS(PLANEJAMENTO_SEMANAL!$AB$6:$AB$2381,PLANEJAMENTO_SEMANAL!$F$6:$F$2381,$B34,PLANEJAMENTO_SEMANAL!$B$6:$B$2381,BP$7)</f>
        <v>0</v>
      </c>
      <c r="BQ34" s="18" t="n">
        <f aca="false">SUM(C34:BP34)</f>
        <v>1832.15904710517</v>
      </c>
    </row>
    <row r="35" customFormat="false" ht="15" hidden="false" customHeight="false" outlineLevel="0" collapsed="false">
      <c r="B35" s="15" t="s">
        <v>131</v>
      </c>
      <c r="C35" s="18" t="n">
        <f aca="false">SUMIFS(PLANEJAMENTO_SEMANAL!$AB$6:$AB$2381,PLANEJAMENTO_SEMANAL!$F$6:$F$2381,$B35,PLANEJAMENTO_SEMANAL!$B$6:$B$2381,C$7)</f>
        <v>64.288</v>
      </c>
      <c r="D35" s="18" t="n">
        <f aca="false">SUMIFS(PLANEJAMENTO_SEMANAL!$AB$6:$AB$2381,PLANEJAMENTO_SEMANAL!$F$6:$F$2381,$B35,PLANEJAMENTO_SEMANAL!$B$6:$B$2381,D$7)</f>
        <v>67.6776470588235</v>
      </c>
      <c r="E35" s="18" t="n">
        <f aca="false">SUMIFS(PLANEJAMENTO_SEMANAL!$AB$6:$AB$2381,PLANEJAMENTO_SEMANAL!$F$6:$F$2381,$B35,PLANEJAMENTO_SEMANAL!$B$6:$B$2381,E$7)</f>
        <v>67.6776470588235</v>
      </c>
      <c r="F35" s="18" t="n">
        <f aca="false">SUMIFS(PLANEJAMENTO_SEMANAL!$AB$6:$AB$2381,PLANEJAMENTO_SEMANAL!$F$6:$F$2381,$B35,PLANEJAMENTO_SEMANAL!$B$6:$B$2381,F$7)</f>
        <v>67.6776470588235</v>
      </c>
      <c r="G35" s="18" t="n">
        <f aca="false">SUMIFS(PLANEJAMENTO_SEMANAL!$AB$6:$AB$2381,PLANEJAMENTO_SEMANAL!$F$6:$F$2381,$B35,PLANEJAMENTO_SEMANAL!$B$6:$B$2381,G$7)</f>
        <v>54.7778823529412</v>
      </c>
      <c r="H35" s="18" t="n">
        <f aca="false">SUMIFS(PLANEJAMENTO_SEMANAL!$AB$6:$AB$2381,PLANEJAMENTO_SEMANAL!$F$6:$F$2381,$B35,PLANEJAMENTO_SEMANAL!$B$6:$B$2381,H$7)</f>
        <v>38.5543529411765</v>
      </c>
      <c r="I35" s="18" t="n">
        <f aca="false">SUMIFS(PLANEJAMENTO_SEMANAL!$AB$6:$AB$2381,PLANEJAMENTO_SEMANAL!$F$6:$F$2381,$B35,PLANEJAMENTO_SEMANAL!$B$6:$B$2381,I$7)</f>
        <v>38.5543529411765</v>
      </c>
      <c r="J35" s="18" t="n">
        <f aca="false">SUMIFS(PLANEJAMENTO_SEMANAL!$AB$6:$AB$2381,PLANEJAMENTO_SEMANAL!$F$6:$F$2381,$B35,PLANEJAMENTO_SEMANAL!$B$6:$B$2381,J$7)</f>
        <v>47.2708256831336</v>
      </c>
      <c r="K35" s="18" t="n">
        <f aca="false">SUMIFS(PLANEJAMENTO_SEMANAL!$AB$6:$AB$2381,PLANEJAMENTO_SEMANAL!$F$6:$F$2381,$B35,PLANEJAMENTO_SEMANAL!$B$6:$B$2381,K$7)</f>
        <v>55.4992678741469</v>
      </c>
      <c r="L35" s="18" t="n">
        <f aca="false">SUMIFS(PLANEJAMENTO_SEMANAL!$AB$6:$AB$2381,PLANEJAMENTO_SEMANAL!$F$6:$F$2381,$B35,PLANEJAMENTO_SEMANAL!$B$6:$B$2381,L$7)</f>
        <v>0</v>
      </c>
      <c r="M35" s="18" t="n">
        <f aca="false">SUMIFS(PLANEJAMENTO_SEMANAL!$AB$6:$AB$2381,PLANEJAMENTO_SEMANAL!$F$6:$F$2381,$B35,PLANEJAMENTO_SEMANAL!$B$6:$B$2381,M$7)</f>
        <v>6.89458823529411</v>
      </c>
      <c r="N35" s="18" t="n">
        <f aca="false">SUMIFS(PLANEJAMENTO_SEMANAL!$AB$6:$AB$2381,PLANEJAMENTO_SEMANAL!$F$6:$F$2381,$B35,PLANEJAMENTO_SEMANAL!$B$6:$B$2381,N$7)</f>
        <v>6.89458823529411</v>
      </c>
      <c r="O35" s="18" t="n">
        <f aca="false">SUMIFS(PLANEJAMENTO_SEMANAL!$AB$6:$AB$2381,PLANEJAMENTO_SEMANAL!$F$6:$F$2381,$B35,PLANEJAMENTO_SEMANAL!$B$6:$B$2381,O$7)</f>
        <v>6.89458823529411</v>
      </c>
      <c r="P35" s="18" t="n">
        <f aca="false">SUMIFS(PLANEJAMENTO_SEMANAL!$AB$6:$AB$2381,PLANEJAMENTO_SEMANAL!$F$6:$F$2381,$B35,PLANEJAMENTO_SEMANAL!$B$6:$B$2381,P$7)</f>
        <v>0</v>
      </c>
      <c r="Q35" s="18" t="n">
        <f aca="false">SUMIFS(PLANEJAMENTO_SEMANAL!$AB$6:$AB$2381,PLANEJAMENTO_SEMANAL!$F$6:$F$2381,$B35,PLANEJAMENTO_SEMANAL!$B$6:$B$2381,Q$7)</f>
        <v>0</v>
      </c>
      <c r="R35" s="18" t="n">
        <f aca="false">SUMIFS(PLANEJAMENTO_SEMANAL!$AB$6:$AB$2381,PLANEJAMENTO_SEMANAL!$F$6:$F$2381,$B35,PLANEJAMENTO_SEMANAL!$B$6:$B$2381,R$7)</f>
        <v>0</v>
      </c>
      <c r="S35" s="18" t="n">
        <f aca="false">SUMIFS(PLANEJAMENTO_SEMANAL!$AB$6:$AB$2381,PLANEJAMENTO_SEMANAL!$F$6:$F$2381,$B35,PLANEJAMENTO_SEMANAL!$B$6:$B$2381,S$7)</f>
        <v>0</v>
      </c>
      <c r="T35" s="18" t="n">
        <f aca="false">SUMIFS(PLANEJAMENTO_SEMANAL!$AB$6:$AB$2381,PLANEJAMENTO_SEMANAL!$F$6:$F$2381,$B35,PLANEJAMENTO_SEMANAL!$B$6:$B$2381,T$7)</f>
        <v>0</v>
      </c>
      <c r="U35" s="18" t="n">
        <f aca="false">SUMIFS(PLANEJAMENTO_SEMANAL!$AB$6:$AB$2381,PLANEJAMENTO_SEMANAL!$F$6:$F$2381,$B35,PLANEJAMENTO_SEMANAL!$B$6:$B$2381,U$7)</f>
        <v>0</v>
      </c>
      <c r="V35" s="18" t="n">
        <f aca="false">SUMIFS(PLANEJAMENTO_SEMANAL!$AB$6:$AB$2381,PLANEJAMENTO_SEMANAL!$F$6:$F$2381,$B35,PLANEJAMENTO_SEMANAL!$B$6:$B$2381,V$7)</f>
        <v>0</v>
      </c>
      <c r="W35" s="18" t="n">
        <f aca="false">SUMIFS(PLANEJAMENTO_SEMANAL!$AB$6:$AB$2381,PLANEJAMENTO_SEMANAL!$F$6:$F$2381,$B35,PLANEJAMENTO_SEMANAL!$B$6:$B$2381,W$7)</f>
        <v>0</v>
      </c>
      <c r="X35" s="18" t="n">
        <f aca="false">SUMIFS(PLANEJAMENTO_SEMANAL!$AB$6:$AB$2381,PLANEJAMENTO_SEMANAL!$F$6:$F$2381,$B35,PLANEJAMENTO_SEMANAL!$B$6:$B$2381,X$7)</f>
        <v>0</v>
      </c>
      <c r="Y35" s="18" t="n">
        <f aca="false">SUMIFS(PLANEJAMENTO_SEMANAL!$AB$6:$AB$2381,PLANEJAMENTO_SEMANAL!$F$6:$F$2381,$B35,PLANEJAMENTO_SEMANAL!$B$6:$B$2381,Y$7)</f>
        <v>0</v>
      </c>
      <c r="Z35" s="18" t="n">
        <f aca="false">SUMIFS(PLANEJAMENTO_SEMANAL!$AB$6:$AB$2381,PLANEJAMENTO_SEMANAL!$F$6:$F$2381,$B35,PLANEJAMENTO_SEMANAL!$B$6:$B$2381,Z$7)</f>
        <v>2.28491565146767</v>
      </c>
      <c r="AA35" s="18" t="n">
        <f aca="false">SUMIFS(PLANEJAMENTO_SEMANAL!$AB$6:$AB$2381,PLANEJAMENTO_SEMANAL!$F$6:$F$2381,$B35,PLANEJAMENTO_SEMANAL!$B$6:$B$2381,AA$7)</f>
        <v>14.5429089221487</v>
      </c>
      <c r="AB35" s="18" t="n">
        <f aca="false">SUMIFS(PLANEJAMENTO_SEMANAL!$AB$6:$AB$2381,PLANEJAMENTO_SEMANAL!$F$6:$F$2381,$B35,PLANEJAMENTO_SEMANAL!$B$6:$B$2381,AB$7)</f>
        <v>25.5729402482886</v>
      </c>
      <c r="AC35" s="18" t="n">
        <f aca="false">SUMIFS(PLANEJAMENTO_SEMANAL!$AB$6:$AB$2381,PLANEJAMENTO_SEMANAL!$F$6:$F$2381,$B35,PLANEJAMENTO_SEMANAL!$B$6:$B$2381,AC$7)</f>
        <v>35.7642352941176</v>
      </c>
      <c r="AD35" s="18" t="n">
        <f aca="false">SUMIFS(PLANEJAMENTO_SEMANAL!$AB$6:$AB$2381,PLANEJAMENTO_SEMANAL!$F$6:$F$2381,$B35,PLANEJAMENTO_SEMANAL!$B$6:$B$2381,AD$7)</f>
        <v>35.7642352941176</v>
      </c>
      <c r="AE35" s="18" t="n">
        <f aca="false">SUMIFS(PLANEJAMENTO_SEMANAL!$AB$6:$AB$2381,PLANEJAMENTO_SEMANAL!$F$6:$F$2381,$B35,PLANEJAMENTO_SEMANAL!$B$6:$B$2381,AE$7)</f>
        <v>35.7642352941176</v>
      </c>
      <c r="AF35" s="18" t="n">
        <f aca="false">SUMIFS(PLANEJAMENTO_SEMANAL!$AB$6:$AB$2381,PLANEJAMENTO_SEMANAL!$F$6:$F$2381,$B35,PLANEJAMENTO_SEMANAL!$B$6:$B$2381,AF$7)</f>
        <v>35.7642352941176</v>
      </c>
      <c r="AG35" s="18" t="n">
        <f aca="false">SUMIFS(PLANEJAMENTO_SEMANAL!$AB$6:$AB$2381,PLANEJAMENTO_SEMANAL!$F$6:$F$2381,$B35,PLANEJAMENTO_SEMANAL!$B$6:$B$2381,AG$7)</f>
        <v>93.9561920477154</v>
      </c>
      <c r="AH35" s="18" t="n">
        <f aca="false">SUMIFS(PLANEJAMENTO_SEMANAL!$AB$6:$AB$2381,PLANEJAMENTO_SEMANAL!$F$6:$F$2381,$B35,PLANEJAMENTO_SEMANAL!$B$6:$B$2381,AH$7)</f>
        <v>162.303860205489</v>
      </c>
      <c r="AI35" s="18" t="n">
        <f aca="false">SUMIFS(PLANEJAMENTO_SEMANAL!$AB$6:$AB$2381,PLANEJAMENTO_SEMANAL!$F$6:$F$2381,$B35,PLANEJAMENTO_SEMANAL!$B$6:$B$2381,AI$7)</f>
        <v>174.012668909773</v>
      </c>
      <c r="AJ35" s="18" t="n">
        <f aca="false">SUMIFS(PLANEJAMENTO_SEMANAL!$AB$6:$AB$2381,PLANEJAMENTO_SEMANAL!$F$6:$F$2381,$B35,PLANEJAMENTO_SEMANAL!$B$6:$B$2381,AJ$7)</f>
        <v>185.721477614057</v>
      </c>
      <c r="AK35" s="18" t="n">
        <f aca="false">SUMIFS(PLANEJAMENTO_SEMANAL!$AB$6:$AB$2381,PLANEJAMENTO_SEMANAL!$F$6:$F$2381,$B35,PLANEJAMENTO_SEMANAL!$B$6:$B$2381,AK$7)</f>
        <v>202.79628959276</v>
      </c>
      <c r="AL35" s="18" t="n">
        <f aca="false">SUMIFS(PLANEJAMENTO_SEMANAL!$AB$6:$AB$2381,PLANEJAMENTO_SEMANAL!$F$6:$F$2381,$B35,PLANEJAMENTO_SEMANAL!$B$6:$B$2381,AL$7)</f>
        <v>240.299547511312</v>
      </c>
      <c r="AM35" s="18" t="n">
        <f aca="false">SUMIFS(PLANEJAMENTO_SEMANAL!$AB$6:$AB$2381,PLANEJAMENTO_SEMANAL!$F$6:$F$2381,$B35,PLANEJAMENTO_SEMANAL!$B$6:$B$2381,AM$7)</f>
        <v>230.056108597285</v>
      </c>
      <c r="AN35" s="18" t="n">
        <f aca="false">SUMIFS(PLANEJAMENTO_SEMANAL!$AB$6:$AB$2381,PLANEJAMENTO_SEMANAL!$F$6:$F$2381,$B35,PLANEJAMENTO_SEMANAL!$B$6:$B$2381,AN$7)</f>
        <v>219.812669683258</v>
      </c>
      <c r="AO35" s="18" t="n">
        <f aca="false">SUMIFS(PLANEJAMENTO_SEMANAL!$AB$6:$AB$2381,PLANEJAMENTO_SEMANAL!$F$6:$F$2381,$B35,PLANEJAMENTO_SEMANAL!$B$6:$B$2381,AO$7)</f>
        <v>209.569230769231</v>
      </c>
      <c r="AP35" s="18" t="n">
        <f aca="false">SUMIFS(PLANEJAMENTO_SEMANAL!$AB$6:$AB$2381,PLANEJAMENTO_SEMANAL!$F$6:$F$2381,$B35,PLANEJAMENTO_SEMANAL!$B$6:$B$2381,AP$7)</f>
        <v>202.540633484163</v>
      </c>
      <c r="AQ35" s="18" t="n">
        <f aca="false">SUMIFS(PLANEJAMENTO_SEMANAL!$AB$6:$AB$2381,PLANEJAMENTO_SEMANAL!$F$6:$F$2381,$B35,PLANEJAMENTO_SEMANAL!$B$6:$B$2381,AQ$7)</f>
        <v>193.320784313725</v>
      </c>
      <c r="AR35" s="18" t="n">
        <f aca="false">SUMIFS(PLANEJAMENTO_SEMANAL!$AB$6:$AB$2381,PLANEJAMENTO_SEMANAL!$F$6:$F$2381,$B35,PLANEJAMENTO_SEMANAL!$B$6:$B$2381,AR$7)</f>
        <v>132.289061840121</v>
      </c>
      <c r="AS35" s="18" t="n">
        <f aca="false">SUMIFS(PLANEJAMENTO_SEMANAL!$AB$6:$AB$2381,PLANEJAMENTO_SEMANAL!$F$6:$F$2381,$B35,PLANEJAMENTO_SEMANAL!$B$6:$B$2381,AS$7)</f>
        <v>126.782535947712</v>
      </c>
      <c r="AT35" s="18" t="n">
        <f aca="false">SUMIFS(PLANEJAMENTO_SEMANAL!$AB$6:$AB$2381,PLANEJAMENTO_SEMANAL!$F$6:$F$2381,$B35,PLANEJAMENTO_SEMANAL!$B$6:$B$2381,AT$7)</f>
        <v>98.5548999497235</v>
      </c>
      <c r="AU35" s="18" t="n">
        <f aca="false">SUMIFS(PLANEJAMENTO_SEMANAL!$AB$6:$AB$2381,PLANEJAMENTO_SEMANAL!$F$6:$F$2381,$B35,PLANEJAMENTO_SEMANAL!$B$6:$B$2381,AU$7)</f>
        <v>94.4825580693816</v>
      </c>
      <c r="AV35" s="18" t="n">
        <f aca="false">SUMIFS(PLANEJAMENTO_SEMANAL!$AB$6:$AB$2381,PLANEJAMENTO_SEMANAL!$F$6:$F$2381,$B35,PLANEJAMENTO_SEMANAL!$B$6:$B$2381,AV$7)</f>
        <v>86.7452388134741</v>
      </c>
      <c r="AW35" s="18" t="n">
        <f aca="false">SUMIFS(PLANEJAMENTO_SEMANAL!$AB$6:$AB$2381,PLANEJAMENTO_SEMANAL!$F$6:$F$2381,$B35,PLANEJAMENTO_SEMANAL!$B$6:$B$2381,AW$7)</f>
        <v>79.0079195575666</v>
      </c>
      <c r="AX35" s="18" t="n">
        <f aca="false">SUMIFS(PLANEJAMENTO_SEMANAL!$AB$6:$AB$2381,PLANEJAMENTO_SEMANAL!$F$6:$F$2381,$B35,PLANEJAMENTO_SEMANAL!$B$6:$B$2381,AX$7)</f>
        <v>73.2986546003017</v>
      </c>
      <c r="AY35" s="18" t="n">
        <f aca="false">SUMIFS(PLANEJAMENTO_SEMANAL!$AB$6:$AB$2381,PLANEJAMENTO_SEMANAL!$F$6:$F$2381,$B35,PLANEJAMENTO_SEMANAL!$B$6:$B$2381,AY$7)</f>
        <v>42.3469803921569</v>
      </c>
      <c r="AZ35" s="18" t="n">
        <f aca="false">SUMIFS(PLANEJAMENTO_SEMANAL!$AB$6:$AB$2381,PLANEJAMENTO_SEMANAL!$F$6:$F$2381,$B35,PLANEJAMENTO_SEMANAL!$B$6:$B$2381,AZ$7)</f>
        <v>38.1195294117647</v>
      </c>
      <c r="BA35" s="18" t="n">
        <f aca="false">SUMIFS(PLANEJAMENTO_SEMANAL!$AB$6:$AB$2381,PLANEJAMENTO_SEMANAL!$F$6:$F$2381,$B35,PLANEJAMENTO_SEMANAL!$B$6:$B$2381,BA$7)</f>
        <v>0</v>
      </c>
      <c r="BB35" s="18" t="n">
        <f aca="false">SUMIFS(PLANEJAMENTO_SEMANAL!$AB$6:$AB$2381,PLANEJAMENTO_SEMANAL!$F$6:$F$2381,$B35,PLANEJAMENTO_SEMANAL!$B$6:$B$2381,BB$7)</f>
        <v>0</v>
      </c>
      <c r="BC35" s="18" t="n">
        <f aca="false">SUMIFS(PLANEJAMENTO_SEMANAL!$AB$6:$AB$2381,PLANEJAMENTO_SEMANAL!$F$6:$F$2381,$B35,PLANEJAMENTO_SEMANAL!$B$6:$B$2381,BC$7)</f>
        <v>0</v>
      </c>
      <c r="BD35" s="18" t="n">
        <f aca="false">SUMIFS(PLANEJAMENTO_SEMANAL!$AB$6:$AB$2381,PLANEJAMENTO_SEMANAL!$F$6:$F$2381,$B35,PLANEJAMENTO_SEMANAL!$B$6:$B$2381,BD$7)</f>
        <v>0</v>
      </c>
      <c r="BE35" s="18" t="n">
        <f aca="false">SUMIFS(PLANEJAMENTO_SEMANAL!$AB$6:$AB$2381,PLANEJAMENTO_SEMANAL!$F$6:$F$2381,$B35,PLANEJAMENTO_SEMANAL!$B$6:$B$2381,BE$7)</f>
        <v>0</v>
      </c>
      <c r="BF35" s="18" t="n">
        <f aca="false">SUMIFS(PLANEJAMENTO_SEMANAL!$AB$6:$AB$2381,PLANEJAMENTO_SEMANAL!$F$6:$F$2381,$B35,PLANEJAMENTO_SEMANAL!$B$6:$B$2381,BF$7)</f>
        <v>0</v>
      </c>
      <c r="BG35" s="18" t="n">
        <f aca="false">SUMIFS(PLANEJAMENTO_SEMANAL!$AB$6:$AB$2381,PLANEJAMENTO_SEMANAL!$F$6:$F$2381,$B35,PLANEJAMENTO_SEMANAL!$B$6:$B$2381,BG$7)</f>
        <v>0</v>
      </c>
      <c r="BH35" s="18" t="n">
        <f aca="false">SUMIFS(PLANEJAMENTO_SEMANAL!$AB$6:$AB$2381,PLANEJAMENTO_SEMANAL!$F$6:$F$2381,$B35,PLANEJAMENTO_SEMANAL!$B$6:$B$2381,BH$7)</f>
        <v>0</v>
      </c>
      <c r="BI35" s="18" t="n">
        <f aca="false">SUMIFS(PLANEJAMENTO_SEMANAL!$AB$6:$AB$2381,PLANEJAMENTO_SEMANAL!$F$6:$F$2381,$B35,PLANEJAMENTO_SEMANAL!$B$6:$B$2381,BI$7)</f>
        <v>0</v>
      </c>
      <c r="BJ35" s="18" t="n">
        <f aca="false">SUMIFS(PLANEJAMENTO_SEMANAL!$AB$6:$AB$2381,PLANEJAMENTO_SEMANAL!$F$6:$F$2381,$B35,PLANEJAMENTO_SEMANAL!$B$6:$B$2381,BJ$7)</f>
        <v>0</v>
      </c>
      <c r="BK35" s="18" t="n">
        <f aca="false">SUMIFS(PLANEJAMENTO_SEMANAL!$AB$6:$AB$2381,PLANEJAMENTO_SEMANAL!$F$6:$F$2381,$B35,PLANEJAMENTO_SEMANAL!$B$6:$B$2381,BK$7)</f>
        <v>0</v>
      </c>
      <c r="BL35" s="18" t="n">
        <f aca="false">SUMIFS(PLANEJAMENTO_SEMANAL!$AB$6:$AB$2381,PLANEJAMENTO_SEMANAL!$F$6:$F$2381,$B35,PLANEJAMENTO_SEMANAL!$B$6:$B$2381,BL$7)</f>
        <v>0</v>
      </c>
      <c r="BM35" s="18" t="n">
        <f aca="false">SUMIFS(PLANEJAMENTO_SEMANAL!$AB$6:$AB$2381,PLANEJAMENTO_SEMANAL!$F$6:$F$2381,$B35,PLANEJAMENTO_SEMANAL!$B$6:$B$2381,BM$7)</f>
        <v>0</v>
      </c>
      <c r="BN35" s="18" t="n">
        <f aca="false">SUMIFS(PLANEJAMENTO_SEMANAL!$AB$6:$AB$2381,PLANEJAMENTO_SEMANAL!$F$6:$F$2381,$B35,PLANEJAMENTO_SEMANAL!$B$6:$B$2381,BN$7)</f>
        <v>0</v>
      </c>
      <c r="BO35" s="18" t="n">
        <f aca="false">SUMIFS(PLANEJAMENTO_SEMANAL!$AB$6:$AB$2381,PLANEJAMENTO_SEMANAL!$F$6:$F$2381,$B35,PLANEJAMENTO_SEMANAL!$B$6:$B$2381,BO$7)</f>
        <v>0</v>
      </c>
      <c r="BP35" s="18" t="n">
        <f aca="false">SUMIFS(PLANEJAMENTO_SEMANAL!$AB$6:$AB$2381,PLANEJAMENTO_SEMANAL!$F$6:$F$2381,$B35,PLANEJAMENTO_SEMANAL!$B$6:$B$2381,BP$7)</f>
        <v>0</v>
      </c>
      <c r="BQ35" s="18" t="n">
        <f aca="false">SUM(C35:BP35)</f>
        <v>3594.13593498427</v>
      </c>
    </row>
    <row r="36" customFormat="false" ht="15" hidden="false" customHeight="false" outlineLevel="0" collapsed="false">
      <c r="B36" s="15" t="s">
        <v>132</v>
      </c>
      <c r="C36" s="18" t="n">
        <f aca="false">SUMIFS(PLANEJAMENTO_SEMANAL!$AB$6:$AB$2381,PLANEJAMENTO_SEMANAL!$F$6:$F$2381,$B36,PLANEJAMENTO_SEMANAL!$B$6:$B$2381,C$7)</f>
        <v>135.296</v>
      </c>
      <c r="D36" s="18" t="n">
        <f aca="false">SUMIFS(PLANEJAMENTO_SEMANAL!$AB$6:$AB$2381,PLANEJAMENTO_SEMANAL!$F$6:$F$2381,$B36,PLANEJAMENTO_SEMANAL!$B$6:$B$2381,D$7)</f>
        <v>135.355294117647</v>
      </c>
      <c r="E36" s="18" t="n">
        <f aca="false">SUMIFS(PLANEJAMENTO_SEMANAL!$AB$6:$AB$2381,PLANEJAMENTO_SEMANAL!$F$6:$F$2381,$B36,PLANEJAMENTO_SEMANAL!$B$6:$B$2381,E$7)</f>
        <v>135.355294117647</v>
      </c>
      <c r="F36" s="18" t="n">
        <f aca="false">SUMIFS(PLANEJAMENTO_SEMANAL!$AB$6:$AB$2381,PLANEJAMENTO_SEMANAL!$F$6:$F$2381,$B36,PLANEJAMENTO_SEMANAL!$B$6:$B$2381,F$7)</f>
        <v>135.355294117647</v>
      </c>
      <c r="G36" s="18" t="n">
        <f aca="false">SUMIFS(PLANEJAMENTO_SEMANAL!$AB$6:$AB$2381,PLANEJAMENTO_SEMANAL!$F$6:$F$2381,$B36,PLANEJAMENTO_SEMANAL!$B$6:$B$2381,G$7)</f>
        <v>102.071529411765</v>
      </c>
      <c r="H36" s="18" t="n">
        <f aca="false">SUMIFS(PLANEJAMENTO_SEMANAL!$AB$6:$AB$2381,PLANEJAMENTO_SEMANAL!$F$6:$F$2381,$B36,PLANEJAMENTO_SEMANAL!$B$6:$B$2381,H$7)</f>
        <v>77.1087058823529</v>
      </c>
      <c r="I36" s="18" t="n">
        <f aca="false">SUMIFS(PLANEJAMENTO_SEMANAL!$AB$6:$AB$2381,PLANEJAMENTO_SEMANAL!$F$6:$F$2381,$B36,PLANEJAMENTO_SEMANAL!$B$6:$B$2381,I$7)</f>
        <v>77.1087058823529</v>
      </c>
      <c r="J36" s="18" t="n">
        <f aca="false">SUMIFS(PLANEJAMENTO_SEMANAL!$AB$6:$AB$2381,PLANEJAMENTO_SEMANAL!$F$6:$F$2381,$B36,PLANEJAMENTO_SEMANAL!$B$6:$B$2381,J$7)</f>
        <v>66.4555294117647</v>
      </c>
      <c r="K36" s="18" t="n">
        <f aca="false">SUMIFS(PLANEJAMENTO_SEMANAL!$AB$6:$AB$2381,PLANEJAMENTO_SEMANAL!$F$6:$F$2381,$B36,PLANEJAMENTO_SEMANAL!$B$6:$B$2381,K$7)</f>
        <v>44.4084117647059</v>
      </c>
      <c r="L36" s="18" t="n">
        <f aca="false">SUMIFS(PLANEJAMENTO_SEMANAL!$AB$6:$AB$2381,PLANEJAMENTO_SEMANAL!$F$6:$F$2381,$B36,PLANEJAMENTO_SEMANAL!$B$6:$B$2381,L$7)</f>
        <v>0</v>
      </c>
      <c r="M36" s="18" t="n">
        <f aca="false">SUMIFS(PLANEJAMENTO_SEMANAL!$AB$6:$AB$2381,PLANEJAMENTO_SEMANAL!$F$6:$F$2381,$B36,PLANEJAMENTO_SEMANAL!$B$6:$B$2381,M$7)</f>
        <v>0</v>
      </c>
      <c r="N36" s="18" t="n">
        <f aca="false">SUMIFS(PLANEJAMENTO_SEMANAL!$AB$6:$AB$2381,PLANEJAMENTO_SEMANAL!$F$6:$F$2381,$B36,PLANEJAMENTO_SEMANAL!$B$6:$B$2381,N$7)</f>
        <v>0</v>
      </c>
      <c r="O36" s="18" t="n">
        <f aca="false">SUMIFS(PLANEJAMENTO_SEMANAL!$AB$6:$AB$2381,PLANEJAMENTO_SEMANAL!$F$6:$F$2381,$B36,PLANEJAMENTO_SEMANAL!$B$6:$B$2381,O$7)</f>
        <v>6.60401408345601</v>
      </c>
      <c r="P36" s="18" t="n">
        <f aca="false">SUMIFS(PLANEJAMENTO_SEMANAL!$AB$6:$AB$2381,PLANEJAMENTO_SEMANAL!$F$6:$F$2381,$B36,PLANEJAMENTO_SEMANAL!$B$6:$B$2381,P$7)</f>
        <v>0</v>
      </c>
      <c r="Q36" s="18" t="n">
        <f aca="false">SUMIFS(PLANEJAMENTO_SEMANAL!$AB$6:$AB$2381,PLANEJAMENTO_SEMANAL!$F$6:$F$2381,$B36,PLANEJAMENTO_SEMANAL!$B$6:$B$2381,Q$7)</f>
        <v>0</v>
      </c>
      <c r="R36" s="18" t="n">
        <f aca="false">SUMIFS(PLANEJAMENTO_SEMANAL!$AB$6:$AB$2381,PLANEJAMENTO_SEMANAL!$F$6:$F$2381,$B36,PLANEJAMENTO_SEMANAL!$B$6:$B$2381,R$7)</f>
        <v>0</v>
      </c>
      <c r="S36" s="18" t="n">
        <f aca="false">SUMIFS(PLANEJAMENTO_SEMANAL!$AB$6:$AB$2381,PLANEJAMENTO_SEMANAL!$F$6:$F$2381,$B36,PLANEJAMENTO_SEMANAL!$B$6:$B$2381,S$7)</f>
        <v>0</v>
      </c>
      <c r="T36" s="18" t="n">
        <f aca="false">SUMIFS(PLANEJAMENTO_SEMANAL!$AB$6:$AB$2381,PLANEJAMENTO_SEMANAL!$F$6:$F$2381,$B36,PLANEJAMENTO_SEMANAL!$B$6:$B$2381,T$7)</f>
        <v>1.74537556561085</v>
      </c>
      <c r="U36" s="18" t="n">
        <f aca="false">SUMIFS(PLANEJAMENTO_SEMANAL!$AB$6:$AB$2381,PLANEJAMENTO_SEMANAL!$F$6:$F$2381,$B36,PLANEJAMENTO_SEMANAL!$B$6:$B$2381,U$7)</f>
        <v>8.93972850678732</v>
      </c>
      <c r="V36" s="18" t="n">
        <f aca="false">SUMIFS(PLANEJAMENTO_SEMANAL!$AB$6:$AB$2381,PLANEJAMENTO_SEMANAL!$F$6:$F$2381,$B36,PLANEJAMENTO_SEMANAL!$B$6:$B$2381,V$7)</f>
        <v>8.79911571720689</v>
      </c>
      <c r="W36" s="18" t="n">
        <f aca="false">SUMIFS(PLANEJAMENTO_SEMANAL!$AB$6:$AB$2381,PLANEJAMENTO_SEMANAL!$F$6:$F$2381,$B36,PLANEJAMENTO_SEMANAL!$B$6:$B$2381,W$7)</f>
        <v>0</v>
      </c>
      <c r="X36" s="18" t="n">
        <f aca="false">SUMIFS(PLANEJAMENTO_SEMANAL!$AB$6:$AB$2381,PLANEJAMENTO_SEMANAL!$F$6:$F$2381,$B36,PLANEJAMENTO_SEMANAL!$B$6:$B$2381,X$7)</f>
        <v>0</v>
      </c>
      <c r="Y36" s="18" t="n">
        <f aca="false">SUMIFS(PLANEJAMENTO_SEMANAL!$AB$6:$AB$2381,PLANEJAMENTO_SEMANAL!$F$6:$F$2381,$B36,PLANEJAMENTO_SEMANAL!$B$6:$B$2381,Y$7)</f>
        <v>0</v>
      </c>
      <c r="Z36" s="18" t="n">
        <f aca="false">SUMIFS(PLANEJAMENTO_SEMANAL!$AB$6:$AB$2381,PLANEJAMENTO_SEMANAL!$F$6:$F$2381,$B36,PLANEJAMENTO_SEMANAL!$B$6:$B$2381,Z$7)</f>
        <v>13.867755995252</v>
      </c>
      <c r="AA36" s="18" t="n">
        <f aca="false">SUMIFS(PLANEJAMENTO_SEMANAL!$AB$6:$AB$2381,PLANEJAMENTO_SEMANAL!$F$6:$F$2381,$B36,PLANEJAMENTO_SEMANAL!$B$6:$B$2381,AA$7)</f>
        <v>38.7088949220714</v>
      </c>
      <c r="AB36" s="18" t="n">
        <f aca="false">SUMIFS(PLANEJAMENTO_SEMANAL!$AB$6:$AB$2381,PLANEJAMENTO_SEMANAL!$F$6:$F$2381,$B36,PLANEJAMENTO_SEMANAL!$B$6:$B$2381,AB$7)</f>
        <v>40.0851040723981</v>
      </c>
      <c r="AC36" s="18" t="n">
        <f aca="false">SUMIFS(PLANEJAMENTO_SEMANAL!$AB$6:$AB$2381,PLANEJAMENTO_SEMANAL!$F$6:$F$2381,$B36,PLANEJAMENTO_SEMANAL!$B$6:$B$2381,AC$7)</f>
        <v>49.5197104072398</v>
      </c>
      <c r="AD36" s="18" t="n">
        <f aca="false">SUMIFS(PLANEJAMENTO_SEMANAL!$AB$6:$AB$2381,PLANEJAMENTO_SEMANAL!$F$6:$F$2381,$B36,PLANEJAMENTO_SEMANAL!$B$6:$B$2381,AD$7)</f>
        <v>49.5197104072398</v>
      </c>
      <c r="AE36" s="18" t="n">
        <f aca="false">SUMIFS(PLANEJAMENTO_SEMANAL!$AB$6:$AB$2381,PLANEJAMENTO_SEMANAL!$F$6:$F$2381,$B36,PLANEJAMENTO_SEMANAL!$B$6:$B$2381,AE$7)</f>
        <v>49.5197104072398</v>
      </c>
      <c r="AF36" s="18" t="n">
        <f aca="false">SUMIFS(PLANEJAMENTO_SEMANAL!$AB$6:$AB$2381,PLANEJAMENTO_SEMANAL!$F$6:$F$2381,$B36,PLANEJAMENTO_SEMANAL!$B$6:$B$2381,AF$7)</f>
        <v>49.5197104072398</v>
      </c>
      <c r="AG36" s="18" t="n">
        <f aca="false">SUMIFS(PLANEJAMENTO_SEMANAL!$AB$6:$AB$2381,PLANEJAMENTO_SEMANAL!$F$6:$F$2381,$B36,PLANEJAMENTO_SEMANAL!$B$6:$B$2381,AG$7)</f>
        <v>111.833266968326</v>
      </c>
      <c r="AH36" s="18" t="n">
        <f aca="false">SUMIFS(PLANEJAMENTO_SEMANAL!$AB$6:$AB$2381,PLANEJAMENTO_SEMANAL!$F$6:$F$2381,$B36,PLANEJAMENTO_SEMANAL!$B$6:$B$2381,AH$7)</f>
        <v>158.56843438914</v>
      </c>
      <c r="AI36" s="18" t="n">
        <f aca="false">SUMIFS(PLANEJAMENTO_SEMANAL!$AB$6:$AB$2381,PLANEJAMENTO_SEMANAL!$F$6:$F$2381,$B36,PLANEJAMENTO_SEMANAL!$B$6:$B$2381,AI$7)</f>
        <v>158.56843438914</v>
      </c>
      <c r="AJ36" s="18" t="n">
        <f aca="false">SUMIFS(PLANEJAMENTO_SEMANAL!$AB$6:$AB$2381,PLANEJAMENTO_SEMANAL!$F$6:$F$2381,$B36,PLANEJAMENTO_SEMANAL!$B$6:$B$2381,AJ$7)</f>
        <v>155.641737556561</v>
      </c>
      <c r="AK36" s="18" t="n">
        <f aca="false">SUMIFS(PLANEJAMENTO_SEMANAL!$AB$6:$AB$2381,PLANEJAMENTO_SEMANAL!$F$6:$F$2381,$B36,PLANEJAMENTO_SEMANAL!$B$6:$B$2381,AK$7)</f>
        <v>163.498500522102</v>
      </c>
      <c r="AL36" s="18" t="n">
        <f aca="false">SUMIFS(PLANEJAMENTO_SEMANAL!$AB$6:$AB$2381,PLANEJAMENTO_SEMANAL!$F$6:$F$2381,$B36,PLANEJAMENTO_SEMANAL!$B$6:$B$2381,AL$7)</f>
        <v>189.450014378818</v>
      </c>
      <c r="AM36" s="18" t="n">
        <f aca="false">SUMIFS(PLANEJAMENTO_SEMANAL!$AB$6:$AB$2381,PLANEJAMENTO_SEMANAL!$F$6:$F$2381,$B36,PLANEJAMENTO_SEMANAL!$B$6:$B$2381,AM$7)</f>
        <v>175.973235330125</v>
      </c>
      <c r="AN36" s="18" t="n">
        <f aca="false">SUMIFS(PLANEJAMENTO_SEMANAL!$AB$6:$AB$2381,PLANEJAMENTO_SEMANAL!$F$6:$F$2381,$B36,PLANEJAMENTO_SEMANAL!$B$6:$B$2381,AN$7)</f>
        <v>162.496456281431</v>
      </c>
      <c r="AO36" s="18" t="n">
        <f aca="false">SUMIFS(PLANEJAMENTO_SEMANAL!$AB$6:$AB$2381,PLANEJAMENTO_SEMANAL!$F$6:$F$2381,$B36,PLANEJAMENTO_SEMANAL!$B$6:$B$2381,AO$7)</f>
        <v>149.019677232738</v>
      </c>
      <c r="AP36" s="18" t="n">
        <f aca="false">SUMIFS(PLANEJAMENTO_SEMANAL!$AB$6:$AB$2381,PLANEJAMENTO_SEMANAL!$F$6:$F$2381,$B36,PLANEJAMENTO_SEMANAL!$B$6:$B$2381,AP$7)</f>
        <v>151.397901508696</v>
      </c>
      <c r="AQ36" s="18" t="n">
        <f aca="false">SUMIFS(PLANEJAMENTO_SEMANAL!$AB$6:$AB$2381,PLANEJAMENTO_SEMANAL!$F$6:$F$2381,$B36,PLANEJAMENTO_SEMANAL!$B$6:$B$2381,AQ$7)</f>
        <v>153.676650415481</v>
      </c>
      <c r="AR36" s="18" t="n">
        <f aca="false">SUMIFS(PLANEJAMENTO_SEMANAL!$AB$6:$AB$2381,PLANEJAMENTO_SEMANAL!$F$6:$F$2381,$B36,PLANEJAMENTO_SEMANAL!$B$6:$B$2381,AR$7)</f>
        <v>88.6229839288501</v>
      </c>
      <c r="AS36" s="18" t="n">
        <f aca="false">SUMIFS(PLANEJAMENTO_SEMANAL!$AB$6:$AB$2381,PLANEJAMENTO_SEMANAL!$F$6:$F$2381,$B36,PLANEJAMENTO_SEMANAL!$B$6:$B$2381,AS$7)</f>
        <v>82.7920170593436</v>
      </c>
      <c r="AT36" s="18" t="n">
        <f aca="false">SUMIFS(PLANEJAMENTO_SEMANAL!$AB$6:$AB$2381,PLANEJAMENTO_SEMANAL!$F$6:$F$2381,$B36,PLANEJAMENTO_SEMANAL!$B$6:$B$2381,AT$7)</f>
        <v>44.4857114682478</v>
      </c>
      <c r="AU36" s="18" t="n">
        <f aca="false">SUMIFS(PLANEJAMENTO_SEMANAL!$AB$6:$AB$2381,PLANEJAMENTO_SEMANAL!$F$6:$F$2381,$B36,PLANEJAMENTO_SEMANAL!$B$6:$B$2381,AU$7)</f>
        <v>77.5856137306912</v>
      </c>
      <c r="AV36" s="18" t="n">
        <f aca="false">SUMIFS(PLANEJAMENTO_SEMANAL!$AB$6:$AB$2381,PLANEJAMENTO_SEMANAL!$F$6:$F$2381,$B36,PLANEJAMENTO_SEMANAL!$B$6:$B$2381,AV$7)</f>
        <v>95.1122768606647</v>
      </c>
      <c r="AW36" s="18" t="n">
        <f aca="false">SUMIFS(PLANEJAMENTO_SEMANAL!$AB$6:$AB$2381,PLANEJAMENTO_SEMANAL!$F$6:$F$2381,$B36,PLANEJAMENTO_SEMANAL!$B$6:$B$2381,AW$7)</f>
        <v>112.638939990638</v>
      </c>
      <c r="AX36" s="18" t="n">
        <f aca="false">SUMIFS(PLANEJAMENTO_SEMANAL!$AB$6:$AB$2381,PLANEJAMENTO_SEMANAL!$F$6:$F$2381,$B36,PLANEJAMENTO_SEMANAL!$B$6:$B$2381,AX$7)</f>
        <v>137.974239975035</v>
      </c>
      <c r="AY36" s="18" t="n">
        <f aca="false">SUMIFS(PLANEJAMENTO_SEMANAL!$AB$6:$AB$2381,PLANEJAMENTO_SEMANAL!$F$6:$F$2381,$B36,PLANEJAMENTO_SEMANAL!$B$6:$B$2381,AY$7)</f>
        <v>199.178667998128</v>
      </c>
      <c r="AZ36" s="18" t="n">
        <f aca="false">SUMIFS(PLANEJAMENTO_SEMANAL!$AB$6:$AB$2381,PLANEJAMENTO_SEMANAL!$F$6:$F$2381,$B36,PLANEJAMENTO_SEMANAL!$B$6:$B$2381,AZ$7)</f>
        <v>221.779495584335</v>
      </c>
      <c r="BA36" s="18" t="n">
        <f aca="false">SUMIFS(PLANEJAMENTO_SEMANAL!$AB$6:$AB$2381,PLANEJAMENTO_SEMANAL!$F$6:$F$2381,$B36,PLANEJAMENTO_SEMANAL!$B$6:$B$2381,BA$7)</f>
        <v>241.46059903261</v>
      </c>
      <c r="BB36" s="18" t="n">
        <f aca="false">SUMIFS(PLANEJAMENTO_SEMANAL!$AB$6:$AB$2381,PLANEJAMENTO_SEMANAL!$F$6:$F$2381,$B36,PLANEJAMENTO_SEMANAL!$B$6:$B$2381,BB$7)</f>
        <v>261.141702480886</v>
      </c>
      <c r="BC36" s="18" t="n">
        <f aca="false">SUMIFS(PLANEJAMENTO_SEMANAL!$AB$6:$AB$2381,PLANEJAMENTO_SEMANAL!$F$6:$F$2381,$B36,PLANEJAMENTO_SEMANAL!$B$6:$B$2381,BC$7)</f>
        <v>278.137255983773</v>
      </c>
      <c r="BD36" s="18" t="n">
        <f aca="false">SUMIFS(PLANEJAMENTO_SEMANAL!$AB$6:$AB$2381,PLANEJAMENTO_SEMANAL!$F$6:$F$2381,$B36,PLANEJAMENTO_SEMANAL!$B$6:$B$2381,BD$7)</f>
        <v>281.122533936652</v>
      </c>
      <c r="BE36" s="18" t="n">
        <f aca="false">SUMIFS(PLANEJAMENTO_SEMANAL!$AB$6:$AB$2381,PLANEJAMENTO_SEMANAL!$F$6:$F$2381,$B36,PLANEJAMENTO_SEMANAL!$B$6:$B$2381,BE$7)</f>
        <v>281.122533936652</v>
      </c>
      <c r="BF36" s="18" t="n">
        <f aca="false">SUMIFS(PLANEJAMENTO_SEMANAL!$AB$6:$AB$2381,PLANEJAMENTO_SEMANAL!$F$6:$F$2381,$B36,PLANEJAMENTO_SEMANAL!$B$6:$B$2381,BF$7)</f>
        <v>273.161918552036</v>
      </c>
      <c r="BG36" s="18" t="n">
        <f aca="false">SUMIFS(PLANEJAMENTO_SEMANAL!$AB$6:$AB$2381,PLANEJAMENTO_SEMANAL!$F$6:$F$2381,$B36,PLANEJAMENTO_SEMANAL!$B$6:$B$2381,BG$7)</f>
        <v>206.362892182868</v>
      </c>
      <c r="BH36" s="18" t="n">
        <f aca="false">SUMIFS(PLANEJAMENTO_SEMANAL!$AB$6:$AB$2381,PLANEJAMENTO_SEMANAL!$F$6:$F$2381,$B36,PLANEJAMENTO_SEMANAL!$B$6:$B$2381,BH$7)</f>
        <v>122.923958183804</v>
      </c>
      <c r="BI36" s="18" t="n">
        <f aca="false">SUMIFS(PLANEJAMENTO_SEMANAL!$AB$6:$AB$2381,PLANEJAMENTO_SEMANAL!$F$6:$F$2381,$B36,PLANEJAMENTO_SEMANAL!$B$6:$B$2381,BI$7)</f>
        <v>108.154567639257</v>
      </c>
      <c r="BJ36" s="18" t="n">
        <f aca="false">SUMIFS(PLANEJAMENTO_SEMANAL!$AB$6:$AB$2381,PLANEJAMENTO_SEMANAL!$F$6:$F$2381,$B36,PLANEJAMENTO_SEMANAL!$B$6:$B$2381,BJ$7)</f>
        <v>85.0585564050553</v>
      </c>
      <c r="BK36" s="18" t="n">
        <f aca="false">SUMIFS(PLANEJAMENTO_SEMANAL!$AB$6:$AB$2381,PLANEJAMENTO_SEMANAL!$F$6:$F$2381,$B36,PLANEJAMENTO_SEMANAL!$B$6:$B$2381,BK$7)</f>
        <v>55.0676511156187</v>
      </c>
      <c r="BL36" s="18" t="n">
        <f aca="false">SUMIFS(PLANEJAMENTO_SEMANAL!$AB$6:$AB$2381,PLANEJAMENTO_SEMANAL!$F$6:$F$2381,$B36,PLANEJAMENTO_SEMANAL!$B$6:$B$2381,BL$7)</f>
        <v>0</v>
      </c>
      <c r="BM36" s="18" t="n">
        <f aca="false">SUMIFS(PLANEJAMENTO_SEMANAL!$AB$6:$AB$2381,PLANEJAMENTO_SEMANAL!$F$6:$F$2381,$B36,PLANEJAMENTO_SEMANAL!$B$6:$B$2381,BM$7)</f>
        <v>0</v>
      </c>
      <c r="BN36" s="18" t="n">
        <f aca="false">SUMIFS(PLANEJAMENTO_SEMANAL!$AB$6:$AB$2381,PLANEJAMENTO_SEMANAL!$F$6:$F$2381,$B36,PLANEJAMENTO_SEMANAL!$B$6:$B$2381,BN$7)</f>
        <v>0</v>
      </c>
      <c r="BO36" s="18" t="n">
        <f aca="false">SUMIFS(PLANEJAMENTO_SEMANAL!$AB$6:$AB$2381,PLANEJAMENTO_SEMANAL!$F$6:$F$2381,$B36,PLANEJAMENTO_SEMANAL!$B$6:$B$2381,BO$7)</f>
        <v>0</v>
      </c>
      <c r="BP36" s="18" t="n">
        <f aca="false">SUMIFS(PLANEJAMENTO_SEMANAL!$AB$6:$AB$2381,PLANEJAMENTO_SEMANAL!$F$6:$F$2381,$B36,PLANEJAMENTO_SEMANAL!$B$6:$B$2381,BP$7)</f>
        <v>0</v>
      </c>
      <c r="BQ36" s="18" t="n">
        <f aca="false">SUM(C36:BP36)</f>
        <v>6209.35202021533</v>
      </c>
    </row>
    <row r="37" customFormat="false" ht="15" hidden="false" customHeight="false" outlineLevel="0" collapsed="false">
      <c r="B37" s="15" t="s">
        <v>133</v>
      </c>
      <c r="C37" s="18" t="n">
        <f aca="false">SUMIFS(PLANEJAMENTO_SEMANAL!$AB$6:$AB$2381,PLANEJAMENTO_SEMANAL!$F$6:$F$2381,$B37,PLANEJAMENTO_SEMANAL!$B$6:$B$2381,C$7)</f>
        <v>138.770422372228</v>
      </c>
      <c r="D37" s="18" t="n">
        <f aca="false">SUMIFS(PLANEJAMENTO_SEMANAL!$AB$6:$AB$2381,PLANEJAMENTO_SEMANAL!$F$6:$F$2381,$B37,PLANEJAMENTO_SEMANAL!$B$6:$B$2381,D$7)</f>
        <v>99.3803792992607</v>
      </c>
      <c r="E37" s="18" t="n">
        <f aca="false">SUMIFS(PLANEJAMENTO_SEMANAL!$AB$6:$AB$2381,PLANEJAMENTO_SEMANAL!$F$6:$F$2381,$B37,PLANEJAMENTO_SEMANAL!$B$6:$B$2381,E$7)</f>
        <v>67.6776470588235</v>
      </c>
      <c r="F37" s="18" t="n">
        <f aca="false">SUMIFS(PLANEJAMENTO_SEMANAL!$AB$6:$AB$2381,PLANEJAMENTO_SEMANAL!$F$6:$F$2381,$B37,PLANEJAMENTO_SEMANAL!$B$6:$B$2381,F$7)</f>
        <v>63.080294117647</v>
      </c>
      <c r="G37" s="18" t="n">
        <f aca="false">SUMIFS(PLANEJAMENTO_SEMANAL!$AB$6:$AB$2381,PLANEJAMENTO_SEMANAL!$F$6:$F$2381,$B37,PLANEJAMENTO_SEMANAL!$B$6:$B$2381,G$7)</f>
        <v>40.2195294117647</v>
      </c>
      <c r="H37" s="18" t="n">
        <f aca="false">SUMIFS(PLANEJAMENTO_SEMANAL!$AB$6:$AB$2381,PLANEJAMENTO_SEMANAL!$F$6:$F$2381,$B37,PLANEJAMENTO_SEMANAL!$B$6:$B$2381,H$7)</f>
        <v>21.6868235294118</v>
      </c>
      <c r="I37" s="18" t="n">
        <f aca="false">SUMIFS(PLANEJAMENTO_SEMANAL!$AB$6:$AB$2381,PLANEJAMENTO_SEMANAL!$F$6:$F$2381,$B37,PLANEJAMENTO_SEMANAL!$B$6:$B$2381,I$7)</f>
        <v>15.4724705882353</v>
      </c>
      <c r="J37" s="18" t="n">
        <f aca="false">SUMIFS(PLANEJAMENTO_SEMANAL!$AB$6:$AB$2381,PLANEJAMENTO_SEMANAL!$F$6:$F$2381,$B37,PLANEJAMENTO_SEMANAL!$B$6:$B$2381,J$7)</f>
        <v>9.25811764705881</v>
      </c>
      <c r="K37" s="18" t="n">
        <f aca="false">SUMIFS(PLANEJAMENTO_SEMANAL!$AB$6:$AB$2381,PLANEJAMENTO_SEMANAL!$F$6:$F$2381,$B37,PLANEJAMENTO_SEMANAL!$B$6:$B$2381,K$7)</f>
        <v>0</v>
      </c>
      <c r="L37" s="18" t="n">
        <f aca="false">SUMIFS(PLANEJAMENTO_SEMANAL!$AB$6:$AB$2381,PLANEJAMENTO_SEMANAL!$F$6:$F$2381,$B37,PLANEJAMENTO_SEMANAL!$B$6:$B$2381,L$7)</f>
        <v>0</v>
      </c>
      <c r="M37" s="18" t="n">
        <f aca="false">SUMIFS(PLANEJAMENTO_SEMANAL!$AB$6:$AB$2381,PLANEJAMENTO_SEMANAL!$F$6:$F$2381,$B37,PLANEJAMENTO_SEMANAL!$B$6:$B$2381,M$7)</f>
        <v>0</v>
      </c>
      <c r="N37" s="18" t="n">
        <f aca="false">SUMIFS(PLANEJAMENTO_SEMANAL!$AB$6:$AB$2381,PLANEJAMENTO_SEMANAL!$F$6:$F$2381,$B37,PLANEJAMENTO_SEMANAL!$B$6:$B$2381,N$7)</f>
        <v>0</v>
      </c>
      <c r="O37" s="18" t="n">
        <f aca="false">SUMIFS(PLANEJAMENTO_SEMANAL!$AB$6:$AB$2381,PLANEJAMENTO_SEMANAL!$F$6:$F$2381,$B37,PLANEJAMENTO_SEMANAL!$B$6:$B$2381,O$7)</f>
        <v>1.47804638857042</v>
      </c>
      <c r="P37" s="18" t="n">
        <f aca="false">SUMIFS(PLANEJAMENTO_SEMANAL!$AB$6:$AB$2381,PLANEJAMENTO_SEMANAL!$F$6:$F$2381,$B37,PLANEJAMENTO_SEMANAL!$B$6:$B$2381,P$7)</f>
        <v>0</v>
      </c>
      <c r="Q37" s="18" t="n">
        <f aca="false">SUMIFS(PLANEJAMENTO_SEMANAL!$AB$6:$AB$2381,PLANEJAMENTO_SEMANAL!$F$6:$F$2381,$B37,PLANEJAMENTO_SEMANAL!$B$6:$B$2381,Q$7)</f>
        <v>0</v>
      </c>
      <c r="R37" s="18" t="n">
        <f aca="false">SUMIFS(PLANEJAMENTO_SEMANAL!$AB$6:$AB$2381,PLANEJAMENTO_SEMANAL!$F$6:$F$2381,$B37,PLANEJAMENTO_SEMANAL!$B$6:$B$2381,R$7)</f>
        <v>0</v>
      </c>
      <c r="S37" s="18" t="n">
        <f aca="false">SUMIFS(PLANEJAMENTO_SEMANAL!$AB$6:$AB$2381,PLANEJAMENTO_SEMANAL!$F$6:$F$2381,$B37,PLANEJAMENTO_SEMANAL!$B$6:$B$2381,S$7)</f>
        <v>0</v>
      </c>
      <c r="T37" s="18" t="n">
        <f aca="false">SUMIFS(PLANEJAMENTO_SEMANAL!$AB$6:$AB$2381,PLANEJAMENTO_SEMANAL!$F$6:$F$2381,$B37,PLANEJAMENTO_SEMANAL!$B$6:$B$2381,T$7)</f>
        <v>0.810352941176466</v>
      </c>
      <c r="U37" s="18" t="n">
        <f aca="false">SUMIFS(PLANEJAMENTO_SEMANAL!$AB$6:$AB$2381,PLANEJAMENTO_SEMANAL!$F$6:$F$2381,$B37,PLANEJAMENTO_SEMANAL!$B$6:$B$2381,U$7)</f>
        <v>4.15058823529411</v>
      </c>
      <c r="V37" s="18" t="n">
        <f aca="false">SUMIFS(PLANEJAMENTO_SEMANAL!$AB$6:$AB$2381,PLANEJAMENTO_SEMANAL!$F$6:$F$2381,$B37,PLANEJAMENTO_SEMANAL!$B$6:$B$2381,V$7)</f>
        <v>4.15058823529411</v>
      </c>
      <c r="W37" s="18" t="n">
        <f aca="false">SUMIFS(PLANEJAMENTO_SEMANAL!$AB$6:$AB$2381,PLANEJAMENTO_SEMANAL!$F$6:$F$2381,$B37,PLANEJAMENTO_SEMANAL!$B$6:$B$2381,W$7)</f>
        <v>0</v>
      </c>
      <c r="X37" s="18" t="n">
        <f aca="false">SUMIFS(PLANEJAMENTO_SEMANAL!$AB$6:$AB$2381,PLANEJAMENTO_SEMANAL!$F$6:$F$2381,$B37,PLANEJAMENTO_SEMANAL!$B$6:$B$2381,X$7)</f>
        <v>0</v>
      </c>
      <c r="Y37" s="18" t="n">
        <f aca="false">SUMIFS(PLANEJAMENTO_SEMANAL!$AB$6:$AB$2381,PLANEJAMENTO_SEMANAL!$F$6:$F$2381,$B37,PLANEJAMENTO_SEMANAL!$B$6:$B$2381,Y$7)</f>
        <v>7.4364705882353</v>
      </c>
      <c r="Z37" s="18" t="n">
        <f aca="false">SUMIFS(PLANEJAMENTO_SEMANAL!$AB$6:$AB$2381,PLANEJAMENTO_SEMANAL!$F$6:$F$2381,$B37,PLANEJAMENTO_SEMANAL!$B$6:$B$2381,Z$7)</f>
        <v>17.7876418764744</v>
      </c>
      <c r="AA37" s="18" t="n">
        <f aca="false">SUMIFS(PLANEJAMENTO_SEMANAL!$AB$6:$AB$2381,PLANEJAMENTO_SEMANAL!$F$6:$F$2381,$B37,PLANEJAMENTO_SEMANAL!$B$6:$B$2381,AA$7)</f>
        <v>34.8385882352941</v>
      </c>
      <c r="AB37" s="18" t="n">
        <f aca="false">SUMIFS(PLANEJAMENTO_SEMANAL!$AB$6:$AB$2381,PLANEJAMENTO_SEMANAL!$F$6:$F$2381,$B37,PLANEJAMENTO_SEMANAL!$B$6:$B$2381,AB$7)</f>
        <v>36.3868235294117</v>
      </c>
      <c r="AC37" s="18" t="n">
        <f aca="false">SUMIFS(PLANEJAMENTO_SEMANAL!$AB$6:$AB$2381,PLANEJAMENTO_SEMANAL!$F$6:$F$2381,$B37,PLANEJAMENTO_SEMANAL!$B$6:$B$2381,AC$7)</f>
        <v>53.1241437908496</v>
      </c>
      <c r="AD37" s="18" t="n">
        <f aca="false">SUMIFS(PLANEJAMENTO_SEMANAL!$AB$6:$AB$2381,PLANEJAMENTO_SEMANAL!$F$6:$F$2381,$B37,PLANEJAMENTO_SEMANAL!$B$6:$B$2381,AD$7)</f>
        <v>61.4117707390648</v>
      </c>
      <c r="AE37" s="18" t="n">
        <f aca="false">SUMIFS(PLANEJAMENTO_SEMANAL!$AB$6:$AB$2381,PLANEJAMENTO_SEMANAL!$F$6:$F$2381,$B37,PLANEJAMENTO_SEMANAL!$B$6:$B$2381,AE$7)</f>
        <v>64.2154377828054</v>
      </c>
      <c r="AF37" s="18" t="n">
        <f aca="false">SUMIFS(PLANEJAMENTO_SEMANAL!$AB$6:$AB$2381,PLANEJAMENTO_SEMANAL!$F$6:$F$2381,$B37,PLANEJAMENTO_SEMANAL!$B$6:$B$2381,AF$7)</f>
        <v>61.5518348416289</v>
      </c>
      <c r="AG37" s="18" t="n">
        <f aca="false">SUMIFS(PLANEJAMENTO_SEMANAL!$AB$6:$AB$2381,PLANEJAMENTO_SEMANAL!$F$6:$F$2381,$B37,PLANEJAMENTO_SEMANAL!$B$6:$B$2381,AG$7)</f>
        <v>155.938483733949</v>
      </c>
      <c r="AH37" s="18" t="n">
        <f aca="false">SUMIFS(PLANEJAMENTO_SEMANAL!$AB$6:$AB$2381,PLANEJAMENTO_SEMANAL!$F$6:$F$2381,$B37,PLANEJAMENTO_SEMANAL!$B$6:$B$2381,AH$7)</f>
        <v>240.967011479806</v>
      </c>
      <c r="AI37" s="18" t="n">
        <f aca="false">SUMIFS(PLANEJAMENTO_SEMANAL!$AB$6:$AB$2381,PLANEJAMENTO_SEMANAL!$F$6:$F$2381,$B37,PLANEJAMENTO_SEMANAL!$B$6:$B$2381,AI$7)</f>
        <v>244.339526458019</v>
      </c>
      <c r="AJ37" s="18" t="n">
        <f aca="false">SUMIFS(PLANEJAMENTO_SEMANAL!$AB$6:$AB$2381,PLANEJAMENTO_SEMANAL!$F$6:$F$2381,$B37,PLANEJAMENTO_SEMANAL!$B$6:$B$2381,AJ$7)</f>
        <v>243.151549354785</v>
      </c>
      <c r="AK37" s="18" t="n">
        <f aca="false">SUMIFS(PLANEJAMENTO_SEMANAL!$AB$6:$AB$2381,PLANEJAMENTO_SEMANAL!$F$6:$F$2381,$B37,PLANEJAMENTO_SEMANAL!$B$6:$B$2381,AK$7)</f>
        <v>237.698942307692</v>
      </c>
      <c r="AL37" s="18" t="n">
        <f aca="false">SUMIFS(PLANEJAMENTO_SEMANAL!$AB$6:$AB$2381,PLANEJAMENTO_SEMANAL!$F$6:$F$2381,$B37,PLANEJAMENTO_SEMANAL!$B$6:$B$2381,AL$7)</f>
        <v>281.903043766578</v>
      </c>
      <c r="AM37" s="18" t="n">
        <f aca="false">SUMIFS(PLANEJAMENTO_SEMANAL!$AB$6:$AB$2381,PLANEJAMENTO_SEMANAL!$F$6:$F$2381,$B37,PLANEJAMENTO_SEMANAL!$B$6:$B$2381,AM$7)</f>
        <v>277.945089327508</v>
      </c>
      <c r="AN37" s="18" t="n">
        <f aca="false">SUMIFS(PLANEJAMENTO_SEMANAL!$AB$6:$AB$2381,PLANEJAMENTO_SEMANAL!$F$6:$F$2381,$B37,PLANEJAMENTO_SEMANAL!$B$6:$B$2381,AN$7)</f>
        <v>263.16595841785</v>
      </c>
      <c r="AO37" s="18" t="n">
        <f aca="false">SUMIFS(PLANEJAMENTO_SEMANAL!$AB$6:$AB$2381,PLANEJAMENTO_SEMANAL!$F$6:$F$2381,$B37,PLANEJAMENTO_SEMANAL!$B$6:$B$2381,AO$7)</f>
        <v>248.386827508192</v>
      </c>
      <c r="AP37" s="18" t="n">
        <f aca="false">SUMIFS(PLANEJAMENTO_SEMANAL!$AB$6:$AB$2381,PLANEJAMENTO_SEMANAL!$F$6:$F$2381,$B37,PLANEJAMENTO_SEMANAL!$B$6:$B$2381,AP$7)</f>
        <v>205.604765173974</v>
      </c>
      <c r="AQ37" s="18" t="n">
        <f aca="false">SUMIFS(PLANEJAMENTO_SEMANAL!$AB$6:$AB$2381,PLANEJAMENTO_SEMANAL!$F$6:$F$2381,$B37,PLANEJAMENTO_SEMANAL!$B$6:$B$2381,AQ$7)</f>
        <v>197.579144224268</v>
      </c>
      <c r="AR37" s="18" t="n">
        <f aca="false">SUMIFS(PLANEJAMENTO_SEMANAL!$AB$6:$AB$2381,PLANEJAMENTO_SEMANAL!$F$6:$F$2381,$B37,PLANEJAMENTO_SEMANAL!$B$6:$B$2381,AR$7)</f>
        <v>119.068116294794</v>
      </c>
      <c r="AS37" s="18" t="n">
        <f aca="false">SUMIFS(PLANEJAMENTO_SEMANAL!$AB$6:$AB$2381,PLANEJAMENTO_SEMANAL!$F$6:$F$2381,$B37,PLANEJAMENTO_SEMANAL!$B$6:$B$2381,AS$7)</f>
        <v>137.525895806245</v>
      </c>
      <c r="AT37" s="18" t="n">
        <f aca="false">SUMIFS(PLANEJAMENTO_SEMANAL!$AB$6:$AB$2381,PLANEJAMENTO_SEMANAL!$F$6:$F$2381,$B37,PLANEJAMENTO_SEMANAL!$B$6:$B$2381,AT$7)</f>
        <v>119.436486676722</v>
      </c>
      <c r="AU37" s="18" t="n">
        <f aca="false">SUMIFS(PLANEJAMENTO_SEMANAL!$AB$6:$AB$2381,PLANEJAMENTO_SEMANAL!$F$6:$F$2381,$B37,PLANEJAMENTO_SEMANAL!$B$6:$B$2381,AU$7)</f>
        <v>128.56754826546</v>
      </c>
      <c r="AV37" s="18" t="n">
        <f aca="false">SUMIFS(PLANEJAMENTO_SEMANAL!$AB$6:$AB$2381,PLANEJAMENTO_SEMANAL!$F$6:$F$2381,$B37,PLANEJAMENTO_SEMANAL!$B$6:$B$2381,AV$7)</f>
        <v>135.592258722976</v>
      </c>
      <c r="AW37" s="18" t="n">
        <f aca="false">SUMIFS(PLANEJAMENTO_SEMANAL!$AB$6:$AB$2381,PLANEJAMENTO_SEMANAL!$F$6:$F$2381,$B37,PLANEJAMENTO_SEMANAL!$B$6:$B$2381,AW$7)</f>
        <v>142.799612166918</v>
      </c>
      <c r="AX37" s="18" t="n">
        <f aca="false">SUMIFS(PLANEJAMENTO_SEMANAL!$AB$6:$AB$2381,PLANEJAMENTO_SEMANAL!$F$6:$F$2381,$B37,PLANEJAMENTO_SEMANAL!$B$6:$B$2381,AX$7)</f>
        <v>159.804208144796</v>
      </c>
      <c r="AY37" s="18" t="n">
        <f aca="false">SUMIFS(PLANEJAMENTO_SEMANAL!$AB$6:$AB$2381,PLANEJAMENTO_SEMANAL!$F$6:$F$2381,$B37,PLANEJAMENTO_SEMANAL!$B$6:$B$2381,AY$7)</f>
        <v>201.582428557064</v>
      </c>
      <c r="AZ37" s="18" t="n">
        <f aca="false">SUMIFS(PLANEJAMENTO_SEMANAL!$AB$6:$AB$2381,PLANEJAMENTO_SEMANAL!$F$6:$F$2381,$B37,PLANEJAMENTO_SEMANAL!$B$6:$B$2381,AZ$7)</f>
        <v>185.958794570136</v>
      </c>
      <c r="BA37" s="18" t="n">
        <f aca="false">SUMIFS(PLANEJAMENTO_SEMANAL!$AB$6:$AB$2381,PLANEJAMENTO_SEMANAL!$F$6:$F$2381,$B37,PLANEJAMENTO_SEMANAL!$B$6:$B$2381,BA$7)</f>
        <v>206.296676923077</v>
      </c>
      <c r="BB37" s="18" t="n">
        <f aca="false">SUMIFS(PLANEJAMENTO_SEMANAL!$AB$6:$AB$2381,PLANEJAMENTO_SEMANAL!$F$6:$F$2381,$B37,PLANEJAMENTO_SEMANAL!$B$6:$B$2381,BB$7)</f>
        <v>220.429429864253</v>
      </c>
      <c r="BC37" s="18" t="n">
        <f aca="false">SUMIFS(PLANEJAMENTO_SEMANAL!$AB$6:$AB$2381,PLANEJAMENTO_SEMANAL!$F$6:$F$2381,$B37,PLANEJAMENTO_SEMANAL!$B$6:$B$2381,BC$7)</f>
        <v>228.552832579186</v>
      </c>
      <c r="BD37" s="18" t="n">
        <f aca="false">SUMIFS(PLANEJAMENTO_SEMANAL!$AB$6:$AB$2381,PLANEJAMENTO_SEMANAL!$F$6:$F$2381,$B37,PLANEJAMENTO_SEMANAL!$B$6:$B$2381,BD$7)</f>
        <v>224.763981900453</v>
      </c>
      <c r="BE37" s="18" t="n">
        <f aca="false">SUMIFS(PLANEJAMENTO_SEMANAL!$AB$6:$AB$2381,PLANEJAMENTO_SEMANAL!$F$6:$F$2381,$B37,PLANEJAMENTO_SEMANAL!$B$6:$B$2381,BE$7)</f>
        <v>217.241040723982</v>
      </c>
      <c r="BF37" s="18" t="n">
        <f aca="false">SUMIFS(PLANEJAMENTO_SEMANAL!$AB$6:$AB$2381,PLANEJAMENTO_SEMANAL!$F$6:$F$2381,$B37,PLANEJAMENTO_SEMANAL!$B$6:$B$2381,BF$7)</f>
        <v>209.718099547511</v>
      </c>
      <c r="BG37" s="18" t="n">
        <f aca="false">SUMIFS(PLANEJAMENTO_SEMANAL!$AB$6:$AB$2381,PLANEJAMENTO_SEMANAL!$F$6:$F$2381,$B37,PLANEJAMENTO_SEMANAL!$B$6:$B$2381,BG$7)</f>
        <v>162.176868778281</v>
      </c>
      <c r="BH37" s="18" t="n">
        <f aca="false">SUMIFS(PLANEJAMENTO_SEMANAL!$AB$6:$AB$2381,PLANEJAMENTO_SEMANAL!$F$6:$F$2381,$B37,PLANEJAMENTO_SEMANAL!$B$6:$B$2381,BH$7)</f>
        <v>101.555619909502</v>
      </c>
      <c r="BI37" s="18" t="n">
        <f aca="false">SUMIFS(PLANEJAMENTO_SEMANAL!$AB$6:$AB$2381,PLANEJAMENTO_SEMANAL!$F$6:$F$2381,$B37,PLANEJAMENTO_SEMANAL!$B$6:$B$2381,BI$7)</f>
        <v>90.4182081447964</v>
      </c>
      <c r="BJ37" s="18" t="n">
        <f aca="false">SUMIFS(PLANEJAMENTO_SEMANAL!$AB$6:$AB$2381,PLANEJAMENTO_SEMANAL!$F$6:$F$2381,$B37,PLANEJAMENTO_SEMANAL!$B$6:$B$2381,BJ$7)</f>
        <v>77.1051583710407</v>
      </c>
      <c r="BK37" s="18" t="n">
        <f aca="false">SUMIFS(PLANEJAMENTO_SEMANAL!$AB$6:$AB$2381,PLANEJAMENTO_SEMANAL!$F$6:$F$2381,$B37,PLANEJAMENTO_SEMANAL!$B$6:$B$2381,BK$7)</f>
        <v>62.5036018099547</v>
      </c>
      <c r="BL37" s="18" t="n">
        <f aca="false">SUMIFS(PLANEJAMENTO_SEMANAL!$AB$6:$AB$2381,PLANEJAMENTO_SEMANAL!$F$6:$F$2381,$B37,PLANEJAMENTO_SEMANAL!$B$6:$B$2381,BL$7)</f>
        <v>0</v>
      </c>
      <c r="BM37" s="18" t="n">
        <f aca="false">SUMIFS(PLANEJAMENTO_SEMANAL!$AB$6:$AB$2381,PLANEJAMENTO_SEMANAL!$F$6:$F$2381,$B37,PLANEJAMENTO_SEMANAL!$B$6:$B$2381,BM$7)</f>
        <v>0</v>
      </c>
      <c r="BN37" s="18" t="n">
        <f aca="false">SUMIFS(PLANEJAMENTO_SEMANAL!$AB$6:$AB$2381,PLANEJAMENTO_SEMANAL!$F$6:$F$2381,$B37,PLANEJAMENTO_SEMANAL!$B$6:$B$2381,BN$7)</f>
        <v>0</v>
      </c>
      <c r="BO37" s="18" t="n">
        <f aca="false">SUMIFS(PLANEJAMENTO_SEMANAL!$AB$6:$AB$2381,PLANEJAMENTO_SEMANAL!$F$6:$F$2381,$B37,PLANEJAMENTO_SEMANAL!$B$6:$B$2381,BO$7)</f>
        <v>0</v>
      </c>
      <c r="BP37" s="18" t="n">
        <f aca="false">SUMIFS(PLANEJAMENTO_SEMANAL!$AB$6:$AB$2381,PLANEJAMENTO_SEMANAL!$F$6:$F$2381,$B37,PLANEJAMENTO_SEMANAL!$B$6:$B$2381,BP$7)</f>
        <v>0</v>
      </c>
      <c r="BQ37" s="18" t="n">
        <f aca="false">SUM(C37:BP37)</f>
        <v>6530.6651807183</v>
      </c>
    </row>
    <row r="38" customFormat="false" ht="15" hidden="false" customHeight="false" outlineLevel="0" collapsed="false">
      <c r="B38" s="15" t="s">
        <v>134</v>
      </c>
      <c r="C38" s="18" t="n">
        <f aca="false">SUMIFS(PLANEJAMENTO_SEMANAL!$AB$6:$AB$2381,PLANEJAMENTO_SEMANAL!$F$6:$F$2381,$B38,PLANEJAMENTO_SEMANAL!$B$6:$B$2381,C$7)</f>
        <v>201.927947712418</v>
      </c>
      <c r="D38" s="18" t="n">
        <f aca="false">SUMIFS(PLANEJAMENTO_SEMANAL!$AB$6:$AB$2381,PLANEJAMENTO_SEMANAL!$F$6:$F$2381,$B38,PLANEJAMENTO_SEMANAL!$B$6:$B$2381,D$7)</f>
        <v>178.856405228758</v>
      </c>
      <c r="E38" s="18" t="n">
        <f aca="false">SUMIFS(PLANEJAMENTO_SEMANAL!$AB$6:$AB$2381,PLANEJAMENTO_SEMANAL!$F$6:$F$2381,$B38,PLANEJAMENTO_SEMANAL!$B$6:$B$2381,E$7)</f>
        <v>126.460810457516</v>
      </c>
      <c r="F38" s="18" t="n">
        <f aca="false">SUMIFS(PLANEJAMENTO_SEMANAL!$AB$6:$AB$2381,PLANEJAMENTO_SEMANAL!$F$6:$F$2381,$B38,PLANEJAMENTO_SEMANAL!$B$6:$B$2381,F$7)</f>
        <v>82.026</v>
      </c>
      <c r="G38" s="18" t="n">
        <f aca="false">SUMIFS(PLANEJAMENTO_SEMANAL!$AB$6:$AB$2381,PLANEJAMENTO_SEMANAL!$F$6:$F$2381,$B38,PLANEJAMENTO_SEMANAL!$B$6:$B$2381,G$7)</f>
        <v>37.1741176470588</v>
      </c>
      <c r="H38" s="18" t="n">
        <f aca="false">SUMIFS(PLANEJAMENTO_SEMANAL!$AB$6:$AB$2381,PLANEJAMENTO_SEMANAL!$F$6:$F$2381,$B38,PLANEJAMENTO_SEMANAL!$B$6:$B$2381,H$7)</f>
        <v>0</v>
      </c>
      <c r="I38" s="18" t="n">
        <f aca="false">SUMIFS(PLANEJAMENTO_SEMANAL!$AB$6:$AB$2381,PLANEJAMENTO_SEMANAL!$F$6:$F$2381,$B38,PLANEJAMENTO_SEMANAL!$B$6:$B$2381,I$7)</f>
        <v>0</v>
      </c>
      <c r="J38" s="18" t="n">
        <f aca="false">SUMIFS(PLANEJAMENTO_SEMANAL!$AB$6:$AB$2381,PLANEJAMENTO_SEMANAL!$F$6:$F$2381,$B38,PLANEJAMENTO_SEMANAL!$B$6:$B$2381,J$7)</f>
        <v>0</v>
      </c>
      <c r="K38" s="18" t="n">
        <f aca="false">SUMIFS(PLANEJAMENTO_SEMANAL!$AB$6:$AB$2381,PLANEJAMENTO_SEMANAL!$F$6:$F$2381,$B38,PLANEJAMENTO_SEMANAL!$B$6:$B$2381,K$7)</f>
        <v>0</v>
      </c>
      <c r="L38" s="18" t="n">
        <f aca="false">SUMIFS(PLANEJAMENTO_SEMANAL!$AB$6:$AB$2381,PLANEJAMENTO_SEMANAL!$F$6:$F$2381,$B38,PLANEJAMENTO_SEMANAL!$B$6:$B$2381,L$7)</f>
        <v>0</v>
      </c>
      <c r="M38" s="18" t="n">
        <f aca="false">SUMIFS(PLANEJAMENTO_SEMANAL!$AB$6:$AB$2381,PLANEJAMENTO_SEMANAL!$F$6:$F$2381,$B38,PLANEJAMENTO_SEMANAL!$B$6:$B$2381,M$7)</f>
        <v>0</v>
      </c>
      <c r="N38" s="18" t="n">
        <f aca="false">SUMIFS(PLANEJAMENTO_SEMANAL!$AB$6:$AB$2381,PLANEJAMENTO_SEMANAL!$F$6:$F$2381,$B38,PLANEJAMENTO_SEMANAL!$B$6:$B$2381,N$7)</f>
        <v>0</v>
      </c>
      <c r="O38" s="18" t="n">
        <f aca="false">SUMIFS(PLANEJAMENTO_SEMANAL!$AB$6:$AB$2381,PLANEJAMENTO_SEMANAL!$F$6:$F$2381,$B38,PLANEJAMENTO_SEMANAL!$B$6:$B$2381,O$7)</f>
        <v>1.47804638857042</v>
      </c>
      <c r="P38" s="18" t="n">
        <f aca="false">SUMIFS(PLANEJAMENTO_SEMANAL!$AB$6:$AB$2381,PLANEJAMENTO_SEMANAL!$F$6:$F$2381,$B38,PLANEJAMENTO_SEMANAL!$B$6:$B$2381,P$7)</f>
        <v>0</v>
      </c>
      <c r="Q38" s="18" t="n">
        <f aca="false">SUMIFS(PLANEJAMENTO_SEMANAL!$AB$6:$AB$2381,PLANEJAMENTO_SEMANAL!$F$6:$F$2381,$B38,PLANEJAMENTO_SEMANAL!$B$6:$B$2381,Q$7)</f>
        <v>0</v>
      </c>
      <c r="R38" s="18" t="n">
        <f aca="false">SUMIFS(PLANEJAMENTO_SEMANAL!$AB$6:$AB$2381,PLANEJAMENTO_SEMANAL!$F$6:$F$2381,$B38,PLANEJAMENTO_SEMANAL!$B$6:$B$2381,R$7)</f>
        <v>0</v>
      </c>
      <c r="S38" s="18" t="n">
        <f aca="false">SUMIFS(PLANEJAMENTO_SEMANAL!$AB$6:$AB$2381,PLANEJAMENTO_SEMANAL!$F$6:$F$2381,$B38,PLANEJAMENTO_SEMANAL!$B$6:$B$2381,S$7)</f>
        <v>0</v>
      </c>
      <c r="T38" s="18" t="n">
        <f aca="false">SUMIFS(PLANEJAMENTO_SEMANAL!$AB$6:$AB$2381,PLANEJAMENTO_SEMANAL!$F$6:$F$2381,$B38,PLANEJAMENTO_SEMANAL!$B$6:$B$2381,T$7)</f>
        <v>4.05176470588233</v>
      </c>
      <c r="U38" s="18" t="n">
        <f aca="false">SUMIFS(PLANEJAMENTO_SEMANAL!$AB$6:$AB$2381,PLANEJAMENTO_SEMANAL!$F$6:$F$2381,$B38,PLANEJAMENTO_SEMANAL!$B$6:$B$2381,U$7)</f>
        <v>20.7529411764706</v>
      </c>
      <c r="V38" s="18" t="n">
        <f aca="false">SUMIFS(PLANEJAMENTO_SEMANAL!$AB$6:$AB$2381,PLANEJAMENTO_SEMANAL!$F$6:$F$2381,$B38,PLANEJAMENTO_SEMANAL!$B$6:$B$2381,V$7)</f>
        <v>20.7529411764706</v>
      </c>
      <c r="W38" s="18" t="n">
        <f aca="false">SUMIFS(PLANEJAMENTO_SEMANAL!$AB$6:$AB$2381,PLANEJAMENTO_SEMANAL!$F$6:$F$2381,$B38,PLANEJAMENTO_SEMANAL!$B$6:$B$2381,W$7)</f>
        <v>8.0218443891793</v>
      </c>
      <c r="X38" s="18" t="n">
        <f aca="false">SUMIFS(PLANEJAMENTO_SEMANAL!$AB$6:$AB$2381,PLANEJAMENTO_SEMANAL!$F$6:$F$2381,$B38,PLANEJAMENTO_SEMANAL!$B$6:$B$2381,X$7)</f>
        <v>0</v>
      </c>
      <c r="Y38" s="18" t="n">
        <f aca="false">SUMIFS(PLANEJAMENTO_SEMANAL!$AB$6:$AB$2381,PLANEJAMENTO_SEMANAL!$F$6:$F$2381,$B38,PLANEJAMENTO_SEMANAL!$B$6:$B$2381,Y$7)</f>
        <v>0</v>
      </c>
      <c r="Z38" s="18" t="n">
        <f aca="false">SUMIFS(PLANEJAMENTO_SEMANAL!$AB$6:$AB$2381,PLANEJAMENTO_SEMANAL!$F$6:$F$2381,$B38,PLANEJAMENTO_SEMANAL!$B$6:$B$2381,Z$7)</f>
        <v>5.70508040375912</v>
      </c>
      <c r="AA38" s="18" t="n">
        <f aca="false">SUMIFS(PLANEJAMENTO_SEMANAL!$AB$6:$AB$2381,PLANEJAMENTO_SEMANAL!$F$6:$F$2381,$B38,PLANEJAMENTO_SEMANAL!$B$6:$B$2381,AA$7)</f>
        <v>18.0563678210929</v>
      </c>
      <c r="AB38" s="18" t="n">
        <f aca="false">SUMIFS(PLANEJAMENTO_SEMANAL!$AB$6:$AB$2381,PLANEJAMENTO_SEMANAL!$F$6:$F$2381,$B38,PLANEJAMENTO_SEMANAL!$B$6:$B$2381,AB$7)</f>
        <v>26.7367058823529</v>
      </c>
      <c r="AC38" s="18" t="n">
        <f aca="false">SUMIFS(PLANEJAMENTO_SEMANAL!$AB$6:$AB$2381,PLANEJAMENTO_SEMANAL!$F$6:$F$2381,$B38,PLANEJAMENTO_SEMANAL!$B$6:$B$2381,AC$7)</f>
        <v>33.7745882352941</v>
      </c>
      <c r="AD38" s="18" t="n">
        <f aca="false">SUMIFS(PLANEJAMENTO_SEMANAL!$AB$6:$AB$2381,PLANEJAMENTO_SEMANAL!$F$6:$F$2381,$B38,PLANEJAMENTO_SEMANAL!$B$6:$B$2381,AD$7)</f>
        <v>33.7745882352941</v>
      </c>
      <c r="AE38" s="18" t="n">
        <f aca="false">SUMIFS(PLANEJAMENTO_SEMANAL!$AB$6:$AB$2381,PLANEJAMENTO_SEMANAL!$F$6:$F$2381,$B38,PLANEJAMENTO_SEMANAL!$B$6:$B$2381,AE$7)</f>
        <v>36.8007156862745</v>
      </c>
      <c r="AF38" s="18" t="n">
        <f aca="false">SUMIFS(PLANEJAMENTO_SEMANAL!$AB$6:$AB$2381,PLANEJAMENTO_SEMANAL!$F$6:$F$2381,$B38,PLANEJAMENTO_SEMANAL!$B$6:$B$2381,AF$7)</f>
        <v>43.7063529411765</v>
      </c>
      <c r="AG38" s="18" t="n">
        <f aca="false">SUMIFS(PLANEJAMENTO_SEMANAL!$AB$6:$AB$2381,PLANEJAMENTO_SEMANAL!$F$6:$F$2381,$B38,PLANEJAMENTO_SEMANAL!$B$6:$B$2381,AG$7)</f>
        <v>133.584807552651</v>
      </c>
      <c r="AH38" s="18" t="n">
        <f aca="false">SUMIFS(PLANEJAMENTO_SEMANAL!$AB$6:$AB$2381,PLANEJAMENTO_SEMANAL!$F$6:$F$2381,$B38,PLANEJAMENTO_SEMANAL!$B$6:$B$2381,AH$7)</f>
        <v>262.326631808279</v>
      </c>
      <c r="AI38" s="18" t="n">
        <f aca="false">SUMIFS(PLANEJAMENTO_SEMANAL!$AB$6:$AB$2381,PLANEJAMENTO_SEMANAL!$F$6:$F$2381,$B38,PLANEJAMENTO_SEMANAL!$B$6:$B$2381,AI$7)</f>
        <v>290.058691993464</v>
      </c>
      <c r="AJ38" s="18" t="n">
        <f aca="false">SUMIFS(PLANEJAMENTO_SEMANAL!$AB$6:$AB$2381,PLANEJAMENTO_SEMANAL!$F$6:$F$2381,$B38,PLANEJAMENTO_SEMANAL!$B$6:$B$2381,AJ$7)</f>
        <v>309.181031003854</v>
      </c>
      <c r="AK38" s="18" t="n">
        <f aca="false">SUMIFS(PLANEJAMENTO_SEMANAL!$AB$6:$AB$2381,PLANEJAMENTO_SEMANAL!$F$6:$F$2381,$B38,PLANEJAMENTO_SEMANAL!$B$6:$B$2381,AK$7)</f>
        <v>351.312742525358</v>
      </c>
      <c r="AL38" s="18" t="n">
        <f aca="false">SUMIFS(PLANEJAMENTO_SEMANAL!$AB$6:$AB$2381,PLANEJAMENTO_SEMANAL!$F$6:$F$2381,$B38,PLANEJAMENTO_SEMANAL!$B$6:$B$2381,AL$7)</f>
        <v>438.942617647059</v>
      </c>
      <c r="AM38" s="18" t="n">
        <f aca="false">SUMIFS(PLANEJAMENTO_SEMANAL!$AB$6:$AB$2381,PLANEJAMENTO_SEMANAL!$F$6:$F$2381,$B38,PLANEJAMENTO_SEMANAL!$B$6:$B$2381,AM$7)</f>
        <v>427.666599547511</v>
      </c>
      <c r="AN38" s="18" t="n">
        <f aca="false">SUMIFS(PLANEJAMENTO_SEMANAL!$AB$6:$AB$2381,PLANEJAMENTO_SEMANAL!$F$6:$F$2381,$B38,PLANEJAMENTO_SEMANAL!$B$6:$B$2381,AN$7)</f>
        <v>415.973669683258</v>
      </c>
      <c r="AO38" s="18" t="n">
        <f aca="false">SUMIFS(PLANEJAMENTO_SEMANAL!$AB$6:$AB$2381,PLANEJAMENTO_SEMANAL!$F$6:$F$2381,$B38,PLANEJAMENTO_SEMANAL!$B$6:$B$2381,AO$7)</f>
        <v>368.560666289593</v>
      </c>
      <c r="AP38" s="18" t="n">
        <f aca="false">SUMIFS(PLANEJAMENTO_SEMANAL!$AB$6:$AB$2381,PLANEJAMENTO_SEMANAL!$F$6:$F$2381,$B38,PLANEJAMENTO_SEMANAL!$B$6:$B$2381,AP$7)</f>
        <v>375.769284098255</v>
      </c>
      <c r="AQ38" s="18" t="n">
        <f aca="false">SUMIFS(PLANEJAMENTO_SEMANAL!$AB$6:$AB$2381,PLANEJAMENTO_SEMANAL!$F$6:$F$2381,$B38,PLANEJAMENTO_SEMANAL!$B$6:$B$2381,AQ$7)</f>
        <v>367.89073453997</v>
      </c>
      <c r="AR38" s="18" t="n">
        <f aca="false">SUMIFS(PLANEJAMENTO_SEMANAL!$AB$6:$AB$2381,PLANEJAMENTO_SEMANAL!$F$6:$F$2381,$B38,PLANEJAMENTO_SEMANAL!$B$6:$B$2381,AR$7)</f>
        <v>305.143660130719</v>
      </c>
      <c r="AS38" s="18" t="n">
        <f aca="false">SUMIFS(PLANEJAMENTO_SEMANAL!$AB$6:$AB$2381,PLANEJAMENTO_SEMANAL!$F$6:$F$2381,$B38,PLANEJAMENTO_SEMANAL!$B$6:$B$2381,AS$7)</f>
        <v>269.783111111111</v>
      </c>
      <c r="AT38" s="18" t="n">
        <f aca="false">SUMIFS(PLANEJAMENTO_SEMANAL!$AB$6:$AB$2381,PLANEJAMENTO_SEMANAL!$F$6:$F$2381,$B38,PLANEJAMENTO_SEMANAL!$B$6:$B$2381,AT$7)</f>
        <v>285.083712418301</v>
      </c>
      <c r="AU38" s="18" t="n">
        <f aca="false">SUMIFS(PLANEJAMENTO_SEMANAL!$AB$6:$AB$2381,PLANEJAMENTO_SEMANAL!$F$6:$F$2381,$B38,PLANEJAMENTO_SEMANAL!$B$6:$B$2381,AU$7)</f>
        <v>280.714617647059</v>
      </c>
      <c r="AV38" s="18" t="n">
        <f aca="false">SUMIFS(PLANEJAMENTO_SEMANAL!$AB$6:$AB$2381,PLANEJAMENTO_SEMANAL!$F$6:$F$2381,$B38,PLANEJAMENTO_SEMANAL!$B$6:$B$2381,AV$7)</f>
        <v>267.872934640523</v>
      </c>
      <c r="AW38" s="18" t="n">
        <f aca="false">SUMIFS(PLANEJAMENTO_SEMANAL!$AB$6:$AB$2381,PLANEJAMENTO_SEMANAL!$F$6:$F$2381,$B38,PLANEJAMENTO_SEMANAL!$B$6:$B$2381,AW$7)</f>
        <v>255.554368875366</v>
      </c>
      <c r="AX38" s="18" t="n">
        <f aca="false">SUMIFS(PLANEJAMENTO_SEMANAL!$AB$6:$AB$2381,PLANEJAMENTO_SEMANAL!$F$6:$F$2381,$B38,PLANEJAMENTO_SEMANAL!$B$6:$B$2381,AX$7)</f>
        <v>229.545592066712</v>
      </c>
      <c r="AY38" s="18" t="n">
        <f aca="false">SUMIFS(PLANEJAMENTO_SEMANAL!$AB$6:$AB$2381,PLANEJAMENTO_SEMANAL!$F$6:$F$2381,$B38,PLANEJAMENTO_SEMANAL!$B$6:$B$2381,AY$7)</f>
        <v>244.110756096462</v>
      </c>
      <c r="AZ38" s="18" t="n">
        <f aca="false">SUMIFS(PLANEJAMENTO_SEMANAL!$AB$6:$AB$2381,PLANEJAMENTO_SEMANAL!$F$6:$F$2381,$B38,PLANEJAMENTO_SEMANAL!$B$6:$B$2381,AZ$7)</f>
        <v>227.965294748704</v>
      </c>
      <c r="BA38" s="18" t="n">
        <f aca="false">SUMIFS(PLANEJAMENTO_SEMANAL!$AB$6:$AB$2381,PLANEJAMENTO_SEMANAL!$F$6:$F$2381,$B38,PLANEJAMENTO_SEMANAL!$B$6:$B$2381,BA$7)</f>
        <v>176.577990263692</v>
      </c>
      <c r="BB38" s="18" t="n">
        <f aca="false">SUMIFS(PLANEJAMENTO_SEMANAL!$AB$6:$AB$2381,PLANEJAMENTO_SEMANAL!$F$6:$F$2381,$B38,PLANEJAMENTO_SEMANAL!$B$6:$B$2381,BB$7)</f>
        <v>196.535600811359</v>
      </c>
      <c r="BC38" s="18" t="n">
        <f aca="false">SUMIFS(PLANEJAMENTO_SEMANAL!$AB$6:$AB$2381,PLANEJAMENTO_SEMANAL!$F$6:$F$2381,$B38,PLANEJAMENTO_SEMANAL!$B$6:$B$2381,BC$7)</f>
        <v>207.891117647059</v>
      </c>
      <c r="BD38" s="18" t="n">
        <f aca="false">SUMIFS(PLANEJAMENTO_SEMANAL!$AB$6:$AB$2381,PLANEJAMENTO_SEMANAL!$F$6:$F$2381,$B38,PLANEJAMENTO_SEMANAL!$B$6:$B$2381,BD$7)</f>
        <v>219.221058823529</v>
      </c>
      <c r="BE38" s="18" t="n">
        <f aca="false">SUMIFS(PLANEJAMENTO_SEMANAL!$AB$6:$AB$2381,PLANEJAMENTO_SEMANAL!$F$6:$F$2381,$B38,PLANEJAMENTO_SEMANAL!$B$6:$B$2381,BE$7)</f>
        <v>219.865882352941</v>
      </c>
      <c r="BF38" s="18" t="n">
        <f aca="false">SUMIFS(PLANEJAMENTO_SEMANAL!$AB$6:$AB$2381,PLANEJAMENTO_SEMANAL!$F$6:$F$2381,$B38,PLANEJAMENTO_SEMANAL!$B$6:$B$2381,BF$7)</f>
        <v>219.865882352941</v>
      </c>
      <c r="BG38" s="18" t="n">
        <f aca="false">SUMIFS(PLANEJAMENTO_SEMANAL!$AB$6:$AB$2381,PLANEJAMENTO_SEMANAL!$F$6:$F$2381,$B38,PLANEJAMENTO_SEMANAL!$B$6:$B$2381,BG$7)</f>
        <v>180.532705882353</v>
      </c>
      <c r="BH38" s="18" t="n">
        <f aca="false">SUMIFS(PLANEJAMENTO_SEMANAL!$AB$6:$AB$2381,PLANEJAMENTO_SEMANAL!$F$6:$F$2381,$B38,PLANEJAMENTO_SEMANAL!$B$6:$B$2381,BH$7)</f>
        <v>121.862588235294</v>
      </c>
      <c r="BI38" s="18" t="n">
        <f aca="false">SUMIFS(PLANEJAMENTO_SEMANAL!$AB$6:$AB$2381,PLANEJAMENTO_SEMANAL!$F$6:$F$2381,$B38,PLANEJAMENTO_SEMANAL!$B$6:$B$2381,BI$7)</f>
        <v>111.415350912779</v>
      </c>
      <c r="BJ38" s="18" t="n">
        <f aca="false">SUMIFS(PLANEJAMENTO_SEMANAL!$AB$6:$AB$2381,PLANEJAMENTO_SEMANAL!$F$6:$F$2381,$B38,PLANEJAMENTO_SEMANAL!$B$6:$B$2381,BJ$7)</f>
        <v>97.2946044624746</v>
      </c>
      <c r="BK38" s="18" t="n">
        <f aca="false">SUMIFS(PLANEJAMENTO_SEMANAL!$AB$6:$AB$2381,PLANEJAMENTO_SEMANAL!$F$6:$F$2381,$B38,PLANEJAMENTO_SEMANAL!$B$6:$B$2381,BK$7)</f>
        <v>83.1738580121703</v>
      </c>
      <c r="BL38" s="18" t="n">
        <f aca="false">SUMIFS(PLANEJAMENTO_SEMANAL!$AB$6:$AB$2381,PLANEJAMENTO_SEMANAL!$F$6:$F$2381,$B38,PLANEJAMENTO_SEMANAL!$B$6:$B$2381,BL$7)</f>
        <v>1.27235294117648</v>
      </c>
      <c r="BM38" s="18" t="n">
        <f aca="false">SUMIFS(PLANEJAMENTO_SEMANAL!$AB$6:$AB$2381,PLANEJAMENTO_SEMANAL!$F$6:$F$2381,$B38,PLANEJAMENTO_SEMANAL!$B$6:$B$2381,BM$7)</f>
        <v>0</v>
      </c>
      <c r="BN38" s="18" t="n">
        <f aca="false">SUMIFS(PLANEJAMENTO_SEMANAL!$AB$6:$AB$2381,PLANEJAMENTO_SEMANAL!$F$6:$F$2381,$B38,PLANEJAMENTO_SEMANAL!$B$6:$B$2381,BN$7)</f>
        <v>0</v>
      </c>
      <c r="BO38" s="18" t="n">
        <f aca="false">SUMIFS(PLANEJAMENTO_SEMANAL!$AB$6:$AB$2381,PLANEJAMENTO_SEMANAL!$F$6:$F$2381,$B38,PLANEJAMENTO_SEMANAL!$B$6:$B$2381,BO$7)</f>
        <v>0</v>
      </c>
      <c r="BP38" s="18" t="n">
        <f aca="false">SUMIFS(PLANEJAMENTO_SEMANAL!$AB$6:$AB$2381,PLANEJAMENTO_SEMANAL!$F$6:$F$2381,$B38,PLANEJAMENTO_SEMANAL!$B$6:$B$2381,BP$7)</f>
        <v>0</v>
      </c>
      <c r="BQ38" s="18" t="n">
        <f aca="false">SUM(C38:BP38)</f>
        <v>8822.60773520954</v>
      </c>
    </row>
    <row r="39" customFormat="false" ht="15" hidden="false" customHeight="false" outlineLevel="0" collapsed="false">
      <c r="B39" s="15" t="s">
        <v>135</v>
      </c>
      <c r="C39" s="18" t="n">
        <f aca="false">SUMIFS(PLANEJAMENTO_SEMANAL!$AB$6:$AB$2381,PLANEJAMENTO_SEMANAL!$F$6:$F$2381,$B39,PLANEJAMENTO_SEMANAL!$B$6:$B$2381,C$7)</f>
        <v>0</v>
      </c>
      <c r="D39" s="18" t="n">
        <f aca="false">SUMIFS(PLANEJAMENTO_SEMANAL!$AB$6:$AB$2381,PLANEJAMENTO_SEMANAL!$F$6:$F$2381,$B39,PLANEJAMENTO_SEMANAL!$B$6:$B$2381,D$7)</f>
        <v>0</v>
      </c>
      <c r="E39" s="18" t="n">
        <f aca="false">SUMIFS(PLANEJAMENTO_SEMANAL!$AB$6:$AB$2381,PLANEJAMENTO_SEMANAL!$F$6:$F$2381,$B39,PLANEJAMENTO_SEMANAL!$B$6:$B$2381,E$7)</f>
        <v>0</v>
      </c>
      <c r="F39" s="18" t="n">
        <f aca="false">SUMIFS(PLANEJAMENTO_SEMANAL!$AB$6:$AB$2381,PLANEJAMENTO_SEMANAL!$F$6:$F$2381,$B39,PLANEJAMENTO_SEMANAL!$B$6:$B$2381,F$7)</f>
        <v>0</v>
      </c>
      <c r="G39" s="18" t="n">
        <f aca="false">SUMIFS(PLANEJAMENTO_SEMANAL!$AB$6:$AB$2381,PLANEJAMENTO_SEMANAL!$F$6:$F$2381,$B39,PLANEJAMENTO_SEMANAL!$B$6:$B$2381,G$7)</f>
        <v>0</v>
      </c>
      <c r="H39" s="18" t="n">
        <f aca="false">SUMIFS(PLANEJAMENTO_SEMANAL!$AB$6:$AB$2381,PLANEJAMENTO_SEMANAL!$F$6:$F$2381,$B39,PLANEJAMENTO_SEMANAL!$B$6:$B$2381,H$7)</f>
        <v>0</v>
      </c>
      <c r="I39" s="18" t="n">
        <f aca="false">SUMIFS(PLANEJAMENTO_SEMANAL!$AB$6:$AB$2381,PLANEJAMENTO_SEMANAL!$F$6:$F$2381,$B39,PLANEJAMENTO_SEMANAL!$B$6:$B$2381,I$7)</f>
        <v>0</v>
      </c>
      <c r="J39" s="18" t="n">
        <f aca="false">SUMIFS(PLANEJAMENTO_SEMANAL!$AB$6:$AB$2381,PLANEJAMENTO_SEMANAL!$F$6:$F$2381,$B39,PLANEJAMENTO_SEMANAL!$B$6:$B$2381,J$7)</f>
        <v>0</v>
      </c>
      <c r="K39" s="18" t="n">
        <f aca="false">SUMIFS(PLANEJAMENTO_SEMANAL!$AB$6:$AB$2381,PLANEJAMENTO_SEMANAL!$F$6:$F$2381,$B39,PLANEJAMENTO_SEMANAL!$B$6:$B$2381,K$7)</f>
        <v>0</v>
      </c>
      <c r="L39" s="18" t="n">
        <f aca="false">SUMIFS(PLANEJAMENTO_SEMANAL!$AB$6:$AB$2381,PLANEJAMENTO_SEMANAL!$F$6:$F$2381,$B39,PLANEJAMENTO_SEMANAL!$B$6:$B$2381,L$7)</f>
        <v>0</v>
      </c>
      <c r="M39" s="18" t="n">
        <f aca="false">SUMIFS(PLANEJAMENTO_SEMANAL!$AB$6:$AB$2381,PLANEJAMENTO_SEMANAL!$F$6:$F$2381,$B39,PLANEJAMENTO_SEMANAL!$B$6:$B$2381,M$7)</f>
        <v>0</v>
      </c>
      <c r="N39" s="18" t="n">
        <f aca="false">SUMIFS(PLANEJAMENTO_SEMANAL!$AB$6:$AB$2381,PLANEJAMENTO_SEMANAL!$F$6:$F$2381,$B39,PLANEJAMENTO_SEMANAL!$B$6:$B$2381,N$7)</f>
        <v>0</v>
      </c>
      <c r="O39" s="18" t="n">
        <f aca="false">SUMIFS(PLANEJAMENTO_SEMANAL!$AB$6:$AB$2381,PLANEJAMENTO_SEMANAL!$F$6:$F$2381,$B39,PLANEJAMENTO_SEMANAL!$B$6:$B$2381,O$7)</f>
        <v>0</v>
      </c>
      <c r="P39" s="18" t="n">
        <f aca="false">SUMIFS(PLANEJAMENTO_SEMANAL!$AB$6:$AB$2381,PLANEJAMENTO_SEMANAL!$F$6:$F$2381,$B39,PLANEJAMENTO_SEMANAL!$B$6:$B$2381,P$7)</f>
        <v>0</v>
      </c>
      <c r="Q39" s="18" t="n">
        <f aca="false">SUMIFS(PLANEJAMENTO_SEMANAL!$AB$6:$AB$2381,PLANEJAMENTO_SEMANAL!$F$6:$F$2381,$B39,PLANEJAMENTO_SEMANAL!$B$6:$B$2381,Q$7)</f>
        <v>0</v>
      </c>
      <c r="R39" s="18" t="n">
        <f aca="false">SUMIFS(PLANEJAMENTO_SEMANAL!$AB$6:$AB$2381,PLANEJAMENTO_SEMANAL!$F$6:$F$2381,$B39,PLANEJAMENTO_SEMANAL!$B$6:$B$2381,R$7)</f>
        <v>0</v>
      </c>
      <c r="S39" s="18" t="n">
        <f aca="false">SUMIFS(PLANEJAMENTO_SEMANAL!$AB$6:$AB$2381,PLANEJAMENTO_SEMANAL!$F$6:$F$2381,$B39,PLANEJAMENTO_SEMANAL!$B$6:$B$2381,S$7)</f>
        <v>0</v>
      </c>
      <c r="T39" s="18" t="n">
        <f aca="false">SUMIFS(PLANEJAMENTO_SEMANAL!$AB$6:$AB$2381,PLANEJAMENTO_SEMANAL!$F$6:$F$2381,$B39,PLANEJAMENTO_SEMANAL!$B$6:$B$2381,T$7)</f>
        <v>0</v>
      </c>
      <c r="U39" s="18" t="n">
        <f aca="false">SUMIFS(PLANEJAMENTO_SEMANAL!$AB$6:$AB$2381,PLANEJAMENTO_SEMANAL!$F$6:$F$2381,$B39,PLANEJAMENTO_SEMANAL!$B$6:$B$2381,U$7)</f>
        <v>0</v>
      </c>
      <c r="V39" s="18" t="n">
        <f aca="false">SUMIFS(PLANEJAMENTO_SEMANAL!$AB$6:$AB$2381,PLANEJAMENTO_SEMANAL!$F$6:$F$2381,$B39,PLANEJAMENTO_SEMANAL!$B$6:$B$2381,V$7)</f>
        <v>0</v>
      </c>
      <c r="W39" s="18" t="n">
        <f aca="false">SUMIFS(PLANEJAMENTO_SEMANAL!$AB$6:$AB$2381,PLANEJAMENTO_SEMANAL!$F$6:$F$2381,$B39,PLANEJAMENTO_SEMANAL!$B$6:$B$2381,W$7)</f>
        <v>0</v>
      </c>
      <c r="X39" s="18" t="n">
        <f aca="false">SUMIFS(PLANEJAMENTO_SEMANAL!$AB$6:$AB$2381,PLANEJAMENTO_SEMANAL!$F$6:$F$2381,$B39,PLANEJAMENTO_SEMANAL!$B$6:$B$2381,X$7)</f>
        <v>0</v>
      </c>
      <c r="Y39" s="18" t="n">
        <f aca="false">SUMIFS(PLANEJAMENTO_SEMANAL!$AB$6:$AB$2381,PLANEJAMENTO_SEMANAL!$F$6:$F$2381,$B39,PLANEJAMENTO_SEMANAL!$B$6:$B$2381,Y$7)</f>
        <v>0</v>
      </c>
      <c r="Z39" s="18" t="n">
        <f aca="false">SUMIFS(PLANEJAMENTO_SEMANAL!$AB$6:$AB$2381,PLANEJAMENTO_SEMANAL!$F$6:$F$2381,$B39,PLANEJAMENTO_SEMANAL!$B$6:$B$2381,Z$7)</f>
        <v>0</v>
      </c>
      <c r="AA39" s="18" t="n">
        <f aca="false">SUMIFS(PLANEJAMENTO_SEMANAL!$AB$6:$AB$2381,PLANEJAMENTO_SEMANAL!$F$6:$F$2381,$B39,PLANEJAMENTO_SEMANAL!$B$6:$B$2381,AA$7)</f>
        <v>0</v>
      </c>
      <c r="AB39" s="18" t="n">
        <f aca="false">SUMIFS(PLANEJAMENTO_SEMANAL!$AB$6:$AB$2381,PLANEJAMENTO_SEMANAL!$F$6:$F$2381,$B39,PLANEJAMENTO_SEMANAL!$B$6:$B$2381,AB$7)</f>
        <v>0</v>
      </c>
      <c r="AC39" s="18" t="n">
        <f aca="false">SUMIFS(PLANEJAMENTO_SEMANAL!$AB$6:$AB$2381,PLANEJAMENTO_SEMANAL!$F$6:$F$2381,$B39,PLANEJAMENTO_SEMANAL!$B$6:$B$2381,AC$7)</f>
        <v>0</v>
      </c>
      <c r="AD39" s="18" t="n">
        <f aca="false">SUMIFS(PLANEJAMENTO_SEMANAL!$AB$6:$AB$2381,PLANEJAMENTO_SEMANAL!$F$6:$F$2381,$B39,PLANEJAMENTO_SEMANAL!$B$6:$B$2381,AD$7)</f>
        <v>0</v>
      </c>
      <c r="AE39" s="18" t="n">
        <f aca="false">SUMIFS(PLANEJAMENTO_SEMANAL!$AB$6:$AB$2381,PLANEJAMENTO_SEMANAL!$F$6:$F$2381,$B39,PLANEJAMENTO_SEMANAL!$B$6:$B$2381,AE$7)</f>
        <v>0</v>
      </c>
      <c r="AF39" s="18" t="n">
        <f aca="false">SUMIFS(PLANEJAMENTO_SEMANAL!$AB$6:$AB$2381,PLANEJAMENTO_SEMANAL!$F$6:$F$2381,$B39,PLANEJAMENTO_SEMANAL!$B$6:$B$2381,AF$7)</f>
        <v>0</v>
      </c>
      <c r="AG39" s="18" t="n">
        <f aca="false">SUMIFS(PLANEJAMENTO_SEMANAL!$AB$6:$AB$2381,PLANEJAMENTO_SEMANAL!$F$6:$F$2381,$B39,PLANEJAMENTO_SEMANAL!$B$6:$B$2381,AG$7)</f>
        <v>0</v>
      </c>
      <c r="AH39" s="18" t="n">
        <f aca="false">SUMIFS(PLANEJAMENTO_SEMANAL!$AB$6:$AB$2381,PLANEJAMENTO_SEMANAL!$F$6:$F$2381,$B39,PLANEJAMENTO_SEMANAL!$B$6:$B$2381,AH$7)</f>
        <v>0</v>
      </c>
      <c r="AI39" s="18" t="n">
        <f aca="false">SUMIFS(PLANEJAMENTO_SEMANAL!$AB$6:$AB$2381,PLANEJAMENTO_SEMANAL!$F$6:$F$2381,$B39,PLANEJAMENTO_SEMANAL!$B$6:$B$2381,AI$7)</f>
        <v>0</v>
      </c>
      <c r="AJ39" s="18" t="n">
        <f aca="false">SUMIFS(PLANEJAMENTO_SEMANAL!$AB$6:$AB$2381,PLANEJAMENTO_SEMANAL!$F$6:$F$2381,$B39,PLANEJAMENTO_SEMANAL!$B$6:$B$2381,AJ$7)</f>
        <v>0</v>
      </c>
      <c r="AK39" s="18" t="n">
        <f aca="false">SUMIFS(PLANEJAMENTO_SEMANAL!$AB$6:$AB$2381,PLANEJAMENTO_SEMANAL!$F$6:$F$2381,$B39,PLANEJAMENTO_SEMANAL!$B$6:$B$2381,AK$7)</f>
        <v>0</v>
      </c>
      <c r="AL39" s="18" t="n">
        <f aca="false">SUMIFS(PLANEJAMENTO_SEMANAL!$AB$6:$AB$2381,PLANEJAMENTO_SEMANAL!$F$6:$F$2381,$B39,PLANEJAMENTO_SEMANAL!$B$6:$B$2381,AL$7)</f>
        <v>0</v>
      </c>
      <c r="AM39" s="18" t="n">
        <f aca="false">SUMIFS(PLANEJAMENTO_SEMANAL!$AB$6:$AB$2381,PLANEJAMENTO_SEMANAL!$F$6:$F$2381,$B39,PLANEJAMENTO_SEMANAL!$B$6:$B$2381,AM$7)</f>
        <v>0</v>
      </c>
      <c r="AN39" s="18" t="n">
        <f aca="false">SUMIFS(PLANEJAMENTO_SEMANAL!$AB$6:$AB$2381,PLANEJAMENTO_SEMANAL!$F$6:$F$2381,$B39,PLANEJAMENTO_SEMANAL!$B$6:$B$2381,AN$7)</f>
        <v>0</v>
      </c>
      <c r="AO39" s="18" t="n">
        <f aca="false">SUMIFS(PLANEJAMENTO_SEMANAL!$AB$6:$AB$2381,PLANEJAMENTO_SEMANAL!$F$6:$F$2381,$B39,PLANEJAMENTO_SEMANAL!$B$6:$B$2381,AO$7)</f>
        <v>0</v>
      </c>
      <c r="AP39" s="18" t="n">
        <f aca="false">SUMIFS(PLANEJAMENTO_SEMANAL!$AB$6:$AB$2381,PLANEJAMENTO_SEMANAL!$F$6:$F$2381,$B39,PLANEJAMENTO_SEMANAL!$B$6:$B$2381,AP$7)</f>
        <v>0</v>
      </c>
      <c r="AQ39" s="18" t="n">
        <f aca="false">SUMIFS(PLANEJAMENTO_SEMANAL!$AB$6:$AB$2381,PLANEJAMENTO_SEMANAL!$F$6:$F$2381,$B39,PLANEJAMENTO_SEMANAL!$B$6:$B$2381,AQ$7)</f>
        <v>0</v>
      </c>
      <c r="AR39" s="18" t="n">
        <f aca="false">SUMIFS(PLANEJAMENTO_SEMANAL!$AB$6:$AB$2381,PLANEJAMENTO_SEMANAL!$F$6:$F$2381,$B39,PLANEJAMENTO_SEMANAL!$B$6:$B$2381,AR$7)</f>
        <v>0</v>
      </c>
      <c r="AS39" s="18" t="n">
        <f aca="false">SUMIFS(PLANEJAMENTO_SEMANAL!$AB$6:$AB$2381,PLANEJAMENTO_SEMANAL!$F$6:$F$2381,$B39,PLANEJAMENTO_SEMANAL!$B$6:$B$2381,AS$7)</f>
        <v>0</v>
      </c>
      <c r="AT39" s="18" t="n">
        <f aca="false">SUMIFS(PLANEJAMENTO_SEMANAL!$AB$6:$AB$2381,PLANEJAMENTO_SEMANAL!$F$6:$F$2381,$B39,PLANEJAMENTO_SEMANAL!$B$6:$B$2381,AT$7)</f>
        <v>0</v>
      </c>
      <c r="AU39" s="18" t="n">
        <f aca="false">SUMIFS(PLANEJAMENTO_SEMANAL!$AB$6:$AB$2381,PLANEJAMENTO_SEMANAL!$F$6:$F$2381,$B39,PLANEJAMENTO_SEMANAL!$B$6:$B$2381,AU$7)</f>
        <v>0</v>
      </c>
      <c r="AV39" s="18" t="n">
        <f aca="false">SUMIFS(PLANEJAMENTO_SEMANAL!$AB$6:$AB$2381,PLANEJAMENTO_SEMANAL!$F$6:$F$2381,$B39,PLANEJAMENTO_SEMANAL!$B$6:$B$2381,AV$7)</f>
        <v>0</v>
      </c>
      <c r="AW39" s="18" t="n">
        <f aca="false">SUMIFS(PLANEJAMENTO_SEMANAL!$AB$6:$AB$2381,PLANEJAMENTO_SEMANAL!$F$6:$F$2381,$B39,PLANEJAMENTO_SEMANAL!$B$6:$B$2381,AW$7)</f>
        <v>0</v>
      </c>
      <c r="AX39" s="18" t="n">
        <f aca="false">SUMIFS(PLANEJAMENTO_SEMANAL!$AB$6:$AB$2381,PLANEJAMENTO_SEMANAL!$F$6:$F$2381,$B39,PLANEJAMENTO_SEMANAL!$B$6:$B$2381,AX$7)</f>
        <v>0</v>
      </c>
      <c r="AY39" s="18" t="n">
        <f aca="false">SUMIFS(PLANEJAMENTO_SEMANAL!$AB$6:$AB$2381,PLANEJAMENTO_SEMANAL!$F$6:$F$2381,$B39,PLANEJAMENTO_SEMANAL!$B$6:$B$2381,AY$7)</f>
        <v>0</v>
      </c>
      <c r="AZ39" s="18" t="n">
        <f aca="false">SUMIFS(PLANEJAMENTO_SEMANAL!$AB$6:$AB$2381,PLANEJAMENTO_SEMANAL!$F$6:$F$2381,$B39,PLANEJAMENTO_SEMANAL!$B$6:$B$2381,AZ$7)</f>
        <v>0</v>
      </c>
      <c r="BA39" s="18" t="n">
        <f aca="false">SUMIFS(PLANEJAMENTO_SEMANAL!$AB$6:$AB$2381,PLANEJAMENTO_SEMANAL!$F$6:$F$2381,$B39,PLANEJAMENTO_SEMANAL!$B$6:$B$2381,BA$7)</f>
        <v>0</v>
      </c>
      <c r="BB39" s="18" t="n">
        <f aca="false">SUMIFS(PLANEJAMENTO_SEMANAL!$AB$6:$AB$2381,PLANEJAMENTO_SEMANAL!$F$6:$F$2381,$B39,PLANEJAMENTO_SEMANAL!$B$6:$B$2381,BB$7)</f>
        <v>0</v>
      </c>
      <c r="BC39" s="18" t="n">
        <f aca="false">SUMIFS(PLANEJAMENTO_SEMANAL!$AB$6:$AB$2381,PLANEJAMENTO_SEMANAL!$F$6:$F$2381,$B39,PLANEJAMENTO_SEMANAL!$B$6:$B$2381,BC$7)</f>
        <v>0</v>
      </c>
      <c r="BD39" s="18" t="n">
        <f aca="false">SUMIFS(PLANEJAMENTO_SEMANAL!$AB$6:$AB$2381,PLANEJAMENTO_SEMANAL!$F$6:$F$2381,$B39,PLANEJAMENTO_SEMANAL!$B$6:$B$2381,BD$7)</f>
        <v>0</v>
      </c>
      <c r="BE39" s="18" t="n">
        <f aca="false">SUMIFS(PLANEJAMENTO_SEMANAL!$AB$6:$AB$2381,PLANEJAMENTO_SEMANAL!$F$6:$F$2381,$B39,PLANEJAMENTO_SEMANAL!$B$6:$B$2381,BE$7)</f>
        <v>0</v>
      </c>
      <c r="BF39" s="18" t="n">
        <f aca="false">SUMIFS(PLANEJAMENTO_SEMANAL!$AB$6:$AB$2381,PLANEJAMENTO_SEMANAL!$F$6:$F$2381,$B39,PLANEJAMENTO_SEMANAL!$B$6:$B$2381,BF$7)</f>
        <v>0</v>
      </c>
      <c r="BG39" s="18" t="n">
        <f aca="false">SUMIFS(PLANEJAMENTO_SEMANAL!$AB$6:$AB$2381,PLANEJAMENTO_SEMANAL!$F$6:$F$2381,$B39,PLANEJAMENTO_SEMANAL!$B$6:$B$2381,BG$7)</f>
        <v>0</v>
      </c>
      <c r="BH39" s="18" t="n">
        <f aca="false">SUMIFS(PLANEJAMENTO_SEMANAL!$AB$6:$AB$2381,PLANEJAMENTO_SEMANAL!$F$6:$F$2381,$B39,PLANEJAMENTO_SEMANAL!$B$6:$B$2381,BH$7)</f>
        <v>0</v>
      </c>
      <c r="BI39" s="18" t="n">
        <f aca="false">SUMIFS(PLANEJAMENTO_SEMANAL!$AB$6:$AB$2381,PLANEJAMENTO_SEMANAL!$F$6:$F$2381,$B39,PLANEJAMENTO_SEMANAL!$B$6:$B$2381,BI$7)</f>
        <v>0</v>
      </c>
      <c r="BJ39" s="18" t="n">
        <f aca="false">SUMIFS(PLANEJAMENTO_SEMANAL!$AB$6:$AB$2381,PLANEJAMENTO_SEMANAL!$F$6:$F$2381,$B39,PLANEJAMENTO_SEMANAL!$B$6:$B$2381,BJ$7)</f>
        <v>0</v>
      </c>
      <c r="BK39" s="18" t="n">
        <f aca="false">SUMIFS(PLANEJAMENTO_SEMANAL!$AB$6:$AB$2381,PLANEJAMENTO_SEMANAL!$F$6:$F$2381,$B39,PLANEJAMENTO_SEMANAL!$B$6:$B$2381,BK$7)</f>
        <v>0</v>
      </c>
      <c r="BL39" s="18" t="n">
        <f aca="false">SUMIFS(PLANEJAMENTO_SEMANAL!$AB$6:$AB$2381,PLANEJAMENTO_SEMANAL!$F$6:$F$2381,$B39,PLANEJAMENTO_SEMANAL!$B$6:$B$2381,BL$7)</f>
        <v>0</v>
      </c>
      <c r="BM39" s="18" t="n">
        <f aca="false">SUMIFS(PLANEJAMENTO_SEMANAL!$AB$6:$AB$2381,PLANEJAMENTO_SEMANAL!$F$6:$F$2381,$B39,PLANEJAMENTO_SEMANAL!$B$6:$B$2381,BM$7)</f>
        <v>0</v>
      </c>
      <c r="BN39" s="18" t="n">
        <f aca="false">SUMIFS(PLANEJAMENTO_SEMANAL!$AB$6:$AB$2381,PLANEJAMENTO_SEMANAL!$F$6:$F$2381,$B39,PLANEJAMENTO_SEMANAL!$B$6:$B$2381,BN$7)</f>
        <v>0</v>
      </c>
      <c r="BO39" s="18" t="n">
        <f aca="false">SUMIFS(PLANEJAMENTO_SEMANAL!$AB$6:$AB$2381,PLANEJAMENTO_SEMANAL!$F$6:$F$2381,$B39,PLANEJAMENTO_SEMANAL!$B$6:$B$2381,BO$7)</f>
        <v>0</v>
      </c>
      <c r="BP39" s="18" t="n">
        <f aca="false">SUMIFS(PLANEJAMENTO_SEMANAL!$AB$6:$AB$2381,PLANEJAMENTO_SEMANAL!$F$6:$F$2381,$B39,PLANEJAMENTO_SEMANAL!$B$6:$B$2381,BP$7)</f>
        <v>0</v>
      </c>
      <c r="BQ39" s="18" t="n">
        <f aca="false">SUM(C39:BP39)</f>
        <v>0</v>
      </c>
    </row>
    <row r="42" customFormat="false" ht="15" hidden="false" customHeight="false" outlineLevel="0" collapsed="false">
      <c r="B42" s="3" t="s">
        <v>603</v>
      </c>
    </row>
    <row r="43" customFormat="false" ht="15" hidden="false" customHeight="false" outlineLevel="0" collapsed="false">
      <c r="B43" s="14" t="s">
        <v>187</v>
      </c>
      <c r="C43" s="14" t="n">
        <v>1</v>
      </c>
      <c r="D43" s="14" t="n">
        <v>2</v>
      </c>
      <c r="E43" s="14" t="n">
        <v>3</v>
      </c>
      <c r="F43" s="14" t="n">
        <v>4</v>
      </c>
      <c r="G43" s="14" t="n">
        <v>5</v>
      </c>
      <c r="H43" s="14" t="n">
        <v>6</v>
      </c>
      <c r="I43" s="14" t="n">
        <v>7</v>
      </c>
      <c r="J43" s="14" t="n">
        <v>8</v>
      </c>
      <c r="K43" s="14" t="n">
        <v>9</v>
      </c>
      <c r="L43" s="14" t="n">
        <v>10</v>
      </c>
      <c r="M43" s="14" t="n">
        <v>11</v>
      </c>
      <c r="N43" s="14" t="n">
        <v>12</v>
      </c>
      <c r="O43" s="14" t="n">
        <v>13</v>
      </c>
      <c r="P43" s="14" t="n">
        <v>14</v>
      </c>
      <c r="Q43" s="14" t="n">
        <v>15</v>
      </c>
      <c r="R43" s="14" t="n">
        <v>16</v>
      </c>
      <c r="S43" s="14" t="n">
        <v>17</v>
      </c>
      <c r="T43" s="14" t="n">
        <v>18</v>
      </c>
      <c r="U43" s="14" t="n">
        <v>19</v>
      </c>
      <c r="V43" s="14" t="n">
        <v>20</v>
      </c>
      <c r="W43" s="14" t="n">
        <v>21</v>
      </c>
      <c r="X43" s="14" t="n">
        <v>22</v>
      </c>
      <c r="Y43" s="14" t="n">
        <v>23</v>
      </c>
      <c r="Z43" s="14" t="n">
        <v>24</v>
      </c>
      <c r="AA43" s="14" t="n">
        <v>25</v>
      </c>
      <c r="AB43" s="14" t="n">
        <v>26</v>
      </c>
      <c r="AC43" s="14" t="n">
        <v>27</v>
      </c>
      <c r="AD43" s="14" t="n">
        <v>28</v>
      </c>
      <c r="AE43" s="14" t="n">
        <v>29</v>
      </c>
      <c r="AF43" s="14" t="n">
        <v>30</v>
      </c>
      <c r="AG43" s="14" t="n">
        <v>31</v>
      </c>
      <c r="AH43" s="14" t="n">
        <v>32</v>
      </c>
      <c r="AI43" s="14" t="n">
        <v>33</v>
      </c>
      <c r="AJ43" s="14" t="n">
        <v>34</v>
      </c>
      <c r="AK43" s="14" t="n">
        <v>35</v>
      </c>
      <c r="AL43" s="14" t="n">
        <v>36</v>
      </c>
      <c r="AM43" s="14" t="n">
        <v>37</v>
      </c>
      <c r="AN43" s="14" t="n">
        <v>38</v>
      </c>
      <c r="AO43" s="14" t="n">
        <v>39</v>
      </c>
      <c r="AP43" s="14" t="n">
        <v>40</v>
      </c>
      <c r="AQ43" s="14" t="n">
        <v>41</v>
      </c>
      <c r="AR43" s="14" t="n">
        <v>42</v>
      </c>
      <c r="AS43" s="14" t="n">
        <v>43</v>
      </c>
      <c r="AT43" s="14" t="n">
        <v>44</v>
      </c>
      <c r="AU43" s="14" t="n">
        <v>45</v>
      </c>
      <c r="AV43" s="14" t="n">
        <v>46</v>
      </c>
      <c r="AW43" s="14" t="n">
        <v>47</v>
      </c>
      <c r="AX43" s="14" t="n">
        <v>48</v>
      </c>
      <c r="AY43" s="14" t="n">
        <v>49</v>
      </c>
      <c r="AZ43" s="14" t="n">
        <v>50</v>
      </c>
      <c r="BA43" s="14" t="n">
        <v>51</v>
      </c>
      <c r="BB43" s="14" t="n">
        <v>52</v>
      </c>
      <c r="BC43" s="14" t="n">
        <v>53</v>
      </c>
      <c r="BD43" s="14" t="n">
        <v>54</v>
      </c>
      <c r="BE43" s="14" t="n">
        <v>55</v>
      </c>
      <c r="BF43" s="14" t="n">
        <v>56</v>
      </c>
      <c r="BG43" s="14" t="n">
        <v>57</v>
      </c>
      <c r="BH43" s="14" t="n">
        <v>58</v>
      </c>
      <c r="BI43" s="14" t="n">
        <v>59</v>
      </c>
      <c r="BJ43" s="14" t="n">
        <v>60</v>
      </c>
      <c r="BK43" s="14" t="n">
        <v>61</v>
      </c>
      <c r="BL43" s="14" t="n">
        <v>62</v>
      </c>
      <c r="BM43" s="14" t="n">
        <v>63</v>
      </c>
      <c r="BN43" s="14" t="n">
        <v>64</v>
      </c>
      <c r="BO43" s="14" t="n">
        <v>65</v>
      </c>
      <c r="BP43" s="14" t="n">
        <v>66</v>
      </c>
      <c r="BQ43" s="14" t="s">
        <v>601</v>
      </c>
    </row>
    <row r="44" customFormat="false" ht="15" hidden="false" customHeight="false" outlineLevel="0" collapsed="false">
      <c r="B44" s="15" t="s">
        <v>128</v>
      </c>
      <c r="C44" s="18" t="n">
        <f aca="false">IFERROR(C8/INDEX(SEMANAS!$K$6:$K$71,MATCH(C$7,SEMANAS!$B$6:$B$71,0)),0)</f>
        <v>0</v>
      </c>
      <c r="D44" s="18" t="n">
        <f aca="false">IFERROR(D8/INDEX(SEMANAS!$K$6:$K$71,MATCH(D$7,SEMANAS!$B$6:$B$71,0)),0)</f>
        <v>0</v>
      </c>
      <c r="E44" s="18" t="n">
        <f aca="false">IFERROR(E8/INDEX(SEMANAS!$K$6:$K$71,MATCH(E$7,SEMANAS!$B$6:$B$71,0)),0)</f>
        <v>0</v>
      </c>
      <c r="F44" s="18" t="n">
        <f aca="false">IFERROR(F8/INDEX(SEMANAS!$K$6:$K$71,MATCH(F$7,SEMANAS!$B$6:$B$71,0)),0)</f>
        <v>0</v>
      </c>
      <c r="G44" s="18" t="n">
        <f aca="false">IFERROR(G8/INDEX(SEMANAS!$K$6:$K$71,MATCH(G$7,SEMANAS!$B$6:$B$71,0)),0)</f>
        <v>8.93798799519808</v>
      </c>
      <c r="H44" s="18" t="n">
        <f aca="false">IFERROR(H8/INDEX(SEMANAS!$K$6:$K$71,MATCH(H$7,SEMANAS!$B$6:$B$71,0)),0)</f>
        <v>0</v>
      </c>
      <c r="I44" s="18" t="n">
        <f aca="false">IFERROR(I8/INDEX(SEMANAS!$K$6:$K$71,MATCH(I$7,SEMANAS!$B$6:$B$71,0)),0)</f>
        <v>0</v>
      </c>
      <c r="J44" s="18" t="n">
        <f aca="false">IFERROR(J8/INDEX(SEMANAS!$K$6:$K$71,MATCH(J$7,SEMANAS!$B$6:$B$71,0)),0)</f>
        <v>20.3229075630252</v>
      </c>
      <c r="K44" s="18" t="n">
        <f aca="false">IFERROR(K8/INDEX(SEMANAS!$K$6:$K$71,MATCH(K$7,SEMANAS!$B$6:$B$71,0)),0)</f>
        <v>60.6454083411142</v>
      </c>
      <c r="L44" s="18" t="n">
        <f aca="false">IFERROR(L8/INDEX(SEMANAS!$K$6:$K$71,MATCH(L$7,SEMANAS!$B$6:$B$71,0)),0)</f>
        <v>0</v>
      </c>
      <c r="M44" s="18" t="n">
        <f aca="false">IFERROR(M8/INDEX(SEMANAS!$K$6:$K$71,MATCH(M$7,SEMANAS!$B$6:$B$71,0)),0)</f>
        <v>16.4676134453781</v>
      </c>
      <c r="N44" s="18" t="n">
        <f aca="false">IFERROR(N8/INDEX(SEMANAS!$K$6:$K$71,MATCH(N$7,SEMANAS!$B$6:$B$71,0)),0)</f>
        <v>16.4676134453781</v>
      </c>
      <c r="O44" s="18" t="n">
        <f aca="false">IFERROR(O8/INDEX(SEMANAS!$K$6:$K$71,MATCH(O$7,SEMANAS!$B$6:$B$71,0)),0)</f>
        <v>16.4676134453781</v>
      </c>
      <c r="P44" s="18" t="n">
        <f aca="false">IFERROR(P8/INDEX(SEMANAS!$K$6:$K$71,MATCH(P$7,SEMANAS!$B$6:$B$71,0)),0)</f>
        <v>0</v>
      </c>
      <c r="Q44" s="18" t="n">
        <f aca="false">IFERROR(Q8/INDEX(SEMANAS!$K$6:$K$71,MATCH(Q$7,SEMANAS!$B$6:$B$71,0)),0)</f>
        <v>0</v>
      </c>
      <c r="R44" s="18" t="n">
        <f aca="false">IFERROR(R8/INDEX(SEMANAS!$K$6:$K$71,MATCH(R$7,SEMANAS!$B$6:$B$71,0)),0)</f>
        <v>0</v>
      </c>
      <c r="S44" s="18" t="n">
        <f aca="false">IFERROR(S8/INDEX(SEMANAS!$K$6:$K$71,MATCH(S$7,SEMANAS!$B$6:$B$71,0)),0)</f>
        <v>0</v>
      </c>
      <c r="T44" s="18" t="n">
        <f aca="false">IFERROR(T8/INDEX(SEMANAS!$K$6:$K$71,MATCH(T$7,SEMANAS!$B$6:$B$71,0)),0)</f>
        <v>0</v>
      </c>
      <c r="U44" s="18" t="n">
        <f aca="false">IFERROR(U8/INDEX(SEMANAS!$K$6:$K$71,MATCH(U$7,SEMANAS!$B$6:$B$71,0)),0)</f>
        <v>0</v>
      </c>
      <c r="V44" s="18" t="n">
        <f aca="false">IFERROR(V8/INDEX(SEMANAS!$K$6:$K$71,MATCH(V$7,SEMANAS!$B$6:$B$71,0)),0)</f>
        <v>0</v>
      </c>
      <c r="W44" s="18" t="n">
        <f aca="false">IFERROR(W8/INDEX(SEMANAS!$K$6:$K$71,MATCH(W$7,SEMANAS!$B$6:$B$71,0)),0)</f>
        <v>0</v>
      </c>
      <c r="X44" s="18" t="n">
        <f aca="false">IFERROR(X8/INDEX(SEMANAS!$K$6:$K$71,MATCH(X$7,SEMANAS!$B$6:$B$71,0)),0)</f>
        <v>0</v>
      </c>
      <c r="Y44" s="18" t="n">
        <f aca="false">IFERROR(Y8/INDEX(SEMANAS!$K$6:$K$71,MATCH(Y$7,SEMANAS!$B$6:$B$71,0)),0)</f>
        <v>0</v>
      </c>
      <c r="Z44" s="18" t="n">
        <f aca="false">IFERROR(Z8/INDEX(SEMANAS!$K$6:$K$71,MATCH(Z$7,SEMANAS!$B$6:$B$71,0)),0)</f>
        <v>0</v>
      </c>
      <c r="AA44" s="18" t="n">
        <f aca="false">IFERROR(AA8/INDEX(SEMANAS!$K$6:$K$71,MATCH(AA$7,SEMANAS!$B$6:$B$71,0)),0)</f>
        <v>0</v>
      </c>
      <c r="AB44" s="18" t="n">
        <f aca="false">IFERROR(AB8/INDEX(SEMANAS!$K$6:$K$71,MATCH(AB$7,SEMANAS!$B$6:$B$71,0)),0)</f>
        <v>0</v>
      </c>
      <c r="AC44" s="18" t="n">
        <f aca="false">IFERROR(AC8/INDEX(SEMANAS!$K$6:$K$71,MATCH(AC$7,SEMANAS!$B$6:$B$71,0)),0)</f>
        <v>0</v>
      </c>
      <c r="AD44" s="18" t="n">
        <f aca="false">IFERROR(AD8/INDEX(SEMANAS!$K$6:$K$71,MATCH(AD$7,SEMANAS!$B$6:$B$71,0)),0)</f>
        <v>0</v>
      </c>
      <c r="AE44" s="18" t="n">
        <f aca="false">IFERROR(AE8/INDEX(SEMANAS!$K$6:$K$71,MATCH(AE$7,SEMANAS!$B$6:$B$71,0)),0)</f>
        <v>0</v>
      </c>
      <c r="AF44" s="18" t="n">
        <f aca="false">IFERROR(AF8/INDEX(SEMANAS!$K$6:$K$71,MATCH(AF$7,SEMANAS!$B$6:$B$71,0)),0)</f>
        <v>0</v>
      </c>
      <c r="AG44" s="18" t="n">
        <f aca="false">IFERROR(AG8/INDEX(SEMANAS!$K$6:$K$71,MATCH(AG$7,SEMANAS!$B$6:$B$71,0)),0)</f>
        <v>34.0562929739943</v>
      </c>
      <c r="AH44" s="18" t="n">
        <f aca="false">IFERROR(AH8/INDEX(SEMANAS!$K$6:$K$71,MATCH(AH$7,SEMANAS!$B$6:$B$71,0)),0)</f>
        <v>116.069120680225</v>
      </c>
      <c r="AI44" s="18" t="n">
        <f aca="false">IFERROR(AI8/INDEX(SEMANAS!$K$6:$K$71,MATCH(AI$7,SEMANAS!$B$6:$B$71,0)),0)</f>
        <v>143.443990154642</v>
      </c>
      <c r="AJ44" s="18" t="n">
        <f aca="false">IFERROR(AJ8/INDEX(SEMANAS!$K$6:$K$71,MATCH(AJ$7,SEMANAS!$B$6:$B$71,0)),0)</f>
        <v>170.818859629059</v>
      </c>
      <c r="AK44" s="18" t="n">
        <f aca="false">IFERROR(AK8/INDEX(SEMANAS!$K$6:$K$71,MATCH(AK$7,SEMANAS!$B$6:$B$71,0)),0)</f>
        <v>200.215651860744</v>
      </c>
      <c r="AL44" s="18" t="n">
        <f aca="false">IFERROR(AL8/INDEX(SEMANAS!$K$6:$K$71,MATCH(AL$7,SEMANAS!$B$6:$B$71,0)),0)</f>
        <v>244.86625210084</v>
      </c>
      <c r="AM44" s="18" t="n">
        <f aca="false">IFERROR(AM8/INDEX(SEMANAS!$K$6:$K$71,MATCH(AM$7,SEMANAS!$B$6:$B$71,0)),0)</f>
        <v>244.86625210084</v>
      </c>
      <c r="AN44" s="18" t="n">
        <f aca="false">IFERROR(AN8/INDEX(SEMANAS!$K$6:$K$71,MATCH(AN$7,SEMANAS!$B$6:$B$71,0)),0)</f>
        <v>244.86625210084</v>
      </c>
      <c r="AO44" s="18" t="n">
        <f aca="false">IFERROR(AO8/INDEX(SEMANAS!$K$6:$K$71,MATCH(AO$7,SEMANAS!$B$6:$B$71,0)),0)</f>
        <v>244.86625210084</v>
      </c>
      <c r="AP44" s="18" t="n">
        <f aca="false">IFERROR(AP8/INDEX(SEMANAS!$K$6:$K$71,MATCH(AP$7,SEMANAS!$B$6:$B$71,0)),0)</f>
        <v>245.715990396158</v>
      </c>
      <c r="AQ44" s="18" t="n">
        <f aca="false">IFERROR(AQ8/INDEX(SEMANAS!$K$6:$K$71,MATCH(AQ$7,SEMANAS!$B$6:$B$71,0)),0)</f>
        <v>245.857613445378</v>
      </c>
      <c r="AR44" s="18" t="n">
        <f aca="false">IFERROR(AR8/INDEX(SEMANAS!$K$6:$K$71,MATCH(AR$7,SEMANAS!$B$6:$B$71,0)),0)</f>
        <v>245.857613445378</v>
      </c>
      <c r="AS44" s="18" t="n">
        <f aca="false">IFERROR(AS8/INDEX(SEMANAS!$K$6:$K$71,MATCH(AS$7,SEMANAS!$B$6:$B$71,0)),0)</f>
        <v>245.857613445378</v>
      </c>
      <c r="AT44" s="18" t="n">
        <f aca="false">IFERROR(AT8/INDEX(SEMANAS!$K$6:$K$71,MATCH(AT$7,SEMANAS!$B$6:$B$71,0)),0)</f>
        <v>243.203607878316</v>
      </c>
      <c r="AU44" s="18" t="n">
        <f aca="false">IFERROR(AU8/INDEX(SEMANAS!$K$6:$K$71,MATCH(AU$7,SEMANAS!$B$6:$B$71,0)),0)</f>
        <v>235.49875488657</v>
      </c>
      <c r="AV44" s="18" t="n">
        <f aca="false">IFERROR(AV8/INDEX(SEMANAS!$K$6:$K$71,MATCH(AV$7,SEMANAS!$B$6:$B$71,0)),0)</f>
        <v>218.799541355004</v>
      </c>
      <c r="AW44" s="18" t="n">
        <f aca="false">IFERROR(AW8/INDEX(SEMANAS!$K$6:$K$71,MATCH(AW$7,SEMANAS!$B$6:$B$71,0)),0)</f>
        <v>202.100327823437</v>
      </c>
      <c r="AX44" s="18" t="n">
        <f aca="false">IFERROR(AX8/INDEX(SEMANAS!$K$6:$K$71,MATCH(AX$7,SEMANAS!$B$6:$B$71,0)),0)</f>
        <v>190.698750111033</v>
      </c>
      <c r="AY44" s="18" t="n">
        <f aca="false">IFERROR(AY8/INDEX(SEMANAS!$K$6:$K$71,MATCH(AY$7,SEMANAS!$B$6:$B$71,0)),0)</f>
        <v>202.290167266907</v>
      </c>
      <c r="AZ44" s="18" t="n">
        <f aca="false">IFERROR(AZ8/INDEX(SEMANAS!$K$6:$K$71,MATCH(AZ$7,SEMANAS!$B$6:$B$71,0)),0)</f>
        <v>182.095769507803</v>
      </c>
      <c r="BA44" s="18" t="n">
        <f aca="false">IFERROR(BA8/INDEX(SEMANAS!$K$6:$K$71,MATCH(BA$7,SEMANAS!$B$6:$B$71,0)),0)</f>
        <v>0</v>
      </c>
      <c r="BB44" s="18" t="n">
        <f aca="false">IFERROR(BB8/INDEX(SEMANAS!$K$6:$K$71,MATCH(BB$7,SEMANAS!$B$6:$B$71,0)),0)</f>
        <v>0</v>
      </c>
      <c r="BC44" s="18" t="n">
        <f aca="false">IFERROR(BC8/INDEX(SEMANAS!$K$6:$K$71,MATCH(BC$7,SEMANAS!$B$6:$B$71,0)),0)</f>
        <v>0</v>
      </c>
      <c r="BD44" s="18" t="n">
        <f aca="false">IFERROR(BD8/INDEX(SEMANAS!$K$6:$K$71,MATCH(BD$7,SEMANAS!$B$6:$B$71,0)),0)</f>
        <v>0</v>
      </c>
      <c r="BE44" s="18" t="n">
        <f aca="false">IFERROR(BE8/INDEX(SEMANAS!$K$6:$K$71,MATCH(BE$7,SEMANAS!$B$6:$B$71,0)),0)</f>
        <v>0</v>
      </c>
      <c r="BF44" s="18" t="n">
        <f aca="false">IFERROR(BF8/INDEX(SEMANAS!$K$6:$K$71,MATCH(BF$7,SEMANAS!$B$6:$B$71,0)),0)</f>
        <v>0</v>
      </c>
      <c r="BG44" s="18" t="n">
        <f aca="false">IFERROR(BG8/INDEX(SEMANAS!$K$6:$K$71,MATCH(BG$7,SEMANAS!$B$6:$B$71,0)),0)</f>
        <v>0</v>
      </c>
      <c r="BH44" s="18" t="n">
        <f aca="false">IFERROR(BH8/INDEX(SEMANAS!$K$6:$K$71,MATCH(BH$7,SEMANAS!$B$6:$B$71,0)),0)</f>
        <v>0</v>
      </c>
      <c r="BI44" s="18" t="n">
        <f aca="false">IFERROR(BI8/INDEX(SEMANAS!$K$6:$K$71,MATCH(BI$7,SEMANAS!$B$6:$B$71,0)),0)</f>
        <v>0</v>
      </c>
      <c r="BJ44" s="18" t="n">
        <f aca="false">IFERROR(BJ8/INDEX(SEMANAS!$K$6:$K$71,MATCH(BJ$7,SEMANAS!$B$6:$B$71,0)),0)</f>
        <v>0</v>
      </c>
      <c r="BK44" s="18" t="n">
        <f aca="false">IFERROR(BK8/INDEX(SEMANAS!$K$6:$K$71,MATCH(BK$7,SEMANAS!$B$6:$B$71,0)),0)</f>
        <v>0</v>
      </c>
      <c r="BL44" s="18" t="n">
        <f aca="false">IFERROR(BL8/INDEX(SEMANAS!$K$6:$K$71,MATCH(BL$7,SEMANAS!$B$6:$B$71,0)),0)</f>
        <v>0</v>
      </c>
      <c r="BM44" s="18" t="n">
        <f aca="false">IFERROR(BM8/INDEX(SEMANAS!$K$6:$K$71,MATCH(BM$7,SEMANAS!$B$6:$B$71,0)),0)</f>
        <v>0</v>
      </c>
      <c r="BN44" s="18" t="n">
        <f aca="false">IFERROR(BN8/INDEX(SEMANAS!$K$6:$K$71,MATCH(BN$7,SEMANAS!$B$6:$B$71,0)),0)</f>
        <v>0</v>
      </c>
      <c r="BO44" s="18" t="n">
        <f aca="false">IFERROR(BO8/INDEX(SEMANAS!$K$6:$K$71,MATCH(BO$7,SEMANAS!$B$6:$B$71,0)),0)</f>
        <v>0</v>
      </c>
      <c r="BP44" s="18" t="n">
        <f aca="false">IFERROR(BP8/INDEX(SEMANAS!$K$6:$K$71,MATCH(BP$7,SEMANAS!$B$6:$B$71,0)),0)</f>
        <v>0</v>
      </c>
      <c r="BQ44" s="18" t="n">
        <f aca="false">MAX(C44:BP44)</f>
        <v>245.857613445378</v>
      </c>
    </row>
    <row r="45" customFormat="false" ht="15" hidden="false" customHeight="false" outlineLevel="0" collapsed="false">
      <c r="B45" s="15" t="s">
        <v>129</v>
      </c>
      <c r="C45" s="18" t="n">
        <f aca="false">IFERROR(C9/INDEX(SEMANAS!$K$6:$K$71,MATCH(C$7,SEMANAS!$B$6:$B$71,0)),0)</f>
        <v>153.537613445378</v>
      </c>
      <c r="D45" s="18" t="n">
        <f aca="false">IFERROR(D9/INDEX(SEMANAS!$K$6:$K$71,MATCH(D$7,SEMANAS!$B$6:$B$71,0)),0)</f>
        <v>0</v>
      </c>
      <c r="E45" s="18" t="n">
        <f aca="false">IFERROR(E9/INDEX(SEMANAS!$K$6:$K$71,MATCH(E$7,SEMANAS!$B$6:$B$71,0)),0)</f>
        <v>0</v>
      </c>
      <c r="F45" s="18" t="n">
        <f aca="false">IFERROR(F9/INDEX(SEMANAS!$K$6:$K$71,MATCH(F$7,SEMANAS!$B$6:$B$71,0)),0)</f>
        <v>0</v>
      </c>
      <c r="G45" s="18" t="n">
        <f aca="false">IFERROR(G9/INDEX(SEMANAS!$K$6:$K$71,MATCH(G$7,SEMANAS!$B$6:$B$71,0)),0)</f>
        <v>9.14527731092436</v>
      </c>
      <c r="H45" s="18" t="n">
        <f aca="false">IFERROR(H9/INDEX(SEMANAS!$K$6:$K$71,MATCH(H$7,SEMANAS!$B$6:$B$71,0)),0)</f>
        <v>0</v>
      </c>
      <c r="I45" s="18" t="n">
        <f aca="false">IFERROR(I9/INDEX(SEMANAS!$K$6:$K$71,MATCH(I$7,SEMANAS!$B$6:$B$71,0)),0)</f>
        <v>0</v>
      </c>
      <c r="J45" s="18" t="n">
        <f aca="false">IFERROR(J9/INDEX(SEMANAS!$K$6:$K$71,MATCH(J$7,SEMANAS!$B$6:$B$71,0)),0)</f>
        <v>17.763258135638</v>
      </c>
      <c r="K45" s="18" t="n">
        <f aca="false">IFERROR(K9/INDEX(SEMANAS!$K$6:$K$71,MATCH(K$7,SEMANAS!$B$6:$B$71,0)),0)</f>
        <v>57.2867778463709</v>
      </c>
      <c r="L45" s="18" t="n">
        <f aca="false">IFERROR(L9/INDEX(SEMANAS!$K$6:$K$71,MATCH(L$7,SEMANAS!$B$6:$B$71,0)),0)</f>
        <v>0</v>
      </c>
      <c r="M45" s="18" t="n">
        <f aca="false">IFERROR(M9/INDEX(SEMANAS!$K$6:$K$71,MATCH(M$7,SEMANAS!$B$6:$B$71,0)),0)</f>
        <v>16.8495294117647</v>
      </c>
      <c r="N45" s="18" t="n">
        <f aca="false">IFERROR(N9/INDEX(SEMANAS!$K$6:$K$71,MATCH(N$7,SEMANAS!$B$6:$B$71,0)),0)</f>
        <v>16.8495294117647</v>
      </c>
      <c r="O45" s="18" t="n">
        <f aca="false">IFERROR(O9/INDEX(SEMANAS!$K$6:$K$71,MATCH(O$7,SEMANAS!$B$6:$B$71,0)),0)</f>
        <v>16.8495294117647</v>
      </c>
      <c r="P45" s="18" t="n">
        <f aca="false">IFERROR(P9/INDEX(SEMANAS!$K$6:$K$71,MATCH(P$7,SEMANAS!$B$6:$B$71,0)),0)</f>
        <v>0</v>
      </c>
      <c r="Q45" s="18" t="n">
        <f aca="false">IFERROR(Q9/INDEX(SEMANAS!$K$6:$K$71,MATCH(Q$7,SEMANAS!$B$6:$B$71,0)),0)</f>
        <v>0</v>
      </c>
      <c r="R45" s="18" t="n">
        <f aca="false">IFERROR(R9/INDEX(SEMANAS!$K$6:$K$71,MATCH(R$7,SEMANAS!$B$6:$B$71,0)),0)</f>
        <v>0</v>
      </c>
      <c r="S45" s="18" t="n">
        <f aca="false">IFERROR(S9/INDEX(SEMANAS!$K$6:$K$71,MATCH(S$7,SEMANAS!$B$6:$B$71,0)),0)</f>
        <v>0</v>
      </c>
      <c r="T45" s="18" t="n">
        <f aca="false">IFERROR(T9/INDEX(SEMANAS!$K$6:$K$71,MATCH(T$7,SEMANAS!$B$6:$B$71,0)),0)</f>
        <v>0</v>
      </c>
      <c r="U45" s="18" t="n">
        <f aca="false">IFERROR(U9/INDEX(SEMANAS!$K$6:$K$71,MATCH(U$7,SEMANAS!$B$6:$B$71,0)),0)</f>
        <v>0</v>
      </c>
      <c r="V45" s="18" t="n">
        <f aca="false">IFERROR(V9/INDEX(SEMANAS!$K$6:$K$71,MATCH(V$7,SEMANAS!$B$6:$B$71,0)),0)</f>
        <v>0</v>
      </c>
      <c r="W45" s="18" t="n">
        <f aca="false">IFERROR(W9/INDEX(SEMANAS!$K$6:$K$71,MATCH(W$7,SEMANAS!$B$6:$B$71,0)),0)</f>
        <v>0</v>
      </c>
      <c r="X45" s="18" t="n">
        <f aca="false">IFERROR(X9/INDEX(SEMANAS!$K$6:$K$71,MATCH(X$7,SEMANAS!$B$6:$B$71,0)),0)</f>
        <v>0</v>
      </c>
      <c r="Y45" s="18" t="n">
        <f aca="false">IFERROR(Y9/INDEX(SEMANAS!$K$6:$K$71,MATCH(Y$7,SEMANAS!$B$6:$B$71,0)),0)</f>
        <v>0</v>
      </c>
      <c r="Z45" s="18" t="n">
        <f aca="false">IFERROR(Z9/INDEX(SEMANAS!$K$6:$K$71,MATCH(Z$7,SEMANAS!$B$6:$B$71,0)),0)</f>
        <v>1.39742025094056</v>
      </c>
      <c r="AA45" s="18" t="n">
        <f aca="false">IFERROR(AA9/INDEX(SEMANAS!$K$6:$K$71,MATCH(AA$7,SEMANAS!$B$6:$B$71,0)),0)</f>
        <v>30.4979036790258</v>
      </c>
      <c r="AB45" s="18" t="n">
        <f aca="false">IFERROR(AB9/INDEX(SEMANAS!$K$6:$K$71,MATCH(AB$7,SEMANAS!$B$6:$B$71,0)),0)</f>
        <v>46.9188907563025</v>
      </c>
      <c r="AC45" s="18" t="n">
        <f aca="false">IFERROR(AC9/INDEX(SEMANAS!$K$6:$K$71,MATCH(AC$7,SEMANAS!$B$6:$B$71,0)),0)</f>
        <v>57.9619271708683</v>
      </c>
      <c r="AD45" s="18" t="n">
        <f aca="false">IFERROR(AD9/INDEX(SEMANAS!$K$6:$K$71,MATCH(AD$7,SEMANAS!$B$6:$B$71,0)),0)</f>
        <v>57.9619271708683</v>
      </c>
      <c r="AE45" s="18" t="n">
        <f aca="false">IFERROR(AE9/INDEX(SEMANAS!$K$6:$K$71,MATCH(AE$7,SEMANAS!$B$6:$B$71,0)),0)</f>
        <v>57.9619271708683</v>
      </c>
      <c r="AF45" s="18" t="n">
        <f aca="false">IFERROR(AF9/INDEX(SEMANAS!$K$6:$K$71,MATCH(AF$7,SEMANAS!$B$6:$B$71,0)),0)</f>
        <v>57.9619271708683</v>
      </c>
      <c r="AG45" s="18" t="n">
        <f aca="false">IFERROR(AG9/INDEX(SEMANAS!$K$6:$K$71,MATCH(AG$7,SEMANAS!$B$6:$B$71,0)),0)</f>
        <v>160.511048567575</v>
      </c>
      <c r="AH45" s="18" t="n">
        <f aca="false">IFERROR(AH9/INDEX(SEMANAS!$K$6:$K$71,MATCH(AH$7,SEMANAS!$B$6:$B$71,0)),0)</f>
        <v>300.38825708061</v>
      </c>
      <c r="AI45" s="18" t="n">
        <f aca="false">IFERROR(AI9/INDEX(SEMANAS!$K$6:$K$71,MATCH(AI$7,SEMANAS!$B$6:$B$71,0)),0)</f>
        <v>329.608300653595</v>
      </c>
      <c r="AJ45" s="18" t="n">
        <f aca="false">IFERROR(AJ9/INDEX(SEMANAS!$K$6:$K$71,MATCH(AJ$7,SEMANAS!$B$6:$B$71,0)),0)</f>
        <v>358.82834422658</v>
      </c>
      <c r="AK45" s="18" t="n">
        <f aca="false">IFERROR(AK9/INDEX(SEMANAS!$K$6:$K$71,MATCH(AK$7,SEMANAS!$B$6:$B$71,0)),0)</f>
        <v>394.680133899714</v>
      </c>
      <c r="AL45" s="18" t="n">
        <f aca="false">IFERROR(AL9/INDEX(SEMANAS!$K$6:$K$71,MATCH(AL$7,SEMANAS!$B$6:$B$71,0)),0)</f>
        <v>469.888080155139</v>
      </c>
      <c r="AM45" s="18" t="n">
        <f aca="false">IFERROR(AM9/INDEX(SEMANAS!$K$6:$K$71,MATCH(AM$7,SEMANAS!$B$6:$B$71,0)),0)</f>
        <v>453.286873518638</v>
      </c>
      <c r="AN45" s="18" t="n">
        <f aca="false">IFERROR(AN9/INDEX(SEMANAS!$K$6:$K$71,MATCH(AN$7,SEMANAS!$B$6:$B$71,0)),0)</f>
        <v>436.685666882138</v>
      </c>
      <c r="AO45" s="18" t="n">
        <f aca="false">IFERROR(AO9/INDEX(SEMANAS!$K$6:$K$71,MATCH(AO$7,SEMANAS!$B$6:$B$71,0)),0)</f>
        <v>420.084460245637</v>
      </c>
      <c r="AP45" s="18" t="n">
        <f aca="false">IFERROR(AP9/INDEX(SEMANAS!$K$6:$K$71,MATCH(AP$7,SEMANAS!$B$6:$B$71,0)),0)</f>
        <v>409.147644904116</v>
      </c>
      <c r="AQ45" s="18" t="n">
        <f aca="false">IFERROR(AQ9/INDEX(SEMANAS!$K$6:$K$71,MATCH(AQ$7,SEMANAS!$B$6:$B$71,0)),0)</f>
        <v>394.281037132802</v>
      </c>
      <c r="AR45" s="18" t="n">
        <f aca="false">IFERROR(AR9/INDEX(SEMANAS!$K$6:$K$71,MATCH(AR$7,SEMANAS!$B$6:$B$71,0)),0)</f>
        <v>378.470364145658</v>
      </c>
      <c r="AS45" s="18" t="n">
        <f aca="false">IFERROR(AS9/INDEX(SEMANAS!$K$6:$K$71,MATCH(AS$7,SEMANAS!$B$6:$B$71,0)),0)</f>
        <v>240.53939869281</v>
      </c>
      <c r="AT45" s="18" t="n">
        <f aca="false">IFERROR(AT9/INDEX(SEMANAS!$K$6:$K$71,MATCH(AT$7,SEMANAS!$B$6:$B$71,0)),0)</f>
        <v>232.868242763772</v>
      </c>
      <c r="AU45" s="18" t="n">
        <f aca="false">IFERROR(AU9/INDEX(SEMANAS!$K$6:$K$71,MATCH(AU$7,SEMANAS!$B$6:$B$71,0)),0)</f>
        <v>220.847176470588</v>
      </c>
      <c r="AV45" s="18" t="n">
        <f aca="false">IFERROR(AV9/INDEX(SEMANAS!$K$6:$K$71,MATCH(AV$7,SEMANAS!$B$6:$B$71,0)),0)</f>
        <v>200.115555555556</v>
      </c>
      <c r="AW45" s="18" t="n">
        <f aca="false">IFERROR(AW9/INDEX(SEMANAS!$K$6:$K$71,MATCH(AW$7,SEMANAS!$B$6:$B$71,0)),0)</f>
        <v>179.383934640523</v>
      </c>
      <c r="AX45" s="18" t="n">
        <f aca="false">IFERROR(AX9/INDEX(SEMANAS!$K$6:$K$71,MATCH(AX$7,SEMANAS!$B$6:$B$71,0)),0)</f>
        <v>163.144448179272</v>
      </c>
      <c r="AY45" s="18" t="n">
        <f aca="false">IFERROR(AY9/INDEX(SEMANAS!$K$6:$K$71,MATCH(AY$7,SEMANAS!$B$6:$B$71,0)),0)</f>
        <v>0</v>
      </c>
      <c r="AZ45" s="18" t="n">
        <f aca="false">IFERROR(AZ9/INDEX(SEMANAS!$K$6:$K$71,MATCH(AZ$7,SEMANAS!$B$6:$B$71,0)),0)</f>
        <v>0</v>
      </c>
      <c r="BA45" s="18" t="n">
        <f aca="false">IFERROR(BA9/INDEX(SEMANAS!$K$6:$K$71,MATCH(BA$7,SEMANAS!$B$6:$B$71,0)),0)</f>
        <v>0</v>
      </c>
      <c r="BB45" s="18" t="n">
        <f aca="false">IFERROR(BB9/INDEX(SEMANAS!$K$6:$K$71,MATCH(BB$7,SEMANAS!$B$6:$B$71,0)),0)</f>
        <v>0</v>
      </c>
      <c r="BC45" s="18" t="n">
        <f aca="false">IFERROR(BC9/INDEX(SEMANAS!$K$6:$K$71,MATCH(BC$7,SEMANAS!$B$6:$B$71,0)),0)</f>
        <v>0</v>
      </c>
      <c r="BD45" s="18" t="n">
        <f aca="false">IFERROR(BD9/INDEX(SEMANAS!$K$6:$K$71,MATCH(BD$7,SEMANAS!$B$6:$B$71,0)),0)</f>
        <v>0</v>
      </c>
      <c r="BE45" s="18" t="n">
        <f aca="false">IFERROR(BE9/INDEX(SEMANAS!$K$6:$K$71,MATCH(BE$7,SEMANAS!$B$6:$B$71,0)),0)</f>
        <v>0</v>
      </c>
      <c r="BF45" s="18" t="n">
        <f aca="false">IFERROR(BF9/INDEX(SEMANAS!$K$6:$K$71,MATCH(BF$7,SEMANAS!$B$6:$B$71,0)),0)</f>
        <v>0</v>
      </c>
      <c r="BG45" s="18" t="n">
        <f aca="false">IFERROR(BG9/INDEX(SEMANAS!$K$6:$K$71,MATCH(BG$7,SEMANAS!$B$6:$B$71,0)),0)</f>
        <v>0</v>
      </c>
      <c r="BH45" s="18" t="n">
        <f aca="false">IFERROR(BH9/INDEX(SEMANAS!$K$6:$K$71,MATCH(BH$7,SEMANAS!$B$6:$B$71,0)),0)</f>
        <v>0</v>
      </c>
      <c r="BI45" s="18" t="n">
        <f aca="false">IFERROR(BI9/INDEX(SEMANAS!$K$6:$K$71,MATCH(BI$7,SEMANAS!$B$6:$B$71,0)),0)</f>
        <v>0</v>
      </c>
      <c r="BJ45" s="18" t="n">
        <f aca="false">IFERROR(BJ9/INDEX(SEMANAS!$K$6:$K$71,MATCH(BJ$7,SEMANAS!$B$6:$B$71,0)),0)</f>
        <v>0</v>
      </c>
      <c r="BK45" s="18" t="n">
        <f aca="false">IFERROR(BK9/INDEX(SEMANAS!$K$6:$K$71,MATCH(BK$7,SEMANAS!$B$6:$B$71,0)),0)</f>
        <v>0</v>
      </c>
      <c r="BL45" s="18" t="n">
        <f aca="false">IFERROR(BL9/INDEX(SEMANAS!$K$6:$K$71,MATCH(BL$7,SEMANAS!$B$6:$B$71,0)),0)</f>
        <v>0</v>
      </c>
      <c r="BM45" s="18" t="n">
        <f aca="false">IFERROR(BM9/INDEX(SEMANAS!$K$6:$K$71,MATCH(BM$7,SEMANAS!$B$6:$B$71,0)),0)</f>
        <v>0</v>
      </c>
      <c r="BN45" s="18" t="n">
        <f aca="false">IFERROR(BN9/INDEX(SEMANAS!$K$6:$K$71,MATCH(BN$7,SEMANAS!$B$6:$B$71,0)),0)</f>
        <v>0</v>
      </c>
      <c r="BO45" s="18" t="n">
        <f aca="false">IFERROR(BO9/INDEX(SEMANAS!$K$6:$K$71,MATCH(BO$7,SEMANAS!$B$6:$B$71,0)),0)</f>
        <v>0</v>
      </c>
      <c r="BP45" s="18" t="n">
        <f aca="false">IFERROR(BP9/INDEX(SEMANAS!$K$6:$K$71,MATCH(BP$7,SEMANAS!$B$6:$B$71,0)),0)</f>
        <v>0</v>
      </c>
      <c r="BQ45" s="18" t="n">
        <f aca="false">MAX(C45:BP45)</f>
        <v>469.888080155139</v>
      </c>
    </row>
    <row r="46" customFormat="false" ht="15" hidden="false" customHeight="false" outlineLevel="0" collapsed="false">
      <c r="B46" s="15" t="s">
        <v>130</v>
      </c>
      <c r="C46" s="18" t="n">
        <f aca="false">IFERROR(C10/INDEX(SEMANAS!$K$6:$K$71,MATCH(C$7,SEMANAS!$B$6:$B$71,0)),0)</f>
        <v>0</v>
      </c>
      <c r="D46" s="18" t="n">
        <f aca="false">IFERROR(D10/INDEX(SEMANAS!$K$6:$K$71,MATCH(D$7,SEMANAS!$B$6:$B$71,0)),0)</f>
        <v>0</v>
      </c>
      <c r="E46" s="18" t="n">
        <f aca="false">IFERROR(E10/INDEX(SEMANAS!$K$6:$K$71,MATCH(E$7,SEMANAS!$B$6:$B$71,0)),0)</f>
        <v>0</v>
      </c>
      <c r="F46" s="18" t="n">
        <f aca="false">IFERROR(F10/INDEX(SEMANAS!$K$6:$K$71,MATCH(F$7,SEMANAS!$B$6:$B$71,0)),0)</f>
        <v>0</v>
      </c>
      <c r="G46" s="18" t="n">
        <f aca="false">IFERROR(G10/INDEX(SEMANAS!$K$6:$K$71,MATCH(G$7,SEMANAS!$B$6:$B$71,0)),0)</f>
        <v>17.9814389755902</v>
      </c>
      <c r="H46" s="18" t="n">
        <f aca="false">IFERROR(H10/INDEX(SEMANAS!$K$6:$K$71,MATCH(H$7,SEMANAS!$B$6:$B$71,0)),0)</f>
        <v>0</v>
      </c>
      <c r="I46" s="18" t="n">
        <f aca="false">IFERROR(I10/INDEX(SEMANAS!$K$6:$K$71,MATCH(I$7,SEMANAS!$B$6:$B$71,0)),0)</f>
        <v>0</v>
      </c>
      <c r="J46" s="18" t="n">
        <f aca="false">IFERROR(J10/INDEX(SEMANAS!$K$6:$K$71,MATCH(J$7,SEMANAS!$B$6:$B$71,0)),0)</f>
        <v>3.68767139473158</v>
      </c>
      <c r="K46" s="18" t="n">
        <f aca="false">IFERROR(K10/INDEX(SEMANAS!$K$6:$K$71,MATCH(K$7,SEMANAS!$B$6:$B$71,0)),0)</f>
        <v>83.0011851420597</v>
      </c>
      <c r="L46" s="18" t="n">
        <f aca="false">IFERROR(L10/INDEX(SEMANAS!$K$6:$K$71,MATCH(L$7,SEMANAS!$B$6:$B$71,0)),0)</f>
        <v>0</v>
      </c>
      <c r="M46" s="18" t="n">
        <f aca="false">IFERROR(M10/INDEX(SEMANAS!$K$6:$K$71,MATCH(M$7,SEMANAS!$B$6:$B$71,0)),0)</f>
        <v>31.2852983088287</v>
      </c>
      <c r="N46" s="18" t="n">
        <f aca="false">IFERROR(N10/INDEX(SEMANAS!$K$6:$K$71,MATCH(N$7,SEMANAS!$B$6:$B$71,0)),0)</f>
        <v>33.1295350140056</v>
      </c>
      <c r="O46" s="18" t="n">
        <f aca="false">IFERROR(O10/INDEX(SEMANAS!$K$6:$K$71,MATCH(O$7,SEMANAS!$B$6:$B$71,0)),0)</f>
        <v>33.1295350140056</v>
      </c>
      <c r="P46" s="18" t="n">
        <f aca="false">IFERROR(P10/INDEX(SEMANAS!$K$6:$K$71,MATCH(P$7,SEMANAS!$B$6:$B$71,0)),0)</f>
        <v>0</v>
      </c>
      <c r="Q46" s="18" t="n">
        <f aca="false">IFERROR(Q10/INDEX(SEMANAS!$K$6:$K$71,MATCH(Q$7,SEMANAS!$B$6:$B$71,0)),0)</f>
        <v>0</v>
      </c>
      <c r="R46" s="18" t="n">
        <f aca="false">IFERROR(R10/INDEX(SEMANAS!$K$6:$K$71,MATCH(R$7,SEMANAS!$B$6:$B$71,0)),0)</f>
        <v>0</v>
      </c>
      <c r="S46" s="18" t="n">
        <f aca="false">IFERROR(S10/INDEX(SEMANAS!$K$6:$K$71,MATCH(S$7,SEMANAS!$B$6:$B$71,0)),0)</f>
        <v>0</v>
      </c>
      <c r="T46" s="18" t="n">
        <f aca="false">IFERROR(T10/INDEX(SEMANAS!$K$6:$K$71,MATCH(T$7,SEMANAS!$B$6:$B$71,0)),0)</f>
        <v>3.60890707789473</v>
      </c>
      <c r="U46" s="18" t="n">
        <f aca="false">IFERROR(U10/INDEX(SEMANAS!$K$6:$K$71,MATCH(U$7,SEMANAS!$B$6:$B$71,0)),0)</f>
        <v>0</v>
      </c>
      <c r="V46" s="18" t="n">
        <f aca="false">IFERROR(V10/INDEX(SEMANAS!$K$6:$K$71,MATCH(V$7,SEMANAS!$B$6:$B$71,0)),0)</f>
        <v>0</v>
      </c>
      <c r="W46" s="18" t="n">
        <f aca="false">IFERROR(W10/INDEX(SEMANAS!$K$6:$K$71,MATCH(W$7,SEMANAS!$B$6:$B$71,0)),0)</f>
        <v>0</v>
      </c>
      <c r="X46" s="18" t="n">
        <f aca="false">IFERROR(X10/INDEX(SEMANAS!$K$6:$K$71,MATCH(X$7,SEMANAS!$B$6:$B$71,0)),0)</f>
        <v>0</v>
      </c>
      <c r="Y46" s="18" t="n">
        <f aca="false">IFERROR(Y10/INDEX(SEMANAS!$K$6:$K$71,MATCH(Y$7,SEMANAS!$B$6:$B$71,0)),0)</f>
        <v>0</v>
      </c>
      <c r="Z46" s="18" t="n">
        <f aca="false">IFERROR(Z10/INDEX(SEMANAS!$K$6:$K$71,MATCH(Z$7,SEMANAS!$B$6:$B$71,0)),0)</f>
        <v>0</v>
      </c>
      <c r="AA46" s="18" t="n">
        <f aca="false">IFERROR(AA10/INDEX(SEMANAS!$K$6:$K$71,MATCH(AA$7,SEMANAS!$B$6:$B$71,0)),0)</f>
        <v>0</v>
      </c>
      <c r="AB46" s="18" t="n">
        <f aca="false">IFERROR(AB10/INDEX(SEMANAS!$K$6:$K$71,MATCH(AB$7,SEMANAS!$B$6:$B$71,0)),0)</f>
        <v>0</v>
      </c>
      <c r="AC46" s="18" t="n">
        <f aca="false">IFERROR(AC10/INDEX(SEMANAS!$K$6:$K$71,MATCH(AC$7,SEMANAS!$B$6:$B$71,0)),0)</f>
        <v>0</v>
      </c>
      <c r="AD46" s="18" t="n">
        <f aca="false">IFERROR(AD10/INDEX(SEMANAS!$K$6:$K$71,MATCH(AD$7,SEMANAS!$B$6:$B$71,0)),0)</f>
        <v>0</v>
      </c>
      <c r="AE46" s="18" t="n">
        <f aca="false">IFERROR(AE10/INDEX(SEMANAS!$K$6:$K$71,MATCH(AE$7,SEMANAS!$B$6:$B$71,0)),0)</f>
        <v>0</v>
      </c>
      <c r="AF46" s="18" t="n">
        <f aca="false">IFERROR(AF10/INDEX(SEMANAS!$K$6:$K$71,MATCH(AF$7,SEMANAS!$B$6:$B$71,0)),0)</f>
        <v>0</v>
      </c>
      <c r="AG46" s="18" t="n">
        <f aca="false">IFERROR(AG10/INDEX(SEMANAS!$K$6:$K$71,MATCH(AG$7,SEMANAS!$B$6:$B$71,0)),0)</f>
        <v>52.6295019404211</v>
      </c>
      <c r="AH46" s="18" t="n">
        <f aca="false">IFERROR(AH10/INDEX(SEMANAS!$K$6:$K$71,MATCH(AH$7,SEMANAS!$B$6:$B$71,0)),0)</f>
        <v>217.772718147614</v>
      </c>
      <c r="AI46" s="18" t="n">
        <f aca="false">IFERROR(AI10/INDEX(SEMANAS!$K$6:$K$71,MATCH(AI$7,SEMANAS!$B$6:$B$71,0)),0)</f>
        <v>272.845464405881</v>
      </c>
      <c r="AJ46" s="18" t="n">
        <f aca="false">IFERROR(AJ10/INDEX(SEMANAS!$K$6:$K$71,MATCH(AJ$7,SEMANAS!$B$6:$B$71,0)),0)</f>
        <v>327.918210664147</v>
      </c>
      <c r="AK46" s="18" t="n">
        <f aca="false">IFERROR(AK10/INDEX(SEMANAS!$K$6:$K$71,MATCH(AK$7,SEMANAS!$B$6:$B$71,0)),0)</f>
        <v>402.793730292117</v>
      </c>
      <c r="AL46" s="18" t="n">
        <f aca="false">IFERROR(AL10/INDEX(SEMANAS!$K$6:$K$71,MATCH(AL$7,SEMANAS!$B$6:$B$71,0)),0)</f>
        <v>492.621781512605</v>
      </c>
      <c r="AM46" s="18" t="n">
        <f aca="false">IFERROR(AM10/INDEX(SEMANAS!$K$6:$K$71,MATCH(AM$7,SEMANAS!$B$6:$B$71,0)),0)</f>
        <v>492.621781512605</v>
      </c>
      <c r="AN46" s="18" t="n">
        <f aca="false">IFERROR(AN10/INDEX(SEMANAS!$K$6:$K$71,MATCH(AN$7,SEMANAS!$B$6:$B$71,0)),0)</f>
        <v>492.621781512605</v>
      </c>
      <c r="AO46" s="18" t="n">
        <f aca="false">IFERROR(AO10/INDEX(SEMANAS!$K$6:$K$71,MATCH(AO$7,SEMANAS!$B$6:$B$71,0)),0)</f>
        <v>492.621781512605</v>
      </c>
      <c r="AP46" s="18" t="n">
        <f aca="false">IFERROR(AP10/INDEX(SEMANAS!$K$6:$K$71,MATCH(AP$7,SEMANAS!$B$6:$B$71,0)),0)</f>
        <v>494.331284513806</v>
      </c>
      <c r="AQ46" s="18" t="n">
        <f aca="false">IFERROR(AQ10/INDEX(SEMANAS!$K$6:$K$71,MATCH(AQ$7,SEMANAS!$B$6:$B$71,0)),0)</f>
        <v>494.616201680672</v>
      </c>
      <c r="AR46" s="18" t="n">
        <f aca="false">IFERROR(AR10/INDEX(SEMANAS!$K$6:$K$71,MATCH(AR$7,SEMANAS!$B$6:$B$71,0)),0)</f>
        <v>494.616201680672</v>
      </c>
      <c r="AS46" s="18" t="n">
        <f aca="false">IFERROR(AS10/INDEX(SEMANAS!$K$6:$K$71,MATCH(AS$7,SEMANAS!$B$6:$B$71,0)),0)</f>
        <v>494.616201680672</v>
      </c>
      <c r="AT46" s="18" t="n">
        <f aca="false">IFERROR(AT10/INDEX(SEMANAS!$K$6:$K$71,MATCH(AT$7,SEMANAS!$B$6:$B$71,0)),0)</f>
        <v>498.588575497598</v>
      </c>
      <c r="AU46" s="18" t="n">
        <f aca="false">IFERROR(AU10/INDEX(SEMANAS!$K$6:$K$71,MATCH(AU$7,SEMANAS!$B$6:$B$71,0)),0)</f>
        <v>483.374961266558</v>
      </c>
      <c r="AV46" s="18" t="n">
        <f aca="false">IFERROR(AV10/INDEX(SEMANAS!$K$6:$K$71,MATCH(AV$7,SEMANAS!$B$6:$B$71,0)),0)</f>
        <v>449.779493335796</v>
      </c>
      <c r="AW46" s="18" t="n">
        <f aca="false">IFERROR(AW10/INDEX(SEMANAS!$K$6:$K$71,MATCH(AW$7,SEMANAS!$B$6:$B$71,0)),0)</f>
        <v>416.184025405034</v>
      </c>
      <c r="AX46" s="18" t="n">
        <f aca="false">IFERROR(AX10/INDEX(SEMANAS!$K$6:$K$71,MATCH(AX$7,SEMANAS!$B$6:$B$71,0)),0)</f>
        <v>393.533342561933</v>
      </c>
      <c r="AY46" s="18" t="n">
        <f aca="false">IFERROR(AY10/INDEX(SEMANAS!$K$6:$K$71,MATCH(AY$7,SEMANAS!$B$6:$B$71,0)),0)</f>
        <v>418.574975590236</v>
      </c>
      <c r="AZ46" s="18" t="n">
        <f aca="false">IFERROR(AZ10/INDEX(SEMANAS!$K$6:$K$71,MATCH(AZ$7,SEMANAS!$B$6:$B$71,0)),0)</f>
        <v>377.94789809257</v>
      </c>
      <c r="BA46" s="18" t="n">
        <f aca="false">IFERROR(BA10/INDEX(SEMANAS!$K$6:$K$71,MATCH(BA$7,SEMANAS!$B$6:$B$71,0)),0)</f>
        <v>337.320820594905</v>
      </c>
      <c r="BB46" s="18" t="n">
        <f aca="false">IFERROR(BB10/INDEX(SEMANAS!$K$6:$K$71,MATCH(BB$7,SEMANAS!$B$6:$B$71,0)),0)</f>
        <v>0</v>
      </c>
      <c r="BC46" s="18" t="n">
        <f aca="false">IFERROR(BC10/INDEX(SEMANAS!$K$6:$K$71,MATCH(BC$7,SEMANAS!$B$6:$B$71,0)),0)</f>
        <v>0</v>
      </c>
      <c r="BD46" s="18" t="n">
        <f aca="false">IFERROR(BD10/INDEX(SEMANAS!$K$6:$K$71,MATCH(BD$7,SEMANAS!$B$6:$B$71,0)),0)</f>
        <v>0</v>
      </c>
      <c r="BE46" s="18" t="n">
        <f aca="false">IFERROR(BE10/INDEX(SEMANAS!$K$6:$K$71,MATCH(BE$7,SEMANAS!$B$6:$B$71,0)),0)</f>
        <v>0</v>
      </c>
      <c r="BF46" s="18" t="n">
        <f aca="false">IFERROR(BF10/INDEX(SEMANAS!$K$6:$K$71,MATCH(BF$7,SEMANAS!$B$6:$B$71,0)),0)</f>
        <v>0</v>
      </c>
      <c r="BG46" s="18" t="n">
        <f aca="false">IFERROR(BG10/INDEX(SEMANAS!$K$6:$K$71,MATCH(BG$7,SEMANAS!$B$6:$B$71,0)),0)</f>
        <v>0</v>
      </c>
      <c r="BH46" s="18" t="n">
        <f aca="false">IFERROR(BH10/INDEX(SEMANAS!$K$6:$K$71,MATCH(BH$7,SEMANAS!$B$6:$B$71,0)),0)</f>
        <v>0</v>
      </c>
      <c r="BI46" s="18" t="n">
        <f aca="false">IFERROR(BI10/INDEX(SEMANAS!$K$6:$K$71,MATCH(BI$7,SEMANAS!$B$6:$B$71,0)),0)</f>
        <v>0</v>
      </c>
      <c r="BJ46" s="18" t="n">
        <f aca="false">IFERROR(BJ10/INDEX(SEMANAS!$K$6:$K$71,MATCH(BJ$7,SEMANAS!$B$6:$B$71,0)),0)</f>
        <v>0</v>
      </c>
      <c r="BK46" s="18" t="n">
        <f aca="false">IFERROR(BK10/INDEX(SEMANAS!$K$6:$K$71,MATCH(BK$7,SEMANAS!$B$6:$B$71,0)),0)</f>
        <v>0</v>
      </c>
      <c r="BL46" s="18" t="n">
        <f aca="false">IFERROR(BL10/INDEX(SEMANAS!$K$6:$K$71,MATCH(BL$7,SEMANAS!$B$6:$B$71,0)),0)</f>
        <v>0</v>
      </c>
      <c r="BM46" s="18" t="n">
        <f aca="false">IFERROR(BM10/INDEX(SEMANAS!$K$6:$K$71,MATCH(BM$7,SEMANAS!$B$6:$B$71,0)),0)</f>
        <v>0</v>
      </c>
      <c r="BN46" s="18" t="n">
        <f aca="false">IFERROR(BN10/INDEX(SEMANAS!$K$6:$K$71,MATCH(BN$7,SEMANAS!$B$6:$B$71,0)),0)</f>
        <v>0</v>
      </c>
      <c r="BO46" s="18" t="n">
        <f aca="false">IFERROR(BO10/INDEX(SEMANAS!$K$6:$K$71,MATCH(BO$7,SEMANAS!$B$6:$B$71,0)),0)</f>
        <v>0</v>
      </c>
      <c r="BP46" s="18" t="n">
        <f aca="false">IFERROR(BP10/INDEX(SEMANAS!$K$6:$K$71,MATCH(BP$7,SEMANAS!$B$6:$B$71,0)),0)</f>
        <v>0</v>
      </c>
      <c r="BQ46" s="18" t="n">
        <f aca="false">MAX(C46:BP46)</f>
        <v>498.588575497598</v>
      </c>
    </row>
    <row r="47" customFormat="false" ht="15" hidden="false" customHeight="false" outlineLevel="0" collapsed="false">
      <c r="B47" s="15" t="s">
        <v>131</v>
      </c>
      <c r="C47" s="18" t="n">
        <f aca="false">IFERROR(C11/INDEX(SEMANAS!$K$6:$K$71,MATCH(C$7,SEMANAS!$B$6:$B$71,0)),0)</f>
        <v>312.599619047619</v>
      </c>
      <c r="D47" s="18" t="n">
        <f aca="false">IFERROR(D11/INDEX(SEMANAS!$K$6:$K$71,MATCH(D$7,SEMANAS!$B$6:$B$71,0)),0)</f>
        <v>329.081736694678</v>
      </c>
      <c r="E47" s="18" t="n">
        <f aca="false">IFERROR(E11/INDEX(SEMANAS!$K$6:$K$71,MATCH(E$7,SEMANAS!$B$6:$B$71,0)),0)</f>
        <v>329.081736694678</v>
      </c>
      <c r="F47" s="18" t="n">
        <f aca="false">IFERROR(F11/INDEX(SEMANAS!$K$6:$K$71,MATCH(F$7,SEMANAS!$B$6:$B$71,0)),0)</f>
        <v>329.081736694678</v>
      </c>
      <c r="G47" s="18" t="n">
        <f aca="false">IFERROR(G11/INDEX(SEMANAS!$K$6:$K$71,MATCH(G$7,SEMANAS!$B$6:$B$71,0)),0)</f>
        <v>267.29049859944</v>
      </c>
      <c r="H47" s="18" t="n">
        <f aca="false">IFERROR(H11/INDEX(SEMANAS!$K$6:$K$71,MATCH(H$7,SEMANAS!$B$6:$B$71,0)),0)</f>
        <v>187.470072829132</v>
      </c>
      <c r="I47" s="18" t="n">
        <f aca="false">IFERROR(I11/INDEX(SEMANAS!$K$6:$K$71,MATCH(I$7,SEMANAS!$B$6:$B$71,0)),0)</f>
        <v>187.470072829132</v>
      </c>
      <c r="J47" s="18" t="n">
        <f aca="false">IFERROR(J11/INDEX(SEMANAS!$K$6:$K$71,MATCH(J$7,SEMANAS!$B$6:$B$71,0)),0)</f>
        <v>231.980290162747</v>
      </c>
      <c r="K47" s="18" t="n">
        <f aca="false">IFERROR(K11/INDEX(SEMANAS!$K$6:$K$71,MATCH(K$7,SEMANAS!$B$6:$B$71,0)),0)</f>
        <v>276.200810095951</v>
      </c>
      <c r="L47" s="18" t="n">
        <f aca="false">IFERROR(L11/INDEX(SEMANAS!$K$6:$K$71,MATCH(L$7,SEMANAS!$B$6:$B$71,0)),0)</f>
        <v>0</v>
      </c>
      <c r="M47" s="18" t="n">
        <f aca="false">IFERROR(M11/INDEX(SEMANAS!$K$6:$K$71,MATCH(M$7,SEMANAS!$B$6:$B$71,0)),0)</f>
        <v>35.2451484593837</v>
      </c>
      <c r="N47" s="18" t="n">
        <f aca="false">IFERROR(N11/INDEX(SEMANAS!$K$6:$K$71,MATCH(N$7,SEMANAS!$B$6:$B$71,0)),0)</f>
        <v>35.2451484593837</v>
      </c>
      <c r="O47" s="18" t="n">
        <f aca="false">IFERROR(O11/INDEX(SEMANAS!$K$6:$K$71,MATCH(O$7,SEMANAS!$B$6:$B$71,0)),0)</f>
        <v>35.2451484593837</v>
      </c>
      <c r="P47" s="18" t="n">
        <f aca="false">IFERROR(P11/INDEX(SEMANAS!$K$6:$K$71,MATCH(P$7,SEMANAS!$B$6:$B$71,0)),0)</f>
        <v>0</v>
      </c>
      <c r="Q47" s="18" t="n">
        <f aca="false">IFERROR(Q11/INDEX(SEMANAS!$K$6:$K$71,MATCH(Q$7,SEMANAS!$B$6:$B$71,0)),0)</f>
        <v>0</v>
      </c>
      <c r="R47" s="18" t="n">
        <f aca="false">IFERROR(R11/INDEX(SEMANAS!$K$6:$K$71,MATCH(R$7,SEMANAS!$B$6:$B$71,0)),0)</f>
        <v>0</v>
      </c>
      <c r="S47" s="18" t="n">
        <f aca="false">IFERROR(S11/INDEX(SEMANAS!$K$6:$K$71,MATCH(S$7,SEMANAS!$B$6:$B$71,0)),0)</f>
        <v>0</v>
      </c>
      <c r="T47" s="18" t="n">
        <f aca="false">IFERROR(T11/INDEX(SEMANAS!$K$6:$K$71,MATCH(T$7,SEMANAS!$B$6:$B$71,0)),0)</f>
        <v>0</v>
      </c>
      <c r="U47" s="18" t="n">
        <f aca="false">IFERROR(U11/INDEX(SEMANAS!$K$6:$K$71,MATCH(U$7,SEMANAS!$B$6:$B$71,0)),0)</f>
        <v>0</v>
      </c>
      <c r="V47" s="18" t="n">
        <f aca="false">IFERROR(V11/INDEX(SEMANAS!$K$6:$K$71,MATCH(V$7,SEMANAS!$B$6:$B$71,0)),0)</f>
        <v>0</v>
      </c>
      <c r="W47" s="18" t="n">
        <f aca="false">IFERROR(W11/INDEX(SEMANAS!$K$6:$K$71,MATCH(W$7,SEMANAS!$B$6:$B$71,0)),0)</f>
        <v>0</v>
      </c>
      <c r="X47" s="18" t="n">
        <f aca="false">IFERROR(X11/INDEX(SEMANAS!$K$6:$K$71,MATCH(X$7,SEMANAS!$B$6:$B$71,0)),0)</f>
        <v>0</v>
      </c>
      <c r="Y47" s="18" t="n">
        <f aca="false">IFERROR(Y11/INDEX(SEMANAS!$K$6:$K$71,MATCH(Y$7,SEMANAS!$B$6:$B$71,0)),0)</f>
        <v>0</v>
      </c>
      <c r="Z47" s="18" t="n">
        <f aca="false">IFERROR(Z11/INDEX(SEMANAS!$K$6:$K$71,MATCH(Z$7,SEMANAS!$B$6:$B$71,0)),0)</f>
        <v>12.7080391383377</v>
      </c>
      <c r="AA47" s="18" t="n">
        <f aca="false">IFERROR(AA11/INDEX(SEMANAS!$K$6:$K$71,MATCH(AA$7,SEMANAS!$B$6:$B$71,0)),0)</f>
        <v>80.68247958276</v>
      </c>
      <c r="AB47" s="18" t="n">
        <f aca="false">IFERROR(AB11/INDEX(SEMANAS!$K$6:$K$71,MATCH(AB$7,SEMANAS!$B$6:$B$71,0)),0)</f>
        <v>137.843270968348</v>
      </c>
      <c r="AC47" s="18" t="n">
        <f aca="false">IFERROR(AC11/INDEX(SEMANAS!$K$6:$K$71,MATCH(AC$7,SEMANAS!$B$6:$B$71,0)),0)</f>
        <v>190.574599439776</v>
      </c>
      <c r="AD47" s="18" t="n">
        <f aca="false">IFERROR(AD11/INDEX(SEMANAS!$K$6:$K$71,MATCH(AD$7,SEMANAS!$B$6:$B$71,0)),0)</f>
        <v>190.574599439776</v>
      </c>
      <c r="AE47" s="18" t="n">
        <f aca="false">IFERROR(AE11/INDEX(SEMANAS!$K$6:$K$71,MATCH(AE$7,SEMANAS!$B$6:$B$71,0)),0)</f>
        <v>190.574599439776</v>
      </c>
      <c r="AF47" s="18" t="n">
        <f aca="false">IFERROR(AF11/INDEX(SEMANAS!$K$6:$K$71,MATCH(AF$7,SEMANAS!$B$6:$B$71,0)),0)</f>
        <v>190.574599439776</v>
      </c>
      <c r="AG47" s="18" t="n">
        <f aca="false">IFERROR(AG11/INDEX(SEMANAS!$K$6:$K$71,MATCH(AG$7,SEMANAS!$B$6:$B$71,0)),0)</f>
        <v>498.050948572284</v>
      </c>
      <c r="AH47" s="18" t="n">
        <f aca="false">IFERROR(AH11/INDEX(SEMANAS!$K$6:$K$71,MATCH(AH$7,SEMANAS!$B$6:$B$71,0)),0)</f>
        <v>854.696408783105</v>
      </c>
      <c r="AI47" s="18" t="n">
        <f aca="false">IFERROR(AI11/INDEX(SEMANAS!$K$6:$K$71,MATCH(AI$7,SEMANAS!$B$6:$B$71,0)),0)</f>
        <v>914.494168255073</v>
      </c>
      <c r="AJ47" s="18" t="n">
        <f aca="false">IFERROR(AJ11/INDEX(SEMANAS!$K$6:$K$71,MATCH(AJ$7,SEMANAS!$B$6:$B$71,0)),0)</f>
        <v>974.291927727041</v>
      </c>
      <c r="AK47" s="18" t="n">
        <f aca="false">IFERROR(AK11/INDEX(SEMANAS!$K$6:$K$71,MATCH(AK$7,SEMANAS!$B$6:$B$71,0)),0)</f>
        <v>1060.89092727201</v>
      </c>
      <c r="AL47" s="18" t="n">
        <f aca="false">IFERROR(AL11/INDEX(SEMANAS!$K$6:$K$71,MATCH(AL$7,SEMANAS!$B$6:$B$71,0)),0)</f>
        <v>1256.44059469942</v>
      </c>
      <c r="AM47" s="18" t="n">
        <f aca="false">IFERROR(AM11/INDEX(SEMANAS!$K$6:$K$71,MATCH(AM$7,SEMANAS!$B$6:$B$71,0)),0)</f>
        <v>1201.85703512174</v>
      </c>
      <c r="AN47" s="18" t="n">
        <f aca="false">IFERROR(AN11/INDEX(SEMANAS!$K$6:$K$71,MATCH(AN$7,SEMANAS!$B$6:$B$71,0)),0)</f>
        <v>1147.27347554406</v>
      </c>
      <c r="AO47" s="18" t="n">
        <f aca="false">IFERROR(AO11/INDEX(SEMANAS!$K$6:$K$71,MATCH(AO$7,SEMANAS!$B$6:$B$71,0)),0)</f>
        <v>1092.68991596639</v>
      </c>
      <c r="AP47" s="18" t="n">
        <f aca="false">IFERROR(AP11/INDEX(SEMANAS!$K$6:$K$71,MATCH(AP$7,SEMANAS!$B$6:$B$71,0)),0)</f>
        <v>1055.23425334969</v>
      </c>
      <c r="AQ47" s="18" t="n">
        <f aca="false">IFERROR(AQ11/INDEX(SEMANAS!$K$6:$K$71,MATCH(AQ$7,SEMANAS!$B$6:$B$71,0)),0)</f>
        <v>1006.10456038826</v>
      </c>
      <c r="AR47" s="18" t="n">
        <f aca="false">IFERROR(AR11/INDEX(SEMANAS!$K$6:$K$71,MATCH(AR$7,SEMANAS!$B$6:$B$71,0)),0)</f>
        <v>668.937586439704</v>
      </c>
      <c r="AS47" s="18" t="n">
        <f aca="false">IFERROR(AS11/INDEX(SEMANAS!$K$6:$K$71,MATCH(AS$7,SEMANAS!$B$6:$B$71,0)),0)</f>
        <v>642.124922502334</v>
      </c>
      <c r="AT47" s="18" t="n">
        <f aca="false">IFERROR(AT11/INDEX(SEMANAS!$K$6:$K$71,MATCH(AT$7,SEMANAS!$B$6:$B$71,0)),0)</f>
        <v>504.574383224352</v>
      </c>
      <c r="AU47" s="18" t="n">
        <f aca="false">IFERROR(AU11/INDEX(SEMANAS!$K$6:$K$71,MATCH(AU$7,SEMANAS!$B$6:$B$71,0)),0)</f>
        <v>483.95379417408</v>
      </c>
      <c r="AV47" s="18" t="n">
        <f aca="false">IFERROR(AV11/INDEX(SEMANAS!$K$6:$K$71,MATCH(AV$7,SEMANAS!$B$6:$B$71,0)),0)</f>
        <v>444.574361436883</v>
      </c>
      <c r="AW47" s="18" t="n">
        <f aca="false">IFERROR(AW11/INDEX(SEMANAS!$K$6:$K$71,MATCH(AW$7,SEMANAS!$B$6:$B$71,0)),0)</f>
        <v>405.194928699685</v>
      </c>
      <c r="AX47" s="18" t="n">
        <f aca="false">IFERROR(AX11/INDEX(SEMANAS!$K$6:$K$71,MATCH(AX$7,SEMANAS!$B$6:$B$71,0)),0)</f>
        <v>376.227167426678</v>
      </c>
      <c r="AY47" s="18" t="n">
        <f aca="false">IFERROR(AY11/INDEX(SEMANAS!$K$6:$K$71,MATCH(AY$7,SEMANAS!$B$6:$B$71,0)),0)</f>
        <v>226.344404428438</v>
      </c>
      <c r="AZ47" s="18" t="n">
        <f aca="false">IFERROR(AZ11/INDEX(SEMANAS!$K$6:$K$71,MATCH(AZ$7,SEMANAS!$B$6:$B$71,0)),0)</f>
        <v>203.748699479792</v>
      </c>
      <c r="BA47" s="18" t="n">
        <f aca="false">IFERROR(BA11/INDEX(SEMANAS!$K$6:$K$71,MATCH(BA$7,SEMANAS!$B$6:$B$71,0)),0)</f>
        <v>0</v>
      </c>
      <c r="BB47" s="18" t="n">
        <f aca="false">IFERROR(BB11/INDEX(SEMANAS!$K$6:$K$71,MATCH(BB$7,SEMANAS!$B$6:$B$71,0)),0)</f>
        <v>0</v>
      </c>
      <c r="BC47" s="18" t="n">
        <f aca="false">IFERROR(BC11/INDEX(SEMANAS!$K$6:$K$71,MATCH(BC$7,SEMANAS!$B$6:$B$71,0)),0)</f>
        <v>0</v>
      </c>
      <c r="BD47" s="18" t="n">
        <f aca="false">IFERROR(BD11/INDEX(SEMANAS!$K$6:$K$71,MATCH(BD$7,SEMANAS!$B$6:$B$71,0)),0)</f>
        <v>0</v>
      </c>
      <c r="BE47" s="18" t="n">
        <f aca="false">IFERROR(BE11/INDEX(SEMANAS!$K$6:$K$71,MATCH(BE$7,SEMANAS!$B$6:$B$71,0)),0)</f>
        <v>0</v>
      </c>
      <c r="BF47" s="18" t="n">
        <f aca="false">IFERROR(BF11/INDEX(SEMANAS!$K$6:$K$71,MATCH(BF$7,SEMANAS!$B$6:$B$71,0)),0)</f>
        <v>0</v>
      </c>
      <c r="BG47" s="18" t="n">
        <f aca="false">IFERROR(BG11/INDEX(SEMANAS!$K$6:$K$71,MATCH(BG$7,SEMANAS!$B$6:$B$71,0)),0)</f>
        <v>0</v>
      </c>
      <c r="BH47" s="18" t="n">
        <f aca="false">IFERROR(BH11/INDEX(SEMANAS!$K$6:$K$71,MATCH(BH$7,SEMANAS!$B$6:$B$71,0)),0)</f>
        <v>0</v>
      </c>
      <c r="BI47" s="18" t="n">
        <f aca="false">IFERROR(BI11/INDEX(SEMANAS!$K$6:$K$71,MATCH(BI$7,SEMANAS!$B$6:$B$71,0)),0)</f>
        <v>0</v>
      </c>
      <c r="BJ47" s="18" t="n">
        <f aca="false">IFERROR(BJ11/INDEX(SEMANAS!$K$6:$K$71,MATCH(BJ$7,SEMANAS!$B$6:$B$71,0)),0)</f>
        <v>0</v>
      </c>
      <c r="BK47" s="18" t="n">
        <f aca="false">IFERROR(BK11/INDEX(SEMANAS!$K$6:$K$71,MATCH(BK$7,SEMANAS!$B$6:$B$71,0)),0)</f>
        <v>0</v>
      </c>
      <c r="BL47" s="18" t="n">
        <f aca="false">IFERROR(BL11/INDEX(SEMANAS!$K$6:$K$71,MATCH(BL$7,SEMANAS!$B$6:$B$71,0)),0)</f>
        <v>0</v>
      </c>
      <c r="BM47" s="18" t="n">
        <f aca="false">IFERROR(BM11/INDEX(SEMANAS!$K$6:$K$71,MATCH(BM$7,SEMANAS!$B$6:$B$71,0)),0)</f>
        <v>0</v>
      </c>
      <c r="BN47" s="18" t="n">
        <f aca="false">IFERROR(BN11/INDEX(SEMANAS!$K$6:$K$71,MATCH(BN$7,SEMANAS!$B$6:$B$71,0)),0)</f>
        <v>0</v>
      </c>
      <c r="BO47" s="18" t="n">
        <f aca="false">IFERROR(BO11/INDEX(SEMANAS!$K$6:$K$71,MATCH(BO$7,SEMANAS!$B$6:$B$71,0)),0)</f>
        <v>0</v>
      </c>
      <c r="BP47" s="18" t="n">
        <f aca="false">IFERROR(BP11/INDEX(SEMANAS!$K$6:$K$71,MATCH(BP$7,SEMANAS!$B$6:$B$71,0)),0)</f>
        <v>0</v>
      </c>
      <c r="BQ47" s="18" t="n">
        <f aca="false">MAX(C47:BP47)</f>
        <v>1256.44059469942</v>
      </c>
    </row>
    <row r="48" customFormat="false" ht="15" hidden="false" customHeight="false" outlineLevel="0" collapsed="false">
      <c r="B48" s="15" t="s">
        <v>132</v>
      </c>
      <c r="C48" s="18" t="n">
        <f aca="false">IFERROR(C12/INDEX(SEMANAS!$K$6:$K$71,MATCH(C$7,SEMANAS!$B$6:$B$71,0)),0)</f>
        <v>657.152</v>
      </c>
      <c r="D48" s="18" t="n">
        <f aca="false">IFERROR(D12/INDEX(SEMANAS!$K$6:$K$71,MATCH(D$7,SEMANAS!$B$6:$B$71,0)),0)</f>
        <v>657.44</v>
      </c>
      <c r="E48" s="18" t="n">
        <f aca="false">IFERROR(E12/INDEX(SEMANAS!$K$6:$K$71,MATCH(E$7,SEMANAS!$B$6:$B$71,0)),0)</f>
        <v>657.44</v>
      </c>
      <c r="F48" s="18" t="n">
        <f aca="false">IFERROR(F12/INDEX(SEMANAS!$K$6:$K$71,MATCH(F$7,SEMANAS!$B$6:$B$71,0)),0)</f>
        <v>657.44</v>
      </c>
      <c r="G48" s="18" t="n">
        <f aca="false">IFERROR(G12/INDEX(SEMANAS!$K$6:$K$71,MATCH(G$7,SEMANAS!$B$6:$B$71,0)),0)</f>
        <v>495.776</v>
      </c>
      <c r="H48" s="18" t="n">
        <f aca="false">IFERROR(H12/INDEX(SEMANAS!$K$6:$K$71,MATCH(H$7,SEMANAS!$B$6:$B$71,0)),0)</f>
        <v>374.528</v>
      </c>
      <c r="I48" s="18" t="n">
        <f aca="false">IFERROR(I12/INDEX(SEMANAS!$K$6:$K$71,MATCH(I$7,SEMANAS!$B$6:$B$71,0)),0)</f>
        <v>374.528</v>
      </c>
      <c r="J48" s="18" t="n">
        <f aca="false">IFERROR(J12/INDEX(SEMANAS!$K$6:$K$71,MATCH(J$7,SEMANAS!$B$6:$B$71,0)),0)</f>
        <v>322.784</v>
      </c>
      <c r="K48" s="18" t="n">
        <f aca="false">IFERROR(K12/INDEX(SEMANAS!$K$6:$K$71,MATCH(K$7,SEMANAS!$B$6:$B$71,0)),0)</f>
        <v>215.698</v>
      </c>
      <c r="L48" s="18" t="n">
        <f aca="false">IFERROR(L12/INDEX(SEMANAS!$K$6:$K$71,MATCH(L$7,SEMANAS!$B$6:$B$71,0)),0)</f>
        <v>0</v>
      </c>
      <c r="M48" s="18" t="n">
        <f aca="false">IFERROR(M12/INDEX(SEMANAS!$K$6:$K$71,MATCH(M$7,SEMANAS!$B$6:$B$71,0)),0)</f>
        <v>0</v>
      </c>
      <c r="N48" s="18" t="n">
        <f aca="false">IFERROR(N12/INDEX(SEMANAS!$K$6:$K$71,MATCH(N$7,SEMANAS!$B$6:$B$71,0)),0)</f>
        <v>0</v>
      </c>
      <c r="O48" s="18" t="n">
        <f aca="false">IFERROR(O12/INDEX(SEMANAS!$K$6:$K$71,MATCH(O$7,SEMANAS!$B$6:$B$71,0)),0)</f>
        <v>44.6900958596332</v>
      </c>
      <c r="P48" s="18" t="n">
        <f aca="false">IFERROR(P12/INDEX(SEMANAS!$K$6:$K$71,MATCH(P$7,SEMANAS!$B$6:$B$71,0)),0)</f>
        <v>0</v>
      </c>
      <c r="Q48" s="18" t="n">
        <f aca="false">IFERROR(Q12/INDEX(SEMANAS!$K$6:$K$71,MATCH(Q$7,SEMANAS!$B$6:$B$71,0)),0)</f>
        <v>0</v>
      </c>
      <c r="R48" s="18" t="n">
        <f aca="false">IFERROR(R12/INDEX(SEMANAS!$K$6:$K$71,MATCH(R$7,SEMANAS!$B$6:$B$71,0)),0)</f>
        <v>0</v>
      </c>
      <c r="S48" s="18" t="n">
        <f aca="false">IFERROR(S12/INDEX(SEMANAS!$K$6:$K$71,MATCH(S$7,SEMANAS!$B$6:$B$71,0)),0)</f>
        <v>0</v>
      </c>
      <c r="T48" s="18" t="n">
        <f aca="false">IFERROR(T12/INDEX(SEMANAS!$K$6:$K$71,MATCH(T$7,SEMANAS!$B$6:$B$71,0)),0)</f>
        <v>11.8111500600239</v>
      </c>
      <c r="U48" s="18" t="n">
        <f aca="false">IFERROR(U12/INDEX(SEMANAS!$K$6:$K$71,MATCH(U$7,SEMANAS!$B$6:$B$71,0)),0)</f>
        <v>60.4961344537814</v>
      </c>
      <c r="V48" s="18" t="n">
        <f aca="false">IFERROR(V12/INDEX(SEMANAS!$K$6:$K$71,MATCH(V$7,SEMANAS!$B$6:$B$71,0)),0)</f>
        <v>59.5445921090759</v>
      </c>
      <c r="W48" s="18" t="n">
        <f aca="false">IFERROR(W12/INDEX(SEMANAS!$K$6:$K$71,MATCH(W$7,SEMANAS!$B$6:$B$71,0)),0)</f>
        <v>0</v>
      </c>
      <c r="X48" s="18" t="n">
        <f aca="false">IFERROR(X12/INDEX(SEMANAS!$K$6:$K$71,MATCH(X$7,SEMANAS!$B$6:$B$71,0)),0)</f>
        <v>0</v>
      </c>
      <c r="Y48" s="18" t="n">
        <f aca="false">IFERROR(Y12/INDEX(SEMANAS!$K$6:$K$71,MATCH(Y$7,SEMANAS!$B$6:$B$71,0)),0)</f>
        <v>0</v>
      </c>
      <c r="Z48" s="18" t="n">
        <f aca="false">IFERROR(Z12/INDEX(SEMANAS!$K$6:$K$71,MATCH(Z$7,SEMANAS!$B$6:$B$71,0)),0)</f>
        <v>77.1979926518929</v>
      </c>
      <c r="AA48" s="18" t="n">
        <f aca="false">IFERROR(AA12/INDEX(SEMANAS!$K$6:$K$71,MATCH(AA$7,SEMANAS!$B$6:$B$71,0)),0)</f>
        <v>213.62708496732</v>
      </c>
      <c r="AB48" s="18" t="n">
        <f aca="false">IFERROR(AB12/INDEX(SEMANAS!$K$6:$K$71,MATCH(AB$7,SEMANAS!$B$6:$B$71,0)),0)</f>
        <v>220.311529411764</v>
      </c>
      <c r="AC48" s="18" t="n">
        <f aca="false">IFERROR(AC12/INDEX(SEMANAS!$K$6:$K$71,MATCH(AC$7,SEMANAS!$B$6:$B$71,0)),0)</f>
        <v>272.165019607843</v>
      </c>
      <c r="AD48" s="18" t="n">
        <f aca="false">IFERROR(AD12/INDEX(SEMANAS!$K$6:$K$71,MATCH(AD$7,SEMANAS!$B$6:$B$71,0)),0)</f>
        <v>272.165019607843</v>
      </c>
      <c r="AE48" s="18" t="n">
        <f aca="false">IFERROR(AE12/INDEX(SEMANAS!$K$6:$K$71,MATCH(AE$7,SEMANAS!$B$6:$B$71,0)),0)</f>
        <v>272.165019607843</v>
      </c>
      <c r="AF48" s="18" t="n">
        <f aca="false">IFERROR(AF12/INDEX(SEMANAS!$K$6:$K$71,MATCH(AF$7,SEMANAS!$B$6:$B$71,0)),0)</f>
        <v>272.165019607843</v>
      </c>
      <c r="AG48" s="18" t="n">
        <f aca="false">IFERROR(AG12/INDEX(SEMANAS!$K$6:$K$71,MATCH(AG$7,SEMANAS!$B$6:$B$71,0)),0)</f>
        <v>614.646229691877</v>
      </c>
      <c r="AH48" s="18" t="n">
        <f aca="false">IFERROR(AH12/INDEX(SEMANAS!$K$6:$K$71,MATCH(AH$7,SEMANAS!$B$6:$B$71,0)),0)</f>
        <v>871.507137254902</v>
      </c>
      <c r="AI48" s="18" t="n">
        <f aca="false">IFERROR(AI12/INDEX(SEMANAS!$K$6:$K$71,MATCH(AI$7,SEMANAS!$B$6:$B$71,0)),0)</f>
        <v>871.507137254902</v>
      </c>
      <c r="AJ48" s="18" t="n">
        <f aca="false">IFERROR(AJ12/INDEX(SEMANAS!$K$6:$K$71,MATCH(AJ$7,SEMANAS!$B$6:$B$71,0)),0)</f>
        <v>853.685288515406</v>
      </c>
      <c r="AK48" s="18" t="n">
        <f aca="false">IFERROR(AK12/INDEX(SEMANAS!$K$6:$K$71,MATCH(AK$7,SEMANAS!$B$6:$B$71,0)),0)</f>
        <v>892.313879644165</v>
      </c>
      <c r="AL48" s="18" t="n">
        <f aca="false">IFERROR(AL12/INDEX(SEMANAS!$K$6:$K$71,MATCH(AL$7,SEMANAS!$B$6:$B$71,0)),0)</f>
        <v>1034.74389806002</v>
      </c>
      <c r="AM48" s="18" t="n">
        <f aca="false">IFERROR(AM12/INDEX(SEMANAS!$K$6:$K$71,MATCH(AM$7,SEMANAS!$B$6:$B$71,0)),0)</f>
        <v>960.222859936548</v>
      </c>
      <c r="AN48" s="18" t="n">
        <f aca="false">IFERROR(AN12/INDEX(SEMANAS!$K$6:$K$71,MATCH(AN$7,SEMANAS!$B$6:$B$71,0)),0)</f>
        <v>885.701821813076</v>
      </c>
      <c r="AO48" s="18" t="n">
        <f aca="false">IFERROR(AO12/INDEX(SEMANAS!$K$6:$K$71,MATCH(AO$7,SEMANAS!$B$6:$B$71,0)),0)</f>
        <v>811.180783689603</v>
      </c>
      <c r="AP48" s="18" t="n">
        <f aca="false">IFERROR(AP12/INDEX(SEMANAS!$K$6:$K$71,MATCH(AP$7,SEMANAS!$B$6:$B$71,0)),0)</f>
        <v>845.561873598246</v>
      </c>
      <c r="AQ48" s="18" t="n">
        <f aca="false">IFERROR(AQ12/INDEX(SEMANAS!$K$6:$K$71,MATCH(AQ$7,SEMANAS!$B$6:$B$71,0)),0)</f>
        <v>869.872382438387</v>
      </c>
      <c r="AR48" s="18" t="n">
        <f aca="false">IFERROR(AR12/INDEX(SEMANAS!$K$6:$K$71,MATCH(AR$7,SEMANAS!$B$6:$B$71,0)),0)</f>
        <v>480.919410412441</v>
      </c>
      <c r="AS48" s="18" t="n">
        <f aca="false">IFERROR(AS12/INDEX(SEMANAS!$K$6:$K$71,MATCH(AS$7,SEMANAS!$B$6:$B$71,0)),0)</f>
        <v>452.597571331981</v>
      </c>
      <c r="AT48" s="18" t="n">
        <f aca="false">IFERROR(AT12/INDEX(SEMANAS!$K$6:$K$71,MATCH(AT$7,SEMANAS!$B$6:$B$71,0)),0)</f>
        <v>277.21067134716</v>
      </c>
      <c r="AU48" s="18" t="n">
        <f aca="false">IFERROR(AU12/INDEX(SEMANAS!$K$6:$K$71,MATCH(AU$7,SEMANAS!$B$6:$B$71,0)),0)</f>
        <v>473.55547895296</v>
      </c>
      <c r="AV48" s="18" t="n">
        <f aca="false">IFERROR(AV12/INDEX(SEMANAS!$K$6:$K$71,MATCH(AV$7,SEMANAS!$B$6:$B$71,0)),0)</f>
        <v>592.160352516179</v>
      </c>
      <c r="AW48" s="18" t="n">
        <f aca="false">IFERROR(AW12/INDEX(SEMANAS!$K$6:$K$71,MATCH(AW$7,SEMANAS!$B$6:$B$71,0)),0)</f>
        <v>710.765226079397</v>
      </c>
      <c r="AX48" s="18" t="n">
        <f aca="false">IFERROR(AX12/INDEX(SEMANAS!$K$6:$K$71,MATCH(AX$7,SEMANAS!$B$6:$B$71,0)),0)</f>
        <v>872.980453312359</v>
      </c>
      <c r="AY48" s="18" t="n">
        <f aca="false">IFERROR(AY12/INDEX(SEMANAS!$K$6:$K$71,MATCH(AY$7,SEMANAS!$B$6:$B$71,0)),0)</f>
        <v>1240.73691490389</v>
      </c>
      <c r="AZ48" s="18" t="n">
        <f aca="false">IFERROR(AZ12/INDEX(SEMANAS!$K$6:$K$71,MATCH(AZ$7,SEMANAS!$B$6:$B$71,0)),0)</f>
        <v>1354.77173657877</v>
      </c>
      <c r="BA48" s="18" t="n">
        <f aca="false">IFERROR(BA12/INDEX(SEMANAS!$K$6:$K$71,MATCH(BA$7,SEMANAS!$B$6:$B$71,0)),0)</f>
        <v>1450.36566761325</v>
      </c>
      <c r="BB48" s="18" t="n">
        <f aca="false">IFERROR(BB12/INDEX(SEMANAS!$K$6:$K$71,MATCH(BB$7,SEMANAS!$B$6:$B$71,0)),0)</f>
        <v>1545.95959864773</v>
      </c>
      <c r="BC48" s="18" t="n">
        <f aca="false">IFERROR(BC12/INDEX(SEMANAS!$K$6:$K$71,MATCH(BC$7,SEMANAS!$B$6:$B$71,0)),0)</f>
        <v>1629.11923694719</v>
      </c>
      <c r="BD48" s="18" t="n">
        <f aca="false">IFERROR(BD12/INDEX(SEMANAS!$K$6:$K$71,MATCH(BD$7,SEMANAS!$B$6:$B$71,0)),0)</f>
        <v>1643.86308123249</v>
      </c>
      <c r="BE48" s="18" t="n">
        <f aca="false">IFERROR(BE12/INDEX(SEMANAS!$K$6:$K$71,MATCH(BE$7,SEMANAS!$B$6:$B$71,0)),0)</f>
        <v>1643.86308123249</v>
      </c>
      <c r="BF48" s="18" t="n">
        <f aca="false">IFERROR(BF12/INDEX(SEMANAS!$K$6:$K$71,MATCH(BF$7,SEMANAS!$B$6:$B$71,0)),0)</f>
        <v>1588.40829131653</v>
      </c>
      <c r="BG48" s="18" t="n">
        <f aca="false">IFERROR(BG12/INDEX(SEMANAS!$K$6:$K$71,MATCH(BG$7,SEMANAS!$B$6:$B$71,0)),0)</f>
        <v>1184.07348108899</v>
      </c>
      <c r="BH48" s="18" t="n">
        <f aca="false">IFERROR(BH12/INDEX(SEMANAS!$K$6:$K$71,MATCH(BH$7,SEMANAS!$B$6:$B$71,0)),0)</f>
        <v>683.035107118709</v>
      </c>
      <c r="BI48" s="18" t="n">
        <f aca="false">IFERROR(BI12/INDEX(SEMANAS!$K$6:$K$71,MATCH(BI$7,SEMANAS!$B$6:$B$71,0)),0)</f>
        <v>583.089002994301</v>
      </c>
      <c r="BJ48" s="18" t="n">
        <f aca="false">IFERROR(BJ12/INDEX(SEMANAS!$K$6:$K$71,MATCH(BJ$7,SEMANAS!$B$6:$B$71,0)),0)</f>
        <v>442.699312662996</v>
      </c>
      <c r="BK48" s="18" t="n">
        <f aca="false">IFERROR(BK12/INDEX(SEMANAS!$K$6:$K$71,MATCH(BK$7,SEMANAS!$B$6:$B$71,0)),0)</f>
        <v>267.471448275862</v>
      </c>
      <c r="BL48" s="18" t="n">
        <f aca="false">IFERROR(BL12/INDEX(SEMANAS!$K$6:$K$71,MATCH(BL$7,SEMANAS!$B$6:$B$71,0)),0)</f>
        <v>0</v>
      </c>
      <c r="BM48" s="18" t="n">
        <f aca="false">IFERROR(BM12/INDEX(SEMANAS!$K$6:$K$71,MATCH(BM$7,SEMANAS!$B$6:$B$71,0)),0)</f>
        <v>0</v>
      </c>
      <c r="BN48" s="18" t="n">
        <f aca="false">IFERROR(BN12/INDEX(SEMANAS!$K$6:$K$71,MATCH(BN$7,SEMANAS!$B$6:$B$71,0)),0)</f>
        <v>0</v>
      </c>
      <c r="BO48" s="18" t="n">
        <f aca="false">IFERROR(BO12/INDEX(SEMANAS!$K$6:$K$71,MATCH(BO$7,SEMANAS!$B$6:$B$71,0)),0)</f>
        <v>0</v>
      </c>
      <c r="BP48" s="18" t="n">
        <f aca="false">IFERROR(BP12/INDEX(SEMANAS!$K$6:$K$71,MATCH(BP$7,SEMANAS!$B$6:$B$71,0)),0)</f>
        <v>0</v>
      </c>
      <c r="BQ48" s="18" t="n">
        <f aca="false">MAX(C48:BP48)</f>
        <v>1643.86308123249</v>
      </c>
    </row>
    <row r="49" customFormat="false" ht="15" hidden="false" customHeight="false" outlineLevel="0" collapsed="false">
      <c r="B49" s="15" t="s">
        <v>133</v>
      </c>
      <c r="C49" s="18" t="n">
        <f aca="false">IFERROR(C13/INDEX(SEMANAS!$K$6:$K$71,MATCH(C$7,SEMANAS!$B$6:$B$71,0)),0)</f>
        <v>1010.32628993893</v>
      </c>
      <c r="D49" s="18" t="n">
        <f aca="false">IFERROR(D13/INDEX(SEMANAS!$K$6:$K$71,MATCH(D$7,SEMANAS!$B$6:$B$71,0)),0)</f>
        <v>723.456268540203</v>
      </c>
      <c r="E49" s="18" t="n">
        <f aca="false">IFERROR(E13/INDEX(SEMANAS!$K$6:$K$71,MATCH(E$7,SEMANAS!$B$6:$B$71,0)),0)</f>
        <v>493.08</v>
      </c>
      <c r="F49" s="18" t="n">
        <f aca="false">IFERROR(F13/INDEX(SEMANAS!$K$6:$K$71,MATCH(F$7,SEMANAS!$B$6:$B$71,0)),0)</f>
        <v>459.585</v>
      </c>
      <c r="G49" s="18" t="n">
        <f aca="false">IFERROR(G13/INDEX(SEMANAS!$K$6:$K$71,MATCH(G$7,SEMANAS!$B$6:$B$71,0)),0)</f>
        <v>293.028</v>
      </c>
      <c r="H49" s="18" t="n">
        <f aca="false">IFERROR(H13/INDEX(SEMANAS!$K$6:$K$71,MATCH(H$7,SEMANAS!$B$6:$B$71,0)),0)</f>
        <v>158.004</v>
      </c>
      <c r="I49" s="18" t="n">
        <f aca="false">IFERROR(I13/INDEX(SEMANAS!$K$6:$K$71,MATCH(I$7,SEMANAS!$B$6:$B$71,0)),0)</f>
        <v>112.728</v>
      </c>
      <c r="J49" s="18" t="n">
        <f aca="false">IFERROR(J13/INDEX(SEMANAS!$K$6:$K$71,MATCH(J$7,SEMANAS!$B$6:$B$71,0)),0)</f>
        <v>67.4519999999999</v>
      </c>
      <c r="K49" s="18" t="n">
        <f aca="false">IFERROR(K13/INDEX(SEMANAS!$K$6:$K$71,MATCH(K$7,SEMANAS!$B$6:$B$71,0)),0)</f>
        <v>0</v>
      </c>
      <c r="L49" s="18" t="n">
        <f aca="false">IFERROR(L13/INDEX(SEMANAS!$K$6:$K$71,MATCH(L$7,SEMANAS!$B$6:$B$71,0)),0)</f>
        <v>0</v>
      </c>
      <c r="M49" s="18" t="n">
        <f aca="false">IFERROR(M13/INDEX(SEMANAS!$K$6:$K$71,MATCH(M$7,SEMANAS!$B$6:$B$71,0)),0)</f>
        <v>0</v>
      </c>
      <c r="N49" s="18" t="n">
        <f aca="false">IFERROR(N13/INDEX(SEMANAS!$K$6:$K$71,MATCH(N$7,SEMANAS!$B$6:$B$71,0)),0)</f>
        <v>0</v>
      </c>
      <c r="O49" s="18" t="n">
        <f aca="false">IFERROR(O13/INDEX(SEMANAS!$K$6:$K$71,MATCH(O$7,SEMANAS!$B$6:$B$71,0)),0)</f>
        <v>7.14460907361445</v>
      </c>
      <c r="P49" s="18" t="n">
        <f aca="false">IFERROR(P13/INDEX(SEMANAS!$K$6:$K$71,MATCH(P$7,SEMANAS!$B$6:$B$71,0)),0)</f>
        <v>0</v>
      </c>
      <c r="Q49" s="18" t="n">
        <f aca="false">IFERROR(Q13/INDEX(SEMANAS!$K$6:$K$71,MATCH(Q$7,SEMANAS!$B$6:$B$71,0)),0)</f>
        <v>0</v>
      </c>
      <c r="R49" s="18" t="n">
        <f aca="false">IFERROR(R13/INDEX(SEMANAS!$K$6:$K$71,MATCH(R$7,SEMANAS!$B$6:$B$71,0)),0)</f>
        <v>0</v>
      </c>
      <c r="S49" s="18" t="n">
        <f aca="false">IFERROR(S13/INDEX(SEMANAS!$K$6:$K$71,MATCH(S$7,SEMANAS!$B$6:$B$71,0)),0)</f>
        <v>0</v>
      </c>
      <c r="T49" s="18" t="n">
        <f aca="false">IFERROR(T13/INDEX(SEMANAS!$K$6:$K$71,MATCH(T$7,SEMANAS!$B$6:$B$71,0)),0)</f>
        <v>3.91709963985592</v>
      </c>
      <c r="U49" s="18" t="n">
        <f aca="false">IFERROR(U13/INDEX(SEMANAS!$K$6:$K$71,MATCH(U$7,SEMANAS!$B$6:$B$71,0)),0)</f>
        <v>20.0631932773109</v>
      </c>
      <c r="V49" s="18" t="n">
        <f aca="false">IFERROR(V13/INDEX(SEMANAS!$K$6:$K$71,MATCH(V$7,SEMANAS!$B$6:$B$71,0)),0)</f>
        <v>20.0631932773109</v>
      </c>
      <c r="W49" s="18" t="n">
        <f aca="false">IFERROR(W13/INDEX(SEMANAS!$K$6:$K$71,MATCH(W$7,SEMANAS!$B$6:$B$71,0)),0)</f>
        <v>0</v>
      </c>
      <c r="X49" s="18" t="n">
        <f aca="false">IFERROR(X13/INDEX(SEMANAS!$K$6:$K$71,MATCH(X$7,SEMANAS!$B$6:$B$71,0)),0)</f>
        <v>0</v>
      </c>
      <c r="Y49" s="18" t="n">
        <f aca="false">IFERROR(Y13/INDEX(SEMANAS!$K$6:$K$71,MATCH(Y$7,SEMANAS!$B$6:$B$71,0)),0)</f>
        <v>47.1954509803922</v>
      </c>
      <c r="Z49" s="18" t="n">
        <f aca="false">IFERROR(Z13/INDEX(SEMANAS!$K$6:$K$71,MATCH(Z$7,SEMANAS!$B$6:$B$71,0)),0)</f>
        <v>122.524663815822</v>
      </c>
      <c r="AA49" s="18" t="n">
        <f aca="false">IFERROR(AA13/INDEX(SEMANAS!$K$6:$K$71,MATCH(AA$7,SEMANAS!$B$6:$B$71,0)),0)</f>
        <v>246.656577030812</v>
      </c>
      <c r="AB49" s="18" t="n">
        <f aca="false">IFERROR(AB13/INDEX(SEMANAS!$K$6:$K$71,MATCH(AB$7,SEMANAS!$B$6:$B$71,0)),0)</f>
        <v>257.936577030812</v>
      </c>
      <c r="AC49" s="18" t="n">
        <f aca="false">IFERROR(AC13/INDEX(SEMANAS!$K$6:$K$71,MATCH(AC$7,SEMANAS!$B$6:$B$71,0)),0)</f>
        <v>377.493215686274</v>
      </c>
      <c r="AD49" s="18" t="n">
        <f aca="false">IFERROR(AD13/INDEX(SEMANAS!$K$6:$K$71,MATCH(AD$7,SEMANAS!$B$6:$B$71,0)),0)</f>
        <v>430.676013071895</v>
      </c>
      <c r="AE49" s="18" t="n">
        <f aca="false">IFERROR(AE13/INDEX(SEMANAS!$K$6:$K$71,MATCH(AE$7,SEMANAS!$B$6:$B$71,0)),0)</f>
        <v>447.715195078031</v>
      </c>
      <c r="AF49" s="18" t="n">
        <f aca="false">IFERROR(AF13/INDEX(SEMANAS!$K$6:$K$71,MATCH(AF$7,SEMANAS!$B$6:$B$71,0)),0)</f>
        <v>430.810678271308</v>
      </c>
      <c r="AG49" s="18" t="n">
        <f aca="false">IFERROR(AG13/INDEX(SEMANAS!$K$6:$K$71,MATCH(AG$7,SEMANAS!$B$6:$B$71,0)),0)</f>
        <v>1077.60902845053</v>
      </c>
      <c r="AH49" s="18" t="n">
        <f aca="false">IFERROR(AH13/INDEX(SEMANAS!$K$6:$K$71,MATCH(AH$7,SEMANAS!$B$6:$B$71,0)),0)</f>
        <v>1630.61462954071</v>
      </c>
      <c r="AI49" s="18" t="n">
        <f aca="false">IFERROR(AI13/INDEX(SEMANAS!$K$6:$K$71,MATCH(AI$7,SEMANAS!$B$6:$B$71,0)),0)</f>
        <v>1642.97520571562</v>
      </c>
      <c r="AJ49" s="18" t="n">
        <f aca="false">IFERROR(AJ13/INDEX(SEMANAS!$K$6:$K$71,MATCH(AJ$7,SEMANAS!$B$6:$B$71,0)),0)</f>
        <v>1622.14499384455</v>
      </c>
      <c r="AK49" s="18" t="n">
        <f aca="false">IFERROR(AK13/INDEX(SEMANAS!$K$6:$K$71,MATCH(AK$7,SEMANAS!$B$6:$B$71,0)),0)</f>
        <v>1578.41382971485</v>
      </c>
      <c r="AL49" s="18" t="n">
        <f aca="false">IFERROR(AL13/INDEX(SEMANAS!$K$6:$K$71,MATCH(AL$7,SEMANAS!$B$6:$B$71,0)),0)</f>
        <v>1868.12020639503</v>
      </c>
      <c r="AM49" s="18" t="n">
        <f aca="false">IFERROR(AM13/INDEX(SEMANAS!$K$6:$K$71,MATCH(AM$7,SEMANAS!$B$6:$B$71,0)),0)</f>
        <v>1832.10956952834</v>
      </c>
      <c r="AN49" s="18" t="n">
        <f aca="false">IFERROR(AN13/INDEX(SEMANAS!$K$6:$K$71,MATCH(AN$7,SEMANAS!$B$6:$B$71,0)),0)</f>
        <v>1727.42249568687</v>
      </c>
      <c r="AO49" s="18" t="n">
        <f aca="false">IFERROR(AO13/INDEX(SEMANAS!$K$6:$K$71,MATCH(AO$7,SEMANAS!$B$6:$B$71,0)),0)</f>
        <v>1622.7354218454</v>
      </c>
      <c r="AP49" s="18" t="n">
        <f aca="false">IFERROR(AP13/INDEX(SEMANAS!$K$6:$K$71,MATCH(AP$7,SEMANAS!$B$6:$B$71,0)),0)</f>
        <v>1310.7165235613</v>
      </c>
      <c r="AQ49" s="18" t="n">
        <f aca="false">IFERROR(AQ13/INDEX(SEMANAS!$K$6:$K$71,MATCH(AQ$7,SEMANAS!$B$6:$B$71,0)),0)</f>
        <v>1251.82457003066</v>
      </c>
      <c r="AR49" s="18" t="n">
        <f aca="false">IFERROR(AR13/INDEX(SEMANAS!$K$6:$K$71,MATCH(AR$7,SEMANAS!$B$6:$B$71,0)),0)</f>
        <v>718.934752052545</v>
      </c>
      <c r="AS49" s="18" t="n">
        <f aca="false">IFERROR(AS13/INDEX(SEMANAS!$K$6:$K$71,MATCH(AS$7,SEMANAS!$B$6:$B$71,0)),0)</f>
        <v>831.678859203452</v>
      </c>
      <c r="AT49" s="18" t="n">
        <f aca="false">IFERROR(AT13/INDEX(SEMANAS!$K$6:$K$71,MATCH(AT$7,SEMANAS!$B$6:$B$71,0)),0)</f>
        <v>692.982155635588</v>
      </c>
      <c r="AU49" s="18" t="n">
        <f aca="false">IFERROR(AU13/INDEX(SEMANAS!$K$6:$K$71,MATCH(AU$7,SEMANAS!$B$6:$B$71,0)),0)</f>
        <v>755.100205602241</v>
      </c>
      <c r="AV49" s="18" t="n">
        <f aca="false">IFERROR(AV13/INDEX(SEMANAS!$K$6:$K$71,MATCH(AV$7,SEMANAS!$B$6:$B$71,0)),0)</f>
        <v>808.822438281979</v>
      </c>
      <c r="AW49" s="18" t="n">
        <f aca="false">IFERROR(AW13/INDEX(SEMANAS!$K$6:$K$71,MATCH(AW$7,SEMANAS!$B$6:$B$71,0)),0)</f>
        <v>868.176550793651</v>
      </c>
      <c r="AX49" s="18" t="n">
        <f aca="false">IFERROR(AX13/INDEX(SEMANAS!$K$6:$K$71,MATCH(AX$7,SEMANAS!$B$6:$B$71,0)),0)</f>
        <v>987.510906762705</v>
      </c>
      <c r="AY49" s="18" t="n">
        <f aca="false">IFERROR(AY13/INDEX(SEMANAS!$K$6:$K$71,MATCH(AY$7,SEMANAS!$B$6:$B$71,0)),0)</f>
        <v>1262.93487917834</v>
      </c>
      <c r="AZ49" s="18" t="n">
        <f aca="false">IFERROR(AZ13/INDEX(SEMANAS!$K$6:$K$71,MATCH(AZ$7,SEMANAS!$B$6:$B$71,0)),0)</f>
        <v>1225.11246834734</v>
      </c>
      <c r="BA49" s="18" t="n">
        <f aca="false">IFERROR(BA13/INDEX(SEMANAS!$K$6:$K$71,MATCH(BA$7,SEMANAS!$B$6:$B$71,0)),0)</f>
        <v>1361.12152717087</v>
      </c>
      <c r="BB49" s="18" t="n">
        <f aca="false">IFERROR(BB13/INDEX(SEMANAS!$K$6:$K$71,MATCH(BB$7,SEMANAS!$B$6:$B$71,0)),0)</f>
        <v>1451.9217859944</v>
      </c>
      <c r="BC49" s="18" t="n">
        <f aca="false">IFERROR(BC13/INDEX(SEMANAS!$K$6:$K$71,MATCH(BC$7,SEMANAS!$B$6:$B$71,0)),0)</f>
        <v>1502.55165106042</v>
      </c>
      <c r="BD49" s="18" t="n">
        <f aca="false">IFERROR(BD13/INDEX(SEMANAS!$K$6:$K$71,MATCH(BD$7,SEMANAS!$B$6:$B$71,0)),0)</f>
        <v>1478.62189355742</v>
      </c>
      <c r="BE49" s="18" t="n">
        <f aca="false">IFERROR(BE13/INDEX(SEMANAS!$K$6:$K$71,MATCH(BE$7,SEMANAS!$B$6:$B$71,0)),0)</f>
        <v>1430.87765826331</v>
      </c>
      <c r="BF49" s="18" t="n">
        <f aca="false">IFERROR(BF13/INDEX(SEMANAS!$K$6:$K$71,MATCH(BF$7,SEMANAS!$B$6:$B$71,0)),0)</f>
        <v>1383.13342296919</v>
      </c>
      <c r="BG49" s="18" t="n">
        <f aca="false">IFERROR(BG13/INDEX(SEMANAS!$K$6:$K$71,MATCH(BG$7,SEMANAS!$B$6:$B$71,0)),0)</f>
        <v>1072.21059943978</v>
      </c>
      <c r="BH49" s="18" t="n">
        <f aca="false">IFERROR(BH13/INDEX(SEMANAS!$K$6:$K$71,MATCH(BH$7,SEMANAS!$B$6:$B$71,0)),0)</f>
        <v>675.207932773109</v>
      </c>
      <c r="BI49" s="18" t="n">
        <f aca="false">IFERROR(BI13/INDEX(SEMANAS!$K$6:$K$71,MATCH(BI$7,SEMANAS!$B$6:$B$71,0)),0)</f>
        <v>600.886050420168</v>
      </c>
      <c r="BJ49" s="18" t="n">
        <f aca="false">IFERROR(BJ13/INDEX(SEMANAS!$K$6:$K$71,MATCH(BJ$7,SEMANAS!$B$6:$B$71,0)),0)</f>
        <v>510.424336134454</v>
      </c>
      <c r="BK49" s="18" t="n">
        <f aca="false">IFERROR(BK13/INDEX(SEMANAS!$K$6:$K$71,MATCH(BK$7,SEMANAS!$B$6:$B$71,0)),0)</f>
        <v>412.776806722689</v>
      </c>
      <c r="BL49" s="18" t="n">
        <f aca="false">IFERROR(BL13/INDEX(SEMANAS!$K$6:$K$71,MATCH(BL$7,SEMANAS!$B$6:$B$71,0)),0)</f>
        <v>0</v>
      </c>
      <c r="BM49" s="18" t="n">
        <f aca="false">IFERROR(BM13/INDEX(SEMANAS!$K$6:$K$71,MATCH(BM$7,SEMANAS!$B$6:$B$71,0)),0)</f>
        <v>0</v>
      </c>
      <c r="BN49" s="18" t="n">
        <f aca="false">IFERROR(BN13/INDEX(SEMANAS!$K$6:$K$71,MATCH(BN$7,SEMANAS!$B$6:$B$71,0)),0)</f>
        <v>0</v>
      </c>
      <c r="BO49" s="18" t="n">
        <f aca="false">IFERROR(BO13/INDEX(SEMANAS!$K$6:$K$71,MATCH(BO$7,SEMANAS!$B$6:$B$71,0)),0)</f>
        <v>0</v>
      </c>
      <c r="BP49" s="18" t="n">
        <f aca="false">IFERROR(BP13/INDEX(SEMANAS!$K$6:$K$71,MATCH(BP$7,SEMANAS!$B$6:$B$71,0)),0)</f>
        <v>0</v>
      </c>
      <c r="BQ49" s="18" t="n">
        <f aca="false">MAX(C49:BP49)</f>
        <v>1868.12020639503</v>
      </c>
    </row>
    <row r="50" customFormat="false" ht="15" hidden="false" customHeight="false" outlineLevel="0" collapsed="false">
      <c r="B50" s="15" t="s">
        <v>134</v>
      </c>
      <c r="C50" s="18" t="n">
        <f aca="false">IFERROR(C14/INDEX(SEMANAS!$K$6:$K$71,MATCH(C$7,SEMANAS!$B$6:$B$71,0)),0)</f>
        <v>1175.07590678176</v>
      </c>
      <c r="D50" s="18" t="n">
        <f aca="false">IFERROR(D14/INDEX(SEMANAS!$K$6:$K$71,MATCH(D$7,SEMANAS!$B$6:$B$71,0)),0)</f>
        <v>1038.9234244809</v>
      </c>
      <c r="E50" s="18" t="n">
        <f aca="false">IFERROR(E14/INDEX(SEMANAS!$K$6:$K$71,MATCH(E$7,SEMANAS!$B$6:$B$71,0)),0)</f>
        <v>688.737300609133</v>
      </c>
      <c r="F50" s="18" t="n">
        <f aca="false">IFERROR(F14/INDEX(SEMANAS!$K$6:$K$71,MATCH(F$7,SEMANAS!$B$6:$B$71,0)),0)</f>
        <v>396.498857142857</v>
      </c>
      <c r="G50" s="18" t="n">
        <f aca="false">IFERROR(G14/INDEX(SEMANAS!$K$6:$K$71,MATCH(G$7,SEMANAS!$B$6:$B$71,0)),0)</f>
        <v>179.692965186074</v>
      </c>
      <c r="H50" s="18" t="n">
        <f aca="false">IFERROR(H14/INDEX(SEMANAS!$K$6:$K$71,MATCH(H$7,SEMANAS!$B$6:$B$71,0)),0)</f>
        <v>0</v>
      </c>
      <c r="I50" s="18" t="n">
        <f aca="false">IFERROR(I14/INDEX(SEMANAS!$K$6:$K$71,MATCH(I$7,SEMANAS!$B$6:$B$71,0)),0)</f>
        <v>0</v>
      </c>
      <c r="J50" s="18" t="n">
        <f aca="false">IFERROR(J14/INDEX(SEMANAS!$K$6:$K$71,MATCH(J$7,SEMANAS!$B$6:$B$71,0)),0)</f>
        <v>0</v>
      </c>
      <c r="K50" s="18" t="n">
        <f aca="false">IFERROR(K14/INDEX(SEMANAS!$K$6:$K$71,MATCH(K$7,SEMANAS!$B$6:$B$71,0)),0)</f>
        <v>0</v>
      </c>
      <c r="L50" s="18" t="n">
        <f aca="false">IFERROR(L14/INDEX(SEMANAS!$K$6:$K$71,MATCH(L$7,SEMANAS!$B$6:$B$71,0)),0)</f>
        <v>0</v>
      </c>
      <c r="M50" s="18" t="n">
        <f aca="false">IFERROR(M14/INDEX(SEMANAS!$K$6:$K$71,MATCH(M$7,SEMANAS!$B$6:$B$71,0)),0)</f>
        <v>0</v>
      </c>
      <c r="N50" s="18" t="n">
        <f aca="false">IFERROR(N14/INDEX(SEMANAS!$K$6:$K$71,MATCH(N$7,SEMANAS!$B$6:$B$71,0)),0)</f>
        <v>0</v>
      </c>
      <c r="O50" s="18" t="n">
        <f aca="false">IFERROR(O14/INDEX(SEMANAS!$K$6:$K$71,MATCH(O$7,SEMANAS!$B$6:$B$71,0)),0)</f>
        <v>7.14460907361445</v>
      </c>
      <c r="P50" s="18" t="n">
        <f aca="false">IFERROR(P14/INDEX(SEMANAS!$K$6:$K$71,MATCH(P$7,SEMANAS!$B$6:$B$71,0)),0)</f>
        <v>0</v>
      </c>
      <c r="Q50" s="18" t="n">
        <f aca="false">IFERROR(Q14/INDEX(SEMANAS!$K$6:$K$71,MATCH(Q$7,SEMANAS!$B$6:$B$71,0)),0)</f>
        <v>0</v>
      </c>
      <c r="R50" s="18" t="n">
        <f aca="false">IFERROR(R14/INDEX(SEMANAS!$K$6:$K$71,MATCH(R$7,SEMANAS!$B$6:$B$71,0)),0)</f>
        <v>0</v>
      </c>
      <c r="S50" s="18" t="n">
        <f aca="false">IFERROR(S14/INDEX(SEMANAS!$K$6:$K$71,MATCH(S$7,SEMANAS!$B$6:$B$71,0)),0)</f>
        <v>0</v>
      </c>
      <c r="T50" s="18" t="n">
        <f aca="false">IFERROR(T14/INDEX(SEMANAS!$K$6:$K$71,MATCH(T$7,SEMANAS!$B$6:$B$71,0)),0)</f>
        <v>27.4169411764704</v>
      </c>
      <c r="U50" s="18" t="n">
        <f aca="false">IFERROR(U14/INDEX(SEMANAS!$K$6:$K$71,MATCH(U$7,SEMANAS!$B$6:$B$71,0)),0)</f>
        <v>140.428235294117</v>
      </c>
      <c r="V50" s="18" t="n">
        <f aca="false">IFERROR(V14/INDEX(SEMANAS!$K$6:$K$71,MATCH(V$7,SEMANAS!$B$6:$B$71,0)),0)</f>
        <v>140.428235294117</v>
      </c>
      <c r="W50" s="18" t="n">
        <f aca="false">IFERROR(W14/INDEX(SEMANAS!$K$6:$K$71,MATCH(W$7,SEMANAS!$B$6:$B$71,0)),0)</f>
        <v>57.8824242863668</v>
      </c>
      <c r="X50" s="18" t="n">
        <f aca="false">IFERROR(X14/INDEX(SEMANAS!$K$6:$K$71,MATCH(X$7,SEMANAS!$B$6:$B$71,0)),0)</f>
        <v>0</v>
      </c>
      <c r="Y50" s="18" t="n">
        <f aca="false">IFERROR(Y14/INDEX(SEMANAS!$K$6:$K$71,MATCH(Y$7,SEMANAS!$B$6:$B$71,0)),0)</f>
        <v>0</v>
      </c>
      <c r="Z50" s="18" t="n">
        <f aca="false">IFERROR(Z14/INDEX(SEMANAS!$K$6:$K$71,MATCH(Z$7,SEMANAS!$B$6:$B$71,0)),0)</f>
        <v>27.5773274327482</v>
      </c>
      <c r="AA50" s="18" t="n">
        <f aca="false">IFERROR(AA14/INDEX(SEMANAS!$K$6:$K$71,MATCH(AA$7,SEMANAS!$B$6:$B$71,0)),0)</f>
        <v>87.8571064803303</v>
      </c>
      <c r="AB50" s="18" t="n">
        <f aca="false">IFERROR(AB14/INDEX(SEMANAS!$K$6:$K$71,MATCH(AB$7,SEMANAS!$B$6:$B$71,0)),0)</f>
        <v>140.489299719888</v>
      </c>
      <c r="AC50" s="18" t="n">
        <f aca="false">IFERROR(AC14/INDEX(SEMANAS!$K$6:$K$71,MATCH(AC$7,SEMANAS!$B$6:$B$71,0)),0)</f>
        <v>178.283697478991</v>
      </c>
      <c r="AD50" s="18" t="n">
        <f aca="false">IFERROR(AD14/INDEX(SEMANAS!$K$6:$K$71,MATCH(AD$7,SEMANAS!$B$6:$B$71,0)),0)</f>
        <v>178.283697478991</v>
      </c>
      <c r="AE50" s="18" t="n">
        <f aca="false">IFERROR(AE14/INDEX(SEMANAS!$K$6:$K$71,MATCH(AE$7,SEMANAS!$B$6:$B$71,0)),0)</f>
        <v>198.275352163087</v>
      </c>
      <c r="AF50" s="18" t="n">
        <f aca="false">IFERROR(AF14/INDEX(SEMANAS!$K$6:$K$71,MATCH(AF$7,SEMANAS!$B$6:$B$71,0)),0)</f>
        <v>243.896403361344</v>
      </c>
      <c r="AG50" s="18" t="n">
        <f aca="false">IFERROR(AG14/INDEX(SEMANAS!$K$6:$K$71,MATCH(AG$7,SEMANAS!$B$6:$B$71,0)),0)</f>
        <v>790.597625045079</v>
      </c>
      <c r="AH50" s="18" t="n">
        <f aca="false">IFERROR(AH14/INDEX(SEMANAS!$K$6:$K$71,MATCH(AH$7,SEMANAS!$B$6:$B$71,0)),0)</f>
        <v>1608.92218425148</v>
      </c>
      <c r="AI50" s="18" t="n">
        <f aca="false">IFERROR(AI14/INDEX(SEMANAS!$K$6:$K$71,MATCH(AI$7,SEMANAS!$B$6:$B$71,0)),0)</f>
        <v>1797.48296624946</v>
      </c>
      <c r="AJ50" s="18" t="n">
        <f aca="false">IFERROR(AJ14/INDEX(SEMANAS!$K$6:$K$71,MATCH(AJ$7,SEMANAS!$B$6:$B$71,0)),0)</f>
        <v>1927.83122205463</v>
      </c>
      <c r="AK50" s="18" t="n">
        <f aca="false">IFERROR(AK14/INDEX(SEMANAS!$K$6:$K$71,MATCH(AK$7,SEMANAS!$B$6:$B$71,0)),0)</f>
        <v>2206.15329471893</v>
      </c>
      <c r="AL50" s="18" t="n">
        <f aca="false">IFERROR(AL14/INDEX(SEMANAS!$K$6:$K$71,MATCH(AL$7,SEMANAS!$B$6:$B$71,0)),0)</f>
        <v>2774.97595798319</v>
      </c>
      <c r="AM50" s="18" t="n">
        <f aca="false">IFERROR(AM14/INDEX(SEMANAS!$K$6:$K$71,MATCH(AM$7,SEMANAS!$B$6:$B$71,0)),0)</f>
        <v>2713.21916499677</v>
      </c>
      <c r="AN50" s="18" t="n">
        <f aca="false">IFERROR(AN14/INDEX(SEMANAS!$K$6:$K$71,MATCH(AN$7,SEMANAS!$B$6:$B$71,0)),0)</f>
        <v>2648.70810730446</v>
      </c>
      <c r="AO50" s="18" t="n">
        <f aca="false">IFERROR(AO14/INDEX(SEMANAS!$K$6:$K$71,MATCH(AO$7,SEMANAS!$B$6:$B$71,0)),0)</f>
        <v>2357.50012944409</v>
      </c>
      <c r="AP50" s="18" t="n">
        <f aca="false">IFERROR(AP14/INDEX(SEMANAS!$K$6:$K$71,MATCH(AP$7,SEMANAS!$B$6:$B$71,0)),0)</f>
        <v>2410.33267532288</v>
      </c>
      <c r="AQ50" s="18" t="n">
        <f aca="false">IFERROR(AQ14/INDEX(SEMANAS!$K$6:$K$71,MATCH(AQ$7,SEMANAS!$B$6:$B$71,0)),0)</f>
        <v>2369.13192055284</v>
      </c>
      <c r="AR50" s="18" t="n">
        <f aca="false">IFERROR(AR14/INDEX(SEMANAS!$K$6:$K$71,MATCH(AR$7,SEMANAS!$B$6:$B$71,0)),0)</f>
        <v>2050.65884220355</v>
      </c>
      <c r="AS50" s="18" t="n">
        <f aca="false">IFERROR(AS14/INDEX(SEMANAS!$K$6:$K$71,MATCH(AS$7,SEMANAS!$B$6:$B$71,0)),0)</f>
        <v>1790.94096234049</v>
      </c>
      <c r="AT50" s="18" t="n">
        <f aca="false">IFERROR(AT14/INDEX(SEMANAS!$K$6:$K$71,MATCH(AT$7,SEMANAS!$B$6:$B$71,0)),0)</f>
        <v>1892.82968867547</v>
      </c>
      <c r="AU50" s="18" t="n">
        <f aca="false">IFERROR(AU14/INDEX(SEMANAS!$K$6:$K$71,MATCH(AU$7,SEMANAS!$B$6:$B$71,0)),0)</f>
        <v>1859.0372227202</v>
      </c>
      <c r="AV50" s="18" t="n">
        <f aca="false">IFERROR(AV14/INDEX(SEMANAS!$K$6:$K$71,MATCH(AV$7,SEMANAS!$B$6:$B$71,0)),0)</f>
        <v>1768.62658437597</v>
      </c>
      <c r="AW50" s="18" t="n">
        <f aca="false">IFERROR(AW14/INDEX(SEMANAS!$K$6:$K$71,MATCH(AW$7,SEMANAS!$B$6:$B$71,0)),0)</f>
        <v>1680.74460021894</v>
      </c>
      <c r="AX50" s="18" t="n">
        <f aca="false">IFERROR(AX14/INDEX(SEMANAS!$K$6:$K$71,MATCH(AX$7,SEMANAS!$B$6:$B$71,0)),0)</f>
        <v>1468.88051295307</v>
      </c>
      <c r="AY50" s="18" t="n">
        <f aca="false">IFERROR(AY14/INDEX(SEMANAS!$K$6:$K$71,MATCH(AY$7,SEMANAS!$B$6:$B$71,0)),0)</f>
        <v>1516.68734474387</v>
      </c>
      <c r="AZ50" s="18" t="n">
        <f aca="false">IFERROR(AZ14/INDEX(SEMANAS!$K$6:$K$71,MATCH(AZ$7,SEMANAS!$B$6:$B$71,0)),0)</f>
        <v>1447.47179831074</v>
      </c>
      <c r="BA50" s="18" t="n">
        <f aca="false">IFERROR(BA14/INDEX(SEMANAS!$K$6:$K$71,MATCH(BA$7,SEMANAS!$B$6:$B$71,0)),0)</f>
        <v>1046.75914811166</v>
      </c>
      <c r="BB50" s="18" t="n">
        <f aca="false">IFERROR(BB14/INDEX(SEMANAS!$K$6:$K$71,MATCH(BB$7,SEMANAS!$B$6:$B$71,0)),0)</f>
        <v>1161.16341991693</v>
      </c>
      <c r="BC50" s="18" t="n">
        <f aca="false">IFERROR(BC14/INDEX(SEMANAS!$K$6:$K$71,MATCH(BC$7,SEMANAS!$B$6:$B$71,0)),0)</f>
        <v>1233.81566970788</v>
      </c>
      <c r="BD50" s="18" t="n">
        <f aca="false">IFERROR(BD14/INDEX(SEMANAS!$K$6:$K$71,MATCH(BD$7,SEMANAS!$B$6:$B$71,0)),0)</f>
        <v>1308.5160929972</v>
      </c>
      <c r="BE50" s="18" t="n">
        <f aca="false">IFERROR(BE14/INDEX(SEMANAS!$K$6:$K$71,MATCH(BE$7,SEMANAS!$B$6:$B$71,0)),0)</f>
        <v>1312.77602240896</v>
      </c>
      <c r="BF50" s="18" t="n">
        <f aca="false">IFERROR(BF14/INDEX(SEMANAS!$K$6:$K$71,MATCH(BF$7,SEMANAS!$B$6:$B$71,0)),0)</f>
        <v>1312.77602240896</v>
      </c>
      <c r="BG50" s="18" t="n">
        <f aca="false">IFERROR(BG14/INDEX(SEMANAS!$K$6:$K$71,MATCH(BG$7,SEMANAS!$B$6:$B$71,0)),0)</f>
        <v>1078.53990236094</v>
      </c>
      <c r="BH50" s="18" t="n">
        <f aca="false">IFERROR(BH14/INDEX(SEMANAS!$K$6:$K$71,MATCH(BH$7,SEMANAS!$B$6:$B$71,0)),0)</f>
        <v>726.712605042017</v>
      </c>
      <c r="BI50" s="18" t="n">
        <f aca="false">IFERROR(BI14/INDEX(SEMANAS!$K$6:$K$71,MATCH(BI$7,SEMANAS!$B$6:$B$71,0)),0)</f>
        <v>665.225254129237</v>
      </c>
      <c r="BJ50" s="18" t="n">
        <f aca="false">IFERROR(BJ14/INDEX(SEMANAS!$K$6:$K$71,MATCH(BJ$7,SEMANAS!$B$6:$B$71,0)),0)</f>
        <v>585.980824108954</v>
      </c>
      <c r="BK50" s="18" t="n">
        <f aca="false">IFERROR(BK14/INDEX(SEMANAS!$K$6:$K$71,MATCH(BK$7,SEMANAS!$B$6:$B$71,0)),0)</f>
        <v>506.73639408867</v>
      </c>
      <c r="BL50" s="18" t="n">
        <f aca="false">IFERROR(BL14/INDEX(SEMANAS!$K$6:$K$71,MATCH(BL$7,SEMANAS!$B$6:$B$71,0)),0)</f>
        <v>8.4056078431373</v>
      </c>
      <c r="BM50" s="18" t="n">
        <f aca="false">IFERROR(BM14/INDEX(SEMANAS!$K$6:$K$71,MATCH(BM$7,SEMANAS!$B$6:$B$71,0)),0)</f>
        <v>0</v>
      </c>
      <c r="BN50" s="18" t="n">
        <f aca="false">IFERROR(BN14/INDEX(SEMANAS!$K$6:$K$71,MATCH(BN$7,SEMANAS!$B$6:$B$71,0)),0)</f>
        <v>0</v>
      </c>
      <c r="BO50" s="18" t="n">
        <f aca="false">IFERROR(BO14/INDEX(SEMANAS!$K$6:$K$71,MATCH(BO$7,SEMANAS!$B$6:$B$71,0)),0)</f>
        <v>0</v>
      </c>
      <c r="BP50" s="18" t="n">
        <f aca="false">IFERROR(BP14/INDEX(SEMANAS!$K$6:$K$71,MATCH(BP$7,SEMANAS!$B$6:$B$71,0)),0)</f>
        <v>0</v>
      </c>
      <c r="BQ50" s="18" t="n">
        <f aca="false">MAX(C50:BP50)</f>
        <v>2774.97595798319</v>
      </c>
    </row>
    <row r="51" customFormat="false" ht="15" hidden="false" customHeight="false" outlineLevel="0" collapsed="false">
      <c r="B51" s="15" t="s">
        <v>135</v>
      </c>
      <c r="C51" s="18" t="n">
        <f aca="false">IFERROR(C15/INDEX(SEMANAS!$K$6:$K$71,MATCH(C$7,SEMANAS!$B$6:$B$71,0)),0)</f>
        <v>0</v>
      </c>
      <c r="D51" s="18" t="n">
        <f aca="false">IFERROR(D15/INDEX(SEMANAS!$K$6:$K$71,MATCH(D$7,SEMANAS!$B$6:$B$71,0)),0)</f>
        <v>0</v>
      </c>
      <c r="E51" s="18" t="n">
        <f aca="false">IFERROR(E15/INDEX(SEMANAS!$K$6:$K$71,MATCH(E$7,SEMANAS!$B$6:$B$71,0)),0)</f>
        <v>0</v>
      </c>
      <c r="F51" s="18" t="n">
        <f aca="false">IFERROR(F15/INDEX(SEMANAS!$K$6:$K$71,MATCH(F$7,SEMANAS!$B$6:$B$71,0)),0)</f>
        <v>0</v>
      </c>
      <c r="G51" s="18" t="n">
        <f aca="false">IFERROR(G15/INDEX(SEMANAS!$K$6:$K$71,MATCH(G$7,SEMANAS!$B$6:$B$71,0)),0)</f>
        <v>0</v>
      </c>
      <c r="H51" s="18" t="n">
        <f aca="false">IFERROR(H15/INDEX(SEMANAS!$K$6:$K$71,MATCH(H$7,SEMANAS!$B$6:$B$71,0)),0)</f>
        <v>0</v>
      </c>
      <c r="I51" s="18" t="n">
        <f aca="false">IFERROR(I15/INDEX(SEMANAS!$K$6:$K$71,MATCH(I$7,SEMANAS!$B$6:$B$71,0)),0)</f>
        <v>0</v>
      </c>
      <c r="J51" s="18" t="n">
        <f aca="false">IFERROR(J15/INDEX(SEMANAS!$K$6:$K$71,MATCH(J$7,SEMANAS!$B$6:$B$71,0)),0)</f>
        <v>0</v>
      </c>
      <c r="K51" s="18" t="n">
        <f aca="false">IFERROR(K15/INDEX(SEMANAS!$K$6:$K$71,MATCH(K$7,SEMANAS!$B$6:$B$71,0)),0)</f>
        <v>0</v>
      </c>
      <c r="L51" s="18" t="n">
        <f aca="false">IFERROR(L15/INDEX(SEMANAS!$K$6:$K$71,MATCH(L$7,SEMANAS!$B$6:$B$71,0)),0)</f>
        <v>0</v>
      </c>
      <c r="M51" s="18" t="n">
        <f aca="false">IFERROR(M15/INDEX(SEMANAS!$K$6:$K$71,MATCH(M$7,SEMANAS!$B$6:$B$71,0)),0)</f>
        <v>0</v>
      </c>
      <c r="N51" s="18" t="n">
        <f aca="false">IFERROR(N15/INDEX(SEMANAS!$K$6:$K$71,MATCH(N$7,SEMANAS!$B$6:$B$71,0)),0)</f>
        <v>0</v>
      </c>
      <c r="O51" s="18" t="n">
        <f aca="false">IFERROR(O15/INDEX(SEMANAS!$K$6:$K$71,MATCH(O$7,SEMANAS!$B$6:$B$71,0)),0)</f>
        <v>0</v>
      </c>
      <c r="P51" s="18" t="n">
        <f aca="false">IFERROR(P15/INDEX(SEMANAS!$K$6:$K$71,MATCH(P$7,SEMANAS!$B$6:$B$71,0)),0)</f>
        <v>0</v>
      </c>
      <c r="Q51" s="18" t="n">
        <f aca="false">IFERROR(Q15/INDEX(SEMANAS!$K$6:$K$71,MATCH(Q$7,SEMANAS!$B$6:$B$71,0)),0)</f>
        <v>0</v>
      </c>
      <c r="R51" s="18" t="n">
        <f aca="false">IFERROR(R15/INDEX(SEMANAS!$K$6:$K$71,MATCH(R$7,SEMANAS!$B$6:$B$71,0)),0)</f>
        <v>0</v>
      </c>
      <c r="S51" s="18" t="n">
        <f aca="false">IFERROR(S15/INDEX(SEMANAS!$K$6:$K$71,MATCH(S$7,SEMANAS!$B$6:$B$71,0)),0)</f>
        <v>0</v>
      </c>
      <c r="T51" s="18" t="n">
        <f aca="false">IFERROR(T15/INDEX(SEMANAS!$K$6:$K$71,MATCH(T$7,SEMANAS!$B$6:$B$71,0)),0)</f>
        <v>0</v>
      </c>
      <c r="U51" s="18" t="n">
        <f aca="false">IFERROR(U15/INDEX(SEMANAS!$K$6:$K$71,MATCH(U$7,SEMANAS!$B$6:$B$71,0)),0)</f>
        <v>0</v>
      </c>
      <c r="V51" s="18" t="n">
        <f aca="false">IFERROR(V15/INDEX(SEMANAS!$K$6:$K$71,MATCH(V$7,SEMANAS!$B$6:$B$71,0)),0)</f>
        <v>0</v>
      </c>
      <c r="W51" s="18" t="n">
        <f aca="false">IFERROR(W15/INDEX(SEMANAS!$K$6:$K$71,MATCH(W$7,SEMANAS!$B$6:$B$71,0)),0)</f>
        <v>0</v>
      </c>
      <c r="X51" s="18" t="n">
        <f aca="false">IFERROR(X15/INDEX(SEMANAS!$K$6:$K$71,MATCH(X$7,SEMANAS!$B$6:$B$71,0)),0)</f>
        <v>0</v>
      </c>
      <c r="Y51" s="18" t="n">
        <f aca="false">IFERROR(Y15/INDEX(SEMANAS!$K$6:$K$71,MATCH(Y$7,SEMANAS!$B$6:$B$71,0)),0)</f>
        <v>0</v>
      </c>
      <c r="Z51" s="18" t="n">
        <f aca="false">IFERROR(Z15/INDEX(SEMANAS!$K$6:$K$71,MATCH(Z$7,SEMANAS!$B$6:$B$71,0)),0)</f>
        <v>0</v>
      </c>
      <c r="AA51" s="18" t="n">
        <f aca="false">IFERROR(AA15/INDEX(SEMANAS!$K$6:$K$71,MATCH(AA$7,SEMANAS!$B$6:$B$71,0)),0)</f>
        <v>0</v>
      </c>
      <c r="AB51" s="18" t="n">
        <f aca="false">IFERROR(AB15/INDEX(SEMANAS!$K$6:$K$71,MATCH(AB$7,SEMANAS!$B$6:$B$71,0)),0)</f>
        <v>0</v>
      </c>
      <c r="AC51" s="18" t="n">
        <f aca="false">IFERROR(AC15/INDEX(SEMANAS!$K$6:$K$71,MATCH(AC$7,SEMANAS!$B$6:$B$71,0)),0)</f>
        <v>0</v>
      </c>
      <c r="AD51" s="18" t="n">
        <f aca="false">IFERROR(AD15/INDEX(SEMANAS!$K$6:$K$71,MATCH(AD$7,SEMANAS!$B$6:$B$71,0)),0)</f>
        <v>0</v>
      </c>
      <c r="AE51" s="18" t="n">
        <f aca="false">IFERROR(AE15/INDEX(SEMANAS!$K$6:$K$71,MATCH(AE$7,SEMANAS!$B$6:$B$71,0)),0)</f>
        <v>0</v>
      </c>
      <c r="AF51" s="18" t="n">
        <f aca="false">IFERROR(AF15/INDEX(SEMANAS!$K$6:$K$71,MATCH(AF$7,SEMANAS!$B$6:$B$71,0)),0)</f>
        <v>0</v>
      </c>
      <c r="AG51" s="18" t="n">
        <f aca="false">IFERROR(AG15/INDEX(SEMANAS!$K$6:$K$71,MATCH(AG$7,SEMANAS!$B$6:$B$71,0)),0)</f>
        <v>0</v>
      </c>
      <c r="AH51" s="18" t="n">
        <f aca="false">IFERROR(AH15/INDEX(SEMANAS!$K$6:$K$71,MATCH(AH$7,SEMANAS!$B$6:$B$71,0)),0)</f>
        <v>0</v>
      </c>
      <c r="AI51" s="18" t="n">
        <f aca="false">IFERROR(AI15/INDEX(SEMANAS!$K$6:$K$71,MATCH(AI$7,SEMANAS!$B$6:$B$71,0)),0)</f>
        <v>0</v>
      </c>
      <c r="AJ51" s="18" t="n">
        <f aca="false">IFERROR(AJ15/INDEX(SEMANAS!$K$6:$K$71,MATCH(AJ$7,SEMANAS!$B$6:$B$71,0)),0)</f>
        <v>0</v>
      </c>
      <c r="AK51" s="18" t="n">
        <f aca="false">IFERROR(AK15/INDEX(SEMANAS!$K$6:$K$71,MATCH(AK$7,SEMANAS!$B$6:$B$71,0)),0)</f>
        <v>0</v>
      </c>
      <c r="AL51" s="18" t="n">
        <f aca="false">IFERROR(AL15/INDEX(SEMANAS!$K$6:$K$71,MATCH(AL$7,SEMANAS!$B$6:$B$71,0)),0)</f>
        <v>0</v>
      </c>
      <c r="AM51" s="18" t="n">
        <f aca="false">IFERROR(AM15/INDEX(SEMANAS!$K$6:$K$71,MATCH(AM$7,SEMANAS!$B$6:$B$71,0)),0)</f>
        <v>0</v>
      </c>
      <c r="AN51" s="18" t="n">
        <f aca="false">IFERROR(AN15/INDEX(SEMANAS!$K$6:$K$71,MATCH(AN$7,SEMANAS!$B$6:$B$71,0)),0)</f>
        <v>0</v>
      </c>
      <c r="AO51" s="18" t="n">
        <f aca="false">IFERROR(AO15/INDEX(SEMANAS!$K$6:$K$71,MATCH(AO$7,SEMANAS!$B$6:$B$71,0)),0)</f>
        <v>0</v>
      </c>
      <c r="AP51" s="18" t="n">
        <f aca="false">IFERROR(AP15/INDEX(SEMANAS!$K$6:$K$71,MATCH(AP$7,SEMANAS!$B$6:$B$71,0)),0)</f>
        <v>0</v>
      </c>
      <c r="AQ51" s="18" t="n">
        <f aca="false">IFERROR(AQ15/INDEX(SEMANAS!$K$6:$K$71,MATCH(AQ$7,SEMANAS!$B$6:$B$71,0)),0)</f>
        <v>0</v>
      </c>
      <c r="AR51" s="18" t="n">
        <f aca="false">IFERROR(AR15/INDEX(SEMANAS!$K$6:$K$71,MATCH(AR$7,SEMANAS!$B$6:$B$71,0)),0)</f>
        <v>0</v>
      </c>
      <c r="AS51" s="18" t="n">
        <f aca="false">IFERROR(AS15/INDEX(SEMANAS!$K$6:$K$71,MATCH(AS$7,SEMANAS!$B$6:$B$71,0)),0)</f>
        <v>0</v>
      </c>
      <c r="AT51" s="18" t="n">
        <f aca="false">IFERROR(AT15/INDEX(SEMANAS!$K$6:$K$71,MATCH(AT$7,SEMANAS!$B$6:$B$71,0)),0)</f>
        <v>0</v>
      </c>
      <c r="AU51" s="18" t="n">
        <f aca="false">IFERROR(AU15/INDEX(SEMANAS!$K$6:$K$71,MATCH(AU$7,SEMANAS!$B$6:$B$71,0)),0)</f>
        <v>0</v>
      </c>
      <c r="AV51" s="18" t="n">
        <f aca="false">IFERROR(AV15/INDEX(SEMANAS!$K$6:$K$71,MATCH(AV$7,SEMANAS!$B$6:$B$71,0)),0)</f>
        <v>0</v>
      </c>
      <c r="AW51" s="18" t="n">
        <f aca="false">IFERROR(AW15/INDEX(SEMANAS!$K$6:$K$71,MATCH(AW$7,SEMANAS!$B$6:$B$71,0)),0)</f>
        <v>0</v>
      </c>
      <c r="AX51" s="18" t="n">
        <f aca="false">IFERROR(AX15/INDEX(SEMANAS!$K$6:$K$71,MATCH(AX$7,SEMANAS!$B$6:$B$71,0)),0)</f>
        <v>0</v>
      </c>
      <c r="AY51" s="18" t="n">
        <f aca="false">IFERROR(AY15/INDEX(SEMANAS!$K$6:$K$71,MATCH(AY$7,SEMANAS!$B$6:$B$71,0)),0)</f>
        <v>0</v>
      </c>
      <c r="AZ51" s="18" t="n">
        <f aca="false">IFERROR(AZ15/INDEX(SEMANAS!$K$6:$K$71,MATCH(AZ$7,SEMANAS!$B$6:$B$71,0)),0)</f>
        <v>0</v>
      </c>
      <c r="BA51" s="18" t="n">
        <f aca="false">IFERROR(BA15/INDEX(SEMANAS!$K$6:$K$71,MATCH(BA$7,SEMANAS!$B$6:$B$71,0)),0)</f>
        <v>0</v>
      </c>
      <c r="BB51" s="18" t="n">
        <f aca="false">IFERROR(BB15/INDEX(SEMANAS!$K$6:$K$71,MATCH(BB$7,SEMANAS!$B$6:$B$71,0)),0)</f>
        <v>0</v>
      </c>
      <c r="BC51" s="18" t="n">
        <f aca="false">IFERROR(BC15/INDEX(SEMANAS!$K$6:$K$71,MATCH(BC$7,SEMANAS!$B$6:$B$71,0)),0)</f>
        <v>0</v>
      </c>
      <c r="BD51" s="18" t="n">
        <f aca="false">IFERROR(BD15/INDEX(SEMANAS!$K$6:$K$71,MATCH(BD$7,SEMANAS!$B$6:$B$71,0)),0)</f>
        <v>0</v>
      </c>
      <c r="BE51" s="18" t="n">
        <f aca="false">IFERROR(BE15/INDEX(SEMANAS!$K$6:$K$71,MATCH(BE$7,SEMANAS!$B$6:$B$71,0)),0)</f>
        <v>0</v>
      </c>
      <c r="BF51" s="18" t="n">
        <f aca="false">IFERROR(BF15/INDEX(SEMANAS!$K$6:$K$71,MATCH(BF$7,SEMANAS!$B$6:$B$71,0)),0)</f>
        <v>0</v>
      </c>
      <c r="BG51" s="18" t="n">
        <f aca="false">IFERROR(BG15/INDEX(SEMANAS!$K$6:$K$71,MATCH(BG$7,SEMANAS!$B$6:$B$71,0)),0)</f>
        <v>0</v>
      </c>
      <c r="BH51" s="18" t="n">
        <f aca="false">IFERROR(BH15/INDEX(SEMANAS!$K$6:$K$71,MATCH(BH$7,SEMANAS!$B$6:$B$71,0)),0)</f>
        <v>0</v>
      </c>
      <c r="BI51" s="18" t="n">
        <f aca="false">IFERROR(BI15/INDEX(SEMANAS!$K$6:$K$71,MATCH(BI$7,SEMANAS!$B$6:$B$71,0)),0)</f>
        <v>0</v>
      </c>
      <c r="BJ51" s="18" t="n">
        <f aca="false">IFERROR(BJ15/INDEX(SEMANAS!$K$6:$K$71,MATCH(BJ$7,SEMANAS!$B$6:$B$71,0)),0)</f>
        <v>0</v>
      </c>
      <c r="BK51" s="18" t="n">
        <f aca="false">IFERROR(BK15/INDEX(SEMANAS!$K$6:$K$71,MATCH(BK$7,SEMANAS!$B$6:$B$71,0)),0)</f>
        <v>0</v>
      </c>
      <c r="BL51" s="18" t="n">
        <f aca="false">IFERROR(BL15/INDEX(SEMANAS!$K$6:$K$71,MATCH(BL$7,SEMANAS!$B$6:$B$71,0)),0)</f>
        <v>0</v>
      </c>
      <c r="BM51" s="18" t="n">
        <f aca="false">IFERROR(BM15/INDEX(SEMANAS!$K$6:$K$71,MATCH(BM$7,SEMANAS!$B$6:$B$71,0)),0)</f>
        <v>0</v>
      </c>
      <c r="BN51" s="18" t="n">
        <f aca="false">IFERROR(BN15/INDEX(SEMANAS!$K$6:$K$71,MATCH(BN$7,SEMANAS!$B$6:$B$71,0)),0)</f>
        <v>0</v>
      </c>
      <c r="BO51" s="18" t="n">
        <f aca="false">IFERROR(BO15/INDEX(SEMANAS!$K$6:$K$71,MATCH(BO$7,SEMANAS!$B$6:$B$71,0)),0)</f>
        <v>0</v>
      </c>
      <c r="BP51" s="18" t="n">
        <f aca="false">IFERROR(BP15/INDEX(SEMANAS!$K$6:$K$71,MATCH(BP$7,SEMANAS!$B$6:$B$71,0)),0)</f>
        <v>0</v>
      </c>
      <c r="BQ51" s="18" t="n">
        <f aca="false">MAX(C51:BP51)</f>
        <v>0</v>
      </c>
    </row>
    <row r="54" customFormat="false" ht="15" hidden="false" customHeight="false" outlineLevel="0" collapsed="false">
      <c r="B54" s="3" t="s">
        <v>604</v>
      </c>
    </row>
    <row r="55" customFormat="false" ht="15" hidden="false" customHeight="false" outlineLevel="0" collapsed="false">
      <c r="B55" s="14" t="s">
        <v>187</v>
      </c>
      <c r="C55" s="14" t="n">
        <v>1</v>
      </c>
      <c r="D55" s="14" t="n">
        <v>2</v>
      </c>
      <c r="E55" s="14" t="n">
        <v>3</v>
      </c>
      <c r="F55" s="14" t="n">
        <v>4</v>
      </c>
      <c r="G55" s="14" t="n">
        <v>5</v>
      </c>
      <c r="H55" s="14" t="n">
        <v>6</v>
      </c>
      <c r="I55" s="14" t="n">
        <v>7</v>
      </c>
      <c r="J55" s="14" t="n">
        <v>8</v>
      </c>
      <c r="K55" s="14" t="n">
        <v>9</v>
      </c>
      <c r="L55" s="14" t="n">
        <v>10</v>
      </c>
      <c r="M55" s="14" t="n">
        <v>11</v>
      </c>
      <c r="N55" s="14" t="n">
        <v>12</v>
      </c>
      <c r="O55" s="14" t="n">
        <v>13</v>
      </c>
      <c r="P55" s="14" t="n">
        <v>14</v>
      </c>
      <c r="Q55" s="14" t="n">
        <v>15</v>
      </c>
      <c r="R55" s="14" t="n">
        <v>16</v>
      </c>
      <c r="S55" s="14" t="n">
        <v>17</v>
      </c>
      <c r="T55" s="14" t="n">
        <v>18</v>
      </c>
      <c r="U55" s="14" t="n">
        <v>19</v>
      </c>
      <c r="V55" s="14" t="n">
        <v>20</v>
      </c>
      <c r="W55" s="14" t="n">
        <v>21</v>
      </c>
      <c r="X55" s="14" t="n">
        <v>22</v>
      </c>
      <c r="Y55" s="14" t="n">
        <v>23</v>
      </c>
      <c r="Z55" s="14" t="n">
        <v>24</v>
      </c>
      <c r="AA55" s="14" t="n">
        <v>25</v>
      </c>
      <c r="AB55" s="14" t="n">
        <v>26</v>
      </c>
      <c r="AC55" s="14" t="n">
        <v>27</v>
      </c>
      <c r="AD55" s="14" t="n">
        <v>28</v>
      </c>
      <c r="AE55" s="14" t="n">
        <v>29</v>
      </c>
      <c r="AF55" s="14" t="n">
        <v>30</v>
      </c>
      <c r="AG55" s="14" t="n">
        <v>31</v>
      </c>
      <c r="AH55" s="14" t="n">
        <v>32</v>
      </c>
      <c r="AI55" s="14" t="n">
        <v>33</v>
      </c>
      <c r="AJ55" s="14" t="n">
        <v>34</v>
      </c>
      <c r="AK55" s="14" t="n">
        <v>35</v>
      </c>
      <c r="AL55" s="14" t="n">
        <v>36</v>
      </c>
      <c r="AM55" s="14" t="n">
        <v>37</v>
      </c>
      <c r="AN55" s="14" t="n">
        <v>38</v>
      </c>
      <c r="AO55" s="14" t="n">
        <v>39</v>
      </c>
      <c r="AP55" s="14" t="n">
        <v>40</v>
      </c>
      <c r="AQ55" s="14" t="n">
        <v>41</v>
      </c>
      <c r="AR55" s="14" t="n">
        <v>42</v>
      </c>
      <c r="AS55" s="14" t="n">
        <v>43</v>
      </c>
      <c r="AT55" s="14" t="n">
        <v>44</v>
      </c>
      <c r="AU55" s="14" t="n">
        <v>45</v>
      </c>
      <c r="AV55" s="14" t="n">
        <v>46</v>
      </c>
      <c r="AW55" s="14" t="n">
        <v>47</v>
      </c>
      <c r="AX55" s="14" t="n">
        <v>48</v>
      </c>
      <c r="AY55" s="14" t="n">
        <v>49</v>
      </c>
      <c r="AZ55" s="14" t="n">
        <v>50</v>
      </c>
      <c r="BA55" s="14" t="n">
        <v>51</v>
      </c>
      <c r="BB55" s="14" t="n">
        <v>52</v>
      </c>
      <c r="BC55" s="14" t="n">
        <v>53</v>
      </c>
      <c r="BD55" s="14" t="n">
        <v>54</v>
      </c>
      <c r="BE55" s="14" t="n">
        <v>55</v>
      </c>
      <c r="BF55" s="14" t="n">
        <v>56</v>
      </c>
      <c r="BG55" s="14" t="n">
        <v>57</v>
      </c>
      <c r="BH55" s="14" t="n">
        <v>58</v>
      </c>
      <c r="BI55" s="14" t="n">
        <v>59</v>
      </c>
      <c r="BJ55" s="14" t="n">
        <v>60</v>
      </c>
      <c r="BK55" s="14" t="n">
        <v>61</v>
      </c>
      <c r="BL55" s="14" t="n">
        <v>62</v>
      </c>
      <c r="BM55" s="14" t="n">
        <v>63</v>
      </c>
      <c r="BN55" s="14" t="n">
        <v>64</v>
      </c>
      <c r="BO55" s="14" t="n">
        <v>65</v>
      </c>
      <c r="BP55" s="14" t="n">
        <v>66</v>
      </c>
      <c r="BQ55" s="14" t="s">
        <v>601</v>
      </c>
    </row>
    <row r="56" customFormat="false" ht="15" hidden="false" customHeight="false" outlineLevel="0" collapsed="false">
      <c r="B56" s="15" t="s">
        <v>128</v>
      </c>
      <c r="C56" s="19" t="n">
        <f aca="false">IFERROR(C44/INDEX(CADASTRO_CASAS_BOMBA!$H$6:$H$13,MATCH($B56,CADASTRO_CASAS_BOMBA!$B$6:$B$13,0)),0)</f>
        <v>0</v>
      </c>
      <c r="D56" s="19" t="n">
        <f aca="false">IFERROR(D44/INDEX(CADASTRO_CASAS_BOMBA!$H$6:$H$13,MATCH($B56,CADASTRO_CASAS_BOMBA!$B$6:$B$13,0)),0)</f>
        <v>0</v>
      </c>
      <c r="E56" s="19" t="n">
        <f aca="false">IFERROR(E44/INDEX(CADASTRO_CASAS_BOMBA!$H$6:$H$13,MATCH($B56,CADASTRO_CASAS_BOMBA!$B$6:$B$13,0)),0)</f>
        <v>0</v>
      </c>
      <c r="F56" s="19" t="n">
        <f aca="false">IFERROR(F44/INDEX(CADASTRO_CASAS_BOMBA!$H$6:$H$13,MATCH($B56,CADASTRO_CASAS_BOMBA!$B$6:$B$13,0)),0)</f>
        <v>0</v>
      </c>
      <c r="G56" s="19" t="n">
        <f aca="false">IFERROR(G44/INDEX(CADASTRO_CASAS_BOMBA!$H$6:$H$13,MATCH($B56,CADASTRO_CASAS_BOMBA!$B$6:$B$13,0)),0)</f>
        <v>0.0127282913165266</v>
      </c>
      <c r="H56" s="19" t="n">
        <f aca="false">IFERROR(H44/INDEX(CADASTRO_CASAS_BOMBA!$H$6:$H$13,MATCH($B56,CADASTRO_CASAS_BOMBA!$B$6:$B$13,0)),0)</f>
        <v>0</v>
      </c>
      <c r="I56" s="19" t="n">
        <f aca="false">IFERROR(I44/INDEX(CADASTRO_CASAS_BOMBA!$H$6:$H$13,MATCH($B56,CADASTRO_CASAS_BOMBA!$B$6:$B$13,0)),0)</f>
        <v>0</v>
      </c>
      <c r="J56" s="19" t="n">
        <f aca="false">IFERROR(J44/INDEX(CADASTRO_CASAS_BOMBA!$H$6:$H$13,MATCH($B56,CADASTRO_CASAS_BOMBA!$B$6:$B$13,0)),0)</f>
        <v>0.0289411764705882</v>
      </c>
      <c r="K56" s="19" t="n">
        <f aca="false">IFERROR(K44/INDEX(CADASTRO_CASAS_BOMBA!$H$6:$H$13,MATCH($B56,CADASTRO_CASAS_BOMBA!$B$6:$B$13,0)),0)</f>
        <v>0.0863631082062455</v>
      </c>
      <c r="L56" s="19" t="n">
        <f aca="false">IFERROR(L44/INDEX(CADASTRO_CASAS_BOMBA!$H$6:$H$13,MATCH($B56,CADASTRO_CASAS_BOMBA!$B$6:$B$13,0)),0)</f>
        <v>0</v>
      </c>
      <c r="M56" s="19" t="n">
        <f aca="false">IFERROR(M44/INDEX(CADASTRO_CASAS_BOMBA!$H$6:$H$13,MATCH($B56,CADASTRO_CASAS_BOMBA!$B$6:$B$13,0)),0)</f>
        <v>0.0234509803921568</v>
      </c>
      <c r="N56" s="19" t="n">
        <f aca="false">IFERROR(N44/INDEX(CADASTRO_CASAS_BOMBA!$H$6:$H$13,MATCH($B56,CADASTRO_CASAS_BOMBA!$B$6:$B$13,0)),0)</f>
        <v>0.0234509803921568</v>
      </c>
      <c r="O56" s="19" t="n">
        <f aca="false">IFERROR(O44/INDEX(CADASTRO_CASAS_BOMBA!$H$6:$H$13,MATCH($B56,CADASTRO_CASAS_BOMBA!$B$6:$B$13,0)),0)</f>
        <v>0.0234509803921568</v>
      </c>
      <c r="P56" s="19" t="n">
        <f aca="false">IFERROR(P44/INDEX(CADASTRO_CASAS_BOMBA!$H$6:$H$13,MATCH($B56,CADASTRO_CASAS_BOMBA!$B$6:$B$13,0)),0)</f>
        <v>0</v>
      </c>
      <c r="Q56" s="19" t="n">
        <f aca="false">IFERROR(Q44/INDEX(CADASTRO_CASAS_BOMBA!$H$6:$H$13,MATCH($B56,CADASTRO_CASAS_BOMBA!$B$6:$B$13,0)),0)</f>
        <v>0</v>
      </c>
      <c r="R56" s="19" t="n">
        <f aca="false">IFERROR(R44/INDEX(CADASTRO_CASAS_BOMBA!$H$6:$H$13,MATCH($B56,CADASTRO_CASAS_BOMBA!$B$6:$B$13,0)),0)</f>
        <v>0</v>
      </c>
      <c r="S56" s="19" t="n">
        <f aca="false">IFERROR(S44/INDEX(CADASTRO_CASAS_BOMBA!$H$6:$H$13,MATCH($B56,CADASTRO_CASAS_BOMBA!$B$6:$B$13,0)),0)</f>
        <v>0</v>
      </c>
      <c r="T56" s="19" t="n">
        <f aca="false">IFERROR(T44/INDEX(CADASTRO_CASAS_BOMBA!$H$6:$H$13,MATCH($B56,CADASTRO_CASAS_BOMBA!$B$6:$B$13,0)),0)</f>
        <v>0</v>
      </c>
      <c r="U56" s="19" t="n">
        <f aca="false">IFERROR(U44/INDEX(CADASTRO_CASAS_BOMBA!$H$6:$H$13,MATCH($B56,CADASTRO_CASAS_BOMBA!$B$6:$B$13,0)),0)</f>
        <v>0</v>
      </c>
      <c r="V56" s="19" t="n">
        <f aca="false">IFERROR(V44/INDEX(CADASTRO_CASAS_BOMBA!$H$6:$H$13,MATCH($B56,CADASTRO_CASAS_BOMBA!$B$6:$B$13,0)),0)</f>
        <v>0</v>
      </c>
      <c r="W56" s="19" t="n">
        <f aca="false">IFERROR(W44/INDEX(CADASTRO_CASAS_BOMBA!$H$6:$H$13,MATCH($B56,CADASTRO_CASAS_BOMBA!$B$6:$B$13,0)),0)</f>
        <v>0</v>
      </c>
      <c r="X56" s="19" t="n">
        <f aca="false">IFERROR(X44/INDEX(CADASTRO_CASAS_BOMBA!$H$6:$H$13,MATCH($B56,CADASTRO_CASAS_BOMBA!$B$6:$B$13,0)),0)</f>
        <v>0</v>
      </c>
      <c r="Y56" s="19" t="n">
        <f aca="false">IFERROR(Y44/INDEX(CADASTRO_CASAS_BOMBA!$H$6:$H$13,MATCH($B56,CADASTRO_CASAS_BOMBA!$B$6:$B$13,0)),0)</f>
        <v>0</v>
      </c>
      <c r="Z56" s="19" t="n">
        <f aca="false">IFERROR(Z44/INDEX(CADASTRO_CASAS_BOMBA!$H$6:$H$13,MATCH($B56,CADASTRO_CASAS_BOMBA!$B$6:$B$13,0)),0)</f>
        <v>0</v>
      </c>
      <c r="AA56" s="19" t="n">
        <f aca="false">IFERROR(AA44/INDEX(CADASTRO_CASAS_BOMBA!$H$6:$H$13,MATCH($B56,CADASTRO_CASAS_BOMBA!$B$6:$B$13,0)),0)</f>
        <v>0</v>
      </c>
      <c r="AB56" s="19" t="n">
        <f aca="false">IFERROR(AB44/INDEX(CADASTRO_CASAS_BOMBA!$H$6:$H$13,MATCH($B56,CADASTRO_CASAS_BOMBA!$B$6:$B$13,0)),0)</f>
        <v>0</v>
      </c>
      <c r="AC56" s="19" t="n">
        <f aca="false">IFERROR(AC44/INDEX(CADASTRO_CASAS_BOMBA!$H$6:$H$13,MATCH($B56,CADASTRO_CASAS_BOMBA!$B$6:$B$13,0)),0)</f>
        <v>0</v>
      </c>
      <c r="AD56" s="19" t="n">
        <f aca="false">IFERROR(AD44/INDEX(CADASTRO_CASAS_BOMBA!$H$6:$H$13,MATCH($B56,CADASTRO_CASAS_BOMBA!$B$6:$B$13,0)),0)</f>
        <v>0</v>
      </c>
      <c r="AE56" s="19" t="n">
        <f aca="false">IFERROR(AE44/INDEX(CADASTRO_CASAS_BOMBA!$H$6:$H$13,MATCH($B56,CADASTRO_CASAS_BOMBA!$B$6:$B$13,0)),0)</f>
        <v>0</v>
      </c>
      <c r="AF56" s="19" t="n">
        <f aca="false">IFERROR(AF44/INDEX(CADASTRO_CASAS_BOMBA!$H$6:$H$13,MATCH($B56,CADASTRO_CASAS_BOMBA!$B$6:$B$13,0)),0)</f>
        <v>0</v>
      </c>
      <c r="AG56" s="19" t="n">
        <f aca="false">IFERROR(AG44/INDEX(CADASTRO_CASAS_BOMBA!$H$6:$H$13,MATCH($B56,CADASTRO_CASAS_BOMBA!$B$6:$B$13,0)),0)</f>
        <v>0.0484984336930038</v>
      </c>
      <c r="AH56" s="19" t="n">
        <f aca="false">IFERROR(AH44/INDEX(CADASTRO_CASAS_BOMBA!$H$6:$H$13,MATCH($B56,CADASTRO_CASAS_BOMBA!$B$6:$B$13,0)),0)</f>
        <v>0.165290172873883</v>
      </c>
      <c r="AI56" s="19" t="n">
        <f aca="false">IFERROR(AI44/INDEX(CADASTRO_CASAS_BOMBA!$H$6:$H$13,MATCH($B56,CADASTRO_CASAS_BOMBA!$B$6:$B$13,0)),0)</f>
        <v>0.204273813667479</v>
      </c>
      <c r="AJ56" s="19" t="n">
        <f aca="false">IFERROR(AJ44/INDEX(CADASTRO_CASAS_BOMBA!$H$6:$H$13,MATCH($B56,CADASTRO_CASAS_BOMBA!$B$6:$B$13,0)),0)</f>
        <v>0.243257454461074</v>
      </c>
      <c r="AK56" s="19" t="n">
        <f aca="false">IFERROR(AK44/INDEX(CADASTRO_CASAS_BOMBA!$H$6:$H$13,MATCH($B56,CADASTRO_CASAS_BOMBA!$B$6:$B$13,0)),0)</f>
        <v>0.285120448179272</v>
      </c>
      <c r="AL56" s="19" t="n">
        <f aca="false">IFERROR(AL44/INDEX(CADASTRO_CASAS_BOMBA!$H$6:$H$13,MATCH($B56,CADASTRO_CASAS_BOMBA!$B$6:$B$13,0)),0)</f>
        <v>0.348705882352941</v>
      </c>
      <c r="AM56" s="19" t="n">
        <f aca="false">IFERROR(AM44/INDEX(CADASTRO_CASAS_BOMBA!$H$6:$H$13,MATCH($B56,CADASTRO_CASAS_BOMBA!$B$6:$B$13,0)),0)</f>
        <v>0.348705882352941</v>
      </c>
      <c r="AN56" s="19" t="n">
        <f aca="false">IFERROR(AN44/INDEX(CADASTRO_CASAS_BOMBA!$H$6:$H$13,MATCH($B56,CADASTRO_CASAS_BOMBA!$B$6:$B$13,0)),0)</f>
        <v>0.348705882352941</v>
      </c>
      <c r="AO56" s="19" t="n">
        <f aca="false">IFERROR(AO44/INDEX(CADASTRO_CASAS_BOMBA!$H$6:$H$13,MATCH($B56,CADASTRO_CASAS_BOMBA!$B$6:$B$13,0)),0)</f>
        <v>0.348705882352941</v>
      </c>
      <c r="AP56" s="19" t="n">
        <f aca="false">IFERROR(AP44/INDEX(CADASTRO_CASAS_BOMBA!$H$6:$H$13,MATCH($B56,CADASTRO_CASAS_BOMBA!$B$6:$B$13,0)),0)</f>
        <v>0.349915966386555</v>
      </c>
      <c r="AQ56" s="19" t="n">
        <f aca="false">IFERROR(AQ44/INDEX(CADASTRO_CASAS_BOMBA!$H$6:$H$13,MATCH($B56,CADASTRO_CASAS_BOMBA!$B$6:$B$13,0)),0)</f>
        <v>0.350117647058824</v>
      </c>
      <c r="AR56" s="19" t="n">
        <f aca="false">IFERROR(AR44/INDEX(CADASTRO_CASAS_BOMBA!$H$6:$H$13,MATCH($B56,CADASTRO_CASAS_BOMBA!$B$6:$B$13,0)),0)</f>
        <v>0.350117647058824</v>
      </c>
      <c r="AS56" s="19" t="n">
        <f aca="false">IFERROR(AS44/INDEX(CADASTRO_CASAS_BOMBA!$H$6:$H$13,MATCH($B56,CADASTRO_CASAS_BOMBA!$B$6:$B$13,0)),0)</f>
        <v>0.350117647058824</v>
      </c>
      <c r="AT56" s="19" t="n">
        <f aca="false">IFERROR(AT44/INDEX(CADASTRO_CASAS_BOMBA!$H$6:$H$13,MATCH($B56,CADASTRO_CASAS_BOMBA!$B$6:$B$13,0)),0)</f>
        <v>0.346338166035645</v>
      </c>
      <c r="AU56" s="19" t="n">
        <f aca="false">IFERROR(AU44/INDEX(CADASTRO_CASAS_BOMBA!$H$6:$H$13,MATCH($B56,CADASTRO_CASAS_BOMBA!$B$6:$B$13,0)),0)</f>
        <v>0.335365941248294</v>
      </c>
      <c r="AV56" s="19" t="n">
        <f aca="false">IFERROR(AV44/INDEX(CADASTRO_CASAS_BOMBA!$H$6:$H$13,MATCH($B56,CADASTRO_CASAS_BOMBA!$B$6:$B$13,0)),0)</f>
        <v>0.311585146879265</v>
      </c>
      <c r="AW56" s="19" t="n">
        <f aca="false">IFERROR(AW44/INDEX(CADASTRO_CASAS_BOMBA!$H$6:$H$13,MATCH($B56,CADASTRO_CASAS_BOMBA!$B$6:$B$13,0)),0)</f>
        <v>0.287804352510235</v>
      </c>
      <c r="AX56" s="19" t="n">
        <f aca="false">IFERROR(AX44/INDEX(CADASTRO_CASAS_BOMBA!$H$6:$H$13,MATCH($B56,CADASTRO_CASAS_BOMBA!$B$6:$B$13,0)),0)</f>
        <v>0.271567745046737</v>
      </c>
      <c r="AY56" s="19" t="n">
        <f aca="false">IFERROR(AY44/INDEX(CADASTRO_CASAS_BOMBA!$H$6:$H$13,MATCH($B56,CADASTRO_CASAS_BOMBA!$B$6:$B$13,0)),0)</f>
        <v>0.288074696545285</v>
      </c>
      <c r="AZ56" s="19" t="n">
        <f aca="false">IFERROR(AZ44/INDEX(CADASTRO_CASAS_BOMBA!$H$6:$H$13,MATCH($B56,CADASTRO_CASAS_BOMBA!$B$6:$B$13,0)),0)</f>
        <v>0.259316526610644</v>
      </c>
      <c r="BA56" s="19" t="n">
        <f aca="false">IFERROR(BA44/INDEX(CADASTRO_CASAS_BOMBA!$H$6:$H$13,MATCH($B56,CADASTRO_CASAS_BOMBA!$B$6:$B$13,0)),0)</f>
        <v>0</v>
      </c>
      <c r="BB56" s="19" t="n">
        <f aca="false">IFERROR(BB44/INDEX(CADASTRO_CASAS_BOMBA!$H$6:$H$13,MATCH($B56,CADASTRO_CASAS_BOMBA!$B$6:$B$13,0)),0)</f>
        <v>0</v>
      </c>
      <c r="BC56" s="19" t="n">
        <f aca="false">IFERROR(BC44/INDEX(CADASTRO_CASAS_BOMBA!$H$6:$H$13,MATCH($B56,CADASTRO_CASAS_BOMBA!$B$6:$B$13,0)),0)</f>
        <v>0</v>
      </c>
      <c r="BD56" s="19" t="n">
        <f aca="false">IFERROR(BD44/INDEX(CADASTRO_CASAS_BOMBA!$H$6:$H$13,MATCH($B56,CADASTRO_CASAS_BOMBA!$B$6:$B$13,0)),0)</f>
        <v>0</v>
      </c>
      <c r="BE56" s="19" t="n">
        <f aca="false">IFERROR(BE44/INDEX(CADASTRO_CASAS_BOMBA!$H$6:$H$13,MATCH($B56,CADASTRO_CASAS_BOMBA!$B$6:$B$13,0)),0)</f>
        <v>0</v>
      </c>
      <c r="BF56" s="19" t="n">
        <f aca="false">IFERROR(BF44/INDEX(CADASTRO_CASAS_BOMBA!$H$6:$H$13,MATCH($B56,CADASTRO_CASAS_BOMBA!$B$6:$B$13,0)),0)</f>
        <v>0</v>
      </c>
      <c r="BG56" s="19" t="n">
        <f aca="false">IFERROR(BG44/INDEX(CADASTRO_CASAS_BOMBA!$H$6:$H$13,MATCH($B56,CADASTRO_CASAS_BOMBA!$B$6:$B$13,0)),0)</f>
        <v>0</v>
      </c>
      <c r="BH56" s="19" t="n">
        <f aca="false">IFERROR(BH44/INDEX(CADASTRO_CASAS_BOMBA!$H$6:$H$13,MATCH($B56,CADASTRO_CASAS_BOMBA!$B$6:$B$13,0)),0)</f>
        <v>0</v>
      </c>
      <c r="BI56" s="19" t="n">
        <f aca="false">IFERROR(BI44/INDEX(CADASTRO_CASAS_BOMBA!$H$6:$H$13,MATCH($B56,CADASTRO_CASAS_BOMBA!$B$6:$B$13,0)),0)</f>
        <v>0</v>
      </c>
      <c r="BJ56" s="19" t="n">
        <f aca="false">IFERROR(BJ44/INDEX(CADASTRO_CASAS_BOMBA!$H$6:$H$13,MATCH($B56,CADASTRO_CASAS_BOMBA!$B$6:$B$13,0)),0)</f>
        <v>0</v>
      </c>
      <c r="BK56" s="19" t="n">
        <f aca="false">IFERROR(BK44/INDEX(CADASTRO_CASAS_BOMBA!$H$6:$H$13,MATCH($B56,CADASTRO_CASAS_BOMBA!$B$6:$B$13,0)),0)</f>
        <v>0</v>
      </c>
      <c r="BL56" s="19" t="n">
        <f aca="false">IFERROR(BL44/INDEX(CADASTRO_CASAS_BOMBA!$H$6:$H$13,MATCH($B56,CADASTRO_CASAS_BOMBA!$B$6:$B$13,0)),0)</f>
        <v>0</v>
      </c>
      <c r="BM56" s="19" t="n">
        <f aca="false">IFERROR(BM44/INDEX(CADASTRO_CASAS_BOMBA!$H$6:$H$13,MATCH($B56,CADASTRO_CASAS_BOMBA!$B$6:$B$13,0)),0)</f>
        <v>0</v>
      </c>
      <c r="BN56" s="19" t="n">
        <f aca="false">IFERROR(BN44/INDEX(CADASTRO_CASAS_BOMBA!$H$6:$H$13,MATCH($B56,CADASTRO_CASAS_BOMBA!$B$6:$B$13,0)),0)</f>
        <v>0</v>
      </c>
      <c r="BO56" s="19" t="n">
        <f aca="false">IFERROR(BO44/INDEX(CADASTRO_CASAS_BOMBA!$H$6:$H$13,MATCH($B56,CADASTRO_CASAS_BOMBA!$B$6:$B$13,0)),0)</f>
        <v>0</v>
      </c>
      <c r="BP56" s="19" t="n">
        <f aca="false">IFERROR(BP44/INDEX(CADASTRO_CASAS_BOMBA!$H$6:$H$13,MATCH($B56,CADASTRO_CASAS_BOMBA!$B$6:$B$13,0)),0)</f>
        <v>0</v>
      </c>
      <c r="BQ56" s="19" t="n">
        <f aca="false">MAX(C56:BP56)</f>
        <v>0.350117647058824</v>
      </c>
    </row>
    <row r="57" customFormat="false" ht="15" hidden="false" customHeight="false" outlineLevel="0" collapsed="false">
      <c r="B57" s="15" t="s">
        <v>129</v>
      </c>
      <c r="C57" s="19" t="n">
        <f aca="false">IFERROR(C45/INDEX(CADASTRO_CASAS_BOMBA!$H$6:$H$13,MATCH($B57,CADASTRO_CASAS_BOMBA!$B$6:$B$13,0)),0)</f>
        <v>0.107128162882397</v>
      </c>
      <c r="D57" s="19" t="n">
        <f aca="false">IFERROR(D45/INDEX(CADASTRO_CASAS_BOMBA!$H$6:$H$13,MATCH($B57,CADASTRO_CASAS_BOMBA!$B$6:$B$13,0)),0)</f>
        <v>0</v>
      </c>
      <c r="E57" s="19" t="n">
        <f aca="false">IFERROR(E45/INDEX(CADASTRO_CASAS_BOMBA!$H$6:$H$13,MATCH($B57,CADASTRO_CASAS_BOMBA!$B$6:$B$13,0)),0)</f>
        <v>0</v>
      </c>
      <c r="F57" s="19" t="n">
        <f aca="false">IFERROR(F45/INDEX(CADASTRO_CASAS_BOMBA!$H$6:$H$13,MATCH($B57,CADASTRO_CASAS_BOMBA!$B$6:$B$13,0)),0)</f>
        <v>0</v>
      </c>
      <c r="G57" s="19" t="n">
        <f aca="false">IFERROR(G45/INDEX(CADASTRO_CASAS_BOMBA!$H$6:$H$13,MATCH($B57,CADASTRO_CASAS_BOMBA!$B$6:$B$13,0)),0)</f>
        <v>0.00638095601061256</v>
      </c>
      <c r="H57" s="19" t="n">
        <f aca="false">IFERROR(H45/INDEX(CADASTRO_CASAS_BOMBA!$H$6:$H$13,MATCH($B57,CADASTRO_CASAS_BOMBA!$B$6:$B$13,0)),0)</f>
        <v>0</v>
      </c>
      <c r="I57" s="19" t="n">
        <f aca="false">IFERROR(I45/INDEX(CADASTRO_CASAS_BOMBA!$H$6:$H$13,MATCH($B57,CADASTRO_CASAS_BOMBA!$B$6:$B$13,0)),0)</f>
        <v>0</v>
      </c>
      <c r="J57" s="19" t="n">
        <f aca="false">IFERROR(J45/INDEX(CADASTRO_CASAS_BOMBA!$H$6:$H$13,MATCH($B57,CADASTRO_CASAS_BOMBA!$B$6:$B$13,0)),0)</f>
        <v>0.0123940001943151</v>
      </c>
      <c r="K57" s="19" t="n">
        <f aca="false">IFERROR(K45/INDEX(CADASTRO_CASAS_BOMBA!$H$6:$H$13,MATCH($B57,CADASTRO_CASAS_BOMBA!$B$6:$B$13,0)),0)</f>
        <v>0.0399708392648489</v>
      </c>
      <c r="L57" s="19" t="n">
        <f aca="false">IFERROR(L45/INDEX(CADASTRO_CASAS_BOMBA!$H$6:$H$13,MATCH($B57,CADASTRO_CASAS_BOMBA!$B$6:$B$13,0)),0)</f>
        <v>0</v>
      </c>
      <c r="M57" s="19" t="n">
        <f aca="false">IFERROR(M45/INDEX(CADASTRO_CASAS_BOMBA!$H$6:$H$13,MATCH($B57,CADASTRO_CASAS_BOMBA!$B$6:$B$13,0)),0)</f>
        <v>0.0117564620864543</v>
      </c>
      <c r="N57" s="19" t="n">
        <f aca="false">IFERROR(N45/INDEX(CADASTRO_CASAS_BOMBA!$H$6:$H$13,MATCH($B57,CADASTRO_CASAS_BOMBA!$B$6:$B$13,0)),0)</f>
        <v>0.0117564620864543</v>
      </c>
      <c r="O57" s="19" t="n">
        <f aca="false">IFERROR(O45/INDEX(CADASTRO_CASAS_BOMBA!$H$6:$H$13,MATCH($B57,CADASTRO_CASAS_BOMBA!$B$6:$B$13,0)),0)</f>
        <v>0.0117564620864543</v>
      </c>
      <c r="P57" s="19" t="n">
        <f aca="false">IFERROR(P45/INDEX(CADASTRO_CASAS_BOMBA!$H$6:$H$13,MATCH($B57,CADASTRO_CASAS_BOMBA!$B$6:$B$13,0)),0)</f>
        <v>0</v>
      </c>
      <c r="Q57" s="19" t="n">
        <f aca="false">IFERROR(Q45/INDEX(CADASTRO_CASAS_BOMBA!$H$6:$H$13,MATCH($B57,CADASTRO_CASAS_BOMBA!$B$6:$B$13,0)),0)</f>
        <v>0</v>
      </c>
      <c r="R57" s="19" t="n">
        <f aca="false">IFERROR(R45/INDEX(CADASTRO_CASAS_BOMBA!$H$6:$H$13,MATCH($B57,CADASTRO_CASAS_BOMBA!$B$6:$B$13,0)),0)</f>
        <v>0</v>
      </c>
      <c r="S57" s="19" t="n">
        <f aca="false">IFERROR(S45/INDEX(CADASTRO_CASAS_BOMBA!$H$6:$H$13,MATCH($B57,CADASTRO_CASAS_BOMBA!$B$6:$B$13,0)),0)</f>
        <v>0</v>
      </c>
      <c r="T57" s="19" t="n">
        <f aca="false">IFERROR(T45/INDEX(CADASTRO_CASAS_BOMBA!$H$6:$H$13,MATCH($B57,CADASTRO_CASAS_BOMBA!$B$6:$B$13,0)),0)</f>
        <v>0</v>
      </c>
      <c r="U57" s="19" t="n">
        <f aca="false">IFERROR(U45/INDEX(CADASTRO_CASAS_BOMBA!$H$6:$H$13,MATCH($B57,CADASTRO_CASAS_BOMBA!$B$6:$B$13,0)),0)</f>
        <v>0</v>
      </c>
      <c r="V57" s="19" t="n">
        <f aca="false">IFERROR(V45/INDEX(CADASTRO_CASAS_BOMBA!$H$6:$H$13,MATCH($B57,CADASTRO_CASAS_BOMBA!$B$6:$B$13,0)),0)</f>
        <v>0</v>
      </c>
      <c r="W57" s="19" t="n">
        <f aca="false">IFERROR(W45/INDEX(CADASTRO_CASAS_BOMBA!$H$6:$H$13,MATCH($B57,CADASTRO_CASAS_BOMBA!$B$6:$B$13,0)),0)</f>
        <v>0</v>
      </c>
      <c r="X57" s="19" t="n">
        <f aca="false">IFERROR(X45/INDEX(CADASTRO_CASAS_BOMBA!$H$6:$H$13,MATCH($B57,CADASTRO_CASAS_BOMBA!$B$6:$B$13,0)),0)</f>
        <v>0</v>
      </c>
      <c r="Y57" s="19" t="n">
        <f aca="false">IFERROR(Y45/INDEX(CADASTRO_CASAS_BOMBA!$H$6:$H$13,MATCH($B57,CADASTRO_CASAS_BOMBA!$B$6:$B$13,0)),0)</f>
        <v>0</v>
      </c>
      <c r="Z57" s="19" t="n">
        <f aca="false">IFERROR(Z45/INDEX(CADASTRO_CASAS_BOMBA!$H$6:$H$13,MATCH($B57,CADASTRO_CASAS_BOMBA!$B$6:$B$13,0)),0)</f>
        <v>0.000975025343292693</v>
      </c>
      <c r="AA57" s="19" t="n">
        <f aca="false">IFERROR(AA45/INDEX(CADASTRO_CASAS_BOMBA!$H$6:$H$13,MATCH($B57,CADASTRO_CASAS_BOMBA!$B$6:$B$13,0)),0)</f>
        <v>0.0212793746078425</v>
      </c>
      <c r="AB57" s="19" t="n">
        <f aca="false">IFERROR(AB45/INDEX(CADASTRO_CASAS_BOMBA!$H$6:$H$13,MATCH($B57,CADASTRO_CASAS_BOMBA!$B$6:$B$13,0)),0)</f>
        <v>0.0327368288356957</v>
      </c>
      <c r="AC57" s="19" t="n">
        <f aca="false">IFERROR(AC45/INDEX(CADASTRO_CASAS_BOMBA!$H$6:$H$13,MATCH($B57,CADASTRO_CASAS_BOMBA!$B$6:$B$13,0)),0)</f>
        <v>0.0404419128029981</v>
      </c>
      <c r="AD57" s="19" t="n">
        <f aca="false">IFERROR(AD45/INDEX(CADASTRO_CASAS_BOMBA!$H$6:$H$13,MATCH($B57,CADASTRO_CASAS_BOMBA!$B$6:$B$13,0)),0)</f>
        <v>0.0404419128029981</v>
      </c>
      <c r="AE57" s="19" t="n">
        <f aca="false">IFERROR(AE45/INDEX(CADASTRO_CASAS_BOMBA!$H$6:$H$13,MATCH($B57,CADASTRO_CASAS_BOMBA!$B$6:$B$13,0)),0)</f>
        <v>0.0404419128029981</v>
      </c>
      <c r="AF57" s="19" t="n">
        <f aca="false">IFERROR(AF45/INDEX(CADASTRO_CASAS_BOMBA!$H$6:$H$13,MATCH($B57,CADASTRO_CASAS_BOMBA!$B$6:$B$13,0)),0)</f>
        <v>0.0404419128029981</v>
      </c>
      <c r="AG57" s="19" t="n">
        <f aca="false">IFERROR(AG45/INDEX(CADASTRO_CASAS_BOMBA!$H$6:$H$13,MATCH($B57,CADASTRO_CASAS_BOMBA!$B$6:$B$13,0)),0)</f>
        <v>0.111993754295841</v>
      </c>
      <c r="AH57" s="19" t="n">
        <f aca="false">IFERROR(AH45/INDEX(CADASTRO_CASAS_BOMBA!$H$6:$H$13,MATCH($B57,CADASTRO_CASAS_BOMBA!$B$6:$B$13,0)),0)</f>
        <v>0.209590610472392</v>
      </c>
      <c r="AI57" s="19" t="n">
        <f aca="false">IFERROR(AI45/INDEX(CADASTRO_CASAS_BOMBA!$H$6:$H$13,MATCH($B57,CADASTRO_CASAS_BOMBA!$B$6:$B$13,0)),0)</f>
        <v>0.229978380720176</v>
      </c>
      <c r="AJ57" s="19" t="n">
        <f aca="false">IFERROR(AJ45/INDEX(CADASTRO_CASAS_BOMBA!$H$6:$H$13,MATCH($B57,CADASTRO_CASAS_BOMBA!$B$6:$B$13,0)),0)</f>
        <v>0.25036615096796</v>
      </c>
      <c r="AK57" s="19" t="n">
        <f aca="false">IFERROR(AK45/INDEX(CADASTRO_CASAS_BOMBA!$H$6:$H$13,MATCH($B57,CADASTRO_CASAS_BOMBA!$B$6:$B$13,0)),0)</f>
        <v>0.275381105138101</v>
      </c>
      <c r="AL57" s="19" t="n">
        <f aca="false">IFERROR(AL45/INDEX(CADASTRO_CASAS_BOMBA!$H$6:$H$13,MATCH($B57,CADASTRO_CASAS_BOMBA!$B$6:$B$13,0)),0)</f>
        <v>0.327856123706551</v>
      </c>
      <c r="AM57" s="19" t="n">
        <f aca="false">IFERROR(AM45/INDEX(CADASTRO_CASAS_BOMBA!$H$6:$H$13,MATCH($B57,CADASTRO_CASAS_BOMBA!$B$6:$B$13,0)),0)</f>
        <v>0.316272924458557</v>
      </c>
      <c r="AN57" s="19" t="n">
        <f aca="false">IFERROR(AN45/INDEX(CADASTRO_CASAS_BOMBA!$H$6:$H$13,MATCH($B57,CADASTRO_CASAS_BOMBA!$B$6:$B$13,0)),0)</f>
        <v>0.304689725210562</v>
      </c>
      <c r="AO57" s="19" t="n">
        <f aca="false">IFERROR(AO45/INDEX(CADASTRO_CASAS_BOMBA!$H$6:$H$13,MATCH($B57,CADASTRO_CASAS_BOMBA!$B$6:$B$13,0)),0)</f>
        <v>0.293106525962567</v>
      </c>
      <c r="AP57" s="19" t="n">
        <f aca="false">IFERROR(AP45/INDEX(CADASTRO_CASAS_BOMBA!$H$6:$H$13,MATCH($B57,CADASTRO_CASAS_BOMBA!$B$6:$B$13,0)),0)</f>
        <v>0.285475555876283</v>
      </c>
      <c r="AQ57" s="19" t="n">
        <f aca="false">IFERROR(AQ45/INDEX(CADASTRO_CASAS_BOMBA!$H$6:$H$13,MATCH($B57,CADASTRO_CASAS_BOMBA!$B$6:$B$13,0)),0)</f>
        <v>0.275102642405145</v>
      </c>
      <c r="AR57" s="19" t="n">
        <f aca="false">IFERROR(AR45/INDEX(CADASTRO_CASAS_BOMBA!$H$6:$H$13,MATCH($B57,CADASTRO_CASAS_BOMBA!$B$6:$B$13,0)),0)</f>
        <v>0.264071024073721</v>
      </c>
      <c r="AS57" s="19" t="n">
        <f aca="false">IFERROR(AS45/INDEX(CADASTRO_CASAS_BOMBA!$H$6:$H$13,MATCH($B57,CADASTRO_CASAS_BOMBA!$B$6:$B$13,0)),0)</f>
        <v>0.167832124679758</v>
      </c>
      <c r="AT57" s="19" t="n">
        <f aca="false">IFERROR(AT45/INDEX(CADASTRO_CASAS_BOMBA!$H$6:$H$13,MATCH($B57,CADASTRO_CASAS_BOMBA!$B$6:$B$13,0)),0)</f>
        <v>0.162479710874299</v>
      </c>
      <c r="AU57" s="19" t="n">
        <f aca="false">IFERROR(AU45/INDEX(CADASTRO_CASAS_BOMBA!$H$6:$H$13,MATCH($B57,CADASTRO_CASAS_BOMBA!$B$6:$B$13,0)),0)</f>
        <v>0.154092223802055</v>
      </c>
      <c r="AV57" s="19" t="n">
        <f aca="false">IFERROR(AV45/INDEX(CADASTRO_CASAS_BOMBA!$H$6:$H$13,MATCH($B57,CADASTRO_CASAS_BOMBA!$B$6:$B$13,0)),0)</f>
        <v>0.139627100811252</v>
      </c>
      <c r="AW57" s="19" t="n">
        <f aca="false">IFERROR(AW45/INDEX(CADASTRO_CASAS_BOMBA!$H$6:$H$13,MATCH($B57,CADASTRO_CASAS_BOMBA!$B$6:$B$13,0)),0)</f>
        <v>0.12516197782045</v>
      </c>
      <c r="AX57" s="19" t="n">
        <f aca="false">IFERROR(AX45/INDEX(CADASTRO_CASAS_BOMBA!$H$6:$H$13,MATCH($B57,CADASTRO_CASAS_BOMBA!$B$6:$B$13,0)),0)</f>
        <v>0.113831162447536</v>
      </c>
      <c r="AY57" s="19" t="n">
        <f aca="false">IFERROR(AY45/INDEX(CADASTRO_CASAS_BOMBA!$H$6:$H$13,MATCH($B57,CADASTRO_CASAS_BOMBA!$B$6:$B$13,0)),0)</f>
        <v>0</v>
      </c>
      <c r="AZ57" s="19" t="n">
        <f aca="false">IFERROR(AZ45/INDEX(CADASTRO_CASAS_BOMBA!$H$6:$H$13,MATCH($B57,CADASTRO_CASAS_BOMBA!$B$6:$B$13,0)),0)</f>
        <v>0</v>
      </c>
      <c r="BA57" s="19" t="n">
        <f aca="false">IFERROR(BA45/INDEX(CADASTRO_CASAS_BOMBA!$H$6:$H$13,MATCH($B57,CADASTRO_CASAS_BOMBA!$B$6:$B$13,0)),0)</f>
        <v>0</v>
      </c>
      <c r="BB57" s="19" t="n">
        <f aca="false">IFERROR(BB45/INDEX(CADASTRO_CASAS_BOMBA!$H$6:$H$13,MATCH($B57,CADASTRO_CASAS_BOMBA!$B$6:$B$13,0)),0)</f>
        <v>0</v>
      </c>
      <c r="BC57" s="19" t="n">
        <f aca="false">IFERROR(BC45/INDEX(CADASTRO_CASAS_BOMBA!$H$6:$H$13,MATCH($B57,CADASTRO_CASAS_BOMBA!$B$6:$B$13,0)),0)</f>
        <v>0</v>
      </c>
      <c r="BD57" s="19" t="n">
        <f aca="false">IFERROR(BD45/INDEX(CADASTRO_CASAS_BOMBA!$H$6:$H$13,MATCH($B57,CADASTRO_CASAS_BOMBA!$B$6:$B$13,0)),0)</f>
        <v>0</v>
      </c>
      <c r="BE57" s="19" t="n">
        <f aca="false">IFERROR(BE45/INDEX(CADASTRO_CASAS_BOMBA!$H$6:$H$13,MATCH($B57,CADASTRO_CASAS_BOMBA!$B$6:$B$13,0)),0)</f>
        <v>0</v>
      </c>
      <c r="BF57" s="19" t="n">
        <f aca="false">IFERROR(BF45/INDEX(CADASTRO_CASAS_BOMBA!$H$6:$H$13,MATCH($B57,CADASTRO_CASAS_BOMBA!$B$6:$B$13,0)),0)</f>
        <v>0</v>
      </c>
      <c r="BG57" s="19" t="n">
        <f aca="false">IFERROR(BG45/INDEX(CADASTRO_CASAS_BOMBA!$H$6:$H$13,MATCH($B57,CADASTRO_CASAS_BOMBA!$B$6:$B$13,0)),0)</f>
        <v>0</v>
      </c>
      <c r="BH57" s="19" t="n">
        <f aca="false">IFERROR(BH45/INDEX(CADASTRO_CASAS_BOMBA!$H$6:$H$13,MATCH($B57,CADASTRO_CASAS_BOMBA!$B$6:$B$13,0)),0)</f>
        <v>0</v>
      </c>
      <c r="BI57" s="19" t="n">
        <f aca="false">IFERROR(BI45/INDEX(CADASTRO_CASAS_BOMBA!$H$6:$H$13,MATCH($B57,CADASTRO_CASAS_BOMBA!$B$6:$B$13,0)),0)</f>
        <v>0</v>
      </c>
      <c r="BJ57" s="19" t="n">
        <f aca="false">IFERROR(BJ45/INDEX(CADASTRO_CASAS_BOMBA!$H$6:$H$13,MATCH($B57,CADASTRO_CASAS_BOMBA!$B$6:$B$13,0)),0)</f>
        <v>0</v>
      </c>
      <c r="BK57" s="19" t="n">
        <f aca="false">IFERROR(BK45/INDEX(CADASTRO_CASAS_BOMBA!$H$6:$H$13,MATCH($B57,CADASTRO_CASAS_BOMBA!$B$6:$B$13,0)),0)</f>
        <v>0</v>
      </c>
      <c r="BL57" s="19" t="n">
        <f aca="false">IFERROR(BL45/INDEX(CADASTRO_CASAS_BOMBA!$H$6:$H$13,MATCH($B57,CADASTRO_CASAS_BOMBA!$B$6:$B$13,0)),0)</f>
        <v>0</v>
      </c>
      <c r="BM57" s="19" t="n">
        <f aca="false">IFERROR(BM45/INDEX(CADASTRO_CASAS_BOMBA!$H$6:$H$13,MATCH($B57,CADASTRO_CASAS_BOMBA!$B$6:$B$13,0)),0)</f>
        <v>0</v>
      </c>
      <c r="BN57" s="19" t="n">
        <f aca="false">IFERROR(BN45/INDEX(CADASTRO_CASAS_BOMBA!$H$6:$H$13,MATCH($B57,CADASTRO_CASAS_BOMBA!$B$6:$B$13,0)),0)</f>
        <v>0</v>
      </c>
      <c r="BO57" s="19" t="n">
        <f aca="false">IFERROR(BO45/INDEX(CADASTRO_CASAS_BOMBA!$H$6:$H$13,MATCH($B57,CADASTRO_CASAS_BOMBA!$B$6:$B$13,0)),0)</f>
        <v>0</v>
      </c>
      <c r="BP57" s="19" t="n">
        <f aca="false">IFERROR(BP45/INDEX(CADASTRO_CASAS_BOMBA!$H$6:$H$13,MATCH($B57,CADASTRO_CASAS_BOMBA!$B$6:$B$13,0)),0)</f>
        <v>0</v>
      </c>
      <c r="BQ57" s="19" t="n">
        <f aca="false">MAX(C57:BP57)</f>
        <v>0.327856123706551</v>
      </c>
    </row>
    <row r="58" customFormat="false" ht="15" hidden="false" customHeight="false" outlineLevel="0" collapsed="false">
      <c r="B58" s="15" t="s">
        <v>130</v>
      </c>
      <c r="C58" s="19" t="n">
        <f aca="false">IFERROR(C46/INDEX(CADASTRO_CASAS_BOMBA!$H$6:$H$13,MATCH($B58,CADASTRO_CASAS_BOMBA!$B$6:$B$13,0)),0)</f>
        <v>0</v>
      </c>
      <c r="D58" s="19" t="n">
        <f aca="false">IFERROR(D46/INDEX(CADASTRO_CASAS_BOMBA!$H$6:$H$13,MATCH($B58,CADASTRO_CASAS_BOMBA!$B$6:$B$13,0)),0)</f>
        <v>0</v>
      </c>
      <c r="E58" s="19" t="n">
        <f aca="false">IFERROR(E46/INDEX(CADASTRO_CASAS_BOMBA!$H$6:$H$13,MATCH($B58,CADASTRO_CASAS_BOMBA!$B$6:$B$13,0)),0)</f>
        <v>0</v>
      </c>
      <c r="F58" s="19" t="n">
        <f aca="false">IFERROR(F46/INDEX(CADASTRO_CASAS_BOMBA!$H$6:$H$13,MATCH($B58,CADASTRO_CASAS_BOMBA!$B$6:$B$13,0)),0)</f>
        <v>0</v>
      </c>
      <c r="G58" s="19" t="n">
        <f aca="false">IFERROR(G46/INDEX(CADASTRO_CASAS_BOMBA!$H$6:$H$13,MATCH($B58,CADASTRO_CASAS_BOMBA!$B$6:$B$13,0)),0)</f>
        <v>0.0127282913165266</v>
      </c>
      <c r="H58" s="19" t="n">
        <f aca="false">IFERROR(H46/INDEX(CADASTRO_CASAS_BOMBA!$H$6:$H$13,MATCH($B58,CADASTRO_CASAS_BOMBA!$B$6:$B$13,0)),0)</f>
        <v>0</v>
      </c>
      <c r="I58" s="19" t="n">
        <f aca="false">IFERROR(I46/INDEX(CADASTRO_CASAS_BOMBA!$H$6:$H$13,MATCH($B58,CADASTRO_CASAS_BOMBA!$B$6:$B$13,0)),0)</f>
        <v>0</v>
      </c>
      <c r="J58" s="19" t="n">
        <f aca="false">IFERROR(J46/INDEX(CADASTRO_CASAS_BOMBA!$H$6:$H$13,MATCH($B58,CADASTRO_CASAS_BOMBA!$B$6:$B$13,0)),0)</f>
        <v>0.00261034480363243</v>
      </c>
      <c r="K58" s="19" t="n">
        <f aca="false">IFERROR(K46/INDEX(CADASTRO_CASAS_BOMBA!$H$6:$H$13,MATCH($B58,CADASTRO_CASAS_BOMBA!$B$6:$B$13,0)),0)</f>
        <v>0.0587529877636179</v>
      </c>
      <c r="L58" s="19" t="n">
        <f aca="false">IFERROR(L46/INDEX(CADASTRO_CASAS_BOMBA!$H$6:$H$13,MATCH($B58,CADASTRO_CASAS_BOMBA!$B$6:$B$13,0)),0)</f>
        <v>0</v>
      </c>
      <c r="M58" s="19" t="n">
        <f aca="false">IFERROR(M46/INDEX(CADASTRO_CASAS_BOMBA!$H$6:$H$13,MATCH($B58,CADASTRO_CASAS_BOMBA!$B$6:$B$13,0)),0)</f>
        <v>0.0221455241340683</v>
      </c>
      <c r="N58" s="19" t="n">
        <f aca="false">IFERROR(N46/INDEX(CADASTRO_CASAS_BOMBA!$H$6:$H$13,MATCH($B58,CADASTRO_CASAS_BOMBA!$B$6:$B$13,0)),0)</f>
        <v>0.0234509803921568</v>
      </c>
      <c r="O58" s="19" t="n">
        <f aca="false">IFERROR(O46/INDEX(CADASTRO_CASAS_BOMBA!$H$6:$H$13,MATCH($B58,CADASTRO_CASAS_BOMBA!$B$6:$B$13,0)),0)</f>
        <v>0.0234509803921568</v>
      </c>
      <c r="P58" s="19" t="n">
        <f aca="false">IFERROR(P46/INDEX(CADASTRO_CASAS_BOMBA!$H$6:$H$13,MATCH($B58,CADASTRO_CASAS_BOMBA!$B$6:$B$13,0)),0)</f>
        <v>0</v>
      </c>
      <c r="Q58" s="19" t="n">
        <f aca="false">IFERROR(Q46/INDEX(CADASTRO_CASAS_BOMBA!$H$6:$H$13,MATCH($B58,CADASTRO_CASAS_BOMBA!$B$6:$B$13,0)),0)</f>
        <v>0</v>
      </c>
      <c r="R58" s="19" t="n">
        <f aca="false">IFERROR(R46/INDEX(CADASTRO_CASAS_BOMBA!$H$6:$H$13,MATCH($B58,CADASTRO_CASAS_BOMBA!$B$6:$B$13,0)),0)</f>
        <v>0</v>
      </c>
      <c r="S58" s="19" t="n">
        <f aca="false">IFERROR(S46/INDEX(CADASTRO_CASAS_BOMBA!$H$6:$H$13,MATCH($B58,CADASTRO_CASAS_BOMBA!$B$6:$B$13,0)),0)</f>
        <v>0</v>
      </c>
      <c r="T58" s="19" t="n">
        <f aca="false">IFERROR(T46/INDEX(CADASTRO_CASAS_BOMBA!$H$6:$H$13,MATCH($B58,CADASTRO_CASAS_BOMBA!$B$6:$B$13,0)),0)</f>
        <v>0.00255459091366802</v>
      </c>
      <c r="U58" s="19" t="n">
        <f aca="false">IFERROR(U46/INDEX(CADASTRO_CASAS_BOMBA!$H$6:$H$13,MATCH($B58,CADASTRO_CASAS_BOMBA!$B$6:$B$13,0)),0)</f>
        <v>0</v>
      </c>
      <c r="V58" s="19" t="n">
        <f aca="false">IFERROR(V46/INDEX(CADASTRO_CASAS_BOMBA!$H$6:$H$13,MATCH($B58,CADASTRO_CASAS_BOMBA!$B$6:$B$13,0)),0)</f>
        <v>0</v>
      </c>
      <c r="W58" s="19" t="n">
        <f aca="false">IFERROR(W46/INDEX(CADASTRO_CASAS_BOMBA!$H$6:$H$13,MATCH($B58,CADASTRO_CASAS_BOMBA!$B$6:$B$13,0)),0)</f>
        <v>0</v>
      </c>
      <c r="X58" s="19" t="n">
        <f aca="false">IFERROR(X46/INDEX(CADASTRO_CASAS_BOMBA!$H$6:$H$13,MATCH($B58,CADASTRO_CASAS_BOMBA!$B$6:$B$13,0)),0)</f>
        <v>0</v>
      </c>
      <c r="Y58" s="19" t="n">
        <f aca="false">IFERROR(Y46/INDEX(CADASTRO_CASAS_BOMBA!$H$6:$H$13,MATCH($B58,CADASTRO_CASAS_BOMBA!$B$6:$B$13,0)),0)</f>
        <v>0</v>
      </c>
      <c r="Z58" s="19" t="n">
        <f aca="false">IFERROR(Z46/INDEX(CADASTRO_CASAS_BOMBA!$H$6:$H$13,MATCH($B58,CADASTRO_CASAS_BOMBA!$B$6:$B$13,0)),0)</f>
        <v>0</v>
      </c>
      <c r="AA58" s="19" t="n">
        <f aca="false">IFERROR(AA46/INDEX(CADASTRO_CASAS_BOMBA!$H$6:$H$13,MATCH($B58,CADASTRO_CASAS_BOMBA!$B$6:$B$13,0)),0)</f>
        <v>0</v>
      </c>
      <c r="AB58" s="19" t="n">
        <f aca="false">IFERROR(AB46/INDEX(CADASTRO_CASAS_BOMBA!$H$6:$H$13,MATCH($B58,CADASTRO_CASAS_BOMBA!$B$6:$B$13,0)),0)</f>
        <v>0</v>
      </c>
      <c r="AC58" s="19" t="n">
        <f aca="false">IFERROR(AC46/INDEX(CADASTRO_CASAS_BOMBA!$H$6:$H$13,MATCH($B58,CADASTRO_CASAS_BOMBA!$B$6:$B$13,0)),0)</f>
        <v>0</v>
      </c>
      <c r="AD58" s="19" t="n">
        <f aca="false">IFERROR(AD46/INDEX(CADASTRO_CASAS_BOMBA!$H$6:$H$13,MATCH($B58,CADASTRO_CASAS_BOMBA!$B$6:$B$13,0)),0)</f>
        <v>0</v>
      </c>
      <c r="AE58" s="19" t="n">
        <f aca="false">IFERROR(AE46/INDEX(CADASTRO_CASAS_BOMBA!$H$6:$H$13,MATCH($B58,CADASTRO_CASAS_BOMBA!$B$6:$B$13,0)),0)</f>
        <v>0</v>
      </c>
      <c r="AF58" s="19" t="n">
        <f aca="false">IFERROR(AF46/INDEX(CADASTRO_CASAS_BOMBA!$H$6:$H$13,MATCH($B58,CADASTRO_CASAS_BOMBA!$B$6:$B$13,0)),0)</f>
        <v>0</v>
      </c>
      <c r="AG58" s="19" t="n">
        <f aca="false">IFERROR(AG46/INDEX(CADASTRO_CASAS_BOMBA!$H$6:$H$13,MATCH($B58,CADASTRO_CASAS_BOMBA!$B$6:$B$13,0)),0)</f>
        <v>0.0372541726749872</v>
      </c>
      <c r="AH58" s="19" t="n">
        <f aca="false">IFERROR(AH46/INDEX(CADASTRO_CASAS_BOMBA!$H$6:$H$13,MATCH($B58,CADASTRO_CASAS_BOMBA!$B$6:$B$13,0)),0)</f>
        <v>0.154151989789999</v>
      </c>
      <c r="AI58" s="19" t="n">
        <f aca="false">IFERROR(AI46/INDEX(CADASTRO_CASAS_BOMBA!$H$6:$H$13,MATCH($B58,CADASTRO_CASAS_BOMBA!$B$6:$B$13,0)),0)</f>
        <v>0.193135630583594</v>
      </c>
      <c r="AJ58" s="19" t="n">
        <f aca="false">IFERROR(AJ46/INDEX(CADASTRO_CASAS_BOMBA!$H$6:$H$13,MATCH($B58,CADASTRO_CASAS_BOMBA!$B$6:$B$13,0)),0)</f>
        <v>0.23211927137719</v>
      </c>
      <c r="AK58" s="19" t="n">
        <f aca="false">IFERROR(AK46/INDEX(CADASTRO_CASAS_BOMBA!$H$6:$H$13,MATCH($B58,CADASTRO_CASAS_BOMBA!$B$6:$B$13,0)),0)</f>
        <v>0.285120448179272</v>
      </c>
      <c r="AL58" s="19" t="n">
        <f aca="false">IFERROR(AL46/INDEX(CADASTRO_CASAS_BOMBA!$H$6:$H$13,MATCH($B58,CADASTRO_CASAS_BOMBA!$B$6:$B$13,0)),0)</f>
        <v>0.348705882352941</v>
      </c>
      <c r="AM58" s="19" t="n">
        <f aca="false">IFERROR(AM46/INDEX(CADASTRO_CASAS_BOMBA!$H$6:$H$13,MATCH($B58,CADASTRO_CASAS_BOMBA!$B$6:$B$13,0)),0)</f>
        <v>0.348705882352941</v>
      </c>
      <c r="AN58" s="19" t="n">
        <f aca="false">IFERROR(AN46/INDEX(CADASTRO_CASAS_BOMBA!$H$6:$H$13,MATCH($B58,CADASTRO_CASAS_BOMBA!$B$6:$B$13,0)),0)</f>
        <v>0.348705882352941</v>
      </c>
      <c r="AO58" s="19" t="n">
        <f aca="false">IFERROR(AO46/INDEX(CADASTRO_CASAS_BOMBA!$H$6:$H$13,MATCH($B58,CADASTRO_CASAS_BOMBA!$B$6:$B$13,0)),0)</f>
        <v>0.348705882352941</v>
      </c>
      <c r="AP58" s="19" t="n">
        <f aca="false">IFERROR(AP46/INDEX(CADASTRO_CASAS_BOMBA!$H$6:$H$13,MATCH($B58,CADASTRO_CASAS_BOMBA!$B$6:$B$13,0)),0)</f>
        <v>0.349915966386555</v>
      </c>
      <c r="AQ58" s="19" t="n">
        <f aca="false">IFERROR(AQ46/INDEX(CADASTRO_CASAS_BOMBA!$H$6:$H$13,MATCH($B58,CADASTRO_CASAS_BOMBA!$B$6:$B$13,0)),0)</f>
        <v>0.350117647058823</v>
      </c>
      <c r="AR58" s="19" t="n">
        <f aca="false">IFERROR(AR46/INDEX(CADASTRO_CASAS_BOMBA!$H$6:$H$13,MATCH($B58,CADASTRO_CASAS_BOMBA!$B$6:$B$13,0)),0)</f>
        <v>0.350117647058823</v>
      </c>
      <c r="AS58" s="19" t="n">
        <f aca="false">IFERROR(AS46/INDEX(CADASTRO_CASAS_BOMBA!$H$6:$H$13,MATCH($B58,CADASTRO_CASAS_BOMBA!$B$6:$B$13,0)),0)</f>
        <v>0.350117647058823</v>
      </c>
      <c r="AT58" s="19" t="n">
        <f aca="false">IFERROR(AT46/INDEX(CADASTRO_CASAS_BOMBA!$H$6:$H$13,MATCH($B58,CADASTRO_CASAS_BOMBA!$B$6:$B$13,0)),0)</f>
        <v>0.352929520526159</v>
      </c>
      <c r="AU58" s="19" t="n">
        <f aca="false">IFERROR(AU46/INDEX(CADASTRO_CASAS_BOMBA!$H$6:$H$13,MATCH($B58,CADASTRO_CASAS_BOMBA!$B$6:$B$13,0)),0)</f>
        <v>0.34216045392516</v>
      </c>
      <c r="AV58" s="19" t="n">
        <f aca="false">IFERROR(AV46/INDEX(CADASTRO_CASAS_BOMBA!$H$6:$H$13,MATCH($B58,CADASTRO_CASAS_BOMBA!$B$6:$B$13,0)),0)</f>
        <v>0.31837965955613</v>
      </c>
      <c r="AW58" s="19" t="n">
        <f aca="false">IFERROR(AW46/INDEX(CADASTRO_CASAS_BOMBA!$H$6:$H$13,MATCH($B58,CADASTRO_CASAS_BOMBA!$B$6:$B$13,0)),0)</f>
        <v>0.294598865187101</v>
      </c>
      <c r="AX58" s="19" t="n">
        <f aca="false">IFERROR(AX46/INDEX(CADASTRO_CASAS_BOMBA!$H$6:$H$13,MATCH($B58,CADASTRO_CASAS_BOMBA!$B$6:$B$13,0)),0)</f>
        <v>0.278565415909954</v>
      </c>
      <c r="AY58" s="19" t="n">
        <f aca="false">IFERROR(AY46/INDEX(CADASTRO_CASAS_BOMBA!$H$6:$H$13,MATCH($B58,CADASTRO_CASAS_BOMBA!$B$6:$B$13,0)),0)</f>
        <v>0.296291316526611</v>
      </c>
      <c r="AZ58" s="19" t="n">
        <f aca="false">IFERROR(AZ46/INDEX(CADASTRO_CASAS_BOMBA!$H$6:$H$13,MATCH($B58,CADASTRO_CASAS_BOMBA!$B$6:$B$13,0)),0)</f>
        <v>0.26753314659197</v>
      </c>
      <c r="BA58" s="19" t="n">
        <f aca="false">IFERROR(BA46/INDEX(CADASTRO_CASAS_BOMBA!$H$6:$H$13,MATCH($B58,CADASTRO_CASAS_BOMBA!$B$6:$B$13,0)),0)</f>
        <v>0.23877497665733</v>
      </c>
      <c r="BB58" s="19" t="n">
        <f aca="false">IFERROR(BB46/INDEX(CADASTRO_CASAS_BOMBA!$H$6:$H$13,MATCH($B58,CADASTRO_CASAS_BOMBA!$B$6:$B$13,0)),0)</f>
        <v>0</v>
      </c>
      <c r="BC58" s="19" t="n">
        <f aca="false">IFERROR(BC46/INDEX(CADASTRO_CASAS_BOMBA!$H$6:$H$13,MATCH($B58,CADASTRO_CASAS_BOMBA!$B$6:$B$13,0)),0)</f>
        <v>0</v>
      </c>
      <c r="BD58" s="19" t="n">
        <f aca="false">IFERROR(BD46/INDEX(CADASTRO_CASAS_BOMBA!$H$6:$H$13,MATCH($B58,CADASTRO_CASAS_BOMBA!$B$6:$B$13,0)),0)</f>
        <v>0</v>
      </c>
      <c r="BE58" s="19" t="n">
        <f aca="false">IFERROR(BE46/INDEX(CADASTRO_CASAS_BOMBA!$H$6:$H$13,MATCH($B58,CADASTRO_CASAS_BOMBA!$B$6:$B$13,0)),0)</f>
        <v>0</v>
      </c>
      <c r="BF58" s="19" t="n">
        <f aca="false">IFERROR(BF46/INDEX(CADASTRO_CASAS_BOMBA!$H$6:$H$13,MATCH($B58,CADASTRO_CASAS_BOMBA!$B$6:$B$13,0)),0)</f>
        <v>0</v>
      </c>
      <c r="BG58" s="19" t="n">
        <f aca="false">IFERROR(BG46/INDEX(CADASTRO_CASAS_BOMBA!$H$6:$H$13,MATCH($B58,CADASTRO_CASAS_BOMBA!$B$6:$B$13,0)),0)</f>
        <v>0</v>
      </c>
      <c r="BH58" s="19" t="n">
        <f aca="false">IFERROR(BH46/INDEX(CADASTRO_CASAS_BOMBA!$H$6:$H$13,MATCH($B58,CADASTRO_CASAS_BOMBA!$B$6:$B$13,0)),0)</f>
        <v>0</v>
      </c>
      <c r="BI58" s="19" t="n">
        <f aca="false">IFERROR(BI46/INDEX(CADASTRO_CASAS_BOMBA!$H$6:$H$13,MATCH($B58,CADASTRO_CASAS_BOMBA!$B$6:$B$13,0)),0)</f>
        <v>0</v>
      </c>
      <c r="BJ58" s="19" t="n">
        <f aca="false">IFERROR(BJ46/INDEX(CADASTRO_CASAS_BOMBA!$H$6:$H$13,MATCH($B58,CADASTRO_CASAS_BOMBA!$B$6:$B$13,0)),0)</f>
        <v>0</v>
      </c>
      <c r="BK58" s="19" t="n">
        <f aca="false">IFERROR(BK46/INDEX(CADASTRO_CASAS_BOMBA!$H$6:$H$13,MATCH($B58,CADASTRO_CASAS_BOMBA!$B$6:$B$13,0)),0)</f>
        <v>0</v>
      </c>
      <c r="BL58" s="19" t="n">
        <f aca="false">IFERROR(BL46/INDEX(CADASTRO_CASAS_BOMBA!$H$6:$H$13,MATCH($B58,CADASTRO_CASAS_BOMBA!$B$6:$B$13,0)),0)</f>
        <v>0</v>
      </c>
      <c r="BM58" s="19" t="n">
        <f aca="false">IFERROR(BM46/INDEX(CADASTRO_CASAS_BOMBA!$H$6:$H$13,MATCH($B58,CADASTRO_CASAS_BOMBA!$B$6:$B$13,0)),0)</f>
        <v>0</v>
      </c>
      <c r="BN58" s="19" t="n">
        <f aca="false">IFERROR(BN46/INDEX(CADASTRO_CASAS_BOMBA!$H$6:$H$13,MATCH($B58,CADASTRO_CASAS_BOMBA!$B$6:$B$13,0)),0)</f>
        <v>0</v>
      </c>
      <c r="BO58" s="19" t="n">
        <f aca="false">IFERROR(BO46/INDEX(CADASTRO_CASAS_BOMBA!$H$6:$H$13,MATCH($B58,CADASTRO_CASAS_BOMBA!$B$6:$B$13,0)),0)</f>
        <v>0</v>
      </c>
      <c r="BP58" s="19" t="n">
        <f aca="false">IFERROR(BP46/INDEX(CADASTRO_CASAS_BOMBA!$H$6:$H$13,MATCH($B58,CADASTRO_CASAS_BOMBA!$B$6:$B$13,0)),0)</f>
        <v>0</v>
      </c>
      <c r="BQ58" s="19" t="n">
        <f aca="false">MAX(C58:BP58)</f>
        <v>0.352929520526159</v>
      </c>
    </row>
    <row r="59" customFormat="false" ht="15" hidden="false" customHeight="false" outlineLevel="0" collapsed="false">
      <c r="B59" s="15" t="s">
        <v>131</v>
      </c>
      <c r="C59" s="19" t="n">
        <f aca="false">IFERROR(C47/INDEX(CADASTRO_CASAS_BOMBA!$H$6:$H$13,MATCH($B59,CADASTRO_CASAS_BOMBA!$B$6:$B$13,0)),0)</f>
        <v>0.0811344951180324</v>
      </c>
      <c r="D59" s="19" t="n">
        <f aca="false">IFERROR(D47/INDEX(CADASTRO_CASAS_BOMBA!$H$6:$H$13,MATCH($B59,CADASTRO_CASAS_BOMBA!$B$6:$B$13,0)),0)</f>
        <v>0.0854123899467091</v>
      </c>
      <c r="E59" s="19" t="n">
        <f aca="false">IFERROR(E47/INDEX(CADASTRO_CASAS_BOMBA!$H$6:$H$13,MATCH($B59,CADASTRO_CASAS_BOMBA!$B$6:$B$13,0)),0)</f>
        <v>0.0854123899467091</v>
      </c>
      <c r="F59" s="19" t="n">
        <f aca="false">IFERROR(F47/INDEX(CADASTRO_CASAS_BOMBA!$H$6:$H$13,MATCH($B59,CADASTRO_CASAS_BOMBA!$B$6:$B$13,0)),0)</f>
        <v>0.0854123899467091</v>
      </c>
      <c r="G59" s="19" t="n">
        <f aca="false">IFERROR(G47/INDEX(CADASTRO_CASAS_BOMBA!$H$6:$H$13,MATCH($B59,CADASTRO_CASAS_BOMBA!$B$6:$B$13,0)),0)</f>
        <v>0.0693746195845784</v>
      </c>
      <c r="H59" s="19" t="n">
        <f aca="false">IFERROR(H47/INDEX(CADASTRO_CASAS_BOMBA!$H$6:$H$13,MATCH($B59,CADASTRO_CASAS_BOMBA!$B$6:$B$13,0)),0)</f>
        <v>0.0486574160105273</v>
      </c>
      <c r="I59" s="19" t="n">
        <f aca="false">IFERROR(I47/INDEX(CADASTRO_CASAS_BOMBA!$H$6:$H$13,MATCH($B59,CADASTRO_CASAS_BOMBA!$B$6:$B$13,0)),0)</f>
        <v>0.0486574160105273</v>
      </c>
      <c r="J59" s="19" t="n">
        <f aca="false">IFERROR(J47/INDEX(CADASTRO_CASAS_BOMBA!$H$6:$H$13,MATCH($B59,CADASTRO_CASAS_BOMBA!$B$6:$B$13,0)),0)</f>
        <v>0.060209938121588</v>
      </c>
      <c r="K59" s="19" t="n">
        <f aca="false">IFERROR(K47/INDEX(CADASTRO_CASAS_BOMBA!$H$6:$H$13,MATCH($B59,CADASTRO_CASAS_BOMBA!$B$6:$B$13,0)),0)</f>
        <v>0.0716872699544553</v>
      </c>
      <c r="L59" s="19" t="n">
        <f aca="false">IFERROR(L47/INDEX(CADASTRO_CASAS_BOMBA!$H$6:$H$13,MATCH($B59,CADASTRO_CASAS_BOMBA!$B$6:$B$13,0)),0)</f>
        <v>0</v>
      </c>
      <c r="M59" s="19" t="n">
        <f aca="false">IFERROR(M47/INDEX(CADASTRO_CASAS_BOMBA!$H$6:$H$13,MATCH($B59,CADASTRO_CASAS_BOMBA!$B$6:$B$13,0)),0)</f>
        <v>0.0091477952990614</v>
      </c>
      <c r="N59" s="19" t="n">
        <f aca="false">IFERROR(N47/INDEX(CADASTRO_CASAS_BOMBA!$H$6:$H$13,MATCH($B59,CADASTRO_CASAS_BOMBA!$B$6:$B$13,0)),0)</f>
        <v>0.0091477952990614</v>
      </c>
      <c r="O59" s="19" t="n">
        <f aca="false">IFERROR(O47/INDEX(CADASTRO_CASAS_BOMBA!$H$6:$H$13,MATCH($B59,CADASTRO_CASAS_BOMBA!$B$6:$B$13,0)),0)</f>
        <v>0.0091477952990614</v>
      </c>
      <c r="P59" s="19" t="n">
        <f aca="false">IFERROR(P47/INDEX(CADASTRO_CASAS_BOMBA!$H$6:$H$13,MATCH($B59,CADASTRO_CASAS_BOMBA!$B$6:$B$13,0)),0)</f>
        <v>0</v>
      </c>
      <c r="Q59" s="19" t="n">
        <f aca="false">IFERROR(Q47/INDEX(CADASTRO_CASAS_BOMBA!$H$6:$H$13,MATCH($B59,CADASTRO_CASAS_BOMBA!$B$6:$B$13,0)),0)</f>
        <v>0</v>
      </c>
      <c r="R59" s="19" t="n">
        <f aca="false">IFERROR(R47/INDEX(CADASTRO_CASAS_BOMBA!$H$6:$H$13,MATCH($B59,CADASTRO_CASAS_BOMBA!$B$6:$B$13,0)),0)</f>
        <v>0</v>
      </c>
      <c r="S59" s="19" t="n">
        <f aca="false">IFERROR(S47/INDEX(CADASTRO_CASAS_BOMBA!$H$6:$H$13,MATCH($B59,CADASTRO_CASAS_BOMBA!$B$6:$B$13,0)),0)</f>
        <v>0</v>
      </c>
      <c r="T59" s="19" t="n">
        <f aca="false">IFERROR(T47/INDEX(CADASTRO_CASAS_BOMBA!$H$6:$H$13,MATCH($B59,CADASTRO_CASAS_BOMBA!$B$6:$B$13,0)),0)</f>
        <v>0</v>
      </c>
      <c r="U59" s="19" t="n">
        <f aca="false">IFERROR(U47/INDEX(CADASTRO_CASAS_BOMBA!$H$6:$H$13,MATCH($B59,CADASTRO_CASAS_BOMBA!$B$6:$B$13,0)),0)</f>
        <v>0</v>
      </c>
      <c r="V59" s="19" t="n">
        <f aca="false">IFERROR(V47/INDEX(CADASTRO_CASAS_BOMBA!$H$6:$H$13,MATCH($B59,CADASTRO_CASAS_BOMBA!$B$6:$B$13,0)),0)</f>
        <v>0</v>
      </c>
      <c r="W59" s="19" t="n">
        <f aca="false">IFERROR(W47/INDEX(CADASTRO_CASAS_BOMBA!$H$6:$H$13,MATCH($B59,CADASTRO_CASAS_BOMBA!$B$6:$B$13,0)),0)</f>
        <v>0</v>
      </c>
      <c r="X59" s="19" t="n">
        <f aca="false">IFERROR(X47/INDEX(CADASTRO_CASAS_BOMBA!$H$6:$H$13,MATCH($B59,CADASTRO_CASAS_BOMBA!$B$6:$B$13,0)),0)</f>
        <v>0</v>
      </c>
      <c r="Y59" s="19" t="n">
        <f aca="false">IFERROR(Y47/INDEX(CADASTRO_CASAS_BOMBA!$H$6:$H$13,MATCH($B59,CADASTRO_CASAS_BOMBA!$B$6:$B$13,0)),0)</f>
        <v>0</v>
      </c>
      <c r="Z59" s="19" t="n">
        <f aca="false">IFERROR(Z47/INDEX(CADASTRO_CASAS_BOMBA!$H$6:$H$13,MATCH($B59,CADASTRO_CASAS_BOMBA!$B$6:$B$13,0)),0)</f>
        <v>0.00329834163768497</v>
      </c>
      <c r="AA59" s="19" t="n">
        <f aca="false">IFERROR(AA47/INDEX(CADASTRO_CASAS_BOMBA!$H$6:$H$13,MATCH($B59,CADASTRO_CASAS_BOMBA!$B$6:$B$13,0)),0)</f>
        <v>0.0209409476113949</v>
      </c>
      <c r="AB59" s="19" t="n">
        <f aca="false">IFERROR(AB47/INDEX(CADASTRO_CASAS_BOMBA!$H$6:$H$13,MATCH($B59,CADASTRO_CASAS_BOMBA!$B$6:$B$13,0)),0)</f>
        <v>0.0357768964322741</v>
      </c>
      <c r="AC59" s="19" t="n">
        <f aca="false">IFERROR(AC47/INDEX(CADASTRO_CASAS_BOMBA!$H$6:$H$13,MATCH($B59,CADASTRO_CASAS_BOMBA!$B$6:$B$13,0)),0)</f>
        <v>0.0494631885828117</v>
      </c>
      <c r="AD59" s="19" t="n">
        <f aca="false">IFERROR(AD47/INDEX(CADASTRO_CASAS_BOMBA!$H$6:$H$13,MATCH($B59,CADASTRO_CASAS_BOMBA!$B$6:$B$13,0)),0)</f>
        <v>0.0494631885828117</v>
      </c>
      <c r="AE59" s="19" t="n">
        <f aca="false">IFERROR(AE47/INDEX(CADASTRO_CASAS_BOMBA!$H$6:$H$13,MATCH($B59,CADASTRO_CASAS_BOMBA!$B$6:$B$13,0)),0)</f>
        <v>0.0494631885828117</v>
      </c>
      <c r="AF59" s="19" t="n">
        <f aca="false">IFERROR(AF47/INDEX(CADASTRO_CASAS_BOMBA!$H$6:$H$13,MATCH($B59,CADASTRO_CASAS_BOMBA!$B$6:$B$13,0)),0)</f>
        <v>0.0494631885828117</v>
      </c>
      <c r="AG59" s="19" t="n">
        <f aca="false">IFERROR(AG47/INDEX(CADASTRO_CASAS_BOMBA!$H$6:$H$13,MATCH($B59,CADASTRO_CASAS_BOMBA!$B$6:$B$13,0)),0)</f>
        <v>0.129267951056952</v>
      </c>
      <c r="AH59" s="19" t="n">
        <f aca="false">IFERROR(AH47/INDEX(CADASTRO_CASAS_BOMBA!$H$6:$H$13,MATCH($B59,CADASTRO_CASAS_BOMBA!$B$6:$B$13,0)),0)</f>
        <v>0.221834440544373</v>
      </c>
      <c r="AI59" s="19" t="n">
        <f aca="false">IFERROR(AI47/INDEX(CADASTRO_CASAS_BOMBA!$H$6:$H$13,MATCH($B59,CADASTRO_CASAS_BOMBA!$B$6:$B$13,0)),0)</f>
        <v>0.237354808223415</v>
      </c>
      <c r="AJ59" s="19" t="n">
        <f aca="false">IFERROR(AJ47/INDEX(CADASTRO_CASAS_BOMBA!$H$6:$H$13,MATCH($B59,CADASTRO_CASAS_BOMBA!$B$6:$B$13,0)),0)</f>
        <v>0.252875175902458</v>
      </c>
      <c r="AK59" s="19" t="n">
        <f aca="false">IFERROR(AK47/INDEX(CADASTRO_CASAS_BOMBA!$H$6:$H$13,MATCH($B59,CADASTRO_CASAS_BOMBA!$B$6:$B$13,0)),0)</f>
        <v>0.275351742339787</v>
      </c>
      <c r="AL59" s="19" t="n">
        <f aca="false">IFERROR(AL47/INDEX(CADASTRO_CASAS_BOMBA!$H$6:$H$13,MATCH($B59,CADASTRO_CASAS_BOMBA!$B$6:$B$13,0)),0)</f>
        <v>0.326106198105151</v>
      </c>
      <c r="AM59" s="19" t="n">
        <f aca="false">IFERROR(AM47/INDEX(CADASTRO_CASAS_BOMBA!$H$6:$H$13,MATCH($B59,CADASTRO_CASAS_BOMBA!$B$6:$B$13,0)),0)</f>
        <v>0.311939163732006</v>
      </c>
      <c r="AN59" s="19" t="n">
        <f aca="false">IFERROR(AN47/INDEX(CADASTRO_CASAS_BOMBA!$H$6:$H$13,MATCH($B59,CADASTRO_CASAS_BOMBA!$B$6:$B$13,0)),0)</f>
        <v>0.29777212935886</v>
      </c>
      <c r="AO59" s="19" t="n">
        <f aca="false">IFERROR(AO47/INDEX(CADASTRO_CASAS_BOMBA!$H$6:$H$13,MATCH($B59,CADASTRO_CASAS_BOMBA!$B$6:$B$13,0)),0)</f>
        <v>0.283605094985714</v>
      </c>
      <c r="AP59" s="19" t="n">
        <f aca="false">IFERROR(AP47/INDEX(CADASTRO_CASAS_BOMBA!$H$6:$H$13,MATCH($B59,CADASTRO_CASAS_BOMBA!$B$6:$B$13,0)),0)</f>
        <v>0.273883565941707</v>
      </c>
      <c r="AQ59" s="19" t="n">
        <f aca="false">IFERROR(AQ47/INDEX(CADASTRO_CASAS_BOMBA!$H$6:$H$13,MATCH($B59,CADASTRO_CASAS_BOMBA!$B$6:$B$13,0)),0)</f>
        <v>0.261132069807853</v>
      </c>
      <c r="AR59" s="19" t="n">
        <f aca="false">IFERROR(AR47/INDEX(CADASTRO_CASAS_BOMBA!$H$6:$H$13,MATCH($B59,CADASTRO_CASAS_BOMBA!$B$6:$B$13,0)),0)</f>
        <v>0.173621175568333</v>
      </c>
      <c r="AS59" s="19" t="n">
        <f aca="false">IFERROR(AS47/INDEX(CADASTRO_CASAS_BOMBA!$H$6:$H$13,MATCH($B59,CADASTRO_CASAS_BOMBA!$B$6:$B$13,0)),0)</f>
        <v>0.166662011772946</v>
      </c>
      <c r="AT59" s="19" t="n">
        <f aca="false">IFERROR(AT47/INDEX(CADASTRO_CASAS_BOMBA!$H$6:$H$13,MATCH($B59,CADASTRO_CASAS_BOMBA!$B$6:$B$13,0)),0)</f>
        <v>0.130961093161678</v>
      </c>
      <c r="AU59" s="19" t="n">
        <f aca="false">IFERROR(AU47/INDEX(CADASTRO_CASAS_BOMBA!$H$6:$H$13,MATCH($B59,CADASTRO_CASAS_BOMBA!$B$6:$B$13,0)),0)</f>
        <v>0.125609067824196</v>
      </c>
      <c r="AV59" s="19" t="n">
        <f aca="false">IFERROR(AV47/INDEX(CADASTRO_CASAS_BOMBA!$H$6:$H$13,MATCH($B59,CADASTRO_CASAS_BOMBA!$B$6:$B$13,0)),0)</f>
        <v>0.115388228774868</v>
      </c>
      <c r="AW59" s="19" t="n">
        <f aca="false">IFERROR(AW47/INDEX(CADASTRO_CASAS_BOMBA!$H$6:$H$13,MATCH($B59,CADASTRO_CASAS_BOMBA!$B$6:$B$13,0)),0)</f>
        <v>0.105167389725539</v>
      </c>
      <c r="AX59" s="19" t="n">
        <f aca="false">IFERROR(AX47/INDEX(CADASTRO_CASAS_BOMBA!$H$6:$H$13,MATCH($B59,CADASTRO_CASAS_BOMBA!$B$6:$B$13,0)),0)</f>
        <v>0.0976488754907951</v>
      </c>
      <c r="AY59" s="19" t="n">
        <f aca="false">IFERROR(AY47/INDEX(CADASTRO_CASAS_BOMBA!$H$6:$H$13,MATCH($B59,CADASTRO_CASAS_BOMBA!$B$6:$B$13,0)),0)</f>
        <v>0.0587471572487603</v>
      </c>
      <c r="AZ59" s="19" t="n">
        <f aca="false">IFERROR(AZ47/INDEX(CADASTRO_CASAS_BOMBA!$H$6:$H$13,MATCH($B59,CADASTRO_CASAS_BOMBA!$B$6:$B$13,0)),0)</f>
        <v>0.0528824952302018</v>
      </c>
      <c r="BA59" s="19" t="n">
        <f aca="false">IFERROR(BA47/INDEX(CADASTRO_CASAS_BOMBA!$H$6:$H$13,MATCH($B59,CADASTRO_CASAS_BOMBA!$B$6:$B$13,0)),0)</f>
        <v>0</v>
      </c>
      <c r="BB59" s="19" t="n">
        <f aca="false">IFERROR(BB47/INDEX(CADASTRO_CASAS_BOMBA!$H$6:$H$13,MATCH($B59,CADASTRO_CASAS_BOMBA!$B$6:$B$13,0)),0)</f>
        <v>0</v>
      </c>
      <c r="BC59" s="19" t="n">
        <f aca="false">IFERROR(BC47/INDEX(CADASTRO_CASAS_BOMBA!$H$6:$H$13,MATCH($B59,CADASTRO_CASAS_BOMBA!$B$6:$B$13,0)),0)</f>
        <v>0</v>
      </c>
      <c r="BD59" s="19" t="n">
        <f aca="false">IFERROR(BD47/INDEX(CADASTRO_CASAS_BOMBA!$H$6:$H$13,MATCH($B59,CADASTRO_CASAS_BOMBA!$B$6:$B$13,0)),0)</f>
        <v>0</v>
      </c>
      <c r="BE59" s="19" t="n">
        <f aca="false">IFERROR(BE47/INDEX(CADASTRO_CASAS_BOMBA!$H$6:$H$13,MATCH($B59,CADASTRO_CASAS_BOMBA!$B$6:$B$13,0)),0)</f>
        <v>0</v>
      </c>
      <c r="BF59" s="19" t="n">
        <f aca="false">IFERROR(BF47/INDEX(CADASTRO_CASAS_BOMBA!$H$6:$H$13,MATCH($B59,CADASTRO_CASAS_BOMBA!$B$6:$B$13,0)),0)</f>
        <v>0</v>
      </c>
      <c r="BG59" s="19" t="n">
        <f aca="false">IFERROR(BG47/INDEX(CADASTRO_CASAS_BOMBA!$H$6:$H$13,MATCH($B59,CADASTRO_CASAS_BOMBA!$B$6:$B$13,0)),0)</f>
        <v>0</v>
      </c>
      <c r="BH59" s="19" t="n">
        <f aca="false">IFERROR(BH47/INDEX(CADASTRO_CASAS_BOMBA!$H$6:$H$13,MATCH($B59,CADASTRO_CASAS_BOMBA!$B$6:$B$13,0)),0)</f>
        <v>0</v>
      </c>
      <c r="BI59" s="19" t="n">
        <f aca="false">IFERROR(BI47/INDEX(CADASTRO_CASAS_BOMBA!$H$6:$H$13,MATCH($B59,CADASTRO_CASAS_BOMBA!$B$6:$B$13,0)),0)</f>
        <v>0</v>
      </c>
      <c r="BJ59" s="19" t="n">
        <f aca="false">IFERROR(BJ47/INDEX(CADASTRO_CASAS_BOMBA!$H$6:$H$13,MATCH($B59,CADASTRO_CASAS_BOMBA!$B$6:$B$13,0)),0)</f>
        <v>0</v>
      </c>
      <c r="BK59" s="19" t="n">
        <f aca="false">IFERROR(BK47/INDEX(CADASTRO_CASAS_BOMBA!$H$6:$H$13,MATCH($B59,CADASTRO_CASAS_BOMBA!$B$6:$B$13,0)),0)</f>
        <v>0</v>
      </c>
      <c r="BL59" s="19" t="n">
        <f aca="false">IFERROR(BL47/INDEX(CADASTRO_CASAS_BOMBA!$H$6:$H$13,MATCH($B59,CADASTRO_CASAS_BOMBA!$B$6:$B$13,0)),0)</f>
        <v>0</v>
      </c>
      <c r="BM59" s="19" t="n">
        <f aca="false">IFERROR(BM47/INDEX(CADASTRO_CASAS_BOMBA!$H$6:$H$13,MATCH($B59,CADASTRO_CASAS_BOMBA!$B$6:$B$13,0)),0)</f>
        <v>0</v>
      </c>
      <c r="BN59" s="19" t="n">
        <f aca="false">IFERROR(BN47/INDEX(CADASTRO_CASAS_BOMBA!$H$6:$H$13,MATCH($B59,CADASTRO_CASAS_BOMBA!$B$6:$B$13,0)),0)</f>
        <v>0</v>
      </c>
      <c r="BO59" s="19" t="n">
        <f aca="false">IFERROR(BO47/INDEX(CADASTRO_CASAS_BOMBA!$H$6:$H$13,MATCH($B59,CADASTRO_CASAS_BOMBA!$B$6:$B$13,0)),0)</f>
        <v>0</v>
      </c>
      <c r="BP59" s="19" t="n">
        <f aca="false">IFERROR(BP47/INDEX(CADASTRO_CASAS_BOMBA!$H$6:$H$13,MATCH($B59,CADASTRO_CASAS_BOMBA!$B$6:$B$13,0)),0)</f>
        <v>0</v>
      </c>
      <c r="BQ59" s="19" t="n">
        <f aca="false">MAX(C59:BP59)</f>
        <v>0.326106198105151</v>
      </c>
    </row>
    <row r="60" customFormat="false" ht="15" hidden="false" customHeight="false" outlineLevel="0" collapsed="false">
      <c r="B60" s="15" t="s">
        <v>132</v>
      </c>
      <c r="C60" s="19" t="n">
        <f aca="false">IFERROR(C48/INDEX(CADASTRO_CASAS_BOMBA!$H$6:$H$13,MATCH($B60,CADASTRO_CASAS_BOMBA!$B$6:$B$13,0)),0)</f>
        <v>0.126061846177456</v>
      </c>
      <c r="D60" s="19" t="n">
        <f aca="false">IFERROR(D48/INDEX(CADASTRO_CASAS_BOMBA!$H$6:$H$13,MATCH($B60,CADASTRO_CASAS_BOMBA!$B$6:$B$13,0)),0)</f>
        <v>0.126117093383124</v>
      </c>
      <c r="E60" s="19" t="n">
        <f aca="false">IFERROR(E48/INDEX(CADASTRO_CASAS_BOMBA!$H$6:$H$13,MATCH($B60,CADASTRO_CASAS_BOMBA!$B$6:$B$13,0)),0)</f>
        <v>0.126117093383124</v>
      </c>
      <c r="F60" s="19" t="n">
        <f aca="false">IFERROR(F48/INDEX(CADASTRO_CASAS_BOMBA!$H$6:$H$13,MATCH($B60,CADASTRO_CASAS_BOMBA!$B$6:$B$13,0)),0)</f>
        <v>0.126117093383124</v>
      </c>
      <c r="G60" s="19" t="n">
        <f aca="false">IFERROR(G48/INDEX(CADASTRO_CASAS_BOMBA!$H$6:$H$13,MATCH($B60,CADASTRO_CASAS_BOMBA!$B$6:$B$13,0)),0)</f>
        <v>0.0951049952681792</v>
      </c>
      <c r="H60" s="19" t="n">
        <f aca="false">IFERROR(H48/INDEX(CADASTRO_CASAS_BOMBA!$H$6:$H$13,MATCH($B60,CADASTRO_CASAS_BOMBA!$B$6:$B$13,0)),0)</f>
        <v>0.0718459216819705</v>
      </c>
      <c r="I60" s="19" t="n">
        <f aca="false">IFERROR(I48/INDEX(CADASTRO_CASAS_BOMBA!$H$6:$H$13,MATCH($B60,CADASTRO_CASAS_BOMBA!$B$6:$B$13,0)),0)</f>
        <v>0.0718459216819705</v>
      </c>
      <c r="J60" s="19" t="n">
        <f aca="false">IFERROR(J48/INDEX(CADASTRO_CASAS_BOMBA!$H$6:$H$13,MATCH($B60,CADASTRO_CASAS_BOMBA!$B$6:$B$13,0)),0)</f>
        <v>0.0619198403969614</v>
      </c>
      <c r="K60" s="19" t="n">
        <f aca="false">IFERROR(K48/INDEX(CADASTRO_CASAS_BOMBA!$H$6:$H$13,MATCH($B60,CADASTRO_CASAS_BOMBA!$B$6:$B$13,0)),0)</f>
        <v>0.0413774714172443</v>
      </c>
      <c r="L60" s="19" t="n">
        <f aca="false">IFERROR(L48/INDEX(CADASTRO_CASAS_BOMBA!$H$6:$H$13,MATCH($B60,CADASTRO_CASAS_BOMBA!$B$6:$B$13,0)),0)</f>
        <v>0</v>
      </c>
      <c r="M60" s="19" t="n">
        <f aca="false">IFERROR(M48/INDEX(CADASTRO_CASAS_BOMBA!$H$6:$H$13,MATCH($B60,CADASTRO_CASAS_BOMBA!$B$6:$B$13,0)),0)</f>
        <v>0</v>
      </c>
      <c r="N60" s="19" t="n">
        <f aca="false">IFERROR(N48/INDEX(CADASTRO_CASAS_BOMBA!$H$6:$H$13,MATCH($B60,CADASTRO_CASAS_BOMBA!$B$6:$B$13,0)),0)</f>
        <v>0</v>
      </c>
      <c r="O60" s="19" t="n">
        <f aca="false">IFERROR(O48/INDEX(CADASTRO_CASAS_BOMBA!$H$6:$H$13,MATCH($B60,CADASTRO_CASAS_BOMBA!$B$6:$B$13,0)),0)</f>
        <v>0.00857292679610325</v>
      </c>
      <c r="P60" s="19" t="n">
        <f aca="false">IFERROR(P48/INDEX(CADASTRO_CASAS_BOMBA!$H$6:$H$13,MATCH($B60,CADASTRO_CASAS_BOMBA!$B$6:$B$13,0)),0)</f>
        <v>0</v>
      </c>
      <c r="Q60" s="19" t="n">
        <f aca="false">IFERROR(Q48/INDEX(CADASTRO_CASAS_BOMBA!$H$6:$H$13,MATCH($B60,CADASTRO_CASAS_BOMBA!$B$6:$B$13,0)),0)</f>
        <v>0</v>
      </c>
      <c r="R60" s="19" t="n">
        <f aca="false">IFERROR(R48/INDEX(CADASTRO_CASAS_BOMBA!$H$6:$H$13,MATCH($B60,CADASTRO_CASAS_BOMBA!$B$6:$B$13,0)),0)</f>
        <v>0</v>
      </c>
      <c r="S60" s="19" t="n">
        <f aca="false">IFERROR(S48/INDEX(CADASTRO_CASAS_BOMBA!$H$6:$H$13,MATCH($B60,CADASTRO_CASAS_BOMBA!$B$6:$B$13,0)),0)</f>
        <v>0</v>
      </c>
      <c r="T60" s="19" t="n">
        <f aca="false">IFERROR(T48/INDEX(CADASTRO_CASAS_BOMBA!$H$6:$H$13,MATCH($B60,CADASTRO_CASAS_BOMBA!$B$6:$B$13,0)),0)</f>
        <v>0.00226573971021254</v>
      </c>
      <c r="U60" s="19" t="n">
        <f aca="false">IFERROR(U48/INDEX(CADASTRO_CASAS_BOMBA!$H$6:$H$13,MATCH($B60,CADASTRO_CASAS_BOMBA!$B$6:$B$13,0)),0)</f>
        <v>0.0116050082718204</v>
      </c>
      <c r="V60" s="19" t="n">
        <f aca="false">IFERROR(V48/INDEX(CADASTRO_CASAS_BOMBA!$H$6:$H$13,MATCH($B60,CADASTRO_CASAS_BOMBA!$B$6:$B$13,0)),0)</f>
        <v>0.0114224733564741</v>
      </c>
      <c r="W60" s="19" t="n">
        <f aca="false">IFERROR(W48/INDEX(CADASTRO_CASAS_BOMBA!$H$6:$H$13,MATCH($B60,CADASTRO_CASAS_BOMBA!$B$6:$B$13,0)),0)</f>
        <v>0</v>
      </c>
      <c r="X60" s="19" t="n">
        <f aca="false">IFERROR(X48/INDEX(CADASTRO_CASAS_BOMBA!$H$6:$H$13,MATCH($B60,CADASTRO_CASAS_BOMBA!$B$6:$B$13,0)),0)</f>
        <v>0</v>
      </c>
      <c r="Y60" s="19" t="n">
        <f aca="false">IFERROR(Y48/INDEX(CADASTRO_CASAS_BOMBA!$H$6:$H$13,MATCH($B60,CADASTRO_CASAS_BOMBA!$B$6:$B$13,0)),0)</f>
        <v>0</v>
      </c>
      <c r="Z60" s="19" t="n">
        <f aca="false">IFERROR(Z48/INDEX(CADASTRO_CASAS_BOMBA!$H$6:$H$13,MATCH($B60,CADASTRO_CASAS_BOMBA!$B$6:$B$13,0)),0)</f>
        <v>0.0148089353374734</v>
      </c>
      <c r="AA60" s="19" t="n">
        <f aca="false">IFERROR(AA48/INDEX(CADASTRO_CASAS_BOMBA!$H$6:$H$13,MATCH($B60,CADASTRO_CASAS_BOMBA!$B$6:$B$13,0)),0)</f>
        <v>0.0409802065952605</v>
      </c>
      <c r="AB60" s="19" t="n">
        <f aca="false">IFERROR(AB48/INDEX(CADASTRO_CASAS_BOMBA!$H$6:$H$13,MATCH($B60,CADASTRO_CASAS_BOMBA!$B$6:$B$13,0)),0)</f>
        <v>0.042262487418171</v>
      </c>
      <c r="AC60" s="19" t="n">
        <f aca="false">IFERROR(AC48/INDEX(CADASTRO_CASAS_BOMBA!$H$6:$H$13,MATCH($B60,CADASTRO_CASAS_BOMBA!$B$6:$B$13,0)),0)</f>
        <v>0.0522095722704766</v>
      </c>
      <c r="AD60" s="19" t="n">
        <f aca="false">IFERROR(AD48/INDEX(CADASTRO_CASAS_BOMBA!$H$6:$H$13,MATCH($B60,CADASTRO_CASAS_BOMBA!$B$6:$B$13,0)),0)</f>
        <v>0.0522095722704766</v>
      </c>
      <c r="AE60" s="19" t="n">
        <f aca="false">IFERROR(AE48/INDEX(CADASTRO_CASAS_BOMBA!$H$6:$H$13,MATCH($B60,CADASTRO_CASAS_BOMBA!$B$6:$B$13,0)),0)</f>
        <v>0.0522095722704766</v>
      </c>
      <c r="AF60" s="19" t="n">
        <f aca="false">IFERROR(AF48/INDEX(CADASTRO_CASAS_BOMBA!$H$6:$H$13,MATCH($B60,CADASTRO_CASAS_BOMBA!$B$6:$B$13,0)),0)</f>
        <v>0.0522095722704766</v>
      </c>
      <c r="AG60" s="19" t="n">
        <f aca="false">IFERROR(AG48/INDEX(CADASTRO_CASAS_BOMBA!$H$6:$H$13,MATCH($B60,CADASTRO_CASAS_BOMBA!$B$6:$B$13,0)),0)</f>
        <v>0.117907939808402</v>
      </c>
      <c r="AH60" s="19" t="n">
        <f aca="false">IFERROR(AH48/INDEX(CADASTRO_CASAS_BOMBA!$H$6:$H$13,MATCH($B60,CADASTRO_CASAS_BOMBA!$B$6:$B$13,0)),0)</f>
        <v>0.167181715461845</v>
      </c>
      <c r="AI60" s="19" t="n">
        <f aca="false">IFERROR(AI48/INDEX(CADASTRO_CASAS_BOMBA!$H$6:$H$13,MATCH($B60,CADASTRO_CASAS_BOMBA!$B$6:$B$13,0)),0)</f>
        <v>0.167181715461845</v>
      </c>
      <c r="AJ60" s="19" t="n">
        <f aca="false">IFERROR(AJ48/INDEX(CADASTRO_CASAS_BOMBA!$H$6:$H$13,MATCH($B60,CADASTRO_CASAS_BOMBA!$B$6:$B$13,0)),0)</f>
        <v>0.16376293996638</v>
      </c>
      <c r="AK60" s="19" t="n">
        <f aca="false">IFERROR(AK48/INDEX(CADASTRO_CASAS_BOMBA!$H$6:$H$13,MATCH($B60,CADASTRO_CASAS_BOMBA!$B$6:$B$13,0)),0)</f>
        <v>0.171173084823164</v>
      </c>
      <c r="AL60" s="19" t="n">
        <f aca="false">IFERROR(AL48/INDEX(CADASTRO_CASAS_BOMBA!$H$6:$H$13,MATCH($B60,CADASTRO_CASAS_BOMBA!$B$6:$B$13,0)),0)</f>
        <v>0.198495517186745</v>
      </c>
      <c r="AM60" s="19" t="n">
        <f aca="false">IFERROR(AM48/INDEX(CADASTRO_CASAS_BOMBA!$H$6:$H$13,MATCH($B60,CADASTRO_CASAS_BOMBA!$B$6:$B$13,0)),0)</f>
        <v>0.184200103576339</v>
      </c>
      <c r="AN60" s="19" t="n">
        <f aca="false">IFERROR(AN48/INDEX(CADASTRO_CASAS_BOMBA!$H$6:$H$13,MATCH($B60,CADASTRO_CASAS_BOMBA!$B$6:$B$13,0)),0)</f>
        <v>0.169904689965933</v>
      </c>
      <c r="AO60" s="19" t="n">
        <f aca="false">IFERROR(AO48/INDEX(CADASTRO_CASAS_BOMBA!$H$6:$H$13,MATCH($B60,CADASTRO_CASAS_BOMBA!$B$6:$B$13,0)),0)</f>
        <v>0.155609276355527</v>
      </c>
      <c r="AP60" s="19" t="n">
        <f aca="false">IFERROR(AP48/INDEX(CADASTRO_CASAS_BOMBA!$H$6:$H$13,MATCH($B60,CADASTRO_CASAS_BOMBA!$B$6:$B$13,0)),0)</f>
        <v>0.162204620609941</v>
      </c>
      <c r="AQ60" s="19" t="n">
        <f aca="false">IFERROR(AQ48/INDEX(CADASTRO_CASAS_BOMBA!$H$6:$H$13,MATCH($B60,CADASTRO_CASAS_BOMBA!$B$6:$B$13,0)),0)</f>
        <v>0.166868119505023</v>
      </c>
      <c r="AR60" s="19" t="n">
        <f aca="false">IFERROR(AR48/INDEX(CADASTRO_CASAS_BOMBA!$H$6:$H$13,MATCH($B60,CADASTRO_CASAS_BOMBA!$B$6:$B$13,0)),0)</f>
        <v>0.0922550471415532</v>
      </c>
      <c r="AS60" s="19" t="n">
        <f aca="false">IFERROR(AS48/INDEX(CADASTRO_CASAS_BOMBA!$H$6:$H$13,MATCH($B60,CADASTRO_CASAS_BOMBA!$B$6:$B$13,0)),0)</f>
        <v>0.0868220524590086</v>
      </c>
      <c r="AT60" s="19" t="n">
        <f aca="false">IFERROR(AT48/INDEX(CADASTRO_CASAS_BOMBA!$H$6:$H$13,MATCH($B60,CADASTRO_CASAS_BOMBA!$B$6:$B$13,0)),0)</f>
        <v>0.0531774825460699</v>
      </c>
      <c r="AU60" s="19" t="n">
        <f aca="false">IFERROR(AU48/INDEX(CADASTRO_CASAS_BOMBA!$H$6:$H$13,MATCH($B60,CADASTRO_CASAS_BOMBA!$B$6:$B$13,0)),0)</f>
        <v>0.090842419933683</v>
      </c>
      <c r="AV60" s="19" t="n">
        <f aca="false">IFERROR(AV48/INDEX(CADASTRO_CASAS_BOMBA!$H$6:$H$13,MATCH($B60,CADASTRO_CASAS_BOMBA!$B$6:$B$13,0)),0)</f>
        <v>0.113594461055102</v>
      </c>
      <c r="AW60" s="19" t="n">
        <f aca="false">IFERROR(AW48/INDEX(CADASTRO_CASAS_BOMBA!$H$6:$H$13,MATCH($B60,CADASTRO_CASAS_BOMBA!$B$6:$B$13,0)),0)</f>
        <v>0.136346502176522</v>
      </c>
      <c r="AX60" s="19" t="n">
        <f aca="false">IFERROR(AX48/INDEX(CADASTRO_CASAS_BOMBA!$H$6:$H$13,MATCH($B60,CADASTRO_CASAS_BOMBA!$B$6:$B$13,0)),0)</f>
        <v>0.167464342528652</v>
      </c>
      <c r="AY60" s="19" t="n">
        <f aca="false">IFERROR(AY48/INDEX(CADASTRO_CASAS_BOMBA!$H$6:$H$13,MATCH($B60,CADASTRO_CASAS_BOMBA!$B$6:$B$13,0)),0)</f>
        <v>0.238011276102494</v>
      </c>
      <c r="AZ60" s="19" t="n">
        <f aca="false">IFERROR(AZ48/INDEX(CADASTRO_CASAS_BOMBA!$H$6:$H$13,MATCH($B60,CADASTRO_CASAS_BOMBA!$B$6:$B$13,0)),0)</f>
        <v>0.259886641541314</v>
      </c>
      <c r="BA60" s="19" t="n">
        <f aca="false">IFERROR(BA48/INDEX(CADASTRO_CASAS_BOMBA!$H$6:$H$13,MATCH($B60,CADASTRO_CASAS_BOMBA!$B$6:$B$13,0)),0)</f>
        <v>0.278224480320725</v>
      </c>
      <c r="BB60" s="19" t="n">
        <f aca="false">IFERROR(BB48/INDEX(CADASTRO_CASAS_BOMBA!$H$6:$H$13,MATCH($B60,CADASTRO_CASAS_BOMBA!$B$6:$B$13,0)),0)</f>
        <v>0.296562319100136</v>
      </c>
      <c r="BC60" s="19" t="n">
        <f aca="false">IFERROR(BC48/INDEX(CADASTRO_CASAS_BOMBA!$H$6:$H$13,MATCH($B60,CADASTRO_CASAS_BOMBA!$B$6:$B$13,0)),0)</f>
        <v>0.312514880351535</v>
      </c>
      <c r="BD60" s="19" t="n">
        <f aca="false">IFERROR(BD48/INDEX(CADASTRO_CASAS_BOMBA!$H$6:$H$13,MATCH($B60,CADASTRO_CASAS_BOMBA!$B$6:$B$13,0)),0)</f>
        <v>0.315343200481973</v>
      </c>
      <c r="BE60" s="19" t="n">
        <f aca="false">IFERROR(BE48/INDEX(CADASTRO_CASAS_BOMBA!$H$6:$H$13,MATCH($B60,CADASTRO_CASAS_BOMBA!$B$6:$B$13,0)),0)</f>
        <v>0.315343200481973</v>
      </c>
      <c r="BF60" s="19" t="n">
        <f aca="false">IFERROR(BF48/INDEX(CADASTRO_CASAS_BOMBA!$H$6:$H$13,MATCH($B60,CADASTRO_CASAS_BOMBA!$B$6:$B$13,0)),0)</f>
        <v>0.304705276232804</v>
      </c>
      <c r="BG60" s="19" t="n">
        <f aca="false">IFERROR(BG48/INDEX(CADASTRO_CASAS_BOMBA!$H$6:$H$13,MATCH($B60,CADASTRO_CASAS_BOMBA!$B$6:$B$13,0)),0)</f>
        <v>0.227141496998936</v>
      </c>
      <c r="BH60" s="19" t="n">
        <f aca="false">IFERROR(BH48/INDEX(CADASTRO_CASAS_BOMBA!$H$6:$H$13,MATCH($B60,CADASTRO_CASAS_BOMBA!$B$6:$B$13,0)),0)</f>
        <v>0.131027017504932</v>
      </c>
      <c r="BI60" s="19" t="n">
        <f aca="false">IFERROR(BI48/INDEX(CADASTRO_CASAS_BOMBA!$H$6:$H$13,MATCH($B60,CADASTRO_CASAS_BOMBA!$B$6:$B$13,0)),0)</f>
        <v>0.111854298858154</v>
      </c>
      <c r="BJ60" s="19" t="n">
        <f aca="false">IFERROR(BJ48/INDEX(CADASTRO_CASAS_BOMBA!$H$6:$H$13,MATCH($B60,CADASTRO_CASAS_BOMBA!$B$6:$B$13,0)),0)</f>
        <v>0.0849232638047029</v>
      </c>
      <c r="BK60" s="19" t="n">
        <f aca="false">IFERROR(BK48/INDEX(CADASTRO_CASAS_BOMBA!$H$6:$H$13,MATCH($B60,CADASTRO_CASAS_BOMBA!$B$6:$B$13,0)),0)</f>
        <v>0.0513092017819517</v>
      </c>
      <c r="BL60" s="19" t="n">
        <f aca="false">IFERROR(BL48/INDEX(CADASTRO_CASAS_BOMBA!$H$6:$H$13,MATCH($B60,CADASTRO_CASAS_BOMBA!$B$6:$B$13,0)),0)</f>
        <v>0</v>
      </c>
      <c r="BM60" s="19" t="n">
        <f aca="false">IFERROR(BM48/INDEX(CADASTRO_CASAS_BOMBA!$H$6:$H$13,MATCH($B60,CADASTRO_CASAS_BOMBA!$B$6:$B$13,0)),0)</f>
        <v>0</v>
      </c>
      <c r="BN60" s="19" t="n">
        <f aca="false">IFERROR(BN48/INDEX(CADASTRO_CASAS_BOMBA!$H$6:$H$13,MATCH($B60,CADASTRO_CASAS_BOMBA!$B$6:$B$13,0)),0)</f>
        <v>0</v>
      </c>
      <c r="BO60" s="19" t="n">
        <f aca="false">IFERROR(BO48/INDEX(CADASTRO_CASAS_BOMBA!$H$6:$H$13,MATCH($B60,CADASTRO_CASAS_BOMBA!$B$6:$B$13,0)),0)</f>
        <v>0</v>
      </c>
      <c r="BP60" s="19" t="n">
        <f aca="false">IFERROR(BP48/INDEX(CADASTRO_CASAS_BOMBA!$H$6:$H$13,MATCH($B60,CADASTRO_CASAS_BOMBA!$B$6:$B$13,0)),0)</f>
        <v>0</v>
      </c>
      <c r="BQ60" s="19" t="n">
        <f aca="false">MAX(C60:BP60)</f>
        <v>0.315343200481973</v>
      </c>
    </row>
    <row r="61" customFormat="false" ht="15" hidden="false" customHeight="false" outlineLevel="0" collapsed="false">
      <c r="B61" s="15" t="s">
        <v>133</v>
      </c>
      <c r="C61" s="19" t="n">
        <f aca="false">IFERROR(C49/INDEX(CADASTRO_CASAS_BOMBA!$H$6:$H$13,MATCH($B61,CADASTRO_CASAS_BOMBA!$B$6:$B$13,0)),0)</f>
        <v>0.147890966081224</v>
      </c>
      <c r="D61" s="19" t="n">
        <f aca="false">IFERROR(D49/INDEX(CADASTRO_CASAS_BOMBA!$H$6:$H$13,MATCH($B61,CADASTRO_CASAS_BOMBA!$B$6:$B$13,0)),0)</f>
        <v>0.10589910164408</v>
      </c>
      <c r="E61" s="19" t="n">
        <f aca="false">IFERROR(E49/INDEX(CADASTRO_CASAS_BOMBA!$H$6:$H$13,MATCH($B61,CADASTRO_CASAS_BOMBA!$B$6:$B$13,0)),0)</f>
        <v>0.072176759410802</v>
      </c>
      <c r="F61" s="19" t="n">
        <f aca="false">IFERROR(F49/INDEX(CADASTRO_CASAS_BOMBA!$H$6:$H$13,MATCH($B61,CADASTRO_CASAS_BOMBA!$B$6:$B$13,0)),0)</f>
        <v>0.0672737810777428</v>
      </c>
      <c r="G61" s="19" t="n">
        <f aca="false">IFERROR(G49/INDEX(CADASTRO_CASAS_BOMBA!$H$6:$H$13,MATCH($B61,CADASTRO_CASAS_BOMBA!$B$6:$B$13,0)),0)</f>
        <v>0.0428932657106929</v>
      </c>
      <c r="H61" s="19" t="n">
        <f aca="false">IFERROR(H49/INDEX(CADASTRO_CASAS_BOMBA!$H$6:$H$13,MATCH($B61,CADASTRO_CASAS_BOMBA!$B$6:$B$13,0)),0)</f>
        <v>0.0231285322745687</v>
      </c>
      <c r="I61" s="19" t="n">
        <f aca="false">IFERROR(I49/INDEX(CADASTRO_CASAS_BOMBA!$H$6:$H$13,MATCH($B61,CADASTRO_CASAS_BOMBA!$B$6:$B$13,0)),0)</f>
        <v>0.0165010581140198</v>
      </c>
      <c r="J61" s="19" t="n">
        <f aca="false">IFERROR(J49/INDEX(CADASTRO_CASAS_BOMBA!$H$6:$H$13,MATCH($B61,CADASTRO_CASAS_BOMBA!$B$6:$B$13,0)),0)</f>
        <v>0.00987358395347084</v>
      </c>
      <c r="K61" s="19" t="n">
        <f aca="false">IFERROR(K49/INDEX(CADASTRO_CASAS_BOMBA!$H$6:$H$13,MATCH($B61,CADASTRO_CASAS_BOMBA!$B$6:$B$13,0)),0)</f>
        <v>0</v>
      </c>
      <c r="L61" s="19" t="n">
        <f aca="false">IFERROR(L49/INDEX(CADASTRO_CASAS_BOMBA!$H$6:$H$13,MATCH($B61,CADASTRO_CASAS_BOMBA!$B$6:$B$13,0)),0)</f>
        <v>0</v>
      </c>
      <c r="M61" s="19" t="n">
        <f aca="false">IFERROR(M49/INDEX(CADASTRO_CASAS_BOMBA!$H$6:$H$13,MATCH($B61,CADASTRO_CASAS_BOMBA!$B$6:$B$13,0)),0)</f>
        <v>0</v>
      </c>
      <c r="N61" s="19" t="n">
        <f aca="false">IFERROR(N49/INDEX(CADASTRO_CASAS_BOMBA!$H$6:$H$13,MATCH($B61,CADASTRO_CASAS_BOMBA!$B$6:$B$13,0)),0)</f>
        <v>0</v>
      </c>
      <c r="O61" s="19" t="n">
        <f aca="false">IFERROR(O49/INDEX(CADASTRO_CASAS_BOMBA!$H$6:$H$13,MATCH($B61,CADASTRO_CASAS_BOMBA!$B$6:$B$13,0)),0)</f>
        <v>0.0010458236598331</v>
      </c>
      <c r="P61" s="19" t="n">
        <f aca="false">IFERROR(P49/INDEX(CADASTRO_CASAS_BOMBA!$H$6:$H$13,MATCH($B61,CADASTRO_CASAS_BOMBA!$B$6:$B$13,0)),0)</f>
        <v>0</v>
      </c>
      <c r="Q61" s="19" t="n">
        <f aca="false">IFERROR(Q49/INDEX(CADASTRO_CASAS_BOMBA!$H$6:$H$13,MATCH($B61,CADASTRO_CASAS_BOMBA!$B$6:$B$13,0)),0)</f>
        <v>0</v>
      </c>
      <c r="R61" s="19" t="n">
        <f aca="false">IFERROR(R49/INDEX(CADASTRO_CASAS_BOMBA!$H$6:$H$13,MATCH($B61,CADASTRO_CASAS_BOMBA!$B$6:$B$13,0)),0)</f>
        <v>0</v>
      </c>
      <c r="S61" s="19" t="n">
        <f aca="false">IFERROR(S49/INDEX(CADASTRO_CASAS_BOMBA!$H$6:$H$13,MATCH($B61,CADASTRO_CASAS_BOMBA!$B$6:$B$13,0)),0)</f>
        <v>0</v>
      </c>
      <c r="T61" s="19" t="n">
        <f aca="false">IFERROR(T49/INDEX(CADASTRO_CASAS_BOMBA!$H$6:$H$13,MATCH($B61,CADASTRO_CASAS_BOMBA!$B$6:$B$13,0)),0)</f>
        <v>0.000573382733621359</v>
      </c>
      <c r="U61" s="19" t="n">
        <f aca="false">IFERROR(U49/INDEX(CADASTRO_CASAS_BOMBA!$H$6:$H$13,MATCH($B61,CADASTRO_CASAS_BOMBA!$B$6:$B$13,0)),0)</f>
        <v>0.00293683839171917</v>
      </c>
      <c r="V61" s="19" t="n">
        <f aca="false">IFERROR(V49/INDEX(CADASTRO_CASAS_BOMBA!$H$6:$H$13,MATCH($B61,CADASTRO_CASAS_BOMBA!$B$6:$B$13,0)),0)</f>
        <v>0.00293683839171917</v>
      </c>
      <c r="W61" s="19" t="n">
        <f aca="false">IFERROR(W49/INDEX(CADASTRO_CASAS_BOMBA!$H$6:$H$13,MATCH($B61,CADASTRO_CASAS_BOMBA!$B$6:$B$13,0)),0)</f>
        <v>0</v>
      </c>
      <c r="X61" s="19" t="n">
        <f aca="false">IFERROR(X49/INDEX(CADASTRO_CASAS_BOMBA!$H$6:$H$13,MATCH($B61,CADASTRO_CASAS_BOMBA!$B$6:$B$13,0)),0)</f>
        <v>0</v>
      </c>
      <c r="Y61" s="19" t="n">
        <f aca="false">IFERROR(Y49/INDEX(CADASTRO_CASAS_BOMBA!$H$6:$H$13,MATCH($B61,CADASTRO_CASAS_BOMBA!$B$6:$B$13,0)),0)</f>
        <v>0.00690844226230239</v>
      </c>
      <c r="Z61" s="19" t="n">
        <f aca="false">IFERROR(Z49/INDEX(CADASTRO_CASAS_BOMBA!$H$6:$H$13,MATCH($B61,CADASTRO_CASAS_BOMBA!$B$6:$B$13,0)),0)</f>
        <v>0.0179350879819177</v>
      </c>
      <c r="AA61" s="19" t="n">
        <f aca="false">IFERROR(AA49/INDEX(CADASTRO_CASAS_BOMBA!$H$6:$H$13,MATCH($B61,CADASTRO_CASAS_BOMBA!$B$6:$B$13,0)),0)</f>
        <v>0.0361054441823738</v>
      </c>
      <c r="AB61" s="19" t="n">
        <f aca="false">IFERROR(AB49/INDEX(CADASTRO_CASAS_BOMBA!$H$6:$H$13,MATCH($B61,CADASTRO_CASAS_BOMBA!$B$6:$B$13,0)),0)</f>
        <v>0.0377566039255267</v>
      </c>
      <c r="AC61" s="19" t="n">
        <f aca="false">IFERROR(AC49/INDEX(CADASTRO_CASAS_BOMBA!$H$6:$H$13,MATCH($B61,CADASTRO_CASAS_BOMBA!$B$6:$B$13,0)),0)</f>
        <v>0.0552572341360392</v>
      </c>
      <c r="AD61" s="19" t="n">
        <f aca="false">IFERROR(AD49/INDEX(CADASTRO_CASAS_BOMBA!$H$6:$H$13,MATCH($B61,CADASTRO_CASAS_BOMBA!$B$6:$B$13,0)),0)</f>
        <v>0.0630421006317303</v>
      </c>
      <c r="AE61" s="19" t="n">
        <f aca="false">IFERROR(AE49/INDEX(CADASTRO_CASAS_BOMBA!$H$6:$H$13,MATCH($B61,CADASTRO_CASAS_BOMBA!$B$6:$B$13,0)),0)</f>
        <v>0.0655362860381831</v>
      </c>
      <c r="AF61" s="19" t="n">
        <f aca="false">IFERROR(AF49/INDEX(CADASTRO_CASAS_BOMBA!$H$6:$H$13,MATCH($B61,CADASTRO_CASAS_BOMBA!$B$6:$B$13,0)),0)</f>
        <v>0.0630618128441483</v>
      </c>
      <c r="AG61" s="19" t="n">
        <f aca="false">IFERROR(AG49/INDEX(CADASTRO_CASAS_BOMBA!$H$6:$H$13,MATCH($B61,CADASTRO_CASAS_BOMBA!$B$6:$B$13,0)),0)</f>
        <v>0.157739773637913</v>
      </c>
      <c r="AH61" s="19" t="n">
        <f aca="false">IFERROR(AH49/INDEX(CADASTRO_CASAS_BOMBA!$H$6:$H$13,MATCH($B61,CADASTRO_CASAS_BOMBA!$B$6:$B$13,0)),0)</f>
        <v>0.23868840717144</v>
      </c>
      <c r="AI61" s="19" t="n">
        <f aca="false">IFERROR(AI49/INDEX(CADASTRO_CASAS_BOMBA!$H$6:$H$13,MATCH($B61,CADASTRO_CASAS_BOMBA!$B$6:$B$13,0)),0)</f>
        <v>0.240497741017379</v>
      </c>
      <c r="AJ61" s="19" t="n">
        <f aca="false">IFERROR(AJ49/INDEX(CADASTRO_CASAS_BOMBA!$H$6:$H$13,MATCH($B61,CADASTRO_CASAS_BOMBA!$B$6:$B$13,0)),0)</f>
        <v>0.237448626896558</v>
      </c>
      <c r="AK61" s="19" t="n">
        <f aca="false">IFERROR(AK49/INDEX(CADASTRO_CASAS_BOMBA!$H$6:$H$13,MATCH($B61,CADASTRO_CASAS_BOMBA!$B$6:$B$13,0)),0)</f>
        <v>0.231047284899025</v>
      </c>
      <c r="AL61" s="19" t="n">
        <f aca="false">IFERROR(AL49/INDEX(CADASTRO_CASAS_BOMBA!$H$6:$H$13,MATCH($B61,CADASTRO_CASAS_BOMBA!$B$6:$B$13,0)),0)</f>
        <v>0.273454333348405</v>
      </c>
      <c r="AM61" s="19" t="n">
        <f aca="false">IFERROR(AM49/INDEX(CADASTRO_CASAS_BOMBA!$H$6:$H$13,MATCH($B61,CADASTRO_CASAS_BOMBA!$B$6:$B$13,0)),0)</f>
        <v>0.268183117575394</v>
      </c>
      <c r="AN61" s="19" t="n">
        <f aca="false">IFERROR(AN49/INDEX(CADASTRO_CASAS_BOMBA!$H$6:$H$13,MATCH($B61,CADASTRO_CASAS_BOMBA!$B$6:$B$13,0)),0)</f>
        <v>0.252859085487139</v>
      </c>
      <c r="AO61" s="19" t="n">
        <f aca="false">IFERROR(AO49/INDEX(CADASTRO_CASAS_BOMBA!$H$6:$H$13,MATCH($B61,CADASTRO_CASAS_BOMBA!$B$6:$B$13,0)),0)</f>
        <v>0.237535053398883</v>
      </c>
      <c r="AP61" s="19" t="n">
        <f aca="false">IFERROR(AP49/INDEX(CADASTRO_CASAS_BOMBA!$H$6:$H$13,MATCH($B61,CADASTRO_CASAS_BOMBA!$B$6:$B$13,0)),0)</f>
        <v>0.191861911204767</v>
      </c>
      <c r="AQ61" s="19" t="n">
        <f aca="false">IFERROR(AQ49/INDEX(CADASTRO_CASAS_BOMBA!$H$6:$H$13,MATCH($B61,CADASTRO_CASAS_BOMBA!$B$6:$B$13,0)),0)</f>
        <v>0.183241341801805</v>
      </c>
      <c r="AR61" s="19" t="n">
        <f aca="false">IFERROR(AR49/INDEX(CADASTRO_CASAS_BOMBA!$H$6:$H$13,MATCH($B61,CADASTRO_CASAS_BOMBA!$B$6:$B$13,0)),0)</f>
        <v>0.105237244728971</v>
      </c>
      <c r="AS61" s="19" t="n">
        <f aca="false">IFERROR(AS49/INDEX(CADASTRO_CASAS_BOMBA!$H$6:$H$13,MATCH($B61,CADASTRO_CASAS_BOMBA!$B$6:$B$13,0)),0)</f>
        <v>0.121740660598235</v>
      </c>
      <c r="AT61" s="19" t="n">
        <f aca="false">IFERROR(AT49/INDEX(CADASTRO_CASAS_BOMBA!$H$6:$H$13,MATCH($B61,CADASTRO_CASAS_BOMBA!$B$6:$B$13,0)),0)</f>
        <v>0.101438318981278</v>
      </c>
      <c r="AU61" s="19" t="n">
        <f aca="false">IFERROR(AU49/INDEX(CADASTRO_CASAS_BOMBA!$H$6:$H$13,MATCH($B61,CADASTRO_CASAS_BOMBA!$B$6:$B$13,0)),0)</f>
        <v>0.110531122476677</v>
      </c>
      <c r="AV61" s="19" t="n">
        <f aca="false">IFERROR(AV49/INDEX(CADASTRO_CASAS_BOMBA!$H$6:$H$13,MATCH($B61,CADASTRO_CASAS_BOMBA!$B$6:$B$13,0)),0)</f>
        <v>0.118394951192376</v>
      </c>
      <c r="AW61" s="19" t="n">
        <f aca="false">IFERROR(AW49/INDEX(CADASTRO_CASAS_BOMBA!$H$6:$H$13,MATCH($B61,CADASTRO_CASAS_BOMBA!$B$6:$B$13,0)),0)</f>
        <v>0.127083171154241</v>
      </c>
      <c r="AX61" s="19" t="n">
        <f aca="false">IFERROR(AX49/INDEX(CADASTRO_CASAS_BOMBA!$H$6:$H$13,MATCH($B61,CADASTRO_CASAS_BOMBA!$B$6:$B$13,0)),0)</f>
        <v>0.144551263756296</v>
      </c>
      <c r="AY61" s="19" t="n">
        <f aca="false">IFERROR(AY49/INDEX(CADASTRO_CASAS_BOMBA!$H$6:$H$13,MATCH($B61,CADASTRO_CASAS_BOMBA!$B$6:$B$13,0)),0)</f>
        <v>0.184867662298137</v>
      </c>
      <c r="AZ61" s="19" t="n">
        <f aca="false">IFERROR(AZ49/INDEX(CADASTRO_CASAS_BOMBA!$H$6:$H$13,MATCH($B61,CADASTRO_CASAS_BOMBA!$B$6:$B$13,0)),0)</f>
        <v>0.17933124012144</v>
      </c>
      <c r="BA61" s="19" t="n">
        <f aca="false">IFERROR(BA49/INDEX(CADASTRO_CASAS_BOMBA!$H$6:$H$13,MATCH($B61,CADASTRO_CASAS_BOMBA!$B$6:$B$13,0)),0)</f>
        <v>0.199240165886824</v>
      </c>
      <c r="BB61" s="19" t="n">
        <f aca="false">IFERROR(BB49/INDEX(CADASTRO_CASAS_BOMBA!$H$6:$H$13,MATCH($B61,CADASTRO_CASAS_BOMBA!$B$6:$B$13,0)),0)</f>
        <v>0.212531454188001</v>
      </c>
      <c r="BC61" s="19" t="n">
        <f aca="false">IFERROR(BC49/INDEX(CADASTRO_CASAS_BOMBA!$H$6:$H$13,MATCH($B61,CADASTRO_CASAS_BOMBA!$B$6:$B$13,0)),0)</f>
        <v>0.219942623957353</v>
      </c>
      <c r="BD61" s="19" t="n">
        <f aca="false">IFERROR(BD49/INDEX(CADASTRO_CASAS_BOMBA!$H$6:$H$13,MATCH($B61,CADASTRO_CASAS_BOMBA!$B$6:$B$13,0)),0)</f>
        <v>0.216439800176115</v>
      </c>
      <c r="BE61" s="19" t="n">
        <f aca="false">IFERROR(BE49/INDEX(CADASTRO_CASAS_BOMBA!$H$6:$H$13,MATCH($B61,CADASTRO_CASAS_BOMBA!$B$6:$B$13,0)),0)</f>
        <v>0.209451027189832</v>
      </c>
      <c r="BF61" s="19" t="n">
        <f aca="false">IFERROR(BF49/INDEX(CADASTRO_CASAS_BOMBA!$H$6:$H$13,MATCH($B61,CADASTRO_CASAS_BOMBA!$B$6:$B$13,0)),0)</f>
        <v>0.202462254203549</v>
      </c>
      <c r="BG61" s="19" t="n">
        <f aca="false">IFERROR(BG49/INDEX(CADASTRO_CASAS_BOMBA!$H$6:$H$13,MATCH($B61,CADASTRO_CASAS_BOMBA!$B$6:$B$13,0)),0)</f>
        <v>0.15694955478518</v>
      </c>
      <c r="BH61" s="19" t="n">
        <f aca="false">IFERROR(BH49/INDEX(CADASTRO_CASAS_BOMBA!$H$6:$H$13,MATCH($B61,CADASTRO_CASAS_BOMBA!$B$6:$B$13,0)),0)</f>
        <v>0.0988365387280556</v>
      </c>
      <c r="BI61" s="19" t="n">
        <f aca="false">IFERROR(BI49/INDEX(CADASTRO_CASAS_BOMBA!$H$6:$H$13,MATCH($B61,CADASTRO_CASAS_BOMBA!$B$6:$B$13,0)),0)</f>
        <v>0.0879573454499949</v>
      </c>
      <c r="BJ61" s="19" t="n">
        <f aca="false">IFERROR(BJ49/INDEX(CADASTRO_CASAS_BOMBA!$H$6:$H$13,MATCH($B61,CADASTRO_CASAS_BOMBA!$B$6:$B$13,0)),0)</f>
        <v>0.0747156130984724</v>
      </c>
      <c r="BK61" s="19" t="n">
        <f aca="false">IFERROR(BK49/INDEX(CADASTRO_CASAS_BOMBA!$H$6:$H$13,MATCH($B61,CADASTRO_CASAS_BOMBA!$B$6:$B$13,0)),0)</f>
        <v>0.0604220253694788</v>
      </c>
      <c r="BL61" s="19" t="n">
        <f aca="false">IFERROR(BL49/INDEX(CADASTRO_CASAS_BOMBA!$H$6:$H$13,MATCH($B61,CADASTRO_CASAS_BOMBA!$B$6:$B$13,0)),0)</f>
        <v>0</v>
      </c>
      <c r="BM61" s="19" t="n">
        <f aca="false">IFERROR(BM49/INDEX(CADASTRO_CASAS_BOMBA!$H$6:$H$13,MATCH($B61,CADASTRO_CASAS_BOMBA!$B$6:$B$13,0)),0)</f>
        <v>0</v>
      </c>
      <c r="BN61" s="19" t="n">
        <f aca="false">IFERROR(BN49/INDEX(CADASTRO_CASAS_BOMBA!$H$6:$H$13,MATCH($B61,CADASTRO_CASAS_BOMBA!$B$6:$B$13,0)),0)</f>
        <v>0</v>
      </c>
      <c r="BO61" s="19" t="n">
        <f aca="false">IFERROR(BO49/INDEX(CADASTRO_CASAS_BOMBA!$H$6:$H$13,MATCH($B61,CADASTRO_CASAS_BOMBA!$B$6:$B$13,0)),0)</f>
        <v>0</v>
      </c>
      <c r="BP61" s="19" t="n">
        <f aca="false">IFERROR(BP49/INDEX(CADASTRO_CASAS_BOMBA!$H$6:$H$13,MATCH($B61,CADASTRO_CASAS_BOMBA!$B$6:$B$13,0)),0)</f>
        <v>0</v>
      </c>
      <c r="BQ61" s="19" t="n">
        <f aca="false">MAX(C61:BP61)</f>
        <v>0.273454333348405</v>
      </c>
    </row>
    <row r="62" customFormat="false" ht="15" hidden="false" customHeight="false" outlineLevel="0" collapsed="false">
      <c r="B62" s="15" t="s">
        <v>134</v>
      </c>
      <c r="C62" s="19" t="n">
        <f aca="false">IFERROR(C50/INDEX(CADASTRO_CASAS_BOMBA!$H$6:$H$13,MATCH($B62,CADASTRO_CASAS_BOMBA!$B$6:$B$13,0)),0)</f>
        <v>0.141597425890181</v>
      </c>
      <c r="D62" s="19" t="n">
        <f aca="false">IFERROR(D50/INDEX(CADASTRO_CASAS_BOMBA!$H$6:$H$13,MATCH($B62,CADASTRO_CASAS_BOMBA!$B$6:$B$13,0)),0)</f>
        <v>0.125190961498311</v>
      </c>
      <c r="E62" s="19" t="n">
        <f aca="false">IFERROR(E50/INDEX(CADASTRO_CASAS_BOMBA!$H$6:$H$13,MATCH($B62,CADASTRO_CASAS_BOMBA!$B$6:$B$13,0)),0)</f>
        <v>0.0829933013841612</v>
      </c>
      <c r="F62" s="19" t="n">
        <f aca="false">IFERROR(F50/INDEX(CADASTRO_CASAS_BOMBA!$H$6:$H$13,MATCH($B62,CADASTRO_CASAS_BOMBA!$B$6:$B$13,0)),0)</f>
        <v>0.0477783751805358</v>
      </c>
      <c r="G62" s="19" t="n">
        <f aca="false">IFERROR(G50/INDEX(CADASTRO_CASAS_BOMBA!$H$6:$H$13,MATCH($B62,CADASTRO_CASAS_BOMBA!$B$6:$B$13,0)),0)</f>
        <v>0.021653121448645</v>
      </c>
      <c r="H62" s="19" t="n">
        <f aca="false">IFERROR(H50/INDEX(CADASTRO_CASAS_BOMBA!$H$6:$H$13,MATCH($B62,CADASTRO_CASAS_BOMBA!$B$6:$B$13,0)),0)</f>
        <v>0</v>
      </c>
      <c r="I62" s="19" t="n">
        <f aca="false">IFERROR(I50/INDEX(CADASTRO_CASAS_BOMBA!$H$6:$H$13,MATCH($B62,CADASTRO_CASAS_BOMBA!$B$6:$B$13,0)),0)</f>
        <v>0</v>
      </c>
      <c r="J62" s="19" t="n">
        <f aca="false">IFERROR(J50/INDEX(CADASTRO_CASAS_BOMBA!$H$6:$H$13,MATCH($B62,CADASTRO_CASAS_BOMBA!$B$6:$B$13,0)),0)</f>
        <v>0</v>
      </c>
      <c r="K62" s="19" t="n">
        <f aca="false">IFERROR(K50/INDEX(CADASTRO_CASAS_BOMBA!$H$6:$H$13,MATCH($B62,CADASTRO_CASAS_BOMBA!$B$6:$B$13,0)),0)</f>
        <v>0</v>
      </c>
      <c r="L62" s="19" t="n">
        <f aca="false">IFERROR(L50/INDEX(CADASTRO_CASAS_BOMBA!$H$6:$H$13,MATCH($B62,CADASTRO_CASAS_BOMBA!$B$6:$B$13,0)),0)</f>
        <v>0</v>
      </c>
      <c r="M62" s="19" t="n">
        <f aca="false">IFERROR(M50/INDEX(CADASTRO_CASAS_BOMBA!$H$6:$H$13,MATCH($B62,CADASTRO_CASAS_BOMBA!$B$6:$B$13,0)),0)</f>
        <v>0</v>
      </c>
      <c r="N62" s="19" t="n">
        <f aca="false">IFERROR(N50/INDEX(CADASTRO_CASAS_BOMBA!$H$6:$H$13,MATCH($B62,CADASTRO_CASAS_BOMBA!$B$6:$B$13,0)),0)</f>
        <v>0</v>
      </c>
      <c r="O62" s="19" t="n">
        <f aca="false">IFERROR(O50/INDEX(CADASTRO_CASAS_BOMBA!$H$6:$H$13,MATCH($B62,CADASTRO_CASAS_BOMBA!$B$6:$B$13,0)),0)</f>
        <v>0.000860930130536092</v>
      </c>
      <c r="P62" s="19" t="n">
        <f aca="false">IFERROR(P50/INDEX(CADASTRO_CASAS_BOMBA!$H$6:$H$13,MATCH($B62,CADASTRO_CASAS_BOMBA!$B$6:$B$13,0)),0)</f>
        <v>0</v>
      </c>
      <c r="Q62" s="19" t="n">
        <f aca="false">IFERROR(Q50/INDEX(CADASTRO_CASAS_BOMBA!$H$6:$H$13,MATCH($B62,CADASTRO_CASAS_BOMBA!$B$6:$B$13,0)),0)</f>
        <v>0</v>
      </c>
      <c r="R62" s="19" t="n">
        <f aca="false">IFERROR(R50/INDEX(CADASTRO_CASAS_BOMBA!$H$6:$H$13,MATCH($B62,CADASTRO_CASAS_BOMBA!$B$6:$B$13,0)),0)</f>
        <v>0</v>
      </c>
      <c r="S62" s="19" t="n">
        <f aca="false">IFERROR(S50/INDEX(CADASTRO_CASAS_BOMBA!$H$6:$H$13,MATCH($B62,CADASTRO_CASAS_BOMBA!$B$6:$B$13,0)),0)</f>
        <v>0</v>
      </c>
      <c r="T62" s="19" t="n">
        <f aca="false">IFERROR(T50/INDEX(CADASTRO_CASAS_BOMBA!$H$6:$H$13,MATCH($B62,CADASTRO_CASAS_BOMBA!$B$6:$B$13,0)),0)</f>
        <v>0.00330375959030853</v>
      </c>
      <c r="U62" s="19" t="n">
        <f aca="false">IFERROR(U50/INDEX(CADASTRO_CASAS_BOMBA!$H$6:$H$13,MATCH($B62,CADASTRO_CASAS_BOMBA!$B$6:$B$13,0)),0)</f>
        <v>0.0169216954625559</v>
      </c>
      <c r="V62" s="19" t="n">
        <f aca="false">IFERROR(V50/INDEX(CADASTRO_CASAS_BOMBA!$H$6:$H$13,MATCH($B62,CADASTRO_CASAS_BOMBA!$B$6:$B$13,0)),0)</f>
        <v>0.0169216954625559</v>
      </c>
      <c r="W62" s="19" t="n">
        <f aca="false">IFERROR(W50/INDEX(CADASTRO_CASAS_BOMBA!$H$6:$H$13,MATCH($B62,CADASTRO_CASAS_BOMBA!$B$6:$B$13,0)),0)</f>
        <v>0.00697487050490181</v>
      </c>
      <c r="X62" s="19" t="n">
        <f aca="false">IFERROR(X50/INDEX(CADASTRO_CASAS_BOMBA!$H$6:$H$13,MATCH($B62,CADASTRO_CASAS_BOMBA!$B$6:$B$13,0)),0)</f>
        <v>0</v>
      </c>
      <c r="Y62" s="19" t="n">
        <f aca="false">IFERROR(Y50/INDEX(CADASTRO_CASAS_BOMBA!$H$6:$H$13,MATCH($B62,CADASTRO_CASAS_BOMBA!$B$6:$B$13,0)),0)</f>
        <v>0</v>
      </c>
      <c r="Z62" s="19" t="n">
        <f aca="false">IFERROR(Z50/INDEX(CADASTRO_CASAS_BOMBA!$H$6:$H$13,MATCH($B62,CADASTRO_CASAS_BOMBA!$B$6:$B$13,0)),0)</f>
        <v>0.00332308624053259</v>
      </c>
      <c r="AA62" s="19" t="n">
        <f aca="false">IFERROR(AA50/INDEX(CADASTRO_CASAS_BOMBA!$H$6:$H$13,MATCH($B62,CADASTRO_CASAS_BOMBA!$B$6:$B$13,0)),0)</f>
        <v>0.0105868395837043</v>
      </c>
      <c r="AB62" s="19" t="n">
        <f aca="false">IFERROR(AB50/INDEX(CADASTRO_CASAS_BOMBA!$H$6:$H$13,MATCH($B62,CADASTRO_CASAS_BOMBA!$B$6:$B$13,0)),0)</f>
        <v>0.0169290537663495</v>
      </c>
      <c r="AC62" s="19" t="n">
        <f aca="false">IFERROR(AC50/INDEX(CADASTRO_CASAS_BOMBA!$H$6:$H$13,MATCH($B62,CADASTRO_CASAS_BOMBA!$B$6:$B$13,0)),0)</f>
        <v>0.0214833037555399</v>
      </c>
      <c r="AD62" s="19" t="n">
        <f aca="false">IFERROR(AD50/INDEX(CADASTRO_CASAS_BOMBA!$H$6:$H$13,MATCH($B62,CADASTRO_CASAS_BOMBA!$B$6:$B$13,0)),0)</f>
        <v>0.0214833037555399</v>
      </c>
      <c r="AE62" s="19" t="n">
        <f aca="false">IFERROR(AE50/INDEX(CADASTRO_CASAS_BOMBA!$H$6:$H$13,MATCH($B62,CADASTRO_CASAS_BOMBA!$B$6:$B$13,0)),0)</f>
        <v>0.0238923114002512</v>
      </c>
      <c r="AF62" s="19" t="n">
        <f aca="false">IFERROR(AF50/INDEX(CADASTRO_CASAS_BOMBA!$H$6:$H$13,MATCH($B62,CADASTRO_CASAS_BOMBA!$B$6:$B$13,0)),0)</f>
        <v>0.0293896783182482</v>
      </c>
      <c r="AG62" s="19" t="n">
        <f aca="false">IFERROR(AG50/INDEX(CADASTRO_CASAS_BOMBA!$H$6:$H$13,MATCH($B62,CADASTRO_CASAS_BOMBA!$B$6:$B$13,0)),0)</f>
        <v>0.0952675380162186</v>
      </c>
      <c r="AH62" s="19" t="n">
        <f aca="false">IFERROR(AH50/INDEX(CADASTRO_CASAS_BOMBA!$H$6:$H$13,MATCH($B62,CADASTRO_CASAS_BOMBA!$B$6:$B$13,0)),0)</f>
        <v>0.193876189982958</v>
      </c>
      <c r="AI62" s="19" t="n">
        <f aca="false">IFERROR(AI50/INDEX(CADASTRO_CASAS_BOMBA!$H$6:$H$13,MATCH($B62,CADASTRO_CASAS_BOMBA!$B$6:$B$13,0)),0)</f>
        <v>0.21659788923716</v>
      </c>
      <c r="AJ62" s="19" t="n">
        <f aca="false">IFERROR(AJ50/INDEX(CADASTRO_CASAS_BOMBA!$H$6:$H$13,MATCH($B62,CADASTRO_CASAS_BOMBA!$B$6:$B$13,0)),0)</f>
        <v>0.232304940487863</v>
      </c>
      <c r="AK62" s="19" t="n">
        <f aca="false">IFERROR(AK50/INDEX(CADASTRO_CASAS_BOMBA!$H$6:$H$13,MATCH($B62,CADASTRO_CASAS_BOMBA!$B$6:$B$13,0)),0)</f>
        <v>0.265842934782732</v>
      </c>
      <c r="AL62" s="19" t="n">
        <f aca="false">IFERROR(AL50/INDEX(CADASTRO_CASAS_BOMBA!$H$6:$H$13,MATCH($B62,CADASTRO_CASAS_BOMBA!$B$6:$B$13,0)),0)</f>
        <v>0.334386442858569</v>
      </c>
      <c r="AM62" s="19" t="n">
        <f aca="false">IFERROR(AM50/INDEX(CADASTRO_CASAS_BOMBA!$H$6:$H$13,MATCH($B62,CADASTRO_CASAS_BOMBA!$B$6:$B$13,0)),0)</f>
        <v>0.326944708356446</v>
      </c>
      <c r="AN62" s="19" t="n">
        <f aca="false">IFERROR(AN50/INDEX(CADASTRO_CASAS_BOMBA!$H$6:$H$13,MATCH($B62,CADASTRO_CASAS_BOMBA!$B$6:$B$13,0)),0)</f>
        <v>0.319171083131076</v>
      </c>
      <c r="AO62" s="19" t="n">
        <f aca="false">IFERROR(AO50/INDEX(CADASTRO_CASAS_BOMBA!$H$6:$H$13,MATCH($B62,CADASTRO_CASAS_BOMBA!$B$6:$B$13,0)),0)</f>
        <v>0.284080328716202</v>
      </c>
      <c r="AP62" s="19" t="n">
        <f aca="false">IFERROR(AP50/INDEX(CADASTRO_CASAS_BOMBA!$H$6:$H$13,MATCH($B62,CADASTRO_CASAS_BOMBA!$B$6:$B$13,0)),0)</f>
        <v>0.290446685524717</v>
      </c>
      <c r="AQ62" s="19" t="n">
        <f aca="false">IFERROR(AQ50/INDEX(CADASTRO_CASAS_BOMBA!$H$6:$H$13,MATCH($B62,CADASTRO_CASAS_BOMBA!$B$6:$B$13,0)),0)</f>
        <v>0.285481967257156</v>
      </c>
      <c r="AR62" s="19" t="n">
        <f aca="false">IFERROR(AR50/INDEX(CADASTRO_CASAS_BOMBA!$H$6:$H$13,MATCH($B62,CADASTRO_CASAS_BOMBA!$B$6:$B$13,0)),0)</f>
        <v>0.2471057501555</v>
      </c>
      <c r="AS62" s="19" t="n">
        <f aca="false">IFERROR(AS50/INDEX(CADASTRO_CASAS_BOMBA!$H$6:$H$13,MATCH($B62,CADASTRO_CASAS_BOMBA!$B$6:$B$13,0)),0)</f>
        <v>0.215809573428515</v>
      </c>
      <c r="AT62" s="19" t="n">
        <f aca="false">IFERROR(AT50/INDEX(CADASTRO_CASAS_BOMBA!$H$6:$H$13,MATCH($B62,CADASTRO_CASAS_BOMBA!$B$6:$B$13,0)),0)</f>
        <v>0.228087232508238</v>
      </c>
      <c r="AU62" s="19" t="n">
        <f aca="false">IFERROR(AU50/INDEX(CADASTRO_CASAS_BOMBA!$H$6:$H$13,MATCH($B62,CADASTRO_CASAS_BOMBA!$B$6:$B$13,0)),0)</f>
        <v>0.224015217954852</v>
      </c>
      <c r="AV62" s="19" t="n">
        <f aca="false">IFERROR(AV50/INDEX(CADASTRO_CASAS_BOMBA!$H$6:$H$13,MATCH($B62,CADASTRO_CASAS_BOMBA!$B$6:$B$13,0)),0)</f>
        <v>0.213120676088453</v>
      </c>
      <c r="AW62" s="19" t="n">
        <f aca="false">IFERROR(AW50/INDEX(CADASTRO_CASAS_BOMBA!$H$6:$H$13,MATCH($B62,CADASTRO_CASAS_BOMBA!$B$6:$B$13,0)),0)</f>
        <v>0.202530838728211</v>
      </c>
      <c r="AX62" s="19" t="n">
        <f aca="false">IFERROR(AX50/INDEX(CADASTRO_CASAS_BOMBA!$H$6:$H$13,MATCH($B62,CADASTRO_CASAS_BOMBA!$B$6:$B$13,0)),0)</f>
        <v>0.177001075738193</v>
      </c>
      <c r="AY62" s="19" t="n">
        <f aca="false">IFERROR(AY50/INDEX(CADASTRO_CASAS_BOMBA!$H$6:$H$13,MATCH($B62,CADASTRO_CASAS_BOMBA!$B$6:$B$13,0)),0)</f>
        <v>0.182761830666853</v>
      </c>
      <c r="AZ62" s="19" t="n">
        <f aca="false">IFERROR(AZ50/INDEX(CADASTRO_CASAS_BOMBA!$H$6:$H$13,MATCH($B62,CADASTRO_CASAS_BOMBA!$B$6:$B$13,0)),0)</f>
        <v>0.174421311428946</v>
      </c>
      <c r="BA62" s="19" t="n">
        <f aca="false">IFERROR(BA50/INDEX(CADASTRO_CASAS_BOMBA!$H$6:$H$13,MATCH($B62,CADASTRO_CASAS_BOMBA!$B$6:$B$13,0)),0)</f>
        <v>0.126135171391219</v>
      </c>
      <c r="BB62" s="19" t="n">
        <f aca="false">IFERROR(BB50/INDEX(CADASTRO_CASAS_BOMBA!$H$6:$H$13,MATCH($B62,CADASTRO_CASAS_BOMBA!$B$6:$B$13,0)),0)</f>
        <v>0.139920961998426</v>
      </c>
      <c r="BC62" s="19" t="n">
        <f aca="false">IFERROR(BC50/INDEX(CADASTRO_CASAS_BOMBA!$H$6:$H$13,MATCH($B62,CADASTRO_CASAS_BOMBA!$B$6:$B$13,0)),0)</f>
        <v>0.148675606269624</v>
      </c>
      <c r="BD62" s="19" t="n">
        <f aca="false">IFERROR(BD50/INDEX(CADASTRO_CASAS_BOMBA!$H$6:$H$13,MATCH($B62,CADASTRO_CASAS_BOMBA!$B$6:$B$13,0)),0)</f>
        <v>0.157677056805396</v>
      </c>
      <c r="BE62" s="19" t="n">
        <f aca="false">IFERROR(BE50/INDEX(CADASTRO_CASAS_BOMBA!$H$6:$H$13,MATCH($B62,CADASTRO_CASAS_BOMBA!$B$6:$B$13,0)),0)</f>
        <v>0.15819038112402</v>
      </c>
      <c r="BF62" s="19" t="n">
        <f aca="false">IFERROR(BF50/INDEX(CADASTRO_CASAS_BOMBA!$H$6:$H$13,MATCH($B62,CADASTRO_CASAS_BOMBA!$B$6:$B$13,0)),0)</f>
        <v>0.15819038112402</v>
      </c>
      <c r="BG62" s="19" t="n">
        <f aca="false">IFERROR(BG50/INDEX(CADASTRO_CASAS_BOMBA!$H$6:$H$13,MATCH($B62,CADASTRO_CASAS_BOMBA!$B$6:$B$13,0)),0)</f>
        <v>0.129964773350187</v>
      </c>
      <c r="BH62" s="19" t="n">
        <f aca="false">IFERROR(BH50/INDEX(CADASTRO_CASAS_BOMBA!$H$6:$H$13,MATCH($B62,CADASTRO_CASAS_BOMBA!$B$6:$B$13,0)),0)</f>
        <v>0.0875693507474906</v>
      </c>
      <c r="BI62" s="19" t="n">
        <f aca="false">IFERROR(BI50/INDEX(CADASTRO_CASAS_BOMBA!$H$6:$H$13,MATCH($B62,CADASTRO_CASAS_BOMBA!$B$6:$B$13,0)),0)</f>
        <v>0.0801600841938935</v>
      </c>
      <c r="BJ62" s="19" t="n">
        <f aca="false">IFERROR(BJ50/INDEX(CADASTRO_CASAS_BOMBA!$H$6:$H$13,MATCH($B62,CADASTRO_CASAS_BOMBA!$B$6:$B$13,0)),0)</f>
        <v>0.0706110778341786</v>
      </c>
      <c r="BK62" s="19" t="n">
        <f aca="false">IFERROR(BK50/INDEX(CADASTRO_CASAS_BOMBA!$H$6:$H$13,MATCH($B62,CADASTRO_CASAS_BOMBA!$B$6:$B$13,0)),0)</f>
        <v>0.0610620714744637</v>
      </c>
      <c r="BL62" s="19" t="n">
        <f aca="false">IFERROR(BL50/INDEX(CADASTRO_CASAS_BOMBA!$H$6:$H$13,MATCH($B62,CADASTRO_CASAS_BOMBA!$B$6:$B$13,0)),0)</f>
        <v>0.00101288131835692</v>
      </c>
      <c r="BM62" s="19" t="n">
        <f aca="false">IFERROR(BM50/INDEX(CADASTRO_CASAS_BOMBA!$H$6:$H$13,MATCH($B62,CADASTRO_CASAS_BOMBA!$B$6:$B$13,0)),0)</f>
        <v>0</v>
      </c>
      <c r="BN62" s="19" t="n">
        <f aca="false">IFERROR(BN50/INDEX(CADASTRO_CASAS_BOMBA!$H$6:$H$13,MATCH($B62,CADASTRO_CASAS_BOMBA!$B$6:$B$13,0)),0)</f>
        <v>0</v>
      </c>
      <c r="BO62" s="19" t="n">
        <f aca="false">IFERROR(BO50/INDEX(CADASTRO_CASAS_BOMBA!$H$6:$H$13,MATCH($B62,CADASTRO_CASAS_BOMBA!$B$6:$B$13,0)),0)</f>
        <v>0</v>
      </c>
      <c r="BP62" s="19" t="n">
        <f aca="false">IFERROR(BP50/INDEX(CADASTRO_CASAS_BOMBA!$H$6:$H$13,MATCH($B62,CADASTRO_CASAS_BOMBA!$B$6:$B$13,0)),0)</f>
        <v>0</v>
      </c>
      <c r="BQ62" s="19" t="n">
        <f aca="false">MAX(C62:BP62)</f>
        <v>0.334386442858569</v>
      </c>
    </row>
    <row r="63" customFormat="false" ht="15" hidden="false" customHeight="false" outlineLevel="0" collapsed="false">
      <c r="B63" s="15" t="s">
        <v>135</v>
      </c>
      <c r="C63" s="19" t="n">
        <f aca="false">IFERROR(C51/INDEX(CADASTRO_CASAS_BOMBA!$H$6:$H$13,MATCH($B63,CADASTRO_CASAS_BOMBA!$B$6:$B$13,0)),0)</f>
        <v>0</v>
      </c>
      <c r="D63" s="19" t="n">
        <f aca="false">IFERROR(D51/INDEX(CADASTRO_CASAS_BOMBA!$H$6:$H$13,MATCH($B63,CADASTRO_CASAS_BOMBA!$B$6:$B$13,0)),0)</f>
        <v>0</v>
      </c>
      <c r="E63" s="19" t="n">
        <f aca="false">IFERROR(E51/INDEX(CADASTRO_CASAS_BOMBA!$H$6:$H$13,MATCH($B63,CADASTRO_CASAS_BOMBA!$B$6:$B$13,0)),0)</f>
        <v>0</v>
      </c>
      <c r="F63" s="19" t="n">
        <f aca="false">IFERROR(F51/INDEX(CADASTRO_CASAS_BOMBA!$H$6:$H$13,MATCH($B63,CADASTRO_CASAS_BOMBA!$B$6:$B$13,0)),0)</f>
        <v>0</v>
      </c>
      <c r="G63" s="19" t="n">
        <f aca="false">IFERROR(G51/INDEX(CADASTRO_CASAS_BOMBA!$H$6:$H$13,MATCH($B63,CADASTRO_CASAS_BOMBA!$B$6:$B$13,0)),0)</f>
        <v>0</v>
      </c>
      <c r="H63" s="19" t="n">
        <f aca="false">IFERROR(H51/INDEX(CADASTRO_CASAS_BOMBA!$H$6:$H$13,MATCH($B63,CADASTRO_CASAS_BOMBA!$B$6:$B$13,0)),0)</f>
        <v>0</v>
      </c>
      <c r="I63" s="19" t="n">
        <f aca="false">IFERROR(I51/INDEX(CADASTRO_CASAS_BOMBA!$H$6:$H$13,MATCH($B63,CADASTRO_CASAS_BOMBA!$B$6:$B$13,0)),0)</f>
        <v>0</v>
      </c>
      <c r="J63" s="19" t="n">
        <f aca="false">IFERROR(J51/INDEX(CADASTRO_CASAS_BOMBA!$H$6:$H$13,MATCH($B63,CADASTRO_CASAS_BOMBA!$B$6:$B$13,0)),0)</f>
        <v>0</v>
      </c>
      <c r="K63" s="19" t="n">
        <f aca="false">IFERROR(K51/INDEX(CADASTRO_CASAS_BOMBA!$H$6:$H$13,MATCH($B63,CADASTRO_CASAS_BOMBA!$B$6:$B$13,0)),0)</f>
        <v>0</v>
      </c>
      <c r="L63" s="19" t="n">
        <f aca="false">IFERROR(L51/INDEX(CADASTRO_CASAS_BOMBA!$H$6:$H$13,MATCH($B63,CADASTRO_CASAS_BOMBA!$B$6:$B$13,0)),0)</f>
        <v>0</v>
      </c>
      <c r="M63" s="19" t="n">
        <f aca="false">IFERROR(M51/INDEX(CADASTRO_CASAS_BOMBA!$H$6:$H$13,MATCH($B63,CADASTRO_CASAS_BOMBA!$B$6:$B$13,0)),0)</f>
        <v>0</v>
      </c>
      <c r="N63" s="19" t="n">
        <f aca="false">IFERROR(N51/INDEX(CADASTRO_CASAS_BOMBA!$H$6:$H$13,MATCH($B63,CADASTRO_CASAS_BOMBA!$B$6:$B$13,0)),0)</f>
        <v>0</v>
      </c>
      <c r="O63" s="19" t="n">
        <f aca="false">IFERROR(O51/INDEX(CADASTRO_CASAS_BOMBA!$H$6:$H$13,MATCH($B63,CADASTRO_CASAS_BOMBA!$B$6:$B$13,0)),0)</f>
        <v>0</v>
      </c>
      <c r="P63" s="19" t="n">
        <f aca="false">IFERROR(P51/INDEX(CADASTRO_CASAS_BOMBA!$H$6:$H$13,MATCH($B63,CADASTRO_CASAS_BOMBA!$B$6:$B$13,0)),0)</f>
        <v>0</v>
      </c>
      <c r="Q63" s="19" t="n">
        <f aca="false">IFERROR(Q51/INDEX(CADASTRO_CASAS_BOMBA!$H$6:$H$13,MATCH($B63,CADASTRO_CASAS_BOMBA!$B$6:$B$13,0)),0)</f>
        <v>0</v>
      </c>
      <c r="R63" s="19" t="n">
        <f aca="false">IFERROR(R51/INDEX(CADASTRO_CASAS_BOMBA!$H$6:$H$13,MATCH($B63,CADASTRO_CASAS_BOMBA!$B$6:$B$13,0)),0)</f>
        <v>0</v>
      </c>
      <c r="S63" s="19" t="n">
        <f aca="false">IFERROR(S51/INDEX(CADASTRO_CASAS_BOMBA!$H$6:$H$13,MATCH($B63,CADASTRO_CASAS_BOMBA!$B$6:$B$13,0)),0)</f>
        <v>0</v>
      </c>
      <c r="T63" s="19" t="n">
        <f aca="false">IFERROR(T51/INDEX(CADASTRO_CASAS_BOMBA!$H$6:$H$13,MATCH($B63,CADASTRO_CASAS_BOMBA!$B$6:$B$13,0)),0)</f>
        <v>0</v>
      </c>
      <c r="U63" s="19" t="n">
        <f aca="false">IFERROR(U51/INDEX(CADASTRO_CASAS_BOMBA!$H$6:$H$13,MATCH($B63,CADASTRO_CASAS_BOMBA!$B$6:$B$13,0)),0)</f>
        <v>0</v>
      </c>
      <c r="V63" s="19" t="n">
        <f aca="false">IFERROR(V51/INDEX(CADASTRO_CASAS_BOMBA!$H$6:$H$13,MATCH($B63,CADASTRO_CASAS_BOMBA!$B$6:$B$13,0)),0)</f>
        <v>0</v>
      </c>
      <c r="W63" s="19" t="n">
        <f aca="false">IFERROR(W51/INDEX(CADASTRO_CASAS_BOMBA!$H$6:$H$13,MATCH($B63,CADASTRO_CASAS_BOMBA!$B$6:$B$13,0)),0)</f>
        <v>0</v>
      </c>
      <c r="X63" s="19" t="n">
        <f aca="false">IFERROR(X51/INDEX(CADASTRO_CASAS_BOMBA!$H$6:$H$13,MATCH($B63,CADASTRO_CASAS_BOMBA!$B$6:$B$13,0)),0)</f>
        <v>0</v>
      </c>
      <c r="Y63" s="19" t="n">
        <f aca="false">IFERROR(Y51/INDEX(CADASTRO_CASAS_BOMBA!$H$6:$H$13,MATCH($B63,CADASTRO_CASAS_BOMBA!$B$6:$B$13,0)),0)</f>
        <v>0</v>
      </c>
      <c r="Z63" s="19" t="n">
        <f aca="false">IFERROR(Z51/INDEX(CADASTRO_CASAS_BOMBA!$H$6:$H$13,MATCH($B63,CADASTRO_CASAS_BOMBA!$B$6:$B$13,0)),0)</f>
        <v>0</v>
      </c>
      <c r="AA63" s="19" t="n">
        <f aca="false">IFERROR(AA51/INDEX(CADASTRO_CASAS_BOMBA!$H$6:$H$13,MATCH($B63,CADASTRO_CASAS_BOMBA!$B$6:$B$13,0)),0)</f>
        <v>0</v>
      </c>
      <c r="AB63" s="19" t="n">
        <f aca="false">IFERROR(AB51/INDEX(CADASTRO_CASAS_BOMBA!$H$6:$H$13,MATCH($B63,CADASTRO_CASAS_BOMBA!$B$6:$B$13,0)),0)</f>
        <v>0</v>
      </c>
      <c r="AC63" s="19" t="n">
        <f aca="false">IFERROR(AC51/INDEX(CADASTRO_CASAS_BOMBA!$H$6:$H$13,MATCH($B63,CADASTRO_CASAS_BOMBA!$B$6:$B$13,0)),0)</f>
        <v>0</v>
      </c>
      <c r="AD63" s="19" t="n">
        <f aca="false">IFERROR(AD51/INDEX(CADASTRO_CASAS_BOMBA!$H$6:$H$13,MATCH($B63,CADASTRO_CASAS_BOMBA!$B$6:$B$13,0)),0)</f>
        <v>0</v>
      </c>
      <c r="AE63" s="19" t="n">
        <f aca="false">IFERROR(AE51/INDEX(CADASTRO_CASAS_BOMBA!$H$6:$H$13,MATCH($B63,CADASTRO_CASAS_BOMBA!$B$6:$B$13,0)),0)</f>
        <v>0</v>
      </c>
      <c r="AF63" s="19" t="n">
        <f aca="false">IFERROR(AF51/INDEX(CADASTRO_CASAS_BOMBA!$H$6:$H$13,MATCH($B63,CADASTRO_CASAS_BOMBA!$B$6:$B$13,0)),0)</f>
        <v>0</v>
      </c>
      <c r="AG63" s="19" t="n">
        <f aca="false">IFERROR(AG51/INDEX(CADASTRO_CASAS_BOMBA!$H$6:$H$13,MATCH($B63,CADASTRO_CASAS_BOMBA!$B$6:$B$13,0)),0)</f>
        <v>0</v>
      </c>
      <c r="AH63" s="19" t="n">
        <f aca="false">IFERROR(AH51/INDEX(CADASTRO_CASAS_BOMBA!$H$6:$H$13,MATCH($B63,CADASTRO_CASAS_BOMBA!$B$6:$B$13,0)),0)</f>
        <v>0</v>
      </c>
      <c r="AI63" s="19" t="n">
        <f aca="false">IFERROR(AI51/INDEX(CADASTRO_CASAS_BOMBA!$H$6:$H$13,MATCH($B63,CADASTRO_CASAS_BOMBA!$B$6:$B$13,0)),0)</f>
        <v>0</v>
      </c>
      <c r="AJ63" s="19" t="n">
        <f aca="false">IFERROR(AJ51/INDEX(CADASTRO_CASAS_BOMBA!$H$6:$H$13,MATCH($B63,CADASTRO_CASAS_BOMBA!$B$6:$B$13,0)),0)</f>
        <v>0</v>
      </c>
      <c r="AK63" s="19" t="n">
        <f aca="false">IFERROR(AK51/INDEX(CADASTRO_CASAS_BOMBA!$H$6:$H$13,MATCH($B63,CADASTRO_CASAS_BOMBA!$B$6:$B$13,0)),0)</f>
        <v>0</v>
      </c>
      <c r="AL63" s="19" t="n">
        <f aca="false">IFERROR(AL51/INDEX(CADASTRO_CASAS_BOMBA!$H$6:$H$13,MATCH($B63,CADASTRO_CASAS_BOMBA!$B$6:$B$13,0)),0)</f>
        <v>0</v>
      </c>
      <c r="AM63" s="19" t="n">
        <f aca="false">IFERROR(AM51/INDEX(CADASTRO_CASAS_BOMBA!$H$6:$H$13,MATCH($B63,CADASTRO_CASAS_BOMBA!$B$6:$B$13,0)),0)</f>
        <v>0</v>
      </c>
      <c r="AN63" s="19" t="n">
        <f aca="false">IFERROR(AN51/INDEX(CADASTRO_CASAS_BOMBA!$H$6:$H$13,MATCH($B63,CADASTRO_CASAS_BOMBA!$B$6:$B$13,0)),0)</f>
        <v>0</v>
      </c>
      <c r="AO63" s="19" t="n">
        <f aca="false">IFERROR(AO51/INDEX(CADASTRO_CASAS_BOMBA!$H$6:$H$13,MATCH($B63,CADASTRO_CASAS_BOMBA!$B$6:$B$13,0)),0)</f>
        <v>0</v>
      </c>
      <c r="AP63" s="19" t="n">
        <f aca="false">IFERROR(AP51/INDEX(CADASTRO_CASAS_BOMBA!$H$6:$H$13,MATCH($B63,CADASTRO_CASAS_BOMBA!$B$6:$B$13,0)),0)</f>
        <v>0</v>
      </c>
      <c r="AQ63" s="19" t="n">
        <f aca="false">IFERROR(AQ51/INDEX(CADASTRO_CASAS_BOMBA!$H$6:$H$13,MATCH($B63,CADASTRO_CASAS_BOMBA!$B$6:$B$13,0)),0)</f>
        <v>0</v>
      </c>
      <c r="AR63" s="19" t="n">
        <f aca="false">IFERROR(AR51/INDEX(CADASTRO_CASAS_BOMBA!$H$6:$H$13,MATCH($B63,CADASTRO_CASAS_BOMBA!$B$6:$B$13,0)),0)</f>
        <v>0</v>
      </c>
      <c r="AS63" s="19" t="n">
        <f aca="false">IFERROR(AS51/INDEX(CADASTRO_CASAS_BOMBA!$H$6:$H$13,MATCH($B63,CADASTRO_CASAS_BOMBA!$B$6:$B$13,0)),0)</f>
        <v>0</v>
      </c>
      <c r="AT63" s="19" t="n">
        <f aca="false">IFERROR(AT51/INDEX(CADASTRO_CASAS_BOMBA!$H$6:$H$13,MATCH($B63,CADASTRO_CASAS_BOMBA!$B$6:$B$13,0)),0)</f>
        <v>0</v>
      </c>
      <c r="AU63" s="19" t="n">
        <f aca="false">IFERROR(AU51/INDEX(CADASTRO_CASAS_BOMBA!$H$6:$H$13,MATCH($B63,CADASTRO_CASAS_BOMBA!$B$6:$B$13,0)),0)</f>
        <v>0</v>
      </c>
      <c r="AV63" s="19" t="n">
        <f aca="false">IFERROR(AV51/INDEX(CADASTRO_CASAS_BOMBA!$H$6:$H$13,MATCH($B63,CADASTRO_CASAS_BOMBA!$B$6:$B$13,0)),0)</f>
        <v>0</v>
      </c>
      <c r="AW63" s="19" t="n">
        <f aca="false">IFERROR(AW51/INDEX(CADASTRO_CASAS_BOMBA!$H$6:$H$13,MATCH($B63,CADASTRO_CASAS_BOMBA!$B$6:$B$13,0)),0)</f>
        <v>0</v>
      </c>
      <c r="AX63" s="19" t="n">
        <f aca="false">IFERROR(AX51/INDEX(CADASTRO_CASAS_BOMBA!$H$6:$H$13,MATCH($B63,CADASTRO_CASAS_BOMBA!$B$6:$B$13,0)),0)</f>
        <v>0</v>
      </c>
      <c r="AY63" s="19" t="n">
        <f aca="false">IFERROR(AY51/INDEX(CADASTRO_CASAS_BOMBA!$H$6:$H$13,MATCH($B63,CADASTRO_CASAS_BOMBA!$B$6:$B$13,0)),0)</f>
        <v>0</v>
      </c>
      <c r="AZ63" s="19" t="n">
        <f aca="false">IFERROR(AZ51/INDEX(CADASTRO_CASAS_BOMBA!$H$6:$H$13,MATCH($B63,CADASTRO_CASAS_BOMBA!$B$6:$B$13,0)),0)</f>
        <v>0</v>
      </c>
      <c r="BA63" s="19" t="n">
        <f aca="false">IFERROR(BA51/INDEX(CADASTRO_CASAS_BOMBA!$H$6:$H$13,MATCH($B63,CADASTRO_CASAS_BOMBA!$B$6:$B$13,0)),0)</f>
        <v>0</v>
      </c>
      <c r="BB63" s="19" t="n">
        <f aca="false">IFERROR(BB51/INDEX(CADASTRO_CASAS_BOMBA!$H$6:$H$13,MATCH($B63,CADASTRO_CASAS_BOMBA!$B$6:$B$13,0)),0)</f>
        <v>0</v>
      </c>
      <c r="BC63" s="19" t="n">
        <f aca="false">IFERROR(BC51/INDEX(CADASTRO_CASAS_BOMBA!$H$6:$H$13,MATCH($B63,CADASTRO_CASAS_BOMBA!$B$6:$B$13,0)),0)</f>
        <v>0</v>
      </c>
      <c r="BD63" s="19" t="n">
        <f aca="false">IFERROR(BD51/INDEX(CADASTRO_CASAS_BOMBA!$H$6:$H$13,MATCH($B63,CADASTRO_CASAS_BOMBA!$B$6:$B$13,0)),0)</f>
        <v>0</v>
      </c>
      <c r="BE63" s="19" t="n">
        <f aca="false">IFERROR(BE51/INDEX(CADASTRO_CASAS_BOMBA!$H$6:$H$13,MATCH($B63,CADASTRO_CASAS_BOMBA!$B$6:$B$13,0)),0)</f>
        <v>0</v>
      </c>
      <c r="BF63" s="19" t="n">
        <f aca="false">IFERROR(BF51/INDEX(CADASTRO_CASAS_BOMBA!$H$6:$H$13,MATCH($B63,CADASTRO_CASAS_BOMBA!$B$6:$B$13,0)),0)</f>
        <v>0</v>
      </c>
      <c r="BG63" s="19" t="n">
        <f aca="false">IFERROR(BG51/INDEX(CADASTRO_CASAS_BOMBA!$H$6:$H$13,MATCH($B63,CADASTRO_CASAS_BOMBA!$B$6:$B$13,0)),0)</f>
        <v>0</v>
      </c>
      <c r="BH63" s="19" t="n">
        <f aca="false">IFERROR(BH51/INDEX(CADASTRO_CASAS_BOMBA!$H$6:$H$13,MATCH($B63,CADASTRO_CASAS_BOMBA!$B$6:$B$13,0)),0)</f>
        <v>0</v>
      </c>
      <c r="BI63" s="19" t="n">
        <f aca="false">IFERROR(BI51/INDEX(CADASTRO_CASAS_BOMBA!$H$6:$H$13,MATCH($B63,CADASTRO_CASAS_BOMBA!$B$6:$B$13,0)),0)</f>
        <v>0</v>
      </c>
      <c r="BJ63" s="19" t="n">
        <f aca="false">IFERROR(BJ51/INDEX(CADASTRO_CASAS_BOMBA!$H$6:$H$13,MATCH($B63,CADASTRO_CASAS_BOMBA!$B$6:$B$13,0)),0)</f>
        <v>0</v>
      </c>
      <c r="BK63" s="19" t="n">
        <f aca="false">IFERROR(BK51/INDEX(CADASTRO_CASAS_BOMBA!$H$6:$H$13,MATCH($B63,CADASTRO_CASAS_BOMBA!$B$6:$B$13,0)),0)</f>
        <v>0</v>
      </c>
      <c r="BL63" s="19" t="n">
        <f aca="false">IFERROR(BL51/INDEX(CADASTRO_CASAS_BOMBA!$H$6:$H$13,MATCH($B63,CADASTRO_CASAS_BOMBA!$B$6:$B$13,0)),0)</f>
        <v>0</v>
      </c>
      <c r="BM63" s="19" t="n">
        <f aca="false">IFERROR(BM51/INDEX(CADASTRO_CASAS_BOMBA!$H$6:$H$13,MATCH($B63,CADASTRO_CASAS_BOMBA!$B$6:$B$13,0)),0)</f>
        <v>0</v>
      </c>
      <c r="BN63" s="19" t="n">
        <f aca="false">IFERROR(BN51/INDEX(CADASTRO_CASAS_BOMBA!$H$6:$H$13,MATCH($B63,CADASTRO_CASAS_BOMBA!$B$6:$B$13,0)),0)</f>
        <v>0</v>
      </c>
      <c r="BO63" s="19" t="n">
        <f aca="false">IFERROR(BO51/INDEX(CADASTRO_CASAS_BOMBA!$H$6:$H$13,MATCH($B63,CADASTRO_CASAS_BOMBA!$B$6:$B$13,0)),0)</f>
        <v>0</v>
      </c>
      <c r="BP63" s="19" t="n">
        <f aca="false">IFERROR(BP51/INDEX(CADASTRO_CASAS_BOMBA!$H$6:$H$13,MATCH($B63,CADASTRO_CASAS_BOMBA!$B$6:$B$13,0)),0)</f>
        <v>0</v>
      </c>
      <c r="BQ63" s="19" t="n">
        <f aca="false">MAX(C63:BP63)</f>
        <v>0</v>
      </c>
    </row>
    <row r="66" customFormat="false" ht="15" hidden="false" customHeight="false" outlineLevel="0" collapsed="false">
      <c r="B66" s="3" t="s">
        <v>605</v>
      </c>
    </row>
    <row r="67" customFormat="false" ht="15" hidden="false" customHeight="false" outlineLevel="0" collapsed="false">
      <c r="B67" s="14" t="s">
        <v>187</v>
      </c>
      <c r="C67" s="14" t="n">
        <v>1</v>
      </c>
      <c r="D67" s="14" t="n">
        <v>2</v>
      </c>
      <c r="E67" s="14" t="n">
        <v>3</v>
      </c>
      <c r="F67" s="14" t="n">
        <v>4</v>
      </c>
      <c r="G67" s="14" t="n">
        <v>5</v>
      </c>
      <c r="H67" s="14" t="n">
        <v>6</v>
      </c>
      <c r="I67" s="14" t="n">
        <v>7</v>
      </c>
      <c r="J67" s="14" t="n">
        <v>8</v>
      </c>
      <c r="K67" s="14" t="n">
        <v>9</v>
      </c>
      <c r="L67" s="14" t="n">
        <v>10</v>
      </c>
      <c r="M67" s="14" t="n">
        <v>11</v>
      </c>
      <c r="N67" s="14" t="n">
        <v>12</v>
      </c>
      <c r="O67" s="14" t="n">
        <v>13</v>
      </c>
      <c r="P67" s="14" t="n">
        <v>14</v>
      </c>
      <c r="Q67" s="14" t="n">
        <v>15</v>
      </c>
      <c r="R67" s="14" t="n">
        <v>16</v>
      </c>
      <c r="S67" s="14" t="n">
        <v>17</v>
      </c>
      <c r="T67" s="14" t="n">
        <v>18</v>
      </c>
      <c r="U67" s="14" t="n">
        <v>19</v>
      </c>
      <c r="V67" s="14" t="n">
        <v>20</v>
      </c>
      <c r="W67" s="14" t="n">
        <v>21</v>
      </c>
      <c r="X67" s="14" t="n">
        <v>22</v>
      </c>
      <c r="Y67" s="14" t="n">
        <v>23</v>
      </c>
      <c r="Z67" s="14" t="n">
        <v>24</v>
      </c>
      <c r="AA67" s="14" t="n">
        <v>25</v>
      </c>
      <c r="AB67" s="14" t="n">
        <v>26</v>
      </c>
      <c r="AC67" s="14" t="n">
        <v>27</v>
      </c>
      <c r="AD67" s="14" t="n">
        <v>28</v>
      </c>
      <c r="AE67" s="14" t="n">
        <v>29</v>
      </c>
      <c r="AF67" s="14" t="n">
        <v>30</v>
      </c>
      <c r="AG67" s="14" t="n">
        <v>31</v>
      </c>
      <c r="AH67" s="14" t="n">
        <v>32</v>
      </c>
      <c r="AI67" s="14" t="n">
        <v>33</v>
      </c>
      <c r="AJ67" s="14" t="n">
        <v>34</v>
      </c>
      <c r="AK67" s="14" t="n">
        <v>35</v>
      </c>
      <c r="AL67" s="14" t="n">
        <v>36</v>
      </c>
      <c r="AM67" s="14" t="n">
        <v>37</v>
      </c>
      <c r="AN67" s="14" t="n">
        <v>38</v>
      </c>
      <c r="AO67" s="14" t="n">
        <v>39</v>
      </c>
      <c r="AP67" s="14" t="n">
        <v>40</v>
      </c>
      <c r="AQ67" s="14" t="n">
        <v>41</v>
      </c>
      <c r="AR67" s="14" t="n">
        <v>42</v>
      </c>
      <c r="AS67" s="14" t="n">
        <v>43</v>
      </c>
      <c r="AT67" s="14" t="n">
        <v>44</v>
      </c>
      <c r="AU67" s="14" t="n">
        <v>45</v>
      </c>
      <c r="AV67" s="14" t="n">
        <v>46</v>
      </c>
      <c r="AW67" s="14" t="n">
        <v>47</v>
      </c>
      <c r="AX67" s="14" t="n">
        <v>48</v>
      </c>
      <c r="AY67" s="14" t="n">
        <v>49</v>
      </c>
      <c r="AZ67" s="14" t="n">
        <v>50</v>
      </c>
      <c r="BA67" s="14" t="n">
        <v>51</v>
      </c>
      <c r="BB67" s="14" t="n">
        <v>52</v>
      </c>
      <c r="BC67" s="14" t="n">
        <v>53</v>
      </c>
      <c r="BD67" s="14" t="n">
        <v>54</v>
      </c>
      <c r="BE67" s="14" t="n">
        <v>55</v>
      </c>
      <c r="BF67" s="14" t="n">
        <v>56</v>
      </c>
      <c r="BG67" s="14" t="n">
        <v>57</v>
      </c>
      <c r="BH67" s="14" t="n">
        <v>58</v>
      </c>
      <c r="BI67" s="14" t="n">
        <v>59</v>
      </c>
      <c r="BJ67" s="14" t="n">
        <v>60</v>
      </c>
      <c r="BK67" s="14" t="n">
        <v>61</v>
      </c>
      <c r="BL67" s="14" t="n">
        <v>62</v>
      </c>
      <c r="BM67" s="14" t="n">
        <v>63</v>
      </c>
      <c r="BN67" s="14" t="n">
        <v>64</v>
      </c>
      <c r="BO67" s="14" t="n">
        <v>65</v>
      </c>
      <c r="BP67" s="14" t="n">
        <v>66</v>
      </c>
      <c r="BQ67" s="14" t="s">
        <v>601</v>
      </c>
    </row>
    <row r="68" customFormat="false" ht="15" hidden="false" customHeight="false" outlineLevel="0" collapsed="false">
      <c r="B68" s="15" t="s">
        <v>128</v>
      </c>
      <c r="C68" s="18" t="n">
        <f aca="false">IFERROR(C44-INDEX(CADASTRO_CASAS_BOMBA!$H$6:$H$13,MATCH($B56,CADASTRO_CASAS_BOMBA!$B$6:$B$13,0)),0)</f>
        <v>-702.214285714286</v>
      </c>
      <c r="D68" s="18" t="n">
        <f aca="false">IFERROR(D44-INDEX(CADASTRO_CASAS_BOMBA!$H$6:$H$13,MATCH($B56,CADASTRO_CASAS_BOMBA!$B$6:$B$13,0)),0)</f>
        <v>-702.214285714286</v>
      </c>
      <c r="E68" s="18" t="n">
        <f aca="false">IFERROR(E44-INDEX(CADASTRO_CASAS_BOMBA!$H$6:$H$13,MATCH($B56,CADASTRO_CASAS_BOMBA!$B$6:$B$13,0)),0)</f>
        <v>-702.214285714286</v>
      </c>
      <c r="F68" s="18" t="n">
        <f aca="false">IFERROR(F44-INDEX(CADASTRO_CASAS_BOMBA!$H$6:$H$13,MATCH($B56,CADASTRO_CASAS_BOMBA!$B$6:$B$13,0)),0)</f>
        <v>-702.214285714286</v>
      </c>
      <c r="G68" s="18" t="n">
        <f aca="false">IFERROR(G44-INDEX(CADASTRO_CASAS_BOMBA!$H$6:$H$13,MATCH($B56,CADASTRO_CASAS_BOMBA!$B$6:$B$13,0)),0)</f>
        <v>-693.276297719088</v>
      </c>
      <c r="H68" s="18" t="n">
        <f aca="false">IFERROR(H44-INDEX(CADASTRO_CASAS_BOMBA!$H$6:$H$13,MATCH($B56,CADASTRO_CASAS_BOMBA!$B$6:$B$13,0)),0)</f>
        <v>-702.214285714286</v>
      </c>
      <c r="I68" s="18" t="n">
        <f aca="false">IFERROR(I44-INDEX(CADASTRO_CASAS_BOMBA!$H$6:$H$13,MATCH($B56,CADASTRO_CASAS_BOMBA!$B$6:$B$13,0)),0)</f>
        <v>-702.214285714286</v>
      </c>
      <c r="J68" s="18" t="n">
        <f aca="false">IFERROR(J44-INDEX(CADASTRO_CASAS_BOMBA!$H$6:$H$13,MATCH($B56,CADASTRO_CASAS_BOMBA!$B$6:$B$13,0)),0)</f>
        <v>-681.891378151261</v>
      </c>
      <c r="K68" s="18" t="n">
        <f aca="false">IFERROR(K44-INDEX(CADASTRO_CASAS_BOMBA!$H$6:$H$13,MATCH($B56,CADASTRO_CASAS_BOMBA!$B$6:$B$13,0)),0)</f>
        <v>-641.568877373171</v>
      </c>
      <c r="L68" s="18" t="n">
        <f aca="false">IFERROR(L44-INDEX(CADASTRO_CASAS_BOMBA!$H$6:$H$13,MATCH($B56,CADASTRO_CASAS_BOMBA!$B$6:$B$13,0)),0)</f>
        <v>-702.214285714286</v>
      </c>
      <c r="M68" s="18" t="n">
        <f aca="false">IFERROR(M44-INDEX(CADASTRO_CASAS_BOMBA!$H$6:$H$13,MATCH($B56,CADASTRO_CASAS_BOMBA!$B$6:$B$13,0)),0)</f>
        <v>-685.746672268908</v>
      </c>
      <c r="N68" s="18" t="n">
        <f aca="false">IFERROR(N44-INDEX(CADASTRO_CASAS_BOMBA!$H$6:$H$13,MATCH($B56,CADASTRO_CASAS_BOMBA!$B$6:$B$13,0)),0)</f>
        <v>-685.746672268908</v>
      </c>
      <c r="O68" s="18" t="n">
        <f aca="false">IFERROR(O44-INDEX(CADASTRO_CASAS_BOMBA!$H$6:$H$13,MATCH($B56,CADASTRO_CASAS_BOMBA!$B$6:$B$13,0)),0)</f>
        <v>-685.746672268908</v>
      </c>
      <c r="P68" s="18" t="n">
        <f aca="false">IFERROR(P44-INDEX(CADASTRO_CASAS_BOMBA!$H$6:$H$13,MATCH($B56,CADASTRO_CASAS_BOMBA!$B$6:$B$13,0)),0)</f>
        <v>-702.214285714286</v>
      </c>
      <c r="Q68" s="18" t="n">
        <f aca="false">IFERROR(Q44-INDEX(CADASTRO_CASAS_BOMBA!$H$6:$H$13,MATCH($B56,CADASTRO_CASAS_BOMBA!$B$6:$B$13,0)),0)</f>
        <v>-702.214285714286</v>
      </c>
      <c r="R68" s="18" t="n">
        <f aca="false">IFERROR(R44-INDEX(CADASTRO_CASAS_BOMBA!$H$6:$H$13,MATCH($B56,CADASTRO_CASAS_BOMBA!$B$6:$B$13,0)),0)</f>
        <v>-702.214285714286</v>
      </c>
      <c r="S68" s="18" t="n">
        <f aca="false">IFERROR(S44-INDEX(CADASTRO_CASAS_BOMBA!$H$6:$H$13,MATCH($B56,CADASTRO_CASAS_BOMBA!$B$6:$B$13,0)),0)</f>
        <v>-702.214285714286</v>
      </c>
      <c r="T68" s="18" t="n">
        <f aca="false">IFERROR(T44-INDEX(CADASTRO_CASAS_BOMBA!$H$6:$H$13,MATCH($B56,CADASTRO_CASAS_BOMBA!$B$6:$B$13,0)),0)</f>
        <v>-702.214285714286</v>
      </c>
      <c r="U68" s="18" t="n">
        <f aca="false">IFERROR(U44-INDEX(CADASTRO_CASAS_BOMBA!$H$6:$H$13,MATCH($B56,CADASTRO_CASAS_BOMBA!$B$6:$B$13,0)),0)</f>
        <v>-702.214285714286</v>
      </c>
      <c r="V68" s="18" t="n">
        <f aca="false">IFERROR(V44-INDEX(CADASTRO_CASAS_BOMBA!$H$6:$H$13,MATCH($B56,CADASTRO_CASAS_BOMBA!$B$6:$B$13,0)),0)</f>
        <v>-702.214285714286</v>
      </c>
      <c r="W68" s="18" t="n">
        <f aca="false">IFERROR(W44-INDEX(CADASTRO_CASAS_BOMBA!$H$6:$H$13,MATCH($B56,CADASTRO_CASAS_BOMBA!$B$6:$B$13,0)),0)</f>
        <v>-702.214285714286</v>
      </c>
      <c r="X68" s="18" t="n">
        <f aca="false">IFERROR(X44-INDEX(CADASTRO_CASAS_BOMBA!$H$6:$H$13,MATCH($B56,CADASTRO_CASAS_BOMBA!$B$6:$B$13,0)),0)</f>
        <v>-702.214285714286</v>
      </c>
      <c r="Y68" s="18" t="n">
        <f aca="false">IFERROR(Y44-INDEX(CADASTRO_CASAS_BOMBA!$H$6:$H$13,MATCH($B56,CADASTRO_CASAS_BOMBA!$B$6:$B$13,0)),0)</f>
        <v>-702.214285714286</v>
      </c>
      <c r="Z68" s="18" t="n">
        <f aca="false">IFERROR(Z44-INDEX(CADASTRO_CASAS_BOMBA!$H$6:$H$13,MATCH($B56,CADASTRO_CASAS_BOMBA!$B$6:$B$13,0)),0)</f>
        <v>-702.214285714286</v>
      </c>
      <c r="AA68" s="18" t="n">
        <f aca="false">IFERROR(AA44-INDEX(CADASTRO_CASAS_BOMBA!$H$6:$H$13,MATCH($B56,CADASTRO_CASAS_BOMBA!$B$6:$B$13,0)),0)</f>
        <v>-702.214285714286</v>
      </c>
      <c r="AB68" s="18" t="n">
        <f aca="false">IFERROR(AB44-INDEX(CADASTRO_CASAS_BOMBA!$H$6:$H$13,MATCH($B56,CADASTRO_CASAS_BOMBA!$B$6:$B$13,0)),0)</f>
        <v>-702.214285714286</v>
      </c>
      <c r="AC68" s="18" t="n">
        <f aca="false">IFERROR(AC44-INDEX(CADASTRO_CASAS_BOMBA!$H$6:$H$13,MATCH($B56,CADASTRO_CASAS_BOMBA!$B$6:$B$13,0)),0)</f>
        <v>-702.214285714286</v>
      </c>
      <c r="AD68" s="18" t="n">
        <f aca="false">IFERROR(AD44-INDEX(CADASTRO_CASAS_BOMBA!$H$6:$H$13,MATCH($B56,CADASTRO_CASAS_BOMBA!$B$6:$B$13,0)),0)</f>
        <v>-702.214285714286</v>
      </c>
      <c r="AE68" s="18" t="n">
        <f aca="false">IFERROR(AE44-INDEX(CADASTRO_CASAS_BOMBA!$H$6:$H$13,MATCH($B56,CADASTRO_CASAS_BOMBA!$B$6:$B$13,0)),0)</f>
        <v>-702.214285714286</v>
      </c>
      <c r="AF68" s="18" t="n">
        <f aca="false">IFERROR(AF44-INDEX(CADASTRO_CASAS_BOMBA!$H$6:$H$13,MATCH($B56,CADASTRO_CASAS_BOMBA!$B$6:$B$13,0)),0)</f>
        <v>-702.214285714286</v>
      </c>
      <c r="AG68" s="18" t="n">
        <f aca="false">IFERROR(AG44-INDEX(CADASTRO_CASAS_BOMBA!$H$6:$H$13,MATCH($B56,CADASTRO_CASAS_BOMBA!$B$6:$B$13,0)),0)</f>
        <v>-668.157992740291</v>
      </c>
      <c r="AH68" s="18" t="n">
        <f aca="false">IFERROR(AH44-INDEX(CADASTRO_CASAS_BOMBA!$H$6:$H$13,MATCH($B56,CADASTRO_CASAS_BOMBA!$B$6:$B$13,0)),0)</f>
        <v>-586.145165034061</v>
      </c>
      <c r="AI68" s="18" t="n">
        <f aca="false">IFERROR(AI44-INDEX(CADASTRO_CASAS_BOMBA!$H$6:$H$13,MATCH($B56,CADASTRO_CASAS_BOMBA!$B$6:$B$13,0)),0)</f>
        <v>-558.770295559644</v>
      </c>
      <c r="AJ68" s="18" t="n">
        <f aca="false">IFERROR(AJ44-INDEX(CADASTRO_CASAS_BOMBA!$H$6:$H$13,MATCH($B56,CADASTRO_CASAS_BOMBA!$B$6:$B$13,0)),0)</f>
        <v>-531.395426085227</v>
      </c>
      <c r="AK68" s="18" t="n">
        <f aca="false">IFERROR(AK44-INDEX(CADASTRO_CASAS_BOMBA!$H$6:$H$13,MATCH($B56,CADASTRO_CASAS_BOMBA!$B$6:$B$13,0)),0)</f>
        <v>-501.998633853541</v>
      </c>
      <c r="AL68" s="18" t="n">
        <f aca="false">IFERROR(AL44-INDEX(CADASTRO_CASAS_BOMBA!$H$6:$H$13,MATCH($B56,CADASTRO_CASAS_BOMBA!$B$6:$B$13,0)),0)</f>
        <v>-457.348033613445</v>
      </c>
      <c r="AM68" s="18" t="n">
        <f aca="false">IFERROR(AM44-INDEX(CADASTRO_CASAS_BOMBA!$H$6:$H$13,MATCH($B56,CADASTRO_CASAS_BOMBA!$B$6:$B$13,0)),0)</f>
        <v>-457.348033613445</v>
      </c>
      <c r="AN68" s="18" t="n">
        <f aca="false">IFERROR(AN44-INDEX(CADASTRO_CASAS_BOMBA!$H$6:$H$13,MATCH($B56,CADASTRO_CASAS_BOMBA!$B$6:$B$13,0)),0)</f>
        <v>-457.348033613445</v>
      </c>
      <c r="AO68" s="18" t="n">
        <f aca="false">IFERROR(AO44-INDEX(CADASTRO_CASAS_BOMBA!$H$6:$H$13,MATCH($B56,CADASTRO_CASAS_BOMBA!$B$6:$B$13,0)),0)</f>
        <v>-457.348033613445</v>
      </c>
      <c r="AP68" s="18" t="n">
        <f aca="false">IFERROR(AP44-INDEX(CADASTRO_CASAS_BOMBA!$H$6:$H$13,MATCH($B56,CADASTRO_CASAS_BOMBA!$B$6:$B$13,0)),0)</f>
        <v>-456.498295318127</v>
      </c>
      <c r="AQ68" s="18" t="n">
        <f aca="false">IFERROR(AQ44-INDEX(CADASTRO_CASAS_BOMBA!$H$6:$H$13,MATCH($B56,CADASTRO_CASAS_BOMBA!$B$6:$B$13,0)),0)</f>
        <v>-456.356672268908</v>
      </c>
      <c r="AR68" s="18" t="n">
        <f aca="false">IFERROR(AR44-INDEX(CADASTRO_CASAS_BOMBA!$H$6:$H$13,MATCH($B56,CADASTRO_CASAS_BOMBA!$B$6:$B$13,0)),0)</f>
        <v>-456.356672268908</v>
      </c>
      <c r="AS68" s="18" t="n">
        <f aca="false">IFERROR(AS44-INDEX(CADASTRO_CASAS_BOMBA!$H$6:$H$13,MATCH($B56,CADASTRO_CASAS_BOMBA!$B$6:$B$13,0)),0)</f>
        <v>-456.356672268908</v>
      </c>
      <c r="AT68" s="18" t="n">
        <f aca="false">IFERROR(AT44-INDEX(CADASTRO_CASAS_BOMBA!$H$6:$H$13,MATCH($B56,CADASTRO_CASAS_BOMBA!$B$6:$B$13,0)),0)</f>
        <v>-459.01067783597</v>
      </c>
      <c r="AU68" s="18" t="n">
        <f aca="false">IFERROR(AU44-INDEX(CADASTRO_CASAS_BOMBA!$H$6:$H$13,MATCH($B56,CADASTRO_CASAS_BOMBA!$B$6:$B$13,0)),0)</f>
        <v>-466.715530827716</v>
      </c>
      <c r="AV68" s="18" t="n">
        <f aca="false">IFERROR(AV44-INDEX(CADASTRO_CASAS_BOMBA!$H$6:$H$13,MATCH($B56,CADASTRO_CASAS_BOMBA!$B$6:$B$13,0)),0)</f>
        <v>-483.414744359282</v>
      </c>
      <c r="AW68" s="18" t="n">
        <f aca="false">IFERROR(AW44-INDEX(CADASTRO_CASAS_BOMBA!$H$6:$H$13,MATCH($B56,CADASTRO_CASAS_BOMBA!$B$6:$B$13,0)),0)</f>
        <v>-500.113957890849</v>
      </c>
      <c r="AX68" s="18" t="n">
        <f aca="false">IFERROR(AX44-INDEX(CADASTRO_CASAS_BOMBA!$H$6:$H$13,MATCH($B56,CADASTRO_CASAS_BOMBA!$B$6:$B$13,0)),0)</f>
        <v>-511.515535603252</v>
      </c>
      <c r="AY68" s="18" t="n">
        <f aca="false">IFERROR(AY44-INDEX(CADASTRO_CASAS_BOMBA!$H$6:$H$13,MATCH($B56,CADASTRO_CASAS_BOMBA!$B$6:$B$13,0)),0)</f>
        <v>-499.924118447379</v>
      </c>
      <c r="AZ68" s="18" t="n">
        <f aca="false">IFERROR(AZ44-INDEX(CADASTRO_CASAS_BOMBA!$H$6:$H$13,MATCH($B56,CADASTRO_CASAS_BOMBA!$B$6:$B$13,0)),0)</f>
        <v>-520.118516206483</v>
      </c>
      <c r="BA68" s="18" t="n">
        <f aca="false">IFERROR(BA44-INDEX(CADASTRO_CASAS_BOMBA!$H$6:$H$13,MATCH($B56,CADASTRO_CASAS_BOMBA!$B$6:$B$13,0)),0)</f>
        <v>-702.214285714286</v>
      </c>
      <c r="BB68" s="18" t="n">
        <f aca="false">IFERROR(BB44-INDEX(CADASTRO_CASAS_BOMBA!$H$6:$H$13,MATCH($B56,CADASTRO_CASAS_BOMBA!$B$6:$B$13,0)),0)</f>
        <v>-702.214285714286</v>
      </c>
      <c r="BC68" s="18" t="n">
        <f aca="false">IFERROR(BC44-INDEX(CADASTRO_CASAS_BOMBA!$H$6:$H$13,MATCH($B56,CADASTRO_CASAS_BOMBA!$B$6:$B$13,0)),0)</f>
        <v>-702.214285714286</v>
      </c>
      <c r="BD68" s="18" t="n">
        <f aca="false">IFERROR(BD44-INDEX(CADASTRO_CASAS_BOMBA!$H$6:$H$13,MATCH($B56,CADASTRO_CASAS_BOMBA!$B$6:$B$13,0)),0)</f>
        <v>-702.214285714286</v>
      </c>
      <c r="BE68" s="18" t="n">
        <f aca="false">IFERROR(BE44-INDEX(CADASTRO_CASAS_BOMBA!$H$6:$H$13,MATCH($B56,CADASTRO_CASAS_BOMBA!$B$6:$B$13,0)),0)</f>
        <v>-702.214285714286</v>
      </c>
      <c r="BF68" s="18" t="n">
        <f aca="false">IFERROR(BF44-INDEX(CADASTRO_CASAS_BOMBA!$H$6:$H$13,MATCH($B56,CADASTRO_CASAS_BOMBA!$B$6:$B$13,0)),0)</f>
        <v>-702.214285714286</v>
      </c>
      <c r="BG68" s="18" t="n">
        <f aca="false">IFERROR(BG44-INDEX(CADASTRO_CASAS_BOMBA!$H$6:$H$13,MATCH($B56,CADASTRO_CASAS_BOMBA!$B$6:$B$13,0)),0)</f>
        <v>-702.214285714286</v>
      </c>
      <c r="BH68" s="18" t="n">
        <f aca="false">IFERROR(BH44-INDEX(CADASTRO_CASAS_BOMBA!$H$6:$H$13,MATCH($B56,CADASTRO_CASAS_BOMBA!$B$6:$B$13,0)),0)</f>
        <v>-702.214285714286</v>
      </c>
      <c r="BI68" s="18" t="n">
        <f aca="false">IFERROR(BI44-INDEX(CADASTRO_CASAS_BOMBA!$H$6:$H$13,MATCH($B56,CADASTRO_CASAS_BOMBA!$B$6:$B$13,0)),0)</f>
        <v>-702.214285714286</v>
      </c>
      <c r="BJ68" s="18" t="n">
        <f aca="false">IFERROR(BJ44-INDEX(CADASTRO_CASAS_BOMBA!$H$6:$H$13,MATCH($B56,CADASTRO_CASAS_BOMBA!$B$6:$B$13,0)),0)</f>
        <v>-702.214285714286</v>
      </c>
      <c r="BK68" s="18" t="n">
        <f aca="false">IFERROR(BK44-INDEX(CADASTRO_CASAS_BOMBA!$H$6:$H$13,MATCH($B56,CADASTRO_CASAS_BOMBA!$B$6:$B$13,0)),0)</f>
        <v>-702.214285714286</v>
      </c>
      <c r="BL68" s="18" t="n">
        <f aca="false">IFERROR(BL44-INDEX(CADASTRO_CASAS_BOMBA!$H$6:$H$13,MATCH($B56,CADASTRO_CASAS_BOMBA!$B$6:$B$13,0)),0)</f>
        <v>-702.214285714286</v>
      </c>
      <c r="BM68" s="18" t="n">
        <f aca="false">IFERROR(BM44-INDEX(CADASTRO_CASAS_BOMBA!$H$6:$H$13,MATCH($B56,CADASTRO_CASAS_BOMBA!$B$6:$B$13,0)),0)</f>
        <v>-702.214285714286</v>
      </c>
      <c r="BN68" s="18" t="n">
        <f aca="false">IFERROR(BN44-INDEX(CADASTRO_CASAS_BOMBA!$H$6:$H$13,MATCH($B56,CADASTRO_CASAS_BOMBA!$B$6:$B$13,0)),0)</f>
        <v>-702.214285714286</v>
      </c>
      <c r="BO68" s="18" t="n">
        <f aca="false">IFERROR(BO44-INDEX(CADASTRO_CASAS_BOMBA!$H$6:$H$13,MATCH($B56,CADASTRO_CASAS_BOMBA!$B$6:$B$13,0)),0)</f>
        <v>-702.214285714286</v>
      </c>
      <c r="BP68" s="18" t="n">
        <f aca="false">IFERROR(BP44-INDEX(CADASTRO_CASAS_BOMBA!$H$6:$H$13,MATCH($B56,CADASTRO_CASAS_BOMBA!$B$6:$B$13,0)),0)</f>
        <v>-702.214285714286</v>
      </c>
      <c r="BQ68" s="18" t="n">
        <f aca="false">MAX(C68:BP68)</f>
        <v>-456.356672268908</v>
      </c>
    </row>
    <row r="69" customFormat="false" ht="15" hidden="false" customHeight="false" outlineLevel="0" collapsed="false">
      <c r="B69" s="15" t="s">
        <v>129</v>
      </c>
      <c r="C69" s="18" t="n">
        <f aca="false">IFERROR(C45-INDEX(CADASTRO_CASAS_BOMBA!$H$6:$H$13,MATCH($B57,CADASTRO_CASAS_BOMBA!$B$6:$B$13,0)),0)</f>
        <v>-1279.67667226891</v>
      </c>
      <c r="D69" s="18" t="n">
        <f aca="false">IFERROR(D45-INDEX(CADASTRO_CASAS_BOMBA!$H$6:$H$13,MATCH($B57,CADASTRO_CASAS_BOMBA!$B$6:$B$13,0)),0)</f>
        <v>-1433.21428571429</v>
      </c>
      <c r="E69" s="18" t="n">
        <f aca="false">IFERROR(E45-INDEX(CADASTRO_CASAS_BOMBA!$H$6:$H$13,MATCH($B57,CADASTRO_CASAS_BOMBA!$B$6:$B$13,0)),0)</f>
        <v>-1433.21428571429</v>
      </c>
      <c r="F69" s="18" t="n">
        <f aca="false">IFERROR(F45-INDEX(CADASTRO_CASAS_BOMBA!$H$6:$H$13,MATCH($B57,CADASTRO_CASAS_BOMBA!$B$6:$B$13,0)),0)</f>
        <v>-1433.21428571429</v>
      </c>
      <c r="G69" s="18" t="n">
        <f aca="false">IFERROR(G45-INDEX(CADASTRO_CASAS_BOMBA!$H$6:$H$13,MATCH($B57,CADASTRO_CASAS_BOMBA!$B$6:$B$13,0)),0)</f>
        <v>-1424.06900840336</v>
      </c>
      <c r="H69" s="18" t="n">
        <f aca="false">IFERROR(H45-INDEX(CADASTRO_CASAS_BOMBA!$H$6:$H$13,MATCH($B57,CADASTRO_CASAS_BOMBA!$B$6:$B$13,0)),0)</f>
        <v>-1433.21428571429</v>
      </c>
      <c r="I69" s="18" t="n">
        <f aca="false">IFERROR(I45-INDEX(CADASTRO_CASAS_BOMBA!$H$6:$H$13,MATCH($B57,CADASTRO_CASAS_BOMBA!$B$6:$B$13,0)),0)</f>
        <v>-1433.21428571429</v>
      </c>
      <c r="J69" s="18" t="n">
        <f aca="false">IFERROR(J45-INDEX(CADASTRO_CASAS_BOMBA!$H$6:$H$13,MATCH($B57,CADASTRO_CASAS_BOMBA!$B$6:$B$13,0)),0)</f>
        <v>-1415.45102757865</v>
      </c>
      <c r="K69" s="18" t="n">
        <f aca="false">IFERROR(K45-INDEX(CADASTRO_CASAS_BOMBA!$H$6:$H$13,MATCH($B57,CADASTRO_CASAS_BOMBA!$B$6:$B$13,0)),0)</f>
        <v>-1375.92750786791</v>
      </c>
      <c r="L69" s="18" t="n">
        <f aca="false">IFERROR(L45-INDEX(CADASTRO_CASAS_BOMBA!$H$6:$H$13,MATCH($B57,CADASTRO_CASAS_BOMBA!$B$6:$B$13,0)),0)</f>
        <v>-1433.21428571429</v>
      </c>
      <c r="M69" s="18" t="n">
        <f aca="false">IFERROR(M45-INDEX(CADASTRO_CASAS_BOMBA!$H$6:$H$13,MATCH($B57,CADASTRO_CASAS_BOMBA!$B$6:$B$13,0)),0)</f>
        <v>-1416.36475630252</v>
      </c>
      <c r="N69" s="18" t="n">
        <f aca="false">IFERROR(N45-INDEX(CADASTRO_CASAS_BOMBA!$H$6:$H$13,MATCH($B57,CADASTRO_CASAS_BOMBA!$B$6:$B$13,0)),0)</f>
        <v>-1416.36475630252</v>
      </c>
      <c r="O69" s="18" t="n">
        <f aca="false">IFERROR(O45-INDEX(CADASTRO_CASAS_BOMBA!$H$6:$H$13,MATCH($B57,CADASTRO_CASAS_BOMBA!$B$6:$B$13,0)),0)</f>
        <v>-1416.36475630252</v>
      </c>
      <c r="P69" s="18" t="n">
        <f aca="false">IFERROR(P45-INDEX(CADASTRO_CASAS_BOMBA!$H$6:$H$13,MATCH($B57,CADASTRO_CASAS_BOMBA!$B$6:$B$13,0)),0)</f>
        <v>-1433.21428571429</v>
      </c>
      <c r="Q69" s="18" t="n">
        <f aca="false">IFERROR(Q45-INDEX(CADASTRO_CASAS_BOMBA!$H$6:$H$13,MATCH($B57,CADASTRO_CASAS_BOMBA!$B$6:$B$13,0)),0)</f>
        <v>-1433.21428571429</v>
      </c>
      <c r="R69" s="18" t="n">
        <f aca="false">IFERROR(R45-INDEX(CADASTRO_CASAS_BOMBA!$H$6:$H$13,MATCH($B57,CADASTRO_CASAS_BOMBA!$B$6:$B$13,0)),0)</f>
        <v>-1433.21428571429</v>
      </c>
      <c r="S69" s="18" t="n">
        <f aca="false">IFERROR(S45-INDEX(CADASTRO_CASAS_BOMBA!$H$6:$H$13,MATCH($B57,CADASTRO_CASAS_BOMBA!$B$6:$B$13,0)),0)</f>
        <v>-1433.21428571429</v>
      </c>
      <c r="T69" s="18" t="n">
        <f aca="false">IFERROR(T45-INDEX(CADASTRO_CASAS_BOMBA!$H$6:$H$13,MATCH($B57,CADASTRO_CASAS_BOMBA!$B$6:$B$13,0)),0)</f>
        <v>-1433.21428571429</v>
      </c>
      <c r="U69" s="18" t="n">
        <f aca="false">IFERROR(U45-INDEX(CADASTRO_CASAS_BOMBA!$H$6:$H$13,MATCH($B57,CADASTRO_CASAS_BOMBA!$B$6:$B$13,0)),0)</f>
        <v>-1433.21428571429</v>
      </c>
      <c r="V69" s="18" t="n">
        <f aca="false">IFERROR(V45-INDEX(CADASTRO_CASAS_BOMBA!$H$6:$H$13,MATCH($B57,CADASTRO_CASAS_BOMBA!$B$6:$B$13,0)),0)</f>
        <v>-1433.21428571429</v>
      </c>
      <c r="W69" s="18" t="n">
        <f aca="false">IFERROR(W45-INDEX(CADASTRO_CASAS_BOMBA!$H$6:$H$13,MATCH($B57,CADASTRO_CASAS_BOMBA!$B$6:$B$13,0)),0)</f>
        <v>-1433.21428571429</v>
      </c>
      <c r="X69" s="18" t="n">
        <f aca="false">IFERROR(X45-INDEX(CADASTRO_CASAS_BOMBA!$H$6:$H$13,MATCH($B57,CADASTRO_CASAS_BOMBA!$B$6:$B$13,0)),0)</f>
        <v>-1433.21428571429</v>
      </c>
      <c r="Y69" s="18" t="n">
        <f aca="false">IFERROR(Y45-INDEX(CADASTRO_CASAS_BOMBA!$H$6:$H$13,MATCH($B57,CADASTRO_CASAS_BOMBA!$B$6:$B$13,0)),0)</f>
        <v>-1433.21428571429</v>
      </c>
      <c r="Z69" s="18" t="n">
        <f aca="false">IFERROR(Z45-INDEX(CADASTRO_CASAS_BOMBA!$H$6:$H$13,MATCH($B57,CADASTRO_CASAS_BOMBA!$B$6:$B$13,0)),0)</f>
        <v>-1431.81686546335</v>
      </c>
      <c r="AA69" s="18" t="n">
        <f aca="false">IFERROR(AA45-INDEX(CADASTRO_CASAS_BOMBA!$H$6:$H$13,MATCH($B57,CADASTRO_CASAS_BOMBA!$B$6:$B$13,0)),0)</f>
        <v>-1402.71638203526</v>
      </c>
      <c r="AB69" s="18" t="n">
        <f aca="false">IFERROR(AB45-INDEX(CADASTRO_CASAS_BOMBA!$H$6:$H$13,MATCH($B57,CADASTRO_CASAS_BOMBA!$B$6:$B$13,0)),0)</f>
        <v>-1386.29539495798</v>
      </c>
      <c r="AC69" s="18" t="n">
        <f aca="false">IFERROR(AC45-INDEX(CADASTRO_CASAS_BOMBA!$H$6:$H$13,MATCH($B57,CADASTRO_CASAS_BOMBA!$B$6:$B$13,0)),0)</f>
        <v>-1375.25235854342</v>
      </c>
      <c r="AD69" s="18" t="n">
        <f aca="false">IFERROR(AD45-INDEX(CADASTRO_CASAS_BOMBA!$H$6:$H$13,MATCH($B57,CADASTRO_CASAS_BOMBA!$B$6:$B$13,0)),0)</f>
        <v>-1375.25235854342</v>
      </c>
      <c r="AE69" s="18" t="n">
        <f aca="false">IFERROR(AE45-INDEX(CADASTRO_CASAS_BOMBA!$H$6:$H$13,MATCH($B57,CADASTRO_CASAS_BOMBA!$B$6:$B$13,0)),0)</f>
        <v>-1375.25235854342</v>
      </c>
      <c r="AF69" s="18" t="n">
        <f aca="false">IFERROR(AF45-INDEX(CADASTRO_CASAS_BOMBA!$H$6:$H$13,MATCH($B57,CADASTRO_CASAS_BOMBA!$B$6:$B$13,0)),0)</f>
        <v>-1375.25235854342</v>
      </c>
      <c r="AG69" s="18" t="n">
        <f aca="false">IFERROR(AG45-INDEX(CADASTRO_CASAS_BOMBA!$H$6:$H$13,MATCH($B57,CADASTRO_CASAS_BOMBA!$B$6:$B$13,0)),0)</f>
        <v>-1272.70323714671</v>
      </c>
      <c r="AH69" s="18" t="n">
        <f aca="false">IFERROR(AH45-INDEX(CADASTRO_CASAS_BOMBA!$H$6:$H$13,MATCH($B57,CADASTRO_CASAS_BOMBA!$B$6:$B$13,0)),0)</f>
        <v>-1132.82602863368</v>
      </c>
      <c r="AI69" s="18" t="n">
        <f aca="false">IFERROR(AI45-INDEX(CADASTRO_CASAS_BOMBA!$H$6:$H$13,MATCH($B57,CADASTRO_CASAS_BOMBA!$B$6:$B$13,0)),0)</f>
        <v>-1103.60598506069</v>
      </c>
      <c r="AJ69" s="18" t="n">
        <f aca="false">IFERROR(AJ45-INDEX(CADASTRO_CASAS_BOMBA!$H$6:$H$13,MATCH($B57,CADASTRO_CASAS_BOMBA!$B$6:$B$13,0)),0)</f>
        <v>-1074.38594148771</v>
      </c>
      <c r="AK69" s="18" t="n">
        <f aca="false">IFERROR(AK45-INDEX(CADASTRO_CASAS_BOMBA!$H$6:$H$13,MATCH($B57,CADASTRO_CASAS_BOMBA!$B$6:$B$13,0)),0)</f>
        <v>-1038.53415181457</v>
      </c>
      <c r="AL69" s="18" t="n">
        <f aca="false">IFERROR(AL45-INDEX(CADASTRO_CASAS_BOMBA!$H$6:$H$13,MATCH($B57,CADASTRO_CASAS_BOMBA!$B$6:$B$13,0)),0)</f>
        <v>-963.326205559147</v>
      </c>
      <c r="AM69" s="18" t="n">
        <f aca="false">IFERROR(AM45-INDEX(CADASTRO_CASAS_BOMBA!$H$6:$H$13,MATCH($B57,CADASTRO_CASAS_BOMBA!$B$6:$B$13,0)),0)</f>
        <v>-979.927412195647</v>
      </c>
      <c r="AN69" s="18" t="n">
        <f aca="false">IFERROR(AN45-INDEX(CADASTRO_CASAS_BOMBA!$H$6:$H$13,MATCH($B57,CADASTRO_CASAS_BOMBA!$B$6:$B$13,0)),0)</f>
        <v>-996.528618832148</v>
      </c>
      <c r="AO69" s="18" t="n">
        <f aca="false">IFERROR(AO45-INDEX(CADASTRO_CASAS_BOMBA!$H$6:$H$13,MATCH($B57,CADASTRO_CASAS_BOMBA!$B$6:$B$13,0)),0)</f>
        <v>-1013.12982546865</v>
      </c>
      <c r="AP69" s="18" t="n">
        <f aca="false">IFERROR(AP45-INDEX(CADASTRO_CASAS_BOMBA!$H$6:$H$13,MATCH($B57,CADASTRO_CASAS_BOMBA!$B$6:$B$13,0)),0)</f>
        <v>-1024.06664081017</v>
      </c>
      <c r="AQ69" s="18" t="n">
        <f aca="false">IFERROR(AQ45-INDEX(CADASTRO_CASAS_BOMBA!$H$6:$H$13,MATCH($B57,CADASTRO_CASAS_BOMBA!$B$6:$B$13,0)),0)</f>
        <v>-1038.93324858148</v>
      </c>
      <c r="AR69" s="18" t="n">
        <f aca="false">IFERROR(AR45-INDEX(CADASTRO_CASAS_BOMBA!$H$6:$H$13,MATCH($B57,CADASTRO_CASAS_BOMBA!$B$6:$B$13,0)),0)</f>
        <v>-1054.74392156863</v>
      </c>
      <c r="AS69" s="18" t="n">
        <f aca="false">IFERROR(AS45-INDEX(CADASTRO_CASAS_BOMBA!$H$6:$H$13,MATCH($B57,CADASTRO_CASAS_BOMBA!$B$6:$B$13,0)),0)</f>
        <v>-1192.67488702148</v>
      </c>
      <c r="AT69" s="18" t="n">
        <f aca="false">IFERROR(AT45-INDEX(CADASTRO_CASAS_BOMBA!$H$6:$H$13,MATCH($B57,CADASTRO_CASAS_BOMBA!$B$6:$B$13,0)),0)</f>
        <v>-1200.34604295051</v>
      </c>
      <c r="AU69" s="18" t="n">
        <f aca="false">IFERROR(AU45-INDEX(CADASTRO_CASAS_BOMBA!$H$6:$H$13,MATCH($B57,CADASTRO_CASAS_BOMBA!$B$6:$B$13,0)),0)</f>
        <v>-1212.3671092437</v>
      </c>
      <c r="AV69" s="18" t="n">
        <f aca="false">IFERROR(AV45-INDEX(CADASTRO_CASAS_BOMBA!$H$6:$H$13,MATCH($B57,CADASTRO_CASAS_BOMBA!$B$6:$B$13,0)),0)</f>
        <v>-1233.09873015873</v>
      </c>
      <c r="AW69" s="18" t="n">
        <f aca="false">IFERROR(AW45-INDEX(CADASTRO_CASAS_BOMBA!$H$6:$H$13,MATCH($B57,CADASTRO_CASAS_BOMBA!$B$6:$B$13,0)),0)</f>
        <v>-1253.83035107376</v>
      </c>
      <c r="AX69" s="18" t="n">
        <f aca="false">IFERROR(AX45-INDEX(CADASTRO_CASAS_BOMBA!$H$6:$H$13,MATCH($B57,CADASTRO_CASAS_BOMBA!$B$6:$B$13,0)),0)</f>
        <v>-1270.06983753501</v>
      </c>
      <c r="AY69" s="18" t="n">
        <f aca="false">IFERROR(AY45-INDEX(CADASTRO_CASAS_BOMBA!$H$6:$H$13,MATCH($B57,CADASTRO_CASAS_BOMBA!$B$6:$B$13,0)),0)</f>
        <v>-1433.21428571429</v>
      </c>
      <c r="AZ69" s="18" t="n">
        <f aca="false">IFERROR(AZ45-INDEX(CADASTRO_CASAS_BOMBA!$H$6:$H$13,MATCH($B57,CADASTRO_CASAS_BOMBA!$B$6:$B$13,0)),0)</f>
        <v>-1433.21428571429</v>
      </c>
      <c r="BA69" s="18" t="n">
        <f aca="false">IFERROR(BA45-INDEX(CADASTRO_CASAS_BOMBA!$H$6:$H$13,MATCH($B57,CADASTRO_CASAS_BOMBA!$B$6:$B$13,0)),0)</f>
        <v>-1433.21428571429</v>
      </c>
      <c r="BB69" s="18" t="n">
        <f aca="false">IFERROR(BB45-INDEX(CADASTRO_CASAS_BOMBA!$H$6:$H$13,MATCH($B57,CADASTRO_CASAS_BOMBA!$B$6:$B$13,0)),0)</f>
        <v>-1433.21428571429</v>
      </c>
      <c r="BC69" s="18" t="n">
        <f aca="false">IFERROR(BC45-INDEX(CADASTRO_CASAS_BOMBA!$H$6:$H$13,MATCH($B57,CADASTRO_CASAS_BOMBA!$B$6:$B$13,0)),0)</f>
        <v>-1433.21428571429</v>
      </c>
      <c r="BD69" s="18" t="n">
        <f aca="false">IFERROR(BD45-INDEX(CADASTRO_CASAS_BOMBA!$H$6:$H$13,MATCH($B57,CADASTRO_CASAS_BOMBA!$B$6:$B$13,0)),0)</f>
        <v>-1433.21428571429</v>
      </c>
      <c r="BE69" s="18" t="n">
        <f aca="false">IFERROR(BE45-INDEX(CADASTRO_CASAS_BOMBA!$H$6:$H$13,MATCH($B57,CADASTRO_CASAS_BOMBA!$B$6:$B$13,0)),0)</f>
        <v>-1433.21428571429</v>
      </c>
      <c r="BF69" s="18" t="n">
        <f aca="false">IFERROR(BF45-INDEX(CADASTRO_CASAS_BOMBA!$H$6:$H$13,MATCH($B57,CADASTRO_CASAS_BOMBA!$B$6:$B$13,0)),0)</f>
        <v>-1433.21428571429</v>
      </c>
      <c r="BG69" s="18" t="n">
        <f aca="false">IFERROR(BG45-INDEX(CADASTRO_CASAS_BOMBA!$H$6:$H$13,MATCH($B57,CADASTRO_CASAS_BOMBA!$B$6:$B$13,0)),0)</f>
        <v>-1433.21428571429</v>
      </c>
      <c r="BH69" s="18" t="n">
        <f aca="false">IFERROR(BH45-INDEX(CADASTRO_CASAS_BOMBA!$H$6:$H$13,MATCH($B57,CADASTRO_CASAS_BOMBA!$B$6:$B$13,0)),0)</f>
        <v>-1433.21428571429</v>
      </c>
      <c r="BI69" s="18" t="n">
        <f aca="false">IFERROR(BI45-INDEX(CADASTRO_CASAS_BOMBA!$H$6:$H$13,MATCH($B57,CADASTRO_CASAS_BOMBA!$B$6:$B$13,0)),0)</f>
        <v>-1433.21428571429</v>
      </c>
      <c r="BJ69" s="18" t="n">
        <f aca="false">IFERROR(BJ45-INDEX(CADASTRO_CASAS_BOMBA!$H$6:$H$13,MATCH($B57,CADASTRO_CASAS_BOMBA!$B$6:$B$13,0)),0)</f>
        <v>-1433.21428571429</v>
      </c>
      <c r="BK69" s="18" t="n">
        <f aca="false">IFERROR(BK45-INDEX(CADASTRO_CASAS_BOMBA!$H$6:$H$13,MATCH($B57,CADASTRO_CASAS_BOMBA!$B$6:$B$13,0)),0)</f>
        <v>-1433.21428571429</v>
      </c>
      <c r="BL69" s="18" t="n">
        <f aca="false">IFERROR(BL45-INDEX(CADASTRO_CASAS_BOMBA!$H$6:$H$13,MATCH($B57,CADASTRO_CASAS_BOMBA!$B$6:$B$13,0)),0)</f>
        <v>-1433.21428571429</v>
      </c>
      <c r="BM69" s="18" t="n">
        <f aca="false">IFERROR(BM45-INDEX(CADASTRO_CASAS_BOMBA!$H$6:$H$13,MATCH($B57,CADASTRO_CASAS_BOMBA!$B$6:$B$13,0)),0)</f>
        <v>-1433.21428571429</v>
      </c>
      <c r="BN69" s="18" t="n">
        <f aca="false">IFERROR(BN45-INDEX(CADASTRO_CASAS_BOMBA!$H$6:$H$13,MATCH($B57,CADASTRO_CASAS_BOMBA!$B$6:$B$13,0)),0)</f>
        <v>-1433.21428571429</v>
      </c>
      <c r="BO69" s="18" t="n">
        <f aca="false">IFERROR(BO45-INDEX(CADASTRO_CASAS_BOMBA!$H$6:$H$13,MATCH($B57,CADASTRO_CASAS_BOMBA!$B$6:$B$13,0)),0)</f>
        <v>-1433.21428571429</v>
      </c>
      <c r="BP69" s="18" t="n">
        <f aca="false">IFERROR(BP45-INDEX(CADASTRO_CASAS_BOMBA!$H$6:$H$13,MATCH($B57,CADASTRO_CASAS_BOMBA!$B$6:$B$13,0)),0)</f>
        <v>-1433.21428571429</v>
      </c>
      <c r="BQ69" s="18" t="n">
        <f aca="false">MAX(C69:BP69)</f>
        <v>-963.326205559147</v>
      </c>
    </row>
    <row r="70" customFormat="false" ht="15" hidden="false" customHeight="false" outlineLevel="0" collapsed="false">
      <c r="B70" s="15" t="s">
        <v>130</v>
      </c>
      <c r="C70" s="18" t="n">
        <f aca="false">IFERROR(C46-INDEX(CADASTRO_CASAS_BOMBA!$H$6:$H$13,MATCH($B58,CADASTRO_CASAS_BOMBA!$B$6:$B$13,0)),0)</f>
        <v>-1412.71428571429</v>
      </c>
      <c r="D70" s="18" t="n">
        <f aca="false">IFERROR(D46-INDEX(CADASTRO_CASAS_BOMBA!$H$6:$H$13,MATCH($B58,CADASTRO_CASAS_BOMBA!$B$6:$B$13,0)),0)</f>
        <v>-1412.71428571429</v>
      </c>
      <c r="E70" s="18" t="n">
        <f aca="false">IFERROR(E46-INDEX(CADASTRO_CASAS_BOMBA!$H$6:$H$13,MATCH($B58,CADASTRO_CASAS_BOMBA!$B$6:$B$13,0)),0)</f>
        <v>-1412.71428571429</v>
      </c>
      <c r="F70" s="18" t="n">
        <f aca="false">IFERROR(F46-INDEX(CADASTRO_CASAS_BOMBA!$H$6:$H$13,MATCH($B58,CADASTRO_CASAS_BOMBA!$B$6:$B$13,0)),0)</f>
        <v>-1412.71428571429</v>
      </c>
      <c r="G70" s="18" t="n">
        <f aca="false">IFERROR(G46-INDEX(CADASTRO_CASAS_BOMBA!$H$6:$H$13,MATCH($B58,CADASTRO_CASAS_BOMBA!$B$6:$B$13,0)),0)</f>
        <v>-1394.7328467387</v>
      </c>
      <c r="H70" s="18" t="n">
        <f aca="false">IFERROR(H46-INDEX(CADASTRO_CASAS_BOMBA!$H$6:$H$13,MATCH($B58,CADASTRO_CASAS_BOMBA!$B$6:$B$13,0)),0)</f>
        <v>-1412.71428571429</v>
      </c>
      <c r="I70" s="18" t="n">
        <f aca="false">IFERROR(I46-INDEX(CADASTRO_CASAS_BOMBA!$H$6:$H$13,MATCH($B58,CADASTRO_CASAS_BOMBA!$B$6:$B$13,0)),0)</f>
        <v>-1412.71428571429</v>
      </c>
      <c r="J70" s="18" t="n">
        <f aca="false">IFERROR(J46-INDEX(CADASTRO_CASAS_BOMBA!$H$6:$H$13,MATCH($B58,CADASTRO_CASAS_BOMBA!$B$6:$B$13,0)),0)</f>
        <v>-1409.02661431955</v>
      </c>
      <c r="K70" s="18" t="n">
        <f aca="false">IFERROR(K46-INDEX(CADASTRO_CASAS_BOMBA!$H$6:$H$13,MATCH($B58,CADASTRO_CASAS_BOMBA!$B$6:$B$13,0)),0)</f>
        <v>-1329.71310057223</v>
      </c>
      <c r="L70" s="18" t="n">
        <f aca="false">IFERROR(L46-INDEX(CADASTRO_CASAS_BOMBA!$H$6:$H$13,MATCH($B58,CADASTRO_CASAS_BOMBA!$B$6:$B$13,0)),0)</f>
        <v>-1412.71428571429</v>
      </c>
      <c r="M70" s="18" t="n">
        <f aca="false">IFERROR(M46-INDEX(CADASTRO_CASAS_BOMBA!$H$6:$H$13,MATCH($B58,CADASTRO_CASAS_BOMBA!$B$6:$B$13,0)),0)</f>
        <v>-1381.42898740546</v>
      </c>
      <c r="N70" s="18" t="n">
        <f aca="false">IFERROR(N46-INDEX(CADASTRO_CASAS_BOMBA!$H$6:$H$13,MATCH($B58,CADASTRO_CASAS_BOMBA!$B$6:$B$13,0)),0)</f>
        <v>-1379.58475070028</v>
      </c>
      <c r="O70" s="18" t="n">
        <f aca="false">IFERROR(O46-INDEX(CADASTRO_CASAS_BOMBA!$H$6:$H$13,MATCH($B58,CADASTRO_CASAS_BOMBA!$B$6:$B$13,0)),0)</f>
        <v>-1379.58475070028</v>
      </c>
      <c r="P70" s="18" t="n">
        <f aca="false">IFERROR(P46-INDEX(CADASTRO_CASAS_BOMBA!$H$6:$H$13,MATCH($B58,CADASTRO_CASAS_BOMBA!$B$6:$B$13,0)),0)</f>
        <v>-1412.71428571429</v>
      </c>
      <c r="Q70" s="18" t="n">
        <f aca="false">IFERROR(Q46-INDEX(CADASTRO_CASAS_BOMBA!$H$6:$H$13,MATCH($B58,CADASTRO_CASAS_BOMBA!$B$6:$B$13,0)),0)</f>
        <v>-1412.71428571429</v>
      </c>
      <c r="R70" s="18" t="n">
        <f aca="false">IFERROR(R46-INDEX(CADASTRO_CASAS_BOMBA!$H$6:$H$13,MATCH($B58,CADASTRO_CASAS_BOMBA!$B$6:$B$13,0)),0)</f>
        <v>-1412.71428571429</v>
      </c>
      <c r="S70" s="18" t="n">
        <f aca="false">IFERROR(S46-INDEX(CADASTRO_CASAS_BOMBA!$H$6:$H$13,MATCH($B58,CADASTRO_CASAS_BOMBA!$B$6:$B$13,0)),0)</f>
        <v>-1412.71428571429</v>
      </c>
      <c r="T70" s="18" t="n">
        <f aca="false">IFERROR(T46-INDEX(CADASTRO_CASAS_BOMBA!$H$6:$H$13,MATCH($B58,CADASTRO_CASAS_BOMBA!$B$6:$B$13,0)),0)</f>
        <v>-1409.10537863639</v>
      </c>
      <c r="U70" s="18" t="n">
        <f aca="false">IFERROR(U46-INDEX(CADASTRO_CASAS_BOMBA!$H$6:$H$13,MATCH($B58,CADASTRO_CASAS_BOMBA!$B$6:$B$13,0)),0)</f>
        <v>-1412.71428571429</v>
      </c>
      <c r="V70" s="18" t="n">
        <f aca="false">IFERROR(V46-INDEX(CADASTRO_CASAS_BOMBA!$H$6:$H$13,MATCH($B58,CADASTRO_CASAS_BOMBA!$B$6:$B$13,0)),0)</f>
        <v>-1412.71428571429</v>
      </c>
      <c r="W70" s="18" t="n">
        <f aca="false">IFERROR(W46-INDEX(CADASTRO_CASAS_BOMBA!$H$6:$H$13,MATCH($B58,CADASTRO_CASAS_BOMBA!$B$6:$B$13,0)),0)</f>
        <v>-1412.71428571429</v>
      </c>
      <c r="X70" s="18" t="n">
        <f aca="false">IFERROR(X46-INDEX(CADASTRO_CASAS_BOMBA!$H$6:$H$13,MATCH($B58,CADASTRO_CASAS_BOMBA!$B$6:$B$13,0)),0)</f>
        <v>-1412.71428571429</v>
      </c>
      <c r="Y70" s="18" t="n">
        <f aca="false">IFERROR(Y46-INDEX(CADASTRO_CASAS_BOMBA!$H$6:$H$13,MATCH($B58,CADASTRO_CASAS_BOMBA!$B$6:$B$13,0)),0)</f>
        <v>-1412.71428571429</v>
      </c>
      <c r="Z70" s="18" t="n">
        <f aca="false">IFERROR(Z46-INDEX(CADASTRO_CASAS_BOMBA!$H$6:$H$13,MATCH($B58,CADASTRO_CASAS_BOMBA!$B$6:$B$13,0)),0)</f>
        <v>-1412.71428571429</v>
      </c>
      <c r="AA70" s="18" t="n">
        <f aca="false">IFERROR(AA46-INDEX(CADASTRO_CASAS_BOMBA!$H$6:$H$13,MATCH($B58,CADASTRO_CASAS_BOMBA!$B$6:$B$13,0)),0)</f>
        <v>-1412.71428571429</v>
      </c>
      <c r="AB70" s="18" t="n">
        <f aca="false">IFERROR(AB46-INDEX(CADASTRO_CASAS_BOMBA!$H$6:$H$13,MATCH($B58,CADASTRO_CASAS_BOMBA!$B$6:$B$13,0)),0)</f>
        <v>-1412.71428571429</v>
      </c>
      <c r="AC70" s="18" t="n">
        <f aca="false">IFERROR(AC46-INDEX(CADASTRO_CASAS_BOMBA!$H$6:$H$13,MATCH($B58,CADASTRO_CASAS_BOMBA!$B$6:$B$13,0)),0)</f>
        <v>-1412.71428571429</v>
      </c>
      <c r="AD70" s="18" t="n">
        <f aca="false">IFERROR(AD46-INDEX(CADASTRO_CASAS_BOMBA!$H$6:$H$13,MATCH($B58,CADASTRO_CASAS_BOMBA!$B$6:$B$13,0)),0)</f>
        <v>-1412.71428571429</v>
      </c>
      <c r="AE70" s="18" t="n">
        <f aca="false">IFERROR(AE46-INDEX(CADASTRO_CASAS_BOMBA!$H$6:$H$13,MATCH($B58,CADASTRO_CASAS_BOMBA!$B$6:$B$13,0)),0)</f>
        <v>-1412.71428571429</v>
      </c>
      <c r="AF70" s="18" t="n">
        <f aca="false">IFERROR(AF46-INDEX(CADASTRO_CASAS_BOMBA!$H$6:$H$13,MATCH($B58,CADASTRO_CASAS_BOMBA!$B$6:$B$13,0)),0)</f>
        <v>-1412.71428571429</v>
      </c>
      <c r="AG70" s="18" t="n">
        <f aca="false">IFERROR(AG46-INDEX(CADASTRO_CASAS_BOMBA!$H$6:$H$13,MATCH($B58,CADASTRO_CASAS_BOMBA!$B$6:$B$13,0)),0)</f>
        <v>-1360.08478377386</v>
      </c>
      <c r="AH70" s="18" t="n">
        <f aca="false">IFERROR(AH46-INDEX(CADASTRO_CASAS_BOMBA!$H$6:$H$13,MATCH($B58,CADASTRO_CASAS_BOMBA!$B$6:$B$13,0)),0)</f>
        <v>-1194.94156756667</v>
      </c>
      <c r="AI70" s="18" t="n">
        <f aca="false">IFERROR(AI46-INDEX(CADASTRO_CASAS_BOMBA!$H$6:$H$13,MATCH($B58,CADASTRO_CASAS_BOMBA!$B$6:$B$13,0)),0)</f>
        <v>-1139.86882130841</v>
      </c>
      <c r="AJ70" s="18" t="n">
        <f aca="false">IFERROR(AJ46-INDEX(CADASTRO_CASAS_BOMBA!$H$6:$H$13,MATCH($B58,CADASTRO_CASAS_BOMBA!$B$6:$B$13,0)),0)</f>
        <v>-1084.79607505014</v>
      </c>
      <c r="AK70" s="18" t="n">
        <f aca="false">IFERROR(AK46-INDEX(CADASTRO_CASAS_BOMBA!$H$6:$H$13,MATCH($B58,CADASTRO_CASAS_BOMBA!$B$6:$B$13,0)),0)</f>
        <v>-1009.92055542217</v>
      </c>
      <c r="AL70" s="18" t="n">
        <f aca="false">IFERROR(AL46-INDEX(CADASTRO_CASAS_BOMBA!$H$6:$H$13,MATCH($B58,CADASTRO_CASAS_BOMBA!$B$6:$B$13,0)),0)</f>
        <v>-920.092504201681</v>
      </c>
      <c r="AM70" s="18" t="n">
        <f aca="false">IFERROR(AM46-INDEX(CADASTRO_CASAS_BOMBA!$H$6:$H$13,MATCH($B58,CADASTRO_CASAS_BOMBA!$B$6:$B$13,0)),0)</f>
        <v>-920.092504201681</v>
      </c>
      <c r="AN70" s="18" t="n">
        <f aca="false">IFERROR(AN46-INDEX(CADASTRO_CASAS_BOMBA!$H$6:$H$13,MATCH($B58,CADASTRO_CASAS_BOMBA!$B$6:$B$13,0)),0)</f>
        <v>-920.092504201681</v>
      </c>
      <c r="AO70" s="18" t="n">
        <f aca="false">IFERROR(AO46-INDEX(CADASTRO_CASAS_BOMBA!$H$6:$H$13,MATCH($B58,CADASTRO_CASAS_BOMBA!$B$6:$B$13,0)),0)</f>
        <v>-920.092504201681</v>
      </c>
      <c r="AP70" s="18" t="n">
        <f aca="false">IFERROR(AP46-INDEX(CADASTRO_CASAS_BOMBA!$H$6:$H$13,MATCH($B58,CADASTRO_CASAS_BOMBA!$B$6:$B$13,0)),0)</f>
        <v>-918.38300120048</v>
      </c>
      <c r="AQ70" s="18" t="n">
        <f aca="false">IFERROR(AQ46-INDEX(CADASTRO_CASAS_BOMBA!$H$6:$H$13,MATCH($B58,CADASTRO_CASAS_BOMBA!$B$6:$B$13,0)),0)</f>
        <v>-918.098084033614</v>
      </c>
      <c r="AR70" s="18" t="n">
        <f aca="false">IFERROR(AR46-INDEX(CADASTRO_CASAS_BOMBA!$H$6:$H$13,MATCH($B58,CADASTRO_CASAS_BOMBA!$B$6:$B$13,0)),0)</f>
        <v>-918.098084033614</v>
      </c>
      <c r="AS70" s="18" t="n">
        <f aca="false">IFERROR(AS46-INDEX(CADASTRO_CASAS_BOMBA!$H$6:$H$13,MATCH($B58,CADASTRO_CASAS_BOMBA!$B$6:$B$13,0)),0)</f>
        <v>-918.098084033614</v>
      </c>
      <c r="AT70" s="18" t="n">
        <f aca="false">IFERROR(AT46-INDEX(CADASTRO_CASAS_BOMBA!$H$6:$H$13,MATCH($B58,CADASTRO_CASAS_BOMBA!$B$6:$B$13,0)),0)</f>
        <v>-914.125710216688</v>
      </c>
      <c r="AU70" s="18" t="n">
        <f aca="false">IFERROR(AU46-INDEX(CADASTRO_CASAS_BOMBA!$H$6:$H$13,MATCH($B58,CADASTRO_CASAS_BOMBA!$B$6:$B$13,0)),0)</f>
        <v>-929.339324447728</v>
      </c>
      <c r="AV70" s="18" t="n">
        <f aca="false">IFERROR(AV46-INDEX(CADASTRO_CASAS_BOMBA!$H$6:$H$13,MATCH($B58,CADASTRO_CASAS_BOMBA!$B$6:$B$13,0)),0)</f>
        <v>-962.93479237849</v>
      </c>
      <c r="AW70" s="18" t="n">
        <f aca="false">IFERROR(AW46-INDEX(CADASTRO_CASAS_BOMBA!$H$6:$H$13,MATCH($B58,CADASTRO_CASAS_BOMBA!$B$6:$B$13,0)),0)</f>
        <v>-996.530260309252</v>
      </c>
      <c r="AX70" s="18" t="n">
        <f aca="false">IFERROR(AX46-INDEX(CADASTRO_CASAS_BOMBA!$H$6:$H$13,MATCH($B58,CADASTRO_CASAS_BOMBA!$B$6:$B$13,0)),0)</f>
        <v>-1019.18094315235</v>
      </c>
      <c r="AY70" s="18" t="n">
        <f aca="false">IFERROR(AY46-INDEX(CADASTRO_CASAS_BOMBA!$H$6:$H$13,MATCH($B58,CADASTRO_CASAS_BOMBA!$B$6:$B$13,0)),0)</f>
        <v>-994.13931012405</v>
      </c>
      <c r="AZ70" s="18" t="n">
        <f aca="false">IFERROR(AZ46-INDEX(CADASTRO_CASAS_BOMBA!$H$6:$H$13,MATCH($B58,CADASTRO_CASAS_BOMBA!$B$6:$B$13,0)),0)</f>
        <v>-1034.76638762172</v>
      </c>
      <c r="BA70" s="18" t="n">
        <f aca="false">IFERROR(BA46-INDEX(CADASTRO_CASAS_BOMBA!$H$6:$H$13,MATCH($B58,CADASTRO_CASAS_BOMBA!$B$6:$B$13,0)),0)</f>
        <v>-1075.39346511938</v>
      </c>
      <c r="BB70" s="18" t="n">
        <f aca="false">IFERROR(BB46-INDEX(CADASTRO_CASAS_BOMBA!$H$6:$H$13,MATCH($B58,CADASTRO_CASAS_BOMBA!$B$6:$B$13,0)),0)</f>
        <v>-1412.71428571429</v>
      </c>
      <c r="BC70" s="18" t="n">
        <f aca="false">IFERROR(BC46-INDEX(CADASTRO_CASAS_BOMBA!$H$6:$H$13,MATCH($B58,CADASTRO_CASAS_BOMBA!$B$6:$B$13,0)),0)</f>
        <v>-1412.71428571429</v>
      </c>
      <c r="BD70" s="18" t="n">
        <f aca="false">IFERROR(BD46-INDEX(CADASTRO_CASAS_BOMBA!$H$6:$H$13,MATCH($B58,CADASTRO_CASAS_BOMBA!$B$6:$B$13,0)),0)</f>
        <v>-1412.71428571429</v>
      </c>
      <c r="BE70" s="18" t="n">
        <f aca="false">IFERROR(BE46-INDEX(CADASTRO_CASAS_BOMBA!$H$6:$H$13,MATCH($B58,CADASTRO_CASAS_BOMBA!$B$6:$B$13,0)),0)</f>
        <v>-1412.71428571429</v>
      </c>
      <c r="BF70" s="18" t="n">
        <f aca="false">IFERROR(BF46-INDEX(CADASTRO_CASAS_BOMBA!$H$6:$H$13,MATCH($B58,CADASTRO_CASAS_BOMBA!$B$6:$B$13,0)),0)</f>
        <v>-1412.71428571429</v>
      </c>
      <c r="BG70" s="18" t="n">
        <f aca="false">IFERROR(BG46-INDEX(CADASTRO_CASAS_BOMBA!$H$6:$H$13,MATCH($B58,CADASTRO_CASAS_BOMBA!$B$6:$B$13,0)),0)</f>
        <v>-1412.71428571429</v>
      </c>
      <c r="BH70" s="18" t="n">
        <f aca="false">IFERROR(BH46-INDEX(CADASTRO_CASAS_BOMBA!$H$6:$H$13,MATCH($B58,CADASTRO_CASAS_BOMBA!$B$6:$B$13,0)),0)</f>
        <v>-1412.71428571429</v>
      </c>
      <c r="BI70" s="18" t="n">
        <f aca="false">IFERROR(BI46-INDEX(CADASTRO_CASAS_BOMBA!$H$6:$H$13,MATCH($B58,CADASTRO_CASAS_BOMBA!$B$6:$B$13,0)),0)</f>
        <v>-1412.71428571429</v>
      </c>
      <c r="BJ70" s="18" t="n">
        <f aca="false">IFERROR(BJ46-INDEX(CADASTRO_CASAS_BOMBA!$H$6:$H$13,MATCH($B58,CADASTRO_CASAS_BOMBA!$B$6:$B$13,0)),0)</f>
        <v>-1412.71428571429</v>
      </c>
      <c r="BK70" s="18" t="n">
        <f aca="false">IFERROR(BK46-INDEX(CADASTRO_CASAS_BOMBA!$H$6:$H$13,MATCH($B58,CADASTRO_CASAS_BOMBA!$B$6:$B$13,0)),0)</f>
        <v>-1412.71428571429</v>
      </c>
      <c r="BL70" s="18" t="n">
        <f aca="false">IFERROR(BL46-INDEX(CADASTRO_CASAS_BOMBA!$H$6:$H$13,MATCH($B58,CADASTRO_CASAS_BOMBA!$B$6:$B$13,0)),0)</f>
        <v>-1412.71428571429</v>
      </c>
      <c r="BM70" s="18" t="n">
        <f aca="false">IFERROR(BM46-INDEX(CADASTRO_CASAS_BOMBA!$H$6:$H$13,MATCH($B58,CADASTRO_CASAS_BOMBA!$B$6:$B$13,0)),0)</f>
        <v>-1412.71428571429</v>
      </c>
      <c r="BN70" s="18" t="n">
        <f aca="false">IFERROR(BN46-INDEX(CADASTRO_CASAS_BOMBA!$H$6:$H$13,MATCH($B58,CADASTRO_CASAS_BOMBA!$B$6:$B$13,0)),0)</f>
        <v>-1412.71428571429</v>
      </c>
      <c r="BO70" s="18" t="n">
        <f aca="false">IFERROR(BO46-INDEX(CADASTRO_CASAS_BOMBA!$H$6:$H$13,MATCH($B58,CADASTRO_CASAS_BOMBA!$B$6:$B$13,0)),0)</f>
        <v>-1412.71428571429</v>
      </c>
      <c r="BP70" s="18" t="n">
        <f aca="false">IFERROR(BP46-INDEX(CADASTRO_CASAS_BOMBA!$H$6:$H$13,MATCH($B58,CADASTRO_CASAS_BOMBA!$B$6:$B$13,0)),0)</f>
        <v>-1412.71428571429</v>
      </c>
      <c r="BQ70" s="18" t="n">
        <f aca="false">MAX(C70:BP70)</f>
        <v>-914.125710216688</v>
      </c>
    </row>
    <row r="71" customFormat="false" ht="15" hidden="false" customHeight="false" outlineLevel="0" collapsed="false">
      <c r="B71" s="15" t="s">
        <v>131</v>
      </c>
      <c r="C71" s="18" t="n">
        <f aca="false">IFERROR(C47-INDEX(CADASTRO_CASAS_BOMBA!$H$6:$H$13,MATCH($B59,CADASTRO_CASAS_BOMBA!$B$6:$B$13,0)),0)</f>
        <v>-3540.25752380952</v>
      </c>
      <c r="D71" s="18" t="n">
        <f aca="false">IFERROR(D47-INDEX(CADASTRO_CASAS_BOMBA!$H$6:$H$13,MATCH($B59,CADASTRO_CASAS_BOMBA!$B$6:$B$13,0)),0)</f>
        <v>-3523.77540616247</v>
      </c>
      <c r="E71" s="18" t="n">
        <f aca="false">IFERROR(E47-INDEX(CADASTRO_CASAS_BOMBA!$H$6:$H$13,MATCH($B59,CADASTRO_CASAS_BOMBA!$B$6:$B$13,0)),0)</f>
        <v>-3523.77540616247</v>
      </c>
      <c r="F71" s="18" t="n">
        <f aca="false">IFERROR(F47-INDEX(CADASTRO_CASAS_BOMBA!$H$6:$H$13,MATCH($B59,CADASTRO_CASAS_BOMBA!$B$6:$B$13,0)),0)</f>
        <v>-3523.77540616247</v>
      </c>
      <c r="G71" s="18" t="n">
        <f aca="false">IFERROR(G47-INDEX(CADASTRO_CASAS_BOMBA!$H$6:$H$13,MATCH($B59,CADASTRO_CASAS_BOMBA!$B$6:$B$13,0)),0)</f>
        <v>-3585.5666442577</v>
      </c>
      <c r="H71" s="18" t="n">
        <f aca="false">IFERROR(H47-INDEX(CADASTRO_CASAS_BOMBA!$H$6:$H$13,MATCH($B59,CADASTRO_CASAS_BOMBA!$B$6:$B$13,0)),0)</f>
        <v>-3665.38707002801</v>
      </c>
      <c r="I71" s="18" t="n">
        <f aca="false">IFERROR(I47-INDEX(CADASTRO_CASAS_BOMBA!$H$6:$H$13,MATCH($B59,CADASTRO_CASAS_BOMBA!$B$6:$B$13,0)),0)</f>
        <v>-3665.38707002801</v>
      </c>
      <c r="J71" s="18" t="n">
        <f aca="false">IFERROR(J47-INDEX(CADASTRO_CASAS_BOMBA!$H$6:$H$13,MATCH($B59,CADASTRO_CASAS_BOMBA!$B$6:$B$13,0)),0)</f>
        <v>-3620.8768526944</v>
      </c>
      <c r="K71" s="18" t="n">
        <f aca="false">IFERROR(K47-INDEX(CADASTRO_CASAS_BOMBA!$H$6:$H$13,MATCH($B59,CADASTRO_CASAS_BOMBA!$B$6:$B$13,0)),0)</f>
        <v>-3576.65633276119</v>
      </c>
      <c r="L71" s="18" t="n">
        <f aca="false">IFERROR(L47-INDEX(CADASTRO_CASAS_BOMBA!$H$6:$H$13,MATCH($B59,CADASTRO_CASAS_BOMBA!$B$6:$B$13,0)),0)</f>
        <v>-3852.85714285714</v>
      </c>
      <c r="M71" s="18" t="n">
        <f aca="false">IFERROR(M47-INDEX(CADASTRO_CASAS_BOMBA!$H$6:$H$13,MATCH($B59,CADASTRO_CASAS_BOMBA!$B$6:$B$13,0)),0)</f>
        <v>-3817.61199439776</v>
      </c>
      <c r="N71" s="18" t="n">
        <f aca="false">IFERROR(N47-INDEX(CADASTRO_CASAS_BOMBA!$H$6:$H$13,MATCH($B59,CADASTRO_CASAS_BOMBA!$B$6:$B$13,0)),0)</f>
        <v>-3817.61199439776</v>
      </c>
      <c r="O71" s="18" t="n">
        <f aca="false">IFERROR(O47-INDEX(CADASTRO_CASAS_BOMBA!$H$6:$H$13,MATCH($B59,CADASTRO_CASAS_BOMBA!$B$6:$B$13,0)),0)</f>
        <v>-3817.61199439776</v>
      </c>
      <c r="P71" s="18" t="n">
        <f aca="false">IFERROR(P47-INDEX(CADASTRO_CASAS_BOMBA!$H$6:$H$13,MATCH($B59,CADASTRO_CASAS_BOMBA!$B$6:$B$13,0)),0)</f>
        <v>-3852.85714285714</v>
      </c>
      <c r="Q71" s="18" t="n">
        <f aca="false">IFERROR(Q47-INDEX(CADASTRO_CASAS_BOMBA!$H$6:$H$13,MATCH($B59,CADASTRO_CASAS_BOMBA!$B$6:$B$13,0)),0)</f>
        <v>-3852.85714285714</v>
      </c>
      <c r="R71" s="18" t="n">
        <f aca="false">IFERROR(R47-INDEX(CADASTRO_CASAS_BOMBA!$H$6:$H$13,MATCH($B59,CADASTRO_CASAS_BOMBA!$B$6:$B$13,0)),0)</f>
        <v>-3852.85714285714</v>
      </c>
      <c r="S71" s="18" t="n">
        <f aca="false">IFERROR(S47-INDEX(CADASTRO_CASAS_BOMBA!$H$6:$H$13,MATCH($B59,CADASTRO_CASAS_BOMBA!$B$6:$B$13,0)),0)</f>
        <v>-3852.85714285714</v>
      </c>
      <c r="T71" s="18" t="n">
        <f aca="false">IFERROR(T47-INDEX(CADASTRO_CASAS_BOMBA!$H$6:$H$13,MATCH($B59,CADASTRO_CASAS_BOMBA!$B$6:$B$13,0)),0)</f>
        <v>-3852.85714285714</v>
      </c>
      <c r="U71" s="18" t="n">
        <f aca="false">IFERROR(U47-INDEX(CADASTRO_CASAS_BOMBA!$H$6:$H$13,MATCH($B59,CADASTRO_CASAS_BOMBA!$B$6:$B$13,0)),0)</f>
        <v>-3852.85714285714</v>
      </c>
      <c r="V71" s="18" t="n">
        <f aca="false">IFERROR(V47-INDEX(CADASTRO_CASAS_BOMBA!$H$6:$H$13,MATCH($B59,CADASTRO_CASAS_BOMBA!$B$6:$B$13,0)),0)</f>
        <v>-3852.85714285714</v>
      </c>
      <c r="W71" s="18" t="n">
        <f aca="false">IFERROR(W47-INDEX(CADASTRO_CASAS_BOMBA!$H$6:$H$13,MATCH($B59,CADASTRO_CASAS_BOMBA!$B$6:$B$13,0)),0)</f>
        <v>-3852.85714285714</v>
      </c>
      <c r="X71" s="18" t="n">
        <f aca="false">IFERROR(X47-INDEX(CADASTRO_CASAS_BOMBA!$H$6:$H$13,MATCH($B59,CADASTRO_CASAS_BOMBA!$B$6:$B$13,0)),0)</f>
        <v>-3852.85714285714</v>
      </c>
      <c r="Y71" s="18" t="n">
        <f aca="false">IFERROR(Y47-INDEX(CADASTRO_CASAS_BOMBA!$H$6:$H$13,MATCH($B59,CADASTRO_CASAS_BOMBA!$B$6:$B$13,0)),0)</f>
        <v>-3852.85714285714</v>
      </c>
      <c r="Z71" s="18" t="n">
        <f aca="false">IFERROR(Z47-INDEX(CADASTRO_CASAS_BOMBA!$H$6:$H$13,MATCH($B59,CADASTRO_CASAS_BOMBA!$B$6:$B$13,0)),0)</f>
        <v>-3840.14910371881</v>
      </c>
      <c r="AA71" s="18" t="n">
        <f aca="false">IFERROR(AA47-INDEX(CADASTRO_CASAS_BOMBA!$H$6:$H$13,MATCH($B59,CADASTRO_CASAS_BOMBA!$B$6:$B$13,0)),0)</f>
        <v>-3772.17466327438</v>
      </c>
      <c r="AB71" s="18" t="n">
        <f aca="false">IFERROR(AB47-INDEX(CADASTRO_CASAS_BOMBA!$H$6:$H$13,MATCH($B59,CADASTRO_CASAS_BOMBA!$B$6:$B$13,0)),0)</f>
        <v>-3715.0138718888</v>
      </c>
      <c r="AC71" s="18" t="n">
        <f aca="false">IFERROR(AC47-INDEX(CADASTRO_CASAS_BOMBA!$H$6:$H$13,MATCH($B59,CADASTRO_CASAS_BOMBA!$B$6:$B$13,0)),0)</f>
        <v>-3662.28254341737</v>
      </c>
      <c r="AD71" s="18" t="n">
        <f aca="false">IFERROR(AD47-INDEX(CADASTRO_CASAS_BOMBA!$H$6:$H$13,MATCH($B59,CADASTRO_CASAS_BOMBA!$B$6:$B$13,0)),0)</f>
        <v>-3662.28254341737</v>
      </c>
      <c r="AE71" s="18" t="n">
        <f aca="false">IFERROR(AE47-INDEX(CADASTRO_CASAS_BOMBA!$H$6:$H$13,MATCH($B59,CADASTRO_CASAS_BOMBA!$B$6:$B$13,0)),0)</f>
        <v>-3662.28254341737</v>
      </c>
      <c r="AF71" s="18" t="n">
        <f aca="false">IFERROR(AF47-INDEX(CADASTRO_CASAS_BOMBA!$H$6:$H$13,MATCH($B59,CADASTRO_CASAS_BOMBA!$B$6:$B$13,0)),0)</f>
        <v>-3662.28254341737</v>
      </c>
      <c r="AG71" s="18" t="n">
        <f aca="false">IFERROR(AG47-INDEX(CADASTRO_CASAS_BOMBA!$H$6:$H$13,MATCH($B59,CADASTRO_CASAS_BOMBA!$B$6:$B$13,0)),0)</f>
        <v>-3354.80619428486</v>
      </c>
      <c r="AH71" s="18" t="n">
        <f aca="false">IFERROR(AH47-INDEX(CADASTRO_CASAS_BOMBA!$H$6:$H$13,MATCH($B59,CADASTRO_CASAS_BOMBA!$B$6:$B$13,0)),0)</f>
        <v>-2998.16073407404</v>
      </c>
      <c r="AI71" s="18" t="n">
        <f aca="false">IFERROR(AI47-INDEX(CADASTRO_CASAS_BOMBA!$H$6:$H$13,MATCH($B59,CADASTRO_CASAS_BOMBA!$B$6:$B$13,0)),0)</f>
        <v>-2938.36297460207</v>
      </c>
      <c r="AJ71" s="18" t="n">
        <f aca="false">IFERROR(AJ47-INDEX(CADASTRO_CASAS_BOMBA!$H$6:$H$13,MATCH($B59,CADASTRO_CASAS_BOMBA!$B$6:$B$13,0)),0)</f>
        <v>-2878.5652151301</v>
      </c>
      <c r="AK71" s="18" t="n">
        <f aca="false">IFERROR(AK47-INDEX(CADASTRO_CASAS_BOMBA!$H$6:$H$13,MATCH($B59,CADASTRO_CASAS_BOMBA!$B$6:$B$13,0)),0)</f>
        <v>-2791.96621558514</v>
      </c>
      <c r="AL71" s="18" t="n">
        <f aca="false">IFERROR(AL47-INDEX(CADASTRO_CASAS_BOMBA!$H$6:$H$13,MATCH($B59,CADASTRO_CASAS_BOMBA!$B$6:$B$13,0)),0)</f>
        <v>-2596.41654815772</v>
      </c>
      <c r="AM71" s="18" t="n">
        <f aca="false">IFERROR(AM47-INDEX(CADASTRO_CASAS_BOMBA!$H$6:$H$13,MATCH($B59,CADASTRO_CASAS_BOMBA!$B$6:$B$13,0)),0)</f>
        <v>-2651.0001077354</v>
      </c>
      <c r="AN71" s="18" t="n">
        <f aca="false">IFERROR(AN47-INDEX(CADASTRO_CASAS_BOMBA!$H$6:$H$13,MATCH($B59,CADASTRO_CASAS_BOMBA!$B$6:$B$13,0)),0)</f>
        <v>-2705.58366731308</v>
      </c>
      <c r="AO71" s="18" t="n">
        <f aca="false">IFERROR(AO47-INDEX(CADASTRO_CASAS_BOMBA!$H$6:$H$13,MATCH($B59,CADASTRO_CASAS_BOMBA!$B$6:$B$13,0)),0)</f>
        <v>-2760.16722689076</v>
      </c>
      <c r="AP71" s="18" t="n">
        <f aca="false">IFERROR(AP47-INDEX(CADASTRO_CASAS_BOMBA!$H$6:$H$13,MATCH($B59,CADASTRO_CASAS_BOMBA!$B$6:$B$13,0)),0)</f>
        <v>-2797.62288950745</v>
      </c>
      <c r="AQ71" s="18" t="n">
        <f aca="false">IFERROR(AQ47-INDEX(CADASTRO_CASAS_BOMBA!$H$6:$H$13,MATCH($B59,CADASTRO_CASAS_BOMBA!$B$6:$B$13,0)),0)</f>
        <v>-2846.75258246889</v>
      </c>
      <c r="AR71" s="18" t="n">
        <f aca="false">IFERROR(AR47-INDEX(CADASTRO_CASAS_BOMBA!$H$6:$H$13,MATCH($B59,CADASTRO_CASAS_BOMBA!$B$6:$B$13,0)),0)</f>
        <v>-3183.91955641744</v>
      </c>
      <c r="AS71" s="18" t="n">
        <f aca="false">IFERROR(AS47-INDEX(CADASTRO_CASAS_BOMBA!$H$6:$H$13,MATCH($B59,CADASTRO_CASAS_BOMBA!$B$6:$B$13,0)),0)</f>
        <v>-3210.73222035481</v>
      </c>
      <c r="AT71" s="18" t="n">
        <f aca="false">IFERROR(AT47-INDEX(CADASTRO_CASAS_BOMBA!$H$6:$H$13,MATCH($B59,CADASTRO_CASAS_BOMBA!$B$6:$B$13,0)),0)</f>
        <v>-3348.28275963279</v>
      </c>
      <c r="AU71" s="18" t="n">
        <f aca="false">IFERROR(AU47-INDEX(CADASTRO_CASAS_BOMBA!$H$6:$H$13,MATCH($B59,CADASTRO_CASAS_BOMBA!$B$6:$B$13,0)),0)</f>
        <v>-3368.90334868306</v>
      </c>
      <c r="AV71" s="18" t="n">
        <f aca="false">IFERROR(AV47-INDEX(CADASTRO_CASAS_BOMBA!$H$6:$H$13,MATCH($B59,CADASTRO_CASAS_BOMBA!$B$6:$B$13,0)),0)</f>
        <v>-3408.28278142026</v>
      </c>
      <c r="AW71" s="18" t="n">
        <f aca="false">IFERROR(AW47-INDEX(CADASTRO_CASAS_BOMBA!$H$6:$H$13,MATCH($B59,CADASTRO_CASAS_BOMBA!$B$6:$B$13,0)),0)</f>
        <v>-3447.66221415746</v>
      </c>
      <c r="AX71" s="18" t="n">
        <f aca="false">IFERROR(AX47-INDEX(CADASTRO_CASAS_BOMBA!$H$6:$H$13,MATCH($B59,CADASTRO_CASAS_BOMBA!$B$6:$B$13,0)),0)</f>
        <v>-3476.62997543047</v>
      </c>
      <c r="AY71" s="18" t="n">
        <f aca="false">IFERROR(AY47-INDEX(CADASTRO_CASAS_BOMBA!$H$6:$H$13,MATCH($B59,CADASTRO_CASAS_BOMBA!$B$6:$B$13,0)),0)</f>
        <v>-3626.51273842871</v>
      </c>
      <c r="AZ71" s="18" t="n">
        <f aca="false">IFERROR(AZ47-INDEX(CADASTRO_CASAS_BOMBA!$H$6:$H$13,MATCH($B59,CADASTRO_CASAS_BOMBA!$B$6:$B$13,0)),0)</f>
        <v>-3649.10844337735</v>
      </c>
      <c r="BA71" s="18" t="n">
        <f aca="false">IFERROR(BA47-INDEX(CADASTRO_CASAS_BOMBA!$H$6:$H$13,MATCH($B59,CADASTRO_CASAS_BOMBA!$B$6:$B$13,0)),0)</f>
        <v>-3852.85714285714</v>
      </c>
      <c r="BB71" s="18" t="n">
        <f aca="false">IFERROR(BB47-INDEX(CADASTRO_CASAS_BOMBA!$H$6:$H$13,MATCH($B59,CADASTRO_CASAS_BOMBA!$B$6:$B$13,0)),0)</f>
        <v>-3852.85714285714</v>
      </c>
      <c r="BC71" s="18" t="n">
        <f aca="false">IFERROR(BC47-INDEX(CADASTRO_CASAS_BOMBA!$H$6:$H$13,MATCH($B59,CADASTRO_CASAS_BOMBA!$B$6:$B$13,0)),0)</f>
        <v>-3852.85714285714</v>
      </c>
      <c r="BD71" s="18" t="n">
        <f aca="false">IFERROR(BD47-INDEX(CADASTRO_CASAS_BOMBA!$H$6:$H$13,MATCH($B59,CADASTRO_CASAS_BOMBA!$B$6:$B$13,0)),0)</f>
        <v>-3852.85714285714</v>
      </c>
      <c r="BE71" s="18" t="n">
        <f aca="false">IFERROR(BE47-INDEX(CADASTRO_CASAS_BOMBA!$H$6:$H$13,MATCH($B59,CADASTRO_CASAS_BOMBA!$B$6:$B$13,0)),0)</f>
        <v>-3852.85714285714</v>
      </c>
      <c r="BF71" s="18" t="n">
        <f aca="false">IFERROR(BF47-INDEX(CADASTRO_CASAS_BOMBA!$H$6:$H$13,MATCH($B59,CADASTRO_CASAS_BOMBA!$B$6:$B$13,0)),0)</f>
        <v>-3852.85714285714</v>
      </c>
      <c r="BG71" s="18" t="n">
        <f aca="false">IFERROR(BG47-INDEX(CADASTRO_CASAS_BOMBA!$H$6:$H$13,MATCH($B59,CADASTRO_CASAS_BOMBA!$B$6:$B$13,0)),0)</f>
        <v>-3852.85714285714</v>
      </c>
      <c r="BH71" s="18" t="n">
        <f aca="false">IFERROR(BH47-INDEX(CADASTRO_CASAS_BOMBA!$H$6:$H$13,MATCH($B59,CADASTRO_CASAS_BOMBA!$B$6:$B$13,0)),0)</f>
        <v>-3852.85714285714</v>
      </c>
      <c r="BI71" s="18" t="n">
        <f aca="false">IFERROR(BI47-INDEX(CADASTRO_CASAS_BOMBA!$H$6:$H$13,MATCH($B59,CADASTRO_CASAS_BOMBA!$B$6:$B$13,0)),0)</f>
        <v>-3852.85714285714</v>
      </c>
      <c r="BJ71" s="18" t="n">
        <f aca="false">IFERROR(BJ47-INDEX(CADASTRO_CASAS_BOMBA!$H$6:$H$13,MATCH($B59,CADASTRO_CASAS_BOMBA!$B$6:$B$13,0)),0)</f>
        <v>-3852.85714285714</v>
      </c>
      <c r="BK71" s="18" t="n">
        <f aca="false">IFERROR(BK47-INDEX(CADASTRO_CASAS_BOMBA!$H$6:$H$13,MATCH($B59,CADASTRO_CASAS_BOMBA!$B$6:$B$13,0)),0)</f>
        <v>-3852.85714285714</v>
      </c>
      <c r="BL71" s="18" t="n">
        <f aca="false">IFERROR(BL47-INDEX(CADASTRO_CASAS_BOMBA!$H$6:$H$13,MATCH($B59,CADASTRO_CASAS_BOMBA!$B$6:$B$13,0)),0)</f>
        <v>-3852.85714285714</v>
      </c>
      <c r="BM71" s="18" t="n">
        <f aca="false">IFERROR(BM47-INDEX(CADASTRO_CASAS_BOMBA!$H$6:$H$13,MATCH($B59,CADASTRO_CASAS_BOMBA!$B$6:$B$13,0)),0)</f>
        <v>-3852.85714285714</v>
      </c>
      <c r="BN71" s="18" t="n">
        <f aca="false">IFERROR(BN47-INDEX(CADASTRO_CASAS_BOMBA!$H$6:$H$13,MATCH($B59,CADASTRO_CASAS_BOMBA!$B$6:$B$13,0)),0)</f>
        <v>-3852.85714285714</v>
      </c>
      <c r="BO71" s="18" t="n">
        <f aca="false">IFERROR(BO47-INDEX(CADASTRO_CASAS_BOMBA!$H$6:$H$13,MATCH($B59,CADASTRO_CASAS_BOMBA!$B$6:$B$13,0)),0)</f>
        <v>-3852.85714285714</v>
      </c>
      <c r="BP71" s="18" t="n">
        <f aca="false">IFERROR(BP47-INDEX(CADASTRO_CASAS_BOMBA!$H$6:$H$13,MATCH($B59,CADASTRO_CASAS_BOMBA!$B$6:$B$13,0)),0)</f>
        <v>-3852.85714285714</v>
      </c>
      <c r="BQ71" s="18" t="n">
        <f aca="false">MAX(C71:BP71)</f>
        <v>-2596.41654815772</v>
      </c>
    </row>
    <row r="72" customFormat="false" ht="15" hidden="false" customHeight="false" outlineLevel="0" collapsed="false">
      <c r="B72" s="15" t="s">
        <v>132</v>
      </c>
      <c r="C72" s="18" t="n">
        <f aca="false">IFERROR(C48-INDEX(CADASTRO_CASAS_BOMBA!$H$6:$H$13,MATCH($B60,CADASTRO_CASAS_BOMBA!$B$6:$B$13,0)),0)</f>
        <v>-4555.78133333333</v>
      </c>
      <c r="D72" s="18" t="n">
        <f aca="false">IFERROR(D48-INDEX(CADASTRO_CASAS_BOMBA!$H$6:$H$13,MATCH($B60,CADASTRO_CASAS_BOMBA!$B$6:$B$13,0)),0)</f>
        <v>-4555.49333333333</v>
      </c>
      <c r="E72" s="18" t="n">
        <f aca="false">IFERROR(E48-INDEX(CADASTRO_CASAS_BOMBA!$H$6:$H$13,MATCH($B60,CADASTRO_CASAS_BOMBA!$B$6:$B$13,0)),0)</f>
        <v>-4555.49333333333</v>
      </c>
      <c r="F72" s="18" t="n">
        <f aca="false">IFERROR(F48-INDEX(CADASTRO_CASAS_BOMBA!$H$6:$H$13,MATCH($B60,CADASTRO_CASAS_BOMBA!$B$6:$B$13,0)),0)</f>
        <v>-4555.49333333333</v>
      </c>
      <c r="G72" s="18" t="n">
        <f aca="false">IFERROR(G48-INDEX(CADASTRO_CASAS_BOMBA!$H$6:$H$13,MATCH($B60,CADASTRO_CASAS_BOMBA!$B$6:$B$13,0)),0)</f>
        <v>-4717.15733333333</v>
      </c>
      <c r="H72" s="18" t="n">
        <f aca="false">IFERROR(H48-INDEX(CADASTRO_CASAS_BOMBA!$H$6:$H$13,MATCH($B60,CADASTRO_CASAS_BOMBA!$B$6:$B$13,0)),0)</f>
        <v>-4838.40533333333</v>
      </c>
      <c r="I72" s="18" t="n">
        <f aca="false">IFERROR(I48-INDEX(CADASTRO_CASAS_BOMBA!$H$6:$H$13,MATCH($B60,CADASTRO_CASAS_BOMBA!$B$6:$B$13,0)),0)</f>
        <v>-4838.40533333333</v>
      </c>
      <c r="J72" s="18" t="n">
        <f aca="false">IFERROR(J48-INDEX(CADASTRO_CASAS_BOMBA!$H$6:$H$13,MATCH($B60,CADASTRO_CASAS_BOMBA!$B$6:$B$13,0)),0)</f>
        <v>-4890.14933333333</v>
      </c>
      <c r="K72" s="18" t="n">
        <f aca="false">IFERROR(K48-INDEX(CADASTRO_CASAS_BOMBA!$H$6:$H$13,MATCH($B60,CADASTRO_CASAS_BOMBA!$B$6:$B$13,0)),0)</f>
        <v>-4997.23533333333</v>
      </c>
      <c r="L72" s="18" t="n">
        <f aca="false">IFERROR(L48-INDEX(CADASTRO_CASAS_BOMBA!$H$6:$H$13,MATCH($B60,CADASTRO_CASAS_BOMBA!$B$6:$B$13,0)),0)</f>
        <v>-5212.93333333333</v>
      </c>
      <c r="M72" s="18" t="n">
        <f aca="false">IFERROR(M48-INDEX(CADASTRO_CASAS_BOMBA!$H$6:$H$13,MATCH($B60,CADASTRO_CASAS_BOMBA!$B$6:$B$13,0)),0)</f>
        <v>-5212.93333333333</v>
      </c>
      <c r="N72" s="18" t="n">
        <f aca="false">IFERROR(N48-INDEX(CADASTRO_CASAS_BOMBA!$H$6:$H$13,MATCH($B60,CADASTRO_CASAS_BOMBA!$B$6:$B$13,0)),0)</f>
        <v>-5212.93333333333</v>
      </c>
      <c r="O72" s="18" t="n">
        <f aca="false">IFERROR(O48-INDEX(CADASTRO_CASAS_BOMBA!$H$6:$H$13,MATCH($B60,CADASTRO_CASAS_BOMBA!$B$6:$B$13,0)),0)</f>
        <v>-5168.2432374737</v>
      </c>
      <c r="P72" s="18" t="n">
        <f aca="false">IFERROR(P48-INDEX(CADASTRO_CASAS_BOMBA!$H$6:$H$13,MATCH($B60,CADASTRO_CASAS_BOMBA!$B$6:$B$13,0)),0)</f>
        <v>-5212.93333333333</v>
      </c>
      <c r="Q72" s="18" t="n">
        <f aca="false">IFERROR(Q48-INDEX(CADASTRO_CASAS_BOMBA!$H$6:$H$13,MATCH($B60,CADASTRO_CASAS_BOMBA!$B$6:$B$13,0)),0)</f>
        <v>-5212.93333333333</v>
      </c>
      <c r="R72" s="18" t="n">
        <f aca="false">IFERROR(R48-INDEX(CADASTRO_CASAS_BOMBA!$H$6:$H$13,MATCH($B60,CADASTRO_CASAS_BOMBA!$B$6:$B$13,0)),0)</f>
        <v>-5212.93333333333</v>
      </c>
      <c r="S72" s="18" t="n">
        <f aca="false">IFERROR(S48-INDEX(CADASTRO_CASAS_BOMBA!$H$6:$H$13,MATCH($B60,CADASTRO_CASAS_BOMBA!$B$6:$B$13,0)),0)</f>
        <v>-5212.93333333333</v>
      </c>
      <c r="T72" s="18" t="n">
        <f aca="false">IFERROR(T48-INDEX(CADASTRO_CASAS_BOMBA!$H$6:$H$13,MATCH($B60,CADASTRO_CASAS_BOMBA!$B$6:$B$13,0)),0)</f>
        <v>-5201.12218327331</v>
      </c>
      <c r="U72" s="18" t="n">
        <f aca="false">IFERROR(U48-INDEX(CADASTRO_CASAS_BOMBA!$H$6:$H$13,MATCH($B60,CADASTRO_CASAS_BOMBA!$B$6:$B$13,0)),0)</f>
        <v>-5152.43719887955</v>
      </c>
      <c r="V72" s="18" t="n">
        <f aca="false">IFERROR(V48-INDEX(CADASTRO_CASAS_BOMBA!$H$6:$H$13,MATCH($B60,CADASTRO_CASAS_BOMBA!$B$6:$B$13,0)),0)</f>
        <v>-5153.38874122426</v>
      </c>
      <c r="W72" s="18" t="n">
        <f aca="false">IFERROR(W48-INDEX(CADASTRO_CASAS_BOMBA!$H$6:$H$13,MATCH($B60,CADASTRO_CASAS_BOMBA!$B$6:$B$13,0)),0)</f>
        <v>-5212.93333333333</v>
      </c>
      <c r="X72" s="18" t="n">
        <f aca="false">IFERROR(X48-INDEX(CADASTRO_CASAS_BOMBA!$H$6:$H$13,MATCH($B60,CADASTRO_CASAS_BOMBA!$B$6:$B$13,0)),0)</f>
        <v>-5212.93333333333</v>
      </c>
      <c r="Y72" s="18" t="n">
        <f aca="false">IFERROR(Y48-INDEX(CADASTRO_CASAS_BOMBA!$H$6:$H$13,MATCH($B60,CADASTRO_CASAS_BOMBA!$B$6:$B$13,0)),0)</f>
        <v>-5212.93333333333</v>
      </c>
      <c r="Z72" s="18" t="n">
        <f aca="false">IFERROR(Z48-INDEX(CADASTRO_CASAS_BOMBA!$H$6:$H$13,MATCH($B60,CADASTRO_CASAS_BOMBA!$B$6:$B$13,0)),0)</f>
        <v>-5135.73534068144</v>
      </c>
      <c r="AA72" s="18" t="n">
        <f aca="false">IFERROR(AA48-INDEX(CADASTRO_CASAS_BOMBA!$H$6:$H$13,MATCH($B60,CADASTRO_CASAS_BOMBA!$B$6:$B$13,0)),0)</f>
        <v>-4999.30624836601</v>
      </c>
      <c r="AB72" s="18" t="n">
        <f aca="false">IFERROR(AB48-INDEX(CADASTRO_CASAS_BOMBA!$H$6:$H$13,MATCH($B60,CADASTRO_CASAS_BOMBA!$B$6:$B$13,0)),0)</f>
        <v>-4992.62180392157</v>
      </c>
      <c r="AC72" s="18" t="n">
        <f aca="false">IFERROR(AC48-INDEX(CADASTRO_CASAS_BOMBA!$H$6:$H$13,MATCH($B60,CADASTRO_CASAS_BOMBA!$B$6:$B$13,0)),0)</f>
        <v>-4940.76831372549</v>
      </c>
      <c r="AD72" s="18" t="n">
        <f aca="false">IFERROR(AD48-INDEX(CADASTRO_CASAS_BOMBA!$H$6:$H$13,MATCH($B60,CADASTRO_CASAS_BOMBA!$B$6:$B$13,0)),0)</f>
        <v>-4940.76831372549</v>
      </c>
      <c r="AE72" s="18" t="n">
        <f aca="false">IFERROR(AE48-INDEX(CADASTRO_CASAS_BOMBA!$H$6:$H$13,MATCH($B60,CADASTRO_CASAS_BOMBA!$B$6:$B$13,0)),0)</f>
        <v>-4940.76831372549</v>
      </c>
      <c r="AF72" s="18" t="n">
        <f aca="false">IFERROR(AF48-INDEX(CADASTRO_CASAS_BOMBA!$H$6:$H$13,MATCH($B60,CADASTRO_CASAS_BOMBA!$B$6:$B$13,0)),0)</f>
        <v>-4940.76831372549</v>
      </c>
      <c r="AG72" s="18" t="n">
        <f aca="false">IFERROR(AG48-INDEX(CADASTRO_CASAS_BOMBA!$H$6:$H$13,MATCH($B60,CADASTRO_CASAS_BOMBA!$B$6:$B$13,0)),0)</f>
        <v>-4598.28710364146</v>
      </c>
      <c r="AH72" s="18" t="n">
        <f aca="false">IFERROR(AH48-INDEX(CADASTRO_CASAS_BOMBA!$H$6:$H$13,MATCH($B60,CADASTRO_CASAS_BOMBA!$B$6:$B$13,0)),0)</f>
        <v>-4341.42619607843</v>
      </c>
      <c r="AI72" s="18" t="n">
        <f aca="false">IFERROR(AI48-INDEX(CADASTRO_CASAS_BOMBA!$H$6:$H$13,MATCH($B60,CADASTRO_CASAS_BOMBA!$B$6:$B$13,0)),0)</f>
        <v>-4341.42619607843</v>
      </c>
      <c r="AJ72" s="18" t="n">
        <f aca="false">IFERROR(AJ48-INDEX(CADASTRO_CASAS_BOMBA!$H$6:$H$13,MATCH($B60,CADASTRO_CASAS_BOMBA!$B$6:$B$13,0)),0)</f>
        <v>-4359.24804481793</v>
      </c>
      <c r="AK72" s="18" t="n">
        <f aca="false">IFERROR(AK48-INDEX(CADASTRO_CASAS_BOMBA!$H$6:$H$13,MATCH($B60,CADASTRO_CASAS_BOMBA!$B$6:$B$13,0)),0)</f>
        <v>-4320.61945368917</v>
      </c>
      <c r="AL72" s="18" t="n">
        <f aca="false">IFERROR(AL48-INDEX(CADASTRO_CASAS_BOMBA!$H$6:$H$13,MATCH($B60,CADASTRO_CASAS_BOMBA!$B$6:$B$13,0)),0)</f>
        <v>-4178.18943527331</v>
      </c>
      <c r="AM72" s="18" t="n">
        <f aca="false">IFERROR(AM48-INDEX(CADASTRO_CASAS_BOMBA!$H$6:$H$13,MATCH($B60,CADASTRO_CASAS_BOMBA!$B$6:$B$13,0)),0)</f>
        <v>-4252.71047339678</v>
      </c>
      <c r="AN72" s="18" t="n">
        <f aca="false">IFERROR(AN48-INDEX(CADASTRO_CASAS_BOMBA!$H$6:$H$13,MATCH($B60,CADASTRO_CASAS_BOMBA!$B$6:$B$13,0)),0)</f>
        <v>-4327.23151152026</v>
      </c>
      <c r="AO72" s="18" t="n">
        <f aca="false">IFERROR(AO48-INDEX(CADASTRO_CASAS_BOMBA!$H$6:$H$13,MATCH($B60,CADASTRO_CASAS_BOMBA!$B$6:$B$13,0)),0)</f>
        <v>-4401.75254964373</v>
      </c>
      <c r="AP72" s="18" t="n">
        <f aca="false">IFERROR(AP48-INDEX(CADASTRO_CASAS_BOMBA!$H$6:$H$13,MATCH($B60,CADASTRO_CASAS_BOMBA!$B$6:$B$13,0)),0)</f>
        <v>-4367.37145973509</v>
      </c>
      <c r="AQ72" s="18" t="n">
        <f aca="false">IFERROR(AQ48-INDEX(CADASTRO_CASAS_BOMBA!$H$6:$H$13,MATCH($B60,CADASTRO_CASAS_BOMBA!$B$6:$B$13,0)),0)</f>
        <v>-4343.06095089495</v>
      </c>
      <c r="AR72" s="18" t="n">
        <f aca="false">IFERROR(AR48-INDEX(CADASTRO_CASAS_BOMBA!$H$6:$H$13,MATCH($B60,CADASTRO_CASAS_BOMBA!$B$6:$B$13,0)),0)</f>
        <v>-4732.01392292089</v>
      </c>
      <c r="AS72" s="18" t="n">
        <f aca="false">IFERROR(AS48-INDEX(CADASTRO_CASAS_BOMBA!$H$6:$H$13,MATCH($B60,CADASTRO_CASAS_BOMBA!$B$6:$B$13,0)),0)</f>
        <v>-4760.33576200135</v>
      </c>
      <c r="AT72" s="18" t="n">
        <f aca="false">IFERROR(AT48-INDEX(CADASTRO_CASAS_BOMBA!$H$6:$H$13,MATCH($B60,CADASTRO_CASAS_BOMBA!$B$6:$B$13,0)),0)</f>
        <v>-4935.72266198617</v>
      </c>
      <c r="AU72" s="18" t="n">
        <f aca="false">IFERROR(AU48-INDEX(CADASTRO_CASAS_BOMBA!$H$6:$H$13,MATCH($B60,CADASTRO_CASAS_BOMBA!$B$6:$B$13,0)),0)</f>
        <v>-4739.37785438037</v>
      </c>
      <c r="AV72" s="18" t="n">
        <f aca="false">IFERROR(AV48-INDEX(CADASTRO_CASAS_BOMBA!$H$6:$H$13,MATCH($B60,CADASTRO_CASAS_BOMBA!$B$6:$B$13,0)),0)</f>
        <v>-4620.77298081715</v>
      </c>
      <c r="AW72" s="18" t="n">
        <f aca="false">IFERROR(AW48-INDEX(CADASTRO_CASAS_BOMBA!$H$6:$H$13,MATCH($B60,CADASTRO_CASAS_BOMBA!$B$6:$B$13,0)),0)</f>
        <v>-4502.16810725394</v>
      </c>
      <c r="AX72" s="18" t="n">
        <f aca="false">IFERROR(AX48-INDEX(CADASTRO_CASAS_BOMBA!$H$6:$H$13,MATCH($B60,CADASTRO_CASAS_BOMBA!$B$6:$B$13,0)),0)</f>
        <v>-4339.95288002097</v>
      </c>
      <c r="AY72" s="18" t="n">
        <f aca="false">IFERROR(AY48-INDEX(CADASTRO_CASAS_BOMBA!$H$6:$H$13,MATCH($B60,CADASTRO_CASAS_BOMBA!$B$6:$B$13,0)),0)</f>
        <v>-3972.19641842944</v>
      </c>
      <c r="AZ72" s="18" t="n">
        <f aca="false">IFERROR(AZ48-INDEX(CADASTRO_CASAS_BOMBA!$H$6:$H$13,MATCH($B60,CADASTRO_CASAS_BOMBA!$B$6:$B$13,0)),0)</f>
        <v>-3858.16159675456</v>
      </c>
      <c r="BA72" s="18" t="n">
        <f aca="false">IFERROR(BA48-INDEX(CADASTRO_CASAS_BOMBA!$H$6:$H$13,MATCH($B60,CADASTRO_CASAS_BOMBA!$B$6:$B$13,0)),0)</f>
        <v>-3762.56766572008</v>
      </c>
      <c r="BB72" s="18" t="n">
        <f aca="false">IFERROR(BB48-INDEX(CADASTRO_CASAS_BOMBA!$H$6:$H$13,MATCH($B60,CADASTRO_CASAS_BOMBA!$B$6:$B$13,0)),0)</f>
        <v>-3666.9737346856</v>
      </c>
      <c r="BC72" s="18" t="n">
        <f aca="false">IFERROR(BC48-INDEX(CADASTRO_CASAS_BOMBA!$H$6:$H$13,MATCH($B60,CADASTRO_CASAS_BOMBA!$B$6:$B$13,0)),0)</f>
        <v>-3583.81409638614</v>
      </c>
      <c r="BD72" s="18" t="n">
        <f aca="false">IFERROR(BD48-INDEX(CADASTRO_CASAS_BOMBA!$H$6:$H$13,MATCH($B60,CADASTRO_CASAS_BOMBA!$B$6:$B$13,0)),0)</f>
        <v>-3569.07025210084</v>
      </c>
      <c r="BE72" s="18" t="n">
        <f aca="false">IFERROR(BE48-INDEX(CADASTRO_CASAS_BOMBA!$H$6:$H$13,MATCH($B60,CADASTRO_CASAS_BOMBA!$B$6:$B$13,0)),0)</f>
        <v>-3569.07025210084</v>
      </c>
      <c r="BF72" s="18" t="n">
        <f aca="false">IFERROR(BF48-INDEX(CADASTRO_CASAS_BOMBA!$H$6:$H$13,MATCH($B60,CADASTRO_CASAS_BOMBA!$B$6:$B$13,0)),0)</f>
        <v>-3624.52504201681</v>
      </c>
      <c r="BG72" s="18" t="n">
        <f aca="false">IFERROR(BG48-INDEX(CADASTRO_CASAS_BOMBA!$H$6:$H$13,MATCH($B60,CADASTRO_CASAS_BOMBA!$B$6:$B$13,0)),0)</f>
        <v>-4028.85985224435</v>
      </c>
      <c r="BH72" s="18" t="n">
        <f aca="false">IFERROR(BH48-INDEX(CADASTRO_CASAS_BOMBA!$H$6:$H$13,MATCH($B60,CADASTRO_CASAS_BOMBA!$B$6:$B$13,0)),0)</f>
        <v>-4529.89822621462</v>
      </c>
      <c r="BI72" s="18" t="n">
        <f aca="false">IFERROR(BI48-INDEX(CADASTRO_CASAS_BOMBA!$H$6:$H$13,MATCH($B60,CADASTRO_CASAS_BOMBA!$B$6:$B$13,0)),0)</f>
        <v>-4629.84433033903</v>
      </c>
      <c r="BJ72" s="18" t="n">
        <f aca="false">IFERROR(BJ48-INDEX(CADASTRO_CASAS_BOMBA!$H$6:$H$13,MATCH($B60,CADASTRO_CASAS_BOMBA!$B$6:$B$13,0)),0)</f>
        <v>-4770.23402067034</v>
      </c>
      <c r="BK72" s="18" t="n">
        <f aca="false">IFERROR(BK48-INDEX(CADASTRO_CASAS_BOMBA!$H$6:$H$13,MATCH($B60,CADASTRO_CASAS_BOMBA!$B$6:$B$13,0)),0)</f>
        <v>-4945.46188505747</v>
      </c>
      <c r="BL72" s="18" t="n">
        <f aca="false">IFERROR(BL48-INDEX(CADASTRO_CASAS_BOMBA!$H$6:$H$13,MATCH($B60,CADASTRO_CASAS_BOMBA!$B$6:$B$13,0)),0)</f>
        <v>-5212.93333333333</v>
      </c>
      <c r="BM72" s="18" t="n">
        <f aca="false">IFERROR(BM48-INDEX(CADASTRO_CASAS_BOMBA!$H$6:$H$13,MATCH($B60,CADASTRO_CASAS_BOMBA!$B$6:$B$13,0)),0)</f>
        <v>-5212.93333333333</v>
      </c>
      <c r="BN72" s="18" t="n">
        <f aca="false">IFERROR(BN48-INDEX(CADASTRO_CASAS_BOMBA!$H$6:$H$13,MATCH($B60,CADASTRO_CASAS_BOMBA!$B$6:$B$13,0)),0)</f>
        <v>-5212.93333333333</v>
      </c>
      <c r="BO72" s="18" t="n">
        <f aca="false">IFERROR(BO48-INDEX(CADASTRO_CASAS_BOMBA!$H$6:$H$13,MATCH($B60,CADASTRO_CASAS_BOMBA!$B$6:$B$13,0)),0)</f>
        <v>-5212.93333333333</v>
      </c>
      <c r="BP72" s="18" t="n">
        <f aca="false">IFERROR(BP48-INDEX(CADASTRO_CASAS_BOMBA!$H$6:$H$13,MATCH($B60,CADASTRO_CASAS_BOMBA!$B$6:$B$13,0)),0)</f>
        <v>-5212.93333333333</v>
      </c>
      <c r="BQ72" s="18" t="n">
        <f aca="false">MAX(C72:BP72)</f>
        <v>-3569.07025210084</v>
      </c>
    </row>
    <row r="73" customFormat="false" ht="15" hidden="false" customHeight="false" outlineLevel="0" collapsed="false">
      <c r="B73" s="15" t="s">
        <v>133</v>
      </c>
      <c r="C73" s="18" t="n">
        <f aca="false">IFERROR(C49-INDEX(CADASTRO_CASAS_BOMBA!$H$6:$H$13,MATCH($B61,CADASTRO_CASAS_BOMBA!$B$6:$B$13,0)),0)</f>
        <v>-5821.23561482298</v>
      </c>
      <c r="D73" s="18" t="n">
        <f aca="false">IFERROR(D49-INDEX(CADASTRO_CASAS_BOMBA!$H$6:$H$13,MATCH($B61,CADASTRO_CASAS_BOMBA!$B$6:$B$13,0)),0)</f>
        <v>-6108.1056362217</v>
      </c>
      <c r="E73" s="18" t="n">
        <f aca="false">IFERROR(E49-INDEX(CADASTRO_CASAS_BOMBA!$H$6:$H$13,MATCH($B61,CADASTRO_CASAS_BOMBA!$B$6:$B$13,0)),0)</f>
        <v>-6338.48190476191</v>
      </c>
      <c r="F73" s="18" t="n">
        <f aca="false">IFERROR(F49-INDEX(CADASTRO_CASAS_BOMBA!$H$6:$H$13,MATCH($B61,CADASTRO_CASAS_BOMBA!$B$6:$B$13,0)),0)</f>
        <v>-6371.97690476191</v>
      </c>
      <c r="G73" s="18" t="n">
        <f aca="false">IFERROR(G49-INDEX(CADASTRO_CASAS_BOMBA!$H$6:$H$13,MATCH($B61,CADASTRO_CASAS_BOMBA!$B$6:$B$13,0)),0)</f>
        <v>-6538.5339047619</v>
      </c>
      <c r="H73" s="18" t="n">
        <f aca="false">IFERROR(H49-INDEX(CADASTRO_CASAS_BOMBA!$H$6:$H$13,MATCH($B61,CADASTRO_CASAS_BOMBA!$B$6:$B$13,0)),0)</f>
        <v>-6673.55790476191</v>
      </c>
      <c r="I73" s="18" t="n">
        <f aca="false">IFERROR(I49-INDEX(CADASTRO_CASAS_BOMBA!$H$6:$H$13,MATCH($B61,CADASTRO_CASAS_BOMBA!$B$6:$B$13,0)),0)</f>
        <v>-6718.83390476191</v>
      </c>
      <c r="J73" s="18" t="n">
        <f aca="false">IFERROR(J49-INDEX(CADASTRO_CASAS_BOMBA!$H$6:$H$13,MATCH($B61,CADASTRO_CASAS_BOMBA!$B$6:$B$13,0)),0)</f>
        <v>-6764.1099047619</v>
      </c>
      <c r="K73" s="18" t="n">
        <f aca="false">IFERROR(K49-INDEX(CADASTRO_CASAS_BOMBA!$H$6:$H$13,MATCH($B61,CADASTRO_CASAS_BOMBA!$B$6:$B$13,0)),0)</f>
        <v>-6831.56190476191</v>
      </c>
      <c r="L73" s="18" t="n">
        <f aca="false">IFERROR(L49-INDEX(CADASTRO_CASAS_BOMBA!$H$6:$H$13,MATCH($B61,CADASTRO_CASAS_BOMBA!$B$6:$B$13,0)),0)</f>
        <v>-6831.56190476191</v>
      </c>
      <c r="M73" s="18" t="n">
        <f aca="false">IFERROR(M49-INDEX(CADASTRO_CASAS_BOMBA!$H$6:$H$13,MATCH($B61,CADASTRO_CASAS_BOMBA!$B$6:$B$13,0)),0)</f>
        <v>-6831.56190476191</v>
      </c>
      <c r="N73" s="18" t="n">
        <f aca="false">IFERROR(N49-INDEX(CADASTRO_CASAS_BOMBA!$H$6:$H$13,MATCH($B61,CADASTRO_CASAS_BOMBA!$B$6:$B$13,0)),0)</f>
        <v>-6831.56190476191</v>
      </c>
      <c r="O73" s="18" t="n">
        <f aca="false">IFERROR(O49-INDEX(CADASTRO_CASAS_BOMBA!$H$6:$H$13,MATCH($B61,CADASTRO_CASAS_BOMBA!$B$6:$B$13,0)),0)</f>
        <v>-6824.41729568829</v>
      </c>
      <c r="P73" s="18" t="n">
        <f aca="false">IFERROR(P49-INDEX(CADASTRO_CASAS_BOMBA!$H$6:$H$13,MATCH($B61,CADASTRO_CASAS_BOMBA!$B$6:$B$13,0)),0)</f>
        <v>-6831.56190476191</v>
      </c>
      <c r="Q73" s="18" t="n">
        <f aca="false">IFERROR(Q49-INDEX(CADASTRO_CASAS_BOMBA!$H$6:$H$13,MATCH($B61,CADASTRO_CASAS_BOMBA!$B$6:$B$13,0)),0)</f>
        <v>-6831.56190476191</v>
      </c>
      <c r="R73" s="18" t="n">
        <f aca="false">IFERROR(R49-INDEX(CADASTRO_CASAS_BOMBA!$H$6:$H$13,MATCH($B61,CADASTRO_CASAS_BOMBA!$B$6:$B$13,0)),0)</f>
        <v>-6831.56190476191</v>
      </c>
      <c r="S73" s="18" t="n">
        <f aca="false">IFERROR(S49-INDEX(CADASTRO_CASAS_BOMBA!$H$6:$H$13,MATCH($B61,CADASTRO_CASAS_BOMBA!$B$6:$B$13,0)),0)</f>
        <v>-6831.56190476191</v>
      </c>
      <c r="T73" s="18" t="n">
        <f aca="false">IFERROR(T49-INDEX(CADASTRO_CASAS_BOMBA!$H$6:$H$13,MATCH($B61,CADASTRO_CASAS_BOMBA!$B$6:$B$13,0)),0)</f>
        <v>-6827.64480512205</v>
      </c>
      <c r="U73" s="18" t="n">
        <f aca="false">IFERROR(U49-INDEX(CADASTRO_CASAS_BOMBA!$H$6:$H$13,MATCH($B61,CADASTRO_CASAS_BOMBA!$B$6:$B$13,0)),0)</f>
        <v>-6811.49871148459</v>
      </c>
      <c r="V73" s="18" t="n">
        <f aca="false">IFERROR(V49-INDEX(CADASTRO_CASAS_BOMBA!$H$6:$H$13,MATCH($B61,CADASTRO_CASAS_BOMBA!$B$6:$B$13,0)),0)</f>
        <v>-6811.49871148459</v>
      </c>
      <c r="W73" s="18" t="n">
        <f aca="false">IFERROR(W49-INDEX(CADASTRO_CASAS_BOMBA!$H$6:$H$13,MATCH($B61,CADASTRO_CASAS_BOMBA!$B$6:$B$13,0)),0)</f>
        <v>-6831.56190476191</v>
      </c>
      <c r="X73" s="18" t="n">
        <f aca="false">IFERROR(X49-INDEX(CADASTRO_CASAS_BOMBA!$H$6:$H$13,MATCH($B61,CADASTRO_CASAS_BOMBA!$B$6:$B$13,0)),0)</f>
        <v>-6831.56190476191</v>
      </c>
      <c r="Y73" s="18" t="n">
        <f aca="false">IFERROR(Y49-INDEX(CADASTRO_CASAS_BOMBA!$H$6:$H$13,MATCH($B61,CADASTRO_CASAS_BOMBA!$B$6:$B$13,0)),0)</f>
        <v>-6784.36645378151</v>
      </c>
      <c r="Z73" s="18" t="n">
        <f aca="false">IFERROR(Z49-INDEX(CADASTRO_CASAS_BOMBA!$H$6:$H$13,MATCH($B61,CADASTRO_CASAS_BOMBA!$B$6:$B$13,0)),0)</f>
        <v>-6709.03724094608</v>
      </c>
      <c r="AA73" s="18" t="n">
        <f aca="false">IFERROR(AA49-INDEX(CADASTRO_CASAS_BOMBA!$H$6:$H$13,MATCH($B61,CADASTRO_CASAS_BOMBA!$B$6:$B$13,0)),0)</f>
        <v>-6584.90532773109</v>
      </c>
      <c r="AB73" s="18" t="n">
        <f aca="false">IFERROR(AB49-INDEX(CADASTRO_CASAS_BOMBA!$H$6:$H$13,MATCH($B61,CADASTRO_CASAS_BOMBA!$B$6:$B$13,0)),0)</f>
        <v>-6573.62532773109</v>
      </c>
      <c r="AC73" s="18" t="n">
        <f aca="false">IFERROR(AC49-INDEX(CADASTRO_CASAS_BOMBA!$H$6:$H$13,MATCH($B61,CADASTRO_CASAS_BOMBA!$B$6:$B$13,0)),0)</f>
        <v>-6454.06868907563</v>
      </c>
      <c r="AD73" s="18" t="n">
        <f aca="false">IFERROR(AD49-INDEX(CADASTRO_CASAS_BOMBA!$H$6:$H$13,MATCH($B61,CADASTRO_CASAS_BOMBA!$B$6:$B$13,0)),0)</f>
        <v>-6400.88589169001</v>
      </c>
      <c r="AE73" s="18" t="n">
        <f aca="false">IFERROR(AE49-INDEX(CADASTRO_CASAS_BOMBA!$H$6:$H$13,MATCH($B61,CADASTRO_CASAS_BOMBA!$B$6:$B$13,0)),0)</f>
        <v>-6383.84670968387</v>
      </c>
      <c r="AF73" s="18" t="n">
        <f aca="false">IFERROR(AF49-INDEX(CADASTRO_CASAS_BOMBA!$H$6:$H$13,MATCH($B61,CADASTRO_CASAS_BOMBA!$B$6:$B$13,0)),0)</f>
        <v>-6400.7512264906</v>
      </c>
      <c r="AG73" s="18" t="n">
        <f aca="false">IFERROR(AG49-INDEX(CADASTRO_CASAS_BOMBA!$H$6:$H$13,MATCH($B61,CADASTRO_CASAS_BOMBA!$B$6:$B$13,0)),0)</f>
        <v>-5753.95287631137</v>
      </c>
      <c r="AH73" s="18" t="n">
        <f aca="false">IFERROR(AH49-INDEX(CADASTRO_CASAS_BOMBA!$H$6:$H$13,MATCH($B61,CADASTRO_CASAS_BOMBA!$B$6:$B$13,0)),0)</f>
        <v>-5200.9472752212</v>
      </c>
      <c r="AI73" s="18" t="n">
        <f aca="false">IFERROR(AI49-INDEX(CADASTRO_CASAS_BOMBA!$H$6:$H$13,MATCH($B61,CADASTRO_CASAS_BOMBA!$B$6:$B$13,0)),0)</f>
        <v>-5188.58669904629</v>
      </c>
      <c r="AJ73" s="18" t="n">
        <f aca="false">IFERROR(AJ49-INDEX(CADASTRO_CASAS_BOMBA!$H$6:$H$13,MATCH($B61,CADASTRO_CASAS_BOMBA!$B$6:$B$13,0)),0)</f>
        <v>-5209.41691091736</v>
      </c>
      <c r="AK73" s="18" t="n">
        <f aca="false">IFERROR(AK49-INDEX(CADASTRO_CASAS_BOMBA!$H$6:$H$13,MATCH($B61,CADASTRO_CASAS_BOMBA!$B$6:$B$13,0)),0)</f>
        <v>-5253.14807504705</v>
      </c>
      <c r="AL73" s="18" t="n">
        <f aca="false">IFERROR(AL49-INDEX(CADASTRO_CASAS_BOMBA!$H$6:$H$13,MATCH($B61,CADASTRO_CASAS_BOMBA!$B$6:$B$13,0)),0)</f>
        <v>-4963.44169836688</v>
      </c>
      <c r="AM73" s="18" t="n">
        <f aca="false">IFERROR(AM49-INDEX(CADASTRO_CASAS_BOMBA!$H$6:$H$13,MATCH($B61,CADASTRO_CASAS_BOMBA!$B$6:$B$13,0)),0)</f>
        <v>-4999.45233523356</v>
      </c>
      <c r="AN73" s="18" t="n">
        <f aca="false">IFERROR(AN49-INDEX(CADASTRO_CASAS_BOMBA!$H$6:$H$13,MATCH($B61,CADASTRO_CASAS_BOMBA!$B$6:$B$13,0)),0)</f>
        <v>-5104.13940907504</v>
      </c>
      <c r="AO73" s="18" t="n">
        <f aca="false">IFERROR(AO49-INDEX(CADASTRO_CASAS_BOMBA!$H$6:$H$13,MATCH($B61,CADASTRO_CASAS_BOMBA!$B$6:$B$13,0)),0)</f>
        <v>-5208.82648291651</v>
      </c>
      <c r="AP73" s="18" t="n">
        <f aca="false">IFERROR(AP49-INDEX(CADASTRO_CASAS_BOMBA!$H$6:$H$13,MATCH($B61,CADASTRO_CASAS_BOMBA!$B$6:$B$13,0)),0)</f>
        <v>-5520.84538120061</v>
      </c>
      <c r="AQ73" s="18" t="n">
        <f aca="false">IFERROR(AQ49-INDEX(CADASTRO_CASAS_BOMBA!$H$6:$H$13,MATCH($B61,CADASTRO_CASAS_BOMBA!$B$6:$B$13,0)),0)</f>
        <v>-5579.73733473124</v>
      </c>
      <c r="AR73" s="18" t="n">
        <f aca="false">IFERROR(AR49-INDEX(CADASTRO_CASAS_BOMBA!$H$6:$H$13,MATCH($B61,CADASTRO_CASAS_BOMBA!$B$6:$B$13,0)),0)</f>
        <v>-6112.62715270936</v>
      </c>
      <c r="AS73" s="18" t="n">
        <f aca="false">IFERROR(AS49-INDEX(CADASTRO_CASAS_BOMBA!$H$6:$H$13,MATCH($B61,CADASTRO_CASAS_BOMBA!$B$6:$B$13,0)),0)</f>
        <v>-5999.88304555845</v>
      </c>
      <c r="AT73" s="18" t="n">
        <f aca="false">IFERROR(AT49-INDEX(CADASTRO_CASAS_BOMBA!$H$6:$H$13,MATCH($B61,CADASTRO_CASAS_BOMBA!$B$6:$B$13,0)),0)</f>
        <v>-6138.57974912632</v>
      </c>
      <c r="AU73" s="18" t="n">
        <f aca="false">IFERROR(AU49-INDEX(CADASTRO_CASAS_BOMBA!$H$6:$H$13,MATCH($B61,CADASTRO_CASAS_BOMBA!$B$6:$B$13,0)),0)</f>
        <v>-6076.46169915966</v>
      </c>
      <c r="AV73" s="18" t="n">
        <f aca="false">IFERROR(AV49-INDEX(CADASTRO_CASAS_BOMBA!$H$6:$H$13,MATCH($B61,CADASTRO_CASAS_BOMBA!$B$6:$B$13,0)),0)</f>
        <v>-6022.73946647993</v>
      </c>
      <c r="AW73" s="18" t="n">
        <f aca="false">IFERROR(AW49-INDEX(CADASTRO_CASAS_BOMBA!$H$6:$H$13,MATCH($B61,CADASTRO_CASAS_BOMBA!$B$6:$B$13,0)),0)</f>
        <v>-5963.38535396825</v>
      </c>
      <c r="AX73" s="18" t="n">
        <f aca="false">IFERROR(AX49-INDEX(CADASTRO_CASAS_BOMBA!$H$6:$H$13,MATCH($B61,CADASTRO_CASAS_BOMBA!$B$6:$B$13,0)),0)</f>
        <v>-5844.0509979992</v>
      </c>
      <c r="AY73" s="18" t="n">
        <f aca="false">IFERROR(AY49-INDEX(CADASTRO_CASAS_BOMBA!$H$6:$H$13,MATCH($B61,CADASTRO_CASAS_BOMBA!$B$6:$B$13,0)),0)</f>
        <v>-5568.62702558357</v>
      </c>
      <c r="AZ73" s="18" t="n">
        <f aca="false">IFERROR(AZ49-INDEX(CADASTRO_CASAS_BOMBA!$H$6:$H$13,MATCH($B61,CADASTRO_CASAS_BOMBA!$B$6:$B$13,0)),0)</f>
        <v>-5606.44943641457</v>
      </c>
      <c r="BA73" s="18" t="n">
        <f aca="false">IFERROR(BA49-INDEX(CADASTRO_CASAS_BOMBA!$H$6:$H$13,MATCH($B61,CADASTRO_CASAS_BOMBA!$B$6:$B$13,0)),0)</f>
        <v>-5470.44037759104</v>
      </c>
      <c r="BB73" s="18" t="n">
        <f aca="false">IFERROR(BB49-INDEX(CADASTRO_CASAS_BOMBA!$H$6:$H$13,MATCH($B61,CADASTRO_CASAS_BOMBA!$B$6:$B$13,0)),0)</f>
        <v>-5379.64011876751</v>
      </c>
      <c r="BC73" s="18" t="n">
        <f aca="false">IFERROR(BC49-INDEX(CADASTRO_CASAS_BOMBA!$H$6:$H$13,MATCH($B61,CADASTRO_CASAS_BOMBA!$B$6:$B$13,0)),0)</f>
        <v>-5329.01025370148</v>
      </c>
      <c r="BD73" s="18" t="n">
        <f aca="false">IFERROR(BD49-INDEX(CADASTRO_CASAS_BOMBA!$H$6:$H$13,MATCH($B61,CADASTRO_CASAS_BOMBA!$B$6:$B$13,0)),0)</f>
        <v>-5352.94001120448</v>
      </c>
      <c r="BE73" s="18" t="n">
        <f aca="false">IFERROR(BE49-INDEX(CADASTRO_CASAS_BOMBA!$H$6:$H$13,MATCH($B61,CADASTRO_CASAS_BOMBA!$B$6:$B$13,0)),0)</f>
        <v>-5400.6842464986</v>
      </c>
      <c r="BF73" s="18" t="n">
        <f aca="false">IFERROR(BF49-INDEX(CADASTRO_CASAS_BOMBA!$H$6:$H$13,MATCH($B61,CADASTRO_CASAS_BOMBA!$B$6:$B$13,0)),0)</f>
        <v>-5448.42848179272</v>
      </c>
      <c r="BG73" s="18" t="n">
        <f aca="false">IFERROR(BG49-INDEX(CADASTRO_CASAS_BOMBA!$H$6:$H$13,MATCH($B61,CADASTRO_CASAS_BOMBA!$B$6:$B$13,0)),0)</f>
        <v>-5759.35130532213</v>
      </c>
      <c r="BH73" s="18" t="n">
        <f aca="false">IFERROR(BH49-INDEX(CADASTRO_CASAS_BOMBA!$H$6:$H$13,MATCH($B61,CADASTRO_CASAS_BOMBA!$B$6:$B$13,0)),0)</f>
        <v>-6156.3539719888</v>
      </c>
      <c r="BI73" s="18" t="n">
        <f aca="false">IFERROR(BI49-INDEX(CADASTRO_CASAS_BOMBA!$H$6:$H$13,MATCH($B61,CADASTRO_CASAS_BOMBA!$B$6:$B$13,0)),0)</f>
        <v>-6230.67585434174</v>
      </c>
      <c r="BJ73" s="18" t="n">
        <f aca="false">IFERROR(BJ49-INDEX(CADASTRO_CASAS_BOMBA!$H$6:$H$13,MATCH($B61,CADASTRO_CASAS_BOMBA!$B$6:$B$13,0)),0)</f>
        <v>-6321.13756862745</v>
      </c>
      <c r="BK73" s="18" t="n">
        <f aca="false">IFERROR(BK49-INDEX(CADASTRO_CASAS_BOMBA!$H$6:$H$13,MATCH($B61,CADASTRO_CASAS_BOMBA!$B$6:$B$13,0)),0)</f>
        <v>-6418.78509803922</v>
      </c>
      <c r="BL73" s="18" t="n">
        <f aca="false">IFERROR(BL49-INDEX(CADASTRO_CASAS_BOMBA!$H$6:$H$13,MATCH($B61,CADASTRO_CASAS_BOMBA!$B$6:$B$13,0)),0)</f>
        <v>-6831.56190476191</v>
      </c>
      <c r="BM73" s="18" t="n">
        <f aca="false">IFERROR(BM49-INDEX(CADASTRO_CASAS_BOMBA!$H$6:$H$13,MATCH($B61,CADASTRO_CASAS_BOMBA!$B$6:$B$13,0)),0)</f>
        <v>-6831.56190476191</v>
      </c>
      <c r="BN73" s="18" t="n">
        <f aca="false">IFERROR(BN49-INDEX(CADASTRO_CASAS_BOMBA!$H$6:$H$13,MATCH($B61,CADASTRO_CASAS_BOMBA!$B$6:$B$13,0)),0)</f>
        <v>-6831.56190476191</v>
      </c>
      <c r="BO73" s="18" t="n">
        <f aca="false">IFERROR(BO49-INDEX(CADASTRO_CASAS_BOMBA!$H$6:$H$13,MATCH($B61,CADASTRO_CASAS_BOMBA!$B$6:$B$13,0)),0)</f>
        <v>-6831.56190476191</v>
      </c>
      <c r="BP73" s="18" t="n">
        <f aca="false">IFERROR(BP49-INDEX(CADASTRO_CASAS_BOMBA!$H$6:$H$13,MATCH($B61,CADASTRO_CASAS_BOMBA!$B$6:$B$13,0)),0)</f>
        <v>-6831.56190476191</v>
      </c>
      <c r="BQ73" s="18" t="n">
        <f aca="false">MAX(C73:BP73)</f>
        <v>-4963.44169836688</v>
      </c>
    </row>
    <row r="74" customFormat="false" ht="15" hidden="false" customHeight="false" outlineLevel="0" collapsed="false">
      <c r="B74" s="15" t="s">
        <v>134</v>
      </c>
      <c r="C74" s="18" t="n">
        <f aca="false">IFERROR(C50-INDEX(CADASTRO_CASAS_BOMBA!$H$6:$H$13,MATCH($B62,CADASTRO_CASAS_BOMBA!$B$6:$B$13,0)),0)</f>
        <v>-7123.63361702777</v>
      </c>
      <c r="D74" s="18" t="n">
        <f aca="false">IFERROR(D50-INDEX(CADASTRO_CASAS_BOMBA!$H$6:$H$13,MATCH($B62,CADASTRO_CASAS_BOMBA!$B$6:$B$13,0)),0)</f>
        <v>-7259.78609932862</v>
      </c>
      <c r="E74" s="18" t="n">
        <f aca="false">IFERROR(E50-INDEX(CADASTRO_CASAS_BOMBA!$H$6:$H$13,MATCH($B62,CADASTRO_CASAS_BOMBA!$B$6:$B$13,0)),0)</f>
        <v>-7609.97222320039</v>
      </c>
      <c r="F74" s="18" t="n">
        <f aca="false">IFERROR(F50-INDEX(CADASTRO_CASAS_BOMBA!$H$6:$H$13,MATCH($B62,CADASTRO_CASAS_BOMBA!$B$6:$B$13,0)),0)</f>
        <v>-7902.21066666667</v>
      </c>
      <c r="G74" s="18" t="n">
        <f aca="false">IFERROR(G50-INDEX(CADASTRO_CASAS_BOMBA!$H$6:$H$13,MATCH($B62,CADASTRO_CASAS_BOMBA!$B$6:$B$13,0)),0)</f>
        <v>-8119.01655862345</v>
      </c>
      <c r="H74" s="18" t="n">
        <f aca="false">IFERROR(H50-INDEX(CADASTRO_CASAS_BOMBA!$H$6:$H$13,MATCH($B62,CADASTRO_CASAS_BOMBA!$B$6:$B$13,0)),0)</f>
        <v>-8298.70952380952</v>
      </c>
      <c r="I74" s="18" t="n">
        <f aca="false">IFERROR(I50-INDEX(CADASTRO_CASAS_BOMBA!$H$6:$H$13,MATCH($B62,CADASTRO_CASAS_BOMBA!$B$6:$B$13,0)),0)</f>
        <v>-8298.70952380952</v>
      </c>
      <c r="J74" s="18" t="n">
        <f aca="false">IFERROR(J50-INDEX(CADASTRO_CASAS_BOMBA!$H$6:$H$13,MATCH($B62,CADASTRO_CASAS_BOMBA!$B$6:$B$13,0)),0)</f>
        <v>-8298.70952380952</v>
      </c>
      <c r="K74" s="18" t="n">
        <f aca="false">IFERROR(K50-INDEX(CADASTRO_CASAS_BOMBA!$H$6:$H$13,MATCH($B62,CADASTRO_CASAS_BOMBA!$B$6:$B$13,0)),0)</f>
        <v>-8298.70952380952</v>
      </c>
      <c r="L74" s="18" t="n">
        <f aca="false">IFERROR(L50-INDEX(CADASTRO_CASAS_BOMBA!$H$6:$H$13,MATCH($B62,CADASTRO_CASAS_BOMBA!$B$6:$B$13,0)),0)</f>
        <v>-8298.70952380952</v>
      </c>
      <c r="M74" s="18" t="n">
        <f aca="false">IFERROR(M50-INDEX(CADASTRO_CASAS_BOMBA!$H$6:$H$13,MATCH($B62,CADASTRO_CASAS_BOMBA!$B$6:$B$13,0)),0)</f>
        <v>-8298.70952380952</v>
      </c>
      <c r="N74" s="18" t="n">
        <f aca="false">IFERROR(N50-INDEX(CADASTRO_CASAS_BOMBA!$H$6:$H$13,MATCH($B62,CADASTRO_CASAS_BOMBA!$B$6:$B$13,0)),0)</f>
        <v>-8298.70952380952</v>
      </c>
      <c r="O74" s="18" t="n">
        <f aca="false">IFERROR(O50-INDEX(CADASTRO_CASAS_BOMBA!$H$6:$H$13,MATCH($B62,CADASTRO_CASAS_BOMBA!$B$6:$B$13,0)),0)</f>
        <v>-8291.56491473591</v>
      </c>
      <c r="P74" s="18" t="n">
        <f aca="false">IFERROR(P50-INDEX(CADASTRO_CASAS_BOMBA!$H$6:$H$13,MATCH($B62,CADASTRO_CASAS_BOMBA!$B$6:$B$13,0)),0)</f>
        <v>-8298.70952380952</v>
      </c>
      <c r="Q74" s="18" t="n">
        <f aca="false">IFERROR(Q50-INDEX(CADASTRO_CASAS_BOMBA!$H$6:$H$13,MATCH($B62,CADASTRO_CASAS_BOMBA!$B$6:$B$13,0)),0)</f>
        <v>-8298.70952380952</v>
      </c>
      <c r="R74" s="18" t="n">
        <f aca="false">IFERROR(R50-INDEX(CADASTRO_CASAS_BOMBA!$H$6:$H$13,MATCH($B62,CADASTRO_CASAS_BOMBA!$B$6:$B$13,0)),0)</f>
        <v>-8298.70952380952</v>
      </c>
      <c r="S74" s="18" t="n">
        <f aca="false">IFERROR(S50-INDEX(CADASTRO_CASAS_BOMBA!$H$6:$H$13,MATCH($B62,CADASTRO_CASAS_BOMBA!$B$6:$B$13,0)),0)</f>
        <v>-8298.70952380952</v>
      </c>
      <c r="T74" s="18" t="n">
        <f aca="false">IFERROR(T50-INDEX(CADASTRO_CASAS_BOMBA!$H$6:$H$13,MATCH($B62,CADASTRO_CASAS_BOMBA!$B$6:$B$13,0)),0)</f>
        <v>-8271.29258263305</v>
      </c>
      <c r="U74" s="18" t="n">
        <f aca="false">IFERROR(U50-INDEX(CADASTRO_CASAS_BOMBA!$H$6:$H$13,MATCH($B62,CADASTRO_CASAS_BOMBA!$B$6:$B$13,0)),0)</f>
        <v>-8158.28128851541</v>
      </c>
      <c r="V74" s="18" t="n">
        <f aca="false">IFERROR(V50-INDEX(CADASTRO_CASAS_BOMBA!$H$6:$H$13,MATCH($B62,CADASTRO_CASAS_BOMBA!$B$6:$B$13,0)),0)</f>
        <v>-8158.28128851541</v>
      </c>
      <c r="W74" s="18" t="n">
        <f aca="false">IFERROR(W50-INDEX(CADASTRO_CASAS_BOMBA!$H$6:$H$13,MATCH($B62,CADASTRO_CASAS_BOMBA!$B$6:$B$13,0)),0)</f>
        <v>-8240.82709952316</v>
      </c>
      <c r="X74" s="18" t="n">
        <f aca="false">IFERROR(X50-INDEX(CADASTRO_CASAS_BOMBA!$H$6:$H$13,MATCH($B62,CADASTRO_CASAS_BOMBA!$B$6:$B$13,0)),0)</f>
        <v>-8298.70952380952</v>
      </c>
      <c r="Y74" s="18" t="n">
        <f aca="false">IFERROR(Y50-INDEX(CADASTRO_CASAS_BOMBA!$H$6:$H$13,MATCH($B62,CADASTRO_CASAS_BOMBA!$B$6:$B$13,0)),0)</f>
        <v>-8298.70952380952</v>
      </c>
      <c r="Z74" s="18" t="n">
        <f aca="false">IFERROR(Z50-INDEX(CADASTRO_CASAS_BOMBA!$H$6:$H$13,MATCH($B62,CADASTRO_CASAS_BOMBA!$B$6:$B$13,0)),0)</f>
        <v>-8271.13219637678</v>
      </c>
      <c r="AA74" s="18" t="n">
        <f aca="false">IFERROR(AA50-INDEX(CADASTRO_CASAS_BOMBA!$H$6:$H$13,MATCH($B62,CADASTRO_CASAS_BOMBA!$B$6:$B$13,0)),0)</f>
        <v>-8210.85241732919</v>
      </c>
      <c r="AB74" s="18" t="n">
        <f aca="false">IFERROR(AB50-INDEX(CADASTRO_CASAS_BOMBA!$H$6:$H$13,MATCH($B62,CADASTRO_CASAS_BOMBA!$B$6:$B$13,0)),0)</f>
        <v>-8158.22022408964</v>
      </c>
      <c r="AC74" s="18" t="n">
        <f aca="false">IFERROR(AC50-INDEX(CADASTRO_CASAS_BOMBA!$H$6:$H$13,MATCH($B62,CADASTRO_CASAS_BOMBA!$B$6:$B$13,0)),0)</f>
        <v>-8120.42582633053</v>
      </c>
      <c r="AD74" s="18" t="n">
        <f aca="false">IFERROR(AD50-INDEX(CADASTRO_CASAS_BOMBA!$H$6:$H$13,MATCH($B62,CADASTRO_CASAS_BOMBA!$B$6:$B$13,0)),0)</f>
        <v>-8120.42582633053</v>
      </c>
      <c r="AE74" s="18" t="n">
        <f aca="false">IFERROR(AE50-INDEX(CADASTRO_CASAS_BOMBA!$H$6:$H$13,MATCH($B62,CADASTRO_CASAS_BOMBA!$B$6:$B$13,0)),0)</f>
        <v>-8100.43417164644</v>
      </c>
      <c r="AF74" s="18" t="n">
        <f aca="false">IFERROR(AF50-INDEX(CADASTRO_CASAS_BOMBA!$H$6:$H$13,MATCH($B62,CADASTRO_CASAS_BOMBA!$B$6:$B$13,0)),0)</f>
        <v>-8054.81312044818</v>
      </c>
      <c r="AG74" s="18" t="n">
        <f aca="false">IFERROR(AG50-INDEX(CADASTRO_CASAS_BOMBA!$H$6:$H$13,MATCH($B62,CADASTRO_CASAS_BOMBA!$B$6:$B$13,0)),0)</f>
        <v>-7508.11189876445</v>
      </c>
      <c r="AH74" s="18" t="n">
        <f aca="false">IFERROR(AH50-INDEX(CADASTRO_CASAS_BOMBA!$H$6:$H$13,MATCH($B62,CADASTRO_CASAS_BOMBA!$B$6:$B$13,0)),0)</f>
        <v>-6689.78733955805</v>
      </c>
      <c r="AI74" s="18" t="n">
        <f aca="false">IFERROR(AI50-INDEX(CADASTRO_CASAS_BOMBA!$H$6:$H$13,MATCH($B62,CADASTRO_CASAS_BOMBA!$B$6:$B$13,0)),0)</f>
        <v>-6501.22655756006</v>
      </c>
      <c r="AJ74" s="18" t="n">
        <f aca="false">IFERROR(AJ50-INDEX(CADASTRO_CASAS_BOMBA!$H$6:$H$13,MATCH($B62,CADASTRO_CASAS_BOMBA!$B$6:$B$13,0)),0)</f>
        <v>-6370.87830175489</v>
      </c>
      <c r="AK74" s="18" t="n">
        <f aca="false">IFERROR(AK50-INDEX(CADASTRO_CASAS_BOMBA!$H$6:$H$13,MATCH($B62,CADASTRO_CASAS_BOMBA!$B$6:$B$13,0)),0)</f>
        <v>-6092.55622909059</v>
      </c>
      <c r="AL74" s="18" t="n">
        <f aca="false">IFERROR(AL50-INDEX(CADASTRO_CASAS_BOMBA!$H$6:$H$13,MATCH($B62,CADASTRO_CASAS_BOMBA!$B$6:$B$13,0)),0)</f>
        <v>-5523.73356582633</v>
      </c>
      <c r="AM74" s="18" t="n">
        <f aca="false">IFERROR(AM50-INDEX(CADASTRO_CASAS_BOMBA!$H$6:$H$13,MATCH($B62,CADASTRO_CASAS_BOMBA!$B$6:$B$13,0)),0)</f>
        <v>-5585.49035881276</v>
      </c>
      <c r="AN74" s="18" t="n">
        <f aca="false">IFERROR(AN50-INDEX(CADASTRO_CASAS_BOMBA!$H$6:$H$13,MATCH($B62,CADASTRO_CASAS_BOMBA!$B$6:$B$13,0)),0)</f>
        <v>-5650.00141650506</v>
      </c>
      <c r="AO74" s="18" t="n">
        <f aca="false">IFERROR(AO50-INDEX(CADASTRO_CASAS_BOMBA!$H$6:$H$13,MATCH($B62,CADASTRO_CASAS_BOMBA!$B$6:$B$13,0)),0)</f>
        <v>-5941.20939436544</v>
      </c>
      <c r="AP74" s="18" t="n">
        <f aca="false">IFERROR(AP50-INDEX(CADASTRO_CASAS_BOMBA!$H$6:$H$13,MATCH($B62,CADASTRO_CASAS_BOMBA!$B$6:$B$13,0)),0)</f>
        <v>-5888.37684848665</v>
      </c>
      <c r="AQ74" s="18" t="n">
        <f aca="false">IFERROR(AQ50-INDEX(CADASTRO_CASAS_BOMBA!$H$6:$H$13,MATCH($B62,CADASTRO_CASAS_BOMBA!$B$6:$B$13,0)),0)</f>
        <v>-5929.57760325669</v>
      </c>
      <c r="AR74" s="18" t="n">
        <f aca="false">IFERROR(AR50-INDEX(CADASTRO_CASAS_BOMBA!$H$6:$H$13,MATCH($B62,CADASTRO_CASAS_BOMBA!$B$6:$B$13,0)),0)</f>
        <v>-6248.05068160598</v>
      </c>
      <c r="AS74" s="18" t="n">
        <f aca="false">IFERROR(AS50-INDEX(CADASTRO_CASAS_BOMBA!$H$6:$H$13,MATCH($B62,CADASTRO_CASAS_BOMBA!$B$6:$B$13,0)),0)</f>
        <v>-6507.76856146903</v>
      </c>
      <c r="AT74" s="18" t="n">
        <f aca="false">IFERROR(AT50-INDEX(CADASTRO_CASAS_BOMBA!$H$6:$H$13,MATCH($B62,CADASTRO_CASAS_BOMBA!$B$6:$B$13,0)),0)</f>
        <v>-6405.87983513406</v>
      </c>
      <c r="AU74" s="18" t="n">
        <f aca="false">IFERROR(AU50-INDEX(CADASTRO_CASAS_BOMBA!$H$6:$H$13,MATCH($B62,CADASTRO_CASAS_BOMBA!$B$6:$B$13,0)),0)</f>
        <v>-6439.67230108933</v>
      </c>
      <c r="AV74" s="18" t="n">
        <f aca="false">IFERROR(AV50-INDEX(CADASTRO_CASAS_BOMBA!$H$6:$H$13,MATCH($B62,CADASTRO_CASAS_BOMBA!$B$6:$B$13,0)),0)</f>
        <v>-6530.08293943355</v>
      </c>
      <c r="AW74" s="18" t="n">
        <f aca="false">IFERROR(AW50-INDEX(CADASTRO_CASAS_BOMBA!$H$6:$H$13,MATCH($B62,CADASTRO_CASAS_BOMBA!$B$6:$B$13,0)),0)</f>
        <v>-6617.96492359059</v>
      </c>
      <c r="AX74" s="18" t="n">
        <f aca="false">IFERROR(AX50-INDEX(CADASTRO_CASAS_BOMBA!$H$6:$H$13,MATCH($B62,CADASTRO_CASAS_BOMBA!$B$6:$B$13,0)),0)</f>
        <v>-6829.82901085645</v>
      </c>
      <c r="AY74" s="18" t="n">
        <f aca="false">IFERROR(AY50-INDEX(CADASTRO_CASAS_BOMBA!$H$6:$H$13,MATCH($B62,CADASTRO_CASAS_BOMBA!$B$6:$B$13,0)),0)</f>
        <v>-6782.02217906565</v>
      </c>
      <c r="AZ74" s="18" t="n">
        <f aca="false">IFERROR(AZ50-INDEX(CADASTRO_CASAS_BOMBA!$H$6:$H$13,MATCH($B62,CADASTRO_CASAS_BOMBA!$B$6:$B$13,0)),0)</f>
        <v>-6851.23772549878</v>
      </c>
      <c r="BA74" s="18" t="n">
        <f aca="false">IFERROR(BA50-INDEX(CADASTRO_CASAS_BOMBA!$H$6:$H$13,MATCH($B62,CADASTRO_CASAS_BOMBA!$B$6:$B$13,0)),0)</f>
        <v>-7251.95037569787</v>
      </c>
      <c r="BB74" s="18" t="n">
        <f aca="false">IFERROR(BB50-INDEX(CADASTRO_CASAS_BOMBA!$H$6:$H$13,MATCH($B62,CADASTRO_CASAS_BOMBA!$B$6:$B$13,0)),0)</f>
        <v>-7137.54610389259</v>
      </c>
      <c r="BC74" s="18" t="n">
        <f aca="false">IFERROR(BC50-INDEX(CADASTRO_CASAS_BOMBA!$H$6:$H$13,MATCH($B62,CADASTRO_CASAS_BOMBA!$B$6:$B$13,0)),0)</f>
        <v>-7064.89385410164</v>
      </c>
      <c r="BD74" s="18" t="n">
        <f aca="false">IFERROR(BD50-INDEX(CADASTRO_CASAS_BOMBA!$H$6:$H$13,MATCH($B62,CADASTRO_CASAS_BOMBA!$B$6:$B$13,0)),0)</f>
        <v>-6990.19343081233</v>
      </c>
      <c r="BE74" s="18" t="n">
        <f aca="false">IFERROR(BE50-INDEX(CADASTRO_CASAS_BOMBA!$H$6:$H$13,MATCH($B62,CADASTRO_CASAS_BOMBA!$B$6:$B$13,0)),0)</f>
        <v>-6985.93350140056</v>
      </c>
      <c r="BF74" s="18" t="n">
        <f aca="false">IFERROR(BF50-INDEX(CADASTRO_CASAS_BOMBA!$H$6:$H$13,MATCH($B62,CADASTRO_CASAS_BOMBA!$B$6:$B$13,0)),0)</f>
        <v>-6985.93350140056</v>
      </c>
      <c r="BG74" s="18" t="n">
        <f aca="false">IFERROR(BG50-INDEX(CADASTRO_CASAS_BOMBA!$H$6:$H$13,MATCH($B62,CADASTRO_CASAS_BOMBA!$B$6:$B$13,0)),0)</f>
        <v>-7220.16962144858</v>
      </c>
      <c r="BH74" s="18" t="n">
        <f aca="false">IFERROR(BH50-INDEX(CADASTRO_CASAS_BOMBA!$H$6:$H$13,MATCH($B62,CADASTRO_CASAS_BOMBA!$B$6:$B$13,0)),0)</f>
        <v>-7571.99691876751</v>
      </c>
      <c r="BI74" s="18" t="n">
        <f aca="false">IFERROR(BI50-INDEX(CADASTRO_CASAS_BOMBA!$H$6:$H$13,MATCH($B62,CADASTRO_CASAS_BOMBA!$B$6:$B$13,0)),0)</f>
        <v>-7633.48426968029</v>
      </c>
      <c r="BJ74" s="18" t="n">
        <f aca="false">IFERROR(BJ50-INDEX(CADASTRO_CASAS_BOMBA!$H$6:$H$13,MATCH($B62,CADASTRO_CASAS_BOMBA!$B$6:$B$13,0)),0)</f>
        <v>-7712.72869970057</v>
      </c>
      <c r="BK74" s="18" t="n">
        <f aca="false">IFERROR(BK50-INDEX(CADASTRO_CASAS_BOMBA!$H$6:$H$13,MATCH($B62,CADASTRO_CASAS_BOMBA!$B$6:$B$13,0)),0)</f>
        <v>-7791.97312972086</v>
      </c>
      <c r="BL74" s="18" t="n">
        <f aca="false">IFERROR(BL50-INDEX(CADASTRO_CASAS_BOMBA!$H$6:$H$13,MATCH($B62,CADASTRO_CASAS_BOMBA!$B$6:$B$13,0)),0)</f>
        <v>-8290.30391596639</v>
      </c>
      <c r="BM74" s="18" t="n">
        <f aca="false">IFERROR(BM50-INDEX(CADASTRO_CASAS_BOMBA!$H$6:$H$13,MATCH($B62,CADASTRO_CASAS_BOMBA!$B$6:$B$13,0)),0)</f>
        <v>-8298.70952380952</v>
      </c>
      <c r="BN74" s="18" t="n">
        <f aca="false">IFERROR(BN50-INDEX(CADASTRO_CASAS_BOMBA!$H$6:$H$13,MATCH($B62,CADASTRO_CASAS_BOMBA!$B$6:$B$13,0)),0)</f>
        <v>-8298.70952380952</v>
      </c>
      <c r="BO74" s="18" t="n">
        <f aca="false">IFERROR(BO50-INDEX(CADASTRO_CASAS_BOMBA!$H$6:$H$13,MATCH($B62,CADASTRO_CASAS_BOMBA!$B$6:$B$13,0)),0)</f>
        <v>-8298.70952380952</v>
      </c>
      <c r="BP74" s="18" t="n">
        <f aca="false">IFERROR(BP50-INDEX(CADASTRO_CASAS_BOMBA!$H$6:$H$13,MATCH($B62,CADASTRO_CASAS_BOMBA!$B$6:$B$13,0)),0)</f>
        <v>-8298.70952380952</v>
      </c>
      <c r="BQ74" s="18" t="n">
        <f aca="false">MAX(C74:BP74)</f>
        <v>-5523.73356582633</v>
      </c>
    </row>
    <row r="75" customFormat="false" ht="15" hidden="false" customHeight="false" outlineLevel="0" collapsed="false">
      <c r="B75" s="15" t="s">
        <v>135</v>
      </c>
      <c r="C75" s="18" t="n">
        <f aca="false">IFERROR(C51-INDEX(CADASTRO_CASAS_BOMBA!$H$6:$H$13,MATCH($B63,CADASTRO_CASAS_BOMBA!$B$6:$B$13,0)),0)</f>
        <v>-2669.52380952381</v>
      </c>
      <c r="D75" s="18" t="n">
        <f aca="false">IFERROR(D51-INDEX(CADASTRO_CASAS_BOMBA!$H$6:$H$13,MATCH($B63,CADASTRO_CASAS_BOMBA!$B$6:$B$13,0)),0)</f>
        <v>-2669.52380952381</v>
      </c>
      <c r="E75" s="18" t="n">
        <f aca="false">IFERROR(E51-INDEX(CADASTRO_CASAS_BOMBA!$H$6:$H$13,MATCH($B63,CADASTRO_CASAS_BOMBA!$B$6:$B$13,0)),0)</f>
        <v>-2669.52380952381</v>
      </c>
      <c r="F75" s="18" t="n">
        <f aca="false">IFERROR(F51-INDEX(CADASTRO_CASAS_BOMBA!$H$6:$H$13,MATCH($B63,CADASTRO_CASAS_BOMBA!$B$6:$B$13,0)),0)</f>
        <v>-2669.52380952381</v>
      </c>
      <c r="G75" s="18" t="n">
        <f aca="false">IFERROR(G51-INDEX(CADASTRO_CASAS_BOMBA!$H$6:$H$13,MATCH($B63,CADASTRO_CASAS_BOMBA!$B$6:$B$13,0)),0)</f>
        <v>-2669.52380952381</v>
      </c>
      <c r="H75" s="18" t="n">
        <f aca="false">IFERROR(H51-INDEX(CADASTRO_CASAS_BOMBA!$H$6:$H$13,MATCH($B63,CADASTRO_CASAS_BOMBA!$B$6:$B$13,0)),0)</f>
        <v>-2669.52380952381</v>
      </c>
      <c r="I75" s="18" t="n">
        <f aca="false">IFERROR(I51-INDEX(CADASTRO_CASAS_BOMBA!$H$6:$H$13,MATCH($B63,CADASTRO_CASAS_BOMBA!$B$6:$B$13,0)),0)</f>
        <v>-2669.52380952381</v>
      </c>
      <c r="J75" s="18" t="n">
        <f aca="false">IFERROR(J51-INDEX(CADASTRO_CASAS_BOMBA!$H$6:$H$13,MATCH($B63,CADASTRO_CASAS_BOMBA!$B$6:$B$13,0)),0)</f>
        <v>-2669.52380952381</v>
      </c>
      <c r="K75" s="18" t="n">
        <f aca="false">IFERROR(K51-INDEX(CADASTRO_CASAS_BOMBA!$H$6:$H$13,MATCH($B63,CADASTRO_CASAS_BOMBA!$B$6:$B$13,0)),0)</f>
        <v>-2669.52380952381</v>
      </c>
      <c r="L75" s="18" t="n">
        <f aca="false">IFERROR(L51-INDEX(CADASTRO_CASAS_BOMBA!$H$6:$H$13,MATCH($B63,CADASTRO_CASAS_BOMBA!$B$6:$B$13,0)),0)</f>
        <v>-2669.52380952381</v>
      </c>
      <c r="M75" s="18" t="n">
        <f aca="false">IFERROR(M51-INDEX(CADASTRO_CASAS_BOMBA!$H$6:$H$13,MATCH($B63,CADASTRO_CASAS_BOMBA!$B$6:$B$13,0)),0)</f>
        <v>-2669.52380952381</v>
      </c>
      <c r="N75" s="18" t="n">
        <f aca="false">IFERROR(N51-INDEX(CADASTRO_CASAS_BOMBA!$H$6:$H$13,MATCH($B63,CADASTRO_CASAS_BOMBA!$B$6:$B$13,0)),0)</f>
        <v>-2669.52380952381</v>
      </c>
      <c r="O75" s="18" t="n">
        <f aca="false">IFERROR(O51-INDEX(CADASTRO_CASAS_BOMBA!$H$6:$H$13,MATCH($B63,CADASTRO_CASAS_BOMBA!$B$6:$B$13,0)),0)</f>
        <v>-2669.52380952381</v>
      </c>
      <c r="P75" s="18" t="n">
        <f aca="false">IFERROR(P51-INDEX(CADASTRO_CASAS_BOMBA!$H$6:$H$13,MATCH($B63,CADASTRO_CASAS_BOMBA!$B$6:$B$13,0)),0)</f>
        <v>-2669.52380952381</v>
      </c>
      <c r="Q75" s="18" t="n">
        <f aca="false">IFERROR(Q51-INDEX(CADASTRO_CASAS_BOMBA!$H$6:$H$13,MATCH($B63,CADASTRO_CASAS_BOMBA!$B$6:$B$13,0)),0)</f>
        <v>-2669.52380952381</v>
      </c>
      <c r="R75" s="18" t="n">
        <f aca="false">IFERROR(R51-INDEX(CADASTRO_CASAS_BOMBA!$H$6:$H$13,MATCH($B63,CADASTRO_CASAS_BOMBA!$B$6:$B$13,0)),0)</f>
        <v>-2669.52380952381</v>
      </c>
      <c r="S75" s="18" t="n">
        <f aca="false">IFERROR(S51-INDEX(CADASTRO_CASAS_BOMBA!$H$6:$H$13,MATCH($B63,CADASTRO_CASAS_BOMBA!$B$6:$B$13,0)),0)</f>
        <v>-2669.52380952381</v>
      </c>
      <c r="T75" s="18" t="n">
        <f aca="false">IFERROR(T51-INDEX(CADASTRO_CASAS_BOMBA!$H$6:$H$13,MATCH($B63,CADASTRO_CASAS_BOMBA!$B$6:$B$13,0)),0)</f>
        <v>-2669.52380952381</v>
      </c>
      <c r="U75" s="18" t="n">
        <f aca="false">IFERROR(U51-INDEX(CADASTRO_CASAS_BOMBA!$H$6:$H$13,MATCH($B63,CADASTRO_CASAS_BOMBA!$B$6:$B$13,0)),0)</f>
        <v>-2669.52380952381</v>
      </c>
      <c r="V75" s="18" t="n">
        <f aca="false">IFERROR(V51-INDEX(CADASTRO_CASAS_BOMBA!$H$6:$H$13,MATCH($B63,CADASTRO_CASAS_BOMBA!$B$6:$B$13,0)),0)</f>
        <v>-2669.52380952381</v>
      </c>
      <c r="W75" s="18" t="n">
        <f aca="false">IFERROR(W51-INDEX(CADASTRO_CASAS_BOMBA!$H$6:$H$13,MATCH($B63,CADASTRO_CASAS_BOMBA!$B$6:$B$13,0)),0)</f>
        <v>-2669.52380952381</v>
      </c>
      <c r="X75" s="18" t="n">
        <f aca="false">IFERROR(X51-INDEX(CADASTRO_CASAS_BOMBA!$H$6:$H$13,MATCH($B63,CADASTRO_CASAS_BOMBA!$B$6:$B$13,0)),0)</f>
        <v>-2669.52380952381</v>
      </c>
      <c r="Y75" s="18" t="n">
        <f aca="false">IFERROR(Y51-INDEX(CADASTRO_CASAS_BOMBA!$H$6:$H$13,MATCH($B63,CADASTRO_CASAS_BOMBA!$B$6:$B$13,0)),0)</f>
        <v>-2669.52380952381</v>
      </c>
      <c r="Z75" s="18" t="n">
        <f aca="false">IFERROR(Z51-INDEX(CADASTRO_CASAS_BOMBA!$H$6:$H$13,MATCH($B63,CADASTRO_CASAS_BOMBA!$B$6:$B$13,0)),0)</f>
        <v>-2669.52380952381</v>
      </c>
      <c r="AA75" s="18" t="n">
        <f aca="false">IFERROR(AA51-INDEX(CADASTRO_CASAS_BOMBA!$H$6:$H$13,MATCH($B63,CADASTRO_CASAS_BOMBA!$B$6:$B$13,0)),0)</f>
        <v>-2669.52380952381</v>
      </c>
      <c r="AB75" s="18" t="n">
        <f aca="false">IFERROR(AB51-INDEX(CADASTRO_CASAS_BOMBA!$H$6:$H$13,MATCH($B63,CADASTRO_CASAS_BOMBA!$B$6:$B$13,0)),0)</f>
        <v>-2669.52380952381</v>
      </c>
      <c r="AC75" s="18" t="n">
        <f aca="false">IFERROR(AC51-INDEX(CADASTRO_CASAS_BOMBA!$H$6:$H$13,MATCH($B63,CADASTRO_CASAS_BOMBA!$B$6:$B$13,0)),0)</f>
        <v>-2669.52380952381</v>
      </c>
      <c r="AD75" s="18" t="n">
        <f aca="false">IFERROR(AD51-INDEX(CADASTRO_CASAS_BOMBA!$H$6:$H$13,MATCH($B63,CADASTRO_CASAS_BOMBA!$B$6:$B$13,0)),0)</f>
        <v>-2669.52380952381</v>
      </c>
      <c r="AE75" s="18" t="n">
        <f aca="false">IFERROR(AE51-INDEX(CADASTRO_CASAS_BOMBA!$H$6:$H$13,MATCH($B63,CADASTRO_CASAS_BOMBA!$B$6:$B$13,0)),0)</f>
        <v>-2669.52380952381</v>
      </c>
      <c r="AF75" s="18" t="n">
        <f aca="false">IFERROR(AF51-INDEX(CADASTRO_CASAS_BOMBA!$H$6:$H$13,MATCH($B63,CADASTRO_CASAS_BOMBA!$B$6:$B$13,0)),0)</f>
        <v>-2669.52380952381</v>
      </c>
      <c r="AG75" s="18" t="n">
        <f aca="false">IFERROR(AG51-INDEX(CADASTRO_CASAS_BOMBA!$H$6:$H$13,MATCH($B63,CADASTRO_CASAS_BOMBA!$B$6:$B$13,0)),0)</f>
        <v>-2669.52380952381</v>
      </c>
      <c r="AH75" s="18" t="n">
        <f aca="false">IFERROR(AH51-INDEX(CADASTRO_CASAS_BOMBA!$H$6:$H$13,MATCH($B63,CADASTRO_CASAS_BOMBA!$B$6:$B$13,0)),0)</f>
        <v>-2669.52380952381</v>
      </c>
      <c r="AI75" s="18" t="n">
        <f aca="false">IFERROR(AI51-INDEX(CADASTRO_CASAS_BOMBA!$H$6:$H$13,MATCH($B63,CADASTRO_CASAS_BOMBA!$B$6:$B$13,0)),0)</f>
        <v>-2669.52380952381</v>
      </c>
      <c r="AJ75" s="18" t="n">
        <f aca="false">IFERROR(AJ51-INDEX(CADASTRO_CASAS_BOMBA!$H$6:$H$13,MATCH($B63,CADASTRO_CASAS_BOMBA!$B$6:$B$13,0)),0)</f>
        <v>-2669.52380952381</v>
      </c>
      <c r="AK75" s="18" t="n">
        <f aca="false">IFERROR(AK51-INDEX(CADASTRO_CASAS_BOMBA!$H$6:$H$13,MATCH($B63,CADASTRO_CASAS_BOMBA!$B$6:$B$13,0)),0)</f>
        <v>-2669.52380952381</v>
      </c>
      <c r="AL75" s="18" t="n">
        <f aca="false">IFERROR(AL51-INDEX(CADASTRO_CASAS_BOMBA!$H$6:$H$13,MATCH($B63,CADASTRO_CASAS_BOMBA!$B$6:$B$13,0)),0)</f>
        <v>-2669.52380952381</v>
      </c>
      <c r="AM75" s="18" t="n">
        <f aca="false">IFERROR(AM51-INDEX(CADASTRO_CASAS_BOMBA!$H$6:$H$13,MATCH($B63,CADASTRO_CASAS_BOMBA!$B$6:$B$13,0)),0)</f>
        <v>-2669.52380952381</v>
      </c>
      <c r="AN75" s="18" t="n">
        <f aca="false">IFERROR(AN51-INDEX(CADASTRO_CASAS_BOMBA!$H$6:$H$13,MATCH($B63,CADASTRO_CASAS_BOMBA!$B$6:$B$13,0)),0)</f>
        <v>-2669.52380952381</v>
      </c>
      <c r="AO75" s="18" t="n">
        <f aca="false">IFERROR(AO51-INDEX(CADASTRO_CASAS_BOMBA!$H$6:$H$13,MATCH($B63,CADASTRO_CASAS_BOMBA!$B$6:$B$13,0)),0)</f>
        <v>-2669.52380952381</v>
      </c>
      <c r="AP75" s="18" t="n">
        <f aca="false">IFERROR(AP51-INDEX(CADASTRO_CASAS_BOMBA!$H$6:$H$13,MATCH($B63,CADASTRO_CASAS_BOMBA!$B$6:$B$13,0)),0)</f>
        <v>-2669.52380952381</v>
      </c>
      <c r="AQ75" s="18" t="n">
        <f aca="false">IFERROR(AQ51-INDEX(CADASTRO_CASAS_BOMBA!$H$6:$H$13,MATCH($B63,CADASTRO_CASAS_BOMBA!$B$6:$B$13,0)),0)</f>
        <v>-2669.52380952381</v>
      </c>
      <c r="AR75" s="18" t="n">
        <f aca="false">IFERROR(AR51-INDEX(CADASTRO_CASAS_BOMBA!$H$6:$H$13,MATCH($B63,CADASTRO_CASAS_BOMBA!$B$6:$B$13,0)),0)</f>
        <v>-2669.52380952381</v>
      </c>
      <c r="AS75" s="18" t="n">
        <f aca="false">IFERROR(AS51-INDEX(CADASTRO_CASAS_BOMBA!$H$6:$H$13,MATCH($B63,CADASTRO_CASAS_BOMBA!$B$6:$B$13,0)),0)</f>
        <v>-2669.52380952381</v>
      </c>
      <c r="AT75" s="18" t="n">
        <f aca="false">IFERROR(AT51-INDEX(CADASTRO_CASAS_BOMBA!$H$6:$H$13,MATCH($B63,CADASTRO_CASAS_BOMBA!$B$6:$B$13,0)),0)</f>
        <v>-2669.52380952381</v>
      </c>
      <c r="AU75" s="18" t="n">
        <f aca="false">IFERROR(AU51-INDEX(CADASTRO_CASAS_BOMBA!$H$6:$H$13,MATCH($B63,CADASTRO_CASAS_BOMBA!$B$6:$B$13,0)),0)</f>
        <v>-2669.52380952381</v>
      </c>
      <c r="AV75" s="18" t="n">
        <f aca="false">IFERROR(AV51-INDEX(CADASTRO_CASAS_BOMBA!$H$6:$H$13,MATCH($B63,CADASTRO_CASAS_BOMBA!$B$6:$B$13,0)),0)</f>
        <v>-2669.52380952381</v>
      </c>
      <c r="AW75" s="18" t="n">
        <f aca="false">IFERROR(AW51-INDEX(CADASTRO_CASAS_BOMBA!$H$6:$H$13,MATCH($B63,CADASTRO_CASAS_BOMBA!$B$6:$B$13,0)),0)</f>
        <v>-2669.52380952381</v>
      </c>
      <c r="AX75" s="18" t="n">
        <f aca="false">IFERROR(AX51-INDEX(CADASTRO_CASAS_BOMBA!$H$6:$H$13,MATCH($B63,CADASTRO_CASAS_BOMBA!$B$6:$B$13,0)),0)</f>
        <v>-2669.52380952381</v>
      </c>
      <c r="AY75" s="18" t="n">
        <f aca="false">IFERROR(AY51-INDEX(CADASTRO_CASAS_BOMBA!$H$6:$H$13,MATCH($B63,CADASTRO_CASAS_BOMBA!$B$6:$B$13,0)),0)</f>
        <v>-2669.52380952381</v>
      </c>
      <c r="AZ75" s="18" t="n">
        <f aca="false">IFERROR(AZ51-INDEX(CADASTRO_CASAS_BOMBA!$H$6:$H$13,MATCH($B63,CADASTRO_CASAS_BOMBA!$B$6:$B$13,0)),0)</f>
        <v>-2669.52380952381</v>
      </c>
      <c r="BA75" s="18" t="n">
        <f aca="false">IFERROR(BA51-INDEX(CADASTRO_CASAS_BOMBA!$H$6:$H$13,MATCH($B63,CADASTRO_CASAS_BOMBA!$B$6:$B$13,0)),0)</f>
        <v>-2669.52380952381</v>
      </c>
      <c r="BB75" s="18" t="n">
        <f aca="false">IFERROR(BB51-INDEX(CADASTRO_CASAS_BOMBA!$H$6:$H$13,MATCH($B63,CADASTRO_CASAS_BOMBA!$B$6:$B$13,0)),0)</f>
        <v>-2669.52380952381</v>
      </c>
      <c r="BC75" s="18" t="n">
        <f aca="false">IFERROR(BC51-INDEX(CADASTRO_CASAS_BOMBA!$H$6:$H$13,MATCH($B63,CADASTRO_CASAS_BOMBA!$B$6:$B$13,0)),0)</f>
        <v>-2669.52380952381</v>
      </c>
      <c r="BD75" s="18" t="n">
        <f aca="false">IFERROR(BD51-INDEX(CADASTRO_CASAS_BOMBA!$H$6:$H$13,MATCH($B63,CADASTRO_CASAS_BOMBA!$B$6:$B$13,0)),0)</f>
        <v>-2669.52380952381</v>
      </c>
      <c r="BE75" s="18" t="n">
        <f aca="false">IFERROR(BE51-INDEX(CADASTRO_CASAS_BOMBA!$H$6:$H$13,MATCH($B63,CADASTRO_CASAS_BOMBA!$B$6:$B$13,0)),0)</f>
        <v>-2669.52380952381</v>
      </c>
      <c r="BF75" s="18" t="n">
        <f aca="false">IFERROR(BF51-INDEX(CADASTRO_CASAS_BOMBA!$H$6:$H$13,MATCH($B63,CADASTRO_CASAS_BOMBA!$B$6:$B$13,0)),0)</f>
        <v>-2669.52380952381</v>
      </c>
      <c r="BG75" s="18" t="n">
        <f aca="false">IFERROR(BG51-INDEX(CADASTRO_CASAS_BOMBA!$H$6:$H$13,MATCH($B63,CADASTRO_CASAS_BOMBA!$B$6:$B$13,0)),0)</f>
        <v>-2669.52380952381</v>
      </c>
      <c r="BH75" s="18" t="n">
        <f aca="false">IFERROR(BH51-INDEX(CADASTRO_CASAS_BOMBA!$H$6:$H$13,MATCH($B63,CADASTRO_CASAS_BOMBA!$B$6:$B$13,0)),0)</f>
        <v>-2669.52380952381</v>
      </c>
      <c r="BI75" s="18" t="n">
        <f aca="false">IFERROR(BI51-INDEX(CADASTRO_CASAS_BOMBA!$H$6:$H$13,MATCH($B63,CADASTRO_CASAS_BOMBA!$B$6:$B$13,0)),0)</f>
        <v>-2669.52380952381</v>
      </c>
      <c r="BJ75" s="18" t="n">
        <f aca="false">IFERROR(BJ51-INDEX(CADASTRO_CASAS_BOMBA!$H$6:$H$13,MATCH($B63,CADASTRO_CASAS_BOMBA!$B$6:$B$13,0)),0)</f>
        <v>-2669.52380952381</v>
      </c>
      <c r="BK75" s="18" t="n">
        <f aca="false">IFERROR(BK51-INDEX(CADASTRO_CASAS_BOMBA!$H$6:$H$13,MATCH($B63,CADASTRO_CASAS_BOMBA!$B$6:$B$13,0)),0)</f>
        <v>-2669.52380952381</v>
      </c>
      <c r="BL75" s="18" t="n">
        <f aca="false">IFERROR(BL51-INDEX(CADASTRO_CASAS_BOMBA!$H$6:$H$13,MATCH($B63,CADASTRO_CASAS_BOMBA!$B$6:$B$13,0)),0)</f>
        <v>-2669.52380952381</v>
      </c>
      <c r="BM75" s="18" t="n">
        <f aca="false">IFERROR(BM51-INDEX(CADASTRO_CASAS_BOMBA!$H$6:$H$13,MATCH($B63,CADASTRO_CASAS_BOMBA!$B$6:$B$13,0)),0)</f>
        <v>-2669.52380952381</v>
      </c>
      <c r="BN75" s="18" t="n">
        <f aca="false">IFERROR(BN51-INDEX(CADASTRO_CASAS_BOMBA!$H$6:$H$13,MATCH($B63,CADASTRO_CASAS_BOMBA!$B$6:$B$13,0)),0)</f>
        <v>-2669.52380952381</v>
      </c>
      <c r="BO75" s="18" t="n">
        <f aca="false">IFERROR(BO51-INDEX(CADASTRO_CASAS_BOMBA!$H$6:$H$13,MATCH($B63,CADASTRO_CASAS_BOMBA!$B$6:$B$13,0)),0)</f>
        <v>-2669.52380952381</v>
      </c>
      <c r="BP75" s="18" t="n">
        <f aca="false">IFERROR(BP51-INDEX(CADASTRO_CASAS_BOMBA!$H$6:$H$13,MATCH($B63,CADASTRO_CASAS_BOMBA!$B$6:$B$13,0)),0)</f>
        <v>-2669.52380952381</v>
      </c>
      <c r="BQ75" s="18" t="n">
        <f aca="false">MAX(C75:BP75)</f>
        <v>-2669.52380952381</v>
      </c>
    </row>
    <row r="78" customFormat="false" ht="15" hidden="false" customHeight="false" outlineLevel="0" collapsed="false">
      <c r="B78" s="3" t="s">
        <v>606</v>
      </c>
    </row>
    <row r="79" customFormat="false" ht="15" hidden="false" customHeight="false" outlineLevel="0" collapsed="false">
      <c r="B79" s="14" t="s">
        <v>187</v>
      </c>
      <c r="C79" s="14" t="n">
        <v>1</v>
      </c>
      <c r="D79" s="14" t="n">
        <v>2</v>
      </c>
      <c r="E79" s="14" t="n">
        <v>3</v>
      </c>
      <c r="F79" s="14" t="n">
        <v>4</v>
      </c>
      <c r="G79" s="14" t="n">
        <v>5</v>
      </c>
      <c r="H79" s="14" t="n">
        <v>6</v>
      </c>
      <c r="I79" s="14" t="n">
        <v>7</v>
      </c>
      <c r="J79" s="14" t="n">
        <v>8</v>
      </c>
      <c r="K79" s="14" t="n">
        <v>9</v>
      </c>
      <c r="L79" s="14" t="n">
        <v>10</v>
      </c>
      <c r="M79" s="14" t="n">
        <v>11</v>
      </c>
      <c r="N79" s="14" t="n">
        <v>12</v>
      </c>
      <c r="O79" s="14" t="n">
        <v>13</v>
      </c>
      <c r="P79" s="14" t="n">
        <v>14</v>
      </c>
      <c r="Q79" s="14" t="n">
        <v>15</v>
      </c>
      <c r="R79" s="14" t="n">
        <v>16</v>
      </c>
      <c r="S79" s="14" t="n">
        <v>17</v>
      </c>
      <c r="T79" s="14" t="n">
        <v>18</v>
      </c>
      <c r="U79" s="14" t="n">
        <v>19</v>
      </c>
      <c r="V79" s="14" t="n">
        <v>20</v>
      </c>
      <c r="W79" s="14" t="n">
        <v>21</v>
      </c>
      <c r="X79" s="14" t="n">
        <v>22</v>
      </c>
      <c r="Y79" s="14" t="n">
        <v>23</v>
      </c>
      <c r="Z79" s="14" t="n">
        <v>24</v>
      </c>
      <c r="AA79" s="14" t="n">
        <v>25</v>
      </c>
      <c r="AB79" s="14" t="n">
        <v>26</v>
      </c>
      <c r="AC79" s="14" t="n">
        <v>27</v>
      </c>
      <c r="AD79" s="14" t="n">
        <v>28</v>
      </c>
      <c r="AE79" s="14" t="n">
        <v>29</v>
      </c>
      <c r="AF79" s="14" t="n">
        <v>30</v>
      </c>
      <c r="AG79" s="14" t="n">
        <v>31</v>
      </c>
      <c r="AH79" s="14" t="n">
        <v>32</v>
      </c>
      <c r="AI79" s="14" t="n">
        <v>33</v>
      </c>
      <c r="AJ79" s="14" t="n">
        <v>34</v>
      </c>
      <c r="AK79" s="14" t="n">
        <v>35</v>
      </c>
      <c r="AL79" s="14" t="n">
        <v>36</v>
      </c>
      <c r="AM79" s="14" t="n">
        <v>37</v>
      </c>
      <c r="AN79" s="14" t="n">
        <v>38</v>
      </c>
      <c r="AO79" s="14" t="n">
        <v>39</v>
      </c>
      <c r="AP79" s="14" t="n">
        <v>40</v>
      </c>
      <c r="AQ79" s="14" t="n">
        <v>41</v>
      </c>
      <c r="AR79" s="14" t="n">
        <v>42</v>
      </c>
      <c r="AS79" s="14" t="n">
        <v>43</v>
      </c>
      <c r="AT79" s="14" t="n">
        <v>44</v>
      </c>
      <c r="AU79" s="14" t="n">
        <v>45</v>
      </c>
      <c r="AV79" s="14" t="n">
        <v>46</v>
      </c>
      <c r="AW79" s="14" t="n">
        <v>47</v>
      </c>
      <c r="AX79" s="14" t="n">
        <v>48</v>
      </c>
      <c r="AY79" s="14" t="n">
        <v>49</v>
      </c>
      <c r="AZ79" s="14" t="n">
        <v>50</v>
      </c>
      <c r="BA79" s="14" t="n">
        <v>51</v>
      </c>
      <c r="BB79" s="14" t="n">
        <v>52</v>
      </c>
      <c r="BC79" s="14" t="n">
        <v>53</v>
      </c>
      <c r="BD79" s="14" t="n">
        <v>54</v>
      </c>
      <c r="BE79" s="14" t="n">
        <v>55</v>
      </c>
      <c r="BF79" s="14" t="n">
        <v>56</v>
      </c>
      <c r="BG79" s="14" t="n">
        <v>57</v>
      </c>
      <c r="BH79" s="14" t="n">
        <v>58</v>
      </c>
      <c r="BI79" s="14" t="n">
        <v>59</v>
      </c>
      <c r="BJ79" s="14" t="n">
        <v>60</v>
      </c>
      <c r="BK79" s="14" t="n">
        <v>61</v>
      </c>
      <c r="BL79" s="14" t="n">
        <v>62</v>
      </c>
      <c r="BM79" s="14" t="n">
        <v>63</v>
      </c>
      <c r="BN79" s="14" t="n">
        <v>64</v>
      </c>
      <c r="BO79" s="14" t="n">
        <v>65</v>
      </c>
      <c r="BP79" s="14" t="n">
        <v>66</v>
      </c>
      <c r="BQ79" s="14" t="s">
        <v>599</v>
      </c>
    </row>
    <row r="80" customFormat="false" ht="15" hidden="false" customHeight="false" outlineLevel="0" collapsed="false">
      <c r="B80" s="15" t="s">
        <v>171</v>
      </c>
      <c r="C80" s="16" t="n">
        <f aca="false">CADASTRO_TRECHOS_CANAL!$C$18*C8+CADASTRO_TRECHOS_CANAL!$D$18*C9+CADASTRO_TRECHOS_CANAL!$E$18*C10+CADASTRO_TRECHOS_CANAL!$F$18*C11+CADASTRO_TRECHOS_CANAL!$G$18*C12+CADASTRO_TRECHOS_CANAL!$H$18*C13+CADASTRO_TRECHOS_CANAL!$I$18*C14+CADASTRO_TRECHOS_CANAL!$J$18*C15</f>
        <v>0</v>
      </c>
      <c r="D80" s="16" t="n">
        <f aca="false">CADASTRO_TRECHOS_CANAL!$C$18*D8+CADASTRO_TRECHOS_CANAL!$D$18*D9+CADASTRO_TRECHOS_CANAL!$E$18*D10+CADASTRO_TRECHOS_CANAL!$F$18*D11+CADASTRO_TRECHOS_CANAL!$G$18*D12+CADASTRO_TRECHOS_CANAL!$H$18*D13+CADASTRO_TRECHOS_CANAL!$I$18*D14+CADASTRO_TRECHOS_CANAL!$J$18*D15</f>
        <v>0</v>
      </c>
      <c r="E80" s="16" t="n">
        <f aca="false">CADASTRO_TRECHOS_CANAL!$C$18*E8+CADASTRO_TRECHOS_CANAL!$D$18*E9+CADASTRO_TRECHOS_CANAL!$E$18*E10+CADASTRO_TRECHOS_CANAL!$F$18*E11+CADASTRO_TRECHOS_CANAL!$G$18*E12+CADASTRO_TRECHOS_CANAL!$H$18*E13+CADASTRO_TRECHOS_CANAL!$I$18*E14+CADASTRO_TRECHOS_CANAL!$J$18*E15</f>
        <v>0</v>
      </c>
      <c r="F80" s="16" t="n">
        <f aca="false">CADASTRO_TRECHOS_CANAL!$C$18*F8+CADASTRO_TRECHOS_CANAL!$D$18*F9+CADASTRO_TRECHOS_CANAL!$E$18*F10+CADASTRO_TRECHOS_CANAL!$F$18*F11+CADASTRO_TRECHOS_CANAL!$G$18*F12+CADASTRO_TRECHOS_CANAL!$H$18*F13+CADASTRO_TRECHOS_CANAL!$I$18*F14+CADASTRO_TRECHOS_CANAL!$J$18*F15</f>
        <v>0</v>
      </c>
      <c r="G80" s="16" t="n">
        <f aca="false">CADASTRO_TRECHOS_CANAL!$C$18*G8+CADASTRO_TRECHOS_CANAL!$D$18*G9+CADASTRO_TRECHOS_CANAL!$E$18*G10+CADASTRO_TRECHOS_CANAL!$F$18*G11+CADASTRO_TRECHOS_CANAL!$G$18*G12+CADASTRO_TRECHOS_CANAL!$H$18*G13+CADASTRO_TRECHOS_CANAL!$I$18*G14+CADASTRO_TRECHOS_CANAL!$J$18*G15</f>
        <v>1313.88423529412</v>
      </c>
      <c r="H80" s="16" t="n">
        <f aca="false">CADASTRO_TRECHOS_CANAL!$C$18*H8+CADASTRO_TRECHOS_CANAL!$D$18*H9+CADASTRO_TRECHOS_CANAL!$E$18*H10+CADASTRO_TRECHOS_CANAL!$F$18*H11+CADASTRO_TRECHOS_CANAL!$G$18*H12+CADASTRO_TRECHOS_CANAL!$H$18*H13+CADASTRO_TRECHOS_CANAL!$I$18*H14+CADASTRO_TRECHOS_CANAL!$J$18*H15</f>
        <v>0</v>
      </c>
      <c r="I80" s="16" t="n">
        <f aca="false">CADASTRO_TRECHOS_CANAL!$C$18*I8+CADASTRO_TRECHOS_CANAL!$D$18*I9+CADASTRO_TRECHOS_CANAL!$E$18*I10+CADASTRO_TRECHOS_CANAL!$F$18*I11+CADASTRO_TRECHOS_CANAL!$G$18*I12+CADASTRO_TRECHOS_CANAL!$H$18*I13+CADASTRO_TRECHOS_CANAL!$I$18*I14+CADASTRO_TRECHOS_CANAL!$J$18*I15</f>
        <v>0</v>
      </c>
      <c r="J80" s="16" t="n">
        <f aca="false">CADASTRO_TRECHOS_CANAL!$C$18*J8+CADASTRO_TRECHOS_CANAL!$D$18*J9+CADASTRO_TRECHOS_CANAL!$E$18*J10+CADASTRO_TRECHOS_CANAL!$F$18*J11+CADASTRO_TRECHOS_CANAL!$G$18*J12+CADASTRO_TRECHOS_CANAL!$H$18*J13+CADASTRO_TRECHOS_CANAL!$I$18*J14+CADASTRO_TRECHOS_CANAL!$J$18*J15</f>
        <v>2987.4674117647</v>
      </c>
      <c r="K80" s="16" t="n">
        <f aca="false">CADASTRO_TRECHOS_CANAL!$C$18*K8+CADASTRO_TRECHOS_CANAL!$D$18*K9+CADASTRO_TRECHOS_CANAL!$E$18*K10+CADASTRO_TRECHOS_CANAL!$F$18*K11+CADASTRO_TRECHOS_CANAL!$G$18*K12+CADASTRO_TRECHOS_CANAL!$H$18*K13+CADASTRO_TRECHOS_CANAL!$I$18*K14+CADASTRO_TRECHOS_CANAL!$J$18*K15</f>
        <v>8914.87502614379</v>
      </c>
      <c r="L80" s="16" t="n">
        <f aca="false">CADASTRO_TRECHOS_CANAL!$C$18*L8+CADASTRO_TRECHOS_CANAL!$D$18*L9+CADASTRO_TRECHOS_CANAL!$E$18*L10+CADASTRO_TRECHOS_CANAL!$F$18*L11+CADASTRO_TRECHOS_CANAL!$G$18*L12+CADASTRO_TRECHOS_CANAL!$H$18*L13+CADASTRO_TRECHOS_CANAL!$I$18*L14+CADASTRO_TRECHOS_CANAL!$J$18*L15</f>
        <v>0</v>
      </c>
      <c r="M80" s="16" t="n">
        <f aca="false">CADASTRO_TRECHOS_CANAL!$C$18*M8+CADASTRO_TRECHOS_CANAL!$D$18*M9+CADASTRO_TRECHOS_CANAL!$E$18*M10+CADASTRO_TRECHOS_CANAL!$F$18*M11+CADASTRO_TRECHOS_CANAL!$G$18*M12+CADASTRO_TRECHOS_CANAL!$H$18*M13+CADASTRO_TRECHOS_CANAL!$I$18*M14+CADASTRO_TRECHOS_CANAL!$J$18*M15</f>
        <v>2420.73917647058</v>
      </c>
      <c r="N80" s="16" t="n">
        <f aca="false">CADASTRO_TRECHOS_CANAL!$C$18*N8+CADASTRO_TRECHOS_CANAL!$D$18*N9+CADASTRO_TRECHOS_CANAL!$E$18*N10+CADASTRO_TRECHOS_CANAL!$F$18*N11+CADASTRO_TRECHOS_CANAL!$G$18*N12+CADASTRO_TRECHOS_CANAL!$H$18*N13+CADASTRO_TRECHOS_CANAL!$I$18*N14+CADASTRO_TRECHOS_CANAL!$J$18*N15</f>
        <v>2420.73917647058</v>
      </c>
      <c r="O80" s="16" t="n">
        <f aca="false">CADASTRO_TRECHOS_CANAL!$C$18*O8+CADASTRO_TRECHOS_CANAL!$D$18*O9+CADASTRO_TRECHOS_CANAL!$E$18*O10+CADASTRO_TRECHOS_CANAL!$F$18*O11+CADASTRO_TRECHOS_CANAL!$G$18*O12+CADASTRO_TRECHOS_CANAL!$H$18*O13+CADASTRO_TRECHOS_CANAL!$I$18*O14+CADASTRO_TRECHOS_CANAL!$J$18*O15</f>
        <v>2420.73917647058</v>
      </c>
      <c r="P80" s="16" t="n">
        <f aca="false">CADASTRO_TRECHOS_CANAL!$C$18*P8+CADASTRO_TRECHOS_CANAL!$D$18*P9+CADASTRO_TRECHOS_CANAL!$E$18*P10+CADASTRO_TRECHOS_CANAL!$F$18*P11+CADASTRO_TRECHOS_CANAL!$G$18*P12+CADASTRO_TRECHOS_CANAL!$H$18*P13+CADASTRO_TRECHOS_CANAL!$I$18*P14+CADASTRO_TRECHOS_CANAL!$J$18*P15</f>
        <v>0</v>
      </c>
      <c r="Q80" s="16" t="n">
        <f aca="false">CADASTRO_TRECHOS_CANAL!$C$18*Q8+CADASTRO_TRECHOS_CANAL!$D$18*Q9+CADASTRO_TRECHOS_CANAL!$E$18*Q10+CADASTRO_TRECHOS_CANAL!$F$18*Q11+CADASTRO_TRECHOS_CANAL!$G$18*Q12+CADASTRO_TRECHOS_CANAL!$H$18*Q13+CADASTRO_TRECHOS_CANAL!$I$18*Q14+CADASTRO_TRECHOS_CANAL!$J$18*Q15</f>
        <v>0</v>
      </c>
      <c r="R80" s="16" t="n">
        <f aca="false">CADASTRO_TRECHOS_CANAL!$C$18*R8+CADASTRO_TRECHOS_CANAL!$D$18*R9+CADASTRO_TRECHOS_CANAL!$E$18*R10+CADASTRO_TRECHOS_CANAL!$F$18*R11+CADASTRO_TRECHOS_CANAL!$G$18*R12+CADASTRO_TRECHOS_CANAL!$H$18*R13+CADASTRO_TRECHOS_CANAL!$I$18*R14+CADASTRO_TRECHOS_CANAL!$J$18*R15</f>
        <v>0</v>
      </c>
      <c r="S80" s="16" t="n">
        <f aca="false">CADASTRO_TRECHOS_CANAL!$C$18*S8+CADASTRO_TRECHOS_CANAL!$D$18*S9+CADASTRO_TRECHOS_CANAL!$E$18*S10+CADASTRO_TRECHOS_CANAL!$F$18*S11+CADASTRO_TRECHOS_CANAL!$G$18*S12+CADASTRO_TRECHOS_CANAL!$H$18*S13+CADASTRO_TRECHOS_CANAL!$I$18*S14+CADASTRO_TRECHOS_CANAL!$J$18*S15</f>
        <v>0</v>
      </c>
      <c r="T80" s="16" t="n">
        <f aca="false">CADASTRO_TRECHOS_CANAL!$C$18*T8+CADASTRO_TRECHOS_CANAL!$D$18*T9+CADASTRO_TRECHOS_CANAL!$E$18*T10+CADASTRO_TRECHOS_CANAL!$F$18*T11+CADASTRO_TRECHOS_CANAL!$G$18*T12+CADASTRO_TRECHOS_CANAL!$H$18*T13+CADASTRO_TRECHOS_CANAL!$I$18*T14+CADASTRO_TRECHOS_CANAL!$J$18*T15</f>
        <v>0</v>
      </c>
      <c r="U80" s="16" t="n">
        <f aca="false">CADASTRO_TRECHOS_CANAL!$C$18*U8+CADASTRO_TRECHOS_CANAL!$D$18*U9+CADASTRO_TRECHOS_CANAL!$E$18*U10+CADASTRO_TRECHOS_CANAL!$F$18*U11+CADASTRO_TRECHOS_CANAL!$G$18*U12+CADASTRO_TRECHOS_CANAL!$H$18*U13+CADASTRO_TRECHOS_CANAL!$I$18*U14+CADASTRO_TRECHOS_CANAL!$J$18*U15</f>
        <v>0</v>
      </c>
      <c r="V80" s="16" t="n">
        <f aca="false">CADASTRO_TRECHOS_CANAL!$C$18*V8+CADASTRO_TRECHOS_CANAL!$D$18*V9+CADASTRO_TRECHOS_CANAL!$E$18*V10+CADASTRO_TRECHOS_CANAL!$F$18*V11+CADASTRO_TRECHOS_CANAL!$G$18*V12+CADASTRO_TRECHOS_CANAL!$H$18*V13+CADASTRO_TRECHOS_CANAL!$I$18*V14+CADASTRO_TRECHOS_CANAL!$J$18*V15</f>
        <v>0</v>
      </c>
      <c r="W80" s="16" t="n">
        <f aca="false">CADASTRO_TRECHOS_CANAL!$C$18*W8+CADASTRO_TRECHOS_CANAL!$D$18*W9+CADASTRO_TRECHOS_CANAL!$E$18*W10+CADASTRO_TRECHOS_CANAL!$F$18*W11+CADASTRO_TRECHOS_CANAL!$G$18*W12+CADASTRO_TRECHOS_CANAL!$H$18*W13+CADASTRO_TRECHOS_CANAL!$I$18*W14+CADASTRO_TRECHOS_CANAL!$J$18*W15</f>
        <v>0</v>
      </c>
      <c r="X80" s="16" t="n">
        <f aca="false">CADASTRO_TRECHOS_CANAL!$C$18*X8+CADASTRO_TRECHOS_CANAL!$D$18*X9+CADASTRO_TRECHOS_CANAL!$E$18*X10+CADASTRO_TRECHOS_CANAL!$F$18*X11+CADASTRO_TRECHOS_CANAL!$G$18*X12+CADASTRO_TRECHOS_CANAL!$H$18*X13+CADASTRO_TRECHOS_CANAL!$I$18*X14+CADASTRO_TRECHOS_CANAL!$J$18*X15</f>
        <v>0</v>
      </c>
      <c r="Y80" s="16" t="n">
        <f aca="false">CADASTRO_TRECHOS_CANAL!$C$18*Y8+CADASTRO_TRECHOS_CANAL!$D$18*Y9+CADASTRO_TRECHOS_CANAL!$E$18*Y10+CADASTRO_TRECHOS_CANAL!$F$18*Y11+CADASTRO_TRECHOS_CANAL!$G$18*Y12+CADASTRO_TRECHOS_CANAL!$H$18*Y13+CADASTRO_TRECHOS_CANAL!$I$18*Y14+CADASTRO_TRECHOS_CANAL!$J$18*Y15</f>
        <v>0</v>
      </c>
      <c r="Z80" s="16" t="n">
        <f aca="false">CADASTRO_TRECHOS_CANAL!$C$18*Z8+CADASTRO_TRECHOS_CANAL!$D$18*Z9+CADASTRO_TRECHOS_CANAL!$E$18*Z10+CADASTRO_TRECHOS_CANAL!$F$18*Z11+CADASTRO_TRECHOS_CANAL!$G$18*Z12+CADASTRO_TRECHOS_CANAL!$H$18*Z13+CADASTRO_TRECHOS_CANAL!$I$18*Z14+CADASTRO_TRECHOS_CANAL!$J$18*Z15</f>
        <v>0</v>
      </c>
      <c r="AA80" s="16" t="n">
        <f aca="false">CADASTRO_TRECHOS_CANAL!$C$18*AA8+CADASTRO_TRECHOS_CANAL!$D$18*AA9+CADASTRO_TRECHOS_CANAL!$E$18*AA10+CADASTRO_TRECHOS_CANAL!$F$18*AA11+CADASTRO_TRECHOS_CANAL!$G$18*AA12+CADASTRO_TRECHOS_CANAL!$H$18*AA13+CADASTRO_TRECHOS_CANAL!$I$18*AA14+CADASTRO_TRECHOS_CANAL!$J$18*AA15</f>
        <v>0</v>
      </c>
      <c r="AB80" s="16" t="n">
        <f aca="false">CADASTRO_TRECHOS_CANAL!$C$18*AB8+CADASTRO_TRECHOS_CANAL!$D$18*AB9+CADASTRO_TRECHOS_CANAL!$E$18*AB10+CADASTRO_TRECHOS_CANAL!$F$18*AB11+CADASTRO_TRECHOS_CANAL!$G$18*AB12+CADASTRO_TRECHOS_CANAL!$H$18*AB13+CADASTRO_TRECHOS_CANAL!$I$18*AB14+CADASTRO_TRECHOS_CANAL!$J$18*AB15</f>
        <v>0</v>
      </c>
      <c r="AC80" s="16" t="n">
        <f aca="false">CADASTRO_TRECHOS_CANAL!$C$18*AC8+CADASTRO_TRECHOS_CANAL!$D$18*AC9+CADASTRO_TRECHOS_CANAL!$E$18*AC10+CADASTRO_TRECHOS_CANAL!$F$18*AC11+CADASTRO_TRECHOS_CANAL!$G$18*AC12+CADASTRO_TRECHOS_CANAL!$H$18*AC13+CADASTRO_TRECHOS_CANAL!$I$18*AC14+CADASTRO_TRECHOS_CANAL!$J$18*AC15</f>
        <v>0</v>
      </c>
      <c r="AD80" s="16" t="n">
        <f aca="false">CADASTRO_TRECHOS_CANAL!$C$18*AD8+CADASTRO_TRECHOS_CANAL!$D$18*AD9+CADASTRO_TRECHOS_CANAL!$E$18*AD10+CADASTRO_TRECHOS_CANAL!$F$18*AD11+CADASTRO_TRECHOS_CANAL!$G$18*AD12+CADASTRO_TRECHOS_CANAL!$H$18*AD13+CADASTRO_TRECHOS_CANAL!$I$18*AD14+CADASTRO_TRECHOS_CANAL!$J$18*AD15</f>
        <v>0</v>
      </c>
      <c r="AE80" s="16" t="n">
        <f aca="false">CADASTRO_TRECHOS_CANAL!$C$18*AE8+CADASTRO_TRECHOS_CANAL!$D$18*AE9+CADASTRO_TRECHOS_CANAL!$E$18*AE10+CADASTRO_TRECHOS_CANAL!$F$18*AE11+CADASTRO_TRECHOS_CANAL!$G$18*AE12+CADASTRO_TRECHOS_CANAL!$H$18*AE13+CADASTRO_TRECHOS_CANAL!$I$18*AE14+CADASTRO_TRECHOS_CANAL!$J$18*AE15</f>
        <v>0</v>
      </c>
      <c r="AF80" s="16" t="n">
        <f aca="false">CADASTRO_TRECHOS_CANAL!$C$18*AF8+CADASTRO_TRECHOS_CANAL!$D$18*AF9+CADASTRO_TRECHOS_CANAL!$E$18*AF10+CADASTRO_TRECHOS_CANAL!$F$18*AF11+CADASTRO_TRECHOS_CANAL!$G$18*AF12+CADASTRO_TRECHOS_CANAL!$H$18*AF13+CADASTRO_TRECHOS_CANAL!$I$18*AF14+CADASTRO_TRECHOS_CANAL!$J$18*AF15</f>
        <v>0</v>
      </c>
      <c r="AG80" s="16" t="n">
        <f aca="false">CADASTRO_TRECHOS_CANAL!$C$18*AG8+CADASTRO_TRECHOS_CANAL!$D$18*AG9+CADASTRO_TRECHOS_CANAL!$E$18*AG10+CADASTRO_TRECHOS_CANAL!$F$18*AG11+CADASTRO_TRECHOS_CANAL!$G$18*AG12+CADASTRO_TRECHOS_CANAL!$H$18*AG13+CADASTRO_TRECHOS_CANAL!$I$18*AG14+CADASTRO_TRECHOS_CANAL!$J$18*AG15</f>
        <v>5006.27506717716</v>
      </c>
      <c r="AH80" s="16" t="n">
        <f aca="false">CADASTRO_TRECHOS_CANAL!$C$18*AH8+CADASTRO_TRECHOS_CANAL!$D$18*AH9+CADASTRO_TRECHOS_CANAL!$E$18*AH10+CADASTRO_TRECHOS_CANAL!$F$18*AH11+CADASTRO_TRECHOS_CANAL!$G$18*AH12+CADASTRO_TRECHOS_CANAL!$H$18*AH13+CADASTRO_TRECHOS_CANAL!$I$18*AH14+CADASTRO_TRECHOS_CANAL!$J$18*AH15</f>
        <v>17062.160739993</v>
      </c>
      <c r="AI80" s="16" t="n">
        <f aca="false">CADASTRO_TRECHOS_CANAL!$C$18*AI8+CADASTRO_TRECHOS_CANAL!$D$18*AI9+CADASTRO_TRECHOS_CANAL!$E$18*AI10+CADASTRO_TRECHOS_CANAL!$F$18*AI11+CADASTRO_TRECHOS_CANAL!$G$18*AI12+CADASTRO_TRECHOS_CANAL!$H$18*AI13+CADASTRO_TRECHOS_CANAL!$I$18*AI14+CADASTRO_TRECHOS_CANAL!$J$18*AI15</f>
        <v>21086.2665527323</v>
      </c>
      <c r="AJ80" s="16" t="n">
        <f aca="false">CADASTRO_TRECHOS_CANAL!$C$18*AJ8+CADASTRO_TRECHOS_CANAL!$D$18*AJ9+CADASTRO_TRECHOS_CANAL!$E$18*AJ10+CADASTRO_TRECHOS_CANAL!$F$18*AJ11+CADASTRO_TRECHOS_CANAL!$G$18*AJ12+CADASTRO_TRECHOS_CANAL!$H$18*AJ13+CADASTRO_TRECHOS_CANAL!$I$18*AJ14+CADASTRO_TRECHOS_CANAL!$J$18*AJ15</f>
        <v>25110.3723654716</v>
      </c>
      <c r="AK80" s="16" t="n">
        <f aca="false">CADASTRO_TRECHOS_CANAL!$C$18*AK8+CADASTRO_TRECHOS_CANAL!$D$18*AK9+CADASTRO_TRECHOS_CANAL!$E$18*AK10+CADASTRO_TRECHOS_CANAL!$F$18*AK11+CADASTRO_TRECHOS_CANAL!$G$18*AK12+CADASTRO_TRECHOS_CANAL!$H$18*AK13+CADASTRO_TRECHOS_CANAL!$I$18*AK14+CADASTRO_TRECHOS_CANAL!$J$18*AK15</f>
        <v>29431.7008235294</v>
      </c>
      <c r="AL80" s="16" t="n">
        <f aca="false">CADASTRO_TRECHOS_CANAL!$C$18*AL8+CADASTRO_TRECHOS_CANAL!$D$18*AL9+CADASTRO_TRECHOS_CANAL!$E$18*AL10+CADASTRO_TRECHOS_CANAL!$F$18*AL11+CADASTRO_TRECHOS_CANAL!$G$18*AL12+CADASTRO_TRECHOS_CANAL!$H$18*AL13+CADASTRO_TRECHOS_CANAL!$I$18*AL14+CADASTRO_TRECHOS_CANAL!$J$18*AL15</f>
        <v>35995.3390588235</v>
      </c>
      <c r="AM80" s="16" t="n">
        <f aca="false">CADASTRO_TRECHOS_CANAL!$C$18*AM8+CADASTRO_TRECHOS_CANAL!$D$18*AM9+CADASTRO_TRECHOS_CANAL!$E$18*AM10+CADASTRO_TRECHOS_CANAL!$F$18*AM11+CADASTRO_TRECHOS_CANAL!$G$18*AM12+CADASTRO_TRECHOS_CANAL!$H$18*AM13+CADASTRO_TRECHOS_CANAL!$I$18*AM14+CADASTRO_TRECHOS_CANAL!$J$18*AM15</f>
        <v>35995.3390588235</v>
      </c>
      <c r="AN80" s="16" t="n">
        <f aca="false">CADASTRO_TRECHOS_CANAL!$C$18*AN8+CADASTRO_TRECHOS_CANAL!$D$18*AN9+CADASTRO_TRECHOS_CANAL!$E$18*AN10+CADASTRO_TRECHOS_CANAL!$F$18*AN11+CADASTRO_TRECHOS_CANAL!$G$18*AN12+CADASTRO_TRECHOS_CANAL!$H$18*AN13+CADASTRO_TRECHOS_CANAL!$I$18*AN14+CADASTRO_TRECHOS_CANAL!$J$18*AN15</f>
        <v>35995.3390588235</v>
      </c>
      <c r="AO80" s="16" t="n">
        <f aca="false">CADASTRO_TRECHOS_CANAL!$C$18*AO8+CADASTRO_TRECHOS_CANAL!$D$18*AO9+CADASTRO_TRECHOS_CANAL!$E$18*AO10+CADASTRO_TRECHOS_CANAL!$F$18*AO11+CADASTRO_TRECHOS_CANAL!$G$18*AO12+CADASTRO_TRECHOS_CANAL!$H$18*AO13+CADASTRO_TRECHOS_CANAL!$I$18*AO14+CADASTRO_TRECHOS_CANAL!$J$18*AO15</f>
        <v>35995.3390588235</v>
      </c>
      <c r="AP80" s="16" t="n">
        <f aca="false">CADASTRO_TRECHOS_CANAL!$C$18*AP8+CADASTRO_TRECHOS_CANAL!$D$18*AP9+CADASTRO_TRECHOS_CANAL!$E$18*AP10+CADASTRO_TRECHOS_CANAL!$F$18*AP11+CADASTRO_TRECHOS_CANAL!$G$18*AP12+CADASTRO_TRECHOS_CANAL!$H$18*AP13+CADASTRO_TRECHOS_CANAL!$I$18*AP14+CADASTRO_TRECHOS_CANAL!$J$18*AP15</f>
        <v>36120.2505882353</v>
      </c>
      <c r="AQ80" s="16" t="n">
        <f aca="false">CADASTRO_TRECHOS_CANAL!$C$18*AQ8+CADASTRO_TRECHOS_CANAL!$D$18*AQ9+CADASTRO_TRECHOS_CANAL!$E$18*AQ10+CADASTRO_TRECHOS_CANAL!$F$18*AQ11+CADASTRO_TRECHOS_CANAL!$G$18*AQ12+CADASTRO_TRECHOS_CANAL!$H$18*AQ13+CADASTRO_TRECHOS_CANAL!$I$18*AQ14+CADASTRO_TRECHOS_CANAL!$J$18*AQ15</f>
        <v>36141.0691764706</v>
      </c>
      <c r="AR80" s="16" t="n">
        <f aca="false">CADASTRO_TRECHOS_CANAL!$C$18*AR8+CADASTRO_TRECHOS_CANAL!$D$18*AR9+CADASTRO_TRECHOS_CANAL!$E$18*AR10+CADASTRO_TRECHOS_CANAL!$F$18*AR11+CADASTRO_TRECHOS_CANAL!$G$18*AR12+CADASTRO_TRECHOS_CANAL!$H$18*AR13+CADASTRO_TRECHOS_CANAL!$I$18*AR14+CADASTRO_TRECHOS_CANAL!$J$18*AR15</f>
        <v>36141.0691764706</v>
      </c>
      <c r="AS80" s="16" t="n">
        <f aca="false">CADASTRO_TRECHOS_CANAL!$C$18*AS8+CADASTRO_TRECHOS_CANAL!$D$18*AS9+CADASTRO_TRECHOS_CANAL!$E$18*AS10+CADASTRO_TRECHOS_CANAL!$F$18*AS11+CADASTRO_TRECHOS_CANAL!$G$18*AS12+CADASTRO_TRECHOS_CANAL!$H$18*AS13+CADASTRO_TRECHOS_CANAL!$I$18*AS14+CADASTRO_TRECHOS_CANAL!$J$18*AS15</f>
        <v>36141.0691764706</v>
      </c>
      <c r="AT80" s="16" t="n">
        <f aca="false">CADASTRO_TRECHOS_CANAL!$C$18*AT8+CADASTRO_TRECHOS_CANAL!$D$18*AT9+CADASTRO_TRECHOS_CANAL!$E$18*AT10+CADASTRO_TRECHOS_CANAL!$F$18*AT11+CADASTRO_TRECHOS_CANAL!$G$18*AT12+CADASTRO_TRECHOS_CANAL!$H$18*AT13+CADASTRO_TRECHOS_CANAL!$I$18*AT14+CADASTRO_TRECHOS_CANAL!$J$18*AT15</f>
        <v>35750.9303581125</v>
      </c>
      <c r="AU80" s="16" t="n">
        <f aca="false">CADASTRO_TRECHOS_CANAL!$C$18*AU8+CADASTRO_TRECHOS_CANAL!$D$18*AU9+CADASTRO_TRECHOS_CANAL!$E$18*AU10+CADASTRO_TRECHOS_CANAL!$F$18*AU11+CADASTRO_TRECHOS_CANAL!$G$18*AU12+CADASTRO_TRECHOS_CANAL!$H$18*AU13+CADASTRO_TRECHOS_CANAL!$I$18*AU14+CADASTRO_TRECHOS_CANAL!$J$18*AU15</f>
        <v>34618.3169683258</v>
      </c>
      <c r="AV80" s="16" t="n">
        <f aca="false">CADASTRO_TRECHOS_CANAL!$C$18*AV8+CADASTRO_TRECHOS_CANAL!$D$18*AV9+CADASTRO_TRECHOS_CANAL!$E$18*AV10+CADASTRO_TRECHOS_CANAL!$F$18*AV11+CADASTRO_TRECHOS_CANAL!$G$18*AV12+CADASTRO_TRECHOS_CANAL!$H$18*AV13+CADASTRO_TRECHOS_CANAL!$I$18*AV14+CADASTRO_TRECHOS_CANAL!$J$18*AV15</f>
        <v>32163.5325791855</v>
      </c>
      <c r="AW80" s="16" t="n">
        <f aca="false">CADASTRO_TRECHOS_CANAL!$C$18*AW8+CADASTRO_TRECHOS_CANAL!$D$18*AW9+CADASTRO_TRECHOS_CANAL!$E$18*AW10+CADASTRO_TRECHOS_CANAL!$F$18*AW11+CADASTRO_TRECHOS_CANAL!$G$18*AW12+CADASTRO_TRECHOS_CANAL!$H$18*AW13+CADASTRO_TRECHOS_CANAL!$I$18*AW14+CADASTRO_TRECHOS_CANAL!$J$18*AW15</f>
        <v>29708.7481900452</v>
      </c>
      <c r="AX80" s="16" t="n">
        <f aca="false">CADASTRO_TRECHOS_CANAL!$C$18*AX8+CADASTRO_TRECHOS_CANAL!$D$18*AX9+CADASTRO_TRECHOS_CANAL!$E$18*AX10+CADASTRO_TRECHOS_CANAL!$F$18*AX11+CADASTRO_TRECHOS_CANAL!$G$18*AX12+CADASTRO_TRECHOS_CANAL!$H$18*AX13+CADASTRO_TRECHOS_CANAL!$I$18*AX14+CADASTRO_TRECHOS_CANAL!$J$18*AX15</f>
        <v>28032.7162663219</v>
      </c>
      <c r="AY80" s="16" t="n">
        <f aca="false">CADASTRO_TRECHOS_CANAL!$C$18*AY8+CADASTRO_TRECHOS_CANAL!$D$18*AY9+CADASTRO_TRECHOS_CANAL!$E$18*AY10+CADASTRO_TRECHOS_CANAL!$F$18*AY11+CADASTRO_TRECHOS_CANAL!$G$18*AY12+CADASTRO_TRECHOS_CANAL!$H$18*AY13+CADASTRO_TRECHOS_CANAL!$I$18*AY14+CADASTRO_TRECHOS_CANAL!$J$18*AY15</f>
        <v>29736.6545882353</v>
      </c>
      <c r="AZ80" s="16" t="n">
        <f aca="false">CADASTRO_TRECHOS_CANAL!$C$18*AZ8+CADASTRO_TRECHOS_CANAL!$D$18*AZ9+CADASTRO_TRECHOS_CANAL!$E$18*AZ10+CADASTRO_TRECHOS_CANAL!$F$18*AZ11+CADASTRO_TRECHOS_CANAL!$G$18*AZ12+CADASTRO_TRECHOS_CANAL!$H$18*AZ13+CADASTRO_TRECHOS_CANAL!$I$18*AZ14+CADASTRO_TRECHOS_CANAL!$J$18*AZ15</f>
        <v>26768.0781176471</v>
      </c>
      <c r="BA80" s="16" t="n">
        <f aca="false">CADASTRO_TRECHOS_CANAL!$C$18*BA8+CADASTRO_TRECHOS_CANAL!$D$18*BA9+CADASTRO_TRECHOS_CANAL!$E$18*BA10+CADASTRO_TRECHOS_CANAL!$F$18*BA11+CADASTRO_TRECHOS_CANAL!$G$18*BA12+CADASTRO_TRECHOS_CANAL!$H$18*BA13+CADASTRO_TRECHOS_CANAL!$I$18*BA14+CADASTRO_TRECHOS_CANAL!$J$18*BA15</f>
        <v>0</v>
      </c>
      <c r="BB80" s="16" t="n">
        <f aca="false">CADASTRO_TRECHOS_CANAL!$C$18*BB8+CADASTRO_TRECHOS_CANAL!$D$18*BB9+CADASTRO_TRECHOS_CANAL!$E$18*BB10+CADASTRO_TRECHOS_CANAL!$F$18*BB11+CADASTRO_TRECHOS_CANAL!$G$18*BB12+CADASTRO_TRECHOS_CANAL!$H$18*BB13+CADASTRO_TRECHOS_CANAL!$I$18*BB14+CADASTRO_TRECHOS_CANAL!$J$18*BB15</f>
        <v>0</v>
      </c>
      <c r="BC80" s="16" t="n">
        <f aca="false">CADASTRO_TRECHOS_CANAL!$C$18*BC8+CADASTRO_TRECHOS_CANAL!$D$18*BC9+CADASTRO_TRECHOS_CANAL!$E$18*BC10+CADASTRO_TRECHOS_CANAL!$F$18*BC11+CADASTRO_TRECHOS_CANAL!$G$18*BC12+CADASTRO_TRECHOS_CANAL!$H$18*BC13+CADASTRO_TRECHOS_CANAL!$I$18*BC14+CADASTRO_TRECHOS_CANAL!$J$18*BC15</f>
        <v>0</v>
      </c>
      <c r="BD80" s="16" t="n">
        <f aca="false">CADASTRO_TRECHOS_CANAL!$C$18*BD8+CADASTRO_TRECHOS_CANAL!$D$18*BD9+CADASTRO_TRECHOS_CANAL!$E$18*BD10+CADASTRO_TRECHOS_CANAL!$F$18*BD11+CADASTRO_TRECHOS_CANAL!$G$18*BD12+CADASTRO_TRECHOS_CANAL!$H$18*BD13+CADASTRO_TRECHOS_CANAL!$I$18*BD14+CADASTRO_TRECHOS_CANAL!$J$18*BD15</f>
        <v>0</v>
      </c>
      <c r="BE80" s="16" t="n">
        <f aca="false">CADASTRO_TRECHOS_CANAL!$C$18*BE8+CADASTRO_TRECHOS_CANAL!$D$18*BE9+CADASTRO_TRECHOS_CANAL!$E$18*BE10+CADASTRO_TRECHOS_CANAL!$F$18*BE11+CADASTRO_TRECHOS_CANAL!$G$18*BE12+CADASTRO_TRECHOS_CANAL!$H$18*BE13+CADASTRO_TRECHOS_CANAL!$I$18*BE14+CADASTRO_TRECHOS_CANAL!$J$18*BE15</f>
        <v>0</v>
      </c>
      <c r="BF80" s="16" t="n">
        <f aca="false">CADASTRO_TRECHOS_CANAL!$C$18*BF8+CADASTRO_TRECHOS_CANAL!$D$18*BF9+CADASTRO_TRECHOS_CANAL!$E$18*BF10+CADASTRO_TRECHOS_CANAL!$F$18*BF11+CADASTRO_TRECHOS_CANAL!$G$18*BF12+CADASTRO_TRECHOS_CANAL!$H$18*BF13+CADASTRO_TRECHOS_CANAL!$I$18*BF14+CADASTRO_TRECHOS_CANAL!$J$18*BF15</f>
        <v>0</v>
      </c>
      <c r="BG80" s="16" t="n">
        <f aca="false">CADASTRO_TRECHOS_CANAL!$C$18*BG8+CADASTRO_TRECHOS_CANAL!$D$18*BG9+CADASTRO_TRECHOS_CANAL!$E$18*BG10+CADASTRO_TRECHOS_CANAL!$F$18*BG11+CADASTRO_TRECHOS_CANAL!$G$18*BG12+CADASTRO_TRECHOS_CANAL!$H$18*BG13+CADASTRO_TRECHOS_CANAL!$I$18*BG14+CADASTRO_TRECHOS_CANAL!$J$18*BG15</f>
        <v>0</v>
      </c>
      <c r="BH80" s="16" t="n">
        <f aca="false">CADASTRO_TRECHOS_CANAL!$C$18*BH8+CADASTRO_TRECHOS_CANAL!$D$18*BH9+CADASTRO_TRECHOS_CANAL!$E$18*BH10+CADASTRO_TRECHOS_CANAL!$F$18*BH11+CADASTRO_TRECHOS_CANAL!$G$18*BH12+CADASTRO_TRECHOS_CANAL!$H$18*BH13+CADASTRO_TRECHOS_CANAL!$I$18*BH14+CADASTRO_TRECHOS_CANAL!$J$18*BH15</f>
        <v>0</v>
      </c>
      <c r="BI80" s="16" t="n">
        <f aca="false">CADASTRO_TRECHOS_CANAL!$C$18*BI8+CADASTRO_TRECHOS_CANAL!$D$18*BI9+CADASTRO_TRECHOS_CANAL!$E$18*BI10+CADASTRO_TRECHOS_CANAL!$F$18*BI11+CADASTRO_TRECHOS_CANAL!$G$18*BI12+CADASTRO_TRECHOS_CANAL!$H$18*BI13+CADASTRO_TRECHOS_CANAL!$I$18*BI14+CADASTRO_TRECHOS_CANAL!$J$18*BI15</f>
        <v>0</v>
      </c>
      <c r="BJ80" s="16" t="n">
        <f aca="false">CADASTRO_TRECHOS_CANAL!$C$18*BJ8+CADASTRO_TRECHOS_CANAL!$D$18*BJ9+CADASTRO_TRECHOS_CANAL!$E$18*BJ10+CADASTRO_TRECHOS_CANAL!$F$18*BJ11+CADASTRO_TRECHOS_CANAL!$G$18*BJ12+CADASTRO_TRECHOS_CANAL!$H$18*BJ13+CADASTRO_TRECHOS_CANAL!$I$18*BJ14+CADASTRO_TRECHOS_CANAL!$J$18*BJ15</f>
        <v>0</v>
      </c>
      <c r="BK80" s="16" t="n">
        <f aca="false">CADASTRO_TRECHOS_CANAL!$C$18*BK8+CADASTRO_TRECHOS_CANAL!$D$18*BK9+CADASTRO_TRECHOS_CANAL!$E$18*BK10+CADASTRO_TRECHOS_CANAL!$F$18*BK11+CADASTRO_TRECHOS_CANAL!$G$18*BK12+CADASTRO_TRECHOS_CANAL!$H$18*BK13+CADASTRO_TRECHOS_CANAL!$I$18*BK14+CADASTRO_TRECHOS_CANAL!$J$18*BK15</f>
        <v>0</v>
      </c>
      <c r="BL80" s="16" t="n">
        <f aca="false">CADASTRO_TRECHOS_CANAL!$C$18*BL8+CADASTRO_TRECHOS_CANAL!$D$18*BL9+CADASTRO_TRECHOS_CANAL!$E$18*BL10+CADASTRO_TRECHOS_CANAL!$F$18*BL11+CADASTRO_TRECHOS_CANAL!$G$18*BL12+CADASTRO_TRECHOS_CANAL!$H$18*BL13+CADASTRO_TRECHOS_CANAL!$I$18*BL14+CADASTRO_TRECHOS_CANAL!$J$18*BL15</f>
        <v>0</v>
      </c>
      <c r="BM80" s="16" t="n">
        <f aca="false">CADASTRO_TRECHOS_CANAL!$C$18*BM8+CADASTRO_TRECHOS_CANAL!$D$18*BM9+CADASTRO_TRECHOS_CANAL!$E$18*BM10+CADASTRO_TRECHOS_CANAL!$F$18*BM11+CADASTRO_TRECHOS_CANAL!$G$18*BM12+CADASTRO_TRECHOS_CANAL!$H$18*BM13+CADASTRO_TRECHOS_CANAL!$I$18*BM14+CADASTRO_TRECHOS_CANAL!$J$18*BM15</f>
        <v>0</v>
      </c>
      <c r="BN80" s="16" t="n">
        <f aca="false">CADASTRO_TRECHOS_CANAL!$C$18*BN8+CADASTRO_TRECHOS_CANAL!$D$18*BN9+CADASTRO_TRECHOS_CANAL!$E$18*BN10+CADASTRO_TRECHOS_CANAL!$F$18*BN11+CADASTRO_TRECHOS_CANAL!$G$18*BN12+CADASTRO_TRECHOS_CANAL!$H$18*BN13+CADASTRO_TRECHOS_CANAL!$I$18*BN14+CADASTRO_TRECHOS_CANAL!$J$18*BN15</f>
        <v>0</v>
      </c>
      <c r="BO80" s="16" t="n">
        <f aca="false">CADASTRO_TRECHOS_CANAL!$C$18*BO8+CADASTRO_TRECHOS_CANAL!$D$18*BO9+CADASTRO_TRECHOS_CANAL!$E$18*BO10+CADASTRO_TRECHOS_CANAL!$F$18*BO11+CADASTRO_TRECHOS_CANAL!$G$18*BO12+CADASTRO_TRECHOS_CANAL!$H$18*BO13+CADASTRO_TRECHOS_CANAL!$I$18*BO14+CADASTRO_TRECHOS_CANAL!$J$18*BO15</f>
        <v>0</v>
      </c>
      <c r="BP80" s="16" t="n">
        <f aca="false">CADASTRO_TRECHOS_CANAL!$C$18*BP8+CADASTRO_TRECHOS_CANAL!$D$18*BP9+CADASTRO_TRECHOS_CANAL!$E$18*BP10+CADASTRO_TRECHOS_CANAL!$F$18*BP11+CADASTRO_TRECHOS_CANAL!$G$18*BP12+CADASTRO_TRECHOS_CANAL!$H$18*BP13+CADASTRO_TRECHOS_CANAL!$I$18*BP14+CADASTRO_TRECHOS_CANAL!$J$18*BP15</f>
        <v>0</v>
      </c>
      <c r="BQ80" s="16" t="n">
        <f aca="false">SUM(C80:BP80)</f>
        <v>623479.011172333</v>
      </c>
    </row>
    <row r="81" customFormat="false" ht="15" hidden="false" customHeight="false" outlineLevel="0" collapsed="false">
      <c r="B81" s="15" t="s">
        <v>172</v>
      </c>
      <c r="C81" s="16" t="n">
        <f aca="false">CADASTRO_TRECHOS_CANAL!$C$19*C8+CADASTRO_TRECHOS_CANAL!$D$19*C9+CADASTRO_TRECHOS_CANAL!$E$19*C10+CADASTRO_TRECHOS_CANAL!$F$19*C11+CADASTRO_TRECHOS_CANAL!$G$19*C12+CADASTRO_TRECHOS_CANAL!$H$19*C13+CADASTRO_TRECHOS_CANAL!$I$19*C14+CADASTRO_TRECHOS_CANAL!$J$19*C15</f>
        <v>22570.0291764706</v>
      </c>
      <c r="D81" s="16" t="n">
        <f aca="false">CADASTRO_TRECHOS_CANAL!$C$19*D8+CADASTRO_TRECHOS_CANAL!$D$19*D9+CADASTRO_TRECHOS_CANAL!$E$19*D10+CADASTRO_TRECHOS_CANAL!$F$19*D11+CADASTRO_TRECHOS_CANAL!$G$19*D12+CADASTRO_TRECHOS_CANAL!$H$19*D13+CADASTRO_TRECHOS_CANAL!$I$19*D14+CADASTRO_TRECHOS_CANAL!$J$19*D15</f>
        <v>0</v>
      </c>
      <c r="E81" s="16" t="n">
        <f aca="false">CADASTRO_TRECHOS_CANAL!$C$19*E8+CADASTRO_TRECHOS_CANAL!$D$19*E9+CADASTRO_TRECHOS_CANAL!$E$19*E10+CADASTRO_TRECHOS_CANAL!$F$19*E11+CADASTRO_TRECHOS_CANAL!$G$19*E12+CADASTRO_TRECHOS_CANAL!$H$19*E13+CADASTRO_TRECHOS_CANAL!$I$19*E14+CADASTRO_TRECHOS_CANAL!$J$19*E15</f>
        <v>0</v>
      </c>
      <c r="F81" s="16" t="n">
        <f aca="false">CADASTRO_TRECHOS_CANAL!$C$19*F8+CADASTRO_TRECHOS_CANAL!$D$19*F9+CADASTRO_TRECHOS_CANAL!$E$19*F10+CADASTRO_TRECHOS_CANAL!$F$19*F11+CADASTRO_TRECHOS_CANAL!$G$19*F12+CADASTRO_TRECHOS_CANAL!$H$19*F13+CADASTRO_TRECHOS_CANAL!$I$19*F14+CADASTRO_TRECHOS_CANAL!$J$19*F15</f>
        <v>0</v>
      </c>
      <c r="G81" s="16" t="n">
        <f aca="false">CADASTRO_TRECHOS_CANAL!$C$19*G8+CADASTRO_TRECHOS_CANAL!$D$19*G9+CADASTRO_TRECHOS_CANAL!$E$19*G10+CADASTRO_TRECHOS_CANAL!$F$19*G11+CADASTRO_TRECHOS_CANAL!$G$19*G12+CADASTRO_TRECHOS_CANAL!$H$19*G13+CADASTRO_TRECHOS_CANAL!$I$19*G14+CADASTRO_TRECHOS_CANAL!$J$19*G15</f>
        <v>1344.35576470588</v>
      </c>
      <c r="H81" s="16" t="n">
        <f aca="false">CADASTRO_TRECHOS_CANAL!$C$19*H8+CADASTRO_TRECHOS_CANAL!$D$19*H9+CADASTRO_TRECHOS_CANAL!$E$19*H10+CADASTRO_TRECHOS_CANAL!$F$19*H11+CADASTRO_TRECHOS_CANAL!$G$19*H12+CADASTRO_TRECHOS_CANAL!$H$19*H13+CADASTRO_TRECHOS_CANAL!$I$19*H14+CADASTRO_TRECHOS_CANAL!$J$19*H15</f>
        <v>0</v>
      </c>
      <c r="I81" s="16" t="n">
        <f aca="false">CADASTRO_TRECHOS_CANAL!$C$19*I8+CADASTRO_TRECHOS_CANAL!$D$19*I9+CADASTRO_TRECHOS_CANAL!$E$19*I10+CADASTRO_TRECHOS_CANAL!$F$19*I11+CADASTRO_TRECHOS_CANAL!$G$19*I12+CADASTRO_TRECHOS_CANAL!$H$19*I13+CADASTRO_TRECHOS_CANAL!$I$19*I14+CADASTRO_TRECHOS_CANAL!$J$19*I15</f>
        <v>0</v>
      </c>
      <c r="J81" s="16" t="n">
        <f aca="false">CADASTRO_TRECHOS_CANAL!$C$19*J8+CADASTRO_TRECHOS_CANAL!$D$19*J9+CADASTRO_TRECHOS_CANAL!$E$19*J10+CADASTRO_TRECHOS_CANAL!$F$19*J11+CADASTRO_TRECHOS_CANAL!$G$19*J12+CADASTRO_TRECHOS_CANAL!$H$19*J13+CADASTRO_TRECHOS_CANAL!$I$19*J14+CADASTRO_TRECHOS_CANAL!$J$19*J15</f>
        <v>2611.19894593879</v>
      </c>
      <c r="K81" s="16" t="n">
        <f aca="false">CADASTRO_TRECHOS_CANAL!$C$19*K8+CADASTRO_TRECHOS_CANAL!$D$19*K9+CADASTRO_TRECHOS_CANAL!$E$19*K10+CADASTRO_TRECHOS_CANAL!$F$19*K11+CADASTRO_TRECHOS_CANAL!$G$19*K12+CADASTRO_TRECHOS_CANAL!$H$19*K13+CADASTRO_TRECHOS_CANAL!$I$19*K14+CADASTRO_TRECHOS_CANAL!$J$19*K15</f>
        <v>8421.15634341653</v>
      </c>
      <c r="L81" s="16" t="n">
        <f aca="false">CADASTRO_TRECHOS_CANAL!$C$19*L8+CADASTRO_TRECHOS_CANAL!$D$19*L9+CADASTRO_TRECHOS_CANAL!$E$19*L10+CADASTRO_TRECHOS_CANAL!$F$19*L11+CADASTRO_TRECHOS_CANAL!$G$19*L12+CADASTRO_TRECHOS_CANAL!$H$19*L13+CADASTRO_TRECHOS_CANAL!$I$19*L14+CADASTRO_TRECHOS_CANAL!$J$19*L15</f>
        <v>0</v>
      </c>
      <c r="M81" s="16" t="n">
        <f aca="false">CADASTRO_TRECHOS_CANAL!$C$19*M8+CADASTRO_TRECHOS_CANAL!$D$19*M9+CADASTRO_TRECHOS_CANAL!$E$19*M10+CADASTRO_TRECHOS_CANAL!$F$19*M11+CADASTRO_TRECHOS_CANAL!$G$19*M12+CADASTRO_TRECHOS_CANAL!$H$19*M13+CADASTRO_TRECHOS_CANAL!$I$19*M14+CADASTRO_TRECHOS_CANAL!$J$19*M15</f>
        <v>2476.88082352941</v>
      </c>
      <c r="N81" s="16" t="n">
        <f aca="false">CADASTRO_TRECHOS_CANAL!$C$19*N8+CADASTRO_TRECHOS_CANAL!$D$19*N9+CADASTRO_TRECHOS_CANAL!$E$19*N10+CADASTRO_TRECHOS_CANAL!$F$19*N11+CADASTRO_TRECHOS_CANAL!$G$19*N12+CADASTRO_TRECHOS_CANAL!$H$19*N13+CADASTRO_TRECHOS_CANAL!$I$19*N14+CADASTRO_TRECHOS_CANAL!$J$19*N15</f>
        <v>2476.88082352941</v>
      </c>
      <c r="O81" s="16" t="n">
        <f aca="false">CADASTRO_TRECHOS_CANAL!$C$19*O8+CADASTRO_TRECHOS_CANAL!$D$19*O9+CADASTRO_TRECHOS_CANAL!$E$19*O10+CADASTRO_TRECHOS_CANAL!$F$19*O11+CADASTRO_TRECHOS_CANAL!$G$19*O12+CADASTRO_TRECHOS_CANAL!$H$19*O13+CADASTRO_TRECHOS_CANAL!$I$19*O14+CADASTRO_TRECHOS_CANAL!$J$19*O15</f>
        <v>2476.88082352941</v>
      </c>
      <c r="P81" s="16" t="n">
        <f aca="false">CADASTRO_TRECHOS_CANAL!$C$19*P8+CADASTRO_TRECHOS_CANAL!$D$19*P9+CADASTRO_TRECHOS_CANAL!$E$19*P10+CADASTRO_TRECHOS_CANAL!$F$19*P11+CADASTRO_TRECHOS_CANAL!$G$19*P12+CADASTRO_TRECHOS_CANAL!$H$19*P13+CADASTRO_TRECHOS_CANAL!$I$19*P14+CADASTRO_TRECHOS_CANAL!$J$19*P15</f>
        <v>0</v>
      </c>
      <c r="Q81" s="16" t="n">
        <f aca="false">CADASTRO_TRECHOS_CANAL!$C$19*Q8+CADASTRO_TRECHOS_CANAL!$D$19*Q9+CADASTRO_TRECHOS_CANAL!$E$19*Q10+CADASTRO_TRECHOS_CANAL!$F$19*Q11+CADASTRO_TRECHOS_CANAL!$G$19*Q12+CADASTRO_TRECHOS_CANAL!$H$19*Q13+CADASTRO_TRECHOS_CANAL!$I$19*Q14+CADASTRO_TRECHOS_CANAL!$J$19*Q15</f>
        <v>0</v>
      </c>
      <c r="R81" s="16" t="n">
        <f aca="false">CADASTRO_TRECHOS_CANAL!$C$19*R8+CADASTRO_TRECHOS_CANAL!$D$19*R9+CADASTRO_TRECHOS_CANAL!$E$19*R10+CADASTRO_TRECHOS_CANAL!$F$19*R11+CADASTRO_TRECHOS_CANAL!$G$19*R12+CADASTRO_TRECHOS_CANAL!$H$19*R13+CADASTRO_TRECHOS_CANAL!$I$19*R14+CADASTRO_TRECHOS_CANAL!$J$19*R15</f>
        <v>0</v>
      </c>
      <c r="S81" s="16" t="n">
        <f aca="false">CADASTRO_TRECHOS_CANAL!$C$19*S8+CADASTRO_TRECHOS_CANAL!$D$19*S9+CADASTRO_TRECHOS_CANAL!$E$19*S10+CADASTRO_TRECHOS_CANAL!$F$19*S11+CADASTRO_TRECHOS_CANAL!$G$19*S12+CADASTRO_TRECHOS_CANAL!$H$19*S13+CADASTRO_TRECHOS_CANAL!$I$19*S14+CADASTRO_TRECHOS_CANAL!$J$19*S15</f>
        <v>0</v>
      </c>
      <c r="T81" s="16" t="n">
        <f aca="false">CADASTRO_TRECHOS_CANAL!$C$19*T8+CADASTRO_TRECHOS_CANAL!$D$19*T9+CADASTRO_TRECHOS_CANAL!$E$19*T10+CADASTRO_TRECHOS_CANAL!$F$19*T11+CADASTRO_TRECHOS_CANAL!$G$19*T12+CADASTRO_TRECHOS_CANAL!$H$19*T13+CADASTRO_TRECHOS_CANAL!$I$19*T14+CADASTRO_TRECHOS_CANAL!$J$19*T15</f>
        <v>0</v>
      </c>
      <c r="U81" s="16" t="n">
        <f aca="false">CADASTRO_TRECHOS_CANAL!$C$19*U8+CADASTRO_TRECHOS_CANAL!$D$19*U9+CADASTRO_TRECHOS_CANAL!$E$19*U10+CADASTRO_TRECHOS_CANAL!$F$19*U11+CADASTRO_TRECHOS_CANAL!$G$19*U12+CADASTRO_TRECHOS_CANAL!$H$19*U13+CADASTRO_TRECHOS_CANAL!$I$19*U14+CADASTRO_TRECHOS_CANAL!$J$19*U15</f>
        <v>0</v>
      </c>
      <c r="V81" s="16" t="n">
        <f aca="false">CADASTRO_TRECHOS_CANAL!$C$19*V8+CADASTRO_TRECHOS_CANAL!$D$19*V9+CADASTRO_TRECHOS_CANAL!$E$19*V10+CADASTRO_TRECHOS_CANAL!$F$19*V11+CADASTRO_TRECHOS_CANAL!$G$19*V12+CADASTRO_TRECHOS_CANAL!$H$19*V13+CADASTRO_TRECHOS_CANAL!$I$19*V14+CADASTRO_TRECHOS_CANAL!$J$19*V15</f>
        <v>0</v>
      </c>
      <c r="W81" s="16" t="n">
        <f aca="false">CADASTRO_TRECHOS_CANAL!$C$19*W8+CADASTRO_TRECHOS_CANAL!$D$19*W9+CADASTRO_TRECHOS_CANAL!$E$19*W10+CADASTRO_TRECHOS_CANAL!$F$19*W11+CADASTRO_TRECHOS_CANAL!$G$19*W12+CADASTRO_TRECHOS_CANAL!$H$19*W13+CADASTRO_TRECHOS_CANAL!$I$19*W14+CADASTRO_TRECHOS_CANAL!$J$19*W15</f>
        <v>0</v>
      </c>
      <c r="X81" s="16" t="n">
        <f aca="false">CADASTRO_TRECHOS_CANAL!$C$19*X8+CADASTRO_TRECHOS_CANAL!$D$19*X9+CADASTRO_TRECHOS_CANAL!$E$19*X10+CADASTRO_TRECHOS_CANAL!$F$19*X11+CADASTRO_TRECHOS_CANAL!$G$19*X12+CADASTRO_TRECHOS_CANAL!$H$19*X13+CADASTRO_TRECHOS_CANAL!$I$19*X14+CADASTRO_TRECHOS_CANAL!$J$19*X15</f>
        <v>0</v>
      </c>
      <c r="Y81" s="16" t="n">
        <f aca="false">CADASTRO_TRECHOS_CANAL!$C$19*Y8+CADASTRO_TRECHOS_CANAL!$D$19*Y9+CADASTRO_TRECHOS_CANAL!$E$19*Y10+CADASTRO_TRECHOS_CANAL!$F$19*Y11+CADASTRO_TRECHOS_CANAL!$G$19*Y12+CADASTRO_TRECHOS_CANAL!$H$19*Y13+CADASTRO_TRECHOS_CANAL!$I$19*Y14+CADASTRO_TRECHOS_CANAL!$J$19*Y15</f>
        <v>0</v>
      </c>
      <c r="Z81" s="16" t="n">
        <f aca="false">CADASTRO_TRECHOS_CANAL!$C$19*Z8+CADASTRO_TRECHOS_CANAL!$D$19*Z9+CADASTRO_TRECHOS_CANAL!$E$19*Z10+CADASTRO_TRECHOS_CANAL!$F$19*Z11+CADASTRO_TRECHOS_CANAL!$G$19*Z12+CADASTRO_TRECHOS_CANAL!$H$19*Z13+CADASTRO_TRECHOS_CANAL!$I$19*Z14+CADASTRO_TRECHOS_CANAL!$J$19*Z15</f>
        <v>205.420776888263</v>
      </c>
      <c r="AA81" s="16" t="n">
        <f aca="false">CADASTRO_TRECHOS_CANAL!$C$19*AA8+CADASTRO_TRECHOS_CANAL!$D$19*AA9+CADASTRO_TRECHOS_CANAL!$E$19*AA10+CADASTRO_TRECHOS_CANAL!$F$19*AA11+CADASTRO_TRECHOS_CANAL!$G$19*AA12+CADASTRO_TRECHOS_CANAL!$H$19*AA13+CADASTRO_TRECHOS_CANAL!$I$19*AA14+CADASTRO_TRECHOS_CANAL!$J$19*AA15</f>
        <v>4483.19184081679</v>
      </c>
      <c r="AB81" s="16" t="n">
        <f aca="false">CADASTRO_TRECHOS_CANAL!$C$19*AB8+CADASTRO_TRECHOS_CANAL!$D$19*AB9+CADASTRO_TRECHOS_CANAL!$E$19*AB10+CADASTRO_TRECHOS_CANAL!$F$19*AB11+CADASTRO_TRECHOS_CANAL!$G$19*AB12+CADASTRO_TRECHOS_CANAL!$H$19*AB13+CADASTRO_TRECHOS_CANAL!$I$19*AB14+CADASTRO_TRECHOS_CANAL!$J$19*AB15</f>
        <v>6897.07694117646</v>
      </c>
      <c r="AC81" s="16" t="n">
        <f aca="false">CADASTRO_TRECHOS_CANAL!$C$19*AC8+CADASTRO_TRECHOS_CANAL!$D$19*AC9+CADASTRO_TRECHOS_CANAL!$E$19*AC10+CADASTRO_TRECHOS_CANAL!$F$19*AC11+CADASTRO_TRECHOS_CANAL!$G$19*AC12+CADASTRO_TRECHOS_CANAL!$H$19*AC13+CADASTRO_TRECHOS_CANAL!$I$19*AC14+CADASTRO_TRECHOS_CANAL!$J$19*AC15</f>
        <v>8520.40329411764</v>
      </c>
      <c r="AD81" s="16" t="n">
        <f aca="false">CADASTRO_TRECHOS_CANAL!$C$19*AD8+CADASTRO_TRECHOS_CANAL!$D$19*AD9+CADASTRO_TRECHOS_CANAL!$E$19*AD10+CADASTRO_TRECHOS_CANAL!$F$19*AD11+CADASTRO_TRECHOS_CANAL!$G$19*AD12+CADASTRO_TRECHOS_CANAL!$H$19*AD13+CADASTRO_TRECHOS_CANAL!$I$19*AD14+CADASTRO_TRECHOS_CANAL!$J$19*AD15</f>
        <v>8520.40329411764</v>
      </c>
      <c r="AE81" s="16" t="n">
        <f aca="false">CADASTRO_TRECHOS_CANAL!$C$19*AE8+CADASTRO_TRECHOS_CANAL!$D$19*AE9+CADASTRO_TRECHOS_CANAL!$E$19*AE10+CADASTRO_TRECHOS_CANAL!$F$19*AE11+CADASTRO_TRECHOS_CANAL!$G$19*AE12+CADASTRO_TRECHOS_CANAL!$H$19*AE13+CADASTRO_TRECHOS_CANAL!$I$19*AE14+CADASTRO_TRECHOS_CANAL!$J$19*AE15</f>
        <v>8520.40329411764</v>
      </c>
      <c r="AF81" s="16" t="n">
        <f aca="false">CADASTRO_TRECHOS_CANAL!$C$19*AF8+CADASTRO_TRECHOS_CANAL!$D$19*AF9+CADASTRO_TRECHOS_CANAL!$E$19*AF10+CADASTRO_TRECHOS_CANAL!$F$19*AF11+CADASTRO_TRECHOS_CANAL!$G$19*AF12+CADASTRO_TRECHOS_CANAL!$H$19*AF13+CADASTRO_TRECHOS_CANAL!$I$19*AF14+CADASTRO_TRECHOS_CANAL!$J$19*AF15</f>
        <v>8520.40329411764</v>
      </c>
      <c r="AG81" s="16" t="n">
        <f aca="false">CADASTRO_TRECHOS_CANAL!$C$19*AG8+CADASTRO_TRECHOS_CANAL!$D$19*AG9+CADASTRO_TRECHOS_CANAL!$E$19*AG10+CADASTRO_TRECHOS_CANAL!$F$19*AG11+CADASTRO_TRECHOS_CANAL!$G$19*AG12+CADASTRO_TRECHOS_CANAL!$H$19*AG13+CADASTRO_TRECHOS_CANAL!$I$19*AG14+CADASTRO_TRECHOS_CANAL!$J$19*AG15</f>
        <v>23595.1241394335</v>
      </c>
      <c r="AH81" s="16" t="n">
        <f aca="false">CADASTRO_TRECHOS_CANAL!$C$19*AH8+CADASTRO_TRECHOS_CANAL!$D$19*AH9+CADASTRO_TRECHOS_CANAL!$E$19*AH10+CADASTRO_TRECHOS_CANAL!$F$19*AH11+CADASTRO_TRECHOS_CANAL!$G$19*AH12+CADASTRO_TRECHOS_CANAL!$H$19*AH13+CADASTRO_TRECHOS_CANAL!$I$19*AH14+CADASTRO_TRECHOS_CANAL!$J$19*AH15</f>
        <v>44157.0737908497</v>
      </c>
      <c r="AI81" s="16" t="n">
        <f aca="false">CADASTRO_TRECHOS_CANAL!$C$19*AI8+CADASTRO_TRECHOS_CANAL!$D$19*AI9+CADASTRO_TRECHOS_CANAL!$E$19*AI10+CADASTRO_TRECHOS_CANAL!$F$19*AI11+CADASTRO_TRECHOS_CANAL!$G$19*AI12+CADASTRO_TRECHOS_CANAL!$H$19*AI13+CADASTRO_TRECHOS_CANAL!$I$19*AI14+CADASTRO_TRECHOS_CANAL!$J$19*AI15</f>
        <v>48452.4201960784</v>
      </c>
      <c r="AJ81" s="16" t="n">
        <f aca="false">CADASTRO_TRECHOS_CANAL!$C$19*AJ8+CADASTRO_TRECHOS_CANAL!$D$19*AJ9+CADASTRO_TRECHOS_CANAL!$E$19*AJ10+CADASTRO_TRECHOS_CANAL!$F$19*AJ11+CADASTRO_TRECHOS_CANAL!$G$19*AJ12+CADASTRO_TRECHOS_CANAL!$H$19*AJ13+CADASTRO_TRECHOS_CANAL!$I$19*AJ14+CADASTRO_TRECHOS_CANAL!$J$19*AJ15</f>
        <v>52747.7666013072</v>
      </c>
      <c r="AK81" s="16" t="n">
        <f aca="false">CADASTRO_TRECHOS_CANAL!$C$19*AK8+CADASTRO_TRECHOS_CANAL!$D$19*AK9+CADASTRO_TRECHOS_CANAL!$E$19*AK10+CADASTRO_TRECHOS_CANAL!$F$19*AK11+CADASTRO_TRECHOS_CANAL!$G$19*AK12+CADASTRO_TRECHOS_CANAL!$H$19*AK13+CADASTRO_TRECHOS_CANAL!$I$19*AK14+CADASTRO_TRECHOS_CANAL!$J$19*AK15</f>
        <v>58017.9796832579</v>
      </c>
      <c r="AL81" s="16" t="n">
        <f aca="false">CADASTRO_TRECHOS_CANAL!$C$19*AL8+CADASTRO_TRECHOS_CANAL!$D$19*AL9+CADASTRO_TRECHOS_CANAL!$E$19*AL10+CADASTRO_TRECHOS_CANAL!$F$19*AL11+CADASTRO_TRECHOS_CANAL!$G$19*AL12+CADASTRO_TRECHOS_CANAL!$H$19*AL13+CADASTRO_TRECHOS_CANAL!$I$19*AL14+CADASTRO_TRECHOS_CANAL!$J$19*AL15</f>
        <v>69073.5477828054</v>
      </c>
      <c r="AM81" s="16" t="n">
        <f aca="false">CADASTRO_TRECHOS_CANAL!$C$19*AM8+CADASTRO_TRECHOS_CANAL!$D$19*AM9+CADASTRO_TRECHOS_CANAL!$E$19*AM10+CADASTRO_TRECHOS_CANAL!$F$19*AM11+CADASTRO_TRECHOS_CANAL!$G$19*AM12+CADASTRO_TRECHOS_CANAL!$H$19*AM13+CADASTRO_TRECHOS_CANAL!$I$19*AM14+CADASTRO_TRECHOS_CANAL!$J$19*AM15</f>
        <v>66633.1704072398</v>
      </c>
      <c r="AN81" s="16" t="n">
        <f aca="false">CADASTRO_TRECHOS_CANAL!$C$19*AN8+CADASTRO_TRECHOS_CANAL!$D$19*AN9+CADASTRO_TRECHOS_CANAL!$E$19*AN10+CADASTRO_TRECHOS_CANAL!$F$19*AN11+CADASTRO_TRECHOS_CANAL!$G$19*AN12+CADASTRO_TRECHOS_CANAL!$H$19*AN13+CADASTRO_TRECHOS_CANAL!$I$19*AN14+CADASTRO_TRECHOS_CANAL!$J$19*AN15</f>
        <v>64192.7930316742</v>
      </c>
      <c r="AO81" s="16" t="n">
        <f aca="false">CADASTRO_TRECHOS_CANAL!$C$19*AO8+CADASTRO_TRECHOS_CANAL!$D$19*AO9+CADASTRO_TRECHOS_CANAL!$E$19*AO10+CADASTRO_TRECHOS_CANAL!$F$19*AO11+CADASTRO_TRECHOS_CANAL!$G$19*AO12+CADASTRO_TRECHOS_CANAL!$H$19*AO13+CADASTRO_TRECHOS_CANAL!$I$19*AO14+CADASTRO_TRECHOS_CANAL!$J$19*AO15</f>
        <v>61752.4156561086</v>
      </c>
      <c r="AP81" s="16" t="n">
        <f aca="false">CADASTRO_TRECHOS_CANAL!$C$19*AP8+CADASTRO_TRECHOS_CANAL!$D$19*AP9+CADASTRO_TRECHOS_CANAL!$E$19*AP10+CADASTRO_TRECHOS_CANAL!$F$19*AP11+CADASTRO_TRECHOS_CANAL!$G$19*AP12+CADASTRO_TRECHOS_CANAL!$H$19*AP13+CADASTRO_TRECHOS_CANAL!$I$19*AP14+CADASTRO_TRECHOS_CANAL!$J$19*AP15</f>
        <v>60144.703800905</v>
      </c>
      <c r="AQ81" s="16" t="n">
        <f aca="false">CADASTRO_TRECHOS_CANAL!$C$19*AQ8+CADASTRO_TRECHOS_CANAL!$D$19*AQ9+CADASTRO_TRECHOS_CANAL!$E$19*AQ10+CADASTRO_TRECHOS_CANAL!$F$19*AQ11+CADASTRO_TRECHOS_CANAL!$G$19*AQ12+CADASTRO_TRECHOS_CANAL!$H$19*AQ13+CADASTRO_TRECHOS_CANAL!$I$19*AQ14+CADASTRO_TRECHOS_CANAL!$J$19*AQ15</f>
        <v>57959.3124585219</v>
      </c>
      <c r="AR81" s="16" t="n">
        <f aca="false">CADASTRO_TRECHOS_CANAL!$C$19*AR8+CADASTRO_TRECHOS_CANAL!$D$19*AR9+CADASTRO_TRECHOS_CANAL!$E$19*AR10+CADASTRO_TRECHOS_CANAL!$F$19*AR11+CADASTRO_TRECHOS_CANAL!$G$19*AR12+CADASTRO_TRECHOS_CANAL!$H$19*AR13+CADASTRO_TRECHOS_CANAL!$I$19*AR14+CADASTRO_TRECHOS_CANAL!$J$19*AR15</f>
        <v>55635.1435294118</v>
      </c>
      <c r="AS81" s="16" t="n">
        <f aca="false">CADASTRO_TRECHOS_CANAL!$C$19*AS8+CADASTRO_TRECHOS_CANAL!$D$19*AS9+CADASTRO_TRECHOS_CANAL!$E$19*AS10+CADASTRO_TRECHOS_CANAL!$F$19*AS11+CADASTRO_TRECHOS_CANAL!$G$19*AS12+CADASTRO_TRECHOS_CANAL!$H$19*AS13+CADASTRO_TRECHOS_CANAL!$I$19*AS14+CADASTRO_TRECHOS_CANAL!$J$19*AS15</f>
        <v>35359.2916078431</v>
      </c>
      <c r="AT81" s="16" t="n">
        <f aca="false">CADASTRO_TRECHOS_CANAL!$C$19*AT8+CADASTRO_TRECHOS_CANAL!$D$19*AT9+CADASTRO_TRECHOS_CANAL!$E$19*AT10+CADASTRO_TRECHOS_CANAL!$F$19*AT11+CADASTRO_TRECHOS_CANAL!$G$19*AT12+CADASTRO_TRECHOS_CANAL!$H$19*AT13+CADASTRO_TRECHOS_CANAL!$I$19*AT14+CADASTRO_TRECHOS_CANAL!$J$19*AT15</f>
        <v>34231.6316862745</v>
      </c>
      <c r="AU81" s="16" t="n">
        <f aca="false">CADASTRO_TRECHOS_CANAL!$C$19*AU8+CADASTRO_TRECHOS_CANAL!$D$19*AU9+CADASTRO_TRECHOS_CANAL!$E$19*AU10+CADASTRO_TRECHOS_CANAL!$F$19*AU11+CADASTRO_TRECHOS_CANAL!$G$19*AU12+CADASTRO_TRECHOS_CANAL!$H$19*AU13+CADASTRO_TRECHOS_CANAL!$I$19*AU14+CADASTRO_TRECHOS_CANAL!$J$19*AU15</f>
        <v>32464.5349411765</v>
      </c>
      <c r="AV81" s="16" t="n">
        <f aca="false">CADASTRO_TRECHOS_CANAL!$C$19*AV8+CADASTRO_TRECHOS_CANAL!$D$19*AV9+CADASTRO_TRECHOS_CANAL!$E$19*AV10+CADASTRO_TRECHOS_CANAL!$F$19*AV11+CADASTRO_TRECHOS_CANAL!$G$19*AV12+CADASTRO_TRECHOS_CANAL!$H$19*AV13+CADASTRO_TRECHOS_CANAL!$I$19*AV14+CADASTRO_TRECHOS_CANAL!$J$19*AV15</f>
        <v>29416.9866666667</v>
      </c>
      <c r="AW81" s="16" t="n">
        <f aca="false">CADASTRO_TRECHOS_CANAL!$C$19*AW8+CADASTRO_TRECHOS_CANAL!$D$19*AW9+CADASTRO_TRECHOS_CANAL!$E$19*AW10+CADASTRO_TRECHOS_CANAL!$F$19*AW11+CADASTRO_TRECHOS_CANAL!$G$19*AW12+CADASTRO_TRECHOS_CANAL!$H$19*AW13+CADASTRO_TRECHOS_CANAL!$I$19*AW14+CADASTRO_TRECHOS_CANAL!$J$19*AW15</f>
        <v>26369.4383921569</v>
      </c>
      <c r="AX81" s="16" t="n">
        <f aca="false">CADASTRO_TRECHOS_CANAL!$C$19*AX8+CADASTRO_TRECHOS_CANAL!$D$19*AX9+CADASTRO_TRECHOS_CANAL!$E$19*AX10+CADASTRO_TRECHOS_CANAL!$F$19*AX11+CADASTRO_TRECHOS_CANAL!$G$19*AX12+CADASTRO_TRECHOS_CANAL!$H$19*AX13+CADASTRO_TRECHOS_CANAL!$I$19*AX14+CADASTRO_TRECHOS_CANAL!$J$19*AX15</f>
        <v>23982.2338823529</v>
      </c>
      <c r="AY81" s="16" t="n">
        <f aca="false">CADASTRO_TRECHOS_CANAL!$C$19*AY8+CADASTRO_TRECHOS_CANAL!$D$19*AY9+CADASTRO_TRECHOS_CANAL!$E$19*AY10+CADASTRO_TRECHOS_CANAL!$F$19*AY11+CADASTRO_TRECHOS_CANAL!$G$19*AY12+CADASTRO_TRECHOS_CANAL!$H$19*AY13+CADASTRO_TRECHOS_CANAL!$I$19*AY14+CADASTRO_TRECHOS_CANAL!$J$19*AY15</f>
        <v>0</v>
      </c>
      <c r="AZ81" s="16" t="n">
        <f aca="false">CADASTRO_TRECHOS_CANAL!$C$19*AZ8+CADASTRO_TRECHOS_CANAL!$D$19*AZ9+CADASTRO_TRECHOS_CANAL!$E$19*AZ10+CADASTRO_TRECHOS_CANAL!$F$19*AZ11+CADASTRO_TRECHOS_CANAL!$G$19*AZ12+CADASTRO_TRECHOS_CANAL!$H$19*AZ13+CADASTRO_TRECHOS_CANAL!$I$19*AZ14+CADASTRO_TRECHOS_CANAL!$J$19*AZ15</f>
        <v>0</v>
      </c>
      <c r="BA81" s="16" t="n">
        <f aca="false">CADASTRO_TRECHOS_CANAL!$C$19*BA8+CADASTRO_TRECHOS_CANAL!$D$19*BA9+CADASTRO_TRECHOS_CANAL!$E$19*BA10+CADASTRO_TRECHOS_CANAL!$F$19*BA11+CADASTRO_TRECHOS_CANAL!$G$19*BA12+CADASTRO_TRECHOS_CANAL!$H$19*BA13+CADASTRO_TRECHOS_CANAL!$I$19*BA14+CADASTRO_TRECHOS_CANAL!$J$19*BA15</f>
        <v>0</v>
      </c>
      <c r="BB81" s="16" t="n">
        <f aca="false">CADASTRO_TRECHOS_CANAL!$C$19*BB8+CADASTRO_TRECHOS_CANAL!$D$19*BB9+CADASTRO_TRECHOS_CANAL!$E$19*BB10+CADASTRO_TRECHOS_CANAL!$F$19*BB11+CADASTRO_TRECHOS_CANAL!$G$19*BB12+CADASTRO_TRECHOS_CANAL!$H$19*BB13+CADASTRO_TRECHOS_CANAL!$I$19*BB14+CADASTRO_TRECHOS_CANAL!$J$19*BB15</f>
        <v>0</v>
      </c>
      <c r="BC81" s="16" t="n">
        <f aca="false">CADASTRO_TRECHOS_CANAL!$C$19*BC8+CADASTRO_TRECHOS_CANAL!$D$19*BC9+CADASTRO_TRECHOS_CANAL!$E$19*BC10+CADASTRO_TRECHOS_CANAL!$F$19*BC11+CADASTRO_TRECHOS_CANAL!$G$19*BC12+CADASTRO_TRECHOS_CANAL!$H$19*BC13+CADASTRO_TRECHOS_CANAL!$I$19*BC14+CADASTRO_TRECHOS_CANAL!$J$19*BC15</f>
        <v>0</v>
      </c>
      <c r="BD81" s="16" t="n">
        <f aca="false">CADASTRO_TRECHOS_CANAL!$C$19*BD8+CADASTRO_TRECHOS_CANAL!$D$19*BD9+CADASTRO_TRECHOS_CANAL!$E$19*BD10+CADASTRO_TRECHOS_CANAL!$F$19*BD11+CADASTRO_TRECHOS_CANAL!$G$19*BD12+CADASTRO_TRECHOS_CANAL!$H$19*BD13+CADASTRO_TRECHOS_CANAL!$I$19*BD14+CADASTRO_TRECHOS_CANAL!$J$19*BD15</f>
        <v>0</v>
      </c>
      <c r="BE81" s="16" t="n">
        <f aca="false">CADASTRO_TRECHOS_CANAL!$C$19*BE8+CADASTRO_TRECHOS_CANAL!$D$19*BE9+CADASTRO_TRECHOS_CANAL!$E$19*BE10+CADASTRO_TRECHOS_CANAL!$F$19*BE11+CADASTRO_TRECHOS_CANAL!$G$19*BE12+CADASTRO_TRECHOS_CANAL!$H$19*BE13+CADASTRO_TRECHOS_CANAL!$I$19*BE14+CADASTRO_TRECHOS_CANAL!$J$19*BE15</f>
        <v>0</v>
      </c>
      <c r="BF81" s="16" t="n">
        <f aca="false">CADASTRO_TRECHOS_CANAL!$C$19*BF8+CADASTRO_TRECHOS_CANAL!$D$19*BF9+CADASTRO_TRECHOS_CANAL!$E$19*BF10+CADASTRO_TRECHOS_CANAL!$F$19*BF11+CADASTRO_TRECHOS_CANAL!$G$19*BF12+CADASTRO_TRECHOS_CANAL!$H$19*BF13+CADASTRO_TRECHOS_CANAL!$I$19*BF14+CADASTRO_TRECHOS_CANAL!$J$19*BF15</f>
        <v>0</v>
      </c>
      <c r="BG81" s="16" t="n">
        <f aca="false">CADASTRO_TRECHOS_CANAL!$C$19*BG8+CADASTRO_TRECHOS_CANAL!$D$19*BG9+CADASTRO_TRECHOS_CANAL!$E$19*BG10+CADASTRO_TRECHOS_CANAL!$F$19*BG11+CADASTRO_TRECHOS_CANAL!$G$19*BG12+CADASTRO_TRECHOS_CANAL!$H$19*BG13+CADASTRO_TRECHOS_CANAL!$I$19*BG14+CADASTRO_TRECHOS_CANAL!$J$19*BG15</f>
        <v>0</v>
      </c>
      <c r="BH81" s="16" t="n">
        <f aca="false">CADASTRO_TRECHOS_CANAL!$C$19*BH8+CADASTRO_TRECHOS_CANAL!$D$19*BH9+CADASTRO_TRECHOS_CANAL!$E$19*BH10+CADASTRO_TRECHOS_CANAL!$F$19*BH11+CADASTRO_TRECHOS_CANAL!$G$19*BH12+CADASTRO_TRECHOS_CANAL!$H$19*BH13+CADASTRO_TRECHOS_CANAL!$I$19*BH14+CADASTRO_TRECHOS_CANAL!$J$19*BH15</f>
        <v>0</v>
      </c>
      <c r="BI81" s="16" t="n">
        <f aca="false">CADASTRO_TRECHOS_CANAL!$C$19*BI8+CADASTRO_TRECHOS_CANAL!$D$19*BI9+CADASTRO_TRECHOS_CANAL!$E$19*BI10+CADASTRO_TRECHOS_CANAL!$F$19*BI11+CADASTRO_TRECHOS_CANAL!$G$19*BI12+CADASTRO_TRECHOS_CANAL!$H$19*BI13+CADASTRO_TRECHOS_CANAL!$I$19*BI14+CADASTRO_TRECHOS_CANAL!$J$19*BI15</f>
        <v>0</v>
      </c>
      <c r="BJ81" s="16" t="n">
        <f aca="false">CADASTRO_TRECHOS_CANAL!$C$19*BJ8+CADASTRO_TRECHOS_CANAL!$D$19*BJ9+CADASTRO_TRECHOS_CANAL!$E$19*BJ10+CADASTRO_TRECHOS_CANAL!$F$19*BJ11+CADASTRO_TRECHOS_CANAL!$G$19*BJ12+CADASTRO_TRECHOS_CANAL!$H$19*BJ13+CADASTRO_TRECHOS_CANAL!$I$19*BJ14+CADASTRO_TRECHOS_CANAL!$J$19*BJ15</f>
        <v>0</v>
      </c>
      <c r="BK81" s="16" t="n">
        <f aca="false">CADASTRO_TRECHOS_CANAL!$C$19*BK8+CADASTRO_TRECHOS_CANAL!$D$19*BK9+CADASTRO_TRECHOS_CANAL!$E$19*BK10+CADASTRO_TRECHOS_CANAL!$F$19*BK11+CADASTRO_TRECHOS_CANAL!$G$19*BK12+CADASTRO_TRECHOS_CANAL!$H$19*BK13+CADASTRO_TRECHOS_CANAL!$I$19*BK14+CADASTRO_TRECHOS_CANAL!$J$19*BK15</f>
        <v>0</v>
      </c>
      <c r="BL81" s="16" t="n">
        <f aca="false">CADASTRO_TRECHOS_CANAL!$C$19*BL8+CADASTRO_TRECHOS_CANAL!$D$19*BL9+CADASTRO_TRECHOS_CANAL!$E$19*BL10+CADASTRO_TRECHOS_CANAL!$F$19*BL11+CADASTRO_TRECHOS_CANAL!$G$19*BL12+CADASTRO_TRECHOS_CANAL!$H$19*BL13+CADASTRO_TRECHOS_CANAL!$I$19*BL14+CADASTRO_TRECHOS_CANAL!$J$19*BL15</f>
        <v>0</v>
      </c>
      <c r="BM81" s="16" t="n">
        <f aca="false">CADASTRO_TRECHOS_CANAL!$C$19*BM8+CADASTRO_TRECHOS_CANAL!$D$19*BM9+CADASTRO_TRECHOS_CANAL!$E$19*BM10+CADASTRO_TRECHOS_CANAL!$F$19*BM11+CADASTRO_TRECHOS_CANAL!$G$19*BM12+CADASTRO_TRECHOS_CANAL!$H$19*BM13+CADASTRO_TRECHOS_CANAL!$I$19*BM14+CADASTRO_TRECHOS_CANAL!$J$19*BM15</f>
        <v>0</v>
      </c>
      <c r="BN81" s="16" t="n">
        <f aca="false">CADASTRO_TRECHOS_CANAL!$C$19*BN8+CADASTRO_TRECHOS_CANAL!$D$19*BN9+CADASTRO_TRECHOS_CANAL!$E$19*BN10+CADASTRO_TRECHOS_CANAL!$F$19*BN11+CADASTRO_TRECHOS_CANAL!$G$19*BN12+CADASTRO_TRECHOS_CANAL!$H$19*BN13+CADASTRO_TRECHOS_CANAL!$I$19*BN14+CADASTRO_TRECHOS_CANAL!$J$19*BN15</f>
        <v>0</v>
      </c>
      <c r="BO81" s="16" t="n">
        <f aca="false">CADASTRO_TRECHOS_CANAL!$C$19*BO8+CADASTRO_TRECHOS_CANAL!$D$19*BO9+CADASTRO_TRECHOS_CANAL!$E$19*BO10+CADASTRO_TRECHOS_CANAL!$F$19*BO11+CADASTRO_TRECHOS_CANAL!$G$19*BO12+CADASTRO_TRECHOS_CANAL!$H$19*BO13+CADASTRO_TRECHOS_CANAL!$I$19*BO14+CADASTRO_TRECHOS_CANAL!$J$19*BO15</f>
        <v>0</v>
      </c>
      <c r="BP81" s="16" t="n">
        <f aca="false">CADASTRO_TRECHOS_CANAL!$C$19*BP8+CADASTRO_TRECHOS_CANAL!$D$19*BP9+CADASTRO_TRECHOS_CANAL!$E$19*BP10+CADASTRO_TRECHOS_CANAL!$F$19*BP11+CADASTRO_TRECHOS_CANAL!$G$19*BP12+CADASTRO_TRECHOS_CANAL!$H$19*BP13+CADASTRO_TRECHOS_CANAL!$I$19*BP14+CADASTRO_TRECHOS_CANAL!$J$19*BP15</f>
        <v>0</v>
      </c>
      <c r="BQ81" s="16" t="n">
        <f aca="false">SUM(C81:BP81)</f>
        <v>932230.253690536</v>
      </c>
    </row>
    <row r="82" customFormat="false" ht="15" hidden="false" customHeight="false" outlineLevel="0" collapsed="false">
      <c r="B82" s="15" t="s">
        <v>173</v>
      </c>
      <c r="C82" s="16" t="n">
        <f aca="false">CADASTRO_TRECHOS_CANAL!$C$20*C8+CADASTRO_TRECHOS_CANAL!$D$20*C9+CADASTRO_TRECHOS_CANAL!$E$20*C10+CADASTRO_TRECHOS_CANAL!$F$20*C11+CADASTRO_TRECHOS_CANAL!$G$20*C12+CADASTRO_TRECHOS_CANAL!$H$20*C13+CADASTRO_TRECHOS_CANAL!$I$20*C14+CADASTRO_TRECHOS_CANAL!$J$20*C15</f>
        <v>0</v>
      </c>
      <c r="D82" s="16" t="n">
        <f aca="false">CADASTRO_TRECHOS_CANAL!$C$20*D8+CADASTRO_TRECHOS_CANAL!$D$20*D9+CADASTRO_TRECHOS_CANAL!$E$20*D10+CADASTRO_TRECHOS_CANAL!$F$20*D11+CADASTRO_TRECHOS_CANAL!$G$20*D12+CADASTRO_TRECHOS_CANAL!$H$20*D13+CADASTRO_TRECHOS_CANAL!$I$20*D14+CADASTRO_TRECHOS_CANAL!$J$20*D15</f>
        <v>0</v>
      </c>
      <c r="E82" s="16" t="n">
        <f aca="false">CADASTRO_TRECHOS_CANAL!$C$20*E8+CADASTRO_TRECHOS_CANAL!$D$20*E9+CADASTRO_TRECHOS_CANAL!$E$20*E10+CADASTRO_TRECHOS_CANAL!$F$20*E11+CADASTRO_TRECHOS_CANAL!$G$20*E12+CADASTRO_TRECHOS_CANAL!$H$20*E13+CADASTRO_TRECHOS_CANAL!$I$20*E14+CADASTRO_TRECHOS_CANAL!$J$20*E15</f>
        <v>0</v>
      </c>
      <c r="F82" s="16" t="n">
        <f aca="false">CADASTRO_TRECHOS_CANAL!$C$20*F8+CADASTRO_TRECHOS_CANAL!$D$20*F9+CADASTRO_TRECHOS_CANAL!$E$20*F10+CADASTRO_TRECHOS_CANAL!$F$20*F11+CADASTRO_TRECHOS_CANAL!$G$20*F12+CADASTRO_TRECHOS_CANAL!$H$20*F13+CADASTRO_TRECHOS_CANAL!$I$20*F14+CADASTRO_TRECHOS_CANAL!$J$20*F15</f>
        <v>0</v>
      </c>
      <c r="G82" s="16" t="n">
        <f aca="false">CADASTRO_TRECHOS_CANAL!$C$20*G8+CADASTRO_TRECHOS_CANAL!$D$20*G9+CADASTRO_TRECHOS_CANAL!$E$20*G10+CADASTRO_TRECHOS_CANAL!$F$20*G11+CADASTRO_TRECHOS_CANAL!$G$20*G12+CADASTRO_TRECHOS_CANAL!$H$20*G13+CADASTRO_TRECHOS_CANAL!$I$20*G14+CADASTRO_TRECHOS_CANAL!$J$20*G15</f>
        <v>2643.27152941176</v>
      </c>
      <c r="H82" s="16" t="n">
        <f aca="false">CADASTRO_TRECHOS_CANAL!$C$20*H8+CADASTRO_TRECHOS_CANAL!$D$20*H9+CADASTRO_TRECHOS_CANAL!$E$20*H10+CADASTRO_TRECHOS_CANAL!$F$20*H11+CADASTRO_TRECHOS_CANAL!$G$20*H12+CADASTRO_TRECHOS_CANAL!$H$20*H13+CADASTRO_TRECHOS_CANAL!$I$20*H14+CADASTRO_TRECHOS_CANAL!$J$20*H15</f>
        <v>0</v>
      </c>
      <c r="I82" s="16" t="n">
        <f aca="false">CADASTRO_TRECHOS_CANAL!$C$20*I8+CADASTRO_TRECHOS_CANAL!$D$20*I9+CADASTRO_TRECHOS_CANAL!$E$20*I10+CADASTRO_TRECHOS_CANAL!$F$20*I11+CADASTRO_TRECHOS_CANAL!$G$20*I12+CADASTRO_TRECHOS_CANAL!$H$20*I13+CADASTRO_TRECHOS_CANAL!$I$20*I14+CADASTRO_TRECHOS_CANAL!$J$20*I15</f>
        <v>0</v>
      </c>
      <c r="J82" s="16" t="n">
        <f aca="false">CADASTRO_TRECHOS_CANAL!$C$20*J8+CADASTRO_TRECHOS_CANAL!$D$20*J9+CADASTRO_TRECHOS_CANAL!$E$20*J10+CADASTRO_TRECHOS_CANAL!$F$20*J11+CADASTRO_TRECHOS_CANAL!$G$20*J12+CADASTRO_TRECHOS_CANAL!$H$20*J13+CADASTRO_TRECHOS_CANAL!$I$20*J14+CADASTRO_TRECHOS_CANAL!$J$20*J15</f>
        <v>542.087695025542</v>
      </c>
      <c r="K82" s="16" t="n">
        <f aca="false">CADASTRO_TRECHOS_CANAL!$C$20*K8+CADASTRO_TRECHOS_CANAL!$D$20*K9+CADASTRO_TRECHOS_CANAL!$E$20*K10+CADASTRO_TRECHOS_CANAL!$F$20*K11+CADASTRO_TRECHOS_CANAL!$G$20*K12+CADASTRO_TRECHOS_CANAL!$H$20*K13+CADASTRO_TRECHOS_CANAL!$I$20*K14+CADASTRO_TRECHOS_CANAL!$J$20*K15</f>
        <v>12201.1742158828</v>
      </c>
      <c r="L82" s="16" t="n">
        <f aca="false">CADASTRO_TRECHOS_CANAL!$C$20*L8+CADASTRO_TRECHOS_CANAL!$D$20*L9+CADASTRO_TRECHOS_CANAL!$E$20*L10+CADASTRO_TRECHOS_CANAL!$F$20*L11+CADASTRO_TRECHOS_CANAL!$G$20*L12+CADASTRO_TRECHOS_CANAL!$H$20*L13+CADASTRO_TRECHOS_CANAL!$I$20*L14+CADASTRO_TRECHOS_CANAL!$J$20*L15</f>
        <v>0</v>
      </c>
      <c r="M82" s="16" t="n">
        <f aca="false">CADASTRO_TRECHOS_CANAL!$C$20*M8+CADASTRO_TRECHOS_CANAL!$D$20*M9+CADASTRO_TRECHOS_CANAL!$E$20*M10+CADASTRO_TRECHOS_CANAL!$F$20*M11+CADASTRO_TRECHOS_CANAL!$G$20*M12+CADASTRO_TRECHOS_CANAL!$H$20*M13+CADASTRO_TRECHOS_CANAL!$I$20*M14+CADASTRO_TRECHOS_CANAL!$J$20*M15</f>
        <v>4598.93885139783</v>
      </c>
      <c r="N82" s="16" t="n">
        <f aca="false">CADASTRO_TRECHOS_CANAL!$C$20*N8+CADASTRO_TRECHOS_CANAL!$D$20*N9+CADASTRO_TRECHOS_CANAL!$E$20*N10+CADASTRO_TRECHOS_CANAL!$F$20*N11+CADASTRO_TRECHOS_CANAL!$G$20*N12+CADASTRO_TRECHOS_CANAL!$H$20*N13+CADASTRO_TRECHOS_CANAL!$I$20*N14+CADASTRO_TRECHOS_CANAL!$J$20*N15</f>
        <v>4870.04164705882</v>
      </c>
      <c r="O82" s="16" t="n">
        <f aca="false">CADASTRO_TRECHOS_CANAL!$C$20*O8+CADASTRO_TRECHOS_CANAL!$D$20*O9+CADASTRO_TRECHOS_CANAL!$E$20*O10+CADASTRO_TRECHOS_CANAL!$F$20*O11+CADASTRO_TRECHOS_CANAL!$G$20*O12+CADASTRO_TRECHOS_CANAL!$H$20*O13+CADASTRO_TRECHOS_CANAL!$I$20*O14+CADASTRO_TRECHOS_CANAL!$J$20*O15</f>
        <v>4870.04164705882</v>
      </c>
      <c r="P82" s="16" t="n">
        <f aca="false">CADASTRO_TRECHOS_CANAL!$C$20*P8+CADASTRO_TRECHOS_CANAL!$D$20*P9+CADASTRO_TRECHOS_CANAL!$E$20*P10+CADASTRO_TRECHOS_CANAL!$F$20*P11+CADASTRO_TRECHOS_CANAL!$G$20*P12+CADASTRO_TRECHOS_CANAL!$H$20*P13+CADASTRO_TRECHOS_CANAL!$I$20*P14+CADASTRO_TRECHOS_CANAL!$J$20*P15</f>
        <v>0</v>
      </c>
      <c r="Q82" s="16" t="n">
        <f aca="false">CADASTRO_TRECHOS_CANAL!$C$20*Q8+CADASTRO_TRECHOS_CANAL!$D$20*Q9+CADASTRO_TRECHOS_CANAL!$E$20*Q10+CADASTRO_TRECHOS_CANAL!$F$20*Q11+CADASTRO_TRECHOS_CANAL!$G$20*Q12+CADASTRO_TRECHOS_CANAL!$H$20*Q13+CADASTRO_TRECHOS_CANAL!$I$20*Q14+CADASTRO_TRECHOS_CANAL!$J$20*Q15</f>
        <v>0</v>
      </c>
      <c r="R82" s="16" t="n">
        <f aca="false">CADASTRO_TRECHOS_CANAL!$C$20*R8+CADASTRO_TRECHOS_CANAL!$D$20*R9+CADASTRO_TRECHOS_CANAL!$E$20*R10+CADASTRO_TRECHOS_CANAL!$F$20*R11+CADASTRO_TRECHOS_CANAL!$G$20*R12+CADASTRO_TRECHOS_CANAL!$H$20*R13+CADASTRO_TRECHOS_CANAL!$I$20*R14+CADASTRO_TRECHOS_CANAL!$J$20*R15</f>
        <v>0</v>
      </c>
      <c r="S82" s="16" t="n">
        <f aca="false">CADASTRO_TRECHOS_CANAL!$C$20*S8+CADASTRO_TRECHOS_CANAL!$D$20*S9+CADASTRO_TRECHOS_CANAL!$E$20*S10+CADASTRO_TRECHOS_CANAL!$F$20*S11+CADASTRO_TRECHOS_CANAL!$G$20*S12+CADASTRO_TRECHOS_CANAL!$H$20*S13+CADASTRO_TRECHOS_CANAL!$I$20*S14+CADASTRO_TRECHOS_CANAL!$J$20*S15</f>
        <v>0</v>
      </c>
      <c r="T82" s="16" t="n">
        <f aca="false">CADASTRO_TRECHOS_CANAL!$C$20*T8+CADASTRO_TRECHOS_CANAL!$D$20*T9+CADASTRO_TRECHOS_CANAL!$E$20*T10+CADASTRO_TRECHOS_CANAL!$F$20*T11+CADASTRO_TRECHOS_CANAL!$G$20*T12+CADASTRO_TRECHOS_CANAL!$H$20*T13+CADASTRO_TRECHOS_CANAL!$I$20*T14+CADASTRO_TRECHOS_CANAL!$J$20*T15</f>
        <v>530.509340450525</v>
      </c>
      <c r="U82" s="16" t="n">
        <f aca="false">CADASTRO_TRECHOS_CANAL!$C$20*U8+CADASTRO_TRECHOS_CANAL!$D$20*U9+CADASTRO_TRECHOS_CANAL!$E$20*U10+CADASTRO_TRECHOS_CANAL!$F$20*U11+CADASTRO_TRECHOS_CANAL!$G$20*U12+CADASTRO_TRECHOS_CANAL!$H$20*U13+CADASTRO_TRECHOS_CANAL!$I$20*U14+CADASTRO_TRECHOS_CANAL!$J$20*U15</f>
        <v>0</v>
      </c>
      <c r="V82" s="16" t="n">
        <f aca="false">CADASTRO_TRECHOS_CANAL!$C$20*V8+CADASTRO_TRECHOS_CANAL!$D$20*V9+CADASTRO_TRECHOS_CANAL!$E$20*V10+CADASTRO_TRECHOS_CANAL!$F$20*V11+CADASTRO_TRECHOS_CANAL!$G$20*V12+CADASTRO_TRECHOS_CANAL!$H$20*V13+CADASTRO_TRECHOS_CANAL!$I$20*V14+CADASTRO_TRECHOS_CANAL!$J$20*V15</f>
        <v>0</v>
      </c>
      <c r="W82" s="16" t="n">
        <f aca="false">CADASTRO_TRECHOS_CANAL!$C$20*W8+CADASTRO_TRECHOS_CANAL!$D$20*W9+CADASTRO_TRECHOS_CANAL!$E$20*W10+CADASTRO_TRECHOS_CANAL!$F$20*W11+CADASTRO_TRECHOS_CANAL!$G$20*W12+CADASTRO_TRECHOS_CANAL!$H$20*W13+CADASTRO_TRECHOS_CANAL!$I$20*W14+CADASTRO_TRECHOS_CANAL!$J$20*W15</f>
        <v>0</v>
      </c>
      <c r="X82" s="16" t="n">
        <f aca="false">CADASTRO_TRECHOS_CANAL!$C$20*X8+CADASTRO_TRECHOS_CANAL!$D$20*X9+CADASTRO_TRECHOS_CANAL!$E$20*X10+CADASTRO_TRECHOS_CANAL!$F$20*X11+CADASTRO_TRECHOS_CANAL!$G$20*X12+CADASTRO_TRECHOS_CANAL!$H$20*X13+CADASTRO_TRECHOS_CANAL!$I$20*X14+CADASTRO_TRECHOS_CANAL!$J$20*X15</f>
        <v>0</v>
      </c>
      <c r="Y82" s="16" t="n">
        <f aca="false">CADASTRO_TRECHOS_CANAL!$C$20*Y8+CADASTRO_TRECHOS_CANAL!$D$20*Y9+CADASTRO_TRECHOS_CANAL!$E$20*Y10+CADASTRO_TRECHOS_CANAL!$F$20*Y11+CADASTRO_TRECHOS_CANAL!$G$20*Y12+CADASTRO_TRECHOS_CANAL!$H$20*Y13+CADASTRO_TRECHOS_CANAL!$I$20*Y14+CADASTRO_TRECHOS_CANAL!$J$20*Y15</f>
        <v>0</v>
      </c>
      <c r="Z82" s="16" t="n">
        <f aca="false">CADASTRO_TRECHOS_CANAL!$C$20*Z8+CADASTRO_TRECHOS_CANAL!$D$20*Z9+CADASTRO_TRECHOS_CANAL!$E$20*Z10+CADASTRO_TRECHOS_CANAL!$F$20*Z11+CADASTRO_TRECHOS_CANAL!$G$20*Z12+CADASTRO_TRECHOS_CANAL!$H$20*Z13+CADASTRO_TRECHOS_CANAL!$I$20*Z14+CADASTRO_TRECHOS_CANAL!$J$20*Z15</f>
        <v>0</v>
      </c>
      <c r="AA82" s="16" t="n">
        <f aca="false">CADASTRO_TRECHOS_CANAL!$C$20*AA8+CADASTRO_TRECHOS_CANAL!$D$20*AA9+CADASTRO_TRECHOS_CANAL!$E$20*AA10+CADASTRO_TRECHOS_CANAL!$F$20*AA11+CADASTRO_TRECHOS_CANAL!$G$20*AA12+CADASTRO_TRECHOS_CANAL!$H$20*AA13+CADASTRO_TRECHOS_CANAL!$I$20*AA14+CADASTRO_TRECHOS_CANAL!$J$20*AA15</f>
        <v>0</v>
      </c>
      <c r="AB82" s="16" t="n">
        <f aca="false">CADASTRO_TRECHOS_CANAL!$C$20*AB8+CADASTRO_TRECHOS_CANAL!$D$20*AB9+CADASTRO_TRECHOS_CANAL!$E$20*AB10+CADASTRO_TRECHOS_CANAL!$F$20*AB11+CADASTRO_TRECHOS_CANAL!$G$20*AB12+CADASTRO_TRECHOS_CANAL!$H$20*AB13+CADASTRO_TRECHOS_CANAL!$I$20*AB14+CADASTRO_TRECHOS_CANAL!$J$20*AB15</f>
        <v>0</v>
      </c>
      <c r="AC82" s="16" t="n">
        <f aca="false">CADASTRO_TRECHOS_CANAL!$C$20*AC8+CADASTRO_TRECHOS_CANAL!$D$20*AC9+CADASTRO_TRECHOS_CANAL!$E$20*AC10+CADASTRO_TRECHOS_CANAL!$F$20*AC11+CADASTRO_TRECHOS_CANAL!$G$20*AC12+CADASTRO_TRECHOS_CANAL!$H$20*AC13+CADASTRO_TRECHOS_CANAL!$I$20*AC14+CADASTRO_TRECHOS_CANAL!$J$20*AC15</f>
        <v>0</v>
      </c>
      <c r="AD82" s="16" t="n">
        <f aca="false">CADASTRO_TRECHOS_CANAL!$C$20*AD8+CADASTRO_TRECHOS_CANAL!$D$20*AD9+CADASTRO_TRECHOS_CANAL!$E$20*AD10+CADASTRO_TRECHOS_CANAL!$F$20*AD11+CADASTRO_TRECHOS_CANAL!$G$20*AD12+CADASTRO_TRECHOS_CANAL!$H$20*AD13+CADASTRO_TRECHOS_CANAL!$I$20*AD14+CADASTRO_TRECHOS_CANAL!$J$20*AD15</f>
        <v>0</v>
      </c>
      <c r="AE82" s="16" t="n">
        <f aca="false">CADASTRO_TRECHOS_CANAL!$C$20*AE8+CADASTRO_TRECHOS_CANAL!$D$20*AE9+CADASTRO_TRECHOS_CANAL!$E$20*AE10+CADASTRO_TRECHOS_CANAL!$F$20*AE11+CADASTRO_TRECHOS_CANAL!$G$20*AE12+CADASTRO_TRECHOS_CANAL!$H$20*AE13+CADASTRO_TRECHOS_CANAL!$I$20*AE14+CADASTRO_TRECHOS_CANAL!$J$20*AE15</f>
        <v>0</v>
      </c>
      <c r="AF82" s="16" t="n">
        <f aca="false">CADASTRO_TRECHOS_CANAL!$C$20*AF8+CADASTRO_TRECHOS_CANAL!$D$20*AF9+CADASTRO_TRECHOS_CANAL!$E$20*AF10+CADASTRO_TRECHOS_CANAL!$F$20*AF11+CADASTRO_TRECHOS_CANAL!$G$20*AF12+CADASTRO_TRECHOS_CANAL!$H$20*AF13+CADASTRO_TRECHOS_CANAL!$I$20*AF14+CADASTRO_TRECHOS_CANAL!$J$20*AF15</f>
        <v>0</v>
      </c>
      <c r="AG82" s="16" t="n">
        <f aca="false">CADASTRO_TRECHOS_CANAL!$C$20*AG8+CADASTRO_TRECHOS_CANAL!$D$20*AG9+CADASTRO_TRECHOS_CANAL!$E$20*AG10+CADASTRO_TRECHOS_CANAL!$F$20*AG11+CADASTRO_TRECHOS_CANAL!$G$20*AG12+CADASTRO_TRECHOS_CANAL!$H$20*AG13+CADASTRO_TRECHOS_CANAL!$I$20*AG14+CADASTRO_TRECHOS_CANAL!$J$20*AG15</f>
        <v>7736.53678524191</v>
      </c>
      <c r="AH82" s="16" t="n">
        <f aca="false">CADASTRO_TRECHOS_CANAL!$C$20*AH8+CADASTRO_TRECHOS_CANAL!$D$20*AH9+CADASTRO_TRECHOS_CANAL!$E$20*AH10+CADASTRO_TRECHOS_CANAL!$F$20*AH11+CADASTRO_TRECHOS_CANAL!$G$20*AH12+CADASTRO_TRECHOS_CANAL!$H$20*AH13+CADASTRO_TRECHOS_CANAL!$I$20*AH14+CADASTRO_TRECHOS_CANAL!$J$20*AH15</f>
        <v>32012.5895676993</v>
      </c>
      <c r="AI82" s="16" t="n">
        <f aca="false">CADASTRO_TRECHOS_CANAL!$C$20*AI8+CADASTRO_TRECHOS_CANAL!$D$20*AI9+CADASTRO_TRECHOS_CANAL!$E$20*AI10+CADASTRO_TRECHOS_CANAL!$F$20*AI11+CADASTRO_TRECHOS_CANAL!$G$20*AI12+CADASTRO_TRECHOS_CANAL!$H$20*AI13+CADASTRO_TRECHOS_CANAL!$I$20*AI14+CADASTRO_TRECHOS_CANAL!$J$20*AI15</f>
        <v>40108.2832676645</v>
      </c>
      <c r="AJ82" s="16" t="n">
        <f aca="false">CADASTRO_TRECHOS_CANAL!$C$20*AJ8+CADASTRO_TRECHOS_CANAL!$D$20*AJ9+CADASTRO_TRECHOS_CANAL!$E$20*AJ10+CADASTRO_TRECHOS_CANAL!$F$20*AJ11+CADASTRO_TRECHOS_CANAL!$G$20*AJ12+CADASTRO_TRECHOS_CANAL!$H$20*AJ13+CADASTRO_TRECHOS_CANAL!$I$20*AJ14+CADASTRO_TRECHOS_CANAL!$J$20*AJ15</f>
        <v>48203.9769676296</v>
      </c>
      <c r="AK82" s="16" t="n">
        <f aca="false">CADASTRO_TRECHOS_CANAL!$C$20*AK8+CADASTRO_TRECHOS_CANAL!$D$20*AK9+CADASTRO_TRECHOS_CANAL!$E$20*AK10+CADASTRO_TRECHOS_CANAL!$F$20*AK11+CADASTRO_TRECHOS_CANAL!$G$20*AK12+CADASTRO_TRECHOS_CANAL!$H$20*AK13+CADASTRO_TRECHOS_CANAL!$I$20*AK14+CADASTRO_TRECHOS_CANAL!$J$20*AK15</f>
        <v>59210.6783529412</v>
      </c>
      <c r="AL82" s="16" t="n">
        <f aca="false">CADASTRO_TRECHOS_CANAL!$C$20*AL8+CADASTRO_TRECHOS_CANAL!$D$20*AL9+CADASTRO_TRECHOS_CANAL!$E$20*AL10+CADASTRO_TRECHOS_CANAL!$F$20*AL11+CADASTRO_TRECHOS_CANAL!$G$20*AL12+CADASTRO_TRECHOS_CANAL!$H$20*AL13+CADASTRO_TRECHOS_CANAL!$I$20*AL14+CADASTRO_TRECHOS_CANAL!$J$20*AL15</f>
        <v>72415.401882353</v>
      </c>
      <c r="AM82" s="16" t="n">
        <f aca="false">CADASTRO_TRECHOS_CANAL!$C$20*AM8+CADASTRO_TRECHOS_CANAL!$D$20*AM9+CADASTRO_TRECHOS_CANAL!$E$20*AM10+CADASTRO_TRECHOS_CANAL!$F$20*AM11+CADASTRO_TRECHOS_CANAL!$G$20*AM12+CADASTRO_TRECHOS_CANAL!$H$20*AM13+CADASTRO_TRECHOS_CANAL!$I$20*AM14+CADASTRO_TRECHOS_CANAL!$J$20*AM15</f>
        <v>72415.401882353</v>
      </c>
      <c r="AN82" s="16" t="n">
        <f aca="false">CADASTRO_TRECHOS_CANAL!$C$20*AN8+CADASTRO_TRECHOS_CANAL!$D$20*AN9+CADASTRO_TRECHOS_CANAL!$E$20*AN10+CADASTRO_TRECHOS_CANAL!$F$20*AN11+CADASTRO_TRECHOS_CANAL!$G$20*AN12+CADASTRO_TRECHOS_CANAL!$H$20*AN13+CADASTRO_TRECHOS_CANAL!$I$20*AN14+CADASTRO_TRECHOS_CANAL!$J$20*AN15</f>
        <v>72415.401882353</v>
      </c>
      <c r="AO82" s="16" t="n">
        <f aca="false">CADASTRO_TRECHOS_CANAL!$C$20*AO8+CADASTRO_TRECHOS_CANAL!$D$20*AO9+CADASTRO_TRECHOS_CANAL!$E$20*AO10+CADASTRO_TRECHOS_CANAL!$F$20*AO11+CADASTRO_TRECHOS_CANAL!$G$20*AO12+CADASTRO_TRECHOS_CANAL!$H$20*AO13+CADASTRO_TRECHOS_CANAL!$I$20*AO14+CADASTRO_TRECHOS_CANAL!$J$20*AO15</f>
        <v>72415.401882353</v>
      </c>
      <c r="AP82" s="16" t="n">
        <f aca="false">CADASTRO_TRECHOS_CANAL!$C$20*AP8+CADASTRO_TRECHOS_CANAL!$D$20*AP9+CADASTRO_TRECHOS_CANAL!$E$20*AP10+CADASTRO_TRECHOS_CANAL!$F$20*AP11+CADASTRO_TRECHOS_CANAL!$G$20*AP12+CADASTRO_TRECHOS_CANAL!$H$20*AP13+CADASTRO_TRECHOS_CANAL!$I$20*AP14+CADASTRO_TRECHOS_CANAL!$J$20*AP15</f>
        <v>72666.6988235294</v>
      </c>
      <c r="AQ82" s="16" t="n">
        <f aca="false">CADASTRO_TRECHOS_CANAL!$C$20*AQ8+CADASTRO_TRECHOS_CANAL!$D$20*AQ9+CADASTRO_TRECHOS_CANAL!$E$20*AQ10+CADASTRO_TRECHOS_CANAL!$F$20*AQ11+CADASTRO_TRECHOS_CANAL!$G$20*AQ12+CADASTRO_TRECHOS_CANAL!$H$20*AQ13+CADASTRO_TRECHOS_CANAL!$I$20*AQ14+CADASTRO_TRECHOS_CANAL!$J$20*AQ15</f>
        <v>72708.5816470588</v>
      </c>
      <c r="AR82" s="16" t="n">
        <f aca="false">CADASTRO_TRECHOS_CANAL!$C$20*AR8+CADASTRO_TRECHOS_CANAL!$D$20*AR9+CADASTRO_TRECHOS_CANAL!$E$20*AR10+CADASTRO_TRECHOS_CANAL!$F$20*AR11+CADASTRO_TRECHOS_CANAL!$G$20*AR12+CADASTRO_TRECHOS_CANAL!$H$20*AR13+CADASTRO_TRECHOS_CANAL!$I$20*AR14+CADASTRO_TRECHOS_CANAL!$J$20*AR15</f>
        <v>72708.5816470588</v>
      </c>
      <c r="AS82" s="16" t="n">
        <f aca="false">CADASTRO_TRECHOS_CANAL!$C$20*AS8+CADASTRO_TRECHOS_CANAL!$D$20*AS9+CADASTRO_TRECHOS_CANAL!$E$20*AS10+CADASTRO_TRECHOS_CANAL!$F$20*AS11+CADASTRO_TRECHOS_CANAL!$G$20*AS12+CADASTRO_TRECHOS_CANAL!$H$20*AS13+CADASTRO_TRECHOS_CANAL!$I$20*AS14+CADASTRO_TRECHOS_CANAL!$J$20*AS15</f>
        <v>72708.5816470588</v>
      </c>
      <c r="AT82" s="16" t="n">
        <f aca="false">CADASTRO_TRECHOS_CANAL!$C$20*AT8+CADASTRO_TRECHOS_CANAL!$D$20*AT9+CADASTRO_TRECHOS_CANAL!$E$20*AT10+CADASTRO_TRECHOS_CANAL!$F$20*AT11+CADASTRO_TRECHOS_CANAL!$G$20*AT12+CADASTRO_TRECHOS_CANAL!$H$20*AT13+CADASTRO_TRECHOS_CANAL!$I$20*AT14+CADASTRO_TRECHOS_CANAL!$J$20*AT15</f>
        <v>73292.520598147</v>
      </c>
      <c r="AU82" s="16" t="n">
        <f aca="false">CADASTRO_TRECHOS_CANAL!$C$20*AU8+CADASTRO_TRECHOS_CANAL!$D$20*AU9+CADASTRO_TRECHOS_CANAL!$E$20*AU10+CADASTRO_TRECHOS_CANAL!$F$20*AU11+CADASTRO_TRECHOS_CANAL!$G$20*AU12+CADASTRO_TRECHOS_CANAL!$H$20*AU13+CADASTRO_TRECHOS_CANAL!$I$20*AU14+CADASTRO_TRECHOS_CANAL!$J$20*AU15</f>
        <v>71056.119306184</v>
      </c>
      <c r="AV82" s="16" t="n">
        <f aca="false">CADASTRO_TRECHOS_CANAL!$C$20*AV8+CADASTRO_TRECHOS_CANAL!$D$20*AV9+CADASTRO_TRECHOS_CANAL!$E$20*AV10+CADASTRO_TRECHOS_CANAL!$F$20*AV11+CADASTRO_TRECHOS_CANAL!$G$20*AV12+CADASTRO_TRECHOS_CANAL!$H$20*AV13+CADASTRO_TRECHOS_CANAL!$I$20*AV14+CADASTRO_TRECHOS_CANAL!$J$20*AV15</f>
        <v>66117.585520362</v>
      </c>
      <c r="AW82" s="16" t="n">
        <f aca="false">CADASTRO_TRECHOS_CANAL!$C$20*AW8+CADASTRO_TRECHOS_CANAL!$D$20*AW9+CADASTRO_TRECHOS_CANAL!$E$20*AW10+CADASTRO_TRECHOS_CANAL!$F$20*AW11+CADASTRO_TRECHOS_CANAL!$G$20*AW12+CADASTRO_TRECHOS_CANAL!$H$20*AW13+CADASTRO_TRECHOS_CANAL!$I$20*AW14+CADASTRO_TRECHOS_CANAL!$J$20*AW15</f>
        <v>61179.05173454</v>
      </c>
      <c r="AX82" s="16" t="n">
        <f aca="false">CADASTRO_TRECHOS_CANAL!$C$20*AX8+CADASTRO_TRECHOS_CANAL!$D$20*AX9+CADASTRO_TRECHOS_CANAL!$E$20*AX10+CADASTRO_TRECHOS_CANAL!$F$20*AX11+CADASTRO_TRECHOS_CANAL!$G$20*AX12+CADASTRO_TRECHOS_CANAL!$H$20*AX13+CADASTRO_TRECHOS_CANAL!$I$20*AX14+CADASTRO_TRECHOS_CANAL!$J$20*AX15</f>
        <v>57849.4013566042</v>
      </c>
      <c r="AY82" s="16" t="n">
        <f aca="false">CADASTRO_TRECHOS_CANAL!$C$20*AY8+CADASTRO_TRECHOS_CANAL!$D$20*AY9+CADASTRO_TRECHOS_CANAL!$E$20*AY10+CADASTRO_TRECHOS_CANAL!$F$20*AY11+CADASTRO_TRECHOS_CANAL!$G$20*AY12+CADASTRO_TRECHOS_CANAL!$H$20*AY13+CADASTRO_TRECHOS_CANAL!$I$20*AY14+CADASTRO_TRECHOS_CANAL!$J$20*AY15</f>
        <v>61530.5214117647</v>
      </c>
      <c r="AZ82" s="16" t="n">
        <f aca="false">CADASTRO_TRECHOS_CANAL!$C$20*AZ8+CADASTRO_TRECHOS_CANAL!$D$20*AZ9+CADASTRO_TRECHOS_CANAL!$E$20*AZ10+CADASTRO_TRECHOS_CANAL!$F$20*AZ11+CADASTRO_TRECHOS_CANAL!$G$20*AZ12+CADASTRO_TRECHOS_CANAL!$H$20*AZ13+CADASTRO_TRECHOS_CANAL!$I$20*AZ14+CADASTRO_TRECHOS_CANAL!$J$20*AZ15</f>
        <v>55558.3410196078</v>
      </c>
      <c r="BA82" s="16" t="n">
        <f aca="false">CADASTRO_TRECHOS_CANAL!$C$20*BA8+CADASTRO_TRECHOS_CANAL!$D$20*BA9+CADASTRO_TRECHOS_CANAL!$E$20*BA10+CADASTRO_TRECHOS_CANAL!$F$20*BA11+CADASTRO_TRECHOS_CANAL!$G$20*BA12+CADASTRO_TRECHOS_CANAL!$H$20*BA13+CADASTRO_TRECHOS_CANAL!$I$20*BA14+CADASTRO_TRECHOS_CANAL!$J$20*BA15</f>
        <v>49586.160627451</v>
      </c>
      <c r="BB82" s="16" t="n">
        <f aca="false">CADASTRO_TRECHOS_CANAL!$C$20*BB8+CADASTRO_TRECHOS_CANAL!$D$20*BB9+CADASTRO_TRECHOS_CANAL!$E$20*BB10+CADASTRO_TRECHOS_CANAL!$F$20*BB11+CADASTRO_TRECHOS_CANAL!$G$20*BB12+CADASTRO_TRECHOS_CANAL!$H$20*BB13+CADASTRO_TRECHOS_CANAL!$I$20*BB14+CADASTRO_TRECHOS_CANAL!$J$20*BB15</f>
        <v>0</v>
      </c>
      <c r="BC82" s="16" t="n">
        <f aca="false">CADASTRO_TRECHOS_CANAL!$C$20*BC8+CADASTRO_TRECHOS_CANAL!$D$20*BC9+CADASTRO_TRECHOS_CANAL!$E$20*BC10+CADASTRO_TRECHOS_CANAL!$F$20*BC11+CADASTRO_TRECHOS_CANAL!$G$20*BC12+CADASTRO_TRECHOS_CANAL!$H$20*BC13+CADASTRO_TRECHOS_CANAL!$I$20*BC14+CADASTRO_TRECHOS_CANAL!$J$20*BC15</f>
        <v>0</v>
      </c>
      <c r="BD82" s="16" t="n">
        <f aca="false">CADASTRO_TRECHOS_CANAL!$C$20*BD8+CADASTRO_TRECHOS_CANAL!$D$20*BD9+CADASTRO_TRECHOS_CANAL!$E$20*BD10+CADASTRO_TRECHOS_CANAL!$F$20*BD11+CADASTRO_TRECHOS_CANAL!$G$20*BD12+CADASTRO_TRECHOS_CANAL!$H$20*BD13+CADASTRO_TRECHOS_CANAL!$I$20*BD14+CADASTRO_TRECHOS_CANAL!$J$20*BD15</f>
        <v>0</v>
      </c>
      <c r="BE82" s="16" t="n">
        <f aca="false">CADASTRO_TRECHOS_CANAL!$C$20*BE8+CADASTRO_TRECHOS_CANAL!$D$20*BE9+CADASTRO_TRECHOS_CANAL!$E$20*BE10+CADASTRO_TRECHOS_CANAL!$F$20*BE11+CADASTRO_TRECHOS_CANAL!$G$20*BE12+CADASTRO_TRECHOS_CANAL!$H$20*BE13+CADASTRO_TRECHOS_CANAL!$I$20*BE14+CADASTRO_TRECHOS_CANAL!$J$20*BE15</f>
        <v>0</v>
      </c>
      <c r="BF82" s="16" t="n">
        <f aca="false">CADASTRO_TRECHOS_CANAL!$C$20*BF8+CADASTRO_TRECHOS_CANAL!$D$20*BF9+CADASTRO_TRECHOS_CANAL!$E$20*BF10+CADASTRO_TRECHOS_CANAL!$F$20*BF11+CADASTRO_TRECHOS_CANAL!$G$20*BF12+CADASTRO_TRECHOS_CANAL!$H$20*BF13+CADASTRO_TRECHOS_CANAL!$I$20*BF14+CADASTRO_TRECHOS_CANAL!$J$20*BF15</f>
        <v>0</v>
      </c>
      <c r="BG82" s="16" t="n">
        <f aca="false">CADASTRO_TRECHOS_CANAL!$C$20*BG8+CADASTRO_TRECHOS_CANAL!$D$20*BG9+CADASTRO_TRECHOS_CANAL!$E$20*BG10+CADASTRO_TRECHOS_CANAL!$F$20*BG11+CADASTRO_TRECHOS_CANAL!$G$20*BG12+CADASTRO_TRECHOS_CANAL!$H$20*BG13+CADASTRO_TRECHOS_CANAL!$I$20*BG14+CADASTRO_TRECHOS_CANAL!$J$20*BG15</f>
        <v>0</v>
      </c>
      <c r="BH82" s="16" t="n">
        <f aca="false">CADASTRO_TRECHOS_CANAL!$C$20*BH8+CADASTRO_TRECHOS_CANAL!$D$20*BH9+CADASTRO_TRECHOS_CANAL!$E$20*BH10+CADASTRO_TRECHOS_CANAL!$F$20*BH11+CADASTRO_TRECHOS_CANAL!$G$20*BH12+CADASTRO_TRECHOS_CANAL!$H$20*BH13+CADASTRO_TRECHOS_CANAL!$I$20*BH14+CADASTRO_TRECHOS_CANAL!$J$20*BH15</f>
        <v>0</v>
      </c>
      <c r="BI82" s="16" t="n">
        <f aca="false">CADASTRO_TRECHOS_CANAL!$C$20*BI8+CADASTRO_TRECHOS_CANAL!$D$20*BI9+CADASTRO_TRECHOS_CANAL!$E$20*BI10+CADASTRO_TRECHOS_CANAL!$F$20*BI11+CADASTRO_TRECHOS_CANAL!$G$20*BI12+CADASTRO_TRECHOS_CANAL!$H$20*BI13+CADASTRO_TRECHOS_CANAL!$I$20*BI14+CADASTRO_TRECHOS_CANAL!$J$20*BI15</f>
        <v>0</v>
      </c>
      <c r="BJ82" s="16" t="n">
        <f aca="false">CADASTRO_TRECHOS_CANAL!$C$20*BJ8+CADASTRO_TRECHOS_CANAL!$D$20*BJ9+CADASTRO_TRECHOS_CANAL!$E$20*BJ10+CADASTRO_TRECHOS_CANAL!$F$20*BJ11+CADASTRO_TRECHOS_CANAL!$G$20*BJ12+CADASTRO_TRECHOS_CANAL!$H$20*BJ13+CADASTRO_TRECHOS_CANAL!$I$20*BJ14+CADASTRO_TRECHOS_CANAL!$J$20*BJ15</f>
        <v>0</v>
      </c>
      <c r="BK82" s="16" t="n">
        <f aca="false">CADASTRO_TRECHOS_CANAL!$C$20*BK8+CADASTRO_TRECHOS_CANAL!$D$20*BK9+CADASTRO_TRECHOS_CANAL!$E$20*BK10+CADASTRO_TRECHOS_CANAL!$F$20*BK11+CADASTRO_TRECHOS_CANAL!$G$20*BK12+CADASTRO_TRECHOS_CANAL!$H$20*BK13+CADASTRO_TRECHOS_CANAL!$I$20*BK14+CADASTRO_TRECHOS_CANAL!$J$20*BK15</f>
        <v>0</v>
      </c>
      <c r="BL82" s="16" t="n">
        <f aca="false">CADASTRO_TRECHOS_CANAL!$C$20*BL8+CADASTRO_TRECHOS_CANAL!$D$20*BL9+CADASTRO_TRECHOS_CANAL!$E$20*BL10+CADASTRO_TRECHOS_CANAL!$F$20*BL11+CADASTRO_TRECHOS_CANAL!$G$20*BL12+CADASTRO_TRECHOS_CANAL!$H$20*BL13+CADASTRO_TRECHOS_CANAL!$I$20*BL14+CADASTRO_TRECHOS_CANAL!$J$20*BL15</f>
        <v>0</v>
      </c>
      <c r="BM82" s="16" t="n">
        <f aca="false">CADASTRO_TRECHOS_CANAL!$C$20*BM8+CADASTRO_TRECHOS_CANAL!$D$20*BM9+CADASTRO_TRECHOS_CANAL!$E$20*BM10+CADASTRO_TRECHOS_CANAL!$F$20*BM11+CADASTRO_TRECHOS_CANAL!$G$20*BM12+CADASTRO_TRECHOS_CANAL!$H$20*BM13+CADASTRO_TRECHOS_CANAL!$I$20*BM14+CADASTRO_TRECHOS_CANAL!$J$20*BM15</f>
        <v>0</v>
      </c>
      <c r="BN82" s="16" t="n">
        <f aca="false">CADASTRO_TRECHOS_CANAL!$C$20*BN8+CADASTRO_TRECHOS_CANAL!$D$20*BN9+CADASTRO_TRECHOS_CANAL!$E$20*BN10+CADASTRO_TRECHOS_CANAL!$F$20*BN11+CADASTRO_TRECHOS_CANAL!$G$20*BN12+CADASTRO_TRECHOS_CANAL!$H$20*BN13+CADASTRO_TRECHOS_CANAL!$I$20*BN14+CADASTRO_TRECHOS_CANAL!$J$20*BN15</f>
        <v>0</v>
      </c>
      <c r="BO82" s="16" t="n">
        <f aca="false">CADASTRO_TRECHOS_CANAL!$C$20*BO8+CADASTRO_TRECHOS_CANAL!$D$20*BO9+CADASTRO_TRECHOS_CANAL!$E$20*BO10+CADASTRO_TRECHOS_CANAL!$F$20*BO11+CADASTRO_TRECHOS_CANAL!$G$20*BO12+CADASTRO_TRECHOS_CANAL!$H$20*BO13+CADASTRO_TRECHOS_CANAL!$I$20*BO14+CADASTRO_TRECHOS_CANAL!$J$20*BO15</f>
        <v>0</v>
      </c>
      <c r="BP82" s="16" t="n">
        <f aca="false">CADASTRO_TRECHOS_CANAL!$C$20*BP8+CADASTRO_TRECHOS_CANAL!$D$20*BP9+CADASTRO_TRECHOS_CANAL!$E$20*BP10+CADASTRO_TRECHOS_CANAL!$F$20*BP11+CADASTRO_TRECHOS_CANAL!$G$20*BP12+CADASTRO_TRECHOS_CANAL!$H$20*BP13+CADASTRO_TRECHOS_CANAL!$I$20*BP14+CADASTRO_TRECHOS_CANAL!$J$20*BP15</f>
        <v>0</v>
      </c>
      <c r="BQ82" s="16" t="n">
        <f aca="false">SUM(C82:BP82)</f>
        <v>1294151.88273624</v>
      </c>
    </row>
    <row r="83" customFormat="false" ht="15" hidden="false" customHeight="false" outlineLevel="0" collapsed="false">
      <c r="B83" s="15" t="s">
        <v>174</v>
      </c>
      <c r="C83" s="16" t="n">
        <f aca="false">CADASTRO_TRECHOS_CANAL!$C$21*C8+CADASTRO_TRECHOS_CANAL!$D$21*C9+CADASTRO_TRECHOS_CANAL!$E$21*C10+CADASTRO_TRECHOS_CANAL!$F$21*C11+CADASTRO_TRECHOS_CANAL!$G$21*C12+CADASTRO_TRECHOS_CANAL!$H$21*C13+CADASTRO_TRECHOS_CANAL!$I$21*C14+CADASTRO_TRECHOS_CANAL!$J$21*C15</f>
        <v>45952.144</v>
      </c>
      <c r="D83" s="16" t="n">
        <f aca="false">CADASTRO_TRECHOS_CANAL!$C$21*D8+CADASTRO_TRECHOS_CANAL!$D$21*D9+CADASTRO_TRECHOS_CANAL!$E$21*D10+CADASTRO_TRECHOS_CANAL!$F$21*D11+CADASTRO_TRECHOS_CANAL!$G$21*D12+CADASTRO_TRECHOS_CANAL!$H$21*D13+CADASTRO_TRECHOS_CANAL!$I$21*D14+CADASTRO_TRECHOS_CANAL!$J$21*D15</f>
        <v>48375.0152941176</v>
      </c>
      <c r="E83" s="16" t="n">
        <f aca="false">CADASTRO_TRECHOS_CANAL!$C$21*E8+CADASTRO_TRECHOS_CANAL!$D$21*E9+CADASTRO_TRECHOS_CANAL!$E$21*E10+CADASTRO_TRECHOS_CANAL!$F$21*E11+CADASTRO_TRECHOS_CANAL!$G$21*E12+CADASTRO_TRECHOS_CANAL!$H$21*E13+CADASTRO_TRECHOS_CANAL!$I$21*E14+CADASTRO_TRECHOS_CANAL!$J$21*E15</f>
        <v>48375.0152941176</v>
      </c>
      <c r="F83" s="16" t="n">
        <f aca="false">CADASTRO_TRECHOS_CANAL!$C$21*F8+CADASTRO_TRECHOS_CANAL!$D$21*F9+CADASTRO_TRECHOS_CANAL!$E$21*F10+CADASTRO_TRECHOS_CANAL!$F$21*F11+CADASTRO_TRECHOS_CANAL!$G$21*F12+CADASTRO_TRECHOS_CANAL!$H$21*F13+CADASTRO_TRECHOS_CANAL!$I$21*F14+CADASTRO_TRECHOS_CANAL!$J$21*F15</f>
        <v>48375.0152941176</v>
      </c>
      <c r="G83" s="16" t="n">
        <f aca="false">CADASTRO_TRECHOS_CANAL!$C$21*G8+CADASTRO_TRECHOS_CANAL!$D$21*G9+CADASTRO_TRECHOS_CANAL!$E$21*G10+CADASTRO_TRECHOS_CANAL!$F$21*G11+CADASTRO_TRECHOS_CANAL!$G$21*G12+CADASTRO_TRECHOS_CANAL!$H$21*G13+CADASTRO_TRECHOS_CANAL!$I$21*G14+CADASTRO_TRECHOS_CANAL!$J$21*G15</f>
        <v>39291.7032941176</v>
      </c>
      <c r="H83" s="16" t="n">
        <f aca="false">CADASTRO_TRECHOS_CANAL!$C$21*H8+CADASTRO_TRECHOS_CANAL!$D$21*H9+CADASTRO_TRECHOS_CANAL!$E$21*H10+CADASTRO_TRECHOS_CANAL!$F$21*H11+CADASTRO_TRECHOS_CANAL!$G$21*H12+CADASTRO_TRECHOS_CANAL!$H$21*H13+CADASTRO_TRECHOS_CANAL!$I$21*H14+CADASTRO_TRECHOS_CANAL!$J$21*H15</f>
        <v>27558.1007058823</v>
      </c>
      <c r="I83" s="16" t="n">
        <f aca="false">CADASTRO_TRECHOS_CANAL!$C$21*I8+CADASTRO_TRECHOS_CANAL!$D$21*I9+CADASTRO_TRECHOS_CANAL!$E$21*I10+CADASTRO_TRECHOS_CANAL!$F$21*I11+CADASTRO_TRECHOS_CANAL!$G$21*I12+CADASTRO_TRECHOS_CANAL!$H$21*I13+CADASTRO_TRECHOS_CANAL!$I$21*I14+CADASTRO_TRECHOS_CANAL!$J$21*I15</f>
        <v>27558.1007058823</v>
      </c>
      <c r="J83" s="16" t="n">
        <f aca="false">CADASTRO_TRECHOS_CANAL!$C$21*J8+CADASTRO_TRECHOS_CANAL!$D$21*J9+CADASTRO_TRECHOS_CANAL!$E$21*J10+CADASTRO_TRECHOS_CANAL!$F$21*J11+CADASTRO_TRECHOS_CANAL!$G$21*J12+CADASTRO_TRECHOS_CANAL!$H$21*J13+CADASTRO_TRECHOS_CANAL!$I$21*J14+CADASTRO_TRECHOS_CANAL!$J$21*J15</f>
        <v>34101.1026539238</v>
      </c>
      <c r="K83" s="16" t="n">
        <f aca="false">CADASTRO_TRECHOS_CANAL!$C$21*K8+CADASTRO_TRECHOS_CANAL!$D$21*K9+CADASTRO_TRECHOS_CANAL!$E$21*K10+CADASTRO_TRECHOS_CANAL!$F$21*K11+CADASTRO_TRECHOS_CANAL!$G$21*K12+CADASTRO_TRECHOS_CANAL!$H$21*K13+CADASTRO_TRECHOS_CANAL!$I$21*K14+CADASTRO_TRECHOS_CANAL!$J$21*K15</f>
        <v>40601.5190841048</v>
      </c>
      <c r="L83" s="16" t="n">
        <f aca="false">CADASTRO_TRECHOS_CANAL!$C$21*L8+CADASTRO_TRECHOS_CANAL!$D$21*L9+CADASTRO_TRECHOS_CANAL!$E$21*L10+CADASTRO_TRECHOS_CANAL!$F$21*L11+CADASTRO_TRECHOS_CANAL!$G$21*L12+CADASTRO_TRECHOS_CANAL!$H$21*L13+CADASTRO_TRECHOS_CANAL!$I$21*L14+CADASTRO_TRECHOS_CANAL!$J$21*L15</f>
        <v>0</v>
      </c>
      <c r="M83" s="16" t="n">
        <f aca="false">CADASTRO_TRECHOS_CANAL!$C$21*M8+CADASTRO_TRECHOS_CANAL!$D$21*M9+CADASTRO_TRECHOS_CANAL!$E$21*M10+CADASTRO_TRECHOS_CANAL!$F$21*M11+CADASTRO_TRECHOS_CANAL!$G$21*M12+CADASTRO_TRECHOS_CANAL!$H$21*M13+CADASTRO_TRECHOS_CANAL!$I$21*M14+CADASTRO_TRECHOS_CANAL!$J$21*M15</f>
        <v>5181.0368235294</v>
      </c>
      <c r="N83" s="16" t="n">
        <f aca="false">CADASTRO_TRECHOS_CANAL!$C$21*N8+CADASTRO_TRECHOS_CANAL!$D$21*N9+CADASTRO_TRECHOS_CANAL!$E$21*N10+CADASTRO_TRECHOS_CANAL!$F$21*N11+CADASTRO_TRECHOS_CANAL!$G$21*N12+CADASTRO_TRECHOS_CANAL!$H$21*N13+CADASTRO_TRECHOS_CANAL!$I$21*N14+CADASTRO_TRECHOS_CANAL!$J$21*N15</f>
        <v>5181.0368235294</v>
      </c>
      <c r="O83" s="16" t="n">
        <f aca="false">CADASTRO_TRECHOS_CANAL!$C$21*O8+CADASTRO_TRECHOS_CANAL!$D$21*O9+CADASTRO_TRECHOS_CANAL!$E$21*O10+CADASTRO_TRECHOS_CANAL!$F$21*O11+CADASTRO_TRECHOS_CANAL!$G$21*O12+CADASTRO_TRECHOS_CANAL!$H$21*O13+CADASTRO_TRECHOS_CANAL!$I$21*O14+CADASTRO_TRECHOS_CANAL!$J$21*O15</f>
        <v>5181.0368235294</v>
      </c>
      <c r="P83" s="16" t="n">
        <f aca="false">CADASTRO_TRECHOS_CANAL!$C$21*P8+CADASTRO_TRECHOS_CANAL!$D$21*P9+CADASTRO_TRECHOS_CANAL!$E$21*P10+CADASTRO_TRECHOS_CANAL!$F$21*P11+CADASTRO_TRECHOS_CANAL!$G$21*P12+CADASTRO_TRECHOS_CANAL!$H$21*P13+CADASTRO_TRECHOS_CANAL!$I$21*P14+CADASTRO_TRECHOS_CANAL!$J$21*P15</f>
        <v>0</v>
      </c>
      <c r="Q83" s="16" t="n">
        <f aca="false">CADASTRO_TRECHOS_CANAL!$C$21*Q8+CADASTRO_TRECHOS_CANAL!$D$21*Q9+CADASTRO_TRECHOS_CANAL!$E$21*Q10+CADASTRO_TRECHOS_CANAL!$F$21*Q11+CADASTRO_TRECHOS_CANAL!$G$21*Q12+CADASTRO_TRECHOS_CANAL!$H$21*Q13+CADASTRO_TRECHOS_CANAL!$I$21*Q14+CADASTRO_TRECHOS_CANAL!$J$21*Q15</f>
        <v>0</v>
      </c>
      <c r="R83" s="16" t="n">
        <f aca="false">CADASTRO_TRECHOS_CANAL!$C$21*R8+CADASTRO_TRECHOS_CANAL!$D$21*R9+CADASTRO_TRECHOS_CANAL!$E$21*R10+CADASTRO_TRECHOS_CANAL!$F$21*R11+CADASTRO_TRECHOS_CANAL!$G$21*R12+CADASTRO_TRECHOS_CANAL!$H$21*R13+CADASTRO_TRECHOS_CANAL!$I$21*R14+CADASTRO_TRECHOS_CANAL!$J$21*R15</f>
        <v>0</v>
      </c>
      <c r="S83" s="16" t="n">
        <f aca="false">CADASTRO_TRECHOS_CANAL!$C$21*S8+CADASTRO_TRECHOS_CANAL!$D$21*S9+CADASTRO_TRECHOS_CANAL!$E$21*S10+CADASTRO_TRECHOS_CANAL!$F$21*S11+CADASTRO_TRECHOS_CANAL!$G$21*S12+CADASTRO_TRECHOS_CANAL!$H$21*S13+CADASTRO_TRECHOS_CANAL!$I$21*S14+CADASTRO_TRECHOS_CANAL!$J$21*S15</f>
        <v>0</v>
      </c>
      <c r="T83" s="16" t="n">
        <f aca="false">CADASTRO_TRECHOS_CANAL!$C$21*T8+CADASTRO_TRECHOS_CANAL!$D$21*T9+CADASTRO_TRECHOS_CANAL!$E$21*T10+CADASTRO_TRECHOS_CANAL!$F$21*T11+CADASTRO_TRECHOS_CANAL!$G$21*T12+CADASTRO_TRECHOS_CANAL!$H$21*T13+CADASTRO_TRECHOS_CANAL!$I$21*T14+CADASTRO_TRECHOS_CANAL!$J$21*T15</f>
        <v>0</v>
      </c>
      <c r="U83" s="16" t="n">
        <f aca="false">CADASTRO_TRECHOS_CANAL!$C$21*U8+CADASTRO_TRECHOS_CANAL!$D$21*U9+CADASTRO_TRECHOS_CANAL!$E$21*U10+CADASTRO_TRECHOS_CANAL!$F$21*U11+CADASTRO_TRECHOS_CANAL!$G$21*U12+CADASTRO_TRECHOS_CANAL!$H$21*U13+CADASTRO_TRECHOS_CANAL!$I$21*U14+CADASTRO_TRECHOS_CANAL!$J$21*U15</f>
        <v>0</v>
      </c>
      <c r="V83" s="16" t="n">
        <f aca="false">CADASTRO_TRECHOS_CANAL!$C$21*V8+CADASTRO_TRECHOS_CANAL!$D$21*V9+CADASTRO_TRECHOS_CANAL!$E$21*V10+CADASTRO_TRECHOS_CANAL!$F$21*V11+CADASTRO_TRECHOS_CANAL!$G$21*V12+CADASTRO_TRECHOS_CANAL!$H$21*V13+CADASTRO_TRECHOS_CANAL!$I$21*V14+CADASTRO_TRECHOS_CANAL!$J$21*V15</f>
        <v>0</v>
      </c>
      <c r="W83" s="16" t="n">
        <f aca="false">CADASTRO_TRECHOS_CANAL!$C$21*W8+CADASTRO_TRECHOS_CANAL!$D$21*W9+CADASTRO_TRECHOS_CANAL!$E$21*W10+CADASTRO_TRECHOS_CANAL!$F$21*W11+CADASTRO_TRECHOS_CANAL!$G$21*W12+CADASTRO_TRECHOS_CANAL!$H$21*W13+CADASTRO_TRECHOS_CANAL!$I$21*W14+CADASTRO_TRECHOS_CANAL!$J$21*W15</f>
        <v>0</v>
      </c>
      <c r="X83" s="16" t="n">
        <f aca="false">CADASTRO_TRECHOS_CANAL!$C$21*X8+CADASTRO_TRECHOS_CANAL!$D$21*X9+CADASTRO_TRECHOS_CANAL!$E$21*X10+CADASTRO_TRECHOS_CANAL!$F$21*X11+CADASTRO_TRECHOS_CANAL!$G$21*X12+CADASTRO_TRECHOS_CANAL!$H$21*X13+CADASTRO_TRECHOS_CANAL!$I$21*X14+CADASTRO_TRECHOS_CANAL!$J$21*X15</f>
        <v>0</v>
      </c>
      <c r="Y83" s="16" t="n">
        <f aca="false">CADASTRO_TRECHOS_CANAL!$C$21*Y8+CADASTRO_TRECHOS_CANAL!$D$21*Y9+CADASTRO_TRECHOS_CANAL!$E$21*Y10+CADASTRO_TRECHOS_CANAL!$F$21*Y11+CADASTRO_TRECHOS_CANAL!$G$21*Y12+CADASTRO_TRECHOS_CANAL!$H$21*Y13+CADASTRO_TRECHOS_CANAL!$I$21*Y14+CADASTRO_TRECHOS_CANAL!$J$21*Y15</f>
        <v>0</v>
      </c>
      <c r="Z83" s="16" t="n">
        <f aca="false">CADASTRO_TRECHOS_CANAL!$C$21*Z8+CADASTRO_TRECHOS_CANAL!$D$21*Z9+CADASTRO_TRECHOS_CANAL!$E$21*Z10+CADASTRO_TRECHOS_CANAL!$F$21*Z11+CADASTRO_TRECHOS_CANAL!$G$21*Z12+CADASTRO_TRECHOS_CANAL!$H$21*Z13+CADASTRO_TRECHOS_CANAL!$I$21*Z14+CADASTRO_TRECHOS_CANAL!$J$21*Z15</f>
        <v>1868.08175333564</v>
      </c>
      <c r="AA83" s="16" t="n">
        <f aca="false">CADASTRO_TRECHOS_CANAL!$C$21*AA8+CADASTRO_TRECHOS_CANAL!$D$21*AA9+CADASTRO_TRECHOS_CANAL!$E$21*AA10+CADASTRO_TRECHOS_CANAL!$F$21*AA11+CADASTRO_TRECHOS_CANAL!$G$21*AA12+CADASTRO_TRECHOS_CANAL!$H$21*AA13+CADASTRO_TRECHOS_CANAL!$I$21*AA14+CADASTRO_TRECHOS_CANAL!$J$21*AA15</f>
        <v>11860.3244986657</v>
      </c>
      <c r="AB83" s="16" t="n">
        <f aca="false">CADASTRO_TRECHOS_CANAL!$C$21*AB8+CADASTRO_TRECHOS_CANAL!$D$21*AB9+CADASTRO_TRECHOS_CANAL!$E$21*AB10+CADASTRO_TRECHOS_CANAL!$F$21*AB11+CADASTRO_TRECHOS_CANAL!$G$21*AB12+CADASTRO_TRECHOS_CANAL!$H$21*AB13+CADASTRO_TRECHOS_CANAL!$I$21*AB14+CADASTRO_TRECHOS_CANAL!$J$21*AB15</f>
        <v>20262.9608323471</v>
      </c>
      <c r="AC83" s="16" t="n">
        <f aca="false">CADASTRO_TRECHOS_CANAL!$C$21*AC8+CADASTRO_TRECHOS_CANAL!$D$21*AC9+CADASTRO_TRECHOS_CANAL!$E$21*AC10+CADASTRO_TRECHOS_CANAL!$F$21*AC11+CADASTRO_TRECHOS_CANAL!$G$21*AC12+CADASTRO_TRECHOS_CANAL!$H$21*AC13+CADASTRO_TRECHOS_CANAL!$I$21*AC14+CADASTRO_TRECHOS_CANAL!$J$21*AC15</f>
        <v>28014.466117647</v>
      </c>
      <c r="AD83" s="16" t="n">
        <f aca="false">CADASTRO_TRECHOS_CANAL!$C$21*AD8+CADASTRO_TRECHOS_CANAL!$D$21*AD9+CADASTRO_TRECHOS_CANAL!$E$21*AD10+CADASTRO_TRECHOS_CANAL!$F$21*AD11+CADASTRO_TRECHOS_CANAL!$G$21*AD12+CADASTRO_TRECHOS_CANAL!$H$21*AD13+CADASTRO_TRECHOS_CANAL!$I$21*AD14+CADASTRO_TRECHOS_CANAL!$J$21*AD15</f>
        <v>28014.466117647</v>
      </c>
      <c r="AE83" s="16" t="n">
        <f aca="false">CADASTRO_TRECHOS_CANAL!$C$21*AE8+CADASTRO_TRECHOS_CANAL!$D$21*AE9+CADASTRO_TRECHOS_CANAL!$E$21*AE10+CADASTRO_TRECHOS_CANAL!$F$21*AE11+CADASTRO_TRECHOS_CANAL!$G$21*AE12+CADASTRO_TRECHOS_CANAL!$H$21*AE13+CADASTRO_TRECHOS_CANAL!$I$21*AE14+CADASTRO_TRECHOS_CANAL!$J$21*AE15</f>
        <v>28014.466117647</v>
      </c>
      <c r="AF83" s="16" t="n">
        <f aca="false">CADASTRO_TRECHOS_CANAL!$C$21*AF8+CADASTRO_TRECHOS_CANAL!$D$21*AF9+CADASTRO_TRECHOS_CANAL!$E$21*AF10+CADASTRO_TRECHOS_CANAL!$F$21*AF11+CADASTRO_TRECHOS_CANAL!$G$21*AF12+CADASTRO_TRECHOS_CANAL!$H$21*AF13+CADASTRO_TRECHOS_CANAL!$I$21*AF14+CADASTRO_TRECHOS_CANAL!$J$21*AF15</f>
        <v>28014.466117647</v>
      </c>
      <c r="AG83" s="16" t="n">
        <f aca="false">CADASTRO_TRECHOS_CANAL!$C$21*AG8+CADASTRO_TRECHOS_CANAL!$D$21*AG9+CADASTRO_TRECHOS_CANAL!$E$21*AG10+CADASTRO_TRECHOS_CANAL!$F$21*AG11+CADASTRO_TRECHOS_CANAL!$G$21*AG12+CADASTRO_TRECHOS_CANAL!$H$21*AG13+CADASTRO_TRECHOS_CANAL!$I$21*AG14+CADASTRO_TRECHOS_CANAL!$J$21*AG15</f>
        <v>73213.4894401258</v>
      </c>
      <c r="AH83" s="16" t="n">
        <f aca="false">CADASTRO_TRECHOS_CANAL!$C$21*AH8+CADASTRO_TRECHOS_CANAL!$D$21*AH9+CADASTRO_TRECHOS_CANAL!$E$21*AH10+CADASTRO_TRECHOS_CANAL!$F$21*AH11+CADASTRO_TRECHOS_CANAL!$G$21*AH12+CADASTRO_TRECHOS_CANAL!$H$21*AH13+CADASTRO_TRECHOS_CANAL!$I$21*AH14+CADASTRO_TRECHOS_CANAL!$J$21*AH15</f>
        <v>125640.372091116</v>
      </c>
      <c r="AI83" s="16" t="n">
        <f aca="false">CADASTRO_TRECHOS_CANAL!$C$21*AI8+CADASTRO_TRECHOS_CANAL!$D$21*AI9+CADASTRO_TRECHOS_CANAL!$E$21*AI10+CADASTRO_TRECHOS_CANAL!$F$21*AI11+CADASTRO_TRECHOS_CANAL!$G$21*AI12+CADASTRO_TRECHOS_CANAL!$H$21*AI13+CADASTRO_TRECHOS_CANAL!$I$21*AI14+CADASTRO_TRECHOS_CANAL!$J$21*AI15</f>
        <v>134430.642733496</v>
      </c>
      <c r="AJ83" s="16" t="n">
        <f aca="false">CADASTRO_TRECHOS_CANAL!$C$21*AJ8+CADASTRO_TRECHOS_CANAL!$D$21*AJ9+CADASTRO_TRECHOS_CANAL!$E$21*AJ10+CADASTRO_TRECHOS_CANAL!$F$21*AJ11+CADASTRO_TRECHOS_CANAL!$G$21*AJ12+CADASTRO_TRECHOS_CANAL!$H$21*AJ13+CADASTRO_TRECHOS_CANAL!$I$21*AJ14+CADASTRO_TRECHOS_CANAL!$J$21*AJ15</f>
        <v>143220.913375875</v>
      </c>
      <c r="AK83" s="16" t="n">
        <f aca="false">CADASTRO_TRECHOS_CANAL!$C$21*AK8+CADASTRO_TRECHOS_CANAL!$D$21*AK9+CADASTRO_TRECHOS_CANAL!$E$21*AK10+CADASTRO_TRECHOS_CANAL!$F$21*AK11+CADASTRO_TRECHOS_CANAL!$G$21*AK12+CADASTRO_TRECHOS_CANAL!$H$21*AK13+CADASTRO_TRECHOS_CANAL!$I$21*AK14+CADASTRO_TRECHOS_CANAL!$J$21*AK15</f>
        <v>155950.966308985</v>
      </c>
      <c r="AL83" s="16" t="n">
        <f aca="false">CADASTRO_TRECHOS_CANAL!$C$21*AL8+CADASTRO_TRECHOS_CANAL!$D$21*AL9+CADASTRO_TRECHOS_CANAL!$E$21*AL10+CADASTRO_TRECHOS_CANAL!$F$21*AL11+CADASTRO_TRECHOS_CANAL!$G$21*AL12+CADASTRO_TRECHOS_CANAL!$H$21*AL13+CADASTRO_TRECHOS_CANAL!$I$21*AL14+CADASTRO_TRECHOS_CANAL!$J$21*AL15</f>
        <v>184696.767420815</v>
      </c>
      <c r="AM83" s="16" t="n">
        <f aca="false">CADASTRO_TRECHOS_CANAL!$C$21*AM8+CADASTRO_TRECHOS_CANAL!$D$21*AM9+CADASTRO_TRECHOS_CANAL!$E$21*AM10+CADASTRO_TRECHOS_CANAL!$F$21*AM11+CADASTRO_TRECHOS_CANAL!$G$21*AM12+CADASTRO_TRECHOS_CANAL!$H$21*AM13+CADASTRO_TRECHOS_CANAL!$I$21*AM14+CADASTRO_TRECHOS_CANAL!$J$21*AM15</f>
        <v>176672.984162896</v>
      </c>
      <c r="AN83" s="16" t="n">
        <f aca="false">CADASTRO_TRECHOS_CANAL!$C$21*AN8+CADASTRO_TRECHOS_CANAL!$D$21*AN9+CADASTRO_TRECHOS_CANAL!$E$21*AN10+CADASTRO_TRECHOS_CANAL!$F$21*AN11+CADASTRO_TRECHOS_CANAL!$G$21*AN12+CADASTRO_TRECHOS_CANAL!$H$21*AN13+CADASTRO_TRECHOS_CANAL!$I$21*AN14+CADASTRO_TRECHOS_CANAL!$J$21*AN15</f>
        <v>168649.200904977</v>
      </c>
      <c r="AO83" s="16" t="n">
        <f aca="false">CADASTRO_TRECHOS_CANAL!$C$21*AO8+CADASTRO_TRECHOS_CANAL!$D$21*AO9+CADASTRO_TRECHOS_CANAL!$E$21*AO10+CADASTRO_TRECHOS_CANAL!$F$21*AO11+CADASTRO_TRECHOS_CANAL!$G$21*AO12+CADASTRO_TRECHOS_CANAL!$H$21*AO13+CADASTRO_TRECHOS_CANAL!$I$21*AO14+CADASTRO_TRECHOS_CANAL!$J$21*AO15</f>
        <v>160625.417647059</v>
      </c>
      <c r="AP83" s="16" t="n">
        <f aca="false">CADASTRO_TRECHOS_CANAL!$C$21*AP8+CADASTRO_TRECHOS_CANAL!$D$21*AP9+CADASTRO_TRECHOS_CANAL!$E$21*AP10+CADASTRO_TRECHOS_CANAL!$F$21*AP11+CADASTRO_TRECHOS_CANAL!$G$21*AP12+CADASTRO_TRECHOS_CANAL!$H$21*AP13+CADASTRO_TRECHOS_CANAL!$I$21*AP14+CADASTRO_TRECHOS_CANAL!$J$21*AP15</f>
        <v>155119.435242405</v>
      </c>
      <c r="AQ83" s="16" t="n">
        <f aca="false">CADASTRO_TRECHOS_CANAL!$C$21*AQ8+CADASTRO_TRECHOS_CANAL!$D$21*AQ9+CADASTRO_TRECHOS_CANAL!$E$21*AQ10+CADASTRO_TRECHOS_CANAL!$F$21*AQ11+CADASTRO_TRECHOS_CANAL!$G$21*AQ12+CADASTRO_TRECHOS_CANAL!$H$21*AQ13+CADASTRO_TRECHOS_CANAL!$I$21*AQ14+CADASTRO_TRECHOS_CANAL!$J$21*AQ15</f>
        <v>147897.370377074</v>
      </c>
      <c r="AR83" s="16" t="n">
        <f aca="false">CADASTRO_TRECHOS_CANAL!$C$21*AR8+CADASTRO_TRECHOS_CANAL!$D$21*AR9+CADASTRO_TRECHOS_CANAL!$E$21*AR10+CADASTRO_TRECHOS_CANAL!$F$21*AR11+CADASTRO_TRECHOS_CANAL!$G$21*AR12+CADASTRO_TRECHOS_CANAL!$H$21*AR13+CADASTRO_TRECHOS_CANAL!$I$21*AR14+CADASTRO_TRECHOS_CANAL!$J$21*AR15</f>
        <v>98333.8252066365</v>
      </c>
      <c r="AS83" s="16" t="n">
        <f aca="false">CADASTRO_TRECHOS_CANAL!$C$21*AS8+CADASTRO_TRECHOS_CANAL!$D$21*AS9+CADASTRO_TRECHOS_CANAL!$E$21*AS10+CADASTRO_TRECHOS_CANAL!$F$21*AS11+CADASTRO_TRECHOS_CANAL!$G$21*AS12+CADASTRO_TRECHOS_CANAL!$H$21*AS13+CADASTRO_TRECHOS_CANAL!$I$21*AS14+CADASTRO_TRECHOS_CANAL!$J$21*AS15</f>
        <v>94392.3636078431</v>
      </c>
      <c r="AT83" s="16" t="n">
        <f aca="false">CADASTRO_TRECHOS_CANAL!$C$21*AT8+CADASTRO_TRECHOS_CANAL!$D$21*AT9+CADASTRO_TRECHOS_CANAL!$E$21*AT10+CADASTRO_TRECHOS_CANAL!$F$21*AT11+CADASTRO_TRECHOS_CANAL!$G$21*AT12+CADASTRO_TRECHOS_CANAL!$H$21*AT13+CADASTRO_TRECHOS_CANAL!$I$21*AT14+CADASTRO_TRECHOS_CANAL!$J$21*AT15</f>
        <v>74172.4343339797</v>
      </c>
      <c r="AU83" s="16" t="n">
        <f aca="false">CADASTRO_TRECHOS_CANAL!$C$21*AU8+CADASTRO_TRECHOS_CANAL!$D$21*AU9+CADASTRO_TRECHOS_CANAL!$E$21*AU10+CADASTRO_TRECHOS_CANAL!$F$21*AU11+CADASTRO_TRECHOS_CANAL!$G$21*AU12+CADASTRO_TRECHOS_CANAL!$H$21*AU13+CADASTRO_TRECHOS_CANAL!$I$21*AU14+CADASTRO_TRECHOS_CANAL!$J$21*AU15</f>
        <v>71141.2077435897</v>
      </c>
      <c r="AV83" s="16" t="n">
        <f aca="false">CADASTRO_TRECHOS_CANAL!$C$21*AV8+CADASTRO_TRECHOS_CANAL!$D$21*AV9+CADASTRO_TRECHOS_CANAL!$E$21*AV10+CADASTRO_TRECHOS_CANAL!$F$21*AV11+CADASTRO_TRECHOS_CANAL!$G$21*AV12+CADASTRO_TRECHOS_CANAL!$H$21*AV13+CADASTRO_TRECHOS_CANAL!$I$21*AV14+CADASTRO_TRECHOS_CANAL!$J$21*AV15</f>
        <v>65352.4311312217</v>
      </c>
      <c r="AW83" s="16" t="n">
        <f aca="false">CADASTRO_TRECHOS_CANAL!$C$21*AW8+CADASTRO_TRECHOS_CANAL!$D$21*AW9+CADASTRO_TRECHOS_CANAL!$E$21*AW10+CADASTRO_TRECHOS_CANAL!$F$21*AW11+CADASTRO_TRECHOS_CANAL!$G$21*AW12+CADASTRO_TRECHOS_CANAL!$H$21*AW13+CADASTRO_TRECHOS_CANAL!$I$21*AW14+CADASTRO_TRECHOS_CANAL!$J$21*AW15</f>
        <v>59563.6545188537</v>
      </c>
      <c r="AX83" s="16" t="n">
        <f aca="false">CADASTRO_TRECHOS_CANAL!$C$21*AX8+CADASTRO_TRECHOS_CANAL!$D$21*AX9+CADASTRO_TRECHOS_CANAL!$E$21*AX10+CADASTRO_TRECHOS_CANAL!$F$21*AX11+CADASTRO_TRECHOS_CANAL!$G$21*AX12+CADASTRO_TRECHOS_CANAL!$H$21*AX13+CADASTRO_TRECHOS_CANAL!$I$21*AX14+CADASTRO_TRECHOS_CANAL!$J$21*AX15</f>
        <v>55305.3936117216</v>
      </c>
      <c r="AY83" s="16" t="n">
        <f aca="false">CADASTRO_TRECHOS_CANAL!$C$21*AY8+CADASTRO_TRECHOS_CANAL!$D$21*AY9+CADASTRO_TRECHOS_CANAL!$E$21*AY10+CADASTRO_TRECHOS_CANAL!$F$21*AY11+CADASTRO_TRECHOS_CANAL!$G$21*AY12+CADASTRO_TRECHOS_CANAL!$H$21*AY13+CADASTRO_TRECHOS_CANAL!$I$21*AY14+CADASTRO_TRECHOS_CANAL!$J$21*AY15</f>
        <v>33272.6274509804</v>
      </c>
      <c r="AZ83" s="16" t="n">
        <f aca="false">CADASTRO_TRECHOS_CANAL!$C$21*AZ8+CADASTRO_TRECHOS_CANAL!$D$21*AZ9+CADASTRO_TRECHOS_CANAL!$E$21*AZ10+CADASTRO_TRECHOS_CANAL!$F$21*AZ11+CADASTRO_TRECHOS_CANAL!$G$21*AZ12+CADASTRO_TRECHOS_CANAL!$H$21*AZ13+CADASTRO_TRECHOS_CANAL!$I$21*AZ14+CADASTRO_TRECHOS_CANAL!$J$21*AZ15</f>
        <v>29951.0588235294</v>
      </c>
      <c r="BA83" s="16" t="n">
        <f aca="false">CADASTRO_TRECHOS_CANAL!$C$21*BA8+CADASTRO_TRECHOS_CANAL!$D$21*BA9+CADASTRO_TRECHOS_CANAL!$E$21*BA10+CADASTRO_TRECHOS_CANAL!$F$21*BA11+CADASTRO_TRECHOS_CANAL!$G$21*BA12+CADASTRO_TRECHOS_CANAL!$H$21*BA13+CADASTRO_TRECHOS_CANAL!$I$21*BA14+CADASTRO_TRECHOS_CANAL!$J$21*BA15</f>
        <v>0</v>
      </c>
      <c r="BB83" s="16" t="n">
        <f aca="false">CADASTRO_TRECHOS_CANAL!$C$21*BB8+CADASTRO_TRECHOS_CANAL!$D$21*BB9+CADASTRO_TRECHOS_CANAL!$E$21*BB10+CADASTRO_TRECHOS_CANAL!$F$21*BB11+CADASTRO_TRECHOS_CANAL!$G$21*BB12+CADASTRO_TRECHOS_CANAL!$H$21*BB13+CADASTRO_TRECHOS_CANAL!$I$21*BB14+CADASTRO_TRECHOS_CANAL!$J$21*BB15</f>
        <v>0</v>
      </c>
      <c r="BC83" s="16" t="n">
        <f aca="false">CADASTRO_TRECHOS_CANAL!$C$21*BC8+CADASTRO_TRECHOS_CANAL!$D$21*BC9+CADASTRO_TRECHOS_CANAL!$E$21*BC10+CADASTRO_TRECHOS_CANAL!$F$21*BC11+CADASTRO_TRECHOS_CANAL!$G$21*BC12+CADASTRO_TRECHOS_CANAL!$H$21*BC13+CADASTRO_TRECHOS_CANAL!$I$21*BC14+CADASTRO_TRECHOS_CANAL!$J$21*BC15</f>
        <v>0</v>
      </c>
      <c r="BD83" s="16" t="n">
        <f aca="false">CADASTRO_TRECHOS_CANAL!$C$21*BD8+CADASTRO_TRECHOS_CANAL!$D$21*BD9+CADASTRO_TRECHOS_CANAL!$E$21*BD10+CADASTRO_TRECHOS_CANAL!$F$21*BD11+CADASTRO_TRECHOS_CANAL!$G$21*BD12+CADASTRO_TRECHOS_CANAL!$H$21*BD13+CADASTRO_TRECHOS_CANAL!$I$21*BD14+CADASTRO_TRECHOS_CANAL!$J$21*BD15</f>
        <v>0</v>
      </c>
      <c r="BE83" s="16" t="n">
        <f aca="false">CADASTRO_TRECHOS_CANAL!$C$21*BE8+CADASTRO_TRECHOS_CANAL!$D$21*BE9+CADASTRO_TRECHOS_CANAL!$E$21*BE10+CADASTRO_TRECHOS_CANAL!$F$21*BE11+CADASTRO_TRECHOS_CANAL!$G$21*BE12+CADASTRO_TRECHOS_CANAL!$H$21*BE13+CADASTRO_TRECHOS_CANAL!$I$21*BE14+CADASTRO_TRECHOS_CANAL!$J$21*BE15</f>
        <v>0</v>
      </c>
      <c r="BF83" s="16" t="n">
        <f aca="false">CADASTRO_TRECHOS_CANAL!$C$21*BF8+CADASTRO_TRECHOS_CANAL!$D$21*BF9+CADASTRO_TRECHOS_CANAL!$E$21*BF10+CADASTRO_TRECHOS_CANAL!$F$21*BF11+CADASTRO_TRECHOS_CANAL!$G$21*BF12+CADASTRO_TRECHOS_CANAL!$H$21*BF13+CADASTRO_TRECHOS_CANAL!$I$21*BF14+CADASTRO_TRECHOS_CANAL!$J$21*BF15</f>
        <v>0</v>
      </c>
      <c r="BG83" s="16" t="n">
        <f aca="false">CADASTRO_TRECHOS_CANAL!$C$21*BG8+CADASTRO_TRECHOS_CANAL!$D$21*BG9+CADASTRO_TRECHOS_CANAL!$E$21*BG10+CADASTRO_TRECHOS_CANAL!$F$21*BG11+CADASTRO_TRECHOS_CANAL!$G$21*BG12+CADASTRO_TRECHOS_CANAL!$H$21*BG13+CADASTRO_TRECHOS_CANAL!$I$21*BG14+CADASTRO_TRECHOS_CANAL!$J$21*BG15</f>
        <v>0</v>
      </c>
      <c r="BH83" s="16" t="n">
        <f aca="false">CADASTRO_TRECHOS_CANAL!$C$21*BH8+CADASTRO_TRECHOS_CANAL!$D$21*BH9+CADASTRO_TRECHOS_CANAL!$E$21*BH10+CADASTRO_TRECHOS_CANAL!$F$21*BH11+CADASTRO_TRECHOS_CANAL!$G$21*BH12+CADASTRO_TRECHOS_CANAL!$H$21*BH13+CADASTRO_TRECHOS_CANAL!$I$21*BH14+CADASTRO_TRECHOS_CANAL!$J$21*BH15</f>
        <v>0</v>
      </c>
      <c r="BI83" s="16" t="n">
        <f aca="false">CADASTRO_TRECHOS_CANAL!$C$21*BI8+CADASTRO_TRECHOS_CANAL!$D$21*BI9+CADASTRO_TRECHOS_CANAL!$E$21*BI10+CADASTRO_TRECHOS_CANAL!$F$21*BI11+CADASTRO_TRECHOS_CANAL!$G$21*BI12+CADASTRO_TRECHOS_CANAL!$H$21*BI13+CADASTRO_TRECHOS_CANAL!$I$21*BI14+CADASTRO_TRECHOS_CANAL!$J$21*BI15</f>
        <v>0</v>
      </c>
      <c r="BJ83" s="16" t="n">
        <f aca="false">CADASTRO_TRECHOS_CANAL!$C$21*BJ8+CADASTRO_TRECHOS_CANAL!$D$21*BJ9+CADASTRO_TRECHOS_CANAL!$E$21*BJ10+CADASTRO_TRECHOS_CANAL!$F$21*BJ11+CADASTRO_TRECHOS_CANAL!$G$21*BJ12+CADASTRO_TRECHOS_CANAL!$H$21*BJ13+CADASTRO_TRECHOS_CANAL!$I$21*BJ14+CADASTRO_TRECHOS_CANAL!$J$21*BJ15</f>
        <v>0</v>
      </c>
      <c r="BK83" s="16" t="n">
        <f aca="false">CADASTRO_TRECHOS_CANAL!$C$21*BK8+CADASTRO_TRECHOS_CANAL!$D$21*BK9+CADASTRO_TRECHOS_CANAL!$E$21*BK10+CADASTRO_TRECHOS_CANAL!$F$21*BK11+CADASTRO_TRECHOS_CANAL!$G$21*BK12+CADASTRO_TRECHOS_CANAL!$H$21*BK13+CADASTRO_TRECHOS_CANAL!$I$21*BK14+CADASTRO_TRECHOS_CANAL!$J$21*BK15</f>
        <v>0</v>
      </c>
      <c r="BL83" s="16" t="n">
        <f aca="false">CADASTRO_TRECHOS_CANAL!$C$21*BL8+CADASTRO_TRECHOS_CANAL!$D$21*BL9+CADASTRO_TRECHOS_CANAL!$E$21*BL10+CADASTRO_TRECHOS_CANAL!$F$21*BL11+CADASTRO_TRECHOS_CANAL!$G$21*BL12+CADASTRO_TRECHOS_CANAL!$H$21*BL13+CADASTRO_TRECHOS_CANAL!$I$21*BL14+CADASTRO_TRECHOS_CANAL!$J$21*BL15</f>
        <v>0</v>
      </c>
      <c r="BM83" s="16" t="n">
        <f aca="false">CADASTRO_TRECHOS_CANAL!$C$21*BM8+CADASTRO_TRECHOS_CANAL!$D$21*BM9+CADASTRO_TRECHOS_CANAL!$E$21*BM10+CADASTRO_TRECHOS_CANAL!$F$21*BM11+CADASTRO_TRECHOS_CANAL!$G$21*BM12+CADASTRO_TRECHOS_CANAL!$H$21*BM13+CADASTRO_TRECHOS_CANAL!$I$21*BM14+CADASTRO_TRECHOS_CANAL!$J$21*BM15</f>
        <v>0</v>
      </c>
      <c r="BN83" s="16" t="n">
        <f aca="false">CADASTRO_TRECHOS_CANAL!$C$21*BN8+CADASTRO_TRECHOS_CANAL!$D$21*BN9+CADASTRO_TRECHOS_CANAL!$E$21*BN10+CADASTRO_TRECHOS_CANAL!$F$21*BN11+CADASTRO_TRECHOS_CANAL!$G$21*BN12+CADASTRO_TRECHOS_CANAL!$H$21*BN13+CADASTRO_TRECHOS_CANAL!$I$21*BN14+CADASTRO_TRECHOS_CANAL!$J$21*BN15</f>
        <v>0</v>
      </c>
      <c r="BO83" s="16" t="n">
        <f aca="false">CADASTRO_TRECHOS_CANAL!$C$21*BO8+CADASTRO_TRECHOS_CANAL!$D$21*BO9+CADASTRO_TRECHOS_CANAL!$E$21*BO10+CADASTRO_TRECHOS_CANAL!$F$21*BO11+CADASTRO_TRECHOS_CANAL!$G$21*BO12+CADASTRO_TRECHOS_CANAL!$H$21*BO13+CADASTRO_TRECHOS_CANAL!$I$21*BO14+CADASTRO_TRECHOS_CANAL!$J$21*BO15</f>
        <v>0</v>
      </c>
      <c r="BP83" s="16" t="n">
        <f aca="false">CADASTRO_TRECHOS_CANAL!$C$21*BP8+CADASTRO_TRECHOS_CANAL!$D$21*BP9+CADASTRO_TRECHOS_CANAL!$E$21*BP10+CADASTRO_TRECHOS_CANAL!$F$21*BP11+CADASTRO_TRECHOS_CANAL!$G$21*BP12+CADASTRO_TRECHOS_CANAL!$H$21*BP13+CADASTRO_TRECHOS_CANAL!$I$21*BP14+CADASTRO_TRECHOS_CANAL!$J$21*BP15</f>
        <v>0</v>
      </c>
      <c r="BQ83" s="16" t="n">
        <f aca="false">SUM(C83:BP83)</f>
        <v>2729382.61448497</v>
      </c>
    </row>
    <row r="84" customFormat="false" ht="15" hidden="false" customHeight="false" outlineLevel="0" collapsed="false">
      <c r="B84" s="15" t="s">
        <v>175</v>
      </c>
      <c r="C84" s="16" t="n">
        <f aca="false">CADASTRO_TRECHOS_CANAL!$C$22*C8+CADASTRO_TRECHOS_CANAL!$D$22*C9+CADASTRO_TRECHOS_CANAL!$E$22*C10+CADASTRO_TRECHOS_CANAL!$F$22*C11+CADASTRO_TRECHOS_CANAL!$G$22*C12+CADASTRO_TRECHOS_CANAL!$H$22*C13+CADASTRO_TRECHOS_CANAL!$I$22*C14+CADASTRO_TRECHOS_CANAL!$J$22*C15</f>
        <v>96601.344</v>
      </c>
      <c r="D84" s="16" t="n">
        <f aca="false">CADASTRO_TRECHOS_CANAL!$C$22*D8+CADASTRO_TRECHOS_CANAL!$D$22*D9+CADASTRO_TRECHOS_CANAL!$E$22*D10+CADASTRO_TRECHOS_CANAL!$F$22*D11+CADASTRO_TRECHOS_CANAL!$G$22*D12+CADASTRO_TRECHOS_CANAL!$H$22*D13+CADASTRO_TRECHOS_CANAL!$I$22*D14+CADASTRO_TRECHOS_CANAL!$J$22*D15</f>
        <v>96643.68</v>
      </c>
      <c r="E84" s="16" t="n">
        <f aca="false">CADASTRO_TRECHOS_CANAL!$C$22*E8+CADASTRO_TRECHOS_CANAL!$D$22*E9+CADASTRO_TRECHOS_CANAL!$E$22*E10+CADASTRO_TRECHOS_CANAL!$F$22*E11+CADASTRO_TRECHOS_CANAL!$G$22*E12+CADASTRO_TRECHOS_CANAL!$H$22*E13+CADASTRO_TRECHOS_CANAL!$I$22*E14+CADASTRO_TRECHOS_CANAL!$J$22*E15</f>
        <v>96643.68</v>
      </c>
      <c r="F84" s="16" t="n">
        <f aca="false">CADASTRO_TRECHOS_CANAL!$C$22*F8+CADASTRO_TRECHOS_CANAL!$D$22*F9+CADASTRO_TRECHOS_CANAL!$E$22*F10+CADASTRO_TRECHOS_CANAL!$F$22*F11+CADASTRO_TRECHOS_CANAL!$G$22*F12+CADASTRO_TRECHOS_CANAL!$H$22*F13+CADASTRO_TRECHOS_CANAL!$I$22*F14+CADASTRO_TRECHOS_CANAL!$J$22*F15</f>
        <v>96643.68</v>
      </c>
      <c r="G84" s="16" t="n">
        <f aca="false">CADASTRO_TRECHOS_CANAL!$C$22*G8+CADASTRO_TRECHOS_CANAL!$D$22*G9+CADASTRO_TRECHOS_CANAL!$E$22*G10+CADASTRO_TRECHOS_CANAL!$F$22*G11+CADASTRO_TRECHOS_CANAL!$G$22*G12+CADASTRO_TRECHOS_CANAL!$H$22*G13+CADASTRO_TRECHOS_CANAL!$I$22*G14+CADASTRO_TRECHOS_CANAL!$J$22*G15</f>
        <v>72879.072</v>
      </c>
      <c r="H84" s="16" t="n">
        <f aca="false">CADASTRO_TRECHOS_CANAL!$C$22*H8+CADASTRO_TRECHOS_CANAL!$D$22*H9+CADASTRO_TRECHOS_CANAL!$E$22*H10+CADASTRO_TRECHOS_CANAL!$F$22*H11+CADASTRO_TRECHOS_CANAL!$G$22*H12+CADASTRO_TRECHOS_CANAL!$H$22*H13+CADASTRO_TRECHOS_CANAL!$I$22*H14+CADASTRO_TRECHOS_CANAL!$J$22*H15</f>
        <v>55055.616</v>
      </c>
      <c r="I84" s="16" t="n">
        <f aca="false">CADASTRO_TRECHOS_CANAL!$C$22*I8+CADASTRO_TRECHOS_CANAL!$D$22*I9+CADASTRO_TRECHOS_CANAL!$E$22*I10+CADASTRO_TRECHOS_CANAL!$F$22*I11+CADASTRO_TRECHOS_CANAL!$G$22*I12+CADASTRO_TRECHOS_CANAL!$H$22*I13+CADASTRO_TRECHOS_CANAL!$I$22*I14+CADASTRO_TRECHOS_CANAL!$J$22*I15</f>
        <v>55055.616</v>
      </c>
      <c r="J84" s="16" t="n">
        <f aca="false">CADASTRO_TRECHOS_CANAL!$C$22*J8+CADASTRO_TRECHOS_CANAL!$D$22*J9+CADASTRO_TRECHOS_CANAL!$E$22*J10+CADASTRO_TRECHOS_CANAL!$F$22*J11+CADASTRO_TRECHOS_CANAL!$G$22*J12+CADASTRO_TRECHOS_CANAL!$H$22*J13+CADASTRO_TRECHOS_CANAL!$I$22*J14+CADASTRO_TRECHOS_CANAL!$J$22*J15</f>
        <v>47449.248</v>
      </c>
      <c r="K84" s="16" t="n">
        <f aca="false">CADASTRO_TRECHOS_CANAL!$C$22*K8+CADASTRO_TRECHOS_CANAL!$D$22*K9+CADASTRO_TRECHOS_CANAL!$E$22*K10+CADASTRO_TRECHOS_CANAL!$F$22*K11+CADASTRO_TRECHOS_CANAL!$G$22*K12+CADASTRO_TRECHOS_CANAL!$H$22*K13+CADASTRO_TRECHOS_CANAL!$I$22*K14+CADASTRO_TRECHOS_CANAL!$J$22*K15</f>
        <v>31707.606</v>
      </c>
      <c r="L84" s="16" t="n">
        <f aca="false">CADASTRO_TRECHOS_CANAL!$C$22*L8+CADASTRO_TRECHOS_CANAL!$D$22*L9+CADASTRO_TRECHOS_CANAL!$E$22*L10+CADASTRO_TRECHOS_CANAL!$F$22*L11+CADASTRO_TRECHOS_CANAL!$G$22*L12+CADASTRO_TRECHOS_CANAL!$H$22*L13+CADASTRO_TRECHOS_CANAL!$I$22*L14+CADASTRO_TRECHOS_CANAL!$J$22*L15</f>
        <v>0</v>
      </c>
      <c r="M84" s="16" t="n">
        <f aca="false">CADASTRO_TRECHOS_CANAL!$C$22*M8+CADASTRO_TRECHOS_CANAL!$D$22*M9+CADASTRO_TRECHOS_CANAL!$E$22*M10+CADASTRO_TRECHOS_CANAL!$F$22*M11+CADASTRO_TRECHOS_CANAL!$G$22*M12+CADASTRO_TRECHOS_CANAL!$H$22*M13+CADASTRO_TRECHOS_CANAL!$I$22*M14+CADASTRO_TRECHOS_CANAL!$J$22*M15</f>
        <v>0</v>
      </c>
      <c r="N84" s="16" t="n">
        <f aca="false">CADASTRO_TRECHOS_CANAL!$C$22*N8+CADASTRO_TRECHOS_CANAL!$D$22*N9+CADASTRO_TRECHOS_CANAL!$E$22*N10+CADASTRO_TRECHOS_CANAL!$F$22*N11+CADASTRO_TRECHOS_CANAL!$G$22*N12+CADASTRO_TRECHOS_CANAL!$H$22*N13+CADASTRO_TRECHOS_CANAL!$I$22*N14+CADASTRO_TRECHOS_CANAL!$J$22*N15</f>
        <v>0</v>
      </c>
      <c r="O84" s="16" t="n">
        <f aca="false">CADASTRO_TRECHOS_CANAL!$C$22*O8+CADASTRO_TRECHOS_CANAL!$D$22*O9+CADASTRO_TRECHOS_CANAL!$E$22*O10+CADASTRO_TRECHOS_CANAL!$F$22*O11+CADASTRO_TRECHOS_CANAL!$G$22*O12+CADASTRO_TRECHOS_CANAL!$H$22*O13+CADASTRO_TRECHOS_CANAL!$I$22*O14+CADASTRO_TRECHOS_CANAL!$J$22*O15</f>
        <v>6569.44409136608</v>
      </c>
      <c r="P84" s="16" t="n">
        <f aca="false">CADASTRO_TRECHOS_CANAL!$C$22*P8+CADASTRO_TRECHOS_CANAL!$D$22*P9+CADASTRO_TRECHOS_CANAL!$E$22*P10+CADASTRO_TRECHOS_CANAL!$F$22*P11+CADASTRO_TRECHOS_CANAL!$G$22*P12+CADASTRO_TRECHOS_CANAL!$H$22*P13+CADASTRO_TRECHOS_CANAL!$I$22*P14+CADASTRO_TRECHOS_CANAL!$J$22*P15</f>
        <v>0</v>
      </c>
      <c r="Q84" s="16" t="n">
        <f aca="false">CADASTRO_TRECHOS_CANAL!$C$22*Q8+CADASTRO_TRECHOS_CANAL!$D$22*Q9+CADASTRO_TRECHOS_CANAL!$E$22*Q10+CADASTRO_TRECHOS_CANAL!$F$22*Q11+CADASTRO_TRECHOS_CANAL!$G$22*Q12+CADASTRO_TRECHOS_CANAL!$H$22*Q13+CADASTRO_TRECHOS_CANAL!$I$22*Q14+CADASTRO_TRECHOS_CANAL!$J$22*Q15</f>
        <v>0</v>
      </c>
      <c r="R84" s="16" t="n">
        <f aca="false">CADASTRO_TRECHOS_CANAL!$C$22*R8+CADASTRO_TRECHOS_CANAL!$D$22*R9+CADASTRO_TRECHOS_CANAL!$E$22*R10+CADASTRO_TRECHOS_CANAL!$F$22*R11+CADASTRO_TRECHOS_CANAL!$G$22*R12+CADASTRO_TRECHOS_CANAL!$H$22*R13+CADASTRO_TRECHOS_CANAL!$I$22*R14+CADASTRO_TRECHOS_CANAL!$J$22*R15</f>
        <v>0</v>
      </c>
      <c r="S84" s="16" t="n">
        <f aca="false">CADASTRO_TRECHOS_CANAL!$C$22*S8+CADASTRO_TRECHOS_CANAL!$D$22*S9+CADASTRO_TRECHOS_CANAL!$E$22*S10+CADASTRO_TRECHOS_CANAL!$F$22*S11+CADASTRO_TRECHOS_CANAL!$G$22*S12+CADASTRO_TRECHOS_CANAL!$H$22*S13+CADASTRO_TRECHOS_CANAL!$I$22*S14+CADASTRO_TRECHOS_CANAL!$J$22*S15</f>
        <v>0</v>
      </c>
      <c r="T84" s="16" t="n">
        <f aca="false">CADASTRO_TRECHOS_CANAL!$C$22*T8+CADASTRO_TRECHOS_CANAL!$D$22*T9+CADASTRO_TRECHOS_CANAL!$E$22*T10+CADASTRO_TRECHOS_CANAL!$F$22*T11+CADASTRO_TRECHOS_CANAL!$G$22*T12+CADASTRO_TRECHOS_CANAL!$H$22*T13+CADASTRO_TRECHOS_CANAL!$I$22*T14+CADASTRO_TRECHOS_CANAL!$J$22*T15</f>
        <v>1736.23905882352</v>
      </c>
      <c r="U84" s="16" t="n">
        <f aca="false">CADASTRO_TRECHOS_CANAL!$C$22*U8+CADASTRO_TRECHOS_CANAL!$D$22*U9+CADASTRO_TRECHOS_CANAL!$E$22*U10+CADASTRO_TRECHOS_CANAL!$F$22*U11+CADASTRO_TRECHOS_CANAL!$G$22*U12+CADASTRO_TRECHOS_CANAL!$H$22*U13+CADASTRO_TRECHOS_CANAL!$I$22*U14+CADASTRO_TRECHOS_CANAL!$J$22*U15</f>
        <v>8892.93176470587</v>
      </c>
      <c r="V84" s="16" t="n">
        <f aca="false">CADASTRO_TRECHOS_CANAL!$C$22*V8+CADASTRO_TRECHOS_CANAL!$D$22*V9+CADASTRO_TRECHOS_CANAL!$E$22*V10+CADASTRO_TRECHOS_CANAL!$F$22*V11+CADASTRO_TRECHOS_CANAL!$G$22*V12+CADASTRO_TRECHOS_CANAL!$H$22*V13+CADASTRO_TRECHOS_CANAL!$I$22*V14+CADASTRO_TRECHOS_CANAL!$J$22*V15</f>
        <v>8753.05504003416</v>
      </c>
      <c r="W84" s="16" t="n">
        <f aca="false">CADASTRO_TRECHOS_CANAL!$C$22*W8+CADASTRO_TRECHOS_CANAL!$D$22*W9+CADASTRO_TRECHOS_CANAL!$E$22*W10+CADASTRO_TRECHOS_CANAL!$F$22*W11+CADASTRO_TRECHOS_CANAL!$G$22*W12+CADASTRO_TRECHOS_CANAL!$H$22*W13+CADASTRO_TRECHOS_CANAL!$I$22*W14+CADASTRO_TRECHOS_CANAL!$J$22*W15</f>
        <v>0</v>
      </c>
      <c r="X84" s="16" t="n">
        <f aca="false">CADASTRO_TRECHOS_CANAL!$C$22*X8+CADASTRO_TRECHOS_CANAL!$D$22*X9+CADASTRO_TRECHOS_CANAL!$E$22*X10+CADASTRO_TRECHOS_CANAL!$F$22*X11+CADASTRO_TRECHOS_CANAL!$G$22*X12+CADASTRO_TRECHOS_CANAL!$H$22*X13+CADASTRO_TRECHOS_CANAL!$I$22*X14+CADASTRO_TRECHOS_CANAL!$J$22*X15</f>
        <v>0</v>
      </c>
      <c r="Y84" s="16" t="n">
        <f aca="false">CADASTRO_TRECHOS_CANAL!$C$22*Y8+CADASTRO_TRECHOS_CANAL!$D$22*Y9+CADASTRO_TRECHOS_CANAL!$E$22*Y10+CADASTRO_TRECHOS_CANAL!$F$22*Y11+CADASTRO_TRECHOS_CANAL!$G$22*Y12+CADASTRO_TRECHOS_CANAL!$H$22*Y13+CADASTRO_TRECHOS_CANAL!$I$22*Y14+CADASTRO_TRECHOS_CANAL!$J$22*Y15</f>
        <v>0</v>
      </c>
      <c r="Z84" s="16" t="n">
        <f aca="false">CADASTRO_TRECHOS_CANAL!$C$22*Z8+CADASTRO_TRECHOS_CANAL!$D$22*Z9+CADASTRO_TRECHOS_CANAL!$E$22*Z10+CADASTRO_TRECHOS_CANAL!$F$22*Z11+CADASTRO_TRECHOS_CANAL!$G$22*Z12+CADASTRO_TRECHOS_CANAL!$H$22*Z13+CADASTRO_TRECHOS_CANAL!$I$22*Z14+CADASTRO_TRECHOS_CANAL!$J$22*Z15</f>
        <v>11348.1049198283</v>
      </c>
      <c r="AA84" s="16" t="n">
        <f aca="false">CADASTRO_TRECHOS_CANAL!$C$22*AA8+CADASTRO_TRECHOS_CANAL!$D$22*AA9+CADASTRO_TRECHOS_CANAL!$E$22*AA10+CADASTRO_TRECHOS_CANAL!$F$22*AA11+CADASTRO_TRECHOS_CANAL!$G$22*AA12+CADASTRO_TRECHOS_CANAL!$H$22*AA13+CADASTRO_TRECHOS_CANAL!$I$22*AA14+CADASTRO_TRECHOS_CANAL!$J$22*AA15</f>
        <v>31403.181490196</v>
      </c>
      <c r="AB84" s="16" t="n">
        <f aca="false">CADASTRO_TRECHOS_CANAL!$C$22*AB8+CADASTRO_TRECHOS_CANAL!$D$22*AB9+CADASTRO_TRECHOS_CANAL!$E$22*AB10+CADASTRO_TRECHOS_CANAL!$F$22*AB11+CADASTRO_TRECHOS_CANAL!$G$22*AB12+CADASTRO_TRECHOS_CANAL!$H$22*AB13+CADASTRO_TRECHOS_CANAL!$I$22*AB14+CADASTRO_TRECHOS_CANAL!$J$22*AB15</f>
        <v>32385.7948235294</v>
      </c>
      <c r="AC84" s="16" t="n">
        <f aca="false">CADASTRO_TRECHOS_CANAL!$C$22*AC8+CADASTRO_TRECHOS_CANAL!$D$22*AC9+CADASTRO_TRECHOS_CANAL!$E$22*AC10+CADASTRO_TRECHOS_CANAL!$F$22*AC11+CADASTRO_TRECHOS_CANAL!$G$22*AC12+CADASTRO_TRECHOS_CANAL!$H$22*AC13+CADASTRO_TRECHOS_CANAL!$I$22*AC14+CADASTRO_TRECHOS_CANAL!$J$22*AC15</f>
        <v>40008.2578823529</v>
      </c>
      <c r="AD84" s="16" t="n">
        <f aca="false">CADASTRO_TRECHOS_CANAL!$C$22*AD8+CADASTRO_TRECHOS_CANAL!$D$22*AD9+CADASTRO_TRECHOS_CANAL!$E$22*AD10+CADASTRO_TRECHOS_CANAL!$F$22*AD11+CADASTRO_TRECHOS_CANAL!$G$22*AD12+CADASTRO_TRECHOS_CANAL!$H$22*AD13+CADASTRO_TRECHOS_CANAL!$I$22*AD14+CADASTRO_TRECHOS_CANAL!$J$22*AD15</f>
        <v>40008.2578823529</v>
      </c>
      <c r="AE84" s="16" t="n">
        <f aca="false">CADASTRO_TRECHOS_CANAL!$C$22*AE8+CADASTRO_TRECHOS_CANAL!$D$22*AE9+CADASTRO_TRECHOS_CANAL!$E$22*AE10+CADASTRO_TRECHOS_CANAL!$F$22*AE11+CADASTRO_TRECHOS_CANAL!$G$22*AE12+CADASTRO_TRECHOS_CANAL!$H$22*AE13+CADASTRO_TRECHOS_CANAL!$I$22*AE14+CADASTRO_TRECHOS_CANAL!$J$22*AE15</f>
        <v>40008.2578823529</v>
      </c>
      <c r="AF84" s="16" t="n">
        <f aca="false">CADASTRO_TRECHOS_CANAL!$C$22*AF8+CADASTRO_TRECHOS_CANAL!$D$22*AF9+CADASTRO_TRECHOS_CANAL!$E$22*AF10+CADASTRO_TRECHOS_CANAL!$F$22*AF11+CADASTRO_TRECHOS_CANAL!$G$22*AF12+CADASTRO_TRECHOS_CANAL!$H$22*AF13+CADASTRO_TRECHOS_CANAL!$I$22*AF14+CADASTRO_TRECHOS_CANAL!$J$22*AF15</f>
        <v>40008.2578823529</v>
      </c>
      <c r="AG84" s="16" t="n">
        <f aca="false">CADASTRO_TRECHOS_CANAL!$C$22*AG8+CADASTRO_TRECHOS_CANAL!$D$22*AG9+CADASTRO_TRECHOS_CANAL!$E$22*AG10+CADASTRO_TRECHOS_CANAL!$F$22*AG11+CADASTRO_TRECHOS_CANAL!$G$22*AG12+CADASTRO_TRECHOS_CANAL!$H$22*AG13+CADASTRO_TRECHOS_CANAL!$I$22*AG14+CADASTRO_TRECHOS_CANAL!$J$22*AG15</f>
        <v>90352.9957647059</v>
      </c>
      <c r="AH84" s="16" t="n">
        <f aca="false">CADASTRO_TRECHOS_CANAL!$C$22*AH8+CADASTRO_TRECHOS_CANAL!$D$22*AH9+CADASTRO_TRECHOS_CANAL!$E$22*AH10+CADASTRO_TRECHOS_CANAL!$F$22*AH11+CADASTRO_TRECHOS_CANAL!$G$22*AH12+CADASTRO_TRECHOS_CANAL!$H$22*AH13+CADASTRO_TRECHOS_CANAL!$I$22*AH14+CADASTRO_TRECHOS_CANAL!$J$22*AH15</f>
        <v>128111.549176471</v>
      </c>
      <c r="AI84" s="16" t="n">
        <f aca="false">CADASTRO_TRECHOS_CANAL!$C$22*AI8+CADASTRO_TRECHOS_CANAL!$D$22*AI9+CADASTRO_TRECHOS_CANAL!$E$22*AI10+CADASTRO_TRECHOS_CANAL!$F$22*AI11+CADASTRO_TRECHOS_CANAL!$G$22*AI12+CADASTRO_TRECHOS_CANAL!$H$22*AI13+CADASTRO_TRECHOS_CANAL!$I$22*AI14+CADASTRO_TRECHOS_CANAL!$J$22*AI15</f>
        <v>128111.549176471</v>
      </c>
      <c r="AJ84" s="16" t="n">
        <f aca="false">CADASTRO_TRECHOS_CANAL!$C$22*AJ8+CADASTRO_TRECHOS_CANAL!$D$22*AJ9+CADASTRO_TRECHOS_CANAL!$E$22*AJ10+CADASTRO_TRECHOS_CANAL!$F$22*AJ11+CADASTRO_TRECHOS_CANAL!$G$22*AJ12+CADASTRO_TRECHOS_CANAL!$H$22*AJ13+CADASTRO_TRECHOS_CANAL!$I$22*AJ14+CADASTRO_TRECHOS_CANAL!$J$22*AJ15</f>
        <v>125491.737411765</v>
      </c>
      <c r="AK84" s="16" t="n">
        <f aca="false">CADASTRO_TRECHOS_CANAL!$C$22*AK8+CADASTRO_TRECHOS_CANAL!$D$22*AK9+CADASTRO_TRECHOS_CANAL!$E$22*AK10+CADASTRO_TRECHOS_CANAL!$F$22*AK11+CADASTRO_TRECHOS_CANAL!$G$22*AK12+CADASTRO_TRECHOS_CANAL!$H$22*AK13+CADASTRO_TRECHOS_CANAL!$I$22*AK14+CADASTRO_TRECHOS_CANAL!$J$22*AK15</f>
        <v>131170.140307692</v>
      </c>
      <c r="AL84" s="16" t="n">
        <f aca="false">CADASTRO_TRECHOS_CANAL!$C$22*AL8+CADASTRO_TRECHOS_CANAL!$D$22*AL9+CADASTRO_TRECHOS_CANAL!$E$22*AL10+CADASTRO_TRECHOS_CANAL!$F$22*AL11+CADASTRO_TRECHOS_CANAL!$G$22*AL12+CADASTRO_TRECHOS_CANAL!$H$22*AL13+CADASTRO_TRECHOS_CANAL!$I$22*AL14+CADASTRO_TRECHOS_CANAL!$J$22*AL15</f>
        <v>152107.353014823</v>
      </c>
      <c r="AM84" s="16" t="n">
        <f aca="false">CADASTRO_TRECHOS_CANAL!$C$22*AM8+CADASTRO_TRECHOS_CANAL!$D$22*AM9+CADASTRO_TRECHOS_CANAL!$E$22*AM10+CADASTRO_TRECHOS_CANAL!$F$22*AM11+CADASTRO_TRECHOS_CANAL!$G$22*AM12+CADASTRO_TRECHOS_CANAL!$H$22*AM13+CADASTRO_TRECHOS_CANAL!$I$22*AM14+CADASTRO_TRECHOS_CANAL!$J$22*AM15</f>
        <v>141152.760410673</v>
      </c>
      <c r="AN84" s="16" t="n">
        <f aca="false">CADASTRO_TRECHOS_CANAL!$C$22*AN8+CADASTRO_TRECHOS_CANAL!$D$22*AN9+CADASTRO_TRECHOS_CANAL!$E$22*AN10+CADASTRO_TRECHOS_CANAL!$F$22*AN11+CADASTRO_TRECHOS_CANAL!$G$22*AN12+CADASTRO_TRECHOS_CANAL!$H$22*AN13+CADASTRO_TRECHOS_CANAL!$I$22*AN14+CADASTRO_TRECHOS_CANAL!$J$22*AN15</f>
        <v>130198.167806522</v>
      </c>
      <c r="AO84" s="16" t="n">
        <f aca="false">CADASTRO_TRECHOS_CANAL!$C$22*AO8+CADASTRO_TRECHOS_CANAL!$D$22*AO9+CADASTRO_TRECHOS_CANAL!$E$22*AO10+CADASTRO_TRECHOS_CANAL!$F$22*AO11+CADASTRO_TRECHOS_CANAL!$G$22*AO12+CADASTRO_TRECHOS_CANAL!$H$22*AO13+CADASTRO_TRECHOS_CANAL!$I$22*AO14+CADASTRO_TRECHOS_CANAL!$J$22*AO15</f>
        <v>119243.575202372</v>
      </c>
      <c r="AP84" s="16" t="n">
        <f aca="false">CADASTRO_TRECHOS_CANAL!$C$22*AP8+CADASTRO_TRECHOS_CANAL!$D$22*AP9+CADASTRO_TRECHOS_CANAL!$E$22*AP10+CADASTRO_TRECHOS_CANAL!$F$22*AP11+CADASTRO_TRECHOS_CANAL!$G$22*AP12+CADASTRO_TRECHOS_CANAL!$H$22*AP13+CADASTRO_TRECHOS_CANAL!$I$22*AP14+CADASTRO_TRECHOS_CANAL!$J$22*AP15</f>
        <v>124297.595418942</v>
      </c>
      <c r="AQ84" s="16" t="n">
        <f aca="false">CADASTRO_TRECHOS_CANAL!$C$22*AQ8+CADASTRO_TRECHOS_CANAL!$D$22*AQ9+CADASTRO_TRECHOS_CANAL!$E$22*AQ10+CADASTRO_TRECHOS_CANAL!$F$22*AQ11+CADASTRO_TRECHOS_CANAL!$G$22*AQ12+CADASTRO_TRECHOS_CANAL!$H$22*AQ13+CADASTRO_TRECHOS_CANAL!$I$22*AQ14+CADASTRO_TRECHOS_CANAL!$J$22*AQ15</f>
        <v>127871.240218443</v>
      </c>
      <c r="AR84" s="16" t="n">
        <f aca="false">CADASTRO_TRECHOS_CANAL!$C$22*AR8+CADASTRO_TRECHOS_CANAL!$D$22*AR9+CADASTRO_TRECHOS_CANAL!$E$22*AR10+CADASTRO_TRECHOS_CANAL!$F$22*AR11+CADASTRO_TRECHOS_CANAL!$G$22*AR12+CADASTRO_TRECHOS_CANAL!$H$22*AR13+CADASTRO_TRECHOS_CANAL!$I$22*AR14+CADASTRO_TRECHOS_CANAL!$J$22*AR15</f>
        <v>70695.1533306288</v>
      </c>
      <c r="AS84" s="16" t="n">
        <f aca="false">CADASTRO_TRECHOS_CANAL!$C$22*AS8+CADASTRO_TRECHOS_CANAL!$D$22*AS9+CADASTRO_TRECHOS_CANAL!$E$22*AS10+CADASTRO_TRECHOS_CANAL!$F$22*AS11+CADASTRO_TRECHOS_CANAL!$G$22*AS12+CADASTRO_TRECHOS_CANAL!$H$22*AS13+CADASTRO_TRECHOS_CANAL!$I$22*AS14+CADASTRO_TRECHOS_CANAL!$J$22*AS15</f>
        <v>66531.8429858012</v>
      </c>
      <c r="AT84" s="16" t="n">
        <f aca="false">CADASTRO_TRECHOS_CANAL!$C$22*AT8+CADASTRO_TRECHOS_CANAL!$D$22*AT9+CADASTRO_TRECHOS_CANAL!$E$22*AT10+CADASTRO_TRECHOS_CANAL!$F$22*AT11+CADASTRO_TRECHOS_CANAL!$G$22*AT12+CADASTRO_TRECHOS_CANAL!$H$22*AT13+CADASTRO_TRECHOS_CANAL!$I$22*AT14+CADASTRO_TRECHOS_CANAL!$J$22*AT15</f>
        <v>40749.9686880325</v>
      </c>
      <c r="AU84" s="16" t="n">
        <f aca="false">CADASTRO_TRECHOS_CANAL!$C$22*AU8+CADASTRO_TRECHOS_CANAL!$D$22*AU9+CADASTRO_TRECHOS_CANAL!$E$22*AU10+CADASTRO_TRECHOS_CANAL!$F$22*AU11+CADASTRO_TRECHOS_CANAL!$G$22*AU12+CADASTRO_TRECHOS_CANAL!$H$22*AU13+CADASTRO_TRECHOS_CANAL!$I$22*AU14+CADASTRO_TRECHOS_CANAL!$J$22*AU15</f>
        <v>69612.6554060852</v>
      </c>
      <c r="AV84" s="16" t="n">
        <f aca="false">CADASTRO_TRECHOS_CANAL!$C$22*AV8+CADASTRO_TRECHOS_CANAL!$D$22*AV9+CADASTRO_TRECHOS_CANAL!$E$22*AV10+CADASTRO_TRECHOS_CANAL!$F$22*AV11+CADASTRO_TRECHOS_CANAL!$G$22*AV12+CADASTRO_TRECHOS_CANAL!$H$22*AV13+CADASTRO_TRECHOS_CANAL!$I$22*AV14+CADASTRO_TRECHOS_CANAL!$J$22*AV15</f>
        <v>87047.5718198783</v>
      </c>
      <c r="AW84" s="16" t="n">
        <f aca="false">CADASTRO_TRECHOS_CANAL!$C$22*AW8+CADASTRO_TRECHOS_CANAL!$D$22*AW9+CADASTRO_TRECHOS_CANAL!$E$22*AW10+CADASTRO_TRECHOS_CANAL!$F$22*AW11+CADASTRO_TRECHOS_CANAL!$G$22*AW12+CADASTRO_TRECHOS_CANAL!$H$22*AW13+CADASTRO_TRECHOS_CANAL!$I$22*AW14+CADASTRO_TRECHOS_CANAL!$J$22*AW15</f>
        <v>104482.488233671</v>
      </c>
      <c r="AX84" s="16" t="n">
        <f aca="false">CADASTRO_TRECHOS_CANAL!$C$22*AX8+CADASTRO_TRECHOS_CANAL!$D$22*AX9+CADASTRO_TRECHOS_CANAL!$E$22*AX10+CADASTRO_TRECHOS_CANAL!$F$22*AX11+CADASTRO_TRECHOS_CANAL!$G$22*AX12+CADASTRO_TRECHOS_CANAL!$H$22*AX13+CADASTRO_TRECHOS_CANAL!$I$22*AX14+CADASTRO_TRECHOS_CANAL!$J$22*AX15</f>
        <v>128328.126636917</v>
      </c>
      <c r="AY84" s="16" t="n">
        <f aca="false">CADASTRO_TRECHOS_CANAL!$C$22*AY8+CADASTRO_TRECHOS_CANAL!$D$22*AY9+CADASTRO_TRECHOS_CANAL!$E$22*AY10+CADASTRO_TRECHOS_CANAL!$F$22*AY11+CADASTRO_TRECHOS_CANAL!$G$22*AY12+CADASTRO_TRECHOS_CANAL!$H$22*AY13+CADASTRO_TRECHOS_CANAL!$I$22*AY14+CADASTRO_TRECHOS_CANAL!$J$22*AY15</f>
        <v>182388.326490872</v>
      </c>
      <c r="AZ84" s="16" t="n">
        <f aca="false">CADASTRO_TRECHOS_CANAL!$C$22*AZ8+CADASTRO_TRECHOS_CANAL!$D$22*AZ9+CADASTRO_TRECHOS_CANAL!$E$22*AZ10+CADASTRO_TRECHOS_CANAL!$F$22*AZ11+CADASTRO_TRECHOS_CANAL!$G$22*AZ12+CADASTRO_TRECHOS_CANAL!$H$22*AZ13+CADASTRO_TRECHOS_CANAL!$I$22*AZ14+CADASTRO_TRECHOS_CANAL!$J$22*AZ15</f>
        <v>199151.445277079</v>
      </c>
      <c r="BA84" s="16" t="n">
        <f aca="false">CADASTRO_TRECHOS_CANAL!$C$22*BA8+CADASTRO_TRECHOS_CANAL!$D$22*BA9+CADASTRO_TRECHOS_CANAL!$E$22*BA10+CADASTRO_TRECHOS_CANAL!$F$22*BA11+CADASTRO_TRECHOS_CANAL!$G$22*BA12+CADASTRO_TRECHOS_CANAL!$H$22*BA13+CADASTRO_TRECHOS_CANAL!$I$22*BA14+CADASTRO_TRECHOS_CANAL!$J$22*BA15</f>
        <v>213203.753139148</v>
      </c>
      <c r="BB84" s="16" t="n">
        <f aca="false">CADASTRO_TRECHOS_CANAL!$C$22*BB8+CADASTRO_TRECHOS_CANAL!$D$22*BB9+CADASTRO_TRECHOS_CANAL!$E$22*BB10+CADASTRO_TRECHOS_CANAL!$F$22*BB11+CADASTRO_TRECHOS_CANAL!$G$22*BB12+CADASTRO_TRECHOS_CANAL!$H$22*BB13+CADASTRO_TRECHOS_CANAL!$I$22*BB14+CADASTRO_TRECHOS_CANAL!$J$22*BB15</f>
        <v>227256.061001217</v>
      </c>
      <c r="BC84" s="16" t="n">
        <f aca="false">CADASTRO_TRECHOS_CANAL!$C$22*BC8+CADASTRO_TRECHOS_CANAL!$D$22*BC9+CADASTRO_TRECHOS_CANAL!$E$22*BC10+CADASTRO_TRECHOS_CANAL!$F$22*BC11+CADASTRO_TRECHOS_CANAL!$G$22*BC12+CADASTRO_TRECHOS_CANAL!$H$22*BC13+CADASTRO_TRECHOS_CANAL!$I$22*BC14+CADASTRO_TRECHOS_CANAL!$J$22*BC15</f>
        <v>239480.527831237</v>
      </c>
      <c r="BD84" s="16" t="n">
        <f aca="false">CADASTRO_TRECHOS_CANAL!$C$22*BD8+CADASTRO_TRECHOS_CANAL!$D$22*BD9+CADASTRO_TRECHOS_CANAL!$E$22*BD10+CADASTRO_TRECHOS_CANAL!$F$22*BD11+CADASTRO_TRECHOS_CANAL!$G$22*BD12+CADASTRO_TRECHOS_CANAL!$H$22*BD13+CADASTRO_TRECHOS_CANAL!$I$22*BD14+CADASTRO_TRECHOS_CANAL!$J$22*BD15</f>
        <v>241647.872941176</v>
      </c>
      <c r="BE84" s="16" t="n">
        <f aca="false">CADASTRO_TRECHOS_CANAL!$C$22*BE8+CADASTRO_TRECHOS_CANAL!$D$22*BE9+CADASTRO_TRECHOS_CANAL!$E$22*BE10+CADASTRO_TRECHOS_CANAL!$F$22*BE11+CADASTRO_TRECHOS_CANAL!$G$22*BE12+CADASTRO_TRECHOS_CANAL!$H$22*BE13+CADASTRO_TRECHOS_CANAL!$I$22*BE14+CADASTRO_TRECHOS_CANAL!$J$22*BE15</f>
        <v>241647.872941176</v>
      </c>
      <c r="BF84" s="16" t="n">
        <f aca="false">CADASTRO_TRECHOS_CANAL!$C$22*BF8+CADASTRO_TRECHOS_CANAL!$D$22*BF9+CADASTRO_TRECHOS_CANAL!$E$22*BF10+CADASTRO_TRECHOS_CANAL!$F$22*BF11+CADASTRO_TRECHOS_CANAL!$G$22*BF12+CADASTRO_TRECHOS_CANAL!$H$22*BF13+CADASTRO_TRECHOS_CANAL!$I$22*BF14+CADASTRO_TRECHOS_CANAL!$J$22*BF15</f>
        <v>233496.018823529</v>
      </c>
      <c r="BG84" s="16" t="n">
        <f aca="false">CADASTRO_TRECHOS_CANAL!$C$22*BG8+CADASTRO_TRECHOS_CANAL!$D$22*BG9+CADASTRO_TRECHOS_CANAL!$E$22*BG10+CADASTRO_TRECHOS_CANAL!$F$22*BG11+CADASTRO_TRECHOS_CANAL!$G$22*BG12+CADASTRO_TRECHOS_CANAL!$H$22*BG13+CADASTRO_TRECHOS_CANAL!$I$22*BG14+CADASTRO_TRECHOS_CANAL!$J$22*BG15</f>
        <v>174058.801720081</v>
      </c>
      <c r="BH84" s="16" t="n">
        <f aca="false">CADASTRO_TRECHOS_CANAL!$C$22*BH8+CADASTRO_TRECHOS_CANAL!$D$22*BH9+CADASTRO_TRECHOS_CANAL!$E$22*BH10+CADASTRO_TRECHOS_CANAL!$F$22*BH11+CADASTRO_TRECHOS_CANAL!$G$22*BH12+CADASTRO_TRECHOS_CANAL!$H$22*BH13+CADASTRO_TRECHOS_CANAL!$I$22*BH14+CADASTRO_TRECHOS_CANAL!$J$22*BH15</f>
        <v>100406.16074645</v>
      </c>
      <c r="BI84" s="16" t="n">
        <f aca="false">CADASTRO_TRECHOS_CANAL!$C$22*BI8+CADASTRO_TRECHOS_CANAL!$D$22*BI9+CADASTRO_TRECHOS_CANAL!$E$22*BI10+CADASTRO_TRECHOS_CANAL!$F$22*BI11+CADASTRO_TRECHOS_CANAL!$G$22*BI12+CADASTRO_TRECHOS_CANAL!$H$22*BI13+CADASTRO_TRECHOS_CANAL!$I$22*BI14+CADASTRO_TRECHOS_CANAL!$J$22*BI15</f>
        <v>85714.0834401622</v>
      </c>
      <c r="BJ84" s="16" t="n">
        <f aca="false">CADASTRO_TRECHOS_CANAL!$C$22*BJ8+CADASTRO_TRECHOS_CANAL!$D$22*BJ9+CADASTRO_TRECHOS_CANAL!$E$22*BJ10+CADASTRO_TRECHOS_CANAL!$F$22*BJ11+CADASTRO_TRECHOS_CANAL!$G$22*BJ12+CADASTRO_TRECHOS_CANAL!$H$22*BJ13+CADASTRO_TRECHOS_CANAL!$I$22*BJ14+CADASTRO_TRECHOS_CANAL!$J$22*BJ15</f>
        <v>65076.7989614604</v>
      </c>
      <c r="BK84" s="16" t="n">
        <f aca="false">CADASTRO_TRECHOS_CANAL!$C$22*BK8+CADASTRO_TRECHOS_CANAL!$D$22*BK9+CADASTRO_TRECHOS_CANAL!$E$22*BK10+CADASTRO_TRECHOS_CANAL!$F$22*BK11+CADASTRO_TRECHOS_CANAL!$G$22*BK12+CADASTRO_TRECHOS_CANAL!$H$22*BK13+CADASTRO_TRECHOS_CANAL!$I$22*BK14+CADASTRO_TRECHOS_CANAL!$J$22*BK15</f>
        <v>39318.3028965517</v>
      </c>
      <c r="BL84" s="16" t="n">
        <f aca="false">CADASTRO_TRECHOS_CANAL!$C$22*BL8+CADASTRO_TRECHOS_CANAL!$D$22*BL9+CADASTRO_TRECHOS_CANAL!$E$22*BL10+CADASTRO_TRECHOS_CANAL!$F$22*BL11+CADASTRO_TRECHOS_CANAL!$G$22*BL12+CADASTRO_TRECHOS_CANAL!$H$22*BL13+CADASTRO_TRECHOS_CANAL!$I$22*BL14+CADASTRO_TRECHOS_CANAL!$J$22*BL15</f>
        <v>0</v>
      </c>
      <c r="BM84" s="16" t="n">
        <f aca="false">CADASTRO_TRECHOS_CANAL!$C$22*BM8+CADASTRO_TRECHOS_CANAL!$D$22*BM9+CADASTRO_TRECHOS_CANAL!$E$22*BM10+CADASTRO_TRECHOS_CANAL!$F$22*BM11+CADASTRO_TRECHOS_CANAL!$G$22*BM12+CADASTRO_TRECHOS_CANAL!$H$22*BM13+CADASTRO_TRECHOS_CANAL!$I$22*BM14+CADASTRO_TRECHOS_CANAL!$J$22*BM15</f>
        <v>0</v>
      </c>
      <c r="BN84" s="16" t="n">
        <f aca="false">CADASTRO_TRECHOS_CANAL!$C$22*BN8+CADASTRO_TRECHOS_CANAL!$D$22*BN9+CADASTRO_TRECHOS_CANAL!$E$22*BN10+CADASTRO_TRECHOS_CANAL!$F$22*BN11+CADASTRO_TRECHOS_CANAL!$G$22*BN12+CADASTRO_TRECHOS_CANAL!$H$22*BN13+CADASTRO_TRECHOS_CANAL!$I$22*BN14+CADASTRO_TRECHOS_CANAL!$J$22*BN15</f>
        <v>0</v>
      </c>
      <c r="BO84" s="16" t="n">
        <f aca="false">CADASTRO_TRECHOS_CANAL!$C$22*BO8+CADASTRO_TRECHOS_CANAL!$D$22*BO9+CADASTRO_TRECHOS_CANAL!$E$22*BO10+CADASTRO_TRECHOS_CANAL!$F$22*BO11+CADASTRO_TRECHOS_CANAL!$G$22*BO12+CADASTRO_TRECHOS_CANAL!$H$22*BO13+CADASTRO_TRECHOS_CANAL!$I$22*BO14+CADASTRO_TRECHOS_CANAL!$J$22*BO15</f>
        <v>0</v>
      </c>
      <c r="BP84" s="16" t="n">
        <f aca="false">CADASTRO_TRECHOS_CANAL!$C$22*BP8+CADASTRO_TRECHOS_CANAL!$D$22*BP9+CADASTRO_TRECHOS_CANAL!$E$22*BP10+CADASTRO_TRECHOS_CANAL!$F$22*BP11+CADASTRO_TRECHOS_CANAL!$G$22*BP12+CADASTRO_TRECHOS_CANAL!$H$22*BP13+CADASTRO_TRECHOS_CANAL!$I$22*BP14+CADASTRO_TRECHOS_CANAL!$J$22*BP15</f>
        <v>0</v>
      </c>
      <c r="BQ84" s="16" t="n">
        <f aca="false">SUM(C84:BP84)</f>
        <v>5118203.82193793</v>
      </c>
    </row>
    <row r="85" customFormat="false" ht="15" hidden="false" customHeight="false" outlineLevel="0" collapsed="false">
      <c r="B85" s="15" t="s">
        <v>176</v>
      </c>
      <c r="C85" s="16" t="n">
        <f aca="false">CADASTRO_TRECHOS_CANAL!$C$23*C8+CADASTRO_TRECHOS_CANAL!$D$23*C9+CADASTRO_TRECHOS_CANAL!$E$23*C10+CADASTRO_TRECHOS_CANAL!$F$23*C11+CADASTRO_TRECHOS_CANAL!$G$23*C12+CADASTRO_TRECHOS_CANAL!$H$23*C13+CADASTRO_TRECHOS_CANAL!$I$23*C14+CADASTRO_TRECHOS_CANAL!$J$23*C15</f>
        <v>148517.964621022</v>
      </c>
      <c r="D85" s="16" t="n">
        <f aca="false">CADASTRO_TRECHOS_CANAL!$C$23*D8+CADASTRO_TRECHOS_CANAL!$D$23*D9+CADASTRO_TRECHOS_CANAL!$E$23*D10+CADASTRO_TRECHOS_CANAL!$F$23*D11+CADASTRO_TRECHOS_CANAL!$G$23*D12+CADASTRO_TRECHOS_CANAL!$H$23*D13+CADASTRO_TRECHOS_CANAL!$I$23*D14+CADASTRO_TRECHOS_CANAL!$J$23*D15</f>
        <v>106348.07147541</v>
      </c>
      <c r="E85" s="16" t="n">
        <f aca="false">CADASTRO_TRECHOS_CANAL!$C$23*E8+CADASTRO_TRECHOS_CANAL!$D$23*E9+CADASTRO_TRECHOS_CANAL!$E$23*E10+CADASTRO_TRECHOS_CANAL!$F$23*E11+CADASTRO_TRECHOS_CANAL!$G$23*E12+CADASTRO_TRECHOS_CANAL!$H$23*E13+CADASTRO_TRECHOS_CANAL!$I$23*E14+CADASTRO_TRECHOS_CANAL!$J$23*E15</f>
        <v>72482.76</v>
      </c>
      <c r="F85" s="16" t="n">
        <f aca="false">CADASTRO_TRECHOS_CANAL!$C$23*F8+CADASTRO_TRECHOS_CANAL!$D$23*F9+CADASTRO_TRECHOS_CANAL!$E$23*F10+CADASTRO_TRECHOS_CANAL!$F$23*F11+CADASTRO_TRECHOS_CANAL!$G$23*F12+CADASTRO_TRECHOS_CANAL!$H$23*F13+CADASTRO_TRECHOS_CANAL!$I$23*F14+CADASTRO_TRECHOS_CANAL!$J$23*F15</f>
        <v>67558.995</v>
      </c>
      <c r="G85" s="16" t="n">
        <f aca="false">CADASTRO_TRECHOS_CANAL!$C$23*G8+CADASTRO_TRECHOS_CANAL!$D$23*G9+CADASTRO_TRECHOS_CANAL!$E$23*G10+CADASTRO_TRECHOS_CANAL!$F$23*G11+CADASTRO_TRECHOS_CANAL!$G$23*G12+CADASTRO_TRECHOS_CANAL!$H$23*G13+CADASTRO_TRECHOS_CANAL!$I$23*G14+CADASTRO_TRECHOS_CANAL!$J$23*G15</f>
        <v>43075.116</v>
      </c>
      <c r="H85" s="16" t="n">
        <f aca="false">CADASTRO_TRECHOS_CANAL!$C$23*H8+CADASTRO_TRECHOS_CANAL!$D$23*H9+CADASTRO_TRECHOS_CANAL!$E$23*H10+CADASTRO_TRECHOS_CANAL!$F$23*H11+CADASTRO_TRECHOS_CANAL!$G$23*H12+CADASTRO_TRECHOS_CANAL!$H$23*H13+CADASTRO_TRECHOS_CANAL!$I$23*H14+CADASTRO_TRECHOS_CANAL!$J$23*H15</f>
        <v>23226.588</v>
      </c>
      <c r="I85" s="16" t="n">
        <f aca="false">CADASTRO_TRECHOS_CANAL!$C$23*I8+CADASTRO_TRECHOS_CANAL!$D$23*I9+CADASTRO_TRECHOS_CANAL!$E$23*I10+CADASTRO_TRECHOS_CANAL!$F$23*I11+CADASTRO_TRECHOS_CANAL!$G$23*I12+CADASTRO_TRECHOS_CANAL!$H$23*I13+CADASTRO_TRECHOS_CANAL!$I$23*I14+CADASTRO_TRECHOS_CANAL!$J$23*I15</f>
        <v>16571.016</v>
      </c>
      <c r="J85" s="16" t="n">
        <f aca="false">CADASTRO_TRECHOS_CANAL!$C$23*J8+CADASTRO_TRECHOS_CANAL!$D$23*J9+CADASTRO_TRECHOS_CANAL!$E$23*J10+CADASTRO_TRECHOS_CANAL!$F$23*J11+CADASTRO_TRECHOS_CANAL!$G$23*J12+CADASTRO_TRECHOS_CANAL!$H$23*J13+CADASTRO_TRECHOS_CANAL!$I$23*J14+CADASTRO_TRECHOS_CANAL!$J$23*J15</f>
        <v>9915.44399999998</v>
      </c>
      <c r="K85" s="16" t="n">
        <f aca="false">CADASTRO_TRECHOS_CANAL!$C$23*K8+CADASTRO_TRECHOS_CANAL!$D$23*K9+CADASTRO_TRECHOS_CANAL!$E$23*K10+CADASTRO_TRECHOS_CANAL!$F$23*K11+CADASTRO_TRECHOS_CANAL!$G$23*K12+CADASTRO_TRECHOS_CANAL!$H$23*K13+CADASTRO_TRECHOS_CANAL!$I$23*K14+CADASTRO_TRECHOS_CANAL!$J$23*K15</f>
        <v>0</v>
      </c>
      <c r="L85" s="16" t="n">
        <f aca="false">CADASTRO_TRECHOS_CANAL!$C$23*L8+CADASTRO_TRECHOS_CANAL!$D$23*L9+CADASTRO_TRECHOS_CANAL!$E$23*L10+CADASTRO_TRECHOS_CANAL!$F$23*L11+CADASTRO_TRECHOS_CANAL!$G$23*L12+CADASTRO_TRECHOS_CANAL!$H$23*L13+CADASTRO_TRECHOS_CANAL!$I$23*L14+CADASTRO_TRECHOS_CANAL!$J$23*L15</f>
        <v>0</v>
      </c>
      <c r="M85" s="16" t="n">
        <f aca="false">CADASTRO_TRECHOS_CANAL!$C$23*M8+CADASTRO_TRECHOS_CANAL!$D$23*M9+CADASTRO_TRECHOS_CANAL!$E$23*M10+CADASTRO_TRECHOS_CANAL!$F$23*M11+CADASTRO_TRECHOS_CANAL!$G$23*M12+CADASTRO_TRECHOS_CANAL!$H$23*M13+CADASTRO_TRECHOS_CANAL!$I$23*M14+CADASTRO_TRECHOS_CANAL!$J$23*M15</f>
        <v>0</v>
      </c>
      <c r="N85" s="16" t="n">
        <f aca="false">CADASTRO_TRECHOS_CANAL!$C$23*N8+CADASTRO_TRECHOS_CANAL!$D$23*N9+CADASTRO_TRECHOS_CANAL!$E$23*N10+CADASTRO_TRECHOS_CANAL!$F$23*N11+CADASTRO_TRECHOS_CANAL!$G$23*N12+CADASTRO_TRECHOS_CANAL!$H$23*N13+CADASTRO_TRECHOS_CANAL!$I$23*N14+CADASTRO_TRECHOS_CANAL!$J$23*N15</f>
        <v>0</v>
      </c>
      <c r="O85" s="16" t="n">
        <f aca="false">CADASTRO_TRECHOS_CANAL!$C$23*O8+CADASTRO_TRECHOS_CANAL!$D$23*O9+CADASTRO_TRECHOS_CANAL!$E$23*O10+CADASTRO_TRECHOS_CANAL!$F$23*O11+CADASTRO_TRECHOS_CANAL!$G$23*O12+CADASTRO_TRECHOS_CANAL!$H$23*O13+CADASTRO_TRECHOS_CANAL!$I$23*O14+CADASTRO_TRECHOS_CANAL!$J$23*O15</f>
        <v>1050.25753382132</v>
      </c>
      <c r="P85" s="16" t="n">
        <f aca="false">CADASTRO_TRECHOS_CANAL!$C$23*P8+CADASTRO_TRECHOS_CANAL!$D$23*P9+CADASTRO_TRECHOS_CANAL!$E$23*P10+CADASTRO_TRECHOS_CANAL!$F$23*P11+CADASTRO_TRECHOS_CANAL!$G$23*P12+CADASTRO_TRECHOS_CANAL!$H$23*P13+CADASTRO_TRECHOS_CANAL!$I$23*P14+CADASTRO_TRECHOS_CANAL!$J$23*P15</f>
        <v>0</v>
      </c>
      <c r="Q85" s="16" t="n">
        <f aca="false">CADASTRO_TRECHOS_CANAL!$C$23*Q8+CADASTRO_TRECHOS_CANAL!$D$23*Q9+CADASTRO_TRECHOS_CANAL!$E$23*Q10+CADASTRO_TRECHOS_CANAL!$F$23*Q11+CADASTRO_TRECHOS_CANAL!$G$23*Q12+CADASTRO_TRECHOS_CANAL!$H$23*Q13+CADASTRO_TRECHOS_CANAL!$I$23*Q14+CADASTRO_TRECHOS_CANAL!$J$23*Q15</f>
        <v>0</v>
      </c>
      <c r="R85" s="16" t="n">
        <f aca="false">CADASTRO_TRECHOS_CANAL!$C$23*R8+CADASTRO_TRECHOS_CANAL!$D$23*R9+CADASTRO_TRECHOS_CANAL!$E$23*R10+CADASTRO_TRECHOS_CANAL!$F$23*R11+CADASTRO_TRECHOS_CANAL!$G$23*R12+CADASTRO_TRECHOS_CANAL!$H$23*R13+CADASTRO_TRECHOS_CANAL!$I$23*R14+CADASTRO_TRECHOS_CANAL!$J$23*R15</f>
        <v>0</v>
      </c>
      <c r="S85" s="16" t="n">
        <f aca="false">CADASTRO_TRECHOS_CANAL!$C$23*S8+CADASTRO_TRECHOS_CANAL!$D$23*S9+CADASTRO_TRECHOS_CANAL!$E$23*S10+CADASTRO_TRECHOS_CANAL!$F$23*S11+CADASTRO_TRECHOS_CANAL!$G$23*S12+CADASTRO_TRECHOS_CANAL!$H$23*S13+CADASTRO_TRECHOS_CANAL!$I$23*S14+CADASTRO_TRECHOS_CANAL!$J$23*S15</f>
        <v>0</v>
      </c>
      <c r="T85" s="16" t="n">
        <f aca="false">CADASTRO_TRECHOS_CANAL!$C$23*T8+CADASTRO_TRECHOS_CANAL!$D$23*T9+CADASTRO_TRECHOS_CANAL!$E$23*T10+CADASTRO_TRECHOS_CANAL!$F$23*T11+CADASTRO_TRECHOS_CANAL!$G$23*T12+CADASTRO_TRECHOS_CANAL!$H$23*T13+CADASTRO_TRECHOS_CANAL!$I$23*T14+CADASTRO_TRECHOS_CANAL!$J$23*T15</f>
        <v>575.813647058821</v>
      </c>
      <c r="U85" s="16" t="n">
        <f aca="false">CADASTRO_TRECHOS_CANAL!$C$23*U8+CADASTRO_TRECHOS_CANAL!$D$23*U9+CADASTRO_TRECHOS_CANAL!$E$23*U10+CADASTRO_TRECHOS_CANAL!$F$23*U11+CADASTRO_TRECHOS_CANAL!$G$23*U12+CADASTRO_TRECHOS_CANAL!$H$23*U13+CADASTRO_TRECHOS_CANAL!$I$23*U14+CADASTRO_TRECHOS_CANAL!$J$23*U15</f>
        <v>2949.2894117647</v>
      </c>
      <c r="V85" s="16" t="n">
        <f aca="false">CADASTRO_TRECHOS_CANAL!$C$23*V8+CADASTRO_TRECHOS_CANAL!$D$23*V9+CADASTRO_TRECHOS_CANAL!$E$23*V10+CADASTRO_TRECHOS_CANAL!$F$23*V11+CADASTRO_TRECHOS_CANAL!$G$23*V12+CADASTRO_TRECHOS_CANAL!$H$23*V13+CADASTRO_TRECHOS_CANAL!$I$23*V14+CADASTRO_TRECHOS_CANAL!$J$23*V15</f>
        <v>2949.2894117647</v>
      </c>
      <c r="W85" s="16" t="n">
        <f aca="false">CADASTRO_TRECHOS_CANAL!$C$23*W8+CADASTRO_TRECHOS_CANAL!$D$23*W9+CADASTRO_TRECHOS_CANAL!$E$23*W10+CADASTRO_TRECHOS_CANAL!$F$23*W11+CADASTRO_TRECHOS_CANAL!$G$23*W12+CADASTRO_TRECHOS_CANAL!$H$23*W13+CADASTRO_TRECHOS_CANAL!$I$23*W14+CADASTRO_TRECHOS_CANAL!$J$23*W15</f>
        <v>0</v>
      </c>
      <c r="X85" s="16" t="n">
        <f aca="false">CADASTRO_TRECHOS_CANAL!$C$23*X8+CADASTRO_TRECHOS_CANAL!$D$23*X9+CADASTRO_TRECHOS_CANAL!$E$23*X10+CADASTRO_TRECHOS_CANAL!$F$23*X11+CADASTRO_TRECHOS_CANAL!$G$23*X12+CADASTRO_TRECHOS_CANAL!$H$23*X13+CADASTRO_TRECHOS_CANAL!$I$23*X14+CADASTRO_TRECHOS_CANAL!$J$23*X15</f>
        <v>0</v>
      </c>
      <c r="Y85" s="16" t="n">
        <f aca="false">CADASTRO_TRECHOS_CANAL!$C$23*Y8+CADASTRO_TRECHOS_CANAL!$D$23*Y9+CADASTRO_TRECHOS_CANAL!$E$23*Y10+CADASTRO_TRECHOS_CANAL!$F$23*Y11+CADASTRO_TRECHOS_CANAL!$G$23*Y12+CADASTRO_TRECHOS_CANAL!$H$23*Y13+CADASTRO_TRECHOS_CANAL!$I$23*Y14+CADASTRO_TRECHOS_CANAL!$J$23*Y15</f>
        <v>6937.73129411765</v>
      </c>
      <c r="Z85" s="16" t="n">
        <f aca="false">CADASTRO_TRECHOS_CANAL!$C$23*Z8+CADASTRO_TRECHOS_CANAL!$D$23*Z9+CADASTRO_TRECHOS_CANAL!$E$23*Z10+CADASTRO_TRECHOS_CANAL!$F$23*Z11+CADASTRO_TRECHOS_CANAL!$G$23*Z12+CADASTRO_TRECHOS_CANAL!$H$23*Z13+CADASTRO_TRECHOS_CANAL!$I$23*Z14+CADASTRO_TRECHOS_CANAL!$J$23*Z15</f>
        <v>18011.1255809258</v>
      </c>
      <c r="AA85" s="16" t="n">
        <f aca="false">CADASTRO_TRECHOS_CANAL!$C$23*AA8+CADASTRO_TRECHOS_CANAL!$D$23*AA9+CADASTRO_TRECHOS_CANAL!$E$23*AA10+CADASTRO_TRECHOS_CANAL!$F$23*AA11+CADASTRO_TRECHOS_CANAL!$G$23*AA12+CADASTRO_TRECHOS_CANAL!$H$23*AA13+CADASTRO_TRECHOS_CANAL!$I$23*AA14+CADASTRO_TRECHOS_CANAL!$J$23*AA15</f>
        <v>36258.5168235294</v>
      </c>
      <c r="AB85" s="16" t="n">
        <f aca="false">CADASTRO_TRECHOS_CANAL!$C$23*AB8+CADASTRO_TRECHOS_CANAL!$D$23*AB9+CADASTRO_TRECHOS_CANAL!$E$23*AB10+CADASTRO_TRECHOS_CANAL!$F$23*AB11+CADASTRO_TRECHOS_CANAL!$G$23*AB12+CADASTRO_TRECHOS_CANAL!$H$23*AB13+CADASTRO_TRECHOS_CANAL!$I$23*AB14+CADASTRO_TRECHOS_CANAL!$J$23*AB15</f>
        <v>37916.6768235294</v>
      </c>
      <c r="AC85" s="16" t="n">
        <f aca="false">CADASTRO_TRECHOS_CANAL!$C$23*AC8+CADASTRO_TRECHOS_CANAL!$D$23*AC9+CADASTRO_TRECHOS_CANAL!$E$23*AC10+CADASTRO_TRECHOS_CANAL!$F$23*AC11+CADASTRO_TRECHOS_CANAL!$G$23*AC12+CADASTRO_TRECHOS_CANAL!$H$23*AC13+CADASTRO_TRECHOS_CANAL!$I$23*AC14+CADASTRO_TRECHOS_CANAL!$J$23*AC15</f>
        <v>55491.5027058823</v>
      </c>
      <c r="AD85" s="16" t="n">
        <f aca="false">CADASTRO_TRECHOS_CANAL!$C$23*AD8+CADASTRO_TRECHOS_CANAL!$D$23*AD9+CADASTRO_TRECHOS_CANAL!$E$23*AD10+CADASTRO_TRECHOS_CANAL!$F$23*AD11+CADASTRO_TRECHOS_CANAL!$G$23*AD12+CADASTRO_TRECHOS_CANAL!$H$23*AD13+CADASTRO_TRECHOS_CANAL!$I$23*AD14+CADASTRO_TRECHOS_CANAL!$J$23*AD15</f>
        <v>63309.3739215686</v>
      </c>
      <c r="AE85" s="16" t="n">
        <f aca="false">CADASTRO_TRECHOS_CANAL!$C$23*AE8+CADASTRO_TRECHOS_CANAL!$D$23*AE9+CADASTRO_TRECHOS_CANAL!$E$23*AE10+CADASTRO_TRECHOS_CANAL!$F$23*AE11+CADASTRO_TRECHOS_CANAL!$G$23*AE12+CADASTRO_TRECHOS_CANAL!$H$23*AE13+CADASTRO_TRECHOS_CANAL!$I$23*AE14+CADASTRO_TRECHOS_CANAL!$J$23*AE15</f>
        <v>65814.1336764706</v>
      </c>
      <c r="AF85" s="16" t="n">
        <f aca="false">CADASTRO_TRECHOS_CANAL!$C$23*AF8+CADASTRO_TRECHOS_CANAL!$D$23*AF9+CADASTRO_TRECHOS_CANAL!$E$23*AF10+CADASTRO_TRECHOS_CANAL!$F$23*AF11+CADASTRO_TRECHOS_CANAL!$G$23*AF12+CADASTRO_TRECHOS_CANAL!$H$23*AF13+CADASTRO_TRECHOS_CANAL!$I$23*AF14+CADASTRO_TRECHOS_CANAL!$J$23*AF15</f>
        <v>63329.1697058823</v>
      </c>
      <c r="AG85" s="16" t="n">
        <f aca="false">CADASTRO_TRECHOS_CANAL!$C$23*AG8+CADASTRO_TRECHOS_CANAL!$D$23*AG9+CADASTRO_TRECHOS_CANAL!$E$23*AG10+CADASTRO_TRECHOS_CANAL!$F$23*AG11+CADASTRO_TRECHOS_CANAL!$G$23*AG12+CADASTRO_TRECHOS_CANAL!$H$23*AG13+CADASTRO_TRECHOS_CANAL!$I$23*AG14+CADASTRO_TRECHOS_CANAL!$J$23*AG15</f>
        <v>158408.527182228</v>
      </c>
      <c r="AH85" s="16" t="n">
        <f aca="false">CADASTRO_TRECHOS_CANAL!$C$23*AH8+CADASTRO_TRECHOS_CANAL!$D$23*AH9+CADASTRO_TRECHOS_CANAL!$E$23*AH10+CADASTRO_TRECHOS_CANAL!$F$23*AH11+CADASTRO_TRECHOS_CANAL!$G$23*AH12+CADASTRO_TRECHOS_CANAL!$H$23*AH13+CADASTRO_TRECHOS_CANAL!$I$23*AH14+CADASTRO_TRECHOS_CANAL!$J$23*AH15</f>
        <v>239700.350542484</v>
      </c>
      <c r="AI85" s="16" t="n">
        <f aca="false">CADASTRO_TRECHOS_CANAL!$C$23*AI8+CADASTRO_TRECHOS_CANAL!$D$23*AI9+CADASTRO_TRECHOS_CANAL!$E$23*AI10+CADASTRO_TRECHOS_CANAL!$F$23*AI11+CADASTRO_TRECHOS_CANAL!$G$23*AI12+CADASTRO_TRECHOS_CANAL!$H$23*AI13+CADASTRO_TRECHOS_CANAL!$I$23*AI14+CADASTRO_TRECHOS_CANAL!$J$23*AI15</f>
        <v>241517.355240196</v>
      </c>
      <c r="AJ85" s="16" t="n">
        <f aca="false">CADASTRO_TRECHOS_CANAL!$C$23*AJ8+CADASTRO_TRECHOS_CANAL!$D$23*AJ9+CADASTRO_TRECHOS_CANAL!$E$23*AJ10+CADASTRO_TRECHOS_CANAL!$F$23*AJ11+CADASTRO_TRECHOS_CANAL!$G$23*AJ12+CADASTRO_TRECHOS_CANAL!$H$23*AJ13+CADASTRO_TRECHOS_CANAL!$I$23*AJ14+CADASTRO_TRECHOS_CANAL!$J$23*AJ15</f>
        <v>238455.314095148</v>
      </c>
      <c r="AK85" s="16" t="n">
        <f aca="false">CADASTRO_TRECHOS_CANAL!$C$23*AK8+CADASTRO_TRECHOS_CANAL!$D$23*AK9+CADASTRO_TRECHOS_CANAL!$E$23*AK10+CADASTRO_TRECHOS_CANAL!$F$23*AK11+CADASTRO_TRECHOS_CANAL!$G$23*AK12+CADASTRO_TRECHOS_CANAL!$H$23*AK13+CADASTRO_TRECHOS_CANAL!$I$23*AK14+CADASTRO_TRECHOS_CANAL!$J$23*AK15</f>
        <v>232026.832968083</v>
      </c>
      <c r="AL85" s="16" t="n">
        <f aca="false">CADASTRO_TRECHOS_CANAL!$C$23*AL8+CADASTRO_TRECHOS_CANAL!$D$23*AL9+CADASTRO_TRECHOS_CANAL!$E$23*AL10+CADASTRO_TRECHOS_CANAL!$F$23*AL11+CADASTRO_TRECHOS_CANAL!$G$23*AL12+CADASTRO_TRECHOS_CANAL!$H$23*AL13+CADASTRO_TRECHOS_CANAL!$I$23*AL14+CADASTRO_TRECHOS_CANAL!$J$23*AL15</f>
        <v>274613.670340069</v>
      </c>
      <c r="AM85" s="16" t="n">
        <f aca="false">CADASTRO_TRECHOS_CANAL!$C$23*AM8+CADASTRO_TRECHOS_CANAL!$D$23*AM9+CADASTRO_TRECHOS_CANAL!$E$23*AM10+CADASTRO_TRECHOS_CANAL!$F$23*AM11+CADASTRO_TRECHOS_CANAL!$G$23*AM12+CADASTRO_TRECHOS_CANAL!$H$23*AM13+CADASTRO_TRECHOS_CANAL!$I$23*AM14+CADASTRO_TRECHOS_CANAL!$J$23*AM15</f>
        <v>269320.106720666</v>
      </c>
      <c r="AN85" s="16" t="n">
        <f aca="false">CADASTRO_TRECHOS_CANAL!$C$23*AN8+CADASTRO_TRECHOS_CANAL!$D$23*AN9+CADASTRO_TRECHOS_CANAL!$E$23*AN10+CADASTRO_TRECHOS_CANAL!$F$23*AN11+CADASTRO_TRECHOS_CANAL!$G$23*AN12+CADASTRO_TRECHOS_CANAL!$H$23*AN13+CADASTRO_TRECHOS_CANAL!$I$23*AN14+CADASTRO_TRECHOS_CANAL!$J$23*AN15</f>
        <v>253931.10686597</v>
      </c>
      <c r="AO85" s="16" t="n">
        <f aca="false">CADASTRO_TRECHOS_CANAL!$C$23*AO8+CADASTRO_TRECHOS_CANAL!$D$23*AO9+CADASTRO_TRECHOS_CANAL!$E$23*AO10+CADASTRO_TRECHOS_CANAL!$F$23*AO11+CADASTRO_TRECHOS_CANAL!$G$23*AO12+CADASTRO_TRECHOS_CANAL!$H$23*AO13+CADASTRO_TRECHOS_CANAL!$I$23*AO14+CADASTRO_TRECHOS_CANAL!$J$23*AO15</f>
        <v>238542.107011273</v>
      </c>
      <c r="AP85" s="16" t="n">
        <f aca="false">CADASTRO_TRECHOS_CANAL!$C$23*AP8+CADASTRO_TRECHOS_CANAL!$D$23*AP9+CADASTRO_TRECHOS_CANAL!$E$23*AP10+CADASTRO_TRECHOS_CANAL!$F$23*AP11+CADASTRO_TRECHOS_CANAL!$G$23*AP12+CADASTRO_TRECHOS_CANAL!$H$23*AP13+CADASTRO_TRECHOS_CANAL!$I$23*AP14+CADASTRO_TRECHOS_CANAL!$J$23*AP15</f>
        <v>192675.328963511</v>
      </c>
      <c r="AQ85" s="16" t="n">
        <f aca="false">CADASTRO_TRECHOS_CANAL!$C$23*AQ8+CADASTRO_TRECHOS_CANAL!$D$23*AQ9+CADASTRO_TRECHOS_CANAL!$E$23*AQ10+CADASTRO_TRECHOS_CANAL!$F$23*AQ11+CADASTRO_TRECHOS_CANAL!$G$23*AQ12+CADASTRO_TRECHOS_CANAL!$H$23*AQ13+CADASTRO_TRECHOS_CANAL!$I$23*AQ14+CADASTRO_TRECHOS_CANAL!$J$23*AQ15</f>
        <v>184018.211794508</v>
      </c>
      <c r="AR85" s="16" t="n">
        <f aca="false">CADASTRO_TRECHOS_CANAL!$C$23*AR8+CADASTRO_TRECHOS_CANAL!$D$23*AR9+CADASTRO_TRECHOS_CANAL!$E$23*AR10+CADASTRO_TRECHOS_CANAL!$F$23*AR11+CADASTRO_TRECHOS_CANAL!$G$23*AR12+CADASTRO_TRECHOS_CANAL!$H$23*AR13+CADASTRO_TRECHOS_CANAL!$I$23*AR14+CADASTRO_TRECHOS_CANAL!$J$23*AR15</f>
        <v>105683.408551724</v>
      </c>
      <c r="AS85" s="16" t="n">
        <f aca="false">CADASTRO_TRECHOS_CANAL!$C$23*AS8+CADASTRO_TRECHOS_CANAL!$D$23*AS9+CADASTRO_TRECHOS_CANAL!$E$23*AS10+CADASTRO_TRECHOS_CANAL!$F$23*AS11+CADASTRO_TRECHOS_CANAL!$G$23*AS12+CADASTRO_TRECHOS_CANAL!$H$23*AS13+CADASTRO_TRECHOS_CANAL!$I$23*AS14+CADASTRO_TRECHOS_CANAL!$J$23*AS15</f>
        <v>122256.792302907</v>
      </c>
      <c r="AT85" s="16" t="n">
        <f aca="false">CADASTRO_TRECHOS_CANAL!$C$23*AT8+CADASTRO_TRECHOS_CANAL!$D$23*AT9+CADASTRO_TRECHOS_CANAL!$E$23*AT10+CADASTRO_TRECHOS_CANAL!$F$23*AT11+CADASTRO_TRECHOS_CANAL!$G$23*AT12+CADASTRO_TRECHOS_CANAL!$H$23*AT13+CADASTRO_TRECHOS_CANAL!$I$23*AT14+CADASTRO_TRECHOS_CANAL!$J$23*AT15</f>
        <v>101868.376878431</v>
      </c>
      <c r="AU85" s="16" t="n">
        <f aca="false">CADASTRO_TRECHOS_CANAL!$C$23*AU8+CADASTRO_TRECHOS_CANAL!$D$23*AU9+CADASTRO_TRECHOS_CANAL!$E$23*AU10+CADASTRO_TRECHOS_CANAL!$F$23*AU11+CADASTRO_TRECHOS_CANAL!$G$23*AU12+CADASTRO_TRECHOS_CANAL!$H$23*AU13+CADASTRO_TRECHOS_CANAL!$I$23*AU14+CADASTRO_TRECHOS_CANAL!$J$23*AU15</f>
        <v>110999.730223529</v>
      </c>
      <c r="AV85" s="16" t="n">
        <f aca="false">CADASTRO_TRECHOS_CANAL!$C$23*AV8+CADASTRO_TRECHOS_CANAL!$D$23*AV9+CADASTRO_TRECHOS_CANAL!$E$23*AV10+CADASTRO_TRECHOS_CANAL!$F$23*AV11+CADASTRO_TRECHOS_CANAL!$G$23*AV12+CADASTRO_TRECHOS_CANAL!$H$23*AV13+CADASTRO_TRECHOS_CANAL!$I$23*AV14+CADASTRO_TRECHOS_CANAL!$J$23*AV15</f>
        <v>118896.898427451</v>
      </c>
      <c r="AW85" s="16" t="n">
        <f aca="false">CADASTRO_TRECHOS_CANAL!$C$23*AW8+CADASTRO_TRECHOS_CANAL!$D$23*AW9+CADASTRO_TRECHOS_CANAL!$E$23*AW10+CADASTRO_TRECHOS_CANAL!$F$23*AW11+CADASTRO_TRECHOS_CANAL!$G$23*AW12+CADASTRO_TRECHOS_CANAL!$H$23*AW13+CADASTRO_TRECHOS_CANAL!$I$23*AW14+CADASTRO_TRECHOS_CANAL!$J$23*AW15</f>
        <v>127621.952966667</v>
      </c>
      <c r="AX85" s="16" t="n">
        <f aca="false">CADASTRO_TRECHOS_CANAL!$C$23*AX8+CADASTRO_TRECHOS_CANAL!$D$23*AX9+CADASTRO_TRECHOS_CANAL!$E$23*AX10+CADASTRO_TRECHOS_CANAL!$F$23*AX11+CADASTRO_TRECHOS_CANAL!$G$23*AX12+CADASTRO_TRECHOS_CANAL!$H$23*AX13+CADASTRO_TRECHOS_CANAL!$I$23*AX14+CADASTRO_TRECHOS_CANAL!$J$23*AX15</f>
        <v>145164.103294118</v>
      </c>
      <c r="AY85" s="16" t="n">
        <f aca="false">CADASTRO_TRECHOS_CANAL!$C$23*AY8+CADASTRO_TRECHOS_CANAL!$D$23*AY9+CADASTRO_TRECHOS_CANAL!$E$23*AY10+CADASTRO_TRECHOS_CANAL!$F$23*AY11+CADASTRO_TRECHOS_CANAL!$G$23*AY12+CADASTRO_TRECHOS_CANAL!$H$23*AY13+CADASTRO_TRECHOS_CANAL!$I$23*AY14+CADASTRO_TRECHOS_CANAL!$J$23*AY15</f>
        <v>185651.427239216</v>
      </c>
      <c r="AZ85" s="16" t="n">
        <f aca="false">CADASTRO_TRECHOS_CANAL!$C$23*AZ8+CADASTRO_TRECHOS_CANAL!$D$23*AZ9+CADASTRO_TRECHOS_CANAL!$E$23*AZ10+CADASTRO_TRECHOS_CANAL!$F$23*AZ11+CADASTRO_TRECHOS_CANAL!$G$23*AZ12+CADASTRO_TRECHOS_CANAL!$H$23*AZ13+CADASTRO_TRECHOS_CANAL!$I$23*AZ14+CADASTRO_TRECHOS_CANAL!$J$23*AZ15</f>
        <v>180091.532847059</v>
      </c>
      <c r="BA85" s="16" t="n">
        <f aca="false">CADASTRO_TRECHOS_CANAL!$C$23*BA8+CADASTRO_TRECHOS_CANAL!$D$23*BA9+CADASTRO_TRECHOS_CANAL!$E$23*BA10+CADASTRO_TRECHOS_CANAL!$F$23*BA11+CADASTRO_TRECHOS_CANAL!$G$23*BA12+CADASTRO_TRECHOS_CANAL!$H$23*BA13+CADASTRO_TRECHOS_CANAL!$I$23*BA14+CADASTRO_TRECHOS_CANAL!$J$23*BA15</f>
        <v>200084.864494118</v>
      </c>
      <c r="BB85" s="16" t="n">
        <f aca="false">CADASTRO_TRECHOS_CANAL!$C$23*BB8+CADASTRO_TRECHOS_CANAL!$D$23*BB9+CADASTRO_TRECHOS_CANAL!$E$23*BB10+CADASTRO_TRECHOS_CANAL!$F$23*BB11+CADASTRO_TRECHOS_CANAL!$G$23*BB12+CADASTRO_TRECHOS_CANAL!$H$23*BB13+CADASTRO_TRECHOS_CANAL!$I$23*BB14+CADASTRO_TRECHOS_CANAL!$J$23*BB15</f>
        <v>213432.502541176</v>
      </c>
      <c r="BC85" s="16" t="n">
        <f aca="false">CADASTRO_TRECHOS_CANAL!$C$23*BC8+CADASTRO_TRECHOS_CANAL!$D$23*BC9+CADASTRO_TRECHOS_CANAL!$E$23*BC10+CADASTRO_TRECHOS_CANAL!$F$23*BC11+CADASTRO_TRECHOS_CANAL!$G$23*BC12+CADASTRO_TRECHOS_CANAL!$H$23*BC13+CADASTRO_TRECHOS_CANAL!$I$23*BC14+CADASTRO_TRECHOS_CANAL!$J$23*BC15</f>
        <v>220875.092705882</v>
      </c>
      <c r="BD85" s="16" t="n">
        <f aca="false">CADASTRO_TRECHOS_CANAL!$C$23*BD8+CADASTRO_TRECHOS_CANAL!$D$23*BD9+CADASTRO_TRECHOS_CANAL!$E$23*BD10+CADASTRO_TRECHOS_CANAL!$F$23*BD11+CADASTRO_TRECHOS_CANAL!$G$23*BD12+CADASTRO_TRECHOS_CANAL!$H$23*BD13+CADASTRO_TRECHOS_CANAL!$I$23*BD14+CADASTRO_TRECHOS_CANAL!$J$23*BD15</f>
        <v>217357.418352941</v>
      </c>
      <c r="BE85" s="16" t="n">
        <f aca="false">CADASTRO_TRECHOS_CANAL!$C$23*BE8+CADASTRO_TRECHOS_CANAL!$D$23*BE9+CADASTRO_TRECHOS_CANAL!$E$23*BE10+CADASTRO_TRECHOS_CANAL!$F$23*BE11+CADASTRO_TRECHOS_CANAL!$G$23*BE12+CADASTRO_TRECHOS_CANAL!$H$23*BE13+CADASTRO_TRECHOS_CANAL!$I$23*BE14+CADASTRO_TRECHOS_CANAL!$J$23*BE15</f>
        <v>210339.015764706</v>
      </c>
      <c r="BF85" s="16" t="n">
        <f aca="false">CADASTRO_TRECHOS_CANAL!$C$23*BF8+CADASTRO_TRECHOS_CANAL!$D$23*BF9+CADASTRO_TRECHOS_CANAL!$E$23*BF10+CADASTRO_TRECHOS_CANAL!$F$23*BF11+CADASTRO_TRECHOS_CANAL!$G$23*BF12+CADASTRO_TRECHOS_CANAL!$H$23*BF13+CADASTRO_TRECHOS_CANAL!$I$23*BF14+CADASTRO_TRECHOS_CANAL!$J$23*BF15</f>
        <v>203320.613176471</v>
      </c>
      <c r="BG85" s="16" t="n">
        <f aca="false">CADASTRO_TRECHOS_CANAL!$C$23*BG8+CADASTRO_TRECHOS_CANAL!$D$23*BG9+CADASTRO_TRECHOS_CANAL!$E$23*BG10+CADASTRO_TRECHOS_CANAL!$F$23*BG11+CADASTRO_TRECHOS_CANAL!$G$23*BG12+CADASTRO_TRECHOS_CANAL!$H$23*BG13+CADASTRO_TRECHOS_CANAL!$I$23*BG14+CADASTRO_TRECHOS_CANAL!$J$23*BG15</f>
        <v>157614.958117647</v>
      </c>
      <c r="BH85" s="16" t="n">
        <f aca="false">CADASTRO_TRECHOS_CANAL!$C$23*BH8+CADASTRO_TRECHOS_CANAL!$D$23*BH9+CADASTRO_TRECHOS_CANAL!$E$23*BH10+CADASTRO_TRECHOS_CANAL!$F$23*BH11+CADASTRO_TRECHOS_CANAL!$G$23*BH12+CADASTRO_TRECHOS_CANAL!$H$23*BH13+CADASTRO_TRECHOS_CANAL!$I$23*BH14+CADASTRO_TRECHOS_CANAL!$J$23*BH15</f>
        <v>99255.566117647</v>
      </c>
      <c r="BI85" s="16" t="n">
        <f aca="false">CADASTRO_TRECHOS_CANAL!$C$23*BI8+CADASTRO_TRECHOS_CANAL!$D$23*BI9+CADASTRO_TRECHOS_CANAL!$E$23*BI10+CADASTRO_TRECHOS_CANAL!$F$23*BI11+CADASTRO_TRECHOS_CANAL!$G$23*BI12+CADASTRO_TRECHOS_CANAL!$H$23*BI13+CADASTRO_TRECHOS_CANAL!$I$23*BI14+CADASTRO_TRECHOS_CANAL!$J$23*BI15</f>
        <v>88330.2494117647</v>
      </c>
      <c r="BJ85" s="16" t="n">
        <f aca="false">CADASTRO_TRECHOS_CANAL!$C$23*BJ8+CADASTRO_TRECHOS_CANAL!$D$23*BJ9+CADASTRO_TRECHOS_CANAL!$E$23*BJ10+CADASTRO_TRECHOS_CANAL!$F$23*BJ11+CADASTRO_TRECHOS_CANAL!$G$23*BJ12+CADASTRO_TRECHOS_CANAL!$H$23*BJ13+CADASTRO_TRECHOS_CANAL!$I$23*BJ14+CADASTRO_TRECHOS_CANAL!$J$23*BJ15</f>
        <v>75032.3774117647</v>
      </c>
      <c r="BK85" s="16" t="n">
        <f aca="false">CADASTRO_TRECHOS_CANAL!$C$23*BK8+CADASTRO_TRECHOS_CANAL!$D$23*BK9+CADASTRO_TRECHOS_CANAL!$E$23*BK10+CADASTRO_TRECHOS_CANAL!$F$23*BK11+CADASTRO_TRECHOS_CANAL!$G$23*BK12+CADASTRO_TRECHOS_CANAL!$H$23*BK13+CADASTRO_TRECHOS_CANAL!$I$23*BK14+CADASTRO_TRECHOS_CANAL!$J$23*BK15</f>
        <v>60678.1905882352</v>
      </c>
      <c r="BL85" s="16" t="n">
        <f aca="false">CADASTRO_TRECHOS_CANAL!$C$23*BL8+CADASTRO_TRECHOS_CANAL!$D$23*BL9+CADASTRO_TRECHOS_CANAL!$E$23*BL10+CADASTRO_TRECHOS_CANAL!$F$23*BL11+CADASTRO_TRECHOS_CANAL!$G$23*BL12+CADASTRO_TRECHOS_CANAL!$H$23*BL13+CADASTRO_TRECHOS_CANAL!$I$23*BL14+CADASTRO_TRECHOS_CANAL!$J$23*BL15</f>
        <v>0</v>
      </c>
      <c r="BM85" s="16" t="n">
        <f aca="false">CADASTRO_TRECHOS_CANAL!$C$23*BM8+CADASTRO_TRECHOS_CANAL!$D$23*BM9+CADASTRO_TRECHOS_CANAL!$E$23*BM10+CADASTRO_TRECHOS_CANAL!$F$23*BM11+CADASTRO_TRECHOS_CANAL!$G$23*BM12+CADASTRO_TRECHOS_CANAL!$H$23*BM13+CADASTRO_TRECHOS_CANAL!$I$23*BM14+CADASTRO_TRECHOS_CANAL!$J$23*BM15</f>
        <v>0</v>
      </c>
      <c r="BN85" s="16" t="n">
        <f aca="false">CADASTRO_TRECHOS_CANAL!$C$23*BN8+CADASTRO_TRECHOS_CANAL!$D$23*BN9+CADASTRO_TRECHOS_CANAL!$E$23*BN10+CADASTRO_TRECHOS_CANAL!$F$23*BN11+CADASTRO_TRECHOS_CANAL!$G$23*BN12+CADASTRO_TRECHOS_CANAL!$H$23*BN13+CADASTRO_TRECHOS_CANAL!$I$23*BN14+CADASTRO_TRECHOS_CANAL!$J$23*BN15</f>
        <v>0</v>
      </c>
      <c r="BO85" s="16" t="n">
        <f aca="false">CADASTRO_TRECHOS_CANAL!$C$23*BO8+CADASTRO_TRECHOS_CANAL!$D$23*BO9+CADASTRO_TRECHOS_CANAL!$E$23*BO10+CADASTRO_TRECHOS_CANAL!$F$23*BO11+CADASTRO_TRECHOS_CANAL!$G$23*BO12+CADASTRO_TRECHOS_CANAL!$H$23*BO13+CADASTRO_TRECHOS_CANAL!$I$23*BO14+CADASTRO_TRECHOS_CANAL!$J$23*BO15</f>
        <v>0</v>
      </c>
      <c r="BP85" s="16" t="n">
        <f aca="false">CADASTRO_TRECHOS_CANAL!$C$23*BP8+CADASTRO_TRECHOS_CANAL!$D$23*BP9+CADASTRO_TRECHOS_CANAL!$E$23*BP10+CADASTRO_TRECHOS_CANAL!$F$23*BP11+CADASTRO_TRECHOS_CANAL!$G$23*BP12+CADASTRO_TRECHOS_CANAL!$H$23*BP13+CADASTRO_TRECHOS_CANAL!$I$23*BP14+CADASTRO_TRECHOS_CANAL!$J$23*BP15</f>
        <v>0</v>
      </c>
      <c r="BQ85" s="16" t="n">
        <f aca="false">SUM(C85:BP85)</f>
        <v>6310052.81877034</v>
      </c>
    </row>
    <row r="86" customFormat="false" ht="15" hidden="false" customHeight="false" outlineLevel="0" collapsed="false">
      <c r="B86" s="15" t="s">
        <v>177</v>
      </c>
      <c r="C86" s="16" t="n">
        <f aca="false">CADASTRO_TRECHOS_CANAL!$C$24*C8+CADASTRO_TRECHOS_CANAL!$D$24*C9+CADASTRO_TRECHOS_CANAL!$E$24*C10+CADASTRO_TRECHOS_CANAL!$F$24*C11+CADASTRO_TRECHOS_CANAL!$G$24*C12+CADASTRO_TRECHOS_CANAL!$H$24*C13+CADASTRO_TRECHOS_CANAL!$I$24*C14+CADASTRO_TRECHOS_CANAL!$J$24*C15</f>
        <v>172736.158296919</v>
      </c>
      <c r="D86" s="16" t="n">
        <f aca="false">CADASTRO_TRECHOS_CANAL!$C$24*D8+CADASTRO_TRECHOS_CANAL!$D$24*D9+CADASTRO_TRECHOS_CANAL!$E$24*D10+CADASTRO_TRECHOS_CANAL!$F$24*D11+CADASTRO_TRECHOS_CANAL!$G$24*D12+CADASTRO_TRECHOS_CANAL!$H$24*D13+CADASTRO_TRECHOS_CANAL!$I$24*D14+CADASTRO_TRECHOS_CANAL!$J$24*D15</f>
        <v>152721.743398693</v>
      </c>
      <c r="E86" s="16" t="n">
        <f aca="false">CADASTRO_TRECHOS_CANAL!$C$24*E8+CADASTRO_TRECHOS_CANAL!$D$24*E9+CADASTRO_TRECHOS_CANAL!$E$24*E10+CADASTRO_TRECHOS_CANAL!$F$24*E11+CADASTRO_TRECHOS_CANAL!$G$24*E12+CADASTRO_TRECHOS_CANAL!$H$24*E13+CADASTRO_TRECHOS_CANAL!$I$24*E14+CADASTRO_TRECHOS_CANAL!$J$24*E15</f>
        <v>101244.383189542</v>
      </c>
      <c r="F86" s="16" t="n">
        <f aca="false">CADASTRO_TRECHOS_CANAL!$C$24*F8+CADASTRO_TRECHOS_CANAL!$D$24*F9+CADASTRO_TRECHOS_CANAL!$E$24*F10+CADASTRO_TRECHOS_CANAL!$F$24*F11+CADASTRO_TRECHOS_CANAL!$G$24*F12+CADASTRO_TRECHOS_CANAL!$H$24*F13+CADASTRO_TRECHOS_CANAL!$I$24*F14+CADASTRO_TRECHOS_CANAL!$J$24*F15</f>
        <v>58285.332</v>
      </c>
      <c r="G86" s="16" t="n">
        <f aca="false">CADASTRO_TRECHOS_CANAL!$C$24*G8+CADASTRO_TRECHOS_CANAL!$D$24*G9+CADASTRO_TRECHOS_CANAL!$E$24*G10+CADASTRO_TRECHOS_CANAL!$F$24*G11+CADASTRO_TRECHOS_CANAL!$G$24*G12+CADASTRO_TRECHOS_CANAL!$H$24*G13+CADASTRO_TRECHOS_CANAL!$I$24*G14+CADASTRO_TRECHOS_CANAL!$J$24*G15</f>
        <v>26414.8658823529</v>
      </c>
      <c r="H86" s="16" t="n">
        <f aca="false">CADASTRO_TRECHOS_CANAL!$C$24*H8+CADASTRO_TRECHOS_CANAL!$D$24*H9+CADASTRO_TRECHOS_CANAL!$E$24*H10+CADASTRO_TRECHOS_CANAL!$F$24*H11+CADASTRO_TRECHOS_CANAL!$G$24*H12+CADASTRO_TRECHOS_CANAL!$H$24*H13+CADASTRO_TRECHOS_CANAL!$I$24*H14+CADASTRO_TRECHOS_CANAL!$J$24*H15</f>
        <v>0</v>
      </c>
      <c r="I86" s="16" t="n">
        <f aca="false">CADASTRO_TRECHOS_CANAL!$C$24*I8+CADASTRO_TRECHOS_CANAL!$D$24*I9+CADASTRO_TRECHOS_CANAL!$E$24*I10+CADASTRO_TRECHOS_CANAL!$F$24*I11+CADASTRO_TRECHOS_CANAL!$G$24*I12+CADASTRO_TRECHOS_CANAL!$H$24*I13+CADASTRO_TRECHOS_CANAL!$I$24*I14+CADASTRO_TRECHOS_CANAL!$J$24*I15</f>
        <v>0</v>
      </c>
      <c r="J86" s="16" t="n">
        <f aca="false">CADASTRO_TRECHOS_CANAL!$C$24*J8+CADASTRO_TRECHOS_CANAL!$D$24*J9+CADASTRO_TRECHOS_CANAL!$E$24*J10+CADASTRO_TRECHOS_CANAL!$F$24*J11+CADASTRO_TRECHOS_CANAL!$G$24*J12+CADASTRO_TRECHOS_CANAL!$H$24*J13+CADASTRO_TRECHOS_CANAL!$I$24*J14+CADASTRO_TRECHOS_CANAL!$J$24*J15</f>
        <v>0</v>
      </c>
      <c r="K86" s="16" t="n">
        <f aca="false">CADASTRO_TRECHOS_CANAL!$C$24*K8+CADASTRO_TRECHOS_CANAL!$D$24*K9+CADASTRO_TRECHOS_CANAL!$E$24*K10+CADASTRO_TRECHOS_CANAL!$F$24*K11+CADASTRO_TRECHOS_CANAL!$G$24*K12+CADASTRO_TRECHOS_CANAL!$H$24*K13+CADASTRO_TRECHOS_CANAL!$I$24*K14+CADASTRO_TRECHOS_CANAL!$J$24*K15</f>
        <v>0</v>
      </c>
      <c r="L86" s="16" t="n">
        <f aca="false">CADASTRO_TRECHOS_CANAL!$C$24*L8+CADASTRO_TRECHOS_CANAL!$D$24*L9+CADASTRO_TRECHOS_CANAL!$E$24*L10+CADASTRO_TRECHOS_CANAL!$F$24*L11+CADASTRO_TRECHOS_CANAL!$G$24*L12+CADASTRO_TRECHOS_CANAL!$H$24*L13+CADASTRO_TRECHOS_CANAL!$I$24*L14+CADASTRO_TRECHOS_CANAL!$J$24*L15</f>
        <v>0</v>
      </c>
      <c r="M86" s="16" t="n">
        <f aca="false">CADASTRO_TRECHOS_CANAL!$C$24*M8+CADASTRO_TRECHOS_CANAL!$D$24*M9+CADASTRO_TRECHOS_CANAL!$E$24*M10+CADASTRO_TRECHOS_CANAL!$F$24*M11+CADASTRO_TRECHOS_CANAL!$G$24*M12+CADASTRO_TRECHOS_CANAL!$H$24*M13+CADASTRO_TRECHOS_CANAL!$I$24*M14+CADASTRO_TRECHOS_CANAL!$J$24*M15</f>
        <v>0</v>
      </c>
      <c r="N86" s="16" t="n">
        <f aca="false">CADASTRO_TRECHOS_CANAL!$C$24*N8+CADASTRO_TRECHOS_CANAL!$D$24*N9+CADASTRO_TRECHOS_CANAL!$E$24*N10+CADASTRO_TRECHOS_CANAL!$F$24*N11+CADASTRO_TRECHOS_CANAL!$G$24*N12+CADASTRO_TRECHOS_CANAL!$H$24*N13+CADASTRO_TRECHOS_CANAL!$I$24*N14+CADASTRO_TRECHOS_CANAL!$J$24*N15</f>
        <v>0</v>
      </c>
      <c r="O86" s="16" t="n">
        <f aca="false">CADASTRO_TRECHOS_CANAL!$C$24*O8+CADASTRO_TRECHOS_CANAL!$D$24*O9+CADASTRO_TRECHOS_CANAL!$E$24*O10+CADASTRO_TRECHOS_CANAL!$F$24*O11+CADASTRO_TRECHOS_CANAL!$G$24*O12+CADASTRO_TRECHOS_CANAL!$H$24*O13+CADASTRO_TRECHOS_CANAL!$I$24*O14+CADASTRO_TRECHOS_CANAL!$J$24*O15</f>
        <v>1050.25753382132</v>
      </c>
      <c r="P86" s="16" t="n">
        <f aca="false">CADASTRO_TRECHOS_CANAL!$C$24*P8+CADASTRO_TRECHOS_CANAL!$D$24*P9+CADASTRO_TRECHOS_CANAL!$E$24*P10+CADASTRO_TRECHOS_CANAL!$F$24*P11+CADASTRO_TRECHOS_CANAL!$G$24*P12+CADASTRO_TRECHOS_CANAL!$H$24*P13+CADASTRO_TRECHOS_CANAL!$I$24*P14+CADASTRO_TRECHOS_CANAL!$J$24*P15</f>
        <v>0</v>
      </c>
      <c r="Q86" s="16" t="n">
        <f aca="false">CADASTRO_TRECHOS_CANAL!$C$24*Q8+CADASTRO_TRECHOS_CANAL!$D$24*Q9+CADASTRO_TRECHOS_CANAL!$E$24*Q10+CADASTRO_TRECHOS_CANAL!$F$24*Q11+CADASTRO_TRECHOS_CANAL!$G$24*Q12+CADASTRO_TRECHOS_CANAL!$H$24*Q13+CADASTRO_TRECHOS_CANAL!$I$24*Q14+CADASTRO_TRECHOS_CANAL!$J$24*Q15</f>
        <v>0</v>
      </c>
      <c r="R86" s="16" t="n">
        <f aca="false">CADASTRO_TRECHOS_CANAL!$C$24*R8+CADASTRO_TRECHOS_CANAL!$D$24*R9+CADASTRO_TRECHOS_CANAL!$E$24*R10+CADASTRO_TRECHOS_CANAL!$F$24*R11+CADASTRO_TRECHOS_CANAL!$G$24*R12+CADASTRO_TRECHOS_CANAL!$H$24*R13+CADASTRO_TRECHOS_CANAL!$I$24*R14+CADASTRO_TRECHOS_CANAL!$J$24*R15</f>
        <v>0</v>
      </c>
      <c r="S86" s="16" t="n">
        <f aca="false">CADASTRO_TRECHOS_CANAL!$C$24*S8+CADASTRO_TRECHOS_CANAL!$D$24*S9+CADASTRO_TRECHOS_CANAL!$E$24*S10+CADASTRO_TRECHOS_CANAL!$F$24*S11+CADASTRO_TRECHOS_CANAL!$G$24*S12+CADASTRO_TRECHOS_CANAL!$H$24*S13+CADASTRO_TRECHOS_CANAL!$I$24*S14+CADASTRO_TRECHOS_CANAL!$J$24*S15</f>
        <v>0</v>
      </c>
      <c r="T86" s="16" t="n">
        <f aca="false">CADASTRO_TRECHOS_CANAL!$C$24*T8+CADASTRO_TRECHOS_CANAL!$D$24*T9+CADASTRO_TRECHOS_CANAL!$E$24*T10+CADASTRO_TRECHOS_CANAL!$F$24*T11+CADASTRO_TRECHOS_CANAL!$G$24*T12+CADASTRO_TRECHOS_CANAL!$H$24*T13+CADASTRO_TRECHOS_CANAL!$I$24*T14+CADASTRO_TRECHOS_CANAL!$J$24*T15</f>
        <v>4030.29035294116</v>
      </c>
      <c r="U86" s="16" t="n">
        <f aca="false">CADASTRO_TRECHOS_CANAL!$C$24*U8+CADASTRO_TRECHOS_CANAL!$D$24*U9+CADASTRO_TRECHOS_CANAL!$E$24*U10+CADASTRO_TRECHOS_CANAL!$F$24*U11+CADASTRO_TRECHOS_CANAL!$G$24*U12+CADASTRO_TRECHOS_CANAL!$H$24*U13+CADASTRO_TRECHOS_CANAL!$I$24*U14+CADASTRO_TRECHOS_CANAL!$J$24*U15</f>
        <v>20642.9505882353</v>
      </c>
      <c r="V86" s="16" t="n">
        <f aca="false">CADASTRO_TRECHOS_CANAL!$C$24*V8+CADASTRO_TRECHOS_CANAL!$D$24*V9+CADASTRO_TRECHOS_CANAL!$E$24*V10+CADASTRO_TRECHOS_CANAL!$F$24*V11+CADASTRO_TRECHOS_CANAL!$G$24*V12+CADASTRO_TRECHOS_CANAL!$H$24*V13+CADASTRO_TRECHOS_CANAL!$I$24*V14+CADASTRO_TRECHOS_CANAL!$J$24*V15</f>
        <v>20642.9505882353</v>
      </c>
      <c r="W86" s="16" t="n">
        <f aca="false">CADASTRO_TRECHOS_CANAL!$C$24*W8+CADASTRO_TRECHOS_CANAL!$D$24*W9+CADASTRO_TRECHOS_CANAL!$E$24*W10+CADASTRO_TRECHOS_CANAL!$F$24*W11+CADASTRO_TRECHOS_CANAL!$G$24*W12+CADASTRO_TRECHOS_CANAL!$H$24*W13+CADASTRO_TRECHOS_CANAL!$I$24*W14+CADASTRO_TRECHOS_CANAL!$J$24*W15</f>
        <v>8508.71637009591</v>
      </c>
      <c r="X86" s="16" t="n">
        <f aca="false">CADASTRO_TRECHOS_CANAL!$C$24*X8+CADASTRO_TRECHOS_CANAL!$D$24*X9+CADASTRO_TRECHOS_CANAL!$E$24*X10+CADASTRO_TRECHOS_CANAL!$F$24*X11+CADASTRO_TRECHOS_CANAL!$G$24*X12+CADASTRO_TRECHOS_CANAL!$H$24*X13+CADASTRO_TRECHOS_CANAL!$I$24*X14+CADASTRO_TRECHOS_CANAL!$J$24*X15</f>
        <v>0</v>
      </c>
      <c r="Y86" s="16" t="n">
        <f aca="false">CADASTRO_TRECHOS_CANAL!$C$24*Y8+CADASTRO_TRECHOS_CANAL!$D$24*Y9+CADASTRO_TRECHOS_CANAL!$E$24*Y10+CADASTRO_TRECHOS_CANAL!$F$24*Y11+CADASTRO_TRECHOS_CANAL!$G$24*Y12+CADASTRO_TRECHOS_CANAL!$H$24*Y13+CADASTRO_TRECHOS_CANAL!$I$24*Y14+CADASTRO_TRECHOS_CANAL!$J$24*Y15</f>
        <v>0</v>
      </c>
      <c r="Z86" s="16" t="n">
        <f aca="false">CADASTRO_TRECHOS_CANAL!$C$24*Z8+CADASTRO_TRECHOS_CANAL!$D$24*Z9+CADASTRO_TRECHOS_CANAL!$E$24*Z10+CADASTRO_TRECHOS_CANAL!$F$24*Z11+CADASTRO_TRECHOS_CANAL!$G$24*Z12+CADASTRO_TRECHOS_CANAL!$H$24*Z13+CADASTRO_TRECHOS_CANAL!$I$24*Z14+CADASTRO_TRECHOS_CANAL!$J$24*Z15</f>
        <v>4053.86713261398</v>
      </c>
      <c r="AA86" s="16" t="n">
        <f aca="false">CADASTRO_TRECHOS_CANAL!$C$24*AA8+CADASTRO_TRECHOS_CANAL!$D$24*AA9+CADASTRO_TRECHOS_CANAL!$E$24*AA10+CADASTRO_TRECHOS_CANAL!$F$24*AA11+CADASTRO_TRECHOS_CANAL!$G$24*AA12+CADASTRO_TRECHOS_CANAL!$H$24*AA13+CADASTRO_TRECHOS_CANAL!$I$24*AA14+CADASTRO_TRECHOS_CANAL!$J$24*AA15</f>
        <v>12914.9946526086</v>
      </c>
      <c r="AB86" s="16" t="n">
        <f aca="false">CADASTRO_TRECHOS_CANAL!$C$24*AB8+CADASTRO_TRECHOS_CANAL!$D$24*AB9+CADASTRO_TRECHOS_CANAL!$E$24*AB10+CADASTRO_TRECHOS_CANAL!$F$24*AB11+CADASTRO_TRECHOS_CANAL!$G$24*AB12+CADASTRO_TRECHOS_CANAL!$H$24*AB13+CADASTRO_TRECHOS_CANAL!$I$24*AB14+CADASTRO_TRECHOS_CANAL!$J$24*AB15</f>
        <v>20651.9270588235</v>
      </c>
      <c r="AC86" s="16" t="n">
        <f aca="false">CADASTRO_TRECHOS_CANAL!$C$24*AC8+CADASTRO_TRECHOS_CANAL!$D$24*AC9+CADASTRO_TRECHOS_CANAL!$E$24*AC10+CADASTRO_TRECHOS_CANAL!$F$24*AC11+CADASTRO_TRECHOS_CANAL!$G$24*AC12+CADASTRO_TRECHOS_CANAL!$H$24*AC13+CADASTRO_TRECHOS_CANAL!$I$24*AC14+CADASTRO_TRECHOS_CANAL!$J$24*AC15</f>
        <v>26207.7035294118</v>
      </c>
      <c r="AD86" s="16" t="n">
        <f aca="false">CADASTRO_TRECHOS_CANAL!$C$24*AD8+CADASTRO_TRECHOS_CANAL!$D$24*AD9+CADASTRO_TRECHOS_CANAL!$E$24*AD10+CADASTRO_TRECHOS_CANAL!$F$24*AD11+CADASTRO_TRECHOS_CANAL!$G$24*AD12+CADASTRO_TRECHOS_CANAL!$H$24*AD13+CADASTRO_TRECHOS_CANAL!$I$24*AD14+CADASTRO_TRECHOS_CANAL!$J$24*AD15</f>
        <v>26207.7035294118</v>
      </c>
      <c r="AE86" s="16" t="n">
        <f aca="false">CADASTRO_TRECHOS_CANAL!$C$24*AE8+CADASTRO_TRECHOS_CANAL!$D$24*AE9+CADASTRO_TRECHOS_CANAL!$E$24*AE10+CADASTRO_TRECHOS_CANAL!$F$24*AE11+CADASTRO_TRECHOS_CANAL!$G$24*AE12+CADASTRO_TRECHOS_CANAL!$H$24*AE13+CADASTRO_TRECHOS_CANAL!$I$24*AE14+CADASTRO_TRECHOS_CANAL!$J$24*AE15</f>
        <v>29146.4767679738</v>
      </c>
      <c r="AF86" s="16" t="n">
        <f aca="false">CADASTRO_TRECHOS_CANAL!$C$24*AF8+CADASTRO_TRECHOS_CANAL!$D$24*AF9+CADASTRO_TRECHOS_CANAL!$E$24*AF10+CADASTRO_TRECHOS_CANAL!$F$24*AF11+CADASTRO_TRECHOS_CANAL!$G$24*AF12+CADASTRO_TRECHOS_CANAL!$H$24*AF13+CADASTRO_TRECHOS_CANAL!$I$24*AF14+CADASTRO_TRECHOS_CANAL!$J$24*AF15</f>
        <v>35852.7712941176</v>
      </c>
      <c r="AG86" s="16" t="n">
        <f aca="false">CADASTRO_TRECHOS_CANAL!$C$24*AG8+CADASTRO_TRECHOS_CANAL!$D$24*AG9+CADASTRO_TRECHOS_CANAL!$E$24*AG10+CADASTRO_TRECHOS_CANAL!$F$24*AG11+CADASTRO_TRECHOS_CANAL!$G$24*AG12+CADASTRO_TRECHOS_CANAL!$H$24*AG13+CADASTRO_TRECHOS_CANAL!$I$24*AG14+CADASTRO_TRECHOS_CANAL!$J$24*AG15</f>
        <v>116217.850881627</v>
      </c>
      <c r="AH86" s="16" t="n">
        <f aca="false">CADASTRO_TRECHOS_CANAL!$C$24*AH8+CADASTRO_TRECHOS_CANAL!$D$24*AH9+CADASTRO_TRECHOS_CANAL!$E$24*AH10+CADASTRO_TRECHOS_CANAL!$F$24*AH11+CADASTRO_TRECHOS_CANAL!$G$24*AH12+CADASTRO_TRECHOS_CANAL!$H$24*AH13+CADASTRO_TRECHOS_CANAL!$I$24*AH14+CADASTRO_TRECHOS_CANAL!$J$24*AH15</f>
        <v>236511.561084967</v>
      </c>
      <c r="AI86" s="16" t="n">
        <f aca="false">CADASTRO_TRECHOS_CANAL!$C$24*AI8+CADASTRO_TRECHOS_CANAL!$D$24*AI9+CADASTRO_TRECHOS_CANAL!$E$24*AI10+CADASTRO_TRECHOS_CANAL!$F$24*AI11+CADASTRO_TRECHOS_CANAL!$G$24*AI12+CADASTRO_TRECHOS_CANAL!$H$24*AI13+CADASTRO_TRECHOS_CANAL!$I$24*AI14+CADASTRO_TRECHOS_CANAL!$J$24*AI15</f>
        <v>264229.996038671</v>
      </c>
      <c r="AJ86" s="16" t="n">
        <f aca="false">CADASTRO_TRECHOS_CANAL!$C$24*AJ8+CADASTRO_TRECHOS_CANAL!$D$24*AJ9+CADASTRO_TRECHOS_CANAL!$E$24*AJ10+CADASTRO_TRECHOS_CANAL!$F$24*AJ11+CADASTRO_TRECHOS_CANAL!$G$24*AJ12+CADASTRO_TRECHOS_CANAL!$H$24*AJ13+CADASTRO_TRECHOS_CANAL!$I$24*AJ14+CADASTRO_TRECHOS_CANAL!$J$24*AJ15</f>
        <v>283391.189642031</v>
      </c>
      <c r="AK86" s="16" t="n">
        <f aca="false">CADASTRO_TRECHOS_CANAL!$C$24*AK8+CADASTRO_TRECHOS_CANAL!$D$24*AK9+CADASTRO_TRECHOS_CANAL!$E$24*AK10+CADASTRO_TRECHOS_CANAL!$F$24*AK11+CADASTRO_TRECHOS_CANAL!$G$24*AK12+CADASTRO_TRECHOS_CANAL!$H$24*AK13+CADASTRO_TRECHOS_CANAL!$I$24*AK14+CADASTRO_TRECHOS_CANAL!$J$24*AK15</f>
        <v>324304.534323683</v>
      </c>
      <c r="AL86" s="16" t="n">
        <f aca="false">CADASTRO_TRECHOS_CANAL!$C$24*AL8+CADASTRO_TRECHOS_CANAL!$D$24*AL9+CADASTRO_TRECHOS_CANAL!$E$24*AL10+CADASTRO_TRECHOS_CANAL!$F$24*AL11+CADASTRO_TRECHOS_CANAL!$G$24*AL12+CADASTRO_TRECHOS_CANAL!$H$24*AL13+CADASTRO_TRECHOS_CANAL!$I$24*AL14+CADASTRO_TRECHOS_CANAL!$J$24*AL15</f>
        <v>407921.465823529</v>
      </c>
      <c r="AM86" s="16" t="n">
        <f aca="false">CADASTRO_TRECHOS_CANAL!$C$24*AM8+CADASTRO_TRECHOS_CANAL!$D$24*AM9+CADASTRO_TRECHOS_CANAL!$E$24*AM10+CADASTRO_TRECHOS_CANAL!$F$24*AM11+CADASTRO_TRECHOS_CANAL!$G$24*AM12+CADASTRO_TRECHOS_CANAL!$H$24*AM13+CADASTRO_TRECHOS_CANAL!$I$24*AM14+CADASTRO_TRECHOS_CANAL!$J$24*AM15</f>
        <v>398843.217254525</v>
      </c>
      <c r="AN86" s="16" t="n">
        <f aca="false">CADASTRO_TRECHOS_CANAL!$C$24*AN8+CADASTRO_TRECHOS_CANAL!$D$24*AN9+CADASTRO_TRECHOS_CANAL!$E$24*AN10+CADASTRO_TRECHOS_CANAL!$F$24*AN11+CADASTRO_TRECHOS_CANAL!$G$24*AN12+CADASTRO_TRECHOS_CANAL!$H$24*AN13+CADASTRO_TRECHOS_CANAL!$I$24*AN14+CADASTRO_TRECHOS_CANAL!$J$24*AN15</f>
        <v>389360.091773756</v>
      </c>
      <c r="AO86" s="16" t="n">
        <f aca="false">CADASTRO_TRECHOS_CANAL!$C$24*AO8+CADASTRO_TRECHOS_CANAL!$D$24*AO9+CADASTRO_TRECHOS_CANAL!$E$24*AO10+CADASTRO_TRECHOS_CANAL!$F$24*AO11+CADASTRO_TRECHOS_CANAL!$G$24*AO12+CADASTRO_TRECHOS_CANAL!$H$24*AO13+CADASTRO_TRECHOS_CANAL!$I$24*AO14+CADASTRO_TRECHOS_CANAL!$J$24*AO15</f>
        <v>346552.519028281</v>
      </c>
      <c r="AP86" s="16" t="n">
        <f aca="false">CADASTRO_TRECHOS_CANAL!$C$24*AP8+CADASTRO_TRECHOS_CANAL!$D$24*AP9+CADASTRO_TRECHOS_CANAL!$E$24*AP10+CADASTRO_TRECHOS_CANAL!$F$24*AP11+CADASTRO_TRECHOS_CANAL!$G$24*AP12+CADASTRO_TRECHOS_CANAL!$H$24*AP13+CADASTRO_TRECHOS_CANAL!$I$24*AP14+CADASTRO_TRECHOS_CANAL!$J$24*AP15</f>
        <v>354318.903272463</v>
      </c>
      <c r="AQ86" s="16" t="n">
        <f aca="false">CADASTRO_TRECHOS_CANAL!$C$24*AQ8+CADASTRO_TRECHOS_CANAL!$D$24*AQ9+CADASTRO_TRECHOS_CANAL!$E$24*AQ10+CADASTRO_TRECHOS_CANAL!$F$24*AQ11+CADASTRO_TRECHOS_CANAL!$G$24*AQ12+CADASTRO_TRECHOS_CANAL!$H$24*AQ13+CADASTRO_TRECHOS_CANAL!$I$24*AQ14+CADASTRO_TRECHOS_CANAL!$J$24*AQ15</f>
        <v>348262.392321267</v>
      </c>
      <c r="AR86" s="16" t="n">
        <f aca="false">CADASTRO_TRECHOS_CANAL!$C$24*AR8+CADASTRO_TRECHOS_CANAL!$D$24*AR9+CADASTRO_TRECHOS_CANAL!$E$24*AR10+CADASTRO_TRECHOS_CANAL!$F$24*AR11+CADASTRO_TRECHOS_CANAL!$G$24*AR12+CADASTRO_TRECHOS_CANAL!$H$24*AR13+CADASTRO_TRECHOS_CANAL!$I$24*AR14+CADASTRO_TRECHOS_CANAL!$J$24*AR15</f>
        <v>301446.849803922</v>
      </c>
      <c r="AS86" s="16" t="n">
        <f aca="false">CADASTRO_TRECHOS_CANAL!$C$24*AS8+CADASTRO_TRECHOS_CANAL!$D$24*AS9+CADASTRO_TRECHOS_CANAL!$E$24*AS10+CADASTRO_TRECHOS_CANAL!$F$24*AS11+CADASTRO_TRECHOS_CANAL!$G$24*AS12+CADASTRO_TRECHOS_CANAL!$H$24*AS13+CADASTRO_TRECHOS_CANAL!$I$24*AS14+CADASTRO_TRECHOS_CANAL!$J$24*AS15</f>
        <v>263268.321464052</v>
      </c>
      <c r="AT86" s="16" t="n">
        <f aca="false">CADASTRO_TRECHOS_CANAL!$C$24*AT8+CADASTRO_TRECHOS_CANAL!$D$24*AT9+CADASTRO_TRECHOS_CANAL!$E$24*AT10+CADASTRO_TRECHOS_CANAL!$F$24*AT11+CADASTRO_TRECHOS_CANAL!$G$24*AT12+CADASTRO_TRECHOS_CANAL!$H$24*AT13+CADASTRO_TRECHOS_CANAL!$I$24*AT14+CADASTRO_TRECHOS_CANAL!$J$24*AT15</f>
        <v>278245.964235294</v>
      </c>
      <c r="AU86" s="16" t="n">
        <f aca="false">CADASTRO_TRECHOS_CANAL!$C$24*AU8+CADASTRO_TRECHOS_CANAL!$D$24*AU9+CADASTRO_TRECHOS_CANAL!$E$24*AU10+CADASTRO_TRECHOS_CANAL!$F$24*AU11+CADASTRO_TRECHOS_CANAL!$G$24*AU12+CADASTRO_TRECHOS_CANAL!$H$24*AU13+CADASTRO_TRECHOS_CANAL!$I$24*AU14+CADASTRO_TRECHOS_CANAL!$J$24*AU15</f>
        <v>273278.471739869</v>
      </c>
      <c r="AV86" s="16" t="n">
        <f aca="false">CADASTRO_TRECHOS_CANAL!$C$24*AV8+CADASTRO_TRECHOS_CANAL!$D$24*AV9+CADASTRO_TRECHOS_CANAL!$E$24*AV10+CADASTRO_TRECHOS_CANAL!$F$24*AV11+CADASTRO_TRECHOS_CANAL!$G$24*AV12+CADASTRO_TRECHOS_CANAL!$H$24*AV13+CADASTRO_TRECHOS_CANAL!$I$24*AV14+CADASTRO_TRECHOS_CANAL!$J$24*AV15</f>
        <v>259988.107903268</v>
      </c>
      <c r="AW86" s="16" t="n">
        <f aca="false">CADASTRO_TRECHOS_CANAL!$C$24*AW8+CADASTRO_TRECHOS_CANAL!$D$24*AW9+CADASTRO_TRECHOS_CANAL!$E$24*AW10+CADASTRO_TRECHOS_CANAL!$F$24*AW11+CADASTRO_TRECHOS_CANAL!$G$24*AW12+CADASTRO_TRECHOS_CANAL!$H$24*AW13+CADASTRO_TRECHOS_CANAL!$I$24*AW14+CADASTRO_TRECHOS_CANAL!$J$24*AW15</f>
        <v>247069.456232184</v>
      </c>
      <c r="AX86" s="16" t="n">
        <f aca="false">CADASTRO_TRECHOS_CANAL!$C$24*AX8+CADASTRO_TRECHOS_CANAL!$D$24*AX9+CADASTRO_TRECHOS_CANAL!$E$24*AX10+CADASTRO_TRECHOS_CANAL!$F$24*AX11+CADASTRO_TRECHOS_CANAL!$G$24*AX12+CADASTRO_TRECHOS_CANAL!$H$24*AX13+CADASTRO_TRECHOS_CANAL!$I$24*AX14+CADASTRO_TRECHOS_CANAL!$J$24*AX15</f>
        <v>215925.435404102</v>
      </c>
      <c r="AY86" s="16" t="n">
        <f aca="false">CADASTRO_TRECHOS_CANAL!$C$24*AY8+CADASTRO_TRECHOS_CANAL!$D$24*AY9+CADASTRO_TRECHOS_CANAL!$E$24*AY10+CADASTRO_TRECHOS_CANAL!$F$24*AY11+CADASTRO_TRECHOS_CANAL!$G$24*AY12+CADASTRO_TRECHOS_CANAL!$H$24*AY13+CADASTRO_TRECHOS_CANAL!$I$24*AY14+CADASTRO_TRECHOS_CANAL!$J$24*AY15</f>
        <v>222953.03967735</v>
      </c>
      <c r="AZ86" s="16" t="n">
        <f aca="false">CADASTRO_TRECHOS_CANAL!$C$24*AZ8+CADASTRO_TRECHOS_CANAL!$D$24*AZ9+CADASTRO_TRECHOS_CANAL!$E$24*AZ10+CADASTRO_TRECHOS_CANAL!$F$24*AZ11+CADASTRO_TRECHOS_CANAL!$G$24*AZ12+CADASTRO_TRECHOS_CANAL!$H$24*AZ13+CADASTRO_TRECHOS_CANAL!$I$24*AZ14+CADASTRO_TRECHOS_CANAL!$J$24*AZ15</f>
        <v>212778.354351679</v>
      </c>
      <c r="BA86" s="16" t="n">
        <f aca="false">CADASTRO_TRECHOS_CANAL!$C$24*BA8+CADASTRO_TRECHOS_CANAL!$D$24*BA9+CADASTRO_TRECHOS_CANAL!$E$24*BA10+CADASTRO_TRECHOS_CANAL!$F$24*BA11+CADASTRO_TRECHOS_CANAL!$G$24*BA12+CADASTRO_TRECHOS_CANAL!$H$24*BA13+CADASTRO_TRECHOS_CANAL!$I$24*BA14+CADASTRO_TRECHOS_CANAL!$J$24*BA15</f>
        <v>153873.594772414</v>
      </c>
      <c r="BB86" s="16" t="n">
        <f aca="false">CADASTRO_TRECHOS_CANAL!$C$24*BB8+CADASTRO_TRECHOS_CANAL!$D$24*BB9+CADASTRO_TRECHOS_CANAL!$E$24*BB10+CADASTRO_TRECHOS_CANAL!$F$24*BB11+CADASTRO_TRECHOS_CANAL!$G$24*BB12+CADASTRO_TRECHOS_CANAL!$H$24*BB13+CADASTRO_TRECHOS_CANAL!$I$24*BB14+CADASTRO_TRECHOS_CANAL!$J$24*BB15</f>
        <v>170691.022727789</v>
      </c>
      <c r="BC86" s="16" t="n">
        <f aca="false">CADASTRO_TRECHOS_CANAL!$C$24*BC8+CADASTRO_TRECHOS_CANAL!$D$24*BC9+CADASTRO_TRECHOS_CANAL!$E$24*BC10+CADASTRO_TRECHOS_CANAL!$F$24*BC11+CADASTRO_TRECHOS_CANAL!$G$24*BC12+CADASTRO_TRECHOS_CANAL!$H$24*BC13+CADASTRO_TRECHOS_CANAL!$I$24*BC14+CADASTRO_TRECHOS_CANAL!$J$24*BC15</f>
        <v>181370.903447059</v>
      </c>
      <c r="BD86" s="16" t="n">
        <f aca="false">CADASTRO_TRECHOS_CANAL!$C$24*BD8+CADASTRO_TRECHOS_CANAL!$D$24*BD9+CADASTRO_TRECHOS_CANAL!$E$24*BD10+CADASTRO_TRECHOS_CANAL!$F$24*BD11+CADASTRO_TRECHOS_CANAL!$G$24*BD12+CADASTRO_TRECHOS_CANAL!$H$24*BD13+CADASTRO_TRECHOS_CANAL!$I$24*BD14+CADASTRO_TRECHOS_CANAL!$J$24*BD15</f>
        <v>192351.865670588</v>
      </c>
      <c r="BE86" s="16" t="n">
        <f aca="false">CADASTRO_TRECHOS_CANAL!$C$24*BE8+CADASTRO_TRECHOS_CANAL!$D$24*BE9+CADASTRO_TRECHOS_CANAL!$E$24*BE10+CADASTRO_TRECHOS_CANAL!$F$24*BE11+CADASTRO_TRECHOS_CANAL!$G$24*BE12+CADASTRO_TRECHOS_CANAL!$H$24*BE13+CADASTRO_TRECHOS_CANAL!$I$24*BE14+CADASTRO_TRECHOS_CANAL!$J$24*BE15</f>
        <v>192978.075294118</v>
      </c>
      <c r="BF86" s="16" t="n">
        <f aca="false">CADASTRO_TRECHOS_CANAL!$C$24*BF8+CADASTRO_TRECHOS_CANAL!$D$24*BF9+CADASTRO_TRECHOS_CANAL!$E$24*BF10+CADASTRO_TRECHOS_CANAL!$F$24*BF11+CADASTRO_TRECHOS_CANAL!$G$24*BF12+CADASTRO_TRECHOS_CANAL!$H$24*BF13+CADASTRO_TRECHOS_CANAL!$I$24*BF14+CADASTRO_TRECHOS_CANAL!$J$24*BF15</f>
        <v>192978.075294118</v>
      </c>
      <c r="BG86" s="16" t="n">
        <f aca="false">CADASTRO_TRECHOS_CANAL!$C$24*BG8+CADASTRO_TRECHOS_CANAL!$D$24*BG9+CADASTRO_TRECHOS_CANAL!$E$24*BG10+CADASTRO_TRECHOS_CANAL!$F$24*BG11+CADASTRO_TRECHOS_CANAL!$G$24*BG12+CADASTRO_TRECHOS_CANAL!$H$24*BG13+CADASTRO_TRECHOS_CANAL!$I$24*BG14+CADASTRO_TRECHOS_CANAL!$J$24*BG15</f>
        <v>158545.365647059</v>
      </c>
      <c r="BH86" s="16" t="n">
        <f aca="false">CADASTRO_TRECHOS_CANAL!$C$24*BH8+CADASTRO_TRECHOS_CANAL!$D$24*BH9+CADASTRO_TRECHOS_CANAL!$E$24*BH10+CADASTRO_TRECHOS_CANAL!$F$24*BH11+CADASTRO_TRECHOS_CANAL!$G$24*BH12+CADASTRO_TRECHOS_CANAL!$H$24*BH13+CADASTRO_TRECHOS_CANAL!$I$24*BH14+CADASTRO_TRECHOS_CANAL!$J$24*BH15</f>
        <v>106826.752941176</v>
      </c>
      <c r="BI86" s="16" t="n">
        <f aca="false">CADASTRO_TRECHOS_CANAL!$C$24*BI8+CADASTRO_TRECHOS_CANAL!$D$24*BI9+CADASTRO_TRECHOS_CANAL!$E$24*BI10+CADASTRO_TRECHOS_CANAL!$F$24*BI11+CADASTRO_TRECHOS_CANAL!$G$24*BI12+CADASTRO_TRECHOS_CANAL!$H$24*BI13+CADASTRO_TRECHOS_CANAL!$I$24*BI14+CADASTRO_TRECHOS_CANAL!$J$24*BI15</f>
        <v>97788.1123569979</v>
      </c>
      <c r="BJ86" s="16" t="n">
        <f aca="false">CADASTRO_TRECHOS_CANAL!$C$24*BJ8+CADASTRO_TRECHOS_CANAL!$D$24*BJ9+CADASTRO_TRECHOS_CANAL!$E$24*BJ10+CADASTRO_TRECHOS_CANAL!$F$24*BJ11+CADASTRO_TRECHOS_CANAL!$G$24*BJ12+CADASTRO_TRECHOS_CANAL!$H$24*BJ13+CADASTRO_TRECHOS_CANAL!$I$24*BJ14+CADASTRO_TRECHOS_CANAL!$J$24*BJ15</f>
        <v>86139.1811440162</v>
      </c>
      <c r="BK86" s="16" t="n">
        <f aca="false">CADASTRO_TRECHOS_CANAL!$C$24*BK8+CADASTRO_TRECHOS_CANAL!$D$24*BK9+CADASTRO_TRECHOS_CANAL!$E$24*BK10+CADASTRO_TRECHOS_CANAL!$F$24*BK11+CADASTRO_TRECHOS_CANAL!$G$24*BK12+CADASTRO_TRECHOS_CANAL!$H$24*BK13+CADASTRO_TRECHOS_CANAL!$I$24*BK14+CADASTRO_TRECHOS_CANAL!$J$24*BK15</f>
        <v>74490.2499310345</v>
      </c>
      <c r="BL86" s="16" t="n">
        <f aca="false">CADASTRO_TRECHOS_CANAL!$C$24*BL8+CADASTRO_TRECHOS_CANAL!$D$24*BL9+CADASTRO_TRECHOS_CANAL!$E$24*BL10+CADASTRO_TRECHOS_CANAL!$F$24*BL11+CADASTRO_TRECHOS_CANAL!$G$24*BL12+CADASTRO_TRECHOS_CANAL!$H$24*BL13+CADASTRO_TRECHOS_CANAL!$I$24*BL14+CADASTRO_TRECHOS_CANAL!$J$24*BL15</f>
        <v>1235.62435294118</v>
      </c>
      <c r="BM86" s="16" t="n">
        <f aca="false">CADASTRO_TRECHOS_CANAL!$C$24*BM8+CADASTRO_TRECHOS_CANAL!$D$24*BM9+CADASTRO_TRECHOS_CANAL!$E$24*BM10+CADASTRO_TRECHOS_CANAL!$F$24*BM11+CADASTRO_TRECHOS_CANAL!$G$24*BM12+CADASTRO_TRECHOS_CANAL!$H$24*BM13+CADASTRO_TRECHOS_CANAL!$I$24*BM14+CADASTRO_TRECHOS_CANAL!$J$24*BM15</f>
        <v>0</v>
      </c>
      <c r="BN86" s="16" t="n">
        <f aca="false">CADASTRO_TRECHOS_CANAL!$C$24*BN8+CADASTRO_TRECHOS_CANAL!$D$24*BN9+CADASTRO_TRECHOS_CANAL!$E$24*BN10+CADASTRO_TRECHOS_CANAL!$F$24*BN11+CADASTRO_TRECHOS_CANAL!$G$24*BN12+CADASTRO_TRECHOS_CANAL!$H$24*BN13+CADASTRO_TRECHOS_CANAL!$I$24*BN14+CADASTRO_TRECHOS_CANAL!$J$24*BN15</f>
        <v>0</v>
      </c>
      <c r="BO86" s="16" t="n">
        <f aca="false">CADASTRO_TRECHOS_CANAL!$C$24*BO8+CADASTRO_TRECHOS_CANAL!$D$24*BO9+CADASTRO_TRECHOS_CANAL!$E$24*BO10+CADASTRO_TRECHOS_CANAL!$F$24*BO11+CADASTRO_TRECHOS_CANAL!$G$24*BO12+CADASTRO_TRECHOS_CANAL!$H$24*BO13+CADASTRO_TRECHOS_CANAL!$I$24*BO14+CADASTRO_TRECHOS_CANAL!$J$24*BO15</f>
        <v>0</v>
      </c>
      <c r="BP86" s="16" t="n">
        <f aca="false">CADASTRO_TRECHOS_CANAL!$C$24*BP8+CADASTRO_TRECHOS_CANAL!$D$24*BP9+CADASTRO_TRECHOS_CANAL!$E$24*BP10+CADASTRO_TRECHOS_CANAL!$F$24*BP11+CADASTRO_TRECHOS_CANAL!$G$24*BP12+CADASTRO_TRECHOS_CANAL!$H$24*BP13+CADASTRO_TRECHOS_CANAL!$I$24*BP14+CADASTRO_TRECHOS_CANAL!$J$24*BP15</f>
        <v>0</v>
      </c>
      <c r="BQ86" s="16" t="n">
        <f aca="false">SUM(C86:BP86)</f>
        <v>8075449.63800163</v>
      </c>
    </row>
    <row r="87" customFormat="false" ht="15" hidden="false" customHeight="false" outlineLevel="0" collapsed="false">
      <c r="B87" s="15" t="s">
        <v>178</v>
      </c>
      <c r="C87" s="16" t="n">
        <f aca="false">CADASTRO_TRECHOS_CANAL!$C$25*C8+CADASTRO_TRECHOS_CANAL!$D$25*C9+CADASTRO_TRECHOS_CANAL!$E$25*C10+CADASTRO_TRECHOS_CANAL!$F$25*C11+CADASTRO_TRECHOS_CANAL!$G$25*C12+CADASTRO_TRECHOS_CANAL!$H$25*C13+CADASTRO_TRECHOS_CANAL!$I$25*C14+CADASTRO_TRECHOS_CANAL!$J$25*C15</f>
        <v>0</v>
      </c>
      <c r="D87" s="16" t="n">
        <f aca="false">CADASTRO_TRECHOS_CANAL!$C$25*D8+CADASTRO_TRECHOS_CANAL!$D$25*D9+CADASTRO_TRECHOS_CANAL!$E$25*D10+CADASTRO_TRECHOS_CANAL!$F$25*D11+CADASTRO_TRECHOS_CANAL!$G$25*D12+CADASTRO_TRECHOS_CANAL!$H$25*D13+CADASTRO_TRECHOS_CANAL!$I$25*D14+CADASTRO_TRECHOS_CANAL!$J$25*D15</f>
        <v>0</v>
      </c>
      <c r="E87" s="16" t="n">
        <f aca="false">CADASTRO_TRECHOS_CANAL!$C$25*E8+CADASTRO_TRECHOS_CANAL!$D$25*E9+CADASTRO_TRECHOS_CANAL!$E$25*E10+CADASTRO_TRECHOS_CANAL!$F$25*E11+CADASTRO_TRECHOS_CANAL!$G$25*E12+CADASTRO_TRECHOS_CANAL!$H$25*E13+CADASTRO_TRECHOS_CANAL!$I$25*E14+CADASTRO_TRECHOS_CANAL!$J$25*E15</f>
        <v>0</v>
      </c>
      <c r="F87" s="16" t="n">
        <f aca="false">CADASTRO_TRECHOS_CANAL!$C$25*F8+CADASTRO_TRECHOS_CANAL!$D$25*F9+CADASTRO_TRECHOS_CANAL!$E$25*F10+CADASTRO_TRECHOS_CANAL!$F$25*F11+CADASTRO_TRECHOS_CANAL!$G$25*F12+CADASTRO_TRECHOS_CANAL!$H$25*F13+CADASTRO_TRECHOS_CANAL!$I$25*F14+CADASTRO_TRECHOS_CANAL!$J$25*F15</f>
        <v>0</v>
      </c>
      <c r="G87" s="16" t="n">
        <f aca="false">CADASTRO_TRECHOS_CANAL!$C$25*G8+CADASTRO_TRECHOS_CANAL!$D$25*G9+CADASTRO_TRECHOS_CANAL!$E$25*G10+CADASTRO_TRECHOS_CANAL!$F$25*G11+CADASTRO_TRECHOS_CANAL!$G$25*G12+CADASTRO_TRECHOS_CANAL!$H$25*G13+CADASTRO_TRECHOS_CANAL!$I$25*G14+CADASTRO_TRECHOS_CANAL!$J$25*G15</f>
        <v>0</v>
      </c>
      <c r="H87" s="16" t="n">
        <f aca="false">CADASTRO_TRECHOS_CANAL!$C$25*H8+CADASTRO_TRECHOS_CANAL!$D$25*H9+CADASTRO_TRECHOS_CANAL!$E$25*H10+CADASTRO_TRECHOS_CANAL!$F$25*H11+CADASTRO_TRECHOS_CANAL!$G$25*H12+CADASTRO_TRECHOS_CANAL!$H$25*H13+CADASTRO_TRECHOS_CANAL!$I$25*H14+CADASTRO_TRECHOS_CANAL!$J$25*H15</f>
        <v>0</v>
      </c>
      <c r="I87" s="16" t="n">
        <f aca="false">CADASTRO_TRECHOS_CANAL!$C$25*I8+CADASTRO_TRECHOS_CANAL!$D$25*I9+CADASTRO_TRECHOS_CANAL!$E$25*I10+CADASTRO_TRECHOS_CANAL!$F$25*I11+CADASTRO_TRECHOS_CANAL!$G$25*I12+CADASTRO_TRECHOS_CANAL!$H$25*I13+CADASTRO_TRECHOS_CANAL!$I$25*I14+CADASTRO_TRECHOS_CANAL!$J$25*I15</f>
        <v>0</v>
      </c>
      <c r="J87" s="16" t="n">
        <f aca="false">CADASTRO_TRECHOS_CANAL!$C$25*J8+CADASTRO_TRECHOS_CANAL!$D$25*J9+CADASTRO_TRECHOS_CANAL!$E$25*J10+CADASTRO_TRECHOS_CANAL!$F$25*J11+CADASTRO_TRECHOS_CANAL!$G$25*J12+CADASTRO_TRECHOS_CANAL!$H$25*J13+CADASTRO_TRECHOS_CANAL!$I$25*J14+CADASTRO_TRECHOS_CANAL!$J$25*J15</f>
        <v>0</v>
      </c>
      <c r="K87" s="16" t="n">
        <f aca="false">CADASTRO_TRECHOS_CANAL!$C$25*K8+CADASTRO_TRECHOS_CANAL!$D$25*K9+CADASTRO_TRECHOS_CANAL!$E$25*K10+CADASTRO_TRECHOS_CANAL!$F$25*K11+CADASTRO_TRECHOS_CANAL!$G$25*K12+CADASTRO_TRECHOS_CANAL!$H$25*K13+CADASTRO_TRECHOS_CANAL!$I$25*K14+CADASTRO_TRECHOS_CANAL!$J$25*K15</f>
        <v>0</v>
      </c>
      <c r="L87" s="16" t="n">
        <f aca="false">CADASTRO_TRECHOS_CANAL!$C$25*L8+CADASTRO_TRECHOS_CANAL!$D$25*L9+CADASTRO_TRECHOS_CANAL!$E$25*L10+CADASTRO_TRECHOS_CANAL!$F$25*L11+CADASTRO_TRECHOS_CANAL!$G$25*L12+CADASTRO_TRECHOS_CANAL!$H$25*L13+CADASTRO_TRECHOS_CANAL!$I$25*L14+CADASTRO_TRECHOS_CANAL!$J$25*L15</f>
        <v>0</v>
      </c>
      <c r="M87" s="16" t="n">
        <f aca="false">CADASTRO_TRECHOS_CANAL!$C$25*M8+CADASTRO_TRECHOS_CANAL!$D$25*M9+CADASTRO_TRECHOS_CANAL!$E$25*M10+CADASTRO_TRECHOS_CANAL!$F$25*M11+CADASTRO_TRECHOS_CANAL!$G$25*M12+CADASTRO_TRECHOS_CANAL!$H$25*M13+CADASTRO_TRECHOS_CANAL!$I$25*M14+CADASTRO_TRECHOS_CANAL!$J$25*M15</f>
        <v>0</v>
      </c>
      <c r="N87" s="16" t="n">
        <f aca="false">CADASTRO_TRECHOS_CANAL!$C$25*N8+CADASTRO_TRECHOS_CANAL!$D$25*N9+CADASTRO_TRECHOS_CANAL!$E$25*N10+CADASTRO_TRECHOS_CANAL!$F$25*N11+CADASTRO_TRECHOS_CANAL!$G$25*N12+CADASTRO_TRECHOS_CANAL!$H$25*N13+CADASTRO_TRECHOS_CANAL!$I$25*N14+CADASTRO_TRECHOS_CANAL!$J$25*N15</f>
        <v>0</v>
      </c>
      <c r="O87" s="16" t="n">
        <f aca="false">CADASTRO_TRECHOS_CANAL!$C$25*O8+CADASTRO_TRECHOS_CANAL!$D$25*O9+CADASTRO_TRECHOS_CANAL!$E$25*O10+CADASTRO_TRECHOS_CANAL!$F$25*O11+CADASTRO_TRECHOS_CANAL!$G$25*O12+CADASTRO_TRECHOS_CANAL!$H$25*O13+CADASTRO_TRECHOS_CANAL!$I$25*O14+CADASTRO_TRECHOS_CANAL!$J$25*O15</f>
        <v>0</v>
      </c>
      <c r="P87" s="16" t="n">
        <f aca="false">CADASTRO_TRECHOS_CANAL!$C$25*P8+CADASTRO_TRECHOS_CANAL!$D$25*P9+CADASTRO_TRECHOS_CANAL!$E$25*P10+CADASTRO_TRECHOS_CANAL!$F$25*P11+CADASTRO_TRECHOS_CANAL!$G$25*P12+CADASTRO_TRECHOS_CANAL!$H$25*P13+CADASTRO_TRECHOS_CANAL!$I$25*P14+CADASTRO_TRECHOS_CANAL!$J$25*P15</f>
        <v>0</v>
      </c>
      <c r="Q87" s="16" t="n">
        <f aca="false">CADASTRO_TRECHOS_CANAL!$C$25*Q8+CADASTRO_TRECHOS_CANAL!$D$25*Q9+CADASTRO_TRECHOS_CANAL!$E$25*Q10+CADASTRO_TRECHOS_CANAL!$F$25*Q11+CADASTRO_TRECHOS_CANAL!$G$25*Q12+CADASTRO_TRECHOS_CANAL!$H$25*Q13+CADASTRO_TRECHOS_CANAL!$I$25*Q14+CADASTRO_TRECHOS_CANAL!$J$25*Q15</f>
        <v>0</v>
      </c>
      <c r="R87" s="16" t="n">
        <f aca="false">CADASTRO_TRECHOS_CANAL!$C$25*R8+CADASTRO_TRECHOS_CANAL!$D$25*R9+CADASTRO_TRECHOS_CANAL!$E$25*R10+CADASTRO_TRECHOS_CANAL!$F$25*R11+CADASTRO_TRECHOS_CANAL!$G$25*R12+CADASTRO_TRECHOS_CANAL!$H$25*R13+CADASTRO_TRECHOS_CANAL!$I$25*R14+CADASTRO_TRECHOS_CANAL!$J$25*R15</f>
        <v>0</v>
      </c>
      <c r="S87" s="16" t="n">
        <f aca="false">CADASTRO_TRECHOS_CANAL!$C$25*S8+CADASTRO_TRECHOS_CANAL!$D$25*S9+CADASTRO_TRECHOS_CANAL!$E$25*S10+CADASTRO_TRECHOS_CANAL!$F$25*S11+CADASTRO_TRECHOS_CANAL!$G$25*S12+CADASTRO_TRECHOS_CANAL!$H$25*S13+CADASTRO_TRECHOS_CANAL!$I$25*S14+CADASTRO_TRECHOS_CANAL!$J$25*S15</f>
        <v>0</v>
      </c>
      <c r="T87" s="16" t="n">
        <f aca="false">CADASTRO_TRECHOS_CANAL!$C$25*T8+CADASTRO_TRECHOS_CANAL!$D$25*T9+CADASTRO_TRECHOS_CANAL!$E$25*T10+CADASTRO_TRECHOS_CANAL!$F$25*T11+CADASTRO_TRECHOS_CANAL!$G$25*T12+CADASTRO_TRECHOS_CANAL!$H$25*T13+CADASTRO_TRECHOS_CANAL!$I$25*T14+CADASTRO_TRECHOS_CANAL!$J$25*T15</f>
        <v>0</v>
      </c>
      <c r="U87" s="16" t="n">
        <f aca="false">CADASTRO_TRECHOS_CANAL!$C$25*U8+CADASTRO_TRECHOS_CANAL!$D$25*U9+CADASTRO_TRECHOS_CANAL!$E$25*U10+CADASTRO_TRECHOS_CANAL!$F$25*U11+CADASTRO_TRECHOS_CANAL!$G$25*U12+CADASTRO_TRECHOS_CANAL!$H$25*U13+CADASTRO_TRECHOS_CANAL!$I$25*U14+CADASTRO_TRECHOS_CANAL!$J$25*U15</f>
        <v>0</v>
      </c>
      <c r="V87" s="16" t="n">
        <f aca="false">CADASTRO_TRECHOS_CANAL!$C$25*V8+CADASTRO_TRECHOS_CANAL!$D$25*V9+CADASTRO_TRECHOS_CANAL!$E$25*V10+CADASTRO_TRECHOS_CANAL!$F$25*V11+CADASTRO_TRECHOS_CANAL!$G$25*V12+CADASTRO_TRECHOS_CANAL!$H$25*V13+CADASTRO_TRECHOS_CANAL!$I$25*V14+CADASTRO_TRECHOS_CANAL!$J$25*V15</f>
        <v>0</v>
      </c>
      <c r="W87" s="16" t="n">
        <f aca="false">CADASTRO_TRECHOS_CANAL!$C$25*W8+CADASTRO_TRECHOS_CANAL!$D$25*W9+CADASTRO_TRECHOS_CANAL!$E$25*W10+CADASTRO_TRECHOS_CANAL!$F$25*W11+CADASTRO_TRECHOS_CANAL!$G$25*W12+CADASTRO_TRECHOS_CANAL!$H$25*W13+CADASTRO_TRECHOS_CANAL!$I$25*W14+CADASTRO_TRECHOS_CANAL!$J$25*W15</f>
        <v>0</v>
      </c>
      <c r="X87" s="16" t="n">
        <f aca="false">CADASTRO_TRECHOS_CANAL!$C$25*X8+CADASTRO_TRECHOS_CANAL!$D$25*X9+CADASTRO_TRECHOS_CANAL!$E$25*X10+CADASTRO_TRECHOS_CANAL!$F$25*X11+CADASTRO_TRECHOS_CANAL!$G$25*X12+CADASTRO_TRECHOS_CANAL!$H$25*X13+CADASTRO_TRECHOS_CANAL!$I$25*X14+CADASTRO_TRECHOS_CANAL!$J$25*X15</f>
        <v>0</v>
      </c>
      <c r="Y87" s="16" t="n">
        <f aca="false">CADASTRO_TRECHOS_CANAL!$C$25*Y8+CADASTRO_TRECHOS_CANAL!$D$25*Y9+CADASTRO_TRECHOS_CANAL!$E$25*Y10+CADASTRO_TRECHOS_CANAL!$F$25*Y11+CADASTRO_TRECHOS_CANAL!$G$25*Y12+CADASTRO_TRECHOS_CANAL!$H$25*Y13+CADASTRO_TRECHOS_CANAL!$I$25*Y14+CADASTRO_TRECHOS_CANAL!$J$25*Y15</f>
        <v>0</v>
      </c>
      <c r="Z87" s="16" t="n">
        <f aca="false">CADASTRO_TRECHOS_CANAL!$C$25*Z8+CADASTRO_TRECHOS_CANAL!$D$25*Z9+CADASTRO_TRECHOS_CANAL!$E$25*Z10+CADASTRO_TRECHOS_CANAL!$F$25*Z11+CADASTRO_TRECHOS_CANAL!$G$25*Z12+CADASTRO_TRECHOS_CANAL!$H$25*Z13+CADASTRO_TRECHOS_CANAL!$I$25*Z14+CADASTRO_TRECHOS_CANAL!$J$25*Z15</f>
        <v>0</v>
      </c>
      <c r="AA87" s="16" t="n">
        <f aca="false">CADASTRO_TRECHOS_CANAL!$C$25*AA8+CADASTRO_TRECHOS_CANAL!$D$25*AA9+CADASTRO_TRECHOS_CANAL!$E$25*AA10+CADASTRO_TRECHOS_CANAL!$F$25*AA11+CADASTRO_TRECHOS_CANAL!$G$25*AA12+CADASTRO_TRECHOS_CANAL!$H$25*AA13+CADASTRO_TRECHOS_CANAL!$I$25*AA14+CADASTRO_TRECHOS_CANAL!$J$25*AA15</f>
        <v>0</v>
      </c>
      <c r="AB87" s="16" t="n">
        <f aca="false">CADASTRO_TRECHOS_CANAL!$C$25*AB8+CADASTRO_TRECHOS_CANAL!$D$25*AB9+CADASTRO_TRECHOS_CANAL!$E$25*AB10+CADASTRO_TRECHOS_CANAL!$F$25*AB11+CADASTRO_TRECHOS_CANAL!$G$25*AB12+CADASTRO_TRECHOS_CANAL!$H$25*AB13+CADASTRO_TRECHOS_CANAL!$I$25*AB14+CADASTRO_TRECHOS_CANAL!$J$25*AB15</f>
        <v>0</v>
      </c>
      <c r="AC87" s="16" t="n">
        <f aca="false">CADASTRO_TRECHOS_CANAL!$C$25*AC8+CADASTRO_TRECHOS_CANAL!$D$25*AC9+CADASTRO_TRECHOS_CANAL!$E$25*AC10+CADASTRO_TRECHOS_CANAL!$F$25*AC11+CADASTRO_TRECHOS_CANAL!$G$25*AC12+CADASTRO_TRECHOS_CANAL!$H$25*AC13+CADASTRO_TRECHOS_CANAL!$I$25*AC14+CADASTRO_TRECHOS_CANAL!$J$25*AC15</f>
        <v>0</v>
      </c>
      <c r="AD87" s="16" t="n">
        <f aca="false">CADASTRO_TRECHOS_CANAL!$C$25*AD8+CADASTRO_TRECHOS_CANAL!$D$25*AD9+CADASTRO_TRECHOS_CANAL!$E$25*AD10+CADASTRO_TRECHOS_CANAL!$F$25*AD11+CADASTRO_TRECHOS_CANAL!$G$25*AD12+CADASTRO_TRECHOS_CANAL!$H$25*AD13+CADASTRO_TRECHOS_CANAL!$I$25*AD14+CADASTRO_TRECHOS_CANAL!$J$25*AD15</f>
        <v>0</v>
      </c>
      <c r="AE87" s="16" t="n">
        <f aca="false">CADASTRO_TRECHOS_CANAL!$C$25*AE8+CADASTRO_TRECHOS_CANAL!$D$25*AE9+CADASTRO_TRECHOS_CANAL!$E$25*AE10+CADASTRO_TRECHOS_CANAL!$F$25*AE11+CADASTRO_TRECHOS_CANAL!$G$25*AE12+CADASTRO_TRECHOS_CANAL!$H$25*AE13+CADASTRO_TRECHOS_CANAL!$I$25*AE14+CADASTRO_TRECHOS_CANAL!$J$25*AE15</f>
        <v>0</v>
      </c>
      <c r="AF87" s="16" t="n">
        <f aca="false">CADASTRO_TRECHOS_CANAL!$C$25*AF8+CADASTRO_TRECHOS_CANAL!$D$25*AF9+CADASTRO_TRECHOS_CANAL!$E$25*AF10+CADASTRO_TRECHOS_CANAL!$F$25*AF11+CADASTRO_TRECHOS_CANAL!$G$25*AF12+CADASTRO_TRECHOS_CANAL!$H$25*AF13+CADASTRO_TRECHOS_CANAL!$I$25*AF14+CADASTRO_TRECHOS_CANAL!$J$25*AF15</f>
        <v>0</v>
      </c>
      <c r="AG87" s="16" t="n">
        <f aca="false">CADASTRO_TRECHOS_CANAL!$C$25*AG8+CADASTRO_TRECHOS_CANAL!$D$25*AG9+CADASTRO_TRECHOS_CANAL!$E$25*AG10+CADASTRO_TRECHOS_CANAL!$F$25*AG11+CADASTRO_TRECHOS_CANAL!$G$25*AG12+CADASTRO_TRECHOS_CANAL!$H$25*AG13+CADASTRO_TRECHOS_CANAL!$I$25*AG14+CADASTRO_TRECHOS_CANAL!$J$25*AG15</f>
        <v>0</v>
      </c>
      <c r="AH87" s="16" t="n">
        <f aca="false">CADASTRO_TRECHOS_CANAL!$C$25*AH8+CADASTRO_TRECHOS_CANAL!$D$25*AH9+CADASTRO_TRECHOS_CANAL!$E$25*AH10+CADASTRO_TRECHOS_CANAL!$F$25*AH11+CADASTRO_TRECHOS_CANAL!$G$25*AH12+CADASTRO_TRECHOS_CANAL!$H$25*AH13+CADASTRO_TRECHOS_CANAL!$I$25*AH14+CADASTRO_TRECHOS_CANAL!$J$25*AH15</f>
        <v>0</v>
      </c>
      <c r="AI87" s="16" t="n">
        <f aca="false">CADASTRO_TRECHOS_CANAL!$C$25*AI8+CADASTRO_TRECHOS_CANAL!$D$25*AI9+CADASTRO_TRECHOS_CANAL!$E$25*AI10+CADASTRO_TRECHOS_CANAL!$F$25*AI11+CADASTRO_TRECHOS_CANAL!$G$25*AI12+CADASTRO_TRECHOS_CANAL!$H$25*AI13+CADASTRO_TRECHOS_CANAL!$I$25*AI14+CADASTRO_TRECHOS_CANAL!$J$25*AI15</f>
        <v>0</v>
      </c>
      <c r="AJ87" s="16" t="n">
        <f aca="false">CADASTRO_TRECHOS_CANAL!$C$25*AJ8+CADASTRO_TRECHOS_CANAL!$D$25*AJ9+CADASTRO_TRECHOS_CANAL!$E$25*AJ10+CADASTRO_TRECHOS_CANAL!$F$25*AJ11+CADASTRO_TRECHOS_CANAL!$G$25*AJ12+CADASTRO_TRECHOS_CANAL!$H$25*AJ13+CADASTRO_TRECHOS_CANAL!$I$25*AJ14+CADASTRO_TRECHOS_CANAL!$J$25*AJ15</f>
        <v>0</v>
      </c>
      <c r="AK87" s="16" t="n">
        <f aca="false">CADASTRO_TRECHOS_CANAL!$C$25*AK8+CADASTRO_TRECHOS_CANAL!$D$25*AK9+CADASTRO_TRECHOS_CANAL!$E$25*AK10+CADASTRO_TRECHOS_CANAL!$F$25*AK11+CADASTRO_TRECHOS_CANAL!$G$25*AK12+CADASTRO_TRECHOS_CANAL!$H$25*AK13+CADASTRO_TRECHOS_CANAL!$I$25*AK14+CADASTRO_TRECHOS_CANAL!$J$25*AK15</f>
        <v>0</v>
      </c>
      <c r="AL87" s="16" t="n">
        <f aca="false">CADASTRO_TRECHOS_CANAL!$C$25*AL8+CADASTRO_TRECHOS_CANAL!$D$25*AL9+CADASTRO_TRECHOS_CANAL!$E$25*AL10+CADASTRO_TRECHOS_CANAL!$F$25*AL11+CADASTRO_TRECHOS_CANAL!$G$25*AL12+CADASTRO_TRECHOS_CANAL!$H$25*AL13+CADASTRO_TRECHOS_CANAL!$I$25*AL14+CADASTRO_TRECHOS_CANAL!$J$25*AL15</f>
        <v>0</v>
      </c>
      <c r="AM87" s="16" t="n">
        <f aca="false">CADASTRO_TRECHOS_CANAL!$C$25*AM8+CADASTRO_TRECHOS_CANAL!$D$25*AM9+CADASTRO_TRECHOS_CANAL!$E$25*AM10+CADASTRO_TRECHOS_CANAL!$F$25*AM11+CADASTRO_TRECHOS_CANAL!$G$25*AM12+CADASTRO_TRECHOS_CANAL!$H$25*AM13+CADASTRO_TRECHOS_CANAL!$I$25*AM14+CADASTRO_TRECHOS_CANAL!$J$25*AM15</f>
        <v>0</v>
      </c>
      <c r="AN87" s="16" t="n">
        <f aca="false">CADASTRO_TRECHOS_CANAL!$C$25*AN8+CADASTRO_TRECHOS_CANAL!$D$25*AN9+CADASTRO_TRECHOS_CANAL!$E$25*AN10+CADASTRO_TRECHOS_CANAL!$F$25*AN11+CADASTRO_TRECHOS_CANAL!$G$25*AN12+CADASTRO_TRECHOS_CANAL!$H$25*AN13+CADASTRO_TRECHOS_CANAL!$I$25*AN14+CADASTRO_TRECHOS_CANAL!$J$25*AN15</f>
        <v>0</v>
      </c>
      <c r="AO87" s="16" t="n">
        <f aca="false">CADASTRO_TRECHOS_CANAL!$C$25*AO8+CADASTRO_TRECHOS_CANAL!$D$25*AO9+CADASTRO_TRECHOS_CANAL!$E$25*AO10+CADASTRO_TRECHOS_CANAL!$F$25*AO11+CADASTRO_TRECHOS_CANAL!$G$25*AO12+CADASTRO_TRECHOS_CANAL!$H$25*AO13+CADASTRO_TRECHOS_CANAL!$I$25*AO14+CADASTRO_TRECHOS_CANAL!$J$25*AO15</f>
        <v>0</v>
      </c>
      <c r="AP87" s="16" t="n">
        <f aca="false">CADASTRO_TRECHOS_CANAL!$C$25*AP8+CADASTRO_TRECHOS_CANAL!$D$25*AP9+CADASTRO_TRECHOS_CANAL!$E$25*AP10+CADASTRO_TRECHOS_CANAL!$F$25*AP11+CADASTRO_TRECHOS_CANAL!$G$25*AP12+CADASTRO_TRECHOS_CANAL!$H$25*AP13+CADASTRO_TRECHOS_CANAL!$I$25*AP14+CADASTRO_TRECHOS_CANAL!$J$25*AP15</f>
        <v>0</v>
      </c>
      <c r="AQ87" s="16" t="n">
        <f aca="false">CADASTRO_TRECHOS_CANAL!$C$25*AQ8+CADASTRO_TRECHOS_CANAL!$D$25*AQ9+CADASTRO_TRECHOS_CANAL!$E$25*AQ10+CADASTRO_TRECHOS_CANAL!$F$25*AQ11+CADASTRO_TRECHOS_CANAL!$G$25*AQ12+CADASTRO_TRECHOS_CANAL!$H$25*AQ13+CADASTRO_TRECHOS_CANAL!$I$25*AQ14+CADASTRO_TRECHOS_CANAL!$J$25*AQ15</f>
        <v>0</v>
      </c>
      <c r="AR87" s="16" t="n">
        <f aca="false">CADASTRO_TRECHOS_CANAL!$C$25*AR8+CADASTRO_TRECHOS_CANAL!$D$25*AR9+CADASTRO_TRECHOS_CANAL!$E$25*AR10+CADASTRO_TRECHOS_CANAL!$F$25*AR11+CADASTRO_TRECHOS_CANAL!$G$25*AR12+CADASTRO_TRECHOS_CANAL!$H$25*AR13+CADASTRO_TRECHOS_CANAL!$I$25*AR14+CADASTRO_TRECHOS_CANAL!$J$25*AR15</f>
        <v>0</v>
      </c>
      <c r="AS87" s="16" t="n">
        <f aca="false">CADASTRO_TRECHOS_CANAL!$C$25*AS8+CADASTRO_TRECHOS_CANAL!$D$25*AS9+CADASTRO_TRECHOS_CANAL!$E$25*AS10+CADASTRO_TRECHOS_CANAL!$F$25*AS11+CADASTRO_TRECHOS_CANAL!$G$25*AS12+CADASTRO_TRECHOS_CANAL!$H$25*AS13+CADASTRO_TRECHOS_CANAL!$I$25*AS14+CADASTRO_TRECHOS_CANAL!$J$25*AS15</f>
        <v>0</v>
      </c>
      <c r="AT87" s="16" t="n">
        <f aca="false">CADASTRO_TRECHOS_CANAL!$C$25*AT8+CADASTRO_TRECHOS_CANAL!$D$25*AT9+CADASTRO_TRECHOS_CANAL!$E$25*AT10+CADASTRO_TRECHOS_CANAL!$F$25*AT11+CADASTRO_TRECHOS_CANAL!$G$25*AT12+CADASTRO_TRECHOS_CANAL!$H$25*AT13+CADASTRO_TRECHOS_CANAL!$I$25*AT14+CADASTRO_TRECHOS_CANAL!$J$25*AT15</f>
        <v>0</v>
      </c>
      <c r="AU87" s="16" t="n">
        <f aca="false">CADASTRO_TRECHOS_CANAL!$C$25*AU8+CADASTRO_TRECHOS_CANAL!$D$25*AU9+CADASTRO_TRECHOS_CANAL!$E$25*AU10+CADASTRO_TRECHOS_CANAL!$F$25*AU11+CADASTRO_TRECHOS_CANAL!$G$25*AU12+CADASTRO_TRECHOS_CANAL!$H$25*AU13+CADASTRO_TRECHOS_CANAL!$I$25*AU14+CADASTRO_TRECHOS_CANAL!$J$25*AU15</f>
        <v>0</v>
      </c>
      <c r="AV87" s="16" t="n">
        <f aca="false">CADASTRO_TRECHOS_CANAL!$C$25*AV8+CADASTRO_TRECHOS_CANAL!$D$25*AV9+CADASTRO_TRECHOS_CANAL!$E$25*AV10+CADASTRO_TRECHOS_CANAL!$F$25*AV11+CADASTRO_TRECHOS_CANAL!$G$25*AV12+CADASTRO_TRECHOS_CANAL!$H$25*AV13+CADASTRO_TRECHOS_CANAL!$I$25*AV14+CADASTRO_TRECHOS_CANAL!$J$25*AV15</f>
        <v>0</v>
      </c>
      <c r="AW87" s="16" t="n">
        <f aca="false">CADASTRO_TRECHOS_CANAL!$C$25*AW8+CADASTRO_TRECHOS_CANAL!$D$25*AW9+CADASTRO_TRECHOS_CANAL!$E$25*AW10+CADASTRO_TRECHOS_CANAL!$F$25*AW11+CADASTRO_TRECHOS_CANAL!$G$25*AW12+CADASTRO_TRECHOS_CANAL!$H$25*AW13+CADASTRO_TRECHOS_CANAL!$I$25*AW14+CADASTRO_TRECHOS_CANAL!$J$25*AW15</f>
        <v>0</v>
      </c>
      <c r="AX87" s="16" t="n">
        <f aca="false">CADASTRO_TRECHOS_CANAL!$C$25*AX8+CADASTRO_TRECHOS_CANAL!$D$25*AX9+CADASTRO_TRECHOS_CANAL!$E$25*AX10+CADASTRO_TRECHOS_CANAL!$F$25*AX11+CADASTRO_TRECHOS_CANAL!$G$25*AX12+CADASTRO_TRECHOS_CANAL!$H$25*AX13+CADASTRO_TRECHOS_CANAL!$I$25*AX14+CADASTRO_TRECHOS_CANAL!$J$25*AX15</f>
        <v>0</v>
      </c>
      <c r="AY87" s="16" t="n">
        <f aca="false">CADASTRO_TRECHOS_CANAL!$C$25*AY8+CADASTRO_TRECHOS_CANAL!$D$25*AY9+CADASTRO_TRECHOS_CANAL!$E$25*AY10+CADASTRO_TRECHOS_CANAL!$F$25*AY11+CADASTRO_TRECHOS_CANAL!$G$25*AY12+CADASTRO_TRECHOS_CANAL!$H$25*AY13+CADASTRO_TRECHOS_CANAL!$I$25*AY14+CADASTRO_TRECHOS_CANAL!$J$25*AY15</f>
        <v>0</v>
      </c>
      <c r="AZ87" s="16" t="n">
        <f aca="false">CADASTRO_TRECHOS_CANAL!$C$25*AZ8+CADASTRO_TRECHOS_CANAL!$D$25*AZ9+CADASTRO_TRECHOS_CANAL!$E$25*AZ10+CADASTRO_TRECHOS_CANAL!$F$25*AZ11+CADASTRO_TRECHOS_CANAL!$G$25*AZ12+CADASTRO_TRECHOS_CANAL!$H$25*AZ13+CADASTRO_TRECHOS_CANAL!$I$25*AZ14+CADASTRO_TRECHOS_CANAL!$J$25*AZ15</f>
        <v>0</v>
      </c>
      <c r="BA87" s="16" t="n">
        <f aca="false">CADASTRO_TRECHOS_CANAL!$C$25*BA8+CADASTRO_TRECHOS_CANAL!$D$25*BA9+CADASTRO_TRECHOS_CANAL!$E$25*BA10+CADASTRO_TRECHOS_CANAL!$F$25*BA11+CADASTRO_TRECHOS_CANAL!$G$25*BA12+CADASTRO_TRECHOS_CANAL!$H$25*BA13+CADASTRO_TRECHOS_CANAL!$I$25*BA14+CADASTRO_TRECHOS_CANAL!$J$25*BA15</f>
        <v>0</v>
      </c>
      <c r="BB87" s="16" t="n">
        <f aca="false">CADASTRO_TRECHOS_CANAL!$C$25*BB8+CADASTRO_TRECHOS_CANAL!$D$25*BB9+CADASTRO_TRECHOS_CANAL!$E$25*BB10+CADASTRO_TRECHOS_CANAL!$F$25*BB11+CADASTRO_TRECHOS_CANAL!$G$25*BB12+CADASTRO_TRECHOS_CANAL!$H$25*BB13+CADASTRO_TRECHOS_CANAL!$I$25*BB14+CADASTRO_TRECHOS_CANAL!$J$25*BB15</f>
        <v>0</v>
      </c>
      <c r="BC87" s="16" t="n">
        <f aca="false">CADASTRO_TRECHOS_CANAL!$C$25*BC8+CADASTRO_TRECHOS_CANAL!$D$25*BC9+CADASTRO_TRECHOS_CANAL!$E$25*BC10+CADASTRO_TRECHOS_CANAL!$F$25*BC11+CADASTRO_TRECHOS_CANAL!$G$25*BC12+CADASTRO_TRECHOS_CANAL!$H$25*BC13+CADASTRO_TRECHOS_CANAL!$I$25*BC14+CADASTRO_TRECHOS_CANAL!$J$25*BC15</f>
        <v>0</v>
      </c>
      <c r="BD87" s="16" t="n">
        <f aca="false">CADASTRO_TRECHOS_CANAL!$C$25*BD8+CADASTRO_TRECHOS_CANAL!$D$25*BD9+CADASTRO_TRECHOS_CANAL!$E$25*BD10+CADASTRO_TRECHOS_CANAL!$F$25*BD11+CADASTRO_TRECHOS_CANAL!$G$25*BD12+CADASTRO_TRECHOS_CANAL!$H$25*BD13+CADASTRO_TRECHOS_CANAL!$I$25*BD14+CADASTRO_TRECHOS_CANAL!$J$25*BD15</f>
        <v>0</v>
      </c>
      <c r="BE87" s="16" t="n">
        <f aca="false">CADASTRO_TRECHOS_CANAL!$C$25*BE8+CADASTRO_TRECHOS_CANAL!$D$25*BE9+CADASTRO_TRECHOS_CANAL!$E$25*BE10+CADASTRO_TRECHOS_CANAL!$F$25*BE11+CADASTRO_TRECHOS_CANAL!$G$25*BE12+CADASTRO_TRECHOS_CANAL!$H$25*BE13+CADASTRO_TRECHOS_CANAL!$I$25*BE14+CADASTRO_TRECHOS_CANAL!$J$25*BE15</f>
        <v>0</v>
      </c>
      <c r="BF87" s="16" t="n">
        <f aca="false">CADASTRO_TRECHOS_CANAL!$C$25*BF8+CADASTRO_TRECHOS_CANAL!$D$25*BF9+CADASTRO_TRECHOS_CANAL!$E$25*BF10+CADASTRO_TRECHOS_CANAL!$F$25*BF11+CADASTRO_TRECHOS_CANAL!$G$25*BF12+CADASTRO_TRECHOS_CANAL!$H$25*BF13+CADASTRO_TRECHOS_CANAL!$I$25*BF14+CADASTRO_TRECHOS_CANAL!$J$25*BF15</f>
        <v>0</v>
      </c>
      <c r="BG87" s="16" t="n">
        <f aca="false">CADASTRO_TRECHOS_CANAL!$C$25*BG8+CADASTRO_TRECHOS_CANAL!$D$25*BG9+CADASTRO_TRECHOS_CANAL!$E$25*BG10+CADASTRO_TRECHOS_CANAL!$F$25*BG11+CADASTRO_TRECHOS_CANAL!$G$25*BG12+CADASTRO_TRECHOS_CANAL!$H$25*BG13+CADASTRO_TRECHOS_CANAL!$I$25*BG14+CADASTRO_TRECHOS_CANAL!$J$25*BG15</f>
        <v>0</v>
      </c>
      <c r="BH87" s="16" t="n">
        <f aca="false">CADASTRO_TRECHOS_CANAL!$C$25*BH8+CADASTRO_TRECHOS_CANAL!$D$25*BH9+CADASTRO_TRECHOS_CANAL!$E$25*BH10+CADASTRO_TRECHOS_CANAL!$F$25*BH11+CADASTRO_TRECHOS_CANAL!$G$25*BH12+CADASTRO_TRECHOS_CANAL!$H$25*BH13+CADASTRO_TRECHOS_CANAL!$I$25*BH14+CADASTRO_TRECHOS_CANAL!$J$25*BH15</f>
        <v>0</v>
      </c>
      <c r="BI87" s="16" t="n">
        <f aca="false">CADASTRO_TRECHOS_CANAL!$C$25*BI8+CADASTRO_TRECHOS_CANAL!$D$25*BI9+CADASTRO_TRECHOS_CANAL!$E$25*BI10+CADASTRO_TRECHOS_CANAL!$F$25*BI11+CADASTRO_TRECHOS_CANAL!$G$25*BI12+CADASTRO_TRECHOS_CANAL!$H$25*BI13+CADASTRO_TRECHOS_CANAL!$I$25*BI14+CADASTRO_TRECHOS_CANAL!$J$25*BI15</f>
        <v>0</v>
      </c>
      <c r="BJ87" s="16" t="n">
        <f aca="false">CADASTRO_TRECHOS_CANAL!$C$25*BJ8+CADASTRO_TRECHOS_CANAL!$D$25*BJ9+CADASTRO_TRECHOS_CANAL!$E$25*BJ10+CADASTRO_TRECHOS_CANAL!$F$25*BJ11+CADASTRO_TRECHOS_CANAL!$G$25*BJ12+CADASTRO_TRECHOS_CANAL!$H$25*BJ13+CADASTRO_TRECHOS_CANAL!$I$25*BJ14+CADASTRO_TRECHOS_CANAL!$J$25*BJ15</f>
        <v>0</v>
      </c>
      <c r="BK87" s="16" t="n">
        <f aca="false">CADASTRO_TRECHOS_CANAL!$C$25*BK8+CADASTRO_TRECHOS_CANAL!$D$25*BK9+CADASTRO_TRECHOS_CANAL!$E$25*BK10+CADASTRO_TRECHOS_CANAL!$F$25*BK11+CADASTRO_TRECHOS_CANAL!$G$25*BK12+CADASTRO_TRECHOS_CANAL!$H$25*BK13+CADASTRO_TRECHOS_CANAL!$I$25*BK14+CADASTRO_TRECHOS_CANAL!$J$25*BK15</f>
        <v>0</v>
      </c>
      <c r="BL87" s="16" t="n">
        <f aca="false">CADASTRO_TRECHOS_CANAL!$C$25*BL8+CADASTRO_TRECHOS_CANAL!$D$25*BL9+CADASTRO_TRECHOS_CANAL!$E$25*BL10+CADASTRO_TRECHOS_CANAL!$F$25*BL11+CADASTRO_TRECHOS_CANAL!$G$25*BL12+CADASTRO_TRECHOS_CANAL!$H$25*BL13+CADASTRO_TRECHOS_CANAL!$I$25*BL14+CADASTRO_TRECHOS_CANAL!$J$25*BL15</f>
        <v>0</v>
      </c>
      <c r="BM87" s="16" t="n">
        <f aca="false">CADASTRO_TRECHOS_CANAL!$C$25*BM8+CADASTRO_TRECHOS_CANAL!$D$25*BM9+CADASTRO_TRECHOS_CANAL!$E$25*BM10+CADASTRO_TRECHOS_CANAL!$F$25*BM11+CADASTRO_TRECHOS_CANAL!$G$25*BM12+CADASTRO_TRECHOS_CANAL!$H$25*BM13+CADASTRO_TRECHOS_CANAL!$I$25*BM14+CADASTRO_TRECHOS_CANAL!$J$25*BM15</f>
        <v>0</v>
      </c>
      <c r="BN87" s="16" t="n">
        <f aca="false">CADASTRO_TRECHOS_CANAL!$C$25*BN8+CADASTRO_TRECHOS_CANAL!$D$25*BN9+CADASTRO_TRECHOS_CANAL!$E$25*BN10+CADASTRO_TRECHOS_CANAL!$F$25*BN11+CADASTRO_TRECHOS_CANAL!$G$25*BN12+CADASTRO_TRECHOS_CANAL!$H$25*BN13+CADASTRO_TRECHOS_CANAL!$I$25*BN14+CADASTRO_TRECHOS_CANAL!$J$25*BN15</f>
        <v>0</v>
      </c>
      <c r="BO87" s="16" t="n">
        <f aca="false">CADASTRO_TRECHOS_CANAL!$C$25*BO8+CADASTRO_TRECHOS_CANAL!$D$25*BO9+CADASTRO_TRECHOS_CANAL!$E$25*BO10+CADASTRO_TRECHOS_CANAL!$F$25*BO11+CADASTRO_TRECHOS_CANAL!$G$25*BO12+CADASTRO_TRECHOS_CANAL!$H$25*BO13+CADASTRO_TRECHOS_CANAL!$I$25*BO14+CADASTRO_TRECHOS_CANAL!$J$25*BO15</f>
        <v>0</v>
      </c>
      <c r="BP87" s="16" t="n">
        <f aca="false">CADASTRO_TRECHOS_CANAL!$C$25*BP8+CADASTRO_TRECHOS_CANAL!$D$25*BP9+CADASTRO_TRECHOS_CANAL!$E$25*BP10+CADASTRO_TRECHOS_CANAL!$F$25*BP11+CADASTRO_TRECHOS_CANAL!$G$25*BP12+CADASTRO_TRECHOS_CANAL!$H$25*BP13+CADASTRO_TRECHOS_CANAL!$I$25*BP14+CADASTRO_TRECHOS_CANAL!$J$25*BP15</f>
        <v>0</v>
      </c>
      <c r="BQ87" s="16" t="n">
        <f aca="false">SUM(C87:BP87)</f>
        <v>0</v>
      </c>
    </row>
    <row r="90" customFormat="false" ht="15" hidden="false" customHeight="false" outlineLevel="0" collapsed="false">
      <c r="B90" s="3" t="s">
        <v>607</v>
      </c>
    </row>
    <row r="91" customFormat="false" ht="15" hidden="false" customHeight="false" outlineLevel="0" collapsed="false">
      <c r="B91" s="14" t="s">
        <v>187</v>
      </c>
      <c r="C91" s="14" t="n">
        <v>1</v>
      </c>
      <c r="D91" s="14" t="n">
        <v>2</v>
      </c>
      <c r="E91" s="14" t="n">
        <v>3</v>
      </c>
      <c r="F91" s="14" t="n">
        <v>4</v>
      </c>
      <c r="G91" s="14" t="n">
        <v>5</v>
      </c>
      <c r="H91" s="14" t="n">
        <v>6</v>
      </c>
      <c r="I91" s="14" t="n">
        <v>7</v>
      </c>
      <c r="J91" s="14" t="n">
        <v>8</v>
      </c>
      <c r="K91" s="14" t="n">
        <v>9</v>
      </c>
      <c r="L91" s="14" t="n">
        <v>10</v>
      </c>
      <c r="M91" s="14" t="n">
        <v>11</v>
      </c>
      <c r="N91" s="14" t="n">
        <v>12</v>
      </c>
      <c r="O91" s="14" t="n">
        <v>13</v>
      </c>
      <c r="P91" s="14" t="n">
        <v>14</v>
      </c>
      <c r="Q91" s="14" t="n">
        <v>15</v>
      </c>
      <c r="R91" s="14" t="n">
        <v>16</v>
      </c>
      <c r="S91" s="14" t="n">
        <v>17</v>
      </c>
      <c r="T91" s="14" t="n">
        <v>18</v>
      </c>
      <c r="U91" s="14" t="n">
        <v>19</v>
      </c>
      <c r="V91" s="14" t="n">
        <v>20</v>
      </c>
      <c r="W91" s="14" t="n">
        <v>21</v>
      </c>
      <c r="X91" s="14" t="n">
        <v>22</v>
      </c>
      <c r="Y91" s="14" t="n">
        <v>23</v>
      </c>
      <c r="Z91" s="14" t="n">
        <v>24</v>
      </c>
      <c r="AA91" s="14" t="n">
        <v>25</v>
      </c>
      <c r="AB91" s="14" t="n">
        <v>26</v>
      </c>
      <c r="AC91" s="14" t="n">
        <v>27</v>
      </c>
      <c r="AD91" s="14" t="n">
        <v>28</v>
      </c>
      <c r="AE91" s="14" t="n">
        <v>29</v>
      </c>
      <c r="AF91" s="14" t="n">
        <v>30</v>
      </c>
      <c r="AG91" s="14" t="n">
        <v>31</v>
      </c>
      <c r="AH91" s="14" t="n">
        <v>32</v>
      </c>
      <c r="AI91" s="14" t="n">
        <v>33</v>
      </c>
      <c r="AJ91" s="14" t="n">
        <v>34</v>
      </c>
      <c r="AK91" s="14" t="n">
        <v>35</v>
      </c>
      <c r="AL91" s="14" t="n">
        <v>36</v>
      </c>
      <c r="AM91" s="14" t="n">
        <v>37</v>
      </c>
      <c r="AN91" s="14" t="n">
        <v>38</v>
      </c>
      <c r="AO91" s="14" t="n">
        <v>39</v>
      </c>
      <c r="AP91" s="14" t="n">
        <v>40</v>
      </c>
      <c r="AQ91" s="14" t="n">
        <v>41</v>
      </c>
      <c r="AR91" s="14" t="n">
        <v>42</v>
      </c>
      <c r="AS91" s="14" t="n">
        <v>43</v>
      </c>
      <c r="AT91" s="14" t="n">
        <v>44</v>
      </c>
      <c r="AU91" s="14" t="n">
        <v>45</v>
      </c>
      <c r="AV91" s="14" t="n">
        <v>46</v>
      </c>
      <c r="AW91" s="14" t="n">
        <v>47</v>
      </c>
      <c r="AX91" s="14" t="n">
        <v>48</v>
      </c>
      <c r="AY91" s="14" t="n">
        <v>49</v>
      </c>
      <c r="AZ91" s="14" t="n">
        <v>50</v>
      </c>
      <c r="BA91" s="14" t="n">
        <v>51</v>
      </c>
      <c r="BB91" s="14" t="n">
        <v>52</v>
      </c>
      <c r="BC91" s="14" t="n">
        <v>53</v>
      </c>
      <c r="BD91" s="14" t="n">
        <v>54</v>
      </c>
      <c r="BE91" s="14" t="n">
        <v>55</v>
      </c>
      <c r="BF91" s="14" t="n">
        <v>56</v>
      </c>
      <c r="BG91" s="14" t="n">
        <v>57</v>
      </c>
      <c r="BH91" s="14" t="n">
        <v>58</v>
      </c>
      <c r="BI91" s="14" t="n">
        <v>59</v>
      </c>
      <c r="BJ91" s="14" t="n">
        <v>60</v>
      </c>
      <c r="BK91" s="14" t="n">
        <v>61</v>
      </c>
      <c r="BL91" s="14" t="n">
        <v>62</v>
      </c>
      <c r="BM91" s="14" t="n">
        <v>63</v>
      </c>
      <c r="BN91" s="14" t="n">
        <v>64</v>
      </c>
      <c r="BO91" s="14" t="n">
        <v>65</v>
      </c>
      <c r="BP91" s="14" t="n">
        <v>66</v>
      </c>
      <c r="BQ91" s="14" t="s">
        <v>601</v>
      </c>
    </row>
    <row r="92" customFormat="false" ht="15" hidden="false" customHeight="false" outlineLevel="0" collapsed="false">
      <c r="B92" s="15" t="s">
        <v>171</v>
      </c>
      <c r="C92" s="18" t="n">
        <f aca="false">IFERROR(C80/INDEX(SEMANAS!$K$6:$K$71,MATCH(C$7,SEMANAS!$B$6:$B$71,0)),0)</f>
        <v>0</v>
      </c>
      <c r="D92" s="18" t="n">
        <f aca="false">IFERROR(D80/INDEX(SEMANAS!$K$6:$K$71,MATCH(D$7,SEMANAS!$B$6:$B$71,0)),0)</f>
        <v>0</v>
      </c>
      <c r="E92" s="18" t="n">
        <f aca="false">IFERROR(E80/INDEX(SEMANAS!$K$6:$K$71,MATCH(E$7,SEMANAS!$B$6:$B$71,0)),0)</f>
        <v>0</v>
      </c>
      <c r="F92" s="18" t="n">
        <f aca="false">IFERROR(F80/INDEX(SEMANAS!$K$6:$K$71,MATCH(F$7,SEMANAS!$B$6:$B$71,0)),0)</f>
        <v>0</v>
      </c>
      <c r="G92" s="18" t="n">
        <f aca="false">IFERROR(G80/INDEX(SEMANAS!$K$6:$K$71,MATCH(G$7,SEMANAS!$B$6:$B$71,0)),0)</f>
        <v>8.93798799519808</v>
      </c>
      <c r="H92" s="18" t="n">
        <f aca="false">IFERROR(H80/INDEX(SEMANAS!$K$6:$K$71,MATCH(H$7,SEMANAS!$B$6:$B$71,0)),0)</f>
        <v>0</v>
      </c>
      <c r="I92" s="18" t="n">
        <f aca="false">IFERROR(I80/INDEX(SEMANAS!$K$6:$K$71,MATCH(I$7,SEMANAS!$B$6:$B$71,0)),0)</f>
        <v>0</v>
      </c>
      <c r="J92" s="18" t="n">
        <f aca="false">IFERROR(J80/INDEX(SEMANAS!$K$6:$K$71,MATCH(J$7,SEMANAS!$B$6:$B$71,0)),0)</f>
        <v>20.3229075630252</v>
      </c>
      <c r="K92" s="18" t="n">
        <f aca="false">IFERROR(K80/INDEX(SEMANAS!$K$6:$K$71,MATCH(K$7,SEMANAS!$B$6:$B$71,0)),0)</f>
        <v>60.6454083411142</v>
      </c>
      <c r="L92" s="18" t="n">
        <f aca="false">IFERROR(L80/INDEX(SEMANAS!$K$6:$K$71,MATCH(L$7,SEMANAS!$B$6:$B$71,0)),0)</f>
        <v>0</v>
      </c>
      <c r="M92" s="18" t="n">
        <f aca="false">IFERROR(M80/INDEX(SEMANAS!$K$6:$K$71,MATCH(M$7,SEMANAS!$B$6:$B$71,0)),0)</f>
        <v>16.4676134453781</v>
      </c>
      <c r="N92" s="18" t="n">
        <f aca="false">IFERROR(N80/INDEX(SEMANAS!$K$6:$K$71,MATCH(N$7,SEMANAS!$B$6:$B$71,0)),0)</f>
        <v>16.4676134453781</v>
      </c>
      <c r="O92" s="18" t="n">
        <f aca="false">IFERROR(O80/INDEX(SEMANAS!$K$6:$K$71,MATCH(O$7,SEMANAS!$B$6:$B$71,0)),0)</f>
        <v>16.4676134453781</v>
      </c>
      <c r="P92" s="18" t="n">
        <f aca="false">IFERROR(P80/INDEX(SEMANAS!$K$6:$K$71,MATCH(P$7,SEMANAS!$B$6:$B$71,0)),0)</f>
        <v>0</v>
      </c>
      <c r="Q92" s="18" t="n">
        <f aca="false">IFERROR(Q80/INDEX(SEMANAS!$K$6:$K$71,MATCH(Q$7,SEMANAS!$B$6:$B$71,0)),0)</f>
        <v>0</v>
      </c>
      <c r="R92" s="18" t="n">
        <f aca="false">IFERROR(R80/INDEX(SEMANAS!$K$6:$K$71,MATCH(R$7,SEMANAS!$B$6:$B$71,0)),0)</f>
        <v>0</v>
      </c>
      <c r="S92" s="18" t="n">
        <f aca="false">IFERROR(S80/INDEX(SEMANAS!$K$6:$K$71,MATCH(S$7,SEMANAS!$B$6:$B$71,0)),0)</f>
        <v>0</v>
      </c>
      <c r="T92" s="18" t="n">
        <f aca="false">IFERROR(T80/INDEX(SEMANAS!$K$6:$K$71,MATCH(T$7,SEMANAS!$B$6:$B$71,0)),0)</f>
        <v>0</v>
      </c>
      <c r="U92" s="18" t="n">
        <f aca="false">IFERROR(U80/INDEX(SEMANAS!$K$6:$K$71,MATCH(U$7,SEMANAS!$B$6:$B$71,0)),0)</f>
        <v>0</v>
      </c>
      <c r="V92" s="18" t="n">
        <f aca="false">IFERROR(V80/INDEX(SEMANAS!$K$6:$K$71,MATCH(V$7,SEMANAS!$B$6:$B$71,0)),0)</f>
        <v>0</v>
      </c>
      <c r="W92" s="18" t="n">
        <f aca="false">IFERROR(W80/INDEX(SEMANAS!$K$6:$K$71,MATCH(W$7,SEMANAS!$B$6:$B$71,0)),0)</f>
        <v>0</v>
      </c>
      <c r="X92" s="18" t="n">
        <f aca="false">IFERROR(X80/INDEX(SEMANAS!$K$6:$K$71,MATCH(X$7,SEMANAS!$B$6:$B$71,0)),0)</f>
        <v>0</v>
      </c>
      <c r="Y92" s="18" t="n">
        <f aca="false">IFERROR(Y80/INDEX(SEMANAS!$K$6:$K$71,MATCH(Y$7,SEMANAS!$B$6:$B$71,0)),0)</f>
        <v>0</v>
      </c>
      <c r="Z92" s="18" t="n">
        <f aca="false">IFERROR(Z80/INDEX(SEMANAS!$K$6:$K$71,MATCH(Z$7,SEMANAS!$B$6:$B$71,0)),0)</f>
        <v>0</v>
      </c>
      <c r="AA92" s="18" t="n">
        <f aca="false">IFERROR(AA80/INDEX(SEMANAS!$K$6:$K$71,MATCH(AA$7,SEMANAS!$B$6:$B$71,0)),0)</f>
        <v>0</v>
      </c>
      <c r="AB92" s="18" t="n">
        <f aca="false">IFERROR(AB80/INDEX(SEMANAS!$K$6:$K$71,MATCH(AB$7,SEMANAS!$B$6:$B$71,0)),0)</f>
        <v>0</v>
      </c>
      <c r="AC92" s="18" t="n">
        <f aca="false">IFERROR(AC80/INDEX(SEMANAS!$K$6:$K$71,MATCH(AC$7,SEMANAS!$B$6:$B$71,0)),0)</f>
        <v>0</v>
      </c>
      <c r="AD92" s="18" t="n">
        <f aca="false">IFERROR(AD80/INDEX(SEMANAS!$K$6:$K$71,MATCH(AD$7,SEMANAS!$B$6:$B$71,0)),0)</f>
        <v>0</v>
      </c>
      <c r="AE92" s="18" t="n">
        <f aca="false">IFERROR(AE80/INDEX(SEMANAS!$K$6:$K$71,MATCH(AE$7,SEMANAS!$B$6:$B$71,0)),0)</f>
        <v>0</v>
      </c>
      <c r="AF92" s="18" t="n">
        <f aca="false">IFERROR(AF80/INDEX(SEMANAS!$K$6:$K$71,MATCH(AF$7,SEMANAS!$B$6:$B$71,0)),0)</f>
        <v>0</v>
      </c>
      <c r="AG92" s="18" t="n">
        <f aca="false">IFERROR(AG80/INDEX(SEMANAS!$K$6:$K$71,MATCH(AG$7,SEMANAS!$B$6:$B$71,0)),0)</f>
        <v>34.0562929739943</v>
      </c>
      <c r="AH92" s="18" t="n">
        <f aca="false">IFERROR(AH80/INDEX(SEMANAS!$K$6:$K$71,MATCH(AH$7,SEMANAS!$B$6:$B$71,0)),0)</f>
        <v>116.069120680225</v>
      </c>
      <c r="AI92" s="18" t="n">
        <f aca="false">IFERROR(AI80/INDEX(SEMANAS!$K$6:$K$71,MATCH(AI$7,SEMANAS!$B$6:$B$71,0)),0)</f>
        <v>143.443990154642</v>
      </c>
      <c r="AJ92" s="18" t="n">
        <f aca="false">IFERROR(AJ80/INDEX(SEMANAS!$K$6:$K$71,MATCH(AJ$7,SEMANAS!$B$6:$B$71,0)),0)</f>
        <v>170.818859629059</v>
      </c>
      <c r="AK92" s="18" t="n">
        <f aca="false">IFERROR(AK80/INDEX(SEMANAS!$K$6:$K$71,MATCH(AK$7,SEMANAS!$B$6:$B$71,0)),0)</f>
        <v>200.215651860744</v>
      </c>
      <c r="AL92" s="18" t="n">
        <f aca="false">IFERROR(AL80/INDEX(SEMANAS!$K$6:$K$71,MATCH(AL$7,SEMANAS!$B$6:$B$71,0)),0)</f>
        <v>244.86625210084</v>
      </c>
      <c r="AM92" s="18" t="n">
        <f aca="false">IFERROR(AM80/INDEX(SEMANAS!$K$6:$K$71,MATCH(AM$7,SEMANAS!$B$6:$B$71,0)),0)</f>
        <v>244.86625210084</v>
      </c>
      <c r="AN92" s="18" t="n">
        <f aca="false">IFERROR(AN80/INDEX(SEMANAS!$K$6:$K$71,MATCH(AN$7,SEMANAS!$B$6:$B$71,0)),0)</f>
        <v>244.86625210084</v>
      </c>
      <c r="AO92" s="18" t="n">
        <f aca="false">IFERROR(AO80/INDEX(SEMANAS!$K$6:$K$71,MATCH(AO$7,SEMANAS!$B$6:$B$71,0)),0)</f>
        <v>244.86625210084</v>
      </c>
      <c r="AP92" s="18" t="n">
        <f aca="false">IFERROR(AP80/INDEX(SEMANAS!$K$6:$K$71,MATCH(AP$7,SEMANAS!$B$6:$B$71,0)),0)</f>
        <v>245.715990396158</v>
      </c>
      <c r="AQ92" s="18" t="n">
        <f aca="false">IFERROR(AQ80/INDEX(SEMANAS!$K$6:$K$71,MATCH(AQ$7,SEMANAS!$B$6:$B$71,0)),0)</f>
        <v>245.857613445378</v>
      </c>
      <c r="AR92" s="18" t="n">
        <f aca="false">IFERROR(AR80/INDEX(SEMANAS!$K$6:$K$71,MATCH(AR$7,SEMANAS!$B$6:$B$71,0)),0)</f>
        <v>245.857613445378</v>
      </c>
      <c r="AS92" s="18" t="n">
        <f aca="false">IFERROR(AS80/INDEX(SEMANAS!$K$6:$K$71,MATCH(AS$7,SEMANAS!$B$6:$B$71,0)),0)</f>
        <v>245.857613445378</v>
      </c>
      <c r="AT92" s="18" t="n">
        <f aca="false">IFERROR(AT80/INDEX(SEMANAS!$K$6:$K$71,MATCH(AT$7,SEMANAS!$B$6:$B$71,0)),0)</f>
        <v>243.203607878316</v>
      </c>
      <c r="AU92" s="18" t="n">
        <f aca="false">IFERROR(AU80/INDEX(SEMANAS!$K$6:$K$71,MATCH(AU$7,SEMANAS!$B$6:$B$71,0)),0)</f>
        <v>235.49875488657</v>
      </c>
      <c r="AV92" s="18" t="n">
        <f aca="false">IFERROR(AV80/INDEX(SEMANAS!$K$6:$K$71,MATCH(AV$7,SEMANAS!$B$6:$B$71,0)),0)</f>
        <v>218.799541355004</v>
      </c>
      <c r="AW92" s="18" t="n">
        <f aca="false">IFERROR(AW80/INDEX(SEMANAS!$K$6:$K$71,MATCH(AW$7,SEMANAS!$B$6:$B$71,0)),0)</f>
        <v>202.100327823437</v>
      </c>
      <c r="AX92" s="18" t="n">
        <f aca="false">IFERROR(AX80/INDEX(SEMANAS!$K$6:$K$71,MATCH(AX$7,SEMANAS!$B$6:$B$71,0)),0)</f>
        <v>190.698750111033</v>
      </c>
      <c r="AY92" s="18" t="n">
        <f aca="false">IFERROR(AY80/INDEX(SEMANAS!$K$6:$K$71,MATCH(AY$7,SEMANAS!$B$6:$B$71,0)),0)</f>
        <v>202.290167266907</v>
      </c>
      <c r="AZ92" s="18" t="n">
        <f aca="false">IFERROR(AZ80/INDEX(SEMANAS!$K$6:$K$71,MATCH(AZ$7,SEMANAS!$B$6:$B$71,0)),0)</f>
        <v>182.095769507803</v>
      </c>
      <c r="BA92" s="18" t="n">
        <f aca="false">IFERROR(BA80/INDEX(SEMANAS!$K$6:$K$71,MATCH(BA$7,SEMANAS!$B$6:$B$71,0)),0)</f>
        <v>0</v>
      </c>
      <c r="BB92" s="18" t="n">
        <f aca="false">IFERROR(BB80/INDEX(SEMANAS!$K$6:$K$71,MATCH(BB$7,SEMANAS!$B$6:$B$71,0)),0)</f>
        <v>0</v>
      </c>
      <c r="BC92" s="18" t="n">
        <f aca="false">IFERROR(BC80/INDEX(SEMANAS!$K$6:$K$71,MATCH(BC$7,SEMANAS!$B$6:$B$71,0)),0)</f>
        <v>0</v>
      </c>
      <c r="BD92" s="18" t="n">
        <f aca="false">IFERROR(BD80/INDEX(SEMANAS!$K$6:$K$71,MATCH(BD$7,SEMANAS!$B$6:$B$71,0)),0)</f>
        <v>0</v>
      </c>
      <c r="BE92" s="18" t="n">
        <f aca="false">IFERROR(BE80/INDEX(SEMANAS!$K$6:$K$71,MATCH(BE$7,SEMANAS!$B$6:$B$71,0)),0)</f>
        <v>0</v>
      </c>
      <c r="BF92" s="18" t="n">
        <f aca="false">IFERROR(BF80/INDEX(SEMANAS!$K$6:$K$71,MATCH(BF$7,SEMANAS!$B$6:$B$71,0)),0)</f>
        <v>0</v>
      </c>
      <c r="BG92" s="18" t="n">
        <f aca="false">IFERROR(BG80/INDEX(SEMANAS!$K$6:$K$71,MATCH(BG$7,SEMANAS!$B$6:$B$71,0)),0)</f>
        <v>0</v>
      </c>
      <c r="BH92" s="18" t="n">
        <f aca="false">IFERROR(BH80/INDEX(SEMANAS!$K$6:$K$71,MATCH(BH$7,SEMANAS!$B$6:$B$71,0)),0)</f>
        <v>0</v>
      </c>
      <c r="BI92" s="18" t="n">
        <f aca="false">IFERROR(BI80/INDEX(SEMANAS!$K$6:$K$71,MATCH(BI$7,SEMANAS!$B$6:$B$71,0)),0)</f>
        <v>0</v>
      </c>
      <c r="BJ92" s="18" t="n">
        <f aca="false">IFERROR(BJ80/INDEX(SEMANAS!$K$6:$K$71,MATCH(BJ$7,SEMANAS!$B$6:$B$71,0)),0)</f>
        <v>0</v>
      </c>
      <c r="BK92" s="18" t="n">
        <f aca="false">IFERROR(BK80/INDEX(SEMANAS!$K$6:$K$71,MATCH(BK$7,SEMANAS!$B$6:$B$71,0)),0)</f>
        <v>0</v>
      </c>
      <c r="BL92" s="18" t="n">
        <f aca="false">IFERROR(BL80/INDEX(SEMANAS!$K$6:$K$71,MATCH(BL$7,SEMANAS!$B$6:$B$71,0)),0)</f>
        <v>0</v>
      </c>
      <c r="BM92" s="18" t="n">
        <f aca="false">IFERROR(BM80/INDEX(SEMANAS!$K$6:$K$71,MATCH(BM$7,SEMANAS!$B$6:$B$71,0)),0)</f>
        <v>0</v>
      </c>
      <c r="BN92" s="18" t="n">
        <f aca="false">IFERROR(BN80/INDEX(SEMANAS!$K$6:$K$71,MATCH(BN$7,SEMANAS!$B$6:$B$71,0)),0)</f>
        <v>0</v>
      </c>
      <c r="BO92" s="18" t="n">
        <f aca="false">IFERROR(BO80/INDEX(SEMANAS!$K$6:$K$71,MATCH(BO$7,SEMANAS!$B$6:$B$71,0)),0)</f>
        <v>0</v>
      </c>
      <c r="BP92" s="18" t="n">
        <f aca="false">IFERROR(BP80/INDEX(SEMANAS!$K$6:$K$71,MATCH(BP$7,SEMANAS!$B$6:$B$71,0)),0)</f>
        <v>0</v>
      </c>
      <c r="BQ92" s="18" t="n">
        <f aca="false">MAX(C92:BP92)</f>
        <v>245.857613445378</v>
      </c>
    </row>
    <row r="93" customFormat="false" ht="15" hidden="false" customHeight="false" outlineLevel="0" collapsed="false">
      <c r="B93" s="15" t="s">
        <v>172</v>
      </c>
      <c r="C93" s="18" t="n">
        <f aca="false">IFERROR(C81/INDEX(SEMANAS!$K$6:$K$71,MATCH(C$7,SEMANAS!$B$6:$B$71,0)),0)</f>
        <v>153.537613445378</v>
      </c>
      <c r="D93" s="18" t="n">
        <f aca="false">IFERROR(D81/INDEX(SEMANAS!$K$6:$K$71,MATCH(D$7,SEMANAS!$B$6:$B$71,0)),0)</f>
        <v>0</v>
      </c>
      <c r="E93" s="18" t="n">
        <f aca="false">IFERROR(E81/INDEX(SEMANAS!$K$6:$K$71,MATCH(E$7,SEMANAS!$B$6:$B$71,0)),0)</f>
        <v>0</v>
      </c>
      <c r="F93" s="18" t="n">
        <f aca="false">IFERROR(F81/INDEX(SEMANAS!$K$6:$K$71,MATCH(F$7,SEMANAS!$B$6:$B$71,0)),0)</f>
        <v>0</v>
      </c>
      <c r="G93" s="18" t="n">
        <f aca="false">IFERROR(G81/INDEX(SEMANAS!$K$6:$K$71,MATCH(G$7,SEMANAS!$B$6:$B$71,0)),0)</f>
        <v>9.14527731092436</v>
      </c>
      <c r="H93" s="18" t="n">
        <f aca="false">IFERROR(H81/INDEX(SEMANAS!$K$6:$K$71,MATCH(H$7,SEMANAS!$B$6:$B$71,0)),0)</f>
        <v>0</v>
      </c>
      <c r="I93" s="18" t="n">
        <f aca="false">IFERROR(I81/INDEX(SEMANAS!$K$6:$K$71,MATCH(I$7,SEMANAS!$B$6:$B$71,0)),0)</f>
        <v>0</v>
      </c>
      <c r="J93" s="18" t="n">
        <f aca="false">IFERROR(J81/INDEX(SEMANAS!$K$6:$K$71,MATCH(J$7,SEMANAS!$B$6:$B$71,0)),0)</f>
        <v>17.763258135638</v>
      </c>
      <c r="K93" s="18" t="n">
        <f aca="false">IFERROR(K81/INDEX(SEMANAS!$K$6:$K$71,MATCH(K$7,SEMANAS!$B$6:$B$71,0)),0)</f>
        <v>57.2867778463709</v>
      </c>
      <c r="L93" s="18" t="n">
        <f aca="false">IFERROR(L81/INDEX(SEMANAS!$K$6:$K$71,MATCH(L$7,SEMANAS!$B$6:$B$71,0)),0)</f>
        <v>0</v>
      </c>
      <c r="M93" s="18" t="n">
        <f aca="false">IFERROR(M81/INDEX(SEMANAS!$K$6:$K$71,MATCH(M$7,SEMANAS!$B$6:$B$71,0)),0)</f>
        <v>16.8495294117647</v>
      </c>
      <c r="N93" s="18" t="n">
        <f aca="false">IFERROR(N81/INDEX(SEMANAS!$K$6:$K$71,MATCH(N$7,SEMANAS!$B$6:$B$71,0)),0)</f>
        <v>16.8495294117647</v>
      </c>
      <c r="O93" s="18" t="n">
        <f aca="false">IFERROR(O81/INDEX(SEMANAS!$K$6:$K$71,MATCH(O$7,SEMANAS!$B$6:$B$71,0)),0)</f>
        <v>16.8495294117647</v>
      </c>
      <c r="P93" s="18" t="n">
        <f aca="false">IFERROR(P81/INDEX(SEMANAS!$K$6:$K$71,MATCH(P$7,SEMANAS!$B$6:$B$71,0)),0)</f>
        <v>0</v>
      </c>
      <c r="Q93" s="18" t="n">
        <f aca="false">IFERROR(Q81/INDEX(SEMANAS!$K$6:$K$71,MATCH(Q$7,SEMANAS!$B$6:$B$71,0)),0)</f>
        <v>0</v>
      </c>
      <c r="R93" s="18" t="n">
        <f aca="false">IFERROR(R81/INDEX(SEMANAS!$K$6:$K$71,MATCH(R$7,SEMANAS!$B$6:$B$71,0)),0)</f>
        <v>0</v>
      </c>
      <c r="S93" s="18" t="n">
        <f aca="false">IFERROR(S81/INDEX(SEMANAS!$K$6:$K$71,MATCH(S$7,SEMANAS!$B$6:$B$71,0)),0)</f>
        <v>0</v>
      </c>
      <c r="T93" s="18" t="n">
        <f aca="false">IFERROR(T81/INDEX(SEMANAS!$K$6:$K$71,MATCH(T$7,SEMANAS!$B$6:$B$71,0)),0)</f>
        <v>0</v>
      </c>
      <c r="U93" s="18" t="n">
        <f aca="false">IFERROR(U81/INDEX(SEMANAS!$K$6:$K$71,MATCH(U$7,SEMANAS!$B$6:$B$71,0)),0)</f>
        <v>0</v>
      </c>
      <c r="V93" s="18" t="n">
        <f aca="false">IFERROR(V81/INDEX(SEMANAS!$K$6:$K$71,MATCH(V$7,SEMANAS!$B$6:$B$71,0)),0)</f>
        <v>0</v>
      </c>
      <c r="W93" s="18" t="n">
        <f aca="false">IFERROR(W81/INDEX(SEMANAS!$K$6:$K$71,MATCH(W$7,SEMANAS!$B$6:$B$71,0)),0)</f>
        <v>0</v>
      </c>
      <c r="X93" s="18" t="n">
        <f aca="false">IFERROR(X81/INDEX(SEMANAS!$K$6:$K$71,MATCH(X$7,SEMANAS!$B$6:$B$71,0)),0)</f>
        <v>0</v>
      </c>
      <c r="Y93" s="18" t="n">
        <f aca="false">IFERROR(Y81/INDEX(SEMANAS!$K$6:$K$71,MATCH(Y$7,SEMANAS!$B$6:$B$71,0)),0)</f>
        <v>0</v>
      </c>
      <c r="Z93" s="18" t="n">
        <f aca="false">IFERROR(Z81/INDEX(SEMANAS!$K$6:$K$71,MATCH(Z$7,SEMANAS!$B$6:$B$71,0)),0)</f>
        <v>1.39742025094056</v>
      </c>
      <c r="AA93" s="18" t="n">
        <f aca="false">IFERROR(AA81/INDEX(SEMANAS!$K$6:$K$71,MATCH(AA$7,SEMANAS!$B$6:$B$71,0)),0)</f>
        <v>30.4979036790258</v>
      </c>
      <c r="AB93" s="18" t="n">
        <f aca="false">IFERROR(AB81/INDEX(SEMANAS!$K$6:$K$71,MATCH(AB$7,SEMANAS!$B$6:$B$71,0)),0)</f>
        <v>46.9188907563025</v>
      </c>
      <c r="AC93" s="18" t="n">
        <f aca="false">IFERROR(AC81/INDEX(SEMANAS!$K$6:$K$71,MATCH(AC$7,SEMANAS!$B$6:$B$71,0)),0)</f>
        <v>57.9619271708683</v>
      </c>
      <c r="AD93" s="18" t="n">
        <f aca="false">IFERROR(AD81/INDEX(SEMANAS!$K$6:$K$71,MATCH(AD$7,SEMANAS!$B$6:$B$71,0)),0)</f>
        <v>57.9619271708683</v>
      </c>
      <c r="AE93" s="18" t="n">
        <f aca="false">IFERROR(AE81/INDEX(SEMANAS!$K$6:$K$71,MATCH(AE$7,SEMANAS!$B$6:$B$71,0)),0)</f>
        <v>57.9619271708683</v>
      </c>
      <c r="AF93" s="18" t="n">
        <f aca="false">IFERROR(AF81/INDEX(SEMANAS!$K$6:$K$71,MATCH(AF$7,SEMANAS!$B$6:$B$71,0)),0)</f>
        <v>57.9619271708683</v>
      </c>
      <c r="AG93" s="18" t="n">
        <f aca="false">IFERROR(AG81/INDEX(SEMANAS!$K$6:$K$71,MATCH(AG$7,SEMANAS!$B$6:$B$71,0)),0)</f>
        <v>160.511048567575</v>
      </c>
      <c r="AH93" s="18" t="n">
        <f aca="false">IFERROR(AH81/INDEX(SEMANAS!$K$6:$K$71,MATCH(AH$7,SEMANAS!$B$6:$B$71,0)),0)</f>
        <v>300.38825708061</v>
      </c>
      <c r="AI93" s="18" t="n">
        <f aca="false">IFERROR(AI81/INDEX(SEMANAS!$K$6:$K$71,MATCH(AI$7,SEMANAS!$B$6:$B$71,0)),0)</f>
        <v>329.608300653595</v>
      </c>
      <c r="AJ93" s="18" t="n">
        <f aca="false">IFERROR(AJ81/INDEX(SEMANAS!$K$6:$K$71,MATCH(AJ$7,SEMANAS!$B$6:$B$71,0)),0)</f>
        <v>358.82834422658</v>
      </c>
      <c r="AK93" s="18" t="n">
        <f aca="false">IFERROR(AK81/INDEX(SEMANAS!$K$6:$K$71,MATCH(AK$7,SEMANAS!$B$6:$B$71,0)),0)</f>
        <v>394.680133899714</v>
      </c>
      <c r="AL93" s="18" t="n">
        <f aca="false">IFERROR(AL81/INDEX(SEMANAS!$K$6:$K$71,MATCH(AL$7,SEMANAS!$B$6:$B$71,0)),0)</f>
        <v>469.888080155139</v>
      </c>
      <c r="AM93" s="18" t="n">
        <f aca="false">IFERROR(AM81/INDEX(SEMANAS!$K$6:$K$71,MATCH(AM$7,SEMANAS!$B$6:$B$71,0)),0)</f>
        <v>453.286873518638</v>
      </c>
      <c r="AN93" s="18" t="n">
        <f aca="false">IFERROR(AN81/INDEX(SEMANAS!$K$6:$K$71,MATCH(AN$7,SEMANAS!$B$6:$B$71,0)),0)</f>
        <v>436.685666882138</v>
      </c>
      <c r="AO93" s="18" t="n">
        <f aca="false">IFERROR(AO81/INDEX(SEMANAS!$K$6:$K$71,MATCH(AO$7,SEMANAS!$B$6:$B$71,0)),0)</f>
        <v>420.084460245637</v>
      </c>
      <c r="AP93" s="18" t="n">
        <f aca="false">IFERROR(AP81/INDEX(SEMANAS!$K$6:$K$71,MATCH(AP$7,SEMANAS!$B$6:$B$71,0)),0)</f>
        <v>409.147644904116</v>
      </c>
      <c r="AQ93" s="18" t="n">
        <f aca="false">IFERROR(AQ81/INDEX(SEMANAS!$K$6:$K$71,MATCH(AQ$7,SEMANAS!$B$6:$B$71,0)),0)</f>
        <v>394.281037132802</v>
      </c>
      <c r="AR93" s="18" t="n">
        <f aca="false">IFERROR(AR81/INDEX(SEMANAS!$K$6:$K$71,MATCH(AR$7,SEMANAS!$B$6:$B$71,0)),0)</f>
        <v>378.470364145658</v>
      </c>
      <c r="AS93" s="18" t="n">
        <f aca="false">IFERROR(AS81/INDEX(SEMANAS!$K$6:$K$71,MATCH(AS$7,SEMANAS!$B$6:$B$71,0)),0)</f>
        <v>240.53939869281</v>
      </c>
      <c r="AT93" s="18" t="n">
        <f aca="false">IFERROR(AT81/INDEX(SEMANAS!$K$6:$K$71,MATCH(AT$7,SEMANAS!$B$6:$B$71,0)),0)</f>
        <v>232.868242763772</v>
      </c>
      <c r="AU93" s="18" t="n">
        <f aca="false">IFERROR(AU81/INDEX(SEMANAS!$K$6:$K$71,MATCH(AU$7,SEMANAS!$B$6:$B$71,0)),0)</f>
        <v>220.847176470588</v>
      </c>
      <c r="AV93" s="18" t="n">
        <f aca="false">IFERROR(AV81/INDEX(SEMANAS!$K$6:$K$71,MATCH(AV$7,SEMANAS!$B$6:$B$71,0)),0)</f>
        <v>200.115555555556</v>
      </c>
      <c r="AW93" s="18" t="n">
        <f aca="false">IFERROR(AW81/INDEX(SEMANAS!$K$6:$K$71,MATCH(AW$7,SEMANAS!$B$6:$B$71,0)),0)</f>
        <v>179.383934640523</v>
      </c>
      <c r="AX93" s="18" t="n">
        <f aca="false">IFERROR(AX81/INDEX(SEMANAS!$K$6:$K$71,MATCH(AX$7,SEMANAS!$B$6:$B$71,0)),0)</f>
        <v>163.144448179272</v>
      </c>
      <c r="AY93" s="18" t="n">
        <f aca="false">IFERROR(AY81/INDEX(SEMANAS!$K$6:$K$71,MATCH(AY$7,SEMANAS!$B$6:$B$71,0)),0)</f>
        <v>0</v>
      </c>
      <c r="AZ93" s="18" t="n">
        <f aca="false">IFERROR(AZ81/INDEX(SEMANAS!$K$6:$K$71,MATCH(AZ$7,SEMANAS!$B$6:$B$71,0)),0)</f>
        <v>0</v>
      </c>
      <c r="BA93" s="18" t="n">
        <f aca="false">IFERROR(BA81/INDEX(SEMANAS!$K$6:$K$71,MATCH(BA$7,SEMANAS!$B$6:$B$71,0)),0)</f>
        <v>0</v>
      </c>
      <c r="BB93" s="18" t="n">
        <f aca="false">IFERROR(BB81/INDEX(SEMANAS!$K$6:$K$71,MATCH(BB$7,SEMANAS!$B$6:$B$71,0)),0)</f>
        <v>0</v>
      </c>
      <c r="BC93" s="18" t="n">
        <f aca="false">IFERROR(BC81/INDEX(SEMANAS!$K$6:$K$71,MATCH(BC$7,SEMANAS!$B$6:$B$71,0)),0)</f>
        <v>0</v>
      </c>
      <c r="BD93" s="18" t="n">
        <f aca="false">IFERROR(BD81/INDEX(SEMANAS!$K$6:$K$71,MATCH(BD$7,SEMANAS!$B$6:$B$71,0)),0)</f>
        <v>0</v>
      </c>
      <c r="BE93" s="18" t="n">
        <f aca="false">IFERROR(BE81/INDEX(SEMANAS!$K$6:$K$71,MATCH(BE$7,SEMANAS!$B$6:$B$71,0)),0)</f>
        <v>0</v>
      </c>
      <c r="BF93" s="18" t="n">
        <f aca="false">IFERROR(BF81/INDEX(SEMANAS!$K$6:$K$71,MATCH(BF$7,SEMANAS!$B$6:$B$71,0)),0)</f>
        <v>0</v>
      </c>
      <c r="BG93" s="18" t="n">
        <f aca="false">IFERROR(BG81/INDEX(SEMANAS!$K$6:$K$71,MATCH(BG$7,SEMANAS!$B$6:$B$71,0)),0)</f>
        <v>0</v>
      </c>
      <c r="BH93" s="18" t="n">
        <f aca="false">IFERROR(BH81/INDEX(SEMANAS!$K$6:$K$71,MATCH(BH$7,SEMANAS!$B$6:$B$71,0)),0)</f>
        <v>0</v>
      </c>
      <c r="BI93" s="18" t="n">
        <f aca="false">IFERROR(BI81/INDEX(SEMANAS!$K$6:$K$71,MATCH(BI$7,SEMANAS!$B$6:$B$71,0)),0)</f>
        <v>0</v>
      </c>
      <c r="BJ93" s="18" t="n">
        <f aca="false">IFERROR(BJ81/INDEX(SEMANAS!$K$6:$K$71,MATCH(BJ$7,SEMANAS!$B$6:$B$71,0)),0)</f>
        <v>0</v>
      </c>
      <c r="BK93" s="18" t="n">
        <f aca="false">IFERROR(BK81/INDEX(SEMANAS!$K$6:$K$71,MATCH(BK$7,SEMANAS!$B$6:$B$71,0)),0)</f>
        <v>0</v>
      </c>
      <c r="BL93" s="18" t="n">
        <f aca="false">IFERROR(BL81/INDEX(SEMANAS!$K$6:$K$71,MATCH(BL$7,SEMANAS!$B$6:$B$71,0)),0)</f>
        <v>0</v>
      </c>
      <c r="BM93" s="18" t="n">
        <f aca="false">IFERROR(BM81/INDEX(SEMANAS!$K$6:$K$71,MATCH(BM$7,SEMANAS!$B$6:$B$71,0)),0)</f>
        <v>0</v>
      </c>
      <c r="BN93" s="18" t="n">
        <f aca="false">IFERROR(BN81/INDEX(SEMANAS!$K$6:$K$71,MATCH(BN$7,SEMANAS!$B$6:$B$71,0)),0)</f>
        <v>0</v>
      </c>
      <c r="BO93" s="18" t="n">
        <f aca="false">IFERROR(BO81/INDEX(SEMANAS!$K$6:$K$71,MATCH(BO$7,SEMANAS!$B$6:$B$71,0)),0)</f>
        <v>0</v>
      </c>
      <c r="BP93" s="18" t="n">
        <f aca="false">IFERROR(BP81/INDEX(SEMANAS!$K$6:$K$71,MATCH(BP$7,SEMANAS!$B$6:$B$71,0)),0)</f>
        <v>0</v>
      </c>
      <c r="BQ93" s="18" t="n">
        <f aca="false">MAX(C93:BP93)</f>
        <v>469.888080155139</v>
      </c>
    </row>
    <row r="94" customFormat="false" ht="15" hidden="false" customHeight="false" outlineLevel="0" collapsed="false">
      <c r="B94" s="15" t="s">
        <v>173</v>
      </c>
      <c r="C94" s="18" t="n">
        <f aca="false">IFERROR(C82/INDEX(SEMANAS!$K$6:$K$71,MATCH(C$7,SEMANAS!$B$6:$B$71,0)),0)</f>
        <v>0</v>
      </c>
      <c r="D94" s="18" t="n">
        <f aca="false">IFERROR(D82/INDEX(SEMANAS!$K$6:$K$71,MATCH(D$7,SEMANAS!$B$6:$B$71,0)),0)</f>
        <v>0</v>
      </c>
      <c r="E94" s="18" t="n">
        <f aca="false">IFERROR(E82/INDEX(SEMANAS!$K$6:$K$71,MATCH(E$7,SEMANAS!$B$6:$B$71,0)),0)</f>
        <v>0</v>
      </c>
      <c r="F94" s="18" t="n">
        <f aca="false">IFERROR(F82/INDEX(SEMANAS!$K$6:$K$71,MATCH(F$7,SEMANAS!$B$6:$B$71,0)),0)</f>
        <v>0</v>
      </c>
      <c r="G94" s="18" t="n">
        <f aca="false">IFERROR(G82/INDEX(SEMANAS!$K$6:$K$71,MATCH(G$7,SEMANAS!$B$6:$B$71,0)),0)</f>
        <v>17.9814389755902</v>
      </c>
      <c r="H94" s="18" t="n">
        <f aca="false">IFERROR(H82/INDEX(SEMANAS!$K$6:$K$71,MATCH(H$7,SEMANAS!$B$6:$B$71,0)),0)</f>
        <v>0</v>
      </c>
      <c r="I94" s="18" t="n">
        <f aca="false">IFERROR(I82/INDEX(SEMANAS!$K$6:$K$71,MATCH(I$7,SEMANAS!$B$6:$B$71,0)),0)</f>
        <v>0</v>
      </c>
      <c r="J94" s="18" t="n">
        <f aca="false">IFERROR(J82/INDEX(SEMANAS!$K$6:$K$71,MATCH(J$7,SEMANAS!$B$6:$B$71,0)),0)</f>
        <v>3.68767139473158</v>
      </c>
      <c r="K94" s="18" t="n">
        <f aca="false">IFERROR(K82/INDEX(SEMANAS!$K$6:$K$71,MATCH(K$7,SEMANAS!$B$6:$B$71,0)),0)</f>
        <v>83.0011851420597</v>
      </c>
      <c r="L94" s="18" t="n">
        <f aca="false">IFERROR(L82/INDEX(SEMANAS!$K$6:$K$71,MATCH(L$7,SEMANAS!$B$6:$B$71,0)),0)</f>
        <v>0</v>
      </c>
      <c r="M94" s="18" t="n">
        <f aca="false">IFERROR(M82/INDEX(SEMANAS!$K$6:$K$71,MATCH(M$7,SEMANAS!$B$6:$B$71,0)),0)</f>
        <v>31.2852983088287</v>
      </c>
      <c r="N94" s="18" t="n">
        <f aca="false">IFERROR(N82/INDEX(SEMANAS!$K$6:$K$71,MATCH(N$7,SEMANAS!$B$6:$B$71,0)),0)</f>
        <v>33.1295350140056</v>
      </c>
      <c r="O94" s="18" t="n">
        <f aca="false">IFERROR(O82/INDEX(SEMANAS!$K$6:$K$71,MATCH(O$7,SEMANAS!$B$6:$B$71,0)),0)</f>
        <v>33.1295350140056</v>
      </c>
      <c r="P94" s="18" t="n">
        <f aca="false">IFERROR(P82/INDEX(SEMANAS!$K$6:$K$71,MATCH(P$7,SEMANAS!$B$6:$B$71,0)),0)</f>
        <v>0</v>
      </c>
      <c r="Q94" s="18" t="n">
        <f aca="false">IFERROR(Q82/INDEX(SEMANAS!$K$6:$K$71,MATCH(Q$7,SEMANAS!$B$6:$B$71,0)),0)</f>
        <v>0</v>
      </c>
      <c r="R94" s="18" t="n">
        <f aca="false">IFERROR(R82/INDEX(SEMANAS!$K$6:$K$71,MATCH(R$7,SEMANAS!$B$6:$B$71,0)),0)</f>
        <v>0</v>
      </c>
      <c r="S94" s="18" t="n">
        <f aca="false">IFERROR(S82/INDEX(SEMANAS!$K$6:$K$71,MATCH(S$7,SEMANAS!$B$6:$B$71,0)),0)</f>
        <v>0</v>
      </c>
      <c r="T94" s="18" t="n">
        <f aca="false">IFERROR(T82/INDEX(SEMANAS!$K$6:$K$71,MATCH(T$7,SEMANAS!$B$6:$B$71,0)),0)</f>
        <v>3.60890707789473</v>
      </c>
      <c r="U94" s="18" t="n">
        <f aca="false">IFERROR(U82/INDEX(SEMANAS!$K$6:$K$71,MATCH(U$7,SEMANAS!$B$6:$B$71,0)),0)</f>
        <v>0</v>
      </c>
      <c r="V94" s="18" t="n">
        <f aca="false">IFERROR(V82/INDEX(SEMANAS!$K$6:$K$71,MATCH(V$7,SEMANAS!$B$6:$B$71,0)),0)</f>
        <v>0</v>
      </c>
      <c r="W94" s="18" t="n">
        <f aca="false">IFERROR(W82/INDEX(SEMANAS!$K$6:$K$71,MATCH(W$7,SEMANAS!$B$6:$B$71,0)),0)</f>
        <v>0</v>
      </c>
      <c r="X94" s="18" t="n">
        <f aca="false">IFERROR(X82/INDEX(SEMANAS!$K$6:$K$71,MATCH(X$7,SEMANAS!$B$6:$B$71,0)),0)</f>
        <v>0</v>
      </c>
      <c r="Y94" s="18" t="n">
        <f aca="false">IFERROR(Y82/INDEX(SEMANAS!$K$6:$K$71,MATCH(Y$7,SEMANAS!$B$6:$B$71,0)),0)</f>
        <v>0</v>
      </c>
      <c r="Z94" s="18" t="n">
        <f aca="false">IFERROR(Z82/INDEX(SEMANAS!$K$6:$K$71,MATCH(Z$7,SEMANAS!$B$6:$B$71,0)),0)</f>
        <v>0</v>
      </c>
      <c r="AA94" s="18" t="n">
        <f aca="false">IFERROR(AA82/INDEX(SEMANAS!$K$6:$K$71,MATCH(AA$7,SEMANAS!$B$6:$B$71,0)),0)</f>
        <v>0</v>
      </c>
      <c r="AB94" s="18" t="n">
        <f aca="false">IFERROR(AB82/INDEX(SEMANAS!$K$6:$K$71,MATCH(AB$7,SEMANAS!$B$6:$B$71,0)),0)</f>
        <v>0</v>
      </c>
      <c r="AC94" s="18" t="n">
        <f aca="false">IFERROR(AC82/INDEX(SEMANAS!$K$6:$K$71,MATCH(AC$7,SEMANAS!$B$6:$B$71,0)),0)</f>
        <v>0</v>
      </c>
      <c r="AD94" s="18" t="n">
        <f aca="false">IFERROR(AD82/INDEX(SEMANAS!$K$6:$K$71,MATCH(AD$7,SEMANAS!$B$6:$B$71,0)),0)</f>
        <v>0</v>
      </c>
      <c r="AE94" s="18" t="n">
        <f aca="false">IFERROR(AE82/INDEX(SEMANAS!$K$6:$K$71,MATCH(AE$7,SEMANAS!$B$6:$B$71,0)),0)</f>
        <v>0</v>
      </c>
      <c r="AF94" s="18" t="n">
        <f aca="false">IFERROR(AF82/INDEX(SEMANAS!$K$6:$K$71,MATCH(AF$7,SEMANAS!$B$6:$B$71,0)),0)</f>
        <v>0</v>
      </c>
      <c r="AG94" s="18" t="n">
        <f aca="false">IFERROR(AG82/INDEX(SEMANAS!$K$6:$K$71,MATCH(AG$7,SEMANAS!$B$6:$B$71,0)),0)</f>
        <v>52.6295019404211</v>
      </c>
      <c r="AH94" s="18" t="n">
        <f aca="false">IFERROR(AH82/INDEX(SEMANAS!$K$6:$K$71,MATCH(AH$7,SEMANAS!$B$6:$B$71,0)),0)</f>
        <v>217.772718147614</v>
      </c>
      <c r="AI94" s="18" t="n">
        <f aca="false">IFERROR(AI82/INDEX(SEMANAS!$K$6:$K$71,MATCH(AI$7,SEMANAS!$B$6:$B$71,0)),0)</f>
        <v>272.845464405881</v>
      </c>
      <c r="AJ94" s="18" t="n">
        <f aca="false">IFERROR(AJ82/INDEX(SEMANAS!$K$6:$K$71,MATCH(AJ$7,SEMANAS!$B$6:$B$71,0)),0)</f>
        <v>327.918210664147</v>
      </c>
      <c r="AK94" s="18" t="n">
        <f aca="false">IFERROR(AK82/INDEX(SEMANAS!$K$6:$K$71,MATCH(AK$7,SEMANAS!$B$6:$B$71,0)),0)</f>
        <v>402.793730292117</v>
      </c>
      <c r="AL94" s="18" t="n">
        <f aca="false">IFERROR(AL82/INDEX(SEMANAS!$K$6:$K$71,MATCH(AL$7,SEMANAS!$B$6:$B$71,0)),0)</f>
        <v>492.621781512605</v>
      </c>
      <c r="AM94" s="18" t="n">
        <f aca="false">IFERROR(AM82/INDEX(SEMANAS!$K$6:$K$71,MATCH(AM$7,SEMANAS!$B$6:$B$71,0)),0)</f>
        <v>492.621781512605</v>
      </c>
      <c r="AN94" s="18" t="n">
        <f aca="false">IFERROR(AN82/INDEX(SEMANAS!$K$6:$K$71,MATCH(AN$7,SEMANAS!$B$6:$B$71,0)),0)</f>
        <v>492.621781512605</v>
      </c>
      <c r="AO94" s="18" t="n">
        <f aca="false">IFERROR(AO82/INDEX(SEMANAS!$K$6:$K$71,MATCH(AO$7,SEMANAS!$B$6:$B$71,0)),0)</f>
        <v>492.621781512605</v>
      </c>
      <c r="AP94" s="18" t="n">
        <f aca="false">IFERROR(AP82/INDEX(SEMANAS!$K$6:$K$71,MATCH(AP$7,SEMANAS!$B$6:$B$71,0)),0)</f>
        <v>494.331284513806</v>
      </c>
      <c r="AQ94" s="18" t="n">
        <f aca="false">IFERROR(AQ82/INDEX(SEMANAS!$K$6:$K$71,MATCH(AQ$7,SEMANAS!$B$6:$B$71,0)),0)</f>
        <v>494.616201680672</v>
      </c>
      <c r="AR94" s="18" t="n">
        <f aca="false">IFERROR(AR82/INDEX(SEMANAS!$K$6:$K$71,MATCH(AR$7,SEMANAS!$B$6:$B$71,0)),0)</f>
        <v>494.616201680672</v>
      </c>
      <c r="AS94" s="18" t="n">
        <f aca="false">IFERROR(AS82/INDEX(SEMANAS!$K$6:$K$71,MATCH(AS$7,SEMANAS!$B$6:$B$71,0)),0)</f>
        <v>494.616201680672</v>
      </c>
      <c r="AT94" s="18" t="n">
        <f aca="false">IFERROR(AT82/INDEX(SEMANAS!$K$6:$K$71,MATCH(AT$7,SEMANAS!$B$6:$B$71,0)),0)</f>
        <v>498.588575497598</v>
      </c>
      <c r="AU94" s="18" t="n">
        <f aca="false">IFERROR(AU82/INDEX(SEMANAS!$K$6:$K$71,MATCH(AU$7,SEMANAS!$B$6:$B$71,0)),0)</f>
        <v>483.374961266558</v>
      </c>
      <c r="AV94" s="18" t="n">
        <f aca="false">IFERROR(AV82/INDEX(SEMANAS!$K$6:$K$71,MATCH(AV$7,SEMANAS!$B$6:$B$71,0)),0)</f>
        <v>449.779493335796</v>
      </c>
      <c r="AW94" s="18" t="n">
        <f aca="false">IFERROR(AW82/INDEX(SEMANAS!$K$6:$K$71,MATCH(AW$7,SEMANAS!$B$6:$B$71,0)),0)</f>
        <v>416.184025405034</v>
      </c>
      <c r="AX94" s="18" t="n">
        <f aca="false">IFERROR(AX82/INDEX(SEMANAS!$K$6:$K$71,MATCH(AX$7,SEMANAS!$B$6:$B$71,0)),0)</f>
        <v>393.533342561933</v>
      </c>
      <c r="AY94" s="18" t="n">
        <f aca="false">IFERROR(AY82/INDEX(SEMANAS!$K$6:$K$71,MATCH(AY$7,SEMANAS!$B$6:$B$71,0)),0)</f>
        <v>418.574975590236</v>
      </c>
      <c r="AZ94" s="18" t="n">
        <f aca="false">IFERROR(AZ82/INDEX(SEMANAS!$K$6:$K$71,MATCH(AZ$7,SEMANAS!$B$6:$B$71,0)),0)</f>
        <v>377.94789809257</v>
      </c>
      <c r="BA94" s="18" t="n">
        <f aca="false">IFERROR(BA82/INDEX(SEMANAS!$K$6:$K$71,MATCH(BA$7,SEMANAS!$B$6:$B$71,0)),0)</f>
        <v>337.320820594905</v>
      </c>
      <c r="BB94" s="18" t="n">
        <f aca="false">IFERROR(BB82/INDEX(SEMANAS!$K$6:$K$71,MATCH(BB$7,SEMANAS!$B$6:$B$71,0)),0)</f>
        <v>0</v>
      </c>
      <c r="BC94" s="18" t="n">
        <f aca="false">IFERROR(BC82/INDEX(SEMANAS!$K$6:$K$71,MATCH(BC$7,SEMANAS!$B$6:$B$71,0)),0)</f>
        <v>0</v>
      </c>
      <c r="BD94" s="18" t="n">
        <f aca="false">IFERROR(BD82/INDEX(SEMANAS!$K$6:$K$71,MATCH(BD$7,SEMANAS!$B$6:$B$71,0)),0)</f>
        <v>0</v>
      </c>
      <c r="BE94" s="18" t="n">
        <f aca="false">IFERROR(BE82/INDEX(SEMANAS!$K$6:$K$71,MATCH(BE$7,SEMANAS!$B$6:$B$71,0)),0)</f>
        <v>0</v>
      </c>
      <c r="BF94" s="18" t="n">
        <f aca="false">IFERROR(BF82/INDEX(SEMANAS!$K$6:$K$71,MATCH(BF$7,SEMANAS!$B$6:$B$71,0)),0)</f>
        <v>0</v>
      </c>
      <c r="BG94" s="18" t="n">
        <f aca="false">IFERROR(BG82/INDEX(SEMANAS!$K$6:$K$71,MATCH(BG$7,SEMANAS!$B$6:$B$71,0)),0)</f>
        <v>0</v>
      </c>
      <c r="BH94" s="18" t="n">
        <f aca="false">IFERROR(BH82/INDEX(SEMANAS!$K$6:$K$71,MATCH(BH$7,SEMANAS!$B$6:$B$71,0)),0)</f>
        <v>0</v>
      </c>
      <c r="BI94" s="18" t="n">
        <f aca="false">IFERROR(BI82/INDEX(SEMANAS!$K$6:$K$71,MATCH(BI$7,SEMANAS!$B$6:$B$71,0)),0)</f>
        <v>0</v>
      </c>
      <c r="BJ94" s="18" t="n">
        <f aca="false">IFERROR(BJ82/INDEX(SEMANAS!$K$6:$K$71,MATCH(BJ$7,SEMANAS!$B$6:$B$71,0)),0)</f>
        <v>0</v>
      </c>
      <c r="BK94" s="18" t="n">
        <f aca="false">IFERROR(BK82/INDEX(SEMANAS!$K$6:$K$71,MATCH(BK$7,SEMANAS!$B$6:$B$71,0)),0)</f>
        <v>0</v>
      </c>
      <c r="BL94" s="18" t="n">
        <f aca="false">IFERROR(BL82/INDEX(SEMANAS!$K$6:$K$71,MATCH(BL$7,SEMANAS!$B$6:$B$71,0)),0)</f>
        <v>0</v>
      </c>
      <c r="BM94" s="18" t="n">
        <f aca="false">IFERROR(BM82/INDEX(SEMANAS!$K$6:$K$71,MATCH(BM$7,SEMANAS!$B$6:$B$71,0)),0)</f>
        <v>0</v>
      </c>
      <c r="BN94" s="18" t="n">
        <f aca="false">IFERROR(BN82/INDEX(SEMANAS!$K$6:$K$71,MATCH(BN$7,SEMANAS!$B$6:$B$71,0)),0)</f>
        <v>0</v>
      </c>
      <c r="BO94" s="18" t="n">
        <f aca="false">IFERROR(BO82/INDEX(SEMANAS!$K$6:$K$71,MATCH(BO$7,SEMANAS!$B$6:$B$71,0)),0)</f>
        <v>0</v>
      </c>
      <c r="BP94" s="18" t="n">
        <f aca="false">IFERROR(BP82/INDEX(SEMANAS!$K$6:$K$71,MATCH(BP$7,SEMANAS!$B$6:$B$71,0)),0)</f>
        <v>0</v>
      </c>
      <c r="BQ94" s="18" t="n">
        <f aca="false">MAX(C94:BP94)</f>
        <v>498.588575497598</v>
      </c>
    </row>
    <row r="95" customFormat="false" ht="15" hidden="false" customHeight="false" outlineLevel="0" collapsed="false">
      <c r="B95" s="15" t="s">
        <v>174</v>
      </c>
      <c r="C95" s="18" t="n">
        <f aca="false">IFERROR(C83/INDEX(SEMANAS!$K$6:$K$71,MATCH(C$7,SEMANAS!$B$6:$B$71,0)),0)</f>
        <v>312.599619047619</v>
      </c>
      <c r="D95" s="18" t="n">
        <f aca="false">IFERROR(D83/INDEX(SEMANAS!$K$6:$K$71,MATCH(D$7,SEMANAS!$B$6:$B$71,0)),0)</f>
        <v>329.081736694678</v>
      </c>
      <c r="E95" s="18" t="n">
        <f aca="false">IFERROR(E83/INDEX(SEMANAS!$K$6:$K$71,MATCH(E$7,SEMANAS!$B$6:$B$71,0)),0)</f>
        <v>329.081736694678</v>
      </c>
      <c r="F95" s="18" t="n">
        <f aca="false">IFERROR(F83/INDEX(SEMANAS!$K$6:$K$71,MATCH(F$7,SEMANAS!$B$6:$B$71,0)),0)</f>
        <v>329.081736694678</v>
      </c>
      <c r="G95" s="18" t="n">
        <f aca="false">IFERROR(G83/INDEX(SEMANAS!$K$6:$K$71,MATCH(G$7,SEMANAS!$B$6:$B$71,0)),0)</f>
        <v>267.29049859944</v>
      </c>
      <c r="H95" s="18" t="n">
        <f aca="false">IFERROR(H83/INDEX(SEMANAS!$K$6:$K$71,MATCH(H$7,SEMANAS!$B$6:$B$71,0)),0)</f>
        <v>187.470072829132</v>
      </c>
      <c r="I95" s="18" t="n">
        <f aca="false">IFERROR(I83/INDEX(SEMANAS!$K$6:$K$71,MATCH(I$7,SEMANAS!$B$6:$B$71,0)),0)</f>
        <v>187.470072829132</v>
      </c>
      <c r="J95" s="18" t="n">
        <f aca="false">IFERROR(J83/INDEX(SEMANAS!$K$6:$K$71,MATCH(J$7,SEMANAS!$B$6:$B$71,0)),0)</f>
        <v>231.980290162747</v>
      </c>
      <c r="K95" s="18" t="n">
        <f aca="false">IFERROR(K83/INDEX(SEMANAS!$K$6:$K$71,MATCH(K$7,SEMANAS!$B$6:$B$71,0)),0)</f>
        <v>276.200810095951</v>
      </c>
      <c r="L95" s="18" t="n">
        <f aca="false">IFERROR(L83/INDEX(SEMANAS!$K$6:$K$71,MATCH(L$7,SEMANAS!$B$6:$B$71,0)),0)</f>
        <v>0</v>
      </c>
      <c r="M95" s="18" t="n">
        <f aca="false">IFERROR(M83/INDEX(SEMANAS!$K$6:$K$71,MATCH(M$7,SEMANAS!$B$6:$B$71,0)),0)</f>
        <v>35.2451484593837</v>
      </c>
      <c r="N95" s="18" t="n">
        <f aca="false">IFERROR(N83/INDEX(SEMANAS!$K$6:$K$71,MATCH(N$7,SEMANAS!$B$6:$B$71,0)),0)</f>
        <v>35.2451484593837</v>
      </c>
      <c r="O95" s="18" t="n">
        <f aca="false">IFERROR(O83/INDEX(SEMANAS!$K$6:$K$71,MATCH(O$7,SEMANAS!$B$6:$B$71,0)),0)</f>
        <v>35.2451484593837</v>
      </c>
      <c r="P95" s="18" t="n">
        <f aca="false">IFERROR(P83/INDEX(SEMANAS!$K$6:$K$71,MATCH(P$7,SEMANAS!$B$6:$B$71,0)),0)</f>
        <v>0</v>
      </c>
      <c r="Q95" s="18" t="n">
        <f aca="false">IFERROR(Q83/INDEX(SEMANAS!$K$6:$K$71,MATCH(Q$7,SEMANAS!$B$6:$B$71,0)),0)</f>
        <v>0</v>
      </c>
      <c r="R95" s="18" t="n">
        <f aca="false">IFERROR(R83/INDEX(SEMANAS!$K$6:$K$71,MATCH(R$7,SEMANAS!$B$6:$B$71,0)),0)</f>
        <v>0</v>
      </c>
      <c r="S95" s="18" t="n">
        <f aca="false">IFERROR(S83/INDEX(SEMANAS!$K$6:$K$71,MATCH(S$7,SEMANAS!$B$6:$B$71,0)),0)</f>
        <v>0</v>
      </c>
      <c r="T95" s="18" t="n">
        <f aca="false">IFERROR(T83/INDEX(SEMANAS!$K$6:$K$71,MATCH(T$7,SEMANAS!$B$6:$B$71,0)),0)</f>
        <v>0</v>
      </c>
      <c r="U95" s="18" t="n">
        <f aca="false">IFERROR(U83/INDEX(SEMANAS!$K$6:$K$71,MATCH(U$7,SEMANAS!$B$6:$B$71,0)),0)</f>
        <v>0</v>
      </c>
      <c r="V95" s="18" t="n">
        <f aca="false">IFERROR(V83/INDEX(SEMANAS!$K$6:$K$71,MATCH(V$7,SEMANAS!$B$6:$B$71,0)),0)</f>
        <v>0</v>
      </c>
      <c r="W95" s="18" t="n">
        <f aca="false">IFERROR(W83/INDEX(SEMANAS!$K$6:$K$71,MATCH(W$7,SEMANAS!$B$6:$B$71,0)),0)</f>
        <v>0</v>
      </c>
      <c r="X95" s="18" t="n">
        <f aca="false">IFERROR(X83/INDEX(SEMANAS!$K$6:$K$71,MATCH(X$7,SEMANAS!$B$6:$B$71,0)),0)</f>
        <v>0</v>
      </c>
      <c r="Y95" s="18" t="n">
        <f aca="false">IFERROR(Y83/INDEX(SEMANAS!$K$6:$K$71,MATCH(Y$7,SEMANAS!$B$6:$B$71,0)),0)</f>
        <v>0</v>
      </c>
      <c r="Z95" s="18" t="n">
        <f aca="false">IFERROR(Z83/INDEX(SEMANAS!$K$6:$K$71,MATCH(Z$7,SEMANAS!$B$6:$B$71,0)),0)</f>
        <v>12.7080391383377</v>
      </c>
      <c r="AA95" s="18" t="n">
        <f aca="false">IFERROR(AA83/INDEX(SEMANAS!$K$6:$K$71,MATCH(AA$7,SEMANAS!$B$6:$B$71,0)),0)</f>
        <v>80.68247958276</v>
      </c>
      <c r="AB95" s="18" t="n">
        <f aca="false">IFERROR(AB83/INDEX(SEMANAS!$K$6:$K$71,MATCH(AB$7,SEMANAS!$B$6:$B$71,0)),0)</f>
        <v>137.843270968348</v>
      </c>
      <c r="AC95" s="18" t="n">
        <f aca="false">IFERROR(AC83/INDEX(SEMANAS!$K$6:$K$71,MATCH(AC$7,SEMANAS!$B$6:$B$71,0)),0)</f>
        <v>190.574599439776</v>
      </c>
      <c r="AD95" s="18" t="n">
        <f aca="false">IFERROR(AD83/INDEX(SEMANAS!$K$6:$K$71,MATCH(AD$7,SEMANAS!$B$6:$B$71,0)),0)</f>
        <v>190.574599439776</v>
      </c>
      <c r="AE95" s="18" t="n">
        <f aca="false">IFERROR(AE83/INDEX(SEMANAS!$K$6:$K$71,MATCH(AE$7,SEMANAS!$B$6:$B$71,0)),0)</f>
        <v>190.574599439776</v>
      </c>
      <c r="AF95" s="18" t="n">
        <f aca="false">IFERROR(AF83/INDEX(SEMANAS!$K$6:$K$71,MATCH(AF$7,SEMANAS!$B$6:$B$71,0)),0)</f>
        <v>190.574599439776</v>
      </c>
      <c r="AG95" s="18" t="n">
        <f aca="false">IFERROR(AG83/INDEX(SEMANAS!$K$6:$K$71,MATCH(AG$7,SEMANAS!$B$6:$B$71,0)),0)</f>
        <v>498.050948572284</v>
      </c>
      <c r="AH95" s="18" t="n">
        <f aca="false">IFERROR(AH83/INDEX(SEMANAS!$K$6:$K$71,MATCH(AH$7,SEMANAS!$B$6:$B$71,0)),0)</f>
        <v>854.696408783105</v>
      </c>
      <c r="AI95" s="18" t="n">
        <f aca="false">IFERROR(AI83/INDEX(SEMANAS!$K$6:$K$71,MATCH(AI$7,SEMANAS!$B$6:$B$71,0)),0)</f>
        <v>914.494168255073</v>
      </c>
      <c r="AJ95" s="18" t="n">
        <f aca="false">IFERROR(AJ83/INDEX(SEMANAS!$K$6:$K$71,MATCH(AJ$7,SEMANAS!$B$6:$B$71,0)),0)</f>
        <v>974.291927727041</v>
      </c>
      <c r="AK95" s="18" t="n">
        <f aca="false">IFERROR(AK83/INDEX(SEMANAS!$K$6:$K$71,MATCH(AK$7,SEMANAS!$B$6:$B$71,0)),0)</f>
        <v>1060.89092727201</v>
      </c>
      <c r="AL95" s="18" t="n">
        <f aca="false">IFERROR(AL83/INDEX(SEMANAS!$K$6:$K$71,MATCH(AL$7,SEMANAS!$B$6:$B$71,0)),0)</f>
        <v>1256.44059469942</v>
      </c>
      <c r="AM95" s="18" t="n">
        <f aca="false">IFERROR(AM83/INDEX(SEMANAS!$K$6:$K$71,MATCH(AM$7,SEMANAS!$B$6:$B$71,0)),0)</f>
        <v>1201.85703512174</v>
      </c>
      <c r="AN95" s="18" t="n">
        <f aca="false">IFERROR(AN83/INDEX(SEMANAS!$K$6:$K$71,MATCH(AN$7,SEMANAS!$B$6:$B$71,0)),0)</f>
        <v>1147.27347554406</v>
      </c>
      <c r="AO95" s="18" t="n">
        <f aca="false">IFERROR(AO83/INDEX(SEMANAS!$K$6:$K$71,MATCH(AO$7,SEMANAS!$B$6:$B$71,0)),0)</f>
        <v>1092.68991596639</v>
      </c>
      <c r="AP95" s="18" t="n">
        <f aca="false">IFERROR(AP83/INDEX(SEMANAS!$K$6:$K$71,MATCH(AP$7,SEMANAS!$B$6:$B$71,0)),0)</f>
        <v>1055.23425334969</v>
      </c>
      <c r="AQ95" s="18" t="n">
        <f aca="false">IFERROR(AQ83/INDEX(SEMANAS!$K$6:$K$71,MATCH(AQ$7,SEMANAS!$B$6:$B$71,0)),0)</f>
        <v>1006.10456038826</v>
      </c>
      <c r="AR95" s="18" t="n">
        <f aca="false">IFERROR(AR83/INDEX(SEMANAS!$K$6:$K$71,MATCH(AR$7,SEMANAS!$B$6:$B$71,0)),0)</f>
        <v>668.937586439704</v>
      </c>
      <c r="AS95" s="18" t="n">
        <f aca="false">IFERROR(AS83/INDEX(SEMANAS!$K$6:$K$71,MATCH(AS$7,SEMANAS!$B$6:$B$71,0)),0)</f>
        <v>642.124922502334</v>
      </c>
      <c r="AT95" s="18" t="n">
        <f aca="false">IFERROR(AT83/INDEX(SEMANAS!$K$6:$K$71,MATCH(AT$7,SEMANAS!$B$6:$B$71,0)),0)</f>
        <v>504.574383224352</v>
      </c>
      <c r="AU95" s="18" t="n">
        <f aca="false">IFERROR(AU83/INDEX(SEMANAS!$K$6:$K$71,MATCH(AU$7,SEMANAS!$B$6:$B$71,0)),0)</f>
        <v>483.95379417408</v>
      </c>
      <c r="AV95" s="18" t="n">
        <f aca="false">IFERROR(AV83/INDEX(SEMANAS!$K$6:$K$71,MATCH(AV$7,SEMANAS!$B$6:$B$71,0)),0)</f>
        <v>444.574361436883</v>
      </c>
      <c r="AW95" s="18" t="n">
        <f aca="false">IFERROR(AW83/INDEX(SEMANAS!$K$6:$K$71,MATCH(AW$7,SEMANAS!$B$6:$B$71,0)),0)</f>
        <v>405.194928699685</v>
      </c>
      <c r="AX95" s="18" t="n">
        <f aca="false">IFERROR(AX83/INDEX(SEMANAS!$K$6:$K$71,MATCH(AX$7,SEMANAS!$B$6:$B$71,0)),0)</f>
        <v>376.227167426678</v>
      </c>
      <c r="AY95" s="18" t="n">
        <f aca="false">IFERROR(AY83/INDEX(SEMANAS!$K$6:$K$71,MATCH(AY$7,SEMANAS!$B$6:$B$71,0)),0)</f>
        <v>226.344404428438</v>
      </c>
      <c r="AZ95" s="18" t="n">
        <f aca="false">IFERROR(AZ83/INDEX(SEMANAS!$K$6:$K$71,MATCH(AZ$7,SEMANAS!$B$6:$B$71,0)),0)</f>
        <v>203.748699479792</v>
      </c>
      <c r="BA95" s="18" t="n">
        <f aca="false">IFERROR(BA83/INDEX(SEMANAS!$K$6:$K$71,MATCH(BA$7,SEMANAS!$B$6:$B$71,0)),0)</f>
        <v>0</v>
      </c>
      <c r="BB95" s="18" t="n">
        <f aca="false">IFERROR(BB83/INDEX(SEMANAS!$K$6:$K$71,MATCH(BB$7,SEMANAS!$B$6:$B$71,0)),0)</f>
        <v>0</v>
      </c>
      <c r="BC95" s="18" t="n">
        <f aca="false">IFERROR(BC83/INDEX(SEMANAS!$K$6:$K$71,MATCH(BC$7,SEMANAS!$B$6:$B$71,0)),0)</f>
        <v>0</v>
      </c>
      <c r="BD95" s="18" t="n">
        <f aca="false">IFERROR(BD83/INDEX(SEMANAS!$K$6:$K$71,MATCH(BD$7,SEMANAS!$B$6:$B$71,0)),0)</f>
        <v>0</v>
      </c>
      <c r="BE95" s="18" t="n">
        <f aca="false">IFERROR(BE83/INDEX(SEMANAS!$K$6:$K$71,MATCH(BE$7,SEMANAS!$B$6:$B$71,0)),0)</f>
        <v>0</v>
      </c>
      <c r="BF95" s="18" t="n">
        <f aca="false">IFERROR(BF83/INDEX(SEMANAS!$K$6:$K$71,MATCH(BF$7,SEMANAS!$B$6:$B$71,0)),0)</f>
        <v>0</v>
      </c>
      <c r="BG95" s="18" t="n">
        <f aca="false">IFERROR(BG83/INDEX(SEMANAS!$K$6:$K$71,MATCH(BG$7,SEMANAS!$B$6:$B$71,0)),0)</f>
        <v>0</v>
      </c>
      <c r="BH95" s="18" t="n">
        <f aca="false">IFERROR(BH83/INDEX(SEMANAS!$K$6:$K$71,MATCH(BH$7,SEMANAS!$B$6:$B$71,0)),0)</f>
        <v>0</v>
      </c>
      <c r="BI95" s="18" t="n">
        <f aca="false">IFERROR(BI83/INDEX(SEMANAS!$K$6:$K$71,MATCH(BI$7,SEMANAS!$B$6:$B$71,0)),0)</f>
        <v>0</v>
      </c>
      <c r="BJ95" s="18" t="n">
        <f aca="false">IFERROR(BJ83/INDEX(SEMANAS!$K$6:$K$71,MATCH(BJ$7,SEMANAS!$B$6:$B$71,0)),0)</f>
        <v>0</v>
      </c>
      <c r="BK95" s="18" t="n">
        <f aca="false">IFERROR(BK83/INDEX(SEMANAS!$K$6:$K$71,MATCH(BK$7,SEMANAS!$B$6:$B$71,0)),0)</f>
        <v>0</v>
      </c>
      <c r="BL95" s="18" t="n">
        <f aca="false">IFERROR(BL83/INDEX(SEMANAS!$K$6:$K$71,MATCH(BL$7,SEMANAS!$B$6:$B$71,0)),0)</f>
        <v>0</v>
      </c>
      <c r="BM95" s="18" t="n">
        <f aca="false">IFERROR(BM83/INDEX(SEMANAS!$K$6:$K$71,MATCH(BM$7,SEMANAS!$B$6:$B$71,0)),0)</f>
        <v>0</v>
      </c>
      <c r="BN95" s="18" t="n">
        <f aca="false">IFERROR(BN83/INDEX(SEMANAS!$K$6:$K$71,MATCH(BN$7,SEMANAS!$B$6:$B$71,0)),0)</f>
        <v>0</v>
      </c>
      <c r="BO95" s="18" t="n">
        <f aca="false">IFERROR(BO83/INDEX(SEMANAS!$K$6:$K$71,MATCH(BO$7,SEMANAS!$B$6:$B$71,0)),0)</f>
        <v>0</v>
      </c>
      <c r="BP95" s="18" t="n">
        <f aca="false">IFERROR(BP83/INDEX(SEMANAS!$K$6:$K$71,MATCH(BP$7,SEMANAS!$B$6:$B$71,0)),0)</f>
        <v>0</v>
      </c>
      <c r="BQ95" s="18" t="n">
        <f aca="false">MAX(C95:BP95)</f>
        <v>1256.44059469942</v>
      </c>
    </row>
    <row r="96" customFormat="false" ht="15" hidden="false" customHeight="false" outlineLevel="0" collapsed="false">
      <c r="B96" s="15" t="s">
        <v>175</v>
      </c>
      <c r="C96" s="18" t="n">
        <f aca="false">IFERROR(C84/INDEX(SEMANAS!$K$6:$K$71,MATCH(C$7,SEMANAS!$B$6:$B$71,0)),0)</f>
        <v>657.152</v>
      </c>
      <c r="D96" s="18" t="n">
        <f aca="false">IFERROR(D84/INDEX(SEMANAS!$K$6:$K$71,MATCH(D$7,SEMANAS!$B$6:$B$71,0)),0)</f>
        <v>657.44</v>
      </c>
      <c r="E96" s="18" t="n">
        <f aca="false">IFERROR(E84/INDEX(SEMANAS!$K$6:$K$71,MATCH(E$7,SEMANAS!$B$6:$B$71,0)),0)</f>
        <v>657.44</v>
      </c>
      <c r="F96" s="18" t="n">
        <f aca="false">IFERROR(F84/INDEX(SEMANAS!$K$6:$K$71,MATCH(F$7,SEMANAS!$B$6:$B$71,0)),0)</f>
        <v>657.44</v>
      </c>
      <c r="G96" s="18" t="n">
        <f aca="false">IFERROR(G84/INDEX(SEMANAS!$K$6:$K$71,MATCH(G$7,SEMANAS!$B$6:$B$71,0)),0)</f>
        <v>495.776</v>
      </c>
      <c r="H96" s="18" t="n">
        <f aca="false">IFERROR(H84/INDEX(SEMANAS!$K$6:$K$71,MATCH(H$7,SEMANAS!$B$6:$B$71,0)),0)</f>
        <v>374.528</v>
      </c>
      <c r="I96" s="18" t="n">
        <f aca="false">IFERROR(I84/INDEX(SEMANAS!$K$6:$K$71,MATCH(I$7,SEMANAS!$B$6:$B$71,0)),0)</f>
        <v>374.528</v>
      </c>
      <c r="J96" s="18" t="n">
        <f aca="false">IFERROR(J84/INDEX(SEMANAS!$K$6:$K$71,MATCH(J$7,SEMANAS!$B$6:$B$71,0)),0)</f>
        <v>322.784</v>
      </c>
      <c r="K96" s="18" t="n">
        <f aca="false">IFERROR(K84/INDEX(SEMANAS!$K$6:$K$71,MATCH(K$7,SEMANAS!$B$6:$B$71,0)),0)</f>
        <v>215.698</v>
      </c>
      <c r="L96" s="18" t="n">
        <f aca="false">IFERROR(L84/INDEX(SEMANAS!$K$6:$K$71,MATCH(L$7,SEMANAS!$B$6:$B$71,0)),0)</f>
        <v>0</v>
      </c>
      <c r="M96" s="18" t="n">
        <f aca="false">IFERROR(M84/INDEX(SEMANAS!$K$6:$K$71,MATCH(M$7,SEMANAS!$B$6:$B$71,0)),0)</f>
        <v>0</v>
      </c>
      <c r="N96" s="18" t="n">
        <f aca="false">IFERROR(N84/INDEX(SEMANAS!$K$6:$K$71,MATCH(N$7,SEMANAS!$B$6:$B$71,0)),0)</f>
        <v>0</v>
      </c>
      <c r="O96" s="18" t="n">
        <f aca="false">IFERROR(O84/INDEX(SEMANAS!$K$6:$K$71,MATCH(O$7,SEMANAS!$B$6:$B$71,0)),0)</f>
        <v>44.6900958596332</v>
      </c>
      <c r="P96" s="18" t="n">
        <f aca="false">IFERROR(P84/INDEX(SEMANAS!$K$6:$K$71,MATCH(P$7,SEMANAS!$B$6:$B$71,0)),0)</f>
        <v>0</v>
      </c>
      <c r="Q96" s="18" t="n">
        <f aca="false">IFERROR(Q84/INDEX(SEMANAS!$K$6:$K$71,MATCH(Q$7,SEMANAS!$B$6:$B$71,0)),0)</f>
        <v>0</v>
      </c>
      <c r="R96" s="18" t="n">
        <f aca="false">IFERROR(R84/INDEX(SEMANAS!$K$6:$K$71,MATCH(R$7,SEMANAS!$B$6:$B$71,0)),0)</f>
        <v>0</v>
      </c>
      <c r="S96" s="18" t="n">
        <f aca="false">IFERROR(S84/INDEX(SEMANAS!$K$6:$K$71,MATCH(S$7,SEMANAS!$B$6:$B$71,0)),0)</f>
        <v>0</v>
      </c>
      <c r="T96" s="18" t="n">
        <f aca="false">IFERROR(T84/INDEX(SEMANAS!$K$6:$K$71,MATCH(T$7,SEMANAS!$B$6:$B$71,0)),0)</f>
        <v>11.8111500600239</v>
      </c>
      <c r="U96" s="18" t="n">
        <f aca="false">IFERROR(U84/INDEX(SEMANAS!$K$6:$K$71,MATCH(U$7,SEMANAS!$B$6:$B$71,0)),0)</f>
        <v>60.4961344537814</v>
      </c>
      <c r="V96" s="18" t="n">
        <f aca="false">IFERROR(V84/INDEX(SEMANAS!$K$6:$K$71,MATCH(V$7,SEMANAS!$B$6:$B$71,0)),0)</f>
        <v>59.5445921090759</v>
      </c>
      <c r="W96" s="18" t="n">
        <f aca="false">IFERROR(W84/INDEX(SEMANAS!$K$6:$K$71,MATCH(W$7,SEMANAS!$B$6:$B$71,0)),0)</f>
        <v>0</v>
      </c>
      <c r="X96" s="18" t="n">
        <f aca="false">IFERROR(X84/INDEX(SEMANAS!$K$6:$K$71,MATCH(X$7,SEMANAS!$B$6:$B$71,0)),0)</f>
        <v>0</v>
      </c>
      <c r="Y96" s="18" t="n">
        <f aca="false">IFERROR(Y84/INDEX(SEMANAS!$K$6:$K$71,MATCH(Y$7,SEMANAS!$B$6:$B$71,0)),0)</f>
        <v>0</v>
      </c>
      <c r="Z96" s="18" t="n">
        <f aca="false">IFERROR(Z84/INDEX(SEMANAS!$K$6:$K$71,MATCH(Z$7,SEMANAS!$B$6:$B$71,0)),0)</f>
        <v>77.1979926518929</v>
      </c>
      <c r="AA96" s="18" t="n">
        <f aca="false">IFERROR(AA84/INDEX(SEMANAS!$K$6:$K$71,MATCH(AA$7,SEMANAS!$B$6:$B$71,0)),0)</f>
        <v>213.62708496732</v>
      </c>
      <c r="AB96" s="18" t="n">
        <f aca="false">IFERROR(AB84/INDEX(SEMANAS!$K$6:$K$71,MATCH(AB$7,SEMANAS!$B$6:$B$71,0)),0)</f>
        <v>220.311529411764</v>
      </c>
      <c r="AC96" s="18" t="n">
        <f aca="false">IFERROR(AC84/INDEX(SEMANAS!$K$6:$K$71,MATCH(AC$7,SEMANAS!$B$6:$B$71,0)),0)</f>
        <v>272.165019607843</v>
      </c>
      <c r="AD96" s="18" t="n">
        <f aca="false">IFERROR(AD84/INDEX(SEMANAS!$K$6:$K$71,MATCH(AD$7,SEMANAS!$B$6:$B$71,0)),0)</f>
        <v>272.165019607843</v>
      </c>
      <c r="AE96" s="18" t="n">
        <f aca="false">IFERROR(AE84/INDEX(SEMANAS!$K$6:$K$71,MATCH(AE$7,SEMANAS!$B$6:$B$71,0)),0)</f>
        <v>272.165019607843</v>
      </c>
      <c r="AF96" s="18" t="n">
        <f aca="false">IFERROR(AF84/INDEX(SEMANAS!$K$6:$K$71,MATCH(AF$7,SEMANAS!$B$6:$B$71,0)),0)</f>
        <v>272.165019607843</v>
      </c>
      <c r="AG96" s="18" t="n">
        <f aca="false">IFERROR(AG84/INDEX(SEMANAS!$K$6:$K$71,MATCH(AG$7,SEMANAS!$B$6:$B$71,0)),0)</f>
        <v>614.646229691877</v>
      </c>
      <c r="AH96" s="18" t="n">
        <f aca="false">IFERROR(AH84/INDEX(SEMANAS!$K$6:$K$71,MATCH(AH$7,SEMANAS!$B$6:$B$71,0)),0)</f>
        <v>871.507137254902</v>
      </c>
      <c r="AI96" s="18" t="n">
        <f aca="false">IFERROR(AI84/INDEX(SEMANAS!$K$6:$K$71,MATCH(AI$7,SEMANAS!$B$6:$B$71,0)),0)</f>
        <v>871.507137254902</v>
      </c>
      <c r="AJ96" s="18" t="n">
        <f aca="false">IFERROR(AJ84/INDEX(SEMANAS!$K$6:$K$71,MATCH(AJ$7,SEMANAS!$B$6:$B$71,0)),0)</f>
        <v>853.685288515406</v>
      </c>
      <c r="AK96" s="18" t="n">
        <f aca="false">IFERROR(AK84/INDEX(SEMANAS!$K$6:$K$71,MATCH(AK$7,SEMANAS!$B$6:$B$71,0)),0)</f>
        <v>892.313879644165</v>
      </c>
      <c r="AL96" s="18" t="n">
        <f aca="false">IFERROR(AL84/INDEX(SEMANAS!$K$6:$K$71,MATCH(AL$7,SEMANAS!$B$6:$B$71,0)),0)</f>
        <v>1034.74389806002</v>
      </c>
      <c r="AM96" s="18" t="n">
        <f aca="false">IFERROR(AM84/INDEX(SEMANAS!$K$6:$K$71,MATCH(AM$7,SEMANAS!$B$6:$B$71,0)),0)</f>
        <v>960.222859936548</v>
      </c>
      <c r="AN96" s="18" t="n">
        <f aca="false">IFERROR(AN84/INDEX(SEMANAS!$K$6:$K$71,MATCH(AN$7,SEMANAS!$B$6:$B$71,0)),0)</f>
        <v>885.701821813076</v>
      </c>
      <c r="AO96" s="18" t="n">
        <f aca="false">IFERROR(AO84/INDEX(SEMANAS!$K$6:$K$71,MATCH(AO$7,SEMANAS!$B$6:$B$71,0)),0)</f>
        <v>811.180783689603</v>
      </c>
      <c r="AP96" s="18" t="n">
        <f aca="false">IFERROR(AP84/INDEX(SEMANAS!$K$6:$K$71,MATCH(AP$7,SEMANAS!$B$6:$B$71,0)),0)</f>
        <v>845.561873598246</v>
      </c>
      <c r="AQ96" s="18" t="n">
        <f aca="false">IFERROR(AQ84/INDEX(SEMANAS!$K$6:$K$71,MATCH(AQ$7,SEMANAS!$B$6:$B$71,0)),0)</f>
        <v>869.872382438387</v>
      </c>
      <c r="AR96" s="18" t="n">
        <f aca="false">IFERROR(AR84/INDEX(SEMANAS!$K$6:$K$71,MATCH(AR$7,SEMANAS!$B$6:$B$71,0)),0)</f>
        <v>480.919410412441</v>
      </c>
      <c r="AS96" s="18" t="n">
        <f aca="false">IFERROR(AS84/INDEX(SEMANAS!$K$6:$K$71,MATCH(AS$7,SEMANAS!$B$6:$B$71,0)),0)</f>
        <v>452.597571331981</v>
      </c>
      <c r="AT96" s="18" t="n">
        <f aca="false">IFERROR(AT84/INDEX(SEMANAS!$K$6:$K$71,MATCH(AT$7,SEMANAS!$B$6:$B$71,0)),0)</f>
        <v>277.21067134716</v>
      </c>
      <c r="AU96" s="18" t="n">
        <f aca="false">IFERROR(AU84/INDEX(SEMANAS!$K$6:$K$71,MATCH(AU$7,SEMANAS!$B$6:$B$71,0)),0)</f>
        <v>473.55547895296</v>
      </c>
      <c r="AV96" s="18" t="n">
        <f aca="false">IFERROR(AV84/INDEX(SEMANAS!$K$6:$K$71,MATCH(AV$7,SEMANAS!$B$6:$B$71,0)),0)</f>
        <v>592.160352516179</v>
      </c>
      <c r="AW96" s="18" t="n">
        <f aca="false">IFERROR(AW84/INDEX(SEMANAS!$K$6:$K$71,MATCH(AW$7,SEMANAS!$B$6:$B$71,0)),0)</f>
        <v>710.765226079397</v>
      </c>
      <c r="AX96" s="18" t="n">
        <f aca="false">IFERROR(AX84/INDEX(SEMANAS!$K$6:$K$71,MATCH(AX$7,SEMANAS!$B$6:$B$71,0)),0)</f>
        <v>872.980453312359</v>
      </c>
      <c r="AY96" s="18" t="n">
        <f aca="false">IFERROR(AY84/INDEX(SEMANAS!$K$6:$K$71,MATCH(AY$7,SEMANAS!$B$6:$B$71,0)),0)</f>
        <v>1240.73691490389</v>
      </c>
      <c r="AZ96" s="18" t="n">
        <f aca="false">IFERROR(AZ84/INDEX(SEMANAS!$K$6:$K$71,MATCH(AZ$7,SEMANAS!$B$6:$B$71,0)),0)</f>
        <v>1354.77173657877</v>
      </c>
      <c r="BA96" s="18" t="n">
        <f aca="false">IFERROR(BA84/INDEX(SEMANAS!$K$6:$K$71,MATCH(BA$7,SEMANAS!$B$6:$B$71,0)),0)</f>
        <v>1450.36566761325</v>
      </c>
      <c r="BB96" s="18" t="n">
        <f aca="false">IFERROR(BB84/INDEX(SEMANAS!$K$6:$K$71,MATCH(BB$7,SEMANAS!$B$6:$B$71,0)),0)</f>
        <v>1545.95959864773</v>
      </c>
      <c r="BC96" s="18" t="n">
        <f aca="false">IFERROR(BC84/INDEX(SEMANAS!$K$6:$K$71,MATCH(BC$7,SEMANAS!$B$6:$B$71,0)),0)</f>
        <v>1629.11923694719</v>
      </c>
      <c r="BD96" s="18" t="n">
        <f aca="false">IFERROR(BD84/INDEX(SEMANAS!$K$6:$K$71,MATCH(BD$7,SEMANAS!$B$6:$B$71,0)),0)</f>
        <v>1643.86308123249</v>
      </c>
      <c r="BE96" s="18" t="n">
        <f aca="false">IFERROR(BE84/INDEX(SEMANAS!$K$6:$K$71,MATCH(BE$7,SEMANAS!$B$6:$B$71,0)),0)</f>
        <v>1643.86308123249</v>
      </c>
      <c r="BF96" s="18" t="n">
        <f aca="false">IFERROR(BF84/INDEX(SEMANAS!$K$6:$K$71,MATCH(BF$7,SEMANAS!$B$6:$B$71,0)),0)</f>
        <v>1588.40829131653</v>
      </c>
      <c r="BG96" s="18" t="n">
        <f aca="false">IFERROR(BG84/INDEX(SEMANAS!$K$6:$K$71,MATCH(BG$7,SEMANAS!$B$6:$B$71,0)),0)</f>
        <v>1184.07348108899</v>
      </c>
      <c r="BH96" s="18" t="n">
        <f aca="false">IFERROR(BH84/INDEX(SEMANAS!$K$6:$K$71,MATCH(BH$7,SEMANAS!$B$6:$B$71,0)),0)</f>
        <v>683.035107118709</v>
      </c>
      <c r="BI96" s="18" t="n">
        <f aca="false">IFERROR(BI84/INDEX(SEMANAS!$K$6:$K$71,MATCH(BI$7,SEMANAS!$B$6:$B$71,0)),0)</f>
        <v>583.089002994301</v>
      </c>
      <c r="BJ96" s="18" t="n">
        <f aca="false">IFERROR(BJ84/INDEX(SEMANAS!$K$6:$K$71,MATCH(BJ$7,SEMANAS!$B$6:$B$71,0)),0)</f>
        <v>442.699312662996</v>
      </c>
      <c r="BK96" s="18" t="n">
        <f aca="false">IFERROR(BK84/INDEX(SEMANAS!$K$6:$K$71,MATCH(BK$7,SEMANAS!$B$6:$B$71,0)),0)</f>
        <v>267.471448275862</v>
      </c>
      <c r="BL96" s="18" t="n">
        <f aca="false">IFERROR(BL84/INDEX(SEMANAS!$K$6:$K$71,MATCH(BL$7,SEMANAS!$B$6:$B$71,0)),0)</f>
        <v>0</v>
      </c>
      <c r="BM96" s="18" t="n">
        <f aca="false">IFERROR(BM84/INDEX(SEMANAS!$K$6:$K$71,MATCH(BM$7,SEMANAS!$B$6:$B$71,0)),0)</f>
        <v>0</v>
      </c>
      <c r="BN96" s="18" t="n">
        <f aca="false">IFERROR(BN84/INDEX(SEMANAS!$K$6:$K$71,MATCH(BN$7,SEMANAS!$B$6:$B$71,0)),0)</f>
        <v>0</v>
      </c>
      <c r="BO96" s="18" t="n">
        <f aca="false">IFERROR(BO84/INDEX(SEMANAS!$K$6:$K$71,MATCH(BO$7,SEMANAS!$B$6:$B$71,0)),0)</f>
        <v>0</v>
      </c>
      <c r="BP96" s="18" t="n">
        <f aca="false">IFERROR(BP84/INDEX(SEMANAS!$K$6:$K$71,MATCH(BP$7,SEMANAS!$B$6:$B$71,0)),0)</f>
        <v>0</v>
      </c>
      <c r="BQ96" s="18" t="n">
        <f aca="false">MAX(C96:BP96)</f>
        <v>1643.86308123249</v>
      </c>
    </row>
    <row r="97" customFormat="false" ht="15" hidden="false" customHeight="false" outlineLevel="0" collapsed="false">
      <c r="B97" s="15" t="s">
        <v>176</v>
      </c>
      <c r="C97" s="18" t="n">
        <f aca="false">IFERROR(C85/INDEX(SEMANAS!$K$6:$K$71,MATCH(C$7,SEMANAS!$B$6:$B$71,0)),0)</f>
        <v>1010.32628993893</v>
      </c>
      <c r="D97" s="18" t="n">
        <f aca="false">IFERROR(D85/INDEX(SEMANAS!$K$6:$K$71,MATCH(D$7,SEMANAS!$B$6:$B$71,0)),0)</f>
        <v>723.456268540203</v>
      </c>
      <c r="E97" s="18" t="n">
        <f aca="false">IFERROR(E85/INDEX(SEMANAS!$K$6:$K$71,MATCH(E$7,SEMANAS!$B$6:$B$71,0)),0)</f>
        <v>493.08</v>
      </c>
      <c r="F97" s="18" t="n">
        <f aca="false">IFERROR(F85/INDEX(SEMANAS!$K$6:$K$71,MATCH(F$7,SEMANAS!$B$6:$B$71,0)),0)</f>
        <v>459.585</v>
      </c>
      <c r="G97" s="18" t="n">
        <f aca="false">IFERROR(G85/INDEX(SEMANAS!$K$6:$K$71,MATCH(G$7,SEMANAS!$B$6:$B$71,0)),0)</f>
        <v>293.028</v>
      </c>
      <c r="H97" s="18" t="n">
        <f aca="false">IFERROR(H85/INDEX(SEMANAS!$K$6:$K$71,MATCH(H$7,SEMANAS!$B$6:$B$71,0)),0)</f>
        <v>158.004</v>
      </c>
      <c r="I97" s="18" t="n">
        <f aca="false">IFERROR(I85/INDEX(SEMANAS!$K$6:$K$71,MATCH(I$7,SEMANAS!$B$6:$B$71,0)),0)</f>
        <v>112.728</v>
      </c>
      <c r="J97" s="18" t="n">
        <f aca="false">IFERROR(J85/INDEX(SEMANAS!$K$6:$K$71,MATCH(J$7,SEMANAS!$B$6:$B$71,0)),0)</f>
        <v>67.4519999999999</v>
      </c>
      <c r="K97" s="18" t="n">
        <f aca="false">IFERROR(K85/INDEX(SEMANAS!$K$6:$K$71,MATCH(K$7,SEMANAS!$B$6:$B$71,0)),0)</f>
        <v>0</v>
      </c>
      <c r="L97" s="18" t="n">
        <f aca="false">IFERROR(L85/INDEX(SEMANAS!$K$6:$K$71,MATCH(L$7,SEMANAS!$B$6:$B$71,0)),0)</f>
        <v>0</v>
      </c>
      <c r="M97" s="18" t="n">
        <f aca="false">IFERROR(M85/INDEX(SEMANAS!$K$6:$K$71,MATCH(M$7,SEMANAS!$B$6:$B$71,0)),0)</f>
        <v>0</v>
      </c>
      <c r="N97" s="18" t="n">
        <f aca="false">IFERROR(N85/INDEX(SEMANAS!$K$6:$K$71,MATCH(N$7,SEMANAS!$B$6:$B$71,0)),0)</f>
        <v>0</v>
      </c>
      <c r="O97" s="18" t="n">
        <f aca="false">IFERROR(O85/INDEX(SEMANAS!$K$6:$K$71,MATCH(O$7,SEMANAS!$B$6:$B$71,0)),0)</f>
        <v>7.14460907361445</v>
      </c>
      <c r="P97" s="18" t="n">
        <f aca="false">IFERROR(P85/INDEX(SEMANAS!$K$6:$K$71,MATCH(P$7,SEMANAS!$B$6:$B$71,0)),0)</f>
        <v>0</v>
      </c>
      <c r="Q97" s="18" t="n">
        <f aca="false">IFERROR(Q85/INDEX(SEMANAS!$K$6:$K$71,MATCH(Q$7,SEMANAS!$B$6:$B$71,0)),0)</f>
        <v>0</v>
      </c>
      <c r="R97" s="18" t="n">
        <f aca="false">IFERROR(R85/INDEX(SEMANAS!$K$6:$K$71,MATCH(R$7,SEMANAS!$B$6:$B$71,0)),0)</f>
        <v>0</v>
      </c>
      <c r="S97" s="18" t="n">
        <f aca="false">IFERROR(S85/INDEX(SEMANAS!$K$6:$K$71,MATCH(S$7,SEMANAS!$B$6:$B$71,0)),0)</f>
        <v>0</v>
      </c>
      <c r="T97" s="18" t="n">
        <f aca="false">IFERROR(T85/INDEX(SEMANAS!$K$6:$K$71,MATCH(T$7,SEMANAS!$B$6:$B$71,0)),0)</f>
        <v>3.91709963985592</v>
      </c>
      <c r="U97" s="18" t="n">
        <f aca="false">IFERROR(U85/INDEX(SEMANAS!$K$6:$K$71,MATCH(U$7,SEMANAS!$B$6:$B$71,0)),0)</f>
        <v>20.0631932773109</v>
      </c>
      <c r="V97" s="18" t="n">
        <f aca="false">IFERROR(V85/INDEX(SEMANAS!$K$6:$K$71,MATCH(V$7,SEMANAS!$B$6:$B$71,0)),0)</f>
        <v>20.0631932773109</v>
      </c>
      <c r="W97" s="18" t="n">
        <f aca="false">IFERROR(W85/INDEX(SEMANAS!$K$6:$K$71,MATCH(W$7,SEMANAS!$B$6:$B$71,0)),0)</f>
        <v>0</v>
      </c>
      <c r="X97" s="18" t="n">
        <f aca="false">IFERROR(X85/INDEX(SEMANAS!$K$6:$K$71,MATCH(X$7,SEMANAS!$B$6:$B$71,0)),0)</f>
        <v>0</v>
      </c>
      <c r="Y97" s="18" t="n">
        <f aca="false">IFERROR(Y85/INDEX(SEMANAS!$K$6:$K$71,MATCH(Y$7,SEMANAS!$B$6:$B$71,0)),0)</f>
        <v>47.1954509803922</v>
      </c>
      <c r="Z97" s="18" t="n">
        <f aca="false">IFERROR(Z85/INDEX(SEMANAS!$K$6:$K$71,MATCH(Z$7,SEMANAS!$B$6:$B$71,0)),0)</f>
        <v>122.524663815822</v>
      </c>
      <c r="AA97" s="18" t="n">
        <f aca="false">IFERROR(AA85/INDEX(SEMANAS!$K$6:$K$71,MATCH(AA$7,SEMANAS!$B$6:$B$71,0)),0)</f>
        <v>246.656577030812</v>
      </c>
      <c r="AB97" s="18" t="n">
        <f aca="false">IFERROR(AB85/INDEX(SEMANAS!$K$6:$K$71,MATCH(AB$7,SEMANAS!$B$6:$B$71,0)),0)</f>
        <v>257.936577030812</v>
      </c>
      <c r="AC97" s="18" t="n">
        <f aca="false">IFERROR(AC85/INDEX(SEMANAS!$K$6:$K$71,MATCH(AC$7,SEMANAS!$B$6:$B$71,0)),0)</f>
        <v>377.493215686274</v>
      </c>
      <c r="AD97" s="18" t="n">
        <f aca="false">IFERROR(AD85/INDEX(SEMANAS!$K$6:$K$71,MATCH(AD$7,SEMANAS!$B$6:$B$71,0)),0)</f>
        <v>430.676013071895</v>
      </c>
      <c r="AE97" s="18" t="n">
        <f aca="false">IFERROR(AE85/INDEX(SEMANAS!$K$6:$K$71,MATCH(AE$7,SEMANAS!$B$6:$B$71,0)),0)</f>
        <v>447.715195078031</v>
      </c>
      <c r="AF97" s="18" t="n">
        <f aca="false">IFERROR(AF85/INDEX(SEMANAS!$K$6:$K$71,MATCH(AF$7,SEMANAS!$B$6:$B$71,0)),0)</f>
        <v>430.810678271308</v>
      </c>
      <c r="AG97" s="18" t="n">
        <f aca="false">IFERROR(AG85/INDEX(SEMANAS!$K$6:$K$71,MATCH(AG$7,SEMANAS!$B$6:$B$71,0)),0)</f>
        <v>1077.60902845053</v>
      </c>
      <c r="AH97" s="18" t="n">
        <f aca="false">IFERROR(AH85/INDEX(SEMANAS!$K$6:$K$71,MATCH(AH$7,SEMANAS!$B$6:$B$71,0)),0)</f>
        <v>1630.61462954071</v>
      </c>
      <c r="AI97" s="18" t="n">
        <f aca="false">IFERROR(AI85/INDEX(SEMANAS!$K$6:$K$71,MATCH(AI$7,SEMANAS!$B$6:$B$71,0)),0)</f>
        <v>1642.97520571562</v>
      </c>
      <c r="AJ97" s="18" t="n">
        <f aca="false">IFERROR(AJ85/INDEX(SEMANAS!$K$6:$K$71,MATCH(AJ$7,SEMANAS!$B$6:$B$71,0)),0)</f>
        <v>1622.14499384455</v>
      </c>
      <c r="AK97" s="18" t="n">
        <f aca="false">IFERROR(AK85/INDEX(SEMANAS!$K$6:$K$71,MATCH(AK$7,SEMANAS!$B$6:$B$71,0)),0)</f>
        <v>1578.41382971485</v>
      </c>
      <c r="AL97" s="18" t="n">
        <f aca="false">IFERROR(AL85/INDEX(SEMANAS!$K$6:$K$71,MATCH(AL$7,SEMANAS!$B$6:$B$71,0)),0)</f>
        <v>1868.12020639503</v>
      </c>
      <c r="AM97" s="18" t="n">
        <f aca="false">IFERROR(AM85/INDEX(SEMANAS!$K$6:$K$71,MATCH(AM$7,SEMANAS!$B$6:$B$71,0)),0)</f>
        <v>1832.10956952834</v>
      </c>
      <c r="AN97" s="18" t="n">
        <f aca="false">IFERROR(AN85/INDEX(SEMANAS!$K$6:$K$71,MATCH(AN$7,SEMANAS!$B$6:$B$71,0)),0)</f>
        <v>1727.42249568687</v>
      </c>
      <c r="AO97" s="18" t="n">
        <f aca="false">IFERROR(AO85/INDEX(SEMANAS!$K$6:$K$71,MATCH(AO$7,SEMANAS!$B$6:$B$71,0)),0)</f>
        <v>1622.7354218454</v>
      </c>
      <c r="AP97" s="18" t="n">
        <f aca="false">IFERROR(AP85/INDEX(SEMANAS!$K$6:$K$71,MATCH(AP$7,SEMANAS!$B$6:$B$71,0)),0)</f>
        <v>1310.7165235613</v>
      </c>
      <c r="AQ97" s="18" t="n">
        <f aca="false">IFERROR(AQ85/INDEX(SEMANAS!$K$6:$K$71,MATCH(AQ$7,SEMANAS!$B$6:$B$71,0)),0)</f>
        <v>1251.82457003066</v>
      </c>
      <c r="AR97" s="18" t="n">
        <f aca="false">IFERROR(AR85/INDEX(SEMANAS!$K$6:$K$71,MATCH(AR$7,SEMANAS!$B$6:$B$71,0)),0)</f>
        <v>718.934752052545</v>
      </c>
      <c r="AS97" s="18" t="n">
        <f aca="false">IFERROR(AS85/INDEX(SEMANAS!$K$6:$K$71,MATCH(AS$7,SEMANAS!$B$6:$B$71,0)),0)</f>
        <v>831.678859203452</v>
      </c>
      <c r="AT97" s="18" t="n">
        <f aca="false">IFERROR(AT85/INDEX(SEMANAS!$K$6:$K$71,MATCH(AT$7,SEMANAS!$B$6:$B$71,0)),0)</f>
        <v>692.982155635588</v>
      </c>
      <c r="AU97" s="18" t="n">
        <f aca="false">IFERROR(AU85/INDEX(SEMANAS!$K$6:$K$71,MATCH(AU$7,SEMANAS!$B$6:$B$71,0)),0)</f>
        <v>755.100205602241</v>
      </c>
      <c r="AV97" s="18" t="n">
        <f aca="false">IFERROR(AV85/INDEX(SEMANAS!$K$6:$K$71,MATCH(AV$7,SEMANAS!$B$6:$B$71,0)),0)</f>
        <v>808.822438281979</v>
      </c>
      <c r="AW97" s="18" t="n">
        <f aca="false">IFERROR(AW85/INDEX(SEMANAS!$K$6:$K$71,MATCH(AW$7,SEMANAS!$B$6:$B$71,0)),0)</f>
        <v>868.176550793651</v>
      </c>
      <c r="AX97" s="18" t="n">
        <f aca="false">IFERROR(AX85/INDEX(SEMANAS!$K$6:$K$71,MATCH(AX$7,SEMANAS!$B$6:$B$71,0)),0)</f>
        <v>987.510906762705</v>
      </c>
      <c r="AY97" s="18" t="n">
        <f aca="false">IFERROR(AY85/INDEX(SEMANAS!$K$6:$K$71,MATCH(AY$7,SEMANAS!$B$6:$B$71,0)),0)</f>
        <v>1262.93487917834</v>
      </c>
      <c r="AZ97" s="18" t="n">
        <f aca="false">IFERROR(AZ85/INDEX(SEMANAS!$K$6:$K$71,MATCH(AZ$7,SEMANAS!$B$6:$B$71,0)),0)</f>
        <v>1225.11246834734</v>
      </c>
      <c r="BA97" s="18" t="n">
        <f aca="false">IFERROR(BA85/INDEX(SEMANAS!$K$6:$K$71,MATCH(BA$7,SEMANAS!$B$6:$B$71,0)),0)</f>
        <v>1361.12152717087</v>
      </c>
      <c r="BB97" s="18" t="n">
        <f aca="false">IFERROR(BB85/INDEX(SEMANAS!$K$6:$K$71,MATCH(BB$7,SEMANAS!$B$6:$B$71,0)),0)</f>
        <v>1451.9217859944</v>
      </c>
      <c r="BC97" s="18" t="n">
        <f aca="false">IFERROR(BC85/INDEX(SEMANAS!$K$6:$K$71,MATCH(BC$7,SEMANAS!$B$6:$B$71,0)),0)</f>
        <v>1502.55165106042</v>
      </c>
      <c r="BD97" s="18" t="n">
        <f aca="false">IFERROR(BD85/INDEX(SEMANAS!$K$6:$K$71,MATCH(BD$7,SEMANAS!$B$6:$B$71,0)),0)</f>
        <v>1478.62189355742</v>
      </c>
      <c r="BE97" s="18" t="n">
        <f aca="false">IFERROR(BE85/INDEX(SEMANAS!$K$6:$K$71,MATCH(BE$7,SEMANAS!$B$6:$B$71,0)),0)</f>
        <v>1430.87765826331</v>
      </c>
      <c r="BF97" s="18" t="n">
        <f aca="false">IFERROR(BF85/INDEX(SEMANAS!$K$6:$K$71,MATCH(BF$7,SEMANAS!$B$6:$B$71,0)),0)</f>
        <v>1383.13342296919</v>
      </c>
      <c r="BG97" s="18" t="n">
        <f aca="false">IFERROR(BG85/INDEX(SEMANAS!$K$6:$K$71,MATCH(BG$7,SEMANAS!$B$6:$B$71,0)),0)</f>
        <v>1072.21059943978</v>
      </c>
      <c r="BH97" s="18" t="n">
        <f aca="false">IFERROR(BH85/INDEX(SEMANAS!$K$6:$K$71,MATCH(BH$7,SEMANAS!$B$6:$B$71,0)),0)</f>
        <v>675.207932773109</v>
      </c>
      <c r="BI97" s="18" t="n">
        <f aca="false">IFERROR(BI85/INDEX(SEMANAS!$K$6:$K$71,MATCH(BI$7,SEMANAS!$B$6:$B$71,0)),0)</f>
        <v>600.886050420168</v>
      </c>
      <c r="BJ97" s="18" t="n">
        <f aca="false">IFERROR(BJ85/INDEX(SEMANAS!$K$6:$K$71,MATCH(BJ$7,SEMANAS!$B$6:$B$71,0)),0)</f>
        <v>510.424336134454</v>
      </c>
      <c r="BK97" s="18" t="n">
        <f aca="false">IFERROR(BK85/INDEX(SEMANAS!$K$6:$K$71,MATCH(BK$7,SEMANAS!$B$6:$B$71,0)),0)</f>
        <v>412.776806722689</v>
      </c>
      <c r="BL97" s="18" t="n">
        <f aca="false">IFERROR(BL85/INDEX(SEMANAS!$K$6:$K$71,MATCH(BL$7,SEMANAS!$B$6:$B$71,0)),0)</f>
        <v>0</v>
      </c>
      <c r="BM97" s="18" t="n">
        <f aca="false">IFERROR(BM85/INDEX(SEMANAS!$K$6:$K$71,MATCH(BM$7,SEMANAS!$B$6:$B$71,0)),0)</f>
        <v>0</v>
      </c>
      <c r="BN97" s="18" t="n">
        <f aca="false">IFERROR(BN85/INDEX(SEMANAS!$K$6:$K$71,MATCH(BN$7,SEMANAS!$B$6:$B$71,0)),0)</f>
        <v>0</v>
      </c>
      <c r="BO97" s="18" t="n">
        <f aca="false">IFERROR(BO85/INDEX(SEMANAS!$K$6:$K$71,MATCH(BO$7,SEMANAS!$B$6:$B$71,0)),0)</f>
        <v>0</v>
      </c>
      <c r="BP97" s="18" t="n">
        <f aca="false">IFERROR(BP85/INDEX(SEMANAS!$K$6:$K$71,MATCH(BP$7,SEMANAS!$B$6:$B$71,0)),0)</f>
        <v>0</v>
      </c>
      <c r="BQ97" s="18" t="n">
        <f aca="false">MAX(C97:BP97)</f>
        <v>1868.12020639503</v>
      </c>
    </row>
    <row r="98" customFormat="false" ht="15" hidden="false" customHeight="false" outlineLevel="0" collapsed="false">
      <c r="B98" s="15" t="s">
        <v>177</v>
      </c>
      <c r="C98" s="18" t="n">
        <f aca="false">IFERROR(C86/INDEX(SEMANAS!$K$6:$K$71,MATCH(C$7,SEMANAS!$B$6:$B$71,0)),0)</f>
        <v>1175.07590678176</v>
      </c>
      <c r="D98" s="18" t="n">
        <f aca="false">IFERROR(D86/INDEX(SEMANAS!$K$6:$K$71,MATCH(D$7,SEMANAS!$B$6:$B$71,0)),0)</f>
        <v>1038.9234244809</v>
      </c>
      <c r="E98" s="18" t="n">
        <f aca="false">IFERROR(E86/INDEX(SEMANAS!$K$6:$K$71,MATCH(E$7,SEMANAS!$B$6:$B$71,0)),0)</f>
        <v>688.737300609133</v>
      </c>
      <c r="F98" s="18" t="n">
        <f aca="false">IFERROR(F86/INDEX(SEMANAS!$K$6:$K$71,MATCH(F$7,SEMANAS!$B$6:$B$71,0)),0)</f>
        <v>396.498857142857</v>
      </c>
      <c r="G98" s="18" t="n">
        <f aca="false">IFERROR(G86/INDEX(SEMANAS!$K$6:$K$71,MATCH(G$7,SEMANAS!$B$6:$B$71,0)),0)</f>
        <v>179.692965186074</v>
      </c>
      <c r="H98" s="18" t="n">
        <f aca="false">IFERROR(H86/INDEX(SEMANAS!$K$6:$K$71,MATCH(H$7,SEMANAS!$B$6:$B$71,0)),0)</f>
        <v>0</v>
      </c>
      <c r="I98" s="18" t="n">
        <f aca="false">IFERROR(I86/INDEX(SEMANAS!$K$6:$K$71,MATCH(I$7,SEMANAS!$B$6:$B$71,0)),0)</f>
        <v>0</v>
      </c>
      <c r="J98" s="18" t="n">
        <f aca="false">IFERROR(J86/INDEX(SEMANAS!$K$6:$K$71,MATCH(J$7,SEMANAS!$B$6:$B$71,0)),0)</f>
        <v>0</v>
      </c>
      <c r="K98" s="18" t="n">
        <f aca="false">IFERROR(K86/INDEX(SEMANAS!$K$6:$K$71,MATCH(K$7,SEMANAS!$B$6:$B$71,0)),0)</f>
        <v>0</v>
      </c>
      <c r="L98" s="18" t="n">
        <f aca="false">IFERROR(L86/INDEX(SEMANAS!$K$6:$K$71,MATCH(L$7,SEMANAS!$B$6:$B$71,0)),0)</f>
        <v>0</v>
      </c>
      <c r="M98" s="18" t="n">
        <f aca="false">IFERROR(M86/INDEX(SEMANAS!$K$6:$K$71,MATCH(M$7,SEMANAS!$B$6:$B$71,0)),0)</f>
        <v>0</v>
      </c>
      <c r="N98" s="18" t="n">
        <f aca="false">IFERROR(N86/INDEX(SEMANAS!$K$6:$K$71,MATCH(N$7,SEMANAS!$B$6:$B$71,0)),0)</f>
        <v>0</v>
      </c>
      <c r="O98" s="18" t="n">
        <f aca="false">IFERROR(O86/INDEX(SEMANAS!$K$6:$K$71,MATCH(O$7,SEMANAS!$B$6:$B$71,0)),0)</f>
        <v>7.14460907361445</v>
      </c>
      <c r="P98" s="18" t="n">
        <f aca="false">IFERROR(P86/INDEX(SEMANAS!$K$6:$K$71,MATCH(P$7,SEMANAS!$B$6:$B$71,0)),0)</f>
        <v>0</v>
      </c>
      <c r="Q98" s="18" t="n">
        <f aca="false">IFERROR(Q86/INDEX(SEMANAS!$K$6:$K$71,MATCH(Q$7,SEMANAS!$B$6:$B$71,0)),0)</f>
        <v>0</v>
      </c>
      <c r="R98" s="18" t="n">
        <f aca="false">IFERROR(R86/INDEX(SEMANAS!$K$6:$K$71,MATCH(R$7,SEMANAS!$B$6:$B$71,0)),0)</f>
        <v>0</v>
      </c>
      <c r="S98" s="18" t="n">
        <f aca="false">IFERROR(S86/INDEX(SEMANAS!$K$6:$K$71,MATCH(S$7,SEMANAS!$B$6:$B$71,0)),0)</f>
        <v>0</v>
      </c>
      <c r="T98" s="18" t="n">
        <f aca="false">IFERROR(T86/INDEX(SEMANAS!$K$6:$K$71,MATCH(T$7,SEMANAS!$B$6:$B$71,0)),0)</f>
        <v>27.4169411764704</v>
      </c>
      <c r="U98" s="18" t="n">
        <f aca="false">IFERROR(U86/INDEX(SEMANAS!$K$6:$K$71,MATCH(U$7,SEMANAS!$B$6:$B$71,0)),0)</f>
        <v>140.428235294117</v>
      </c>
      <c r="V98" s="18" t="n">
        <f aca="false">IFERROR(V86/INDEX(SEMANAS!$K$6:$K$71,MATCH(V$7,SEMANAS!$B$6:$B$71,0)),0)</f>
        <v>140.428235294117</v>
      </c>
      <c r="W98" s="18" t="n">
        <f aca="false">IFERROR(W86/INDEX(SEMANAS!$K$6:$K$71,MATCH(W$7,SEMANAS!$B$6:$B$71,0)),0)</f>
        <v>57.8824242863668</v>
      </c>
      <c r="X98" s="18" t="n">
        <f aca="false">IFERROR(X86/INDEX(SEMANAS!$K$6:$K$71,MATCH(X$7,SEMANAS!$B$6:$B$71,0)),0)</f>
        <v>0</v>
      </c>
      <c r="Y98" s="18" t="n">
        <f aca="false">IFERROR(Y86/INDEX(SEMANAS!$K$6:$K$71,MATCH(Y$7,SEMANAS!$B$6:$B$71,0)),0)</f>
        <v>0</v>
      </c>
      <c r="Z98" s="18" t="n">
        <f aca="false">IFERROR(Z86/INDEX(SEMANAS!$K$6:$K$71,MATCH(Z$7,SEMANAS!$B$6:$B$71,0)),0)</f>
        <v>27.5773274327482</v>
      </c>
      <c r="AA98" s="18" t="n">
        <f aca="false">IFERROR(AA86/INDEX(SEMANAS!$K$6:$K$71,MATCH(AA$7,SEMANAS!$B$6:$B$71,0)),0)</f>
        <v>87.8571064803303</v>
      </c>
      <c r="AB98" s="18" t="n">
        <f aca="false">IFERROR(AB86/INDEX(SEMANAS!$K$6:$K$71,MATCH(AB$7,SEMANAS!$B$6:$B$71,0)),0)</f>
        <v>140.489299719888</v>
      </c>
      <c r="AC98" s="18" t="n">
        <f aca="false">IFERROR(AC86/INDEX(SEMANAS!$K$6:$K$71,MATCH(AC$7,SEMANAS!$B$6:$B$71,0)),0)</f>
        <v>178.283697478991</v>
      </c>
      <c r="AD98" s="18" t="n">
        <f aca="false">IFERROR(AD86/INDEX(SEMANAS!$K$6:$K$71,MATCH(AD$7,SEMANAS!$B$6:$B$71,0)),0)</f>
        <v>178.283697478991</v>
      </c>
      <c r="AE98" s="18" t="n">
        <f aca="false">IFERROR(AE86/INDEX(SEMANAS!$K$6:$K$71,MATCH(AE$7,SEMANAS!$B$6:$B$71,0)),0)</f>
        <v>198.275352163087</v>
      </c>
      <c r="AF98" s="18" t="n">
        <f aca="false">IFERROR(AF86/INDEX(SEMANAS!$K$6:$K$71,MATCH(AF$7,SEMANAS!$B$6:$B$71,0)),0)</f>
        <v>243.896403361344</v>
      </c>
      <c r="AG98" s="18" t="n">
        <f aca="false">IFERROR(AG86/INDEX(SEMANAS!$K$6:$K$71,MATCH(AG$7,SEMANAS!$B$6:$B$71,0)),0)</f>
        <v>790.597625045079</v>
      </c>
      <c r="AH98" s="18" t="n">
        <f aca="false">IFERROR(AH86/INDEX(SEMANAS!$K$6:$K$71,MATCH(AH$7,SEMANAS!$B$6:$B$71,0)),0)</f>
        <v>1608.92218425148</v>
      </c>
      <c r="AI98" s="18" t="n">
        <f aca="false">IFERROR(AI86/INDEX(SEMANAS!$K$6:$K$71,MATCH(AI$7,SEMANAS!$B$6:$B$71,0)),0)</f>
        <v>1797.48296624946</v>
      </c>
      <c r="AJ98" s="18" t="n">
        <f aca="false">IFERROR(AJ86/INDEX(SEMANAS!$K$6:$K$71,MATCH(AJ$7,SEMANAS!$B$6:$B$71,0)),0)</f>
        <v>1927.83122205463</v>
      </c>
      <c r="AK98" s="18" t="n">
        <f aca="false">IFERROR(AK86/INDEX(SEMANAS!$K$6:$K$71,MATCH(AK$7,SEMANAS!$B$6:$B$71,0)),0)</f>
        <v>2206.15329471893</v>
      </c>
      <c r="AL98" s="18" t="n">
        <f aca="false">IFERROR(AL86/INDEX(SEMANAS!$K$6:$K$71,MATCH(AL$7,SEMANAS!$B$6:$B$71,0)),0)</f>
        <v>2774.97595798319</v>
      </c>
      <c r="AM98" s="18" t="n">
        <f aca="false">IFERROR(AM86/INDEX(SEMANAS!$K$6:$K$71,MATCH(AM$7,SEMANAS!$B$6:$B$71,0)),0)</f>
        <v>2713.21916499677</v>
      </c>
      <c r="AN98" s="18" t="n">
        <f aca="false">IFERROR(AN86/INDEX(SEMANAS!$K$6:$K$71,MATCH(AN$7,SEMANAS!$B$6:$B$71,0)),0)</f>
        <v>2648.70810730446</v>
      </c>
      <c r="AO98" s="18" t="n">
        <f aca="false">IFERROR(AO86/INDEX(SEMANAS!$K$6:$K$71,MATCH(AO$7,SEMANAS!$B$6:$B$71,0)),0)</f>
        <v>2357.50012944409</v>
      </c>
      <c r="AP98" s="18" t="n">
        <f aca="false">IFERROR(AP86/INDEX(SEMANAS!$K$6:$K$71,MATCH(AP$7,SEMANAS!$B$6:$B$71,0)),0)</f>
        <v>2410.33267532288</v>
      </c>
      <c r="AQ98" s="18" t="n">
        <f aca="false">IFERROR(AQ86/INDEX(SEMANAS!$K$6:$K$71,MATCH(AQ$7,SEMANAS!$B$6:$B$71,0)),0)</f>
        <v>2369.13192055284</v>
      </c>
      <c r="AR98" s="18" t="n">
        <f aca="false">IFERROR(AR86/INDEX(SEMANAS!$K$6:$K$71,MATCH(AR$7,SEMANAS!$B$6:$B$71,0)),0)</f>
        <v>2050.65884220355</v>
      </c>
      <c r="AS98" s="18" t="n">
        <f aca="false">IFERROR(AS86/INDEX(SEMANAS!$K$6:$K$71,MATCH(AS$7,SEMANAS!$B$6:$B$71,0)),0)</f>
        <v>1790.94096234049</v>
      </c>
      <c r="AT98" s="18" t="n">
        <f aca="false">IFERROR(AT86/INDEX(SEMANAS!$K$6:$K$71,MATCH(AT$7,SEMANAS!$B$6:$B$71,0)),0)</f>
        <v>1892.82968867547</v>
      </c>
      <c r="AU98" s="18" t="n">
        <f aca="false">IFERROR(AU86/INDEX(SEMANAS!$K$6:$K$71,MATCH(AU$7,SEMANAS!$B$6:$B$71,0)),0)</f>
        <v>1859.0372227202</v>
      </c>
      <c r="AV98" s="18" t="n">
        <f aca="false">IFERROR(AV86/INDEX(SEMANAS!$K$6:$K$71,MATCH(AV$7,SEMANAS!$B$6:$B$71,0)),0)</f>
        <v>1768.62658437597</v>
      </c>
      <c r="AW98" s="18" t="n">
        <f aca="false">IFERROR(AW86/INDEX(SEMANAS!$K$6:$K$71,MATCH(AW$7,SEMANAS!$B$6:$B$71,0)),0)</f>
        <v>1680.74460021894</v>
      </c>
      <c r="AX98" s="18" t="n">
        <f aca="false">IFERROR(AX86/INDEX(SEMANAS!$K$6:$K$71,MATCH(AX$7,SEMANAS!$B$6:$B$71,0)),0)</f>
        <v>1468.88051295307</v>
      </c>
      <c r="AY98" s="18" t="n">
        <f aca="false">IFERROR(AY86/INDEX(SEMANAS!$K$6:$K$71,MATCH(AY$7,SEMANAS!$B$6:$B$71,0)),0)</f>
        <v>1516.68734474387</v>
      </c>
      <c r="AZ98" s="18" t="n">
        <f aca="false">IFERROR(AZ86/INDEX(SEMANAS!$K$6:$K$71,MATCH(AZ$7,SEMANAS!$B$6:$B$71,0)),0)</f>
        <v>1447.47179831074</v>
      </c>
      <c r="BA98" s="18" t="n">
        <f aca="false">IFERROR(BA86/INDEX(SEMANAS!$K$6:$K$71,MATCH(BA$7,SEMANAS!$B$6:$B$71,0)),0)</f>
        <v>1046.75914811166</v>
      </c>
      <c r="BB98" s="18" t="n">
        <f aca="false">IFERROR(BB86/INDEX(SEMANAS!$K$6:$K$71,MATCH(BB$7,SEMANAS!$B$6:$B$71,0)),0)</f>
        <v>1161.16341991693</v>
      </c>
      <c r="BC98" s="18" t="n">
        <f aca="false">IFERROR(BC86/INDEX(SEMANAS!$K$6:$K$71,MATCH(BC$7,SEMANAS!$B$6:$B$71,0)),0)</f>
        <v>1233.81566970788</v>
      </c>
      <c r="BD98" s="18" t="n">
        <f aca="false">IFERROR(BD86/INDEX(SEMANAS!$K$6:$K$71,MATCH(BD$7,SEMANAS!$B$6:$B$71,0)),0)</f>
        <v>1308.5160929972</v>
      </c>
      <c r="BE98" s="18" t="n">
        <f aca="false">IFERROR(BE86/INDEX(SEMANAS!$K$6:$K$71,MATCH(BE$7,SEMANAS!$B$6:$B$71,0)),0)</f>
        <v>1312.77602240896</v>
      </c>
      <c r="BF98" s="18" t="n">
        <f aca="false">IFERROR(BF86/INDEX(SEMANAS!$K$6:$K$71,MATCH(BF$7,SEMANAS!$B$6:$B$71,0)),0)</f>
        <v>1312.77602240896</v>
      </c>
      <c r="BG98" s="18" t="n">
        <f aca="false">IFERROR(BG86/INDEX(SEMANAS!$K$6:$K$71,MATCH(BG$7,SEMANAS!$B$6:$B$71,0)),0)</f>
        <v>1078.53990236094</v>
      </c>
      <c r="BH98" s="18" t="n">
        <f aca="false">IFERROR(BH86/INDEX(SEMANAS!$K$6:$K$71,MATCH(BH$7,SEMANAS!$B$6:$B$71,0)),0)</f>
        <v>726.712605042017</v>
      </c>
      <c r="BI98" s="18" t="n">
        <f aca="false">IFERROR(BI86/INDEX(SEMANAS!$K$6:$K$71,MATCH(BI$7,SEMANAS!$B$6:$B$71,0)),0)</f>
        <v>665.225254129237</v>
      </c>
      <c r="BJ98" s="18" t="n">
        <f aca="false">IFERROR(BJ86/INDEX(SEMANAS!$K$6:$K$71,MATCH(BJ$7,SEMANAS!$B$6:$B$71,0)),0)</f>
        <v>585.980824108954</v>
      </c>
      <c r="BK98" s="18" t="n">
        <f aca="false">IFERROR(BK86/INDEX(SEMANAS!$K$6:$K$71,MATCH(BK$7,SEMANAS!$B$6:$B$71,0)),0)</f>
        <v>506.73639408867</v>
      </c>
      <c r="BL98" s="18" t="n">
        <f aca="false">IFERROR(BL86/INDEX(SEMANAS!$K$6:$K$71,MATCH(BL$7,SEMANAS!$B$6:$B$71,0)),0)</f>
        <v>8.4056078431373</v>
      </c>
      <c r="BM98" s="18" t="n">
        <f aca="false">IFERROR(BM86/INDEX(SEMANAS!$K$6:$K$71,MATCH(BM$7,SEMANAS!$B$6:$B$71,0)),0)</f>
        <v>0</v>
      </c>
      <c r="BN98" s="18" t="n">
        <f aca="false">IFERROR(BN86/INDEX(SEMANAS!$K$6:$K$71,MATCH(BN$7,SEMANAS!$B$6:$B$71,0)),0)</f>
        <v>0</v>
      </c>
      <c r="BO98" s="18" t="n">
        <f aca="false">IFERROR(BO86/INDEX(SEMANAS!$K$6:$K$71,MATCH(BO$7,SEMANAS!$B$6:$B$71,0)),0)</f>
        <v>0</v>
      </c>
      <c r="BP98" s="18" t="n">
        <f aca="false">IFERROR(BP86/INDEX(SEMANAS!$K$6:$K$71,MATCH(BP$7,SEMANAS!$B$6:$B$71,0)),0)</f>
        <v>0</v>
      </c>
      <c r="BQ98" s="18" t="n">
        <f aca="false">MAX(C98:BP98)</f>
        <v>2774.97595798319</v>
      </c>
    </row>
    <row r="99" customFormat="false" ht="15" hidden="false" customHeight="false" outlineLevel="0" collapsed="false">
      <c r="B99" s="15" t="s">
        <v>178</v>
      </c>
      <c r="C99" s="18" t="n">
        <f aca="false">IFERROR(C87/INDEX(SEMANAS!$K$6:$K$71,MATCH(C$7,SEMANAS!$B$6:$B$71,0)),0)</f>
        <v>0</v>
      </c>
      <c r="D99" s="18" t="n">
        <f aca="false">IFERROR(D87/INDEX(SEMANAS!$K$6:$K$71,MATCH(D$7,SEMANAS!$B$6:$B$71,0)),0)</f>
        <v>0</v>
      </c>
      <c r="E99" s="18" t="n">
        <f aca="false">IFERROR(E87/INDEX(SEMANAS!$K$6:$K$71,MATCH(E$7,SEMANAS!$B$6:$B$71,0)),0)</f>
        <v>0</v>
      </c>
      <c r="F99" s="18" t="n">
        <f aca="false">IFERROR(F87/INDEX(SEMANAS!$K$6:$K$71,MATCH(F$7,SEMANAS!$B$6:$B$71,0)),0)</f>
        <v>0</v>
      </c>
      <c r="G99" s="18" t="n">
        <f aca="false">IFERROR(G87/INDEX(SEMANAS!$K$6:$K$71,MATCH(G$7,SEMANAS!$B$6:$B$71,0)),0)</f>
        <v>0</v>
      </c>
      <c r="H99" s="18" t="n">
        <f aca="false">IFERROR(H87/INDEX(SEMANAS!$K$6:$K$71,MATCH(H$7,SEMANAS!$B$6:$B$71,0)),0)</f>
        <v>0</v>
      </c>
      <c r="I99" s="18" t="n">
        <f aca="false">IFERROR(I87/INDEX(SEMANAS!$K$6:$K$71,MATCH(I$7,SEMANAS!$B$6:$B$71,0)),0)</f>
        <v>0</v>
      </c>
      <c r="J99" s="18" t="n">
        <f aca="false">IFERROR(J87/INDEX(SEMANAS!$K$6:$K$71,MATCH(J$7,SEMANAS!$B$6:$B$71,0)),0)</f>
        <v>0</v>
      </c>
      <c r="K99" s="18" t="n">
        <f aca="false">IFERROR(K87/INDEX(SEMANAS!$K$6:$K$71,MATCH(K$7,SEMANAS!$B$6:$B$71,0)),0)</f>
        <v>0</v>
      </c>
      <c r="L99" s="18" t="n">
        <f aca="false">IFERROR(L87/INDEX(SEMANAS!$K$6:$K$71,MATCH(L$7,SEMANAS!$B$6:$B$71,0)),0)</f>
        <v>0</v>
      </c>
      <c r="M99" s="18" t="n">
        <f aca="false">IFERROR(M87/INDEX(SEMANAS!$K$6:$K$71,MATCH(M$7,SEMANAS!$B$6:$B$71,0)),0)</f>
        <v>0</v>
      </c>
      <c r="N99" s="18" t="n">
        <f aca="false">IFERROR(N87/INDEX(SEMANAS!$K$6:$K$71,MATCH(N$7,SEMANAS!$B$6:$B$71,0)),0)</f>
        <v>0</v>
      </c>
      <c r="O99" s="18" t="n">
        <f aca="false">IFERROR(O87/INDEX(SEMANAS!$K$6:$K$71,MATCH(O$7,SEMANAS!$B$6:$B$71,0)),0)</f>
        <v>0</v>
      </c>
      <c r="P99" s="18" t="n">
        <f aca="false">IFERROR(P87/INDEX(SEMANAS!$K$6:$K$71,MATCH(P$7,SEMANAS!$B$6:$B$71,0)),0)</f>
        <v>0</v>
      </c>
      <c r="Q99" s="18" t="n">
        <f aca="false">IFERROR(Q87/INDEX(SEMANAS!$K$6:$K$71,MATCH(Q$7,SEMANAS!$B$6:$B$71,0)),0)</f>
        <v>0</v>
      </c>
      <c r="R99" s="18" t="n">
        <f aca="false">IFERROR(R87/INDEX(SEMANAS!$K$6:$K$71,MATCH(R$7,SEMANAS!$B$6:$B$71,0)),0)</f>
        <v>0</v>
      </c>
      <c r="S99" s="18" t="n">
        <f aca="false">IFERROR(S87/INDEX(SEMANAS!$K$6:$K$71,MATCH(S$7,SEMANAS!$B$6:$B$71,0)),0)</f>
        <v>0</v>
      </c>
      <c r="T99" s="18" t="n">
        <f aca="false">IFERROR(T87/INDEX(SEMANAS!$K$6:$K$71,MATCH(T$7,SEMANAS!$B$6:$B$71,0)),0)</f>
        <v>0</v>
      </c>
      <c r="U99" s="18" t="n">
        <f aca="false">IFERROR(U87/INDEX(SEMANAS!$K$6:$K$71,MATCH(U$7,SEMANAS!$B$6:$B$71,0)),0)</f>
        <v>0</v>
      </c>
      <c r="V99" s="18" t="n">
        <f aca="false">IFERROR(V87/INDEX(SEMANAS!$K$6:$K$71,MATCH(V$7,SEMANAS!$B$6:$B$71,0)),0)</f>
        <v>0</v>
      </c>
      <c r="W99" s="18" t="n">
        <f aca="false">IFERROR(W87/INDEX(SEMANAS!$K$6:$K$71,MATCH(W$7,SEMANAS!$B$6:$B$71,0)),0)</f>
        <v>0</v>
      </c>
      <c r="X99" s="18" t="n">
        <f aca="false">IFERROR(X87/INDEX(SEMANAS!$K$6:$K$71,MATCH(X$7,SEMANAS!$B$6:$B$71,0)),0)</f>
        <v>0</v>
      </c>
      <c r="Y99" s="18" t="n">
        <f aca="false">IFERROR(Y87/INDEX(SEMANAS!$K$6:$K$71,MATCH(Y$7,SEMANAS!$B$6:$B$71,0)),0)</f>
        <v>0</v>
      </c>
      <c r="Z99" s="18" t="n">
        <f aca="false">IFERROR(Z87/INDEX(SEMANAS!$K$6:$K$71,MATCH(Z$7,SEMANAS!$B$6:$B$71,0)),0)</f>
        <v>0</v>
      </c>
      <c r="AA99" s="18" t="n">
        <f aca="false">IFERROR(AA87/INDEX(SEMANAS!$K$6:$K$71,MATCH(AA$7,SEMANAS!$B$6:$B$71,0)),0)</f>
        <v>0</v>
      </c>
      <c r="AB99" s="18" t="n">
        <f aca="false">IFERROR(AB87/INDEX(SEMANAS!$K$6:$K$71,MATCH(AB$7,SEMANAS!$B$6:$B$71,0)),0)</f>
        <v>0</v>
      </c>
      <c r="AC99" s="18" t="n">
        <f aca="false">IFERROR(AC87/INDEX(SEMANAS!$K$6:$K$71,MATCH(AC$7,SEMANAS!$B$6:$B$71,0)),0)</f>
        <v>0</v>
      </c>
      <c r="AD99" s="18" t="n">
        <f aca="false">IFERROR(AD87/INDEX(SEMANAS!$K$6:$K$71,MATCH(AD$7,SEMANAS!$B$6:$B$71,0)),0)</f>
        <v>0</v>
      </c>
      <c r="AE99" s="18" t="n">
        <f aca="false">IFERROR(AE87/INDEX(SEMANAS!$K$6:$K$71,MATCH(AE$7,SEMANAS!$B$6:$B$71,0)),0)</f>
        <v>0</v>
      </c>
      <c r="AF99" s="18" t="n">
        <f aca="false">IFERROR(AF87/INDEX(SEMANAS!$K$6:$K$71,MATCH(AF$7,SEMANAS!$B$6:$B$71,0)),0)</f>
        <v>0</v>
      </c>
      <c r="AG99" s="18" t="n">
        <f aca="false">IFERROR(AG87/INDEX(SEMANAS!$K$6:$K$71,MATCH(AG$7,SEMANAS!$B$6:$B$71,0)),0)</f>
        <v>0</v>
      </c>
      <c r="AH99" s="18" t="n">
        <f aca="false">IFERROR(AH87/INDEX(SEMANAS!$K$6:$K$71,MATCH(AH$7,SEMANAS!$B$6:$B$71,0)),0)</f>
        <v>0</v>
      </c>
      <c r="AI99" s="18" t="n">
        <f aca="false">IFERROR(AI87/INDEX(SEMANAS!$K$6:$K$71,MATCH(AI$7,SEMANAS!$B$6:$B$71,0)),0)</f>
        <v>0</v>
      </c>
      <c r="AJ99" s="18" t="n">
        <f aca="false">IFERROR(AJ87/INDEX(SEMANAS!$K$6:$K$71,MATCH(AJ$7,SEMANAS!$B$6:$B$71,0)),0)</f>
        <v>0</v>
      </c>
      <c r="AK99" s="18" t="n">
        <f aca="false">IFERROR(AK87/INDEX(SEMANAS!$K$6:$K$71,MATCH(AK$7,SEMANAS!$B$6:$B$71,0)),0)</f>
        <v>0</v>
      </c>
      <c r="AL99" s="18" t="n">
        <f aca="false">IFERROR(AL87/INDEX(SEMANAS!$K$6:$K$71,MATCH(AL$7,SEMANAS!$B$6:$B$71,0)),0)</f>
        <v>0</v>
      </c>
      <c r="AM99" s="18" t="n">
        <f aca="false">IFERROR(AM87/INDEX(SEMANAS!$K$6:$K$71,MATCH(AM$7,SEMANAS!$B$6:$B$71,0)),0)</f>
        <v>0</v>
      </c>
      <c r="AN99" s="18" t="n">
        <f aca="false">IFERROR(AN87/INDEX(SEMANAS!$K$6:$K$71,MATCH(AN$7,SEMANAS!$B$6:$B$71,0)),0)</f>
        <v>0</v>
      </c>
      <c r="AO99" s="18" t="n">
        <f aca="false">IFERROR(AO87/INDEX(SEMANAS!$K$6:$K$71,MATCH(AO$7,SEMANAS!$B$6:$B$71,0)),0)</f>
        <v>0</v>
      </c>
      <c r="AP99" s="18" t="n">
        <f aca="false">IFERROR(AP87/INDEX(SEMANAS!$K$6:$K$71,MATCH(AP$7,SEMANAS!$B$6:$B$71,0)),0)</f>
        <v>0</v>
      </c>
      <c r="AQ99" s="18" t="n">
        <f aca="false">IFERROR(AQ87/INDEX(SEMANAS!$K$6:$K$71,MATCH(AQ$7,SEMANAS!$B$6:$B$71,0)),0)</f>
        <v>0</v>
      </c>
      <c r="AR99" s="18" t="n">
        <f aca="false">IFERROR(AR87/INDEX(SEMANAS!$K$6:$K$71,MATCH(AR$7,SEMANAS!$B$6:$B$71,0)),0)</f>
        <v>0</v>
      </c>
      <c r="AS99" s="18" t="n">
        <f aca="false">IFERROR(AS87/INDEX(SEMANAS!$K$6:$K$71,MATCH(AS$7,SEMANAS!$B$6:$B$71,0)),0)</f>
        <v>0</v>
      </c>
      <c r="AT99" s="18" t="n">
        <f aca="false">IFERROR(AT87/INDEX(SEMANAS!$K$6:$K$71,MATCH(AT$7,SEMANAS!$B$6:$B$71,0)),0)</f>
        <v>0</v>
      </c>
      <c r="AU99" s="18" t="n">
        <f aca="false">IFERROR(AU87/INDEX(SEMANAS!$K$6:$K$71,MATCH(AU$7,SEMANAS!$B$6:$B$71,0)),0)</f>
        <v>0</v>
      </c>
      <c r="AV99" s="18" t="n">
        <f aca="false">IFERROR(AV87/INDEX(SEMANAS!$K$6:$K$71,MATCH(AV$7,SEMANAS!$B$6:$B$71,0)),0)</f>
        <v>0</v>
      </c>
      <c r="AW99" s="18" t="n">
        <f aca="false">IFERROR(AW87/INDEX(SEMANAS!$K$6:$K$71,MATCH(AW$7,SEMANAS!$B$6:$B$71,0)),0)</f>
        <v>0</v>
      </c>
      <c r="AX99" s="18" t="n">
        <f aca="false">IFERROR(AX87/INDEX(SEMANAS!$K$6:$K$71,MATCH(AX$7,SEMANAS!$B$6:$B$71,0)),0)</f>
        <v>0</v>
      </c>
      <c r="AY99" s="18" t="n">
        <f aca="false">IFERROR(AY87/INDEX(SEMANAS!$K$6:$K$71,MATCH(AY$7,SEMANAS!$B$6:$B$71,0)),0)</f>
        <v>0</v>
      </c>
      <c r="AZ99" s="18" t="n">
        <f aca="false">IFERROR(AZ87/INDEX(SEMANAS!$K$6:$K$71,MATCH(AZ$7,SEMANAS!$B$6:$B$71,0)),0)</f>
        <v>0</v>
      </c>
      <c r="BA99" s="18" t="n">
        <f aca="false">IFERROR(BA87/INDEX(SEMANAS!$K$6:$K$71,MATCH(BA$7,SEMANAS!$B$6:$B$71,0)),0)</f>
        <v>0</v>
      </c>
      <c r="BB99" s="18" t="n">
        <f aca="false">IFERROR(BB87/INDEX(SEMANAS!$K$6:$K$71,MATCH(BB$7,SEMANAS!$B$6:$B$71,0)),0)</f>
        <v>0</v>
      </c>
      <c r="BC99" s="18" t="n">
        <f aca="false">IFERROR(BC87/INDEX(SEMANAS!$K$6:$K$71,MATCH(BC$7,SEMANAS!$B$6:$B$71,0)),0)</f>
        <v>0</v>
      </c>
      <c r="BD99" s="18" t="n">
        <f aca="false">IFERROR(BD87/INDEX(SEMANAS!$K$6:$K$71,MATCH(BD$7,SEMANAS!$B$6:$B$71,0)),0)</f>
        <v>0</v>
      </c>
      <c r="BE99" s="18" t="n">
        <f aca="false">IFERROR(BE87/INDEX(SEMANAS!$K$6:$K$71,MATCH(BE$7,SEMANAS!$B$6:$B$71,0)),0)</f>
        <v>0</v>
      </c>
      <c r="BF99" s="18" t="n">
        <f aca="false">IFERROR(BF87/INDEX(SEMANAS!$K$6:$K$71,MATCH(BF$7,SEMANAS!$B$6:$B$71,0)),0)</f>
        <v>0</v>
      </c>
      <c r="BG99" s="18" t="n">
        <f aca="false">IFERROR(BG87/INDEX(SEMANAS!$K$6:$K$71,MATCH(BG$7,SEMANAS!$B$6:$B$71,0)),0)</f>
        <v>0</v>
      </c>
      <c r="BH99" s="18" t="n">
        <f aca="false">IFERROR(BH87/INDEX(SEMANAS!$K$6:$K$71,MATCH(BH$7,SEMANAS!$B$6:$B$71,0)),0)</f>
        <v>0</v>
      </c>
      <c r="BI99" s="18" t="n">
        <f aca="false">IFERROR(BI87/INDEX(SEMANAS!$K$6:$K$71,MATCH(BI$7,SEMANAS!$B$6:$B$71,0)),0)</f>
        <v>0</v>
      </c>
      <c r="BJ99" s="18" t="n">
        <f aca="false">IFERROR(BJ87/INDEX(SEMANAS!$K$6:$K$71,MATCH(BJ$7,SEMANAS!$B$6:$B$71,0)),0)</f>
        <v>0</v>
      </c>
      <c r="BK99" s="18" t="n">
        <f aca="false">IFERROR(BK87/INDEX(SEMANAS!$K$6:$K$71,MATCH(BK$7,SEMANAS!$B$6:$B$71,0)),0)</f>
        <v>0</v>
      </c>
      <c r="BL99" s="18" t="n">
        <f aca="false">IFERROR(BL87/INDEX(SEMANAS!$K$6:$K$71,MATCH(BL$7,SEMANAS!$B$6:$B$71,0)),0)</f>
        <v>0</v>
      </c>
      <c r="BM99" s="18" t="n">
        <f aca="false">IFERROR(BM87/INDEX(SEMANAS!$K$6:$K$71,MATCH(BM$7,SEMANAS!$B$6:$B$71,0)),0)</f>
        <v>0</v>
      </c>
      <c r="BN99" s="18" t="n">
        <f aca="false">IFERROR(BN87/INDEX(SEMANAS!$K$6:$K$71,MATCH(BN$7,SEMANAS!$B$6:$B$71,0)),0)</f>
        <v>0</v>
      </c>
      <c r="BO99" s="18" t="n">
        <f aca="false">IFERROR(BO87/INDEX(SEMANAS!$K$6:$K$71,MATCH(BO$7,SEMANAS!$B$6:$B$71,0)),0)</f>
        <v>0</v>
      </c>
      <c r="BP99" s="18" t="n">
        <f aca="false">IFERROR(BP87/INDEX(SEMANAS!$K$6:$K$71,MATCH(BP$7,SEMANAS!$B$6:$B$71,0)),0)</f>
        <v>0</v>
      </c>
      <c r="BQ99" s="18" t="n">
        <f aca="false">MAX(C99:BP99)</f>
        <v>0</v>
      </c>
    </row>
    <row r="102" customFormat="false" ht="15" hidden="false" customHeight="false" outlineLevel="0" collapsed="false">
      <c r="B102" s="3" t="s">
        <v>608</v>
      </c>
    </row>
    <row r="103" customFormat="false" ht="15" hidden="false" customHeight="false" outlineLevel="0" collapsed="false">
      <c r="B103" s="14" t="s">
        <v>187</v>
      </c>
      <c r="C103" s="14" t="n">
        <v>1</v>
      </c>
      <c r="D103" s="14" t="n">
        <v>2</v>
      </c>
      <c r="E103" s="14" t="n">
        <v>3</v>
      </c>
      <c r="F103" s="14" t="n">
        <v>4</v>
      </c>
      <c r="G103" s="14" t="n">
        <v>5</v>
      </c>
      <c r="H103" s="14" t="n">
        <v>6</v>
      </c>
      <c r="I103" s="14" t="n">
        <v>7</v>
      </c>
      <c r="J103" s="14" t="n">
        <v>8</v>
      </c>
      <c r="K103" s="14" t="n">
        <v>9</v>
      </c>
      <c r="L103" s="14" t="n">
        <v>10</v>
      </c>
      <c r="M103" s="14" t="n">
        <v>11</v>
      </c>
      <c r="N103" s="14" t="n">
        <v>12</v>
      </c>
      <c r="O103" s="14" t="n">
        <v>13</v>
      </c>
      <c r="P103" s="14" t="n">
        <v>14</v>
      </c>
      <c r="Q103" s="14" t="n">
        <v>15</v>
      </c>
      <c r="R103" s="14" t="n">
        <v>16</v>
      </c>
      <c r="S103" s="14" t="n">
        <v>17</v>
      </c>
      <c r="T103" s="14" t="n">
        <v>18</v>
      </c>
      <c r="U103" s="14" t="n">
        <v>19</v>
      </c>
      <c r="V103" s="14" t="n">
        <v>20</v>
      </c>
      <c r="W103" s="14" t="n">
        <v>21</v>
      </c>
      <c r="X103" s="14" t="n">
        <v>22</v>
      </c>
      <c r="Y103" s="14" t="n">
        <v>23</v>
      </c>
      <c r="Z103" s="14" t="n">
        <v>24</v>
      </c>
      <c r="AA103" s="14" t="n">
        <v>25</v>
      </c>
      <c r="AB103" s="14" t="n">
        <v>26</v>
      </c>
      <c r="AC103" s="14" t="n">
        <v>27</v>
      </c>
      <c r="AD103" s="14" t="n">
        <v>28</v>
      </c>
      <c r="AE103" s="14" t="n">
        <v>29</v>
      </c>
      <c r="AF103" s="14" t="n">
        <v>30</v>
      </c>
      <c r="AG103" s="14" t="n">
        <v>31</v>
      </c>
      <c r="AH103" s="14" t="n">
        <v>32</v>
      </c>
      <c r="AI103" s="14" t="n">
        <v>33</v>
      </c>
      <c r="AJ103" s="14" t="n">
        <v>34</v>
      </c>
      <c r="AK103" s="14" t="n">
        <v>35</v>
      </c>
      <c r="AL103" s="14" t="n">
        <v>36</v>
      </c>
      <c r="AM103" s="14" t="n">
        <v>37</v>
      </c>
      <c r="AN103" s="14" t="n">
        <v>38</v>
      </c>
      <c r="AO103" s="14" t="n">
        <v>39</v>
      </c>
      <c r="AP103" s="14" t="n">
        <v>40</v>
      </c>
      <c r="AQ103" s="14" t="n">
        <v>41</v>
      </c>
      <c r="AR103" s="14" t="n">
        <v>42</v>
      </c>
      <c r="AS103" s="14" t="n">
        <v>43</v>
      </c>
      <c r="AT103" s="14" t="n">
        <v>44</v>
      </c>
      <c r="AU103" s="14" t="n">
        <v>45</v>
      </c>
      <c r="AV103" s="14" t="n">
        <v>46</v>
      </c>
      <c r="AW103" s="14" t="n">
        <v>47</v>
      </c>
      <c r="AX103" s="14" t="n">
        <v>48</v>
      </c>
      <c r="AY103" s="14" t="n">
        <v>49</v>
      </c>
      <c r="AZ103" s="14" t="n">
        <v>50</v>
      </c>
      <c r="BA103" s="14" t="n">
        <v>51</v>
      </c>
      <c r="BB103" s="14" t="n">
        <v>52</v>
      </c>
      <c r="BC103" s="14" t="n">
        <v>53</v>
      </c>
      <c r="BD103" s="14" t="n">
        <v>54</v>
      </c>
      <c r="BE103" s="14" t="n">
        <v>55</v>
      </c>
      <c r="BF103" s="14" t="n">
        <v>56</v>
      </c>
      <c r="BG103" s="14" t="n">
        <v>57</v>
      </c>
      <c r="BH103" s="14" t="n">
        <v>58</v>
      </c>
      <c r="BI103" s="14" t="n">
        <v>59</v>
      </c>
      <c r="BJ103" s="14" t="n">
        <v>60</v>
      </c>
      <c r="BK103" s="14" t="n">
        <v>61</v>
      </c>
      <c r="BL103" s="14" t="n">
        <v>62</v>
      </c>
      <c r="BM103" s="14" t="n">
        <v>63</v>
      </c>
      <c r="BN103" s="14" t="n">
        <v>64</v>
      </c>
      <c r="BO103" s="14" t="n">
        <v>65</v>
      </c>
      <c r="BP103" s="14" t="n">
        <v>66</v>
      </c>
      <c r="BQ103" s="14" t="s">
        <v>601</v>
      </c>
    </row>
    <row r="104" customFormat="false" ht="15" hidden="false" customHeight="false" outlineLevel="0" collapsed="false">
      <c r="B104" s="15" t="s">
        <v>171</v>
      </c>
      <c r="C104" s="18" t="n">
        <f aca="false">CADASTRO_TRECHOS_CANAL!$K$6</f>
        <v>702.214285714286</v>
      </c>
      <c r="D104" s="18" t="n">
        <f aca="false">CADASTRO_TRECHOS_CANAL!$K$6</f>
        <v>702.214285714286</v>
      </c>
      <c r="E104" s="18" t="n">
        <f aca="false">CADASTRO_TRECHOS_CANAL!$K$6</f>
        <v>702.214285714286</v>
      </c>
      <c r="F104" s="18" t="n">
        <f aca="false">CADASTRO_TRECHOS_CANAL!$K$6</f>
        <v>702.214285714286</v>
      </c>
      <c r="G104" s="18" t="n">
        <f aca="false">CADASTRO_TRECHOS_CANAL!$K$6</f>
        <v>702.214285714286</v>
      </c>
      <c r="H104" s="18" t="n">
        <f aca="false">CADASTRO_TRECHOS_CANAL!$K$6</f>
        <v>702.214285714286</v>
      </c>
      <c r="I104" s="18" t="n">
        <f aca="false">CADASTRO_TRECHOS_CANAL!$K$6</f>
        <v>702.214285714286</v>
      </c>
      <c r="J104" s="18" t="n">
        <f aca="false">CADASTRO_TRECHOS_CANAL!$K$6</f>
        <v>702.214285714286</v>
      </c>
      <c r="K104" s="18" t="n">
        <f aca="false">CADASTRO_TRECHOS_CANAL!$K$6</f>
        <v>702.214285714286</v>
      </c>
      <c r="L104" s="18" t="n">
        <f aca="false">CADASTRO_TRECHOS_CANAL!$K$6</f>
        <v>702.214285714286</v>
      </c>
      <c r="M104" s="18" t="n">
        <f aca="false">CADASTRO_TRECHOS_CANAL!$K$6</f>
        <v>702.214285714286</v>
      </c>
      <c r="N104" s="18" t="n">
        <f aca="false">CADASTRO_TRECHOS_CANAL!$K$6</f>
        <v>702.214285714286</v>
      </c>
      <c r="O104" s="18" t="n">
        <f aca="false">CADASTRO_TRECHOS_CANAL!$K$6</f>
        <v>702.214285714286</v>
      </c>
      <c r="P104" s="18" t="n">
        <f aca="false">CADASTRO_TRECHOS_CANAL!$K$6</f>
        <v>702.214285714286</v>
      </c>
      <c r="Q104" s="18" t="n">
        <f aca="false">CADASTRO_TRECHOS_CANAL!$K$6</f>
        <v>702.214285714286</v>
      </c>
      <c r="R104" s="18" t="n">
        <f aca="false">CADASTRO_TRECHOS_CANAL!$K$6</f>
        <v>702.214285714286</v>
      </c>
      <c r="S104" s="18" t="n">
        <f aca="false">CADASTRO_TRECHOS_CANAL!$K$6</f>
        <v>702.214285714286</v>
      </c>
      <c r="T104" s="18" t="n">
        <f aca="false">CADASTRO_TRECHOS_CANAL!$K$6</f>
        <v>702.214285714286</v>
      </c>
      <c r="U104" s="18" t="n">
        <f aca="false">CADASTRO_TRECHOS_CANAL!$K$6</f>
        <v>702.214285714286</v>
      </c>
      <c r="V104" s="18" t="n">
        <f aca="false">CADASTRO_TRECHOS_CANAL!$K$6</f>
        <v>702.214285714286</v>
      </c>
      <c r="W104" s="18" t="n">
        <f aca="false">CADASTRO_TRECHOS_CANAL!$K$6</f>
        <v>702.214285714286</v>
      </c>
      <c r="X104" s="18" t="n">
        <f aca="false">CADASTRO_TRECHOS_CANAL!$K$6</f>
        <v>702.214285714286</v>
      </c>
      <c r="Y104" s="18" t="n">
        <f aca="false">CADASTRO_TRECHOS_CANAL!$K$6</f>
        <v>702.214285714286</v>
      </c>
      <c r="Z104" s="18" t="n">
        <f aca="false">CADASTRO_TRECHOS_CANAL!$K$6</f>
        <v>702.214285714286</v>
      </c>
      <c r="AA104" s="18" t="n">
        <f aca="false">CADASTRO_TRECHOS_CANAL!$K$6</f>
        <v>702.214285714286</v>
      </c>
      <c r="AB104" s="18" t="n">
        <f aca="false">CADASTRO_TRECHOS_CANAL!$K$6</f>
        <v>702.214285714286</v>
      </c>
      <c r="AC104" s="18" t="n">
        <f aca="false">CADASTRO_TRECHOS_CANAL!$K$6</f>
        <v>702.214285714286</v>
      </c>
      <c r="AD104" s="18" t="n">
        <f aca="false">CADASTRO_TRECHOS_CANAL!$K$6</f>
        <v>702.214285714286</v>
      </c>
      <c r="AE104" s="18" t="n">
        <f aca="false">CADASTRO_TRECHOS_CANAL!$K$6</f>
        <v>702.214285714286</v>
      </c>
      <c r="AF104" s="18" t="n">
        <f aca="false">CADASTRO_TRECHOS_CANAL!$K$6</f>
        <v>702.214285714286</v>
      </c>
      <c r="AG104" s="18" t="n">
        <f aca="false">CADASTRO_TRECHOS_CANAL!$K$6</f>
        <v>702.214285714286</v>
      </c>
      <c r="AH104" s="18" t="n">
        <f aca="false">CADASTRO_TRECHOS_CANAL!$K$6</f>
        <v>702.214285714286</v>
      </c>
      <c r="AI104" s="18" t="n">
        <f aca="false">CADASTRO_TRECHOS_CANAL!$K$6</f>
        <v>702.214285714286</v>
      </c>
      <c r="AJ104" s="18" t="n">
        <f aca="false">CADASTRO_TRECHOS_CANAL!$K$6</f>
        <v>702.214285714286</v>
      </c>
      <c r="AK104" s="18" t="n">
        <f aca="false">CADASTRO_TRECHOS_CANAL!$K$6</f>
        <v>702.214285714286</v>
      </c>
      <c r="AL104" s="18" t="n">
        <f aca="false">CADASTRO_TRECHOS_CANAL!$K$6</f>
        <v>702.214285714286</v>
      </c>
      <c r="AM104" s="18" t="n">
        <f aca="false">CADASTRO_TRECHOS_CANAL!$K$6</f>
        <v>702.214285714286</v>
      </c>
      <c r="AN104" s="18" t="n">
        <f aca="false">CADASTRO_TRECHOS_CANAL!$K$6</f>
        <v>702.214285714286</v>
      </c>
      <c r="AO104" s="18" t="n">
        <f aca="false">CADASTRO_TRECHOS_CANAL!$K$6</f>
        <v>702.214285714286</v>
      </c>
      <c r="AP104" s="18" t="n">
        <f aca="false">CADASTRO_TRECHOS_CANAL!$K$6</f>
        <v>702.214285714286</v>
      </c>
      <c r="AQ104" s="18" t="n">
        <f aca="false">CADASTRO_TRECHOS_CANAL!$K$6</f>
        <v>702.214285714286</v>
      </c>
      <c r="AR104" s="18" t="n">
        <f aca="false">CADASTRO_TRECHOS_CANAL!$K$6</f>
        <v>702.214285714286</v>
      </c>
      <c r="AS104" s="18" t="n">
        <f aca="false">CADASTRO_TRECHOS_CANAL!$K$6</f>
        <v>702.214285714286</v>
      </c>
      <c r="AT104" s="18" t="n">
        <f aca="false">CADASTRO_TRECHOS_CANAL!$K$6</f>
        <v>702.214285714286</v>
      </c>
      <c r="AU104" s="18" t="n">
        <f aca="false">CADASTRO_TRECHOS_CANAL!$K$6</f>
        <v>702.214285714286</v>
      </c>
      <c r="AV104" s="18" t="n">
        <f aca="false">CADASTRO_TRECHOS_CANAL!$K$6</f>
        <v>702.214285714286</v>
      </c>
      <c r="AW104" s="18" t="n">
        <f aca="false">CADASTRO_TRECHOS_CANAL!$K$6</f>
        <v>702.214285714286</v>
      </c>
      <c r="AX104" s="18" t="n">
        <f aca="false">CADASTRO_TRECHOS_CANAL!$K$6</f>
        <v>702.214285714286</v>
      </c>
      <c r="AY104" s="18" t="n">
        <f aca="false">CADASTRO_TRECHOS_CANAL!$K$6</f>
        <v>702.214285714286</v>
      </c>
      <c r="AZ104" s="18" t="n">
        <f aca="false">CADASTRO_TRECHOS_CANAL!$K$6</f>
        <v>702.214285714286</v>
      </c>
      <c r="BA104" s="18" t="n">
        <f aca="false">CADASTRO_TRECHOS_CANAL!$K$6</f>
        <v>702.214285714286</v>
      </c>
      <c r="BB104" s="18" t="n">
        <f aca="false">CADASTRO_TRECHOS_CANAL!$K$6</f>
        <v>702.214285714286</v>
      </c>
      <c r="BC104" s="18" t="n">
        <f aca="false">CADASTRO_TRECHOS_CANAL!$K$6</f>
        <v>702.214285714286</v>
      </c>
      <c r="BD104" s="18" t="n">
        <f aca="false">CADASTRO_TRECHOS_CANAL!$K$6</f>
        <v>702.214285714286</v>
      </c>
      <c r="BE104" s="18" t="n">
        <f aca="false">CADASTRO_TRECHOS_CANAL!$K$6</f>
        <v>702.214285714286</v>
      </c>
      <c r="BF104" s="18" t="n">
        <f aca="false">CADASTRO_TRECHOS_CANAL!$K$6</f>
        <v>702.214285714286</v>
      </c>
      <c r="BG104" s="18" t="n">
        <f aca="false">CADASTRO_TRECHOS_CANAL!$K$6</f>
        <v>702.214285714286</v>
      </c>
      <c r="BH104" s="18" t="n">
        <f aca="false">CADASTRO_TRECHOS_CANAL!$K$6</f>
        <v>702.214285714286</v>
      </c>
      <c r="BI104" s="18" t="n">
        <f aca="false">CADASTRO_TRECHOS_CANAL!$K$6</f>
        <v>702.214285714286</v>
      </c>
      <c r="BJ104" s="18" t="n">
        <f aca="false">CADASTRO_TRECHOS_CANAL!$K$6</f>
        <v>702.214285714286</v>
      </c>
      <c r="BK104" s="18" t="n">
        <f aca="false">CADASTRO_TRECHOS_CANAL!$K$6</f>
        <v>702.214285714286</v>
      </c>
      <c r="BL104" s="18" t="n">
        <f aca="false">CADASTRO_TRECHOS_CANAL!$K$6</f>
        <v>702.214285714286</v>
      </c>
      <c r="BM104" s="18" t="n">
        <f aca="false">CADASTRO_TRECHOS_CANAL!$K$6</f>
        <v>702.214285714286</v>
      </c>
      <c r="BN104" s="18" t="n">
        <f aca="false">CADASTRO_TRECHOS_CANAL!$K$6</f>
        <v>702.214285714286</v>
      </c>
      <c r="BO104" s="18" t="n">
        <f aca="false">CADASTRO_TRECHOS_CANAL!$K$6</f>
        <v>702.214285714286</v>
      </c>
      <c r="BP104" s="18" t="n">
        <f aca="false">CADASTRO_TRECHOS_CANAL!$K$6</f>
        <v>702.214285714286</v>
      </c>
      <c r="BQ104" s="18" t="n">
        <f aca="false">MAX(C104:BP104)</f>
        <v>702.214285714286</v>
      </c>
    </row>
    <row r="105" customFormat="false" ht="15" hidden="false" customHeight="false" outlineLevel="0" collapsed="false">
      <c r="B105" s="15" t="s">
        <v>172</v>
      </c>
      <c r="C105" s="18" t="n">
        <f aca="false">CADASTRO_TRECHOS_CANAL!$K$7</f>
        <v>1433.21428571429</v>
      </c>
      <c r="D105" s="18" t="n">
        <f aca="false">CADASTRO_TRECHOS_CANAL!$K$7</f>
        <v>1433.21428571429</v>
      </c>
      <c r="E105" s="18" t="n">
        <f aca="false">CADASTRO_TRECHOS_CANAL!$K$7</f>
        <v>1433.21428571429</v>
      </c>
      <c r="F105" s="18" t="n">
        <f aca="false">CADASTRO_TRECHOS_CANAL!$K$7</f>
        <v>1433.21428571429</v>
      </c>
      <c r="G105" s="18" t="n">
        <f aca="false">CADASTRO_TRECHOS_CANAL!$K$7</f>
        <v>1433.21428571429</v>
      </c>
      <c r="H105" s="18" t="n">
        <f aca="false">CADASTRO_TRECHOS_CANAL!$K$7</f>
        <v>1433.21428571429</v>
      </c>
      <c r="I105" s="18" t="n">
        <f aca="false">CADASTRO_TRECHOS_CANAL!$K$7</f>
        <v>1433.21428571429</v>
      </c>
      <c r="J105" s="18" t="n">
        <f aca="false">CADASTRO_TRECHOS_CANAL!$K$7</f>
        <v>1433.21428571429</v>
      </c>
      <c r="K105" s="18" t="n">
        <f aca="false">CADASTRO_TRECHOS_CANAL!$K$7</f>
        <v>1433.21428571429</v>
      </c>
      <c r="L105" s="18" t="n">
        <f aca="false">CADASTRO_TRECHOS_CANAL!$K$7</f>
        <v>1433.21428571429</v>
      </c>
      <c r="M105" s="18" t="n">
        <f aca="false">CADASTRO_TRECHOS_CANAL!$K$7</f>
        <v>1433.21428571429</v>
      </c>
      <c r="N105" s="18" t="n">
        <f aca="false">CADASTRO_TRECHOS_CANAL!$K$7</f>
        <v>1433.21428571429</v>
      </c>
      <c r="O105" s="18" t="n">
        <f aca="false">CADASTRO_TRECHOS_CANAL!$K$7</f>
        <v>1433.21428571429</v>
      </c>
      <c r="P105" s="18" t="n">
        <f aca="false">CADASTRO_TRECHOS_CANAL!$K$7</f>
        <v>1433.21428571429</v>
      </c>
      <c r="Q105" s="18" t="n">
        <f aca="false">CADASTRO_TRECHOS_CANAL!$K$7</f>
        <v>1433.21428571429</v>
      </c>
      <c r="R105" s="18" t="n">
        <f aca="false">CADASTRO_TRECHOS_CANAL!$K$7</f>
        <v>1433.21428571429</v>
      </c>
      <c r="S105" s="18" t="n">
        <f aca="false">CADASTRO_TRECHOS_CANAL!$K$7</f>
        <v>1433.21428571429</v>
      </c>
      <c r="T105" s="18" t="n">
        <f aca="false">CADASTRO_TRECHOS_CANAL!$K$7</f>
        <v>1433.21428571429</v>
      </c>
      <c r="U105" s="18" t="n">
        <f aca="false">CADASTRO_TRECHOS_CANAL!$K$7</f>
        <v>1433.21428571429</v>
      </c>
      <c r="V105" s="18" t="n">
        <f aca="false">CADASTRO_TRECHOS_CANAL!$K$7</f>
        <v>1433.21428571429</v>
      </c>
      <c r="W105" s="18" t="n">
        <f aca="false">CADASTRO_TRECHOS_CANAL!$K$7</f>
        <v>1433.21428571429</v>
      </c>
      <c r="X105" s="18" t="n">
        <f aca="false">CADASTRO_TRECHOS_CANAL!$K$7</f>
        <v>1433.21428571429</v>
      </c>
      <c r="Y105" s="18" t="n">
        <f aca="false">CADASTRO_TRECHOS_CANAL!$K$7</f>
        <v>1433.21428571429</v>
      </c>
      <c r="Z105" s="18" t="n">
        <f aca="false">CADASTRO_TRECHOS_CANAL!$K$7</f>
        <v>1433.21428571429</v>
      </c>
      <c r="AA105" s="18" t="n">
        <f aca="false">CADASTRO_TRECHOS_CANAL!$K$7</f>
        <v>1433.21428571429</v>
      </c>
      <c r="AB105" s="18" t="n">
        <f aca="false">CADASTRO_TRECHOS_CANAL!$K$7</f>
        <v>1433.21428571429</v>
      </c>
      <c r="AC105" s="18" t="n">
        <f aca="false">CADASTRO_TRECHOS_CANAL!$K$7</f>
        <v>1433.21428571429</v>
      </c>
      <c r="AD105" s="18" t="n">
        <f aca="false">CADASTRO_TRECHOS_CANAL!$K$7</f>
        <v>1433.21428571429</v>
      </c>
      <c r="AE105" s="18" t="n">
        <f aca="false">CADASTRO_TRECHOS_CANAL!$K$7</f>
        <v>1433.21428571429</v>
      </c>
      <c r="AF105" s="18" t="n">
        <f aca="false">CADASTRO_TRECHOS_CANAL!$K$7</f>
        <v>1433.21428571429</v>
      </c>
      <c r="AG105" s="18" t="n">
        <f aca="false">CADASTRO_TRECHOS_CANAL!$K$7</f>
        <v>1433.21428571429</v>
      </c>
      <c r="AH105" s="18" t="n">
        <f aca="false">CADASTRO_TRECHOS_CANAL!$K$7</f>
        <v>1433.21428571429</v>
      </c>
      <c r="AI105" s="18" t="n">
        <f aca="false">CADASTRO_TRECHOS_CANAL!$K$7</f>
        <v>1433.21428571429</v>
      </c>
      <c r="AJ105" s="18" t="n">
        <f aca="false">CADASTRO_TRECHOS_CANAL!$K$7</f>
        <v>1433.21428571429</v>
      </c>
      <c r="AK105" s="18" t="n">
        <f aca="false">CADASTRO_TRECHOS_CANAL!$K$7</f>
        <v>1433.21428571429</v>
      </c>
      <c r="AL105" s="18" t="n">
        <f aca="false">CADASTRO_TRECHOS_CANAL!$K$7</f>
        <v>1433.21428571429</v>
      </c>
      <c r="AM105" s="18" t="n">
        <f aca="false">CADASTRO_TRECHOS_CANAL!$K$7</f>
        <v>1433.21428571429</v>
      </c>
      <c r="AN105" s="18" t="n">
        <f aca="false">CADASTRO_TRECHOS_CANAL!$K$7</f>
        <v>1433.21428571429</v>
      </c>
      <c r="AO105" s="18" t="n">
        <f aca="false">CADASTRO_TRECHOS_CANAL!$K$7</f>
        <v>1433.21428571429</v>
      </c>
      <c r="AP105" s="18" t="n">
        <f aca="false">CADASTRO_TRECHOS_CANAL!$K$7</f>
        <v>1433.21428571429</v>
      </c>
      <c r="AQ105" s="18" t="n">
        <f aca="false">CADASTRO_TRECHOS_CANAL!$K$7</f>
        <v>1433.21428571429</v>
      </c>
      <c r="AR105" s="18" t="n">
        <f aca="false">CADASTRO_TRECHOS_CANAL!$K$7</f>
        <v>1433.21428571429</v>
      </c>
      <c r="AS105" s="18" t="n">
        <f aca="false">CADASTRO_TRECHOS_CANAL!$K$7</f>
        <v>1433.21428571429</v>
      </c>
      <c r="AT105" s="18" t="n">
        <f aca="false">CADASTRO_TRECHOS_CANAL!$K$7</f>
        <v>1433.21428571429</v>
      </c>
      <c r="AU105" s="18" t="n">
        <f aca="false">CADASTRO_TRECHOS_CANAL!$K$7</f>
        <v>1433.21428571429</v>
      </c>
      <c r="AV105" s="18" t="n">
        <f aca="false">CADASTRO_TRECHOS_CANAL!$K$7</f>
        <v>1433.21428571429</v>
      </c>
      <c r="AW105" s="18" t="n">
        <f aca="false">CADASTRO_TRECHOS_CANAL!$K$7</f>
        <v>1433.21428571429</v>
      </c>
      <c r="AX105" s="18" t="n">
        <f aca="false">CADASTRO_TRECHOS_CANAL!$K$7</f>
        <v>1433.21428571429</v>
      </c>
      <c r="AY105" s="18" t="n">
        <f aca="false">CADASTRO_TRECHOS_CANAL!$K$7</f>
        <v>1433.21428571429</v>
      </c>
      <c r="AZ105" s="18" t="n">
        <f aca="false">CADASTRO_TRECHOS_CANAL!$K$7</f>
        <v>1433.21428571429</v>
      </c>
      <c r="BA105" s="18" t="n">
        <f aca="false">CADASTRO_TRECHOS_CANAL!$K$7</f>
        <v>1433.21428571429</v>
      </c>
      <c r="BB105" s="18" t="n">
        <f aca="false">CADASTRO_TRECHOS_CANAL!$K$7</f>
        <v>1433.21428571429</v>
      </c>
      <c r="BC105" s="18" t="n">
        <f aca="false">CADASTRO_TRECHOS_CANAL!$K$7</f>
        <v>1433.21428571429</v>
      </c>
      <c r="BD105" s="18" t="n">
        <f aca="false">CADASTRO_TRECHOS_CANAL!$K$7</f>
        <v>1433.21428571429</v>
      </c>
      <c r="BE105" s="18" t="n">
        <f aca="false">CADASTRO_TRECHOS_CANAL!$K$7</f>
        <v>1433.21428571429</v>
      </c>
      <c r="BF105" s="18" t="n">
        <f aca="false">CADASTRO_TRECHOS_CANAL!$K$7</f>
        <v>1433.21428571429</v>
      </c>
      <c r="BG105" s="18" t="n">
        <f aca="false">CADASTRO_TRECHOS_CANAL!$K$7</f>
        <v>1433.21428571429</v>
      </c>
      <c r="BH105" s="18" t="n">
        <f aca="false">CADASTRO_TRECHOS_CANAL!$K$7</f>
        <v>1433.21428571429</v>
      </c>
      <c r="BI105" s="18" t="n">
        <f aca="false">CADASTRO_TRECHOS_CANAL!$K$7</f>
        <v>1433.21428571429</v>
      </c>
      <c r="BJ105" s="18" t="n">
        <f aca="false">CADASTRO_TRECHOS_CANAL!$K$7</f>
        <v>1433.21428571429</v>
      </c>
      <c r="BK105" s="18" t="n">
        <f aca="false">CADASTRO_TRECHOS_CANAL!$K$7</f>
        <v>1433.21428571429</v>
      </c>
      <c r="BL105" s="18" t="n">
        <f aca="false">CADASTRO_TRECHOS_CANAL!$K$7</f>
        <v>1433.21428571429</v>
      </c>
      <c r="BM105" s="18" t="n">
        <f aca="false">CADASTRO_TRECHOS_CANAL!$K$7</f>
        <v>1433.21428571429</v>
      </c>
      <c r="BN105" s="18" t="n">
        <f aca="false">CADASTRO_TRECHOS_CANAL!$K$7</f>
        <v>1433.21428571429</v>
      </c>
      <c r="BO105" s="18" t="n">
        <f aca="false">CADASTRO_TRECHOS_CANAL!$K$7</f>
        <v>1433.21428571429</v>
      </c>
      <c r="BP105" s="18" t="n">
        <f aca="false">CADASTRO_TRECHOS_CANAL!$K$7</f>
        <v>1433.21428571429</v>
      </c>
      <c r="BQ105" s="18" t="n">
        <f aca="false">MAX(C105:BP105)</f>
        <v>1433.21428571429</v>
      </c>
    </row>
    <row r="106" customFormat="false" ht="15" hidden="false" customHeight="false" outlineLevel="0" collapsed="false">
      <c r="B106" s="15" t="s">
        <v>173</v>
      </c>
      <c r="C106" s="18" t="n">
        <f aca="false">CADASTRO_TRECHOS_CANAL!$K$8</f>
        <v>1412.71428571429</v>
      </c>
      <c r="D106" s="18" t="n">
        <f aca="false">CADASTRO_TRECHOS_CANAL!$K$8</f>
        <v>1412.71428571429</v>
      </c>
      <c r="E106" s="18" t="n">
        <f aca="false">CADASTRO_TRECHOS_CANAL!$K$8</f>
        <v>1412.71428571429</v>
      </c>
      <c r="F106" s="18" t="n">
        <f aca="false">CADASTRO_TRECHOS_CANAL!$K$8</f>
        <v>1412.71428571429</v>
      </c>
      <c r="G106" s="18" t="n">
        <f aca="false">CADASTRO_TRECHOS_CANAL!$K$8</f>
        <v>1412.71428571429</v>
      </c>
      <c r="H106" s="18" t="n">
        <f aca="false">CADASTRO_TRECHOS_CANAL!$K$8</f>
        <v>1412.71428571429</v>
      </c>
      <c r="I106" s="18" t="n">
        <f aca="false">CADASTRO_TRECHOS_CANAL!$K$8</f>
        <v>1412.71428571429</v>
      </c>
      <c r="J106" s="18" t="n">
        <f aca="false">CADASTRO_TRECHOS_CANAL!$K$8</f>
        <v>1412.71428571429</v>
      </c>
      <c r="K106" s="18" t="n">
        <f aca="false">CADASTRO_TRECHOS_CANAL!$K$8</f>
        <v>1412.71428571429</v>
      </c>
      <c r="L106" s="18" t="n">
        <f aca="false">CADASTRO_TRECHOS_CANAL!$K$8</f>
        <v>1412.71428571429</v>
      </c>
      <c r="M106" s="18" t="n">
        <f aca="false">CADASTRO_TRECHOS_CANAL!$K$8</f>
        <v>1412.71428571429</v>
      </c>
      <c r="N106" s="18" t="n">
        <f aca="false">CADASTRO_TRECHOS_CANAL!$K$8</f>
        <v>1412.71428571429</v>
      </c>
      <c r="O106" s="18" t="n">
        <f aca="false">CADASTRO_TRECHOS_CANAL!$K$8</f>
        <v>1412.71428571429</v>
      </c>
      <c r="P106" s="18" t="n">
        <f aca="false">CADASTRO_TRECHOS_CANAL!$K$8</f>
        <v>1412.71428571429</v>
      </c>
      <c r="Q106" s="18" t="n">
        <f aca="false">CADASTRO_TRECHOS_CANAL!$K$8</f>
        <v>1412.71428571429</v>
      </c>
      <c r="R106" s="18" t="n">
        <f aca="false">CADASTRO_TRECHOS_CANAL!$K$8</f>
        <v>1412.71428571429</v>
      </c>
      <c r="S106" s="18" t="n">
        <f aca="false">CADASTRO_TRECHOS_CANAL!$K$8</f>
        <v>1412.71428571429</v>
      </c>
      <c r="T106" s="18" t="n">
        <f aca="false">CADASTRO_TRECHOS_CANAL!$K$8</f>
        <v>1412.71428571429</v>
      </c>
      <c r="U106" s="18" t="n">
        <f aca="false">CADASTRO_TRECHOS_CANAL!$K$8</f>
        <v>1412.71428571429</v>
      </c>
      <c r="V106" s="18" t="n">
        <f aca="false">CADASTRO_TRECHOS_CANAL!$K$8</f>
        <v>1412.71428571429</v>
      </c>
      <c r="W106" s="18" t="n">
        <f aca="false">CADASTRO_TRECHOS_CANAL!$K$8</f>
        <v>1412.71428571429</v>
      </c>
      <c r="X106" s="18" t="n">
        <f aca="false">CADASTRO_TRECHOS_CANAL!$K$8</f>
        <v>1412.71428571429</v>
      </c>
      <c r="Y106" s="18" t="n">
        <f aca="false">CADASTRO_TRECHOS_CANAL!$K$8</f>
        <v>1412.71428571429</v>
      </c>
      <c r="Z106" s="18" t="n">
        <f aca="false">CADASTRO_TRECHOS_CANAL!$K$8</f>
        <v>1412.71428571429</v>
      </c>
      <c r="AA106" s="18" t="n">
        <f aca="false">CADASTRO_TRECHOS_CANAL!$K$8</f>
        <v>1412.71428571429</v>
      </c>
      <c r="AB106" s="18" t="n">
        <f aca="false">CADASTRO_TRECHOS_CANAL!$K$8</f>
        <v>1412.71428571429</v>
      </c>
      <c r="AC106" s="18" t="n">
        <f aca="false">CADASTRO_TRECHOS_CANAL!$K$8</f>
        <v>1412.71428571429</v>
      </c>
      <c r="AD106" s="18" t="n">
        <f aca="false">CADASTRO_TRECHOS_CANAL!$K$8</f>
        <v>1412.71428571429</v>
      </c>
      <c r="AE106" s="18" t="n">
        <f aca="false">CADASTRO_TRECHOS_CANAL!$K$8</f>
        <v>1412.71428571429</v>
      </c>
      <c r="AF106" s="18" t="n">
        <f aca="false">CADASTRO_TRECHOS_CANAL!$K$8</f>
        <v>1412.71428571429</v>
      </c>
      <c r="AG106" s="18" t="n">
        <f aca="false">CADASTRO_TRECHOS_CANAL!$K$8</f>
        <v>1412.71428571429</v>
      </c>
      <c r="AH106" s="18" t="n">
        <f aca="false">CADASTRO_TRECHOS_CANAL!$K$8</f>
        <v>1412.71428571429</v>
      </c>
      <c r="AI106" s="18" t="n">
        <f aca="false">CADASTRO_TRECHOS_CANAL!$K$8</f>
        <v>1412.71428571429</v>
      </c>
      <c r="AJ106" s="18" t="n">
        <f aca="false">CADASTRO_TRECHOS_CANAL!$K$8</f>
        <v>1412.71428571429</v>
      </c>
      <c r="AK106" s="18" t="n">
        <f aca="false">CADASTRO_TRECHOS_CANAL!$K$8</f>
        <v>1412.71428571429</v>
      </c>
      <c r="AL106" s="18" t="n">
        <f aca="false">CADASTRO_TRECHOS_CANAL!$K$8</f>
        <v>1412.71428571429</v>
      </c>
      <c r="AM106" s="18" t="n">
        <f aca="false">CADASTRO_TRECHOS_CANAL!$K$8</f>
        <v>1412.71428571429</v>
      </c>
      <c r="AN106" s="18" t="n">
        <f aca="false">CADASTRO_TRECHOS_CANAL!$K$8</f>
        <v>1412.71428571429</v>
      </c>
      <c r="AO106" s="18" t="n">
        <f aca="false">CADASTRO_TRECHOS_CANAL!$K$8</f>
        <v>1412.71428571429</v>
      </c>
      <c r="AP106" s="18" t="n">
        <f aca="false">CADASTRO_TRECHOS_CANAL!$K$8</f>
        <v>1412.71428571429</v>
      </c>
      <c r="AQ106" s="18" t="n">
        <f aca="false">CADASTRO_TRECHOS_CANAL!$K$8</f>
        <v>1412.71428571429</v>
      </c>
      <c r="AR106" s="18" t="n">
        <f aca="false">CADASTRO_TRECHOS_CANAL!$K$8</f>
        <v>1412.71428571429</v>
      </c>
      <c r="AS106" s="18" t="n">
        <f aca="false">CADASTRO_TRECHOS_CANAL!$K$8</f>
        <v>1412.71428571429</v>
      </c>
      <c r="AT106" s="18" t="n">
        <f aca="false">CADASTRO_TRECHOS_CANAL!$K$8</f>
        <v>1412.71428571429</v>
      </c>
      <c r="AU106" s="18" t="n">
        <f aca="false">CADASTRO_TRECHOS_CANAL!$K$8</f>
        <v>1412.71428571429</v>
      </c>
      <c r="AV106" s="18" t="n">
        <f aca="false">CADASTRO_TRECHOS_CANAL!$K$8</f>
        <v>1412.71428571429</v>
      </c>
      <c r="AW106" s="18" t="n">
        <f aca="false">CADASTRO_TRECHOS_CANAL!$K$8</f>
        <v>1412.71428571429</v>
      </c>
      <c r="AX106" s="18" t="n">
        <f aca="false">CADASTRO_TRECHOS_CANAL!$K$8</f>
        <v>1412.71428571429</v>
      </c>
      <c r="AY106" s="18" t="n">
        <f aca="false">CADASTRO_TRECHOS_CANAL!$K$8</f>
        <v>1412.71428571429</v>
      </c>
      <c r="AZ106" s="18" t="n">
        <f aca="false">CADASTRO_TRECHOS_CANAL!$K$8</f>
        <v>1412.71428571429</v>
      </c>
      <c r="BA106" s="18" t="n">
        <f aca="false">CADASTRO_TRECHOS_CANAL!$K$8</f>
        <v>1412.71428571429</v>
      </c>
      <c r="BB106" s="18" t="n">
        <f aca="false">CADASTRO_TRECHOS_CANAL!$K$8</f>
        <v>1412.71428571429</v>
      </c>
      <c r="BC106" s="18" t="n">
        <f aca="false">CADASTRO_TRECHOS_CANAL!$K$8</f>
        <v>1412.71428571429</v>
      </c>
      <c r="BD106" s="18" t="n">
        <f aca="false">CADASTRO_TRECHOS_CANAL!$K$8</f>
        <v>1412.71428571429</v>
      </c>
      <c r="BE106" s="18" t="n">
        <f aca="false">CADASTRO_TRECHOS_CANAL!$K$8</f>
        <v>1412.71428571429</v>
      </c>
      <c r="BF106" s="18" t="n">
        <f aca="false">CADASTRO_TRECHOS_CANAL!$K$8</f>
        <v>1412.71428571429</v>
      </c>
      <c r="BG106" s="18" t="n">
        <f aca="false">CADASTRO_TRECHOS_CANAL!$K$8</f>
        <v>1412.71428571429</v>
      </c>
      <c r="BH106" s="18" t="n">
        <f aca="false">CADASTRO_TRECHOS_CANAL!$K$8</f>
        <v>1412.71428571429</v>
      </c>
      <c r="BI106" s="18" t="n">
        <f aca="false">CADASTRO_TRECHOS_CANAL!$K$8</f>
        <v>1412.71428571429</v>
      </c>
      <c r="BJ106" s="18" t="n">
        <f aca="false">CADASTRO_TRECHOS_CANAL!$K$8</f>
        <v>1412.71428571429</v>
      </c>
      <c r="BK106" s="18" t="n">
        <f aca="false">CADASTRO_TRECHOS_CANAL!$K$8</f>
        <v>1412.71428571429</v>
      </c>
      <c r="BL106" s="18" t="n">
        <f aca="false">CADASTRO_TRECHOS_CANAL!$K$8</f>
        <v>1412.71428571429</v>
      </c>
      <c r="BM106" s="18" t="n">
        <f aca="false">CADASTRO_TRECHOS_CANAL!$K$8</f>
        <v>1412.71428571429</v>
      </c>
      <c r="BN106" s="18" t="n">
        <f aca="false">CADASTRO_TRECHOS_CANAL!$K$8</f>
        <v>1412.71428571429</v>
      </c>
      <c r="BO106" s="18" t="n">
        <f aca="false">CADASTRO_TRECHOS_CANAL!$K$8</f>
        <v>1412.71428571429</v>
      </c>
      <c r="BP106" s="18" t="n">
        <f aca="false">CADASTRO_TRECHOS_CANAL!$K$8</f>
        <v>1412.71428571429</v>
      </c>
      <c r="BQ106" s="18" t="n">
        <f aca="false">MAX(C106:BP106)</f>
        <v>1412.71428571429</v>
      </c>
    </row>
    <row r="107" customFormat="false" ht="15" hidden="false" customHeight="false" outlineLevel="0" collapsed="false">
      <c r="B107" s="15" t="s">
        <v>174</v>
      </c>
      <c r="C107" s="18" t="n">
        <f aca="false">CADASTRO_TRECHOS_CANAL!$K$9</f>
        <v>3852.85714285714</v>
      </c>
      <c r="D107" s="18" t="n">
        <f aca="false">CADASTRO_TRECHOS_CANAL!$K$9</f>
        <v>3852.85714285714</v>
      </c>
      <c r="E107" s="18" t="n">
        <f aca="false">CADASTRO_TRECHOS_CANAL!$K$9</f>
        <v>3852.85714285714</v>
      </c>
      <c r="F107" s="18" t="n">
        <f aca="false">CADASTRO_TRECHOS_CANAL!$K$9</f>
        <v>3852.85714285714</v>
      </c>
      <c r="G107" s="18" t="n">
        <f aca="false">CADASTRO_TRECHOS_CANAL!$K$9</f>
        <v>3852.85714285714</v>
      </c>
      <c r="H107" s="18" t="n">
        <f aca="false">CADASTRO_TRECHOS_CANAL!$K$9</f>
        <v>3852.85714285714</v>
      </c>
      <c r="I107" s="18" t="n">
        <f aca="false">CADASTRO_TRECHOS_CANAL!$K$9</f>
        <v>3852.85714285714</v>
      </c>
      <c r="J107" s="18" t="n">
        <f aca="false">CADASTRO_TRECHOS_CANAL!$K$9</f>
        <v>3852.85714285714</v>
      </c>
      <c r="K107" s="18" t="n">
        <f aca="false">CADASTRO_TRECHOS_CANAL!$K$9</f>
        <v>3852.85714285714</v>
      </c>
      <c r="L107" s="18" t="n">
        <f aca="false">CADASTRO_TRECHOS_CANAL!$K$9</f>
        <v>3852.85714285714</v>
      </c>
      <c r="M107" s="18" t="n">
        <f aca="false">CADASTRO_TRECHOS_CANAL!$K$9</f>
        <v>3852.85714285714</v>
      </c>
      <c r="N107" s="18" t="n">
        <f aca="false">CADASTRO_TRECHOS_CANAL!$K$9</f>
        <v>3852.85714285714</v>
      </c>
      <c r="O107" s="18" t="n">
        <f aca="false">CADASTRO_TRECHOS_CANAL!$K$9</f>
        <v>3852.85714285714</v>
      </c>
      <c r="P107" s="18" t="n">
        <f aca="false">CADASTRO_TRECHOS_CANAL!$K$9</f>
        <v>3852.85714285714</v>
      </c>
      <c r="Q107" s="18" t="n">
        <f aca="false">CADASTRO_TRECHOS_CANAL!$K$9</f>
        <v>3852.85714285714</v>
      </c>
      <c r="R107" s="18" t="n">
        <f aca="false">CADASTRO_TRECHOS_CANAL!$K$9</f>
        <v>3852.85714285714</v>
      </c>
      <c r="S107" s="18" t="n">
        <f aca="false">CADASTRO_TRECHOS_CANAL!$K$9</f>
        <v>3852.85714285714</v>
      </c>
      <c r="T107" s="18" t="n">
        <f aca="false">CADASTRO_TRECHOS_CANAL!$K$9</f>
        <v>3852.85714285714</v>
      </c>
      <c r="U107" s="18" t="n">
        <f aca="false">CADASTRO_TRECHOS_CANAL!$K$9</f>
        <v>3852.85714285714</v>
      </c>
      <c r="V107" s="18" t="n">
        <f aca="false">CADASTRO_TRECHOS_CANAL!$K$9</f>
        <v>3852.85714285714</v>
      </c>
      <c r="W107" s="18" t="n">
        <f aca="false">CADASTRO_TRECHOS_CANAL!$K$9</f>
        <v>3852.85714285714</v>
      </c>
      <c r="X107" s="18" t="n">
        <f aca="false">CADASTRO_TRECHOS_CANAL!$K$9</f>
        <v>3852.85714285714</v>
      </c>
      <c r="Y107" s="18" t="n">
        <f aca="false">CADASTRO_TRECHOS_CANAL!$K$9</f>
        <v>3852.85714285714</v>
      </c>
      <c r="Z107" s="18" t="n">
        <f aca="false">CADASTRO_TRECHOS_CANAL!$K$9</f>
        <v>3852.85714285714</v>
      </c>
      <c r="AA107" s="18" t="n">
        <f aca="false">CADASTRO_TRECHOS_CANAL!$K$9</f>
        <v>3852.85714285714</v>
      </c>
      <c r="AB107" s="18" t="n">
        <f aca="false">CADASTRO_TRECHOS_CANAL!$K$9</f>
        <v>3852.85714285714</v>
      </c>
      <c r="AC107" s="18" t="n">
        <f aca="false">CADASTRO_TRECHOS_CANAL!$K$9</f>
        <v>3852.85714285714</v>
      </c>
      <c r="AD107" s="18" t="n">
        <f aca="false">CADASTRO_TRECHOS_CANAL!$K$9</f>
        <v>3852.85714285714</v>
      </c>
      <c r="AE107" s="18" t="n">
        <f aca="false">CADASTRO_TRECHOS_CANAL!$K$9</f>
        <v>3852.85714285714</v>
      </c>
      <c r="AF107" s="18" t="n">
        <f aca="false">CADASTRO_TRECHOS_CANAL!$K$9</f>
        <v>3852.85714285714</v>
      </c>
      <c r="AG107" s="18" t="n">
        <f aca="false">CADASTRO_TRECHOS_CANAL!$K$9</f>
        <v>3852.85714285714</v>
      </c>
      <c r="AH107" s="18" t="n">
        <f aca="false">CADASTRO_TRECHOS_CANAL!$K$9</f>
        <v>3852.85714285714</v>
      </c>
      <c r="AI107" s="18" t="n">
        <f aca="false">CADASTRO_TRECHOS_CANAL!$K$9</f>
        <v>3852.85714285714</v>
      </c>
      <c r="AJ107" s="18" t="n">
        <f aca="false">CADASTRO_TRECHOS_CANAL!$K$9</f>
        <v>3852.85714285714</v>
      </c>
      <c r="AK107" s="18" t="n">
        <f aca="false">CADASTRO_TRECHOS_CANAL!$K$9</f>
        <v>3852.85714285714</v>
      </c>
      <c r="AL107" s="18" t="n">
        <f aca="false">CADASTRO_TRECHOS_CANAL!$K$9</f>
        <v>3852.85714285714</v>
      </c>
      <c r="AM107" s="18" t="n">
        <f aca="false">CADASTRO_TRECHOS_CANAL!$K$9</f>
        <v>3852.85714285714</v>
      </c>
      <c r="AN107" s="18" t="n">
        <f aca="false">CADASTRO_TRECHOS_CANAL!$K$9</f>
        <v>3852.85714285714</v>
      </c>
      <c r="AO107" s="18" t="n">
        <f aca="false">CADASTRO_TRECHOS_CANAL!$K$9</f>
        <v>3852.85714285714</v>
      </c>
      <c r="AP107" s="18" t="n">
        <f aca="false">CADASTRO_TRECHOS_CANAL!$K$9</f>
        <v>3852.85714285714</v>
      </c>
      <c r="AQ107" s="18" t="n">
        <f aca="false">CADASTRO_TRECHOS_CANAL!$K$9</f>
        <v>3852.85714285714</v>
      </c>
      <c r="AR107" s="18" t="n">
        <f aca="false">CADASTRO_TRECHOS_CANAL!$K$9</f>
        <v>3852.85714285714</v>
      </c>
      <c r="AS107" s="18" t="n">
        <f aca="false">CADASTRO_TRECHOS_CANAL!$K$9</f>
        <v>3852.85714285714</v>
      </c>
      <c r="AT107" s="18" t="n">
        <f aca="false">CADASTRO_TRECHOS_CANAL!$K$9</f>
        <v>3852.85714285714</v>
      </c>
      <c r="AU107" s="18" t="n">
        <f aca="false">CADASTRO_TRECHOS_CANAL!$K$9</f>
        <v>3852.85714285714</v>
      </c>
      <c r="AV107" s="18" t="n">
        <f aca="false">CADASTRO_TRECHOS_CANAL!$K$9</f>
        <v>3852.85714285714</v>
      </c>
      <c r="AW107" s="18" t="n">
        <f aca="false">CADASTRO_TRECHOS_CANAL!$K$9</f>
        <v>3852.85714285714</v>
      </c>
      <c r="AX107" s="18" t="n">
        <f aca="false">CADASTRO_TRECHOS_CANAL!$K$9</f>
        <v>3852.85714285714</v>
      </c>
      <c r="AY107" s="18" t="n">
        <f aca="false">CADASTRO_TRECHOS_CANAL!$K$9</f>
        <v>3852.85714285714</v>
      </c>
      <c r="AZ107" s="18" t="n">
        <f aca="false">CADASTRO_TRECHOS_CANAL!$K$9</f>
        <v>3852.85714285714</v>
      </c>
      <c r="BA107" s="18" t="n">
        <f aca="false">CADASTRO_TRECHOS_CANAL!$K$9</f>
        <v>3852.85714285714</v>
      </c>
      <c r="BB107" s="18" t="n">
        <f aca="false">CADASTRO_TRECHOS_CANAL!$K$9</f>
        <v>3852.85714285714</v>
      </c>
      <c r="BC107" s="18" t="n">
        <f aca="false">CADASTRO_TRECHOS_CANAL!$K$9</f>
        <v>3852.85714285714</v>
      </c>
      <c r="BD107" s="18" t="n">
        <f aca="false">CADASTRO_TRECHOS_CANAL!$K$9</f>
        <v>3852.85714285714</v>
      </c>
      <c r="BE107" s="18" t="n">
        <f aca="false">CADASTRO_TRECHOS_CANAL!$K$9</f>
        <v>3852.85714285714</v>
      </c>
      <c r="BF107" s="18" t="n">
        <f aca="false">CADASTRO_TRECHOS_CANAL!$K$9</f>
        <v>3852.85714285714</v>
      </c>
      <c r="BG107" s="18" t="n">
        <f aca="false">CADASTRO_TRECHOS_CANAL!$K$9</f>
        <v>3852.85714285714</v>
      </c>
      <c r="BH107" s="18" t="n">
        <f aca="false">CADASTRO_TRECHOS_CANAL!$K$9</f>
        <v>3852.85714285714</v>
      </c>
      <c r="BI107" s="18" t="n">
        <f aca="false">CADASTRO_TRECHOS_CANAL!$K$9</f>
        <v>3852.85714285714</v>
      </c>
      <c r="BJ107" s="18" t="n">
        <f aca="false">CADASTRO_TRECHOS_CANAL!$K$9</f>
        <v>3852.85714285714</v>
      </c>
      <c r="BK107" s="18" t="n">
        <f aca="false">CADASTRO_TRECHOS_CANAL!$K$9</f>
        <v>3852.85714285714</v>
      </c>
      <c r="BL107" s="18" t="n">
        <f aca="false">CADASTRO_TRECHOS_CANAL!$K$9</f>
        <v>3852.85714285714</v>
      </c>
      <c r="BM107" s="18" t="n">
        <f aca="false">CADASTRO_TRECHOS_CANAL!$K$9</f>
        <v>3852.85714285714</v>
      </c>
      <c r="BN107" s="18" t="n">
        <f aca="false">CADASTRO_TRECHOS_CANAL!$K$9</f>
        <v>3852.85714285714</v>
      </c>
      <c r="BO107" s="18" t="n">
        <f aca="false">CADASTRO_TRECHOS_CANAL!$K$9</f>
        <v>3852.85714285714</v>
      </c>
      <c r="BP107" s="18" t="n">
        <f aca="false">CADASTRO_TRECHOS_CANAL!$K$9</f>
        <v>3852.85714285714</v>
      </c>
      <c r="BQ107" s="18" t="n">
        <f aca="false">MAX(C107:BP107)</f>
        <v>3852.85714285714</v>
      </c>
    </row>
    <row r="108" customFormat="false" ht="15" hidden="false" customHeight="false" outlineLevel="0" collapsed="false">
      <c r="B108" s="15" t="s">
        <v>175</v>
      </c>
      <c r="C108" s="18" t="n">
        <f aca="false">CADASTRO_TRECHOS_CANAL!$K$10</f>
        <v>5212.93333333333</v>
      </c>
      <c r="D108" s="18" t="n">
        <f aca="false">CADASTRO_TRECHOS_CANAL!$K$10</f>
        <v>5212.93333333333</v>
      </c>
      <c r="E108" s="18" t="n">
        <f aca="false">CADASTRO_TRECHOS_CANAL!$K$10</f>
        <v>5212.93333333333</v>
      </c>
      <c r="F108" s="18" t="n">
        <f aca="false">CADASTRO_TRECHOS_CANAL!$K$10</f>
        <v>5212.93333333333</v>
      </c>
      <c r="G108" s="18" t="n">
        <f aca="false">CADASTRO_TRECHOS_CANAL!$K$10</f>
        <v>5212.93333333333</v>
      </c>
      <c r="H108" s="18" t="n">
        <f aca="false">CADASTRO_TRECHOS_CANAL!$K$10</f>
        <v>5212.93333333333</v>
      </c>
      <c r="I108" s="18" t="n">
        <f aca="false">CADASTRO_TRECHOS_CANAL!$K$10</f>
        <v>5212.93333333333</v>
      </c>
      <c r="J108" s="18" t="n">
        <f aca="false">CADASTRO_TRECHOS_CANAL!$K$10</f>
        <v>5212.93333333333</v>
      </c>
      <c r="K108" s="18" t="n">
        <f aca="false">CADASTRO_TRECHOS_CANAL!$K$10</f>
        <v>5212.93333333333</v>
      </c>
      <c r="L108" s="18" t="n">
        <f aca="false">CADASTRO_TRECHOS_CANAL!$K$10</f>
        <v>5212.93333333333</v>
      </c>
      <c r="M108" s="18" t="n">
        <f aca="false">CADASTRO_TRECHOS_CANAL!$K$10</f>
        <v>5212.93333333333</v>
      </c>
      <c r="N108" s="18" t="n">
        <f aca="false">CADASTRO_TRECHOS_CANAL!$K$10</f>
        <v>5212.93333333333</v>
      </c>
      <c r="O108" s="18" t="n">
        <f aca="false">CADASTRO_TRECHOS_CANAL!$K$10</f>
        <v>5212.93333333333</v>
      </c>
      <c r="P108" s="18" t="n">
        <f aca="false">CADASTRO_TRECHOS_CANAL!$K$10</f>
        <v>5212.93333333333</v>
      </c>
      <c r="Q108" s="18" t="n">
        <f aca="false">CADASTRO_TRECHOS_CANAL!$K$10</f>
        <v>5212.93333333333</v>
      </c>
      <c r="R108" s="18" t="n">
        <f aca="false">CADASTRO_TRECHOS_CANAL!$K$10</f>
        <v>5212.93333333333</v>
      </c>
      <c r="S108" s="18" t="n">
        <f aca="false">CADASTRO_TRECHOS_CANAL!$K$10</f>
        <v>5212.93333333333</v>
      </c>
      <c r="T108" s="18" t="n">
        <f aca="false">CADASTRO_TRECHOS_CANAL!$K$10</f>
        <v>5212.93333333333</v>
      </c>
      <c r="U108" s="18" t="n">
        <f aca="false">CADASTRO_TRECHOS_CANAL!$K$10</f>
        <v>5212.93333333333</v>
      </c>
      <c r="V108" s="18" t="n">
        <f aca="false">CADASTRO_TRECHOS_CANAL!$K$10</f>
        <v>5212.93333333333</v>
      </c>
      <c r="W108" s="18" t="n">
        <f aca="false">CADASTRO_TRECHOS_CANAL!$K$10</f>
        <v>5212.93333333333</v>
      </c>
      <c r="X108" s="18" t="n">
        <f aca="false">CADASTRO_TRECHOS_CANAL!$K$10</f>
        <v>5212.93333333333</v>
      </c>
      <c r="Y108" s="18" t="n">
        <f aca="false">CADASTRO_TRECHOS_CANAL!$K$10</f>
        <v>5212.93333333333</v>
      </c>
      <c r="Z108" s="18" t="n">
        <f aca="false">CADASTRO_TRECHOS_CANAL!$K$10</f>
        <v>5212.93333333333</v>
      </c>
      <c r="AA108" s="18" t="n">
        <f aca="false">CADASTRO_TRECHOS_CANAL!$K$10</f>
        <v>5212.93333333333</v>
      </c>
      <c r="AB108" s="18" t="n">
        <f aca="false">CADASTRO_TRECHOS_CANAL!$K$10</f>
        <v>5212.93333333333</v>
      </c>
      <c r="AC108" s="18" t="n">
        <f aca="false">CADASTRO_TRECHOS_CANAL!$K$10</f>
        <v>5212.93333333333</v>
      </c>
      <c r="AD108" s="18" t="n">
        <f aca="false">CADASTRO_TRECHOS_CANAL!$K$10</f>
        <v>5212.93333333333</v>
      </c>
      <c r="AE108" s="18" t="n">
        <f aca="false">CADASTRO_TRECHOS_CANAL!$K$10</f>
        <v>5212.93333333333</v>
      </c>
      <c r="AF108" s="18" t="n">
        <f aca="false">CADASTRO_TRECHOS_CANAL!$K$10</f>
        <v>5212.93333333333</v>
      </c>
      <c r="AG108" s="18" t="n">
        <f aca="false">CADASTRO_TRECHOS_CANAL!$K$10</f>
        <v>5212.93333333333</v>
      </c>
      <c r="AH108" s="18" t="n">
        <f aca="false">CADASTRO_TRECHOS_CANAL!$K$10</f>
        <v>5212.93333333333</v>
      </c>
      <c r="AI108" s="18" t="n">
        <f aca="false">CADASTRO_TRECHOS_CANAL!$K$10</f>
        <v>5212.93333333333</v>
      </c>
      <c r="AJ108" s="18" t="n">
        <f aca="false">CADASTRO_TRECHOS_CANAL!$K$10</f>
        <v>5212.93333333333</v>
      </c>
      <c r="AK108" s="18" t="n">
        <f aca="false">CADASTRO_TRECHOS_CANAL!$K$10</f>
        <v>5212.93333333333</v>
      </c>
      <c r="AL108" s="18" t="n">
        <f aca="false">CADASTRO_TRECHOS_CANAL!$K$10</f>
        <v>5212.93333333333</v>
      </c>
      <c r="AM108" s="18" t="n">
        <f aca="false">CADASTRO_TRECHOS_CANAL!$K$10</f>
        <v>5212.93333333333</v>
      </c>
      <c r="AN108" s="18" t="n">
        <f aca="false">CADASTRO_TRECHOS_CANAL!$K$10</f>
        <v>5212.93333333333</v>
      </c>
      <c r="AO108" s="18" t="n">
        <f aca="false">CADASTRO_TRECHOS_CANAL!$K$10</f>
        <v>5212.93333333333</v>
      </c>
      <c r="AP108" s="18" t="n">
        <f aca="false">CADASTRO_TRECHOS_CANAL!$K$10</f>
        <v>5212.93333333333</v>
      </c>
      <c r="AQ108" s="18" t="n">
        <f aca="false">CADASTRO_TRECHOS_CANAL!$K$10</f>
        <v>5212.93333333333</v>
      </c>
      <c r="AR108" s="18" t="n">
        <f aca="false">CADASTRO_TRECHOS_CANAL!$K$10</f>
        <v>5212.93333333333</v>
      </c>
      <c r="AS108" s="18" t="n">
        <f aca="false">CADASTRO_TRECHOS_CANAL!$K$10</f>
        <v>5212.93333333333</v>
      </c>
      <c r="AT108" s="18" t="n">
        <f aca="false">CADASTRO_TRECHOS_CANAL!$K$10</f>
        <v>5212.93333333333</v>
      </c>
      <c r="AU108" s="18" t="n">
        <f aca="false">CADASTRO_TRECHOS_CANAL!$K$10</f>
        <v>5212.93333333333</v>
      </c>
      <c r="AV108" s="18" t="n">
        <f aca="false">CADASTRO_TRECHOS_CANAL!$K$10</f>
        <v>5212.93333333333</v>
      </c>
      <c r="AW108" s="18" t="n">
        <f aca="false">CADASTRO_TRECHOS_CANAL!$K$10</f>
        <v>5212.93333333333</v>
      </c>
      <c r="AX108" s="18" t="n">
        <f aca="false">CADASTRO_TRECHOS_CANAL!$K$10</f>
        <v>5212.93333333333</v>
      </c>
      <c r="AY108" s="18" t="n">
        <f aca="false">CADASTRO_TRECHOS_CANAL!$K$10</f>
        <v>5212.93333333333</v>
      </c>
      <c r="AZ108" s="18" t="n">
        <f aca="false">CADASTRO_TRECHOS_CANAL!$K$10</f>
        <v>5212.93333333333</v>
      </c>
      <c r="BA108" s="18" t="n">
        <f aca="false">CADASTRO_TRECHOS_CANAL!$K$10</f>
        <v>5212.93333333333</v>
      </c>
      <c r="BB108" s="18" t="n">
        <f aca="false">CADASTRO_TRECHOS_CANAL!$K$10</f>
        <v>5212.93333333333</v>
      </c>
      <c r="BC108" s="18" t="n">
        <f aca="false">CADASTRO_TRECHOS_CANAL!$K$10</f>
        <v>5212.93333333333</v>
      </c>
      <c r="BD108" s="18" t="n">
        <f aca="false">CADASTRO_TRECHOS_CANAL!$K$10</f>
        <v>5212.93333333333</v>
      </c>
      <c r="BE108" s="18" t="n">
        <f aca="false">CADASTRO_TRECHOS_CANAL!$K$10</f>
        <v>5212.93333333333</v>
      </c>
      <c r="BF108" s="18" t="n">
        <f aca="false">CADASTRO_TRECHOS_CANAL!$K$10</f>
        <v>5212.93333333333</v>
      </c>
      <c r="BG108" s="18" t="n">
        <f aca="false">CADASTRO_TRECHOS_CANAL!$K$10</f>
        <v>5212.93333333333</v>
      </c>
      <c r="BH108" s="18" t="n">
        <f aca="false">CADASTRO_TRECHOS_CANAL!$K$10</f>
        <v>5212.93333333333</v>
      </c>
      <c r="BI108" s="18" t="n">
        <f aca="false">CADASTRO_TRECHOS_CANAL!$K$10</f>
        <v>5212.93333333333</v>
      </c>
      <c r="BJ108" s="18" t="n">
        <f aca="false">CADASTRO_TRECHOS_CANAL!$K$10</f>
        <v>5212.93333333333</v>
      </c>
      <c r="BK108" s="18" t="n">
        <f aca="false">CADASTRO_TRECHOS_CANAL!$K$10</f>
        <v>5212.93333333333</v>
      </c>
      <c r="BL108" s="18" t="n">
        <f aca="false">CADASTRO_TRECHOS_CANAL!$K$10</f>
        <v>5212.93333333333</v>
      </c>
      <c r="BM108" s="18" t="n">
        <f aca="false">CADASTRO_TRECHOS_CANAL!$K$10</f>
        <v>5212.93333333333</v>
      </c>
      <c r="BN108" s="18" t="n">
        <f aca="false">CADASTRO_TRECHOS_CANAL!$K$10</f>
        <v>5212.93333333333</v>
      </c>
      <c r="BO108" s="18" t="n">
        <f aca="false">CADASTRO_TRECHOS_CANAL!$K$10</f>
        <v>5212.93333333333</v>
      </c>
      <c r="BP108" s="18" t="n">
        <f aca="false">CADASTRO_TRECHOS_CANAL!$K$10</f>
        <v>5212.93333333333</v>
      </c>
      <c r="BQ108" s="18" t="n">
        <f aca="false">MAX(C108:BP108)</f>
        <v>5212.93333333333</v>
      </c>
    </row>
    <row r="109" customFormat="false" ht="15" hidden="false" customHeight="false" outlineLevel="0" collapsed="false">
      <c r="B109" s="15" t="s">
        <v>176</v>
      </c>
      <c r="C109" s="18" t="n">
        <f aca="false">CADASTRO_TRECHOS_CANAL!$K$11</f>
        <v>6831.56190476191</v>
      </c>
      <c r="D109" s="18" t="n">
        <f aca="false">CADASTRO_TRECHOS_CANAL!$K$11</f>
        <v>6831.56190476191</v>
      </c>
      <c r="E109" s="18" t="n">
        <f aca="false">CADASTRO_TRECHOS_CANAL!$K$11</f>
        <v>6831.56190476191</v>
      </c>
      <c r="F109" s="18" t="n">
        <f aca="false">CADASTRO_TRECHOS_CANAL!$K$11</f>
        <v>6831.56190476191</v>
      </c>
      <c r="G109" s="18" t="n">
        <f aca="false">CADASTRO_TRECHOS_CANAL!$K$11</f>
        <v>6831.56190476191</v>
      </c>
      <c r="H109" s="18" t="n">
        <f aca="false">CADASTRO_TRECHOS_CANAL!$K$11</f>
        <v>6831.56190476191</v>
      </c>
      <c r="I109" s="18" t="n">
        <f aca="false">CADASTRO_TRECHOS_CANAL!$K$11</f>
        <v>6831.56190476191</v>
      </c>
      <c r="J109" s="18" t="n">
        <f aca="false">CADASTRO_TRECHOS_CANAL!$K$11</f>
        <v>6831.56190476191</v>
      </c>
      <c r="K109" s="18" t="n">
        <f aca="false">CADASTRO_TRECHOS_CANAL!$K$11</f>
        <v>6831.56190476191</v>
      </c>
      <c r="L109" s="18" t="n">
        <f aca="false">CADASTRO_TRECHOS_CANAL!$K$11</f>
        <v>6831.56190476191</v>
      </c>
      <c r="M109" s="18" t="n">
        <f aca="false">CADASTRO_TRECHOS_CANAL!$K$11</f>
        <v>6831.56190476191</v>
      </c>
      <c r="N109" s="18" t="n">
        <f aca="false">CADASTRO_TRECHOS_CANAL!$K$11</f>
        <v>6831.56190476191</v>
      </c>
      <c r="O109" s="18" t="n">
        <f aca="false">CADASTRO_TRECHOS_CANAL!$K$11</f>
        <v>6831.56190476191</v>
      </c>
      <c r="P109" s="18" t="n">
        <f aca="false">CADASTRO_TRECHOS_CANAL!$K$11</f>
        <v>6831.56190476191</v>
      </c>
      <c r="Q109" s="18" t="n">
        <f aca="false">CADASTRO_TRECHOS_CANAL!$K$11</f>
        <v>6831.56190476191</v>
      </c>
      <c r="R109" s="18" t="n">
        <f aca="false">CADASTRO_TRECHOS_CANAL!$K$11</f>
        <v>6831.56190476191</v>
      </c>
      <c r="S109" s="18" t="n">
        <f aca="false">CADASTRO_TRECHOS_CANAL!$K$11</f>
        <v>6831.56190476191</v>
      </c>
      <c r="T109" s="18" t="n">
        <f aca="false">CADASTRO_TRECHOS_CANAL!$K$11</f>
        <v>6831.56190476191</v>
      </c>
      <c r="U109" s="18" t="n">
        <f aca="false">CADASTRO_TRECHOS_CANAL!$K$11</f>
        <v>6831.56190476191</v>
      </c>
      <c r="V109" s="18" t="n">
        <f aca="false">CADASTRO_TRECHOS_CANAL!$K$11</f>
        <v>6831.56190476191</v>
      </c>
      <c r="W109" s="18" t="n">
        <f aca="false">CADASTRO_TRECHOS_CANAL!$K$11</f>
        <v>6831.56190476191</v>
      </c>
      <c r="X109" s="18" t="n">
        <f aca="false">CADASTRO_TRECHOS_CANAL!$K$11</f>
        <v>6831.56190476191</v>
      </c>
      <c r="Y109" s="18" t="n">
        <f aca="false">CADASTRO_TRECHOS_CANAL!$K$11</f>
        <v>6831.56190476191</v>
      </c>
      <c r="Z109" s="18" t="n">
        <f aca="false">CADASTRO_TRECHOS_CANAL!$K$11</f>
        <v>6831.56190476191</v>
      </c>
      <c r="AA109" s="18" t="n">
        <f aca="false">CADASTRO_TRECHOS_CANAL!$K$11</f>
        <v>6831.56190476191</v>
      </c>
      <c r="AB109" s="18" t="n">
        <f aca="false">CADASTRO_TRECHOS_CANAL!$K$11</f>
        <v>6831.56190476191</v>
      </c>
      <c r="AC109" s="18" t="n">
        <f aca="false">CADASTRO_TRECHOS_CANAL!$K$11</f>
        <v>6831.56190476191</v>
      </c>
      <c r="AD109" s="18" t="n">
        <f aca="false">CADASTRO_TRECHOS_CANAL!$K$11</f>
        <v>6831.56190476191</v>
      </c>
      <c r="AE109" s="18" t="n">
        <f aca="false">CADASTRO_TRECHOS_CANAL!$K$11</f>
        <v>6831.56190476191</v>
      </c>
      <c r="AF109" s="18" t="n">
        <f aca="false">CADASTRO_TRECHOS_CANAL!$K$11</f>
        <v>6831.56190476191</v>
      </c>
      <c r="AG109" s="18" t="n">
        <f aca="false">CADASTRO_TRECHOS_CANAL!$K$11</f>
        <v>6831.56190476191</v>
      </c>
      <c r="AH109" s="18" t="n">
        <f aca="false">CADASTRO_TRECHOS_CANAL!$K$11</f>
        <v>6831.56190476191</v>
      </c>
      <c r="AI109" s="18" t="n">
        <f aca="false">CADASTRO_TRECHOS_CANAL!$K$11</f>
        <v>6831.56190476191</v>
      </c>
      <c r="AJ109" s="18" t="n">
        <f aca="false">CADASTRO_TRECHOS_CANAL!$K$11</f>
        <v>6831.56190476191</v>
      </c>
      <c r="AK109" s="18" t="n">
        <f aca="false">CADASTRO_TRECHOS_CANAL!$K$11</f>
        <v>6831.56190476191</v>
      </c>
      <c r="AL109" s="18" t="n">
        <f aca="false">CADASTRO_TRECHOS_CANAL!$K$11</f>
        <v>6831.56190476191</v>
      </c>
      <c r="AM109" s="18" t="n">
        <f aca="false">CADASTRO_TRECHOS_CANAL!$K$11</f>
        <v>6831.56190476191</v>
      </c>
      <c r="AN109" s="18" t="n">
        <f aca="false">CADASTRO_TRECHOS_CANAL!$K$11</f>
        <v>6831.56190476191</v>
      </c>
      <c r="AO109" s="18" t="n">
        <f aca="false">CADASTRO_TRECHOS_CANAL!$K$11</f>
        <v>6831.56190476191</v>
      </c>
      <c r="AP109" s="18" t="n">
        <f aca="false">CADASTRO_TRECHOS_CANAL!$K$11</f>
        <v>6831.56190476191</v>
      </c>
      <c r="AQ109" s="18" t="n">
        <f aca="false">CADASTRO_TRECHOS_CANAL!$K$11</f>
        <v>6831.56190476191</v>
      </c>
      <c r="AR109" s="18" t="n">
        <f aca="false">CADASTRO_TRECHOS_CANAL!$K$11</f>
        <v>6831.56190476191</v>
      </c>
      <c r="AS109" s="18" t="n">
        <f aca="false">CADASTRO_TRECHOS_CANAL!$K$11</f>
        <v>6831.56190476191</v>
      </c>
      <c r="AT109" s="18" t="n">
        <f aca="false">CADASTRO_TRECHOS_CANAL!$K$11</f>
        <v>6831.56190476191</v>
      </c>
      <c r="AU109" s="18" t="n">
        <f aca="false">CADASTRO_TRECHOS_CANAL!$K$11</f>
        <v>6831.56190476191</v>
      </c>
      <c r="AV109" s="18" t="n">
        <f aca="false">CADASTRO_TRECHOS_CANAL!$K$11</f>
        <v>6831.56190476191</v>
      </c>
      <c r="AW109" s="18" t="n">
        <f aca="false">CADASTRO_TRECHOS_CANAL!$K$11</f>
        <v>6831.56190476191</v>
      </c>
      <c r="AX109" s="18" t="n">
        <f aca="false">CADASTRO_TRECHOS_CANAL!$K$11</f>
        <v>6831.56190476191</v>
      </c>
      <c r="AY109" s="18" t="n">
        <f aca="false">CADASTRO_TRECHOS_CANAL!$K$11</f>
        <v>6831.56190476191</v>
      </c>
      <c r="AZ109" s="18" t="n">
        <f aca="false">CADASTRO_TRECHOS_CANAL!$K$11</f>
        <v>6831.56190476191</v>
      </c>
      <c r="BA109" s="18" t="n">
        <f aca="false">CADASTRO_TRECHOS_CANAL!$K$11</f>
        <v>6831.56190476191</v>
      </c>
      <c r="BB109" s="18" t="n">
        <f aca="false">CADASTRO_TRECHOS_CANAL!$K$11</f>
        <v>6831.56190476191</v>
      </c>
      <c r="BC109" s="18" t="n">
        <f aca="false">CADASTRO_TRECHOS_CANAL!$K$11</f>
        <v>6831.56190476191</v>
      </c>
      <c r="BD109" s="18" t="n">
        <f aca="false">CADASTRO_TRECHOS_CANAL!$K$11</f>
        <v>6831.56190476191</v>
      </c>
      <c r="BE109" s="18" t="n">
        <f aca="false">CADASTRO_TRECHOS_CANAL!$K$11</f>
        <v>6831.56190476191</v>
      </c>
      <c r="BF109" s="18" t="n">
        <f aca="false">CADASTRO_TRECHOS_CANAL!$K$11</f>
        <v>6831.56190476191</v>
      </c>
      <c r="BG109" s="18" t="n">
        <f aca="false">CADASTRO_TRECHOS_CANAL!$K$11</f>
        <v>6831.56190476191</v>
      </c>
      <c r="BH109" s="18" t="n">
        <f aca="false">CADASTRO_TRECHOS_CANAL!$K$11</f>
        <v>6831.56190476191</v>
      </c>
      <c r="BI109" s="18" t="n">
        <f aca="false">CADASTRO_TRECHOS_CANAL!$K$11</f>
        <v>6831.56190476191</v>
      </c>
      <c r="BJ109" s="18" t="n">
        <f aca="false">CADASTRO_TRECHOS_CANAL!$K$11</f>
        <v>6831.56190476191</v>
      </c>
      <c r="BK109" s="18" t="n">
        <f aca="false">CADASTRO_TRECHOS_CANAL!$K$11</f>
        <v>6831.56190476191</v>
      </c>
      <c r="BL109" s="18" t="n">
        <f aca="false">CADASTRO_TRECHOS_CANAL!$K$11</f>
        <v>6831.56190476191</v>
      </c>
      <c r="BM109" s="18" t="n">
        <f aca="false">CADASTRO_TRECHOS_CANAL!$K$11</f>
        <v>6831.56190476191</v>
      </c>
      <c r="BN109" s="18" t="n">
        <f aca="false">CADASTRO_TRECHOS_CANAL!$K$11</f>
        <v>6831.56190476191</v>
      </c>
      <c r="BO109" s="18" t="n">
        <f aca="false">CADASTRO_TRECHOS_CANAL!$K$11</f>
        <v>6831.56190476191</v>
      </c>
      <c r="BP109" s="18" t="n">
        <f aca="false">CADASTRO_TRECHOS_CANAL!$K$11</f>
        <v>6831.56190476191</v>
      </c>
      <c r="BQ109" s="18" t="n">
        <f aca="false">MAX(C109:BP109)</f>
        <v>6831.56190476191</v>
      </c>
    </row>
    <row r="110" customFormat="false" ht="15" hidden="false" customHeight="false" outlineLevel="0" collapsed="false">
      <c r="B110" s="15" t="s">
        <v>177</v>
      </c>
      <c r="C110" s="18" t="n">
        <f aca="false">CADASTRO_TRECHOS_CANAL!$K$12</f>
        <v>8298.70952380952</v>
      </c>
      <c r="D110" s="18" t="n">
        <f aca="false">CADASTRO_TRECHOS_CANAL!$K$12</f>
        <v>8298.70952380952</v>
      </c>
      <c r="E110" s="18" t="n">
        <f aca="false">CADASTRO_TRECHOS_CANAL!$K$12</f>
        <v>8298.70952380952</v>
      </c>
      <c r="F110" s="18" t="n">
        <f aca="false">CADASTRO_TRECHOS_CANAL!$K$12</f>
        <v>8298.70952380952</v>
      </c>
      <c r="G110" s="18" t="n">
        <f aca="false">CADASTRO_TRECHOS_CANAL!$K$12</f>
        <v>8298.70952380952</v>
      </c>
      <c r="H110" s="18" t="n">
        <f aca="false">CADASTRO_TRECHOS_CANAL!$K$12</f>
        <v>8298.70952380952</v>
      </c>
      <c r="I110" s="18" t="n">
        <f aca="false">CADASTRO_TRECHOS_CANAL!$K$12</f>
        <v>8298.70952380952</v>
      </c>
      <c r="J110" s="18" t="n">
        <f aca="false">CADASTRO_TRECHOS_CANAL!$K$12</f>
        <v>8298.70952380952</v>
      </c>
      <c r="K110" s="18" t="n">
        <f aca="false">CADASTRO_TRECHOS_CANAL!$K$12</f>
        <v>8298.70952380952</v>
      </c>
      <c r="L110" s="18" t="n">
        <f aca="false">CADASTRO_TRECHOS_CANAL!$K$12</f>
        <v>8298.70952380952</v>
      </c>
      <c r="M110" s="18" t="n">
        <f aca="false">CADASTRO_TRECHOS_CANAL!$K$12</f>
        <v>8298.70952380952</v>
      </c>
      <c r="N110" s="18" t="n">
        <f aca="false">CADASTRO_TRECHOS_CANAL!$K$12</f>
        <v>8298.70952380952</v>
      </c>
      <c r="O110" s="18" t="n">
        <f aca="false">CADASTRO_TRECHOS_CANAL!$K$12</f>
        <v>8298.70952380952</v>
      </c>
      <c r="P110" s="18" t="n">
        <f aca="false">CADASTRO_TRECHOS_CANAL!$K$12</f>
        <v>8298.70952380952</v>
      </c>
      <c r="Q110" s="18" t="n">
        <f aca="false">CADASTRO_TRECHOS_CANAL!$K$12</f>
        <v>8298.70952380952</v>
      </c>
      <c r="R110" s="18" t="n">
        <f aca="false">CADASTRO_TRECHOS_CANAL!$K$12</f>
        <v>8298.70952380952</v>
      </c>
      <c r="S110" s="18" t="n">
        <f aca="false">CADASTRO_TRECHOS_CANAL!$K$12</f>
        <v>8298.70952380952</v>
      </c>
      <c r="T110" s="18" t="n">
        <f aca="false">CADASTRO_TRECHOS_CANAL!$K$12</f>
        <v>8298.70952380952</v>
      </c>
      <c r="U110" s="18" t="n">
        <f aca="false">CADASTRO_TRECHOS_CANAL!$K$12</f>
        <v>8298.70952380952</v>
      </c>
      <c r="V110" s="18" t="n">
        <f aca="false">CADASTRO_TRECHOS_CANAL!$K$12</f>
        <v>8298.70952380952</v>
      </c>
      <c r="W110" s="18" t="n">
        <f aca="false">CADASTRO_TRECHOS_CANAL!$K$12</f>
        <v>8298.70952380952</v>
      </c>
      <c r="X110" s="18" t="n">
        <f aca="false">CADASTRO_TRECHOS_CANAL!$K$12</f>
        <v>8298.70952380952</v>
      </c>
      <c r="Y110" s="18" t="n">
        <f aca="false">CADASTRO_TRECHOS_CANAL!$K$12</f>
        <v>8298.70952380952</v>
      </c>
      <c r="Z110" s="18" t="n">
        <f aca="false">CADASTRO_TRECHOS_CANAL!$K$12</f>
        <v>8298.70952380952</v>
      </c>
      <c r="AA110" s="18" t="n">
        <f aca="false">CADASTRO_TRECHOS_CANAL!$K$12</f>
        <v>8298.70952380952</v>
      </c>
      <c r="AB110" s="18" t="n">
        <f aca="false">CADASTRO_TRECHOS_CANAL!$K$12</f>
        <v>8298.70952380952</v>
      </c>
      <c r="AC110" s="18" t="n">
        <f aca="false">CADASTRO_TRECHOS_CANAL!$K$12</f>
        <v>8298.70952380952</v>
      </c>
      <c r="AD110" s="18" t="n">
        <f aca="false">CADASTRO_TRECHOS_CANAL!$K$12</f>
        <v>8298.70952380952</v>
      </c>
      <c r="AE110" s="18" t="n">
        <f aca="false">CADASTRO_TRECHOS_CANAL!$K$12</f>
        <v>8298.70952380952</v>
      </c>
      <c r="AF110" s="18" t="n">
        <f aca="false">CADASTRO_TRECHOS_CANAL!$K$12</f>
        <v>8298.70952380952</v>
      </c>
      <c r="AG110" s="18" t="n">
        <f aca="false">CADASTRO_TRECHOS_CANAL!$K$12</f>
        <v>8298.70952380952</v>
      </c>
      <c r="AH110" s="18" t="n">
        <f aca="false">CADASTRO_TRECHOS_CANAL!$K$12</f>
        <v>8298.70952380952</v>
      </c>
      <c r="AI110" s="18" t="n">
        <f aca="false">CADASTRO_TRECHOS_CANAL!$K$12</f>
        <v>8298.70952380952</v>
      </c>
      <c r="AJ110" s="18" t="n">
        <f aca="false">CADASTRO_TRECHOS_CANAL!$K$12</f>
        <v>8298.70952380952</v>
      </c>
      <c r="AK110" s="18" t="n">
        <f aca="false">CADASTRO_TRECHOS_CANAL!$K$12</f>
        <v>8298.70952380952</v>
      </c>
      <c r="AL110" s="18" t="n">
        <f aca="false">CADASTRO_TRECHOS_CANAL!$K$12</f>
        <v>8298.70952380952</v>
      </c>
      <c r="AM110" s="18" t="n">
        <f aca="false">CADASTRO_TRECHOS_CANAL!$K$12</f>
        <v>8298.70952380952</v>
      </c>
      <c r="AN110" s="18" t="n">
        <f aca="false">CADASTRO_TRECHOS_CANAL!$K$12</f>
        <v>8298.70952380952</v>
      </c>
      <c r="AO110" s="18" t="n">
        <f aca="false">CADASTRO_TRECHOS_CANAL!$K$12</f>
        <v>8298.70952380952</v>
      </c>
      <c r="AP110" s="18" t="n">
        <f aca="false">CADASTRO_TRECHOS_CANAL!$K$12</f>
        <v>8298.70952380952</v>
      </c>
      <c r="AQ110" s="18" t="n">
        <f aca="false">CADASTRO_TRECHOS_CANAL!$K$12</f>
        <v>8298.70952380952</v>
      </c>
      <c r="AR110" s="18" t="n">
        <f aca="false">CADASTRO_TRECHOS_CANAL!$K$12</f>
        <v>8298.70952380952</v>
      </c>
      <c r="AS110" s="18" t="n">
        <f aca="false">CADASTRO_TRECHOS_CANAL!$K$12</f>
        <v>8298.70952380952</v>
      </c>
      <c r="AT110" s="18" t="n">
        <f aca="false">CADASTRO_TRECHOS_CANAL!$K$12</f>
        <v>8298.70952380952</v>
      </c>
      <c r="AU110" s="18" t="n">
        <f aca="false">CADASTRO_TRECHOS_CANAL!$K$12</f>
        <v>8298.70952380952</v>
      </c>
      <c r="AV110" s="18" t="n">
        <f aca="false">CADASTRO_TRECHOS_CANAL!$K$12</f>
        <v>8298.70952380952</v>
      </c>
      <c r="AW110" s="18" t="n">
        <f aca="false">CADASTRO_TRECHOS_CANAL!$K$12</f>
        <v>8298.70952380952</v>
      </c>
      <c r="AX110" s="18" t="n">
        <f aca="false">CADASTRO_TRECHOS_CANAL!$K$12</f>
        <v>8298.70952380952</v>
      </c>
      <c r="AY110" s="18" t="n">
        <f aca="false">CADASTRO_TRECHOS_CANAL!$K$12</f>
        <v>8298.70952380952</v>
      </c>
      <c r="AZ110" s="18" t="n">
        <f aca="false">CADASTRO_TRECHOS_CANAL!$K$12</f>
        <v>8298.70952380952</v>
      </c>
      <c r="BA110" s="18" t="n">
        <f aca="false">CADASTRO_TRECHOS_CANAL!$K$12</f>
        <v>8298.70952380952</v>
      </c>
      <c r="BB110" s="18" t="n">
        <f aca="false">CADASTRO_TRECHOS_CANAL!$K$12</f>
        <v>8298.70952380952</v>
      </c>
      <c r="BC110" s="18" t="n">
        <f aca="false">CADASTRO_TRECHOS_CANAL!$K$12</f>
        <v>8298.70952380952</v>
      </c>
      <c r="BD110" s="18" t="n">
        <f aca="false">CADASTRO_TRECHOS_CANAL!$K$12</f>
        <v>8298.70952380952</v>
      </c>
      <c r="BE110" s="18" t="n">
        <f aca="false">CADASTRO_TRECHOS_CANAL!$K$12</f>
        <v>8298.70952380952</v>
      </c>
      <c r="BF110" s="18" t="n">
        <f aca="false">CADASTRO_TRECHOS_CANAL!$K$12</f>
        <v>8298.70952380952</v>
      </c>
      <c r="BG110" s="18" t="n">
        <f aca="false">CADASTRO_TRECHOS_CANAL!$K$12</f>
        <v>8298.70952380952</v>
      </c>
      <c r="BH110" s="18" t="n">
        <f aca="false">CADASTRO_TRECHOS_CANAL!$K$12</f>
        <v>8298.70952380952</v>
      </c>
      <c r="BI110" s="18" t="n">
        <f aca="false">CADASTRO_TRECHOS_CANAL!$K$12</f>
        <v>8298.70952380952</v>
      </c>
      <c r="BJ110" s="18" t="n">
        <f aca="false">CADASTRO_TRECHOS_CANAL!$K$12</f>
        <v>8298.70952380952</v>
      </c>
      <c r="BK110" s="18" t="n">
        <f aca="false">CADASTRO_TRECHOS_CANAL!$K$12</f>
        <v>8298.70952380952</v>
      </c>
      <c r="BL110" s="18" t="n">
        <f aca="false">CADASTRO_TRECHOS_CANAL!$K$12</f>
        <v>8298.70952380952</v>
      </c>
      <c r="BM110" s="18" t="n">
        <f aca="false">CADASTRO_TRECHOS_CANAL!$K$12</f>
        <v>8298.70952380952</v>
      </c>
      <c r="BN110" s="18" t="n">
        <f aca="false">CADASTRO_TRECHOS_CANAL!$K$12</f>
        <v>8298.70952380952</v>
      </c>
      <c r="BO110" s="18" t="n">
        <f aca="false">CADASTRO_TRECHOS_CANAL!$K$12</f>
        <v>8298.70952380952</v>
      </c>
      <c r="BP110" s="18" t="n">
        <f aca="false">CADASTRO_TRECHOS_CANAL!$K$12</f>
        <v>8298.70952380952</v>
      </c>
      <c r="BQ110" s="18" t="n">
        <f aca="false">MAX(C110:BP110)</f>
        <v>8298.70952380952</v>
      </c>
    </row>
    <row r="111" customFormat="false" ht="15" hidden="false" customHeight="false" outlineLevel="0" collapsed="false">
      <c r="B111" s="15" t="s">
        <v>178</v>
      </c>
      <c r="C111" s="18" t="n">
        <f aca="false">CADASTRO_TRECHOS_CANAL!$K$13</f>
        <v>2669.52380952381</v>
      </c>
      <c r="D111" s="18" t="n">
        <f aca="false">CADASTRO_TRECHOS_CANAL!$K$13</f>
        <v>2669.52380952381</v>
      </c>
      <c r="E111" s="18" t="n">
        <f aca="false">CADASTRO_TRECHOS_CANAL!$K$13</f>
        <v>2669.52380952381</v>
      </c>
      <c r="F111" s="18" t="n">
        <f aca="false">CADASTRO_TRECHOS_CANAL!$K$13</f>
        <v>2669.52380952381</v>
      </c>
      <c r="G111" s="18" t="n">
        <f aca="false">CADASTRO_TRECHOS_CANAL!$K$13</f>
        <v>2669.52380952381</v>
      </c>
      <c r="H111" s="18" t="n">
        <f aca="false">CADASTRO_TRECHOS_CANAL!$K$13</f>
        <v>2669.52380952381</v>
      </c>
      <c r="I111" s="18" t="n">
        <f aca="false">CADASTRO_TRECHOS_CANAL!$K$13</f>
        <v>2669.52380952381</v>
      </c>
      <c r="J111" s="18" t="n">
        <f aca="false">CADASTRO_TRECHOS_CANAL!$K$13</f>
        <v>2669.52380952381</v>
      </c>
      <c r="K111" s="18" t="n">
        <f aca="false">CADASTRO_TRECHOS_CANAL!$K$13</f>
        <v>2669.52380952381</v>
      </c>
      <c r="L111" s="18" t="n">
        <f aca="false">CADASTRO_TRECHOS_CANAL!$K$13</f>
        <v>2669.52380952381</v>
      </c>
      <c r="M111" s="18" t="n">
        <f aca="false">CADASTRO_TRECHOS_CANAL!$K$13</f>
        <v>2669.52380952381</v>
      </c>
      <c r="N111" s="18" t="n">
        <f aca="false">CADASTRO_TRECHOS_CANAL!$K$13</f>
        <v>2669.52380952381</v>
      </c>
      <c r="O111" s="18" t="n">
        <f aca="false">CADASTRO_TRECHOS_CANAL!$K$13</f>
        <v>2669.52380952381</v>
      </c>
      <c r="P111" s="18" t="n">
        <f aca="false">CADASTRO_TRECHOS_CANAL!$K$13</f>
        <v>2669.52380952381</v>
      </c>
      <c r="Q111" s="18" t="n">
        <f aca="false">CADASTRO_TRECHOS_CANAL!$K$13</f>
        <v>2669.52380952381</v>
      </c>
      <c r="R111" s="18" t="n">
        <f aca="false">CADASTRO_TRECHOS_CANAL!$K$13</f>
        <v>2669.52380952381</v>
      </c>
      <c r="S111" s="18" t="n">
        <f aca="false">CADASTRO_TRECHOS_CANAL!$K$13</f>
        <v>2669.52380952381</v>
      </c>
      <c r="T111" s="18" t="n">
        <f aca="false">CADASTRO_TRECHOS_CANAL!$K$13</f>
        <v>2669.52380952381</v>
      </c>
      <c r="U111" s="18" t="n">
        <f aca="false">CADASTRO_TRECHOS_CANAL!$K$13</f>
        <v>2669.52380952381</v>
      </c>
      <c r="V111" s="18" t="n">
        <f aca="false">CADASTRO_TRECHOS_CANAL!$K$13</f>
        <v>2669.52380952381</v>
      </c>
      <c r="W111" s="18" t="n">
        <f aca="false">CADASTRO_TRECHOS_CANAL!$K$13</f>
        <v>2669.52380952381</v>
      </c>
      <c r="X111" s="18" t="n">
        <f aca="false">CADASTRO_TRECHOS_CANAL!$K$13</f>
        <v>2669.52380952381</v>
      </c>
      <c r="Y111" s="18" t="n">
        <f aca="false">CADASTRO_TRECHOS_CANAL!$K$13</f>
        <v>2669.52380952381</v>
      </c>
      <c r="Z111" s="18" t="n">
        <f aca="false">CADASTRO_TRECHOS_CANAL!$K$13</f>
        <v>2669.52380952381</v>
      </c>
      <c r="AA111" s="18" t="n">
        <f aca="false">CADASTRO_TRECHOS_CANAL!$K$13</f>
        <v>2669.52380952381</v>
      </c>
      <c r="AB111" s="18" t="n">
        <f aca="false">CADASTRO_TRECHOS_CANAL!$K$13</f>
        <v>2669.52380952381</v>
      </c>
      <c r="AC111" s="18" t="n">
        <f aca="false">CADASTRO_TRECHOS_CANAL!$K$13</f>
        <v>2669.52380952381</v>
      </c>
      <c r="AD111" s="18" t="n">
        <f aca="false">CADASTRO_TRECHOS_CANAL!$K$13</f>
        <v>2669.52380952381</v>
      </c>
      <c r="AE111" s="18" t="n">
        <f aca="false">CADASTRO_TRECHOS_CANAL!$K$13</f>
        <v>2669.52380952381</v>
      </c>
      <c r="AF111" s="18" t="n">
        <f aca="false">CADASTRO_TRECHOS_CANAL!$K$13</f>
        <v>2669.52380952381</v>
      </c>
      <c r="AG111" s="18" t="n">
        <f aca="false">CADASTRO_TRECHOS_CANAL!$K$13</f>
        <v>2669.52380952381</v>
      </c>
      <c r="AH111" s="18" t="n">
        <f aca="false">CADASTRO_TRECHOS_CANAL!$K$13</f>
        <v>2669.52380952381</v>
      </c>
      <c r="AI111" s="18" t="n">
        <f aca="false">CADASTRO_TRECHOS_CANAL!$K$13</f>
        <v>2669.52380952381</v>
      </c>
      <c r="AJ111" s="18" t="n">
        <f aca="false">CADASTRO_TRECHOS_CANAL!$K$13</f>
        <v>2669.52380952381</v>
      </c>
      <c r="AK111" s="18" t="n">
        <f aca="false">CADASTRO_TRECHOS_CANAL!$K$13</f>
        <v>2669.52380952381</v>
      </c>
      <c r="AL111" s="18" t="n">
        <f aca="false">CADASTRO_TRECHOS_CANAL!$K$13</f>
        <v>2669.52380952381</v>
      </c>
      <c r="AM111" s="18" t="n">
        <f aca="false">CADASTRO_TRECHOS_CANAL!$K$13</f>
        <v>2669.52380952381</v>
      </c>
      <c r="AN111" s="18" t="n">
        <f aca="false">CADASTRO_TRECHOS_CANAL!$K$13</f>
        <v>2669.52380952381</v>
      </c>
      <c r="AO111" s="18" t="n">
        <f aca="false">CADASTRO_TRECHOS_CANAL!$K$13</f>
        <v>2669.52380952381</v>
      </c>
      <c r="AP111" s="18" t="n">
        <f aca="false">CADASTRO_TRECHOS_CANAL!$K$13</f>
        <v>2669.52380952381</v>
      </c>
      <c r="AQ111" s="18" t="n">
        <f aca="false">CADASTRO_TRECHOS_CANAL!$K$13</f>
        <v>2669.52380952381</v>
      </c>
      <c r="AR111" s="18" t="n">
        <f aca="false">CADASTRO_TRECHOS_CANAL!$K$13</f>
        <v>2669.52380952381</v>
      </c>
      <c r="AS111" s="18" t="n">
        <f aca="false">CADASTRO_TRECHOS_CANAL!$K$13</f>
        <v>2669.52380952381</v>
      </c>
      <c r="AT111" s="18" t="n">
        <f aca="false">CADASTRO_TRECHOS_CANAL!$K$13</f>
        <v>2669.52380952381</v>
      </c>
      <c r="AU111" s="18" t="n">
        <f aca="false">CADASTRO_TRECHOS_CANAL!$K$13</f>
        <v>2669.52380952381</v>
      </c>
      <c r="AV111" s="18" t="n">
        <f aca="false">CADASTRO_TRECHOS_CANAL!$K$13</f>
        <v>2669.52380952381</v>
      </c>
      <c r="AW111" s="18" t="n">
        <f aca="false">CADASTRO_TRECHOS_CANAL!$K$13</f>
        <v>2669.52380952381</v>
      </c>
      <c r="AX111" s="18" t="n">
        <f aca="false">CADASTRO_TRECHOS_CANAL!$K$13</f>
        <v>2669.52380952381</v>
      </c>
      <c r="AY111" s="18" t="n">
        <f aca="false">CADASTRO_TRECHOS_CANAL!$K$13</f>
        <v>2669.52380952381</v>
      </c>
      <c r="AZ111" s="18" t="n">
        <f aca="false">CADASTRO_TRECHOS_CANAL!$K$13</f>
        <v>2669.52380952381</v>
      </c>
      <c r="BA111" s="18" t="n">
        <f aca="false">CADASTRO_TRECHOS_CANAL!$K$13</f>
        <v>2669.52380952381</v>
      </c>
      <c r="BB111" s="18" t="n">
        <f aca="false">CADASTRO_TRECHOS_CANAL!$K$13</f>
        <v>2669.52380952381</v>
      </c>
      <c r="BC111" s="18" t="n">
        <f aca="false">CADASTRO_TRECHOS_CANAL!$K$13</f>
        <v>2669.52380952381</v>
      </c>
      <c r="BD111" s="18" t="n">
        <f aca="false">CADASTRO_TRECHOS_CANAL!$K$13</f>
        <v>2669.52380952381</v>
      </c>
      <c r="BE111" s="18" t="n">
        <f aca="false">CADASTRO_TRECHOS_CANAL!$K$13</f>
        <v>2669.52380952381</v>
      </c>
      <c r="BF111" s="18" t="n">
        <f aca="false">CADASTRO_TRECHOS_CANAL!$K$13</f>
        <v>2669.52380952381</v>
      </c>
      <c r="BG111" s="18" t="n">
        <f aca="false">CADASTRO_TRECHOS_CANAL!$K$13</f>
        <v>2669.52380952381</v>
      </c>
      <c r="BH111" s="18" t="n">
        <f aca="false">CADASTRO_TRECHOS_CANAL!$K$13</f>
        <v>2669.52380952381</v>
      </c>
      <c r="BI111" s="18" t="n">
        <f aca="false">CADASTRO_TRECHOS_CANAL!$K$13</f>
        <v>2669.52380952381</v>
      </c>
      <c r="BJ111" s="18" t="n">
        <f aca="false">CADASTRO_TRECHOS_CANAL!$K$13</f>
        <v>2669.52380952381</v>
      </c>
      <c r="BK111" s="18" t="n">
        <f aca="false">CADASTRO_TRECHOS_CANAL!$K$13</f>
        <v>2669.52380952381</v>
      </c>
      <c r="BL111" s="18" t="n">
        <f aca="false">CADASTRO_TRECHOS_CANAL!$K$13</f>
        <v>2669.52380952381</v>
      </c>
      <c r="BM111" s="18" t="n">
        <f aca="false">CADASTRO_TRECHOS_CANAL!$K$13</f>
        <v>2669.52380952381</v>
      </c>
      <c r="BN111" s="18" t="n">
        <f aca="false">CADASTRO_TRECHOS_CANAL!$K$13</f>
        <v>2669.52380952381</v>
      </c>
      <c r="BO111" s="18" t="n">
        <f aca="false">CADASTRO_TRECHOS_CANAL!$K$13</f>
        <v>2669.52380952381</v>
      </c>
      <c r="BP111" s="18" t="n">
        <f aca="false">CADASTRO_TRECHOS_CANAL!$K$13</f>
        <v>2669.52380952381</v>
      </c>
      <c r="BQ111" s="18" t="n">
        <f aca="false">MAX(C111:BP111)</f>
        <v>2669.52380952381</v>
      </c>
    </row>
    <row r="114" customFormat="false" ht="15" hidden="false" customHeight="false" outlineLevel="0" collapsed="false">
      <c r="B114" s="3" t="s">
        <v>609</v>
      </c>
    </row>
    <row r="115" customFormat="false" ht="15" hidden="false" customHeight="false" outlineLevel="0" collapsed="false">
      <c r="B115" s="14" t="s">
        <v>187</v>
      </c>
      <c r="C115" s="14" t="n">
        <v>1</v>
      </c>
      <c r="D115" s="14" t="n">
        <v>2</v>
      </c>
      <c r="E115" s="14" t="n">
        <v>3</v>
      </c>
      <c r="F115" s="14" t="n">
        <v>4</v>
      </c>
      <c r="G115" s="14" t="n">
        <v>5</v>
      </c>
      <c r="H115" s="14" t="n">
        <v>6</v>
      </c>
      <c r="I115" s="14" t="n">
        <v>7</v>
      </c>
      <c r="J115" s="14" t="n">
        <v>8</v>
      </c>
      <c r="K115" s="14" t="n">
        <v>9</v>
      </c>
      <c r="L115" s="14" t="n">
        <v>10</v>
      </c>
      <c r="M115" s="14" t="n">
        <v>11</v>
      </c>
      <c r="N115" s="14" t="n">
        <v>12</v>
      </c>
      <c r="O115" s="14" t="n">
        <v>13</v>
      </c>
      <c r="P115" s="14" t="n">
        <v>14</v>
      </c>
      <c r="Q115" s="14" t="n">
        <v>15</v>
      </c>
      <c r="R115" s="14" t="n">
        <v>16</v>
      </c>
      <c r="S115" s="14" t="n">
        <v>17</v>
      </c>
      <c r="T115" s="14" t="n">
        <v>18</v>
      </c>
      <c r="U115" s="14" t="n">
        <v>19</v>
      </c>
      <c r="V115" s="14" t="n">
        <v>20</v>
      </c>
      <c r="W115" s="14" t="n">
        <v>21</v>
      </c>
      <c r="X115" s="14" t="n">
        <v>22</v>
      </c>
      <c r="Y115" s="14" t="n">
        <v>23</v>
      </c>
      <c r="Z115" s="14" t="n">
        <v>24</v>
      </c>
      <c r="AA115" s="14" t="n">
        <v>25</v>
      </c>
      <c r="AB115" s="14" t="n">
        <v>26</v>
      </c>
      <c r="AC115" s="14" t="n">
        <v>27</v>
      </c>
      <c r="AD115" s="14" t="n">
        <v>28</v>
      </c>
      <c r="AE115" s="14" t="n">
        <v>29</v>
      </c>
      <c r="AF115" s="14" t="n">
        <v>30</v>
      </c>
      <c r="AG115" s="14" t="n">
        <v>31</v>
      </c>
      <c r="AH115" s="14" t="n">
        <v>32</v>
      </c>
      <c r="AI115" s="14" t="n">
        <v>33</v>
      </c>
      <c r="AJ115" s="14" t="n">
        <v>34</v>
      </c>
      <c r="AK115" s="14" t="n">
        <v>35</v>
      </c>
      <c r="AL115" s="14" t="n">
        <v>36</v>
      </c>
      <c r="AM115" s="14" t="n">
        <v>37</v>
      </c>
      <c r="AN115" s="14" t="n">
        <v>38</v>
      </c>
      <c r="AO115" s="14" t="n">
        <v>39</v>
      </c>
      <c r="AP115" s="14" t="n">
        <v>40</v>
      </c>
      <c r="AQ115" s="14" t="n">
        <v>41</v>
      </c>
      <c r="AR115" s="14" t="n">
        <v>42</v>
      </c>
      <c r="AS115" s="14" t="n">
        <v>43</v>
      </c>
      <c r="AT115" s="14" t="n">
        <v>44</v>
      </c>
      <c r="AU115" s="14" t="n">
        <v>45</v>
      </c>
      <c r="AV115" s="14" t="n">
        <v>46</v>
      </c>
      <c r="AW115" s="14" t="n">
        <v>47</v>
      </c>
      <c r="AX115" s="14" t="n">
        <v>48</v>
      </c>
      <c r="AY115" s="14" t="n">
        <v>49</v>
      </c>
      <c r="AZ115" s="14" t="n">
        <v>50</v>
      </c>
      <c r="BA115" s="14" t="n">
        <v>51</v>
      </c>
      <c r="BB115" s="14" t="n">
        <v>52</v>
      </c>
      <c r="BC115" s="14" t="n">
        <v>53</v>
      </c>
      <c r="BD115" s="14" t="n">
        <v>54</v>
      </c>
      <c r="BE115" s="14" t="n">
        <v>55</v>
      </c>
      <c r="BF115" s="14" t="n">
        <v>56</v>
      </c>
      <c r="BG115" s="14" t="n">
        <v>57</v>
      </c>
      <c r="BH115" s="14" t="n">
        <v>58</v>
      </c>
      <c r="BI115" s="14" t="n">
        <v>59</v>
      </c>
      <c r="BJ115" s="14" t="n">
        <v>60</v>
      </c>
      <c r="BK115" s="14" t="n">
        <v>61</v>
      </c>
      <c r="BL115" s="14" t="n">
        <v>62</v>
      </c>
      <c r="BM115" s="14" t="n">
        <v>63</v>
      </c>
      <c r="BN115" s="14" t="n">
        <v>64</v>
      </c>
      <c r="BO115" s="14" t="n">
        <v>65</v>
      </c>
      <c r="BP115" s="14" t="n">
        <v>66</v>
      </c>
      <c r="BQ115" s="14" t="s">
        <v>601</v>
      </c>
    </row>
    <row r="116" customFormat="false" ht="15" hidden="false" customHeight="false" outlineLevel="0" collapsed="false">
      <c r="B116" s="15" t="s">
        <v>171</v>
      </c>
      <c r="C116" s="19" t="n">
        <f aca="false">IFERROR(C92/C104,0)</f>
        <v>0</v>
      </c>
      <c r="D116" s="19" t="n">
        <f aca="false">IFERROR(D92/D104,0)</f>
        <v>0</v>
      </c>
      <c r="E116" s="19" t="n">
        <f aca="false">IFERROR(E92/E104,0)</f>
        <v>0</v>
      </c>
      <c r="F116" s="19" t="n">
        <f aca="false">IFERROR(F92/F104,0)</f>
        <v>0</v>
      </c>
      <c r="G116" s="19" t="n">
        <f aca="false">IFERROR(G92/G104,0)</f>
        <v>0.0127282913165266</v>
      </c>
      <c r="H116" s="19" t="n">
        <f aca="false">IFERROR(H92/H104,0)</f>
        <v>0</v>
      </c>
      <c r="I116" s="19" t="n">
        <f aca="false">IFERROR(I92/I104,0)</f>
        <v>0</v>
      </c>
      <c r="J116" s="19" t="n">
        <f aca="false">IFERROR(J92/J104,0)</f>
        <v>0.0289411764705882</v>
      </c>
      <c r="K116" s="19" t="n">
        <f aca="false">IFERROR(K92/K104,0)</f>
        <v>0.0863631082062455</v>
      </c>
      <c r="L116" s="19" t="n">
        <f aca="false">IFERROR(L92/L104,0)</f>
        <v>0</v>
      </c>
      <c r="M116" s="19" t="n">
        <f aca="false">IFERROR(M92/M104,0)</f>
        <v>0.0234509803921568</v>
      </c>
      <c r="N116" s="19" t="n">
        <f aca="false">IFERROR(N92/N104,0)</f>
        <v>0.0234509803921568</v>
      </c>
      <c r="O116" s="19" t="n">
        <f aca="false">IFERROR(O92/O104,0)</f>
        <v>0.0234509803921568</v>
      </c>
      <c r="P116" s="19" t="n">
        <f aca="false">IFERROR(P92/P104,0)</f>
        <v>0</v>
      </c>
      <c r="Q116" s="19" t="n">
        <f aca="false">IFERROR(Q92/Q104,0)</f>
        <v>0</v>
      </c>
      <c r="R116" s="19" t="n">
        <f aca="false">IFERROR(R92/R104,0)</f>
        <v>0</v>
      </c>
      <c r="S116" s="19" t="n">
        <f aca="false">IFERROR(S92/S104,0)</f>
        <v>0</v>
      </c>
      <c r="T116" s="19" t="n">
        <f aca="false">IFERROR(T92/T104,0)</f>
        <v>0</v>
      </c>
      <c r="U116" s="19" t="n">
        <f aca="false">IFERROR(U92/U104,0)</f>
        <v>0</v>
      </c>
      <c r="V116" s="19" t="n">
        <f aca="false">IFERROR(V92/V104,0)</f>
        <v>0</v>
      </c>
      <c r="W116" s="19" t="n">
        <f aca="false">IFERROR(W92/W104,0)</f>
        <v>0</v>
      </c>
      <c r="X116" s="19" t="n">
        <f aca="false">IFERROR(X92/X104,0)</f>
        <v>0</v>
      </c>
      <c r="Y116" s="19" t="n">
        <f aca="false">IFERROR(Y92/Y104,0)</f>
        <v>0</v>
      </c>
      <c r="Z116" s="19" t="n">
        <f aca="false">IFERROR(Z92/Z104,0)</f>
        <v>0</v>
      </c>
      <c r="AA116" s="19" t="n">
        <f aca="false">IFERROR(AA92/AA104,0)</f>
        <v>0</v>
      </c>
      <c r="AB116" s="19" t="n">
        <f aca="false">IFERROR(AB92/AB104,0)</f>
        <v>0</v>
      </c>
      <c r="AC116" s="19" t="n">
        <f aca="false">IFERROR(AC92/AC104,0)</f>
        <v>0</v>
      </c>
      <c r="AD116" s="19" t="n">
        <f aca="false">IFERROR(AD92/AD104,0)</f>
        <v>0</v>
      </c>
      <c r="AE116" s="19" t="n">
        <f aca="false">IFERROR(AE92/AE104,0)</f>
        <v>0</v>
      </c>
      <c r="AF116" s="19" t="n">
        <f aca="false">IFERROR(AF92/AF104,0)</f>
        <v>0</v>
      </c>
      <c r="AG116" s="19" t="n">
        <f aca="false">IFERROR(AG92/AG104,0)</f>
        <v>0.0484984336930038</v>
      </c>
      <c r="AH116" s="19" t="n">
        <f aca="false">IFERROR(AH92/AH104,0)</f>
        <v>0.165290172873883</v>
      </c>
      <c r="AI116" s="19" t="n">
        <f aca="false">IFERROR(AI92/AI104,0)</f>
        <v>0.204273813667479</v>
      </c>
      <c r="AJ116" s="19" t="n">
        <f aca="false">IFERROR(AJ92/AJ104,0)</f>
        <v>0.243257454461074</v>
      </c>
      <c r="AK116" s="19" t="n">
        <f aca="false">IFERROR(AK92/AK104,0)</f>
        <v>0.285120448179272</v>
      </c>
      <c r="AL116" s="19" t="n">
        <f aca="false">IFERROR(AL92/AL104,0)</f>
        <v>0.348705882352941</v>
      </c>
      <c r="AM116" s="19" t="n">
        <f aca="false">IFERROR(AM92/AM104,0)</f>
        <v>0.348705882352941</v>
      </c>
      <c r="AN116" s="19" t="n">
        <f aca="false">IFERROR(AN92/AN104,0)</f>
        <v>0.348705882352941</v>
      </c>
      <c r="AO116" s="19" t="n">
        <f aca="false">IFERROR(AO92/AO104,0)</f>
        <v>0.348705882352941</v>
      </c>
      <c r="AP116" s="19" t="n">
        <f aca="false">IFERROR(AP92/AP104,0)</f>
        <v>0.349915966386555</v>
      </c>
      <c r="AQ116" s="19" t="n">
        <f aca="false">IFERROR(AQ92/AQ104,0)</f>
        <v>0.350117647058824</v>
      </c>
      <c r="AR116" s="19" t="n">
        <f aca="false">IFERROR(AR92/AR104,0)</f>
        <v>0.350117647058824</v>
      </c>
      <c r="AS116" s="19" t="n">
        <f aca="false">IFERROR(AS92/AS104,0)</f>
        <v>0.350117647058824</v>
      </c>
      <c r="AT116" s="19" t="n">
        <f aca="false">IFERROR(AT92/AT104,0)</f>
        <v>0.346338166035645</v>
      </c>
      <c r="AU116" s="19" t="n">
        <f aca="false">IFERROR(AU92/AU104,0)</f>
        <v>0.335365941248294</v>
      </c>
      <c r="AV116" s="19" t="n">
        <f aca="false">IFERROR(AV92/AV104,0)</f>
        <v>0.311585146879265</v>
      </c>
      <c r="AW116" s="19" t="n">
        <f aca="false">IFERROR(AW92/AW104,0)</f>
        <v>0.287804352510235</v>
      </c>
      <c r="AX116" s="19" t="n">
        <f aca="false">IFERROR(AX92/AX104,0)</f>
        <v>0.271567745046737</v>
      </c>
      <c r="AY116" s="19" t="n">
        <f aca="false">IFERROR(AY92/AY104,0)</f>
        <v>0.288074696545285</v>
      </c>
      <c r="AZ116" s="19" t="n">
        <f aca="false">IFERROR(AZ92/AZ104,0)</f>
        <v>0.259316526610644</v>
      </c>
      <c r="BA116" s="19" t="n">
        <f aca="false">IFERROR(BA92/BA104,0)</f>
        <v>0</v>
      </c>
      <c r="BB116" s="19" t="n">
        <f aca="false">IFERROR(BB92/BB104,0)</f>
        <v>0</v>
      </c>
      <c r="BC116" s="19" t="n">
        <f aca="false">IFERROR(BC92/BC104,0)</f>
        <v>0</v>
      </c>
      <c r="BD116" s="19" t="n">
        <f aca="false">IFERROR(BD92/BD104,0)</f>
        <v>0</v>
      </c>
      <c r="BE116" s="19" t="n">
        <f aca="false">IFERROR(BE92/BE104,0)</f>
        <v>0</v>
      </c>
      <c r="BF116" s="19" t="n">
        <f aca="false">IFERROR(BF92/BF104,0)</f>
        <v>0</v>
      </c>
      <c r="BG116" s="19" t="n">
        <f aca="false">IFERROR(BG92/BG104,0)</f>
        <v>0</v>
      </c>
      <c r="BH116" s="19" t="n">
        <f aca="false">IFERROR(BH92/BH104,0)</f>
        <v>0</v>
      </c>
      <c r="BI116" s="19" t="n">
        <f aca="false">IFERROR(BI92/BI104,0)</f>
        <v>0</v>
      </c>
      <c r="BJ116" s="19" t="n">
        <f aca="false">IFERROR(BJ92/BJ104,0)</f>
        <v>0</v>
      </c>
      <c r="BK116" s="19" t="n">
        <f aca="false">IFERROR(BK92/BK104,0)</f>
        <v>0</v>
      </c>
      <c r="BL116" s="19" t="n">
        <f aca="false">IFERROR(BL92/BL104,0)</f>
        <v>0</v>
      </c>
      <c r="BM116" s="19" t="n">
        <f aca="false">IFERROR(BM92/BM104,0)</f>
        <v>0</v>
      </c>
      <c r="BN116" s="19" t="n">
        <f aca="false">IFERROR(BN92/BN104,0)</f>
        <v>0</v>
      </c>
      <c r="BO116" s="19" t="n">
        <f aca="false">IFERROR(BO92/BO104,0)</f>
        <v>0</v>
      </c>
      <c r="BP116" s="19" t="n">
        <f aca="false">IFERROR(BP92/BP104,0)</f>
        <v>0</v>
      </c>
      <c r="BQ116" s="19" t="n">
        <f aca="false">MAX(C116:BP116)</f>
        <v>0.350117647058824</v>
      </c>
    </row>
    <row r="117" customFormat="false" ht="15" hidden="false" customHeight="false" outlineLevel="0" collapsed="false">
      <c r="B117" s="15" t="s">
        <v>172</v>
      </c>
      <c r="C117" s="19" t="n">
        <f aca="false">IFERROR(C93/C105,0)</f>
        <v>0.107128162882397</v>
      </c>
      <c r="D117" s="19" t="n">
        <f aca="false">IFERROR(D93/D105,0)</f>
        <v>0</v>
      </c>
      <c r="E117" s="19" t="n">
        <f aca="false">IFERROR(E93/E105,0)</f>
        <v>0</v>
      </c>
      <c r="F117" s="19" t="n">
        <f aca="false">IFERROR(F93/F105,0)</f>
        <v>0</v>
      </c>
      <c r="G117" s="19" t="n">
        <f aca="false">IFERROR(G93/G105,0)</f>
        <v>0.00638095601061256</v>
      </c>
      <c r="H117" s="19" t="n">
        <f aca="false">IFERROR(H93/H105,0)</f>
        <v>0</v>
      </c>
      <c r="I117" s="19" t="n">
        <f aca="false">IFERROR(I93/I105,0)</f>
        <v>0</v>
      </c>
      <c r="J117" s="19" t="n">
        <f aca="false">IFERROR(J93/J105,0)</f>
        <v>0.0123940001943151</v>
      </c>
      <c r="K117" s="19" t="n">
        <f aca="false">IFERROR(K93/K105,0)</f>
        <v>0.0399708392648489</v>
      </c>
      <c r="L117" s="19" t="n">
        <f aca="false">IFERROR(L93/L105,0)</f>
        <v>0</v>
      </c>
      <c r="M117" s="19" t="n">
        <f aca="false">IFERROR(M93/M105,0)</f>
        <v>0.0117564620864543</v>
      </c>
      <c r="N117" s="19" t="n">
        <f aca="false">IFERROR(N93/N105,0)</f>
        <v>0.0117564620864543</v>
      </c>
      <c r="O117" s="19" t="n">
        <f aca="false">IFERROR(O93/O105,0)</f>
        <v>0.0117564620864543</v>
      </c>
      <c r="P117" s="19" t="n">
        <f aca="false">IFERROR(P93/P105,0)</f>
        <v>0</v>
      </c>
      <c r="Q117" s="19" t="n">
        <f aca="false">IFERROR(Q93/Q105,0)</f>
        <v>0</v>
      </c>
      <c r="R117" s="19" t="n">
        <f aca="false">IFERROR(R93/R105,0)</f>
        <v>0</v>
      </c>
      <c r="S117" s="19" t="n">
        <f aca="false">IFERROR(S93/S105,0)</f>
        <v>0</v>
      </c>
      <c r="T117" s="19" t="n">
        <f aca="false">IFERROR(T93/T105,0)</f>
        <v>0</v>
      </c>
      <c r="U117" s="19" t="n">
        <f aca="false">IFERROR(U93/U105,0)</f>
        <v>0</v>
      </c>
      <c r="V117" s="19" t="n">
        <f aca="false">IFERROR(V93/V105,0)</f>
        <v>0</v>
      </c>
      <c r="W117" s="19" t="n">
        <f aca="false">IFERROR(W93/W105,0)</f>
        <v>0</v>
      </c>
      <c r="X117" s="19" t="n">
        <f aca="false">IFERROR(X93/X105,0)</f>
        <v>0</v>
      </c>
      <c r="Y117" s="19" t="n">
        <f aca="false">IFERROR(Y93/Y105,0)</f>
        <v>0</v>
      </c>
      <c r="Z117" s="19" t="n">
        <f aca="false">IFERROR(Z93/Z105,0)</f>
        <v>0.000975025343292693</v>
      </c>
      <c r="AA117" s="19" t="n">
        <f aca="false">IFERROR(AA93/AA105,0)</f>
        <v>0.0212793746078425</v>
      </c>
      <c r="AB117" s="19" t="n">
        <f aca="false">IFERROR(AB93/AB105,0)</f>
        <v>0.0327368288356957</v>
      </c>
      <c r="AC117" s="19" t="n">
        <f aca="false">IFERROR(AC93/AC105,0)</f>
        <v>0.0404419128029981</v>
      </c>
      <c r="AD117" s="19" t="n">
        <f aca="false">IFERROR(AD93/AD105,0)</f>
        <v>0.0404419128029981</v>
      </c>
      <c r="AE117" s="19" t="n">
        <f aca="false">IFERROR(AE93/AE105,0)</f>
        <v>0.0404419128029981</v>
      </c>
      <c r="AF117" s="19" t="n">
        <f aca="false">IFERROR(AF93/AF105,0)</f>
        <v>0.0404419128029981</v>
      </c>
      <c r="AG117" s="19" t="n">
        <f aca="false">IFERROR(AG93/AG105,0)</f>
        <v>0.111993754295841</v>
      </c>
      <c r="AH117" s="19" t="n">
        <f aca="false">IFERROR(AH93/AH105,0)</f>
        <v>0.209590610472392</v>
      </c>
      <c r="AI117" s="19" t="n">
        <f aca="false">IFERROR(AI93/AI105,0)</f>
        <v>0.229978380720176</v>
      </c>
      <c r="AJ117" s="19" t="n">
        <f aca="false">IFERROR(AJ93/AJ105,0)</f>
        <v>0.25036615096796</v>
      </c>
      <c r="AK117" s="19" t="n">
        <f aca="false">IFERROR(AK93/AK105,0)</f>
        <v>0.275381105138101</v>
      </c>
      <c r="AL117" s="19" t="n">
        <f aca="false">IFERROR(AL93/AL105,0)</f>
        <v>0.327856123706551</v>
      </c>
      <c r="AM117" s="19" t="n">
        <f aca="false">IFERROR(AM93/AM105,0)</f>
        <v>0.316272924458557</v>
      </c>
      <c r="AN117" s="19" t="n">
        <f aca="false">IFERROR(AN93/AN105,0)</f>
        <v>0.304689725210562</v>
      </c>
      <c r="AO117" s="19" t="n">
        <f aca="false">IFERROR(AO93/AO105,0)</f>
        <v>0.293106525962567</v>
      </c>
      <c r="AP117" s="19" t="n">
        <f aca="false">IFERROR(AP93/AP105,0)</f>
        <v>0.285475555876283</v>
      </c>
      <c r="AQ117" s="19" t="n">
        <f aca="false">IFERROR(AQ93/AQ105,0)</f>
        <v>0.275102642405145</v>
      </c>
      <c r="AR117" s="19" t="n">
        <f aca="false">IFERROR(AR93/AR105,0)</f>
        <v>0.264071024073721</v>
      </c>
      <c r="AS117" s="19" t="n">
        <f aca="false">IFERROR(AS93/AS105,0)</f>
        <v>0.167832124679758</v>
      </c>
      <c r="AT117" s="19" t="n">
        <f aca="false">IFERROR(AT93/AT105,0)</f>
        <v>0.162479710874299</v>
      </c>
      <c r="AU117" s="19" t="n">
        <f aca="false">IFERROR(AU93/AU105,0)</f>
        <v>0.154092223802055</v>
      </c>
      <c r="AV117" s="19" t="n">
        <f aca="false">IFERROR(AV93/AV105,0)</f>
        <v>0.139627100811252</v>
      </c>
      <c r="AW117" s="19" t="n">
        <f aca="false">IFERROR(AW93/AW105,0)</f>
        <v>0.12516197782045</v>
      </c>
      <c r="AX117" s="19" t="n">
        <f aca="false">IFERROR(AX93/AX105,0)</f>
        <v>0.113831162447536</v>
      </c>
      <c r="AY117" s="19" t="n">
        <f aca="false">IFERROR(AY93/AY105,0)</f>
        <v>0</v>
      </c>
      <c r="AZ117" s="19" t="n">
        <f aca="false">IFERROR(AZ93/AZ105,0)</f>
        <v>0</v>
      </c>
      <c r="BA117" s="19" t="n">
        <f aca="false">IFERROR(BA93/BA105,0)</f>
        <v>0</v>
      </c>
      <c r="BB117" s="19" t="n">
        <f aca="false">IFERROR(BB93/BB105,0)</f>
        <v>0</v>
      </c>
      <c r="BC117" s="19" t="n">
        <f aca="false">IFERROR(BC93/BC105,0)</f>
        <v>0</v>
      </c>
      <c r="BD117" s="19" t="n">
        <f aca="false">IFERROR(BD93/BD105,0)</f>
        <v>0</v>
      </c>
      <c r="BE117" s="19" t="n">
        <f aca="false">IFERROR(BE93/BE105,0)</f>
        <v>0</v>
      </c>
      <c r="BF117" s="19" t="n">
        <f aca="false">IFERROR(BF93/BF105,0)</f>
        <v>0</v>
      </c>
      <c r="BG117" s="19" t="n">
        <f aca="false">IFERROR(BG93/BG105,0)</f>
        <v>0</v>
      </c>
      <c r="BH117" s="19" t="n">
        <f aca="false">IFERROR(BH93/BH105,0)</f>
        <v>0</v>
      </c>
      <c r="BI117" s="19" t="n">
        <f aca="false">IFERROR(BI93/BI105,0)</f>
        <v>0</v>
      </c>
      <c r="BJ117" s="19" t="n">
        <f aca="false">IFERROR(BJ93/BJ105,0)</f>
        <v>0</v>
      </c>
      <c r="BK117" s="19" t="n">
        <f aca="false">IFERROR(BK93/BK105,0)</f>
        <v>0</v>
      </c>
      <c r="BL117" s="19" t="n">
        <f aca="false">IFERROR(BL93/BL105,0)</f>
        <v>0</v>
      </c>
      <c r="BM117" s="19" t="n">
        <f aca="false">IFERROR(BM93/BM105,0)</f>
        <v>0</v>
      </c>
      <c r="BN117" s="19" t="n">
        <f aca="false">IFERROR(BN93/BN105,0)</f>
        <v>0</v>
      </c>
      <c r="BO117" s="19" t="n">
        <f aca="false">IFERROR(BO93/BO105,0)</f>
        <v>0</v>
      </c>
      <c r="BP117" s="19" t="n">
        <f aca="false">IFERROR(BP93/BP105,0)</f>
        <v>0</v>
      </c>
      <c r="BQ117" s="19" t="n">
        <f aca="false">MAX(C117:BP117)</f>
        <v>0.327856123706551</v>
      </c>
    </row>
    <row r="118" customFormat="false" ht="15" hidden="false" customHeight="false" outlineLevel="0" collapsed="false">
      <c r="B118" s="15" t="s">
        <v>173</v>
      </c>
      <c r="C118" s="19" t="n">
        <f aca="false">IFERROR(C94/C106,0)</f>
        <v>0</v>
      </c>
      <c r="D118" s="19" t="n">
        <f aca="false">IFERROR(D94/D106,0)</f>
        <v>0</v>
      </c>
      <c r="E118" s="19" t="n">
        <f aca="false">IFERROR(E94/E106,0)</f>
        <v>0</v>
      </c>
      <c r="F118" s="19" t="n">
        <f aca="false">IFERROR(F94/F106,0)</f>
        <v>0</v>
      </c>
      <c r="G118" s="19" t="n">
        <f aca="false">IFERROR(G94/G106,0)</f>
        <v>0.0127282913165266</v>
      </c>
      <c r="H118" s="19" t="n">
        <f aca="false">IFERROR(H94/H106,0)</f>
        <v>0</v>
      </c>
      <c r="I118" s="19" t="n">
        <f aca="false">IFERROR(I94/I106,0)</f>
        <v>0</v>
      </c>
      <c r="J118" s="19" t="n">
        <f aca="false">IFERROR(J94/J106,0)</f>
        <v>0.00261034480363243</v>
      </c>
      <c r="K118" s="19" t="n">
        <f aca="false">IFERROR(K94/K106,0)</f>
        <v>0.0587529877636179</v>
      </c>
      <c r="L118" s="19" t="n">
        <f aca="false">IFERROR(L94/L106,0)</f>
        <v>0</v>
      </c>
      <c r="M118" s="19" t="n">
        <f aca="false">IFERROR(M94/M106,0)</f>
        <v>0.0221455241340683</v>
      </c>
      <c r="N118" s="19" t="n">
        <f aca="false">IFERROR(N94/N106,0)</f>
        <v>0.0234509803921568</v>
      </c>
      <c r="O118" s="19" t="n">
        <f aca="false">IFERROR(O94/O106,0)</f>
        <v>0.0234509803921568</v>
      </c>
      <c r="P118" s="19" t="n">
        <f aca="false">IFERROR(P94/P106,0)</f>
        <v>0</v>
      </c>
      <c r="Q118" s="19" t="n">
        <f aca="false">IFERROR(Q94/Q106,0)</f>
        <v>0</v>
      </c>
      <c r="R118" s="19" t="n">
        <f aca="false">IFERROR(R94/R106,0)</f>
        <v>0</v>
      </c>
      <c r="S118" s="19" t="n">
        <f aca="false">IFERROR(S94/S106,0)</f>
        <v>0</v>
      </c>
      <c r="T118" s="19" t="n">
        <f aca="false">IFERROR(T94/T106,0)</f>
        <v>0.00255459091366802</v>
      </c>
      <c r="U118" s="19" t="n">
        <f aca="false">IFERROR(U94/U106,0)</f>
        <v>0</v>
      </c>
      <c r="V118" s="19" t="n">
        <f aca="false">IFERROR(V94/V106,0)</f>
        <v>0</v>
      </c>
      <c r="W118" s="19" t="n">
        <f aca="false">IFERROR(W94/W106,0)</f>
        <v>0</v>
      </c>
      <c r="X118" s="19" t="n">
        <f aca="false">IFERROR(X94/X106,0)</f>
        <v>0</v>
      </c>
      <c r="Y118" s="19" t="n">
        <f aca="false">IFERROR(Y94/Y106,0)</f>
        <v>0</v>
      </c>
      <c r="Z118" s="19" t="n">
        <f aca="false">IFERROR(Z94/Z106,0)</f>
        <v>0</v>
      </c>
      <c r="AA118" s="19" t="n">
        <f aca="false">IFERROR(AA94/AA106,0)</f>
        <v>0</v>
      </c>
      <c r="AB118" s="19" t="n">
        <f aca="false">IFERROR(AB94/AB106,0)</f>
        <v>0</v>
      </c>
      <c r="AC118" s="19" t="n">
        <f aca="false">IFERROR(AC94/AC106,0)</f>
        <v>0</v>
      </c>
      <c r="AD118" s="19" t="n">
        <f aca="false">IFERROR(AD94/AD106,0)</f>
        <v>0</v>
      </c>
      <c r="AE118" s="19" t="n">
        <f aca="false">IFERROR(AE94/AE106,0)</f>
        <v>0</v>
      </c>
      <c r="AF118" s="19" t="n">
        <f aca="false">IFERROR(AF94/AF106,0)</f>
        <v>0</v>
      </c>
      <c r="AG118" s="19" t="n">
        <f aca="false">IFERROR(AG94/AG106,0)</f>
        <v>0.0372541726749872</v>
      </c>
      <c r="AH118" s="19" t="n">
        <f aca="false">IFERROR(AH94/AH106,0)</f>
        <v>0.154151989789999</v>
      </c>
      <c r="AI118" s="19" t="n">
        <f aca="false">IFERROR(AI94/AI106,0)</f>
        <v>0.193135630583594</v>
      </c>
      <c r="AJ118" s="19" t="n">
        <f aca="false">IFERROR(AJ94/AJ106,0)</f>
        <v>0.23211927137719</v>
      </c>
      <c r="AK118" s="19" t="n">
        <f aca="false">IFERROR(AK94/AK106,0)</f>
        <v>0.285120448179272</v>
      </c>
      <c r="AL118" s="19" t="n">
        <f aca="false">IFERROR(AL94/AL106,0)</f>
        <v>0.348705882352941</v>
      </c>
      <c r="AM118" s="19" t="n">
        <f aca="false">IFERROR(AM94/AM106,0)</f>
        <v>0.348705882352941</v>
      </c>
      <c r="AN118" s="19" t="n">
        <f aca="false">IFERROR(AN94/AN106,0)</f>
        <v>0.348705882352941</v>
      </c>
      <c r="AO118" s="19" t="n">
        <f aca="false">IFERROR(AO94/AO106,0)</f>
        <v>0.348705882352941</v>
      </c>
      <c r="AP118" s="19" t="n">
        <f aca="false">IFERROR(AP94/AP106,0)</f>
        <v>0.349915966386555</v>
      </c>
      <c r="AQ118" s="19" t="n">
        <f aca="false">IFERROR(AQ94/AQ106,0)</f>
        <v>0.350117647058823</v>
      </c>
      <c r="AR118" s="19" t="n">
        <f aca="false">IFERROR(AR94/AR106,0)</f>
        <v>0.350117647058823</v>
      </c>
      <c r="AS118" s="19" t="n">
        <f aca="false">IFERROR(AS94/AS106,0)</f>
        <v>0.350117647058823</v>
      </c>
      <c r="AT118" s="19" t="n">
        <f aca="false">IFERROR(AT94/AT106,0)</f>
        <v>0.352929520526159</v>
      </c>
      <c r="AU118" s="19" t="n">
        <f aca="false">IFERROR(AU94/AU106,0)</f>
        <v>0.34216045392516</v>
      </c>
      <c r="AV118" s="19" t="n">
        <f aca="false">IFERROR(AV94/AV106,0)</f>
        <v>0.31837965955613</v>
      </c>
      <c r="AW118" s="19" t="n">
        <f aca="false">IFERROR(AW94/AW106,0)</f>
        <v>0.294598865187101</v>
      </c>
      <c r="AX118" s="19" t="n">
        <f aca="false">IFERROR(AX94/AX106,0)</f>
        <v>0.278565415909954</v>
      </c>
      <c r="AY118" s="19" t="n">
        <f aca="false">IFERROR(AY94/AY106,0)</f>
        <v>0.296291316526611</v>
      </c>
      <c r="AZ118" s="19" t="n">
        <f aca="false">IFERROR(AZ94/AZ106,0)</f>
        <v>0.26753314659197</v>
      </c>
      <c r="BA118" s="19" t="n">
        <f aca="false">IFERROR(BA94/BA106,0)</f>
        <v>0.23877497665733</v>
      </c>
      <c r="BB118" s="19" t="n">
        <f aca="false">IFERROR(BB94/BB106,0)</f>
        <v>0</v>
      </c>
      <c r="BC118" s="19" t="n">
        <f aca="false">IFERROR(BC94/BC106,0)</f>
        <v>0</v>
      </c>
      <c r="BD118" s="19" t="n">
        <f aca="false">IFERROR(BD94/BD106,0)</f>
        <v>0</v>
      </c>
      <c r="BE118" s="19" t="n">
        <f aca="false">IFERROR(BE94/BE106,0)</f>
        <v>0</v>
      </c>
      <c r="BF118" s="19" t="n">
        <f aca="false">IFERROR(BF94/BF106,0)</f>
        <v>0</v>
      </c>
      <c r="BG118" s="19" t="n">
        <f aca="false">IFERROR(BG94/BG106,0)</f>
        <v>0</v>
      </c>
      <c r="BH118" s="19" t="n">
        <f aca="false">IFERROR(BH94/BH106,0)</f>
        <v>0</v>
      </c>
      <c r="BI118" s="19" t="n">
        <f aca="false">IFERROR(BI94/BI106,0)</f>
        <v>0</v>
      </c>
      <c r="BJ118" s="19" t="n">
        <f aca="false">IFERROR(BJ94/BJ106,0)</f>
        <v>0</v>
      </c>
      <c r="BK118" s="19" t="n">
        <f aca="false">IFERROR(BK94/BK106,0)</f>
        <v>0</v>
      </c>
      <c r="BL118" s="19" t="n">
        <f aca="false">IFERROR(BL94/BL106,0)</f>
        <v>0</v>
      </c>
      <c r="BM118" s="19" t="n">
        <f aca="false">IFERROR(BM94/BM106,0)</f>
        <v>0</v>
      </c>
      <c r="BN118" s="19" t="n">
        <f aca="false">IFERROR(BN94/BN106,0)</f>
        <v>0</v>
      </c>
      <c r="BO118" s="19" t="n">
        <f aca="false">IFERROR(BO94/BO106,0)</f>
        <v>0</v>
      </c>
      <c r="BP118" s="19" t="n">
        <f aca="false">IFERROR(BP94/BP106,0)</f>
        <v>0</v>
      </c>
      <c r="BQ118" s="19" t="n">
        <f aca="false">MAX(C118:BP118)</f>
        <v>0.352929520526159</v>
      </c>
    </row>
    <row r="119" customFormat="false" ht="15" hidden="false" customHeight="false" outlineLevel="0" collapsed="false">
      <c r="B119" s="15" t="s">
        <v>174</v>
      </c>
      <c r="C119" s="19" t="n">
        <f aca="false">IFERROR(C95/C107,0)</f>
        <v>0.0811344951180324</v>
      </c>
      <c r="D119" s="19" t="n">
        <f aca="false">IFERROR(D95/D107,0)</f>
        <v>0.0854123899467091</v>
      </c>
      <c r="E119" s="19" t="n">
        <f aca="false">IFERROR(E95/E107,0)</f>
        <v>0.0854123899467091</v>
      </c>
      <c r="F119" s="19" t="n">
        <f aca="false">IFERROR(F95/F107,0)</f>
        <v>0.0854123899467091</v>
      </c>
      <c r="G119" s="19" t="n">
        <f aca="false">IFERROR(G95/G107,0)</f>
        <v>0.0693746195845784</v>
      </c>
      <c r="H119" s="19" t="n">
        <f aca="false">IFERROR(H95/H107,0)</f>
        <v>0.0486574160105273</v>
      </c>
      <c r="I119" s="19" t="n">
        <f aca="false">IFERROR(I95/I107,0)</f>
        <v>0.0486574160105273</v>
      </c>
      <c r="J119" s="19" t="n">
        <f aca="false">IFERROR(J95/J107,0)</f>
        <v>0.060209938121588</v>
      </c>
      <c r="K119" s="19" t="n">
        <f aca="false">IFERROR(K95/K107,0)</f>
        <v>0.0716872699544553</v>
      </c>
      <c r="L119" s="19" t="n">
        <f aca="false">IFERROR(L95/L107,0)</f>
        <v>0</v>
      </c>
      <c r="M119" s="19" t="n">
        <f aca="false">IFERROR(M95/M107,0)</f>
        <v>0.0091477952990614</v>
      </c>
      <c r="N119" s="19" t="n">
        <f aca="false">IFERROR(N95/N107,0)</f>
        <v>0.0091477952990614</v>
      </c>
      <c r="O119" s="19" t="n">
        <f aca="false">IFERROR(O95/O107,0)</f>
        <v>0.0091477952990614</v>
      </c>
      <c r="P119" s="19" t="n">
        <f aca="false">IFERROR(P95/P107,0)</f>
        <v>0</v>
      </c>
      <c r="Q119" s="19" t="n">
        <f aca="false">IFERROR(Q95/Q107,0)</f>
        <v>0</v>
      </c>
      <c r="R119" s="19" t="n">
        <f aca="false">IFERROR(R95/R107,0)</f>
        <v>0</v>
      </c>
      <c r="S119" s="19" t="n">
        <f aca="false">IFERROR(S95/S107,0)</f>
        <v>0</v>
      </c>
      <c r="T119" s="19" t="n">
        <f aca="false">IFERROR(T95/T107,0)</f>
        <v>0</v>
      </c>
      <c r="U119" s="19" t="n">
        <f aca="false">IFERROR(U95/U107,0)</f>
        <v>0</v>
      </c>
      <c r="V119" s="19" t="n">
        <f aca="false">IFERROR(V95/V107,0)</f>
        <v>0</v>
      </c>
      <c r="W119" s="19" t="n">
        <f aca="false">IFERROR(W95/W107,0)</f>
        <v>0</v>
      </c>
      <c r="X119" s="19" t="n">
        <f aca="false">IFERROR(X95/X107,0)</f>
        <v>0</v>
      </c>
      <c r="Y119" s="19" t="n">
        <f aca="false">IFERROR(Y95/Y107,0)</f>
        <v>0</v>
      </c>
      <c r="Z119" s="19" t="n">
        <f aca="false">IFERROR(Z95/Z107,0)</f>
        <v>0.00329834163768497</v>
      </c>
      <c r="AA119" s="19" t="n">
        <f aca="false">IFERROR(AA95/AA107,0)</f>
        <v>0.0209409476113949</v>
      </c>
      <c r="AB119" s="19" t="n">
        <f aca="false">IFERROR(AB95/AB107,0)</f>
        <v>0.0357768964322741</v>
      </c>
      <c r="AC119" s="19" t="n">
        <f aca="false">IFERROR(AC95/AC107,0)</f>
        <v>0.0494631885828117</v>
      </c>
      <c r="AD119" s="19" t="n">
        <f aca="false">IFERROR(AD95/AD107,0)</f>
        <v>0.0494631885828117</v>
      </c>
      <c r="AE119" s="19" t="n">
        <f aca="false">IFERROR(AE95/AE107,0)</f>
        <v>0.0494631885828117</v>
      </c>
      <c r="AF119" s="19" t="n">
        <f aca="false">IFERROR(AF95/AF107,0)</f>
        <v>0.0494631885828117</v>
      </c>
      <c r="AG119" s="19" t="n">
        <f aca="false">IFERROR(AG95/AG107,0)</f>
        <v>0.129267951056952</v>
      </c>
      <c r="AH119" s="19" t="n">
        <f aca="false">IFERROR(AH95/AH107,0)</f>
        <v>0.221834440544373</v>
      </c>
      <c r="AI119" s="19" t="n">
        <f aca="false">IFERROR(AI95/AI107,0)</f>
        <v>0.237354808223415</v>
      </c>
      <c r="AJ119" s="19" t="n">
        <f aca="false">IFERROR(AJ95/AJ107,0)</f>
        <v>0.252875175902458</v>
      </c>
      <c r="AK119" s="19" t="n">
        <f aca="false">IFERROR(AK95/AK107,0)</f>
        <v>0.275351742339787</v>
      </c>
      <c r="AL119" s="19" t="n">
        <f aca="false">IFERROR(AL95/AL107,0)</f>
        <v>0.326106198105151</v>
      </c>
      <c r="AM119" s="19" t="n">
        <f aca="false">IFERROR(AM95/AM107,0)</f>
        <v>0.311939163732006</v>
      </c>
      <c r="AN119" s="19" t="n">
        <f aca="false">IFERROR(AN95/AN107,0)</f>
        <v>0.29777212935886</v>
      </c>
      <c r="AO119" s="19" t="n">
        <f aca="false">IFERROR(AO95/AO107,0)</f>
        <v>0.283605094985714</v>
      </c>
      <c r="AP119" s="19" t="n">
        <f aca="false">IFERROR(AP95/AP107,0)</f>
        <v>0.273883565941707</v>
      </c>
      <c r="AQ119" s="19" t="n">
        <f aca="false">IFERROR(AQ95/AQ107,0)</f>
        <v>0.261132069807853</v>
      </c>
      <c r="AR119" s="19" t="n">
        <f aca="false">IFERROR(AR95/AR107,0)</f>
        <v>0.173621175568333</v>
      </c>
      <c r="AS119" s="19" t="n">
        <f aca="false">IFERROR(AS95/AS107,0)</f>
        <v>0.166662011772946</v>
      </c>
      <c r="AT119" s="19" t="n">
        <f aca="false">IFERROR(AT95/AT107,0)</f>
        <v>0.130961093161678</v>
      </c>
      <c r="AU119" s="19" t="n">
        <f aca="false">IFERROR(AU95/AU107,0)</f>
        <v>0.125609067824196</v>
      </c>
      <c r="AV119" s="19" t="n">
        <f aca="false">IFERROR(AV95/AV107,0)</f>
        <v>0.115388228774868</v>
      </c>
      <c r="AW119" s="19" t="n">
        <f aca="false">IFERROR(AW95/AW107,0)</f>
        <v>0.105167389725539</v>
      </c>
      <c r="AX119" s="19" t="n">
        <f aca="false">IFERROR(AX95/AX107,0)</f>
        <v>0.0976488754907951</v>
      </c>
      <c r="AY119" s="19" t="n">
        <f aca="false">IFERROR(AY95/AY107,0)</f>
        <v>0.0587471572487603</v>
      </c>
      <c r="AZ119" s="19" t="n">
        <f aca="false">IFERROR(AZ95/AZ107,0)</f>
        <v>0.0528824952302018</v>
      </c>
      <c r="BA119" s="19" t="n">
        <f aca="false">IFERROR(BA95/BA107,0)</f>
        <v>0</v>
      </c>
      <c r="BB119" s="19" t="n">
        <f aca="false">IFERROR(BB95/BB107,0)</f>
        <v>0</v>
      </c>
      <c r="BC119" s="19" t="n">
        <f aca="false">IFERROR(BC95/BC107,0)</f>
        <v>0</v>
      </c>
      <c r="BD119" s="19" t="n">
        <f aca="false">IFERROR(BD95/BD107,0)</f>
        <v>0</v>
      </c>
      <c r="BE119" s="19" t="n">
        <f aca="false">IFERROR(BE95/BE107,0)</f>
        <v>0</v>
      </c>
      <c r="BF119" s="19" t="n">
        <f aca="false">IFERROR(BF95/BF107,0)</f>
        <v>0</v>
      </c>
      <c r="BG119" s="19" t="n">
        <f aca="false">IFERROR(BG95/BG107,0)</f>
        <v>0</v>
      </c>
      <c r="BH119" s="19" t="n">
        <f aca="false">IFERROR(BH95/BH107,0)</f>
        <v>0</v>
      </c>
      <c r="BI119" s="19" t="n">
        <f aca="false">IFERROR(BI95/BI107,0)</f>
        <v>0</v>
      </c>
      <c r="BJ119" s="19" t="n">
        <f aca="false">IFERROR(BJ95/BJ107,0)</f>
        <v>0</v>
      </c>
      <c r="BK119" s="19" t="n">
        <f aca="false">IFERROR(BK95/BK107,0)</f>
        <v>0</v>
      </c>
      <c r="BL119" s="19" t="n">
        <f aca="false">IFERROR(BL95/BL107,0)</f>
        <v>0</v>
      </c>
      <c r="BM119" s="19" t="n">
        <f aca="false">IFERROR(BM95/BM107,0)</f>
        <v>0</v>
      </c>
      <c r="BN119" s="19" t="n">
        <f aca="false">IFERROR(BN95/BN107,0)</f>
        <v>0</v>
      </c>
      <c r="BO119" s="19" t="n">
        <f aca="false">IFERROR(BO95/BO107,0)</f>
        <v>0</v>
      </c>
      <c r="BP119" s="19" t="n">
        <f aca="false">IFERROR(BP95/BP107,0)</f>
        <v>0</v>
      </c>
      <c r="BQ119" s="19" t="n">
        <f aca="false">MAX(C119:BP119)</f>
        <v>0.326106198105151</v>
      </c>
    </row>
    <row r="120" customFormat="false" ht="15" hidden="false" customHeight="false" outlineLevel="0" collapsed="false">
      <c r="B120" s="15" t="s">
        <v>175</v>
      </c>
      <c r="C120" s="19" t="n">
        <f aca="false">IFERROR(C96/C108,0)</f>
        <v>0.126061846177456</v>
      </c>
      <c r="D120" s="19" t="n">
        <f aca="false">IFERROR(D96/D108,0)</f>
        <v>0.126117093383124</v>
      </c>
      <c r="E120" s="19" t="n">
        <f aca="false">IFERROR(E96/E108,0)</f>
        <v>0.126117093383124</v>
      </c>
      <c r="F120" s="19" t="n">
        <f aca="false">IFERROR(F96/F108,0)</f>
        <v>0.126117093383124</v>
      </c>
      <c r="G120" s="19" t="n">
        <f aca="false">IFERROR(G96/G108,0)</f>
        <v>0.0951049952681792</v>
      </c>
      <c r="H120" s="19" t="n">
        <f aca="false">IFERROR(H96/H108,0)</f>
        <v>0.0718459216819705</v>
      </c>
      <c r="I120" s="19" t="n">
        <f aca="false">IFERROR(I96/I108,0)</f>
        <v>0.0718459216819705</v>
      </c>
      <c r="J120" s="19" t="n">
        <f aca="false">IFERROR(J96/J108,0)</f>
        <v>0.0619198403969614</v>
      </c>
      <c r="K120" s="19" t="n">
        <f aca="false">IFERROR(K96/K108,0)</f>
        <v>0.0413774714172443</v>
      </c>
      <c r="L120" s="19" t="n">
        <f aca="false">IFERROR(L96/L108,0)</f>
        <v>0</v>
      </c>
      <c r="M120" s="19" t="n">
        <f aca="false">IFERROR(M96/M108,0)</f>
        <v>0</v>
      </c>
      <c r="N120" s="19" t="n">
        <f aca="false">IFERROR(N96/N108,0)</f>
        <v>0</v>
      </c>
      <c r="O120" s="19" t="n">
        <f aca="false">IFERROR(O96/O108,0)</f>
        <v>0.00857292679610325</v>
      </c>
      <c r="P120" s="19" t="n">
        <f aca="false">IFERROR(P96/P108,0)</f>
        <v>0</v>
      </c>
      <c r="Q120" s="19" t="n">
        <f aca="false">IFERROR(Q96/Q108,0)</f>
        <v>0</v>
      </c>
      <c r="R120" s="19" t="n">
        <f aca="false">IFERROR(R96/R108,0)</f>
        <v>0</v>
      </c>
      <c r="S120" s="19" t="n">
        <f aca="false">IFERROR(S96/S108,0)</f>
        <v>0</v>
      </c>
      <c r="T120" s="19" t="n">
        <f aca="false">IFERROR(T96/T108,0)</f>
        <v>0.00226573971021254</v>
      </c>
      <c r="U120" s="19" t="n">
        <f aca="false">IFERROR(U96/U108,0)</f>
        <v>0.0116050082718204</v>
      </c>
      <c r="V120" s="19" t="n">
        <f aca="false">IFERROR(V96/V108,0)</f>
        <v>0.0114224733564741</v>
      </c>
      <c r="W120" s="19" t="n">
        <f aca="false">IFERROR(W96/W108,0)</f>
        <v>0</v>
      </c>
      <c r="X120" s="19" t="n">
        <f aca="false">IFERROR(X96/X108,0)</f>
        <v>0</v>
      </c>
      <c r="Y120" s="19" t="n">
        <f aca="false">IFERROR(Y96/Y108,0)</f>
        <v>0</v>
      </c>
      <c r="Z120" s="19" t="n">
        <f aca="false">IFERROR(Z96/Z108,0)</f>
        <v>0.0148089353374734</v>
      </c>
      <c r="AA120" s="19" t="n">
        <f aca="false">IFERROR(AA96/AA108,0)</f>
        <v>0.0409802065952605</v>
      </c>
      <c r="AB120" s="19" t="n">
        <f aca="false">IFERROR(AB96/AB108,0)</f>
        <v>0.042262487418171</v>
      </c>
      <c r="AC120" s="19" t="n">
        <f aca="false">IFERROR(AC96/AC108,0)</f>
        <v>0.0522095722704766</v>
      </c>
      <c r="AD120" s="19" t="n">
        <f aca="false">IFERROR(AD96/AD108,0)</f>
        <v>0.0522095722704766</v>
      </c>
      <c r="AE120" s="19" t="n">
        <f aca="false">IFERROR(AE96/AE108,0)</f>
        <v>0.0522095722704766</v>
      </c>
      <c r="AF120" s="19" t="n">
        <f aca="false">IFERROR(AF96/AF108,0)</f>
        <v>0.0522095722704766</v>
      </c>
      <c r="AG120" s="19" t="n">
        <f aca="false">IFERROR(AG96/AG108,0)</f>
        <v>0.117907939808402</v>
      </c>
      <c r="AH120" s="19" t="n">
        <f aca="false">IFERROR(AH96/AH108,0)</f>
        <v>0.167181715461845</v>
      </c>
      <c r="AI120" s="19" t="n">
        <f aca="false">IFERROR(AI96/AI108,0)</f>
        <v>0.167181715461845</v>
      </c>
      <c r="AJ120" s="19" t="n">
        <f aca="false">IFERROR(AJ96/AJ108,0)</f>
        <v>0.16376293996638</v>
      </c>
      <c r="AK120" s="19" t="n">
        <f aca="false">IFERROR(AK96/AK108,0)</f>
        <v>0.171173084823164</v>
      </c>
      <c r="AL120" s="19" t="n">
        <f aca="false">IFERROR(AL96/AL108,0)</f>
        <v>0.198495517186745</v>
      </c>
      <c r="AM120" s="19" t="n">
        <f aca="false">IFERROR(AM96/AM108,0)</f>
        <v>0.184200103576339</v>
      </c>
      <c r="AN120" s="19" t="n">
        <f aca="false">IFERROR(AN96/AN108,0)</f>
        <v>0.169904689965933</v>
      </c>
      <c r="AO120" s="19" t="n">
        <f aca="false">IFERROR(AO96/AO108,0)</f>
        <v>0.155609276355527</v>
      </c>
      <c r="AP120" s="19" t="n">
        <f aca="false">IFERROR(AP96/AP108,0)</f>
        <v>0.162204620609941</v>
      </c>
      <c r="AQ120" s="19" t="n">
        <f aca="false">IFERROR(AQ96/AQ108,0)</f>
        <v>0.166868119505023</v>
      </c>
      <c r="AR120" s="19" t="n">
        <f aca="false">IFERROR(AR96/AR108,0)</f>
        <v>0.0922550471415532</v>
      </c>
      <c r="AS120" s="19" t="n">
        <f aca="false">IFERROR(AS96/AS108,0)</f>
        <v>0.0868220524590086</v>
      </c>
      <c r="AT120" s="19" t="n">
        <f aca="false">IFERROR(AT96/AT108,0)</f>
        <v>0.0531774825460699</v>
      </c>
      <c r="AU120" s="19" t="n">
        <f aca="false">IFERROR(AU96/AU108,0)</f>
        <v>0.090842419933683</v>
      </c>
      <c r="AV120" s="19" t="n">
        <f aca="false">IFERROR(AV96/AV108,0)</f>
        <v>0.113594461055102</v>
      </c>
      <c r="AW120" s="19" t="n">
        <f aca="false">IFERROR(AW96/AW108,0)</f>
        <v>0.136346502176522</v>
      </c>
      <c r="AX120" s="19" t="n">
        <f aca="false">IFERROR(AX96/AX108,0)</f>
        <v>0.167464342528652</v>
      </c>
      <c r="AY120" s="19" t="n">
        <f aca="false">IFERROR(AY96/AY108,0)</f>
        <v>0.238011276102494</v>
      </c>
      <c r="AZ120" s="19" t="n">
        <f aca="false">IFERROR(AZ96/AZ108,0)</f>
        <v>0.259886641541314</v>
      </c>
      <c r="BA120" s="19" t="n">
        <f aca="false">IFERROR(BA96/BA108,0)</f>
        <v>0.278224480320725</v>
      </c>
      <c r="BB120" s="19" t="n">
        <f aca="false">IFERROR(BB96/BB108,0)</f>
        <v>0.296562319100136</v>
      </c>
      <c r="BC120" s="19" t="n">
        <f aca="false">IFERROR(BC96/BC108,0)</f>
        <v>0.312514880351535</v>
      </c>
      <c r="BD120" s="19" t="n">
        <f aca="false">IFERROR(BD96/BD108,0)</f>
        <v>0.315343200481973</v>
      </c>
      <c r="BE120" s="19" t="n">
        <f aca="false">IFERROR(BE96/BE108,0)</f>
        <v>0.315343200481973</v>
      </c>
      <c r="BF120" s="19" t="n">
        <f aca="false">IFERROR(BF96/BF108,0)</f>
        <v>0.304705276232804</v>
      </c>
      <c r="BG120" s="19" t="n">
        <f aca="false">IFERROR(BG96/BG108,0)</f>
        <v>0.227141496998936</v>
      </c>
      <c r="BH120" s="19" t="n">
        <f aca="false">IFERROR(BH96/BH108,0)</f>
        <v>0.131027017504932</v>
      </c>
      <c r="BI120" s="19" t="n">
        <f aca="false">IFERROR(BI96/BI108,0)</f>
        <v>0.111854298858154</v>
      </c>
      <c r="BJ120" s="19" t="n">
        <f aca="false">IFERROR(BJ96/BJ108,0)</f>
        <v>0.0849232638047029</v>
      </c>
      <c r="BK120" s="19" t="n">
        <f aca="false">IFERROR(BK96/BK108,0)</f>
        <v>0.0513092017819517</v>
      </c>
      <c r="BL120" s="19" t="n">
        <f aca="false">IFERROR(BL96/BL108,0)</f>
        <v>0</v>
      </c>
      <c r="BM120" s="19" t="n">
        <f aca="false">IFERROR(BM96/BM108,0)</f>
        <v>0</v>
      </c>
      <c r="BN120" s="19" t="n">
        <f aca="false">IFERROR(BN96/BN108,0)</f>
        <v>0</v>
      </c>
      <c r="BO120" s="19" t="n">
        <f aca="false">IFERROR(BO96/BO108,0)</f>
        <v>0</v>
      </c>
      <c r="BP120" s="19" t="n">
        <f aca="false">IFERROR(BP96/BP108,0)</f>
        <v>0</v>
      </c>
      <c r="BQ120" s="19" t="n">
        <f aca="false">MAX(C120:BP120)</f>
        <v>0.315343200481973</v>
      </c>
    </row>
    <row r="121" customFormat="false" ht="15" hidden="false" customHeight="false" outlineLevel="0" collapsed="false">
      <c r="B121" s="15" t="s">
        <v>176</v>
      </c>
      <c r="C121" s="19" t="n">
        <f aca="false">IFERROR(C97/C109,0)</f>
        <v>0.147890966081224</v>
      </c>
      <c r="D121" s="19" t="n">
        <f aca="false">IFERROR(D97/D109,0)</f>
        <v>0.10589910164408</v>
      </c>
      <c r="E121" s="19" t="n">
        <f aca="false">IFERROR(E97/E109,0)</f>
        <v>0.072176759410802</v>
      </c>
      <c r="F121" s="19" t="n">
        <f aca="false">IFERROR(F97/F109,0)</f>
        <v>0.0672737810777428</v>
      </c>
      <c r="G121" s="19" t="n">
        <f aca="false">IFERROR(G97/G109,0)</f>
        <v>0.0428932657106929</v>
      </c>
      <c r="H121" s="19" t="n">
        <f aca="false">IFERROR(H97/H109,0)</f>
        <v>0.0231285322745687</v>
      </c>
      <c r="I121" s="19" t="n">
        <f aca="false">IFERROR(I97/I109,0)</f>
        <v>0.0165010581140198</v>
      </c>
      <c r="J121" s="19" t="n">
        <f aca="false">IFERROR(J97/J109,0)</f>
        <v>0.00987358395347084</v>
      </c>
      <c r="K121" s="19" t="n">
        <f aca="false">IFERROR(K97/K109,0)</f>
        <v>0</v>
      </c>
      <c r="L121" s="19" t="n">
        <f aca="false">IFERROR(L97/L109,0)</f>
        <v>0</v>
      </c>
      <c r="M121" s="19" t="n">
        <f aca="false">IFERROR(M97/M109,0)</f>
        <v>0</v>
      </c>
      <c r="N121" s="19" t="n">
        <f aca="false">IFERROR(N97/N109,0)</f>
        <v>0</v>
      </c>
      <c r="O121" s="19" t="n">
        <f aca="false">IFERROR(O97/O109,0)</f>
        <v>0.0010458236598331</v>
      </c>
      <c r="P121" s="19" t="n">
        <f aca="false">IFERROR(P97/P109,0)</f>
        <v>0</v>
      </c>
      <c r="Q121" s="19" t="n">
        <f aca="false">IFERROR(Q97/Q109,0)</f>
        <v>0</v>
      </c>
      <c r="R121" s="19" t="n">
        <f aca="false">IFERROR(R97/R109,0)</f>
        <v>0</v>
      </c>
      <c r="S121" s="19" t="n">
        <f aca="false">IFERROR(S97/S109,0)</f>
        <v>0</v>
      </c>
      <c r="T121" s="19" t="n">
        <f aca="false">IFERROR(T97/T109,0)</f>
        <v>0.000573382733621359</v>
      </c>
      <c r="U121" s="19" t="n">
        <f aca="false">IFERROR(U97/U109,0)</f>
        <v>0.00293683839171917</v>
      </c>
      <c r="V121" s="19" t="n">
        <f aca="false">IFERROR(V97/V109,0)</f>
        <v>0.00293683839171917</v>
      </c>
      <c r="W121" s="19" t="n">
        <f aca="false">IFERROR(W97/W109,0)</f>
        <v>0</v>
      </c>
      <c r="X121" s="19" t="n">
        <f aca="false">IFERROR(X97/X109,0)</f>
        <v>0</v>
      </c>
      <c r="Y121" s="19" t="n">
        <f aca="false">IFERROR(Y97/Y109,0)</f>
        <v>0.00690844226230239</v>
      </c>
      <c r="Z121" s="19" t="n">
        <f aca="false">IFERROR(Z97/Z109,0)</f>
        <v>0.0179350879819177</v>
      </c>
      <c r="AA121" s="19" t="n">
        <f aca="false">IFERROR(AA97/AA109,0)</f>
        <v>0.0361054441823738</v>
      </c>
      <c r="AB121" s="19" t="n">
        <f aca="false">IFERROR(AB97/AB109,0)</f>
        <v>0.0377566039255267</v>
      </c>
      <c r="AC121" s="19" t="n">
        <f aca="false">IFERROR(AC97/AC109,0)</f>
        <v>0.0552572341360392</v>
      </c>
      <c r="AD121" s="19" t="n">
        <f aca="false">IFERROR(AD97/AD109,0)</f>
        <v>0.0630421006317303</v>
      </c>
      <c r="AE121" s="19" t="n">
        <f aca="false">IFERROR(AE97/AE109,0)</f>
        <v>0.0655362860381831</v>
      </c>
      <c r="AF121" s="19" t="n">
        <f aca="false">IFERROR(AF97/AF109,0)</f>
        <v>0.0630618128441483</v>
      </c>
      <c r="AG121" s="19" t="n">
        <f aca="false">IFERROR(AG97/AG109,0)</f>
        <v>0.157739773637913</v>
      </c>
      <c r="AH121" s="19" t="n">
        <f aca="false">IFERROR(AH97/AH109,0)</f>
        <v>0.23868840717144</v>
      </c>
      <c r="AI121" s="19" t="n">
        <f aca="false">IFERROR(AI97/AI109,0)</f>
        <v>0.240497741017379</v>
      </c>
      <c r="AJ121" s="19" t="n">
        <f aca="false">IFERROR(AJ97/AJ109,0)</f>
        <v>0.237448626896558</v>
      </c>
      <c r="AK121" s="19" t="n">
        <f aca="false">IFERROR(AK97/AK109,0)</f>
        <v>0.231047284899025</v>
      </c>
      <c r="AL121" s="19" t="n">
        <f aca="false">IFERROR(AL97/AL109,0)</f>
        <v>0.273454333348405</v>
      </c>
      <c r="AM121" s="19" t="n">
        <f aca="false">IFERROR(AM97/AM109,0)</f>
        <v>0.268183117575394</v>
      </c>
      <c r="AN121" s="19" t="n">
        <f aca="false">IFERROR(AN97/AN109,0)</f>
        <v>0.252859085487139</v>
      </c>
      <c r="AO121" s="19" t="n">
        <f aca="false">IFERROR(AO97/AO109,0)</f>
        <v>0.237535053398883</v>
      </c>
      <c r="AP121" s="19" t="n">
        <f aca="false">IFERROR(AP97/AP109,0)</f>
        <v>0.191861911204767</v>
      </c>
      <c r="AQ121" s="19" t="n">
        <f aca="false">IFERROR(AQ97/AQ109,0)</f>
        <v>0.183241341801805</v>
      </c>
      <c r="AR121" s="19" t="n">
        <f aca="false">IFERROR(AR97/AR109,0)</f>
        <v>0.105237244728971</v>
      </c>
      <c r="AS121" s="19" t="n">
        <f aca="false">IFERROR(AS97/AS109,0)</f>
        <v>0.121740660598235</v>
      </c>
      <c r="AT121" s="19" t="n">
        <f aca="false">IFERROR(AT97/AT109,0)</f>
        <v>0.101438318981278</v>
      </c>
      <c r="AU121" s="19" t="n">
        <f aca="false">IFERROR(AU97/AU109,0)</f>
        <v>0.110531122476677</v>
      </c>
      <c r="AV121" s="19" t="n">
        <f aca="false">IFERROR(AV97/AV109,0)</f>
        <v>0.118394951192376</v>
      </c>
      <c r="AW121" s="19" t="n">
        <f aca="false">IFERROR(AW97/AW109,0)</f>
        <v>0.127083171154241</v>
      </c>
      <c r="AX121" s="19" t="n">
        <f aca="false">IFERROR(AX97/AX109,0)</f>
        <v>0.144551263756296</v>
      </c>
      <c r="AY121" s="19" t="n">
        <f aca="false">IFERROR(AY97/AY109,0)</f>
        <v>0.184867662298137</v>
      </c>
      <c r="AZ121" s="19" t="n">
        <f aca="false">IFERROR(AZ97/AZ109,0)</f>
        <v>0.17933124012144</v>
      </c>
      <c r="BA121" s="19" t="n">
        <f aca="false">IFERROR(BA97/BA109,0)</f>
        <v>0.199240165886824</v>
      </c>
      <c r="BB121" s="19" t="n">
        <f aca="false">IFERROR(BB97/BB109,0)</f>
        <v>0.212531454188001</v>
      </c>
      <c r="BC121" s="19" t="n">
        <f aca="false">IFERROR(BC97/BC109,0)</f>
        <v>0.219942623957353</v>
      </c>
      <c r="BD121" s="19" t="n">
        <f aca="false">IFERROR(BD97/BD109,0)</f>
        <v>0.216439800176115</v>
      </c>
      <c r="BE121" s="19" t="n">
        <f aca="false">IFERROR(BE97/BE109,0)</f>
        <v>0.209451027189832</v>
      </c>
      <c r="BF121" s="19" t="n">
        <f aca="false">IFERROR(BF97/BF109,0)</f>
        <v>0.202462254203549</v>
      </c>
      <c r="BG121" s="19" t="n">
        <f aca="false">IFERROR(BG97/BG109,0)</f>
        <v>0.15694955478518</v>
      </c>
      <c r="BH121" s="19" t="n">
        <f aca="false">IFERROR(BH97/BH109,0)</f>
        <v>0.0988365387280556</v>
      </c>
      <c r="BI121" s="19" t="n">
        <f aca="false">IFERROR(BI97/BI109,0)</f>
        <v>0.0879573454499949</v>
      </c>
      <c r="BJ121" s="19" t="n">
        <f aca="false">IFERROR(BJ97/BJ109,0)</f>
        <v>0.0747156130984724</v>
      </c>
      <c r="BK121" s="19" t="n">
        <f aca="false">IFERROR(BK97/BK109,0)</f>
        <v>0.0604220253694788</v>
      </c>
      <c r="BL121" s="19" t="n">
        <f aca="false">IFERROR(BL97/BL109,0)</f>
        <v>0</v>
      </c>
      <c r="BM121" s="19" t="n">
        <f aca="false">IFERROR(BM97/BM109,0)</f>
        <v>0</v>
      </c>
      <c r="BN121" s="19" t="n">
        <f aca="false">IFERROR(BN97/BN109,0)</f>
        <v>0</v>
      </c>
      <c r="BO121" s="19" t="n">
        <f aca="false">IFERROR(BO97/BO109,0)</f>
        <v>0</v>
      </c>
      <c r="BP121" s="19" t="n">
        <f aca="false">IFERROR(BP97/BP109,0)</f>
        <v>0</v>
      </c>
      <c r="BQ121" s="19" t="n">
        <f aca="false">MAX(C121:BP121)</f>
        <v>0.273454333348405</v>
      </c>
    </row>
    <row r="122" customFormat="false" ht="15" hidden="false" customHeight="false" outlineLevel="0" collapsed="false">
      <c r="B122" s="15" t="s">
        <v>177</v>
      </c>
      <c r="C122" s="19" t="n">
        <f aca="false">IFERROR(C98/C110,0)</f>
        <v>0.141597425890181</v>
      </c>
      <c r="D122" s="19" t="n">
        <f aca="false">IFERROR(D98/D110,0)</f>
        <v>0.125190961498311</v>
      </c>
      <c r="E122" s="19" t="n">
        <f aca="false">IFERROR(E98/E110,0)</f>
        <v>0.0829933013841612</v>
      </c>
      <c r="F122" s="19" t="n">
        <f aca="false">IFERROR(F98/F110,0)</f>
        <v>0.0477783751805358</v>
      </c>
      <c r="G122" s="19" t="n">
        <f aca="false">IFERROR(G98/G110,0)</f>
        <v>0.021653121448645</v>
      </c>
      <c r="H122" s="19" t="n">
        <f aca="false">IFERROR(H98/H110,0)</f>
        <v>0</v>
      </c>
      <c r="I122" s="19" t="n">
        <f aca="false">IFERROR(I98/I110,0)</f>
        <v>0</v>
      </c>
      <c r="J122" s="19" t="n">
        <f aca="false">IFERROR(J98/J110,0)</f>
        <v>0</v>
      </c>
      <c r="K122" s="19" t="n">
        <f aca="false">IFERROR(K98/K110,0)</f>
        <v>0</v>
      </c>
      <c r="L122" s="19" t="n">
        <f aca="false">IFERROR(L98/L110,0)</f>
        <v>0</v>
      </c>
      <c r="M122" s="19" t="n">
        <f aca="false">IFERROR(M98/M110,0)</f>
        <v>0</v>
      </c>
      <c r="N122" s="19" t="n">
        <f aca="false">IFERROR(N98/N110,0)</f>
        <v>0</v>
      </c>
      <c r="O122" s="19" t="n">
        <f aca="false">IFERROR(O98/O110,0)</f>
        <v>0.000860930130536092</v>
      </c>
      <c r="P122" s="19" t="n">
        <f aca="false">IFERROR(P98/P110,0)</f>
        <v>0</v>
      </c>
      <c r="Q122" s="19" t="n">
        <f aca="false">IFERROR(Q98/Q110,0)</f>
        <v>0</v>
      </c>
      <c r="R122" s="19" t="n">
        <f aca="false">IFERROR(R98/R110,0)</f>
        <v>0</v>
      </c>
      <c r="S122" s="19" t="n">
        <f aca="false">IFERROR(S98/S110,0)</f>
        <v>0</v>
      </c>
      <c r="T122" s="19" t="n">
        <f aca="false">IFERROR(T98/T110,0)</f>
        <v>0.00330375959030853</v>
      </c>
      <c r="U122" s="19" t="n">
        <f aca="false">IFERROR(U98/U110,0)</f>
        <v>0.0169216954625559</v>
      </c>
      <c r="V122" s="19" t="n">
        <f aca="false">IFERROR(V98/V110,0)</f>
        <v>0.0169216954625559</v>
      </c>
      <c r="W122" s="19" t="n">
        <f aca="false">IFERROR(W98/W110,0)</f>
        <v>0.00697487050490181</v>
      </c>
      <c r="X122" s="19" t="n">
        <f aca="false">IFERROR(X98/X110,0)</f>
        <v>0</v>
      </c>
      <c r="Y122" s="19" t="n">
        <f aca="false">IFERROR(Y98/Y110,0)</f>
        <v>0</v>
      </c>
      <c r="Z122" s="19" t="n">
        <f aca="false">IFERROR(Z98/Z110,0)</f>
        <v>0.00332308624053259</v>
      </c>
      <c r="AA122" s="19" t="n">
        <f aca="false">IFERROR(AA98/AA110,0)</f>
        <v>0.0105868395837043</v>
      </c>
      <c r="AB122" s="19" t="n">
        <f aca="false">IFERROR(AB98/AB110,0)</f>
        <v>0.0169290537663495</v>
      </c>
      <c r="AC122" s="19" t="n">
        <f aca="false">IFERROR(AC98/AC110,0)</f>
        <v>0.0214833037555399</v>
      </c>
      <c r="AD122" s="19" t="n">
        <f aca="false">IFERROR(AD98/AD110,0)</f>
        <v>0.0214833037555399</v>
      </c>
      <c r="AE122" s="19" t="n">
        <f aca="false">IFERROR(AE98/AE110,0)</f>
        <v>0.0238923114002512</v>
      </c>
      <c r="AF122" s="19" t="n">
        <f aca="false">IFERROR(AF98/AF110,0)</f>
        <v>0.0293896783182482</v>
      </c>
      <c r="AG122" s="19" t="n">
        <f aca="false">IFERROR(AG98/AG110,0)</f>
        <v>0.0952675380162186</v>
      </c>
      <c r="AH122" s="19" t="n">
        <f aca="false">IFERROR(AH98/AH110,0)</f>
        <v>0.193876189982958</v>
      </c>
      <c r="AI122" s="19" t="n">
        <f aca="false">IFERROR(AI98/AI110,0)</f>
        <v>0.21659788923716</v>
      </c>
      <c r="AJ122" s="19" t="n">
        <f aca="false">IFERROR(AJ98/AJ110,0)</f>
        <v>0.232304940487863</v>
      </c>
      <c r="AK122" s="19" t="n">
        <f aca="false">IFERROR(AK98/AK110,0)</f>
        <v>0.265842934782732</v>
      </c>
      <c r="AL122" s="19" t="n">
        <f aca="false">IFERROR(AL98/AL110,0)</f>
        <v>0.334386442858569</v>
      </c>
      <c r="AM122" s="19" t="n">
        <f aca="false">IFERROR(AM98/AM110,0)</f>
        <v>0.326944708356446</v>
      </c>
      <c r="AN122" s="19" t="n">
        <f aca="false">IFERROR(AN98/AN110,0)</f>
        <v>0.319171083131076</v>
      </c>
      <c r="AO122" s="19" t="n">
        <f aca="false">IFERROR(AO98/AO110,0)</f>
        <v>0.284080328716202</v>
      </c>
      <c r="AP122" s="19" t="n">
        <f aca="false">IFERROR(AP98/AP110,0)</f>
        <v>0.290446685524717</v>
      </c>
      <c r="AQ122" s="19" t="n">
        <f aca="false">IFERROR(AQ98/AQ110,0)</f>
        <v>0.285481967257156</v>
      </c>
      <c r="AR122" s="19" t="n">
        <f aca="false">IFERROR(AR98/AR110,0)</f>
        <v>0.2471057501555</v>
      </c>
      <c r="AS122" s="19" t="n">
        <f aca="false">IFERROR(AS98/AS110,0)</f>
        <v>0.215809573428515</v>
      </c>
      <c r="AT122" s="19" t="n">
        <f aca="false">IFERROR(AT98/AT110,0)</f>
        <v>0.228087232508238</v>
      </c>
      <c r="AU122" s="19" t="n">
        <f aca="false">IFERROR(AU98/AU110,0)</f>
        <v>0.224015217954852</v>
      </c>
      <c r="AV122" s="19" t="n">
        <f aca="false">IFERROR(AV98/AV110,0)</f>
        <v>0.213120676088453</v>
      </c>
      <c r="AW122" s="19" t="n">
        <f aca="false">IFERROR(AW98/AW110,0)</f>
        <v>0.202530838728211</v>
      </c>
      <c r="AX122" s="19" t="n">
        <f aca="false">IFERROR(AX98/AX110,0)</f>
        <v>0.177001075738193</v>
      </c>
      <c r="AY122" s="19" t="n">
        <f aca="false">IFERROR(AY98/AY110,0)</f>
        <v>0.182761830666853</v>
      </c>
      <c r="AZ122" s="19" t="n">
        <f aca="false">IFERROR(AZ98/AZ110,0)</f>
        <v>0.174421311428946</v>
      </c>
      <c r="BA122" s="19" t="n">
        <f aca="false">IFERROR(BA98/BA110,0)</f>
        <v>0.126135171391219</v>
      </c>
      <c r="BB122" s="19" t="n">
        <f aca="false">IFERROR(BB98/BB110,0)</f>
        <v>0.139920961998426</v>
      </c>
      <c r="BC122" s="19" t="n">
        <f aca="false">IFERROR(BC98/BC110,0)</f>
        <v>0.148675606269624</v>
      </c>
      <c r="BD122" s="19" t="n">
        <f aca="false">IFERROR(BD98/BD110,0)</f>
        <v>0.157677056805396</v>
      </c>
      <c r="BE122" s="19" t="n">
        <f aca="false">IFERROR(BE98/BE110,0)</f>
        <v>0.15819038112402</v>
      </c>
      <c r="BF122" s="19" t="n">
        <f aca="false">IFERROR(BF98/BF110,0)</f>
        <v>0.15819038112402</v>
      </c>
      <c r="BG122" s="19" t="n">
        <f aca="false">IFERROR(BG98/BG110,0)</f>
        <v>0.129964773350187</v>
      </c>
      <c r="BH122" s="19" t="n">
        <f aca="false">IFERROR(BH98/BH110,0)</f>
        <v>0.0875693507474906</v>
      </c>
      <c r="BI122" s="19" t="n">
        <f aca="false">IFERROR(BI98/BI110,0)</f>
        <v>0.0801600841938935</v>
      </c>
      <c r="BJ122" s="19" t="n">
        <f aca="false">IFERROR(BJ98/BJ110,0)</f>
        <v>0.0706110778341786</v>
      </c>
      <c r="BK122" s="19" t="n">
        <f aca="false">IFERROR(BK98/BK110,0)</f>
        <v>0.0610620714744637</v>
      </c>
      <c r="BL122" s="19" t="n">
        <f aca="false">IFERROR(BL98/BL110,0)</f>
        <v>0.00101288131835692</v>
      </c>
      <c r="BM122" s="19" t="n">
        <f aca="false">IFERROR(BM98/BM110,0)</f>
        <v>0</v>
      </c>
      <c r="BN122" s="19" t="n">
        <f aca="false">IFERROR(BN98/BN110,0)</f>
        <v>0</v>
      </c>
      <c r="BO122" s="19" t="n">
        <f aca="false">IFERROR(BO98/BO110,0)</f>
        <v>0</v>
      </c>
      <c r="BP122" s="19" t="n">
        <f aca="false">IFERROR(BP98/BP110,0)</f>
        <v>0</v>
      </c>
      <c r="BQ122" s="19" t="n">
        <f aca="false">MAX(C122:BP122)</f>
        <v>0.334386442858569</v>
      </c>
    </row>
    <row r="123" customFormat="false" ht="15" hidden="false" customHeight="false" outlineLevel="0" collapsed="false">
      <c r="B123" s="15" t="s">
        <v>178</v>
      </c>
      <c r="C123" s="19" t="n">
        <f aca="false">IFERROR(C99/C111,0)</f>
        <v>0</v>
      </c>
      <c r="D123" s="19" t="n">
        <f aca="false">IFERROR(D99/D111,0)</f>
        <v>0</v>
      </c>
      <c r="E123" s="19" t="n">
        <f aca="false">IFERROR(E99/E111,0)</f>
        <v>0</v>
      </c>
      <c r="F123" s="19" t="n">
        <f aca="false">IFERROR(F99/F111,0)</f>
        <v>0</v>
      </c>
      <c r="G123" s="19" t="n">
        <f aca="false">IFERROR(G99/G111,0)</f>
        <v>0</v>
      </c>
      <c r="H123" s="19" t="n">
        <f aca="false">IFERROR(H99/H111,0)</f>
        <v>0</v>
      </c>
      <c r="I123" s="19" t="n">
        <f aca="false">IFERROR(I99/I111,0)</f>
        <v>0</v>
      </c>
      <c r="J123" s="19" t="n">
        <f aca="false">IFERROR(J99/J111,0)</f>
        <v>0</v>
      </c>
      <c r="K123" s="19" t="n">
        <f aca="false">IFERROR(K99/K111,0)</f>
        <v>0</v>
      </c>
      <c r="L123" s="19" t="n">
        <f aca="false">IFERROR(L99/L111,0)</f>
        <v>0</v>
      </c>
      <c r="M123" s="19" t="n">
        <f aca="false">IFERROR(M99/M111,0)</f>
        <v>0</v>
      </c>
      <c r="N123" s="19" t="n">
        <f aca="false">IFERROR(N99/N111,0)</f>
        <v>0</v>
      </c>
      <c r="O123" s="19" t="n">
        <f aca="false">IFERROR(O99/O111,0)</f>
        <v>0</v>
      </c>
      <c r="P123" s="19" t="n">
        <f aca="false">IFERROR(P99/P111,0)</f>
        <v>0</v>
      </c>
      <c r="Q123" s="19" t="n">
        <f aca="false">IFERROR(Q99/Q111,0)</f>
        <v>0</v>
      </c>
      <c r="R123" s="19" t="n">
        <f aca="false">IFERROR(R99/R111,0)</f>
        <v>0</v>
      </c>
      <c r="S123" s="19" t="n">
        <f aca="false">IFERROR(S99/S111,0)</f>
        <v>0</v>
      </c>
      <c r="T123" s="19" t="n">
        <f aca="false">IFERROR(T99/T111,0)</f>
        <v>0</v>
      </c>
      <c r="U123" s="19" t="n">
        <f aca="false">IFERROR(U99/U111,0)</f>
        <v>0</v>
      </c>
      <c r="V123" s="19" t="n">
        <f aca="false">IFERROR(V99/V111,0)</f>
        <v>0</v>
      </c>
      <c r="W123" s="19" t="n">
        <f aca="false">IFERROR(W99/W111,0)</f>
        <v>0</v>
      </c>
      <c r="X123" s="19" t="n">
        <f aca="false">IFERROR(X99/X111,0)</f>
        <v>0</v>
      </c>
      <c r="Y123" s="19" t="n">
        <f aca="false">IFERROR(Y99/Y111,0)</f>
        <v>0</v>
      </c>
      <c r="Z123" s="19" t="n">
        <f aca="false">IFERROR(Z99/Z111,0)</f>
        <v>0</v>
      </c>
      <c r="AA123" s="19" t="n">
        <f aca="false">IFERROR(AA99/AA111,0)</f>
        <v>0</v>
      </c>
      <c r="AB123" s="19" t="n">
        <f aca="false">IFERROR(AB99/AB111,0)</f>
        <v>0</v>
      </c>
      <c r="AC123" s="19" t="n">
        <f aca="false">IFERROR(AC99/AC111,0)</f>
        <v>0</v>
      </c>
      <c r="AD123" s="19" t="n">
        <f aca="false">IFERROR(AD99/AD111,0)</f>
        <v>0</v>
      </c>
      <c r="AE123" s="19" t="n">
        <f aca="false">IFERROR(AE99/AE111,0)</f>
        <v>0</v>
      </c>
      <c r="AF123" s="19" t="n">
        <f aca="false">IFERROR(AF99/AF111,0)</f>
        <v>0</v>
      </c>
      <c r="AG123" s="19" t="n">
        <f aca="false">IFERROR(AG99/AG111,0)</f>
        <v>0</v>
      </c>
      <c r="AH123" s="19" t="n">
        <f aca="false">IFERROR(AH99/AH111,0)</f>
        <v>0</v>
      </c>
      <c r="AI123" s="19" t="n">
        <f aca="false">IFERROR(AI99/AI111,0)</f>
        <v>0</v>
      </c>
      <c r="AJ123" s="19" t="n">
        <f aca="false">IFERROR(AJ99/AJ111,0)</f>
        <v>0</v>
      </c>
      <c r="AK123" s="19" t="n">
        <f aca="false">IFERROR(AK99/AK111,0)</f>
        <v>0</v>
      </c>
      <c r="AL123" s="19" t="n">
        <f aca="false">IFERROR(AL99/AL111,0)</f>
        <v>0</v>
      </c>
      <c r="AM123" s="19" t="n">
        <f aca="false">IFERROR(AM99/AM111,0)</f>
        <v>0</v>
      </c>
      <c r="AN123" s="19" t="n">
        <f aca="false">IFERROR(AN99/AN111,0)</f>
        <v>0</v>
      </c>
      <c r="AO123" s="19" t="n">
        <f aca="false">IFERROR(AO99/AO111,0)</f>
        <v>0</v>
      </c>
      <c r="AP123" s="19" t="n">
        <f aca="false">IFERROR(AP99/AP111,0)</f>
        <v>0</v>
      </c>
      <c r="AQ123" s="19" t="n">
        <f aca="false">IFERROR(AQ99/AQ111,0)</f>
        <v>0</v>
      </c>
      <c r="AR123" s="19" t="n">
        <f aca="false">IFERROR(AR99/AR111,0)</f>
        <v>0</v>
      </c>
      <c r="AS123" s="19" t="n">
        <f aca="false">IFERROR(AS99/AS111,0)</f>
        <v>0</v>
      </c>
      <c r="AT123" s="19" t="n">
        <f aca="false">IFERROR(AT99/AT111,0)</f>
        <v>0</v>
      </c>
      <c r="AU123" s="19" t="n">
        <f aca="false">IFERROR(AU99/AU111,0)</f>
        <v>0</v>
      </c>
      <c r="AV123" s="19" t="n">
        <f aca="false">IFERROR(AV99/AV111,0)</f>
        <v>0</v>
      </c>
      <c r="AW123" s="19" t="n">
        <f aca="false">IFERROR(AW99/AW111,0)</f>
        <v>0</v>
      </c>
      <c r="AX123" s="19" t="n">
        <f aca="false">IFERROR(AX99/AX111,0)</f>
        <v>0</v>
      </c>
      <c r="AY123" s="19" t="n">
        <f aca="false">IFERROR(AY99/AY111,0)</f>
        <v>0</v>
      </c>
      <c r="AZ123" s="19" t="n">
        <f aca="false">IFERROR(AZ99/AZ111,0)</f>
        <v>0</v>
      </c>
      <c r="BA123" s="19" t="n">
        <f aca="false">IFERROR(BA99/BA111,0)</f>
        <v>0</v>
      </c>
      <c r="BB123" s="19" t="n">
        <f aca="false">IFERROR(BB99/BB111,0)</f>
        <v>0</v>
      </c>
      <c r="BC123" s="19" t="n">
        <f aca="false">IFERROR(BC99/BC111,0)</f>
        <v>0</v>
      </c>
      <c r="BD123" s="19" t="n">
        <f aca="false">IFERROR(BD99/BD111,0)</f>
        <v>0</v>
      </c>
      <c r="BE123" s="19" t="n">
        <f aca="false">IFERROR(BE99/BE111,0)</f>
        <v>0</v>
      </c>
      <c r="BF123" s="19" t="n">
        <f aca="false">IFERROR(BF99/BF111,0)</f>
        <v>0</v>
      </c>
      <c r="BG123" s="19" t="n">
        <f aca="false">IFERROR(BG99/BG111,0)</f>
        <v>0</v>
      </c>
      <c r="BH123" s="19" t="n">
        <f aca="false">IFERROR(BH99/BH111,0)</f>
        <v>0</v>
      </c>
      <c r="BI123" s="19" t="n">
        <f aca="false">IFERROR(BI99/BI111,0)</f>
        <v>0</v>
      </c>
      <c r="BJ123" s="19" t="n">
        <f aca="false">IFERROR(BJ99/BJ111,0)</f>
        <v>0</v>
      </c>
      <c r="BK123" s="19" t="n">
        <f aca="false">IFERROR(BK99/BK111,0)</f>
        <v>0</v>
      </c>
      <c r="BL123" s="19" t="n">
        <f aca="false">IFERROR(BL99/BL111,0)</f>
        <v>0</v>
      </c>
      <c r="BM123" s="19" t="n">
        <f aca="false">IFERROR(BM99/BM111,0)</f>
        <v>0</v>
      </c>
      <c r="BN123" s="19" t="n">
        <f aca="false">IFERROR(BN99/BN111,0)</f>
        <v>0</v>
      </c>
      <c r="BO123" s="19" t="n">
        <f aca="false">IFERROR(BO99/BO111,0)</f>
        <v>0</v>
      </c>
      <c r="BP123" s="19" t="n">
        <f aca="false">IFERROR(BP99/BP111,0)</f>
        <v>0</v>
      </c>
      <c r="BQ123" s="19" t="n">
        <f aca="false">MAX(C123:BP123)</f>
        <v>0</v>
      </c>
    </row>
    <row r="126" customFormat="false" ht="15" hidden="false" customHeight="false" outlineLevel="0" collapsed="false">
      <c r="B126" s="3" t="s">
        <v>610</v>
      </c>
    </row>
    <row r="127" customFormat="false" ht="15" hidden="false" customHeight="false" outlineLevel="0" collapsed="false">
      <c r="B127" s="14" t="s">
        <v>187</v>
      </c>
      <c r="C127" s="14" t="n">
        <v>1</v>
      </c>
      <c r="D127" s="14" t="n">
        <v>2</v>
      </c>
      <c r="E127" s="14" t="n">
        <v>3</v>
      </c>
      <c r="F127" s="14" t="n">
        <v>4</v>
      </c>
      <c r="G127" s="14" t="n">
        <v>5</v>
      </c>
      <c r="H127" s="14" t="n">
        <v>6</v>
      </c>
      <c r="I127" s="14" t="n">
        <v>7</v>
      </c>
      <c r="J127" s="14" t="n">
        <v>8</v>
      </c>
      <c r="K127" s="14" t="n">
        <v>9</v>
      </c>
      <c r="L127" s="14" t="n">
        <v>10</v>
      </c>
      <c r="M127" s="14" t="n">
        <v>11</v>
      </c>
      <c r="N127" s="14" t="n">
        <v>12</v>
      </c>
      <c r="O127" s="14" t="n">
        <v>13</v>
      </c>
      <c r="P127" s="14" t="n">
        <v>14</v>
      </c>
      <c r="Q127" s="14" t="n">
        <v>15</v>
      </c>
      <c r="R127" s="14" t="n">
        <v>16</v>
      </c>
      <c r="S127" s="14" t="n">
        <v>17</v>
      </c>
      <c r="T127" s="14" t="n">
        <v>18</v>
      </c>
      <c r="U127" s="14" t="n">
        <v>19</v>
      </c>
      <c r="V127" s="14" t="n">
        <v>20</v>
      </c>
      <c r="W127" s="14" t="n">
        <v>21</v>
      </c>
      <c r="X127" s="14" t="n">
        <v>22</v>
      </c>
      <c r="Y127" s="14" t="n">
        <v>23</v>
      </c>
      <c r="Z127" s="14" t="n">
        <v>24</v>
      </c>
      <c r="AA127" s="14" t="n">
        <v>25</v>
      </c>
      <c r="AB127" s="14" t="n">
        <v>26</v>
      </c>
      <c r="AC127" s="14" t="n">
        <v>27</v>
      </c>
      <c r="AD127" s="14" t="n">
        <v>28</v>
      </c>
      <c r="AE127" s="14" t="n">
        <v>29</v>
      </c>
      <c r="AF127" s="14" t="n">
        <v>30</v>
      </c>
      <c r="AG127" s="14" t="n">
        <v>31</v>
      </c>
      <c r="AH127" s="14" t="n">
        <v>32</v>
      </c>
      <c r="AI127" s="14" t="n">
        <v>33</v>
      </c>
      <c r="AJ127" s="14" t="n">
        <v>34</v>
      </c>
      <c r="AK127" s="14" t="n">
        <v>35</v>
      </c>
      <c r="AL127" s="14" t="n">
        <v>36</v>
      </c>
      <c r="AM127" s="14" t="n">
        <v>37</v>
      </c>
      <c r="AN127" s="14" t="n">
        <v>38</v>
      </c>
      <c r="AO127" s="14" t="n">
        <v>39</v>
      </c>
      <c r="AP127" s="14" t="n">
        <v>40</v>
      </c>
      <c r="AQ127" s="14" t="n">
        <v>41</v>
      </c>
      <c r="AR127" s="14" t="n">
        <v>42</v>
      </c>
      <c r="AS127" s="14" t="n">
        <v>43</v>
      </c>
      <c r="AT127" s="14" t="n">
        <v>44</v>
      </c>
      <c r="AU127" s="14" t="n">
        <v>45</v>
      </c>
      <c r="AV127" s="14" t="n">
        <v>46</v>
      </c>
      <c r="AW127" s="14" t="n">
        <v>47</v>
      </c>
      <c r="AX127" s="14" t="n">
        <v>48</v>
      </c>
      <c r="AY127" s="14" t="n">
        <v>49</v>
      </c>
      <c r="AZ127" s="14" t="n">
        <v>50</v>
      </c>
      <c r="BA127" s="14" t="n">
        <v>51</v>
      </c>
      <c r="BB127" s="14" t="n">
        <v>52</v>
      </c>
      <c r="BC127" s="14" t="n">
        <v>53</v>
      </c>
      <c r="BD127" s="14" t="n">
        <v>54</v>
      </c>
      <c r="BE127" s="14" t="n">
        <v>55</v>
      </c>
      <c r="BF127" s="14" t="n">
        <v>56</v>
      </c>
      <c r="BG127" s="14" t="n">
        <v>57</v>
      </c>
      <c r="BH127" s="14" t="n">
        <v>58</v>
      </c>
      <c r="BI127" s="14" t="n">
        <v>59</v>
      </c>
      <c r="BJ127" s="14" t="n">
        <v>60</v>
      </c>
      <c r="BK127" s="14" t="n">
        <v>61</v>
      </c>
      <c r="BL127" s="14" t="n">
        <v>62</v>
      </c>
      <c r="BM127" s="14" t="n">
        <v>63</v>
      </c>
      <c r="BN127" s="14" t="n">
        <v>64</v>
      </c>
      <c r="BO127" s="14" t="n">
        <v>65</v>
      </c>
      <c r="BP127" s="14" t="n">
        <v>66</v>
      </c>
      <c r="BQ127" s="14" t="s">
        <v>601</v>
      </c>
    </row>
    <row r="128" customFormat="false" ht="15" hidden="false" customHeight="false" outlineLevel="0" collapsed="false">
      <c r="B128" s="15" t="s">
        <v>171</v>
      </c>
      <c r="C128" s="18" t="n">
        <f aca="false">C92-C104</f>
        <v>-702.214285714286</v>
      </c>
      <c r="D128" s="18" t="n">
        <f aca="false">D92-D104</f>
        <v>-702.214285714286</v>
      </c>
      <c r="E128" s="18" t="n">
        <f aca="false">E92-E104</f>
        <v>-702.214285714286</v>
      </c>
      <c r="F128" s="18" t="n">
        <f aca="false">F92-F104</f>
        <v>-702.214285714286</v>
      </c>
      <c r="G128" s="18" t="n">
        <f aca="false">G92-G104</f>
        <v>-693.276297719088</v>
      </c>
      <c r="H128" s="18" t="n">
        <f aca="false">H92-H104</f>
        <v>-702.214285714286</v>
      </c>
      <c r="I128" s="18" t="n">
        <f aca="false">I92-I104</f>
        <v>-702.214285714286</v>
      </c>
      <c r="J128" s="18" t="n">
        <f aca="false">J92-J104</f>
        <v>-681.891378151261</v>
      </c>
      <c r="K128" s="18" t="n">
        <f aca="false">K92-K104</f>
        <v>-641.568877373171</v>
      </c>
      <c r="L128" s="18" t="n">
        <f aca="false">L92-L104</f>
        <v>-702.214285714286</v>
      </c>
      <c r="M128" s="18" t="n">
        <f aca="false">M92-M104</f>
        <v>-685.746672268908</v>
      </c>
      <c r="N128" s="18" t="n">
        <f aca="false">N92-N104</f>
        <v>-685.746672268908</v>
      </c>
      <c r="O128" s="18" t="n">
        <f aca="false">O92-O104</f>
        <v>-685.746672268908</v>
      </c>
      <c r="P128" s="18" t="n">
        <f aca="false">P92-P104</f>
        <v>-702.214285714286</v>
      </c>
      <c r="Q128" s="18" t="n">
        <f aca="false">Q92-Q104</f>
        <v>-702.214285714286</v>
      </c>
      <c r="R128" s="18" t="n">
        <f aca="false">R92-R104</f>
        <v>-702.214285714286</v>
      </c>
      <c r="S128" s="18" t="n">
        <f aca="false">S92-S104</f>
        <v>-702.214285714286</v>
      </c>
      <c r="T128" s="18" t="n">
        <f aca="false">T92-T104</f>
        <v>-702.214285714286</v>
      </c>
      <c r="U128" s="18" t="n">
        <f aca="false">U92-U104</f>
        <v>-702.214285714286</v>
      </c>
      <c r="V128" s="18" t="n">
        <f aca="false">V92-V104</f>
        <v>-702.214285714286</v>
      </c>
      <c r="W128" s="18" t="n">
        <f aca="false">W92-W104</f>
        <v>-702.214285714286</v>
      </c>
      <c r="X128" s="18" t="n">
        <f aca="false">X92-X104</f>
        <v>-702.214285714286</v>
      </c>
      <c r="Y128" s="18" t="n">
        <f aca="false">Y92-Y104</f>
        <v>-702.214285714286</v>
      </c>
      <c r="Z128" s="18" t="n">
        <f aca="false">Z92-Z104</f>
        <v>-702.214285714286</v>
      </c>
      <c r="AA128" s="18" t="n">
        <f aca="false">AA92-AA104</f>
        <v>-702.214285714286</v>
      </c>
      <c r="AB128" s="18" t="n">
        <f aca="false">AB92-AB104</f>
        <v>-702.214285714286</v>
      </c>
      <c r="AC128" s="18" t="n">
        <f aca="false">AC92-AC104</f>
        <v>-702.214285714286</v>
      </c>
      <c r="AD128" s="18" t="n">
        <f aca="false">AD92-AD104</f>
        <v>-702.214285714286</v>
      </c>
      <c r="AE128" s="18" t="n">
        <f aca="false">AE92-AE104</f>
        <v>-702.214285714286</v>
      </c>
      <c r="AF128" s="18" t="n">
        <f aca="false">AF92-AF104</f>
        <v>-702.214285714286</v>
      </c>
      <c r="AG128" s="18" t="n">
        <f aca="false">AG92-AG104</f>
        <v>-668.157992740291</v>
      </c>
      <c r="AH128" s="18" t="n">
        <f aca="false">AH92-AH104</f>
        <v>-586.145165034061</v>
      </c>
      <c r="AI128" s="18" t="n">
        <f aca="false">AI92-AI104</f>
        <v>-558.770295559644</v>
      </c>
      <c r="AJ128" s="18" t="n">
        <f aca="false">AJ92-AJ104</f>
        <v>-531.395426085227</v>
      </c>
      <c r="AK128" s="18" t="n">
        <f aca="false">AK92-AK104</f>
        <v>-501.998633853541</v>
      </c>
      <c r="AL128" s="18" t="n">
        <f aca="false">AL92-AL104</f>
        <v>-457.348033613445</v>
      </c>
      <c r="AM128" s="18" t="n">
        <f aca="false">AM92-AM104</f>
        <v>-457.348033613445</v>
      </c>
      <c r="AN128" s="18" t="n">
        <f aca="false">AN92-AN104</f>
        <v>-457.348033613445</v>
      </c>
      <c r="AO128" s="18" t="n">
        <f aca="false">AO92-AO104</f>
        <v>-457.348033613445</v>
      </c>
      <c r="AP128" s="18" t="n">
        <f aca="false">AP92-AP104</f>
        <v>-456.498295318127</v>
      </c>
      <c r="AQ128" s="18" t="n">
        <f aca="false">AQ92-AQ104</f>
        <v>-456.356672268908</v>
      </c>
      <c r="AR128" s="18" t="n">
        <f aca="false">AR92-AR104</f>
        <v>-456.356672268908</v>
      </c>
      <c r="AS128" s="18" t="n">
        <f aca="false">AS92-AS104</f>
        <v>-456.356672268908</v>
      </c>
      <c r="AT128" s="18" t="n">
        <f aca="false">AT92-AT104</f>
        <v>-459.01067783597</v>
      </c>
      <c r="AU128" s="18" t="n">
        <f aca="false">AU92-AU104</f>
        <v>-466.715530827716</v>
      </c>
      <c r="AV128" s="18" t="n">
        <f aca="false">AV92-AV104</f>
        <v>-483.414744359282</v>
      </c>
      <c r="AW128" s="18" t="n">
        <f aca="false">AW92-AW104</f>
        <v>-500.113957890849</v>
      </c>
      <c r="AX128" s="18" t="n">
        <f aca="false">AX92-AX104</f>
        <v>-511.515535603252</v>
      </c>
      <c r="AY128" s="18" t="n">
        <f aca="false">AY92-AY104</f>
        <v>-499.924118447379</v>
      </c>
      <c r="AZ128" s="18" t="n">
        <f aca="false">AZ92-AZ104</f>
        <v>-520.118516206483</v>
      </c>
      <c r="BA128" s="18" t="n">
        <f aca="false">BA92-BA104</f>
        <v>-702.214285714286</v>
      </c>
      <c r="BB128" s="18" t="n">
        <f aca="false">BB92-BB104</f>
        <v>-702.214285714286</v>
      </c>
      <c r="BC128" s="18" t="n">
        <f aca="false">BC92-BC104</f>
        <v>-702.214285714286</v>
      </c>
      <c r="BD128" s="18" t="n">
        <f aca="false">BD92-BD104</f>
        <v>-702.214285714286</v>
      </c>
      <c r="BE128" s="18" t="n">
        <f aca="false">BE92-BE104</f>
        <v>-702.214285714286</v>
      </c>
      <c r="BF128" s="18" t="n">
        <f aca="false">BF92-BF104</f>
        <v>-702.214285714286</v>
      </c>
      <c r="BG128" s="18" t="n">
        <f aca="false">BG92-BG104</f>
        <v>-702.214285714286</v>
      </c>
      <c r="BH128" s="18" t="n">
        <f aca="false">BH92-BH104</f>
        <v>-702.214285714286</v>
      </c>
      <c r="BI128" s="18" t="n">
        <f aca="false">BI92-BI104</f>
        <v>-702.214285714286</v>
      </c>
      <c r="BJ128" s="18" t="n">
        <f aca="false">BJ92-BJ104</f>
        <v>-702.214285714286</v>
      </c>
      <c r="BK128" s="18" t="n">
        <f aca="false">BK92-BK104</f>
        <v>-702.214285714286</v>
      </c>
      <c r="BL128" s="18" t="n">
        <f aca="false">BL92-BL104</f>
        <v>-702.214285714286</v>
      </c>
      <c r="BM128" s="18" t="n">
        <f aca="false">BM92-BM104</f>
        <v>-702.214285714286</v>
      </c>
      <c r="BN128" s="18" t="n">
        <f aca="false">BN92-BN104</f>
        <v>-702.214285714286</v>
      </c>
      <c r="BO128" s="18" t="n">
        <f aca="false">BO92-BO104</f>
        <v>-702.214285714286</v>
      </c>
      <c r="BP128" s="18" t="n">
        <f aca="false">BP92-BP104</f>
        <v>-702.214285714286</v>
      </c>
      <c r="BQ128" s="18" t="n">
        <f aca="false">MAX(C128:BP128)</f>
        <v>-456.356672268908</v>
      </c>
    </row>
    <row r="129" customFormat="false" ht="15" hidden="false" customHeight="false" outlineLevel="0" collapsed="false">
      <c r="B129" s="15" t="s">
        <v>172</v>
      </c>
      <c r="C129" s="18" t="n">
        <f aca="false">C93-C105</f>
        <v>-1279.67667226891</v>
      </c>
      <c r="D129" s="18" t="n">
        <f aca="false">D93-D105</f>
        <v>-1433.21428571429</v>
      </c>
      <c r="E129" s="18" t="n">
        <f aca="false">E93-E105</f>
        <v>-1433.21428571429</v>
      </c>
      <c r="F129" s="18" t="n">
        <f aca="false">F93-F105</f>
        <v>-1433.21428571429</v>
      </c>
      <c r="G129" s="18" t="n">
        <f aca="false">G93-G105</f>
        <v>-1424.06900840336</v>
      </c>
      <c r="H129" s="18" t="n">
        <f aca="false">H93-H105</f>
        <v>-1433.21428571429</v>
      </c>
      <c r="I129" s="18" t="n">
        <f aca="false">I93-I105</f>
        <v>-1433.21428571429</v>
      </c>
      <c r="J129" s="18" t="n">
        <f aca="false">J93-J105</f>
        <v>-1415.45102757865</v>
      </c>
      <c r="K129" s="18" t="n">
        <f aca="false">K93-K105</f>
        <v>-1375.92750786791</v>
      </c>
      <c r="L129" s="18" t="n">
        <f aca="false">L93-L105</f>
        <v>-1433.21428571429</v>
      </c>
      <c r="M129" s="18" t="n">
        <f aca="false">M93-M105</f>
        <v>-1416.36475630252</v>
      </c>
      <c r="N129" s="18" t="n">
        <f aca="false">N93-N105</f>
        <v>-1416.36475630252</v>
      </c>
      <c r="O129" s="18" t="n">
        <f aca="false">O93-O105</f>
        <v>-1416.36475630252</v>
      </c>
      <c r="P129" s="18" t="n">
        <f aca="false">P93-P105</f>
        <v>-1433.21428571429</v>
      </c>
      <c r="Q129" s="18" t="n">
        <f aca="false">Q93-Q105</f>
        <v>-1433.21428571429</v>
      </c>
      <c r="R129" s="18" t="n">
        <f aca="false">R93-R105</f>
        <v>-1433.21428571429</v>
      </c>
      <c r="S129" s="18" t="n">
        <f aca="false">S93-S105</f>
        <v>-1433.21428571429</v>
      </c>
      <c r="T129" s="18" t="n">
        <f aca="false">T93-T105</f>
        <v>-1433.21428571429</v>
      </c>
      <c r="U129" s="18" t="n">
        <f aca="false">U93-U105</f>
        <v>-1433.21428571429</v>
      </c>
      <c r="V129" s="18" t="n">
        <f aca="false">V93-V105</f>
        <v>-1433.21428571429</v>
      </c>
      <c r="W129" s="18" t="n">
        <f aca="false">W93-W105</f>
        <v>-1433.21428571429</v>
      </c>
      <c r="X129" s="18" t="n">
        <f aca="false">X93-X105</f>
        <v>-1433.21428571429</v>
      </c>
      <c r="Y129" s="18" t="n">
        <f aca="false">Y93-Y105</f>
        <v>-1433.21428571429</v>
      </c>
      <c r="Z129" s="18" t="n">
        <f aca="false">Z93-Z105</f>
        <v>-1431.81686546335</v>
      </c>
      <c r="AA129" s="18" t="n">
        <f aca="false">AA93-AA105</f>
        <v>-1402.71638203526</v>
      </c>
      <c r="AB129" s="18" t="n">
        <f aca="false">AB93-AB105</f>
        <v>-1386.29539495798</v>
      </c>
      <c r="AC129" s="18" t="n">
        <f aca="false">AC93-AC105</f>
        <v>-1375.25235854342</v>
      </c>
      <c r="AD129" s="18" t="n">
        <f aca="false">AD93-AD105</f>
        <v>-1375.25235854342</v>
      </c>
      <c r="AE129" s="18" t="n">
        <f aca="false">AE93-AE105</f>
        <v>-1375.25235854342</v>
      </c>
      <c r="AF129" s="18" t="n">
        <f aca="false">AF93-AF105</f>
        <v>-1375.25235854342</v>
      </c>
      <c r="AG129" s="18" t="n">
        <f aca="false">AG93-AG105</f>
        <v>-1272.70323714671</v>
      </c>
      <c r="AH129" s="18" t="n">
        <f aca="false">AH93-AH105</f>
        <v>-1132.82602863368</v>
      </c>
      <c r="AI129" s="18" t="n">
        <f aca="false">AI93-AI105</f>
        <v>-1103.60598506069</v>
      </c>
      <c r="AJ129" s="18" t="n">
        <f aca="false">AJ93-AJ105</f>
        <v>-1074.38594148771</v>
      </c>
      <c r="AK129" s="18" t="n">
        <f aca="false">AK93-AK105</f>
        <v>-1038.53415181457</v>
      </c>
      <c r="AL129" s="18" t="n">
        <f aca="false">AL93-AL105</f>
        <v>-963.326205559147</v>
      </c>
      <c r="AM129" s="18" t="n">
        <f aca="false">AM93-AM105</f>
        <v>-979.927412195647</v>
      </c>
      <c r="AN129" s="18" t="n">
        <f aca="false">AN93-AN105</f>
        <v>-996.528618832148</v>
      </c>
      <c r="AO129" s="18" t="n">
        <f aca="false">AO93-AO105</f>
        <v>-1013.12982546865</v>
      </c>
      <c r="AP129" s="18" t="n">
        <f aca="false">AP93-AP105</f>
        <v>-1024.06664081017</v>
      </c>
      <c r="AQ129" s="18" t="n">
        <f aca="false">AQ93-AQ105</f>
        <v>-1038.93324858148</v>
      </c>
      <c r="AR129" s="18" t="n">
        <f aca="false">AR93-AR105</f>
        <v>-1054.74392156863</v>
      </c>
      <c r="AS129" s="18" t="n">
        <f aca="false">AS93-AS105</f>
        <v>-1192.67488702148</v>
      </c>
      <c r="AT129" s="18" t="n">
        <f aca="false">AT93-AT105</f>
        <v>-1200.34604295051</v>
      </c>
      <c r="AU129" s="18" t="n">
        <f aca="false">AU93-AU105</f>
        <v>-1212.3671092437</v>
      </c>
      <c r="AV129" s="18" t="n">
        <f aca="false">AV93-AV105</f>
        <v>-1233.09873015873</v>
      </c>
      <c r="AW129" s="18" t="n">
        <f aca="false">AW93-AW105</f>
        <v>-1253.83035107376</v>
      </c>
      <c r="AX129" s="18" t="n">
        <f aca="false">AX93-AX105</f>
        <v>-1270.06983753501</v>
      </c>
      <c r="AY129" s="18" t="n">
        <f aca="false">AY93-AY105</f>
        <v>-1433.21428571429</v>
      </c>
      <c r="AZ129" s="18" t="n">
        <f aca="false">AZ93-AZ105</f>
        <v>-1433.21428571429</v>
      </c>
      <c r="BA129" s="18" t="n">
        <f aca="false">BA93-BA105</f>
        <v>-1433.21428571429</v>
      </c>
      <c r="BB129" s="18" t="n">
        <f aca="false">BB93-BB105</f>
        <v>-1433.21428571429</v>
      </c>
      <c r="BC129" s="18" t="n">
        <f aca="false">BC93-BC105</f>
        <v>-1433.21428571429</v>
      </c>
      <c r="BD129" s="18" t="n">
        <f aca="false">BD93-BD105</f>
        <v>-1433.21428571429</v>
      </c>
      <c r="BE129" s="18" t="n">
        <f aca="false">BE93-BE105</f>
        <v>-1433.21428571429</v>
      </c>
      <c r="BF129" s="18" t="n">
        <f aca="false">BF93-BF105</f>
        <v>-1433.21428571429</v>
      </c>
      <c r="BG129" s="18" t="n">
        <f aca="false">BG93-BG105</f>
        <v>-1433.21428571429</v>
      </c>
      <c r="BH129" s="18" t="n">
        <f aca="false">BH93-BH105</f>
        <v>-1433.21428571429</v>
      </c>
      <c r="BI129" s="18" t="n">
        <f aca="false">BI93-BI105</f>
        <v>-1433.21428571429</v>
      </c>
      <c r="BJ129" s="18" t="n">
        <f aca="false">BJ93-BJ105</f>
        <v>-1433.21428571429</v>
      </c>
      <c r="BK129" s="18" t="n">
        <f aca="false">BK93-BK105</f>
        <v>-1433.21428571429</v>
      </c>
      <c r="BL129" s="18" t="n">
        <f aca="false">BL93-BL105</f>
        <v>-1433.21428571429</v>
      </c>
      <c r="BM129" s="18" t="n">
        <f aca="false">BM93-BM105</f>
        <v>-1433.21428571429</v>
      </c>
      <c r="BN129" s="18" t="n">
        <f aca="false">BN93-BN105</f>
        <v>-1433.21428571429</v>
      </c>
      <c r="BO129" s="18" t="n">
        <f aca="false">BO93-BO105</f>
        <v>-1433.21428571429</v>
      </c>
      <c r="BP129" s="18" t="n">
        <f aca="false">BP93-BP105</f>
        <v>-1433.21428571429</v>
      </c>
      <c r="BQ129" s="18" t="n">
        <f aca="false">MAX(C129:BP129)</f>
        <v>-963.326205559147</v>
      </c>
    </row>
    <row r="130" customFormat="false" ht="15" hidden="false" customHeight="false" outlineLevel="0" collapsed="false">
      <c r="B130" s="15" t="s">
        <v>173</v>
      </c>
      <c r="C130" s="18" t="n">
        <f aca="false">C94-C106</f>
        <v>-1412.71428571429</v>
      </c>
      <c r="D130" s="18" t="n">
        <f aca="false">D94-D106</f>
        <v>-1412.71428571429</v>
      </c>
      <c r="E130" s="18" t="n">
        <f aca="false">E94-E106</f>
        <v>-1412.71428571429</v>
      </c>
      <c r="F130" s="18" t="n">
        <f aca="false">F94-F106</f>
        <v>-1412.71428571429</v>
      </c>
      <c r="G130" s="18" t="n">
        <f aca="false">G94-G106</f>
        <v>-1394.7328467387</v>
      </c>
      <c r="H130" s="18" t="n">
        <f aca="false">H94-H106</f>
        <v>-1412.71428571429</v>
      </c>
      <c r="I130" s="18" t="n">
        <f aca="false">I94-I106</f>
        <v>-1412.71428571429</v>
      </c>
      <c r="J130" s="18" t="n">
        <f aca="false">J94-J106</f>
        <v>-1409.02661431955</v>
      </c>
      <c r="K130" s="18" t="n">
        <f aca="false">K94-K106</f>
        <v>-1329.71310057223</v>
      </c>
      <c r="L130" s="18" t="n">
        <f aca="false">L94-L106</f>
        <v>-1412.71428571429</v>
      </c>
      <c r="M130" s="18" t="n">
        <f aca="false">M94-M106</f>
        <v>-1381.42898740546</v>
      </c>
      <c r="N130" s="18" t="n">
        <f aca="false">N94-N106</f>
        <v>-1379.58475070028</v>
      </c>
      <c r="O130" s="18" t="n">
        <f aca="false">O94-O106</f>
        <v>-1379.58475070028</v>
      </c>
      <c r="P130" s="18" t="n">
        <f aca="false">P94-P106</f>
        <v>-1412.71428571429</v>
      </c>
      <c r="Q130" s="18" t="n">
        <f aca="false">Q94-Q106</f>
        <v>-1412.71428571429</v>
      </c>
      <c r="R130" s="18" t="n">
        <f aca="false">R94-R106</f>
        <v>-1412.71428571429</v>
      </c>
      <c r="S130" s="18" t="n">
        <f aca="false">S94-S106</f>
        <v>-1412.71428571429</v>
      </c>
      <c r="T130" s="18" t="n">
        <f aca="false">T94-T106</f>
        <v>-1409.10537863639</v>
      </c>
      <c r="U130" s="18" t="n">
        <f aca="false">U94-U106</f>
        <v>-1412.71428571429</v>
      </c>
      <c r="V130" s="18" t="n">
        <f aca="false">V94-V106</f>
        <v>-1412.71428571429</v>
      </c>
      <c r="W130" s="18" t="n">
        <f aca="false">W94-W106</f>
        <v>-1412.71428571429</v>
      </c>
      <c r="X130" s="18" t="n">
        <f aca="false">X94-X106</f>
        <v>-1412.71428571429</v>
      </c>
      <c r="Y130" s="18" t="n">
        <f aca="false">Y94-Y106</f>
        <v>-1412.71428571429</v>
      </c>
      <c r="Z130" s="18" t="n">
        <f aca="false">Z94-Z106</f>
        <v>-1412.71428571429</v>
      </c>
      <c r="AA130" s="18" t="n">
        <f aca="false">AA94-AA106</f>
        <v>-1412.71428571429</v>
      </c>
      <c r="AB130" s="18" t="n">
        <f aca="false">AB94-AB106</f>
        <v>-1412.71428571429</v>
      </c>
      <c r="AC130" s="18" t="n">
        <f aca="false">AC94-AC106</f>
        <v>-1412.71428571429</v>
      </c>
      <c r="AD130" s="18" t="n">
        <f aca="false">AD94-AD106</f>
        <v>-1412.71428571429</v>
      </c>
      <c r="AE130" s="18" t="n">
        <f aca="false">AE94-AE106</f>
        <v>-1412.71428571429</v>
      </c>
      <c r="AF130" s="18" t="n">
        <f aca="false">AF94-AF106</f>
        <v>-1412.71428571429</v>
      </c>
      <c r="AG130" s="18" t="n">
        <f aca="false">AG94-AG106</f>
        <v>-1360.08478377386</v>
      </c>
      <c r="AH130" s="18" t="n">
        <f aca="false">AH94-AH106</f>
        <v>-1194.94156756667</v>
      </c>
      <c r="AI130" s="18" t="n">
        <f aca="false">AI94-AI106</f>
        <v>-1139.86882130841</v>
      </c>
      <c r="AJ130" s="18" t="n">
        <f aca="false">AJ94-AJ106</f>
        <v>-1084.79607505014</v>
      </c>
      <c r="AK130" s="18" t="n">
        <f aca="false">AK94-AK106</f>
        <v>-1009.92055542217</v>
      </c>
      <c r="AL130" s="18" t="n">
        <f aca="false">AL94-AL106</f>
        <v>-920.092504201681</v>
      </c>
      <c r="AM130" s="18" t="n">
        <f aca="false">AM94-AM106</f>
        <v>-920.092504201681</v>
      </c>
      <c r="AN130" s="18" t="n">
        <f aca="false">AN94-AN106</f>
        <v>-920.092504201681</v>
      </c>
      <c r="AO130" s="18" t="n">
        <f aca="false">AO94-AO106</f>
        <v>-920.092504201681</v>
      </c>
      <c r="AP130" s="18" t="n">
        <f aca="false">AP94-AP106</f>
        <v>-918.38300120048</v>
      </c>
      <c r="AQ130" s="18" t="n">
        <f aca="false">AQ94-AQ106</f>
        <v>-918.098084033614</v>
      </c>
      <c r="AR130" s="18" t="n">
        <f aca="false">AR94-AR106</f>
        <v>-918.098084033614</v>
      </c>
      <c r="AS130" s="18" t="n">
        <f aca="false">AS94-AS106</f>
        <v>-918.098084033614</v>
      </c>
      <c r="AT130" s="18" t="n">
        <f aca="false">AT94-AT106</f>
        <v>-914.125710216688</v>
      </c>
      <c r="AU130" s="18" t="n">
        <f aca="false">AU94-AU106</f>
        <v>-929.339324447728</v>
      </c>
      <c r="AV130" s="18" t="n">
        <f aca="false">AV94-AV106</f>
        <v>-962.93479237849</v>
      </c>
      <c r="AW130" s="18" t="n">
        <f aca="false">AW94-AW106</f>
        <v>-996.530260309252</v>
      </c>
      <c r="AX130" s="18" t="n">
        <f aca="false">AX94-AX106</f>
        <v>-1019.18094315235</v>
      </c>
      <c r="AY130" s="18" t="n">
        <f aca="false">AY94-AY106</f>
        <v>-994.13931012405</v>
      </c>
      <c r="AZ130" s="18" t="n">
        <f aca="false">AZ94-AZ106</f>
        <v>-1034.76638762172</v>
      </c>
      <c r="BA130" s="18" t="n">
        <f aca="false">BA94-BA106</f>
        <v>-1075.39346511938</v>
      </c>
      <c r="BB130" s="18" t="n">
        <f aca="false">BB94-BB106</f>
        <v>-1412.71428571429</v>
      </c>
      <c r="BC130" s="18" t="n">
        <f aca="false">BC94-BC106</f>
        <v>-1412.71428571429</v>
      </c>
      <c r="BD130" s="18" t="n">
        <f aca="false">BD94-BD106</f>
        <v>-1412.71428571429</v>
      </c>
      <c r="BE130" s="18" t="n">
        <f aca="false">BE94-BE106</f>
        <v>-1412.71428571429</v>
      </c>
      <c r="BF130" s="18" t="n">
        <f aca="false">BF94-BF106</f>
        <v>-1412.71428571429</v>
      </c>
      <c r="BG130" s="18" t="n">
        <f aca="false">BG94-BG106</f>
        <v>-1412.71428571429</v>
      </c>
      <c r="BH130" s="18" t="n">
        <f aca="false">BH94-BH106</f>
        <v>-1412.71428571429</v>
      </c>
      <c r="BI130" s="18" t="n">
        <f aca="false">BI94-BI106</f>
        <v>-1412.71428571429</v>
      </c>
      <c r="BJ130" s="18" t="n">
        <f aca="false">BJ94-BJ106</f>
        <v>-1412.71428571429</v>
      </c>
      <c r="BK130" s="18" t="n">
        <f aca="false">BK94-BK106</f>
        <v>-1412.71428571429</v>
      </c>
      <c r="BL130" s="18" t="n">
        <f aca="false">BL94-BL106</f>
        <v>-1412.71428571429</v>
      </c>
      <c r="BM130" s="18" t="n">
        <f aca="false">BM94-BM106</f>
        <v>-1412.71428571429</v>
      </c>
      <c r="BN130" s="18" t="n">
        <f aca="false">BN94-BN106</f>
        <v>-1412.71428571429</v>
      </c>
      <c r="BO130" s="18" t="n">
        <f aca="false">BO94-BO106</f>
        <v>-1412.71428571429</v>
      </c>
      <c r="BP130" s="18" t="n">
        <f aca="false">BP94-BP106</f>
        <v>-1412.71428571429</v>
      </c>
      <c r="BQ130" s="18" t="n">
        <f aca="false">MAX(C130:BP130)</f>
        <v>-914.125710216688</v>
      </c>
    </row>
    <row r="131" customFormat="false" ht="15" hidden="false" customHeight="false" outlineLevel="0" collapsed="false">
      <c r="B131" s="15" t="s">
        <v>174</v>
      </c>
      <c r="C131" s="18" t="n">
        <f aca="false">C95-C107</f>
        <v>-3540.25752380952</v>
      </c>
      <c r="D131" s="18" t="n">
        <f aca="false">D95-D107</f>
        <v>-3523.77540616247</v>
      </c>
      <c r="E131" s="18" t="n">
        <f aca="false">E95-E107</f>
        <v>-3523.77540616247</v>
      </c>
      <c r="F131" s="18" t="n">
        <f aca="false">F95-F107</f>
        <v>-3523.77540616247</v>
      </c>
      <c r="G131" s="18" t="n">
        <f aca="false">G95-G107</f>
        <v>-3585.5666442577</v>
      </c>
      <c r="H131" s="18" t="n">
        <f aca="false">H95-H107</f>
        <v>-3665.38707002801</v>
      </c>
      <c r="I131" s="18" t="n">
        <f aca="false">I95-I107</f>
        <v>-3665.38707002801</v>
      </c>
      <c r="J131" s="18" t="n">
        <f aca="false">J95-J107</f>
        <v>-3620.8768526944</v>
      </c>
      <c r="K131" s="18" t="n">
        <f aca="false">K95-K107</f>
        <v>-3576.65633276119</v>
      </c>
      <c r="L131" s="18" t="n">
        <f aca="false">L95-L107</f>
        <v>-3852.85714285714</v>
      </c>
      <c r="M131" s="18" t="n">
        <f aca="false">M95-M107</f>
        <v>-3817.61199439776</v>
      </c>
      <c r="N131" s="18" t="n">
        <f aca="false">N95-N107</f>
        <v>-3817.61199439776</v>
      </c>
      <c r="O131" s="18" t="n">
        <f aca="false">O95-O107</f>
        <v>-3817.61199439776</v>
      </c>
      <c r="P131" s="18" t="n">
        <f aca="false">P95-P107</f>
        <v>-3852.85714285714</v>
      </c>
      <c r="Q131" s="18" t="n">
        <f aca="false">Q95-Q107</f>
        <v>-3852.85714285714</v>
      </c>
      <c r="R131" s="18" t="n">
        <f aca="false">R95-R107</f>
        <v>-3852.85714285714</v>
      </c>
      <c r="S131" s="18" t="n">
        <f aca="false">S95-S107</f>
        <v>-3852.85714285714</v>
      </c>
      <c r="T131" s="18" t="n">
        <f aca="false">T95-T107</f>
        <v>-3852.85714285714</v>
      </c>
      <c r="U131" s="18" t="n">
        <f aca="false">U95-U107</f>
        <v>-3852.85714285714</v>
      </c>
      <c r="V131" s="18" t="n">
        <f aca="false">V95-V107</f>
        <v>-3852.85714285714</v>
      </c>
      <c r="W131" s="18" t="n">
        <f aca="false">W95-W107</f>
        <v>-3852.85714285714</v>
      </c>
      <c r="X131" s="18" t="n">
        <f aca="false">X95-X107</f>
        <v>-3852.85714285714</v>
      </c>
      <c r="Y131" s="18" t="n">
        <f aca="false">Y95-Y107</f>
        <v>-3852.85714285714</v>
      </c>
      <c r="Z131" s="18" t="n">
        <f aca="false">Z95-Z107</f>
        <v>-3840.14910371881</v>
      </c>
      <c r="AA131" s="18" t="n">
        <f aca="false">AA95-AA107</f>
        <v>-3772.17466327438</v>
      </c>
      <c r="AB131" s="18" t="n">
        <f aca="false">AB95-AB107</f>
        <v>-3715.0138718888</v>
      </c>
      <c r="AC131" s="18" t="n">
        <f aca="false">AC95-AC107</f>
        <v>-3662.28254341737</v>
      </c>
      <c r="AD131" s="18" t="n">
        <f aca="false">AD95-AD107</f>
        <v>-3662.28254341737</v>
      </c>
      <c r="AE131" s="18" t="n">
        <f aca="false">AE95-AE107</f>
        <v>-3662.28254341737</v>
      </c>
      <c r="AF131" s="18" t="n">
        <f aca="false">AF95-AF107</f>
        <v>-3662.28254341737</v>
      </c>
      <c r="AG131" s="18" t="n">
        <f aca="false">AG95-AG107</f>
        <v>-3354.80619428486</v>
      </c>
      <c r="AH131" s="18" t="n">
        <f aca="false">AH95-AH107</f>
        <v>-2998.16073407404</v>
      </c>
      <c r="AI131" s="18" t="n">
        <f aca="false">AI95-AI107</f>
        <v>-2938.36297460207</v>
      </c>
      <c r="AJ131" s="18" t="n">
        <f aca="false">AJ95-AJ107</f>
        <v>-2878.5652151301</v>
      </c>
      <c r="AK131" s="18" t="n">
        <f aca="false">AK95-AK107</f>
        <v>-2791.96621558514</v>
      </c>
      <c r="AL131" s="18" t="n">
        <f aca="false">AL95-AL107</f>
        <v>-2596.41654815772</v>
      </c>
      <c r="AM131" s="18" t="n">
        <f aca="false">AM95-AM107</f>
        <v>-2651.0001077354</v>
      </c>
      <c r="AN131" s="18" t="n">
        <f aca="false">AN95-AN107</f>
        <v>-2705.58366731308</v>
      </c>
      <c r="AO131" s="18" t="n">
        <f aca="false">AO95-AO107</f>
        <v>-2760.16722689076</v>
      </c>
      <c r="AP131" s="18" t="n">
        <f aca="false">AP95-AP107</f>
        <v>-2797.62288950745</v>
      </c>
      <c r="AQ131" s="18" t="n">
        <f aca="false">AQ95-AQ107</f>
        <v>-2846.75258246889</v>
      </c>
      <c r="AR131" s="18" t="n">
        <f aca="false">AR95-AR107</f>
        <v>-3183.91955641744</v>
      </c>
      <c r="AS131" s="18" t="n">
        <f aca="false">AS95-AS107</f>
        <v>-3210.73222035481</v>
      </c>
      <c r="AT131" s="18" t="n">
        <f aca="false">AT95-AT107</f>
        <v>-3348.28275963279</v>
      </c>
      <c r="AU131" s="18" t="n">
        <f aca="false">AU95-AU107</f>
        <v>-3368.90334868306</v>
      </c>
      <c r="AV131" s="18" t="n">
        <f aca="false">AV95-AV107</f>
        <v>-3408.28278142026</v>
      </c>
      <c r="AW131" s="18" t="n">
        <f aca="false">AW95-AW107</f>
        <v>-3447.66221415746</v>
      </c>
      <c r="AX131" s="18" t="n">
        <f aca="false">AX95-AX107</f>
        <v>-3476.62997543047</v>
      </c>
      <c r="AY131" s="18" t="n">
        <f aca="false">AY95-AY107</f>
        <v>-3626.51273842871</v>
      </c>
      <c r="AZ131" s="18" t="n">
        <f aca="false">AZ95-AZ107</f>
        <v>-3649.10844337735</v>
      </c>
      <c r="BA131" s="18" t="n">
        <f aca="false">BA95-BA107</f>
        <v>-3852.85714285714</v>
      </c>
      <c r="BB131" s="18" t="n">
        <f aca="false">BB95-BB107</f>
        <v>-3852.85714285714</v>
      </c>
      <c r="BC131" s="18" t="n">
        <f aca="false">BC95-BC107</f>
        <v>-3852.85714285714</v>
      </c>
      <c r="BD131" s="18" t="n">
        <f aca="false">BD95-BD107</f>
        <v>-3852.85714285714</v>
      </c>
      <c r="BE131" s="18" t="n">
        <f aca="false">BE95-BE107</f>
        <v>-3852.85714285714</v>
      </c>
      <c r="BF131" s="18" t="n">
        <f aca="false">BF95-BF107</f>
        <v>-3852.85714285714</v>
      </c>
      <c r="BG131" s="18" t="n">
        <f aca="false">BG95-BG107</f>
        <v>-3852.85714285714</v>
      </c>
      <c r="BH131" s="18" t="n">
        <f aca="false">BH95-BH107</f>
        <v>-3852.85714285714</v>
      </c>
      <c r="BI131" s="18" t="n">
        <f aca="false">BI95-BI107</f>
        <v>-3852.85714285714</v>
      </c>
      <c r="BJ131" s="18" t="n">
        <f aca="false">BJ95-BJ107</f>
        <v>-3852.85714285714</v>
      </c>
      <c r="BK131" s="18" t="n">
        <f aca="false">BK95-BK107</f>
        <v>-3852.85714285714</v>
      </c>
      <c r="BL131" s="18" t="n">
        <f aca="false">BL95-BL107</f>
        <v>-3852.85714285714</v>
      </c>
      <c r="BM131" s="18" t="n">
        <f aca="false">BM95-BM107</f>
        <v>-3852.85714285714</v>
      </c>
      <c r="BN131" s="18" t="n">
        <f aca="false">BN95-BN107</f>
        <v>-3852.85714285714</v>
      </c>
      <c r="BO131" s="18" t="n">
        <f aca="false">BO95-BO107</f>
        <v>-3852.85714285714</v>
      </c>
      <c r="BP131" s="18" t="n">
        <f aca="false">BP95-BP107</f>
        <v>-3852.85714285714</v>
      </c>
      <c r="BQ131" s="18" t="n">
        <f aca="false">MAX(C131:BP131)</f>
        <v>-2596.41654815772</v>
      </c>
    </row>
    <row r="132" customFormat="false" ht="15" hidden="false" customHeight="false" outlineLevel="0" collapsed="false">
      <c r="B132" s="15" t="s">
        <v>175</v>
      </c>
      <c r="C132" s="18" t="n">
        <f aca="false">C96-C108</f>
        <v>-4555.78133333333</v>
      </c>
      <c r="D132" s="18" t="n">
        <f aca="false">D96-D108</f>
        <v>-4555.49333333333</v>
      </c>
      <c r="E132" s="18" t="n">
        <f aca="false">E96-E108</f>
        <v>-4555.49333333333</v>
      </c>
      <c r="F132" s="18" t="n">
        <f aca="false">F96-F108</f>
        <v>-4555.49333333333</v>
      </c>
      <c r="G132" s="18" t="n">
        <f aca="false">G96-G108</f>
        <v>-4717.15733333333</v>
      </c>
      <c r="H132" s="18" t="n">
        <f aca="false">H96-H108</f>
        <v>-4838.40533333333</v>
      </c>
      <c r="I132" s="18" t="n">
        <f aca="false">I96-I108</f>
        <v>-4838.40533333333</v>
      </c>
      <c r="J132" s="18" t="n">
        <f aca="false">J96-J108</f>
        <v>-4890.14933333333</v>
      </c>
      <c r="K132" s="18" t="n">
        <f aca="false">K96-K108</f>
        <v>-4997.23533333333</v>
      </c>
      <c r="L132" s="18" t="n">
        <f aca="false">L96-L108</f>
        <v>-5212.93333333333</v>
      </c>
      <c r="M132" s="18" t="n">
        <f aca="false">M96-M108</f>
        <v>-5212.93333333333</v>
      </c>
      <c r="N132" s="18" t="n">
        <f aca="false">N96-N108</f>
        <v>-5212.93333333333</v>
      </c>
      <c r="O132" s="18" t="n">
        <f aca="false">O96-O108</f>
        <v>-5168.2432374737</v>
      </c>
      <c r="P132" s="18" t="n">
        <f aca="false">P96-P108</f>
        <v>-5212.93333333333</v>
      </c>
      <c r="Q132" s="18" t="n">
        <f aca="false">Q96-Q108</f>
        <v>-5212.93333333333</v>
      </c>
      <c r="R132" s="18" t="n">
        <f aca="false">R96-R108</f>
        <v>-5212.93333333333</v>
      </c>
      <c r="S132" s="18" t="n">
        <f aca="false">S96-S108</f>
        <v>-5212.93333333333</v>
      </c>
      <c r="T132" s="18" t="n">
        <f aca="false">T96-T108</f>
        <v>-5201.12218327331</v>
      </c>
      <c r="U132" s="18" t="n">
        <f aca="false">U96-U108</f>
        <v>-5152.43719887955</v>
      </c>
      <c r="V132" s="18" t="n">
        <f aca="false">V96-V108</f>
        <v>-5153.38874122426</v>
      </c>
      <c r="W132" s="18" t="n">
        <f aca="false">W96-W108</f>
        <v>-5212.93333333333</v>
      </c>
      <c r="X132" s="18" t="n">
        <f aca="false">X96-X108</f>
        <v>-5212.93333333333</v>
      </c>
      <c r="Y132" s="18" t="n">
        <f aca="false">Y96-Y108</f>
        <v>-5212.93333333333</v>
      </c>
      <c r="Z132" s="18" t="n">
        <f aca="false">Z96-Z108</f>
        <v>-5135.73534068144</v>
      </c>
      <c r="AA132" s="18" t="n">
        <f aca="false">AA96-AA108</f>
        <v>-4999.30624836601</v>
      </c>
      <c r="AB132" s="18" t="n">
        <f aca="false">AB96-AB108</f>
        <v>-4992.62180392157</v>
      </c>
      <c r="AC132" s="18" t="n">
        <f aca="false">AC96-AC108</f>
        <v>-4940.76831372549</v>
      </c>
      <c r="AD132" s="18" t="n">
        <f aca="false">AD96-AD108</f>
        <v>-4940.76831372549</v>
      </c>
      <c r="AE132" s="18" t="n">
        <f aca="false">AE96-AE108</f>
        <v>-4940.76831372549</v>
      </c>
      <c r="AF132" s="18" t="n">
        <f aca="false">AF96-AF108</f>
        <v>-4940.76831372549</v>
      </c>
      <c r="AG132" s="18" t="n">
        <f aca="false">AG96-AG108</f>
        <v>-4598.28710364146</v>
      </c>
      <c r="AH132" s="18" t="n">
        <f aca="false">AH96-AH108</f>
        <v>-4341.42619607843</v>
      </c>
      <c r="AI132" s="18" t="n">
        <f aca="false">AI96-AI108</f>
        <v>-4341.42619607843</v>
      </c>
      <c r="AJ132" s="18" t="n">
        <f aca="false">AJ96-AJ108</f>
        <v>-4359.24804481793</v>
      </c>
      <c r="AK132" s="18" t="n">
        <f aca="false">AK96-AK108</f>
        <v>-4320.61945368917</v>
      </c>
      <c r="AL132" s="18" t="n">
        <f aca="false">AL96-AL108</f>
        <v>-4178.18943527331</v>
      </c>
      <c r="AM132" s="18" t="n">
        <f aca="false">AM96-AM108</f>
        <v>-4252.71047339678</v>
      </c>
      <c r="AN132" s="18" t="n">
        <f aca="false">AN96-AN108</f>
        <v>-4327.23151152026</v>
      </c>
      <c r="AO132" s="18" t="n">
        <f aca="false">AO96-AO108</f>
        <v>-4401.75254964373</v>
      </c>
      <c r="AP132" s="18" t="n">
        <f aca="false">AP96-AP108</f>
        <v>-4367.37145973509</v>
      </c>
      <c r="AQ132" s="18" t="n">
        <f aca="false">AQ96-AQ108</f>
        <v>-4343.06095089495</v>
      </c>
      <c r="AR132" s="18" t="n">
        <f aca="false">AR96-AR108</f>
        <v>-4732.01392292089</v>
      </c>
      <c r="AS132" s="18" t="n">
        <f aca="false">AS96-AS108</f>
        <v>-4760.33576200135</v>
      </c>
      <c r="AT132" s="18" t="n">
        <f aca="false">AT96-AT108</f>
        <v>-4935.72266198617</v>
      </c>
      <c r="AU132" s="18" t="n">
        <f aca="false">AU96-AU108</f>
        <v>-4739.37785438037</v>
      </c>
      <c r="AV132" s="18" t="n">
        <f aca="false">AV96-AV108</f>
        <v>-4620.77298081715</v>
      </c>
      <c r="AW132" s="18" t="n">
        <f aca="false">AW96-AW108</f>
        <v>-4502.16810725394</v>
      </c>
      <c r="AX132" s="18" t="n">
        <f aca="false">AX96-AX108</f>
        <v>-4339.95288002097</v>
      </c>
      <c r="AY132" s="18" t="n">
        <f aca="false">AY96-AY108</f>
        <v>-3972.19641842944</v>
      </c>
      <c r="AZ132" s="18" t="n">
        <f aca="false">AZ96-AZ108</f>
        <v>-3858.16159675456</v>
      </c>
      <c r="BA132" s="18" t="n">
        <f aca="false">BA96-BA108</f>
        <v>-3762.56766572008</v>
      </c>
      <c r="BB132" s="18" t="n">
        <f aca="false">BB96-BB108</f>
        <v>-3666.9737346856</v>
      </c>
      <c r="BC132" s="18" t="n">
        <f aca="false">BC96-BC108</f>
        <v>-3583.81409638614</v>
      </c>
      <c r="BD132" s="18" t="n">
        <f aca="false">BD96-BD108</f>
        <v>-3569.07025210084</v>
      </c>
      <c r="BE132" s="18" t="n">
        <f aca="false">BE96-BE108</f>
        <v>-3569.07025210084</v>
      </c>
      <c r="BF132" s="18" t="n">
        <f aca="false">BF96-BF108</f>
        <v>-3624.52504201681</v>
      </c>
      <c r="BG132" s="18" t="n">
        <f aca="false">BG96-BG108</f>
        <v>-4028.85985224435</v>
      </c>
      <c r="BH132" s="18" t="n">
        <f aca="false">BH96-BH108</f>
        <v>-4529.89822621462</v>
      </c>
      <c r="BI132" s="18" t="n">
        <f aca="false">BI96-BI108</f>
        <v>-4629.84433033903</v>
      </c>
      <c r="BJ132" s="18" t="n">
        <f aca="false">BJ96-BJ108</f>
        <v>-4770.23402067034</v>
      </c>
      <c r="BK132" s="18" t="n">
        <f aca="false">BK96-BK108</f>
        <v>-4945.46188505747</v>
      </c>
      <c r="BL132" s="18" t="n">
        <f aca="false">BL96-BL108</f>
        <v>-5212.93333333333</v>
      </c>
      <c r="BM132" s="18" t="n">
        <f aca="false">BM96-BM108</f>
        <v>-5212.93333333333</v>
      </c>
      <c r="BN132" s="18" t="n">
        <f aca="false">BN96-BN108</f>
        <v>-5212.93333333333</v>
      </c>
      <c r="BO132" s="18" t="n">
        <f aca="false">BO96-BO108</f>
        <v>-5212.93333333333</v>
      </c>
      <c r="BP132" s="18" t="n">
        <f aca="false">BP96-BP108</f>
        <v>-5212.93333333333</v>
      </c>
      <c r="BQ132" s="18" t="n">
        <f aca="false">MAX(C132:BP132)</f>
        <v>-3569.07025210084</v>
      </c>
    </row>
    <row r="133" customFormat="false" ht="15" hidden="false" customHeight="false" outlineLevel="0" collapsed="false">
      <c r="B133" s="15" t="s">
        <v>176</v>
      </c>
      <c r="C133" s="18" t="n">
        <f aca="false">C97-C109</f>
        <v>-5821.23561482298</v>
      </c>
      <c r="D133" s="18" t="n">
        <f aca="false">D97-D109</f>
        <v>-6108.1056362217</v>
      </c>
      <c r="E133" s="18" t="n">
        <f aca="false">E97-E109</f>
        <v>-6338.48190476191</v>
      </c>
      <c r="F133" s="18" t="n">
        <f aca="false">F97-F109</f>
        <v>-6371.97690476191</v>
      </c>
      <c r="G133" s="18" t="n">
        <f aca="false">G97-G109</f>
        <v>-6538.5339047619</v>
      </c>
      <c r="H133" s="18" t="n">
        <f aca="false">H97-H109</f>
        <v>-6673.55790476191</v>
      </c>
      <c r="I133" s="18" t="n">
        <f aca="false">I97-I109</f>
        <v>-6718.83390476191</v>
      </c>
      <c r="J133" s="18" t="n">
        <f aca="false">J97-J109</f>
        <v>-6764.1099047619</v>
      </c>
      <c r="K133" s="18" t="n">
        <f aca="false">K97-K109</f>
        <v>-6831.56190476191</v>
      </c>
      <c r="L133" s="18" t="n">
        <f aca="false">L97-L109</f>
        <v>-6831.56190476191</v>
      </c>
      <c r="M133" s="18" t="n">
        <f aca="false">M97-M109</f>
        <v>-6831.56190476191</v>
      </c>
      <c r="N133" s="18" t="n">
        <f aca="false">N97-N109</f>
        <v>-6831.56190476191</v>
      </c>
      <c r="O133" s="18" t="n">
        <f aca="false">O97-O109</f>
        <v>-6824.41729568829</v>
      </c>
      <c r="P133" s="18" t="n">
        <f aca="false">P97-P109</f>
        <v>-6831.56190476191</v>
      </c>
      <c r="Q133" s="18" t="n">
        <f aca="false">Q97-Q109</f>
        <v>-6831.56190476191</v>
      </c>
      <c r="R133" s="18" t="n">
        <f aca="false">R97-R109</f>
        <v>-6831.56190476191</v>
      </c>
      <c r="S133" s="18" t="n">
        <f aca="false">S97-S109</f>
        <v>-6831.56190476191</v>
      </c>
      <c r="T133" s="18" t="n">
        <f aca="false">T97-T109</f>
        <v>-6827.64480512205</v>
      </c>
      <c r="U133" s="18" t="n">
        <f aca="false">U97-U109</f>
        <v>-6811.49871148459</v>
      </c>
      <c r="V133" s="18" t="n">
        <f aca="false">V97-V109</f>
        <v>-6811.49871148459</v>
      </c>
      <c r="W133" s="18" t="n">
        <f aca="false">W97-W109</f>
        <v>-6831.56190476191</v>
      </c>
      <c r="X133" s="18" t="n">
        <f aca="false">X97-X109</f>
        <v>-6831.56190476191</v>
      </c>
      <c r="Y133" s="18" t="n">
        <f aca="false">Y97-Y109</f>
        <v>-6784.36645378151</v>
      </c>
      <c r="Z133" s="18" t="n">
        <f aca="false">Z97-Z109</f>
        <v>-6709.03724094608</v>
      </c>
      <c r="AA133" s="18" t="n">
        <f aca="false">AA97-AA109</f>
        <v>-6584.90532773109</v>
      </c>
      <c r="AB133" s="18" t="n">
        <f aca="false">AB97-AB109</f>
        <v>-6573.62532773109</v>
      </c>
      <c r="AC133" s="18" t="n">
        <f aca="false">AC97-AC109</f>
        <v>-6454.06868907563</v>
      </c>
      <c r="AD133" s="18" t="n">
        <f aca="false">AD97-AD109</f>
        <v>-6400.88589169001</v>
      </c>
      <c r="AE133" s="18" t="n">
        <f aca="false">AE97-AE109</f>
        <v>-6383.84670968387</v>
      </c>
      <c r="AF133" s="18" t="n">
        <f aca="false">AF97-AF109</f>
        <v>-6400.7512264906</v>
      </c>
      <c r="AG133" s="18" t="n">
        <f aca="false">AG97-AG109</f>
        <v>-5753.95287631137</v>
      </c>
      <c r="AH133" s="18" t="n">
        <f aca="false">AH97-AH109</f>
        <v>-5200.9472752212</v>
      </c>
      <c r="AI133" s="18" t="n">
        <f aca="false">AI97-AI109</f>
        <v>-5188.58669904629</v>
      </c>
      <c r="AJ133" s="18" t="n">
        <f aca="false">AJ97-AJ109</f>
        <v>-5209.41691091736</v>
      </c>
      <c r="AK133" s="18" t="n">
        <f aca="false">AK97-AK109</f>
        <v>-5253.14807504705</v>
      </c>
      <c r="AL133" s="18" t="n">
        <f aca="false">AL97-AL109</f>
        <v>-4963.44169836688</v>
      </c>
      <c r="AM133" s="18" t="n">
        <f aca="false">AM97-AM109</f>
        <v>-4999.45233523356</v>
      </c>
      <c r="AN133" s="18" t="n">
        <f aca="false">AN97-AN109</f>
        <v>-5104.13940907504</v>
      </c>
      <c r="AO133" s="18" t="n">
        <f aca="false">AO97-AO109</f>
        <v>-5208.82648291651</v>
      </c>
      <c r="AP133" s="18" t="n">
        <f aca="false">AP97-AP109</f>
        <v>-5520.84538120061</v>
      </c>
      <c r="AQ133" s="18" t="n">
        <f aca="false">AQ97-AQ109</f>
        <v>-5579.73733473124</v>
      </c>
      <c r="AR133" s="18" t="n">
        <f aca="false">AR97-AR109</f>
        <v>-6112.62715270936</v>
      </c>
      <c r="AS133" s="18" t="n">
        <f aca="false">AS97-AS109</f>
        <v>-5999.88304555845</v>
      </c>
      <c r="AT133" s="18" t="n">
        <f aca="false">AT97-AT109</f>
        <v>-6138.57974912632</v>
      </c>
      <c r="AU133" s="18" t="n">
        <f aca="false">AU97-AU109</f>
        <v>-6076.46169915966</v>
      </c>
      <c r="AV133" s="18" t="n">
        <f aca="false">AV97-AV109</f>
        <v>-6022.73946647993</v>
      </c>
      <c r="AW133" s="18" t="n">
        <f aca="false">AW97-AW109</f>
        <v>-5963.38535396825</v>
      </c>
      <c r="AX133" s="18" t="n">
        <f aca="false">AX97-AX109</f>
        <v>-5844.0509979992</v>
      </c>
      <c r="AY133" s="18" t="n">
        <f aca="false">AY97-AY109</f>
        <v>-5568.62702558357</v>
      </c>
      <c r="AZ133" s="18" t="n">
        <f aca="false">AZ97-AZ109</f>
        <v>-5606.44943641457</v>
      </c>
      <c r="BA133" s="18" t="n">
        <f aca="false">BA97-BA109</f>
        <v>-5470.44037759104</v>
      </c>
      <c r="BB133" s="18" t="n">
        <f aca="false">BB97-BB109</f>
        <v>-5379.64011876751</v>
      </c>
      <c r="BC133" s="18" t="n">
        <f aca="false">BC97-BC109</f>
        <v>-5329.01025370148</v>
      </c>
      <c r="BD133" s="18" t="n">
        <f aca="false">BD97-BD109</f>
        <v>-5352.94001120448</v>
      </c>
      <c r="BE133" s="18" t="n">
        <f aca="false">BE97-BE109</f>
        <v>-5400.6842464986</v>
      </c>
      <c r="BF133" s="18" t="n">
        <f aca="false">BF97-BF109</f>
        <v>-5448.42848179272</v>
      </c>
      <c r="BG133" s="18" t="n">
        <f aca="false">BG97-BG109</f>
        <v>-5759.35130532213</v>
      </c>
      <c r="BH133" s="18" t="n">
        <f aca="false">BH97-BH109</f>
        <v>-6156.3539719888</v>
      </c>
      <c r="BI133" s="18" t="n">
        <f aca="false">BI97-BI109</f>
        <v>-6230.67585434174</v>
      </c>
      <c r="BJ133" s="18" t="n">
        <f aca="false">BJ97-BJ109</f>
        <v>-6321.13756862745</v>
      </c>
      <c r="BK133" s="18" t="n">
        <f aca="false">BK97-BK109</f>
        <v>-6418.78509803922</v>
      </c>
      <c r="BL133" s="18" t="n">
        <f aca="false">BL97-BL109</f>
        <v>-6831.56190476191</v>
      </c>
      <c r="BM133" s="18" t="n">
        <f aca="false">BM97-BM109</f>
        <v>-6831.56190476191</v>
      </c>
      <c r="BN133" s="18" t="n">
        <f aca="false">BN97-BN109</f>
        <v>-6831.56190476191</v>
      </c>
      <c r="BO133" s="18" t="n">
        <f aca="false">BO97-BO109</f>
        <v>-6831.56190476191</v>
      </c>
      <c r="BP133" s="18" t="n">
        <f aca="false">BP97-BP109</f>
        <v>-6831.56190476191</v>
      </c>
      <c r="BQ133" s="18" t="n">
        <f aca="false">MAX(C133:BP133)</f>
        <v>-4963.44169836688</v>
      </c>
    </row>
    <row r="134" customFormat="false" ht="15" hidden="false" customHeight="false" outlineLevel="0" collapsed="false">
      <c r="B134" s="15" t="s">
        <v>177</v>
      </c>
      <c r="C134" s="18" t="n">
        <f aca="false">C98-C110</f>
        <v>-7123.63361702777</v>
      </c>
      <c r="D134" s="18" t="n">
        <f aca="false">D98-D110</f>
        <v>-7259.78609932862</v>
      </c>
      <c r="E134" s="18" t="n">
        <f aca="false">E98-E110</f>
        <v>-7609.97222320039</v>
      </c>
      <c r="F134" s="18" t="n">
        <f aca="false">F98-F110</f>
        <v>-7902.21066666667</v>
      </c>
      <c r="G134" s="18" t="n">
        <f aca="false">G98-G110</f>
        <v>-8119.01655862345</v>
      </c>
      <c r="H134" s="18" t="n">
        <f aca="false">H98-H110</f>
        <v>-8298.70952380952</v>
      </c>
      <c r="I134" s="18" t="n">
        <f aca="false">I98-I110</f>
        <v>-8298.70952380952</v>
      </c>
      <c r="J134" s="18" t="n">
        <f aca="false">J98-J110</f>
        <v>-8298.70952380952</v>
      </c>
      <c r="K134" s="18" t="n">
        <f aca="false">K98-K110</f>
        <v>-8298.70952380952</v>
      </c>
      <c r="L134" s="18" t="n">
        <f aca="false">L98-L110</f>
        <v>-8298.70952380952</v>
      </c>
      <c r="M134" s="18" t="n">
        <f aca="false">M98-M110</f>
        <v>-8298.70952380952</v>
      </c>
      <c r="N134" s="18" t="n">
        <f aca="false">N98-N110</f>
        <v>-8298.70952380952</v>
      </c>
      <c r="O134" s="18" t="n">
        <f aca="false">O98-O110</f>
        <v>-8291.56491473591</v>
      </c>
      <c r="P134" s="18" t="n">
        <f aca="false">P98-P110</f>
        <v>-8298.70952380952</v>
      </c>
      <c r="Q134" s="18" t="n">
        <f aca="false">Q98-Q110</f>
        <v>-8298.70952380952</v>
      </c>
      <c r="R134" s="18" t="n">
        <f aca="false">R98-R110</f>
        <v>-8298.70952380952</v>
      </c>
      <c r="S134" s="18" t="n">
        <f aca="false">S98-S110</f>
        <v>-8298.70952380952</v>
      </c>
      <c r="T134" s="18" t="n">
        <f aca="false">T98-T110</f>
        <v>-8271.29258263305</v>
      </c>
      <c r="U134" s="18" t="n">
        <f aca="false">U98-U110</f>
        <v>-8158.28128851541</v>
      </c>
      <c r="V134" s="18" t="n">
        <f aca="false">V98-V110</f>
        <v>-8158.28128851541</v>
      </c>
      <c r="W134" s="18" t="n">
        <f aca="false">W98-W110</f>
        <v>-8240.82709952316</v>
      </c>
      <c r="X134" s="18" t="n">
        <f aca="false">X98-X110</f>
        <v>-8298.70952380952</v>
      </c>
      <c r="Y134" s="18" t="n">
        <f aca="false">Y98-Y110</f>
        <v>-8298.70952380952</v>
      </c>
      <c r="Z134" s="18" t="n">
        <f aca="false">Z98-Z110</f>
        <v>-8271.13219637678</v>
      </c>
      <c r="AA134" s="18" t="n">
        <f aca="false">AA98-AA110</f>
        <v>-8210.85241732919</v>
      </c>
      <c r="AB134" s="18" t="n">
        <f aca="false">AB98-AB110</f>
        <v>-8158.22022408964</v>
      </c>
      <c r="AC134" s="18" t="n">
        <f aca="false">AC98-AC110</f>
        <v>-8120.42582633053</v>
      </c>
      <c r="AD134" s="18" t="n">
        <f aca="false">AD98-AD110</f>
        <v>-8120.42582633053</v>
      </c>
      <c r="AE134" s="18" t="n">
        <f aca="false">AE98-AE110</f>
        <v>-8100.43417164644</v>
      </c>
      <c r="AF134" s="18" t="n">
        <f aca="false">AF98-AF110</f>
        <v>-8054.81312044818</v>
      </c>
      <c r="AG134" s="18" t="n">
        <f aca="false">AG98-AG110</f>
        <v>-7508.11189876445</v>
      </c>
      <c r="AH134" s="18" t="n">
        <f aca="false">AH98-AH110</f>
        <v>-6689.78733955805</v>
      </c>
      <c r="AI134" s="18" t="n">
        <f aca="false">AI98-AI110</f>
        <v>-6501.22655756006</v>
      </c>
      <c r="AJ134" s="18" t="n">
        <f aca="false">AJ98-AJ110</f>
        <v>-6370.87830175489</v>
      </c>
      <c r="AK134" s="18" t="n">
        <f aca="false">AK98-AK110</f>
        <v>-6092.55622909059</v>
      </c>
      <c r="AL134" s="18" t="n">
        <f aca="false">AL98-AL110</f>
        <v>-5523.73356582633</v>
      </c>
      <c r="AM134" s="18" t="n">
        <f aca="false">AM98-AM110</f>
        <v>-5585.49035881276</v>
      </c>
      <c r="AN134" s="18" t="n">
        <f aca="false">AN98-AN110</f>
        <v>-5650.00141650506</v>
      </c>
      <c r="AO134" s="18" t="n">
        <f aca="false">AO98-AO110</f>
        <v>-5941.20939436544</v>
      </c>
      <c r="AP134" s="18" t="n">
        <f aca="false">AP98-AP110</f>
        <v>-5888.37684848665</v>
      </c>
      <c r="AQ134" s="18" t="n">
        <f aca="false">AQ98-AQ110</f>
        <v>-5929.57760325669</v>
      </c>
      <c r="AR134" s="18" t="n">
        <f aca="false">AR98-AR110</f>
        <v>-6248.05068160598</v>
      </c>
      <c r="AS134" s="18" t="n">
        <f aca="false">AS98-AS110</f>
        <v>-6507.76856146903</v>
      </c>
      <c r="AT134" s="18" t="n">
        <f aca="false">AT98-AT110</f>
        <v>-6405.87983513406</v>
      </c>
      <c r="AU134" s="18" t="n">
        <f aca="false">AU98-AU110</f>
        <v>-6439.67230108933</v>
      </c>
      <c r="AV134" s="18" t="n">
        <f aca="false">AV98-AV110</f>
        <v>-6530.08293943355</v>
      </c>
      <c r="AW134" s="18" t="n">
        <f aca="false">AW98-AW110</f>
        <v>-6617.96492359059</v>
      </c>
      <c r="AX134" s="18" t="n">
        <f aca="false">AX98-AX110</f>
        <v>-6829.82901085645</v>
      </c>
      <c r="AY134" s="18" t="n">
        <f aca="false">AY98-AY110</f>
        <v>-6782.02217906565</v>
      </c>
      <c r="AZ134" s="18" t="n">
        <f aca="false">AZ98-AZ110</f>
        <v>-6851.23772549878</v>
      </c>
      <c r="BA134" s="18" t="n">
        <f aca="false">BA98-BA110</f>
        <v>-7251.95037569787</v>
      </c>
      <c r="BB134" s="18" t="n">
        <f aca="false">BB98-BB110</f>
        <v>-7137.54610389259</v>
      </c>
      <c r="BC134" s="18" t="n">
        <f aca="false">BC98-BC110</f>
        <v>-7064.89385410164</v>
      </c>
      <c r="BD134" s="18" t="n">
        <f aca="false">BD98-BD110</f>
        <v>-6990.19343081233</v>
      </c>
      <c r="BE134" s="18" t="n">
        <f aca="false">BE98-BE110</f>
        <v>-6985.93350140056</v>
      </c>
      <c r="BF134" s="18" t="n">
        <f aca="false">BF98-BF110</f>
        <v>-6985.93350140056</v>
      </c>
      <c r="BG134" s="18" t="n">
        <f aca="false">BG98-BG110</f>
        <v>-7220.16962144858</v>
      </c>
      <c r="BH134" s="18" t="n">
        <f aca="false">BH98-BH110</f>
        <v>-7571.99691876751</v>
      </c>
      <c r="BI134" s="18" t="n">
        <f aca="false">BI98-BI110</f>
        <v>-7633.48426968029</v>
      </c>
      <c r="BJ134" s="18" t="n">
        <f aca="false">BJ98-BJ110</f>
        <v>-7712.72869970057</v>
      </c>
      <c r="BK134" s="18" t="n">
        <f aca="false">BK98-BK110</f>
        <v>-7791.97312972086</v>
      </c>
      <c r="BL134" s="18" t="n">
        <f aca="false">BL98-BL110</f>
        <v>-8290.30391596639</v>
      </c>
      <c r="BM134" s="18" t="n">
        <f aca="false">BM98-BM110</f>
        <v>-8298.70952380952</v>
      </c>
      <c r="BN134" s="18" t="n">
        <f aca="false">BN98-BN110</f>
        <v>-8298.70952380952</v>
      </c>
      <c r="BO134" s="18" t="n">
        <f aca="false">BO98-BO110</f>
        <v>-8298.70952380952</v>
      </c>
      <c r="BP134" s="18" t="n">
        <f aca="false">BP98-BP110</f>
        <v>-8298.70952380952</v>
      </c>
      <c r="BQ134" s="18" t="n">
        <f aca="false">MAX(C134:BP134)</f>
        <v>-5523.73356582633</v>
      </c>
    </row>
    <row r="135" customFormat="false" ht="15" hidden="false" customHeight="false" outlineLevel="0" collapsed="false">
      <c r="B135" s="15" t="s">
        <v>178</v>
      </c>
      <c r="C135" s="18" t="n">
        <f aca="false">C99-C111</f>
        <v>-2669.52380952381</v>
      </c>
      <c r="D135" s="18" t="n">
        <f aca="false">D99-D111</f>
        <v>-2669.52380952381</v>
      </c>
      <c r="E135" s="18" t="n">
        <f aca="false">E99-E111</f>
        <v>-2669.52380952381</v>
      </c>
      <c r="F135" s="18" t="n">
        <f aca="false">F99-F111</f>
        <v>-2669.52380952381</v>
      </c>
      <c r="G135" s="18" t="n">
        <f aca="false">G99-G111</f>
        <v>-2669.52380952381</v>
      </c>
      <c r="H135" s="18" t="n">
        <f aca="false">H99-H111</f>
        <v>-2669.52380952381</v>
      </c>
      <c r="I135" s="18" t="n">
        <f aca="false">I99-I111</f>
        <v>-2669.52380952381</v>
      </c>
      <c r="J135" s="18" t="n">
        <f aca="false">J99-J111</f>
        <v>-2669.52380952381</v>
      </c>
      <c r="K135" s="18" t="n">
        <f aca="false">K99-K111</f>
        <v>-2669.52380952381</v>
      </c>
      <c r="L135" s="18" t="n">
        <f aca="false">L99-L111</f>
        <v>-2669.52380952381</v>
      </c>
      <c r="M135" s="18" t="n">
        <f aca="false">M99-M111</f>
        <v>-2669.52380952381</v>
      </c>
      <c r="N135" s="18" t="n">
        <f aca="false">N99-N111</f>
        <v>-2669.52380952381</v>
      </c>
      <c r="O135" s="18" t="n">
        <f aca="false">O99-O111</f>
        <v>-2669.52380952381</v>
      </c>
      <c r="P135" s="18" t="n">
        <f aca="false">P99-P111</f>
        <v>-2669.52380952381</v>
      </c>
      <c r="Q135" s="18" t="n">
        <f aca="false">Q99-Q111</f>
        <v>-2669.52380952381</v>
      </c>
      <c r="R135" s="18" t="n">
        <f aca="false">R99-R111</f>
        <v>-2669.52380952381</v>
      </c>
      <c r="S135" s="18" t="n">
        <f aca="false">S99-S111</f>
        <v>-2669.52380952381</v>
      </c>
      <c r="T135" s="18" t="n">
        <f aca="false">T99-T111</f>
        <v>-2669.52380952381</v>
      </c>
      <c r="U135" s="18" t="n">
        <f aca="false">U99-U111</f>
        <v>-2669.52380952381</v>
      </c>
      <c r="V135" s="18" t="n">
        <f aca="false">V99-V111</f>
        <v>-2669.52380952381</v>
      </c>
      <c r="W135" s="18" t="n">
        <f aca="false">W99-W111</f>
        <v>-2669.52380952381</v>
      </c>
      <c r="X135" s="18" t="n">
        <f aca="false">X99-X111</f>
        <v>-2669.52380952381</v>
      </c>
      <c r="Y135" s="18" t="n">
        <f aca="false">Y99-Y111</f>
        <v>-2669.52380952381</v>
      </c>
      <c r="Z135" s="18" t="n">
        <f aca="false">Z99-Z111</f>
        <v>-2669.52380952381</v>
      </c>
      <c r="AA135" s="18" t="n">
        <f aca="false">AA99-AA111</f>
        <v>-2669.52380952381</v>
      </c>
      <c r="AB135" s="18" t="n">
        <f aca="false">AB99-AB111</f>
        <v>-2669.52380952381</v>
      </c>
      <c r="AC135" s="18" t="n">
        <f aca="false">AC99-AC111</f>
        <v>-2669.52380952381</v>
      </c>
      <c r="AD135" s="18" t="n">
        <f aca="false">AD99-AD111</f>
        <v>-2669.52380952381</v>
      </c>
      <c r="AE135" s="18" t="n">
        <f aca="false">AE99-AE111</f>
        <v>-2669.52380952381</v>
      </c>
      <c r="AF135" s="18" t="n">
        <f aca="false">AF99-AF111</f>
        <v>-2669.52380952381</v>
      </c>
      <c r="AG135" s="18" t="n">
        <f aca="false">AG99-AG111</f>
        <v>-2669.52380952381</v>
      </c>
      <c r="AH135" s="18" t="n">
        <f aca="false">AH99-AH111</f>
        <v>-2669.52380952381</v>
      </c>
      <c r="AI135" s="18" t="n">
        <f aca="false">AI99-AI111</f>
        <v>-2669.52380952381</v>
      </c>
      <c r="AJ135" s="18" t="n">
        <f aca="false">AJ99-AJ111</f>
        <v>-2669.52380952381</v>
      </c>
      <c r="AK135" s="18" t="n">
        <f aca="false">AK99-AK111</f>
        <v>-2669.52380952381</v>
      </c>
      <c r="AL135" s="18" t="n">
        <f aca="false">AL99-AL111</f>
        <v>-2669.52380952381</v>
      </c>
      <c r="AM135" s="18" t="n">
        <f aca="false">AM99-AM111</f>
        <v>-2669.52380952381</v>
      </c>
      <c r="AN135" s="18" t="n">
        <f aca="false">AN99-AN111</f>
        <v>-2669.52380952381</v>
      </c>
      <c r="AO135" s="18" t="n">
        <f aca="false">AO99-AO111</f>
        <v>-2669.52380952381</v>
      </c>
      <c r="AP135" s="18" t="n">
        <f aca="false">AP99-AP111</f>
        <v>-2669.52380952381</v>
      </c>
      <c r="AQ135" s="18" t="n">
        <f aca="false">AQ99-AQ111</f>
        <v>-2669.52380952381</v>
      </c>
      <c r="AR135" s="18" t="n">
        <f aca="false">AR99-AR111</f>
        <v>-2669.52380952381</v>
      </c>
      <c r="AS135" s="18" t="n">
        <f aca="false">AS99-AS111</f>
        <v>-2669.52380952381</v>
      </c>
      <c r="AT135" s="18" t="n">
        <f aca="false">AT99-AT111</f>
        <v>-2669.52380952381</v>
      </c>
      <c r="AU135" s="18" t="n">
        <f aca="false">AU99-AU111</f>
        <v>-2669.52380952381</v>
      </c>
      <c r="AV135" s="18" t="n">
        <f aca="false">AV99-AV111</f>
        <v>-2669.52380952381</v>
      </c>
      <c r="AW135" s="18" t="n">
        <f aca="false">AW99-AW111</f>
        <v>-2669.52380952381</v>
      </c>
      <c r="AX135" s="18" t="n">
        <f aca="false">AX99-AX111</f>
        <v>-2669.52380952381</v>
      </c>
      <c r="AY135" s="18" t="n">
        <f aca="false">AY99-AY111</f>
        <v>-2669.52380952381</v>
      </c>
      <c r="AZ135" s="18" t="n">
        <f aca="false">AZ99-AZ111</f>
        <v>-2669.52380952381</v>
      </c>
      <c r="BA135" s="18" t="n">
        <f aca="false">BA99-BA111</f>
        <v>-2669.52380952381</v>
      </c>
      <c r="BB135" s="18" t="n">
        <f aca="false">BB99-BB111</f>
        <v>-2669.52380952381</v>
      </c>
      <c r="BC135" s="18" t="n">
        <f aca="false">BC99-BC111</f>
        <v>-2669.52380952381</v>
      </c>
      <c r="BD135" s="18" t="n">
        <f aca="false">BD99-BD111</f>
        <v>-2669.52380952381</v>
      </c>
      <c r="BE135" s="18" t="n">
        <f aca="false">BE99-BE111</f>
        <v>-2669.52380952381</v>
      </c>
      <c r="BF135" s="18" t="n">
        <f aca="false">BF99-BF111</f>
        <v>-2669.52380952381</v>
      </c>
      <c r="BG135" s="18" t="n">
        <f aca="false">BG99-BG111</f>
        <v>-2669.52380952381</v>
      </c>
      <c r="BH135" s="18" t="n">
        <f aca="false">BH99-BH111</f>
        <v>-2669.52380952381</v>
      </c>
      <c r="BI135" s="18" t="n">
        <f aca="false">BI99-BI111</f>
        <v>-2669.52380952381</v>
      </c>
      <c r="BJ135" s="18" t="n">
        <f aca="false">BJ99-BJ111</f>
        <v>-2669.52380952381</v>
      </c>
      <c r="BK135" s="18" t="n">
        <f aca="false">BK99-BK111</f>
        <v>-2669.52380952381</v>
      </c>
      <c r="BL135" s="18" t="n">
        <f aca="false">BL99-BL111</f>
        <v>-2669.52380952381</v>
      </c>
      <c r="BM135" s="18" t="n">
        <f aca="false">BM99-BM111</f>
        <v>-2669.52380952381</v>
      </c>
      <c r="BN135" s="18" t="n">
        <f aca="false">BN99-BN111</f>
        <v>-2669.52380952381</v>
      </c>
      <c r="BO135" s="18" t="n">
        <f aca="false">BO99-BO111</f>
        <v>-2669.52380952381</v>
      </c>
      <c r="BP135" s="18" t="n">
        <f aca="false">BP99-BP111</f>
        <v>-2669.52380952381</v>
      </c>
      <c r="BQ135" s="18" t="n">
        <f aca="false">MAX(C135:BP135)</f>
        <v>-2669.52380952381</v>
      </c>
    </row>
    <row r="138" customFormat="false" ht="15" hidden="false" customHeight="false" outlineLevel="0" collapsed="false">
      <c r="B138" s="3" t="s">
        <v>611</v>
      </c>
    </row>
    <row r="139" customFormat="false" ht="15" hidden="false" customHeight="false" outlineLevel="0" collapsed="false">
      <c r="B139" s="14" t="s">
        <v>187</v>
      </c>
      <c r="C139" s="14" t="n">
        <v>1</v>
      </c>
      <c r="D139" s="14" t="n">
        <v>2</v>
      </c>
      <c r="E139" s="14" t="n">
        <v>3</v>
      </c>
      <c r="F139" s="14" t="n">
        <v>4</v>
      </c>
      <c r="G139" s="14" t="n">
        <v>5</v>
      </c>
      <c r="H139" s="14" t="n">
        <v>6</v>
      </c>
      <c r="I139" s="14" t="n">
        <v>7</v>
      </c>
      <c r="J139" s="14" t="n">
        <v>8</v>
      </c>
      <c r="K139" s="14" t="n">
        <v>9</v>
      </c>
      <c r="L139" s="14" t="n">
        <v>10</v>
      </c>
      <c r="M139" s="14" t="n">
        <v>11</v>
      </c>
      <c r="N139" s="14" t="n">
        <v>12</v>
      </c>
      <c r="O139" s="14" t="n">
        <v>13</v>
      </c>
      <c r="P139" s="14" t="n">
        <v>14</v>
      </c>
      <c r="Q139" s="14" t="n">
        <v>15</v>
      </c>
      <c r="R139" s="14" t="n">
        <v>16</v>
      </c>
      <c r="S139" s="14" t="n">
        <v>17</v>
      </c>
      <c r="T139" s="14" t="n">
        <v>18</v>
      </c>
      <c r="U139" s="14" t="n">
        <v>19</v>
      </c>
      <c r="V139" s="14" t="n">
        <v>20</v>
      </c>
      <c r="W139" s="14" t="n">
        <v>21</v>
      </c>
      <c r="X139" s="14" t="n">
        <v>22</v>
      </c>
      <c r="Y139" s="14" t="n">
        <v>23</v>
      </c>
      <c r="Z139" s="14" t="n">
        <v>24</v>
      </c>
      <c r="AA139" s="14" t="n">
        <v>25</v>
      </c>
      <c r="AB139" s="14" t="n">
        <v>26</v>
      </c>
      <c r="AC139" s="14" t="n">
        <v>27</v>
      </c>
      <c r="AD139" s="14" t="n">
        <v>28</v>
      </c>
      <c r="AE139" s="14" t="n">
        <v>29</v>
      </c>
      <c r="AF139" s="14" t="n">
        <v>30</v>
      </c>
      <c r="AG139" s="14" t="n">
        <v>31</v>
      </c>
      <c r="AH139" s="14" t="n">
        <v>32</v>
      </c>
      <c r="AI139" s="14" t="n">
        <v>33</v>
      </c>
      <c r="AJ139" s="14" t="n">
        <v>34</v>
      </c>
      <c r="AK139" s="14" t="n">
        <v>35</v>
      </c>
      <c r="AL139" s="14" t="n">
        <v>36</v>
      </c>
      <c r="AM139" s="14" t="n">
        <v>37</v>
      </c>
      <c r="AN139" s="14" t="n">
        <v>38</v>
      </c>
      <c r="AO139" s="14" t="n">
        <v>39</v>
      </c>
      <c r="AP139" s="14" t="n">
        <v>40</v>
      </c>
      <c r="AQ139" s="14" t="n">
        <v>41</v>
      </c>
      <c r="AR139" s="14" t="n">
        <v>42</v>
      </c>
      <c r="AS139" s="14" t="n">
        <v>43</v>
      </c>
      <c r="AT139" s="14" t="n">
        <v>44</v>
      </c>
      <c r="AU139" s="14" t="n">
        <v>45</v>
      </c>
      <c r="AV139" s="14" t="n">
        <v>46</v>
      </c>
      <c r="AW139" s="14" t="n">
        <v>47</v>
      </c>
      <c r="AX139" s="14" t="n">
        <v>48</v>
      </c>
      <c r="AY139" s="14" t="n">
        <v>49</v>
      </c>
      <c r="AZ139" s="14" t="n">
        <v>50</v>
      </c>
      <c r="BA139" s="14" t="n">
        <v>51</v>
      </c>
      <c r="BB139" s="14" t="n">
        <v>52</v>
      </c>
      <c r="BC139" s="14" t="n">
        <v>53</v>
      </c>
      <c r="BD139" s="14" t="n">
        <v>54</v>
      </c>
      <c r="BE139" s="14" t="n">
        <v>55</v>
      </c>
      <c r="BF139" s="14" t="n">
        <v>56</v>
      </c>
      <c r="BG139" s="14" t="n">
        <v>57</v>
      </c>
      <c r="BH139" s="14" t="n">
        <v>58</v>
      </c>
      <c r="BI139" s="14" t="n">
        <v>59</v>
      </c>
      <c r="BJ139" s="14" t="n">
        <v>60</v>
      </c>
      <c r="BK139" s="14" t="n">
        <v>61</v>
      </c>
      <c r="BL139" s="14" t="n">
        <v>62</v>
      </c>
      <c r="BM139" s="14" t="n">
        <v>63</v>
      </c>
      <c r="BN139" s="14" t="n">
        <v>64</v>
      </c>
      <c r="BO139" s="14" t="n">
        <v>65</v>
      </c>
      <c r="BP139" s="14" t="n">
        <v>66</v>
      </c>
      <c r="BQ139" s="14" t="s">
        <v>597</v>
      </c>
    </row>
    <row r="140" customFormat="false" ht="15" hidden="false" customHeight="false" outlineLevel="0" collapsed="false">
      <c r="B140" s="15" t="s">
        <v>612</v>
      </c>
      <c r="C140" s="16" t="n">
        <f aca="false">SUM(C8:C15)</f>
        <v>486377.640094412</v>
      </c>
      <c r="D140" s="16" t="n">
        <f aca="false">SUM(D8:D15)</f>
        <v>404088.51016822</v>
      </c>
      <c r="E140" s="16" t="n">
        <f aca="false">SUM(E8:E15)</f>
        <v>318745.83848366</v>
      </c>
      <c r="F140" s="16" t="n">
        <f aca="false">SUM(F8:F15)</f>
        <v>270863.022294118</v>
      </c>
      <c r="G140" s="16" t="n">
        <f aca="false">SUM(G8:G15)</f>
        <v>186962.268705882</v>
      </c>
      <c r="H140" s="16" t="n">
        <f aca="false">SUM(H8:H15)</f>
        <v>105840.304705882</v>
      </c>
      <c r="I140" s="16" t="n">
        <f aca="false">SUM(I8:I15)</f>
        <v>99184.7327058823</v>
      </c>
      <c r="J140" s="16" t="n">
        <f aca="false">SUM(J8:J15)</f>
        <v>97606.5487066528</v>
      </c>
      <c r="K140" s="16" t="n">
        <f aca="false">SUM(K8:K15)</f>
        <v>101846.330669548</v>
      </c>
      <c r="L140" s="16" t="n">
        <f aca="false">SUM(L8:L15)</f>
        <v>0</v>
      </c>
      <c r="M140" s="16" t="n">
        <f aca="false">SUM(M8:M15)</f>
        <v>14677.5956749272</v>
      </c>
      <c r="N140" s="16" t="n">
        <f aca="false">SUM(N8:N15)</f>
        <v>14948.6984705882</v>
      </c>
      <c r="O140" s="16" t="n">
        <f aca="false">SUM(O8:O15)</f>
        <v>23618.6576295969</v>
      </c>
      <c r="P140" s="16" t="n">
        <f aca="false">SUM(P8:P15)</f>
        <v>0</v>
      </c>
      <c r="Q140" s="16" t="n">
        <f aca="false">SUM(Q8:Q15)</f>
        <v>0</v>
      </c>
      <c r="R140" s="16" t="n">
        <f aca="false">SUM(R8:R15)</f>
        <v>0</v>
      </c>
      <c r="S140" s="16" t="n">
        <f aca="false">SUM(S8:S15)</f>
        <v>0</v>
      </c>
      <c r="T140" s="16" t="n">
        <f aca="false">SUM(T8:T15)</f>
        <v>6872.85239927402</v>
      </c>
      <c r="U140" s="16" t="n">
        <f aca="false">SUM(U8:U15)</f>
        <v>32485.1717647058</v>
      </c>
      <c r="V140" s="16" t="n">
        <f aca="false">SUM(V8:V15)</f>
        <v>32345.2950400341</v>
      </c>
      <c r="W140" s="16" t="n">
        <f aca="false">SUM(W8:W15)</f>
        <v>8508.71637009591</v>
      </c>
      <c r="X140" s="16" t="n">
        <f aca="false">SUM(X8:X15)</f>
        <v>0</v>
      </c>
      <c r="Y140" s="16" t="n">
        <f aca="false">SUM(Y8:Y15)</f>
        <v>6937.73129411765</v>
      </c>
      <c r="Z140" s="16" t="n">
        <f aca="false">SUM(Z8:Z15)</f>
        <v>35486.600163592</v>
      </c>
      <c r="AA140" s="16" t="n">
        <f aca="false">SUM(AA8:AA15)</f>
        <v>96920.2093058165</v>
      </c>
      <c r="AB140" s="16" t="n">
        <f aca="false">SUM(AB8:AB15)</f>
        <v>118114.436479406</v>
      </c>
      <c r="AC140" s="16" t="n">
        <f aca="false">SUM(AC8:AC15)</f>
        <v>158242.333529412</v>
      </c>
      <c r="AD140" s="16" t="n">
        <f aca="false">SUM(AD8:AD15)</f>
        <v>166060.204745098</v>
      </c>
      <c r="AE140" s="16" t="n">
        <f aca="false">SUM(AE8:AE15)</f>
        <v>171503.737738562</v>
      </c>
      <c r="AF140" s="16" t="n">
        <f aca="false">SUM(AF8:AF15)</f>
        <v>175725.068294118</v>
      </c>
      <c r="AG140" s="16" t="n">
        <f aca="false">SUM(AG8:AG15)</f>
        <v>474530.799260539</v>
      </c>
      <c r="AH140" s="16" t="n">
        <f aca="false">SUM(AH8:AH15)</f>
        <v>823195.65699358</v>
      </c>
      <c r="AI140" s="16" t="n">
        <f aca="false">SUM(AI8:AI15)</f>
        <v>877936.513205309</v>
      </c>
      <c r="AJ140" s="16" t="n">
        <f aca="false">SUM(AJ8:AJ15)</f>
        <v>916621.270459228</v>
      </c>
      <c r="AK140" s="16" t="n">
        <f aca="false">SUM(AK8:AK15)</f>
        <v>990112.832768172</v>
      </c>
      <c r="AL140" s="16" t="n">
        <f aca="false">SUM(AL8:AL15)</f>
        <v>1196823.54532322</v>
      </c>
      <c r="AM140" s="16" t="n">
        <f aca="false">SUM(AM8:AM15)</f>
        <v>1161032.97989718</v>
      </c>
      <c r="AN140" s="16" t="n">
        <f aca="false">SUM(AN8:AN15)</f>
        <v>1114742.10132408</v>
      </c>
      <c r="AO140" s="16" t="n">
        <f aca="false">SUM(AO8:AO15)</f>
        <v>1035126.77548627</v>
      </c>
      <c r="AP140" s="16" t="n">
        <f aca="false">SUM(AP8:AP15)</f>
        <v>995342.916109991</v>
      </c>
      <c r="AQ140" s="16" t="n">
        <f aca="false">SUM(AQ8:AQ15)</f>
        <v>974858.177993343</v>
      </c>
      <c r="AR140" s="16" t="n">
        <f aca="false">SUM(AR8:AR15)</f>
        <v>740644.031245852</v>
      </c>
      <c r="AS140" s="16" t="n">
        <f aca="false">SUM(AS8:AS15)</f>
        <v>690658.262791977</v>
      </c>
      <c r="AT140" s="16" t="n">
        <f aca="false">SUM(AT8:AT15)</f>
        <v>638311.826778272</v>
      </c>
      <c r="AU140" s="16" t="n">
        <f aca="false">SUM(AU8:AU15)</f>
        <v>663171.03632876</v>
      </c>
      <c r="AV140" s="16" t="n">
        <f aca="false">SUM(AV8:AV15)</f>
        <v>658983.114048033</v>
      </c>
      <c r="AW140" s="16" t="n">
        <f aca="false">SUM(AW8:AW15)</f>
        <v>655994.790268118</v>
      </c>
      <c r="AX140" s="16" t="n">
        <f aca="false">SUM(AX8:AX15)</f>
        <v>654587.410452137</v>
      </c>
      <c r="AY140" s="16" t="n">
        <f aca="false">SUM(AY8:AY15)</f>
        <v>715532.596858418</v>
      </c>
      <c r="AZ140" s="16" t="n">
        <f aca="false">SUM(AZ8:AZ15)</f>
        <v>704298.810436601</v>
      </c>
      <c r="BA140" s="16" t="n">
        <f aca="false">SUM(BA8:BA15)</f>
        <v>616748.37303313</v>
      </c>
      <c r="BB140" s="16" t="n">
        <f aca="false">SUM(BB8:BB15)</f>
        <v>611379.586270182</v>
      </c>
      <c r="BC140" s="16" t="n">
        <f aca="false">SUM(BC8:BC15)</f>
        <v>641726.523984178</v>
      </c>
      <c r="BD140" s="16" t="n">
        <f aca="false">SUM(BD8:BD15)</f>
        <v>651357.156964706</v>
      </c>
      <c r="BE140" s="16" t="n">
        <f aca="false">SUM(BE8:BE15)</f>
        <v>644964.964</v>
      </c>
      <c r="BF140" s="16" t="n">
        <f aca="false">SUM(BF8:BF15)</f>
        <v>629794.707294118</v>
      </c>
      <c r="BG140" s="16" t="n">
        <f aca="false">SUM(BG8:BG15)</f>
        <v>490219.125484787</v>
      </c>
      <c r="BH140" s="16" t="n">
        <f aca="false">SUM(BH8:BH15)</f>
        <v>306488.479805274</v>
      </c>
      <c r="BI140" s="16" t="n">
        <f aca="false">SUM(BI8:BI15)</f>
        <v>271832.445208925</v>
      </c>
      <c r="BJ140" s="16" t="n">
        <f aca="false">SUM(BJ8:BJ15)</f>
        <v>226248.357517241</v>
      </c>
      <c r="BK140" s="16" t="n">
        <f aca="false">SUM(BK8:BK15)</f>
        <v>174486.743415821</v>
      </c>
      <c r="BL140" s="16" t="n">
        <f aca="false">SUM(BL8:BL15)</f>
        <v>1235.62435294118</v>
      </c>
      <c r="BM140" s="16" t="n">
        <f aca="false">SUM(BM8:BM15)</f>
        <v>0</v>
      </c>
      <c r="BN140" s="16" t="n">
        <f aca="false">SUM(BN8:BN15)</f>
        <v>0</v>
      </c>
      <c r="BO140" s="16" t="n">
        <f aca="false">SUM(BO8:BO15)</f>
        <v>0</v>
      </c>
      <c r="BP140" s="16" t="n">
        <f aca="false">SUM(BP8:BP15)</f>
        <v>0</v>
      </c>
      <c r="BQ140" s="16" t="n">
        <f aca="false">SUM(C140:BP140)</f>
        <v>25082950.040794</v>
      </c>
    </row>
    <row r="141" customFormat="false" ht="15" hidden="false" customHeight="false" outlineLevel="0" collapsed="false">
      <c r="B141" s="15" t="s">
        <v>613</v>
      </c>
      <c r="C141" s="18" t="n">
        <f aca="false">SUM(C20:C27)</f>
        <v>1348.89</v>
      </c>
      <c r="D141" s="18" t="n">
        <f aca="false">SUM(D20:D27)</f>
        <v>1098.36</v>
      </c>
      <c r="E141" s="18" t="n">
        <f aca="false">SUM(E20:E27)</f>
        <v>798.87</v>
      </c>
      <c r="F141" s="18" t="n">
        <f aca="false">SUM(F20:F27)</f>
        <v>648.89</v>
      </c>
      <c r="G141" s="18" t="n">
        <f aca="false">SUM(G20:G27)</f>
        <v>1255.98</v>
      </c>
      <c r="H141" s="18" t="n">
        <f aca="false">SUM(H20:H27)</f>
        <v>1057.02</v>
      </c>
      <c r="I141" s="18" t="n">
        <f aca="false">SUM(I20:I27)</f>
        <v>2152.75</v>
      </c>
      <c r="J141" s="18" t="n">
        <f aca="false">SUM(J20:J27)</f>
        <v>2152.75</v>
      </c>
      <c r="K141" s="18" t="n">
        <f aca="false">SUM(K20:K27)</f>
        <v>2152.75</v>
      </c>
      <c r="L141" s="18" t="n">
        <f aca="false">SUM(L20:L27)</f>
        <v>2002.81</v>
      </c>
      <c r="M141" s="18" t="n">
        <f aca="false">SUM(M20:M27)</f>
        <v>2002.81</v>
      </c>
      <c r="N141" s="18" t="n">
        <f aca="false">SUM(N20:N27)</f>
        <v>2142.75</v>
      </c>
      <c r="O141" s="18" t="n">
        <f aca="false">SUM(O20:O27)</f>
        <v>1942.83</v>
      </c>
      <c r="P141" s="18" t="n">
        <f aca="false">SUM(P20:P27)</f>
        <v>3289.98</v>
      </c>
      <c r="Q141" s="18" t="n">
        <f aca="false">SUM(Q20:Q27)</f>
        <v>3289.97</v>
      </c>
      <c r="R141" s="18" t="n">
        <f aca="false">SUM(R20:R27)</f>
        <v>3529.98</v>
      </c>
      <c r="S141" s="18" t="n">
        <f aca="false">SUM(S20:S27)</f>
        <v>3679.92</v>
      </c>
      <c r="T141" s="18" t="n">
        <f aca="false">SUM(T20:T27)</f>
        <v>3679.92</v>
      </c>
      <c r="U141" s="18" t="n">
        <f aca="false">SUM(U20:U27)</f>
        <v>3826.41</v>
      </c>
      <c r="V141" s="18" t="n">
        <f aca="false">SUM(V20:V27)</f>
        <v>3763.77</v>
      </c>
      <c r="W141" s="18" t="n">
        <f aca="false">SUM(W20:W27)</f>
        <v>3464.57</v>
      </c>
      <c r="X141" s="18" t="n">
        <f aca="false">SUM(X20:X27)</f>
        <v>3215.05</v>
      </c>
      <c r="Y141" s="18" t="n">
        <f aca="false">SUM(Y20:Y27)</f>
        <v>3273.38</v>
      </c>
      <c r="Z141" s="18" t="n">
        <f aca="false">SUM(Z20:Z27)</f>
        <v>3672.12</v>
      </c>
      <c r="AA141" s="18" t="n">
        <f aca="false">SUM(AA20:AA27)</f>
        <v>3672.12</v>
      </c>
      <c r="AB141" s="18" t="n">
        <f aca="false">SUM(AB20:AB27)</f>
        <v>3672.12</v>
      </c>
      <c r="AC141" s="18" t="n">
        <f aca="false">SUM(AC20:AC27)</f>
        <v>3672.12</v>
      </c>
      <c r="AD141" s="18" t="n">
        <f aca="false">SUM(AD20:AD27)</f>
        <v>3672.12</v>
      </c>
      <c r="AE141" s="18" t="n">
        <f aca="false">SUM(AE20:AE27)</f>
        <v>3672.12</v>
      </c>
      <c r="AF141" s="18" t="n">
        <f aca="false">SUM(AF20:AF27)</f>
        <v>3672.12</v>
      </c>
      <c r="AG141" s="18" t="n">
        <f aca="false">SUM(AG20:AG27)</f>
        <v>3672.12</v>
      </c>
      <c r="AH141" s="18" t="n">
        <f aca="false">SUM(AH20:AH27)</f>
        <v>3672.12</v>
      </c>
      <c r="AI141" s="18" t="n">
        <f aca="false">SUM(AI20:AI27)</f>
        <v>3672.12</v>
      </c>
      <c r="AJ141" s="18" t="n">
        <f aca="false">SUM(AJ20:AJ27)</f>
        <v>3672.12</v>
      </c>
      <c r="AK141" s="18" t="n">
        <f aca="false">SUM(AK20:AK27)</f>
        <v>3532.18</v>
      </c>
      <c r="AL141" s="18" t="n">
        <f aca="false">SUM(AL20:AL27)</f>
        <v>3532.18</v>
      </c>
      <c r="AM141" s="18" t="n">
        <f aca="false">SUM(AM20:AM27)</f>
        <v>3672.12</v>
      </c>
      <c r="AN141" s="18" t="n">
        <f aca="false">SUM(AN20:AN27)</f>
        <v>3672.12</v>
      </c>
      <c r="AO141" s="18" t="n">
        <f aca="false">SUM(AO20:AO27)</f>
        <v>3532.18</v>
      </c>
      <c r="AP141" s="18" t="n">
        <f aca="false">SUM(AP20:AP27)</f>
        <v>3672.16</v>
      </c>
      <c r="AQ141" s="18" t="n">
        <f aca="false">SUM(AQ20:AQ27)</f>
        <v>3822.14</v>
      </c>
      <c r="AR141" s="18" t="n">
        <f aca="false">SUM(AR20:AR27)</f>
        <v>2828.3</v>
      </c>
      <c r="AS141" s="18" t="n">
        <f aca="false">SUM(AS20:AS27)</f>
        <v>2828.54</v>
      </c>
      <c r="AT141" s="18" t="n">
        <f aca="false">SUM(AT20:AT27)</f>
        <v>2624.24</v>
      </c>
      <c r="AU141" s="18" t="n">
        <f aca="false">SUM(AU20:AU27)</f>
        <v>2724.2</v>
      </c>
      <c r="AV141" s="18" t="n">
        <f aca="false">SUM(AV20:AV27)</f>
        <v>2724.2</v>
      </c>
      <c r="AW141" s="18" t="n">
        <f aca="false">SUM(AW20:AW27)</f>
        <v>2724.2</v>
      </c>
      <c r="AX141" s="18" t="n">
        <f aca="false">SUM(AX20:AX27)</f>
        <v>2574.26</v>
      </c>
      <c r="AY141" s="18" t="n">
        <f aca="false">SUM(AY20:AY27)</f>
        <v>2223.28</v>
      </c>
      <c r="AZ141" s="18" t="n">
        <f aca="false">SUM(AZ20:AZ27)</f>
        <v>2024.32</v>
      </c>
      <c r="BA141" s="18" t="n">
        <f aca="false">SUM(BA20:BA27)</f>
        <v>1519.12</v>
      </c>
      <c r="BB141" s="18" t="n">
        <f aca="false">SUM(BB20:BB27)</f>
        <v>1321.34</v>
      </c>
      <c r="BC141" s="18" t="n">
        <f aca="false">SUM(BC20:BC27)</f>
        <v>1321.34</v>
      </c>
      <c r="BD141" s="18" t="n">
        <f aca="false">SUM(BD20:BD27)</f>
        <v>1321.34</v>
      </c>
      <c r="BE141" s="18" t="n">
        <f aca="false">SUM(BE20:BE27)</f>
        <v>1321.34</v>
      </c>
      <c r="BF141" s="18" t="n">
        <f aca="false">SUM(BF20:BF27)</f>
        <v>1321.34</v>
      </c>
      <c r="BG141" s="18" t="n">
        <f aca="false">SUM(BG20:BG27)</f>
        <v>1321.34</v>
      </c>
      <c r="BH141" s="18" t="n">
        <f aca="false">SUM(BH20:BH27)</f>
        <v>1321.34</v>
      </c>
      <c r="BI141" s="18" t="n">
        <f aca="false">SUM(BI20:BI27)</f>
        <v>1321.34</v>
      </c>
      <c r="BJ141" s="18" t="n">
        <f aca="false">SUM(BJ20:BJ27)</f>
        <v>1181.4</v>
      </c>
      <c r="BK141" s="18" t="n">
        <f aca="false">SUM(BK20:BK27)</f>
        <v>881.44</v>
      </c>
      <c r="BL141" s="18" t="n">
        <f aca="false">SUM(BL20:BL27)</f>
        <v>881.44</v>
      </c>
      <c r="BM141" s="18" t="n">
        <f aca="false">SUM(BM20:BM27)</f>
        <v>741.5</v>
      </c>
      <c r="BN141" s="18" t="n">
        <f aca="false">SUM(BN20:BN27)</f>
        <v>642.02</v>
      </c>
      <c r="BO141" s="18" t="n">
        <f aca="false">SUM(BO20:BO27)</f>
        <v>292.16</v>
      </c>
      <c r="BP141" s="18" t="n">
        <f aca="false">SUM(BP20:BP27)</f>
        <v>145.67</v>
      </c>
      <c r="BQ141" s="18" t="n">
        <f aca="false">MAX(C141:BP141)</f>
        <v>3826.41</v>
      </c>
    </row>
    <row r="142" customFormat="false" ht="15" hidden="false" customHeight="false" outlineLevel="0" collapsed="false">
      <c r="B142" s="15" t="s">
        <v>306</v>
      </c>
      <c r="C142" s="18" t="n">
        <f aca="false">IFERROR(INDEX(SEMANAS!$H$6:$H$71,MATCH(C$139,SEMANAS!$B$6:$B$71,0)),0)</f>
        <v>40</v>
      </c>
      <c r="D142" s="18" t="n">
        <f aca="false">IFERROR(INDEX(SEMANAS!$H$6:$H$71,MATCH(D$139,SEMANAS!$B$6:$B$71,0)),0)</f>
        <v>40.6</v>
      </c>
      <c r="E142" s="18" t="n">
        <f aca="false">IFERROR(INDEX(SEMANAS!$H$6:$H$71,MATCH(E$139,SEMANAS!$B$6:$B$71,0)),0)</f>
        <v>40.6</v>
      </c>
      <c r="F142" s="18" t="n">
        <f aca="false">IFERROR(INDEX(SEMANAS!$H$6:$H$71,MATCH(F$139,SEMANAS!$B$6:$B$71,0)),0)</f>
        <v>40.6</v>
      </c>
      <c r="G142" s="18" t="n">
        <f aca="false">IFERROR(INDEX(SEMANAS!$H$6:$H$71,MATCH(G$139,SEMANAS!$B$6:$B$71,0)),0)</f>
        <v>39.8</v>
      </c>
      <c r="H142" s="18" t="n">
        <f aca="false">IFERROR(INDEX(SEMANAS!$H$6:$H$71,MATCH(H$139,SEMANAS!$B$6:$B$71,0)),0)</f>
        <v>39.2</v>
      </c>
      <c r="I142" s="18" t="n">
        <f aca="false">IFERROR(INDEX(SEMANAS!$H$6:$H$71,MATCH(I$139,SEMANAS!$B$6:$B$71,0)),0)</f>
        <v>39.2</v>
      </c>
      <c r="J142" s="18" t="n">
        <f aca="false">IFERROR(INDEX(SEMANAS!$H$6:$H$71,MATCH(J$139,SEMANAS!$B$6:$B$71,0)),0)</f>
        <v>39.2</v>
      </c>
      <c r="K142" s="18" t="n">
        <f aca="false">IFERROR(INDEX(SEMANAS!$H$6:$H$71,MATCH(K$139,SEMANAS!$B$6:$B$71,0)),0)</f>
        <v>38.5</v>
      </c>
      <c r="L142" s="18" t="n">
        <f aca="false">IFERROR(INDEX(SEMANAS!$H$6:$H$71,MATCH(L$139,SEMANAS!$B$6:$B$71,0)),0)</f>
        <v>34.3</v>
      </c>
      <c r="M142" s="18" t="n">
        <f aca="false">IFERROR(INDEX(SEMANAS!$H$6:$H$71,MATCH(M$139,SEMANAS!$B$6:$B$71,0)),0)</f>
        <v>34.3</v>
      </c>
      <c r="N142" s="18" t="n">
        <f aca="false">IFERROR(INDEX(SEMANAS!$H$6:$H$71,MATCH(N$139,SEMANAS!$B$6:$B$71,0)),0)</f>
        <v>34.3</v>
      </c>
      <c r="O142" s="18" t="n">
        <f aca="false">IFERROR(INDEX(SEMANAS!$H$6:$H$71,MATCH(O$139,SEMANAS!$B$6:$B$71,0)),0)</f>
        <v>34.3</v>
      </c>
      <c r="P142" s="18" t="n">
        <f aca="false">IFERROR(INDEX(SEMANAS!$H$6:$H$71,MATCH(P$139,SEMANAS!$B$6:$B$71,0)),0)</f>
        <v>33.1</v>
      </c>
      <c r="Q142" s="18" t="n">
        <f aca="false">IFERROR(INDEX(SEMANAS!$H$6:$H$71,MATCH(Q$139,SEMANAS!$B$6:$B$71,0)),0)</f>
        <v>32.9</v>
      </c>
      <c r="R142" s="18" t="n">
        <f aca="false">IFERROR(INDEX(SEMANAS!$H$6:$H$71,MATCH(R$139,SEMANAS!$B$6:$B$71,0)),0)</f>
        <v>32.9</v>
      </c>
      <c r="S142" s="18" t="n">
        <f aca="false">IFERROR(INDEX(SEMANAS!$H$6:$H$71,MATCH(S$139,SEMANAS!$B$6:$B$71,0)),0)</f>
        <v>32.9</v>
      </c>
      <c r="T142" s="18" t="n">
        <f aca="false">IFERROR(INDEX(SEMANAS!$H$6:$H$71,MATCH(T$139,SEMANAS!$B$6:$B$71,0)),0)</f>
        <v>33.2</v>
      </c>
      <c r="U142" s="18" t="n">
        <f aca="false">IFERROR(INDEX(SEMANAS!$H$6:$H$71,MATCH(U$139,SEMANAS!$B$6:$B$71,0)),0)</f>
        <v>33.6</v>
      </c>
      <c r="V142" s="18" t="n">
        <f aca="false">IFERROR(INDEX(SEMANAS!$H$6:$H$71,MATCH(V$139,SEMANAS!$B$6:$B$71,0)),0)</f>
        <v>33.6</v>
      </c>
      <c r="W142" s="18" t="n">
        <f aca="false">IFERROR(INDEX(SEMANAS!$H$6:$H$71,MATCH(W$139,SEMANAS!$B$6:$B$71,0)),0)</f>
        <v>33.6</v>
      </c>
      <c r="X142" s="18" t="n">
        <f aca="false">IFERROR(INDEX(SEMANAS!$H$6:$H$71,MATCH(X$139,SEMANAS!$B$6:$B$71,0)),0)</f>
        <v>33.6</v>
      </c>
      <c r="Y142" s="18" t="n">
        <f aca="false">IFERROR(INDEX(SEMANAS!$H$6:$H$71,MATCH(Y$139,SEMANAS!$B$6:$B$71,0)),0)</f>
        <v>32.9</v>
      </c>
      <c r="Z142" s="18" t="n">
        <f aca="false">IFERROR(INDEX(SEMANAS!$H$6:$H$71,MATCH(Z$139,SEMANAS!$B$6:$B$71,0)),0)</f>
        <v>32.9</v>
      </c>
      <c r="AA142" s="18" t="n">
        <f aca="false">IFERROR(INDEX(SEMANAS!$H$6:$H$71,MATCH(AA$139,SEMANAS!$B$6:$B$71,0)),0)</f>
        <v>32.9</v>
      </c>
      <c r="AB142" s="18" t="n">
        <f aca="false">IFERROR(INDEX(SEMANAS!$H$6:$H$71,MATCH(AB$139,SEMANAS!$B$6:$B$71,0)),0)</f>
        <v>32.9</v>
      </c>
      <c r="AC142" s="18" t="n">
        <f aca="false">IFERROR(INDEX(SEMANAS!$H$6:$H$71,MATCH(AC$139,SEMANAS!$B$6:$B$71,0)),0)</f>
        <v>32.2</v>
      </c>
      <c r="AD142" s="18" t="n">
        <f aca="false">IFERROR(INDEX(SEMANAS!$H$6:$H$71,MATCH(AD$139,SEMANAS!$B$6:$B$71,0)),0)</f>
        <v>32.2</v>
      </c>
      <c r="AE142" s="18" t="n">
        <f aca="false">IFERROR(INDEX(SEMANAS!$H$6:$H$71,MATCH(AE$139,SEMANAS!$B$6:$B$71,0)),0)</f>
        <v>32.2</v>
      </c>
      <c r="AF142" s="18" t="n">
        <f aca="false">IFERROR(INDEX(SEMANAS!$H$6:$H$71,MATCH(AF$139,SEMANAS!$B$6:$B$71,0)),0)</f>
        <v>32.2</v>
      </c>
      <c r="AG142" s="18" t="n">
        <f aca="false">IFERROR(INDEX(SEMANAS!$H$6:$H$71,MATCH(AG$139,SEMANAS!$B$6:$B$71,0)),0)</f>
        <v>31.8</v>
      </c>
      <c r="AH142" s="18" t="n">
        <f aca="false">IFERROR(INDEX(SEMANAS!$H$6:$H$71,MATCH(AH$139,SEMANAS!$B$6:$B$71,0)),0)</f>
        <v>31.5</v>
      </c>
      <c r="AI142" s="18" t="n">
        <f aca="false">IFERROR(INDEX(SEMANAS!$H$6:$H$71,MATCH(AI$139,SEMANAS!$B$6:$B$71,0)),0)</f>
        <v>31.5</v>
      </c>
      <c r="AJ142" s="18" t="n">
        <f aca="false">IFERROR(INDEX(SEMANAS!$H$6:$H$71,MATCH(AJ$139,SEMANAS!$B$6:$B$71,0)),0)</f>
        <v>31.5</v>
      </c>
      <c r="AK142" s="18" t="n">
        <f aca="false">IFERROR(INDEX(SEMANAS!$H$6:$H$71,MATCH(AK$139,SEMANAS!$B$6:$B$71,0)),0)</f>
        <v>30.9</v>
      </c>
      <c r="AL142" s="18" t="n">
        <f aca="false">IFERROR(INDEX(SEMANAS!$H$6:$H$71,MATCH(AL$139,SEMANAS!$B$6:$B$71,0)),0)</f>
        <v>29.4</v>
      </c>
      <c r="AM142" s="18" t="n">
        <f aca="false">IFERROR(INDEX(SEMANAS!$H$6:$H$71,MATCH(AM$139,SEMANAS!$B$6:$B$71,0)),0)</f>
        <v>29.4</v>
      </c>
      <c r="AN142" s="18" t="n">
        <f aca="false">IFERROR(INDEX(SEMANAS!$H$6:$H$71,MATCH(AN$139,SEMANAS!$B$6:$B$71,0)),0)</f>
        <v>29.4</v>
      </c>
      <c r="AO142" s="18" t="n">
        <f aca="false">IFERROR(INDEX(SEMANAS!$H$6:$H$71,MATCH(AO$139,SEMANAS!$B$6:$B$71,0)),0)</f>
        <v>29.4</v>
      </c>
      <c r="AP142" s="18" t="n">
        <f aca="false">IFERROR(INDEX(SEMANAS!$H$6:$H$71,MATCH(AP$139,SEMANAS!$B$6:$B$71,0)),0)</f>
        <v>28.2</v>
      </c>
      <c r="AQ142" s="18" t="n">
        <f aca="false">IFERROR(INDEX(SEMANAS!$H$6:$H$71,MATCH(AQ$139,SEMANAS!$B$6:$B$71,0)),0)</f>
        <v>28</v>
      </c>
      <c r="AR142" s="18" t="n">
        <f aca="false">IFERROR(INDEX(SEMANAS!$H$6:$H$71,MATCH(AR$139,SEMANAS!$B$6:$B$71,0)),0)</f>
        <v>28</v>
      </c>
      <c r="AS142" s="18" t="n">
        <f aca="false">IFERROR(INDEX(SEMANAS!$H$6:$H$71,MATCH(AS$139,SEMANAS!$B$6:$B$71,0)),0)</f>
        <v>28</v>
      </c>
      <c r="AT142" s="18" t="n">
        <f aca="false">IFERROR(INDEX(SEMANAS!$H$6:$H$71,MATCH(AT$139,SEMANAS!$B$6:$B$71,0)),0)</f>
        <v>29.2</v>
      </c>
      <c r="AU142" s="18" t="n">
        <f aca="false">IFERROR(INDEX(SEMANAS!$H$6:$H$71,MATCH(AU$139,SEMANAS!$B$6:$B$71,0)),0)</f>
        <v>30.1</v>
      </c>
      <c r="AV142" s="18" t="n">
        <f aca="false">IFERROR(INDEX(SEMANAS!$H$6:$H$71,MATCH(AV$139,SEMANAS!$B$6:$B$71,0)),0)</f>
        <v>30.1</v>
      </c>
      <c r="AW142" s="18" t="n">
        <f aca="false">IFERROR(INDEX(SEMANAS!$H$6:$H$71,MATCH(AW$139,SEMANAS!$B$6:$B$71,0)),0)</f>
        <v>30.1</v>
      </c>
      <c r="AX142" s="18" t="n">
        <f aca="false">IFERROR(INDEX(SEMANAS!$H$6:$H$71,MATCH(AX$139,SEMANAS!$B$6:$B$71,0)),0)</f>
        <v>31</v>
      </c>
      <c r="AY142" s="18" t="n">
        <f aca="false">IFERROR(INDEX(SEMANAS!$H$6:$H$71,MATCH(AY$139,SEMANAS!$B$6:$B$71,0)),0)</f>
        <v>36.4</v>
      </c>
      <c r="AZ142" s="18" t="n">
        <f aca="false">IFERROR(INDEX(SEMANAS!$H$6:$H$71,MATCH(AZ$139,SEMANAS!$B$6:$B$71,0)),0)</f>
        <v>36.4</v>
      </c>
      <c r="BA142" s="18" t="n">
        <f aca="false">IFERROR(INDEX(SEMANAS!$H$6:$H$71,MATCH(BA$139,SEMANAS!$B$6:$B$71,0)),0)</f>
        <v>36.4</v>
      </c>
      <c r="BB142" s="18" t="n">
        <f aca="false">IFERROR(INDEX(SEMANAS!$H$6:$H$71,MATCH(BB$139,SEMANAS!$B$6:$B$71,0)),0)</f>
        <v>36.4</v>
      </c>
      <c r="BC142" s="18" t="n">
        <f aca="false">IFERROR(INDEX(SEMANAS!$H$6:$H$71,MATCH(BC$139,SEMANAS!$B$6:$B$71,0)),0)</f>
        <v>39.4</v>
      </c>
      <c r="BD142" s="18" t="n">
        <f aca="false">IFERROR(INDEX(SEMANAS!$H$6:$H$71,MATCH(BD$139,SEMANAS!$B$6:$B$71,0)),0)</f>
        <v>40.6</v>
      </c>
      <c r="BE142" s="18" t="n">
        <f aca="false">IFERROR(INDEX(SEMANAS!$H$6:$H$71,MATCH(BE$139,SEMANAS!$B$6:$B$71,0)),0)</f>
        <v>40.6</v>
      </c>
      <c r="BF142" s="18" t="n">
        <f aca="false">IFERROR(INDEX(SEMANAS!$H$6:$H$71,MATCH(BF$139,SEMANAS!$B$6:$B$71,0)),0)</f>
        <v>40.6</v>
      </c>
      <c r="BG142" s="18" t="n">
        <f aca="false">IFERROR(INDEX(SEMANAS!$H$6:$H$71,MATCH(BG$139,SEMANAS!$B$6:$B$71,0)),0)</f>
        <v>40</v>
      </c>
      <c r="BH142" s="18" t="n">
        <f aca="false">IFERROR(INDEX(SEMANAS!$H$6:$H$71,MATCH(BH$139,SEMANAS!$B$6:$B$71,0)),0)</f>
        <v>39.2</v>
      </c>
      <c r="BI142" s="18" t="n">
        <f aca="false">IFERROR(INDEX(SEMANAS!$H$6:$H$71,MATCH(BI$139,SEMANAS!$B$6:$B$71,0)),0)</f>
        <v>39.2</v>
      </c>
      <c r="BJ142" s="18" t="n">
        <f aca="false">IFERROR(INDEX(SEMANAS!$H$6:$H$71,MATCH(BJ$139,SEMANAS!$B$6:$B$71,0)),0)</f>
        <v>39.2</v>
      </c>
      <c r="BK142" s="18" t="n">
        <f aca="false">IFERROR(INDEX(SEMANAS!$H$6:$H$71,MATCH(BK$139,SEMANAS!$B$6:$B$71,0)),0)</f>
        <v>39.2</v>
      </c>
      <c r="BL142" s="18" t="n">
        <f aca="false">IFERROR(INDEX(SEMANAS!$H$6:$H$71,MATCH(BL$139,SEMANAS!$B$6:$B$71,0)),0)</f>
        <v>34.3</v>
      </c>
      <c r="BM142" s="18" t="n">
        <f aca="false">IFERROR(INDEX(SEMANAS!$H$6:$H$71,MATCH(BM$139,SEMANAS!$B$6:$B$71,0)),0)</f>
        <v>34.3</v>
      </c>
      <c r="BN142" s="18" t="n">
        <f aca="false">IFERROR(INDEX(SEMANAS!$H$6:$H$71,MATCH(BN$139,SEMANAS!$B$6:$B$71,0)),0)</f>
        <v>34.3</v>
      </c>
      <c r="BO142" s="18" t="n">
        <f aca="false">IFERROR(INDEX(SEMANAS!$H$6:$H$71,MATCH(BO$139,SEMANAS!$B$6:$B$71,0)),0)</f>
        <v>34.3</v>
      </c>
      <c r="BP142" s="18" t="n">
        <f aca="false">IFERROR(INDEX(SEMANAS!$H$6:$H$71,MATCH(BP$139,SEMANAS!$B$6:$B$71,0)),0)</f>
        <v>33.3</v>
      </c>
      <c r="BQ142" s="18" t="n">
        <f aca="false">SUM(C142:BP142)</f>
        <v>2266.3</v>
      </c>
    </row>
    <row r="143" customFormat="false" ht="15" hidden="false" customHeight="false" outlineLevel="0" collapsed="false">
      <c r="B143" s="15" t="s">
        <v>614</v>
      </c>
      <c r="C143" s="18" t="n">
        <f aca="false">IFERROR(SUMIFS(PLANEJAMENTO_SEMANAL!$AG$6:$AG$2381,PLANEJAMENTO_SEMANAL!$B$6:$B$2381,C$139)/SUMIFS(PLANEJAMENTO_SEMANAL!$H$6:$H$2381,PLANEJAMENTO_SEMANAL!$B$6:$B$2381,C$139,PLANEJAMENTO_SEMANAL!$K$6:$K$2381,"&lt;&gt;SEM CULTURA"),0)</f>
        <v>35.5769776097569</v>
      </c>
      <c r="D143" s="18" t="n">
        <f aca="false">IFERROR(SUMIFS(PLANEJAMENTO_SEMANAL!$AG$6:$AG$2381,PLANEJAMENTO_SEMANAL!$B$6:$B$2381,D$139)/SUMIFS(PLANEJAMENTO_SEMANAL!$H$6:$H$2381,PLANEJAMENTO_SEMANAL!$B$6:$B$2381,D$139,PLANEJAMENTO_SEMANAL!$K$6:$K$2381,"&lt;&gt;SEM CULTURA"),0)</f>
        <v>36.8716444192239</v>
      </c>
      <c r="E143" s="18" t="n">
        <f aca="false">IFERROR(SUMIFS(PLANEJAMENTO_SEMANAL!$AG$6:$AG$2381,PLANEJAMENTO_SEMANAL!$B$6:$B$2381,E$139)/SUMIFS(PLANEJAMENTO_SEMANAL!$H$6:$H$2381,PLANEJAMENTO_SEMANAL!$B$6:$B$2381,E$139,PLANEJAMENTO_SEMANAL!$K$6:$K$2381,"&lt;&gt;SEM CULTURA"),0)</f>
        <v>39.5146497817056</v>
      </c>
      <c r="F143" s="18" t="n">
        <f aca="false">IFERROR(SUMIFS(PLANEJAMENTO_SEMANAL!$AG$6:$AG$2381,PLANEJAMENTO_SEMANAL!$B$6:$B$2381,F$139)/SUMIFS(PLANEJAMENTO_SEMANAL!$H$6:$H$2381,PLANEJAMENTO_SEMANAL!$B$6:$B$2381,F$139,PLANEJAMENTO_SEMANAL!$K$6:$K$2381,"&lt;&gt;SEM CULTURA"),0)</f>
        <v>41.0811399389727</v>
      </c>
      <c r="G143" s="18" t="n">
        <f aca="false">IFERROR(SUMIFS(PLANEJAMENTO_SEMANAL!$AG$6:$AG$2381,PLANEJAMENTO_SEMANAL!$B$6:$B$2381,G$139)/SUMIFS(PLANEJAMENTO_SEMANAL!$H$6:$H$2381,PLANEJAMENTO_SEMANAL!$B$6:$B$2381,G$139,PLANEJAMENTO_SEMANAL!$K$6:$K$2381,"&lt;&gt;SEM CULTURA"),0)</f>
        <v>27.4369027850762</v>
      </c>
      <c r="H143" s="18" t="n">
        <f aca="false">IFERROR(SUMIFS(PLANEJAMENTO_SEMANAL!$AG$6:$AG$2381,PLANEJAMENTO_SEMANAL!$B$6:$B$2381,H$139)/SUMIFS(PLANEJAMENTO_SEMANAL!$H$6:$H$2381,PLANEJAMENTO_SEMANAL!$B$6:$B$2381,H$139,PLANEJAMENTO_SEMANAL!$K$6:$K$2381,"&lt;&gt;SEM CULTURA"),0)</f>
        <v>26.7416700346256</v>
      </c>
      <c r="I143" s="18" t="n">
        <f aca="false">IFERROR(SUMIFS(PLANEJAMENTO_SEMANAL!$AG$6:$AG$2381,PLANEJAMENTO_SEMANAL!$B$6:$B$2381,I$139)/SUMIFS(PLANEJAMENTO_SEMANAL!$H$6:$H$2381,PLANEJAMENTO_SEMANAL!$B$6:$B$2381,I$139,PLANEJAMENTO_SEMANAL!$K$6:$K$2381,"&lt;&gt;SEM CULTURA"),0)</f>
        <v>20.972457030135</v>
      </c>
      <c r="J143" s="18" t="n">
        <f aca="false">IFERROR(SUMIFS(PLANEJAMENTO_SEMANAL!$AG$6:$AG$2381,PLANEJAMENTO_SEMANAL!$B$6:$B$2381,J$139)/SUMIFS(PLANEJAMENTO_SEMANAL!$H$6:$H$2381,PLANEJAMENTO_SEMANAL!$B$6:$B$2381,J$139,PLANEJAMENTO_SEMANAL!$K$6:$K$2381,"&lt;&gt;SEM CULTURA"),0)</f>
        <v>22.4760610753991</v>
      </c>
      <c r="K143" s="18" t="n">
        <f aca="false">IFERROR(SUMIFS(PLANEJAMENTO_SEMANAL!$AG$6:$AG$2381,PLANEJAMENTO_SEMANAL!$B$6:$B$2381,K$139)/SUMIFS(PLANEJAMENTO_SEMANAL!$H$6:$H$2381,PLANEJAMENTO_SEMANAL!$B$6:$B$2381,K$139,PLANEJAMENTO_SEMANAL!$K$6:$K$2381,"&lt;&gt;SEM CULTURA"),0)</f>
        <v>23.5442531956389</v>
      </c>
      <c r="L143" s="18" t="n">
        <f aca="false">IFERROR(SUMIFS(PLANEJAMENTO_SEMANAL!$AG$6:$AG$2381,PLANEJAMENTO_SEMANAL!$B$6:$B$2381,L$139)/SUMIFS(PLANEJAMENTO_SEMANAL!$H$6:$H$2381,PLANEJAMENTO_SEMANAL!$B$6:$B$2381,L$139,PLANEJAMENTO_SEMANAL!$K$6:$K$2381,"&lt;&gt;SEM CULTURA"),0)</f>
        <v>24.4928960363027</v>
      </c>
      <c r="M143" s="18" t="n">
        <f aca="false">IFERROR(SUMIFS(PLANEJAMENTO_SEMANAL!$AG$6:$AG$2381,PLANEJAMENTO_SEMANAL!$B$6:$B$2381,M$139)/SUMIFS(PLANEJAMENTO_SEMANAL!$H$6:$H$2381,PLANEJAMENTO_SEMANAL!$B$6:$B$2381,M$139,PLANEJAMENTO_SEMANAL!$K$6:$K$2381,"&lt;&gt;SEM CULTURA"),0)</f>
        <v>29.2113340784602</v>
      </c>
      <c r="N143" s="18" t="n">
        <f aca="false">IFERROR(SUMIFS(PLANEJAMENTO_SEMANAL!$AG$6:$AG$2381,PLANEJAMENTO_SEMANAL!$B$6:$B$2381,N$139)/SUMIFS(PLANEJAMENTO_SEMANAL!$H$6:$H$2381,PLANEJAMENTO_SEMANAL!$B$6:$B$2381,N$139,PLANEJAMENTO_SEMANAL!$K$6:$K$2381,"&lt;&gt;SEM CULTURA"),0)</f>
        <v>31.0416090911662</v>
      </c>
      <c r="O143" s="18" t="n">
        <f aca="false">IFERROR(SUMIFS(PLANEJAMENTO_SEMANAL!$AG$6:$AG$2381,PLANEJAMENTO_SEMANAL!$B$6:$B$2381,O$139)/SUMIFS(PLANEJAMENTO_SEMANAL!$H$6:$H$2381,PLANEJAMENTO_SEMANAL!$B$6:$B$2381,O$139,PLANEJAMENTO_SEMANAL!$K$6:$K$2381,"&lt;&gt;SEM CULTURA"),0)</f>
        <v>35.4127607597581</v>
      </c>
      <c r="P143" s="18" t="n">
        <f aca="false">IFERROR(SUMIFS(PLANEJAMENTO_SEMANAL!$AG$6:$AG$2381,PLANEJAMENTO_SEMANAL!$B$6:$B$2381,P$139)/SUMIFS(PLANEJAMENTO_SEMANAL!$H$6:$H$2381,PLANEJAMENTO_SEMANAL!$B$6:$B$2381,P$139,PLANEJAMENTO_SEMANAL!$K$6:$K$2381,"&lt;&gt;SEM CULTURA"),0)</f>
        <v>25.5559959357656</v>
      </c>
      <c r="Q143" s="18" t="n">
        <f aca="false">IFERROR(SUMIFS(PLANEJAMENTO_SEMANAL!$AG$6:$AG$2381,PLANEJAMENTO_SEMANAL!$B$6:$B$2381,Q$139)/SUMIFS(PLANEJAMENTO_SEMANAL!$H$6:$H$2381,PLANEJAMENTO_SEMANAL!$B$6:$B$2381,Q$139,PLANEJAMENTO_SEMANAL!$K$6:$K$2381,"&lt;&gt;SEM CULTURA"),0)</f>
        <v>25.137684219005</v>
      </c>
      <c r="R143" s="18" t="n">
        <f aca="false">IFERROR(SUMIFS(PLANEJAMENTO_SEMANAL!$AG$6:$AG$2381,PLANEJAMENTO_SEMANAL!$B$6:$B$2381,R$139)/SUMIFS(PLANEJAMENTO_SEMANAL!$H$6:$H$2381,PLANEJAMENTO_SEMANAL!$B$6:$B$2381,R$139,PLANEJAMENTO_SEMANAL!$K$6:$K$2381,"&lt;&gt;SEM CULTURA"),0)</f>
        <v>24.2114522178596</v>
      </c>
      <c r="S143" s="18" t="n">
        <f aca="false">IFERROR(SUMIFS(PLANEJAMENTO_SEMANAL!$AG$6:$AG$2381,PLANEJAMENTO_SEMANAL!$B$6:$B$2381,S$139)/SUMIFS(PLANEJAMENTO_SEMANAL!$H$6:$H$2381,PLANEJAMENTO_SEMANAL!$B$6:$B$2381,S$139,PLANEJAMENTO_SEMANAL!$K$6:$K$2381,"&lt;&gt;SEM CULTURA"),0)</f>
        <v>23.7391288323347</v>
      </c>
      <c r="T143" s="18" t="n">
        <f aca="false">IFERROR(SUMIFS(PLANEJAMENTO_SEMANAL!$AG$6:$AG$2381,PLANEJAMENTO_SEMANAL!$B$6:$B$2381,T$139)/SUMIFS(PLANEJAMENTO_SEMANAL!$H$6:$H$2381,PLANEJAMENTO_SEMANAL!$B$6:$B$2381,T$139,PLANEJAMENTO_SEMANAL!$K$6:$K$2381,"&lt;&gt;SEM CULTURA"),0)</f>
        <v>23.6714312203016</v>
      </c>
      <c r="U143" s="18" t="n">
        <f aca="false">IFERROR(SUMIFS(PLANEJAMENTO_SEMANAL!$AG$6:$AG$2381,PLANEJAMENTO_SEMANAL!$B$6:$B$2381,U$139)/SUMIFS(PLANEJAMENTO_SEMANAL!$H$6:$H$2381,PLANEJAMENTO_SEMANAL!$B$6:$B$2381,U$139,PLANEJAMENTO_SEMANAL!$K$6:$K$2381,"&lt;&gt;SEM CULTURA"),0)</f>
        <v>23.8081518966786</v>
      </c>
      <c r="V143" s="18" t="n">
        <f aca="false">IFERROR(SUMIFS(PLANEJAMENTO_SEMANAL!$AG$6:$AG$2381,PLANEJAMENTO_SEMANAL!$B$6:$B$2381,V$139)/SUMIFS(PLANEJAMENTO_SEMANAL!$H$6:$H$2381,PLANEJAMENTO_SEMANAL!$B$6:$B$2381,V$139,PLANEJAMENTO_SEMANAL!$K$6:$K$2381,"&lt;&gt;SEM CULTURA"),0)</f>
        <v>24.4103627121916</v>
      </c>
      <c r="W143" s="18" t="n">
        <f aca="false">IFERROR(SUMIFS(PLANEJAMENTO_SEMANAL!$AG$6:$AG$2381,PLANEJAMENTO_SEMANAL!$B$6:$B$2381,W$139)/SUMIFS(PLANEJAMENTO_SEMANAL!$H$6:$H$2381,PLANEJAMENTO_SEMANAL!$B$6:$B$2381,W$139,PLANEJAMENTO_SEMANAL!$K$6:$K$2381,"&lt;&gt;SEM CULTURA"),0)</f>
        <v>25.0558654419838</v>
      </c>
      <c r="X143" s="18" t="n">
        <f aca="false">IFERROR(SUMIFS(PLANEJAMENTO_SEMANAL!$AG$6:$AG$2381,PLANEJAMENTO_SEMANAL!$B$6:$B$2381,X$139)/SUMIFS(PLANEJAMENTO_SEMANAL!$H$6:$H$2381,PLANEJAMENTO_SEMANAL!$B$6:$B$2381,X$139,PLANEJAMENTO_SEMANAL!$K$6:$K$2381,"&lt;&gt;SEM CULTURA"),0)</f>
        <v>25.2198863065359</v>
      </c>
      <c r="Y143" s="18" t="n">
        <f aca="false">IFERROR(SUMIFS(PLANEJAMENTO_SEMANAL!$AG$6:$AG$2381,PLANEJAMENTO_SEMANAL!$B$6:$B$2381,Y$139)/SUMIFS(PLANEJAMENTO_SEMANAL!$H$6:$H$2381,PLANEJAMENTO_SEMANAL!$B$6:$B$2381,Y$139,PLANEJAMENTO_SEMANAL!$K$6:$K$2381,"&lt;&gt;SEM CULTURA"),0)</f>
        <v>24.3538339938757</v>
      </c>
      <c r="Z143" s="18" t="n">
        <f aca="false">IFERROR(SUMIFS(PLANEJAMENTO_SEMANAL!$AG$6:$AG$2381,PLANEJAMENTO_SEMANAL!$B$6:$B$2381,Z$139)/SUMIFS(PLANEJAMENTO_SEMANAL!$H$6:$H$2381,PLANEJAMENTO_SEMANAL!$B$6:$B$2381,Z$139,PLANEJAMENTO_SEMANAL!$K$6:$K$2381,"&lt;&gt;SEM CULTURA"),0)</f>
        <v>23.6182562613248</v>
      </c>
      <c r="AA143" s="18" t="n">
        <f aca="false">IFERROR(SUMIFS(PLANEJAMENTO_SEMANAL!$AG$6:$AG$2381,PLANEJAMENTO_SEMANAL!$B$6:$B$2381,AA$139)/SUMIFS(PLANEJAMENTO_SEMANAL!$H$6:$H$2381,PLANEJAMENTO_SEMANAL!$B$6:$B$2381,AA$139,PLANEJAMENTO_SEMANAL!$K$6:$K$2381,"&lt;&gt;SEM CULTURA"),0)</f>
        <v>25.1742294254923</v>
      </c>
      <c r="AB143" s="18" t="n">
        <f aca="false">IFERROR(SUMIFS(PLANEJAMENTO_SEMANAL!$AG$6:$AG$2381,PLANEJAMENTO_SEMANAL!$B$6:$B$2381,AB$139)/SUMIFS(PLANEJAMENTO_SEMANAL!$H$6:$H$2381,PLANEJAMENTO_SEMANAL!$B$6:$B$2381,AB$139,PLANEJAMENTO_SEMANAL!$K$6:$K$2381,"&lt;&gt;SEM CULTURA"),0)</f>
        <v>26.1461861630262</v>
      </c>
      <c r="AC143" s="18" t="n">
        <f aca="false">IFERROR(SUMIFS(PLANEJAMENTO_SEMANAL!$AG$6:$AG$2381,PLANEJAMENTO_SEMANAL!$B$6:$B$2381,AC$139)/SUMIFS(PLANEJAMENTO_SEMANAL!$H$6:$H$2381,PLANEJAMENTO_SEMANAL!$B$6:$B$2381,AC$139,PLANEJAMENTO_SEMANAL!$K$6:$K$2381,"&lt;&gt;SEM CULTURA"),0)</f>
        <v>26.2628837503865</v>
      </c>
      <c r="AD143" s="18" t="n">
        <f aca="false">IFERROR(SUMIFS(PLANEJAMENTO_SEMANAL!$AG$6:$AG$2381,PLANEJAMENTO_SEMANAL!$B$6:$B$2381,AD$139)/SUMIFS(PLANEJAMENTO_SEMANAL!$H$6:$H$2381,PLANEJAMENTO_SEMANAL!$B$6:$B$2381,AD$139,PLANEJAMENTO_SEMANAL!$K$6:$K$2381,"&lt;&gt;SEM CULTURA"),0)</f>
        <v>27.3013943055844</v>
      </c>
      <c r="AE143" s="18" t="n">
        <f aca="false">IFERROR(SUMIFS(PLANEJAMENTO_SEMANAL!$AG$6:$AG$2381,PLANEJAMENTO_SEMANAL!$B$6:$B$2381,AE$139)/SUMIFS(PLANEJAMENTO_SEMANAL!$H$6:$H$2381,PLANEJAMENTO_SEMANAL!$B$6:$B$2381,AE$139,PLANEJAMENTO_SEMANAL!$K$6:$K$2381,"&lt;&gt;SEM CULTURA"),0)</f>
        <v>28.6322180069238</v>
      </c>
      <c r="AF143" s="18" t="n">
        <f aca="false">IFERROR(SUMIFS(PLANEJAMENTO_SEMANAL!$AG$6:$AG$2381,PLANEJAMENTO_SEMANAL!$B$6:$B$2381,AF$139)/SUMIFS(PLANEJAMENTO_SEMANAL!$H$6:$H$2381,PLANEJAMENTO_SEMANAL!$B$6:$B$2381,AF$139,PLANEJAMENTO_SEMANAL!$K$6:$K$2381,"&lt;&gt;SEM CULTURA"),0)</f>
        <v>30.1303770186897</v>
      </c>
      <c r="AG143" s="18" t="n">
        <f aca="false">IFERROR(SUMIFS(PLANEJAMENTO_SEMANAL!$AG$6:$AG$2381,PLANEJAMENTO_SEMANAL!$B$6:$B$2381,AG$139)/SUMIFS(PLANEJAMENTO_SEMANAL!$H$6:$H$2381,PLANEJAMENTO_SEMANAL!$B$6:$B$2381,AG$139,PLANEJAMENTO_SEMANAL!$K$6:$K$2381,"&lt;&gt;SEM CULTURA"),0)</f>
        <v>31.082330098578</v>
      </c>
      <c r="AH143" s="18" t="n">
        <f aca="false">IFERROR(SUMIFS(PLANEJAMENTO_SEMANAL!$AG$6:$AG$2381,PLANEJAMENTO_SEMANAL!$B$6:$B$2381,AH$139)/SUMIFS(PLANEJAMENTO_SEMANAL!$H$6:$H$2381,PLANEJAMENTO_SEMANAL!$B$6:$B$2381,AH$139,PLANEJAMENTO_SEMANAL!$K$6:$K$2381,"&lt;&gt;SEM CULTURA"),0)</f>
        <v>32.1028323160611</v>
      </c>
      <c r="AI143" s="18" t="n">
        <f aca="false">IFERROR(SUMIFS(PLANEJAMENTO_SEMANAL!$AG$6:$AG$2381,PLANEJAMENTO_SEMANAL!$B$6:$B$2381,AI$139)/SUMIFS(PLANEJAMENTO_SEMANAL!$H$6:$H$2381,PLANEJAMENTO_SEMANAL!$B$6:$B$2381,AI$139,PLANEJAMENTO_SEMANAL!$K$6:$K$2381,"&lt;&gt;SEM CULTURA"),0)</f>
        <v>33.3699403566472</v>
      </c>
      <c r="AJ143" s="18" t="n">
        <f aca="false">IFERROR(SUMIFS(PLANEJAMENTO_SEMANAL!$AG$6:$AG$2381,PLANEJAMENTO_SEMANAL!$B$6:$B$2381,AJ$139)/SUMIFS(PLANEJAMENTO_SEMANAL!$H$6:$H$2381,PLANEJAMENTO_SEMANAL!$B$6:$B$2381,AJ$139,PLANEJAMENTO_SEMANAL!$K$6:$K$2381,"&lt;&gt;SEM CULTURA"),0)</f>
        <v>34.265391585524</v>
      </c>
      <c r="AK143" s="18" t="n">
        <f aca="false">IFERROR(SUMIFS(PLANEJAMENTO_SEMANAL!$AG$6:$AG$2381,PLANEJAMENTO_SEMANAL!$B$6:$B$2381,AK$139)/SUMIFS(PLANEJAMENTO_SEMANAL!$H$6:$H$2381,PLANEJAMENTO_SEMANAL!$B$6:$B$2381,AK$139,PLANEJAMENTO_SEMANAL!$K$6:$K$2381,"&lt;&gt;SEM CULTURA"),0)</f>
        <v>33.9145294479032</v>
      </c>
      <c r="AL143" s="18" t="n">
        <f aca="false">IFERROR(SUMIFS(PLANEJAMENTO_SEMANAL!$AG$6:$AG$2381,PLANEJAMENTO_SEMANAL!$B$6:$B$2381,AL$139)/SUMIFS(PLANEJAMENTO_SEMANAL!$H$6:$H$2381,PLANEJAMENTO_SEMANAL!$B$6:$B$2381,AL$139,PLANEJAMENTO_SEMANAL!$K$6:$K$2381,"&lt;&gt;SEM CULTURA"),0)</f>
        <v>31.4889108687761</v>
      </c>
      <c r="AM143" s="18" t="n">
        <f aca="false">IFERROR(SUMIFS(PLANEJAMENTO_SEMANAL!$AG$6:$AG$2381,PLANEJAMENTO_SEMANAL!$B$6:$B$2381,AM$139)/SUMIFS(PLANEJAMENTO_SEMANAL!$H$6:$H$2381,PLANEJAMENTO_SEMANAL!$B$6:$B$2381,AM$139,PLANEJAMENTO_SEMANAL!$K$6:$K$2381,"&lt;&gt;SEM CULTURA"),0)</f>
        <v>29.5628851593248</v>
      </c>
      <c r="AN143" s="18" t="n">
        <f aca="false">IFERROR(SUMIFS(PLANEJAMENTO_SEMANAL!$AG$6:$AG$2381,PLANEJAMENTO_SEMANAL!$B$6:$B$2381,AN$139)/SUMIFS(PLANEJAMENTO_SEMANAL!$H$6:$H$2381,PLANEJAMENTO_SEMANAL!$B$6:$B$2381,AN$139,PLANEJAMENTO_SEMANAL!$K$6:$K$2381,"&lt;&gt;SEM CULTURA"),0)</f>
        <v>28.4913720609747</v>
      </c>
      <c r="AO143" s="18" t="n">
        <f aca="false">IFERROR(SUMIFS(PLANEJAMENTO_SEMANAL!$AG$6:$AG$2381,PLANEJAMENTO_SEMANAL!$B$6:$B$2381,AO$139)/SUMIFS(PLANEJAMENTO_SEMANAL!$H$6:$H$2381,PLANEJAMENTO_SEMANAL!$B$6:$B$2381,AO$139,PLANEJAMENTO_SEMANAL!$K$6:$K$2381,"&lt;&gt;SEM CULTURA"),0)</f>
        <v>27.5977656167956</v>
      </c>
      <c r="AP143" s="18" t="n">
        <f aca="false">IFERROR(SUMIFS(PLANEJAMENTO_SEMANAL!$AG$6:$AG$2381,PLANEJAMENTO_SEMANAL!$B$6:$B$2381,AP$139)/SUMIFS(PLANEJAMENTO_SEMANAL!$H$6:$H$2381,PLANEJAMENTO_SEMANAL!$B$6:$B$2381,AP$139,PLANEJAMENTO_SEMANAL!$K$6:$K$2381,"&lt;&gt;SEM CULTURA"),0)</f>
        <v>24.2393413874529</v>
      </c>
      <c r="AQ143" s="18" t="n">
        <f aca="false">IFERROR(SUMIFS(PLANEJAMENTO_SEMANAL!$AG$6:$AG$2381,PLANEJAMENTO_SEMANAL!$B$6:$B$2381,AQ$139)/SUMIFS(PLANEJAMENTO_SEMANAL!$H$6:$H$2381,PLANEJAMENTO_SEMANAL!$B$6:$B$2381,AQ$139,PLANEJAMENTO_SEMANAL!$K$6:$K$2381,"&lt;&gt;SEM CULTURA"),0)</f>
        <v>22.6317252663257</v>
      </c>
      <c r="AR143" s="18" t="n">
        <f aca="false">IFERROR(SUMIFS(PLANEJAMENTO_SEMANAL!$AG$6:$AG$2381,PLANEJAMENTO_SEMANAL!$B$6:$B$2381,AR$139)/SUMIFS(PLANEJAMENTO_SEMANAL!$H$6:$H$2381,PLANEJAMENTO_SEMANAL!$B$6:$B$2381,AR$139,PLANEJAMENTO_SEMANAL!$K$6:$K$2381,"&lt;&gt;SEM CULTURA"),0)</f>
        <v>23.2108631530946</v>
      </c>
      <c r="AS143" s="18" t="n">
        <f aca="false">IFERROR(SUMIFS(PLANEJAMENTO_SEMANAL!$AG$6:$AG$2381,PLANEJAMENTO_SEMANAL!$B$6:$B$2381,AS$139)/SUMIFS(PLANEJAMENTO_SEMANAL!$H$6:$H$2381,PLANEJAMENTO_SEMANAL!$B$6:$B$2381,AS$139,PLANEJAMENTO_SEMANAL!$K$6:$K$2381,"&lt;&gt;SEM CULTURA"),0)</f>
        <v>21.7068602237614</v>
      </c>
      <c r="AT143" s="18" t="n">
        <f aca="false">IFERROR(SUMIFS(PLANEJAMENTO_SEMANAL!$AG$6:$AG$2381,PLANEJAMENTO_SEMANAL!$B$6:$B$2381,AT$139)/SUMIFS(PLANEJAMENTO_SEMANAL!$H$6:$H$2381,PLANEJAMENTO_SEMANAL!$B$6:$B$2381,AT$139,PLANEJAMENTO_SEMANAL!$K$6:$K$2381,"&lt;&gt;SEM CULTURA"),0)</f>
        <v>21.4031308097404</v>
      </c>
      <c r="AU143" s="18" t="n">
        <f aca="false">IFERROR(SUMIFS(PLANEJAMENTO_SEMANAL!$AG$6:$AG$2381,PLANEJAMENTO_SEMANAL!$B$6:$B$2381,AU$139)/SUMIFS(PLANEJAMENTO_SEMANAL!$H$6:$H$2381,PLANEJAMENTO_SEMANAL!$B$6:$B$2381,AU$139,PLANEJAMENTO_SEMANAL!$K$6:$K$2381,"&lt;&gt;SEM CULTURA"),0)</f>
        <v>21.2521437809062</v>
      </c>
      <c r="AV143" s="18" t="n">
        <f aca="false">IFERROR(SUMIFS(PLANEJAMENTO_SEMANAL!$AG$6:$AG$2381,PLANEJAMENTO_SEMANAL!$B$6:$B$2381,AV$139)/SUMIFS(PLANEJAMENTO_SEMANAL!$H$6:$H$2381,PLANEJAMENTO_SEMANAL!$B$6:$B$2381,AV$139,PLANEJAMENTO_SEMANAL!$K$6:$K$2381,"&lt;&gt;SEM CULTURA"),0)</f>
        <v>21.121472980722</v>
      </c>
      <c r="AW143" s="18" t="n">
        <f aca="false">IFERROR(SUMIFS(PLANEJAMENTO_SEMANAL!$AG$6:$AG$2381,PLANEJAMENTO_SEMANAL!$B$6:$B$2381,AW$139)/SUMIFS(PLANEJAMENTO_SEMANAL!$H$6:$H$2381,PLANEJAMENTO_SEMANAL!$B$6:$B$2381,AW$139,PLANEJAMENTO_SEMANAL!$K$6:$K$2381,"&lt;&gt;SEM CULTURA"),0)</f>
        <v>21.0282318378937</v>
      </c>
      <c r="AX143" s="18" t="n">
        <f aca="false">IFERROR(SUMIFS(PLANEJAMENTO_SEMANAL!$AG$6:$AG$2381,PLANEJAMENTO_SEMANAL!$B$6:$B$2381,AX$139)/SUMIFS(PLANEJAMENTO_SEMANAL!$H$6:$H$2381,PLANEJAMENTO_SEMANAL!$B$6:$B$2381,AX$139,PLANEJAMENTO_SEMANAL!$K$6:$K$2381,"&lt;&gt;SEM CULTURA"),0)</f>
        <v>22.2219511504011</v>
      </c>
      <c r="AY143" s="18" t="n">
        <f aca="false">IFERROR(SUMIFS(PLANEJAMENTO_SEMANAL!$AG$6:$AG$2381,PLANEJAMENTO_SEMANAL!$B$6:$B$2381,AY$139)/SUMIFS(PLANEJAMENTO_SEMANAL!$H$6:$H$2381,PLANEJAMENTO_SEMANAL!$B$6:$B$2381,AY$139,PLANEJAMENTO_SEMANAL!$K$6:$K$2381,"&lt;&gt;SEM CULTURA"),0)</f>
        <v>28.2521003260793</v>
      </c>
      <c r="AZ143" s="18" t="n">
        <f aca="false">IFERROR(SUMIFS(PLANEJAMENTO_SEMANAL!$AG$6:$AG$2381,PLANEJAMENTO_SEMANAL!$B$6:$B$2381,AZ$139)/SUMIFS(PLANEJAMENTO_SEMANAL!$H$6:$H$2381,PLANEJAMENTO_SEMANAL!$B$6:$B$2381,AZ$139,PLANEJAMENTO_SEMANAL!$K$6:$K$2381,"&lt;&gt;SEM CULTURA"),0)</f>
        <v>30.4690906611164</v>
      </c>
      <c r="BA143" s="18" t="n">
        <f aca="false">IFERROR(SUMIFS(PLANEJAMENTO_SEMANAL!$AG$6:$AG$2381,PLANEJAMENTO_SEMANAL!$B$6:$B$2381,BA$139)/SUMIFS(PLANEJAMENTO_SEMANAL!$H$6:$H$2381,PLANEJAMENTO_SEMANAL!$B$6:$B$2381,BA$139,PLANEJAMENTO_SEMANAL!$K$6:$K$2381,"&lt;&gt;SEM CULTURA"),0)</f>
        <v>35.4051972377535</v>
      </c>
      <c r="BB143" s="18" t="n">
        <f aca="false">IFERROR(SUMIFS(PLANEJAMENTO_SEMANAL!$AG$6:$AG$2381,PLANEJAMENTO_SEMANAL!$B$6:$B$2381,BB$139)/SUMIFS(PLANEJAMENTO_SEMANAL!$H$6:$H$2381,PLANEJAMENTO_SEMANAL!$B$6:$B$2381,BB$139,PLANEJAMENTO_SEMANAL!$K$6:$K$2381,"&lt;&gt;SEM CULTURA"),0)</f>
        <v>40.2252149128654</v>
      </c>
      <c r="BC143" s="18" t="n">
        <f aca="false">IFERROR(SUMIFS(PLANEJAMENTO_SEMANAL!$AG$6:$AG$2381,PLANEJAMENTO_SEMANAL!$B$6:$B$2381,BC$139)/SUMIFS(PLANEJAMENTO_SEMANAL!$H$6:$H$2381,PLANEJAMENTO_SEMANAL!$B$6:$B$2381,BC$139,PLANEJAMENTO_SEMANAL!$K$6:$K$2381,"&lt;&gt;SEM CULTURA"),0)</f>
        <v>45.5373920252586</v>
      </c>
      <c r="BD143" s="18" t="n">
        <f aca="false">IFERROR(SUMIFS(PLANEJAMENTO_SEMANAL!$AG$6:$AG$2381,PLANEJAMENTO_SEMANAL!$B$6:$B$2381,BD$139)/SUMIFS(PLANEJAMENTO_SEMANAL!$H$6:$H$2381,PLANEJAMENTO_SEMANAL!$B$6:$B$2381,BD$139,PLANEJAMENTO_SEMANAL!$K$6:$K$2381,"&lt;&gt;SEM CULTURA"),0)</f>
        <v>47.5009175094979</v>
      </c>
      <c r="BE143" s="18" t="n">
        <f aca="false">IFERROR(SUMIFS(PLANEJAMENTO_SEMANAL!$AG$6:$AG$2381,PLANEJAMENTO_SEMANAL!$B$6:$B$2381,BE$139)/SUMIFS(PLANEJAMENTO_SEMANAL!$H$6:$H$2381,PLANEJAMENTO_SEMANAL!$B$6:$B$2381,BE$139,PLANEJAMENTO_SEMANAL!$K$6:$K$2381,"&lt;&gt;SEM CULTURA"),0)</f>
        <v>47.0897164545083</v>
      </c>
      <c r="BF143" s="18" t="n">
        <f aca="false">IFERROR(SUMIFS(PLANEJAMENTO_SEMANAL!$AG$6:$AG$2381,PLANEJAMENTO_SEMANAL!$B$6:$B$2381,BF$139)/SUMIFS(PLANEJAMENTO_SEMANAL!$H$6:$H$2381,PLANEJAMENTO_SEMANAL!$B$6:$B$2381,BF$139,PLANEJAMENTO_SEMANAL!$K$6:$K$2381,"&lt;&gt;SEM CULTURA"),0)</f>
        <v>46.1138345316118</v>
      </c>
      <c r="BG143" s="18" t="n">
        <f aca="false">IFERROR(SUMIFS(PLANEJAMENTO_SEMANAL!$AG$6:$AG$2381,PLANEJAMENTO_SEMANAL!$B$6:$B$2381,BG$139)/SUMIFS(PLANEJAMENTO_SEMANAL!$H$6:$H$2381,PLANEJAMENTO_SEMANAL!$B$6:$B$2381,BG$139,PLANEJAMENTO_SEMANAL!$K$6:$K$2381,"&lt;&gt;SEM CULTURA"),0)</f>
        <v>44.0231277235283</v>
      </c>
      <c r="BH143" s="18" t="n">
        <f aca="false">IFERROR(SUMIFS(PLANEJAMENTO_SEMANAL!$AG$6:$AG$2381,PLANEJAMENTO_SEMANAL!$B$6:$B$2381,BH$139)/SUMIFS(PLANEJAMENTO_SEMANAL!$H$6:$H$2381,PLANEJAMENTO_SEMANAL!$B$6:$B$2381,BH$139,PLANEJAMENTO_SEMANAL!$K$6:$K$2381,"&lt;&gt;SEM CULTURA"),0)</f>
        <v>41.387985880582</v>
      </c>
      <c r="BI143" s="18" t="n">
        <f aca="false">IFERROR(SUMIFS(PLANEJAMENTO_SEMANAL!$AG$6:$AG$2381,PLANEJAMENTO_SEMANAL!$B$6:$B$2381,BI$139)/SUMIFS(PLANEJAMENTO_SEMANAL!$H$6:$H$2381,PLANEJAMENTO_SEMANAL!$B$6:$B$2381,BI$139,PLANEJAMENTO_SEMANAL!$K$6:$K$2381,"&lt;&gt;SEM CULTURA"),0)</f>
        <v>39.1586104430038</v>
      </c>
      <c r="BJ143" s="18" t="n">
        <f aca="false">IFERROR(SUMIFS(PLANEJAMENTO_SEMANAL!$AG$6:$AG$2381,PLANEJAMENTO_SEMANAL!$B$6:$B$2381,BJ$139)/SUMIFS(PLANEJAMENTO_SEMANAL!$H$6:$H$2381,PLANEJAMENTO_SEMANAL!$B$6:$B$2381,BJ$139,PLANEJAMENTO_SEMANAL!$K$6:$K$2381,"&lt;&gt;SEM CULTURA"),0)</f>
        <v>37.9502380133448</v>
      </c>
      <c r="BK143" s="18" t="n">
        <f aca="false">IFERROR(SUMIFS(PLANEJAMENTO_SEMANAL!$AG$6:$AG$2381,PLANEJAMENTO_SEMANAL!$B$6:$B$2381,BK$139)/SUMIFS(PLANEJAMENTO_SEMANAL!$H$6:$H$2381,PLANEJAMENTO_SEMANAL!$B$6:$B$2381,BK$139,PLANEJAMENTO_SEMANAL!$K$6:$K$2381,"&lt;&gt;SEM CULTURA"),0)</f>
        <v>38.4982992266573</v>
      </c>
      <c r="BL143" s="18" t="n">
        <f aca="false">IFERROR(SUMIFS(PLANEJAMENTO_SEMANAL!$AG$6:$AG$2381,PLANEJAMENTO_SEMANAL!$B$6:$B$2381,BL$139)/SUMIFS(PLANEJAMENTO_SEMANAL!$H$6:$H$2381,PLANEJAMENTO_SEMANAL!$B$6:$B$2381,BL$139,PLANEJAMENTO_SEMANAL!$K$6:$K$2381,"&lt;&gt;SEM CULTURA"),0)</f>
        <v>30.1554787495071</v>
      </c>
      <c r="BM143" s="18" t="n">
        <f aca="false">IFERROR(SUMIFS(PLANEJAMENTO_SEMANAL!$AG$6:$AG$2381,PLANEJAMENTO_SEMANAL!$B$6:$B$2381,BM$139)/SUMIFS(PLANEJAMENTO_SEMANAL!$H$6:$H$2381,PLANEJAMENTO_SEMANAL!$B$6:$B$2381,BM$139,PLANEJAMENTO_SEMANAL!$K$6:$K$2381,"&lt;&gt;SEM CULTURA"),0)</f>
        <v>27.7618055716511</v>
      </c>
      <c r="BN143" s="18" t="n">
        <f aca="false">IFERROR(SUMIFS(PLANEJAMENTO_SEMANAL!$AG$6:$AG$2381,PLANEJAMENTO_SEMANAL!$B$6:$B$2381,BN$139)/SUMIFS(PLANEJAMENTO_SEMANAL!$H$6:$H$2381,PLANEJAMENTO_SEMANAL!$B$6:$B$2381,BN$139,PLANEJAMENTO_SEMANAL!$K$6:$K$2381,"&lt;&gt;SEM CULTURA"),0)</f>
        <v>24.8570380705725</v>
      </c>
      <c r="BO143" s="18" t="n">
        <f aca="false">IFERROR(SUMIFS(PLANEJAMENTO_SEMANAL!$AG$6:$AG$2381,PLANEJAMENTO_SEMANAL!$B$6:$B$2381,BO$139)/SUMIFS(PLANEJAMENTO_SEMANAL!$H$6:$H$2381,PLANEJAMENTO_SEMANAL!$B$6:$B$2381,BO$139,PLANEJAMENTO_SEMANAL!$K$6:$K$2381,"&lt;&gt;SEM CULTURA"),0)</f>
        <v>24.6887798124315</v>
      </c>
      <c r="BP143" s="18" t="n">
        <f aca="false">IFERROR(SUMIFS(PLANEJAMENTO_SEMANAL!$AG$6:$AG$2381,PLANEJAMENTO_SEMANAL!$B$6:$B$2381,BP$139)/SUMIFS(PLANEJAMENTO_SEMANAL!$H$6:$H$2381,PLANEJAMENTO_SEMANAL!$B$6:$B$2381,BP$139,PLANEJAMENTO_SEMANAL!$K$6:$K$2381,"&lt;&gt;SEM CULTURA"),0)</f>
        <v>22.977</v>
      </c>
      <c r="BQ143" s="18" t="n">
        <f aca="false">SUM(C143:BP143)</f>
        <v>1959.54719879503</v>
      </c>
    </row>
    <row r="144" customFormat="false" ht="15" hidden="false" customHeight="false" outlineLevel="0" collapsed="false">
      <c r="B144" s="15" t="s">
        <v>615</v>
      </c>
      <c r="C144" s="18" t="n">
        <f aca="false">IFERROR(SUMIFS(PLANEJAMENTO_SEMANAL!$AH$6:$AH$2381,PLANEJAMENTO_SEMANAL!$B$6:$B$2381,C$139)/SUMIFS(PLANEJAMENTO_SEMANAL!$H$6:$H$2381,PLANEJAMENTO_SEMANAL!$B$6:$B$2381,C$139,PLANEJAMENTO_SEMANAL!$K$6:$K$2381,"&lt;&gt;SEM CULTURA"),0)</f>
        <v>4.928</v>
      </c>
      <c r="D144" s="18" t="n">
        <f aca="false">IFERROR(SUMIFS(PLANEJAMENTO_SEMANAL!$AH$6:$AH$2381,PLANEJAMENTO_SEMANAL!$B$6:$B$2381,D$139)/SUMIFS(PLANEJAMENTO_SEMANAL!$H$6:$H$2381,PLANEJAMENTO_SEMANAL!$B$6:$B$2381,D$139,PLANEJAMENTO_SEMANAL!$K$6:$K$2381,"&lt;&gt;SEM CULTURA"),0)</f>
        <v>5.6</v>
      </c>
      <c r="E144" s="18" t="n">
        <f aca="false">IFERROR(SUMIFS(PLANEJAMENTO_SEMANAL!$AH$6:$AH$2381,PLANEJAMENTO_SEMANAL!$B$6:$B$2381,E$139)/SUMIFS(PLANEJAMENTO_SEMANAL!$H$6:$H$2381,PLANEJAMENTO_SEMANAL!$B$6:$B$2381,E$139,PLANEJAMENTO_SEMANAL!$K$6:$K$2381,"&lt;&gt;SEM CULTURA"),0)</f>
        <v>5.6</v>
      </c>
      <c r="F144" s="18" t="n">
        <f aca="false">IFERROR(SUMIFS(PLANEJAMENTO_SEMANAL!$AH$6:$AH$2381,PLANEJAMENTO_SEMANAL!$B$6:$B$2381,F$139)/SUMIFS(PLANEJAMENTO_SEMANAL!$H$6:$H$2381,PLANEJAMENTO_SEMANAL!$B$6:$B$2381,F$139,PLANEJAMENTO_SEMANAL!$K$6:$K$2381,"&lt;&gt;SEM CULTURA"),0)</f>
        <v>5.6</v>
      </c>
      <c r="G144" s="18" t="n">
        <f aca="false">IFERROR(SUMIFS(PLANEJAMENTO_SEMANAL!$AH$6:$AH$2381,PLANEJAMENTO_SEMANAL!$B$6:$B$2381,G$139)/SUMIFS(PLANEJAMENTO_SEMANAL!$H$6:$H$2381,PLANEJAMENTO_SEMANAL!$B$6:$B$2381,G$139,PLANEJAMENTO_SEMANAL!$K$6:$K$2381,"&lt;&gt;SEM CULTURA"),0)</f>
        <v>14.784</v>
      </c>
      <c r="H144" s="18" t="n">
        <f aca="false">IFERROR(SUMIFS(PLANEJAMENTO_SEMANAL!$AH$6:$AH$2381,PLANEJAMENTO_SEMANAL!$B$6:$B$2381,H$139)/SUMIFS(PLANEJAMENTO_SEMANAL!$H$6:$H$2381,PLANEJAMENTO_SEMANAL!$B$6:$B$2381,H$139,PLANEJAMENTO_SEMANAL!$K$6:$K$2381,"&lt;&gt;SEM CULTURA"),0)</f>
        <v>21.672</v>
      </c>
      <c r="I144" s="18" t="n">
        <f aca="false">IFERROR(SUMIFS(PLANEJAMENTO_SEMANAL!$AH$6:$AH$2381,PLANEJAMENTO_SEMANAL!$B$6:$B$2381,I$139)/SUMIFS(PLANEJAMENTO_SEMANAL!$H$6:$H$2381,PLANEJAMENTO_SEMANAL!$B$6:$B$2381,I$139,PLANEJAMENTO_SEMANAL!$K$6:$K$2381,"&lt;&gt;SEM CULTURA"),0)</f>
        <v>21.672</v>
      </c>
      <c r="J144" s="18" t="n">
        <f aca="false">IFERROR(SUMIFS(PLANEJAMENTO_SEMANAL!$AH$6:$AH$2381,PLANEJAMENTO_SEMANAL!$B$6:$B$2381,J$139)/SUMIFS(PLANEJAMENTO_SEMANAL!$H$6:$H$2381,PLANEJAMENTO_SEMANAL!$B$6:$B$2381,J$139,PLANEJAMENTO_SEMANAL!$K$6:$K$2381,"&lt;&gt;SEM CULTURA"),0)</f>
        <v>21.672</v>
      </c>
      <c r="K144" s="18" t="n">
        <f aca="false">IFERROR(SUMIFS(PLANEJAMENTO_SEMANAL!$AH$6:$AH$2381,PLANEJAMENTO_SEMANAL!$B$6:$B$2381,K$139)/SUMIFS(PLANEJAMENTO_SEMANAL!$H$6:$H$2381,PLANEJAMENTO_SEMANAL!$B$6:$B$2381,K$139,PLANEJAMENTO_SEMANAL!$K$6:$K$2381,"&lt;&gt;SEM CULTURA"),0)</f>
        <v>23.912</v>
      </c>
      <c r="L144" s="18" t="n">
        <f aca="false">IFERROR(SUMIFS(PLANEJAMENTO_SEMANAL!$AH$6:$AH$2381,PLANEJAMENTO_SEMANAL!$B$6:$B$2381,L$139)/SUMIFS(PLANEJAMENTO_SEMANAL!$H$6:$H$2381,PLANEJAMENTO_SEMANAL!$B$6:$B$2381,L$139,PLANEJAMENTO_SEMANAL!$K$6:$K$2381,"&lt;&gt;SEM CULTURA"),0)</f>
        <v>37.352</v>
      </c>
      <c r="M144" s="18" t="n">
        <f aca="false">IFERROR(SUMIFS(PLANEJAMENTO_SEMANAL!$AH$6:$AH$2381,PLANEJAMENTO_SEMANAL!$B$6:$B$2381,M$139)/SUMIFS(PLANEJAMENTO_SEMANAL!$H$6:$H$2381,PLANEJAMENTO_SEMANAL!$B$6:$B$2381,M$139,PLANEJAMENTO_SEMANAL!$K$6:$K$2381,"&lt;&gt;SEM CULTURA"),0)</f>
        <v>37.352</v>
      </c>
      <c r="N144" s="18" t="n">
        <f aca="false">IFERROR(SUMIFS(PLANEJAMENTO_SEMANAL!$AH$6:$AH$2381,PLANEJAMENTO_SEMANAL!$B$6:$B$2381,N$139)/SUMIFS(PLANEJAMENTO_SEMANAL!$H$6:$H$2381,PLANEJAMENTO_SEMANAL!$B$6:$B$2381,N$139,PLANEJAMENTO_SEMANAL!$K$6:$K$2381,"&lt;&gt;SEM CULTURA"),0)</f>
        <v>37.352</v>
      </c>
      <c r="O144" s="18" t="n">
        <f aca="false">IFERROR(SUMIFS(PLANEJAMENTO_SEMANAL!$AH$6:$AH$2381,PLANEJAMENTO_SEMANAL!$B$6:$B$2381,O$139)/SUMIFS(PLANEJAMENTO_SEMANAL!$H$6:$H$2381,PLANEJAMENTO_SEMANAL!$B$6:$B$2381,O$139,PLANEJAMENTO_SEMANAL!$K$6:$K$2381,"&lt;&gt;SEM CULTURA"),0)</f>
        <v>37.352</v>
      </c>
      <c r="P144" s="18" t="n">
        <f aca="false">IFERROR(SUMIFS(PLANEJAMENTO_SEMANAL!$AH$6:$AH$2381,PLANEJAMENTO_SEMANAL!$B$6:$B$2381,P$139)/SUMIFS(PLANEJAMENTO_SEMANAL!$H$6:$H$2381,PLANEJAMENTO_SEMANAL!$B$6:$B$2381,P$139,PLANEJAMENTO_SEMANAL!$K$6:$K$2381,"&lt;&gt;SEM CULTURA"),0)</f>
        <v>38.648</v>
      </c>
      <c r="Q144" s="18" t="n">
        <f aca="false">IFERROR(SUMIFS(PLANEJAMENTO_SEMANAL!$AH$6:$AH$2381,PLANEJAMENTO_SEMANAL!$B$6:$B$2381,Q$139)/SUMIFS(PLANEJAMENTO_SEMANAL!$H$6:$H$2381,PLANEJAMENTO_SEMANAL!$B$6:$B$2381,Q$139,PLANEJAMENTO_SEMANAL!$K$6:$K$2381,"&lt;&gt;SEM CULTURA"),0)</f>
        <v>38.864</v>
      </c>
      <c r="R144" s="18" t="n">
        <f aca="false">IFERROR(SUMIFS(PLANEJAMENTO_SEMANAL!$AH$6:$AH$2381,PLANEJAMENTO_SEMANAL!$B$6:$B$2381,R$139)/SUMIFS(PLANEJAMENTO_SEMANAL!$H$6:$H$2381,PLANEJAMENTO_SEMANAL!$B$6:$B$2381,R$139,PLANEJAMENTO_SEMANAL!$K$6:$K$2381,"&lt;&gt;SEM CULTURA"),0)</f>
        <v>38.864</v>
      </c>
      <c r="S144" s="18" t="n">
        <f aca="false">IFERROR(SUMIFS(PLANEJAMENTO_SEMANAL!$AH$6:$AH$2381,PLANEJAMENTO_SEMANAL!$B$6:$B$2381,S$139)/SUMIFS(PLANEJAMENTO_SEMANAL!$H$6:$H$2381,PLANEJAMENTO_SEMANAL!$B$6:$B$2381,S$139,PLANEJAMENTO_SEMANAL!$K$6:$K$2381,"&lt;&gt;SEM CULTURA"),0)</f>
        <v>38.864</v>
      </c>
      <c r="T144" s="18" t="n">
        <f aca="false">IFERROR(SUMIFS(PLANEJAMENTO_SEMANAL!$AH$6:$AH$2381,PLANEJAMENTO_SEMANAL!$B$6:$B$2381,T$139)/SUMIFS(PLANEJAMENTO_SEMANAL!$H$6:$H$2381,PLANEJAMENTO_SEMANAL!$B$6:$B$2381,T$139,PLANEJAMENTO_SEMANAL!$K$6:$K$2381,"&lt;&gt;SEM CULTURA"),0)</f>
        <v>37.688</v>
      </c>
      <c r="U144" s="18" t="n">
        <f aca="false">IFERROR(SUMIFS(PLANEJAMENTO_SEMANAL!$AH$6:$AH$2381,PLANEJAMENTO_SEMANAL!$B$6:$B$2381,U$139)/SUMIFS(PLANEJAMENTO_SEMANAL!$H$6:$H$2381,PLANEJAMENTO_SEMANAL!$B$6:$B$2381,U$139,PLANEJAMENTO_SEMANAL!$K$6:$K$2381,"&lt;&gt;SEM CULTURA"),0)</f>
        <v>36.12</v>
      </c>
      <c r="V144" s="18" t="n">
        <f aca="false">IFERROR(SUMIFS(PLANEJAMENTO_SEMANAL!$AH$6:$AH$2381,PLANEJAMENTO_SEMANAL!$B$6:$B$2381,V$139)/SUMIFS(PLANEJAMENTO_SEMANAL!$H$6:$H$2381,PLANEJAMENTO_SEMANAL!$B$6:$B$2381,V$139,PLANEJAMENTO_SEMANAL!$K$6:$K$2381,"&lt;&gt;SEM CULTURA"),0)</f>
        <v>36.12</v>
      </c>
      <c r="W144" s="18" t="n">
        <f aca="false">IFERROR(SUMIFS(PLANEJAMENTO_SEMANAL!$AH$6:$AH$2381,PLANEJAMENTO_SEMANAL!$B$6:$B$2381,W$139)/SUMIFS(PLANEJAMENTO_SEMANAL!$H$6:$H$2381,PLANEJAMENTO_SEMANAL!$B$6:$B$2381,W$139,PLANEJAMENTO_SEMANAL!$K$6:$K$2381,"&lt;&gt;SEM CULTURA"),0)</f>
        <v>36.12</v>
      </c>
      <c r="X144" s="18" t="n">
        <f aca="false">IFERROR(SUMIFS(PLANEJAMENTO_SEMANAL!$AH$6:$AH$2381,PLANEJAMENTO_SEMANAL!$B$6:$B$2381,X$139)/SUMIFS(PLANEJAMENTO_SEMANAL!$H$6:$H$2381,PLANEJAMENTO_SEMANAL!$B$6:$B$2381,X$139,PLANEJAMENTO_SEMANAL!$K$6:$K$2381,"&lt;&gt;SEM CULTURA"),0)</f>
        <v>36.12</v>
      </c>
      <c r="Y144" s="18" t="n">
        <f aca="false">IFERROR(SUMIFS(PLANEJAMENTO_SEMANAL!$AH$6:$AH$2381,PLANEJAMENTO_SEMANAL!$B$6:$B$2381,Y$139)/SUMIFS(PLANEJAMENTO_SEMANAL!$H$6:$H$2381,PLANEJAMENTO_SEMANAL!$B$6:$B$2381,Y$139,PLANEJAMENTO_SEMANAL!$K$6:$K$2381,"&lt;&gt;SEM CULTURA"),0)</f>
        <v>31.976</v>
      </c>
      <c r="Z144" s="18" t="n">
        <f aca="false">IFERROR(SUMIFS(PLANEJAMENTO_SEMANAL!$AH$6:$AH$2381,PLANEJAMENTO_SEMANAL!$B$6:$B$2381,Z$139)/SUMIFS(PLANEJAMENTO_SEMANAL!$H$6:$H$2381,PLANEJAMENTO_SEMANAL!$B$6:$B$2381,Z$139,PLANEJAMENTO_SEMANAL!$K$6:$K$2381,"&lt;&gt;SEM CULTURA"),0)</f>
        <v>31.976</v>
      </c>
      <c r="AA144" s="18" t="n">
        <f aca="false">IFERROR(SUMIFS(PLANEJAMENTO_SEMANAL!$AH$6:$AH$2381,PLANEJAMENTO_SEMANAL!$B$6:$B$2381,AA$139)/SUMIFS(PLANEJAMENTO_SEMANAL!$H$6:$H$2381,PLANEJAMENTO_SEMANAL!$B$6:$B$2381,AA$139,PLANEJAMENTO_SEMANAL!$K$6:$K$2381,"&lt;&gt;SEM CULTURA"),0)</f>
        <v>31.976</v>
      </c>
      <c r="AB144" s="18" t="n">
        <f aca="false">IFERROR(SUMIFS(PLANEJAMENTO_SEMANAL!$AH$6:$AH$2381,PLANEJAMENTO_SEMANAL!$B$6:$B$2381,AB$139)/SUMIFS(PLANEJAMENTO_SEMANAL!$H$6:$H$2381,PLANEJAMENTO_SEMANAL!$B$6:$B$2381,AB$139,PLANEJAMENTO_SEMANAL!$K$6:$K$2381,"&lt;&gt;SEM CULTURA"),0)</f>
        <v>31.976</v>
      </c>
      <c r="AC144" s="18" t="n">
        <f aca="false">IFERROR(SUMIFS(PLANEJAMENTO_SEMANAL!$AH$6:$AH$2381,PLANEJAMENTO_SEMANAL!$B$6:$B$2381,AC$139)/SUMIFS(PLANEJAMENTO_SEMANAL!$H$6:$H$2381,PLANEJAMENTO_SEMANAL!$B$6:$B$2381,AC$139,PLANEJAMENTO_SEMANAL!$K$6:$K$2381,"&lt;&gt;SEM CULTURA"),0)</f>
        <v>29.792</v>
      </c>
      <c r="AD144" s="18" t="n">
        <f aca="false">IFERROR(SUMIFS(PLANEJAMENTO_SEMANAL!$AH$6:$AH$2381,PLANEJAMENTO_SEMANAL!$B$6:$B$2381,AD$139)/SUMIFS(PLANEJAMENTO_SEMANAL!$H$6:$H$2381,PLANEJAMENTO_SEMANAL!$B$6:$B$2381,AD$139,PLANEJAMENTO_SEMANAL!$K$6:$K$2381,"&lt;&gt;SEM CULTURA"),0)</f>
        <v>29.792</v>
      </c>
      <c r="AE144" s="18" t="n">
        <f aca="false">IFERROR(SUMIFS(PLANEJAMENTO_SEMANAL!$AH$6:$AH$2381,PLANEJAMENTO_SEMANAL!$B$6:$B$2381,AE$139)/SUMIFS(PLANEJAMENTO_SEMANAL!$H$6:$H$2381,PLANEJAMENTO_SEMANAL!$B$6:$B$2381,AE$139,PLANEJAMENTO_SEMANAL!$K$6:$K$2381,"&lt;&gt;SEM CULTURA"),0)</f>
        <v>29.792</v>
      </c>
      <c r="AF144" s="18" t="n">
        <f aca="false">IFERROR(SUMIFS(PLANEJAMENTO_SEMANAL!$AH$6:$AH$2381,PLANEJAMENTO_SEMANAL!$B$6:$B$2381,AF$139)/SUMIFS(PLANEJAMENTO_SEMANAL!$H$6:$H$2381,PLANEJAMENTO_SEMANAL!$B$6:$B$2381,AF$139,PLANEJAMENTO_SEMANAL!$K$6:$K$2381,"&lt;&gt;SEM CULTURA"),0)</f>
        <v>29.792</v>
      </c>
      <c r="AG144" s="18" t="n">
        <f aca="false">IFERROR(SUMIFS(PLANEJAMENTO_SEMANAL!$AH$6:$AH$2381,PLANEJAMENTO_SEMANAL!$B$6:$B$2381,AG$139)/SUMIFS(PLANEJAMENTO_SEMANAL!$H$6:$H$2381,PLANEJAMENTO_SEMANAL!$B$6:$B$2381,AG$139,PLANEJAMENTO_SEMANAL!$K$6:$K$2381,"&lt;&gt;SEM CULTURA"),0)</f>
        <v>20.224</v>
      </c>
      <c r="AH144" s="18" t="n">
        <f aca="false">IFERROR(SUMIFS(PLANEJAMENTO_SEMANAL!$AH$6:$AH$2381,PLANEJAMENTO_SEMANAL!$B$6:$B$2381,AH$139)/SUMIFS(PLANEJAMENTO_SEMANAL!$H$6:$H$2381,PLANEJAMENTO_SEMANAL!$B$6:$B$2381,AH$139,PLANEJAMENTO_SEMANAL!$K$6:$K$2381,"&lt;&gt;SEM CULTURA"),0)</f>
        <v>13.048</v>
      </c>
      <c r="AI144" s="18" t="n">
        <f aca="false">IFERROR(SUMIFS(PLANEJAMENTO_SEMANAL!$AH$6:$AH$2381,PLANEJAMENTO_SEMANAL!$B$6:$B$2381,AI$139)/SUMIFS(PLANEJAMENTO_SEMANAL!$H$6:$H$2381,PLANEJAMENTO_SEMANAL!$B$6:$B$2381,AI$139,PLANEJAMENTO_SEMANAL!$K$6:$K$2381,"&lt;&gt;SEM CULTURA"),0)</f>
        <v>13.048</v>
      </c>
      <c r="AJ144" s="18" t="n">
        <f aca="false">IFERROR(SUMIFS(PLANEJAMENTO_SEMANAL!$AH$6:$AH$2381,PLANEJAMENTO_SEMANAL!$B$6:$B$2381,AJ$139)/SUMIFS(PLANEJAMENTO_SEMANAL!$H$6:$H$2381,PLANEJAMENTO_SEMANAL!$B$6:$B$2381,AJ$139,PLANEJAMENTO_SEMANAL!$K$6:$K$2381,"&lt;&gt;SEM CULTURA"),0)</f>
        <v>13.048</v>
      </c>
      <c r="AK144" s="18" t="n">
        <f aca="false">IFERROR(SUMIFS(PLANEJAMENTO_SEMANAL!$AH$6:$AH$2381,PLANEJAMENTO_SEMANAL!$B$6:$B$2381,AK$139)/SUMIFS(PLANEJAMENTO_SEMANAL!$H$6:$H$2381,PLANEJAMENTO_SEMANAL!$B$6:$B$2381,AK$139,PLANEJAMENTO_SEMANAL!$K$6:$K$2381,"&lt;&gt;SEM CULTURA"),0)</f>
        <v>10.088</v>
      </c>
      <c r="AL144" s="18" t="n">
        <f aca="false">IFERROR(SUMIFS(PLANEJAMENTO_SEMANAL!$AH$6:$AH$2381,PLANEJAMENTO_SEMANAL!$B$6:$B$2381,AL$139)/SUMIFS(PLANEJAMENTO_SEMANAL!$H$6:$H$2381,PLANEJAMENTO_SEMANAL!$B$6:$B$2381,AL$139,PLANEJAMENTO_SEMANAL!$K$6:$K$2381,"&lt;&gt;SEM CULTURA"),0)</f>
        <v>2.688</v>
      </c>
      <c r="AM144" s="18" t="n">
        <f aca="false">IFERROR(SUMIFS(PLANEJAMENTO_SEMANAL!$AH$6:$AH$2381,PLANEJAMENTO_SEMANAL!$B$6:$B$2381,AM$139)/SUMIFS(PLANEJAMENTO_SEMANAL!$H$6:$H$2381,PLANEJAMENTO_SEMANAL!$B$6:$B$2381,AM$139,PLANEJAMENTO_SEMANAL!$K$6:$K$2381,"&lt;&gt;SEM CULTURA"),0)</f>
        <v>2.688</v>
      </c>
      <c r="AN144" s="18" t="n">
        <f aca="false">IFERROR(SUMIFS(PLANEJAMENTO_SEMANAL!$AH$6:$AH$2381,PLANEJAMENTO_SEMANAL!$B$6:$B$2381,AN$139)/SUMIFS(PLANEJAMENTO_SEMANAL!$H$6:$H$2381,PLANEJAMENTO_SEMANAL!$B$6:$B$2381,AN$139,PLANEJAMENTO_SEMANAL!$K$6:$K$2381,"&lt;&gt;SEM CULTURA"),0)</f>
        <v>2.688</v>
      </c>
      <c r="AO144" s="18" t="n">
        <f aca="false">IFERROR(SUMIFS(PLANEJAMENTO_SEMANAL!$AH$6:$AH$2381,PLANEJAMENTO_SEMANAL!$B$6:$B$2381,AO$139)/SUMIFS(PLANEJAMENTO_SEMANAL!$H$6:$H$2381,PLANEJAMENTO_SEMANAL!$B$6:$B$2381,AO$139,PLANEJAMENTO_SEMANAL!$K$6:$K$2381,"&lt;&gt;SEM CULTURA"),0)</f>
        <v>2.688</v>
      </c>
      <c r="AP144" s="18" t="n">
        <f aca="false">IFERROR(SUMIFS(PLANEJAMENTO_SEMANAL!$AH$6:$AH$2381,PLANEJAMENTO_SEMANAL!$B$6:$B$2381,AP$139)/SUMIFS(PLANEJAMENTO_SEMANAL!$H$6:$H$2381,PLANEJAMENTO_SEMANAL!$B$6:$B$2381,AP$139,PLANEJAMENTO_SEMANAL!$K$6:$K$2381,"&lt;&gt;SEM CULTURA"),0)</f>
        <v>1.2</v>
      </c>
      <c r="AQ144" s="18" t="n">
        <f aca="false">IFERROR(SUMIFS(PLANEJAMENTO_SEMANAL!$AH$6:$AH$2381,PLANEJAMENTO_SEMANAL!$B$6:$B$2381,AQ$139)/SUMIFS(PLANEJAMENTO_SEMANAL!$H$6:$H$2381,PLANEJAMENTO_SEMANAL!$B$6:$B$2381,AQ$139,PLANEJAMENTO_SEMANAL!$K$6:$K$2381,"&lt;&gt;SEM CULTURA"),0)</f>
        <v>0.952</v>
      </c>
      <c r="AR144" s="18" t="n">
        <f aca="false">IFERROR(SUMIFS(PLANEJAMENTO_SEMANAL!$AH$6:$AH$2381,PLANEJAMENTO_SEMANAL!$B$6:$B$2381,AR$139)/SUMIFS(PLANEJAMENTO_SEMANAL!$H$6:$H$2381,PLANEJAMENTO_SEMANAL!$B$6:$B$2381,AR$139,PLANEJAMENTO_SEMANAL!$K$6:$K$2381,"&lt;&gt;SEM CULTURA"),0)</f>
        <v>0.952</v>
      </c>
      <c r="AS144" s="18" t="n">
        <f aca="false">IFERROR(SUMIFS(PLANEJAMENTO_SEMANAL!$AH$6:$AH$2381,PLANEJAMENTO_SEMANAL!$B$6:$B$2381,AS$139)/SUMIFS(PLANEJAMENTO_SEMANAL!$H$6:$H$2381,PLANEJAMENTO_SEMANAL!$B$6:$B$2381,AS$139,PLANEJAMENTO_SEMANAL!$K$6:$K$2381,"&lt;&gt;SEM CULTURA"),0)</f>
        <v>0.952</v>
      </c>
      <c r="AT144" s="18" t="n">
        <f aca="false">IFERROR(SUMIFS(PLANEJAMENTO_SEMANAL!$AH$6:$AH$2381,PLANEJAMENTO_SEMANAL!$B$6:$B$2381,AT$139)/SUMIFS(PLANEJAMENTO_SEMANAL!$H$6:$H$2381,PLANEJAMENTO_SEMANAL!$B$6:$B$2381,AT$139,PLANEJAMENTO_SEMANAL!$K$6:$K$2381,"&lt;&gt;SEM CULTURA"),0)</f>
        <v>0.728</v>
      </c>
      <c r="AU144" s="18" t="n">
        <f aca="false">IFERROR(SUMIFS(PLANEJAMENTO_SEMANAL!$AH$6:$AH$2381,PLANEJAMENTO_SEMANAL!$B$6:$B$2381,AU$139)/SUMIFS(PLANEJAMENTO_SEMANAL!$H$6:$H$2381,PLANEJAMENTO_SEMANAL!$B$6:$B$2381,AU$139,PLANEJAMENTO_SEMANAL!$K$6:$K$2381,"&lt;&gt;SEM CULTURA"),0)</f>
        <v>0.56</v>
      </c>
      <c r="AV144" s="18" t="n">
        <f aca="false">IFERROR(SUMIFS(PLANEJAMENTO_SEMANAL!$AH$6:$AH$2381,PLANEJAMENTO_SEMANAL!$B$6:$B$2381,AV$139)/SUMIFS(PLANEJAMENTO_SEMANAL!$H$6:$H$2381,PLANEJAMENTO_SEMANAL!$B$6:$B$2381,AV$139,PLANEJAMENTO_SEMANAL!$K$6:$K$2381,"&lt;&gt;SEM CULTURA"),0)</f>
        <v>0.56</v>
      </c>
      <c r="AW144" s="18" t="n">
        <f aca="false">IFERROR(SUMIFS(PLANEJAMENTO_SEMANAL!$AH$6:$AH$2381,PLANEJAMENTO_SEMANAL!$B$6:$B$2381,AW$139)/SUMIFS(PLANEJAMENTO_SEMANAL!$H$6:$H$2381,PLANEJAMENTO_SEMANAL!$B$6:$B$2381,AW$139,PLANEJAMENTO_SEMANAL!$K$6:$K$2381,"&lt;&gt;SEM CULTURA"),0)</f>
        <v>0.56</v>
      </c>
      <c r="AX144" s="18" t="n">
        <f aca="false">IFERROR(SUMIFS(PLANEJAMENTO_SEMANAL!$AH$6:$AH$2381,PLANEJAMENTO_SEMANAL!$B$6:$B$2381,AX$139)/SUMIFS(PLANEJAMENTO_SEMANAL!$H$6:$H$2381,PLANEJAMENTO_SEMANAL!$B$6:$B$2381,AX$139,PLANEJAMENTO_SEMANAL!$K$6:$K$2381,"&lt;&gt;SEM CULTURA"),0)</f>
        <v>0.608</v>
      </c>
      <c r="AY144" s="18" t="n">
        <f aca="false">IFERROR(SUMIFS(PLANEJAMENTO_SEMANAL!$AH$6:$AH$2381,PLANEJAMENTO_SEMANAL!$B$6:$B$2381,AY$139)/SUMIFS(PLANEJAMENTO_SEMANAL!$H$6:$H$2381,PLANEJAMENTO_SEMANAL!$B$6:$B$2381,AY$139,PLANEJAMENTO_SEMANAL!$K$6:$K$2381,"&lt;&gt;SEM CULTURA"),0)</f>
        <v>0.896</v>
      </c>
      <c r="AZ144" s="18" t="n">
        <f aca="false">IFERROR(SUMIFS(PLANEJAMENTO_SEMANAL!$AH$6:$AH$2381,PLANEJAMENTO_SEMANAL!$B$6:$B$2381,AZ$139)/SUMIFS(PLANEJAMENTO_SEMANAL!$H$6:$H$2381,PLANEJAMENTO_SEMANAL!$B$6:$B$2381,AZ$139,PLANEJAMENTO_SEMANAL!$K$6:$K$2381,"&lt;&gt;SEM CULTURA"),0)</f>
        <v>0.896</v>
      </c>
      <c r="BA144" s="18" t="n">
        <f aca="false">IFERROR(SUMIFS(PLANEJAMENTO_SEMANAL!$AH$6:$AH$2381,PLANEJAMENTO_SEMANAL!$B$6:$B$2381,BA$139)/SUMIFS(PLANEJAMENTO_SEMANAL!$H$6:$H$2381,PLANEJAMENTO_SEMANAL!$B$6:$B$2381,BA$139,PLANEJAMENTO_SEMANAL!$K$6:$K$2381,"&lt;&gt;SEM CULTURA"),0)</f>
        <v>0.896</v>
      </c>
      <c r="BB144" s="18" t="n">
        <f aca="false">IFERROR(SUMIFS(PLANEJAMENTO_SEMANAL!$AH$6:$AH$2381,PLANEJAMENTO_SEMANAL!$B$6:$B$2381,BB$139)/SUMIFS(PLANEJAMENTO_SEMANAL!$H$6:$H$2381,PLANEJAMENTO_SEMANAL!$B$6:$B$2381,BB$139,PLANEJAMENTO_SEMANAL!$K$6:$K$2381,"&lt;&gt;SEM CULTURA"),0)</f>
        <v>0.896</v>
      </c>
      <c r="BC144" s="18" t="n">
        <f aca="false">IFERROR(SUMIFS(PLANEJAMENTO_SEMANAL!$AH$6:$AH$2381,PLANEJAMENTO_SEMANAL!$B$6:$B$2381,BC$139)/SUMIFS(PLANEJAMENTO_SEMANAL!$H$6:$H$2381,PLANEJAMENTO_SEMANAL!$B$6:$B$2381,BC$139,PLANEJAMENTO_SEMANAL!$K$6:$K$2381,"&lt;&gt;SEM CULTURA"),0)</f>
        <v>4.256</v>
      </c>
      <c r="BD144" s="18" t="n">
        <f aca="false">IFERROR(SUMIFS(PLANEJAMENTO_SEMANAL!$AH$6:$AH$2381,PLANEJAMENTO_SEMANAL!$B$6:$B$2381,BD$139)/SUMIFS(PLANEJAMENTO_SEMANAL!$H$6:$H$2381,PLANEJAMENTO_SEMANAL!$B$6:$B$2381,BD$139,PLANEJAMENTO_SEMANAL!$K$6:$K$2381,"&lt;&gt;SEM CULTURA"),0)</f>
        <v>5.6</v>
      </c>
      <c r="BE144" s="18" t="n">
        <f aca="false">IFERROR(SUMIFS(PLANEJAMENTO_SEMANAL!$AH$6:$AH$2381,PLANEJAMENTO_SEMANAL!$B$6:$B$2381,BE$139)/SUMIFS(PLANEJAMENTO_SEMANAL!$H$6:$H$2381,PLANEJAMENTO_SEMANAL!$B$6:$B$2381,BE$139,PLANEJAMENTO_SEMANAL!$K$6:$K$2381,"&lt;&gt;SEM CULTURA"),0)</f>
        <v>5.6</v>
      </c>
      <c r="BF144" s="18" t="n">
        <f aca="false">IFERROR(SUMIFS(PLANEJAMENTO_SEMANAL!$AH$6:$AH$2381,PLANEJAMENTO_SEMANAL!$B$6:$B$2381,BF$139)/SUMIFS(PLANEJAMENTO_SEMANAL!$H$6:$H$2381,PLANEJAMENTO_SEMANAL!$B$6:$B$2381,BF$139,PLANEJAMENTO_SEMANAL!$K$6:$K$2381,"&lt;&gt;SEM CULTURA"),0)</f>
        <v>5.6</v>
      </c>
      <c r="BG144" s="18" t="n">
        <f aca="false">IFERROR(SUMIFS(PLANEJAMENTO_SEMANAL!$AH$6:$AH$2381,PLANEJAMENTO_SEMANAL!$B$6:$B$2381,BG$139)/SUMIFS(PLANEJAMENTO_SEMANAL!$H$6:$H$2381,PLANEJAMENTO_SEMANAL!$B$6:$B$2381,BG$139,PLANEJAMENTO_SEMANAL!$K$6:$K$2381,"&lt;&gt;SEM CULTURA"),0)</f>
        <v>12.488</v>
      </c>
      <c r="BH144" s="18" t="n">
        <f aca="false">IFERROR(SUMIFS(PLANEJAMENTO_SEMANAL!$AH$6:$AH$2381,PLANEJAMENTO_SEMANAL!$B$6:$B$2381,BH$139)/SUMIFS(PLANEJAMENTO_SEMANAL!$H$6:$H$2381,PLANEJAMENTO_SEMANAL!$B$6:$B$2381,BH$139,PLANEJAMENTO_SEMANAL!$K$6:$K$2381,"&lt;&gt;SEM CULTURA"),0)</f>
        <v>21.672</v>
      </c>
      <c r="BI144" s="18" t="n">
        <f aca="false">IFERROR(SUMIFS(PLANEJAMENTO_SEMANAL!$AH$6:$AH$2381,PLANEJAMENTO_SEMANAL!$B$6:$B$2381,BI$139)/SUMIFS(PLANEJAMENTO_SEMANAL!$H$6:$H$2381,PLANEJAMENTO_SEMANAL!$B$6:$B$2381,BI$139,PLANEJAMENTO_SEMANAL!$K$6:$K$2381,"&lt;&gt;SEM CULTURA"),0)</f>
        <v>21.672</v>
      </c>
      <c r="BJ144" s="18" t="n">
        <f aca="false">IFERROR(SUMIFS(PLANEJAMENTO_SEMANAL!$AH$6:$AH$2381,PLANEJAMENTO_SEMANAL!$B$6:$B$2381,BJ$139)/SUMIFS(PLANEJAMENTO_SEMANAL!$H$6:$H$2381,PLANEJAMENTO_SEMANAL!$B$6:$B$2381,BJ$139,PLANEJAMENTO_SEMANAL!$K$6:$K$2381,"&lt;&gt;SEM CULTURA"),0)</f>
        <v>21.672</v>
      </c>
      <c r="BK144" s="18" t="n">
        <f aca="false">IFERROR(SUMIFS(PLANEJAMENTO_SEMANAL!$AH$6:$AH$2381,PLANEJAMENTO_SEMANAL!$B$6:$B$2381,BK$139)/SUMIFS(PLANEJAMENTO_SEMANAL!$H$6:$H$2381,PLANEJAMENTO_SEMANAL!$B$6:$B$2381,BK$139,PLANEJAMENTO_SEMANAL!$K$6:$K$2381,"&lt;&gt;SEM CULTURA"),0)</f>
        <v>21.672</v>
      </c>
      <c r="BL144" s="18" t="n">
        <f aca="false">IFERROR(SUMIFS(PLANEJAMENTO_SEMANAL!$AH$6:$AH$2381,PLANEJAMENTO_SEMANAL!$B$6:$B$2381,BL$139)/SUMIFS(PLANEJAMENTO_SEMANAL!$H$6:$H$2381,PLANEJAMENTO_SEMANAL!$B$6:$B$2381,BL$139,PLANEJAMENTO_SEMANAL!$K$6:$K$2381,"&lt;&gt;SEM CULTURA"),0)</f>
        <v>37.352</v>
      </c>
      <c r="BM144" s="18" t="n">
        <f aca="false">IFERROR(SUMIFS(PLANEJAMENTO_SEMANAL!$AH$6:$AH$2381,PLANEJAMENTO_SEMANAL!$B$6:$B$2381,BM$139)/SUMIFS(PLANEJAMENTO_SEMANAL!$H$6:$H$2381,PLANEJAMENTO_SEMANAL!$B$6:$B$2381,BM$139,PLANEJAMENTO_SEMANAL!$K$6:$K$2381,"&lt;&gt;SEM CULTURA"),0)</f>
        <v>37.352</v>
      </c>
      <c r="BN144" s="18" t="n">
        <f aca="false">IFERROR(SUMIFS(PLANEJAMENTO_SEMANAL!$AH$6:$AH$2381,PLANEJAMENTO_SEMANAL!$B$6:$B$2381,BN$139)/SUMIFS(PLANEJAMENTO_SEMANAL!$H$6:$H$2381,PLANEJAMENTO_SEMANAL!$B$6:$B$2381,BN$139,PLANEJAMENTO_SEMANAL!$K$6:$K$2381,"&lt;&gt;SEM CULTURA"),0)</f>
        <v>37.352</v>
      </c>
      <c r="BO144" s="18" t="n">
        <f aca="false">IFERROR(SUMIFS(PLANEJAMENTO_SEMANAL!$AH$6:$AH$2381,PLANEJAMENTO_SEMANAL!$B$6:$B$2381,BO$139)/SUMIFS(PLANEJAMENTO_SEMANAL!$H$6:$H$2381,PLANEJAMENTO_SEMANAL!$B$6:$B$2381,BO$139,PLANEJAMENTO_SEMANAL!$K$6:$K$2381,"&lt;&gt;SEM CULTURA"),0)</f>
        <v>37.352</v>
      </c>
      <c r="BP144" s="18" t="n">
        <f aca="false">IFERROR(SUMIFS(PLANEJAMENTO_SEMANAL!$AH$6:$AH$2381,PLANEJAMENTO_SEMANAL!$B$6:$B$2381,BP$139)/SUMIFS(PLANEJAMENTO_SEMANAL!$H$6:$H$2381,PLANEJAMENTO_SEMANAL!$B$6:$B$2381,BP$139,PLANEJAMENTO_SEMANAL!$K$6:$K$2381,"&lt;&gt;SEM CULTURA"),0)</f>
        <v>38.432</v>
      </c>
      <c r="BQ144" s="18" t="n">
        <f aca="false">SUM(C144:BP144)</f>
        <v>1258.264</v>
      </c>
    </row>
    <row r="145" customFormat="false" ht="15" hidden="false" customHeight="false" outlineLevel="0" collapsed="false">
      <c r="B145" s="15" t="s">
        <v>616</v>
      </c>
      <c r="C145" s="18" t="n">
        <f aca="false">IFERROR(SUMIFS(PLANEJAMENTO_SEMANAL!$AI$6:$AI$2381,PLANEJAMENTO_SEMANAL!$B$6:$B$2381,C$139)/SUMIFS(PLANEJAMENTO_SEMANAL!$H$6:$H$2381,PLANEJAMENTO_SEMANAL!$B$6:$B$2381,C$139,PLANEJAMENTO_SEMANAL!$K$6:$K$2381,"&lt;&gt;SEM CULTURA"),0)</f>
        <v>30.6489776097569</v>
      </c>
      <c r="D145" s="18" t="n">
        <f aca="false">IFERROR(SUMIFS(PLANEJAMENTO_SEMANAL!$AI$6:$AI$2381,PLANEJAMENTO_SEMANAL!$B$6:$B$2381,D$139)/SUMIFS(PLANEJAMENTO_SEMANAL!$H$6:$H$2381,PLANEJAMENTO_SEMANAL!$B$6:$B$2381,D$139,PLANEJAMENTO_SEMANAL!$K$6:$K$2381,"&lt;&gt;SEM CULTURA"),0)</f>
        <v>31.2716444192239</v>
      </c>
      <c r="E145" s="18" t="n">
        <f aca="false">IFERROR(SUMIFS(PLANEJAMENTO_SEMANAL!$AI$6:$AI$2381,PLANEJAMENTO_SEMANAL!$B$6:$B$2381,E$139)/SUMIFS(PLANEJAMENTO_SEMANAL!$H$6:$H$2381,PLANEJAMENTO_SEMANAL!$B$6:$B$2381,E$139,PLANEJAMENTO_SEMANAL!$K$6:$K$2381,"&lt;&gt;SEM CULTURA"),0)</f>
        <v>33.9146497817055</v>
      </c>
      <c r="F145" s="18" t="n">
        <f aca="false">IFERROR(SUMIFS(PLANEJAMENTO_SEMANAL!$AI$6:$AI$2381,PLANEJAMENTO_SEMANAL!$B$6:$B$2381,F$139)/SUMIFS(PLANEJAMENTO_SEMANAL!$H$6:$H$2381,PLANEJAMENTO_SEMANAL!$B$6:$B$2381,F$139,PLANEJAMENTO_SEMANAL!$K$6:$K$2381,"&lt;&gt;SEM CULTURA"),0)</f>
        <v>35.4811399389727</v>
      </c>
      <c r="G145" s="18" t="n">
        <f aca="false">IFERROR(SUMIFS(PLANEJAMENTO_SEMANAL!$AI$6:$AI$2381,PLANEJAMENTO_SEMANAL!$B$6:$B$2381,G$139)/SUMIFS(PLANEJAMENTO_SEMANAL!$H$6:$H$2381,PLANEJAMENTO_SEMANAL!$B$6:$B$2381,G$139,PLANEJAMENTO_SEMANAL!$K$6:$K$2381,"&lt;&gt;SEM CULTURA"),0)</f>
        <v>12.6529027850762</v>
      </c>
      <c r="H145" s="18" t="n">
        <f aca="false">IFERROR(SUMIFS(PLANEJAMENTO_SEMANAL!$AI$6:$AI$2381,PLANEJAMENTO_SEMANAL!$B$6:$B$2381,H$139)/SUMIFS(PLANEJAMENTO_SEMANAL!$H$6:$H$2381,PLANEJAMENTO_SEMANAL!$B$6:$B$2381,H$139,PLANEJAMENTO_SEMANAL!$K$6:$K$2381,"&lt;&gt;SEM CULTURA"),0)</f>
        <v>8.51112173847231</v>
      </c>
      <c r="I145" s="18" t="n">
        <f aca="false">IFERROR(SUMIFS(PLANEJAMENTO_SEMANAL!$AI$6:$AI$2381,PLANEJAMENTO_SEMANAL!$B$6:$B$2381,I$139)/SUMIFS(PLANEJAMENTO_SEMANAL!$H$6:$H$2381,PLANEJAMENTO_SEMANAL!$B$6:$B$2381,I$139,PLANEJAMENTO_SEMANAL!$K$6:$K$2381,"&lt;&gt;SEM CULTURA"),0)</f>
        <v>3.91624772035768</v>
      </c>
      <c r="J145" s="18" t="n">
        <f aca="false">IFERROR(SUMIFS(PLANEJAMENTO_SEMANAL!$AI$6:$AI$2381,PLANEJAMENTO_SEMANAL!$B$6:$B$2381,J$139)/SUMIFS(PLANEJAMENTO_SEMANAL!$H$6:$H$2381,PLANEJAMENTO_SEMANAL!$B$6:$B$2381,J$139,PLANEJAMENTO_SEMANAL!$K$6:$K$2381,"&lt;&gt;SEM CULTURA"),0)</f>
        <v>3.85393410292207</v>
      </c>
      <c r="K145" s="18" t="n">
        <f aca="false">IFERROR(SUMIFS(PLANEJAMENTO_SEMANAL!$AI$6:$AI$2381,PLANEJAMENTO_SEMANAL!$B$6:$B$2381,K$139)/SUMIFS(PLANEJAMENTO_SEMANAL!$H$6:$H$2381,PLANEJAMENTO_SEMANAL!$B$6:$B$2381,K$139,PLANEJAMENTO_SEMANAL!$K$6:$K$2381,"&lt;&gt;SEM CULTURA"),0)</f>
        <v>4.02133926694301</v>
      </c>
      <c r="L145" s="18" t="n">
        <f aca="false">IFERROR(SUMIFS(PLANEJAMENTO_SEMANAL!$AI$6:$AI$2381,PLANEJAMENTO_SEMANAL!$B$6:$B$2381,L$139)/SUMIFS(PLANEJAMENTO_SEMANAL!$H$6:$H$2381,PLANEJAMENTO_SEMANAL!$B$6:$B$2381,L$139,PLANEJAMENTO_SEMANAL!$K$6:$K$2381,"&lt;&gt;SEM CULTURA"),0)</f>
        <v>0</v>
      </c>
      <c r="M145" s="18" t="n">
        <f aca="false">IFERROR(SUMIFS(PLANEJAMENTO_SEMANAL!$AI$6:$AI$2381,PLANEJAMENTO_SEMANAL!$B$6:$B$2381,M$139)/SUMIFS(PLANEJAMENTO_SEMANAL!$H$6:$H$2381,PLANEJAMENTO_SEMANAL!$B$6:$B$2381,M$139,PLANEJAMENTO_SEMANAL!$K$6:$K$2381,"&lt;&gt;SEM CULTURA"),0)</f>
        <v>0.622922609917473</v>
      </c>
      <c r="N145" s="18" t="n">
        <f aca="false">IFERROR(SUMIFS(PLANEJAMENTO_SEMANAL!$AI$6:$AI$2381,PLANEJAMENTO_SEMANAL!$B$6:$B$2381,N$139)/SUMIFS(PLANEJAMENTO_SEMANAL!$H$6:$H$2381,PLANEJAMENTO_SEMANAL!$B$6:$B$2381,N$139,PLANEJAMENTO_SEMANAL!$K$6:$K$2381,"&lt;&gt;SEM CULTURA"),0)</f>
        <v>0.592994689067786</v>
      </c>
      <c r="O145" s="18" t="n">
        <f aca="false">IFERROR(SUMIFS(PLANEJAMENTO_SEMANAL!$AI$6:$AI$2381,PLANEJAMENTO_SEMANAL!$B$6:$B$2381,O$139)/SUMIFS(PLANEJAMENTO_SEMANAL!$H$6:$H$2381,PLANEJAMENTO_SEMANAL!$B$6:$B$2381,O$139,PLANEJAMENTO_SEMANAL!$K$6:$K$2381,"&lt;&gt;SEM CULTURA"),0)</f>
        <v>1.03333070753269</v>
      </c>
      <c r="P145" s="18" t="n">
        <f aca="false">IFERROR(SUMIFS(PLANEJAMENTO_SEMANAL!$AI$6:$AI$2381,PLANEJAMENTO_SEMANAL!$B$6:$B$2381,P$139)/SUMIFS(PLANEJAMENTO_SEMANAL!$H$6:$H$2381,PLANEJAMENTO_SEMANAL!$B$6:$B$2381,P$139,PLANEJAMENTO_SEMANAL!$K$6:$K$2381,"&lt;&gt;SEM CULTURA"),0)</f>
        <v>0</v>
      </c>
      <c r="Q145" s="18" t="n">
        <f aca="false">IFERROR(SUMIFS(PLANEJAMENTO_SEMANAL!$AI$6:$AI$2381,PLANEJAMENTO_SEMANAL!$B$6:$B$2381,Q$139)/SUMIFS(PLANEJAMENTO_SEMANAL!$H$6:$H$2381,PLANEJAMENTO_SEMANAL!$B$6:$B$2381,Q$139,PLANEJAMENTO_SEMANAL!$K$6:$K$2381,"&lt;&gt;SEM CULTURA"),0)</f>
        <v>0</v>
      </c>
      <c r="R145" s="18" t="n">
        <f aca="false">IFERROR(SUMIFS(PLANEJAMENTO_SEMANAL!$AI$6:$AI$2381,PLANEJAMENTO_SEMANAL!$B$6:$B$2381,R$139)/SUMIFS(PLANEJAMENTO_SEMANAL!$H$6:$H$2381,PLANEJAMENTO_SEMANAL!$B$6:$B$2381,R$139,PLANEJAMENTO_SEMANAL!$K$6:$K$2381,"&lt;&gt;SEM CULTURA"),0)</f>
        <v>0</v>
      </c>
      <c r="S145" s="18" t="n">
        <f aca="false">IFERROR(SUMIFS(PLANEJAMENTO_SEMANAL!$AI$6:$AI$2381,PLANEJAMENTO_SEMANAL!$B$6:$B$2381,S$139)/SUMIFS(PLANEJAMENTO_SEMANAL!$H$6:$H$2381,PLANEJAMENTO_SEMANAL!$B$6:$B$2381,S$139,PLANEJAMENTO_SEMANAL!$K$6:$K$2381,"&lt;&gt;SEM CULTURA"),0)</f>
        <v>0</v>
      </c>
      <c r="T145" s="18" t="n">
        <f aca="false">IFERROR(SUMIFS(PLANEJAMENTO_SEMANAL!$AI$6:$AI$2381,PLANEJAMENTO_SEMANAL!$B$6:$B$2381,T$139)/SUMIFS(PLANEJAMENTO_SEMANAL!$H$6:$H$2381,PLANEJAMENTO_SEMANAL!$B$6:$B$2381,T$139,PLANEJAMENTO_SEMANAL!$K$6:$K$2381,"&lt;&gt;SEM CULTURA"),0)</f>
        <v>0.158751400557157</v>
      </c>
      <c r="U145" s="18" t="n">
        <f aca="false">IFERROR(SUMIFS(PLANEJAMENTO_SEMANAL!$AI$6:$AI$2381,PLANEJAMENTO_SEMANAL!$B$6:$B$2381,U$139)/SUMIFS(PLANEJAMENTO_SEMANAL!$H$6:$H$2381,PLANEJAMENTO_SEMANAL!$B$6:$B$2381,U$139,PLANEJAMENTO_SEMANAL!$K$6:$K$2381,"&lt;&gt;SEM CULTURA"),0)</f>
        <v>0.721626694473409</v>
      </c>
      <c r="V145" s="18" t="n">
        <f aca="false">IFERROR(SUMIFS(PLANEJAMENTO_SEMANAL!$AI$6:$AI$2381,PLANEJAMENTO_SEMANAL!$B$6:$B$2381,V$139)/SUMIFS(PLANEJAMENTO_SEMANAL!$H$6:$H$2381,PLANEJAMENTO_SEMANAL!$B$6:$B$2381,V$139,PLANEJAMENTO_SEMANAL!$K$6:$K$2381,"&lt;&gt;SEM CULTURA"),0)</f>
        <v>0.730477706768187</v>
      </c>
      <c r="W145" s="18" t="n">
        <f aca="false">IFERROR(SUMIFS(PLANEJAMENTO_SEMANAL!$AI$6:$AI$2381,PLANEJAMENTO_SEMANAL!$B$6:$B$2381,W$139)/SUMIFS(PLANEJAMENTO_SEMANAL!$H$6:$H$2381,PLANEJAMENTO_SEMANAL!$B$6:$B$2381,W$139,PLANEJAMENTO_SEMANAL!$K$6:$K$2381,"&lt;&gt;SEM CULTURA"),0)</f>
        <v>0.208753435912149</v>
      </c>
      <c r="X145" s="18" t="n">
        <f aca="false">IFERROR(SUMIFS(PLANEJAMENTO_SEMANAL!$AI$6:$AI$2381,PLANEJAMENTO_SEMANAL!$B$6:$B$2381,X$139)/SUMIFS(PLANEJAMENTO_SEMANAL!$H$6:$H$2381,PLANEJAMENTO_SEMANAL!$B$6:$B$2381,X$139,PLANEJAMENTO_SEMANAL!$K$6:$K$2381,"&lt;&gt;SEM CULTURA"),0)</f>
        <v>0</v>
      </c>
      <c r="Y145" s="18" t="n">
        <f aca="false">IFERROR(SUMIFS(PLANEJAMENTO_SEMANAL!$AI$6:$AI$2381,PLANEJAMENTO_SEMANAL!$B$6:$B$2381,Y$139)/SUMIFS(PLANEJAMENTO_SEMANAL!$H$6:$H$2381,PLANEJAMENTO_SEMANAL!$B$6:$B$2381,Y$139,PLANEJAMENTO_SEMANAL!$K$6:$K$2381,"&lt;&gt;SEM CULTURA"),0)</f>
        <v>0.180152368499838</v>
      </c>
      <c r="Z145" s="18" t="n">
        <f aca="false">IFERROR(SUMIFS(PLANEJAMENTO_SEMANAL!$AI$6:$AI$2381,PLANEJAMENTO_SEMANAL!$B$6:$B$2381,Z$139)/SUMIFS(PLANEJAMENTO_SEMANAL!$H$6:$H$2381,PLANEJAMENTO_SEMANAL!$B$6:$B$2381,Z$139,PLANEJAMENTO_SEMANAL!$K$6:$K$2381,"&lt;&gt;SEM CULTURA"),0)</f>
        <v>0.821422233997069</v>
      </c>
      <c r="AA145" s="18" t="n">
        <f aca="false">IFERROR(SUMIFS(PLANEJAMENTO_SEMANAL!$AI$6:$AI$2381,PLANEJAMENTO_SEMANAL!$B$6:$B$2381,AA$139)/SUMIFS(PLANEJAMENTO_SEMANAL!$H$6:$H$2381,PLANEJAMENTO_SEMANAL!$B$6:$B$2381,AA$139,PLANEJAMENTO_SEMANAL!$K$6:$K$2381,"&lt;&gt;SEM CULTURA"),0)</f>
        <v>2.24345004819951</v>
      </c>
      <c r="AB145" s="18" t="n">
        <f aca="false">IFERROR(SUMIFS(PLANEJAMENTO_SEMANAL!$AI$6:$AI$2381,PLANEJAMENTO_SEMANAL!$B$6:$B$2381,AB$139)/SUMIFS(PLANEJAMENTO_SEMANAL!$H$6:$H$2381,PLANEJAMENTO_SEMANAL!$B$6:$B$2381,AB$139,PLANEJAMENTO_SEMANAL!$K$6:$K$2381,"&lt;&gt;SEM CULTURA"),0)</f>
        <v>2.73404112631109</v>
      </c>
      <c r="AC145" s="18" t="n">
        <f aca="false">IFERROR(SUMIFS(PLANEJAMENTO_SEMANAL!$AI$6:$AI$2381,PLANEJAMENTO_SEMANAL!$B$6:$B$2381,AC$139)/SUMIFS(PLANEJAMENTO_SEMANAL!$H$6:$H$2381,PLANEJAMENTO_SEMANAL!$B$6:$B$2381,AC$139,PLANEJAMENTO_SEMANAL!$K$6:$K$2381,"&lt;&gt;SEM CULTURA"),0)</f>
        <v>3.66289727732209</v>
      </c>
      <c r="AD145" s="18" t="n">
        <f aca="false">IFERROR(SUMIFS(PLANEJAMENTO_SEMANAL!$AI$6:$AI$2381,PLANEJAMENTO_SEMANAL!$B$6:$B$2381,AD$139)/SUMIFS(PLANEJAMENTO_SEMANAL!$H$6:$H$2381,PLANEJAMENTO_SEMANAL!$B$6:$B$2381,AD$139,PLANEJAMENTO_SEMANAL!$K$6:$K$2381,"&lt;&gt;SEM CULTURA"),0)</f>
        <v>3.84386060459171</v>
      </c>
      <c r="AE145" s="18" t="n">
        <f aca="false">IFERROR(SUMIFS(PLANEJAMENTO_SEMANAL!$AI$6:$AI$2381,PLANEJAMENTO_SEMANAL!$B$6:$B$2381,AE$139)/SUMIFS(PLANEJAMENTO_SEMANAL!$H$6:$H$2381,PLANEJAMENTO_SEMANAL!$B$6:$B$2381,AE$139,PLANEJAMENTO_SEMANAL!$K$6:$K$2381,"&lt;&gt;SEM CULTURA"),0)</f>
        <v>3.96986419500936</v>
      </c>
      <c r="AF145" s="18" t="n">
        <f aca="false">IFERROR(SUMIFS(PLANEJAMENTO_SEMANAL!$AI$6:$AI$2381,PLANEJAMENTO_SEMANAL!$B$6:$B$2381,AF$139)/SUMIFS(PLANEJAMENTO_SEMANAL!$H$6:$H$2381,PLANEJAMENTO_SEMANAL!$B$6:$B$2381,AF$139,PLANEJAMENTO_SEMANAL!$K$6:$K$2381,"&lt;&gt;SEM CULTURA"),0)</f>
        <v>4.06757698686317</v>
      </c>
      <c r="AG145" s="18" t="n">
        <f aca="false">IFERROR(SUMIFS(PLANEJAMENTO_SEMANAL!$AI$6:$AI$2381,PLANEJAMENTO_SEMANAL!$B$6:$B$2381,AG$139)/SUMIFS(PLANEJAMENTO_SEMANAL!$H$6:$H$2381,PLANEJAMENTO_SEMANAL!$B$6:$B$2381,AG$139,PLANEJAMENTO_SEMANAL!$K$6:$K$2381,"&lt;&gt;SEM CULTURA"),0)</f>
        <v>10.9841502829825</v>
      </c>
      <c r="AH145" s="18" t="n">
        <f aca="false">IFERROR(SUMIFS(PLANEJAMENTO_SEMANAL!$AI$6:$AI$2381,PLANEJAMENTO_SEMANAL!$B$6:$B$2381,AH$139)/SUMIFS(PLANEJAMENTO_SEMANAL!$H$6:$H$2381,PLANEJAMENTO_SEMANAL!$B$6:$B$2381,AH$139,PLANEJAMENTO_SEMANAL!$K$6:$K$2381,"&lt;&gt;SEM CULTURA"),0)</f>
        <v>19.0548323160611</v>
      </c>
      <c r="AI145" s="18" t="n">
        <f aca="false">IFERROR(SUMIFS(PLANEJAMENTO_SEMANAL!$AI$6:$AI$2381,PLANEJAMENTO_SEMANAL!$B$6:$B$2381,AI$139)/SUMIFS(PLANEJAMENTO_SEMANAL!$H$6:$H$2381,PLANEJAMENTO_SEMANAL!$B$6:$B$2381,AI$139,PLANEJAMENTO_SEMANAL!$K$6:$K$2381,"&lt;&gt;SEM CULTURA"),0)</f>
        <v>20.3219403566472</v>
      </c>
      <c r="AJ145" s="18" t="n">
        <f aca="false">IFERROR(SUMIFS(PLANEJAMENTO_SEMANAL!$AI$6:$AI$2381,PLANEJAMENTO_SEMANAL!$B$6:$B$2381,AJ$139)/SUMIFS(PLANEJAMENTO_SEMANAL!$H$6:$H$2381,PLANEJAMENTO_SEMANAL!$B$6:$B$2381,AJ$139,PLANEJAMENTO_SEMANAL!$K$6:$K$2381,"&lt;&gt;SEM CULTURA"),0)</f>
        <v>21.217391585524</v>
      </c>
      <c r="AK145" s="18" t="n">
        <f aca="false">IFERROR(SUMIFS(PLANEJAMENTO_SEMANAL!$AI$6:$AI$2381,PLANEJAMENTO_SEMANAL!$B$6:$B$2381,AK$139)/SUMIFS(PLANEJAMENTO_SEMANAL!$H$6:$H$2381,PLANEJAMENTO_SEMANAL!$B$6:$B$2381,AK$139,PLANEJAMENTO_SEMANAL!$K$6:$K$2381,"&lt;&gt;SEM CULTURA"),0)</f>
        <v>23.8265294479032</v>
      </c>
      <c r="AL145" s="18" t="n">
        <f aca="false">IFERROR(SUMIFS(PLANEJAMENTO_SEMANAL!$AI$6:$AI$2381,PLANEJAMENTO_SEMANAL!$B$6:$B$2381,AL$139)/SUMIFS(PLANEJAMENTO_SEMANAL!$H$6:$H$2381,PLANEJAMENTO_SEMANAL!$B$6:$B$2381,AL$139,PLANEJAMENTO_SEMANAL!$K$6:$K$2381,"&lt;&gt;SEM CULTURA"),0)</f>
        <v>28.8009108687761</v>
      </c>
      <c r="AM145" s="18" t="n">
        <f aca="false">IFERROR(SUMIFS(PLANEJAMENTO_SEMANAL!$AI$6:$AI$2381,PLANEJAMENTO_SEMANAL!$B$6:$B$2381,AM$139)/SUMIFS(PLANEJAMENTO_SEMANAL!$H$6:$H$2381,PLANEJAMENTO_SEMANAL!$B$6:$B$2381,AM$139,PLANEJAMENTO_SEMANAL!$K$6:$K$2381,"&lt;&gt;SEM CULTURA"),0)</f>
        <v>26.8748851593248</v>
      </c>
      <c r="AN145" s="18" t="n">
        <f aca="false">IFERROR(SUMIFS(PLANEJAMENTO_SEMANAL!$AI$6:$AI$2381,PLANEJAMENTO_SEMANAL!$B$6:$B$2381,AN$139)/SUMIFS(PLANEJAMENTO_SEMANAL!$H$6:$H$2381,PLANEJAMENTO_SEMANAL!$B$6:$B$2381,AN$139,PLANEJAMENTO_SEMANAL!$K$6:$K$2381,"&lt;&gt;SEM CULTURA"),0)</f>
        <v>25.8033720609747</v>
      </c>
      <c r="AO145" s="18" t="n">
        <f aca="false">IFERROR(SUMIFS(PLANEJAMENTO_SEMANAL!$AI$6:$AI$2381,PLANEJAMENTO_SEMANAL!$B$6:$B$2381,AO$139)/SUMIFS(PLANEJAMENTO_SEMANAL!$H$6:$H$2381,PLANEJAMENTO_SEMANAL!$B$6:$B$2381,AO$139,PLANEJAMENTO_SEMANAL!$K$6:$K$2381,"&lt;&gt;SEM CULTURA"),0)</f>
        <v>24.9097656167956</v>
      </c>
      <c r="AP145" s="18" t="n">
        <f aca="false">IFERROR(SUMIFS(PLANEJAMENTO_SEMANAL!$AI$6:$AI$2381,PLANEJAMENTO_SEMANAL!$B$6:$B$2381,AP$139)/SUMIFS(PLANEJAMENTO_SEMANAL!$H$6:$H$2381,PLANEJAMENTO_SEMANAL!$B$6:$B$2381,AP$139,PLANEJAMENTO_SEMANAL!$K$6:$K$2381,"&lt;&gt;SEM CULTURA"),0)</f>
        <v>23.0393413874529</v>
      </c>
      <c r="AQ145" s="18" t="n">
        <f aca="false">IFERROR(SUMIFS(PLANEJAMENTO_SEMANAL!$AI$6:$AI$2381,PLANEJAMENTO_SEMANAL!$B$6:$B$2381,AQ$139)/SUMIFS(PLANEJAMENTO_SEMANAL!$H$6:$H$2381,PLANEJAMENTO_SEMANAL!$B$6:$B$2381,AQ$139,PLANEJAMENTO_SEMANAL!$K$6:$K$2381,"&lt;&gt;SEM CULTURA"),0)</f>
        <v>21.6797252663257</v>
      </c>
      <c r="AR145" s="18" t="n">
        <f aca="false">IFERROR(SUMIFS(PLANEJAMENTO_SEMANAL!$AI$6:$AI$2381,PLANEJAMENTO_SEMANAL!$B$6:$B$2381,AR$139)/SUMIFS(PLANEJAMENTO_SEMANAL!$H$6:$H$2381,PLANEJAMENTO_SEMANAL!$B$6:$B$2381,AR$139,PLANEJAMENTO_SEMANAL!$K$6:$K$2381,"&lt;&gt;SEM CULTURA"),0)</f>
        <v>22.2588631530946</v>
      </c>
      <c r="AS145" s="18" t="n">
        <f aca="false">IFERROR(SUMIFS(PLANEJAMENTO_SEMANAL!$AI$6:$AI$2381,PLANEJAMENTO_SEMANAL!$B$6:$B$2381,AS$139)/SUMIFS(PLANEJAMENTO_SEMANAL!$H$6:$H$2381,PLANEJAMENTO_SEMANAL!$B$6:$B$2381,AS$139,PLANEJAMENTO_SEMANAL!$K$6:$K$2381,"&lt;&gt;SEM CULTURA"),0)</f>
        <v>20.7548602237614</v>
      </c>
      <c r="AT145" s="18" t="n">
        <f aca="false">IFERROR(SUMIFS(PLANEJAMENTO_SEMANAL!$AI$6:$AI$2381,PLANEJAMENTO_SEMANAL!$B$6:$B$2381,AT$139)/SUMIFS(PLANEJAMENTO_SEMANAL!$H$6:$H$2381,PLANEJAMENTO_SEMANAL!$B$6:$B$2381,AT$139,PLANEJAMENTO_SEMANAL!$K$6:$K$2381,"&lt;&gt;SEM CULTURA"),0)</f>
        <v>20.6751308097404</v>
      </c>
      <c r="AU145" s="18" t="n">
        <f aca="false">IFERROR(SUMIFS(PLANEJAMENTO_SEMANAL!$AI$6:$AI$2381,PLANEJAMENTO_SEMANAL!$B$6:$B$2381,AU$139)/SUMIFS(PLANEJAMENTO_SEMANAL!$H$6:$H$2381,PLANEJAMENTO_SEMANAL!$B$6:$B$2381,AU$139,PLANEJAMENTO_SEMANAL!$K$6:$K$2381,"&lt;&gt;SEM CULTURA"),0)</f>
        <v>20.6921437809062</v>
      </c>
      <c r="AV145" s="18" t="n">
        <f aca="false">IFERROR(SUMIFS(PLANEJAMENTO_SEMANAL!$AI$6:$AI$2381,PLANEJAMENTO_SEMANAL!$B$6:$B$2381,AV$139)/SUMIFS(PLANEJAMENTO_SEMANAL!$H$6:$H$2381,PLANEJAMENTO_SEMANAL!$B$6:$B$2381,AV$139,PLANEJAMENTO_SEMANAL!$K$6:$K$2381,"&lt;&gt;SEM CULTURA"),0)</f>
        <v>20.561472980722</v>
      </c>
      <c r="AW145" s="18" t="n">
        <f aca="false">IFERROR(SUMIFS(PLANEJAMENTO_SEMANAL!$AI$6:$AI$2381,PLANEJAMENTO_SEMANAL!$B$6:$B$2381,AW$139)/SUMIFS(PLANEJAMENTO_SEMANAL!$H$6:$H$2381,PLANEJAMENTO_SEMANAL!$B$6:$B$2381,AW$139,PLANEJAMENTO_SEMANAL!$K$6:$K$2381,"&lt;&gt;SEM CULTURA"),0)</f>
        <v>20.4682318378937</v>
      </c>
      <c r="AX145" s="18" t="n">
        <f aca="false">IFERROR(SUMIFS(PLANEJAMENTO_SEMANAL!$AI$6:$AI$2381,PLANEJAMENTO_SEMANAL!$B$6:$B$2381,AX$139)/SUMIFS(PLANEJAMENTO_SEMANAL!$H$6:$H$2381,PLANEJAMENTO_SEMANAL!$B$6:$B$2381,AX$139,PLANEJAMENTO_SEMANAL!$K$6:$K$2381,"&lt;&gt;SEM CULTURA"),0)</f>
        <v>21.6139511504011</v>
      </c>
      <c r="AY145" s="18" t="n">
        <f aca="false">IFERROR(SUMIFS(PLANEJAMENTO_SEMANAL!$AI$6:$AI$2381,PLANEJAMENTO_SEMANAL!$B$6:$B$2381,AY$139)/SUMIFS(PLANEJAMENTO_SEMANAL!$H$6:$H$2381,PLANEJAMENTO_SEMANAL!$B$6:$B$2381,AY$139,PLANEJAMENTO_SEMANAL!$K$6:$K$2381,"&lt;&gt;SEM CULTURA"),0)</f>
        <v>27.3561003260793</v>
      </c>
      <c r="AZ145" s="18" t="n">
        <f aca="false">IFERROR(SUMIFS(PLANEJAMENTO_SEMANAL!$AI$6:$AI$2381,PLANEJAMENTO_SEMANAL!$B$6:$B$2381,AZ$139)/SUMIFS(PLANEJAMENTO_SEMANAL!$H$6:$H$2381,PLANEJAMENTO_SEMANAL!$B$6:$B$2381,AZ$139,PLANEJAMENTO_SEMANAL!$K$6:$K$2381,"&lt;&gt;SEM CULTURA"),0)</f>
        <v>29.5730906611164</v>
      </c>
      <c r="BA145" s="18" t="n">
        <f aca="false">IFERROR(SUMIFS(PLANEJAMENTO_SEMANAL!$AI$6:$AI$2381,PLANEJAMENTO_SEMANAL!$B$6:$B$2381,BA$139)/SUMIFS(PLANEJAMENTO_SEMANAL!$H$6:$H$2381,PLANEJAMENTO_SEMANAL!$B$6:$B$2381,BA$139,PLANEJAMENTO_SEMANAL!$K$6:$K$2381,"&lt;&gt;SEM CULTURA"),0)</f>
        <v>34.5091972377535</v>
      </c>
      <c r="BB145" s="18" t="n">
        <f aca="false">IFERROR(SUMIFS(PLANEJAMENTO_SEMANAL!$AI$6:$AI$2381,PLANEJAMENTO_SEMANAL!$B$6:$B$2381,BB$139)/SUMIFS(PLANEJAMENTO_SEMANAL!$H$6:$H$2381,PLANEJAMENTO_SEMANAL!$B$6:$B$2381,BB$139,PLANEJAMENTO_SEMANAL!$K$6:$K$2381,"&lt;&gt;SEM CULTURA"),0)</f>
        <v>39.3292149128654</v>
      </c>
      <c r="BC145" s="18" t="n">
        <f aca="false">IFERROR(SUMIFS(PLANEJAMENTO_SEMANAL!$AI$6:$AI$2381,PLANEJAMENTO_SEMANAL!$B$6:$B$2381,BC$139)/SUMIFS(PLANEJAMENTO_SEMANAL!$H$6:$H$2381,PLANEJAMENTO_SEMANAL!$B$6:$B$2381,BC$139,PLANEJAMENTO_SEMANAL!$K$6:$K$2381,"&lt;&gt;SEM CULTURA"),0)</f>
        <v>41.2813920252586</v>
      </c>
      <c r="BD145" s="18" t="n">
        <f aca="false">IFERROR(SUMIFS(PLANEJAMENTO_SEMANAL!$AI$6:$AI$2381,PLANEJAMENTO_SEMANAL!$B$6:$B$2381,BD$139)/SUMIFS(PLANEJAMENTO_SEMANAL!$H$6:$H$2381,PLANEJAMENTO_SEMANAL!$B$6:$B$2381,BD$139,PLANEJAMENTO_SEMANAL!$K$6:$K$2381,"&lt;&gt;SEM CULTURA"),0)</f>
        <v>41.9009175094979</v>
      </c>
      <c r="BE145" s="18" t="n">
        <f aca="false">IFERROR(SUMIFS(PLANEJAMENTO_SEMANAL!$AI$6:$AI$2381,PLANEJAMENTO_SEMANAL!$B$6:$B$2381,BE$139)/SUMIFS(PLANEJAMENTO_SEMANAL!$H$6:$H$2381,PLANEJAMENTO_SEMANAL!$B$6:$B$2381,BE$139,PLANEJAMENTO_SEMANAL!$K$6:$K$2381,"&lt;&gt;SEM CULTURA"),0)</f>
        <v>41.4897164545083</v>
      </c>
      <c r="BF145" s="18" t="n">
        <f aca="false">IFERROR(SUMIFS(PLANEJAMENTO_SEMANAL!$AI$6:$AI$2381,PLANEJAMENTO_SEMANAL!$B$6:$B$2381,BF$139)/SUMIFS(PLANEJAMENTO_SEMANAL!$H$6:$H$2381,PLANEJAMENTO_SEMANAL!$B$6:$B$2381,BF$139,PLANEJAMENTO_SEMANAL!$K$6:$K$2381,"&lt;&gt;SEM CULTURA"),0)</f>
        <v>40.5138345316119</v>
      </c>
      <c r="BG145" s="18" t="n">
        <f aca="false">IFERROR(SUMIFS(PLANEJAMENTO_SEMANAL!$AI$6:$AI$2381,PLANEJAMENTO_SEMANAL!$B$6:$B$2381,BG$139)/SUMIFS(PLANEJAMENTO_SEMANAL!$H$6:$H$2381,PLANEJAMENTO_SEMANAL!$B$6:$B$2381,BG$139,PLANEJAMENTO_SEMANAL!$K$6:$K$2381,"&lt;&gt;SEM CULTURA"),0)</f>
        <v>31.5351277235283</v>
      </c>
      <c r="BH145" s="18" t="n">
        <f aca="false">IFERROR(SUMIFS(PLANEJAMENTO_SEMANAL!$AI$6:$AI$2381,PLANEJAMENTO_SEMANAL!$B$6:$B$2381,BH$139)/SUMIFS(PLANEJAMENTO_SEMANAL!$H$6:$H$2381,PLANEJAMENTO_SEMANAL!$B$6:$B$2381,BH$139,PLANEJAMENTO_SEMANAL!$K$6:$K$2381,"&lt;&gt;SEM CULTURA"),0)</f>
        <v>19.715985880582</v>
      </c>
      <c r="BI145" s="18" t="n">
        <f aca="false">IFERROR(SUMIFS(PLANEJAMENTO_SEMANAL!$AI$6:$AI$2381,PLANEJAMENTO_SEMANAL!$B$6:$B$2381,BI$139)/SUMIFS(PLANEJAMENTO_SEMANAL!$H$6:$H$2381,PLANEJAMENTO_SEMANAL!$B$6:$B$2381,BI$139,PLANEJAMENTO_SEMANAL!$K$6:$K$2381,"&lt;&gt;SEM CULTURA"),0)</f>
        <v>17.4866104430038</v>
      </c>
      <c r="BJ145" s="18" t="n">
        <f aca="false">IFERROR(SUMIFS(PLANEJAMENTO_SEMANAL!$AI$6:$AI$2381,PLANEJAMENTO_SEMANAL!$B$6:$B$2381,BJ$139)/SUMIFS(PLANEJAMENTO_SEMANAL!$H$6:$H$2381,PLANEJAMENTO_SEMANAL!$B$6:$B$2381,BJ$139,PLANEJAMENTO_SEMANAL!$K$6:$K$2381,"&lt;&gt;SEM CULTURA"),0)</f>
        <v>16.2782380133448</v>
      </c>
      <c r="BK145" s="18" t="n">
        <f aca="false">IFERROR(SUMIFS(PLANEJAMENTO_SEMANAL!$AI$6:$AI$2381,PLANEJAMENTO_SEMANAL!$B$6:$B$2381,BK$139)/SUMIFS(PLANEJAMENTO_SEMANAL!$H$6:$H$2381,PLANEJAMENTO_SEMANAL!$B$6:$B$2381,BK$139,PLANEJAMENTO_SEMANAL!$K$6:$K$2381,"&lt;&gt;SEM CULTURA"),0)</f>
        <v>16.8262992266573</v>
      </c>
      <c r="BL145" s="18" t="n">
        <f aca="false">IFERROR(SUMIFS(PLANEJAMENTO_SEMANAL!$AI$6:$AI$2381,PLANEJAMENTO_SEMANAL!$B$6:$B$2381,BL$139)/SUMIFS(PLANEJAMENTO_SEMANAL!$H$6:$H$2381,PLANEJAMENTO_SEMANAL!$B$6:$B$2381,BL$139,PLANEJAMENTO_SEMANAL!$K$6:$K$2381,"&lt;&gt;SEM CULTURA"),0)</f>
        <v>0.119155098475223</v>
      </c>
      <c r="BM145" s="18" t="n">
        <f aca="false">IFERROR(SUMIFS(PLANEJAMENTO_SEMANAL!$AI$6:$AI$2381,PLANEJAMENTO_SEMANAL!$B$6:$B$2381,BM$139)/SUMIFS(PLANEJAMENTO_SEMANAL!$H$6:$H$2381,PLANEJAMENTO_SEMANAL!$B$6:$B$2381,BM$139,PLANEJAMENTO_SEMANAL!$K$6:$K$2381,"&lt;&gt;SEM CULTURA"),0)</f>
        <v>0</v>
      </c>
      <c r="BN145" s="18" t="n">
        <f aca="false">IFERROR(SUMIFS(PLANEJAMENTO_SEMANAL!$AI$6:$AI$2381,PLANEJAMENTO_SEMANAL!$B$6:$B$2381,BN$139)/SUMIFS(PLANEJAMENTO_SEMANAL!$H$6:$H$2381,PLANEJAMENTO_SEMANAL!$B$6:$B$2381,BN$139,PLANEJAMENTO_SEMANAL!$K$6:$K$2381,"&lt;&gt;SEM CULTURA"),0)</f>
        <v>0</v>
      </c>
      <c r="BO145" s="18" t="n">
        <f aca="false">IFERROR(SUMIFS(PLANEJAMENTO_SEMANAL!$AI$6:$AI$2381,PLANEJAMENTO_SEMANAL!$B$6:$B$2381,BO$139)/SUMIFS(PLANEJAMENTO_SEMANAL!$H$6:$H$2381,PLANEJAMENTO_SEMANAL!$B$6:$B$2381,BO$139,PLANEJAMENTO_SEMANAL!$K$6:$K$2381,"&lt;&gt;SEM CULTURA"),0)</f>
        <v>0</v>
      </c>
      <c r="BP145" s="18" t="n">
        <f aca="false">IFERROR(SUMIFS(PLANEJAMENTO_SEMANAL!$AI$6:$AI$2381,PLANEJAMENTO_SEMANAL!$B$6:$B$2381,BP$139)/SUMIFS(PLANEJAMENTO_SEMANAL!$H$6:$H$2381,PLANEJAMENTO_SEMANAL!$B$6:$B$2381,BP$139,PLANEJAMENTO_SEMANAL!$K$6:$K$2381,"&lt;&gt;SEM CULTURA"),0)</f>
        <v>0</v>
      </c>
      <c r="BQ145" s="18" t="n">
        <f aca="false">SUM(C145:BP145)</f>
        <v>981.316457778023</v>
      </c>
    </row>
    <row r="146" customFormat="false" ht="15" hidden="false" customHeight="false" outlineLevel="0" collapsed="false">
      <c r="B146" s="15" t="s">
        <v>617</v>
      </c>
      <c r="C146" s="18" t="n">
        <f aca="false">IFERROR(C140/(C141*MM_PARA_M3_HA),0)</f>
        <v>36.0576207173611</v>
      </c>
      <c r="D146" s="18" t="n">
        <f aca="false">IFERROR(D140/(D141*MM_PARA_M3_HA),0)</f>
        <v>36.7901699049693</v>
      </c>
      <c r="E146" s="18" t="n">
        <f aca="false">IFERROR(E140/(E141*MM_PARA_M3_HA),0)</f>
        <v>39.8995879784771</v>
      </c>
      <c r="F146" s="18" t="n">
        <f aca="false">IFERROR(F140/(F141*MM_PARA_M3_HA),0)</f>
        <v>41.742517575262</v>
      </c>
      <c r="G146" s="18" t="n">
        <f aca="false">IFERROR(G140/(G141*MM_PARA_M3_HA),0)</f>
        <v>14.8857679824426</v>
      </c>
      <c r="H146" s="18" t="n">
        <f aca="false">IFERROR(H140/(H141*MM_PARA_M3_HA),0)</f>
        <v>10.0130843982027</v>
      </c>
      <c r="I146" s="18" t="n">
        <f aca="false">IFERROR(I140/(I141*MM_PARA_M3_HA),0)</f>
        <v>4.60735025924433</v>
      </c>
      <c r="J146" s="18" t="n">
        <f aca="false">IFERROR(J140/(J141*MM_PARA_M3_HA),0)</f>
        <v>4.53404012108479</v>
      </c>
      <c r="K146" s="18" t="n">
        <f aca="false">IFERROR(K140/(K141*MM_PARA_M3_HA),0)</f>
        <v>4.73098737287413</v>
      </c>
      <c r="L146" s="18" t="n">
        <f aca="false">IFERROR(L140/(L141*MM_PARA_M3_HA),0)</f>
        <v>0</v>
      </c>
      <c r="M146" s="18" t="n">
        <f aca="false">IFERROR(M140/(M141*MM_PARA_M3_HA),0)</f>
        <v>0.732850129314674</v>
      </c>
      <c r="N146" s="18" t="n">
        <f aca="false">IFERROR(N140/(N141*MM_PARA_M3_HA),0)</f>
        <v>0.697640810667983</v>
      </c>
      <c r="O146" s="18" t="n">
        <f aca="false">IFERROR(O140/(O141*MM_PARA_M3_HA),0)</f>
        <v>1.21568318533258</v>
      </c>
      <c r="P146" s="18" t="n">
        <f aca="false">IFERROR(P140/(P141*MM_PARA_M3_HA),0)</f>
        <v>0</v>
      </c>
      <c r="Q146" s="18" t="n">
        <f aca="false">IFERROR(Q140/(Q141*MM_PARA_M3_HA),0)</f>
        <v>0</v>
      </c>
      <c r="R146" s="18" t="n">
        <f aca="false">IFERROR(R140/(R141*MM_PARA_M3_HA),0)</f>
        <v>0</v>
      </c>
      <c r="S146" s="18" t="n">
        <f aca="false">IFERROR(S140/(S141*MM_PARA_M3_HA),0)</f>
        <v>0</v>
      </c>
      <c r="T146" s="18" t="n">
        <f aca="false">IFERROR(T140/(T141*MM_PARA_M3_HA),0)</f>
        <v>0.186766353596655</v>
      </c>
      <c r="U146" s="18" t="n">
        <f aca="false">IFERROR(U140/(U141*MM_PARA_M3_HA),0)</f>
        <v>0.848972581733422</v>
      </c>
      <c r="V146" s="18" t="n">
        <f aca="false">IFERROR(V140/(V141*MM_PARA_M3_HA),0)</f>
        <v>0.859385537374338</v>
      </c>
      <c r="W146" s="18" t="n">
        <f aca="false">IFERROR(W140/(W141*MM_PARA_M3_HA),0)</f>
        <v>0.245592277543704</v>
      </c>
      <c r="X146" s="18" t="n">
        <f aca="false">IFERROR(X140/(X141*MM_PARA_M3_HA),0)</f>
        <v>0</v>
      </c>
      <c r="Y146" s="18" t="n">
        <f aca="false">IFERROR(Y140/(Y141*MM_PARA_M3_HA),0)</f>
        <v>0.211943962940986</v>
      </c>
      <c r="Z146" s="18" t="n">
        <f aca="false">IFERROR(Z140/(Z141*MM_PARA_M3_HA),0)</f>
        <v>0.966379098820081</v>
      </c>
      <c r="AA146" s="18" t="n">
        <f aca="false">IFERROR(AA140/(AA141*MM_PARA_M3_HA),0)</f>
        <v>2.63935299788178</v>
      </c>
      <c r="AB146" s="18" t="n">
        <f aca="false">IFERROR(AB140/(AB141*MM_PARA_M3_HA),0)</f>
        <v>3.2165189721307</v>
      </c>
      <c r="AC146" s="18" t="n">
        <f aca="false">IFERROR(AC140/(AC141*MM_PARA_M3_HA),0)</f>
        <v>4.30929091449658</v>
      </c>
      <c r="AD146" s="18" t="n">
        <f aca="false">IFERROR(AD140/(AD141*MM_PARA_M3_HA),0)</f>
        <v>4.52218894657849</v>
      </c>
      <c r="AE146" s="18" t="n">
        <f aca="false">IFERROR(AE140/(AE141*MM_PARA_M3_HA),0)</f>
        <v>4.67042846471689</v>
      </c>
      <c r="AF146" s="18" t="n">
        <f aca="false">IFERROR(AF140/(AF141*MM_PARA_M3_HA),0)</f>
        <v>4.78538469042726</v>
      </c>
      <c r="AG146" s="18" t="n">
        <f aca="false">IFERROR(AG140/(AG141*MM_PARA_M3_HA),0)</f>
        <v>12.9225297446853</v>
      </c>
      <c r="AH146" s="18" t="n">
        <f aca="false">IFERROR(AH140/(AH141*MM_PARA_M3_HA),0)</f>
        <v>22.4174497836013</v>
      </c>
      <c r="AI146" s="18" t="n">
        <f aca="false">IFERROR(AI140/(AI141*MM_PARA_M3_HA),0)</f>
        <v>23.9081651254673</v>
      </c>
      <c r="AJ146" s="18" t="n">
        <f aca="false">IFERROR(AJ140/(AJ141*MM_PARA_M3_HA),0)</f>
        <v>24.96163715944</v>
      </c>
      <c r="AK146" s="18" t="n">
        <f aca="false">IFERROR(AK140/(AK141*MM_PARA_M3_HA),0)</f>
        <v>28.0312111151802</v>
      </c>
      <c r="AL146" s="18" t="n">
        <f aca="false">IFERROR(AL140/(AL141*MM_PARA_M3_HA),0)</f>
        <v>33.8834245515013</v>
      </c>
      <c r="AM146" s="18" t="n">
        <f aca="false">IFERROR(AM140/(AM141*MM_PARA_M3_HA),0)</f>
        <v>31.6175119521469</v>
      </c>
      <c r="AN146" s="18" t="n">
        <f aca="false">IFERROR(AN140/(AN141*MM_PARA_M3_HA),0)</f>
        <v>30.3569083070291</v>
      </c>
      <c r="AO146" s="18" t="n">
        <f aca="false">IFERROR(AO140/(AO141*MM_PARA_M3_HA),0)</f>
        <v>29.3056066079948</v>
      </c>
      <c r="AP146" s="18" t="n">
        <f aca="false">IFERROR(AP140/(AP141*MM_PARA_M3_HA),0)</f>
        <v>27.1051075146505</v>
      </c>
      <c r="AQ146" s="18" t="n">
        <f aca="false">IFERROR(AQ140/(AQ141*MM_PARA_M3_HA),0)</f>
        <v>25.5055591368538</v>
      </c>
      <c r="AR146" s="18" t="n">
        <f aca="false">IFERROR(AR140/(AR141*MM_PARA_M3_HA),0)</f>
        <v>26.1868978271701</v>
      </c>
      <c r="AS146" s="18" t="n">
        <f aca="false">IFERROR(AS140/(AS141*MM_PARA_M3_HA),0)</f>
        <v>24.4174826161899</v>
      </c>
      <c r="AT146" s="18" t="n">
        <f aca="false">IFERROR(AT140/(AT141*MM_PARA_M3_HA),0)</f>
        <v>24.3236833055769</v>
      </c>
      <c r="AU146" s="18" t="n">
        <f aca="false">IFERROR(AU140/(AU141*MM_PARA_M3_HA),0)</f>
        <v>24.343698565772</v>
      </c>
      <c r="AV146" s="18" t="n">
        <f aca="false">IFERROR(AV140/(AV141*MM_PARA_M3_HA),0)</f>
        <v>24.1899682126141</v>
      </c>
      <c r="AW146" s="18" t="n">
        <f aca="false">IFERROR(AW140/(AW141*MM_PARA_M3_HA),0)</f>
        <v>24.0802727504632</v>
      </c>
      <c r="AX146" s="18" t="n">
        <f aca="false">IFERROR(AX140/(AX141*MM_PARA_M3_HA),0)</f>
        <v>25.4281778240013</v>
      </c>
      <c r="AY146" s="18" t="n">
        <f aca="false">IFERROR(AY140/(AY141*MM_PARA_M3_HA),0)</f>
        <v>32.1836474424462</v>
      </c>
      <c r="AZ146" s="18" t="n">
        <f aca="false">IFERROR(AZ140/(AZ141*MM_PARA_M3_HA),0)</f>
        <v>34.7918713660193</v>
      </c>
      <c r="BA146" s="18" t="n">
        <f aca="false">IFERROR(BA140/(BA141*MM_PARA_M3_HA),0)</f>
        <v>40.5990555738276</v>
      </c>
      <c r="BB146" s="18" t="n">
        <f aca="false">IFERROR(BB140/(BB141*MM_PARA_M3_HA),0)</f>
        <v>46.269664603371</v>
      </c>
      <c r="BC146" s="18" t="n">
        <f aca="false">IFERROR(BC140/(BC141*MM_PARA_M3_HA),0)</f>
        <v>48.5663435591277</v>
      </c>
      <c r="BD146" s="18" t="n">
        <f aca="false">IFERROR(BD140/(BD141*MM_PARA_M3_HA),0)</f>
        <v>49.2951970699976</v>
      </c>
      <c r="BE146" s="18" t="n">
        <f aca="false">IFERROR(BE140/(BE141*MM_PARA_M3_HA),0)</f>
        <v>48.8114311229509</v>
      </c>
      <c r="BF146" s="18" t="n">
        <f aca="false">IFERROR(BF140/(BF141*MM_PARA_M3_HA),0)</f>
        <v>47.6633347430728</v>
      </c>
      <c r="BG146" s="18" t="n">
        <f aca="false">IFERROR(BG140/(BG141*MM_PARA_M3_HA),0)</f>
        <v>37.1001502629745</v>
      </c>
      <c r="BH146" s="18" t="n">
        <f aca="false">IFERROR(BH140/(BH141*MM_PARA_M3_HA),0)</f>
        <v>23.1952775065671</v>
      </c>
      <c r="BI146" s="18" t="n">
        <f aca="false">IFERROR(BI140/(BI141*MM_PARA_M3_HA),0)</f>
        <v>20.5724828741221</v>
      </c>
      <c r="BJ146" s="18" t="n">
        <f aca="false">IFERROR(BJ140/(BJ141*MM_PARA_M3_HA),0)</f>
        <v>19.1508682509939</v>
      </c>
      <c r="BK146" s="18" t="n">
        <f aca="false">IFERROR(BK140/(BK141*MM_PARA_M3_HA),0)</f>
        <v>19.7956461490086</v>
      </c>
      <c r="BL146" s="18" t="n">
        <f aca="false">IFERROR(BL140/(BL141*MM_PARA_M3_HA),0)</f>
        <v>0.14018246879438</v>
      </c>
      <c r="BM146" s="18" t="n">
        <f aca="false">IFERROR(BM140/(BM141*MM_PARA_M3_HA),0)</f>
        <v>0</v>
      </c>
      <c r="BN146" s="18" t="n">
        <f aca="false">IFERROR(BN140/(BN141*MM_PARA_M3_HA),0)</f>
        <v>0</v>
      </c>
      <c r="BO146" s="18" t="n">
        <f aca="false">IFERROR(BO140/(BO141*MM_PARA_M3_HA),0)</f>
        <v>0</v>
      </c>
      <c r="BP146" s="18" t="n">
        <f aca="false">IFERROR(BP140/(BP141*MM_PARA_M3_HA),0)</f>
        <v>0</v>
      </c>
      <c r="BQ146" s="18" t="n">
        <f aca="false">SUM(C146:BP146)</f>
        <v>1154.48995032709</v>
      </c>
    </row>
    <row r="147" customFormat="false" ht="15" hidden="false" customHeight="false" outlineLevel="0" collapsed="false">
      <c r="B147" s="15" t="s">
        <v>618</v>
      </c>
      <c r="C147" s="18" t="n">
        <f aca="false">SUM(C32:C39)</f>
        <v>571.695075966999</v>
      </c>
      <c r="D147" s="18" t="n">
        <f aca="false">SUM(D32:D39)</f>
        <v>481.26972570449</v>
      </c>
      <c r="E147" s="18" t="n">
        <f aca="false">SUM(E32:E39)</f>
        <v>397.17139869281</v>
      </c>
      <c r="F147" s="18" t="n">
        <f aca="false">SUM(F32:F39)</f>
        <v>348.139235294118</v>
      </c>
      <c r="G147" s="18" t="n">
        <f aca="false">SUM(G32:G39)</f>
        <v>241.727294117647</v>
      </c>
      <c r="H147" s="18" t="n">
        <f aca="false">SUM(H32:H39)</f>
        <v>137.349882352941</v>
      </c>
      <c r="I147" s="18" t="n">
        <f aca="false">SUM(I32:I39)</f>
        <v>131.135529411765</v>
      </c>
      <c r="J147" s="18" t="n">
        <f aca="false">SUM(J32:J39)</f>
        <v>131.645835750855</v>
      </c>
      <c r="K147" s="18" t="n">
        <f aca="false">SUM(K32:K39)</f>
        <v>141.603667459528</v>
      </c>
      <c r="L147" s="18" t="n">
        <f aca="false">SUM(L32:L39)</f>
        <v>0</v>
      </c>
      <c r="M147" s="18" t="n">
        <f aca="false">SUM(M32:M39)</f>
        <v>20.3026199841256</v>
      </c>
      <c r="N147" s="18" t="n">
        <f aca="false">SUM(N32:N39)</f>
        <v>20.6837647058823</v>
      </c>
      <c r="O147" s="18" t="n">
        <f aca="false">SUM(O32:O39)</f>
        <v>30.2438715664792</v>
      </c>
      <c r="P147" s="18" t="n">
        <f aca="false">SUM(P32:P39)</f>
        <v>0</v>
      </c>
      <c r="Q147" s="18" t="n">
        <f aca="false">SUM(Q32:Q39)</f>
        <v>0</v>
      </c>
      <c r="R147" s="18" t="n">
        <f aca="false">SUM(R32:R39)</f>
        <v>0</v>
      </c>
      <c r="S147" s="18" t="n">
        <f aca="false">SUM(S32:S39)</f>
        <v>0</v>
      </c>
      <c r="T147" s="18" t="n">
        <f aca="false">SUM(T32:T39)</f>
        <v>7.35333884093912</v>
      </c>
      <c r="U147" s="18" t="n">
        <f aca="false">SUM(U32:U39)</f>
        <v>33.843257918552</v>
      </c>
      <c r="V147" s="18" t="n">
        <f aca="false">SUM(V32:V39)</f>
        <v>33.7026451289716</v>
      </c>
      <c r="W147" s="18" t="n">
        <f aca="false">SUM(W32:W39)</f>
        <v>8.0218443891793</v>
      </c>
      <c r="X147" s="18" t="n">
        <f aca="false">SUM(X32:X39)</f>
        <v>0</v>
      </c>
      <c r="Y147" s="18" t="n">
        <f aca="false">SUM(Y32:Y39)</f>
        <v>7.4364705882353</v>
      </c>
      <c r="Z147" s="18" t="n">
        <f aca="false">SUM(Z32:Z39)</f>
        <v>39.9328105646141</v>
      </c>
      <c r="AA147" s="18" t="n">
        <f aca="false">SUM(AA32:AA39)</f>
        <v>112.419464854778</v>
      </c>
      <c r="AB147" s="18" t="n">
        <f aca="false">SUM(AB32:AB39)</f>
        <v>138.43169137951</v>
      </c>
      <c r="AC147" s="18" t="n">
        <f aca="false">SUM(AC32:AC39)</f>
        <v>184.104089492207</v>
      </c>
      <c r="AD147" s="18" t="n">
        <f aca="false">SUM(AD32:AD39)</f>
        <v>192.391716440422</v>
      </c>
      <c r="AE147" s="18" t="n">
        <f aca="false">SUM(AE32:AE39)</f>
        <v>198.221510935143</v>
      </c>
      <c r="AF147" s="18" t="n">
        <f aca="false">SUM(AF32:AF39)</f>
        <v>202.463545248869</v>
      </c>
      <c r="AG147" s="18" t="n">
        <f aca="false">SUM(AG32:AG39)</f>
        <v>546.376022057979</v>
      </c>
      <c r="AH147" s="18" t="n">
        <f aca="false">SUM(AH32:AH39)</f>
        <v>955.44271838058</v>
      </c>
      <c r="AI147" s="18" t="n">
        <f aca="false">SUM(AI32:AI39)</f>
        <v>1021.42610134586</v>
      </c>
      <c r="AJ147" s="18" t="n">
        <f aca="false">SUM(AJ32:AJ39)</f>
        <v>1071.31257422233</v>
      </c>
      <c r="AK147" s="18" t="n">
        <f aca="false">SUM(AK32:AK39)</f>
        <v>1161.99905413343</v>
      </c>
      <c r="AL147" s="18" t="n">
        <f aca="false">SUM(AL32:AL39)</f>
        <v>1400.74798348476</v>
      </c>
      <c r="AM147" s="18" t="n">
        <f aca="false">SUM(AM32:AM39)</f>
        <v>1358.37931334542</v>
      </c>
      <c r="AN147" s="18" t="n">
        <f aca="false">SUM(AN32:AN39)</f>
        <v>1304.77255497077</v>
      </c>
      <c r="AO147" s="18" t="n">
        <f aca="false">SUM(AO32:AO39)</f>
        <v>1215.44572306672</v>
      </c>
      <c r="AP147" s="18" t="n">
        <f aca="false">SUM(AP32:AP39)</f>
        <v>1173.50516345061</v>
      </c>
      <c r="AQ147" s="18" t="n">
        <f aca="false">SUM(AQ32:AQ39)</f>
        <v>1147.69096356886</v>
      </c>
      <c r="AR147" s="18" t="n">
        <f aca="false">SUM(AR32:AR39)</f>
        <v>877.095586900366</v>
      </c>
      <c r="AS147" s="18" t="n">
        <f aca="false">SUM(AS32:AS39)</f>
        <v>820.498095872124</v>
      </c>
      <c r="AT147" s="18" t="n">
        <f aca="false">SUM(AT32:AT39)</f>
        <v>749.876989497408</v>
      </c>
      <c r="AU147" s="18" t="n">
        <f aca="false">SUM(AU32:AU39)</f>
        <v>776.42806923597</v>
      </c>
      <c r="AV147" s="18" t="n">
        <f aca="false">SUM(AV32:AV39)</f>
        <v>765.671567760614</v>
      </c>
      <c r="AW147" s="18" t="n">
        <f aca="false">SUM(AW32:AW39)</f>
        <v>755.620826513063</v>
      </c>
      <c r="AX147" s="18" t="n">
        <f aca="false">SUM(AX32:AX39)</f>
        <v>755.819581664673</v>
      </c>
      <c r="AY147" s="18" t="n">
        <f aca="false">SUM(AY32:AY39)</f>
        <v>816.67546049479</v>
      </c>
      <c r="AZ147" s="18" t="n">
        <f aca="false">SUM(AZ32:AZ39)</f>
        <v>790.597388824743</v>
      </c>
      <c r="BA147" s="18" t="n">
        <f aca="false">SUM(BA32:BA39)</f>
        <v>694.535109356634</v>
      </c>
      <c r="BB147" s="18" t="n">
        <f aca="false">SUM(BB32:BB39)</f>
        <v>678.106733156499</v>
      </c>
      <c r="BC147" s="18" t="n">
        <f aca="false">SUM(BC32:BC39)</f>
        <v>714.581206210017</v>
      </c>
      <c r="BD147" s="18" t="n">
        <f aca="false">SUM(BD32:BD39)</f>
        <v>725.107574660634</v>
      </c>
      <c r="BE147" s="18" t="n">
        <f aca="false">SUM(BE32:BE39)</f>
        <v>718.229457013575</v>
      </c>
      <c r="BF147" s="18" t="n">
        <f aca="false">SUM(BF32:BF39)</f>
        <v>702.745900452489</v>
      </c>
      <c r="BG147" s="18" t="n">
        <f aca="false">SUM(BG32:BG39)</f>
        <v>549.072466843501</v>
      </c>
      <c r="BH147" s="18" t="n">
        <f aca="false">SUM(BH32:BH39)</f>
        <v>346.3421663286</v>
      </c>
      <c r="BI147" s="18" t="n">
        <f aca="false">SUM(BI32:BI39)</f>
        <v>309.988126696832</v>
      </c>
      <c r="BJ147" s="18" t="n">
        <f aca="false">SUM(BJ32:BJ39)</f>
        <v>259.458319238571</v>
      </c>
      <c r="BK147" s="18" t="n">
        <f aca="false">SUM(BK32:BK39)</f>
        <v>200.745110937744</v>
      </c>
      <c r="BL147" s="18" t="n">
        <f aca="false">SUM(BL32:BL39)</f>
        <v>1.27235294117648</v>
      </c>
      <c r="BM147" s="18" t="n">
        <f aca="false">SUM(BM32:BM39)</f>
        <v>0</v>
      </c>
      <c r="BN147" s="18" t="n">
        <f aca="false">SUM(BN32:BN39)</f>
        <v>0</v>
      </c>
      <c r="BO147" s="18" t="n">
        <f aca="false">SUM(BO32:BO39)</f>
        <v>0</v>
      </c>
      <c r="BP147" s="18" t="n">
        <f aca="false">SUM(BP32:BP39)</f>
        <v>0</v>
      </c>
      <c r="BQ147" s="18" t="n">
        <f aca="false">SUM(C147:BP147)</f>
        <v>29176.8565494164</v>
      </c>
    </row>
    <row r="148" customFormat="false" ht="15" hidden="false" customHeight="false" outlineLevel="0" collapsed="false">
      <c r="B148" s="15" t="s">
        <v>619</v>
      </c>
      <c r="C148" s="19" t="n">
        <f aca="false">IFERROR(_xlfn.MAXIFS(PLANEJAMENTO_SEMANAL!$AD$6:$AD$2381,PLANEJAMENTO_SEMANAL!$B$6:$B$2381,C$139),0)</f>
        <v>0.460190476190476</v>
      </c>
      <c r="D148" s="19" t="n">
        <f aca="false">IFERROR(_xlfn.MAXIFS(PLANEJAMENTO_SEMANAL!$AD$6:$AD$2381,PLANEJAMENTO_SEMANAL!$B$6:$B$2381,D$139),0)</f>
        <v>0.460392156862745</v>
      </c>
      <c r="E148" s="19" t="n">
        <f aca="false">IFERROR(_xlfn.MAXIFS(PLANEJAMENTO_SEMANAL!$AD$6:$AD$2381,PLANEJAMENTO_SEMANAL!$B$6:$B$2381,E$139),0)</f>
        <v>0.460392156862745</v>
      </c>
      <c r="F148" s="19" t="n">
        <f aca="false">IFERROR(_xlfn.MAXIFS(PLANEJAMENTO_SEMANAL!$AD$6:$AD$2381,PLANEJAMENTO_SEMANAL!$B$6:$B$2381,F$139),0)</f>
        <v>0.460392156862745</v>
      </c>
      <c r="G148" s="19" t="n">
        <f aca="false">IFERROR(_xlfn.MAXIFS(PLANEJAMENTO_SEMANAL!$AD$6:$AD$2381,PLANEJAMENTO_SEMANAL!$B$6:$B$2381,G$139),0)</f>
        <v>0.347182072829132</v>
      </c>
      <c r="H148" s="19" t="n">
        <f aca="false">IFERROR(_xlfn.MAXIFS(PLANEJAMENTO_SEMANAL!$AD$6:$AD$2381,PLANEJAMENTO_SEMANAL!$B$6:$B$2381,H$139),0)</f>
        <v>0.262274509803922</v>
      </c>
      <c r="I148" s="19" t="n">
        <f aca="false">IFERROR(_xlfn.MAXIFS(PLANEJAMENTO_SEMANAL!$AD$6:$AD$2381,PLANEJAMENTO_SEMANAL!$B$6:$B$2381,I$139),0)</f>
        <v>0.262274509803922</v>
      </c>
      <c r="J148" s="19" t="n">
        <f aca="false">IFERROR(_xlfn.MAXIFS(PLANEJAMENTO_SEMANAL!$AD$6:$AD$2381,PLANEJAMENTO_SEMANAL!$B$6:$B$2381,J$139),0)</f>
        <v>0.262274509803921</v>
      </c>
      <c r="K148" s="19" t="n">
        <f aca="false">IFERROR(_xlfn.MAXIFS(PLANEJAMENTO_SEMANAL!$AD$6:$AD$2381,PLANEJAMENTO_SEMANAL!$B$6:$B$2381,K$139),0)</f>
        <v>0.20443137254902</v>
      </c>
      <c r="L148" s="19" t="n">
        <f aca="false">IFERROR(_xlfn.MAXIFS(PLANEJAMENTO_SEMANAL!$AD$6:$AD$2381,PLANEJAMENTO_SEMANAL!$B$6:$B$2381,L$139),0)</f>
        <v>0</v>
      </c>
      <c r="M148" s="19" t="n">
        <f aca="false">IFERROR(_xlfn.MAXIFS(PLANEJAMENTO_SEMANAL!$AD$6:$AD$2381,PLANEJAMENTO_SEMANAL!$B$6:$B$2381,M$139),0)</f>
        <v>0.0234509803921568</v>
      </c>
      <c r="N148" s="19" t="n">
        <f aca="false">IFERROR(_xlfn.MAXIFS(PLANEJAMENTO_SEMANAL!$AD$6:$AD$2381,PLANEJAMENTO_SEMANAL!$B$6:$B$2381,N$139),0)</f>
        <v>0.0234509803921568</v>
      </c>
      <c r="O148" s="19" t="n">
        <f aca="false">IFERROR(_xlfn.MAXIFS(PLANEJAMENTO_SEMANAL!$AD$6:$AD$2381,PLANEJAMENTO_SEMANAL!$B$6:$B$2381,O$139),0)</f>
        <v>0.0240671067181341</v>
      </c>
      <c r="P148" s="19" t="n">
        <f aca="false">IFERROR(_xlfn.MAXIFS(PLANEJAMENTO_SEMANAL!$AD$6:$AD$2381,PLANEJAMENTO_SEMANAL!$B$6:$B$2381,P$139),0)</f>
        <v>0</v>
      </c>
      <c r="Q148" s="19" t="n">
        <f aca="false">IFERROR(_xlfn.MAXIFS(PLANEJAMENTO_SEMANAL!$AD$6:$AD$2381,PLANEJAMENTO_SEMANAL!$B$6:$B$2381,Q$139),0)</f>
        <v>0</v>
      </c>
      <c r="R148" s="19" t="n">
        <f aca="false">IFERROR(_xlfn.MAXIFS(PLANEJAMENTO_SEMANAL!$AD$6:$AD$2381,PLANEJAMENTO_SEMANAL!$B$6:$B$2381,R$139),0)</f>
        <v>0</v>
      </c>
      <c r="S148" s="19" t="n">
        <f aca="false">IFERROR(_xlfn.MAXIFS(PLANEJAMENTO_SEMANAL!$AD$6:$AD$2381,PLANEJAMENTO_SEMANAL!$B$6:$B$2381,S$139),0)</f>
        <v>0</v>
      </c>
      <c r="T148" s="19" t="n">
        <f aca="false">IFERROR(_xlfn.MAXIFS(PLANEJAMENTO_SEMANAL!$AD$6:$AD$2381,PLANEJAMENTO_SEMANAL!$B$6:$B$2381,T$139),0)</f>
        <v>0.00636069812540397</v>
      </c>
      <c r="U148" s="19" t="n">
        <f aca="false">IFERROR(_xlfn.MAXIFS(PLANEJAMENTO_SEMANAL!$AD$6:$AD$2381,PLANEJAMENTO_SEMANAL!$B$6:$B$2381,U$139),0)</f>
        <v>0.0325791855203619</v>
      </c>
      <c r="V148" s="19" t="n">
        <f aca="false">IFERROR(_xlfn.MAXIFS(PLANEJAMENTO_SEMANAL!$AD$6:$AD$2381,PLANEJAMENTO_SEMANAL!$B$6:$B$2381,V$139),0)</f>
        <v>0.0320667482405499</v>
      </c>
      <c r="W148" s="19" t="n">
        <f aca="false">IFERROR(_xlfn.MAXIFS(PLANEJAMENTO_SEMANAL!$AD$6:$AD$2381,PLANEJAMENTO_SEMANAL!$B$6:$B$2381,W$139),0)</f>
        <v>0.028235294117647</v>
      </c>
      <c r="X148" s="19" t="n">
        <f aca="false">IFERROR(_xlfn.MAXIFS(PLANEJAMENTO_SEMANAL!$AD$6:$AD$2381,PLANEJAMENTO_SEMANAL!$B$6:$B$2381,X$139),0)</f>
        <v>0</v>
      </c>
      <c r="Y148" s="19" t="n">
        <f aca="false">IFERROR(_xlfn.MAXIFS(PLANEJAMENTO_SEMANAL!$AD$6:$AD$2381,PLANEJAMENTO_SEMANAL!$B$6:$B$2381,Y$139),0)</f>
        <v>0.0505882352941177</v>
      </c>
      <c r="Z148" s="19" t="n">
        <f aca="false">IFERROR(_xlfn.MAXIFS(PLANEJAMENTO_SEMANAL!$AD$6:$AD$2381,PLANEJAMENTO_SEMANAL!$B$6:$B$2381,Z$139),0)</f>
        <v>0.0505882352941177</v>
      </c>
      <c r="AA148" s="19" t="n">
        <f aca="false">IFERROR(_xlfn.MAXIFS(PLANEJAMENTO_SEMANAL!$AD$6:$AD$2381,PLANEJAMENTO_SEMANAL!$B$6:$B$2381,AA$139),0)</f>
        <v>0.0757466063348415</v>
      </c>
      <c r="AB148" s="19" t="n">
        <f aca="false">IFERROR(_xlfn.MAXIFS(PLANEJAMENTO_SEMANAL!$AD$6:$AD$2381,PLANEJAMENTO_SEMANAL!$B$6:$B$2381,AB$139),0)</f>
        <v>0.0757466063348415</v>
      </c>
      <c r="AC148" s="19" t="n">
        <f aca="false">IFERROR(_xlfn.MAXIFS(PLANEJAMENTO_SEMANAL!$AD$6:$AD$2381,PLANEJAMENTO_SEMANAL!$B$6:$B$2381,AC$139),0)</f>
        <v>0.0935746606334841</v>
      </c>
      <c r="AD148" s="19" t="n">
        <f aca="false">IFERROR(_xlfn.MAXIFS(PLANEJAMENTO_SEMANAL!$AD$6:$AD$2381,PLANEJAMENTO_SEMANAL!$B$6:$B$2381,AD$139),0)</f>
        <v>0.0935746606334841</v>
      </c>
      <c r="AE148" s="19" t="n">
        <f aca="false">IFERROR(_xlfn.MAXIFS(PLANEJAMENTO_SEMANAL!$AD$6:$AD$2381,PLANEJAMENTO_SEMANAL!$B$6:$B$2381,AE$139),0)</f>
        <v>0.0935746606334841</v>
      </c>
      <c r="AF148" s="19" t="n">
        <f aca="false">IFERROR(_xlfn.MAXIFS(PLANEJAMENTO_SEMANAL!$AD$6:$AD$2381,PLANEJAMENTO_SEMANAL!$B$6:$B$2381,AF$139),0)</f>
        <v>0.0935746606334841</v>
      </c>
      <c r="AG148" s="19" t="n">
        <f aca="false">IFERROR(_xlfn.MAXIFS(PLANEJAMENTO_SEMANAL!$AD$6:$AD$2381,PLANEJAMENTO_SEMANAL!$B$6:$B$2381,AG$139),0)</f>
        <v>0.211325145442792</v>
      </c>
      <c r="AH148" s="19" t="n">
        <f aca="false">IFERROR(_xlfn.MAXIFS(PLANEJAMENTO_SEMANAL!$AD$6:$AD$2381,PLANEJAMENTO_SEMANAL!$B$6:$B$2381,AH$139),0)</f>
        <v>0.299638009049774</v>
      </c>
      <c r="AI148" s="19" t="n">
        <f aca="false">IFERROR(_xlfn.MAXIFS(PLANEJAMENTO_SEMANAL!$AD$6:$AD$2381,PLANEJAMENTO_SEMANAL!$B$6:$B$2381,AI$139),0)</f>
        <v>0.299638009049774</v>
      </c>
      <c r="AJ148" s="19" t="n">
        <f aca="false">IFERROR(_xlfn.MAXIFS(PLANEJAMENTO_SEMANAL!$AD$6:$AD$2381,PLANEJAMENTO_SEMANAL!$B$6:$B$2381,AJ$139),0)</f>
        <v>0.288972204266322</v>
      </c>
      <c r="AK148" s="19" t="n">
        <f aca="false">IFERROR(_xlfn.MAXIFS(PLANEJAMENTO_SEMANAL!$AD$6:$AD$2381,PLANEJAMENTO_SEMANAL!$B$6:$B$2381,AK$139),0)</f>
        <v>0.304195793702096</v>
      </c>
      <c r="AL148" s="19" t="n">
        <f aca="false">IFERROR(_xlfn.MAXIFS(PLANEJAMENTO_SEMANAL!$AD$6:$AD$2381,PLANEJAMENTO_SEMANAL!$B$6:$B$2381,AL$139),0)</f>
        <v>0.360950226244344</v>
      </c>
      <c r="AM148" s="19" t="n">
        <f aca="false">IFERROR(_xlfn.MAXIFS(PLANEJAMENTO_SEMANAL!$AD$6:$AD$2381,PLANEJAMENTO_SEMANAL!$B$6:$B$2381,AM$139),0)</f>
        <v>0.348705882352941</v>
      </c>
      <c r="AN148" s="19" t="n">
        <f aca="false">IFERROR(_xlfn.MAXIFS(PLANEJAMENTO_SEMANAL!$AD$6:$AD$2381,PLANEJAMENTO_SEMANAL!$B$6:$B$2381,AN$139),0)</f>
        <v>0.348705882352941</v>
      </c>
      <c r="AO148" s="19" t="n">
        <f aca="false">IFERROR(_xlfn.MAXIFS(PLANEJAMENTO_SEMANAL!$AD$6:$AD$2381,PLANEJAMENTO_SEMANAL!$B$6:$B$2381,AO$139),0)</f>
        <v>0.348705882352941</v>
      </c>
      <c r="AP148" s="19" t="n">
        <f aca="false">IFERROR(_xlfn.MAXIFS(PLANEJAMENTO_SEMANAL!$AD$6:$AD$2381,PLANEJAMENTO_SEMANAL!$B$6:$B$2381,AP$139),0)</f>
        <v>0.349915966386555</v>
      </c>
      <c r="AQ148" s="19" t="n">
        <f aca="false">IFERROR(_xlfn.MAXIFS(PLANEJAMENTO_SEMANAL!$AD$6:$AD$2381,PLANEJAMENTO_SEMANAL!$B$6:$B$2381,AQ$139),0)</f>
        <v>0.350117647058824</v>
      </c>
      <c r="AR148" s="19" t="n">
        <f aca="false">IFERROR(_xlfn.MAXIFS(PLANEJAMENTO_SEMANAL!$AD$6:$AD$2381,PLANEJAMENTO_SEMANAL!$B$6:$B$2381,AR$139),0)</f>
        <v>0.350117647058824</v>
      </c>
      <c r="AS148" s="19" t="n">
        <f aca="false">IFERROR(_xlfn.MAXIFS(PLANEJAMENTO_SEMANAL!$AD$6:$AD$2381,PLANEJAMENTO_SEMANAL!$B$6:$B$2381,AS$139),0)</f>
        <v>0.350117647058824</v>
      </c>
      <c r="AT148" s="19" t="n">
        <f aca="false">IFERROR(_xlfn.MAXIFS(PLANEJAMENTO_SEMANAL!$AD$6:$AD$2381,PLANEJAMENTO_SEMANAL!$B$6:$B$2381,AT$139),0)</f>
        <v>0.364090880796763</v>
      </c>
      <c r="AU148" s="19" t="n">
        <f aca="false">IFERROR(_xlfn.MAXIFS(PLANEJAMENTO_SEMANAL!$AD$6:$AD$2381,PLANEJAMENTO_SEMANAL!$B$6:$B$2381,AU$139),0)</f>
        <v>0.350466386554622</v>
      </c>
      <c r="AV148" s="19" t="n">
        <f aca="false">IFERROR(_xlfn.MAXIFS(PLANEJAMENTO_SEMANAL!$AD$6:$AD$2381,PLANEJAMENTO_SEMANAL!$B$6:$B$2381,AV$139),0)</f>
        <v>0.407378151260504</v>
      </c>
      <c r="AW148" s="19" t="n">
        <f aca="false">IFERROR(_xlfn.MAXIFS(PLANEJAMENTO_SEMANAL!$AD$6:$AD$2381,PLANEJAMENTO_SEMANAL!$B$6:$B$2381,AW$139),0)</f>
        <v>0.426890756302521</v>
      </c>
      <c r="AX148" s="19" t="n">
        <f aca="false">IFERROR(_xlfn.MAXIFS(PLANEJAMENTO_SEMANAL!$AD$6:$AD$2381,PLANEJAMENTO_SEMANAL!$B$6:$B$2381,AX$139),0)</f>
        <v>0.439279711884754</v>
      </c>
      <c r="AY148" s="19" t="n">
        <f aca="false">IFERROR(_xlfn.MAXIFS(PLANEJAMENTO_SEMANAL!$AD$6:$AD$2381,PLANEJAMENTO_SEMANAL!$B$6:$B$2381,AY$139),0)</f>
        <v>0.513613445378151</v>
      </c>
      <c r="AZ148" s="19" t="n">
        <f aca="false">IFERROR(_xlfn.MAXIFS(PLANEJAMENTO_SEMANAL!$AD$6:$AD$2381,PLANEJAMENTO_SEMANAL!$B$6:$B$2381,AZ$139),0)</f>
        <v>0.529592760180995</v>
      </c>
      <c r="BA148" s="19" t="n">
        <f aca="false">IFERROR(_xlfn.MAXIFS(PLANEJAMENTO_SEMANAL!$AD$6:$AD$2381,PLANEJAMENTO_SEMANAL!$B$6:$B$2381,BA$139),0)</f>
        <v>0.529592760180995</v>
      </c>
      <c r="BB148" s="19" t="n">
        <f aca="false">IFERROR(_xlfn.MAXIFS(PLANEJAMENTO_SEMANAL!$AD$6:$AD$2381,PLANEJAMENTO_SEMANAL!$B$6:$B$2381,BB$139),0)</f>
        <v>0.529592760180995</v>
      </c>
      <c r="BC148" s="19" t="n">
        <f aca="false">IFERROR(_xlfn.MAXIFS(PLANEJAMENTO_SEMANAL!$AD$6:$AD$2381,PLANEJAMENTO_SEMANAL!$B$6:$B$2381,BC$139),0)</f>
        <v>0.556224951519069</v>
      </c>
      <c r="BD148" s="19" t="n">
        <f aca="false">IFERROR(_xlfn.MAXIFS(PLANEJAMENTO_SEMANAL!$AD$6:$AD$2381,PLANEJAMENTO_SEMANAL!$B$6:$B$2381,BD$139),0)</f>
        <v>0.557466063348416</v>
      </c>
      <c r="BE148" s="19" t="n">
        <f aca="false">IFERROR(_xlfn.MAXIFS(PLANEJAMENTO_SEMANAL!$AD$6:$AD$2381,PLANEJAMENTO_SEMANAL!$B$6:$B$2381,BE$139),0)</f>
        <v>0.557466063348416</v>
      </c>
      <c r="BF148" s="19" t="n">
        <f aca="false">IFERROR(_xlfn.MAXIFS(PLANEJAMENTO_SEMANAL!$AD$6:$AD$2381,PLANEJAMENTO_SEMANAL!$B$6:$B$2381,BF$139),0)</f>
        <v>0.557466063348416</v>
      </c>
      <c r="BG148" s="19" t="n">
        <f aca="false">IFERROR(_xlfn.MAXIFS(PLANEJAMENTO_SEMANAL!$AD$6:$AD$2381,PLANEJAMENTO_SEMANAL!$B$6:$B$2381,BG$139),0)</f>
        <v>0.459107950872657</v>
      </c>
      <c r="BH148" s="19" t="n">
        <f aca="false">IFERROR(_xlfn.MAXIFS(PLANEJAMENTO_SEMANAL!$AD$6:$AD$2381,PLANEJAMENTO_SEMANAL!$B$6:$B$2381,BH$139),0)</f>
        <v>0.327963800904977</v>
      </c>
      <c r="BI148" s="19" t="n">
        <f aca="false">IFERROR(_xlfn.MAXIFS(PLANEJAMENTO_SEMANAL!$AD$6:$AD$2381,PLANEJAMENTO_SEMANAL!$B$6:$B$2381,BI$139),0)</f>
        <v>0.327963800904977</v>
      </c>
      <c r="BJ148" s="19" t="n">
        <f aca="false">IFERROR(_xlfn.MAXIFS(PLANEJAMENTO_SEMANAL!$AD$6:$AD$2381,PLANEJAMENTO_SEMANAL!$B$6:$B$2381,BJ$139),0)</f>
        <v>0.312760180995475</v>
      </c>
      <c r="BK148" s="19" t="n">
        <f aca="false">IFERROR(_xlfn.MAXIFS(PLANEJAMENTO_SEMANAL!$AD$6:$AD$2381,PLANEJAMENTO_SEMANAL!$B$6:$B$2381,BK$139),0)</f>
        <v>0.30453781512605</v>
      </c>
      <c r="BL148" s="19" t="n">
        <f aca="false">IFERROR(_xlfn.MAXIFS(PLANEJAMENTO_SEMANAL!$AD$6:$AD$2381,PLANEJAMENTO_SEMANAL!$B$6:$B$2381,BL$139),0)</f>
        <v>0.00865546218487399</v>
      </c>
      <c r="BM148" s="19" t="n">
        <f aca="false">IFERROR(_xlfn.MAXIFS(PLANEJAMENTO_SEMANAL!$AD$6:$AD$2381,PLANEJAMENTO_SEMANAL!$B$6:$B$2381,BM$139),0)</f>
        <v>0</v>
      </c>
      <c r="BN148" s="19" t="n">
        <f aca="false">IFERROR(_xlfn.MAXIFS(PLANEJAMENTO_SEMANAL!$AD$6:$AD$2381,PLANEJAMENTO_SEMANAL!$B$6:$B$2381,BN$139),0)</f>
        <v>0</v>
      </c>
      <c r="BO148" s="19" t="n">
        <f aca="false">IFERROR(_xlfn.MAXIFS(PLANEJAMENTO_SEMANAL!$AD$6:$AD$2381,PLANEJAMENTO_SEMANAL!$B$6:$B$2381,BO$139),0)</f>
        <v>0</v>
      </c>
      <c r="BP148" s="19" t="n">
        <f aca="false">IFERROR(_xlfn.MAXIFS(PLANEJAMENTO_SEMANAL!$AD$6:$AD$2381,PLANEJAMENTO_SEMANAL!$B$6:$B$2381,BP$139),0)</f>
        <v>0</v>
      </c>
      <c r="BQ148" s="19" t="n">
        <f aca="false">MAX(C148:BP148)</f>
        <v>0.557466063348416</v>
      </c>
    </row>
    <row r="149" customFormat="false" ht="15" hidden="false" customHeight="false" outlineLevel="0" collapsed="false">
      <c r="B149" s="15" t="s">
        <v>100</v>
      </c>
      <c r="C149" s="8" t="str">
        <f aca="false">IFERROR(INDEX(PLANEJAMENTO_SEMANAL!$E$6:$E$2381,MATCH(C$139&amp;"|"&amp;TEXT(C148,"0.000000"),PLANEJAMENTO_SEMANAL!$AF$6:$AF$2381,0)),"-")</f>
        <v>PV 131</v>
      </c>
      <c r="D149" s="8" t="str">
        <f aca="false">IFERROR(INDEX(PLANEJAMENTO_SEMANAL!$E$6:$E$2381,MATCH(D$139&amp;"|"&amp;TEXT(D148,"0.000000"),PLANEJAMENTO_SEMANAL!$AF$6:$AF$2381,0)),"-")</f>
        <v>PV 102</v>
      </c>
      <c r="E149" s="8" t="str">
        <f aca="false">IFERROR(INDEX(PLANEJAMENTO_SEMANAL!$E$6:$E$2381,MATCH(E$139&amp;"|"&amp;TEXT(E148,"0.000000"),PLANEJAMENTO_SEMANAL!$AF$6:$AF$2381,0)),"-")</f>
        <v>PV 102</v>
      </c>
      <c r="F149" s="8" t="str">
        <f aca="false">IFERROR(INDEX(PLANEJAMENTO_SEMANAL!$E$6:$E$2381,MATCH(F$139&amp;"|"&amp;TEXT(F148,"0.000000"),PLANEJAMENTO_SEMANAL!$AF$6:$AF$2381,0)),"-")</f>
        <v>PV 102</v>
      </c>
      <c r="G149" s="8" t="str">
        <f aca="false">IFERROR(INDEX(PLANEJAMENTO_SEMANAL!$E$6:$E$2381,MATCH(G$139&amp;"|"&amp;TEXT(G148,"0.000000"),PLANEJAMENTO_SEMANAL!$AF$6:$AF$2381,0)),"-")</f>
        <v>PV 102</v>
      </c>
      <c r="H149" s="8" t="str">
        <f aca="false">IFERROR(INDEX(PLANEJAMENTO_SEMANAL!$E$6:$E$2381,MATCH(H$139&amp;"|"&amp;TEXT(H148,"0.000000"),PLANEJAMENTO_SEMANAL!$AF$6:$AF$2381,0)),"-")</f>
        <v>PV 102</v>
      </c>
      <c r="I149" s="8" t="str">
        <f aca="false">IFERROR(INDEX(PLANEJAMENTO_SEMANAL!$E$6:$E$2381,MATCH(I$139&amp;"|"&amp;TEXT(I148,"0.000000"),PLANEJAMENTO_SEMANAL!$AF$6:$AF$2381,0)),"-")</f>
        <v>PV 102</v>
      </c>
      <c r="J149" s="8" t="str">
        <f aca="false">IFERROR(INDEX(PLANEJAMENTO_SEMANAL!$E$6:$E$2381,MATCH(J$139&amp;"|"&amp;TEXT(J148,"0.000000"),PLANEJAMENTO_SEMANAL!$AF$6:$AF$2381,0)),"-")</f>
        <v>PV 102</v>
      </c>
      <c r="K149" s="8" t="str">
        <f aca="false">IFERROR(INDEX(PLANEJAMENTO_SEMANAL!$E$6:$E$2381,MATCH(K$139&amp;"|"&amp;TEXT(K148,"0.000000"),PLANEJAMENTO_SEMANAL!$AF$6:$AF$2381,0)),"-")</f>
        <v>PV 102</v>
      </c>
      <c r="L149" s="8" t="str">
        <f aca="false">IFERROR(INDEX(PLANEJAMENTO_SEMANAL!$E$6:$E$2381,MATCH(L$139&amp;"|"&amp;TEXT(L148,"0.000000"),PLANEJAMENTO_SEMANAL!$AF$6:$AF$2381,0)),"-")</f>
        <v>PV 109</v>
      </c>
      <c r="M149" s="8" t="str">
        <f aca="false">IFERROR(INDEX(PLANEJAMENTO_SEMANAL!$E$6:$E$2381,MATCH(M$139&amp;"|"&amp;TEXT(M148,"0.000000"),PLANEJAMENTO_SEMANAL!$AF$6:$AF$2381,0)),"-")</f>
        <v>PV 109</v>
      </c>
      <c r="N149" s="8" t="str">
        <f aca="false">IFERROR(INDEX(PLANEJAMENTO_SEMANAL!$E$6:$E$2381,MATCH(N$139&amp;"|"&amp;TEXT(N148,"0.000000"),PLANEJAMENTO_SEMANAL!$AF$6:$AF$2381,0)),"-")</f>
        <v>PV 109</v>
      </c>
      <c r="O149" s="8" t="str">
        <f aca="false">IFERROR(INDEX(PLANEJAMENTO_SEMANAL!$E$6:$E$2381,MATCH(O$139&amp;"|"&amp;TEXT(O148,"0.000000"),PLANEJAMENTO_SEMANAL!$AF$6:$AF$2381,0)),"-")</f>
        <v>PV 113</v>
      </c>
      <c r="P149" s="8" t="str">
        <f aca="false">IFERROR(INDEX(PLANEJAMENTO_SEMANAL!$E$6:$E$2381,MATCH(P$139&amp;"|"&amp;TEXT(P148,"0.000000"),PLANEJAMENTO_SEMANAL!$AF$6:$AF$2381,0)),"-")</f>
        <v>PV 109</v>
      </c>
      <c r="Q149" s="8" t="str">
        <f aca="false">IFERROR(INDEX(PLANEJAMENTO_SEMANAL!$E$6:$E$2381,MATCH(Q$139&amp;"|"&amp;TEXT(Q148,"0.000000"),PLANEJAMENTO_SEMANAL!$AF$6:$AF$2381,0)),"-")</f>
        <v>PV 109</v>
      </c>
      <c r="R149" s="8" t="str">
        <f aca="false">IFERROR(INDEX(PLANEJAMENTO_SEMANAL!$E$6:$E$2381,MATCH(R$139&amp;"|"&amp;TEXT(R148,"0.000000"),PLANEJAMENTO_SEMANAL!$AF$6:$AF$2381,0)),"-")</f>
        <v>PV 109</v>
      </c>
      <c r="S149" s="8" t="str">
        <f aca="false">IFERROR(INDEX(PLANEJAMENTO_SEMANAL!$E$6:$E$2381,MATCH(S$139&amp;"|"&amp;TEXT(S148,"0.000000"),PLANEJAMENTO_SEMANAL!$AF$6:$AF$2381,0)),"-")</f>
        <v>PV 109</v>
      </c>
      <c r="T149" s="8" t="str">
        <f aca="false">IFERROR(INDEX(PLANEJAMENTO_SEMANAL!$E$6:$E$2381,MATCH(T$139&amp;"|"&amp;TEXT(T148,"0.000000"),PLANEJAMENTO_SEMANAL!$AF$6:$AF$2381,0)),"-")</f>
        <v>PV 113</v>
      </c>
      <c r="U149" s="8" t="str">
        <f aca="false">IFERROR(INDEX(PLANEJAMENTO_SEMANAL!$E$6:$E$2381,MATCH(U$139&amp;"|"&amp;TEXT(U148,"0.000000"),PLANEJAMENTO_SEMANAL!$AF$6:$AF$2381,0)),"-")</f>
        <v>PV 113</v>
      </c>
      <c r="V149" s="8" t="str">
        <f aca="false">IFERROR(INDEX(PLANEJAMENTO_SEMANAL!$E$6:$E$2381,MATCH(V$139&amp;"|"&amp;TEXT(V148,"0.000000"),PLANEJAMENTO_SEMANAL!$AF$6:$AF$2381,0)),"-")</f>
        <v>PV 113</v>
      </c>
      <c r="W149" s="8" t="str">
        <f aca="false">IFERROR(INDEX(PLANEJAMENTO_SEMANAL!$E$6:$E$2381,MATCH(W$139&amp;"|"&amp;TEXT(W148,"0.000000"),PLANEJAMENTO_SEMANAL!$AF$6:$AF$2381,0)),"-")</f>
        <v>PV 124</v>
      </c>
      <c r="X149" s="8" t="str">
        <f aca="false">IFERROR(INDEX(PLANEJAMENTO_SEMANAL!$E$6:$E$2381,MATCH(X$139&amp;"|"&amp;TEXT(X148,"0.000000"),PLANEJAMENTO_SEMANAL!$AF$6:$AF$2381,0)),"-")</f>
        <v>PV 109</v>
      </c>
      <c r="Y149" s="8" t="str">
        <f aca="false">IFERROR(INDEX(PLANEJAMENTO_SEMANAL!$E$6:$E$2381,MATCH(Y$139&amp;"|"&amp;TEXT(Y148,"0.000000"),PLANEJAMENTO_SEMANAL!$AF$6:$AF$2381,0)),"-")</f>
        <v>PV 128</v>
      </c>
      <c r="Z149" s="8" t="str">
        <f aca="false">IFERROR(INDEX(PLANEJAMENTO_SEMANAL!$E$6:$E$2381,MATCH(Z$139&amp;"|"&amp;TEXT(Z148,"0.000000"),PLANEJAMENTO_SEMANAL!$AF$6:$AF$2381,0)),"-")</f>
        <v>PV 128</v>
      </c>
      <c r="AA149" s="8" t="str">
        <f aca="false">IFERROR(INDEX(PLANEJAMENTO_SEMANAL!$E$6:$E$2381,MATCH(AA$139&amp;"|"&amp;TEXT(AA148,"0.000000"),PLANEJAMENTO_SEMANAL!$AF$6:$AF$2381,0)),"-")</f>
        <v>PV 115</v>
      </c>
      <c r="AB149" s="8" t="str">
        <f aca="false">IFERROR(INDEX(PLANEJAMENTO_SEMANAL!$E$6:$E$2381,MATCH(AB$139&amp;"|"&amp;TEXT(AB148,"0.000000"),PLANEJAMENTO_SEMANAL!$AF$6:$AF$2381,0)),"-")</f>
        <v>PV 115</v>
      </c>
      <c r="AC149" s="8" t="str">
        <f aca="false">IFERROR(INDEX(PLANEJAMENTO_SEMANAL!$E$6:$E$2381,MATCH(AC$139&amp;"|"&amp;TEXT(AC148,"0.000000"),PLANEJAMENTO_SEMANAL!$AF$6:$AF$2381,0)),"-")</f>
        <v>PV 115</v>
      </c>
      <c r="AD149" s="8" t="str">
        <f aca="false">IFERROR(INDEX(PLANEJAMENTO_SEMANAL!$E$6:$E$2381,MATCH(AD$139&amp;"|"&amp;TEXT(AD148,"0.000000"),PLANEJAMENTO_SEMANAL!$AF$6:$AF$2381,0)),"-")</f>
        <v>PV 115</v>
      </c>
      <c r="AE149" s="8" t="str">
        <f aca="false">IFERROR(INDEX(PLANEJAMENTO_SEMANAL!$E$6:$E$2381,MATCH(AE$139&amp;"|"&amp;TEXT(AE148,"0.000000"),PLANEJAMENTO_SEMANAL!$AF$6:$AF$2381,0)),"-")</f>
        <v>PV 115</v>
      </c>
      <c r="AF149" s="8" t="str">
        <f aca="false">IFERROR(INDEX(PLANEJAMENTO_SEMANAL!$E$6:$E$2381,MATCH(AF$139&amp;"|"&amp;TEXT(AF148,"0.000000"),PLANEJAMENTO_SEMANAL!$AF$6:$AF$2381,0)),"-")</f>
        <v>PV 115</v>
      </c>
      <c r="AG149" s="8" t="str">
        <f aca="false">IFERROR(INDEX(PLANEJAMENTO_SEMANAL!$E$6:$E$2381,MATCH(AG$139&amp;"|"&amp;TEXT(AG148,"0.000000"),PLANEJAMENTO_SEMANAL!$AF$6:$AF$2381,0)),"-")</f>
        <v>PV 115</v>
      </c>
      <c r="AH149" s="8" t="str">
        <f aca="false">IFERROR(INDEX(PLANEJAMENTO_SEMANAL!$E$6:$E$2381,MATCH(AH$139&amp;"|"&amp;TEXT(AH148,"0.000000"),PLANEJAMENTO_SEMANAL!$AF$6:$AF$2381,0)),"-")</f>
        <v>PV 115</v>
      </c>
      <c r="AI149" s="8" t="str">
        <f aca="false">IFERROR(INDEX(PLANEJAMENTO_SEMANAL!$E$6:$E$2381,MATCH(AI$139&amp;"|"&amp;TEXT(AI148,"0.000000"),PLANEJAMENTO_SEMANAL!$AF$6:$AF$2381,0)),"-")</f>
        <v>PV 115</v>
      </c>
      <c r="AJ149" s="8" t="str">
        <f aca="false">IFERROR(INDEX(PLANEJAMENTO_SEMANAL!$E$6:$E$2381,MATCH(AJ$139&amp;"|"&amp;TEXT(AJ148,"0.000000"),PLANEJAMENTO_SEMANAL!$AF$6:$AF$2381,0)),"-")</f>
        <v>PV 115</v>
      </c>
      <c r="AK149" s="8" t="str">
        <f aca="false">IFERROR(INDEX(PLANEJAMENTO_SEMANAL!$E$6:$E$2381,MATCH(AK$139&amp;"|"&amp;TEXT(AK148,"0.000000"),PLANEJAMENTO_SEMANAL!$AF$6:$AF$2381,0)),"-")</f>
        <v>PV 118</v>
      </c>
      <c r="AL149" s="8" t="str">
        <f aca="false">IFERROR(INDEX(PLANEJAMENTO_SEMANAL!$E$6:$E$2381,MATCH(AL$139&amp;"|"&amp;TEXT(AL148,"0.000000"),PLANEJAMENTO_SEMANAL!$AF$6:$AF$2381,0)),"-")</f>
        <v>PV 118</v>
      </c>
      <c r="AM149" s="8" t="str">
        <f aca="false">IFERROR(INDEX(PLANEJAMENTO_SEMANAL!$E$6:$E$2381,MATCH(AM$139&amp;"|"&amp;TEXT(AM148,"0.000000"),PLANEJAMENTO_SEMANAL!$AF$6:$AF$2381,0)),"-")</f>
        <v>PV 109</v>
      </c>
      <c r="AN149" s="8" t="str">
        <f aca="false">IFERROR(INDEX(PLANEJAMENTO_SEMANAL!$E$6:$E$2381,MATCH(AN$139&amp;"|"&amp;TEXT(AN148,"0.000000"),PLANEJAMENTO_SEMANAL!$AF$6:$AF$2381,0)),"-")</f>
        <v>PV 109</v>
      </c>
      <c r="AO149" s="8" t="str">
        <f aca="false">IFERROR(INDEX(PLANEJAMENTO_SEMANAL!$E$6:$E$2381,MATCH(AO$139&amp;"|"&amp;TEXT(AO148,"0.000000"),PLANEJAMENTO_SEMANAL!$AF$6:$AF$2381,0)),"-")</f>
        <v>PV 109</v>
      </c>
      <c r="AP149" s="8" t="str">
        <f aca="false">IFERROR(INDEX(PLANEJAMENTO_SEMANAL!$E$6:$E$2381,MATCH(AP$139&amp;"|"&amp;TEXT(AP148,"0.000000"),PLANEJAMENTO_SEMANAL!$AF$6:$AF$2381,0)),"-")</f>
        <v>PV 109</v>
      </c>
      <c r="AQ149" s="8" t="str">
        <f aca="false">IFERROR(INDEX(PLANEJAMENTO_SEMANAL!$E$6:$E$2381,MATCH(AQ$139&amp;"|"&amp;TEXT(AQ148,"0.000000"),PLANEJAMENTO_SEMANAL!$AF$6:$AF$2381,0)),"-")</f>
        <v>PV 109</v>
      </c>
      <c r="AR149" s="8" t="str">
        <f aca="false">IFERROR(INDEX(PLANEJAMENTO_SEMANAL!$E$6:$E$2381,MATCH(AR$139&amp;"|"&amp;TEXT(AR148,"0.000000"),PLANEJAMENTO_SEMANAL!$AF$6:$AF$2381,0)),"-")</f>
        <v>PV 109</v>
      </c>
      <c r="AS149" s="8" t="str">
        <f aca="false">IFERROR(INDEX(PLANEJAMENTO_SEMANAL!$E$6:$E$2381,MATCH(AS$139&amp;"|"&amp;TEXT(AS148,"0.000000"),PLANEJAMENTO_SEMANAL!$AF$6:$AF$2381,0)),"-")</f>
        <v>PV 109</v>
      </c>
      <c r="AT149" s="8" t="str">
        <f aca="false">IFERROR(INDEX(PLANEJAMENTO_SEMANAL!$E$6:$E$2381,MATCH(AT$139&amp;"|"&amp;TEXT(AT148,"0.000000"),PLANEJAMENTO_SEMANAL!$AF$6:$AF$2381,0)),"-")</f>
        <v>PV 121</v>
      </c>
      <c r="AU149" s="8" t="str">
        <f aca="false">IFERROR(INDEX(PLANEJAMENTO_SEMANAL!$E$6:$E$2381,MATCH(AU$139&amp;"|"&amp;TEXT(AU148,"0.000000"),PLANEJAMENTO_SEMANAL!$AF$6:$AF$2381,0)),"-")</f>
        <v>PV 128</v>
      </c>
      <c r="AV149" s="8" t="str">
        <f aca="false">IFERROR(INDEX(PLANEJAMENTO_SEMANAL!$E$6:$E$2381,MATCH(AV$139&amp;"|"&amp;TEXT(AV148,"0.000000"),PLANEJAMENTO_SEMANAL!$AF$6:$AF$2381,0)),"-")</f>
        <v>PV 128</v>
      </c>
      <c r="AW149" s="8" t="str">
        <f aca="false">IFERROR(INDEX(PLANEJAMENTO_SEMANAL!$E$6:$E$2381,MATCH(AW$139&amp;"|"&amp;TEXT(AW148,"0.000000"),PLANEJAMENTO_SEMANAL!$AF$6:$AF$2381,0)),"-")</f>
        <v>PV 128</v>
      </c>
      <c r="AX149" s="8" t="str">
        <f aca="false">IFERROR(INDEX(PLANEJAMENTO_SEMANAL!$E$6:$E$2381,MATCH(AX$139&amp;"|"&amp;TEXT(AX148,"0.000000"),PLANEJAMENTO_SEMANAL!$AF$6:$AF$2381,0)),"-")</f>
        <v>PV 128</v>
      </c>
      <c r="AY149" s="8" t="str">
        <f aca="false">IFERROR(INDEX(PLANEJAMENTO_SEMANAL!$E$6:$E$2381,MATCH(AY$139&amp;"|"&amp;TEXT(AY148,"0.000000"),PLANEJAMENTO_SEMANAL!$AF$6:$AF$2381,0)),"-")</f>
        <v>PV 128</v>
      </c>
      <c r="AZ149" s="8" t="str">
        <f aca="false">IFERROR(INDEX(PLANEJAMENTO_SEMANAL!$E$6:$E$2381,MATCH(AZ$139&amp;"|"&amp;TEXT(AZ148,"0.000000"),PLANEJAMENTO_SEMANAL!$AF$6:$AF$2381,0)),"-")</f>
        <v>PV 113</v>
      </c>
      <c r="BA149" s="8" t="str">
        <f aca="false">IFERROR(INDEX(PLANEJAMENTO_SEMANAL!$E$6:$E$2381,MATCH(BA$139&amp;"|"&amp;TEXT(BA148,"0.000000"),PLANEJAMENTO_SEMANAL!$AF$6:$AF$2381,0)),"-")</f>
        <v>PV 113</v>
      </c>
      <c r="BB149" s="8" t="str">
        <f aca="false">IFERROR(INDEX(PLANEJAMENTO_SEMANAL!$E$6:$E$2381,MATCH(BB$139&amp;"|"&amp;TEXT(BB148,"0.000000"),PLANEJAMENTO_SEMANAL!$AF$6:$AF$2381,0)),"-")</f>
        <v>PV 113</v>
      </c>
      <c r="BC149" s="8" t="str">
        <f aca="false">IFERROR(INDEX(PLANEJAMENTO_SEMANAL!$E$6:$E$2381,MATCH(BC$139&amp;"|"&amp;TEXT(BC148,"0.000000"),PLANEJAMENTO_SEMANAL!$AF$6:$AF$2381,0)),"-")</f>
        <v>PV 118</v>
      </c>
      <c r="BD149" s="8" t="str">
        <f aca="false">IFERROR(INDEX(PLANEJAMENTO_SEMANAL!$E$6:$E$2381,MATCH(BD$139&amp;"|"&amp;TEXT(BD148,"0.000000"),PLANEJAMENTO_SEMANAL!$AF$6:$AF$2381,0)),"-")</f>
        <v>PV 118</v>
      </c>
      <c r="BE149" s="8" t="str">
        <f aca="false">IFERROR(INDEX(PLANEJAMENTO_SEMANAL!$E$6:$E$2381,MATCH(BE$139&amp;"|"&amp;TEXT(BE148,"0.000000"),PLANEJAMENTO_SEMANAL!$AF$6:$AF$2381,0)),"-")</f>
        <v>PV 118</v>
      </c>
      <c r="BF149" s="8" t="str">
        <f aca="false">IFERROR(INDEX(PLANEJAMENTO_SEMANAL!$E$6:$E$2381,MATCH(BF$139&amp;"|"&amp;TEXT(BF148,"0.000000"),PLANEJAMENTO_SEMANAL!$AF$6:$AF$2381,0)),"-")</f>
        <v>PV 118</v>
      </c>
      <c r="BG149" s="8" t="str">
        <f aca="false">IFERROR(INDEX(PLANEJAMENTO_SEMANAL!$E$6:$E$2381,MATCH(BG$139&amp;"|"&amp;TEXT(BG148,"0.000000"),PLANEJAMENTO_SEMANAL!$AF$6:$AF$2381,0)),"-")</f>
        <v>PV 118</v>
      </c>
      <c r="BH149" s="8" t="str">
        <f aca="false">IFERROR(INDEX(PLANEJAMENTO_SEMANAL!$E$6:$E$2381,MATCH(BH$139&amp;"|"&amp;TEXT(BH148,"0.000000"),PLANEJAMENTO_SEMANAL!$AF$6:$AF$2381,0)),"-")</f>
        <v>PV 118</v>
      </c>
      <c r="BI149" s="8" t="str">
        <f aca="false">IFERROR(INDEX(PLANEJAMENTO_SEMANAL!$E$6:$E$2381,MATCH(BI$139&amp;"|"&amp;TEXT(BI148,"0.000000"),PLANEJAMENTO_SEMANAL!$AF$6:$AF$2381,0)),"-")</f>
        <v>PV 118</v>
      </c>
      <c r="BJ149" s="8" t="str">
        <f aca="false">IFERROR(INDEX(PLANEJAMENTO_SEMANAL!$E$6:$E$2381,MATCH(BJ$139&amp;"|"&amp;TEXT(BJ148,"0.000000"),PLANEJAMENTO_SEMANAL!$AF$6:$AF$2381,0)),"-")</f>
        <v>PV 118</v>
      </c>
      <c r="BK149" s="8" t="str">
        <f aca="false">IFERROR(INDEX(PLANEJAMENTO_SEMANAL!$E$6:$E$2381,MATCH(BK$139&amp;"|"&amp;TEXT(BK148,"0.000000"),PLANEJAMENTO_SEMANAL!$AF$6:$AF$2381,0)),"-")</f>
        <v>PV 120</v>
      </c>
      <c r="BL149" s="8" t="str">
        <f aca="false">IFERROR(INDEX(PLANEJAMENTO_SEMANAL!$E$6:$E$2381,MATCH(BL$139&amp;"|"&amp;TEXT(BL148,"0.000000"),PLANEJAMENTO_SEMANAL!$AF$6:$AF$2381,0)),"-")</f>
        <v>PV 120</v>
      </c>
      <c r="BM149" s="8" t="str">
        <f aca="false">IFERROR(INDEX(PLANEJAMENTO_SEMANAL!$E$6:$E$2381,MATCH(BM$139&amp;"|"&amp;TEXT(BM148,"0.000000"),PLANEJAMENTO_SEMANAL!$AF$6:$AF$2381,0)),"-")</f>
        <v>PV 109</v>
      </c>
      <c r="BN149" s="8" t="str">
        <f aca="false">IFERROR(INDEX(PLANEJAMENTO_SEMANAL!$E$6:$E$2381,MATCH(BN$139&amp;"|"&amp;TEXT(BN148,"0.000000"),PLANEJAMENTO_SEMANAL!$AF$6:$AF$2381,0)),"-")</f>
        <v>PV 109</v>
      </c>
      <c r="BO149" s="8" t="str">
        <f aca="false">IFERROR(INDEX(PLANEJAMENTO_SEMANAL!$E$6:$E$2381,MATCH(BO$139&amp;"|"&amp;TEXT(BO148,"0.000000"),PLANEJAMENTO_SEMANAL!$AF$6:$AF$2381,0)),"-")</f>
        <v>PV 109</v>
      </c>
      <c r="BP149" s="8" t="str">
        <f aca="false">IFERROR(INDEX(PLANEJAMENTO_SEMANAL!$E$6:$E$2381,MATCH(BP$139&amp;"|"&amp;TEXT(BP148,"0.000000"),PLANEJAMENTO_SEMANAL!$AF$6:$AF$2381,0)),"-")</f>
        <v>PV 109</v>
      </c>
    </row>
    <row r="150" customFormat="false" ht="15" hidden="false" customHeight="false" outlineLevel="0" collapsed="false">
      <c r="B150" s="15" t="s">
        <v>102</v>
      </c>
      <c r="C150" s="19" t="n">
        <f aca="false">MAX(C56:C63)</f>
        <v>0.147890966081224</v>
      </c>
      <c r="D150" s="19" t="n">
        <f aca="false">MAX(D56:D63)</f>
        <v>0.126117093383124</v>
      </c>
      <c r="E150" s="19" t="n">
        <f aca="false">MAX(E56:E63)</f>
        <v>0.126117093383124</v>
      </c>
      <c r="F150" s="19" t="n">
        <f aca="false">MAX(F56:F63)</f>
        <v>0.126117093383124</v>
      </c>
      <c r="G150" s="19" t="n">
        <f aca="false">MAX(G56:G63)</f>
        <v>0.0951049952681792</v>
      </c>
      <c r="H150" s="19" t="n">
        <f aca="false">MAX(H56:H63)</f>
        <v>0.0718459216819705</v>
      </c>
      <c r="I150" s="19" t="n">
        <f aca="false">MAX(I56:I63)</f>
        <v>0.0718459216819705</v>
      </c>
      <c r="J150" s="19" t="n">
        <f aca="false">MAX(J56:J63)</f>
        <v>0.0619198403969614</v>
      </c>
      <c r="K150" s="19" t="n">
        <f aca="false">MAX(K56:K63)</f>
        <v>0.0863631082062455</v>
      </c>
      <c r="L150" s="19" t="n">
        <f aca="false">MAX(L56:L63)</f>
        <v>0</v>
      </c>
      <c r="M150" s="19" t="n">
        <f aca="false">MAX(M56:M63)</f>
        <v>0.0234509803921568</v>
      </c>
      <c r="N150" s="19" t="n">
        <f aca="false">MAX(N56:N63)</f>
        <v>0.0234509803921568</v>
      </c>
      <c r="O150" s="19" t="n">
        <f aca="false">MAX(O56:O63)</f>
        <v>0.0234509803921568</v>
      </c>
      <c r="P150" s="19" t="n">
        <f aca="false">MAX(P56:P63)</f>
        <v>0</v>
      </c>
      <c r="Q150" s="19" t="n">
        <f aca="false">MAX(Q56:Q63)</f>
        <v>0</v>
      </c>
      <c r="R150" s="19" t="n">
        <f aca="false">MAX(R56:R63)</f>
        <v>0</v>
      </c>
      <c r="S150" s="19" t="n">
        <f aca="false">MAX(S56:S63)</f>
        <v>0</v>
      </c>
      <c r="T150" s="19" t="n">
        <f aca="false">MAX(T56:T63)</f>
        <v>0.00330375959030853</v>
      </c>
      <c r="U150" s="19" t="n">
        <f aca="false">MAX(U56:U63)</f>
        <v>0.0169216954625559</v>
      </c>
      <c r="V150" s="19" t="n">
        <f aca="false">MAX(V56:V63)</f>
        <v>0.0169216954625559</v>
      </c>
      <c r="W150" s="19" t="n">
        <f aca="false">MAX(W56:W63)</f>
        <v>0.00697487050490181</v>
      </c>
      <c r="X150" s="19" t="n">
        <f aca="false">MAX(X56:X63)</f>
        <v>0</v>
      </c>
      <c r="Y150" s="19" t="n">
        <f aca="false">MAX(Y56:Y63)</f>
        <v>0.00690844226230239</v>
      </c>
      <c r="Z150" s="19" t="n">
        <f aca="false">MAX(Z56:Z63)</f>
        <v>0.0179350879819177</v>
      </c>
      <c r="AA150" s="19" t="n">
        <f aca="false">MAX(AA56:AA63)</f>
        <v>0.0409802065952605</v>
      </c>
      <c r="AB150" s="19" t="n">
        <f aca="false">MAX(AB56:AB63)</f>
        <v>0.042262487418171</v>
      </c>
      <c r="AC150" s="19" t="n">
        <f aca="false">MAX(AC56:AC63)</f>
        <v>0.0552572341360392</v>
      </c>
      <c r="AD150" s="19" t="n">
        <f aca="false">MAX(AD56:AD63)</f>
        <v>0.0630421006317303</v>
      </c>
      <c r="AE150" s="19" t="n">
        <f aca="false">MAX(AE56:AE63)</f>
        <v>0.0655362860381831</v>
      </c>
      <c r="AF150" s="19" t="n">
        <f aca="false">MAX(AF56:AF63)</f>
        <v>0.0630618128441483</v>
      </c>
      <c r="AG150" s="19" t="n">
        <f aca="false">MAX(AG56:AG63)</f>
        <v>0.157739773637913</v>
      </c>
      <c r="AH150" s="19" t="n">
        <f aca="false">MAX(AH56:AH63)</f>
        <v>0.23868840717144</v>
      </c>
      <c r="AI150" s="19" t="n">
        <f aca="false">MAX(AI56:AI63)</f>
        <v>0.240497741017379</v>
      </c>
      <c r="AJ150" s="19" t="n">
        <f aca="false">MAX(AJ56:AJ63)</f>
        <v>0.252875175902458</v>
      </c>
      <c r="AK150" s="19" t="n">
        <f aca="false">MAX(AK56:AK63)</f>
        <v>0.285120448179272</v>
      </c>
      <c r="AL150" s="19" t="n">
        <f aca="false">MAX(AL56:AL63)</f>
        <v>0.348705882352941</v>
      </c>
      <c r="AM150" s="19" t="n">
        <f aca="false">MAX(AM56:AM63)</f>
        <v>0.348705882352941</v>
      </c>
      <c r="AN150" s="19" t="n">
        <f aca="false">MAX(AN56:AN63)</f>
        <v>0.348705882352941</v>
      </c>
      <c r="AO150" s="19" t="n">
        <f aca="false">MAX(AO56:AO63)</f>
        <v>0.348705882352941</v>
      </c>
      <c r="AP150" s="19" t="n">
        <f aca="false">MAX(AP56:AP63)</f>
        <v>0.349915966386555</v>
      </c>
      <c r="AQ150" s="19" t="n">
        <f aca="false">MAX(AQ56:AQ63)</f>
        <v>0.350117647058824</v>
      </c>
      <c r="AR150" s="19" t="n">
        <f aca="false">MAX(AR56:AR63)</f>
        <v>0.350117647058824</v>
      </c>
      <c r="AS150" s="19" t="n">
        <f aca="false">MAX(AS56:AS63)</f>
        <v>0.350117647058824</v>
      </c>
      <c r="AT150" s="19" t="n">
        <f aca="false">MAX(AT56:AT63)</f>
        <v>0.352929520526159</v>
      </c>
      <c r="AU150" s="19" t="n">
        <f aca="false">MAX(AU56:AU63)</f>
        <v>0.34216045392516</v>
      </c>
      <c r="AV150" s="19" t="n">
        <f aca="false">MAX(AV56:AV63)</f>
        <v>0.31837965955613</v>
      </c>
      <c r="AW150" s="19" t="n">
        <f aca="false">MAX(AW56:AW63)</f>
        <v>0.294598865187101</v>
      </c>
      <c r="AX150" s="19" t="n">
        <f aca="false">MAX(AX56:AX63)</f>
        <v>0.278565415909954</v>
      </c>
      <c r="AY150" s="19" t="n">
        <f aca="false">MAX(AY56:AY63)</f>
        <v>0.296291316526611</v>
      </c>
      <c r="AZ150" s="19" t="n">
        <f aca="false">MAX(AZ56:AZ63)</f>
        <v>0.26753314659197</v>
      </c>
      <c r="BA150" s="19" t="n">
        <f aca="false">MAX(BA56:BA63)</f>
        <v>0.278224480320725</v>
      </c>
      <c r="BB150" s="19" t="n">
        <f aca="false">MAX(BB56:BB63)</f>
        <v>0.296562319100136</v>
      </c>
      <c r="BC150" s="19" t="n">
        <f aca="false">MAX(BC56:BC63)</f>
        <v>0.312514880351535</v>
      </c>
      <c r="BD150" s="19" t="n">
        <f aca="false">MAX(BD56:BD63)</f>
        <v>0.315343200481973</v>
      </c>
      <c r="BE150" s="19" t="n">
        <f aca="false">MAX(BE56:BE63)</f>
        <v>0.315343200481973</v>
      </c>
      <c r="BF150" s="19" t="n">
        <f aca="false">MAX(BF56:BF63)</f>
        <v>0.304705276232804</v>
      </c>
      <c r="BG150" s="19" t="n">
        <f aca="false">MAX(BG56:BG63)</f>
        <v>0.227141496998936</v>
      </c>
      <c r="BH150" s="19" t="n">
        <f aca="false">MAX(BH56:BH63)</f>
        <v>0.131027017504932</v>
      </c>
      <c r="BI150" s="19" t="n">
        <f aca="false">MAX(BI56:BI63)</f>
        <v>0.111854298858154</v>
      </c>
      <c r="BJ150" s="19" t="n">
        <f aca="false">MAX(BJ56:BJ63)</f>
        <v>0.0849232638047029</v>
      </c>
      <c r="BK150" s="19" t="n">
        <f aca="false">MAX(BK56:BK63)</f>
        <v>0.0610620714744637</v>
      </c>
      <c r="BL150" s="19" t="n">
        <f aca="false">MAX(BL56:BL63)</f>
        <v>0.00101288131835692</v>
      </c>
      <c r="BM150" s="19" t="n">
        <f aca="false">MAX(BM56:BM63)</f>
        <v>0</v>
      </c>
      <c r="BN150" s="19" t="n">
        <f aca="false">MAX(BN56:BN63)</f>
        <v>0</v>
      </c>
      <c r="BO150" s="19" t="n">
        <f aca="false">MAX(BO56:BO63)</f>
        <v>0</v>
      </c>
      <c r="BP150" s="19" t="n">
        <f aca="false">MAX(BP56:BP63)</f>
        <v>0</v>
      </c>
      <c r="BQ150" s="19" t="n">
        <f aca="false">MAX(C150:BP150)</f>
        <v>0.352929520526159</v>
      </c>
    </row>
    <row r="151" customFormat="false" ht="15" hidden="false" customHeight="false" outlineLevel="0" collapsed="false">
      <c r="B151" s="15" t="s">
        <v>84</v>
      </c>
      <c r="C151" s="8" t="str">
        <f aca="false">IFERROR(INDEX($B$56:$B$63,MATCH(C150,C56:C63,0)),"-")</f>
        <v>RM06</v>
      </c>
      <c r="D151" s="8" t="str">
        <f aca="false">IFERROR(INDEX($B$56:$B$63,MATCH(D150,D56:D63,0)),"-")</f>
        <v>RM05</v>
      </c>
      <c r="E151" s="8" t="str">
        <f aca="false">IFERROR(INDEX($B$56:$B$63,MATCH(E150,E56:E63,0)),"-")</f>
        <v>RM05</v>
      </c>
      <c r="F151" s="8" t="str">
        <f aca="false">IFERROR(INDEX($B$56:$B$63,MATCH(F150,F56:F63,0)),"-")</f>
        <v>RM05</v>
      </c>
      <c r="G151" s="8" t="str">
        <f aca="false">IFERROR(INDEX($B$56:$B$63,MATCH(G150,G56:G63,0)),"-")</f>
        <v>RM05</v>
      </c>
      <c r="H151" s="8" t="str">
        <f aca="false">IFERROR(INDEX($B$56:$B$63,MATCH(H150,H56:H63,0)),"-")</f>
        <v>RM05</v>
      </c>
      <c r="I151" s="8" t="str">
        <f aca="false">IFERROR(INDEX($B$56:$B$63,MATCH(I150,I56:I63,0)),"-")</f>
        <v>RM05</v>
      </c>
      <c r="J151" s="8" t="str">
        <f aca="false">IFERROR(INDEX($B$56:$B$63,MATCH(J150,J56:J63,0)),"-")</f>
        <v>RM05</v>
      </c>
      <c r="K151" s="8" t="str">
        <f aca="false">IFERROR(INDEX($B$56:$B$63,MATCH(K150,K56:K63,0)),"-")</f>
        <v>RM01</v>
      </c>
      <c r="L151" s="8" t="str">
        <f aca="false">IFERROR(INDEX($B$56:$B$63,MATCH(L150,L56:L63,0)),"-")</f>
        <v>RM01</v>
      </c>
      <c r="M151" s="8" t="str">
        <f aca="false">IFERROR(INDEX($B$56:$B$63,MATCH(M150,M56:M63,0)),"-")</f>
        <v>RM01</v>
      </c>
      <c r="N151" s="8" t="str">
        <f aca="false">IFERROR(INDEX($B$56:$B$63,MATCH(N150,N56:N63,0)),"-")</f>
        <v>RM01</v>
      </c>
      <c r="O151" s="8" t="str">
        <f aca="false">IFERROR(INDEX($B$56:$B$63,MATCH(O150,O56:O63,0)),"-")</f>
        <v>RM01</v>
      </c>
      <c r="P151" s="8" t="str">
        <f aca="false">IFERROR(INDEX($B$56:$B$63,MATCH(P150,P56:P63,0)),"-")</f>
        <v>RM01</v>
      </c>
      <c r="Q151" s="8" t="str">
        <f aca="false">IFERROR(INDEX($B$56:$B$63,MATCH(Q150,Q56:Q63,0)),"-")</f>
        <v>RM01</v>
      </c>
      <c r="R151" s="8" t="str">
        <f aca="false">IFERROR(INDEX($B$56:$B$63,MATCH(R150,R56:R63,0)),"-")</f>
        <v>RM01</v>
      </c>
      <c r="S151" s="8" t="str">
        <f aca="false">IFERROR(INDEX($B$56:$B$63,MATCH(S150,S56:S63,0)),"-")</f>
        <v>RM01</v>
      </c>
      <c r="T151" s="8" t="str">
        <f aca="false">IFERROR(INDEX($B$56:$B$63,MATCH(T150,T56:T63,0)),"-")</f>
        <v>RM07</v>
      </c>
      <c r="U151" s="8" t="str">
        <f aca="false">IFERROR(INDEX($B$56:$B$63,MATCH(U150,U56:U63,0)),"-")</f>
        <v>RM07</v>
      </c>
      <c r="V151" s="8" t="str">
        <f aca="false">IFERROR(INDEX($B$56:$B$63,MATCH(V150,V56:V63,0)),"-")</f>
        <v>RM07</v>
      </c>
      <c r="W151" s="8" t="str">
        <f aca="false">IFERROR(INDEX($B$56:$B$63,MATCH(W150,W56:W63,0)),"-")</f>
        <v>RM07</v>
      </c>
      <c r="X151" s="8" t="str">
        <f aca="false">IFERROR(INDEX($B$56:$B$63,MATCH(X150,X56:X63,0)),"-")</f>
        <v>RM01</v>
      </c>
      <c r="Y151" s="8" t="str">
        <f aca="false">IFERROR(INDEX($B$56:$B$63,MATCH(Y150,Y56:Y63,0)),"-")</f>
        <v>RM06</v>
      </c>
      <c r="Z151" s="8" t="str">
        <f aca="false">IFERROR(INDEX($B$56:$B$63,MATCH(Z150,Z56:Z63,0)),"-")</f>
        <v>RM06</v>
      </c>
      <c r="AA151" s="8" t="str">
        <f aca="false">IFERROR(INDEX($B$56:$B$63,MATCH(AA150,AA56:AA63,0)),"-")</f>
        <v>RM05</v>
      </c>
      <c r="AB151" s="8" t="str">
        <f aca="false">IFERROR(INDEX($B$56:$B$63,MATCH(AB150,AB56:AB63,0)),"-")</f>
        <v>RM05</v>
      </c>
      <c r="AC151" s="8" t="str">
        <f aca="false">IFERROR(INDEX($B$56:$B$63,MATCH(AC150,AC56:AC63,0)),"-")</f>
        <v>RM06</v>
      </c>
      <c r="AD151" s="8" t="str">
        <f aca="false">IFERROR(INDEX($B$56:$B$63,MATCH(AD150,AD56:AD63,0)),"-")</f>
        <v>RM06</v>
      </c>
      <c r="AE151" s="8" t="str">
        <f aca="false">IFERROR(INDEX($B$56:$B$63,MATCH(AE150,AE56:AE63,0)),"-")</f>
        <v>RM06</v>
      </c>
      <c r="AF151" s="8" t="str">
        <f aca="false">IFERROR(INDEX($B$56:$B$63,MATCH(AF150,AF56:AF63,0)),"-")</f>
        <v>RM06</v>
      </c>
      <c r="AG151" s="8" t="str">
        <f aca="false">IFERROR(INDEX($B$56:$B$63,MATCH(AG150,AG56:AG63,0)),"-")</f>
        <v>RM06</v>
      </c>
      <c r="AH151" s="8" t="str">
        <f aca="false">IFERROR(INDEX($B$56:$B$63,MATCH(AH150,AH56:AH63,0)),"-")</f>
        <v>RM06</v>
      </c>
      <c r="AI151" s="8" t="str">
        <f aca="false">IFERROR(INDEX($B$56:$B$63,MATCH(AI150,AI56:AI63,0)),"-")</f>
        <v>RM06</v>
      </c>
      <c r="AJ151" s="8" t="str">
        <f aca="false">IFERROR(INDEX($B$56:$B$63,MATCH(AJ150,AJ56:AJ63,0)),"-")</f>
        <v>RM04</v>
      </c>
      <c r="AK151" s="8" t="str">
        <f aca="false">IFERROR(INDEX($B$56:$B$63,MATCH(AK150,AK56:AK63,0)),"-")</f>
        <v>RM01</v>
      </c>
      <c r="AL151" s="8" t="str">
        <f aca="false">IFERROR(INDEX($B$56:$B$63,MATCH(AL150,AL56:AL63,0)),"-")</f>
        <v>RM01</v>
      </c>
      <c r="AM151" s="8" t="str">
        <f aca="false">IFERROR(INDEX($B$56:$B$63,MATCH(AM150,AM56:AM63,0)),"-")</f>
        <v>RM01</v>
      </c>
      <c r="AN151" s="8" t="str">
        <f aca="false">IFERROR(INDEX($B$56:$B$63,MATCH(AN150,AN56:AN63,0)),"-")</f>
        <v>RM01</v>
      </c>
      <c r="AO151" s="8" t="str">
        <f aca="false">IFERROR(INDEX($B$56:$B$63,MATCH(AO150,AO56:AO63,0)),"-")</f>
        <v>RM01</v>
      </c>
      <c r="AP151" s="8" t="str">
        <f aca="false">IFERROR(INDEX($B$56:$B$63,MATCH(AP150,AP56:AP63,0)),"-")</f>
        <v>RM01</v>
      </c>
      <c r="AQ151" s="8" t="str">
        <f aca="false">IFERROR(INDEX($B$56:$B$63,MATCH(AQ150,AQ56:AQ63,0)),"-")</f>
        <v>RM01</v>
      </c>
      <c r="AR151" s="8" t="str">
        <f aca="false">IFERROR(INDEX($B$56:$B$63,MATCH(AR150,AR56:AR63,0)),"-")</f>
        <v>RM01</v>
      </c>
      <c r="AS151" s="8" t="str">
        <f aca="false">IFERROR(INDEX($B$56:$B$63,MATCH(AS150,AS56:AS63,0)),"-")</f>
        <v>RM01</v>
      </c>
      <c r="AT151" s="8" t="str">
        <f aca="false">IFERROR(INDEX($B$56:$B$63,MATCH(AT150,AT56:AT63,0)),"-")</f>
        <v>RM03</v>
      </c>
      <c r="AU151" s="8" t="str">
        <f aca="false">IFERROR(INDEX($B$56:$B$63,MATCH(AU150,AU56:AU63,0)),"-")</f>
        <v>RM03</v>
      </c>
      <c r="AV151" s="8" t="str">
        <f aca="false">IFERROR(INDEX($B$56:$B$63,MATCH(AV150,AV56:AV63,0)),"-")</f>
        <v>RM03</v>
      </c>
      <c r="AW151" s="8" t="str">
        <f aca="false">IFERROR(INDEX($B$56:$B$63,MATCH(AW150,AW56:AW63,0)),"-")</f>
        <v>RM03</v>
      </c>
      <c r="AX151" s="8" t="str">
        <f aca="false">IFERROR(INDEX($B$56:$B$63,MATCH(AX150,AX56:AX63,0)),"-")</f>
        <v>RM03</v>
      </c>
      <c r="AY151" s="8" t="str">
        <f aca="false">IFERROR(INDEX($B$56:$B$63,MATCH(AY150,AY56:AY63,0)),"-")</f>
        <v>RM03</v>
      </c>
      <c r="AZ151" s="8" t="str">
        <f aca="false">IFERROR(INDEX($B$56:$B$63,MATCH(AZ150,AZ56:AZ63,0)),"-")</f>
        <v>RM03</v>
      </c>
      <c r="BA151" s="8" t="str">
        <f aca="false">IFERROR(INDEX($B$56:$B$63,MATCH(BA150,BA56:BA63,0)),"-")</f>
        <v>RM05</v>
      </c>
      <c r="BB151" s="8" t="str">
        <f aca="false">IFERROR(INDEX($B$56:$B$63,MATCH(BB150,BB56:BB63,0)),"-")</f>
        <v>RM05</v>
      </c>
      <c r="BC151" s="8" t="str">
        <f aca="false">IFERROR(INDEX($B$56:$B$63,MATCH(BC150,BC56:BC63,0)),"-")</f>
        <v>RM05</v>
      </c>
      <c r="BD151" s="8" t="str">
        <f aca="false">IFERROR(INDEX($B$56:$B$63,MATCH(BD150,BD56:BD63,0)),"-")</f>
        <v>RM05</v>
      </c>
      <c r="BE151" s="8" t="str">
        <f aca="false">IFERROR(INDEX($B$56:$B$63,MATCH(BE150,BE56:BE63,0)),"-")</f>
        <v>RM05</v>
      </c>
      <c r="BF151" s="8" t="str">
        <f aca="false">IFERROR(INDEX($B$56:$B$63,MATCH(BF150,BF56:BF63,0)),"-")</f>
        <v>RM05</v>
      </c>
      <c r="BG151" s="8" t="str">
        <f aca="false">IFERROR(INDEX($B$56:$B$63,MATCH(BG150,BG56:BG63,0)),"-")</f>
        <v>RM05</v>
      </c>
      <c r="BH151" s="8" t="str">
        <f aca="false">IFERROR(INDEX($B$56:$B$63,MATCH(BH150,BH56:BH63,0)),"-")</f>
        <v>RM05</v>
      </c>
      <c r="BI151" s="8" t="str">
        <f aca="false">IFERROR(INDEX($B$56:$B$63,MATCH(BI150,BI56:BI63,0)),"-")</f>
        <v>RM05</v>
      </c>
      <c r="BJ151" s="8" t="str">
        <f aca="false">IFERROR(INDEX($B$56:$B$63,MATCH(BJ150,BJ56:BJ63,0)),"-")</f>
        <v>RM05</v>
      </c>
      <c r="BK151" s="8" t="str">
        <f aca="false">IFERROR(INDEX($B$56:$B$63,MATCH(BK150,BK56:BK63,0)),"-")</f>
        <v>RM07</v>
      </c>
      <c r="BL151" s="8" t="str">
        <f aca="false">IFERROR(INDEX($B$56:$B$63,MATCH(BL150,BL56:BL63,0)),"-")</f>
        <v>RM07</v>
      </c>
      <c r="BM151" s="8" t="str">
        <f aca="false">IFERROR(INDEX($B$56:$B$63,MATCH(BM150,BM56:BM63,0)),"-")</f>
        <v>RM01</v>
      </c>
      <c r="BN151" s="8" t="str">
        <f aca="false">IFERROR(INDEX($B$56:$B$63,MATCH(BN150,BN56:BN63,0)),"-")</f>
        <v>RM01</v>
      </c>
      <c r="BO151" s="8" t="str">
        <f aca="false">IFERROR(INDEX($B$56:$B$63,MATCH(BO150,BO56:BO63,0)),"-")</f>
        <v>RM01</v>
      </c>
      <c r="BP151" s="8" t="str">
        <f aca="false">IFERROR(INDEX($B$56:$B$63,MATCH(BP150,BP56:BP63,0)),"-")</f>
        <v>RM01</v>
      </c>
    </row>
    <row r="152" customFormat="false" ht="15" hidden="false" customHeight="false" outlineLevel="0" collapsed="false">
      <c r="B152" s="15" t="s">
        <v>104</v>
      </c>
      <c r="C152" s="19" t="n">
        <f aca="false">MAX(C116:C123)</f>
        <v>0.147890966081224</v>
      </c>
      <c r="D152" s="19" t="n">
        <f aca="false">MAX(D116:D123)</f>
        <v>0.126117093383124</v>
      </c>
      <c r="E152" s="19" t="n">
        <f aca="false">MAX(E116:E123)</f>
        <v>0.126117093383124</v>
      </c>
      <c r="F152" s="19" t="n">
        <f aca="false">MAX(F116:F123)</f>
        <v>0.126117093383124</v>
      </c>
      <c r="G152" s="19" t="n">
        <f aca="false">MAX(G116:G123)</f>
        <v>0.0951049952681792</v>
      </c>
      <c r="H152" s="19" t="n">
        <f aca="false">MAX(H116:H123)</f>
        <v>0.0718459216819705</v>
      </c>
      <c r="I152" s="19" t="n">
        <f aca="false">MAX(I116:I123)</f>
        <v>0.0718459216819705</v>
      </c>
      <c r="J152" s="19" t="n">
        <f aca="false">MAX(J116:J123)</f>
        <v>0.0619198403969614</v>
      </c>
      <c r="K152" s="19" t="n">
        <f aca="false">MAX(K116:K123)</f>
        <v>0.0863631082062455</v>
      </c>
      <c r="L152" s="19" t="n">
        <f aca="false">MAX(L116:L123)</f>
        <v>0</v>
      </c>
      <c r="M152" s="19" t="n">
        <f aca="false">MAX(M116:M123)</f>
        <v>0.0234509803921568</v>
      </c>
      <c r="N152" s="19" t="n">
        <f aca="false">MAX(N116:N123)</f>
        <v>0.0234509803921568</v>
      </c>
      <c r="O152" s="19" t="n">
        <f aca="false">MAX(O116:O123)</f>
        <v>0.0234509803921568</v>
      </c>
      <c r="P152" s="19" t="n">
        <f aca="false">MAX(P116:P123)</f>
        <v>0</v>
      </c>
      <c r="Q152" s="19" t="n">
        <f aca="false">MAX(Q116:Q123)</f>
        <v>0</v>
      </c>
      <c r="R152" s="19" t="n">
        <f aca="false">MAX(R116:R123)</f>
        <v>0</v>
      </c>
      <c r="S152" s="19" t="n">
        <f aca="false">MAX(S116:S123)</f>
        <v>0</v>
      </c>
      <c r="T152" s="19" t="n">
        <f aca="false">MAX(T116:T123)</f>
        <v>0.00330375959030853</v>
      </c>
      <c r="U152" s="19" t="n">
        <f aca="false">MAX(U116:U123)</f>
        <v>0.0169216954625559</v>
      </c>
      <c r="V152" s="19" t="n">
        <f aca="false">MAX(V116:V123)</f>
        <v>0.0169216954625559</v>
      </c>
      <c r="W152" s="19" t="n">
        <f aca="false">MAX(W116:W123)</f>
        <v>0.00697487050490181</v>
      </c>
      <c r="X152" s="19" t="n">
        <f aca="false">MAX(X116:X123)</f>
        <v>0</v>
      </c>
      <c r="Y152" s="19" t="n">
        <f aca="false">MAX(Y116:Y123)</f>
        <v>0.00690844226230239</v>
      </c>
      <c r="Z152" s="19" t="n">
        <f aca="false">MAX(Z116:Z123)</f>
        <v>0.0179350879819177</v>
      </c>
      <c r="AA152" s="19" t="n">
        <f aca="false">MAX(AA116:AA123)</f>
        <v>0.0409802065952605</v>
      </c>
      <c r="AB152" s="19" t="n">
        <f aca="false">MAX(AB116:AB123)</f>
        <v>0.042262487418171</v>
      </c>
      <c r="AC152" s="19" t="n">
        <f aca="false">MAX(AC116:AC123)</f>
        <v>0.0552572341360392</v>
      </c>
      <c r="AD152" s="19" t="n">
        <f aca="false">MAX(AD116:AD123)</f>
        <v>0.0630421006317303</v>
      </c>
      <c r="AE152" s="19" t="n">
        <f aca="false">MAX(AE116:AE123)</f>
        <v>0.0655362860381831</v>
      </c>
      <c r="AF152" s="19" t="n">
        <f aca="false">MAX(AF116:AF123)</f>
        <v>0.0630618128441483</v>
      </c>
      <c r="AG152" s="19" t="n">
        <f aca="false">MAX(AG116:AG123)</f>
        <v>0.157739773637913</v>
      </c>
      <c r="AH152" s="19" t="n">
        <f aca="false">MAX(AH116:AH123)</f>
        <v>0.23868840717144</v>
      </c>
      <c r="AI152" s="19" t="n">
        <f aca="false">MAX(AI116:AI123)</f>
        <v>0.240497741017379</v>
      </c>
      <c r="AJ152" s="19" t="n">
        <f aca="false">MAX(AJ116:AJ123)</f>
        <v>0.252875175902458</v>
      </c>
      <c r="AK152" s="19" t="n">
        <f aca="false">MAX(AK116:AK123)</f>
        <v>0.285120448179272</v>
      </c>
      <c r="AL152" s="19" t="n">
        <f aca="false">MAX(AL116:AL123)</f>
        <v>0.348705882352941</v>
      </c>
      <c r="AM152" s="19" t="n">
        <f aca="false">MAX(AM116:AM123)</f>
        <v>0.348705882352941</v>
      </c>
      <c r="AN152" s="19" t="n">
        <f aca="false">MAX(AN116:AN123)</f>
        <v>0.348705882352941</v>
      </c>
      <c r="AO152" s="19" t="n">
        <f aca="false">MAX(AO116:AO123)</f>
        <v>0.348705882352941</v>
      </c>
      <c r="AP152" s="19" t="n">
        <f aca="false">MAX(AP116:AP123)</f>
        <v>0.349915966386555</v>
      </c>
      <c r="AQ152" s="19" t="n">
        <f aca="false">MAX(AQ116:AQ123)</f>
        <v>0.350117647058824</v>
      </c>
      <c r="AR152" s="19" t="n">
        <f aca="false">MAX(AR116:AR123)</f>
        <v>0.350117647058824</v>
      </c>
      <c r="AS152" s="19" t="n">
        <f aca="false">MAX(AS116:AS123)</f>
        <v>0.350117647058824</v>
      </c>
      <c r="AT152" s="19" t="n">
        <f aca="false">MAX(AT116:AT123)</f>
        <v>0.352929520526159</v>
      </c>
      <c r="AU152" s="19" t="n">
        <f aca="false">MAX(AU116:AU123)</f>
        <v>0.34216045392516</v>
      </c>
      <c r="AV152" s="19" t="n">
        <f aca="false">MAX(AV116:AV123)</f>
        <v>0.31837965955613</v>
      </c>
      <c r="AW152" s="19" t="n">
        <f aca="false">MAX(AW116:AW123)</f>
        <v>0.294598865187101</v>
      </c>
      <c r="AX152" s="19" t="n">
        <f aca="false">MAX(AX116:AX123)</f>
        <v>0.278565415909954</v>
      </c>
      <c r="AY152" s="19" t="n">
        <f aca="false">MAX(AY116:AY123)</f>
        <v>0.296291316526611</v>
      </c>
      <c r="AZ152" s="19" t="n">
        <f aca="false">MAX(AZ116:AZ123)</f>
        <v>0.26753314659197</v>
      </c>
      <c r="BA152" s="19" t="n">
        <f aca="false">MAX(BA116:BA123)</f>
        <v>0.278224480320725</v>
      </c>
      <c r="BB152" s="19" t="n">
        <f aca="false">MAX(BB116:BB123)</f>
        <v>0.296562319100136</v>
      </c>
      <c r="BC152" s="19" t="n">
        <f aca="false">MAX(BC116:BC123)</f>
        <v>0.312514880351535</v>
      </c>
      <c r="BD152" s="19" t="n">
        <f aca="false">MAX(BD116:BD123)</f>
        <v>0.315343200481973</v>
      </c>
      <c r="BE152" s="19" t="n">
        <f aca="false">MAX(BE116:BE123)</f>
        <v>0.315343200481973</v>
      </c>
      <c r="BF152" s="19" t="n">
        <f aca="false">MAX(BF116:BF123)</f>
        <v>0.304705276232804</v>
      </c>
      <c r="BG152" s="19" t="n">
        <f aca="false">MAX(BG116:BG123)</f>
        <v>0.227141496998936</v>
      </c>
      <c r="BH152" s="19" t="n">
        <f aca="false">MAX(BH116:BH123)</f>
        <v>0.131027017504932</v>
      </c>
      <c r="BI152" s="19" t="n">
        <f aca="false">MAX(BI116:BI123)</f>
        <v>0.111854298858154</v>
      </c>
      <c r="BJ152" s="19" t="n">
        <f aca="false">MAX(BJ116:BJ123)</f>
        <v>0.0849232638047029</v>
      </c>
      <c r="BK152" s="19" t="n">
        <f aca="false">MAX(BK116:BK123)</f>
        <v>0.0610620714744637</v>
      </c>
      <c r="BL152" s="19" t="n">
        <f aca="false">MAX(BL116:BL123)</f>
        <v>0.00101288131835692</v>
      </c>
      <c r="BM152" s="19" t="n">
        <f aca="false">MAX(BM116:BM123)</f>
        <v>0</v>
      </c>
      <c r="BN152" s="19" t="n">
        <f aca="false">MAX(BN116:BN123)</f>
        <v>0</v>
      </c>
      <c r="BO152" s="19" t="n">
        <f aca="false">MAX(BO116:BO123)</f>
        <v>0</v>
      </c>
      <c r="BP152" s="19" t="n">
        <f aca="false">MAX(BP116:BP123)</f>
        <v>0</v>
      </c>
      <c r="BQ152" s="19" t="n">
        <f aca="false">MAX(C152:BP152)</f>
        <v>0.352929520526159</v>
      </c>
    </row>
    <row r="153" customFormat="false" ht="15" hidden="false" customHeight="false" outlineLevel="0" collapsed="false">
      <c r="B153" s="15" t="s">
        <v>105</v>
      </c>
      <c r="C153" s="8" t="str">
        <f aca="false">IFERROR(INDEX($B$116:$B$123,MATCH(C152,C116:C123,0)),"-")</f>
        <v>TR06</v>
      </c>
      <c r="D153" s="8" t="str">
        <f aca="false">IFERROR(INDEX($B$116:$B$123,MATCH(D152,D116:D123,0)),"-")</f>
        <v>TR05</v>
      </c>
      <c r="E153" s="8" t="str">
        <f aca="false">IFERROR(INDEX($B$116:$B$123,MATCH(E152,E116:E123,0)),"-")</f>
        <v>TR05</v>
      </c>
      <c r="F153" s="8" t="str">
        <f aca="false">IFERROR(INDEX($B$116:$B$123,MATCH(F152,F116:F123,0)),"-")</f>
        <v>TR05</v>
      </c>
      <c r="G153" s="8" t="str">
        <f aca="false">IFERROR(INDEX($B$116:$B$123,MATCH(G152,G116:G123,0)),"-")</f>
        <v>TR05</v>
      </c>
      <c r="H153" s="8" t="str">
        <f aca="false">IFERROR(INDEX($B$116:$B$123,MATCH(H152,H116:H123,0)),"-")</f>
        <v>TR05</v>
      </c>
      <c r="I153" s="8" t="str">
        <f aca="false">IFERROR(INDEX($B$116:$B$123,MATCH(I152,I116:I123,0)),"-")</f>
        <v>TR05</v>
      </c>
      <c r="J153" s="8" t="str">
        <f aca="false">IFERROR(INDEX($B$116:$B$123,MATCH(J152,J116:J123,0)),"-")</f>
        <v>TR05</v>
      </c>
      <c r="K153" s="8" t="str">
        <f aca="false">IFERROR(INDEX($B$116:$B$123,MATCH(K152,K116:K123,0)),"-")</f>
        <v>TR01</v>
      </c>
      <c r="L153" s="8" t="str">
        <f aca="false">IFERROR(INDEX($B$116:$B$123,MATCH(L152,L116:L123,0)),"-")</f>
        <v>TR01</v>
      </c>
      <c r="M153" s="8" t="str">
        <f aca="false">IFERROR(INDEX($B$116:$B$123,MATCH(M152,M116:M123,0)),"-")</f>
        <v>TR01</v>
      </c>
      <c r="N153" s="8" t="str">
        <f aca="false">IFERROR(INDEX($B$116:$B$123,MATCH(N152,N116:N123,0)),"-")</f>
        <v>TR01</v>
      </c>
      <c r="O153" s="8" t="str">
        <f aca="false">IFERROR(INDEX($B$116:$B$123,MATCH(O152,O116:O123,0)),"-")</f>
        <v>TR01</v>
      </c>
      <c r="P153" s="8" t="str">
        <f aca="false">IFERROR(INDEX($B$116:$B$123,MATCH(P152,P116:P123,0)),"-")</f>
        <v>TR01</v>
      </c>
      <c r="Q153" s="8" t="str">
        <f aca="false">IFERROR(INDEX($B$116:$B$123,MATCH(Q152,Q116:Q123,0)),"-")</f>
        <v>TR01</v>
      </c>
      <c r="R153" s="8" t="str">
        <f aca="false">IFERROR(INDEX($B$116:$B$123,MATCH(R152,R116:R123,0)),"-")</f>
        <v>TR01</v>
      </c>
      <c r="S153" s="8" t="str">
        <f aca="false">IFERROR(INDEX($B$116:$B$123,MATCH(S152,S116:S123,0)),"-")</f>
        <v>TR01</v>
      </c>
      <c r="T153" s="8" t="str">
        <f aca="false">IFERROR(INDEX($B$116:$B$123,MATCH(T152,T116:T123,0)),"-")</f>
        <v>TR07</v>
      </c>
      <c r="U153" s="8" t="str">
        <f aca="false">IFERROR(INDEX($B$116:$B$123,MATCH(U152,U116:U123,0)),"-")</f>
        <v>TR07</v>
      </c>
      <c r="V153" s="8" t="str">
        <f aca="false">IFERROR(INDEX($B$116:$B$123,MATCH(V152,V116:V123,0)),"-")</f>
        <v>TR07</v>
      </c>
      <c r="W153" s="8" t="str">
        <f aca="false">IFERROR(INDEX($B$116:$B$123,MATCH(W152,W116:W123,0)),"-")</f>
        <v>TR07</v>
      </c>
      <c r="X153" s="8" t="str">
        <f aca="false">IFERROR(INDEX($B$116:$B$123,MATCH(X152,X116:X123,0)),"-")</f>
        <v>TR01</v>
      </c>
      <c r="Y153" s="8" t="str">
        <f aca="false">IFERROR(INDEX($B$116:$B$123,MATCH(Y152,Y116:Y123,0)),"-")</f>
        <v>TR06</v>
      </c>
      <c r="Z153" s="8" t="str">
        <f aca="false">IFERROR(INDEX($B$116:$B$123,MATCH(Z152,Z116:Z123,0)),"-")</f>
        <v>TR06</v>
      </c>
      <c r="AA153" s="8" t="str">
        <f aca="false">IFERROR(INDEX($B$116:$B$123,MATCH(AA152,AA116:AA123,0)),"-")</f>
        <v>TR05</v>
      </c>
      <c r="AB153" s="8" t="str">
        <f aca="false">IFERROR(INDEX($B$116:$B$123,MATCH(AB152,AB116:AB123,0)),"-")</f>
        <v>TR05</v>
      </c>
      <c r="AC153" s="8" t="str">
        <f aca="false">IFERROR(INDEX($B$116:$B$123,MATCH(AC152,AC116:AC123,0)),"-")</f>
        <v>TR06</v>
      </c>
      <c r="AD153" s="8" t="str">
        <f aca="false">IFERROR(INDEX($B$116:$B$123,MATCH(AD152,AD116:AD123,0)),"-")</f>
        <v>TR06</v>
      </c>
      <c r="AE153" s="8" t="str">
        <f aca="false">IFERROR(INDEX($B$116:$B$123,MATCH(AE152,AE116:AE123,0)),"-")</f>
        <v>TR06</v>
      </c>
      <c r="AF153" s="8" t="str">
        <f aca="false">IFERROR(INDEX($B$116:$B$123,MATCH(AF152,AF116:AF123,0)),"-")</f>
        <v>TR06</v>
      </c>
      <c r="AG153" s="8" t="str">
        <f aca="false">IFERROR(INDEX($B$116:$B$123,MATCH(AG152,AG116:AG123,0)),"-")</f>
        <v>TR06</v>
      </c>
      <c r="AH153" s="8" t="str">
        <f aca="false">IFERROR(INDEX($B$116:$B$123,MATCH(AH152,AH116:AH123,0)),"-")</f>
        <v>TR06</v>
      </c>
      <c r="AI153" s="8" t="str">
        <f aca="false">IFERROR(INDEX($B$116:$B$123,MATCH(AI152,AI116:AI123,0)),"-")</f>
        <v>TR06</v>
      </c>
      <c r="AJ153" s="8" t="str">
        <f aca="false">IFERROR(INDEX($B$116:$B$123,MATCH(AJ152,AJ116:AJ123,0)),"-")</f>
        <v>TR04</v>
      </c>
      <c r="AK153" s="8" t="str">
        <f aca="false">IFERROR(INDEX($B$116:$B$123,MATCH(AK152,AK116:AK123,0)),"-")</f>
        <v>TR01</v>
      </c>
      <c r="AL153" s="8" t="str">
        <f aca="false">IFERROR(INDEX($B$116:$B$123,MATCH(AL152,AL116:AL123,0)),"-")</f>
        <v>TR01</v>
      </c>
      <c r="AM153" s="8" t="str">
        <f aca="false">IFERROR(INDEX($B$116:$B$123,MATCH(AM152,AM116:AM123,0)),"-")</f>
        <v>TR01</v>
      </c>
      <c r="AN153" s="8" t="str">
        <f aca="false">IFERROR(INDEX($B$116:$B$123,MATCH(AN152,AN116:AN123,0)),"-")</f>
        <v>TR01</v>
      </c>
      <c r="AO153" s="8" t="str">
        <f aca="false">IFERROR(INDEX($B$116:$B$123,MATCH(AO152,AO116:AO123,0)),"-")</f>
        <v>TR01</v>
      </c>
      <c r="AP153" s="8" t="str">
        <f aca="false">IFERROR(INDEX($B$116:$B$123,MATCH(AP152,AP116:AP123,0)),"-")</f>
        <v>TR01</v>
      </c>
      <c r="AQ153" s="8" t="str">
        <f aca="false">IFERROR(INDEX($B$116:$B$123,MATCH(AQ152,AQ116:AQ123,0)),"-")</f>
        <v>TR01</v>
      </c>
      <c r="AR153" s="8" t="str">
        <f aca="false">IFERROR(INDEX($B$116:$B$123,MATCH(AR152,AR116:AR123,0)),"-")</f>
        <v>TR01</v>
      </c>
      <c r="AS153" s="8" t="str">
        <f aca="false">IFERROR(INDEX($B$116:$B$123,MATCH(AS152,AS116:AS123,0)),"-")</f>
        <v>TR01</v>
      </c>
      <c r="AT153" s="8" t="str">
        <f aca="false">IFERROR(INDEX($B$116:$B$123,MATCH(AT152,AT116:AT123,0)),"-")</f>
        <v>TR03</v>
      </c>
      <c r="AU153" s="8" t="str">
        <f aca="false">IFERROR(INDEX($B$116:$B$123,MATCH(AU152,AU116:AU123,0)),"-")</f>
        <v>TR03</v>
      </c>
      <c r="AV153" s="8" t="str">
        <f aca="false">IFERROR(INDEX($B$116:$B$123,MATCH(AV152,AV116:AV123,0)),"-")</f>
        <v>TR03</v>
      </c>
      <c r="AW153" s="8" t="str">
        <f aca="false">IFERROR(INDEX($B$116:$B$123,MATCH(AW152,AW116:AW123,0)),"-")</f>
        <v>TR03</v>
      </c>
      <c r="AX153" s="8" t="str">
        <f aca="false">IFERROR(INDEX($B$116:$B$123,MATCH(AX152,AX116:AX123,0)),"-")</f>
        <v>TR03</v>
      </c>
      <c r="AY153" s="8" t="str">
        <f aca="false">IFERROR(INDEX($B$116:$B$123,MATCH(AY152,AY116:AY123,0)),"-")</f>
        <v>TR03</v>
      </c>
      <c r="AZ153" s="8" t="str">
        <f aca="false">IFERROR(INDEX($B$116:$B$123,MATCH(AZ152,AZ116:AZ123,0)),"-")</f>
        <v>TR03</v>
      </c>
      <c r="BA153" s="8" t="str">
        <f aca="false">IFERROR(INDEX($B$116:$B$123,MATCH(BA152,BA116:BA123,0)),"-")</f>
        <v>TR05</v>
      </c>
      <c r="BB153" s="8" t="str">
        <f aca="false">IFERROR(INDEX($B$116:$B$123,MATCH(BB152,BB116:BB123,0)),"-")</f>
        <v>TR05</v>
      </c>
      <c r="BC153" s="8" t="str">
        <f aca="false">IFERROR(INDEX($B$116:$B$123,MATCH(BC152,BC116:BC123,0)),"-")</f>
        <v>TR05</v>
      </c>
      <c r="BD153" s="8" t="str">
        <f aca="false">IFERROR(INDEX($B$116:$B$123,MATCH(BD152,BD116:BD123,0)),"-")</f>
        <v>TR05</v>
      </c>
      <c r="BE153" s="8" t="str">
        <f aca="false">IFERROR(INDEX($B$116:$B$123,MATCH(BE152,BE116:BE123,0)),"-")</f>
        <v>TR05</v>
      </c>
      <c r="BF153" s="8" t="str">
        <f aca="false">IFERROR(INDEX($B$116:$B$123,MATCH(BF152,BF116:BF123,0)),"-")</f>
        <v>TR05</v>
      </c>
      <c r="BG153" s="8" t="str">
        <f aca="false">IFERROR(INDEX($B$116:$B$123,MATCH(BG152,BG116:BG123,0)),"-")</f>
        <v>TR05</v>
      </c>
      <c r="BH153" s="8" t="str">
        <f aca="false">IFERROR(INDEX($B$116:$B$123,MATCH(BH152,BH116:BH123,0)),"-")</f>
        <v>TR05</v>
      </c>
      <c r="BI153" s="8" t="str">
        <f aca="false">IFERROR(INDEX($B$116:$B$123,MATCH(BI152,BI116:BI123,0)),"-")</f>
        <v>TR05</v>
      </c>
      <c r="BJ153" s="8" t="str">
        <f aca="false">IFERROR(INDEX($B$116:$B$123,MATCH(BJ152,BJ116:BJ123,0)),"-")</f>
        <v>TR05</v>
      </c>
      <c r="BK153" s="8" t="str">
        <f aca="false">IFERROR(INDEX($B$116:$B$123,MATCH(BK152,BK116:BK123,0)),"-")</f>
        <v>TR07</v>
      </c>
      <c r="BL153" s="8" t="str">
        <f aca="false">IFERROR(INDEX($B$116:$B$123,MATCH(BL152,BL116:BL123,0)),"-")</f>
        <v>TR07</v>
      </c>
      <c r="BM153" s="8" t="str">
        <f aca="false">IFERROR(INDEX($B$116:$B$123,MATCH(BM152,BM116:BM123,0)),"-")</f>
        <v>TR01</v>
      </c>
      <c r="BN153" s="8" t="str">
        <f aca="false">IFERROR(INDEX($B$116:$B$123,MATCH(BN152,BN116:BN123,0)),"-")</f>
        <v>TR01</v>
      </c>
      <c r="BO153" s="8" t="str">
        <f aca="false">IFERROR(INDEX($B$116:$B$123,MATCH(BO152,BO116:BO123,0)),"-")</f>
        <v>TR01</v>
      </c>
      <c r="BP153" s="8" t="str">
        <f aca="false">IFERROR(INDEX($B$116:$B$123,MATCH(BP152,BP116:BP123,0)),"-")</f>
        <v>TR01</v>
      </c>
    </row>
    <row r="154" customFormat="false" ht="15" hidden="false" customHeight="false" outlineLevel="0" collapsed="false">
      <c r="B154" s="15" t="s">
        <v>620</v>
      </c>
      <c r="C154" s="16" t="n">
        <f aca="false">C140/DIAS_POR_SEMANA</f>
        <v>69482.5200134874</v>
      </c>
      <c r="D154" s="16" t="n">
        <f aca="false">D140/DIAS_POR_SEMANA</f>
        <v>57726.9300240315</v>
      </c>
      <c r="E154" s="16" t="n">
        <f aca="false">E140/DIAS_POR_SEMANA</f>
        <v>45535.11978338</v>
      </c>
      <c r="F154" s="16" t="n">
        <f aca="false">F140/DIAS_POR_SEMANA</f>
        <v>38694.7174705882</v>
      </c>
      <c r="G154" s="16" t="n">
        <f aca="false">G140/DIAS_POR_SEMANA</f>
        <v>26708.8955294118</v>
      </c>
      <c r="H154" s="16" t="n">
        <f aca="false">H140/DIAS_POR_SEMANA</f>
        <v>15120.0435294118</v>
      </c>
      <c r="I154" s="16" t="n">
        <f aca="false">I140/DIAS_POR_SEMANA</f>
        <v>14169.2475294118</v>
      </c>
      <c r="J154" s="16" t="n">
        <f aca="false">J140/DIAS_POR_SEMANA</f>
        <v>13943.792672379</v>
      </c>
      <c r="K154" s="16" t="n">
        <f aca="false">K140/DIAS_POR_SEMANA</f>
        <v>14549.4758099354</v>
      </c>
      <c r="L154" s="16" t="n">
        <f aca="false">L140/DIAS_POR_SEMANA</f>
        <v>0</v>
      </c>
      <c r="M154" s="16" t="n">
        <f aca="false">M140/DIAS_POR_SEMANA</f>
        <v>2096.79938213246</v>
      </c>
      <c r="N154" s="16" t="n">
        <f aca="false">N140/DIAS_POR_SEMANA</f>
        <v>2135.52835294117</v>
      </c>
      <c r="O154" s="16" t="n">
        <f aca="false">O140/DIAS_POR_SEMANA</f>
        <v>3374.09394708528</v>
      </c>
      <c r="P154" s="16" t="n">
        <f aca="false">P140/DIAS_POR_SEMANA</f>
        <v>0</v>
      </c>
      <c r="Q154" s="16" t="n">
        <f aca="false">Q140/DIAS_POR_SEMANA</f>
        <v>0</v>
      </c>
      <c r="R154" s="16" t="n">
        <f aca="false">R140/DIAS_POR_SEMANA</f>
        <v>0</v>
      </c>
      <c r="S154" s="16" t="n">
        <f aca="false">S140/DIAS_POR_SEMANA</f>
        <v>0</v>
      </c>
      <c r="T154" s="16" t="n">
        <f aca="false">T140/DIAS_POR_SEMANA</f>
        <v>981.836057039146</v>
      </c>
      <c r="U154" s="16" t="n">
        <f aca="false">U140/DIAS_POR_SEMANA</f>
        <v>4640.7388235294</v>
      </c>
      <c r="V154" s="16" t="n">
        <f aca="false">V140/DIAS_POR_SEMANA</f>
        <v>4620.75643429059</v>
      </c>
      <c r="W154" s="16" t="n">
        <f aca="false">W140/DIAS_POR_SEMANA</f>
        <v>1215.5309100137</v>
      </c>
      <c r="X154" s="16" t="n">
        <f aca="false">X140/DIAS_POR_SEMANA</f>
        <v>0</v>
      </c>
      <c r="Y154" s="16" t="n">
        <f aca="false">Y140/DIAS_POR_SEMANA</f>
        <v>991.104470588236</v>
      </c>
      <c r="Z154" s="16" t="n">
        <f aca="false">Z140/DIAS_POR_SEMANA</f>
        <v>5069.51430908457</v>
      </c>
      <c r="AA154" s="16" t="n">
        <f aca="false">AA140/DIAS_POR_SEMANA</f>
        <v>13845.7441865452</v>
      </c>
      <c r="AB154" s="16" t="n">
        <f aca="false">AB140/DIAS_POR_SEMANA</f>
        <v>16873.4909256294</v>
      </c>
      <c r="AC154" s="16" t="n">
        <f aca="false">AC140/DIAS_POR_SEMANA</f>
        <v>22606.0476470588</v>
      </c>
      <c r="AD154" s="16" t="n">
        <f aca="false">AD140/DIAS_POR_SEMANA</f>
        <v>23722.8863921568</v>
      </c>
      <c r="AE154" s="16" t="n">
        <f aca="false">AE140/DIAS_POR_SEMANA</f>
        <v>24500.5339626517</v>
      </c>
      <c r="AF154" s="16" t="n">
        <f aca="false">AF140/DIAS_POR_SEMANA</f>
        <v>25103.5811848739</v>
      </c>
      <c r="AG154" s="16" t="n">
        <f aca="false">AG140/DIAS_POR_SEMANA</f>
        <v>67790.114180077</v>
      </c>
      <c r="AH154" s="16" t="n">
        <f aca="false">AH140/DIAS_POR_SEMANA</f>
        <v>117599.379570511</v>
      </c>
      <c r="AI154" s="16" t="n">
        <f aca="false">AI140/DIAS_POR_SEMANA</f>
        <v>125419.501886473</v>
      </c>
      <c r="AJ154" s="16" t="n">
        <f aca="false">AJ140/DIAS_POR_SEMANA</f>
        <v>130945.89577989</v>
      </c>
      <c r="AK154" s="16" t="n">
        <f aca="false">AK140/DIAS_POR_SEMANA</f>
        <v>141444.690395453</v>
      </c>
      <c r="AL154" s="16" t="n">
        <f aca="false">AL140/DIAS_POR_SEMANA</f>
        <v>170974.792189031</v>
      </c>
      <c r="AM154" s="16" t="n">
        <f aca="false">AM140/DIAS_POR_SEMANA</f>
        <v>165861.854271025</v>
      </c>
      <c r="AN154" s="16" t="n">
        <f aca="false">AN140/DIAS_POR_SEMANA</f>
        <v>159248.871617725</v>
      </c>
      <c r="AO154" s="16" t="n">
        <f aca="false">AO140/DIAS_POR_SEMANA</f>
        <v>147875.253640896</v>
      </c>
      <c r="AP154" s="16" t="n">
        <f aca="false">AP140/DIAS_POR_SEMANA</f>
        <v>142191.84515857</v>
      </c>
      <c r="AQ154" s="16" t="n">
        <f aca="false">AQ140/DIAS_POR_SEMANA</f>
        <v>139265.453999049</v>
      </c>
      <c r="AR154" s="16" t="n">
        <f aca="false">AR140/DIAS_POR_SEMANA</f>
        <v>105806.290177979</v>
      </c>
      <c r="AS154" s="16" t="n">
        <f aca="false">AS140/DIAS_POR_SEMANA</f>
        <v>98665.4661131395</v>
      </c>
      <c r="AT154" s="16" t="n">
        <f aca="false">AT140/DIAS_POR_SEMANA</f>
        <v>91187.4038254674</v>
      </c>
      <c r="AU154" s="16" t="n">
        <f aca="false">AU140/DIAS_POR_SEMANA</f>
        <v>94738.7194755371</v>
      </c>
      <c r="AV154" s="16" t="n">
        <f aca="false">AV140/DIAS_POR_SEMANA</f>
        <v>94140.4448640047</v>
      </c>
      <c r="AW154" s="16" t="n">
        <f aca="false">AW140/DIAS_POR_SEMANA</f>
        <v>93713.541466874</v>
      </c>
      <c r="AX154" s="16" t="n">
        <f aca="false">AX140/DIAS_POR_SEMANA</f>
        <v>93512.4872074481</v>
      </c>
      <c r="AY154" s="16" t="n">
        <f aca="false">AY140/DIAS_POR_SEMANA</f>
        <v>102218.942408345</v>
      </c>
      <c r="AZ154" s="16" t="n">
        <f aca="false">AZ140/DIAS_POR_SEMANA</f>
        <v>100614.115776657</v>
      </c>
      <c r="BA154" s="16" t="n">
        <f aca="false">BA140/DIAS_POR_SEMANA</f>
        <v>88106.9104333044</v>
      </c>
      <c r="BB154" s="16" t="n">
        <f aca="false">BB140/DIAS_POR_SEMANA</f>
        <v>87339.9408957403</v>
      </c>
      <c r="BC154" s="16" t="n">
        <f aca="false">BC140/DIAS_POR_SEMANA</f>
        <v>91675.2177120255</v>
      </c>
      <c r="BD154" s="16" t="n">
        <f aca="false">BD140/DIAS_POR_SEMANA</f>
        <v>93051.0224235294</v>
      </c>
      <c r="BE154" s="16" t="n">
        <f aca="false">BE140/DIAS_POR_SEMANA</f>
        <v>92137.852</v>
      </c>
      <c r="BF154" s="16" t="n">
        <f aca="false">BF140/DIAS_POR_SEMANA</f>
        <v>89970.6724705882</v>
      </c>
      <c r="BG154" s="16" t="n">
        <f aca="false">BG140/DIAS_POR_SEMANA</f>
        <v>70031.3036406839</v>
      </c>
      <c r="BH154" s="16" t="n">
        <f aca="false">BH140/DIAS_POR_SEMANA</f>
        <v>43784.0685436105</v>
      </c>
      <c r="BI154" s="16" t="n">
        <f aca="false">BI140/DIAS_POR_SEMANA</f>
        <v>38833.2064584178</v>
      </c>
      <c r="BJ154" s="16" t="n">
        <f aca="false">BJ140/DIAS_POR_SEMANA</f>
        <v>32321.1939310345</v>
      </c>
      <c r="BK154" s="16" t="n">
        <f aca="false">BK140/DIAS_POR_SEMANA</f>
        <v>24926.6776308316</v>
      </c>
      <c r="BL154" s="16" t="n">
        <f aca="false">BL140/DIAS_POR_SEMANA</f>
        <v>176.517764705883</v>
      </c>
      <c r="BM154" s="16" t="n">
        <f aca="false">BM140/DIAS_POR_SEMANA</f>
        <v>0</v>
      </c>
      <c r="BN154" s="16" t="n">
        <f aca="false">BN140/DIAS_POR_SEMANA</f>
        <v>0</v>
      </c>
      <c r="BO154" s="16" t="n">
        <f aca="false">BO140/DIAS_POR_SEMANA</f>
        <v>0</v>
      </c>
      <c r="BP154" s="16" t="n">
        <f aca="false">BP140/DIAS_POR_SEMANA</f>
        <v>0</v>
      </c>
      <c r="BQ154" s="16" t="n">
        <f aca="false">MAX(C154:BP154)</f>
        <v>170974.792189031</v>
      </c>
    </row>
    <row r="155" customFormat="false" ht="15" hidden="false" customHeight="false" outlineLevel="0" collapsed="false">
      <c r="B155" s="15" t="s">
        <v>621</v>
      </c>
      <c r="C155" s="18" t="n">
        <f aca="false">IFERROR(C140/INDEX(SEMANAS!$K$6:$K$71,MATCH(C$139,SEMANAS!$B$6:$B$71,0)),0)</f>
        <v>3308.69142921368</v>
      </c>
      <c r="D155" s="18" t="n">
        <f aca="false">IFERROR(D140/INDEX(SEMANAS!$K$6:$K$71,MATCH(D$139,SEMANAS!$B$6:$B$71,0)),0)</f>
        <v>2748.90142971578</v>
      </c>
      <c r="E155" s="18" t="n">
        <f aca="false">IFERROR(E140/INDEX(SEMANAS!$K$6:$K$71,MATCH(E$139,SEMANAS!$B$6:$B$71,0)),0)</f>
        <v>2168.33903730381</v>
      </c>
      <c r="F155" s="18" t="n">
        <f aca="false">IFERROR(F140/INDEX(SEMANAS!$K$6:$K$71,MATCH(F$139,SEMANAS!$B$6:$B$71,0)),0)</f>
        <v>1842.60559383753</v>
      </c>
      <c r="G155" s="18" t="n">
        <f aca="false">IFERROR(G140/INDEX(SEMANAS!$K$6:$K$71,MATCH(G$139,SEMANAS!$B$6:$B$71,0)),0)</f>
        <v>1271.85216806723</v>
      </c>
      <c r="H155" s="18" t="n">
        <f aca="false">IFERROR(H140/INDEX(SEMANAS!$K$6:$K$71,MATCH(H$139,SEMANAS!$B$6:$B$71,0)),0)</f>
        <v>720.002072829131</v>
      </c>
      <c r="I155" s="18" t="n">
        <f aca="false">IFERROR(I140/INDEX(SEMANAS!$K$6:$K$71,MATCH(I$139,SEMANAS!$B$6:$B$71,0)),0)</f>
        <v>674.726072829131</v>
      </c>
      <c r="J155" s="18" t="n">
        <f aca="false">IFERROR(J140/INDEX(SEMANAS!$K$6:$K$71,MATCH(J$139,SEMANAS!$B$6:$B$71,0)),0)</f>
        <v>663.990127256141</v>
      </c>
      <c r="K155" s="18" t="n">
        <f aca="false">IFERROR(K140/INDEX(SEMANAS!$K$6:$K$71,MATCH(K$139,SEMANAS!$B$6:$B$71,0)),0)</f>
        <v>692.832181425496</v>
      </c>
      <c r="L155" s="18" t="n">
        <f aca="false">IFERROR(L140/INDEX(SEMANAS!$K$6:$K$71,MATCH(L$139,SEMANAS!$B$6:$B$71,0)),0)</f>
        <v>0</v>
      </c>
      <c r="M155" s="18" t="n">
        <f aca="false">IFERROR(M140/INDEX(SEMANAS!$K$6:$K$71,MATCH(M$139,SEMANAS!$B$6:$B$71,0)),0)</f>
        <v>99.8475896253553</v>
      </c>
      <c r="N155" s="18" t="n">
        <f aca="false">IFERROR(N140/INDEX(SEMANAS!$K$6:$K$71,MATCH(N$139,SEMANAS!$B$6:$B$71,0)),0)</f>
        <v>101.691826330532</v>
      </c>
      <c r="O155" s="18" t="n">
        <f aca="false">IFERROR(O140/INDEX(SEMANAS!$K$6:$K$71,MATCH(O$139,SEMANAS!$B$6:$B$71,0)),0)</f>
        <v>160.671140337394</v>
      </c>
      <c r="P155" s="18" t="n">
        <f aca="false">IFERROR(P140/INDEX(SEMANAS!$K$6:$K$71,MATCH(P$139,SEMANAS!$B$6:$B$71,0)),0)</f>
        <v>0</v>
      </c>
      <c r="Q155" s="18" t="n">
        <f aca="false">IFERROR(Q140/INDEX(SEMANAS!$K$6:$K$71,MATCH(Q$139,SEMANAS!$B$6:$B$71,0)),0)</f>
        <v>0</v>
      </c>
      <c r="R155" s="18" t="n">
        <f aca="false">IFERROR(R140/INDEX(SEMANAS!$K$6:$K$71,MATCH(R$139,SEMANAS!$B$6:$B$71,0)),0)</f>
        <v>0</v>
      </c>
      <c r="S155" s="18" t="n">
        <f aca="false">IFERROR(S140/INDEX(SEMANAS!$K$6:$K$71,MATCH(S$139,SEMANAS!$B$6:$B$71,0)),0)</f>
        <v>0</v>
      </c>
      <c r="T155" s="18" t="n">
        <f aca="false">IFERROR(T140/INDEX(SEMANAS!$K$6:$K$71,MATCH(T$139,SEMANAS!$B$6:$B$71,0)),0)</f>
        <v>46.754097954245</v>
      </c>
      <c r="U155" s="18" t="n">
        <f aca="false">IFERROR(U140/INDEX(SEMANAS!$K$6:$K$71,MATCH(U$139,SEMANAS!$B$6:$B$71,0)),0)</f>
        <v>220.98756302521</v>
      </c>
      <c r="V155" s="18" t="n">
        <f aca="false">IFERROR(V140/INDEX(SEMANAS!$K$6:$K$71,MATCH(V$139,SEMANAS!$B$6:$B$71,0)),0)</f>
        <v>220.036020680504</v>
      </c>
      <c r="W155" s="18" t="n">
        <f aca="false">IFERROR(W140/INDEX(SEMANAS!$K$6:$K$71,MATCH(W$139,SEMANAS!$B$6:$B$71,0)),0)</f>
        <v>57.8824242863668</v>
      </c>
      <c r="X155" s="18" t="n">
        <f aca="false">IFERROR(X140/INDEX(SEMANAS!$K$6:$K$71,MATCH(X$139,SEMANAS!$B$6:$B$71,0)),0)</f>
        <v>0</v>
      </c>
      <c r="Y155" s="18" t="n">
        <f aca="false">IFERROR(Y140/INDEX(SEMANAS!$K$6:$K$71,MATCH(Y$139,SEMANAS!$B$6:$B$71,0)),0)</f>
        <v>47.1954509803922</v>
      </c>
      <c r="Z155" s="18" t="n">
        <f aca="false">IFERROR(Z140/INDEX(SEMANAS!$K$6:$K$71,MATCH(Z$139,SEMANAS!$B$6:$B$71,0)),0)</f>
        <v>241.405443289741</v>
      </c>
      <c r="AA155" s="18" t="n">
        <f aca="false">IFERROR(AA140/INDEX(SEMANAS!$K$6:$K$71,MATCH(AA$139,SEMANAS!$B$6:$B$71,0)),0)</f>
        <v>659.321151740248</v>
      </c>
      <c r="AB155" s="18" t="n">
        <f aca="false">IFERROR(AB140/INDEX(SEMANAS!$K$6:$K$71,MATCH(AB$139,SEMANAS!$B$6:$B$71,0)),0)</f>
        <v>803.499567887114</v>
      </c>
      <c r="AC155" s="18" t="n">
        <f aca="false">IFERROR(AC140/INDEX(SEMANAS!$K$6:$K$71,MATCH(AC$139,SEMANAS!$B$6:$B$71,0)),0)</f>
        <v>1076.47845938375</v>
      </c>
      <c r="AD155" s="18" t="n">
        <f aca="false">IFERROR(AD140/INDEX(SEMANAS!$K$6:$K$71,MATCH(AD$139,SEMANAS!$B$6:$B$71,0)),0)</f>
        <v>1129.66125676937</v>
      </c>
      <c r="AE155" s="18" t="n">
        <f aca="false">IFERROR(AE140/INDEX(SEMANAS!$K$6:$K$71,MATCH(AE$139,SEMANAS!$B$6:$B$71,0)),0)</f>
        <v>1166.69209345961</v>
      </c>
      <c r="AF155" s="18" t="n">
        <f aca="false">IFERROR(AF140/INDEX(SEMANAS!$K$6:$K$71,MATCH(AF$139,SEMANAS!$B$6:$B$71,0)),0)</f>
        <v>1195.40862785114</v>
      </c>
      <c r="AG155" s="18" t="n">
        <f aca="false">IFERROR(AG140/INDEX(SEMANAS!$K$6:$K$71,MATCH(AG$139,SEMANAS!$B$6:$B$71,0)),0)</f>
        <v>3228.10067524176</v>
      </c>
      <c r="AH155" s="18" t="n">
        <f aca="false">IFERROR(AH140/INDEX(SEMANAS!$K$6:$K$71,MATCH(AH$139,SEMANAS!$B$6:$B$71,0)),0)</f>
        <v>5599.97045573864</v>
      </c>
      <c r="AI155" s="18" t="n">
        <f aca="false">IFERROR(AI140/INDEX(SEMANAS!$K$6:$K$71,MATCH(AI$139,SEMANAS!$B$6:$B$71,0)),0)</f>
        <v>5972.35723268917</v>
      </c>
      <c r="AJ155" s="18" t="n">
        <f aca="false">IFERROR(AJ140/INDEX(SEMANAS!$K$6:$K$71,MATCH(AJ$139,SEMANAS!$B$6:$B$71,0)),0)</f>
        <v>6235.51884666141</v>
      </c>
      <c r="AK155" s="18" t="n">
        <f aca="false">IFERROR(AK140/INDEX(SEMANAS!$K$6:$K$71,MATCH(AK$139,SEMANAS!$B$6:$B$71,0)),0)</f>
        <v>6735.46144740253</v>
      </c>
      <c r="AL155" s="18" t="n">
        <f aca="false">IFERROR(AL140/INDEX(SEMANAS!$K$6:$K$71,MATCH(AL$139,SEMANAS!$B$6:$B$71,0)),0)</f>
        <v>8141.65677090624</v>
      </c>
      <c r="AM155" s="18" t="n">
        <f aca="false">IFERROR(AM140/INDEX(SEMANAS!$K$6:$K$71,MATCH(AM$139,SEMANAS!$B$6:$B$71,0)),0)</f>
        <v>7898.18353671548</v>
      </c>
      <c r="AN155" s="18" t="n">
        <f aca="false">IFERROR(AN140/INDEX(SEMANAS!$K$6:$K$71,MATCH(AN$139,SEMANAS!$B$6:$B$71,0)),0)</f>
        <v>7583.27960084405</v>
      </c>
      <c r="AO155" s="18" t="n">
        <f aca="false">IFERROR(AO140/INDEX(SEMANAS!$K$6:$K$71,MATCH(AO$139,SEMANAS!$B$6:$B$71,0)),0)</f>
        <v>7041.67874480455</v>
      </c>
      <c r="AP155" s="18" t="n">
        <f aca="false">IFERROR(AP140/INDEX(SEMANAS!$K$6:$K$71,MATCH(AP$139,SEMANAS!$B$6:$B$71,0)),0)</f>
        <v>6771.04024564619</v>
      </c>
      <c r="AQ155" s="18" t="n">
        <f aca="false">IFERROR(AQ140/INDEX(SEMANAS!$K$6:$K$71,MATCH(AQ$139,SEMANAS!$B$6:$B$71,0)),0)</f>
        <v>6631.688285669</v>
      </c>
      <c r="AR155" s="18" t="n">
        <f aca="false">IFERROR(AR140/INDEX(SEMANAS!$K$6:$K$71,MATCH(AR$139,SEMANAS!$B$6:$B$71,0)),0)</f>
        <v>5038.39477037995</v>
      </c>
      <c r="AS155" s="18" t="n">
        <f aca="false">IFERROR(AS140/INDEX(SEMANAS!$K$6:$K$71,MATCH(AS$139,SEMANAS!$B$6:$B$71,0)),0)</f>
        <v>4698.35552919712</v>
      </c>
      <c r="AT155" s="18" t="n">
        <f aca="false">IFERROR(AT140/INDEX(SEMANAS!$K$6:$K$71,MATCH(AT$139,SEMANAS!$B$6:$B$71,0)),0)</f>
        <v>4342.25732502226</v>
      </c>
      <c r="AU155" s="18" t="n">
        <f aca="false">IFERROR(AU140/INDEX(SEMANAS!$K$6:$K$71,MATCH(AU$139,SEMANAS!$B$6:$B$71,0)),0)</f>
        <v>4511.3675940732</v>
      </c>
      <c r="AV155" s="18" t="n">
        <f aca="false">IFERROR(AV140/INDEX(SEMANAS!$K$6:$K$71,MATCH(AV$139,SEMANAS!$B$6:$B$71,0)),0)</f>
        <v>4482.87832685737</v>
      </c>
      <c r="AW155" s="18" t="n">
        <f aca="false">IFERROR(AW140/INDEX(SEMANAS!$K$6:$K$71,MATCH(AW$139,SEMANAS!$B$6:$B$71,0)),0)</f>
        <v>4462.54959366067</v>
      </c>
      <c r="AX155" s="18" t="n">
        <f aca="false">IFERROR(AX140/INDEX(SEMANAS!$K$6:$K$71,MATCH(AX$139,SEMANAS!$B$6:$B$71,0)),0)</f>
        <v>4452.97558130705</v>
      </c>
      <c r="AY155" s="18" t="n">
        <f aca="false">IFERROR(AY140/INDEX(SEMANAS!$K$6:$K$71,MATCH(AY$139,SEMANAS!$B$6:$B$71,0)),0)</f>
        <v>4867.56868611169</v>
      </c>
      <c r="AZ155" s="18" t="n">
        <f aca="false">IFERROR(AZ140/INDEX(SEMANAS!$K$6:$K$71,MATCH(AZ$139,SEMANAS!$B$6:$B$71,0)),0)</f>
        <v>4791.14837031702</v>
      </c>
      <c r="BA155" s="18" t="n">
        <f aca="false">IFERROR(BA140/INDEX(SEMANAS!$K$6:$K$71,MATCH(BA$139,SEMANAS!$B$6:$B$71,0)),0)</f>
        <v>4195.56716349068</v>
      </c>
      <c r="BB155" s="18" t="n">
        <f aca="false">IFERROR(BB140/INDEX(SEMANAS!$K$6:$K$71,MATCH(BB$139,SEMANAS!$B$6:$B$71,0)),0)</f>
        <v>4159.04480455906</v>
      </c>
      <c r="BC155" s="18" t="n">
        <f aca="false">IFERROR(BC140/INDEX(SEMANAS!$K$6:$K$71,MATCH(BC$139,SEMANAS!$B$6:$B$71,0)),0)</f>
        <v>4365.4865577155</v>
      </c>
      <c r="BD155" s="18" t="n">
        <f aca="false">IFERROR(BD140/INDEX(SEMANAS!$K$6:$K$71,MATCH(BD$139,SEMANAS!$B$6:$B$71,0)),0)</f>
        <v>4431.00106778711</v>
      </c>
      <c r="BE155" s="18" t="n">
        <f aca="false">IFERROR(BE140/INDEX(SEMANAS!$K$6:$K$71,MATCH(BE$139,SEMANAS!$B$6:$B$71,0)),0)</f>
        <v>4387.51676190476</v>
      </c>
      <c r="BF155" s="18" t="n">
        <f aca="false">IFERROR(BF140/INDEX(SEMANAS!$K$6:$K$71,MATCH(BF$139,SEMANAS!$B$6:$B$71,0)),0)</f>
        <v>4284.31773669468</v>
      </c>
      <c r="BG155" s="18" t="n">
        <f aca="false">IFERROR(BG140/INDEX(SEMANAS!$K$6:$K$71,MATCH(BG$139,SEMANAS!$B$6:$B$71,0)),0)</f>
        <v>3334.82398288971</v>
      </c>
      <c r="BH155" s="18" t="n">
        <f aca="false">IFERROR(BH140/INDEX(SEMANAS!$K$6:$K$71,MATCH(BH$139,SEMANAS!$B$6:$B$71,0)),0)</f>
        <v>2084.95564493383</v>
      </c>
      <c r="BI155" s="18" t="n">
        <f aca="false">IFERROR(BI140/INDEX(SEMANAS!$K$6:$K$71,MATCH(BI$139,SEMANAS!$B$6:$B$71,0)),0)</f>
        <v>1849.20030754371</v>
      </c>
      <c r="BJ155" s="18" t="n">
        <f aca="false">IFERROR(BJ140/INDEX(SEMANAS!$K$6:$K$71,MATCH(BJ$139,SEMANAS!$B$6:$B$71,0)),0)</f>
        <v>1539.1044729064</v>
      </c>
      <c r="BK155" s="18" t="n">
        <f aca="false">IFERROR(BK140/INDEX(SEMANAS!$K$6:$K$71,MATCH(BK$139,SEMANAS!$B$6:$B$71,0)),0)</f>
        <v>1186.98464908722</v>
      </c>
      <c r="BL155" s="18" t="n">
        <f aca="false">IFERROR(BL140/INDEX(SEMANAS!$K$6:$K$71,MATCH(BL$139,SEMANAS!$B$6:$B$71,0)),0)</f>
        <v>8.4056078431373</v>
      </c>
      <c r="BM155" s="18" t="n">
        <f aca="false">IFERROR(BM140/INDEX(SEMANAS!$K$6:$K$71,MATCH(BM$139,SEMANAS!$B$6:$B$71,0)),0)</f>
        <v>0</v>
      </c>
      <c r="BN155" s="18" t="n">
        <f aca="false">IFERROR(BN140/INDEX(SEMANAS!$K$6:$K$71,MATCH(BN$139,SEMANAS!$B$6:$B$71,0)),0)</f>
        <v>0</v>
      </c>
      <c r="BO155" s="18" t="n">
        <f aca="false">IFERROR(BO140/INDEX(SEMANAS!$K$6:$K$71,MATCH(BO$139,SEMANAS!$B$6:$B$71,0)),0)</f>
        <v>0</v>
      </c>
      <c r="BP155" s="18" t="n">
        <f aca="false">IFERROR(BP140/INDEX(SEMANAS!$K$6:$K$71,MATCH(BP$139,SEMANAS!$B$6:$B$71,0)),0)</f>
        <v>0</v>
      </c>
      <c r="BQ155" s="18" t="n">
        <f aca="false">MAX(C155:BP155)</f>
        <v>8141.65677090624</v>
      </c>
    </row>
    <row r="156" customFormat="false" ht="15" hidden="false" customHeight="false" outlineLevel="0" collapsed="false">
      <c r="B156" s="15" t="s">
        <v>622</v>
      </c>
      <c r="C156" s="18" t="n">
        <f aca="false">SUM(CADASTRO_CASAS_BOMBA!$H$6:$H$13)</f>
        <v>30413.7285714286</v>
      </c>
      <c r="D156" s="18" t="n">
        <f aca="false">SUM(CADASTRO_CASAS_BOMBA!$H$6:$H$13)</f>
        <v>30413.7285714286</v>
      </c>
      <c r="E156" s="18" t="n">
        <f aca="false">SUM(CADASTRO_CASAS_BOMBA!$H$6:$H$13)</f>
        <v>30413.7285714286</v>
      </c>
      <c r="F156" s="18" t="n">
        <f aca="false">SUM(CADASTRO_CASAS_BOMBA!$H$6:$H$13)</f>
        <v>30413.7285714286</v>
      </c>
      <c r="G156" s="18" t="n">
        <f aca="false">SUM(CADASTRO_CASAS_BOMBA!$H$6:$H$13)</f>
        <v>30413.7285714286</v>
      </c>
      <c r="H156" s="18" t="n">
        <f aca="false">SUM(CADASTRO_CASAS_BOMBA!$H$6:$H$13)</f>
        <v>30413.7285714286</v>
      </c>
      <c r="I156" s="18" t="n">
        <f aca="false">SUM(CADASTRO_CASAS_BOMBA!$H$6:$H$13)</f>
        <v>30413.7285714286</v>
      </c>
      <c r="J156" s="18" t="n">
        <f aca="false">SUM(CADASTRO_CASAS_BOMBA!$H$6:$H$13)</f>
        <v>30413.7285714286</v>
      </c>
      <c r="K156" s="18" t="n">
        <f aca="false">SUM(CADASTRO_CASAS_BOMBA!$H$6:$H$13)</f>
        <v>30413.7285714286</v>
      </c>
      <c r="L156" s="18" t="n">
        <f aca="false">SUM(CADASTRO_CASAS_BOMBA!$H$6:$H$13)</f>
        <v>30413.7285714286</v>
      </c>
      <c r="M156" s="18" t="n">
        <f aca="false">SUM(CADASTRO_CASAS_BOMBA!$H$6:$H$13)</f>
        <v>30413.7285714286</v>
      </c>
      <c r="N156" s="18" t="n">
        <f aca="false">SUM(CADASTRO_CASAS_BOMBA!$H$6:$H$13)</f>
        <v>30413.7285714286</v>
      </c>
      <c r="O156" s="18" t="n">
        <f aca="false">SUM(CADASTRO_CASAS_BOMBA!$H$6:$H$13)</f>
        <v>30413.7285714286</v>
      </c>
      <c r="P156" s="18" t="n">
        <f aca="false">SUM(CADASTRO_CASAS_BOMBA!$H$6:$H$13)</f>
        <v>30413.7285714286</v>
      </c>
      <c r="Q156" s="18" t="n">
        <f aca="false">SUM(CADASTRO_CASAS_BOMBA!$H$6:$H$13)</f>
        <v>30413.7285714286</v>
      </c>
      <c r="R156" s="18" t="n">
        <f aca="false">SUM(CADASTRO_CASAS_BOMBA!$H$6:$H$13)</f>
        <v>30413.7285714286</v>
      </c>
      <c r="S156" s="18" t="n">
        <f aca="false">SUM(CADASTRO_CASAS_BOMBA!$H$6:$H$13)</f>
        <v>30413.7285714286</v>
      </c>
      <c r="T156" s="18" t="n">
        <f aca="false">SUM(CADASTRO_CASAS_BOMBA!$H$6:$H$13)</f>
        <v>30413.7285714286</v>
      </c>
      <c r="U156" s="18" t="n">
        <f aca="false">SUM(CADASTRO_CASAS_BOMBA!$H$6:$H$13)</f>
        <v>30413.7285714286</v>
      </c>
      <c r="V156" s="18" t="n">
        <f aca="false">SUM(CADASTRO_CASAS_BOMBA!$H$6:$H$13)</f>
        <v>30413.7285714286</v>
      </c>
      <c r="W156" s="18" t="n">
        <f aca="false">SUM(CADASTRO_CASAS_BOMBA!$H$6:$H$13)</f>
        <v>30413.7285714286</v>
      </c>
      <c r="X156" s="18" t="n">
        <f aca="false">SUM(CADASTRO_CASAS_BOMBA!$H$6:$H$13)</f>
        <v>30413.7285714286</v>
      </c>
      <c r="Y156" s="18" t="n">
        <f aca="false">SUM(CADASTRO_CASAS_BOMBA!$H$6:$H$13)</f>
        <v>30413.7285714286</v>
      </c>
      <c r="Z156" s="18" t="n">
        <f aca="false">SUM(CADASTRO_CASAS_BOMBA!$H$6:$H$13)</f>
        <v>30413.7285714286</v>
      </c>
      <c r="AA156" s="18" t="n">
        <f aca="false">SUM(CADASTRO_CASAS_BOMBA!$H$6:$H$13)</f>
        <v>30413.7285714286</v>
      </c>
      <c r="AB156" s="18" t="n">
        <f aca="false">SUM(CADASTRO_CASAS_BOMBA!$H$6:$H$13)</f>
        <v>30413.7285714286</v>
      </c>
      <c r="AC156" s="18" t="n">
        <f aca="false">SUM(CADASTRO_CASAS_BOMBA!$H$6:$H$13)</f>
        <v>30413.7285714286</v>
      </c>
      <c r="AD156" s="18" t="n">
        <f aca="false">SUM(CADASTRO_CASAS_BOMBA!$H$6:$H$13)</f>
        <v>30413.7285714286</v>
      </c>
      <c r="AE156" s="18" t="n">
        <f aca="false">SUM(CADASTRO_CASAS_BOMBA!$H$6:$H$13)</f>
        <v>30413.7285714286</v>
      </c>
      <c r="AF156" s="18" t="n">
        <f aca="false">SUM(CADASTRO_CASAS_BOMBA!$H$6:$H$13)</f>
        <v>30413.7285714286</v>
      </c>
      <c r="AG156" s="18" t="n">
        <f aca="false">SUM(CADASTRO_CASAS_BOMBA!$H$6:$H$13)</f>
        <v>30413.7285714286</v>
      </c>
      <c r="AH156" s="18" t="n">
        <f aca="false">SUM(CADASTRO_CASAS_BOMBA!$H$6:$H$13)</f>
        <v>30413.7285714286</v>
      </c>
      <c r="AI156" s="18" t="n">
        <f aca="false">SUM(CADASTRO_CASAS_BOMBA!$H$6:$H$13)</f>
        <v>30413.7285714286</v>
      </c>
      <c r="AJ156" s="18" t="n">
        <f aca="false">SUM(CADASTRO_CASAS_BOMBA!$H$6:$H$13)</f>
        <v>30413.7285714286</v>
      </c>
      <c r="AK156" s="18" t="n">
        <f aca="false">SUM(CADASTRO_CASAS_BOMBA!$H$6:$H$13)</f>
        <v>30413.7285714286</v>
      </c>
      <c r="AL156" s="18" t="n">
        <f aca="false">SUM(CADASTRO_CASAS_BOMBA!$H$6:$H$13)</f>
        <v>30413.7285714286</v>
      </c>
      <c r="AM156" s="18" t="n">
        <f aca="false">SUM(CADASTRO_CASAS_BOMBA!$H$6:$H$13)</f>
        <v>30413.7285714286</v>
      </c>
      <c r="AN156" s="18" t="n">
        <f aca="false">SUM(CADASTRO_CASAS_BOMBA!$H$6:$H$13)</f>
        <v>30413.7285714286</v>
      </c>
      <c r="AO156" s="18" t="n">
        <f aca="false">SUM(CADASTRO_CASAS_BOMBA!$H$6:$H$13)</f>
        <v>30413.7285714286</v>
      </c>
      <c r="AP156" s="18" t="n">
        <f aca="false">SUM(CADASTRO_CASAS_BOMBA!$H$6:$H$13)</f>
        <v>30413.7285714286</v>
      </c>
      <c r="AQ156" s="18" t="n">
        <f aca="false">SUM(CADASTRO_CASAS_BOMBA!$H$6:$H$13)</f>
        <v>30413.7285714286</v>
      </c>
      <c r="AR156" s="18" t="n">
        <f aca="false">SUM(CADASTRO_CASAS_BOMBA!$H$6:$H$13)</f>
        <v>30413.7285714286</v>
      </c>
      <c r="AS156" s="18" t="n">
        <f aca="false">SUM(CADASTRO_CASAS_BOMBA!$H$6:$H$13)</f>
        <v>30413.7285714286</v>
      </c>
      <c r="AT156" s="18" t="n">
        <f aca="false">SUM(CADASTRO_CASAS_BOMBA!$H$6:$H$13)</f>
        <v>30413.7285714286</v>
      </c>
      <c r="AU156" s="18" t="n">
        <f aca="false">SUM(CADASTRO_CASAS_BOMBA!$H$6:$H$13)</f>
        <v>30413.7285714286</v>
      </c>
      <c r="AV156" s="18" t="n">
        <f aca="false">SUM(CADASTRO_CASAS_BOMBA!$H$6:$H$13)</f>
        <v>30413.7285714286</v>
      </c>
      <c r="AW156" s="18" t="n">
        <f aca="false">SUM(CADASTRO_CASAS_BOMBA!$H$6:$H$13)</f>
        <v>30413.7285714286</v>
      </c>
      <c r="AX156" s="18" t="n">
        <f aca="false">SUM(CADASTRO_CASAS_BOMBA!$H$6:$H$13)</f>
        <v>30413.7285714286</v>
      </c>
      <c r="AY156" s="18" t="n">
        <f aca="false">SUM(CADASTRO_CASAS_BOMBA!$H$6:$H$13)</f>
        <v>30413.7285714286</v>
      </c>
      <c r="AZ156" s="18" t="n">
        <f aca="false">SUM(CADASTRO_CASAS_BOMBA!$H$6:$H$13)</f>
        <v>30413.7285714286</v>
      </c>
      <c r="BA156" s="18" t="n">
        <f aca="false">SUM(CADASTRO_CASAS_BOMBA!$H$6:$H$13)</f>
        <v>30413.7285714286</v>
      </c>
      <c r="BB156" s="18" t="n">
        <f aca="false">SUM(CADASTRO_CASAS_BOMBA!$H$6:$H$13)</f>
        <v>30413.7285714286</v>
      </c>
      <c r="BC156" s="18" t="n">
        <f aca="false">SUM(CADASTRO_CASAS_BOMBA!$H$6:$H$13)</f>
        <v>30413.7285714286</v>
      </c>
      <c r="BD156" s="18" t="n">
        <f aca="false">SUM(CADASTRO_CASAS_BOMBA!$H$6:$H$13)</f>
        <v>30413.7285714286</v>
      </c>
      <c r="BE156" s="18" t="n">
        <f aca="false">SUM(CADASTRO_CASAS_BOMBA!$H$6:$H$13)</f>
        <v>30413.7285714286</v>
      </c>
      <c r="BF156" s="18" t="n">
        <f aca="false">SUM(CADASTRO_CASAS_BOMBA!$H$6:$H$13)</f>
        <v>30413.7285714286</v>
      </c>
      <c r="BG156" s="18" t="n">
        <f aca="false">SUM(CADASTRO_CASAS_BOMBA!$H$6:$H$13)</f>
        <v>30413.7285714286</v>
      </c>
      <c r="BH156" s="18" t="n">
        <f aca="false">SUM(CADASTRO_CASAS_BOMBA!$H$6:$H$13)</f>
        <v>30413.7285714286</v>
      </c>
      <c r="BI156" s="18" t="n">
        <f aca="false">SUM(CADASTRO_CASAS_BOMBA!$H$6:$H$13)</f>
        <v>30413.7285714286</v>
      </c>
      <c r="BJ156" s="18" t="n">
        <f aca="false">SUM(CADASTRO_CASAS_BOMBA!$H$6:$H$13)</f>
        <v>30413.7285714286</v>
      </c>
      <c r="BK156" s="18" t="n">
        <f aca="false">SUM(CADASTRO_CASAS_BOMBA!$H$6:$H$13)</f>
        <v>30413.7285714286</v>
      </c>
      <c r="BL156" s="18" t="n">
        <f aca="false">SUM(CADASTRO_CASAS_BOMBA!$H$6:$H$13)</f>
        <v>30413.7285714286</v>
      </c>
      <c r="BM156" s="18" t="n">
        <f aca="false">SUM(CADASTRO_CASAS_BOMBA!$H$6:$H$13)</f>
        <v>30413.7285714286</v>
      </c>
      <c r="BN156" s="18" t="n">
        <f aca="false">SUM(CADASTRO_CASAS_BOMBA!$H$6:$H$13)</f>
        <v>30413.7285714286</v>
      </c>
      <c r="BO156" s="18" t="n">
        <f aca="false">SUM(CADASTRO_CASAS_BOMBA!$H$6:$H$13)</f>
        <v>30413.7285714286</v>
      </c>
      <c r="BP156" s="18" t="n">
        <f aca="false">SUM(CADASTRO_CASAS_BOMBA!$H$6:$H$13)</f>
        <v>30413.7285714286</v>
      </c>
      <c r="BQ156" s="18" t="n">
        <f aca="false">MAX(C156:BP156)</f>
        <v>30413.7285714286</v>
      </c>
    </row>
    <row r="157" customFormat="false" ht="15" hidden="false" customHeight="false" outlineLevel="0" collapsed="false">
      <c r="B157" s="15" t="s">
        <v>93</v>
      </c>
      <c r="C157" s="19" t="n">
        <f aca="false">IFERROR(C155/C156,0)</f>
        <v>0.108789404805893</v>
      </c>
      <c r="D157" s="19" t="n">
        <f aca="false">IFERROR(D155/D156,0)</f>
        <v>0.0903835721180918</v>
      </c>
      <c r="E157" s="19" t="n">
        <f aca="false">IFERROR(E155/E156,0)</f>
        <v>0.0712947454703335</v>
      </c>
      <c r="F157" s="19" t="n">
        <f aca="false">IFERROR(F155/F156,0)</f>
        <v>0.0605846662144715</v>
      </c>
      <c r="G157" s="19" t="n">
        <f aca="false">IFERROR(G155/G156,0)</f>
        <v>0.0418183572948053</v>
      </c>
      <c r="H157" s="19" t="n">
        <f aca="false">IFERROR(H155/H156,0)</f>
        <v>0.0236735877726455</v>
      </c>
      <c r="I157" s="19" t="n">
        <f aca="false">IFERROR(I155/I156,0)</f>
        <v>0.0221849179473176</v>
      </c>
      <c r="J157" s="19" t="n">
        <f aca="false">IFERROR(J155/J156,0)</f>
        <v>0.0218319212554527</v>
      </c>
      <c r="K157" s="19" t="n">
        <f aca="false">IFERROR(K155/K156,0)</f>
        <v>0.0227802447765763</v>
      </c>
      <c r="L157" s="19" t="n">
        <f aca="false">IFERROR(L155/L156,0)</f>
        <v>0</v>
      </c>
      <c r="M157" s="19" t="n">
        <f aca="false">IFERROR(M155/M156,0)</f>
        <v>0.00328297759976574</v>
      </c>
      <c r="N157" s="19" t="n">
        <f aca="false">IFERROR(N155/N156,0)</f>
        <v>0.00334361589673895</v>
      </c>
      <c r="O157" s="19" t="n">
        <f aca="false">IFERROR(O155/O156,0)</f>
        <v>0.00528284915675655</v>
      </c>
      <c r="P157" s="19" t="n">
        <f aca="false">IFERROR(P155/P156,0)</f>
        <v>0</v>
      </c>
      <c r="Q157" s="19" t="n">
        <f aca="false">IFERROR(Q155/Q156,0)</f>
        <v>0</v>
      </c>
      <c r="R157" s="19" t="n">
        <f aca="false">IFERROR(R155/R156,0)</f>
        <v>0</v>
      </c>
      <c r="S157" s="19" t="n">
        <f aca="false">IFERROR(S155/S156,0)</f>
        <v>0</v>
      </c>
      <c r="T157" s="19" t="n">
        <f aca="false">IFERROR(T155/T156,0)</f>
        <v>0.00153726952104672</v>
      </c>
      <c r="U157" s="19" t="n">
        <f aca="false">IFERROR(U155/U156,0)</f>
        <v>0.00726604640092734</v>
      </c>
      <c r="V157" s="19" t="n">
        <f aca="false">IFERROR(V155/V156,0)</f>
        <v>0.00723475979486486</v>
      </c>
      <c r="W157" s="19" t="n">
        <f aca="false">IFERROR(W155/W156,0)</f>
        <v>0.00190316764846593</v>
      </c>
      <c r="X157" s="19" t="n">
        <f aca="false">IFERROR(X155/X156,0)</f>
        <v>0</v>
      </c>
      <c r="Y157" s="19" t="n">
        <f aca="false">IFERROR(Y155/Y156,0)</f>
        <v>0.00155178115927321</v>
      </c>
      <c r="Z157" s="19" t="n">
        <f aca="false">IFERROR(Z155/Z156,0)</f>
        <v>0.00793738402454619</v>
      </c>
      <c r="AA157" s="19" t="n">
        <f aca="false">IFERROR(AA155/AA156,0)</f>
        <v>0.0216784058617407</v>
      </c>
      <c r="AB157" s="19" t="n">
        <f aca="false">IFERROR(AB155/AB156,0)</f>
        <v>0.0264189760883821</v>
      </c>
      <c r="AC157" s="19" t="n">
        <f aca="false">IFERROR(AC155/AC156,0)</f>
        <v>0.0353944915650699</v>
      </c>
      <c r="AD157" s="19" t="n">
        <f aca="false">IFERROR(AD155/AD156,0)</f>
        <v>0.0371431360057118</v>
      </c>
      <c r="AE157" s="19" t="n">
        <f aca="false">IFERROR(AE155/AE156,0)</f>
        <v>0.0383607057819154</v>
      </c>
      <c r="AF157" s="19" t="n">
        <f aca="false">IFERROR(AF155/AF156,0)</f>
        <v>0.0393049022267575</v>
      </c>
      <c r="AG157" s="19" t="n">
        <f aca="false">IFERROR(AG155/AG156,0)</f>
        <v>0.106139589812553</v>
      </c>
      <c r="AH157" s="19" t="n">
        <f aca="false">IFERROR(AH155/AH156,0)</f>
        <v>0.184126403396636</v>
      </c>
      <c r="AI157" s="19" t="n">
        <f aca="false">IFERROR(AI155/AI156,0)</f>
        <v>0.196370439049021</v>
      </c>
      <c r="AJ157" s="19" t="n">
        <f aca="false">IFERROR(AJ155/AJ156,0)</f>
        <v>0.20502316353672</v>
      </c>
      <c r="AK157" s="19" t="n">
        <f aca="false">IFERROR(AK155/AK156,0)</f>
        <v>0.22146122043484</v>
      </c>
      <c r="AL157" s="19" t="n">
        <f aca="false">IFERROR(AL155/AL156,0)</f>
        <v>0.267696765682151</v>
      </c>
      <c r="AM157" s="19" t="n">
        <f aca="false">IFERROR(AM155/AM156,0)</f>
        <v>0.25969139292363</v>
      </c>
      <c r="AN157" s="19" t="n">
        <f aca="false">IFERROR(AN155/AN156,0)</f>
        <v>0.249337386668466</v>
      </c>
      <c r="AO157" s="19" t="n">
        <f aca="false">IFERROR(AO155/AO156,0)</f>
        <v>0.231529610986917</v>
      </c>
      <c r="AP157" s="19" t="n">
        <f aca="false">IFERROR(AP155/AP156,0)</f>
        <v>0.222631047349028</v>
      </c>
      <c r="AQ157" s="19" t="n">
        <f aca="false">IFERROR(AQ155/AQ156,0)</f>
        <v>0.218049170462413</v>
      </c>
      <c r="AR157" s="19" t="n">
        <f aca="false">IFERROR(AR155/AR156,0)</f>
        <v>0.165661857557088</v>
      </c>
      <c r="AS157" s="19" t="n">
        <f aca="false">IFERROR(AS155/AS156,0)</f>
        <v>0.154481405269424</v>
      </c>
      <c r="AT157" s="19" t="n">
        <f aca="false">IFERROR(AT155/AT156,0)</f>
        <v>0.142772936071425</v>
      </c>
      <c r="AU157" s="19" t="n">
        <f aca="false">IFERROR(AU155/AU156,0)</f>
        <v>0.148333262838128</v>
      </c>
      <c r="AV157" s="19" t="n">
        <f aca="false">IFERROR(AV155/AV156,0)</f>
        <v>0.147396538912651</v>
      </c>
      <c r="AW157" s="19" t="n">
        <f aca="false">IFERROR(AW155/AW156,0)</f>
        <v>0.14672813243467</v>
      </c>
      <c r="AX157" s="19" t="n">
        <f aca="false">IFERROR(AX155/AX156,0)</f>
        <v>0.146413339977338</v>
      </c>
      <c r="AY157" s="19" t="n">
        <f aca="false">IFERROR(AY155/AY156,0)</f>
        <v>0.160045114977596</v>
      </c>
      <c r="AZ157" s="19" t="n">
        <f aca="false">IFERROR(AZ155/AZ156,0)</f>
        <v>0.157532423525932</v>
      </c>
      <c r="BA157" s="19" t="n">
        <f aca="false">IFERROR(BA155/BA156,0)</f>
        <v>0.137949779936949</v>
      </c>
      <c r="BB157" s="19" t="n">
        <f aca="false">IFERROR(BB155/BB156,0)</f>
        <v>0.136748928852682</v>
      </c>
      <c r="BC157" s="19" t="n">
        <f aca="false">IFERROR(BC155/BC156,0)</f>
        <v>0.143536710649037</v>
      </c>
      <c r="BD157" s="19" t="n">
        <f aca="false">IFERROR(BD155/BD156,0)</f>
        <v>0.145690820426066</v>
      </c>
      <c r="BE157" s="19" t="n">
        <f aca="false">IFERROR(BE155/BE156,0)</f>
        <v>0.144261061303299</v>
      </c>
      <c r="BF157" s="19" t="n">
        <f aca="false">IFERROR(BF155/BF156,0)</f>
        <v>0.140867888875666</v>
      </c>
      <c r="BG157" s="19" t="n">
        <f aca="false">IFERROR(BG155/BG156,0)</f>
        <v>0.109648640253288</v>
      </c>
      <c r="BH157" s="19" t="n">
        <f aca="false">IFERROR(BH155/BH156,0)</f>
        <v>0.0685531088382401</v>
      </c>
      <c r="BI157" s="19" t="n">
        <f aca="false">IFERROR(BI155/BI156,0)</f>
        <v>0.0608014996648879</v>
      </c>
      <c r="BJ157" s="19" t="n">
        <f aca="false">IFERROR(BJ155/BJ156,0)</f>
        <v>0.0506055832415193</v>
      </c>
      <c r="BK157" s="19" t="n">
        <f aca="false">IFERROR(BK155/BK156,0)</f>
        <v>0.0390279227454638</v>
      </c>
      <c r="BL157" s="19" t="n">
        <f aca="false">IFERROR(BL155/BL156,0)</f>
        <v>0.000276375447469264</v>
      </c>
      <c r="BM157" s="19" t="n">
        <f aca="false">IFERROR(BM155/BM156,0)</f>
        <v>0</v>
      </c>
      <c r="BN157" s="19" t="n">
        <f aca="false">IFERROR(BN155/BN156,0)</f>
        <v>0</v>
      </c>
      <c r="BO157" s="19" t="n">
        <f aca="false">IFERROR(BO155/BO156,0)</f>
        <v>0</v>
      </c>
      <c r="BP157" s="19" t="n">
        <f aca="false">IFERROR(BP155/BP156,0)</f>
        <v>0</v>
      </c>
      <c r="BQ157" s="19" t="n">
        <f aca="false">MAX(C157:BP157)</f>
        <v>0.267696765682151</v>
      </c>
    </row>
    <row r="158" customFormat="false" ht="15" hidden="false" customHeight="false" outlineLevel="0" collapsed="false">
      <c r="B158" s="15" t="s">
        <v>623</v>
      </c>
      <c r="C158" s="18" t="n">
        <f aca="false">MAX(0,C155-C156)</f>
        <v>0</v>
      </c>
      <c r="D158" s="18" t="n">
        <f aca="false">MAX(0,D155-D156)</f>
        <v>0</v>
      </c>
      <c r="E158" s="18" t="n">
        <f aca="false">MAX(0,E155-E156)</f>
        <v>0</v>
      </c>
      <c r="F158" s="18" t="n">
        <f aca="false">MAX(0,F155-F156)</f>
        <v>0</v>
      </c>
      <c r="G158" s="18" t="n">
        <f aca="false">MAX(0,G155-G156)</f>
        <v>0</v>
      </c>
      <c r="H158" s="18" t="n">
        <f aca="false">MAX(0,H155-H156)</f>
        <v>0</v>
      </c>
      <c r="I158" s="18" t="n">
        <f aca="false">MAX(0,I155-I156)</f>
        <v>0</v>
      </c>
      <c r="J158" s="18" t="n">
        <f aca="false">MAX(0,J155-J156)</f>
        <v>0</v>
      </c>
      <c r="K158" s="18" t="n">
        <f aca="false">MAX(0,K155-K156)</f>
        <v>0</v>
      </c>
      <c r="L158" s="18" t="n">
        <f aca="false">MAX(0,L155-L156)</f>
        <v>0</v>
      </c>
      <c r="M158" s="18" t="n">
        <f aca="false">MAX(0,M155-M156)</f>
        <v>0</v>
      </c>
      <c r="N158" s="18" t="n">
        <f aca="false">MAX(0,N155-N156)</f>
        <v>0</v>
      </c>
      <c r="O158" s="18" t="n">
        <f aca="false">MAX(0,O155-O156)</f>
        <v>0</v>
      </c>
      <c r="P158" s="18" t="n">
        <f aca="false">MAX(0,P155-P156)</f>
        <v>0</v>
      </c>
      <c r="Q158" s="18" t="n">
        <f aca="false">MAX(0,Q155-Q156)</f>
        <v>0</v>
      </c>
      <c r="R158" s="18" t="n">
        <f aca="false">MAX(0,R155-R156)</f>
        <v>0</v>
      </c>
      <c r="S158" s="18" t="n">
        <f aca="false">MAX(0,S155-S156)</f>
        <v>0</v>
      </c>
      <c r="T158" s="18" t="n">
        <f aca="false">MAX(0,T155-T156)</f>
        <v>0</v>
      </c>
      <c r="U158" s="18" t="n">
        <f aca="false">MAX(0,U155-U156)</f>
        <v>0</v>
      </c>
      <c r="V158" s="18" t="n">
        <f aca="false">MAX(0,V155-V156)</f>
        <v>0</v>
      </c>
      <c r="W158" s="18" t="n">
        <f aca="false">MAX(0,W155-W156)</f>
        <v>0</v>
      </c>
      <c r="X158" s="18" t="n">
        <f aca="false">MAX(0,X155-X156)</f>
        <v>0</v>
      </c>
      <c r="Y158" s="18" t="n">
        <f aca="false">MAX(0,Y155-Y156)</f>
        <v>0</v>
      </c>
      <c r="Z158" s="18" t="n">
        <f aca="false">MAX(0,Z155-Z156)</f>
        <v>0</v>
      </c>
      <c r="AA158" s="18" t="n">
        <f aca="false">MAX(0,AA155-AA156)</f>
        <v>0</v>
      </c>
      <c r="AB158" s="18" t="n">
        <f aca="false">MAX(0,AB155-AB156)</f>
        <v>0</v>
      </c>
      <c r="AC158" s="18" t="n">
        <f aca="false">MAX(0,AC155-AC156)</f>
        <v>0</v>
      </c>
      <c r="AD158" s="18" t="n">
        <f aca="false">MAX(0,AD155-AD156)</f>
        <v>0</v>
      </c>
      <c r="AE158" s="18" t="n">
        <f aca="false">MAX(0,AE155-AE156)</f>
        <v>0</v>
      </c>
      <c r="AF158" s="18" t="n">
        <f aca="false">MAX(0,AF155-AF156)</f>
        <v>0</v>
      </c>
      <c r="AG158" s="18" t="n">
        <f aca="false">MAX(0,AG155-AG156)</f>
        <v>0</v>
      </c>
      <c r="AH158" s="18" t="n">
        <f aca="false">MAX(0,AH155-AH156)</f>
        <v>0</v>
      </c>
      <c r="AI158" s="18" t="n">
        <f aca="false">MAX(0,AI155-AI156)</f>
        <v>0</v>
      </c>
      <c r="AJ158" s="18" t="n">
        <f aca="false">MAX(0,AJ155-AJ156)</f>
        <v>0</v>
      </c>
      <c r="AK158" s="18" t="n">
        <f aca="false">MAX(0,AK155-AK156)</f>
        <v>0</v>
      </c>
      <c r="AL158" s="18" t="n">
        <f aca="false">MAX(0,AL155-AL156)</f>
        <v>0</v>
      </c>
      <c r="AM158" s="18" t="n">
        <f aca="false">MAX(0,AM155-AM156)</f>
        <v>0</v>
      </c>
      <c r="AN158" s="18" t="n">
        <f aca="false">MAX(0,AN155-AN156)</f>
        <v>0</v>
      </c>
      <c r="AO158" s="18" t="n">
        <f aca="false">MAX(0,AO155-AO156)</f>
        <v>0</v>
      </c>
      <c r="AP158" s="18" t="n">
        <f aca="false">MAX(0,AP155-AP156)</f>
        <v>0</v>
      </c>
      <c r="AQ158" s="18" t="n">
        <f aca="false">MAX(0,AQ155-AQ156)</f>
        <v>0</v>
      </c>
      <c r="AR158" s="18" t="n">
        <f aca="false">MAX(0,AR155-AR156)</f>
        <v>0</v>
      </c>
      <c r="AS158" s="18" t="n">
        <f aca="false">MAX(0,AS155-AS156)</f>
        <v>0</v>
      </c>
      <c r="AT158" s="18" t="n">
        <f aca="false">MAX(0,AT155-AT156)</f>
        <v>0</v>
      </c>
      <c r="AU158" s="18" t="n">
        <f aca="false">MAX(0,AU155-AU156)</f>
        <v>0</v>
      </c>
      <c r="AV158" s="18" t="n">
        <f aca="false">MAX(0,AV155-AV156)</f>
        <v>0</v>
      </c>
      <c r="AW158" s="18" t="n">
        <f aca="false">MAX(0,AW155-AW156)</f>
        <v>0</v>
      </c>
      <c r="AX158" s="18" t="n">
        <f aca="false">MAX(0,AX155-AX156)</f>
        <v>0</v>
      </c>
      <c r="AY158" s="18" t="n">
        <f aca="false">MAX(0,AY155-AY156)</f>
        <v>0</v>
      </c>
      <c r="AZ158" s="18" t="n">
        <f aca="false">MAX(0,AZ155-AZ156)</f>
        <v>0</v>
      </c>
      <c r="BA158" s="18" t="n">
        <f aca="false">MAX(0,BA155-BA156)</f>
        <v>0</v>
      </c>
      <c r="BB158" s="18" t="n">
        <f aca="false">MAX(0,BB155-BB156)</f>
        <v>0</v>
      </c>
      <c r="BC158" s="18" t="n">
        <f aca="false">MAX(0,BC155-BC156)</f>
        <v>0</v>
      </c>
      <c r="BD158" s="18" t="n">
        <f aca="false">MAX(0,BD155-BD156)</f>
        <v>0</v>
      </c>
      <c r="BE158" s="18" t="n">
        <f aca="false">MAX(0,BE155-BE156)</f>
        <v>0</v>
      </c>
      <c r="BF158" s="18" t="n">
        <f aca="false">MAX(0,BF155-BF156)</f>
        <v>0</v>
      </c>
      <c r="BG158" s="18" t="n">
        <f aca="false">MAX(0,BG155-BG156)</f>
        <v>0</v>
      </c>
      <c r="BH158" s="18" t="n">
        <f aca="false">MAX(0,BH155-BH156)</f>
        <v>0</v>
      </c>
      <c r="BI158" s="18" t="n">
        <f aca="false">MAX(0,BI155-BI156)</f>
        <v>0</v>
      </c>
      <c r="BJ158" s="18" t="n">
        <f aca="false">MAX(0,BJ155-BJ156)</f>
        <v>0</v>
      </c>
      <c r="BK158" s="18" t="n">
        <f aca="false">MAX(0,BK155-BK156)</f>
        <v>0</v>
      </c>
      <c r="BL158" s="18" t="n">
        <f aca="false">MAX(0,BL155-BL156)</f>
        <v>0</v>
      </c>
      <c r="BM158" s="18" t="n">
        <f aca="false">MAX(0,BM155-BM156)</f>
        <v>0</v>
      </c>
      <c r="BN158" s="18" t="n">
        <f aca="false">MAX(0,BN155-BN156)</f>
        <v>0</v>
      </c>
      <c r="BO158" s="18" t="n">
        <f aca="false">MAX(0,BO155-BO156)</f>
        <v>0</v>
      </c>
      <c r="BP158" s="18" t="n">
        <f aca="false">MAX(0,BP155-BP156)</f>
        <v>0</v>
      </c>
      <c r="BQ158" s="18" t="n">
        <f aca="false">MAX(C158:BP158)</f>
        <v>0</v>
      </c>
    </row>
    <row r="159" customFormat="false" ht="15" hidden="false" customHeight="false" outlineLevel="0" collapsed="false">
      <c r="B159" s="15" t="s">
        <v>624</v>
      </c>
      <c r="C159" s="16" t="n">
        <f aca="false">MAX(0,C140-C156*INDEX(SEMANAS!$K$6:$K$71,MATCH(C$139,SEMANAS!$B$6:$B$71,0)))</f>
        <v>0</v>
      </c>
      <c r="D159" s="16" t="n">
        <f aca="false">MAX(0,D140-D156*INDEX(SEMANAS!$K$6:$K$71,MATCH(D$139,SEMANAS!$B$6:$B$71,0)))</f>
        <v>0</v>
      </c>
      <c r="E159" s="16" t="n">
        <f aca="false">MAX(0,E140-E156*INDEX(SEMANAS!$K$6:$K$71,MATCH(E$139,SEMANAS!$B$6:$B$71,0)))</f>
        <v>0</v>
      </c>
      <c r="F159" s="16" t="n">
        <f aca="false">MAX(0,F140-F156*INDEX(SEMANAS!$K$6:$K$71,MATCH(F$139,SEMANAS!$B$6:$B$71,0)))</f>
        <v>0</v>
      </c>
      <c r="G159" s="16" t="n">
        <f aca="false">MAX(0,G140-G156*INDEX(SEMANAS!$K$6:$K$71,MATCH(G$139,SEMANAS!$B$6:$B$71,0)))</f>
        <v>0</v>
      </c>
      <c r="H159" s="16" t="n">
        <f aca="false">MAX(0,H140-H156*INDEX(SEMANAS!$K$6:$K$71,MATCH(H$139,SEMANAS!$B$6:$B$71,0)))</f>
        <v>0</v>
      </c>
      <c r="I159" s="16" t="n">
        <f aca="false">MAX(0,I140-I156*INDEX(SEMANAS!$K$6:$K$71,MATCH(I$139,SEMANAS!$B$6:$B$71,0)))</f>
        <v>0</v>
      </c>
      <c r="J159" s="16" t="n">
        <f aca="false">MAX(0,J140-J156*INDEX(SEMANAS!$K$6:$K$71,MATCH(J$139,SEMANAS!$B$6:$B$71,0)))</f>
        <v>0</v>
      </c>
      <c r="K159" s="16" t="n">
        <f aca="false">MAX(0,K140-K156*INDEX(SEMANAS!$K$6:$K$71,MATCH(K$139,SEMANAS!$B$6:$B$71,0)))</f>
        <v>0</v>
      </c>
      <c r="L159" s="16" t="n">
        <f aca="false">MAX(0,L140-L156*INDEX(SEMANAS!$K$6:$K$71,MATCH(L$139,SEMANAS!$B$6:$B$71,0)))</f>
        <v>0</v>
      </c>
      <c r="M159" s="16" t="n">
        <f aca="false">MAX(0,M140-M156*INDEX(SEMANAS!$K$6:$K$71,MATCH(M$139,SEMANAS!$B$6:$B$71,0)))</f>
        <v>0</v>
      </c>
      <c r="N159" s="16" t="n">
        <f aca="false">MAX(0,N140-N156*INDEX(SEMANAS!$K$6:$K$71,MATCH(N$139,SEMANAS!$B$6:$B$71,0)))</f>
        <v>0</v>
      </c>
      <c r="O159" s="16" t="n">
        <f aca="false">MAX(0,O140-O156*INDEX(SEMANAS!$K$6:$K$71,MATCH(O$139,SEMANAS!$B$6:$B$71,0)))</f>
        <v>0</v>
      </c>
      <c r="P159" s="16" t="n">
        <f aca="false">MAX(0,P140-P156*INDEX(SEMANAS!$K$6:$K$71,MATCH(P$139,SEMANAS!$B$6:$B$71,0)))</f>
        <v>0</v>
      </c>
      <c r="Q159" s="16" t="n">
        <f aca="false">MAX(0,Q140-Q156*INDEX(SEMANAS!$K$6:$K$71,MATCH(Q$139,SEMANAS!$B$6:$B$71,0)))</f>
        <v>0</v>
      </c>
      <c r="R159" s="16" t="n">
        <f aca="false">MAX(0,R140-R156*INDEX(SEMANAS!$K$6:$K$71,MATCH(R$139,SEMANAS!$B$6:$B$71,0)))</f>
        <v>0</v>
      </c>
      <c r="S159" s="16" t="n">
        <f aca="false">MAX(0,S140-S156*INDEX(SEMANAS!$K$6:$K$71,MATCH(S$139,SEMANAS!$B$6:$B$71,0)))</f>
        <v>0</v>
      </c>
      <c r="T159" s="16" t="n">
        <f aca="false">MAX(0,T140-T156*INDEX(SEMANAS!$K$6:$K$71,MATCH(T$139,SEMANAS!$B$6:$B$71,0)))</f>
        <v>0</v>
      </c>
      <c r="U159" s="16" t="n">
        <f aca="false">MAX(0,U140-U156*INDEX(SEMANAS!$K$6:$K$71,MATCH(U$139,SEMANAS!$B$6:$B$71,0)))</f>
        <v>0</v>
      </c>
      <c r="V159" s="16" t="n">
        <f aca="false">MAX(0,V140-V156*INDEX(SEMANAS!$K$6:$K$71,MATCH(V$139,SEMANAS!$B$6:$B$71,0)))</f>
        <v>0</v>
      </c>
      <c r="W159" s="16" t="n">
        <f aca="false">MAX(0,W140-W156*INDEX(SEMANAS!$K$6:$K$71,MATCH(W$139,SEMANAS!$B$6:$B$71,0)))</f>
        <v>0</v>
      </c>
      <c r="X159" s="16" t="n">
        <f aca="false">MAX(0,X140-X156*INDEX(SEMANAS!$K$6:$K$71,MATCH(X$139,SEMANAS!$B$6:$B$71,0)))</f>
        <v>0</v>
      </c>
      <c r="Y159" s="16" t="n">
        <f aca="false">MAX(0,Y140-Y156*INDEX(SEMANAS!$K$6:$K$71,MATCH(Y$139,SEMANAS!$B$6:$B$71,0)))</f>
        <v>0</v>
      </c>
      <c r="Z159" s="16" t="n">
        <f aca="false">MAX(0,Z140-Z156*INDEX(SEMANAS!$K$6:$K$71,MATCH(Z$139,SEMANAS!$B$6:$B$71,0)))</f>
        <v>0</v>
      </c>
      <c r="AA159" s="16" t="n">
        <f aca="false">MAX(0,AA140-AA156*INDEX(SEMANAS!$K$6:$K$71,MATCH(AA$139,SEMANAS!$B$6:$B$71,0)))</f>
        <v>0</v>
      </c>
      <c r="AB159" s="16" t="n">
        <f aca="false">MAX(0,AB140-AB156*INDEX(SEMANAS!$K$6:$K$71,MATCH(AB$139,SEMANAS!$B$6:$B$71,0)))</f>
        <v>0</v>
      </c>
      <c r="AC159" s="16" t="n">
        <f aca="false">MAX(0,AC140-AC156*INDEX(SEMANAS!$K$6:$K$71,MATCH(AC$139,SEMANAS!$B$6:$B$71,0)))</f>
        <v>0</v>
      </c>
      <c r="AD159" s="16" t="n">
        <f aca="false">MAX(0,AD140-AD156*INDEX(SEMANAS!$K$6:$K$71,MATCH(AD$139,SEMANAS!$B$6:$B$71,0)))</f>
        <v>0</v>
      </c>
      <c r="AE159" s="16" t="n">
        <f aca="false">MAX(0,AE140-AE156*INDEX(SEMANAS!$K$6:$K$71,MATCH(AE$139,SEMANAS!$B$6:$B$71,0)))</f>
        <v>0</v>
      </c>
      <c r="AF159" s="16" t="n">
        <f aca="false">MAX(0,AF140-AF156*INDEX(SEMANAS!$K$6:$K$71,MATCH(AF$139,SEMANAS!$B$6:$B$71,0)))</f>
        <v>0</v>
      </c>
      <c r="AG159" s="16" t="n">
        <f aca="false">MAX(0,AG140-AG156*INDEX(SEMANAS!$K$6:$K$71,MATCH(AG$139,SEMANAS!$B$6:$B$71,0)))</f>
        <v>0</v>
      </c>
      <c r="AH159" s="16" t="n">
        <f aca="false">MAX(0,AH140-AH156*INDEX(SEMANAS!$K$6:$K$71,MATCH(AH$139,SEMANAS!$B$6:$B$71,0)))</f>
        <v>0</v>
      </c>
      <c r="AI159" s="16" t="n">
        <f aca="false">MAX(0,AI140-AI156*INDEX(SEMANAS!$K$6:$K$71,MATCH(AI$139,SEMANAS!$B$6:$B$71,0)))</f>
        <v>0</v>
      </c>
      <c r="AJ159" s="16" t="n">
        <f aca="false">MAX(0,AJ140-AJ156*INDEX(SEMANAS!$K$6:$K$71,MATCH(AJ$139,SEMANAS!$B$6:$B$71,0)))</f>
        <v>0</v>
      </c>
      <c r="AK159" s="16" t="n">
        <f aca="false">MAX(0,AK140-AK156*INDEX(SEMANAS!$K$6:$K$71,MATCH(AK$139,SEMANAS!$B$6:$B$71,0)))</f>
        <v>0</v>
      </c>
      <c r="AL159" s="16" t="n">
        <f aca="false">MAX(0,AL140-AL156*INDEX(SEMANAS!$K$6:$K$71,MATCH(AL$139,SEMANAS!$B$6:$B$71,0)))</f>
        <v>0</v>
      </c>
      <c r="AM159" s="16" t="n">
        <f aca="false">MAX(0,AM140-AM156*INDEX(SEMANAS!$K$6:$K$71,MATCH(AM$139,SEMANAS!$B$6:$B$71,0)))</f>
        <v>0</v>
      </c>
      <c r="AN159" s="16" t="n">
        <f aca="false">MAX(0,AN140-AN156*INDEX(SEMANAS!$K$6:$K$71,MATCH(AN$139,SEMANAS!$B$6:$B$71,0)))</f>
        <v>0</v>
      </c>
      <c r="AO159" s="16" t="n">
        <f aca="false">MAX(0,AO140-AO156*INDEX(SEMANAS!$K$6:$K$71,MATCH(AO$139,SEMANAS!$B$6:$B$71,0)))</f>
        <v>0</v>
      </c>
      <c r="AP159" s="16" t="n">
        <f aca="false">MAX(0,AP140-AP156*INDEX(SEMANAS!$K$6:$K$71,MATCH(AP$139,SEMANAS!$B$6:$B$71,0)))</f>
        <v>0</v>
      </c>
      <c r="AQ159" s="16" t="n">
        <f aca="false">MAX(0,AQ140-AQ156*INDEX(SEMANAS!$K$6:$K$71,MATCH(AQ$139,SEMANAS!$B$6:$B$71,0)))</f>
        <v>0</v>
      </c>
      <c r="AR159" s="16" t="n">
        <f aca="false">MAX(0,AR140-AR156*INDEX(SEMANAS!$K$6:$K$71,MATCH(AR$139,SEMANAS!$B$6:$B$71,0)))</f>
        <v>0</v>
      </c>
      <c r="AS159" s="16" t="n">
        <f aca="false">MAX(0,AS140-AS156*INDEX(SEMANAS!$K$6:$K$71,MATCH(AS$139,SEMANAS!$B$6:$B$71,0)))</f>
        <v>0</v>
      </c>
      <c r="AT159" s="16" t="n">
        <f aca="false">MAX(0,AT140-AT156*INDEX(SEMANAS!$K$6:$K$71,MATCH(AT$139,SEMANAS!$B$6:$B$71,0)))</f>
        <v>0</v>
      </c>
      <c r="AU159" s="16" t="n">
        <f aca="false">MAX(0,AU140-AU156*INDEX(SEMANAS!$K$6:$K$71,MATCH(AU$139,SEMANAS!$B$6:$B$71,0)))</f>
        <v>0</v>
      </c>
      <c r="AV159" s="16" t="n">
        <f aca="false">MAX(0,AV140-AV156*INDEX(SEMANAS!$K$6:$K$71,MATCH(AV$139,SEMANAS!$B$6:$B$71,0)))</f>
        <v>0</v>
      </c>
      <c r="AW159" s="16" t="n">
        <f aca="false">MAX(0,AW140-AW156*INDEX(SEMANAS!$K$6:$K$71,MATCH(AW$139,SEMANAS!$B$6:$B$71,0)))</f>
        <v>0</v>
      </c>
      <c r="AX159" s="16" t="n">
        <f aca="false">MAX(0,AX140-AX156*INDEX(SEMANAS!$K$6:$K$71,MATCH(AX$139,SEMANAS!$B$6:$B$71,0)))</f>
        <v>0</v>
      </c>
      <c r="AY159" s="16" t="n">
        <f aca="false">MAX(0,AY140-AY156*INDEX(SEMANAS!$K$6:$K$71,MATCH(AY$139,SEMANAS!$B$6:$B$71,0)))</f>
        <v>0</v>
      </c>
      <c r="AZ159" s="16" t="n">
        <f aca="false">MAX(0,AZ140-AZ156*INDEX(SEMANAS!$K$6:$K$71,MATCH(AZ$139,SEMANAS!$B$6:$B$71,0)))</f>
        <v>0</v>
      </c>
      <c r="BA159" s="16" t="n">
        <f aca="false">MAX(0,BA140-BA156*INDEX(SEMANAS!$K$6:$K$71,MATCH(BA$139,SEMANAS!$B$6:$B$71,0)))</f>
        <v>0</v>
      </c>
      <c r="BB159" s="16" t="n">
        <f aca="false">MAX(0,BB140-BB156*INDEX(SEMANAS!$K$6:$K$71,MATCH(BB$139,SEMANAS!$B$6:$B$71,0)))</f>
        <v>0</v>
      </c>
      <c r="BC159" s="16" t="n">
        <f aca="false">MAX(0,BC140-BC156*INDEX(SEMANAS!$K$6:$K$71,MATCH(BC$139,SEMANAS!$B$6:$B$71,0)))</f>
        <v>0</v>
      </c>
      <c r="BD159" s="16" t="n">
        <f aca="false">MAX(0,BD140-BD156*INDEX(SEMANAS!$K$6:$K$71,MATCH(BD$139,SEMANAS!$B$6:$B$71,0)))</f>
        <v>0</v>
      </c>
      <c r="BE159" s="16" t="n">
        <f aca="false">MAX(0,BE140-BE156*INDEX(SEMANAS!$K$6:$K$71,MATCH(BE$139,SEMANAS!$B$6:$B$71,0)))</f>
        <v>0</v>
      </c>
      <c r="BF159" s="16" t="n">
        <f aca="false">MAX(0,BF140-BF156*INDEX(SEMANAS!$K$6:$K$71,MATCH(BF$139,SEMANAS!$B$6:$B$71,0)))</f>
        <v>0</v>
      </c>
      <c r="BG159" s="16" t="n">
        <f aca="false">MAX(0,BG140-BG156*INDEX(SEMANAS!$K$6:$K$71,MATCH(BG$139,SEMANAS!$B$6:$B$71,0)))</f>
        <v>0</v>
      </c>
      <c r="BH159" s="16" t="n">
        <f aca="false">MAX(0,BH140-BH156*INDEX(SEMANAS!$K$6:$K$71,MATCH(BH$139,SEMANAS!$B$6:$B$71,0)))</f>
        <v>0</v>
      </c>
      <c r="BI159" s="16" t="n">
        <f aca="false">MAX(0,BI140-BI156*INDEX(SEMANAS!$K$6:$K$71,MATCH(BI$139,SEMANAS!$B$6:$B$71,0)))</f>
        <v>0</v>
      </c>
      <c r="BJ159" s="16" t="n">
        <f aca="false">MAX(0,BJ140-BJ156*INDEX(SEMANAS!$K$6:$K$71,MATCH(BJ$139,SEMANAS!$B$6:$B$71,0)))</f>
        <v>0</v>
      </c>
      <c r="BK159" s="16" t="n">
        <f aca="false">MAX(0,BK140-BK156*INDEX(SEMANAS!$K$6:$K$71,MATCH(BK$139,SEMANAS!$B$6:$B$71,0)))</f>
        <v>0</v>
      </c>
      <c r="BL159" s="16" t="n">
        <f aca="false">MAX(0,BL140-BL156*INDEX(SEMANAS!$K$6:$K$71,MATCH(BL$139,SEMANAS!$B$6:$B$71,0)))</f>
        <v>0</v>
      </c>
      <c r="BM159" s="16" t="n">
        <f aca="false">MAX(0,BM140-BM156*INDEX(SEMANAS!$K$6:$K$71,MATCH(BM$139,SEMANAS!$B$6:$B$71,0)))</f>
        <v>0</v>
      </c>
      <c r="BN159" s="16" t="n">
        <f aca="false">MAX(0,BN140-BN156*INDEX(SEMANAS!$K$6:$K$71,MATCH(BN$139,SEMANAS!$B$6:$B$71,0)))</f>
        <v>0</v>
      </c>
      <c r="BO159" s="16" t="n">
        <f aca="false">MAX(0,BO140-BO156*INDEX(SEMANAS!$K$6:$K$71,MATCH(BO$139,SEMANAS!$B$6:$B$71,0)))</f>
        <v>0</v>
      </c>
      <c r="BP159" s="16" t="n">
        <f aca="false">MAX(0,BP140-BP156*INDEX(SEMANAS!$K$6:$K$71,MATCH(BP$139,SEMANAS!$B$6:$B$71,0)))</f>
        <v>0</v>
      </c>
      <c r="BQ159" s="16" t="n">
        <f aca="false">SUM(C159:BP159)</f>
        <v>0</v>
      </c>
    </row>
    <row r="160" customFormat="false" ht="15" hidden="false" customHeight="false" outlineLevel="0" collapsed="false">
      <c r="B160" s="15" t="s">
        <v>625</v>
      </c>
      <c r="C160" s="18" t="n">
        <f aca="false">IFERROR(MAX(0,C140/C156-INDEX(SEMANAS!$K$6:$K$71,MATCH(C$139,SEMANAS!$B$6:$B$71,0))),0)</f>
        <v>0</v>
      </c>
      <c r="D160" s="18" t="n">
        <f aca="false">IFERROR(MAX(0,D140/D156-INDEX(SEMANAS!$K$6:$K$71,MATCH(D$139,SEMANAS!$B$6:$B$71,0))),0)</f>
        <v>0</v>
      </c>
      <c r="E160" s="18" t="n">
        <f aca="false">IFERROR(MAX(0,E140/E156-INDEX(SEMANAS!$K$6:$K$71,MATCH(E$139,SEMANAS!$B$6:$B$71,0))),0)</f>
        <v>0</v>
      </c>
      <c r="F160" s="18" t="n">
        <f aca="false">IFERROR(MAX(0,F140/F156-INDEX(SEMANAS!$K$6:$K$71,MATCH(F$139,SEMANAS!$B$6:$B$71,0))),0)</f>
        <v>0</v>
      </c>
      <c r="G160" s="18" t="n">
        <f aca="false">IFERROR(MAX(0,G140/G156-INDEX(SEMANAS!$K$6:$K$71,MATCH(G$139,SEMANAS!$B$6:$B$71,0))),0)</f>
        <v>0</v>
      </c>
      <c r="H160" s="18" t="n">
        <f aca="false">IFERROR(MAX(0,H140/H156-INDEX(SEMANAS!$K$6:$K$71,MATCH(H$139,SEMANAS!$B$6:$B$71,0))),0)</f>
        <v>0</v>
      </c>
      <c r="I160" s="18" t="n">
        <f aca="false">IFERROR(MAX(0,I140/I156-INDEX(SEMANAS!$K$6:$K$71,MATCH(I$139,SEMANAS!$B$6:$B$71,0))),0)</f>
        <v>0</v>
      </c>
      <c r="J160" s="18" t="n">
        <f aca="false">IFERROR(MAX(0,J140/J156-INDEX(SEMANAS!$K$6:$K$71,MATCH(J$139,SEMANAS!$B$6:$B$71,0))),0)</f>
        <v>0</v>
      </c>
      <c r="K160" s="18" t="n">
        <f aca="false">IFERROR(MAX(0,K140/K156-INDEX(SEMANAS!$K$6:$K$71,MATCH(K$139,SEMANAS!$B$6:$B$71,0))),0)</f>
        <v>0</v>
      </c>
      <c r="L160" s="18" t="n">
        <f aca="false">IFERROR(MAX(0,L140/L156-INDEX(SEMANAS!$K$6:$K$71,MATCH(L$139,SEMANAS!$B$6:$B$71,0))),0)</f>
        <v>0</v>
      </c>
      <c r="M160" s="18" t="n">
        <f aca="false">IFERROR(MAX(0,M140/M156-INDEX(SEMANAS!$K$6:$K$71,MATCH(M$139,SEMANAS!$B$6:$B$71,0))),0)</f>
        <v>0</v>
      </c>
      <c r="N160" s="18" t="n">
        <f aca="false">IFERROR(MAX(0,N140/N156-INDEX(SEMANAS!$K$6:$K$71,MATCH(N$139,SEMANAS!$B$6:$B$71,0))),0)</f>
        <v>0</v>
      </c>
      <c r="O160" s="18" t="n">
        <f aca="false">IFERROR(MAX(0,O140/O156-INDEX(SEMANAS!$K$6:$K$71,MATCH(O$139,SEMANAS!$B$6:$B$71,0))),0)</f>
        <v>0</v>
      </c>
      <c r="P160" s="18" t="n">
        <f aca="false">IFERROR(MAX(0,P140/P156-INDEX(SEMANAS!$K$6:$K$71,MATCH(P$139,SEMANAS!$B$6:$B$71,0))),0)</f>
        <v>0</v>
      </c>
      <c r="Q160" s="18" t="n">
        <f aca="false">IFERROR(MAX(0,Q140/Q156-INDEX(SEMANAS!$K$6:$K$71,MATCH(Q$139,SEMANAS!$B$6:$B$71,0))),0)</f>
        <v>0</v>
      </c>
      <c r="R160" s="18" t="n">
        <f aca="false">IFERROR(MAX(0,R140/R156-INDEX(SEMANAS!$K$6:$K$71,MATCH(R$139,SEMANAS!$B$6:$B$71,0))),0)</f>
        <v>0</v>
      </c>
      <c r="S160" s="18" t="n">
        <f aca="false">IFERROR(MAX(0,S140/S156-INDEX(SEMANAS!$K$6:$K$71,MATCH(S$139,SEMANAS!$B$6:$B$71,0))),0)</f>
        <v>0</v>
      </c>
      <c r="T160" s="18" t="n">
        <f aca="false">IFERROR(MAX(0,T140/T156-INDEX(SEMANAS!$K$6:$K$71,MATCH(T$139,SEMANAS!$B$6:$B$71,0))),0)</f>
        <v>0</v>
      </c>
      <c r="U160" s="18" t="n">
        <f aca="false">IFERROR(MAX(0,U140/U156-INDEX(SEMANAS!$K$6:$K$71,MATCH(U$139,SEMANAS!$B$6:$B$71,0))),0)</f>
        <v>0</v>
      </c>
      <c r="V160" s="18" t="n">
        <f aca="false">IFERROR(MAX(0,V140/V156-INDEX(SEMANAS!$K$6:$K$71,MATCH(V$139,SEMANAS!$B$6:$B$71,0))),0)</f>
        <v>0</v>
      </c>
      <c r="W160" s="18" t="n">
        <f aca="false">IFERROR(MAX(0,W140/W156-INDEX(SEMANAS!$K$6:$K$71,MATCH(W$139,SEMANAS!$B$6:$B$71,0))),0)</f>
        <v>0</v>
      </c>
      <c r="X160" s="18" t="n">
        <f aca="false">IFERROR(MAX(0,X140/X156-INDEX(SEMANAS!$K$6:$K$71,MATCH(X$139,SEMANAS!$B$6:$B$71,0))),0)</f>
        <v>0</v>
      </c>
      <c r="Y160" s="18" t="n">
        <f aca="false">IFERROR(MAX(0,Y140/Y156-INDEX(SEMANAS!$K$6:$K$71,MATCH(Y$139,SEMANAS!$B$6:$B$71,0))),0)</f>
        <v>0</v>
      </c>
      <c r="Z160" s="18" t="n">
        <f aca="false">IFERROR(MAX(0,Z140/Z156-INDEX(SEMANAS!$K$6:$K$71,MATCH(Z$139,SEMANAS!$B$6:$B$71,0))),0)</f>
        <v>0</v>
      </c>
      <c r="AA160" s="18" t="n">
        <f aca="false">IFERROR(MAX(0,AA140/AA156-INDEX(SEMANAS!$K$6:$K$71,MATCH(AA$139,SEMANAS!$B$6:$B$71,0))),0)</f>
        <v>0</v>
      </c>
      <c r="AB160" s="18" t="n">
        <f aca="false">IFERROR(MAX(0,AB140/AB156-INDEX(SEMANAS!$K$6:$K$71,MATCH(AB$139,SEMANAS!$B$6:$B$71,0))),0)</f>
        <v>0</v>
      </c>
      <c r="AC160" s="18" t="n">
        <f aca="false">IFERROR(MAX(0,AC140/AC156-INDEX(SEMANAS!$K$6:$K$71,MATCH(AC$139,SEMANAS!$B$6:$B$71,0))),0)</f>
        <v>0</v>
      </c>
      <c r="AD160" s="18" t="n">
        <f aca="false">IFERROR(MAX(0,AD140/AD156-INDEX(SEMANAS!$K$6:$K$71,MATCH(AD$139,SEMANAS!$B$6:$B$71,0))),0)</f>
        <v>0</v>
      </c>
      <c r="AE160" s="18" t="n">
        <f aca="false">IFERROR(MAX(0,AE140/AE156-INDEX(SEMANAS!$K$6:$K$71,MATCH(AE$139,SEMANAS!$B$6:$B$71,0))),0)</f>
        <v>0</v>
      </c>
      <c r="AF160" s="18" t="n">
        <f aca="false">IFERROR(MAX(0,AF140/AF156-INDEX(SEMANAS!$K$6:$K$71,MATCH(AF$139,SEMANAS!$B$6:$B$71,0))),0)</f>
        <v>0</v>
      </c>
      <c r="AG160" s="18" t="n">
        <f aca="false">IFERROR(MAX(0,AG140/AG156-INDEX(SEMANAS!$K$6:$K$71,MATCH(AG$139,SEMANAS!$B$6:$B$71,0))),0)</f>
        <v>0</v>
      </c>
      <c r="AH160" s="18" t="n">
        <f aca="false">IFERROR(MAX(0,AH140/AH156-INDEX(SEMANAS!$K$6:$K$71,MATCH(AH$139,SEMANAS!$B$6:$B$71,0))),0)</f>
        <v>0</v>
      </c>
      <c r="AI160" s="18" t="n">
        <f aca="false">IFERROR(MAX(0,AI140/AI156-INDEX(SEMANAS!$K$6:$K$71,MATCH(AI$139,SEMANAS!$B$6:$B$71,0))),0)</f>
        <v>0</v>
      </c>
      <c r="AJ160" s="18" t="n">
        <f aca="false">IFERROR(MAX(0,AJ140/AJ156-INDEX(SEMANAS!$K$6:$K$71,MATCH(AJ$139,SEMANAS!$B$6:$B$71,0))),0)</f>
        <v>0</v>
      </c>
      <c r="AK160" s="18" t="n">
        <f aca="false">IFERROR(MAX(0,AK140/AK156-INDEX(SEMANAS!$K$6:$K$71,MATCH(AK$139,SEMANAS!$B$6:$B$71,0))),0)</f>
        <v>0</v>
      </c>
      <c r="AL160" s="18" t="n">
        <f aca="false">IFERROR(MAX(0,AL140/AL156-INDEX(SEMANAS!$K$6:$K$71,MATCH(AL$139,SEMANAS!$B$6:$B$71,0))),0)</f>
        <v>0</v>
      </c>
      <c r="AM160" s="18" t="n">
        <f aca="false">IFERROR(MAX(0,AM140/AM156-INDEX(SEMANAS!$K$6:$K$71,MATCH(AM$139,SEMANAS!$B$6:$B$71,0))),0)</f>
        <v>0</v>
      </c>
      <c r="AN160" s="18" t="n">
        <f aca="false">IFERROR(MAX(0,AN140/AN156-INDEX(SEMANAS!$K$6:$K$71,MATCH(AN$139,SEMANAS!$B$6:$B$71,0))),0)</f>
        <v>0</v>
      </c>
      <c r="AO160" s="18" t="n">
        <f aca="false">IFERROR(MAX(0,AO140/AO156-INDEX(SEMANAS!$K$6:$K$71,MATCH(AO$139,SEMANAS!$B$6:$B$71,0))),0)</f>
        <v>0</v>
      </c>
      <c r="AP160" s="18" t="n">
        <f aca="false">IFERROR(MAX(0,AP140/AP156-INDEX(SEMANAS!$K$6:$K$71,MATCH(AP$139,SEMANAS!$B$6:$B$71,0))),0)</f>
        <v>0</v>
      </c>
      <c r="AQ160" s="18" t="n">
        <f aca="false">IFERROR(MAX(0,AQ140/AQ156-INDEX(SEMANAS!$K$6:$K$71,MATCH(AQ$139,SEMANAS!$B$6:$B$71,0))),0)</f>
        <v>0</v>
      </c>
      <c r="AR160" s="18" t="n">
        <f aca="false">IFERROR(MAX(0,AR140/AR156-INDEX(SEMANAS!$K$6:$K$71,MATCH(AR$139,SEMANAS!$B$6:$B$71,0))),0)</f>
        <v>0</v>
      </c>
      <c r="AS160" s="18" t="n">
        <f aca="false">IFERROR(MAX(0,AS140/AS156-INDEX(SEMANAS!$K$6:$K$71,MATCH(AS$139,SEMANAS!$B$6:$B$71,0))),0)</f>
        <v>0</v>
      </c>
      <c r="AT160" s="18" t="n">
        <f aca="false">IFERROR(MAX(0,AT140/AT156-INDEX(SEMANAS!$K$6:$K$71,MATCH(AT$139,SEMANAS!$B$6:$B$71,0))),0)</f>
        <v>0</v>
      </c>
      <c r="AU160" s="18" t="n">
        <f aca="false">IFERROR(MAX(0,AU140/AU156-INDEX(SEMANAS!$K$6:$K$71,MATCH(AU$139,SEMANAS!$B$6:$B$71,0))),0)</f>
        <v>0</v>
      </c>
      <c r="AV160" s="18" t="n">
        <f aca="false">IFERROR(MAX(0,AV140/AV156-INDEX(SEMANAS!$K$6:$K$71,MATCH(AV$139,SEMANAS!$B$6:$B$71,0))),0)</f>
        <v>0</v>
      </c>
      <c r="AW160" s="18" t="n">
        <f aca="false">IFERROR(MAX(0,AW140/AW156-INDEX(SEMANAS!$K$6:$K$71,MATCH(AW$139,SEMANAS!$B$6:$B$71,0))),0)</f>
        <v>0</v>
      </c>
      <c r="AX160" s="18" t="n">
        <f aca="false">IFERROR(MAX(0,AX140/AX156-INDEX(SEMANAS!$K$6:$K$71,MATCH(AX$139,SEMANAS!$B$6:$B$71,0))),0)</f>
        <v>0</v>
      </c>
      <c r="AY160" s="18" t="n">
        <f aca="false">IFERROR(MAX(0,AY140/AY156-INDEX(SEMANAS!$K$6:$K$71,MATCH(AY$139,SEMANAS!$B$6:$B$71,0))),0)</f>
        <v>0</v>
      </c>
      <c r="AZ160" s="18" t="n">
        <f aca="false">IFERROR(MAX(0,AZ140/AZ156-INDEX(SEMANAS!$K$6:$K$71,MATCH(AZ$139,SEMANAS!$B$6:$B$71,0))),0)</f>
        <v>0</v>
      </c>
      <c r="BA160" s="18" t="n">
        <f aca="false">IFERROR(MAX(0,BA140/BA156-INDEX(SEMANAS!$K$6:$K$71,MATCH(BA$139,SEMANAS!$B$6:$B$71,0))),0)</f>
        <v>0</v>
      </c>
      <c r="BB160" s="18" t="n">
        <f aca="false">IFERROR(MAX(0,BB140/BB156-INDEX(SEMANAS!$K$6:$K$71,MATCH(BB$139,SEMANAS!$B$6:$B$71,0))),0)</f>
        <v>0</v>
      </c>
      <c r="BC160" s="18" t="n">
        <f aca="false">IFERROR(MAX(0,BC140/BC156-INDEX(SEMANAS!$K$6:$K$71,MATCH(BC$139,SEMANAS!$B$6:$B$71,0))),0)</f>
        <v>0</v>
      </c>
      <c r="BD160" s="18" t="n">
        <f aca="false">IFERROR(MAX(0,BD140/BD156-INDEX(SEMANAS!$K$6:$K$71,MATCH(BD$139,SEMANAS!$B$6:$B$71,0))),0)</f>
        <v>0</v>
      </c>
      <c r="BE160" s="18" t="n">
        <f aca="false">IFERROR(MAX(0,BE140/BE156-INDEX(SEMANAS!$K$6:$K$71,MATCH(BE$139,SEMANAS!$B$6:$B$71,0))),0)</f>
        <v>0</v>
      </c>
      <c r="BF160" s="18" t="n">
        <f aca="false">IFERROR(MAX(0,BF140/BF156-INDEX(SEMANAS!$K$6:$K$71,MATCH(BF$139,SEMANAS!$B$6:$B$71,0))),0)</f>
        <v>0</v>
      </c>
      <c r="BG160" s="18" t="n">
        <f aca="false">IFERROR(MAX(0,BG140/BG156-INDEX(SEMANAS!$K$6:$K$71,MATCH(BG$139,SEMANAS!$B$6:$B$71,0))),0)</f>
        <v>0</v>
      </c>
      <c r="BH160" s="18" t="n">
        <f aca="false">IFERROR(MAX(0,BH140/BH156-INDEX(SEMANAS!$K$6:$K$71,MATCH(BH$139,SEMANAS!$B$6:$B$71,0))),0)</f>
        <v>0</v>
      </c>
      <c r="BI160" s="18" t="n">
        <f aca="false">IFERROR(MAX(0,BI140/BI156-INDEX(SEMANAS!$K$6:$K$71,MATCH(BI$139,SEMANAS!$B$6:$B$71,0))),0)</f>
        <v>0</v>
      </c>
      <c r="BJ160" s="18" t="n">
        <f aca="false">IFERROR(MAX(0,BJ140/BJ156-INDEX(SEMANAS!$K$6:$K$71,MATCH(BJ$139,SEMANAS!$B$6:$B$71,0))),0)</f>
        <v>0</v>
      </c>
      <c r="BK160" s="18" t="n">
        <f aca="false">IFERROR(MAX(0,BK140/BK156-INDEX(SEMANAS!$K$6:$K$71,MATCH(BK$139,SEMANAS!$B$6:$B$71,0))),0)</f>
        <v>0</v>
      </c>
      <c r="BL160" s="18" t="n">
        <f aca="false">IFERROR(MAX(0,BL140/BL156-INDEX(SEMANAS!$K$6:$K$71,MATCH(BL$139,SEMANAS!$B$6:$B$71,0))),0)</f>
        <v>0</v>
      </c>
      <c r="BM160" s="18" t="n">
        <f aca="false">IFERROR(MAX(0,BM140/BM156-INDEX(SEMANAS!$K$6:$K$71,MATCH(BM$139,SEMANAS!$B$6:$B$71,0))),0)</f>
        <v>0</v>
      </c>
      <c r="BN160" s="18" t="n">
        <f aca="false">IFERROR(MAX(0,BN140/BN156-INDEX(SEMANAS!$K$6:$K$71,MATCH(BN$139,SEMANAS!$B$6:$B$71,0))),0)</f>
        <v>0</v>
      </c>
      <c r="BO160" s="18" t="n">
        <f aca="false">IFERROR(MAX(0,BO140/BO156-INDEX(SEMANAS!$K$6:$K$71,MATCH(BO$139,SEMANAS!$B$6:$B$71,0))),0)</f>
        <v>0</v>
      </c>
      <c r="BP160" s="18" t="n">
        <f aca="false">IFERROR(MAX(0,BP140/BP156-INDEX(SEMANAS!$K$6:$K$71,MATCH(BP$139,SEMANAS!$B$6:$B$71,0))),0)</f>
        <v>0</v>
      </c>
      <c r="BQ160" s="18" t="n">
        <f aca="false">MAX(C160:BP160)</f>
        <v>0</v>
      </c>
    </row>
    <row r="161" customFormat="false" ht="15" hidden="false" customHeight="false" outlineLevel="0" collapsed="false">
      <c r="B161" s="15" t="s">
        <v>107</v>
      </c>
      <c r="C161" s="20" t="n">
        <f aca="false">C140+C$139/1000000</f>
        <v>486377.640095412</v>
      </c>
      <c r="D161" s="20" t="n">
        <f aca="false">D140+D$139/1000000</f>
        <v>404088.51017022</v>
      </c>
      <c r="E161" s="20" t="n">
        <f aca="false">E140+E$139/1000000</f>
        <v>318745.83848666</v>
      </c>
      <c r="F161" s="20" t="n">
        <f aca="false">F140+F$139/1000000</f>
        <v>270863.022298118</v>
      </c>
      <c r="G161" s="20" t="n">
        <f aca="false">G140+G$139/1000000</f>
        <v>186962.268710882</v>
      </c>
      <c r="H161" s="20" t="n">
        <f aca="false">H140+H$139/1000000</f>
        <v>105840.304711882</v>
      </c>
      <c r="I161" s="20" t="n">
        <f aca="false">I140+I$139/1000000</f>
        <v>99184.7327128823</v>
      </c>
      <c r="J161" s="20" t="n">
        <f aca="false">J140+J$139/1000000</f>
        <v>97606.5487146528</v>
      </c>
      <c r="K161" s="20" t="n">
        <f aca="false">K140+K$139/1000000</f>
        <v>101846.330678548</v>
      </c>
      <c r="L161" s="20" t="n">
        <f aca="false">L140+L$139/1000000</f>
        <v>1E-005</v>
      </c>
      <c r="M161" s="20" t="n">
        <f aca="false">M140+M$139/1000000</f>
        <v>14677.5956859272</v>
      </c>
      <c r="N161" s="20" t="n">
        <f aca="false">N140+N$139/1000000</f>
        <v>14948.6984825882</v>
      </c>
      <c r="O161" s="20" t="n">
        <f aca="false">O140+O$139/1000000</f>
        <v>23618.6576425969</v>
      </c>
      <c r="P161" s="20" t="n">
        <f aca="false">P140+P$139/1000000</f>
        <v>1.4E-005</v>
      </c>
      <c r="Q161" s="20" t="n">
        <f aca="false">Q140+Q$139/1000000</f>
        <v>1.5E-005</v>
      </c>
      <c r="R161" s="20" t="n">
        <f aca="false">R140+R$139/1000000</f>
        <v>1.6E-005</v>
      </c>
      <c r="S161" s="20" t="n">
        <f aca="false">S140+S$139/1000000</f>
        <v>1.7E-005</v>
      </c>
      <c r="T161" s="20" t="n">
        <f aca="false">T140+T$139/1000000</f>
        <v>6872.85241727402</v>
      </c>
      <c r="U161" s="20" t="n">
        <f aca="false">U140+U$139/1000000</f>
        <v>32485.1717837058</v>
      </c>
      <c r="V161" s="20" t="n">
        <f aca="false">V140+V$139/1000000</f>
        <v>32345.2950600341</v>
      </c>
      <c r="W161" s="20" t="n">
        <f aca="false">W140+W$139/1000000</f>
        <v>8508.71639109591</v>
      </c>
      <c r="X161" s="20" t="n">
        <f aca="false">X140+X$139/1000000</f>
        <v>2.2E-005</v>
      </c>
      <c r="Y161" s="20" t="n">
        <f aca="false">Y140+Y$139/1000000</f>
        <v>6937.73131711765</v>
      </c>
      <c r="Z161" s="20" t="n">
        <f aca="false">Z140+Z$139/1000000</f>
        <v>35486.600187592</v>
      </c>
      <c r="AA161" s="20" t="n">
        <f aca="false">AA140+AA$139/1000000</f>
        <v>96920.2093308165</v>
      </c>
      <c r="AB161" s="20" t="n">
        <f aca="false">AB140+AB$139/1000000</f>
        <v>118114.436505406</v>
      </c>
      <c r="AC161" s="20" t="n">
        <f aca="false">AC140+AC$139/1000000</f>
        <v>158242.333556412</v>
      </c>
      <c r="AD161" s="20" t="n">
        <f aca="false">AD140+AD$139/1000000</f>
        <v>166060.204773098</v>
      </c>
      <c r="AE161" s="20" t="n">
        <f aca="false">AE140+AE$139/1000000</f>
        <v>171503.737767562</v>
      </c>
      <c r="AF161" s="20" t="n">
        <f aca="false">AF140+AF$139/1000000</f>
        <v>175725.068324118</v>
      </c>
      <c r="AG161" s="20" t="n">
        <f aca="false">AG140+AG$139/1000000</f>
        <v>474530.799291539</v>
      </c>
      <c r="AH161" s="20" t="n">
        <f aca="false">AH140+AH$139/1000000</f>
        <v>823195.65702558</v>
      </c>
      <c r="AI161" s="20" t="n">
        <f aca="false">AI140+AI$139/1000000</f>
        <v>877936.513238309</v>
      </c>
      <c r="AJ161" s="20" t="n">
        <f aca="false">AJ140+AJ$139/1000000</f>
        <v>916621.270493228</v>
      </c>
      <c r="AK161" s="20" t="n">
        <f aca="false">AK140+AK$139/1000000</f>
        <v>990112.832803172</v>
      </c>
      <c r="AL161" s="20" t="n">
        <f aca="false">AL140+AL$139/1000000</f>
        <v>1196823.54535922</v>
      </c>
      <c r="AM161" s="20" t="n">
        <f aca="false">AM140+AM$139/1000000</f>
        <v>1161032.97993418</v>
      </c>
      <c r="AN161" s="20" t="n">
        <f aca="false">AN140+AN$139/1000000</f>
        <v>1114742.10136208</v>
      </c>
      <c r="AO161" s="20" t="n">
        <f aca="false">AO140+AO$139/1000000</f>
        <v>1035126.77552527</v>
      </c>
      <c r="AP161" s="20" t="n">
        <f aca="false">AP140+AP$139/1000000</f>
        <v>995342.916149991</v>
      </c>
      <c r="AQ161" s="20" t="n">
        <f aca="false">AQ140+AQ$139/1000000</f>
        <v>974858.178034343</v>
      </c>
      <c r="AR161" s="20" t="n">
        <f aca="false">AR140+AR$139/1000000</f>
        <v>740644.031287852</v>
      </c>
      <c r="AS161" s="20" t="n">
        <f aca="false">AS140+AS$139/1000000</f>
        <v>690658.262834977</v>
      </c>
      <c r="AT161" s="20" t="n">
        <f aca="false">AT140+AT$139/1000000</f>
        <v>638311.826822272</v>
      </c>
      <c r="AU161" s="20" t="n">
        <f aca="false">AU140+AU$139/1000000</f>
        <v>663171.03637376</v>
      </c>
      <c r="AV161" s="20" t="n">
        <f aca="false">AV140+AV$139/1000000</f>
        <v>658983.114094033</v>
      </c>
      <c r="AW161" s="20" t="n">
        <f aca="false">AW140+AW$139/1000000</f>
        <v>655994.790315118</v>
      </c>
      <c r="AX161" s="20" t="n">
        <f aca="false">AX140+AX$139/1000000</f>
        <v>654587.410500137</v>
      </c>
      <c r="AY161" s="20" t="n">
        <f aca="false">AY140+AY$139/1000000</f>
        <v>715532.596907418</v>
      </c>
      <c r="AZ161" s="20" t="n">
        <f aca="false">AZ140+AZ$139/1000000</f>
        <v>704298.810486601</v>
      </c>
      <c r="BA161" s="20" t="n">
        <f aca="false">BA140+BA$139/1000000</f>
        <v>616748.373084131</v>
      </c>
      <c r="BB161" s="20" t="n">
        <f aca="false">BB140+BB$139/1000000</f>
        <v>611379.586322182</v>
      </c>
      <c r="BC161" s="20" t="n">
        <f aca="false">BC140+BC$139/1000000</f>
        <v>641726.524037179</v>
      </c>
      <c r="BD161" s="20" t="n">
        <f aca="false">BD140+BD$139/1000000</f>
        <v>651357.157018706</v>
      </c>
      <c r="BE161" s="20" t="n">
        <f aca="false">BE140+BE$139/1000000</f>
        <v>644964.964055</v>
      </c>
      <c r="BF161" s="20" t="n">
        <f aca="false">BF140+BF$139/1000000</f>
        <v>629794.707350118</v>
      </c>
      <c r="BG161" s="20" t="n">
        <f aca="false">BG140+BG$139/1000000</f>
        <v>490219.125541787</v>
      </c>
      <c r="BH161" s="20" t="n">
        <f aca="false">BH140+BH$139/1000000</f>
        <v>306488.479863274</v>
      </c>
      <c r="BI161" s="20" t="n">
        <f aca="false">BI140+BI$139/1000000</f>
        <v>271832.445267925</v>
      </c>
      <c r="BJ161" s="20" t="n">
        <f aca="false">BJ140+BJ$139/1000000</f>
        <v>226248.357577241</v>
      </c>
      <c r="BK161" s="20" t="n">
        <f aca="false">BK140+BK$139/1000000</f>
        <v>174486.743476821</v>
      </c>
      <c r="BL161" s="20" t="n">
        <f aca="false">BL140+BL$139/1000000</f>
        <v>1235.62441494118</v>
      </c>
      <c r="BM161" s="20" t="n">
        <f aca="false">BM140+BM$139/1000000</f>
        <v>6.3E-005</v>
      </c>
      <c r="BN161" s="20" t="n">
        <f aca="false">BN140+BN$139/1000000</f>
        <v>6.4E-005</v>
      </c>
      <c r="BO161" s="20" t="n">
        <f aca="false">BO140+BO$139/1000000</f>
        <v>6.5E-005</v>
      </c>
      <c r="BP161" s="20" t="n">
        <f aca="false">BP140+BP$139/1000000</f>
        <v>6.6E-005</v>
      </c>
      <c r="BQ161" s="20" t="n">
        <f aca="false">MAX(C161:BP161)</f>
        <v>1196823.54535922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62"/>
    <col collapsed="false" customWidth="true" hidden="false" outlineLevel="0" max="4" min="4" style="0" width="20"/>
    <col collapsed="false" customWidth="true" hidden="false" outlineLevel="0" max="5" min="5" style="0" width="110"/>
  </cols>
  <sheetData>
    <row r="2" customFormat="false" ht="30" hidden="false" customHeight="true" outlineLevel="0" collapsed="false">
      <c r="B2" s="1" t="s">
        <v>626</v>
      </c>
      <c r="C2" s="1"/>
      <c r="D2" s="1"/>
      <c r="E2" s="1"/>
      <c r="F2" s="1"/>
    </row>
    <row r="3" customFormat="false" ht="25.5" hidden="false" customHeight="true" outlineLevel="0" collapsed="false">
      <c r="B3" s="2" t="s">
        <v>627</v>
      </c>
      <c r="C3" s="2"/>
      <c r="D3" s="2"/>
      <c r="E3" s="2"/>
      <c r="F3" s="2"/>
    </row>
    <row r="5" customFormat="false" ht="30" hidden="false" customHeight="true" outlineLevel="0" collapsed="false">
      <c r="B5" s="14" t="s">
        <v>628</v>
      </c>
      <c r="C5" s="14" t="s">
        <v>629</v>
      </c>
      <c r="D5" s="14" t="s">
        <v>536</v>
      </c>
      <c r="E5" s="14" t="s">
        <v>630</v>
      </c>
    </row>
    <row r="6" customFormat="false" ht="45.75" hidden="false" customHeight="true" outlineLevel="0" collapsed="false">
      <c r="B6" s="15" t="s">
        <v>631</v>
      </c>
      <c r="C6" s="32" t="s">
        <v>632</v>
      </c>
      <c r="D6" s="8" t="s">
        <v>633</v>
      </c>
      <c r="E6" s="33" t="s">
        <v>634</v>
      </c>
    </row>
    <row r="7" customFormat="false" ht="45.75" hidden="false" customHeight="true" outlineLevel="0" collapsed="false">
      <c r="B7" s="15" t="s">
        <v>635</v>
      </c>
      <c r="C7" s="32" t="s">
        <v>636</v>
      </c>
      <c r="D7" s="8" t="s">
        <v>637</v>
      </c>
      <c r="E7" s="33" t="s">
        <v>638</v>
      </c>
    </row>
    <row r="8" customFormat="false" ht="45.75" hidden="false" customHeight="true" outlineLevel="0" collapsed="false">
      <c r="B8" s="15" t="s">
        <v>639</v>
      </c>
      <c r="C8" s="32" t="s">
        <v>640</v>
      </c>
      <c r="D8" s="8" t="s">
        <v>641</v>
      </c>
      <c r="E8" s="33" t="s">
        <v>642</v>
      </c>
    </row>
    <row r="9" customFormat="false" ht="45.75" hidden="false" customHeight="true" outlineLevel="0" collapsed="false">
      <c r="B9" s="15" t="s">
        <v>643</v>
      </c>
      <c r="C9" s="32" t="s">
        <v>644</v>
      </c>
      <c r="D9" s="8" t="s">
        <v>569</v>
      </c>
      <c r="E9" s="33" t="s">
        <v>645</v>
      </c>
    </row>
    <row r="10" customFormat="false" ht="45.75" hidden="false" customHeight="true" outlineLevel="0" collapsed="false">
      <c r="B10" s="15" t="s">
        <v>646</v>
      </c>
      <c r="C10" s="32" t="s">
        <v>647</v>
      </c>
      <c r="D10" s="8" t="s">
        <v>641</v>
      </c>
      <c r="E10" s="33" t="s">
        <v>648</v>
      </c>
    </row>
    <row r="11" customFormat="false" ht="45.75" hidden="false" customHeight="true" outlineLevel="0" collapsed="false">
      <c r="B11" s="15" t="s">
        <v>649</v>
      </c>
      <c r="C11" s="32" t="s">
        <v>650</v>
      </c>
      <c r="D11" s="8" t="s">
        <v>641</v>
      </c>
      <c r="E11" s="33" t="s">
        <v>651</v>
      </c>
    </row>
    <row r="12" customFormat="false" ht="45.75" hidden="false" customHeight="true" outlineLevel="0" collapsed="false">
      <c r="B12" s="15" t="s">
        <v>652</v>
      </c>
      <c r="C12" s="32" t="s">
        <v>653</v>
      </c>
      <c r="D12" s="8" t="s">
        <v>34</v>
      </c>
      <c r="E12" s="33" t="s">
        <v>654</v>
      </c>
    </row>
    <row r="13" customFormat="false" ht="45.75" hidden="false" customHeight="true" outlineLevel="0" collapsed="false">
      <c r="B13" s="15" t="s">
        <v>655</v>
      </c>
      <c r="C13" s="32" t="s">
        <v>656</v>
      </c>
      <c r="D13" s="8" t="s">
        <v>42</v>
      </c>
      <c r="E13" s="33" t="s">
        <v>657</v>
      </c>
    </row>
    <row r="14" customFormat="false" ht="45.75" hidden="false" customHeight="true" outlineLevel="0" collapsed="false">
      <c r="B14" s="15" t="s">
        <v>658</v>
      </c>
      <c r="C14" s="32" t="s">
        <v>659</v>
      </c>
      <c r="D14" s="8" t="s">
        <v>546</v>
      </c>
      <c r="E14" s="33" t="s">
        <v>660</v>
      </c>
    </row>
    <row r="15" customFormat="false" ht="45.75" hidden="false" customHeight="true" outlineLevel="0" collapsed="false">
      <c r="B15" s="15" t="s">
        <v>661</v>
      </c>
      <c r="C15" s="32" t="s">
        <v>662</v>
      </c>
      <c r="D15" s="8" t="s">
        <v>546</v>
      </c>
      <c r="E15" s="33" t="s">
        <v>663</v>
      </c>
    </row>
    <row r="16" customFormat="false" ht="45.75" hidden="false" customHeight="true" outlineLevel="0" collapsed="false">
      <c r="B16" s="15" t="s">
        <v>664</v>
      </c>
      <c r="C16" s="32" t="s">
        <v>665</v>
      </c>
      <c r="D16" s="8" t="s">
        <v>55</v>
      </c>
      <c r="E16" s="33" t="s">
        <v>666</v>
      </c>
    </row>
    <row r="17" customFormat="false" ht="45.75" hidden="false" customHeight="true" outlineLevel="0" collapsed="false">
      <c r="B17" s="15" t="s">
        <v>667</v>
      </c>
      <c r="C17" s="32" t="s">
        <v>668</v>
      </c>
      <c r="D17" s="8" t="s">
        <v>669</v>
      </c>
      <c r="E17" s="33" t="s">
        <v>670</v>
      </c>
    </row>
    <row r="18" customFormat="false" ht="45.75" hidden="false" customHeight="true" outlineLevel="0" collapsed="false">
      <c r="B18" s="15" t="s">
        <v>671</v>
      </c>
      <c r="C18" s="32" t="s">
        <v>672</v>
      </c>
      <c r="D18" s="8" t="s">
        <v>42</v>
      </c>
      <c r="E18" s="33" t="s">
        <v>673</v>
      </c>
    </row>
    <row r="19" customFormat="false" ht="45.75" hidden="false" customHeight="true" outlineLevel="0" collapsed="false">
      <c r="B19" s="15" t="s">
        <v>674</v>
      </c>
      <c r="C19" s="32" t="s">
        <v>675</v>
      </c>
      <c r="D19" s="8" t="s">
        <v>55</v>
      </c>
      <c r="E19" s="33" t="s">
        <v>676</v>
      </c>
    </row>
    <row r="20" customFormat="false" ht="45.75" hidden="false" customHeight="true" outlineLevel="0" collapsed="false">
      <c r="B20" s="15" t="s">
        <v>677</v>
      </c>
      <c r="C20" s="32" t="s">
        <v>678</v>
      </c>
      <c r="D20" s="8" t="s">
        <v>34</v>
      </c>
      <c r="E20" s="33" t="s">
        <v>679</v>
      </c>
    </row>
    <row r="21" customFormat="false" ht="45.75" hidden="false" customHeight="true" outlineLevel="0" collapsed="false">
      <c r="B21" s="15" t="s">
        <v>680</v>
      </c>
      <c r="C21" s="32" t="s">
        <v>681</v>
      </c>
      <c r="D21" s="8" t="s">
        <v>669</v>
      </c>
      <c r="E21" s="33" t="s">
        <v>682</v>
      </c>
    </row>
    <row r="22" customFormat="false" ht="45.75" hidden="false" customHeight="true" outlineLevel="0" collapsed="false">
      <c r="B22" s="15" t="s">
        <v>683</v>
      </c>
      <c r="C22" s="32" t="s">
        <v>684</v>
      </c>
      <c r="D22" s="8" t="s">
        <v>685</v>
      </c>
      <c r="E22" s="33" t="s">
        <v>686</v>
      </c>
    </row>
    <row r="23" customFormat="false" ht="45.75" hidden="false" customHeight="true" outlineLevel="0" collapsed="false">
      <c r="B23" s="15" t="s">
        <v>687</v>
      </c>
      <c r="C23" s="32" t="s">
        <v>688</v>
      </c>
      <c r="D23" s="8" t="s">
        <v>669</v>
      </c>
      <c r="E23" s="33" t="s">
        <v>689</v>
      </c>
    </row>
    <row r="25" customFormat="false" ht="30" hidden="false" customHeight="true" outlineLevel="0" collapsed="false">
      <c r="B25" s="5" t="s">
        <v>690</v>
      </c>
      <c r="C25" s="5"/>
      <c r="D25" s="5"/>
      <c r="E25" s="5"/>
    </row>
  </sheetData>
  <mergeCells count="3">
    <mergeCell ref="B2:F2"/>
    <mergeCell ref="B3:F3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7" min="6" style="0" width="62"/>
    <col collapsed="false" customWidth="true" hidden="false" outlineLevel="0" max="8" min="8" style="0" width="34"/>
  </cols>
  <sheetData>
    <row r="2" customFormat="false" ht="30" hidden="false" customHeight="true" outlineLevel="0" collapsed="false">
      <c r="B2" s="1" t="s">
        <v>691</v>
      </c>
      <c r="C2" s="1"/>
      <c r="D2" s="1"/>
      <c r="E2" s="1"/>
      <c r="F2" s="1"/>
      <c r="G2" s="1"/>
      <c r="H2" s="1"/>
    </row>
    <row r="3" customFormat="false" ht="25.5" hidden="false" customHeight="true" outlineLevel="0" collapsed="false">
      <c r="B3" s="2" t="s">
        <v>692</v>
      </c>
      <c r="C3" s="2"/>
      <c r="D3" s="2"/>
      <c r="E3" s="2"/>
      <c r="F3" s="2"/>
      <c r="G3" s="2"/>
      <c r="H3" s="2"/>
    </row>
    <row r="5" customFormat="false" ht="30" hidden="false" customHeight="true" outlineLevel="0" collapsed="false">
      <c r="B5" s="14" t="s">
        <v>693</v>
      </c>
      <c r="C5" s="14" t="s">
        <v>694</v>
      </c>
      <c r="D5" s="14" t="s">
        <v>695</v>
      </c>
      <c r="E5" s="14" t="s">
        <v>536</v>
      </c>
      <c r="F5" s="14" t="s">
        <v>696</v>
      </c>
      <c r="G5" s="14" t="s">
        <v>697</v>
      </c>
      <c r="H5" s="14" t="s">
        <v>698</v>
      </c>
    </row>
    <row r="6" customFormat="false" ht="57.75" hidden="false" customHeight="true" outlineLevel="0" collapsed="false">
      <c r="B6" s="34" t="s">
        <v>699</v>
      </c>
      <c r="C6" s="33" t="s">
        <v>700</v>
      </c>
      <c r="D6" s="33" t="s">
        <v>701</v>
      </c>
      <c r="E6" s="33" t="s">
        <v>569</v>
      </c>
      <c r="F6" s="33" t="s">
        <v>702</v>
      </c>
      <c r="G6" s="33" t="s">
        <v>703</v>
      </c>
      <c r="H6" s="33" t="s">
        <v>704</v>
      </c>
    </row>
    <row r="7" customFormat="false" ht="57.75" hidden="false" customHeight="true" outlineLevel="0" collapsed="false">
      <c r="B7" s="34" t="s">
        <v>705</v>
      </c>
      <c r="C7" s="33" t="s">
        <v>700</v>
      </c>
      <c r="D7" s="33" t="s">
        <v>706</v>
      </c>
      <c r="E7" s="33" t="s">
        <v>707</v>
      </c>
      <c r="F7" s="33" t="s">
        <v>708</v>
      </c>
      <c r="G7" s="33" t="s">
        <v>709</v>
      </c>
      <c r="H7" s="33" t="s">
        <v>710</v>
      </c>
    </row>
    <row r="8" customFormat="false" ht="57.75" hidden="false" customHeight="true" outlineLevel="0" collapsed="false">
      <c r="B8" s="34" t="s">
        <v>326</v>
      </c>
      <c r="C8" s="33" t="s">
        <v>711</v>
      </c>
      <c r="D8" s="33" t="s">
        <v>712</v>
      </c>
      <c r="E8" s="33" t="s">
        <v>562</v>
      </c>
      <c r="F8" s="33" t="s">
        <v>713</v>
      </c>
      <c r="G8" s="33" t="s">
        <v>714</v>
      </c>
      <c r="H8" s="33" t="s">
        <v>715</v>
      </c>
    </row>
    <row r="9" customFormat="false" ht="57.75" hidden="false" customHeight="true" outlineLevel="0" collapsed="false">
      <c r="B9" s="34" t="s">
        <v>716</v>
      </c>
      <c r="C9" s="33" t="s">
        <v>711</v>
      </c>
      <c r="D9" s="33" t="s">
        <v>717</v>
      </c>
      <c r="E9" s="33" t="s">
        <v>42</v>
      </c>
      <c r="F9" s="33" t="s">
        <v>718</v>
      </c>
      <c r="G9" s="33" t="s">
        <v>719</v>
      </c>
      <c r="H9" s="33" t="s">
        <v>720</v>
      </c>
    </row>
    <row r="10" customFormat="false" ht="57.75" hidden="false" customHeight="true" outlineLevel="0" collapsed="false">
      <c r="B10" s="34" t="s">
        <v>721</v>
      </c>
      <c r="C10" s="33" t="s">
        <v>722</v>
      </c>
      <c r="D10" s="33" t="s">
        <v>723</v>
      </c>
      <c r="E10" s="33" t="s">
        <v>42</v>
      </c>
      <c r="F10" s="33" t="s">
        <v>724</v>
      </c>
      <c r="G10" s="33" t="s">
        <v>725</v>
      </c>
      <c r="H10" s="33" t="s">
        <v>726</v>
      </c>
    </row>
    <row r="11" customFormat="false" ht="57.75" hidden="false" customHeight="true" outlineLevel="0" collapsed="false">
      <c r="B11" s="34" t="s">
        <v>727</v>
      </c>
      <c r="C11" s="33" t="s">
        <v>728</v>
      </c>
      <c r="D11" s="33" t="s">
        <v>729</v>
      </c>
      <c r="E11" s="33" t="s">
        <v>730</v>
      </c>
      <c r="F11" s="33" t="s">
        <v>731</v>
      </c>
      <c r="G11" s="33" t="s">
        <v>732</v>
      </c>
      <c r="H11" s="33" t="s">
        <v>733</v>
      </c>
    </row>
    <row r="12" customFormat="false" ht="57.75" hidden="false" customHeight="true" outlineLevel="0" collapsed="false">
      <c r="B12" s="34" t="s">
        <v>734</v>
      </c>
      <c r="C12" s="33" t="s">
        <v>735</v>
      </c>
      <c r="D12" s="33" t="s">
        <v>736</v>
      </c>
      <c r="E12" s="33" t="s">
        <v>737</v>
      </c>
      <c r="F12" s="33" t="s">
        <v>738</v>
      </c>
      <c r="G12" s="33" t="s">
        <v>739</v>
      </c>
      <c r="H12" s="33" t="s">
        <v>740</v>
      </c>
    </row>
    <row r="14" customFormat="false" ht="15" hidden="false" customHeight="false" outlineLevel="0" collapsed="false">
      <c r="B14" s="3" t="s">
        <v>741</v>
      </c>
    </row>
    <row r="15" customFormat="false" ht="15" hidden="false" customHeight="false" outlineLevel="0" collapsed="false">
      <c r="B15" s="14" t="s">
        <v>693</v>
      </c>
      <c r="C15" s="14" t="s">
        <v>742</v>
      </c>
      <c r="D15" s="14" t="s">
        <v>743</v>
      </c>
      <c r="E15" s="14" t="s">
        <v>536</v>
      </c>
      <c r="F15" s="14" t="s">
        <v>697</v>
      </c>
    </row>
    <row r="16" customFormat="false" ht="30" hidden="false" customHeight="true" outlineLevel="0" collapsed="false">
      <c r="B16" s="34" t="s">
        <v>744</v>
      </c>
      <c r="C16" s="33" t="s">
        <v>265</v>
      </c>
      <c r="D16" s="33" t="s">
        <v>745</v>
      </c>
      <c r="E16" s="33" t="s">
        <v>48</v>
      </c>
      <c r="F16" s="33" t="s">
        <v>746</v>
      </c>
    </row>
    <row r="17" customFormat="false" ht="30" hidden="false" customHeight="true" outlineLevel="0" collapsed="false">
      <c r="B17" s="34" t="s">
        <v>744</v>
      </c>
      <c r="C17" s="33" t="s">
        <v>260</v>
      </c>
      <c r="D17" s="33" t="s">
        <v>747</v>
      </c>
      <c r="E17" s="33" t="s">
        <v>48</v>
      </c>
      <c r="F17" s="33" t="s">
        <v>746</v>
      </c>
    </row>
    <row r="18" customFormat="false" ht="30" hidden="false" customHeight="true" outlineLevel="0" collapsed="false">
      <c r="B18" s="34" t="s">
        <v>748</v>
      </c>
      <c r="C18" s="33" t="s">
        <v>259</v>
      </c>
      <c r="D18" s="33" t="s">
        <v>749</v>
      </c>
      <c r="E18" s="33" t="s">
        <v>750</v>
      </c>
      <c r="F18" s="33" t="s">
        <v>751</v>
      </c>
    </row>
    <row r="19" customFormat="false" ht="30" hidden="false" customHeight="true" outlineLevel="0" collapsed="false">
      <c r="B19" s="34" t="s">
        <v>748</v>
      </c>
      <c r="C19" s="33" t="s">
        <v>268</v>
      </c>
      <c r="D19" s="33" t="s">
        <v>749</v>
      </c>
      <c r="E19" s="33" t="s">
        <v>750</v>
      </c>
      <c r="F19" s="33" t="s">
        <v>751</v>
      </c>
    </row>
    <row r="20" customFormat="false" ht="30" hidden="false" customHeight="true" outlineLevel="0" collapsed="false">
      <c r="B20" s="34" t="s">
        <v>744</v>
      </c>
      <c r="C20" s="33" t="s">
        <v>270</v>
      </c>
      <c r="D20" s="33" t="s">
        <v>752</v>
      </c>
      <c r="E20" s="33" t="s">
        <v>48</v>
      </c>
      <c r="F20" s="33" t="s">
        <v>746</v>
      </c>
    </row>
    <row r="21" customFormat="false" ht="30" hidden="false" customHeight="true" outlineLevel="0" collapsed="false">
      <c r="B21" s="34" t="s">
        <v>748</v>
      </c>
      <c r="C21" s="33" t="s">
        <v>271</v>
      </c>
      <c r="D21" s="33" t="s">
        <v>753</v>
      </c>
      <c r="E21" s="33" t="s">
        <v>750</v>
      </c>
      <c r="F21" s="33" t="s">
        <v>751</v>
      </c>
    </row>
    <row r="22" customFormat="false" ht="30" hidden="false" customHeight="true" outlineLevel="0" collapsed="false">
      <c r="B22" s="34" t="s">
        <v>744</v>
      </c>
      <c r="C22" s="33" t="s">
        <v>275</v>
      </c>
      <c r="D22" s="33" t="s">
        <v>754</v>
      </c>
      <c r="E22" s="33" t="s">
        <v>48</v>
      </c>
      <c r="F22" s="33" t="s">
        <v>746</v>
      </c>
    </row>
    <row r="23" customFormat="false" ht="30" hidden="false" customHeight="true" outlineLevel="0" collapsed="false">
      <c r="B23" s="34" t="s">
        <v>744</v>
      </c>
      <c r="C23" s="33" t="s">
        <v>276</v>
      </c>
      <c r="D23" s="33" t="s">
        <v>755</v>
      </c>
      <c r="E23" s="33" t="s">
        <v>48</v>
      </c>
      <c r="F23" s="33" t="s">
        <v>746</v>
      </c>
    </row>
    <row r="24" customFormat="false" ht="30" hidden="false" customHeight="true" outlineLevel="0" collapsed="false">
      <c r="B24" s="34" t="s">
        <v>744</v>
      </c>
      <c r="C24" s="33" t="s">
        <v>284</v>
      </c>
      <c r="D24" s="33" t="s">
        <v>756</v>
      </c>
      <c r="E24" s="33" t="s">
        <v>48</v>
      </c>
      <c r="F24" s="33" t="s">
        <v>746</v>
      </c>
    </row>
    <row r="25" customFormat="false" ht="30" hidden="false" customHeight="true" outlineLevel="0" collapsed="false">
      <c r="B25" s="34" t="s">
        <v>748</v>
      </c>
      <c r="C25" s="33" t="s">
        <v>284</v>
      </c>
      <c r="D25" s="33" t="s">
        <v>757</v>
      </c>
      <c r="E25" s="33" t="s">
        <v>750</v>
      </c>
      <c r="F25" s="33" t="s">
        <v>751</v>
      </c>
    </row>
    <row r="26" customFormat="false" ht="30" hidden="false" customHeight="true" outlineLevel="0" collapsed="false">
      <c r="B26" s="34" t="s">
        <v>744</v>
      </c>
      <c r="C26" s="33" t="s">
        <v>285</v>
      </c>
      <c r="D26" s="33" t="s">
        <v>758</v>
      </c>
      <c r="E26" s="33" t="s">
        <v>48</v>
      </c>
      <c r="F26" s="33" t="s">
        <v>746</v>
      </c>
    </row>
    <row r="27" customFormat="false" ht="30" hidden="false" customHeight="true" outlineLevel="0" collapsed="false">
      <c r="B27" s="34" t="s">
        <v>744</v>
      </c>
      <c r="C27" s="33" t="s">
        <v>287</v>
      </c>
      <c r="D27" s="33" t="s">
        <v>759</v>
      </c>
      <c r="E27" s="33" t="s">
        <v>48</v>
      </c>
      <c r="F27" s="33" t="s">
        <v>746</v>
      </c>
    </row>
    <row r="28" customFormat="false" ht="30" hidden="false" customHeight="true" outlineLevel="0" collapsed="false">
      <c r="B28" s="34" t="s">
        <v>744</v>
      </c>
      <c r="C28" s="33" t="s">
        <v>281</v>
      </c>
      <c r="D28" s="33" t="s">
        <v>760</v>
      </c>
      <c r="E28" s="33" t="s">
        <v>48</v>
      </c>
      <c r="F28" s="33" t="s">
        <v>746</v>
      </c>
    </row>
    <row r="29" customFormat="false" ht="30" hidden="false" customHeight="true" outlineLevel="0" collapsed="false">
      <c r="B29" s="34" t="s">
        <v>744</v>
      </c>
      <c r="C29" s="33" t="s">
        <v>273</v>
      </c>
      <c r="D29" s="33" t="s">
        <v>761</v>
      </c>
      <c r="E29" s="33" t="s">
        <v>48</v>
      </c>
      <c r="F29" s="33" t="s">
        <v>746</v>
      </c>
    </row>
    <row r="30" customFormat="false" ht="30" hidden="false" customHeight="true" outlineLevel="0" collapsed="false">
      <c r="B30" s="34" t="s">
        <v>744</v>
      </c>
      <c r="C30" s="33" t="s">
        <v>274</v>
      </c>
      <c r="D30" s="33" t="s">
        <v>761</v>
      </c>
      <c r="E30" s="33" t="s">
        <v>48</v>
      </c>
      <c r="F30" s="33" t="s">
        <v>746</v>
      </c>
    </row>
    <row r="31" customFormat="false" ht="30" hidden="false" customHeight="true" outlineLevel="0" collapsed="false">
      <c r="B31" s="34" t="s">
        <v>744</v>
      </c>
      <c r="C31" s="33" t="s">
        <v>290</v>
      </c>
      <c r="D31" s="33" t="s">
        <v>759</v>
      </c>
      <c r="E31" s="33" t="s">
        <v>48</v>
      </c>
      <c r="F31" s="33" t="s">
        <v>746</v>
      </c>
    </row>
    <row r="32" customFormat="false" ht="30" hidden="false" customHeight="true" outlineLevel="0" collapsed="false">
      <c r="B32" s="34" t="s">
        <v>762</v>
      </c>
      <c r="C32" s="33" t="s">
        <v>284</v>
      </c>
      <c r="D32" s="33" t="s">
        <v>763</v>
      </c>
      <c r="E32" s="33" t="s">
        <v>764</v>
      </c>
      <c r="F32" s="33" t="s">
        <v>765</v>
      </c>
    </row>
    <row r="33" customFormat="false" ht="30" hidden="false" customHeight="true" outlineLevel="0" collapsed="false">
      <c r="B33" s="34" t="s">
        <v>762</v>
      </c>
      <c r="C33" s="33" t="s">
        <v>285</v>
      </c>
      <c r="D33" s="33" t="s">
        <v>766</v>
      </c>
      <c r="E33" s="33" t="s">
        <v>767</v>
      </c>
      <c r="F33" s="33" t="s">
        <v>765</v>
      </c>
    </row>
    <row r="34" customFormat="false" ht="30" hidden="false" customHeight="true" outlineLevel="0" collapsed="false">
      <c r="B34" s="34" t="s">
        <v>762</v>
      </c>
      <c r="C34" s="33" t="s">
        <v>274</v>
      </c>
      <c r="D34" s="33" t="s">
        <v>768</v>
      </c>
      <c r="E34" s="33" t="s">
        <v>769</v>
      </c>
      <c r="F34" s="33" t="s">
        <v>765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2026-10-20T00:10:26Z</dcterms:created>
  <dc:creator>openpyxl</dc:creator>
  <dc:description/>
  <dc:language>en-US</dc:language>
  <cp:lastModifiedBy/>
  <dcterms:modified xsi:type="dcterms:W3CDTF">2026-10-20T00:10:35Z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